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filterPrivacy="1" defaultThemeVersion="124226"/>
  <xr:revisionPtr revIDLastSave="0" documentId="13_ncr:1_{3F8A196C-7446-4912-9E77-2CA62AC4DE28}" xr6:coauthVersionLast="47" xr6:coauthVersionMax="47" xr10:uidLastSave="{00000000-0000-0000-0000-000000000000}"/>
  <bookViews>
    <workbookView xWindow="-120" yWindow="-120" windowWidth="29040" windowHeight="15840" tabRatio="821" xr2:uid="{00000000-000D-0000-FFFF-FFFF00000000}"/>
  </bookViews>
  <sheets>
    <sheet name="まとめ" sheetId="10" r:id="rId1"/>
    <sheet name="原子力（2020年）" sheetId="95" r:id="rId2"/>
    <sheet name="原子力（2030年）" sheetId="96" r:id="rId3"/>
    <sheet name="石炭火力（2020年）" sheetId="63" r:id="rId4"/>
    <sheet name="石炭火力（2030年）" sheetId="13" r:id="rId5"/>
    <sheet name="LNG火力（2020年）" sheetId="64" r:id="rId6"/>
    <sheet name="LNG火力（2030年）" sheetId="15" r:id="rId7"/>
    <sheet name="石油火力（2020年）" sheetId="66" r:id="rId8"/>
    <sheet name="石油火力（2030年）" sheetId="17" r:id="rId9"/>
    <sheet name="ガスコジェネ（2020年）" sheetId="129" r:id="rId10"/>
    <sheet name="ガスコジェネ（2030年）" sheetId="130" r:id="rId11"/>
    <sheet name="石油コジェネ（2020年）" sheetId="135" r:id="rId12"/>
    <sheet name="石油コジェネ（2030年）" sheetId="136" r:id="rId13"/>
    <sheet name="燃料電池（2020年）" sheetId="132" r:id="rId14"/>
    <sheet name="燃料電池（2030年）" sheetId="133" r:id="rId15"/>
    <sheet name="太陽光（事業用）（2020年）" sheetId="98" r:id="rId16"/>
    <sheet name="太陽光（事業用）（2030年）" sheetId="99" r:id="rId17"/>
    <sheet name="太陽光（事業用）（2030年）【パネル出力劣化考慮】" sheetId="161" r:id="rId18"/>
    <sheet name="太陽光（住宅用）（2020年）" sheetId="101" r:id="rId19"/>
    <sheet name="太陽光（住宅用）（2030年）" sheetId="163" r:id="rId20"/>
    <sheet name="太陽光（住宅用）（2030年）【パネル劣化あり】" sheetId="164" r:id="rId21"/>
    <sheet name="陸上風力（2020年）" sheetId="104" r:id="rId22"/>
    <sheet name="陸上風力（2030年）" sheetId="105" r:id="rId23"/>
    <sheet name="洋上風力（2020年）" sheetId="106" r:id="rId24"/>
    <sheet name="洋上風力（2030年）" sheetId="107" r:id="rId25"/>
    <sheet name="小水力（2020年）" sheetId="110" r:id="rId26"/>
    <sheet name="小水力（2030年）" sheetId="112" r:id="rId27"/>
    <sheet name="中水力（2020年）" sheetId="147" r:id="rId28"/>
    <sheet name="中水力（2030年）" sheetId="146" r:id="rId29"/>
    <sheet name="地熱（2020年）" sheetId="114" r:id="rId30"/>
    <sheet name="地熱（2030年）" sheetId="115" r:id="rId31"/>
    <sheet name="バイオマス（石炭混焼）（2020年）" sheetId="118" r:id="rId32"/>
    <sheet name="バイオマス（石炭混焼）（2030年）" sheetId="120" r:id="rId33"/>
    <sheet name="バイオマス（木質専焼）（2020年）" sheetId="124" r:id="rId34"/>
    <sheet name="バイオマス（木質専焼）（2030年）" sheetId="126" r:id="rId35"/>
    <sheet name="水素混焼火力（2030年）" sheetId="151" r:id="rId36"/>
    <sheet name="水素専焼火力（2030年）" sheetId="150" r:id="rId37"/>
    <sheet name="CO2分離回収型IGCC（2030年）" sheetId="153" r:id="rId38"/>
    <sheet name="ＩＧＣＣ（2030年）" sheetId="152" r:id="rId39"/>
    <sheet name="CO2分離回収型LNG火力（2030年）" sheetId="156" r:id="rId40"/>
    <sheet name="CO2分離回収型石炭火力（2030年）" sheetId="155" r:id="rId41"/>
    <sheet name="アンモニア混焼火力（2030年）" sheetId="149" r:id="rId42"/>
    <sheet name="表1）減価償却率表" sheetId="2" r:id="rId43"/>
    <sheet name="表2）法定耐用年数" sheetId="4" r:id="rId44"/>
    <sheet name="表3）燃料価格" sheetId="58" r:id="rId45"/>
    <sheet name="表4）CO2価格" sheetId="7" r:id="rId46"/>
    <sheet name="表４ー②）CO2輸送・貯留コスト" sheetId="154" r:id="rId47"/>
    <sheet name="表5）核燃料サイクル費用" sheetId="159" r:id="rId48"/>
    <sheet name="表6）太陽光・風力シナリオ" sheetId="158" r:id="rId49"/>
    <sheet name="表7）買取期間・IRR" sheetId="139" r:id="rId50"/>
  </sheets>
  <definedNames>
    <definedName name="_xlnm._FilterDatabase" localSheetId="37" hidden="1">'CO2分離回収型IGCC（2030年）'!$U$1:$V$94</definedName>
    <definedName name="_xlnm._FilterDatabase" localSheetId="39" hidden="1">'CO2分離回収型LNG火力（2030年）'!$U$1:$V$94</definedName>
    <definedName name="_xlnm._FilterDatabase" localSheetId="40" hidden="1">'CO2分離回収型石炭火力（2030年）'!$U$1:$V$94</definedName>
    <definedName name="_xlnm._FilterDatabase" localSheetId="38" hidden="1">'ＩＧＣＣ（2030年）'!$U$1:$V$94</definedName>
    <definedName name="_xlnm._FilterDatabase" localSheetId="5" hidden="1">'LNG火力（2020年）'!$U$1:$V$94</definedName>
    <definedName name="_xlnm._FilterDatabase" localSheetId="6" hidden="1">'LNG火力（2030年）'!$U$1:$V$94</definedName>
    <definedName name="_xlnm._FilterDatabase" localSheetId="41" hidden="1">'アンモニア混焼火力（2030年）'!$U$1:$V$94</definedName>
    <definedName name="_xlnm._FilterDatabase" localSheetId="9" hidden="1">'ガスコジェネ（2020年）'!$U$1:$V$94</definedName>
    <definedName name="_xlnm._FilterDatabase" localSheetId="10" hidden="1">'ガスコジェネ（2030年）'!$U$1:$V$94</definedName>
    <definedName name="_xlnm._FilterDatabase" localSheetId="31" hidden="1">'バイオマス（石炭混焼）（2020年）'!$U$1:$V$94</definedName>
    <definedName name="_xlnm._FilterDatabase" localSheetId="32" hidden="1">'バイオマス（石炭混焼）（2030年）'!$U$1:$V$94</definedName>
    <definedName name="_xlnm._FilterDatabase" localSheetId="33" hidden="1">'バイオマス（木質専焼）（2020年）'!$U$1:$V$94</definedName>
    <definedName name="_xlnm._FilterDatabase" localSheetId="34" hidden="1">'バイオマス（木質専焼）（2030年）'!$U$1:$V$94</definedName>
    <definedName name="_xlnm._FilterDatabase" localSheetId="1" hidden="1">'原子力（2020年）'!$U$1:$V$94</definedName>
    <definedName name="_xlnm._FilterDatabase" localSheetId="2" hidden="1">'原子力（2030年）'!$U$1:$V$94</definedName>
    <definedName name="_xlnm._FilterDatabase" localSheetId="25" hidden="1">'小水力（2020年）'!$U$1:$V$94</definedName>
    <definedName name="_xlnm._FilterDatabase" localSheetId="26" hidden="1">'小水力（2030年）'!$U$1:$V$94</definedName>
    <definedName name="_xlnm._FilterDatabase" localSheetId="35" hidden="1">'水素混焼火力（2030年）'!$U$1:$V$94</definedName>
    <definedName name="_xlnm._FilterDatabase" localSheetId="36" hidden="1">'水素専焼火力（2030年）'!$U$1:$V$94</definedName>
    <definedName name="_xlnm._FilterDatabase" localSheetId="3" hidden="1">'石炭火力（2020年）'!$U$1:$V$94</definedName>
    <definedName name="_xlnm._FilterDatabase" localSheetId="4" hidden="1">'石炭火力（2030年）'!$U$1:$V$94</definedName>
    <definedName name="_xlnm._FilterDatabase" localSheetId="11" hidden="1">'石油コジェネ（2020年）'!$U$1:$V$94</definedName>
    <definedName name="_xlnm._FilterDatabase" localSheetId="12" hidden="1">'石油コジェネ（2030年）'!$U$1:$V$94</definedName>
    <definedName name="_xlnm._FilterDatabase" localSheetId="7" hidden="1">'石油火力（2020年）'!$U$1:$V$94</definedName>
    <definedName name="_xlnm._FilterDatabase" localSheetId="8" hidden="1">'石油火力（2030年）'!$U$1:$V$94</definedName>
    <definedName name="_xlnm._FilterDatabase" localSheetId="15" hidden="1">'太陽光（事業用）（2020年）'!$U$1:$V$94</definedName>
    <definedName name="_xlnm._FilterDatabase" localSheetId="16" hidden="1">'太陽光（事業用）（2030年）'!$U$1:$V$94</definedName>
    <definedName name="_xlnm._FilterDatabase" localSheetId="17" hidden="1">'太陽光（事業用）（2030年）【パネル出力劣化考慮】'!$U$1:$V$94</definedName>
    <definedName name="_xlnm._FilterDatabase" localSheetId="18" hidden="1">'太陽光（住宅用）（2020年）'!$U$1:$V$94</definedName>
    <definedName name="_xlnm._FilterDatabase" localSheetId="19" hidden="1">'太陽光（住宅用）（2030年）'!$U$1:$V$94</definedName>
    <definedName name="_xlnm._FilterDatabase" localSheetId="20" hidden="1">'太陽光（住宅用）（2030年）【パネル劣化あり】'!$U$1:$V$94</definedName>
    <definedName name="_xlnm._FilterDatabase" localSheetId="29" hidden="1">'地熱（2020年）'!$U$1:$V$94</definedName>
    <definedName name="_xlnm._FilterDatabase" localSheetId="30" hidden="1">'地熱（2030年）'!$U$1:$V$94</definedName>
    <definedName name="_xlnm._FilterDatabase" localSheetId="27" hidden="1">'中水力（2020年）'!$U$1:$V$94</definedName>
    <definedName name="_xlnm._FilterDatabase" localSheetId="28" hidden="1">'中水力（2030年）'!$U$1:$V$94</definedName>
    <definedName name="_xlnm._FilterDatabase" localSheetId="13" hidden="1">'燃料電池（2020年）'!$U$1:$V$94</definedName>
    <definedName name="_xlnm._FilterDatabase" localSheetId="14" hidden="1">'燃料電池（2030年）'!$U$1:$V$94</definedName>
    <definedName name="_xlnm._FilterDatabase" localSheetId="23" hidden="1">'洋上風力（2020年）'!$U$1:$V$94</definedName>
    <definedName name="_xlnm._FilterDatabase" localSheetId="24" hidden="1">'洋上風力（2030年）'!$U$1:$V$94</definedName>
    <definedName name="_xlnm._FilterDatabase" localSheetId="21" hidden="1">'陸上風力（2020年）'!$U$1:$V$94</definedName>
    <definedName name="_xlnm._FilterDatabase" localSheetId="22" hidden="1">'陸上風力（2030年）'!$U$1:$V$94</definedName>
    <definedName name="_xlnm.Print_Area" localSheetId="0">まとめ!$A$1:$X$62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 i="154" l="1"/>
  <c r="L89" i="154"/>
  <c r="H89" i="154"/>
  <c r="L88" i="154"/>
  <c r="H88" i="154"/>
  <c r="F119" i="156" l="1"/>
  <c r="F125" i="156" s="1"/>
  <c r="F97" i="156"/>
  <c r="D89" i="154"/>
  <c r="D88" i="154"/>
  <c r="D108" i="154"/>
  <c r="D111" i="154" s="1"/>
  <c r="W72" i="154"/>
  <c r="V72" i="154"/>
  <c r="U72" i="154"/>
  <c r="T72" i="154"/>
  <c r="O72" i="154"/>
  <c r="N72" i="154"/>
  <c r="M72" i="154"/>
  <c r="L72" i="154"/>
  <c r="G72" i="154"/>
  <c r="F72" i="154"/>
  <c r="E72" i="154"/>
  <c r="D72" i="154"/>
  <c r="T71" i="154"/>
  <c r="T73" i="154" s="1"/>
  <c r="O71" i="154"/>
  <c r="O73" i="154" s="1"/>
  <c r="N71" i="154"/>
  <c r="N73" i="154" s="1"/>
  <c r="M71" i="154"/>
  <c r="M73" i="154" s="1"/>
  <c r="L71" i="154"/>
  <c r="L73" i="154" s="1"/>
  <c r="G71" i="154"/>
  <c r="F71" i="154"/>
  <c r="E71" i="154"/>
  <c r="E73" i="154" s="1"/>
  <c r="D71" i="154"/>
  <c r="D73" i="154" s="1"/>
  <c r="W69" i="154"/>
  <c r="V69" i="154"/>
  <c r="U69" i="154"/>
  <c r="T69" i="154"/>
  <c r="T70" i="154" s="1"/>
  <c r="O69" i="154"/>
  <c r="N69" i="154"/>
  <c r="M69" i="154"/>
  <c r="L69" i="154"/>
  <c r="G69" i="154"/>
  <c r="F69" i="154"/>
  <c r="F70" i="154" s="1"/>
  <c r="E69" i="154"/>
  <c r="T68" i="154"/>
  <c r="O68" i="154"/>
  <c r="O70" i="154" s="1"/>
  <c r="N68" i="154"/>
  <c r="M68" i="154"/>
  <c r="M70" i="154" s="1"/>
  <c r="L68" i="154"/>
  <c r="L70" i="154" s="1"/>
  <c r="G68" i="154"/>
  <c r="F68" i="154"/>
  <c r="E68" i="154"/>
  <c r="E70" i="154" s="1"/>
  <c r="D68" i="154"/>
  <c r="D70" i="154" s="1"/>
  <c r="W67" i="154"/>
  <c r="W65" i="154"/>
  <c r="V65" i="154"/>
  <c r="V67" i="154" s="1"/>
  <c r="U65" i="154"/>
  <c r="U67" i="154" s="1"/>
  <c r="T65" i="154"/>
  <c r="T67" i="154" s="1"/>
  <c r="O65" i="154"/>
  <c r="O67" i="154" s="1"/>
  <c r="O74" i="154" s="1"/>
  <c r="N65" i="154"/>
  <c r="N67" i="154" s="1"/>
  <c r="M65" i="154"/>
  <c r="M67" i="154" s="1"/>
  <c r="L65" i="154"/>
  <c r="L67" i="154" s="1"/>
  <c r="W62" i="154"/>
  <c r="W71" i="154" s="1"/>
  <c r="W73" i="154" s="1"/>
  <c r="V62" i="154"/>
  <c r="V71" i="154" s="1"/>
  <c r="V73" i="154" s="1"/>
  <c r="U62" i="154"/>
  <c r="U71" i="154" s="1"/>
  <c r="U73" i="154" s="1"/>
  <c r="W61" i="154"/>
  <c r="W68" i="154" s="1"/>
  <c r="W70" i="154" s="1"/>
  <c r="V61" i="154"/>
  <c r="V68" i="154" s="1"/>
  <c r="U61" i="154"/>
  <c r="U68" i="154" s="1"/>
  <c r="K50" i="154"/>
  <c r="G50" i="154" s="1"/>
  <c r="I50" i="154"/>
  <c r="H50" i="154"/>
  <c r="D50" i="154"/>
  <c r="K47" i="154"/>
  <c r="G47" i="154" s="1"/>
  <c r="H47" i="154"/>
  <c r="I45" i="154"/>
  <c r="H45" i="154"/>
  <c r="G45" i="154"/>
  <c r="F45" i="154"/>
  <c r="E45" i="154"/>
  <c r="D45" i="154"/>
  <c r="I44" i="154"/>
  <c r="H44" i="154"/>
  <c r="G44" i="154"/>
  <c r="F44" i="154"/>
  <c r="E44" i="154"/>
  <c r="D44" i="154"/>
  <c r="AI30" i="154"/>
  <c r="W30" i="154"/>
  <c r="AG28" i="154"/>
  <c r="AF28" i="154"/>
  <c r="AE28" i="154"/>
  <c r="AD28" i="154"/>
  <c r="AC28" i="154"/>
  <c r="AB28" i="154"/>
  <c r="AA28" i="154"/>
  <c r="Z28" i="154"/>
  <c r="Y28" i="154"/>
  <c r="X28" i="154"/>
  <c r="W28" i="154"/>
  <c r="V28" i="154"/>
  <c r="U28" i="154"/>
  <c r="T28" i="154"/>
  <c r="S28" i="154"/>
  <c r="R28" i="154"/>
  <c r="Q28" i="154"/>
  <c r="P28" i="154"/>
  <c r="O28" i="154"/>
  <c r="N28" i="154"/>
  <c r="M28" i="154"/>
  <c r="L28" i="154"/>
  <c r="K28" i="154"/>
  <c r="J28" i="154"/>
  <c r="I28" i="154"/>
  <c r="H28" i="154"/>
  <c r="G28" i="154"/>
  <c r="F28" i="154"/>
  <c r="E28" i="154"/>
  <c r="D28" i="154"/>
  <c r="AI27" i="154"/>
  <c r="AD30" i="154" s="1"/>
  <c r="AG27" i="154"/>
  <c r="AB27" i="154"/>
  <c r="AA27" i="154"/>
  <c r="V27" i="154"/>
  <c r="U27" i="154"/>
  <c r="P27" i="154"/>
  <c r="O27" i="154"/>
  <c r="J27" i="154"/>
  <c r="I27" i="154"/>
  <c r="D27" i="154"/>
  <c r="N5" i="154"/>
  <c r="K53" i="154" s="1"/>
  <c r="N4" i="154"/>
  <c r="T74" i="154" l="1"/>
  <c r="AA30" i="154"/>
  <c r="E27" i="154"/>
  <c r="K27" i="154"/>
  <c r="Q27" i="154"/>
  <c r="W27" i="154"/>
  <c r="AC27" i="154"/>
  <c r="G30" i="154"/>
  <c r="AE30" i="154"/>
  <c r="F27" i="154"/>
  <c r="L27" i="154"/>
  <c r="R27" i="154"/>
  <c r="X27" i="154"/>
  <c r="AD27" i="154"/>
  <c r="K30" i="154"/>
  <c r="E50" i="154"/>
  <c r="U70" i="154"/>
  <c r="L74" i="154"/>
  <c r="F73" i="154"/>
  <c r="G27" i="154"/>
  <c r="M27" i="154"/>
  <c r="S27" i="154"/>
  <c r="Y27" i="154"/>
  <c r="AE27" i="154"/>
  <c r="O30" i="154"/>
  <c r="D47" i="154"/>
  <c r="F50" i="154"/>
  <c r="V70" i="154"/>
  <c r="V74" i="154" s="1"/>
  <c r="M74" i="154"/>
  <c r="G70" i="154"/>
  <c r="N70" i="154"/>
  <c r="G73" i="154"/>
  <c r="D110" i="154"/>
  <c r="H27" i="154"/>
  <c r="N27" i="154"/>
  <c r="T27" i="154"/>
  <c r="Z27" i="154"/>
  <c r="AF27" i="154"/>
  <c r="S30" i="154"/>
  <c r="F47" i="154"/>
  <c r="F123" i="156"/>
  <c r="F124" i="156"/>
  <c r="I53" i="154"/>
  <c r="E53" i="154"/>
  <c r="H53" i="154"/>
  <c r="D53" i="154"/>
  <c r="G53" i="154"/>
  <c r="F53" i="154"/>
  <c r="K43" i="154"/>
  <c r="K46" i="154"/>
  <c r="K51" i="154"/>
  <c r="K52" i="154"/>
  <c r="K48" i="154"/>
  <c r="AI26" i="154"/>
  <c r="K49" i="154"/>
  <c r="W74" i="154"/>
  <c r="AI29" i="154"/>
  <c r="U74" i="154"/>
  <c r="N74" i="154"/>
  <c r="D109" i="154"/>
  <c r="D30" i="154"/>
  <c r="H30" i="154"/>
  <c r="L30" i="154"/>
  <c r="P30" i="154"/>
  <c r="T30" i="154"/>
  <c r="X30" i="154"/>
  <c r="AB30" i="154"/>
  <c r="AF30" i="154"/>
  <c r="E47" i="154"/>
  <c r="I47" i="154"/>
  <c r="E30" i="154"/>
  <c r="I30" i="154"/>
  <c r="M30" i="154"/>
  <c r="Q30" i="154"/>
  <c r="U30" i="154"/>
  <c r="Y30" i="154"/>
  <c r="AC30" i="154"/>
  <c r="AG30" i="154"/>
  <c r="F30" i="154"/>
  <c r="J30" i="154"/>
  <c r="N30" i="154"/>
  <c r="R30" i="154"/>
  <c r="V30" i="154"/>
  <c r="Z30" i="154"/>
  <c r="F46" i="154" l="1"/>
  <c r="I46" i="154"/>
  <c r="E46" i="154"/>
  <c r="H46" i="154"/>
  <c r="D46" i="154"/>
  <c r="G46" i="154"/>
  <c r="H48" i="154"/>
  <c r="D48" i="154"/>
  <c r="G48" i="154"/>
  <c r="F48" i="154"/>
  <c r="I48" i="154"/>
  <c r="E48" i="154"/>
  <c r="I49" i="154"/>
  <c r="E49" i="154"/>
  <c r="H49" i="154"/>
  <c r="D49" i="154"/>
  <c r="G49" i="154"/>
  <c r="F49" i="154"/>
  <c r="G51" i="154"/>
  <c r="F51" i="154"/>
  <c r="I51" i="154"/>
  <c r="E51" i="154"/>
  <c r="D51" i="154"/>
  <c r="H51" i="154"/>
  <c r="AG29" i="154"/>
  <c r="AC29" i="154"/>
  <c r="Y29" i="154"/>
  <c r="U29" i="154"/>
  <c r="Q29" i="154"/>
  <c r="M29" i="154"/>
  <c r="I29" i="154"/>
  <c r="E29" i="154"/>
  <c r="AG26" i="154"/>
  <c r="AC26" i="154"/>
  <c r="AC31" i="154" s="1"/>
  <c r="I3" i="154" s="1"/>
  <c r="Y26" i="154"/>
  <c r="U26" i="154"/>
  <c r="U31" i="154" s="1"/>
  <c r="G5" i="154" s="1"/>
  <c r="Q26" i="154"/>
  <c r="AF29" i="154"/>
  <c r="AB29" i="154"/>
  <c r="X29" i="154"/>
  <c r="T29" i="154"/>
  <c r="P29" i="154"/>
  <c r="L29" i="154"/>
  <c r="H29" i="154"/>
  <c r="D29" i="154"/>
  <c r="AE29" i="154"/>
  <c r="AA29" i="154"/>
  <c r="W29" i="154"/>
  <c r="S29" i="154"/>
  <c r="O29" i="154"/>
  <c r="K29" i="154"/>
  <c r="G29" i="154"/>
  <c r="AE26" i="154"/>
  <c r="AA26" i="154"/>
  <c r="W26" i="154"/>
  <c r="S26" i="154"/>
  <c r="O26" i="154"/>
  <c r="O31" i="154" s="1"/>
  <c r="F4" i="154" s="1"/>
  <c r="V29" i="154"/>
  <c r="F29" i="154"/>
  <c r="AD26" i="154"/>
  <c r="AD31" i="154" s="1"/>
  <c r="I4" i="154" s="1"/>
  <c r="V26" i="154"/>
  <c r="N26" i="154"/>
  <c r="J26" i="154"/>
  <c r="F26" i="154"/>
  <c r="AD29" i="154"/>
  <c r="Z26" i="154"/>
  <c r="L26" i="154"/>
  <c r="L31" i="154" s="1"/>
  <c r="E6" i="154" s="1"/>
  <c r="D26" i="154"/>
  <c r="J29" i="154"/>
  <c r="AF26" i="154"/>
  <c r="AF31" i="154" s="1"/>
  <c r="I6" i="154" s="1"/>
  <c r="P26" i="154"/>
  <c r="K26" i="154"/>
  <c r="K31" i="154" s="1"/>
  <c r="E5" i="154" s="1"/>
  <c r="R29" i="154"/>
  <c r="AB26" i="154"/>
  <c r="T26" i="154"/>
  <c r="M26" i="154"/>
  <c r="I26" i="154"/>
  <c r="E26" i="154"/>
  <c r="N29" i="154"/>
  <c r="R26" i="154"/>
  <c r="H26" i="154"/>
  <c r="Z29" i="154"/>
  <c r="X26" i="154"/>
  <c r="G26" i="154"/>
  <c r="G31" i="154" s="1"/>
  <c r="D6" i="154" s="1"/>
  <c r="H52" i="154"/>
  <c r="D52" i="154"/>
  <c r="G52" i="154"/>
  <c r="F52" i="154"/>
  <c r="E52" i="154"/>
  <c r="I52" i="154"/>
  <c r="I43" i="154"/>
  <c r="E43" i="154"/>
  <c r="H43" i="154"/>
  <c r="D43" i="154"/>
  <c r="G43" i="154"/>
  <c r="F43" i="154"/>
  <c r="F54" i="154" s="1"/>
  <c r="F10" i="154" s="1"/>
  <c r="F153" i="164"/>
  <c r="F150" i="164"/>
  <c r="F143" i="164"/>
  <c r="F142" i="164"/>
  <c r="F120" i="164"/>
  <c r="F126" i="164" s="1"/>
  <c r="F106" i="164"/>
  <c r="F105" i="164"/>
  <c r="F98" i="164"/>
  <c r="F17" i="164"/>
  <c r="F16" i="164"/>
  <c r="I15" i="164"/>
  <c r="I16" i="164" s="1"/>
  <c r="F15" i="164"/>
  <c r="F9" i="164"/>
  <c r="F8" i="164"/>
  <c r="F5" i="164"/>
  <c r="F4" i="164"/>
  <c r="F152" i="163"/>
  <c r="F149" i="163"/>
  <c r="F142" i="163"/>
  <c r="F141" i="163"/>
  <c r="F119" i="163"/>
  <c r="F125" i="163" s="1"/>
  <c r="F105" i="163"/>
  <c r="F104" i="163"/>
  <c r="F97" i="163"/>
  <c r="F17" i="163"/>
  <c r="F16" i="163"/>
  <c r="I15" i="163"/>
  <c r="F15" i="163"/>
  <c r="F9" i="163"/>
  <c r="F8" i="163"/>
  <c r="F5" i="163"/>
  <c r="F4" i="163"/>
  <c r="I31" i="154" l="1"/>
  <c r="E3" i="154" s="1"/>
  <c r="AB31" i="154"/>
  <c r="H7" i="154" s="1"/>
  <c r="Y31" i="154"/>
  <c r="H4" i="154" s="1"/>
  <c r="AE31" i="154"/>
  <c r="I5" i="154" s="1"/>
  <c r="AG31" i="154"/>
  <c r="I7" i="154" s="1"/>
  <c r="R31" i="154"/>
  <c r="F7" i="154" s="1"/>
  <c r="F17" i="154" s="1"/>
  <c r="D31" i="154"/>
  <c r="D3" i="154" s="1"/>
  <c r="P31" i="154"/>
  <c r="F5" i="154" s="1"/>
  <c r="M31" i="154"/>
  <c r="E7" i="154" s="1"/>
  <c r="F31" i="154"/>
  <c r="D5" i="154" s="1"/>
  <c r="T31" i="154"/>
  <c r="G4" i="154" s="1"/>
  <c r="E54" i="154"/>
  <c r="E10" i="154" s="1"/>
  <c r="E13" i="154" s="1"/>
  <c r="S31" i="154"/>
  <c r="G3" i="154" s="1"/>
  <c r="V31" i="154"/>
  <c r="G6" i="154" s="1"/>
  <c r="Q31" i="154"/>
  <c r="F6" i="154" s="1"/>
  <c r="F16" i="154" s="1"/>
  <c r="L82" i="154" s="1"/>
  <c r="K15" i="164"/>
  <c r="G54" i="154"/>
  <c r="G10" i="154" s="1"/>
  <c r="I54" i="154"/>
  <c r="I10" i="154" s="1"/>
  <c r="I16" i="154" s="1"/>
  <c r="X31" i="154"/>
  <c r="H3" i="154" s="1"/>
  <c r="F15" i="154"/>
  <c r="L81" i="154" s="1"/>
  <c r="J31" i="154"/>
  <c r="E4" i="154" s="1"/>
  <c r="W31" i="154"/>
  <c r="G7" i="154" s="1"/>
  <c r="D54" i="154"/>
  <c r="D10" i="154" s="1"/>
  <c r="D16" i="154" s="1"/>
  <c r="T82" i="154" s="1"/>
  <c r="E31" i="154"/>
  <c r="D4" i="154" s="1"/>
  <c r="Z31" i="154"/>
  <c r="H5" i="154" s="1"/>
  <c r="N31" i="154"/>
  <c r="F3" i="154" s="1"/>
  <c r="F13" i="154" s="1"/>
  <c r="L79" i="154" s="1"/>
  <c r="AA31" i="154"/>
  <c r="H6" i="154" s="1"/>
  <c r="I13" i="154"/>
  <c r="H54" i="154"/>
  <c r="H10" i="154" s="1"/>
  <c r="H31" i="154"/>
  <c r="D7" i="154" s="1"/>
  <c r="F14" i="154"/>
  <c r="L80" i="154" s="1"/>
  <c r="F124" i="164"/>
  <c r="F130" i="164"/>
  <c r="AH15" i="164"/>
  <c r="M15" i="164"/>
  <c r="AB15" i="164"/>
  <c r="I17" i="164"/>
  <c r="K16" i="164"/>
  <c r="F125" i="164"/>
  <c r="F123" i="163"/>
  <c r="F129" i="163"/>
  <c r="I16" i="163"/>
  <c r="K15" i="163"/>
  <c r="M15" i="163"/>
  <c r="F124" i="163"/>
  <c r="E14" i="154" l="1"/>
  <c r="I15" i="154"/>
  <c r="E17" i="154"/>
  <c r="H14" i="154"/>
  <c r="V80" i="154" s="1"/>
  <c r="G13" i="154"/>
  <c r="U79" i="154" s="1"/>
  <c r="I17" i="154"/>
  <c r="W83" i="154" s="1"/>
  <c r="I14" i="154"/>
  <c r="D14" i="154"/>
  <c r="T80" i="154" s="1"/>
  <c r="E15" i="154"/>
  <c r="G16" i="154"/>
  <c r="M82" i="154" s="1"/>
  <c r="G14" i="154"/>
  <c r="U80" i="154" s="1"/>
  <c r="AT15" i="164"/>
  <c r="E16" i="154"/>
  <c r="G15" i="154"/>
  <c r="U81" i="154" s="1"/>
  <c r="M16" i="164"/>
  <c r="D17" i="154"/>
  <c r="T83" i="154" s="1"/>
  <c r="G17" i="154"/>
  <c r="U83" i="154" s="1"/>
  <c r="AY15" i="164"/>
  <c r="BJ15" i="164"/>
  <c r="AE15" i="164"/>
  <c r="AF15" i="164" s="1"/>
  <c r="AC15" i="164"/>
  <c r="N80" i="154"/>
  <c r="H15" i="154"/>
  <c r="D13" i="154"/>
  <c r="T79" i="154" s="1"/>
  <c r="H13" i="154"/>
  <c r="L90" i="154"/>
  <c r="U82" i="154"/>
  <c r="D15" i="154"/>
  <c r="T81" i="154" s="1"/>
  <c r="W79" i="154"/>
  <c r="O79" i="154"/>
  <c r="W82" i="154"/>
  <c r="O82" i="154"/>
  <c r="L83" i="154"/>
  <c r="H90" i="154"/>
  <c r="W81" i="154"/>
  <c r="O81" i="154"/>
  <c r="W80" i="154"/>
  <c r="O80" i="154"/>
  <c r="D90" i="154"/>
  <c r="H16" i="154"/>
  <c r="H17" i="154"/>
  <c r="AT16" i="164"/>
  <c r="AH16" i="164"/>
  <c r="AB16" i="164"/>
  <c r="AC16" i="164" s="1"/>
  <c r="AE16" i="164"/>
  <c r="AF16" i="164" s="1"/>
  <c r="AY16" i="164"/>
  <c r="I18" i="164"/>
  <c r="K17" i="164"/>
  <c r="AI15" i="164"/>
  <c r="BJ16" i="164"/>
  <c r="AT15" i="163"/>
  <c r="AH15" i="163"/>
  <c r="AI15" i="163" s="1"/>
  <c r="AB15" i="163"/>
  <c r="AC15" i="163" s="1"/>
  <c r="AE15" i="163"/>
  <c r="AF15" i="163" s="1"/>
  <c r="AY15" i="163"/>
  <c r="BJ15" i="163"/>
  <c r="I17" i="163"/>
  <c r="K16" i="163"/>
  <c r="O83" i="154" l="1"/>
  <c r="M79" i="154"/>
  <c r="M81" i="154"/>
  <c r="M80" i="154"/>
  <c r="AI16" i="164"/>
  <c r="L91" i="154"/>
  <c r="H91" i="154"/>
  <c r="M83" i="154"/>
  <c r="H102" i="154"/>
  <c r="F49" i="155"/>
  <c r="L102" i="154"/>
  <c r="F49" i="156"/>
  <c r="D102" i="154"/>
  <c r="F49" i="153"/>
  <c r="V81" i="154"/>
  <c r="N81" i="154"/>
  <c r="V82" i="154"/>
  <c r="N82" i="154"/>
  <c r="V83" i="154"/>
  <c r="N83" i="154"/>
  <c r="V79" i="154"/>
  <c r="N79" i="154"/>
  <c r="AY17" i="164"/>
  <c r="AT17" i="164"/>
  <c r="AH17" i="164"/>
  <c r="AE17" i="164"/>
  <c r="AB17" i="164"/>
  <c r="BJ17" i="164"/>
  <c r="M17" i="164"/>
  <c r="I19" i="164"/>
  <c r="K18" i="164"/>
  <c r="K17" i="163"/>
  <c r="I18" i="163"/>
  <c r="AY16" i="163"/>
  <c r="AE16" i="163"/>
  <c r="AH16" i="163"/>
  <c r="AT16" i="163"/>
  <c r="AB16" i="163"/>
  <c r="BJ16" i="163"/>
  <c r="M16" i="163"/>
  <c r="AC17" i="164" l="1"/>
  <c r="AF17" i="164"/>
  <c r="AI17" i="164"/>
  <c r="I20" i="164"/>
  <c r="K19" i="164"/>
  <c r="AY18" i="164"/>
  <c r="AT18" i="164"/>
  <c r="AH18" i="164"/>
  <c r="AE18" i="164"/>
  <c r="AB18" i="164"/>
  <c r="BJ18" i="164"/>
  <c r="M18" i="164"/>
  <c r="AE17" i="163"/>
  <c r="AB17" i="163"/>
  <c r="AT17" i="163"/>
  <c r="AH17" i="163"/>
  <c r="M17" i="163"/>
  <c r="AY17" i="163"/>
  <c r="BJ17" i="163"/>
  <c r="AC16" i="163"/>
  <c r="AI16" i="163"/>
  <c r="AF16" i="163"/>
  <c r="K18" i="163"/>
  <c r="I19" i="163"/>
  <c r="AC18" i="164" l="1"/>
  <c r="AF18" i="164"/>
  <c r="AI18" i="164"/>
  <c r="AY19" i="164"/>
  <c r="AT19" i="164"/>
  <c r="AH19" i="164"/>
  <c r="AE19" i="164"/>
  <c r="AB19" i="164"/>
  <c r="BJ19" i="164"/>
  <c r="M19" i="164"/>
  <c r="I21" i="164"/>
  <c r="K20" i="164"/>
  <c r="AI17" i="163"/>
  <c r="K19" i="163"/>
  <c r="I20" i="163"/>
  <c r="AC17" i="163"/>
  <c r="AE18" i="163"/>
  <c r="AB18" i="163"/>
  <c r="AT18" i="163"/>
  <c r="AH18" i="163"/>
  <c r="AY18" i="163"/>
  <c r="M18" i="163"/>
  <c r="BJ18" i="163"/>
  <c r="AF17" i="163"/>
  <c r="AC18" i="163" l="1"/>
  <c r="AI19" i="164"/>
  <c r="AF19" i="164"/>
  <c r="AC19" i="164"/>
  <c r="AY20" i="164"/>
  <c r="AT20" i="164"/>
  <c r="AH20" i="164"/>
  <c r="AE20" i="164"/>
  <c r="AB20" i="164"/>
  <c r="BJ20" i="164"/>
  <c r="M20" i="164"/>
  <c r="K21" i="164"/>
  <c r="I22" i="164"/>
  <c r="AF18" i="163"/>
  <c r="AI18" i="163"/>
  <c r="I21" i="163"/>
  <c r="K20" i="163"/>
  <c r="AE19" i="163"/>
  <c r="AB19" i="163"/>
  <c r="AT19" i="163"/>
  <c r="AH19" i="163"/>
  <c r="M19" i="163"/>
  <c r="AY19" i="163"/>
  <c r="BJ19" i="163"/>
  <c r="AC20" i="164" l="1"/>
  <c r="AI20" i="164"/>
  <c r="AF20" i="164"/>
  <c r="AE21" i="164"/>
  <c r="AT21" i="164"/>
  <c r="AH21" i="164"/>
  <c r="AB21" i="164"/>
  <c r="AY21" i="164"/>
  <c r="M21" i="164"/>
  <c r="BJ21" i="164"/>
  <c r="K22" i="164"/>
  <c r="I23" i="164"/>
  <c r="AE20" i="163"/>
  <c r="AB20" i="163"/>
  <c r="AT20" i="163"/>
  <c r="AH20" i="163"/>
  <c r="AY20" i="163"/>
  <c r="M20" i="163"/>
  <c r="BJ20" i="163"/>
  <c r="AF19" i="163"/>
  <c r="I22" i="163"/>
  <c r="K21" i="163"/>
  <c r="AI19" i="163"/>
  <c r="AC19" i="163"/>
  <c r="AI20" i="163" l="1"/>
  <c r="AI21" i="164"/>
  <c r="K23" i="164"/>
  <c r="I24" i="164"/>
  <c r="AE22" i="164"/>
  <c r="AT22" i="164"/>
  <c r="AH22" i="164"/>
  <c r="AB22" i="164"/>
  <c r="AY22" i="164"/>
  <c r="BJ22" i="164"/>
  <c r="M22" i="164"/>
  <c r="AC21" i="164"/>
  <c r="AF21" i="164"/>
  <c r="AC20" i="163"/>
  <c r="I23" i="163"/>
  <c r="K22" i="163"/>
  <c r="AY21" i="163"/>
  <c r="AT21" i="163"/>
  <c r="AH21" i="163"/>
  <c r="AB21" i="163"/>
  <c r="AE21" i="163"/>
  <c r="BJ21" i="163"/>
  <c r="M21" i="163"/>
  <c r="AF20" i="163"/>
  <c r="AI21" i="163" l="1"/>
  <c r="AC21" i="163"/>
  <c r="AI22" i="164"/>
  <c r="K24" i="164"/>
  <c r="I25" i="164"/>
  <c r="AF22" i="164"/>
  <c r="AE23" i="164"/>
  <c r="AT23" i="164"/>
  <c r="AH23" i="164"/>
  <c r="AB23" i="164"/>
  <c r="AY23" i="164"/>
  <c r="M23" i="164"/>
  <c r="BJ23" i="164"/>
  <c r="AC22" i="164"/>
  <c r="AY22" i="163"/>
  <c r="AT22" i="163"/>
  <c r="AH22" i="163"/>
  <c r="AB22" i="163"/>
  <c r="AE22" i="163"/>
  <c r="BJ22" i="163"/>
  <c r="M22" i="163"/>
  <c r="I24" i="163"/>
  <c r="K23" i="163"/>
  <c r="AF21" i="163"/>
  <c r="AC23" i="164" l="1"/>
  <c r="AF23" i="164"/>
  <c r="K25" i="164"/>
  <c r="I26" i="164"/>
  <c r="AY24" i="164"/>
  <c r="AE24" i="164"/>
  <c r="AT24" i="164"/>
  <c r="AH24" i="164"/>
  <c r="AB24" i="164"/>
  <c r="BJ24" i="164"/>
  <c r="M24" i="164"/>
  <c r="AI23" i="164"/>
  <c r="AT23" i="163"/>
  <c r="AH23" i="163"/>
  <c r="AB23" i="163"/>
  <c r="AY23" i="163"/>
  <c r="AE23" i="163"/>
  <c r="BJ23" i="163"/>
  <c r="M23" i="163"/>
  <c r="AI22" i="163"/>
  <c r="I25" i="163"/>
  <c r="K24" i="163"/>
  <c r="AF22" i="163"/>
  <c r="AC22" i="163"/>
  <c r="AF23" i="163" l="1"/>
  <c r="AY25" i="164"/>
  <c r="AE25" i="164"/>
  <c r="BN25" i="164"/>
  <c r="BO25" i="164" s="1"/>
  <c r="AT25" i="164"/>
  <c r="AH25" i="164"/>
  <c r="AB25" i="164"/>
  <c r="M25" i="164"/>
  <c r="BJ25" i="164"/>
  <c r="BL25" i="164" s="1"/>
  <c r="AC24" i="164"/>
  <c r="AI24" i="164"/>
  <c r="I27" i="164"/>
  <c r="K26" i="164"/>
  <c r="AF24" i="164"/>
  <c r="AC23" i="163"/>
  <c r="AI23" i="163"/>
  <c r="I26" i="163"/>
  <c r="K25" i="163"/>
  <c r="AT24" i="163"/>
  <c r="AH24" i="163"/>
  <c r="AB24" i="163"/>
  <c r="AY24" i="163"/>
  <c r="AE24" i="163"/>
  <c r="M24" i="163"/>
  <c r="BJ24" i="163"/>
  <c r="AF24" i="163" l="1"/>
  <c r="AF25" i="164"/>
  <c r="BK26" i="164"/>
  <c r="AE26" i="164"/>
  <c r="BN26" i="164"/>
  <c r="BO26" i="164" s="1"/>
  <c r="AT26" i="164"/>
  <c r="AH26" i="164"/>
  <c r="AB26" i="164"/>
  <c r="AY26" i="164"/>
  <c r="M26" i="164"/>
  <c r="BJ26" i="164"/>
  <c r="BL26" i="164" s="1"/>
  <c r="AC25" i="164"/>
  <c r="K27" i="164"/>
  <c r="I28" i="164"/>
  <c r="AI25" i="164"/>
  <c r="AY25" i="163"/>
  <c r="AT25" i="163"/>
  <c r="AH25" i="163"/>
  <c r="AB25" i="163"/>
  <c r="AE25" i="163"/>
  <c r="BJ25" i="163"/>
  <c r="BL25" i="163" s="1"/>
  <c r="M25" i="163"/>
  <c r="K26" i="163"/>
  <c r="I27" i="163"/>
  <c r="AC24" i="163"/>
  <c r="AI24" i="163"/>
  <c r="AF25" i="163" l="1"/>
  <c r="I29" i="164"/>
  <c r="K28" i="164"/>
  <c r="AI26" i="164"/>
  <c r="AT27" i="164"/>
  <c r="AB27" i="164"/>
  <c r="AH27" i="164"/>
  <c r="AY27" i="164"/>
  <c r="BJ27" i="164"/>
  <c r="BL27" i="164" s="1"/>
  <c r="AE27" i="164"/>
  <c r="M27" i="164"/>
  <c r="BK27" i="164"/>
  <c r="BN27" i="164"/>
  <c r="BO27" i="164" s="1"/>
  <c r="AF26" i="164"/>
  <c r="AC26" i="164"/>
  <c r="AC25" i="163"/>
  <c r="K27" i="163"/>
  <c r="I28" i="163"/>
  <c r="AI25" i="163"/>
  <c r="AY26" i="163"/>
  <c r="AT26" i="163"/>
  <c r="AH26" i="163"/>
  <c r="AB26" i="163"/>
  <c r="AE26" i="163"/>
  <c r="M26" i="163"/>
  <c r="BJ26" i="163"/>
  <c r="BL26" i="163" s="1"/>
  <c r="AC26" i="163" l="1"/>
  <c r="AF26" i="163"/>
  <c r="AF27" i="164"/>
  <c r="AI27" i="164"/>
  <c r="AC27" i="164"/>
  <c r="AE28" i="164"/>
  <c r="AT28" i="164"/>
  <c r="AH28" i="164"/>
  <c r="AB28" i="164"/>
  <c r="AY28" i="164"/>
  <c r="BJ28" i="164"/>
  <c r="BL28" i="164" s="1"/>
  <c r="BK28" i="164"/>
  <c r="M28" i="164"/>
  <c r="BN28" i="164"/>
  <c r="BO28" i="164" s="1"/>
  <c r="I30" i="164"/>
  <c r="K29" i="164"/>
  <c r="BK26" i="163"/>
  <c r="AI26" i="163"/>
  <c r="K28" i="163"/>
  <c r="I29" i="163"/>
  <c r="AT27" i="163"/>
  <c r="AH27" i="163"/>
  <c r="AB27" i="163"/>
  <c r="AY27" i="163"/>
  <c r="AE27" i="163"/>
  <c r="M27" i="163"/>
  <c r="BJ27" i="163"/>
  <c r="BL27" i="163" s="1"/>
  <c r="K30" i="164" l="1"/>
  <c r="I31" i="164"/>
  <c r="AC28" i="164"/>
  <c r="AI28" i="164"/>
  <c r="BJ29" i="164"/>
  <c r="BL29" i="164" s="1"/>
  <c r="AE29" i="164"/>
  <c r="AT29" i="164"/>
  <c r="AH29" i="164"/>
  <c r="AB29" i="164"/>
  <c r="AY29" i="164"/>
  <c r="M29" i="164"/>
  <c r="BK29" i="164"/>
  <c r="BN29" i="164"/>
  <c r="BO29" i="164" s="1"/>
  <c r="AF28" i="164"/>
  <c r="AF27" i="163"/>
  <c r="AT28" i="163"/>
  <c r="AH28" i="163"/>
  <c r="AB28" i="163"/>
  <c r="AY28" i="163"/>
  <c r="AE28" i="163"/>
  <c r="BJ28" i="163"/>
  <c r="BL28" i="163" s="1"/>
  <c r="M28" i="163"/>
  <c r="AC27" i="163"/>
  <c r="K29" i="163"/>
  <c r="I30" i="163"/>
  <c r="AI27" i="163"/>
  <c r="AF28" i="163" l="1"/>
  <c r="AI29" i="164"/>
  <c r="BJ30" i="164"/>
  <c r="BL30" i="164" s="1"/>
  <c r="AE30" i="164"/>
  <c r="AH30" i="164"/>
  <c r="AT30" i="164"/>
  <c r="AB30" i="164"/>
  <c r="AY30" i="164"/>
  <c r="BK30" i="164"/>
  <c r="BN30" i="164"/>
  <c r="BO30" i="164" s="1"/>
  <c r="M30" i="164"/>
  <c r="AF29" i="164"/>
  <c r="AC29" i="164"/>
  <c r="K31" i="164"/>
  <c r="I32" i="164"/>
  <c r="AT29" i="163"/>
  <c r="AH29" i="163"/>
  <c r="AB29" i="163"/>
  <c r="AE29" i="163"/>
  <c r="AY29" i="163"/>
  <c r="BJ29" i="163"/>
  <c r="BL29" i="163" s="1"/>
  <c r="M29" i="163"/>
  <c r="AC28" i="163"/>
  <c r="BK27" i="163"/>
  <c r="K30" i="163"/>
  <c r="I31" i="163"/>
  <c r="AI28" i="163"/>
  <c r="AI30" i="164" l="1"/>
  <c r="AF30" i="164"/>
  <c r="K32" i="164"/>
  <c r="I33" i="164"/>
  <c r="AC30" i="164"/>
  <c r="BJ31" i="164"/>
  <c r="BL31" i="164" s="1"/>
  <c r="AE31" i="164"/>
  <c r="AT31" i="164"/>
  <c r="AH31" i="164"/>
  <c r="AB31" i="164"/>
  <c r="AY31" i="164"/>
  <c r="M31" i="164"/>
  <c r="BK31" i="164"/>
  <c r="BN31" i="164"/>
  <c r="BO31" i="164" s="1"/>
  <c r="AC29" i="163"/>
  <c r="K31" i="163"/>
  <c r="I32" i="163"/>
  <c r="AI29" i="163"/>
  <c r="AT30" i="163"/>
  <c r="AH30" i="163"/>
  <c r="AB30" i="163"/>
  <c r="AE30" i="163"/>
  <c r="AY30" i="163"/>
  <c r="M30" i="163"/>
  <c r="BJ30" i="163"/>
  <c r="BL30" i="163" s="1"/>
  <c r="BK28" i="163"/>
  <c r="AF29" i="163"/>
  <c r="AC30" i="163" l="1"/>
  <c r="AF31" i="164"/>
  <c r="K33" i="164"/>
  <c r="I34" i="164"/>
  <c r="AC31" i="164"/>
  <c r="BJ32" i="164"/>
  <c r="BL32" i="164" s="1"/>
  <c r="AE32" i="164"/>
  <c r="AT32" i="164"/>
  <c r="AH32" i="164"/>
  <c r="AB32" i="164"/>
  <c r="V32" i="164"/>
  <c r="AY32" i="164"/>
  <c r="BK32" i="164"/>
  <c r="BN32" i="164"/>
  <c r="BO32" i="164" s="1"/>
  <c r="M32" i="164"/>
  <c r="AI31" i="164"/>
  <c r="BK30" i="163"/>
  <c r="AF30" i="163"/>
  <c r="K32" i="163"/>
  <c r="I33" i="163"/>
  <c r="AT31" i="163"/>
  <c r="AH31" i="163"/>
  <c r="AB31" i="163"/>
  <c r="AY31" i="163"/>
  <c r="AE31" i="163"/>
  <c r="M31" i="163"/>
  <c r="BJ31" i="163"/>
  <c r="BL31" i="163" s="1"/>
  <c r="BK29" i="163"/>
  <c r="AI30" i="163"/>
  <c r="W32" i="164" l="1"/>
  <c r="AF32" i="164"/>
  <c r="K34" i="164"/>
  <c r="I35" i="164"/>
  <c r="AE33" i="164"/>
  <c r="AT33" i="164"/>
  <c r="AH33" i="164"/>
  <c r="AB33" i="164"/>
  <c r="V33" i="164"/>
  <c r="AY33" i="164"/>
  <c r="BJ33" i="164"/>
  <c r="BL33" i="164" s="1"/>
  <c r="M33" i="164"/>
  <c r="BK33" i="164"/>
  <c r="BN33" i="164"/>
  <c r="BO33" i="164" s="1"/>
  <c r="AC32" i="164"/>
  <c r="AI32" i="164"/>
  <c r="AF31" i="163"/>
  <c r="K33" i="163"/>
  <c r="I34" i="163"/>
  <c r="AC31" i="163"/>
  <c r="AT32" i="163"/>
  <c r="AH32" i="163"/>
  <c r="AB32" i="163"/>
  <c r="V32" i="163"/>
  <c r="AE32" i="163"/>
  <c r="AY32" i="163"/>
  <c r="M32" i="163"/>
  <c r="BJ32" i="163"/>
  <c r="AI31" i="163"/>
  <c r="W33" i="164" l="1"/>
  <c r="AC33" i="164"/>
  <c r="K35" i="164"/>
  <c r="I36" i="164"/>
  <c r="AI33" i="164"/>
  <c r="AE34" i="164"/>
  <c r="AT34" i="164"/>
  <c r="AH34" i="164"/>
  <c r="AB34" i="164"/>
  <c r="V34" i="164"/>
  <c r="AY34" i="164"/>
  <c r="BK34" i="164"/>
  <c r="M34" i="164"/>
  <c r="BJ34" i="164"/>
  <c r="BL34" i="164" s="1"/>
  <c r="BN34" i="164"/>
  <c r="BO34" i="164" s="1"/>
  <c r="AF33" i="164"/>
  <c r="AI32" i="163"/>
  <c r="AF32" i="163"/>
  <c r="W32" i="163"/>
  <c r="K34" i="163"/>
  <c r="I35" i="163"/>
  <c r="BK31" i="163"/>
  <c r="BL32" i="163"/>
  <c r="AC32" i="163"/>
  <c r="AT33" i="163"/>
  <c r="AH33" i="163"/>
  <c r="AB33" i="163"/>
  <c r="V33" i="163"/>
  <c r="AE33" i="163"/>
  <c r="AY33" i="163"/>
  <c r="BJ33" i="163"/>
  <c r="BL33" i="163" s="1"/>
  <c r="M33" i="163"/>
  <c r="AF33" i="163" l="1"/>
  <c r="W33" i="163"/>
  <c r="W34" i="164"/>
  <c r="AF34" i="164"/>
  <c r="AC34" i="164"/>
  <c r="K36" i="164"/>
  <c r="I37" i="164"/>
  <c r="AI34" i="164"/>
  <c r="AE35" i="164"/>
  <c r="AT35" i="164"/>
  <c r="AH35" i="164"/>
  <c r="AB35" i="164"/>
  <c r="V35" i="164"/>
  <c r="AY35" i="164"/>
  <c r="M35" i="164"/>
  <c r="BK35" i="164"/>
  <c r="BN35" i="164"/>
  <c r="BO35" i="164" s="1"/>
  <c r="BJ35" i="164"/>
  <c r="BL35" i="164" s="1"/>
  <c r="AC33" i="163"/>
  <c r="K35" i="163"/>
  <c r="I36" i="163"/>
  <c r="BK32" i="163"/>
  <c r="AI33" i="163"/>
  <c r="AT34" i="163"/>
  <c r="AH34" i="163"/>
  <c r="AB34" i="163"/>
  <c r="V34" i="163"/>
  <c r="AY34" i="163"/>
  <c r="AE34" i="163"/>
  <c r="BJ34" i="163"/>
  <c r="BL34" i="163" s="1"/>
  <c r="M34" i="163"/>
  <c r="AC35" i="164" l="1"/>
  <c r="K37" i="164"/>
  <c r="I38" i="164"/>
  <c r="AI35" i="164"/>
  <c r="AE36" i="164"/>
  <c r="AT36" i="164"/>
  <c r="AH36" i="164"/>
  <c r="AB36" i="164"/>
  <c r="V36" i="164"/>
  <c r="AY36" i="164"/>
  <c r="BJ36" i="164"/>
  <c r="BL36" i="164" s="1"/>
  <c r="BN36" i="164"/>
  <c r="BO36" i="164" s="1"/>
  <c r="BK36" i="164"/>
  <c r="M36" i="164"/>
  <c r="AF35" i="164"/>
  <c r="W35" i="164"/>
  <c r="AF34" i="163"/>
  <c r="K36" i="163"/>
  <c r="I37" i="163"/>
  <c r="BK33" i="163"/>
  <c r="AI34" i="163"/>
  <c r="W34" i="163"/>
  <c r="AC34" i="163"/>
  <c r="AT35" i="163"/>
  <c r="AH35" i="163"/>
  <c r="AB35" i="163"/>
  <c r="V35" i="163"/>
  <c r="AE35" i="163"/>
  <c r="AY35" i="163"/>
  <c r="BJ35" i="163"/>
  <c r="BL35" i="163" s="1"/>
  <c r="M35" i="163"/>
  <c r="BK35" i="163"/>
  <c r="BN35" i="163"/>
  <c r="BO35" i="163" s="1"/>
  <c r="AF35" i="163" l="1"/>
  <c r="W35" i="163"/>
  <c r="W36" i="164"/>
  <c r="AI35" i="163"/>
  <c r="AI36" i="164"/>
  <c r="K38" i="164"/>
  <c r="I39" i="164"/>
  <c r="AF36" i="164"/>
  <c r="AE37" i="164"/>
  <c r="AT37" i="164"/>
  <c r="AH37" i="164"/>
  <c r="AB37" i="164"/>
  <c r="V37" i="164"/>
  <c r="AY37" i="164"/>
  <c r="BJ37" i="164"/>
  <c r="BL37" i="164" s="1"/>
  <c r="M37" i="164"/>
  <c r="BK37" i="164"/>
  <c r="BN37" i="164"/>
  <c r="BO37" i="164" s="1"/>
  <c r="AC36" i="164"/>
  <c r="K37" i="163"/>
  <c r="I38" i="163"/>
  <c r="AT36" i="163"/>
  <c r="AH36" i="163"/>
  <c r="AB36" i="163"/>
  <c r="V36" i="163"/>
  <c r="AY36" i="163"/>
  <c r="AE36" i="163"/>
  <c r="BN36" i="163"/>
  <c r="BO36" i="163" s="1"/>
  <c r="BJ36" i="163"/>
  <c r="BL36" i="163" s="1"/>
  <c r="BK36" i="163"/>
  <c r="M36" i="163"/>
  <c r="BK34" i="163"/>
  <c r="AC35" i="163"/>
  <c r="W37" i="164" l="1"/>
  <c r="AF36" i="163"/>
  <c r="W36" i="163"/>
  <c r="AI36" i="163"/>
  <c r="AF37" i="164"/>
  <c r="AC37" i="164"/>
  <c r="I40" i="164"/>
  <c r="K39" i="164"/>
  <c r="AI37" i="164"/>
  <c r="AE38" i="164"/>
  <c r="AT38" i="164"/>
  <c r="AH38" i="164"/>
  <c r="AB38" i="164"/>
  <c r="V38" i="164"/>
  <c r="AY38" i="164"/>
  <c r="BK38" i="164"/>
  <c r="M38" i="164"/>
  <c r="BN38" i="164"/>
  <c r="BO38" i="164" s="1"/>
  <c r="BJ38" i="164"/>
  <c r="BL38" i="164" s="1"/>
  <c r="K38" i="163"/>
  <c r="I39" i="163"/>
  <c r="AT37" i="163"/>
  <c r="AH37" i="163"/>
  <c r="AB37" i="163"/>
  <c r="V37" i="163"/>
  <c r="AY37" i="163"/>
  <c r="AE37" i="163"/>
  <c r="BN37" i="163"/>
  <c r="BO37" i="163" s="1"/>
  <c r="BJ37" i="163"/>
  <c r="BL37" i="163" s="1"/>
  <c r="M37" i="163"/>
  <c r="BK37" i="163"/>
  <c r="AC36" i="163"/>
  <c r="W38" i="164" l="1"/>
  <c r="AC38" i="164"/>
  <c r="AY39" i="164"/>
  <c r="AE39" i="164"/>
  <c r="AB39" i="164"/>
  <c r="AT39" i="164"/>
  <c r="AH39" i="164"/>
  <c r="V39" i="164"/>
  <c r="M39" i="164"/>
  <c r="BK39" i="164"/>
  <c r="BJ39" i="164"/>
  <c r="BL39" i="164" s="1"/>
  <c r="BN39" i="164"/>
  <c r="BO39" i="164" s="1"/>
  <c r="AI38" i="164"/>
  <c r="I41" i="164"/>
  <c r="K40" i="164"/>
  <c r="BQ40" i="164" s="1"/>
  <c r="AF38" i="164"/>
  <c r="AT38" i="163"/>
  <c r="AH38" i="163"/>
  <c r="AB38" i="163"/>
  <c r="V38" i="163"/>
  <c r="AY38" i="163"/>
  <c r="AE38" i="163"/>
  <c r="BJ38" i="163"/>
  <c r="BL38" i="163" s="1"/>
  <c r="BK38" i="163"/>
  <c r="BN38" i="163"/>
  <c r="BO38" i="163" s="1"/>
  <c r="M38" i="163"/>
  <c r="AI37" i="163"/>
  <c r="K39" i="163"/>
  <c r="I40" i="163"/>
  <c r="AF37" i="163"/>
  <c r="W37" i="163"/>
  <c r="AC37" i="163"/>
  <c r="AI39" i="164" l="1"/>
  <c r="W38" i="163"/>
  <c r="W39" i="164"/>
  <c r="I42" i="164"/>
  <c r="K41" i="164"/>
  <c r="BQ41" i="164" s="1"/>
  <c r="AC39" i="164"/>
  <c r="AF39" i="164"/>
  <c r="BR40" i="164"/>
  <c r="AY40" i="164"/>
  <c r="AV40" i="164"/>
  <c r="AW40" i="164" s="1"/>
  <c r="P40" i="164"/>
  <c r="BD40" i="164"/>
  <c r="BE40" i="164" s="1"/>
  <c r="AQ40" i="164"/>
  <c r="AR40" i="164" s="1"/>
  <c r="AE40" i="164"/>
  <c r="AF40" i="164" s="1"/>
  <c r="R40" i="164"/>
  <c r="T40" i="164" s="1"/>
  <c r="BA40" i="164"/>
  <c r="BB40" i="164" s="1"/>
  <c r="AN40" i="164"/>
  <c r="AO40" i="164" s="1"/>
  <c r="O40" i="164"/>
  <c r="AK40" i="164"/>
  <c r="AL40" i="164" s="1"/>
  <c r="Y40" i="164"/>
  <c r="Z40" i="164" s="1"/>
  <c r="BG40" i="164"/>
  <c r="BH40" i="164" s="1"/>
  <c r="AT40" i="164"/>
  <c r="AH40" i="164"/>
  <c r="AI40" i="164" s="1"/>
  <c r="V40" i="164"/>
  <c r="W40" i="164" s="1"/>
  <c r="M40" i="164"/>
  <c r="BN40" i="164"/>
  <c r="BO40" i="164" s="1"/>
  <c r="BJ40" i="164"/>
  <c r="BL40" i="164" s="1"/>
  <c r="BK40" i="164"/>
  <c r="AC38" i="163"/>
  <c r="K40" i="163"/>
  <c r="I41" i="163"/>
  <c r="AT39" i="163"/>
  <c r="AH39" i="163"/>
  <c r="AB39" i="163"/>
  <c r="V39" i="163"/>
  <c r="AY39" i="163"/>
  <c r="AE39" i="163"/>
  <c r="BN39" i="163"/>
  <c r="BO39" i="163" s="1"/>
  <c r="BJ39" i="163"/>
  <c r="BL39" i="163" s="1"/>
  <c r="BK39" i="163"/>
  <c r="M39" i="163"/>
  <c r="AF38" i="163"/>
  <c r="AI38" i="163"/>
  <c r="W39" i="163" l="1"/>
  <c r="BR41" i="164"/>
  <c r="AY41" i="164"/>
  <c r="AV41" i="164"/>
  <c r="AW41" i="164" s="1"/>
  <c r="P41" i="164"/>
  <c r="BD41" i="164"/>
  <c r="BE41" i="164" s="1"/>
  <c r="AQ41" i="164"/>
  <c r="AR41" i="164" s="1"/>
  <c r="AE41" i="164"/>
  <c r="AF41" i="164" s="1"/>
  <c r="R41" i="164"/>
  <c r="T41" i="164" s="1"/>
  <c r="BA41" i="164"/>
  <c r="BB41" i="164" s="1"/>
  <c r="AN41" i="164"/>
  <c r="AO41" i="164" s="1"/>
  <c r="AB41" i="164"/>
  <c r="AC41" i="164" s="1"/>
  <c r="O41" i="164"/>
  <c r="AK41" i="164"/>
  <c r="AL41" i="164" s="1"/>
  <c r="Y41" i="164"/>
  <c r="Z41" i="164" s="1"/>
  <c r="BG41" i="164"/>
  <c r="BH41" i="164" s="1"/>
  <c r="AT41" i="164"/>
  <c r="AH41" i="164"/>
  <c r="AI41" i="164" s="1"/>
  <c r="V41" i="164"/>
  <c r="W41" i="164" s="1"/>
  <c r="BK41" i="164"/>
  <c r="M41" i="164"/>
  <c r="BJ41" i="164"/>
  <c r="BL41" i="164" s="1"/>
  <c r="BN41" i="164"/>
  <c r="BO41" i="164" s="1"/>
  <c r="I43" i="164"/>
  <c r="K42" i="164"/>
  <c r="BQ42" i="164" s="1"/>
  <c r="AF39" i="163"/>
  <c r="AC39" i="163"/>
  <c r="K41" i="163"/>
  <c r="I42" i="163"/>
  <c r="BG40" i="163"/>
  <c r="BH40" i="163" s="1"/>
  <c r="BA40" i="163"/>
  <c r="BB40" i="163" s="1"/>
  <c r="AT40" i="163"/>
  <c r="AN40" i="163"/>
  <c r="AO40" i="163" s="1"/>
  <c r="AH40" i="163"/>
  <c r="AI40" i="163" s="1"/>
  <c r="V40" i="163"/>
  <c r="W40" i="163" s="1"/>
  <c r="O40" i="163"/>
  <c r="BQ40" i="163"/>
  <c r="BR40" i="163" s="1"/>
  <c r="AY40" i="163"/>
  <c r="AK40" i="163"/>
  <c r="AL40" i="163" s="1"/>
  <c r="Y40" i="163"/>
  <c r="Z40" i="163" s="1"/>
  <c r="AQ40" i="163"/>
  <c r="AR40" i="163" s="1"/>
  <c r="R40" i="163"/>
  <c r="T40" i="163" s="1"/>
  <c r="AV40" i="163"/>
  <c r="AW40" i="163" s="1"/>
  <c r="BD40" i="163"/>
  <c r="BE40" i="163" s="1"/>
  <c r="AE40" i="163"/>
  <c r="AF40" i="163" s="1"/>
  <c r="P40" i="163"/>
  <c r="BK40" i="163"/>
  <c r="M40" i="163"/>
  <c r="BN40" i="163"/>
  <c r="BO40" i="163" s="1"/>
  <c r="BJ40" i="163"/>
  <c r="BL40" i="163" s="1"/>
  <c r="AI39" i="163"/>
  <c r="I44" i="164" l="1"/>
  <c r="K43" i="164"/>
  <c r="BQ43" i="164" s="1"/>
  <c r="BR42" i="164"/>
  <c r="AY42" i="164"/>
  <c r="AV42" i="164"/>
  <c r="AW42" i="164" s="1"/>
  <c r="P42" i="164"/>
  <c r="BD42" i="164"/>
  <c r="BE42" i="164" s="1"/>
  <c r="AQ42" i="164"/>
  <c r="AR42" i="164" s="1"/>
  <c r="AE42" i="164"/>
  <c r="AF42" i="164" s="1"/>
  <c r="R42" i="164"/>
  <c r="T42" i="164" s="1"/>
  <c r="BA42" i="164"/>
  <c r="BB42" i="164" s="1"/>
  <c r="AN42" i="164"/>
  <c r="AO42" i="164" s="1"/>
  <c r="AB42" i="164"/>
  <c r="AC42" i="164" s="1"/>
  <c r="O42" i="164"/>
  <c r="AK42" i="164"/>
  <c r="AL42" i="164" s="1"/>
  <c r="Y42" i="164"/>
  <c r="Z42" i="164" s="1"/>
  <c r="BG42" i="164"/>
  <c r="BH42" i="164" s="1"/>
  <c r="AT42" i="164"/>
  <c r="AH42" i="164"/>
  <c r="AI42" i="164" s="1"/>
  <c r="V42" i="164"/>
  <c r="W42" i="164" s="1"/>
  <c r="BJ42" i="164"/>
  <c r="BL42" i="164" s="1"/>
  <c r="BK42" i="164"/>
  <c r="M42" i="164"/>
  <c r="BN42" i="164"/>
  <c r="BO42" i="164" s="1"/>
  <c r="BG41" i="163"/>
  <c r="BH41" i="163" s="1"/>
  <c r="BA41" i="163"/>
  <c r="BB41" i="163" s="1"/>
  <c r="AT41" i="163"/>
  <c r="AN41" i="163"/>
  <c r="AO41" i="163" s="1"/>
  <c r="AH41" i="163"/>
  <c r="AI41" i="163" s="1"/>
  <c r="AB41" i="163"/>
  <c r="AC41" i="163" s="1"/>
  <c r="V41" i="163"/>
  <c r="W41" i="163" s="1"/>
  <c r="O41" i="163"/>
  <c r="BQ41" i="163"/>
  <c r="BR41" i="163" s="1"/>
  <c r="AY41" i="163"/>
  <c r="AK41" i="163"/>
  <c r="AL41" i="163" s="1"/>
  <c r="Y41" i="163"/>
  <c r="Z41" i="163" s="1"/>
  <c r="BD41" i="163"/>
  <c r="BE41" i="163" s="1"/>
  <c r="AE41" i="163"/>
  <c r="AF41" i="163" s="1"/>
  <c r="AV41" i="163"/>
  <c r="AW41" i="163" s="1"/>
  <c r="AQ41" i="163"/>
  <c r="AR41" i="163" s="1"/>
  <c r="R41" i="163"/>
  <c r="T41" i="163" s="1"/>
  <c r="P41" i="163"/>
  <c r="BN41" i="163"/>
  <c r="BO41" i="163" s="1"/>
  <c r="M41" i="163"/>
  <c r="BK41" i="163"/>
  <c r="BJ41" i="163"/>
  <c r="BL41" i="163" s="1"/>
  <c r="K42" i="163"/>
  <c r="I43" i="163"/>
  <c r="BR43" i="164" l="1"/>
  <c r="AY43" i="164"/>
  <c r="AV43" i="164"/>
  <c r="AW43" i="164" s="1"/>
  <c r="P43" i="164"/>
  <c r="BD43" i="164"/>
  <c r="BE43" i="164" s="1"/>
  <c r="AQ43" i="164"/>
  <c r="AR43" i="164" s="1"/>
  <c r="AE43" i="164"/>
  <c r="AF43" i="164" s="1"/>
  <c r="R43" i="164"/>
  <c r="T43" i="164" s="1"/>
  <c r="BA43" i="164"/>
  <c r="BB43" i="164" s="1"/>
  <c r="AN43" i="164"/>
  <c r="AO43" i="164" s="1"/>
  <c r="AB43" i="164"/>
  <c r="AC43" i="164" s="1"/>
  <c r="O43" i="164"/>
  <c r="AK43" i="164"/>
  <c r="AL43" i="164" s="1"/>
  <c r="Y43" i="164"/>
  <c r="Z43" i="164" s="1"/>
  <c r="BG43" i="164"/>
  <c r="BH43" i="164" s="1"/>
  <c r="AT43" i="164"/>
  <c r="AH43" i="164"/>
  <c r="AI43" i="164" s="1"/>
  <c r="V43" i="164"/>
  <c r="W43" i="164" s="1"/>
  <c r="M43" i="164"/>
  <c r="BJ43" i="164"/>
  <c r="BL43" i="164" s="1"/>
  <c r="BN43" i="164"/>
  <c r="BO43" i="164" s="1"/>
  <c r="BK43" i="164"/>
  <c r="I45" i="164"/>
  <c r="K44" i="164"/>
  <c r="BQ44" i="164" s="1"/>
  <c r="BG42" i="163"/>
  <c r="BH42" i="163" s="1"/>
  <c r="BA42" i="163"/>
  <c r="BB42" i="163" s="1"/>
  <c r="AT42" i="163"/>
  <c r="AN42" i="163"/>
  <c r="AO42" i="163" s="1"/>
  <c r="AH42" i="163"/>
  <c r="AI42" i="163" s="1"/>
  <c r="AB42" i="163"/>
  <c r="AC42" i="163" s="1"/>
  <c r="V42" i="163"/>
  <c r="W42" i="163" s="1"/>
  <c r="O42" i="163"/>
  <c r="BQ42" i="163"/>
  <c r="BR42" i="163" s="1"/>
  <c r="AY42" i="163"/>
  <c r="AK42" i="163"/>
  <c r="AL42" i="163" s="1"/>
  <c r="Y42" i="163"/>
  <c r="Z42" i="163" s="1"/>
  <c r="AQ42" i="163"/>
  <c r="AR42" i="163" s="1"/>
  <c r="R42" i="163"/>
  <c r="T42" i="163" s="1"/>
  <c r="AV42" i="163"/>
  <c r="AW42" i="163" s="1"/>
  <c r="BD42" i="163"/>
  <c r="BE42" i="163" s="1"/>
  <c r="AE42" i="163"/>
  <c r="AF42" i="163" s="1"/>
  <c r="P42" i="163"/>
  <c r="BJ42" i="163"/>
  <c r="BL42" i="163" s="1"/>
  <c r="BN42" i="163"/>
  <c r="BO42" i="163" s="1"/>
  <c r="M42" i="163"/>
  <c r="BK42" i="163"/>
  <c r="K43" i="163"/>
  <c r="I44" i="163"/>
  <c r="BR44" i="164" l="1"/>
  <c r="AY44" i="164"/>
  <c r="AV44" i="164"/>
  <c r="AW44" i="164" s="1"/>
  <c r="P44" i="164"/>
  <c r="BD44" i="164"/>
  <c r="BE44" i="164" s="1"/>
  <c r="AQ44" i="164"/>
  <c r="AR44" i="164" s="1"/>
  <c r="AE44" i="164"/>
  <c r="AF44" i="164" s="1"/>
  <c r="R44" i="164"/>
  <c r="T44" i="164" s="1"/>
  <c r="BA44" i="164"/>
  <c r="BB44" i="164" s="1"/>
  <c r="AN44" i="164"/>
  <c r="AO44" i="164" s="1"/>
  <c r="AB44" i="164"/>
  <c r="AC44" i="164" s="1"/>
  <c r="O44" i="164"/>
  <c r="AK44" i="164"/>
  <c r="AL44" i="164" s="1"/>
  <c r="Y44" i="164"/>
  <c r="Z44" i="164" s="1"/>
  <c r="BG44" i="164"/>
  <c r="BH44" i="164" s="1"/>
  <c r="AT44" i="164"/>
  <c r="AH44" i="164"/>
  <c r="AI44" i="164" s="1"/>
  <c r="V44" i="164"/>
  <c r="W44" i="164" s="1"/>
  <c r="M44" i="164"/>
  <c r="BN44" i="164"/>
  <c r="BO44" i="164" s="1"/>
  <c r="BJ44" i="164"/>
  <c r="BL44" i="164" s="1"/>
  <c r="BK44" i="164"/>
  <c r="I46" i="164"/>
  <c r="K45" i="164"/>
  <c r="BQ45" i="164" s="1"/>
  <c r="K44" i="163"/>
  <c r="I45" i="163"/>
  <c r="BG43" i="163"/>
  <c r="BH43" i="163" s="1"/>
  <c r="BA43" i="163"/>
  <c r="BB43" i="163" s="1"/>
  <c r="AT43" i="163"/>
  <c r="AN43" i="163"/>
  <c r="AO43" i="163" s="1"/>
  <c r="AH43" i="163"/>
  <c r="AI43" i="163" s="1"/>
  <c r="AB43" i="163"/>
  <c r="AC43" i="163" s="1"/>
  <c r="V43" i="163"/>
  <c r="W43" i="163" s="1"/>
  <c r="O43" i="163"/>
  <c r="BQ43" i="163"/>
  <c r="BR43" i="163" s="1"/>
  <c r="AY43" i="163"/>
  <c r="AK43" i="163"/>
  <c r="AL43" i="163" s="1"/>
  <c r="Y43" i="163"/>
  <c r="Z43" i="163" s="1"/>
  <c r="AE43" i="163"/>
  <c r="AF43" i="163" s="1"/>
  <c r="P43" i="163"/>
  <c r="AV43" i="163"/>
  <c r="AW43" i="163" s="1"/>
  <c r="BD43" i="163"/>
  <c r="BE43" i="163" s="1"/>
  <c r="AQ43" i="163"/>
  <c r="AR43" i="163" s="1"/>
  <c r="R43" i="163"/>
  <c r="T43" i="163" s="1"/>
  <c r="M43" i="163"/>
  <c r="BN43" i="163"/>
  <c r="BO43" i="163" s="1"/>
  <c r="BK43" i="163"/>
  <c r="BJ43" i="163"/>
  <c r="BL43" i="163" s="1"/>
  <c r="BR45" i="164" l="1"/>
  <c r="AY45" i="164"/>
  <c r="AV45" i="164"/>
  <c r="AW45" i="164" s="1"/>
  <c r="P45" i="164"/>
  <c r="BD45" i="164"/>
  <c r="BE45" i="164" s="1"/>
  <c r="AQ45" i="164"/>
  <c r="AR45" i="164" s="1"/>
  <c r="AE45" i="164"/>
  <c r="AF45" i="164" s="1"/>
  <c r="R45" i="164"/>
  <c r="T45" i="164" s="1"/>
  <c r="BA45" i="164"/>
  <c r="BB45" i="164" s="1"/>
  <c r="AN45" i="164"/>
  <c r="AO45" i="164" s="1"/>
  <c r="AB45" i="164"/>
  <c r="AC45" i="164" s="1"/>
  <c r="O45" i="164"/>
  <c r="AK45" i="164"/>
  <c r="AL45" i="164" s="1"/>
  <c r="Y45" i="164"/>
  <c r="Z45" i="164" s="1"/>
  <c r="BG45" i="164"/>
  <c r="BH45" i="164" s="1"/>
  <c r="AT45" i="164"/>
  <c r="AH45" i="164"/>
  <c r="AI45" i="164" s="1"/>
  <c r="V45" i="164"/>
  <c r="W45" i="164" s="1"/>
  <c r="BN45" i="164"/>
  <c r="BO45" i="164" s="1"/>
  <c r="BK45" i="164"/>
  <c r="M45" i="164"/>
  <c r="BJ45" i="164"/>
  <c r="BL45" i="164" s="1"/>
  <c r="I47" i="164"/>
  <c r="K46" i="164"/>
  <c r="BQ46" i="164" s="1"/>
  <c r="BG44" i="163"/>
  <c r="BH44" i="163" s="1"/>
  <c r="BA44" i="163"/>
  <c r="BB44" i="163" s="1"/>
  <c r="AT44" i="163"/>
  <c r="AN44" i="163"/>
  <c r="AO44" i="163" s="1"/>
  <c r="AH44" i="163"/>
  <c r="AI44" i="163" s="1"/>
  <c r="AB44" i="163"/>
  <c r="AC44" i="163" s="1"/>
  <c r="V44" i="163"/>
  <c r="W44" i="163" s="1"/>
  <c r="O44" i="163"/>
  <c r="BQ44" i="163"/>
  <c r="BR44" i="163" s="1"/>
  <c r="AY44" i="163"/>
  <c r="AK44" i="163"/>
  <c r="AL44" i="163" s="1"/>
  <c r="Y44" i="163"/>
  <c r="Z44" i="163" s="1"/>
  <c r="BD44" i="163"/>
  <c r="BE44" i="163" s="1"/>
  <c r="AE44" i="163"/>
  <c r="AF44" i="163" s="1"/>
  <c r="P44" i="163"/>
  <c r="AV44" i="163"/>
  <c r="AW44" i="163" s="1"/>
  <c r="AQ44" i="163"/>
  <c r="AR44" i="163" s="1"/>
  <c r="R44" i="163"/>
  <c r="T44" i="163" s="1"/>
  <c r="BK44" i="163"/>
  <c r="BJ44" i="163"/>
  <c r="BL44" i="163" s="1"/>
  <c r="BN44" i="163"/>
  <c r="BO44" i="163" s="1"/>
  <c r="M44" i="163"/>
  <c r="K45" i="163"/>
  <c r="I46" i="163"/>
  <c r="BR46" i="164" l="1"/>
  <c r="AY46" i="164"/>
  <c r="AV46" i="164"/>
  <c r="AW46" i="164" s="1"/>
  <c r="P46" i="164"/>
  <c r="BD46" i="164"/>
  <c r="BE46" i="164" s="1"/>
  <c r="AQ46" i="164"/>
  <c r="AR46" i="164" s="1"/>
  <c r="AE46" i="164"/>
  <c r="AF46" i="164" s="1"/>
  <c r="R46" i="164"/>
  <c r="T46" i="164" s="1"/>
  <c r="BA46" i="164"/>
  <c r="BB46" i="164" s="1"/>
  <c r="AN46" i="164"/>
  <c r="AO46" i="164" s="1"/>
  <c r="AB46" i="164"/>
  <c r="AC46" i="164" s="1"/>
  <c r="O46" i="164"/>
  <c r="AK46" i="164"/>
  <c r="AL46" i="164" s="1"/>
  <c r="Y46" i="164"/>
  <c r="Z46" i="164" s="1"/>
  <c r="BG46" i="164"/>
  <c r="BH46" i="164" s="1"/>
  <c r="AT46" i="164"/>
  <c r="AH46" i="164"/>
  <c r="AI46" i="164" s="1"/>
  <c r="V46" i="164"/>
  <c r="W46" i="164" s="1"/>
  <c r="BJ46" i="164"/>
  <c r="BL46" i="164" s="1"/>
  <c r="BK46" i="164"/>
  <c r="M46" i="164"/>
  <c r="BN46" i="164"/>
  <c r="BO46" i="164" s="1"/>
  <c r="I48" i="164"/>
  <c r="K47" i="164"/>
  <c r="BQ47" i="164" s="1"/>
  <c r="K46" i="163"/>
  <c r="I47" i="163"/>
  <c r="BG45" i="163"/>
  <c r="BH45" i="163" s="1"/>
  <c r="BA45" i="163"/>
  <c r="BB45" i="163" s="1"/>
  <c r="AT45" i="163"/>
  <c r="AN45" i="163"/>
  <c r="AO45" i="163" s="1"/>
  <c r="AH45" i="163"/>
  <c r="AI45" i="163" s="1"/>
  <c r="AB45" i="163"/>
  <c r="AC45" i="163" s="1"/>
  <c r="V45" i="163"/>
  <c r="W45" i="163" s="1"/>
  <c r="O45" i="163"/>
  <c r="BQ45" i="163"/>
  <c r="BR45" i="163" s="1"/>
  <c r="AY45" i="163"/>
  <c r="AK45" i="163"/>
  <c r="AL45" i="163" s="1"/>
  <c r="Y45" i="163"/>
  <c r="Z45" i="163" s="1"/>
  <c r="BD45" i="163"/>
  <c r="BE45" i="163" s="1"/>
  <c r="AE45" i="163"/>
  <c r="AF45" i="163" s="1"/>
  <c r="R45" i="163"/>
  <c r="T45" i="163" s="1"/>
  <c r="AV45" i="163"/>
  <c r="AW45" i="163" s="1"/>
  <c r="AQ45" i="163"/>
  <c r="AR45" i="163" s="1"/>
  <c r="P45" i="163"/>
  <c r="M45" i="163"/>
  <c r="BN45" i="163"/>
  <c r="BO45" i="163" s="1"/>
  <c r="BJ45" i="163"/>
  <c r="BL45" i="163" s="1"/>
  <c r="BK45" i="163"/>
  <c r="BR47" i="164" l="1"/>
  <c r="AY47" i="164"/>
  <c r="AV47" i="164"/>
  <c r="AW47" i="164" s="1"/>
  <c r="P47" i="164"/>
  <c r="BD47" i="164"/>
  <c r="BE47" i="164" s="1"/>
  <c r="AQ47" i="164"/>
  <c r="AR47" i="164" s="1"/>
  <c r="AE47" i="164"/>
  <c r="AF47" i="164" s="1"/>
  <c r="R47" i="164"/>
  <c r="T47" i="164" s="1"/>
  <c r="BA47" i="164"/>
  <c r="BB47" i="164" s="1"/>
  <c r="AN47" i="164"/>
  <c r="AO47" i="164" s="1"/>
  <c r="AB47" i="164"/>
  <c r="AC47" i="164" s="1"/>
  <c r="O47" i="164"/>
  <c r="AK47" i="164"/>
  <c r="AL47" i="164" s="1"/>
  <c r="Y47" i="164"/>
  <c r="Z47" i="164" s="1"/>
  <c r="BG47" i="164"/>
  <c r="BH47" i="164" s="1"/>
  <c r="AT47" i="164"/>
  <c r="AH47" i="164"/>
  <c r="AI47" i="164" s="1"/>
  <c r="V47" i="164"/>
  <c r="W47" i="164" s="1"/>
  <c r="M47" i="164"/>
  <c r="BJ47" i="164"/>
  <c r="BL47" i="164" s="1"/>
  <c r="BN47" i="164"/>
  <c r="BO47" i="164" s="1"/>
  <c r="BK47" i="164"/>
  <c r="I49" i="164"/>
  <c r="K48" i="164"/>
  <c r="BQ48" i="164" s="1"/>
  <c r="K47" i="163"/>
  <c r="I48" i="163"/>
  <c r="BG46" i="163"/>
  <c r="BH46" i="163" s="1"/>
  <c r="BA46" i="163"/>
  <c r="BB46" i="163" s="1"/>
  <c r="AT46" i="163"/>
  <c r="AN46" i="163"/>
  <c r="AO46" i="163" s="1"/>
  <c r="AH46" i="163"/>
  <c r="AI46" i="163" s="1"/>
  <c r="AB46" i="163"/>
  <c r="AC46" i="163" s="1"/>
  <c r="V46" i="163"/>
  <c r="W46" i="163" s="1"/>
  <c r="O46" i="163"/>
  <c r="BQ46" i="163"/>
  <c r="BR46" i="163" s="1"/>
  <c r="AY46" i="163"/>
  <c r="AK46" i="163"/>
  <c r="AL46" i="163" s="1"/>
  <c r="Y46" i="163"/>
  <c r="Z46" i="163" s="1"/>
  <c r="AQ46" i="163"/>
  <c r="AR46" i="163" s="1"/>
  <c r="R46" i="163"/>
  <c r="T46" i="163" s="1"/>
  <c r="P46" i="163"/>
  <c r="AV46" i="163"/>
  <c r="AW46" i="163" s="1"/>
  <c r="BD46" i="163"/>
  <c r="BE46" i="163" s="1"/>
  <c r="AE46" i="163"/>
  <c r="AF46" i="163" s="1"/>
  <c r="BJ46" i="163"/>
  <c r="BL46" i="163" s="1"/>
  <c r="BN46" i="163"/>
  <c r="BO46" i="163" s="1"/>
  <c r="BK46" i="163"/>
  <c r="M46" i="163"/>
  <c r="BR48" i="164" l="1"/>
  <c r="AY48" i="164"/>
  <c r="AV48" i="164"/>
  <c r="AW48" i="164" s="1"/>
  <c r="P48" i="164"/>
  <c r="BD48" i="164"/>
  <c r="BE48" i="164" s="1"/>
  <c r="AQ48" i="164"/>
  <c r="AR48" i="164" s="1"/>
  <c r="AE48" i="164"/>
  <c r="AF48" i="164" s="1"/>
  <c r="R48" i="164"/>
  <c r="T48" i="164" s="1"/>
  <c r="BA48" i="164"/>
  <c r="BB48" i="164" s="1"/>
  <c r="AN48" i="164"/>
  <c r="AO48" i="164" s="1"/>
  <c r="AB48" i="164"/>
  <c r="AC48" i="164" s="1"/>
  <c r="O48" i="164"/>
  <c r="AK48" i="164"/>
  <c r="AL48" i="164" s="1"/>
  <c r="Y48" i="164"/>
  <c r="Z48" i="164" s="1"/>
  <c r="BG48" i="164"/>
  <c r="BH48" i="164" s="1"/>
  <c r="AT48" i="164"/>
  <c r="AH48" i="164"/>
  <c r="AI48" i="164" s="1"/>
  <c r="V48" i="164"/>
  <c r="W48" i="164" s="1"/>
  <c r="M48" i="164"/>
  <c r="BN48" i="164"/>
  <c r="BO48" i="164" s="1"/>
  <c r="BJ48" i="164"/>
  <c r="BL48" i="164" s="1"/>
  <c r="BK48" i="164"/>
  <c r="I50" i="164"/>
  <c r="K49" i="164"/>
  <c r="BQ49" i="164" s="1"/>
  <c r="BG47" i="163"/>
  <c r="BH47" i="163" s="1"/>
  <c r="BA47" i="163"/>
  <c r="BB47" i="163" s="1"/>
  <c r="AT47" i="163"/>
  <c r="AN47" i="163"/>
  <c r="AO47" i="163" s="1"/>
  <c r="AH47" i="163"/>
  <c r="AI47" i="163" s="1"/>
  <c r="AB47" i="163"/>
  <c r="AC47" i="163" s="1"/>
  <c r="V47" i="163"/>
  <c r="W47" i="163" s="1"/>
  <c r="O47" i="163"/>
  <c r="BQ47" i="163"/>
  <c r="BR47" i="163" s="1"/>
  <c r="AY47" i="163"/>
  <c r="AK47" i="163"/>
  <c r="AL47" i="163" s="1"/>
  <c r="Y47" i="163"/>
  <c r="Z47" i="163" s="1"/>
  <c r="BD47" i="163"/>
  <c r="BE47" i="163" s="1"/>
  <c r="AE47" i="163"/>
  <c r="AF47" i="163" s="1"/>
  <c r="AV47" i="163"/>
  <c r="AW47" i="163" s="1"/>
  <c r="AQ47" i="163"/>
  <c r="AR47" i="163" s="1"/>
  <c r="R47" i="163"/>
  <c r="T47" i="163" s="1"/>
  <c r="P47" i="163"/>
  <c r="BJ47" i="163"/>
  <c r="BL47" i="163" s="1"/>
  <c r="BK47" i="163"/>
  <c r="BN47" i="163"/>
  <c r="BO47" i="163" s="1"/>
  <c r="M47" i="163"/>
  <c r="K48" i="163"/>
  <c r="I49" i="163"/>
  <c r="BR49" i="164" l="1"/>
  <c r="AY49" i="164"/>
  <c r="AV49" i="164"/>
  <c r="AW49" i="164" s="1"/>
  <c r="P49" i="164"/>
  <c r="BD49" i="164"/>
  <c r="BE49" i="164" s="1"/>
  <c r="AQ49" i="164"/>
  <c r="AR49" i="164" s="1"/>
  <c r="AE49" i="164"/>
  <c r="AF49" i="164" s="1"/>
  <c r="R49" i="164"/>
  <c r="T49" i="164" s="1"/>
  <c r="BA49" i="164"/>
  <c r="BB49" i="164" s="1"/>
  <c r="AN49" i="164"/>
  <c r="AO49" i="164" s="1"/>
  <c r="AB49" i="164"/>
  <c r="AC49" i="164" s="1"/>
  <c r="O49" i="164"/>
  <c r="AK49" i="164"/>
  <c r="AL49" i="164" s="1"/>
  <c r="Y49" i="164"/>
  <c r="Z49" i="164" s="1"/>
  <c r="BG49" i="164"/>
  <c r="BH49" i="164" s="1"/>
  <c r="AT49" i="164"/>
  <c r="AH49" i="164"/>
  <c r="AI49" i="164" s="1"/>
  <c r="V49" i="164"/>
  <c r="W49" i="164" s="1"/>
  <c r="BK49" i="164"/>
  <c r="M49" i="164"/>
  <c r="BJ49" i="164"/>
  <c r="BL49" i="164" s="1"/>
  <c r="BN49" i="164"/>
  <c r="BO49" i="164" s="1"/>
  <c r="I51" i="164"/>
  <c r="K50" i="164"/>
  <c r="BQ50" i="164" s="1"/>
  <c r="BG48" i="163"/>
  <c r="BH48" i="163" s="1"/>
  <c r="BA48" i="163"/>
  <c r="BB48" i="163" s="1"/>
  <c r="AT48" i="163"/>
  <c r="AN48" i="163"/>
  <c r="AO48" i="163" s="1"/>
  <c r="AH48" i="163"/>
  <c r="AI48" i="163" s="1"/>
  <c r="AB48" i="163"/>
  <c r="AC48" i="163" s="1"/>
  <c r="V48" i="163"/>
  <c r="W48" i="163" s="1"/>
  <c r="O48" i="163"/>
  <c r="BQ48" i="163"/>
  <c r="BR48" i="163" s="1"/>
  <c r="AY48" i="163"/>
  <c r="AK48" i="163"/>
  <c r="AL48" i="163" s="1"/>
  <c r="Y48" i="163"/>
  <c r="Z48" i="163" s="1"/>
  <c r="BD48" i="163"/>
  <c r="BE48" i="163" s="1"/>
  <c r="AE48" i="163"/>
  <c r="AF48" i="163" s="1"/>
  <c r="R48" i="163"/>
  <c r="T48" i="163" s="1"/>
  <c r="P48" i="163"/>
  <c r="AV48" i="163"/>
  <c r="AW48" i="163" s="1"/>
  <c r="AQ48" i="163"/>
  <c r="AR48" i="163" s="1"/>
  <c r="BK48" i="163"/>
  <c r="M48" i="163"/>
  <c r="BJ48" i="163"/>
  <c r="BL48" i="163" s="1"/>
  <c r="BN48" i="163"/>
  <c r="BO48" i="163" s="1"/>
  <c r="K49" i="163"/>
  <c r="I50" i="163"/>
  <c r="BR50" i="164" l="1"/>
  <c r="AY50" i="164"/>
  <c r="AV50" i="164"/>
  <c r="AW50" i="164" s="1"/>
  <c r="P50" i="164"/>
  <c r="BD50" i="164"/>
  <c r="BE50" i="164" s="1"/>
  <c r="AQ50" i="164"/>
  <c r="AR50" i="164" s="1"/>
  <c r="AE50" i="164"/>
  <c r="AF50" i="164" s="1"/>
  <c r="R50" i="164"/>
  <c r="T50" i="164" s="1"/>
  <c r="BA50" i="164"/>
  <c r="BB50" i="164" s="1"/>
  <c r="AN50" i="164"/>
  <c r="AO50" i="164" s="1"/>
  <c r="AB50" i="164"/>
  <c r="AC50" i="164" s="1"/>
  <c r="O50" i="164"/>
  <c r="AK50" i="164"/>
  <c r="AL50" i="164" s="1"/>
  <c r="Y50" i="164"/>
  <c r="Z50" i="164" s="1"/>
  <c r="BG50" i="164"/>
  <c r="BH50" i="164" s="1"/>
  <c r="AT50" i="164"/>
  <c r="AH50" i="164"/>
  <c r="AI50" i="164" s="1"/>
  <c r="V50" i="164"/>
  <c r="W50" i="164" s="1"/>
  <c r="BK50" i="164"/>
  <c r="M50" i="164"/>
  <c r="BJ50" i="164"/>
  <c r="BL50" i="164" s="1"/>
  <c r="BN50" i="164"/>
  <c r="BO50" i="164" s="1"/>
  <c r="I52" i="164"/>
  <c r="K51" i="164"/>
  <c r="BQ51" i="164" s="1"/>
  <c r="K50" i="163"/>
  <c r="I51" i="163"/>
  <c r="BG49" i="163"/>
  <c r="BH49" i="163" s="1"/>
  <c r="BA49" i="163"/>
  <c r="BB49" i="163" s="1"/>
  <c r="AT49" i="163"/>
  <c r="AN49" i="163"/>
  <c r="AO49" i="163" s="1"/>
  <c r="AH49" i="163"/>
  <c r="AI49" i="163" s="1"/>
  <c r="AB49" i="163"/>
  <c r="AC49" i="163" s="1"/>
  <c r="V49" i="163"/>
  <c r="W49" i="163" s="1"/>
  <c r="O49" i="163"/>
  <c r="BQ49" i="163"/>
  <c r="BR49" i="163" s="1"/>
  <c r="AY49" i="163"/>
  <c r="AK49" i="163"/>
  <c r="AL49" i="163" s="1"/>
  <c r="Y49" i="163"/>
  <c r="Z49" i="163" s="1"/>
  <c r="AQ49" i="163"/>
  <c r="AR49" i="163" s="1"/>
  <c r="R49" i="163"/>
  <c r="T49" i="163" s="1"/>
  <c r="AV49" i="163"/>
  <c r="AW49" i="163" s="1"/>
  <c r="BD49" i="163"/>
  <c r="BE49" i="163" s="1"/>
  <c r="AE49" i="163"/>
  <c r="AF49" i="163" s="1"/>
  <c r="P49" i="163"/>
  <c r="BN49" i="163"/>
  <c r="BO49" i="163" s="1"/>
  <c r="M49" i="163"/>
  <c r="BK49" i="163"/>
  <c r="BJ49" i="163"/>
  <c r="BL49" i="163" s="1"/>
  <c r="BR51" i="164" l="1"/>
  <c r="BG51" i="164"/>
  <c r="BH51" i="164" s="1"/>
  <c r="BA51" i="164"/>
  <c r="BB51" i="164" s="1"/>
  <c r="AT51" i="164"/>
  <c r="AN51" i="164"/>
  <c r="AO51" i="164" s="1"/>
  <c r="AH51" i="164"/>
  <c r="AI51" i="164" s="1"/>
  <c r="AB51" i="164"/>
  <c r="AC51" i="164" s="1"/>
  <c r="V51" i="164"/>
  <c r="W51" i="164" s="1"/>
  <c r="O51" i="164"/>
  <c r="AY51" i="164"/>
  <c r="BD51" i="164"/>
  <c r="BE51" i="164" s="1"/>
  <c r="AQ51" i="164"/>
  <c r="AR51" i="164" s="1"/>
  <c r="AK51" i="164"/>
  <c r="AL51" i="164" s="1"/>
  <c r="AE51" i="164"/>
  <c r="AF51" i="164" s="1"/>
  <c r="AV51" i="164"/>
  <c r="AW51" i="164" s="1"/>
  <c r="P51" i="164"/>
  <c r="Y51" i="164"/>
  <c r="Z51" i="164" s="1"/>
  <c r="R51" i="164"/>
  <c r="T51" i="164" s="1"/>
  <c r="BN51" i="164"/>
  <c r="BO51" i="164" s="1"/>
  <c r="BK51" i="164"/>
  <c r="M51" i="164"/>
  <c r="BJ51" i="164"/>
  <c r="BL51" i="164" s="1"/>
  <c r="I53" i="164"/>
  <c r="K52" i="164"/>
  <c r="BQ52" i="164" s="1"/>
  <c r="K51" i="163"/>
  <c r="I52" i="163"/>
  <c r="BG50" i="163"/>
  <c r="BH50" i="163" s="1"/>
  <c r="BA50" i="163"/>
  <c r="BB50" i="163" s="1"/>
  <c r="AT50" i="163"/>
  <c r="AN50" i="163"/>
  <c r="AO50" i="163" s="1"/>
  <c r="AH50" i="163"/>
  <c r="AI50" i="163" s="1"/>
  <c r="AB50" i="163"/>
  <c r="AC50" i="163" s="1"/>
  <c r="V50" i="163"/>
  <c r="W50" i="163" s="1"/>
  <c r="O50" i="163"/>
  <c r="BQ50" i="163"/>
  <c r="BR50" i="163" s="1"/>
  <c r="AY50" i="163"/>
  <c r="AK50" i="163"/>
  <c r="AL50" i="163" s="1"/>
  <c r="Y50" i="163"/>
  <c r="Z50" i="163" s="1"/>
  <c r="BD50" i="163"/>
  <c r="BE50" i="163" s="1"/>
  <c r="AE50" i="163"/>
  <c r="AF50" i="163" s="1"/>
  <c r="P50" i="163"/>
  <c r="AV50" i="163"/>
  <c r="AW50" i="163" s="1"/>
  <c r="AQ50" i="163"/>
  <c r="AR50" i="163" s="1"/>
  <c r="R50" i="163"/>
  <c r="T50" i="163" s="1"/>
  <c r="BJ50" i="163"/>
  <c r="BL50" i="163" s="1"/>
  <c r="M50" i="163"/>
  <c r="BK50" i="163"/>
  <c r="BN50" i="163"/>
  <c r="BO50" i="163" s="1"/>
  <c r="I54" i="164" l="1"/>
  <c r="K53" i="164"/>
  <c r="BQ53" i="164" s="1"/>
  <c r="AV52" i="164"/>
  <c r="AW52" i="164" s="1"/>
  <c r="P52" i="164"/>
  <c r="BR52" i="164"/>
  <c r="AY52" i="164"/>
  <c r="BA52" i="164"/>
  <c r="BB52" i="164" s="1"/>
  <c r="AN52" i="164"/>
  <c r="AO52" i="164" s="1"/>
  <c r="AB52" i="164"/>
  <c r="AC52" i="164" s="1"/>
  <c r="O52" i="164"/>
  <c r="AK52" i="164"/>
  <c r="AL52" i="164" s="1"/>
  <c r="Y52" i="164"/>
  <c r="Z52" i="164" s="1"/>
  <c r="BG52" i="164"/>
  <c r="BH52" i="164" s="1"/>
  <c r="AT52" i="164"/>
  <c r="AH52" i="164"/>
  <c r="AI52" i="164" s="1"/>
  <c r="V52" i="164"/>
  <c r="W52" i="164" s="1"/>
  <c r="BD52" i="164"/>
  <c r="BE52" i="164" s="1"/>
  <c r="AQ52" i="164"/>
  <c r="AR52" i="164" s="1"/>
  <c r="AE52" i="164"/>
  <c r="AF52" i="164" s="1"/>
  <c r="R52" i="164"/>
  <c r="T52" i="164" s="1"/>
  <c r="M52" i="164"/>
  <c r="BN52" i="164"/>
  <c r="BO52" i="164" s="1"/>
  <c r="BK52" i="164"/>
  <c r="BJ52" i="164"/>
  <c r="BL52" i="164" s="1"/>
  <c r="K52" i="163"/>
  <c r="I53" i="163"/>
  <c r="BG51" i="163"/>
  <c r="BH51" i="163" s="1"/>
  <c r="BA51" i="163"/>
  <c r="BB51" i="163" s="1"/>
  <c r="AT51" i="163"/>
  <c r="AN51" i="163"/>
  <c r="AO51" i="163" s="1"/>
  <c r="AH51" i="163"/>
  <c r="AI51" i="163" s="1"/>
  <c r="AB51" i="163"/>
  <c r="AC51" i="163" s="1"/>
  <c r="V51" i="163"/>
  <c r="W51" i="163" s="1"/>
  <c r="O51" i="163"/>
  <c r="BQ51" i="163"/>
  <c r="BR51" i="163" s="1"/>
  <c r="AY51" i="163"/>
  <c r="AK51" i="163"/>
  <c r="AL51" i="163" s="1"/>
  <c r="Y51" i="163"/>
  <c r="Z51" i="163" s="1"/>
  <c r="AQ51" i="163"/>
  <c r="AR51" i="163" s="1"/>
  <c r="R51" i="163"/>
  <c r="T51" i="163" s="1"/>
  <c r="AV51" i="163"/>
  <c r="AW51" i="163" s="1"/>
  <c r="BD51" i="163"/>
  <c r="BE51" i="163" s="1"/>
  <c r="AE51" i="163"/>
  <c r="AF51" i="163" s="1"/>
  <c r="P51" i="163"/>
  <c r="M51" i="163"/>
  <c r="BN51" i="163"/>
  <c r="BO51" i="163" s="1"/>
  <c r="BK51" i="163"/>
  <c r="BJ51" i="163"/>
  <c r="BL51" i="163" s="1"/>
  <c r="AV53" i="164" l="1"/>
  <c r="AW53" i="164" s="1"/>
  <c r="P53" i="164"/>
  <c r="BR53" i="164"/>
  <c r="AY53" i="164"/>
  <c r="BA53" i="164"/>
  <c r="BB53" i="164" s="1"/>
  <c r="AN53" i="164"/>
  <c r="AO53" i="164" s="1"/>
  <c r="AB53" i="164"/>
  <c r="AC53" i="164" s="1"/>
  <c r="O53" i="164"/>
  <c r="AK53" i="164"/>
  <c r="AL53" i="164" s="1"/>
  <c r="Y53" i="164"/>
  <c r="Z53" i="164" s="1"/>
  <c r="BG53" i="164"/>
  <c r="BH53" i="164" s="1"/>
  <c r="AT53" i="164"/>
  <c r="AH53" i="164"/>
  <c r="AI53" i="164" s="1"/>
  <c r="V53" i="164"/>
  <c r="W53" i="164" s="1"/>
  <c r="BD53" i="164"/>
  <c r="BE53" i="164" s="1"/>
  <c r="AQ53" i="164"/>
  <c r="AR53" i="164" s="1"/>
  <c r="AE53" i="164"/>
  <c r="AF53" i="164" s="1"/>
  <c r="R53" i="164"/>
  <c r="T53" i="164" s="1"/>
  <c r="BN53" i="164"/>
  <c r="BO53" i="164" s="1"/>
  <c r="BK53" i="164"/>
  <c r="BJ53" i="164"/>
  <c r="BL53" i="164" s="1"/>
  <c r="M53" i="164"/>
  <c r="I55" i="164"/>
  <c r="K54" i="164"/>
  <c r="BQ54" i="164" s="1"/>
  <c r="BG52" i="163"/>
  <c r="BH52" i="163" s="1"/>
  <c r="BA52" i="163"/>
  <c r="BB52" i="163" s="1"/>
  <c r="AT52" i="163"/>
  <c r="AN52" i="163"/>
  <c r="AO52" i="163" s="1"/>
  <c r="AH52" i="163"/>
  <c r="AI52" i="163" s="1"/>
  <c r="AB52" i="163"/>
  <c r="AC52" i="163" s="1"/>
  <c r="V52" i="163"/>
  <c r="W52" i="163" s="1"/>
  <c r="O52" i="163"/>
  <c r="BQ52" i="163"/>
  <c r="BR52" i="163" s="1"/>
  <c r="AY52" i="163"/>
  <c r="AK52" i="163"/>
  <c r="AL52" i="163" s="1"/>
  <c r="Y52" i="163"/>
  <c r="Z52" i="163" s="1"/>
  <c r="BD52" i="163"/>
  <c r="BE52" i="163" s="1"/>
  <c r="AE52" i="163"/>
  <c r="AF52" i="163" s="1"/>
  <c r="P52" i="163"/>
  <c r="AV52" i="163"/>
  <c r="AW52" i="163" s="1"/>
  <c r="AQ52" i="163"/>
  <c r="AR52" i="163" s="1"/>
  <c r="R52" i="163"/>
  <c r="T52" i="163" s="1"/>
  <c r="BK52" i="163"/>
  <c r="BJ52" i="163"/>
  <c r="BL52" i="163" s="1"/>
  <c r="BN52" i="163"/>
  <c r="BO52" i="163" s="1"/>
  <c r="M52" i="163"/>
  <c r="K53" i="163"/>
  <c r="I54" i="163"/>
  <c r="AV54" i="164" l="1"/>
  <c r="AW54" i="164" s="1"/>
  <c r="P54" i="164"/>
  <c r="BR54" i="164"/>
  <c r="AY54" i="164"/>
  <c r="BA54" i="164"/>
  <c r="BB54" i="164" s="1"/>
  <c r="AN54" i="164"/>
  <c r="AO54" i="164" s="1"/>
  <c r="AB54" i="164"/>
  <c r="AC54" i="164" s="1"/>
  <c r="O54" i="164"/>
  <c r="AK54" i="164"/>
  <c r="AL54" i="164" s="1"/>
  <c r="Y54" i="164"/>
  <c r="Z54" i="164" s="1"/>
  <c r="BG54" i="164"/>
  <c r="BH54" i="164" s="1"/>
  <c r="AT54" i="164"/>
  <c r="AH54" i="164"/>
  <c r="AI54" i="164" s="1"/>
  <c r="V54" i="164"/>
  <c r="W54" i="164" s="1"/>
  <c r="BD54" i="164"/>
  <c r="BE54" i="164" s="1"/>
  <c r="AQ54" i="164"/>
  <c r="AR54" i="164" s="1"/>
  <c r="AE54" i="164"/>
  <c r="AF54" i="164" s="1"/>
  <c r="R54" i="164"/>
  <c r="T54" i="164" s="1"/>
  <c r="BN54" i="164"/>
  <c r="BO54" i="164" s="1"/>
  <c r="BK54" i="164"/>
  <c r="BJ54" i="164"/>
  <c r="BL54" i="164" s="1"/>
  <c r="M54" i="164"/>
  <c r="I56" i="164"/>
  <c r="K55" i="164"/>
  <c r="BQ55" i="164" s="1"/>
  <c r="I55" i="163"/>
  <c r="K54" i="163"/>
  <c r="BG53" i="163"/>
  <c r="BH53" i="163" s="1"/>
  <c r="BA53" i="163"/>
  <c r="BB53" i="163" s="1"/>
  <c r="AT53" i="163"/>
  <c r="AN53" i="163"/>
  <c r="AO53" i="163" s="1"/>
  <c r="AH53" i="163"/>
  <c r="AI53" i="163" s="1"/>
  <c r="AB53" i="163"/>
  <c r="AC53" i="163" s="1"/>
  <c r="V53" i="163"/>
  <c r="W53" i="163" s="1"/>
  <c r="O53" i="163"/>
  <c r="BQ53" i="163"/>
  <c r="BR53" i="163" s="1"/>
  <c r="AY53" i="163"/>
  <c r="AK53" i="163"/>
  <c r="AL53" i="163" s="1"/>
  <c r="Y53" i="163"/>
  <c r="Z53" i="163" s="1"/>
  <c r="BD53" i="163"/>
  <c r="BE53" i="163" s="1"/>
  <c r="AQ53" i="163"/>
  <c r="AR53" i="163" s="1"/>
  <c r="R53" i="163"/>
  <c r="T53" i="163" s="1"/>
  <c r="AV53" i="163"/>
  <c r="AW53" i="163" s="1"/>
  <c r="AE53" i="163"/>
  <c r="AF53" i="163" s="1"/>
  <c r="P53" i="163"/>
  <c r="M53" i="163"/>
  <c r="BJ53" i="163"/>
  <c r="BL53" i="163" s="1"/>
  <c r="BN53" i="163"/>
  <c r="BO53" i="163" s="1"/>
  <c r="BK53" i="163"/>
  <c r="BR55" i="164" l="1"/>
  <c r="AY55" i="164"/>
  <c r="AV55" i="164"/>
  <c r="AW55" i="164" s="1"/>
  <c r="P55" i="164"/>
  <c r="AK55" i="164"/>
  <c r="AL55" i="164" s="1"/>
  <c r="Y55" i="164"/>
  <c r="Z55" i="164" s="1"/>
  <c r="BD55" i="164"/>
  <c r="BE55" i="164" s="1"/>
  <c r="AQ55" i="164"/>
  <c r="AR55" i="164" s="1"/>
  <c r="AE55" i="164"/>
  <c r="AF55" i="164" s="1"/>
  <c r="R55" i="164"/>
  <c r="T55" i="164" s="1"/>
  <c r="AT55" i="164"/>
  <c r="V55" i="164"/>
  <c r="W55" i="164" s="1"/>
  <c r="AN55" i="164"/>
  <c r="AO55" i="164" s="1"/>
  <c r="O55" i="164"/>
  <c r="BG55" i="164"/>
  <c r="BH55" i="164" s="1"/>
  <c r="AH55" i="164"/>
  <c r="AI55" i="164" s="1"/>
  <c r="BA55" i="164"/>
  <c r="BB55" i="164" s="1"/>
  <c r="AB55" i="164"/>
  <c r="AC55" i="164" s="1"/>
  <c r="BN55" i="164"/>
  <c r="BO55" i="164" s="1"/>
  <c r="M55" i="164"/>
  <c r="BK55" i="164"/>
  <c r="BJ55" i="164"/>
  <c r="BL55" i="164" s="1"/>
  <c r="I57" i="164"/>
  <c r="K56" i="164"/>
  <c r="BQ56" i="164" s="1"/>
  <c r="BG54" i="163"/>
  <c r="BH54" i="163" s="1"/>
  <c r="BA54" i="163"/>
  <c r="BB54" i="163" s="1"/>
  <c r="AT54" i="163"/>
  <c r="AN54" i="163"/>
  <c r="AO54" i="163" s="1"/>
  <c r="AH54" i="163"/>
  <c r="AI54" i="163" s="1"/>
  <c r="AB54" i="163"/>
  <c r="AC54" i="163" s="1"/>
  <c r="BQ54" i="163"/>
  <c r="BR54" i="163" s="1"/>
  <c r="AY54" i="163"/>
  <c r="AK54" i="163"/>
  <c r="AL54" i="163" s="1"/>
  <c r="V54" i="163"/>
  <c r="W54" i="163" s="1"/>
  <c r="O54" i="163"/>
  <c r="AV54" i="163"/>
  <c r="AW54" i="163" s="1"/>
  <c r="AQ54" i="163"/>
  <c r="AR54" i="163" s="1"/>
  <c r="Y54" i="163"/>
  <c r="Z54" i="163" s="1"/>
  <c r="BD54" i="163"/>
  <c r="BE54" i="163" s="1"/>
  <c r="R54" i="163"/>
  <c r="T54" i="163" s="1"/>
  <c r="P54" i="163"/>
  <c r="AE54" i="163"/>
  <c r="AF54" i="163" s="1"/>
  <c r="BJ54" i="163"/>
  <c r="BL54" i="163" s="1"/>
  <c r="BN54" i="163"/>
  <c r="BO54" i="163" s="1"/>
  <c r="BK54" i="163"/>
  <c r="M54" i="163"/>
  <c r="K55" i="163"/>
  <c r="I56" i="163"/>
  <c r="BR56" i="164" l="1"/>
  <c r="AY56" i="164"/>
  <c r="AV56" i="164"/>
  <c r="AW56" i="164" s="1"/>
  <c r="P56" i="164"/>
  <c r="AK56" i="164"/>
  <c r="AL56" i="164" s="1"/>
  <c r="Y56" i="164"/>
  <c r="Z56" i="164" s="1"/>
  <c r="BD56" i="164"/>
  <c r="BE56" i="164" s="1"/>
  <c r="AQ56" i="164"/>
  <c r="AR56" i="164" s="1"/>
  <c r="AE56" i="164"/>
  <c r="AF56" i="164" s="1"/>
  <c r="R56" i="164"/>
  <c r="T56" i="164" s="1"/>
  <c r="BG56" i="164"/>
  <c r="BH56" i="164" s="1"/>
  <c r="AH56" i="164"/>
  <c r="AI56" i="164" s="1"/>
  <c r="BA56" i="164"/>
  <c r="BB56" i="164" s="1"/>
  <c r="AB56" i="164"/>
  <c r="AC56" i="164" s="1"/>
  <c r="AT56" i="164"/>
  <c r="V56" i="164"/>
  <c r="W56" i="164" s="1"/>
  <c r="AN56" i="164"/>
  <c r="AO56" i="164" s="1"/>
  <c r="O56" i="164"/>
  <c r="BN56" i="164"/>
  <c r="BO56" i="164" s="1"/>
  <c r="M56" i="164"/>
  <c r="BK56" i="164"/>
  <c r="BJ56" i="164"/>
  <c r="BL56" i="164" s="1"/>
  <c r="I58" i="164"/>
  <c r="K57" i="164"/>
  <c r="BQ57" i="164" s="1"/>
  <c r="K56" i="163"/>
  <c r="I57" i="163"/>
  <c r="BG55" i="163"/>
  <c r="BH55" i="163" s="1"/>
  <c r="BA55" i="163"/>
  <c r="BB55" i="163" s="1"/>
  <c r="AT55" i="163"/>
  <c r="AN55" i="163"/>
  <c r="AO55" i="163" s="1"/>
  <c r="AH55" i="163"/>
  <c r="AI55" i="163" s="1"/>
  <c r="AB55" i="163"/>
  <c r="AC55" i="163" s="1"/>
  <c r="V55" i="163"/>
  <c r="W55" i="163" s="1"/>
  <c r="O55" i="163"/>
  <c r="BQ55" i="163"/>
  <c r="BR55" i="163" s="1"/>
  <c r="AY55" i="163"/>
  <c r="AK55" i="163"/>
  <c r="AL55" i="163" s="1"/>
  <c r="Y55" i="163"/>
  <c r="Z55" i="163" s="1"/>
  <c r="AV55" i="163"/>
  <c r="AW55" i="163" s="1"/>
  <c r="BD55" i="163"/>
  <c r="BE55" i="163" s="1"/>
  <c r="AE55" i="163"/>
  <c r="AF55" i="163" s="1"/>
  <c r="AQ55" i="163"/>
  <c r="AR55" i="163" s="1"/>
  <c r="R55" i="163"/>
  <c r="T55" i="163" s="1"/>
  <c r="P55" i="163"/>
  <c r="BJ55" i="163"/>
  <c r="BL55" i="163" s="1"/>
  <c r="BK55" i="163"/>
  <c r="BN55" i="163"/>
  <c r="BO55" i="163" s="1"/>
  <c r="M55" i="163"/>
  <c r="BR57" i="164" l="1"/>
  <c r="AY57" i="164"/>
  <c r="BD57" i="164"/>
  <c r="BE57" i="164" s="1"/>
  <c r="AQ57" i="164"/>
  <c r="AR57" i="164" s="1"/>
  <c r="AV57" i="164"/>
  <c r="AW57" i="164" s="1"/>
  <c r="P57" i="164"/>
  <c r="BG57" i="164"/>
  <c r="BH57" i="164" s="1"/>
  <c r="AK57" i="164"/>
  <c r="AL57" i="164" s="1"/>
  <c r="Y57" i="164"/>
  <c r="Z57" i="164" s="1"/>
  <c r="AT57" i="164"/>
  <c r="AE57" i="164"/>
  <c r="AF57" i="164" s="1"/>
  <c r="R57" i="164"/>
  <c r="T57" i="164" s="1"/>
  <c r="BA57" i="164"/>
  <c r="BB57" i="164" s="1"/>
  <c r="V57" i="164"/>
  <c r="W57" i="164" s="1"/>
  <c r="AN57" i="164"/>
  <c r="AO57" i="164" s="1"/>
  <c r="O57" i="164"/>
  <c r="AH57" i="164"/>
  <c r="AI57" i="164" s="1"/>
  <c r="AB57" i="164"/>
  <c r="AC57" i="164" s="1"/>
  <c r="M57" i="164"/>
  <c r="BK57" i="164"/>
  <c r="BJ57" i="164"/>
  <c r="BL57" i="164" s="1"/>
  <c r="BN57" i="164"/>
  <c r="BO57" i="164" s="1"/>
  <c r="K58" i="164"/>
  <c r="BQ58" i="164" s="1"/>
  <c r="I59" i="164"/>
  <c r="K57" i="163"/>
  <c r="I58" i="163"/>
  <c r="BG56" i="163"/>
  <c r="BH56" i="163" s="1"/>
  <c r="BA56" i="163"/>
  <c r="BB56" i="163" s="1"/>
  <c r="AT56" i="163"/>
  <c r="AN56" i="163"/>
  <c r="AO56" i="163" s="1"/>
  <c r="AH56" i="163"/>
  <c r="AI56" i="163" s="1"/>
  <c r="AB56" i="163"/>
  <c r="AC56" i="163" s="1"/>
  <c r="V56" i="163"/>
  <c r="W56" i="163" s="1"/>
  <c r="O56" i="163"/>
  <c r="BQ56" i="163"/>
  <c r="BR56" i="163" s="1"/>
  <c r="AY56" i="163"/>
  <c r="AK56" i="163"/>
  <c r="AL56" i="163" s="1"/>
  <c r="Y56" i="163"/>
  <c r="Z56" i="163" s="1"/>
  <c r="AV56" i="163"/>
  <c r="AW56" i="163" s="1"/>
  <c r="AQ56" i="163"/>
  <c r="AR56" i="163" s="1"/>
  <c r="R56" i="163"/>
  <c r="T56" i="163" s="1"/>
  <c r="AE56" i="163"/>
  <c r="AF56" i="163" s="1"/>
  <c r="P56" i="163"/>
  <c r="BD56" i="163"/>
  <c r="BE56" i="163" s="1"/>
  <c r="BK56" i="163"/>
  <c r="M56" i="163"/>
  <c r="BN56" i="163"/>
  <c r="BO56" i="163" s="1"/>
  <c r="BJ56" i="163"/>
  <c r="BL56" i="163" s="1"/>
  <c r="K59" i="164" l="1"/>
  <c r="BQ59" i="164" s="1"/>
  <c r="I60" i="164"/>
  <c r="BR58" i="164"/>
  <c r="AY58" i="164"/>
  <c r="BD58" i="164"/>
  <c r="BE58" i="164" s="1"/>
  <c r="AQ58" i="164"/>
  <c r="AR58" i="164" s="1"/>
  <c r="AK58" i="164"/>
  <c r="AL58" i="164" s="1"/>
  <c r="AE58" i="164"/>
  <c r="AF58" i="164" s="1"/>
  <c r="Y58" i="164"/>
  <c r="Z58" i="164" s="1"/>
  <c r="R58" i="164"/>
  <c r="T58" i="164" s="1"/>
  <c r="AV58" i="164"/>
  <c r="AW58" i="164" s="1"/>
  <c r="P58" i="164"/>
  <c r="AT58" i="164"/>
  <c r="V58" i="164"/>
  <c r="W58" i="164" s="1"/>
  <c r="BG58" i="164"/>
  <c r="BH58" i="164" s="1"/>
  <c r="AH58" i="164"/>
  <c r="AI58" i="164" s="1"/>
  <c r="AN58" i="164"/>
  <c r="AO58" i="164" s="1"/>
  <c r="AB58" i="164"/>
  <c r="AC58" i="164" s="1"/>
  <c r="O58" i="164"/>
  <c r="BA58" i="164"/>
  <c r="BB58" i="164" s="1"/>
  <c r="M58" i="164"/>
  <c r="BK58" i="164"/>
  <c r="BJ58" i="164"/>
  <c r="BL58" i="164" s="1"/>
  <c r="BN58" i="164"/>
  <c r="BO58" i="164" s="1"/>
  <c r="K58" i="163"/>
  <c r="I59" i="163"/>
  <c r="BG57" i="163"/>
  <c r="BH57" i="163" s="1"/>
  <c r="BA57" i="163"/>
  <c r="BB57" i="163" s="1"/>
  <c r="AT57" i="163"/>
  <c r="AN57" i="163"/>
  <c r="AO57" i="163" s="1"/>
  <c r="AH57" i="163"/>
  <c r="AI57" i="163" s="1"/>
  <c r="AB57" i="163"/>
  <c r="AC57" i="163" s="1"/>
  <c r="V57" i="163"/>
  <c r="W57" i="163" s="1"/>
  <c r="O57" i="163"/>
  <c r="BQ57" i="163"/>
  <c r="BR57" i="163" s="1"/>
  <c r="AY57" i="163"/>
  <c r="AK57" i="163"/>
  <c r="AL57" i="163" s="1"/>
  <c r="Y57" i="163"/>
  <c r="Z57" i="163" s="1"/>
  <c r="AV57" i="163"/>
  <c r="AW57" i="163" s="1"/>
  <c r="BD57" i="163"/>
  <c r="BE57" i="163" s="1"/>
  <c r="AE57" i="163"/>
  <c r="AF57" i="163" s="1"/>
  <c r="R57" i="163"/>
  <c r="T57" i="163" s="1"/>
  <c r="P57" i="163"/>
  <c r="AQ57" i="163"/>
  <c r="AR57" i="163" s="1"/>
  <c r="BN57" i="163"/>
  <c r="BO57" i="163" s="1"/>
  <c r="M57" i="163"/>
  <c r="BJ57" i="163"/>
  <c r="BL57" i="163" s="1"/>
  <c r="BK57" i="163"/>
  <c r="K60" i="164" l="1"/>
  <c r="BQ60" i="164" s="1"/>
  <c r="I61" i="164"/>
  <c r="BR59" i="164"/>
  <c r="AY59" i="164"/>
  <c r="BD59" i="164"/>
  <c r="BE59" i="164" s="1"/>
  <c r="AQ59" i="164"/>
  <c r="AR59" i="164" s="1"/>
  <c r="AK59" i="164"/>
  <c r="AL59" i="164" s="1"/>
  <c r="AE59" i="164"/>
  <c r="AF59" i="164" s="1"/>
  <c r="Y59" i="164"/>
  <c r="Z59" i="164" s="1"/>
  <c r="R59" i="164"/>
  <c r="T59" i="164" s="1"/>
  <c r="AV59" i="164"/>
  <c r="AW59" i="164" s="1"/>
  <c r="P59" i="164"/>
  <c r="BG59" i="164"/>
  <c r="BH59" i="164" s="1"/>
  <c r="AH59" i="164"/>
  <c r="AI59" i="164" s="1"/>
  <c r="AT59" i="164"/>
  <c r="V59" i="164"/>
  <c r="W59" i="164" s="1"/>
  <c r="AB59" i="164"/>
  <c r="AC59" i="164" s="1"/>
  <c r="O59" i="164"/>
  <c r="BA59" i="164"/>
  <c r="BB59" i="164" s="1"/>
  <c r="AN59" i="164"/>
  <c r="AO59" i="164" s="1"/>
  <c r="BK59" i="164"/>
  <c r="BN59" i="164"/>
  <c r="BO59" i="164" s="1"/>
  <c r="M59" i="164"/>
  <c r="BJ59" i="164"/>
  <c r="BL59" i="164" s="1"/>
  <c r="K59" i="163"/>
  <c r="I60" i="163"/>
  <c r="BG58" i="163"/>
  <c r="BH58" i="163" s="1"/>
  <c r="BA58" i="163"/>
  <c r="BB58" i="163" s="1"/>
  <c r="AT58" i="163"/>
  <c r="AN58" i="163"/>
  <c r="AO58" i="163" s="1"/>
  <c r="AH58" i="163"/>
  <c r="AI58" i="163" s="1"/>
  <c r="AB58" i="163"/>
  <c r="AC58" i="163" s="1"/>
  <c r="V58" i="163"/>
  <c r="W58" i="163" s="1"/>
  <c r="O58" i="163"/>
  <c r="BQ58" i="163"/>
  <c r="BR58" i="163" s="1"/>
  <c r="AY58" i="163"/>
  <c r="AK58" i="163"/>
  <c r="AL58" i="163" s="1"/>
  <c r="Y58" i="163"/>
  <c r="Z58" i="163" s="1"/>
  <c r="AV58" i="163"/>
  <c r="AW58" i="163" s="1"/>
  <c r="AQ58" i="163"/>
  <c r="AR58" i="163" s="1"/>
  <c r="R58" i="163"/>
  <c r="T58" i="163" s="1"/>
  <c r="BD58" i="163"/>
  <c r="BE58" i="163" s="1"/>
  <c r="P58" i="163"/>
  <c r="AE58" i="163"/>
  <c r="AF58" i="163" s="1"/>
  <c r="BJ58" i="163"/>
  <c r="BL58" i="163" s="1"/>
  <c r="BK58" i="163"/>
  <c r="M58" i="163"/>
  <c r="BN58" i="163"/>
  <c r="BO58" i="163" s="1"/>
  <c r="K61" i="164" l="1"/>
  <c r="BQ61" i="164" s="1"/>
  <c r="I62" i="164"/>
  <c r="BR60" i="164"/>
  <c r="AY60" i="164"/>
  <c r="BD60" i="164"/>
  <c r="BE60" i="164" s="1"/>
  <c r="AQ60" i="164"/>
  <c r="AR60" i="164" s="1"/>
  <c r="AK60" i="164"/>
  <c r="AL60" i="164" s="1"/>
  <c r="AE60" i="164"/>
  <c r="AF60" i="164" s="1"/>
  <c r="Y60" i="164"/>
  <c r="Z60" i="164" s="1"/>
  <c r="R60" i="164"/>
  <c r="T60" i="164" s="1"/>
  <c r="AV60" i="164"/>
  <c r="AW60" i="164" s="1"/>
  <c r="P60" i="164"/>
  <c r="AT60" i="164"/>
  <c r="V60" i="164"/>
  <c r="W60" i="164" s="1"/>
  <c r="BG60" i="164"/>
  <c r="BH60" i="164" s="1"/>
  <c r="AH60" i="164"/>
  <c r="AI60" i="164" s="1"/>
  <c r="O60" i="164"/>
  <c r="BA60" i="164"/>
  <c r="BB60" i="164" s="1"/>
  <c r="AN60" i="164"/>
  <c r="AO60" i="164" s="1"/>
  <c r="AB60" i="164"/>
  <c r="AC60" i="164" s="1"/>
  <c r="M60" i="164"/>
  <c r="BK60" i="164"/>
  <c r="BJ60" i="164"/>
  <c r="BL60" i="164" s="1"/>
  <c r="BN60" i="164"/>
  <c r="BO60" i="164" s="1"/>
  <c r="BG59" i="163"/>
  <c r="BH59" i="163" s="1"/>
  <c r="BA59" i="163"/>
  <c r="BB59" i="163" s="1"/>
  <c r="AT59" i="163"/>
  <c r="AN59" i="163"/>
  <c r="AO59" i="163" s="1"/>
  <c r="AH59" i="163"/>
  <c r="AI59" i="163" s="1"/>
  <c r="AB59" i="163"/>
  <c r="AC59" i="163" s="1"/>
  <c r="V59" i="163"/>
  <c r="W59" i="163" s="1"/>
  <c r="O59" i="163"/>
  <c r="BQ59" i="163"/>
  <c r="BR59" i="163" s="1"/>
  <c r="AY59" i="163"/>
  <c r="AK59" i="163"/>
  <c r="AL59" i="163" s="1"/>
  <c r="Y59" i="163"/>
  <c r="Z59" i="163" s="1"/>
  <c r="AV59" i="163"/>
  <c r="AW59" i="163" s="1"/>
  <c r="BD59" i="163"/>
  <c r="BE59" i="163" s="1"/>
  <c r="AE59" i="163"/>
  <c r="AF59" i="163" s="1"/>
  <c r="AQ59" i="163"/>
  <c r="AR59" i="163" s="1"/>
  <c r="R59" i="163"/>
  <c r="T59" i="163" s="1"/>
  <c r="P59" i="163"/>
  <c r="BN59" i="163"/>
  <c r="BO59" i="163" s="1"/>
  <c r="BK59" i="163"/>
  <c r="M59" i="163"/>
  <c r="BJ59" i="163"/>
  <c r="BL59" i="163" s="1"/>
  <c r="K60" i="163"/>
  <c r="I61" i="163"/>
  <c r="K62" i="164" l="1"/>
  <c r="BQ62" i="164" s="1"/>
  <c r="I63" i="164"/>
  <c r="BR61" i="164"/>
  <c r="AY61" i="164"/>
  <c r="BD61" i="164"/>
  <c r="BE61" i="164" s="1"/>
  <c r="AQ61" i="164"/>
  <c r="AR61" i="164" s="1"/>
  <c r="AK61" i="164"/>
  <c r="AL61" i="164" s="1"/>
  <c r="AE61" i="164"/>
  <c r="AF61" i="164" s="1"/>
  <c r="Y61" i="164"/>
  <c r="Z61" i="164" s="1"/>
  <c r="R61" i="164"/>
  <c r="T61" i="164" s="1"/>
  <c r="AV61" i="164"/>
  <c r="AW61" i="164" s="1"/>
  <c r="P61" i="164"/>
  <c r="BG61" i="164"/>
  <c r="BH61" i="164" s="1"/>
  <c r="AH61" i="164"/>
  <c r="AI61" i="164" s="1"/>
  <c r="AT61" i="164"/>
  <c r="V61" i="164"/>
  <c r="W61" i="164" s="1"/>
  <c r="BA61" i="164"/>
  <c r="BB61" i="164" s="1"/>
  <c r="AN61" i="164"/>
  <c r="AO61" i="164" s="1"/>
  <c r="AB61" i="164"/>
  <c r="AC61" i="164" s="1"/>
  <c r="O61" i="164"/>
  <c r="M61" i="164"/>
  <c r="BK61" i="164"/>
  <c r="BJ61" i="164"/>
  <c r="BL61" i="164" s="1"/>
  <c r="BN61" i="164"/>
  <c r="BO61" i="164" s="1"/>
  <c r="K61" i="163"/>
  <c r="I62" i="163"/>
  <c r="BG60" i="163"/>
  <c r="BH60" i="163" s="1"/>
  <c r="BA60" i="163"/>
  <c r="BB60" i="163" s="1"/>
  <c r="AT60" i="163"/>
  <c r="AN60" i="163"/>
  <c r="AO60" i="163" s="1"/>
  <c r="AH60" i="163"/>
  <c r="AI60" i="163" s="1"/>
  <c r="AB60" i="163"/>
  <c r="AC60" i="163" s="1"/>
  <c r="V60" i="163"/>
  <c r="W60" i="163" s="1"/>
  <c r="O60" i="163"/>
  <c r="BQ60" i="163"/>
  <c r="BR60" i="163" s="1"/>
  <c r="AY60" i="163"/>
  <c r="AK60" i="163"/>
  <c r="AL60" i="163" s="1"/>
  <c r="Y60" i="163"/>
  <c r="Z60" i="163" s="1"/>
  <c r="AV60" i="163"/>
  <c r="AW60" i="163" s="1"/>
  <c r="AQ60" i="163"/>
  <c r="AR60" i="163" s="1"/>
  <c r="R60" i="163"/>
  <c r="T60" i="163" s="1"/>
  <c r="AE60" i="163"/>
  <c r="AF60" i="163" s="1"/>
  <c r="P60" i="163"/>
  <c r="BD60" i="163"/>
  <c r="BE60" i="163" s="1"/>
  <c r="BK60" i="163"/>
  <c r="M60" i="163"/>
  <c r="BJ60" i="163"/>
  <c r="BL60" i="163" s="1"/>
  <c r="BN60" i="163"/>
  <c r="BO60" i="163" s="1"/>
  <c r="K63" i="164" l="1"/>
  <c r="BQ63" i="164" s="1"/>
  <c r="I64" i="164"/>
  <c r="BR62" i="164"/>
  <c r="AY62" i="164"/>
  <c r="BD62" i="164"/>
  <c r="BE62" i="164" s="1"/>
  <c r="AQ62" i="164"/>
  <c r="AR62" i="164" s="1"/>
  <c r="AK62" i="164"/>
  <c r="AL62" i="164" s="1"/>
  <c r="AE62" i="164"/>
  <c r="AF62" i="164" s="1"/>
  <c r="Y62" i="164"/>
  <c r="Z62" i="164" s="1"/>
  <c r="R62" i="164"/>
  <c r="T62" i="164" s="1"/>
  <c r="AV62" i="164"/>
  <c r="AW62" i="164" s="1"/>
  <c r="P62" i="164"/>
  <c r="AT62" i="164"/>
  <c r="V62" i="164"/>
  <c r="W62" i="164" s="1"/>
  <c r="BG62" i="164"/>
  <c r="BH62" i="164" s="1"/>
  <c r="AH62" i="164"/>
  <c r="AI62" i="164" s="1"/>
  <c r="AN62" i="164"/>
  <c r="AO62" i="164" s="1"/>
  <c r="AB62" i="164"/>
  <c r="AC62" i="164" s="1"/>
  <c r="O62" i="164"/>
  <c r="BA62" i="164"/>
  <c r="BB62" i="164" s="1"/>
  <c r="M62" i="164"/>
  <c r="BK62" i="164"/>
  <c r="BJ62" i="164"/>
  <c r="BL62" i="164" s="1"/>
  <c r="BN62" i="164"/>
  <c r="BO62" i="164" s="1"/>
  <c r="BG61" i="163"/>
  <c r="BH61" i="163" s="1"/>
  <c r="BA61" i="163"/>
  <c r="BB61" i="163" s="1"/>
  <c r="AT61" i="163"/>
  <c r="AN61" i="163"/>
  <c r="AO61" i="163" s="1"/>
  <c r="AH61" i="163"/>
  <c r="AI61" i="163" s="1"/>
  <c r="AB61" i="163"/>
  <c r="AC61" i="163" s="1"/>
  <c r="V61" i="163"/>
  <c r="W61" i="163" s="1"/>
  <c r="O61" i="163"/>
  <c r="BQ61" i="163"/>
  <c r="BR61" i="163" s="1"/>
  <c r="AY61" i="163"/>
  <c r="AK61" i="163"/>
  <c r="AL61" i="163" s="1"/>
  <c r="Y61" i="163"/>
  <c r="Z61" i="163" s="1"/>
  <c r="AV61" i="163"/>
  <c r="AW61" i="163" s="1"/>
  <c r="BD61" i="163"/>
  <c r="BE61" i="163" s="1"/>
  <c r="AE61" i="163"/>
  <c r="AF61" i="163" s="1"/>
  <c r="R61" i="163"/>
  <c r="T61" i="163" s="1"/>
  <c r="P61" i="163"/>
  <c r="AQ61" i="163"/>
  <c r="AR61" i="163" s="1"/>
  <c r="BK61" i="163"/>
  <c r="BN61" i="163"/>
  <c r="BO61" i="163" s="1"/>
  <c r="BJ61" i="163"/>
  <c r="BL61" i="163" s="1"/>
  <c r="M61" i="163"/>
  <c r="K62" i="163"/>
  <c r="I63" i="163"/>
  <c r="K64" i="164" l="1"/>
  <c r="BQ64" i="164" s="1"/>
  <c r="I65" i="164"/>
  <c r="BR63" i="164"/>
  <c r="AY63" i="164"/>
  <c r="BD63" i="164"/>
  <c r="BE63" i="164" s="1"/>
  <c r="AQ63" i="164"/>
  <c r="AR63" i="164" s="1"/>
  <c r="AK63" i="164"/>
  <c r="AL63" i="164" s="1"/>
  <c r="AE63" i="164"/>
  <c r="AF63" i="164" s="1"/>
  <c r="Y63" i="164"/>
  <c r="Z63" i="164" s="1"/>
  <c r="R63" i="164"/>
  <c r="T63" i="164" s="1"/>
  <c r="AV63" i="164"/>
  <c r="AW63" i="164" s="1"/>
  <c r="P63" i="164"/>
  <c r="BG63" i="164"/>
  <c r="BH63" i="164" s="1"/>
  <c r="AH63" i="164"/>
  <c r="AI63" i="164" s="1"/>
  <c r="AT63" i="164"/>
  <c r="V63" i="164"/>
  <c r="W63" i="164" s="1"/>
  <c r="AB63" i="164"/>
  <c r="AC63" i="164" s="1"/>
  <c r="O63" i="164"/>
  <c r="BA63" i="164"/>
  <c r="BB63" i="164" s="1"/>
  <c r="AN63" i="164"/>
  <c r="AO63" i="164" s="1"/>
  <c r="BJ63" i="164"/>
  <c r="BL63" i="164" s="1"/>
  <c r="BN63" i="164"/>
  <c r="BO63" i="164" s="1"/>
  <c r="M63" i="164"/>
  <c r="BK63" i="164"/>
  <c r="BG62" i="163"/>
  <c r="BH62" i="163" s="1"/>
  <c r="BA62" i="163"/>
  <c r="BB62" i="163" s="1"/>
  <c r="AT62" i="163"/>
  <c r="AN62" i="163"/>
  <c r="AO62" i="163" s="1"/>
  <c r="AH62" i="163"/>
  <c r="AI62" i="163" s="1"/>
  <c r="AB62" i="163"/>
  <c r="AC62" i="163" s="1"/>
  <c r="V62" i="163"/>
  <c r="W62" i="163" s="1"/>
  <c r="O62" i="163"/>
  <c r="BQ62" i="163"/>
  <c r="BR62" i="163" s="1"/>
  <c r="AY62" i="163"/>
  <c r="AK62" i="163"/>
  <c r="AL62" i="163" s="1"/>
  <c r="Y62" i="163"/>
  <c r="Z62" i="163" s="1"/>
  <c r="AV62" i="163"/>
  <c r="AW62" i="163" s="1"/>
  <c r="AQ62" i="163"/>
  <c r="AR62" i="163" s="1"/>
  <c r="R62" i="163"/>
  <c r="T62" i="163" s="1"/>
  <c r="BD62" i="163"/>
  <c r="BE62" i="163" s="1"/>
  <c r="P62" i="163"/>
  <c r="AE62" i="163"/>
  <c r="AF62" i="163" s="1"/>
  <c r="BJ62" i="163"/>
  <c r="BL62" i="163" s="1"/>
  <c r="BN62" i="163"/>
  <c r="BO62" i="163" s="1"/>
  <c r="BK62" i="163"/>
  <c r="M62" i="163"/>
  <c r="K63" i="163"/>
  <c r="I64" i="163"/>
  <c r="K65" i="164" l="1"/>
  <c r="BQ65" i="164" s="1"/>
  <c r="I66" i="164"/>
  <c r="BR64" i="164"/>
  <c r="AY64" i="164"/>
  <c r="BD64" i="164"/>
  <c r="BE64" i="164" s="1"/>
  <c r="AQ64" i="164"/>
  <c r="AR64" i="164" s="1"/>
  <c r="AK64" i="164"/>
  <c r="AL64" i="164" s="1"/>
  <c r="AE64" i="164"/>
  <c r="AF64" i="164" s="1"/>
  <c r="Y64" i="164"/>
  <c r="Z64" i="164" s="1"/>
  <c r="R64" i="164"/>
  <c r="T64" i="164" s="1"/>
  <c r="AV64" i="164"/>
  <c r="AW64" i="164" s="1"/>
  <c r="P64" i="164"/>
  <c r="AT64" i="164"/>
  <c r="V64" i="164"/>
  <c r="W64" i="164" s="1"/>
  <c r="BG64" i="164"/>
  <c r="BH64" i="164" s="1"/>
  <c r="AH64" i="164"/>
  <c r="AI64" i="164" s="1"/>
  <c r="O64" i="164"/>
  <c r="BA64" i="164"/>
  <c r="BB64" i="164" s="1"/>
  <c r="AN64" i="164"/>
  <c r="AO64" i="164" s="1"/>
  <c r="AB64" i="164"/>
  <c r="AC64" i="164" s="1"/>
  <c r="M64" i="164"/>
  <c r="BK64" i="164"/>
  <c r="BJ64" i="164"/>
  <c r="BL64" i="164" s="1"/>
  <c r="BN64" i="164"/>
  <c r="BO64" i="164" s="1"/>
  <c r="K64" i="163"/>
  <c r="I65" i="163"/>
  <c r="BG63" i="163"/>
  <c r="BH63" i="163" s="1"/>
  <c r="BA63" i="163"/>
  <c r="BB63" i="163" s="1"/>
  <c r="AT63" i="163"/>
  <c r="AN63" i="163"/>
  <c r="AO63" i="163" s="1"/>
  <c r="AH63" i="163"/>
  <c r="AI63" i="163" s="1"/>
  <c r="AB63" i="163"/>
  <c r="AC63" i="163" s="1"/>
  <c r="V63" i="163"/>
  <c r="W63" i="163" s="1"/>
  <c r="O63" i="163"/>
  <c r="BQ63" i="163"/>
  <c r="BR63" i="163" s="1"/>
  <c r="AY63" i="163"/>
  <c r="AK63" i="163"/>
  <c r="AL63" i="163" s="1"/>
  <c r="Y63" i="163"/>
  <c r="Z63" i="163" s="1"/>
  <c r="AV63" i="163"/>
  <c r="AW63" i="163" s="1"/>
  <c r="BD63" i="163"/>
  <c r="BE63" i="163" s="1"/>
  <c r="AE63" i="163"/>
  <c r="AF63" i="163" s="1"/>
  <c r="AQ63" i="163"/>
  <c r="AR63" i="163" s="1"/>
  <c r="R63" i="163"/>
  <c r="T63" i="163" s="1"/>
  <c r="P63" i="163"/>
  <c r="BJ63" i="163"/>
  <c r="BL63" i="163" s="1"/>
  <c r="BN63" i="163"/>
  <c r="BO63" i="163" s="1"/>
  <c r="BK63" i="163"/>
  <c r="M63" i="163"/>
  <c r="K66" i="164" l="1"/>
  <c r="BQ66" i="164" s="1"/>
  <c r="I67" i="164"/>
  <c r="BR65" i="164"/>
  <c r="AY65" i="164"/>
  <c r="BD65" i="164"/>
  <c r="BE65" i="164" s="1"/>
  <c r="AQ65" i="164"/>
  <c r="AR65" i="164" s="1"/>
  <c r="AK65" i="164"/>
  <c r="AL65" i="164" s="1"/>
  <c r="AE65" i="164"/>
  <c r="AF65" i="164" s="1"/>
  <c r="Y65" i="164"/>
  <c r="Z65" i="164" s="1"/>
  <c r="R65" i="164"/>
  <c r="T65" i="164" s="1"/>
  <c r="AV65" i="164"/>
  <c r="AW65" i="164" s="1"/>
  <c r="P65" i="164"/>
  <c r="BG65" i="164"/>
  <c r="BH65" i="164" s="1"/>
  <c r="AH65" i="164"/>
  <c r="AI65" i="164" s="1"/>
  <c r="AT65" i="164"/>
  <c r="V65" i="164"/>
  <c r="W65" i="164" s="1"/>
  <c r="BA65" i="164"/>
  <c r="BB65" i="164" s="1"/>
  <c r="AN65" i="164"/>
  <c r="AO65" i="164" s="1"/>
  <c r="AB65" i="164"/>
  <c r="AC65" i="164" s="1"/>
  <c r="O65" i="164"/>
  <c r="M65" i="164"/>
  <c r="BK65" i="164"/>
  <c r="BJ65" i="164"/>
  <c r="BL65" i="164" s="1"/>
  <c r="BN65" i="164"/>
  <c r="BO65" i="164" s="1"/>
  <c r="K65" i="163"/>
  <c r="I66" i="163"/>
  <c r="BG64" i="163"/>
  <c r="BH64" i="163" s="1"/>
  <c r="BA64" i="163"/>
  <c r="BB64" i="163" s="1"/>
  <c r="AT64" i="163"/>
  <c r="AN64" i="163"/>
  <c r="AO64" i="163" s="1"/>
  <c r="AH64" i="163"/>
  <c r="AI64" i="163" s="1"/>
  <c r="AB64" i="163"/>
  <c r="AC64" i="163" s="1"/>
  <c r="V64" i="163"/>
  <c r="W64" i="163" s="1"/>
  <c r="O64" i="163"/>
  <c r="BQ64" i="163"/>
  <c r="BR64" i="163" s="1"/>
  <c r="AY64" i="163"/>
  <c r="AK64" i="163"/>
  <c r="AL64" i="163" s="1"/>
  <c r="Y64" i="163"/>
  <c r="Z64" i="163" s="1"/>
  <c r="AV64" i="163"/>
  <c r="AW64" i="163" s="1"/>
  <c r="AQ64" i="163"/>
  <c r="AR64" i="163" s="1"/>
  <c r="R64" i="163"/>
  <c r="T64" i="163" s="1"/>
  <c r="AE64" i="163"/>
  <c r="AF64" i="163" s="1"/>
  <c r="P64" i="163"/>
  <c r="BD64" i="163"/>
  <c r="BE64" i="163" s="1"/>
  <c r="BK64" i="163"/>
  <c r="M64" i="163"/>
  <c r="BN64" i="163"/>
  <c r="BO64" i="163" s="1"/>
  <c r="BJ64" i="163"/>
  <c r="BL64" i="163" s="1"/>
  <c r="K67" i="164" l="1"/>
  <c r="BQ67" i="164" s="1"/>
  <c r="I68" i="164"/>
  <c r="BR66" i="164"/>
  <c r="AY66" i="164"/>
  <c r="BD66" i="164"/>
  <c r="BE66" i="164" s="1"/>
  <c r="AQ66" i="164"/>
  <c r="AR66" i="164" s="1"/>
  <c r="AK66" i="164"/>
  <c r="AL66" i="164" s="1"/>
  <c r="AE66" i="164"/>
  <c r="AF66" i="164" s="1"/>
  <c r="Y66" i="164"/>
  <c r="Z66" i="164" s="1"/>
  <c r="R66" i="164"/>
  <c r="T66" i="164" s="1"/>
  <c r="AV66" i="164"/>
  <c r="AW66" i="164" s="1"/>
  <c r="P66" i="164"/>
  <c r="AT66" i="164"/>
  <c r="V66" i="164"/>
  <c r="W66" i="164" s="1"/>
  <c r="BG66" i="164"/>
  <c r="BH66" i="164" s="1"/>
  <c r="AH66" i="164"/>
  <c r="AI66" i="164" s="1"/>
  <c r="AN66" i="164"/>
  <c r="AO66" i="164" s="1"/>
  <c r="AB66" i="164"/>
  <c r="AC66" i="164" s="1"/>
  <c r="O66" i="164"/>
  <c r="BA66" i="164"/>
  <c r="BB66" i="164" s="1"/>
  <c r="M66" i="164"/>
  <c r="BK66" i="164"/>
  <c r="BJ66" i="164"/>
  <c r="BL66" i="164" s="1"/>
  <c r="BN66" i="164"/>
  <c r="BO66" i="164" s="1"/>
  <c r="K66" i="163"/>
  <c r="I67" i="163"/>
  <c r="BG65" i="163"/>
  <c r="BH65" i="163" s="1"/>
  <c r="BA65" i="163"/>
  <c r="BB65" i="163" s="1"/>
  <c r="AT65" i="163"/>
  <c r="AN65" i="163"/>
  <c r="AO65" i="163" s="1"/>
  <c r="AH65" i="163"/>
  <c r="AI65" i="163" s="1"/>
  <c r="AB65" i="163"/>
  <c r="AC65" i="163" s="1"/>
  <c r="V65" i="163"/>
  <c r="W65" i="163" s="1"/>
  <c r="O65" i="163"/>
  <c r="BQ65" i="163"/>
  <c r="BR65" i="163" s="1"/>
  <c r="AY65" i="163"/>
  <c r="AK65" i="163"/>
  <c r="AL65" i="163" s="1"/>
  <c r="Y65" i="163"/>
  <c r="Z65" i="163" s="1"/>
  <c r="AV65" i="163"/>
  <c r="AW65" i="163" s="1"/>
  <c r="BD65" i="163"/>
  <c r="BE65" i="163" s="1"/>
  <c r="AE65" i="163"/>
  <c r="AF65" i="163" s="1"/>
  <c r="R65" i="163"/>
  <c r="T65" i="163" s="1"/>
  <c r="P65" i="163"/>
  <c r="AQ65" i="163"/>
  <c r="AR65" i="163" s="1"/>
  <c r="M65" i="163"/>
  <c r="BJ65" i="163"/>
  <c r="BL65" i="163" s="1"/>
  <c r="BN65" i="163"/>
  <c r="BO65" i="163" s="1"/>
  <c r="BK65" i="163"/>
  <c r="I69" i="164" l="1"/>
  <c r="K68" i="164"/>
  <c r="BQ68" i="164" s="1"/>
  <c r="BR67" i="164"/>
  <c r="AY67" i="164"/>
  <c r="BD67" i="164"/>
  <c r="BE67" i="164" s="1"/>
  <c r="AQ67" i="164"/>
  <c r="AR67" i="164" s="1"/>
  <c r="AK67" i="164"/>
  <c r="AL67" i="164" s="1"/>
  <c r="AE67" i="164"/>
  <c r="AF67" i="164" s="1"/>
  <c r="Y67" i="164"/>
  <c r="Z67" i="164" s="1"/>
  <c r="R67" i="164"/>
  <c r="T67" i="164" s="1"/>
  <c r="AV67" i="164"/>
  <c r="AW67" i="164" s="1"/>
  <c r="P67" i="164"/>
  <c r="BG67" i="164"/>
  <c r="BH67" i="164" s="1"/>
  <c r="AH67" i="164"/>
  <c r="AI67" i="164" s="1"/>
  <c r="AT67" i="164"/>
  <c r="V67" i="164"/>
  <c r="W67" i="164" s="1"/>
  <c r="AB67" i="164"/>
  <c r="AC67" i="164" s="1"/>
  <c r="O67" i="164"/>
  <c r="BA67" i="164"/>
  <c r="BB67" i="164" s="1"/>
  <c r="AN67" i="164"/>
  <c r="AO67" i="164" s="1"/>
  <c r="BN67" i="164"/>
  <c r="BO67" i="164" s="1"/>
  <c r="M67" i="164"/>
  <c r="BK67" i="164"/>
  <c r="BJ67" i="164"/>
  <c r="BL67" i="164" s="1"/>
  <c r="BG66" i="163"/>
  <c r="BH66" i="163" s="1"/>
  <c r="BA66" i="163"/>
  <c r="BB66" i="163" s="1"/>
  <c r="AT66" i="163"/>
  <c r="AN66" i="163"/>
  <c r="AO66" i="163" s="1"/>
  <c r="AH66" i="163"/>
  <c r="AI66" i="163" s="1"/>
  <c r="AB66" i="163"/>
  <c r="AC66" i="163" s="1"/>
  <c r="V66" i="163"/>
  <c r="W66" i="163" s="1"/>
  <c r="O66" i="163"/>
  <c r="BQ66" i="163"/>
  <c r="BR66" i="163" s="1"/>
  <c r="AY66" i="163"/>
  <c r="AK66" i="163"/>
  <c r="AL66" i="163" s="1"/>
  <c r="Y66" i="163"/>
  <c r="Z66" i="163" s="1"/>
  <c r="AV66" i="163"/>
  <c r="AW66" i="163" s="1"/>
  <c r="AQ66" i="163"/>
  <c r="AR66" i="163" s="1"/>
  <c r="R66" i="163"/>
  <c r="T66" i="163" s="1"/>
  <c r="BD66" i="163"/>
  <c r="BE66" i="163" s="1"/>
  <c r="P66" i="163"/>
  <c r="AE66" i="163"/>
  <c r="AF66" i="163" s="1"/>
  <c r="BJ66" i="163"/>
  <c r="BL66" i="163" s="1"/>
  <c r="BK66" i="163"/>
  <c r="BN66" i="163"/>
  <c r="BO66" i="163" s="1"/>
  <c r="M66" i="163"/>
  <c r="K67" i="163"/>
  <c r="I68" i="163"/>
  <c r="BR68" i="164" l="1"/>
  <c r="AY68" i="164"/>
  <c r="BD68" i="164"/>
  <c r="BE68" i="164" s="1"/>
  <c r="AQ68" i="164"/>
  <c r="AR68" i="164" s="1"/>
  <c r="AK68" i="164"/>
  <c r="AL68" i="164" s="1"/>
  <c r="AE68" i="164"/>
  <c r="AF68" i="164" s="1"/>
  <c r="Y68" i="164"/>
  <c r="Z68" i="164" s="1"/>
  <c r="R68" i="164"/>
  <c r="T68" i="164" s="1"/>
  <c r="AV68" i="164"/>
  <c r="AW68" i="164" s="1"/>
  <c r="P68" i="164"/>
  <c r="AT68" i="164"/>
  <c r="V68" i="164"/>
  <c r="W68" i="164" s="1"/>
  <c r="BG68" i="164"/>
  <c r="BH68" i="164" s="1"/>
  <c r="AH68" i="164"/>
  <c r="AI68" i="164" s="1"/>
  <c r="O68" i="164"/>
  <c r="BA68" i="164"/>
  <c r="BB68" i="164" s="1"/>
  <c r="AN68" i="164"/>
  <c r="AO68" i="164" s="1"/>
  <c r="AB68" i="164"/>
  <c r="AC68" i="164" s="1"/>
  <c r="M68" i="164"/>
  <c r="BK68" i="164"/>
  <c r="BJ68" i="164"/>
  <c r="BL68" i="164" s="1"/>
  <c r="BN68" i="164"/>
  <c r="BO68" i="164" s="1"/>
  <c r="K69" i="164"/>
  <c r="BQ69" i="164" s="1"/>
  <c r="I70" i="164"/>
  <c r="BG67" i="163"/>
  <c r="BH67" i="163" s="1"/>
  <c r="BA67" i="163"/>
  <c r="BB67" i="163" s="1"/>
  <c r="AT67" i="163"/>
  <c r="AN67" i="163"/>
  <c r="AO67" i="163" s="1"/>
  <c r="AH67" i="163"/>
  <c r="AI67" i="163" s="1"/>
  <c r="AB67" i="163"/>
  <c r="AC67" i="163" s="1"/>
  <c r="V67" i="163"/>
  <c r="W67" i="163" s="1"/>
  <c r="O67" i="163"/>
  <c r="BQ67" i="163"/>
  <c r="BR67" i="163" s="1"/>
  <c r="AY67" i="163"/>
  <c r="AK67" i="163"/>
  <c r="AL67" i="163" s="1"/>
  <c r="Y67" i="163"/>
  <c r="Z67" i="163" s="1"/>
  <c r="AV67" i="163"/>
  <c r="AW67" i="163" s="1"/>
  <c r="BD67" i="163"/>
  <c r="BE67" i="163" s="1"/>
  <c r="AE67" i="163"/>
  <c r="AF67" i="163" s="1"/>
  <c r="R67" i="163"/>
  <c r="T67" i="163" s="1"/>
  <c r="AQ67" i="163"/>
  <c r="AR67" i="163" s="1"/>
  <c r="P67" i="163"/>
  <c r="BK67" i="163"/>
  <c r="M67" i="163"/>
  <c r="BN67" i="163"/>
  <c r="BO67" i="163" s="1"/>
  <c r="BJ67" i="163"/>
  <c r="BL67" i="163" s="1"/>
  <c r="I69" i="163"/>
  <c r="K68" i="163"/>
  <c r="BR69" i="164" l="1"/>
  <c r="BD69" i="164"/>
  <c r="BE69" i="164" s="1"/>
  <c r="AQ69" i="164"/>
  <c r="AR69" i="164" s="1"/>
  <c r="AK69" i="164"/>
  <c r="AL69" i="164" s="1"/>
  <c r="AE69" i="164"/>
  <c r="AF69" i="164" s="1"/>
  <c r="Y69" i="164"/>
  <c r="Z69" i="164" s="1"/>
  <c r="R69" i="164"/>
  <c r="T69" i="164" s="1"/>
  <c r="AV69" i="164"/>
  <c r="AW69" i="164" s="1"/>
  <c r="P69" i="164"/>
  <c r="BA69" i="164"/>
  <c r="BB69" i="164" s="1"/>
  <c r="AT69" i="164"/>
  <c r="AN69" i="164"/>
  <c r="AO69" i="164" s="1"/>
  <c r="AH69" i="164"/>
  <c r="AI69" i="164" s="1"/>
  <c r="AB69" i="164"/>
  <c r="AC69" i="164" s="1"/>
  <c r="V69" i="164"/>
  <c r="W69" i="164" s="1"/>
  <c r="O69" i="164"/>
  <c r="BG69" i="164"/>
  <c r="BH69" i="164" s="1"/>
  <c r="AY69" i="164"/>
  <c r="BN69" i="164"/>
  <c r="BO69" i="164" s="1"/>
  <c r="M69" i="164"/>
  <c r="BK69" i="164"/>
  <c r="BJ69" i="164"/>
  <c r="BL69" i="164" s="1"/>
  <c r="K70" i="164"/>
  <c r="BQ70" i="164" s="1"/>
  <c r="I71" i="164"/>
  <c r="BG68" i="163"/>
  <c r="BH68" i="163" s="1"/>
  <c r="BA68" i="163"/>
  <c r="BB68" i="163" s="1"/>
  <c r="AT68" i="163"/>
  <c r="AN68" i="163"/>
  <c r="AO68" i="163" s="1"/>
  <c r="AH68" i="163"/>
  <c r="AI68" i="163" s="1"/>
  <c r="AB68" i="163"/>
  <c r="AC68" i="163" s="1"/>
  <c r="V68" i="163"/>
  <c r="W68" i="163" s="1"/>
  <c r="O68" i="163"/>
  <c r="BQ68" i="163"/>
  <c r="BR68" i="163" s="1"/>
  <c r="AY68" i="163"/>
  <c r="AK68" i="163"/>
  <c r="AL68" i="163" s="1"/>
  <c r="Y68" i="163"/>
  <c r="Z68" i="163" s="1"/>
  <c r="AV68" i="163"/>
  <c r="AW68" i="163" s="1"/>
  <c r="AQ68" i="163"/>
  <c r="AR68" i="163" s="1"/>
  <c r="R68" i="163"/>
  <c r="T68" i="163" s="1"/>
  <c r="BD68" i="163"/>
  <c r="BE68" i="163" s="1"/>
  <c r="P68" i="163"/>
  <c r="AE68" i="163"/>
  <c r="AF68" i="163" s="1"/>
  <c r="BK68" i="163"/>
  <c r="M68" i="163"/>
  <c r="BJ68" i="163"/>
  <c r="BL68" i="163" s="1"/>
  <c r="BN68" i="163"/>
  <c r="BO68" i="163" s="1"/>
  <c r="I70" i="163"/>
  <c r="K69" i="163"/>
  <c r="BG70" i="164" l="1"/>
  <c r="BH70" i="164" s="1"/>
  <c r="BA70" i="164"/>
  <c r="BB70" i="164" s="1"/>
  <c r="AT70" i="164"/>
  <c r="AN70" i="164"/>
  <c r="AO70" i="164" s="1"/>
  <c r="AH70" i="164"/>
  <c r="AI70" i="164" s="1"/>
  <c r="AB70" i="164"/>
  <c r="AC70" i="164" s="1"/>
  <c r="V70" i="164"/>
  <c r="W70" i="164" s="1"/>
  <c r="O70" i="164"/>
  <c r="BD70" i="164"/>
  <c r="BE70" i="164" s="1"/>
  <c r="AQ70" i="164"/>
  <c r="AR70" i="164" s="1"/>
  <c r="AK70" i="164"/>
  <c r="AL70" i="164" s="1"/>
  <c r="AE70" i="164"/>
  <c r="AF70" i="164" s="1"/>
  <c r="Y70" i="164"/>
  <c r="Z70" i="164" s="1"/>
  <c r="R70" i="164"/>
  <c r="T70" i="164" s="1"/>
  <c r="P70" i="164"/>
  <c r="AY70" i="164"/>
  <c r="AV70" i="164"/>
  <c r="AW70" i="164" s="1"/>
  <c r="BR70" i="164"/>
  <c r="M70" i="164"/>
  <c r="BJ70" i="164"/>
  <c r="BL70" i="164" s="1"/>
  <c r="BN70" i="164"/>
  <c r="BO70" i="164" s="1"/>
  <c r="BK70" i="164"/>
  <c r="K71" i="164"/>
  <c r="BQ71" i="164" s="1"/>
  <c r="I72" i="164"/>
  <c r="BQ69" i="163"/>
  <c r="BR69" i="163" s="1"/>
  <c r="AY69" i="163"/>
  <c r="BD69" i="163"/>
  <c r="BE69" i="163" s="1"/>
  <c r="AQ69" i="163"/>
  <c r="AR69" i="163" s="1"/>
  <c r="AK69" i="163"/>
  <c r="AL69" i="163" s="1"/>
  <c r="AE69" i="163"/>
  <c r="AF69" i="163" s="1"/>
  <c r="Y69" i="163"/>
  <c r="Z69" i="163" s="1"/>
  <c r="R69" i="163"/>
  <c r="T69" i="163" s="1"/>
  <c r="AV69" i="163"/>
  <c r="AW69" i="163" s="1"/>
  <c r="BG69" i="163"/>
  <c r="BH69" i="163" s="1"/>
  <c r="AT69" i="163"/>
  <c r="AH69" i="163"/>
  <c r="AI69" i="163" s="1"/>
  <c r="V69" i="163"/>
  <c r="W69" i="163" s="1"/>
  <c r="O69" i="163"/>
  <c r="BA69" i="163"/>
  <c r="BB69" i="163" s="1"/>
  <c r="AB69" i="163"/>
  <c r="AC69" i="163" s="1"/>
  <c r="P69" i="163"/>
  <c r="AN69" i="163"/>
  <c r="AO69" i="163" s="1"/>
  <c r="BK69" i="163"/>
  <c r="BJ69" i="163"/>
  <c r="BL69" i="163" s="1"/>
  <c r="M69" i="163"/>
  <c r="BN69" i="163"/>
  <c r="BO69" i="163" s="1"/>
  <c r="K70" i="163"/>
  <c r="I71" i="163"/>
  <c r="K72" i="164" l="1"/>
  <c r="BQ72" i="164" s="1"/>
  <c r="I73" i="164"/>
  <c r="BG71" i="164"/>
  <c r="BH71" i="164" s="1"/>
  <c r="BA71" i="164"/>
  <c r="BB71" i="164" s="1"/>
  <c r="AT71" i="164"/>
  <c r="AN71" i="164"/>
  <c r="AO71" i="164" s="1"/>
  <c r="AH71" i="164"/>
  <c r="AI71" i="164" s="1"/>
  <c r="AB71" i="164"/>
  <c r="AC71" i="164" s="1"/>
  <c r="V71" i="164"/>
  <c r="W71" i="164" s="1"/>
  <c r="O71" i="164"/>
  <c r="BR71" i="164"/>
  <c r="BD71" i="164"/>
  <c r="BE71" i="164" s="1"/>
  <c r="AQ71" i="164"/>
  <c r="AR71" i="164" s="1"/>
  <c r="AK71" i="164"/>
  <c r="AL71" i="164" s="1"/>
  <c r="AE71" i="164"/>
  <c r="AF71" i="164" s="1"/>
  <c r="Y71" i="164"/>
  <c r="Z71" i="164" s="1"/>
  <c r="R71" i="164"/>
  <c r="T71" i="164" s="1"/>
  <c r="P71" i="164"/>
  <c r="AY71" i="164"/>
  <c r="AV71" i="164"/>
  <c r="AW71" i="164" s="1"/>
  <c r="M71" i="164"/>
  <c r="BK71" i="164"/>
  <c r="BN71" i="164"/>
  <c r="BO71" i="164" s="1"/>
  <c r="BJ71" i="164"/>
  <c r="BL71" i="164" s="1"/>
  <c r="K71" i="163"/>
  <c r="I72" i="163"/>
  <c r="BD70" i="163"/>
  <c r="BE70" i="163" s="1"/>
  <c r="AQ70" i="163"/>
  <c r="AR70" i="163" s="1"/>
  <c r="AK70" i="163"/>
  <c r="AL70" i="163" s="1"/>
  <c r="AE70" i="163"/>
  <c r="AF70" i="163" s="1"/>
  <c r="Y70" i="163"/>
  <c r="Z70" i="163" s="1"/>
  <c r="R70" i="163"/>
  <c r="T70" i="163" s="1"/>
  <c r="AV70" i="163"/>
  <c r="AW70" i="163" s="1"/>
  <c r="P70" i="163"/>
  <c r="BG70" i="163"/>
  <c r="BH70" i="163" s="1"/>
  <c r="AT70" i="163"/>
  <c r="AH70" i="163"/>
  <c r="AI70" i="163" s="1"/>
  <c r="V70" i="163"/>
  <c r="W70" i="163" s="1"/>
  <c r="BQ70" i="163"/>
  <c r="BR70" i="163" s="1"/>
  <c r="AN70" i="163"/>
  <c r="AO70" i="163" s="1"/>
  <c r="O70" i="163"/>
  <c r="AB70" i="163"/>
  <c r="AC70" i="163" s="1"/>
  <c r="BA70" i="163"/>
  <c r="BB70" i="163" s="1"/>
  <c r="AY70" i="163"/>
  <c r="BK70" i="163"/>
  <c r="BN70" i="163"/>
  <c r="BO70" i="163" s="1"/>
  <c r="M70" i="163"/>
  <c r="BJ70" i="163"/>
  <c r="BL70" i="163" s="1"/>
  <c r="I74" i="164" l="1"/>
  <c r="K73" i="164"/>
  <c r="BQ73" i="164" s="1"/>
  <c r="BG72" i="164"/>
  <c r="BH72" i="164" s="1"/>
  <c r="BA72" i="164"/>
  <c r="BB72" i="164" s="1"/>
  <c r="AT72" i="164"/>
  <c r="AN72" i="164"/>
  <c r="AO72" i="164" s="1"/>
  <c r="AH72" i="164"/>
  <c r="AI72" i="164" s="1"/>
  <c r="AB72" i="164"/>
  <c r="AC72" i="164" s="1"/>
  <c r="V72" i="164"/>
  <c r="W72" i="164" s="1"/>
  <c r="O72" i="164"/>
  <c r="BR72" i="164"/>
  <c r="AY72" i="164"/>
  <c r="BD72" i="164"/>
  <c r="BE72" i="164" s="1"/>
  <c r="AQ72" i="164"/>
  <c r="AR72" i="164" s="1"/>
  <c r="AK72" i="164"/>
  <c r="AL72" i="164" s="1"/>
  <c r="AE72" i="164"/>
  <c r="AF72" i="164" s="1"/>
  <c r="Y72" i="164"/>
  <c r="Z72" i="164" s="1"/>
  <c r="R72" i="164"/>
  <c r="T72" i="164" s="1"/>
  <c r="P72" i="164"/>
  <c r="AV72" i="164"/>
  <c r="AW72" i="164" s="1"/>
  <c r="BN72" i="164"/>
  <c r="BO72" i="164" s="1"/>
  <c r="M72" i="164"/>
  <c r="BK72" i="164"/>
  <c r="BJ72" i="164"/>
  <c r="BL72" i="164" s="1"/>
  <c r="K72" i="163"/>
  <c r="I73" i="163"/>
  <c r="BD71" i="163"/>
  <c r="BE71" i="163" s="1"/>
  <c r="AQ71" i="163"/>
  <c r="AR71" i="163" s="1"/>
  <c r="AK71" i="163"/>
  <c r="AL71" i="163" s="1"/>
  <c r="AE71" i="163"/>
  <c r="AF71" i="163" s="1"/>
  <c r="Y71" i="163"/>
  <c r="Z71" i="163" s="1"/>
  <c r="R71" i="163"/>
  <c r="T71" i="163" s="1"/>
  <c r="AV71" i="163"/>
  <c r="AW71" i="163" s="1"/>
  <c r="P71" i="163"/>
  <c r="BG71" i="163"/>
  <c r="BH71" i="163" s="1"/>
  <c r="AT71" i="163"/>
  <c r="AH71" i="163"/>
  <c r="AI71" i="163" s="1"/>
  <c r="V71" i="163"/>
  <c r="W71" i="163" s="1"/>
  <c r="BQ71" i="163"/>
  <c r="BR71" i="163" s="1"/>
  <c r="BA71" i="163"/>
  <c r="BB71" i="163" s="1"/>
  <c r="AB71" i="163"/>
  <c r="AC71" i="163" s="1"/>
  <c r="O71" i="163"/>
  <c r="M71" i="163"/>
  <c r="AY71" i="163"/>
  <c r="AN71" i="163"/>
  <c r="AO71" i="163" s="1"/>
  <c r="BJ71" i="163"/>
  <c r="BL71" i="163" s="1"/>
  <c r="BN71" i="163"/>
  <c r="BO71" i="163" s="1"/>
  <c r="BK71" i="163"/>
  <c r="BG73" i="164" l="1"/>
  <c r="BH73" i="164" s="1"/>
  <c r="BA73" i="164"/>
  <c r="BB73" i="164" s="1"/>
  <c r="AT73" i="164"/>
  <c r="AN73" i="164"/>
  <c r="AO73" i="164" s="1"/>
  <c r="AH73" i="164"/>
  <c r="AI73" i="164" s="1"/>
  <c r="AB73" i="164"/>
  <c r="AC73" i="164" s="1"/>
  <c r="V73" i="164"/>
  <c r="W73" i="164" s="1"/>
  <c r="O73" i="164"/>
  <c r="BR73" i="164"/>
  <c r="AY73" i="164"/>
  <c r="BD73" i="164"/>
  <c r="BE73" i="164" s="1"/>
  <c r="AQ73" i="164"/>
  <c r="AR73" i="164" s="1"/>
  <c r="AK73" i="164"/>
  <c r="AL73" i="164" s="1"/>
  <c r="AE73" i="164"/>
  <c r="AF73" i="164" s="1"/>
  <c r="Y73" i="164"/>
  <c r="Z73" i="164" s="1"/>
  <c r="R73" i="164"/>
  <c r="T73" i="164" s="1"/>
  <c r="AV73" i="164"/>
  <c r="AW73" i="164" s="1"/>
  <c r="P73" i="164"/>
  <c r="BN73" i="164"/>
  <c r="BO73" i="164" s="1"/>
  <c r="BK73" i="164"/>
  <c r="BJ73" i="164"/>
  <c r="BL73" i="164" s="1"/>
  <c r="M73" i="164"/>
  <c r="K74" i="164"/>
  <c r="BQ74" i="164" s="1"/>
  <c r="I75" i="164"/>
  <c r="I74" i="163"/>
  <c r="K73" i="163"/>
  <c r="BD72" i="163"/>
  <c r="BE72" i="163" s="1"/>
  <c r="AQ72" i="163"/>
  <c r="AR72" i="163" s="1"/>
  <c r="AK72" i="163"/>
  <c r="AL72" i="163" s="1"/>
  <c r="AE72" i="163"/>
  <c r="AF72" i="163" s="1"/>
  <c r="Y72" i="163"/>
  <c r="Z72" i="163" s="1"/>
  <c r="R72" i="163"/>
  <c r="T72" i="163" s="1"/>
  <c r="AV72" i="163"/>
  <c r="AW72" i="163" s="1"/>
  <c r="P72" i="163"/>
  <c r="BG72" i="163"/>
  <c r="BH72" i="163" s="1"/>
  <c r="AT72" i="163"/>
  <c r="AH72" i="163"/>
  <c r="AI72" i="163" s="1"/>
  <c r="V72" i="163"/>
  <c r="W72" i="163" s="1"/>
  <c r="BQ72" i="163"/>
  <c r="BR72" i="163" s="1"/>
  <c r="AN72" i="163"/>
  <c r="AO72" i="163" s="1"/>
  <c r="O72" i="163"/>
  <c r="BA72" i="163"/>
  <c r="BB72" i="163" s="1"/>
  <c r="AY72" i="163"/>
  <c r="AB72" i="163"/>
  <c r="AC72" i="163" s="1"/>
  <c r="BN72" i="163"/>
  <c r="BO72" i="163" s="1"/>
  <c r="M72" i="163"/>
  <c r="BJ72" i="163"/>
  <c r="BL72" i="163" s="1"/>
  <c r="BK72" i="163"/>
  <c r="K75" i="164" l="1"/>
  <c r="BQ75" i="164" s="1"/>
  <c r="I76" i="164"/>
  <c r="BR74" i="164"/>
  <c r="AY74" i="164"/>
  <c r="BD74" i="164"/>
  <c r="BE74" i="164" s="1"/>
  <c r="AQ74" i="164"/>
  <c r="AR74" i="164" s="1"/>
  <c r="AK74" i="164"/>
  <c r="AL74" i="164" s="1"/>
  <c r="AE74" i="164"/>
  <c r="AF74" i="164" s="1"/>
  <c r="Y74" i="164"/>
  <c r="Z74" i="164" s="1"/>
  <c r="R74" i="164"/>
  <c r="T74" i="164" s="1"/>
  <c r="AV74" i="164"/>
  <c r="AW74" i="164" s="1"/>
  <c r="P74" i="164"/>
  <c r="AN74" i="164"/>
  <c r="AO74" i="164" s="1"/>
  <c r="O74" i="164"/>
  <c r="BG74" i="164"/>
  <c r="BH74" i="164" s="1"/>
  <c r="AH74" i="164"/>
  <c r="AI74" i="164" s="1"/>
  <c r="BA74" i="164"/>
  <c r="BB74" i="164" s="1"/>
  <c r="AB74" i="164"/>
  <c r="AC74" i="164" s="1"/>
  <c r="V74" i="164"/>
  <c r="W74" i="164" s="1"/>
  <c r="AT74" i="164"/>
  <c r="M74" i="164"/>
  <c r="BK74" i="164"/>
  <c r="BJ74" i="164"/>
  <c r="BL74" i="164" s="1"/>
  <c r="BN74" i="164"/>
  <c r="BO74" i="164" s="1"/>
  <c r="BD73" i="163"/>
  <c r="BE73" i="163" s="1"/>
  <c r="AQ73" i="163"/>
  <c r="AR73" i="163" s="1"/>
  <c r="AK73" i="163"/>
  <c r="AL73" i="163" s="1"/>
  <c r="AE73" i="163"/>
  <c r="AF73" i="163" s="1"/>
  <c r="Y73" i="163"/>
  <c r="Z73" i="163" s="1"/>
  <c r="R73" i="163"/>
  <c r="T73" i="163" s="1"/>
  <c r="AV73" i="163"/>
  <c r="AW73" i="163" s="1"/>
  <c r="P73" i="163"/>
  <c r="BG73" i="163"/>
  <c r="BH73" i="163" s="1"/>
  <c r="AT73" i="163"/>
  <c r="AH73" i="163"/>
  <c r="AI73" i="163" s="1"/>
  <c r="V73" i="163"/>
  <c r="W73" i="163" s="1"/>
  <c r="BQ73" i="163"/>
  <c r="BR73" i="163" s="1"/>
  <c r="BA73" i="163"/>
  <c r="BB73" i="163" s="1"/>
  <c r="AB73" i="163"/>
  <c r="AC73" i="163" s="1"/>
  <c r="AN73" i="163"/>
  <c r="AO73" i="163" s="1"/>
  <c r="AY73" i="163"/>
  <c r="O73" i="163"/>
  <c r="M73" i="163"/>
  <c r="BN73" i="163"/>
  <c r="BO73" i="163" s="1"/>
  <c r="BK73" i="163"/>
  <c r="BJ73" i="163"/>
  <c r="BL73" i="163" s="1"/>
  <c r="I75" i="163"/>
  <c r="K74" i="163"/>
  <c r="K76" i="164" l="1"/>
  <c r="BQ76" i="164" s="1"/>
  <c r="I77" i="164"/>
  <c r="BR75" i="164"/>
  <c r="AY75" i="164"/>
  <c r="BD75" i="164"/>
  <c r="BE75" i="164" s="1"/>
  <c r="AQ75" i="164"/>
  <c r="AR75" i="164" s="1"/>
  <c r="AK75" i="164"/>
  <c r="AL75" i="164" s="1"/>
  <c r="AE75" i="164"/>
  <c r="AF75" i="164" s="1"/>
  <c r="Y75" i="164"/>
  <c r="Z75" i="164" s="1"/>
  <c r="R75" i="164"/>
  <c r="T75" i="164" s="1"/>
  <c r="AV75" i="164"/>
  <c r="AW75" i="164" s="1"/>
  <c r="P75" i="164"/>
  <c r="BA75" i="164"/>
  <c r="BB75" i="164" s="1"/>
  <c r="AB75" i="164"/>
  <c r="AC75" i="164" s="1"/>
  <c r="AT75" i="164"/>
  <c r="V75" i="164"/>
  <c r="W75" i="164" s="1"/>
  <c r="AN75" i="164"/>
  <c r="AO75" i="164" s="1"/>
  <c r="O75" i="164"/>
  <c r="BG75" i="164"/>
  <c r="BH75" i="164" s="1"/>
  <c r="AH75" i="164"/>
  <c r="AI75" i="164" s="1"/>
  <c r="M75" i="164"/>
  <c r="BK75" i="164"/>
  <c r="BJ75" i="164"/>
  <c r="BL75" i="164" s="1"/>
  <c r="BN75" i="164"/>
  <c r="BO75" i="164" s="1"/>
  <c r="AV74" i="163"/>
  <c r="AW74" i="163" s="1"/>
  <c r="P74" i="163"/>
  <c r="BG74" i="163"/>
  <c r="BH74" i="163" s="1"/>
  <c r="BA74" i="163"/>
  <c r="BB74" i="163" s="1"/>
  <c r="AT74" i="163"/>
  <c r="AN74" i="163"/>
  <c r="AO74" i="163" s="1"/>
  <c r="AH74" i="163"/>
  <c r="AI74" i="163" s="1"/>
  <c r="AB74" i="163"/>
  <c r="AC74" i="163" s="1"/>
  <c r="V74" i="163"/>
  <c r="W74" i="163" s="1"/>
  <c r="O74" i="163"/>
  <c r="BQ74" i="163"/>
  <c r="BR74" i="163" s="1"/>
  <c r="BD74" i="163"/>
  <c r="BE74" i="163" s="1"/>
  <c r="AQ74" i="163"/>
  <c r="AR74" i="163" s="1"/>
  <c r="AE74" i="163"/>
  <c r="AF74" i="163" s="1"/>
  <c r="R74" i="163"/>
  <c r="T74" i="163" s="1"/>
  <c r="Y74" i="163"/>
  <c r="Z74" i="163" s="1"/>
  <c r="AK74" i="163"/>
  <c r="AL74" i="163" s="1"/>
  <c r="AY74" i="163"/>
  <c r="BK74" i="163"/>
  <c r="M74" i="163"/>
  <c r="BN74" i="163"/>
  <c r="BO74" i="163" s="1"/>
  <c r="BJ74" i="163"/>
  <c r="BL74" i="163" s="1"/>
  <c r="I76" i="163"/>
  <c r="K75" i="163"/>
  <c r="I78" i="164" l="1"/>
  <c r="K77" i="164"/>
  <c r="BQ77" i="164" s="1"/>
  <c r="BR76" i="164"/>
  <c r="AY76" i="164"/>
  <c r="BD76" i="164"/>
  <c r="BE76" i="164" s="1"/>
  <c r="AQ76" i="164"/>
  <c r="AR76" i="164" s="1"/>
  <c r="AK76" i="164"/>
  <c r="AL76" i="164" s="1"/>
  <c r="AE76" i="164"/>
  <c r="AF76" i="164" s="1"/>
  <c r="Y76" i="164"/>
  <c r="Z76" i="164" s="1"/>
  <c r="R76" i="164"/>
  <c r="T76" i="164" s="1"/>
  <c r="AV76" i="164"/>
  <c r="AW76" i="164" s="1"/>
  <c r="P76" i="164"/>
  <c r="AN76" i="164"/>
  <c r="AO76" i="164" s="1"/>
  <c r="O76" i="164"/>
  <c r="BG76" i="164"/>
  <c r="BH76" i="164" s="1"/>
  <c r="AH76" i="164"/>
  <c r="AI76" i="164" s="1"/>
  <c r="BA76" i="164"/>
  <c r="BB76" i="164" s="1"/>
  <c r="AB76" i="164"/>
  <c r="AC76" i="164" s="1"/>
  <c r="AT76" i="164"/>
  <c r="V76" i="164"/>
  <c r="W76" i="164" s="1"/>
  <c r="M76" i="164"/>
  <c r="BK76" i="164"/>
  <c r="BJ76" i="164"/>
  <c r="BL76" i="164" s="1"/>
  <c r="BN76" i="164"/>
  <c r="BO76" i="164" s="1"/>
  <c r="I77" i="163"/>
  <c r="K76" i="163"/>
  <c r="AV75" i="163"/>
  <c r="AW75" i="163" s="1"/>
  <c r="P75" i="163"/>
  <c r="BG75" i="163"/>
  <c r="BH75" i="163" s="1"/>
  <c r="BA75" i="163"/>
  <c r="BB75" i="163" s="1"/>
  <c r="AT75" i="163"/>
  <c r="AN75" i="163"/>
  <c r="AO75" i="163" s="1"/>
  <c r="AH75" i="163"/>
  <c r="AI75" i="163" s="1"/>
  <c r="AB75" i="163"/>
  <c r="AC75" i="163" s="1"/>
  <c r="V75" i="163"/>
  <c r="W75" i="163" s="1"/>
  <c r="O75" i="163"/>
  <c r="BQ75" i="163"/>
  <c r="BR75" i="163" s="1"/>
  <c r="BD75" i="163"/>
  <c r="BE75" i="163" s="1"/>
  <c r="AQ75" i="163"/>
  <c r="AR75" i="163" s="1"/>
  <c r="AE75" i="163"/>
  <c r="AF75" i="163" s="1"/>
  <c r="R75" i="163"/>
  <c r="T75" i="163" s="1"/>
  <c r="AY75" i="163"/>
  <c r="Y75" i="163"/>
  <c r="Z75" i="163" s="1"/>
  <c r="AK75" i="163"/>
  <c r="AL75" i="163" s="1"/>
  <c r="BN75" i="163"/>
  <c r="BO75" i="163" s="1"/>
  <c r="BJ75" i="163"/>
  <c r="BL75" i="163" s="1"/>
  <c r="M75" i="163"/>
  <c r="BK75" i="163"/>
  <c r="BR77" i="164" l="1"/>
  <c r="AY77" i="164"/>
  <c r="BD77" i="164"/>
  <c r="BE77" i="164" s="1"/>
  <c r="AQ77" i="164"/>
  <c r="AR77" i="164" s="1"/>
  <c r="AK77" i="164"/>
  <c r="AL77" i="164" s="1"/>
  <c r="AE77" i="164"/>
  <c r="AF77" i="164" s="1"/>
  <c r="Y77" i="164"/>
  <c r="Z77" i="164" s="1"/>
  <c r="R77" i="164"/>
  <c r="T77" i="164" s="1"/>
  <c r="AV77" i="164"/>
  <c r="AW77" i="164" s="1"/>
  <c r="P77" i="164"/>
  <c r="BA77" i="164"/>
  <c r="BB77" i="164" s="1"/>
  <c r="AB77" i="164"/>
  <c r="AC77" i="164" s="1"/>
  <c r="AT77" i="164"/>
  <c r="V77" i="164"/>
  <c r="W77" i="164" s="1"/>
  <c r="AN77" i="164"/>
  <c r="AO77" i="164" s="1"/>
  <c r="O77" i="164"/>
  <c r="AH77" i="164"/>
  <c r="AI77" i="164" s="1"/>
  <c r="BG77" i="164"/>
  <c r="BH77" i="164" s="1"/>
  <c r="M77" i="164"/>
  <c r="BK77" i="164"/>
  <c r="BJ77" i="164"/>
  <c r="BL77" i="164" s="1"/>
  <c r="BN77" i="164"/>
  <c r="BO77" i="164" s="1"/>
  <c r="I79" i="164"/>
  <c r="K78" i="164"/>
  <c r="BQ78" i="164" s="1"/>
  <c r="AV76" i="163"/>
  <c r="AW76" i="163" s="1"/>
  <c r="P76" i="163"/>
  <c r="BG76" i="163"/>
  <c r="BH76" i="163" s="1"/>
  <c r="BA76" i="163"/>
  <c r="BB76" i="163" s="1"/>
  <c r="AT76" i="163"/>
  <c r="AN76" i="163"/>
  <c r="AO76" i="163" s="1"/>
  <c r="AH76" i="163"/>
  <c r="AI76" i="163" s="1"/>
  <c r="AB76" i="163"/>
  <c r="AC76" i="163" s="1"/>
  <c r="V76" i="163"/>
  <c r="W76" i="163" s="1"/>
  <c r="O76" i="163"/>
  <c r="BQ76" i="163"/>
  <c r="BR76" i="163" s="1"/>
  <c r="BD76" i="163"/>
  <c r="BE76" i="163" s="1"/>
  <c r="AQ76" i="163"/>
  <c r="AR76" i="163" s="1"/>
  <c r="AE76" i="163"/>
  <c r="AF76" i="163" s="1"/>
  <c r="R76" i="163"/>
  <c r="T76" i="163" s="1"/>
  <c r="AY76" i="163"/>
  <c r="AK76" i="163"/>
  <c r="AL76" i="163" s="1"/>
  <c r="Y76" i="163"/>
  <c r="Z76" i="163" s="1"/>
  <c r="BK76" i="163"/>
  <c r="BJ76" i="163"/>
  <c r="BL76" i="163" s="1"/>
  <c r="M76" i="163"/>
  <c r="BN76" i="163"/>
  <c r="BO76" i="163" s="1"/>
  <c r="I78" i="163"/>
  <c r="K77" i="163"/>
  <c r="BD78" i="164" l="1"/>
  <c r="BE78" i="164" s="1"/>
  <c r="AQ78" i="164"/>
  <c r="AR78" i="164" s="1"/>
  <c r="AK78" i="164"/>
  <c r="AL78" i="164" s="1"/>
  <c r="AE78" i="164"/>
  <c r="AF78" i="164" s="1"/>
  <c r="Y78" i="164"/>
  <c r="Z78" i="164" s="1"/>
  <c r="R78" i="164"/>
  <c r="T78" i="164" s="1"/>
  <c r="AV78" i="164"/>
  <c r="AW78" i="164" s="1"/>
  <c r="P78" i="164"/>
  <c r="BG78" i="164"/>
  <c r="BH78" i="164" s="1"/>
  <c r="BA78" i="164"/>
  <c r="BB78" i="164" s="1"/>
  <c r="AT78" i="164"/>
  <c r="AN78" i="164"/>
  <c r="AO78" i="164" s="1"/>
  <c r="AH78" i="164"/>
  <c r="AI78" i="164" s="1"/>
  <c r="AB78" i="164"/>
  <c r="AC78" i="164" s="1"/>
  <c r="V78" i="164"/>
  <c r="W78" i="164" s="1"/>
  <c r="O78" i="164"/>
  <c r="AY78" i="164"/>
  <c r="BR78" i="164"/>
  <c r="BK78" i="164"/>
  <c r="M78" i="164"/>
  <c r="BN78" i="164"/>
  <c r="BO78" i="164" s="1"/>
  <c r="BJ78" i="164"/>
  <c r="BL78" i="164" s="1"/>
  <c r="I80" i="164"/>
  <c r="K79" i="164"/>
  <c r="BQ79" i="164" s="1"/>
  <c r="K78" i="163"/>
  <c r="I79" i="163"/>
  <c r="AV77" i="163"/>
  <c r="AW77" i="163" s="1"/>
  <c r="P77" i="163"/>
  <c r="BG77" i="163"/>
  <c r="BH77" i="163" s="1"/>
  <c r="BA77" i="163"/>
  <c r="BB77" i="163" s="1"/>
  <c r="AT77" i="163"/>
  <c r="AN77" i="163"/>
  <c r="AO77" i="163" s="1"/>
  <c r="AH77" i="163"/>
  <c r="AI77" i="163" s="1"/>
  <c r="AB77" i="163"/>
  <c r="AC77" i="163" s="1"/>
  <c r="V77" i="163"/>
  <c r="W77" i="163" s="1"/>
  <c r="O77" i="163"/>
  <c r="BQ77" i="163"/>
  <c r="BR77" i="163" s="1"/>
  <c r="BD77" i="163"/>
  <c r="BE77" i="163" s="1"/>
  <c r="AQ77" i="163"/>
  <c r="AR77" i="163" s="1"/>
  <c r="AE77" i="163"/>
  <c r="AF77" i="163" s="1"/>
  <c r="R77" i="163"/>
  <c r="T77" i="163" s="1"/>
  <c r="AY77" i="163"/>
  <c r="AK77" i="163"/>
  <c r="AL77" i="163" s="1"/>
  <c r="Y77" i="163"/>
  <c r="Z77" i="163" s="1"/>
  <c r="BJ77" i="163"/>
  <c r="BL77" i="163" s="1"/>
  <c r="BN77" i="163"/>
  <c r="BO77" i="163" s="1"/>
  <c r="BK77" i="163"/>
  <c r="M77" i="163"/>
  <c r="AV79" i="164" l="1"/>
  <c r="AW79" i="164" s="1"/>
  <c r="P79" i="164"/>
  <c r="BG79" i="164"/>
  <c r="BH79" i="164" s="1"/>
  <c r="BA79" i="164"/>
  <c r="BB79" i="164" s="1"/>
  <c r="AT79" i="164"/>
  <c r="AN79" i="164"/>
  <c r="AO79" i="164" s="1"/>
  <c r="AH79" i="164"/>
  <c r="AI79" i="164" s="1"/>
  <c r="AB79" i="164"/>
  <c r="AC79" i="164" s="1"/>
  <c r="V79" i="164"/>
  <c r="W79" i="164" s="1"/>
  <c r="O79" i="164"/>
  <c r="BR79" i="164"/>
  <c r="AY79" i="164"/>
  <c r="Y79" i="164"/>
  <c r="Z79" i="164" s="1"/>
  <c r="AQ79" i="164"/>
  <c r="AR79" i="164" s="1"/>
  <c r="R79" i="164"/>
  <c r="T79" i="164" s="1"/>
  <c r="AK79" i="164"/>
  <c r="AL79" i="164" s="1"/>
  <c r="BD79" i="164"/>
  <c r="BE79" i="164" s="1"/>
  <c r="AE79" i="164"/>
  <c r="AF79" i="164" s="1"/>
  <c r="M79" i="164"/>
  <c r="BJ79" i="164"/>
  <c r="BL79" i="164" s="1"/>
  <c r="BK79" i="164"/>
  <c r="BN79" i="164"/>
  <c r="BO79" i="164" s="1"/>
  <c r="I81" i="164"/>
  <c r="K80" i="164"/>
  <c r="BQ80" i="164" s="1"/>
  <c r="K79" i="163"/>
  <c r="I80" i="163"/>
  <c r="BG78" i="163"/>
  <c r="BH78" i="163" s="1"/>
  <c r="BA78" i="163"/>
  <c r="BB78" i="163" s="1"/>
  <c r="AT78" i="163"/>
  <c r="AN78" i="163"/>
  <c r="AO78" i="163" s="1"/>
  <c r="AH78" i="163"/>
  <c r="AI78" i="163" s="1"/>
  <c r="AB78" i="163"/>
  <c r="AC78" i="163" s="1"/>
  <c r="V78" i="163"/>
  <c r="W78" i="163" s="1"/>
  <c r="O78" i="163"/>
  <c r="BQ78" i="163"/>
  <c r="BR78" i="163" s="1"/>
  <c r="AY78" i="163"/>
  <c r="BD78" i="163"/>
  <c r="BE78" i="163" s="1"/>
  <c r="AQ78" i="163"/>
  <c r="AR78" i="163" s="1"/>
  <c r="AE78" i="163"/>
  <c r="AF78" i="163" s="1"/>
  <c r="R78" i="163"/>
  <c r="T78" i="163" s="1"/>
  <c r="P78" i="163"/>
  <c r="AK78" i="163"/>
  <c r="AL78" i="163" s="1"/>
  <c r="Y78" i="163"/>
  <c r="Z78" i="163" s="1"/>
  <c r="AV78" i="163"/>
  <c r="AW78" i="163" s="1"/>
  <c r="BN78" i="163"/>
  <c r="BO78" i="163" s="1"/>
  <c r="BK78" i="163"/>
  <c r="BJ78" i="163"/>
  <c r="BL78" i="163" s="1"/>
  <c r="M78" i="163"/>
  <c r="BG80" i="164" l="1"/>
  <c r="BH80" i="164" s="1"/>
  <c r="BA80" i="164"/>
  <c r="BB80" i="164" s="1"/>
  <c r="AT80" i="164"/>
  <c r="AN80" i="164"/>
  <c r="AO80" i="164" s="1"/>
  <c r="AH80" i="164"/>
  <c r="AI80" i="164" s="1"/>
  <c r="AB80" i="164"/>
  <c r="AC80" i="164" s="1"/>
  <c r="V80" i="164"/>
  <c r="W80" i="164" s="1"/>
  <c r="O80" i="164"/>
  <c r="BR80" i="164"/>
  <c r="AY80" i="164"/>
  <c r="BD80" i="164"/>
  <c r="BE80" i="164" s="1"/>
  <c r="AQ80" i="164"/>
  <c r="AR80" i="164" s="1"/>
  <c r="AK80" i="164"/>
  <c r="AL80" i="164" s="1"/>
  <c r="AE80" i="164"/>
  <c r="AF80" i="164" s="1"/>
  <c r="Y80" i="164"/>
  <c r="Z80" i="164" s="1"/>
  <c r="R80" i="164"/>
  <c r="T80" i="164" s="1"/>
  <c r="AV80" i="164"/>
  <c r="AW80" i="164" s="1"/>
  <c r="P80" i="164"/>
  <c r="BJ80" i="164"/>
  <c r="BL80" i="164" s="1"/>
  <c r="M80" i="164"/>
  <c r="BN80" i="164"/>
  <c r="BO80" i="164" s="1"/>
  <c r="BK80" i="164"/>
  <c r="K81" i="164"/>
  <c r="BQ81" i="164" s="1"/>
  <c r="I82" i="164"/>
  <c r="K80" i="163"/>
  <c r="I81" i="163"/>
  <c r="BG79" i="163"/>
  <c r="BH79" i="163" s="1"/>
  <c r="BA79" i="163"/>
  <c r="BB79" i="163" s="1"/>
  <c r="AT79" i="163"/>
  <c r="BQ79" i="163"/>
  <c r="BR79" i="163" s="1"/>
  <c r="AY79" i="163"/>
  <c r="AQ79" i="163"/>
  <c r="AR79" i="163" s="1"/>
  <c r="AK79" i="163"/>
  <c r="AL79" i="163" s="1"/>
  <c r="AE79" i="163"/>
  <c r="AF79" i="163" s="1"/>
  <c r="Y79" i="163"/>
  <c r="Z79" i="163" s="1"/>
  <c r="R79" i="163"/>
  <c r="T79" i="163" s="1"/>
  <c r="P79" i="163"/>
  <c r="BD79" i="163"/>
  <c r="BE79" i="163" s="1"/>
  <c r="AN79" i="163"/>
  <c r="AO79" i="163" s="1"/>
  <c r="AB79" i="163"/>
  <c r="AC79" i="163" s="1"/>
  <c r="O79" i="163"/>
  <c r="AV79" i="163"/>
  <c r="AW79" i="163" s="1"/>
  <c r="V79" i="163"/>
  <c r="W79" i="163" s="1"/>
  <c r="AH79" i="163"/>
  <c r="AI79" i="163" s="1"/>
  <c r="M79" i="163"/>
  <c r="BJ79" i="163"/>
  <c r="BL79" i="163" s="1"/>
  <c r="BN79" i="163"/>
  <c r="BO79" i="163" s="1"/>
  <c r="BK79" i="163"/>
  <c r="I83" i="164" l="1"/>
  <c r="K82" i="164"/>
  <c r="BQ82" i="164" s="1"/>
  <c r="BR81" i="164"/>
  <c r="AY81" i="164"/>
  <c r="BD81" i="164"/>
  <c r="BE81" i="164" s="1"/>
  <c r="AQ81" i="164"/>
  <c r="AR81" i="164" s="1"/>
  <c r="AK81" i="164"/>
  <c r="AL81" i="164" s="1"/>
  <c r="AE81" i="164"/>
  <c r="AF81" i="164" s="1"/>
  <c r="Y81" i="164"/>
  <c r="Z81" i="164" s="1"/>
  <c r="R81" i="164"/>
  <c r="T81" i="164" s="1"/>
  <c r="AV81" i="164"/>
  <c r="AW81" i="164" s="1"/>
  <c r="P81" i="164"/>
  <c r="AT81" i="164"/>
  <c r="V81" i="164"/>
  <c r="W81" i="164" s="1"/>
  <c r="AN81" i="164"/>
  <c r="AO81" i="164" s="1"/>
  <c r="O81" i="164"/>
  <c r="BG81" i="164"/>
  <c r="BH81" i="164" s="1"/>
  <c r="AH81" i="164"/>
  <c r="AI81" i="164" s="1"/>
  <c r="AB81" i="164"/>
  <c r="AC81" i="164" s="1"/>
  <c r="BA81" i="164"/>
  <c r="BB81" i="164" s="1"/>
  <c r="M81" i="164"/>
  <c r="BK81" i="164"/>
  <c r="BJ81" i="164"/>
  <c r="BL81" i="164" s="1"/>
  <c r="BN81" i="164"/>
  <c r="BO81" i="164" s="1"/>
  <c r="K81" i="163"/>
  <c r="I82" i="163"/>
  <c r="BG80" i="163"/>
  <c r="BH80" i="163" s="1"/>
  <c r="BA80" i="163"/>
  <c r="BB80" i="163" s="1"/>
  <c r="AT80" i="163"/>
  <c r="AN80" i="163"/>
  <c r="AO80" i="163" s="1"/>
  <c r="AH80" i="163"/>
  <c r="AI80" i="163" s="1"/>
  <c r="BQ80" i="163"/>
  <c r="BR80" i="163" s="1"/>
  <c r="AY80" i="163"/>
  <c r="BD80" i="163"/>
  <c r="BE80" i="163" s="1"/>
  <c r="AQ80" i="163"/>
  <c r="AR80" i="163" s="1"/>
  <c r="AE80" i="163"/>
  <c r="AF80" i="163" s="1"/>
  <c r="O80" i="163"/>
  <c r="V80" i="163"/>
  <c r="W80" i="163" s="1"/>
  <c r="AB80" i="163"/>
  <c r="AC80" i="163" s="1"/>
  <c r="AV80" i="163"/>
  <c r="AW80" i="163" s="1"/>
  <c r="Y80" i="163"/>
  <c r="Z80" i="163" s="1"/>
  <c r="R80" i="163"/>
  <c r="T80" i="163" s="1"/>
  <c r="AK80" i="163"/>
  <c r="AL80" i="163" s="1"/>
  <c r="P80" i="163"/>
  <c r="M80" i="163"/>
  <c r="BK80" i="163"/>
  <c r="BN80" i="163"/>
  <c r="BO80" i="163" s="1"/>
  <c r="BJ80" i="163"/>
  <c r="BL80" i="163" s="1"/>
  <c r="BD82" i="164" l="1"/>
  <c r="BE82" i="164" s="1"/>
  <c r="AQ82" i="164"/>
  <c r="AR82" i="164" s="1"/>
  <c r="AK82" i="164"/>
  <c r="AL82" i="164" s="1"/>
  <c r="AE82" i="164"/>
  <c r="AF82" i="164" s="1"/>
  <c r="Y82" i="164"/>
  <c r="Z82" i="164" s="1"/>
  <c r="R82" i="164"/>
  <c r="T82" i="164" s="1"/>
  <c r="BG82" i="164"/>
  <c r="BH82" i="164" s="1"/>
  <c r="BA82" i="164"/>
  <c r="BB82" i="164" s="1"/>
  <c r="AT82" i="164"/>
  <c r="AN82" i="164"/>
  <c r="AO82" i="164" s="1"/>
  <c r="AH82" i="164"/>
  <c r="AI82" i="164" s="1"/>
  <c r="AB82" i="164"/>
  <c r="AC82" i="164" s="1"/>
  <c r="V82" i="164"/>
  <c r="W82" i="164" s="1"/>
  <c r="AV82" i="164"/>
  <c r="AW82" i="164" s="1"/>
  <c r="BR82" i="164"/>
  <c r="P82" i="164"/>
  <c r="AY82" i="164"/>
  <c r="O82" i="164"/>
  <c r="BN82" i="164"/>
  <c r="BO82" i="164" s="1"/>
  <c r="BJ82" i="164"/>
  <c r="BL82" i="164" s="1"/>
  <c r="M82" i="164"/>
  <c r="BK82" i="164"/>
  <c r="I84" i="164"/>
  <c r="K83" i="164"/>
  <c r="BQ83" i="164" s="1"/>
  <c r="I83" i="163"/>
  <c r="K82" i="163"/>
  <c r="BQ81" i="163"/>
  <c r="BR81" i="163" s="1"/>
  <c r="AY81" i="163"/>
  <c r="BD81" i="163"/>
  <c r="BE81" i="163" s="1"/>
  <c r="AQ81" i="163"/>
  <c r="AR81" i="163" s="1"/>
  <c r="AK81" i="163"/>
  <c r="AL81" i="163" s="1"/>
  <c r="AE81" i="163"/>
  <c r="AF81" i="163" s="1"/>
  <c r="Y81" i="163"/>
  <c r="Z81" i="163" s="1"/>
  <c r="R81" i="163"/>
  <c r="T81" i="163" s="1"/>
  <c r="P81" i="163"/>
  <c r="BA81" i="163"/>
  <c r="BB81" i="163" s="1"/>
  <c r="AN81" i="163"/>
  <c r="AO81" i="163" s="1"/>
  <c r="AB81" i="163"/>
  <c r="AC81" i="163" s="1"/>
  <c r="O81" i="163"/>
  <c r="BG81" i="163"/>
  <c r="BH81" i="163" s="1"/>
  <c r="AH81" i="163"/>
  <c r="AI81" i="163" s="1"/>
  <c r="AV81" i="163"/>
  <c r="AW81" i="163" s="1"/>
  <c r="V81" i="163"/>
  <c r="W81" i="163" s="1"/>
  <c r="AT81" i="163"/>
  <c r="BJ81" i="163"/>
  <c r="BL81" i="163" s="1"/>
  <c r="BN81" i="163"/>
  <c r="BO81" i="163" s="1"/>
  <c r="BK81" i="163"/>
  <c r="M81" i="163"/>
  <c r="AV83" i="164" l="1"/>
  <c r="AW83" i="164" s="1"/>
  <c r="P83" i="164"/>
  <c r="BG83" i="164"/>
  <c r="BH83" i="164" s="1"/>
  <c r="BA83" i="164"/>
  <c r="BB83" i="164" s="1"/>
  <c r="AT83" i="164"/>
  <c r="AN83" i="164"/>
  <c r="AO83" i="164" s="1"/>
  <c r="AH83" i="164"/>
  <c r="AI83" i="164" s="1"/>
  <c r="AB83" i="164"/>
  <c r="AC83" i="164" s="1"/>
  <c r="V83" i="164"/>
  <c r="W83" i="164" s="1"/>
  <c r="O83" i="164"/>
  <c r="BR83" i="164"/>
  <c r="AY83" i="164"/>
  <c r="AK83" i="164"/>
  <c r="AL83" i="164" s="1"/>
  <c r="BD83" i="164"/>
  <c r="BE83" i="164" s="1"/>
  <c r="AE83" i="164"/>
  <c r="AF83" i="164" s="1"/>
  <c r="Y83" i="164"/>
  <c r="Z83" i="164" s="1"/>
  <c r="AQ83" i="164"/>
  <c r="AR83" i="164" s="1"/>
  <c r="R83" i="164"/>
  <c r="T83" i="164" s="1"/>
  <c r="BN83" i="164"/>
  <c r="BO83" i="164" s="1"/>
  <c r="BK83" i="164"/>
  <c r="BJ83" i="164"/>
  <c r="BL83" i="164" s="1"/>
  <c r="M83" i="164"/>
  <c r="I85" i="164"/>
  <c r="K84" i="164"/>
  <c r="BQ84" i="164" s="1"/>
  <c r="BQ82" i="163"/>
  <c r="BR82" i="163" s="1"/>
  <c r="AY82" i="163"/>
  <c r="BD82" i="163"/>
  <c r="BE82" i="163" s="1"/>
  <c r="AQ82" i="163"/>
  <c r="AR82" i="163" s="1"/>
  <c r="AK82" i="163"/>
  <c r="AL82" i="163" s="1"/>
  <c r="AE82" i="163"/>
  <c r="AF82" i="163" s="1"/>
  <c r="Y82" i="163"/>
  <c r="Z82" i="163" s="1"/>
  <c r="R82" i="163"/>
  <c r="T82" i="163" s="1"/>
  <c r="P82" i="163"/>
  <c r="BA82" i="163"/>
  <c r="BB82" i="163" s="1"/>
  <c r="AN82" i="163"/>
  <c r="AO82" i="163" s="1"/>
  <c r="AB82" i="163"/>
  <c r="AC82" i="163" s="1"/>
  <c r="O82" i="163"/>
  <c r="AV82" i="163"/>
  <c r="AW82" i="163" s="1"/>
  <c r="AT82" i="163"/>
  <c r="V82" i="163"/>
  <c r="W82" i="163" s="1"/>
  <c r="BG82" i="163"/>
  <c r="BH82" i="163" s="1"/>
  <c r="AH82" i="163"/>
  <c r="AI82" i="163" s="1"/>
  <c r="M82" i="163"/>
  <c r="BJ82" i="163"/>
  <c r="BL82" i="163" s="1"/>
  <c r="BN82" i="163"/>
  <c r="BO82" i="163" s="1"/>
  <c r="BK82" i="163"/>
  <c r="K83" i="163"/>
  <c r="I84" i="163"/>
  <c r="I86" i="164" l="1"/>
  <c r="K85" i="164"/>
  <c r="BQ85" i="164" s="1"/>
  <c r="AV84" i="164"/>
  <c r="AW84" i="164" s="1"/>
  <c r="P84" i="164"/>
  <c r="BG84" i="164"/>
  <c r="BH84" i="164" s="1"/>
  <c r="BA84" i="164"/>
  <c r="BB84" i="164" s="1"/>
  <c r="AT84" i="164"/>
  <c r="AN84" i="164"/>
  <c r="AO84" i="164" s="1"/>
  <c r="AH84" i="164"/>
  <c r="AI84" i="164" s="1"/>
  <c r="AB84" i="164"/>
  <c r="AC84" i="164" s="1"/>
  <c r="V84" i="164"/>
  <c r="W84" i="164" s="1"/>
  <c r="O84" i="164"/>
  <c r="BR84" i="164"/>
  <c r="AY84" i="164"/>
  <c r="Y84" i="164"/>
  <c r="Z84" i="164" s="1"/>
  <c r="AQ84" i="164"/>
  <c r="AR84" i="164" s="1"/>
  <c r="R84" i="164"/>
  <c r="T84" i="164" s="1"/>
  <c r="AK84" i="164"/>
  <c r="AL84" i="164" s="1"/>
  <c r="BD84" i="164"/>
  <c r="BE84" i="164" s="1"/>
  <c r="AE84" i="164"/>
  <c r="AF84" i="164" s="1"/>
  <c r="M84" i="164"/>
  <c r="BJ84" i="164"/>
  <c r="BL84" i="164" s="1"/>
  <c r="BN84" i="164"/>
  <c r="BO84" i="164" s="1"/>
  <c r="BK84" i="164"/>
  <c r="BD83" i="163"/>
  <c r="BE83" i="163" s="1"/>
  <c r="AQ83" i="163"/>
  <c r="AR83" i="163" s="1"/>
  <c r="AK83" i="163"/>
  <c r="AL83" i="163" s="1"/>
  <c r="AE83" i="163"/>
  <c r="AF83" i="163" s="1"/>
  <c r="Y83" i="163"/>
  <c r="Z83" i="163" s="1"/>
  <c r="R83" i="163"/>
  <c r="T83" i="163" s="1"/>
  <c r="AV83" i="163"/>
  <c r="AW83" i="163" s="1"/>
  <c r="P83" i="163"/>
  <c r="BA83" i="163"/>
  <c r="BB83" i="163" s="1"/>
  <c r="AN83" i="163"/>
  <c r="AO83" i="163" s="1"/>
  <c r="AB83" i="163"/>
  <c r="AC83" i="163" s="1"/>
  <c r="O83" i="163"/>
  <c r="AY83" i="163"/>
  <c r="BG83" i="163"/>
  <c r="BH83" i="163" s="1"/>
  <c r="AH83" i="163"/>
  <c r="AI83" i="163" s="1"/>
  <c r="V83" i="163"/>
  <c r="W83" i="163" s="1"/>
  <c r="BQ83" i="163"/>
  <c r="BR83" i="163" s="1"/>
  <c r="AT83" i="163"/>
  <c r="BK83" i="163"/>
  <c r="BJ83" i="163"/>
  <c r="BL83" i="163" s="1"/>
  <c r="BN83" i="163"/>
  <c r="BO83" i="163" s="1"/>
  <c r="M83" i="163"/>
  <c r="K84" i="163"/>
  <c r="I85" i="163"/>
  <c r="AV85" i="164" l="1"/>
  <c r="AW85" i="164" s="1"/>
  <c r="P85" i="164"/>
  <c r="BG85" i="164"/>
  <c r="BH85" i="164" s="1"/>
  <c r="BA85" i="164"/>
  <c r="BB85" i="164" s="1"/>
  <c r="AT85" i="164"/>
  <c r="AN85" i="164"/>
  <c r="AO85" i="164" s="1"/>
  <c r="AH85" i="164"/>
  <c r="AI85" i="164" s="1"/>
  <c r="AB85" i="164"/>
  <c r="AC85" i="164" s="1"/>
  <c r="V85" i="164"/>
  <c r="W85" i="164" s="1"/>
  <c r="O85" i="164"/>
  <c r="BR85" i="164"/>
  <c r="AY85" i="164"/>
  <c r="AK85" i="164"/>
  <c r="AL85" i="164" s="1"/>
  <c r="BD85" i="164"/>
  <c r="BE85" i="164" s="1"/>
  <c r="AE85" i="164"/>
  <c r="AF85" i="164" s="1"/>
  <c r="Y85" i="164"/>
  <c r="Z85" i="164" s="1"/>
  <c r="AQ85" i="164"/>
  <c r="AR85" i="164" s="1"/>
  <c r="R85" i="164"/>
  <c r="T85" i="164" s="1"/>
  <c r="M85" i="164"/>
  <c r="BJ85" i="164"/>
  <c r="BL85" i="164" s="1"/>
  <c r="BN85" i="164"/>
  <c r="BO85" i="164" s="1"/>
  <c r="BK85" i="164"/>
  <c r="I87" i="164"/>
  <c r="K86" i="164"/>
  <c r="BQ86" i="164" s="1"/>
  <c r="K85" i="163"/>
  <c r="I86" i="163"/>
  <c r="BD84" i="163"/>
  <c r="BE84" i="163" s="1"/>
  <c r="AQ84" i="163"/>
  <c r="AR84" i="163" s="1"/>
  <c r="AK84" i="163"/>
  <c r="AL84" i="163" s="1"/>
  <c r="AE84" i="163"/>
  <c r="AF84" i="163" s="1"/>
  <c r="Y84" i="163"/>
  <c r="Z84" i="163" s="1"/>
  <c r="R84" i="163"/>
  <c r="T84" i="163" s="1"/>
  <c r="AV84" i="163"/>
  <c r="AW84" i="163" s="1"/>
  <c r="P84" i="163"/>
  <c r="BA84" i="163"/>
  <c r="BB84" i="163" s="1"/>
  <c r="AN84" i="163"/>
  <c r="AO84" i="163" s="1"/>
  <c r="AB84" i="163"/>
  <c r="AC84" i="163" s="1"/>
  <c r="O84" i="163"/>
  <c r="AY84" i="163"/>
  <c r="AT84" i="163"/>
  <c r="V84" i="163"/>
  <c r="W84" i="163" s="1"/>
  <c r="BQ84" i="163"/>
  <c r="BR84" i="163" s="1"/>
  <c r="BG84" i="163"/>
  <c r="BH84" i="163" s="1"/>
  <c r="AH84" i="163"/>
  <c r="AI84" i="163" s="1"/>
  <c r="BJ84" i="163"/>
  <c r="BL84" i="163" s="1"/>
  <c r="BN84" i="163"/>
  <c r="BO84" i="163" s="1"/>
  <c r="M84" i="163"/>
  <c r="BK84" i="163"/>
  <c r="AV86" i="164" l="1"/>
  <c r="AW86" i="164" s="1"/>
  <c r="P86" i="164"/>
  <c r="BG86" i="164"/>
  <c r="BH86" i="164" s="1"/>
  <c r="BA86" i="164"/>
  <c r="BB86" i="164" s="1"/>
  <c r="AT86" i="164"/>
  <c r="AN86" i="164"/>
  <c r="AO86" i="164" s="1"/>
  <c r="AH86" i="164"/>
  <c r="AI86" i="164" s="1"/>
  <c r="AB86" i="164"/>
  <c r="AC86" i="164" s="1"/>
  <c r="V86" i="164"/>
  <c r="W86" i="164" s="1"/>
  <c r="O86" i="164"/>
  <c r="BR86" i="164"/>
  <c r="AY86" i="164"/>
  <c r="Y86" i="164"/>
  <c r="Z86" i="164" s="1"/>
  <c r="AQ86" i="164"/>
  <c r="AR86" i="164" s="1"/>
  <c r="R86" i="164"/>
  <c r="T86" i="164" s="1"/>
  <c r="AK86" i="164"/>
  <c r="AL86" i="164" s="1"/>
  <c r="BD86" i="164"/>
  <c r="BE86" i="164" s="1"/>
  <c r="AE86" i="164"/>
  <c r="AF86" i="164" s="1"/>
  <c r="BN86" i="164"/>
  <c r="BO86" i="164" s="1"/>
  <c r="BK86" i="164"/>
  <c r="M86" i="164"/>
  <c r="BJ86" i="164"/>
  <c r="BL86" i="164" s="1"/>
  <c r="I88" i="164"/>
  <c r="K87" i="164"/>
  <c r="BQ87" i="164" s="1"/>
  <c r="I87" i="163"/>
  <c r="K86" i="163"/>
  <c r="BD85" i="163"/>
  <c r="BE85" i="163" s="1"/>
  <c r="AQ85" i="163"/>
  <c r="AR85" i="163" s="1"/>
  <c r="AK85" i="163"/>
  <c r="AL85" i="163" s="1"/>
  <c r="AE85" i="163"/>
  <c r="AF85" i="163" s="1"/>
  <c r="Y85" i="163"/>
  <c r="Z85" i="163" s="1"/>
  <c r="R85" i="163"/>
  <c r="T85" i="163" s="1"/>
  <c r="AV85" i="163"/>
  <c r="AW85" i="163" s="1"/>
  <c r="P85" i="163"/>
  <c r="BA85" i="163"/>
  <c r="BB85" i="163" s="1"/>
  <c r="AN85" i="163"/>
  <c r="AO85" i="163" s="1"/>
  <c r="AB85" i="163"/>
  <c r="AC85" i="163" s="1"/>
  <c r="O85" i="163"/>
  <c r="AY85" i="163"/>
  <c r="BG85" i="163"/>
  <c r="BH85" i="163" s="1"/>
  <c r="AH85" i="163"/>
  <c r="AI85" i="163" s="1"/>
  <c r="AT85" i="163"/>
  <c r="V85" i="163"/>
  <c r="W85" i="163" s="1"/>
  <c r="BQ85" i="163"/>
  <c r="BR85" i="163" s="1"/>
  <c r="BN85" i="163"/>
  <c r="BO85" i="163" s="1"/>
  <c r="M85" i="163"/>
  <c r="BK85" i="163"/>
  <c r="BJ85" i="163"/>
  <c r="BL85" i="163" s="1"/>
  <c r="BG87" i="164" l="1"/>
  <c r="BH87" i="164" s="1"/>
  <c r="BA87" i="164"/>
  <c r="BB87" i="164" s="1"/>
  <c r="AT87" i="164"/>
  <c r="AN87" i="164"/>
  <c r="AO87" i="164" s="1"/>
  <c r="AH87" i="164"/>
  <c r="AI87" i="164" s="1"/>
  <c r="AB87" i="164"/>
  <c r="AC87" i="164" s="1"/>
  <c r="V87" i="164"/>
  <c r="W87" i="164" s="1"/>
  <c r="O87" i="164"/>
  <c r="BR87" i="164"/>
  <c r="AY87" i="164"/>
  <c r="BD87" i="164"/>
  <c r="BE87" i="164" s="1"/>
  <c r="AQ87" i="164"/>
  <c r="AR87" i="164" s="1"/>
  <c r="AK87" i="164"/>
  <c r="AL87" i="164" s="1"/>
  <c r="AE87" i="164"/>
  <c r="AF87" i="164" s="1"/>
  <c r="Y87" i="164"/>
  <c r="Z87" i="164" s="1"/>
  <c r="R87" i="164"/>
  <c r="T87" i="164" s="1"/>
  <c r="AV87" i="164"/>
  <c r="AW87" i="164" s="1"/>
  <c r="P87" i="164"/>
  <c r="M87" i="164"/>
  <c r="BJ87" i="164"/>
  <c r="BL87" i="164" s="1"/>
  <c r="BK87" i="164"/>
  <c r="BN87" i="164"/>
  <c r="BO87" i="164" s="1"/>
  <c r="I89" i="164"/>
  <c r="K88" i="164"/>
  <c r="BQ88" i="164" s="1"/>
  <c r="BD86" i="163"/>
  <c r="BE86" i="163" s="1"/>
  <c r="AQ86" i="163"/>
  <c r="AR86" i="163" s="1"/>
  <c r="AK86" i="163"/>
  <c r="AL86" i="163" s="1"/>
  <c r="AE86" i="163"/>
  <c r="AF86" i="163" s="1"/>
  <c r="Y86" i="163"/>
  <c r="Z86" i="163" s="1"/>
  <c r="R86" i="163"/>
  <c r="T86" i="163" s="1"/>
  <c r="AV86" i="163"/>
  <c r="AW86" i="163" s="1"/>
  <c r="P86" i="163"/>
  <c r="BA86" i="163"/>
  <c r="BB86" i="163" s="1"/>
  <c r="AN86" i="163"/>
  <c r="AO86" i="163" s="1"/>
  <c r="AB86" i="163"/>
  <c r="AC86" i="163" s="1"/>
  <c r="O86" i="163"/>
  <c r="AY86" i="163"/>
  <c r="AT86" i="163"/>
  <c r="V86" i="163"/>
  <c r="W86" i="163" s="1"/>
  <c r="BQ86" i="163"/>
  <c r="BR86" i="163" s="1"/>
  <c r="AH86" i="163"/>
  <c r="AI86" i="163" s="1"/>
  <c r="BG86" i="163"/>
  <c r="BH86" i="163" s="1"/>
  <c r="BJ86" i="163"/>
  <c r="BL86" i="163" s="1"/>
  <c r="M86" i="163"/>
  <c r="BK86" i="163"/>
  <c r="BN86" i="163"/>
  <c r="BO86" i="163" s="1"/>
  <c r="I88" i="163"/>
  <c r="K87" i="163"/>
  <c r="I90" i="164" l="1"/>
  <c r="K89" i="164"/>
  <c r="BQ89" i="164" s="1"/>
  <c r="BR88" i="164"/>
  <c r="AY88" i="164"/>
  <c r="BD88" i="164"/>
  <c r="BE88" i="164" s="1"/>
  <c r="AQ88" i="164"/>
  <c r="AR88" i="164" s="1"/>
  <c r="AK88" i="164"/>
  <c r="AL88" i="164" s="1"/>
  <c r="AE88" i="164"/>
  <c r="AF88" i="164" s="1"/>
  <c r="Y88" i="164"/>
  <c r="Z88" i="164" s="1"/>
  <c r="R88" i="164"/>
  <c r="T88" i="164" s="1"/>
  <c r="AV88" i="164"/>
  <c r="AW88" i="164" s="1"/>
  <c r="P88" i="164"/>
  <c r="AT88" i="164"/>
  <c r="V88" i="164"/>
  <c r="W88" i="164" s="1"/>
  <c r="AN88" i="164"/>
  <c r="AO88" i="164" s="1"/>
  <c r="O88" i="164"/>
  <c r="BG88" i="164"/>
  <c r="BH88" i="164" s="1"/>
  <c r="AH88" i="164"/>
  <c r="AI88" i="164" s="1"/>
  <c r="BA88" i="164"/>
  <c r="BB88" i="164" s="1"/>
  <c r="AB88" i="164"/>
  <c r="AC88" i="164" s="1"/>
  <c r="BN88" i="164"/>
  <c r="BO88" i="164" s="1"/>
  <c r="BK88" i="164"/>
  <c r="BJ88" i="164"/>
  <c r="BL88" i="164" s="1"/>
  <c r="M88" i="164"/>
  <c r="I89" i="163"/>
  <c r="K88" i="163"/>
  <c r="AV87" i="163"/>
  <c r="AW87" i="163" s="1"/>
  <c r="P87" i="163"/>
  <c r="BG87" i="163"/>
  <c r="BH87" i="163" s="1"/>
  <c r="BA87" i="163"/>
  <c r="BB87" i="163" s="1"/>
  <c r="AT87" i="163"/>
  <c r="AN87" i="163"/>
  <c r="AO87" i="163" s="1"/>
  <c r="AH87" i="163"/>
  <c r="AI87" i="163" s="1"/>
  <c r="AB87" i="163"/>
  <c r="AC87" i="163" s="1"/>
  <c r="V87" i="163"/>
  <c r="W87" i="163" s="1"/>
  <c r="O87" i="163"/>
  <c r="AY87" i="163"/>
  <c r="AK87" i="163"/>
  <c r="AL87" i="163" s="1"/>
  <c r="Y87" i="163"/>
  <c r="Z87" i="163" s="1"/>
  <c r="BD87" i="163"/>
  <c r="BE87" i="163" s="1"/>
  <c r="AE87" i="163"/>
  <c r="AF87" i="163" s="1"/>
  <c r="BQ87" i="163"/>
  <c r="BR87" i="163" s="1"/>
  <c r="AQ87" i="163"/>
  <c r="AR87" i="163" s="1"/>
  <c r="R87" i="163"/>
  <c r="T87" i="163" s="1"/>
  <c r="BJ87" i="163"/>
  <c r="BL87" i="163" s="1"/>
  <c r="M87" i="163"/>
  <c r="BN87" i="163"/>
  <c r="BO87" i="163" s="1"/>
  <c r="BK87" i="163"/>
  <c r="I91" i="164" l="1"/>
  <c r="K90" i="164"/>
  <c r="BQ90" i="164" s="1"/>
  <c r="BD89" i="164"/>
  <c r="BE89" i="164" s="1"/>
  <c r="AQ89" i="164"/>
  <c r="AR89" i="164" s="1"/>
  <c r="AK89" i="164"/>
  <c r="AL89" i="164" s="1"/>
  <c r="AE89" i="164"/>
  <c r="AF89" i="164" s="1"/>
  <c r="Y89" i="164"/>
  <c r="Z89" i="164" s="1"/>
  <c r="R89" i="164"/>
  <c r="T89" i="164" s="1"/>
  <c r="AV89" i="164"/>
  <c r="AW89" i="164" s="1"/>
  <c r="P89" i="164"/>
  <c r="BG89" i="164"/>
  <c r="BH89" i="164" s="1"/>
  <c r="BA89" i="164"/>
  <c r="BB89" i="164" s="1"/>
  <c r="AT89" i="164"/>
  <c r="AN89" i="164"/>
  <c r="AO89" i="164" s="1"/>
  <c r="AH89" i="164"/>
  <c r="AI89" i="164" s="1"/>
  <c r="AB89" i="164"/>
  <c r="AC89" i="164" s="1"/>
  <c r="V89" i="164"/>
  <c r="W89" i="164" s="1"/>
  <c r="O89" i="164"/>
  <c r="AY89" i="164"/>
  <c r="BR89" i="164"/>
  <c r="BJ89" i="164"/>
  <c r="BL89" i="164" s="1"/>
  <c r="M89" i="164"/>
  <c r="BN89" i="164"/>
  <c r="BO89" i="164" s="1"/>
  <c r="BK89" i="164"/>
  <c r="BG88" i="163"/>
  <c r="BH88" i="163" s="1"/>
  <c r="BA88" i="163"/>
  <c r="BB88" i="163" s="1"/>
  <c r="AT88" i="163"/>
  <c r="AN88" i="163"/>
  <c r="AO88" i="163" s="1"/>
  <c r="AH88" i="163"/>
  <c r="AI88" i="163" s="1"/>
  <c r="AB88" i="163"/>
  <c r="AC88" i="163" s="1"/>
  <c r="V88" i="163"/>
  <c r="W88" i="163" s="1"/>
  <c r="O88" i="163"/>
  <c r="BQ88" i="163"/>
  <c r="BR88" i="163" s="1"/>
  <c r="AY88" i="163"/>
  <c r="AK88" i="163"/>
  <c r="AL88" i="163" s="1"/>
  <c r="Y88" i="163"/>
  <c r="Z88" i="163" s="1"/>
  <c r="AV88" i="163"/>
  <c r="AW88" i="163" s="1"/>
  <c r="AQ88" i="163"/>
  <c r="AR88" i="163" s="1"/>
  <c r="R88" i="163"/>
  <c r="T88" i="163" s="1"/>
  <c r="P88" i="163"/>
  <c r="AE88" i="163"/>
  <c r="AF88" i="163" s="1"/>
  <c r="BD88" i="163"/>
  <c r="BE88" i="163" s="1"/>
  <c r="BJ88" i="163"/>
  <c r="BL88" i="163" s="1"/>
  <c r="BK88" i="163"/>
  <c r="M88" i="163"/>
  <c r="BN88" i="163"/>
  <c r="BO88" i="163" s="1"/>
  <c r="I90" i="163"/>
  <c r="K89" i="163"/>
  <c r="I92" i="164" l="1"/>
  <c r="K91" i="164"/>
  <c r="BQ91" i="164" s="1"/>
  <c r="AV90" i="164"/>
  <c r="AW90" i="164" s="1"/>
  <c r="P90" i="164"/>
  <c r="BG90" i="164"/>
  <c r="BH90" i="164" s="1"/>
  <c r="BA90" i="164"/>
  <c r="BB90" i="164" s="1"/>
  <c r="AT90" i="164"/>
  <c r="AN90" i="164"/>
  <c r="AO90" i="164" s="1"/>
  <c r="AH90" i="164"/>
  <c r="AI90" i="164" s="1"/>
  <c r="AB90" i="164"/>
  <c r="AC90" i="164" s="1"/>
  <c r="V90" i="164"/>
  <c r="W90" i="164" s="1"/>
  <c r="O90" i="164"/>
  <c r="BR90" i="164"/>
  <c r="AY90" i="164"/>
  <c r="AQ90" i="164"/>
  <c r="AR90" i="164" s="1"/>
  <c r="R90" i="164"/>
  <c r="T90" i="164" s="1"/>
  <c r="AK90" i="164"/>
  <c r="AL90" i="164" s="1"/>
  <c r="BD90" i="164"/>
  <c r="BE90" i="164" s="1"/>
  <c r="AE90" i="164"/>
  <c r="AF90" i="164" s="1"/>
  <c r="Y90" i="164"/>
  <c r="Z90" i="164" s="1"/>
  <c r="BJ90" i="164"/>
  <c r="BL90" i="164" s="1"/>
  <c r="M90" i="164"/>
  <c r="BN90" i="164"/>
  <c r="BO90" i="164" s="1"/>
  <c r="BK90" i="164"/>
  <c r="BQ89" i="163"/>
  <c r="BR89" i="163" s="1"/>
  <c r="AY89" i="163"/>
  <c r="BD89" i="163"/>
  <c r="BE89" i="163" s="1"/>
  <c r="AQ89" i="163"/>
  <c r="AR89" i="163" s="1"/>
  <c r="AK89" i="163"/>
  <c r="AL89" i="163" s="1"/>
  <c r="AE89" i="163"/>
  <c r="AF89" i="163" s="1"/>
  <c r="Y89" i="163"/>
  <c r="Z89" i="163" s="1"/>
  <c r="R89" i="163"/>
  <c r="T89" i="163" s="1"/>
  <c r="AV89" i="163"/>
  <c r="AW89" i="163" s="1"/>
  <c r="BG89" i="163"/>
  <c r="BH89" i="163" s="1"/>
  <c r="AT89" i="163"/>
  <c r="AH89" i="163"/>
  <c r="AI89" i="163" s="1"/>
  <c r="V89" i="163"/>
  <c r="W89" i="163" s="1"/>
  <c r="BA89" i="163"/>
  <c r="BB89" i="163" s="1"/>
  <c r="AB89" i="163"/>
  <c r="AC89" i="163" s="1"/>
  <c r="P89" i="163"/>
  <c r="O89" i="163"/>
  <c r="AN89" i="163"/>
  <c r="AO89" i="163" s="1"/>
  <c r="BK89" i="163"/>
  <c r="BJ89" i="163"/>
  <c r="BL89" i="163" s="1"/>
  <c r="BN89" i="163"/>
  <c r="BO89" i="163" s="1"/>
  <c r="M89" i="163"/>
  <c r="K90" i="163"/>
  <c r="I91" i="163"/>
  <c r="AV91" i="164" l="1"/>
  <c r="AW91" i="164" s="1"/>
  <c r="P91" i="164"/>
  <c r="BG91" i="164"/>
  <c r="BH91" i="164" s="1"/>
  <c r="BA91" i="164"/>
  <c r="BB91" i="164" s="1"/>
  <c r="AT91" i="164"/>
  <c r="AN91" i="164"/>
  <c r="AO91" i="164" s="1"/>
  <c r="AH91" i="164"/>
  <c r="AI91" i="164" s="1"/>
  <c r="AB91" i="164"/>
  <c r="AC91" i="164" s="1"/>
  <c r="V91" i="164"/>
  <c r="W91" i="164" s="1"/>
  <c r="O91" i="164"/>
  <c r="BR91" i="164"/>
  <c r="AY91" i="164"/>
  <c r="BD91" i="164"/>
  <c r="BE91" i="164" s="1"/>
  <c r="AE91" i="164"/>
  <c r="AF91" i="164" s="1"/>
  <c r="Y91" i="164"/>
  <c r="Z91" i="164" s="1"/>
  <c r="AQ91" i="164"/>
  <c r="AR91" i="164" s="1"/>
  <c r="R91" i="164"/>
  <c r="T91" i="164" s="1"/>
  <c r="AK91" i="164"/>
  <c r="AL91" i="164" s="1"/>
  <c r="M91" i="164"/>
  <c r="BN91" i="164"/>
  <c r="BO91" i="164" s="1"/>
  <c r="BK91" i="164"/>
  <c r="BJ91" i="164"/>
  <c r="BL91" i="164" s="1"/>
  <c r="K92" i="164"/>
  <c r="BQ92" i="164" s="1"/>
  <c r="I93" i="164"/>
  <c r="I92" i="163"/>
  <c r="K91" i="163"/>
  <c r="BD90" i="163"/>
  <c r="BE90" i="163" s="1"/>
  <c r="AQ90" i="163"/>
  <c r="AR90" i="163" s="1"/>
  <c r="AK90" i="163"/>
  <c r="AL90" i="163" s="1"/>
  <c r="AE90" i="163"/>
  <c r="AF90" i="163" s="1"/>
  <c r="Y90" i="163"/>
  <c r="Z90" i="163" s="1"/>
  <c r="R90" i="163"/>
  <c r="T90" i="163" s="1"/>
  <c r="AV90" i="163"/>
  <c r="AW90" i="163" s="1"/>
  <c r="P90" i="163"/>
  <c r="BG90" i="163"/>
  <c r="BH90" i="163" s="1"/>
  <c r="AT90" i="163"/>
  <c r="AH90" i="163"/>
  <c r="AI90" i="163" s="1"/>
  <c r="V90" i="163"/>
  <c r="W90" i="163" s="1"/>
  <c r="BQ90" i="163"/>
  <c r="BR90" i="163" s="1"/>
  <c r="AN90" i="163"/>
  <c r="AO90" i="163" s="1"/>
  <c r="O90" i="163"/>
  <c r="BA90" i="163"/>
  <c r="BB90" i="163" s="1"/>
  <c r="AY90" i="163"/>
  <c r="AB90" i="163"/>
  <c r="AC90" i="163" s="1"/>
  <c r="BN90" i="163"/>
  <c r="BO90" i="163" s="1"/>
  <c r="BJ90" i="163"/>
  <c r="BL90" i="163" s="1"/>
  <c r="BK90" i="163"/>
  <c r="M90" i="163"/>
  <c r="K93" i="164" l="1"/>
  <c r="BQ93" i="164" s="1"/>
  <c r="I94" i="164"/>
  <c r="BG92" i="164"/>
  <c r="BH92" i="164" s="1"/>
  <c r="BA92" i="164"/>
  <c r="BB92" i="164" s="1"/>
  <c r="AT92" i="164"/>
  <c r="AN92" i="164"/>
  <c r="AO92" i="164" s="1"/>
  <c r="AH92" i="164"/>
  <c r="AI92" i="164" s="1"/>
  <c r="AB92" i="164"/>
  <c r="AC92" i="164" s="1"/>
  <c r="V92" i="164"/>
  <c r="W92" i="164" s="1"/>
  <c r="O92" i="164"/>
  <c r="BR92" i="164"/>
  <c r="AY92" i="164"/>
  <c r="BD92" i="164"/>
  <c r="BE92" i="164" s="1"/>
  <c r="AQ92" i="164"/>
  <c r="AR92" i="164" s="1"/>
  <c r="AK92" i="164"/>
  <c r="AL92" i="164" s="1"/>
  <c r="AE92" i="164"/>
  <c r="AF92" i="164" s="1"/>
  <c r="Y92" i="164"/>
  <c r="Z92" i="164" s="1"/>
  <c r="R92" i="164"/>
  <c r="T92" i="164" s="1"/>
  <c r="P92" i="164"/>
  <c r="AV92" i="164"/>
  <c r="AW92" i="164" s="1"/>
  <c r="BK92" i="164"/>
  <c r="BJ92" i="164"/>
  <c r="BL92" i="164" s="1"/>
  <c r="M92" i="164"/>
  <c r="BN92" i="164"/>
  <c r="BO92" i="164" s="1"/>
  <c r="BD91" i="163"/>
  <c r="BE91" i="163" s="1"/>
  <c r="AQ91" i="163"/>
  <c r="AR91" i="163" s="1"/>
  <c r="AK91" i="163"/>
  <c r="AL91" i="163" s="1"/>
  <c r="AE91" i="163"/>
  <c r="AF91" i="163" s="1"/>
  <c r="Y91" i="163"/>
  <c r="Z91" i="163" s="1"/>
  <c r="R91" i="163"/>
  <c r="T91" i="163" s="1"/>
  <c r="AV91" i="163"/>
  <c r="AW91" i="163" s="1"/>
  <c r="P91" i="163"/>
  <c r="BG91" i="163"/>
  <c r="BH91" i="163" s="1"/>
  <c r="AT91" i="163"/>
  <c r="AH91" i="163"/>
  <c r="AI91" i="163" s="1"/>
  <c r="V91" i="163"/>
  <c r="W91" i="163" s="1"/>
  <c r="BQ91" i="163"/>
  <c r="BR91" i="163" s="1"/>
  <c r="BA91" i="163"/>
  <c r="BB91" i="163" s="1"/>
  <c r="AB91" i="163"/>
  <c r="AC91" i="163" s="1"/>
  <c r="AY91" i="163"/>
  <c r="AN91" i="163"/>
  <c r="AO91" i="163" s="1"/>
  <c r="O91" i="163"/>
  <c r="BK91" i="163"/>
  <c r="BN91" i="163"/>
  <c r="BO91" i="163" s="1"/>
  <c r="M91" i="163"/>
  <c r="BJ91" i="163"/>
  <c r="BL91" i="163" s="1"/>
  <c r="I93" i="163"/>
  <c r="K92" i="163"/>
  <c r="BG93" i="164" l="1"/>
  <c r="BH93" i="164" s="1"/>
  <c r="BA93" i="164"/>
  <c r="BB93" i="164" s="1"/>
  <c r="AT93" i="164"/>
  <c r="AN93" i="164"/>
  <c r="AO93" i="164" s="1"/>
  <c r="AH93" i="164"/>
  <c r="AI93" i="164" s="1"/>
  <c r="AB93" i="164"/>
  <c r="AC93" i="164" s="1"/>
  <c r="V93" i="164"/>
  <c r="W93" i="164" s="1"/>
  <c r="O93" i="164"/>
  <c r="BR93" i="164"/>
  <c r="AY93" i="164"/>
  <c r="BD93" i="164"/>
  <c r="BE93" i="164" s="1"/>
  <c r="AQ93" i="164"/>
  <c r="AR93" i="164" s="1"/>
  <c r="AK93" i="164"/>
  <c r="AL93" i="164" s="1"/>
  <c r="AE93" i="164"/>
  <c r="AF93" i="164" s="1"/>
  <c r="Y93" i="164"/>
  <c r="Z93" i="164" s="1"/>
  <c r="R93" i="164"/>
  <c r="T93" i="164" s="1"/>
  <c r="AV93" i="164"/>
  <c r="AW93" i="164" s="1"/>
  <c r="P93" i="164"/>
  <c r="BJ93" i="164"/>
  <c r="BL93" i="164" s="1"/>
  <c r="M93" i="164"/>
  <c r="BK93" i="164"/>
  <c r="BN93" i="164"/>
  <c r="BO93" i="164" s="1"/>
  <c r="K94" i="164"/>
  <c r="BQ94" i="164" s="1"/>
  <c r="I95" i="164"/>
  <c r="AV92" i="163"/>
  <c r="AW92" i="163" s="1"/>
  <c r="P92" i="163"/>
  <c r="BG92" i="163"/>
  <c r="BH92" i="163" s="1"/>
  <c r="BA92" i="163"/>
  <c r="BB92" i="163" s="1"/>
  <c r="AT92" i="163"/>
  <c r="AN92" i="163"/>
  <c r="AO92" i="163" s="1"/>
  <c r="AH92" i="163"/>
  <c r="AI92" i="163" s="1"/>
  <c r="AB92" i="163"/>
  <c r="AC92" i="163" s="1"/>
  <c r="V92" i="163"/>
  <c r="W92" i="163" s="1"/>
  <c r="O92" i="163"/>
  <c r="BQ92" i="163"/>
  <c r="BR92" i="163" s="1"/>
  <c r="BD92" i="163"/>
  <c r="BE92" i="163" s="1"/>
  <c r="AQ92" i="163"/>
  <c r="AR92" i="163" s="1"/>
  <c r="AE92" i="163"/>
  <c r="AF92" i="163" s="1"/>
  <c r="R92" i="163"/>
  <c r="T92" i="163" s="1"/>
  <c r="AK92" i="163"/>
  <c r="AL92" i="163" s="1"/>
  <c r="Y92" i="163"/>
  <c r="Z92" i="163" s="1"/>
  <c r="AY92" i="163"/>
  <c r="BN92" i="163"/>
  <c r="BO92" i="163" s="1"/>
  <c r="M92" i="163"/>
  <c r="BK92" i="163"/>
  <c r="BJ92" i="163"/>
  <c r="BL92" i="163" s="1"/>
  <c r="I94" i="163"/>
  <c r="K93" i="163"/>
  <c r="I96" i="164" l="1"/>
  <c r="K95" i="164"/>
  <c r="BQ95" i="164" s="1"/>
  <c r="BG94" i="164"/>
  <c r="BH94" i="164" s="1"/>
  <c r="BA94" i="164"/>
  <c r="BB94" i="164" s="1"/>
  <c r="AT94" i="164"/>
  <c r="AN94" i="164"/>
  <c r="AO94" i="164" s="1"/>
  <c r="AH94" i="164"/>
  <c r="AI94" i="164" s="1"/>
  <c r="AB94" i="164"/>
  <c r="AC94" i="164" s="1"/>
  <c r="V94" i="164"/>
  <c r="W94" i="164" s="1"/>
  <c r="O94" i="164"/>
  <c r="BR94" i="164"/>
  <c r="AY94" i="164"/>
  <c r="BD94" i="164"/>
  <c r="BE94" i="164" s="1"/>
  <c r="AQ94" i="164"/>
  <c r="AR94" i="164" s="1"/>
  <c r="AK94" i="164"/>
  <c r="AL94" i="164" s="1"/>
  <c r="AE94" i="164"/>
  <c r="AF94" i="164" s="1"/>
  <c r="Y94" i="164"/>
  <c r="Z94" i="164" s="1"/>
  <c r="R94" i="164"/>
  <c r="T94" i="164" s="1"/>
  <c r="P94" i="164"/>
  <c r="AV94" i="164"/>
  <c r="AW94" i="164" s="1"/>
  <c r="M94" i="164"/>
  <c r="BK94" i="164"/>
  <c r="BN94" i="164"/>
  <c r="BO94" i="164" s="1"/>
  <c r="BJ94" i="164"/>
  <c r="BL94" i="164" s="1"/>
  <c r="AV93" i="163"/>
  <c r="AW93" i="163" s="1"/>
  <c r="P93" i="163"/>
  <c r="BG93" i="163"/>
  <c r="BH93" i="163" s="1"/>
  <c r="BA93" i="163"/>
  <c r="BB93" i="163" s="1"/>
  <c r="AT93" i="163"/>
  <c r="AN93" i="163"/>
  <c r="AO93" i="163" s="1"/>
  <c r="AH93" i="163"/>
  <c r="AI93" i="163" s="1"/>
  <c r="AB93" i="163"/>
  <c r="AC93" i="163" s="1"/>
  <c r="V93" i="163"/>
  <c r="W93" i="163" s="1"/>
  <c r="O93" i="163"/>
  <c r="BQ93" i="163"/>
  <c r="BR93" i="163" s="1"/>
  <c r="BD93" i="163"/>
  <c r="BE93" i="163" s="1"/>
  <c r="AQ93" i="163"/>
  <c r="AR93" i="163" s="1"/>
  <c r="AE93" i="163"/>
  <c r="AF93" i="163" s="1"/>
  <c r="R93" i="163"/>
  <c r="T93" i="163" s="1"/>
  <c r="AY93" i="163"/>
  <c r="Y93" i="163"/>
  <c r="Z93" i="163" s="1"/>
  <c r="AK93" i="163"/>
  <c r="AL93" i="163" s="1"/>
  <c r="BK93" i="163"/>
  <c r="BJ93" i="163"/>
  <c r="BL93" i="163" s="1"/>
  <c r="M93" i="163"/>
  <c r="BN93" i="163"/>
  <c r="BO93" i="163" s="1"/>
  <c r="I95" i="163"/>
  <c r="K94" i="163"/>
  <c r="I97" i="164" l="1"/>
  <c r="K96" i="164"/>
  <c r="BQ96" i="164" s="1"/>
  <c r="BG95" i="164"/>
  <c r="BH95" i="164" s="1"/>
  <c r="BA95" i="164"/>
  <c r="BB95" i="164" s="1"/>
  <c r="AT95" i="164"/>
  <c r="AN95" i="164"/>
  <c r="AO95" i="164" s="1"/>
  <c r="AH95" i="164"/>
  <c r="AI95" i="164" s="1"/>
  <c r="AB95" i="164"/>
  <c r="AC95" i="164" s="1"/>
  <c r="V95" i="164"/>
  <c r="W95" i="164" s="1"/>
  <c r="O95" i="164"/>
  <c r="BR95" i="164"/>
  <c r="AY95" i="164"/>
  <c r="BD95" i="164"/>
  <c r="BE95" i="164" s="1"/>
  <c r="AQ95" i="164"/>
  <c r="AR95" i="164" s="1"/>
  <c r="AK95" i="164"/>
  <c r="AL95" i="164" s="1"/>
  <c r="AE95" i="164"/>
  <c r="AF95" i="164" s="1"/>
  <c r="Y95" i="164"/>
  <c r="Z95" i="164" s="1"/>
  <c r="R95" i="164"/>
  <c r="T95" i="164" s="1"/>
  <c r="AV95" i="164"/>
  <c r="AW95" i="164" s="1"/>
  <c r="P95" i="164"/>
  <c r="M95" i="164"/>
  <c r="BK95" i="164"/>
  <c r="BJ95" i="164"/>
  <c r="BL95" i="164" s="1"/>
  <c r="BN95" i="164"/>
  <c r="BO95" i="164" s="1"/>
  <c r="AV94" i="163"/>
  <c r="AW94" i="163" s="1"/>
  <c r="P94" i="163"/>
  <c r="BG94" i="163"/>
  <c r="BH94" i="163" s="1"/>
  <c r="BA94" i="163"/>
  <c r="BB94" i="163" s="1"/>
  <c r="AT94" i="163"/>
  <c r="AN94" i="163"/>
  <c r="AO94" i="163" s="1"/>
  <c r="AH94" i="163"/>
  <c r="AI94" i="163" s="1"/>
  <c r="AB94" i="163"/>
  <c r="AC94" i="163" s="1"/>
  <c r="V94" i="163"/>
  <c r="W94" i="163" s="1"/>
  <c r="O94" i="163"/>
  <c r="BQ94" i="163"/>
  <c r="BR94" i="163" s="1"/>
  <c r="BD94" i="163"/>
  <c r="BE94" i="163" s="1"/>
  <c r="AQ94" i="163"/>
  <c r="AR94" i="163" s="1"/>
  <c r="AE94" i="163"/>
  <c r="AF94" i="163" s="1"/>
  <c r="R94" i="163"/>
  <c r="T94" i="163" s="1"/>
  <c r="AK94" i="163"/>
  <c r="AL94" i="163" s="1"/>
  <c r="AY94" i="163"/>
  <c r="Y94" i="163"/>
  <c r="Z94" i="163" s="1"/>
  <c r="BK94" i="163"/>
  <c r="BJ94" i="163"/>
  <c r="BL94" i="163" s="1"/>
  <c r="M94" i="163"/>
  <c r="BN94" i="163"/>
  <c r="BO94" i="163" s="1"/>
  <c r="I96" i="163"/>
  <c r="K95" i="163"/>
  <c r="BG96" i="164" l="1"/>
  <c r="BH96" i="164" s="1"/>
  <c r="AY96" i="164"/>
  <c r="BD96" i="164"/>
  <c r="BE96" i="164" s="1"/>
  <c r="AQ96" i="164"/>
  <c r="AR96" i="164" s="1"/>
  <c r="AK96" i="164"/>
  <c r="AL96" i="164" s="1"/>
  <c r="AE96" i="164"/>
  <c r="AF96" i="164" s="1"/>
  <c r="Y96" i="164"/>
  <c r="Z96" i="164" s="1"/>
  <c r="R96" i="164"/>
  <c r="T96" i="164" s="1"/>
  <c r="AV96" i="164"/>
  <c r="AW96" i="164" s="1"/>
  <c r="P96" i="164"/>
  <c r="BR96" i="164"/>
  <c r="AN96" i="164"/>
  <c r="AO96" i="164" s="1"/>
  <c r="O96" i="164"/>
  <c r="AH96" i="164"/>
  <c r="AI96" i="164" s="1"/>
  <c r="BA96" i="164"/>
  <c r="BB96" i="164" s="1"/>
  <c r="AB96" i="164"/>
  <c r="AC96" i="164" s="1"/>
  <c r="AT96" i="164"/>
  <c r="V96" i="164"/>
  <c r="W96" i="164" s="1"/>
  <c r="BK96" i="164"/>
  <c r="BN96" i="164"/>
  <c r="BO96" i="164" s="1"/>
  <c r="BJ96" i="164"/>
  <c r="BL96" i="164" s="1"/>
  <c r="M96" i="164"/>
  <c r="I98" i="164"/>
  <c r="K97" i="164"/>
  <c r="BQ97" i="164" s="1"/>
  <c r="AV95" i="163"/>
  <c r="AW95" i="163" s="1"/>
  <c r="P95" i="163"/>
  <c r="BG95" i="163"/>
  <c r="BH95" i="163" s="1"/>
  <c r="BA95" i="163"/>
  <c r="BB95" i="163" s="1"/>
  <c r="AT95" i="163"/>
  <c r="AN95" i="163"/>
  <c r="AO95" i="163" s="1"/>
  <c r="AH95" i="163"/>
  <c r="AI95" i="163" s="1"/>
  <c r="AB95" i="163"/>
  <c r="AC95" i="163" s="1"/>
  <c r="V95" i="163"/>
  <c r="W95" i="163" s="1"/>
  <c r="O95" i="163"/>
  <c r="BQ95" i="163"/>
  <c r="BR95" i="163" s="1"/>
  <c r="BD95" i="163"/>
  <c r="BE95" i="163" s="1"/>
  <c r="AQ95" i="163"/>
  <c r="AR95" i="163" s="1"/>
  <c r="AE95" i="163"/>
  <c r="AF95" i="163" s="1"/>
  <c r="R95" i="163"/>
  <c r="T95" i="163" s="1"/>
  <c r="AY95" i="163"/>
  <c r="Y95" i="163"/>
  <c r="Z95" i="163" s="1"/>
  <c r="AK95" i="163"/>
  <c r="AL95" i="163" s="1"/>
  <c r="BK95" i="163"/>
  <c r="BJ95" i="163"/>
  <c r="BL95" i="163" s="1"/>
  <c r="BN95" i="163"/>
  <c r="BO95" i="163" s="1"/>
  <c r="M95" i="163"/>
  <c r="K96" i="163"/>
  <c r="I97" i="163"/>
  <c r="I99" i="164" l="1"/>
  <c r="K98" i="164"/>
  <c r="BQ98" i="164" s="1"/>
  <c r="AV97" i="164"/>
  <c r="AW97" i="164" s="1"/>
  <c r="P97" i="164"/>
  <c r="BG97" i="164"/>
  <c r="BH97" i="164" s="1"/>
  <c r="BA97" i="164"/>
  <c r="BB97" i="164" s="1"/>
  <c r="AT97" i="164"/>
  <c r="AN97" i="164"/>
  <c r="AO97" i="164" s="1"/>
  <c r="AH97" i="164"/>
  <c r="AI97" i="164" s="1"/>
  <c r="AB97" i="164"/>
  <c r="AC97" i="164" s="1"/>
  <c r="V97" i="164"/>
  <c r="W97" i="164" s="1"/>
  <c r="O97" i="164"/>
  <c r="BR97" i="164"/>
  <c r="AY97" i="164"/>
  <c r="AQ97" i="164"/>
  <c r="AR97" i="164" s="1"/>
  <c r="R97" i="164"/>
  <c r="T97" i="164" s="1"/>
  <c r="AK97" i="164"/>
  <c r="AL97" i="164" s="1"/>
  <c r="BD97" i="164"/>
  <c r="BE97" i="164" s="1"/>
  <c r="AE97" i="164"/>
  <c r="AF97" i="164" s="1"/>
  <c r="Y97" i="164"/>
  <c r="Z97" i="164" s="1"/>
  <c r="BK97" i="164"/>
  <c r="M97" i="164"/>
  <c r="BN97" i="164"/>
  <c r="BO97" i="164" s="1"/>
  <c r="BJ97" i="164"/>
  <c r="BL97" i="164" s="1"/>
  <c r="BG96" i="163"/>
  <c r="BH96" i="163" s="1"/>
  <c r="BA96" i="163"/>
  <c r="BB96" i="163" s="1"/>
  <c r="AT96" i="163"/>
  <c r="AN96" i="163"/>
  <c r="AO96" i="163" s="1"/>
  <c r="AH96" i="163"/>
  <c r="AI96" i="163" s="1"/>
  <c r="AB96" i="163"/>
  <c r="AC96" i="163" s="1"/>
  <c r="V96" i="163"/>
  <c r="W96" i="163" s="1"/>
  <c r="O96" i="163"/>
  <c r="BQ96" i="163"/>
  <c r="BR96" i="163" s="1"/>
  <c r="AY96" i="163"/>
  <c r="BD96" i="163"/>
  <c r="BE96" i="163" s="1"/>
  <c r="AQ96" i="163"/>
  <c r="AR96" i="163" s="1"/>
  <c r="AE96" i="163"/>
  <c r="AF96" i="163" s="1"/>
  <c r="R96" i="163"/>
  <c r="T96" i="163" s="1"/>
  <c r="P96" i="163"/>
  <c r="AK96" i="163"/>
  <c r="AL96" i="163" s="1"/>
  <c r="Y96" i="163"/>
  <c r="Z96" i="163" s="1"/>
  <c r="AV96" i="163"/>
  <c r="AW96" i="163" s="1"/>
  <c r="BN96" i="163"/>
  <c r="BO96" i="163" s="1"/>
  <c r="M96" i="163"/>
  <c r="BK96" i="163"/>
  <c r="BJ96" i="163"/>
  <c r="BL96" i="163" s="1"/>
  <c r="K97" i="163"/>
  <c r="I98" i="163"/>
  <c r="K99" i="164" l="1"/>
  <c r="BQ99" i="164" s="1"/>
  <c r="I100" i="164"/>
  <c r="AV98" i="164"/>
  <c r="AW98" i="164" s="1"/>
  <c r="P98" i="164"/>
  <c r="BG98" i="164"/>
  <c r="BH98" i="164" s="1"/>
  <c r="BA98" i="164"/>
  <c r="BB98" i="164" s="1"/>
  <c r="AT98" i="164"/>
  <c r="AN98" i="164"/>
  <c r="AO98" i="164" s="1"/>
  <c r="AH98" i="164"/>
  <c r="AI98" i="164" s="1"/>
  <c r="AB98" i="164"/>
  <c r="AC98" i="164" s="1"/>
  <c r="V98" i="164"/>
  <c r="W98" i="164" s="1"/>
  <c r="O98" i="164"/>
  <c r="BR98" i="164"/>
  <c r="AY98" i="164"/>
  <c r="BD98" i="164"/>
  <c r="BE98" i="164" s="1"/>
  <c r="AE98" i="164"/>
  <c r="AF98" i="164" s="1"/>
  <c r="Y98" i="164"/>
  <c r="Z98" i="164" s="1"/>
  <c r="AQ98" i="164"/>
  <c r="AR98" i="164" s="1"/>
  <c r="R98" i="164"/>
  <c r="T98" i="164" s="1"/>
  <c r="AK98" i="164"/>
  <c r="AL98" i="164" s="1"/>
  <c r="M98" i="164"/>
  <c r="BN98" i="164"/>
  <c r="BO98" i="164" s="1"/>
  <c r="BJ98" i="164"/>
  <c r="BL98" i="164" s="1"/>
  <c r="BK98" i="164"/>
  <c r="BQ97" i="163"/>
  <c r="BR97" i="163" s="1"/>
  <c r="AY97" i="163"/>
  <c r="BD97" i="163"/>
  <c r="BE97" i="163" s="1"/>
  <c r="AQ97" i="163"/>
  <c r="AR97" i="163" s="1"/>
  <c r="AK97" i="163"/>
  <c r="AL97" i="163" s="1"/>
  <c r="AE97" i="163"/>
  <c r="AF97" i="163" s="1"/>
  <c r="Y97" i="163"/>
  <c r="Z97" i="163" s="1"/>
  <c r="R97" i="163"/>
  <c r="T97" i="163" s="1"/>
  <c r="P97" i="163"/>
  <c r="BA97" i="163"/>
  <c r="BB97" i="163" s="1"/>
  <c r="AN97" i="163"/>
  <c r="AO97" i="163" s="1"/>
  <c r="AB97" i="163"/>
  <c r="AC97" i="163" s="1"/>
  <c r="O97" i="163"/>
  <c r="AV97" i="163"/>
  <c r="AW97" i="163" s="1"/>
  <c r="AT97" i="163"/>
  <c r="V97" i="163"/>
  <c r="W97" i="163" s="1"/>
  <c r="BG97" i="163"/>
  <c r="BH97" i="163" s="1"/>
  <c r="AH97" i="163"/>
  <c r="AI97" i="163" s="1"/>
  <c r="BK97" i="163"/>
  <c r="M97" i="163"/>
  <c r="BJ97" i="163"/>
  <c r="BL97" i="163" s="1"/>
  <c r="BN97" i="163"/>
  <c r="BO97" i="163" s="1"/>
  <c r="I99" i="163"/>
  <c r="K98" i="163"/>
  <c r="K100" i="164" l="1"/>
  <c r="BQ100" i="164" s="1"/>
  <c r="I101" i="164"/>
  <c r="BG99" i="164"/>
  <c r="BH99" i="164" s="1"/>
  <c r="BA99" i="164"/>
  <c r="BB99" i="164" s="1"/>
  <c r="AT99" i="164"/>
  <c r="AN99" i="164"/>
  <c r="AO99" i="164" s="1"/>
  <c r="AH99" i="164"/>
  <c r="AI99" i="164" s="1"/>
  <c r="AB99" i="164"/>
  <c r="AC99" i="164" s="1"/>
  <c r="V99" i="164"/>
  <c r="W99" i="164" s="1"/>
  <c r="O99" i="164"/>
  <c r="BR99" i="164"/>
  <c r="AY99" i="164"/>
  <c r="BD99" i="164"/>
  <c r="BE99" i="164" s="1"/>
  <c r="AQ99" i="164"/>
  <c r="AR99" i="164" s="1"/>
  <c r="AK99" i="164"/>
  <c r="AL99" i="164" s="1"/>
  <c r="AE99" i="164"/>
  <c r="AF99" i="164" s="1"/>
  <c r="Y99" i="164"/>
  <c r="Z99" i="164" s="1"/>
  <c r="R99" i="164"/>
  <c r="T99" i="164" s="1"/>
  <c r="P99" i="164"/>
  <c r="AV99" i="164"/>
  <c r="AW99" i="164" s="1"/>
  <c r="BK99" i="164"/>
  <c r="BN99" i="164"/>
  <c r="BO99" i="164" s="1"/>
  <c r="BJ99" i="164"/>
  <c r="BL99" i="164" s="1"/>
  <c r="M99" i="164"/>
  <c r="BQ98" i="163"/>
  <c r="BR98" i="163" s="1"/>
  <c r="AY98" i="163"/>
  <c r="BD98" i="163"/>
  <c r="BE98" i="163" s="1"/>
  <c r="AQ98" i="163"/>
  <c r="AR98" i="163" s="1"/>
  <c r="AK98" i="163"/>
  <c r="AL98" i="163" s="1"/>
  <c r="AE98" i="163"/>
  <c r="AF98" i="163" s="1"/>
  <c r="Y98" i="163"/>
  <c r="Z98" i="163" s="1"/>
  <c r="R98" i="163"/>
  <c r="T98" i="163" s="1"/>
  <c r="P98" i="163"/>
  <c r="BA98" i="163"/>
  <c r="BB98" i="163" s="1"/>
  <c r="AN98" i="163"/>
  <c r="AO98" i="163" s="1"/>
  <c r="AB98" i="163"/>
  <c r="AC98" i="163" s="1"/>
  <c r="O98" i="163"/>
  <c r="BG98" i="163"/>
  <c r="BH98" i="163" s="1"/>
  <c r="AH98" i="163"/>
  <c r="AI98" i="163" s="1"/>
  <c r="AV98" i="163"/>
  <c r="AW98" i="163" s="1"/>
  <c r="AT98" i="163"/>
  <c r="V98" i="163"/>
  <c r="W98" i="163" s="1"/>
  <c r="BJ98" i="163"/>
  <c r="BL98" i="163" s="1"/>
  <c r="BK98" i="163"/>
  <c r="M98" i="163"/>
  <c r="BN98" i="163"/>
  <c r="BO98" i="163" s="1"/>
  <c r="K99" i="163"/>
  <c r="I100" i="163"/>
  <c r="BG100" i="164" l="1"/>
  <c r="BH100" i="164" s="1"/>
  <c r="BA100" i="164"/>
  <c r="BB100" i="164" s="1"/>
  <c r="AT100" i="164"/>
  <c r="AN100" i="164"/>
  <c r="AO100" i="164" s="1"/>
  <c r="AH100" i="164"/>
  <c r="AI100" i="164" s="1"/>
  <c r="AB100" i="164"/>
  <c r="AC100" i="164" s="1"/>
  <c r="V100" i="164"/>
  <c r="W100" i="164" s="1"/>
  <c r="O100" i="164"/>
  <c r="BR100" i="164"/>
  <c r="AY100" i="164"/>
  <c r="BD100" i="164"/>
  <c r="BE100" i="164" s="1"/>
  <c r="AQ100" i="164"/>
  <c r="AR100" i="164" s="1"/>
  <c r="AK100" i="164"/>
  <c r="AL100" i="164" s="1"/>
  <c r="AE100" i="164"/>
  <c r="AF100" i="164" s="1"/>
  <c r="Y100" i="164"/>
  <c r="Z100" i="164" s="1"/>
  <c r="R100" i="164"/>
  <c r="T100" i="164" s="1"/>
  <c r="AV100" i="164"/>
  <c r="AW100" i="164" s="1"/>
  <c r="P100" i="164"/>
  <c r="BN100" i="164"/>
  <c r="BO100" i="164" s="1"/>
  <c r="BJ100" i="164"/>
  <c r="BL100" i="164" s="1"/>
  <c r="M100" i="164"/>
  <c r="BK100" i="164"/>
  <c r="K101" i="164"/>
  <c r="BQ101" i="164" s="1"/>
  <c r="I102" i="164"/>
  <c r="BG99" i="163"/>
  <c r="BH99" i="163" s="1"/>
  <c r="BA99" i="163"/>
  <c r="BB99" i="163" s="1"/>
  <c r="AT99" i="163"/>
  <c r="AN99" i="163"/>
  <c r="AO99" i="163" s="1"/>
  <c r="BQ99" i="163"/>
  <c r="BR99" i="163" s="1"/>
  <c r="AK99" i="163"/>
  <c r="AL99" i="163" s="1"/>
  <c r="AE99" i="163"/>
  <c r="AF99" i="163" s="1"/>
  <c r="Y99" i="163"/>
  <c r="Z99" i="163" s="1"/>
  <c r="R99" i="163"/>
  <c r="T99" i="163" s="1"/>
  <c r="AY99" i="163"/>
  <c r="AQ99" i="163"/>
  <c r="AR99" i="163" s="1"/>
  <c r="P99" i="163"/>
  <c r="AB99" i="163"/>
  <c r="AC99" i="163" s="1"/>
  <c r="O99" i="163"/>
  <c r="BD99" i="163"/>
  <c r="BE99" i="163" s="1"/>
  <c r="V99" i="163"/>
  <c r="W99" i="163" s="1"/>
  <c r="AV99" i="163"/>
  <c r="AW99" i="163" s="1"/>
  <c r="AH99" i="163"/>
  <c r="AI99" i="163" s="1"/>
  <c r="BJ99" i="163"/>
  <c r="BL99" i="163" s="1"/>
  <c r="BN99" i="163"/>
  <c r="BO99" i="163" s="1"/>
  <c r="M99" i="163"/>
  <c r="BK99" i="163"/>
  <c r="I101" i="163"/>
  <c r="K100" i="163"/>
  <c r="BG101" i="164" l="1"/>
  <c r="BH101" i="164" s="1"/>
  <c r="BA101" i="164"/>
  <c r="BB101" i="164" s="1"/>
  <c r="AT101" i="164"/>
  <c r="AN101" i="164"/>
  <c r="AO101" i="164" s="1"/>
  <c r="AH101" i="164"/>
  <c r="AI101" i="164" s="1"/>
  <c r="AB101" i="164"/>
  <c r="AC101" i="164" s="1"/>
  <c r="V101" i="164"/>
  <c r="W101" i="164" s="1"/>
  <c r="O101" i="164"/>
  <c r="BR101" i="164"/>
  <c r="AY101" i="164"/>
  <c r="BD101" i="164"/>
  <c r="BE101" i="164" s="1"/>
  <c r="AQ101" i="164"/>
  <c r="AR101" i="164" s="1"/>
  <c r="AK101" i="164"/>
  <c r="AL101" i="164" s="1"/>
  <c r="AE101" i="164"/>
  <c r="AF101" i="164" s="1"/>
  <c r="Y101" i="164"/>
  <c r="Z101" i="164" s="1"/>
  <c r="R101" i="164"/>
  <c r="T101" i="164" s="1"/>
  <c r="P101" i="164"/>
  <c r="AV101" i="164"/>
  <c r="AW101" i="164" s="1"/>
  <c r="BJ101" i="164"/>
  <c r="BL101" i="164" s="1"/>
  <c r="M101" i="164"/>
  <c r="BK101" i="164"/>
  <c r="BN101" i="164"/>
  <c r="BO101" i="164" s="1"/>
  <c r="K102" i="164"/>
  <c r="BQ102" i="164" s="1"/>
  <c r="I103" i="164"/>
  <c r="BG100" i="163"/>
  <c r="BH100" i="163" s="1"/>
  <c r="BA100" i="163"/>
  <c r="BB100" i="163" s="1"/>
  <c r="AT100" i="163"/>
  <c r="AN100" i="163"/>
  <c r="AO100" i="163" s="1"/>
  <c r="AH100" i="163"/>
  <c r="AI100" i="163" s="1"/>
  <c r="AB100" i="163"/>
  <c r="AC100" i="163" s="1"/>
  <c r="V100" i="163"/>
  <c r="W100" i="163" s="1"/>
  <c r="O100" i="163"/>
  <c r="Y100" i="163"/>
  <c r="Z100" i="163" s="1"/>
  <c r="P100" i="163"/>
  <c r="BD100" i="163"/>
  <c r="BE100" i="163" s="1"/>
  <c r="AV100" i="163"/>
  <c r="AW100" i="163" s="1"/>
  <c r="AE100" i="163"/>
  <c r="AF100" i="163" s="1"/>
  <c r="AQ100" i="163"/>
  <c r="AR100" i="163" s="1"/>
  <c r="AY100" i="163"/>
  <c r="R100" i="163"/>
  <c r="T100" i="163" s="1"/>
  <c r="AK100" i="163"/>
  <c r="AL100" i="163" s="1"/>
  <c r="BQ100" i="163"/>
  <c r="BR100" i="163" s="1"/>
  <c r="M100" i="163"/>
  <c r="BN100" i="163"/>
  <c r="BO100" i="163" s="1"/>
  <c r="BJ100" i="163"/>
  <c r="BL100" i="163" s="1"/>
  <c r="BK100" i="163"/>
  <c r="K101" i="163"/>
  <c r="I102" i="163"/>
  <c r="AV102" i="164" l="1"/>
  <c r="AW102" i="164" s="1"/>
  <c r="BD102" i="164"/>
  <c r="BE102" i="164" s="1"/>
  <c r="AT102" i="164"/>
  <c r="AN102" i="164"/>
  <c r="AO102" i="164" s="1"/>
  <c r="AH102" i="164"/>
  <c r="AI102" i="164" s="1"/>
  <c r="AB102" i="164"/>
  <c r="AC102" i="164" s="1"/>
  <c r="V102" i="164"/>
  <c r="W102" i="164" s="1"/>
  <c r="O102" i="164"/>
  <c r="BR102" i="164"/>
  <c r="BA102" i="164"/>
  <c r="BB102" i="164" s="1"/>
  <c r="BG102" i="164"/>
  <c r="BH102" i="164" s="1"/>
  <c r="AY102" i="164"/>
  <c r="AQ102" i="164"/>
  <c r="AR102" i="164" s="1"/>
  <c r="AK102" i="164"/>
  <c r="AL102" i="164" s="1"/>
  <c r="AE102" i="164"/>
  <c r="AF102" i="164" s="1"/>
  <c r="Y102" i="164"/>
  <c r="Z102" i="164" s="1"/>
  <c r="R102" i="164"/>
  <c r="T102" i="164" s="1"/>
  <c r="P102" i="164"/>
  <c r="M102" i="164"/>
  <c r="BK102" i="164"/>
  <c r="BN102" i="164"/>
  <c r="BO102" i="164" s="1"/>
  <c r="BJ102" i="164"/>
  <c r="BL102" i="164" s="1"/>
  <c r="I104" i="164"/>
  <c r="K103" i="164"/>
  <c r="BQ103" i="164" s="1"/>
  <c r="BG101" i="163"/>
  <c r="BH101" i="163" s="1"/>
  <c r="BA101" i="163"/>
  <c r="BB101" i="163" s="1"/>
  <c r="AT101" i="163"/>
  <c r="AN101" i="163"/>
  <c r="AO101" i="163" s="1"/>
  <c r="AH101" i="163"/>
  <c r="AI101" i="163" s="1"/>
  <c r="AB101" i="163"/>
  <c r="AC101" i="163" s="1"/>
  <c r="V101" i="163"/>
  <c r="W101" i="163" s="1"/>
  <c r="O101" i="163"/>
  <c r="BQ101" i="163"/>
  <c r="BR101" i="163" s="1"/>
  <c r="AK101" i="163"/>
  <c r="AL101" i="163" s="1"/>
  <c r="AY101" i="163"/>
  <c r="AQ101" i="163"/>
  <c r="AR101" i="163" s="1"/>
  <c r="R101" i="163"/>
  <c r="T101" i="163" s="1"/>
  <c r="P101" i="163"/>
  <c r="AV101" i="163"/>
  <c r="AW101" i="163" s="1"/>
  <c r="AE101" i="163"/>
  <c r="AF101" i="163" s="1"/>
  <c r="Y101" i="163"/>
  <c r="Z101" i="163" s="1"/>
  <c r="BD101" i="163"/>
  <c r="BE101" i="163" s="1"/>
  <c r="BJ101" i="163"/>
  <c r="BL101" i="163" s="1"/>
  <c r="BN101" i="163"/>
  <c r="BO101" i="163" s="1"/>
  <c r="BK101" i="163"/>
  <c r="M101" i="163"/>
  <c r="I103" i="163"/>
  <c r="K102" i="163"/>
  <c r="AV103" i="164" l="1"/>
  <c r="AW103" i="164" s="1"/>
  <c r="P103" i="164"/>
  <c r="BG103" i="164"/>
  <c r="BH103" i="164" s="1"/>
  <c r="BA103" i="164"/>
  <c r="BB103" i="164" s="1"/>
  <c r="AT103" i="164"/>
  <c r="AN103" i="164"/>
  <c r="AO103" i="164" s="1"/>
  <c r="AH103" i="164"/>
  <c r="AI103" i="164" s="1"/>
  <c r="AB103" i="164"/>
  <c r="AC103" i="164" s="1"/>
  <c r="V103" i="164"/>
  <c r="W103" i="164" s="1"/>
  <c r="O103" i="164"/>
  <c r="BD103" i="164"/>
  <c r="BE103" i="164" s="1"/>
  <c r="AQ103" i="164"/>
  <c r="AR103" i="164" s="1"/>
  <c r="AE103" i="164"/>
  <c r="AF103" i="164" s="1"/>
  <c r="R103" i="164"/>
  <c r="T103" i="164" s="1"/>
  <c r="AY103" i="164"/>
  <c r="AK103" i="164"/>
  <c r="AL103" i="164" s="1"/>
  <c r="Y103" i="164"/>
  <c r="Z103" i="164" s="1"/>
  <c r="BR103" i="164"/>
  <c r="BK103" i="164"/>
  <c r="M103" i="164"/>
  <c r="BN103" i="164"/>
  <c r="BO103" i="164" s="1"/>
  <c r="BJ103" i="164"/>
  <c r="BL103" i="164" s="1"/>
  <c r="K104" i="164"/>
  <c r="BQ104" i="164" s="1"/>
  <c r="I105" i="164"/>
  <c r="I104" i="163"/>
  <c r="K103" i="163"/>
  <c r="BG102" i="163"/>
  <c r="BH102" i="163" s="1"/>
  <c r="BA102" i="163"/>
  <c r="BB102" i="163" s="1"/>
  <c r="AT102" i="163"/>
  <c r="AN102" i="163"/>
  <c r="AO102" i="163" s="1"/>
  <c r="AH102" i="163"/>
  <c r="AI102" i="163" s="1"/>
  <c r="AB102" i="163"/>
  <c r="AC102" i="163" s="1"/>
  <c r="V102" i="163"/>
  <c r="W102" i="163" s="1"/>
  <c r="O102" i="163"/>
  <c r="Y102" i="163"/>
  <c r="Z102" i="163" s="1"/>
  <c r="P102" i="163"/>
  <c r="BD102" i="163"/>
  <c r="BE102" i="163" s="1"/>
  <c r="AV102" i="163"/>
  <c r="AW102" i="163" s="1"/>
  <c r="AE102" i="163"/>
  <c r="AF102" i="163" s="1"/>
  <c r="BQ102" i="163"/>
  <c r="BR102" i="163" s="1"/>
  <c r="AK102" i="163"/>
  <c r="AL102" i="163" s="1"/>
  <c r="AY102" i="163"/>
  <c r="R102" i="163"/>
  <c r="T102" i="163" s="1"/>
  <c r="AQ102" i="163"/>
  <c r="AR102" i="163" s="1"/>
  <c r="BK102" i="163"/>
  <c r="BJ102" i="163"/>
  <c r="BL102" i="163" s="1"/>
  <c r="BN102" i="163"/>
  <c r="BO102" i="163" s="1"/>
  <c r="M102" i="163"/>
  <c r="K105" i="164" l="1"/>
  <c r="BQ105" i="164" s="1"/>
  <c r="I106" i="164"/>
  <c r="AV104" i="164"/>
  <c r="AW104" i="164" s="1"/>
  <c r="BG104" i="164"/>
  <c r="BH104" i="164" s="1"/>
  <c r="BA104" i="164"/>
  <c r="BB104" i="164" s="1"/>
  <c r="AT104" i="164"/>
  <c r="AN104" i="164"/>
  <c r="AO104" i="164" s="1"/>
  <c r="AH104" i="164"/>
  <c r="AI104" i="164" s="1"/>
  <c r="AB104" i="164"/>
  <c r="AC104" i="164" s="1"/>
  <c r="V104" i="164"/>
  <c r="W104" i="164" s="1"/>
  <c r="O104" i="164"/>
  <c r="BR104" i="164"/>
  <c r="AY104" i="164"/>
  <c r="Y104" i="164"/>
  <c r="Z104" i="164" s="1"/>
  <c r="AQ104" i="164"/>
  <c r="AR104" i="164" s="1"/>
  <c r="AK104" i="164"/>
  <c r="AL104" i="164" s="1"/>
  <c r="R104" i="164"/>
  <c r="T104" i="164" s="1"/>
  <c r="BD104" i="164"/>
  <c r="BE104" i="164" s="1"/>
  <c r="AE104" i="164"/>
  <c r="AF104" i="164" s="1"/>
  <c r="P104" i="164"/>
  <c r="BK104" i="164"/>
  <c r="BN104" i="164"/>
  <c r="BO104" i="164" s="1"/>
  <c r="BJ104" i="164"/>
  <c r="BL104" i="164" s="1"/>
  <c r="M104" i="164"/>
  <c r="BQ103" i="163"/>
  <c r="BR103" i="163" s="1"/>
  <c r="AY103" i="163"/>
  <c r="BG103" i="163"/>
  <c r="BH103" i="163" s="1"/>
  <c r="AH103" i="163"/>
  <c r="AI103" i="163" s="1"/>
  <c r="Y103" i="163"/>
  <c r="Z103" i="163" s="1"/>
  <c r="P103" i="163"/>
  <c r="BD103" i="163"/>
  <c r="BE103" i="163" s="1"/>
  <c r="AT103" i="163"/>
  <c r="AQ103" i="163"/>
  <c r="AR103" i="163" s="1"/>
  <c r="AE103" i="163"/>
  <c r="AF103" i="163" s="1"/>
  <c r="V103" i="163"/>
  <c r="W103" i="163" s="1"/>
  <c r="BA103" i="163"/>
  <c r="BB103" i="163" s="1"/>
  <c r="AV103" i="163"/>
  <c r="AW103" i="163" s="1"/>
  <c r="AB103" i="163"/>
  <c r="AC103" i="163" s="1"/>
  <c r="AN103" i="163"/>
  <c r="AO103" i="163" s="1"/>
  <c r="AK103" i="163"/>
  <c r="AL103" i="163" s="1"/>
  <c r="O103" i="163"/>
  <c r="R103" i="163"/>
  <c r="T103" i="163" s="1"/>
  <c r="M103" i="163"/>
  <c r="BK103" i="163"/>
  <c r="BJ103" i="163"/>
  <c r="BL103" i="163" s="1"/>
  <c r="BN103" i="163"/>
  <c r="BO103" i="163" s="1"/>
  <c r="I105" i="163"/>
  <c r="K104" i="163"/>
  <c r="BG105" i="164" l="1"/>
  <c r="BH105" i="164" s="1"/>
  <c r="BA105" i="164"/>
  <c r="BB105" i="164" s="1"/>
  <c r="AT105" i="164"/>
  <c r="AN105" i="164"/>
  <c r="AO105" i="164" s="1"/>
  <c r="AH105" i="164"/>
  <c r="AI105" i="164" s="1"/>
  <c r="AB105" i="164"/>
  <c r="AC105" i="164" s="1"/>
  <c r="V105" i="164"/>
  <c r="W105" i="164" s="1"/>
  <c r="O105" i="164"/>
  <c r="BR105" i="164"/>
  <c r="AY105" i="164"/>
  <c r="BD105" i="164"/>
  <c r="BE105" i="164" s="1"/>
  <c r="AQ105" i="164"/>
  <c r="AR105" i="164" s="1"/>
  <c r="AK105" i="164"/>
  <c r="AL105" i="164" s="1"/>
  <c r="AE105" i="164"/>
  <c r="AF105" i="164" s="1"/>
  <c r="Y105" i="164"/>
  <c r="Z105" i="164" s="1"/>
  <c r="R105" i="164"/>
  <c r="T105" i="164" s="1"/>
  <c r="AV105" i="164"/>
  <c r="AW105" i="164" s="1"/>
  <c r="P105" i="164"/>
  <c r="BN105" i="164"/>
  <c r="BO105" i="164" s="1"/>
  <c r="BK105" i="164"/>
  <c r="M105" i="164"/>
  <c r="BJ105" i="164"/>
  <c r="BL105" i="164" s="1"/>
  <c r="I107" i="164"/>
  <c r="K106" i="164"/>
  <c r="BQ106" i="164" s="1"/>
  <c r="BD104" i="163"/>
  <c r="BE104" i="163" s="1"/>
  <c r="AQ104" i="163"/>
  <c r="AR104" i="163" s="1"/>
  <c r="AK104" i="163"/>
  <c r="AL104" i="163" s="1"/>
  <c r="AE104" i="163"/>
  <c r="AF104" i="163" s="1"/>
  <c r="Y104" i="163"/>
  <c r="Z104" i="163" s="1"/>
  <c r="R104" i="163"/>
  <c r="T104" i="163" s="1"/>
  <c r="BQ104" i="163"/>
  <c r="BR104" i="163" s="1"/>
  <c r="BA104" i="163"/>
  <c r="BB104" i="163" s="1"/>
  <c r="AB104" i="163"/>
  <c r="AC104" i="163" s="1"/>
  <c r="BG104" i="163"/>
  <c r="BH104" i="163" s="1"/>
  <c r="AY104" i="163"/>
  <c r="AH104" i="163"/>
  <c r="AI104" i="163" s="1"/>
  <c r="P104" i="163"/>
  <c r="AV104" i="163"/>
  <c r="AW104" i="163" s="1"/>
  <c r="O104" i="163"/>
  <c r="AT104" i="163"/>
  <c r="AN104" i="163"/>
  <c r="AO104" i="163" s="1"/>
  <c r="V104" i="163"/>
  <c r="W104" i="163" s="1"/>
  <c r="BJ104" i="163"/>
  <c r="BL104" i="163" s="1"/>
  <c r="BK104" i="163"/>
  <c r="BN104" i="163"/>
  <c r="BO104" i="163" s="1"/>
  <c r="M104" i="163"/>
  <c r="I106" i="163"/>
  <c r="K105" i="163"/>
  <c r="K107" i="164" l="1"/>
  <c r="BQ107" i="164" s="1"/>
  <c r="I108" i="164"/>
  <c r="BG106" i="164"/>
  <c r="BH106" i="164" s="1"/>
  <c r="BA106" i="164"/>
  <c r="BB106" i="164" s="1"/>
  <c r="AT106" i="164"/>
  <c r="AN106" i="164"/>
  <c r="AO106" i="164" s="1"/>
  <c r="AH106" i="164"/>
  <c r="AI106" i="164" s="1"/>
  <c r="AB106" i="164"/>
  <c r="AC106" i="164" s="1"/>
  <c r="V106" i="164"/>
  <c r="W106" i="164" s="1"/>
  <c r="O106" i="164"/>
  <c r="BR106" i="164"/>
  <c r="AY106" i="164"/>
  <c r="BD106" i="164"/>
  <c r="BE106" i="164" s="1"/>
  <c r="AQ106" i="164"/>
  <c r="AR106" i="164" s="1"/>
  <c r="AK106" i="164"/>
  <c r="AL106" i="164" s="1"/>
  <c r="AE106" i="164"/>
  <c r="AF106" i="164" s="1"/>
  <c r="Y106" i="164"/>
  <c r="Z106" i="164" s="1"/>
  <c r="R106" i="164"/>
  <c r="T106" i="164" s="1"/>
  <c r="P106" i="164"/>
  <c r="AV106" i="164"/>
  <c r="AW106" i="164" s="1"/>
  <c r="BK106" i="164"/>
  <c r="M106" i="164"/>
  <c r="BJ106" i="164"/>
  <c r="BL106" i="164" s="1"/>
  <c r="BN106" i="164"/>
  <c r="BO106" i="164" s="1"/>
  <c r="AV105" i="163"/>
  <c r="AW105" i="163" s="1"/>
  <c r="P105" i="163"/>
  <c r="BD105" i="163"/>
  <c r="BE105" i="163" s="1"/>
  <c r="AT105" i="163"/>
  <c r="AE105" i="163"/>
  <c r="AF105" i="163" s="1"/>
  <c r="V105" i="163"/>
  <c r="W105" i="163" s="1"/>
  <c r="BQ105" i="163"/>
  <c r="BR105" i="163" s="1"/>
  <c r="BA105" i="163"/>
  <c r="BB105" i="163" s="1"/>
  <c r="AK105" i="163"/>
  <c r="AL105" i="163" s="1"/>
  <c r="AB105" i="163"/>
  <c r="AC105" i="163" s="1"/>
  <c r="AY105" i="163"/>
  <c r="AH105" i="163"/>
  <c r="AI105" i="163" s="1"/>
  <c r="R105" i="163"/>
  <c r="T105" i="163" s="1"/>
  <c r="O105" i="163"/>
  <c r="AQ105" i="163"/>
  <c r="AR105" i="163" s="1"/>
  <c r="AN105" i="163"/>
  <c r="AO105" i="163" s="1"/>
  <c r="BG105" i="163"/>
  <c r="BH105" i="163" s="1"/>
  <c r="Y105" i="163"/>
  <c r="Z105" i="163" s="1"/>
  <c r="BN105" i="163"/>
  <c r="BO105" i="163" s="1"/>
  <c r="BK105" i="163"/>
  <c r="BJ105" i="163"/>
  <c r="BL105" i="163" s="1"/>
  <c r="M105" i="163"/>
  <c r="I107" i="163"/>
  <c r="K106" i="163"/>
  <c r="BG107" i="164" l="1"/>
  <c r="BH107" i="164" s="1"/>
  <c r="BA107" i="164"/>
  <c r="BB107" i="164" s="1"/>
  <c r="AY107" i="164"/>
  <c r="AQ107" i="164"/>
  <c r="AR107" i="164" s="1"/>
  <c r="AK107" i="164"/>
  <c r="AL107" i="164" s="1"/>
  <c r="AE107" i="164"/>
  <c r="AF107" i="164" s="1"/>
  <c r="Y107" i="164"/>
  <c r="Z107" i="164" s="1"/>
  <c r="R107" i="164"/>
  <c r="T107" i="164" s="1"/>
  <c r="BD107" i="164"/>
  <c r="BE107" i="164" s="1"/>
  <c r="AV107" i="164"/>
  <c r="AW107" i="164" s="1"/>
  <c r="P107" i="164"/>
  <c r="AB107" i="164"/>
  <c r="AC107" i="164" s="1"/>
  <c r="AT107" i="164"/>
  <c r="V107" i="164"/>
  <c r="W107" i="164" s="1"/>
  <c r="BR107" i="164"/>
  <c r="AN107" i="164"/>
  <c r="AO107" i="164" s="1"/>
  <c r="O107" i="164"/>
  <c r="AH107" i="164"/>
  <c r="AI107" i="164" s="1"/>
  <c r="BN107" i="164"/>
  <c r="BO107" i="164" s="1"/>
  <c r="M107" i="164"/>
  <c r="BK107" i="164"/>
  <c r="BJ107" i="164"/>
  <c r="BL107" i="164" s="1"/>
  <c r="I109" i="164"/>
  <c r="K108" i="164"/>
  <c r="BQ108" i="164" s="1"/>
  <c r="I108" i="163"/>
  <c r="K107" i="163"/>
  <c r="BD106" i="163"/>
  <c r="BE106" i="163" s="1"/>
  <c r="AQ106" i="163"/>
  <c r="AR106" i="163" s="1"/>
  <c r="AK106" i="163"/>
  <c r="AL106" i="163" s="1"/>
  <c r="AE106" i="163"/>
  <c r="AF106" i="163" s="1"/>
  <c r="Y106" i="163"/>
  <c r="Z106" i="163" s="1"/>
  <c r="R106" i="163"/>
  <c r="T106" i="163" s="1"/>
  <c r="AV106" i="163"/>
  <c r="AW106" i="163" s="1"/>
  <c r="P106" i="163"/>
  <c r="BQ106" i="163"/>
  <c r="BR106" i="163" s="1"/>
  <c r="BA106" i="163"/>
  <c r="BB106" i="163" s="1"/>
  <c r="AN106" i="163"/>
  <c r="AO106" i="163" s="1"/>
  <c r="AB106" i="163"/>
  <c r="AC106" i="163" s="1"/>
  <c r="O106" i="163"/>
  <c r="AY106" i="163"/>
  <c r="AT106" i="163"/>
  <c r="V106" i="163"/>
  <c r="W106" i="163" s="1"/>
  <c r="BG106" i="163"/>
  <c r="BH106" i="163" s="1"/>
  <c r="AH106" i="163"/>
  <c r="AI106" i="163" s="1"/>
  <c r="BJ106" i="163"/>
  <c r="BL106" i="163" s="1"/>
  <c r="BN106" i="163"/>
  <c r="BO106" i="163" s="1"/>
  <c r="BK106" i="163"/>
  <c r="M106" i="163"/>
  <c r="I110" i="164" l="1"/>
  <c r="K109" i="164"/>
  <c r="BQ109" i="164" s="1"/>
  <c r="AV108" i="164"/>
  <c r="AW108" i="164" s="1"/>
  <c r="BG108" i="164"/>
  <c r="BH108" i="164" s="1"/>
  <c r="BA108" i="164"/>
  <c r="BB108" i="164" s="1"/>
  <c r="AT108" i="164"/>
  <c r="AN108" i="164"/>
  <c r="AO108" i="164" s="1"/>
  <c r="AH108" i="164"/>
  <c r="AI108" i="164" s="1"/>
  <c r="AB108" i="164"/>
  <c r="AC108" i="164" s="1"/>
  <c r="V108" i="164"/>
  <c r="W108" i="164" s="1"/>
  <c r="O108" i="164"/>
  <c r="BR108" i="164"/>
  <c r="BD108" i="164"/>
  <c r="BE108" i="164" s="1"/>
  <c r="AQ108" i="164"/>
  <c r="AR108" i="164" s="1"/>
  <c r="AE108" i="164"/>
  <c r="AF108" i="164" s="1"/>
  <c r="AY108" i="164"/>
  <c r="R108" i="164"/>
  <c r="T108" i="164" s="1"/>
  <c r="Y108" i="164"/>
  <c r="Z108" i="164" s="1"/>
  <c r="P108" i="164"/>
  <c r="AK108" i="164"/>
  <c r="AL108" i="164" s="1"/>
  <c r="M108" i="164"/>
  <c r="BN108" i="164"/>
  <c r="BO108" i="164" s="1"/>
  <c r="BK108" i="164"/>
  <c r="BJ108" i="164"/>
  <c r="BL108" i="164" s="1"/>
  <c r="I109" i="163"/>
  <c r="K108" i="163"/>
  <c r="BG107" i="163"/>
  <c r="BH107" i="163" s="1"/>
  <c r="BA107" i="163"/>
  <c r="BB107" i="163" s="1"/>
  <c r="BD107" i="163"/>
  <c r="BE107" i="163" s="1"/>
  <c r="AV107" i="163"/>
  <c r="AW107" i="163" s="1"/>
  <c r="P107" i="163"/>
  <c r="AT107" i="163"/>
  <c r="AN107" i="163"/>
  <c r="AO107" i="163" s="1"/>
  <c r="AH107" i="163"/>
  <c r="AI107" i="163" s="1"/>
  <c r="AB107" i="163"/>
  <c r="AC107" i="163" s="1"/>
  <c r="V107" i="163"/>
  <c r="W107" i="163" s="1"/>
  <c r="O107" i="163"/>
  <c r="AQ107" i="163"/>
  <c r="AR107" i="163" s="1"/>
  <c r="AE107" i="163"/>
  <c r="AF107" i="163" s="1"/>
  <c r="R107" i="163"/>
  <c r="T107" i="163" s="1"/>
  <c r="AY107" i="163"/>
  <c r="BQ107" i="163"/>
  <c r="BR107" i="163" s="1"/>
  <c r="AK107" i="163"/>
  <c r="AL107" i="163" s="1"/>
  <c r="Y107" i="163"/>
  <c r="Z107" i="163" s="1"/>
  <c r="BN107" i="163"/>
  <c r="BO107" i="163" s="1"/>
  <c r="BJ107" i="163"/>
  <c r="BL107" i="163" s="1"/>
  <c r="BK107" i="163"/>
  <c r="M107" i="163"/>
  <c r="AV109" i="164" l="1"/>
  <c r="AW109" i="164" s="1"/>
  <c r="P109" i="164"/>
  <c r="BG109" i="164"/>
  <c r="BH109" i="164" s="1"/>
  <c r="BA109" i="164"/>
  <c r="BB109" i="164" s="1"/>
  <c r="AT109" i="164"/>
  <c r="AN109" i="164"/>
  <c r="AO109" i="164" s="1"/>
  <c r="AH109" i="164"/>
  <c r="AI109" i="164" s="1"/>
  <c r="AB109" i="164"/>
  <c r="AC109" i="164" s="1"/>
  <c r="V109" i="164"/>
  <c r="W109" i="164" s="1"/>
  <c r="O109" i="164"/>
  <c r="BR109" i="164"/>
  <c r="BD109" i="164"/>
  <c r="BE109" i="164" s="1"/>
  <c r="AQ109" i="164"/>
  <c r="AR109" i="164" s="1"/>
  <c r="AE109" i="164"/>
  <c r="AF109" i="164" s="1"/>
  <c r="R109" i="164"/>
  <c r="T109" i="164" s="1"/>
  <c r="AY109" i="164"/>
  <c r="AK109" i="164"/>
  <c r="AL109" i="164" s="1"/>
  <c r="Y109" i="164"/>
  <c r="Z109" i="164" s="1"/>
  <c r="M109" i="164"/>
  <c r="BJ109" i="164"/>
  <c r="BL109" i="164" s="1"/>
  <c r="BN109" i="164"/>
  <c r="BO109" i="164" s="1"/>
  <c r="BK109" i="164"/>
  <c r="I111" i="164"/>
  <c r="K110" i="164"/>
  <c r="BQ110" i="164" s="1"/>
  <c r="AV108" i="163"/>
  <c r="AW108" i="163" s="1"/>
  <c r="P108" i="163"/>
  <c r="BG108" i="163"/>
  <c r="BH108" i="163" s="1"/>
  <c r="BA108" i="163"/>
  <c r="BB108" i="163" s="1"/>
  <c r="AT108" i="163"/>
  <c r="AN108" i="163"/>
  <c r="AO108" i="163" s="1"/>
  <c r="AH108" i="163"/>
  <c r="AI108" i="163" s="1"/>
  <c r="AB108" i="163"/>
  <c r="AC108" i="163" s="1"/>
  <c r="V108" i="163"/>
  <c r="W108" i="163" s="1"/>
  <c r="O108" i="163"/>
  <c r="BD108" i="163"/>
  <c r="BE108" i="163" s="1"/>
  <c r="AQ108" i="163"/>
  <c r="AR108" i="163" s="1"/>
  <c r="AE108" i="163"/>
  <c r="AF108" i="163" s="1"/>
  <c r="R108" i="163"/>
  <c r="T108" i="163" s="1"/>
  <c r="AY108" i="163"/>
  <c r="BQ108" i="163"/>
  <c r="BR108" i="163" s="1"/>
  <c r="AK108" i="163"/>
  <c r="AL108" i="163" s="1"/>
  <c r="Y108" i="163"/>
  <c r="Z108" i="163" s="1"/>
  <c r="BJ108" i="163"/>
  <c r="BL108" i="163" s="1"/>
  <c r="M108" i="163"/>
  <c r="BK108" i="163"/>
  <c r="BN108" i="163"/>
  <c r="BO108" i="163" s="1"/>
  <c r="I110" i="163"/>
  <c r="K109" i="163"/>
  <c r="AV110" i="164" l="1"/>
  <c r="AW110" i="164" s="1"/>
  <c r="P110" i="164"/>
  <c r="BG110" i="164"/>
  <c r="BH110" i="164" s="1"/>
  <c r="BA110" i="164"/>
  <c r="BB110" i="164" s="1"/>
  <c r="AT110" i="164"/>
  <c r="AN110" i="164"/>
  <c r="AO110" i="164" s="1"/>
  <c r="AH110" i="164"/>
  <c r="AI110" i="164" s="1"/>
  <c r="AB110" i="164"/>
  <c r="AC110" i="164" s="1"/>
  <c r="V110" i="164"/>
  <c r="W110" i="164" s="1"/>
  <c r="O110" i="164"/>
  <c r="BR110" i="164"/>
  <c r="BD110" i="164"/>
  <c r="BE110" i="164" s="1"/>
  <c r="AQ110" i="164"/>
  <c r="AR110" i="164" s="1"/>
  <c r="AE110" i="164"/>
  <c r="AF110" i="164" s="1"/>
  <c r="R110" i="164"/>
  <c r="T110" i="164" s="1"/>
  <c r="AY110" i="164"/>
  <c r="AK110" i="164"/>
  <c r="AL110" i="164" s="1"/>
  <c r="Y110" i="164"/>
  <c r="Z110" i="164" s="1"/>
  <c r="M110" i="164"/>
  <c r="BJ110" i="164"/>
  <c r="BL110" i="164" s="1"/>
  <c r="BN110" i="164"/>
  <c r="BO110" i="164" s="1"/>
  <c r="BK110" i="164"/>
  <c r="I112" i="164"/>
  <c r="K111" i="164"/>
  <c r="BQ111" i="164" s="1"/>
  <c r="K110" i="163"/>
  <c r="I111" i="163"/>
  <c r="AV109" i="163"/>
  <c r="AW109" i="163" s="1"/>
  <c r="P109" i="163"/>
  <c r="BG109" i="163"/>
  <c r="BH109" i="163" s="1"/>
  <c r="BA109" i="163"/>
  <c r="BB109" i="163" s="1"/>
  <c r="AT109" i="163"/>
  <c r="AN109" i="163"/>
  <c r="AO109" i="163" s="1"/>
  <c r="AH109" i="163"/>
  <c r="AI109" i="163" s="1"/>
  <c r="AB109" i="163"/>
  <c r="AC109" i="163" s="1"/>
  <c r="V109" i="163"/>
  <c r="W109" i="163" s="1"/>
  <c r="O109" i="163"/>
  <c r="BD109" i="163"/>
  <c r="BE109" i="163" s="1"/>
  <c r="AQ109" i="163"/>
  <c r="AR109" i="163" s="1"/>
  <c r="AE109" i="163"/>
  <c r="AF109" i="163" s="1"/>
  <c r="R109" i="163"/>
  <c r="T109" i="163" s="1"/>
  <c r="AY109" i="163"/>
  <c r="Y109" i="163"/>
  <c r="Z109" i="163" s="1"/>
  <c r="AK109" i="163"/>
  <c r="AL109" i="163" s="1"/>
  <c r="BQ109" i="163"/>
  <c r="BR109" i="163" s="1"/>
  <c r="BK109" i="163"/>
  <c r="M109" i="163"/>
  <c r="BN109" i="163"/>
  <c r="BO109" i="163" s="1"/>
  <c r="BJ109" i="163"/>
  <c r="BL109" i="163" s="1"/>
  <c r="BG111" i="164" l="1"/>
  <c r="BH111" i="164" s="1"/>
  <c r="BA111" i="164"/>
  <c r="BB111" i="164" s="1"/>
  <c r="AT111" i="164"/>
  <c r="AN111" i="164"/>
  <c r="AO111" i="164" s="1"/>
  <c r="AH111" i="164"/>
  <c r="AI111" i="164" s="1"/>
  <c r="AB111" i="164"/>
  <c r="AC111" i="164" s="1"/>
  <c r="V111" i="164"/>
  <c r="W111" i="164" s="1"/>
  <c r="O111" i="164"/>
  <c r="BR111" i="164"/>
  <c r="AY111" i="164"/>
  <c r="BD111" i="164"/>
  <c r="BE111" i="164" s="1"/>
  <c r="AQ111" i="164"/>
  <c r="AR111" i="164" s="1"/>
  <c r="AE111" i="164"/>
  <c r="AF111" i="164" s="1"/>
  <c r="R111" i="164"/>
  <c r="T111" i="164" s="1"/>
  <c r="P111" i="164"/>
  <c r="AK111" i="164"/>
  <c r="AL111" i="164" s="1"/>
  <c r="Y111" i="164"/>
  <c r="Z111" i="164" s="1"/>
  <c r="AV111" i="164"/>
  <c r="AW111" i="164" s="1"/>
  <c r="BK111" i="164"/>
  <c r="BJ111" i="164"/>
  <c r="BL111" i="164" s="1"/>
  <c r="M111" i="164"/>
  <c r="BN111" i="164"/>
  <c r="BO111" i="164" s="1"/>
  <c r="K112" i="164"/>
  <c r="BQ112" i="164" s="1"/>
  <c r="I113" i="164"/>
  <c r="AV110" i="163"/>
  <c r="AW110" i="163" s="1"/>
  <c r="P110" i="163"/>
  <c r="BG110" i="163"/>
  <c r="BH110" i="163" s="1"/>
  <c r="BA110" i="163"/>
  <c r="BB110" i="163" s="1"/>
  <c r="AT110" i="163"/>
  <c r="AN110" i="163"/>
  <c r="AO110" i="163" s="1"/>
  <c r="AH110" i="163"/>
  <c r="AI110" i="163" s="1"/>
  <c r="AB110" i="163"/>
  <c r="AC110" i="163" s="1"/>
  <c r="V110" i="163"/>
  <c r="W110" i="163" s="1"/>
  <c r="O110" i="163"/>
  <c r="BD110" i="163"/>
  <c r="BE110" i="163" s="1"/>
  <c r="AQ110" i="163"/>
  <c r="AR110" i="163" s="1"/>
  <c r="AE110" i="163"/>
  <c r="AF110" i="163" s="1"/>
  <c r="R110" i="163"/>
  <c r="T110" i="163" s="1"/>
  <c r="AY110" i="163"/>
  <c r="BQ110" i="163"/>
  <c r="BR110" i="163" s="1"/>
  <c r="AK110" i="163"/>
  <c r="AL110" i="163" s="1"/>
  <c r="Y110" i="163"/>
  <c r="Z110" i="163" s="1"/>
  <c r="BJ110" i="163"/>
  <c r="BL110" i="163" s="1"/>
  <c r="BN110" i="163"/>
  <c r="BO110" i="163" s="1"/>
  <c r="M110" i="163"/>
  <c r="BK110" i="163"/>
  <c r="I112" i="163"/>
  <c r="K111" i="163"/>
  <c r="K113" i="164" l="1"/>
  <c r="BQ113" i="164" s="1"/>
  <c r="I114" i="164"/>
  <c r="BR112" i="164"/>
  <c r="AY112" i="164"/>
  <c r="BD112" i="164"/>
  <c r="BE112" i="164" s="1"/>
  <c r="AQ112" i="164"/>
  <c r="AR112" i="164" s="1"/>
  <c r="AK112" i="164"/>
  <c r="AL112" i="164" s="1"/>
  <c r="AE112" i="164"/>
  <c r="AF112" i="164" s="1"/>
  <c r="Y112" i="164"/>
  <c r="Z112" i="164" s="1"/>
  <c r="R112" i="164"/>
  <c r="T112" i="164" s="1"/>
  <c r="P112" i="164"/>
  <c r="BA112" i="164"/>
  <c r="BB112" i="164" s="1"/>
  <c r="AN112" i="164"/>
  <c r="AO112" i="164" s="1"/>
  <c r="AB112" i="164"/>
  <c r="AC112" i="164" s="1"/>
  <c r="O112" i="164"/>
  <c r="AV112" i="164"/>
  <c r="AW112" i="164" s="1"/>
  <c r="V112" i="164"/>
  <c r="W112" i="164" s="1"/>
  <c r="BG112" i="164"/>
  <c r="BH112" i="164" s="1"/>
  <c r="AT112" i="164"/>
  <c r="AH112" i="164"/>
  <c r="AI112" i="164" s="1"/>
  <c r="BN112" i="164"/>
  <c r="BO112" i="164" s="1"/>
  <c r="BK112" i="164"/>
  <c r="M112" i="164"/>
  <c r="BJ112" i="164"/>
  <c r="BL112" i="164" s="1"/>
  <c r="K112" i="163"/>
  <c r="I113" i="163"/>
  <c r="BG111" i="163"/>
  <c r="BH111" i="163" s="1"/>
  <c r="BA111" i="163"/>
  <c r="BB111" i="163" s="1"/>
  <c r="AT111" i="163"/>
  <c r="AN111" i="163"/>
  <c r="AO111" i="163" s="1"/>
  <c r="AH111" i="163"/>
  <c r="AI111" i="163" s="1"/>
  <c r="AB111" i="163"/>
  <c r="AC111" i="163" s="1"/>
  <c r="V111" i="163"/>
  <c r="W111" i="163" s="1"/>
  <c r="O111" i="163"/>
  <c r="BQ111" i="163"/>
  <c r="BR111" i="163" s="1"/>
  <c r="AY111" i="163"/>
  <c r="P111" i="163"/>
  <c r="AK111" i="163"/>
  <c r="AL111" i="163" s="1"/>
  <c r="Y111" i="163"/>
  <c r="Z111" i="163" s="1"/>
  <c r="BD111" i="163"/>
  <c r="BE111" i="163" s="1"/>
  <c r="AE111" i="163"/>
  <c r="AF111" i="163" s="1"/>
  <c r="AV111" i="163"/>
  <c r="AW111" i="163" s="1"/>
  <c r="R111" i="163"/>
  <c r="T111" i="163" s="1"/>
  <c r="AQ111" i="163"/>
  <c r="AR111" i="163" s="1"/>
  <c r="BK111" i="163"/>
  <c r="M111" i="163"/>
  <c r="BJ111" i="163"/>
  <c r="BL111" i="163" s="1"/>
  <c r="BN111" i="163"/>
  <c r="BO111" i="163" s="1"/>
  <c r="BR113" i="164" l="1"/>
  <c r="AY113" i="164"/>
  <c r="BD113" i="164"/>
  <c r="BE113" i="164" s="1"/>
  <c r="AQ113" i="164"/>
  <c r="AR113" i="164" s="1"/>
  <c r="AK113" i="164"/>
  <c r="AL113" i="164" s="1"/>
  <c r="AE113" i="164"/>
  <c r="AF113" i="164" s="1"/>
  <c r="Y113" i="164"/>
  <c r="Z113" i="164" s="1"/>
  <c r="R113" i="164"/>
  <c r="T113" i="164" s="1"/>
  <c r="P113" i="164"/>
  <c r="BA113" i="164"/>
  <c r="BB113" i="164" s="1"/>
  <c r="AN113" i="164"/>
  <c r="AO113" i="164" s="1"/>
  <c r="AB113" i="164"/>
  <c r="AC113" i="164" s="1"/>
  <c r="O113" i="164"/>
  <c r="AV113" i="164"/>
  <c r="AW113" i="164" s="1"/>
  <c r="BG113" i="164"/>
  <c r="BH113" i="164" s="1"/>
  <c r="AT113" i="164"/>
  <c r="AH113" i="164"/>
  <c r="AI113" i="164" s="1"/>
  <c r="V113" i="164"/>
  <c r="W113" i="164" s="1"/>
  <c r="BK113" i="164"/>
  <c r="M113" i="164"/>
  <c r="BJ113" i="164"/>
  <c r="BL113" i="164" s="1"/>
  <c r="BN113" i="164"/>
  <c r="BO113" i="164" s="1"/>
  <c r="K114" i="164"/>
  <c r="BQ114" i="164" s="1"/>
  <c r="BQ112" i="163"/>
  <c r="BR112" i="163" s="1"/>
  <c r="AY112" i="163"/>
  <c r="BD112" i="163"/>
  <c r="BE112" i="163" s="1"/>
  <c r="AQ112" i="163"/>
  <c r="AR112" i="163" s="1"/>
  <c r="AK112" i="163"/>
  <c r="AL112" i="163" s="1"/>
  <c r="AE112" i="163"/>
  <c r="AF112" i="163" s="1"/>
  <c r="Y112" i="163"/>
  <c r="Z112" i="163" s="1"/>
  <c r="R112" i="163"/>
  <c r="T112" i="163" s="1"/>
  <c r="BA112" i="163"/>
  <c r="BB112" i="163" s="1"/>
  <c r="AN112" i="163"/>
  <c r="AO112" i="163" s="1"/>
  <c r="AB112" i="163"/>
  <c r="AC112" i="163" s="1"/>
  <c r="O112" i="163"/>
  <c r="AV112" i="163"/>
  <c r="AW112" i="163" s="1"/>
  <c r="P112" i="163"/>
  <c r="BG112" i="163"/>
  <c r="BH112" i="163" s="1"/>
  <c r="AH112" i="163"/>
  <c r="AI112" i="163" s="1"/>
  <c r="AT112" i="163"/>
  <c r="V112" i="163"/>
  <c r="W112" i="163" s="1"/>
  <c r="BK112" i="163"/>
  <c r="BN112" i="163"/>
  <c r="BO112" i="163" s="1"/>
  <c r="M112" i="163"/>
  <c r="BJ112" i="163"/>
  <c r="BL112" i="163" s="1"/>
  <c r="K113" i="163"/>
  <c r="I114" i="163"/>
  <c r="K114" i="163" s="1"/>
  <c r="BG114" i="164" l="1"/>
  <c r="BH114" i="164" s="1"/>
  <c r="BA114" i="164"/>
  <c r="BB114" i="164" s="1"/>
  <c r="AT114" i="164"/>
  <c r="AN114" i="164"/>
  <c r="AO114" i="164" s="1"/>
  <c r="AH114" i="164"/>
  <c r="AI114" i="164" s="1"/>
  <c r="AB114" i="164"/>
  <c r="AC114" i="164" s="1"/>
  <c r="V114" i="164"/>
  <c r="W114" i="164" s="1"/>
  <c r="BR114" i="164"/>
  <c r="AY114" i="164"/>
  <c r="BD114" i="164"/>
  <c r="BE114" i="164" s="1"/>
  <c r="AQ114" i="164"/>
  <c r="AR114" i="164" s="1"/>
  <c r="AK114" i="164"/>
  <c r="AL114" i="164" s="1"/>
  <c r="AE114" i="164"/>
  <c r="AF114" i="164" s="1"/>
  <c r="Y114" i="164"/>
  <c r="Z114" i="164" s="1"/>
  <c r="R114" i="164"/>
  <c r="T114" i="164" s="1"/>
  <c r="P114" i="164"/>
  <c r="O114" i="164"/>
  <c r="AV114" i="164"/>
  <c r="AW114" i="164" s="1"/>
  <c r="M114" i="164"/>
  <c r="BJ114" i="164"/>
  <c r="BL114" i="164" s="1"/>
  <c r="BN114" i="164"/>
  <c r="BO114" i="164" s="1"/>
  <c r="BK114" i="164"/>
  <c r="BG113" i="163"/>
  <c r="BH113" i="163" s="1"/>
  <c r="BA113" i="163"/>
  <c r="BB113" i="163" s="1"/>
  <c r="BQ113" i="163"/>
  <c r="BR113" i="163" s="1"/>
  <c r="AY113" i="163"/>
  <c r="BD113" i="163"/>
  <c r="BE113" i="163" s="1"/>
  <c r="AQ113" i="163"/>
  <c r="AR113" i="163" s="1"/>
  <c r="AK113" i="163"/>
  <c r="AL113" i="163" s="1"/>
  <c r="AE113" i="163"/>
  <c r="AF113" i="163" s="1"/>
  <c r="Y113" i="163"/>
  <c r="Z113" i="163" s="1"/>
  <c r="R113" i="163"/>
  <c r="T113" i="163" s="1"/>
  <c r="AN113" i="163"/>
  <c r="AO113" i="163" s="1"/>
  <c r="AB113" i="163"/>
  <c r="AC113" i="163" s="1"/>
  <c r="O113" i="163"/>
  <c r="AV113" i="163"/>
  <c r="AW113" i="163" s="1"/>
  <c r="AT113" i="163"/>
  <c r="V113" i="163"/>
  <c r="W113" i="163" s="1"/>
  <c r="AH113" i="163"/>
  <c r="AI113" i="163" s="1"/>
  <c r="P113" i="163"/>
  <c r="BN113" i="163"/>
  <c r="BO113" i="163" s="1"/>
  <c r="BJ113" i="163"/>
  <c r="BL113" i="163" s="1"/>
  <c r="M113" i="163"/>
  <c r="BK113" i="163"/>
  <c r="BG114" i="163"/>
  <c r="BH114" i="163" s="1"/>
  <c r="BA114" i="163"/>
  <c r="BB114" i="163" s="1"/>
  <c r="AT114" i="163"/>
  <c r="AN114" i="163"/>
  <c r="AO114" i="163" s="1"/>
  <c r="AH114" i="163"/>
  <c r="AI114" i="163" s="1"/>
  <c r="AB114" i="163"/>
  <c r="AC114" i="163" s="1"/>
  <c r="V114" i="163"/>
  <c r="W114" i="163" s="1"/>
  <c r="O114" i="163"/>
  <c r="BQ114" i="163"/>
  <c r="BR114" i="163" s="1"/>
  <c r="AY114" i="163"/>
  <c r="BD114" i="163"/>
  <c r="BE114" i="163" s="1"/>
  <c r="AQ114" i="163"/>
  <c r="AR114" i="163" s="1"/>
  <c r="AK114" i="163"/>
  <c r="AL114" i="163" s="1"/>
  <c r="AE114" i="163"/>
  <c r="AF114" i="163" s="1"/>
  <c r="Y114" i="163"/>
  <c r="Z114" i="163" s="1"/>
  <c r="R114" i="163"/>
  <c r="T114" i="163" s="1"/>
  <c r="P114" i="163"/>
  <c r="AV114" i="163"/>
  <c r="AW114" i="163" s="1"/>
  <c r="BK114" i="163"/>
  <c r="BJ114" i="163"/>
  <c r="BL114" i="163" s="1"/>
  <c r="M114" i="163"/>
  <c r="BN114" i="163"/>
  <c r="BO114" i="163" s="1"/>
  <c r="AI117" i="164"/>
  <c r="AF117" i="163"/>
  <c r="BO117" i="164"/>
  <c r="BL117" i="164"/>
  <c r="BL117" i="163"/>
  <c r="AI117" i="163"/>
  <c r="AF117" i="164"/>
  <c r="AF116" i="163" l="1"/>
  <c r="AF116" i="164"/>
  <c r="AI116" i="164"/>
  <c r="BN25" i="163"/>
  <c r="BO25" i="163" s="1"/>
  <c r="BN26" i="163"/>
  <c r="BO26" i="163" s="1"/>
  <c r="BN27" i="163"/>
  <c r="BO27" i="163" s="1"/>
  <c r="BN29" i="163"/>
  <c r="BO29" i="163" s="1"/>
  <c r="BN28" i="163"/>
  <c r="BO28" i="163" s="1"/>
  <c r="BN30" i="163"/>
  <c r="BO30" i="163" s="1"/>
  <c r="BN31" i="163"/>
  <c r="BO31" i="163" s="1"/>
  <c r="BN32" i="163"/>
  <c r="BO32" i="163" s="1"/>
  <c r="BN33" i="163"/>
  <c r="BO33" i="163" s="1"/>
  <c r="BN34" i="163"/>
  <c r="BO34" i="163" s="1"/>
  <c r="AI116" i="163"/>
  <c r="BO117" i="163"/>
  <c r="F153" i="161" l="1"/>
  <c r="F150" i="161"/>
  <c r="F143" i="161"/>
  <c r="F142" i="161"/>
  <c r="F120" i="161"/>
  <c r="F126" i="161" s="1"/>
  <c r="F106" i="161"/>
  <c r="F105" i="161"/>
  <c r="F98" i="161"/>
  <c r="F28" i="161"/>
  <c r="F17" i="161"/>
  <c r="F16" i="161"/>
  <c r="I15" i="161"/>
  <c r="F15" i="161"/>
  <c r="F9" i="161"/>
  <c r="F8" i="161"/>
  <c r="F5" i="161"/>
  <c r="F4" i="161"/>
  <c r="F124" i="161" l="1"/>
  <c r="F130" i="161"/>
  <c r="I16" i="161"/>
  <c r="K15" i="161"/>
  <c r="M15" i="161"/>
  <c r="F125" i="161"/>
  <c r="I17" i="161" l="1"/>
  <c r="K16" i="161"/>
  <c r="AT15" i="161"/>
  <c r="AH15" i="161"/>
  <c r="AI15" i="161" s="1"/>
  <c r="AB15" i="161"/>
  <c r="AC15" i="161" s="1"/>
  <c r="AY15" i="161"/>
  <c r="AE15" i="161"/>
  <c r="AF15" i="161" s="1"/>
  <c r="BJ15" i="161"/>
  <c r="F42" i="151"/>
  <c r="F47" i="151"/>
  <c r="AG57" i="58"/>
  <c r="Z7" i="58"/>
  <c r="AY16" i="161" l="1"/>
  <c r="AE16" i="161"/>
  <c r="AH16" i="161"/>
  <c r="AB16" i="161"/>
  <c r="AT16" i="161"/>
  <c r="BJ16" i="161"/>
  <c r="M16" i="161"/>
  <c r="K17" i="161"/>
  <c r="I18" i="161"/>
  <c r="Z8" i="58"/>
  <c r="Z9" i="58"/>
  <c r="Z5" i="58"/>
  <c r="Z6" i="58"/>
  <c r="Z18" i="58"/>
  <c r="F14" i="130"/>
  <c r="F14" i="129"/>
  <c r="AI16" i="161" l="1"/>
  <c r="AC16" i="161"/>
  <c r="K18" i="161"/>
  <c r="I19" i="161"/>
  <c r="AF16" i="161"/>
  <c r="AE17" i="161"/>
  <c r="AT17" i="161"/>
  <c r="AH17" i="161"/>
  <c r="AB17" i="161"/>
  <c r="M17" i="161"/>
  <c r="AY17" i="161"/>
  <c r="BJ17" i="161"/>
  <c r="AB5" i="58"/>
  <c r="AI17" i="161" l="1"/>
  <c r="K19" i="161"/>
  <c r="I20" i="161"/>
  <c r="AF17" i="161"/>
  <c r="AE18" i="161"/>
  <c r="AT18" i="161"/>
  <c r="AH18" i="161"/>
  <c r="AB18" i="161"/>
  <c r="AY18" i="161"/>
  <c r="M18" i="161"/>
  <c r="BJ18" i="161"/>
  <c r="AC17" i="161"/>
  <c r="AA5" i="58"/>
  <c r="Y5" i="58"/>
  <c r="X5" i="58"/>
  <c r="W5" i="58"/>
  <c r="V5" i="58"/>
  <c r="U5" i="58"/>
  <c r="T5" i="58"/>
  <c r="AC18" i="161" l="1"/>
  <c r="I21" i="161"/>
  <c r="K20" i="161"/>
  <c r="AI18" i="161"/>
  <c r="AE19" i="161"/>
  <c r="AT19" i="161"/>
  <c r="AH19" i="161"/>
  <c r="AB19" i="161"/>
  <c r="M19" i="161"/>
  <c r="AY19" i="161"/>
  <c r="BJ19" i="161"/>
  <c r="AF18" i="161"/>
  <c r="F43" i="129"/>
  <c r="B4" i="159"/>
  <c r="F47" i="120"/>
  <c r="F47" i="118"/>
  <c r="F22" i="118"/>
  <c r="F22" i="120"/>
  <c r="F48" i="133"/>
  <c r="F55" i="129" l="1"/>
  <c r="F22" i="129"/>
  <c r="AF19" i="161"/>
  <c r="AC19" i="161"/>
  <c r="AE20" i="161"/>
  <c r="AT20" i="161"/>
  <c r="AH20" i="161"/>
  <c r="AB20" i="161"/>
  <c r="AY20" i="161"/>
  <c r="M20" i="161"/>
  <c r="BJ20" i="161"/>
  <c r="AI19" i="161"/>
  <c r="I22" i="161"/>
  <c r="K21" i="161"/>
  <c r="F56" i="129"/>
  <c r="F42" i="129"/>
  <c r="F27" i="107"/>
  <c r="I23" i="161" l="1"/>
  <c r="K22" i="161"/>
  <c r="AF20" i="161"/>
  <c r="AC20" i="161"/>
  <c r="AT21" i="161"/>
  <c r="AH21" i="161"/>
  <c r="AB21" i="161"/>
  <c r="AY21" i="161"/>
  <c r="AE21" i="161"/>
  <c r="BJ21" i="161"/>
  <c r="M21" i="161"/>
  <c r="AI20" i="161"/>
  <c r="F105" i="95"/>
  <c r="I24" i="161" l="1"/>
  <c r="K23" i="161"/>
  <c r="AC21" i="161"/>
  <c r="AF21" i="161"/>
  <c r="AI21" i="161"/>
  <c r="AT22" i="161"/>
  <c r="AH22" i="161"/>
  <c r="AB22" i="161"/>
  <c r="AY22" i="161"/>
  <c r="AE22" i="161"/>
  <c r="BJ22" i="161"/>
  <c r="M22" i="161"/>
  <c r="B2" i="158"/>
  <c r="B3" i="159"/>
  <c r="F8" i="156"/>
  <c r="F9" i="156"/>
  <c r="F47" i="156"/>
  <c r="F42" i="156"/>
  <c r="F36" i="156"/>
  <c r="F35" i="156"/>
  <c r="F34" i="156"/>
  <c r="F33" i="156"/>
  <c r="F28" i="156"/>
  <c r="F25" i="156"/>
  <c r="F22" i="156"/>
  <c r="F17" i="156"/>
  <c r="F16" i="156"/>
  <c r="F15" i="156"/>
  <c r="F14" i="156"/>
  <c r="F13" i="156"/>
  <c r="F119" i="155"/>
  <c r="F123" i="155" s="1"/>
  <c r="F97" i="155"/>
  <c r="F47" i="155"/>
  <c r="F42" i="155"/>
  <c r="F36" i="155"/>
  <c r="F35" i="155"/>
  <c r="F34" i="155"/>
  <c r="F33" i="155"/>
  <c r="F28" i="155"/>
  <c r="F25" i="155"/>
  <c r="F22" i="155"/>
  <c r="F17" i="155"/>
  <c r="F16" i="155"/>
  <c r="F15" i="155"/>
  <c r="F13" i="155"/>
  <c r="F9" i="155"/>
  <c r="F8" i="155"/>
  <c r="F97" i="152"/>
  <c r="F17" i="152"/>
  <c r="F16" i="152"/>
  <c r="F9" i="152"/>
  <c r="F8" i="152"/>
  <c r="F97" i="153"/>
  <c r="F17" i="153"/>
  <c r="F9" i="153"/>
  <c r="F8" i="153"/>
  <c r="F5" i="105"/>
  <c r="F27" i="99"/>
  <c r="F27" i="98"/>
  <c r="B7" i="159" l="1"/>
  <c r="B23" i="159" s="1"/>
  <c r="B27" i="159"/>
  <c r="B24" i="159"/>
  <c r="AT23" i="161"/>
  <c r="AH23" i="161"/>
  <c r="AB23" i="161"/>
  <c r="AY23" i="161"/>
  <c r="AE23" i="161"/>
  <c r="BJ23" i="161"/>
  <c r="M23" i="161"/>
  <c r="AC22" i="161"/>
  <c r="I25" i="161"/>
  <c r="K24" i="161"/>
  <c r="AI22" i="161"/>
  <c r="AF22" i="161"/>
  <c r="F124" i="155"/>
  <c r="F125" i="155"/>
  <c r="AT24" i="161" l="1"/>
  <c r="AH24" i="161"/>
  <c r="AB24" i="161"/>
  <c r="AY24" i="161"/>
  <c r="AE24" i="161"/>
  <c r="BJ24" i="161"/>
  <c r="M24" i="161"/>
  <c r="AC23" i="161"/>
  <c r="I26" i="161"/>
  <c r="K25" i="161"/>
  <c r="AF23" i="161"/>
  <c r="AI23" i="161"/>
  <c r="AI24" i="161" l="1"/>
  <c r="AT25" i="161"/>
  <c r="AH25" i="161"/>
  <c r="AB25" i="161"/>
  <c r="AY25" i="161"/>
  <c r="AE25" i="161"/>
  <c r="BJ25" i="161"/>
  <c r="M25" i="161"/>
  <c r="AF24" i="161"/>
  <c r="K26" i="161"/>
  <c r="I27" i="161"/>
  <c r="AC24" i="161"/>
  <c r="F17" i="151"/>
  <c r="F17" i="126"/>
  <c r="F17" i="124"/>
  <c r="F17" i="120"/>
  <c r="F17" i="118"/>
  <c r="F17" i="115"/>
  <c r="F17" i="114"/>
  <c r="F17" i="146"/>
  <c r="F17" i="147"/>
  <c r="F17" i="112"/>
  <c r="F17" i="110"/>
  <c r="F17" i="107"/>
  <c r="F17" i="106"/>
  <c r="F17" i="105"/>
  <c r="F17" i="104"/>
  <c r="F17" i="99"/>
  <c r="F17" i="98"/>
  <c r="K27" i="161" l="1"/>
  <c r="I28" i="161"/>
  <c r="AF25" i="161"/>
  <c r="AI25" i="161"/>
  <c r="AT26" i="161"/>
  <c r="AH26" i="161"/>
  <c r="AB26" i="161"/>
  <c r="AY26" i="161"/>
  <c r="AE26" i="161"/>
  <c r="BJ26" i="161"/>
  <c r="M26" i="161"/>
  <c r="AC25" i="161"/>
  <c r="Q11" i="159"/>
  <c r="Q12" i="159"/>
  <c r="Q13" i="159"/>
  <c r="Q14" i="159"/>
  <c r="Q15" i="159"/>
  <c r="Q16" i="159"/>
  <c r="Q17" i="159"/>
  <c r="Q18" i="159"/>
  <c r="Q19" i="159"/>
  <c r="Q20" i="159"/>
  <c r="Q21" i="159"/>
  <c r="Q22" i="159"/>
  <c r="Q23" i="159"/>
  <c r="Q24" i="159"/>
  <c r="R24" i="159" s="1"/>
  <c r="Q25" i="159"/>
  <c r="Q26" i="159"/>
  <c r="Q27" i="159"/>
  <c r="Q28" i="159"/>
  <c r="Q29" i="159"/>
  <c r="Q30" i="159"/>
  <c r="Q31" i="159"/>
  <c r="Q32" i="159"/>
  <c r="Q33" i="159"/>
  <c r="Q34" i="159"/>
  <c r="Q35" i="159"/>
  <c r="Q36" i="159"/>
  <c r="Q37" i="159"/>
  <c r="Q38" i="159"/>
  <c r="Q39" i="159"/>
  <c r="Q40" i="159"/>
  <c r="Q41" i="159"/>
  <c r="Q42" i="159"/>
  <c r="Q43" i="159"/>
  <c r="Q44" i="159"/>
  <c r="Q45" i="159"/>
  <c r="Q46" i="159"/>
  <c r="Q47" i="159"/>
  <c r="Q48" i="159"/>
  <c r="Q49" i="159"/>
  <c r="Q50" i="159"/>
  <c r="Q51" i="159"/>
  <c r="Q52" i="159"/>
  <c r="Q53" i="159"/>
  <c r="Q54" i="159"/>
  <c r="Q55" i="159"/>
  <c r="Q56" i="159"/>
  <c r="Q57" i="159"/>
  <c r="Q58" i="159"/>
  <c r="Q59" i="159"/>
  <c r="Q60" i="159"/>
  <c r="Q61" i="159"/>
  <c r="Q62" i="159"/>
  <c r="Q63" i="159"/>
  <c r="Q64" i="159"/>
  <c r="Q65" i="159"/>
  <c r="Q66" i="159"/>
  <c r="Q67" i="159"/>
  <c r="Q68" i="159"/>
  <c r="Q69" i="159"/>
  <c r="Q70" i="159"/>
  <c r="Q71" i="159"/>
  <c r="Q72" i="159"/>
  <c r="Q73" i="159"/>
  <c r="Q74" i="159"/>
  <c r="Q75" i="159"/>
  <c r="Q76" i="159"/>
  <c r="Q77" i="159"/>
  <c r="Q78" i="159"/>
  <c r="Q79" i="159"/>
  <c r="Q80" i="159"/>
  <c r="Q81" i="159"/>
  <c r="Q82" i="159"/>
  <c r="Q83" i="159"/>
  <c r="Q84" i="159"/>
  <c r="Q85" i="159"/>
  <c r="Q86" i="159"/>
  <c r="Q87" i="159"/>
  <c r="Q88" i="159"/>
  <c r="Q89" i="159"/>
  <c r="Q90" i="159"/>
  <c r="Q91" i="159"/>
  <c r="Q92" i="159"/>
  <c r="Q93" i="159"/>
  <c r="Q94" i="159"/>
  <c r="Q95" i="159"/>
  <c r="Q96" i="159"/>
  <c r="Q97" i="159"/>
  <c r="Q98" i="159"/>
  <c r="Q99" i="159"/>
  <c r="Q100" i="159"/>
  <c r="Q101" i="159"/>
  <c r="Q102" i="159"/>
  <c r="Q103" i="159"/>
  <c r="Q104" i="159"/>
  <c r="Q105" i="159"/>
  <c r="Q106" i="159"/>
  <c r="Q107" i="159"/>
  <c r="Q108" i="159"/>
  <c r="Q109" i="159"/>
  <c r="Q110" i="159"/>
  <c r="Q111" i="159"/>
  <c r="Q112" i="159"/>
  <c r="Q113" i="159"/>
  <c r="Q114" i="159"/>
  <c r="Q115" i="159"/>
  <c r="Q116" i="159"/>
  <c r="Q117" i="159"/>
  <c r="Q118" i="159"/>
  <c r="Q119" i="159"/>
  <c r="Q120" i="159"/>
  <c r="Q121" i="159"/>
  <c r="Q122" i="159"/>
  <c r="Q123" i="159"/>
  <c r="Q124" i="159"/>
  <c r="Q125" i="159"/>
  <c r="Q126" i="159"/>
  <c r="Q127" i="159"/>
  <c r="Q128" i="159"/>
  <c r="Q129" i="159"/>
  <c r="Q130" i="159"/>
  <c r="Q131" i="159"/>
  <c r="Q132" i="159"/>
  <c r="Q133" i="159"/>
  <c r="Q134" i="159"/>
  <c r="Q135" i="159"/>
  <c r="Q136" i="159"/>
  <c r="Q137" i="159"/>
  <c r="Q138" i="159"/>
  <c r="Q139" i="159"/>
  <c r="Q140" i="159"/>
  <c r="Q141" i="159"/>
  <c r="Q142" i="159"/>
  <c r="Q143" i="159"/>
  <c r="Q144" i="159"/>
  <c r="Q145" i="159"/>
  <c r="Q146" i="159"/>
  <c r="Q147" i="159"/>
  <c r="Q148" i="159"/>
  <c r="Q149" i="159"/>
  <c r="Q150" i="159"/>
  <c r="Q151" i="159"/>
  <c r="Q152" i="159"/>
  <c r="Q153" i="159"/>
  <c r="Q154" i="159"/>
  <c r="Q155" i="159"/>
  <c r="Q156" i="159"/>
  <c r="Q157" i="159"/>
  <c r="Q158" i="159"/>
  <c r="Q159" i="159"/>
  <c r="Q160" i="159"/>
  <c r="Q161" i="159"/>
  <c r="Q162" i="159"/>
  <c r="Q163" i="159"/>
  <c r="Q164" i="159"/>
  <c r="Q165" i="159"/>
  <c r="Q166" i="159"/>
  <c r="Q167" i="159"/>
  <c r="Q168" i="159"/>
  <c r="Q169" i="159"/>
  <c r="Q170" i="159"/>
  <c r="Q171" i="159"/>
  <c r="Q172" i="159"/>
  <c r="Q173" i="159"/>
  <c r="Q174" i="159"/>
  <c r="Q175" i="159"/>
  <c r="Q176" i="159"/>
  <c r="Q177" i="159"/>
  <c r="Q178" i="159"/>
  <c r="Q179" i="159"/>
  <c r="Q180" i="159"/>
  <c r="Q181" i="159"/>
  <c r="Q182" i="159"/>
  <c r="Q183" i="159"/>
  <c r="Q184" i="159"/>
  <c r="Q185" i="159"/>
  <c r="Q186" i="159"/>
  <c r="Q187" i="159"/>
  <c r="Q188" i="159"/>
  <c r="Q189" i="159"/>
  <c r="Q190" i="159"/>
  <c r="Q191" i="159"/>
  <c r="Q192" i="159"/>
  <c r="Q193" i="159"/>
  <c r="Q194" i="159"/>
  <c r="Q195" i="159"/>
  <c r="Q196" i="159"/>
  <c r="Q197" i="159"/>
  <c r="Q198" i="159"/>
  <c r="Q199" i="159"/>
  <c r="Q200" i="159"/>
  <c r="Q201" i="159"/>
  <c r="Q202" i="159"/>
  <c r="Q203" i="159"/>
  <c r="Q204" i="159"/>
  <c r="Q205" i="159"/>
  <c r="R205" i="159" s="1"/>
  <c r="Q206" i="159"/>
  <c r="Q207" i="159"/>
  <c r="Q208" i="159"/>
  <c r="Q209" i="159"/>
  <c r="Q210" i="159"/>
  <c r="Q211" i="159"/>
  <c r="Q212" i="159"/>
  <c r="Q213" i="159"/>
  <c r="Q214" i="159"/>
  <c r="Q215" i="159"/>
  <c r="Q216" i="159"/>
  <c r="Q217" i="159"/>
  <c r="Q218" i="159"/>
  <c r="Q219" i="159"/>
  <c r="Q220" i="159"/>
  <c r="Q221" i="159"/>
  <c r="Q222" i="159"/>
  <c r="Q223" i="159"/>
  <c r="Q224" i="159"/>
  <c r="Q225" i="159"/>
  <c r="Q226" i="159"/>
  <c r="Q227" i="159"/>
  <c r="Q228" i="159"/>
  <c r="Q229" i="159"/>
  <c r="Q230" i="159"/>
  <c r="Q231" i="159"/>
  <c r="Q232" i="159"/>
  <c r="Q233" i="159"/>
  <c r="Q234" i="159"/>
  <c r="Q235" i="159"/>
  <c r="Q236" i="159"/>
  <c r="Q237" i="159"/>
  <c r="Q238" i="159"/>
  <c r="Q239" i="159"/>
  <c r="Q240" i="159"/>
  <c r="Q241" i="159"/>
  <c r="Q242" i="159"/>
  <c r="Q243" i="159"/>
  <c r="Q244" i="159"/>
  <c r="Q245" i="159"/>
  <c r="Q246" i="159"/>
  <c r="Q247" i="159"/>
  <c r="Q248" i="159"/>
  <c r="Q249" i="159"/>
  <c r="Q250" i="159"/>
  <c r="Q251" i="159"/>
  <c r="Q252" i="159"/>
  <c r="Q253" i="159"/>
  <c r="Q254" i="159"/>
  <c r="Q255" i="159"/>
  <c r="Q256" i="159"/>
  <c r="Q257" i="159"/>
  <c r="Q258" i="159"/>
  <c r="Q259" i="159"/>
  <c r="Q260" i="159"/>
  <c r="Q261" i="159"/>
  <c r="Q262" i="159"/>
  <c r="Q263" i="159"/>
  <c r="Q264" i="159"/>
  <c r="Q265" i="159"/>
  <c r="Q266" i="159"/>
  <c r="Q267" i="159"/>
  <c r="Q268" i="159"/>
  <c r="Q269" i="159"/>
  <c r="Q270" i="159"/>
  <c r="Q271" i="159"/>
  <c r="Q272" i="159"/>
  <c r="Q273" i="159"/>
  <c r="Q274" i="159"/>
  <c r="Q275" i="159"/>
  <c r="Q276" i="159"/>
  <c r="Q277" i="159"/>
  <c r="R277" i="159" s="1"/>
  <c r="Q278" i="159"/>
  <c r="Q279" i="159"/>
  <c r="Q280" i="159"/>
  <c r="U280" i="159"/>
  <c r="Q281" i="159"/>
  <c r="Q282" i="159"/>
  <c r="Q283" i="159"/>
  <c r="U283" i="159"/>
  <c r="Q284" i="159"/>
  <c r="Q285" i="159"/>
  <c r="Q286" i="159"/>
  <c r="Q287" i="159"/>
  <c r="Q288" i="159"/>
  <c r="Q289" i="159"/>
  <c r="Q290" i="159"/>
  <c r="Q291" i="159"/>
  <c r="Q292" i="159"/>
  <c r="Q293" i="159"/>
  <c r="Q294" i="159"/>
  <c r="Q295" i="159"/>
  <c r="Q296" i="159"/>
  <c r="Q297" i="159"/>
  <c r="Q298" i="159"/>
  <c r="Q299" i="159"/>
  <c r="U299" i="159"/>
  <c r="Q300" i="159"/>
  <c r="Q301" i="159"/>
  <c r="Q302" i="159"/>
  <c r="Q303" i="159"/>
  <c r="Q304" i="159"/>
  <c r="Q305" i="159"/>
  <c r="Q306" i="159"/>
  <c r="Q307" i="159"/>
  <c r="Q308" i="159"/>
  <c r="Q309" i="159"/>
  <c r="Q310" i="159"/>
  <c r="Q311" i="159"/>
  <c r="Q312" i="159"/>
  <c r="Q313" i="159"/>
  <c r="Q314" i="159"/>
  <c r="R314" i="159" s="1"/>
  <c r="Q315" i="159"/>
  <c r="Q316" i="159"/>
  <c r="Q317" i="159"/>
  <c r="Q318" i="159"/>
  <c r="Q319" i="159"/>
  <c r="Q320" i="159"/>
  <c r="Q321" i="159"/>
  <c r="Q322" i="159"/>
  <c r="Q323" i="159"/>
  <c r="Q324" i="159"/>
  <c r="Q325" i="159"/>
  <c r="R325" i="159"/>
  <c r="Q326" i="159"/>
  <c r="Q327" i="159"/>
  <c r="Q328" i="159"/>
  <c r="U328" i="159"/>
  <c r="Q329" i="159"/>
  <c r="Q330" i="159"/>
  <c r="Q331" i="159"/>
  <c r="U331" i="159"/>
  <c r="Q332" i="159"/>
  <c r="Q333" i="159"/>
  <c r="Q334" i="159"/>
  <c r="Q335" i="159"/>
  <c r="Q336" i="159"/>
  <c r="Q337" i="159"/>
  <c r="Q338" i="159"/>
  <c r="Q339" i="159"/>
  <c r="Q340" i="159"/>
  <c r="Q341" i="159"/>
  <c r="Q342" i="159"/>
  <c r="Q343" i="159"/>
  <c r="Q344" i="159"/>
  <c r="Q345" i="159"/>
  <c r="Q346" i="159"/>
  <c r="R346" i="159" s="1"/>
  <c r="Q347" i="159"/>
  <c r="Q348" i="159"/>
  <c r="Q349" i="159"/>
  <c r="Q350" i="159"/>
  <c r="Q351" i="159"/>
  <c r="Q352" i="159"/>
  <c r="Q353" i="159"/>
  <c r="Q354" i="159"/>
  <c r="Q355" i="159"/>
  <c r="Q356" i="159"/>
  <c r="Q357" i="159"/>
  <c r="R357" i="159"/>
  <c r="Q358" i="159"/>
  <c r="Q359" i="159"/>
  <c r="Q360" i="159"/>
  <c r="U360" i="159"/>
  <c r="Q361" i="159"/>
  <c r="Q362" i="159"/>
  <c r="Q363" i="159"/>
  <c r="U363" i="159"/>
  <c r="Q364" i="159"/>
  <c r="Q365" i="159"/>
  <c r="Q366" i="159"/>
  <c r="Q367" i="159"/>
  <c r="Q368" i="159"/>
  <c r="Q369" i="159"/>
  <c r="Q370" i="159"/>
  <c r="Q371" i="159"/>
  <c r="Q372" i="159"/>
  <c r="Q373" i="159"/>
  <c r="Q374" i="159"/>
  <c r="Q375" i="159"/>
  <c r="Q376" i="159"/>
  <c r="Q377" i="159"/>
  <c r="Q378" i="159"/>
  <c r="R378" i="159" s="1"/>
  <c r="Q379" i="159"/>
  <c r="Q380" i="159"/>
  <c r="Q381" i="159"/>
  <c r="Q382" i="159"/>
  <c r="Q383" i="159"/>
  <c r="Q384" i="159"/>
  <c r="Q385" i="159"/>
  <c r="Q386" i="159"/>
  <c r="Q387" i="159"/>
  <c r="Q388" i="159"/>
  <c r="Q389" i="159"/>
  <c r="R389" i="159" s="1"/>
  <c r="Q390" i="159"/>
  <c r="Q391" i="159"/>
  <c r="Q392" i="159"/>
  <c r="U392" i="159"/>
  <c r="Q393" i="159"/>
  <c r="Q394" i="159"/>
  <c r="Q395" i="159"/>
  <c r="U395" i="159"/>
  <c r="Q396" i="159"/>
  <c r="Q397" i="159"/>
  <c r="Q398" i="159"/>
  <c r="Q399" i="159"/>
  <c r="Q400" i="159"/>
  <c r="Q401" i="159"/>
  <c r="Q402" i="159"/>
  <c r="Q403" i="159"/>
  <c r="Q404" i="159"/>
  <c r="Q405" i="159"/>
  <c r="Q406" i="159"/>
  <c r="AC26" i="161" l="1"/>
  <c r="I29" i="161"/>
  <c r="K28" i="161"/>
  <c r="AI26" i="161"/>
  <c r="AT27" i="161"/>
  <c r="AH27" i="161"/>
  <c r="AB27" i="161"/>
  <c r="AY27" i="161"/>
  <c r="AE27" i="161"/>
  <c r="BJ27" i="161"/>
  <c r="M27" i="161"/>
  <c r="AF26" i="161"/>
  <c r="U403" i="159"/>
  <c r="U400" i="159"/>
  <c r="R397" i="159"/>
  <c r="R386" i="159"/>
  <c r="U371" i="159"/>
  <c r="U368" i="159"/>
  <c r="R365" i="159"/>
  <c r="R354" i="159"/>
  <c r="U339" i="159"/>
  <c r="U336" i="159"/>
  <c r="R333" i="159"/>
  <c r="R322" i="159"/>
  <c r="U307" i="159"/>
  <c r="U304" i="159"/>
  <c r="R301" i="159"/>
  <c r="R269" i="159"/>
  <c r="U238" i="159"/>
  <c r="R197" i="159"/>
  <c r="R194" i="159"/>
  <c r="U191" i="159"/>
  <c r="U188" i="159"/>
  <c r="R394" i="159"/>
  <c r="U376" i="159"/>
  <c r="R362" i="159"/>
  <c r="U347" i="159"/>
  <c r="U344" i="159"/>
  <c r="R341" i="159"/>
  <c r="R330" i="159"/>
  <c r="U315" i="159"/>
  <c r="U312" i="159"/>
  <c r="R309" i="159"/>
  <c r="U295" i="159"/>
  <c r="U288" i="159"/>
  <c r="R261" i="159"/>
  <c r="R258" i="159"/>
  <c r="U255" i="159"/>
  <c r="U252" i="159"/>
  <c r="U230" i="159"/>
  <c r="R148" i="159"/>
  <c r="R125" i="159"/>
  <c r="U121" i="159"/>
  <c r="R118" i="159"/>
  <c r="R405" i="159"/>
  <c r="U379" i="159"/>
  <c r="R373" i="159"/>
  <c r="R402" i="159"/>
  <c r="U387" i="159"/>
  <c r="U384" i="159"/>
  <c r="R381" i="159"/>
  <c r="R370" i="159"/>
  <c r="U355" i="159"/>
  <c r="U352" i="159"/>
  <c r="R349" i="159"/>
  <c r="R338" i="159"/>
  <c r="U323" i="159"/>
  <c r="U320" i="159"/>
  <c r="R317" i="159"/>
  <c r="R306" i="159"/>
  <c r="R297" i="159"/>
  <c r="U69" i="159"/>
  <c r="U12" i="159"/>
  <c r="U406" i="159"/>
  <c r="R403" i="159"/>
  <c r="U401" i="159"/>
  <c r="R400" i="159"/>
  <c r="U398" i="159"/>
  <c r="R395" i="159"/>
  <c r="U393" i="159"/>
  <c r="R392" i="159"/>
  <c r="U390" i="159"/>
  <c r="R387" i="159"/>
  <c r="U385" i="159"/>
  <c r="R384" i="159"/>
  <c r="U382" i="159"/>
  <c r="R379" i="159"/>
  <c r="U377" i="159"/>
  <c r="R376" i="159"/>
  <c r="U374" i="159"/>
  <c r="R371" i="159"/>
  <c r="U369" i="159"/>
  <c r="R368" i="159"/>
  <c r="U366" i="159"/>
  <c r="R363" i="159"/>
  <c r="U361" i="159"/>
  <c r="R360" i="159"/>
  <c r="U358" i="159"/>
  <c r="R355" i="159"/>
  <c r="U353" i="159"/>
  <c r="R352" i="159"/>
  <c r="U350" i="159"/>
  <c r="R347" i="159"/>
  <c r="U345" i="159"/>
  <c r="R344" i="159"/>
  <c r="U342" i="159"/>
  <c r="R339" i="159"/>
  <c r="U337" i="159"/>
  <c r="R336" i="159"/>
  <c r="U334" i="159"/>
  <c r="R331" i="159"/>
  <c r="U329" i="159"/>
  <c r="R328" i="159"/>
  <c r="U326" i="159"/>
  <c r="R323" i="159"/>
  <c r="U321" i="159"/>
  <c r="R320" i="159"/>
  <c r="U318" i="159"/>
  <c r="R315" i="159"/>
  <c r="U313" i="159"/>
  <c r="R312" i="159"/>
  <c r="U310" i="159"/>
  <c r="R307" i="159"/>
  <c r="U305" i="159"/>
  <c r="R304" i="159"/>
  <c r="U302" i="159"/>
  <c r="U292" i="159"/>
  <c r="R290" i="159"/>
  <c r="R285" i="159"/>
  <c r="R249" i="159"/>
  <c r="R243" i="159"/>
  <c r="R240" i="159"/>
  <c r="U235" i="159"/>
  <c r="R232" i="159"/>
  <c r="U218" i="159"/>
  <c r="U215" i="159"/>
  <c r="U212" i="159"/>
  <c r="U209" i="159"/>
  <c r="R185" i="159"/>
  <c r="R151" i="159"/>
  <c r="R88" i="159"/>
  <c r="U35" i="159"/>
  <c r="R32" i="159"/>
  <c r="R18" i="159"/>
  <c r="U50" i="159"/>
  <c r="U404" i="159"/>
  <c r="R398" i="159"/>
  <c r="R393" i="159"/>
  <c r="R390" i="159"/>
  <c r="R385" i="159"/>
  <c r="U383" i="159"/>
  <c r="R382" i="159"/>
  <c r="U380" i="159"/>
  <c r="R377" i="159"/>
  <c r="U375" i="159"/>
  <c r="R374" i="159"/>
  <c r="U372" i="159"/>
  <c r="R369" i="159"/>
  <c r="U367" i="159"/>
  <c r="R366" i="159"/>
  <c r="U364" i="159"/>
  <c r="R361" i="159"/>
  <c r="U359" i="159"/>
  <c r="R358" i="159"/>
  <c r="U356" i="159"/>
  <c r="R353" i="159"/>
  <c r="U351" i="159"/>
  <c r="R350" i="159"/>
  <c r="U348" i="159"/>
  <c r="R345" i="159"/>
  <c r="U343" i="159"/>
  <c r="R342" i="159"/>
  <c r="U340" i="159"/>
  <c r="R337" i="159"/>
  <c r="U335" i="159"/>
  <c r="R334" i="159"/>
  <c r="U332" i="159"/>
  <c r="R329" i="159"/>
  <c r="U327" i="159"/>
  <c r="R326" i="159"/>
  <c r="U324" i="159"/>
  <c r="R321" i="159"/>
  <c r="U319" i="159"/>
  <c r="R318" i="159"/>
  <c r="U316" i="159"/>
  <c r="R313" i="159"/>
  <c r="U311" i="159"/>
  <c r="R310" i="159"/>
  <c r="U308" i="159"/>
  <c r="R305" i="159"/>
  <c r="U303" i="159"/>
  <c r="R302" i="159"/>
  <c r="U300" i="159"/>
  <c r="U298" i="159"/>
  <c r="U296" i="159"/>
  <c r="R294" i="159"/>
  <c r="R289" i="159"/>
  <c r="U287" i="159"/>
  <c r="R282" i="159"/>
  <c r="U270" i="159"/>
  <c r="U262" i="159"/>
  <c r="R237" i="159"/>
  <c r="R229" i="159"/>
  <c r="R226" i="159"/>
  <c r="U223" i="159"/>
  <c r="U220" i="159"/>
  <c r="U206" i="159"/>
  <c r="U198" i="159"/>
  <c r="R113" i="159"/>
  <c r="R94" i="159"/>
  <c r="R79" i="159"/>
  <c r="R60" i="159"/>
  <c r="U41" i="159"/>
  <c r="U11" i="159"/>
  <c r="U14" i="159"/>
  <c r="U18" i="159"/>
  <c r="R22" i="159"/>
  <c r="U23" i="159"/>
  <c r="U24" i="159"/>
  <c r="B26" i="159"/>
  <c r="R29" i="159"/>
  <c r="U30" i="159"/>
  <c r="R34" i="159"/>
  <c r="U39" i="159"/>
  <c r="U43" i="159"/>
  <c r="U47" i="159"/>
  <c r="U49" i="159"/>
  <c r="R53" i="159"/>
  <c r="U54" i="159"/>
  <c r="U58" i="159"/>
  <c r="U62" i="159"/>
  <c r="R66" i="159"/>
  <c r="U71" i="159"/>
  <c r="U75" i="159"/>
  <c r="U79" i="159"/>
  <c r="U81" i="159"/>
  <c r="R85" i="159"/>
  <c r="U86" i="159"/>
  <c r="U90" i="159"/>
  <c r="U94" i="159"/>
  <c r="R98" i="159"/>
  <c r="U103" i="159"/>
  <c r="R105" i="159"/>
  <c r="U106" i="159"/>
  <c r="U108" i="159"/>
  <c r="R110" i="159"/>
  <c r="U113" i="159"/>
  <c r="U118" i="159"/>
  <c r="U120" i="159"/>
  <c r="U123" i="159"/>
  <c r="U125" i="159"/>
  <c r="R130" i="159"/>
  <c r="R133" i="159"/>
  <c r="U134" i="159"/>
  <c r="R136" i="159"/>
  <c r="U139" i="159"/>
  <c r="R141" i="159"/>
  <c r="U142" i="159"/>
  <c r="R144" i="159"/>
  <c r="U145" i="159"/>
  <c r="U148" i="159"/>
  <c r="U151" i="159"/>
  <c r="U154" i="159"/>
  <c r="U156" i="159"/>
  <c r="U159" i="159"/>
  <c r="R162" i="159"/>
  <c r="R165" i="159"/>
  <c r="U166" i="159"/>
  <c r="R168" i="159"/>
  <c r="U171" i="159"/>
  <c r="R173" i="159"/>
  <c r="U174" i="159"/>
  <c r="R176" i="159"/>
  <c r="U177" i="159"/>
  <c r="U13" i="159"/>
  <c r="U17" i="159"/>
  <c r="R21" i="159"/>
  <c r="U22" i="159"/>
  <c r="B25" i="159"/>
  <c r="R28" i="159"/>
  <c r="U29" i="159"/>
  <c r="R33" i="159"/>
  <c r="U34" i="159"/>
  <c r="R38" i="159"/>
  <c r="R42" i="159"/>
  <c r="R46" i="159"/>
  <c r="U51" i="159"/>
  <c r="U53" i="159"/>
  <c r="U57" i="159"/>
  <c r="U61" i="159"/>
  <c r="R65" i="159"/>
  <c r="U66" i="159"/>
  <c r="R70" i="159"/>
  <c r="R74" i="159"/>
  <c r="R78" i="159"/>
  <c r="U83" i="159"/>
  <c r="U85" i="159"/>
  <c r="U89" i="159"/>
  <c r="U93" i="159"/>
  <c r="R97" i="159"/>
  <c r="U98" i="159"/>
  <c r="U100" i="159"/>
  <c r="R102" i="159"/>
  <c r="U105" i="159"/>
  <c r="U110" i="159"/>
  <c r="U112" i="159"/>
  <c r="U115" i="159"/>
  <c r="U117" i="159"/>
  <c r="R122" i="159"/>
  <c r="U127" i="159"/>
  <c r="R129" i="159"/>
  <c r="U130" i="159"/>
  <c r="R132" i="159"/>
  <c r="U133" i="159"/>
  <c r="U136" i="159"/>
  <c r="R138" i="159"/>
  <c r="U141" i="159"/>
  <c r="U144" i="159"/>
  <c r="U147" i="159"/>
  <c r="R150" i="159"/>
  <c r="U153" i="159"/>
  <c r="R158" i="159"/>
  <c r="R161" i="159"/>
  <c r="U162" i="159"/>
  <c r="R164" i="159"/>
  <c r="U165" i="159"/>
  <c r="U168" i="159"/>
  <c r="R170" i="159"/>
  <c r="U173" i="159"/>
  <c r="U176" i="159"/>
  <c r="U179" i="159"/>
  <c r="U15" i="159"/>
  <c r="U19" i="159"/>
  <c r="U21" i="159"/>
  <c r="R25" i="159"/>
  <c r="R26" i="159"/>
  <c r="R27" i="159"/>
  <c r="U28" i="159"/>
  <c r="U31" i="159"/>
  <c r="U33" i="159"/>
  <c r="R37" i="159"/>
  <c r="U38" i="159"/>
  <c r="U42" i="159"/>
  <c r="U46" i="159"/>
  <c r="R50" i="159"/>
  <c r="U55" i="159"/>
  <c r="U59" i="159"/>
  <c r="U63" i="159"/>
  <c r="U65" i="159"/>
  <c r="R69" i="159"/>
  <c r="U70" i="159"/>
  <c r="U74" i="159"/>
  <c r="U78" i="159"/>
  <c r="R82" i="159"/>
  <c r="U87" i="159"/>
  <c r="U91" i="159"/>
  <c r="U95" i="159"/>
  <c r="U97" i="159"/>
  <c r="U102" i="159"/>
  <c r="U104" i="159"/>
  <c r="U107" i="159"/>
  <c r="U109" i="159"/>
  <c r="R114" i="159"/>
  <c r="U119" i="159"/>
  <c r="R121" i="159"/>
  <c r="U122" i="159"/>
  <c r="U124" i="159"/>
  <c r="R126" i="159"/>
  <c r="U129" i="159"/>
  <c r="U132" i="159"/>
  <c r="U135" i="159"/>
  <c r="U138" i="159"/>
  <c r="U140" i="159"/>
  <c r="U143" i="159"/>
  <c r="R146" i="159"/>
  <c r="R149" i="159"/>
  <c r="U150" i="159"/>
  <c r="R152" i="159"/>
  <c r="U155" i="159"/>
  <c r="R157" i="159"/>
  <c r="U158" i="159"/>
  <c r="R160" i="159"/>
  <c r="U161" i="159"/>
  <c r="U164" i="159"/>
  <c r="U167" i="159"/>
  <c r="U170" i="159"/>
  <c r="U172" i="159"/>
  <c r="U175" i="159"/>
  <c r="R178" i="159"/>
  <c r="R181" i="159"/>
  <c r="U45" i="159"/>
  <c r="R54" i="159"/>
  <c r="U67" i="159"/>
  <c r="U73" i="159"/>
  <c r="U82" i="159"/>
  <c r="U101" i="159"/>
  <c r="U111" i="159"/>
  <c r="U116" i="159"/>
  <c r="U128" i="159"/>
  <c r="U131" i="159"/>
  <c r="R134" i="159"/>
  <c r="U137" i="159"/>
  <c r="U146" i="159"/>
  <c r="R154" i="159"/>
  <c r="U157" i="159"/>
  <c r="U160" i="159"/>
  <c r="U163" i="159"/>
  <c r="R166" i="159"/>
  <c r="U169" i="159"/>
  <c r="U178" i="159"/>
  <c r="U180" i="159"/>
  <c r="R182" i="159"/>
  <c r="U185" i="159"/>
  <c r="R190" i="159"/>
  <c r="R193" i="159"/>
  <c r="U194" i="159"/>
  <c r="R196" i="159"/>
  <c r="U197" i="159"/>
  <c r="U200" i="159"/>
  <c r="R202" i="159"/>
  <c r="U205" i="159"/>
  <c r="U208" i="159"/>
  <c r="U211" i="159"/>
  <c r="R214" i="159"/>
  <c r="U217" i="159"/>
  <c r="R222" i="159"/>
  <c r="R225" i="159"/>
  <c r="U226" i="159"/>
  <c r="R228" i="159"/>
  <c r="U229" i="159"/>
  <c r="U232" i="159"/>
  <c r="R234" i="159"/>
  <c r="U237" i="159"/>
  <c r="U240" i="159"/>
  <c r="U243" i="159"/>
  <c r="R246" i="159"/>
  <c r="U249" i="159"/>
  <c r="R254" i="159"/>
  <c r="R257" i="159"/>
  <c r="U258" i="159"/>
  <c r="R260" i="159"/>
  <c r="U261" i="159"/>
  <c r="U264" i="159"/>
  <c r="R266" i="159"/>
  <c r="U269" i="159"/>
  <c r="U272" i="159"/>
  <c r="R274" i="159"/>
  <c r="U277" i="159"/>
  <c r="R279" i="159"/>
  <c r="U282" i="159"/>
  <c r="U285" i="159"/>
  <c r="R287" i="159"/>
  <c r="U290" i="159"/>
  <c r="U293" i="159"/>
  <c r="R295" i="159"/>
  <c r="R23" i="159"/>
  <c r="U25" i="159"/>
  <c r="U27" i="159"/>
  <c r="R30" i="159"/>
  <c r="R49" i="159"/>
  <c r="R58" i="159"/>
  <c r="U77" i="159"/>
  <c r="R86" i="159"/>
  <c r="U99" i="159"/>
  <c r="U114" i="159"/>
  <c r="U126" i="159"/>
  <c r="U149" i="159"/>
  <c r="U152" i="159"/>
  <c r="U182" i="159"/>
  <c r="R184" i="159"/>
  <c r="U187" i="159"/>
  <c r="R189" i="159"/>
  <c r="U190" i="159"/>
  <c r="R192" i="159"/>
  <c r="U193" i="159"/>
  <c r="U196" i="159"/>
  <c r="U199" i="159"/>
  <c r="U202" i="159"/>
  <c r="U204" i="159"/>
  <c r="U207" i="159"/>
  <c r="R210" i="159"/>
  <c r="R213" i="159"/>
  <c r="U214" i="159"/>
  <c r="R216" i="159"/>
  <c r="U219" i="159"/>
  <c r="R221" i="159"/>
  <c r="U222" i="159"/>
  <c r="R224" i="159"/>
  <c r="U225" i="159"/>
  <c r="U228" i="159"/>
  <c r="U231" i="159"/>
  <c r="U234" i="159"/>
  <c r="U236" i="159"/>
  <c r="U239" i="159"/>
  <c r="R242" i="159"/>
  <c r="R245" i="159"/>
  <c r="U246" i="159"/>
  <c r="R248" i="159"/>
  <c r="U251" i="159"/>
  <c r="R253" i="159"/>
  <c r="U254" i="159"/>
  <c r="R256" i="159"/>
  <c r="U257" i="159"/>
  <c r="U260" i="159"/>
  <c r="U263" i="159"/>
  <c r="U266" i="159"/>
  <c r="U268" i="159"/>
  <c r="U271" i="159"/>
  <c r="U274" i="159"/>
  <c r="U276" i="159"/>
  <c r="U279" i="159"/>
  <c r="R281" i="159"/>
  <c r="U284" i="159"/>
  <c r="R14" i="159"/>
  <c r="U37" i="159"/>
  <c r="R62" i="159"/>
  <c r="R81" i="159"/>
  <c r="R90" i="159"/>
  <c r="R106" i="159"/>
  <c r="R142" i="159"/>
  <c r="R145" i="159"/>
  <c r="R174" i="159"/>
  <c r="R177" i="159"/>
  <c r="U181" i="159"/>
  <c r="U184" i="159"/>
  <c r="R186" i="159"/>
  <c r="U189" i="159"/>
  <c r="U192" i="159"/>
  <c r="U195" i="159"/>
  <c r="R198" i="159"/>
  <c r="U201" i="159"/>
  <c r="R206" i="159"/>
  <c r="R209" i="159"/>
  <c r="U210" i="159"/>
  <c r="R212" i="159"/>
  <c r="U213" i="159"/>
  <c r="U216" i="159"/>
  <c r="R218" i="159"/>
  <c r="U221" i="159"/>
  <c r="U224" i="159"/>
  <c r="U227" i="159"/>
  <c r="R230" i="159"/>
  <c r="U233" i="159"/>
  <c r="R238" i="159"/>
  <c r="R241" i="159"/>
  <c r="U242" i="159"/>
  <c r="R244" i="159"/>
  <c r="U245" i="159"/>
  <c r="U248" i="159"/>
  <c r="R250" i="159"/>
  <c r="U253" i="159"/>
  <c r="U256" i="159"/>
  <c r="U259" i="159"/>
  <c r="R262" i="159"/>
  <c r="U265" i="159"/>
  <c r="R270" i="159"/>
  <c r="U273" i="159"/>
  <c r="U278" i="159"/>
  <c r="U281" i="159"/>
  <c r="R283" i="159"/>
  <c r="U286" i="159"/>
  <c r="U289" i="159"/>
  <c r="R291" i="159"/>
  <c r="U294" i="159"/>
  <c r="U297" i="159"/>
  <c r="R299" i="159"/>
  <c r="R406" i="159"/>
  <c r="R401" i="159"/>
  <c r="U399" i="159"/>
  <c r="U396" i="159"/>
  <c r="U391" i="159"/>
  <c r="U388" i="159"/>
  <c r="U405" i="159"/>
  <c r="R404" i="159"/>
  <c r="U402" i="159"/>
  <c r="R399" i="159"/>
  <c r="U397" i="159"/>
  <c r="R396" i="159"/>
  <c r="U394" i="159"/>
  <c r="R391" i="159"/>
  <c r="U389" i="159"/>
  <c r="R388" i="159"/>
  <c r="U386" i="159"/>
  <c r="R383" i="159"/>
  <c r="U381" i="159"/>
  <c r="R380" i="159"/>
  <c r="U378" i="159"/>
  <c r="R375" i="159"/>
  <c r="U373" i="159"/>
  <c r="R372" i="159"/>
  <c r="U370" i="159"/>
  <c r="R367" i="159"/>
  <c r="U365" i="159"/>
  <c r="R364" i="159"/>
  <c r="U362" i="159"/>
  <c r="R359" i="159"/>
  <c r="U357" i="159"/>
  <c r="R356" i="159"/>
  <c r="U354" i="159"/>
  <c r="R351" i="159"/>
  <c r="U349" i="159"/>
  <c r="R348" i="159"/>
  <c r="U346" i="159"/>
  <c r="R343" i="159"/>
  <c r="U341" i="159"/>
  <c r="R340" i="159"/>
  <c r="U338" i="159"/>
  <c r="R335" i="159"/>
  <c r="U333" i="159"/>
  <c r="R332" i="159"/>
  <c r="U330" i="159"/>
  <c r="R327" i="159"/>
  <c r="U325" i="159"/>
  <c r="R324" i="159"/>
  <c r="U322" i="159"/>
  <c r="R319" i="159"/>
  <c r="U317" i="159"/>
  <c r="R316" i="159"/>
  <c r="U314" i="159"/>
  <c r="R311" i="159"/>
  <c r="U309" i="159"/>
  <c r="R308" i="159"/>
  <c r="U306" i="159"/>
  <c r="R303" i="159"/>
  <c r="U301" i="159"/>
  <c r="R300" i="159"/>
  <c r="R298" i="159"/>
  <c r="R293" i="159"/>
  <c r="U291" i="159"/>
  <c r="U275" i="159"/>
  <c r="R272" i="159"/>
  <c r="U267" i="159"/>
  <c r="R264" i="159"/>
  <c r="U250" i="159"/>
  <c r="U247" i="159"/>
  <c r="U244" i="159"/>
  <c r="U241" i="159"/>
  <c r="R217" i="159"/>
  <c r="R211" i="159"/>
  <c r="R208" i="159"/>
  <c r="U203" i="159"/>
  <c r="R200" i="159"/>
  <c r="U186" i="159"/>
  <c r="U183" i="159"/>
  <c r="R180" i="159"/>
  <c r="U26" i="159"/>
  <c r="R296" i="159"/>
  <c r="R288" i="159"/>
  <c r="R280" i="159"/>
  <c r="R275" i="159"/>
  <c r="R267" i="159"/>
  <c r="R255" i="159"/>
  <c r="R252" i="159"/>
  <c r="R247" i="159"/>
  <c r="R235" i="159"/>
  <c r="R223" i="159"/>
  <c r="R220" i="159"/>
  <c r="R215" i="159"/>
  <c r="R203" i="159"/>
  <c r="R191" i="159"/>
  <c r="R188" i="159"/>
  <c r="R183" i="159"/>
  <c r="R171" i="159"/>
  <c r="R159" i="159"/>
  <c r="R156" i="159"/>
  <c r="R139" i="159"/>
  <c r="R103" i="159"/>
  <c r="R75" i="159"/>
  <c r="R56" i="159"/>
  <c r="R47" i="159"/>
  <c r="R286" i="159"/>
  <c r="R278" i="159"/>
  <c r="R273" i="159"/>
  <c r="R265" i="159"/>
  <c r="R259" i="159"/>
  <c r="R233" i="159"/>
  <c r="R227" i="159"/>
  <c r="R201" i="159"/>
  <c r="R195" i="159"/>
  <c r="R123" i="159"/>
  <c r="R120" i="159"/>
  <c r="R96" i="159"/>
  <c r="R71" i="159"/>
  <c r="R43" i="159"/>
  <c r="R20" i="159"/>
  <c r="R292" i="159"/>
  <c r="R284" i="159"/>
  <c r="R276" i="159"/>
  <c r="R271" i="159"/>
  <c r="R268" i="159"/>
  <c r="R263" i="159"/>
  <c r="R251" i="159"/>
  <c r="R239" i="159"/>
  <c r="R236" i="159"/>
  <c r="R231" i="159"/>
  <c r="R219" i="159"/>
  <c r="R207" i="159"/>
  <c r="R204" i="159"/>
  <c r="R199" i="159"/>
  <c r="R187" i="159"/>
  <c r="R108" i="159"/>
  <c r="R92" i="159"/>
  <c r="R64" i="159"/>
  <c r="R39" i="159"/>
  <c r="R16" i="159"/>
  <c r="R169" i="159"/>
  <c r="R163" i="159"/>
  <c r="R137" i="159"/>
  <c r="R131" i="159"/>
  <c r="R128" i="159"/>
  <c r="R116" i="159"/>
  <c r="R111" i="159"/>
  <c r="R101" i="159"/>
  <c r="R99" i="159"/>
  <c r="R84" i="159"/>
  <c r="R77" i="159"/>
  <c r="R73" i="159"/>
  <c r="R67" i="159"/>
  <c r="R52" i="159"/>
  <c r="R45" i="159"/>
  <c r="R41" i="159"/>
  <c r="R35" i="159"/>
  <c r="R12" i="159"/>
  <c r="R175" i="159"/>
  <c r="R172" i="159"/>
  <c r="R167" i="159"/>
  <c r="R155" i="159"/>
  <c r="R143" i="159"/>
  <c r="R140" i="159"/>
  <c r="R135" i="159"/>
  <c r="R124" i="159"/>
  <c r="R119" i="159"/>
  <c r="R109" i="159"/>
  <c r="R107" i="159"/>
  <c r="R104" i="159"/>
  <c r="R95" i="159"/>
  <c r="R91" i="159"/>
  <c r="R87" i="159"/>
  <c r="R80" i="159"/>
  <c r="R76" i="159"/>
  <c r="R72" i="159"/>
  <c r="R63" i="159"/>
  <c r="R59" i="159"/>
  <c r="R55" i="159"/>
  <c r="R48" i="159"/>
  <c r="R44" i="159"/>
  <c r="R40" i="159"/>
  <c r="R31" i="159"/>
  <c r="R19" i="159"/>
  <c r="R15" i="159"/>
  <c r="R11" i="159"/>
  <c r="R179" i="159"/>
  <c r="R153" i="159"/>
  <c r="R147" i="159"/>
  <c r="R127" i="159"/>
  <c r="R117" i="159"/>
  <c r="R115" i="159"/>
  <c r="R112" i="159"/>
  <c r="R100" i="159"/>
  <c r="R93" i="159"/>
  <c r="R89" i="159"/>
  <c r="R83" i="159"/>
  <c r="R68" i="159"/>
  <c r="R61" i="159"/>
  <c r="R57" i="159"/>
  <c r="R51" i="159"/>
  <c r="R36" i="159"/>
  <c r="R17" i="159"/>
  <c r="R13" i="159"/>
  <c r="U96" i="159"/>
  <c r="U92" i="159"/>
  <c r="U88" i="159"/>
  <c r="U84" i="159"/>
  <c r="U80" i="159"/>
  <c r="U76" i="159"/>
  <c r="U72" i="159"/>
  <c r="U68" i="159"/>
  <c r="U64" i="159"/>
  <c r="U60" i="159"/>
  <c r="U56" i="159"/>
  <c r="U52" i="159"/>
  <c r="U48" i="159"/>
  <c r="U44" i="159"/>
  <c r="U40" i="159"/>
  <c r="U36" i="159"/>
  <c r="U32" i="159"/>
  <c r="U20" i="159"/>
  <c r="U16" i="159"/>
  <c r="AF27" i="161" l="1"/>
  <c r="AC27" i="161"/>
  <c r="AT28" i="161"/>
  <c r="AH28" i="161"/>
  <c r="AB28" i="161"/>
  <c r="AY28" i="161"/>
  <c r="AE28" i="161"/>
  <c r="M28" i="161"/>
  <c r="BJ28" i="161"/>
  <c r="AI27" i="161"/>
  <c r="I30" i="161"/>
  <c r="K29" i="161"/>
  <c r="R407" i="159"/>
  <c r="U407" i="159"/>
  <c r="B13" i="159" s="1"/>
  <c r="B28" i="159" s="1"/>
  <c r="B29" i="159" s="1"/>
  <c r="B30" i="159" s="1"/>
  <c r="F97" i="96" s="1"/>
  <c r="AY29" i="161" l="1"/>
  <c r="AB29" i="161"/>
  <c r="AH29" i="161"/>
  <c r="AE29" i="161"/>
  <c r="AT29" i="161"/>
  <c r="BJ29" i="161"/>
  <c r="M29" i="161"/>
  <c r="AC28" i="161"/>
  <c r="I31" i="161"/>
  <c r="K30" i="161"/>
  <c r="AF28" i="161"/>
  <c r="AI28" i="161"/>
  <c r="F97" i="95"/>
  <c r="AF29" i="161" l="1"/>
  <c r="K31" i="161"/>
  <c r="I32" i="161"/>
  <c r="AC29" i="161"/>
  <c r="AI29" i="161"/>
  <c r="AY30" i="161"/>
  <c r="AE30" i="161"/>
  <c r="AT30" i="161"/>
  <c r="AH30" i="161"/>
  <c r="AB30" i="161"/>
  <c r="M30" i="161"/>
  <c r="BJ30" i="161"/>
  <c r="AC30" i="161" l="1"/>
  <c r="AF30" i="161"/>
  <c r="AY31" i="161"/>
  <c r="AB31" i="161"/>
  <c r="AH31" i="161"/>
  <c r="AE31" i="161"/>
  <c r="AT31" i="161"/>
  <c r="M31" i="161"/>
  <c r="BJ31" i="161"/>
  <c r="AI30" i="161"/>
  <c r="I33" i="161"/>
  <c r="K32" i="161"/>
  <c r="AC31" i="161" l="1"/>
  <c r="AF31" i="161"/>
  <c r="AI31" i="161"/>
  <c r="K33" i="161"/>
  <c r="I34" i="161"/>
  <c r="AY32" i="161"/>
  <c r="AE32" i="161"/>
  <c r="AT32" i="161"/>
  <c r="V32" i="161"/>
  <c r="AH32" i="161"/>
  <c r="AB32" i="161"/>
  <c r="BJ32" i="161"/>
  <c r="M32" i="161"/>
  <c r="F48" i="156"/>
  <c r="F48" i="155"/>
  <c r="F48" i="153"/>
  <c r="F41" i="153"/>
  <c r="F41" i="156"/>
  <c r="F41" i="155"/>
  <c r="F119" i="152"/>
  <c r="F42" i="120"/>
  <c r="AC32" i="161" l="1"/>
  <c r="W32" i="161"/>
  <c r="AF32" i="161"/>
  <c r="K34" i="161"/>
  <c r="I35" i="161"/>
  <c r="AI32" i="161"/>
  <c r="AY33" i="161"/>
  <c r="AB33" i="161"/>
  <c r="AH33" i="161"/>
  <c r="AT33" i="161"/>
  <c r="V33" i="161"/>
  <c r="AE33" i="161"/>
  <c r="BJ33" i="161"/>
  <c r="M33" i="161"/>
  <c r="F124" i="152"/>
  <c r="F123" i="152"/>
  <c r="F125" i="152"/>
  <c r="F42" i="118"/>
  <c r="AF33" i="161" l="1"/>
  <c r="K35" i="161"/>
  <c r="I36" i="161"/>
  <c r="AY34" i="161"/>
  <c r="AE34" i="161"/>
  <c r="AT34" i="161"/>
  <c r="AB34" i="161"/>
  <c r="AH34" i="161"/>
  <c r="V34" i="161"/>
  <c r="BJ34" i="161"/>
  <c r="M34" i="161"/>
  <c r="W33" i="161"/>
  <c r="AI33" i="161"/>
  <c r="AC33" i="161"/>
  <c r="F14" i="101"/>
  <c r="B6" i="158"/>
  <c r="B5" i="158"/>
  <c r="B4" i="158"/>
  <c r="B3" i="158"/>
  <c r="C13" i="158" l="1"/>
  <c r="C12" i="158"/>
  <c r="C14" i="158"/>
  <c r="F21" i="105" s="1"/>
  <c r="W34" i="161"/>
  <c r="AI34" i="161"/>
  <c r="AF34" i="161"/>
  <c r="AC34" i="161"/>
  <c r="K36" i="161"/>
  <c r="I37" i="161"/>
  <c r="AY35" i="161"/>
  <c r="AE35" i="161"/>
  <c r="AB35" i="161"/>
  <c r="AT35" i="161"/>
  <c r="AH35" i="161"/>
  <c r="V35" i="161"/>
  <c r="M35" i="161"/>
  <c r="BJ35" i="161"/>
  <c r="BL35" i="161" s="1"/>
  <c r="BN35" i="161"/>
  <c r="BO35" i="161" s="1"/>
  <c r="AI35" i="161" l="1"/>
  <c r="F22" i="164"/>
  <c r="F118" i="164" s="1"/>
  <c r="F21" i="163"/>
  <c r="F117" i="163" s="1"/>
  <c r="F21" i="99"/>
  <c r="F22" i="161"/>
  <c r="F118" i="161" s="1"/>
  <c r="AK36" i="161" s="1"/>
  <c r="W35" i="161"/>
  <c r="AF35" i="161"/>
  <c r="K37" i="161"/>
  <c r="I38" i="161"/>
  <c r="AT36" i="161"/>
  <c r="AY36" i="161"/>
  <c r="AE36" i="161"/>
  <c r="AB36" i="161"/>
  <c r="AH36" i="161"/>
  <c r="V36" i="161"/>
  <c r="BJ36" i="161"/>
  <c r="BL36" i="161" s="1"/>
  <c r="BN36" i="161"/>
  <c r="BO36" i="161" s="1"/>
  <c r="BK36" i="161"/>
  <c r="M36" i="161"/>
  <c r="AC35" i="161"/>
  <c r="BK35" i="161"/>
  <c r="AI36" i="161" l="1"/>
  <c r="R15" i="163"/>
  <c r="R16" i="163" s="1"/>
  <c r="T16" i="163" s="1"/>
  <c r="Y16" i="163" s="1"/>
  <c r="F27" i="163"/>
  <c r="O15" i="163"/>
  <c r="F127" i="163"/>
  <c r="AN15" i="163"/>
  <c r="AO15" i="163" s="1"/>
  <c r="AK15" i="163"/>
  <c r="AN16" i="163"/>
  <c r="AO16" i="163" s="1"/>
  <c r="AK16" i="163"/>
  <c r="AN17" i="163"/>
  <c r="AO17" i="163" s="1"/>
  <c r="AK17" i="163"/>
  <c r="AN18" i="163"/>
  <c r="AO18" i="163" s="1"/>
  <c r="AK18" i="163"/>
  <c r="AN19" i="163"/>
  <c r="AO19" i="163" s="1"/>
  <c r="AK19" i="163"/>
  <c r="AN20" i="163"/>
  <c r="AO20" i="163" s="1"/>
  <c r="AK20" i="163"/>
  <c r="AN21" i="163"/>
  <c r="AO21" i="163" s="1"/>
  <c r="AK21" i="163"/>
  <c r="AN22" i="163"/>
  <c r="AO22" i="163" s="1"/>
  <c r="AK22" i="163"/>
  <c r="AN23" i="163"/>
  <c r="AO23" i="163" s="1"/>
  <c r="AK23" i="163"/>
  <c r="AK24" i="163"/>
  <c r="AN24" i="163"/>
  <c r="AO24" i="163" s="1"/>
  <c r="AK25" i="163"/>
  <c r="AN25" i="163"/>
  <c r="AO25" i="163" s="1"/>
  <c r="AN26" i="163"/>
  <c r="AO26" i="163" s="1"/>
  <c r="AK26" i="163"/>
  <c r="AK27" i="163"/>
  <c r="AN27" i="163"/>
  <c r="AO27" i="163" s="1"/>
  <c r="AN28" i="163"/>
  <c r="AO28" i="163" s="1"/>
  <c r="AK28" i="163"/>
  <c r="AK29" i="163"/>
  <c r="AN29" i="163"/>
  <c r="AO29" i="163" s="1"/>
  <c r="AN30" i="163"/>
  <c r="AO30" i="163" s="1"/>
  <c r="AK30" i="163"/>
  <c r="AK31" i="163"/>
  <c r="AN31" i="163"/>
  <c r="AO31" i="163" s="1"/>
  <c r="AN32" i="163"/>
  <c r="AO32" i="163" s="1"/>
  <c r="AK32" i="163"/>
  <c r="AK33" i="163"/>
  <c r="AN33" i="163"/>
  <c r="AO33" i="163" s="1"/>
  <c r="AN34" i="163"/>
  <c r="AO34" i="163" s="1"/>
  <c r="AK34" i="163"/>
  <c r="AN35" i="163"/>
  <c r="AO35" i="163" s="1"/>
  <c r="AK35" i="163"/>
  <c r="AN36" i="163"/>
  <c r="AO36" i="163" s="1"/>
  <c r="AK36" i="163"/>
  <c r="AN37" i="163"/>
  <c r="AO37" i="163" s="1"/>
  <c r="AK37" i="163"/>
  <c r="AN38" i="163"/>
  <c r="AO38" i="163" s="1"/>
  <c r="AK38" i="163"/>
  <c r="AK39" i="163"/>
  <c r="AN39" i="163"/>
  <c r="AO39" i="163" s="1"/>
  <c r="F128" i="164"/>
  <c r="F28" i="164"/>
  <c r="R15" i="164"/>
  <c r="R16" i="164" s="1"/>
  <c r="T16" i="164" s="1"/>
  <c r="Y16" i="164" s="1"/>
  <c r="O15" i="164"/>
  <c r="AN15" i="164"/>
  <c r="AO15" i="164" s="1"/>
  <c r="AK15" i="164"/>
  <c r="AN16" i="164"/>
  <c r="AO16" i="164" s="1"/>
  <c r="AK16" i="164"/>
  <c r="AN17" i="164"/>
  <c r="AO17" i="164" s="1"/>
  <c r="AK17" i="164"/>
  <c r="AN18" i="164"/>
  <c r="AO18" i="164" s="1"/>
  <c r="AK18" i="164"/>
  <c r="AN19" i="164"/>
  <c r="AO19" i="164" s="1"/>
  <c r="AK19" i="164"/>
  <c r="AN20" i="164"/>
  <c r="AO20" i="164" s="1"/>
  <c r="AK20" i="164"/>
  <c r="AK21" i="164"/>
  <c r="AN21" i="164"/>
  <c r="AO21" i="164" s="1"/>
  <c r="AK22" i="164"/>
  <c r="AN22" i="164"/>
  <c r="AO22" i="164" s="1"/>
  <c r="AK23" i="164"/>
  <c r="AN23" i="164"/>
  <c r="AO23" i="164" s="1"/>
  <c r="AN24" i="164"/>
  <c r="AO24" i="164" s="1"/>
  <c r="AK24" i="164"/>
  <c r="AN25" i="164"/>
  <c r="AO25" i="164" s="1"/>
  <c r="AK25" i="164"/>
  <c r="AN26" i="164"/>
  <c r="AO26" i="164" s="1"/>
  <c r="AK26" i="164"/>
  <c r="AK27" i="164"/>
  <c r="AN27" i="164"/>
  <c r="AO27" i="164" s="1"/>
  <c r="AN28" i="164"/>
  <c r="AO28" i="164" s="1"/>
  <c r="AK28" i="164"/>
  <c r="AN29" i="164"/>
  <c r="AO29" i="164" s="1"/>
  <c r="AK29" i="164"/>
  <c r="AN30" i="164"/>
  <c r="AO30" i="164" s="1"/>
  <c r="AK30" i="164"/>
  <c r="AN31" i="164"/>
  <c r="AK31" i="164"/>
  <c r="AL31" i="164" s="1"/>
  <c r="AK32" i="164"/>
  <c r="AN32" i="164"/>
  <c r="AO32" i="164" s="1"/>
  <c r="AN33" i="164"/>
  <c r="AO33" i="164" s="1"/>
  <c r="AK33" i="164"/>
  <c r="AK34" i="164"/>
  <c r="AN34" i="164"/>
  <c r="AO34" i="164" s="1"/>
  <c r="AN35" i="164"/>
  <c r="AO35" i="164" s="1"/>
  <c r="AK35" i="164"/>
  <c r="AK36" i="164"/>
  <c r="AN36" i="164"/>
  <c r="AO36" i="164" s="1"/>
  <c r="AK37" i="164"/>
  <c r="AN37" i="164"/>
  <c r="AO37" i="164" s="1"/>
  <c r="AN38" i="164"/>
  <c r="AO38" i="164" s="1"/>
  <c r="AK38" i="164"/>
  <c r="AK39" i="164"/>
  <c r="AN39" i="164"/>
  <c r="AO39" i="164" s="1"/>
  <c r="AN36" i="161"/>
  <c r="AQ36" i="161" s="1"/>
  <c r="AR36" i="161" s="1"/>
  <c r="F128" i="161"/>
  <c r="R15" i="161"/>
  <c r="T15" i="161" s="1"/>
  <c r="Y15" i="161" s="1"/>
  <c r="O15" i="161"/>
  <c r="AN15" i="161"/>
  <c r="AO15" i="161" s="1"/>
  <c r="AK15" i="161"/>
  <c r="AN16" i="161"/>
  <c r="AO16" i="161" s="1"/>
  <c r="AK16" i="161"/>
  <c r="AK17" i="161"/>
  <c r="AN17" i="161"/>
  <c r="AO17" i="161" s="1"/>
  <c r="AN18" i="161"/>
  <c r="AO18" i="161" s="1"/>
  <c r="AK18" i="161"/>
  <c r="AK19" i="161"/>
  <c r="AN19" i="161"/>
  <c r="AO19" i="161" s="1"/>
  <c r="AK20" i="161"/>
  <c r="AN20" i="161"/>
  <c r="AO20" i="161" s="1"/>
  <c r="AN21" i="161"/>
  <c r="AO21" i="161" s="1"/>
  <c r="AK21" i="161"/>
  <c r="AN22" i="161"/>
  <c r="AO22" i="161" s="1"/>
  <c r="AK22" i="161"/>
  <c r="AK23" i="161"/>
  <c r="AN23" i="161"/>
  <c r="AO23" i="161" s="1"/>
  <c r="AN24" i="161"/>
  <c r="AO24" i="161" s="1"/>
  <c r="AK24" i="161"/>
  <c r="AN25" i="161"/>
  <c r="AO25" i="161" s="1"/>
  <c r="AK25" i="161"/>
  <c r="AN26" i="161"/>
  <c r="AO26" i="161" s="1"/>
  <c r="AK26" i="161"/>
  <c r="AN27" i="161"/>
  <c r="AO27" i="161" s="1"/>
  <c r="AK27" i="161"/>
  <c r="AN28" i="161"/>
  <c r="AO28" i="161" s="1"/>
  <c r="AK28" i="161"/>
  <c r="AN29" i="161"/>
  <c r="AO29" i="161" s="1"/>
  <c r="AK29" i="161"/>
  <c r="AK30" i="161"/>
  <c r="AN30" i="161"/>
  <c r="AO30" i="161" s="1"/>
  <c r="AN31" i="161"/>
  <c r="AO31" i="161" s="1"/>
  <c r="AK31" i="161"/>
  <c r="AK32" i="161"/>
  <c r="AN32" i="161"/>
  <c r="AO32" i="161" s="1"/>
  <c r="AN33" i="161"/>
  <c r="AO33" i="161" s="1"/>
  <c r="AK33" i="161"/>
  <c r="AN34" i="161"/>
  <c r="AO34" i="161" s="1"/>
  <c r="AK34" i="161"/>
  <c r="AN35" i="161"/>
  <c r="AO35" i="161" s="1"/>
  <c r="AK35" i="161"/>
  <c r="AL36" i="161"/>
  <c r="W36" i="161"/>
  <c r="AC36" i="161"/>
  <c r="K38" i="161"/>
  <c r="I39" i="161"/>
  <c r="AF36" i="161"/>
  <c r="AT37" i="161"/>
  <c r="AN37" i="161"/>
  <c r="AH37" i="161"/>
  <c r="AB37" i="161"/>
  <c r="V37" i="161"/>
  <c r="AY37" i="161"/>
  <c r="AK37" i="161"/>
  <c r="AE37" i="161"/>
  <c r="BJ37" i="161"/>
  <c r="BL37" i="161" s="1"/>
  <c r="BN37" i="161"/>
  <c r="BO37" i="161" s="1"/>
  <c r="BK37" i="161"/>
  <c r="M37" i="161"/>
  <c r="AO117" i="163"/>
  <c r="R17" i="164" l="1"/>
  <c r="T17" i="164" s="1"/>
  <c r="Y17" i="164" s="1"/>
  <c r="Z17" i="164" s="1"/>
  <c r="AL30" i="164"/>
  <c r="AQ30" i="164"/>
  <c r="AR30" i="164" s="1"/>
  <c r="AL15" i="164"/>
  <c r="AQ15" i="164"/>
  <c r="AR15" i="164" s="1"/>
  <c r="AQ17" i="163"/>
  <c r="AR17" i="163" s="1"/>
  <c r="AL17" i="163"/>
  <c r="AL39" i="164"/>
  <c r="AQ39" i="164"/>
  <c r="AR39" i="164" s="1"/>
  <c r="AQ34" i="164"/>
  <c r="AR34" i="164" s="1"/>
  <c r="AL34" i="164"/>
  <c r="AL28" i="164"/>
  <c r="AQ28" i="164"/>
  <c r="AR28" i="164" s="1"/>
  <c r="AQ27" i="164"/>
  <c r="AR27" i="164" s="1"/>
  <c r="AL27" i="164"/>
  <c r="AL24" i="164"/>
  <c r="AQ24" i="164"/>
  <c r="AR24" i="164" s="1"/>
  <c r="AL22" i="164"/>
  <c r="AQ22" i="164"/>
  <c r="AR22" i="164" s="1"/>
  <c r="AL20" i="164"/>
  <c r="AQ20" i="164"/>
  <c r="AR20" i="164" s="1"/>
  <c r="AL19" i="164"/>
  <c r="AQ19" i="164"/>
  <c r="AR19" i="164" s="1"/>
  <c r="AL16" i="164"/>
  <c r="AQ16" i="164"/>
  <c r="AR16" i="164" s="1"/>
  <c r="AL38" i="163"/>
  <c r="AQ38" i="163"/>
  <c r="AR38" i="163" s="1"/>
  <c r="AL34" i="163"/>
  <c r="AQ34" i="163"/>
  <c r="AR34" i="163" s="1"/>
  <c r="AL26" i="163"/>
  <c r="AQ26" i="163"/>
  <c r="AR26" i="163" s="1"/>
  <c r="AQ25" i="163"/>
  <c r="AR25" i="163" s="1"/>
  <c r="AL25" i="163"/>
  <c r="AL22" i="163"/>
  <c r="AQ22" i="163"/>
  <c r="AR22" i="163" s="1"/>
  <c r="AQ18" i="163"/>
  <c r="AR18" i="163" s="1"/>
  <c r="AL18" i="163"/>
  <c r="P15" i="163"/>
  <c r="V15" i="163" s="1"/>
  <c r="W15" i="163" s="1"/>
  <c r="AQ35" i="164"/>
  <c r="AR35" i="164" s="1"/>
  <c r="AL35" i="164"/>
  <c r="AQ37" i="163"/>
  <c r="AR37" i="163" s="1"/>
  <c r="AL37" i="163"/>
  <c r="AQ27" i="163"/>
  <c r="AR27" i="163" s="1"/>
  <c r="AL27" i="163"/>
  <c r="Z16" i="163"/>
  <c r="AQ33" i="164"/>
  <c r="AR33" i="164" s="1"/>
  <c r="AL33" i="164"/>
  <c r="AQ31" i="164"/>
  <c r="AR31" i="164" s="1"/>
  <c r="AO31" i="164"/>
  <c r="AQ25" i="164"/>
  <c r="AR25" i="164" s="1"/>
  <c r="AL25" i="164"/>
  <c r="AL23" i="164"/>
  <c r="AQ23" i="164"/>
  <c r="AR23" i="164" s="1"/>
  <c r="AL17" i="164"/>
  <c r="AQ17" i="164"/>
  <c r="AR17" i="164" s="1"/>
  <c r="P15" i="164"/>
  <c r="V15" i="164" s="1"/>
  <c r="W15" i="164" s="1"/>
  <c r="AL35" i="163"/>
  <c r="AQ35" i="163"/>
  <c r="AR35" i="163" s="1"/>
  <c r="AL33" i="163"/>
  <c r="AQ33" i="163"/>
  <c r="AR33" i="163" s="1"/>
  <c r="AQ30" i="163"/>
  <c r="AR30" i="163" s="1"/>
  <c r="AL30" i="163"/>
  <c r="AQ29" i="163"/>
  <c r="AR29" i="163" s="1"/>
  <c r="AL29" i="163"/>
  <c r="AQ23" i="163"/>
  <c r="AR23" i="163" s="1"/>
  <c r="AL23" i="163"/>
  <c r="R17" i="163"/>
  <c r="AL15" i="163"/>
  <c r="AQ15" i="163"/>
  <c r="AR15" i="163" s="1"/>
  <c r="BK25" i="163"/>
  <c r="AB40" i="163"/>
  <c r="AC40" i="163" s="1"/>
  <c r="AQ37" i="164"/>
  <c r="AR37" i="164" s="1"/>
  <c r="AL37" i="164"/>
  <c r="BK25" i="164"/>
  <c r="AB40" i="164"/>
  <c r="AC40" i="164" s="1"/>
  <c r="AL36" i="163"/>
  <c r="AQ36" i="163"/>
  <c r="AR36" i="163" s="1"/>
  <c r="AL31" i="163"/>
  <c r="AQ31" i="163"/>
  <c r="AR31" i="163" s="1"/>
  <c r="AL28" i="163"/>
  <c r="AQ28" i="163"/>
  <c r="AR28" i="163" s="1"/>
  <c r="AQ24" i="163"/>
  <c r="AR24" i="163" s="1"/>
  <c r="AL24" i="163"/>
  <c r="AQ21" i="163"/>
  <c r="AR21" i="163" s="1"/>
  <c r="AL21" i="163"/>
  <c r="AL20" i="163"/>
  <c r="AQ20" i="163"/>
  <c r="AR20" i="163" s="1"/>
  <c r="AL38" i="164"/>
  <c r="AQ38" i="164"/>
  <c r="AR38" i="164" s="1"/>
  <c r="AL36" i="164"/>
  <c r="AQ36" i="164"/>
  <c r="AR36" i="164" s="1"/>
  <c r="AQ32" i="164"/>
  <c r="AR32" i="164" s="1"/>
  <c r="AL32" i="164"/>
  <c r="AL29" i="164"/>
  <c r="AQ29" i="164"/>
  <c r="AR29" i="164" s="1"/>
  <c r="AQ26" i="164"/>
  <c r="AR26" i="164" s="1"/>
  <c r="AL26" i="164"/>
  <c r="AL21" i="164"/>
  <c r="AQ21" i="164"/>
  <c r="AR21" i="164" s="1"/>
  <c r="AL18" i="164"/>
  <c r="AQ18" i="164"/>
  <c r="AR18" i="164" s="1"/>
  <c r="Z16" i="164"/>
  <c r="T15" i="164"/>
  <c r="Y15" i="164" s="1"/>
  <c r="AL39" i="163"/>
  <c r="AQ39" i="163"/>
  <c r="AR39" i="163" s="1"/>
  <c r="AL32" i="163"/>
  <c r="AQ32" i="163"/>
  <c r="AR32" i="163" s="1"/>
  <c r="AL19" i="163"/>
  <c r="AQ19" i="163"/>
  <c r="AR19" i="163" s="1"/>
  <c r="AL16" i="163"/>
  <c r="AQ16" i="163"/>
  <c r="AR16" i="163" s="1"/>
  <c r="AO116" i="163"/>
  <c r="T15" i="163"/>
  <c r="Y15" i="163" s="1"/>
  <c r="AO36" i="161"/>
  <c r="AQ34" i="161"/>
  <c r="AR34" i="161" s="1"/>
  <c r="AL34" i="161"/>
  <c r="AL29" i="161"/>
  <c r="AQ29" i="161"/>
  <c r="AR29" i="161" s="1"/>
  <c r="AL22" i="161"/>
  <c r="AQ22" i="161"/>
  <c r="AR22" i="161" s="1"/>
  <c r="AL20" i="161"/>
  <c r="AQ20" i="161"/>
  <c r="AR20" i="161" s="1"/>
  <c r="AQ18" i="161"/>
  <c r="AR18" i="161" s="1"/>
  <c r="AL18" i="161"/>
  <c r="AL17" i="161"/>
  <c r="AQ17" i="161"/>
  <c r="AR17" i="161" s="1"/>
  <c r="Z15" i="161"/>
  <c r="AQ35" i="161"/>
  <c r="AR35" i="161" s="1"/>
  <c r="AL35" i="161"/>
  <c r="AQ31" i="161"/>
  <c r="AR31" i="161" s="1"/>
  <c r="AL31" i="161"/>
  <c r="AQ27" i="161"/>
  <c r="AR27" i="161" s="1"/>
  <c r="AL27" i="161"/>
  <c r="AL26" i="161"/>
  <c r="AQ26" i="161"/>
  <c r="AR26" i="161" s="1"/>
  <c r="AL15" i="161"/>
  <c r="AQ15" i="161"/>
  <c r="AR15" i="161" s="1"/>
  <c r="AQ30" i="161"/>
  <c r="AR30" i="161" s="1"/>
  <c r="AL30" i="161"/>
  <c r="AQ28" i="161"/>
  <c r="AR28" i="161" s="1"/>
  <c r="AL28" i="161"/>
  <c r="AQ24" i="161"/>
  <c r="AR24" i="161" s="1"/>
  <c r="AL24" i="161"/>
  <c r="AL19" i="161"/>
  <c r="AQ19" i="161"/>
  <c r="AR19" i="161" s="1"/>
  <c r="R16" i="161"/>
  <c r="AQ33" i="161"/>
  <c r="AR33" i="161" s="1"/>
  <c r="AL33" i="161"/>
  <c r="AQ32" i="161"/>
  <c r="AR32" i="161" s="1"/>
  <c r="AL32" i="161"/>
  <c r="AL25" i="161"/>
  <c r="AQ25" i="161"/>
  <c r="AR25" i="161" s="1"/>
  <c r="AQ23" i="161"/>
  <c r="AR23" i="161" s="1"/>
  <c r="AL23" i="161"/>
  <c r="AL21" i="161"/>
  <c r="AQ21" i="161"/>
  <c r="AR21" i="161" s="1"/>
  <c r="AQ16" i="161"/>
  <c r="AR16" i="161" s="1"/>
  <c r="AL16" i="161"/>
  <c r="P15" i="161"/>
  <c r="V15" i="161" s="1"/>
  <c r="W15" i="161" s="1"/>
  <c r="AF37" i="161"/>
  <c r="AC37" i="161"/>
  <c r="K39" i="161"/>
  <c r="I40" i="161"/>
  <c r="AL37" i="161"/>
  <c r="AI37" i="161"/>
  <c r="AT38" i="161"/>
  <c r="AN38" i="161"/>
  <c r="AH38" i="161"/>
  <c r="AB38" i="161"/>
  <c r="V38" i="161"/>
  <c r="AY38" i="161"/>
  <c r="AK38" i="161"/>
  <c r="AE38" i="161"/>
  <c r="BJ38" i="161"/>
  <c r="BL38" i="161" s="1"/>
  <c r="BK38" i="161"/>
  <c r="BN38" i="161"/>
  <c r="BO38" i="161" s="1"/>
  <c r="M38" i="161"/>
  <c r="AQ37" i="161"/>
  <c r="AR37" i="161" s="1"/>
  <c r="AO37" i="161"/>
  <c r="W37" i="161"/>
  <c r="AL117" i="164"/>
  <c r="AR117" i="163"/>
  <c r="BK117" i="163"/>
  <c r="BK117" i="164"/>
  <c r="AO117" i="164"/>
  <c r="AC117" i="163"/>
  <c r="AR117" i="164"/>
  <c r="AC117" i="164"/>
  <c r="AL117" i="163"/>
  <c r="W38" i="161" l="1"/>
  <c r="R18" i="164"/>
  <c r="T18" i="164" s="1"/>
  <c r="Y18" i="164" s="1"/>
  <c r="O16" i="164"/>
  <c r="P16" i="164" s="1"/>
  <c r="V16" i="164" s="1"/>
  <c r="W16" i="164" s="1"/>
  <c r="O16" i="163"/>
  <c r="P16" i="163" s="1"/>
  <c r="V16" i="163" s="1"/>
  <c r="W16" i="163" s="1"/>
  <c r="Z15" i="163"/>
  <c r="AC116" i="164"/>
  <c r="T17" i="163"/>
  <c r="Y17" i="163" s="1"/>
  <c r="R18" i="163"/>
  <c r="AL116" i="164"/>
  <c r="AR116" i="164"/>
  <c r="AR116" i="163"/>
  <c r="AO116" i="164"/>
  <c r="AC116" i="163"/>
  <c r="Z15" i="164"/>
  <c r="AL116" i="163"/>
  <c r="O16" i="161"/>
  <c r="P16" i="161" s="1"/>
  <c r="V16" i="161" s="1"/>
  <c r="W16" i="161" s="1"/>
  <c r="AQ38" i="161"/>
  <c r="AR38" i="161" s="1"/>
  <c r="T16" i="161"/>
  <c r="Y16" i="161" s="1"/>
  <c r="R17" i="161"/>
  <c r="AO38" i="161"/>
  <c r="AT39" i="161"/>
  <c r="AN39" i="161"/>
  <c r="AH39" i="161"/>
  <c r="AB39" i="161"/>
  <c r="V39" i="161"/>
  <c r="AY39" i="161"/>
  <c r="AK39" i="161"/>
  <c r="AE39" i="161"/>
  <c r="BK39" i="161"/>
  <c r="BN39" i="161"/>
  <c r="BO39" i="161" s="1"/>
  <c r="M39" i="161"/>
  <c r="BJ39" i="161"/>
  <c r="BL39" i="161" s="1"/>
  <c r="AF38" i="161"/>
  <c r="AC38" i="161"/>
  <c r="AL38" i="161"/>
  <c r="AI38" i="161"/>
  <c r="K40" i="161"/>
  <c r="BQ40" i="161" s="1"/>
  <c r="I41" i="161"/>
  <c r="W39" i="161" l="1"/>
  <c r="R19" i="164"/>
  <c r="T19" i="164" s="1"/>
  <c r="Y19" i="164" s="1"/>
  <c r="Z17" i="163"/>
  <c r="O17" i="164"/>
  <c r="O17" i="163"/>
  <c r="Z18" i="164"/>
  <c r="T18" i="163"/>
  <c r="Y18" i="163" s="1"/>
  <c r="R19" i="163"/>
  <c r="Z16" i="161"/>
  <c r="O17" i="161"/>
  <c r="T17" i="161"/>
  <c r="Y17" i="161" s="1"/>
  <c r="R18" i="161"/>
  <c r="AF39" i="161"/>
  <c r="AC39" i="161"/>
  <c r="K41" i="161"/>
  <c r="BQ41" i="161" s="1"/>
  <c r="I42" i="161"/>
  <c r="BG40" i="161"/>
  <c r="BH40" i="161" s="1"/>
  <c r="BA40" i="161"/>
  <c r="BB40" i="161" s="1"/>
  <c r="AT40" i="161"/>
  <c r="AN40" i="161"/>
  <c r="AO40" i="161" s="1"/>
  <c r="AH40" i="161"/>
  <c r="AI40" i="161" s="1"/>
  <c r="AB40" i="161"/>
  <c r="V40" i="161"/>
  <c r="W40" i="161" s="1"/>
  <c r="O40" i="161"/>
  <c r="BR40" i="161"/>
  <c r="AY40" i="161"/>
  <c r="BD40" i="161"/>
  <c r="BE40" i="161" s="1"/>
  <c r="AQ40" i="161"/>
  <c r="AR40" i="161" s="1"/>
  <c r="AK40" i="161"/>
  <c r="AL40" i="161" s="1"/>
  <c r="AE40" i="161"/>
  <c r="AF40" i="161" s="1"/>
  <c r="Y40" i="161"/>
  <c r="Z40" i="161" s="1"/>
  <c r="R40" i="161"/>
  <c r="T40" i="161" s="1"/>
  <c r="P40" i="161"/>
  <c r="AV40" i="161"/>
  <c r="AW40" i="161" s="1"/>
  <c r="BN40" i="161"/>
  <c r="BO40" i="161" s="1"/>
  <c r="BJ40" i="161"/>
  <c r="BL40" i="161" s="1"/>
  <c r="BK40" i="161"/>
  <c r="M40" i="161"/>
  <c r="AL39" i="161"/>
  <c r="AI39" i="161"/>
  <c r="AQ39" i="161"/>
  <c r="AR39" i="161" s="1"/>
  <c r="AO39" i="161"/>
  <c r="R20" i="164" l="1"/>
  <c r="T20" i="164" s="1"/>
  <c r="Y20" i="164" s="1"/>
  <c r="P17" i="164"/>
  <c r="V17" i="164" s="1"/>
  <c r="W17" i="164" s="1"/>
  <c r="T19" i="163"/>
  <c r="Y19" i="163" s="1"/>
  <c r="R20" i="163"/>
  <c r="P17" i="163"/>
  <c r="Z19" i="164"/>
  <c r="Z18" i="163"/>
  <c r="T18" i="161"/>
  <c r="Y18" i="161" s="1"/>
  <c r="R19" i="161"/>
  <c r="P17" i="161"/>
  <c r="V17" i="161" s="1"/>
  <c r="W17" i="161" s="1"/>
  <c r="Z17" i="161"/>
  <c r="BG41" i="161"/>
  <c r="BH41" i="161" s="1"/>
  <c r="BA41" i="161"/>
  <c r="BB41" i="161" s="1"/>
  <c r="AT41" i="161"/>
  <c r="AN41" i="161"/>
  <c r="AO41" i="161" s="1"/>
  <c r="AH41" i="161"/>
  <c r="AI41" i="161" s="1"/>
  <c r="AB41" i="161"/>
  <c r="AC41" i="161" s="1"/>
  <c r="V41" i="161"/>
  <c r="W41" i="161" s="1"/>
  <c r="O41" i="161"/>
  <c r="BR41" i="161"/>
  <c r="AY41" i="161"/>
  <c r="BD41" i="161"/>
  <c r="BE41" i="161" s="1"/>
  <c r="AQ41" i="161"/>
  <c r="AR41" i="161" s="1"/>
  <c r="AK41" i="161"/>
  <c r="AL41" i="161" s="1"/>
  <c r="AE41" i="161"/>
  <c r="AF41" i="161" s="1"/>
  <c r="Y41" i="161"/>
  <c r="Z41" i="161" s="1"/>
  <c r="R41" i="161"/>
  <c r="T41" i="161" s="1"/>
  <c r="AV41" i="161"/>
  <c r="AW41" i="161" s="1"/>
  <c r="P41" i="161"/>
  <c r="BJ41" i="161"/>
  <c r="BL41" i="161" s="1"/>
  <c r="BK41" i="161"/>
  <c r="M41" i="161"/>
  <c r="BN41" i="161"/>
  <c r="BO41" i="161" s="1"/>
  <c r="AC40" i="161"/>
  <c r="K42" i="161"/>
  <c r="BQ42" i="161" s="1"/>
  <c r="I43" i="161"/>
  <c r="R21" i="164" l="1"/>
  <c r="R22" i="164" s="1"/>
  <c r="O18" i="164"/>
  <c r="P18" i="164" s="1"/>
  <c r="V18" i="164" s="1"/>
  <c r="W18" i="164" s="1"/>
  <c r="T20" i="163"/>
  <c r="Y20" i="163" s="1"/>
  <c r="R21" i="163"/>
  <c r="Z19" i="163"/>
  <c r="V17" i="163"/>
  <c r="Z20" i="164"/>
  <c r="Z18" i="161"/>
  <c r="O18" i="161"/>
  <c r="T19" i="161"/>
  <c r="Y19" i="161" s="1"/>
  <c r="R20" i="161"/>
  <c r="BG42" i="161"/>
  <c r="BH42" i="161" s="1"/>
  <c r="BA42" i="161"/>
  <c r="BB42" i="161" s="1"/>
  <c r="AT42" i="161"/>
  <c r="AN42" i="161"/>
  <c r="AO42" i="161" s="1"/>
  <c r="AH42" i="161"/>
  <c r="AI42" i="161" s="1"/>
  <c r="AB42" i="161"/>
  <c r="AC42" i="161" s="1"/>
  <c r="V42" i="161"/>
  <c r="W42" i="161" s="1"/>
  <c r="O42" i="161"/>
  <c r="BR42" i="161"/>
  <c r="AY42" i="161"/>
  <c r="BD42" i="161"/>
  <c r="BE42" i="161" s="1"/>
  <c r="AQ42" i="161"/>
  <c r="AR42" i="161" s="1"/>
  <c r="AK42" i="161"/>
  <c r="AL42" i="161" s="1"/>
  <c r="AE42" i="161"/>
  <c r="AF42" i="161" s="1"/>
  <c r="Y42" i="161"/>
  <c r="Z42" i="161" s="1"/>
  <c r="R42" i="161"/>
  <c r="T42" i="161" s="1"/>
  <c r="P42" i="161"/>
  <c r="AV42" i="161"/>
  <c r="AW42" i="161" s="1"/>
  <c r="BJ42" i="161"/>
  <c r="BL42" i="161" s="1"/>
  <c r="BK42" i="161"/>
  <c r="M42" i="161"/>
  <c r="BN42" i="161"/>
  <c r="BO42" i="161" s="1"/>
  <c r="K43" i="161"/>
  <c r="BQ43" i="161" s="1"/>
  <c r="I44" i="161"/>
  <c r="AA9" i="58"/>
  <c r="AA8" i="58"/>
  <c r="AA7" i="58"/>
  <c r="AA6" i="58"/>
  <c r="T21" i="164" l="1"/>
  <c r="Y21" i="164" s="1"/>
  <c r="Z21" i="164" s="1"/>
  <c r="T21" i="163"/>
  <c r="Y21" i="163" s="1"/>
  <c r="R22" i="163"/>
  <c r="O19" i="164"/>
  <c r="Z20" i="163"/>
  <c r="W17" i="163"/>
  <c r="O18" i="163"/>
  <c r="T22" i="164"/>
  <c r="Y22" i="164" s="1"/>
  <c r="R23" i="164"/>
  <c r="Z19" i="161"/>
  <c r="P18" i="161"/>
  <c r="V18" i="161" s="1"/>
  <c r="W18" i="161" s="1"/>
  <c r="T20" i="161"/>
  <c r="Y20" i="161" s="1"/>
  <c r="R21" i="161"/>
  <c r="K44" i="161"/>
  <c r="BQ44" i="161" s="1"/>
  <c r="I45" i="161"/>
  <c r="BG43" i="161"/>
  <c r="BH43" i="161" s="1"/>
  <c r="BA43" i="161"/>
  <c r="BB43" i="161" s="1"/>
  <c r="AT43" i="161"/>
  <c r="AN43" i="161"/>
  <c r="AO43" i="161" s="1"/>
  <c r="AH43" i="161"/>
  <c r="AI43" i="161" s="1"/>
  <c r="AB43" i="161"/>
  <c r="AC43" i="161" s="1"/>
  <c r="V43" i="161"/>
  <c r="W43" i="161" s="1"/>
  <c r="O43" i="161"/>
  <c r="BR43" i="161"/>
  <c r="AY43" i="161"/>
  <c r="BD43" i="161"/>
  <c r="BE43" i="161" s="1"/>
  <c r="AQ43" i="161"/>
  <c r="AR43" i="161" s="1"/>
  <c r="AK43" i="161"/>
  <c r="AL43" i="161" s="1"/>
  <c r="AE43" i="161"/>
  <c r="AF43" i="161" s="1"/>
  <c r="Y43" i="161"/>
  <c r="Z43" i="161" s="1"/>
  <c r="R43" i="161"/>
  <c r="T43" i="161" s="1"/>
  <c r="AV43" i="161"/>
  <c r="AW43" i="161" s="1"/>
  <c r="P43" i="161"/>
  <c r="BK43" i="161"/>
  <c r="M43" i="161"/>
  <c r="BN43" i="161"/>
  <c r="BO43" i="161" s="1"/>
  <c r="BJ43" i="161"/>
  <c r="BL43" i="161" s="1"/>
  <c r="I15" i="156"/>
  <c r="K15" i="156" s="1"/>
  <c r="M15" i="156" s="1"/>
  <c r="BK18" i="156"/>
  <c r="F142" i="156"/>
  <c r="F104" i="156"/>
  <c r="F105" i="156"/>
  <c r="F141" i="156"/>
  <c r="F152" i="156"/>
  <c r="I15" i="155"/>
  <c r="K15" i="155"/>
  <c r="M15" i="155" s="1"/>
  <c r="I16" i="155"/>
  <c r="F142" i="155"/>
  <c r="F104" i="155"/>
  <c r="F105" i="155"/>
  <c r="F141" i="155"/>
  <c r="F152" i="155"/>
  <c r="Y9" i="58"/>
  <c r="Y8" i="58"/>
  <c r="Y7" i="58"/>
  <c r="Y6" i="58"/>
  <c r="X9" i="58"/>
  <c r="X8" i="58"/>
  <c r="X7" i="58"/>
  <c r="X6" i="58"/>
  <c r="W9" i="58"/>
  <c r="V9" i="58"/>
  <c r="W8" i="58"/>
  <c r="V8" i="58"/>
  <c r="W7" i="58"/>
  <c r="V7" i="58"/>
  <c r="W6" i="58"/>
  <c r="V6" i="58"/>
  <c r="F119" i="153"/>
  <c r="F15" i="153"/>
  <c r="F14" i="153"/>
  <c r="F133" i="153" s="1"/>
  <c r="F145" i="153" s="1"/>
  <c r="D101" i="154" s="1"/>
  <c r="F16" i="153"/>
  <c r="BJ16" i="153" s="1"/>
  <c r="I15" i="153"/>
  <c r="K15" i="153" s="1"/>
  <c r="F104" i="153"/>
  <c r="F105" i="153"/>
  <c r="F117" i="153"/>
  <c r="F142" i="153"/>
  <c r="F149" i="153"/>
  <c r="F152" i="153"/>
  <c r="F48" i="152"/>
  <c r="F41" i="152"/>
  <c r="F15" i="152"/>
  <c r="F14" i="152"/>
  <c r="F133" i="152" s="1"/>
  <c r="D29" i="10"/>
  <c r="I15" i="152"/>
  <c r="K15" i="152" s="1"/>
  <c r="BN15" i="152" s="1"/>
  <c r="BO15" i="152" s="1"/>
  <c r="F104" i="152"/>
  <c r="F117" i="152"/>
  <c r="F142" i="152"/>
  <c r="F149" i="152"/>
  <c r="F152" i="152"/>
  <c r="BN15" i="155" l="1"/>
  <c r="BO15" i="155" s="1"/>
  <c r="D95" i="154"/>
  <c r="D94" i="154"/>
  <c r="D93" i="154"/>
  <c r="D92" i="154"/>
  <c r="D96" i="154" s="1"/>
  <c r="T23" i="164"/>
  <c r="Y23" i="164" s="1"/>
  <c r="R24" i="164"/>
  <c r="Z22" i="164"/>
  <c r="P18" i="163"/>
  <c r="V18" i="163" s="1"/>
  <c r="W18" i="163" s="1"/>
  <c r="P19" i="164"/>
  <c r="V19" i="164" s="1"/>
  <c r="W19" i="164" s="1"/>
  <c r="Z21" i="163"/>
  <c r="T22" i="163"/>
  <c r="Y22" i="163" s="1"/>
  <c r="R23" i="163"/>
  <c r="O19" i="161"/>
  <c r="P19" i="161" s="1"/>
  <c r="V19" i="161" s="1"/>
  <c r="W19" i="161" s="1"/>
  <c r="T21" i="161"/>
  <c r="Y21" i="161" s="1"/>
  <c r="R22" i="161"/>
  <c r="Z20" i="161"/>
  <c r="K45" i="161"/>
  <c r="BQ45" i="161" s="1"/>
  <c r="I46" i="161"/>
  <c r="BG44" i="161"/>
  <c r="BH44" i="161" s="1"/>
  <c r="BA44" i="161"/>
  <c r="BB44" i="161" s="1"/>
  <c r="AT44" i="161"/>
  <c r="AN44" i="161"/>
  <c r="AO44" i="161" s="1"/>
  <c r="AH44" i="161"/>
  <c r="AI44" i="161" s="1"/>
  <c r="AB44" i="161"/>
  <c r="AC44" i="161" s="1"/>
  <c r="V44" i="161"/>
  <c r="W44" i="161" s="1"/>
  <c r="O44" i="161"/>
  <c r="BR44" i="161"/>
  <c r="AY44" i="161"/>
  <c r="BD44" i="161"/>
  <c r="BE44" i="161" s="1"/>
  <c r="AQ44" i="161"/>
  <c r="AR44" i="161" s="1"/>
  <c r="AK44" i="161"/>
  <c r="AL44" i="161" s="1"/>
  <c r="AE44" i="161"/>
  <c r="AF44" i="161" s="1"/>
  <c r="Y44" i="161"/>
  <c r="Z44" i="161" s="1"/>
  <c r="R44" i="161"/>
  <c r="T44" i="161" s="1"/>
  <c r="P44" i="161"/>
  <c r="AV44" i="161"/>
  <c r="AW44" i="161" s="1"/>
  <c r="BJ44" i="161"/>
  <c r="BL44" i="161" s="1"/>
  <c r="BN44" i="161"/>
  <c r="BO44" i="161" s="1"/>
  <c r="BK44" i="161"/>
  <c r="M44" i="161"/>
  <c r="I16" i="152"/>
  <c r="I17" i="152" s="1"/>
  <c r="I18" i="152" s="1"/>
  <c r="I19" i="152" s="1"/>
  <c r="I20" i="152" s="1"/>
  <c r="I21" i="152" s="1"/>
  <c r="I22" i="152" s="1"/>
  <c r="I23" i="152" s="1"/>
  <c r="I24" i="152" s="1"/>
  <c r="I16" i="156"/>
  <c r="I16" i="153"/>
  <c r="I17" i="153" s="1"/>
  <c r="I18" i="153" s="1"/>
  <c r="I19" i="153" s="1"/>
  <c r="F124" i="153"/>
  <c r="F123" i="153"/>
  <c r="F125" i="153"/>
  <c r="F127" i="153" s="1"/>
  <c r="BR117" i="155"/>
  <c r="BK103" i="155"/>
  <c r="BJ92" i="155"/>
  <c r="BK108" i="155"/>
  <c r="BK69" i="155"/>
  <c r="BJ111" i="153"/>
  <c r="BJ104" i="153"/>
  <c r="BK91" i="153"/>
  <c r="BJ70" i="153"/>
  <c r="BK59" i="153"/>
  <c r="BK42" i="153"/>
  <c r="BK37" i="153"/>
  <c r="BJ27" i="153"/>
  <c r="BL117" i="153"/>
  <c r="BK113" i="153"/>
  <c r="BK105" i="153"/>
  <c r="BK96" i="153"/>
  <c r="BK79" i="153"/>
  <c r="BJ58" i="153"/>
  <c r="BJ41" i="153"/>
  <c r="BK33" i="153"/>
  <c r="BK117" i="153"/>
  <c r="AI117" i="153"/>
  <c r="BJ113" i="153"/>
  <c r="BJ109" i="153"/>
  <c r="BJ105" i="153"/>
  <c r="BK102" i="153"/>
  <c r="BK98" i="153"/>
  <c r="BK94" i="153"/>
  <c r="BJ86" i="153"/>
  <c r="BK75" i="153"/>
  <c r="BJ64" i="153"/>
  <c r="BJ54" i="153"/>
  <c r="BJ47" i="153"/>
  <c r="BK31" i="153"/>
  <c r="BK21" i="153"/>
  <c r="AW117" i="153"/>
  <c r="BJ107" i="153"/>
  <c r="BK100" i="153"/>
  <c r="BJ80" i="153"/>
  <c r="BK48" i="153"/>
  <c r="BN15" i="153"/>
  <c r="BO15" i="153" s="1"/>
  <c r="AL117" i="153"/>
  <c r="BK109" i="153"/>
  <c r="BJ100" i="153"/>
  <c r="BJ90" i="153"/>
  <c r="BJ68" i="153"/>
  <c r="BJ23" i="153"/>
  <c r="BB117" i="153"/>
  <c r="Z117" i="153"/>
  <c r="BK111" i="153"/>
  <c r="BK107" i="153"/>
  <c r="BJ102" i="153"/>
  <c r="BJ98" i="153"/>
  <c r="BJ94" i="153"/>
  <c r="BJ84" i="153"/>
  <c r="BJ74" i="153"/>
  <c r="BK63" i="153"/>
  <c r="BJ52" i="153"/>
  <c r="BK46" i="153"/>
  <c r="BJ39" i="153"/>
  <c r="BK27" i="153"/>
  <c r="BK117" i="155"/>
  <c r="BJ99" i="155"/>
  <c r="BK91" i="155"/>
  <c r="BK59" i="155"/>
  <c r="BJ114" i="155"/>
  <c r="BK79" i="155"/>
  <c r="BJ106" i="155"/>
  <c r="AF117" i="155"/>
  <c r="BK97" i="155"/>
  <c r="BK83" i="155"/>
  <c r="BH117" i="155"/>
  <c r="BJ112" i="155"/>
  <c r="BJ103" i="155"/>
  <c r="BK87" i="155"/>
  <c r="BJ76" i="155"/>
  <c r="BJ58" i="155"/>
  <c r="AI117" i="155"/>
  <c r="BJ110" i="155"/>
  <c r="BK104" i="155"/>
  <c r="BK101" i="155"/>
  <c r="BK95" i="155"/>
  <c r="BJ84" i="155"/>
  <c r="BJ75" i="155"/>
  <c r="AR117" i="155"/>
  <c r="BK112" i="155"/>
  <c r="BJ108" i="155"/>
  <c r="BK99" i="155"/>
  <c r="BJ96" i="155"/>
  <c r="BJ88" i="155"/>
  <c r="BJ80" i="155"/>
  <c r="BK70" i="155"/>
  <c r="AW117" i="155"/>
  <c r="BK114" i="155"/>
  <c r="BK110" i="155"/>
  <c r="BK106" i="155"/>
  <c r="BJ101" i="155"/>
  <c r="BJ97" i="155"/>
  <c r="BJ94" i="155"/>
  <c r="BJ90" i="155"/>
  <c r="BJ86" i="155"/>
  <c r="BJ82" i="155"/>
  <c r="BJ78" i="155"/>
  <c r="BJ73" i="155"/>
  <c r="BK65" i="155"/>
  <c r="BK52" i="155"/>
  <c r="BK93" i="155"/>
  <c r="BK89" i="155"/>
  <c r="BK85" i="155"/>
  <c r="BK81" i="155"/>
  <c r="BK77" i="155"/>
  <c r="BK72" i="155"/>
  <c r="BK63" i="155"/>
  <c r="BK113" i="152"/>
  <c r="AW117" i="152"/>
  <c r="BJ111" i="152"/>
  <c r="BK98" i="152"/>
  <c r="BK105" i="152"/>
  <c r="BO117" i="155"/>
  <c r="BE117" i="155"/>
  <c r="AO117" i="155"/>
  <c r="AC117" i="155"/>
  <c r="BK113" i="155"/>
  <c r="BK111" i="155"/>
  <c r="BK109" i="155"/>
  <c r="BK107" i="155"/>
  <c r="BK105" i="155"/>
  <c r="BJ104" i="155"/>
  <c r="BK102" i="155"/>
  <c r="BK100" i="155"/>
  <c r="BK98" i="155"/>
  <c r="BJ95" i="155"/>
  <c r="BJ93" i="155"/>
  <c r="BJ91" i="155"/>
  <c r="BJ89" i="155"/>
  <c r="BJ87" i="155"/>
  <c r="BJ85" i="155"/>
  <c r="BJ83" i="155"/>
  <c r="BJ81" i="155"/>
  <c r="BJ79" i="155"/>
  <c r="BJ77" i="155"/>
  <c r="BK74" i="155"/>
  <c r="BJ72" i="155"/>
  <c r="BK67" i="155"/>
  <c r="BK62" i="155"/>
  <c r="BK56" i="155"/>
  <c r="BK48" i="155"/>
  <c r="BK36" i="155"/>
  <c r="BK117" i="152"/>
  <c r="BK51" i="155"/>
  <c r="BJ43" i="155"/>
  <c r="BK40" i="155"/>
  <c r="AF117" i="152"/>
  <c r="BL117" i="155"/>
  <c r="BB117" i="155"/>
  <c r="AL117" i="155"/>
  <c r="Z117" i="155"/>
  <c r="BJ113" i="155"/>
  <c r="BJ111" i="155"/>
  <c r="BJ109" i="155"/>
  <c r="BJ107" i="155"/>
  <c r="BJ105" i="155"/>
  <c r="BJ102" i="155"/>
  <c r="BJ100" i="155"/>
  <c r="BJ98" i="155"/>
  <c r="BK96" i="155"/>
  <c r="BK94" i="155"/>
  <c r="BK92" i="155"/>
  <c r="BK90" i="155"/>
  <c r="BK88" i="155"/>
  <c r="BK86" i="155"/>
  <c r="BK84" i="155"/>
  <c r="BK82" i="155"/>
  <c r="BK80" i="155"/>
  <c r="BK78" i="155"/>
  <c r="BK76" i="155"/>
  <c r="BJ74" i="155"/>
  <c r="BJ71" i="155"/>
  <c r="BK66" i="155"/>
  <c r="BK61" i="155"/>
  <c r="BJ54" i="155"/>
  <c r="BK41" i="155"/>
  <c r="BJ94" i="152"/>
  <c r="BK38" i="155"/>
  <c r="BJ25" i="155"/>
  <c r="BJ22" i="155"/>
  <c r="BK108" i="152"/>
  <c r="BK101" i="152"/>
  <c r="BK75" i="155"/>
  <c r="BK73" i="155"/>
  <c r="BK71" i="155"/>
  <c r="BK68" i="155"/>
  <c r="BK64" i="155"/>
  <c r="BK60" i="155"/>
  <c r="BK55" i="155"/>
  <c r="BJ50" i="155"/>
  <c r="BJ45" i="155"/>
  <c r="BK30" i="155"/>
  <c r="BK23" i="155"/>
  <c r="BK20" i="155"/>
  <c r="BE117" i="152"/>
  <c r="AL117" i="152"/>
  <c r="BK109" i="152"/>
  <c r="BJ107" i="152"/>
  <c r="BK102" i="152"/>
  <c r="BJ100" i="152"/>
  <c r="BK97" i="152"/>
  <c r="BJ95" i="152"/>
  <c r="BK92" i="152"/>
  <c r="BJ90" i="152"/>
  <c r="BK84" i="152"/>
  <c r="BJ82" i="152"/>
  <c r="BJ79" i="152"/>
  <c r="BK76" i="152"/>
  <c r="BJ74" i="152"/>
  <c r="BJ71" i="152"/>
  <c r="BK68" i="152"/>
  <c r="BJ66" i="152"/>
  <c r="BJ63" i="152"/>
  <c r="BJ59" i="152"/>
  <c r="BJ51" i="152"/>
  <c r="BK45" i="152"/>
  <c r="BJ38" i="152"/>
  <c r="BJ30" i="152"/>
  <c r="BJ23" i="152"/>
  <c r="BL117" i="152"/>
  <c r="BB117" i="152"/>
  <c r="AI117" i="152"/>
  <c r="BK114" i="152"/>
  <c r="BK111" i="152"/>
  <c r="BJ109" i="152"/>
  <c r="BK106" i="152"/>
  <c r="BJ104" i="152"/>
  <c r="BJ102" i="152"/>
  <c r="BK99" i="152"/>
  <c r="BK94" i="152"/>
  <c r="BJ92" i="152"/>
  <c r="BJ89" i="152"/>
  <c r="BK86" i="152"/>
  <c r="BJ84" i="152"/>
  <c r="BJ81" i="152"/>
  <c r="BK78" i="152"/>
  <c r="BJ76" i="152"/>
  <c r="BJ73" i="152"/>
  <c r="BK70" i="152"/>
  <c r="BJ68" i="152"/>
  <c r="BJ65" i="152"/>
  <c r="BK62" i="152"/>
  <c r="BK56" i="152"/>
  <c r="BK50" i="152"/>
  <c r="BK43" i="152"/>
  <c r="BK35" i="152"/>
  <c r="BK29" i="152"/>
  <c r="BJ70" i="155"/>
  <c r="BJ68" i="155"/>
  <c r="BJ66" i="155"/>
  <c r="BJ64" i="155"/>
  <c r="BJ62" i="155"/>
  <c r="BJ60" i="155"/>
  <c r="BK57" i="155"/>
  <c r="BK54" i="155"/>
  <c r="BJ52" i="155"/>
  <c r="BK49" i="155"/>
  <c r="BJ47" i="155"/>
  <c r="BK43" i="155"/>
  <c r="BJ38" i="155"/>
  <c r="BJ35" i="155"/>
  <c r="BK32" i="155"/>
  <c r="BJ27" i="155"/>
  <c r="BK18" i="155"/>
  <c r="BO117" i="156"/>
  <c r="BK113" i="156"/>
  <c r="BK105" i="156"/>
  <c r="BK102" i="156"/>
  <c r="BJ95" i="156"/>
  <c r="BJ87" i="156"/>
  <c r="BJ79" i="156"/>
  <c r="BJ71" i="156"/>
  <c r="BJ63" i="156"/>
  <c r="BJ55" i="156"/>
  <c r="BJ43" i="156"/>
  <c r="BK39" i="156"/>
  <c r="BK33" i="156"/>
  <c r="BJ20" i="156"/>
  <c r="BK96" i="152"/>
  <c r="BJ91" i="152"/>
  <c r="BK88" i="152"/>
  <c r="BJ86" i="152"/>
  <c r="BJ83" i="152"/>
  <c r="BK80" i="152"/>
  <c r="BJ78" i="152"/>
  <c r="BJ75" i="152"/>
  <c r="BK72" i="152"/>
  <c r="BJ70" i="152"/>
  <c r="BJ67" i="152"/>
  <c r="BK64" i="152"/>
  <c r="BJ62" i="152"/>
  <c r="BJ56" i="152"/>
  <c r="BK48" i="152"/>
  <c r="BJ41" i="152"/>
  <c r="BJ35" i="152"/>
  <c r="BJ27" i="152"/>
  <c r="BE117" i="156"/>
  <c r="BK111" i="156"/>
  <c r="BK100" i="156"/>
  <c r="BJ93" i="156"/>
  <c r="BJ85" i="156"/>
  <c r="BJ77" i="156"/>
  <c r="BJ69" i="156"/>
  <c r="BJ61" i="156"/>
  <c r="BJ53" i="156"/>
  <c r="BK47" i="156"/>
  <c r="BK24" i="156"/>
  <c r="BR117" i="152"/>
  <c r="BH117" i="152"/>
  <c r="AR117" i="152"/>
  <c r="Z117" i="152"/>
  <c r="BJ113" i="152"/>
  <c r="BK110" i="152"/>
  <c r="BK107" i="152"/>
  <c r="BJ105" i="152"/>
  <c r="BK103" i="152"/>
  <c r="BK100" i="152"/>
  <c r="BJ98" i="152"/>
  <c r="BJ96" i="152"/>
  <c r="BJ93" i="152"/>
  <c r="BK90" i="152"/>
  <c r="BJ88" i="152"/>
  <c r="BJ85" i="152"/>
  <c r="BK82" i="152"/>
  <c r="BJ80" i="152"/>
  <c r="BJ77" i="152"/>
  <c r="BK74" i="152"/>
  <c r="BJ72" i="152"/>
  <c r="BJ69" i="152"/>
  <c r="BK66" i="152"/>
  <c r="BJ64" i="152"/>
  <c r="BJ61" i="152"/>
  <c r="BJ54" i="152"/>
  <c r="BK46" i="152"/>
  <c r="BJ40" i="152"/>
  <c r="BJ33" i="152"/>
  <c r="BK23" i="152"/>
  <c r="BJ69" i="155"/>
  <c r="BJ67" i="155"/>
  <c r="BJ65" i="155"/>
  <c r="BJ63" i="155"/>
  <c r="BJ61" i="155"/>
  <c r="BK58" i="155"/>
  <c r="BJ56" i="155"/>
  <c r="BK53" i="155"/>
  <c r="BK50" i="155"/>
  <c r="BJ48" i="155"/>
  <c r="BK45" i="155"/>
  <c r="BJ40" i="155"/>
  <c r="BJ36" i="155"/>
  <c r="BK28" i="155"/>
  <c r="AO117" i="156"/>
  <c r="BK109" i="156"/>
  <c r="BJ104" i="156"/>
  <c r="BK98" i="156"/>
  <c r="BJ91" i="156"/>
  <c r="BJ83" i="156"/>
  <c r="BJ75" i="156"/>
  <c r="BJ67" i="156"/>
  <c r="BJ59" i="156"/>
  <c r="BJ51" i="156"/>
  <c r="BK41" i="156"/>
  <c r="BK31" i="156"/>
  <c r="BO117" i="152"/>
  <c r="BK112" i="152"/>
  <c r="BJ87" i="152"/>
  <c r="AC117" i="156"/>
  <c r="BK107" i="156"/>
  <c r="BJ89" i="156"/>
  <c r="BJ81" i="156"/>
  <c r="BJ73" i="156"/>
  <c r="BJ65" i="156"/>
  <c r="BJ57" i="156"/>
  <c r="BJ49" i="156"/>
  <c r="BJ46" i="156"/>
  <c r="BK58" i="152"/>
  <c r="BJ53" i="152"/>
  <c r="BJ48" i="152"/>
  <c r="BJ43" i="152"/>
  <c r="BK37" i="152"/>
  <c r="BJ32" i="152"/>
  <c r="BJ26" i="152"/>
  <c r="BJ22" i="152"/>
  <c r="BL117" i="156"/>
  <c r="BB117" i="156"/>
  <c r="AL117" i="156"/>
  <c r="Z117" i="156"/>
  <c r="BJ113" i="156"/>
  <c r="BJ111" i="156"/>
  <c r="BJ109" i="156"/>
  <c r="BJ107" i="156"/>
  <c r="BJ105" i="156"/>
  <c r="BJ102" i="156"/>
  <c r="BJ100" i="156"/>
  <c r="BJ98" i="156"/>
  <c r="BK96" i="156"/>
  <c r="BK94" i="156"/>
  <c r="BK92" i="156"/>
  <c r="BK90" i="156"/>
  <c r="BK88" i="156"/>
  <c r="BK86" i="156"/>
  <c r="BK84" i="156"/>
  <c r="BK82" i="156"/>
  <c r="BK80" i="156"/>
  <c r="BK78" i="156"/>
  <c r="BK76" i="156"/>
  <c r="BK74" i="156"/>
  <c r="BK72" i="156"/>
  <c r="BK70" i="156"/>
  <c r="BK68" i="156"/>
  <c r="BK66" i="156"/>
  <c r="BK64" i="156"/>
  <c r="BK62" i="156"/>
  <c r="BK60" i="156"/>
  <c r="BK58" i="156"/>
  <c r="BK56" i="156"/>
  <c r="BK54" i="156"/>
  <c r="BK52" i="156"/>
  <c r="BK50" i="156"/>
  <c r="BK48" i="156"/>
  <c r="BJ47" i="156"/>
  <c r="BJ45" i="156"/>
  <c r="BK42" i="156"/>
  <c r="BJ41" i="156"/>
  <c r="BJ38" i="156"/>
  <c r="BJ33" i="156"/>
  <c r="BJ30" i="156"/>
  <c r="BK26" i="156"/>
  <c r="BJ23" i="156"/>
  <c r="BK19" i="156"/>
  <c r="BK16" i="156"/>
  <c r="BK117" i="156"/>
  <c r="AW117" i="156"/>
  <c r="AI117" i="156"/>
  <c r="BK114" i="156"/>
  <c r="BK112" i="156"/>
  <c r="BK110" i="156"/>
  <c r="BK108" i="156"/>
  <c r="BK106" i="156"/>
  <c r="BK103" i="156"/>
  <c r="BK101" i="156"/>
  <c r="BK99" i="156"/>
  <c r="BK97" i="156"/>
  <c r="BJ96" i="156"/>
  <c r="BJ94" i="156"/>
  <c r="BJ92" i="156"/>
  <c r="BJ90" i="156"/>
  <c r="BJ88" i="156"/>
  <c r="BJ86" i="156"/>
  <c r="BJ84" i="156"/>
  <c r="BJ82" i="156"/>
  <c r="BJ80" i="156"/>
  <c r="BJ78" i="156"/>
  <c r="BJ76" i="156"/>
  <c r="BJ74" i="156"/>
  <c r="BJ72" i="156"/>
  <c r="BJ70" i="156"/>
  <c r="BJ68" i="156"/>
  <c r="BJ66" i="156"/>
  <c r="BJ64" i="156"/>
  <c r="BJ62" i="156"/>
  <c r="BJ60" i="156"/>
  <c r="BJ58" i="156"/>
  <c r="BJ56" i="156"/>
  <c r="BJ54" i="156"/>
  <c r="BJ52" i="156"/>
  <c r="BJ50" i="156"/>
  <c r="BJ48" i="156"/>
  <c r="BK44" i="156"/>
  <c r="BJ42" i="156"/>
  <c r="BK37" i="156"/>
  <c r="BK34" i="156"/>
  <c r="BK29" i="156"/>
  <c r="BJ26" i="156"/>
  <c r="BJ18" i="156"/>
  <c r="BR117" i="156"/>
  <c r="BH117" i="156"/>
  <c r="AR117" i="156"/>
  <c r="AF117" i="156"/>
  <c r="BJ114" i="156"/>
  <c r="BJ112" i="156"/>
  <c r="BJ110" i="156"/>
  <c r="BJ108" i="156"/>
  <c r="BJ106" i="156"/>
  <c r="BK104" i="156"/>
  <c r="BJ103" i="156"/>
  <c r="BJ101" i="156"/>
  <c r="BJ99" i="156"/>
  <c r="BJ97" i="156"/>
  <c r="BK95" i="156"/>
  <c r="BK93" i="156"/>
  <c r="BK91" i="156"/>
  <c r="BK89" i="156"/>
  <c r="BK87" i="156"/>
  <c r="BK85" i="156"/>
  <c r="BK83" i="156"/>
  <c r="BK81" i="156"/>
  <c r="BK79" i="156"/>
  <c r="BK77" i="156"/>
  <c r="BK75" i="156"/>
  <c r="BK73" i="156"/>
  <c r="BK71" i="156"/>
  <c r="BK69" i="156"/>
  <c r="BK67" i="156"/>
  <c r="BK65" i="156"/>
  <c r="BK63" i="156"/>
  <c r="BK61" i="156"/>
  <c r="BK59" i="156"/>
  <c r="BK57" i="156"/>
  <c r="BK55" i="156"/>
  <c r="BK53" i="156"/>
  <c r="BK51" i="156"/>
  <c r="BK49" i="156"/>
  <c r="BK46" i="156"/>
  <c r="BJ44" i="156"/>
  <c r="BJ40" i="156"/>
  <c r="BJ36" i="156"/>
  <c r="BJ32" i="156"/>
  <c r="BJ28" i="156"/>
  <c r="BK21" i="156"/>
  <c r="BK17" i="156"/>
  <c r="BK33" i="155"/>
  <c r="BJ32" i="155"/>
  <c r="BJ30" i="155"/>
  <c r="BJ28" i="155"/>
  <c r="BK26" i="155"/>
  <c r="BJ23" i="155"/>
  <c r="BJ20" i="155"/>
  <c r="BJ18" i="155"/>
  <c r="BK16" i="155"/>
  <c r="BK15" i="155"/>
  <c r="BK46" i="155"/>
  <c r="BK44" i="155"/>
  <c r="BK42" i="155"/>
  <c r="BJ41" i="155"/>
  <c r="BK39" i="155"/>
  <c r="BK37" i="155"/>
  <c r="BK34" i="155"/>
  <c r="BJ33" i="155"/>
  <c r="BK31" i="155"/>
  <c r="BK29" i="155"/>
  <c r="BJ26" i="155"/>
  <c r="BK24" i="155"/>
  <c r="BK21" i="155"/>
  <c r="BK19" i="155"/>
  <c r="BK17" i="155"/>
  <c r="BJ16" i="155"/>
  <c r="BJ15" i="155"/>
  <c r="BL15" i="155" s="1"/>
  <c r="BJ39" i="156"/>
  <c r="BJ37" i="156"/>
  <c r="BK35" i="156"/>
  <c r="BJ34" i="156"/>
  <c r="BJ31" i="156"/>
  <c r="BJ29" i="156"/>
  <c r="BK27" i="156"/>
  <c r="BK25" i="156"/>
  <c r="BJ24" i="156"/>
  <c r="BK22" i="156"/>
  <c r="BJ21" i="156"/>
  <c r="BJ19" i="156"/>
  <c r="BJ17" i="156"/>
  <c r="BJ16" i="156"/>
  <c r="BK15" i="156"/>
  <c r="BJ59" i="155"/>
  <c r="BJ57" i="155"/>
  <c r="BJ55" i="155"/>
  <c r="BJ53" i="155"/>
  <c r="BJ51" i="155"/>
  <c r="BJ49" i="155"/>
  <c r="BK47" i="155"/>
  <c r="BJ46" i="155"/>
  <c r="BJ44" i="155"/>
  <c r="BJ42" i="155"/>
  <c r="BJ39" i="155"/>
  <c r="BJ37" i="155"/>
  <c r="BK35" i="155"/>
  <c r="BJ34" i="155"/>
  <c r="BJ31" i="155"/>
  <c r="BJ29" i="155"/>
  <c r="BK27" i="155"/>
  <c r="BK25" i="155"/>
  <c r="BJ24" i="155"/>
  <c r="BK22" i="155"/>
  <c r="BJ21" i="155"/>
  <c r="BJ19" i="155"/>
  <c r="BJ17" i="155"/>
  <c r="BK45" i="156"/>
  <c r="BK43" i="156"/>
  <c r="BK40" i="156"/>
  <c r="BK38" i="156"/>
  <c r="BK36" i="156"/>
  <c r="BJ35" i="156"/>
  <c r="BK32" i="156"/>
  <c r="BK30" i="156"/>
  <c r="BK28" i="156"/>
  <c r="BJ27" i="156"/>
  <c r="BJ25" i="156"/>
  <c r="BK23" i="156"/>
  <c r="BJ22" i="156"/>
  <c r="BK20" i="156"/>
  <c r="F129" i="156"/>
  <c r="AB15" i="156"/>
  <c r="AC15" i="156" s="1"/>
  <c r="AH15" i="156"/>
  <c r="AI15" i="156" s="1"/>
  <c r="AE15" i="156"/>
  <c r="AF15" i="156" s="1"/>
  <c r="BN15" i="156"/>
  <c r="BO15" i="156" s="1"/>
  <c r="BJ15" i="156"/>
  <c r="BL15" i="156" s="1"/>
  <c r="F129" i="155"/>
  <c r="K16" i="155"/>
  <c r="I17" i="155"/>
  <c r="AB15" i="155"/>
  <c r="AC15" i="155" s="1"/>
  <c r="AH15" i="155"/>
  <c r="AI15" i="155" s="1"/>
  <c r="AE15" i="155"/>
  <c r="AF15" i="155" s="1"/>
  <c r="BR117" i="153"/>
  <c r="BH117" i="153"/>
  <c r="AR117" i="153"/>
  <c r="AF117" i="153"/>
  <c r="BK114" i="153"/>
  <c r="BK112" i="153"/>
  <c r="BK110" i="153"/>
  <c r="BK108" i="153"/>
  <c r="BK106" i="153"/>
  <c r="BK103" i="153"/>
  <c r="BK101" i="153"/>
  <c r="BK99" i="153"/>
  <c r="BK97" i="153"/>
  <c r="BJ96" i="153"/>
  <c r="BK93" i="153"/>
  <c r="BJ88" i="153"/>
  <c r="BK83" i="153"/>
  <c r="BJ78" i="153"/>
  <c r="BJ72" i="153"/>
  <c r="BK67" i="153"/>
  <c r="BJ62" i="153"/>
  <c r="BJ56" i="153"/>
  <c r="BK51" i="153"/>
  <c r="BJ48" i="153"/>
  <c r="BJ45" i="153"/>
  <c r="BK35" i="153"/>
  <c r="BJ31" i="153"/>
  <c r="BK25" i="153"/>
  <c r="BK19" i="153"/>
  <c r="BO117" i="153"/>
  <c r="BE117" i="153"/>
  <c r="AO117" i="153"/>
  <c r="AC117" i="153"/>
  <c r="BJ114" i="153"/>
  <c r="BJ112" i="153"/>
  <c r="BJ110" i="153"/>
  <c r="BJ108" i="153"/>
  <c r="BJ106" i="153"/>
  <c r="BK104" i="153"/>
  <c r="BJ103" i="153"/>
  <c r="BJ101" i="153"/>
  <c r="BJ99" i="153"/>
  <c r="BJ97" i="153"/>
  <c r="BK95" i="153"/>
  <c r="BJ92" i="153"/>
  <c r="BK87" i="153"/>
  <c r="BJ82" i="153"/>
  <c r="BJ76" i="153"/>
  <c r="BK71" i="153"/>
  <c r="BJ66" i="153"/>
  <c r="BJ60" i="153"/>
  <c r="BK55" i="153"/>
  <c r="BJ50" i="153"/>
  <c r="BJ43" i="153"/>
  <c r="BK39" i="153"/>
  <c r="BJ35" i="153"/>
  <c r="BK29" i="153"/>
  <c r="BK23" i="153"/>
  <c r="BJ19" i="153"/>
  <c r="BJ95" i="153"/>
  <c r="BJ93" i="153"/>
  <c r="BK89" i="153"/>
  <c r="BK85" i="153"/>
  <c r="BK81" i="153"/>
  <c r="BK77" i="153"/>
  <c r="BK73" i="153"/>
  <c r="BK69" i="153"/>
  <c r="BK65" i="153"/>
  <c r="BK61" i="153"/>
  <c r="BK57" i="153"/>
  <c r="BK53" i="153"/>
  <c r="BK49" i="153"/>
  <c r="BK44" i="153"/>
  <c r="BJ37" i="153"/>
  <c r="BJ33" i="153"/>
  <c r="BJ29" i="153"/>
  <c r="BJ25" i="153"/>
  <c r="BJ21" i="153"/>
  <c r="BJ18" i="153"/>
  <c r="BJ91" i="153"/>
  <c r="BJ89" i="153"/>
  <c r="BJ87" i="153"/>
  <c r="BJ85" i="153"/>
  <c r="BJ83" i="153"/>
  <c r="BJ81" i="153"/>
  <c r="BJ79" i="153"/>
  <c r="BJ77" i="153"/>
  <c r="BJ75" i="153"/>
  <c r="BJ73" i="153"/>
  <c r="BJ71" i="153"/>
  <c r="BJ69" i="153"/>
  <c r="BJ67" i="153"/>
  <c r="BJ65" i="153"/>
  <c r="BJ63" i="153"/>
  <c r="BJ61" i="153"/>
  <c r="BJ59" i="153"/>
  <c r="BJ57" i="153"/>
  <c r="BJ55" i="153"/>
  <c r="BJ53" i="153"/>
  <c r="BJ51" i="153"/>
  <c r="BJ49" i="153"/>
  <c r="BJ46" i="153"/>
  <c r="BJ44" i="153"/>
  <c r="BJ42" i="153"/>
  <c r="BK40" i="153"/>
  <c r="BK38" i="153"/>
  <c r="BK36" i="153"/>
  <c r="BK34" i="153"/>
  <c r="BK32" i="153"/>
  <c r="BK30" i="153"/>
  <c r="BK28" i="153"/>
  <c r="BK26" i="153"/>
  <c r="BK24" i="153"/>
  <c r="BK22" i="153"/>
  <c r="BK20" i="153"/>
  <c r="BK17" i="153"/>
  <c r="BK16" i="153"/>
  <c r="BK15" i="153"/>
  <c r="BK92" i="153"/>
  <c r="BK90" i="153"/>
  <c r="BK88" i="153"/>
  <c r="BK86" i="153"/>
  <c r="BK84" i="153"/>
  <c r="BK82" i="153"/>
  <c r="BK80" i="153"/>
  <c r="BK78" i="153"/>
  <c r="BK76" i="153"/>
  <c r="BK74" i="153"/>
  <c r="BK72" i="153"/>
  <c r="BK70" i="153"/>
  <c r="BK68" i="153"/>
  <c r="BK66" i="153"/>
  <c r="BK64" i="153"/>
  <c r="BK62" i="153"/>
  <c r="BK60" i="153"/>
  <c r="BK58" i="153"/>
  <c r="BK56" i="153"/>
  <c r="BK54" i="153"/>
  <c r="BK52" i="153"/>
  <c r="BK50" i="153"/>
  <c r="BK47" i="153"/>
  <c r="BK45" i="153"/>
  <c r="BK43" i="153"/>
  <c r="BK41" i="153"/>
  <c r="BJ40" i="153"/>
  <c r="BJ38" i="153"/>
  <c r="BJ36" i="153"/>
  <c r="BJ34" i="153"/>
  <c r="BJ32" i="153"/>
  <c r="BJ30" i="153"/>
  <c r="BJ28" i="153"/>
  <c r="BJ26" i="153"/>
  <c r="BJ24" i="153"/>
  <c r="BJ22" i="153"/>
  <c r="BJ20" i="153"/>
  <c r="BK18" i="153"/>
  <c r="BJ17" i="153"/>
  <c r="F134" i="153"/>
  <c r="D100" i="154" s="1"/>
  <c r="D103" i="154" s="1"/>
  <c r="F137" i="153"/>
  <c r="F150" i="153"/>
  <c r="AH15" i="153"/>
  <c r="AB15" i="153"/>
  <c r="F129" i="153"/>
  <c r="R15" i="153"/>
  <c r="F27" i="153"/>
  <c r="O15" i="153"/>
  <c r="I20" i="153"/>
  <c r="AN15" i="153"/>
  <c r="AE15" i="153"/>
  <c r="AK15" i="153"/>
  <c r="M15" i="153"/>
  <c r="K16" i="153"/>
  <c r="BN16" i="153" s="1"/>
  <c r="BO16" i="153" s="1"/>
  <c r="BJ15" i="153"/>
  <c r="BL15" i="153" s="1"/>
  <c r="BK60" i="152"/>
  <c r="BJ58" i="152"/>
  <c r="BJ55" i="152"/>
  <c r="BK52" i="152"/>
  <c r="BJ50" i="152"/>
  <c r="BK47" i="152"/>
  <c r="BJ45" i="152"/>
  <c r="BK42" i="152"/>
  <c r="BK39" i="152"/>
  <c r="BJ37" i="152"/>
  <c r="BJ34" i="152"/>
  <c r="BK31" i="152"/>
  <c r="BJ29" i="152"/>
  <c r="BK25" i="152"/>
  <c r="BK18" i="152"/>
  <c r="BJ16" i="152"/>
  <c r="BJ60" i="152"/>
  <c r="BJ57" i="152"/>
  <c r="BK54" i="152"/>
  <c r="BJ52" i="152"/>
  <c r="BJ49" i="152"/>
  <c r="BJ47" i="152"/>
  <c r="BK44" i="152"/>
  <c r="BK41" i="152"/>
  <c r="BJ39" i="152"/>
  <c r="BJ36" i="152"/>
  <c r="BK33" i="152"/>
  <c r="BJ31" i="152"/>
  <c r="BJ28" i="152"/>
  <c r="BJ24" i="152"/>
  <c r="BK22" i="152"/>
  <c r="BK20" i="152"/>
  <c r="BJ19" i="152"/>
  <c r="BJ17" i="152"/>
  <c r="F134" i="152"/>
  <c r="F150" i="152"/>
  <c r="F137" i="152"/>
  <c r="BK27" i="152"/>
  <c r="BJ25" i="152"/>
  <c r="BJ21" i="152"/>
  <c r="BK19" i="152"/>
  <c r="BJ18" i="152"/>
  <c r="F145" i="152"/>
  <c r="F129" i="152"/>
  <c r="AO117" i="152"/>
  <c r="AC117" i="152"/>
  <c r="BJ114" i="152"/>
  <c r="BJ112" i="152"/>
  <c r="BJ110" i="152"/>
  <c r="BJ108" i="152"/>
  <c r="BJ106" i="152"/>
  <c r="BK104" i="152"/>
  <c r="BJ103" i="152"/>
  <c r="BJ101" i="152"/>
  <c r="BJ99" i="152"/>
  <c r="BJ97" i="152"/>
  <c r="BK95" i="152"/>
  <c r="BK93" i="152"/>
  <c r="BK91" i="152"/>
  <c r="BK89" i="152"/>
  <c r="BK87" i="152"/>
  <c r="BK85" i="152"/>
  <c r="BK83" i="152"/>
  <c r="BK81" i="152"/>
  <c r="BK79" i="152"/>
  <c r="BK77" i="152"/>
  <c r="BK75" i="152"/>
  <c r="BK73" i="152"/>
  <c r="BK71" i="152"/>
  <c r="BK69" i="152"/>
  <c r="BK67" i="152"/>
  <c r="BK65" i="152"/>
  <c r="BK63" i="152"/>
  <c r="BK61" i="152"/>
  <c r="BK59" i="152"/>
  <c r="BK57" i="152"/>
  <c r="BK55" i="152"/>
  <c r="BK53" i="152"/>
  <c r="BK51" i="152"/>
  <c r="BK49" i="152"/>
  <c r="BJ46" i="152"/>
  <c r="BJ44" i="152"/>
  <c r="BJ42" i="152"/>
  <c r="BK40" i="152"/>
  <c r="BK38" i="152"/>
  <c r="BK36" i="152"/>
  <c r="BK34" i="152"/>
  <c r="BK32" i="152"/>
  <c r="BK30" i="152"/>
  <c r="BK28" i="152"/>
  <c r="BK26" i="152"/>
  <c r="BK24" i="152"/>
  <c r="BK21" i="152"/>
  <c r="BJ20" i="152"/>
  <c r="BK17" i="152"/>
  <c r="BK16" i="152"/>
  <c r="R15" i="152"/>
  <c r="O15" i="152"/>
  <c r="F27" i="152"/>
  <c r="F127" i="152"/>
  <c r="AE15" i="152"/>
  <c r="AK15" i="152"/>
  <c r="M15" i="152"/>
  <c r="AB15" i="152"/>
  <c r="AH15" i="152"/>
  <c r="AN15" i="152"/>
  <c r="BK15" i="152"/>
  <c r="BJ15" i="152"/>
  <c r="BL15" i="152" s="1"/>
  <c r="K16" i="152" l="1"/>
  <c r="BN16" i="152" s="1"/>
  <c r="BO16" i="152" s="1"/>
  <c r="G66" i="154"/>
  <c r="F66" i="154"/>
  <c r="D66" i="154"/>
  <c r="E66" i="154"/>
  <c r="BQ15" i="152"/>
  <c r="BR15" i="152" s="1"/>
  <c r="G59" i="154"/>
  <c r="F59" i="154"/>
  <c r="E59" i="154"/>
  <c r="D59" i="154"/>
  <c r="D65" i="154" s="1"/>
  <c r="O20" i="164"/>
  <c r="P20" i="164" s="1"/>
  <c r="V20" i="164" s="1"/>
  <c r="W20" i="164" s="1"/>
  <c r="O19" i="163"/>
  <c r="P19" i="163" s="1"/>
  <c r="V19" i="163" s="1"/>
  <c r="W19" i="163" s="1"/>
  <c r="Z22" i="163"/>
  <c r="T24" i="164"/>
  <c r="Y24" i="164" s="1"/>
  <c r="R25" i="164"/>
  <c r="T23" i="163"/>
  <c r="Y23" i="163" s="1"/>
  <c r="R24" i="163"/>
  <c r="Z23" i="164"/>
  <c r="T22" i="161"/>
  <c r="Y22" i="161" s="1"/>
  <c r="R23" i="161"/>
  <c r="O20" i="161"/>
  <c r="Z21" i="161"/>
  <c r="K46" i="161"/>
  <c r="BQ46" i="161" s="1"/>
  <c r="I47" i="161"/>
  <c r="BG45" i="161"/>
  <c r="BH45" i="161" s="1"/>
  <c r="BA45" i="161"/>
  <c r="BB45" i="161" s="1"/>
  <c r="AT45" i="161"/>
  <c r="AN45" i="161"/>
  <c r="AO45" i="161" s="1"/>
  <c r="AH45" i="161"/>
  <c r="AI45" i="161" s="1"/>
  <c r="AB45" i="161"/>
  <c r="AC45" i="161" s="1"/>
  <c r="V45" i="161"/>
  <c r="W45" i="161" s="1"/>
  <c r="O45" i="161"/>
  <c r="BR45" i="161"/>
  <c r="AY45" i="161"/>
  <c r="BD45" i="161"/>
  <c r="BE45" i="161" s="1"/>
  <c r="AQ45" i="161"/>
  <c r="AR45" i="161" s="1"/>
  <c r="AK45" i="161"/>
  <c r="AL45" i="161" s="1"/>
  <c r="AE45" i="161"/>
  <c r="AF45" i="161" s="1"/>
  <c r="Y45" i="161"/>
  <c r="Z45" i="161" s="1"/>
  <c r="R45" i="161"/>
  <c r="T45" i="161" s="1"/>
  <c r="AV45" i="161"/>
  <c r="AW45" i="161" s="1"/>
  <c r="P45" i="161"/>
  <c r="BJ45" i="161"/>
  <c r="BL45" i="161" s="1"/>
  <c r="BN45" i="161"/>
  <c r="BO45" i="161" s="1"/>
  <c r="BK45" i="161"/>
  <c r="M45" i="161"/>
  <c r="K16" i="156"/>
  <c r="I17" i="156"/>
  <c r="BL16" i="155"/>
  <c r="P15" i="152"/>
  <c r="V15" i="152" s="1"/>
  <c r="W15" i="152" s="1"/>
  <c r="P15" i="153"/>
  <c r="V15" i="153" s="1"/>
  <c r="W15" i="153" s="1"/>
  <c r="AQ15" i="153"/>
  <c r="AR15" i="153" s="1"/>
  <c r="AI15" i="152"/>
  <c r="BK116" i="155"/>
  <c r="BK116" i="156"/>
  <c r="K17" i="155"/>
  <c r="I18" i="155"/>
  <c r="M16" i="155"/>
  <c r="AB16" i="155"/>
  <c r="AH16" i="155"/>
  <c r="AE16" i="155"/>
  <c r="BN16" i="155"/>
  <c r="BO16" i="155" s="1"/>
  <c r="BL16" i="152"/>
  <c r="AO15" i="152"/>
  <c r="BQ15" i="153"/>
  <c r="BR15" i="153" s="1"/>
  <c r="BK116" i="153"/>
  <c r="AB16" i="153"/>
  <c r="AH16" i="153"/>
  <c r="AN16" i="153"/>
  <c r="R16" i="153"/>
  <c r="T16" i="153" s="1"/>
  <c r="Y16" i="153" s="1"/>
  <c r="AE16" i="153"/>
  <c r="AK16" i="153"/>
  <c r="BQ16" i="153"/>
  <c r="M16" i="153"/>
  <c r="K17" i="153"/>
  <c r="BL16" i="153"/>
  <c r="T15" i="153"/>
  <c r="Y15" i="153" s="1"/>
  <c r="Z15" i="153" s="1"/>
  <c r="AO15" i="153"/>
  <c r="AI15" i="153"/>
  <c r="AL15" i="153"/>
  <c r="I21" i="153"/>
  <c r="AF15" i="153"/>
  <c r="AC15" i="153"/>
  <c r="F153" i="153"/>
  <c r="F151" i="153"/>
  <c r="AC15" i="152"/>
  <c r="AL15" i="152"/>
  <c r="F153" i="152"/>
  <c r="F151" i="152"/>
  <c r="BK116" i="152"/>
  <c r="AF15" i="152"/>
  <c r="T15" i="152"/>
  <c r="Y15" i="152" s="1"/>
  <c r="Z15" i="152" s="1"/>
  <c r="AB16" i="152"/>
  <c r="AH16" i="152"/>
  <c r="AN16" i="152"/>
  <c r="R16" i="152"/>
  <c r="T16" i="152" s="1"/>
  <c r="Y16" i="152" s="1"/>
  <c r="AE16" i="152"/>
  <c r="AK16" i="152"/>
  <c r="M16" i="152"/>
  <c r="BQ16" i="152"/>
  <c r="AQ15" i="152"/>
  <c r="AR15" i="152" s="1"/>
  <c r="I25" i="152"/>
  <c r="K17" i="152"/>
  <c r="F152" i="151"/>
  <c r="F149" i="151"/>
  <c r="F142" i="151"/>
  <c r="F119" i="151"/>
  <c r="F124" i="151" s="1"/>
  <c r="F117" i="151"/>
  <c r="F27" i="151" s="1"/>
  <c r="F105" i="151"/>
  <c r="F104" i="151"/>
  <c r="F97" i="151"/>
  <c r="F48" i="151"/>
  <c r="F41" i="151"/>
  <c r="F16" i="151"/>
  <c r="I15" i="151"/>
  <c r="I16" i="151" s="1"/>
  <c r="F15" i="151"/>
  <c r="F14" i="151"/>
  <c r="F133" i="151" s="1"/>
  <c r="F9" i="151"/>
  <c r="F8" i="151"/>
  <c r="F152" i="150"/>
  <c r="F149" i="150"/>
  <c r="F142" i="150"/>
  <c r="F119" i="150"/>
  <c r="F125" i="150" s="1"/>
  <c r="F117" i="150"/>
  <c r="F27" i="150" s="1"/>
  <c r="F105" i="150"/>
  <c r="F104" i="150"/>
  <c r="F97" i="150"/>
  <c r="F48" i="150"/>
  <c r="F41" i="150"/>
  <c r="F17" i="150"/>
  <c r="F16" i="150"/>
  <c r="BJ39" i="150" s="1"/>
  <c r="O15" i="150"/>
  <c r="I15" i="150"/>
  <c r="I16" i="150" s="1"/>
  <c r="I17" i="150" s="1"/>
  <c r="F15" i="150"/>
  <c r="F14" i="150"/>
  <c r="F133" i="150" s="1"/>
  <c r="F9" i="150"/>
  <c r="F8" i="150"/>
  <c r="D34" i="10"/>
  <c r="F14" i="149" s="1"/>
  <c r="F133" i="149" s="1"/>
  <c r="F152" i="149"/>
  <c r="F149" i="149"/>
  <c r="F142" i="149"/>
  <c r="F119" i="149"/>
  <c r="F125" i="149" s="1"/>
  <c r="F117" i="149"/>
  <c r="R15" i="149" s="1"/>
  <c r="T15" i="149" s="1"/>
  <c r="F105" i="149"/>
  <c r="F104" i="149"/>
  <c r="F97" i="149"/>
  <c r="F48" i="149"/>
  <c r="F41" i="149"/>
  <c r="F17" i="149"/>
  <c r="F16" i="149"/>
  <c r="BJ36" i="149" s="1"/>
  <c r="I15" i="149"/>
  <c r="F15" i="149"/>
  <c r="F9" i="149"/>
  <c r="F8" i="149"/>
  <c r="AY42" i="151" l="1"/>
  <c r="AY19" i="151"/>
  <c r="AY25" i="151"/>
  <c r="AY31" i="151"/>
  <c r="AY37" i="151"/>
  <c r="AY43" i="151"/>
  <c r="AY49" i="151"/>
  <c r="AY15" i="151"/>
  <c r="AY22" i="151"/>
  <c r="AY46" i="151"/>
  <c r="AY17" i="151"/>
  <c r="AY35" i="151"/>
  <c r="AY47" i="151"/>
  <c r="AY24" i="151"/>
  <c r="AY36" i="151"/>
  <c r="AY20" i="151"/>
  <c r="AY26" i="151"/>
  <c r="AY32" i="151"/>
  <c r="AY38" i="151"/>
  <c r="AY44" i="151"/>
  <c r="AY50" i="151"/>
  <c r="AY16" i="151"/>
  <c r="AY28" i="151"/>
  <c r="AY34" i="151"/>
  <c r="AY40" i="151"/>
  <c r="AY52" i="151"/>
  <c r="AY23" i="151"/>
  <c r="AY29" i="151"/>
  <c r="AY41" i="151"/>
  <c r="AY53" i="151"/>
  <c r="AY18" i="151"/>
  <c r="AY30" i="151"/>
  <c r="AY48" i="151"/>
  <c r="AY54" i="151"/>
  <c r="AY21" i="151"/>
  <c r="AY27" i="151"/>
  <c r="AY33" i="151"/>
  <c r="AY39" i="151"/>
  <c r="AY45" i="151"/>
  <c r="AY51" i="151"/>
  <c r="AY16" i="149"/>
  <c r="AY17" i="149"/>
  <c r="AY23" i="149"/>
  <c r="AY29" i="149"/>
  <c r="AY35" i="149"/>
  <c r="AY41" i="149"/>
  <c r="AY47" i="149"/>
  <c r="AY53" i="149"/>
  <c r="AY32" i="149"/>
  <c r="AY44" i="149"/>
  <c r="AY21" i="149"/>
  <c r="AY45" i="149"/>
  <c r="AY28" i="149"/>
  <c r="AY46" i="149"/>
  <c r="AY18" i="149"/>
  <c r="AY24" i="149"/>
  <c r="AY30" i="149"/>
  <c r="AY36" i="149"/>
  <c r="AY42" i="149"/>
  <c r="AY48" i="149"/>
  <c r="AY54" i="149"/>
  <c r="AY26" i="149"/>
  <c r="AY38" i="149"/>
  <c r="AY27" i="149"/>
  <c r="AY33" i="149"/>
  <c r="AY39" i="149"/>
  <c r="AY51" i="149"/>
  <c r="AY22" i="149"/>
  <c r="AY34" i="149"/>
  <c r="AY40" i="149"/>
  <c r="AY52" i="149"/>
  <c r="AY19" i="149"/>
  <c r="AY25" i="149"/>
  <c r="AY31" i="149"/>
  <c r="AY37" i="149"/>
  <c r="AY43" i="149"/>
  <c r="AY49" i="149"/>
  <c r="AY15" i="149"/>
  <c r="AY20" i="149"/>
  <c r="AY50" i="149"/>
  <c r="E65" i="154"/>
  <c r="E67" i="154" s="1"/>
  <c r="E74" i="154" s="1"/>
  <c r="G65" i="154"/>
  <c r="G67" i="154" s="1"/>
  <c r="G74" i="154" s="1"/>
  <c r="F65" i="154"/>
  <c r="F67" i="154" s="1"/>
  <c r="F74" i="154" s="1"/>
  <c r="D67" i="154"/>
  <c r="D74" i="154" s="1"/>
  <c r="O21" i="164"/>
  <c r="P21" i="164" s="1"/>
  <c r="V21" i="164" s="1"/>
  <c r="W21" i="164" s="1"/>
  <c r="Z23" i="163"/>
  <c r="T24" i="163"/>
  <c r="Y24" i="163" s="1"/>
  <c r="R25" i="163"/>
  <c r="O20" i="163"/>
  <c r="T25" i="164"/>
  <c r="Y25" i="164" s="1"/>
  <c r="Z25" i="164" s="1"/>
  <c r="R26" i="164"/>
  <c r="Z24" i="164"/>
  <c r="P20" i="161"/>
  <c r="V20" i="161" s="1"/>
  <c r="W20" i="161" s="1"/>
  <c r="T23" i="161"/>
  <c r="Y23" i="161" s="1"/>
  <c r="R24" i="161"/>
  <c r="Z22" i="161"/>
  <c r="K47" i="161"/>
  <c r="BQ47" i="161" s="1"/>
  <c r="I48" i="161"/>
  <c r="BG46" i="161"/>
  <c r="BH46" i="161" s="1"/>
  <c r="BA46" i="161"/>
  <c r="BB46" i="161" s="1"/>
  <c r="AT46" i="161"/>
  <c r="AN46" i="161"/>
  <c r="AO46" i="161" s="1"/>
  <c r="AH46" i="161"/>
  <c r="AI46" i="161" s="1"/>
  <c r="AB46" i="161"/>
  <c r="AC46" i="161" s="1"/>
  <c r="V46" i="161"/>
  <c r="W46" i="161" s="1"/>
  <c r="O46" i="161"/>
  <c r="BR46" i="161"/>
  <c r="AY46" i="161"/>
  <c r="BD46" i="161"/>
  <c r="BE46" i="161" s="1"/>
  <c r="AQ46" i="161"/>
  <c r="AR46" i="161" s="1"/>
  <c r="AK46" i="161"/>
  <c r="AL46" i="161" s="1"/>
  <c r="AE46" i="161"/>
  <c r="AF46" i="161" s="1"/>
  <c r="Y46" i="161"/>
  <c r="Z46" i="161" s="1"/>
  <c r="R46" i="161"/>
  <c r="T46" i="161" s="1"/>
  <c r="P46" i="161"/>
  <c r="AV46" i="161"/>
  <c r="AW46" i="161" s="1"/>
  <c r="BJ46" i="161"/>
  <c r="BL46" i="161" s="1"/>
  <c r="BK46" i="161"/>
  <c r="BN46" i="161"/>
  <c r="BO46" i="161" s="1"/>
  <c r="M46" i="161"/>
  <c r="I18" i="156"/>
  <c r="K17" i="156"/>
  <c r="AE16" i="156"/>
  <c r="M16" i="156"/>
  <c r="BN16" i="156"/>
  <c r="BO16" i="156" s="1"/>
  <c r="AB16" i="156"/>
  <c r="AH16" i="156"/>
  <c r="F27" i="149"/>
  <c r="O15" i="149"/>
  <c r="BL16" i="156"/>
  <c r="I16" i="149"/>
  <c r="I17" i="149" s="1"/>
  <c r="K15" i="149"/>
  <c r="BN15" i="149" s="1"/>
  <c r="BO15" i="149" s="1"/>
  <c r="O16" i="152"/>
  <c r="P16" i="152" s="1"/>
  <c r="V16" i="152" s="1"/>
  <c r="W16" i="152" s="1"/>
  <c r="R15" i="150"/>
  <c r="T15" i="150" s="1"/>
  <c r="O15" i="151"/>
  <c r="R15" i="151"/>
  <c r="T15" i="151" s="1"/>
  <c r="AI16" i="155"/>
  <c r="BJ30" i="149"/>
  <c r="BJ38" i="149"/>
  <c r="BJ15" i="149"/>
  <c r="BL15" i="149" s="1"/>
  <c r="BJ20" i="149"/>
  <c r="O16" i="153"/>
  <c r="P16" i="153" s="1"/>
  <c r="V16" i="153" s="1"/>
  <c r="W16" i="153" s="1"/>
  <c r="AQ16" i="153"/>
  <c r="AR16" i="153" s="1"/>
  <c r="AF16" i="155"/>
  <c r="K18" i="155"/>
  <c r="I19" i="155"/>
  <c r="AC16" i="155"/>
  <c r="AE17" i="155"/>
  <c r="M17" i="155"/>
  <c r="AH17" i="155"/>
  <c r="BL17" i="155"/>
  <c r="BN17" i="155"/>
  <c r="BO17" i="155" s="1"/>
  <c r="AB17" i="155"/>
  <c r="BJ24" i="149"/>
  <c r="Z16" i="153"/>
  <c r="BR16" i="153"/>
  <c r="AL16" i="153"/>
  <c r="AF16" i="153"/>
  <c r="AO16" i="153"/>
  <c r="I22" i="153"/>
  <c r="M17" i="153"/>
  <c r="BQ17" i="153"/>
  <c r="AB17" i="153"/>
  <c r="AH17" i="153"/>
  <c r="AN17" i="153"/>
  <c r="BN17" i="153"/>
  <c r="BO17" i="153" s="1"/>
  <c r="R17" i="153"/>
  <c r="T17" i="153" s="1"/>
  <c r="Y17" i="153" s="1"/>
  <c r="AE17" i="153"/>
  <c r="AK17" i="153"/>
  <c r="K18" i="153"/>
  <c r="BL17" i="153"/>
  <c r="AI16" i="153"/>
  <c r="AC16" i="153"/>
  <c r="AL16" i="152"/>
  <c r="Z16" i="152"/>
  <c r="AF16" i="152"/>
  <c r="AO16" i="152"/>
  <c r="I26" i="152"/>
  <c r="AI16" i="152"/>
  <c r="M17" i="152"/>
  <c r="BQ17" i="152"/>
  <c r="AB17" i="152"/>
  <c r="AH17" i="152"/>
  <c r="AN17" i="152"/>
  <c r="BN17" i="152"/>
  <c r="BO17" i="152" s="1"/>
  <c r="R17" i="152"/>
  <c r="T17" i="152" s="1"/>
  <c r="Y17" i="152" s="1"/>
  <c r="AE17" i="152"/>
  <c r="AK17" i="152"/>
  <c r="K18" i="152"/>
  <c r="BL17" i="152"/>
  <c r="BR16" i="152"/>
  <c r="AQ16" i="152"/>
  <c r="AR16" i="152" s="1"/>
  <c r="AC16" i="152"/>
  <c r="F123" i="150"/>
  <c r="BJ33" i="150"/>
  <c r="BJ37" i="150"/>
  <c r="F129" i="150"/>
  <c r="BJ16" i="150"/>
  <c r="BJ32" i="150"/>
  <c r="BJ36" i="150"/>
  <c r="BJ40" i="150"/>
  <c r="BK15" i="150"/>
  <c r="BJ34" i="150"/>
  <c r="BJ38" i="150"/>
  <c r="BJ35" i="150"/>
  <c r="F125" i="151"/>
  <c r="F127" i="151" s="1"/>
  <c r="I17" i="151"/>
  <c r="K15" i="151"/>
  <c r="BJ15" i="151"/>
  <c r="BL15" i="151" s="1"/>
  <c r="BK27" i="151"/>
  <c r="BK28" i="151"/>
  <c r="BK29" i="151"/>
  <c r="BK30" i="151"/>
  <c r="BK31" i="151"/>
  <c r="BK32" i="151"/>
  <c r="BK33" i="151"/>
  <c r="BK34" i="151"/>
  <c r="BK35" i="151"/>
  <c r="BK36" i="151"/>
  <c r="BK37" i="151"/>
  <c r="BK38" i="151"/>
  <c r="BK39" i="151"/>
  <c r="BK40" i="151"/>
  <c r="BJ41" i="151"/>
  <c r="F145" i="151"/>
  <c r="F134" i="151"/>
  <c r="F150" i="151"/>
  <c r="F137" i="151"/>
  <c r="BK15" i="151"/>
  <c r="BK41" i="151"/>
  <c r="BK42" i="151"/>
  <c r="BK43" i="151"/>
  <c r="BK44" i="151"/>
  <c r="BK45" i="151"/>
  <c r="BK46" i="151"/>
  <c r="BK47" i="151"/>
  <c r="BJ48" i="151"/>
  <c r="BJ49" i="151"/>
  <c r="BJ16" i="151"/>
  <c r="BK16" i="151"/>
  <c r="BJ17" i="151"/>
  <c r="BJ18" i="151"/>
  <c r="BJ19" i="151"/>
  <c r="BJ20" i="151"/>
  <c r="BJ21" i="151"/>
  <c r="BJ22" i="151"/>
  <c r="BJ23" i="151"/>
  <c r="BJ24" i="151"/>
  <c r="BJ25" i="151"/>
  <c r="BJ26" i="151"/>
  <c r="BO117" i="151"/>
  <c r="BE117" i="151"/>
  <c r="AO117" i="151"/>
  <c r="AC117" i="151"/>
  <c r="BJ114" i="151"/>
  <c r="BJ113" i="151"/>
  <c r="BJ112" i="151"/>
  <c r="BK111" i="151"/>
  <c r="BK117" i="151"/>
  <c r="AR117" i="151"/>
  <c r="Z117" i="151"/>
  <c r="BJ111" i="151"/>
  <c r="BK109" i="151"/>
  <c r="BK107" i="151"/>
  <c r="BJ106" i="151"/>
  <c r="BJ105" i="151"/>
  <c r="BH117" i="151"/>
  <c r="AL117" i="151"/>
  <c r="BR117" i="151"/>
  <c r="BB117" i="151"/>
  <c r="AI117" i="151"/>
  <c r="BK110" i="151"/>
  <c r="BK108" i="151"/>
  <c r="AW117" i="151"/>
  <c r="BK113" i="151"/>
  <c r="BJ108" i="151"/>
  <c r="BK104" i="151"/>
  <c r="AF117" i="151"/>
  <c r="BK114" i="151"/>
  <c r="BJ109" i="151"/>
  <c r="BK105" i="151"/>
  <c r="BJ104" i="151"/>
  <c r="BK103" i="151"/>
  <c r="BJ110" i="151"/>
  <c r="BJ107" i="151"/>
  <c r="BJ103" i="151"/>
  <c r="BK102" i="151"/>
  <c r="BK101" i="151"/>
  <c r="BK106" i="151"/>
  <c r="BK100" i="151"/>
  <c r="BK99" i="151"/>
  <c r="BJ95" i="151"/>
  <c r="BJ94" i="151"/>
  <c r="BJ93" i="151"/>
  <c r="BJ92" i="151"/>
  <c r="BK91" i="151"/>
  <c r="BK90" i="151"/>
  <c r="BJ87" i="151"/>
  <c r="BK112" i="151"/>
  <c r="BJ101" i="151"/>
  <c r="BJ100" i="151"/>
  <c r="BJ99" i="151"/>
  <c r="BK98" i="151"/>
  <c r="BK97" i="151"/>
  <c r="BJ91" i="151"/>
  <c r="BJ90" i="151"/>
  <c r="BK89" i="151"/>
  <c r="BL117" i="151"/>
  <c r="BJ98" i="151"/>
  <c r="BJ97" i="151"/>
  <c r="BK96" i="151"/>
  <c r="BJ89" i="151"/>
  <c r="BK88" i="151"/>
  <c r="BK86" i="151"/>
  <c r="BK85" i="151"/>
  <c r="BK84" i="151"/>
  <c r="BK83" i="151"/>
  <c r="BK95" i="151"/>
  <c r="BK81" i="151"/>
  <c r="BJ102" i="151"/>
  <c r="BK94" i="151"/>
  <c r="BK87" i="151"/>
  <c r="BJ86" i="151"/>
  <c r="BJ85" i="151"/>
  <c r="BJ84" i="151"/>
  <c r="BJ83" i="151"/>
  <c r="BJ81" i="151"/>
  <c r="BK80" i="151"/>
  <c r="BJ77" i="151"/>
  <c r="BJ76" i="151"/>
  <c r="BJ75" i="151"/>
  <c r="BJ74" i="151"/>
  <c r="BK73" i="151"/>
  <c r="BK72" i="151"/>
  <c r="BK71" i="151"/>
  <c r="BK70" i="151"/>
  <c r="BK93" i="151"/>
  <c r="BJ96" i="151"/>
  <c r="BK92" i="151"/>
  <c r="BJ88" i="151"/>
  <c r="BJ82" i="151"/>
  <c r="BJ79" i="151"/>
  <c r="BK78" i="151"/>
  <c r="BJ80" i="151"/>
  <c r="BK79" i="151"/>
  <c r="BJ68" i="151"/>
  <c r="BJ67" i="151"/>
  <c r="BJ66" i="151"/>
  <c r="BJ65" i="151"/>
  <c r="BJ64" i="151"/>
  <c r="BJ63" i="151"/>
  <c r="BJ62" i="151"/>
  <c r="BJ61" i="151"/>
  <c r="BJ60" i="151"/>
  <c r="BJ59" i="151"/>
  <c r="BJ73" i="151"/>
  <c r="BJ72" i="151"/>
  <c r="BJ71" i="151"/>
  <c r="BJ70" i="151"/>
  <c r="BK69" i="151"/>
  <c r="BK77" i="151"/>
  <c r="BK75" i="151"/>
  <c r="BJ58" i="151"/>
  <c r="BJ57" i="151"/>
  <c r="BJ56" i="151"/>
  <c r="BJ55" i="151"/>
  <c r="BJ54" i="151"/>
  <c r="BJ53" i="151"/>
  <c r="BJ52" i="151"/>
  <c r="BJ51" i="151"/>
  <c r="BJ50" i="151"/>
  <c r="BJ47" i="151"/>
  <c r="BJ46" i="151"/>
  <c r="BJ45" i="151"/>
  <c r="BJ44" i="151"/>
  <c r="BJ43" i="151"/>
  <c r="BJ42" i="151"/>
  <c r="BK82" i="151"/>
  <c r="BJ78" i="151"/>
  <c r="BK76" i="151"/>
  <c r="BK74" i="151"/>
  <c r="BJ69" i="151"/>
  <c r="BK68" i="151"/>
  <c r="BK67" i="151"/>
  <c r="BK66" i="151"/>
  <c r="BK65" i="151"/>
  <c r="BK64" i="151"/>
  <c r="BK63" i="151"/>
  <c r="BK62" i="151"/>
  <c r="BK61" i="151"/>
  <c r="BK60" i="151"/>
  <c r="BK59" i="151"/>
  <c r="BK58" i="151"/>
  <c r="BK57" i="151"/>
  <c r="BK56" i="151"/>
  <c r="BK55" i="151"/>
  <c r="BK54" i="151"/>
  <c r="BK53" i="151"/>
  <c r="BK52" i="151"/>
  <c r="BK51" i="151"/>
  <c r="BK50" i="151"/>
  <c r="BK49" i="151"/>
  <c r="BK48" i="151"/>
  <c r="BK17" i="151"/>
  <c r="BK18" i="151"/>
  <c r="BK19" i="151"/>
  <c r="BK20" i="151"/>
  <c r="BK21" i="151"/>
  <c r="BK22" i="151"/>
  <c r="BK23" i="151"/>
  <c r="BK24" i="151"/>
  <c r="BK25" i="151"/>
  <c r="BK26" i="151"/>
  <c r="BJ27" i="151"/>
  <c r="BJ28" i="151"/>
  <c r="BJ29" i="151"/>
  <c r="BJ30" i="151"/>
  <c r="BJ31" i="151"/>
  <c r="BJ32" i="151"/>
  <c r="BJ33" i="151"/>
  <c r="BJ34" i="151"/>
  <c r="BJ35" i="151"/>
  <c r="BJ36" i="151"/>
  <c r="BJ37" i="151"/>
  <c r="BJ38" i="151"/>
  <c r="BJ39" i="151"/>
  <c r="BJ40" i="151"/>
  <c r="F129" i="151"/>
  <c r="F123" i="151"/>
  <c r="F137" i="150"/>
  <c r="F145" i="150"/>
  <c r="F134" i="150"/>
  <c r="F150" i="150"/>
  <c r="I18" i="150"/>
  <c r="Z117" i="150"/>
  <c r="BK16" i="150"/>
  <c r="BJ17" i="150"/>
  <c r="BJ18" i="150"/>
  <c r="BJ19" i="150"/>
  <c r="BJ20" i="150"/>
  <c r="BJ21" i="150"/>
  <c r="BJ22" i="150"/>
  <c r="BJ23" i="150"/>
  <c r="BJ24" i="150"/>
  <c r="BJ25" i="150"/>
  <c r="BJ26" i="150"/>
  <c r="BK32" i="150"/>
  <c r="BK33" i="150"/>
  <c r="BK34" i="150"/>
  <c r="BK35" i="150"/>
  <c r="BK36" i="150"/>
  <c r="BK37" i="150"/>
  <c r="BK38" i="150"/>
  <c r="BK39" i="150"/>
  <c r="BK40" i="150"/>
  <c r="BK117" i="150"/>
  <c r="AW117" i="150"/>
  <c r="AI117" i="150"/>
  <c r="BR117" i="150"/>
  <c r="BH117" i="150"/>
  <c r="AR117" i="150"/>
  <c r="AF117" i="150"/>
  <c r="BK114" i="150"/>
  <c r="BK113" i="150"/>
  <c r="BK112" i="150"/>
  <c r="BO117" i="150"/>
  <c r="BE117" i="150"/>
  <c r="AO117" i="150"/>
  <c r="AC117" i="150"/>
  <c r="BJ114" i="150"/>
  <c r="BJ113" i="150"/>
  <c r="BJ112" i="150"/>
  <c r="BK111" i="150"/>
  <c r="BL117" i="150"/>
  <c r="BJ111" i="150"/>
  <c r="BK110" i="150"/>
  <c r="BK109" i="150"/>
  <c r="BK108" i="150"/>
  <c r="BJ103" i="150"/>
  <c r="BB117" i="150"/>
  <c r="BJ110" i="150"/>
  <c r="BJ109" i="150"/>
  <c r="BJ108" i="150"/>
  <c r="BK106" i="150"/>
  <c r="BK105" i="150"/>
  <c r="AL117" i="150"/>
  <c r="BK107" i="150"/>
  <c r="BJ106" i="150"/>
  <c r="BJ105" i="150"/>
  <c r="BK104" i="150"/>
  <c r="BJ107" i="150"/>
  <c r="BK102" i="150"/>
  <c r="BJ101" i="150"/>
  <c r="BJ100" i="150"/>
  <c r="BJ99" i="150"/>
  <c r="BK98" i="150"/>
  <c r="BK97" i="150"/>
  <c r="BJ102" i="150"/>
  <c r="BJ98" i="150"/>
  <c r="BJ97" i="150"/>
  <c r="BK96" i="150"/>
  <c r="BK103" i="150"/>
  <c r="BJ96" i="150"/>
  <c r="BJ91" i="150"/>
  <c r="BJ90" i="150"/>
  <c r="BK89" i="150"/>
  <c r="BJ86" i="150"/>
  <c r="BJ85" i="150"/>
  <c r="BJ84" i="150"/>
  <c r="BJ83" i="150"/>
  <c r="BK82" i="150"/>
  <c r="BK101" i="150"/>
  <c r="BK99" i="150"/>
  <c r="BJ89" i="150"/>
  <c r="BK88" i="150"/>
  <c r="BJ104" i="150"/>
  <c r="BK95" i="150"/>
  <c r="BK94" i="150"/>
  <c r="BK93" i="150"/>
  <c r="BK92" i="150"/>
  <c r="BJ88" i="150"/>
  <c r="BK87" i="150"/>
  <c r="BJ87" i="150"/>
  <c r="BK85" i="150"/>
  <c r="BK83" i="150"/>
  <c r="BJ79" i="150"/>
  <c r="BK78" i="150"/>
  <c r="BJ94" i="150"/>
  <c r="BJ92" i="150"/>
  <c r="BK90" i="150"/>
  <c r="BK81" i="150"/>
  <c r="BJ78" i="150"/>
  <c r="BK77" i="150"/>
  <c r="BK76" i="150"/>
  <c r="BK75" i="150"/>
  <c r="BK74" i="150"/>
  <c r="BK100" i="150"/>
  <c r="BK86" i="150"/>
  <c r="BK84" i="150"/>
  <c r="BJ82" i="150"/>
  <c r="BJ81" i="150"/>
  <c r="BK80" i="150"/>
  <c r="BJ77" i="150"/>
  <c r="BJ76" i="150"/>
  <c r="BJ75" i="150"/>
  <c r="BJ74" i="150"/>
  <c r="BK73" i="150"/>
  <c r="BK72" i="150"/>
  <c r="BK71" i="150"/>
  <c r="BK70" i="150"/>
  <c r="BJ93" i="150"/>
  <c r="BK79" i="150"/>
  <c r="BJ69" i="150"/>
  <c r="BK68" i="150"/>
  <c r="BK67" i="150"/>
  <c r="BK66" i="150"/>
  <c r="BK65" i="150"/>
  <c r="BK64" i="150"/>
  <c r="BK63" i="150"/>
  <c r="BK62" i="150"/>
  <c r="BK61" i="150"/>
  <c r="BK60" i="150"/>
  <c r="BK59" i="150"/>
  <c r="BK58" i="150"/>
  <c r="BK91" i="150"/>
  <c r="BJ73" i="150"/>
  <c r="BJ71" i="150"/>
  <c r="BJ68" i="150"/>
  <c r="BJ67" i="150"/>
  <c r="BJ66" i="150"/>
  <c r="BJ65" i="150"/>
  <c r="BJ64" i="150"/>
  <c r="BJ63" i="150"/>
  <c r="BJ62" i="150"/>
  <c r="BJ61" i="150"/>
  <c r="BJ60" i="150"/>
  <c r="BJ59" i="150"/>
  <c r="BJ58" i="150"/>
  <c r="BJ57" i="150"/>
  <c r="BJ80" i="150"/>
  <c r="BK56" i="150"/>
  <c r="BK55" i="150"/>
  <c r="BK54" i="150"/>
  <c r="BK53" i="150"/>
  <c r="BK52" i="150"/>
  <c r="BK51" i="150"/>
  <c r="BK50" i="150"/>
  <c r="BK49" i="150"/>
  <c r="BK48" i="150"/>
  <c r="BJ72" i="150"/>
  <c r="BK69" i="150"/>
  <c r="BJ56" i="150"/>
  <c r="BJ55" i="150"/>
  <c r="BJ54" i="150"/>
  <c r="BJ53" i="150"/>
  <c r="BJ52" i="150"/>
  <c r="BJ51" i="150"/>
  <c r="BJ50" i="150"/>
  <c r="BJ49" i="150"/>
  <c r="BJ48" i="150"/>
  <c r="BK47" i="150"/>
  <c r="BK46" i="150"/>
  <c r="BK45" i="150"/>
  <c r="BK44" i="150"/>
  <c r="BK43" i="150"/>
  <c r="BK42" i="150"/>
  <c r="BK41" i="150"/>
  <c r="BK57" i="150"/>
  <c r="BK17" i="150"/>
  <c r="BK18" i="150"/>
  <c r="BK19" i="150"/>
  <c r="BK20" i="150"/>
  <c r="BK21" i="150"/>
  <c r="BK22" i="150"/>
  <c r="BK23" i="150"/>
  <c r="BK24" i="150"/>
  <c r="BK25" i="150"/>
  <c r="BK26" i="150"/>
  <c r="BJ27" i="150"/>
  <c r="BJ28" i="150"/>
  <c r="BJ29" i="150"/>
  <c r="BJ30" i="150"/>
  <c r="BJ31" i="150"/>
  <c r="BJ41" i="150"/>
  <c r="BJ42" i="150"/>
  <c r="BJ43" i="150"/>
  <c r="BJ44" i="150"/>
  <c r="BJ45" i="150"/>
  <c r="BJ46" i="150"/>
  <c r="BJ47" i="150"/>
  <c r="BJ95" i="150"/>
  <c r="K15" i="150"/>
  <c r="BJ15" i="150"/>
  <c r="BK27" i="150"/>
  <c r="BK28" i="150"/>
  <c r="BK29" i="150"/>
  <c r="BK30" i="150"/>
  <c r="BK31" i="150"/>
  <c r="BJ70" i="150"/>
  <c r="F127" i="150"/>
  <c r="F124" i="150"/>
  <c r="BJ17" i="149"/>
  <c r="BJ21" i="149"/>
  <c r="BJ25" i="149"/>
  <c r="BJ32" i="149"/>
  <c r="BJ40" i="149"/>
  <c r="F123" i="149"/>
  <c r="BJ18" i="149"/>
  <c r="BJ22" i="149"/>
  <c r="BJ34" i="149"/>
  <c r="F124" i="149"/>
  <c r="BK16" i="149"/>
  <c r="BJ19" i="149"/>
  <c r="BJ23" i="149"/>
  <c r="BJ28" i="149"/>
  <c r="F127" i="149"/>
  <c r="F129" i="149"/>
  <c r="I18" i="149"/>
  <c r="AE15" i="149"/>
  <c r="Y15" i="149"/>
  <c r="AK15" i="149"/>
  <c r="F137" i="149"/>
  <c r="F145" i="149"/>
  <c r="F134" i="149"/>
  <c r="BQ15" i="149" s="1"/>
  <c r="F150" i="149"/>
  <c r="M15" i="149"/>
  <c r="BK15" i="149"/>
  <c r="K16" i="149"/>
  <c r="BJ16" i="149"/>
  <c r="BK25" i="149"/>
  <c r="BK28" i="149"/>
  <c r="AB15" i="149"/>
  <c r="AN15" i="149"/>
  <c r="BJ26" i="149"/>
  <c r="BJ27" i="149"/>
  <c r="BJ29" i="149"/>
  <c r="BJ31" i="149"/>
  <c r="BJ33" i="149"/>
  <c r="BJ35" i="149"/>
  <c r="BJ37" i="149"/>
  <c r="BJ39" i="149"/>
  <c r="AH15" i="149"/>
  <c r="BK117" i="149"/>
  <c r="AW117" i="149"/>
  <c r="AI117" i="149"/>
  <c r="BR117" i="149"/>
  <c r="BH117" i="149"/>
  <c r="AR117" i="149"/>
  <c r="AF117" i="149"/>
  <c r="BK114" i="149"/>
  <c r="BK113" i="149"/>
  <c r="BK112" i="149"/>
  <c r="BL117" i="149"/>
  <c r="AL117" i="149"/>
  <c r="BJ109" i="149"/>
  <c r="BJ107" i="149"/>
  <c r="BJ104" i="149"/>
  <c r="BE117" i="149"/>
  <c r="Z117" i="149"/>
  <c r="BJ113" i="149"/>
  <c r="BJ108" i="149"/>
  <c r="BJ106" i="149"/>
  <c r="BK104" i="149"/>
  <c r="BJ103" i="149"/>
  <c r="BK102" i="149"/>
  <c r="BK101" i="149"/>
  <c r="BK100" i="149"/>
  <c r="BK99" i="149"/>
  <c r="AO117" i="149"/>
  <c r="BK111" i="149"/>
  <c r="BK110" i="149"/>
  <c r="BK107" i="149"/>
  <c r="BJ105" i="149"/>
  <c r="AC117" i="149"/>
  <c r="BJ112" i="149"/>
  <c r="BJ111" i="149"/>
  <c r="BK108" i="149"/>
  <c r="BJ101" i="149"/>
  <c r="BJ99" i="149"/>
  <c r="BJ98" i="149"/>
  <c r="BJ97" i="149"/>
  <c r="BJ114" i="149"/>
  <c r="BK109" i="149"/>
  <c r="BK105" i="149"/>
  <c r="BO117" i="149"/>
  <c r="BJ102" i="149"/>
  <c r="BK98" i="149"/>
  <c r="BK97" i="149"/>
  <c r="BB117" i="149"/>
  <c r="BJ110" i="149"/>
  <c r="BK106" i="149"/>
  <c r="BK103" i="149"/>
  <c r="BK96" i="149"/>
  <c r="BJ89" i="149"/>
  <c r="BK88" i="149"/>
  <c r="BJ96" i="149"/>
  <c r="BK95" i="149"/>
  <c r="BK94" i="149"/>
  <c r="BK93" i="149"/>
  <c r="BJ100" i="149"/>
  <c r="BJ95" i="149"/>
  <c r="BJ94" i="149"/>
  <c r="BJ93" i="149"/>
  <c r="BJ92" i="149"/>
  <c r="BK91" i="149"/>
  <c r="BK90" i="149"/>
  <c r="BJ87" i="149"/>
  <c r="BK86" i="149"/>
  <c r="BK85" i="149"/>
  <c r="BK84" i="149"/>
  <c r="BJ88" i="149"/>
  <c r="BK87" i="149"/>
  <c r="BK83" i="149"/>
  <c r="BJ79" i="149"/>
  <c r="BK78" i="149"/>
  <c r="BJ86" i="149"/>
  <c r="BJ84" i="149"/>
  <c r="BJ83" i="149"/>
  <c r="BK82" i="149"/>
  <c r="BK81" i="149"/>
  <c r="BJ78" i="149"/>
  <c r="BK77" i="149"/>
  <c r="BK76" i="149"/>
  <c r="BK75" i="149"/>
  <c r="BK74" i="149"/>
  <c r="BK92" i="149"/>
  <c r="BJ82" i="149"/>
  <c r="BJ81" i="149"/>
  <c r="BK80" i="149"/>
  <c r="BJ77" i="149"/>
  <c r="BJ76" i="149"/>
  <c r="BJ75" i="149"/>
  <c r="BJ74" i="149"/>
  <c r="BK73" i="149"/>
  <c r="BJ80" i="149"/>
  <c r="BJ73" i="149"/>
  <c r="BJ69" i="149"/>
  <c r="BK68" i="149"/>
  <c r="BK67" i="149"/>
  <c r="BK66" i="149"/>
  <c r="BK65" i="149"/>
  <c r="BK64" i="149"/>
  <c r="BK63" i="149"/>
  <c r="BK62" i="149"/>
  <c r="BK61" i="149"/>
  <c r="BJ91" i="149"/>
  <c r="BJ85" i="149"/>
  <c r="BJ68" i="149"/>
  <c r="BJ67" i="149"/>
  <c r="BJ66" i="149"/>
  <c r="BJ65" i="149"/>
  <c r="BJ64" i="149"/>
  <c r="BJ63" i="149"/>
  <c r="BJ62" i="149"/>
  <c r="BJ90" i="149"/>
  <c r="BK79" i="149"/>
  <c r="BK72" i="149"/>
  <c r="BK89" i="149"/>
  <c r="BK71" i="149"/>
  <c r="BK70" i="149"/>
  <c r="BK60" i="149"/>
  <c r="BK59" i="149"/>
  <c r="BK58" i="149"/>
  <c r="BK57" i="149"/>
  <c r="BK56" i="149"/>
  <c r="BK55" i="149"/>
  <c r="BK54" i="149"/>
  <c r="BK53" i="149"/>
  <c r="BK52" i="149"/>
  <c r="BK51" i="149"/>
  <c r="BJ61" i="149"/>
  <c r="BJ60" i="149"/>
  <c r="BJ59" i="149"/>
  <c r="BJ58" i="149"/>
  <c r="BJ57" i="149"/>
  <c r="BJ56" i="149"/>
  <c r="BJ55" i="149"/>
  <c r="BJ54" i="149"/>
  <c r="BJ53" i="149"/>
  <c r="BJ52" i="149"/>
  <c r="BJ51" i="149"/>
  <c r="BK50" i="149"/>
  <c r="BK49" i="149"/>
  <c r="BK48" i="149"/>
  <c r="BJ72" i="149"/>
  <c r="BJ70" i="149"/>
  <c r="BJ50" i="149"/>
  <c r="BJ49" i="149"/>
  <c r="BJ48" i="149"/>
  <c r="BK47" i="149"/>
  <c r="BK46" i="149"/>
  <c r="BK45" i="149"/>
  <c r="BK44" i="149"/>
  <c r="BK43" i="149"/>
  <c r="BK42" i="149"/>
  <c r="BK41" i="149"/>
  <c r="BJ47" i="149"/>
  <c r="BJ46" i="149"/>
  <c r="BJ45" i="149"/>
  <c r="BJ44" i="149"/>
  <c r="BJ43" i="149"/>
  <c r="BJ42" i="149"/>
  <c r="BJ41" i="149"/>
  <c r="BK40" i="149"/>
  <c r="BK39" i="149"/>
  <c r="BK38" i="149"/>
  <c r="BK37" i="149"/>
  <c r="BK36" i="149"/>
  <c r="BK35" i="149"/>
  <c r="BK34" i="149"/>
  <c r="BK33" i="149"/>
  <c r="BK32" i="149"/>
  <c r="BK31" i="149"/>
  <c r="BK30" i="149"/>
  <c r="BJ71" i="149"/>
  <c r="BK69" i="149"/>
  <c r="BK17" i="149"/>
  <c r="BK18" i="149"/>
  <c r="BK19" i="149"/>
  <c r="BK20" i="149"/>
  <c r="BK21" i="149"/>
  <c r="BK22" i="149"/>
  <c r="BK23" i="149"/>
  <c r="BK24" i="149"/>
  <c r="BK26" i="149"/>
  <c r="BK27" i="149"/>
  <c r="BK29" i="149"/>
  <c r="F152" i="147"/>
  <c r="F149" i="147"/>
  <c r="F142" i="147"/>
  <c r="F141" i="147"/>
  <c r="F119" i="147"/>
  <c r="F125" i="147" s="1"/>
  <c r="F117" i="147"/>
  <c r="O15" i="147" s="1"/>
  <c r="F104" i="147"/>
  <c r="F97" i="147"/>
  <c r="F105" i="147"/>
  <c r="F16" i="147"/>
  <c r="I15" i="147"/>
  <c r="F15" i="147"/>
  <c r="F14" i="147"/>
  <c r="F133" i="147" s="1"/>
  <c r="F9" i="147"/>
  <c r="F8" i="147"/>
  <c r="F152" i="146"/>
  <c r="F149" i="146"/>
  <c r="F142" i="146"/>
  <c r="F141" i="146"/>
  <c r="F119" i="146"/>
  <c r="F125" i="146" s="1"/>
  <c r="F117" i="146"/>
  <c r="O15" i="146" s="1"/>
  <c r="F104" i="146"/>
  <c r="F97" i="146"/>
  <c r="F105" i="146"/>
  <c r="F16" i="146"/>
  <c r="I15" i="146"/>
  <c r="I16" i="146" s="1"/>
  <c r="F15" i="146"/>
  <c r="F9" i="146"/>
  <c r="F8" i="146"/>
  <c r="AI15" i="149" l="1"/>
  <c r="AI16" i="156"/>
  <c r="AF16" i="156"/>
  <c r="G79" i="154"/>
  <c r="G81" i="154"/>
  <c r="G82" i="154"/>
  <c r="G80" i="154"/>
  <c r="G83" i="154"/>
  <c r="D82" i="154"/>
  <c r="D80" i="154"/>
  <c r="D79" i="154"/>
  <c r="D81" i="154"/>
  <c r="D83" i="154"/>
  <c r="F80" i="154"/>
  <c r="F79" i="154"/>
  <c r="F83" i="154"/>
  <c r="F82" i="154"/>
  <c r="F81" i="154"/>
  <c r="AC16" i="156"/>
  <c r="E79" i="154"/>
  <c r="E82" i="154"/>
  <c r="E81" i="154"/>
  <c r="E80" i="154"/>
  <c r="E83" i="154"/>
  <c r="T25" i="163"/>
  <c r="Y25" i="163" s="1"/>
  <c r="Z25" i="163" s="1"/>
  <c r="R26" i="163"/>
  <c r="T26" i="164"/>
  <c r="Y26" i="164" s="1"/>
  <c r="Z26" i="164" s="1"/>
  <c r="R27" i="164"/>
  <c r="Z24" i="163"/>
  <c r="O22" i="164"/>
  <c r="P20" i="163"/>
  <c r="V20" i="163" s="1"/>
  <c r="W20" i="163" s="1"/>
  <c r="T24" i="161"/>
  <c r="Y24" i="161" s="1"/>
  <c r="R25" i="161"/>
  <c r="Z23" i="161"/>
  <c r="O21" i="161"/>
  <c r="K48" i="161"/>
  <c r="BQ48" i="161" s="1"/>
  <c r="I49" i="161"/>
  <c r="BG47" i="161"/>
  <c r="BH47" i="161" s="1"/>
  <c r="BA47" i="161"/>
  <c r="BB47" i="161" s="1"/>
  <c r="AT47" i="161"/>
  <c r="AN47" i="161"/>
  <c r="AO47" i="161" s="1"/>
  <c r="AH47" i="161"/>
  <c r="AI47" i="161" s="1"/>
  <c r="AB47" i="161"/>
  <c r="AC47" i="161" s="1"/>
  <c r="V47" i="161"/>
  <c r="W47" i="161" s="1"/>
  <c r="O47" i="161"/>
  <c r="BR47" i="161"/>
  <c r="AY47" i="161"/>
  <c r="BD47" i="161"/>
  <c r="BE47" i="161" s="1"/>
  <c r="AQ47" i="161"/>
  <c r="AR47" i="161" s="1"/>
  <c r="AK47" i="161"/>
  <c r="AL47" i="161" s="1"/>
  <c r="AE47" i="161"/>
  <c r="AF47" i="161" s="1"/>
  <c r="Y47" i="161"/>
  <c r="Z47" i="161" s="1"/>
  <c r="R47" i="161"/>
  <c r="T47" i="161" s="1"/>
  <c r="AV47" i="161"/>
  <c r="AW47" i="161" s="1"/>
  <c r="P47" i="161"/>
  <c r="BK47" i="161"/>
  <c r="BN47" i="161"/>
  <c r="BO47" i="161" s="1"/>
  <c r="M47" i="161"/>
  <c r="BJ47" i="161"/>
  <c r="BL47" i="161" s="1"/>
  <c r="AH17" i="156"/>
  <c r="BN17" i="156"/>
  <c r="BO17" i="156" s="1"/>
  <c r="BL17" i="156"/>
  <c r="AE17" i="156"/>
  <c r="AB17" i="156"/>
  <c r="M17" i="156"/>
  <c r="K18" i="156"/>
  <c r="I19" i="156"/>
  <c r="BL15" i="150"/>
  <c r="I16" i="147"/>
  <c r="I17" i="147" s="1"/>
  <c r="K15" i="147"/>
  <c r="AT15" i="147" s="1"/>
  <c r="O17" i="152"/>
  <c r="P17" i="152" s="1"/>
  <c r="V17" i="152" s="1"/>
  <c r="W17" i="152" s="1"/>
  <c r="Z17" i="153"/>
  <c r="O17" i="153"/>
  <c r="P17" i="153" s="1"/>
  <c r="V17" i="153" s="1"/>
  <c r="W17" i="153" s="1"/>
  <c r="AC17" i="153"/>
  <c r="F27" i="146"/>
  <c r="R15" i="146"/>
  <c r="T15" i="146" s="1"/>
  <c r="AI17" i="153"/>
  <c r="P15" i="149"/>
  <c r="V15" i="149" s="1"/>
  <c r="W15" i="149" s="1"/>
  <c r="AC17" i="155"/>
  <c r="AI17" i="155"/>
  <c r="AF17" i="155"/>
  <c r="K19" i="155"/>
  <c r="I20" i="155"/>
  <c r="AE18" i="155"/>
  <c r="M18" i="155"/>
  <c r="AB18" i="155"/>
  <c r="AH18" i="155"/>
  <c r="BL18" i="155"/>
  <c r="BN18" i="155"/>
  <c r="BO18" i="155" s="1"/>
  <c r="AL17" i="153"/>
  <c r="AF17" i="153"/>
  <c r="AO17" i="153"/>
  <c r="BR17" i="153"/>
  <c r="M18" i="153"/>
  <c r="BQ18" i="153"/>
  <c r="AB18" i="153"/>
  <c r="AH18" i="153"/>
  <c r="AN18" i="153"/>
  <c r="R18" i="153"/>
  <c r="T18" i="153" s="1"/>
  <c r="Y18" i="153" s="1"/>
  <c r="AE18" i="153"/>
  <c r="BN18" i="153"/>
  <c r="BO18" i="153" s="1"/>
  <c r="AK18" i="153"/>
  <c r="K19" i="153"/>
  <c r="BL18" i="153"/>
  <c r="AQ17" i="153"/>
  <c r="AR17" i="153" s="1"/>
  <c r="I23" i="153"/>
  <c r="AF17" i="152"/>
  <c r="AO17" i="152"/>
  <c r="Z17" i="152"/>
  <c r="AQ17" i="152"/>
  <c r="AR17" i="152" s="1"/>
  <c r="AI17" i="152"/>
  <c r="BR17" i="152"/>
  <c r="AL17" i="152"/>
  <c r="AC17" i="152"/>
  <c r="M18" i="152"/>
  <c r="BQ18" i="152"/>
  <c r="AB18" i="152"/>
  <c r="AH18" i="152"/>
  <c r="AN18" i="152"/>
  <c r="BN18" i="152"/>
  <c r="BO18" i="152" s="1"/>
  <c r="R18" i="152"/>
  <c r="T18" i="152" s="1"/>
  <c r="Y18" i="152" s="1"/>
  <c r="AE18" i="152"/>
  <c r="AK18" i="152"/>
  <c r="K19" i="152"/>
  <c r="BL18" i="152"/>
  <c r="I27" i="152"/>
  <c r="BK116" i="150"/>
  <c r="AN15" i="151"/>
  <c r="AH15" i="151"/>
  <c r="AB15" i="151"/>
  <c r="BQ15" i="151"/>
  <c r="M15" i="151"/>
  <c r="AK15" i="151"/>
  <c r="AE15" i="151"/>
  <c r="Y15" i="151"/>
  <c r="P15" i="151"/>
  <c r="V15" i="151" s="1"/>
  <c r="BN15" i="151"/>
  <c r="BO15" i="151" s="1"/>
  <c r="F151" i="151"/>
  <c r="F153" i="151"/>
  <c r="K16" i="151"/>
  <c r="BK116" i="151"/>
  <c r="K17" i="151"/>
  <c r="I18" i="151"/>
  <c r="F153" i="150"/>
  <c r="F151" i="150"/>
  <c r="AK15" i="150"/>
  <c r="AE15" i="150"/>
  <c r="Y15" i="150"/>
  <c r="BN15" i="150"/>
  <c r="BO15" i="150" s="1"/>
  <c r="P15" i="150"/>
  <c r="V15" i="150" s="1"/>
  <c r="AN15" i="150"/>
  <c r="AH15" i="150"/>
  <c r="AB15" i="150"/>
  <c r="BQ15" i="150"/>
  <c r="M15" i="150"/>
  <c r="I19" i="150"/>
  <c r="K16" i="150"/>
  <c r="AN16" i="149"/>
  <c r="AH16" i="149"/>
  <c r="AB16" i="149"/>
  <c r="BQ16" i="149"/>
  <c r="AK16" i="149"/>
  <c r="AE16" i="149"/>
  <c r="R16" i="149"/>
  <c r="T16" i="149" s="1"/>
  <c r="Y16" i="149" s="1"/>
  <c r="BN16" i="149"/>
  <c r="BO16" i="149" s="1"/>
  <c r="AQ15" i="149"/>
  <c r="AR15" i="149" s="1"/>
  <c r="AO15" i="149"/>
  <c r="BR15" i="149"/>
  <c r="F153" i="149"/>
  <c r="F151" i="149"/>
  <c r="AF15" i="149"/>
  <c r="AC15" i="149"/>
  <c r="BK116" i="149"/>
  <c r="AL15" i="149"/>
  <c r="K17" i="149"/>
  <c r="M16" i="149"/>
  <c r="BL16" i="149"/>
  <c r="Z15" i="149"/>
  <c r="I19" i="149"/>
  <c r="F123" i="147"/>
  <c r="F129" i="147"/>
  <c r="R15" i="147"/>
  <c r="T15" i="147" s="1"/>
  <c r="Y15" i="147" s="1"/>
  <c r="F27" i="147"/>
  <c r="I18" i="147"/>
  <c r="AB15" i="147"/>
  <c r="AE15" i="147"/>
  <c r="BJ15" i="147"/>
  <c r="F137" i="147"/>
  <c r="F145" i="147"/>
  <c r="F134" i="147"/>
  <c r="BQ15" i="147" s="1"/>
  <c r="F150" i="147"/>
  <c r="M15" i="147"/>
  <c r="AY15" i="147"/>
  <c r="K16" i="147"/>
  <c r="F127" i="147"/>
  <c r="F124" i="147"/>
  <c r="F123" i="146"/>
  <c r="F129" i="146"/>
  <c r="I17" i="146"/>
  <c r="K15" i="146"/>
  <c r="AH15" i="146" s="1"/>
  <c r="F127" i="146"/>
  <c r="F124" i="146"/>
  <c r="F14" i="104"/>
  <c r="W15" i="151" l="1"/>
  <c r="AC17" i="156"/>
  <c r="AF17" i="156"/>
  <c r="D91" i="154"/>
  <c r="O21" i="163"/>
  <c r="T27" i="164"/>
  <c r="Y27" i="164" s="1"/>
  <c r="Z27" i="164" s="1"/>
  <c r="R28" i="164"/>
  <c r="T26" i="163"/>
  <c r="Y26" i="163" s="1"/>
  <c r="Z26" i="163" s="1"/>
  <c r="R27" i="163"/>
  <c r="P22" i="164"/>
  <c r="V22" i="164" s="1"/>
  <c r="W22" i="164" s="1"/>
  <c r="P21" i="161"/>
  <c r="V21" i="161" s="1"/>
  <c r="W21" i="161" s="1"/>
  <c r="T25" i="161"/>
  <c r="Y25" i="161" s="1"/>
  <c r="R26" i="161"/>
  <c r="Z24" i="161"/>
  <c r="K49" i="161"/>
  <c r="BQ49" i="161" s="1"/>
  <c r="I50" i="161"/>
  <c r="BG48" i="161"/>
  <c r="BH48" i="161" s="1"/>
  <c r="BA48" i="161"/>
  <c r="BB48" i="161" s="1"/>
  <c r="AT48" i="161"/>
  <c r="AN48" i="161"/>
  <c r="AO48" i="161" s="1"/>
  <c r="AH48" i="161"/>
  <c r="AI48" i="161" s="1"/>
  <c r="AB48" i="161"/>
  <c r="AC48" i="161" s="1"/>
  <c r="V48" i="161"/>
  <c r="W48" i="161" s="1"/>
  <c r="O48" i="161"/>
  <c r="BR48" i="161"/>
  <c r="AY48" i="161"/>
  <c r="BD48" i="161"/>
  <c r="BE48" i="161" s="1"/>
  <c r="AQ48" i="161"/>
  <c r="AR48" i="161" s="1"/>
  <c r="AK48" i="161"/>
  <c r="AL48" i="161" s="1"/>
  <c r="AE48" i="161"/>
  <c r="AF48" i="161" s="1"/>
  <c r="Y48" i="161"/>
  <c r="Z48" i="161" s="1"/>
  <c r="R48" i="161"/>
  <c r="T48" i="161" s="1"/>
  <c r="P48" i="161"/>
  <c r="AV48" i="161"/>
  <c r="AW48" i="161" s="1"/>
  <c r="BN48" i="161"/>
  <c r="BO48" i="161" s="1"/>
  <c r="BJ48" i="161"/>
  <c r="BL48" i="161" s="1"/>
  <c r="BK48" i="161"/>
  <c r="M48" i="161"/>
  <c r="M18" i="156"/>
  <c r="AB18" i="156"/>
  <c r="AH18" i="156"/>
  <c r="AE18" i="156"/>
  <c r="BL18" i="156"/>
  <c r="BN18" i="156"/>
  <c r="BO18" i="156" s="1"/>
  <c r="AI17" i="156"/>
  <c r="AH15" i="147"/>
  <c r="I20" i="156"/>
  <c r="K19" i="156"/>
  <c r="BJ16" i="147"/>
  <c r="AH16" i="147"/>
  <c r="BL17" i="151"/>
  <c r="BL16" i="151"/>
  <c r="AI15" i="151"/>
  <c r="AL15" i="151"/>
  <c r="Z15" i="151"/>
  <c r="Z16" i="149"/>
  <c r="W15" i="150"/>
  <c r="AV15" i="147"/>
  <c r="AW15" i="147" s="1"/>
  <c r="O18" i="152"/>
  <c r="P18" i="152" s="1"/>
  <c r="V18" i="152" s="1"/>
  <c r="W18" i="152" s="1"/>
  <c r="O18" i="153"/>
  <c r="P18" i="153" s="1"/>
  <c r="V18" i="153" s="1"/>
  <c r="W18" i="153" s="1"/>
  <c r="O16" i="149"/>
  <c r="P16" i="149" s="1"/>
  <c r="V16" i="149" s="1"/>
  <c r="W16" i="149" s="1"/>
  <c r="AC18" i="155"/>
  <c r="AI18" i="155"/>
  <c r="F106" i="153"/>
  <c r="AE19" i="155"/>
  <c r="M19" i="155"/>
  <c r="AH19" i="155"/>
  <c r="BL19" i="155"/>
  <c r="BN19" i="155"/>
  <c r="BO19" i="155" s="1"/>
  <c r="AB19" i="155"/>
  <c r="AF18" i="155"/>
  <c r="K20" i="155"/>
  <c r="I21" i="155"/>
  <c r="AF18" i="153"/>
  <c r="AO18" i="153"/>
  <c r="BR18" i="153"/>
  <c r="Z18" i="153"/>
  <c r="AI18" i="153"/>
  <c r="AL18" i="153"/>
  <c r="AC18" i="153"/>
  <c r="AQ18" i="153"/>
  <c r="AR18" i="153" s="1"/>
  <c r="M19" i="153"/>
  <c r="BQ19" i="153"/>
  <c r="AB19" i="153"/>
  <c r="AH19" i="153"/>
  <c r="AN19" i="153"/>
  <c r="AK19" i="153"/>
  <c r="R19" i="153"/>
  <c r="T19" i="153" s="1"/>
  <c r="Y19" i="153" s="1"/>
  <c r="AE19" i="153"/>
  <c r="BN19" i="153"/>
  <c r="BO19" i="153" s="1"/>
  <c r="BL19" i="153"/>
  <c r="K20" i="153"/>
  <c r="I24" i="153"/>
  <c r="Z18" i="152"/>
  <c r="AI18" i="152"/>
  <c r="AC18" i="152"/>
  <c r="AL18" i="152"/>
  <c r="AF18" i="152"/>
  <c r="AO18" i="152"/>
  <c r="BR18" i="152"/>
  <c r="I28" i="152"/>
  <c r="M19" i="152"/>
  <c r="BQ19" i="152"/>
  <c r="AB19" i="152"/>
  <c r="AH19" i="152"/>
  <c r="AN19" i="152"/>
  <c r="BN19" i="152"/>
  <c r="BO19" i="152" s="1"/>
  <c r="R19" i="152"/>
  <c r="T19" i="152" s="1"/>
  <c r="Y19" i="152" s="1"/>
  <c r="AE19" i="152"/>
  <c r="AK19" i="152"/>
  <c r="K20" i="152"/>
  <c r="BL19" i="152"/>
  <c r="AQ18" i="152"/>
  <c r="AR18" i="152" s="1"/>
  <c r="AF15" i="151"/>
  <c r="AQ15" i="150"/>
  <c r="AR15" i="150" s="1"/>
  <c r="K18" i="151"/>
  <c r="I19" i="151"/>
  <c r="AC15" i="151"/>
  <c r="BQ17" i="151"/>
  <c r="AK17" i="151"/>
  <c r="AE17" i="151"/>
  <c r="AN17" i="151"/>
  <c r="AH17" i="151"/>
  <c r="AB17" i="151"/>
  <c r="BN17" i="151"/>
  <c r="BO17" i="151" s="1"/>
  <c r="M17" i="151"/>
  <c r="AN16" i="151"/>
  <c r="AH16" i="151"/>
  <c r="AB16" i="151"/>
  <c r="O16" i="151"/>
  <c r="P16" i="151" s="1"/>
  <c r="BQ16" i="151"/>
  <c r="AE16" i="151"/>
  <c r="R16" i="151"/>
  <c r="T16" i="151" s="1"/>
  <c r="Y16" i="151" s="1"/>
  <c r="AK16" i="151"/>
  <c r="M16" i="151"/>
  <c r="BN16" i="151"/>
  <c r="BO16" i="151" s="1"/>
  <c r="AQ15" i="151"/>
  <c r="AR15" i="151" s="1"/>
  <c r="BR15" i="151"/>
  <c r="AO15" i="151"/>
  <c r="BR15" i="150"/>
  <c r="AO15" i="150"/>
  <c r="AF15" i="150"/>
  <c r="I20" i="150"/>
  <c r="AL15" i="150"/>
  <c r="AC15" i="150"/>
  <c r="AN16" i="150"/>
  <c r="AH16" i="150"/>
  <c r="AB16" i="150"/>
  <c r="O16" i="150"/>
  <c r="P16" i="150" s="1"/>
  <c r="V16" i="150" s="1"/>
  <c r="BQ16" i="150"/>
  <c r="R16" i="150"/>
  <c r="T16" i="150" s="1"/>
  <c r="Y16" i="150" s="1"/>
  <c r="AE16" i="150"/>
  <c r="AK16" i="150"/>
  <c r="BL16" i="150"/>
  <c r="M16" i="150"/>
  <c r="K17" i="150"/>
  <c r="BN16" i="150"/>
  <c r="BO16" i="150" s="1"/>
  <c r="AI15" i="150"/>
  <c r="Z15" i="150"/>
  <c r="BQ17" i="149"/>
  <c r="AE17" i="149"/>
  <c r="R17" i="149"/>
  <c r="T17" i="149" s="1"/>
  <c r="Y17" i="149" s="1"/>
  <c r="BL17" i="149"/>
  <c r="AB17" i="149"/>
  <c r="AK17" i="149"/>
  <c r="AN17" i="149"/>
  <c r="AH17" i="149"/>
  <c r="M17" i="149"/>
  <c r="BN17" i="149"/>
  <c r="BO17" i="149" s="1"/>
  <c r="AL16" i="149"/>
  <c r="AO16" i="149"/>
  <c r="AQ16" i="149"/>
  <c r="AR16" i="149" s="1"/>
  <c r="AC16" i="149"/>
  <c r="I20" i="149"/>
  <c r="AF16" i="149"/>
  <c r="K18" i="149"/>
  <c r="BR16" i="149"/>
  <c r="AI16" i="149"/>
  <c r="P15" i="147"/>
  <c r="V15" i="147" s="1"/>
  <c r="W15" i="147" s="1"/>
  <c r="BA15" i="147"/>
  <c r="BB15" i="147" s="1"/>
  <c r="BR15" i="147"/>
  <c r="Z15" i="147"/>
  <c r="F153" i="147"/>
  <c r="BG15" i="147" s="1"/>
  <c r="BH15" i="147" s="1"/>
  <c r="F151" i="147"/>
  <c r="BD15" i="147" s="1"/>
  <c r="BE15" i="147" s="1"/>
  <c r="K17" i="147"/>
  <c r="AH17" i="147" s="1"/>
  <c r="BL15" i="147"/>
  <c r="AF15" i="147"/>
  <c r="AI15" i="147"/>
  <c r="I19" i="147"/>
  <c r="AE16" i="147"/>
  <c r="R16" i="147"/>
  <c r="T16" i="147" s="1"/>
  <c r="Y16" i="147" s="1"/>
  <c r="BQ16" i="147"/>
  <c r="BL16" i="147" s="1"/>
  <c r="AY16" i="147"/>
  <c r="AT16" i="147"/>
  <c r="AV16" i="147" s="1"/>
  <c r="AB16" i="147"/>
  <c r="M16" i="147"/>
  <c r="AC15" i="147"/>
  <c r="AE15" i="146"/>
  <c r="Y15" i="146"/>
  <c r="AY15" i="146"/>
  <c r="M15" i="146"/>
  <c r="AI15" i="146" s="1"/>
  <c r="P15" i="146"/>
  <c r="V15" i="146" s="1"/>
  <c r="AT15" i="146"/>
  <c r="AB15" i="146"/>
  <c r="K16" i="146"/>
  <c r="AH16" i="146" s="1"/>
  <c r="BJ15" i="146"/>
  <c r="I18" i="146"/>
  <c r="F15" i="118"/>
  <c r="AI18" i="156" l="1"/>
  <c r="AC18" i="156"/>
  <c r="AF18" i="156"/>
  <c r="T27" i="163"/>
  <c r="Y27" i="163" s="1"/>
  <c r="Z27" i="163" s="1"/>
  <c r="R28" i="163"/>
  <c r="O23" i="164"/>
  <c r="T28" i="164"/>
  <c r="Y28" i="164" s="1"/>
  <c r="Z28" i="164" s="1"/>
  <c r="R29" i="164"/>
  <c r="P21" i="163"/>
  <c r="V21" i="163" s="1"/>
  <c r="W21" i="163" s="1"/>
  <c r="T26" i="161"/>
  <c r="Y26" i="161" s="1"/>
  <c r="R27" i="161"/>
  <c r="O22" i="161"/>
  <c r="Z25" i="161"/>
  <c r="K50" i="161"/>
  <c r="BQ50" i="161" s="1"/>
  <c r="I51" i="161"/>
  <c r="BG49" i="161"/>
  <c r="BH49" i="161" s="1"/>
  <c r="BA49" i="161"/>
  <c r="BB49" i="161" s="1"/>
  <c r="AT49" i="161"/>
  <c r="AN49" i="161"/>
  <c r="AO49" i="161" s="1"/>
  <c r="AH49" i="161"/>
  <c r="AI49" i="161" s="1"/>
  <c r="AB49" i="161"/>
  <c r="AC49" i="161" s="1"/>
  <c r="V49" i="161"/>
  <c r="W49" i="161" s="1"/>
  <c r="O49" i="161"/>
  <c r="BR49" i="161"/>
  <c r="AY49" i="161"/>
  <c r="BD49" i="161"/>
  <c r="BE49" i="161" s="1"/>
  <c r="AQ49" i="161"/>
  <c r="AR49" i="161" s="1"/>
  <c r="AK49" i="161"/>
  <c r="AL49" i="161" s="1"/>
  <c r="AE49" i="161"/>
  <c r="AF49" i="161" s="1"/>
  <c r="Y49" i="161"/>
  <c r="Z49" i="161" s="1"/>
  <c r="R49" i="161"/>
  <c r="T49" i="161" s="1"/>
  <c r="AV49" i="161"/>
  <c r="AW49" i="161" s="1"/>
  <c r="P49" i="161"/>
  <c r="BJ49" i="161"/>
  <c r="BL49" i="161" s="1"/>
  <c r="BK49" i="161"/>
  <c r="M49" i="161"/>
  <c r="BN49" i="161"/>
  <c r="BO49" i="161" s="1"/>
  <c r="K18" i="147"/>
  <c r="AH18" i="147" s="1"/>
  <c r="AE19" i="156"/>
  <c r="BN19" i="156"/>
  <c r="BO19" i="156" s="1"/>
  <c r="M19" i="156"/>
  <c r="BL19" i="156"/>
  <c r="AB19" i="156"/>
  <c r="AH19" i="156"/>
  <c r="I21" i="156"/>
  <c r="K20" i="156"/>
  <c r="K17" i="146"/>
  <c r="AH17" i="146" s="1"/>
  <c r="K19" i="149"/>
  <c r="BL19" i="149" s="1"/>
  <c r="O19" i="152"/>
  <c r="P19" i="152" s="1"/>
  <c r="V19" i="152" s="1"/>
  <c r="W19" i="152" s="1"/>
  <c r="W16" i="150"/>
  <c r="AL16" i="151"/>
  <c r="Z17" i="149"/>
  <c r="O19" i="153"/>
  <c r="P19" i="153" s="1"/>
  <c r="V19" i="153" s="1"/>
  <c r="O20" i="153" s="1"/>
  <c r="P20" i="153" s="1"/>
  <c r="V20" i="153" s="1"/>
  <c r="Z19" i="153"/>
  <c r="AC19" i="153"/>
  <c r="AL19" i="153"/>
  <c r="O17" i="149"/>
  <c r="P17" i="149" s="1"/>
  <c r="V17" i="149" s="1"/>
  <c r="W17" i="149" s="1"/>
  <c r="AC19" i="155"/>
  <c r="AI19" i="155"/>
  <c r="V16" i="151"/>
  <c r="O17" i="151" s="1"/>
  <c r="K21" i="155"/>
  <c r="I22" i="155"/>
  <c r="AF19" i="155"/>
  <c r="AE20" i="155"/>
  <c r="M20" i="155"/>
  <c r="AB20" i="155"/>
  <c r="AH20" i="155"/>
  <c r="BL20" i="155"/>
  <c r="BN20" i="155"/>
  <c r="BO20" i="155" s="1"/>
  <c r="AQ19" i="153"/>
  <c r="AR19" i="153" s="1"/>
  <c r="AF19" i="153"/>
  <c r="AO19" i="153"/>
  <c r="I25" i="153"/>
  <c r="AI19" i="153"/>
  <c r="BR19" i="153"/>
  <c r="M20" i="153"/>
  <c r="BQ20" i="153"/>
  <c r="AB20" i="153"/>
  <c r="AH20" i="153"/>
  <c r="AN20" i="153"/>
  <c r="AK20" i="153"/>
  <c r="R20" i="153"/>
  <c r="T20" i="153" s="1"/>
  <c r="Y20" i="153" s="1"/>
  <c r="AE20" i="153"/>
  <c r="BN20" i="153"/>
  <c r="BO20" i="153" s="1"/>
  <c r="BL20" i="153"/>
  <c r="K21" i="153"/>
  <c r="AC19" i="152"/>
  <c r="AL19" i="152"/>
  <c r="AF19" i="152"/>
  <c r="BR19" i="152"/>
  <c r="Z19" i="152"/>
  <c r="AI19" i="152"/>
  <c r="AO19" i="152"/>
  <c r="AQ19" i="152"/>
  <c r="AR19" i="152" s="1"/>
  <c r="I29" i="152"/>
  <c r="M20" i="152"/>
  <c r="AB20" i="152"/>
  <c r="AH20" i="152"/>
  <c r="AN20" i="152"/>
  <c r="BN20" i="152"/>
  <c r="BO20" i="152" s="1"/>
  <c r="AK20" i="152"/>
  <c r="R20" i="152"/>
  <c r="T20" i="152" s="1"/>
  <c r="Y20" i="152" s="1"/>
  <c r="K21" i="152"/>
  <c r="AE20" i="152"/>
  <c r="BQ20" i="152"/>
  <c r="BL20" i="152"/>
  <c r="AC17" i="149"/>
  <c r="AO17" i="151"/>
  <c r="AF17" i="151"/>
  <c r="AI17" i="151"/>
  <c r="AL17" i="151"/>
  <c r="AQ16" i="151"/>
  <c r="AR16" i="151" s="1"/>
  <c r="AQ17" i="149"/>
  <c r="AR17" i="149" s="1"/>
  <c r="AQ16" i="150"/>
  <c r="AR16" i="150" s="1"/>
  <c r="AC16" i="151"/>
  <c r="BR16" i="151"/>
  <c r="AI16" i="151"/>
  <c r="BR17" i="151"/>
  <c r="Z16" i="151"/>
  <c r="AO16" i="151"/>
  <c r="AC17" i="151"/>
  <c r="R17" i="151"/>
  <c r="T17" i="151" s="1"/>
  <c r="Y17" i="151" s="1"/>
  <c r="Z17" i="151" s="1"/>
  <c r="AQ17" i="151"/>
  <c r="AR17" i="151" s="1"/>
  <c r="K19" i="151"/>
  <c r="I20" i="151"/>
  <c r="AF16" i="151"/>
  <c r="BQ18" i="151"/>
  <c r="AK18" i="151"/>
  <c r="AE18" i="151"/>
  <c r="AN18" i="151"/>
  <c r="AH18" i="151"/>
  <c r="AB18" i="151"/>
  <c r="M18" i="151"/>
  <c r="BN18" i="151"/>
  <c r="BO18" i="151" s="1"/>
  <c r="BL18" i="151"/>
  <c r="BR16" i="150"/>
  <c r="AI16" i="150"/>
  <c r="I21" i="150"/>
  <c r="AO16" i="150"/>
  <c r="AN17" i="150"/>
  <c r="AH17" i="150"/>
  <c r="AB17" i="150"/>
  <c r="O17" i="150"/>
  <c r="P17" i="150" s="1"/>
  <c r="V17" i="150" s="1"/>
  <c r="BQ17" i="150"/>
  <c r="AK17" i="150"/>
  <c r="AE17" i="150"/>
  <c r="R17" i="150"/>
  <c r="T17" i="150" s="1"/>
  <c r="Y17" i="150" s="1"/>
  <c r="BN17" i="150"/>
  <c r="BO17" i="150" s="1"/>
  <c r="M17" i="150"/>
  <c r="BL17" i="150"/>
  <c r="K18" i="150"/>
  <c r="AL16" i="150"/>
  <c r="Z16" i="150"/>
  <c r="AF16" i="150"/>
  <c r="AC16" i="150"/>
  <c r="O16" i="147"/>
  <c r="P16" i="147" s="1"/>
  <c r="V16" i="147" s="1"/>
  <c r="W16" i="147" s="1"/>
  <c r="AH19" i="149"/>
  <c r="AL17" i="149"/>
  <c r="BR17" i="149"/>
  <c r="AO17" i="149"/>
  <c r="I21" i="149"/>
  <c r="BQ18" i="149"/>
  <c r="AK18" i="149"/>
  <c r="AN18" i="149"/>
  <c r="AE18" i="149"/>
  <c r="R18" i="149"/>
  <c r="T18" i="149" s="1"/>
  <c r="Y18" i="149" s="1"/>
  <c r="AB18" i="149"/>
  <c r="BL18" i="149"/>
  <c r="AH18" i="149"/>
  <c r="M18" i="149"/>
  <c r="BN18" i="149"/>
  <c r="BO18" i="149" s="1"/>
  <c r="AI17" i="149"/>
  <c r="AF17" i="149"/>
  <c r="AW16" i="147"/>
  <c r="BG16" i="147"/>
  <c r="BH16" i="147" s="1"/>
  <c r="AC15" i="146"/>
  <c r="W15" i="146"/>
  <c r="Z15" i="146"/>
  <c r="AI16" i="147"/>
  <c r="Z16" i="147"/>
  <c r="I20" i="147"/>
  <c r="K19" i="147"/>
  <c r="AH19" i="147" s="1"/>
  <c r="AT17" i="147"/>
  <c r="BD17" i="147" s="1"/>
  <c r="AB17" i="147"/>
  <c r="AE17" i="147"/>
  <c r="R17" i="147"/>
  <c r="T17" i="147" s="1"/>
  <c r="Y17" i="147" s="1"/>
  <c r="BQ17" i="147"/>
  <c r="AY17" i="147"/>
  <c r="BG17" i="147" s="1"/>
  <c r="BJ17" i="147"/>
  <c r="M17" i="147"/>
  <c r="BR16" i="147"/>
  <c r="AC16" i="147"/>
  <c r="BA16" i="147"/>
  <c r="BB16" i="147" s="1"/>
  <c r="BD16" i="147"/>
  <c r="BE16" i="147" s="1"/>
  <c r="BK15" i="147"/>
  <c r="AF16" i="147"/>
  <c r="AT18" i="147"/>
  <c r="AV18" i="147" s="1"/>
  <c r="AB18" i="147"/>
  <c r="BJ18" i="147"/>
  <c r="BQ18" i="147"/>
  <c r="AY18" i="147"/>
  <c r="BG18" i="147" s="1"/>
  <c r="AE18" i="147"/>
  <c r="M18" i="147"/>
  <c r="I19" i="146"/>
  <c r="K18" i="146"/>
  <c r="AH18" i="146" s="1"/>
  <c r="BJ16" i="146"/>
  <c r="AT16" i="146"/>
  <c r="AB16" i="146"/>
  <c r="O16" i="146"/>
  <c r="P16" i="146" s="1"/>
  <c r="R16" i="146"/>
  <c r="T16" i="146" s="1"/>
  <c r="Y16" i="146" s="1"/>
  <c r="AY16" i="146"/>
  <c r="AE16" i="146"/>
  <c r="M16" i="146"/>
  <c r="AF15" i="146"/>
  <c r="AT17" i="146"/>
  <c r="AB17" i="146"/>
  <c r="AY17" i="146"/>
  <c r="AE17" i="146"/>
  <c r="M17" i="146"/>
  <c r="BJ17" i="146"/>
  <c r="F16" i="115"/>
  <c r="F16" i="126"/>
  <c r="F16" i="124"/>
  <c r="F16" i="114"/>
  <c r="F16" i="110"/>
  <c r="F16" i="112"/>
  <c r="F16" i="107"/>
  <c r="F16" i="106"/>
  <c r="F16" i="105"/>
  <c r="F16" i="104"/>
  <c r="F16" i="98"/>
  <c r="BJ15" i="98" s="1"/>
  <c r="F16" i="99"/>
  <c r="F16" i="101"/>
  <c r="Q10" i="58"/>
  <c r="D17" i="7"/>
  <c r="D19" i="7" s="1"/>
  <c r="D10" i="7"/>
  <c r="BO117" i="101"/>
  <c r="F9" i="63"/>
  <c r="F9" i="13"/>
  <c r="F9" i="64"/>
  <c r="F9" i="15"/>
  <c r="F9" i="129"/>
  <c r="F9" i="130"/>
  <c r="F9" i="66"/>
  <c r="F9" i="17"/>
  <c r="F9" i="135"/>
  <c r="F9" i="136"/>
  <c r="F9" i="98"/>
  <c r="F9" i="99"/>
  <c r="M15" i="99" s="1"/>
  <c r="F9" i="101"/>
  <c r="F9" i="104"/>
  <c r="F9" i="105"/>
  <c r="F9" i="106"/>
  <c r="F9" i="107"/>
  <c r="F9" i="110"/>
  <c r="F9" i="112"/>
  <c r="F9" i="114"/>
  <c r="F9" i="115"/>
  <c r="F9" i="118"/>
  <c r="F9" i="120"/>
  <c r="F9" i="124"/>
  <c r="F9" i="126"/>
  <c r="F9" i="132"/>
  <c r="F9" i="133"/>
  <c r="F9" i="96"/>
  <c r="F105" i="114"/>
  <c r="F4" i="107"/>
  <c r="F141" i="126"/>
  <c r="F141" i="124"/>
  <c r="F141" i="120"/>
  <c r="F141" i="118"/>
  <c r="F141" i="115"/>
  <c r="F141" i="114"/>
  <c r="F141" i="112"/>
  <c r="F141" i="110"/>
  <c r="F141" i="107"/>
  <c r="F141" i="106"/>
  <c r="F141" i="105"/>
  <c r="F141" i="104"/>
  <c r="F141" i="101"/>
  <c r="F141" i="99"/>
  <c r="F141" i="98"/>
  <c r="F141" i="17"/>
  <c r="F141" i="66"/>
  <c r="F141" i="15"/>
  <c r="F141" i="64"/>
  <c r="F141" i="13"/>
  <c r="F141" i="63"/>
  <c r="F141" i="96"/>
  <c r="F141" i="95"/>
  <c r="F105" i="110"/>
  <c r="F105" i="106"/>
  <c r="F105" i="66"/>
  <c r="F105" i="126"/>
  <c r="F105" i="107"/>
  <c r="F105" i="99"/>
  <c r="F105" i="15"/>
  <c r="F105" i="136"/>
  <c r="P10" i="58"/>
  <c r="K10" i="58"/>
  <c r="J10" i="58"/>
  <c r="I10" i="58"/>
  <c r="U10" i="58" s="1"/>
  <c r="K16" i="58"/>
  <c r="AA16" i="58" s="1"/>
  <c r="J16" i="58"/>
  <c r="Z16" i="58" s="1"/>
  <c r="I16" i="58"/>
  <c r="I43" i="58" s="1"/>
  <c r="H16" i="58"/>
  <c r="E11" i="7"/>
  <c r="E10" i="7"/>
  <c r="D11" i="7"/>
  <c r="E17" i="7"/>
  <c r="E19" i="7" s="1"/>
  <c r="F97" i="63"/>
  <c r="F97" i="13"/>
  <c r="F97" i="64"/>
  <c r="F97" i="15"/>
  <c r="F97" i="129"/>
  <c r="F97" i="130"/>
  <c r="F97" i="66"/>
  <c r="F97" i="17"/>
  <c r="F97" i="135"/>
  <c r="F97" i="136"/>
  <c r="F97" i="98"/>
  <c r="F97" i="99"/>
  <c r="F97" i="101"/>
  <c r="F97" i="104"/>
  <c r="F97" i="105"/>
  <c r="F97" i="106"/>
  <c r="F97" i="107"/>
  <c r="F97" i="110"/>
  <c r="F97" i="112"/>
  <c r="F97" i="114"/>
  <c r="F97" i="115"/>
  <c r="F97" i="118"/>
  <c r="F97" i="120"/>
  <c r="F97" i="124"/>
  <c r="F97" i="126"/>
  <c r="F97" i="132"/>
  <c r="F97" i="133"/>
  <c r="F15" i="98"/>
  <c r="F17" i="95"/>
  <c r="F17" i="96"/>
  <c r="F17" i="63"/>
  <c r="F17" i="13"/>
  <c r="F17" i="64"/>
  <c r="F17" i="15"/>
  <c r="F17" i="129"/>
  <c r="F17" i="130"/>
  <c r="F17" i="66"/>
  <c r="F17" i="17"/>
  <c r="F17" i="135"/>
  <c r="F17" i="136"/>
  <c r="F17" i="132"/>
  <c r="F17" i="133"/>
  <c r="F4" i="105"/>
  <c r="F5" i="99"/>
  <c r="F4" i="99"/>
  <c r="AG6" i="58"/>
  <c r="N10" i="58" s="1"/>
  <c r="F15" i="133"/>
  <c r="F14" i="133"/>
  <c r="F133" i="133" s="1"/>
  <c r="F134" i="133" s="1"/>
  <c r="F15" i="132"/>
  <c r="F14" i="132"/>
  <c r="F133" i="132" s="1"/>
  <c r="F145" i="132" s="1"/>
  <c r="F15" i="126"/>
  <c r="F15" i="124"/>
  <c r="F15" i="120"/>
  <c r="F15" i="115"/>
  <c r="F15" i="114"/>
  <c r="F15" i="112"/>
  <c r="F15" i="110"/>
  <c r="F15" i="107"/>
  <c r="F15" i="106"/>
  <c r="F15" i="105"/>
  <c r="F15" i="104"/>
  <c r="F15" i="101"/>
  <c r="F15" i="99"/>
  <c r="F15" i="136"/>
  <c r="F15" i="135"/>
  <c r="F15" i="17"/>
  <c r="F15" i="66"/>
  <c r="F15" i="130"/>
  <c r="F15" i="129"/>
  <c r="F15" i="15"/>
  <c r="F15" i="64"/>
  <c r="F15" i="13"/>
  <c r="F15" i="63"/>
  <c r="F14" i="96"/>
  <c r="F62" i="96" s="1"/>
  <c r="F15" i="96"/>
  <c r="F15" i="95"/>
  <c r="F43" i="133"/>
  <c r="F43" i="132"/>
  <c r="F43" i="136"/>
  <c r="F56" i="136" s="1"/>
  <c r="F43" i="135"/>
  <c r="F56" i="135" s="1"/>
  <c r="F43" i="130"/>
  <c r="F4" i="129"/>
  <c r="F16" i="133"/>
  <c r="BK114" i="133" s="1"/>
  <c r="F16" i="132"/>
  <c r="BL117" i="132" s="1"/>
  <c r="F16" i="136"/>
  <c r="BK48" i="136" s="1"/>
  <c r="F16" i="135"/>
  <c r="F16" i="130"/>
  <c r="BO117" i="130" s="1"/>
  <c r="F16" i="129"/>
  <c r="D26" i="10"/>
  <c r="F14" i="136" s="1"/>
  <c r="F133" i="136" s="1"/>
  <c r="C24" i="10"/>
  <c r="C23" i="10"/>
  <c r="F14" i="118" s="1"/>
  <c r="F133" i="118" s="1"/>
  <c r="F137" i="118" s="1"/>
  <c r="C22" i="10"/>
  <c r="D22" i="10" s="1"/>
  <c r="F14" i="115" s="1"/>
  <c r="F133" i="115" s="1"/>
  <c r="F134" i="115" s="1"/>
  <c r="C20" i="10"/>
  <c r="C19" i="10"/>
  <c r="D18" i="10"/>
  <c r="F14" i="105" s="1"/>
  <c r="F133" i="105" s="1"/>
  <c r="F14" i="98"/>
  <c r="F133" i="98" s="1"/>
  <c r="D21" i="10"/>
  <c r="F14" i="146" s="1"/>
  <c r="F133" i="146" s="1"/>
  <c r="C15" i="10"/>
  <c r="D15" i="10" s="1"/>
  <c r="F14" i="17" s="1"/>
  <c r="F133" i="17" s="1"/>
  <c r="F145" i="17" s="1"/>
  <c r="C13" i="10"/>
  <c r="D13" i="10" s="1"/>
  <c r="F41" i="63"/>
  <c r="F41" i="13"/>
  <c r="F41" i="64"/>
  <c r="F41" i="15"/>
  <c r="F41" i="129"/>
  <c r="F41" i="130"/>
  <c r="F41" i="66"/>
  <c r="F41" i="17"/>
  <c r="F41" i="135"/>
  <c r="F41" i="136"/>
  <c r="F41" i="118"/>
  <c r="F41" i="120"/>
  <c r="F41" i="132"/>
  <c r="F41" i="133"/>
  <c r="F48" i="132"/>
  <c r="F48" i="120"/>
  <c r="F48" i="118"/>
  <c r="F48" i="136"/>
  <c r="F48" i="135"/>
  <c r="F48" i="17"/>
  <c r="F48" i="66"/>
  <c r="F48" i="130"/>
  <c r="F48" i="129"/>
  <c r="F48" i="15"/>
  <c r="F48" i="64"/>
  <c r="F48" i="13"/>
  <c r="F48" i="63"/>
  <c r="F105" i="96"/>
  <c r="F16" i="17"/>
  <c r="AF117" i="17" s="1"/>
  <c r="F16" i="66"/>
  <c r="F16" i="15"/>
  <c r="F16" i="64"/>
  <c r="BJ96" i="64" s="1"/>
  <c r="F16" i="13"/>
  <c r="F16" i="63"/>
  <c r="F16" i="96"/>
  <c r="BK101" i="96" s="1"/>
  <c r="F16" i="95"/>
  <c r="F105" i="130"/>
  <c r="F142" i="118"/>
  <c r="F8" i="96"/>
  <c r="F8" i="95"/>
  <c r="F9" i="95"/>
  <c r="F152" i="96"/>
  <c r="F149" i="96"/>
  <c r="F142" i="96"/>
  <c r="F129" i="96"/>
  <c r="F117" i="96"/>
  <c r="O15" i="96" s="1"/>
  <c r="F96" i="96"/>
  <c r="I15" i="96"/>
  <c r="I16" i="96" s="1"/>
  <c r="F152" i="95"/>
  <c r="F149" i="95"/>
  <c r="F142" i="95"/>
  <c r="F129" i="95"/>
  <c r="F117" i="95"/>
  <c r="R15" i="95" s="1"/>
  <c r="T15" i="95" s="1"/>
  <c r="F96" i="95"/>
  <c r="I15" i="95"/>
  <c r="I16" i="95" s="1"/>
  <c r="K15" i="96"/>
  <c r="F21" i="126"/>
  <c r="F117" i="126" s="1"/>
  <c r="F27" i="126" s="1"/>
  <c r="F21" i="124"/>
  <c r="F119" i="126"/>
  <c r="F129" i="126" s="1"/>
  <c r="F119" i="124"/>
  <c r="F129" i="124" s="1"/>
  <c r="F152" i="126"/>
  <c r="F149" i="126"/>
  <c r="F142" i="126"/>
  <c r="F104" i="126"/>
  <c r="I15" i="126"/>
  <c r="I16" i="126" s="1"/>
  <c r="F8" i="126"/>
  <c r="F152" i="124"/>
  <c r="F149" i="124"/>
  <c r="F142" i="124"/>
  <c r="F117" i="124"/>
  <c r="F27" i="124" s="1"/>
  <c r="F105" i="124"/>
  <c r="F104" i="124"/>
  <c r="I15" i="124"/>
  <c r="I16" i="124" s="1"/>
  <c r="F8" i="124"/>
  <c r="F117" i="120"/>
  <c r="F117" i="118"/>
  <c r="F119" i="136"/>
  <c r="F129" i="136" s="1"/>
  <c r="F8" i="136"/>
  <c r="F119" i="135"/>
  <c r="F124" i="135" s="1"/>
  <c r="F8" i="135"/>
  <c r="F149" i="136"/>
  <c r="F117" i="136"/>
  <c r="F27" i="136" s="1"/>
  <c r="F104" i="136"/>
  <c r="I15" i="136"/>
  <c r="I16" i="136" s="1"/>
  <c r="F149" i="135"/>
  <c r="F117" i="135"/>
  <c r="O15" i="135" s="1"/>
  <c r="F104" i="135"/>
  <c r="F105" i="135"/>
  <c r="I15" i="135"/>
  <c r="I16" i="135" s="1"/>
  <c r="F119" i="130"/>
  <c r="F125" i="130" s="1"/>
  <c r="F119" i="129"/>
  <c r="F124" i="129" s="1"/>
  <c r="F119" i="133"/>
  <c r="F125" i="133" s="1"/>
  <c r="F119" i="132"/>
  <c r="F124" i="132" s="1"/>
  <c r="F8" i="133"/>
  <c r="F8" i="132"/>
  <c r="F8" i="130"/>
  <c r="F8" i="129"/>
  <c r="F149" i="133"/>
  <c r="F117" i="133"/>
  <c r="F104" i="133"/>
  <c r="F105" i="133"/>
  <c r="I15" i="133"/>
  <c r="I16" i="133" s="1"/>
  <c r="F149" i="132"/>
  <c r="F117" i="132"/>
  <c r="R15" i="132" s="1"/>
  <c r="T15" i="132" s="1"/>
  <c r="F104" i="132"/>
  <c r="F105" i="132"/>
  <c r="I15" i="132"/>
  <c r="I16" i="132" s="1"/>
  <c r="F149" i="130"/>
  <c r="F117" i="130"/>
  <c r="F27" i="130"/>
  <c r="F104" i="130"/>
  <c r="I15" i="130"/>
  <c r="I16" i="130" s="1"/>
  <c r="F149" i="129"/>
  <c r="F117" i="129"/>
  <c r="F27" i="129" s="1"/>
  <c r="F104" i="129"/>
  <c r="F105" i="129"/>
  <c r="I15" i="129"/>
  <c r="I16" i="129" s="1"/>
  <c r="F119" i="120"/>
  <c r="F123" i="120" s="1"/>
  <c r="F8" i="120"/>
  <c r="F119" i="118"/>
  <c r="F125" i="118" s="1"/>
  <c r="F127" i="118" s="1"/>
  <c r="F8" i="118"/>
  <c r="F152" i="120"/>
  <c r="F149" i="120"/>
  <c r="F105" i="120"/>
  <c r="F104" i="120"/>
  <c r="F142" i="120"/>
  <c r="I15" i="120"/>
  <c r="I16" i="120" s="1"/>
  <c r="I17" i="120" s="1"/>
  <c r="F152" i="118"/>
  <c r="F149" i="118"/>
  <c r="F105" i="118"/>
  <c r="F104" i="118"/>
  <c r="I15" i="118"/>
  <c r="I16" i="118" s="1"/>
  <c r="I17" i="118" s="1"/>
  <c r="I18" i="118" s="1"/>
  <c r="I19" i="118" s="1"/>
  <c r="I20" i="118" s="1"/>
  <c r="I21" i="118" s="1"/>
  <c r="I22" i="118" s="1"/>
  <c r="I23" i="118" s="1"/>
  <c r="I24" i="118" s="1"/>
  <c r="I25" i="118" s="1"/>
  <c r="I26" i="118" s="1"/>
  <c r="I27" i="118" s="1"/>
  <c r="I28" i="118" s="1"/>
  <c r="I29" i="118" s="1"/>
  <c r="I30" i="118" s="1"/>
  <c r="I31" i="118" s="1"/>
  <c r="I32" i="118" s="1"/>
  <c r="F119" i="115"/>
  <c r="F125" i="115" s="1"/>
  <c r="F8" i="115"/>
  <c r="F119" i="114"/>
  <c r="F129" i="114" s="1"/>
  <c r="F8" i="114"/>
  <c r="F119" i="112"/>
  <c r="F123" i="112" s="1"/>
  <c r="F8" i="112"/>
  <c r="F119" i="110"/>
  <c r="F123" i="110" s="1"/>
  <c r="F8" i="110"/>
  <c r="F152" i="115"/>
  <c r="F149" i="115"/>
  <c r="F142" i="115"/>
  <c r="F117" i="115"/>
  <c r="F27" i="115" s="1"/>
  <c r="F105" i="115"/>
  <c r="F104" i="115"/>
  <c r="I15" i="115"/>
  <c r="I16" i="115" s="1"/>
  <c r="F152" i="114"/>
  <c r="F149" i="114"/>
  <c r="F142" i="114"/>
  <c r="F117" i="114"/>
  <c r="F27" i="114" s="1"/>
  <c r="F104" i="114"/>
  <c r="I15" i="114"/>
  <c r="I16" i="114" s="1"/>
  <c r="F152" i="112"/>
  <c r="F149" i="112"/>
  <c r="F142" i="112"/>
  <c r="F117" i="112"/>
  <c r="F27" i="112" s="1"/>
  <c r="F105" i="112"/>
  <c r="F104" i="112"/>
  <c r="I15" i="112"/>
  <c r="I16" i="112" s="1"/>
  <c r="I17" i="112" s="1"/>
  <c r="F152" i="110"/>
  <c r="F149" i="110"/>
  <c r="F142" i="110"/>
  <c r="F117" i="110"/>
  <c r="F27" i="110" s="1"/>
  <c r="F104" i="110"/>
  <c r="I15" i="110"/>
  <c r="I16" i="110" s="1"/>
  <c r="I17" i="110" s="1"/>
  <c r="F119" i="107"/>
  <c r="F129" i="107" s="1"/>
  <c r="F8" i="107"/>
  <c r="F119" i="106"/>
  <c r="F129" i="106" s="1"/>
  <c r="F8" i="106"/>
  <c r="F119" i="105"/>
  <c r="F129" i="105" s="1"/>
  <c r="F8" i="105"/>
  <c r="F119" i="104"/>
  <c r="F129" i="104" s="1"/>
  <c r="F8" i="104"/>
  <c r="F152" i="107"/>
  <c r="F149" i="107"/>
  <c r="F142" i="107"/>
  <c r="F104" i="107"/>
  <c r="I15" i="107"/>
  <c r="I16" i="107" s="1"/>
  <c r="F152" i="106"/>
  <c r="F149" i="106"/>
  <c r="F142" i="106"/>
  <c r="F117" i="106"/>
  <c r="F27" i="106" s="1"/>
  <c r="F104" i="106"/>
  <c r="I15" i="106"/>
  <c r="I16" i="106" s="1"/>
  <c r="F152" i="105"/>
  <c r="F149" i="105"/>
  <c r="F142" i="105"/>
  <c r="F105" i="105"/>
  <c r="F104" i="105"/>
  <c r="I15" i="105"/>
  <c r="I16" i="105" s="1"/>
  <c r="I17" i="105" s="1"/>
  <c r="I18" i="105" s="1"/>
  <c r="I19" i="105" s="1"/>
  <c r="F152" i="104"/>
  <c r="F149" i="104"/>
  <c r="F142" i="104"/>
  <c r="F105" i="104"/>
  <c r="F104" i="104"/>
  <c r="I15" i="104"/>
  <c r="I16" i="104" s="1"/>
  <c r="I17" i="104" s="1"/>
  <c r="I18" i="104" s="1"/>
  <c r="F119" i="101"/>
  <c r="F123" i="101" s="1"/>
  <c r="F8" i="101"/>
  <c r="F119" i="99"/>
  <c r="F129" i="99" s="1"/>
  <c r="F8" i="99"/>
  <c r="F119" i="98"/>
  <c r="F123" i="98" s="1"/>
  <c r="F8" i="98"/>
  <c r="F152" i="101"/>
  <c r="F149" i="101"/>
  <c r="F142" i="101"/>
  <c r="F105" i="101"/>
  <c r="F104" i="101"/>
  <c r="I15" i="101"/>
  <c r="I16" i="101" s="1"/>
  <c r="F152" i="99"/>
  <c r="F149" i="99"/>
  <c r="F142" i="99"/>
  <c r="F104" i="99"/>
  <c r="I15" i="99"/>
  <c r="I16" i="99" s="1"/>
  <c r="I17" i="99" s="1"/>
  <c r="I18" i="99" s="1"/>
  <c r="F152" i="98"/>
  <c r="F149" i="98"/>
  <c r="F142" i="98"/>
  <c r="F105" i="98"/>
  <c r="F104" i="98"/>
  <c r="I15" i="98"/>
  <c r="I16" i="98" s="1"/>
  <c r="I17" i="98" s="1"/>
  <c r="I18" i="98" s="1"/>
  <c r="I19" i="98" s="1"/>
  <c r="I20" i="98" s="1"/>
  <c r="I21" i="98" s="1"/>
  <c r="I22" i="98" s="1"/>
  <c r="I23" i="98" s="1"/>
  <c r="I24" i="98" s="1"/>
  <c r="I25" i="98" s="1"/>
  <c r="I26" i="98" s="1"/>
  <c r="I27" i="98" s="1"/>
  <c r="I28" i="98" s="1"/>
  <c r="I29" i="98" s="1"/>
  <c r="I30" i="98" s="1"/>
  <c r="I31" i="98" s="1"/>
  <c r="I32" i="98" s="1"/>
  <c r="I33" i="98" s="1"/>
  <c r="I34" i="98" s="1"/>
  <c r="I35" i="98" s="1"/>
  <c r="I36" i="98" s="1"/>
  <c r="I37" i="98" s="1"/>
  <c r="I38" i="98" s="1"/>
  <c r="I39" i="98" s="1"/>
  <c r="I40" i="98" s="1"/>
  <c r="I41" i="98" s="1"/>
  <c r="I42" i="98" s="1"/>
  <c r="I43" i="98" s="1"/>
  <c r="I44" i="98" s="1"/>
  <c r="I45" i="98" s="1"/>
  <c r="I46" i="98" s="1"/>
  <c r="I47" i="98" s="1"/>
  <c r="I48" i="98" s="1"/>
  <c r="I49" i="98" s="1"/>
  <c r="I50" i="98" s="1"/>
  <c r="I51" i="98" s="1"/>
  <c r="I52" i="98" s="1"/>
  <c r="I53" i="98" s="1"/>
  <c r="I54" i="98" s="1"/>
  <c r="I55" i="98" s="1"/>
  <c r="I56" i="98" s="1"/>
  <c r="I57" i="98" s="1"/>
  <c r="I58" i="98" s="1"/>
  <c r="I59" i="98" s="1"/>
  <c r="I60" i="98" s="1"/>
  <c r="I61" i="98" s="1"/>
  <c r="I62" i="98" s="1"/>
  <c r="I63" i="98" s="1"/>
  <c r="I64" i="98" s="1"/>
  <c r="I65" i="98" s="1"/>
  <c r="I66" i="98" s="1"/>
  <c r="I67" i="98" s="1"/>
  <c r="I68" i="98" s="1"/>
  <c r="I69" i="98" s="1"/>
  <c r="I70" i="98" s="1"/>
  <c r="I71" i="98" s="1"/>
  <c r="I72" i="98" s="1"/>
  <c r="I73" i="98" s="1"/>
  <c r="I74" i="98" s="1"/>
  <c r="I75" i="98" s="1"/>
  <c r="I76" i="98" s="1"/>
  <c r="I77" i="98" s="1"/>
  <c r="I78" i="98" s="1"/>
  <c r="I79" i="98" s="1"/>
  <c r="I80" i="98" s="1"/>
  <c r="I81" i="98" s="1"/>
  <c r="I82" i="98" s="1"/>
  <c r="I83" i="98" s="1"/>
  <c r="I84" i="98" s="1"/>
  <c r="I85" i="98" s="1"/>
  <c r="I86" i="98" s="1"/>
  <c r="I87" i="98" s="1"/>
  <c r="I88" i="98" s="1"/>
  <c r="I89" i="98" s="1"/>
  <c r="I90" i="98" s="1"/>
  <c r="I91" i="98" s="1"/>
  <c r="I92" i="98" s="1"/>
  <c r="I93" i="98" s="1"/>
  <c r="I94" i="98" s="1"/>
  <c r="I95" i="98" s="1"/>
  <c r="I96" i="98" s="1"/>
  <c r="I97" i="98" s="1"/>
  <c r="I98" i="98" s="1"/>
  <c r="I99" i="98" s="1"/>
  <c r="I100" i="98" s="1"/>
  <c r="I101" i="98" s="1"/>
  <c r="I102" i="98" s="1"/>
  <c r="I103" i="98" s="1"/>
  <c r="I104" i="98" s="1"/>
  <c r="I105" i="98" s="1"/>
  <c r="I106" i="98" s="1"/>
  <c r="I107" i="98" s="1"/>
  <c r="I108" i="98" s="1"/>
  <c r="I109" i="98" s="1"/>
  <c r="I110" i="98" s="1"/>
  <c r="I111" i="98" s="1"/>
  <c r="I112" i="98" s="1"/>
  <c r="I113" i="98" s="1"/>
  <c r="I114" i="98" s="1"/>
  <c r="A8" i="7"/>
  <c r="A9" i="7" s="1"/>
  <c r="A10" i="7" s="1"/>
  <c r="A11" i="7" s="1"/>
  <c r="A12" i="7" s="1"/>
  <c r="A13" i="7" s="1"/>
  <c r="A14" i="7" s="1"/>
  <c r="A15" i="7" s="1"/>
  <c r="A16" i="7" s="1"/>
  <c r="A17" i="7" s="1"/>
  <c r="E13" i="7" s="1"/>
  <c r="T6" i="58"/>
  <c r="U6" i="58"/>
  <c r="A7" i="58"/>
  <c r="T7" i="58"/>
  <c r="U7" i="58"/>
  <c r="T8" i="58"/>
  <c r="U8" i="58"/>
  <c r="U9" i="58"/>
  <c r="F8" i="17"/>
  <c r="I15" i="17"/>
  <c r="K15" i="17" s="1"/>
  <c r="F104" i="17"/>
  <c r="F105" i="17"/>
  <c r="F117" i="17"/>
  <c r="F27" i="17" s="1"/>
  <c r="F119" i="17"/>
  <c r="F125" i="17" s="1"/>
  <c r="F142" i="17"/>
  <c r="F149" i="17"/>
  <c r="F152" i="17"/>
  <c r="F8" i="66"/>
  <c r="I15" i="66"/>
  <c r="K15" i="66" s="1"/>
  <c r="F104" i="66"/>
  <c r="F117" i="66"/>
  <c r="O15" i="66" s="1"/>
  <c r="F119" i="66"/>
  <c r="F125" i="66" s="1"/>
  <c r="F142" i="66"/>
  <c r="F149" i="66"/>
  <c r="F152" i="66"/>
  <c r="F8" i="15"/>
  <c r="I15" i="15"/>
  <c r="K15" i="15" s="1"/>
  <c r="F104" i="15"/>
  <c r="F117" i="15"/>
  <c r="F119" i="15"/>
  <c r="F125" i="15" s="1"/>
  <c r="F142" i="15"/>
  <c r="F149" i="15"/>
  <c r="F152" i="15"/>
  <c r="F8" i="64"/>
  <c r="I15" i="64"/>
  <c r="K15" i="64" s="1"/>
  <c r="F104" i="64"/>
  <c r="F105" i="64"/>
  <c r="F117" i="64"/>
  <c r="R15" i="64" s="1"/>
  <c r="T15" i="64" s="1"/>
  <c r="F119" i="64"/>
  <c r="F123" i="64" s="1"/>
  <c r="F142" i="64"/>
  <c r="F149" i="64"/>
  <c r="F152" i="64"/>
  <c r="F8" i="13"/>
  <c r="I15" i="13"/>
  <c r="K15" i="13" s="1"/>
  <c r="F104" i="13"/>
  <c r="F105" i="13"/>
  <c r="F117" i="13"/>
  <c r="F27" i="13" s="1"/>
  <c r="F119" i="13"/>
  <c r="F123" i="13" s="1"/>
  <c r="F142" i="13"/>
  <c r="F149" i="13"/>
  <c r="F152" i="13"/>
  <c r="F8" i="63"/>
  <c r="I15" i="63"/>
  <c r="F104" i="63"/>
  <c r="F105" i="63"/>
  <c r="F117" i="63"/>
  <c r="F27" i="63" s="1"/>
  <c r="F119" i="63"/>
  <c r="F124" i="63" s="1"/>
  <c r="F142" i="63"/>
  <c r="F149" i="63"/>
  <c r="F152" i="63"/>
  <c r="K15" i="98"/>
  <c r="K15" i="99"/>
  <c r="I18" i="120"/>
  <c r="I19" i="120" s="1"/>
  <c r="I20" i="120" s="1"/>
  <c r="I21" i="120" s="1"/>
  <c r="I22" i="120" s="1"/>
  <c r="I23" i="120" s="1"/>
  <c r="I24" i="120" s="1"/>
  <c r="I25" i="120" s="1"/>
  <c r="I26" i="120" s="1"/>
  <c r="I27" i="120" s="1"/>
  <c r="I28" i="120" s="1"/>
  <c r="I29" i="120" s="1"/>
  <c r="I30" i="120" s="1"/>
  <c r="I31" i="120" s="1"/>
  <c r="I32" i="120" s="1"/>
  <c r="I33" i="120" s="1"/>
  <c r="I34" i="120" s="1"/>
  <c r="I35" i="120" s="1"/>
  <c r="I36" i="120" s="1"/>
  <c r="I37" i="120" s="1"/>
  <c r="I38" i="120" s="1"/>
  <c r="I39" i="120" s="1"/>
  <c r="I40" i="120" s="1"/>
  <c r="I41" i="120" s="1"/>
  <c r="I42" i="120" s="1"/>
  <c r="I43" i="120" s="1"/>
  <c r="I44" i="120" s="1"/>
  <c r="I45" i="120" s="1"/>
  <c r="I46" i="120" s="1"/>
  <c r="I47" i="120" s="1"/>
  <c r="I48" i="120" s="1"/>
  <c r="I49" i="120" s="1"/>
  <c r="I50" i="120" s="1"/>
  <c r="I51" i="120" s="1"/>
  <c r="I52" i="120" s="1"/>
  <c r="I53" i="120" s="1"/>
  <c r="I54" i="120" s="1"/>
  <c r="I55" i="120" s="1"/>
  <c r="I56" i="120" s="1"/>
  <c r="I57" i="120" s="1"/>
  <c r="I58" i="120" s="1"/>
  <c r="I59" i="120" s="1"/>
  <c r="I60" i="120" s="1"/>
  <c r="I61" i="120" s="1"/>
  <c r="I62" i="120" s="1"/>
  <c r="I63" i="120" s="1"/>
  <c r="I64" i="120" s="1"/>
  <c r="I65" i="120" s="1"/>
  <c r="I66" i="120" s="1"/>
  <c r="I67" i="120" s="1"/>
  <c r="I68" i="120" s="1"/>
  <c r="I69" i="120" s="1"/>
  <c r="I70" i="120" s="1"/>
  <c r="I71" i="120" s="1"/>
  <c r="I72" i="120" s="1"/>
  <c r="I73" i="120" s="1"/>
  <c r="I74" i="120" s="1"/>
  <c r="I75" i="120" s="1"/>
  <c r="I76" i="120" s="1"/>
  <c r="I77" i="120" s="1"/>
  <c r="I78" i="120" s="1"/>
  <c r="I79" i="120" s="1"/>
  <c r="I80" i="120" s="1"/>
  <c r="I81" i="120" s="1"/>
  <c r="I82" i="120" s="1"/>
  <c r="I83" i="120" s="1"/>
  <c r="I84" i="120" s="1"/>
  <c r="I85" i="120" s="1"/>
  <c r="I86" i="120" s="1"/>
  <c r="I87" i="120" s="1"/>
  <c r="I88" i="120" s="1"/>
  <c r="I89" i="120" s="1"/>
  <c r="I90" i="120" s="1"/>
  <c r="I91" i="120" s="1"/>
  <c r="I92" i="120" s="1"/>
  <c r="I93" i="120" s="1"/>
  <c r="I94" i="120" s="1"/>
  <c r="I95" i="120" s="1"/>
  <c r="I96" i="120" s="1"/>
  <c r="I97" i="120" s="1"/>
  <c r="I98" i="120" s="1"/>
  <c r="I99" i="120" s="1"/>
  <c r="I100" i="120" s="1"/>
  <c r="I101" i="120" s="1"/>
  <c r="I102" i="120" s="1"/>
  <c r="I103" i="120" s="1"/>
  <c r="I104" i="120" s="1"/>
  <c r="I105" i="120" s="1"/>
  <c r="I106" i="120" s="1"/>
  <c r="I107" i="120" s="1"/>
  <c r="I108" i="120" s="1"/>
  <c r="I109" i="120" s="1"/>
  <c r="I110" i="120" s="1"/>
  <c r="I111" i="120" s="1"/>
  <c r="I112" i="120" s="1"/>
  <c r="I113" i="120" s="1"/>
  <c r="I114" i="120" s="1"/>
  <c r="K15" i="114"/>
  <c r="K15" i="115"/>
  <c r="K15" i="104"/>
  <c r="K15" i="105"/>
  <c r="K15" i="106"/>
  <c r="I17" i="107"/>
  <c r="I18" i="107" s="1"/>
  <c r="I19" i="107" s="1"/>
  <c r="K15" i="107"/>
  <c r="I17" i="135"/>
  <c r="I18" i="135" s="1"/>
  <c r="K15" i="135"/>
  <c r="M15" i="135" s="1"/>
  <c r="I17" i="136"/>
  <c r="I18" i="136" s="1"/>
  <c r="K15" i="136"/>
  <c r="K16" i="136" s="1"/>
  <c r="I17" i="132"/>
  <c r="I18" i="132" s="1"/>
  <c r="K15" i="132"/>
  <c r="K16" i="132" s="1"/>
  <c r="I17" i="133"/>
  <c r="I18" i="133" s="1"/>
  <c r="I19" i="133" s="1"/>
  <c r="I20" i="133" s="1"/>
  <c r="I21" i="133" s="1"/>
  <c r="I22" i="133" s="1"/>
  <c r="I23" i="133" s="1"/>
  <c r="K15" i="133"/>
  <c r="I17" i="129"/>
  <c r="I18" i="129" s="1"/>
  <c r="I19" i="129" s="1"/>
  <c r="I20" i="129" s="1"/>
  <c r="I21" i="129" s="1"/>
  <c r="I22" i="129" s="1"/>
  <c r="I23" i="129" s="1"/>
  <c r="I24" i="129" s="1"/>
  <c r="I25" i="129" s="1"/>
  <c r="I26" i="129" s="1"/>
  <c r="I27" i="129" s="1"/>
  <c r="I28" i="129" s="1"/>
  <c r="I29" i="129" s="1"/>
  <c r="I30" i="129" s="1"/>
  <c r="I31" i="129" s="1"/>
  <c r="I32" i="129" s="1"/>
  <c r="I33" i="129" s="1"/>
  <c r="I34" i="129" s="1"/>
  <c r="I35" i="129" s="1"/>
  <c r="I36" i="129" s="1"/>
  <c r="I37" i="129" s="1"/>
  <c r="I38" i="129" s="1"/>
  <c r="I39" i="129" s="1"/>
  <c r="I40" i="129" s="1"/>
  <c r="I41" i="129" s="1"/>
  <c r="I42" i="129" s="1"/>
  <c r="I43" i="129" s="1"/>
  <c r="I44" i="129" s="1"/>
  <c r="I45" i="129" s="1"/>
  <c r="I46" i="129" s="1"/>
  <c r="I47" i="129" s="1"/>
  <c r="I48" i="129" s="1"/>
  <c r="I49" i="129" s="1"/>
  <c r="I50" i="129" s="1"/>
  <c r="I51" i="129" s="1"/>
  <c r="I52" i="129" s="1"/>
  <c r="I53" i="129" s="1"/>
  <c r="I54" i="129" s="1"/>
  <c r="I55" i="129" s="1"/>
  <c r="I56" i="129" s="1"/>
  <c r="I57" i="129" s="1"/>
  <c r="I58" i="129" s="1"/>
  <c r="I59" i="129" s="1"/>
  <c r="I60" i="129" s="1"/>
  <c r="I61" i="129" s="1"/>
  <c r="I62" i="129" s="1"/>
  <c r="I63" i="129" s="1"/>
  <c r="I64" i="129" s="1"/>
  <c r="I65" i="129" s="1"/>
  <c r="I66" i="129" s="1"/>
  <c r="I67" i="129" s="1"/>
  <c r="I68" i="129" s="1"/>
  <c r="I69" i="129" s="1"/>
  <c r="I70" i="129" s="1"/>
  <c r="I71" i="129" s="1"/>
  <c r="I72" i="129" s="1"/>
  <c r="I73" i="129" s="1"/>
  <c r="I74" i="129" s="1"/>
  <c r="I75" i="129" s="1"/>
  <c r="I76" i="129" s="1"/>
  <c r="I77" i="129" s="1"/>
  <c r="I78" i="129" s="1"/>
  <c r="I79" i="129" s="1"/>
  <c r="I80" i="129" s="1"/>
  <c r="I81" i="129" s="1"/>
  <c r="I82" i="129" s="1"/>
  <c r="I83" i="129" s="1"/>
  <c r="K15" i="129"/>
  <c r="K16" i="129" s="1"/>
  <c r="I17" i="130"/>
  <c r="I18" i="130" s="1"/>
  <c r="I19" i="130" s="1"/>
  <c r="I20" i="130" s="1"/>
  <c r="I21" i="130" s="1"/>
  <c r="I22" i="130" s="1"/>
  <c r="I23" i="130" s="1"/>
  <c r="I24" i="130" s="1"/>
  <c r="I25" i="130" s="1"/>
  <c r="I26" i="130" s="1"/>
  <c r="I27" i="130" s="1"/>
  <c r="I28" i="130" s="1"/>
  <c r="I29" i="130" s="1"/>
  <c r="I30" i="130" s="1"/>
  <c r="I31" i="130" s="1"/>
  <c r="I32" i="130" s="1"/>
  <c r="I33" i="130" s="1"/>
  <c r="I34" i="130" s="1"/>
  <c r="I35" i="130" s="1"/>
  <c r="I36" i="130" s="1"/>
  <c r="I37" i="130" s="1"/>
  <c r="I38" i="130" s="1"/>
  <c r="I39" i="130" s="1"/>
  <c r="I40" i="130" s="1"/>
  <c r="I41" i="130" s="1"/>
  <c r="I42" i="130" s="1"/>
  <c r="I43" i="130" s="1"/>
  <c r="I44" i="130" s="1"/>
  <c r="I45" i="130" s="1"/>
  <c r="I46" i="130" s="1"/>
  <c r="I47" i="130" s="1"/>
  <c r="I48" i="130" s="1"/>
  <c r="I49" i="130" s="1"/>
  <c r="I50" i="130" s="1"/>
  <c r="I51" i="130" s="1"/>
  <c r="I52" i="130" s="1"/>
  <c r="I53" i="130" s="1"/>
  <c r="I54" i="130" s="1"/>
  <c r="I55" i="130" s="1"/>
  <c r="I56" i="130" s="1"/>
  <c r="I57" i="130" s="1"/>
  <c r="I58" i="130" s="1"/>
  <c r="I59" i="130" s="1"/>
  <c r="I60" i="130" s="1"/>
  <c r="I61" i="130" s="1"/>
  <c r="I62" i="130" s="1"/>
  <c r="I63" i="130" s="1"/>
  <c r="I64" i="130" s="1"/>
  <c r="I65" i="130" s="1"/>
  <c r="I66" i="130" s="1"/>
  <c r="I67" i="130" s="1"/>
  <c r="I68" i="130" s="1"/>
  <c r="I69" i="130" s="1"/>
  <c r="I70" i="130" s="1"/>
  <c r="I71" i="130" s="1"/>
  <c r="I72" i="130" s="1"/>
  <c r="I73" i="130" s="1"/>
  <c r="I74" i="130" s="1"/>
  <c r="I75" i="130" s="1"/>
  <c r="I76" i="130" s="1"/>
  <c r="I77" i="130" s="1"/>
  <c r="I78" i="130" s="1"/>
  <c r="I79" i="130" s="1"/>
  <c r="I80" i="130" s="1"/>
  <c r="I81" i="130" s="1"/>
  <c r="I82" i="130" s="1"/>
  <c r="I83" i="130" s="1"/>
  <c r="I84" i="130" s="1"/>
  <c r="I85" i="130" s="1"/>
  <c r="I86" i="130" s="1"/>
  <c r="I87" i="130" s="1"/>
  <c r="I88" i="130" s="1"/>
  <c r="I89" i="130" s="1"/>
  <c r="I90" i="130" s="1"/>
  <c r="I91" i="130" s="1"/>
  <c r="I92" i="130" s="1"/>
  <c r="I93" i="130" s="1"/>
  <c r="I94" i="130" s="1"/>
  <c r="I95" i="130" s="1"/>
  <c r="I96" i="130" s="1"/>
  <c r="I97" i="130" s="1"/>
  <c r="I98" i="130" s="1"/>
  <c r="I99" i="130" s="1"/>
  <c r="I100" i="130" s="1"/>
  <c r="I101" i="130" s="1"/>
  <c r="I102" i="130" s="1"/>
  <c r="I103" i="130" s="1"/>
  <c r="I104" i="130" s="1"/>
  <c r="I105" i="130" s="1"/>
  <c r="I106" i="130" s="1"/>
  <c r="I107" i="130" s="1"/>
  <c r="I108" i="130" s="1"/>
  <c r="I109" i="130" s="1"/>
  <c r="I110" i="130" s="1"/>
  <c r="I111" i="130" s="1"/>
  <c r="I112" i="130" s="1"/>
  <c r="I113" i="130" s="1"/>
  <c r="I114" i="130" s="1"/>
  <c r="K15" i="130"/>
  <c r="K16" i="135"/>
  <c r="K16" i="130"/>
  <c r="BN16" i="130" s="1"/>
  <c r="BO16" i="130" s="1"/>
  <c r="I84" i="129"/>
  <c r="I85" i="129" s="1"/>
  <c r="I86" i="129" s="1"/>
  <c r="I87" i="129" s="1"/>
  <c r="I88" i="129" s="1"/>
  <c r="I89" i="129" s="1"/>
  <c r="I90" i="129" s="1"/>
  <c r="I91" i="129" s="1"/>
  <c r="I92" i="129" s="1"/>
  <c r="I93" i="129" s="1"/>
  <c r="I94" i="129" s="1"/>
  <c r="I95" i="129" s="1"/>
  <c r="I96" i="129" s="1"/>
  <c r="I97" i="129" s="1"/>
  <c r="I98" i="129" s="1"/>
  <c r="I99" i="129" s="1"/>
  <c r="I100" i="129" s="1"/>
  <c r="I101" i="129" s="1"/>
  <c r="I102" i="129" s="1"/>
  <c r="I103" i="129" s="1"/>
  <c r="I104" i="129" s="1"/>
  <c r="I105" i="129" s="1"/>
  <c r="I106" i="129" s="1"/>
  <c r="I107" i="129" s="1"/>
  <c r="I108" i="129" s="1"/>
  <c r="I109" i="129" s="1"/>
  <c r="I110" i="129" s="1"/>
  <c r="I111" i="129" s="1"/>
  <c r="I112" i="129" s="1"/>
  <c r="I113" i="129" s="1"/>
  <c r="I114" i="129" s="1"/>
  <c r="I17" i="126"/>
  <c r="K15" i="126"/>
  <c r="I17" i="124"/>
  <c r="K15" i="124"/>
  <c r="K16" i="124" s="1"/>
  <c r="K17" i="124" s="1"/>
  <c r="I18" i="126"/>
  <c r="I19" i="126" s="1"/>
  <c r="I20" i="126" s="1"/>
  <c r="I18" i="124"/>
  <c r="I19" i="124" s="1"/>
  <c r="I20" i="124" s="1"/>
  <c r="I21" i="124" s="1"/>
  <c r="I22" i="124" s="1"/>
  <c r="I23" i="124" s="1"/>
  <c r="I24" i="124" s="1"/>
  <c r="I25" i="124" s="1"/>
  <c r="I26" i="124" s="1"/>
  <c r="I27" i="124" s="1"/>
  <c r="I28" i="124" s="1"/>
  <c r="I29" i="124" s="1"/>
  <c r="I30" i="124" s="1"/>
  <c r="I31" i="124" s="1"/>
  <c r="I32" i="124" s="1"/>
  <c r="I33" i="124" s="1"/>
  <c r="I34" i="124" s="1"/>
  <c r="I35" i="124" s="1"/>
  <c r="I36" i="124" s="1"/>
  <c r="I37" i="124" s="1"/>
  <c r="I38" i="124" s="1"/>
  <c r="I39" i="124" s="1"/>
  <c r="I40" i="124" s="1"/>
  <c r="I41" i="124" s="1"/>
  <c r="I42" i="124" s="1"/>
  <c r="I43" i="124" s="1"/>
  <c r="I44" i="124" s="1"/>
  <c r="I45" i="124" s="1"/>
  <c r="I46" i="124" s="1"/>
  <c r="I47" i="124" s="1"/>
  <c r="I48" i="124" s="1"/>
  <c r="I49" i="124" s="1"/>
  <c r="I50" i="124" s="1"/>
  <c r="I51" i="124" s="1"/>
  <c r="I52" i="124" s="1"/>
  <c r="I53" i="124" s="1"/>
  <c r="I54" i="124" s="1"/>
  <c r="I55" i="124" s="1"/>
  <c r="I56" i="124" s="1"/>
  <c r="I57" i="124" s="1"/>
  <c r="I58" i="124" s="1"/>
  <c r="I59" i="124" s="1"/>
  <c r="I60" i="124" s="1"/>
  <c r="I61" i="124" s="1"/>
  <c r="I62" i="124" s="1"/>
  <c r="I63" i="124" s="1"/>
  <c r="I64" i="124" s="1"/>
  <c r="I65" i="124" s="1"/>
  <c r="I66" i="124" s="1"/>
  <c r="I67" i="124" s="1"/>
  <c r="I68" i="124" s="1"/>
  <c r="I69" i="124" s="1"/>
  <c r="I70" i="124" s="1"/>
  <c r="I71" i="124" s="1"/>
  <c r="I72" i="124" s="1"/>
  <c r="I73" i="124" s="1"/>
  <c r="I74" i="124" s="1"/>
  <c r="I75" i="124" s="1"/>
  <c r="I76" i="124" s="1"/>
  <c r="I77" i="124" s="1"/>
  <c r="I78" i="124" s="1"/>
  <c r="I79" i="124" s="1"/>
  <c r="I80" i="124" s="1"/>
  <c r="I81" i="124" s="1"/>
  <c r="I82" i="124" s="1"/>
  <c r="I83" i="124" s="1"/>
  <c r="I84" i="124" s="1"/>
  <c r="I85" i="124" s="1"/>
  <c r="I86" i="124" s="1"/>
  <c r="I87" i="124" s="1"/>
  <c r="I88" i="124" s="1"/>
  <c r="I89" i="124" s="1"/>
  <c r="I90" i="124" s="1"/>
  <c r="I91" i="124" s="1"/>
  <c r="I92" i="124" s="1"/>
  <c r="I93" i="124" s="1"/>
  <c r="I94" i="124" s="1"/>
  <c r="I95" i="124" s="1"/>
  <c r="I96" i="124" s="1"/>
  <c r="I97" i="124" s="1"/>
  <c r="I98" i="124" s="1"/>
  <c r="I99" i="124" s="1"/>
  <c r="I100" i="124" s="1"/>
  <c r="I101" i="124" s="1"/>
  <c r="I102" i="124" s="1"/>
  <c r="I103" i="124" s="1"/>
  <c r="I104" i="124" s="1"/>
  <c r="I105" i="124" s="1"/>
  <c r="I106" i="124" s="1"/>
  <c r="I107" i="124" s="1"/>
  <c r="I108" i="124" s="1"/>
  <c r="I109" i="124" s="1"/>
  <c r="I110" i="124" s="1"/>
  <c r="I111" i="124" s="1"/>
  <c r="I112" i="124" s="1"/>
  <c r="I113" i="124" s="1"/>
  <c r="I114" i="124" s="1"/>
  <c r="I17" i="95"/>
  <c r="F27" i="64"/>
  <c r="R15" i="130"/>
  <c r="T15" i="130" s="1"/>
  <c r="O15" i="63"/>
  <c r="O15" i="115"/>
  <c r="O15" i="106"/>
  <c r="O15" i="136"/>
  <c r="R15" i="136"/>
  <c r="T15" i="136"/>
  <c r="F14" i="15"/>
  <c r="F133" i="15" s="1"/>
  <c r="F134" i="15" s="1"/>
  <c r="D17" i="10"/>
  <c r="F133" i="130"/>
  <c r="R15" i="133"/>
  <c r="T15" i="133" s="1"/>
  <c r="R15" i="112"/>
  <c r="T15" i="112" s="1"/>
  <c r="O15" i="130"/>
  <c r="O15" i="133"/>
  <c r="R15" i="115"/>
  <c r="T15" i="115" s="1"/>
  <c r="O15" i="124"/>
  <c r="O15" i="13"/>
  <c r="R15" i="13"/>
  <c r="T15" i="13" s="1"/>
  <c r="R15" i="63"/>
  <c r="T15" i="63" s="1"/>
  <c r="AL117" i="17"/>
  <c r="AF117" i="15"/>
  <c r="AO117" i="13"/>
  <c r="AW117" i="13"/>
  <c r="BE117" i="13"/>
  <c r="Z117" i="13"/>
  <c r="AF117" i="13"/>
  <c r="BB117" i="13"/>
  <c r="BH117" i="13"/>
  <c r="R15" i="106"/>
  <c r="BB117" i="130"/>
  <c r="AL117" i="130"/>
  <c r="BO118" i="101"/>
  <c r="R15" i="124"/>
  <c r="T15" i="124" s="1"/>
  <c r="BO119" i="101"/>
  <c r="T15" i="106"/>
  <c r="BK117" i="13"/>
  <c r="BL117" i="13"/>
  <c r="BO117" i="13"/>
  <c r="BJ113" i="13"/>
  <c r="BJ112" i="13"/>
  <c r="BK110" i="13"/>
  <c r="BJ108" i="13"/>
  <c r="BK106" i="13"/>
  <c r="BJ105" i="13"/>
  <c r="BK102" i="13"/>
  <c r="BJ101" i="13"/>
  <c r="BJ100" i="13"/>
  <c r="BJ97" i="13"/>
  <c r="BJ96" i="13"/>
  <c r="BK94" i="13"/>
  <c r="BJ92" i="13"/>
  <c r="BK90" i="13"/>
  <c r="BJ89" i="13"/>
  <c r="BK86" i="13"/>
  <c r="BJ85" i="13"/>
  <c r="BJ84" i="13"/>
  <c r="BJ81" i="13"/>
  <c r="BJ80" i="13"/>
  <c r="BK78" i="13"/>
  <c r="BJ76" i="13"/>
  <c r="BK74" i="13"/>
  <c r="BJ73" i="13"/>
  <c r="BK70" i="13"/>
  <c r="BJ69" i="13"/>
  <c r="BJ68" i="13"/>
  <c r="BJ65" i="13"/>
  <c r="BJ64" i="13"/>
  <c r="BK62" i="13"/>
  <c r="BJ60" i="13"/>
  <c r="BK58" i="13"/>
  <c r="BJ57" i="13"/>
  <c r="BK54" i="13"/>
  <c r="BJ53" i="13"/>
  <c r="BJ52" i="13"/>
  <c r="BJ49" i="13"/>
  <c r="BJ48" i="13"/>
  <c r="BK46" i="13"/>
  <c r="BJ44" i="13"/>
  <c r="BK42" i="13"/>
  <c r="BJ41" i="13"/>
  <c r="BK38" i="13"/>
  <c r="BJ37" i="13"/>
  <c r="BJ36" i="13"/>
  <c r="BJ33" i="13"/>
  <c r="BJ32" i="13"/>
  <c r="BK30" i="13"/>
  <c r="BJ28" i="13"/>
  <c r="BK26" i="13"/>
  <c r="BJ25" i="13"/>
  <c r="BK22" i="13"/>
  <c r="BJ21" i="13"/>
  <c r="BJ20" i="13"/>
  <c r="BJ17" i="13"/>
  <c r="BK15" i="13"/>
  <c r="BK113" i="13"/>
  <c r="BJ111" i="13"/>
  <c r="BJ110" i="13"/>
  <c r="BJ107" i="13"/>
  <c r="BJ106" i="13"/>
  <c r="BK105" i="13"/>
  <c r="BJ102" i="13"/>
  <c r="BK101" i="13"/>
  <c r="BJ99" i="13"/>
  <c r="BK97" i="13"/>
  <c r="BJ95" i="13"/>
  <c r="BJ94" i="13"/>
  <c r="BJ91" i="13"/>
  <c r="BJ90" i="13"/>
  <c r="BK89" i="13"/>
  <c r="BJ86" i="13"/>
  <c r="BK85" i="13"/>
  <c r="BJ83" i="13"/>
  <c r="BK81" i="13"/>
  <c r="BJ79" i="13"/>
  <c r="BJ78" i="13"/>
  <c r="BJ75" i="13"/>
  <c r="BJ74" i="13"/>
  <c r="BK73" i="13"/>
  <c r="BJ70" i="13"/>
  <c r="BK69" i="13"/>
  <c r="BJ67" i="13"/>
  <c r="BK65" i="13"/>
  <c r="BJ63" i="13"/>
  <c r="BJ62" i="13"/>
  <c r="BJ59" i="13"/>
  <c r="BJ58" i="13"/>
  <c r="BK57" i="13"/>
  <c r="BJ54" i="13"/>
  <c r="BK53" i="13"/>
  <c r="BJ51" i="13"/>
  <c r="BK49" i="13"/>
  <c r="BJ47" i="13"/>
  <c r="BJ46" i="13"/>
  <c r="BJ43" i="13"/>
  <c r="BJ42" i="13"/>
  <c r="BK41" i="13"/>
  <c r="BJ38" i="13"/>
  <c r="BK37" i="13"/>
  <c r="BJ35" i="13"/>
  <c r="BK33" i="13"/>
  <c r="BJ31" i="13"/>
  <c r="BJ30" i="13"/>
  <c r="BJ27" i="13"/>
  <c r="BJ26" i="13"/>
  <c r="BK25" i="13"/>
  <c r="BJ22" i="13"/>
  <c r="BK21" i="13"/>
  <c r="BJ19" i="13"/>
  <c r="BK17" i="13"/>
  <c r="BN15" i="13"/>
  <c r="BO15" i="13" s="1"/>
  <c r="BJ15" i="13"/>
  <c r="BL15" i="13" s="1"/>
  <c r="BK113" i="17"/>
  <c r="BK102" i="17"/>
  <c r="BJ92" i="17"/>
  <c r="BK81" i="17"/>
  <c r="BK70" i="17"/>
  <c r="BJ60" i="17"/>
  <c r="BK49" i="17"/>
  <c r="BK38" i="17"/>
  <c r="BJ28" i="17"/>
  <c r="BK19" i="17"/>
  <c r="BK112" i="17"/>
  <c r="BK104" i="17"/>
  <c r="BK96" i="17"/>
  <c r="BK88" i="17"/>
  <c r="BK80" i="17"/>
  <c r="BK72" i="17"/>
  <c r="BK64" i="17"/>
  <c r="BK56" i="17"/>
  <c r="BK48" i="17"/>
  <c r="BJ41" i="17"/>
  <c r="BK35" i="17"/>
  <c r="BJ29" i="17"/>
  <c r="BJ23" i="17"/>
  <c r="BJ17" i="17"/>
  <c r="BJ97" i="129"/>
  <c r="BJ33" i="129"/>
  <c r="BK71" i="129"/>
  <c r="BK94" i="133"/>
  <c r="BK70" i="133"/>
  <c r="BK46" i="133"/>
  <c r="BK22" i="133"/>
  <c r="BK99" i="133"/>
  <c r="BK75" i="133"/>
  <c r="BK51" i="133"/>
  <c r="BK27" i="133"/>
  <c r="BK69" i="96"/>
  <c r="BK37" i="96"/>
  <c r="BJ58" i="96"/>
  <c r="BJ42" i="96"/>
  <c r="BK54" i="63"/>
  <c r="BJ100" i="15"/>
  <c r="BJ84" i="15"/>
  <c r="BJ68" i="15"/>
  <c r="BJ52" i="15"/>
  <c r="BJ36" i="15"/>
  <c r="BJ20" i="15"/>
  <c r="BJ105" i="15"/>
  <c r="BJ89" i="15"/>
  <c r="BJ73" i="15"/>
  <c r="BJ57" i="15"/>
  <c r="BJ46" i="15"/>
  <c r="BJ42" i="15"/>
  <c r="BJ38" i="15"/>
  <c r="BJ34" i="15"/>
  <c r="BJ30" i="15"/>
  <c r="BJ26" i="15"/>
  <c r="BJ22" i="15"/>
  <c r="BJ18" i="15"/>
  <c r="BJ47" i="66"/>
  <c r="BK112" i="66"/>
  <c r="BK80" i="66"/>
  <c r="BJ48" i="66"/>
  <c r="BJ16" i="66"/>
  <c r="BK114" i="130"/>
  <c r="BK113" i="130"/>
  <c r="BJ112" i="130"/>
  <c r="BK111" i="130"/>
  <c r="BJ110" i="130"/>
  <c r="BK109" i="130"/>
  <c r="BJ108" i="130"/>
  <c r="BK107" i="130"/>
  <c r="BJ106" i="130"/>
  <c r="BK105" i="130"/>
  <c r="BJ104" i="130"/>
  <c r="BK103" i="130"/>
  <c r="BJ102" i="130"/>
  <c r="BK101" i="130"/>
  <c r="BJ100" i="130"/>
  <c r="BK99" i="130"/>
  <c r="BJ98" i="130"/>
  <c r="BK97" i="130"/>
  <c r="BJ96" i="130"/>
  <c r="BK95" i="130"/>
  <c r="BJ94" i="130"/>
  <c r="BK93" i="130"/>
  <c r="BJ92" i="130"/>
  <c r="BK91" i="130"/>
  <c r="BJ90" i="130"/>
  <c r="BK89" i="130"/>
  <c r="BJ88" i="130"/>
  <c r="BK87" i="130"/>
  <c r="BJ86" i="130"/>
  <c r="BK85" i="130"/>
  <c r="BJ84" i="130"/>
  <c r="BK83" i="130"/>
  <c r="BJ82" i="130"/>
  <c r="BK81" i="130"/>
  <c r="BJ80" i="130"/>
  <c r="BK79" i="130"/>
  <c r="BJ78" i="130"/>
  <c r="BK77" i="130"/>
  <c r="BJ76" i="130"/>
  <c r="BK75" i="130"/>
  <c r="BJ74" i="130"/>
  <c r="BK73" i="130"/>
  <c r="BJ72" i="130"/>
  <c r="BK71" i="130"/>
  <c r="BJ70" i="130"/>
  <c r="BK69" i="130"/>
  <c r="BJ68" i="130"/>
  <c r="BK67" i="130"/>
  <c r="BJ66" i="130"/>
  <c r="BK65" i="130"/>
  <c r="BJ64" i="130"/>
  <c r="BK63" i="130"/>
  <c r="BJ62" i="130"/>
  <c r="BK61" i="130"/>
  <c r="BJ60" i="130"/>
  <c r="BK59" i="130"/>
  <c r="BJ58" i="130"/>
  <c r="BK57" i="130"/>
  <c r="BJ56" i="130"/>
  <c r="BK55" i="130"/>
  <c r="BJ54" i="130"/>
  <c r="BK53" i="130"/>
  <c r="BJ52" i="130"/>
  <c r="BK51" i="130"/>
  <c r="BJ50" i="130"/>
  <c r="BK49" i="130"/>
  <c r="BJ48" i="130"/>
  <c r="BK47" i="130"/>
  <c r="BJ46" i="130"/>
  <c r="BK45" i="130"/>
  <c r="BJ44" i="130"/>
  <c r="BK43" i="130"/>
  <c r="BJ42" i="130"/>
  <c r="BK41" i="130"/>
  <c r="BJ40" i="130"/>
  <c r="BK39" i="130"/>
  <c r="BJ38" i="130"/>
  <c r="BK37" i="130"/>
  <c r="BJ36" i="130"/>
  <c r="BK35" i="130"/>
  <c r="BJ34" i="130"/>
  <c r="BK33" i="130"/>
  <c r="BJ32" i="130"/>
  <c r="BK31" i="130"/>
  <c r="BJ30" i="130"/>
  <c r="BK29" i="130"/>
  <c r="BJ28" i="130"/>
  <c r="BK27" i="130"/>
  <c r="BJ26" i="130"/>
  <c r="BK25" i="130"/>
  <c r="BJ24" i="130"/>
  <c r="BK23" i="130"/>
  <c r="BJ22" i="130"/>
  <c r="BK21" i="130"/>
  <c r="BJ20" i="130"/>
  <c r="BK19" i="130"/>
  <c r="BJ18" i="130"/>
  <c r="BK17" i="130"/>
  <c r="BJ16" i="130"/>
  <c r="BL16" i="130" s="1"/>
  <c r="BK15" i="130"/>
  <c r="BJ114" i="130"/>
  <c r="BJ113" i="130"/>
  <c r="BK112" i="130"/>
  <c r="BJ111" i="130"/>
  <c r="BK110" i="130"/>
  <c r="BJ109" i="130"/>
  <c r="BK108" i="130"/>
  <c r="BJ107" i="130"/>
  <c r="BK106" i="130"/>
  <c r="BJ105" i="130"/>
  <c r="BK104" i="130"/>
  <c r="BJ103" i="130"/>
  <c r="BK102" i="130"/>
  <c r="BJ101" i="130"/>
  <c r="BK100" i="130"/>
  <c r="BJ99" i="130"/>
  <c r="BK98" i="130"/>
  <c r="BJ97" i="130"/>
  <c r="BK96" i="130"/>
  <c r="BJ95" i="130"/>
  <c r="BK94" i="130"/>
  <c r="BJ93" i="130"/>
  <c r="BK92" i="130"/>
  <c r="BJ91" i="130"/>
  <c r="BK90" i="130"/>
  <c r="BJ89" i="130"/>
  <c r="BK88" i="130"/>
  <c r="BJ87" i="130"/>
  <c r="BK86" i="130"/>
  <c r="BJ85" i="130"/>
  <c r="BK84" i="130"/>
  <c r="BJ83" i="130"/>
  <c r="BK82" i="130"/>
  <c r="BJ81" i="130"/>
  <c r="BK80" i="130"/>
  <c r="BJ79" i="130"/>
  <c r="BK78" i="130"/>
  <c r="BJ77" i="130"/>
  <c r="BK76" i="130"/>
  <c r="BJ75" i="130"/>
  <c r="BK74" i="130"/>
  <c r="BJ73" i="130"/>
  <c r="BK72" i="130"/>
  <c r="BJ71" i="130"/>
  <c r="BK70" i="130"/>
  <c r="BJ69" i="130"/>
  <c r="BK68" i="130"/>
  <c r="BJ67" i="130"/>
  <c r="BK66" i="130"/>
  <c r="BJ65" i="130"/>
  <c r="BK64" i="130"/>
  <c r="BJ63" i="130"/>
  <c r="BK62" i="130"/>
  <c r="BJ61" i="130"/>
  <c r="BK60" i="130"/>
  <c r="BJ59" i="130"/>
  <c r="BK58" i="130"/>
  <c r="BJ57" i="130"/>
  <c r="BK56" i="130"/>
  <c r="BJ55" i="130"/>
  <c r="BK54" i="130"/>
  <c r="BJ53" i="130"/>
  <c r="BK52" i="130"/>
  <c r="BJ51" i="130"/>
  <c r="BK50" i="130"/>
  <c r="BJ49" i="130"/>
  <c r="BK48" i="130"/>
  <c r="BJ47" i="130"/>
  <c r="BK46" i="130"/>
  <c r="BJ45" i="130"/>
  <c r="BK44" i="130"/>
  <c r="BJ43" i="130"/>
  <c r="BK42" i="130"/>
  <c r="BJ41" i="130"/>
  <c r="BK40" i="130"/>
  <c r="BJ39" i="130"/>
  <c r="BK38" i="130"/>
  <c r="BJ37" i="130"/>
  <c r="BK36" i="130"/>
  <c r="BJ35" i="130"/>
  <c r="BK34" i="130"/>
  <c r="BJ33" i="130"/>
  <c r="BK32" i="130"/>
  <c r="BJ31" i="130"/>
  <c r="BK30" i="130"/>
  <c r="BJ29" i="130"/>
  <c r="BK28" i="130"/>
  <c r="BJ27" i="130"/>
  <c r="BK26" i="130"/>
  <c r="BJ25" i="130"/>
  <c r="BK24" i="130"/>
  <c r="BJ23" i="130"/>
  <c r="BK22" i="130"/>
  <c r="BJ21" i="130"/>
  <c r="BK20" i="130"/>
  <c r="BJ19" i="130"/>
  <c r="BK18" i="130"/>
  <c r="BJ17" i="130"/>
  <c r="BK16" i="130"/>
  <c r="BN15" i="130"/>
  <c r="BO15" i="130" s="1"/>
  <c r="BJ15" i="130"/>
  <c r="BL15" i="130" s="1"/>
  <c r="BJ86" i="136"/>
  <c r="BJ114" i="132"/>
  <c r="BJ106" i="132"/>
  <c r="BJ98" i="132"/>
  <c r="BJ90" i="132"/>
  <c r="BJ82" i="132"/>
  <c r="BJ74" i="132"/>
  <c r="BJ71" i="132"/>
  <c r="BK69" i="132"/>
  <c r="BJ66" i="132"/>
  <c r="BJ63" i="132"/>
  <c r="BK61" i="132"/>
  <c r="BJ58" i="132"/>
  <c r="BJ55" i="132"/>
  <c r="BK53" i="132"/>
  <c r="BJ50" i="132"/>
  <c r="BJ47" i="132"/>
  <c r="BK45" i="132"/>
  <c r="BJ42" i="132"/>
  <c r="BJ39" i="132"/>
  <c r="BK37" i="132"/>
  <c r="BJ34" i="132"/>
  <c r="BK29" i="132"/>
  <c r="BJ27" i="132"/>
  <c r="BJ15" i="132"/>
  <c r="BL15" i="132" s="1"/>
  <c r="BJ113" i="132"/>
  <c r="BK111" i="132"/>
  <c r="BJ109" i="132"/>
  <c r="BK107" i="132"/>
  <c r="BJ105" i="132"/>
  <c r="BK103" i="132"/>
  <c r="BJ101" i="132"/>
  <c r="BK99" i="132"/>
  <c r="BJ97" i="132"/>
  <c r="BJ96" i="132"/>
  <c r="BK95" i="132"/>
  <c r="BK94" i="132"/>
  <c r="BJ93" i="132"/>
  <c r="BJ92" i="132"/>
  <c r="BK91" i="132"/>
  <c r="BK90" i="132"/>
  <c r="BJ89" i="132"/>
  <c r="BJ88" i="132"/>
  <c r="BK87" i="132"/>
  <c r="BK86" i="132"/>
  <c r="BJ85" i="132"/>
  <c r="BJ84" i="132"/>
  <c r="BK83" i="132"/>
  <c r="BK82" i="132"/>
  <c r="BJ81" i="132"/>
  <c r="BJ80" i="132"/>
  <c r="BK79" i="132"/>
  <c r="BK78" i="132"/>
  <c r="BJ77" i="132"/>
  <c r="BJ76" i="132"/>
  <c r="BK75" i="132"/>
  <c r="BK74" i="132"/>
  <c r="BJ73" i="132"/>
  <c r="BJ72" i="132"/>
  <c r="BK71" i="132"/>
  <c r="BK70" i="132"/>
  <c r="BJ69" i="132"/>
  <c r="BJ68" i="132"/>
  <c r="BK67" i="132"/>
  <c r="BK66" i="132"/>
  <c r="BJ65" i="132"/>
  <c r="BJ64" i="132"/>
  <c r="BK63" i="132"/>
  <c r="BK62" i="132"/>
  <c r="BJ61" i="132"/>
  <c r="BJ60" i="132"/>
  <c r="BK59" i="132"/>
  <c r="BK58" i="132"/>
  <c r="BJ57" i="132"/>
  <c r="BJ56" i="132"/>
  <c r="BK55" i="132"/>
  <c r="BK54" i="132"/>
  <c r="BJ53" i="132"/>
  <c r="BJ52" i="132"/>
  <c r="BK51" i="132"/>
  <c r="BK50" i="132"/>
  <c r="BJ49" i="132"/>
  <c r="BJ48" i="132"/>
  <c r="BK47" i="132"/>
  <c r="BK46" i="132"/>
  <c r="BJ45" i="132"/>
  <c r="BJ44" i="132"/>
  <c r="BK43" i="132"/>
  <c r="BK42" i="132"/>
  <c r="BJ41" i="132"/>
  <c r="BJ40" i="132"/>
  <c r="BK39" i="132"/>
  <c r="BK38" i="132"/>
  <c r="BJ37" i="132"/>
  <c r="BJ36" i="132"/>
  <c r="BK35" i="132"/>
  <c r="BK34" i="132"/>
  <c r="BJ33" i="132"/>
  <c r="BJ32" i="132"/>
  <c r="BK31" i="132"/>
  <c r="BK30" i="132"/>
  <c r="BJ29" i="132"/>
  <c r="BJ28" i="132"/>
  <c r="BK27" i="132"/>
  <c r="BK26" i="132"/>
  <c r="BJ25" i="132"/>
  <c r="BJ24" i="132"/>
  <c r="BK23" i="132"/>
  <c r="BK22" i="132"/>
  <c r="BJ21" i="132"/>
  <c r="BJ20" i="132"/>
  <c r="BK19" i="132"/>
  <c r="BK18" i="132"/>
  <c r="BJ17" i="132"/>
  <c r="BN16" i="132"/>
  <c r="BO16" i="132" s="1"/>
  <c r="BJ16" i="132"/>
  <c r="BL16" i="132" s="1"/>
  <c r="BK15" i="132"/>
  <c r="BJ31" i="132"/>
  <c r="BJ30" i="132"/>
  <c r="BK25" i="132"/>
  <c r="BK24" i="132"/>
  <c r="BJ23" i="132"/>
  <c r="BJ22" i="132"/>
  <c r="BK21" i="132"/>
  <c r="BK20" i="132"/>
  <c r="BJ19" i="132"/>
  <c r="BK17" i="132"/>
  <c r="BK16" i="132"/>
  <c r="BN15" i="132"/>
  <c r="BO15" i="132" s="1"/>
  <c r="BL116" i="120"/>
  <c r="BL116" i="118"/>
  <c r="BK116" i="118"/>
  <c r="BK116" i="120"/>
  <c r="BO116" i="101"/>
  <c r="I16" i="64"/>
  <c r="I17" i="64" s="1"/>
  <c r="K16" i="64"/>
  <c r="I47" i="58"/>
  <c r="Y47" i="58" s="1"/>
  <c r="I33" i="58"/>
  <c r="I23" i="58"/>
  <c r="I19" i="58"/>
  <c r="I42" i="58"/>
  <c r="Y42" i="58" s="1"/>
  <c r="I38" i="58"/>
  <c r="I32" i="58"/>
  <c r="Y32" i="58" s="1"/>
  <c r="I22" i="58"/>
  <c r="H27" i="58"/>
  <c r="H22" i="58"/>
  <c r="E18" i="7"/>
  <c r="E24" i="7"/>
  <c r="E26" i="7"/>
  <c r="E32" i="7"/>
  <c r="E34" i="7"/>
  <c r="E40" i="7"/>
  <c r="E42" i="7"/>
  <c r="E48" i="7"/>
  <c r="E50" i="7"/>
  <c r="E56" i="7"/>
  <c r="E58" i="7"/>
  <c r="E65" i="7"/>
  <c r="E67" i="7"/>
  <c r="E23" i="7"/>
  <c r="E25" i="7"/>
  <c r="E31" i="7"/>
  <c r="E33" i="7"/>
  <c r="E39" i="7"/>
  <c r="E41" i="7"/>
  <c r="E47" i="7"/>
  <c r="E49" i="7"/>
  <c r="E55" i="7"/>
  <c r="E57" i="7"/>
  <c r="E64" i="7"/>
  <c r="E66" i="7"/>
  <c r="F117" i="104"/>
  <c r="F27" i="104" s="1"/>
  <c r="F141" i="129"/>
  <c r="F14" i="95"/>
  <c r="F62" i="95" s="1"/>
  <c r="F104" i="95" s="1"/>
  <c r="F117" i="107"/>
  <c r="F14" i="66"/>
  <c r="F133" i="66" s="1"/>
  <c r="F145" i="66" s="1"/>
  <c r="F133" i="104"/>
  <c r="F137" i="104" s="1"/>
  <c r="F14" i="107"/>
  <c r="F133" i="107" s="1"/>
  <c r="F134" i="107" s="1"/>
  <c r="F14" i="63"/>
  <c r="F133" i="63" s="1"/>
  <c r="F145" i="63" s="1"/>
  <c r="F14" i="64"/>
  <c r="F133" i="64" s="1"/>
  <c r="F137" i="64" s="1"/>
  <c r="F133" i="101"/>
  <c r="F134" i="101" s="1"/>
  <c r="F133" i="129"/>
  <c r="E36" i="7"/>
  <c r="E52" i="7"/>
  <c r="E21" i="7"/>
  <c r="E38" i="7"/>
  <c r="E54" i="7"/>
  <c r="E27" i="7"/>
  <c r="E44" i="7"/>
  <c r="E60" i="7"/>
  <c r="E30" i="7"/>
  <c r="E46" i="7"/>
  <c r="E62" i="7"/>
  <c r="D62" i="7"/>
  <c r="D45" i="7"/>
  <c r="D37" i="7"/>
  <c r="D29" i="7"/>
  <c r="D55" i="7"/>
  <c r="D63" i="7"/>
  <c r="D49" i="7"/>
  <c r="D59" i="7"/>
  <c r="D30" i="7"/>
  <c r="D61" i="7"/>
  <c r="D26" i="7"/>
  <c r="D18" i="7"/>
  <c r="D57" i="7"/>
  <c r="D65" i="7"/>
  <c r="D41" i="7"/>
  <c r="D33" i="7"/>
  <c r="D51" i="7"/>
  <c r="D67" i="7"/>
  <c r="D58" i="7"/>
  <c r="D46" i="7"/>
  <c r="D38" i="7"/>
  <c r="D22" i="7"/>
  <c r="D53" i="7"/>
  <c r="D21" i="7"/>
  <c r="D25" i="7"/>
  <c r="D34" i="7"/>
  <c r="D42" i="7"/>
  <c r="D50" i="7"/>
  <c r="D56" i="7"/>
  <c r="D64" i="7"/>
  <c r="D66" i="7"/>
  <c r="E61" i="7"/>
  <c r="E53" i="7"/>
  <c r="E45" i="7"/>
  <c r="E37" i="7"/>
  <c r="E29" i="7"/>
  <c r="E63" i="7"/>
  <c r="E22" i="7"/>
  <c r="E59" i="7"/>
  <c r="E51" i="7"/>
  <c r="E43" i="7"/>
  <c r="E35" i="7"/>
  <c r="E28" i="7"/>
  <c r="I18" i="95"/>
  <c r="I19" i="95" s="1"/>
  <c r="I20" i="95" s="1"/>
  <c r="I24" i="133"/>
  <c r="I25" i="133" s="1"/>
  <c r="I26" i="133" s="1"/>
  <c r="I27" i="133" s="1"/>
  <c r="I28" i="133" s="1"/>
  <c r="I29" i="133" s="1"/>
  <c r="I30" i="133" s="1"/>
  <c r="K17" i="136"/>
  <c r="K16" i="133"/>
  <c r="I20" i="105"/>
  <c r="I21" i="105" s="1"/>
  <c r="I22" i="105" s="1"/>
  <c r="K16" i="107"/>
  <c r="K16" i="105"/>
  <c r="K16" i="99"/>
  <c r="K15" i="63"/>
  <c r="BN15" i="63" s="1"/>
  <c r="BO15" i="63" s="1"/>
  <c r="I16" i="63"/>
  <c r="I17" i="63" s="1"/>
  <c r="I18" i="63" s="1"/>
  <c r="I19" i="63" s="1"/>
  <c r="I20" i="63" s="1"/>
  <c r="O15" i="17"/>
  <c r="R15" i="17"/>
  <c r="T15" i="17" s="1"/>
  <c r="BE117" i="130"/>
  <c r="AC117" i="130"/>
  <c r="AW117" i="130"/>
  <c r="AO117" i="130"/>
  <c r="BH117" i="132"/>
  <c r="AR117" i="132"/>
  <c r="AF117" i="132"/>
  <c r="BE117" i="132"/>
  <c r="AO117" i="132"/>
  <c r="AC117" i="132"/>
  <c r="BB117" i="132"/>
  <c r="AL117" i="132"/>
  <c r="Z117" i="132"/>
  <c r="BR117" i="132"/>
  <c r="AI117" i="130"/>
  <c r="F117" i="101"/>
  <c r="F27" i="101" s="1"/>
  <c r="K15" i="118"/>
  <c r="M15" i="118" s="1"/>
  <c r="D23" i="7"/>
  <c r="D27" i="7"/>
  <c r="D31" i="7"/>
  <c r="D35" i="7"/>
  <c r="D39" i="7"/>
  <c r="D43" i="7"/>
  <c r="D47" i="7"/>
  <c r="D52" i="7"/>
  <c r="D60" i="7"/>
  <c r="D20" i="7"/>
  <c r="D24" i="7"/>
  <c r="D28" i="7"/>
  <c r="D32" i="7"/>
  <c r="D36" i="7"/>
  <c r="D40" i="7"/>
  <c r="D44" i="7"/>
  <c r="D48" i="7"/>
  <c r="D54" i="7"/>
  <c r="F14" i="106"/>
  <c r="F133" i="106" s="1"/>
  <c r="F137" i="106" s="1"/>
  <c r="K17" i="105"/>
  <c r="K17" i="99"/>
  <c r="K17" i="107"/>
  <c r="K17" i="133"/>
  <c r="K18" i="133" s="1"/>
  <c r="K18" i="105"/>
  <c r="I21" i="95"/>
  <c r="I22" i="95" s="1"/>
  <c r="I23" i="95" s="1"/>
  <c r="I24" i="95" s="1"/>
  <c r="I33" i="118"/>
  <c r="I34" i="118" s="1"/>
  <c r="I35" i="118" s="1"/>
  <c r="I36" i="118" s="1"/>
  <c r="I37" i="118" s="1"/>
  <c r="I38" i="118" s="1"/>
  <c r="I39" i="118" s="1"/>
  <c r="I40" i="118" s="1"/>
  <c r="I41" i="118" s="1"/>
  <c r="I42" i="118" s="1"/>
  <c r="I43" i="118" s="1"/>
  <c r="I44" i="118" s="1"/>
  <c r="I45" i="118" s="1"/>
  <c r="I46" i="118" s="1"/>
  <c r="I47" i="118" s="1"/>
  <c r="I48" i="118" s="1"/>
  <c r="I49" i="118" s="1"/>
  <c r="I50" i="118" s="1"/>
  <c r="I51" i="118" s="1"/>
  <c r="I52" i="118" s="1"/>
  <c r="I53" i="118" s="1"/>
  <c r="I54" i="118" s="1"/>
  <c r="I55" i="118" s="1"/>
  <c r="I56" i="118" s="1"/>
  <c r="I57" i="118" s="1"/>
  <c r="I58" i="118" s="1"/>
  <c r="I59" i="118" s="1"/>
  <c r="I60" i="118" s="1"/>
  <c r="I61" i="118" s="1"/>
  <c r="I62" i="118" s="1"/>
  <c r="I63" i="118" s="1"/>
  <c r="I64" i="118" s="1"/>
  <c r="I65" i="118" s="1"/>
  <c r="I66" i="118" s="1"/>
  <c r="I67" i="118" s="1"/>
  <c r="I68" i="118" s="1"/>
  <c r="I69" i="118" s="1"/>
  <c r="I70" i="118" s="1"/>
  <c r="I71" i="118" s="1"/>
  <c r="I72" i="118" s="1"/>
  <c r="I73" i="118" s="1"/>
  <c r="I74" i="118" s="1"/>
  <c r="I75" i="118" s="1"/>
  <c r="I76" i="118" s="1"/>
  <c r="I77" i="118" s="1"/>
  <c r="I78" i="118" s="1"/>
  <c r="I79" i="118" s="1"/>
  <c r="I80" i="118" s="1"/>
  <c r="I81" i="118" s="1"/>
  <c r="I82" i="118" s="1"/>
  <c r="I83" i="118" s="1"/>
  <c r="I84" i="118" s="1"/>
  <c r="I85" i="118" s="1"/>
  <c r="I86" i="118" s="1"/>
  <c r="I87" i="118" s="1"/>
  <c r="I88" i="118" s="1"/>
  <c r="I89" i="118" s="1"/>
  <c r="I90" i="118" s="1"/>
  <c r="I91" i="118" s="1"/>
  <c r="I92" i="118" s="1"/>
  <c r="I93" i="118" s="1"/>
  <c r="I94" i="118" s="1"/>
  <c r="I95" i="118" s="1"/>
  <c r="I96" i="118" s="1"/>
  <c r="I97" i="118" s="1"/>
  <c r="I98" i="118" s="1"/>
  <c r="I99" i="118" s="1"/>
  <c r="I100" i="118" s="1"/>
  <c r="I101" i="118" s="1"/>
  <c r="I102" i="118" s="1"/>
  <c r="I103" i="118" s="1"/>
  <c r="I104" i="118" s="1"/>
  <c r="I105" i="118" s="1"/>
  <c r="I106" i="118" s="1"/>
  <c r="I107" i="118" s="1"/>
  <c r="I108" i="118" s="1"/>
  <c r="I109" i="118" s="1"/>
  <c r="I110" i="118" s="1"/>
  <c r="I111" i="118" s="1"/>
  <c r="I112" i="118" s="1"/>
  <c r="I113" i="118" s="1"/>
  <c r="I114" i="118" s="1"/>
  <c r="BL117" i="63"/>
  <c r="BK101" i="63"/>
  <c r="BK85" i="63"/>
  <c r="BK69" i="63"/>
  <c r="BK53" i="63"/>
  <c r="BK37" i="63"/>
  <c r="BK21" i="63"/>
  <c r="BJ105" i="63"/>
  <c r="BJ89" i="63"/>
  <c r="BJ73" i="63"/>
  <c r="BJ57" i="63"/>
  <c r="BJ41" i="63"/>
  <c r="BJ25" i="63"/>
  <c r="BR117" i="63"/>
  <c r="BJ112" i="63"/>
  <c r="BJ96" i="63"/>
  <c r="BJ80" i="63"/>
  <c r="BJ64" i="63"/>
  <c r="BJ48" i="63"/>
  <c r="BJ32" i="63"/>
  <c r="BJ16" i="63"/>
  <c r="BK100" i="63"/>
  <c r="BK84" i="63"/>
  <c r="BK68" i="63"/>
  <c r="BK52" i="63"/>
  <c r="BK36" i="63"/>
  <c r="BK20" i="63"/>
  <c r="BJ111" i="63"/>
  <c r="BJ95" i="63"/>
  <c r="BJ79" i="63"/>
  <c r="BJ63" i="63"/>
  <c r="BJ47" i="63"/>
  <c r="BJ31" i="63"/>
  <c r="BJ15" i="63"/>
  <c r="BL15" i="63" s="1"/>
  <c r="BK99" i="63"/>
  <c r="BK83" i="63"/>
  <c r="BK67" i="63"/>
  <c r="BK51" i="63"/>
  <c r="BK35" i="63"/>
  <c r="BK19" i="63"/>
  <c r="BB117" i="66"/>
  <c r="BJ99" i="66"/>
  <c r="BJ83" i="66"/>
  <c r="BH117" i="66"/>
  <c r="BK106" i="66"/>
  <c r="BK90" i="66"/>
  <c r="BK74" i="66"/>
  <c r="BJ58" i="66"/>
  <c r="BK42" i="66"/>
  <c r="BL117" i="66"/>
  <c r="BK101" i="66"/>
  <c r="BK85" i="66"/>
  <c r="BK69" i="66"/>
  <c r="BJ53" i="66"/>
  <c r="AR117" i="136"/>
  <c r="AW117" i="136"/>
  <c r="BO117" i="136"/>
  <c r="BR117" i="136"/>
  <c r="AL117" i="136"/>
  <c r="AO117" i="136"/>
  <c r="BH117" i="136"/>
  <c r="AF117" i="136"/>
  <c r="AI117" i="136"/>
  <c r="BK117" i="136"/>
  <c r="BK111" i="136"/>
  <c r="BK107" i="136"/>
  <c r="BK103" i="136"/>
  <c r="BK99" i="136"/>
  <c r="BK95" i="136"/>
  <c r="BK91" i="136"/>
  <c r="BJ87" i="136"/>
  <c r="BJ83" i="136"/>
  <c r="BJ79" i="136"/>
  <c r="BJ75" i="136"/>
  <c r="BJ71" i="136"/>
  <c r="BJ67" i="136"/>
  <c r="BJ63" i="136"/>
  <c r="BJ59" i="136"/>
  <c r="BJ55" i="136"/>
  <c r="BE117" i="136"/>
  <c r="BL117" i="136"/>
  <c r="BK114" i="136"/>
  <c r="BK110" i="136"/>
  <c r="BK106" i="136"/>
  <c r="BK102" i="136"/>
  <c r="BK98" i="136"/>
  <c r="BK94" i="136"/>
  <c r="BK90" i="136"/>
  <c r="BK86" i="136"/>
  <c r="BK82" i="136"/>
  <c r="BK78" i="136"/>
  <c r="BK74" i="136"/>
  <c r="BK70" i="136"/>
  <c r="BK66" i="136"/>
  <c r="BK62" i="136"/>
  <c r="BK58" i="136"/>
  <c r="BB117" i="136"/>
  <c r="AC117" i="136"/>
  <c r="BJ113" i="136"/>
  <c r="BJ109" i="136"/>
  <c r="BJ105" i="136"/>
  <c r="BJ101" i="136"/>
  <c r="BJ97" i="136"/>
  <c r="BJ93" i="136"/>
  <c r="BJ89" i="136"/>
  <c r="BJ85" i="136"/>
  <c r="BJ81" i="136"/>
  <c r="BJ77" i="136"/>
  <c r="BJ73" i="136"/>
  <c r="BJ69" i="136"/>
  <c r="BJ65" i="136"/>
  <c r="BJ61" i="136"/>
  <c r="BJ57" i="136"/>
  <c r="BJ104" i="136"/>
  <c r="BK88" i="136"/>
  <c r="BK72" i="136"/>
  <c r="BK56" i="136"/>
  <c r="BK51" i="136"/>
  <c r="BK47" i="136"/>
  <c r="BK43" i="136"/>
  <c r="BK39" i="136"/>
  <c r="BK35" i="136"/>
  <c r="BK31" i="136"/>
  <c r="BK27" i="136"/>
  <c r="BK23" i="136"/>
  <c r="BK19" i="136"/>
  <c r="BJ16" i="136"/>
  <c r="BL16" i="136" s="1"/>
  <c r="BJ51" i="136"/>
  <c r="BJ47" i="136"/>
  <c r="BJ43" i="136"/>
  <c r="BJ39" i="136"/>
  <c r="BJ35" i="136"/>
  <c r="BJ31" i="136"/>
  <c r="BJ27" i="136"/>
  <c r="BJ23" i="136"/>
  <c r="BJ19" i="136"/>
  <c r="BN15" i="136"/>
  <c r="BO15" i="136" s="1"/>
  <c r="BK113" i="136"/>
  <c r="BK109" i="136"/>
  <c r="BK105" i="136"/>
  <c r="BK101" i="136"/>
  <c r="BK97" i="136"/>
  <c r="BK93" i="136"/>
  <c r="BK89" i="136"/>
  <c r="BK85" i="136"/>
  <c r="BK81" i="136"/>
  <c r="BK77" i="136"/>
  <c r="BK73" i="136"/>
  <c r="BK69" i="136"/>
  <c r="BK65" i="136"/>
  <c r="BK61" i="136"/>
  <c r="BK57" i="136"/>
  <c r="BK53" i="136"/>
  <c r="BJ100" i="136"/>
  <c r="BK84" i="136"/>
  <c r="BK68" i="136"/>
  <c r="BK54" i="136"/>
  <c r="BJ50" i="136"/>
  <c r="BJ46" i="136"/>
  <c r="BJ42" i="136"/>
  <c r="BJ38" i="136"/>
  <c r="BJ34" i="136"/>
  <c r="BJ30" i="136"/>
  <c r="BJ26" i="136"/>
  <c r="BJ22" i="136"/>
  <c r="BJ18" i="136"/>
  <c r="BK50" i="136"/>
  <c r="BK46" i="136"/>
  <c r="BK42" i="136"/>
  <c r="BK38" i="136"/>
  <c r="BK34" i="136"/>
  <c r="BK30" i="136"/>
  <c r="BK26" i="136"/>
  <c r="BK22" i="136"/>
  <c r="BK18" i="136"/>
  <c r="BJ15" i="136"/>
  <c r="BL15" i="136" s="1"/>
  <c r="BK112" i="136"/>
  <c r="BK108" i="136"/>
  <c r="BK104" i="136"/>
  <c r="BK100" i="136"/>
  <c r="BK96" i="136"/>
  <c r="BK92" i="136"/>
  <c r="BJ88" i="136"/>
  <c r="BJ84" i="136"/>
  <c r="BJ80" i="136"/>
  <c r="BJ76" i="136"/>
  <c r="BJ72" i="136"/>
  <c r="BJ68" i="136"/>
  <c r="BJ64" i="136"/>
  <c r="BJ60" i="136"/>
  <c r="BJ56" i="136"/>
  <c r="Z117" i="136"/>
  <c r="BJ112" i="136"/>
  <c r="BJ96" i="136"/>
  <c r="BK80" i="136"/>
  <c r="BK64" i="136"/>
  <c r="BJ53" i="136"/>
  <c r="BK49" i="136"/>
  <c r="BK45" i="136"/>
  <c r="BK41" i="136"/>
  <c r="BK37" i="136"/>
  <c r="BK33" i="136"/>
  <c r="BK29" i="136"/>
  <c r="BK25" i="136"/>
  <c r="BK21" i="136"/>
  <c r="BK17" i="136"/>
  <c r="BK15" i="136"/>
  <c r="BJ49" i="136"/>
  <c r="BJ45" i="136"/>
  <c r="BJ41" i="136"/>
  <c r="BJ37" i="136"/>
  <c r="BJ33" i="136"/>
  <c r="BJ29" i="136"/>
  <c r="BJ25" i="136"/>
  <c r="BJ21" i="136"/>
  <c r="BJ17" i="136"/>
  <c r="BL17" i="136" s="1"/>
  <c r="BJ111" i="136"/>
  <c r="BJ107" i="136"/>
  <c r="BJ103" i="136"/>
  <c r="BJ99" i="136"/>
  <c r="BJ95" i="136"/>
  <c r="BJ91" i="136"/>
  <c r="BK87" i="136"/>
  <c r="BK83" i="136"/>
  <c r="BK79" i="136"/>
  <c r="BK75" i="136"/>
  <c r="BK71" i="136"/>
  <c r="BK67" i="136"/>
  <c r="BK63" i="136"/>
  <c r="BK59" i="136"/>
  <c r="BK55" i="136"/>
  <c r="BJ108" i="136"/>
  <c r="BJ52" i="136"/>
  <c r="BJ36" i="136"/>
  <c r="BJ20" i="136"/>
  <c r="BK44" i="136"/>
  <c r="BK28" i="136"/>
  <c r="BJ114" i="136"/>
  <c r="BJ98" i="136"/>
  <c r="BJ82" i="136"/>
  <c r="BJ66" i="136"/>
  <c r="BJ92" i="136"/>
  <c r="BJ48" i="136"/>
  <c r="BJ32" i="136"/>
  <c r="BN16" i="136"/>
  <c r="BO16" i="136" s="1"/>
  <c r="BK40" i="136"/>
  <c r="BK24" i="136"/>
  <c r="BJ110" i="136"/>
  <c r="BJ94" i="136"/>
  <c r="BJ78" i="136"/>
  <c r="BJ62" i="136"/>
  <c r="BN17" i="136"/>
  <c r="BO17" i="136" s="1"/>
  <c r="BK76" i="136"/>
  <c r="BJ44" i="136"/>
  <c r="BJ28" i="136"/>
  <c r="BK52" i="136"/>
  <c r="BK36" i="136"/>
  <c r="BK20" i="136"/>
  <c r="BJ106" i="136"/>
  <c r="BJ90" i="136"/>
  <c r="BJ74" i="136"/>
  <c r="BJ58" i="136"/>
  <c r="BJ102" i="136"/>
  <c r="BJ24" i="136"/>
  <c r="BJ54" i="136"/>
  <c r="BK16" i="136"/>
  <c r="BJ40" i="136"/>
  <c r="BJ70" i="136"/>
  <c r="BK32" i="136"/>
  <c r="BK60" i="136"/>
  <c r="BK92" i="64"/>
  <c r="BJ43" i="64"/>
  <c r="BJ70" i="64"/>
  <c r="BJ109" i="64"/>
  <c r="BK65" i="64"/>
  <c r="BR117" i="64"/>
  <c r="BJ25" i="64"/>
  <c r="BK29" i="64"/>
  <c r="BJ21" i="64"/>
  <c r="BK25" i="64"/>
  <c r="BK101" i="64"/>
  <c r="AW117" i="129"/>
  <c r="F145" i="129"/>
  <c r="F150" i="129"/>
  <c r="F153" i="129" s="1"/>
  <c r="F134" i="129"/>
  <c r="AE15" i="118"/>
  <c r="F150" i="130"/>
  <c r="F134" i="130"/>
  <c r="F145" i="130"/>
  <c r="O15" i="15"/>
  <c r="H10" i="58"/>
  <c r="T9" i="58"/>
  <c r="AR117" i="130"/>
  <c r="BK117" i="130"/>
  <c r="AW117" i="133"/>
  <c r="BL117" i="130"/>
  <c r="Z117" i="133"/>
  <c r="Z117" i="130"/>
  <c r="BH117" i="130"/>
  <c r="AF117" i="130"/>
  <c r="BR117" i="130"/>
  <c r="AI117" i="13"/>
  <c r="AR117" i="13"/>
  <c r="BR117" i="13"/>
  <c r="BK111" i="13"/>
  <c r="BK107" i="13"/>
  <c r="BK103" i="13"/>
  <c r="BK99" i="13"/>
  <c r="BK95" i="13"/>
  <c r="BK91" i="13"/>
  <c r="BK87" i="13"/>
  <c r="BK83" i="13"/>
  <c r="BK79" i="13"/>
  <c r="BK75" i="13"/>
  <c r="BK71" i="13"/>
  <c r="BK67" i="13"/>
  <c r="BK63" i="13"/>
  <c r="BK59" i="13"/>
  <c r="BK55" i="13"/>
  <c r="BK51" i="13"/>
  <c r="BK47" i="13"/>
  <c r="BK43" i="13"/>
  <c r="BK39" i="13"/>
  <c r="BK35" i="13"/>
  <c r="BK31" i="13"/>
  <c r="BK27" i="13"/>
  <c r="BK23" i="13"/>
  <c r="BK19" i="13"/>
  <c r="BJ16" i="13"/>
  <c r="BK112" i="13"/>
  <c r="BK108" i="13"/>
  <c r="BK104" i="13"/>
  <c r="BK100" i="13"/>
  <c r="BK96" i="13"/>
  <c r="BK92" i="13"/>
  <c r="BK88" i="13"/>
  <c r="BK84" i="13"/>
  <c r="BK80" i="13"/>
  <c r="BK76" i="13"/>
  <c r="BK72" i="13"/>
  <c r="BK68" i="13"/>
  <c r="BK64" i="13"/>
  <c r="BK60" i="13"/>
  <c r="BK56" i="13"/>
  <c r="BK52" i="13"/>
  <c r="BK48" i="13"/>
  <c r="BK44" i="13"/>
  <c r="BK40" i="13"/>
  <c r="BK36" i="13"/>
  <c r="BK32" i="13"/>
  <c r="BK28" i="13"/>
  <c r="BK24" i="13"/>
  <c r="BK20" i="13"/>
  <c r="BK16" i="13"/>
  <c r="AR117" i="17"/>
  <c r="AO117" i="17"/>
  <c r="BO117" i="17"/>
  <c r="BJ111" i="17"/>
  <c r="BJ107" i="17"/>
  <c r="BJ103" i="17"/>
  <c r="BJ99" i="17"/>
  <c r="BJ95" i="17"/>
  <c r="BJ91" i="17"/>
  <c r="BJ87" i="17"/>
  <c r="BJ83" i="17"/>
  <c r="BJ79" i="17"/>
  <c r="BJ75" i="17"/>
  <c r="BJ71" i="17"/>
  <c r="BJ67" i="17"/>
  <c r="BJ63" i="17"/>
  <c r="BJ59" i="17"/>
  <c r="BJ55" i="17"/>
  <c r="BJ51" i="17"/>
  <c r="BJ47" i="17"/>
  <c r="BJ43" i="17"/>
  <c r="BJ39" i="17"/>
  <c r="BJ35" i="17"/>
  <c r="BJ31" i="17"/>
  <c r="BK27" i="17"/>
  <c r="BB117" i="63"/>
  <c r="BK66" i="63"/>
  <c r="BJ102" i="63"/>
  <c r="BJ38" i="63"/>
  <c r="BK78" i="63"/>
  <c r="BJ114" i="63"/>
  <c r="BJ50" i="63"/>
  <c r="BK106" i="63"/>
  <c r="BK42" i="63"/>
  <c r="BJ78" i="63"/>
  <c r="BJ108" i="66"/>
  <c r="BK60" i="66"/>
  <c r="BJ34" i="66"/>
  <c r="BK18" i="66"/>
  <c r="BK107" i="66"/>
  <c r="BK103" i="66"/>
  <c r="BK91" i="66"/>
  <c r="BK87" i="66"/>
  <c r="BK83" i="66"/>
  <c r="BK79" i="66"/>
  <c r="BK75" i="66"/>
  <c r="BK71" i="66"/>
  <c r="BK67" i="66"/>
  <c r="BK63" i="66"/>
  <c r="BJ59" i="66"/>
  <c r="BJ55" i="66"/>
  <c r="BK51" i="66"/>
  <c r="BK47" i="66"/>
  <c r="BK43" i="66"/>
  <c r="BJ39" i="66"/>
  <c r="BJ35" i="66"/>
  <c r="BK31" i="66"/>
  <c r="BK27" i="66"/>
  <c r="BK23" i="66"/>
  <c r="BK19" i="66"/>
  <c r="BK15" i="66"/>
  <c r="BJ104" i="66"/>
  <c r="BJ88" i="66"/>
  <c r="BJ75" i="66"/>
  <c r="BJ67" i="66"/>
  <c r="BK59" i="66"/>
  <c r="BJ51" i="66"/>
  <c r="BJ43" i="66"/>
  <c r="BJ37" i="66"/>
  <c r="BJ33" i="66"/>
  <c r="BJ29" i="66"/>
  <c r="BJ25" i="66"/>
  <c r="BJ21" i="66"/>
  <c r="BJ17" i="66"/>
  <c r="BJ114" i="66"/>
  <c r="BJ110" i="66"/>
  <c r="BJ106" i="66"/>
  <c r="BJ102" i="66"/>
  <c r="BJ98" i="66"/>
  <c r="BJ94" i="66"/>
  <c r="BJ90" i="66"/>
  <c r="BJ86" i="66"/>
  <c r="BJ82" i="66"/>
  <c r="BJ78" i="66"/>
  <c r="BJ74" i="66"/>
  <c r="BJ70" i="66"/>
  <c r="BJ66" i="66"/>
  <c r="BJ62" i="66"/>
  <c r="BK58" i="66"/>
  <c r="BK54" i="66"/>
  <c r="BJ50" i="66"/>
  <c r="BJ46" i="66"/>
  <c r="BJ42" i="66"/>
  <c r="BK38" i="66"/>
  <c r="BK34" i="66"/>
  <c r="BJ30" i="66"/>
  <c r="BJ26" i="66"/>
  <c r="BJ22" i="66"/>
  <c r="BJ18" i="66"/>
  <c r="AI117" i="66"/>
  <c r="BO117" i="66"/>
  <c r="BJ100" i="66"/>
  <c r="BJ84" i="66"/>
  <c r="BJ72" i="66"/>
  <c r="BK64" i="66"/>
  <c r="BK56" i="66"/>
  <c r="BK48" i="66"/>
  <c r="BK40" i="66"/>
  <c r="BK36" i="66"/>
  <c r="BK32" i="66"/>
  <c r="BK28" i="66"/>
  <c r="BK24" i="66"/>
  <c r="BK20" i="66"/>
  <c r="BK16" i="66"/>
  <c r="BJ113" i="66"/>
  <c r="BJ109" i="66"/>
  <c r="BJ105" i="66"/>
  <c r="BJ101" i="66"/>
  <c r="BJ97" i="66"/>
  <c r="BJ93" i="66"/>
  <c r="BJ89" i="66"/>
  <c r="BJ85" i="66"/>
  <c r="BJ81" i="66"/>
  <c r="BJ77" i="66"/>
  <c r="BJ73" i="66"/>
  <c r="BJ69" i="66"/>
  <c r="BK65" i="66"/>
  <c r="BK61" i="66"/>
  <c r="BK57" i="66"/>
  <c r="BK53" i="66"/>
  <c r="BK49" i="66"/>
  <c r="BK45" i="66"/>
  <c r="BK41" i="66"/>
  <c r="BK37" i="66"/>
  <c r="BK33" i="66"/>
  <c r="BK29" i="66"/>
  <c r="BK25" i="66"/>
  <c r="BK21" i="66"/>
  <c r="BK17" i="66"/>
  <c r="BO117" i="129"/>
  <c r="BK109" i="129"/>
  <c r="BJ93" i="129"/>
  <c r="BJ77" i="129"/>
  <c r="BJ61" i="129"/>
  <c r="BJ45" i="129"/>
  <c r="BJ29" i="129"/>
  <c r="BJ15" i="129"/>
  <c r="BL15" i="129" s="1"/>
  <c r="BK99" i="129"/>
  <c r="BK83" i="129"/>
  <c r="BK67" i="129"/>
  <c r="BK51" i="129"/>
  <c r="BK35" i="129"/>
  <c r="BK19" i="129"/>
  <c r="BK105" i="129"/>
  <c r="BJ89" i="129"/>
  <c r="BJ73" i="129"/>
  <c r="BJ57" i="129"/>
  <c r="BJ41" i="129"/>
  <c r="BJ25" i="129"/>
  <c r="BK111" i="129"/>
  <c r="BK95" i="129"/>
  <c r="BK79" i="129"/>
  <c r="BK63" i="129"/>
  <c r="BK47" i="129"/>
  <c r="BK31" i="129"/>
  <c r="BJ16" i="129"/>
  <c r="BL16" i="129" s="1"/>
  <c r="BK101" i="129"/>
  <c r="BJ85" i="129"/>
  <c r="BJ69" i="129"/>
  <c r="BJ53" i="129"/>
  <c r="BJ37" i="129"/>
  <c r="BJ21" i="129"/>
  <c r="BK107" i="129"/>
  <c r="BK91" i="129"/>
  <c r="BK75" i="129"/>
  <c r="BK59" i="129"/>
  <c r="BK43" i="129"/>
  <c r="BK27" i="129"/>
  <c r="BJ110" i="132"/>
  <c r="BJ94" i="132"/>
  <c r="BJ78" i="132"/>
  <c r="BJ70" i="132"/>
  <c r="BK65" i="132"/>
  <c r="BJ59" i="132"/>
  <c r="BJ54" i="132"/>
  <c r="BK49" i="132"/>
  <c r="BJ43" i="132"/>
  <c r="BJ38" i="132"/>
  <c r="BK33" i="132"/>
  <c r="BJ18" i="132"/>
  <c r="BJ112" i="132"/>
  <c r="BJ108" i="132"/>
  <c r="BJ104" i="132"/>
  <c r="BJ100" i="132"/>
  <c r="BJ102" i="132"/>
  <c r="BJ86" i="132"/>
  <c r="BK73" i="132"/>
  <c r="BJ67" i="132"/>
  <c r="BJ62" i="132"/>
  <c r="BK57" i="132"/>
  <c r="BJ51" i="132"/>
  <c r="BJ46" i="132"/>
  <c r="BK41" i="132"/>
  <c r="BJ35" i="132"/>
  <c r="BK28" i="132"/>
  <c r="BK114" i="132"/>
  <c r="BK110" i="132"/>
  <c r="BK106" i="132"/>
  <c r="BK102" i="132"/>
  <c r="BK98" i="132"/>
  <c r="BB117" i="129"/>
  <c r="BJ112" i="129"/>
  <c r="BJ108" i="129"/>
  <c r="BJ104" i="129"/>
  <c r="BJ100" i="129"/>
  <c r="BK96" i="129"/>
  <c r="BK92" i="129"/>
  <c r="BK88" i="129"/>
  <c r="BK84" i="129"/>
  <c r="BK80" i="129"/>
  <c r="BK76" i="129"/>
  <c r="BK72" i="129"/>
  <c r="BK68" i="129"/>
  <c r="BK64" i="129"/>
  <c r="BK60" i="129"/>
  <c r="BK56" i="129"/>
  <c r="BK52" i="129"/>
  <c r="BK48" i="129"/>
  <c r="BK44" i="129"/>
  <c r="BK40" i="129"/>
  <c r="BK36" i="129"/>
  <c r="BK32" i="129"/>
  <c r="BK28" i="129"/>
  <c r="BK24" i="129"/>
  <c r="BK20" i="129"/>
  <c r="BJ17" i="129"/>
  <c r="BJ114" i="129"/>
  <c r="BJ110" i="129"/>
  <c r="BJ106" i="129"/>
  <c r="BJ102" i="129"/>
  <c r="BJ98" i="129"/>
  <c r="BJ94" i="129"/>
  <c r="BJ90" i="129"/>
  <c r="BJ86" i="129"/>
  <c r="BJ82" i="129"/>
  <c r="BJ78" i="129"/>
  <c r="BJ74" i="129"/>
  <c r="BJ70" i="129"/>
  <c r="BJ66" i="129"/>
  <c r="BJ62" i="129"/>
  <c r="BJ58" i="129"/>
  <c r="BJ54" i="129"/>
  <c r="BJ50" i="129"/>
  <c r="BJ46" i="129"/>
  <c r="BJ42" i="129"/>
  <c r="BJ38" i="129"/>
  <c r="BJ34" i="129"/>
  <c r="BJ30" i="129"/>
  <c r="BJ26" i="129"/>
  <c r="BJ22" i="129"/>
  <c r="BJ18" i="129"/>
  <c r="BK15" i="129"/>
  <c r="BH117" i="129"/>
  <c r="BR117" i="129"/>
  <c r="BK117" i="129"/>
  <c r="BJ111" i="129"/>
  <c r="BJ107" i="129"/>
  <c r="BJ103" i="129"/>
  <c r="BJ99" i="129"/>
  <c r="BJ95" i="129"/>
  <c r="BJ91" i="129"/>
  <c r="BJ87" i="129"/>
  <c r="BJ83" i="129"/>
  <c r="BJ79" i="129"/>
  <c r="BJ75" i="129"/>
  <c r="BJ71" i="129"/>
  <c r="BJ67" i="129"/>
  <c r="BJ63" i="129"/>
  <c r="BJ59" i="129"/>
  <c r="BJ55" i="129"/>
  <c r="BJ51" i="129"/>
  <c r="BJ47" i="129"/>
  <c r="BJ43" i="129"/>
  <c r="BJ39" i="129"/>
  <c r="BJ35" i="129"/>
  <c r="BJ31" i="129"/>
  <c r="BJ27" i="129"/>
  <c r="BJ23" i="129"/>
  <c r="BJ19" i="129"/>
  <c r="BK16" i="129"/>
  <c r="BJ113" i="129"/>
  <c r="BJ109" i="129"/>
  <c r="BJ105" i="129"/>
  <c r="BJ101" i="129"/>
  <c r="BK97" i="129"/>
  <c r="BK93" i="129"/>
  <c r="BK89" i="129"/>
  <c r="BK85" i="129"/>
  <c r="BK81" i="129"/>
  <c r="BK77" i="129"/>
  <c r="BK73" i="129"/>
  <c r="BK69" i="129"/>
  <c r="BK65" i="129"/>
  <c r="BK61" i="129"/>
  <c r="BK57" i="129"/>
  <c r="BK53" i="129"/>
  <c r="BK49" i="129"/>
  <c r="BK45" i="129"/>
  <c r="BK41" i="129"/>
  <c r="BK37" i="129"/>
  <c r="BK33" i="129"/>
  <c r="BK29" i="129"/>
  <c r="BK25" i="129"/>
  <c r="BK21" i="129"/>
  <c r="BK17" i="129"/>
  <c r="AL117" i="129"/>
  <c r="BL117" i="129"/>
  <c r="BK114" i="129"/>
  <c r="BK110" i="129"/>
  <c r="BK106" i="129"/>
  <c r="BK102" i="129"/>
  <c r="BK98" i="129"/>
  <c r="BK94" i="129"/>
  <c r="BK90" i="129"/>
  <c r="BK86" i="129"/>
  <c r="BK82" i="129"/>
  <c r="BK78" i="129"/>
  <c r="BK74" i="129"/>
  <c r="BK70" i="129"/>
  <c r="BK66" i="129"/>
  <c r="BK62" i="129"/>
  <c r="BK58" i="129"/>
  <c r="BK54" i="129"/>
  <c r="BK50" i="129"/>
  <c r="BK46" i="129"/>
  <c r="BK42" i="129"/>
  <c r="BK38" i="129"/>
  <c r="BK34" i="129"/>
  <c r="BK30" i="129"/>
  <c r="BK26" i="129"/>
  <c r="BK22" i="129"/>
  <c r="BK18" i="129"/>
  <c r="BN15" i="129"/>
  <c r="BO15" i="129" s="1"/>
  <c r="BK112" i="129"/>
  <c r="BK108" i="129"/>
  <c r="BK104" i="129"/>
  <c r="BK100" i="129"/>
  <c r="BJ96" i="129"/>
  <c r="BJ92" i="129"/>
  <c r="BJ88" i="129"/>
  <c r="BJ84" i="129"/>
  <c r="BJ80" i="129"/>
  <c r="BJ76" i="129"/>
  <c r="BJ72" i="129"/>
  <c r="BJ68" i="129"/>
  <c r="BJ64" i="129"/>
  <c r="BJ60" i="129"/>
  <c r="BJ56" i="129"/>
  <c r="BJ52" i="129"/>
  <c r="BJ48" i="129"/>
  <c r="BJ44" i="129"/>
  <c r="BJ40" i="129"/>
  <c r="BJ36" i="129"/>
  <c r="BJ32" i="129"/>
  <c r="BJ28" i="129"/>
  <c r="BJ24" i="129"/>
  <c r="BJ20" i="129"/>
  <c r="BN16" i="129"/>
  <c r="BO16" i="129" s="1"/>
  <c r="AW117" i="132"/>
  <c r="BO117" i="132"/>
  <c r="BK113" i="132"/>
  <c r="BK109" i="132"/>
  <c r="BK105" i="132"/>
  <c r="BK101" i="132"/>
  <c r="BK97" i="132"/>
  <c r="BK93" i="132"/>
  <c r="BK89" i="132"/>
  <c r="BK85" i="132"/>
  <c r="BK81" i="132"/>
  <c r="BK77" i="132"/>
  <c r="AI117" i="132"/>
  <c r="BK112" i="132"/>
  <c r="BK108" i="132"/>
  <c r="BK104" i="132"/>
  <c r="BK100" i="132"/>
  <c r="BK96" i="132"/>
  <c r="BK92" i="132"/>
  <c r="BK88" i="132"/>
  <c r="BK84" i="132"/>
  <c r="BK80" i="132"/>
  <c r="BK76" i="132"/>
  <c r="BK72" i="132"/>
  <c r="BK68" i="132"/>
  <c r="BK64" i="132"/>
  <c r="BK60" i="132"/>
  <c r="BK56" i="132"/>
  <c r="BK52" i="132"/>
  <c r="BK48" i="132"/>
  <c r="BK44" i="132"/>
  <c r="BK40" i="132"/>
  <c r="BK36" i="132"/>
  <c r="BK32" i="132"/>
  <c r="BJ26" i="132"/>
  <c r="BK117" i="132"/>
  <c r="BJ111" i="132"/>
  <c r="BJ107" i="132"/>
  <c r="BJ103" i="132"/>
  <c r="BJ99" i="132"/>
  <c r="BJ95" i="132"/>
  <c r="BJ91" i="132"/>
  <c r="BJ87" i="132"/>
  <c r="BJ83" i="132"/>
  <c r="BJ79" i="132"/>
  <c r="BJ75" i="132"/>
  <c r="F124" i="101"/>
  <c r="R15" i="101"/>
  <c r="O15" i="101"/>
  <c r="T15" i="101"/>
  <c r="R15" i="129"/>
  <c r="T15" i="129" s="1"/>
  <c r="O15" i="129"/>
  <c r="BJ36" i="64"/>
  <c r="BK40" i="64"/>
  <c r="BK51" i="64"/>
  <c r="BJ55" i="64"/>
  <c r="AC117" i="13"/>
  <c r="AL117" i="13"/>
  <c r="BK114" i="13"/>
  <c r="BJ109" i="13"/>
  <c r="BJ104" i="13"/>
  <c r="BK98" i="13"/>
  <c r="BJ93" i="13"/>
  <c r="BJ88" i="13"/>
  <c r="BK82" i="13"/>
  <c r="BJ77" i="13"/>
  <c r="BJ72" i="13"/>
  <c r="BK66" i="13"/>
  <c r="BJ61" i="13"/>
  <c r="BJ56" i="13"/>
  <c r="BK50" i="13"/>
  <c r="BJ45" i="13"/>
  <c r="BJ40" i="13"/>
  <c r="BK34" i="13"/>
  <c r="BJ29" i="13"/>
  <c r="BJ24" i="13"/>
  <c r="BK18" i="13"/>
  <c r="BJ114" i="13"/>
  <c r="BK109" i="13"/>
  <c r="BJ103" i="13"/>
  <c r="BJ98" i="13"/>
  <c r="BK93" i="13"/>
  <c r="BJ87" i="13"/>
  <c r="BJ82" i="13"/>
  <c r="BK77" i="13"/>
  <c r="BJ71" i="13"/>
  <c r="BJ66" i="13"/>
  <c r="BK61" i="13"/>
  <c r="BJ55" i="13"/>
  <c r="BJ50" i="13"/>
  <c r="BK45" i="13"/>
  <c r="BJ39" i="13"/>
  <c r="BJ34" i="13"/>
  <c r="BK29" i="13"/>
  <c r="BJ23" i="13"/>
  <c r="BJ18" i="13"/>
  <c r="Z117" i="17"/>
  <c r="BH117" i="17"/>
  <c r="BE117" i="17"/>
  <c r="BL117" i="17"/>
  <c r="BK114" i="17"/>
  <c r="BK109" i="17"/>
  <c r="BJ104" i="17"/>
  <c r="BK98" i="17"/>
  <c r="BK93" i="17"/>
  <c r="BJ88" i="17"/>
  <c r="BK82" i="17"/>
  <c r="BK77" i="17"/>
  <c r="BJ72" i="17"/>
  <c r="BK66" i="17"/>
  <c r="BK61" i="17"/>
  <c r="BJ56" i="17"/>
  <c r="BK50" i="17"/>
  <c r="BK45" i="17"/>
  <c r="BJ40" i="17"/>
  <c r="BK34" i="17"/>
  <c r="BK29" i="17"/>
  <c r="BJ24" i="17"/>
  <c r="BJ20" i="17"/>
  <c r="BJ113" i="17"/>
  <c r="BJ109" i="17"/>
  <c r="BJ105" i="17"/>
  <c r="BJ101" i="17"/>
  <c r="BJ97" i="17"/>
  <c r="BJ93" i="17"/>
  <c r="BJ89" i="17"/>
  <c r="BJ85" i="17"/>
  <c r="BJ81" i="17"/>
  <c r="BJ77" i="17"/>
  <c r="BJ73" i="17"/>
  <c r="BJ69" i="17"/>
  <c r="BJ65" i="17"/>
  <c r="BJ61" i="17"/>
  <c r="BJ57" i="17"/>
  <c r="BJ53" i="17"/>
  <c r="BJ49" i="17"/>
  <c r="BJ45" i="17"/>
  <c r="AC117" i="133"/>
  <c r="BJ54" i="95"/>
  <c r="BK91" i="95"/>
  <c r="BK27" i="95"/>
  <c r="BJ102" i="95"/>
  <c r="BJ38" i="95"/>
  <c r="BK75" i="95"/>
  <c r="BJ86" i="95"/>
  <c r="BJ22" i="95"/>
  <c r="BK59" i="95"/>
  <c r="BJ70" i="95"/>
  <c r="BK107" i="95"/>
  <c r="BK43" i="95"/>
  <c r="BJ63" i="135"/>
  <c r="F16" i="120"/>
  <c r="BJ114" i="95"/>
  <c r="BJ98" i="95"/>
  <c r="BJ82" i="95"/>
  <c r="BJ66" i="95"/>
  <c r="BJ50" i="95"/>
  <c r="BJ34" i="95"/>
  <c r="BJ18" i="95"/>
  <c r="BK103" i="95"/>
  <c r="BK87" i="95"/>
  <c r="BK71" i="95"/>
  <c r="BK55" i="95"/>
  <c r="BK39" i="95"/>
  <c r="BK23" i="95"/>
  <c r="BR117" i="95"/>
  <c r="Z117" i="95"/>
  <c r="AR117" i="95"/>
  <c r="AI117" i="95"/>
  <c r="BJ110" i="95"/>
  <c r="BJ94" i="95"/>
  <c r="BJ78" i="95"/>
  <c r="BJ62" i="95"/>
  <c r="BJ46" i="95"/>
  <c r="BJ30" i="95"/>
  <c r="BJ15" i="95"/>
  <c r="BK99" i="95"/>
  <c r="BK83" i="95"/>
  <c r="BK67" i="95"/>
  <c r="BK51" i="95"/>
  <c r="BK35" i="95"/>
  <c r="BK19" i="95"/>
  <c r="BJ106" i="95"/>
  <c r="BJ90" i="95"/>
  <c r="BJ74" i="95"/>
  <c r="BJ58" i="95"/>
  <c r="BJ42" i="95"/>
  <c r="BJ26" i="95"/>
  <c r="BK111" i="95"/>
  <c r="BK95" i="95"/>
  <c r="BK79" i="95"/>
  <c r="BK63" i="95"/>
  <c r="BK47" i="95"/>
  <c r="BK31" i="95"/>
  <c r="BJ16" i="95"/>
  <c r="AC117" i="95"/>
  <c r="BJ101" i="135"/>
  <c r="BJ37" i="135"/>
  <c r="BH117" i="135"/>
  <c r="AR117" i="135"/>
  <c r="AF117" i="135"/>
  <c r="BK114" i="135"/>
  <c r="BK110" i="135"/>
  <c r="BK106" i="135"/>
  <c r="BK102" i="135"/>
  <c r="BK98" i="135"/>
  <c r="BK94" i="135"/>
  <c r="BK90" i="135"/>
  <c r="BK86" i="135"/>
  <c r="BK82" i="135"/>
  <c r="BK78" i="135"/>
  <c r="BK74" i="135"/>
  <c r="BK70" i="135"/>
  <c r="BK66" i="135"/>
  <c r="BK62" i="135"/>
  <c r="BK58" i="135"/>
  <c r="BK54" i="135"/>
  <c r="BK50" i="135"/>
  <c r="BK46" i="135"/>
  <c r="BK42" i="135"/>
  <c r="BK38" i="135"/>
  <c r="BK34" i="135"/>
  <c r="BK30" i="135"/>
  <c r="BK26" i="135"/>
  <c r="BK22" i="135"/>
  <c r="BK18" i="135"/>
  <c r="BN15" i="135"/>
  <c r="BO15" i="135" s="1"/>
  <c r="BK112" i="135"/>
  <c r="BK108" i="135"/>
  <c r="BK104" i="135"/>
  <c r="BK100" i="135"/>
  <c r="BK96" i="135"/>
  <c r="BK92" i="135"/>
  <c r="BK88" i="135"/>
  <c r="BK84" i="135"/>
  <c r="BK80" i="135"/>
  <c r="BK76" i="135"/>
  <c r="BK72" i="135"/>
  <c r="BK68" i="135"/>
  <c r="BK64" i="135"/>
  <c r="BK60" i="135"/>
  <c r="BK56" i="135"/>
  <c r="BK52" i="135"/>
  <c r="BK48" i="135"/>
  <c r="BK44" i="135"/>
  <c r="BK40" i="135"/>
  <c r="BK36" i="135"/>
  <c r="BK32" i="135"/>
  <c r="BK28" i="135"/>
  <c r="BK24" i="135"/>
  <c r="BK20" i="135"/>
  <c r="BE117" i="135"/>
  <c r="AO117" i="135"/>
  <c r="AC117" i="135"/>
  <c r="BK117" i="135"/>
  <c r="BK113" i="135"/>
  <c r="BK109" i="135"/>
  <c r="BK105" i="135"/>
  <c r="BK101" i="135"/>
  <c r="BK97" i="135"/>
  <c r="BK93" i="135"/>
  <c r="BK89" i="135"/>
  <c r="BK85" i="135"/>
  <c r="BK81" i="135"/>
  <c r="BK77" i="135"/>
  <c r="BK73" i="135"/>
  <c r="BK69" i="135"/>
  <c r="BK65" i="135"/>
  <c r="BK61" i="135"/>
  <c r="BK57" i="135"/>
  <c r="BK53" i="135"/>
  <c r="BK49" i="135"/>
  <c r="BK45" i="135"/>
  <c r="BK41" i="135"/>
  <c r="BK37" i="135"/>
  <c r="BK33" i="135"/>
  <c r="BK29" i="135"/>
  <c r="BK25" i="135"/>
  <c r="BK21" i="135"/>
  <c r="BK17" i="135"/>
  <c r="BJ15" i="135"/>
  <c r="BL15" i="135" s="1"/>
  <c r="BK111" i="135"/>
  <c r="BK107" i="135"/>
  <c r="BK103" i="135"/>
  <c r="BK99" i="135"/>
  <c r="BK95" i="135"/>
  <c r="BK91" i="135"/>
  <c r="BK87" i="135"/>
  <c r="BK83" i="135"/>
  <c r="BK79" i="135"/>
  <c r="BK75" i="135"/>
  <c r="BK71" i="135"/>
  <c r="BK67" i="135"/>
  <c r="BK63" i="135"/>
  <c r="BK59" i="135"/>
  <c r="BK55" i="135"/>
  <c r="BK51" i="135"/>
  <c r="BK47" i="135"/>
  <c r="BK43" i="135"/>
  <c r="BK39" i="135"/>
  <c r="BK35" i="135"/>
  <c r="BK31" i="135"/>
  <c r="BK27" i="135"/>
  <c r="BK23" i="135"/>
  <c r="BK19" i="135"/>
  <c r="BJ17" i="135"/>
  <c r="BB117" i="135"/>
  <c r="AL117" i="135"/>
  <c r="Z117" i="135"/>
  <c r="BL117" i="135"/>
  <c r="BJ112" i="135"/>
  <c r="BJ108" i="135"/>
  <c r="BJ104" i="135"/>
  <c r="BJ100" i="135"/>
  <c r="BJ96" i="135"/>
  <c r="BJ92" i="135"/>
  <c r="BJ88" i="135"/>
  <c r="BJ84" i="135"/>
  <c r="BJ80" i="135"/>
  <c r="BJ76" i="135"/>
  <c r="BJ72" i="135"/>
  <c r="BJ68" i="135"/>
  <c r="BJ64" i="135"/>
  <c r="BJ60" i="135"/>
  <c r="BJ56" i="135"/>
  <c r="BJ52" i="135"/>
  <c r="BJ48" i="135"/>
  <c r="BJ44" i="135"/>
  <c r="BJ40" i="135"/>
  <c r="BJ36" i="135"/>
  <c r="BJ32" i="135"/>
  <c r="BJ28" i="135"/>
  <c r="BJ24" i="135"/>
  <c r="BJ20" i="135"/>
  <c r="BN16" i="135"/>
  <c r="BO16" i="135" s="1"/>
  <c r="BJ114" i="135"/>
  <c r="BJ110" i="135"/>
  <c r="BJ106" i="135"/>
  <c r="BJ102" i="135"/>
  <c r="BJ98" i="135"/>
  <c r="BJ94" i="135"/>
  <c r="BJ90" i="135"/>
  <c r="BJ86" i="135"/>
  <c r="BJ82" i="135"/>
  <c r="BJ78" i="135"/>
  <c r="BJ74" i="135"/>
  <c r="BJ70" i="135"/>
  <c r="BJ66" i="135"/>
  <c r="BJ62" i="135"/>
  <c r="BJ58" i="135"/>
  <c r="BJ54" i="135"/>
  <c r="BJ50" i="135"/>
  <c r="BJ46" i="135"/>
  <c r="BJ42" i="135"/>
  <c r="BJ38" i="135"/>
  <c r="BJ34" i="135"/>
  <c r="BJ30" i="135"/>
  <c r="BJ26" i="135"/>
  <c r="BJ22" i="135"/>
  <c r="BK16" i="135"/>
  <c r="AI117" i="135"/>
  <c r="BJ107" i="135"/>
  <c r="BJ91" i="135"/>
  <c r="BJ75" i="135"/>
  <c r="BJ59" i="135"/>
  <c r="BJ43" i="135"/>
  <c r="BJ27" i="135"/>
  <c r="BJ113" i="135"/>
  <c r="BJ97" i="135"/>
  <c r="BJ81" i="135"/>
  <c r="BJ65" i="135"/>
  <c r="BJ49" i="135"/>
  <c r="BJ33" i="135"/>
  <c r="BJ18" i="135"/>
  <c r="BJ103" i="135"/>
  <c r="BJ87" i="135"/>
  <c r="BJ71" i="135"/>
  <c r="BJ55" i="135"/>
  <c r="BJ39" i="135"/>
  <c r="BJ23" i="135"/>
  <c r="BJ109" i="135"/>
  <c r="BJ93" i="135"/>
  <c r="BJ77" i="135"/>
  <c r="BJ61" i="135"/>
  <c r="BJ45" i="135"/>
  <c r="BJ29" i="135"/>
  <c r="BK15" i="135"/>
  <c r="BR117" i="135"/>
  <c r="BO117" i="135"/>
  <c r="BJ99" i="135"/>
  <c r="BJ83" i="135"/>
  <c r="BJ67" i="135"/>
  <c r="BJ51" i="135"/>
  <c r="BJ35" i="135"/>
  <c r="BJ19" i="135"/>
  <c r="BJ105" i="135"/>
  <c r="BJ89" i="135"/>
  <c r="BJ73" i="135"/>
  <c r="BJ57" i="135"/>
  <c r="BJ41" i="135"/>
  <c r="BJ25" i="135"/>
  <c r="BJ53" i="135"/>
  <c r="BJ16" i="135"/>
  <c r="BL16" i="135" s="1"/>
  <c r="BJ79" i="135"/>
  <c r="AW117" i="135"/>
  <c r="BJ69" i="135"/>
  <c r="BJ31" i="135"/>
  <c r="BJ95" i="135"/>
  <c r="BJ21" i="135"/>
  <c r="BJ85" i="135"/>
  <c r="BJ47" i="135"/>
  <c r="BJ111" i="135"/>
  <c r="AW117" i="96"/>
  <c r="AF117" i="96"/>
  <c r="BH117" i="96"/>
  <c r="AC117" i="96"/>
  <c r="BO117" i="96"/>
  <c r="BJ112" i="96"/>
  <c r="BJ108" i="96"/>
  <c r="BJ104" i="96"/>
  <c r="BJ100" i="96"/>
  <c r="BJ96" i="96"/>
  <c r="BJ92" i="96"/>
  <c r="BJ88" i="96"/>
  <c r="BJ84" i="96"/>
  <c r="BJ80" i="96"/>
  <c r="BJ76" i="96"/>
  <c r="BJ72" i="96"/>
  <c r="BJ68" i="96"/>
  <c r="BJ64" i="96"/>
  <c r="BJ60" i="96"/>
  <c r="BJ56" i="96"/>
  <c r="BJ52" i="96"/>
  <c r="BJ48" i="96"/>
  <c r="BJ44" i="96"/>
  <c r="BJ40" i="96"/>
  <c r="BJ36" i="96"/>
  <c r="AI117" i="96"/>
  <c r="AL117" i="96"/>
  <c r="BR117" i="96"/>
  <c r="BJ111" i="96"/>
  <c r="BJ107" i="96"/>
  <c r="BJ103" i="96"/>
  <c r="BJ99" i="96"/>
  <c r="BJ95" i="96"/>
  <c r="BJ91" i="96"/>
  <c r="BJ87" i="96"/>
  <c r="BJ83" i="96"/>
  <c r="BJ79" i="96"/>
  <c r="BJ75" i="96"/>
  <c r="BJ71" i="96"/>
  <c r="BJ67" i="96"/>
  <c r="BJ63" i="96"/>
  <c r="BJ59" i="96"/>
  <c r="BJ55" i="96"/>
  <c r="BJ51" i="96"/>
  <c r="BJ47" i="96"/>
  <c r="BJ43" i="96"/>
  <c r="BJ39" i="96"/>
  <c r="AR117" i="96"/>
  <c r="BE117" i="96"/>
  <c r="BK117" i="96"/>
  <c r="AL117" i="15"/>
  <c r="BR117" i="15"/>
  <c r="AO117" i="15"/>
  <c r="BL117" i="15"/>
  <c r="AR117" i="15"/>
  <c r="AW117" i="15"/>
  <c r="BO117" i="15"/>
  <c r="Z117" i="15"/>
  <c r="BB117" i="15"/>
  <c r="AC117" i="15"/>
  <c r="BE117" i="15"/>
  <c r="F16" i="118"/>
  <c r="Z117" i="63"/>
  <c r="AO117" i="63"/>
  <c r="BK102" i="63"/>
  <c r="BK38" i="63"/>
  <c r="BJ74" i="63"/>
  <c r="BK70" i="63"/>
  <c r="BJ106" i="63"/>
  <c r="BJ42" i="63"/>
  <c r="BJ71" i="66"/>
  <c r="BK39" i="66"/>
  <c r="BJ23" i="66"/>
  <c r="BK108" i="66"/>
  <c r="BK92" i="66"/>
  <c r="BK76" i="66"/>
  <c r="BJ60" i="66"/>
  <c r="BJ44" i="66"/>
  <c r="BJ28" i="66"/>
  <c r="AR117" i="66"/>
  <c r="BJ96" i="66"/>
  <c r="BK55" i="66"/>
  <c r="BJ31" i="66"/>
  <c r="BN15" i="66"/>
  <c r="BO15" i="66" s="1"/>
  <c r="BK100" i="66"/>
  <c r="BK84" i="66"/>
  <c r="BK68" i="66"/>
  <c r="BJ52" i="66"/>
  <c r="BJ36" i="66"/>
  <c r="BJ20" i="66"/>
  <c r="BR117" i="66"/>
  <c r="BJ58" i="63"/>
  <c r="BK86" i="63"/>
  <c r="AL117" i="95"/>
  <c r="AF117" i="95"/>
  <c r="BE117" i="95"/>
  <c r="BK117" i="95"/>
  <c r="BK113" i="95"/>
  <c r="BK109" i="95"/>
  <c r="BK105" i="95"/>
  <c r="BK101" i="95"/>
  <c r="BK97" i="95"/>
  <c r="BK93" i="95"/>
  <c r="BK89" i="95"/>
  <c r="BK85" i="95"/>
  <c r="BK81" i="95"/>
  <c r="BK77" i="95"/>
  <c r="BK73" i="95"/>
  <c r="BK69" i="95"/>
  <c r="BK65" i="95"/>
  <c r="BK61" i="95"/>
  <c r="BK57" i="95"/>
  <c r="BK53" i="95"/>
  <c r="BK49" i="95"/>
  <c r="BK45" i="95"/>
  <c r="BK41" i="95"/>
  <c r="BK37" i="95"/>
  <c r="BK33" i="95"/>
  <c r="BK29" i="95"/>
  <c r="BK25" i="95"/>
  <c r="BK21" i="95"/>
  <c r="BK17" i="95"/>
  <c r="BK114" i="95"/>
  <c r="BK110" i="95"/>
  <c r="BK106" i="95"/>
  <c r="BK102" i="95"/>
  <c r="BK98" i="95"/>
  <c r="BK94" i="95"/>
  <c r="BK90" i="95"/>
  <c r="BK86" i="95"/>
  <c r="BK82" i="95"/>
  <c r="BK78" i="95"/>
  <c r="BK74" i="95"/>
  <c r="BK70" i="95"/>
  <c r="BK66" i="95"/>
  <c r="BK62" i="95"/>
  <c r="BK58" i="95"/>
  <c r="BK54" i="95"/>
  <c r="BK50" i="95"/>
  <c r="BK46" i="95"/>
  <c r="BK42" i="95"/>
  <c r="BK38" i="95"/>
  <c r="BK34" i="95"/>
  <c r="BK30" i="95"/>
  <c r="BK26" i="95"/>
  <c r="BK22" i="95"/>
  <c r="BK18" i="95"/>
  <c r="BK15" i="95"/>
  <c r="AW117" i="95"/>
  <c r="BL117" i="95"/>
  <c r="BK112" i="95"/>
  <c r="BK108" i="95"/>
  <c r="BK104" i="95"/>
  <c r="BK100" i="95"/>
  <c r="BK96" i="95"/>
  <c r="BK92" i="95"/>
  <c r="BK88" i="95"/>
  <c r="BK84" i="95"/>
  <c r="BK80" i="95"/>
  <c r="BK76" i="95"/>
  <c r="BK72" i="95"/>
  <c r="BK68" i="95"/>
  <c r="BK64" i="95"/>
  <c r="BK60" i="95"/>
  <c r="BK56" i="95"/>
  <c r="BK52" i="95"/>
  <c r="BK48" i="95"/>
  <c r="BK44" i="95"/>
  <c r="BK40" i="95"/>
  <c r="BK36" i="95"/>
  <c r="BK32" i="95"/>
  <c r="BK28" i="95"/>
  <c r="BK24" i="95"/>
  <c r="BK20" i="95"/>
  <c r="BK16" i="95"/>
  <c r="BJ113" i="95"/>
  <c r="BJ109" i="95"/>
  <c r="BJ105" i="95"/>
  <c r="BJ101" i="95"/>
  <c r="BJ97" i="95"/>
  <c r="BJ93" i="95"/>
  <c r="BJ89" i="95"/>
  <c r="BJ85" i="95"/>
  <c r="BJ81" i="95"/>
  <c r="BJ77" i="95"/>
  <c r="BJ73" i="95"/>
  <c r="BJ69" i="95"/>
  <c r="BJ65" i="95"/>
  <c r="BJ61" i="95"/>
  <c r="BJ57" i="95"/>
  <c r="BJ53" i="95"/>
  <c r="BJ49" i="95"/>
  <c r="BJ45" i="95"/>
  <c r="BJ41" i="95"/>
  <c r="BJ37" i="95"/>
  <c r="BJ33" i="95"/>
  <c r="BJ29" i="95"/>
  <c r="BJ25" i="95"/>
  <c r="BJ21" i="95"/>
  <c r="BJ17" i="95"/>
  <c r="BB117" i="95"/>
  <c r="BH117" i="95"/>
  <c r="AO117" i="95"/>
  <c r="BO117" i="95"/>
  <c r="BJ111" i="95"/>
  <c r="BJ107" i="95"/>
  <c r="BJ103" i="95"/>
  <c r="BJ99" i="95"/>
  <c r="BJ95" i="95"/>
  <c r="BJ91" i="95"/>
  <c r="BJ87" i="95"/>
  <c r="BJ83" i="95"/>
  <c r="BJ79" i="95"/>
  <c r="BJ75" i="95"/>
  <c r="BJ71" i="95"/>
  <c r="BJ67" i="95"/>
  <c r="BJ63" i="95"/>
  <c r="BJ59" i="95"/>
  <c r="BJ55" i="95"/>
  <c r="BJ51" i="95"/>
  <c r="BJ47" i="95"/>
  <c r="BJ43" i="95"/>
  <c r="BJ39" i="95"/>
  <c r="BJ35" i="95"/>
  <c r="BJ31" i="95"/>
  <c r="BJ27" i="95"/>
  <c r="BJ23" i="95"/>
  <c r="BJ19" i="95"/>
  <c r="BJ112" i="95"/>
  <c r="BJ108" i="95"/>
  <c r="BJ104" i="95"/>
  <c r="BJ100" i="95"/>
  <c r="BJ96" i="95"/>
  <c r="BJ92" i="95"/>
  <c r="BJ88" i="95"/>
  <c r="BJ84" i="95"/>
  <c r="BJ80" i="95"/>
  <c r="BJ76" i="95"/>
  <c r="BJ72" i="95"/>
  <c r="BJ68" i="95"/>
  <c r="BJ64" i="95"/>
  <c r="BJ60" i="95"/>
  <c r="BJ56" i="95"/>
  <c r="BJ52" i="95"/>
  <c r="BJ48" i="95"/>
  <c r="BJ44" i="95"/>
  <c r="BJ40" i="95"/>
  <c r="BJ36" i="95"/>
  <c r="BJ32" i="95"/>
  <c r="BJ28" i="95"/>
  <c r="BJ24" i="95"/>
  <c r="BJ20" i="95"/>
  <c r="F14" i="135"/>
  <c r="F133" i="135" s="1"/>
  <c r="M15" i="129"/>
  <c r="M16" i="129"/>
  <c r="D16" i="10"/>
  <c r="M16" i="132"/>
  <c r="M15" i="132"/>
  <c r="BJ16" i="124"/>
  <c r="F117" i="98"/>
  <c r="O15" i="104"/>
  <c r="R15" i="104"/>
  <c r="T15" i="104" s="1"/>
  <c r="Q16" i="58"/>
  <c r="Q23" i="58" s="1"/>
  <c r="P16" i="58"/>
  <c r="P21" i="58" s="1"/>
  <c r="O15" i="107"/>
  <c r="R15" i="107"/>
  <c r="F153" i="130"/>
  <c r="BK117" i="118"/>
  <c r="BL117" i="118"/>
  <c r="BK117" i="120"/>
  <c r="BL117" i="120"/>
  <c r="M18" i="105" l="1"/>
  <c r="M16" i="135"/>
  <c r="M18" i="133"/>
  <c r="M17" i="105"/>
  <c r="M16" i="105"/>
  <c r="K18" i="99"/>
  <c r="I19" i="99"/>
  <c r="I20" i="99" s="1"/>
  <c r="I21" i="99" s="1"/>
  <c r="I22" i="99" s="1"/>
  <c r="I23" i="99" s="1"/>
  <c r="I24" i="99" s="1"/>
  <c r="I25" i="99" s="1"/>
  <c r="I26" i="99" s="1"/>
  <c r="I27" i="99" s="1"/>
  <c r="I28" i="99" s="1"/>
  <c r="I29" i="99" s="1"/>
  <c r="I30" i="99" s="1"/>
  <c r="I31" i="99" s="1"/>
  <c r="I32" i="99" s="1"/>
  <c r="I33" i="99" s="1"/>
  <c r="I34" i="99" s="1"/>
  <c r="I35" i="99" s="1"/>
  <c r="I36" i="99" s="1"/>
  <c r="I37" i="99" s="1"/>
  <c r="I38" i="99" s="1"/>
  <c r="I39" i="99" s="1"/>
  <c r="I40" i="99" s="1"/>
  <c r="I41" i="99" s="1"/>
  <c r="I42" i="99" s="1"/>
  <c r="I43" i="99" s="1"/>
  <c r="I44" i="99" s="1"/>
  <c r="I45" i="99" s="1"/>
  <c r="I46" i="99" s="1"/>
  <c r="I47" i="99" s="1"/>
  <c r="I48" i="99" s="1"/>
  <c r="I49" i="99" s="1"/>
  <c r="I50" i="99" s="1"/>
  <c r="I51" i="99" s="1"/>
  <c r="I52" i="99" s="1"/>
  <c r="I53" i="99" s="1"/>
  <c r="I54" i="99" s="1"/>
  <c r="I55" i="99" s="1"/>
  <c r="I56" i="99" s="1"/>
  <c r="I57" i="99" s="1"/>
  <c r="I58" i="99" s="1"/>
  <c r="I59" i="99" s="1"/>
  <c r="I60" i="99" s="1"/>
  <c r="I61" i="99" s="1"/>
  <c r="I62" i="99" s="1"/>
  <c r="I63" i="99" s="1"/>
  <c r="I64" i="99" s="1"/>
  <c r="I65" i="99" s="1"/>
  <c r="I66" i="99" s="1"/>
  <c r="I67" i="99" s="1"/>
  <c r="I68" i="99" s="1"/>
  <c r="I69" i="99" s="1"/>
  <c r="I70" i="99" s="1"/>
  <c r="I71" i="99" s="1"/>
  <c r="I20" i="107"/>
  <c r="BJ71" i="64"/>
  <c r="BK67" i="64"/>
  <c r="BK56" i="64"/>
  <c r="BJ52" i="64"/>
  <c r="BK69" i="64"/>
  <c r="BH117" i="133"/>
  <c r="U32" i="58"/>
  <c r="BK37" i="64"/>
  <c r="BK41" i="64"/>
  <c r="BJ37" i="64"/>
  <c r="BK45" i="64"/>
  <c r="BJ41" i="64"/>
  <c r="BH117" i="64"/>
  <c r="BK81" i="64"/>
  <c r="AF117" i="64"/>
  <c r="BJ102" i="64"/>
  <c r="BJ83" i="64"/>
  <c r="BJ32" i="64"/>
  <c r="BK31" i="133"/>
  <c r="BK55" i="133"/>
  <c r="BK79" i="133"/>
  <c r="BK103" i="133"/>
  <c r="BK26" i="133"/>
  <c r="BK50" i="133"/>
  <c r="BK74" i="133"/>
  <c r="BK98" i="133"/>
  <c r="O15" i="132"/>
  <c r="A8" i="58"/>
  <c r="AB19" i="149"/>
  <c r="F141" i="133"/>
  <c r="F56" i="133"/>
  <c r="F42" i="133"/>
  <c r="BJ87" i="64"/>
  <c r="BK83" i="64"/>
  <c r="BK72" i="64"/>
  <c r="BJ68" i="64"/>
  <c r="BJ97" i="64"/>
  <c r="BL117" i="133"/>
  <c r="BO117" i="133"/>
  <c r="BJ113" i="64"/>
  <c r="BK57" i="64"/>
  <c r="BJ53" i="64"/>
  <c r="BK61" i="64"/>
  <c r="BJ57" i="64"/>
  <c r="AI117" i="64"/>
  <c r="BK97" i="64"/>
  <c r="BJ18" i="64"/>
  <c r="BK34" i="64"/>
  <c r="BK27" i="64"/>
  <c r="BJ76" i="64"/>
  <c r="BK35" i="133"/>
  <c r="BK59" i="133"/>
  <c r="BK83" i="133"/>
  <c r="BK107" i="133"/>
  <c r="BK30" i="133"/>
  <c r="BK54" i="133"/>
  <c r="BK78" i="133"/>
  <c r="BK102" i="133"/>
  <c r="K18" i="124"/>
  <c r="K19" i="124" s="1"/>
  <c r="K20" i="124" s="1"/>
  <c r="BJ20" i="124" s="1"/>
  <c r="BN16" i="64"/>
  <c r="BO16" i="64" s="1"/>
  <c r="BJ103" i="64"/>
  <c r="BK99" i="64"/>
  <c r="BK88" i="64"/>
  <c r="BJ84" i="64"/>
  <c r="BJ17" i="64"/>
  <c r="AO117" i="133"/>
  <c r="AR117" i="133"/>
  <c r="K21" i="58"/>
  <c r="AA21" i="58" s="1"/>
  <c r="BJ49" i="64"/>
  <c r="BK73" i="64"/>
  <c r="BJ69" i="64"/>
  <c r="BK77" i="64"/>
  <c r="BJ73" i="64"/>
  <c r="BK17" i="64"/>
  <c r="BK113" i="64"/>
  <c r="BJ26" i="64"/>
  <c r="BK66" i="64"/>
  <c r="BK71" i="64"/>
  <c r="AO117" i="64"/>
  <c r="K18" i="107"/>
  <c r="BJ18" i="107" s="1"/>
  <c r="F27" i="135"/>
  <c r="BK15" i="133"/>
  <c r="BK39" i="133"/>
  <c r="BK63" i="133"/>
  <c r="BK87" i="133"/>
  <c r="BK111" i="133"/>
  <c r="BK34" i="133"/>
  <c r="BK58" i="133"/>
  <c r="BK82" i="133"/>
  <c r="BK106" i="133"/>
  <c r="R15" i="114"/>
  <c r="T15" i="114" s="1"/>
  <c r="M19" i="149"/>
  <c r="AE19" i="149"/>
  <c r="F125" i="101"/>
  <c r="F127" i="101" s="1"/>
  <c r="BK53" i="64"/>
  <c r="BJ81" i="64"/>
  <c r="BJ112" i="64"/>
  <c r="BK19" i="64"/>
  <c r="AR117" i="64"/>
  <c r="BK104" i="64"/>
  <c r="BJ100" i="64"/>
  <c r="BJ33" i="64"/>
  <c r="AF117" i="133"/>
  <c r="BK117" i="133"/>
  <c r="BK85" i="64"/>
  <c r="BK89" i="64"/>
  <c r="BJ85" i="64"/>
  <c r="BK93" i="64"/>
  <c r="BJ89" i="64"/>
  <c r="BK33" i="64"/>
  <c r="BJ45" i="64"/>
  <c r="BJ34" i="64"/>
  <c r="BK98" i="64"/>
  <c r="BK111" i="64"/>
  <c r="BJ17" i="107"/>
  <c r="K17" i="132"/>
  <c r="BN17" i="132" s="1"/>
  <c r="BO17" i="132" s="1"/>
  <c r="BK19" i="133"/>
  <c r="BK43" i="133"/>
  <c r="BK67" i="133"/>
  <c r="BK91" i="133"/>
  <c r="BJ15" i="133"/>
  <c r="BL15" i="133" s="1"/>
  <c r="BK38" i="133"/>
  <c r="BK62" i="133"/>
  <c r="BK86" i="133"/>
  <c r="BK110" i="133"/>
  <c r="O15" i="112"/>
  <c r="BN19" i="149"/>
  <c r="BO19" i="149" s="1"/>
  <c r="AK19" i="149"/>
  <c r="BB117" i="133"/>
  <c r="BJ39" i="64"/>
  <c r="BK35" i="64"/>
  <c r="BK24" i="64"/>
  <c r="BJ20" i="64"/>
  <c r="BO117" i="64"/>
  <c r="BE117" i="133"/>
  <c r="AL117" i="133"/>
  <c r="BJ65" i="64"/>
  <c r="BK21" i="64"/>
  <c r="BK105" i="64"/>
  <c r="BJ101" i="64"/>
  <c r="BK109" i="64"/>
  <c r="BJ105" i="64"/>
  <c r="BK49" i="64"/>
  <c r="BJ77" i="64"/>
  <c r="BJ42" i="64"/>
  <c r="BE117" i="64"/>
  <c r="BK48" i="64"/>
  <c r="BK23" i="133"/>
  <c r="BK47" i="133"/>
  <c r="BK71" i="133"/>
  <c r="BK95" i="133"/>
  <c r="BK18" i="133"/>
  <c r="BK42" i="133"/>
  <c r="BK66" i="133"/>
  <c r="BK90" i="133"/>
  <c r="O15" i="64"/>
  <c r="O15" i="114"/>
  <c r="F55" i="132"/>
  <c r="F42" i="132"/>
  <c r="F56" i="132"/>
  <c r="F152" i="132" s="1"/>
  <c r="K20" i="149"/>
  <c r="AN19" i="149"/>
  <c r="BQ19" i="149"/>
  <c r="F55" i="133"/>
  <c r="F14" i="99"/>
  <c r="F133" i="99" s="1"/>
  <c r="F134" i="99" s="1"/>
  <c r="F14" i="161"/>
  <c r="F134" i="161" s="1"/>
  <c r="F14" i="114"/>
  <c r="F133" i="114" s="1"/>
  <c r="F137" i="114" s="1"/>
  <c r="F14" i="163"/>
  <c r="F133" i="163" s="1"/>
  <c r="F14" i="164"/>
  <c r="F134" i="164" s="1"/>
  <c r="M17" i="99"/>
  <c r="M16" i="99"/>
  <c r="F55" i="130"/>
  <c r="F151" i="130" s="1"/>
  <c r="F22" i="130"/>
  <c r="F55" i="136"/>
  <c r="F22" i="136"/>
  <c r="F137" i="136" s="1"/>
  <c r="F22" i="135"/>
  <c r="F137" i="135" s="1"/>
  <c r="F55" i="135"/>
  <c r="T28" i="163"/>
  <c r="Y28" i="163" s="1"/>
  <c r="Z28" i="163" s="1"/>
  <c r="R29" i="163"/>
  <c r="P23" i="164"/>
  <c r="V23" i="164" s="1"/>
  <c r="W23" i="164" s="1"/>
  <c r="T29" i="164"/>
  <c r="Y29" i="164" s="1"/>
  <c r="Z29" i="164" s="1"/>
  <c r="R30" i="164"/>
  <c r="O22" i="163"/>
  <c r="T27" i="161"/>
  <c r="Y27" i="161" s="1"/>
  <c r="R28" i="161"/>
  <c r="Z26" i="161"/>
  <c r="P22" i="161"/>
  <c r="V22" i="161" s="1"/>
  <c r="W22" i="161" s="1"/>
  <c r="K51" i="161"/>
  <c r="BQ51" i="161" s="1"/>
  <c r="I52" i="161"/>
  <c r="BG50" i="161"/>
  <c r="BH50" i="161" s="1"/>
  <c r="BA50" i="161"/>
  <c r="BB50" i="161" s="1"/>
  <c r="AT50" i="161"/>
  <c r="AN50" i="161"/>
  <c r="AO50" i="161" s="1"/>
  <c r="AH50" i="161"/>
  <c r="AI50" i="161" s="1"/>
  <c r="AB50" i="161"/>
  <c r="AC50" i="161" s="1"/>
  <c r="V50" i="161"/>
  <c r="W50" i="161" s="1"/>
  <c r="O50" i="161"/>
  <c r="BR50" i="161"/>
  <c r="AY50" i="161"/>
  <c r="BD50" i="161"/>
  <c r="BE50" i="161" s="1"/>
  <c r="AQ50" i="161"/>
  <c r="AR50" i="161" s="1"/>
  <c r="AK50" i="161"/>
  <c r="AL50" i="161" s="1"/>
  <c r="AE50" i="161"/>
  <c r="AF50" i="161" s="1"/>
  <c r="Y50" i="161"/>
  <c r="Z50" i="161" s="1"/>
  <c r="R50" i="161"/>
  <c r="T50" i="161" s="1"/>
  <c r="P50" i="161"/>
  <c r="AV50" i="161"/>
  <c r="AW50" i="161" s="1"/>
  <c r="BJ50" i="161"/>
  <c r="BL50" i="161" s="1"/>
  <c r="BK50" i="161"/>
  <c r="M50" i="161"/>
  <c r="BN50" i="161"/>
  <c r="BO50" i="161" s="1"/>
  <c r="I18" i="112"/>
  <c r="I19" i="112" s="1"/>
  <c r="I20" i="112" s="1"/>
  <c r="I21" i="112" s="1"/>
  <c r="I22" i="112" s="1"/>
  <c r="I23" i="112" s="1"/>
  <c r="I24" i="112" s="1"/>
  <c r="I25" i="112" s="1"/>
  <c r="I26" i="112" s="1"/>
  <c r="I27" i="112" s="1"/>
  <c r="I28" i="112" s="1"/>
  <c r="I29" i="112" s="1"/>
  <c r="I30" i="112" s="1"/>
  <c r="I31" i="112" s="1"/>
  <c r="I32" i="112" s="1"/>
  <c r="I33" i="112" s="1"/>
  <c r="I34" i="112" s="1"/>
  <c r="I35" i="112" s="1"/>
  <c r="I36" i="112" s="1"/>
  <c r="I37" i="112" s="1"/>
  <c r="I38" i="112" s="1"/>
  <c r="I39" i="112" s="1"/>
  <c r="I40" i="112" s="1"/>
  <c r="I41" i="112" s="1"/>
  <c r="I42" i="112" s="1"/>
  <c r="I43" i="112" s="1"/>
  <c r="I44" i="112" s="1"/>
  <c r="I45" i="112" s="1"/>
  <c r="I46" i="112" s="1"/>
  <c r="I47" i="112" s="1"/>
  <c r="I48" i="112" s="1"/>
  <c r="I49" i="112" s="1"/>
  <c r="I50" i="112" s="1"/>
  <c r="I51" i="112" s="1"/>
  <c r="I52" i="112" s="1"/>
  <c r="I53" i="112" s="1"/>
  <c r="I54" i="112" s="1"/>
  <c r="I55" i="112" s="1"/>
  <c r="I56" i="112" s="1"/>
  <c r="I57" i="112" s="1"/>
  <c r="I58" i="112" s="1"/>
  <c r="I59" i="112" s="1"/>
  <c r="I60" i="112" s="1"/>
  <c r="I61" i="112" s="1"/>
  <c r="I62" i="112" s="1"/>
  <c r="I63" i="112" s="1"/>
  <c r="I64" i="112" s="1"/>
  <c r="I65" i="112" s="1"/>
  <c r="I66" i="112" s="1"/>
  <c r="I67" i="112" s="1"/>
  <c r="I68" i="112" s="1"/>
  <c r="I69" i="112" s="1"/>
  <c r="I70" i="112" s="1"/>
  <c r="I71" i="112" s="1"/>
  <c r="I72" i="112" s="1"/>
  <c r="I73" i="112" s="1"/>
  <c r="I74" i="112" s="1"/>
  <c r="I75" i="112" s="1"/>
  <c r="I76" i="112" s="1"/>
  <c r="I77" i="112" s="1"/>
  <c r="I78" i="112" s="1"/>
  <c r="I79" i="112" s="1"/>
  <c r="I80" i="112" s="1"/>
  <c r="I81" i="112" s="1"/>
  <c r="I82" i="112" s="1"/>
  <c r="I83" i="112" s="1"/>
  <c r="I84" i="112" s="1"/>
  <c r="I85" i="112" s="1"/>
  <c r="I86" i="112" s="1"/>
  <c r="I87" i="112" s="1"/>
  <c r="I88" i="112" s="1"/>
  <c r="I89" i="112" s="1"/>
  <c r="I90" i="112" s="1"/>
  <c r="I91" i="112" s="1"/>
  <c r="I92" i="112" s="1"/>
  <c r="I93" i="112" s="1"/>
  <c r="I94" i="112" s="1"/>
  <c r="I95" i="112" s="1"/>
  <c r="I96" i="112" s="1"/>
  <c r="I97" i="112" s="1"/>
  <c r="I98" i="112" s="1"/>
  <c r="I99" i="112" s="1"/>
  <c r="I100" i="112" s="1"/>
  <c r="I101" i="112" s="1"/>
  <c r="I102" i="112" s="1"/>
  <c r="I103" i="112" s="1"/>
  <c r="I104" i="112" s="1"/>
  <c r="I105" i="112" s="1"/>
  <c r="I106" i="112" s="1"/>
  <c r="I107" i="112" s="1"/>
  <c r="I108" i="112" s="1"/>
  <c r="I109" i="112" s="1"/>
  <c r="I110" i="112" s="1"/>
  <c r="I111" i="112" s="1"/>
  <c r="I112" i="112" s="1"/>
  <c r="I113" i="112" s="1"/>
  <c r="I114" i="112" s="1"/>
  <c r="BL18" i="136"/>
  <c r="I18" i="64"/>
  <c r="I19" i="64" s="1"/>
  <c r="I20" i="64" s="1"/>
  <c r="I21" i="64" s="1"/>
  <c r="K17" i="64"/>
  <c r="BN17" i="64" s="1"/>
  <c r="BO17" i="64" s="1"/>
  <c r="I19" i="136"/>
  <c r="I20" i="136" s="1"/>
  <c r="I21" i="136" s="1"/>
  <c r="K18" i="136"/>
  <c r="BN18" i="136" s="1"/>
  <c r="BO18" i="136" s="1"/>
  <c r="A9" i="58"/>
  <c r="K16" i="114"/>
  <c r="BJ16" i="114" s="1"/>
  <c r="I17" i="114"/>
  <c r="I18" i="114" s="1"/>
  <c r="I19" i="114" s="1"/>
  <c r="I20" i="114" s="1"/>
  <c r="I21" i="114" s="1"/>
  <c r="I17" i="115"/>
  <c r="K16" i="115"/>
  <c r="BJ16" i="115" s="1"/>
  <c r="M17" i="124"/>
  <c r="I19" i="104"/>
  <c r="I19" i="132"/>
  <c r="I20" i="132" s="1"/>
  <c r="I21" i="132" s="1"/>
  <c r="I22" i="132" s="1"/>
  <c r="I23" i="132" s="1"/>
  <c r="K18" i="132"/>
  <c r="BN18" i="132" s="1"/>
  <c r="BO18" i="132" s="1"/>
  <c r="I17" i="106"/>
  <c r="K16" i="106"/>
  <c r="K16" i="96"/>
  <c r="M16" i="96" s="1"/>
  <c r="I17" i="96"/>
  <c r="M18" i="99"/>
  <c r="D12" i="7"/>
  <c r="D16" i="7"/>
  <c r="BJ90" i="96"/>
  <c r="BJ19" i="17"/>
  <c r="BJ25" i="17"/>
  <c r="BK31" i="17"/>
  <c r="BJ37" i="17"/>
  <c r="BK43" i="17"/>
  <c r="BK51" i="17"/>
  <c r="BK59" i="17"/>
  <c r="BK67" i="17"/>
  <c r="BK75" i="17"/>
  <c r="BK83" i="17"/>
  <c r="BK91" i="17"/>
  <c r="BK99" i="17"/>
  <c r="BK107" i="17"/>
  <c r="BK15" i="17"/>
  <c r="BJ22" i="17"/>
  <c r="BJ32" i="17"/>
  <c r="BK42" i="17"/>
  <c r="BK53" i="17"/>
  <c r="BJ64" i="17"/>
  <c r="BK74" i="17"/>
  <c r="BK85" i="17"/>
  <c r="BJ96" i="17"/>
  <c r="BK106" i="17"/>
  <c r="R15" i="135"/>
  <c r="T15" i="135" s="1"/>
  <c r="K16" i="104"/>
  <c r="R15" i="66"/>
  <c r="T15" i="66" s="1"/>
  <c r="AB20" i="156"/>
  <c r="AH20" i="156"/>
  <c r="AE20" i="156"/>
  <c r="BN20" i="156"/>
  <c r="BO20" i="156" s="1"/>
  <c r="M20" i="156"/>
  <c r="BL20" i="156"/>
  <c r="I16" i="15"/>
  <c r="I17" i="15" s="1"/>
  <c r="I18" i="15" s="1"/>
  <c r="I19" i="15" s="1"/>
  <c r="I20" i="15" s="1"/>
  <c r="BJ106" i="96"/>
  <c r="BJ15" i="17"/>
  <c r="BL15" i="17" s="1"/>
  <c r="BK20" i="17"/>
  <c r="BK26" i="17"/>
  <c r="BK32" i="17"/>
  <c r="BJ38" i="17"/>
  <c r="BK44" i="17"/>
  <c r="BK52" i="17"/>
  <c r="BK60" i="17"/>
  <c r="BK68" i="17"/>
  <c r="BK76" i="17"/>
  <c r="BK84" i="17"/>
  <c r="BK92" i="17"/>
  <c r="BK100" i="17"/>
  <c r="BK108" i="17"/>
  <c r="BJ16" i="17"/>
  <c r="BK23" i="17"/>
  <c r="BK33" i="17"/>
  <c r="BJ44" i="17"/>
  <c r="BK54" i="17"/>
  <c r="BK65" i="17"/>
  <c r="BJ76" i="17"/>
  <c r="BK86" i="17"/>
  <c r="BK97" i="17"/>
  <c r="BJ108" i="17"/>
  <c r="BK117" i="17"/>
  <c r="AW117" i="17"/>
  <c r="K17" i="129"/>
  <c r="M17" i="129" s="1"/>
  <c r="K15" i="112"/>
  <c r="K16" i="112" s="1"/>
  <c r="I22" i="156"/>
  <c r="K21" i="156"/>
  <c r="K19" i="133"/>
  <c r="BJ26" i="96"/>
  <c r="BJ20" i="96"/>
  <c r="BN15" i="17"/>
  <c r="BO15" i="17" s="1"/>
  <c r="BJ21" i="17"/>
  <c r="BJ27" i="17"/>
  <c r="BJ33" i="17"/>
  <c r="BK39" i="17"/>
  <c r="BJ46" i="17"/>
  <c r="BJ54" i="17"/>
  <c r="BJ62" i="17"/>
  <c r="BJ70" i="17"/>
  <c r="BJ78" i="17"/>
  <c r="BJ86" i="17"/>
  <c r="BJ94" i="17"/>
  <c r="BJ102" i="17"/>
  <c r="BJ110" i="17"/>
  <c r="BK17" i="17"/>
  <c r="BK25" i="17"/>
  <c r="BJ36" i="17"/>
  <c r="BK46" i="17"/>
  <c r="BK57" i="17"/>
  <c r="BJ68" i="17"/>
  <c r="BK78" i="17"/>
  <c r="BK89" i="17"/>
  <c r="BJ100" i="17"/>
  <c r="BK110" i="17"/>
  <c r="AI117" i="17"/>
  <c r="BR117" i="17"/>
  <c r="R15" i="126"/>
  <c r="T15" i="126" s="1"/>
  <c r="O15" i="126"/>
  <c r="K15" i="101"/>
  <c r="T15" i="15"/>
  <c r="R15" i="15"/>
  <c r="Z10" i="58"/>
  <c r="N5" i="58"/>
  <c r="L5" i="58"/>
  <c r="AI19" i="156"/>
  <c r="BK16" i="17"/>
  <c r="BK22" i="17"/>
  <c r="BK28" i="17"/>
  <c r="BJ34" i="17"/>
  <c r="BK40" i="17"/>
  <c r="BK47" i="17"/>
  <c r="BK55" i="17"/>
  <c r="BK63" i="17"/>
  <c r="BK71" i="17"/>
  <c r="BK79" i="17"/>
  <c r="BK87" i="17"/>
  <c r="BK95" i="17"/>
  <c r="BK103" i="17"/>
  <c r="BK111" i="17"/>
  <c r="BJ18" i="17"/>
  <c r="BJ26" i="17"/>
  <c r="BK37" i="17"/>
  <c r="BJ48" i="17"/>
  <c r="BK58" i="17"/>
  <c r="BK69" i="17"/>
  <c r="BJ80" i="17"/>
  <c r="BK90" i="17"/>
  <c r="BK101" i="17"/>
  <c r="BJ112" i="17"/>
  <c r="AC117" i="17"/>
  <c r="BB117" i="17"/>
  <c r="F56" i="130"/>
  <c r="F152" i="130" s="1"/>
  <c r="F42" i="130"/>
  <c r="AA10" i="58"/>
  <c r="O5" i="58"/>
  <c r="M5" i="58"/>
  <c r="AC19" i="156"/>
  <c r="F152" i="135"/>
  <c r="F42" i="135"/>
  <c r="F142" i="135" s="1"/>
  <c r="E20" i="7"/>
  <c r="AF19" i="156"/>
  <c r="E14" i="7"/>
  <c r="BJ74" i="96"/>
  <c r="BK18" i="17"/>
  <c r="BK24" i="17"/>
  <c r="BJ30" i="17"/>
  <c r="BK36" i="17"/>
  <c r="BJ42" i="17"/>
  <c r="BJ50" i="17"/>
  <c r="BJ58" i="17"/>
  <c r="BJ66" i="17"/>
  <c r="BJ74" i="17"/>
  <c r="BJ82" i="17"/>
  <c r="BJ90" i="17"/>
  <c r="BJ98" i="17"/>
  <c r="BJ106" i="17"/>
  <c r="BJ114" i="17"/>
  <c r="BK21" i="17"/>
  <c r="BK30" i="17"/>
  <c r="BK41" i="17"/>
  <c r="BJ52" i="17"/>
  <c r="BK62" i="17"/>
  <c r="BK73" i="17"/>
  <c r="BJ84" i="17"/>
  <c r="BK94" i="17"/>
  <c r="BK105" i="17"/>
  <c r="K17" i="135"/>
  <c r="BL17" i="135" s="1"/>
  <c r="K15" i="95"/>
  <c r="BL15" i="95" s="1"/>
  <c r="F4" i="136"/>
  <c r="F42" i="136"/>
  <c r="F142" i="136" s="1"/>
  <c r="J53" i="58"/>
  <c r="Z53" i="58" s="1"/>
  <c r="J25" i="58"/>
  <c r="Z25" i="58" s="1"/>
  <c r="J41" i="58"/>
  <c r="Z41" i="58" s="1"/>
  <c r="L10" i="58"/>
  <c r="J29" i="58"/>
  <c r="Z29" i="58" s="1"/>
  <c r="J45" i="58"/>
  <c r="Z45" i="58" s="1"/>
  <c r="J17" i="58"/>
  <c r="Z17" i="58" s="1"/>
  <c r="J33" i="58"/>
  <c r="Z33" i="58" s="1"/>
  <c r="J49" i="58"/>
  <c r="Z49" i="58" s="1"/>
  <c r="X16" i="58"/>
  <c r="J21" i="58"/>
  <c r="Z21" i="58" s="1"/>
  <c r="J37" i="58"/>
  <c r="Z37" i="58" s="1"/>
  <c r="K42" i="58"/>
  <c r="K51" i="58"/>
  <c r="AA51" i="58" s="1"/>
  <c r="K26" i="58"/>
  <c r="AA26" i="58" s="1"/>
  <c r="K56" i="58"/>
  <c r="AA56" i="58" s="1"/>
  <c r="K48" i="58"/>
  <c r="AA48" i="58" s="1"/>
  <c r="H21" i="58"/>
  <c r="X21" i="58" s="1"/>
  <c r="K35" i="58"/>
  <c r="AA35" i="58" s="1"/>
  <c r="K53" i="58"/>
  <c r="AA53" i="58" s="1"/>
  <c r="K36" i="58"/>
  <c r="AA36" i="58" s="1"/>
  <c r="H30" i="58"/>
  <c r="X30" i="58" s="1"/>
  <c r="H29" i="58"/>
  <c r="K19" i="58"/>
  <c r="AA19" i="58" s="1"/>
  <c r="K37" i="58"/>
  <c r="AA37" i="58" s="1"/>
  <c r="H54" i="58"/>
  <c r="V54" i="58" s="1"/>
  <c r="I28" i="58"/>
  <c r="W28" i="58" s="1"/>
  <c r="I48" i="58"/>
  <c r="W48" i="58" s="1"/>
  <c r="K47" i="58"/>
  <c r="AA47" i="58" s="1"/>
  <c r="K54" i="58"/>
  <c r="AA54" i="58" s="1"/>
  <c r="K22" i="58"/>
  <c r="M22" i="58" s="1"/>
  <c r="K33" i="58"/>
  <c r="AA33" i="58" s="1"/>
  <c r="K17" i="58"/>
  <c r="AA17" i="58" s="1"/>
  <c r="K20" i="58"/>
  <c r="O20" i="58" s="1"/>
  <c r="K43" i="58"/>
  <c r="O43" i="58" s="1"/>
  <c r="K27" i="58"/>
  <c r="AA27" i="58" s="1"/>
  <c r="K50" i="58"/>
  <c r="AA50" i="58" s="1"/>
  <c r="K34" i="58"/>
  <c r="AA34" i="58" s="1"/>
  <c r="K18" i="58"/>
  <c r="AA18" i="58" s="1"/>
  <c r="K45" i="58"/>
  <c r="AA45" i="58" s="1"/>
  <c r="K29" i="58"/>
  <c r="K44" i="58"/>
  <c r="O44" i="58" s="1"/>
  <c r="K24" i="58"/>
  <c r="M24" i="58" s="1"/>
  <c r="H38" i="58"/>
  <c r="H43" i="58"/>
  <c r="T43" i="58" s="1"/>
  <c r="K31" i="58"/>
  <c r="AA31" i="58" s="1"/>
  <c r="K38" i="58"/>
  <c r="AA38" i="58" s="1"/>
  <c r="K49" i="58"/>
  <c r="AA49" i="58" s="1"/>
  <c r="K40" i="58"/>
  <c r="AA40" i="58" s="1"/>
  <c r="K55" i="58"/>
  <c r="M55" i="58" s="1"/>
  <c r="K39" i="58"/>
  <c r="O39" i="58" s="1"/>
  <c r="K23" i="58"/>
  <c r="AA23" i="58" s="1"/>
  <c r="K46" i="58"/>
  <c r="AA46" i="58" s="1"/>
  <c r="K30" i="58"/>
  <c r="AA30" i="58" s="1"/>
  <c r="K41" i="58"/>
  <c r="AA41" i="58" s="1"/>
  <c r="K25" i="58"/>
  <c r="AA25" i="58" s="1"/>
  <c r="K28" i="58"/>
  <c r="AA28" i="58" s="1"/>
  <c r="K52" i="58"/>
  <c r="AA52" i="58" s="1"/>
  <c r="H46" i="58"/>
  <c r="V46" i="58" s="1"/>
  <c r="K32" i="58"/>
  <c r="O32" i="58" s="1"/>
  <c r="T16" i="58"/>
  <c r="O20" i="152"/>
  <c r="P20" i="152" s="1"/>
  <c r="V20" i="152" s="1"/>
  <c r="W20" i="152" s="1"/>
  <c r="K16" i="63"/>
  <c r="AH16" i="63" s="1"/>
  <c r="K17" i="130"/>
  <c r="F127" i="115"/>
  <c r="F127" i="133"/>
  <c r="F127" i="130"/>
  <c r="BG15" i="96"/>
  <c r="AH15" i="129"/>
  <c r="AI15" i="129" s="1"/>
  <c r="AN15" i="107"/>
  <c r="Y15" i="115"/>
  <c r="AT15" i="98"/>
  <c r="M15" i="96"/>
  <c r="M15" i="124"/>
  <c r="M16" i="115"/>
  <c r="M16" i="136"/>
  <c r="M17" i="130"/>
  <c r="M15" i="13"/>
  <c r="BJ15" i="114"/>
  <c r="BJ17" i="124"/>
  <c r="AO19" i="149"/>
  <c r="AF15" i="118"/>
  <c r="F152" i="129"/>
  <c r="F142" i="129"/>
  <c r="F151" i="129"/>
  <c r="M15" i="115"/>
  <c r="F137" i="129"/>
  <c r="M15" i="130"/>
  <c r="F14" i="13"/>
  <c r="F133" i="13" s="1"/>
  <c r="F145" i="13" s="1"/>
  <c r="F23" i="155" s="1"/>
  <c r="F149" i="155" s="1"/>
  <c r="F14" i="155"/>
  <c r="F133" i="155" s="1"/>
  <c r="AF16" i="146"/>
  <c r="W19" i="153"/>
  <c r="D23" i="10"/>
  <c r="F14" i="120" s="1"/>
  <c r="F133" i="120" s="1"/>
  <c r="F134" i="120" s="1"/>
  <c r="F137" i="146"/>
  <c r="AV15" i="146" s="1"/>
  <c r="AW15" i="146" s="1"/>
  <c r="F145" i="146"/>
  <c r="BA15" i="146" s="1"/>
  <c r="BB15" i="146" s="1"/>
  <c r="F150" i="146"/>
  <c r="F134" i="146"/>
  <c r="BQ18" i="146" s="1"/>
  <c r="AH15" i="101"/>
  <c r="Z17" i="150"/>
  <c r="AV17" i="146"/>
  <c r="AW17" i="146" s="1"/>
  <c r="Z17" i="147"/>
  <c r="Z18" i="149"/>
  <c r="W17" i="150"/>
  <c r="BJ19" i="124"/>
  <c r="BJ16" i="106"/>
  <c r="BJ15" i="106"/>
  <c r="BJ15" i="124"/>
  <c r="BJ61" i="64"/>
  <c r="BL117" i="64"/>
  <c r="BJ22" i="64"/>
  <c r="BJ38" i="64"/>
  <c r="BJ86" i="64"/>
  <c r="BK50" i="64"/>
  <c r="BK114" i="64"/>
  <c r="BJ63" i="64"/>
  <c r="BK47" i="64"/>
  <c r="BK28" i="64"/>
  <c r="BK112" i="64"/>
  <c r="BR117" i="133"/>
  <c r="BJ113" i="133"/>
  <c r="BJ109" i="133"/>
  <c r="BJ105" i="133"/>
  <c r="BJ101" i="133"/>
  <c r="BJ97" i="133"/>
  <c r="BJ93" i="133"/>
  <c r="BJ89" i="133"/>
  <c r="BJ85" i="133"/>
  <c r="BJ81" i="133"/>
  <c r="BJ77" i="133"/>
  <c r="BJ73" i="133"/>
  <c r="BJ69" i="133"/>
  <c r="BJ65" i="133"/>
  <c r="BJ61" i="133"/>
  <c r="BJ57" i="133"/>
  <c r="BJ53" i="133"/>
  <c r="BJ49" i="133"/>
  <c r="BJ45" i="133"/>
  <c r="BJ41" i="133"/>
  <c r="BJ37" i="133"/>
  <c r="BJ33" i="133"/>
  <c r="BJ29" i="133"/>
  <c r="BJ25" i="133"/>
  <c r="BJ21" i="133"/>
  <c r="BJ17" i="133"/>
  <c r="BJ114" i="133"/>
  <c r="BJ110" i="133"/>
  <c r="BJ106" i="133"/>
  <c r="BJ102" i="133"/>
  <c r="BJ98" i="133"/>
  <c r="BJ94" i="133"/>
  <c r="BJ90" i="133"/>
  <c r="BJ86" i="133"/>
  <c r="BJ82" i="133"/>
  <c r="BJ78" i="133"/>
  <c r="BJ74" i="133"/>
  <c r="BJ70" i="133"/>
  <c r="BJ66" i="133"/>
  <c r="BJ62" i="133"/>
  <c r="BJ58" i="133"/>
  <c r="BJ54" i="133"/>
  <c r="BJ50" i="133"/>
  <c r="BJ46" i="133"/>
  <c r="BJ42" i="133"/>
  <c r="BJ38" i="133"/>
  <c r="BJ34" i="133"/>
  <c r="BJ30" i="133"/>
  <c r="BJ26" i="133"/>
  <c r="BJ22" i="133"/>
  <c r="BJ18" i="133"/>
  <c r="AI117" i="133"/>
  <c r="BK112" i="133"/>
  <c r="BK108" i="133"/>
  <c r="BK104" i="133"/>
  <c r="BK100" i="133"/>
  <c r="BK96" i="133"/>
  <c r="BK92" i="133"/>
  <c r="BK88" i="133"/>
  <c r="BK84" i="133"/>
  <c r="BK80" i="133"/>
  <c r="BK76" i="133"/>
  <c r="BK72" i="133"/>
  <c r="BK68" i="133"/>
  <c r="BK64" i="133"/>
  <c r="BK60" i="133"/>
  <c r="BK56" i="133"/>
  <c r="BK52" i="133"/>
  <c r="BK48" i="133"/>
  <c r="BK44" i="133"/>
  <c r="BK40" i="133"/>
  <c r="BK36" i="133"/>
  <c r="BK32" i="133"/>
  <c r="BK28" i="133"/>
  <c r="BK24" i="133"/>
  <c r="BK20" i="133"/>
  <c r="BK16" i="133"/>
  <c r="BK113" i="133"/>
  <c r="BK109" i="133"/>
  <c r="BK105" i="133"/>
  <c r="BK101" i="133"/>
  <c r="BK97" i="133"/>
  <c r="BK93" i="133"/>
  <c r="BK89" i="133"/>
  <c r="BK85" i="133"/>
  <c r="BK81" i="133"/>
  <c r="BK77" i="133"/>
  <c r="BK73" i="133"/>
  <c r="BK69" i="133"/>
  <c r="BK65" i="133"/>
  <c r="BK61" i="133"/>
  <c r="BK57" i="133"/>
  <c r="BK53" i="133"/>
  <c r="BK49" i="133"/>
  <c r="BK45" i="133"/>
  <c r="BK41" i="133"/>
  <c r="BK37" i="133"/>
  <c r="BK33" i="133"/>
  <c r="BK29" i="133"/>
  <c r="BK25" i="133"/>
  <c r="BK21" i="133"/>
  <c r="BK17" i="133"/>
  <c r="BJ111" i="133"/>
  <c r="BJ107" i="133"/>
  <c r="BJ103" i="133"/>
  <c r="BJ99" i="133"/>
  <c r="BJ95" i="133"/>
  <c r="BJ91" i="133"/>
  <c r="BJ87" i="133"/>
  <c r="BJ83" i="133"/>
  <c r="BJ79" i="133"/>
  <c r="BJ75" i="133"/>
  <c r="BJ71" i="133"/>
  <c r="BJ67" i="133"/>
  <c r="BJ63" i="133"/>
  <c r="BJ59" i="133"/>
  <c r="BJ55" i="133"/>
  <c r="BJ51" i="133"/>
  <c r="BJ47" i="133"/>
  <c r="BJ43" i="133"/>
  <c r="BJ39" i="133"/>
  <c r="BJ35" i="133"/>
  <c r="BJ31" i="133"/>
  <c r="BJ27" i="133"/>
  <c r="BJ23" i="133"/>
  <c r="BJ19" i="133"/>
  <c r="BN15" i="133"/>
  <c r="BO15" i="133" s="1"/>
  <c r="BJ112" i="133"/>
  <c r="BJ108" i="133"/>
  <c r="BJ104" i="133"/>
  <c r="BJ100" i="133"/>
  <c r="BJ96" i="133"/>
  <c r="BJ92" i="133"/>
  <c r="BJ88" i="133"/>
  <c r="BJ84" i="133"/>
  <c r="BJ80" i="133"/>
  <c r="BJ76" i="133"/>
  <c r="BJ72" i="133"/>
  <c r="BJ68" i="133"/>
  <c r="BJ64" i="133"/>
  <c r="BJ60" i="133"/>
  <c r="BJ56" i="133"/>
  <c r="BJ52" i="133"/>
  <c r="BJ48" i="133"/>
  <c r="BJ44" i="133"/>
  <c r="BJ40" i="133"/>
  <c r="BJ36" i="133"/>
  <c r="BJ32" i="133"/>
  <c r="BJ28" i="133"/>
  <c r="BJ24" i="133"/>
  <c r="BJ20" i="133"/>
  <c r="BJ16" i="133"/>
  <c r="BL16" i="133" s="1"/>
  <c r="AL117" i="64"/>
  <c r="BJ92" i="64"/>
  <c r="BJ72" i="64"/>
  <c r="BJ48" i="64"/>
  <c r="BJ28" i="64"/>
  <c r="BK108" i="64"/>
  <c r="BK84" i="64"/>
  <c r="BK64" i="64"/>
  <c r="BK44" i="64"/>
  <c r="BK20" i="64"/>
  <c r="BK107" i="64"/>
  <c r="BK87" i="64"/>
  <c r="BK63" i="64"/>
  <c r="BK43" i="64"/>
  <c r="BK23" i="64"/>
  <c r="BJ99" i="64"/>
  <c r="BJ79" i="64"/>
  <c r="BJ59" i="64"/>
  <c r="BJ35" i="64"/>
  <c r="BJ19" i="64"/>
  <c r="Z117" i="64"/>
  <c r="BK110" i="64"/>
  <c r="BK94" i="64"/>
  <c r="BK78" i="64"/>
  <c r="BK62" i="64"/>
  <c r="BK46" i="64"/>
  <c r="BK30" i="64"/>
  <c r="BJ114" i="64"/>
  <c r="BJ98" i="64"/>
  <c r="BJ82" i="64"/>
  <c r="BJ66" i="64"/>
  <c r="BJ50" i="64"/>
  <c r="BJ108" i="64"/>
  <c r="BJ88" i="64"/>
  <c r="BJ64" i="64"/>
  <c r="BJ44" i="64"/>
  <c r="BJ24" i="64"/>
  <c r="BK100" i="64"/>
  <c r="BK80" i="64"/>
  <c r="BK60" i="64"/>
  <c r="BK36" i="64"/>
  <c r="BK16" i="64"/>
  <c r="BK103" i="64"/>
  <c r="BK79" i="64"/>
  <c r="BK59" i="64"/>
  <c r="BK39" i="64"/>
  <c r="BK15" i="64"/>
  <c r="BJ95" i="64"/>
  <c r="BJ75" i="64"/>
  <c r="BJ51" i="64"/>
  <c r="BJ31" i="64"/>
  <c r="BN15" i="64"/>
  <c r="BO15" i="64" s="1"/>
  <c r="BB117" i="64"/>
  <c r="BK106" i="64"/>
  <c r="BK90" i="64"/>
  <c r="BK74" i="64"/>
  <c r="BK58" i="64"/>
  <c r="BK42" i="64"/>
  <c r="BK26" i="64"/>
  <c r="BJ110" i="64"/>
  <c r="BJ94" i="64"/>
  <c r="BJ78" i="64"/>
  <c r="BJ62" i="64"/>
  <c r="BJ46" i="64"/>
  <c r="BJ104" i="64"/>
  <c r="BJ80" i="64"/>
  <c r="BJ60" i="64"/>
  <c r="BJ40" i="64"/>
  <c r="BJ16" i="64"/>
  <c r="BL16" i="64" s="1"/>
  <c r="BK96" i="64"/>
  <c r="BK76" i="64"/>
  <c r="BK52" i="64"/>
  <c r="BK32" i="64"/>
  <c r="AW117" i="64"/>
  <c r="BK95" i="64"/>
  <c r="BK75" i="64"/>
  <c r="BK55" i="64"/>
  <c r="BK31" i="64"/>
  <c r="BJ111" i="64"/>
  <c r="BJ91" i="64"/>
  <c r="BJ67" i="64"/>
  <c r="BJ47" i="64"/>
  <c r="BJ27" i="64"/>
  <c r="AC117" i="64"/>
  <c r="BK117" i="64"/>
  <c r="BK102" i="64"/>
  <c r="BK86" i="64"/>
  <c r="BK70" i="64"/>
  <c r="BK54" i="64"/>
  <c r="BK38" i="64"/>
  <c r="BK22" i="64"/>
  <c r="BJ106" i="64"/>
  <c r="BJ90" i="64"/>
  <c r="BJ74" i="64"/>
  <c r="BJ58" i="64"/>
  <c r="BJ29" i="64"/>
  <c r="BJ93" i="64"/>
  <c r="BJ15" i="64"/>
  <c r="BL15" i="64" s="1"/>
  <c r="BJ30" i="64"/>
  <c r="BJ54" i="64"/>
  <c r="BK18" i="64"/>
  <c r="BK82" i="64"/>
  <c r="BJ23" i="64"/>
  <c r="BJ107" i="64"/>
  <c r="BK91" i="64"/>
  <c r="BK68" i="64"/>
  <c r="BJ56" i="64"/>
  <c r="BJ15" i="115"/>
  <c r="BJ15" i="126"/>
  <c r="BN18" i="133"/>
  <c r="BO18" i="133" s="1"/>
  <c r="BJ15" i="105"/>
  <c r="BJ15" i="112"/>
  <c r="AI20" i="152"/>
  <c r="F124" i="104"/>
  <c r="O18" i="149"/>
  <c r="P18" i="149" s="1"/>
  <c r="V18" i="149" s="1"/>
  <c r="W18" i="149" s="1"/>
  <c r="F123" i="106"/>
  <c r="F123" i="132"/>
  <c r="F125" i="124"/>
  <c r="F127" i="124" s="1"/>
  <c r="F123" i="124"/>
  <c r="O15" i="95"/>
  <c r="F127" i="95"/>
  <c r="F127" i="66"/>
  <c r="AK15" i="66"/>
  <c r="F127" i="17"/>
  <c r="Z20" i="153"/>
  <c r="F27" i="15"/>
  <c r="F127" i="15"/>
  <c r="F137" i="101"/>
  <c r="F150" i="101"/>
  <c r="F145" i="101"/>
  <c r="F129" i="63"/>
  <c r="R16" i="63" s="1"/>
  <c r="T16" i="63" s="1"/>
  <c r="Y16" i="63" s="1"/>
  <c r="AK18" i="107"/>
  <c r="AH15" i="124"/>
  <c r="AH16" i="124"/>
  <c r="AH17" i="124"/>
  <c r="AK15" i="126"/>
  <c r="AH17" i="126"/>
  <c r="AH16" i="126"/>
  <c r="AH15" i="126"/>
  <c r="AH18" i="126"/>
  <c r="BJ16" i="107"/>
  <c r="BJ15" i="107"/>
  <c r="BJ16" i="104"/>
  <c r="BJ15" i="104"/>
  <c r="BJ16" i="99"/>
  <c r="BJ18" i="105"/>
  <c r="BK114" i="96"/>
  <c r="BK106" i="96"/>
  <c r="BK98" i="96"/>
  <c r="BK90" i="96"/>
  <c r="BK82" i="96"/>
  <c r="BK74" i="96"/>
  <c r="BK66" i="96"/>
  <c r="BK58" i="96"/>
  <c r="BK50" i="96"/>
  <c r="BK42" i="96"/>
  <c r="BJ35" i="96"/>
  <c r="BJ31" i="96"/>
  <c r="BJ27" i="96"/>
  <c r="BJ23" i="96"/>
  <c r="BJ19" i="96"/>
  <c r="BJ16" i="96"/>
  <c r="BL16" i="96" s="1"/>
  <c r="BJ113" i="96"/>
  <c r="BJ109" i="96"/>
  <c r="BJ105" i="96"/>
  <c r="BJ101" i="96"/>
  <c r="BJ97" i="96"/>
  <c r="BJ93" i="96"/>
  <c r="BJ89" i="96"/>
  <c r="BJ85" i="96"/>
  <c r="BJ81" i="96"/>
  <c r="BJ77" i="96"/>
  <c r="BJ73" i="96"/>
  <c r="BJ69" i="96"/>
  <c r="BJ65" i="96"/>
  <c r="BJ61" i="96"/>
  <c r="BJ57" i="96"/>
  <c r="BJ53" i="96"/>
  <c r="BJ49" i="96"/>
  <c r="BJ45" i="96"/>
  <c r="BJ41" i="96"/>
  <c r="BJ37" i="96"/>
  <c r="BJ33" i="96"/>
  <c r="BJ29" i="96"/>
  <c r="BJ25" i="96"/>
  <c r="BJ21" i="96"/>
  <c r="Z117" i="96"/>
  <c r="BL117" i="96"/>
  <c r="BK113" i="96"/>
  <c r="BK105" i="96"/>
  <c r="BK97" i="96"/>
  <c r="BK89" i="96"/>
  <c r="BK81" i="96"/>
  <c r="BK73" i="96"/>
  <c r="BK65" i="96"/>
  <c r="BK57" i="96"/>
  <c r="BK49" i="96"/>
  <c r="BK41" i="96"/>
  <c r="BK34" i="96"/>
  <c r="BK30" i="96"/>
  <c r="BK26" i="96"/>
  <c r="BK22" i="96"/>
  <c r="BK18" i="96"/>
  <c r="BN15" i="96"/>
  <c r="BO15" i="96" s="1"/>
  <c r="BK112" i="96"/>
  <c r="BK108" i="96"/>
  <c r="BK104" i="96"/>
  <c r="BK100" i="96"/>
  <c r="BK96" i="96"/>
  <c r="BK92" i="96"/>
  <c r="BK88" i="96"/>
  <c r="BK84" i="96"/>
  <c r="BK80" i="96"/>
  <c r="BK76" i="96"/>
  <c r="BK72" i="96"/>
  <c r="BK68" i="96"/>
  <c r="BK64" i="96"/>
  <c r="BK60" i="96"/>
  <c r="BK56" i="96"/>
  <c r="BK52" i="96"/>
  <c r="BK48" i="96"/>
  <c r="BK44" i="96"/>
  <c r="BK40" i="96"/>
  <c r="BK36" i="96"/>
  <c r="BK32" i="96"/>
  <c r="BK28" i="96"/>
  <c r="BK24" i="96"/>
  <c r="BK20" i="96"/>
  <c r="BJ17" i="96"/>
  <c r="BB117" i="96"/>
  <c r="AO117" i="96"/>
  <c r="BK110" i="96"/>
  <c r="BK102" i="96"/>
  <c r="BK94" i="96"/>
  <c r="BK86" i="96"/>
  <c r="BK78" i="96"/>
  <c r="BK70" i="96"/>
  <c r="BK62" i="96"/>
  <c r="BK54" i="96"/>
  <c r="BK46" i="96"/>
  <c r="BK38" i="96"/>
  <c r="BK33" i="96"/>
  <c r="BK29" i="96"/>
  <c r="BK25" i="96"/>
  <c r="BK21" i="96"/>
  <c r="BK17" i="96"/>
  <c r="BJ15" i="96"/>
  <c r="BL15" i="96" s="1"/>
  <c r="BK111" i="96"/>
  <c r="BK107" i="96"/>
  <c r="BK103" i="96"/>
  <c r="BK99" i="96"/>
  <c r="BK95" i="96"/>
  <c r="BK91" i="96"/>
  <c r="BK87" i="96"/>
  <c r="BK83" i="96"/>
  <c r="BK79" i="96"/>
  <c r="BK75" i="96"/>
  <c r="BK71" i="96"/>
  <c r="BK67" i="96"/>
  <c r="BK63" i="96"/>
  <c r="BK59" i="96"/>
  <c r="BK55" i="96"/>
  <c r="BK51" i="96"/>
  <c r="BK47" i="96"/>
  <c r="BK43" i="96"/>
  <c r="BK39" i="96"/>
  <c r="BK35" i="96"/>
  <c r="BK31" i="96"/>
  <c r="BK27" i="96"/>
  <c r="BK23" i="96"/>
  <c r="BK19" i="96"/>
  <c r="BK16" i="96"/>
  <c r="BH117" i="15"/>
  <c r="BK117" i="15"/>
  <c r="BJ111" i="15"/>
  <c r="BJ107" i="15"/>
  <c r="BJ103" i="15"/>
  <c r="BJ99" i="15"/>
  <c r="BJ95" i="15"/>
  <c r="BJ91" i="15"/>
  <c r="BJ87" i="15"/>
  <c r="BJ83" i="15"/>
  <c r="BJ79" i="15"/>
  <c r="BJ75" i="15"/>
  <c r="BJ71" i="15"/>
  <c r="BJ67" i="15"/>
  <c r="BJ63" i="15"/>
  <c r="BJ59" i="15"/>
  <c r="BJ55" i="15"/>
  <c r="BJ51" i="15"/>
  <c r="BJ47" i="15"/>
  <c r="BJ43" i="15"/>
  <c r="BJ39" i="15"/>
  <c r="BJ35" i="15"/>
  <c r="BJ31" i="15"/>
  <c r="BJ27" i="15"/>
  <c r="BJ23" i="15"/>
  <c r="BJ19" i="15"/>
  <c r="BN15" i="15"/>
  <c r="BO15" i="15" s="1"/>
  <c r="BK112" i="15"/>
  <c r="BK108" i="15"/>
  <c r="BK104" i="15"/>
  <c r="BK100" i="15"/>
  <c r="BK96" i="15"/>
  <c r="BK92" i="15"/>
  <c r="BK88" i="15"/>
  <c r="BK84" i="15"/>
  <c r="BK80" i="15"/>
  <c r="BK76" i="15"/>
  <c r="BK72" i="15"/>
  <c r="BK68" i="15"/>
  <c r="BK64" i="15"/>
  <c r="BK60" i="15"/>
  <c r="BK56" i="15"/>
  <c r="BK52" i="15"/>
  <c r="BK48" i="15"/>
  <c r="BK114" i="15"/>
  <c r="BK110" i="15"/>
  <c r="BK106" i="15"/>
  <c r="BK102" i="15"/>
  <c r="BK98" i="15"/>
  <c r="BK94" i="15"/>
  <c r="BK90" i="15"/>
  <c r="BK86" i="15"/>
  <c r="BK82" i="15"/>
  <c r="BK78" i="15"/>
  <c r="BK74" i="15"/>
  <c r="BK70" i="15"/>
  <c r="BK66" i="15"/>
  <c r="BK62" i="15"/>
  <c r="BK58" i="15"/>
  <c r="BK54" i="15"/>
  <c r="BK50" i="15"/>
  <c r="BK46" i="15"/>
  <c r="BK42" i="15"/>
  <c r="BK38" i="15"/>
  <c r="BK34" i="15"/>
  <c r="BK30" i="15"/>
  <c r="BK26" i="15"/>
  <c r="BK22" i="15"/>
  <c r="BK18" i="15"/>
  <c r="BJ15" i="15"/>
  <c r="BL15" i="15" s="1"/>
  <c r="BK111" i="15"/>
  <c r="BK107" i="15"/>
  <c r="BK103" i="15"/>
  <c r="BK99" i="15"/>
  <c r="BK95" i="15"/>
  <c r="BK91" i="15"/>
  <c r="BK87" i="15"/>
  <c r="BK83" i="15"/>
  <c r="BK79" i="15"/>
  <c r="BK75" i="15"/>
  <c r="BK71" i="15"/>
  <c r="BK67" i="15"/>
  <c r="BK63" i="15"/>
  <c r="BK59" i="15"/>
  <c r="BK55" i="15"/>
  <c r="BK51" i="15"/>
  <c r="BK113" i="15"/>
  <c r="BK109" i="15"/>
  <c r="BK105" i="15"/>
  <c r="BK101" i="15"/>
  <c r="BK97" i="15"/>
  <c r="BK93" i="15"/>
  <c r="BK89" i="15"/>
  <c r="BK85" i="15"/>
  <c r="BK81" i="15"/>
  <c r="BK77" i="15"/>
  <c r="BK73" i="15"/>
  <c r="BK69" i="15"/>
  <c r="BK65" i="15"/>
  <c r="BK61" i="15"/>
  <c r="BK57" i="15"/>
  <c r="BK53" i="15"/>
  <c r="BK49" i="15"/>
  <c r="BK45" i="15"/>
  <c r="BK41" i="15"/>
  <c r="BK37" i="15"/>
  <c r="BK33" i="15"/>
  <c r="BK29" i="15"/>
  <c r="BK25" i="15"/>
  <c r="BK21" i="15"/>
  <c r="BK17" i="15"/>
  <c r="BJ114" i="15"/>
  <c r="BJ110" i="15"/>
  <c r="BJ106" i="15"/>
  <c r="BJ102" i="15"/>
  <c r="BJ98" i="15"/>
  <c r="BJ94" i="15"/>
  <c r="BJ90" i="15"/>
  <c r="BJ86" i="15"/>
  <c r="BJ82" i="15"/>
  <c r="BJ78" i="15"/>
  <c r="BJ74" i="15"/>
  <c r="BJ70" i="15"/>
  <c r="BJ66" i="15"/>
  <c r="BJ62" i="15"/>
  <c r="BJ58" i="15"/>
  <c r="BJ54" i="15"/>
  <c r="BJ50" i="15"/>
  <c r="BK15" i="15"/>
  <c r="BK19" i="15"/>
  <c r="BK23" i="15"/>
  <c r="BK27" i="15"/>
  <c r="BK31" i="15"/>
  <c r="BK35" i="15"/>
  <c r="BK39" i="15"/>
  <c r="BK43" i="15"/>
  <c r="BK47" i="15"/>
  <c r="BJ61" i="15"/>
  <c r="BJ77" i="15"/>
  <c r="BJ93" i="15"/>
  <c r="BJ109" i="15"/>
  <c r="BJ24" i="15"/>
  <c r="BJ40" i="15"/>
  <c r="BJ56" i="15"/>
  <c r="BJ72" i="15"/>
  <c r="BJ88" i="15"/>
  <c r="BJ104" i="15"/>
  <c r="BK15" i="96"/>
  <c r="BJ30" i="96"/>
  <c r="BJ46" i="96"/>
  <c r="BJ62" i="96"/>
  <c r="BJ78" i="96"/>
  <c r="BJ94" i="96"/>
  <c r="BJ110" i="96"/>
  <c r="BJ24" i="96"/>
  <c r="BK45" i="96"/>
  <c r="BK77" i="96"/>
  <c r="BK109" i="96"/>
  <c r="AI117" i="15"/>
  <c r="BK16" i="15"/>
  <c r="BK20" i="15"/>
  <c r="BK24" i="15"/>
  <c r="BK28" i="15"/>
  <c r="BK32" i="15"/>
  <c r="BK36" i="15"/>
  <c r="BK40" i="15"/>
  <c r="BK44" i="15"/>
  <c r="BJ49" i="15"/>
  <c r="BJ65" i="15"/>
  <c r="BJ81" i="15"/>
  <c r="BJ97" i="15"/>
  <c r="BJ113" i="15"/>
  <c r="BJ28" i="15"/>
  <c r="BJ44" i="15"/>
  <c r="BJ60" i="15"/>
  <c r="BJ76" i="15"/>
  <c r="BJ92" i="15"/>
  <c r="BJ108" i="15"/>
  <c r="BJ18" i="96"/>
  <c r="BJ34" i="96"/>
  <c r="BJ50" i="96"/>
  <c r="BJ66" i="96"/>
  <c r="BJ82" i="96"/>
  <c r="BJ98" i="96"/>
  <c r="BJ114" i="96"/>
  <c r="BJ28" i="96"/>
  <c r="BK53" i="96"/>
  <c r="BK85" i="96"/>
  <c r="BJ17" i="15"/>
  <c r="BJ21" i="15"/>
  <c r="BJ25" i="15"/>
  <c r="BJ29" i="15"/>
  <c r="BJ33" i="15"/>
  <c r="BJ37" i="15"/>
  <c r="BJ41" i="15"/>
  <c r="BJ45" i="15"/>
  <c r="BJ53" i="15"/>
  <c r="BJ69" i="15"/>
  <c r="BJ85" i="15"/>
  <c r="BJ101" i="15"/>
  <c r="BJ16" i="15"/>
  <c r="BJ32" i="15"/>
  <c r="BJ48" i="15"/>
  <c r="BJ64" i="15"/>
  <c r="BJ80" i="15"/>
  <c r="BJ96" i="15"/>
  <c r="BJ112" i="15"/>
  <c r="BJ22" i="96"/>
  <c r="BJ38" i="96"/>
  <c r="BJ54" i="96"/>
  <c r="BJ70" i="96"/>
  <c r="BJ86" i="96"/>
  <c r="BJ102" i="96"/>
  <c r="BN16" i="96"/>
  <c r="BO16" i="96" s="1"/>
  <c r="BJ32" i="96"/>
  <c r="BK61" i="96"/>
  <c r="BK93" i="96"/>
  <c r="BJ17" i="99"/>
  <c r="BJ18" i="99"/>
  <c r="BJ15" i="99"/>
  <c r="BK22" i="63"/>
  <c r="AF117" i="63"/>
  <c r="BK113" i="63"/>
  <c r="BK97" i="63"/>
  <c r="BK81" i="63"/>
  <c r="BK65" i="63"/>
  <c r="BK49" i="63"/>
  <c r="BK33" i="63"/>
  <c r="BK17" i="63"/>
  <c r="BJ101" i="63"/>
  <c r="BJ85" i="63"/>
  <c r="BJ69" i="63"/>
  <c r="BJ53" i="63"/>
  <c r="BJ37" i="63"/>
  <c r="BJ21" i="63"/>
  <c r="AC117" i="63"/>
  <c r="BJ108" i="63"/>
  <c r="BJ92" i="63"/>
  <c r="BJ76" i="63"/>
  <c r="BJ60" i="63"/>
  <c r="BJ44" i="63"/>
  <c r="BJ28" i="63"/>
  <c r="BK112" i="63"/>
  <c r="BK96" i="63"/>
  <c r="BK80" i="63"/>
  <c r="BK64" i="63"/>
  <c r="BK48" i="63"/>
  <c r="BK32" i="63"/>
  <c r="BK16" i="63"/>
  <c r="BJ107" i="63"/>
  <c r="BJ91" i="63"/>
  <c r="BJ75" i="63"/>
  <c r="BJ59" i="63"/>
  <c r="BJ43" i="63"/>
  <c r="BJ27" i="63"/>
  <c r="BK111" i="63"/>
  <c r="BK95" i="63"/>
  <c r="BK79" i="63"/>
  <c r="BK63" i="63"/>
  <c r="BK47" i="63"/>
  <c r="BK31" i="63"/>
  <c r="BK15" i="63"/>
  <c r="BK114" i="63"/>
  <c r="BK50" i="63"/>
  <c r="BJ86" i="63"/>
  <c r="BJ22" i="63"/>
  <c r="BK62" i="63"/>
  <c r="BJ98" i="63"/>
  <c r="BJ34" i="63"/>
  <c r="BK90" i="63"/>
  <c r="BK26" i="63"/>
  <c r="BJ62" i="63"/>
  <c r="BJ90" i="63"/>
  <c r="BH117" i="63"/>
  <c r="BK109" i="63"/>
  <c r="BK93" i="63"/>
  <c r="BK77" i="63"/>
  <c r="BK61" i="63"/>
  <c r="BK45" i="63"/>
  <c r="BK29" i="63"/>
  <c r="BJ113" i="63"/>
  <c r="BJ97" i="63"/>
  <c r="BJ81" i="63"/>
  <c r="BJ65" i="63"/>
  <c r="BJ49" i="63"/>
  <c r="BJ33" i="63"/>
  <c r="BJ17" i="63"/>
  <c r="BE117" i="63"/>
  <c r="BJ104" i="63"/>
  <c r="BJ88" i="63"/>
  <c r="BJ72" i="63"/>
  <c r="BJ56" i="63"/>
  <c r="BJ40" i="63"/>
  <c r="BJ24" i="63"/>
  <c r="BK108" i="63"/>
  <c r="BK92" i="63"/>
  <c r="BK76" i="63"/>
  <c r="BK60" i="63"/>
  <c r="BK44" i="63"/>
  <c r="BK28" i="63"/>
  <c r="AR117" i="63"/>
  <c r="BJ103" i="63"/>
  <c r="BJ87" i="63"/>
  <c r="BJ71" i="63"/>
  <c r="BJ55" i="63"/>
  <c r="BJ39" i="63"/>
  <c r="BJ23" i="63"/>
  <c r="BK107" i="63"/>
  <c r="BK91" i="63"/>
  <c r="BK75" i="63"/>
  <c r="BK59" i="63"/>
  <c r="BK43" i="63"/>
  <c r="BK27" i="63"/>
  <c r="BK98" i="63"/>
  <c r="BK34" i="63"/>
  <c r="BJ70" i="63"/>
  <c r="BK110" i="63"/>
  <c r="BK46" i="63"/>
  <c r="BJ82" i="63"/>
  <c r="BJ18" i="63"/>
  <c r="BK74" i="63"/>
  <c r="BJ110" i="63"/>
  <c r="BJ46" i="63"/>
  <c r="BJ26" i="63"/>
  <c r="AW117" i="63"/>
  <c r="BK105" i="63"/>
  <c r="BK89" i="63"/>
  <c r="BK73" i="63"/>
  <c r="BK57" i="63"/>
  <c r="BK41" i="63"/>
  <c r="BK25" i="63"/>
  <c r="BJ109" i="63"/>
  <c r="BJ93" i="63"/>
  <c r="BJ77" i="63"/>
  <c r="BJ61" i="63"/>
  <c r="BJ45" i="63"/>
  <c r="BJ29" i="63"/>
  <c r="AL117" i="63"/>
  <c r="BO117" i="63"/>
  <c r="BJ100" i="63"/>
  <c r="BJ84" i="63"/>
  <c r="BJ68" i="63"/>
  <c r="BJ52" i="63"/>
  <c r="BJ36" i="63"/>
  <c r="BJ20" i="63"/>
  <c r="BK104" i="63"/>
  <c r="BK88" i="63"/>
  <c r="BK72" i="63"/>
  <c r="BK56" i="63"/>
  <c r="BK40" i="63"/>
  <c r="BK24" i="63"/>
  <c r="AI117" i="63"/>
  <c r="BJ99" i="63"/>
  <c r="BJ83" i="63"/>
  <c r="BJ67" i="63"/>
  <c r="BJ51" i="63"/>
  <c r="BJ35" i="63"/>
  <c r="BJ19" i="63"/>
  <c r="BK103" i="63"/>
  <c r="BK87" i="63"/>
  <c r="BK71" i="63"/>
  <c r="BK55" i="63"/>
  <c r="BK39" i="63"/>
  <c r="BK23" i="63"/>
  <c r="BK82" i="63"/>
  <c r="BK18" i="63"/>
  <c r="BJ54" i="63"/>
  <c r="BK94" i="63"/>
  <c r="BK30" i="63"/>
  <c r="BJ66" i="63"/>
  <c r="BK117" i="63"/>
  <c r="BK58" i="63"/>
  <c r="BJ94" i="63"/>
  <c r="BJ30" i="63"/>
  <c r="BJ112" i="66"/>
  <c r="BK35" i="66"/>
  <c r="BK104" i="66"/>
  <c r="BK72" i="66"/>
  <c r="BJ40" i="66"/>
  <c r="BJ111" i="66"/>
  <c r="BJ95" i="66"/>
  <c r="BJ79" i="66"/>
  <c r="BK117" i="66"/>
  <c r="BK102" i="66"/>
  <c r="BK86" i="66"/>
  <c r="BK70" i="66"/>
  <c r="BJ54" i="66"/>
  <c r="AC117" i="66"/>
  <c r="BK113" i="66"/>
  <c r="BK97" i="66"/>
  <c r="BK81" i="66"/>
  <c r="BJ65" i="66"/>
  <c r="BJ49" i="66"/>
  <c r="BJ92" i="66"/>
  <c r="BK52" i="66"/>
  <c r="BK30" i="66"/>
  <c r="BJ15" i="66"/>
  <c r="BL15" i="66" s="1"/>
  <c r="BK99" i="66"/>
  <c r="BJ80" i="66"/>
  <c r="BJ27" i="66"/>
  <c r="BK96" i="66"/>
  <c r="BJ64" i="66"/>
  <c r="BJ32" i="66"/>
  <c r="AO117" i="66"/>
  <c r="BJ107" i="66"/>
  <c r="BJ91" i="66"/>
  <c r="AW117" i="66"/>
  <c r="BK114" i="66"/>
  <c r="BK98" i="66"/>
  <c r="BK82" i="66"/>
  <c r="BK66" i="66"/>
  <c r="BK50" i="66"/>
  <c r="BE117" i="66"/>
  <c r="BK109" i="66"/>
  <c r="BK93" i="66"/>
  <c r="BK77" i="66"/>
  <c r="BJ61" i="66"/>
  <c r="BJ45" i="66"/>
  <c r="BJ76" i="66"/>
  <c r="BK44" i="66"/>
  <c r="BK26" i="66"/>
  <c r="BK111" i="66"/>
  <c r="BK95" i="66"/>
  <c r="BJ63" i="66"/>
  <c r="BJ19" i="66"/>
  <c r="BK88" i="66"/>
  <c r="BJ56" i="66"/>
  <c r="BJ24" i="66"/>
  <c r="Z117" i="66"/>
  <c r="BJ103" i="66"/>
  <c r="BJ87" i="66"/>
  <c r="AF117" i="66"/>
  <c r="BK110" i="66"/>
  <c r="BK94" i="66"/>
  <c r="BK78" i="66"/>
  <c r="BK62" i="66"/>
  <c r="BK46" i="66"/>
  <c r="AL117" i="66"/>
  <c r="BK105" i="66"/>
  <c r="BK89" i="66"/>
  <c r="BK73" i="66"/>
  <c r="BJ57" i="66"/>
  <c r="BJ41" i="66"/>
  <c r="BJ68" i="66"/>
  <c r="BJ38" i="66"/>
  <c r="BK22" i="66"/>
  <c r="AI117" i="129"/>
  <c r="BJ81" i="129"/>
  <c r="BN17" i="129"/>
  <c r="BO17" i="129" s="1"/>
  <c r="BK55" i="129"/>
  <c r="AC117" i="129"/>
  <c r="Z117" i="129"/>
  <c r="BJ65" i="129"/>
  <c r="BK103" i="129"/>
  <c r="BK39" i="129"/>
  <c r="AO117" i="129"/>
  <c r="AF117" i="129"/>
  <c r="BK113" i="129"/>
  <c r="BJ49" i="129"/>
  <c r="BK87" i="129"/>
  <c r="BK23" i="129"/>
  <c r="BE117" i="129"/>
  <c r="AR117" i="129"/>
  <c r="AK16" i="112"/>
  <c r="K15" i="110"/>
  <c r="AT15" i="63"/>
  <c r="AA55" i="58"/>
  <c r="S23" i="58"/>
  <c r="H49" i="58"/>
  <c r="V49" i="58" s="1"/>
  <c r="H45" i="58"/>
  <c r="M42" i="58"/>
  <c r="AA42" i="58"/>
  <c r="H24" i="58"/>
  <c r="H32" i="58"/>
  <c r="V32" i="58" s="1"/>
  <c r="H40" i="58"/>
  <c r="X40" i="58" s="1"/>
  <c r="H48" i="58"/>
  <c r="T48" i="58" s="1"/>
  <c r="H56" i="58"/>
  <c r="X56" i="58" s="1"/>
  <c r="H31" i="58"/>
  <c r="X31" i="58" s="1"/>
  <c r="H47" i="58"/>
  <c r="T47" i="58" s="1"/>
  <c r="H33" i="58"/>
  <c r="X33" i="58" s="1"/>
  <c r="H41" i="58"/>
  <c r="V41" i="58" s="1"/>
  <c r="H18" i="58"/>
  <c r="H26" i="58"/>
  <c r="X26" i="58" s="1"/>
  <c r="H34" i="58"/>
  <c r="X34" i="58" s="1"/>
  <c r="H42" i="58"/>
  <c r="H50" i="58"/>
  <c r="X50" i="58" s="1"/>
  <c r="H19" i="58"/>
  <c r="X19" i="58" s="1"/>
  <c r="H35" i="58"/>
  <c r="V35" i="58" s="1"/>
  <c r="H51" i="58"/>
  <c r="X51" i="58" s="1"/>
  <c r="J56" i="58"/>
  <c r="Z56" i="58" s="1"/>
  <c r="P41" i="58"/>
  <c r="R41" i="58" s="1"/>
  <c r="P26" i="58"/>
  <c r="R26" i="58" s="1"/>
  <c r="H37" i="58"/>
  <c r="H17" i="58"/>
  <c r="V17" i="58" s="1"/>
  <c r="O34" i="58"/>
  <c r="H20" i="58"/>
  <c r="V20" i="58" s="1"/>
  <c r="H28" i="58"/>
  <c r="T28" i="58" s="1"/>
  <c r="H36" i="58"/>
  <c r="X36" i="58" s="1"/>
  <c r="H44" i="58"/>
  <c r="X44" i="58" s="1"/>
  <c r="H52" i="58"/>
  <c r="T52" i="58" s="1"/>
  <c r="H23" i="58"/>
  <c r="X23" i="58" s="1"/>
  <c r="H39" i="58"/>
  <c r="T39" i="58" s="1"/>
  <c r="H55" i="58"/>
  <c r="T55" i="58" s="1"/>
  <c r="X29" i="58"/>
  <c r="M29" i="58"/>
  <c r="AA29" i="58"/>
  <c r="O22" i="58"/>
  <c r="X22" i="58"/>
  <c r="X27" i="58"/>
  <c r="F125" i="135"/>
  <c r="F127" i="135" s="1"/>
  <c r="F123" i="15"/>
  <c r="F124" i="124"/>
  <c r="F124" i="130"/>
  <c r="F129" i="115"/>
  <c r="R16" i="115" s="1"/>
  <c r="T16" i="115" s="1"/>
  <c r="Y16" i="115" s="1"/>
  <c r="W16" i="151"/>
  <c r="R15" i="96"/>
  <c r="T15" i="96" s="1"/>
  <c r="F127" i="96"/>
  <c r="P15" i="96" s="1"/>
  <c r="V15" i="96" s="1"/>
  <c r="W15" i="96" s="1"/>
  <c r="AQ20" i="153"/>
  <c r="AR20" i="153" s="1"/>
  <c r="AB15" i="112"/>
  <c r="AQ20" i="152"/>
  <c r="AR20" i="152" s="1"/>
  <c r="AC20" i="153"/>
  <c r="F125" i="64"/>
  <c r="F127" i="64" s="1"/>
  <c r="F124" i="107"/>
  <c r="F125" i="107"/>
  <c r="F127" i="107" s="1"/>
  <c r="F123" i="129"/>
  <c r="BR20" i="152"/>
  <c r="AL20" i="152"/>
  <c r="AF20" i="153"/>
  <c r="AI20" i="153"/>
  <c r="AL20" i="153"/>
  <c r="W20" i="153"/>
  <c r="AO20" i="153"/>
  <c r="BR20" i="153"/>
  <c r="F152" i="133"/>
  <c r="F137" i="130"/>
  <c r="F4" i="130"/>
  <c r="F141" i="130"/>
  <c r="F142" i="133"/>
  <c r="F142" i="130"/>
  <c r="F4" i="133"/>
  <c r="AY17" i="132"/>
  <c r="BA17" i="132" s="1"/>
  <c r="F123" i="107"/>
  <c r="F125" i="105"/>
  <c r="F129" i="129"/>
  <c r="R16" i="129" s="1"/>
  <c r="R17" i="129" s="1"/>
  <c r="T17" i="129" s="1"/>
  <c r="Y17" i="129" s="1"/>
  <c r="F124" i="64"/>
  <c r="F129" i="66"/>
  <c r="F129" i="120"/>
  <c r="F123" i="105"/>
  <c r="F123" i="115"/>
  <c r="F129" i="98"/>
  <c r="F125" i="129"/>
  <c r="F127" i="129" s="1"/>
  <c r="F129" i="64"/>
  <c r="R16" i="64" s="1"/>
  <c r="T16" i="64" s="1"/>
  <c r="Y16" i="64" s="1"/>
  <c r="F129" i="101"/>
  <c r="F124" i="17"/>
  <c r="F123" i="130"/>
  <c r="F124" i="105"/>
  <c r="F124" i="112"/>
  <c r="P17" i="151"/>
  <c r="V17" i="151" s="1"/>
  <c r="W17" i="151" s="1"/>
  <c r="F125" i="106"/>
  <c r="F127" i="106" s="1"/>
  <c r="F123" i="104"/>
  <c r="F129" i="132"/>
  <c r="R16" i="132" s="1"/>
  <c r="R17" i="132" s="1"/>
  <c r="T17" i="132" s="1"/>
  <c r="Y17" i="132" s="1"/>
  <c r="F124" i="106"/>
  <c r="F125" i="104"/>
  <c r="F127" i="104" s="1"/>
  <c r="F125" i="132"/>
  <c r="F127" i="132" s="1"/>
  <c r="F123" i="63"/>
  <c r="F125" i="63"/>
  <c r="F127" i="63" s="1"/>
  <c r="F124" i="118"/>
  <c r="AC20" i="155"/>
  <c r="AI20" i="155"/>
  <c r="AF20" i="155"/>
  <c r="I23" i="155"/>
  <c r="K22" i="155"/>
  <c r="BN21" i="155"/>
  <c r="BO21" i="155" s="1"/>
  <c r="AE21" i="155"/>
  <c r="AH21" i="155"/>
  <c r="M21" i="155"/>
  <c r="AB21" i="155"/>
  <c r="BL21" i="155"/>
  <c r="U42" i="58"/>
  <c r="P32" i="58"/>
  <c r="R32" i="58" s="1"/>
  <c r="A10" i="58"/>
  <c r="P28" i="58"/>
  <c r="R28" i="58" s="1"/>
  <c r="V10" i="58"/>
  <c r="X10" i="58"/>
  <c r="V21" i="58"/>
  <c r="X18" i="58"/>
  <c r="X42" i="58"/>
  <c r="W22" i="58"/>
  <c r="Y22" i="58"/>
  <c r="W33" i="58"/>
  <c r="Y33" i="58"/>
  <c r="W10" i="58"/>
  <c r="Y10" i="58"/>
  <c r="X45" i="58"/>
  <c r="W43" i="58"/>
  <c r="Y43" i="58"/>
  <c r="W16" i="58"/>
  <c r="Y16" i="58"/>
  <c r="T29" i="58"/>
  <c r="U19" i="58"/>
  <c r="Y19" i="58"/>
  <c r="X32" i="58"/>
  <c r="X48" i="58"/>
  <c r="Y38" i="58"/>
  <c r="W23" i="58"/>
  <c r="Y23" i="58"/>
  <c r="F124" i="126"/>
  <c r="F125" i="99"/>
  <c r="F123" i="114"/>
  <c r="F129" i="133"/>
  <c r="R16" i="133" s="1"/>
  <c r="R17" i="133" s="1"/>
  <c r="T17" i="133" s="1"/>
  <c r="Y17" i="133" s="1"/>
  <c r="F125" i="110"/>
  <c r="F127" i="110" s="1"/>
  <c r="F123" i="126"/>
  <c r="F123" i="136"/>
  <c r="AF20" i="152"/>
  <c r="AC20" i="152"/>
  <c r="Z20" i="152"/>
  <c r="P53" i="58"/>
  <c r="R53" i="58" s="1"/>
  <c r="Q33" i="58"/>
  <c r="P55" i="58"/>
  <c r="R55" i="58" s="1"/>
  <c r="M47" i="58"/>
  <c r="P20" i="58"/>
  <c r="R20" i="58" s="1"/>
  <c r="P19" i="58"/>
  <c r="R19" i="58" s="1"/>
  <c r="P18" i="58"/>
  <c r="R18" i="58" s="1"/>
  <c r="P44" i="58"/>
  <c r="R44" i="58" s="1"/>
  <c r="J18" i="58"/>
  <c r="J22" i="58"/>
  <c r="Z22" i="58" s="1"/>
  <c r="J26" i="58"/>
  <c r="Z26" i="58" s="1"/>
  <c r="J30" i="58"/>
  <c r="Z30" i="58" s="1"/>
  <c r="J34" i="58"/>
  <c r="Z34" i="58" s="1"/>
  <c r="J38" i="58"/>
  <c r="Z38" i="58" s="1"/>
  <c r="J42" i="58"/>
  <c r="Z42" i="58" s="1"/>
  <c r="J46" i="58"/>
  <c r="Z46" i="58" s="1"/>
  <c r="J50" i="58"/>
  <c r="Z50" i="58" s="1"/>
  <c r="J54" i="58"/>
  <c r="Z54" i="58" s="1"/>
  <c r="Q54" i="58"/>
  <c r="S54" i="58" s="1"/>
  <c r="Q24" i="58"/>
  <c r="S24" i="58" s="1"/>
  <c r="J19" i="58"/>
  <c r="Z19" i="58" s="1"/>
  <c r="J23" i="58"/>
  <c r="Z23" i="58" s="1"/>
  <c r="J27" i="58"/>
  <c r="Z27" i="58" s="1"/>
  <c r="J31" i="58"/>
  <c r="Z31" i="58" s="1"/>
  <c r="J35" i="58"/>
  <c r="Z35" i="58" s="1"/>
  <c r="J39" i="58"/>
  <c r="Z39" i="58" s="1"/>
  <c r="J43" i="58"/>
  <c r="Z43" i="58" s="1"/>
  <c r="J47" i="58"/>
  <c r="Z47" i="58" s="1"/>
  <c r="J51" i="58"/>
  <c r="Z51" i="58" s="1"/>
  <c r="J55" i="58"/>
  <c r="Z55" i="58" s="1"/>
  <c r="M40" i="58"/>
  <c r="J20" i="58"/>
  <c r="Z20" i="58" s="1"/>
  <c r="J24" i="58"/>
  <c r="Z24" i="58" s="1"/>
  <c r="J28" i="58"/>
  <c r="Z28" i="58" s="1"/>
  <c r="J32" i="58"/>
  <c r="Z32" i="58" s="1"/>
  <c r="J36" i="58"/>
  <c r="Z36" i="58" s="1"/>
  <c r="J40" i="58"/>
  <c r="Z40" i="58" s="1"/>
  <c r="J44" i="58"/>
  <c r="Z44" i="58" s="1"/>
  <c r="J48" i="58"/>
  <c r="Z48" i="58" s="1"/>
  <c r="J52" i="58"/>
  <c r="Z52" i="58" s="1"/>
  <c r="P22" i="58"/>
  <c r="R22" i="58" s="1"/>
  <c r="P43" i="58"/>
  <c r="R43" i="58" s="1"/>
  <c r="T21" i="58"/>
  <c r="Q38" i="58"/>
  <c r="S38" i="58" s="1"/>
  <c r="V18" i="58"/>
  <c r="T34" i="58"/>
  <c r="V48" i="58"/>
  <c r="U38" i="58"/>
  <c r="W38" i="58"/>
  <c r="V29" i="58"/>
  <c r="W42" i="58"/>
  <c r="T22" i="58"/>
  <c r="V22" i="58"/>
  <c r="V30" i="58"/>
  <c r="N33" i="58"/>
  <c r="H25" i="58"/>
  <c r="V16" i="58"/>
  <c r="T27" i="58"/>
  <c r="V27" i="58"/>
  <c r="W32" i="58"/>
  <c r="W19" i="58"/>
  <c r="U47" i="58"/>
  <c r="W47" i="58"/>
  <c r="I26" i="153"/>
  <c r="M21" i="153"/>
  <c r="O21" i="153"/>
  <c r="P21" i="153" s="1"/>
  <c r="V21" i="153" s="1"/>
  <c r="AB21" i="153"/>
  <c r="AH21" i="153"/>
  <c r="AN21" i="153"/>
  <c r="R21" i="153"/>
  <c r="T21" i="153" s="1"/>
  <c r="Y21" i="153" s="1"/>
  <c r="AE21" i="153"/>
  <c r="BN21" i="153"/>
  <c r="BO21" i="153" s="1"/>
  <c r="AK21" i="153"/>
  <c r="BQ21" i="153"/>
  <c r="BL21" i="153"/>
  <c r="K22" i="153"/>
  <c r="AN16" i="115"/>
  <c r="AO16" i="115" s="1"/>
  <c r="AE15" i="115"/>
  <c r="AH18" i="107"/>
  <c r="AE16" i="135"/>
  <c r="AF16" i="135" s="1"/>
  <c r="BQ17" i="129"/>
  <c r="AY16" i="135"/>
  <c r="AB15" i="107"/>
  <c r="AB17" i="129"/>
  <c r="AE15" i="63"/>
  <c r="AN16" i="129"/>
  <c r="AO16" i="129" s="1"/>
  <c r="AN15" i="135"/>
  <c r="AO15" i="135" s="1"/>
  <c r="AK16" i="129"/>
  <c r="AL16" i="129" s="1"/>
  <c r="AB15" i="129"/>
  <c r="AC15" i="129" s="1"/>
  <c r="AB15" i="98"/>
  <c r="AB15" i="115"/>
  <c r="AT15" i="107"/>
  <c r="AN17" i="107"/>
  <c r="AH16" i="107"/>
  <c r="AH17" i="107"/>
  <c r="AB16" i="107"/>
  <c r="AN17" i="129"/>
  <c r="AO17" i="129" s="1"/>
  <c r="AY15" i="98"/>
  <c r="AB16" i="135"/>
  <c r="AC16" i="135" s="1"/>
  <c r="AH15" i="135"/>
  <c r="AI15" i="135" s="1"/>
  <c r="AK16" i="135"/>
  <c r="AL16" i="135" s="1"/>
  <c r="AB15" i="135"/>
  <c r="AC15" i="135" s="1"/>
  <c r="AK17" i="129"/>
  <c r="AH16" i="115"/>
  <c r="AI16" i="115" s="1"/>
  <c r="AK15" i="115"/>
  <c r="AE15" i="98"/>
  <c r="AB15" i="63"/>
  <c r="AB16" i="63"/>
  <c r="AT16" i="115"/>
  <c r="AE16" i="107"/>
  <c r="AN16" i="135"/>
  <c r="AO16" i="135" s="1"/>
  <c r="AK15" i="135"/>
  <c r="AL15" i="135" s="1"/>
  <c r="AE15" i="135"/>
  <c r="AF15" i="135" s="1"/>
  <c r="AH17" i="129"/>
  <c r="AB16" i="129"/>
  <c r="AC16" i="129" s="1"/>
  <c r="Y15" i="63"/>
  <c r="AK16" i="115"/>
  <c r="AL16" i="115" s="1"/>
  <c r="AH15" i="115"/>
  <c r="AN15" i="115"/>
  <c r="AO15" i="115" s="1"/>
  <c r="AE15" i="107"/>
  <c r="AH15" i="63"/>
  <c r="AN15" i="63"/>
  <c r="BQ15" i="129"/>
  <c r="BR15" i="129" s="1"/>
  <c r="AK16" i="107"/>
  <c r="AK15" i="107"/>
  <c r="AH15" i="98"/>
  <c r="AN16" i="107"/>
  <c r="AK17" i="107"/>
  <c r="AN18" i="107"/>
  <c r="AH15" i="107"/>
  <c r="AB16" i="115"/>
  <c r="AC16" i="115" s="1"/>
  <c r="AT15" i="115"/>
  <c r="AY16" i="107"/>
  <c r="BQ16" i="129"/>
  <c r="BR16" i="129" s="1"/>
  <c r="AN15" i="129"/>
  <c r="AO15" i="129" s="1"/>
  <c r="Y15" i="129"/>
  <c r="Z15" i="129" s="1"/>
  <c r="Y15" i="135"/>
  <c r="Z15" i="135" s="1"/>
  <c r="AK17" i="135"/>
  <c r="AH16" i="135"/>
  <c r="AI16" i="135" s="1"/>
  <c r="AE15" i="129"/>
  <c r="AF15" i="129" s="1"/>
  <c r="AE16" i="129"/>
  <c r="AF16" i="129" s="1"/>
  <c r="AE17" i="129"/>
  <c r="AF17" i="129" s="1"/>
  <c r="AE16" i="115"/>
  <c r="AF16" i="115" s="1"/>
  <c r="AH16" i="129"/>
  <c r="AK15" i="129"/>
  <c r="AK15" i="63"/>
  <c r="AY16" i="115"/>
  <c r="AN15" i="132"/>
  <c r="AO15" i="132" s="1"/>
  <c r="AO20" i="152"/>
  <c r="I30" i="152"/>
  <c r="AB21" i="152"/>
  <c r="AH21" i="152"/>
  <c r="AN21" i="152"/>
  <c r="AK21" i="152"/>
  <c r="BQ21" i="152"/>
  <c r="AE21" i="152"/>
  <c r="M21" i="152"/>
  <c r="BN21" i="152"/>
  <c r="BO21" i="152" s="1"/>
  <c r="R21" i="152"/>
  <c r="T21" i="152" s="1"/>
  <c r="Y21" i="152" s="1"/>
  <c r="K22" i="152"/>
  <c r="BL21" i="152"/>
  <c r="AO18" i="149"/>
  <c r="AL18" i="149"/>
  <c r="AI18" i="149"/>
  <c r="AY16" i="129"/>
  <c r="BG16" i="129" s="1"/>
  <c r="BH16" i="129" s="1"/>
  <c r="F124" i="15"/>
  <c r="F129" i="135"/>
  <c r="R16" i="135" s="1"/>
  <c r="F123" i="17"/>
  <c r="F124" i="115"/>
  <c r="F124" i="66"/>
  <c r="F123" i="135"/>
  <c r="F129" i="130"/>
  <c r="R16" i="130" s="1"/>
  <c r="F129" i="15"/>
  <c r="F125" i="120"/>
  <c r="F127" i="120" s="1"/>
  <c r="F125" i="112"/>
  <c r="F127" i="112" s="1"/>
  <c r="F125" i="98"/>
  <c r="F127" i="98" s="1"/>
  <c r="F129" i="17"/>
  <c r="F123" i="66"/>
  <c r="F124" i="120"/>
  <c r="F129" i="112"/>
  <c r="R16" i="112" s="1"/>
  <c r="F124" i="98"/>
  <c r="N37" i="58"/>
  <c r="AT16" i="129"/>
  <c r="AY15" i="105"/>
  <c r="N52" i="58"/>
  <c r="F125" i="126"/>
  <c r="F127" i="126" s="1"/>
  <c r="F124" i="13"/>
  <c r="F124" i="114"/>
  <c r="F124" i="133"/>
  <c r="F129" i="118"/>
  <c r="F125" i="114"/>
  <c r="F127" i="114" s="1"/>
  <c r="F124" i="110"/>
  <c r="F123" i="99"/>
  <c r="F123" i="133"/>
  <c r="F124" i="136"/>
  <c r="F123" i="118"/>
  <c r="F129" i="13"/>
  <c r="F124" i="99"/>
  <c r="F125" i="13"/>
  <c r="F127" i="13" s="1"/>
  <c r="F129" i="110"/>
  <c r="AE16" i="99"/>
  <c r="AB18" i="99"/>
  <c r="AB17" i="105"/>
  <c r="AC17" i="105" s="1"/>
  <c r="AT18" i="99"/>
  <c r="AY16" i="112"/>
  <c r="AE16" i="112"/>
  <c r="AE16" i="105"/>
  <c r="AT15" i="99"/>
  <c r="AN17" i="64"/>
  <c r="AT17" i="64"/>
  <c r="AV17" i="64" s="1"/>
  <c r="AT15" i="66"/>
  <c r="AK15" i="96"/>
  <c r="AL15" i="96" s="1"/>
  <c r="AN15" i="112"/>
  <c r="AY18" i="105"/>
  <c r="AT17" i="99"/>
  <c r="AT18" i="105"/>
  <c r="AE16" i="132"/>
  <c r="AF16" i="132" s="1"/>
  <c r="AK16" i="132"/>
  <c r="AL16" i="132" s="1"/>
  <c r="F145" i="64"/>
  <c r="O17" i="147"/>
  <c r="P17" i="147" s="1"/>
  <c r="V17" i="147" s="1"/>
  <c r="AB16" i="132"/>
  <c r="AC16" i="132" s="1"/>
  <c r="AH16" i="132"/>
  <c r="AI16" i="132" s="1"/>
  <c r="F134" i="64"/>
  <c r="AY15" i="132"/>
  <c r="BA15" i="132" s="1"/>
  <c r="BB15" i="132" s="1"/>
  <c r="AE15" i="132"/>
  <c r="AF15" i="132" s="1"/>
  <c r="F150" i="64"/>
  <c r="F151" i="64" s="1"/>
  <c r="R18" i="151"/>
  <c r="T18" i="151" s="1"/>
  <c r="Y18" i="151" s="1"/>
  <c r="Z18" i="151" s="1"/>
  <c r="AQ17" i="150"/>
  <c r="AR17" i="150" s="1"/>
  <c r="F150" i="104"/>
  <c r="F151" i="104" s="1"/>
  <c r="F145" i="104"/>
  <c r="F134" i="104"/>
  <c r="AI18" i="151"/>
  <c r="AO18" i="151"/>
  <c r="AF18" i="151"/>
  <c r="AL18" i="151"/>
  <c r="BR18" i="151"/>
  <c r="K20" i="151"/>
  <c r="I21" i="151"/>
  <c r="AC18" i="151"/>
  <c r="AQ18" i="151"/>
  <c r="AR18" i="151" s="1"/>
  <c r="BQ19" i="151"/>
  <c r="AK19" i="151"/>
  <c r="AE19" i="151"/>
  <c r="AN19" i="151"/>
  <c r="AH19" i="151"/>
  <c r="AB19" i="151"/>
  <c r="BN19" i="151"/>
  <c r="BO19" i="151" s="1"/>
  <c r="M19" i="151"/>
  <c r="BL19" i="151"/>
  <c r="AN18" i="150"/>
  <c r="AH18" i="150"/>
  <c r="AB18" i="150"/>
  <c r="O18" i="150"/>
  <c r="P18" i="150" s="1"/>
  <c r="V18" i="150" s="1"/>
  <c r="BQ18" i="150"/>
  <c r="AK18" i="150"/>
  <c r="AE18" i="150"/>
  <c r="R18" i="150"/>
  <c r="T18" i="150" s="1"/>
  <c r="Y18" i="150" s="1"/>
  <c r="BN18" i="150"/>
  <c r="BO18" i="150" s="1"/>
  <c r="M18" i="150"/>
  <c r="BL18" i="150"/>
  <c r="K19" i="150"/>
  <c r="AF17" i="150"/>
  <c r="AC17" i="150"/>
  <c r="AL17" i="150"/>
  <c r="BR17" i="150"/>
  <c r="AI17" i="150"/>
  <c r="AO17" i="150"/>
  <c r="I22" i="150"/>
  <c r="R18" i="147"/>
  <c r="T18" i="147" s="1"/>
  <c r="Y18" i="147" s="1"/>
  <c r="Z18" i="147" s="1"/>
  <c r="AF18" i="149"/>
  <c r="BR18" i="149"/>
  <c r="R19" i="149"/>
  <c r="T19" i="149" s="1"/>
  <c r="Y19" i="149" s="1"/>
  <c r="Z19" i="149" s="1"/>
  <c r="AC18" i="149"/>
  <c r="AQ18" i="149"/>
  <c r="AR18" i="149" s="1"/>
  <c r="K21" i="149"/>
  <c r="I22" i="149"/>
  <c r="AI19" i="149"/>
  <c r="AF19" i="149"/>
  <c r="AL19" i="149"/>
  <c r="BR19" i="149"/>
  <c r="BQ20" i="149"/>
  <c r="AK20" i="149"/>
  <c r="AE20" i="149"/>
  <c r="AH20" i="149"/>
  <c r="BL20" i="149"/>
  <c r="AN20" i="149"/>
  <c r="AB20" i="149"/>
  <c r="BN20" i="149"/>
  <c r="BO20" i="149" s="1"/>
  <c r="M20" i="149"/>
  <c r="AQ19" i="149"/>
  <c r="AR19" i="149" s="1"/>
  <c r="R15" i="110"/>
  <c r="T15" i="110" s="1"/>
  <c r="O15" i="110"/>
  <c r="BL17" i="147"/>
  <c r="AY15" i="63"/>
  <c r="BA15" i="63" s="1"/>
  <c r="R16" i="58"/>
  <c r="S16" i="58"/>
  <c r="AY17" i="129"/>
  <c r="BG17" i="129" s="1"/>
  <c r="O10" i="58"/>
  <c r="AE16" i="96"/>
  <c r="AF16" i="96" s="1"/>
  <c r="AE15" i="96"/>
  <c r="AF15" i="96" s="1"/>
  <c r="AB16" i="96"/>
  <c r="AC16" i="96" s="1"/>
  <c r="O35" i="58"/>
  <c r="O29" i="58"/>
  <c r="O42" i="58"/>
  <c r="O47" i="58"/>
  <c r="L16" i="58"/>
  <c r="N29" i="58"/>
  <c r="N16" i="58"/>
  <c r="O50" i="58"/>
  <c r="AB16" i="112"/>
  <c r="AE15" i="112"/>
  <c r="AH16" i="112"/>
  <c r="Z15" i="115"/>
  <c r="AY17" i="105"/>
  <c r="AB15" i="105"/>
  <c r="AE17" i="105"/>
  <c r="AF17" i="105" s="1"/>
  <c r="AE18" i="99"/>
  <c r="AY15" i="99"/>
  <c r="AB17" i="99"/>
  <c r="AC17" i="99" s="1"/>
  <c r="AT17" i="105"/>
  <c r="AY18" i="99"/>
  <c r="L52" i="58"/>
  <c r="O16" i="58"/>
  <c r="M17" i="136"/>
  <c r="M16" i="130"/>
  <c r="AF17" i="146"/>
  <c r="AI18" i="147"/>
  <c r="R21" i="58"/>
  <c r="S33" i="58"/>
  <c r="AY15" i="129"/>
  <c r="BA15" i="129" s="1"/>
  <c r="BB15" i="129" s="1"/>
  <c r="AB15" i="96"/>
  <c r="AC15" i="96" s="1"/>
  <c r="AK16" i="96"/>
  <c r="AL16" i="96" s="1"/>
  <c r="O46" i="58"/>
  <c r="O51" i="58"/>
  <c r="M23" i="58"/>
  <c r="O17" i="58"/>
  <c r="O21" i="58"/>
  <c r="M31" i="58"/>
  <c r="O56" i="58"/>
  <c r="L30" i="58"/>
  <c r="O30" i="58"/>
  <c r="AK15" i="112"/>
  <c r="Y15" i="112"/>
  <c r="AE15" i="105"/>
  <c r="AN16" i="112"/>
  <c r="AT16" i="105"/>
  <c r="AE18" i="105"/>
  <c r="AF18" i="105" s="1"/>
  <c r="AY16" i="105"/>
  <c r="AY17" i="99"/>
  <c r="AE15" i="99"/>
  <c r="AF15" i="99" s="1"/>
  <c r="AE17" i="99"/>
  <c r="AF17" i="99" s="1"/>
  <c r="O54" i="58"/>
  <c r="F141" i="136"/>
  <c r="L42" i="58"/>
  <c r="N53" i="58"/>
  <c r="BH18" i="147"/>
  <c r="AW18" i="147"/>
  <c r="BH17" i="147"/>
  <c r="BE17" i="147"/>
  <c r="AT16" i="64"/>
  <c r="AV16" i="64" s="1"/>
  <c r="S10" i="58"/>
  <c r="M10" i="58"/>
  <c r="AN16" i="96"/>
  <c r="AO16" i="96" s="1"/>
  <c r="AH15" i="96"/>
  <c r="AI15" i="96" s="1"/>
  <c r="M46" i="58"/>
  <c r="M27" i="58"/>
  <c r="M21" i="58"/>
  <c r="L33" i="58"/>
  <c r="L21" i="58"/>
  <c r="L31" i="58"/>
  <c r="M35" i="58"/>
  <c r="AT15" i="112"/>
  <c r="AT16" i="112"/>
  <c r="AT15" i="105"/>
  <c r="AH15" i="112"/>
  <c r="AB16" i="105"/>
  <c r="AC16" i="105" s="1"/>
  <c r="AB18" i="105"/>
  <c r="AC18" i="105" s="1"/>
  <c r="AT16" i="99"/>
  <c r="AB16" i="99"/>
  <c r="AB15" i="99"/>
  <c r="AC15" i="99" s="1"/>
  <c r="AY16" i="99"/>
  <c r="M50" i="58"/>
  <c r="M16" i="58"/>
  <c r="F152" i="136"/>
  <c r="BR18" i="147"/>
  <c r="BR17" i="147"/>
  <c r="BD18" i="147"/>
  <c r="BE18" i="147" s="1"/>
  <c r="R17" i="146"/>
  <c r="T17" i="146" s="1"/>
  <c r="Y17" i="146" s="1"/>
  <c r="Z17" i="146" s="1"/>
  <c r="BL18" i="147"/>
  <c r="AV17" i="147"/>
  <c r="AC17" i="147"/>
  <c r="BA17" i="147"/>
  <c r="BB17" i="147" s="1"/>
  <c r="AT19" i="147"/>
  <c r="AV19" i="147" s="1"/>
  <c r="AB19" i="147"/>
  <c r="AE19" i="147"/>
  <c r="BQ19" i="147"/>
  <c r="AY19" i="147"/>
  <c r="BG19" i="147" s="1"/>
  <c r="BJ19" i="147"/>
  <c r="M19" i="147"/>
  <c r="AF18" i="147"/>
  <c r="AC18" i="147"/>
  <c r="BA18" i="147"/>
  <c r="BB18" i="147" s="1"/>
  <c r="AF17" i="147"/>
  <c r="AI17" i="147"/>
  <c r="K20" i="147"/>
  <c r="AH20" i="147" s="1"/>
  <c r="I21" i="147"/>
  <c r="BK16" i="147"/>
  <c r="V16" i="146"/>
  <c r="Z16" i="146"/>
  <c r="AI17" i="146"/>
  <c r="AT18" i="146"/>
  <c r="AB18" i="146"/>
  <c r="AY18" i="146"/>
  <c r="AE18" i="146"/>
  <c r="M18" i="146"/>
  <c r="BJ18" i="146"/>
  <c r="I20" i="146"/>
  <c r="K19" i="146"/>
  <c r="AH19" i="146" s="1"/>
  <c r="AC16" i="146"/>
  <c r="AC17" i="146"/>
  <c r="AI16" i="146"/>
  <c r="AT15" i="129"/>
  <c r="AH18" i="99"/>
  <c r="AT15" i="64"/>
  <c r="AV15" i="64" s="1"/>
  <c r="AY15" i="66"/>
  <c r="BA15" i="66" s="1"/>
  <c r="AY15" i="135"/>
  <c r="AY15" i="115"/>
  <c r="AY18" i="132"/>
  <c r="BA18" i="132" s="1"/>
  <c r="M16" i="124"/>
  <c r="F117" i="99"/>
  <c r="AN17" i="99" s="1"/>
  <c r="AO17" i="99" s="1"/>
  <c r="AY16" i="132"/>
  <c r="BA16" i="132" s="1"/>
  <c r="BB16" i="132" s="1"/>
  <c r="AY15" i="64"/>
  <c r="AY15" i="112"/>
  <c r="AT17" i="129"/>
  <c r="AN15" i="98"/>
  <c r="O15" i="98"/>
  <c r="AK15" i="98"/>
  <c r="R15" i="98"/>
  <c r="T15" i="98" s="1"/>
  <c r="Y15" i="98" s="1"/>
  <c r="F151" i="101"/>
  <c r="F153" i="101"/>
  <c r="P47" i="58"/>
  <c r="R47" i="58" s="1"/>
  <c r="P50" i="58"/>
  <c r="R50" i="58" s="1"/>
  <c r="P56" i="58"/>
  <c r="R56" i="58" s="1"/>
  <c r="P37" i="58"/>
  <c r="R37" i="58" s="1"/>
  <c r="P51" i="58"/>
  <c r="R51" i="58" s="1"/>
  <c r="P31" i="58"/>
  <c r="R31" i="58" s="1"/>
  <c r="P42" i="58"/>
  <c r="R42" i="58" s="1"/>
  <c r="P29" i="58"/>
  <c r="R29" i="58" s="1"/>
  <c r="I72" i="99"/>
  <c r="I25" i="95"/>
  <c r="I23" i="105"/>
  <c r="I21" i="63"/>
  <c r="I22" i="136"/>
  <c r="I31" i="133"/>
  <c r="K21" i="124"/>
  <c r="AH21" i="124" s="1"/>
  <c r="M19" i="133"/>
  <c r="K19" i="105"/>
  <c r="AH19" i="105" s="1"/>
  <c r="I20" i="104"/>
  <c r="BJ17" i="105"/>
  <c r="M18" i="136"/>
  <c r="K19" i="136"/>
  <c r="AK19" i="136" s="1"/>
  <c r="M15" i="63"/>
  <c r="BJ16" i="105"/>
  <c r="BL17" i="133"/>
  <c r="M17" i="133"/>
  <c r="BN17" i="133"/>
  <c r="BO17" i="133" s="1"/>
  <c r="E12" i="7"/>
  <c r="D13" i="7"/>
  <c r="E15" i="7"/>
  <c r="A18" i="7"/>
  <c r="D14" i="7"/>
  <c r="AK17" i="132"/>
  <c r="AH17" i="132"/>
  <c r="D15" i="7"/>
  <c r="AE17" i="132"/>
  <c r="K16" i="118"/>
  <c r="E16" i="7"/>
  <c r="AB18" i="132"/>
  <c r="I21" i="126"/>
  <c r="M16" i="133"/>
  <c r="BL19" i="133"/>
  <c r="BQ17" i="107"/>
  <c r="BL17" i="107" s="1"/>
  <c r="BL18" i="133"/>
  <c r="BN16" i="133"/>
  <c r="BO16" i="133" s="1"/>
  <c r="I22" i="64"/>
  <c r="M17" i="64"/>
  <c r="I22" i="114"/>
  <c r="K18" i="64"/>
  <c r="BL17" i="132"/>
  <c r="M15" i="126"/>
  <c r="AI15" i="126" s="1"/>
  <c r="K16" i="126"/>
  <c r="AH19" i="126" s="1"/>
  <c r="I19" i="135"/>
  <c r="I18" i="96"/>
  <c r="K17" i="114"/>
  <c r="M17" i="114" s="1"/>
  <c r="I18" i="115"/>
  <c r="K17" i="115"/>
  <c r="BQ17" i="115" s="1"/>
  <c r="K16" i="98"/>
  <c r="K17" i="98" s="1"/>
  <c r="M15" i="98"/>
  <c r="I18" i="110"/>
  <c r="K16" i="101"/>
  <c r="AH16" i="101" s="1"/>
  <c r="I17" i="101"/>
  <c r="K16" i="110"/>
  <c r="K17" i="110" s="1"/>
  <c r="K15" i="120"/>
  <c r="AK15" i="120" s="1"/>
  <c r="F92" i="95"/>
  <c r="H53" i="58"/>
  <c r="F92" i="96"/>
  <c r="F27" i="66"/>
  <c r="I16" i="13"/>
  <c r="I16" i="66"/>
  <c r="I16" i="17"/>
  <c r="M15" i="66"/>
  <c r="M15" i="133"/>
  <c r="M15" i="112"/>
  <c r="M15" i="105"/>
  <c r="M15" i="136"/>
  <c r="F145" i="136"/>
  <c r="F134" i="136"/>
  <c r="F150" i="136"/>
  <c r="F153" i="136" s="1"/>
  <c r="BH15" i="96"/>
  <c r="M15" i="15"/>
  <c r="F14" i="124"/>
  <c r="F133" i="124" s="1"/>
  <c r="D24" i="10"/>
  <c r="F14" i="126" s="1"/>
  <c r="F133" i="126" s="1"/>
  <c r="F150" i="126" s="1"/>
  <c r="M15" i="17"/>
  <c r="F4" i="132"/>
  <c r="F137" i="132"/>
  <c r="F142" i="132"/>
  <c r="F141" i="132"/>
  <c r="M15" i="101"/>
  <c r="F141" i="135"/>
  <c r="F4" i="135"/>
  <c r="M15" i="114"/>
  <c r="M15" i="107"/>
  <c r="M17" i="107"/>
  <c r="M16" i="107"/>
  <c r="M18" i="107"/>
  <c r="M15" i="104"/>
  <c r="M18" i="132"/>
  <c r="M17" i="132"/>
  <c r="AT15" i="118"/>
  <c r="AV15" i="118" s="1"/>
  <c r="AW15" i="118" s="1"/>
  <c r="R10" i="58"/>
  <c r="O6" i="58"/>
  <c r="N6" i="58"/>
  <c r="M6" i="58"/>
  <c r="L6" i="58"/>
  <c r="O7" i="58"/>
  <c r="N7" i="58"/>
  <c r="M7" i="58"/>
  <c r="L7" i="58"/>
  <c r="O8" i="58"/>
  <c r="N8" i="58"/>
  <c r="M8" i="58"/>
  <c r="L8" i="58"/>
  <c r="O9" i="58"/>
  <c r="N9" i="58"/>
  <c r="M9" i="58"/>
  <c r="L9" i="58"/>
  <c r="F137" i="15"/>
  <c r="F150" i="15"/>
  <c r="F151" i="15" s="1"/>
  <c r="F145" i="15"/>
  <c r="F23" i="156" s="1"/>
  <c r="F133" i="156" s="1"/>
  <c r="F150" i="107"/>
  <c r="F153" i="107" s="1"/>
  <c r="F145" i="114"/>
  <c r="F145" i="115"/>
  <c r="F150" i="115"/>
  <c r="F151" i="115" s="1"/>
  <c r="BQ16" i="115"/>
  <c r="BR16" i="115" s="1"/>
  <c r="F133" i="95"/>
  <c r="F137" i="95" s="1"/>
  <c r="F137" i="115"/>
  <c r="BQ15" i="115"/>
  <c r="F150" i="63"/>
  <c r="F151" i="63" s="1"/>
  <c r="F134" i="63"/>
  <c r="F134" i="66"/>
  <c r="F134" i="114"/>
  <c r="BQ15" i="114" s="1"/>
  <c r="BR15" i="114" s="1"/>
  <c r="F145" i="107"/>
  <c r="F150" i="114"/>
  <c r="F151" i="114" s="1"/>
  <c r="F137" i="66"/>
  <c r="F137" i="63"/>
  <c r="F145" i="106"/>
  <c r="F137" i="107"/>
  <c r="F150" i="66"/>
  <c r="F153" i="66" s="1"/>
  <c r="F134" i="106"/>
  <c r="F150" i="106"/>
  <c r="F151" i="106" s="1"/>
  <c r="BQ16" i="130"/>
  <c r="AE15" i="130"/>
  <c r="AB17" i="114"/>
  <c r="AE15" i="64"/>
  <c r="AE16" i="64"/>
  <c r="AK17" i="64"/>
  <c r="AN15" i="64"/>
  <c r="AB16" i="64"/>
  <c r="AY18" i="64"/>
  <c r="AN18" i="64"/>
  <c r="AE15" i="66"/>
  <c r="AH15" i="66"/>
  <c r="BQ18" i="133"/>
  <c r="BR18" i="133" s="1"/>
  <c r="AH15" i="106"/>
  <c r="AN15" i="101"/>
  <c r="AB16" i="101"/>
  <c r="F137" i="133"/>
  <c r="F150" i="17"/>
  <c r="F151" i="17" s="1"/>
  <c r="BQ17" i="130"/>
  <c r="BR17" i="130" s="1"/>
  <c r="AH17" i="130"/>
  <c r="AN16" i="130"/>
  <c r="AO16" i="130" s="1"/>
  <c r="AT15" i="101"/>
  <c r="AY15" i="101"/>
  <c r="AN15" i="114"/>
  <c r="AO15" i="114" s="1"/>
  <c r="AE15" i="114"/>
  <c r="AY15" i="114"/>
  <c r="BQ16" i="101"/>
  <c r="R16" i="106"/>
  <c r="AK16" i="106"/>
  <c r="AN17" i="130"/>
  <c r="AE17" i="130"/>
  <c r="AF17" i="130" s="1"/>
  <c r="F150" i="133"/>
  <c r="F153" i="133" s="1"/>
  <c r="AK15" i="114"/>
  <c r="AL15" i="114" s="1"/>
  <c r="AB15" i="13"/>
  <c r="AC15" i="13" s="1"/>
  <c r="AE15" i="95"/>
  <c r="AN15" i="13"/>
  <c r="AO15" i="13" s="1"/>
  <c r="AH16" i="136"/>
  <c r="AI16" i="136" s="1"/>
  <c r="AN16" i="136"/>
  <c r="AK15" i="136"/>
  <c r="AY16" i="106"/>
  <c r="AK15" i="106"/>
  <c r="AT16" i="106"/>
  <c r="AV16" i="106" s="1"/>
  <c r="BQ16" i="133"/>
  <c r="BQ15" i="133"/>
  <c r="BQ19" i="133"/>
  <c r="P15" i="101"/>
  <c r="V15" i="101" s="1"/>
  <c r="Y15" i="101"/>
  <c r="AN15" i="106"/>
  <c r="Y15" i="106"/>
  <c r="AB16" i="106"/>
  <c r="AK16" i="130"/>
  <c r="AB17" i="130"/>
  <c r="F145" i="133"/>
  <c r="BQ17" i="133"/>
  <c r="BR17" i="133" s="1"/>
  <c r="AB16" i="136"/>
  <c r="AT15" i="114"/>
  <c r="AV15" i="114" s="1"/>
  <c r="AW15" i="114" s="1"/>
  <c r="Y15" i="114"/>
  <c r="AE15" i="136"/>
  <c r="R16" i="124"/>
  <c r="R17" i="124" s="1"/>
  <c r="T17" i="124" s="1"/>
  <c r="Y17" i="124" s="1"/>
  <c r="BQ15" i="130"/>
  <c r="AB15" i="106"/>
  <c r="AN16" i="106"/>
  <c r="AB15" i="130"/>
  <c r="AH15" i="130"/>
  <c r="Y15" i="13"/>
  <c r="Z15" i="13" s="1"/>
  <c r="AB15" i="95"/>
  <c r="AB15" i="114"/>
  <c r="AC15" i="114" s="1"/>
  <c r="F137" i="105"/>
  <c r="F145" i="105"/>
  <c r="F104" i="96"/>
  <c r="F133" i="96"/>
  <c r="F137" i="96" s="1"/>
  <c r="AB15" i="17"/>
  <c r="AC15" i="17" s="1"/>
  <c r="AK15" i="17"/>
  <c r="AT15" i="104"/>
  <c r="AV15" i="104" s="1"/>
  <c r="AW15" i="104" s="1"/>
  <c r="AT16" i="104"/>
  <c r="AT16" i="110"/>
  <c r="AB16" i="110"/>
  <c r="Y15" i="104"/>
  <c r="AK15" i="104"/>
  <c r="AB15" i="110"/>
  <c r="BK116" i="130"/>
  <c r="AH15" i="104"/>
  <c r="AH16" i="110"/>
  <c r="F150" i="132"/>
  <c r="F153" i="132" s="1"/>
  <c r="AB16" i="104"/>
  <c r="AE15" i="17"/>
  <c r="F134" i="132"/>
  <c r="BQ15" i="132" s="1"/>
  <c r="BR15" i="132" s="1"/>
  <c r="AK15" i="15"/>
  <c r="F134" i="105"/>
  <c r="BQ19" i="105" s="1"/>
  <c r="Y15" i="110"/>
  <c r="AE16" i="110"/>
  <c r="AE15" i="104"/>
  <c r="AH16" i="104"/>
  <c r="AK16" i="104"/>
  <c r="AK15" i="110"/>
  <c r="AY15" i="104"/>
  <c r="AB15" i="15"/>
  <c r="Y15" i="15"/>
  <c r="AN15" i="15"/>
  <c r="AE15" i="15"/>
  <c r="AY15" i="110"/>
  <c r="AK16" i="110"/>
  <c r="AN16" i="110"/>
  <c r="AB15" i="104"/>
  <c r="BK116" i="136"/>
  <c r="R16" i="104"/>
  <c r="AN15" i="104"/>
  <c r="AN16" i="104"/>
  <c r="AY16" i="104"/>
  <c r="AH15" i="17"/>
  <c r="BQ15" i="15"/>
  <c r="F150" i="105"/>
  <c r="AT15" i="110"/>
  <c r="AN15" i="110"/>
  <c r="AE15" i="110"/>
  <c r="AH15" i="110"/>
  <c r="AH15" i="15"/>
  <c r="BQ18" i="107"/>
  <c r="BQ16" i="107"/>
  <c r="BR16" i="107" s="1"/>
  <c r="BQ15" i="107"/>
  <c r="BL15" i="107" s="1"/>
  <c r="Y15" i="17"/>
  <c r="Z15" i="17" s="1"/>
  <c r="U23" i="58"/>
  <c r="M52" i="58"/>
  <c r="T25" i="58"/>
  <c r="Q45" i="58"/>
  <c r="S45" i="58" s="1"/>
  <c r="Q42" i="58"/>
  <c r="S42" i="58" s="1"/>
  <c r="Q47" i="58"/>
  <c r="S47" i="58" s="1"/>
  <c r="Q35" i="58"/>
  <c r="S35" i="58" s="1"/>
  <c r="Q41" i="58"/>
  <c r="S41" i="58" s="1"/>
  <c r="Q26" i="58"/>
  <c r="S26" i="58" s="1"/>
  <c r="Q19" i="58"/>
  <c r="S19" i="58" s="1"/>
  <c r="Q40" i="58"/>
  <c r="S40" i="58" s="1"/>
  <c r="Q43" i="58"/>
  <c r="S43" i="58" s="1"/>
  <c r="Q55" i="58"/>
  <c r="S55" i="58" s="1"/>
  <c r="Q34" i="58"/>
  <c r="S34" i="58" s="1"/>
  <c r="Q56" i="58"/>
  <c r="S56" i="58" s="1"/>
  <c r="Q49" i="58"/>
  <c r="S49" i="58" s="1"/>
  <c r="Q27" i="58"/>
  <c r="S27" i="58" s="1"/>
  <c r="Q48" i="58"/>
  <c r="S48" i="58" s="1"/>
  <c r="Q36" i="58"/>
  <c r="S36" i="58" s="1"/>
  <c r="Q31" i="58"/>
  <c r="S31" i="58" s="1"/>
  <c r="Q52" i="58"/>
  <c r="S52" i="58" s="1"/>
  <c r="Q32" i="58"/>
  <c r="S32" i="58" s="1"/>
  <c r="Q30" i="58"/>
  <c r="S30" i="58" s="1"/>
  <c r="Q46" i="58"/>
  <c r="S46" i="58" s="1"/>
  <c r="Q22" i="58"/>
  <c r="S22" i="58" s="1"/>
  <c r="Q17" i="58"/>
  <c r="S17" i="58" s="1"/>
  <c r="Q39" i="58"/>
  <c r="S39" i="58" s="1"/>
  <c r="Q51" i="58"/>
  <c r="S51" i="58" s="1"/>
  <c r="Q20" i="58"/>
  <c r="S20" i="58" s="1"/>
  <c r="Q18" i="58"/>
  <c r="S18" i="58" s="1"/>
  <c r="Q21" i="58"/>
  <c r="S21" i="58" s="1"/>
  <c r="Q44" i="58"/>
  <c r="S44" i="58" s="1"/>
  <c r="Q28" i="58"/>
  <c r="S28" i="58" s="1"/>
  <c r="Q50" i="58"/>
  <c r="S50" i="58" s="1"/>
  <c r="Q25" i="58"/>
  <c r="S25" i="58" s="1"/>
  <c r="Q29" i="58"/>
  <c r="S29" i="58" s="1"/>
  <c r="Q37" i="58"/>
  <c r="S37" i="58" s="1"/>
  <c r="Q53" i="58"/>
  <c r="S53" i="58" s="1"/>
  <c r="T45" i="58"/>
  <c r="N25" i="58"/>
  <c r="L25" i="58"/>
  <c r="N45" i="58"/>
  <c r="L45" i="58"/>
  <c r="U22" i="58"/>
  <c r="P49" i="58"/>
  <c r="R49" i="58" s="1"/>
  <c r="P40" i="58"/>
  <c r="R40" i="58" s="1"/>
  <c r="P46" i="58"/>
  <c r="R46" i="58" s="1"/>
  <c r="P30" i="58"/>
  <c r="R30" i="58" s="1"/>
  <c r="P52" i="58"/>
  <c r="R52" i="58" s="1"/>
  <c r="P38" i="58"/>
  <c r="R38" i="58" s="1"/>
  <c r="P24" i="58"/>
  <c r="R24" i="58" s="1"/>
  <c r="P17" i="58"/>
  <c r="R17" i="58" s="1"/>
  <c r="P27" i="58"/>
  <c r="R27" i="58" s="1"/>
  <c r="U43" i="58"/>
  <c r="P33" i="58"/>
  <c r="R33" i="58" s="1"/>
  <c r="P36" i="58"/>
  <c r="R36" i="58" s="1"/>
  <c r="P39" i="58"/>
  <c r="R39" i="58" s="1"/>
  <c r="P54" i="58"/>
  <c r="R54" i="58" s="1"/>
  <c r="P48" i="58"/>
  <c r="R48" i="58" s="1"/>
  <c r="P34" i="58"/>
  <c r="R34" i="58" s="1"/>
  <c r="P45" i="58"/>
  <c r="R45" i="58" s="1"/>
  <c r="P23" i="58"/>
  <c r="R23" i="58" s="1"/>
  <c r="P35" i="58"/>
  <c r="R35" i="58" s="1"/>
  <c r="P25" i="58"/>
  <c r="R25" i="58" s="1"/>
  <c r="T10" i="58"/>
  <c r="I55" i="58"/>
  <c r="I51" i="58"/>
  <c r="I37" i="58"/>
  <c r="I31" i="58"/>
  <c r="I27" i="58"/>
  <c r="I54" i="58"/>
  <c r="I36" i="58"/>
  <c r="I26" i="58"/>
  <c r="I45" i="58"/>
  <c r="I41" i="58"/>
  <c r="I21" i="58"/>
  <c r="I17" i="58"/>
  <c r="I52" i="58"/>
  <c r="I46" i="58"/>
  <c r="I40" i="58"/>
  <c r="I34" i="58"/>
  <c r="I30" i="58"/>
  <c r="I24" i="58"/>
  <c r="I20" i="58"/>
  <c r="U16" i="58"/>
  <c r="I53" i="58"/>
  <c r="I49" i="58"/>
  <c r="I39" i="58"/>
  <c r="I35" i="58"/>
  <c r="I29" i="58"/>
  <c r="I25" i="58"/>
  <c r="I56" i="58"/>
  <c r="I50" i="58"/>
  <c r="I44" i="58"/>
  <c r="I18" i="58"/>
  <c r="L47" i="58"/>
  <c r="N36" i="58"/>
  <c r="L56" i="58"/>
  <c r="N21" i="58"/>
  <c r="L37" i="58"/>
  <c r="L53" i="58"/>
  <c r="L29" i="58"/>
  <c r="L46" i="58"/>
  <c r="N49" i="58"/>
  <c r="BK116" i="13"/>
  <c r="N42" i="58"/>
  <c r="U33" i="58"/>
  <c r="M48" i="58"/>
  <c r="O40" i="58"/>
  <c r="AT16" i="118"/>
  <c r="AV16" i="118" s="1"/>
  <c r="AB16" i="118"/>
  <c r="AH16" i="118"/>
  <c r="AE16" i="118"/>
  <c r="AY15" i="118"/>
  <c r="AB15" i="118"/>
  <c r="AC15" i="118" s="1"/>
  <c r="AY16" i="118"/>
  <c r="AH15" i="118"/>
  <c r="AI15" i="118" s="1"/>
  <c r="F145" i="118"/>
  <c r="F27" i="120"/>
  <c r="R15" i="120"/>
  <c r="T15" i="120" s="1"/>
  <c r="Y15" i="120" s="1"/>
  <c r="AN15" i="120"/>
  <c r="O15" i="120"/>
  <c r="F134" i="118"/>
  <c r="F150" i="118"/>
  <c r="AK15" i="95"/>
  <c r="AN15" i="95"/>
  <c r="AH15" i="95"/>
  <c r="BG15" i="95"/>
  <c r="AT15" i="95"/>
  <c r="AE15" i="13"/>
  <c r="AF15" i="13" s="1"/>
  <c r="AH15" i="13"/>
  <c r="AK15" i="13"/>
  <c r="AL15" i="13" s="1"/>
  <c r="AH16" i="130"/>
  <c r="AI16" i="130" s="1"/>
  <c r="AE16" i="130"/>
  <c r="AF16" i="130" s="1"/>
  <c r="AK17" i="130"/>
  <c r="AN18" i="136"/>
  <c r="AB18" i="136"/>
  <c r="R16" i="136"/>
  <c r="AH17" i="136"/>
  <c r="AE17" i="136"/>
  <c r="AN15" i="136"/>
  <c r="AK16" i="136"/>
  <c r="AE15" i="101"/>
  <c r="BQ15" i="101"/>
  <c r="AT16" i="101"/>
  <c r="AK15" i="101"/>
  <c r="AY16" i="101"/>
  <c r="AK16" i="101"/>
  <c r="AB15" i="101"/>
  <c r="AH15" i="114"/>
  <c r="AE16" i="114"/>
  <c r="AT17" i="124"/>
  <c r="AB19" i="124"/>
  <c r="AE17" i="124"/>
  <c r="AB20" i="124"/>
  <c r="AB15" i="124"/>
  <c r="AT16" i="124"/>
  <c r="AE21" i="124"/>
  <c r="AN15" i="17"/>
  <c r="AO15" i="17" s="1"/>
  <c r="BK116" i="135"/>
  <c r="BK116" i="132"/>
  <c r="F145" i="135"/>
  <c r="F134" i="135"/>
  <c r="F150" i="98"/>
  <c r="F153" i="98" s="1"/>
  <c r="F137" i="98"/>
  <c r="F134" i="98"/>
  <c r="AT16" i="107"/>
  <c r="AT17" i="107"/>
  <c r="AB18" i="107"/>
  <c r="AT18" i="107"/>
  <c r="AE18" i="107"/>
  <c r="AY18" i="107"/>
  <c r="AY17" i="107"/>
  <c r="AB15" i="126"/>
  <c r="AC15" i="126" s="1"/>
  <c r="AE16" i="126"/>
  <c r="AY15" i="126"/>
  <c r="AN16" i="126"/>
  <c r="AT16" i="126"/>
  <c r="AY16" i="126"/>
  <c r="AB15" i="133"/>
  <c r="AE17" i="133"/>
  <c r="AF17" i="133" s="1"/>
  <c r="AB17" i="133"/>
  <c r="AC17" i="133" s="1"/>
  <c r="AE18" i="133"/>
  <c r="AF18" i="133" s="1"/>
  <c r="AK18" i="133"/>
  <c r="AL18" i="133" s="1"/>
  <c r="AE19" i="133"/>
  <c r="AF19" i="133" s="1"/>
  <c r="AH15" i="133"/>
  <c r="AH16" i="133"/>
  <c r="AB16" i="133"/>
  <c r="AH17" i="133"/>
  <c r="AI17" i="133" s="1"/>
  <c r="AB18" i="133"/>
  <c r="AC18" i="133" s="1"/>
  <c r="AB19" i="133"/>
  <c r="AH18" i="133"/>
  <c r="AK19" i="133"/>
  <c r="AN18" i="133"/>
  <c r="AO18" i="133" s="1"/>
  <c r="AE16" i="133"/>
  <c r="AN19" i="133"/>
  <c r="AH19" i="133"/>
  <c r="Y15" i="133"/>
  <c r="AE15" i="133"/>
  <c r="AN15" i="133"/>
  <c r="AK16" i="126"/>
  <c r="AB16" i="126"/>
  <c r="BK116" i="95"/>
  <c r="AK15" i="133"/>
  <c r="AT15" i="126"/>
  <c r="F134" i="17"/>
  <c r="F137" i="17"/>
  <c r="AK15" i="130"/>
  <c r="AH18" i="136"/>
  <c r="AE16" i="136"/>
  <c r="AF16" i="136" s="1"/>
  <c r="AB17" i="136"/>
  <c r="AK18" i="136"/>
  <c r="AT15" i="96"/>
  <c r="AY16" i="64"/>
  <c r="AY17" i="64"/>
  <c r="Y15" i="64"/>
  <c r="AB15" i="64"/>
  <c r="AH16" i="64"/>
  <c r="AH17" i="64"/>
  <c r="AH18" i="64"/>
  <c r="Y15" i="95"/>
  <c r="AN16" i="132"/>
  <c r="AB17" i="132"/>
  <c r="AB15" i="132"/>
  <c r="AC15" i="132" s="1"/>
  <c r="AK15" i="132"/>
  <c r="AL15" i="132" s="1"/>
  <c r="AH18" i="132"/>
  <c r="AK18" i="132"/>
  <c r="AH15" i="132"/>
  <c r="AI15" i="132" s="1"/>
  <c r="AN18" i="132"/>
  <c r="AN17" i="132"/>
  <c r="AE18" i="132"/>
  <c r="Y15" i="132"/>
  <c r="Z15" i="132" s="1"/>
  <c r="AT15" i="124"/>
  <c r="AE16" i="124"/>
  <c r="AF16" i="124" s="1"/>
  <c r="AB16" i="124"/>
  <c r="AC16" i="124" s="1"/>
  <c r="Y15" i="124"/>
  <c r="AE15" i="124"/>
  <c r="AB17" i="124"/>
  <c r="AE18" i="124"/>
  <c r="AT19" i="124"/>
  <c r="BG16" i="96"/>
  <c r="BH16" i="96" s="1"/>
  <c r="Y15" i="96"/>
  <c r="Z15" i="96" s="1"/>
  <c r="AN15" i="96"/>
  <c r="AO15" i="96" s="1"/>
  <c r="AH16" i="96"/>
  <c r="AI16" i="96" s="1"/>
  <c r="AT16" i="96"/>
  <c r="AN16" i="64"/>
  <c r="AE18" i="64"/>
  <c r="AK15" i="64"/>
  <c r="AH15" i="64"/>
  <c r="AK16" i="64"/>
  <c r="AE17" i="64"/>
  <c r="AF17" i="64" s="1"/>
  <c r="AB17" i="64"/>
  <c r="AC17" i="64" s="1"/>
  <c r="AK18" i="64"/>
  <c r="AB18" i="64"/>
  <c r="AB16" i="130"/>
  <c r="AC16" i="130" s="1"/>
  <c r="AN15" i="130"/>
  <c r="Y15" i="130"/>
  <c r="AH15" i="136"/>
  <c r="AK17" i="136"/>
  <c r="AN17" i="136"/>
  <c r="AE18" i="136"/>
  <c r="AY15" i="107"/>
  <c r="AE17" i="107"/>
  <c r="AB17" i="107"/>
  <c r="AN16" i="133"/>
  <c r="AK16" i="133"/>
  <c r="AN17" i="133"/>
  <c r="AO17" i="133" s="1"/>
  <c r="AK17" i="133"/>
  <c r="AL17" i="133" s="1"/>
  <c r="AH18" i="105"/>
  <c r="AH16" i="105"/>
  <c r="F145" i="99"/>
  <c r="T15" i="107"/>
  <c r="Y15" i="107" s="1"/>
  <c r="R16" i="107"/>
  <c r="F150" i="135"/>
  <c r="F145" i="98"/>
  <c r="AY15" i="124"/>
  <c r="AY17" i="124"/>
  <c r="AY20" i="124"/>
  <c r="AY16" i="124"/>
  <c r="AY21" i="124"/>
  <c r="F14" i="110"/>
  <c r="F133" i="110" s="1"/>
  <c r="D20" i="10"/>
  <c r="F14" i="112" s="1"/>
  <c r="F133" i="112" s="1"/>
  <c r="AE16" i="104"/>
  <c r="AE16" i="106"/>
  <c r="AY15" i="106"/>
  <c r="AH16" i="106"/>
  <c r="AE15" i="106"/>
  <c r="AT15" i="106"/>
  <c r="AN15" i="66"/>
  <c r="Y15" i="66"/>
  <c r="AB15" i="66"/>
  <c r="AB15" i="136"/>
  <c r="Y15" i="136"/>
  <c r="M16" i="106"/>
  <c r="M15" i="106"/>
  <c r="M18" i="64"/>
  <c r="M15" i="64"/>
  <c r="M16" i="64"/>
  <c r="AE15" i="126"/>
  <c r="AF15" i="126" s="1"/>
  <c r="AN15" i="126"/>
  <c r="Y15" i="126"/>
  <c r="F117" i="105"/>
  <c r="F27" i="105" s="1"/>
  <c r="F27" i="118"/>
  <c r="R15" i="118"/>
  <c r="AK15" i="118"/>
  <c r="AN15" i="118"/>
  <c r="AO15" i="118" s="1"/>
  <c r="AK16" i="118"/>
  <c r="O15" i="118"/>
  <c r="AN16" i="118"/>
  <c r="F125" i="136"/>
  <c r="F127" i="136" s="1"/>
  <c r="M12" i="10"/>
  <c r="U12" i="10"/>
  <c r="Z15" i="136" l="1"/>
  <c r="AF16" i="105"/>
  <c r="AF16" i="99"/>
  <c r="AC17" i="132"/>
  <c r="AO17" i="130"/>
  <c r="AC17" i="130"/>
  <c r="AC17" i="107"/>
  <c r="AI17" i="130"/>
  <c r="AC19" i="149"/>
  <c r="AY18" i="124"/>
  <c r="AF17" i="107"/>
  <c r="AB18" i="124"/>
  <c r="AT18" i="124"/>
  <c r="AT16" i="114"/>
  <c r="AV16" i="114" s="1"/>
  <c r="Z15" i="114"/>
  <c r="AH17" i="114"/>
  <c r="AK16" i="114"/>
  <c r="AF15" i="114"/>
  <c r="M20" i="124"/>
  <c r="AI20" i="124" s="1"/>
  <c r="M18" i="124"/>
  <c r="L49" i="58"/>
  <c r="AC16" i="99"/>
  <c r="R17" i="135"/>
  <c r="AI15" i="115"/>
  <c r="AE16" i="63"/>
  <c r="V50" i="58"/>
  <c r="AH18" i="124"/>
  <c r="M28" i="58"/>
  <c r="AT17" i="114"/>
  <c r="AY16" i="114"/>
  <c r="BA16" i="114" s="1"/>
  <c r="AN16" i="114"/>
  <c r="AY17" i="114"/>
  <c r="K18" i="135"/>
  <c r="K17" i="63"/>
  <c r="AI18" i="99"/>
  <c r="AN17" i="135"/>
  <c r="AQ17" i="135" s="1"/>
  <c r="AK16" i="63"/>
  <c r="AN16" i="63"/>
  <c r="AH17" i="135"/>
  <c r="N41" i="58"/>
  <c r="K19" i="107"/>
  <c r="AC15" i="124"/>
  <c r="U28" i="58"/>
  <c r="O28" i="58"/>
  <c r="AH16" i="114"/>
  <c r="AB16" i="114"/>
  <c r="K19" i="132"/>
  <c r="M19" i="124"/>
  <c r="AC19" i="124" s="1"/>
  <c r="AT16" i="63"/>
  <c r="BD16" i="63" s="1"/>
  <c r="O26" i="58"/>
  <c r="AF15" i="115"/>
  <c r="X43" i="58"/>
  <c r="BN16" i="63"/>
  <c r="BO16" i="63" s="1"/>
  <c r="AH19" i="124"/>
  <c r="BJ18" i="124"/>
  <c r="I21" i="107"/>
  <c r="I22" i="107" s="1"/>
  <c r="K20" i="107"/>
  <c r="F137" i="99"/>
  <c r="AT21" i="124"/>
  <c r="AE19" i="124"/>
  <c r="M17" i="58"/>
  <c r="M26" i="58"/>
  <c r="AL15" i="115"/>
  <c r="AC15" i="115"/>
  <c r="V43" i="58"/>
  <c r="Y28" i="58"/>
  <c r="AF15" i="124"/>
  <c r="AE20" i="124"/>
  <c r="AF20" i="124" s="1"/>
  <c r="AE17" i="114"/>
  <c r="AY19" i="124"/>
  <c r="F150" i="99"/>
  <c r="Z15" i="124"/>
  <c r="AB21" i="124"/>
  <c r="AT20" i="124"/>
  <c r="AY16" i="110"/>
  <c r="AK17" i="114"/>
  <c r="R16" i="114"/>
  <c r="R17" i="114" s="1"/>
  <c r="T17" i="114" s="1"/>
  <c r="Y17" i="114" s="1"/>
  <c r="AN17" i="114"/>
  <c r="AI15" i="101"/>
  <c r="M16" i="114"/>
  <c r="AC16" i="114" s="1"/>
  <c r="T31" i="58"/>
  <c r="K16" i="15"/>
  <c r="AY17" i="135"/>
  <c r="L41" i="58"/>
  <c r="AY16" i="63"/>
  <c r="BA16" i="63" s="1"/>
  <c r="AE17" i="135"/>
  <c r="AH20" i="124"/>
  <c r="AB17" i="135"/>
  <c r="K19" i="99"/>
  <c r="F137" i="163"/>
  <c r="F134" i="163"/>
  <c r="F150" i="163"/>
  <c r="F145" i="163"/>
  <c r="AV16" i="146"/>
  <c r="AW16" i="146" s="1"/>
  <c r="F135" i="161"/>
  <c r="F151" i="161"/>
  <c r="F138" i="161"/>
  <c r="F146" i="161"/>
  <c r="F146" i="164"/>
  <c r="F138" i="164"/>
  <c r="F135" i="164"/>
  <c r="F151" i="164"/>
  <c r="Z15" i="66"/>
  <c r="AO17" i="136"/>
  <c r="AC17" i="136"/>
  <c r="AF17" i="124"/>
  <c r="AL15" i="104"/>
  <c r="AO16" i="136"/>
  <c r="AF18" i="99"/>
  <c r="AC17" i="129"/>
  <c r="BR17" i="129"/>
  <c r="AI15" i="130"/>
  <c r="BR15" i="130"/>
  <c r="F149" i="156"/>
  <c r="F150" i="156" s="1"/>
  <c r="F145" i="156"/>
  <c r="F146" i="156" s="1"/>
  <c r="F137" i="156"/>
  <c r="BH17" i="129"/>
  <c r="AC18" i="99"/>
  <c r="AI17" i="129"/>
  <c r="AC15" i="136"/>
  <c r="AC15" i="66"/>
  <c r="Z15" i="130"/>
  <c r="AC17" i="124"/>
  <c r="AL15" i="130"/>
  <c r="BR15" i="101"/>
  <c r="AF17" i="136"/>
  <c r="AO15" i="104"/>
  <c r="AC15" i="104"/>
  <c r="AC15" i="130"/>
  <c r="Z17" i="124"/>
  <c r="AC16" i="136"/>
  <c r="AF15" i="130"/>
  <c r="Z17" i="129"/>
  <c r="T30" i="164"/>
  <c r="Y30" i="164" s="1"/>
  <c r="Z30" i="164" s="1"/>
  <c r="R31" i="164"/>
  <c r="T29" i="163"/>
  <c r="Y29" i="163" s="1"/>
  <c r="Z29" i="163" s="1"/>
  <c r="R30" i="163"/>
  <c r="P22" i="163"/>
  <c r="V22" i="163" s="1"/>
  <c r="W22" i="163" s="1"/>
  <c r="O24" i="164"/>
  <c r="O23" i="161"/>
  <c r="T28" i="161"/>
  <c r="Y28" i="161" s="1"/>
  <c r="R29" i="161"/>
  <c r="Z27" i="161"/>
  <c r="K52" i="161"/>
  <c r="BQ52" i="161" s="1"/>
  <c r="I53" i="161"/>
  <c r="BG51" i="161"/>
  <c r="BH51" i="161" s="1"/>
  <c r="BA51" i="161"/>
  <c r="BB51" i="161" s="1"/>
  <c r="AT51" i="161"/>
  <c r="AN51" i="161"/>
  <c r="AO51" i="161" s="1"/>
  <c r="AH51" i="161"/>
  <c r="AI51" i="161" s="1"/>
  <c r="AB51" i="161"/>
  <c r="AC51" i="161" s="1"/>
  <c r="V51" i="161"/>
  <c r="W51" i="161" s="1"/>
  <c r="O51" i="161"/>
  <c r="BR51" i="161"/>
  <c r="AY51" i="161"/>
  <c r="BD51" i="161"/>
  <c r="BE51" i="161" s="1"/>
  <c r="AQ51" i="161"/>
  <c r="AR51" i="161" s="1"/>
  <c r="AK51" i="161"/>
  <c r="AL51" i="161" s="1"/>
  <c r="AE51" i="161"/>
  <c r="AF51" i="161" s="1"/>
  <c r="Y51" i="161"/>
  <c r="Z51" i="161" s="1"/>
  <c r="R51" i="161"/>
  <c r="T51" i="161" s="1"/>
  <c r="AV51" i="161"/>
  <c r="AW51" i="161" s="1"/>
  <c r="P51" i="161"/>
  <c r="BK51" i="161"/>
  <c r="M51" i="161"/>
  <c r="BN51" i="161"/>
  <c r="BO51" i="161" s="1"/>
  <c r="BJ51" i="161"/>
  <c r="BL51" i="161" s="1"/>
  <c r="BK116" i="17"/>
  <c r="AN19" i="136"/>
  <c r="AQ19" i="136" s="1"/>
  <c r="AE19" i="136"/>
  <c r="AF17" i="114"/>
  <c r="M15" i="95"/>
  <c r="AF15" i="95" s="1"/>
  <c r="AH19" i="136"/>
  <c r="AO15" i="136"/>
  <c r="AO17" i="114"/>
  <c r="BQ19" i="136"/>
  <c r="P15" i="95"/>
  <c r="V15" i="95" s="1"/>
  <c r="O16" i="95" s="1"/>
  <c r="P16" i="95" s="1"/>
  <c r="M16" i="112"/>
  <c r="AL16" i="112" s="1"/>
  <c r="BJ16" i="112"/>
  <c r="AF20" i="156"/>
  <c r="K17" i="96"/>
  <c r="K17" i="112"/>
  <c r="Z15" i="101"/>
  <c r="K17" i="126"/>
  <c r="K16" i="95"/>
  <c r="BN15" i="95"/>
  <c r="BO15" i="95" s="1"/>
  <c r="K20" i="133"/>
  <c r="BN19" i="133"/>
  <c r="BO19" i="133" s="1"/>
  <c r="AI20" i="156"/>
  <c r="M16" i="104"/>
  <c r="AL16" i="104" s="1"/>
  <c r="K17" i="104"/>
  <c r="AF15" i="136"/>
  <c r="M17" i="135"/>
  <c r="AC17" i="135" s="1"/>
  <c r="BN17" i="135"/>
  <c r="BO17" i="135" s="1"/>
  <c r="K18" i="129"/>
  <c r="AB21" i="156"/>
  <c r="BN21" i="156"/>
  <c r="BO21" i="156" s="1"/>
  <c r="BL21" i="156"/>
  <c r="AE21" i="156"/>
  <c r="AH21" i="156"/>
  <c r="M21" i="156"/>
  <c r="AC20" i="156"/>
  <c r="BL17" i="129"/>
  <c r="K22" i="156"/>
  <c r="I23" i="156"/>
  <c r="I18" i="106"/>
  <c r="K17" i="106"/>
  <c r="R17" i="106" s="1"/>
  <c r="T17" i="106" s="1"/>
  <c r="Y17" i="106" s="1"/>
  <c r="BL17" i="64"/>
  <c r="AB19" i="136"/>
  <c r="AC15" i="101"/>
  <c r="R17" i="112"/>
  <c r="T17" i="112" s="1"/>
  <c r="Y17" i="112" s="1"/>
  <c r="AI16" i="124"/>
  <c r="BL18" i="132"/>
  <c r="BD17" i="129"/>
  <c r="BE17" i="129" s="1"/>
  <c r="BD16" i="129"/>
  <c r="BE16" i="129" s="1"/>
  <c r="F145" i="120"/>
  <c r="F150" i="120"/>
  <c r="F153" i="120" s="1"/>
  <c r="F134" i="13"/>
  <c r="BQ15" i="13" s="1"/>
  <c r="BR15" i="13" s="1"/>
  <c r="F137" i="13"/>
  <c r="F137" i="120"/>
  <c r="O21" i="152"/>
  <c r="P21" i="152" s="1"/>
  <c r="V21" i="152" s="1"/>
  <c r="W21" i="152" s="1"/>
  <c r="BD15" i="101"/>
  <c r="BE15" i="101" s="1"/>
  <c r="AL15" i="126"/>
  <c r="F150" i="13"/>
  <c r="F153" i="13" s="1"/>
  <c r="V23" i="58"/>
  <c r="N40" i="58"/>
  <c r="N24" i="58"/>
  <c r="N35" i="58"/>
  <c r="L19" i="58"/>
  <c r="L50" i="58"/>
  <c r="V44" i="58"/>
  <c r="L20" i="58"/>
  <c r="N47" i="58"/>
  <c r="N31" i="58"/>
  <c r="N46" i="58"/>
  <c r="N30" i="58"/>
  <c r="L17" i="58"/>
  <c r="L26" i="58"/>
  <c r="V55" i="58"/>
  <c r="L54" i="58"/>
  <c r="N38" i="58"/>
  <c r="V40" i="58"/>
  <c r="N56" i="58"/>
  <c r="T54" i="58"/>
  <c r="N17" i="58"/>
  <c r="T30" i="58"/>
  <c r="V47" i="58"/>
  <c r="V42" i="58"/>
  <c r="T51" i="58"/>
  <c r="T40" i="58"/>
  <c r="AA44" i="58"/>
  <c r="O55" i="58"/>
  <c r="O31" i="58"/>
  <c r="M51" i="58"/>
  <c r="M54" i="58"/>
  <c r="V51" i="58"/>
  <c r="X54" i="58"/>
  <c r="X47" i="58"/>
  <c r="M44" i="58"/>
  <c r="AA20" i="58"/>
  <c r="M20" i="58"/>
  <c r="O52" i="58"/>
  <c r="M30" i="58"/>
  <c r="M34" i="58"/>
  <c r="V36" i="58"/>
  <c r="AV15" i="129"/>
  <c r="AW15" i="129" s="1"/>
  <c r="L35" i="58"/>
  <c r="T23" i="58"/>
  <c r="V19" i="58"/>
  <c r="M38" i="58"/>
  <c r="L24" i="58"/>
  <c r="O19" i="58"/>
  <c r="V28" i="58"/>
  <c r="X52" i="58"/>
  <c r="AA43" i="58"/>
  <c r="M53" i="58"/>
  <c r="M56" i="58"/>
  <c r="T56" i="58"/>
  <c r="X28" i="58"/>
  <c r="O36" i="58"/>
  <c r="L40" i="58"/>
  <c r="T32" i="58"/>
  <c r="T35" i="58"/>
  <c r="O53" i="58"/>
  <c r="M45" i="58"/>
  <c r="O38" i="58"/>
  <c r="V37" i="58"/>
  <c r="T49" i="58"/>
  <c r="M37" i="58"/>
  <c r="X17" i="58"/>
  <c r="X20" i="58"/>
  <c r="M43" i="58"/>
  <c r="M41" i="58"/>
  <c r="O48" i="58"/>
  <c r="N51" i="58"/>
  <c r="T17" i="58"/>
  <c r="V45" i="58"/>
  <c r="X35" i="58"/>
  <c r="Y48" i="58"/>
  <c r="U48" i="58"/>
  <c r="T46" i="58"/>
  <c r="M25" i="58"/>
  <c r="M36" i="58"/>
  <c r="O37" i="58"/>
  <c r="M19" i="58"/>
  <c r="V52" i="58"/>
  <c r="V31" i="58"/>
  <c r="V34" i="58"/>
  <c r="M18" i="58"/>
  <c r="V26" i="58"/>
  <c r="AA22" i="58"/>
  <c r="X39" i="58"/>
  <c r="X55" i="58"/>
  <c r="AA32" i="58"/>
  <c r="M32" i="58"/>
  <c r="O27" i="58"/>
  <c r="O45" i="58"/>
  <c r="M33" i="58"/>
  <c r="O33" i="58"/>
  <c r="T38" i="58"/>
  <c r="V24" i="58"/>
  <c r="T44" i="58"/>
  <c r="AA24" i="58"/>
  <c r="O24" i="58"/>
  <c r="L38" i="58"/>
  <c r="O18" i="58"/>
  <c r="N43" i="58"/>
  <c r="N54" i="58"/>
  <c r="O49" i="58"/>
  <c r="O41" i="58"/>
  <c r="T24" i="58"/>
  <c r="V39" i="58"/>
  <c r="V38" i="58"/>
  <c r="V33" i="58"/>
  <c r="T18" i="58"/>
  <c r="T26" i="58"/>
  <c r="X41" i="58"/>
  <c r="X37" i="58"/>
  <c r="X46" i="58"/>
  <c r="T50" i="58"/>
  <c r="X38" i="58"/>
  <c r="AA39" i="58"/>
  <c r="M49" i="58"/>
  <c r="T37" i="58"/>
  <c r="T19" i="58"/>
  <c r="X49" i="58"/>
  <c r="L27" i="58"/>
  <c r="M39" i="58"/>
  <c r="O25" i="58"/>
  <c r="O23" i="58"/>
  <c r="T33" i="58"/>
  <c r="V56" i="58"/>
  <c r="T41" i="58"/>
  <c r="X24" i="58"/>
  <c r="T42" i="58"/>
  <c r="P15" i="64"/>
  <c r="V15" i="64" s="1"/>
  <c r="O16" i="64" s="1"/>
  <c r="P16" i="64" s="1"/>
  <c r="V16" i="64" s="1"/>
  <c r="W16" i="64" s="1"/>
  <c r="P15" i="130"/>
  <c r="V15" i="130" s="1"/>
  <c r="O16" i="130" s="1"/>
  <c r="P15" i="135"/>
  <c r="V15" i="135" s="1"/>
  <c r="P15" i="124"/>
  <c r="V15" i="124" s="1"/>
  <c r="W15" i="124" s="1"/>
  <c r="BJ17" i="126"/>
  <c r="AH20" i="126"/>
  <c r="A19" i="7"/>
  <c r="AY15" i="152" s="1"/>
  <c r="AY15" i="156"/>
  <c r="AY15" i="153"/>
  <c r="AY15" i="150"/>
  <c r="BH19" i="147"/>
  <c r="Z18" i="150"/>
  <c r="W18" i="150"/>
  <c r="BQ18" i="64"/>
  <c r="BR18" i="64" s="1"/>
  <c r="R16" i="118"/>
  <c r="R16" i="15"/>
  <c r="R18" i="135"/>
  <c r="T18" i="135" s="1"/>
  <c r="Y18" i="135" s="1"/>
  <c r="BN17" i="130"/>
  <c r="BO17" i="130" s="1"/>
  <c r="K18" i="130"/>
  <c r="BL17" i="130"/>
  <c r="M16" i="63"/>
  <c r="BL16" i="63"/>
  <c r="AF19" i="151"/>
  <c r="AL15" i="136"/>
  <c r="Z17" i="114"/>
  <c r="BG15" i="101"/>
  <c r="BH15" i="101" s="1"/>
  <c r="AO15" i="133"/>
  <c r="AF18" i="107"/>
  <c r="AI17" i="114"/>
  <c r="AL17" i="114"/>
  <c r="AC17" i="114"/>
  <c r="AI15" i="107"/>
  <c r="BA18" i="146"/>
  <c r="BB18" i="146" s="1"/>
  <c r="BA16" i="146"/>
  <c r="BB16" i="146" s="1"/>
  <c r="AF15" i="101"/>
  <c r="AI17" i="136"/>
  <c r="AI15" i="104"/>
  <c r="Z15" i="104"/>
  <c r="AL16" i="114"/>
  <c r="AO15" i="101"/>
  <c r="BR16" i="130"/>
  <c r="AO15" i="63"/>
  <c r="BB17" i="132"/>
  <c r="AL15" i="101"/>
  <c r="AF15" i="104"/>
  <c r="AL16" i="130"/>
  <c r="AO19" i="151"/>
  <c r="BR19" i="151"/>
  <c r="AO17" i="107"/>
  <c r="BQ15" i="146"/>
  <c r="BQ16" i="146"/>
  <c r="BQ17" i="146"/>
  <c r="BA17" i="146"/>
  <c r="BB17" i="146" s="1"/>
  <c r="F151" i="146"/>
  <c r="BD18" i="146" s="1"/>
  <c r="BE18" i="146" s="1"/>
  <c r="F153" i="146"/>
  <c r="BG18" i="146" s="1"/>
  <c r="BH18" i="146" s="1"/>
  <c r="F137" i="155"/>
  <c r="F145" i="155"/>
  <c r="F150" i="155"/>
  <c r="BK116" i="64"/>
  <c r="BK116" i="133"/>
  <c r="BL15" i="115"/>
  <c r="AL15" i="66"/>
  <c r="P15" i="118"/>
  <c r="V15" i="118" s="1"/>
  <c r="W15" i="118" s="1"/>
  <c r="P15" i="132"/>
  <c r="V15" i="132" s="1"/>
  <c r="W15" i="132" s="1"/>
  <c r="P15" i="104"/>
  <c r="V15" i="104" s="1"/>
  <c r="W15" i="104" s="1"/>
  <c r="AK17" i="99"/>
  <c r="AL17" i="99" s="1"/>
  <c r="P15" i="17"/>
  <c r="V15" i="17" s="1"/>
  <c r="O15" i="99"/>
  <c r="AN15" i="99"/>
  <c r="AO15" i="99" s="1"/>
  <c r="P15" i="115"/>
  <c r="V15" i="115" s="1"/>
  <c r="W15" i="115" s="1"/>
  <c r="AO21" i="153"/>
  <c r="BK116" i="15"/>
  <c r="P15" i="126"/>
  <c r="V15" i="126" s="1"/>
  <c r="O16" i="126" s="1"/>
  <c r="P16" i="126" s="1"/>
  <c r="V16" i="126" s="1"/>
  <c r="AN19" i="99"/>
  <c r="AN16" i="99"/>
  <c r="AO16" i="99" s="1"/>
  <c r="AK15" i="99"/>
  <c r="AL15" i="99" s="1"/>
  <c r="BK116" i="129"/>
  <c r="BK116" i="66"/>
  <c r="BK116" i="96"/>
  <c r="BK116" i="63"/>
  <c r="P15" i="112"/>
  <c r="V15" i="112" s="1"/>
  <c r="BJ15" i="110"/>
  <c r="M15" i="110"/>
  <c r="AL15" i="110" s="1"/>
  <c r="AY17" i="110"/>
  <c r="AK17" i="110"/>
  <c r="AE17" i="110"/>
  <c r="AT17" i="110"/>
  <c r="AH17" i="110"/>
  <c r="R16" i="110"/>
  <c r="R17" i="110" s="1"/>
  <c r="P15" i="129"/>
  <c r="V15" i="129" s="1"/>
  <c r="O16" i="129" s="1"/>
  <c r="P16" i="129" s="1"/>
  <c r="V16" i="129" s="1"/>
  <c r="W16" i="129" s="1"/>
  <c r="R16" i="96"/>
  <c r="T16" i="96" s="1"/>
  <c r="Y16" i="96" s="1"/>
  <c r="Z16" i="96" s="1"/>
  <c r="P15" i="15"/>
  <c r="V15" i="15" s="1"/>
  <c r="O16" i="15" s="1"/>
  <c r="P16" i="15" s="1"/>
  <c r="V16" i="15" s="1"/>
  <c r="L55" i="58"/>
  <c r="N39" i="58"/>
  <c r="T20" i="58"/>
  <c r="L44" i="58"/>
  <c r="L23" i="58"/>
  <c r="L39" i="58"/>
  <c r="L51" i="58"/>
  <c r="N34" i="58"/>
  <c r="L36" i="58"/>
  <c r="T36" i="58"/>
  <c r="L34" i="58"/>
  <c r="N50" i="58"/>
  <c r="N44" i="58"/>
  <c r="N48" i="58"/>
  <c r="L43" i="58"/>
  <c r="N19" i="58"/>
  <c r="L28" i="58"/>
  <c r="N23" i="58"/>
  <c r="N20" i="58"/>
  <c r="N26" i="58"/>
  <c r="N28" i="58"/>
  <c r="N18" i="58"/>
  <c r="L18" i="58"/>
  <c r="L32" i="58"/>
  <c r="N27" i="58"/>
  <c r="L22" i="58"/>
  <c r="BR21" i="153"/>
  <c r="AL21" i="153"/>
  <c r="W21" i="153"/>
  <c r="P15" i="107"/>
  <c r="V15" i="107" s="1"/>
  <c r="O16" i="107" s="1"/>
  <c r="AN18" i="99"/>
  <c r="AO18" i="99" s="1"/>
  <c r="AK16" i="99"/>
  <c r="AL16" i="99" s="1"/>
  <c r="AK19" i="99"/>
  <c r="R15" i="99"/>
  <c r="T15" i="99" s="1"/>
  <c r="Y15" i="99" s="1"/>
  <c r="F127" i="99"/>
  <c r="AK18" i="99"/>
  <c r="AL18" i="99" s="1"/>
  <c r="R17" i="63"/>
  <c r="AQ15" i="107"/>
  <c r="AR15" i="107" s="1"/>
  <c r="AO18" i="107"/>
  <c r="AQ16" i="129"/>
  <c r="AR16" i="129" s="1"/>
  <c r="AI16" i="129"/>
  <c r="AC15" i="98"/>
  <c r="AQ16" i="115"/>
  <c r="AR16" i="115" s="1"/>
  <c r="AQ17" i="129"/>
  <c r="AR17" i="129" s="1"/>
  <c r="T17" i="135"/>
  <c r="Y17" i="135" s="1"/>
  <c r="Z17" i="135" s="1"/>
  <c r="AQ15" i="135"/>
  <c r="AR15" i="135" s="1"/>
  <c r="AL17" i="129"/>
  <c r="AQ16" i="63"/>
  <c r="AR16" i="63" s="1"/>
  <c r="AQ16" i="107"/>
  <c r="AR16" i="107" s="1"/>
  <c r="AQ18" i="107"/>
  <c r="AR18" i="107" s="1"/>
  <c r="AQ15" i="63"/>
  <c r="AR15" i="63" s="1"/>
  <c r="AQ15" i="129"/>
  <c r="AR15" i="129" s="1"/>
  <c r="BA16" i="129"/>
  <c r="BB16" i="129" s="1"/>
  <c r="AH17" i="105"/>
  <c r="AI17" i="105" s="1"/>
  <c r="AH15" i="105"/>
  <c r="AI15" i="105" s="1"/>
  <c r="AH15" i="99"/>
  <c r="AI15" i="99" s="1"/>
  <c r="AH16" i="99"/>
  <c r="AI16" i="99" s="1"/>
  <c r="AH19" i="99"/>
  <c r="AH17" i="99"/>
  <c r="AI17" i="99" s="1"/>
  <c r="O18" i="151"/>
  <c r="P15" i="63"/>
  <c r="V15" i="63" s="1"/>
  <c r="W15" i="63" s="1"/>
  <c r="P15" i="106"/>
  <c r="V15" i="106" s="1"/>
  <c r="O16" i="106" s="1"/>
  <c r="P16" i="106" s="1"/>
  <c r="V16" i="106" s="1"/>
  <c r="W16" i="106" s="1"/>
  <c r="AC21" i="155"/>
  <c r="AF21" i="155"/>
  <c r="AB22" i="155"/>
  <c r="AH22" i="155"/>
  <c r="BN22" i="155"/>
  <c r="BO22" i="155" s="1"/>
  <c r="M22" i="155"/>
  <c r="AE22" i="155"/>
  <c r="BL22" i="155"/>
  <c r="K23" i="155"/>
  <c r="I24" i="155"/>
  <c r="AI21" i="155"/>
  <c r="N55" i="58"/>
  <c r="A11" i="58"/>
  <c r="W50" i="58"/>
  <c r="Y50" i="58"/>
  <c r="W35" i="58"/>
  <c r="Y35" i="58"/>
  <c r="W34" i="58"/>
  <c r="Y34" i="58"/>
  <c r="W17" i="58"/>
  <c r="Y17" i="58"/>
  <c r="W26" i="58"/>
  <c r="Y26" i="58"/>
  <c r="W31" i="58"/>
  <c r="Y31" i="58"/>
  <c r="W56" i="58"/>
  <c r="Y56" i="58"/>
  <c r="W39" i="58"/>
  <c r="Y39" i="58"/>
  <c r="W20" i="58"/>
  <c r="Y20" i="58"/>
  <c r="W40" i="58"/>
  <c r="Y40" i="58"/>
  <c r="W21" i="58"/>
  <c r="Y21" i="58"/>
  <c r="W36" i="58"/>
  <c r="Y36" i="58"/>
  <c r="W37" i="58"/>
  <c r="Y37" i="58"/>
  <c r="V53" i="58"/>
  <c r="X53" i="58"/>
  <c r="W18" i="58"/>
  <c r="Y18" i="58"/>
  <c r="W25" i="58"/>
  <c r="Y25" i="58"/>
  <c r="W49" i="58"/>
  <c r="Y49" i="58"/>
  <c r="W24" i="58"/>
  <c r="Y24" i="58"/>
  <c r="W46" i="58"/>
  <c r="Y46" i="58"/>
  <c r="W41" i="58"/>
  <c r="Y41" i="58"/>
  <c r="W54" i="58"/>
  <c r="Y54" i="58"/>
  <c r="W51" i="58"/>
  <c r="Y51" i="58"/>
  <c r="V25" i="58"/>
  <c r="X25" i="58"/>
  <c r="W44" i="58"/>
  <c r="Y44" i="58"/>
  <c r="W29" i="58"/>
  <c r="Y29" i="58"/>
  <c r="W53" i="58"/>
  <c r="Y53" i="58"/>
  <c r="W30" i="58"/>
  <c r="Y30" i="58"/>
  <c r="W52" i="58"/>
  <c r="Y52" i="58"/>
  <c r="W45" i="58"/>
  <c r="Y45" i="58"/>
  <c r="W27" i="58"/>
  <c r="Y27" i="58"/>
  <c r="W55" i="58"/>
  <c r="Y55" i="58"/>
  <c r="Z21" i="153"/>
  <c r="AC21" i="153"/>
  <c r="AF21" i="153"/>
  <c r="AI21" i="153"/>
  <c r="BD16" i="115"/>
  <c r="BE16" i="115" s="1"/>
  <c r="N22" i="58"/>
  <c r="N32" i="58"/>
  <c r="L48" i="58"/>
  <c r="AV15" i="107"/>
  <c r="AW15" i="107" s="1"/>
  <c r="O22" i="153"/>
  <c r="P22" i="153" s="1"/>
  <c r="V22" i="153" s="1"/>
  <c r="AB22" i="153"/>
  <c r="AH22" i="153"/>
  <c r="AN22" i="153"/>
  <c r="R22" i="153"/>
  <c r="T22" i="153" s="1"/>
  <c r="Y22" i="153" s="1"/>
  <c r="AK22" i="153"/>
  <c r="BQ22" i="153"/>
  <c r="M22" i="153"/>
  <c r="AE22" i="153"/>
  <c r="BN22" i="153"/>
  <c r="BO22" i="153" s="1"/>
  <c r="BL22" i="153"/>
  <c r="K23" i="153"/>
  <c r="AQ21" i="153"/>
  <c r="AR21" i="153" s="1"/>
  <c r="I27" i="153"/>
  <c r="P15" i="114"/>
  <c r="V15" i="114" s="1"/>
  <c r="O16" i="114" s="1"/>
  <c r="P16" i="114" s="1"/>
  <c r="V16" i="114" s="1"/>
  <c r="W16" i="114" s="1"/>
  <c r="P15" i="98"/>
  <c r="V15" i="98" s="1"/>
  <c r="O16" i="98" s="1"/>
  <c r="P15" i="66"/>
  <c r="V15" i="66" s="1"/>
  <c r="W15" i="66" s="1"/>
  <c r="AF21" i="152"/>
  <c r="Z21" i="152"/>
  <c r="AI21" i="152"/>
  <c r="AL21" i="152"/>
  <c r="AQ15" i="115"/>
  <c r="AR15" i="115" s="1"/>
  <c r="BQ15" i="64"/>
  <c r="BR15" i="64" s="1"/>
  <c r="BA18" i="64"/>
  <c r="BB18" i="64" s="1"/>
  <c r="BA16" i="107"/>
  <c r="BB16" i="107" s="1"/>
  <c r="AV16" i="115"/>
  <c r="AW16" i="115" s="1"/>
  <c r="AC16" i="107"/>
  <c r="BA17" i="64"/>
  <c r="BB17" i="64" s="1"/>
  <c r="AQ16" i="135"/>
  <c r="AR16" i="135" s="1"/>
  <c r="BA16" i="64"/>
  <c r="BB16" i="64" s="1"/>
  <c r="BG16" i="107"/>
  <c r="BH16" i="107" s="1"/>
  <c r="AQ17" i="107"/>
  <c r="AR17" i="107" s="1"/>
  <c r="AL15" i="129"/>
  <c r="BA15" i="64"/>
  <c r="BB15" i="64" s="1"/>
  <c r="BQ16" i="64"/>
  <c r="BR16" i="64" s="1"/>
  <c r="AV16" i="129"/>
  <c r="AW16" i="129" s="1"/>
  <c r="BQ17" i="64"/>
  <c r="BR17" i="64" s="1"/>
  <c r="T16" i="135"/>
  <c r="Y16" i="135" s="1"/>
  <c r="Z16" i="135" s="1"/>
  <c r="AO17" i="64"/>
  <c r="BA15" i="105"/>
  <c r="BB15" i="105" s="1"/>
  <c r="T16" i="133"/>
  <c r="Y16" i="133" s="1"/>
  <c r="Z16" i="133" s="1"/>
  <c r="AQ21" i="152"/>
  <c r="AR21" i="152" s="1"/>
  <c r="AB22" i="152"/>
  <c r="AH22" i="152"/>
  <c r="AN22" i="152"/>
  <c r="BN22" i="152"/>
  <c r="BO22" i="152" s="1"/>
  <c r="R22" i="152"/>
  <c r="T22" i="152" s="1"/>
  <c r="Y22" i="152" s="1"/>
  <c r="AK22" i="152"/>
  <c r="BQ22" i="152"/>
  <c r="M22" i="152"/>
  <c r="AE22" i="152"/>
  <c r="K23" i="152"/>
  <c r="BL22" i="152"/>
  <c r="AO21" i="152"/>
  <c r="BR21" i="152"/>
  <c r="AC21" i="152"/>
  <c r="I31" i="152"/>
  <c r="AF18" i="150"/>
  <c r="Z17" i="132"/>
  <c r="AC18" i="150"/>
  <c r="AV15" i="66"/>
  <c r="AW15" i="66" s="1"/>
  <c r="AI19" i="151"/>
  <c r="AL19" i="151"/>
  <c r="AW17" i="64"/>
  <c r="R17" i="130"/>
  <c r="R18" i="130" s="1"/>
  <c r="T18" i="130" s="1"/>
  <c r="Y18" i="130" s="1"/>
  <c r="T16" i="130"/>
  <c r="Y16" i="130" s="1"/>
  <c r="Z16" i="130" s="1"/>
  <c r="T16" i="132"/>
  <c r="Y16" i="132" s="1"/>
  <c r="Z16" i="132" s="1"/>
  <c r="P15" i="136"/>
  <c r="V15" i="136" s="1"/>
  <c r="P15" i="13"/>
  <c r="V15" i="13" s="1"/>
  <c r="W15" i="13" s="1"/>
  <c r="P15" i="110"/>
  <c r="V15" i="110" s="1"/>
  <c r="P15" i="133"/>
  <c r="V15" i="133" s="1"/>
  <c r="R19" i="147"/>
  <c r="T19" i="147" s="1"/>
  <c r="Y19" i="147" s="1"/>
  <c r="Z19" i="147" s="1"/>
  <c r="BA15" i="104"/>
  <c r="BB15" i="104" s="1"/>
  <c r="Z16" i="64"/>
  <c r="BD16" i="104"/>
  <c r="BD17" i="64"/>
  <c r="BE17" i="64" s="1"/>
  <c r="F153" i="64"/>
  <c r="BG18" i="64" s="1"/>
  <c r="BH18" i="64" s="1"/>
  <c r="BD15" i="129"/>
  <c r="BE15" i="129" s="1"/>
  <c r="AV15" i="95"/>
  <c r="F151" i="13"/>
  <c r="O16" i="96"/>
  <c r="P16" i="96" s="1"/>
  <c r="V16" i="96" s="1"/>
  <c r="W16" i="96" s="1"/>
  <c r="BA15" i="115"/>
  <c r="BB15" i="115" s="1"/>
  <c r="F145" i="95"/>
  <c r="R19" i="151"/>
  <c r="T19" i="151" s="1"/>
  <c r="Y19" i="151" s="1"/>
  <c r="Z19" i="151" s="1"/>
  <c r="F151" i="66"/>
  <c r="BD15" i="66" s="1"/>
  <c r="BE15" i="66" s="1"/>
  <c r="BG15" i="129"/>
  <c r="BH15" i="129" s="1"/>
  <c r="AL15" i="112"/>
  <c r="AQ18" i="150"/>
  <c r="AR18" i="150" s="1"/>
  <c r="F150" i="95"/>
  <c r="F151" i="95" s="1"/>
  <c r="R17" i="64"/>
  <c r="F153" i="104"/>
  <c r="F153" i="15"/>
  <c r="F151" i="136"/>
  <c r="BQ16" i="104"/>
  <c r="BQ15" i="104"/>
  <c r="BR15" i="104" s="1"/>
  <c r="BA18" i="105"/>
  <c r="BB18" i="105" s="1"/>
  <c r="R18" i="132"/>
  <c r="R19" i="132" s="1"/>
  <c r="BQ17" i="136"/>
  <c r="BR17" i="136" s="1"/>
  <c r="BA16" i="105"/>
  <c r="BB16" i="105" s="1"/>
  <c r="BQ17" i="104"/>
  <c r="BQ18" i="136"/>
  <c r="BR18" i="136" s="1"/>
  <c r="BA17" i="129"/>
  <c r="BB17" i="129" s="1"/>
  <c r="AC19" i="151"/>
  <c r="AQ19" i="151"/>
  <c r="AR19" i="151" s="1"/>
  <c r="BQ20" i="151"/>
  <c r="AK20" i="151"/>
  <c r="AE20" i="151"/>
  <c r="AN20" i="151"/>
  <c r="AH20" i="151"/>
  <c r="AB20" i="151"/>
  <c r="BN20" i="151"/>
  <c r="BO20" i="151" s="1"/>
  <c r="M20" i="151"/>
  <c r="BL20" i="151"/>
  <c r="K21" i="151"/>
  <c r="I22" i="151"/>
  <c r="AL18" i="150"/>
  <c r="BR18" i="150"/>
  <c r="AI18" i="150"/>
  <c r="AO18" i="150"/>
  <c r="I23" i="150"/>
  <c r="AN19" i="150"/>
  <c r="AH19" i="150"/>
  <c r="AB19" i="150"/>
  <c r="O19" i="150"/>
  <c r="P19" i="150" s="1"/>
  <c r="V19" i="150" s="1"/>
  <c r="BQ19" i="150"/>
  <c r="AK19" i="150"/>
  <c r="AE19" i="150"/>
  <c r="R19" i="150"/>
  <c r="T19" i="150" s="1"/>
  <c r="Y19" i="150" s="1"/>
  <c r="BN19" i="150"/>
  <c r="BO19" i="150" s="1"/>
  <c r="M19" i="150"/>
  <c r="BL19" i="150"/>
  <c r="K20" i="150"/>
  <c r="R18" i="146"/>
  <c r="T18" i="146" s="1"/>
  <c r="Y18" i="146" s="1"/>
  <c r="Z18" i="146" s="1"/>
  <c r="O19" i="149"/>
  <c r="R20" i="149"/>
  <c r="T20" i="149" s="1"/>
  <c r="Y20" i="149" s="1"/>
  <c r="Z20" i="149" s="1"/>
  <c r="AO20" i="149"/>
  <c r="AF20" i="149"/>
  <c r="AC20" i="149"/>
  <c r="AI20" i="149"/>
  <c r="AQ20" i="149"/>
  <c r="AR20" i="149" s="1"/>
  <c r="AL20" i="149"/>
  <c r="K22" i="149"/>
  <c r="I23" i="149"/>
  <c r="BR20" i="149"/>
  <c r="BQ21" i="149"/>
  <c r="AK21" i="149"/>
  <c r="AE21" i="149"/>
  <c r="AN21" i="149"/>
  <c r="AB21" i="149"/>
  <c r="BL21" i="149"/>
  <c r="AH21" i="149"/>
  <c r="M21" i="149"/>
  <c r="BN21" i="149"/>
  <c r="BO21" i="149" s="1"/>
  <c r="T16" i="129"/>
  <c r="Y16" i="129" s="1"/>
  <c r="Z16" i="129" s="1"/>
  <c r="BA15" i="114"/>
  <c r="BB15" i="114" s="1"/>
  <c r="AQ15" i="112"/>
  <c r="AR15" i="112" s="1"/>
  <c r="AF18" i="124"/>
  <c r="AL18" i="132"/>
  <c r="AF15" i="133"/>
  <c r="AL19" i="133"/>
  <c r="AC16" i="133"/>
  <c r="AC15" i="133"/>
  <c r="AC20" i="124"/>
  <c r="AL15" i="107"/>
  <c r="T16" i="112"/>
  <c r="Y16" i="112" s="1"/>
  <c r="BR16" i="133"/>
  <c r="AO16" i="133"/>
  <c r="AF18" i="136"/>
  <c r="R18" i="133"/>
  <c r="T18" i="133" s="1"/>
  <c r="Y18" i="133" s="1"/>
  <c r="Z18" i="133" s="1"/>
  <c r="Z15" i="133"/>
  <c r="AO19" i="133"/>
  <c r="AC19" i="133"/>
  <c r="AI16" i="133"/>
  <c r="AF16" i="114"/>
  <c r="AC18" i="136"/>
  <c r="BB18" i="132"/>
  <c r="BR15" i="107"/>
  <c r="AQ16" i="112"/>
  <c r="AC15" i="15"/>
  <c r="BR19" i="133"/>
  <c r="AW19" i="147"/>
  <c r="AF18" i="132"/>
  <c r="AO18" i="132"/>
  <c r="AL18" i="136"/>
  <c r="AL15" i="133"/>
  <c r="BD15" i="104"/>
  <c r="BE15" i="104" s="1"/>
  <c r="AF16" i="133"/>
  <c r="AC18" i="107"/>
  <c r="AO18" i="136"/>
  <c r="BR18" i="107"/>
  <c r="AV17" i="129"/>
  <c r="AW17" i="129" s="1"/>
  <c r="BR15" i="133"/>
  <c r="AQ15" i="98"/>
  <c r="AR15" i="98" s="1"/>
  <c r="BB15" i="66"/>
  <c r="BA19" i="147"/>
  <c r="BB19" i="147" s="1"/>
  <c r="AV17" i="107"/>
  <c r="AW17" i="107" s="1"/>
  <c r="T16" i="106"/>
  <c r="Y16" i="106" s="1"/>
  <c r="Z16" i="106" s="1"/>
  <c r="BD15" i="115"/>
  <c r="BE15" i="115" s="1"/>
  <c r="BR15" i="115"/>
  <c r="AV16" i="107"/>
  <c r="AW16" i="107" s="1"/>
  <c r="BA16" i="104"/>
  <c r="F151" i="107"/>
  <c r="BD17" i="107" s="1"/>
  <c r="BE17" i="107" s="1"/>
  <c r="BL19" i="147"/>
  <c r="BD19" i="147"/>
  <c r="BE19" i="147" s="1"/>
  <c r="AI19" i="147"/>
  <c r="K21" i="147"/>
  <c r="AH21" i="147" s="1"/>
  <c r="I22" i="147"/>
  <c r="BR19" i="147"/>
  <c r="BQ20" i="147"/>
  <c r="AT20" i="147"/>
  <c r="AV20" i="147" s="1"/>
  <c r="AB20" i="147"/>
  <c r="AY20" i="147"/>
  <c r="BG20" i="147" s="1"/>
  <c r="BJ20" i="147"/>
  <c r="AE20" i="147"/>
  <c r="M20" i="147"/>
  <c r="AF19" i="147"/>
  <c r="BK18" i="147"/>
  <c r="W17" i="147"/>
  <c r="O18" i="147"/>
  <c r="AC19" i="147"/>
  <c r="AW17" i="147"/>
  <c r="BK17" i="147"/>
  <c r="BL18" i="146"/>
  <c r="AV18" i="146"/>
  <c r="AW18" i="146" s="1"/>
  <c r="AT19" i="146"/>
  <c r="AV19" i="146" s="1"/>
  <c r="AB19" i="146"/>
  <c r="BQ19" i="146"/>
  <c r="AY19" i="146"/>
  <c r="BG19" i="146" s="1"/>
  <c r="AE19" i="146"/>
  <c r="BJ19" i="146"/>
  <c r="M19" i="146"/>
  <c r="AI18" i="146"/>
  <c r="I21" i="146"/>
  <c r="K20" i="146"/>
  <c r="AH20" i="146" s="1"/>
  <c r="AF18" i="146"/>
  <c r="W16" i="146"/>
  <c r="O17" i="146"/>
  <c r="BR18" i="146"/>
  <c r="AC18" i="146"/>
  <c r="BA17" i="114"/>
  <c r="BB17" i="114" s="1"/>
  <c r="R18" i="129"/>
  <c r="AC18" i="132"/>
  <c r="AL17" i="64"/>
  <c r="AF17" i="132"/>
  <c r="Z17" i="133"/>
  <c r="BA16" i="118"/>
  <c r="AI15" i="112"/>
  <c r="AC15" i="112"/>
  <c r="AF15" i="112"/>
  <c r="Z15" i="112"/>
  <c r="AO15" i="112"/>
  <c r="AI15" i="98"/>
  <c r="AL15" i="98"/>
  <c r="AI17" i="107"/>
  <c r="BR17" i="107"/>
  <c r="F145" i="124"/>
  <c r="BA15" i="124" s="1"/>
  <c r="BB15" i="124" s="1"/>
  <c r="F150" i="124"/>
  <c r="F151" i="124" s="1"/>
  <c r="F137" i="124"/>
  <c r="AV15" i="124" s="1"/>
  <c r="AW15" i="124" s="1"/>
  <c r="F134" i="124"/>
  <c r="BQ19" i="124" s="1"/>
  <c r="BR19" i="124" s="1"/>
  <c r="M17" i="110"/>
  <c r="AI17" i="110" s="1"/>
  <c r="BJ17" i="110"/>
  <c r="AN17" i="110"/>
  <c r="AB17" i="110"/>
  <c r="I19" i="115"/>
  <c r="K18" i="115"/>
  <c r="I19" i="96"/>
  <c r="K18" i="96"/>
  <c r="AC15" i="63"/>
  <c r="AI15" i="63"/>
  <c r="AL15" i="63"/>
  <c r="AF15" i="63"/>
  <c r="I32" i="133"/>
  <c r="Z15" i="63"/>
  <c r="AF15" i="105"/>
  <c r="AC15" i="105"/>
  <c r="K16" i="17"/>
  <c r="BQ16" i="17" s="1"/>
  <c r="I17" i="17"/>
  <c r="M16" i="101"/>
  <c r="AC16" i="101" s="1"/>
  <c r="AN16" i="101"/>
  <c r="R16" i="101"/>
  <c r="T16" i="101" s="1"/>
  <c r="Y16" i="101" s="1"/>
  <c r="AE16" i="101"/>
  <c r="I24" i="132"/>
  <c r="T53" i="58"/>
  <c r="K16" i="120"/>
  <c r="AH15" i="120"/>
  <c r="AB15" i="120"/>
  <c r="AE15" i="120"/>
  <c r="AY15" i="120"/>
  <c r="BA15" i="120" s="1"/>
  <c r="BQ15" i="120"/>
  <c r="M15" i="120"/>
  <c r="Z15" i="120" s="1"/>
  <c r="I23" i="114"/>
  <c r="BQ15" i="136"/>
  <c r="BR15" i="136" s="1"/>
  <c r="BQ16" i="136"/>
  <c r="BR16" i="136" s="1"/>
  <c r="I22" i="126"/>
  <c r="BR15" i="15"/>
  <c r="AL15" i="17"/>
  <c r="O16" i="101"/>
  <c r="P16" i="101" s="1"/>
  <c r="V16" i="101" s="1"/>
  <c r="AI15" i="66"/>
  <c r="K16" i="66"/>
  <c r="BQ16" i="66" s="1"/>
  <c r="I17" i="66"/>
  <c r="K18" i="98"/>
  <c r="M17" i="98"/>
  <c r="AE17" i="98"/>
  <c r="AT17" i="98"/>
  <c r="AV17" i="98" s="1"/>
  <c r="AY17" i="98"/>
  <c r="BA17" i="98" s="1"/>
  <c r="AK17" i="98"/>
  <c r="BJ17" i="98"/>
  <c r="AB17" i="98"/>
  <c r="AH17" i="98"/>
  <c r="AN17" i="98"/>
  <c r="M18" i="135"/>
  <c r="AH18" i="135"/>
  <c r="AB18" i="135"/>
  <c r="AK18" i="135"/>
  <c r="BN18" i="135"/>
  <c r="BO18" i="135" s="1"/>
  <c r="AN18" i="135"/>
  <c r="AE18" i="135"/>
  <c r="AY18" i="135"/>
  <c r="BA18" i="135" s="1"/>
  <c r="K18" i="126"/>
  <c r="AH21" i="126" s="1"/>
  <c r="BL16" i="15"/>
  <c r="K17" i="15"/>
  <c r="BN16" i="15"/>
  <c r="BO16" i="15" s="1"/>
  <c r="M17" i="63"/>
  <c r="BN17" i="63"/>
  <c r="BO17" i="63" s="1"/>
  <c r="K18" i="63"/>
  <c r="BL17" i="63"/>
  <c r="AH17" i="63"/>
  <c r="AT17" i="63"/>
  <c r="BD17" i="63" s="1"/>
  <c r="AK17" i="63"/>
  <c r="AN17" i="63"/>
  <c r="AB17" i="63"/>
  <c r="AC17" i="63" s="1"/>
  <c r="AY17" i="63"/>
  <c r="BA17" i="63" s="1"/>
  <c r="AE17" i="63"/>
  <c r="K20" i="136"/>
  <c r="M19" i="136"/>
  <c r="BN19" i="136"/>
  <c r="BO19" i="136" s="1"/>
  <c r="BL19" i="136"/>
  <c r="I21" i="104"/>
  <c r="I22" i="63"/>
  <c r="AF15" i="98"/>
  <c r="AI15" i="15"/>
  <c r="AI15" i="17"/>
  <c r="AO15" i="15"/>
  <c r="Z15" i="15"/>
  <c r="BB15" i="63"/>
  <c r="AF15" i="66"/>
  <c r="K16" i="13"/>
  <c r="I17" i="13"/>
  <c r="M16" i="110"/>
  <c r="AF16" i="110" s="1"/>
  <c r="BJ16" i="110"/>
  <c r="M16" i="98"/>
  <c r="BJ16" i="98"/>
  <c r="AT16" i="98"/>
  <c r="AV16" i="98" s="1"/>
  <c r="AY16" i="98"/>
  <c r="BG16" i="98" s="1"/>
  <c r="AB16" i="98"/>
  <c r="AE16" i="98"/>
  <c r="AK16" i="98"/>
  <c r="AH16" i="98"/>
  <c r="R16" i="98"/>
  <c r="AN16" i="98"/>
  <c r="K18" i="114"/>
  <c r="BJ17" i="114"/>
  <c r="I20" i="135"/>
  <c r="K19" i="135"/>
  <c r="K19" i="64"/>
  <c r="BL18" i="64"/>
  <c r="BN18" i="64"/>
  <c r="BO18" i="64" s="1"/>
  <c r="AT18" i="64"/>
  <c r="AV18" i="64" s="1"/>
  <c r="AW18" i="64" s="1"/>
  <c r="K17" i="118"/>
  <c r="M16" i="118"/>
  <c r="AW16" i="118" s="1"/>
  <c r="I21" i="15"/>
  <c r="M19" i="105"/>
  <c r="BR19" i="105" s="1"/>
  <c r="BJ19" i="105"/>
  <c r="BL19" i="105" s="1"/>
  <c r="K20" i="105"/>
  <c r="BQ20" i="105" s="1"/>
  <c r="AE19" i="105"/>
  <c r="AY19" i="105"/>
  <c r="BA19" i="105" s="1"/>
  <c r="AB19" i="105"/>
  <c r="AT19" i="105"/>
  <c r="AV19" i="105" s="1"/>
  <c r="K22" i="124"/>
  <c r="AH22" i="124" s="1"/>
  <c r="M21" i="124"/>
  <c r="BJ21" i="124"/>
  <c r="I26" i="95"/>
  <c r="I73" i="99"/>
  <c r="AF15" i="15"/>
  <c r="AL15" i="15"/>
  <c r="AF15" i="17"/>
  <c r="I18" i="101"/>
  <c r="K17" i="101"/>
  <c r="AH17" i="101" s="1"/>
  <c r="I19" i="110"/>
  <c r="K18" i="110"/>
  <c r="M17" i="115"/>
  <c r="BR17" i="115" s="1"/>
  <c r="AK17" i="115"/>
  <c r="AB17" i="115"/>
  <c r="AN17" i="115"/>
  <c r="AT17" i="115"/>
  <c r="BD17" i="115" s="1"/>
  <c r="BJ17" i="115"/>
  <c r="BL17" i="115" s="1"/>
  <c r="AE17" i="115"/>
  <c r="AH17" i="115"/>
  <c r="AY17" i="115"/>
  <c r="BA17" i="115" s="1"/>
  <c r="M16" i="126"/>
  <c r="AO16" i="126" s="1"/>
  <c r="BJ16" i="126"/>
  <c r="I23" i="64"/>
  <c r="AE19" i="132"/>
  <c r="AK19" i="132"/>
  <c r="BN19" i="132"/>
  <c r="BO19" i="132" s="1"/>
  <c r="M19" i="132"/>
  <c r="AY19" i="132"/>
  <c r="BA19" i="132" s="1"/>
  <c r="I23" i="136"/>
  <c r="I24" i="105"/>
  <c r="BL18" i="135"/>
  <c r="R16" i="126"/>
  <c r="Z15" i="98"/>
  <c r="AO15" i="98"/>
  <c r="F153" i="126"/>
  <c r="F151" i="126"/>
  <c r="F134" i="126"/>
  <c r="AT18" i="135"/>
  <c r="AV18" i="135" s="1"/>
  <c r="AT17" i="135"/>
  <c r="AV17" i="135" s="1"/>
  <c r="AW17" i="135" s="1"/>
  <c r="AT16" i="135"/>
  <c r="AV16" i="135" s="1"/>
  <c r="AW16" i="135" s="1"/>
  <c r="AT15" i="135"/>
  <c r="AV15" i="135" s="1"/>
  <c r="AW15" i="135" s="1"/>
  <c r="AT19" i="135"/>
  <c r="AV19" i="135" s="1"/>
  <c r="AI17" i="132"/>
  <c r="AL17" i="107"/>
  <c r="AL18" i="107"/>
  <c r="AC15" i="107"/>
  <c r="F145" i="126"/>
  <c r="F137" i="126"/>
  <c r="AV16" i="126" s="1"/>
  <c r="AI18" i="107"/>
  <c r="AI16" i="107"/>
  <c r="AL17" i="132"/>
  <c r="AO15" i="107"/>
  <c r="AO16" i="107"/>
  <c r="AL16" i="107"/>
  <c r="AF16" i="107"/>
  <c r="AL18" i="64"/>
  <c r="AT17" i="132"/>
  <c r="AV17" i="132" s="1"/>
  <c r="AW17" i="132" s="1"/>
  <c r="AT15" i="132"/>
  <c r="AV15" i="132" s="1"/>
  <c r="AW15" i="132" s="1"/>
  <c r="AT16" i="132"/>
  <c r="AV16" i="132" s="1"/>
  <c r="AW16" i="132" s="1"/>
  <c r="AT18" i="132"/>
  <c r="AV18" i="132" s="1"/>
  <c r="AW18" i="132" s="1"/>
  <c r="AT19" i="132"/>
  <c r="AV19" i="132" s="1"/>
  <c r="AF15" i="107"/>
  <c r="AV15" i="101"/>
  <c r="AW15" i="101" s="1"/>
  <c r="W15" i="101"/>
  <c r="T16" i="124"/>
  <c r="Y16" i="124" s="1"/>
  <c r="Z16" i="124" s="1"/>
  <c r="F153" i="63"/>
  <c r="BD15" i="63"/>
  <c r="BE15" i="63" s="1"/>
  <c r="BQ16" i="132"/>
  <c r="BR16" i="132" s="1"/>
  <c r="F153" i="106"/>
  <c r="F151" i="120"/>
  <c r="BA17" i="107"/>
  <c r="BB17" i="107" s="1"/>
  <c r="BQ17" i="132"/>
  <c r="BR17" i="132" s="1"/>
  <c r="BQ19" i="132"/>
  <c r="AQ16" i="104"/>
  <c r="BQ17" i="63"/>
  <c r="BQ15" i="66"/>
  <c r="BR15" i="66" s="1"/>
  <c r="BA16" i="115"/>
  <c r="BB16" i="115" s="1"/>
  <c r="BQ18" i="63"/>
  <c r="BL16" i="115"/>
  <c r="AV15" i="115"/>
  <c r="AW15" i="115" s="1"/>
  <c r="BQ16" i="63"/>
  <c r="BR16" i="63" s="1"/>
  <c r="BQ15" i="63"/>
  <c r="BR15" i="63" s="1"/>
  <c r="BQ16" i="105"/>
  <c r="BL16" i="105" s="1"/>
  <c r="F153" i="115"/>
  <c r="F134" i="95"/>
  <c r="BA16" i="106"/>
  <c r="BB16" i="106" s="1"/>
  <c r="BG15" i="66"/>
  <c r="BH15" i="66" s="1"/>
  <c r="BQ16" i="106"/>
  <c r="BL16" i="106" s="1"/>
  <c r="AQ15" i="106"/>
  <c r="AR15" i="106" s="1"/>
  <c r="BQ17" i="105"/>
  <c r="BR17" i="105" s="1"/>
  <c r="BQ15" i="105"/>
  <c r="BR15" i="105" s="1"/>
  <c r="BA18" i="107"/>
  <c r="BB18" i="107" s="1"/>
  <c r="BQ18" i="105"/>
  <c r="BR18" i="105" s="1"/>
  <c r="BA15" i="101"/>
  <c r="BB15" i="101" s="1"/>
  <c r="AQ16" i="130"/>
  <c r="AR16" i="130" s="1"/>
  <c r="BQ17" i="106"/>
  <c r="BQ15" i="106"/>
  <c r="BL15" i="106" s="1"/>
  <c r="BQ18" i="98"/>
  <c r="F153" i="114"/>
  <c r="BQ17" i="114"/>
  <c r="AV15" i="63"/>
  <c r="AW15" i="63" s="1"/>
  <c r="AV16" i="63"/>
  <c r="AW16" i="63" s="1"/>
  <c r="F134" i="96"/>
  <c r="BQ17" i="96" s="1"/>
  <c r="F153" i="17"/>
  <c r="BD17" i="114"/>
  <c r="BE17" i="114" s="1"/>
  <c r="BD15" i="114"/>
  <c r="BE15" i="114" s="1"/>
  <c r="BA15" i="135"/>
  <c r="BB15" i="135" s="1"/>
  <c r="BQ15" i="98"/>
  <c r="BR15" i="98" s="1"/>
  <c r="BQ16" i="114"/>
  <c r="BQ16" i="98"/>
  <c r="R17" i="115"/>
  <c r="T17" i="115" s="1"/>
  <c r="Y17" i="115" s="1"/>
  <c r="BL18" i="107"/>
  <c r="AQ15" i="110"/>
  <c r="AV15" i="105"/>
  <c r="AW15" i="105" s="1"/>
  <c r="AV17" i="105"/>
  <c r="AW17" i="105" s="1"/>
  <c r="AV18" i="105"/>
  <c r="AW18" i="105" s="1"/>
  <c r="AL17" i="130"/>
  <c r="AQ17" i="130"/>
  <c r="AR17" i="130" s="1"/>
  <c r="BQ16" i="135"/>
  <c r="BR16" i="135" s="1"/>
  <c r="AQ15" i="101"/>
  <c r="AR15" i="101" s="1"/>
  <c r="R18" i="124"/>
  <c r="R19" i="124" s="1"/>
  <c r="AQ16" i="110"/>
  <c r="BD16" i="114"/>
  <c r="AV16" i="105"/>
  <c r="AW16" i="105" s="1"/>
  <c r="BQ17" i="135"/>
  <c r="BR17" i="135" s="1"/>
  <c r="BQ15" i="135"/>
  <c r="BR15" i="135" s="1"/>
  <c r="BA17" i="105"/>
  <c r="BB17" i="105" s="1"/>
  <c r="AQ17" i="114"/>
  <c r="AR17" i="114" s="1"/>
  <c r="BG17" i="132"/>
  <c r="BH17" i="132" s="1"/>
  <c r="F151" i="132"/>
  <c r="T16" i="114"/>
  <c r="Y16" i="114" s="1"/>
  <c r="AV16" i="104"/>
  <c r="AQ15" i="104"/>
  <c r="AR15" i="104" s="1"/>
  <c r="BL16" i="107"/>
  <c r="AV17" i="114"/>
  <c r="F151" i="133"/>
  <c r="BG18" i="132"/>
  <c r="BH18" i="132" s="1"/>
  <c r="BG18" i="107"/>
  <c r="BH18" i="107" s="1"/>
  <c r="F151" i="98"/>
  <c r="BD15" i="98" s="1"/>
  <c r="BE15" i="98" s="1"/>
  <c r="AV15" i="98"/>
  <c r="AW15" i="98" s="1"/>
  <c r="AQ15" i="17"/>
  <c r="AR15" i="17" s="1"/>
  <c r="AV16" i="96"/>
  <c r="AW16" i="96" s="1"/>
  <c r="BL15" i="114"/>
  <c r="AQ15" i="15"/>
  <c r="AR15" i="15" s="1"/>
  <c r="F150" i="96"/>
  <c r="F145" i="96"/>
  <c r="R17" i="104"/>
  <c r="T16" i="104"/>
  <c r="Y16" i="104" s="1"/>
  <c r="BQ18" i="132"/>
  <c r="BR18" i="132" s="1"/>
  <c r="F151" i="105"/>
  <c r="F153" i="105"/>
  <c r="BQ19" i="135"/>
  <c r="BQ18" i="135"/>
  <c r="AQ15" i="96"/>
  <c r="AR15" i="96" s="1"/>
  <c r="U18" i="58"/>
  <c r="U25" i="58"/>
  <c r="U49" i="58"/>
  <c r="U20" i="58"/>
  <c r="U40" i="58"/>
  <c r="U21" i="58"/>
  <c r="U27" i="58"/>
  <c r="U55" i="58"/>
  <c r="U56" i="58"/>
  <c r="U34" i="58"/>
  <c r="U44" i="58"/>
  <c r="U29" i="58"/>
  <c r="U53" i="58"/>
  <c r="U24" i="58"/>
  <c r="U46" i="58"/>
  <c r="U41" i="58"/>
  <c r="U26" i="58"/>
  <c r="U31" i="58"/>
  <c r="U39" i="58"/>
  <c r="U17" i="58"/>
  <c r="U54" i="58"/>
  <c r="U51" i="58"/>
  <c r="U50" i="58"/>
  <c r="U35" i="58"/>
  <c r="U30" i="58"/>
  <c r="U52" i="58"/>
  <c r="U45" i="58"/>
  <c r="U36" i="58"/>
  <c r="U37" i="58"/>
  <c r="BA15" i="118"/>
  <c r="BB15" i="118" s="1"/>
  <c r="P15" i="120"/>
  <c r="V15" i="120" s="1"/>
  <c r="F151" i="118"/>
  <c r="F153" i="118"/>
  <c r="BQ15" i="118"/>
  <c r="BR15" i="118" s="1"/>
  <c r="BQ16" i="118"/>
  <c r="BR16" i="118" s="1"/>
  <c r="BQ17" i="118"/>
  <c r="AL16" i="136"/>
  <c r="AQ16" i="136"/>
  <c r="AR16" i="136" s="1"/>
  <c r="R17" i="136"/>
  <c r="T16" i="136"/>
  <c r="Y16" i="136" s="1"/>
  <c r="Z16" i="136" s="1"/>
  <c r="AI15" i="13"/>
  <c r="AQ15" i="13"/>
  <c r="AR15" i="13" s="1"/>
  <c r="AQ15" i="95"/>
  <c r="AQ15" i="130"/>
  <c r="AR15" i="130" s="1"/>
  <c r="AI15" i="114"/>
  <c r="AQ15" i="114"/>
  <c r="AR15" i="114" s="1"/>
  <c r="AV16" i="101"/>
  <c r="AW16" i="101" s="1"/>
  <c r="BD16" i="101"/>
  <c r="BE16" i="101" s="1"/>
  <c r="AL16" i="101"/>
  <c r="BG16" i="101"/>
  <c r="BH16" i="101" s="1"/>
  <c r="BA16" i="101"/>
  <c r="BB16" i="101" s="1"/>
  <c r="AQ18" i="64"/>
  <c r="AR18" i="64" s="1"/>
  <c r="AI18" i="124"/>
  <c r="AI17" i="124"/>
  <c r="BG16" i="132"/>
  <c r="BH16" i="132" s="1"/>
  <c r="BG15" i="132"/>
  <c r="BH15" i="132" s="1"/>
  <c r="AQ16" i="126"/>
  <c r="AV18" i="107"/>
  <c r="AW18" i="107" s="1"/>
  <c r="AV15" i="96"/>
  <c r="AW15" i="96" s="1"/>
  <c r="BQ15" i="17"/>
  <c r="BR15" i="17" s="1"/>
  <c r="AQ18" i="133"/>
  <c r="AR18" i="133" s="1"/>
  <c r="AI18" i="133"/>
  <c r="BQ17" i="98"/>
  <c r="BG17" i="107"/>
  <c r="BH17" i="107" s="1"/>
  <c r="AI18" i="136"/>
  <c r="AQ18" i="136"/>
  <c r="AR18" i="136" s="1"/>
  <c r="AI19" i="133"/>
  <c r="AQ19" i="133"/>
  <c r="AR19" i="133" s="1"/>
  <c r="AI15" i="133"/>
  <c r="AQ15" i="133"/>
  <c r="AR15" i="133" s="1"/>
  <c r="BD15" i="64"/>
  <c r="BE15" i="64" s="1"/>
  <c r="BD16" i="64"/>
  <c r="BE16" i="64" s="1"/>
  <c r="BD16" i="106"/>
  <c r="BE16" i="106" s="1"/>
  <c r="AQ17" i="133"/>
  <c r="AR17" i="133" s="1"/>
  <c r="AQ15" i="64"/>
  <c r="AR15" i="64" s="1"/>
  <c r="AI17" i="64"/>
  <c r="AQ17" i="64"/>
  <c r="AR17" i="64" s="1"/>
  <c r="BG15" i="98"/>
  <c r="BH15" i="98" s="1"/>
  <c r="BA17" i="135"/>
  <c r="BB17" i="135" s="1"/>
  <c r="BA16" i="135"/>
  <c r="BB16" i="135" s="1"/>
  <c r="AI15" i="124"/>
  <c r="AQ16" i="96"/>
  <c r="AR16" i="96" s="1"/>
  <c r="AO15" i="130"/>
  <c r="AQ17" i="136"/>
  <c r="AR17" i="136" s="1"/>
  <c r="AL17" i="136"/>
  <c r="AQ17" i="132"/>
  <c r="AR17" i="132" s="1"/>
  <c r="AO17" i="132"/>
  <c r="AL16" i="133"/>
  <c r="AQ16" i="133"/>
  <c r="AR16" i="133" s="1"/>
  <c r="BG15" i="107"/>
  <c r="BH15" i="107" s="1"/>
  <c r="BA15" i="107"/>
  <c r="BB15" i="107" s="1"/>
  <c r="AI15" i="136"/>
  <c r="AQ15" i="136"/>
  <c r="AR15" i="136" s="1"/>
  <c r="AQ15" i="132"/>
  <c r="AR15" i="132" s="1"/>
  <c r="AQ16" i="64"/>
  <c r="AR16" i="64" s="1"/>
  <c r="AQ18" i="132"/>
  <c r="AR18" i="132" s="1"/>
  <c r="AI18" i="132"/>
  <c r="AO16" i="132"/>
  <c r="AQ16" i="132"/>
  <c r="AR16" i="132" s="1"/>
  <c r="F134" i="112"/>
  <c r="F137" i="112"/>
  <c r="F145" i="112"/>
  <c r="F150" i="112"/>
  <c r="BA15" i="98"/>
  <c r="BB15" i="98" s="1"/>
  <c r="AO16" i="106"/>
  <c r="F151" i="99"/>
  <c r="F153" i="99"/>
  <c r="F153" i="135"/>
  <c r="F151" i="135"/>
  <c r="AC16" i="106"/>
  <c r="AW16" i="106"/>
  <c r="AF15" i="64"/>
  <c r="AO15" i="64"/>
  <c r="AC15" i="64"/>
  <c r="AL15" i="64"/>
  <c r="AW15" i="64"/>
  <c r="Z15" i="64"/>
  <c r="AI15" i="64"/>
  <c r="AL15" i="106"/>
  <c r="AO15" i="106"/>
  <c r="AI15" i="106"/>
  <c r="AC15" i="106"/>
  <c r="BA15" i="106"/>
  <c r="BB15" i="106" s="1"/>
  <c r="F145" i="110"/>
  <c r="F137" i="110"/>
  <c r="F150" i="110"/>
  <c r="F134" i="110"/>
  <c r="Z15" i="106"/>
  <c r="R17" i="107"/>
  <c r="T16" i="107"/>
  <c r="Y16" i="107" s="1"/>
  <c r="BA16" i="99"/>
  <c r="BB16" i="99" s="1"/>
  <c r="BA18" i="99"/>
  <c r="BB18" i="99" s="1"/>
  <c r="BA17" i="99"/>
  <c r="BB17" i="99" s="1"/>
  <c r="BA15" i="99"/>
  <c r="BB15" i="99" s="1"/>
  <c r="AI16" i="105"/>
  <c r="Z15" i="126"/>
  <c r="AF15" i="106"/>
  <c r="AI16" i="106"/>
  <c r="AQ16" i="106"/>
  <c r="AR16" i="106" s="1"/>
  <c r="AF16" i="106"/>
  <c r="AL16" i="106"/>
  <c r="Z15" i="107"/>
  <c r="AV18" i="99"/>
  <c r="AW18" i="99" s="1"/>
  <c r="AV16" i="99"/>
  <c r="AW16" i="99" s="1"/>
  <c r="AV15" i="99"/>
  <c r="AW15" i="99" s="1"/>
  <c r="AV17" i="99"/>
  <c r="AW17" i="99" s="1"/>
  <c r="AI16" i="64"/>
  <c r="AF16" i="64"/>
  <c r="AL16" i="64"/>
  <c r="AO16" i="64"/>
  <c r="AC16" i="64"/>
  <c r="AW16" i="64"/>
  <c r="R15" i="105"/>
  <c r="R16" i="105" s="1"/>
  <c r="T16" i="105" s="1"/>
  <c r="Y16" i="105" s="1"/>
  <c r="AK19" i="105"/>
  <c r="AK18" i="105"/>
  <c r="AL18" i="105" s="1"/>
  <c r="AK15" i="105"/>
  <c r="AL15" i="105" s="1"/>
  <c r="AK16" i="105"/>
  <c r="AL16" i="105" s="1"/>
  <c r="F127" i="105"/>
  <c r="AK17" i="105"/>
  <c r="AL17" i="105" s="1"/>
  <c r="AN16" i="105"/>
  <c r="AO16" i="105" s="1"/>
  <c r="AN15" i="105"/>
  <c r="AO15" i="105" s="1"/>
  <c r="AN17" i="105"/>
  <c r="AO17" i="105" s="1"/>
  <c r="O15" i="105"/>
  <c r="AN19" i="105"/>
  <c r="AN18" i="105"/>
  <c r="AO18" i="105" s="1"/>
  <c r="AO15" i="126"/>
  <c r="AQ15" i="126"/>
  <c r="AR15" i="126" s="1"/>
  <c r="AC18" i="64"/>
  <c r="AI18" i="64"/>
  <c r="AO18" i="64"/>
  <c r="AF18" i="64"/>
  <c r="AO15" i="66"/>
  <c r="AQ15" i="66"/>
  <c r="AR15" i="66" s="1"/>
  <c r="AV15" i="106"/>
  <c r="AW15" i="106" s="1"/>
  <c r="BD15" i="106"/>
  <c r="BE15" i="106" s="1"/>
  <c r="BQ17" i="99"/>
  <c r="BQ18" i="99"/>
  <c r="BQ19" i="99"/>
  <c r="BQ15" i="99"/>
  <c r="BQ16" i="99"/>
  <c r="AI18" i="105"/>
  <c r="AQ16" i="118"/>
  <c r="T15" i="118"/>
  <c r="Y15" i="118" s="1"/>
  <c r="Z15" i="118" s="1"/>
  <c r="AL15" i="118"/>
  <c r="AQ15" i="118"/>
  <c r="AR15" i="118" s="1"/>
  <c r="Z16" i="115"/>
  <c r="AF19" i="124" l="1"/>
  <c r="AR15" i="110"/>
  <c r="AI19" i="124"/>
  <c r="AI16" i="126"/>
  <c r="BB17" i="115"/>
  <c r="AL16" i="118"/>
  <c r="AR16" i="118"/>
  <c r="AO15" i="95"/>
  <c r="BE17" i="115"/>
  <c r="AI17" i="135"/>
  <c r="AI15" i="95"/>
  <c r="AI16" i="114"/>
  <c r="AL17" i="135"/>
  <c r="AF17" i="135"/>
  <c r="BE16" i="63"/>
  <c r="AR17" i="135"/>
  <c r="BB16" i="114"/>
  <c r="AR15" i="95"/>
  <c r="AW16" i="126"/>
  <c r="AW15" i="95"/>
  <c r="AO16" i="112"/>
  <c r="AI16" i="112"/>
  <c r="K21" i="107"/>
  <c r="AN20" i="107"/>
  <c r="BQ20" i="107"/>
  <c r="AK20" i="107"/>
  <c r="AH20" i="107"/>
  <c r="BJ20" i="107"/>
  <c r="BL20" i="107" s="1"/>
  <c r="M20" i="107"/>
  <c r="AE20" i="107"/>
  <c r="AT20" i="107"/>
  <c r="AV20" i="107" s="1"/>
  <c r="AB20" i="107"/>
  <c r="AY20" i="107"/>
  <c r="BG20" i="107" s="1"/>
  <c r="AN20" i="105"/>
  <c r="AQ16" i="114"/>
  <c r="AR16" i="114" s="1"/>
  <c r="BE16" i="114"/>
  <c r="I23" i="107"/>
  <c r="K22" i="107"/>
  <c r="AC18" i="124"/>
  <c r="AK20" i="105"/>
  <c r="AO16" i="114"/>
  <c r="BQ15" i="164"/>
  <c r="BQ16" i="164"/>
  <c r="BQ17" i="164"/>
  <c r="BQ18" i="164"/>
  <c r="BQ19" i="164"/>
  <c r="BQ20" i="164"/>
  <c r="BQ21" i="164"/>
  <c r="BQ22" i="164"/>
  <c r="BQ23" i="164"/>
  <c r="BQ24" i="164"/>
  <c r="BQ25" i="164"/>
  <c r="BQ26" i="164"/>
  <c r="BQ27" i="164"/>
  <c r="BQ28" i="164"/>
  <c r="BQ29" i="164"/>
  <c r="BQ30" i="164"/>
  <c r="BQ31" i="164"/>
  <c r="BQ32" i="164"/>
  <c r="BQ33" i="164"/>
  <c r="BQ34" i="164"/>
  <c r="BQ35" i="164"/>
  <c r="BQ36" i="164"/>
  <c r="BQ37" i="164"/>
  <c r="BQ38" i="164"/>
  <c r="BQ39" i="164"/>
  <c r="BQ15" i="161"/>
  <c r="BQ16" i="161"/>
  <c r="BQ17" i="161"/>
  <c r="BQ18" i="161"/>
  <c r="BQ19" i="161"/>
  <c r="BQ20" i="161"/>
  <c r="BQ21" i="161"/>
  <c r="BQ22" i="161"/>
  <c r="BQ23" i="161"/>
  <c r="BQ24" i="161"/>
  <c r="BQ25" i="161"/>
  <c r="BQ26" i="161"/>
  <c r="BQ27" i="161"/>
  <c r="BQ28" i="161"/>
  <c r="BQ29" i="161"/>
  <c r="BQ30" i="161"/>
  <c r="BQ31" i="161"/>
  <c r="BQ32" i="161"/>
  <c r="BQ33" i="161"/>
  <c r="BQ34" i="161"/>
  <c r="BQ35" i="161"/>
  <c r="BR35" i="161" s="1"/>
  <c r="BQ36" i="161"/>
  <c r="BQ37" i="161"/>
  <c r="BQ38" i="161"/>
  <c r="BQ39" i="161"/>
  <c r="AE19" i="99"/>
  <c r="M19" i="99"/>
  <c r="AL19" i="99" s="1"/>
  <c r="K20" i="99"/>
  <c r="AT19" i="99"/>
  <c r="AV19" i="99" s="1"/>
  <c r="BJ19" i="99"/>
  <c r="AY19" i="99"/>
  <c r="BA19" i="99" s="1"/>
  <c r="AB19" i="99"/>
  <c r="AW16" i="114"/>
  <c r="BR16" i="104"/>
  <c r="AR16" i="126"/>
  <c r="Z16" i="104"/>
  <c r="AW16" i="104"/>
  <c r="AR16" i="104"/>
  <c r="BB19" i="105"/>
  <c r="BE16" i="104"/>
  <c r="AC15" i="95"/>
  <c r="AB16" i="15"/>
  <c r="M16" i="15"/>
  <c r="AN16" i="15"/>
  <c r="AK16" i="15"/>
  <c r="BQ16" i="15"/>
  <c r="AE16" i="15"/>
  <c r="AH16" i="15"/>
  <c r="K20" i="132"/>
  <c r="AH19" i="132"/>
  <c r="AI19" i="132" s="1"/>
  <c r="AB19" i="132"/>
  <c r="BL19" i="132"/>
  <c r="AN19" i="132"/>
  <c r="AO19" i="132" s="1"/>
  <c r="Z16" i="114"/>
  <c r="AO16" i="104"/>
  <c r="BB16" i="104"/>
  <c r="AY15" i="155"/>
  <c r="BA15" i="155" s="1"/>
  <c r="BB15" i="155" s="1"/>
  <c r="M19" i="107"/>
  <c r="AT19" i="107"/>
  <c r="AV19" i="107" s="1"/>
  <c r="BQ19" i="107"/>
  <c r="AN19" i="107"/>
  <c r="AY19" i="107"/>
  <c r="AH19" i="107"/>
  <c r="AB19" i="107"/>
  <c r="AC19" i="107" s="1"/>
  <c r="AK19" i="107"/>
  <c r="AE19" i="107"/>
  <c r="BJ19" i="107"/>
  <c r="BL19" i="107" s="1"/>
  <c r="BR35" i="164"/>
  <c r="BR31" i="164"/>
  <c r="BR37" i="164"/>
  <c r="BR38" i="164"/>
  <c r="BR25" i="164"/>
  <c r="BR34" i="164"/>
  <c r="BR39" i="164"/>
  <c r="BR30" i="164"/>
  <c r="BR29" i="164"/>
  <c r="BR27" i="164"/>
  <c r="BR32" i="164"/>
  <c r="BR28" i="164"/>
  <c r="BR26" i="164"/>
  <c r="BR36" i="164"/>
  <c r="BR33" i="164"/>
  <c r="AV15" i="161"/>
  <c r="AV16" i="161"/>
  <c r="AV17" i="161"/>
  <c r="AV18" i="161"/>
  <c r="AV19" i="161"/>
  <c r="AV20" i="161"/>
  <c r="AV21" i="161"/>
  <c r="AV22" i="161"/>
  <c r="AV23" i="161"/>
  <c r="AV24" i="161"/>
  <c r="AV25" i="161"/>
  <c r="AV26" i="161"/>
  <c r="AV27" i="161"/>
  <c r="AV28" i="161"/>
  <c r="AW28" i="161" s="1"/>
  <c r="AV29" i="161"/>
  <c r="AW29" i="161" s="1"/>
  <c r="AV30" i="161"/>
  <c r="AW30" i="161" s="1"/>
  <c r="AV31" i="161"/>
  <c r="AW31" i="161" s="1"/>
  <c r="AV32" i="161"/>
  <c r="AW32" i="161" s="1"/>
  <c r="AV33" i="161"/>
  <c r="AW33" i="161" s="1"/>
  <c r="AV34" i="161"/>
  <c r="AW34" i="161" s="1"/>
  <c r="AV35" i="161"/>
  <c r="AW35" i="161" s="1"/>
  <c r="AV36" i="161"/>
  <c r="AW36" i="161" s="1"/>
  <c r="AV37" i="161"/>
  <c r="AW37" i="161" s="1"/>
  <c r="AV38" i="161"/>
  <c r="AW38" i="161" s="1"/>
  <c r="AV39" i="161"/>
  <c r="AW39" i="161" s="1"/>
  <c r="BA15" i="163"/>
  <c r="BB15" i="163" s="1"/>
  <c r="BA16" i="163"/>
  <c r="BB16" i="163" s="1"/>
  <c r="BA17" i="163"/>
  <c r="BB17" i="163" s="1"/>
  <c r="BA18" i="163"/>
  <c r="BB18" i="163" s="1"/>
  <c r="BA19" i="163"/>
  <c r="BB19" i="163" s="1"/>
  <c r="BA20" i="163"/>
  <c r="BB20" i="163" s="1"/>
  <c r="BA21" i="163"/>
  <c r="BB21" i="163" s="1"/>
  <c r="BA22" i="163"/>
  <c r="BB22" i="163" s="1"/>
  <c r="BA23" i="163"/>
  <c r="BB23" i="163" s="1"/>
  <c r="BA24" i="163"/>
  <c r="BB24" i="163" s="1"/>
  <c r="BA25" i="163"/>
  <c r="BB25" i="163" s="1"/>
  <c r="BA26" i="163"/>
  <c r="BB26" i="163" s="1"/>
  <c r="BA27" i="163"/>
  <c r="BB27" i="163" s="1"/>
  <c r="BA28" i="163"/>
  <c r="BB28" i="163" s="1"/>
  <c r="BA29" i="163"/>
  <c r="BB29" i="163" s="1"/>
  <c r="BA30" i="163"/>
  <c r="BB30" i="163" s="1"/>
  <c r="BA31" i="163"/>
  <c r="BB31" i="163" s="1"/>
  <c r="BA32" i="163"/>
  <c r="BB32" i="163" s="1"/>
  <c r="BA33" i="163"/>
  <c r="BB33" i="163" s="1"/>
  <c r="BA34" i="163"/>
  <c r="BB34" i="163" s="1"/>
  <c r="BA35" i="163"/>
  <c r="BB35" i="163" s="1"/>
  <c r="BA36" i="163"/>
  <c r="BB36" i="163" s="1"/>
  <c r="BA37" i="163"/>
  <c r="BB37" i="163" s="1"/>
  <c r="BA38" i="163"/>
  <c r="BB38" i="163" s="1"/>
  <c r="BA39" i="163"/>
  <c r="BB39" i="163" s="1"/>
  <c r="AV15" i="164"/>
  <c r="AV16" i="164"/>
  <c r="AV17" i="164"/>
  <c r="AV18" i="164"/>
  <c r="AV19" i="164"/>
  <c r="AV20" i="164"/>
  <c r="AV21" i="164"/>
  <c r="AV22" i="164"/>
  <c r="AV23" i="164"/>
  <c r="AV24" i="164"/>
  <c r="AV25" i="164"/>
  <c r="AW25" i="164" s="1"/>
  <c r="AV26" i="164"/>
  <c r="AW26" i="164" s="1"/>
  <c r="AV27" i="164"/>
  <c r="AW27" i="164" s="1"/>
  <c r="AV28" i="164"/>
  <c r="AW28" i="164" s="1"/>
  <c r="AV29" i="164"/>
  <c r="AW29" i="164" s="1"/>
  <c r="AV30" i="164"/>
  <c r="AW30" i="164" s="1"/>
  <c r="AV31" i="164"/>
  <c r="AW31" i="164" s="1"/>
  <c r="AV32" i="164"/>
  <c r="AW32" i="164" s="1"/>
  <c r="AV33" i="164"/>
  <c r="AW33" i="164" s="1"/>
  <c r="AV34" i="164"/>
  <c r="AW34" i="164" s="1"/>
  <c r="AV35" i="164"/>
  <c r="AW35" i="164" s="1"/>
  <c r="AV36" i="164"/>
  <c r="AW36" i="164" s="1"/>
  <c r="AV37" i="164"/>
  <c r="AW37" i="164" s="1"/>
  <c r="AV38" i="164"/>
  <c r="AW38" i="164" s="1"/>
  <c r="AV39" i="164"/>
  <c r="AW39" i="164" s="1"/>
  <c r="F152" i="161"/>
  <c r="F154" i="161"/>
  <c r="F153" i="163"/>
  <c r="F151" i="163"/>
  <c r="Z15" i="95"/>
  <c r="BA15" i="164"/>
  <c r="BB15" i="164" s="1"/>
  <c r="BA16" i="164"/>
  <c r="BB16" i="164" s="1"/>
  <c r="BA18" i="164"/>
  <c r="BB18" i="164" s="1"/>
  <c r="BA17" i="164"/>
  <c r="BB17" i="164" s="1"/>
  <c r="BA19" i="164"/>
  <c r="BB19" i="164" s="1"/>
  <c r="BA20" i="164"/>
  <c r="BB20" i="164" s="1"/>
  <c r="BA21" i="164"/>
  <c r="BB21" i="164" s="1"/>
  <c r="BA22" i="164"/>
  <c r="BB22" i="164" s="1"/>
  <c r="BA23" i="164"/>
  <c r="BB23" i="164" s="1"/>
  <c r="BA24" i="164"/>
  <c r="BB24" i="164" s="1"/>
  <c r="BA25" i="164"/>
  <c r="BB25" i="164" s="1"/>
  <c r="BA26" i="164"/>
  <c r="BB26" i="164" s="1"/>
  <c r="BA27" i="164"/>
  <c r="BB27" i="164" s="1"/>
  <c r="BA28" i="164"/>
  <c r="BB28" i="164" s="1"/>
  <c r="BA29" i="164"/>
  <c r="BB29" i="164" s="1"/>
  <c r="BA30" i="164"/>
  <c r="BB30" i="164" s="1"/>
  <c r="BA31" i="164"/>
  <c r="BB31" i="164" s="1"/>
  <c r="BA32" i="164"/>
  <c r="BB32" i="164" s="1"/>
  <c r="BA33" i="164"/>
  <c r="BB33" i="164" s="1"/>
  <c r="BA34" i="164"/>
  <c r="BB34" i="164" s="1"/>
  <c r="BA35" i="164"/>
  <c r="BB35" i="164" s="1"/>
  <c r="BA36" i="164"/>
  <c r="BB36" i="164" s="1"/>
  <c r="BA37" i="164"/>
  <c r="BB37" i="164" s="1"/>
  <c r="BA38" i="164"/>
  <c r="BB38" i="164" s="1"/>
  <c r="BA39" i="164"/>
  <c r="BB39" i="164" s="1"/>
  <c r="BR39" i="161"/>
  <c r="BR37" i="161"/>
  <c r="BR38" i="161"/>
  <c r="BR36" i="161"/>
  <c r="BQ15" i="163"/>
  <c r="BQ16" i="163"/>
  <c r="BQ17" i="163"/>
  <c r="BQ18" i="163"/>
  <c r="BQ19" i="163"/>
  <c r="BQ20" i="163"/>
  <c r="BQ21" i="163"/>
  <c r="BQ22" i="163"/>
  <c r="BQ23" i="163"/>
  <c r="BQ24" i="163"/>
  <c r="BQ25" i="163"/>
  <c r="BR25" i="163" s="1"/>
  <c r="BQ26" i="163"/>
  <c r="BR26" i="163" s="1"/>
  <c r="BQ27" i="163"/>
  <c r="BR27" i="163" s="1"/>
  <c r="BQ28" i="163"/>
  <c r="BR28" i="163" s="1"/>
  <c r="BQ29" i="163"/>
  <c r="BR29" i="163" s="1"/>
  <c r="BQ30" i="163"/>
  <c r="BR30" i="163" s="1"/>
  <c r="BQ31" i="163"/>
  <c r="BR31" i="163" s="1"/>
  <c r="BQ32" i="163"/>
  <c r="BR32" i="163" s="1"/>
  <c r="BQ33" i="163"/>
  <c r="BR33" i="163" s="1"/>
  <c r="BQ34" i="163"/>
  <c r="BR34" i="163" s="1"/>
  <c r="BQ35" i="163"/>
  <c r="BR35" i="163" s="1"/>
  <c r="BQ36" i="163"/>
  <c r="BR36" i="163" s="1"/>
  <c r="BQ37" i="163"/>
  <c r="BR37" i="163" s="1"/>
  <c r="BQ38" i="163"/>
  <c r="BR38" i="163" s="1"/>
  <c r="BQ39" i="163"/>
  <c r="BR39" i="163" s="1"/>
  <c r="AF16" i="104"/>
  <c r="F154" i="164"/>
  <c r="F152" i="164"/>
  <c r="BA15" i="161"/>
  <c r="BB15" i="161" s="1"/>
  <c r="BA16" i="161"/>
  <c r="BB16" i="161" s="1"/>
  <c r="BA17" i="161"/>
  <c r="BB17" i="161" s="1"/>
  <c r="BA18" i="161"/>
  <c r="BB18" i="161" s="1"/>
  <c r="BA19" i="161"/>
  <c r="BB19" i="161" s="1"/>
  <c r="BA20" i="161"/>
  <c r="BB20" i="161" s="1"/>
  <c r="BA21" i="161"/>
  <c r="BB21" i="161" s="1"/>
  <c r="BA22" i="161"/>
  <c r="BB22" i="161" s="1"/>
  <c r="BA23" i="161"/>
  <c r="BB23" i="161" s="1"/>
  <c r="BA24" i="161"/>
  <c r="BB24" i="161" s="1"/>
  <c r="BA25" i="161"/>
  <c r="BB25" i="161" s="1"/>
  <c r="BA26" i="161"/>
  <c r="BB26" i="161" s="1"/>
  <c r="BA27" i="161"/>
  <c r="BB27" i="161" s="1"/>
  <c r="BA28" i="161"/>
  <c r="BB28" i="161" s="1"/>
  <c r="BA30" i="161"/>
  <c r="BB30" i="161" s="1"/>
  <c r="BA29" i="161"/>
  <c r="BB29" i="161" s="1"/>
  <c r="BA32" i="161"/>
  <c r="BB32" i="161" s="1"/>
  <c r="BA31" i="161"/>
  <c r="BB31" i="161" s="1"/>
  <c r="BA33" i="161"/>
  <c r="BB33" i="161" s="1"/>
  <c r="BA34" i="161"/>
  <c r="BB34" i="161" s="1"/>
  <c r="BA35" i="161"/>
  <c r="BB35" i="161" s="1"/>
  <c r="BA36" i="161"/>
  <c r="BB36" i="161" s="1"/>
  <c r="BA37" i="161"/>
  <c r="BB37" i="161" s="1"/>
  <c r="BA38" i="161"/>
  <c r="BB38" i="161" s="1"/>
  <c r="BA39" i="161"/>
  <c r="BB39" i="161" s="1"/>
  <c r="AV15" i="163"/>
  <c r="AV16" i="163"/>
  <c r="AV17" i="163"/>
  <c r="AV18" i="163"/>
  <c r="AV19" i="163"/>
  <c r="AV20" i="163"/>
  <c r="AV21" i="163"/>
  <c r="AV22" i="163"/>
  <c r="AV23" i="163"/>
  <c r="AV24" i="163"/>
  <c r="AV25" i="163"/>
  <c r="AW25" i="163" s="1"/>
  <c r="AV26" i="163"/>
  <c r="AW26" i="163" s="1"/>
  <c r="AV27" i="163"/>
  <c r="AW27" i="163" s="1"/>
  <c r="AV28" i="163"/>
  <c r="AW28" i="163" s="1"/>
  <c r="AV29" i="163"/>
  <c r="AW29" i="163" s="1"/>
  <c r="AV30" i="163"/>
  <c r="AW30" i="163" s="1"/>
  <c r="AV31" i="163"/>
  <c r="AW31" i="163" s="1"/>
  <c r="AV32" i="163"/>
  <c r="AW32" i="163" s="1"/>
  <c r="AV33" i="163"/>
  <c r="AW33" i="163" s="1"/>
  <c r="AV34" i="163"/>
  <c r="AW34" i="163" s="1"/>
  <c r="AV35" i="163"/>
  <c r="AW35" i="163" s="1"/>
  <c r="AV36" i="163"/>
  <c r="AW36" i="163" s="1"/>
  <c r="AV37" i="163"/>
  <c r="AW37" i="163" s="1"/>
  <c r="AV38" i="163"/>
  <c r="AW38" i="163" s="1"/>
  <c r="AV39" i="163"/>
  <c r="AW39" i="163" s="1"/>
  <c r="F151" i="156"/>
  <c r="F153" i="156"/>
  <c r="W16" i="101"/>
  <c r="AR16" i="112"/>
  <c r="AC16" i="112"/>
  <c r="AF16" i="112"/>
  <c r="AR16" i="110"/>
  <c r="AO19" i="136"/>
  <c r="Z16" i="112"/>
  <c r="F24" i="156"/>
  <c r="F134" i="156" s="1"/>
  <c r="F106" i="156" s="1"/>
  <c r="F21" i="156"/>
  <c r="F117" i="156" s="1"/>
  <c r="AN22" i="156" s="1"/>
  <c r="L101" i="154"/>
  <c r="P24" i="164"/>
  <c r="V24" i="164" s="1"/>
  <c r="W24" i="164" s="1"/>
  <c r="T30" i="163"/>
  <c r="Y30" i="163" s="1"/>
  <c r="Z30" i="163" s="1"/>
  <c r="R31" i="163"/>
  <c r="O23" i="163"/>
  <c r="T31" i="164"/>
  <c r="Y31" i="164" s="1"/>
  <c r="Z31" i="164" s="1"/>
  <c r="R32" i="164"/>
  <c r="P23" i="161"/>
  <c r="V23" i="161" s="1"/>
  <c r="W23" i="161" s="1"/>
  <c r="T29" i="161"/>
  <c r="Y29" i="161" s="1"/>
  <c r="R30" i="161"/>
  <c r="Z28" i="161"/>
  <c r="K53" i="161"/>
  <c r="BQ53" i="161" s="1"/>
  <c r="I54" i="161"/>
  <c r="BG52" i="161"/>
  <c r="BH52" i="161" s="1"/>
  <c r="BA52" i="161"/>
  <c r="BB52" i="161" s="1"/>
  <c r="AT52" i="161"/>
  <c r="AN52" i="161"/>
  <c r="AO52" i="161" s="1"/>
  <c r="AH52" i="161"/>
  <c r="AI52" i="161" s="1"/>
  <c r="AB52" i="161"/>
  <c r="AC52" i="161" s="1"/>
  <c r="V52" i="161"/>
  <c r="W52" i="161" s="1"/>
  <c r="O52" i="161"/>
  <c r="BR52" i="161"/>
  <c r="AY52" i="161"/>
  <c r="BD52" i="161"/>
  <c r="BE52" i="161" s="1"/>
  <c r="AQ52" i="161"/>
  <c r="AR52" i="161" s="1"/>
  <c r="AK52" i="161"/>
  <c r="AL52" i="161" s="1"/>
  <c r="AE52" i="161"/>
  <c r="AF52" i="161" s="1"/>
  <c r="Y52" i="161"/>
  <c r="Z52" i="161" s="1"/>
  <c r="R52" i="161"/>
  <c r="T52" i="161" s="1"/>
  <c r="P52" i="161"/>
  <c r="AV52" i="161"/>
  <c r="AW52" i="161" s="1"/>
  <c r="BJ52" i="161"/>
  <c r="BL52" i="161" s="1"/>
  <c r="BN52" i="161"/>
  <c r="BO52" i="161" s="1"/>
  <c r="BK52" i="161"/>
  <c r="M52" i="161"/>
  <c r="AC16" i="98"/>
  <c r="R17" i="15"/>
  <c r="BL20" i="133"/>
  <c r="BN20" i="133"/>
  <c r="BO20" i="133" s="1"/>
  <c r="AE20" i="133"/>
  <c r="AH20" i="133"/>
  <c r="K21" i="133"/>
  <c r="AK20" i="133"/>
  <c r="M20" i="133"/>
  <c r="BQ20" i="133"/>
  <c r="AN20" i="133"/>
  <c r="AB20" i="133"/>
  <c r="BG17" i="96"/>
  <c r="AN17" i="96"/>
  <c r="AH17" i="96"/>
  <c r="M17" i="96"/>
  <c r="BR17" i="96" s="1"/>
  <c r="BN17" i="96"/>
  <c r="BO17" i="96" s="1"/>
  <c r="AB17" i="96"/>
  <c r="AE17" i="96"/>
  <c r="AT17" i="96"/>
  <c r="AV17" i="96" s="1"/>
  <c r="AK17" i="96"/>
  <c r="BH16" i="98"/>
  <c r="R17" i="118"/>
  <c r="T17" i="118" s="1"/>
  <c r="Y17" i="118" s="1"/>
  <c r="AK17" i="106"/>
  <c r="AY17" i="106"/>
  <c r="BA17" i="106" s="1"/>
  <c r="AN17" i="106"/>
  <c r="BJ17" i="106"/>
  <c r="BL17" i="106" s="1"/>
  <c r="AE17" i="106"/>
  <c r="AT17" i="106"/>
  <c r="AB17" i="106"/>
  <c r="AH17" i="106"/>
  <c r="M17" i="106"/>
  <c r="Z17" i="106" s="1"/>
  <c r="BJ17" i="104"/>
  <c r="BL17" i="104" s="1"/>
  <c r="AY17" i="104"/>
  <c r="BA17" i="104" s="1"/>
  <c r="AB17" i="104"/>
  <c r="AN17" i="104"/>
  <c r="K18" i="104"/>
  <c r="AT17" i="104"/>
  <c r="AH17" i="104"/>
  <c r="AE17" i="104"/>
  <c r="M17" i="104"/>
  <c r="BR17" i="104" s="1"/>
  <c r="AK17" i="104"/>
  <c r="AC16" i="104"/>
  <c r="BR18" i="135"/>
  <c r="W15" i="110"/>
  <c r="I19" i="106"/>
  <c r="K18" i="106"/>
  <c r="AI21" i="156"/>
  <c r="AC21" i="156"/>
  <c r="AT17" i="126"/>
  <c r="AV17" i="126" s="1"/>
  <c r="AN17" i="126"/>
  <c r="AE17" i="126"/>
  <c r="AY17" i="126"/>
  <c r="BG17" i="126" s="1"/>
  <c r="M17" i="126"/>
  <c r="AI17" i="126" s="1"/>
  <c r="AK17" i="126"/>
  <c r="AB17" i="126"/>
  <c r="BL17" i="96"/>
  <c r="AI16" i="104"/>
  <c r="AL15" i="95"/>
  <c r="AL17" i="98"/>
  <c r="AO17" i="135"/>
  <c r="M18" i="129"/>
  <c r="K19" i="129"/>
  <c r="AH18" i="129"/>
  <c r="AB18" i="129"/>
  <c r="BN18" i="129"/>
  <c r="BO18" i="129" s="1"/>
  <c r="AK18" i="129"/>
  <c r="AY18" i="129"/>
  <c r="AT18" i="129"/>
  <c r="BL18" i="129"/>
  <c r="AN18" i="129"/>
  <c r="AE18" i="129"/>
  <c r="BQ18" i="129"/>
  <c r="K17" i="95"/>
  <c r="BQ17" i="95" s="1"/>
  <c r="BN16" i="95"/>
  <c r="BO16" i="95" s="1"/>
  <c r="BL16" i="95"/>
  <c r="AE16" i="95"/>
  <c r="AB16" i="95"/>
  <c r="R16" i="95"/>
  <c r="T16" i="95" s="1"/>
  <c r="Y16" i="95" s="1"/>
  <c r="AT16" i="95"/>
  <c r="AV16" i="95" s="1"/>
  <c r="BG16" i="95"/>
  <c r="M16" i="95"/>
  <c r="AH16" i="95"/>
  <c r="AN16" i="95"/>
  <c r="AK16" i="95"/>
  <c r="BH15" i="95"/>
  <c r="R19" i="129"/>
  <c r="T19" i="129" s="1"/>
  <c r="Y19" i="129" s="1"/>
  <c r="K23" i="156"/>
  <c r="I24" i="156"/>
  <c r="BA17" i="126"/>
  <c r="BB17" i="126" s="1"/>
  <c r="AW18" i="135"/>
  <c r="AO17" i="98"/>
  <c r="Z18" i="135"/>
  <c r="AH22" i="156"/>
  <c r="M22" i="156"/>
  <c r="BL22" i="156"/>
  <c r="AB22" i="156"/>
  <c r="BN22" i="156"/>
  <c r="BO22" i="156" s="1"/>
  <c r="AE22" i="156"/>
  <c r="BQ22" i="156"/>
  <c r="AF21" i="156"/>
  <c r="M17" i="112"/>
  <c r="Z17" i="112" s="1"/>
  <c r="AT17" i="112"/>
  <c r="BJ17" i="112"/>
  <c r="K18" i="112"/>
  <c r="AN17" i="112"/>
  <c r="AK17" i="112"/>
  <c r="AE17" i="112"/>
  <c r="AF17" i="112" s="1"/>
  <c r="AY17" i="112"/>
  <c r="AH17" i="112"/>
  <c r="AB17" i="112"/>
  <c r="O22" i="152"/>
  <c r="P22" i="152" s="1"/>
  <c r="V22" i="152" s="1"/>
  <c r="W22" i="152" s="1"/>
  <c r="W15" i="64"/>
  <c r="P16" i="130"/>
  <c r="V16" i="130" s="1"/>
  <c r="W15" i="130"/>
  <c r="T16" i="15"/>
  <c r="Y16" i="15" s="1"/>
  <c r="O17" i="64"/>
  <c r="P17" i="64" s="1"/>
  <c r="V17" i="64" s="1"/>
  <c r="W17" i="64" s="1"/>
  <c r="O16" i="124"/>
  <c r="P16" i="124" s="1"/>
  <c r="V16" i="124" s="1"/>
  <c r="W16" i="124" s="1"/>
  <c r="R19" i="135"/>
  <c r="T19" i="135" s="1"/>
  <c r="Y19" i="135" s="1"/>
  <c r="T16" i="118"/>
  <c r="Y16" i="118" s="1"/>
  <c r="Z16" i="118" s="1"/>
  <c r="BB15" i="120"/>
  <c r="R18" i="63"/>
  <c r="T18" i="63" s="1"/>
  <c r="Y18" i="63" s="1"/>
  <c r="R18" i="110"/>
  <c r="T18" i="110" s="1"/>
  <c r="Y18" i="110" s="1"/>
  <c r="O16" i="17"/>
  <c r="P16" i="17" s="1"/>
  <c r="V16" i="17" s="1"/>
  <c r="AI16" i="63"/>
  <c r="BB16" i="63"/>
  <c r="AC16" i="63"/>
  <c r="AL16" i="63"/>
  <c r="AO16" i="63"/>
  <c r="AF16" i="63"/>
  <c r="Z16" i="63"/>
  <c r="BN18" i="130"/>
  <c r="BO18" i="130" s="1"/>
  <c r="M18" i="130"/>
  <c r="Z18" i="130" s="1"/>
  <c r="BL18" i="130"/>
  <c r="K19" i="130"/>
  <c r="R19" i="130" s="1"/>
  <c r="AN18" i="130"/>
  <c r="AB18" i="130"/>
  <c r="BQ18" i="130"/>
  <c r="AH18" i="130"/>
  <c r="AE18" i="130"/>
  <c r="AK18" i="130"/>
  <c r="BG15" i="150"/>
  <c r="BH15" i="150" s="1"/>
  <c r="BA15" i="150"/>
  <c r="BB15" i="150" s="1"/>
  <c r="BA15" i="151"/>
  <c r="BB15" i="151" s="1"/>
  <c r="BG15" i="151"/>
  <c r="BH15" i="151" s="1"/>
  <c r="BA15" i="149"/>
  <c r="BB15" i="149" s="1"/>
  <c r="BG15" i="149"/>
  <c r="BH15" i="149" s="1"/>
  <c r="BA15" i="152"/>
  <c r="BB15" i="152" s="1"/>
  <c r="BG15" i="152"/>
  <c r="BH15" i="152" s="1"/>
  <c r="BA15" i="153"/>
  <c r="BB15" i="153" s="1"/>
  <c r="BG15" i="153"/>
  <c r="BH15" i="153" s="1"/>
  <c r="BA15" i="156"/>
  <c r="BB15" i="156" s="1"/>
  <c r="BG15" i="156"/>
  <c r="BH15" i="156" s="1"/>
  <c r="A20" i="7"/>
  <c r="AY16" i="130" s="1"/>
  <c r="AY15" i="136"/>
  <c r="AY16" i="136"/>
  <c r="AY15" i="130"/>
  <c r="AY15" i="13"/>
  <c r="AY16" i="15"/>
  <c r="AY15" i="17"/>
  <c r="BA15" i="17" s="1"/>
  <c r="BB15" i="17" s="1"/>
  <c r="AY15" i="15"/>
  <c r="BA15" i="15" s="1"/>
  <c r="BB15" i="15" s="1"/>
  <c r="AY16" i="133"/>
  <c r="AY15" i="133"/>
  <c r="AF17" i="110"/>
  <c r="O16" i="132"/>
  <c r="P16" i="132" s="1"/>
  <c r="V16" i="132" s="1"/>
  <c r="W16" i="132" s="1"/>
  <c r="AC15" i="110"/>
  <c r="AW16" i="98"/>
  <c r="AW19" i="146"/>
  <c r="BR16" i="101"/>
  <c r="AF16" i="101"/>
  <c r="BH19" i="146"/>
  <c r="Z15" i="110"/>
  <c r="BR20" i="151"/>
  <c r="F146" i="155"/>
  <c r="F24" i="155" s="1"/>
  <c r="BL17" i="146"/>
  <c r="BR17" i="146"/>
  <c r="BB18" i="135"/>
  <c r="Z19" i="150"/>
  <c r="BG15" i="146"/>
  <c r="BH15" i="146" s="1"/>
  <c r="BG16" i="146"/>
  <c r="BH16" i="146" s="1"/>
  <c r="BG17" i="146"/>
  <c r="BH17" i="146" s="1"/>
  <c r="BR16" i="146"/>
  <c r="BL16" i="146"/>
  <c r="W19" i="150"/>
  <c r="AI15" i="110"/>
  <c r="F153" i="155"/>
  <c r="F151" i="155"/>
  <c r="BD15" i="146"/>
  <c r="BD16" i="146"/>
  <c r="BD17" i="146"/>
  <c r="BL15" i="146"/>
  <c r="BR15" i="146"/>
  <c r="BL16" i="98"/>
  <c r="W15" i="17"/>
  <c r="O16" i="104"/>
  <c r="P16" i="104" s="1"/>
  <c r="V16" i="104" s="1"/>
  <c r="W16" i="104" s="1"/>
  <c r="R17" i="96"/>
  <c r="T17" i="96" s="1"/>
  <c r="Y17" i="96" s="1"/>
  <c r="O17" i="129"/>
  <c r="P17" i="129" s="1"/>
  <c r="V17" i="129" s="1"/>
  <c r="O16" i="115"/>
  <c r="P16" i="115" s="1"/>
  <c r="V16" i="115" s="1"/>
  <c r="W16" i="115" s="1"/>
  <c r="W15" i="126"/>
  <c r="P15" i="99"/>
  <c r="V15" i="99" s="1"/>
  <c r="O16" i="99" s="1"/>
  <c r="W15" i="107"/>
  <c r="O16" i="63"/>
  <c r="P16" i="63" s="1"/>
  <c r="T17" i="63"/>
  <c r="Y17" i="63" s="1"/>
  <c r="Z17" i="63" s="1"/>
  <c r="AQ17" i="110"/>
  <c r="AR17" i="110" s="1"/>
  <c r="T16" i="110"/>
  <c r="Y16" i="110" s="1"/>
  <c r="Z16" i="110" s="1"/>
  <c r="AF15" i="110"/>
  <c r="AO15" i="110"/>
  <c r="W15" i="129"/>
  <c r="W15" i="15"/>
  <c r="R16" i="99"/>
  <c r="R17" i="99" s="1"/>
  <c r="AQ15" i="99"/>
  <c r="AR15" i="99" s="1"/>
  <c r="AQ18" i="99"/>
  <c r="AR18" i="99" s="1"/>
  <c r="AQ19" i="99"/>
  <c r="W15" i="106"/>
  <c r="O16" i="110"/>
  <c r="P16" i="110" s="1"/>
  <c r="V16" i="110" s="1"/>
  <c r="W16" i="110" s="1"/>
  <c r="AQ16" i="99"/>
  <c r="AR16" i="99" s="1"/>
  <c r="W15" i="98"/>
  <c r="AQ17" i="99"/>
  <c r="AR17" i="99" s="1"/>
  <c r="BR22" i="153"/>
  <c r="O17" i="106"/>
  <c r="P17" i="106" s="1"/>
  <c r="V17" i="106" s="1"/>
  <c r="P18" i="151"/>
  <c r="V18" i="151" s="1"/>
  <c r="W18" i="151" s="1"/>
  <c r="AI22" i="155"/>
  <c r="K24" i="155"/>
  <c r="I25" i="155"/>
  <c r="AF22" i="155"/>
  <c r="AC22" i="155"/>
  <c r="M23" i="155"/>
  <c r="AB23" i="155"/>
  <c r="AH23" i="155"/>
  <c r="BN23" i="155"/>
  <c r="BO23" i="155" s="1"/>
  <c r="AE23" i="155"/>
  <c r="BL23" i="155"/>
  <c r="A12" i="58"/>
  <c r="W15" i="114"/>
  <c r="AO22" i="153"/>
  <c r="AF22" i="153"/>
  <c r="Z22" i="153"/>
  <c r="AC22" i="153"/>
  <c r="W22" i="153"/>
  <c r="AL22" i="153"/>
  <c r="AI22" i="153"/>
  <c r="I28" i="153"/>
  <c r="O23" i="153"/>
  <c r="P23" i="153" s="1"/>
  <c r="V23" i="153" s="1"/>
  <c r="AB23" i="153"/>
  <c r="AH23" i="153"/>
  <c r="AN23" i="153"/>
  <c r="M23" i="153"/>
  <c r="AE23" i="153"/>
  <c r="BN23" i="153"/>
  <c r="BO23" i="153" s="1"/>
  <c r="R23" i="153"/>
  <c r="T23" i="153" s="1"/>
  <c r="Y23" i="153" s="1"/>
  <c r="BQ23" i="153"/>
  <c r="BL23" i="153"/>
  <c r="AK23" i="153"/>
  <c r="K24" i="153"/>
  <c r="AQ22" i="153"/>
  <c r="AR22" i="153" s="1"/>
  <c r="BG16" i="64"/>
  <c r="BH16" i="64" s="1"/>
  <c r="BL15" i="104"/>
  <c r="T17" i="130"/>
  <c r="Y17" i="130" s="1"/>
  <c r="Z17" i="130" s="1"/>
  <c r="BL16" i="104"/>
  <c r="AF22" i="152"/>
  <c r="BR22" i="152"/>
  <c r="AI22" i="152"/>
  <c r="I32" i="152"/>
  <c r="AL22" i="152"/>
  <c r="AC22" i="152"/>
  <c r="Z22" i="152"/>
  <c r="AB23" i="152"/>
  <c r="AH23" i="152"/>
  <c r="AN23" i="152"/>
  <c r="AK23" i="152"/>
  <c r="M23" i="152"/>
  <c r="AE23" i="152"/>
  <c r="BN23" i="152"/>
  <c r="BO23" i="152" s="1"/>
  <c r="R23" i="152"/>
  <c r="T23" i="152" s="1"/>
  <c r="Y23" i="152" s="1"/>
  <c r="BQ23" i="152"/>
  <c r="BL23" i="152"/>
  <c r="K24" i="152"/>
  <c r="AQ22" i="152"/>
  <c r="AR22" i="152" s="1"/>
  <c r="AO22" i="152"/>
  <c r="AI19" i="105"/>
  <c r="AO19" i="105"/>
  <c r="AL19" i="105"/>
  <c r="AI21" i="124"/>
  <c r="BB17" i="98"/>
  <c r="AL19" i="150"/>
  <c r="AW19" i="105"/>
  <c r="AW17" i="98"/>
  <c r="AC15" i="120"/>
  <c r="BH20" i="147"/>
  <c r="AW20" i="147"/>
  <c r="AI19" i="150"/>
  <c r="AL20" i="151"/>
  <c r="AF19" i="150"/>
  <c r="F153" i="124"/>
  <c r="BG21" i="124" s="1"/>
  <c r="BH21" i="124" s="1"/>
  <c r="BR15" i="120"/>
  <c r="AI15" i="120"/>
  <c r="R19" i="146"/>
  <c r="T19" i="146" s="1"/>
  <c r="Y19" i="146" s="1"/>
  <c r="Z19" i="146" s="1"/>
  <c r="AF20" i="147"/>
  <c r="AI21" i="149"/>
  <c r="AO21" i="149"/>
  <c r="BR19" i="150"/>
  <c r="O16" i="133"/>
  <c r="P16" i="133" s="1"/>
  <c r="V16" i="133" s="1"/>
  <c r="W16" i="133" s="1"/>
  <c r="W15" i="133"/>
  <c r="BD18" i="64"/>
  <c r="BE18" i="64" s="1"/>
  <c r="R20" i="147"/>
  <c r="T20" i="147" s="1"/>
  <c r="Y20" i="147" s="1"/>
  <c r="Z20" i="147" s="1"/>
  <c r="BA16" i="95"/>
  <c r="O17" i="96"/>
  <c r="P17" i="96" s="1"/>
  <c r="V17" i="96" s="1"/>
  <c r="R20" i="151"/>
  <c r="T20" i="151" s="1"/>
  <c r="Y20" i="151" s="1"/>
  <c r="Z20" i="151" s="1"/>
  <c r="BG15" i="64"/>
  <c r="BH15" i="64" s="1"/>
  <c r="BA15" i="95"/>
  <c r="BB15" i="95" s="1"/>
  <c r="BG17" i="64"/>
  <c r="BH17" i="64" s="1"/>
  <c r="AV20" i="124"/>
  <c r="AW20" i="124" s="1"/>
  <c r="BD15" i="107"/>
  <c r="BE15" i="107" s="1"/>
  <c r="AQ15" i="120"/>
  <c r="AR15" i="120" s="1"/>
  <c r="AV18" i="124"/>
  <c r="AW18" i="124" s="1"/>
  <c r="AV16" i="124"/>
  <c r="AW16" i="124" s="1"/>
  <c r="AV19" i="124"/>
  <c r="AW19" i="124" s="1"/>
  <c r="F153" i="95"/>
  <c r="BG15" i="104"/>
  <c r="BH15" i="104" s="1"/>
  <c r="R21" i="149"/>
  <c r="T21" i="149" s="1"/>
  <c r="Y21" i="149" s="1"/>
  <c r="Z21" i="149" s="1"/>
  <c r="BG16" i="104"/>
  <c r="BH16" i="104" s="1"/>
  <c r="R18" i="115"/>
  <c r="R18" i="64"/>
  <c r="T18" i="64" s="1"/>
  <c r="Y18" i="64" s="1"/>
  <c r="Z18" i="64" s="1"/>
  <c r="T17" i="64"/>
  <c r="Y17" i="64" s="1"/>
  <c r="Z17" i="64" s="1"/>
  <c r="BR16" i="106"/>
  <c r="T18" i="132"/>
  <c r="Y18" i="132" s="1"/>
  <c r="Z18" i="132" s="1"/>
  <c r="AV15" i="126"/>
  <c r="AW15" i="126" s="1"/>
  <c r="BQ18" i="124"/>
  <c r="BR18" i="124" s="1"/>
  <c r="BQ21" i="124"/>
  <c r="BL21" i="124" s="1"/>
  <c r="AV17" i="115"/>
  <c r="AW17" i="115" s="1"/>
  <c r="BD15" i="95"/>
  <c r="BE15" i="95" s="1"/>
  <c r="BD17" i="98"/>
  <c r="BE17" i="98" s="1"/>
  <c r="R19" i="133"/>
  <c r="R20" i="133" s="1"/>
  <c r="T20" i="133" s="1"/>
  <c r="Y20" i="133" s="1"/>
  <c r="Z20" i="133" s="1"/>
  <c r="K22" i="151"/>
  <c r="I23" i="151"/>
  <c r="AC20" i="151"/>
  <c r="AQ20" i="151"/>
  <c r="AR20" i="151" s="1"/>
  <c r="BQ21" i="151"/>
  <c r="AK21" i="151"/>
  <c r="AE21" i="151"/>
  <c r="AN21" i="151"/>
  <c r="AH21" i="151"/>
  <c r="AB21" i="151"/>
  <c r="BN21" i="151"/>
  <c r="BO21" i="151" s="1"/>
  <c r="M21" i="151"/>
  <c r="BL21" i="151"/>
  <c r="AI20" i="151"/>
  <c r="AO20" i="151"/>
  <c r="AF20" i="151"/>
  <c r="AN20" i="150"/>
  <c r="AH20" i="150"/>
  <c r="AB20" i="150"/>
  <c r="O20" i="150"/>
  <c r="P20" i="150" s="1"/>
  <c r="V20" i="150" s="1"/>
  <c r="BQ20" i="150"/>
  <c r="AK20" i="150"/>
  <c r="AE20" i="150"/>
  <c r="R20" i="150"/>
  <c r="T20" i="150" s="1"/>
  <c r="Y20" i="150" s="1"/>
  <c r="BN20" i="150"/>
  <c r="BO20" i="150" s="1"/>
  <c r="M20" i="150"/>
  <c r="BL20" i="150"/>
  <c r="K21" i="150"/>
  <c r="AC19" i="150"/>
  <c r="AQ19" i="150"/>
  <c r="AR19" i="150" s="1"/>
  <c r="AO19" i="150"/>
  <c r="I24" i="150"/>
  <c r="BD19" i="124"/>
  <c r="BE19" i="124" s="1"/>
  <c r="BD21" i="124"/>
  <c r="BE21" i="124" s="1"/>
  <c r="BA16" i="98"/>
  <c r="BB16" i="98" s="1"/>
  <c r="BG15" i="120"/>
  <c r="BH15" i="120" s="1"/>
  <c r="BG17" i="63"/>
  <c r="BH17" i="63" s="1"/>
  <c r="BG19" i="132"/>
  <c r="BH19" i="132" s="1"/>
  <c r="W15" i="95"/>
  <c r="P19" i="149"/>
  <c r="AC21" i="149"/>
  <c r="AF21" i="149"/>
  <c r="AL21" i="149"/>
  <c r="K23" i="149"/>
  <c r="I24" i="149"/>
  <c r="AQ21" i="149"/>
  <c r="AR21" i="149" s="1"/>
  <c r="BQ22" i="149"/>
  <c r="AK22" i="149"/>
  <c r="AE22" i="149"/>
  <c r="AN22" i="149"/>
  <c r="AH22" i="149"/>
  <c r="BL22" i="149"/>
  <c r="AB22" i="149"/>
  <c r="M22" i="149"/>
  <c r="BN22" i="149"/>
  <c r="BO22" i="149" s="1"/>
  <c r="BR21" i="149"/>
  <c r="AV17" i="63"/>
  <c r="AW17" i="63" s="1"/>
  <c r="AQ16" i="101"/>
  <c r="AR16" i="101" s="1"/>
  <c r="BR15" i="106"/>
  <c r="BA16" i="126"/>
  <c r="BB16" i="126" s="1"/>
  <c r="AV21" i="124"/>
  <c r="AW21" i="124" s="1"/>
  <c r="AV17" i="124"/>
  <c r="AW17" i="124" s="1"/>
  <c r="T18" i="129"/>
  <c r="Y18" i="129" s="1"/>
  <c r="BR16" i="98"/>
  <c r="BD16" i="107"/>
  <c r="BE16" i="107" s="1"/>
  <c r="BG17" i="98"/>
  <c r="BH17" i="98" s="1"/>
  <c r="BD20" i="107"/>
  <c r="T17" i="110"/>
  <c r="Y17" i="110" s="1"/>
  <c r="Z17" i="110" s="1"/>
  <c r="AR19" i="136"/>
  <c r="BD18" i="107"/>
  <c r="BE18" i="107" s="1"/>
  <c r="BD16" i="132"/>
  <c r="BE16" i="132" s="1"/>
  <c r="AI19" i="136"/>
  <c r="BD19" i="107"/>
  <c r="BE19" i="107" s="1"/>
  <c r="BQ16" i="96"/>
  <c r="BR16" i="96" s="1"/>
  <c r="BR17" i="63"/>
  <c r="BE17" i="63"/>
  <c r="AC20" i="147"/>
  <c r="BR20" i="147"/>
  <c r="BD15" i="124"/>
  <c r="BE15" i="124" s="1"/>
  <c r="BD18" i="124"/>
  <c r="BE18" i="124" s="1"/>
  <c r="BL15" i="98"/>
  <c r="BQ22" i="124"/>
  <c r="BQ20" i="124"/>
  <c r="BL20" i="124" s="1"/>
  <c r="BD20" i="147"/>
  <c r="BE20" i="147" s="1"/>
  <c r="BD20" i="124"/>
  <c r="BE20" i="124" s="1"/>
  <c r="BG15" i="106"/>
  <c r="BH15" i="106" s="1"/>
  <c r="BD16" i="126"/>
  <c r="BE16" i="126" s="1"/>
  <c r="BG15" i="63"/>
  <c r="BH15" i="63" s="1"/>
  <c r="BG16" i="106"/>
  <c r="BH16" i="106" s="1"/>
  <c r="BG17" i="106"/>
  <c r="BD15" i="126"/>
  <c r="BE15" i="126" s="1"/>
  <c r="BG16" i="63"/>
  <c r="BH16" i="63" s="1"/>
  <c r="BA15" i="126"/>
  <c r="BB15" i="126" s="1"/>
  <c r="BQ16" i="124"/>
  <c r="BQ15" i="124"/>
  <c r="BD16" i="124"/>
  <c r="BE16" i="124" s="1"/>
  <c r="BD17" i="124"/>
  <c r="BE17" i="124" s="1"/>
  <c r="BL18" i="105"/>
  <c r="BQ17" i="124"/>
  <c r="BR17" i="124" s="1"/>
  <c r="BA20" i="147"/>
  <c r="BB20" i="147" s="1"/>
  <c r="BK19" i="147"/>
  <c r="BL20" i="147"/>
  <c r="AI20" i="147"/>
  <c r="K22" i="147"/>
  <c r="AH22" i="147" s="1"/>
  <c r="I23" i="147"/>
  <c r="P18" i="147"/>
  <c r="BQ21" i="147"/>
  <c r="AY21" i="147"/>
  <c r="BA21" i="147" s="1"/>
  <c r="AE21" i="147"/>
  <c r="AB21" i="147"/>
  <c r="AT21" i="147"/>
  <c r="BD21" i="147" s="1"/>
  <c r="M21" i="147"/>
  <c r="BJ21" i="147"/>
  <c r="BL19" i="146"/>
  <c r="P17" i="146"/>
  <c r="BK18" i="146"/>
  <c r="BD19" i="146"/>
  <c r="BE19" i="146" s="1"/>
  <c r="BR19" i="146"/>
  <c r="AC19" i="146"/>
  <c r="BA19" i="146"/>
  <c r="BB19" i="146" s="1"/>
  <c r="AT20" i="146"/>
  <c r="AV20" i="146" s="1"/>
  <c r="AB20" i="146"/>
  <c r="BQ20" i="146"/>
  <c r="AY20" i="146"/>
  <c r="BG20" i="146" s="1"/>
  <c r="AE20" i="146"/>
  <c r="BJ20" i="146"/>
  <c r="M20" i="146"/>
  <c r="AF19" i="146"/>
  <c r="AI19" i="146"/>
  <c r="K21" i="146"/>
  <c r="AH21" i="146" s="1"/>
  <c r="I22" i="146"/>
  <c r="BQ15" i="96"/>
  <c r="BR15" i="96" s="1"/>
  <c r="BR19" i="132"/>
  <c r="AW19" i="132"/>
  <c r="AF17" i="98"/>
  <c r="AF18" i="135"/>
  <c r="AC18" i="135"/>
  <c r="AC17" i="98"/>
  <c r="AL19" i="132"/>
  <c r="AO17" i="115"/>
  <c r="AF17" i="63"/>
  <c r="AL17" i="63"/>
  <c r="AI16" i="101"/>
  <c r="AL17" i="110"/>
  <c r="AO17" i="110"/>
  <c r="BA21" i="124"/>
  <c r="BB21" i="124" s="1"/>
  <c r="BB19" i="132"/>
  <c r="AF19" i="132"/>
  <c r="AL16" i="98"/>
  <c r="AF15" i="120"/>
  <c r="BA20" i="124"/>
  <c r="BB20" i="124" s="1"/>
  <c r="O16" i="118"/>
  <c r="P16" i="118" s="1"/>
  <c r="AL17" i="115"/>
  <c r="AO16" i="101"/>
  <c r="BA16" i="124"/>
  <c r="BB16" i="124" s="1"/>
  <c r="AC17" i="110"/>
  <c r="BA18" i="124"/>
  <c r="BB18" i="124" s="1"/>
  <c r="AF17" i="115"/>
  <c r="AC17" i="115"/>
  <c r="I20" i="110"/>
  <c r="K19" i="110"/>
  <c r="I27" i="95"/>
  <c r="K23" i="124"/>
  <c r="AH23" i="124" s="1"/>
  <c r="M22" i="124"/>
  <c r="BJ22" i="124"/>
  <c r="AE22" i="124"/>
  <c r="AB22" i="124"/>
  <c r="AT22" i="124"/>
  <c r="AY22" i="124"/>
  <c r="AF19" i="105"/>
  <c r="AI16" i="98"/>
  <c r="AQ16" i="98"/>
  <c r="AR16" i="98" s="1"/>
  <c r="M20" i="136"/>
  <c r="BN20" i="136"/>
  <c r="BO20" i="136" s="1"/>
  <c r="BL20" i="136"/>
  <c r="K21" i="136"/>
  <c r="AN20" i="136"/>
  <c r="AH20" i="136"/>
  <c r="AB20" i="136"/>
  <c r="AK20" i="136"/>
  <c r="BQ20" i="136"/>
  <c r="AE20" i="136"/>
  <c r="AO17" i="63"/>
  <c r="AO18" i="135"/>
  <c r="AQ18" i="135"/>
  <c r="AR18" i="135" s="1"/>
  <c r="AI18" i="135"/>
  <c r="K17" i="66"/>
  <c r="I18" i="66"/>
  <c r="I23" i="126"/>
  <c r="AL15" i="120"/>
  <c r="Z16" i="101"/>
  <c r="BN16" i="17"/>
  <c r="BO16" i="17" s="1"/>
  <c r="BL16" i="17"/>
  <c r="AH16" i="17"/>
  <c r="AY16" i="17"/>
  <c r="BA16" i="17" s="1"/>
  <c r="AB16" i="17"/>
  <c r="AK16" i="17"/>
  <c r="M16" i="17"/>
  <c r="AE16" i="17"/>
  <c r="AN16" i="17"/>
  <c r="R16" i="17"/>
  <c r="BB16" i="118"/>
  <c r="I33" i="133"/>
  <c r="I20" i="115"/>
  <c r="K19" i="115"/>
  <c r="AF16" i="126"/>
  <c r="BA19" i="124"/>
  <c r="BB19" i="124" s="1"/>
  <c r="AO16" i="118"/>
  <c r="BA17" i="124"/>
  <c r="BB17" i="124" s="1"/>
  <c r="AC16" i="126"/>
  <c r="I25" i="105"/>
  <c r="M17" i="101"/>
  <c r="BQ17" i="101"/>
  <c r="AN17" i="101"/>
  <c r="R17" i="101"/>
  <c r="AK17" i="101"/>
  <c r="AE17" i="101"/>
  <c r="AY17" i="101"/>
  <c r="AB17" i="101"/>
  <c r="AT17" i="101"/>
  <c r="BJ20" i="105"/>
  <c r="BL20" i="105" s="1"/>
  <c r="M20" i="105"/>
  <c r="BR20" i="105" s="1"/>
  <c r="AB20" i="105"/>
  <c r="AY20" i="105"/>
  <c r="BA20" i="105" s="1"/>
  <c r="AT20" i="105"/>
  <c r="AV20" i="105" s="1"/>
  <c r="AE20" i="105"/>
  <c r="K21" i="105"/>
  <c r="AH20" i="105"/>
  <c r="I22" i="15"/>
  <c r="AY19" i="64"/>
  <c r="BG19" i="64" s="1"/>
  <c r="BN19" i="64"/>
  <c r="BO19" i="64" s="1"/>
  <c r="AT19" i="64"/>
  <c r="BD19" i="64" s="1"/>
  <c r="AK19" i="64"/>
  <c r="K20" i="64"/>
  <c r="AE19" i="64"/>
  <c r="BL19" i="64"/>
  <c r="BQ19" i="64"/>
  <c r="AB19" i="64"/>
  <c r="AH19" i="64"/>
  <c r="M19" i="64"/>
  <c r="AN19" i="64"/>
  <c r="K19" i="114"/>
  <c r="M18" i="114"/>
  <c r="BJ18" i="114"/>
  <c r="AB18" i="114"/>
  <c r="AN18" i="114"/>
  <c r="AK18" i="114"/>
  <c r="AY18" i="114"/>
  <c r="BA18" i="114" s="1"/>
  <c r="AE18" i="114"/>
  <c r="AH18" i="114"/>
  <c r="AT18" i="114"/>
  <c r="BQ18" i="114"/>
  <c r="R18" i="114"/>
  <c r="T18" i="114" s="1"/>
  <c r="Y18" i="114" s="1"/>
  <c r="I23" i="63"/>
  <c r="M18" i="63"/>
  <c r="BR18" i="63" s="1"/>
  <c r="BN18" i="63"/>
  <c r="BO18" i="63" s="1"/>
  <c r="K19" i="63"/>
  <c r="AB18" i="63"/>
  <c r="AE18" i="63"/>
  <c r="AK18" i="63"/>
  <c r="AH18" i="63"/>
  <c r="AT18" i="63"/>
  <c r="AV18" i="63" s="1"/>
  <c r="AN18" i="63"/>
  <c r="AY18" i="63"/>
  <c r="BG18" i="63" s="1"/>
  <c r="BL18" i="63"/>
  <c r="AE18" i="126"/>
  <c r="BJ18" i="126"/>
  <c r="K19" i="126"/>
  <c r="AH22" i="126" s="1"/>
  <c r="AY18" i="126"/>
  <c r="BG18" i="126" s="1"/>
  <c r="AK18" i="126"/>
  <c r="AT18" i="126"/>
  <c r="AN18" i="126"/>
  <c r="M18" i="126"/>
  <c r="AB18" i="126"/>
  <c r="BL16" i="66"/>
  <c r="BN16" i="66"/>
  <c r="BO16" i="66" s="1"/>
  <c r="M16" i="66"/>
  <c r="BR16" i="66" s="1"/>
  <c r="AT16" i="66"/>
  <c r="R16" i="66"/>
  <c r="AY16" i="66"/>
  <c r="AN16" i="66"/>
  <c r="AH16" i="66"/>
  <c r="AB16" i="66"/>
  <c r="O16" i="66"/>
  <c r="P16" i="66" s="1"/>
  <c r="V16" i="66" s="1"/>
  <c r="AK16" i="66"/>
  <c r="AE16" i="66"/>
  <c r="AC16" i="118"/>
  <c r="AI16" i="118"/>
  <c r="AF19" i="136"/>
  <c r="M18" i="96"/>
  <c r="BN18" i="96"/>
  <c r="BO18" i="96" s="1"/>
  <c r="BL18" i="96"/>
  <c r="AH18" i="96"/>
  <c r="AB18" i="96"/>
  <c r="BG18" i="96"/>
  <c r="AT18" i="96"/>
  <c r="AV18" i="96" s="1"/>
  <c r="AN18" i="96"/>
  <c r="AK18" i="96"/>
  <c r="AL18" i="96" s="1"/>
  <c r="AE18" i="96"/>
  <c r="AO16" i="110"/>
  <c r="AL16" i="126"/>
  <c r="R17" i="126"/>
  <c r="T16" i="126"/>
  <c r="Y16" i="126" s="1"/>
  <c r="Z16" i="126" s="1"/>
  <c r="I19" i="101"/>
  <c r="K18" i="101"/>
  <c r="AH18" i="101" s="1"/>
  <c r="AC19" i="105"/>
  <c r="M19" i="135"/>
  <c r="AW19" i="135" s="1"/>
  <c r="AE19" i="135"/>
  <c r="AH19" i="135"/>
  <c r="AB19" i="135"/>
  <c r="AK19" i="135"/>
  <c r="AN19" i="135"/>
  <c r="BN19" i="135"/>
  <c r="BO19" i="135" s="1"/>
  <c r="BL19" i="135"/>
  <c r="AY19" i="135"/>
  <c r="BA19" i="135" s="1"/>
  <c r="AO16" i="98"/>
  <c r="AF16" i="98"/>
  <c r="I18" i="13"/>
  <c r="K17" i="13"/>
  <c r="AC16" i="110"/>
  <c r="BB17" i="63"/>
  <c r="AL18" i="135"/>
  <c r="AI16" i="110"/>
  <c r="AL16" i="110"/>
  <c r="AF16" i="118"/>
  <c r="AL19" i="136"/>
  <c r="AO15" i="120"/>
  <c r="I20" i="96"/>
  <c r="K19" i="96"/>
  <c r="BA19" i="96" s="1"/>
  <c r="AF21" i="124"/>
  <c r="BR19" i="136"/>
  <c r="AC19" i="136"/>
  <c r="AC19" i="132"/>
  <c r="I24" i="136"/>
  <c r="I24" i="64"/>
  <c r="AI17" i="115"/>
  <c r="AQ17" i="115"/>
  <c r="AR17" i="115" s="1"/>
  <c r="M18" i="110"/>
  <c r="BJ18" i="110"/>
  <c r="AK18" i="110"/>
  <c r="AB18" i="110"/>
  <c r="AY18" i="110"/>
  <c r="BA18" i="110" s="1"/>
  <c r="AE18" i="110"/>
  <c r="AN18" i="110"/>
  <c r="AT18" i="110"/>
  <c r="AV18" i="110" s="1"/>
  <c r="AH18" i="110"/>
  <c r="I74" i="99"/>
  <c r="M17" i="118"/>
  <c r="BR17" i="118" s="1"/>
  <c r="K18" i="118"/>
  <c r="AB17" i="118"/>
  <c r="AH17" i="118"/>
  <c r="AT17" i="118"/>
  <c r="AV17" i="118" s="1"/>
  <c r="AY17" i="118"/>
  <c r="BG17" i="118" s="1"/>
  <c r="AE17" i="118"/>
  <c r="AN17" i="118"/>
  <c r="AK17" i="118"/>
  <c r="I21" i="135"/>
  <c r="K20" i="135"/>
  <c r="T16" i="98"/>
  <c r="Y16" i="98" s="1"/>
  <c r="Z16" i="98" s="1"/>
  <c r="R17" i="98"/>
  <c r="M16" i="13"/>
  <c r="BN16" i="13"/>
  <c r="BO16" i="13" s="1"/>
  <c r="BL16" i="13"/>
  <c r="AB16" i="13"/>
  <c r="R16" i="13"/>
  <c r="T16" i="13" s="1"/>
  <c r="Y16" i="13" s="1"/>
  <c r="AN16" i="13"/>
  <c r="AY16" i="13"/>
  <c r="BA16" i="13" s="1"/>
  <c r="BQ16" i="13"/>
  <c r="AE16" i="13"/>
  <c r="AK16" i="13"/>
  <c r="AH16" i="13"/>
  <c r="O16" i="13"/>
  <c r="P16" i="13" s="1"/>
  <c r="V16" i="13" s="1"/>
  <c r="I22" i="104"/>
  <c r="AI17" i="63"/>
  <c r="AQ17" i="63"/>
  <c r="AR17" i="63" s="1"/>
  <c r="BL17" i="15"/>
  <c r="BN17" i="15"/>
  <c r="BO17" i="15" s="1"/>
  <c r="K18" i="15"/>
  <c r="AN17" i="15"/>
  <c r="M17" i="15"/>
  <c r="AH17" i="15"/>
  <c r="AB17" i="15"/>
  <c r="BQ17" i="15"/>
  <c r="AK17" i="15"/>
  <c r="AE17" i="15"/>
  <c r="AI17" i="98"/>
  <c r="AQ17" i="98"/>
  <c r="AR17" i="98" s="1"/>
  <c r="K19" i="98"/>
  <c r="M18" i="98"/>
  <c r="BR18" i="98" s="1"/>
  <c r="AE18" i="98"/>
  <c r="AT18" i="98"/>
  <c r="AV18" i="98" s="1"/>
  <c r="AB18" i="98"/>
  <c r="BJ18" i="98"/>
  <c r="BL18" i="98" s="1"/>
  <c r="AN18" i="98"/>
  <c r="AK18" i="98"/>
  <c r="AY18" i="98"/>
  <c r="AH18" i="98"/>
  <c r="I24" i="114"/>
  <c r="AE16" i="120"/>
  <c r="AH16" i="120"/>
  <c r="AY16" i="120"/>
  <c r="K17" i="120"/>
  <c r="M16" i="120"/>
  <c r="BQ16" i="120"/>
  <c r="AK16" i="120"/>
  <c r="R16" i="120"/>
  <c r="T16" i="120" s="1"/>
  <c r="Y16" i="120" s="1"/>
  <c r="AN16" i="120"/>
  <c r="AB16" i="120"/>
  <c r="I25" i="132"/>
  <c r="I18" i="17"/>
  <c r="K17" i="17"/>
  <c r="M18" i="115"/>
  <c r="AY18" i="115"/>
  <c r="BA18" i="115" s="1"/>
  <c r="AK18" i="115"/>
  <c r="AE18" i="115"/>
  <c r="AH18" i="115"/>
  <c r="AB18" i="115"/>
  <c r="AT18" i="115"/>
  <c r="BJ18" i="115"/>
  <c r="AN18" i="115"/>
  <c r="BQ18" i="115"/>
  <c r="AC21" i="124"/>
  <c r="BG16" i="126"/>
  <c r="BH16" i="126" s="1"/>
  <c r="BG15" i="126"/>
  <c r="BH15" i="126" s="1"/>
  <c r="BQ19" i="126"/>
  <c r="BQ15" i="126"/>
  <c r="BQ16" i="126"/>
  <c r="BQ18" i="126"/>
  <c r="BQ17" i="126"/>
  <c r="BR16" i="105"/>
  <c r="BL15" i="105"/>
  <c r="BD19" i="132"/>
  <c r="BE19" i="132" s="1"/>
  <c r="BR17" i="106"/>
  <c r="BD15" i="132"/>
  <c r="BE15" i="132" s="1"/>
  <c r="BL17" i="105"/>
  <c r="BL19" i="124"/>
  <c r="O17" i="101"/>
  <c r="P17" i="101" s="1"/>
  <c r="V17" i="101" s="1"/>
  <c r="V16" i="95"/>
  <c r="BQ15" i="95"/>
  <c r="BR15" i="95" s="1"/>
  <c r="BQ16" i="95"/>
  <c r="BG17" i="115"/>
  <c r="BH17" i="115" s="1"/>
  <c r="BG16" i="115"/>
  <c r="BG15" i="115"/>
  <c r="BD16" i="98"/>
  <c r="BE16" i="98" s="1"/>
  <c r="T18" i="124"/>
  <c r="Y18" i="124" s="1"/>
  <c r="Z18" i="124" s="1"/>
  <c r="BR17" i="114"/>
  <c r="BL17" i="114"/>
  <c r="BG15" i="114"/>
  <c r="BH15" i="114" s="1"/>
  <c r="BG16" i="114"/>
  <c r="BH16" i="114" s="1"/>
  <c r="BG17" i="114"/>
  <c r="BH17" i="114" s="1"/>
  <c r="BQ18" i="96"/>
  <c r="BR16" i="114"/>
  <c r="BL16" i="114"/>
  <c r="O17" i="114"/>
  <c r="P17" i="114" s="1"/>
  <c r="V17" i="114" s="1"/>
  <c r="W17" i="114" s="1"/>
  <c r="AW17" i="114"/>
  <c r="BD17" i="132"/>
  <c r="BE17" i="132" s="1"/>
  <c r="BD18" i="132"/>
  <c r="BE18" i="132" s="1"/>
  <c r="BA18" i="96"/>
  <c r="BA16" i="96"/>
  <c r="BB16" i="96" s="1"/>
  <c r="BA15" i="96"/>
  <c r="BB15" i="96" s="1"/>
  <c r="BA17" i="96"/>
  <c r="F151" i="96"/>
  <c r="F153" i="96"/>
  <c r="BD17" i="105"/>
  <c r="BE17" i="105" s="1"/>
  <c r="BD18" i="105"/>
  <c r="BE18" i="105" s="1"/>
  <c r="BD19" i="105"/>
  <c r="BE19" i="105" s="1"/>
  <c r="BD16" i="105"/>
  <c r="BE16" i="105" s="1"/>
  <c r="BD15" i="105"/>
  <c r="BE15" i="105" s="1"/>
  <c r="T17" i="104"/>
  <c r="Y17" i="104" s="1"/>
  <c r="R18" i="104"/>
  <c r="BG15" i="105"/>
  <c r="BH15" i="105" s="1"/>
  <c r="BG19" i="105"/>
  <c r="BH19" i="105" s="1"/>
  <c r="BG17" i="105"/>
  <c r="BH17" i="105" s="1"/>
  <c r="BG16" i="105"/>
  <c r="BH16" i="105" s="1"/>
  <c r="BG18" i="105"/>
  <c r="BH18" i="105" s="1"/>
  <c r="R17" i="105"/>
  <c r="T17" i="105" s="1"/>
  <c r="Y17" i="105" s="1"/>
  <c r="Z17" i="105" s="1"/>
  <c r="BG15" i="118"/>
  <c r="BH15" i="118" s="1"/>
  <c r="BG16" i="118"/>
  <c r="BH16" i="118" s="1"/>
  <c r="BD16" i="118"/>
  <c r="BE16" i="118" s="1"/>
  <c r="BD15" i="118"/>
  <c r="BE15" i="118" s="1"/>
  <c r="R18" i="136"/>
  <c r="T17" i="136"/>
  <c r="Y17" i="136" s="1"/>
  <c r="Z17" i="136" s="1"/>
  <c r="AQ17" i="105"/>
  <c r="AR17" i="105" s="1"/>
  <c r="BL17" i="98"/>
  <c r="BR17" i="98"/>
  <c r="T19" i="124"/>
  <c r="Y19" i="124" s="1"/>
  <c r="Z19" i="124" s="1"/>
  <c r="R20" i="124"/>
  <c r="P16" i="98"/>
  <c r="T19" i="132"/>
  <c r="Y19" i="132" s="1"/>
  <c r="Z19" i="132" s="1"/>
  <c r="R20" i="132"/>
  <c r="AQ18" i="105"/>
  <c r="AR18" i="105" s="1"/>
  <c r="BK15" i="98"/>
  <c r="T17" i="107"/>
  <c r="Y17" i="107" s="1"/>
  <c r="R18" i="107"/>
  <c r="F153" i="110"/>
  <c r="F151" i="110"/>
  <c r="P16" i="107"/>
  <c r="BD19" i="99"/>
  <c r="BD15" i="99"/>
  <c r="BE15" i="99" s="1"/>
  <c r="BD16" i="99"/>
  <c r="BE16" i="99" s="1"/>
  <c r="BD17" i="99"/>
  <c r="BE17" i="99" s="1"/>
  <c r="BD18" i="99"/>
  <c r="BE18" i="99" s="1"/>
  <c r="F151" i="112"/>
  <c r="F153" i="112"/>
  <c r="BR18" i="99"/>
  <c r="BL18" i="99"/>
  <c r="AV16" i="110"/>
  <c r="AV17" i="110"/>
  <c r="AV15" i="110"/>
  <c r="BA16" i="112"/>
  <c r="BB16" i="112" s="1"/>
  <c r="BA17" i="112"/>
  <c r="BB17" i="112" s="1"/>
  <c r="BA15" i="112"/>
  <c r="BB15" i="112" s="1"/>
  <c r="P15" i="105"/>
  <c r="BR15" i="99"/>
  <c r="BL15" i="99"/>
  <c r="BR17" i="99"/>
  <c r="BL17" i="99"/>
  <c r="Z16" i="105"/>
  <c r="T15" i="105"/>
  <c r="Y15" i="105" s="1"/>
  <c r="AQ15" i="105"/>
  <c r="AR15" i="105" s="1"/>
  <c r="BA17" i="110"/>
  <c r="BB17" i="110" s="1"/>
  <c r="BA15" i="110"/>
  <c r="BB15" i="110" s="1"/>
  <c r="BA16" i="110"/>
  <c r="BB16" i="110" s="1"/>
  <c r="BD15" i="135"/>
  <c r="BE15" i="135" s="1"/>
  <c r="BD17" i="135"/>
  <c r="BE17" i="135" s="1"/>
  <c r="BD19" i="135"/>
  <c r="BE19" i="135" s="1"/>
  <c r="BD18" i="135"/>
  <c r="BE18" i="135" s="1"/>
  <c r="BD16" i="135"/>
  <c r="BE16" i="135" s="1"/>
  <c r="AV15" i="112"/>
  <c r="AV17" i="112"/>
  <c r="AV16" i="112"/>
  <c r="AQ19" i="105"/>
  <c r="AR19" i="105" s="1"/>
  <c r="BR16" i="99"/>
  <c r="BL16" i="99"/>
  <c r="BL19" i="99"/>
  <c r="W16" i="126"/>
  <c r="O17" i="126"/>
  <c r="AQ16" i="105"/>
  <c r="AR16" i="105" s="1"/>
  <c r="Z16" i="107"/>
  <c r="BQ18" i="110"/>
  <c r="BQ15" i="110"/>
  <c r="BQ16" i="110"/>
  <c r="BQ17" i="110"/>
  <c r="BQ19" i="110"/>
  <c r="Z15" i="99"/>
  <c r="BG18" i="135"/>
  <c r="BH18" i="135" s="1"/>
  <c r="BG17" i="135"/>
  <c r="BH17" i="135" s="1"/>
  <c r="BG15" i="135"/>
  <c r="BH15" i="135" s="1"/>
  <c r="BG16" i="135"/>
  <c r="BH16" i="135" s="1"/>
  <c r="BG18" i="99"/>
  <c r="BH18" i="99" s="1"/>
  <c r="BG17" i="99"/>
  <c r="BH17" i="99" s="1"/>
  <c r="BG19" i="99"/>
  <c r="BG16" i="99"/>
  <c r="BH16" i="99" s="1"/>
  <c r="BG15" i="99"/>
  <c r="BH15" i="99" s="1"/>
  <c r="BQ17" i="112"/>
  <c r="BQ18" i="112"/>
  <c r="BQ16" i="112"/>
  <c r="BQ15" i="112"/>
  <c r="O16" i="120"/>
  <c r="W15" i="120"/>
  <c r="W15" i="135"/>
  <c r="O16" i="135"/>
  <c r="W16" i="15"/>
  <c r="O17" i="15"/>
  <c r="W15" i="112"/>
  <c r="O16" i="112"/>
  <c r="Z17" i="115"/>
  <c r="W15" i="136"/>
  <c r="O16" i="136"/>
  <c r="AW117" i="164"/>
  <c r="BB117" i="163"/>
  <c r="BB117" i="164"/>
  <c r="BR117" i="163"/>
  <c r="BR117" i="164"/>
  <c r="AW117" i="163"/>
  <c r="AL19" i="107" l="1"/>
  <c r="AL20" i="105"/>
  <c r="AO20" i="105"/>
  <c r="BH17" i="126"/>
  <c r="AC17" i="126"/>
  <c r="AW19" i="107"/>
  <c r="AF20" i="105"/>
  <c r="AW17" i="118"/>
  <c r="Z16" i="15"/>
  <c r="AF16" i="15"/>
  <c r="BB16" i="95"/>
  <c r="AL16" i="15"/>
  <c r="BB18" i="110"/>
  <c r="AO16" i="15"/>
  <c r="AL16" i="66"/>
  <c r="BB17" i="106"/>
  <c r="AO16" i="120"/>
  <c r="AC18" i="130"/>
  <c r="BH20" i="107"/>
  <c r="AI20" i="107"/>
  <c r="BE20" i="107"/>
  <c r="AO18" i="130"/>
  <c r="AC20" i="107"/>
  <c r="AL20" i="107"/>
  <c r="BH17" i="106"/>
  <c r="AL18" i="130"/>
  <c r="BR20" i="133"/>
  <c r="AO19" i="107"/>
  <c r="AW20" i="107"/>
  <c r="BR20" i="107"/>
  <c r="AO16" i="66"/>
  <c r="AF18" i="130"/>
  <c r="AW17" i="126"/>
  <c r="AF19" i="107"/>
  <c r="BR19" i="107"/>
  <c r="AF20" i="107"/>
  <c r="AO20" i="107"/>
  <c r="AI19" i="107"/>
  <c r="AQ19" i="107"/>
  <c r="AR19" i="107" s="1"/>
  <c r="BD16" i="95"/>
  <c r="BA17" i="95"/>
  <c r="BA19" i="107"/>
  <c r="BB19" i="107" s="1"/>
  <c r="BG19" i="107"/>
  <c r="BH19" i="107" s="1"/>
  <c r="AO19" i="99"/>
  <c r="BR16" i="15"/>
  <c r="AC19" i="99"/>
  <c r="AF19" i="99"/>
  <c r="BE19" i="99"/>
  <c r="AI18" i="115"/>
  <c r="AL17" i="15"/>
  <c r="Z16" i="13"/>
  <c r="W17" i="96"/>
  <c r="AI19" i="99"/>
  <c r="AF22" i="156"/>
  <c r="BD17" i="126"/>
  <c r="BE17" i="126" s="1"/>
  <c r="AW17" i="96"/>
  <c r="R18" i="15"/>
  <c r="AQ20" i="107"/>
  <c r="AR20" i="107" s="1"/>
  <c r="BB19" i="99"/>
  <c r="AR19" i="99"/>
  <c r="AQ19" i="132"/>
  <c r="AR19" i="132" s="1"/>
  <c r="BA20" i="107"/>
  <c r="BB20" i="107" s="1"/>
  <c r="AT21" i="107"/>
  <c r="BD21" i="107" s="1"/>
  <c r="AY21" i="107"/>
  <c r="BA21" i="107" s="1"/>
  <c r="BQ21" i="107"/>
  <c r="AB21" i="107"/>
  <c r="AH21" i="107"/>
  <c r="AE21" i="107"/>
  <c r="AN21" i="107"/>
  <c r="AK21" i="107"/>
  <c r="BJ21" i="107"/>
  <c r="BL21" i="107" s="1"/>
  <c r="M21" i="107"/>
  <c r="BR19" i="99"/>
  <c r="AO18" i="115"/>
  <c r="AL19" i="135"/>
  <c r="Z17" i="96"/>
  <c r="AC17" i="96"/>
  <c r="AH20" i="132"/>
  <c r="AK20" i="132"/>
  <c r="AE20" i="132"/>
  <c r="AY20" i="132"/>
  <c r="BA20" i="132" s="1"/>
  <c r="M20" i="132"/>
  <c r="BL20" i="132"/>
  <c r="K21" i="132"/>
  <c r="BN20" i="132"/>
  <c r="BO20" i="132" s="1"/>
  <c r="AN20" i="132"/>
  <c r="AB20" i="132"/>
  <c r="BQ20" i="132"/>
  <c r="BR20" i="132" s="1"/>
  <c r="AW19" i="99"/>
  <c r="AY22" i="107"/>
  <c r="M22" i="107"/>
  <c r="AE22" i="107"/>
  <c r="AB22" i="107"/>
  <c r="BQ22" i="107"/>
  <c r="AT22" i="107"/>
  <c r="BD22" i="107" s="1"/>
  <c r="BJ22" i="107"/>
  <c r="BG22" i="107"/>
  <c r="AH22" i="107"/>
  <c r="AK22" i="107"/>
  <c r="AN22" i="107"/>
  <c r="BA22" i="107"/>
  <c r="BH19" i="99"/>
  <c r="BB17" i="96"/>
  <c r="AI16" i="15"/>
  <c r="AQ16" i="15"/>
  <c r="AR16" i="15" s="1"/>
  <c r="AC16" i="15"/>
  <c r="AE20" i="99"/>
  <c r="AY20" i="99"/>
  <c r="BJ20" i="99"/>
  <c r="BL20" i="99" s="1"/>
  <c r="BQ20" i="99"/>
  <c r="M20" i="99"/>
  <c r="AT20" i="99"/>
  <c r="K21" i="99"/>
  <c r="AH20" i="99"/>
  <c r="AN20" i="99"/>
  <c r="AK20" i="99"/>
  <c r="AB20" i="99"/>
  <c r="I24" i="107"/>
  <c r="K23" i="107"/>
  <c r="T17" i="15"/>
  <c r="Y17" i="15" s="1"/>
  <c r="Z17" i="15" s="1"/>
  <c r="BG15" i="17"/>
  <c r="BH15" i="17" s="1"/>
  <c r="R19" i="63"/>
  <c r="AW22" i="163"/>
  <c r="AW18" i="163"/>
  <c r="BL23" i="163"/>
  <c r="BR23" i="163"/>
  <c r="BR19" i="163"/>
  <c r="BL19" i="163"/>
  <c r="BR15" i="163"/>
  <c r="BL15" i="163"/>
  <c r="BL24" i="161"/>
  <c r="BR24" i="161"/>
  <c r="BR29" i="161"/>
  <c r="BL29" i="161"/>
  <c r="BL27" i="161"/>
  <c r="BR27" i="161"/>
  <c r="BL28" i="161"/>
  <c r="BR28" i="161"/>
  <c r="BL33" i="161"/>
  <c r="BR33" i="161"/>
  <c r="BD15" i="163"/>
  <c r="BE15" i="163" s="1"/>
  <c r="BD16" i="163"/>
  <c r="BE16" i="163" s="1"/>
  <c r="BD17" i="163"/>
  <c r="BE17" i="163" s="1"/>
  <c r="BD18" i="163"/>
  <c r="BE18" i="163" s="1"/>
  <c r="BD19" i="163"/>
  <c r="BE19" i="163" s="1"/>
  <c r="BD20" i="163"/>
  <c r="BE20" i="163" s="1"/>
  <c r="BD21" i="163"/>
  <c r="BE21" i="163" s="1"/>
  <c r="BD22" i="163"/>
  <c r="BE22" i="163" s="1"/>
  <c r="BD23" i="163"/>
  <c r="BE23" i="163" s="1"/>
  <c r="BD24" i="163"/>
  <c r="BE24" i="163" s="1"/>
  <c r="BD25" i="163"/>
  <c r="BE25" i="163" s="1"/>
  <c r="BD26" i="163"/>
  <c r="BE26" i="163" s="1"/>
  <c r="BD27" i="163"/>
  <c r="BE27" i="163" s="1"/>
  <c r="BD28" i="163"/>
  <c r="BE28" i="163" s="1"/>
  <c r="BD29" i="163"/>
  <c r="BE29" i="163" s="1"/>
  <c r="BD30" i="163"/>
  <c r="BE30" i="163" s="1"/>
  <c r="BD31" i="163"/>
  <c r="BE31" i="163" s="1"/>
  <c r="BD32" i="163"/>
  <c r="BE32" i="163" s="1"/>
  <c r="BD33" i="163"/>
  <c r="BE33" i="163" s="1"/>
  <c r="BD34" i="163"/>
  <c r="BE34" i="163" s="1"/>
  <c r="BD35" i="163"/>
  <c r="BE35" i="163" s="1"/>
  <c r="BD36" i="163"/>
  <c r="BE36" i="163" s="1"/>
  <c r="BD37" i="163"/>
  <c r="BE37" i="163" s="1"/>
  <c r="BD38" i="163"/>
  <c r="BE38" i="163" s="1"/>
  <c r="BD39" i="163"/>
  <c r="BE39" i="163" s="1"/>
  <c r="AW23" i="164"/>
  <c r="AW19" i="164"/>
  <c r="AW15" i="164"/>
  <c r="AW25" i="161"/>
  <c r="AW21" i="161"/>
  <c r="AW17" i="161"/>
  <c r="BR23" i="164"/>
  <c r="BL23" i="164"/>
  <c r="BL18" i="164"/>
  <c r="BR18" i="164"/>
  <c r="AF17" i="126"/>
  <c r="AW21" i="163"/>
  <c r="AW17" i="163"/>
  <c r="BD15" i="164"/>
  <c r="BE15" i="164" s="1"/>
  <c r="BD16" i="164"/>
  <c r="BE16" i="164" s="1"/>
  <c r="BD17" i="164"/>
  <c r="BE17" i="164" s="1"/>
  <c r="BD18" i="164"/>
  <c r="BE18" i="164" s="1"/>
  <c r="BD19" i="164"/>
  <c r="BE19" i="164" s="1"/>
  <c r="BD20" i="164"/>
  <c r="BE20" i="164" s="1"/>
  <c r="BD21" i="164"/>
  <c r="BE21" i="164" s="1"/>
  <c r="BD22" i="164"/>
  <c r="BE22" i="164" s="1"/>
  <c r="BD23" i="164"/>
  <c r="BE23" i="164" s="1"/>
  <c r="BD24" i="164"/>
  <c r="BE24" i="164" s="1"/>
  <c r="BD25" i="164"/>
  <c r="BE25" i="164" s="1"/>
  <c r="BD26" i="164"/>
  <c r="BE26" i="164" s="1"/>
  <c r="BD27" i="164"/>
  <c r="BE27" i="164" s="1"/>
  <c r="BD28" i="164"/>
  <c r="BE28" i="164" s="1"/>
  <c r="BD29" i="164"/>
  <c r="BE29" i="164" s="1"/>
  <c r="BD30" i="164"/>
  <c r="BE30" i="164" s="1"/>
  <c r="BD31" i="164"/>
  <c r="BE31" i="164" s="1"/>
  <c r="BD32" i="164"/>
  <c r="BE32" i="164" s="1"/>
  <c r="BD33" i="164"/>
  <c r="BE33" i="164" s="1"/>
  <c r="BD34" i="164"/>
  <c r="BE34" i="164" s="1"/>
  <c r="BD35" i="164"/>
  <c r="BE35" i="164" s="1"/>
  <c r="BD36" i="164"/>
  <c r="BE36" i="164" s="1"/>
  <c r="BD37" i="164"/>
  <c r="BE37" i="164" s="1"/>
  <c r="BD38" i="164"/>
  <c r="BE38" i="164" s="1"/>
  <c r="BD39" i="164"/>
  <c r="BE39" i="164" s="1"/>
  <c r="BL22" i="163"/>
  <c r="BR22" i="163"/>
  <c r="BR18" i="163"/>
  <c r="BL18" i="163"/>
  <c r="BL16" i="161"/>
  <c r="BR16" i="161"/>
  <c r="BR30" i="161"/>
  <c r="BL30" i="161"/>
  <c r="BR22" i="161"/>
  <c r="BL22" i="161"/>
  <c r="BL32" i="161"/>
  <c r="BR32" i="161"/>
  <c r="BL21" i="161"/>
  <c r="BR21" i="161"/>
  <c r="BG15" i="163"/>
  <c r="BH15" i="163" s="1"/>
  <c r="BG16" i="163"/>
  <c r="BH16" i="163" s="1"/>
  <c r="BG17" i="163"/>
  <c r="BH17" i="163" s="1"/>
  <c r="BG18" i="163"/>
  <c r="BH18" i="163" s="1"/>
  <c r="BG19" i="163"/>
  <c r="BH19" i="163" s="1"/>
  <c r="BG20" i="163"/>
  <c r="BH20" i="163" s="1"/>
  <c r="BG21" i="163"/>
  <c r="BH21" i="163" s="1"/>
  <c r="BG22" i="163"/>
  <c r="BH22" i="163" s="1"/>
  <c r="BG23" i="163"/>
  <c r="BH23" i="163" s="1"/>
  <c r="BG24" i="163"/>
  <c r="BH24" i="163" s="1"/>
  <c r="BG25" i="163"/>
  <c r="BH25" i="163" s="1"/>
  <c r="BG26" i="163"/>
  <c r="BH26" i="163" s="1"/>
  <c r="BG27" i="163"/>
  <c r="BH27" i="163" s="1"/>
  <c r="BG28" i="163"/>
  <c r="BH28" i="163" s="1"/>
  <c r="BG29" i="163"/>
  <c r="BH29" i="163" s="1"/>
  <c r="BG30" i="163"/>
  <c r="BH30" i="163" s="1"/>
  <c r="BG31" i="163"/>
  <c r="BH31" i="163" s="1"/>
  <c r="BG32" i="163"/>
  <c r="BH32" i="163" s="1"/>
  <c r="BG33" i="163"/>
  <c r="BH33" i="163" s="1"/>
  <c r="BG34" i="163"/>
  <c r="BH34" i="163" s="1"/>
  <c r="BG35" i="163"/>
  <c r="BH35" i="163" s="1"/>
  <c r="BG36" i="163"/>
  <c r="BH36" i="163" s="1"/>
  <c r="BG37" i="163"/>
  <c r="BH37" i="163" s="1"/>
  <c r="BG38" i="163"/>
  <c r="BH38" i="163" s="1"/>
  <c r="BG39" i="163"/>
  <c r="BH39" i="163" s="1"/>
  <c r="AW22" i="164"/>
  <c r="AW18" i="164"/>
  <c r="BB116" i="163"/>
  <c r="AW24" i="161"/>
  <c r="AW20" i="161"/>
  <c r="AW16" i="161"/>
  <c r="BR15" i="164"/>
  <c r="BL15" i="164"/>
  <c r="BL24" i="164"/>
  <c r="BR24" i="164"/>
  <c r="BR16" i="164"/>
  <c r="BL16" i="164"/>
  <c r="BR22" i="156"/>
  <c r="AW24" i="163"/>
  <c r="AW20" i="163"/>
  <c r="AW16" i="163"/>
  <c r="BG15" i="164"/>
  <c r="BH15" i="164" s="1"/>
  <c r="BG16" i="164"/>
  <c r="BH16" i="164" s="1"/>
  <c r="BG17" i="164"/>
  <c r="BH17" i="164" s="1"/>
  <c r="BG18" i="164"/>
  <c r="BH18" i="164" s="1"/>
  <c r="BG19" i="164"/>
  <c r="BH19" i="164" s="1"/>
  <c r="BG20" i="164"/>
  <c r="BH20" i="164" s="1"/>
  <c r="BG21" i="164"/>
  <c r="BH21" i="164" s="1"/>
  <c r="BG22" i="164"/>
  <c r="BH22" i="164" s="1"/>
  <c r="BG23" i="164"/>
  <c r="BH23" i="164" s="1"/>
  <c r="BG24" i="164"/>
  <c r="BH24" i="164" s="1"/>
  <c r="BG25" i="164"/>
  <c r="BH25" i="164" s="1"/>
  <c r="BG26" i="164"/>
  <c r="BH26" i="164" s="1"/>
  <c r="BG27" i="164"/>
  <c r="BH27" i="164" s="1"/>
  <c r="BG28" i="164"/>
  <c r="BH28" i="164" s="1"/>
  <c r="BG29" i="164"/>
  <c r="BH29" i="164" s="1"/>
  <c r="BG30" i="164"/>
  <c r="BH30" i="164" s="1"/>
  <c r="BG31" i="164"/>
  <c r="BH31" i="164" s="1"/>
  <c r="BG32" i="164"/>
  <c r="BH32" i="164" s="1"/>
  <c r="BG33" i="164"/>
  <c r="BH33" i="164" s="1"/>
  <c r="BG34" i="164"/>
  <c r="BH34" i="164" s="1"/>
  <c r="BG35" i="164"/>
  <c r="BH35" i="164" s="1"/>
  <c r="BG36" i="164"/>
  <c r="BH36" i="164" s="1"/>
  <c r="BG37" i="164"/>
  <c r="BH37" i="164" s="1"/>
  <c r="BG38" i="164"/>
  <c r="BH38" i="164" s="1"/>
  <c r="BG39" i="164"/>
  <c r="BH39" i="164" s="1"/>
  <c r="BR21" i="163"/>
  <c r="BL21" i="163"/>
  <c r="BR17" i="163"/>
  <c r="BL17" i="163"/>
  <c r="BL31" i="161"/>
  <c r="BR31" i="161"/>
  <c r="BR25" i="161"/>
  <c r="BL25" i="161"/>
  <c r="BR19" i="161"/>
  <c r="BL19" i="161"/>
  <c r="BR26" i="161"/>
  <c r="BL26" i="161"/>
  <c r="BB116" i="164"/>
  <c r="BG15" i="161"/>
  <c r="BH15" i="161" s="1"/>
  <c r="BG16" i="161"/>
  <c r="BH16" i="161" s="1"/>
  <c r="BG17" i="161"/>
  <c r="BH17" i="161" s="1"/>
  <c r="BG18" i="161"/>
  <c r="BH18" i="161" s="1"/>
  <c r="BG19" i="161"/>
  <c r="BH19" i="161" s="1"/>
  <c r="BG20" i="161"/>
  <c r="BH20" i="161" s="1"/>
  <c r="BG21" i="161"/>
  <c r="BH21" i="161" s="1"/>
  <c r="BG22" i="161"/>
  <c r="BH22" i="161" s="1"/>
  <c r="BG23" i="161"/>
  <c r="BH23" i="161" s="1"/>
  <c r="BG24" i="161"/>
  <c r="BH24" i="161" s="1"/>
  <c r="BG25" i="161"/>
  <c r="BH25" i="161" s="1"/>
  <c r="BG26" i="161"/>
  <c r="BH26" i="161" s="1"/>
  <c r="BG27" i="161"/>
  <c r="BH27" i="161" s="1"/>
  <c r="BG28" i="161"/>
  <c r="BH28" i="161" s="1"/>
  <c r="BG29" i="161"/>
  <c r="BH29" i="161" s="1"/>
  <c r="BG30" i="161"/>
  <c r="BH30" i="161" s="1"/>
  <c r="BG31" i="161"/>
  <c r="BH31" i="161" s="1"/>
  <c r="BG32" i="161"/>
  <c r="BH32" i="161" s="1"/>
  <c r="BG33" i="161"/>
  <c r="BH33" i="161" s="1"/>
  <c r="BG34" i="161"/>
  <c r="BH34" i="161" s="1"/>
  <c r="BG35" i="161"/>
  <c r="BH35" i="161" s="1"/>
  <c r="BG36" i="161"/>
  <c r="BH36" i="161" s="1"/>
  <c r="BG37" i="161"/>
  <c r="BH37" i="161" s="1"/>
  <c r="BG38" i="161"/>
  <c r="BH38" i="161" s="1"/>
  <c r="BG39" i="161"/>
  <c r="BH39" i="161" s="1"/>
  <c r="AW21" i="164"/>
  <c r="AW17" i="164"/>
  <c r="AW27" i="161"/>
  <c r="AW23" i="161"/>
  <c r="AW19" i="161"/>
  <c r="AW15" i="161"/>
  <c r="BR20" i="164"/>
  <c r="BL20" i="164"/>
  <c r="BL21" i="164"/>
  <c r="BR21" i="164"/>
  <c r="BR19" i="164"/>
  <c r="BL19" i="164"/>
  <c r="BL22" i="164"/>
  <c r="BR22" i="164"/>
  <c r="BR18" i="130"/>
  <c r="AC20" i="133"/>
  <c r="AW23" i="163"/>
  <c r="AW19" i="163"/>
  <c r="AW15" i="163"/>
  <c r="BR24" i="163"/>
  <c r="BL24" i="163"/>
  <c r="BR20" i="163"/>
  <c r="BL20" i="163"/>
  <c r="BL16" i="163"/>
  <c r="BR16" i="163"/>
  <c r="BL20" i="161"/>
  <c r="BR20" i="161"/>
  <c r="BR18" i="161"/>
  <c r="BL18" i="161"/>
  <c r="BL34" i="161"/>
  <c r="BR34" i="161"/>
  <c r="BL23" i="161"/>
  <c r="BR23" i="161"/>
  <c r="BL17" i="161"/>
  <c r="BR17" i="161"/>
  <c r="BR15" i="161"/>
  <c r="BL15" i="161"/>
  <c r="BD15" i="161"/>
  <c r="BE15" i="161" s="1"/>
  <c r="BD16" i="161"/>
  <c r="BE16" i="161" s="1"/>
  <c r="BD17" i="161"/>
  <c r="BE17" i="161" s="1"/>
  <c r="BD18" i="161"/>
  <c r="BE18" i="161" s="1"/>
  <c r="BD19" i="161"/>
  <c r="BE19" i="161" s="1"/>
  <c r="BD20" i="161"/>
  <c r="BE20" i="161" s="1"/>
  <c r="BD21" i="161"/>
  <c r="BE21" i="161" s="1"/>
  <c r="BD22" i="161"/>
  <c r="BE22" i="161" s="1"/>
  <c r="BD24" i="161"/>
  <c r="BE24" i="161" s="1"/>
  <c r="BD23" i="161"/>
  <c r="BE23" i="161" s="1"/>
  <c r="BD26" i="161"/>
  <c r="BE26" i="161" s="1"/>
  <c r="BD25" i="161"/>
  <c r="BE25" i="161" s="1"/>
  <c r="BD27" i="161"/>
  <c r="BE27" i="161" s="1"/>
  <c r="BD28" i="161"/>
  <c r="BD29" i="161"/>
  <c r="BE29" i="161" s="1"/>
  <c r="BD30" i="161"/>
  <c r="BE30" i="161" s="1"/>
  <c r="BD31" i="161"/>
  <c r="BE31" i="161" s="1"/>
  <c r="BD32" i="161"/>
  <c r="BE32" i="161" s="1"/>
  <c r="BD33" i="161"/>
  <c r="BE33" i="161" s="1"/>
  <c r="BD34" i="161"/>
  <c r="BE34" i="161" s="1"/>
  <c r="BD35" i="161"/>
  <c r="BE35" i="161" s="1"/>
  <c r="BD36" i="161"/>
  <c r="BE36" i="161" s="1"/>
  <c r="BD37" i="161"/>
  <c r="BE37" i="161" s="1"/>
  <c r="BD38" i="161"/>
  <c r="BE38" i="161" s="1"/>
  <c r="BD39" i="161"/>
  <c r="BE39" i="161" s="1"/>
  <c r="AW24" i="164"/>
  <c r="AW20" i="164"/>
  <c r="BK20" i="164"/>
  <c r="AW16" i="164"/>
  <c r="AW26" i="161"/>
  <c r="AW22" i="161"/>
  <c r="AW18" i="161"/>
  <c r="BR17" i="164"/>
  <c r="BL17" i="164"/>
  <c r="F27" i="156"/>
  <c r="AN15" i="156"/>
  <c r="AO15" i="156" s="1"/>
  <c r="O15" i="156"/>
  <c r="AN16" i="156"/>
  <c r="AO16" i="156" s="1"/>
  <c r="R15" i="156"/>
  <c r="F127" i="156"/>
  <c r="AK15" i="156"/>
  <c r="AK17" i="156"/>
  <c r="AL17" i="156" s="1"/>
  <c r="AK16" i="156"/>
  <c r="AN17" i="156"/>
  <c r="AN18" i="156"/>
  <c r="AO18" i="156" s="1"/>
  <c r="AK18" i="156"/>
  <c r="AN19" i="156"/>
  <c r="AO19" i="156" s="1"/>
  <c r="AK19" i="156"/>
  <c r="AN20" i="156"/>
  <c r="AO20" i="156" s="1"/>
  <c r="AK20" i="156"/>
  <c r="AK21" i="156"/>
  <c r="AN21" i="156"/>
  <c r="AO21" i="156" s="1"/>
  <c r="BR16" i="95"/>
  <c r="W17" i="101"/>
  <c r="AK22" i="156"/>
  <c r="AL22" i="156" s="1"/>
  <c r="AC22" i="156"/>
  <c r="AL16" i="95"/>
  <c r="BH16" i="95"/>
  <c r="BR18" i="129"/>
  <c r="AC18" i="129"/>
  <c r="AO17" i="104"/>
  <c r="AL17" i="106"/>
  <c r="BH17" i="96"/>
  <c r="BE16" i="95"/>
  <c r="AW16" i="95"/>
  <c r="AF18" i="129"/>
  <c r="Z17" i="118"/>
  <c r="L100" i="154"/>
  <c r="L103" i="154" s="1"/>
  <c r="BQ15" i="156"/>
  <c r="BR15" i="156" s="1"/>
  <c r="BQ16" i="156"/>
  <c r="BR16" i="156" s="1"/>
  <c r="BQ17" i="156"/>
  <c r="BR17" i="156" s="1"/>
  <c r="BQ18" i="156"/>
  <c r="BR18" i="156" s="1"/>
  <c r="BQ19" i="156"/>
  <c r="BR19" i="156" s="1"/>
  <c r="BQ20" i="156"/>
  <c r="BR20" i="156" s="1"/>
  <c r="BQ21" i="156"/>
  <c r="BR21" i="156" s="1"/>
  <c r="Z18" i="129"/>
  <c r="Z16" i="95"/>
  <c r="AO18" i="129"/>
  <c r="AL18" i="129"/>
  <c r="AL17" i="104"/>
  <c r="AC17" i="106"/>
  <c r="AF17" i="96"/>
  <c r="L108" i="154"/>
  <c r="L94" i="154"/>
  <c r="L93" i="154"/>
  <c r="L92" i="154"/>
  <c r="L95" i="154"/>
  <c r="H101" i="154"/>
  <c r="T32" i="164"/>
  <c r="Y32" i="164" s="1"/>
  <c r="Z32" i="164" s="1"/>
  <c r="R33" i="164"/>
  <c r="O25" i="164"/>
  <c r="T31" i="163"/>
  <c r="Y31" i="163" s="1"/>
  <c r="Z31" i="163" s="1"/>
  <c r="R32" i="163"/>
  <c r="P23" i="163"/>
  <c r="V23" i="163" s="1"/>
  <c r="W23" i="163" s="1"/>
  <c r="T30" i="161"/>
  <c r="Y30" i="161" s="1"/>
  <c r="R31" i="161"/>
  <c r="O24" i="161"/>
  <c r="Z29" i="161"/>
  <c r="K54" i="161"/>
  <c r="BQ54" i="161" s="1"/>
  <c r="I55" i="161"/>
  <c r="BG53" i="161"/>
  <c r="BH53" i="161" s="1"/>
  <c r="BA53" i="161"/>
  <c r="BB53" i="161" s="1"/>
  <c r="AT53" i="161"/>
  <c r="AN53" i="161"/>
  <c r="AO53" i="161" s="1"/>
  <c r="AH53" i="161"/>
  <c r="AI53" i="161" s="1"/>
  <c r="AB53" i="161"/>
  <c r="AC53" i="161" s="1"/>
  <c r="V53" i="161"/>
  <c r="W53" i="161" s="1"/>
  <c r="O53" i="161"/>
  <c r="BR53" i="161"/>
  <c r="AY53" i="161"/>
  <c r="BD53" i="161"/>
  <c r="BE53" i="161" s="1"/>
  <c r="AQ53" i="161"/>
  <c r="AR53" i="161" s="1"/>
  <c r="AK53" i="161"/>
  <c r="AL53" i="161" s="1"/>
  <c r="AE53" i="161"/>
  <c r="AF53" i="161" s="1"/>
  <c r="Y53" i="161"/>
  <c r="Z53" i="161" s="1"/>
  <c r="R53" i="161"/>
  <c r="T53" i="161" s="1"/>
  <c r="AV53" i="161"/>
  <c r="AW53" i="161" s="1"/>
  <c r="P53" i="161"/>
  <c r="BJ53" i="161"/>
  <c r="BL53" i="161" s="1"/>
  <c r="BN53" i="161"/>
  <c r="BO53" i="161" s="1"/>
  <c r="BK53" i="161"/>
  <c r="M53" i="161"/>
  <c r="R18" i="118"/>
  <c r="O23" i="152"/>
  <c r="P23" i="152" s="1"/>
  <c r="V23" i="152" s="1"/>
  <c r="W23" i="152" s="1"/>
  <c r="AF16" i="13"/>
  <c r="AL17" i="118"/>
  <c r="AL18" i="114"/>
  <c r="K18" i="95"/>
  <c r="BN17" i="95"/>
  <c r="BO17" i="95" s="1"/>
  <c r="AK17" i="95"/>
  <c r="AH17" i="95"/>
  <c r="BL17" i="95"/>
  <c r="M17" i="95"/>
  <c r="BR17" i="95" s="1"/>
  <c r="AB17" i="95"/>
  <c r="BG17" i="95"/>
  <c r="AT17" i="95"/>
  <c r="BD17" i="95" s="1"/>
  <c r="AE17" i="95"/>
  <c r="AN17" i="95"/>
  <c r="R17" i="95"/>
  <c r="T17" i="95" s="1"/>
  <c r="Y17" i="95" s="1"/>
  <c r="AV17" i="95"/>
  <c r="BA18" i="129"/>
  <c r="BB18" i="129" s="1"/>
  <c r="BG18" i="129"/>
  <c r="BH18" i="129" s="1"/>
  <c r="AF17" i="104"/>
  <c r="BB17" i="104"/>
  <c r="BD17" i="106"/>
  <c r="BE17" i="106" s="1"/>
  <c r="AV17" i="106"/>
  <c r="AW17" i="106" s="1"/>
  <c r="AO20" i="133"/>
  <c r="AF20" i="133"/>
  <c r="BB19" i="135"/>
  <c r="AF18" i="63"/>
  <c r="AL17" i="101"/>
  <c r="AL17" i="112"/>
  <c r="I25" i="156"/>
  <c r="K24" i="156"/>
  <c r="BJ18" i="106"/>
  <c r="AH18" i="106"/>
  <c r="AK18" i="106"/>
  <c r="AB18" i="106"/>
  <c r="AT18" i="106"/>
  <c r="AV18" i="106" s="1"/>
  <c r="M18" i="106"/>
  <c r="AN18" i="106"/>
  <c r="AE18" i="106"/>
  <c r="AY18" i="106"/>
  <c r="BG18" i="106" s="1"/>
  <c r="R18" i="106"/>
  <c r="T18" i="106" s="1"/>
  <c r="Y18" i="106" s="1"/>
  <c r="BQ18" i="106"/>
  <c r="AI17" i="104"/>
  <c r="AQ17" i="104"/>
  <c r="AR17" i="104" s="1"/>
  <c r="AF17" i="106"/>
  <c r="BG17" i="104"/>
  <c r="BH17" i="104" s="1"/>
  <c r="AI18" i="98"/>
  <c r="AO17" i="112"/>
  <c r="AO22" i="156"/>
  <c r="AH23" i="156"/>
  <c r="AN23" i="156"/>
  <c r="AB23" i="156"/>
  <c r="BQ23" i="156"/>
  <c r="AK23" i="156"/>
  <c r="BL23" i="156"/>
  <c r="BN23" i="156"/>
  <c r="BO23" i="156" s="1"/>
  <c r="M23" i="156"/>
  <c r="AE23" i="156"/>
  <c r="AO16" i="95"/>
  <c r="AC16" i="95"/>
  <c r="AO17" i="126"/>
  <c r="I20" i="106"/>
  <c r="K19" i="106"/>
  <c r="BD17" i="104"/>
  <c r="BE17" i="104" s="1"/>
  <c r="AV17" i="104"/>
  <c r="AW17" i="104" s="1"/>
  <c r="AL17" i="96"/>
  <c r="AI17" i="96"/>
  <c r="AQ17" i="96"/>
  <c r="AR17" i="96" s="1"/>
  <c r="AO18" i="63"/>
  <c r="AC17" i="112"/>
  <c r="AK18" i="112"/>
  <c r="BJ18" i="112"/>
  <c r="M18" i="112"/>
  <c r="BR18" i="112" s="1"/>
  <c r="AH18" i="112"/>
  <c r="R18" i="112"/>
  <c r="T18" i="112" s="1"/>
  <c r="Y18" i="112" s="1"/>
  <c r="K19" i="112"/>
  <c r="AN18" i="112"/>
  <c r="AE18" i="112"/>
  <c r="AY18" i="112"/>
  <c r="BA18" i="112" s="1"/>
  <c r="BB18" i="112" s="1"/>
  <c r="AT18" i="112"/>
  <c r="AV18" i="112" s="1"/>
  <c r="AB18" i="112"/>
  <c r="AQ16" i="95"/>
  <c r="AR16" i="95" s="1"/>
  <c r="AI16" i="95"/>
  <c r="AF16" i="95"/>
  <c r="BJ18" i="104"/>
  <c r="M18" i="104"/>
  <c r="AT18" i="104"/>
  <c r="AV18" i="104" s="1"/>
  <c r="AN18" i="104"/>
  <c r="AE18" i="104"/>
  <c r="AH18" i="104"/>
  <c r="AB18" i="104"/>
  <c r="AK18" i="104"/>
  <c r="AY18" i="104"/>
  <c r="BG18" i="104" s="1"/>
  <c r="K19" i="104"/>
  <c r="BQ18" i="104"/>
  <c r="AO17" i="106"/>
  <c r="AO17" i="96"/>
  <c r="AL20" i="133"/>
  <c r="AL20" i="136"/>
  <c r="AI17" i="112"/>
  <c r="AQ17" i="112"/>
  <c r="AR17" i="112" s="1"/>
  <c r="AI22" i="156"/>
  <c r="AI18" i="129"/>
  <c r="AQ18" i="129"/>
  <c r="AR18" i="129" s="1"/>
  <c r="AL17" i="126"/>
  <c r="AQ17" i="126"/>
  <c r="AR17" i="126" s="1"/>
  <c r="AI17" i="106"/>
  <c r="AQ17" i="106"/>
  <c r="AR17" i="106" s="1"/>
  <c r="BQ21" i="133"/>
  <c r="AB21" i="133"/>
  <c r="AK21" i="133"/>
  <c r="AN21" i="133"/>
  <c r="AH21" i="133"/>
  <c r="AE21" i="133"/>
  <c r="BN21" i="133"/>
  <c r="BO21" i="133" s="1"/>
  <c r="V21" i="133"/>
  <c r="BL21" i="133"/>
  <c r="M21" i="133"/>
  <c r="K22" i="133"/>
  <c r="BB17" i="95"/>
  <c r="AV18" i="129"/>
  <c r="AW18" i="129" s="1"/>
  <c r="BD18" i="129"/>
  <c r="BE18" i="129" s="1"/>
  <c r="K20" i="129"/>
  <c r="BN19" i="129"/>
  <c r="BO19" i="129" s="1"/>
  <c r="M19" i="129"/>
  <c r="Z19" i="129" s="1"/>
  <c r="AB19" i="129"/>
  <c r="BQ19" i="129"/>
  <c r="AK19" i="129"/>
  <c r="AE19" i="129"/>
  <c r="BL19" i="129"/>
  <c r="AH19" i="129"/>
  <c r="AN19" i="129"/>
  <c r="AT19" i="129"/>
  <c r="AV19" i="129" s="1"/>
  <c r="AY19" i="129"/>
  <c r="BA19" i="129" s="1"/>
  <c r="AC17" i="104"/>
  <c r="AQ20" i="133"/>
  <c r="AR20" i="133" s="1"/>
  <c r="AI20" i="133"/>
  <c r="O18" i="64"/>
  <c r="P18" i="64" s="1"/>
  <c r="V18" i="64" s="1"/>
  <c r="W18" i="64" s="1"/>
  <c r="BG15" i="15"/>
  <c r="BH15" i="15" s="1"/>
  <c r="O17" i="132"/>
  <c r="P17" i="132" s="1"/>
  <c r="V17" i="132" s="1"/>
  <c r="W17" i="132" s="1"/>
  <c r="O17" i="124"/>
  <c r="P17" i="124" s="1"/>
  <c r="V17" i="124" s="1"/>
  <c r="W17" i="124" s="1"/>
  <c r="W16" i="17"/>
  <c r="R19" i="110"/>
  <c r="T19" i="110" s="1"/>
  <c r="Y19" i="110" s="1"/>
  <c r="W20" i="150"/>
  <c r="R19" i="115"/>
  <c r="T19" i="115" s="1"/>
  <c r="Y19" i="115" s="1"/>
  <c r="BG15" i="133"/>
  <c r="BH15" i="133" s="1"/>
  <c r="BA15" i="133"/>
  <c r="BB15" i="133" s="1"/>
  <c r="BG16" i="133"/>
  <c r="BH16" i="133" s="1"/>
  <c r="BA16" i="133"/>
  <c r="BB16" i="133" s="1"/>
  <c r="BA16" i="15"/>
  <c r="BB16" i="15" s="1"/>
  <c r="BG16" i="15"/>
  <c r="BH16" i="15" s="1"/>
  <c r="BA15" i="13"/>
  <c r="BB15" i="13" s="1"/>
  <c r="BG15" i="13"/>
  <c r="BH15" i="13" s="1"/>
  <c r="BA15" i="130"/>
  <c r="BB15" i="130" s="1"/>
  <c r="BG15" i="130"/>
  <c r="BH15" i="130" s="1"/>
  <c r="BA16" i="136"/>
  <c r="BB16" i="136" s="1"/>
  <c r="BG16" i="136"/>
  <c r="BH16" i="136" s="1"/>
  <c r="BA16" i="130"/>
  <c r="BB16" i="130" s="1"/>
  <c r="BG16" i="130"/>
  <c r="BH16" i="130" s="1"/>
  <c r="BA15" i="136"/>
  <c r="BB15" i="136" s="1"/>
  <c r="BG15" i="136"/>
  <c r="BH15" i="136" s="1"/>
  <c r="A21" i="7"/>
  <c r="AY17" i="153" s="1"/>
  <c r="AY16" i="156"/>
  <c r="AY16" i="152"/>
  <c r="AY16" i="153"/>
  <c r="AY16" i="155"/>
  <c r="BA16" i="155" s="1"/>
  <c r="BB16" i="155" s="1"/>
  <c r="AY17" i="152"/>
  <c r="AY16" i="150"/>
  <c r="AI18" i="130"/>
  <c r="AQ18" i="130"/>
  <c r="AR18" i="130" s="1"/>
  <c r="BQ19" i="130"/>
  <c r="AN19" i="130"/>
  <c r="AB19" i="130"/>
  <c r="AH19" i="130"/>
  <c r="AK19" i="130"/>
  <c r="AE19" i="130"/>
  <c r="K20" i="130"/>
  <c r="BL19" i="130"/>
  <c r="BN19" i="130"/>
  <c r="BO19" i="130" s="1"/>
  <c r="M19" i="130"/>
  <c r="W16" i="66"/>
  <c r="AW20" i="146"/>
  <c r="BE16" i="146"/>
  <c r="BK16" i="146"/>
  <c r="BE15" i="146"/>
  <c r="BK15" i="146"/>
  <c r="F134" i="155"/>
  <c r="H100" i="154" s="1"/>
  <c r="F21" i="155"/>
  <c r="F117" i="155" s="1"/>
  <c r="AK24" i="155" s="1"/>
  <c r="AI20" i="105"/>
  <c r="BB20" i="105"/>
  <c r="BE21" i="147"/>
  <c r="Z18" i="63"/>
  <c r="BR16" i="17"/>
  <c r="AF16" i="17"/>
  <c r="BB16" i="17"/>
  <c r="Z20" i="150"/>
  <c r="BE17" i="146"/>
  <c r="BK17" i="146"/>
  <c r="BG15" i="155"/>
  <c r="BH15" i="155" s="1"/>
  <c r="O17" i="104"/>
  <c r="P17" i="104" s="1"/>
  <c r="V17" i="104" s="1"/>
  <c r="W17" i="104" s="1"/>
  <c r="R18" i="96"/>
  <c r="T18" i="96" s="1"/>
  <c r="Y18" i="96" s="1"/>
  <c r="Z18" i="96" s="1"/>
  <c r="AI23" i="155"/>
  <c r="O17" i="115"/>
  <c r="P17" i="115" s="1"/>
  <c r="V17" i="115" s="1"/>
  <c r="W17" i="115" s="1"/>
  <c r="T16" i="99"/>
  <c r="Y16" i="99" s="1"/>
  <c r="BK16" i="99" s="1"/>
  <c r="BL22" i="124"/>
  <c r="R20" i="146"/>
  <c r="T20" i="146" s="1"/>
  <c r="Y20" i="146" s="1"/>
  <c r="Z20" i="146" s="1"/>
  <c r="O17" i="110"/>
  <c r="P17" i="110" s="1"/>
  <c r="V17" i="110" s="1"/>
  <c r="AQ23" i="153"/>
  <c r="AR23" i="153" s="1"/>
  <c r="BG19" i="124"/>
  <c r="BH19" i="124" s="1"/>
  <c r="BG17" i="124"/>
  <c r="BH17" i="124" s="1"/>
  <c r="BG20" i="124"/>
  <c r="BH20" i="124" s="1"/>
  <c r="T19" i="130"/>
  <c r="Y19" i="130" s="1"/>
  <c r="BG16" i="124"/>
  <c r="BH16" i="124" s="1"/>
  <c r="BK16" i="104"/>
  <c r="AF23" i="155"/>
  <c r="O18" i="96"/>
  <c r="P18" i="96" s="1"/>
  <c r="Z23" i="152"/>
  <c r="AL23" i="152"/>
  <c r="W23" i="153"/>
  <c r="AO23" i="152"/>
  <c r="Z23" i="153"/>
  <c r="AF23" i="152"/>
  <c r="AC23" i="152"/>
  <c r="O19" i="151"/>
  <c r="AC23" i="155"/>
  <c r="M24" i="155"/>
  <c r="BN24" i="155"/>
  <c r="BO24" i="155" s="1"/>
  <c r="AE24" i="155"/>
  <c r="BL24" i="155"/>
  <c r="AH24" i="155"/>
  <c r="AB24" i="155"/>
  <c r="I26" i="155"/>
  <c r="K25" i="155"/>
  <c r="A13" i="58"/>
  <c r="AC23" i="153"/>
  <c r="I29" i="153"/>
  <c r="BN24" i="153"/>
  <c r="BO24" i="153" s="1"/>
  <c r="R24" i="153"/>
  <c r="T24" i="153" s="1"/>
  <c r="Y24" i="153" s="1"/>
  <c r="AE24" i="153"/>
  <c r="AK24" i="153"/>
  <c r="M24" i="153"/>
  <c r="BQ24" i="153"/>
  <c r="AB24" i="153"/>
  <c r="BL24" i="153"/>
  <c r="AH24" i="153"/>
  <c r="AN24" i="153"/>
  <c r="O24" i="153"/>
  <c r="P24" i="153" s="1"/>
  <c r="V24" i="153" s="1"/>
  <c r="K25" i="153"/>
  <c r="BR23" i="153"/>
  <c r="AO23" i="153"/>
  <c r="AL23" i="153"/>
  <c r="AF23" i="153"/>
  <c r="AI23" i="153"/>
  <c r="R21" i="151"/>
  <c r="T21" i="151" s="1"/>
  <c r="Y21" i="151" s="1"/>
  <c r="Z21" i="151" s="1"/>
  <c r="BG15" i="124"/>
  <c r="BH15" i="124" s="1"/>
  <c r="BR21" i="124"/>
  <c r="R22" i="149"/>
  <c r="T22" i="149" s="1"/>
  <c r="Y22" i="149" s="1"/>
  <c r="Z22" i="149" s="1"/>
  <c r="AQ23" i="152"/>
  <c r="AR23" i="152" s="1"/>
  <c r="AB24" i="152"/>
  <c r="AH24" i="152"/>
  <c r="AN24" i="152"/>
  <c r="BN24" i="152"/>
  <c r="BO24" i="152" s="1"/>
  <c r="R24" i="152"/>
  <c r="T24" i="152" s="1"/>
  <c r="Y24" i="152" s="1"/>
  <c r="AE24" i="152"/>
  <c r="AK24" i="152"/>
  <c r="BQ24" i="152"/>
  <c r="M24" i="152"/>
  <c r="BL24" i="152"/>
  <c r="K25" i="152"/>
  <c r="BR23" i="152"/>
  <c r="AI23" i="152"/>
  <c r="I33" i="152"/>
  <c r="BG18" i="124"/>
  <c r="BH18" i="124" s="1"/>
  <c r="AC18" i="96"/>
  <c r="Z18" i="110"/>
  <c r="BR18" i="96"/>
  <c r="BH17" i="118"/>
  <c r="AO18" i="96"/>
  <c r="BH18" i="63"/>
  <c r="AL18" i="63"/>
  <c r="AF19" i="64"/>
  <c r="BR20" i="136"/>
  <c r="AO20" i="136"/>
  <c r="AF20" i="146"/>
  <c r="AO22" i="149"/>
  <c r="AO21" i="151"/>
  <c r="AL21" i="151"/>
  <c r="BB18" i="96"/>
  <c r="AW18" i="96"/>
  <c r="AF20" i="150"/>
  <c r="AF21" i="151"/>
  <c r="AW18" i="63"/>
  <c r="Z18" i="114"/>
  <c r="AO19" i="64"/>
  <c r="BH20" i="146"/>
  <c r="BR21" i="151"/>
  <c r="O17" i="133"/>
  <c r="P17" i="133" s="1"/>
  <c r="V17" i="133" s="1"/>
  <c r="W17" i="133" s="1"/>
  <c r="T18" i="115"/>
  <c r="Y18" i="115" s="1"/>
  <c r="Z18" i="115" s="1"/>
  <c r="R21" i="147"/>
  <c r="T21" i="147" s="1"/>
  <c r="Y21" i="147" s="1"/>
  <c r="Z21" i="147" s="1"/>
  <c r="BK15" i="107"/>
  <c r="R21" i="133"/>
  <c r="BD20" i="105"/>
  <c r="BE20" i="105" s="1"/>
  <c r="BK15" i="104"/>
  <c r="BL18" i="124"/>
  <c r="BG19" i="135"/>
  <c r="BH19" i="135" s="1"/>
  <c r="R19" i="64"/>
  <c r="T19" i="64" s="1"/>
  <c r="Y19" i="64" s="1"/>
  <c r="Z19" i="64" s="1"/>
  <c r="O17" i="66"/>
  <c r="P17" i="66" s="1"/>
  <c r="BL21" i="147"/>
  <c r="AQ21" i="151"/>
  <c r="AR21" i="151" s="1"/>
  <c r="BG18" i="114"/>
  <c r="BH18" i="114" s="1"/>
  <c r="T19" i="133"/>
  <c r="Y19" i="133" s="1"/>
  <c r="Z19" i="133" s="1"/>
  <c r="AQ20" i="150"/>
  <c r="AR20" i="150" s="1"/>
  <c r="BK16" i="106"/>
  <c r="BK15" i="126"/>
  <c r="BG16" i="17"/>
  <c r="BH16" i="17" s="1"/>
  <c r="BA19" i="64"/>
  <c r="BB19" i="64" s="1"/>
  <c r="K23" i="151"/>
  <c r="I24" i="151"/>
  <c r="AC21" i="151"/>
  <c r="BQ22" i="151"/>
  <c r="AK22" i="151"/>
  <c r="AE22" i="151"/>
  <c r="AN22" i="151"/>
  <c r="AH22" i="151"/>
  <c r="AB22" i="151"/>
  <c r="M22" i="151"/>
  <c r="BN22" i="151"/>
  <c r="BO22" i="151" s="1"/>
  <c r="BL22" i="151"/>
  <c r="AI21" i="151"/>
  <c r="AL20" i="150"/>
  <c r="BR20" i="150"/>
  <c r="AI20" i="150"/>
  <c r="AO20" i="150"/>
  <c r="I25" i="150"/>
  <c r="AN21" i="150"/>
  <c r="AH21" i="150"/>
  <c r="AB21" i="150"/>
  <c r="O21" i="150"/>
  <c r="P21" i="150" s="1"/>
  <c r="V21" i="150" s="1"/>
  <c r="BQ21" i="150"/>
  <c r="AK21" i="150"/>
  <c r="AE21" i="150"/>
  <c r="R21" i="150"/>
  <c r="T21" i="150" s="1"/>
  <c r="Y21" i="150" s="1"/>
  <c r="BN21" i="150"/>
  <c r="BO21" i="150" s="1"/>
  <c r="M21" i="150"/>
  <c r="BL21" i="150"/>
  <c r="K22" i="150"/>
  <c r="AC20" i="150"/>
  <c r="BK15" i="106"/>
  <c r="BR20" i="124"/>
  <c r="AF16" i="120"/>
  <c r="BK16" i="107"/>
  <c r="BD17" i="118"/>
  <c r="BE17" i="118" s="1"/>
  <c r="BL17" i="124"/>
  <c r="V19" i="149"/>
  <c r="AC22" i="149"/>
  <c r="AI22" i="149"/>
  <c r="AF22" i="149"/>
  <c r="AL22" i="149"/>
  <c r="K24" i="149"/>
  <c r="I25" i="149"/>
  <c r="AQ22" i="149"/>
  <c r="AR22" i="149" s="1"/>
  <c r="BQ23" i="149"/>
  <c r="AK23" i="149"/>
  <c r="AE23" i="149"/>
  <c r="AN23" i="149"/>
  <c r="AB23" i="149"/>
  <c r="BL23" i="149"/>
  <c r="AH23" i="149"/>
  <c r="M23" i="149"/>
  <c r="BN23" i="149"/>
  <c r="BO23" i="149" s="1"/>
  <c r="BR22" i="149"/>
  <c r="BA17" i="118"/>
  <c r="BB17" i="118" s="1"/>
  <c r="BK17" i="115"/>
  <c r="BB16" i="13"/>
  <c r="AF17" i="118"/>
  <c r="AC17" i="118"/>
  <c r="BR21" i="147"/>
  <c r="W16" i="13"/>
  <c r="AC18" i="63"/>
  <c r="AF18" i="114"/>
  <c r="AC18" i="114"/>
  <c r="BD18" i="98"/>
  <c r="BE18" i="98" s="1"/>
  <c r="BA18" i="126"/>
  <c r="BB18" i="126" s="1"/>
  <c r="AQ18" i="63"/>
  <c r="AR18" i="63" s="1"/>
  <c r="BG21" i="147"/>
  <c r="BH21" i="147" s="1"/>
  <c r="BR15" i="124"/>
  <c r="BL15" i="124"/>
  <c r="AQ20" i="105"/>
  <c r="AR20" i="105" s="1"/>
  <c r="R18" i="105"/>
  <c r="T18" i="105" s="1"/>
  <c r="Y18" i="105" s="1"/>
  <c r="O17" i="13"/>
  <c r="P17" i="13" s="1"/>
  <c r="BG20" i="105"/>
  <c r="BH20" i="105" s="1"/>
  <c r="BR22" i="124"/>
  <c r="BR16" i="124"/>
  <c r="BL16" i="124"/>
  <c r="AV19" i="64"/>
  <c r="AW19" i="64" s="1"/>
  <c r="AV21" i="147"/>
  <c r="AW21" i="147" s="1"/>
  <c r="BK16" i="126"/>
  <c r="AI21" i="147"/>
  <c r="AC21" i="147"/>
  <c r="K23" i="147"/>
  <c r="AH23" i="147" s="1"/>
  <c r="I24" i="147"/>
  <c r="BK20" i="147"/>
  <c r="V18" i="147"/>
  <c r="BQ22" i="147"/>
  <c r="AY22" i="147"/>
  <c r="BG22" i="147" s="1"/>
  <c r="AE22" i="147"/>
  <c r="AB22" i="147"/>
  <c r="AT22" i="147"/>
  <c r="BD22" i="147" s="1"/>
  <c r="BJ22" i="147"/>
  <c r="M22" i="147"/>
  <c r="BB21" i="147"/>
  <c r="AF21" i="147"/>
  <c r="BL20" i="146"/>
  <c r="BD20" i="146"/>
  <c r="BE20" i="146" s="1"/>
  <c r="I23" i="146"/>
  <c r="K22" i="146"/>
  <c r="AH22" i="146" s="1"/>
  <c r="AT21" i="146"/>
  <c r="AV21" i="146" s="1"/>
  <c r="AB21" i="146"/>
  <c r="BQ21" i="146"/>
  <c r="AY21" i="146"/>
  <c r="BG21" i="146" s="1"/>
  <c r="AE21" i="146"/>
  <c r="M21" i="146"/>
  <c r="BJ21" i="146"/>
  <c r="AC20" i="146"/>
  <c r="BA20" i="146"/>
  <c r="BB20" i="146" s="1"/>
  <c r="BK19" i="146"/>
  <c r="BR20" i="146"/>
  <c r="AI20" i="146"/>
  <c r="V17" i="146"/>
  <c r="AF18" i="110"/>
  <c r="BG18" i="115"/>
  <c r="BH18" i="115" s="1"/>
  <c r="AC16" i="66"/>
  <c r="BL18" i="115"/>
  <c r="AQ18" i="115"/>
  <c r="AR18" i="115" s="1"/>
  <c r="AC18" i="110"/>
  <c r="AL18" i="98"/>
  <c r="AW18" i="98"/>
  <c r="AO17" i="101"/>
  <c r="AL16" i="17"/>
  <c r="AC20" i="136"/>
  <c r="AC22" i="124"/>
  <c r="AQ18" i="98"/>
  <c r="AR18" i="98" s="1"/>
  <c r="AO18" i="98"/>
  <c r="AF18" i="98"/>
  <c r="AO18" i="126"/>
  <c r="BA18" i="63"/>
  <c r="BB18" i="63" s="1"/>
  <c r="AF17" i="101"/>
  <c r="BR17" i="101"/>
  <c r="AO16" i="17"/>
  <c r="AC16" i="17"/>
  <c r="AF20" i="136"/>
  <c r="AL18" i="115"/>
  <c r="AC18" i="98"/>
  <c r="AQ19" i="135"/>
  <c r="AR19" i="135" s="1"/>
  <c r="AF18" i="96"/>
  <c r="BH18" i="96"/>
  <c r="AC18" i="126"/>
  <c r="AL18" i="126"/>
  <c r="AI18" i="63"/>
  <c r="AC17" i="101"/>
  <c r="AF18" i="115"/>
  <c r="I19" i="17"/>
  <c r="K18" i="17"/>
  <c r="AC16" i="120"/>
  <c r="BR16" i="120"/>
  <c r="AI16" i="120"/>
  <c r="AQ16" i="120"/>
  <c r="AR16" i="120" s="1"/>
  <c r="AF17" i="15"/>
  <c r="AI17" i="15"/>
  <c r="AQ17" i="15"/>
  <c r="AR17" i="15" s="1"/>
  <c r="BR16" i="13"/>
  <c r="AC16" i="13"/>
  <c r="I22" i="135"/>
  <c r="K21" i="135"/>
  <c r="AO17" i="118"/>
  <c r="AI17" i="118"/>
  <c r="AQ17" i="118"/>
  <c r="AR17" i="118" s="1"/>
  <c r="AI18" i="110"/>
  <c r="AQ18" i="110"/>
  <c r="AR18" i="110" s="1"/>
  <c r="I25" i="136"/>
  <c r="K20" i="96"/>
  <c r="I21" i="96"/>
  <c r="BL17" i="13"/>
  <c r="M17" i="13"/>
  <c r="BN17" i="13"/>
  <c r="BO17" i="13" s="1"/>
  <c r="AY17" i="13"/>
  <c r="BA17" i="13" s="1"/>
  <c r="AK17" i="13"/>
  <c r="AH17" i="13"/>
  <c r="BQ17" i="13"/>
  <c r="AB17" i="13"/>
  <c r="AE17" i="13"/>
  <c r="AN17" i="13"/>
  <c r="R17" i="13"/>
  <c r="T17" i="13" s="1"/>
  <c r="Y17" i="13" s="1"/>
  <c r="AO19" i="135"/>
  <c r="AF19" i="135"/>
  <c r="I20" i="101"/>
  <c r="K19" i="101"/>
  <c r="AH19" i="101" s="1"/>
  <c r="BA16" i="66"/>
  <c r="BB16" i="66" s="1"/>
  <c r="BG16" i="66"/>
  <c r="BH16" i="66" s="1"/>
  <c r="BH18" i="126"/>
  <c r="AF18" i="126"/>
  <c r="M19" i="63"/>
  <c r="BN19" i="63"/>
  <c r="BO19" i="63" s="1"/>
  <c r="BL19" i="63"/>
  <c r="AN19" i="63"/>
  <c r="AB19" i="63"/>
  <c r="AH19" i="63"/>
  <c r="AK19" i="63"/>
  <c r="AY19" i="63"/>
  <c r="BG19" i="63" s="1"/>
  <c r="AE19" i="63"/>
  <c r="K20" i="63"/>
  <c r="AT19" i="63"/>
  <c r="AV19" i="63" s="1"/>
  <c r="BQ19" i="63"/>
  <c r="BR18" i="114"/>
  <c r="BB18" i="114"/>
  <c r="BL18" i="114"/>
  <c r="AL19" i="64"/>
  <c r="BR19" i="64"/>
  <c r="M20" i="64"/>
  <c r="BN20" i="64"/>
  <c r="BO20" i="64" s="1"/>
  <c r="BL20" i="64"/>
  <c r="K21" i="64"/>
  <c r="AY20" i="64"/>
  <c r="BA20" i="64" s="1"/>
  <c r="BQ20" i="64"/>
  <c r="AK20" i="64"/>
  <c r="AE20" i="64"/>
  <c r="AH20" i="64"/>
  <c r="AN20" i="64"/>
  <c r="AB20" i="64"/>
  <c r="BH19" i="64"/>
  <c r="AW20" i="105"/>
  <c r="BG17" i="101"/>
  <c r="BH17" i="101" s="1"/>
  <c r="BA17" i="101"/>
  <c r="BB17" i="101" s="1"/>
  <c r="I24" i="126"/>
  <c r="I19" i="66"/>
  <c r="K18" i="66"/>
  <c r="AI20" i="136"/>
  <c r="AQ20" i="136"/>
  <c r="AR20" i="136" s="1"/>
  <c r="BA22" i="124"/>
  <c r="BB22" i="124" s="1"/>
  <c r="BG22" i="124"/>
  <c r="BH22" i="124" s="1"/>
  <c r="M19" i="110"/>
  <c r="BR19" i="110" s="1"/>
  <c r="BJ19" i="110"/>
  <c r="BL19" i="110" s="1"/>
  <c r="AE19" i="110"/>
  <c r="AY19" i="110"/>
  <c r="BA19" i="110" s="1"/>
  <c r="AN19" i="110"/>
  <c r="AB19" i="110"/>
  <c r="AK19" i="110"/>
  <c r="AH19" i="110"/>
  <c r="AT19" i="110"/>
  <c r="AV19" i="110" s="1"/>
  <c r="AV18" i="115"/>
  <c r="AW18" i="115" s="1"/>
  <c r="BD18" i="115"/>
  <c r="BE18" i="115" s="1"/>
  <c r="AQ16" i="13"/>
  <c r="AR16" i="13" s="1"/>
  <c r="AI16" i="13"/>
  <c r="T17" i="98"/>
  <c r="Y17" i="98" s="1"/>
  <c r="R18" i="98"/>
  <c r="I75" i="99"/>
  <c r="K18" i="13"/>
  <c r="I19" i="13"/>
  <c r="R17" i="66"/>
  <c r="T17" i="66" s="1"/>
  <c r="Y17" i="66" s="1"/>
  <c r="T16" i="66"/>
  <c r="Y16" i="66" s="1"/>
  <c r="Z16" i="66" s="1"/>
  <c r="AI18" i="126"/>
  <c r="AQ18" i="126"/>
  <c r="AR18" i="126" s="1"/>
  <c r="I24" i="63"/>
  <c r="AV18" i="114"/>
  <c r="AW18" i="114" s="1"/>
  <c r="BD18" i="114"/>
  <c r="BE18" i="114" s="1"/>
  <c r="AQ19" i="64"/>
  <c r="AR19" i="64" s="1"/>
  <c r="AI19" i="64"/>
  <c r="AI17" i="101"/>
  <c r="AQ17" i="101"/>
  <c r="AR17" i="101" s="1"/>
  <c r="I26" i="105"/>
  <c r="M19" i="115"/>
  <c r="AH19" i="115"/>
  <c r="AT19" i="115"/>
  <c r="BD19" i="115" s="1"/>
  <c r="AY19" i="115"/>
  <c r="BG19" i="115" s="1"/>
  <c r="AE19" i="115"/>
  <c r="AN19" i="115"/>
  <c r="AB19" i="115"/>
  <c r="BJ19" i="115"/>
  <c r="AK19" i="115"/>
  <c r="BQ19" i="115"/>
  <c r="I34" i="133"/>
  <c r="M17" i="66"/>
  <c r="BN17" i="66"/>
  <c r="BO17" i="66" s="1"/>
  <c r="BL17" i="66"/>
  <c r="AY17" i="66"/>
  <c r="BG17" i="66" s="1"/>
  <c r="AT17" i="66"/>
  <c r="AV17" i="66" s="1"/>
  <c r="AE17" i="66"/>
  <c r="AB17" i="66"/>
  <c r="AN17" i="66"/>
  <c r="AK17" i="66"/>
  <c r="AH17" i="66"/>
  <c r="BQ17" i="66"/>
  <c r="BD22" i="124"/>
  <c r="BE22" i="124" s="1"/>
  <c r="AV22" i="124"/>
  <c r="AW22" i="124" s="1"/>
  <c r="K24" i="124"/>
  <c r="AH24" i="124" s="1"/>
  <c r="M23" i="124"/>
  <c r="BJ23" i="124"/>
  <c r="AT23" i="124"/>
  <c r="BD23" i="124" s="1"/>
  <c r="AB23" i="124"/>
  <c r="AE23" i="124"/>
  <c r="AY23" i="124"/>
  <c r="BA23" i="124" s="1"/>
  <c r="BQ23" i="124"/>
  <c r="I21" i="110"/>
  <c r="K20" i="110"/>
  <c r="BD18" i="63"/>
  <c r="BE18" i="63" s="1"/>
  <c r="BR18" i="115"/>
  <c r="AC18" i="115"/>
  <c r="BB18" i="115"/>
  <c r="I26" i="132"/>
  <c r="Z16" i="120"/>
  <c r="K18" i="120"/>
  <c r="AE17" i="120"/>
  <c r="AB17" i="120"/>
  <c r="AH17" i="120"/>
  <c r="AY17" i="120"/>
  <c r="BA17" i="120" s="1"/>
  <c r="M17" i="120"/>
  <c r="BQ17" i="120"/>
  <c r="AK17" i="120"/>
  <c r="AN17" i="120"/>
  <c r="R17" i="120"/>
  <c r="T17" i="120" s="1"/>
  <c r="Y17" i="120" s="1"/>
  <c r="BR17" i="15"/>
  <c r="AO17" i="15"/>
  <c r="I23" i="104"/>
  <c r="AL16" i="13"/>
  <c r="AO16" i="13"/>
  <c r="M18" i="118"/>
  <c r="K19" i="118"/>
  <c r="AH18" i="118"/>
  <c r="AE18" i="118"/>
  <c r="AT18" i="118"/>
  <c r="BD18" i="118" s="1"/>
  <c r="AY18" i="118"/>
  <c r="BG18" i="118" s="1"/>
  <c r="AB18" i="118"/>
  <c r="AN18" i="118"/>
  <c r="AK18" i="118"/>
  <c r="BQ18" i="118"/>
  <c r="AO18" i="110"/>
  <c r="AL18" i="110"/>
  <c r="AC19" i="135"/>
  <c r="R18" i="126"/>
  <c r="T18" i="126" s="1"/>
  <c r="Y18" i="126" s="1"/>
  <c r="T17" i="126"/>
  <c r="Y17" i="126" s="1"/>
  <c r="AF16" i="66"/>
  <c r="AI16" i="66"/>
  <c r="AQ16" i="66"/>
  <c r="AR16" i="66" s="1"/>
  <c r="BD16" i="66"/>
  <c r="BE16" i="66" s="1"/>
  <c r="AV16" i="66"/>
  <c r="AW16" i="66" s="1"/>
  <c r="AV18" i="126"/>
  <c r="AW18" i="126" s="1"/>
  <c r="BD18" i="126"/>
  <c r="BE18" i="126" s="1"/>
  <c r="BJ19" i="126"/>
  <c r="BL19" i="126" s="1"/>
  <c r="K20" i="126"/>
  <c r="AH23" i="126" s="1"/>
  <c r="AT19" i="126"/>
  <c r="AV19" i="126" s="1"/>
  <c r="AY19" i="126"/>
  <c r="BA19" i="126" s="1"/>
  <c r="AB19" i="126"/>
  <c r="AK19" i="126"/>
  <c r="M19" i="126"/>
  <c r="BR19" i="126" s="1"/>
  <c r="AN19" i="126"/>
  <c r="AE19" i="126"/>
  <c r="AI18" i="114"/>
  <c r="AQ18" i="114"/>
  <c r="AO18" i="114"/>
  <c r="BJ19" i="114"/>
  <c r="K20" i="114"/>
  <c r="AT19" i="114"/>
  <c r="BD19" i="114" s="1"/>
  <c r="AE19" i="114"/>
  <c r="AN19" i="114"/>
  <c r="AB19" i="114"/>
  <c r="AK19" i="114"/>
  <c r="AY19" i="114"/>
  <c r="AH19" i="114"/>
  <c r="M19" i="114"/>
  <c r="BQ19" i="114"/>
  <c r="R19" i="114"/>
  <c r="T19" i="114" s="1"/>
  <c r="Y19" i="114" s="1"/>
  <c r="AC19" i="64"/>
  <c r="BE19" i="64"/>
  <c r="I23" i="15"/>
  <c r="M21" i="105"/>
  <c r="BJ21" i="105"/>
  <c r="AT21" i="105"/>
  <c r="BD21" i="105" s="1"/>
  <c r="AE21" i="105"/>
  <c r="AB21" i="105"/>
  <c r="AY21" i="105"/>
  <c r="BG21" i="105" s="1"/>
  <c r="K22" i="105"/>
  <c r="AH21" i="105"/>
  <c r="AN21" i="105"/>
  <c r="AK21" i="105"/>
  <c r="BQ21" i="105"/>
  <c r="AC20" i="105"/>
  <c r="AV17" i="101"/>
  <c r="AW17" i="101" s="1"/>
  <c r="BD17" i="101"/>
  <c r="BE17" i="101" s="1"/>
  <c r="I21" i="115"/>
  <c r="K20" i="115"/>
  <c r="AI16" i="17"/>
  <c r="AQ16" i="17"/>
  <c r="AR16" i="17" s="1"/>
  <c r="M21" i="136"/>
  <c r="BN21" i="136"/>
  <c r="BO21" i="136" s="1"/>
  <c r="BL21" i="136"/>
  <c r="AK21" i="136"/>
  <c r="AN21" i="136"/>
  <c r="AE21" i="136"/>
  <c r="BQ21" i="136"/>
  <c r="AH21" i="136"/>
  <c r="AB21" i="136"/>
  <c r="K22" i="136"/>
  <c r="AI22" i="124"/>
  <c r="AF22" i="124"/>
  <c r="Z19" i="135"/>
  <c r="BL17" i="17"/>
  <c r="BN17" i="17"/>
  <c r="BO17" i="17" s="1"/>
  <c r="AN17" i="17"/>
  <c r="AK17" i="17"/>
  <c r="M17" i="17"/>
  <c r="AY17" i="17"/>
  <c r="AH17" i="17"/>
  <c r="AB17" i="17"/>
  <c r="AE17" i="17"/>
  <c r="BQ17" i="17"/>
  <c r="O17" i="17"/>
  <c r="P17" i="17" s="1"/>
  <c r="V17" i="17" s="1"/>
  <c r="AL16" i="120"/>
  <c r="BG16" i="120"/>
  <c r="BH16" i="120" s="1"/>
  <c r="BA16" i="120"/>
  <c r="BB16" i="120" s="1"/>
  <c r="I25" i="114"/>
  <c r="BA18" i="98"/>
  <c r="BB18" i="98" s="1"/>
  <c r="BG18" i="98"/>
  <c r="BH18" i="98" s="1"/>
  <c r="K20" i="98"/>
  <c r="M19" i="98"/>
  <c r="AB19" i="98"/>
  <c r="AE19" i="98"/>
  <c r="AY19" i="98"/>
  <c r="BA19" i="98" s="1"/>
  <c r="AT19" i="98"/>
  <c r="BD19" i="98" s="1"/>
  <c r="AH19" i="98"/>
  <c r="AK19" i="98"/>
  <c r="AN19" i="98"/>
  <c r="BJ19" i="98"/>
  <c r="BQ19" i="98"/>
  <c r="AC17" i="15"/>
  <c r="BL18" i="15"/>
  <c r="BN18" i="15"/>
  <c r="BO18" i="15" s="1"/>
  <c r="AB18" i="15"/>
  <c r="K19" i="15"/>
  <c r="R19" i="15" s="1"/>
  <c r="M18" i="15"/>
  <c r="AH18" i="15"/>
  <c r="AN18" i="15"/>
  <c r="AK18" i="15"/>
  <c r="AE18" i="15"/>
  <c r="BQ18" i="15"/>
  <c r="BG16" i="13"/>
  <c r="BH16" i="13" s="1"/>
  <c r="M20" i="135"/>
  <c r="AH20" i="135"/>
  <c r="AN20" i="135"/>
  <c r="AK20" i="135"/>
  <c r="AE20" i="135"/>
  <c r="BN20" i="135"/>
  <c r="BO20" i="135" s="1"/>
  <c r="AB20" i="135"/>
  <c r="AY20" i="135"/>
  <c r="BG20" i="135" s="1"/>
  <c r="BL20" i="135"/>
  <c r="BQ20" i="135"/>
  <c r="I25" i="64"/>
  <c r="BR19" i="135"/>
  <c r="BL19" i="96"/>
  <c r="M19" i="96"/>
  <c r="BB19" i="96" s="1"/>
  <c r="BN19" i="96"/>
  <c r="BO19" i="96" s="1"/>
  <c r="AT19" i="96"/>
  <c r="BD19" i="96" s="1"/>
  <c r="AK19" i="96"/>
  <c r="AB19" i="96"/>
  <c r="AH19" i="96"/>
  <c r="AE19" i="96"/>
  <c r="AN19" i="96"/>
  <c r="BG19" i="96"/>
  <c r="BQ19" i="96"/>
  <c r="AI19" i="135"/>
  <c r="M18" i="101"/>
  <c r="AI18" i="101" s="1"/>
  <c r="AN18" i="101"/>
  <c r="BQ18" i="101"/>
  <c r="AB18" i="101"/>
  <c r="AY18" i="101"/>
  <c r="BA18" i="101" s="1"/>
  <c r="AE18" i="101"/>
  <c r="AT18" i="101"/>
  <c r="BD18" i="101" s="1"/>
  <c r="AK18" i="101"/>
  <c r="AI18" i="96"/>
  <c r="AQ18" i="96"/>
  <c r="AR18" i="96" s="1"/>
  <c r="R18" i="101"/>
  <c r="T18" i="101" s="1"/>
  <c r="Y18" i="101" s="1"/>
  <c r="T17" i="101"/>
  <c r="Y17" i="101" s="1"/>
  <c r="Z17" i="101" s="1"/>
  <c r="R17" i="17"/>
  <c r="T17" i="17" s="1"/>
  <c r="Y17" i="17" s="1"/>
  <c r="T16" i="17"/>
  <c r="Y16" i="17" s="1"/>
  <c r="Z16" i="17" s="1"/>
  <c r="I28" i="95"/>
  <c r="R20" i="135"/>
  <c r="T20" i="135" s="1"/>
  <c r="Y20" i="135" s="1"/>
  <c r="BL18" i="126"/>
  <c r="BR18" i="126"/>
  <c r="BL17" i="126"/>
  <c r="BR17" i="126"/>
  <c r="BR16" i="126"/>
  <c r="BL16" i="126"/>
  <c r="BR15" i="126"/>
  <c r="BL15" i="126"/>
  <c r="O18" i="114"/>
  <c r="P18" i="114" s="1"/>
  <c r="BK16" i="98"/>
  <c r="O17" i="95"/>
  <c r="W16" i="95"/>
  <c r="BH15" i="115"/>
  <c r="BK15" i="115"/>
  <c r="BH16" i="115"/>
  <c r="BK16" i="115"/>
  <c r="BK15" i="114"/>
  <c r="BK17" i="114"/>
  <c r="BK16" i="114"/>
  <c r="BK17" i="105"/>
  <c r="O18" i="101"/>
  <c r="P18" i="101" s="1"/>
  <c r="V18" i="101" s="1"/>
  <c r="BD17" i="96"/>
  <c r="BE17" i="96" s="1"/>
  <c r="BD15" i="96"/>
  <c r="BE15" i="96" s="1"/>
  <c r="BD18" i="96"/>
  <c r="BE18" i="96" s="1"/>
  <c r="BD16" i="96"/>
  <c r="BE16" i="96" s="1"/>
  <c r="R19" i="104"/>
  <c r="T18" i="104"/>
  <c r="Y18" i="104" s="1"/>
  <c r="Z17" i="104"/>
  <c r="T18" i="15"/>
  <c r="Y18" i="15" s="1"/>
  <c r="R19" i="136"/>
  <c r="T18" i="136"/>
  <c r="Y18" i="136" s="1"/>
  <c r="Z18" i="136" s="1"/>
  <c r="T20" i="124"/>
  <c r="Y20" i="124" s="1"/>
  <c r="R21" i="124"/>
  <c r="V16" i="98"/>
  <c r="R20" i="63"/>
  <c r="T19" i="63"/>
  <c r="Y19" i="63" s="1"/>
  <c r="T20" i="132"/>
  <c r="Y20" i="132" s="1"/>
  <c r="Z20" i="132" s="1"/>
  <c r="R21" i="132"/>
  <c r="W17" i="106"/>
  <c r="O18" i="106"/>
  <c r="AW17" i="112"/>
  <c r="Z15" i="105"/>
  <c r="BK15" i="105"/>
  <c r="V15" i="105"/>
  <c r="BD16" i="112"/>
  <c r="BE16" i="112" s="1"/>
  <c r="BD17" i="112"/>
  <c r="BE17" i="112" s="1"/>
  <c r="BD15" i="112"/>
  <c r="BE15" i="112" s="1"/>
  <c r="V16" i="107"/>
  <c r="BR16" i="112"/>
  <c r="BL16" i="112"/>
  <c r="BK15" i="99"/>
  <c r="BK16" i="105"/>
  <c r="AW15" i="110"/>
  <c r="AW17" i="110"/>
  <c r="W16" i="130"/>
  <c r="O17" i="130"/>
  <c r="BD17" i="110"/>
  <c r="BE17" i="110" s="1"/>
  <c r="BD16" i="110"/>
  <c r="BE16" i="110" s="1"/>
  <c r="BD15" i="110"/>
  <c r="BE15" i="110" s="1"/>
  <c r="BD18" i="110"/>
  <c r="BE18" i="110" s="1"/>
  <c r="BR17" i="110"/>
  <c r="BL17" i="110"/>
  <c r="BR15" i="112"/>
  <c r="BL15" i="112"/>
  <c r="BL18" i="112"/>
  <c r="BR16" i="110"/>
  <c r="BL16" i="110"/>
  <c r="BL15" i="110"/>
  <c r="BR15" i="110"/>
  <c r="BL18" i="110"/>
  <c r="BR18" i="110"/>
  <c r="W15" i="99"/>
  <c r="AW16" i="110"/>
  <c r="W17" i="129"/>
  <c r="O18" i="129"/>
  <c r="BG15" i="110"/>
  <c r="BH15" i="110" s="1"/>
  <c r="BG16" i="110"/>
  <c r="BH16" i="110" s="1"/>
  <c r="BG17" i="110"/>
  <c r="BH17" i="110" s="1"/>
  <c r="BG18" i="110"/>
  <c r="BH18" i="110" s="1"/>
  <c r="R19" i="107"/>
  <c r="T18" i="107"/>
  <c r="Y18" i="107" s="1"/>
  <c r="T17" i="99"/>
  <c r="Y17" i="99" s="1"/>
  <c r="R18" i="99"/>
  <c r="BR17" i="112"/>
  <c r="BL17" i="112"/>
  <c r="P17" i="126"/>
  <c r="AW16" i="112"/>
  <c r="AW15" i="112"/>
  <c r="AW18" i="110"/>
  <c r="BG15" i="112"/>
  <c r="BH15" i="112" s="1"/>
  <c r="BG17" i="112"/>
  <c r="BH17" i="112" s="1"/>
  <c r="BG16" i="112"/>
  <c r="BH16" i="112" s="1"/>
  <c r="Z17" i="107"/>
  <c r="BK17" i="107"/>
  <c r="P16" i="120"/>
  <c r="V16" i="118"/>
  <c r="P16" i="136"/>
  <c r="P16" i="112"/>
  <c r="P17" i="15"/>
  <c r="V16" i="63"/>
  <c r="P16" i="135"/>
  <c r="BH117" i="163"/>
  <c r="BE117" i="164"/>
  <c r="BE117" i="163"/>
  <c r="BH117" i="164"/>
  <c r="AO17" i="13" l="1"/>
  <c r="AO20" i="99"/>
  <c r="BE18" i="118"/>
  <c r="AC20" i="99"/>
  <c r="AL18" i="101"/>
  <c r="AL19" i="115"/>
  <c r="Z19" i="63"/>
  <c r="AI20" i="132"/>
  <c r="AW18" i="112"/>
  <c r="AL20" i="99"/>
  <c r="BR20" i="99"/>
  <c r="AF21" i="107"/>
  <c r="BH19" i="96"/>
  <c r="AI21" i="107"/>
  <c r="AF20" i="99"/>
  <c r="BE19" i="98"/>
  <c r="AI17" i="13"/>
  <c r="BR22" i="107"/>
  <c r="AL21" i="107"/>
  <c r="BB21" i="107"/>
  <c r="AL22" i="107"/>
  <c r="AC20" i="132"/>
  <c r="BB20" i="132"/>
  <c r="AO21" i="107"/>
  <c r="BE21" i="107"/>
  <c r="BG20" i="132"/>
  <c r="BH20" i="132" s="1"/>
  <c r="AQ20" i="99"/>
  <c r="AR20" i="99" s="1"/>
  <c r="AI20" i="99"/>
  <c r="BA20" i="99"/>
  <c r="BB20" i="99" s="1"/>
  <c r="BG20" i="99"/>
  <c r="BH20" i="99" s="1"/>
  <c r="AQ22" i="107"/>
  <c r="AR22" i="107" s="1"/>
  <c r="AI22" i="107"/>
  <c r="AC22" i="107"/>
  <c r="AQ21" i="107"/>
  <c r="AR21" i="107" s="1"/>
  <c r="AF17" i="17"/>
  <c r="AC21" i="105"/>
  <c r="AF19" i="129"/>
  <c r="Z18" i="106"/>
  <c r="BJ23" i="107"/>
  <c r="AB23" i="107"/>
  <c r="AE23" i="107"/>
  <c r="AN23" i="107"/>
  <c r="AY23" i="107"/>
  <c r="AH23" i="107"/>
  <c r="AT23" i="107"/>
  <c r="M23" i="107"/>
  <c r="BQ23" i="107"/>
  <c r="AK23" i="107"/>
  <c r="BQ21" i="99"/>
  <c r="AB21" i="99"/>
  <c r="M21" i="99"/>
  <c r="BR21" i="99" s="1"/>
  <c r="BJ21" i="99"/>
  <c r="BL21" i="99" s="1"/>
  <c r="AH21" i="99"/>
  <c r="K22" i="99"/>
  <c r="AT21" i="99"/>
  <c r="AK21" i="99"/>
  <c r="AY21" i="99"/>
  <c r="AE21" i="99"/>
  <c r="AN21" i="99"/>
  <c r="BH22" i="107"/>
  <c r="AF22" i="107"/>
  <c r="AQ20" i="132"/>
  <c r="AR20" i="132" s="1"/>
  <c r="AO20" i="132"/>
  <c r="BG21" i="107"/>
  <c r="BH21" i="107" s="1"/>
  <c r="BB19" i="129"/>
  <c r="R19" i="118"/>
  <c r="R20" i="118" s="1"/>
  <c r="I25" i="107"/>
  <c r="K24" i="107"/>
  <c r="AV20" i="99"/>
  <c r="AW20" i="99" s="1"/>
  <c r="BD20" i="99"/>
  <c r="BE20" i="99" s="1"/>
  <c r="BL22" i="107"/>
  <c r="AV21" i="107"/>
  <c r="AW21" i="107" s="1"/>
  <c r="AO21" i="105"/>
  <c r="Z19" i="130"/>
  <c r="AW19" i="129"/>
  <c r="BB22" i="107"/>
  <c r="AV22" i="107"/>
  <c r="AW22" i="107" s="1"/>
  <c r="BQ21" i="132"/>
  <c r="M21" i="132"/>
  <c r="AY21" i="132"/>
  <c r="K22" i="132"/>
  <c r="AH21" i="132"/>
  <c r="BL21" i="132"/>
  <c r="AB21" i="132"/>
  <c r="AE21" i="132"/>
  <c r="AF21" i="132" s="1"/>
  <c r="AN21" i="132"/>
  <c r="V21" i="132"/>
  <c r="BN21" i="132"/>
  <c r="BO21" i="132" s="1"/>
  <c r="AK21" i="132"/>
  <c r="AF20" i="132"/>
  <c r="AC21" i="107"/>
  <c r="AW17" i="66"/>
  <c r="R22" i="133"/>
  <c r="AI18" i="104"/>
  <c r="BK22" i="161"/>
  <c r="BK16" i="163"/>
  <c r="AO22" i="107"/>
  <c r="BE22" i="107"/>
  <c r="AL20" i="132"/>
  <c r="BR21" i="107"/>
  <c r="BK16" i="164"/>
  <c r="BK24" i="164"/>
  <c r="T18" i="118"/>
  <c r="Y18" i="118" s="1"/>
  <c r="Z18" i="118" s="1"/>
  <c r="AQ22" i="156"/>
  <c r="AR22" i="156" s="1"/>
  <c r="BK15" i="163"/>
  <c r="BK21" i="164"/>
  <c r="BK19" i="163"/>
  <c r="BK24" i="163"/>
  <c r="BK23" i="163"/>
  <c r="BK17" i="164"/>
  <c r="BK29" i="161"/>
  <c r="BK18" i="161"/>
  <c r="BK26" i="161"/>
  <c r="AW116" i="163"/>
  <c r="BK20" i="163"/>
  <c r="AC18" i="104"/>
  <c r="BR23" i="156"/>
  <c r="BE28" i="161"/>
  <c r="BK28" i="161"/>
  <c r="BK16" i="161"/>
  <c r="BK24" i="161"/>
  <c r="BE116" i="164"/>
  <c r="BK17" i="161"/>
  <c r="BK25" i="161"/>
  <c r="BK19" i="164"/>
  <c r="BE116" i="163"/>
  <c r="BL116" i="163"/>
  <c r="BK18" i="163"/>
  <c r="BK19" i="161"/>
  <c r="BK27" i="161"/>
  <c r="BK22" i="164"/>
  <c r="BK17" i="163"/>
  <c r="BR116" i="163"/>
  <c r="F103" i="163" s="1"/>
  <c r="F99" i="163" s="1"/>
  <c r="AI21" i="136"/>
  <c r="AO19" i="129"/>
  <c r="AL19" i="129"/>
  <c r="BL116" i="164"/>
  <c r="BK20" i="161"/>
  <c r="BK21" i="161"/>
  <c r="BK15" i="164"/>
  <c r="BK23" i="164"/>
  <c r="BK22" i="163"/>
  <c r="BE19" i="96"/>
  <c r="Z19" i="114"/>
  <c r="AI19" i="129"/>
  <c r="BR19" i="129"/>
  <c r="BK15" i="161"/>
  <c r="BK23" i="161"/>
  <c r="BH116" i="164"/>
  <c r="BR116" i="164"/>
  <c r="F104" i="164" s="1"/>
  <c r="F100" i="164" s="1"/>
  <c r="BK18" i="164"/>
  <c r="BH116" i="163"/>
  <c r="BK21" i="163"/>
  <c r="AW116" i="164"/>
  <c r="AL18" i="15"/>
  <c r="AC23" i="156"/>
  <c r="BH18" i="106"/>
  <c r="AW18" i="106"/>
  <c r="AW17" i="95"/>
  <c r="BE17" i="95"/>
  <c r="L111" i="154"/>
  <c r="L110" i="154"/>
  <c r="L109" i="154"/>
  <c r="AQ15" i="156"/>
  <c r="AR15" i="156" s="1"/>
  <c r="AL15" i="156"/>
  <c r="P15" i="156"/>
  <c r="BD18" i="104"/>
  <c r="BE18" i="104" s="1"/>
  <c r="AL19" i="156"/>
  <c r="AQ19" i="156"/>
  <c r="AR19" i="156" s="1"/>
  <c r="BK17" i="104"/>
  <c r="AC19" i="129"/>
  <c r="AC18" i="106"/>
  <c r="Z17" i="95"/>
  <c r="BH17" i="95"/>
  <c r="L96" i="154"/>
  <c r="AL18" i="156"/>
  <c r="AQ18" i="156"/>
  <c r="AR18" i="156" s="1"/>
  <c r="AQ17" i="156"/>
  <c r="AR17" i="156" s="1"/>
  <c r="AO17" i="156"/>
  <c r="AF20" i="135"/>
  <c r="AQ20" i="156"/>
  <c r="AR20" i="156" s="1"/>
  <c r="AL20" i="156"/>
  <c r="BG18" i="112"/>
  <c r="BH18" i="112" s="1"/>
  <c r="BG19" i="129"/>
  <c r="BH19" i="129" s="1"/>
  <c r="AL18" i="104"/>
  <c r="AF23" i="156"/>
  <c r="AL23" i="156"/>
  <c r="BR18" i="106"/>
  <c r="AO18" i="106"/>
  <c r="AO17" i="95"/>
  <c r="AQ21" i="156"/>
  <c r="AR21" i="156" s="1"/>
  <c r="AL21" i="156"/>
  <c r="AL16" i="156"/>
  <c r="AQ16" i="156"/>
  <c r="AR16" i="156" s="1"/>
  <c r="R16" i="156"/>
  <c r="T15" i="156"/>
  <c r="Y15" i="156" s="1"/>
  <c r="Z15" i="156" s="1"/>
  <c r="O19" i="64"/>
  <c r="P19" i="64" s="1"/>
  <c r="V19" i="64" s="1"/>
  <c r="H108" i="154"/>
  <c r="H92" i="154"/>
  <c r="H93" i="154"/>
  <c r="H94" i="154"/>
  <c r="H95" i="154"/>
  <c r="H103" i="154"/>
  <c r="BD18" i="112"/>
  <c r="BE18" i="112" s="1"/>
  <c r="O24" i="163"/>
  <c r="P24" i="163" s="1"/>
  <c r="V24" i="163" s="1"/>
  <c r="W24" i="163" s="1"/>
  <c r="P25" i="164"/>
  <c r="V25" i="164" s="1"/>
  <c r="W25" i="164" s="1"/>
  <c r="T33" i="164"/>
  <c r="Y33" i="164" s="1"/>
  <c r="Z33" i="164" s="1"/>
  <c r="R34" i="164"/>
  <c r="T32" i="163"/>
  <c r="Y32" i="163" s="1"/>
  <c r="Z32" i="163" s="1"/>
  <c r="R33" i="163"/>
  <c r="P24" i="161"/>
  <c r="V24" i="161" s="1"/>
  <c r="W24" i="161" s="1"/>
  <c r="T31" i="161"/>
  <c r="Y31" i="161" s="1"/>
  <c r="R32" i="161"/>
  <c r="Z30" i="161"/>
  <c r="BK30" i="161"/>
  <c r="K55" i="161"/>
  <c r="BQ55" i="161" s="1"/>
  <c r="I56" i="161"/>
  <c r="BG54" i="161"/>
  <c r="BH54" i="161" s="1"/>
  <c r="BA54" i="161"/>
  <c r="BB54" i="161" s="1"/>
  <c r="AT54" i="161"/>
  <c r="AN54" i="161"/>
  <c r="AO54" i="161" s="1"/>
  <c r="AH54" i="161"/>
  <c r="AI54" i="161" s="1"/>
  <c r="AB54" i="161"/>
  <c r="AC54" i="161" s="1"/>
  <c r="V54" i="161"/>
  <c r="W54" i="161" s="1"/>
  <c r="O54" i="161"/>
  <c r="BR54" i="161"/>
  <c r="AY54" i="161"/>
  <c r="BD54" i="161"/>
  <c r="BE54" i="161" s="1"/>
  <c r="AQ54" i="161"/>
  <c r="AR54" i="161" s="1"/>
  <c r="AK54" i="161"/>
  <c r="AL54" i="161" s="1"/>
  <c r="AE54" i="161"/>
  <c r="AF54" i="161" s="1"/>
  <c r="Y54" i="161"/>
  <c r="Z54" i="161" s="1"/>
  <c r="R54" i="161"/>
  <c r="T54" i="161" s="1"/>
  <c r="P54" i="161"/>
  <c r="AV54" i="161"/>
  <c r="AW54" i="161" s="1"/>
  <c r="BJ54" i="161"/>
  <c r="BL54" i="161" s="1"/>
  <c r="BK54" i="161"/>
  <c r="BN54" i="161"/>
  <c r="BO54" i="161" s="1"/>
  <c r="M54" i="161"/>
  <c r="BD19" i="129"/>
  <c r="BE19" i="129" s="1"/>
  <c r="BK17" i="106"/>
  <c r="BD18" i="106"/>
  <c r="BE18" i="106" s="1"/>
  <c r="O24" i="152"/>
  <c r="P24" i="152" s="1"/>
  <c r="V24" i="152" s="1"/>
  <c r="W24" i="152" s="1"/>
  <c r="BN20" i="129"/>
  <c r="BO20" i="129" s="1"/>
  <c r="M20" i="129"/>
  <c r="BQ20" i="129"/>
  <c r="AK20" i="129"/>
  <c r="BL20" i="129"/>
  <c r="AE20" i="129"/>
  <c r="K21" i="129"/>
  <c r="AN20" i="129"/>
  <c r="AH20" i="129"/>
  <c r="AB20" i="129"/>
  <c r="AC20" i="129" s="1"/>
  <c r="AY20" i="129"/>
  <c r="BA20" i="129" s="1"/>
  <c r="R20" i="129"/>
  <c r="T20" i="129" s="1"/>
  <c r="Y20" i="129" s="1"/>
  <c r="BR21" i="133"/>
  <c r="AQ18" i="104"/>
  <c r="AR18" i="104" s="1"/>
  <c r="AC18" i="112"/>
  <c r="Z18" i="112"/>
  <c r="K25" i="156"/>
  <c r="I26" i="156"/>
  <c r="AC17" i="95"/>
  <c r="BN18" i="95"/>
  <c r="BO18" i="95" s="1"/>
  <c r="K19" i="95"/>
  <c r="BL18" i="95"/>
  <c r="AE18" i="95"/>
  <c r="M18" i="95"/>
  <c r="AN18" i="95"/>
  <c r="AB18" i="95"/>
  <c r="AK18" i="95"/>
  <c r="AL18" i="95" s="1"/>
  <c r="AH18" i="95"/>
  <c r="AT18" i="95"/>
  <c r="AV18" i="95" s="1"/>
  <c r="BG18" i="95"/>
  <c r="BQ18" i="95"/>
  <c r="R18" i="95"/>
  <c r="T18" i="95" s="1"/>
  <c r="Y18" i="95" s="1"/>
  <c r="BA18" i="95"/>
  <c r="BB18" i="95" s="1"/>
  <c r="AY17" i="156"/>
  <c r="BG17" i="156" s="1"/>
  <c r="BH17" i="156" s="1"/>
  <c r="BN22" i="133"/>
  <c r="BO22" i="133" s="1"/>
  <c r="AE22" i="133"/>
  <c r="K23" i="133"/>
  <c r="AB22" i="133"/>
  <c r="V22" i="133"/>
  <c r="AK22" i="133"/>
  <c r="BQ22" i="133"/>
  <c r="AN22" i="133"/>
  <c r="BL22" i="133"/>
  <c r="M22" i="133"/>
  <c r="AH22" i="133"/>
  <c r="AF21" i="133"/>
  <c r="BL18" i="104"/>
  <c r="BR18" i="104"/>
  <c r="AI18" i="112"/>
  <c r="AQ18" i="112"/>
  <c r="AR18" i="112" s="1"/>
  <c r="AQ17" i="95"/>
  <c r="AR17" i="95" s="1"/>
  <c r="AO19" i="110"/>
  <c r="AW19" i="63"/>
  <c r="AC19" i="63"/>
  <c r="AI21" i="133"/>
  <c r="AL18" i="106"/>
  <c r="AO21" i="136"/>
  <c r="AL18" i="118"/>
  <c r="Z19" i="110"/>
  <c r="AQ19" i="129"/>
  <c r="AR19" i="129" s="1"/>
  <c r="AO21" i="133"/>
  <c r="M19" i="104"/>
  <c r="AY19" i="104"/>
  <c r="BG19" i="104" s="1"/>
  <c r="AN19" i="104"/>
  <c r="AT19" i="104"/>
  <c r="AV19" i="104" s="1"/>
  <c r="BJ19" i="104"/>
  <c r="AK19" i="104"/>
  <c r="AE19" i="104"/>
  <c r="AH19" i="104"/>
  <c r="AB19" i="104"/>
  <c r="BQ19" i="104"/>
  <c r="K20" i="104"/>
  <c r="AF18" i="104"/>
  <c r="AF18" i="112"/>
  <c r="AT19" i="106"/>
  <c r="AV19" i="106" s="1"/>
  <c r="BJ19" i="106"/>
  <c r="AK19" i="106"/>
  <c r="AB19" i="106"/>
  <c r="AH19" i="106"/>
  <c r="AN19" i="106"/>
  <c r="AQ19" i="106" s="1"/>
  <c r="AE19" i="106"/>
  <c r="M19" i="106"/>
  <c r="AY19" i="106"/>
  <c r="BA19" i="106" s="1"/>
  <c r="BQ19" i="106"/>
  <c r="R19" i="106"/>
  <c r="T19" i="106" s="1"/>
  <c r="Y19" i="106" s="1"/>
  <c r="BG19" i="106"/>
  <c r="AO23" i="156"/>
  <c r="AQ18" i="106"/>
  <c r="AF18" i="106"/>
  <c r="AI18" i="106"/>
  <c r="AF17" i="95"/>
  <c r="AI17" i="95"/>
  <c r="AC19" i="96"/>
  <c r="AF19" i="115"/>
  <c r="AW19" i="110"/>
  <c r="BB20" i="64"/>
  <c r="AF19" i="63"/>
  <c r="AY17" i="150"/>
  <c r="BG17" i="150" s="1"/>
  <c r="BH17" i="150" s="1"/>
  <c r="AY17" i="155"/>
  <c r="BA17" i="155" s="1"/>
  <c r="BB17" i="155" s="1"/>
  <c r="W21" i="133"/>
  <c r="AL21" i="133"/>
  <c r="BA18" i="104"/>
  <c r="BB18" i="104" s="1"/>
  <c r="AO18" i="104"/>
  <c r="AO18" i="112"/>
  <c r="AL18" i="112"/>
  <c r="I21" i="106"/>
  <c r="K20" i="106"/>
  <c r="AQ23" i="156"/>
  <c r="AR23" i="156" s="1"/>
  <c r="AI23" i="156"/>
  <c r="BL18" i="106"/>
  <c r="AL17" i="95"/>
  <c r="AQ21" i="133"/>
  <c r="AR21" i="133" s="1"/>
  <c r="AC21" i="133"/>
  <c r="BH18" i="104"/>
  <c r="AW18" i="104"/>
  <c r="BJ19" i="112"/>
  <c r="AE19" i="112"/>
  <c r="M19" i="112"/>
  <c r="AY19" i="112"/>
  <c r="K20" i="112"/>
  <c r="AT19" i="112"/>
  <c r="BQ19" i="112"/>
  <c r="AK19" i="112"/>
  <c r="AN19" i="112"/>
  <c r="AH19" i="112"/>
  <c r="R19" i="112"/>
  <c r="T19" i="112" s="1"/>
  <c r="Y19" i="112" s="1"/>
  <c r="AB19" i="112"/>
  <c r="BA18" i="106"/>
  <c r="BB18" i="106" s="1"/>
  <c r="AH24" i="156"/>
  <c r="AN24" i="156"/>
  <c r="AK24" i="156"/>
  <c r="M24" i="156"/>
  <c r="AE24" i="156"/>
  <c r="BQ24" i="156"/>
  <c r="BN24" i="156"/>
  <c r="BO24" i="156" s="1"/>
  <c r="AB24" i="156"/>
  <c r="BL24" i="156"/>
  <c r="R20" i="110"/>
  <c r="T20" i="110" s="1"/>
  <c r="Y20" i="110" s="1"/>
  <c r="O18" i="124"/>
  <c r="P18" i="124" s="1"/>
  <c r="V18" i="124" s="1"/>
  <c r="W18" i="124" s="1"/>
  <c r="AQ19" i="130"/>
  <c r="AR19" i="130" s="1"/>
  <c r="BQ24" i="155"/>
  <c r="BR24" i="155" s="1"/>
  <c r="BG16" i="155"/>
  <c r="BH16" i="155" s="1"/>
  <c r="AL19" i="130"/>
  <c r="F106" i="155"/>
  <c r="AN24" i="155"/>
  <c r="AQ24" i="155" s="1"/>
  <c r="AR24" i="155" s="1"/>
  <c r="R20" i="115"/>
  <c r="O18" i="104"/>
  <c r="P18" i="104" s="1"/>
  <c r="AW21" i="146"/>
  <c r="BE22" i="147"/>
  <c r="AI23" i="149"/>
  <c r="BN20" i="130"/>
  <c r="BO20" i="130" s="1"/>
  <c r="M20" i="130"/>
  <c r="K21" i="130"/>
  <c r="AE20" i="130"/>
  <c r="BL20" i="130"/>
  <c r="AB20" i="130"/>
  <c r="AK20" i="130"/>
  <c r="BQ20" i="130"/>
  <c r="BR20" i="130" s="1"/>
  <c r="AN20" i="130"/>
  <c r="AH20" i="130"/>
  <c r="R20" i="130"/>
  <c r="T20" i="130" s="1"/>
  <c r="Y20" i="130" s="1"/>
  <c r="AF19" i="130"/>
  <c r="AI19" i="130"/>
  <c r="AC19" i="130"/>
  <c r="AO19" i="130"/>
  <c r="BR19" i="130"/>
  <c r="BA16" i="150"/>
  <c r="BB16" i="150" s="1"/>
  <c r="BG16" i="150"/>
  <c r="BH16" i="150" s="1"/>
  <c r="BA16" i="151"/>
  <c r="BB16" i="151" s="1"/>
  <c r="BG16" i="151"/>
  <c r="BH16" i="151" s="1"/>
  <c r="BA17" i="151"/>
  <c r="BB17" i="151" s="1"/>
  <c r="BG17" i="151"/>
  <c r="BH17" i="151" s="1"/>
  <c r="BA17" i="149"/>
  <c r="BB17" i="149" s="1"/>
  <c r="BG17" i="149"/>
  <c r="BH17" i="149" s="1"/>
  <c r="BA16" i="149"/>
  <c r="BB16" i="149" s="1"/>
  <c r="BG16" i="149"/>
  <c r="BH16" i="149" s="1"/>
  <c r="BG17" i="153"/>
  <c r="BH17" i="153" s="1"/>
  <c r="BA17" i="153"/>
  <c r="BB17" i="153" s="1"/>
  <c r="BG17" i="152"/>
  <c r="BH17" i="152" s="1"/>
  <c r="BA17" i="152"/>
  <c r="BB17" i="152" s="1"/>
  <c r="BA16" i="153"/>
  <c r="BB16" i="153" s="1"/>
  <c r="BG16" i="153"/>
  <c r="BH16" i="153" s="1"/>
  <c r="BA16" i="152"/>
  <c r="BB16" i="152" s="1"/>
  <c r="BG16" i="152"/>
  <c r="BH16" i="152" s="1"/>
  <c r="BA16" i="156"/>
  <c r="BB16" i="156" s="1"/>
  <c r="BG16" i="156"/>
  <c r="BH16" i="156" s="1"/>
  <c r="A22" i="7"/>
  <c r="AY17" i="130"/>
  <c r="AY17" i="136"/>
  <c r="AY18" i="136"/>
  <c r="AY17" i="133"/>
  <c r="AY18" i="133"/>
  <c r="AY17" i="15"/>
  <c r="R19" i="96"/>
  <c r="T19" i="96" s="1"/>
  <c r="Y19" i="96" s="1"/>
  <c r="Z19" i="96" s="1"/>
  <c r="Z18" i="15"/>
  <c r="BR19" i="115"/>
  <c r="AO19" i="115"/>
  <c r="AI19" i="115"/>
  <c r="BB23" i="124"/>
  <c r="AF22" i="151"/>
  <c r="AK15" i="155"/>
  <c r="AN16" i="155"/>
  <c r="AO16" i="155" s="1"/>
  <c r="AK16" i="155"/>
  <c r="AK18" i="155"/>
  <c r="AN17" i="155"/>
  <c r="AO17" i="155" s="1"/>
  <c r="O15" i="155"/>
  <c r="AN15" i="155"/>
  <c r="AO15" i="155" s="1"/>
  <c r="R15" i="155"/>
  <c r="AN18" i="155"/>
  <c r="AO18" i="155" s="1"/>
  <c r="F127" i="155"/>
  <c r="F27" i="155"/>
  <c r="AK17" i="155"/>
  <c r="AK19" i="155"/>
  <c r="AN19" i="155"/>
  <c r="AO19" i="155" s="1"/>
  <c r="AK20" i="155"/>
  <c r="AN20" i="155"/>
  <c r="AO20" i="155" s="1"/>
  <c r="AN21" i="155"/>
  <c r="AO21" i="155" s="1"/>
  <c r="AK21" i="155"/>
  <c r="AK22" i="155"/>
  <c r="AN22" i="155"/>
  <c r="AO22" i="155" s="1"/>
  <c r="AK23" i="155"/>
  <c r="AN23" i="155"/>
  <c r="AO23" i="155" s="1"/>
  <c r="BH19" i="115"/>
  <c r="BR21" i="146"/>
  <c r="Z21" i="150"/>
  <c r="AO23" i="149"/>
  <c r="W21" i="150"/>
  <c r="BQ16" i="155"/>
  <c r="BR16" i="155" s="1"/>
  <c r="BQ15" i="155"/>
  <c r="BR15" i="155" s="1"/>
  <c r="BQ17" i="155"/>
  <c r="BR17" i="155" s="1"/>
  <c r="BQ18" i="155"/>
  <c r="BR18" i="155" s="1"/>
  <c r="BQ19" i="155"/>
  <c r="BR19" i="155" s="1"/>
  <c r="BQ20" i="155"/>
  <c r="BR20" i="155" s="1"/>
  <c r="BQ21" i="155"/>
  <c r="BR21" i="155" s="1"/>
  <c r="BQ22" i="155"/>
  <c r="BR22" i="155" s="1"/>
  <c r="BQ23" i="155"/>
  <c r="BR23" i="155" s="1"/>
  <c r="BK15" i="124"/>
  <c r="Z16" i="99"/>
  <c r="O18" i="115"/>
  <c r="P18" i="115" s="1"/>
  <c r="R21" i="146"/>
  <c r="T21" i="146" s="1"/>
  <c r="Y21" i="146" s="1"/>
  <c r="Z21" i="146" s="1"/>
  <c r="BK17" i="124"/>
  <c r="BK19" i="124"/>
  <c r="AV23" i="124"/>
  <c r="AW23" i="124" s="1"/>
  <c r="BK18" i="124"/>
  <c r="BK16" i="124"/>
  <c r="W24" i="153"/>
  <c r="AC24" i="153"/>
  <c r="AF24" i="155"/>
  <c r="AL24" i="155"/>
  <c r="AC24" i="155"/>
  <c r="AI24" i="155"/>
  <c r="P19" i="151"/>
  <c r="V19" i="151" s="1"/>
  <c r="W19" i="151" s="1"/>
  <c r="R22" i="151"/>
  <c r="T22" i="151" s="1"/>
  <c r="Y22" i="151" s="1"/>
  <c r="Z22" i="151" s="1"/>
  <c r="AB25" i="155"/>
  <c r="AH25" i="155"/>
  <c r="AN25" i="155"/>
  <c r="BN25" i="155"/>
  <c r="BO25" i="155" s="1"/>
  <c r="AK25" i="155"/>
  <c r="M25" i="155"/>
  <c r="AE25" i="155"/>
  <c r="BQ25" i="155"/>
  <c r="BL25" i="155"/>
  <c r="K26" i="155"/>
  <c r="I27" i="155"/>
  <c r="A14" i="58"/>
  <c r="AL24" i="152"/>
  <c r="AI24" i="153"/>
  <c r="Z24" i="153"/>
  <c r="AC24" i="152"/>
  <c r="AO24" i="153"/>
  <c r="AL24" i="153"/>
  <c r="BR24" i="153"/>
  <c r="AQ24" i="153"/>
  <c r="AR24" i="153" s="1"/>
  <c r="I30" i="153"/>
  <c r="BN25" i="153"/>
  <c r="BO25" i="153" s="1"/>
  <c r="R25" i="153"/>
  <c r="T25" i="153" s="1"/>
  <c r="Y25" i="153" s="1"/>
  <c r="AE25" i="153"/>
  <c r="AK25" i="153"/>
  <c r="M25" i="153"/>
  <c r="BQ25" i="153"/>
  <c r="AB25" i="153"/>
  <c r="BL25" i="153"/>
  <c r="AN25" i="153"/>
  <c r="O25" i="153"/>
  <c r="P25" i="153" s="1"/>
  <c r="V25" i="153" s="1"/>
  <c r="AH25" i="153"/>
  <c r="K26" i="153"/>
  <c r="AF24" i="153"/>
  <c r="R23" i="149"/>
  <c r="T23" i="149" s="1"/>
  <c r="Y23" i="149" s="1"/>
  <c r="Z23" i="149" s="1"/>
  <c r="R19" i="105"/>
  <c r="T19" i="105" s="1"/>
  <c r="Y19" i="105" s="1"/>
  <c r="BR24" i="152"/>
  <c r="Z24" i="152"/>
  <c r="AF24" i="152"/>
  <c r="AO24" i="152"/>
  <c r="O18" i="133"/>
  <c r="P18" i="133" s="1"/>
  <c r="T21" i="133"/>
  <c r="Y21" i="133" s="1"/>
  <c r="Z21" i="133" s="1"/>
  <c r="R22" i="147"/>
  <c r="T22" i="147" s="1"/>
  <c r="Y22" i="147" s="1"/>
  <c r="Z22" i="147" s="1"/>
  <c r="AQ24" i="152"/>
  <c r="AR24" i="152" s="1"/>
  <c r="AI24" i="152"/>
  <c r="I34" i="152"/>
  <c r="AB25" i="152"/>
  <c r="AH25" i="152"/>
  <c r="AN25" i="152"/>
  <c r="BN25" i="152"/>
  <c r="BO25" i="152" s="1"/>
  <c r="R25" i="152"/>
  <c r="T25" i="152" s="1"/>
  <c r="Y25" i="152" s="1"/>
  <c r="AE25" i="152"/>
  <c r="AK25" i="152"/>
  <c r="M25" i="152"/>
  <c r="BQ25" i="152"/>
  <c r="BL25" i="152"/>
  <c r="K26" i="152"/>
  <c r="AI22" i="147"/>
  <c r="AF21" i="150"/>
  <c r="AO22" i="151"/>
  <c r="AL22" i="151"/>
  <c r="Z20" i="135"/>
  <c r="R20" i="64"/>
  <c r="T20" i="64" s="1"/>
  <c r="Y20" i="64" s="1"/>
  <c r="Z20" i="64" s="1"/>
  <c r="AL19" i="63"/>
  <c r="BR22" i="151"/>
  <c r="BA22" i="147"/>
  <c r="BB22" i="147" s="1"/>
  <c r="AQ21" i="150"/>
  <c r="AR21" i="150" s="1"/>
  <c r="BG18" i="101"/>
  <c r="BH18" i="101" s="1"/>
  <c r="BD19" i="110"/>
  <c r="BE19" i="110" s="1"/>
  <c r="AI22" i="151"/>
  <c r="K24" i="151"/>
  <c r="I25" i="151"/>
  <c r="AC22" i="151"/>
  <c r="AQ22" i="151"/>
  <c r="AR22" i="151" s="1"/>
  <c r="BQ23" i="151"/>
  <c r="AK23" i="151"/>
  <c r="AE23" i="151"/>
  <c r="AN23" i="151"/>
  <c r="AH23" i="151"/>
  <c r="AB23" i="151"/>
  <c r="BN23" i="151"/>
  <c r="BO23" i="151" s="1"/>
  <c r="M23" i="151"/>
  <c r="BL23" i="151"/>
  <c r="AO21" i="150"/>
  <c r="I26" i="150"/>
  <c r="AN22" i="150"/>
  <c r="AH22" i="150"/>
  <c r="AB22" i="150"/>
  <c r="O22" i="150"/>
  <c r="P22" i="150" s="1"/>
  <c r="V22" i="150" s="1"/>
  <c r="BQ22" i="150"/>
  <c r="AK22" i="150"/>
  <c r="AE22" i="150"/>
  <c r="R22" i="150"/>
  <c r="T22" i="150" s="1"/>
  <c r="Y22" i="150" s="1"/>
  <c r="BN22" i="150"/>
  <c r="BO22" i="150" s="1"/>
  <c r="M22" i="150"/>
  <c r="BL22" i="150"/>
  <c r="K23" i="150"/>
  <c r="AC21" i="150"/>
  <c r="AL21" i="150"/>
  <c r="BR21" i="150"/>
  <c r="AI21" i="150"/>
  <c r="W19" i="149"/>
  <c r="O20" i="149"/>
  <c r="AL23" i="149"/>
  <c r="BQ24" i="149"/>
  <c r="AK24" i="149"/>
  <c r="AE24" i="149"/>
  <c r="AH24" i="149"/>
  <c r="BL24" i="149"/>
  <c r="AN24" i="149"/>
  <c r="AB24" i="149"/>
  <c r="BN24" i="149"/>
  <c r="BO24" i="149" s="1"/>
  <c r="M24" i="149"/>
  <c r="AC23" i="149"/>
  <c r="AF23" i="149"/>
  <c r="AQ23" i="149"/>
  <c r="AR23" i="149" s="1"/>
  <c r="BR23" i="149"/>
  <c r="I26" i="149"/>
  <c r="K25" i="149"/>
  <c r="AF18" i="101"/>
  <c r="BR18" i="101"/>
  <c r="BE19" i="115"/>
  <c r="AC20" i="64"/>
  <c r="AF20" i="64"/>
  <c r="BH22" i="147"/>
  <c r="BH21" i="146"/>
  <c r="AF22" i="147"/>
  <c r="AV19" i="96"/>
  <c r="AW19" i="96" s="1"/>
  <c r="AV21" i="105"/>
  <c r="AW21" i="105" s="1"/>
  <c r="BK18" i="115"/>
  <c r="BL22" i="147"/>
  <c r="AV19" i="115"/>
  <c r="AW19" i="115" s="1"/>
  <c r="BG19" i="110"/>
  <c r="BH19" i="110" s="1"/>
  <c r="BK21" i="147"/>
  <c r="BR22" i="147"/>
  <c r="AC22" i="147"/>
  <c r="K24" i="147"/>
  <c r="AH24" i="147" s="1"/>
  <c r="I25" i="147"/>
  <c r="AV22" i="147"/>
  <c r="AW22" i="147" s="1"/>
  <c r="W18" i="147"/>
  <c r="O19" i="147"/>
  <c r="BQ23" i="147"/>
  <c r="AY23" i="147"/>
  <c r="BG23" i="147" s="1"/>
  <c r="AE23" i="147"/>
  <c r="AB23" i="147"/>
  <c r="AT23" i="147"/>
  <c r="BD23" i="147" s="1"/>
  <c r="BJ23" i="147"/>
  <c r="M23" i="147"/>
  <c r="BK20" i="146"/>
  <c r="BL21" i="146"/>
  <c r="BD21" i="146"/>
  <c r="BE21" i="146" s="1"/>
  <c r="AC21" i="146"/>
  <c r="BA21" i="146"/>
  <c r="BB21" i="146" s="1"/>
  <c r="AT22" i="146"/>
  <c r="BD22" i="146" s="1"/>
  <c r="AB22" i="146"/>
  <c r="BQ22" i="146"/>
  <c r="AY22" i="146"/>
  <c r="BA22" i="146" s="1"/>
  <c r="AE22" i="146"/>
  <c r="M22" i="146"/>
  <c r="BJ22" i="146"/>
  <c r="AF21" i="146"/>
  <c r="AI21" i="146"/>
  <c r="K23" i="146"/>
  <c r="AH23" i="146" s="1"/>
  <c r="I24" i="146"/>
  <c r="W17" i="146"/>
  <c r="O18" i="146"/>
  <c r="BH20" i="135"/>
  <c r="AO18" i="118"/>
  <c r="AV18" i="101"/>
  <c r="AW18" i="101" s="1"/>
  <c r="BR19" i="98"/>
  <c r="BR18" i="118"/>
  <c r="BH18" i="118"/>
  <c r="BL21" i="105"/>
  <c r="AL19" i="98"/>
  <c r="AF19" i="98"/>
  <c r="BG17" i="120"/>
  <c r="BH17" i="120" s="1"/>
  <c r="AQ17" i="120"/>
  <c r="AR17" i="120" s="1"/>
  <c r="AQ20" i="64"/>
  <c r="AR20" i="64" s="1"/>
  <c r="AL20" i="135"/>
  <c r="Z17" i="17"/>
  <c r="BE18" i="101"/>
  <c r="AC18" i="101"/>
  <c r="AO19" i="96"/>
  <c r="AL19" i="96"/>
  <c r="AV19" i="98"/>
  <c r="AW19" i="98" s="1"/>
  <c r="AI19" i="98"/>
  <c r="AC19" i="98"/>
  <c r="AI19" i="114"/>
  <c r="AO19" i="114"/>
  <c r="BG23" i="124"/>
  <c r="BH23" i="124" s="1"/>
  <c r="AI23" i="124"/>
  <c r="AC23" i="124"/>
  <c r="AI19" i="63"/>
  <c r="BB19" i="126"/>
  <c r="AF23" i="124"/>
  <c r="BE23" i="124"/>
  <c r="BD19" i="63"/>
  <c r="BE19" i="63" s="1"/>
  <c r="Z18" i="101"/>
  <c r="BB18" i="101"/>
  <c r="AO18" i="101"/>
  <c r="AI19" i="96"/>
  <c r="BA20" i="135"/>
  <c r="BB20" i="135" s="1"/>
  <c r="AO19" i="98"/>
  <c r="BB19" i="98"/>
  <c r="AQ21" i="136"/>
  <c r="AR21" i="136" s="1"/>
  <c r="BR19" i="114"/>
  <c r="AL19" i="114"/>
  <c r="BE19" i="114"/>
  <c r="BG19" i="126"/>
  <c r="BH19" i="126" s="1"/>
  <c r="AC18" i="118"/>
  <c r="AI18" i="118"/>
  <c r="BR19" i="63"/>
  <c r="BH19" i="63"/>
  <c r="W18" i="101"/>
  <c r="O19" i="101"/>
  <c r="P19" i="101" s="1"/>
  <c r="AQ20" i="135"/>
  <c r="AR20" i="135" s="1"/>
  <c r="AI20" i="135"/>
  <c r="BL19" i="114"/>
  <c r="BB17" i="120"/>
  <c r="BR17" i="66"/>
  <c r="AV19" i="114"/>
  <c r="AW19" i="114" s="1"/>
  <c r="AQ19" i="126"/>
  <c r="AR19" i="126" s="1"/>
  <c r="AV18" i="118"/>
  <c r="AW18" i="118" s="1"/>
  <c r="AF18" i="118"/>
  <c r="AL17" i="120"/>
  <c r="AI17" i="66"/>
  <c r="AF17" i="66"/>
  <c r="AC19" i="115"/>
  <c r="AO20" i="64"/>
  <c r="BR20" i="64"/>
  <c r="AC17" i="13"/>
  <c r="BB17" i="13"/>
  <c r="AQ19" i="63"/>
  <c r="AR19" i="63" s="1"/>
  <c r="AO19" i="63"/>
  <c r="BG17" i="13"/>
  <c r="BH17" i="13" s="1"/>
  <c r="BR20" i="135"/>
  <c r="AC20" i="135"/>
  <c r="AO20" i="135"/>
  <c r="AQ17" i="17"/>
  <c r="AR17" i="17" s="1"/>
  <c r="BA21" i="105"/>
  <c r="BB21" i="105" s="1"/>
  <c r="BD17" i="66"/>
  <c r="BE17" i="66" s="1"/>
  <c r="AO17" i="66"/>
  <c r="BH17" i="66"/>
  <c r="BR19" i="96"/>
  <c r="AF19" i="96"/>
  <c r="AF18" i="15"/>
  <c r="AI18" i="15"/>
  <c r="BG19" i="98"/>
  <c r="BH19" i="98" s="1"/>
  <c r="BL19" i="98"/>
  <c r="I26" i="114"/>
  <c r="BA17" i="17"/>
  <c r="BB17" i="17" s="1"/>
  <c r="BG17" i="17"/>
  <c r="BH17" i="17" s="1"/>
  <c r="BR21" i="136"/>
  <c r="AL21" i="136"/>
  <c r="M20" i="115"/>
  <c r="AY20" i="115"/>
  <c r="BA20" i="115" s="1"/>
  <c r="AT20" i="115"/>
  <c r="AV20" i="115" s="1"/>
  <c r="AB20" i="115"/>
  <c r="AH20" i="115"/>
  <c r="AE20" i="115"/>
  <c r="BJ20" i="115"/>
  <c r="AK20" i="115"/>
  <c r="AN20" i="115"/>
  <c r="BQ20" i="115"/>
  <c r="BR21" i="105"/>
  <c r="AI21" i="105"/>
  <c r="AQ21" i="105"/>
  <c r="AR21" i="105" s="1"/>
  <c r="AF21" i="105"/>
  <c r="I24" i="15"/>
  <c r="BA19" i="114"/>
  <c r="BB19" i="114" s="1"/>
  <c r="BG19" i="114"/>
  <c r="BH19" i="114" s="1"/>
  <c r="AF19" i="114"/>
  <c r="BD19" i="126"/>
  <c r="BE19" i="126" s="1"/>
  <c r="R19" i="126"/>
  <c r="T19" i="126" s="1"/>
  <c r="Y19" i="126" s="1"/>
  <c r="Z17" i="126"/>
  <c r="BK17" i="126"/>
  <c r="AQ18" i="118"/>
  <c r="AR18" i="118" s="1"/>
  <c r="BR17" i="120"/>
  <c r="AC17" i="120"/>
  <c r="I27" i="132"/>
  <c r="I22" i="110"/>
  <c r="K21" i="110"/>
  <c r="AL17" i="66"/>
  <c r="AC17" i="66"/>
  <c r="BA19" i="115"/>
  <c r="BB19" i="115" s="1"/>
  <c r="K19" i="13"/>
  <c r="I20" i="13"/>
  <c r="AI19" i="110"/>
  <c r="BB19" i="110"/>
  <c r="M18" i="66"/>
  <c r="BN18" i="66"/>
  <c r="BO18" i="66" s="1"/>
  <c r="AY18" i="66"/>
  <c r="BG18" i="66" s="1"/>
  <c r="AT18" i="66"/>
  <c r="BD18" i="66" s="1"/>
  <c r="BL18" i="66"/>
  <c r="AH18" i="66"/>
  <c r="R18" i="66"/>
  <c r="T18" i="66" s="1"/>
  <c r="Y18" i="66" s="1"/>
  <c r="AK18" i="66"/>
  <c r="AN18" i="66"/>
  <c r="AE18" i="66"/>
  <c r="AB18" i="66"/>
  <c r="BQ18" i="66"/>
  <c r="BG20" i="64"/>
  <c r="BH20" i="64" s="1"/>
  <c r="AI20" i="64"/>
  <c r="AQ17" i="13"/>
  <c r="AR17" i="13" s="1"/>
  <c r="BR17" i="13"/>
  <c r="BL20" i="96"/>
  <c r="M20" i="96"/>
  <c r="BN20" i="96"/>
  <c r="BO20" i="96" s="1"/>
  <c r="BG20" i="96"/>
  <c r="AB20" i="96"/>
  <c r="AH20" i="96"/>
  <c r="AK20" i="96"/>
  <c r="AE20" i="96"/>
  <c r="AT20" i="96"/>
  <c r="BD20" i="96" s="1"/>
  <c r="AN20" i="96"/>
  <c r="BQ20" i="96"/>
  <c r="BA20" i="96"/>
  <c r="AQ19" i="96"/>
  <c r="AR19" i="96" s="1"/>
  <c r="K21" i="98"/>
  <c r="M20" i="98"/>
  <c r="AY20" i="98"/>
  <c r="BG20" i="98" s="1"/>
  <c r="AB20" i="98"/>
  <c r="AT20" i="98"/>
  <c r="BD20" i="98" s="1"/>
  <c r="AE20" i="98"/>
  <c r="BJ20" i="98"/>
  <c r="AK20" i="98"/>
  <c r="AH20" i="98"/>
  <c r="AN20" i="98"/>
  <c r="BQ20" i="98"/>
  <c r="M22" i="136"/>
  <c r="BL22" i="136"/>
  <c r="BN22" i="136"/>
  <c r="BO22" i="136" s="1"/>
  <c r="AN22" i="136"/>
  <c r="AH22" i="136"/>
  <c r="AE22" i="136"/>
  <c r="AK22" i="136"/>
  <c r="AB22" i="136"/>
  <c r="BQ22" i="136"/>
  <c r="K23" i="136"/>
  <c r="I22" i="115"/>
  <c r="K21" i="115"/>
  <c r="M22" i="105"/>
  <c r="BJ22" i="105"/>
  <c r="AB22" i="105"/>
  <c r="AY22" i="105"/>
  <c r="BG22" i="105" s="1"/>
  <c r="AT22" i="105"/>
  <c r="BD22" i="105" s="1"/>
  <c r="AE22" i="105"/>
  <c r="AH22" i="105"/>
  <c r="BQ22" i="105"/>
  <c r="K23" i="105"/>
  <c r="AN22" i="105"/>
  <c r="AK22" i="105"/>
  <c r="BE21" i="105"/>
  <c r="AQ19" i="114"/>
  <c r="AR18" i="114"/>
  <c r="BK18" i="114"/>
  <c r="AF19" i="126"/>
  <c r="AL19" i="126"/>
  <c r="AW19" i="126"/>
  <c r="Z18" i="126"/>
  <c r="BK18" i="126"/>
  <c r="BA18" i="118"/>
  <c r="BB18" i="118" s="1"/>
  <c r="AI17" i="120"/>
  <c r="AF17" i="120"/>
  <c r="K25" i="124"/>
  <c r="AH25" i="124" s="1"/>
  <c r="M24" i="124"/>
  <c r="BJ24" i="124"/>
  <c r="AT24" i="124"/>
  <c r="BD24" i="124" s="1"/>
  <c r="AB24" i="124"/>
  <c r="AE24" i="124"/>
  <c r="AY24" i="124"/>
  <c r="BA24" i="124" s="1"/>
  <c r="BQ24" i="124"/>
  <c r="AQ17" i="66"/>
  <c r="AR17" i="66" s="1"/>
  <c r="BA17" i="66"/>
  <c r="BB17" i="66" s="1"/>
  <c r="BL19" i="115"/>
  <c r="M18" i="13"/>
  <c r="BN18" i="13"/>
  <c r="BO18" i="13" s="1"/>
  <c r="BL18" i="13"/>
  <c r="AY18" i="13"/>
  <c r="BA18" i="13" s="1"/>
  <c r="BQ18" i="13"/>
  <c r="AB18" i="13"/>
  <c r="AE18" i="13"/>
  <c r="AN18" i="13"/>
  <c r="AH18" i="13"/>
  <c r="AK18" i="13"/>
  <c r="R18" i="13"/>
  <c r="T18" i="13" s="1"/>
  <c r="Y18" i="13" s="1"/>
  <c r="I76" i="99"/>
  <c r="AL19" i="110"/>
  <c r="AF19" i="110"/>
  <c r="I20" i="66"/>
  <c r="K19" i="66"/>
  <c r="BA19" i="63"/>
  <c r="BB19" i="63" s="1"/>
  <c r="M20" i="63"/>
  <c r="BN20" i="63"/>
  <c r="BO20" i="63" s="1"/>
  <c r="AN20" i="63"/>
  <c r="AB20" i="63"/>
  <c r="AH20" i="63"/>
  <c r="AE20" i="63"/>
  <c r="AK20" i="63"/>
  <c r="AY20" i="63"/>
  <c r="BA20" i="63" s="1"/>
  <c r="BL20" i="63"/>
  <c r="BQ20" i="63"/>
  <c r="K21" i="63"/>
  <c r="AN19" i="101"/>
  <c r="M19" i="101"/>
  <c r="BQ19" i="101"/>
  <c r="AK19" i="101"/>
  <c r="AE19" i="101"/>
  <c r="AT19" i="101"/>
  <c r="BD19" i="101" s="1"/>
  <c r="AY19" i="101"/>
  <c r="BA19" i="101" s="1"/>
  <c r="AB19" i="101"/>
  <c r="R19" i="101"/>
  <c r="T19" i="101" s="1"/>
  <c r="Y19" i="101" s="1"/>
  <c r="M21" i="135"/>
  <c r="BN21" i="135"/>
  <c r="BO21" i="135" s="1"/>
  <c r="AE21" i="135"/>
  <c r="AH21" i="135"/>
  <c r="AK21" i="135"/>
  <c r="AB21" i="135"/>
  <c r="BL21" i="135"/>
  <c r="AY21" i="135"/>
  <c r="BG21" i="135" s="1"/>
  <c r="AN21" i="135"/>
  <c r="BQ21" i="135"/>
  <c r="R21" i="135"/>
  <c r="T21" i="135" s="1"/>
  <c r="Y21" i="135" s="1"/>
  <c r="BL18" i="17"/>
  <c r="BN18" i="17"/>
  <c r="BO18" i="17" s="1"/>
  <c r="AB18" i="17"/>
  <c r="AH18" i="17"/>
  <c r="M18" i="17"/>
  <c r="AK18" i="17"/>
  <c r="AN18" i="17"/>
  <c r="AE18" i="17"/>
  <c r="AY18" i="17"/>
  <c r="BA18" i="17" s="1"/>
  <c r="BQ18" i="17"/>
  <c r="R18" i="17"/>
  <c r="T18" i="17" s="1"/>
  <c r="Y18" i="17" s="1"/>
  <c r="I29" i="95"/>
  <c r="AQ18" i="101"/>
  <c r="AR18" i="101" s="1"/>
  <c r="AQ18" i="15"/>
  <c r="AR18" i="15" s="1"/>
  <c r="AO18" i="15"/>
  <c r="BL19" i="15"/>
  <c r="BN19" i="15"/>
  <c r="BO19" i="15" s="1"/>
  <c r="AB19" i="15"/>
  <c r="AK19" i="15"/>
  <c r="BQ19" i="15"/>
  <c r="AN19" i="15"/>
  <c r="AE19" i="15"/>
  <c r="M19" i="15"/>
  <c r="AH19" i="15"/>
  <c r="K20" i="15"/>
  <c r="R20" i="15" s="1"/>
  <c r="AC17" i="17"/>
  <c r="AL17" i="17"/>
  <c r="AC21" i="136"/>
  <c r="AF21" i="136"/>
  <c r="AL21" i="105"/>
  <c r="BH21" i="105"/>
  <c r="AC19" i="114"/>
  <c r="BJ20" i="114"/>
  <c r="AN20" i="114"/>
  <c r="AT20" i="114"/>
  <c r="AV20" i="114" s="1"/>
  <c r="K21" i="114"/>
  <c r="AY20" i="114"/>
  <c r="BA20" i="114" s="1"/>
  <c r="AB20" i="114"/>
  <c r="M20" i="114"/>
  <c r="AE20" i="114"/>
  <c r="AH20" i="114"/>
  <c r="AK20" i="114"/>
  <c r="BQ20" i="114"/>
  <c r="R20" i="114"/>
  <c r="T20" i="114" s="1"/>
  <c r="Y20" i="114" s="1"/>
  <c r="AO19" i="126"/>
  <c r="AC19" i="126"/>
  <c r="AE20" i="126"/>
  <c r="AB20" i="126"/>
  <c r="BJ20" i="126"/>
  <c r="AT20" i="126"/>
  <c r="BD20" i="126" s="1"/>
  <c r="AK20" i="126"/>
  <c r="AY20" i="126"/>
  <c r="BG20" i="126" s="1"/>
  <c r="M20" i="126"/>
  <c r="AN20" i="126"/>
  <c r="K21" i="126"/>
  <c r="AH24" i="126" s="1"/>
  <c r="BQ20" i="126"/>
  <c r="Z17" i="120"/>
  <c r="AO17" i="120"/>
  <c r="K19" i="120"/>
  <c r="AB18" i="120"/>
  <c r="AH18" i="120"/>
  <c r="AY18" i="120"/>
  <c r="BA18" i="120" s="1"/>
  <c r="AE18" i="120"/>
  <c r="M18" i="120"/>
  <c r="BQ18" i="120"/>
  <c r="AK18" i="120"/>
  <c r="AN18" i="120"/>
  <c r="R18" i="120"/>
  <c r="T18" i="120" s="1"/>
  <c r="Y18" i="120" s="1"/>
  <c r="BL23" i="124"/>
  <c r="BR23" i="124"/>
  <c r="I35" i="133"/>
  <c r="AQ19" i="115"/>
  <c r="AR19" i="115" s="1"/>
  <c r="I27" i="105"/>
  <c r="I25" i="63"/>
  <c r="Z17" i="66"/>
  <c r="T18" i="98"/>
  <c r="Y18" i="98" s="1"/>
  <c r="R19" i="98"/>
  <c r="AQ19" i="110"/>
  <c r="AR19" i="110" s="1"/>
  <c r="AC19" i="110"/>
  <c r="AL20" i="64"/>
  <c r="M21" i="64"/>
  <c r="AY21" i="64"/>
  <c r="BA21" i="64" s="1"/>
  <c r="BL21" i="64"/>
  <c r="BN21" i="64"/>
  <c r="BO21" i="64" s="1"/>
  <c r="AB21" i="64"/>
  <c r="BQ21" i="64"/>
  <c r="AH21" i="64"/>
  <c r="AN21" i="64"/>
  <c r="AE21" i="64"/>
  <c r="AF21" i="64" s="1"/>
  <c r="AK21" i="64"/>
  <c r="K22" i="64"/>
  <c r="I21" i="101"/>
  <c r="K20" i="101"/>
  <c r="AH20" i="101" s="1"/>
  <c r="Z17" i="13"/>
  <c r="AF17" i="13"/>
  <c r="AL17" i="13"/>
  <c r="I26" i="136"/>
  <c r="I23" i="135"/>
  <c r="K22" i="135"/>
  <c r="I20" i="17"/>
  <c r="K19" i="17"/>
  <c r="I26" i="64"/>
  <c r="BR18" i="15"/>
  <c r="AC18" i="15"/>
  <c r="AQ19" i="98"/>
  <c r="AR19" i="98" s="1"/>
  <c r="BR17" i="17"/>
  <c r="AI17" i="17"/>
  <c r="AO17" i="17"/>
  <c r="AI19" i="126"/>
  <c r="K20" i="118"/>
  <c r="M19" i="118"/>
  <c r="AT19" i="118"/>
  <c r="AV19" i="118" s="1"/>
  <c r="AE19" i="118"/>
  <c r="AH19" i="118"/>
  <c r="AB19" i="118"/>
  <c r="AY19" i="118"/>
  <c r="BG19" i="118" s="1"/>
  <c r="AK19" i="118"/>
  <c r="AN19" i="118"/>
  <c r="BQ19" i="118"/>
  <c r="I24" i="104"/>
  <c r="M20" i="110"/>
  <c r="BJ20" i="110"/>
  <c r="AT20" i="110"/>
  <c r="BD20" i="110" s="1"/>
  <c r="AK20" i="110"/>
  <c r="AH20" i="110"/>
  <c r="AE20" i="110"/>
  <c r="AB20" i="110"/>
  <c r="AN20" i="110"/>
  <c r="AY20" i="110"/>
  <c r="BG20" i="110" s="1"/>
  <c r="BQ20" i="110"/>
  <c r="Z17" i="98"/>
  <c r="BK17" i="98"/>
  <c r="I25" i="126"/>
  <c r="I22" i="96"/>
  <c r="K21" i="96"/>
  <c r="O18" i="132"/>
  <c r="P18" i="132" s="1"/>
  <c r="V18" i="132" s="1"/>
  <c r="P17" i="95"/>
  <c r="V17" i="95" s="1"/>
  <c r="W17" i="95" s="1"/>
  <c r="T19" i="15"/>
  <c r="Y19" i="15" s="1"/>
  <c r="Z18" i="104"/>
  <c r="BK18" i="104"/>
  <c r="R20" i="104"/>
  <c r="T19" i="104"/>
  <c r="Y19" i="104" s="1"/>
  <c r="T19" i="136"/>
  <c r="Y19" i="136" s="1"/>
  <c r="Z19" i="136" s="1"/>
  <c r="R20" i="136"/>
  <c r="BK18" i="110"/>
  <c r="T20" i="63"/>
  <c r="Y20" i="63" s="1"/>
  <c r="R21" i="63"/>
  <c r="W16" i="98"/>
  <c r="O17" i="98"/>
  <c r="T21" i="124"/>
  <c r="Y21" i="124" s="1"/>
  <c r="R22" i="124"/>
  <c r="Z20" i="124"/>
  <c r="BK20" i="124"/>
  <c r="R22" i="132"/>
  <c r="T21" i="132"/>
  <c r="Y21" i="132" s="1"/>
  <c r="V17" i="66"/>
  <c r="V17" i="126"/>
  <c r="V17" i="13"/>
  <c r="BK17" i="110"/>
  <c r="BK15" i="110"/>
  <c r="W16" i="107"/>
  <c r="O17" i="107"/>
  <c r="P18" i="106"/>
  <c r="BK15" i="112"/>
  <c r="BK16" i="112"/>
  <c r="V18" i="114"/>
  <c r="BK16" i="110"/>
  <c r="T22" i="133"/>
  <c r="Y22" i="133" s="1"/>
  <c r="Z22" i="133" s="1"/>
  <c r="R23" i="133"/>
  <c r="Z18" i="105"/>
  <c r="BK18" i="105"/>
  <c r="W15" i="105"/>
  <c r="O16" i="105"/>
  <c r="T18" i="99"/>
  <c r="Y18" i="99" s="1"/>
  <c r="R19" i="99"/>
  <c r="BK18" i="107"/>
  <c r="Z18" i="107"/>
  <c r="P17" i="130"/>
  <c r="BK17" i="112"/>
  <c r="BK17" i="99"/>
  <c r="Z17" i="99"/>
  <c r="T19" i="107"/>
  <c r="Y19" i="107" s="1"/>
  <c r="R20" i="107"/>
  <c r="P18" i="129"/>
  <c r="P16" i="99"/>
  <c r="V16" i="120"/>
  <c r="W16" i="118"/>
  <c r="O17" i="118"/>
  <c r="V16" i="135"/>
  <c r="V16" i="112"/>
  <c r="V16" i="136"/>
  <c r="V18" i="96"/>
  <c r="Z19" i="115"/>
  <c r="W17" i="17"/>
  <c r="O18" i="17"/>
  <c r="V17" i="15"/>
  <c r="W17" i="110"/>
  <c r="O18" i="110"/>
  <c r="W16" i="63"/>
  <c r="O17" i="63"/>
  <c r="Z21" i="132" l="1"/>
  <c r="BH20" i="110"/>
  <c r="Z19" i="106"/>
  <c r="AF21" i="99"/>
  <c r="AO20" i="115"/>
  <c r="AC20" i="130"/>
  <c r="AF20" i="129"/>
  <c r="F112" i="163"/>
  <c r="T19" i="118"/>
  <c r="Y19" i="118" s="1"/>
  <c r="BR19" i="112"/>
  <c r="Z18" i="95"/>
  <c r="AO21" i="99"/>
  <c r="BR23" i="107"/>
  <c r="AF23" i="107"/>
  <c r="AF24" i="156"/>
  <c r="BR20" i="114"/>
  <c r="AO20" i="98"/>
  <c r="AO21" i="132"/>
  <c r="Z19" i="15"/>
  <c r="AI18" i="95"/>
  <c r="AI21" i="99"/>
  <c r="AQ21" i="99"/>
  <c r="AR21" i="99" s="1"/>
  <c r="BA17" i="150"/>
  <c r="BB17" i="150" s="1"/>
  <c r="AC23" i="107"/>
  <c r="AL21" i="135"/>
  <c r="BE22" i="105"/>
  <c r="AO24" i="155"/>
  <c r="BA19" i="104"/>
  <c r="AC21" i="132"/>
  <c r="BR21" i="132"/>
  <c r="M24" i="107"/>
  <c r="BJ24" i="107"/>
  <c r="BL24" i="107" s="1"/>
  <c r="BQ24" i="107"/>
  <c r="AE24" i="107"/>
  <c r="AB24" i="107"/>
  <c r="AN24" i="107"/>
  <c r="AY24" i="107"/>
  <c r="AH24" i="107"/>
  <c r="AK24" i="107"/>
  <c r="AT24" i="107"/>
  <c r="BA21" i="99"/>
  <c r="BB21" i="99" s="1"/>
  <c r="BG21" i="99"/>
  <c r="BH21" i="99" s="1"/>
  <c r="AV23" i="107"/>
  <c r="AW23" i="107" s="1"/>
  <c r="BD23" i="107"/>
  <c r="BE23" i="107" s="1"/>
  <c r="BL23" i="107"/>
  <c r="AF20" i="130"/>
  <c r="AC24" i="156"/>
  <c r="AO24" i="156"/>
  <c r="BL19" i="104"/>
  <c r="BR18" i="95"/>
  <c r="AL21" i="132"/>
  <c r="I26" i="107"/>
  <c r="K25" i="107"/>
  <c r="AL21" i="99"/>
  <c r="AC21" i="99"/>
  <c r="AI23" i="107"/>
  <c r="AQ23" i="107"/>
  <c r="AR23" i="107" s="1"/>
  <c r="BA17" i="156"/>
  <c r="BB17" i="156" s="1"/>
  <c r="F97" i="164"/>
  <c r="F93" i="164" s="1"/>
  <c r="AI21" i="132"/>
  <c r="AQ21" i="132"/>
  <c r="AR21" i="132" s="1"/>
  <c r="AV21" i="99"/>
  <c r="AW21" i="99" s="1"/>
  <c r="BD21" i="99"/>
  <c r="BE21" i="99" s="1"/>
  <c r="BA23" i="107"/>
  <c r="BB23" i="107" s="1"/>
  <c r="BG23" i="107"/>
  <c r="BH23" i="107" s="1"/>
  <c r="BA21" i="132"/>
  <c r="BB21" i="132" s="1"/>
  <c r="BG21" i="132"/>
  <c r="BH21" i="132" s="1"/>
  <c r="AO21" i="135"/>
  <c r="BB18" i="17"/>
  <c r="BR24" i="156"/>
  <c r="AF19" i="106"/>
  <c r="AW19" i="106"/>
  <c r="AC19" i="104"/>
  <c r="AW18" i="95"/>
  <c r="AF18" i="95"/>
  <c r="BB20" i="129"/>
  <c r="W21" i="132"/>
  <c r="AH22" i="132"/>
  <c r="V22" i="132"/>
  <c r="AE22" i="132"/>
  <c r="BN22" i="132"/>
  <c r="BO22" i="132" s="1"/>
  <c r="BL22" i="132"/>
  <c r="AB22" i="132"/>
  <c r="M22" i="132"/>
  <c r="AN22" i="132"/>
  <c r="AY22" i="132"/>
  <c r="AK22" i="132"/>
  <c r="BQ22" i="132"/>
  <c r="K23" i="132"/>
  <c r="BJ22" i="99"/>
  <c r="M22" i="99"/>
  <c r="AE22" i="99"/>
  <c r="BQ22" i="99"/>
  <c r="BR22" i="99" s="1"/>
  <c r="K23" i="99"/>
  <c r="AH22" i="99"/>
  <c r="AB22" i="99"/>
  <c r="AK22" i="99"/>
  <c r="AL22" i="99" s="1"/>
  <c r="AY22" i="99"/>
  <c r="AN22" i="99"/>
  <c r="AO22" i="99" s="1"/>
  <c r="AT22" i="99"/>
  <c r="AL23" i="107"/>
  <c r="AO23" i="107"/>
  <c r="F112" i="164"/>
  <c r="BK116" i="164"/>
  <c r="BN24" i="164" s="1"/>
  <c r="BO24" i="164" s="1"/>
  <c r="BK116" i="163"/>
  <c r="BN18" i="163" s="1"/>
  <c r="BO18" i="163" s="1"/>
  <c r="AF19" i="112"/>
  <c r="AI20" i="129"/>
  <c r="F81" i="164"/>
  <c r="F88" i="164"/>
  <c r="F79" i="164"/>
  <c r="F82" i="164"/>
  <c r="F89" i="164"/>
  <c r="F91" i="164"/>
  <c r="F90" i="164"/>
  <c r="Z20" i="129"/>
  <c r="AO20" i="129"/>
  <c r="AL20" i="129"/>
  <c r="F113" i="164"/>
  <c r="AL19" i="101"/>
  <c r="AC19" i="112"/>
  <c r="AL19" i="112"/>
  <c r="BR20" i="129"/>
  <c r="F111" i="163"/>
  <c r="F107" i="163" s="1"/>
  <c r="F80" i="163"/>
  <c r="F87" i="163"/>
  <c r="F78" i="163"/>
  <c r="F89" i="163"/>
  <c r="F88" i="163"/>
  <c r="F90" i="163"/>
  <c r="F81" i="163"/>
  <c r="F96" i="163"/>
  <c r="F92" i="163" s="1"/>
  <c r="Z20" i="130"/>
  <c r="AL20" i="130"/>
  <c r="Z20" i="110"/>
  <c r="BB19" i="104"/>
  <c r="AI19" i="104"/>
  <c r="AW19" i="104"/>
  <c r="BH18" i="95"/>
  <c r="AC18" i="95"/>
  <c r="AQ20" i="129"/>
  <c r="AR20" i="129" s="1"/>
  <c r="T16" i="156"/>
  <c r="Y16" i="156" s="1"/>
  <c r="Z16" i="156" s="1"/>
  <c r="R17" i="156"/>
  <c r="BK18" i="112"/>
  <c r="AF19" i="104"/>
  <c r="AO19" i="104"/>
  <c r="AO18" i="95"/>
  <c r="AO20" i="130"/>
  <c r="BG17" i="155"/>
  <c r="BH17" i="155" s="1"/>
  <c r="AO19" i="112"/>
  <c r="BR19" i="104"/>
  <c r="AL19" i="104"/>
  <c r="BH19" i="104"/>
  <c r="H96" i="154"/>
  <c r="V15" i="156"/>
  <c r="O19" i="124"/>
  <c r="P19" i="124" s="1"/>
  <c r="V19" i="124" s="1"/>
  <c r="W19" i="124" s="1"/>
  <c r="H110" i="154"/>
  <c r="H111" i="154"/>
  <c r="H109" i="154"/>
  <c r="BD19" i="104"/>
  <c r="BE19" i="104" s="1"/>
  <c r="T34" i="164"/>
  <c r="Y34" i="164" s="1"/>
  <c r="Z34" i="164" s="1"/>
  <c r="R35" i="164"/>
  <c r="O25" i="163"/>
  <c r="O26" i="164"/>
  <c r="T33" i="163"/>
  <c r="Y33" i="163" s="1"/>
  <c r="Z33" i="163" s="1"/>
  <c r="R34" i="163"/>
  <c r="O25" i="161"/>
  <c r="T32" i="161"/>
  <c r="Y32" i="161" s="1"/>
  <c r="R33" i="161"/>
  <c r="Z31" i="161"/>
  <c r="BK31" i="161"/>
  <c r="K56" i="161"/>
  <c r="BQ56" i="161" s="1"/>
  <c r="I57" i="161"/>
  <c r="BG55" i="161"/>
  <c r="BH55" i="161" s="1"/>
  <c r="BA55" i="161"/>
  <c r="BB55" i="161" s="1"/>
  <c r="AT55" i="161"/>
  <c r="AN55" i="161"/>
  <c r="AO55" i="161" s="1"/>
  <c r="AH55" i="161"/>
  <c r="AI55" i="161" s="1"/>
  <c r="AB55" i="161"/>
  <c r="AC55" i="161" s="1"/>
  <c r="V55" i="161"/>
  <c r="W55" i="161" s="1"/>
  <c r="O55" i="161"/>
  <c r="BR55" i="161"/>
  <c r="AY55" i="161"/>
  <c r="BD55" i="161"/>
  <c r="BE55" i="161" s="1"/>
  <c r="AQ55" i="161"/>
  <c r="AR55" i="161" s="1"/>
  <c r="AK55" i="161"/>
  <c r="AL55" i="161" s="1"/>
  <c r="AE55" i="161"/>
  <c r="AF55" i="161" s="1"/>
  <c r="Y55" i="161"/>
  <c r="Z55" i="161" s="1"/>
  <c r="R55" i="161"/>
  <c r="T55" i="161" s="1"/>
  <c r="AV55" i="161"/>
  <c r="AW55" i="161" s="1"/>
  <c r="P55" i="161"/>
  <c r="BK55" i="161"/>
  <c r="BN55" i="161"/>
  <c r="BO55" i="161" s="1"/>
  <c r="M55" i="161"/>
  <c r="BJ55" i="161"/>
  <c r="BL55" i="161" s="1"/>
  <c r="R21" i="110"/>
  <c r="T21" i="110" s="1"/>
  <c r="Y21" i="110" s="1"/>
  <c r="O25" i="152"/>
  <c r="P25" i="152" s="1"/>
  <c r="V25" i="152" s="1"/>
  <c r="O26" i="152" s="1"/>
  <c r="BD19" i="106"/>
  <c r="BE19" i="106" s="1"/>
  <c r="BD18" i="95"/>
  <c r="BE18" i="95" s="1"/>
  <c r="BB19" i="106"/>
  <c r="R21" i="115"/>
  <c r="T21" i="115" s="1"/>
  <c r="Y21" i="115" s="1"/>
  <c r="Z19" i="112"/>
  <c r="BQ20" i="112"/>
  <c r="AH20" i="112"/>
  <c r="K21" i="112"/>
  <c r="AK20" i="112"/>
  <c r="M20" i="112"/>
  <c r="AT20" i="112"/>
  <c r="BJ20" i="112"/>
  <c r="AE20" i="112"/>
  <c r="R20" i="112"/>
  <c r="T20" i="112" s="1"/>
  <c r="Y20" i="112" s="1"/>
  <c r="AY20" i="112"/>
  <c r="AB20" i="112"/>
  <c r="AN20" i="112"/>
  <c r="AC19" i="106"/>
  <c r="BR22" i="133"/>
  <c r="BG20" i="129"/>
  <c r="BH20" i="129" s="1"/>
  <c r="AC19" i="118"/>
  <c r="AI18" i="13"/>
  <c r="AC22" i="136"/>
  <c r="AO20" i="96"/>
  <c r="AO18" i="66"/>
  <c r="AL24" i="156"/>
  <c r="AQ19" i="112"/>
  <c r="AI19" i="112"/>
  <c r="BA19" i="112"/>
  <c r="BB19" i="112" s="1"/>
  <c r="BG19" i="112"/>
  <c r="BH19" i="112" s="1"/>
  <c r="BJ20" i="106"/>
  <c r="AE20" i="106"/>
  <c r="AN20" i="106"/>
  <c r="AK20" i="106"/>
  <c r="AY20" i="106"/>
  <c r="BG20" i="106" s="1"/>
  <c r="AH20" i="106"/>
  <c r="AT20" i="106"/>
  <c r="AV20" i="106" s="1"/>
  <c r="AB20" i="106"/>
  <c r="M20" i="106"/>
  <c r="BQ20" i="106"/>
  <c r="R20" i="106"/>
  <c r="T20" i="106" s="1"/>
  <c r="Y20" i="106" s="1"/>
  <c r="BH19" i="106"/>
  <c r="AL19" i="106"/>
  <c r="AQ19" i="104"/>
  <c r="AR19" i="104" s="1"/>
  <c r="AL22" i="133"/>
  <c r="AQ18" i="95"/>
  <c r="AR18" i="95" s="1"/>
  <c r="AI20" i="110"/>
  <c r="AC21" i="64"/>
  <c r="AI20" i="115"/>
  <c r="I22" i="106"/>
  <c r="K21" i="106"/>
  <c r="AR18" i="106"/>
  <c r="BK18" i="106"/>
  <c r="AQ22" i="133"/>
  <c r="AR22" i="133" s="1"/>
  <c r="AI22" i="133"/>
  <c r="W22" i="133"/>
  <c r="K26" i="156"/>
  <c r="I27" i="156"/>
  <c r="BR19" i="118"/>
  <c r="BB19" i="101"/>
  <c r="AQ24" i="156"/>
  <c r="AR24" i="156" s="1"/>
  <c r="AI24" i="156"/>
  <c r="AC22" i="133"/>
  <c r="BQ25" i="156"/>
  <c r="AH25" i="156"/>
  <c r="BL25" i="156"/>
  <c r="AE25" i="156"/>
  <c r="BN25" i="156"/>
  <c r="BO25" i="156" s="1"/>
  <c r="AK25" i="156"/>
  <c r="AB25" i="156"/>
  <c r="M25" i="156"/>
  <c r="AN25" i="156"/>
  <c r="BL19" i="112"/>
  <c r="AR19" i="106"/>
  <c r="AO19" i="106"/>
  <c r="V23" i="133"/>
  <c r="AN23" i="133"/>
  <c r="BL23" i="133"/>
  <c r="AK23" i="133"/>
  <c r="BN23" i="133"/>
  <c r="BO23" i="133" s="1"/>
  <c r="BQ23" i="133"/>
  <c r="K24" i="133"/>
  <c r="AB23" i="133"/>
  <c r="AE23" i="133"/>
  <c r="M23" i="133"/>
  <c r="AH23" i="133"/>
  <c r="M21" i="129"/>
  <c r="AN21" i="129"/>
  <c r="BQ21" i="129"/>
  <c r="BL21" i="129"/>
  <c r="AB21" i="129"/>
  <c r="BN21" i="129"/>
  <c r="BO21" i="129" s="1"/>
  <c r="AH21" i="129"/>
  <c r="AI21" i="129" s="1"/>
  <c r="K22" i="129"/>
  <c r="AE21" i="129"/>
  <c r="AK21" i="129"/>
  <c r="AY21" i="129"/>
  <c r="BA21" i="129" s="1"/>
  <c r="R21" i="129"/>
  <c r="T21" i="129" s="1"/>
  <c r="Y21" i="129" s="1"/>
  <c r="AF19" i="101"/>
  <c r="AI20" i="63"/>
  <c r="BR18" i="13"/>
  <c r="AO22" i="136"/>
  <c r="AI20" i="96"/>
  <c r="AV19" i="112"/>
  <c r="AW19" i="112" s="1"/>
  <c r="BD19" i="112"/>
  <c r="BE19" i="112" s="1"/>
  <c r="BL19" i="106"/>
  <c r="BR19" i="106"/>
  <c r="AI19" i="106"/>
  <c r="AK20" i="104"/>
  <c r="AH20" i="104"/>
  <c r="BJ20" i="104"/>
  <c r="AT20" i="104"/>
  <c r="BD20" i="104" s="1"/>
  <c r="M20" i="104"/>
  <c r="AY20" i="104"/>
  <c r="BG20" i="104" s="1"/>
  <c r="K21" i="104"/>
  <c r="AN20" i="104"/>
  <c r="AB20" i="104"/>
  <c r="BQ20" i="104"/>
  <c r="AE20" i="104"/>
  <c r="AO22" i="133"/>
  <c r="AF22" i="133"/>
  <c r="BN19" i="95"/>
  <c r="BO19" i="95" s="1"/>
  <c r="M19" i="95"/>
  <c r="K20" i="95"/>
  <c r="AE19" i="95"/>
  <c r="BG19" i="95"/>
  <c r="BL19" i="95"/>
  <c r="AH19" i="95"/>
  <c r="AT19" i="95"/>
  <c r="BD19" i="95" s="1"/>
  <c r="AK19" i="95"/>
  <c r="AB19" i="95"/>
  <c r="AN19" i="95"/>
  <c r="BA19" i="95"/>
  <c r="BQ19" i="95"/>
  <c r="R19" i="95"/>
  <c r="T19" i="95" s="1"/>
  <c r="Y19" i="95" s="1"/>
  <c r="R20" i="96"/>
  <c r="T20" i="96" s="1"/>
  <c r="Y20" i="96" s="1"/>
  <c r="Z20" i="96" s="1"/>
  <c r="T20" i="115"/>
  <c r="Y20" i="115" s="1"/>
  <c r="Z20" i="115" s="1"/>
  <c r="BA17" i="15"/>
  <c r="BB17" i="15" s="1"/>
  <c r="BG17" i="15"/>
  <c r="BH17" i="15" s="1"/>
  <c r="BG18" i="133"/>
  <c r="BH18" i="133" s="1"/>
  <c r="BA18" i="133"/>
  <c r="BB18" i="133" s="1"/>
  <c r="BA17" i="133"/>
  <c r="BB17" i="133" s="1"/>
  <c r="BG17" i="133"/>
  <c r="BH17" i="133" s="1"/>
  <c r="BA18" i="136"/>
  <c r="BB18" i="136" s="1"/>
  <c r="BG18" i="136"/>
  <c r="BH18" i="136" s="1"/>
  <c r="BA17" i="136"/>
  <c r="BB17" i="136" s="1"/>
  <c r="BG17" i="136"/>
  <c r="BH17" i="136" s="1"/>
  <c r="BA17" i="130"/>
  <c r="BB17" i="130" s="1"/>
  <c r="BG17" i="130"/>
  <c r="BH17" i="130" s="1"/>
  <c r="A23" i="7"/>
  <c r="AY19" i="156" s="1"/>
  <c r="AY18" i="156"/>
  <c r="AY18" i="152"/>
  <c r="AY18" i="153"/>
  <c r="AY18" i="155"/>
  <c r="AY19" i="155"/>
  <c r="AY18" i="150"/>
  <c r="AY19" i="150"/>
  <c r="AY18" i="130"/>
  <c r="AY19" i="130"/>
  <c r="AY18" i="15"/>
  <c r="AQ20" i="130"/>
  <c r="AR20" i="130" s="1"/>
  <c r="AI20" i="130"/>
  <c r="K22" i="130"/>
  <c r="M21" i="130"/>
  <c r="BN21" i="130"/>
  <c r="BO21" i="130" s="1"/>
  <c r="BQ21" i="130"/>
  <c r="AB21" i="130"/>
  <c r="BL21" i="130"/>
  <c r="AN21" i="130"/>
  <c r="AE21" i="130"/>
  <c r="AH21" i="130"/>
  <c r="AK21" i="130"/>
  <c r="R21" i="130"/>
  <c r="T21" i="130" s="1"/>
  <c r="Y21" i="130" s="1"/>
  <c r="BE23" i="147"/>
  <c r="Z19" i="118"/>
  <c r="AF22" i="146"/>
  <c r="AL22" i="155"/>
  <c r="AQ22" i="155"/>
  <c r="AR22" i="155" s="1"/>
  <c r="AL17" i="155"/>
  <c r="AQ17" i="155"/>
  <c r="AR17" i="155" s="1"/>
  <c r="R16" i="155"/>
  <c r="T15" i="155"/>
  <c r="Y15" i="155" s="1"/>
  <c r="Z15" i="155" s="1"/>
  <c r="AQ18" i="155"/>
  <c r="AR18" i="155" s="1"/>
  <c r="AL18" i="155"/>
  <c r="AQ23" i="155"/>
  <c r="AR23" i="155" s="1"/>
  <c r="AL23" i="155"/>
  <c r="AL16" i="155"/>
  <c r="AQ16" i="155"/>
  <c r="AR16" i="155" s="1"/>
  <c r="BB24" i="124"/>
  <c r="BR22" i="105"/>
  <c r="AF18" i="66"/>
  <c r="Z22" i="150"/>
  <c r="AL21" i="155"/>
  <c r="AQ21" i="155"/>
  <c r="AR21" i="155" s="1"/>
  <c r="P15" i="155"/>
  <c r="W22" i="150"/>
  <c r="AQ20" i="155"/>
  <c r="AR20" i="155" s="1"/>
  <c r="AL20" i="155"/>
  <c r="AQ19" i="155"/>
  <c r="AR19" i="155" s="1"/>
  <c r="AL19" i="155"/>
  <c r="AL15" i="155"/>
  <c r="AQ15" i="155"/>
  <c r="AR15" i="155" s="1"/>
  <c r="R22" i="146"/>
  <c r="T22" i="146" s="1"/>
  <c r="Y22" i="146" s="1"/>
  <c r="Z22" i="146" s="1"/>
  <c r="R20" i="105"/>
  <c r="T20" i="105" s="1"/>
  <c r="Y20" i="105" s="1"/>
  <c r="R23" i="151"/>
  <c r="T23" i="151" s="1"/>
  <c r="Y23" i="151" s="1"/>
  <c r="Z23" i="151" s="1"/>
  <c r="W25" i="153"/>
  <c r="AC25" i="153"/>
  <c r="Z25" i="153"/>
  <c r="O20" i="151"/>
  <c r="AQ25" i="155"/>
  <c r="AR25" i="155" s="1"/>
  <c r="I28" i="155"/>
  <c r="K27" i="155"/>
  <c r="BR25" i="155"/>
  <c r="AI25" i="155"/>
  <c r="AB26" i="155"/>
  <c r="AH26" i="155"/>
  <c r="AN26" i="155"/>
  <c r="BN26" i="155"/>
  <c r="BO26" i="155" s="1"/>
  <c r="AK26" i="155"/>
  <c r="M26" i="155"/>
  <c r="AE26" i="155"/>
  <c r="BQ26" i="155"/>
  <c r="BL26" i="155"/>
  <c r="AC25" i="155"/>
  <c r="AF25" i="155"/>
  <c r="AL25" i="155"/>
  <c r="AO25" i="155"/>
  <c r="A15" i="58"/>
  <c r="AO25" i="153"/>
  <c r="BR25" i="153"/>
  <c r="R23" i="147"/>
  <c r="T23" i="147" s="1"/>
  <c r="Y23" i="147" s="1"/>
  <c r="Z23" i="147" s="1"/>
  <c r="P26" i="153"/>
  <c r="V26" i="153" s="1"/>
  <c r="BN26" i="153"/>
  <c r="BO26" i="153" s="1"/>
  <c r="R26" i="153"/>
  <c r="T26" i="153" s="1"/>
  <c r="Y26" i="153" s="1"/>
  <c r="AE26" i="153"/>
  <c r="AK26" i="153"/>
  <c r="M26" i="153"/>
  <c r="BQ26" i="153"/>
  <c r="AB26" i="153"/>
  <c r="BL26" i="153"/>
  <c r="O26" i="153"/>
  <c r="AH26" i="153"/>
  <c r="AN26" i="153"/>
  <c r="K27" i="153"/>
  <c r="AF25" i="153"/>
  <c r="AI25" i="153"/>
  <c r="AQ25" i="153"/>
  <c r="AR25" i="153" s="1"/>
  <c r="I31" i="153"/>
  <c r="AL25" i="153"/>
  <c r="R24" i="149"/>
  <c r="T24" i="149" s="1"/>
  <c r="Y24" i="149" s="1"/>
  <c r="Z24" i="149" s="1"/>
  <c r="R21" i="64"/>
  <c r="T21" i="64" s="1"/>
  <c r="Y21" i="64" s="1"/>
  <c r="Z21" i="64" s="1"/>
  <c r="AQ25" i="152"/>
  <c r="AR25" i="152" s="1"/>
  <c r="BR25" i="152"/>
  <c r="AI25" i="152"/>
  <c r="AL25" i="152"/>
  <c r="AC25" i="152"/>
  <c r="I35" i="152"/>
  <c r="AB26" i="152"/>
  <c r="BN26" i="152"/>
  <c r="BO26" i="152" s="1"/>
  <c r="R26" i="152"/>
  <c r="T26" i="152" s="1"/>
  <c r="Y26" i="152" s="1"/>
  <c r="AE26" i="152"/>
  <c r="AK26" i="152"/>
  <c r="M26" i="152"/>
  <c r="AH26" i="152"/>
  <c r="BQ26" i="152"/>
  <c r="AN26" i="152"/>
  <c r="BL26" i="152"/>
  <c r="K27" i="152"/>
  <c r="AF25" i="152"/>
  <c r="Z25" i="152"/>
  <c r="AO25" i="152"/>
  <c r="AF24" i="149"/>
  <c r="Z18" i="66"/>
  <c r="AL23" i="151"/>
  <c r="AF20" i="98"/>
  <c r="Z20" i="114"/>
  <c r="AC24" i="149"/>
  <c r="Z20" i="63"/>
  <c r="BE22" i="146"/>
  <c r="BH23" i="147"/>
  <c r="AF22" i="150"/>
  <c r="BR23" i="151"/>
  <c r="BK19" i="110"/>
  <c r="AQ22" i="150"/>
  <c r="AR22" i="150" s="1"/>
  <c r="BA23" i="147"/>
  <c r="BB23" i="147" s="1"/>
  <c r="BD20" i="115"/>
  <c r="BE20" i="115" s="1"/>
  <c r="BQ24" i="151"/>
  <c r="AK24" i="151"/>
  <c r="AE24" i="151"/>
  <c r="AN24" i="151"/>
  <c r="AH24" i="151"/>
  <c r="AB24" i="151"/>
  <c r="BN24" i="151"/>
  <c r="BO24" i="151" s="1"/>
  <c r="M24" i="151"/>
  <c r="BL24" i="151"/>
  <c r="AQ23" i="151"/>
  <c r="AR23" i="151" s="1"/>
  <c r="AI23" i="151"/>
  <c r="AC23" i="151"/>
  <c r="AO23" i="151"/>
  <c r="AF23" i="151"/>
  <c r="K25" i="151"/>
  <c r="I26" i="151"/>
  <c r="AL22" i="150"/>
  <c r="BR22" i="150"/>
  <c r="AI22" i="150"/>
  <c r="AO22" i="150"/>
  <c r="I27" i="150"/>
  <c r="AN23" i="150"/>
  <c r="AH23" i="150"/>
  <c r="AB23" i="150"/>
  <c r="O23" i="150"/>
  <c r="P23" i="150" s="1"/>
  <c r="V23" i="150" s="1"/>
  <c r="BQ23" i="150"/>
  <c r="AK23" i="150"/>
  <c r="AE23" i="150"/>
  <c r="R23" i="150"/>
  <c r="T23" i="150" s="1"/>
  <c r="Y23" i="150" s="1"/>
  <c r="BN23" i="150"/>
  <c r="BO23" i="150" s="1"/>
  <c r="M23" i="150"/>
  <c r="BL23" i="150"/>
  <c r="K24" i="150"/>
  <c r="AC22" i="150"/>
  <c r="BA22" i="105"/>
  <c r="BB22" i="105" s="1"/>
  <c r="P20" i="149"/>
  <c r="V20" i="149" s="1"/>
  <c r="W20" i="149" s="1"/>
  <c r="AK25" i="149"/>
  <c r="AE25" i="149"/>
  <c r="AH25" i="149"/>
  <c r="BQ25" i="149"/>
  <c r="AN25" i="149"/>
  <c r="AB25" i="149"/>
  <c r="BN25" i="149"/>
  <c r="BO25" i="149" s="1"/>
  <c r="M25" i="149"/>
  <c r="BL25" i="149"/>
  <c r="AO24" i="149"/>
  <c r="AI24" i="149"/>
  <c r="AL24" i="149"/>
  <c r="BR24" i="149"/>
  <c r="K26" i="149"/>
  <c r="I27" i="149"/>
  <c r="AQ24" i="149"/>
  <c r="AR24" i="149" s="1"/>
  <c r="R20" i="126"/>
  <c r="T20" i="126" s="1"/>
  <c r="Y20" i="126" s="1"/>
  <c r="Z20" i="126" s="1"/>
  <c r="BA19" i="118"/>
  <c r="BB19" i="118" s="1"/>
  <c r="BL23" i="147"/>
  <c r="AW20" i="115"/>
  <c r="BH18" i="66"/>
  <c r="BB22" i="146"/>
  <c r="AL20" i="63"/>
  <c r="BK19" i="115"/>
  <c r="BR23" i="147"/>
  <c r="AC23" i="147"/>
  <c r="P19" i="147"/>
  <c r="K25" i="147"/>
  <c r="AH25" i="147" s="1"/>
  <c r="I26" i="147"/>
  <c r="AV23" i="147"/>
  <c r="AW23" i="147" s="1"/>
  <c r="BQ24" i="147"/>
  <c r="AY24" i="147"/>
  <c r="BG24" i="147" s="1"/>
  <c r="AE24" i="147"/>
  <c r="AB24" i="147"/>
  <c r="AT24" i="147"/>
  <c r="BD24" i="147" s="1"/>
  <c r="BJ24" i="147"/>
  <c r="M24" i="147"/>
  <c r="BK22" i="147"/>
  <c r="AI23" i="147"/>
  <c r="AF23" i="147"/>
  <c r="AV22" i="146"/>
  <c r="AW22" i="146" s="1"/>
  <c r="BL22" i="146"/>
  <c r="BK21" i="146"/>
  <c r="BR22" i="146"/>
  <c r="AI22" i="146"/>
  <c r="BG22" i="146"/>
  <c r="BH22" i="146" s="1"/>
  <c r="P18" i="146"/>
  <c r="I25" i="146"/>
  <c r="K24" i="146"/>
  <c r="AH24" i="146" s="1"/>
  <c r="AT23" i="146"/>
  <c r="AV23" i="146" s="1"/>
  <c r="AB23" i="146"/>
  <c r="BQ23" i="146"/>
  <c r="AY23" i="146"/>
  <c r="BG23" i="146" s="1"/>
  <c r="AE23" i="146"/>
  <c r="BJ23" i="146"/>
  <c r="M23" i="146"/>
  <c r="AC22" i="146"/>
  <c r="AO20" i="63"/>
  <c r="BE19" i="101"/>
  <c r="BH20" i="126"/>
  <c r="BL20" i="126"/>
  <c r="AQ20" i="114"/>
  <c r="AR20" i="114" s="1"/>
  <c r="AI19" i="15"/>
  <c r="AO20" i="126"/>
  <c r="AI20" i="126"/>
  <c r="AF20" i="126"/>
  <c r="AF19" i="15"/>
  <c r="BH21" i="135"/>
  <c r="BR22" i="136"/>
  <c r="BA20" i="98"/>
  <c r="BB20" i="98" s="1"/>
  <c r="BG18" i="17"/>
  <c r="BH18" i="17" s="1"/>
  <c r="Z21" i="135"/>
  <c r="AI24" i="124"/>
  <c r="AV20" i="98"/>
  <c r="AW20" i="98" s="1"/>
  <c r="BB20" i="96"/>
  <c r="BA20" i="110"/>
  <c r="BB20" i="110" s="1"/>
  <c r="BG18" i="120"/>
  <c r="BH18" i="120" s="1"/>
  <c r="AL21" i="64"/>
  <c r="BR21" i="64"/>
  <c r="BB21" i="64"/>
  <c r="AQ18" i="120"/>
  <c r="AR18" i="120" s="1"/>
  <c r="BB18" i="120"/>
  <c r="AV20" i="126"/>
  <c r="AW20" i="126" s="1"/>
  <c r="BR21" i="135"/>
  <c r="AC21" i="135"/>
  <c r="AV19" i="101"/>
  <c r="AW19" i="101" s="1"/>
  <c r="BR20" i="63"/>
  <c r="Z18" i="13"/>
  <c r="AF22" i="136"/>
  <c r="BR18" i="66"/>
  <c r="BA18" i="66"/>
  <c r="BB18" i="66" s="1"/>
  <c r="AI18" i="66"/>
  <c r="BA20" i="126"/>
  <c r="BB20" i="126" s="1"/>
  <c r="AI21" i="135"/>
  <c r="AV24" i="124"/>
  <c r="AW24" i="124" s="1"/>
  <c r="AL22" i="105"/>
  <c r="BE20" i="96"/>
  <c r="AC18" i="66"/>
  <c r="AL18" i="66"/>
  <c r="BE18" i="66"/>
  <c r="BL20" i="110"/>
  <c r="AQ20" i="63"/>
  <c r="AR20" i="63" s="1"/>
  <c r="BH22" i="105"/>
  <c r="AQ20" i="98"/>
  <c r="AR20" i="98" s="1"/>
  <c r="BR20" i="96"/>
  <c r="AL20" i="96"/>
  <c r="AL20" i="115"/>
  <c r="AC20" i="115"/>
  <c r="AV20" i="110"/>
  <c r="AW20" i="110" s="1"/>
  <c r="AO20" i="110"/>
  <c r="AL20" i="110"/>
  <c r="AO19" i="118"/>
  <c r="AI19" i="118"/>
  <c r="BG21" i="64"/>
  <c r="BH21" i="64" s="1"/>
  <c r="AQ20" i="126"/>
  <c r="AR20" i="126" s="1"/>
  <c r="BE20" i="126"/>
  <c r="Z18" i="17"/>
  <c r="AF18" i="17"/>
  <c r="AI18" i="17"/>
  <c r="AF21" i="135"/>
  <c r="Z19" i="101"/>
  <c r="BB20" i="63"/>
  <c r="AC20" i="63"/>
  <c r="BG18" i="13"/>
  <c r="BH18" i="13" s="1"/>
  <c r="AI22" i="105"/>
  <c r="AC22" i="105"/>
  <c r="AL20" i="98"/>
  <c r="AC20" i="98"/>
  <c r="AV18" i="66"/>
  <c r="AW18" i="66" s="1"/>
  <c r="AO21" i="64"/>
  <c r="AL19" i="15"/>
  <c r="BR18" i="17"/>
  <c r="BE20" i="98"/>
  <c r="AC20" i="96"/>
  <c r="BR20" i="115"/>
  <c r="AF20" i="115"/>
  <c r="BB20" i="115"/>
  <c r="AQ20" i="110"/>
  <c r="AR20" i="110" s="1"/>
  <c r="AF20" i="110"/>
  <c r="BH19" i="118"/>
  <c r="AW19" i="118"/>
  <c r="AQ21" i="64"/>
  <c r="AR21" i="64" s="1"/>
  <c r="AI21" i="64"/>
  <c r="AF18" i="120"/>
  <c r="BR20" i="126"/>
  <c r="BG20" i="114"/>
  <c r="BH20" i="114" s="1"/>
  <c r="AL18" i="17"/>
  <c r="AF20" i="63"/>
  <c r="BN21" i="96"/>
  <c r="BO21" i="96" s="1"/>
  <c r="M21" i="96"/>
  <c r="AE21" i="96"/>
  <c r="AB21" i="96"/>
  <c r="AN21" i="96"/>
  <c r="BL21" i="96"/>
  <c r="AK21" i="96"/>
  <c r="BG21" i="96"/>
  <c r="AH21" i="96"/>
  <c r="AT21" i="96"/>
  <c r="AV21" i="96" s="1"/>
  <c r="BA21" i="96"/>
  <c r="BQ21" i="96"/>
  <c r="BR20" i="110"/>
  <c r="AC20" i="110"/>
  <c r="BE20" i="110"/>
  <c r="AQ19" i="118"/>
  <c r="AR19" i="118" s="1"/>
  <c r="AL19" i="118"/>
  <c r="AF19" i="118"/>
  <c r="K20" i="17"/>
  <c r="I21" i="17"/>
  <c r="I24" i="135"/>
  <c r="K23" i="135"/>
  <c r="I22" i="101"/>
  <c r="K21" i="101"/>
  <c r="AH21" i="101" s="1"/>
  <c r="M22" i="64"/>
  <c r="BN22" i="64"/>
  <c r="BO22" i="64" s="1"/>
  <c r="BL22" i="64"/>
  <c r="AN22" i="64"/>
  <c r="AY22" i="64"/>
  <c r="BA22" i="64" s="1"/>
  <c r="BQ22" i="64"/>
  <c r="AH22" i="64"/>
  <c r="AK22" i="64"/>
  <c r="AB22" i="64"/>
  <c r="AE22" i="64"/>
  <c r="K23" i="64"/>
  <c r="R20" i="98"/>
  <c r="T19" i="98"/>
  <c r="Y19" i="98" s="1"/>
  <c r="I28" i="105"/>
  <c r="BR18" i="120"/>
  <c r="AI18" i="120"/>
  <c r="AL20" i="126"/>
  <c r="AC20" i="126"/>
  <c r="BD20" i="114"/>
  <c r="AF20" i="114"/>
  <c r="BJ21" i="114"/>
  <c r="M21" i="114"/>
  <c r="AT21" i="114"/>
  <c r="AV21" i="114" s="1"/>
  <c r="AB21" i="114"/>
  <c r="AH21" i="114"/>
  <c r="AE21" i="114"/>
  <c r="AK21" i="114"/>
  <c r="AY21" i="114"/>
  <c r="BA21" i="114" s="1"/>
  <c r="AN21" i="114"/>
  <c r="BQ21" i="114"/>
  <c r="K22" i="114"/>
  <c r="R21" i="114"/>
  <c r="T21" i="114" s="1"/>
  <c r="Y21" i="114" s="1"/>
  <c r="AO19" i="15"/>
  <c r="AC19" i="15"/>
  <c r="AQ18" i="17"/>
  <c r="AR18" i="17" s="1"/>
  <c r="AO18" i="17"/>
  <c r="AC18" i="17"/>
  <c r="BG19" i="101"/>
  <c r="BH19" i="101" s="1"/>
  <c r="AC19" i="101"/>
  <c r="AI19" i="101"/>
  <c r="AO19" i="101"/>
  <c r="BG20" i="63"/>
  <c r="BH20" i="63" s="1"/>
  <c r="I77" i="99"/>
  <c r="AL18" i="13"/>
  <c r="AC18" i="13"/>
  <c r="BR24" i="124"/>
  <c r="AC24" i="124"/>
  <c r="BL24" i="124"/>
  <c r="AR19" i="114"/>
  <c r="BK19" i="114"/>
  <c r="AV22" i="105"/>
  <c r="AW22" i="105" s="1"/>
  <c r="AF22" i="105"/>
  <c r="BL22" i="105"/>
  <c r="M23" i="136"/>
  <c r="BL23" i="136"/>
  <c r="BN23" i="136"/>
  <c r="BO23" i="136" s="1"/>
  <c r="AB23" i="136"/>
  <c r="AH23" i="136"/>
  <c r="AK23" i="136"/>
  <c r="AE23" i="136"/>
  <c r="AN23" i="136"/>
  <c r="BQ23" i="136"/>
  <c r="K24" i="136"/>
  <c r="AI22" i="136"/>
  <c r="BL20" i="98"/>
  <c r="BR20" i="98"/>
  <c r="AQ20" i="96"/>
  <c r="AR20" i="96" s="1"/>
  <c r="AF20" i="96"/>
  <c r="BH20" i="96"/>
  <c r="AQ18" i="66"/>
  <c r="AR18" i="66" s="1"/>
  <c r="I25" i="15"/>
  <c r="BG20" i="115"/>
  <c r="BH20" i="115" s="1"/>
  <c r="BL20" i="115"/>
  <c r="I23" i="96"/>
  <c r="K22" i="96"/>
  <c r="I25" i="104"/>
  <c r="Z18" i="98"/>
  <c r="BK18" i="98"/>
  <c r="AC18" i="120"/>
  <c r="AW20" i="114"/>
  <c r="BL20" i="15"/>
  <c r="BN20" i="15"/>
  <c r="BO20" i="15" s="1"/>
  <c r="AK20" i="15"/>
  <c r="BQ20" i="15"/>
  <c r="AE20" i="15"/>
  <c r="AN20" i="15"/>
  <c r="AB20" i="15"/>
  <c r="M20" i="15"/>
  <c r="AH20" i="15"/>
  <c r="K21" i="15"/>
  <c r="BL19" i="66"/>
  <c r="AB19" i="66"/>
  <c r="M19" i="66"/>
  <c r="BN19" i="66"/>
  <c r="BO19" i="66" s="1"/>
  <c r="AT19" i="66"/>
  <c r="BD19" i="66" s="1"/>
  <c r="AY19" i="66"/>
  <c r="BA19" i="66" s="1"/>
  <c r="AE19" i="66"/>
  <c r="AH19" i="66"/>
  <c r="AK19" i="66"/>
  <c r="AN19" i="66"/>
  <c r="R19" i="66"/>
  <c r="BQ19" i="66"/>
  <c r="AN21" i="115"/>
  <c r="AT21" i="115"/>
  <c r="AV21" i="115" s="1"/>
  <c r="AY21" i="115"/>
  <c r="BA21" i="115" s="1"/>
  <c r="AE21" i="115"/>
  <c r="BJ21" i="115"/>
  <c r="AH21" i="115"/>
  <c r="AB21" i="115"/>
  <c r="M21" i="115"/>
  <c r="BQ21" i="115"/>
  <c r="AK21" i="115"/>
  <c r="AV20" i="96"/>
  <c r="AW20" i="96" s="1"/>
  <c r="I26" i="126"/>
  <c r="I26" i="63"/>
  <c r="Z18" i="120"/>
  <c r="AO18" i="120"/>
  <c r="K20" i="120"/>
  <c r="AE19" i="120"/>
  <c r="AB19" i="120"/>
  <c r="AH19" i="120"/>
  <c r="AY19" i="120"/>
  <c r="BA19" i="120" s="1"/>
  <c r="M19" i="120"/>
  <c r="AN19" i="120"/>
  <c r="BQ19" i="120"/>
  <c r="AK19" i="120"/>
  <c r="R19" i="120"/>
  <c r="T19" i="120" s="1"/>
  <c r="Y19" i="120" s="1"/>
  <c r="AL20" i="114"/>
  <c r="AC20" i="114"/>
  <c r="AO20" i="114"/>
  <c r="BR19" i="15"/>
  <c r="I30" i="95"/>
  <c r="BA21" i="135"/>
  <c r="BB21" i="135" s="1"/>
  <c r="AQ19" i="101"/>
  <c r="AR19" i="101" s="1"/>
  <c r="BR19" i="101"/>
  <c r="K20" i="66"/>
  <c r="I21" i="66"/>
  <c r="AO18" i="13"/>
  <c r="BB18" i="13"/>
  <c r="BE24" i="124"/>
  <c r="AF24" i="124"/>
  <c r="M25" i="124"/>
  <c r="K26" i="124"/>
  <c r="AH26" i="124" s="1"/>
  <c r="BJ25" i="124"/>
  <c r="AB25" i="124"/>
  <c r="AE25" i="124"/>
  <c r="AT25" i="124"/>
  <c r="BD25" i="124" s="1"/>
  <c r="AY25" i="124"/>
  <c r="BA25" i="124" s="1"/>
  <c r="BQ25" i="124"/>
  <c r="AO22" i="105"/>
  <c r="I23" i="115"/>
  <c r="K22" i="115"/>
  <c r="AQ22" i="136"/>
  <c r="AR22" i="136" s="1"/>
  <c r="AL22" i="136"/>
  <c r="BH20" i="98"/>
  <c r="AI20" i="98"/>
  <c r="K22" i="98"/>
  <c r="M21" i="98"/>
  <c r="AT21" i="98"/>
  <c r="BD21" i="98" s="1"/>
  <c r="AY21" i="98"/>
  <c r="BA21" i="98" s="1"/>
  <c r="AB21" i="98"/>
  <c r="BJ21" i="98"/>
  <c r="AN21" i="98"/>
  <c r="AE21" i="98"/>
  <c r="AH21" i="98"/>
  <c r="AK21" i="98"/>
  <c r="BQ21" i="98"/>
  <c r="K20" i="13"/>
  <c r="I21" i="13"/>
  <c r="M21" i="110"/>
  <c r="BJ21" i="110"/>
  <c r="AB21" i="110"/>
  <c r="AH21" i="110"/>
  <c r="AN21" i="110"/>
  <c r="AY21" i="110"/>
  <c r="BA21" i="110" s="1"/>
  <c r="AT21" i="110"/>
  <c r="AV21" i="110" s="1"/>
  <c r="AK21" i="110"/>
  <c r="AE21" i="110"/>
  <c r="BQ21" i="110"/>
  <c r="I28" i="132"/>
  <c r="AQ20" i="115"/>
  <c r="AR20" i="115" s="1"/>
  <c r="BD19" i="118"/>
  <c r="BE19" i="118" s="1"/>
  <c r="M20" i="118"/>
  <c r="K21" i="118"/>
  <c r="AE20" i="118"/>
  <c r="AY20" i="118"/>
  <c r="BG20" i="118" s="1"/>
  <c r="AB20" i="118"/>
  <c r="AH20" i="118"/>
  <c r="AK20" i="118"/>
  <c r="AN20" i="118"/>
  <c r="BQ20" i="118"/>
  <c r="I27" i="64"/>
  <c r="BN19" i="17"/>
  <c r="BO19" i="17" s="1"/>
  <c r="M19" i="17"/>
  <c r="AK19" i="17"/>
  <c r="BL19" i="17"/>
  <c r="AB19" i="17"/>
  <c r="AY19" i="17"/>
  <c r="BA19" i="17" s="1"/>
  <c r="BB19" i="17" s="1"/>
  <c r="AE19" i="17"/>
  <c r="AH19" i="17"/>
  <c r="AN19" i="17"/>
  <c r="BQ19" i="17"/>
  <c r="R19" i="17"/>
  <c r="T19" i="17" s="1"/>
  <c r="Y19" i="17" s="1"/>
  <c r="M22" i="135"/>
  <c r="AB22" i="135"/>
  <c r="AK22" i="135"/>
  <c r="AH22" i="135"/>
  <c r="BL22" i="135"/>
  <c r="AY22" i="135"/>
  <c r="BG22" i="135" s="1"/>
  <c r="AN22" i="135"/>
  <c r="AE22" i="135"/>
  <c r="BN22" i="135"/>
  <c r="BO22" i="135" s="1"/>
  <c r="BQ22" i="135"/>
  <c r="R22" i="135"/>
  <c r="T22" i="135" s="1"/>
  <c r="Y22" i="135" s="1"/>
  <c r="I27" i="136"/>
  <c r="BQ20" i="101"/>
  <c r="AN20" i="101"/>
  <c r="M20" i="101"/>
  <c r="AT20" i="101"/>
  <c r="BD20" i="101" s="1"/>
  <c r="AK20" i="101"/>
  <c r="AY20" i="101"/>
  <c r="BA20" i="101" s="1"/>
  <c r="AB20" i="101"/>
  <c r="AC20" i="101" s="1"/>
  <c r="AE20" i="101"/>
  <c r="R20" i="101"/>
  <c r="T20" i="101" s="1"/>
  <c r="Y20" i="101" s="1"/>
  <c r="I36" i="133"/>
  <c r="AL18" i="120"/>
  <c r="BJ21" i="126"/>
  <c r="AE21" i="126"/>
  <c r="AB21" i="126"/>
  <c r="AK21" i="126"/>
  <c r="AT21" i="126"/>
  <c r="BD21" i="126" s="1"/>
  <c r="M21" i="126"/>
  <c r="AY21" i="126"/>
  <c r="BA21" i="126" s="1"/>
  <c r="AN21" i="126"/>
  <c r="K22" i="126"/>
  <c r="AH25" i="126" s="1"/>
  <c r="BQ21" i="126"/>
  <c r="AI20" i="114"/>
  <c r="BB20" i="114"/>
  <c r="BL20" i="114"/>
  <c r="AQ19" i="15"/>
  <c r="AR19" i="15" s="1"/>
  <c r="AQ21" i="135"/>
  <c r="AR21" i="135" s="1"/>
  <c r="BN21" i="63"/>
  <c r="BO21" i="63" s="1"/>
  <c r="M21" i="63"/>
  <c r="BL21" i="63"/>
  <c r="AE21" i="63"/>
  <c r="AK21" i="63"/>
  <c r="AB21" i="63"/>
  <c r="AH21" i="63"/>
  <c r="AN21" i="63"/>
  <c r="AY21" i="63"/>
  <c r="BG21" i="63" s="1"/>
  <c r="BQ21" i="63"/>
  <c r="K22" i="63"/>
  <c r="R22" i="63" s="1"/>
  <c r="AQ18" i="13"/>
  <c r="AR18" i="13" s="1"/>
  <c r="AF18" i="13"/>
  <c r="BG24" i="124"/>
  <c r="BH24" i="124" s="1"/>
  <c r="AQ22" i="105"/>
  <c r="AR22" i="105" s="1"/>
  <c r="M23" i="105"/>
  <c r="BJ23" i="105"/>
  <c r="AB23" i="105"/>
  <c r="AE23" i="105"/>
  <c r="AT23" i="105"/>
  <c r="AV23" i="105" s="1"/>
  <c r="AW23" i="105" s="1"/>
  <c r="AY23" i="105"/>
  <c r="BA23" i="105" s="1"/>
  <c r="AH23" i="105"/>
  <c r="AN23" i="105"/>
  <c r="AK23" i="105"/>
  <c r="AL23" i="105" s="1"/>
  <c r="BQ23" i="105"/>
  <c r="K24" i="105"/>
  <c r="BL19" i="13"/>
  <c r="M19" i="13"/>
  <c r="BN19" i="13"/>
  <c r="BO19" i="13" s="1"/>
  <c r="AY19" i="13"/>
  <c r="BA19" i="13" s="1"/>
  <c r="BQ19" i="13"/>
  <c r="AB19" i="13"/>
  <c r="AC19" i="13" s="1"/>
  <c r="AE19" i="13"/>
  <c r="AN19" i="13"/>
  <c r="AK19" i="13"/>
  <c r="AH19" i="13"/>
  <c r="AI19" i="13" s="1"/>
  <c r="R19" i="13"/>
  <c r="I23" i="110"/>
  <c r="K22" i="110"/>
  <c r="Z19" i="126"/>
  <c r="BK19" i="126"/>
  <c r="I27" i="114"/>
  <c r="O18" i="95"/>
  <c r="O19" i="132"/>
  <c r="W18" i="132"/>
  <c r="Z19" i="104"/>
  <c r="T20" i="15"/>
  <c r="Y20" i="15" s="1"/>
  <c r="R21" i="15"/>
  <c r="T20" i="104"/>
  <c r="Y20" i="104" s="1"/>
  <c r="R21" i="104"/>
  <c r="T20" i="136"/>
  <c r="Y20" i="136" s="1"/>
  <c r="Z20" i="136" s="1"/>
  <c r="R21" i="136"/>
  <c r="Z21" i="124"/>
  <c r="BK21" i="124"/>
  <c r="P17" i="98"/>
  <c r="T21" i="63"/>
  <c r="Y21" i="63" s="1"/>
  <c r="R23" i="124"/>
  <c r="T22" i="124"/>
  <c r="Y22" i="124" s="1"/>
  <c r="V18" i="115"/>
  <c r="T22" i="132"/>
  <c r="Y22" i="132" s="1"/>
  <c r="R23" i="132"/>
  <c r="V18" i="129"/>
  <c r="T19" i="99"/>
  <c r="Y19" i="99" s="1"/>
  <c r="R20" i="99"/>
  <c r="Z19" i="105"/>
  <c r="BK19" i="105"/>
  <c r="BK18" i="99"/>
  <c r="Z18" i="99"/>
  <c r="V18" i="106"/>
  <c r="P17" i="107"/>
  <c r="W17" i="126"/>
  <c r="O18" i="126"/>
  <c r="T20" i="107"/>
  <c r="Y20" i="107" s="1"/>
  <c r="R21" i="107"/>
  <c r="V17" i="130"/>
  <c r="P16" i="105"/>
  <c r="T23" i="133"/>
  <c r="Y23" i="133" s="1"/>
  <c r="Z23" i="133" s="1"/>
  <c r="R24" i="133"/>
  <c r="W18" i="114"/>
  <c r="O19" i="114"/>
  <c r="W17" i="13"/>
  <c r="O18" i="13"/>
  <c r="W17" i="66"/>
  <c r="O18" i="66"/>
  <c r="V16" i="99"/>
  <c r="BK19" i="107"/>
  <c r="Z19" i="107"/>
  <c r="V19" i="101"/>
  <c r="W16" i="120"/>
  <c r="O17" i="120"/>
  <c r="P17" i="118"/>
  <c r="T20" i="118"/>
  <c r="Y20" i="118" s="1"/>
  <c r="R21" i="118"/>
  <c r="P18" i="110"/>
  <c r="V18" i="133"/>
  <c r="P17" i="63"/>
  <c r="W19" i="64"/>
  <c r="O20" i="64"/>
  <c r="W17" i="15"/>
  <c r="O18" i="15"/>
  <c r="W16" i="135"/>
  <c r="O17" i="135"/>
  <c r="W18" i="96"/>
  <c r="O19" i="96"/>
  <c r="W16" i="136"/>
  <c r="O17" i="136"/>
  <c r="W16" i="112"/>
  <c r="O17" i="112"/>
  <c r="P18" i="17"/>
  <c r="V18" i="104"/>
  <c r="AC22" i="132" l="1"/>
  <c r="AL22" i="132"/>
  <c r="Z22" i="132"/>
  <c r="AC22" i="99"/>
  <c r="AO21" i="130"/>
  <c r="BR19" i="17"/>
  <c r="AC25" i="156"/>
  <c r="BR25" i="156"/>
  <c r="AF22" i="99"/>
  <c r="AF22" i="132"/>
  <c r="AC20" i="104"/>
  <c r="AL25" i="156"/>
  <c r="AO24" i="107"/>
  <c r="AC24" i="107"/>
  <c r="BR22" i="132"/>
  <c r="Z20" i="106"/>
  <c r="BD22" i="99"/>
  <c r="BE22" i="99" s="1"/>
  <c r="AV22" i="99"/>
  <c r="AW22" i="99" s="1"/>
  <c r="AY23" i="99"/>
  <c r="BA23" i="99" s="1"/>
  <c r="AN23" i="99"/>
  <c r="AT23" i="99"/>
  <c r="BD23" i="99" s="1"/>
  <c r="BE23" i="99" s="1"/>
  <c r="AK23" i="99"/>
  <c r="AB23" i="99"/>
  <c r="BQ23" i="99"/>
  <c r="M23" i="99"/>
  <c r="BJ23" i="99"/>
  <c r="BL23" i="99" s="1"/>
  <c r="AH23" i="99"/>
  <c r="AI23" i="99" s="1"/>
  <c r="AE23" i="99"/>
  <c r="K24" i="99"/>
  <c r="Z19" i="120"/>
  <c r="Z21" i="129"/>
  <c r="AH25" i="107"/>
  <c r="AY25" i="107"/>
  <c r="AK25" i="107"/>
  <c r="AT25" i="107"/>
  <c r="AN25" i="107"/>
  <c r="AB25" i="107"/>
  <c r="BJ25" i="107"/>
  <c r="BQ25" i="107"/>
  <c r="BR25" i="107" s="1"/>
  <c r="AE25" i="107"/>
  <c r="M25" i="107"/>
  <c r="BG23" i="99"/>
  <c r="BB21" i="129"/>
  <c r="AC21" i="129"/>
  <c r="BG22" i="99"/>
  <c r="BH22" i="99" s="1"/>
  <c r="BA22" i="99"/>
  <c r="BB22" i="99" s="1"/>
  <c r="BA22" i="132"/>
  <c r="BB22" i="132" s="1"/>
  <c r="BG22" i="132"/>
  <c r="BH22" i="132" s="1"/>
  <c r="I27" i="107"/>
  <c r="K26" i="107"/>
  <c r="BD24" i="107"/>
  <c r="BE24" i="107" s="1"/>
  <c r="AV24" i="107"/>
  <c r="AW24" i="107" s="1"/>
  <c r="AF24" i="107"/>
  <c r="AL21" i="129"/>
  <c r="AO25" i="156"/>
  <c r="Z20" i="112"/>
  <c r="AO22" i="132"/>
  <c r="W22" i="132"/>
  <c r="AL24" i="107"/>
  <c r="BR24" i="107"/>
  <c r="AL21" i="98"/>
  <c r="AF19" i="66"/>
  <c r="P26" i="152"/>
  <c r="V26" i="152" s="1"/>
  <c r="W26" i="152" s="1"/>
  <c r="AF21" i="129"/>
  <c r="BR21" i="129"/>
  <c r="BL22" i="99"/>
  <c r="AQ22" i="132"/>
  <c r="AR22" i="132" s="1"/>
  <c r="AI22" i="132"/>
  <c r="AQ24" i="107"/>
  <c r="AR24" i="107" s="1"/>
  <c r="AI24" i="107"/>
  <c r="AI22" i="99"/>
  <c r="AQ22" i="99"/>
  <c r="AR22" i="99" s="1"/>
  <c r="AH23" i="132"/>
  <c r="BL23" i="132"/>
  <c r="AN23" i="132"/>
  <c r="AB23" i="132"/>
  <c r="BQ23" i="132"/>
  <c r="AE23" i="132"/>
  <c r="AK23" i="132"/>
  <c r="BN23" i="132"/>
  <c r="BO23" i="132" s="1"/>
  <c r="V23" i="132"/>
  <c r="M23" i="132"/>
  <c r="AY23" i="132"/>
  <c r="K24" i="132"/>
  <c r="BG24" i="107"/>
  <c r="BH24" i="107" s="1"/>
  <c r="BA24" i="107"/>
  <c r="BB24" i="107" s="1"/>
  <c r="R22" i="115"/>
  <c r="T22" i="115" s="1"/>
  <c r="Y22" i="115" s="1"/>
  <c r="F108" i="164"/>
  <c r="BK19" i="104"/>
  <c r="BN21" i="163"/>
  <c r="BO21" i="163" s="1"/>
  <c r="BN16" i="163"/>
  <c r="BO16" i="163" s="1"/>
  <c r="BN19" i="163"/>
  <c r="BO19" i="163" s="1"/>
  <c r="BN22" i="163"/>
  <c r="BO22" i="163" s="1"/>
  <c r="BN20" i="163"/>
  <c r="BO20" i="163" s="1"/>
  <c r="BN15" i="163"/>
  <c r="BO15" i="163" s="1"/>
  <c r="BN24" i="163"/>
  <c r="BO24" i="163" s="1"/>
  <c r="BN23" i="163"/>
  <c r="BO23" i="163" s="1"/>
  <c r="BN21" i="164"/>
  <c r="BO21" i="164" s="1"/>
  <c r="O20" i="124"/>
  <c r="P20" i="124" s="1"/>
  <c r="V20" i="124" s="1"/>
  <c r="W20" i="124" s="1"/>
  <c r="BN17" i="163"/>
  <c r="BO17" i="163" s="1"/>
  <c r="BN23" i="164"/>
  <c r="BO23" i="164" s="1"/>
  <c r="BN18" i="164"/>
  <c r="BO18" i="164" s="1"/>
  <c r="BN20" i="164"/>
  <c r="BO20" i="164" s="1"/>
  <c r="BN17" i="164"/>
  <c r="BO17" i="164" s="1"/>
  <c r="BN22" i="164"/>
  <c r="BO22" i="164" s="1"/>
  <c r="BN19" i="164"/>
  <c r="BO19" i="164" s="1"/>
  <c r="BN16" i="164"/>
  <c r="BO16" i="164" s="1"/>
  <c r="BN15" i="164"/>
  <c r="BO15" i="164" s="1"/>
  <c r="W25" i="152"/>
  <c r="F84" i="164"/>
  <c r="AO23" i="136"/>
  <c r="AC23" i="136"/>
  <c r="AO20" i="104"/>
  <c r="BE20" i="104"/>
  <c r="BH20" i="106"/>
  <c r="AO20" i="112"/>
  <c r="AC25" i="124"/>
  <c r="BR20" i="104"/>
  <c r="BH20" i="104"/>
  <c r="AI20" i="104"/>
  <c r="AC20" i="112"/>
  <c r="BL20" i="112"/>
  <c r="F83" i="163"/>
  <c r="BA20" i="104"/>
  <c r="BB20" i="104" s="1"/>
  <c r="AL20" i="104"/>
  <c r="AC20" i="106"/>
  <c r="AL20" i="106"/>
  <c r="W15" i="156"/>
  <c r="O16" i="156"/>
  <c r="T17" i="156"/>
  <c r="Y17" i="156" s="1"/>
  <c r="Z17" i="156" s="1"/>
  <c r="R18" i="156"/>
  <c r="BE25" i="124"/>
  <c r="BA20" i="106"/>
  <c r="BB20" i="106" s="1"/>
  <c r="AW20" i="106"/>
  <c r="R21" i="96"/>
  <c r="T21" i="96" s="1"/>
  <c r="Y21" i="96" s="1"/>
  <c r="Z21" i="96" s="1"/>
  <c r="AF21" i="130"/>
  <c r="BB19" i="95"/>
  <c r="BE19" i="95"/>
  <c r="AF20" i="104"/>
  <c r="AI20" i="106"/>
  <c r="AF20" i="106"/>
  <c r="BK19" i="106"/>
  <c r="R22" i="110"/>
  <c r="T22" i="110" s="1"/>
  <c r="Y22" i="110" s="1"/>
  <c r="P26" i="164"/>
  <c r="P25" i="163"/>
  <c r="V25" i="163" s="1"/>
  <c r="W25" i="163" s="1"/>
  <c r="T34" i="163"/>
  <c r="Y34" i="163" s="1"/>
  <c r="Z34" i="163" s="1"/>
  <c r="R35" i="163"/>
  <c r="T35" i="164"/>
  <c r="Y35" i="164" s="1"/>
  <c r="Z35" i="164" s="1"/>
  <c r="R36" i="164"/>
  <c r="Z32" i="161"/>
  <c r="BK32" i="161"/>
  <c r="T33" i="161"/>
  <c r="Y33" i="161" s="1"/>
  <c r="R34" i="161"/>
  <c r="P25" i="161"/>
  <c r="V25" i="161" s="1"/>
  <c r="W25" i="161" s="1"/>
  <c r="I58" i="161"/>
  <c r="K57" i="161"/>
  <c r="BQ57" i="161" s="1"/>
  <c r="BG56" i="161"/>
  <c r="BH56" i="161" s="1"/>
  <c r="BA56" i="161"/>
  <c r="BB56" i="161" s="1"/>
  <c r="AT56" i="161"/>
  <c r="AN56" i="161"/>
  <c r="AO56" i="161" s="1"/>
  <c r="AH56" i="161"/>
  <c r="AI56" i="161" s="1"/>
  <c r="AB56" i="161"/>
  <c r="AC56" i="161" s="1"/>
  <c r="V56" i="161"/>
  <c r="W56" i="161" s="1"/>
  <c r="O56" i="161"/>
  <c r="BR56" i="161"/>
  <c r="AY56" i="161"/>
  <c r="BD56" i="161"/>
  <c r="BE56" i="161" s="1"/>
  <c r="AQ56" i="161"/>
  <c r="AR56" i="161" s="1"/>
  <c r="AK56" i="161"/>
  <c r="AL56" i="161" s="1"/>
  <c r="AE56" i="161"/>
  <c r="AF56" i="161" s="1"/>
  <c r="Y56" i="161"/>
  <c r="Z56" i="161" s="1"/>
  <c r="R56" i="161"/>
  <c r="T56" i="161" s="1"/>
  <c r="P56" i="161"/>
  <c r="AV56" i="161"/>
  <c r="AW56" i="161" s="1"/>
  <c r="BN56" i="161"/>
  <c r="BO56" i="161" s="1"/>
  <c r="BJ56" i="161"/>
  <c r="BL56" i="161" s="1"/>
  <c r="BK56" i="161"/>
  <c r="M56" i="161"/>
  <c r="AV20" i="104"/>
  <c r="AW20" i="104" s="1"/>
  <c r="Z20" i="118"/>
  <c r="Z20" i="15"/>
  <c r="AC20" i="118"/>
  <c r="Z21" i="114"/>
  <c r="AF21" i="114"/>
  <c r="BB22" i="64"/>
  <c r="AV19" i="95"/>
  <c r="AW19" i="95" s="1"/>
  <c r="AI19" i="95"/>
  <c r="AN21" i="104"/>
  <c r="AE21" i="104"/>
  <c r="M21" i="104"/>
  <c r="AB21" i="104"/>
  <c r="K22" i="104"/>
  <c r="AK21" i="104"/>
  <c r="BQ21" i="104"/>
  <c r="BJ21" i="104"/>
  <c r="AT21" i="104"/>
  <c r="AV21" i="104" s="1"/>
  <c r="AW21" i="104" s="1"/>
  <c r="AH21" i="104"/>
  <c r="AY21" i="104"/>
  <c r="BA21" i="104" s="1"/>
  <c r="AF23" i="133"/>
  <c r="K27" i="156"/>
  <c r="I28" i="156"/>
  <c r="BL20" i="106"/>
  <c r="BR20" i="106"/>
  <c r="AV20" i="112"/>
  <c r="AW20" i="112" s="1"/>
  <c r="BD20" i="112"/>
  <c r="BE20" i="112" s="1"/>
  <c r="AQ19" i="95"/>
  <c r="AR19" i="95" s="1"/>
  <c r="AC23" i="133"/>
  <c r="AO23" i="133"/>
  <c r="AB26" i="156"/>
  <c r="AE26" i="156"/>
  <c r="AN26" i="156"/>
  <c r="AK26" i="156"/>
  <c r="BL26" i="156"/>
  <c r="M26" i="156"/>
  <c r="AH26" i="156"/>
  <c r="BQ26" i="156"/>
  <c r="BN26" i="156"/>
  <c r="BO26" i="156" s="1"/>
  <c r="BD20" i="106"/>
  <c r="BE20" i="106" s="1"/>
  <c r="BR20" i="112"/>
  <c r="AC22" i="64"/>
  <c r="AW21" i="96"/>
  <c r="AY19" i="153"/>
  <c r="BG19" i="153" s="1"/>
  <c r="BH19" i="153" s="1"/>
  <c r="Z19" i="95"/>
  <c r="AO19" i="95"/>
  <c r="BH19" i="95"/>
  <c r="AB22" i="129"/>
  <c r="K23" i="129"/>
  <c r="AK22" i="129"/>
  <c r="M22" i="129"/>
  <c r="AE22" i="129"/>
  <c r="BL22" i="129"/>
  <c r="BN22" i="129"/>
  <c r="BO22" i="129" s="1"/>
  <c r="BQ22" i="129"/>
  <c r="AH22" i="129"/>
  <c r="AY22" i="129"/>
  <c r="BA22" i="129" s="1"/>
  <c r="BB22" i="129" s="1"/>
  <c r="AN22" i="129"/>
  <c r="R22" i="129"/>
  <c r="T22" i="129" s="1"/>
  <c r="Y22" i="129" s="1"/>
  <c r="Z22" i="129" s="1"/>
  <c r="AO21" i="129"/>
  <c r="BN24" i="133"/>
  <c r="BO24" i="133" s="1"/>
  <c r="AB24" i="133"/>
  <c r="K25" i="133"/>
  <c r="AE24" i="133"/>
  <c r="M24" i="133"/>
  <c r="AN24" i="133"/>
  <c r="V24" i="133"/>
  <c r="AH24" i="133"/>
  <c r="BQ24" i="133"/>
  <c r="BL24" i="133"/>
  <c r="AK24" i="133"/>
  <c r="W23" i="133"/>
  <c r="AF25" i="156"/>
  <c r="BA20" i="112"/>
  <c r="BB20" i="112" s="1"/>
  <c r="BG20" i="112"/>
  <c r="BH20" i="112" s="1"/>
  <c r="AL20" i="112"/>
  <c r="AC21" i="63"/>
  <c r="AO21" i="110"/>
  <c r="Z21" i="130"/>
  <c r="AC21" i="130"/>
  <c r="BG19" i="149"/>
  <c r="BH19" i="149" s="1"/>
  <c r="AY19" i="152"/>
  <c r="BG19" i="152" s="1"/>
  <c r="BH19" i="152" s="1"/>
  <c r="BR19" i="95"/>
  <c r="AC19" i="95"/>
  <c r="AF19" i="95"/>
  <c r="AQ20" i="104"/>
  <c r="AR20" i="104" s="1"/>
  <c r="AQ21" i="129"/>
  <c r="AR21" i="129" s="1"/>
  <c r="BR23" i="133"/>
  <c r="BJ21" i="106"/>
  <c r="AT21" i="106"/>
  <c r="AV21" i="106" s="1"/>
  <c r="AN21" i="106"/>
  <c r="AH21" i="106"/>
  <c r="AE21" i="106"/>
  <c r="M21" i="106"/>
  <c r="AK21" i="106"/>
  <c r="AY21" i="106"/>
  <c r="BA21" i="106" s="1"/>
  <c r="AB21" i="106"/>
  <c r="BQ21" i="106"/>
  <c r="R21" i="106"/>
  <c r="T21" i="106" s="1"/>
  <c r="Y21" i="106" s="1"/>
  <c r="AQ20" i="106"/>
  <c r="M21" i="112"/>
  <c r="AT21" i="112"/>
  <c r="AB21" i="112"/>
  <c r="AK21" i="112"/>
  <c r="AH21" i="112"/>
  <c r="R21" i="112"/>
  <c r="T21" i="112" s="1"/>
  <c r="Y21" i="112" s="1"/>
  <c r="AN21" i="112"/>
  <c r="BQ21" i="112"/>
  <c r="BJ21" i="112"/>
  <c r="AY21" i="112"/>
  <c r="K22" i="112"/>
  <c r="AE21" i="112"/>
  <c r="AL21" i="130"/>
  <c r="BR21" i="130"/>
  <c r="BG19" i="151"/>
  <c r="BH19" i="151" s="1"/>
  <c r="AL19" i="95"/>
  <c r="AH20" i="95"/>
  <c r="BG20" i="95"/>
  <c r="AE20" i="95"/>
  <c r="AT20" i="95"/>
  <c r="BD20" i="95" s="1"/>
  <c r="AN20" i="95"/>
  <c r="M20" i="95"/>
  <c r="AK20" i="95"/>
  <c r="AB20" i="95"/>
  <c r="K21" i="95"/>
  <c r="BN20" i="95"/>
  <c r="BO20" i="95" s="1"/>
  <c r="BL20" i="95"/>
  <c r="BA20" i="95"/>
  <c r="BQ20" i="95"/>
  <c r="R20" i="95"/>
  <c r="T20" i="95" s="1"/>
  <c r="Y20" i="95" s="1"/>
  <c r="BL20" i="104"/>
  <c r="BG21" i="129"/>
  <c r="BH21" i="129" s="1"/>
  <c r="AQ23" i="133"/>
  <c r="AR23" i="133" s="1"/>
  <c r="AI23" i="133"/>
  <c r="AI25" i="156"/>
  <c r="AQ25" i="156"/>
  <c r="AR25" i="156" s="1"/>
  <c r="I23" i="106"/>
  <c r="K22" i="106"/>
  <c r="AO20" i="106"/>
  <c r="AR19" i="112"/>
  <c r="BK19" i="112"/>
  <c r="AF20" i="112"/>
  <c r="AI20" i="112"/>
  <c r="AQ20" i="112"/>
  <c r="AF21" i="110"/>
  <c r="AL23" i="133"/>
  <c r="R24" i="151"/>
  <c r="T24" i="151" s="1"/>
  <c r="Y24" i="151" s="1"/>
  <c r="Z24" i="151" s="1"/>
  <c r="BE24" i="147"/>
  <c r="AQ21" i="130"/>
  <c r="AR21" i="130" s="1"/>
  <c r="AI21" i="130"/>
  <c r="M22" i="130"/>
  <c r="BL22" i="130"/>
  <c r="K23" i="130"/>
  <c r="BN22" i="130"/>
  <c r="BO22" i="130" s="1"/>
  <c r="AE22" i="130"/>
  <c r="BQ22" i="130"/>
  <c r="AN22" i="130"/>
  <c r="AB22" i="130"/>
  <c r="AK22" i="130"/>
  <c r="AH22" i="130"/>
  <c r="R22" i="130"/>
  <c r="T22" i="130" s="1"/>
  <c r="Y22" i="130" s="1"/>
  <c r="BA18" i="15"/>
  <c r="BB18" i="15" s="1"/>
  <c r="BG18" i="15"/>
  <c r="BH18" i="15" s="1"/>
  <c r="BA19" i="130"/>
  <c r="BB19" i="130" s="1"/>
  <c r="BG19" i="130"/>
  <c r="BH19" i="130" s="1"/>
  <c r="BG18" i="130"/>
  <c r="BH18" i="130" s="1"/>
  <c r="BA18" i="130"/>
  <c r="BB18" i="130" s="1"/>
  <c r="BA19" i="150"/>
  <c r="BB19" i="150" s="1"/>
  <c r="BG19" i="150"/>
  <c r="BH19" i="150" s="1"/>
  <c r="BA18" i="150"/>
  <c r="BB18" i="150" s="1"/>
  <c r="BG18" i="150"/>
  <c r="BH18" i="150" s="1"/>
  <c r="BA19" i="149"/>
  <c r="BB19" i="149" s="1"/>
  <c r="BG18" i="151"/>
  <c r="BH18" i="151" s="1"/>
  <c r="BA18" i="151"/>
  <c r="BB18" i="151" s="1"/>
  <c r="BG18" i="149"/>
  <c r="BH18" i="149" s="1"/>
  <c r="BA18" i="149"/>
  <c r="BB18" i="149" s="1"/>
  <c r="BA19" i="155"/>
  <c r="BB19" i="155" s="1"/>
  <c r="BG19" i="155"/>
  <c r="BH19" i="155" s="1"/>
  <c r="BG19" i="156"/>
  <c r="BH19" i="156" s="1"/>
  <c r="BA19" i="156"/>
  <c r="BB19" i="156" s="1"/>
  <c r="BA18" i="155"/>
  <c r="BB18" i="155" s="1"/>
  <c r="BG18" i="155"/>
  <c r="BH18" i="155" s="1"/>
  <c r="BG18" i="153"/>
  <c r="BH18" i="153" s="1"/>
  <c r="BA18" i="153"/>
  <c r="BB18" i="153" s="1"/>
  <c r="BG18" i="152"/>
  <c r="BH18" i="152" s="1"/>
  <c r="BA18" i="152"/>
  <c r="BB18" i="152" s="1"/>
  <c r="BA18" i="156"/>
  <c r="BB18" i="156" s="1"/>
  <c r="BG18" i="156"/>
  <c r="BH18" i="156" s="1"/>
  <c r="A24" i="7"/>
  <c r="AY20" i="133" s="1"/>
  <c r="AY19" i="136"/>
  <c r="AY19" i="133"/>
  <c r="AY20" i="136"/>
  <c r="AY19" i="15"/>
  <c r="T16" i="155"/>
  <c r="Y16" i="155" s="1"/>
  <c r="Z16" i="155" s="1"/>
  <c r="R17" i="155"/>
  <c r="BR21" i="96"/>
  <c r="Z23" i="150"/>
  <c r="W23" i="150"/>
  <c r="V15" i="155"/>
  <c r="R23" i="146"/>
  <c r="T23" i="146" s="1"/>
  <c r="Y23" i="146" s="1"/>
  <c r="Z23" i="146" s="1"/>
  <c r="R21" i="105"/>
  <c r="T21" i="105" s="1"/>
  <c r="Y21" i="105" s="1"/>
  <c r="AI26" i="153"/>
  <c r="W26" i="153"/>
  <c r="AL26" i="153"/>
  <c r="AO26" i="153"/>
  <c r="AC26" i="153"/>
  <c r="Z26" i="153"/>
  <c r="R25" i="149"/>
  <c r="T25" i="149" s="1"/>
  <c r="Y25" i="149" s="1"/>
  <c r="Z25" i="149" s="1"/>
  <c r="P20" i="151"/>
  <c r="V20" i="151" s="1"/>
  <c r="W20" i="151" s="1"/>
  <c r="R24" i="147"/>
  <c r="T24" i="147" s="1"/>
  <c r="Y24" i="147" s="1"/>
  <c r="Z24" i="147" s="1"/>
  <c r="AQ26" i="155"/>
  <c r="AR26" i="155" s="1"/>
  <c r="AF26" i="155"/>
  <c r="AL26" i="155"/>
  <c r="AO26" i="155"/>
  <c r="BR26" i="155"/>
  <c r="AI26" i="155"/>
  <c r="AC26" i="155"/>
  <c r="M27" i="155"/>
  <c r="BQ27" i="155"/>
  <c r="AH27" i="155"/>
  <c r="AB27" i="155"/>
  <c r="BN27" i="155"/>
  <c r="BO27" i="155" s="1"/>
  <c r="AK27" i="155"/>
  <c r="AE27" i="155"/>
  <c r="AN27" i="155"/>
  <c r="BL27" i="155"/>
  <c r="K28" i="155"/>
  <c r="I29" i="155"/>
  <c r="A16" i="58"/>
  <c r="H13" i="58" s="1"/>
  <c r="BR26" i="153"/>
  <c r="I32" i="153"/>
  <c r="AQ26" i="153"/>
  <c r="AR26" i="153" s="1"/>
  <c r="O27" i="153"/>
  <c r="AB27" i="153"/>
  <c r="AH27" i="153"/>
  <c r="AN27" i="153"/>
  <c r="P27" i="153"/>
  <c r="V27" i="153" s="1"/>
  <c r="BN27" i="153"/>
  <c r="BO27" i="153" s="1"/>
  <c r="R27" i="153"/>
  <c r="T27" i="153" s="1"/>
  <c r="Y27" i="153" s="1"/>
  <c r="AE27" i="153"/>
  <c r="AK27" i="153"/>
  <c r="BQ27" i="153"/>
  <c r="M27" i="153"/>
  <c r="BL27" i="153"/>
  <c r="K28" i="153"/>
  <c r="AF26" i="153"/>
  <c r="R22" i="64"/>
  <c r="T22" i="64" s="1"/>
  <c r="Y22" i="64" s="1"/>
  <c r="Z22" i="64" s="1"/>
  <c r="AO26" i="152"/>
  <c r="AI26" i="152"/>
  <c r="Z26" i="152"/>
  <c r="BR26" i="152"/>
  <c r="AL26" i="152"/>
  <c r="BA24" i="147"/>
  <c r="BB24" i="147" s="1"/>
  <c r="AQ24" i="151"/>
  <c r="AR24" i="151" s="1"/>
  <c r="AF26" i="152"/>
  <c r="AQ26" i="152"/>
  <c r="AR26" i="152" s="1"/>
  <c r="AC26" i="152"/>
  <c r="I36" i="152"/>
  <c r="AB27" i="152"/>
  <c r="AH27" i="152"/>
  <c r="AN27" i="152"/>
  <c r="BN27" i="152"/>
  <c r="BO27" i="152" s="1"/>
  <c r="R27" i="152"/>
  <c r="T27" i="152" s="1"/>
  <c r="Y27" i="152" s="1"/>
  <c r="AE27" i="152"/>
  <c r="BQ27" i="152"/>
  <c r="AK27" i="152"/>
  <c r="M27" i="152"/>
  <c r="BL27" i="152"/>
  <c r="K28" i="152"/>
  <c r="Z21" i="63"/>
  <c r="BH23" i="146"/>
  <c r="BR23" i="150"/>
  <c r="AW23" i="146"/>
  <c r="AF23" i="150"/>
  <c r="R21" i="126"/>
  <c r="T21" i="126" s="1"/>
  <c r="Y21" i="126" s="1"/>
  <c r="Z21" i="126" s="1"/>
  <c r="Z22" i="135"/>
  <c r="AL23" i="150"/>
  <c r="AQ23" i="150"/>
  <c r="AR23" i="150" s="1"/>
  <c r="AI24" i="151"/>
  <c r="I27" i="151"/>
  <c r="K26" i="151"/>
  <c r="AO24" i="151"/>
  <c r="AF24" i="151"/>
  <c r="AC24" i="151"/>
  <c r="BQ25" i="151"/>
  <c r="AK25" i="151"/>
  <c r="AE25" i="151"/>
  <c r="AN25" i="151"/>
  <c r="AH25" i="151"/>
  <c r="AB25" i="151"/>
  <c r="BN25" i="151"/>
  <c r="BO25" i="151" s="1"/>
  <c r="M25" i="151"/>
  <c r="BL25" i="151"/>
  <c r="AL24" i="151"/>
  <c r="BR24" i="151"/>
  <c r="AO23" i="150"/>
  <c r="I28" i="150"/>
  <c r="AN24" i="150"/>
  <c r="AH24" i="150"/>
  <c r="AB24" i="150"/>
  <c r="O24" i="150"/>
  <c r="P24" i="150" s="1"/>
  <c r="V24" i="150" s="1"/>
  <c r="BQ24" i="150"/>
  <c r="AK24" i="150"/>
  <c r="AE24" i="150"/>
  <c r="R24" i="150"/>
  <c r="T24" i="150" s="1"/>
  <c r="Y24" i="150" s="1"/>
  <c r="BN24" i="150"/>
  <c r="BO24" i="150" s="1"/>
  <c r="M24" i="150"/>
  <c r="BL24" i="150"/>
  <c r="K25" i="150"/>
  <c r="AC23" i="150"/>
  <c r="AI23" i="150"/>
  <c r="AV21" i="126"/>
  <c r="AW21" i="126" s="1"/>
  <c r="O21" i="149"/>
  <c r="P21" i="149" s="1"/>
  <c r="I28" i="149"/>
  <c r="K27" i="149"/>
  <c r="AO25" i="149"/>
  <c r="AL25" i="149"/>
  <c r="AE26" i="149"/>
  <c r="BQ26" i="149"/>
  <c r="AK26" i="149"/>
  <c r="AB26" i="149"/>
  <c r="AH26" i="149"/>
  <c r="AN26" i="149"/>
  <c r="BN26" i="149"/>
  <c r="BO26" i="149" s="1"/>
  <c r="M26" i="149"/>
  <c r="BL26" i="149"/>
  <c r="AI25" i="149"/>
  <c r="AQ25" i="149"/>
  <c r="AR25" i="149" s="1"/>
  <c r="AC25" i="149"/>
  <c r="BR25" i="149"/>
  <c r="AF25" i="149"/>
  <c r="BA22" i="135"/>
  <c r="BB22" i="135" s="1"/>
  <c r="AQ21" i="96"/>
  <c r="AR21" i="96" s="1"/>
  <c r="BH24" i="147"/>
  <c r="AO19" i="13"/>
  <c r="BB19" i="13"/>
  <c r="AO19" i="120"/>
  <c r="AC24" i="147"/>
  <c r="AF19" i="13"/>
  <c r="AQ23" i="136"/>
  <c r="AR23" i="136" s="1"/>
  <c r="BD21" i="114"/>
  <c r="BE21" i="114" s="1"/>
  <c r="BK20" i="115"/>
  <c r="BL24" i="147"/>
  <c r="AV19" i="66"/>
  <c r="AW19" i="66" s="1"/>
  <c r="BK20" i="110"/>
  <c r="AQ20" i="15"/>
  <c r="AR20" i="15" s="1"/>
  <c r="BK20" i="126"/>
  <c r="BD21" i="110"/>
  <c r="BE21" i="110" s="1"/>
  <c r="BR24" i="147"/>
  <c r="BQ25" i="147"/>
  <c r="AY25" i="147"/>
  <c r="BG25" i="147" s="1"/>
  <c r="AE25" i="147"/>
  <c r="AB25" i="147"/>
  <c r="AT25" i="147"/>
  <c r="BD25" i="147" s="1"/>
  <c r="M25" i="147"/>
  <c r="BJ25" i="147"/>
  <c r="AV24" i="147"/>
  <c r="AW24" i="147" s="1"/>
  <c r="V19" i="147"/>
  <c r="AI24" i="147"/>
  <c r="BK23" i="147"/>
  <c r="AF24" i="147"/>
  <c r="I27" i="147"/>
  <c r="K26" i="147"/>
  <c r="AH26" i="147" s="1"/>
  <c r="BL23" i="146"/>
  <c r="BK22" i="146"/>
  <c r="BD23" i="146"/>
  <c r="BE23" i="146" s="1"/>
  <c r="BR23" i="146"/>
  <c r="AC23" i="146"/>
  <c r="BA23" i="146"/>
  <c r="BB23" i="146" s="1"/>
  <c r="I26" i="146"/>
  <c r="K25" i="146"/>
  <c r="AH25" i="146" s="1"/>
  <c r="AF23" i="146"/>
  <c r="AI23" i="146"/>
  <c r="V18" i="146"/>
  <c r="AT24" i="146"/>
  <c r="BD24" i="146" s="1"/>
  <c r="AB24" i="146"/>
  <c r="BQ24" i="146"/>
  <c r="AY24" i="146"/>
  <c r="BG24" i="146" s="1"/>
  <c r="AE24" i="146"/>
  <c r="BJ24" i="146"/>
  <c r="M24" i="146"/>
  <c r="AQ21" i="126"/>
  <c r="AR21" i="126" s="1"/>
  <c r="AV20" i="101"/>
  <c r="AW20" i="101" s="1"/>
  <c r="AQ21" i="110"/>
  <c r="AR21" i="110" s="1"/>
  <c r="AQ21" i="63"/>
  <c r="AR21" i="63" s="1"/>
  <c r="BB21" i="110"/>
  <c r="BL21" i="110"/>
  <c r="BB21" i="98"/>
  <c r="AL21" i="115"/>
  <c r="AI21" i="115"/>
  <c r="AW21" i="115"/>
  <c r="BB23" i="105"/>
  <c r="AC19" i="120"/>
  <c r="BB21" i="126"/>
  <c r="AL22" i="64"/>
  <c r="AL19" i="13"/>
  <c r="BR19" i="13"/>
  <c r="AO23" i="105"/>
  <c r="AQ21" i="114"/>
  <c r="AR21" i="114" s="1"/>
  <c r="AF22" i="64"/>
  <c r="BR22" i="64"/>
  <c r="AQ19" i="66"/>
  <c r="AR19" i="66" s="1"/>
  <c r="AF20" i="101"/>
  <c r="AL20" i="101"/>
  <c r="BR20" i="101"/>
  <c r="BG21" i="98"/>
  <c r="BH21" i="98" s="1"/>
  <c r="Z20" i="101"/>
  <c r="AI19" i="17"/>
  <c r="AO21" i="98"/>
  <c r="BE21" i="98"/>
  <c r="AV25" i="124"/>
  <c r="AW25" i="124" s="1"/>
  <c r="BD21" i="115"/>
  <c r="BE21" i="115" s="1"/>
  <c r="AC21" i="115"/>
  <c r="BB21" i="115"/>
  <c r="BG19" i="66"/>
  <c r="BH19" i="66" s="1"/>
  <c r="AW21" i="114"/>
  <c r="BA21" i="63"/>
  <c r="BB21" i="63" s="1"/>
  <c r="BG21" i="126"/>
  <c r="BH21" i="126" s="1"/>
  <c r="BB20" i="101"/>
  <c r="AO20" i="118"/>
  <c r="BH20" i="118"/>
  <c r="AO22" i="64"/>
  <c r="BL23" i="105"/>
  <c r="BD23" i="105"/>
  <c r="BE23" i="105" s="1"/>
  <c r="AF23" i="105"/>
  <c r="AO21" i="63"/>
  <c r="AF21" i="63"/>
  <c r="AQ20" i="101"/>
  <c r="AR20" i="101" s="1"/>
  <c r="AQ19" i="17"/>
  <c r="AR19" i="17" s="1"/>
  <c r="AC19" i="17"/>
  <c r="AI20" i="118"/>
  <c r="BR21" i="110"/>
  <c r="AL21" i="110"/>
  <c r="AI21" i="110"/>
  <c r="BR21" i="98"/>
  <c r="AI21" i="98"/>
  <c r="AC21" i="98"/>
  <c r="AF25" i="124"/>
  <c r="AL19" i="120"/>
  <c r="BB19" i="120"/>
  <c r="BG21" i="115"/>
  <c r="BH21" i="115" s="1"/>
  <c r="BR21" i="115"/>
  <c r="AO21" i="115"/>
  <c r="BR19" i="66"/>
  <c r="AL19" i="66"/>
  <c r="BR23" i="105"/>
  <c r="AI23" i="105"/>
  <c r="AC23" i="105"/>
  <c r="BR21" i="63"/>
  <c r="BL21" i="126"/>
  <c r="BG20" i="101"/>
  <c r="BH20" i="101" s="1"/>
  <c r="BA20" i="118"/>
  <c r="BB20" i="118" s="1"/>
  <c r="AF21" i="98"/>
  <c r="BR25" i="124"/>
  <c r="BB25" i="124"/>
  <c r="BR19" i="120"/>
  <c r="BR21" i="114"/>
  <c r="BB21" i="114"/>
  <c r="AC21" i="114"/>
  <c r="BG19" i="13"/>
  <c r="BH19" i="13" s="1"/>
  <c r="BG23" i="105"/>
  <c r="BH23" i="105" s="1"/>
  <c r="BG21" i="110"/>
  <c r="BH21" i="110" s="1"/>
  <c r="AV21" i="98"/>
  <c r="AW21" i="98" s="1"/>
  <c r="AI25" i="124"/>
  <c r="AO19" i="66"/>
  <c r="BB19" i="66"/>
  <c r="AC19" i="66"/>
  <c r="AQ22" i="64"/>
  <c r="AR22" i="64" s="1"/>
  <c r="M22" i="110"/>
  <c r="BJ22" i="110"/>
  <c r="AE22" i="110"/>
  <c r="AK22" i="110"/>
  <c r="AH22" i="110"/>
  <c r="AN22" i="110"/>
  <c r="AY22" i="110"/>
  <c r="BA22" i="110" s="1"/>
  <c r="AB22" i="110"/>
  <c r="AT22" i="110"/>
  <c r="BD22" i="110" s="1"/>
  <c r="BQ22" i="110"/>
  <c r="AQ19" i="13"/>
  <c r="AR19" i="13" s="1"/>
  <c r="AI21" i="63"/>
  <c r="BE21" i="126"/>
  <c r="AF21" i="126"/>
  <c r="AI20" i="101"/>
  <c r="BR22" i="135"/>
  <c r="AF22" i="135"/>
  <c r="AI22" i="135"/>
  <c r="Z19" i="17"/>
  <c r="AO19" i="17"/>
  <c r="BR20" i="118"/>
  <c r="AL20" i="118"/>
  <c r="AF20" i="118"/>
  <c r="AW21" i="110"/>
  <c r="AC21" i="110"/>
  <c r="BL21" i="98"/>
  <c r="AE20" i="66"/>
  <c r="AN20" i="66"/>
  <c r="M20" i="66"/>
  <c r="BN20" i="66"/>
  <c r="BO20" i="66" s="1"/>
  <c r="BL20" i="66"/>
  <c r="AK20" i="66"/>
  <c r="AY20" i="66"/>
  <c r="BA20" i="66" s="1"/>
  <c r="AB20" i="66"/>
  <c r="AH20" i="66"/>
  <c r="BQ20" i="66"/>
  <c r="I31" i="95"/>
  <c r="BG19" i="120"/>
  <c r="BH19" i="120" s="1"/>
  <c r="AI19" i="120"/>
  <c r="AF19" i="120"/>
  <c r="I27" i="63"/>
  <c r="I27" i="126"/>
  <c r="AQ21" i="115"/>
  <c r="AR21" i="115" s="1"/>
  <c r="BE19" i="66"/>
  <c r="R20" i="66"/>
  <c r="T20" i="66" s="1"/>
  <c r="Y20" i="66" s="1"/>
  <c r="T19" i="66"/>
  <c r="Y19" i="66" s="1"/>
  <c r="Z19" i="66" s="1"/>
  <c r="AI19" i="66"/>
  <c r="AF20" i="15"/>
  <c r="I26" i="15"/>
  <c r="M24" i="136"/>
  <c r="BN24" i="136"/>
  <c r="BO24" i="136" s="1"/>
  <c r="BL24" i="136"/>
  <c r="AE24" i="136"/>
  <c r="AK24" i="136"/>
  <c r="AB24" i="136"/>
  <c r="AH24" i="136"/>
  <c r="AN24" i="136"/>
  <c r="BQ24" i="136"/>
  <c r="K25" i="136"/>
  <c r="BR23" i="136"/>
  <c r="AI23" i="136"/>
  <c r="I78" i="99"/>
  <c r="M22" i="114"/>
  <c r="BJ22" i="114"/>
  <c r="AY22" i="114"/>
  <c r="BA22" i="114" s="1"/>
  <c r="AH22" i="114"/>
  <c r="AK22" i="114"/>
  <c r="AT22" i="114"/>
  <c r="AV22" i="114" s="1"/>
  <c r="AE22" i="114"/>
  <c r="AF22" i="114" s="1"/>
  <c r="AB22" i="114"/>
  <c r="AN22" i="114"/>
  <c r="BQ22" i="114"/>
  <c r="K23" i="114"/>
  <c r="R22" i="114"/>
  <c r="T22" i="114" s="1"/>
  <c r="Y22" i="114" s="1"/>
  <c r="AO21" i="114"/>
  <c r="AI21" i="114"/>
  <c r="BL21" i="114"/>
  <c r="T20" i="98"/>
  <c r="Y20" i="98" s="1"/>
  <c r="R21" i="98"/>
  <c r="BG22" i="64"/>
  <c r="BH22" i="64" s="1"/>
  <c r="AI22" i="64"/>
  <c r="M21" i="101"/>
  <c r="AN21" i="101"/>
  <c r="BQ21" i="101"/>
  <c r="AY21" i="101"/>
  <c r="BG21" i="101" s="1"/>
  <c r="AK21" i="101"/>
  <c r="AB21" i="101"/>
  <c r="AE21" i="101"/>
  <c r="AT21" i="101"/>
  <c r="BD21" i="101" s="1"/>
  <c r="R21" i="101"/>
  <c r="T21" i="101" s="1"/>
  <c r="Y21" i="101" s="1"/>
  <c r="I22" i="17"/>
  <c r="K21" i="17"/>
  <c r="BD21" i="96"/>
  <c r="BE21" i="96" s="1"/>
  <c r="AL21" i="96"/>
  <c r="AF21" i="96"/>
  <c r="I28" i="114"/>
  <c r="I24" i="110"/>
  <c r="K23" i="110"/>
  <c r="AQ23" i="105"/>
  <c r="AR23" i="105" s="1"/>
  <c r="BN22" i="63"/>
  <c r="BO22" i="63" s="1"/>
  <c r="M22" i="63"/>
  <c r="AH22" i="63"/>
  <c r="AN22" i="63"/>
  <c r="AE22" i="63"/>
  <c r="AB22" i="63"/>
  <c r="AK22" i="63"/>
  <c r="AY22" i="63"/>
  <c r="BA22" i="63" s="1"/>
  <c r="BL22" i="63"/>
  <c r="BQ22" i="63"/>
  <c r="K23" i="63"/>
  <c r="AO21" i="126"/>
  <c r="AL21" i="126"/>
  <c r="I37" i="133"/>
  <c r="I28" i="136"/>
  <c r="AO22" i="135"/>
  <c r="AL22" i="135"/>
  <c r="K22" i="118"/>
  <c r="M21" i="118"/>
  <c r="AE21" i="118"/>
  <c r="AB21" i="118"/>
  <c r="AY21" i="118"/>
  <c r="BG21" i="118" s="1"/>
  <c r="AH21" i="118"/>
  <c r="AN21" i="118"/>
  <c r="AK21" i="118"/>
  <c r="BQ21" i="118"/>
  <c r="K21" i="13"/>
  <c r="I22" i="13"/>
  <c r="K23" i="98"/>
  <c r="M22" i="98"/>
  <c r="AE22" i="98"/>
  <c r="AB22" i="98"/>
  <c r="AT22" i="98"/>
  <c r="AV22" i="98" s="1"/>
  <c r="AY22" i="98"/>
  <c r="BA22" i="98" s="1"/>
  <c r="BB22" i="98" s="1"/>
  <c r="AH22" i="98"/>
  <c r="BJ22" i="98"/>
  <c r="AK22" i="98"/>
  <c r="AN22" i="98"/>
  <c r="BQ22" i="98"/>
  <c r="K21" i="120"/>
  <c r="M20" i="120"/>
  <c r="AH20" i="120"/>
  <c r="AE20" i="120"/>
  <c r="AB20" i="120"/>
  <c r="AY20" i="120"/>
  <c r="BG20" i="120" s="1"/>
  <c r="BQ20" i="120"/>
  <c r="AN20" i="120"/>
  <c r="AK20" i="120"/>
  <c r="R20" i="120"/>
  <c r="T20" i="120" s="1"/>
  <c r="Y20" i="120" s="1"/>
  <c r="BL21" i="115"/>
  <c r="BR20" i="15"/>
  <c r="I26" i="104"/>
  <c r="I29" i="105"/>
  <c r="M23" i="64"/>
  <c r="AY23" i="64"/>
  <c r="BA23" i="64" s="1"/>
  <c r="BN23" i="64"/>
  <c r="BO23" i="64" s="1"/>
  <c r="BQ23" i="64"/>
  <c r="BL23" i="64"/>
  <c r="AK23" i="64"/>
  <c r="AH23" i="64"/>
  <c r="AE23" i="64"/>
  <c r="AN23" i="64"/>
  <c r="AB23" i="64"/>
  <c r="K24" i="64"/>
  <c r="I23" i="101"/>
  <c r="K22" i="101"/>
  <c r="AH22" i="101" s="1"/>
  <c r="BN20" i="17"/>
  <c r="BO20" i="17" s="1"/>
  <c r="BL20" i="17"/>
  <c r="M20" i="17"/>
  <c r="AB20" i="17"/>
  <c r="AK20" i="17"/>
  <c r="AE20" i="17"/>
  <c r="AH20" i="17"/>
  <c r="AY20" i="17"/>
  <c r="BG20" i="17" s="1"/>
  <c r="AN20" i="17"/>
  <c r="BQ20" i="17"/>
  <c r="R20" i="17"/>
  <c r="T20" i="17" s="1"/>
  <c r="Y20" i="17" s="1"/>
  <c r="BJ24" i="105"/>
  <c r="M24" i="105"/>
  <c r="AE24" i="105"/>
  <c r="AY24" i="105"/>
  <c r="BA24" i="105" s="1"/>
  <c r="AB24" i="105"/>
  <c r="AT24" i="105"/>
  <c r="BD24" i="105" s="1"/>
  <c r="AH24" i="105"/>
  <c r="AK24" i="105"/>
  <c r="BQ24" i="105"/>
  <c r="AN24" i="105"/>
  <c r="K25" i="105"/>
  <c r="BH21" i="63"/>
  <c r="AL21" i="63"/>
  <c r="BR21" i="126"/>
  <c r="AC21" i="126"/>
  <c r="BE20" i="101"/>
  <c r="AO20" i="101"/>
  <c r="BH22" i="135"/>
  <c r="AQ22" i="135"/>
  <c r="AR22" i="135" s="1"/>
  <c r="AC22" i="135"/>
  <c r="BG19" i="17"/>
  <c r="BH19" i="17" s="1"/>
  <c r="AF19" i="17"/>
  <c r="AL19" i="17"/>
  <c r="I28" i="64"/>
  <c r="AQ20" i="118"/>
  <c r="AR20" i="118" s="1"/>
  <c r="BL20" i="13"/>
  <c r="M20" i="13"/>
  <c r="BN20" i="13"/>
  <c r="BO20" i="13" s="1"/>
  <c r="AY20" i="13"/>
  <c r="BA20" i="13" s="1"/>
  <c r="BQ20" i="13"/>
  <c r="AE20" i="13"/>
  <c r="AN20" i="13"/>
  <c r="AH20" i="13"/>
  <c r="AK20" i="13"/>
  <c r="AB20" i="13"/>
  <c r="M22" i="115"/>
  <c r="AE22" i="115"/>
  <c r="AT22" i="115"/>
  <c r="AV22" i="115" s="1"/>
  <c r="AH22" i="115"/>
  <c r="AB22" i="115"/>
  <c r="AK22" i="115"/>
  <c r="AN22" i="115"/>
  <c r="AY22" i="115"/>
  <c r="BG22" i="115" s="1"/>
  <c r="BJ22" i="115"/>
  <c r="BQ22" i="115"/>
  <c r="BG25" i="124"/>
  <c r="BH25" i="124" s="1"/>
  <c r="BL25" i="124"/>
  <c r="AQ19" i="120"/>
  <c r="AR19" i="120" s="1"/>
  <c r="AF21" i="115"/>
  <c r="AC20" i="15"/>
  <c r="AL20" i="15"/>
  <c r="M22" i="96"/>
  <c r="BN22" i="96"/>
  <c r="BO22" i="96" s="1"/>
  <c r="AB22" i="96"/>
  <c r="AK22" i="96"/>
  <c r="AH22" i="96"/>
  <c r="BG22" i="96"/>
  <c r="AT22" i="96"/>
  <c r="AV22" i="96" s="1"/>
  <c r="BL22" i="96"/>
  <c r="AE22" i="96"/>
  <c r="AN22" i="96"/>
  <c r="BQ22" i="96"/>
  <c r="BA22" i="96"/>
  <c r="AF23" i="136"/>
  <c r="BG21" i="114"/>
  <c r="AL21" i="114"/>
  <c r="BE20" i="114"/>
  <c r="BK20" i="114"/>
  <c r="M23" i="135"/>
  <c r="AH23" i="135"/>
  <c r="AE23" i="135"/>
  <c r="BN23" i="135"/>
  <c r="BO23" i="135" s="1"/>
  <c r="AN23" i="135"/>
  <c r="AB23" i="135"/>
  <c r="AK23" i="135"/>
  <c r="AY23" i="135"/>
  <c r="BG23" i="135" s="1"/>
  <c r="BL23" i="135"/>
  <c r="BQ23" i="135"/>
  <c r="R23" i="135"/>
  <c r="T23" i="135" s="1"/>
  <c r="Y23" i="135" s="1"/>
  <c r="BB21" i="96"/>
  <c r="AI21" i="96"/>
  <c r="AO21" i="96"/>
  <c r="R20" i="13"/>
  <c r="T20" i="13" s="1"/>
  <c r="Y20" i="13" s="1"/>
  <c r="Z20" i="13" s="1"/>
  <c r="T19" i="13"/>
  <c r="Y19" i="13" s="1"/>
  <c r="Z19" i="13" s="1"/>
  <c r="M22" i="126"/>
  <c r="BJ22" i="126"/>
  <c r="AE22" i="126"/>
  <c r="AY22" i="126"/>
  <c r="BG22" i="126" s="1"/>
  <c r="AT22" i="126"/>
  <c r="AV22" i="126" s="1"/>
  <c r="AB22" i="126"/>
  <c r="AN22" i="126"/>
  <c r="AK22" i="126"/>
  <c r="BQ22" i="126"/>
  <c r="K23" i="126"/>
  <c r="AH26" i="126" s="1"/>
  <c r="AI21" i="126"/>
  <c r="I29" i="132"/>
  <c r="AQ21" i="98"/>
  <c r="AR21" i="98" s="1"/>
  <c r="I24" i="115"/>
  <c r="K23" i="115"/>
  <c r="BJ26" i="124"/>
  <c r="M26" i="124"/>
  <c r="K27" i="124"/>
  <c r="AH27" i="124" s="1"/>
  <c r="AE26" i="124"/>
  <c r="AT26" i="124"/>
  <c r="AV26" i="124" s="1"/>
  <c r="AB26" i="124"/>
  <c r="AY26" i="124"/>
  <c r="BA26" i="124" s="1"/>
  <c r="BQ26" i="124"/>
  <c r="K21" i="66"/>
  <c r="I22" i="66"/>
  <c r="BL21" i="15"/>
  <c r="BN21" i="15"/>
  <c r="BO21" i="15" s="1"/>
  <c r="M21" i="15"/>
  <c r="BQ21" i="15"/>
  <c r="AN21" i="15"/>
  <c r="AB21" i="15"/>
  <c r="AE21" i="15"/>
  <c r="AK21" i="15"/>
  <c r="AH21" i="15"/>
  <c r="K22" i="15"/>
  <c r="AI20" i="15"/>
  <c r="AO20" i="15"/>
  <c r="I24" i="96"/>
  <c r="K23" i="96"/>
  <c r="AL23" i="136"/>
  <c r="BK19" i="98"/>
  <c r="Z19" i="98"/>
  <c r="K24" i="135"/>
  <c r="I25" i="135"/>
  <c r="BH21" i="96"/>
  <c r="AC21" i="96"/>
  <c r="P19" i="132"/>
  <c r="P18" i="95"/>
  <c r="T21" i="15"/>
  <c r="Y21" i="15" s="1"/>
  <c r="R22" i="104"/>
  <c r="T21" i="104"/>
  <c r="Y21" i="104" s="1"/>
  <c r="Z20" i="104"/>
  <c r="R22" i="136"/>
  <c r="T21" i="136"/>
  <c r="Y21" i="136" s="1"/>
  <c r="Z21" i="136" s="1"/>
  <c r="Z22" i="124"/>
  <c r="BK22" i="124"/>
  <c r="T23" i="124"/>
  <c r="Y23" i="124" s="1"/>
  <c r="R24" i="124"/>
  <c r="R23" i="63"/>
  <c r="T22" i="63"/>
  <c r="Y22" i="63" s="1"/>
  <c r="Z22" i="63" s="1"/>
  <c r="V17" i="98"/>
  <c r="Z21" i="110"/>
  <c r="T23" i="132"/>
  <c r="Y23" i="132" s="1"/>
  <c r="Z23" i="132" s="1"/>
  <c r="R24" i="132"/>
  <c r="W18" i="115"/>
  <c r="O19" i="115"/>
  <c r="P18" i="13"/>
  <c r="Z20" i="107"/>
  <c r="BK20" i="107"/>
  <c r="W16" i="99"/>
  <c r="O17" i="99"/>
  <c r="P18" i="66"/>
  <c r="P19" i="114"/>
  <c r="W17" i="130"/>
  <c r="O18" i="130"/>
  <c r="V17" i="107"/>
  <c r="W18" i="129"/>
  <c r="O19" i="129"/>
  <c r="W18" i="106"/>
  <c r="O19" i="106"/>
  <c r="Z20" i="105"/>
  <c r="BK20" i="105"/>
  <c r="W19" i="101"/>
  <c r="O20" i="101"/>
  <c r="T24" i="133"/>
  <c r="Y24" i="133" s="1"/>
  <c r="R25" i="133"/>
  <c r="V16" i="105"/>
  <c r="T21" i="107"/>
  <c r="Y21" i="107" s="1"/>
  <c r="R22" i="107"/>
  <c r="P18" i="126"/>
  <c r="T20" i="99"/>
  <c r="Y20" i="99" s="1"/>
  <c r="R21" i="99"/>
  <c r="Z19" i="99"/>
  <c r="BK19" i="99"/>
  <c r="P17" i="120"/>
  <c r="V17" i="118"/>
  <c r="T21" i="118"/>
  <c r="Y21" i="118" s="1"/>
  <c r="R22" i="118"/>
  <c r="W18" i="104"/>
  <c r="O19" i="104"/>
  <c r="P19" i="96"/>
  <c r="V18" i="17"/>
  <c r="P18" i="15"/>
  <c r="V18" i="110"/>
  <c r="P17" i="136"/>
  <c r="Z21" i="115"/>
  <c r="P17" i="112"/>
  <c r="W18" i="133"/>
  <c r="O19" i="133"/>
  <c r="P17" i="135"/>
  <c r="P20" i="64"/>
  <c r="V17" i="63"/>
  <c r="BA19" i="152" l="1"/>
  <c r="BB19" i="152" s="1"/>
  <c r="AO23" i="64"/>
  <c r="AI22" i="96"/>
  <c r="AI20" i="17"/>
  <c r="AF22" i="96"/>
  <c r="Z22" i="114"/>
  <c r="Z24" i="133"/>
  <c r="AI22" i="129"/>
  <c r="AL22" i="129"/>
  <c r="AO22" i="98"/>
  <c r="AO22" i="114"/>
  <c r="AC22" i="129"/>
  <c r="AF23" i="99"/>
  <c r="BR23" i="132"/>
  <c r="AI22" i="110"/>
  <c r="AO23" i="135"/>
  <c r="BE22" i="110"/>
  <c r="AL23" i="132"/>
  <c r="R23" i="115"/>
  <c r="BA19" i="153"/>
  <c r="BB19" i="153" s="1"/>
  <c r="O27" i="152"/>
  <c r="P27" i="152"/>
  <c r="V27" i="152" s="1"/>
  <c r="BG23" i="132"/>
  <c r="BH23" i="132" s="1"/>
  <c r="BA23" i="132"/>
  <c r="BB23" i="132" s="1"/>
  <c r="I28" i="107"/>
  <c r="K27" i="107"/>
  <c r="BG25" i="107"/>
  <c r="BH25" i="107" s="1"/>
  <c r="BA25" i="107"/>
  <c r="BB25" i="107" s="1"/>
  <c r="AF20" i="13"/>
  <c r="AC23" i="132"/>
  <c r="AQ23" i="99"/>
  <c r="AR23" i="99" s="1"/>
  <c r="BL25" i="107"/>
  <c r="AQ25" i="107"/>
  <c r="AR25" i="107" s="1"/>
  <c r="AI25" i="107"/>
  <c r="AO23" i="99"/>
  <c r="BE24" i="105"/>
  <c r="AC22" i="63"/>
  <c r="Z20" i="95"/>
  <c r="AO22" i="129"/>
  <c r="AF22" i="129"/>
  <c r="BR21" i="104"/>
  <c r="W23" i="132"/>
  <c r="AO23" i="132"/>
  <c r="AV23" i="99"/>
  <c r="AW23" i="99" s="1"/>
  <c r="AC25" i="107"/>
  <c r="BB23" i="99"/>
  <c r="BH23" i="99"/>
  <c r="AO25" i="107"/>
  <c r="BR23" i="99"/>
  <c r="BB21" i="104"/>
  <c r="AI23" i="132"/>
  <c r="AQ23" i="132"/>
  <c r="AR23" i="132" s="1"/>
  <c r="AV25" i="107"/>
  <c r="AW25" i="107" s="1"/>
  <c r="BD25" i="107"/>
  <c r="BE25" i="107" s="1"/>
  <c r="AY24" i="99"/>
  <c r="AN24" i="99"/>
  <c r="AE24" i="99"/>
  <c r="AT24" i="99"/>
  <c r="BQ24" i="99"/>
  <c r="BJ24" i="99"/>
  <c r="M24" i="99"/>
  <c r="AB24" i="99"/>
  <c r="AH24" i="99"/>
  <c r="K25" i="99"/>
  <c r="AK24" i="99"/>
  <c r="AC23" i="99"/>
  <c r="BH20" i="120"/>
  <c r="BR22" i="129"/>
  <c r="AB24" i="132"/>
  <c r="BQ24" i="132"/>
  <c r="AN24" i="132"/>
  <c r="AH24" i="132"/>
  <c r="K25" i="132"/>
  <c r="AE24" i="132"/>
  <c r="AK24" i="132"/>
  <c r="BN24" i="132"/>
  <c r="BO24" i="132" s="1"/>
  <c r="AY24" i="132"/>
  <c r="V24" i="132"/>
  <c r="M24" i="132"/>
  <c r="BL24" i="132"/>
  <c r="AF23" i="132"/>
  <c r="AK26" i="107"/>
  <c r="AB26" i="107"/>
  <c r="BJ26" i="107"/>
  <c r="AN26" i="107"/>
  <c r="AT26" i="107"/>
  <c r="AH26" i="107"/>
  <c r="BQ26" i="107"/>
  <c r="M26" i="107"/>
  <c r="AE26" i="107"/>
  <c r="AY26" i="107"/>
  <c r="AF25" i="107"/>
  <c r="AL25" i="107"/>
  <c r="AL23" i="99"/>
  <c r="O21" i="124"/>
  <c r="P21" i="124" s="1"/>
  <c r="BO116" i="163"/>
  <c r="BA19" i="151"/>
  <c r="BB19" i="151" s="1"/>
  <c r="BO116" i="164"/>
  <c r="AI20" i="95"/>
  <c r="BL21" i="112"/>
  <c r="BE20" i="95"/>
  <c r="BL21" i="104"/>
  <c r="AC21" i="104"/>
  <c r="AW21" i="106"/>
  <c r="AL24" i="133"/>
  <c r="AO24" i="136"/>
  <c r="AF24" i="136"/>
  <c r="AQ20" i="95"/>
  <c r="AR20" i="95" s="1"/>
  <c r="AF21" i="112"/>
  <c r="BR21" i="112"/>
  <c r="AL21" i="112"/>
  <c r="AC21" i="106"/>
  <c r="BG22" i="129"/>
  <c r="BH22" i="129" s="1"/>
  <c r="R23" i="110"/>
  <c r="T23" i="110" s="1"/>
  <c r="Y23" i="110" s="1"/>
  <c r="R22" i="96"/>
  <c r="T22" i="96" s="1"/>
  <c r="Y22" i="96" s="1"/>
  <c r="Z22" i="96" s="1"/>
  <c r="BB22" i="110"/>
  <c r="AF22" i="110"/>
  <c r="AL20" i="95"/>
  <c r="AO21" i="112"/>
  <c r="AC21" i="112"/>
  <c r="Z21" i="106"/>
  <c r="BB21" i="106"/>
  <c r="AI21" i="106"/>
  <c r="AQ22" i="129"/>
  <c r="AR22" i="129" s="1"/>
  <c r="AI21" i="104"/>
  <c r="AF21" i="104"/>
  <c r="P16" i="156"/>
  <c r="T18" i="156"/>
  <c r="Y18" i="156" s="1"/>
  <c r="Z18" i="156" s="1"/>
  <c r="R19" i="156"/>
  <c r="Z21" i="118"/>
  <c r="BK20" i="104"/>
  <c r="Z21" i="15"/>
  <c r="AO22" i="130"/>
  <c r="Z21" i="112"/>
  <c r="BG21" i="106"/>
  <c r="BH21" i="106" s="1"/>
  <c r="AL21" i="106"/>
  <c r="AO21" i="106"/>
  <c r="AO21" i="104"/>
  <c r="O26" i="163"/>
  <c r="P26" i="163" s="1"/>
  <c r="T36" i="164"/>
  <c r="Y36" i="164" s="1"/>
  <c r="Z36" i="164" s="1"/>
  <c r="R37" i="164"/>
  <c r="T35" i="163"/>
  <c r="Y35" i="163" s="1"/>
  <c r="Z35" i="163" s="1"/>
  <c r="R36" i="163"/>
  <c r="V26" i="164"/>
  <c r="P27" i="164"/>
  <c r="O26" i="161"/>
  <c r="Z33" i="161"/>
  <c r="BK33" i="161"/>
  <c r="T34" i="161"/>
  <c r="Y34" i="161" s="1"/>
  <c r="R35" i="161"/>
  <c r="AV57" i="161"/>
  <c r="AW57" i="161" s="1"/>
  <c r="BR57" i="161"/>
  <c r="BA57" i="161"/>
  <c r="BB57" i="161" s="1"/>
  <c r="AK57" i="161"/>
  <c r="AL57" i="161" s="1"/>
  <c r="AB57" i="161"/>
  <c r="AC57" i="161" s="1"/>
  <c r="V57" i="161"/>
  <c r="W57" i="161" s="1"/>
  <c r="O57" i="161"/>
  <c r="BG57" i="161"/>
  <c r="BH57" i="161" s="1"/>
  <c r="AY57" i="161"/>
  <c r="AQ57" i="161"/>
  <c r="AR57" i="161" s="1"/>
  <c r="AH57" i="161"/>
  <c r="AI57" i="161" s="1"/>
  <c r="AN57" i="161"/>
  <c r="AO57" i="161" s="1"/>
  <c r="Y57" i="161"/>
  <c r="Z57" i="161" s="1"/>
  <c r="R57" i="161"/>
  <c r="T57" i="161" s="1"/>
  <c r="AE57" i="161"/>
  <c r="AF57" i="161" s="1"/>
  <c r="BD57" i="161"/>
  <c r="BE57" i="161" s="1"/>
  <c r="AT57" i="161"/>
  <c r="P57" i="161"/>
  <c r="BN57" i="161"/>
  <c r="BO57" i="161" s="1"/>
  <c r="M57" i="161"/>
  <c r="BJ57" i="161"/>
  <c r="BL57" i="161" s="1"/>
  <c r="BK57" i="161"/>
  <c r="I59" i="161"/>
  <c r="K58" i="161"/>
  <c r="BQ58" i="161" s="1"/>
  <c r="AV20" i="95"/>
  <c r="AW20" i="95" s="1"/>
  <c r="R25" i="151"/>
  <c r="T25" i="151" s="1"/>
  <c r="Y25" i="151" s="1"/>
  <c r="Z25" i="151" s="1"/>
  <c r="BB26" i="124"/>
  <c r="BB20" i="66"/>
  <c r="AO20" i="95"/>
  <c r="BL21" i="106"/>
  <c r="BR21" i="106"/>
  <c r="BR24" i="133"/>
  <c r="K26" i="133"/>
  <c r="AK25" i="133"/>
  <c r="AE25" i="133"/>
  <c r="BQ25" i="133"/>
  <c r="BL25" i="133"/>
  <c r="AH25" i="133"/>
  <c r="BN25" i="133"/>
  <c r="BO25" i="133" s="1"/>
  <c r="AB25" i="133"/>
  <c r="M25" i="133"/>
  <c r="AN25" i="133"/>
  <c r="V25" i="133"/>
  <c r="AB27" i="156"/>
  <c r="AN27" i="156"/>
  <c r="BL27" i="156"/>
  <c r="BN27" i="156"/>
  <c r="BO27" i="156" s="1"/>
  <c r="AH27" i="156"/>
  <c r="AE27" i="156"/>
  <c r="BQ27" i="156"/>
  <c r="AK27" i="156"/>
  <c r="M27" i="156"/>
  <c r="AY20" i="150"/>
  <c r="BG20" i="150" s="1"/>
  <c r="BH20" i="150" s="1"/>
  <c r="BR22" i="130"/>
  <c r="BR20" i="95"/>
  <c r="BD21" i="112"/>
  <c r="BE21" i="112" s="1"/>
  <c r="AV21" i="112"/>
  <c r="AW21" i="112" s="1"/>
  <c r="BD21" i="106"/>
  <c r="BE21" i="106" s="1"/>
  <c r="AI24" i="133"/>
  <c r="AQ24" i="133"/>
  <c r="AR24" i="133" s="1"/>
  <c r="AC24" i="133"/>
  <c r="BD21" i="104"/>
  <c r="BE21" i="104" s="1"/>
  <c r="AC21" i="15"/>
  <c r="AC22" i="115"/>
  <c r="AL22" i="114"/>
  <c r="Z22" i="130"/>
  <c r="AF22" i="130"/>
  <c r="AR20" i="112"/>
  <c r="BK20" i="112"/>
  <c r="AH22" i="106"/>
  <c r="AK22" i="106"/>
  <c r="AT22" i="106"/>
  <c r="BD22" i="106" s="1"/>
  <c r="BJ22" i="106"/>
  <c r="AY22" i="106"/>
  <c r="BG22" i="106" s="1"/>
  <c r="AB22" i="106"/>
  <c r="AE22" i="106"/>
  <c r="M22" i="106"/>
  <c r="AN22" i="106"/>
  <c r="BQ22" i="106"/>
  <c r="R22" i="106"/>
  <c r="T22" i="106" s="1"/>
  <c r="Y22" i="106" s="1"/>
  <c r="AH21" i="95"/>
  <c r="AB21" i="95"/>
  <c r="AN21" i="95"/>
  <c r="BA21" i="95"/>
  <c r="BN21" i="95"/>
  <c r="BO21" i="95" s="1"/>
  <c r="AE21" i="95"/>
  <c r="BL21" i="95"/>
  <c r="BG21" i="95"/>
  <c r="BQ21" i="95"/>
  <c r="M21" i="95"/>
  <c r="AT21" i="95"/>
  <c r="AV21" i="95" s="1"/>
  <c r="K22" i="95"/>
  <c r="AK21" i="95"/>
  <c r="R21" i="95"/>
  <c r="T21" i="95" s="1"/>
  <c r="Y21" i="95" s="1"/>
  <c r="AF20" i="95"/>
  <c r="AF21" i="106"/>
  <c r="W24" i="133"/>
  <c r="AL26" i="156"/>
  <c r="AQ21" i="104"/>
  <c r="AR21" i="104" s="1"/>
  <c r="AI21" i="118"/>
  <c r="I24" i="106"/>
  <c r="K23" i="106"/>
  <c r="BB20" i="95"/>
  <c r="AC20" i="95"/>
  <c r="BH20" i="95"/>
  <c r="AR20" i="106"/>
  <c r="BK20" i="106"/>
  <c r="AQ21" i="106"/>
  <c r="AO24" i="133"/>
  <c r="AO26" i="156"/>
  <c r="BG21" i="104"/>
  <c r="BH21" i="104" s="1"/>
  <c r="AL21" i="104"/>
  <c r="AL22" i="130"/>
  <c r="AK22" i="112"/>
  <c r="BQ22" i="112"/>
  <c r="R22" i="112"/>
  <c r="T22" i="112" s="1"/>
  <c r="Y22" i="112" s="1"/>
  <c r="BJ22" i="112"/>
  <c r="AT22" i="112"/>
  <c r="M22" i="112"/>
  <c r="AH22" i="112"/>
  <c r="AE22" i="112"/>
  <c r="K23" i="112"/>
  <c r="AB22" i="112"/>
  <c r="AY22" i="112"/>
  <c r="AN22" i="112"/>
  <c r="AI21" i="112"/>
  <c r="AQ21" i="112"/>
  <c r="BR26" i="156"/>
  <c r="AF26" i="156"/>
  <c r="AH22" i="104"/>
  <c r="AT22" i="104"/>
  <c r="BD22" i="104" s="1"/>
  <c r="BQ22" i="104"/>
  <c r="AY22" i="104"/>
  <c r="BA22" i="104" s="1"/>
  <c r="AN22" i="104"/>
  <c r="AK22" i="104"/>
  <c r="M22" i="104"/>
  <c r="AB22" i="104"/>
  <c r="K23" i="104"/>
  <c r="BJ22" i="104"/>
  <c r="AE22" i="104"/>
  <c r="AC22" i="130"/>
  <c r="BG21" i="112"/>
  <c r="BH21" i="112" s="1"/>
  <c r="BA21" i="112"/>
  <c r="BB21" i="112" s="1"/>
  <c r="AF24" i="133"/>
  <c r="AN23" i="129"/>
  <c r="K24" i="129"/>
  <c r="BQ23" i="129"/>
  <c r="BN23" i="129"/>
  <c r="BO23" i="129" s="1"/>
  <c r="AY23" i="129"/>
  <c r="BG23" i="129" s="1"/>
  <c r="M23" i="129"/>
  <c r="AB23" i="129"/>
  <c r="AK23" i="129"/>
  <c r="AH23" i="129"/>
  <c r="AQ23" i="129" s="1"/>
  <c r="AE23" i="129"/>
  <c r="BL23" i="129"/>
  <c r="R23" i="129"/>
  <c r="T23" i="129" s="1"/>
  <c r="Y23" i="129" s="1"/>
  <c r="AI26" i="156"/>
  <c r="AQ26" i="156"/>
  <c r="AR26" i="156" s="1"/>
  <c r="AC26" i="156"/>
  <c r="I29" i="156"/>
  <c r="K28" i="156"/>
  <c r="R24" i="146"/>
  <c r="T24" i="146" s="1"/>
  <c r="Y24" i="146" s="1"/>
  <c r="Z24" i="146" s="1"/>
  <c r="AT15" i="155"/>
  <c r="AT15" i="156"/>
  <c r="BG19" i="15"/>
  <c r="BH19" i="15" s="1"/>
  <c r="BA19" i="15"/>
  <c r="BB19" i="15" s="1"/>
  <c r="BA20" i="136"/>
  <c r="BB20" i="136" s="1"/>
  <c r="BG20" i="136"/>
  <c r="BH20" i="136" s="1"/>
  <c r="BG19" i="133"/>
  <c r="BH19" i="133" s="1"/>
  <c r="BA19" i="133"/>
  <c r="BB19" i="133" s="1"/>
  <c r="BA20" i="133"/>
  <c r="BB20" i="133" s="1"/>
  <c r="BG20" i="133"/>
  <c r="BH20" i="133" s="1"/>
  <c r="BA19" i="136"/>
  <c r="BB19" i="136" s="1"/>
  <c r="BG19" i="136"/>
  <c r="BH19" i="136" s="1"/>
  <c r="A25" i="7"/>
  <c r="AY21" i="153" s="1"/>
  <c r="AY20" i="156"/>
  <c r="AY20" i="152"/>
  <c r="AY20" i="153"/>
  <c r="AY20" i="155"/>
  <c r="AY20" i="130"/>
  <c r="AY21" i="130"/>
  <c r="AY20" i="15"/>
  <c r="AI22" i="130"/>
  <c r="AQ22" i="130"/>
  <c r="AR22" i="130" s="1"/>
  <c r="BL23" i="130"/>
  <c r="K24" i="130"/>
  <c r="M23" i="130"/>
  <c r="BN23" i="130"/>
  <c r="BO23" i="130" s="1"/>
  <c r="AK23" i="130"/>
  <c r="AH23" i="130"/>
  <c r="AB23" i="130"/>
  <c r="BQ23" i="130"/>
  <c r="AE23" i="130"/>
  <c r="AN23" i="130"/>
  <c r="R23" i="130"/>
  <c r="T23" i="130" s="1"/>
  <c r="Y23" i="130" s="1"/>
  <c r="AO22" i="115"/>
  <c r="AW22" i="115"/>
  <c r="BE21" i="101"/>
  <c r="BH21" i="101"/>
  <c r="Z24" i="150"/>
  <c r="BR25" i="151"/>
  <c r="W24" i="150"/>
  <c r="W15" i="155"/>
  <c r="O16" i="155"/>
  <c r="T17" i="155"/>
  <c r="Y17" i="155" s="1"/>
  <c r="Z17" i="155" s="1"/>
  <c r="R18" i="155"/>
  <c r="AW26" i="124"/>
  <c r="AL22" i="126"/>
  <c r="BH22" i="126"/>
  <c r="AL25" i="151"/>
  <c r="R22" i="105"/>
  <c r="T22" i="105" s="1"/>
  <c r="Y22" i="105" s="1"/>
  <c r="R26" i="149"/>
  <c r="T26" i="149" s="1"/>
  <c r="Y26" i="149" s="1"/>
  <c r="Z26" i="149" s="1"/>
  <c r="R23" i="64"/>
  <c r="T23" i="64" s="1"/>
  <c r="Y23" i="64" s="1"/>
  <c r="Z23" i="64" s="1"/>
  <c r="AO27" i="155"/>
  <c r="BR27" i="155"/>
  <c r="R22" i="126"/>
  <c r="T22" i="126" s="1"/>
  <c r="Y22" i="126" s="1"/>
  <c r="Z22" i="126" s="1"/>
  <c r="R25" i="147"/>
  <c r="T25" i="147" s="1"/>
  <c r="Y25" i="147" s="1"/>
  <c r="Z25" i="147" s="1"/>
  <c r="W27" i="153"/>
  <c r="AF27" i="155"/>
  <c r="AC27" i="155"/>
  <c r="O21" i="151"/>
  <c r="AL27" i="155"/>
  <c r="AI27" i="155"/>
  <c r="AQ27" i="155"/>
  <c r="AR27" i="155" s="1"/>
  <c r="K29" i="155"/>
  <c r="I30" i="155"/>
  <c r="AE28" i="155"/>
  <c r="AK28" i="155"/>
  <c r="BQ28" i="155"/>
  <c r="M28" i="155"/>
  <c r="AB28" i="155"/>
  <c r="AH28" i="155"/>
  <c r="AN28" i="155"/>
  <c r="BN28" i="155"/>
  <c r="BO28" i="155" s="1"/>
  <c r="BL28" i="155"/>
  <c r="J15" i="58"/>
  <c r="Z15" i="58" s="1"/>
  <c r="K15" i="58"/>
  <c r="AA15" i="58" s="1"/>
  <c r="Q11" i="58"/>
  <c r="S11" i="58" s="1"/>
  <c r="I12" i="58"/>
  <c r="Q12" i="58"/>
  <c r="S12" i="58" s="1"/>
  <c r="Q13" i="58"/>
  <c r="S13" i="58" s="1"/>
  <c r="P13" i="58"/>
  <c r="AT15" i="13"/>
  <c r="H14" i="58"/>
  <c r="AT25" i="132"/>
  <c r="P15" i="58"/>
  <c r="R15" i="58" s="1"/>
  <c r="I15" i="58"/>
  <c r="K11" i="58"/>
  <c r="AA11" i="58" s="1"/>
  <c r="J11" i="58"/>
  <c r="Z11" i="58" s="1"/>
  <c r="K12" i="58"/>
  <c r="AA12" i="58" s="1"/>
  <c r="I13" i="58"/>
  <c r="Q14" i="58"/>
  <c r="S14" i="58" s="1"/>
  <c r="J14" i="58"/>
  <c r="Z14" i="58" s="1"/>
  <c r="I14" i="58"/>
  <c r="K14" i="58"/>
  <c r="AA14" i="58" s="1"/>
  <c r="A17" i="58"/>
  <c r="AT16" i="13" s="1"/>
  <c r="I11" i="58"/>
  <c r="K13" i="58"/>
  <c r="AA13" i="58" s="1"/>
  <c r="AT15" i="136"/>
  <c r="AT15" i="130"/>
  <c r="H11" i="58"/>
  <c r="H12" i="58"/>
  <c r="P14" i="58"/>
  <c r="AT15" i="17"/>
  <c r="H15" i="58"/>
  <c r="Q15" i="58"/>
  <c r="S15" i="58" s="1"/>
  <c r="P11" i="58"/>
  <c r="P12" i="58"/>
  <c r="J12" i="58"/>
  <c r="Z12" i="58" s="1"/>
  <c r="J13" i="58"/>
  <c r="Z13" i="58" s="1"/>
  <c r="AT15" i="120"/>
  <c r="AQ27" i="153"/>
  <c r="AR27" i="153" s="1"/>
  <c r="AF27" i="153"/>
  <c r="AI27" i="153"/>
  <c r="Z27" i="153"/>
  <c r="AC27" i="153"/>
  <c r="P28" i="153"/>
  <c r="V28" i="153" s="1"/>
  <c r="R28" i="153"/>
  <c r="T28" i="153" s="1"/>
  <c r="Y28" i="153" s="1"/>
  <c r="AE28" i="153"/>
  <c r="AK28" i="153"/>
  <c r="BQ28" i="153"/>
  <c r="AH28" i="153"/>
  <c r="M28" i="153"/>
  <c r="O28" i="153"/>
  <c r="AN28" i="153"/>
  <c r="BN28" i="153"/>
  <c r="BO28" i="153" s="1"/>
  <c r="AB28" i="153"/>
  <c r="BL28" i="153"/>
  <c r="K29" i="153"/>
  <c r="I33" i="153"/>
  <c r="BR27" i="153"/>
  <c r="AL27" i="153"/>
  <c r="AO27" i="153"/>
  <c r="W27" i="152"/>
  <c r="AQ24" i="150"/>
  <c r="AR24" i="150" s="1"/>
  <c r="O28" i="152"/>
  <c r="AB28" i="152"/>
  <c r="AH28" i="152"/>
  <c r="AN28" i="152"/>
  <c r="P28" i="152"/>
  <c r="V28" i="152" s="1"/>
  <c r="BN28" i="152"/>
  <c r="BO28" i="152" s="1"/>
  <c r="R28" i="152"/>
  <c r="T28" i="152" s="1"/>
  <c r="Y28" i="152" s="1"/>
  <c r="AE28" i="152"/>
  <c r="BQ28" i="152"/>
  <c r="AK28" i="152"/>
  <c r="M28" i="152"/>
  <c r="BL28" i="152"/>
  <c r="K29" i="152"/>
  <c r="AL27" i="152"/>
  <c r="AQ27" i="152"/>
  <c r="AR27" i="152" s="1"/>
  <c r="Z27" i="152"/>
  <c r="AF27" i="152"/>
  <c r="AO27" i="152"/>
  <c r="BR27" i="152"/>
  <c r="AI27" i="152"/>
  <c r="I37" i="152"/>
  <c r="AC27" i="152"/>
  <c r="BE25" i="147"/>
  <c r="AF24" i="150"/>
  <c r="AI23" i="64"/>
  <c r="BA20" i="120"/>
  <c r="BB20" i="120" s="1"/>
  <c r="BK21" i="115"/>
  <c r="BA25" i="147"/>
  <c r="BB25" i="147" s="1"/>
  <c r="BK21" i="126"/>
  <c r="BQ26" i="151"/>
  <c r="AK26" i="151"/>
  <c r="AE26" i="151"/>
  <c r="AN26" i="151"/>
  <c r="AH26" i="151"/>
  <c r="AB26" i="151"/>
  <c r="M26" i="151"/>
  <c r="BN26" i="151"/>
  <c r="BO26" i="151" s="1"/>
  <c r="BL26" i="151"/>
  <c r="AO25" i="151"/>
  <c r="AF25" i="151"/>
  <c r="AC25" i="151"/>
  <c r="AQ25" i="151"/>
  <c r="AR25" i="151" s="1"/>
  <c r="K27" i="151"/>
  <c r="I28" i="151"/>
  <c r="AI25" i="151"/>
  <c r="AL24" i="150"/>
  <c r="BR24" i="150"/>
  <c r="AI24" i="150"/>
  <c r="AO24" i="150"/>
  <c r="I29" i="150"/>
  <c r="AN25" i="150"/>
  <c r="AH25" i="150"/>
  <c r="AB25" i="150"/>
  <c r="O25" i="150"/>
  <c r="P25" i="150" s="1"/>
  <c r="V25" i="150" s="1"/>
  <c r="BQ25" i="150"/>
  <c r="AK25" i="150"/>
  <c r="AE25" i="150"/>
  <c r="R25" i="150"/>
  <c r="T25" i="150" s="1"/>
  <c r="Y25" i="150" s="1"/>
  <c r="BN25" i="150"/>
  <c r="BO25" i="150" s="1"/>
  <c r="M25" i="150"/>
  <c r="BL25" i="150"/>
  <c r="K26" i="150"/>
  <c r="AC24" i="150"/>
  <c r="V21" i="149"/>
  <c r="BR26" i="149"/>
  <c r="AI26" i="149"/>
  <c r="AC26" i="149"/>
  <c r="AO26" i="149"/>
  <c r="AQ26" i="149"/>
  <c r="AR26" i="149" s="1"/>
  <c r="AL26" i="149"/>
  <c r="AF26" i="149"/>
  <c r="AN27" i="149"/>
  <c r="AH27" i="149"/>
  <c r="AB27" i="149"/>
  <c r="AE27" i="149"/>
  <c r="BQ27" i="149"/>
  <c r="AK27" i="149"/>
  <c r="BN27" i="149"/>
  <c r="BO27" i="149" s="1"/>
  <c r="M27" i="149"/>
  <c r="BL27" i="149"/>
  <c r="I29" i="149"/>
  <c r="K28" i="149"/>
  <c r="AV22" i="110"/>
  <c r="AW22" i="110" s="1"/>
  <c r="BK21" i="110"/>
  <c r="AL24" i="105"/>
  <c r="AC22" i="110"/>
  <c r="AL22" i="110"/>
  <c r="AF24" i="146"/>
  <c r="AI25" i="147"/>
  <c r="BH25" i="147"/>
  <c r="BH24" i="146"/>
  <c r="BL25" i="147"/>
  <c r="AF25" i="147"/>
  <c r="BE24" i="146"/>
  <c r="AQ21" i="101"/>
  <c r="AR21" i="101" s="1"/>
  <c r="BQ26" i="147"/>
  <c r="AY26" i="147"/>
  <c r="BA26" i="147" s="1"/>
  <c r="AE26" i="147"/>
  <c r="AB26" i="147"/>
  <c r="AT26" i="147"/>
  <c r="BD26" i="147" s="1"/>
  <c r="BJ26" i="147"/>
  <c r="M26" i="147"/>
  <c r="W19" i="147"/>
  <c r="O20" i="147"/>
  <c r="AC25" i="147"/>
  <c r="I28" i="147"/>
  <c r="K27" i="147"/>
  <c r="AH27" i="147" s="1"/>
  <c r="AV25" i="147"/>
  <c r="AW25" i="147" s="1"/>
  <c r="BK24" i="147"/>
  <c r="BR25" i="147"/>
  <c r="AV24" i="146"/>
  <c r="AW24" i="146" s="1"/>
  <c r="BL24" i="146"/>
  <c r="AT25" i="146"/>
  <c r="BD25" i="146" s="1"/>
  <c r="AB25" i="146"/>
  <c r="BQ25" i="146"/>
  <c r="AY25" i="146"/>
  <c r="BA25" i="146" s="1"/>
  <c r="AE25" i="146"/>
  <c r="M25" i="146"/>
  <c r="BJ25" i="146"/>
  <c r="W18" i="146"/>
  <c r="O19" i="146"/>
  <c r="I27" i="146"/>
  <c r="K26" i="146"/>
  <c r="AH26" i="146" s="1"/>
  <c r="BR24" i="146"/>
  <c r="AC24" i="146"/>
  <c r="BA24" i="146"/>
  <c r="BB24" i="146" s="1"/>
  <c r="BK23" i="146"/>
  <c r="AI24" i="146"/>
  <c r="BB22" i="114"/>
  <c r="BR20" i="17"/>
  <c r="BG22" i="98"/>
  <c r="BH22" i="98" s="1"/>
  <c r="AL22" i="98"/>
  <c r="AW22" i="98"/>
  <c r="AI22" i="98"/>
  <c r="AF22" i="98"/>
  <c r="BR21" i="118"/>
  <c r="BB22" i="63"/>
  <c r="AO22" i="96"/>
  <c r="BH22" i="96"/>
  <c r="Z21" i="101"/>
  <c r="BA22" i="126"/>
  <c r="BB22" i="126" s="1"/>
  <c r="BH23" i="135"/>
  <c r="Z23" i="135"/>
  <c r="BR22" i="96"/>
  <c r="AW22" i="96"/>
  <c r="BH22" i="115"/>
  <c r="AI22" i="115"/>
  <c r="BG22" i="63"/>
  <c r="BH22" i="63" s="1"/>
  <c r="AQ22" i="63"/>
  <c r="AR22" i="63" s="1"/>
  <c r="BA21" i="118"/>
  <c r="BB21" i="118" s="1"/>
  <c r="BD22" i="114"/>
  <c r="BE22" i="114" s="1"/>
  <c r="BA22" i="115"/>
  <c r="BB22" i="115" s="1"/>
  <c r="BB22" i="96"/>
  <c r="AL22" i="96"/>
  <c r="BR22" i="115"/>
  <c r="AL22" i="115"/>
  <c r="AF22" i="115"/>
  <c r="AC23" i="64"/>
  <c r="AL23" i="64"/>
  <c r="BB23" i="64"/>
  <c r="AC22" i="98"/>
  <c r="BR22" i="110"/>
  <c r="AC22" i="96"/>
  <c r="AQ22" i="115"/>
  <c r="AR22" i="115" s="1"/>
  <c r="AV24" i="105"/>
  <c r="AW24" i="105" s="1"/>
  <c r="BB24" i="105"/>
  <c r="BA20" i="17"/>
  <c r="BB20" i="17" s="1"/>
  <c r="AF20" i="17"/>
  <c r="AL21" i="118"/>
  <c r="AC21" i="118"/>
  <c r="BG20" i="66"/>
  <c r="BH20" i="66" s="1"/>
  <c r="AI21" i="15"/>
  <c r="BD26" i="124"/>
  <c r="BE26" i="124" s="1"/>
  <c r="AF26" i="124"/>
  <c r="BR22" i="126"/>
  <c r="AO22" i="126"/>
  <c r="AI22" i="126"/>
  <c r="BR23" i="135"/>
  <c r="AL23" i="135"/>
  <c r="AF23" i="135"/>
  <c r="BD22" i="96"/>
  <c r="BE22" i="96" s="1"/>
  <c r="BD22" i="115"/>
  <c r="BE22" i="115" s="1"/>
  <c r="AO20" i="13"/>
  <c r="AO24" i="105"/>
  <c r="AO20" i="17"/>
  <c r="AL20" i="17"/>
  <c r="AF23" i="64"/>
  <c r="BR23" i="64"/>
  <c r="AO21" i="118"/>
  <c r="AF21" i="118"/>
  <c r="AF22" i="63"/>
  <c r="AV21" i="101"/>
  <c r="AW21" i="101" s="1"/>
  <c r="AQ20" i="66"/>
  <c r="AR20" i="66" s="1"/>
  <c r="BG22" i="110"/>
  <c r="BH22" i="110" s="1"/>
  <c r="AO22" i="110"/>
  <c r="BD22" i="126"/>
  <c r="BE22" i="126" s="1"/>
  <c r="AC22" i="126"/>
  <c r="AF22" i="126"/>
  <c r="AQ23" i="135"/>
  <c r="AR23" i="135" s="1"/>
  <c r="AC23" i="135"/>
  <c r="AI23" i="135"/>
  <c r="Z20" i="17"/>
  <c r="BH20" i="17"/>
  <c r="AC20" i="17"/>
  <c r="BG23" i="64"/>
  <c r="BH23" i="64" s="1"/>
  <c r="AF21" i="15"/>
  <c r="BR21" i="15"/>
  <c r="AW22" i="126"/>
  <c r="AL20" i="13"/>
  <c r="AQ21" i="118"/>
  <c r="AR21" i="118" s="1"/>
  <c r="BH21" i="118"/>
  <c r="BR22" i="63"/>
  <c r="AL22" i="63"/>
  <c r="AI22" i="63"/>
  <c r="BG22" i="114"/>
  <c r="BH22" i="114" s="1"/>
  <c r="K24" i="96"/>
  <c r="I25" i="96"/>
  <c r="AQ21" i="15"/>
  <c r="AR21" i="15" s="1"/>
  <c r="BG26" i="124"/>
  <c r="BH26" i="124" s="1"/>
  <c r="AC26" i="124"/>
  <c r="K28" i="124"/>
  <c r="AH28" i="124" s="1"/>
  <c r="M27" i="124"/>
  <c r="BJ27" i="124"/>
  <c r="AB27" i="124"/>
  <c r="AE27" i="124"/>
  <c r="AT27" i="124"/>
  <c r="AV27" i="124" s="1"/>
  <c r="AY27" i="124"/>
  <c r="BA27" i="124" s="1"/>
  <c r="BQ27" i="124"/>
  <c r="M23" i="115"/>
  <c r="AY23" i="115"/>
  <c r="BG23" i="115" s="1"/>
  <c r="AB23" i="115"/>
  <c r="AE23" i="115"/>
  <c r="AK23" i="115"/>
  <c r="BJ23" i="115"/>
  <c r="AH23" i="115"/>
  <c r="BQ23" i="115"/>
  <c r="AT23" i="115"/>
  <c r="AV23" i="115" s="1"/>
  <c r="AN23" i="115"/>
  <c r="AQ22" i="126"/>
  <c r="AR22" i="126" s="1"/>
  <c r="BA23" i="135"/>
  <c r="BB23" i="135" s="1"/>
  <c r="AI20" i="13"/>
  <c r="BR20" i="13"/>
  <c r="BR24" i="105"/>
  <c r="AI24" i="105"/>
  <c r="AF24" i="105"/>
  <c r="Z20" i="120"/>
  <c r="AL20" i="120"/>
  <c r="AC20" i="120"/>
  <c r="K22" i="120"/>
  <c r="AH21" i="120"/>
  <c r="AB21" i="120"/>
  <c r="AY21" i="120"/>
  <c r="BG21" i="120" s="1"/>
  <c r="AE21" i="120"/>
  <c r="BQ21" i="120"/>
  <c r="M21" i="120"/>
  <c r="AN21" i="120"/>
  <c r="AK21" i="120"/>
  <c r="R21" i="120"/>
  <c r="T21" i="120" s="1"/>
  <c r="Y21" i="120" s="1"/>
  <c r="BD22" i="98"/>
  <c r="BE22" i="98" s="1"/>
  <c r="I29" i="136"/>
  <c r="AO22" i="63"/>
  <c r="BA21" i="101"/>
  <c r="BB21" i="101" s="1"/>
  <c r="AL21" i="101"/>
  <c r="AO21" i="101"/>
  <c r="T21" i="98"/>
  <c r="Y21" i="98" s="1"/>
  <c r="R22" i="98"/>
  <c r="AQ22" i="114"/>
  <c r="AC22" i="114"/>
  <c r="AI22" i="114"/>
  <c r="AQ24" i="136"/>
  <c r="AR24" i="136" s="1"/>
  <c r="AI24" i="136"/>
  <c r="I27" i="15"/>
  <c r="Z20" i="66"/>
  <c r="I28" i="126"/>
  <c r="I32" i="95"/>
  <c r="AC20" i="66"/>
  <c r="I26" i="135"/>
  <c r="K25" i="135"/>
  <c r="BL22" i="15"/>
  <c r="BN22" i="15"/>
  <c r="BO22" i="15" s="1"/>
  <c r="M22" i="15"/>
  <c r="AE22" i="15"/>
  <c r="BQ22" i="15"/>
  <c r="AB22" i="15"/>
  <c r="AK22" i="15"/>
  <c r="AH22" i="15"/>
  <c r="AN22" i="15"/>
  <c r="K23" i="15"/>
  <c r="I25" i="115"/>
  <c r="K24" i="115"/>
  <c r="BL22" i="126"/>
  <c r="BH21" i="114"/>
  <c r="BK21" i="114"/>
  <c r="AQ20" i="13"/>
  <c r="AR20" i="13" s="1"/>
  <c r="BB20" i="13"/>
  <c r="I29" i="64"/>
  <c r="AQ24" i="105"/>
  <c r="AR24" i="105" s="1"/>
  <c r="M22" i="101"/>
  <c r="BQ22" i="101"/>
  <c r="AN22" i="101"/>
  <c r="AT22" i="101"/>
  <c r="BD22" i="101" s="1"/>
  <c r="AB22" i="101"/>
  <c r="AK22" i="101"/>
  <c r="AY22" i="101"/>
  <c r="BG22" i="101" s="1"/>
  <c r="AE22" i="101"/>
  <c r="R22" i="101"/>
  <c r="T22" i="101" s="1"/>
  <c r="Y22" i="101" s="1"/>
  <c r="M24" i="64"/>
  <c r="AY24" i="64"/>
  <c r="BA24" i="64" s="1"/>
  <c r="BL24" i="64"/>
  <c r="BN24" i="64"/>
  <c r="BO24" i="64" s="1"/>
  <c r="AN24" i="64"/>
  <c r="BQ24" i="64"/>
  <c r="AK24" i="64"/>
  <c r="AH24" i="64"/>
  <c r="AB24" i="64"/>
  <c r="AE24" i="64"/>
  <c r="K25" i="64"/>
  <c r="AO20" i="120"/>
  <c r="AF20" i="120"/>
  <c r="AQ22" i="98"/>
  <c r="AR22" i="98" s="1"/>
  <c r="I23" i="13"/>
  <c r="K22" i="13"/>
  <c r="I29" i="114"/>
  <c r="BL21" i="17"/>
  <c r="BN21" i="17"/>
  <c r="BO21" i="17" s="1"/>
  <c r="M21" i="17"/>
  <c r="AB21" i="17"/>
  <c r="AY21" i="17"/>
  <c r="BA21" i="17" s="1"/>
  <c r="AE21" i="17"/>
  <c r="AK21" i="17"/>
  <c r="AN21" i="17"/>
  <c r="AH21" i="17"/>
  <c r="BQ21" i="17"/>
  <c r="R21" i="17"/>
  <c r="T21" i="17" s="1"/>
  <c r="Y21" i="17" s="1"/>
  <c r="Z20" i="98"/>
  <c r="BK20" i="98"/>
  <c r="AC24" i="136"/>
  <c r="I28" i="63"/>
  <c r="R22" i="15"/>
  <c r="R23" i="15" s="1"/>
  <c r="M24" i="135"/>
  <c r="AB24" i="135"/>
  <c r="AH24" i="135"/>
  <c r="AE24" i="135"/>
  <c r="AN24" i="135"/>
  <c r="AY24" i="135"/>
  <c r="BA24" i="135" s="1"/>
  <c r="AK24" i="135"/>
  <c r="BN24" i="135"/>
  <c r="BO24" i="135" s="1"/>
  <c r="BL24" i="135"/>
  <c r="BQ24" i="135"/>
  <c r="R24" i="135"/>
  <c r="T24" i="135" s="1"/>
  <c r="Y24" i="135" s="1"/>
  <c r="AL21" i="15"/>
  <c r="AO21" i="15"/>
  <c r="K22" i="66"/>
  <c r="I23" i="66"/>
  <c r="AI26" i="124"/>
  <c r="I30" i="132"/>
  <c r="BL22" i="115"/>
  <c r="AC20" i="13"/>
  <c r="BG20" i="13"/>
  <c r="BH20" i="13" s="1"/>
  <c r="BG24" i="105"/>
  <c r="BH24" i="105" s="1"/>
  <c r="AC24" i="105"/>
  <c r="BL24" i="105"/>
  <c r="AQ20" i="17"/>
  <c r="AR20" i="17" s="1"/>
  <c r="I24" i="101"/>
  <c r="K23" i="101"/>
  <c r="AH23" i="101" s="1"/>
  <c r="AQ23" i="64"/>
  <c r="AR23" i="64" s="1"/>
  <c r="I27" i="104"/>
  <c r="AQ20" i="120"/>
  <c r="AR20" i="120" s="1"/>
  <c r="BR20" i="120"/>
  <c r="AI20" i="120"/>
  <c r="M21" i="13"/>
  <c r="BN21" i="13"/>
  <c r="BO21" i="13" s="1"/>
  <c r="BL21" i="13"/>
  <c r="AY21" i="13"/>
  <c r="BA21" i="13" s="1"/>
  <c r="BQ21" i="13"/>
  <c r="AE21" i="13"/>
  <c r="AH21" i="13"/>
  <c r="AN21" i="13"/>
  <c r="AB21" i="13"/>
  <c r="AK21" i="13"/>
  <c r="R21" i="13"/>
  <c r="T21" i="13" s="1"/>
  <c r="Y21" i="13" s="1"/>
  <c r="I38" i="133"/>
  <c r="BN23" i="63"/>
  <c r="BO23" i="63" s="1"/>
  <c r="M23" i="63"/>
  <c r="BL23" i="63"/>
  <c r="AN23" i="63"/>
  <c r="AB23" i="63"/>
  <c r="AK23" i="63"/>
  <c r="AH23" i="63"/>
  <c r="AY23" i="63"/>
  <c r="BG23" i="63" s="1"/>
  <c r="AE23" i="63"/>
  <c r="BQ23" i="63"/>
  <c r="K24" i="63"/>
  <c r="M23" i="110"/>
  <c r="BJ23" i="110"/>
  <c r="AY23" i="110"/>
  <c r="BA23" i="110" s="1"/>
  <c r="AT23" i="110"/>
  <c r="AV23" i="110" s="1"/>
  <c r="AK23" i="110"/>
  <c r="AE23" i="110"/>
  <c r="AN23" i="110"/>
  <c r="AH23" i="110"/>
  <c r="AB23" i="110"/>
  <c r="AC23" i="110" s="1"/>
  <c r="BQ23" i="110"/>
  <c r="K22" i="17"/>
  <c r="I23" i="17"/>
  <c r="AF21" i="101"/>
  <c r="AI21" i="101"/>
  <c r="M23" i="114"/>
  <c r="BJ23" i="114"/>
  <c r="AN23" i="114"/>
  <c r="AY23" i="114"/>
  <c r="BA23" i="114" s="1"/>
  <c r="AB23" i="114"/>
  <c r="AK23" i="114"/>
  <c r="AE23" i="114"/>
  <c r="AH23" i="114"/>
  <c r="AT23" i="114"/>
  <c r="AV23" i="114" s="1"/>
  <c r="BQ23" i="114"/>
  <c r="K24" i="114"/>
  <c r="R23" i="114"/>
  <c r="T23" i="114" s="1"/>
  <c r="Y23" i="114" s="1"/>
  <c r="BR22" i="114"/>
  <c r="AW22" i="114"/>
  <c r="BL22" i="114"/>
  <c r="I79" i="99"/>
  <c r="BR24" i="136"/>
  <c r="AL24" i="136"/>
  <c r="AL20" i="66"/>
  <c r="AO20" i="66"/>
  <c r="BL23" i="96"/>
  <c r="M23" i="96"/>
  <c r="BN23" i="96"/>
  <c r="BO23" i="96" s="1"/>
  <c r="AK23" i="96"/>
  <c r="AN23" i="96"/>
  <c r="BG23" i="96"/>
  <c r="AH23" i="96"/>
  <c r="AT23" i="96"/>
  <c r="AV23" i="96" s="1"/>
  <c r="AE23" i="96"/>
  <c r="AB23" i="96"/>
  <c r="BQ23" i="96"/>
  <c r="BA23" i="96"/>
  <c r="R23" i="96"/>
  <c r="T23" i="96" s="1"/>
  <c r="Y23" i="96" s="1"/>
  <c r="M21" i="66"/>
  <c r="BN21" i="66"/>
  <c r="BO21" i="66" s="1"/>
  <c r="BL21" i="66"/>
  <c r="AY21" i="66"/>
  <c r="BG21" i="66" s="1"/>
  <c r="AH21" i="66"/>
  <c r="AK21" i="66"/>
  <c r="AE21" i="66"/>
  <c r="AN21" i="66"/>
  <c r="AB21" i="66"/>
  <c r="R21" i="66"/>
  <c r="T21" i="66" s="1"/>
  <c r="Y21" i="66" s="1"/>
  <c r="BQ21" i="66"/>
  <c r="BL26" i="124"/>
  <c r="BR26" i="124"/>
  <c r="BJ23" i="126"/>
  <c r="AN23" i="126"/>
  <c r="AY23" i="126"/>
  <c r="BG23" i="126" s="1"/>
  <c r="AK23" i="126"/>
  <c r="AE23" i="126"/>
  <c r="AB23" i="126"/>
  <c r="M23" i="126"/>
  <c r="AT23" i="126"/>
  <c r="BD23" i="126" s="1"/>
  <c r="BQ23" i="126"/>
  <c r="K24" i="126"/>
  <c r="AH27" i="126" s="1"/>
  <c r="AQ22" i="96"/>
  <c r="AR22" i="96" s="1"/>
  <c r="BJ25" i="105"/>
  <c r="M25" i="105"/>
  <c r="AB25" i="105"/>
  <c r="AT25" i="105"/>
  <c r="BD25" i="105" s="1"/>
  <c r="AE25" i="105"/>
  <c r="AY25" i="105"/>
  <c r="BG25" i="105" s="1"/>
  <c r="AH25" i="105"/>
  <c r="AK25" i="105"/>
  <c r="AN25" i="105"/>
  <c r="BQ25" i="105"/>
  <c r="K26" i="105"/>
  <c r="I30" i="105"/>
  <c r="BL22" i="98"/>
  <c r="BR22" i="98"/>
  <c r="M23" i="98"/>
  <c r="K24" i="98"/>
  <c r="AY23" i="98"/>
  <c r="BA23" i="98" s="1"/>
  <c r="AE23" i="98"/>
  <c r="AB23" i="98"/>
  <c r="AH23" i="98"/>
  <c r="AN23" i="98"/>
  <c r="AT23" i="98"/>
  <c r="AV23" i="98" s="1"/>
  <c r="BJ23" i="98"/>
  <c r="AK23" i="98"/>
  <c r="BQ23" i="98"/>
  <c r="K23" i="118"/>
  <c r="M22" i="118"/>
  <c r="AB22" i="118"/>
  <c r="AH22" i="118"/>
  <c r="AY22" i="118"/>
  <c r="BA22" i="118" s="1"/>
  <c r="AE22" i="118"/>
  <c r="AK22" i="118"/>
  <c r="AN22" i="118"/>
  <c r="BQ22" i="118"/>
  <c r="K24" i="110"/>
  <c r="I25" i="110"/>
  <c r="AC21" i="101"/>
  <c r="BR21" i="101"/>
  <c r="M25" i="136"/>
  <c r="BN25" i="136"/>
  <c r="BO25" i="136" s="1"/>
  <c r="BL25" i="136"/>
  <c r="AE25" i="136"/>
  <c r="AB25" i="136"/>
  <c r="AN25" i="136"/>
  <c r="AH25" i="136"/>
  <c r="AK25" i="136"/>
  <c r="BQ25" i="136"/>
  <c r="K26" i="136"/>
  <c r="BR20" i="66"/>
  <c r="AI20" i="66"/>
  <c r="AF20" i="66"/>
  <c r="AQ22" i="110"/>
  <c r="AR22" i="110" s="1"/>
  <c r="BL22" i="110"/>
  <c r="V18" i="95"/>
  <c r="V19" i="132"/>
  <c r="P20" i="132"/>
  <c r="BK21" i="104"/>
  <c r="Z21" i="104"/>
  <c r="R23" i="104"/>
  <c r="T22" i="104"/>
  <c r="Y22" i="104" s="1"/>
  <c r="T22" i="136"/>
  <c r="Y22" i="136" s="1"/>
  <c r="Z22" i="136" s="1"/>
  <c r="R23" i="136"/>
  <c r="W17" i="98"/>
  <c r="O18" i="98"/>
  <c r="T23" i="63"/>
  <c r="Y23" i="63" s="1"/>
  <c r="Z22" i="110"/>
  <c r="T24" i="124"/>
  <c r="Y24" i="124" s="1"/>
  <c r="R25" i="124"/>
  <c r="BK23" i="124"/>
  <c r="Z23" i="124"/>
  <c r="P19" i="115"/>
  <c r="T24" i="132"/>
  <c r="Y24" i="132" s="1"/>
  <c r="R25" i="132"/>
  <c r="W16" i="105"/>
  <c r="O17" i="105"/>
  <c r="T21" i="99"/>
  <c r="Y21" i="99" s="1"/>
  <c r="R22" i="99"/>
  <c r="T22" i="107"/>
  <c r="Y22" i="107" s="1"/>
  <c r="R23" i="107"/>
  <c r="R26" i="133"/>
  <c r="T25" i="133"/>
  <c r="Y25" i="133" s="1"/>
  <c r="Z25" i="133" s="1"/>
  <c r="P20" i="101"/>
  <c r="P19" i="106"/>
  <c r="P18" i="130"/>
  <c r="V19" i="114"/>
  <c r="P17" i="99"/>
  <c r="BK20" i="99"/>
  <c r="Z20" i="99"/>
  <c r="Z21" i="107"/>
  <c r="BK21" i="107"/>
  <c r="W17" i="107"/>
  <c r="O18" i="107"/>
  <c r="Z21" i="105"/>
  <c r="BK21" i="105"/>
  <c r="V18" i="126"/>
  <c r="P19" i="129"/>
  <c r="V18" i="66"/>
  <c r="V18" i="13"/>
  <c r="V17" i="120"/>
  <c r="W17" i="118"/>
  <c r="O18" i="118"/>
  <c r="T22" i="118"/>
  <c r="Y22" i="118" s="1"/>
  <c r="R23" i="118"/>
  <c r="V17" i="136"/>
  <c r="V18" i="15"/>
  <c r="V20" i="64"/>
  <c r="W17" i="63"/>
  <c r="O18" i="63"/>
  <c r="W18" i="17"/>
  <c r="O19" i="17"/>
  <c r="V17" i="135"/>
  <c r="V17" i="112"/>
  <c r="V19" i="96"/>
  <c r="Z22" i="115"/>
  <c r="P19" i="104"/>
  <c r="P19" i="133"/>
  <c r="W18" i="110"/>
  <c r="O19" i="110"/>
  <c r="T23" i="115"/>
  <c r="Y23" i="115" s="1"/>
  <c r="BR21" i="13" l="1"/>
  <c r="AF23" i="129"/>
  <c r="Z21" i="95"/>
  <c r="AO26" i="107"/>
  <c r="AL22" i="112"/>
  <c r="AL23" i="63"/>
  <c r="AF23" i="130"/>
  <c r="Z24" i="132"/>
  <c r="BH25" i="105"/>
  <c r="AW23" i="114"/>
  <c r="AL23" i="110"/>
  <c r="AO24" i="135"/>
  <c r="AR23" i="129"/>
  <c r="BA26" i="107"/>
  <c r="BB26" i="107" s="1"/>
  <c r="BG26" i="107"/>
  <c r="BH26" i="107" s="1"/>
  <c r="AN25" i="132"/>
  <c r="BQ25" i="132"/>
  <c r="AB25" i="132"/>
  <c r="K26" i="132"/>
  <c r="M25" i="132"/>
  <c r="AH25" i="132"/>
  <c r="BN25" i="132"/>
  <c r="BO25" i="132" s="1"/>
  <c r="AK25" i="132"/>
  <c r="AE25" i="132"/>
  <c r="AY25" i="132"/>
  <c r="BL25" i="132"/>
  <c r="V25" i="132"/>
  <c r="BA24" i="99"/>
  <c r="BB24" i="99" s="1"/>
  <c r="BG24" i="99"/>
  <c r="BH24" i="99" s="1"/>
  <c r="AC21" i="13"/>
  <c r="AL21" i="17"/>
  <c r="AL22" i="15"/>
  <c r="AF26" i="107"/>
  <c r="BL26" i="107"/>
  <c r="W24" i="132"/>
  <c r="AI24" i="132"/>
  <c r="AQ24" i="132"/>
  <c r="AR24" i="132" s="1"/>
  <c r="BL24" i="99"/>
  <c r="AO24" i="64"/>
  <c r="AF22" i="104"/>
  <c r="AC26" i="107"/>
  <c r="BG24" i="132"/>
  <c r="BH24" i="132" s="1"/>
  <c r="BA24" i="132"/>
  <c r="BB24" i="132" s="1"/>
  <c r="AO24" i="132"/>
  <c r="AL24" i="99"/>
  <c r="BR24" i="99"/>
  <c r="BQ27" i="107"/>
  <c r="AY27" i="107"/>
  <c r="BJ27" i="107"/>
  <c r="AH27" i="107"/>
  <c r="AE27" i="107"/>
  <c r="AN27" i="107"/>
  <c r="AO27" i="107" s="1"/>
  <c r="AT27" i="107"/>
  <c r="AK27" i="107"/>
  <c r="AB27" i="107"/>
  <c r="M27" i="107"/>
  <c r="Z21" i="17"/>
  <c r="Z22" i="106"/>
  <c r="BR26" i="107"/>
  <c r="AL26" i="107"/>
  <c r="BR24" i="132"/>
  <c r="M25" i="99"/>
  <c r="AT25" i="99"/>
  <c r="K26" i="99"/>
  <c r="AN25" i="99"/>
  <c r="AB25" i="99"/>
  <c r="AH25" i="99"/>
  <c r="AY25" i="99"/>
  <c r="AE25" i="99"/>
  <c r="AK25" i="99"/>
  <c r="AL25" i="99" s="1"/>
  <c r="BJ25" i="99"/>
  <c r="BL25" i="99" s="1"/>
  <c r="BQ25" i="99"/>
  <c r="BD24" i="99"/>
  <c r="BE24" i="99" s="1"/>
  <c r="AV24" i="99"/>
  <c r="AW24" i="99" s="1"/>
  <c r="I29" i="107"/>
  <c r="K28" i="107"/>
  <c r="AC24" i="64"/>
  <c r="AI26" i="107"/>
  <c r="AQ26" i="107"/>
  <c r="AR26" i="107" s="1"/>
  <c r="AL24" i="132"/>
  <c r="AC24" i="132"/>
  <c r="AI24" i="99"/>
  <c r="AQ24" i="99"/>
  <c r="AR24" i="99" s="1"/>
  <c r="AF24" i="99"/>
  <c r="BE22" i="106"/>
  <c r="AV26" i="107"/>
  <c r="AW26" i="107" s="1"/>
  <c r="BD26" i="107"/>
  <c r="BE26" i="107" s="1"/>
  <c r="AF24" i="132"/>
  <c r="AC24" i="99"/>
  <c r="AO24" i="99"/>
  <c r="BA20" i="150"/>
  <c r="BB20" i="150" s="1"/>
  <c r="R24" i="110"/>
  <c r="BH22" i="106"/>
  <c r="W25" i="133"/>
  <c r="BH23" i="129"/>
  <c r="AO22" i="112"/>
  <c r="BA22" i="106"/>
  <c r="AC25" i="133"/>
  <c r="AC27" i="156"/>
  <c r="BL22" i="104"/>
  <c r="AL22" i="104"/>
  <c r="AL27" i="156"/>
  <c r="V16" i="156"/>
  <c r="AO22" i="104"/>
  <c r="AW21" i="95"/>
  <c r="BR27" i="156"/>
  <c r="AL25" i="133"/>
  <c r="BB22" i="104"/>
  <c r="AO27" i="156"/>
  <c r="T19" i="156"/>
  <c r="Y19" i="156" s="1"/>
  <c r="Z19" i="156" s="1"/>
  <c r="R20" i="156"/>
  <c r="V27" i="164"/>
  <c r="W27" i="164" s="1"/>
  <c r="P28" i="164"/>
  <c r="T37" i="164"/>
  <c r="Y37" i="164" s="1"/>
  <c r="Z37" i="164" s="1"/>
  <c r="R38" i="164"/>
  <c r="T36" i="163"/>
  <c r="Y36" i="163" s="1"/>
  <c r="Z36" i="163" s="1"/>
  <c r="R37" i="163"/>
  <c r="W26" i="164"/>
  <c r="O27" i="164"/>
  <c r="V26" i="163"/>
  <c r="P27" i="163"/>
  <c r="R26" i="151"/>
  <c r="T26" i="151" s="1"/>
  <c r="Y26" i="151" s="1"/>
  <c r="Z26" i="151" s="1"/>
  <c r="T35" i="161"/>
  <c r="Y35" i="161" s="1"/>
  <c r="Z35" i="161" s="1"/>
  <c r="R36" i="161"/>
  <c r="Z34" i="161"/>
  <c r="BK34" i="161"/>
  <c r="P26" i="161"/>
  <c r="BD58" i="161"/>
  <c r="BE58" i="161" s="1"/>
  <c r="AQ58" i="161"/>
  <c r="AR58" i="161" s="1"/>
  <c r="AK58" i="161"/>
  <c r="AL58" i="161" s="1"/>
  <c r="AE58" i="161"/>
  <c r="AF58" i="161" s="1"/>
  <c r="AV58" i="161"/>
  <c r="AW58" i="161" s="1"/>
  <c r="P58" i="161"/>
  <c r="BG58" i="161"/>
  <c r="BH58" i="161" s="1"/>
  <c r="AT58" i="161"/>
  <c r="AH58" i="161"/>
  <c r="AI58" i="161" s="1"/>
  <c r="Y58" i="161"/>
  <c r="Z58" i="161" s="1"/>
  <c r="O58" i="161"/>
  <c r="BR58" i="161"/>
  <c r="V58" i="161"/>
  <c r="W58" i="161" s="1"/>
  <c r="BA58" i="161"/>
  <c r="BB58" i="161" s="1"/>
  <c r="AN58" i="161"/>
  <c r="AO58" i="161" s="1"/>
  <c r="AB58" i="161"/>
  <c r="AC58" i="161" s="1"/>
  <c r="R58" i="161"/>
  <c r="T58" i="161" s="1"/>
  <c r="AY58" i="161"/>
  <c r="BJ58" i="161"/>
  <c r="BL58" i="161" s="1"/>
  <c r="M58" i="161"/>
  <c r="BN58" i="161"/>
  <c r="BO58" i="161" s="1"/>
  <c r="BK58" i="161"/>
  <c r="K59" i="161"/>
  <c r="BQ59" i="161" s="1"/>
  <c r="I60" i="161"/>
  <c r="AV22" i="106"/>
  <c r="AW22" i="106" s="1"/>
  <c r="AV22" i="104"/>
  <c r="AW22" i="104" s="1"/>
  <c r="R25" i="146"/>
  <c r="T25" i="146" s="1"/>
  <c r="Y25" i="146" s="1"/>
  <c r="Z25" i="146" s="1"/>
  <c r="BH23" i="96"/>
  <c r="AT16" i="130"/>
  <c r="BD16" i="130" s="1"/>
  <c r="BE16" i="130" s="1"/>
  <c r="AY21" i="150"/>
  <c r="BG21" i="150" s="1"/>
  <c r="BH21" i="150" s="1"/>
  <c r="AY21" i="152"/>
  <c r="BG21" i="152" s="1"/>
  <c r="BH21" i="152" s="1"/>
  <c r="AH28" i="156"/>
  <c r="BQ28" i="156"/>
  <c r="BN28" i="156"/>
  <c r="BO28" i="156" s="1"/>
  <c r="AB28" i="156"/>
  <c r="AE28" i="156"/>
  <c r="AK28" i="156"/>
  <c r="AN28" i="156"/>
  <c r="BL28" i="156"/>
  <c r="M28" i="156"/>
  <c r="BA23" i="129"/>
  <c r="BB23" i="129" s="1"/>
  <c r="AC23" i="129"/>
  <c r="AO23" i="129"/>
  <c r="AI22" i="104"/>
  <c r="AR21" i="112"/>
  <c r="BK21" i="112"/>
  <c r="AF22" i="112"/>
  <c r="BR22" i="112"/>
  <c r="BQ22" i="95"/>
  <c r="BA22" i="95"/>
  <c r="AH22" i="95"/>
  <c r="M22" i="95"/>
  <c r="AK22" i="95"/>
  <c r="BN22" i="95"/>
  <c r="BO22" i="95" s="1"/>
  <c r="AT22" i="95"/>
  <c r="BD22" i="95" s="1"/>
  <c r="BL22" i="95"/>
  <c r="AN22" i="95"/>
  <c r="AE22" i="95"/>
  <c r="BG22" i="95"/>
  <c r="AB22" i="95"/>
  <c r="K23" i="95"/>
  <c r="R22" i="95"/>
  <c r="T22" i="95" s="1"/>
  <c r="Y22" i="95" s="1"/>
  <c r="AF21" i="95"/>
  <c r="AF25" i="133"/>
  <c r="Z23" i="130"/>
  <c r="AL23" i="130"/>
  <c r="K29" i="156"/>
  <c r="I30" i="156"/>
  <c r="BG22" i="104"/>
  <c r="BH22" i="104" s="1"/>
  <c r="AQ22" i="112"/>
  <c r="AI22" i="112"/>
  <c r="AO22" i="106"/>
  <c r="AC25" i="136"/>
  <c r="AC23" i="96"/>
  <c r="AC23" i="114"/>
  <c r="AF22" i="101"/>
  <c r="AO23" i="130"/>
  <c r="AY21" i="156"/>
  <c r="BG21" i="156" s="1"/>
  <c r="BH21" i="156" s="1"/>
  <c r="BB21" i="95"/>
  <c r="AL22" i="106"/>
  <c r="K27" i="133"/>
  <c r="AB26" i="133"/>
  <c r="BN26" i="133"/>
  <c r="BO26" i="133" s="1"/>
  <c r="AN26" i="133"/>
  <c r="V26" i="133"/>
  <c r="AH26" i="133"/>
  <c r="BL26" i="133"/>
  <c r="AK26" i="133"/>
  <c r="BQ26" i="133"/>
  <c r="M26" i="133"/>
  <c r="AE26" i="133"/>
  <c r="AF22" i="118"/>
  <c r="AC23" i="98"/>
  <c r="AL23" i="115"/>
  <c r="BA22" i="112"/>
  <c r="BB22" i="112" s="1"/>
  <c r="BG22" i="112"/>
  <c r="BH22" i="112" s="1"/>
  <c r="AV22" i="112"/>
  <c r="AW22" i="112" s="1"/>
  <c r="BD22" i="112"/>
  <c r="BE22" i="112" s="1"/>
  <c r="AR21" i="106"/>
  <c r="BK21" i="106"/>
  <c r="AB23" i="106"/>
  <c r="AT23" i="106"/>
  <c r="AV23" i="106" s="1"/>
  <c r="AN23" i="106"/>
  <c r="AK23" i="106"/>
  <c r="AH23" i="106"/>
  <c r="BJ23" i="106"/>
  <c r="AY23" i="106"/>
  <c r="BA23" i="106" s="1"/>
  <c r="M23" i="106"/>
  <c r="AE23" i="106"/>
  <c r="BQ23" i="106"/>
  <c r="R23" i="106"/>
  <c r="T23" i="106" s="1"/>
  <c r="Y23" i="106" s="1"/>
  <c r="BD21" i="95"/>
  <c r="BE21" i="95" s="1"/>
  <c r="BR21" i="95"/>
  <c r="AO21" i="95"/>
  <c r="AQ22" i="106"/>
  <c r="AF22" i="106"/>
  <c r="AI22" i="106"/>
  <c r="AI25" i="133"/>
  <c r="AQ25" i="133"/>
  <c r="AR25" i="133" s="1"/>
  <c r="BR23" i="130"/>
  <c r="AY21" i="155"/>
  <c r="BA21" i="155" s="1"/>
  <c r="BB21" i="155" s="1"/>
  <c r="AI23" i="129"/>
  <c r="BR23" i="129"/>
  <c r="AN23" i="104"/>
  <c r="AT23" i="104"/>
  <c r="BD23" i="104" s="1"/>
  <c r="AY23" i="104"/>
  <c r="BA23" i="104" s="1"/>
  <c r="K24" i="104"/>
  <c r="R24" i="104" s="1"/>
  <c r="AH23" i="104"/>
  <c r="BQ23" i="104"/>
  <c r="AK23" i="104"/>
  <c r="BJ23" i="104"/>
  <c r="AB23" i="104"/>
  <c r="M23" i="104"/>
  <c r="AE23" i="104"/>
  <c r="BR22" i="104"/>
  <c r="AC22" i="112"/>
  <c r="BL22" i="112"/>
  <c r="I25" i="106"/>
  <c r="K24" i="106"/>
  <c r="AQ21" i="95"/>
  <c r="AR21" i="95" s="1"/>
  <c r="BH21" i="95"/>
  <c r="AC21" i="95"/>
  <c r="BL22" i="106"/>
  <c r="BR22" i="106"/>
  <c r="AC22" i="106"/>
  <c r="AF27" i="156"/>
  <c r="AI21" i="66"/>
  <c r="AC22" i="101"/>
  <c r="AW23" i="115"/>
  <c r="AC23" i="130"/>
  <c r="AY21" i="136"/>
  <c r="BG21" i="136" s="1"/>
  <c r="BH21" i="136" s="1"/>
  <c r="Z23" i="129"/>
  <c r="AL23" i="129"/>
  <c r="AK24" i="129"/>
  <c r="BL24" i="129"/>
  <c r="M24" i="129"/>
  <c r="AH24" i="129"/>
  <c r="BN24" i="129"/>
  <c r="BO24" i="129" s="1"/>
  <c r="AE24" i="129"/>
  <c r="K25" i="129"/>
  <c r="AY24" i="129"/>
  <c r="BG24" i="129" s="1"/>
  <c r="AN24" i="129"/>
  <c r="AB24" i="129"/>
  <c r="BQ24" i="129"/>
  <c r="R24" i="129"/>
  <c r="T24" i="129" s="1"/>
  <c r="Y24" i="129" s="1"/>
  <c r="AQ22" i="104"/>
  <c r="AR22" i="104" s="1"/>
  <c r="AC22" i="104"/>
  <c r="BE22" i="104"/>
  <c r="BJ23" i="112"/>
  <c r="AN23" i="112"/>
  <c r="AE23" i="112"/>
  <c r="AH23" i="112"/>
  <c r="AT23" i="112"/>
  <c r="BQ23" i="112"/>
  <c r="AK23" i="112"/>
  <c r="R23" i="112"/>
  <c r="T23" i="112" s="1"/>
  <c r="Y23" i="112" s="1"/>
  <c r="M23" i="112"/>
  <c r="AY23" i="112"/>
  <c r="K24" i="112"/>
  <c r="AB23" i="112"/>
  <c r="Z22" i="112"/>
  <c r="AL21" i="95"/>
  <c r="AI21" i="95"/>
  <c r="BB22" i="106"/>
  <c r="AI27" i="156"/>
  <c r="AQ27" i="156"/>
  <c r="AR27" i="156" s="1"/>
  <c r="AO25" i="133"/>
  <c r="BR25" i="133"/>
  <c r="L15" i="58"/>
  <c r="R26" i="147"/>
  <c r="T26" i="147" s="1"/>
  <c r="Y26" i="147" s="1"/>
  <c r="Z26" i="147" s="1"/>
  <c r="R27" i="149"/>
  <c r="T27" i="149" s="1"/>
  <c r="Y27" i="149" s="1"/>
  <c r="Z27" i="149" s="1"/>
  <c r="Z25" i="150"/>
  <c r="BR25" i="150"/>
  <c r="AT16" i="156"/>
  <c r="AT16" i="150"/>
  <c r="AI23" i="130"/>
  <c r="AQ23" i="130"/>
  <c r="AR23" i="130" s="1"/>
  <c r="K25" i="130"/>
  <c r="BN24" i="130"/>
  <c r="BO24" i="130" s="1"/>
  <c r="M24" i="130"/>
  <c r="BL24" i="130"/>
  <c r="AN24" i="130"/>
  <c r="BQ24" i="130"/>
  <c r="AB24" i="130"/>
  <c r="AE24" i="130"/>
  <c r="AK24" i="130"/>
  <c r="AH24" i="130"/>
  <c r="R24" i="130"/>
  <c r="T24" i="130" s="1"/>
  <c r="Y24" i="130" s="1"/>
  <c r="BA20" i="15"/>
  <c r="BB20" i="15" s="1"/>
  <c r="BG20" i="15"/>
  <c r="BH20" i="15" s="1"/>
  <c r="BA21" i="130"/>
  <c r="BB21" i="130" s="1"/>
  <c r="BG21" i="130"/>
  <c r="BH21" i="130" s="1"/>
  <c r="BG20" i="130"/>
  <c r="BH20" i="130" s="1"/>
  <c r="BA20" i="130"/>
  <c r="BB20" i="130" s="1"/>
  <c r="BA21" i="136"/>
  <c r="BB21" i="136" s="1"/>
  <c r="BG21" i="151"/>
  <c r="BH21" i="151" s="1"/>
  <c r="BA21" i="151"/>
  <c r="BB21" i="151" s="1"/>
  <c r="BA20" i="151"/>
  <c r="BB20" i="151" s="1"/>
  <c r="BG20" i="151"/>
  <c r="BH20" i="151" s="1"/>
  <c r="BG21" i="149"/>
  <c r="BH21" i="149" s="1"/>
  <c r="BA21" i="149"/>
  <c r="BB21" i="149" s="1"/>
  <c r="BA21" i="153"/>
  <c r="BB21" i="153" s="1"/>
  <c r="BG21" i="153"/>
  <c r="BH21" i="153" s="1"/>
  <c r="BA21" i="152"/>
  <c r="BB21" i="152" s="1"/>
  <c r="BG20" i="149"/>
  <c r="BH20" i="149" s="1"/>
  <c r="BA20" i="149"/>
  <c r="BB20" i="149" s="1"/>
  <c r="BA20" i="155"/>
  <c r="BB20" i="155" s="1"/>
  <c r="BG20" i="155"/>
  <c r="BH20" i="155" s="1"/>
  <c r="BG20" i="153"/>
  <c r="BH20" i="153" s="1"/>
  <c r="BA20" i="153"/>
  <c r="BB20" i="153" s="1"/>
  <c r="BA20" i="152"/>
  <c r="BB20" i="152" s="1"/>
  <c r="BG20" i="152"/>
  <c r="BH20" i="152" s="1"/>
  <c r="BG20" i="156"/>
  <c r="BH20" i="156" s="1"/>
  <c r="BA20" i="156"/>
  <c r="BB20" i="156" s="1"/>
  <c r="A26" i="7"/>
  <c r="AY22" i="133" s="1"/>
  <c r="AY21" i="133"/>
  <c r="AY21" i="15"/>
  <c r="BD15" i="156"/>
  <c r="BE15" i="156" s="1"/>
  <c r="AV15" i="156"/>
  <c r="AW15" i="156" s="1"/>
  <c r="W25" i="150"/>
  <c r="T18" i="155"/>
  <c r="Y18" i="155" s="1"/>
  <c r="Z18" i="155" s="1"/>
  <c r="R19" i="155"/>
  <c r="AC26" i="151"/>
  <c r="Z22" i="118"/>
  <c r="AC27" i="124"/>
  <c r="AF27" i="149"/>
  <c r="AL25" i="150"/>
  <c r="P16" i="155"/>
  <c r="BB27" i="124"/>
  <c r="R23" i="105"/>
  <c r="T23" i="105" s="1"/>
  <c r="Y23" i="105" s="1"/>
  <c r="R23" i="126"/>
  <c r="T23" i="126" s="1"/>
  <c r="Y23" i="126" s="1"/>
  <c r="Z23" i="126" s="1"/>
  <c r="R24" i="64"/>
  <c r="T24" i="64" s="1"/>
  <c r="Y24" i="64" s="1"/>
  <c r="Z24" i="64" s="1"/>
  <c r="AT24" i="64"/>
  <c r="BD24" i="64" s="1"/>
  <c r="BE24" i="64" s="1"/>
  <c r="W28" i="152"/>
  <c r="P21" i="151"/>
  <c r="V21" i="151" s="1"/>
  <c r="W21" i="151" s="1"/>
  <c r="AO28" i="155"/>
  <c r="AI28" i="155"/>
  <c r="AF28" i="155"/>
  <c r="AC28" i="155"/>
  <c r="AE29" i="155"/>
  <c r="AK29" i="155"/>
  <c r="M29" i="155"/>
  <c r="BQ29" i="155"/>
  <c r="AB29" i="155"/>
  <c r="AH29" i="155"/>
  <c r="AN29" i="155"/>
  <c r="BN29" i="155"/>
  <c r="BO29" i="155" s="1"/>
  <c r="BL29" i="155"/>
  <c r="AQ28" i="155"/>
  <c r="AR28" i="155" s="1"/>
  <c r="BR28" i="155"/>
  <c r="AL28" i="155"/>
  <c r="K30" i="155"/>
  <c r="I31" i="155"/>
  <c r="AT24" i="135"/>
  <c r="AV24" i="135" s="1"/>
  <c r="AW24" i="135" s="1"/>
  <c r="BD16" i="13"/>
  <c r="BE16" i="13" s="1"/>
  <c r="AV16" i="13"/>
  <c r="AW16" i="13" s="1"/>
  <c r="AT21" i="135"/>
  <c r="R12" i="58"/>
  <c r="AT21" i="66"/>
  <c r="X11" i="58"/>
  <c r="T11" i="58"/>
  <c r="AT20" i="63"/>
  <c r="V11" i="58"/>
  <c r="W11" i="58"/>
  <c r="Y11" i="58"/>
  <c r="U11" i="58"/>
  <c r="L14" i="58"/>
  <c r="AT23" i="129"/>
  <c r="AT23" i="64"/>
  <c r="N14" i="58"/>
  <c r="AT23" i="132"/>
  <c r="L11" i="58"/>
  <c r="AT20" i="132"/>
  <c r="AT20" i="64"/>
  <c r="N11" i="58"/>
  <c r="AT20" i="129"/>
  <c r="AV25" i="132"/>
  <c r="AW25" i="132" s="1"/>
  <c r="BD25" i="132"/>
  <c r="BE25" i="132" s="1"/>
  <c r="AT22" i="135"/>
  <c r="R13" i="58"/>
  <c r="T13" i="58"/>
  <c r="V13" i="58"/>
  <c r="X13" i="58"/>
  <c r="AT22" i="63"/>
  <c r="AT20" i="66"/>
  <c r="AT20" i="135"/>
  <c r="R11" i="58"/>
  <c r="AV15" i="17"/>
  <c r="AW15" i="17" s="1"/>
  <c r="BD15" i="17"/>
  <c r="BE15" i="17" s="1"/>
  <c r="AV15" i="130"/>
  <c r="AW15" i="130" s="1"/>
  <c r="BD15" i="130"/>
  <c r="BE15" i="130" s="1"/>
  <c r="AT16" i="133"/>
  <c r="AT16" i="120"/>
  <c r="AT16" i="17"/>
  <c r="AT16" i="136"/>
  <c r="A18" i="58"/>
  <c r="M11" i="58"/>
  <c r="O11" i="58"/>
  <c r="O15" i="58"/>
  <c r="M15" i="58"/>
  <c r="N13" i="58"/>
  <c r="AT22" i="132"/>
  <c r="AT22" i="64"/>
  <c r="L13" i="58"/>
  <c r="AT22" i="129"/>
  <c r="R14" i="58"/>
  <c r="AT23" i="135"/>
  <c r="BD15" i="136"/>
  <c r="BE15" i="136" s="1"/>
  <c r="AV15" i="136"/>
  <c r="AW15" i="136" s="1"/>
  <c r="O14" i="58"/>
  <c r="M14" i="58"/>
  <c r="Y13" i="58"/>
  <c r="U13" i="58"/>
  <c r="W13" i="58"/>
  <c r="U15" i="58"/>
  <c r="W15" i="58"/>
  <c r="Y15" i="58"/>
  <c r="V14" i="58"/>
  <c r="T14" i="58"/>
  <c r="X14" i="58"/>
  <c r="AT23" i="63"/>
  <c r="AV15" i="120"/>
  <c r="AW15" i="120" s="1"/>
  <c r="BD15" i="120"/>
  <c r="BE15" i="120" s="1"/>
  <c r="L12" i="58"/>
  <c r="AT21" i="132"/>
  <c r="N12" i="58"/>
  <c r="AT21" i="129"/>
  <c r="AT21" i="64"/>
  <c r="X15" i="58"/>
  <c r="T15" i="58"/>
  <c r="V15" i="58"/>
  <c r="X12" i="58"/>
  <c r="T12" i="58"/>
  <c r="AT21" i="63"/>
  <c r="V12" i="58"/>
  <c r="O13" i="58"/>
  <c r="M13" i="58"/>
  <c r="W14" i="58"/>
  <c r="Y14" i="58"/>
  <c r="U14" i="58"/>
  <c r="O12" i="58"/>
  <c r="M12" i="58"/>
  <c r="AV15" i="13"/>
  <c r="AW15" i="13" s="1"/>
  <c r="BD15" i="13"/>
  <c r="BE15" i="13" s="1"/>
  <c r="Y12" i="58"/>
  <c r="U12" i="58"/>
  <c r="W12" i="58"/>
  <c r="N15" i="58"/>
  <c r="AT24" i="132"/>
  <c r="AT24" i="129"/>
  <c r="Z28" i="153"/>
  <c r="W28" i="153"/>
  <c r="AL28" i="153"/>
  <c r="M29" i="153"/>
  <c r="BQ29" i="153"/>
  <c r="O29" i="153"/>
  <c r="AB29" i="153"/>
  <c r="AH29" i="153"/>
  <c r="AN29" i="153"/>
  <c r="AK29" i="153"/>
  <c r="P29" i="153"/>
  <c r="R29" i="153"/>
  <c r="T29" i="153" s="1"/>
  <c r="Y29" i="153" s="1"/>
  <c r="AE29" i="153"/>
  <c r="BN29" i="153"/>
  <c r="BO29" i="153" s="1"/>
  <c r="BL29" i="153"/>
  <c r="K30" i="153"/>
  <c r="AI28" i="153"/>
  <c r="AQ28" i="153"/>
  <c r="AR28" i="153" s="1"/>
  <c r="I34" i="153"/>
  <c r="AC28" i="153"/>
  <c r="AO28" i="153"/>
  <c r="BR28" i="153"/>
  <c r="AF28" i="153"/>
  <c r="Z28" i="152"/>
  <c r="BR28" i="152"/>
  <c r="AI28" i="152"/>
  <c r="I38" i="152"/>
  <c r="AC28" i="152"/>
  <c r="P29" i="152"/>
  <c r="BN29" i="152"/>
  <c r="BO29" i="152" s="1"/>
  <c r="M29" i="152"/>
  <c r="AE29" i="152"/>
  <c r="O29" i="152"/>
  <c r="AN29" i="152"/>
  <c r="R29" i="152"/>
  <c r="T29" i="152" s="1"/>
  <c r="Y29" i="152" s="1"/>
  <c r="AH29" i="152"/>
  <c r="AB29" i="152"/>
  <c r="AK29" i="152"/>
  <c r="BQ29" i="152"/>
  <c r="BL29" i="152"/>
  <c r="K30" i="152"/>
  <c r="AL28" i="152"/>
  <c r="AQ28" i="152"/>
  <c r="AR28" i="152" s="1"/>
  <c r="AF28" i="152"/>
  <c r="AO28" i="152"/>
  <c r="AI25" i="150"/>
  <c r="Z23" i="114"/>
  <c r="AF25" i="150"/>
  <c r="AC21" i="120"/>
  <c r="T22" i="15"/>
  <c r="Y22" i="15" s="1"/>
  <c r="Z22" i="15" s="1"/>
  <c r="AQ26" i="151"/>
  <c r="AR26" i="151" s="1"/>
  <c r="BK22" i="110"/>
  <c r="BG26" i="147"/>
  <c r="BH26" i="147" s="1"/>
  <c r="K28" i="151"/>
  <c r="I29" i="151"/>
  <c r="AO26" i="151"/>
  <c r="AF26" i="151"/>
  <c r="AK27" i="151"/>
  <c r="AE27" i="151"/>
  <c r="AN27" i="151"/>
  <c r="AH27" i="151"/>
  <c r="AB27" i="151"/>
  <c r="BQ27" i="151"/>
  <c r="BN27" i="151"/>
  <c r="BO27" i="151" s="1"/>
  <c r="M27" i="151"/>
  <c r="BL27" i="151"/>
  <c r="AI26" i="151"/>
  <c r="AL26" i="151"/>
  <c r="BR26" i="151"/>
  <c r="AQ25" i="150"/>
  <c r="AR25" i="150" s="1"/>
  <c r="AO25" i="150"/>
  <c r="I30" i="150"/>
  <c r="AN26" i="150"/>
  <c r="AH26" i="150"/>
  <c r="AB26" i="150"/>
  <c r="O26" i="150"/>
  <c r="BQ26" i="150"/>
  <c r="AK26" i="150"/>
  <c r="AE26" i="150"/>
  <c r="R26" i="150"/>
  <c r="T26" i="150" s="1"/>
  <c r="Y26" i="150" s="1"/>
  <c r="BN26" i="150"/>
  <c r="BO26" i="150" s="1"/>
  <c r="P26" i="150"/>
  <c r="V26" i="150" s="1"/>
  <c r="M26" i="150"/>
  <c r="BL26" i="150"/>
  <c r="K27" i="150"/>
  <c r="AC25" i="150"/>
  <c r="AQ27" i="149"/>
  <c r="AR27" i="149" s="1"/>
  <c r="W21" i="149"/>
  <c r="O22" i="149"/>
  <c r="AL27" i="149"/>
  <c r="AI27" i="149"/>
  <c r="BR27" i="149"/>
  <c r="AO27" i="149"/>
  <c r="AN28" i="149"/>
  <c r="AH28" i="149"/>
  <c r="AB28" i="149"/>
  <c r="AE28" i="149"/>
  <c r="BQ28" i="149"/>
  <c r="AK28" i="149"/>
  <c r="BL28" i="149"/>
  <c r="M28" i="149"/>
  <c r="BN28" i="149"/>
  <c r="BO28" i="149" s="1"/>
  <c r="I30" i="149"/>
  <c r="K29" i="149"/>
  <c r="AC27" i="149"/>
  <c r="BR25" i="146"/>
  <c r="BE25" i="146"/>
  <c r="AF25" i="146"/>
  <c r="AC25" i="146"/>
  <c r="BB25" i="146"/>
  <c r="AV26" i="147"/>
  <c r="AW26" i="147" s="1"/>
  <c r="BK22" i="115"/>
  <c r="BL26" i="147"/>
  <c r="AE27" i="147"/>
  <c r="AT27" i="147"/>
  <c r="BD27" i="147" s="1"/>
  <c r="BQ27" i="147"/>
  <c r="AB27" i="147"/>
  <c r="AY27" i="147"/>
  <c r="BG27" i="147" s="1"/>
  <c r="BJ27" i="147"/>
  <c r="M27" i="147"/>
  <c r="P20" i="147"/>
  <c r="AC26" i="147"/>
  <c r="K28" i="147"/>
  <c r="AH28" i="147" s="1"/>
  <c r="I29" i="147"/>
  <c r="BE26" i="147"/>
  <c r="BK25" i="147"/>
  <c r="AI26" i="147"/>
  <c r="BB26" i="147"/>
  <c r="AF26" i="147"/>
  <c r="BR26" i="147"/>
  <c r="BL25" i="146"/>
  <c r="BK24" i="146"/>
  <c r="K27" i="146"/>
  <c r="AH27" i="146" s="1"/>
  <c r="I28" i="146"/>
  <c r="AV25" i="146"/>
  <c r="AW25" i="146" s="1"/>
  <c r="AI25" i="146"/>
  <c r="BG25" i="146"/>
  <c r="BH25" i="146" s="1"/>
  <c r="AT26" i="146"/>
  <c r="BD26" i="146" s="1"/>
  <c r="AB26" i="146"/>
  <c r="BQ26" i="146"/>
  <c r="AY26" i="146"/>
  <c r="BG26" i="146" s="1"/>
  <c r="AE26" i="146"/>
  <c r="M26" i="146"/>
  <c r="BJ26" i="146"/>
  <c r="P19" i="146"/>
  <c r="AW27" i="124"/>
  <c r="AI25" i="105"/>
  <c r="AC25" i="105"/>
  <c r="AI22" i="101"/>
  <c r="BE22" i="101"/>
  <c r="BR23" i="115"/>
  <c r="AF23" i="115"/>
  <c r="AQ24" i="135"/>
  <c r="AR24" i="135" s="1"/>
  <c r="BD27" i="124"/>
  <c r="BE27" i="124" s="1"/>
  <c r="BL27" i="124"/>
  <c r="AW23" i="110"/>
  <c r="BR25" i="136"/>
  <c r="AO25" i="136"/>
  <c r="AQ23" i="98"/>
  <c r="AR23" i="98" s="1"/>
  <c r="AV23" i="126"/>
  <c r="AW23" i="126" s="1"/>
  <c r="BR21" i="66"/>
  <c r="BE23" i="126"/>
  <c r="AF23" i="126"/>
  <c r="BL23" i="126"/>
  <c r="BB23" i="96"/>
  <c r="AI21" i="17"/>
  <c r="BB21" i="17"/>
  <c r="AQ21" i="120"/>
  <c r="AR21" i="120" s="1"/>
  <c r="AQ23" i="115"/>
  <c r="AR23" i="115" s="1"/>
  <c r="BB24" i="135"/>
  <c r="AC24" i="135"/>
  <c r="BH22" i="101"/>
  <c r="AO22" i="118"/>
  <c r="AI22" i="118"/>
  <c r="AW23" i="98"/>
  <c r="AF23" i="98"/>
  <c r="BA23" i="63"/>
  <c r="BB23" i="63" s="1"/>
  <c r="Z21" i="13"/>
  <c r="AI21" i="13"/>
  <c r="AQ22" i="15"/>
  <c r="AR22" i="15" s="1"/>
  <c r="BH21" i="120"/>
  <c r="AO25" i="105"/>
  <c r="BH21" i="66"/>
  <c r="AL21" i="13"/>
  <c r="BR21" i="17"/>
  <c r="AF21" i="17"/>
  <c r="BR22" i="118"/>
  <c r="BB22" i="118"/>
  <c r="BD23" i="110"/>
  <c r="BE23" i="110" s="1"/>
  <c r="AO21" i="13"/>
  <c r="BB21" i="13"/>
  <c r="BG24" i="64"/>
  <c r="BH24" i="64" s="1"/>
  <c r="BA22" i="101"/>
  <c r="BB22" i="101" s="1"/>
  <c r="AL25" i="136"/>
  <c r="AF25" i="136"/>
  <c r="AL22" i="118"/>
  <c r="AC22" i="118"/>
  <c r="BL23" i="98"/>
  <c r="BA25" i="105"/>
  <c r="BB25" i="105" s="1"/>
  <c r="AF25" i="105"/>
  <c r="BR23" i="126"/>
  <c r="AI23" i="126"/>
  <c r="AL23" i="126"/>
  <c r="BD23" i="96"/>
  <c r="BE23" i="96" s="1"/>
  <c r="BD23" i="114"/>
  <c r="BE23" i="114" s="1"/>
  <c r="BR23" i="110"/>
  <c r="AO23" i="110"/>
  <c r="BB23" i="110"/>
  <c r="AF21" i="13"/>
  <c r="Z24" i="135"/>
  <c r="AF24" i="135"/>
  <c r="BB24" i="64"/>
  <c r="BA23" i="115"/>
  <c r="BB23" i="115" s="1"/>
  <c r="BR27" i="124"/>
  <c r="AI27" i="124"/>
  <c r="AI25" i="136"/>
  <c r="BG22" i="118"/>
  <c r="BH22" i="118" s="1"/>
  <c r="BG23" i="98"/>
  <c r="BH23" i="98" s="1"/>
  <c r="AL25" i="105"/>
  <c r="BE25" i="105"/>
  <c r="BH23" i="126"/>
  <c r="BA21" i="66"/>
  <c r="BB21" i="66" s="1"/>
  <c r="AF23" i="110"/>
  <c r="BL23" i="110"/>
  <c r="BR24" i="135"/>
  <c r="AL24" i="135"/>
  <c r="AI24" i="135"/>
  <c r="BA21" i="120"/>
  <c r="BB21" i="120" s="1"/>
  <c r="AO23" i="115"/>
  <c r="BH23" i="115"/>
  <c r="BG27" i="124"/>
  <c r="BH27" i="124" s="1"/>
  <c r="AF27" i="124"/>
  <c r="AQ23" i="96"/>
  <c r="AR23" i="96" s="1"/>
  <c r="AI23" i="114"/>
  <c r="BB23" i="114"/>
  <c r="AI23" i="110"/>
  <c r="BG21" i="13"/>
  <c r="BH21" i="13" s="1"/>
  <c r="BN24" i="63"/>
  <c r="BO24" i="63" s="1"/>
  <c r="M24" i="63"/>
  <c r="AH24" i="63"/>
  <c r="AK24" i="63"/>
  <c r="AE24" i="63"/>
  <c r="AN24" i="63"/>
  <c r="AO24" i="63" s="1"/>
  <c r="AB24" i="63"/>
  <c r="AY24" i="63"/>
  <c r="BA24" i="63" s="1"/>
  <c r="BL24" i="63"/>
  <c r="BQ24" i="63"/>
  <c r="K25" i="63"/>
  <c r="AT24" i="63"/>
  <c r="AV24" i="63" s="1"/>
  <c r="I29" i="63"/>
  <c r="BG21" i="17"/>
  <c r="BH21" i="17" s="1"/>
  <c r="I33" i="95"/>
  <c r="AR22" i="114"/>
  <c r="BK22" i="114"/>
  <c r="BL24" i="96"/>
  <c r="M24" i="96"/>
  <c r="BN24" i="96"/>
  <c r="BO24" i="96" s="1"/>
  <c r="AH24" i="96"/>
  <c r="AT24" i="96"/>
  <c r="BD24" i="96" s="1"/>
  <c r="AK24" i="96"/>
  <c r="AN24" i="96"/>
  <c r="AB24" i="96"/>
  <c r="BG24" i="96"/>
  <c r="AE24" i="96"/>
  <c r="BQ24" i="96"/>
  <c r="BA24" i="96"/>
  <c r="R24" i="96"/>
  <c r="T24" i="96" s="1"/>
  <c r="Y24" i="96" s="1"/>
  <c r="R24" i="63"/>
  <c r="R25" i="63" s="1"/>
  <c r="M24" i="110"/>
  <c r="BJ24" i="110"/>
  <c r="AT24" i="110"/>
  <c r="AV24" i="110" s="1"/>
  <c r="AK24" i="110"/>
  <c r="AH24" i="110"/>
  <c r="AB24" i="110"/>
  <c r="AN24" i="110"/>
  <c r="AY24" i="110"/>
  <c r="BG24" i="110" s="1"/>
  <c r="AE24" i="110"/>
  <c r="BQ24" i="110"/>
  <c r="BB23" i="98"/>
  <c r="AO23" i="98"/>
  <c r="AV25" i="105"/>
  <c r="AW25" i="105" s="1"/>
  <c r="AQ23" i="126"/>
  <c r="AR23" i="126" s="1"/>
  <c r="Z21" i="66"/>
  <c r="AO21" i="66"/>
  <c r="BR23" i="96"/>
  <c r="AF23" i="96"/>
  <c r="AO23" i="96"/>
  <c r="I80" i="99"/>
  <c r="BR23" i="114"/>
  <c r="AF23" i="114"/>
  <c r="AO23" i="114"/>
  <c r="BG23" i="110"/>
  <c r="BH23" i="110" s="1"/>
  <c r="AQ23" i="110"/>
  <c r="AR23" i="110" s="1"/>
  <c r="BR23" i="63"/>
  <c r="AF23" i="63"/>
  <c r="AC23" i="63"/>
  <c r="BQ23" i="101"/>
  <c r="M23" i="101"/>
  <c r="AK23" i="101"/>
  <c r="AE23" i="101"/>
  <c r="AY23" i="101"/>
  <c r="BA23" i="101" s="1"/>
  <c r="AN23" i="101"/>
  <c r="AB23" i="101"/>
  <c r="AT23" i="101"/>
  <c r="BD23" i="101" s="1"/>
  <c r="R23" i="101"/>
  <c r="T23" i="101" s="1"/>
  <c r="Y23" i="101" s="1"/>
  <c r="BK22" i="126"/>
  <c r="M22" i="66"/>
  <c r="AN22" i="66"/>
  <c r="BN22" i="66"/>
  <c r="BO22" i="66" s="1"/>
  <c r="BL22" i="66"/>
  <c r="AY22" i="66"/>
  <c r="BA22" i="66" s="1"/>
  <c r="AB22" i="66"/>
  <c r="AE22" i="66"/>
  <c r="AK22" i="66"/>
  <c r="AH22" i="66"/>
  <c r="BQ22" i="66"/>
  <c r="R22" i="66"/>
  <c r="T22" i="66" s="1"/>
  <c r="Y22" i="66" s="1"/>
  <c r="AT22" i="66"/>
  <c r="BG24" i="135"/>
  <c r="BH24" i="135" s="1"/>
  <c r="AQ21" i="17"/>
  <c r="AR21" i="17" s="1"/>
  <c r="AO21" i="17"/>
  <c r="AC21" i="17"/>
  <c r="K23" i="13"/>
  <c r="I24" i="13"/>
  <c r="AQ24" i="64"/>
  <c r="AR24" i="64" s="1"/>
  <c r="AI24" i="64"/>
  <c r="Z22" i="101"/>
  <c r="AQ22" i="101"/>
  <c r="AR22" i="101" s="1"/>
  <c r="AO22" i="101"/>
  <c r="I26" i="115"/>
  <c r="K25" i="115"/>
  <c r="AO22" i="15"/>
  <c r="AC22" i="15"/>
  <c r="BR21" i="120"/>
  <c r="AI21" i="120"/>
  <c r="BD23" i="115"/>
  <c r="BE23" i="115" s="1"/>
  <c r="AI23" i="115"/>
  <c r="AC23" i="115"/>
  <c r="K25" i="110"/>
  <c r="I26" i="110"/>
  <c r="BD23" i="98"/>
  <c r="BE23" i="98" s="1"/>
  <c r="BJ26" i="105"/>
  <c r="M26" i="105"/>
  <c r="AY26" i="105"/>
  <c r="BG26" i="105" s="1"/>
  <c r="AT26" i="105"/>
  <c r="AV26" i="105" s="1"/>
  <c r="AE26" i="105"/>
  <c r="AB26" i="105"/>
  <c r="AH26" i="105"/>
  <c r="AK26" i="105"/>
  <c r="BQ26" i="105"/>
  <c r="AN26" i="105"/>
  <c r="K27" i="105"/>
  <c r="BL22" i="17"/>
  <c r="BN22" i="17"/>
  <c r="BO22" i="17" s="1"/>
  <c r="AE22" i="17"/>
  <c r="M22" i="17"/>
  <c r="AB22" i="17"/>
  <c r="AN22" i="17"/>
  <c r="AH22" i="17"/>
  <c r="AK22" i="17"/>
  <c r="BQ22" i="17"/>
  <c r="R22" i="17"/>
  <c r="T22" i="17" s="1"/>
  <c r="Y22" i="17" s="1"/>
  <c r="I39" i="133"/>
  <c r="I24" i="66"/>
  <c r="K23" i="66"/>
  <c r="BN22" i="13"/>
  <c r="BO22" i="13" s="1"/>
  <c r="M22" i="13"/>
  <c r="BQ22" i="13"/>
  <c r="BL22" i="13"/>
  <c r="AN22" i="13"/>
  <c r="AH22" i="13"/>
  <c r="AK22" i="13"/>
  <c r="AE22" i="13"/>
  <c r="AB22" i="13"/>
  <c r="R22" i="13"/>
  <c r="T22" i="13" s="1"/>
  <c r="Y22" i="13" s="1"/>
  <c r="Z23" i="63"/>
  <c r="M26" i="136"/>
  <c r="BL26" i="136"/>
  <c r="BN26" i="136"/>
  <c r="BO26" i="136" s="1"/>
  <c r="AH26" i="136"/>
  <c r="AK26" i="136"/>
  <c r="AN26" i="136"/>
  <c r="AB26" i="136"/>
  <c r="AE26" i="136"/>
  <c r="BQ26" i="136"/>
  <c r="K27" i="136"/>
  <c r="AQ22" i="118"/>
  <c r="AR22" i="118" s="1"/>
  <c r="BR23" i="98"/>
  <c r="AL23" i="98"/>
  <c r="AI23" i="98"/>
  <c r="K25" i="98"/>
  <c r="M24" i="98"/>
  <c r="AB24" i="98"/>
  <c r="AY24" i="98"/>
  <c r="BG24" i="98" s="1"/>
  <c r="BJ24" i="98"/>
  <c r="AN24" i="98"/>
  <c r="AE24" i="98"/>
  <c r="AK24" i="98"/>
  <c r="AT24" i="98"/>
  <c r="AV24" i="98" s="1"/>
  <c r="AH24" i="98"/>
  <c r="BQ24" i="98"/>
  <c r="I31" i="105"/>
  <c r="AQ25" i="105"/>
  <c r="AR25" i="105" s="1"/>
  <c r="BA23" i="126"/>
  <c r="BB23" i="126" s="1"/>
  <c r="AC23" i="126"/>
  <c r="AO23" i="126"/>
  <c r="AF21" i="66"/>
  <c r="Z23" i="96"/>
  <c r="AL23" i="96"/>
  <c r="BJ24" i="114"/>
  <c r="M24" i="114"/>
  <c r="AT24" i="114"/>
  <c r="AV24" i="114" s="1"/>
  <c r="AH24" i="114"/>
  <c r="AK24" i="114"/>
  <c r="AB24" i="114"/>
  <c r="AY24" i="114"/>
  <c r="BA24" i="114" s="1"/>
  <c r="AN24" i="114"/>
  <c r="AE24" i="114"/>
  <c r="BQ24" i="114"/>
  <c r="K25" i="114"/>
  <c r="R24" i="114"/>
  <c r="T24" i="114" s="1"/>
  <c r="Y24" i="114" s="1"/>
  <c r="AQ23" i="114"/>
  <c r="AL23" i="114"/>
  <c r="BL23" i="114"/>
  <c r="BH23" i="63"/>
  <c r="AO23" i="63"/>
  <c r="I28" i="104"/>
  <c r="I25" i="101"/>
  <c r="K24" i="101"/>
  <c r="AH24" i="101" s="1"/>
  <c r="I30" i="114"/>
  <c r="M25" i="64"/>
  <c r="BN25" i="64"/>
  <c r="BO25" i="64" s="1"/>
  <c r="AY25" i="64"/>
  <c r="BA25" i="64" s="1"/>
  <c r="BQ25" i="64"/>
  <c r="BL25" i="64"/>
  <c r="AH25" i="64"/>
  <c r="AE25" i="64"/>
  <c r="AN25" i="64"/>
  <c r="AK25" i="64"/>
  <c r="AB25" i="64"/>
  <c r="AT25" i="64"/>
  <c r="AV25" i="64" s="1"/>
  <c r="K26" i="64"/>
  <c r="AL24" i="64"/>
  <c r="AV22" i="101"/>
  <c r="AW22" i="101" s="1"/>
  <c r="AL22" i="101"/>
  <c r="BR22" i="101"/>
  <c r="BL23" i="15"/>
  <c r="BN23" i="15"/>
  <c r="BO23" i="15" s="1"/>
  <c r="M23" i="15"/>
  <c r="AK23" i="15"/>
  <c r="AN23" i="15"/>
  <c r="AB23" i="15"/>
  <c r="AH23" i="15"/>
  <c r="AE23" i="15"/>
  <c r="BQ23" i="15"/>
  <c r="K24" i="15"/>
  <c r="AI22" i="15"/>
  <c r="BR22" i="15"/>
  <c r="M25" i="135"/>
  <c r="AE25" i="135"/>
  <c r="AH25" i="135"/>
  <c r="AK25" i="135"/>
  <c r="AN25" i="135"/>
  <c r="BN25" i="135"/>
  <c r="BO25" i="135" s="1"/>
  <c r="AB25" i="135"/>
  <c r="BL25" i="135"/>
  <c r="AY25" i="135"/>
  <c r="BA25" i="135" s="1"/>
  <c r="BQ25" i="135"/>
  <c r="AT25" i="135"/>
  <c r="AV25" i="135" s="1"/>
  <c r="R25" i="135"/>
  <c r="T25" i="135" s="1"/>
  <c r="Y25" i="135" s="1"/>
  <c r="I29" i="126"/>
  <c r="R23" i="98"/>
  <c r="T22" i="98"/>
  <c r="Y22" i="98" s="1"/>
  <c r="Z21" i="120"/>
  <c r="AL21" i="120"/>
  <c r="AF21" i="120"/>
  <c r="K23" i="120"/>
  <c r="AE22" i="120"/>
  <c r="AH22" i="120"/>
  <c r="AB22" i="120"/>
  <c r="BQ22" i="120"/>
  <c r="M22" i="120"/>
  <c r="AK22" i="120"/>
  <c r="AN22" i="120"/>
  <c r="R22" i="120"/>
  <c r="T22" i="120" s="1"/>
  <c r="Y22" i="120" s="1"/>
  <c r="BL23" i="115"/>
  <c r="M28" i="124"/>
  <c r="K29" i="124"/>
  <c r="AH29" i="124" s="1"/>
  <c r="BJ28" i="124"/>
  <c r="AE28" i="124"/>
  <c r="AB28" i="124"/>
  <c r="AT28" i="124"/>
  <c r="BD28" i="124" s="1"/>
  <c r="AY28" i="124"/>
  <c r="BA28" i="124" s="1"/>
  <c r="BQ28" i="124"/>
  <c r="BL25" i="105"/>
  <c r="BR25" i="105"/>
  <c r="M24" i="126"/>
  <c r="BJ24" i="126"/>
  <c r="AE24" i="126"/>
  <c r="AK24" i="126"/>
  <c r="AY24" i="126"/>
  <c r="BG24" i="126" s="1"/>
  <c r="AT24" i="126"/>
  <c r="AV24" i="126" s="1"/>
  <c r="AN24" i="126"/>
  <c r="AB24" i="126"/>
  <c r="AC24" i="126" s="1"/>
  <c r="BQ24" i="126"/>
  <c r="K25" i="126"/>
  <c r="AH28" i="126" s="1"/>
  <c r="I31" i="132"/>
  <c r="I30" i="64"/>
  <c r="M24" i="115"/>
  <c r="AK24" i="115"/>
  <c r="AT24" i="115"/>
  <c r="BD24" i="115" s="1"/>
  <c r="AB24" i="115"/>
  <c r="BJ24" i="115"/>
  <c r="BQ24" i="115"/>
  <c r="AE24" i="115"/>
  <c r="AH24" i="115"/>
  <c r="AN24" i="115"/>
  <c r="AY24" i="115"/>
  <c r="BG24" i="115" s="1"/>
  <c r="R24" i="115"/>
  <c r="R25" i="115" s="1"/>
  <c r="AQ25" i="136"/>
  <c r="AR25" i="136" s="1"/>
  <c r="K24" i="118"/>
  <c r="M23" i="118"/>
  <c r="AY23" i="118"/>
  <c r="BA23" i="118" s="1"/>
  <c r="AH23" i="118"/>
  <c r="AE23" i="118"/>
  <c r="AN23" i="118"/>
  <c r="AB23" i="118"/>
  <c r="BQ23" i="118"/>
  <c r="AK23" i="118"/>
  <c r="AQ21" i="66"/>
  <c r="AR21" i="66" s="1"/>
  <c r="AC21" i="66"/>
  <c r="AL21" i="66"/>
  <c r="AW23" i="96"/>
  <c r="AI23" i="96"/>
  <c r="BG23" i="114"/>
  <c r="BH23" i="114" s="1"/>
  <c r="I24" i="17"/>
  <c r="K23" i="17"/>
  <c r="AQ23" i="63"/>
  <c r="AR23" i="63" s="1"/>
  <c r="AI23" i="63"/>
  <c r="AQ21" i="13"/>
  <c r="AR21" i="13" s="1"/>
  <c r="AF24" i="64"/>
  <c r="BR24" i="64"/>
  <c r="AF22" i="15"/>
  <c r="I27" i="135"/>
  <c r="K26" i="135"/>
  <c r="I28" i="15"/>
  <c r="BK21" i="98"/>
  <c r="Z21" i="98"/>
  <c r="I30" i="136"/>
  <c r="AO21" i="120"/>
  <c r="I26" i="96"/>
  <c r="K25" i="96"/>
  <c r="P21" i="132"/>
  <c r="P22" i="132" s="1"/>
  <c r="P23" i="132" s="1"/>
  <c r="P24" i="132" s="1"/>
  <c r="P25" i="132" s="1"/>
  <c r="P26" i="132" s="1"/>
  <c r="W19" i="132"/>
  <c r="O20" i="132"/>
  <c r="W18" i="95"/>
  <c r="O19" i="95"/>
  <c r="Z22" i="104"/>
  <c r="T23" i="104"/>
  <c r="Y23" i="104" s="1"/>
  <c r="R24" i="15"/>
  <c r="T23" i="15"/>
  <c r="Y23" i="15" s="1"/>
  <c r="Z23" i="15" s="1"/>
  <c r="T23" i="136"/>
  <c r="Y23" i="136" s="1"/>
  <c r="Z23" i="136" s="1"/>
  <c r="R24" i="136"/>
  <c r="BK24" i="124"/>
  <c r="Z24" i="124"/>
  <c r="P18" i="98"/>
  <c r="T25" i="124"/>
  <c r="Y25" i="124" s="1"/>
  <c r="R26" i="124"/>
  <c r="Z23" i="110"/>
  <c r="R25" i="110"/>
  <c r="T24" i="110"/>
  <c r="Y24" i="110" s="1"/>
  <c r="R26" i="132"/>
  <c r="T25" i="132"/>
  <c r="Y25" i="132" s="1"/>
  <c r="Z25" i="132" s="1"/>
  <c r="V19" i="115"/>
  <c r="Z22" i="105"/>
  <c r="BK22" i="105"/>
  <c r="Z21" i="99"/>
  <c r="BK21" i="99"/>
  <c r="W18" i="66"/>
  <c r="O19" i="66"/>
  <c r="W18" i="126"/>
  <c r="O19" i="126"/>
  <c r="V20" i="101"/>
  <c r="R24" i="107"/>
  <c r="T23" i="107"/>
  <c r="Y23" i="107" s="1"/>
  <c r="W18" i="13"/>
  <c r="O19" i="13"/>
  <c r="W19" i="114"/>
  <c r="O20" i="114"/>
  <c r="Z22" i="107"/>
  <c r="BK22" i="107"/>
  <c r="V21" i="124"/>
  <c r="P17" i="105"/>
  <c r="P18" i="107"/>
  <c r="T26" i="133"/>
  <c r="Y26" i="133" s="1"/>
  <c r="Z26" i="133" s="1"/>
  <c r="R27" i="133"/>
  <c r="V19" i="129"/>
  <c r="V17" i="99"/>
  <c r="V18" i="130"/>
  <c r="V19" i="106"/>
  <c r="T22" i="99"/>
  <c r="Y22" i="99" s="1"/>
  <c r="R23" i="99"/>
  <c r="W17" i="120"/>
  <c r="O18" i="120"/>
  <c r="T23" i="118"/>
  <c r="Y23" i="118" s="1"/>
  <c r="R24" i="118"/>
  <c r="P18" i="118"/>
  <c r="W17" i="112"/>
  <c r="O18" i="112"/>
  <c r="P20" i="133"/>
  <c r="V19" i="133"/>
  <c r="P19" i="17"/>
  <c r="P18" i="63"/>
  <c r="Z23" i="115"/>
  <c r="P19" i="110"/>
  <c r="V19" i="104"/>
  <c r="W19" i="96"/>
  <c r="O20" i="96"/>
  <c r="W17" i="135"/>
  <c r="O18" i="135"/>
  <c r="W20" i="64"/>
  <c r="O21" i="64"/>
  <c r="W18" i="15"/>
  <c r="O19" i="15"/>
  <c r="W17" i="136"/>
  <c r="O18" i="136"/>
  <c r="BB25" i="135" l="1"/>
  <c r="AF24" i="110"/>
  <c r="AC22" i="95"/>
  <c r="AI24" i="110"/>
  <c r="BR24" i="129"/>
  <c r="AF25" i="99"/>
  <c r="AF27" i="107"/>
  <c r="W25" i="132"/>
  <c r="AC27" i="107"/>
  <c r="BR25" i="99"/>
  <c r="AC25" i="99"/>
  <c r="AL27" i="107"/>
  <c r="AF25" i="132"/>
  <c r="AC25" i="132"/>
  <c r="AI22" i="13"/>
  <c r="AC26" i="105"/>
  <c r="AO25" i="99"/>
  <c r="BR27" i="107"/>
  <c r="AL25" i="132"/>
  <c r="AV16" i="130"/>
  <c r="AW16" i="130" s="1"/>
  <c r="BE28" i="124"/>
  <c r="AC22" i="13"/>
  <c r="AY22" i="17"/>
  <c r="BA22" i="17" s="1"/>
  <c r="AY22" i="136"/>
  <c r="BA22" i="136" s="1"/>
  <c r="BB22" i="136" s="1"/>
  <c r="AC23" i="104"/>
  <c r="I30" i="107"/>
  <c r="K29" i="107"/>
  <c r="AB26" i="99"/>
  <c r="K27" i="99"/>
  <c r="BJ26" i="99"/>
  <c r="BL26" i="99" s="1"/>
  <c r="M26" i="99"/>
  <c r="AH26" i="99"/>
  <c r="AT26" i="99"/>
  <c r="AN26" i="99"/>
  <c r="AY26" i="99"/>
  <c r="AK26" i="99"/>
  <c r="AE26" i="99"/>
  <c r="BQ26" i="99"/>
  <c r="BR25" i="132"/>
  <c r="AV27" i="107"/>
  <c r="AW27" i="107" s="1"/>
  <c r="BD27" i="107"/>
  <c r="BE27" i="107" s="1"/>
  <c r="AY22" i="150"/>
  <c r="BA22" i="150" s="1"/>
  <c r="BB22" i="150" s="1"/>
  <c r="BG21" i="155"/>
  <c r="BH21" i="155" s="1"/>
  <c r="AV25" i="99"/>
  <c r="AW25" i="99" s="1"/>
  <c r="BD25" i="99"/>
  <c r="BE25" i="99" s="1"/>
  <c r="AO25" i="132"/>
  <c r="AN28" i="107"/>
  <c r="BQ28" i="107"/>
  <c r="AK28" i="107"/>
  <c r="AE28" i="107"/>
  <c r="M28" i="107"/>
  <c r="AT28" i="107"/>
  <c r="BJ28" i="107"/>
  <c r="BL28" i="107" s="1"/>
  <c r="AY28" i="107"/>
  <c r="AH28" i="107"/>
  <c r="AB28" i="107"/>
  <c r="BK22" i="104"/>
  <c r="P27" i="132"/>
  <c r="AY22" i="120"/>
  <c r="BA22" i="120" s="1"/>
  <c r="BB22" i="120" s="1"/>
  <c r="AO25" i="135"/>
  <c r="AL25" i="64"/>
  <c r="AO23" i="104"/>
  <c r="BG25" i="99"/>
  <c r="BH25" i="99" s="1"/>
  <c r="BA25" i="99"/>
  <c r="BB25" i="99" s="1"/>
  <c r="AQ27" i="107"/>
  <c r="AR27" i="107" s="1"/>
  <c r="AI27" i="107"/>
  <c r="AI25" i="132"/>
  <c r="AQ25" i="132"/>
  <c r="AR25" i="132" s="1"/>
  <c r="AI24" i="98"/>
  <c r="AY22" i="13"/>
  <c r="BA22" i="13" s="1"/>
  <c r="AC24" i="130"/>
  <c r="BG23" i="104"/>
  <c r="BH23" i="104" s="1"/>
  <c r="AQ25" i="99"/>
  <c r="AR25" i="99" s="1"/>
  <c r="AI25" i="99"/>
  <c r="BL27" i="107"/>
  <c r="AQ28" i="107"/>
  <c r="AI23" i="104"/>
  <c r="BA27" i="107"/>
  <c r="BB27" i="107" s="1"/>
  <c r="BG27" i="107"/>
  <c r="BH27" i="107" s="1"/>
  <c r="BA25" i="132"/>
  <c r="BB25" i="132" s="1"/>
  <c r="BG25" i="132"/>
  <c r="BH25" i="132" s="1"/>
  <c r="AE26" i="132"/>
  <c r="AH26" i="132"/>
  <c r="AT26" i="132"/>
  <c r="AB26" i="132"/>
  <c r="AY26" i="132"/>
  <c r="M26" i="132"/>
  <c r="V26" i="132"/>
  <c r="BN26" i="132"/>
  <c r="BO26" i="132" s="1"/>
  <c r="BL26" i="132"/>
  <c r="AK26" i="132"/>
  <c r="BQ26" i="132"/>
  <c r="AN26" i="132"/>
  <c r="AO26" i="132" s="1"/>
  <c r="K27" i="132"/>
  <c r="R27" i="151"/>
  <c r="T27" i="151" s="1"/>
  <c r="Y27" i="151" s="1"/>
  <c r="Z27" i="151" s="1"/>
  <c r="R26" i="146"/>
  <c r="T26" i="146" s="1"/>
  <c r="Y26" i="146" s="1"/>
  <c r="Z26" i="146" s="1"/>
  <c r="BA21" i="150"/>
  <c r="BB21" i="150" s="1"/>
  <c r="BA21" i="156"/>
  <c r="BB21" i="156" s="1"/>
  <c r="BH22" i="95"/>
  <c r="BE22" i="95"/>
  <c r="AF23" i="104"/>
  <c r="AL23" i="104"/>
  <c r="AQ23" i="106"/>
  <c r="Z22" i="95"/>
  <c r="AF22" i="95"/>
  <c r="BG23" i="106"/>
  <c r="BH23" i="106" s="1"/>
  <c r="AL22" i="95"/>
  <c r="AC23" i="15"/>
  <c r="AF26" i="136"/>
  <c r="AI26" i="136"/>
  <c r="AC24" i="129"/>
  <c r="AF24" i="129"/>
  <c r="AQ23" i="104"/>
  <c r="AR23" i="104" s="1"/>
  <c r="BL23" i="104"/>
  <c r="BB23" i="106"/>
  <c r="AF26" i="133"/>
  <c r="AL24" i="130"/>
  <c r="AO24" i="129"/>
  <c r="AL24" i="129"/>
  <c r="T20" i="156"/>
  <c r="Y20" i="156" s="1"/>
  <c r="Z20" i="156" s="1"/>
  <c r="R21" i="156"/>
  <c r="Z24" i="129"/>
  <c r="BH24" i="129"/>
  <c r="AI24" i="129"/>
  <c r="BR23" i="104"/>
  <c r="BE23" i="104"/>
  <c r="Z23" i="106"/>
  <c r="BR26" i="133"/>
  <c r="W26" i="133"/>
  <c r="W16" i="156"/>
  <c r="O17" i="156"/>
  <c r="O28" i="164"/>
  <c r="T38" i="164"/>
  <c r="Y38" i="164" s="1"/>
  <c r="Z38" i="164" s="1"/>
  <c r="R39" i="164"/>
  <c r="T39" i="164" s="1"/>
  <c r="Y39" i="164" s="1"/>
  <c r="Z39" i="164" s="1"/>
  <c r="V27" i="163"/>
  <c r="W27" i="163" s="1"/>
  <c r="P28" i="163"/>
  <c r="T37" i="163"/>
  <c r="Y37" i="163" s="1"/>
  <c r="Z37" i="163" s="1"/>
  <c r="R38" i="163"/>
  <c r="V28" i="164"/>
  <c r="W28" i="164" s="1"/>
  <c r="P29" i="164"/>
  <c r="W26" i="163"/>
  <c r="O27" i="163"/>
  <c r="T36" i="161"/>
  <c r="Y36" i="161" s="1"/>
  <c r="Z36" i="161" s="1"/>
  <c r="R37" i="161"/>
  <c r="V26" i="161"/>
  <c r="P27" i="161"/>
  <c r="K60" i="161"/>
  <c r="BQ60" i="161" s="1"/>
  <c r="I61" i="161"/>
  <c r="BD59" i="161"/>
  <c r="BE59" i="161" s="1"/>
  <c r="AQ59" i="161"/>
  <c r="AR59" i="161" s="1"/>
  <c r="AK59" i="161"/>
  <c r="AL59" i="161" s="1"/>
  <c r="AE59" i="161"/>
  <c r="AF59" i="161" s="1"/>
  <c r="Y59" i="161"/>
  <c r="Z59" i="161" s="1"/>
  <c r="R59" i="161"/>
  <c r="T59" i="161" s="1"/>
  <c r="AV59" i="161"/>
  <c r="AW59" i="161" s="1"/>
  <c r="P59" i="161"/>
  <c r="BG59" i="161"/>
  <c r="BH59" i="161" s="1"/>
  <c r="AT59" i="161"/>
  <c r="AH59" i="161"/>
  <c r="AI59" i="161" s="1"/>
  <c r="V59" i="161"/>
  <c r="W59" i="161" s="1"/>
  <c r="BR59" i="161"/>
  <c r="BA59" i="161"/>
  <c r="BB59" i="161" s="1"/>
  <c r="AN59" i="161"/>
  <c r="AO59" i="161" s="1"/>
  <c r="AB59" i="161"/>
  <c r="AC59" i="161" s="1"/>
  <c r="O59" i="161"/>
  <c r="AY59" i="161"/>
  <c r="M59" i="161"/>
  <c r="BN59" i="161"/>
  <c r="BO59" i="161" s="1"/>
  <c r="BJ59" i="161"/>
  <c r="BL59" i="161" s="1"/>
  <c r="BK59" i="161"/>
  <c r="BD23" i="106"/>
  <c r="BE23" i="106" s="1"/>
  <c r="AW23" i="106"/>
  <c r="AF24" i="96"/>
  <c r="AF23" i="112"/>
  <c r="AF23" i="106"/>
  <c r="AO23" i="106"/>
  <c r="AI26" i="133"/>
  <c r="AQ26" i="133"/>
  <c r="AR26" i="133" s="1"/>
  <c r="K24" i="95"/>
  <c r="AN23" i="95"/>
  <c r="AH23" i="95"/>
  <c r="AB23" i="95"/>
  <c r="BA23" i="95"/>
  <c r="AE23" i="95"/>
  <c r="BQ23" i="95"/>
  <c r="M23" i="95"/>
  <c r="BG23" i="95"/>
  <c r="BN23" i="95"/>
  <c r="BO23" i="95" s="1"/>
  <c r="AK23" i="95"/>
  <c r="BL23" i="95"/>
  <c r="AT23" i="95"/>
  <c r="AV23" i="95" s="1"/>
  <c r="R23" i="95"/>
  <c r="T23" i="95" s="1"/>
  <c r="Y23" i="95" s="1"/>
  <c r="Z23" i="95" s="1"/>
  <c r="BR22" i="95"/>
  <c r="AL28" i="156"/>
  <c r="BB22" i="66"/>
  <c r="Z23" i="112"/>
  <c r="AO23" i="112"/>
  <c r="BA24" i="129"/>
  <c r="BB24" i="129" s="1"/>
  <c r="K26" i="129"/>
  <c r="AK25" i="129"/>
  <c r="M25" i="129"/>
  <c r="AN25" i="129"/>
  <c r="AH25" i="129"/>
  <c r="BQ25" i="129"/>
  <c r="AB25" i="129"/>
  <c r="AY25" i="129"/>
  <c r="BG25" i="129" s="1"/>
  <c r="AE25" i="129"/>
  <c r="BN25" i="129"/>
  <c r="BO25" i="129" s="1"/>
  <c r="BL25" i="129"/>
  <c r="AT25" i="129"/>
  <c r="R25" i="129"/>
  <c r="T25" i="129" s="1"/>
  <c r="Y25" i="129" s="1"/>
  <c r="BJ24" i="106"/>
  <c r="AE24" i="106"/>
  <c r="AH24" i="106"/>
  <c r="AK24" i="106"/>
  <c r="M24" i="106"/>
  <c r="AB24" i="106"/>
  <c r="AY24" i="106"/>
  <c r="BA24" i="106" s="1"/>
  <c r="AT24" i="106"/>
  <c r="AV24" i="106" s="1"/>
  <c r="AN24" i="106"/>
  <c r="BQ24" i="106"/>
  <c r="R24" i="106"/>
  <c r="T24" i="106" s="1"/>
  <c r="Y24" i="106" s="1"/>
  <c r="K30" i="156"/>
  <c r="I31" i="156"/>
  <c r="AF28" i="156"/>
  <c r="AF24" i="130"/>
  <c r="AL23" i="112"/>
  <c r="BL23" i="112"/>
  <c r="AQ24" i="129"/>
  <c r="AR24" i="129" s="1"/>
  <c r="I26" i="106"/>
  <c r="K25" i="106"/>
  <c r="AV23" i="104"/>
  <c r="AW23" i="104" s="1"/>
  <c r="AC23" i="106"/>
  <c r="AO26" i="133"/>
  <c r="M29" i="156"/>
  <c r="AB29" i="156"/>
  <c r="AH29" i="156"/>
  <c r="AE29" i="156"/>
  <c r="AN29" i="156"/>
  <c r="AK29" i="156"/>
  <c r="AL29" i="156" s="1"/>
  <c r="BL29" i="156"/>
  <c r="BQ29" i="156"/>
  <c r="BN29" i="156"/>
  <c r="BO29" i="156" s="1"/>
  <c r="AC28" i="156"/>
  <c r="AO23" i="118"/>
  <c r="AC24" i="114"/>
  <c r="AL22" i="17"/>
  <c r="AC23" i="112"/>
  <c r="BR23" i="112"/>
  <c r="AR23" i="106"/>
  <c r="BH24" i="126"/>
  <c r="AO24" i="98"/>
  <c r="AL24" i="96"/>
  <c r="BR24" i="63"/>
  <c r="BR24" i="130"/>
  <c r="BJ24" i="112"/>
  <c r="AT24" i="112"/>
  <c r="M24" i="112"/>
  <c r="AB24" i="112"/>
  <c r="K25" i="112"/>
  <c r="AH24" i="112"/>
  <c r="AY24" i="112"/>
  <c r="AN24" i="112"/>
  <c r="AE24" i="112"/>
  <c r="BQ24" i="112"/>
  <c r="AK24" i="112"/>
  <c r="R24" i="112"/>
  <c r="T24" i="112" s="1"/>
  <c r="Y24" i="112" s="1"/>
  <c r="BD23" i="112"/>
  <c r="BE23" i="112" s="1"/>
  <c r="AV23" i="112"/>
  <c r="AW23" i="112" s="1"/>
  <c r="BJ24" i="104"/>
  <c r="AB24" i="104"/>
  <c r="AK24" i="104"/>
  <c r="AE24" i="104"/>
  <c r="M24" i="104"/>
  <c r="AT24" i="104"/>
  <c r="BD24" i="104" s="1"/>
  <c r="AN24" i="104"/>
  <c r="AY24" i="104"/>
  <c r="BA24" i="104" s="1"/>
  <c r="BQ24" i="104"/>
  <c r="K25" i="104"/>
  <c r="AH24" i="104"/>
  <c r="AI24" i="104" s="1"/>
  <c r="BL23" i="106"/>
  <c r="BR23" i="106"/>
  <c r="AI23" i="106"/>
  <c r="AL26" i="133"/>
  <c r="AC26" i="133"/>
  <c r="AQ22" i="95"/>
  <c r="AR22" i="95" s="1"/>
  <c r="AO22" i="95"/>
  <c r="AI22" i="95"/>
  <c r="BR28" i="156"/>
  <c r="BR24" i="114"/>
  <c r="Z24" i="130"/>
  <c r="AO24" i="130"/>
  <c r="BA23" i="112"/>
  <c r="BB23" i="112" s="1"/>
  <c r="BG23" i="112"/>
  <c r="BH23" i="112" s="1"/>
  <c r="AI23" i="112"/>
  <c r="AQ23" i="112"/>
  <c r="BB23" i="104"/>
  <c r="AR22" i="106"/>
  <c r="BK22" i="106"/>
  <c r="AL23" i="106"/>
  <c r="BQ27" i="133"/>
  <c r="AE27" i="133"/>
  <c r="BL27" i="133"/>
  <c r="BN27" i="133"/>
  <c r="BO27" i="133" s="1"/>
  <c r="AN27" i="133"/>
  <c r="M27" i="133"/>
  <c r="AK27" i="133"/>
  <c r="K28" i="133"/>
  <c r="AH27" i="133"/>
  <c r="V27" i="133"/>
  <c r="AB27" i="133"/>
  <c r="AR22" i="112"/>
  <c r="BK22" i="112"/>
  <c r="AV22" i="95"/>
  <c r="AW22" i="95" s="1"/>
  <c r="BB22" i="95"/>
  <c r="AO28" i="156"/>
  <c r="AQ28" i="156"/>
  <c r="AR28" i="156" s="1"/>
  <c r="AI28" i="156"/>
  <c r="R24" i="126"/>
  <c r="T24" i="126" s="1"/>
  <c r="Y24" i="126" s="1"/>
  <c r="Z24" i="126" s="1"/>
  <c r="R27" i="147"/>
  <c r="T27" i="147" s="1"/>
  <c r="Y27" i="147" s="1"/>
  <c r="Z27" i="147" s="1"/>
  <c r="R28" i="149"/>
  <c r="T28" i="149" s="1"/>
  <c r="Y28" i="149" s="1"/>
  <c r="Z28" i="149" s="1"/>
  <c r="W26" i="150"/>
  <c r="AT17" i="150"/>
  <c r="AT17" i="156"/>
  <c r="BG21" i="15"/>
  <c r="BH21" i="15" s="1"/>
  <c r="BA21" i="15"/>
  <c r="BB21" i="15" s="1"/>
  <c r="BA22" i="151"/>
  <c r="BB22" i="151" s="1"/>
  <c r="BG22" i="151"/>
  <c r="BH22" i="151" s="1"/>
  <c r="BG22" i="133"/>
  <c r="BH22" i="133" s="1"/>
  <c r="BA22" i="133"/>
  <c r="BB22" i="133" s="1"/>
  <c r="BA21" i="133"/>
  <c r="BB21" i="133" s="1"/>
  <c r="BG21" i="133"/>
  <c r="BH21" i="133" s="1"/>
  <c r="A27" i="7"/>
  <c r="AY23" i="155" s="1"/>
  <c r="AY22" i="156"/>
  <c r="AY22" i="152"/>
  <c r="AY22" i="153"/>
  <c r="AY22" i="155"/>
  <c r="AY23" i="152"/>
  <c r="AY23" i="153"/>
  <c r="AY23" i="133"/>
  <c r="AY23" i="136"/>
  <c r="AY22" i="130"/>
  <c r="AY22" i="15"/>
  <c r="AI24" i="130"/>
  <c r="AQ24" i="130"/>
  <c r="AR24" i="130" s="1"/>
  <c r="K26" i="130"/>
  <c r="BN25" i="130"/>
  <c r="BO25" i="130" s="1"/>
  <c r="M25" i="130"/>
  <c r="BQ25" i="130"/>
  <c r="BL25" i="130"/>
  <c r="AE25" i="130"/>
  <c r="AB25" i="130"/>
  <c r="AN25" i="130"/>
  <c r="AH25" i="130"/>
  <c r="AK25" i="130"/>
  <c r="R25" i="130"/>
  <c r="T25" i="130" s="1"/>
  <c r="Y25" i="130" s="1"/>
  <c r="AV16" i="150"/>
  <c r="AW16" i="150" s="1"/>
  <c r="BD16" i="150"/>
  <c r="BE16" i="150" s="1"/>
  <c r="AV16" i="156"/>
  <c r="AW16" i="156" s="1"/>
  <c r="BD16" i="156"/>
  <c r="BE16" i="156" s="1"/>
  <c r="BB23" i="101"/>
  <c r="Z26" i="150"/>
  <c r="Z23" i="118"/>
  <c r="AT21" i="118"/>
  <c r="BD21" i="118" s="1"/>
  <c r="BE21" i="118" s="1"/>
  <c r="AT20" i="118"/>
  <c r="AV20" i="118" s="1"/>
  <c r="AW20" i="118" s="1"/>
  <c r="V16" i="155"/>
  <c r="AC27" i="151"/>
  <c r="AT23" i="118"/>
  <c r="BD23" i="118" s="1"/>
  <c r="BE23" i="118" s="1"/>
  <c r="T19" i="155"/>
  <c r="Y19" i="155" s="1"/>
  <c r="Z19" i="155" s="1"/>
  <c r="R20" i="155"/>
  <c r="AW24" i="63"/>
  <c r="BB24" i="63"/>
  <c r="AT22" i="118"/>
  <c r="BD22" i="118" s="1"/>
  <c r="BE22" i="118" s="1"/>
  <c r="R24" i="105"/>
  <c r="T24" i="105" s="1"/>
  <c r="Y24" i="105" s="1"/>
  <c r="R25" i="64"/>
  <c r="T25" i="64" s="1"/>
  <c r="Y25" i="64" s="1"/>
  <c r="Z25" i="64" s="1"/>
  <c r="AI29" i="155"/>
  <c r="AV24" i="64"/>
  <c r="AW24" i="64" s="1"/>
  <c r="AC29" i="153"/>
  <c r="Z29" i="153"/>
  <c r="BR29" i="152"/>
  <c r="AT17" i="120"/>
  <c r="BD17" i="120" s="1"/>
  <c r="BE17" i="120" s="1"/>
  <c r="AL29" i="153"/>
  <c r="BR29" i="155"/>
  <c r="BR29" i="153"/>
  <c r="BD24" i="135"/>
  <c r="BE24" i="135" s="1"/>
  <c r="V29" i="153"/>
  <c r="W29" i="153" s="1"/>
  <c r="O22" i="151"/>
  <c r="K31" i="155"/>
  <c r="I32" i="155"/>
  <c r="AC29" i="155"/>
  <c r="AL29" i="155"/>
  <c r="AE30" i="155"/>
  <c r="AK30" i="155"/>
  <c r="M30" i="155"/>
  <c r="BQ30" i="155"/>
  <c r="V30" i="155"/>
  <c r="AB30" i="155"/>
  <c r="AH30" i="155"/>
  <c r="AN30" i="155"/>
  <c r="BN30" i="155"/>
  <c r="BO30" i="155" s="1"/>
  <c r="BL30" i="155"/>
  <c r="AF29" i="155"/>
  <c r="AO29" i="155"/>
  <c r="AQ29" i="155"/>
  <c r="AR29" i="155" s="1"/>
  <c r="AV24" i="129"/>
  <c r="AW24" i="129" s="1"/>
  <c r="BD24" i="129"/>
  <c r="BE24" i="129" s="1"/>
  <c r="BD21" i="63"/>
  <c r="BE21" i="63" s="1"/>
  <c r="AV21" i="63"/>
  <c r="AW21" i="63" s="1"/>
  <c r="AV21" i="129"/>
  <c r="AW21" i="129" s="1"/>
  <c r="BD21" i="129"/>
  <c r="BE21" i="129" s="1"/>
  <c r="BD22" i="129"/>
  <c r="BE22" i="129" s="1"/>
  <c r="AV22" i="129"/>
  <c r="AW22" i="129" s="1"/>
  <c r="AV20" i="129"/>
  <c r="AW20" i="129" s="1"/>
  <c r="BD20" i="129"/>
  <c r="BE20" i="129" s="1"/>
  <c r="BD23" i="129"/>
  <c r="BE23" i="129" s="1"/>
  <c r="AV23" i="129"/>
  <c r="AW23" i="129" s="1"/>
  <c r="AV24" i="132"/>
  <c r="AW24" i="132" s="1"/>
  <c r="BD24" i="132"/>
  <c r="BE24" i="132" s="1"/>
  <c r="AV23" i="63"/>
  <c r="AW23" i="63" s="1"/>
  <c r="BD23" i="63"/>
  <c r="BE23" i="63" s="1"/>
  <c r="A19" i="58"/>
  <c r="AT18" i="17" s="1"/>
  <c r="AT17" i="13"/>
  <c r="AT17" i="15"/>
  <c r="AT17" i="133"/>
  <c r="AT17" i="136"/>
  <c r="AT17" i="130"/>
  <c r="AT17" i="17"/>
  <c r="BD16" i="120"/>
  <c r="BE16" i="120" s="1"/>
  <c r="AV16" i="120"/>
  <c r="AW16" i="120" s="1"/>
  <c r="BD20" i="135"/>
  <c r="BE20" i="135" s="1"/>
  <c r="AV20" i="135"/>
  <c r="AW20" i="135" s="1"/>
  <c r="BD22" i="135"/>
  <c r="BE22" i="135" s="1"/>
  <c r="AV22" i="135"/>
  <c r="AW22" i="135" s="1"/>
  <c r="BD23" i="132"/>
  <c r="BE23" i="132" s="1"/>
  <c r="AV23" i="132"/>
  <c r="AW23" i="132" s="1"/>
  <c r="BD21" i="135"/>
  <c r="BE21" i="135" s="1"/>
  <c r="AV21" i="135"/>
  <c r="AW21" i="135" s="1"/>
  <c r="BD21" i="132"/>
  <c r="BE21" i="132" s="1"/>
  <c r="AV21" i="132"/>
  <c r="AW21" i="132" s="1"/>
  <c r="AV23" i="135"/>
  <c r="AW23" i="135" s="1"/>
  <c r="BD23" i="135"/>
  <c r="BE23" i="135" s="1"/>
  <c r="BD22" i="64"/>
  <c r="BE22" i="64" s="1"/>
  <c r="AV22" i="64"/>
  <c r="AW22" i="64" s="1"/>
  <c r="BD16" i="136"/>
  <c r="BE16" i="136" s="1"/>
  <c r="AV16" i="136"/>
  <c r="AW16" i="136" s="1"/>
  <c r="AV20" i="66"/>
  <c r="AW20" i="66" s="1"/>
  <c r="BD20" i="66"/>
  <c r="BE20" i="66" s="1"/>
  <c r="AV20" i="64"/>
  <c r="AW20" i="64" s="1"/>
  <c r="BD20" i="64"/>
  <c r="BE20" i="64" s="1"/>
  <c r="BD21" i="64"/>
  <c r="BE21" i="64" s="1"/>
  <c r="AV21" i="64"/>
  <c r="AW21" i="64" s="1"/>
  <c r="AV22" i="132"/>
  <c r="AW22" i="132" s="1"/>
  <c r="BD22" i="132"/>
  <c r="BE22" i="132" s="1"/>
  <c r="BD16" i="17"/>
  <c r="BE16" i="17" s="1"/>
  <c r="AV16" i="17"/>
  <c r="AW16" i="17" s="1"/>
  <c r="BD16" i="133"/>
  <c r="BE16" i="133" s="1"/>
  <c r="AV16" i="133"/>
  <c r="AW16" i="133" s="1"/>
  <c r="AV22" i="63"/>
  <c r="AW22" i="63" s="1"/>
  <c r="BD22" i="63"/>
  <c r="BE22" i="63" s="1"/>
  <c r="BD20" i="132"/>
  <c r="BE20" i="132" s="1"/>
  <c r="AV20" i="132"/>
  <c r="AW20" i="132" s="1"/>
  <c r="BD23" i="64"/>
  <c r="BE23" i="64" s="1"/>
  <c r="AV23" i="64"/>
  <c r="AW23" i="64" s="1"/>
  <c r="BD20" i="63"/>
  <c r="BE20" i="63" s="1"/>
  <c r="AV20" i="63"/>
  <c r="AW20" i="63" s="1"/>
  <c r="BD21" i="66"/>
  <c r="BE21" i="66" s="1"/>
  <c r="AV21" i="66"/>
  <c r="AW21" i="66" s="1"/>
  <c r="AI29" i="153"/>
  <c r="AQ29" i="153"/>
  <c r="AR29" i="153" s="1"/>
  <c r="AF29" i="153"/>
  <c r="AO29" i="153"/>
  <c r="I35" i="153"/>
  <c r="M30" i="153"/>
  <c r="BQ30" i="153"/>
  <c r="V30" i="153"/>
  <c r="AB30" i="153"/>
  <c r="AH30" i="153"/>
  <c r="AN30" i="153"/>
  <c r="AK30" i="153"/>
  <c r="P30" i="153"/>
  <c r="R30" i="153"/>
  <c r="T30" i="153" s="1"/>
  <c r="Y30" i="153" s="1"/>
  <c r="AE30" i="153"/>
  <c r="BN30" i="153"/>
  <c r="BO30" i="153" s="1"/>
  <c r="BL30" i="153"/>
  <c r="K31" i="153"/>
  <c r="AL29" i="152"/>
  <c r="Z29" i="152"/>
  <c r="AF29" i="152"/>
  <c r="V29" i="152"/>
  <c r="W29" i="152" s="1"/>
  <c r="AC29" i="152"/>
  <c r="AI29" i="152"/>
  <c r="I39" i="152"/>
  <c r="AO29" i="152"/>
  <c r="P30" i="152"/>
  <c r="BN30" i="152"/>
  <c r="BO30" i="152" s="1"/>
  <c r="R30" i="152"/>
  <c r="T30" i="152" s="1"/>
  <c r="Y30" i="152" s="1"/>
  <c r="AE30" i="152"/>
  <c r="AK30" i="152"/>
  <c r="M30" i="152"/>
  <c r="BQ30" i="152"/>
  <c r="V30" i="152"/>
  <c r="AB30" i="152"/>
  <c r="AH30" i="152"/>
  <c r="AN30" i="152"/>
  <c r="BL30" i="152"/>
  <c r="K31" i="152"/>
  <c r="AQ29" i="152"/>
  <c r="AR29" i="152" s="1"/>
  <c r="BR26" i="146"/>
  <c r="BE26" i="146"/>
  <c r="AL26" i="150"/>
  <c r="BR27" i="151"/>
  <c r="AI27" i="151"/>
  <c r="AF26" i="146"/>
  <c r="BR26" i="105"/>
  <c r="BR28" i="149"/>
  <c r="BR26" i="150"/>
  <c r="AI26" i="150"/>
  <c r="AL27" i="151"/>
  <c r="Z24" i="114"/>
  <c r="AF26" i="150"/>
  <c r="T24" i="63"/>
  <c r="Y24" i="63" s="1"/>
  <c r="Z24" i="63" s="1"/>
  <c r="T24" i="115"/>
  <c r="Y24" i="115" s="1"/>
  <c r="Z24" i="115" s="1"/>
  <c r="BG22" i="13"/>
  <c r="BH22" i="13" s="1"/>
  <c r="BD24" i="63"/>
  <c r="BE24" i="63" s="1"/>
  <c r="BA26" i="105"/>
  <c r="BB26" i="105" s="1"/>
  <c r="AI22" i="120"/>
  <c r="BG25" i="64"/>
  <c r="BH25" i="64" s="1"/>
  <c r="BG24" i="114"/>
  <c r="BH24" i="114" s="1"/>
  <c r="AQ27" i="151"/>
  <c r="AR27" i="151" s="1"/>
  <c r="K29" i="151"/>
  <c r="I30" i="151"/>
  <c r="AO27" i="151"/>
  <c r="AF27" i="151"/>
  <c r="AK28" i="151"/>
  <c r="AE28" i="151"/>
  <c r="AN28" i="151"/>
  <c r="AH28" i="151"/>
  <c r="AB28" i="151"/>
  <c r="BQ28" i="151"/>
  <c r="M28" i="151"/>
  <c r="BN28" i="151"/>
  <c r="BO28" i="151" s="1"/>
  <c r="BL28" i="151"/>
  <c r="AQ26" i="150"/>
  <c r="AR26" i="150" s="1"/>
  <c r="AO26" i="150"/>
  <c r="I31" i="150"/>
  <c r="BQ27" i="150"/>
  <c r="AK27" i="150"/>
  <c r="AE27" i="150"/>
  <c r="R27" i="150"/>
  <c r="T27" i="150" s="1"/>
  <c r="Y27" i="150" s="1"/>
  <c r="P27" i="150"/>
  <c r="V27" i="150" s="1"/>
  <c r="AB27" i="150"/>
  <c r="AN27" i="150"/>
  <c r="O27" i="150"/>
  <c r="AH27" i="150"/>
  <c r="M27" i="150"/>
  <c r="BN27" i="150"/>
  <c r="BO27" i="150" s="1"/>
  <c r="BL27" i="150"/>
  <c r="K28" i="150"/>
  <c r="AC26" i="150"/>
  <c r="P22" i="149"/>
  <c r="I31" i="149"/>
  <c r="K30" i="149"/>
  <c r="AL28" i="149"/>
  <c r="AQ28" i="149"/>
  <c r="AR28" i="149" s="1"/>
  <c r="AC28" i="149"/>
  <c r="AI28" i="149"/>
  <c r="AF28" i="149"/>
  <c r="AO28" i="149"/>
  <c r="AN29" i="149"/>
  <c r="AH29" i="149"/>
  <c r="AB29" i="149"/>
  <c r="AE29" i="149"/>
  <c r="BQ29" i="149"/>
  <c r="AK29" i="149"/>
  <c r="BN29" i="149"/>
  <c r="BO29" i="149" s="1"/>
  <c r="M29" i="149"/>
  <c r="BL29" i="149"/>
  <c r="BK26" i="147"/>
  <c r="BB23" i="118"/>
  <c r="Z25" i="135"/>
  <c r="BH26" i="146"/>
  <c r="BR27" i="147"/>
  <c r="BH27" i="147"/>
  <c r="AL24" i="63"/>
  <c r="BE27" i="147"/>
  <c r="BA27" i="147"/>
  <c r="BB27" i="147" s="1"/>
  <c r="AE28" i="147"/>
  <c r="AT28" i="147"/>
  <c r="AV28" i="147" s="1"/>
  <c r="BQ28" i="147"/>
  <c r="AB28" i="147"/>
  <c r="AY28" i="147"/>
  <c r="BA28" i="147" s="1"/>
  <c r="M28" i="147"/>
  <c r="BJ28" i="147"/>
  <c r="AC27" i="147"/>
  <c r="BL27" i="147"/>
  <c r="AV27" i="147"/>
  <c r="AW27" i="147" s="1"/>
  <c r="V20" i="147"/>
  <c r="AI27" i="147"/>
  <c r="AF27" i="147"/>
  <c r="K29" i="147"/>
  <c r="AH29" i="147" s="1"/>
  <c r="I30" i="147"/>
  <c r="BQ27" i="146"/>
  <c r="AY27" i="146"/>
  <c r="BG27" i="146" s="1"/>
  <c r="AT27" i="146"/>
  <c r="BD27" i="146" s="1"/>
  <c r="AB27" i="146"/>
  <c r="AE27" i="146"/>
  <c r="M27" i="146"/>
  <c r="BJ27" i="146"/>
  <c r="BL26" i="146"/>
  <c r="AV26" i="146"/>
  <c r="AW26" i="146" s="1"/>
  <c r="AC26" i="146"/>
  <c r="BA26" i="146"/>
  <c r="BB26" i="146" s="1"/>
  <c r="AI26" i="146"/>
  <c r="BK25" i="146"/>
  <c r="V19" i="146"/>
  <c r="I29" i="146"/>
  <c r="K28" i="146"/>
  <c r="AH28" i="146" s="1"/>
  <c r="AQ22" i="66"/>
  <c r="AR22" i="66" s="1"/>
  <c r="BK23" i="126"/>
  <c r="BG23" i="101"/>
  <c r="BH23" i="101" s="1"/>
  <c r="BK23" i="115"/>
  <c r="BK23" i="110"/>
  <c r="BD26" i="105"/>
  <c r="BE26" i="105" s="1"/>
  <c r="BD25" i="64"/>
  <c r="BE25" i="64" s="1"/>
  <c r="AF24" i="114"/>
  <c r="AQ24" i="126"/>
  <c r="AR24" i="126" s="1"/>
  <c r="BH24" i="110"/>
  <c r="Z24" i="96"/>
  <c r="BE24" i="96"/>
  <c r="AO24" i="110"/>
  <c r="AW24" i="110"/>
  <c r="BB24" i="96"/>
  <c r="AL24" i="114"/>
  <c r="BL24" i="114"/>
  <c r="AI24" i="115"/>
  <c r="BE24" i="115"/>
  <c r="AQ22" i="120"/>
  <c r="AR22" i="120" s="1"/>
  <c r="BG25" i="135"/>
  <c r="BH25" i="135" s="1"/>
  <c r="AC25" i="135"/>
  <c r="AI25" i="135"/>
  <c r="BB24" i="114"/>
  <c r="AW24" i="114"/>
  <c r="BA24" i="98"/>
  <c r="BB24" i="98" s="1"/>
  <c r="BR24" i="110"/>
  <c r="BR23" i="118"/>
  <c r="AI23" i="118"/>
  <c r="BH24" i="115"/>
  <c r="BD25" i="135"/>
  <c r="BE25" i="135" s="1"/>
  <c r="AQ26" i="105"/>
  <c r="AR26" i="105" s="1"/>
  <c r="AW26" i="105"/>
  <c r="Z23" i="101"/>
  <c r="BL24" i="126"/>
  <c r="BA24" i="115"/>
  <c r="BB24" i="115" s="1"/>
  <c r="AW24" i="126"/>
  <c r="AW25" i="135"/>
  <c r="AC25" i="64"/>
  <c r="AI25" i="64"/>
  <c r="AO24" i="114"/>
  <c r="AI24" i="114"/>
  <c r="BD24" i="98"/>
  <c r="BE24" i="98" s="1"/>
  <c r="Z22" i="17"/>
  <c r="AL22" i="66"/>
  <c r="AC24" i="63"/>
  <c r="AI24" i="63"/>
  <c r="BG23" i="118"/>
  <c r="BH23" i="118" s="1"/>
  <c r="BL24" i="115"/>
  <c r="AO24" i="126"/>
  <c r="AL24" i="126"/>
  <c r="AC28" i="124"/>
  <c r="AQ22" i="17"/>
  <c r="AR22" i="17" s="1"/>
  <c r="AC22" i="17"/>
  <c r="AV23" i="101"/>
  <c r="AW23" i="101" s="1"/>
  <c r="BA24" i="110"/>
  <c r="BB24" i="110" s="1"/>
  <c r="AF24" i="63"/>
  <c r="BA24" i="126"/>
  <c r="BB24" i="126" s="1"/>
  <c r="AF23" i="15"/>
  <c r="AL23" i="15"/>
  <c r="AW25" i="64"/>
  <c r="AF25" i="64"/>
  <c r="BB25" i="64"/>
  <c r="AV28" i="124"/>
  <c r="AW28" i="124" s="1"/>
  <c r="BR24" i="98"/>
  <c r="AI22" i="17"/>
  <c r="AF22" i="17"/>
  <c r="AF23" i="101"/>
  <c r="BR23" i="101"/>
  <c r="AC24" i="96"/>
  <c r="AI24" i="96"/>
  <c r="BB28" i="124"/>
  <c r="AF28" i="124"/>
  <c r="AO25" i="64"/>
  <c r="BR25" i="64"/>
  <c r="BH24" i="98"/>
  <c r="BR22" i="17"/>
  <c r="AO22" i="17"/>
  <c r="BB22" i="17"/>
  <c r="AC23" i="101"/>
  <c r="AL23" i="101"/>
  <c r="AV24" i="96"/>
  <c r="AW24" i="96" s="1"/>
  <c r="BE23" i="101"/>
  <c r="AO23" i="101"/>
  <c r="AI23" i="101"/>
  <c r="AI28" i="124"/>
  <c r="BG24" i="63"/>
  <c r="BH24" i="63" s="1"/>
  <c r="M29" i="124"/>
  <c r="K30" i="124"/>
  <c r="AH30" i="124" s="1"/>
  <c r="BJ29" i="124"/>
  <c r="AT29" i="124"/>
  <c r="AV29" i="124" s="1"/>
  <c r="AB29" i="124"/>
  <c r="AE29" i="124"/>
  <c r="AY29" i="124"/>
  <c r="BA29" i="124" s="1"/>
  <c r="BQ29" i="124"/>
  <c r="I26" i="101"/>
  <c r="K25" i="101"/>
  <c r="AH25" i="101" s="1"/>
  <c r="BD24" i="110"/>
  <c r="BE24" i="110" s="1"/>
  <c r="I29" i="15"/>
  <c r="AQ23" i="118"/>
  <c r="AR23" i="118" s="1"/>
  <c r="AC23" i="118"/>
  <c r="AQ24" i="115"/>
  <c r="AR24" i="115" s="1"/>
  <c r="AO24" i="115"/>
  <c r="BR24" i="115"/>
  <c r="AL24" i="115"/>
  <c r="BD24" i="126"/>
  <c r="BE24" i="126" s="1"/>
  <c r="BG28" i="124"/>
  <c r="BH28" i="124" s="1"/>
  <c r="BG22" i="120"/>
  <c r="BH22" i="120" s="1"/>
  <c r="BR22" i="120"/>
  <c r="AF22" i="120"/>
  <c r="T23" i="98"/>
  <c r="Y23" i="98" s="1"/>
  <c r="R24" i="98"/>
  <c r="I30" i="126"/>
  <c r="AQ25" i="135"/>
  <c r="AR25" i="135" s="1"/>
  <c r="AF25" i="135"/>
  <c r="AI23" i="15"/>
  <c r="AR23" i="114"/>
  <c r="BK23" i="114"/>
  <c r="AQ24" i="114"/>
  <c r="AR24" i="114" s="1"/>
  <c r="I32" i="105"/>
  <c r="AW24" i="98"/>
  <c r="BL24" i="98"/>
  <c r="K26" i="98"/>
  <c r="M25" i="98"/>
  <c r="AY25" i="98"/>
  <c r="BA25" i="98" s="1"/>
  <c r="AT25" i="98"/>
  <c r="BD25" i="98" s="1"/>
  <c r="AB25" i="98"/>
  <c r="AN25" i="98"/>
  <c r="BJ25" i="98"/>
  <c r="AK25" i="98"/>
  <c r="AL25" i="98" s="1"/>
  <c r="AH25" i="98"/>
  <c r="AE25" i="98"/>
  <c r="BQ25" i="98"/>
  <c r="AQ26" i="136"/>
  <c r="AR26" i="136" s="1"/>
  <c r="AC26" i="136"/>
  <c r="Z22" i="13"/>
  <c r="AF22" i="13"/>
  <c r="AO22" i="13"/>
  <c r="BN23" i="66"/>
  <c r="BO23" i="66" s="1"/>
  <c r="M23" i="66"/>
  <c r="AY23" i="66"/>
  <c r="BA23" i="66" s="1"/>
  <c r="AK23" i="66"/>
  <c r="BL23" i="66"/>
  <c r="AH23" i="66"/>
  <c r="AE23" i="66"/>
  <c r="AB23" i="66"/>
  <c r="AN23" i="66"/>
  <c r="BQ23" i="66"/>
  <c r="R23" i="66"/>
  <c r="T23" i="66" s="1"/>
  <c r="Y23" i="66" s="1"/>
  <c r="AT23" i="66"/>
  <c r="AV23" i="66" s="1"/>
  <c r="AL26" i="105"/>
  <c r="AF26" i="105"/>
  <c r="BL26" i="105"/>
  <c r="M25" i="110"/>
  <c r="BJ25" i="110"/>
  <c r="AE25" i="110"/>
  <c r="AT25" i="110"/>
  <c r="AV25" i="110" s="1"/>
  <c r="AY25" i="110"/>
  <c r="BA25" i="110" s="1"/>
  <c r="AH25" i="110"/>
  <c r="AN25" i="110"/>
  <c r="AB25" i="110"/>
  <c r="AK25" i="110"/>
  <c r="BQ25" i="110"/>
  <c r="K24" i="13"/>
  <c r="I25" i="13"/>
  <c r="BG22" i="66"/>
  <c r="BH22" i="66" s="1"/>
  <c r="AQ23" i="101"/>
  <c r="AR23" i="101" s="1"/>
  <c r="AQ24" i="110"/>
  <c r="AR24" i="110" s="1"/>
  <c r="AC24" i="110"/>
  <c r="BL24" i="110"/>
  <c r="AQ24" i="96"/>
  <c r="AR24" i="96" s="1"/>
  <c r="AO24" i="96"/>
  <c r="I31" i="136"/>
  <c r="AV24" i="115"/>
  <c r="AW24" i="115" s="1"/>
  <c r="BL28" i="124"/>
  <c r="BR28" i="124"/>
  <c r="Z22" i="98"/>
  <c r="BK22" i="98"/>
  <c r="M26" i="64"/>
  <c r="AY26" i="64"/>
  <c r="BG26" i="64" s="1"/>
  <c r="BL26" i="64"/>
  <c r="BN26" i="64"/>
  <c r="BO26" i="64" s="1"/>
  <c r="AB26" i="64"/>
  <c r="AN26" i="64"/>
  <c r="BQ26" i="64"/>
  <c r="AH26" i="64"/>
  <c r="AK26" i="64"/>
  <c r="AE26" i="64"/>
  <c r="AT26" i="64"/>
  <c r="AV26" i="64" s="1"/>
  <c r="K27" i="64"/>
  <c r="M27" i="136"/>
  <c r="BN27" i="136"/>
  <c r="BO27" i="136" s="1"/>
  <c r="BL27" i="136"/>
  <c r="AE27" i="136"/>
  <c r="AK27" i="136"/>
  <c r="AH27" i="136"/>
  <c r="AN27" i="136"/>
  <c r="AB27" i="136"/>
  <c r="BQ27" i="136"/>
  <c r="K28" i="136"/>
  <c r="I40" i="133"/>
  <c r="K26" i="110"/>
  <c r="I27" i="110"/>
  <c r="M25" i="96"/>
  <c r="BN25" i="96"/>
  <c r="BO25" i="96" s="1"/>
  <c r="BL25" i="96"/>
  <c r="AK25" i="96"/>
  <c r="AN25" i="96"/>
  <c r="AT25" i="96"/>
  <c r="BD25" i="96" s="1"/>
  <c r="BG25" i="96"/>
  <c r="AH25" i="96"/>
  <c r="AB25" i="96"/>
  <c r="AE25" i="96"/>
  <c r="BQ25" i="96"/>
  <c r="BA25" i="96"/>
  <c r="R25" i="96"/>
  <c r="T25" i="96" s="1"/>
  <c r="Y25" i="96" s="1"/>
  <c r="M26" i="135"/>
  <c r="AE26" i="135"/>
  <c r="AB26" i="135"/>
  <c r="AK26" i="135"/>
  <c r="AY26" i="135"/>
  <c r="BA26" i="135" s="1"/>
  <c r="AN26" i="135"/>
  <c r="AH26" i="135"/>
  <c r="BL26" i="135"/>
  <c r="BN26" i="135"/>
  <c r="BO26" i="135" s="1"/>
  <c r="BQ26" i="135"/>
  <c r="AT26" i="135"/>
  <c r="AV26" i="135" s="1"/>
  <c r="R26" i="135"/>
  <c r="T26" i="135" s="1"/>
  <c r="Y26" i="135" s="1"/>
  <c r="I32" i="132"/>
  <c r="M25" i="126"/>
  <c r="AI25" i="126" s="1"/>
  <c r="AY25" i="126"/>
  <c r="BA25" i="126" s="1"/>
  <c r="AE25" i="126"/>
  <c r="BJ25" i="126"/>
  <c r="AN25" i="126"/>
  <c r="AT25" i="126"/>
  <c r="AV25" i="126" s="1"/>
  <c r="AK25" i="126"/>
  <c r="AB25" i="126"/>
  <c r="BQ25" i="126"/>
  <c r="K26" i="126"/>
  <c r="AH29" i="126" s="1"/>
  <c r="Z22" i="120"/>
  <c r="AO22" i="120"/>
  <c r="K24" i="120"/>
  <c r="AE23" i="120"/>
  <c r="AB23" i="120"/>
  <c r="AY23" i="120"/>
  <c r="BG23" i="120" s="1"/>
  <c r="AN23" i="120"/>
  <c r="M23" i="120"/>
  <c r="BQ23" i="120"/>
  <c r="AH23" i="120"/>
  <c r="AK23" i="120"/>
  <c r="R23" i="120"/>
  <c r="T23" i="120" s="1"/>
  <c r="Y23" i="120" s="1"/>
  <c r="AQ23" i="15"/>
  <c r="AR23" i="15" s="1"/>
  <c r="AQ25" i="64"/>
  <c r="AR25" i="64" s="1"/>
  <c r="I29" i="104"/>
  <c r="AL24" i="98"/>
  <c r="AO26" i="136"/>
  <c r="AQ22" i="13"/>
  <c r="AR22" i="13" s="1"/>
  <c r="AL22" i="13"/>
  <c r="I25" i="66"/>
  <c r="K24" i="66"/>
  <c r="M27" i="105"/>
  <c r="BJ27" i="105"/>
  <c r="AE27" i="105"/>
  <c r="AY27" i="105"/>
  <c r="BG27" i="105" s="1"/>
  <c r="AB27" i="105"/>
  <c r="AT27" i="105"/>
  <c r="BD27" i="105" s="1"/>
  <c r="AH27" i="105"/>
  <c r="BQ27" i="105"/>
  <c r="AK27" i="105"/>
  <c r="AN27" i="105"/>
  <c r="K28" i="105"/>
  <c r="AO26" i="105"/>
  <c r="AI26" i="105"/>
  <c r="BN23" i="13"/>
  <c r="BO23" i="13" s="1"/>
  <c r="M23" i="13"/>
  <c r="BL23" i="13"/>
  <c r="AY23" i="13"/>
  <c r="BA23" i="13" s="1"/>
  <c r="BQ23" i="13"/>
  <c r="AB23" i="13"/>
  <c r="AN23" i="13"/>
  <c r="AK23" i="13"/>
  <c r="AH23" i="13"/>
  <c r="AE23" i="13"/>
  <c r="R23" i="13"/>
  <c r="T23" i="13" s="1"/>
  <c r="Y23" i="13" s="1"/>
  <c r="BD22" i="66"/>
  <c r="BE22" i="66" s="1"/>
  <c r="AV22" i="66"/>
  <c r="AW22" i="66" s="1"/>
  <c r="BR22" i="66"/>
  <c r="AF22" i="66"/>
  <c r="I81" i="99"/>
  <c r="I30" i="63"/>
  <c r="I25" i="17"/>
  <c r="K24" i="17"/>
  <c r="I31" i="64"/>
  <c r="BL24" i="15"/>
  <c r="BN24" i="15"/>
  <c r="BO24" i="15" s="1"/>
  <c r="M24" i="15"/>
  <c r="AB24" i="15"/>
  <c r="BQ24" i="15"/>
  <c r="AN24" i="15"/>
  <c r="AK24" i="15"/>
  <c r="AH24" i="15"/>
  <c r="AE24" i="15"/>
  <c r="K25" i="15"/>
  <c r="R25" i="15" s="1"/>
  <c r="I27" i="115"/>
  <c r="K26" i="115"/>
  <c r="R26" i="115" s="1"/>
  <c r="I27" i="96"/>
  <c r="K26" i="96"/>
  <c r="I28" i="135"/>
  <c r="K27" i="135"/>
  <c r="BN23" i="17"/>
  <c r="BO23" i="17" s="1"/>
  <c r="AY23" i="17"/>
  <c r="BG23" i="17" s="1"/>
  <c r="AH23" i="17"/>
  <c r="AK23" i="17"/>
  <c r="BL23" i="17"/>
  <c r="M23" i="17"/>
  <c r="AN23" i="17"/>
  <c r="AB23" i="17"/>
  <c r="AE23" i="17"/>
  <c r="BQ23" i="17"/>
  <c r="R23" i="17"/>
  <c r="T23" i="17" s="1"/>
  <c r="Y23" i="17" s="1"/>
  <c r="AL23" i="118"/>
  <c r="AF23" i="118"/>
  <c r="K25" i="118"/>
  <c r="R25" i="118" s="1"/>
  <c r="M24" i="118"/>
  <c r="AY24" i="118"/>
  <c r="BA24" i="118" s="1"/>
  <c r="AE24" i="118"/>
  <c r="AB24" i="118"/>
  <c r="AH24" i="118"/>
  <c r="AK24" i="118"/>
  <c r="AN24" i="118"/>
  <c r="BQ24" i="118"/>
  <c r="AT24" i="118"/>
  <c r="AV24" i="118" s="1"/>
  <c r="AF24" i="115"/>
  <c r="AC24" i="115"/>
  <c r="BR24" i="126"/>
  <c r="AI24" i="126"/>
  <c r="AF24" i="126"/>
  <c r="AL22" i="120"/>
  <c r="AC22" i="120"/>
  <c r="BR25" i="135"/>
  <c r="AL25" i="135"/>
  <c r="BR23" i="15"/>
  <c r="AO23" i="15"/>
  <c r="I31" i="114"/>
  <c r="BQ24" i="101"/>
  <c r="M24" i="101"/>
  <c r="AN24" i="101"/>
  <c r="AE24" i="101"/>
  <c r="AY24" i="101"/>
  <c r="BA24" i="101" s="1"/>
  <c r="AB24" i="101"/>
  <c r="AT24" i="101"/>
  <c r="AV24" i="101" s="1"/>
  <c r="AK24" i="101"/>
  <c r="R24" i="101"/>
  <c r="T24" i="101" s="1"/>
  <c r="Y24" i="101" s="1"/>
  <c r="M25" i="114"/>
  <c r="BJ25" i="114"/>
  <c r="AK25" i="114"/>
  <c r="AH25" i="114"/>
  <c r="AT25" i="114"/>
  <c r="AV25" i="114" s="1"/>
  <c r="AB25" i="114"/>
  <c r="AY25" i="114"/>
  <c r="BA25" i="114" s="1"/>
  <c r="AN25" i="114"/>
  <c r="AE25" i="114"/>
  <c r="BQ25" i="114"/>
  <c r="K26" i="114"/>
  <c r="R25" i="114"/>
  <c r="T25" i="114" s="1"/>
  <c r="Y25" i="114" s="1"/>
  <c r="BD24" i="114"/>
  <c r="BE24" i="114" s="1"/>
  <c r="AQ24" i="98"/>
  <c r="AR24" i="98" s="1"/>
  <c r="AF24" i="98"/>
  <c r="AC24" i="98"/>
  <c r="BR26" i="136"/>
  <c r="AL26" i="136"/>
  <c r="BB22" i="13"/>
  <c r="BR22" i="13"/>
  <c r="BH26" i="105"/>
  <c r="M25" i="115"/>
  <c r="AK25" i="115"/>
  <c r="AY25" i="115"/>
  <c r="BA25" i="115" s="1"/>
  <c r="AB25" i="115"/>
  <c r="BJ25" i="115"/>
  <c r="AN25" i="115"/>
  <c r="BQ25" i="115"/>
  <c r="AT25" i="115"/>
  <c r="BD25" i="115" s="1"/>
  <c r="AH25" i="115"/>
  <c r="AE25" i="115"/>
  <c r="Z22" i="66"/>
  <c r="AI22" i="66"/>
  <c r="AC22" i="66"/>
  <c r="AO22" i="66"/>
  <c r="AL24" i="110"/>
  <c r="BR24" i="96"/>
  <c r="BH24" i="96"/>
  <c r="I34" i="95"/>
  <c r="M25" i="63"/>
  <c r="BN25" i="63"/>
  <c r="BO25" i="63" s="1"/>
  <c r="BL25" i="63"/>
  <c r="AE25" i="63"/>
  <c r="AN25" i="63"/>
  <c r="AK25" i="63"/>
  <c r="AB25" i="63"/>
  <c r="AH25" i="63"/>
  <c r="AY25" i="63"/>
  <c r="BA25" i="63" s="1"/>
  <c r="BQ25" i="63"/>
  <c r="AT25" i="63"/>
  <c r="AV25" i="63" s="1"/>
  <c r="K26" i="63"/>
  <c r="R26" i="63" s="1"/>
  <c r="AQ24" i="63"/>
  <c r="AR24" i="63" s="1"/>
  <c r="P19" i="95"/>
  <c r="V20" i="132"/>
  <c r="W20" i="132" s="1"/>
  <c r="R25" i="104"/>
  <c r="T24" i="104"/>
  <c r="Y24" i="104" s="1"/>
  <c r="BK23" i="104"/>
  <c r="Z23" i="104"/>
  <c r="T24" i="15"/>
  <c r="Y24" i="15" s="1"/>
  <c r="R25" i="136"/>
  <c r="T24" i="136"/>
  <c r="Y24" i="136" s="1"/>
  <c r="Z24" i="136" s="1"/>
  <c r="Z24" i="110"/>
  <c r="T26" i="124"/>
  <c r="Y26" i="124" s="1"/>
  <c r="R27" i="124"/>
  <c r="V18" i="98"/>
  <c r="T25" i="110"/>
  <c r="Y25" i="110" s="1"/>
  <c r="Z25" i="124"/>
  <c r="BK25" i="124"/>
  <c r="T25" i="63"/>
  <c r="Y25" i="63" s="1"/>
  <c r="W19" i="115"/>
  <c r="O20" i="115"/>
  <c r="T26" i="132"/>
  <c r="Y26" i="132" s="1"/>
  <c r="R27" i="132"/>
  <c r="W18" i="130"/>
  <c r="O19" i="130"/>
  <c r="W20" i="101"/>
  <c r="O21" i="101"/>
  <c r="W19" i="106"/>
  <c r="O20" i="106"/>
  <c r="W17" i="99"/>
  <c r="O18" i="99"/>
  <c r="R28" i="133"/>
  <c r="T27" i="133"/>
  <c r="Y27" i="133" s="1"/>
  <c r="Z23" i="107"/>
  <c r="BK23" i="107"/>
  <c r="P19" i="126"/>
  <c r="T23" i="99"/>
  <c r="Y23" i="99" s="1"/>
  <c r="R24" i="99"/>
  <c r="W21" i="124"/>
  <c r="O22" i="124"/>
  <c r="R25" i="107"/>
  <c r="T24" i="107"/>
  <c r="Y24" i="107" s="1"/>
  <c r="Z22" i="99"/>
  <c r="BK22" i="99"/>
  <c r="BK23" i="105"/>
  <c r="Z23" i="105"/>
  <c r="W19" i="129"/>
  <c r="O20" i="129"/>
  <c r="V18" i="107"/>
  <c r="V17" i="105"/>
  <c r="P20" i="114"/>
  <c r="P19" i="13"/>
  <c r="P19" i="66"/>
  <c r="P18" i="120"/>
  <c r="V18" i="118"/>
  <c r="T24" i="118"/>
  <c r="Y24" i="118" s="1"/>
  <c r="P18" i="135"/>
  <c r="V19" i="110"/>
  <c r="T25" i="115"/>
  <c r="Y25" i="115" s="1"/>
  <c r="V19" i="17"/>
  <c r="P21" i="64"/>
  <c r="W19" i="104"/>
  <c r="O20" i="104"/>
  <c r="P19" i="15"/>
  <c r="P18" i="136"/>
  <c r="P20" i="96"/>
  <c r="V18" i="63"/>
  <c r="W19" i="133"/>
  <c r="O20" i="133"/>
  <c r="V20" i="133" s="1"/>
  <c r="W20" i="133" s="1"/>
  <c r="P18" i="112"/>
  <c r="P21" i="133"/>
  <c r="P22" i="133" s="1"/>
  <c r="P23" i="133" s="1"/>
  <c r="P24" i="133" s="1"/>
  <c r="P25" i="133" s="1"/>
  <c r="P26" i="133" s="1"/>
  <c r="P27" i="133" s="1"/>
  <c r="P28" i="133" s="1"/>
  <c r="Z117" i="164"/>
  <c r="Z24" i="106" l="1"/>
  <c r="AC26" i="64"/>
  <c r="R27" i="146"/>
  <c r="T27" i="146" s="1"/>
  <c r="Y27" i="146" s="1"/>
  <c r="R28" i="151"/>
  <c r="T28" i="151" s="1"/>
  <c r="Y28" i="151" s="1"/>
  <c r="BE24" i="104"/>
  <c r="Z24" i="112"/>
  <c r="AL23" i="95"/>
  <c r="AF24" i="112"/>
  <c r="AO24" i="15"/>
  <c r="Z27" i="133"/>
  <c r="AL27" i="105"/>
  <c r="BB26" i="135"/>
  <c r="AC28" i="107"/>
  <c r="AF28" i="107"/>
  <c r="AI24" i="118"/>
  <c r="AO25" i="96"/>
  <c r="AL27" i="133"/>
  <c r="AC25" i="129"/>
  <c r="AI28" i="107"/>
  <c r="AL28" i="107"/>
  <c r="BR28" i="107"/>
  <c r="BB25" i="110"/>
  <c r="AO25" i="98"/>
  <c r="AC27" i="133"/>
  <c r="AO24" i="112"/>
  <c r="AO29" i="156"/>
  <c r="AW23" i="95"/>
  <c r="BR23" i="95"/>
  <c r="AO28" i="107"/>
  <c r="AF23" i="13"/>
  <c r="AC27" i="105"/>
  <c r="W27" i="133"/>
  <c r="AF23" i="95"/>
  <c r="AR28" i="107"/>
  <c r="BG22" i="17"/>
  <c r="BH22" i="17" s="1"/>
  <c r="BG22" i="150"/>
  <c r="BH22" i="150" s="1"/>
  <c r="BG22" i="136"/>
  <c r="BH22" i="136" s="1"/>
  <c r="AV28" i="107"/>
  <c r="AW28" i="107" s="1"/>
  <c r="BD28" i="107"/>
  <c r="BE28" i="107" s="1"/>
  <c r="AF26" i="99"/>
  <c r="AO25" i="130"/>
  <c r="BG24" i="106"/>
  <c r="BH24" i="106" s="1"/>
  <c r="BR26" i="132"/>
  <c r="BG26" i="132"/>
  <c r="BH26" i="132" s="1"/>
  <c r="BA26" i="132"/>
  <c r="BB26" i="132" s="1"/>
  <c r="AL26" i="99"/>
  <c r="Z26" i="132"/>
  <c r="BB25" i="63"/>
  <c r="AI25" i="115"/>
  <c r="AC25" i="130"/>
  <c r="AF29" i="156"/>
  <c r="AL26" i="132"/>
  <c r="AC26" i="132"/>
  <c r="BG26" i="99"/>
  <c r="BH26" i="99" s="1"/>
  <c r="BA26" i="99"/>
  <c r="BB26" i="99" s="1"/>
  <c r="K28" i="99"/>
  <c r="BJ27" i="99"/>
  <c r="M27" i="99"/>
  <c r="AK27" i="99"/>
  <c r="AY27" i="99"/>
  <c r="AT27" i="99"/>
  <c r="AN27" i="99"/>
  <c r="AB27" i="99"/>
  <c r="AH27" i="99"/>
  <c r="AE27" i="99"/>
  <c r="BQ27" i="99"/>
  <c r="AC24" i="101"/>
  <c r="AL26" i="64"/>
  <c r="BD26" i="132"/>
  <c r="BE26" i="132" s="1"/>
  <c r="AV26" i="132"/>
  <c r="AW26" i="132" s="1"/>
  <c r="AO26" i="99"/>
  <c r="AC26" i="99"/>
  <c r="BR24" i="112"/>
  <c r="AC24" i="112"/>
  <c r="BR29" i="156"/>
  <c r="AC29" i="156"/>
  <c r="AO24" i="106"/>
  <c r="BK23" i="106"/>
  <c r="AQ26" i="132"/>
  <c r="AR26" i="132" s="1"/>
  <c r="AI26" i="132"/>
  <c r="BA28" i="107"/>
  <c r="BB28" i="107" s="1"/>
  <c r="BG28" i="107"/>
  <c r="BH28" i="107" s="1"/>
  <c r="AV26" i="99"/>
  <c r="AW26" i="99" s="1"/>
  <c r="BD26" i="99"/>
  <c r="BE26" i="99" s="1"/>
  <c r="AK29" i="107"/>
  <c r="AH29" i="107"/>
  <c r="M29" i="107"/>
  <c r="BQ29" i="107"/>
  <c r="AY29" i="107"/>
  <c r="BJ29" i="107"/>
  <c r="AB29" i="107"/>
  <c r="AE29" i="107"/>
  <c r="AN29" i="107"/>
  <c r="AO29" i="107" s="1"/>
  <c r="AT29" i="107"/>
  <c r="BR25" i="130"/>
  <c r="V27" i="132"/>
  <c r="W27" i="132" s="1"/>
  <c r="AN27" i="132"/>
  <c r="AO27" i="132" s="1"/>
  <c r="K28" i="132"/>
  <c r="BG27" i="132"/>
  <c r="BH27" i="132" s="1"/>
  <c r="BN27" i="132"/>
  <c r="BO27" i="132" s="1"/>
  <c r="AY27" i="132"/>
  <c r="AT27" i="132"/>
  <c r="AV27" i="132"/>
  <c r="AW27" i="132" s="1"/>
  <c r="AB27" i="132"/>
  <c r="M27" i="132"/>
  <c r="BA27" i="132"/>
  <c r="BB27" i="132" s="1"/>
  <c r="BD27" i="132"/>
  <c r="BE27" i="132" s="1"/>
  <c r="AE27" i="132"/>
  <c r="AF27" i="132" s="1"/>
  <c r="AQ27" i="132"/>
  <c r="AR27" i="132" s="1"/>
  <c r="BL27" i="132"/>
  <c r="AH27" i="132"/>
  <c r="AI27" i="132" s="1"/>
  <c r="BQ27" i="132"/>
  <c r="BR27" i="132" s="1"/>
  <c r="AK27" i="132"/>
  <c r="AL27" i="132" s="1"/>
  <c r="W26" i="132"/>
  <c r="AF26" i="132"/>
  <c r="BR26" i="99"/>
  <c r="AQ26" i="99"/>
  <c r="AR26" i="99" s="1"/>
  <c r="AI26" i="99"/>
  <c r="I31" i="107"/>
  <c r="K30" i="107"/>
  <c r="Z116" i="164"/>
  <c r="F80" i="164" s="1"/>
  <c r="F75" i="164" s="1"/>
  <c r="F70" i="164" s="1"/>
  <c r="AC27" i="136"/>
  <c r="AI23" i="95"/>
  <c r="BL24" i="112"/>
  <c r="Z25" i="129"/>
  <c r="BR25" i="129"/>
  <c r="AL25" i="129"/>
  <c r="P17" i="156"/>
  <c r="AI23" i="13"/>
  <c r="BR23" i="13"/>
  <c r="AL25" i="130"/>
  <c r="AF27" i="133"/>
  <c r="AI24" i="106"/>
  <c r="AF25" i="129"/>
  <c r="AI25" i="129"/>
  <c r="BH23" i="95"/>
  <c r="BB23" i="95"/>
  <c r="T21" i="156"/>
  <c r="Y21" i="156" s="1"/>
  <c r="Z21" i="156" s="1"/>
  <c r="R22" i="156"/>
  <c r="BG24" i="104"/>
  <c r="BH24" i="104" s="1"/>
  <c r="AO27" i="133"/>
  <c r="BR27" i="133"/>
  <c r="BL24" i="104"/>
  <c r="AQ25" i="129"/>
  <c r="AR25" i="129" s="1"/>
  <c r="BH25" i="129"/>
  <c r="AO25" i="129"/>
  <c r="BD24" i="106"/>
  <c r="BE24" i="106" s="1"/>
  <c r="AV24" i="104"/>
  <c r="AW24" i="104" s="1"/>
  <c r="O28" i="163"/>
  <c r="V29" i="164"/>
  <c r="W29" i="164" s="1"/>
  <c r="P30" i="164"/>
  <c r="V28" i="163"/>
  <c r="W28" i="163" s="1"/>
  <c r="P29" i="163"/>
  <c r="T38" i="163"/>
  <c r="Y38" i="163" s="1"/>
  <c r="Z38" i="163" s="1"/>
  <c r="R39" i="163"/>
  <c r="T39" i="163" s="1"/>
  <c r="Y39" i="163" s="1"/>
  <c r="Z39" i="163" s="1"/>
  <c r="O29" i="164"/>
  <c r="T37" i="161"/>
  <c r="Y37" i="161" s="1"/>
  <c r="Z37" i="161" s="1"/>
  <c r="R38" i="161"/>
  <c r="V27" i="161"/>
  <c r="W27" i="161" s="1"/>
  <c r="P28" i="161"/>
  <c r="W26" i="161"/>
  <c r="O27" i="161"/>
  <c r="K61" i="161"/>
  <c r="BQ61" i="161" s="1"/>
  <c r="I62" i="161"/>
  <c r="BD60" i="161"/>
  <c r="BE60" i="161" s="1"/>
  <c r="AQ60" i="161"/>
  <c r="AR60" i="161" s="1"/>
  <c r="AK60" i="161"/>
  <c r="AL60" i="161" s="1"/>
  <c r="AE60" i="161"/>
  <c r="AF60" i="161" s="1"/>
  <c r="Y60" i="161"/>
  <c r="Z60" i="161" s="1"/>
  <c r="R60" i="161"/>
  <c r="T60" i="161" s="1"/>
  <c r="AV60" i="161"/>
  <c r="AW60" i="161" s="1"/>
  <c r="P60" i="161"/>
  <c r="BG60" i="161"/>
  <c r="BH60" i="161" s="1"/>
  <c r="AT60" i="161"/>
  <c r="AH60" i="161"/>
  <c r="AI60" i="161" s="1"/>
  <c r="V60" i="161"/>
  <c r="W60" i="161" s="1"/>
  <c r="BR60" i="161"/>
  <c r="BA60" i="161"/>
  <c r="BB60" i="161" s="1"/>
  <c r="AN60" i="161"/>
  <c r="AO60" i="161" s="1"/>
  <c r="AB60" i="161"/>
  <c r="AC60" i="161" s="1"/>
  <c r="O60" i="161"/>
  <c r="AY60" i="161"/>
  <c r="BN60" i="161"/>
  <c r="BO60" i="161" s="1"/>
  <c r="M60" i="161"/>
  <c r="BJ60" i="161"/>
  <c r="BL60" i="161" s="1"/>
  <c r="BK60" i="161"/>
  <c r="AI27" i="133"/>
  <c r="AQ27" i="133"/>
  <c r="AR27" i="133" s="1"/>
  <c r="BD24" i="112"/>
  <c r="BE24" i="112" s="1"/>
  <c r="AV24" i="112"/>
  <c r="AW24" i="112" s="1"/>
  <c r="BL28" i="133"/>
  <c r="AE28" i="133"/>
  <c r="BN28" i="133"/>
  <c r="BO28" i="133" s="1"/>
  <c r="AH28" i="133"/>
  <c r="M28" i="133"/>
  <c r="AK28" i="133"/>
  <c r="K29" i="133"/>
  <c r="AN28" i="133"/>
  <c r="V28" i="133"/>
  <c r="AB28" i="133"/>
  <c r="BQ28" i="133"/>
  <c r="BR28" i="133" s="1"/>
  <c r="AR23" i="112"/>
  <c r="BK23" i="112"/>
  <c r="BG24" i="112"/>
  <c r="BH24" i="112" s="1"/>
  <c r="BA24" i="112"/>
  <c r="BB24" i="112" s="1"/>
  <c r="AQ29" i="156"/>
  <c r="AR29" i="156" s="1"/>
  <c r="AI29" i="156"/>
  <c r="AW24" i="106"/>
  <c r="AF24" i="106"/>
  <c r="AQ23" i="95"/>
  <c r="AR23" i="95" s="1"/>
  <c r="AC23" i="95"/>
  <c r="AC25" i="96"/>
  <c r="AL25" i="110"/>
  <c r="AI23" i="66"/>
  <c r="AF25" i="98"/>
  <c r="BE25" i="98"/>
  <c r="AF25" i="130"/>
  <c r="AY23" i="150"/>
  <c r="BG23" i="150" s="1"/>
  <c r="BH23" i="150" s="1"/>
  <c r="M25" i="104"/>
  <c r="AY25" i="104"/>
  <c r="BG25" i="104" s="1"/>
  <c r="AH25" i="104"/>
  <c r="AT25" i="104"/>
  <c r="AV25" i="104" s="1"/>
  <c r="K26" i="104"/>
  <c r="AN25" i="104"/>
  <c r="AE25" i="104"/>
  <c r="AF25" i="104" s="1"/>
  <c r="AK25" i="104"/>
  <c r="AB25" i="104"/>
  <c r="BQ25" i="104"/>
  <c r="BJ25" i="104"/>
  <c r="AF24" i="104"/>
  <c r="AI24" i="112"/>
  <c r="AQ24" i="112"/>
  <c r="BB24" i="106"/>
  <c r="BL24" i="106"/>
  <c r="BD23" i="95"/>
  <c r="BE23" i="95" s="1"/>
  <c r="Z24" i="118"/>
  <c r="AW25" i="114"/>
  <c r="AT18" i="15"/>
  <c r="BD18" i="15" s="1"/>
  <c r="BE18" i="15" s="1"/>
  <c r="AT18" i="136"/>
  <c r="AV18" i="136" s="1"/>
  <c r="AW18" i="136" s="1"/>
  <c r="Z25" i="130"/>
  <c r="BA23" i="151"/>
  <c r="BB23" i="151" s="1"/>
  <c r="AY23" i="156"/>
  <c r="BG23" i="156" s="1"/>
  <c r="BH23" i="156" s="1"/>
  <c r="BR24" i="104"/>
  <c r="AL24" i="104"/>
  <c r="AL24" i="112"/>
  <c r="AK25" i="112"/>
  <c r="BQ25" i="112"/>
  <c r="AE25" i="112"/>
  <c r="R25" i="112"/>
  <c r="T25" i="112" s="1"/>
  <c r="Y25" i="112" s="1"/>
  <c r="K26" i="112"/>
  <c r="AH25" i="112"/>
  <c r="BJ25" i="112"/>
  <c r="AT25" i="112"/>
  <c r="M25" i="112"/>
  <c r="AN25" i="112"/>
  <c r="AY25" i="112"/>
  <c r="AB25" i="112"/>
  <c r="AB25" i="106"/>
  <c r="AT25" i="106"/>
  <c r="AV25" i="106" s="1"/>
  <c r="BJ25" i="106"/>
  <c r="AY25" i="106"/>
  <c r="BG25" i="106" s="1"/>
  <c r="AN25" i="106"/>
  <c r="AE25" i="106"/>
  <c r="AH25" i="106"/>
  <c r="M25" i="106"/>
  <c r="AK25" i="106"/>
  <c r="AQ25" i="106" s="1"/>
  <c r="BA25" i="106"/>
  <c r="BQ25" i="106"/>
  <c r="R25" i="106"/>
  <c r="T25" i="106" s="1"/>
  <c r="Y25" i="106" s="1"/>
  <c r="AQ24" i="106"/>
  <c r="AC24" i="106"/>
  <c r="AO23" i="95"/>
  <c r="BG25" i="126"/>
  <c r="BH25" i="126" s="1"/>
  <c r="BB24" i="104"/>
  <c r="AC24" i="104"/>
  <c r="K26" i="106"/>
  <c r="I27" i="106"/>
  <c r="I32" i="156"/>
  <c r="K31" i="156"/>
  <c r="BD25" i="129"/>
  <c r="BE25" i="129" s="1"/>
  <c r="AV25" i="129"/>
  <c r="AW25" i="129" s="1"/>
  <c r="AE24" i="95"/>
  <c r="BA24" i="95"/>
  <c r="BQ24" i="95"/>
  <c r="AN24" i="95"/>
  <c r="K25" i="95"/>
  <c r="M24" i="95"/>
  <c r="AH24" i="95"/>
  <c r="BN24" i="95"/>
  <c r="BO24" i="95" s="1"/>
  <c r="AB24" i="95"/>
  <c r="BL24" i="95"/>
  <c r="AT24" i="95"/>
  <c r="BD24" i="95" s="1"/>
  <c r="AK24" i="95"/>
  <c r="AL24" i="95" s="1"/>
  <c r="BG24" i="95"/>
  <c r="R24" i="95"/>
  <c r="T24" i="95" s="1"/>
  <c r="Y24" i="95" s="1"/>
  <c r="P29" i="133"/>
  <c r="Z24" i="15"/>
  <c r="AO25" i="63"/>
  <c r="AF25" i="114"/>
  <c r="AC23" i="13"/>
  <c r="AC25" i="126"/>
  <c r="AY23" i="130"/>
  <c r="BA23" i="130" s="1"/>
  <c r="BB23" i="130" s="1"/>
  <c r="AQ24" i="104"/>
  <c r="AR24" i="104" s="1"/>
  <c r="AO24" i="104"/>
  <c r="V30" i="156"/>
  <c r="AB30" i="156"/>
  <c r="AE30" i="156"/>
  <c r="AH30" i="156"/>
  <c r="AK30" i="156"/>
  <c r="AN30" i="156"/>
  <c r="M30" i="156"/>
  <c r="BL30" i="156"/>
  <c r="BQ30" i="156"/>
  <c r="BN30" i="156"/>
  <c r="BO30" i="156" s="1"/>
  <c r="BR24" i="106"/>
  <c r="AL24" i="106"/>
  <c r="BA25" i="129"/>
  <c r="BB25" i="129" s="1"/>
  <c r="BQ26" i="129"/>
  <c r="AH26" i="129"/>
  <c r="M26" i="129"/>
  <c r="K27" i="129"/>
  <c r="AE26" i="129"/>
  <c r="BN26" i="129"/>
  <c r="BO26" i="129" s="1"/>
  <c r="AN26" i="129"/>
  <c r="AK26" i="129"/>
  <c r="AY26" i="129"/>
  <c r="BA26" i="129" s="1"/>
  <c r="BB26" i="129" s="1"/>
  <c r="AB26" i="129"/>
  <c r="BL26" i="129"/>
  <c r="AT26" i="129"/>
  <c r="AV26" i="129" s="1"/>
  <c r="R26" i="129"/>
  <c r="T26" i="129" s="1"/>
  <c r="Y26" i="129" s="1"/>
  <c r="R25" i="126"/>
  <c r="T25" i="126" s="1"/>
  <c r="Y25" i="126" s="1"/>
  <c r="Z25" i="126" s="1"/>
  <c r="R26" i="64"/>
  <c r="T26" i="64" s="1"/>
  <c r="Y26" i="64" s="1"/>
  <c r="Z26" i="64" s="1"/>
  <c r="AV21" i="118"/>
  <c r="AW21" i="118" s="1"/>
  <c r="AV22" i="118"/>
  <c r="AW22" i="118" s="1"/>
  <c r="R28" i="147"/>
  <c r="T28" i="147" s="1"/>
  <c r="Y28" i="147" s="1"/>
  <c r="Z28" i="147" s="1"/>
  <c r="R29" i="149"/>
  <c r="T29" i="149" s="1"/>
  <c r="Y29" i="149" s="1"/>
  <c r="Z29" i="149" s="1"/>
  <c r="AT18" i="156"/>
  <c r="AT18" i="150"/>
  <c r="AI25" i="130"/>
  <c r="AQ25" i="130"/>
  <c r="AR25" i="130" s="1"/>
  <c r="BL26" i="130"/>
  <c r="BN26" i="130"/>
  <c r="BO26" i="130" s="1"/>
  <c r="K27" i="130"/>
  <c r="M26" i="130"/>
  <c r="AN26" i="130"/>
  <c r="BQ26" i="130"/>
  <c r="AK26" i="130"/>
  <c r="AB26" i="130"/>
  <c r="AE26" i="130"/>
  <c r="AH26" i="130"/>
  <c r="R26" i="130"/>
  <c r="T26" i="130" s="1"/>
  <c r="Y26" i="130" s="1"/>
  <c r="BA22" i="15"/>
  <c r="BB22" i="15" s="1"/>
  <c r="BG22" i="15"/>
  <c r="BH22" i="15" s="1"/>
  <c r="BA22" i="130"/>
  <c r="BB22" i="130" s="1"/>
  <c r="BG22" i="130"/>
  <c r="BH22" i="130" s="1"/>
  <c r="BA23" i="136"/>
  <c r="BB23" i="136" s="1"/>
  <c r="BG23" i="136"/>
  <c r="BH23" i="136" s="1"/>
  <c r="BG23" i="133"/>
  <c r="BH23" i="133" s="1"/>
  <c r="BA23" i="133"/>
  <c r="BB23" i="133" s="1"/>
  <c r="BG23" i="155"/>
  <c r="BH23" i="155" s="1"/>
  <c r="BA23" i="155"/>
  <c r="BB23" i="155" s="1"/>
  <c r="BG23" i="153"/>
  <c r="BH23" i="153" s="1"/>
  <c r="BA23" i="153"/>
  <c r="BB23" i="153" s="1"/>
  <c r="BA23" i="152"/>
  <c r="BB23" i="152" s="1"/>
  <c r="BG23" i="152"/>
  <c r="BH23" i="152" s="1"/>
  <c r="BA22" i="149"/>
  <c r="BB22" i="149" s="1"/>
  <c r="BG22" i="149"/>
  <c r="BH22" i="149" s="1"/>
  <c r="BA22" i="155"/>
  <c r="BB22" i="155" s="1"/>
  <c r="BG22" i="155"/>
  <c r="BH22" i="155" s="1"/>
  <c r="BA22" i="153"/>
  <c r="BB22" i="153" s="1"/>
  <c r="BG22" i="153"/>
  <c r="BH22" i="153" s="1"/>
  <c r="BA22" i="152"/>
  <c r="BB22" i="152" s="1"/>
  <c r="BG22" i="152"/>
  <c r="BH22" i="152" s="1"/>
  <c r="BG22" i="156"/>
  <c r="BH22" i="156" s="1"/>
  <c r="BA22" i="156"/>
  <c r="BB22" i="156" s="1"/>
  <c r="A28" i="7"/>
  <c r="AY24" i="150" s="1"/>
  <c r="AY23" i="15"/>
  <c r="BD17" i="156"/>
  <c r="BE17" i="156" s="1"/>
  <c r="AV17" i="156"/>
  <c r="AW17" i="156" s="1"/>
  <c r="AV17" i="150"/>
  <c r="AW17" i="150" s="1"/>
  <c r="BD17" i="150"/>
  <c r="BE17" i="150" s="1"/>
  <c r="AV23" i="118"/>
  <c r="AW23" i="118" s="1"/>
  <c r="BD20" i="118"/>
  <c r="BE20" i="118" s="1"/>
  <c r="BB28" i="147"/>
  <c r="AF29" i="149"/>
  <c r="AI27" i="150"/>
  <c r="AW28" i="147"/>
  <c r="BR24" i="118"/>
  <c r="AF29" i="124"/>
  <c r="AI28" i="151"/>
  <c r="T20" i="155"/>
  <c r="Y20" i="155" s="1"/>
  <c r="Z20" i="155" s="1"/>
  <c r="R21" i="155"/>
  <c r="AC28" i="147"/>
  <c r="W27" i="150"/>
  <c r="AF26" i="64"/>
  <c r="AO26" i="64"/>
  <c r="BH26" i="64"/>
  <c r="BE27" i="146"/>
  <c r="Z28" i="151"/>
  <c r="W16" i="155"/>
  <c r="O17" i="155"/>
  <c r="R25" i="105"/>
  <c r="R26" i="105" s="1"/>
  <c r="AC30" i="155"/>
  <c r="Z30" i="153"/>
  <c r="BD29" i="124"/>
  <c r="BE29" i="124" s="1"/>
  <c r="AV17" i="120"/>
  <c r="AW17" i="120" s="1"/>
  <c r="BA23" i="17"/>
  <c r="BB23" i="17" s="1"/>
  <c r="W30" i="153"/>
  <c r="AO30" i="153"/>
  <c r="AO30" i="155"/>
  <c r="BR30" i="155"/>
  <c r="AL30" i="155"/>
  <c r="O30" i="153"/>
  <c r="O31" i="153" s="1"/>
  <c r="P22" i="151"/>
  <c r="V22" i="151" s="1"/>
  <c r="W22" i="151" s="1"/>
  <c r="W30" i="155"/>
  <c r="AI30" i="155"/>
  <c r="AQ30" i="155"/>
  <c r="AR30" i="155" s="1"/>
  <c r="AF30" i="155"/>
  <c r="K32" i="155"/>
  <c r="I33" i="155"/>
  <c r="AE31" i="155"/>
  <c r="AK31" i="155"/>
  <c r="V31" i="155"/>
  <c r="AB31" i="155"/>
  <c r="AH31" i="155"/>
  <c r="AN31" i="155"/>
  <c r="BQ31" i="155"/>
  <c r="M31" i="155"/>
  <c r="BN31" i="155"/>
  <c r="BO31" i="155" s="1"/>
  <c r="BL31" i="155"/>
  <c r="AV18" i="17"/>
  <c r="AW18" i="17" s="1"/>
  <c r="BD18" i="17"/>
  <c r="BE18" i="17" s="1"/>
  <c r="AV17" i="133"/>
  <c r="AW17" i="133" s="1"/>
  <c r="BD17" i="133"/>
  <c r="BE17" i="133" s="1"/>
  <c r="AV17" i="130"/>
  <c r="AW17" i="130" s="1"/>
  <c r="BD17" i="130"/>
  <c r="BE17" i="130" s="1"/>
  <c r="BD17" i="15"/>
  <c r="BE17" i="15" s="1"/>
  <c r="AV17" i="15"/>
  <c r="AW17" i="15" s="1"/>
  <c r="AT18" i="130"/>
  <c r="AT18" i="13"/>
  <c r="AT18" i="120"/>
  <c r="AT18" i="133"/>
  <c r="A20" i="58"/>
  <c r="BD17" i="17"/>
  <c r="BE17" i="17" s="1"/>
  <c r="AV17" i="17"/>
  <c r="AW17" i="17" s="1"/>
  <c r="BD17" i="136"/>
  <c r="BE17" i="136" s="1"/>
  <c r="AV17" i="136"/>
  <c r="AW17" i="136" s="1"/>
  <c r="BD17" i="13"/>
  <c r="BE17" i="13" s="1"/>
  <c r="AV17" i="13"/>
  <c r="AW17" i="13" s="1"/>
  <c r="BR30" i="152"/>
  <c r="AL30" i="153"/>
  <c r="AI30" i="153"/>
  <c r="BR30" i="153"/>
  <c r="AI30" i="152"/>
  <c r="Z30" i="152"/>
  <c r="AF30" i="153"/>
  <c r="AC30" i="153"/>
  <c r="AQ30" i="153"/>
  <c r="AR30" i="153" s="1"/>
  <c r="M31" i="153"/>
  <c r="BQ31" i="153"/>
  <c r="V31" i="153"/>
  <c r="AB31" i="153"/>
  <c r="AH31" i="153"/>
  <c r="AN31" i="153"/>
  <c r="R31" i="153"/>
  <c r="T31" i="153" s="1"/>
  <c r="Y31" i="153" s="1"/>
  <c r="AE31" i="153"/>
  <c r="BN31" i="153"/>
  <c r="BO31" i="153" s="1"/>
  <c r="AK31" i="153"/>
  <c r="P31" i="153"/>
  <c r="BL31" i="153"/>
  <c r="K32" i="153"/>
  <c r="I36" i="153"/>
  <c r="W30" i="152"/>
  <c r="O30" i="152"/>
  <c r="O31" i="152" s="1"/>
  <c r="AC117" i="101"/>
  <c r="AC30" i="152"/>
  <c r="AL30" i="152"/>
  <c r="P31" i="152"/>
  <c r="BN31" i="152"/>
  <c r="BO31" i="152" s="1"/>
  <c r="R31" i="152"/>
  <c r="T31" i="152" s="1"/>
  <c r="Y31" i="152" s="1"/>
  <c r="AE31" i="152"/>
  <c r="AK31" i="152"/>
  <c r="M31" i="152"/>
  <c r="BQ31" i="152"/>
  <c r="V31" i="152"/>
  <c r="AB31" i="152"/>
  <c r="AH31" i="152"/>
  <c r="AN31" i="152"/>
  <c r="BL31" i="152"/>
  <c r="K32" i="152"/>
  <c r="AF30" i="152"/>
  <c r="I40" i="152"/>
  <c r="AO30" i="152"/>
  <c r="AQ30" i="152"/>
  <c r="AR30" i="152" s="1"/>
  <c r="Z25" i="114"/>
  <c r="AO25" i="114"/>
  <c r="AI25" i="114"/>
  <c r="AF24" i="15"/>
  <c r="AW26" i="64"/>
  <c r="BR28" i="151"/>
  <c r="AO28" i="151"/>
  <c r="AF28" i="151"/>
  <c r="AF23" i="120"/>
  <c r="BK24" i="115"/>
  <c r="AK29" i="151"/>
  <c r="AE29" i="151"/>
  <c r="R29" i="151"/>
  <c r="T29" i="151" s="1"/>
  <c r="Y29" i="151" s="1"/>
  <c r="AN29" i="151"/>
  <c r="AH29" i="151"/>
  <c r="AB29" i="151"/>
  <c r="BQ29" i="151"/>
  <c r="BN29" i="151"/>
  <c r="BO29" i="151" s="1"/>
  <c r="M29" i="151"/>
  <c r="BL29" i="151"/>
  <c r="AL28" i="151"/>
  <c r="AC28" i="151"/>
  <c r="AQ28" i="151"/>
  <c r="AR28" i="151" s="1"/>
  <c r="K30" i="151"/>
  <c r="I31" i="151"/>
  <c r="AC27" i="150"/>
  <c r="AQ27" i="150"/>
  <c r="AR27" i="150" s="1"/>
  <c r="I32" i="150"/>
  <c r="AO27" i="150"/>
  <c r="Z27" i="150"/>
  <c r="BQ28" i="150"/>
  <c r="AK28" i="150"/>
  <c r="AE28" i="150"/>
  <c r="R28" i="150"/>
  <c r="T28" i="150" s="1"/>
  <c r="Y28" i="150" s="1"/>
  <c r="P28" i="150"/>
  <c r="V28" i="150" s="1"/>
  <c r="AN28" i="150"/>
  <c r="O28" i="150"/>
  <c r="AH28" i="150"/>
  <c r="AB28" i="150"/>
  <c r="BN28" i="150"/>
  <c r="BO28" i="150" s="1"/>
  <c r="M28" i="150"/>
  <c r="BL28" i="150"/>
  <c r="K29" i="150"/>
  <c r="AF27" i="150"/>
  <c r="AL27" i="150"/>
  <c r="BR27" i="150"/>
  <c r="AQ29" i="149"/>
  <c r="AR29" i="149" s="1"/>
  <c r="BL28" i="147"/>
  <c r="BG25" i="98"/>
  <c r="BH25" i="98" s="1"/>
  <c r="V22" i="149"/>
  <c r="AC29" i="149"/>
  <c r="AL29" i="149"/>
  <c r="AI29" i="149"/>
  <c r="AN30" i="149"/>
  <c r="AH30" i="149"/>
  <c r="AB30" i="149"/>
  <c r="V30" i="149"/>
  <c r="BQ30" i="149"/>
  <c r="AE30" i="149"/>
  <c r="AK30" i="149"/>
  <c r="BL30" i="149"/>
  <c r="M30" i="149"/>
  <c r="BN30" i="149"/>
  <c r="BO30" i="149" s="1"/>
  <c r="BR29" i="149"/>
  <c r="AO29" i="149"/>
  <c r="I32" i="149"/>
  <c r="K31" i="149"/>
  <c r="BR26" i="135"/>
  <c r="AO26" i="135"/>
  <c r="BB25" i="96"/>
  <c r="BR26" i="64"/>
  <c r="BH27" i="146"/>
  <c r="W20" i="147"/>
  <c r="O21" i="147"/>
  <c r="BR28" i="147"/>
  <c r="BG28" i="147"/>
  <c r="BH28" i="147" s="1"/>
  <c r="BD28" i="147"/>
  <c r="BE28" i="147" s="1"/>
  <c r="K30" i="147"/>
  <c r="AH30" i="147" s="1"/>
  <c r="I31" i="147"/>
  <c r="AF28" i="147"/>
  <c r="BK27" i="147"/>
  <c r="AE29" i="147"/>
  <c r="AT29" i="147"/>
  <c r="AV29" i="147" s="1"/>
  <c r="BQ29" i="147"/>
  <c r="AB29" i="147"/>
  <c r="AY29" i="147"/>
  <c r="BG29" i="147" s="1"/>
  <c r="M29" i="147"/>
  <c r="BJ29" i="147"/>
  <c r="AI28" i="147"/>
  <c r="BL27" i="146"/>
  <c r="BA27" i="146"/>
  <c r="BB27" i="146" s="1"/>
  <c r="Z27" i="146"/>
  <c r="I30" i="146"/>
  <c r="K29" i="146"/>
  <c r="AH29" i="146" s="1"/>
  <c r="AV27" i="146"/>
  <c r="AW27" i="146" s="1"/>
  <c r="AF27" i="146"/>
  <c r="AI27" i="146"/>
  <c r="AC27" i="146"/>
  <c r="BR27" i="146"/>
  <c r="BK26" i="146"/>
  <c r="AT28" i="146"/>
  <c r="AV28" i="146" s="1"/>
  <c r="AB28" i="146"/>
  <c r="BQ28" i="146"/>
  <c r="AY28" i="146"/>
  <c r="BG28" i="146" s="1"/>
  <c r="AE28" i="146"/>
  <c r="R28" i="146"/>
  <c r="T28" i="146" s="1"/>
  <c r="Y28" i="146" s="1"/>
  <c r="M28" i="146"/>
  <c r="BJ28" i="146"/>
  <c r="W19" i="146"/>
  <c r="O20" i="146"/>
  <c r="BG24" i="118"/>
  <c r="BH24" i="118" s="1"/>
  <c r="BG23" i="66"/>
  <c r="BH23" i="66" s="1"/>
  <c r="AV25" i="115"/>
  <c r="AW25" i="115" s="1"/>
  <c r="BR27" i="105"/>
  <c r="BH27" i="105"/>
  <c r="AW24" i="101"/>
  <c r="AW117" i="101" s="1"/>
  <c r="AI26" i="64"/>
  <c r="BG29" i="124"/>
  <c r="BH29" i="124" s="1"/>
  <c r="BR25" i="110"/>
  <c r="AI25" i="110"/>
  <c r="BH23" i="17"/>
  <c r="BB24" i="118"/>
  <c r="Z26" i="135"/>
  <c r="AL26" i="135"/>
  <c r="AC25" i="110"/>
  <c r="AW25" i="110"/>
  <c r="AW26" i="135"/>
  <c r="Z23" i="17"/>
  <c r="AW25" i="63"/>
  <c r="BE25" i="115"/>
  <c r="AC24" i="118"/>
  <c r="AC23" i="17"/>
  <c r="AL23" i="17"/>
  <c r="AI27" i="105"/>
  <c r="AF27" i="105"/>
  <c r="BG26" i="135"/>
  <c r="BH26" i="135" s="1"/>
  <c r="AQ25" i="63"/>
  <c r="AR25" i="63" s="1"/>
  <c r="AQ25" i="115"/>
  <c r="AR25" i="115" s="1"/>
  <c r="BR25" i="115"/>
  <c r="BB25" i="115"/>
  <c r="AW24" i="118"/>
  <c r="AO24" i="118"/>
  <c r="AF24" i="118"/>
  <c r="BR23" i="17"/>
  <c r="AO27" i="105"/>
  <c r="BA23" i="120"/>
  <c r="BB23" i="120" s="1"/>
  <c r="BG25" i="110"/>
  <c r="BH25" i="110" s="1"/>
  <c r="AQ24" i="101"/>
  <c r="AR24" i="101" s="1"/>
  <c r="AR117" i="101" s="1"/>
  <c r="AI24" i="15"/>
  <c r="Z23" i="13"/>
  <c r="AV27" i="105"/>
  <c r="AW27" i="105" s="1"/>
  <c r="AI26" i="135"/>
  <c r="AC26" i="135"/>
  <c r="Z25" i="96"/>
  <c r="AF25" i="96"/>
  <c r="BE25" i="96"/>
  <c r="AO25" i="110"/>
  <c r="BR23" i="66"/>
  <c r="AF23" i="66"/>
  <c r="BB23" i="66"/>
  <c r="BG24" i="101"/>
  <c r="BH24" i="101" s="1"/>
  <c r="BH117" i="101" s="1"/>
  <c r="BH23" i="120"/>
  <c r="AI27" i="136"/>
  <c r="AC25" i="115"/>
  <c r="AQ25" i="114"/>
  <c r="AR25" i="114" s="1"/>
  <c r="AQ25" i="96"/>
  <c r="AR25" i="96" s="1"/>
  <c r="AI25" i="96"/>
  <c r="AL25" i="96"/>
  <c r="BR27" i="136"/>
  <c r="AL27" i="136"/>
  <c r="AW23" i="66"/>
  <c r="BR25" i="98"/>
  <c r="Z23" i="66"/>
  <c r="AC23" i="66"/>
  <c r="AL23" i="66"/>
  <c r="BD25" i="63"/>
  <c r="BE25" i="63" s="1"/>
  <c r="BD24" i="118"/>
  <c r="BE24" i="118" s="1"/>
  <c r="BD25" i="126"/>
  <c r="BE25" i="126" s="1"/>
  <c r="BD26" i="135"/>
  <c r="BE26" i="135" s="1"/>
  <c r="AF26" i="135"/>
  <c r="AQ25" i="110"/>
  <c r="AR25" i="110" s="1"/>
  <c r="AV25" i="98"/>
  <c r="AW25" i="98" s="1"/>
  <c r="BB25" i="98"/>
  <c r="BD24" i="101"/>
  <c r="BE24" i="101" s="1"/>
  <c r="BE117" i="101" s="1"/>
  <c r="BG23" i="13"/>
  <c r="BH23" i="13" s="1"/>
  <c r="BD23" i="66"/>
  <c r="BE23" i="66" s="1"/>
  <c r="BG25" i="114"/>
  <c r="BH25" i="114" s="1"/>
  <c r="AF23" i="17"/>
  <c r="BR24" i="15"/>
  <c r="BA27" i="105"/>
  <c r="BB27" i="105" s="1"/>
  <c r="AQ26" i="64"/>
  <c r="AR26" i="64" s="1"/>
  <c r="BA26" i="64"/>
  <c r="BB26" i="64" s="1"/>
  <c r="AO23" i="66"/>
  <c r="AW25" i="126"/>
  <c r="AO27" i="136"/>
  <c r="AF27" i="136"/>
  <c r="M27" i="135"/>
  <c r="AB27" i="135"/>
  <c r="AN27" i="135"/>
  <c r="BN27" i="135"/>
  <c r="BO27" i="135" s="1"/>
  <c r="AK27" i="135"/>
  <c r="AH27" i="135"/>
  <c r="AE27" i="135"/>
  <c r="AY27" i="135"/>
  <c r="BG27" i="135" s="1"/>
  <c r="BL27" i="135"/>
  <c r="BQ27" i="135"/>
  <c r="AT27" i="135"/>
  <c r="AV27" i="135" s="1"/>
  <c r="R27" i="135"/>
  <c r="T27" i="135" s="1"/>
  <c r="Y27" i="135" s="1"/>
  <c r="I28" i="96"/>
  <c r="K27" i="96"/>
  <c r="I26" i="17"/>
  <c r="K25" i="17"/>
  <c r="K25" i="66"/>
  <c r="I26" i="66"/>
  <c r="M26" i="110"/>
  <c r="BJ26" i="110"/>
  <c r="AK26" i="110"/>
  <c r="AB26" i="110"/>
  <c r="AY26" i="110"/>
  <c r="BG26" i="110" s="1"/>
  <c r="AH26" i="110"/>
  <c r="AE26" i="110"/>
  <c r="AT26" i="110"/>
  <c r="AV26" i="110" s="1"/>
  <c r="AN26" i="110"/>
  <c r="BQ26" i="110"/>
  <c r="Z23" i="98"/>
  <c r="BK23" i="98"/>
  <c r="R26" i="110"/>
  <c r="BR25" i="63"/>
  <c r="AI25" i="63"/>
  <c r="AF25" i="63"/>
  <c r="BG25" i="115"/>
  <c r="BH25" i="115" s="1"/>
  <c r="AF25" i="115"/>
  <c r="AO25" i="115"/>
  <c r="AL25" i="115"/>
  <c r="BD25" i="114"/>
  <c r="BE25" i="114" s="1"/>
  <c r="BB25" i="114"/>
  <c r="AL25" i="114"/>
  <c r="AI24" i="101"/>
  <c r="AI117" i="101" s="1"/>
  <c r="BR24" i="101"/>
  <c r="BR117" i="101" s="1"/>
  <c r="AQ24" i="118"/>
  <c r="AR24" i="118" s="1"/>
  <c r="AL24" i="118"/>
  <c r="AQ23" i="17"/>
  <c r="AR23" i="17" s="1"/>
  <c r="AO23" i="17"/>
  <c r="AI23" i="17"/>
  <c r="I29" i="135"/>
  <c r="K28" i="135"/>
  <c r="BK24" i="114"/>
  <c r="I28" i="115"/>
  <c r="K27" i="115"/>
  <c r="AQ24" i="15"/>
  <c r="AR24" i="15" s="1"/>
  <c r="AL24" i="15"/>
  <c r="AC24" i="15"/>
  <c r="I32" i="64"/>
  <c r="I31" i="63"/>
  <c r="AL23" i="13"/>
  <c r="BB23" i="13"/>
  <c r="BE27" i="105"/>
  <c r="BL27" i="105"/>
  <c r="Z23" i="120"/>
  <c r="AL23" i="120"/>
  <c r="AO23" i="120"/>
  <c r="K25" i="120"/>
  <c r="AB24" i="120"/>
  <c r="M24" i="120"/>
  <c r="BQ24" i="120"/>
  <c r="AK24" i="120"/>
  <c r="AN24" i="120"/>
  <c r="AE24" i="120"/>
  <c r="AH24" i="120"/>
  <c r="R24" i="120"/>
  <c r="T24" i="120" s="1"/>
  <c r="Y24" i="120" s="1"/>
  <c r="M26" i="126"/>
  <c r="BJ26" i="126"/>
  <c r="AT26" i="126"/>
  <c r="AV26" i="126" s="1"/>
  <c r="AB26" i="126"/>
  <c r="AY26" i="126"/>
  <c r="BG26" i="126" s="1"/>
  <c r="BH26" i="126" s="1"/>
  <c r="AE26" i="126"/>
  <c r="AK26" i="126"/>
  <c r="AN26" i="126"/>
  <c r="BQ26" i="126"/>
  <c r="K27" i="126"/>
  <c r="AH30" i="126" s="1"/>
  <c r="AL25" i="126"/>
  <c r="BL25" i="126"/>
  <c r="AV25" i="96"/>
  <c r="AW25" i="96" s="1"/>
  <c r="M28" i="136"/>
  <c r="BN28" i="136"/>
  <c r="BO28" i="136" s="1"/>
  <c r="BL28" i="136"/>
  <c r="AK28" i="136"/>
  <c r="AH28" i="136"/>
  <c r="AN28" i="136"/>
  <c r="AB28" i="136"/>
  <c r="AE28" i="136"/>
  <c r="BQ28" i="136"/>
  <c r="K29" i="136"/>
  <c r="BD26" i="64"/>
  <c r="BE26" i="64" s="1"/>
  <c r="BD25" i="110"/>
  <c r="BE25" i="110" s="1"/>
  <c r="AF25" i="110"/>
  <c r="AQ23" i="66"/>
  <c r="AR23" i="66" s="1"/>
  <c r="AQ25" i="98"/>
  <c r="AR25" i="98" s="1"/>
  <c r="BL25" i="98"/>
  <c r="BK24" i="126"/>
  <c r="AC29" i="124"/>
  <c r="M26" i="115"/>
  <c r="BJ26" i="115"/>
  <c r="BQ26" i="115"/>
  <c r="AT26" i="115"/>
  <c r="AV26" i="115" s="1"/>
  <c r="AK26" i="115"/>
  <c r="AB26" i="115"/>
  <c r="AH26" i="115"/>
  <c r="AE26" i="115"/>
  <c r="AN26" i="115"/>
  <c r="AY26" i="115"/>
  <c r="BG26" i="115" s="1"/>
  <c r="BL25" i="15"/>
  <c r="BN25" i="15"/>
  <c r="BO25" i="15" s="1"/>
  <c r="M25" i="15"/>
  <c r="AN25" i="15"/>
  <c r="AE25" i="15"/>
  <c r="BQ25" i="15"/>
  <c r="AH25" i="15"/>
  <c r="AK25" i="15"/>
  <c r="AB25" i="15"/>
  <c r="K26" i="15"/>
  <c r="R26" i="15" s="1"/>
  <c r="M27" i="64"/>
  <c r="AY27" i="64"/>
  <c r="BG27" i="64" s="1"/>
  <c r="BN27" i="64"/>
  <c r="BO27" i="64" s="1"/>
  <c r="AN27" i="64"/>
  <c r="AK27" i="64"/>
  <c r="AB27" i="64"/>
  <c r="BL27" i="64"/>
  <c r="BQ27" i="64"/>
  <c r="AE27" i="64"/>
  <c r="AH27" i="64"/>
  <c r="K28" i="64"/>
  <c r="AT27" i="64"/>
  <c r="BD27" i="64" s="1"/>
  <c r="BN24" i="13"/>
  <c r="BO24" i="13" s="1"/>
  <c r="M24" i="13"/>
  <c r="BQ24" i="13"/>
  <c r="AN24" i="13"/>
  <c r="AH24" i="13"/>
  <c r="AE24" i="13"/>
  <c r="AB24" i="13"/>
  <c r="BL24" i="13"/>
  <c r="AK24" i="13"/>
  <c r="R24" i="13"/>
  <c r="T24" i="13" s="1"/>
  <c r="Y24" i="13" s="1"/>
  <c r="BK24" i="110"/>
  <c r="BL26" i="63"/>
  <c r="BN26" i="63"/>
  <c r="BO26" i="63" s="1"/>
  <c r="M26" i="63"/>
  <c r="AK26" i="63"/>
  <c r="AE26" i="63"/>
  <c r="AN26" i="63"/>
  <c r="AH26" i="63"/>
  <c r="AB26" i="63"/>
  <c r="AY26" i="63"/>
  <c r="BA26" i="63" s="1"/>
  <c r="BQ26" i="63"/>
  <c r="AT26" i="63"/>
  <c r="BD26" i="63" s="1"/>
  <c r="K27" i="63"/>
  <c r="R27" i="63" s="1"/>
  <c r="AC25" i="63"/>
  <c r="I35" i="95"/>
  <c r="BL25" i="115"/>
  <c r="M26" i="114"/>
  <c r="BJ26" i="114"/>
  <c r="AE26" i="114"/>
  <c r="AK26" i="114"/>
  <c r="AB26" i="114"/>
  <c r="AY26" i="114"/>
  <c r="BG26" i="114" s="1"/>
  <c r="AN26" i="114"/>
  <c r="AT26" i="114"/>
  <c r="AV26" i="114" s="1"/>
  <c r="AH26" i="114"/>
  <c r="BQ26" i="114"/>
  <c r="K27" i="114"/>
  <c r="R26" i="114"/>
  <c r="T26" i="114" s="1"/>
  <c r="Y26" i="114" s="1"/>
  <c r="BR25" i="114"/>
  <c r="AC25" i="114"/>
  <c r="BL25" i="114"/>
  <c r="AL24" i="101"/>
  <c r="AL117" i="101" s="1"/>
  <c r="AF24" i="101"/>
  <c r="AF117" i="101" s="1"/>
  <c r="AQ23" i="13"/>
  <c r="AR23" i="13" s="1"/>
  <c r="AO23" i="13"/>
  <c r="AQ27" i="105"/>
  <c r="AR27" i="105" s="1"/>
  <c r="I30" i="104"/>
  <c r="AI23" i="120"/>
  <c r="BB25" i="126"/>
  <c r="AF25" i="126"/>
  <c r="I33" i="132"/>
  <c r="AQ26" i="135"/>
  <c r="AR26" i="135" s="1"/>
  <c r="I41" i="133"/>
  <c r="AQ27" i="136"/>
  <c r="AR27" i="136" s="1"/>
  <c r="BL25" i="110"/>
  <c r="I31" i="126"/>
  <c r="I30" i="15"/>
  <c r="BQ25" i="101"/>
  <c r="AN25" i="101"/>
  <c r="M25" i="101"/>
  <c r="AY25" i="101"/>
  <c r="BG25" i="101" s="1"/>
  <c r="AK25" i="101"/>
  <c r="AE25" i="101"/>
  <c r="AB25" i="101"/>
  <c r="AT25" i="101"/>
  <c r="BD25" i="101" s="1"/>
  <c r="R25" i="101"/>
  <c r="T25" i="101" s="1"/>
  <c r="Y25" i="101" s="1"/>
  <c r="BR29" i="124"/>
  <c r="AI29" i="124"/>
  <c r="BL29" i="124"/>
  <c r="BG25" i="63"/>
  <c r="BH25" i="63" s="1"/>
  <c r="Z25" i="63"/>
  <c r="AL25" i="63"/>
  <c r="Z24" i="101"/>
  <c r="Z117" i="101" s="1"/>
  <c r="BB24" i="101"/>
  <c r="AO24" i="101"/>
  <c r="AO117" i="101" s="1"/>
  <c r="I32" i="114"/>
  <c r="K26" i="118"/>
  <c r="M25" i="118"/>
  <c r="AH25" i="118"/>
  <c r="AE25" i="118"/>
  <c r="AY25" i="118"/>
  <c r="BG25" i="118" s="1"/>
  <c r="AB25" i="118"/>
  <c r="AK25" i="118"/>
  <c r="AN25" i="118"/>
  <c r="BQ25" i="118"/>
  <c r="AT25" i="118"/>
  <c r="AV25" i="118" s="1"/>
  <c r="BN26" i="96"/>
  <c r="BO26" i="96" s="1"/>
  <c r="M26" i="96"/>
  <c r="BG26" i="96"/>
  <c r="AN26" i="96"/>
  <c r="AE26" i="96"/>
  <c r="AH26" i="96"/>
  <c r="AI26" i="96" s="1"/>
  <c r="AT26" i="96"/>
  <c r="AV26" i="96" s="1"/>
  <c r="AB26" i="96"/>
  <c r="AK26" i="96"/>
  <c r="BL26" i="96"/>
  <c r="BQ26" i="96"/>
  <c r="BA26" i="96"/>
  <c r="R26" i="96"/>
  <c r="T26" i="96" s="1"/>
  <c r="Y26" i="96" s="1"/>
  <c r="BN24" i="17"/>
  <c r="BO24" i="17" s="1"/>
  <c r="BL24" i="17"/>
  <c r="M24" i="17"/>
  <c r="AB24" i="17"/>
  <c r="AH24" i="17"/>
  <c r="AE24" i="17"/>
  <c r="AF24" i="17" s="1"/>
  <c r="AN24" i="17"/>
  <c r="AK24" i="17"/>
  <c r="BQ24" i="17"/>
  <c r="R24" i="17"/>
  <c r="T24" i="17" s="1"/>
  <c r="Y24" i="17" s="1"/>
  <c r="I82" i="99"/>
  <c r="BJ28" i="105"/>
  <c r="M28" i="105"/>
  <c r="AE28" i="105"/>
  <c r="AB28" i="105"/>
  <c r="AY28" i="105"/>
  <c r="BA28" i="105" s="1"/>
  <c r="AT28" i="105"/>
  <c r="AV28" i="105" s="1"/>
  <c r="AW28" i="105" s="1"/>
  <c r="AH28" i="105"/>
  <c r="AN28" i="105"/>
  <c r="BQ28" i="105"/>
  <c r="AK28" i="105"/>
  <c r="K29" i="105"/>
  <c r="BL24" i="66"/>
  <c r="M24" i="66"/>
  <c r="BN24" i="66"/>
  <c r="BO24" i="66" s="1"/>
  <c r="AY24" i="66"/>
  <c r="BG24" i="66" s="1"/>
  <c r="AN24" i="66"/>
  <c r="AE24" i="66"/>
  <c r="AK24" i="66"/>
  <c r="AH24" i="66"/>
  <c r="AB24" i="66"/>
  <c r="BQ24" i="66"/>
  <c r="R24" i="66"/>
  <c r="T24" i="66" s="1"/>
  <c r="Y24" i="66" s="1"/>
  <c r="AT24" i="66"/>
  <c r="AV24" i="66" s="1"/>
  <c r="AQ23" i="120"/>
  <c r="AR23" i="120" s="1"/>
  <c r="BR23" i="120"/>
  <c r="AC23" i="120"/>
  <c r="BR25" i="126"/>
  <c r="AQ25" i="126"/>
  <c r="AR25" i="126" s="1"/>
  <c r="AO25" i="126"/>
  <c r="BR25" i="96"/>
  <c r="BH25" i="96"/>
  <c r="K27" i="110"/>
  <c r="I28" i="110"/>
  <c r="I32" i="136"/>
  <c r="I26" i="13"/>
  <c r="K25" i="13"/>
  <c r="AI25" i="98"/>
  <c r="AC25" i="98"/>
  <c r="K27" i="98"/>
  <c r="M26" i="98"/>
  <c r="AY26" i="98"/>
  <c r="BA26" i="98" s="1"/>
  <c r="AT26" i="98"/>
  <c r="AV26" i="98" s="1"/>
  <c r="AB26" i="98"/>
  <c r="BJ26" i="98"/>
  <c r="AH26" i="98"/>
  <c r="AE26" i="98"/>
  <c r="AN26" i="98"/>
  <c r="AK26" i="98"/>
  <c r="AL26" i="98" s="1"/>
  <c r="BQ26" i="98"/>
  <c r="I33" i="105"/>
  <c r="T24" i="98"/>
  <c r="Y24" i="98" s="1"/>
  <c r="R25" i="98"/>
  <c r="I27" i="101"/>
  <c r="K26" i="101"/>
  <c r="AH26" i="101" s="1"/>
  <c r="AW29" i="124"/>
  <c r="BB29" i="124"/>
  <c r="K31" i="124"/>
  <c r="AH31" i="124" s="1"/>
  <c r="M30" i="124"/>
  <c r="BJ30" i="124"/>
  <c r="V30" i="124"/>
  <c r="AB30" i="124"/>
  <c r="AT30" i="124"/>
  <c r="BD30" i="124" s="1"/>
  <c r="AE30" i="124"/>
  <c r="AY30" i="124"/>
  <c r="BA30" i="124" s="1"/>
  <c r="BQ30" i="124"/>
  <c r="O21" i="132"/>
  <c r="O22" i="132" s="1"/>
  <c r="O23" i="132" s="1"/>
  <c r="O24" i="132" s="1"/>
  <c r="O25" i="132" s="1"/>
  <c r="O26" i="132" s="1"/>
  <c r="O27" i="132" s="1"/>
  <c r="O28" i="132" s="1"/>
  <c r="V19" i="95"/>
  <c r="T25" i="15"/>
  <c r="Y25" i="15" s="1"/>
  <c r="Z24" i="104"/>
  <c r="BK24" i="104"/>
  <c r="R26" i="104"/>
  <c r="T25" i="104"/>
  <c r="Y25" i="104" s="1"/>
  <c r="T25" i="136"/>
  <c r="Y25" i="136" s="1"/>
  <c r="Z25" i="136" s="1"/>
  <c r="R26" i="136"/>
  <c r="R28" i="124"/>
  <c r="T27" i="124"/>
  <c r="Y27" i="124" s="1"/>
  <c r="Z25" i="110"/>
  <c r="W18" i="98"/>
  <c r="O19" i="98"/>
  <c r="Z26" i="124"/>
  <c r="BK26" i="124"/>
  <c r="T26" i="63"/>
  <c r="Y26" i="63" s="1"/>
  <c r="R28" i="132"/>
  <c r="T27" i="132"/>
  <c r="Y27" i="132" s="1"/>
  <c r="Z27" i="132" s="1"/>
  <c r="P20" i="115"/>
  <c r="P22" i="124"/>
  <c r="V19" i="13"/>
  <c r="Z24" i="105"/>
  <c r="BK24" i="105"/>
  <c r="V19" i="126"/>
  <c r="P18" i="99"/>
  <c r="P21" i="101"/>
  <c r="W17" i="105"/>
  <c r="O18" i="105"/>
  <c r="W18" i="107"/>
  <c r="O19" i="107"/>
  <c r="BK24" i="107"/>
  <c r="Z24" i="107"/>
  <c r="R25" i="99"/>
  <c r="T24" i="99"/>
  <c r="Y24" i="99" s="1"/>
  <c r="R29" i="133"/>
  <c r="T29" i="133" s="1"/>
  <c r="Y29" i="133" s="1"/>
  <c r="T28" i="133"/>
  <c r="Y28" i="133" s="1"/>
  <c r="V19" i="66"/>
  <c r="V20" i="114"/>
  <c r="P20" i="129"/>
  <c r="T25" i="107"/>
  <c r="Y25" i="107" s="1"/>
  <c r="R26" i="107"/>
  <c r="BK23" i="99"/>
  <c r="Z23" i="99"/>
  <c r="P20" i="106"/>
  <c r="P19" i="130"/>
  <c r="V18" i="120"/>
  <c r="T25" i="118"/>
  <c r="Y25" i="118" s="1"/>
  <c r="R26" i="118"/>
  <c r="W18" i="118"/>
  <c r="O19" i="118"/>
  <c r="V18" i="112"/>
  <c r="W18" i="63"/>
  <c r="O19" i="63"/>
  <c r="V18" i="136"/>
  <c r="V18" i="135"/>
  <c r="W19" i="110"/>
  <c r="O20" i="110"/>
  <c r="O21" i="133"/>
  <c r="O22" i="133" s="1"/>
  <c r="O23" i="133" s="1"/>
  <c r="O24" i="133" s="1"/>
  <c r="O25" i="133" s="1"/>
  <c r="O26" i="133" s="1"/>
  <c r="O27" i="133" s="1"/>
  <c r="O28" i="133" s="1"/>
  <c r="V20" i="96"/>
  <c r="V19" i="15"/>
  <c r="P20" i="104"/>
  <c r="V21" i="64"/>
  <c r="W19" i="17"/>
  <c r="O20" i="17"/>
  <c r="Z25" i="115"/>
  <c r="R27" i="115"/>
  <c r="T26" i="115"/>
  <c r="Y26" i="115" s="1"/>
  <c r="Z117" i="163"/>
  <c r="BR29" i="107" l="1"/>
  <c r="AF29" i="107"/>
  <c r="AI26" i="114"/>
  <c r="AI24" i="13"/>
  <c r="AC27" i="99"/>
  <c r="AC26" i="114"/>
  <c r="BR27" i="99"/>
  <c r="Z26" i="63"/>
  <c r="BE27" i="64"/>
  <c r="Z25" i="106"/>
  <c r="BA23" i="150"/>
  <c r="BB23" i="150" s="1"/>
  <c r="AL27" i="64"/>
  <c r="AY24" i="133"/>
  <c r="AF26" i="129"/>
  <c r="AO30" i="156"/>
  <c r="BE24" i="95"/>
  <c r="AV29" i="107"/>
  <c r="AW29" i="107" s="1"/>
  <c r="BD29" i="107"/>
  <c r="BE29" i="107" s="1"/>
  <c r="AF27" i="99"/>
  <c r="AL27" i="99"/>
  <c r="Z28" i="133"/>
  <c r="AL24" i="13"/>
  <c r="AY24" i="155"/>
  <c r="BG24" i="155" s="1"/>
  <c r="BH24" i="155" s="1"/>
  <c r="AO24" i="95"/>
  <c r="BB25" i="106"/>
  <c r="AC27" i="132"/>
  <c r="AV28" i="132"/>
  <c r="AW28" i="132" s="1"/>
  <c r="BD28" i="132"/>
  <c r="BE28" i="132" s="1"/>
  <c r="AB28" i="132"/>
  <c r="AC28" i="132" s="1"/>
  <c r="AQ28" i="132"/>
  <c r="AR28" i="132" s="1"/>
  <c r="AT28" i="132"/>
  <c r="AE28" i="132"/>
  <c r="AF28" i="132" s="1"/>
  <c r="M28" i="132"/>
  <c r="AN28" i="132"/>
  <c r="AO28" i="132" s="1"/>
  <c r="BL28" i="132"/>
  <c r="AK28" i="132"/>
  <c r="AL28" i="132" s="1"/>
  <c r="BQ28" i="132"/>
  <c r="BR28" i="132" s="1"/>
  <c r="BA28" i="132"/>
  <c r="BB28" i="132" s="1"/>
  <c r="AH28" i="132"/>
  <c r="AI28" i="132" s="1"/>
  <c r="V28" i="132"/>
  <c r="W28" i="132" s="1"/>
  <c r="BG28" i="132"/>
  <c r="BH28" i="132" s="1"/>
  <c r="BN28" i="132"/>
  <c r="BO28" i="132" s="1"/>
  <c r="AY28" i="132"/>
  <c r="K29" i="132"/>
  <c r="AQ27" i="99"/>
  <c r="AR27" i="99" s="1"/>
  <c r="AI27" i="99"/>
  <c r="BA29" i="107"/>
  <c r="BB29" i="107" s="1"/>
  <c r="BG29" i="107"/>
  <c r="BH29" i="107" s="1"/>
  <c r="BG27" i="99"/>
  <c r="BH27" i="99" s="1"/>
  <c r="BA27" i="99"/>
  <c r="BB27" i="99" s="1"/>
  <c r="AY24" i="17"/>
  <c r="BA24" i="17" s="1"/>
  <c r="BB24" i="17" s="1"/>
  <c r="AY24" i="13"/>
  <c r="BA24" i="13" s="1"/>
  <c r="BB24" i="13" s="1"/>
  <c r="AY24" i="153"/>
  <c r="BA24" i="153" s="1"/>
  <c r="BB24" i="153" s="1"/>
  <c r="AC24" i="95"/>
  <c r="BR24" i="95"/>
  <c r="AR25" i="106"/>
  <c r="AI29" i="107"/>
  <c r="AQ29" i="107"/>
  <c r="AR29" i="107" s="1"/>
  <c r="BL27" i="99"/>
  <c r="AY24" i="136"/>
  <c r="BG24" i="136" s="1"/>
  <c r="BH24" i="136" s="1"/>
  <c r="AY24" i="152"/>
  <c r="BG24" i="152" s="1"/>
  <c r="BH24" i="152" s="1"/>
  <c r="AF26" i="130"/>
  <c r="Z24" i="95"/>
  <c r="BD25" i="104"/>
  <c r="BE25" i="104" s="1"/>
  <c r="M30" i="107"/>
  <c r="BJ30" i="107"/>
  <c r="AB30" i="107"/>
  <c r="BQ30" i="107"/>
  <c r="BR30" i="107" s="1"/>
  <c r="AT30" i="107"/>
  <c r="AN30" i="107"/>
  <c r="AK30" i="107"/>
  <c r="AL30" i="107" s="1"/>
  <c r="AY30" i="107"/>
  <c r="AH30" i="107"/>
  <c r="AE30" i="107"/>
  <c r="AF30" i="107" s="1"/>
  <c r="AC29" i="107"/>
  <c r="AL29" i="107"/>
  <c r="AO27" i="99"/>
  <c r="M28" i="99"/>
  <c r="AK28" i="99"/>
  <c r="K29" i="99"/>
  <c r="AB28" i="99"/>
  <c r="AN28" i="99"/>
  <c r="AE28" i="99"/>
  <c r="AH28" i="99"/>
  <c r="AY28" i="99"/>
  <c r="BQ28" i="99"/>
  <c r="AT28" i="99"/>
  <c r="BJ28" i="99"/>
  <c r="AY24" i="120"/>
  <c r="BA24" i="120" s="1"/>
  <c r="BB24" i="120" s="1"/>
  <c r="AL28" i="133"/>
  <c r="I32" i="107"/>
  <c r="K31" i="107"/>
  <c r="BL29" i="107"/>
  <c r="BD27" i="99"/>
  <c r="BE27" i="99" s="1"/>
  <c r="AV27" i="99"/>
  <c r="AW27" i="99" s="1"/>
  <c r="P28" i="132"/>
  <c r="R27" i="64"/>
  <c r="T27" i="64" s="1"/>
  <c r="Y27" i="64" s="1"/>
  <c r="Z27" i="64" s="1"/>
  <c r="O29" i="133"/>
  <c r="BG23" i="151"/>
  <c r="BH23" i="151" s="1"/>
  <c r="F71" i="164"/>
  <c r="BA23" i="156"/>
  <c r="BB23" i="156" s="1"/>
  <c r="AQ26" i="129"/>
  <c r="AR26" i="129" s="1"/>
  <c r="AC25" i="112"/>
  <c r="BA25" i="104"/>
  <c r="BB25" i="104" s="1"/>
  <c r="AV18" i="15"/>
  <c r="AW18" i="15" s="1"/>
  <c r="BL25" i="104"/>
  <c r="AQ25" i="104"/>
  <c r="AR25" i="104" s="1"/>
  <c r="AF28" i="136"/>
  <c r="BD18" i="136"/>
  <c r="BE18" i="136" s="1"/>
  <c r="BG23" i="130"/>
  <c r="BH23" i="130" s="1"/>
  <c r="BH25" i="106"/>
  <c r="V17" i="156"/>
  <c r="Z26" i="129"/>
  <c r="BB24" i="95"/>
  <c r="BL25" i="112"/>
  <c r="T22" i="156"/>
  <c r="Y22" i="156" s="1"/>
  <c r="Z22" i="156" s="1"/>
  <c r="R23" i="156"/>
  <c r="O30" i="164"/>
  <c r="Z116" i="163"/>
  <c r="F79" i="163" s="1"/>
  <c r="F74" i="163" s="1"/>
  <c r="F69" i="163" s="1"/>
  <c r="V30" i="164"/>
  <c r="W30" i="164" s="1"/>
  <c r="P31" i="164"/>
  <c r="O29" i="163"/>
  <c r="V29" i="163"/>
  <c r="W29" i="163" s="1"/>
  <c r="P30" i="163"/>
  <c r="O28" i="161"/>
  <c r="T38" i="161"/>
  <c r="Y38" i="161" s="1"/>
  <c r="Z38" i="161" s="1"/>
  <c r="R39" i="161"/>
  <c r="T39" i="161" s="1"/>
  <c r="Y39" i="161" s="1"/>
  <c r="Z39" i="161" s="1"/>
  <c r="V28" i="161"/>
  <c r="W28" i="161" s="1"/>
  <c r="P29" i="161"/>
  <c r="K62" i="161"/>
  <c r="BQ62" i="161" s="1"/>
  <c r="I63" i="161"/>
  <c r="BD61" i="161"/>
  <c r="BE61" i="161" s="1"/>
  <c r="AQ61" i="161"/>
  <c r="AR61" i="161" s="1"/>
  <c r="AK61" i="161"/>
  <c r="AL61" i="161" s="1"/>
  <c r="AE61" i="161"/>
  <c r="AF61" i="161" s="1"/>
  <c r="Y61" i="161"/>
  <c r="Z61" i="161" s="1"/>
  <c r="R61" i="161"/>
  <c r="T61" i="161" s="1"/>
  <c r="AV61" i="161"/>
  <c r="AW61" i="161" s="1"/>
  <c r="P61" i="161"/>
  <c r="BG61" i="161"/>
  <c r="BH61" i="161" s="1"/>
  <c r="BA61" i="161"/>
  <c r="BB61" i="161" s="1"/>
  <c r="AT61" i="161"/>
  <c r="AN61" i="161"/>
  <c r="AO61" i="161" s="1"/>
  <c r="AH61" i="161"/>
  <c r="AI61" i="161" s="1"/>
  <c r="V61" i="161"/>
  <c r="W61" i="161" s="1"/>
  <c r="AY61" i="161"/>
  <c r="AB61" i="161"/>
  <c r="AC61" i="161" s="1"/>
  <c r="O61" i="161"/>
  <c r="BR61" i="161"/>
  <c r="BN61" i="161"/>
  <c r="BO61" i="161" s="1"/>
  <c r="BJ61" i="161"/>
  <c r="BL61" i="161" s="1"/>
  <c r="BK61" i="161"/>
  <c r="M61" i="161"/>
  <c r="R26" i="126"/>
  <c r="T26" i="126" s="1"/>
  <c r="Y26" i="126" s="1"/>
  <c r="Z26" i="126" s="1"/>
  <c r="AV24" i="95"/>
  <c r="AW24" i="95" s="1"/>
  <c r="AW25" i="106"/>
  <c r="AC25" i="118"/>
  <c r="W30" i="156"/>
  <c r="BL25" i="95"/>
  <c r="AK25" i="95"/>
  <c r="AT25" i="95"/>
  <c r="AV25" i="95" s="1"/>
  <c r="AN25" i="95"/>
  <c r="AE25" i="95"/>
  <c r="BA25" i="95"/>
  <c r="AB25" i="95"/>
  <c r="K26" i="95"/>
  <c r="M25" i="95"/>
  <c r="AH25" i="95"/>
  <c r="BQ25" i="95"/>
  <c r="BN25" i="95"/>
  <c r="BO25" i="95" s="1"/>
  <c r="BG25" i="95"/>
  <c r="R25" i="95"/>
  <c r="T25" i="95" s="1"/>
  <c r="Y25" i="95" s="1"/>
  <c r="AR24" i="106"/>
  <c r="BK24" i="106"/>
  <c r="BL25" i="106"/>
  <c r="BR25" i="106"/>
  <c r="AO25" i="106"/>
  <c r="AI25" i="112"/>
  <c r="AQ25" i="112"/>
  <c r="AL25" i="104"/>
  <c r="BH25" i="104"/>
  <c r="AB31" i="156"/>
  <c r="AE31" i="156"/>
  <c r="AH31" i="156"/>
  <c r="AK31" i="156"/>
  <c r="AN31" i="156"/>
  <c r="M31" i="156"/>
  <c r="BL31" i="156"/>
  <c r="BQ31" i="156"/>
  <c r="BN31" i="156"/>
  <c r="BO31" i="156" s="1"/>
  <c r="V31" i="156"/>
  <c r="BA25" i="112"/>
  <c r="BB25" i="112" s="1"/>
  <c r="BG25" i="112"/>
  <c r="BH25" i="112" s="1"/>
  <c r="AK26" i="112"/>
  <c r="AN26" i="112"/>
  <c r="AB26" i="112"/>
  <c r="BQ26" i="112"/>
  <c r="AT26" i="112"/>
  <c r="R26" i="112"/>
  <c r="T26" i="112" s="1"/>
  <c r="Y26" i="112" s="1"/>
  <c r="BJ26" i="112"/>
  <c r="AY26" i="112"/>
  <c r="AH26" i="112"/>
  <c r="M26" i="112"/>
  <c r="AE26" i="112"/>
  <c r="K27" i="112"/>
  <c r="AW25" i="118"/>
  <c r="AI28" i="136"/>
  <c r="AF24" i="120"/>
  <c r="BH26" i="110"/>
  <c r="AL27" i="135"/>
  <c r="AC26" i="130"/>
  <c r="BD26" i="129"/>
  <c r="BE26" i="129" s="1"/>
  <c r="AC26" i="129"/>
  <c r="BN27" i="129"/>
  <c r="BO27" i="129" s="1"/>
  <c r="AK27" i="129"/>
  <c r="AH27" i="129"/>
  <c r="AY27" i="129"/>
  <c r="BG27" i="129" s="1"/>
  <c r="AE27" i="129"/>
  <c r="BL27" i="129"/>
  <c r="AN27" i="129"/>
  <c r="M27" i="129"/>
  <c r="AB27" i="129"/>
  <c r="K28" i="129"/>
  <c r="BQ27" i="129"/>
  <c r="AT27" i="129"/>
  <c r="R27" i="129"/>
  <c r="T27" i="129" s="1"/>
  <c r="Y27" i="129" s="1"/>
  <c r="AL30" i="156"/>
  <c r="AQ24" i="95"/>
  <c r="AR24" i="95" s="1"/>
  <c r="K32" i="156"/>
  <c r="I33" i="156"/>
  <c r="AL25" i="106"/>
  <c r="AO25" i="112"/>
  <c r="Z25" i="112"/>
  <c r="AO25" i="104"/>
  <c r="AC28" i="133"/>
  <c r="AQ28" i="133"/>
  <c r="AR28" i="133" s="1"/>
  <c r="AI28" i="133"/>
  <c r="Z24" i="17"/>
  <c r="AC25" i="101"/>
  <c r="AF27" i="64"/>
  <c r="AL26" i="115"/>
  <c r="AL26" i="130"/>
  <c r="AI30" i="156"/>
  <c r="AQ30" i="156"/>
  <c r="AR30" i="156" s="1"/>
  <c r="I28" i="106"/>
  <c r="I29" i="106" s="1"/>
  <c r="I30" i="106" s="1"/>
  <c r="K27" i="106"/>
  <c r="AF25" i="112"/>
  <c r="AR24" i="112"/>
  <c r="BK24" i="112"/>
  <c r="AH26" i="104"/>
  <c r="BQ26" i="104"/>
  <c r="M26" i="104"/>
  <c r="AT26" i="104"/>
  <c r="BD26" i="104" s="1"/>
  <c r="K27" i="104"/>
  <c r="R27" i="104" s="1"/>
  <c r="BJ26" i="104"/>
  <c r="AY26" i="104"/>
  <c r="BA26" i="104" s="1"/>
  <c r="AN26" i="104"/>
  <c r="AB26" i="104"/>
  <c r="AK26" i="104"/>
  <c r="AE26" i="104"/>
  <c r="W28" i="133"/>
  <c r="BR25" i="15"/>
  <c r="AO26" i="110"/>
  <c r="BR26" i="130"/>
  <c r="AW26" i="129"/>
  <c r="AL26" i="129"/>
  <c r="AI26" i="129"/>
  <c r="BR30" i="156"/>
  <c r="AF30" i="156"/>
  <c r="BH24" i="95"/>
  <c r="AI24" i="95"/>
  <c r="AF24" i="95"/>
  <c r="AY26" i="106"/>
  <c r="BG26" i="106" s="1"/>
  <c r="AB26" i="106"/>
  <c r="AN26" i="106"/>
  <c r="BJ26" i="106"/>
  <c r="AK26" i="106"/>
  <c r="AE26" i="106"/>
  <c r="AH26" i="106"/>
  <c r="M26" i="106"/>
  <c r="AT26" i="106"/>
  <c r="AV26" i="106" s="1"/>
  <c r="BQ26" i="106"/>
  <c r="R26" i="106"/>
  <c r="T26" i="106" s="1"/>
  <c r="Y26" i="106" s="1"/>
  <c r="BD25" i="106"/>
  <c r="BE25" i="106" s="1"/>
  <c r="AI25" i="106"/>
  <c r="AC25" i="106"/>
  <c r="AV25" i="112"/>
  <c r="AW25" i="112" s="1"/>
  <c r="BD25" i="112"/>
  <c r="BE25" i="112" s="1"/>
  <c r="BR25" i="112"/>
  <c r="BR25" i="104"/>
  <c r="AW25" i="104"/>
  <c r="AO28" i="133"/>
  <c r="AF28" i="133"/>
  <c r="AO26" i="115"/>
  <c r="Z26" i="130"/>
  <c r="AO26" i="130"/>
  <c r="BG26" i="129"/>
  <c r="BH26" i="129" s="1"/>
  <c r="AO26" i="129"/>
  <c r="BR26" i="129"/>
  <c r="AC30" i="156"/>
  <c r="AF25" i="106"/>
  <c r="AL25" i="112"/>
  <c r="AC25" i="104"/>
  <c r="AI25" i="104"/>
  <c r="V29" i="133"/>
  <c r="AN29" i="133"/>
  <c r="K30" i="133"/>
  <c r="AH29" i="133"/>
  <c r="BQ29" i="133"/>
  <c r="BL29" i="133"/>
  <c r="AK29" i="133"/>
  <c r="M29" i="133"/>
  <c r="Z29" i="133" s="1"/>
  <c r="AB29" i="133"/>
  <c r="BN29" i="133"/>
  <c r="BO29" i="133" s="1"/>
  <c r="AE29" i="133"/>
  <c r="R29" i="147"/>
  <c r="T29" i="147" s="1"/>
  <c r="Y29" i="147" s="1"/>
  <c r="Z29" i="147" s="1"/>
  <c r="R30" i="149"/>
  <c r="T30" i="149" s="1"/>
  <c r="Y30" i="149" s="1"/>
  <c r="Z30" i="149" s="1"/>
  <c r="W28" i="150"/>
  <c r="Z29" i="151"/>
  <c r="AT19" i="150"/>
  <c r="AT19" i="156"/>
  <c r="BA23" i="15"/>
  <c r="BB23" i="15" s="1"/>
  <c r="BG23" i="15"/>
  <c r="BH23" i="15" s="1"/>
  <c r="BA24" i="150"/>
  <c r="BB24" i="150" s="1"/>
  <c r="BG24" i="150"/>
  <c r="BH24" i="150" s="1"/>
  <c r="BG24" i="151"/>
  <c r="BH24" i="151" s="1"/>
  <c r="BA24" i="151"/>
  <c r="BB24" i="151" s="1"/>
  <c r="BA24" i="133"/>
  <c r="BB24" i="133" s="1"/>
  <c r="BG24" i="133"/>
  <c r="BH24" i="133" s="1"/>
  <c r="BA24" i="152"/>
  <c r="BB24" i="152" s="1"/>
  <c r="BA23" i="149"/>
  <c r="BB23" i="149" s="1"/>
  <c r="BG23" i="149"/>
  <c r="BH23" i="149" s="1"/>
  <c r="A29" i="7"/>
  <c r="AY25" i="155" s="1"/>
  <c r="AY24" i="156"/>
  <c r="AY25" i="153"/>
  <c r="AY25" i="150"/>
  <c r="AY24" i="130"/>
  <c r="AY24" i="15"/>
  <c r="AI26" i="130"/>
  <c r="AQ26" i="130"/>
  <c r="AR26" i="130" s="1"/>
  <c r="BL27" i="130"/>
  <c r="BN27" i="130"/>
  <c r="BO27" i="130" s="1"/>
  <c r="M27" i="130"/>
  <c r="K28" i="130"/>
  <c r="BQ27" i="130"/>
  <c r="AH27" i="130"/>
  <c r="AN27" i="130"/>
  <c r="AE27" i="130"/>
  <c r="AB27" i="130"/>
  <c r="AK27" i="130"/>
  <c r="R27" i="130"/>
  <c r="T27" i="130" s="1"/>
  <c r="Y27" i="130" s="1"/>
  <c r="Z27" i="130" s="1"/>
  <c r="AV18" i="150"/>
  <c r="AW18" i="150" s="1"/>
  <c r="BD18" i="150"/>
  <c r="BE18" i="150" s="1"/>
  <c r="BD18" i="156"/>
  <c r="BE18" i="156" s="1"/>
  <c r="AV18" i="156"/>
  <c r="AW18" i="156" s="1"/>
  <c r="T25" i="105"/>
  <c r="Y25" i="105" s="1"/>
  <c r="BK25" i="105" s="1"/>
  <c r="AW27" i="135"/>
  <c r="AI26" i="63"/>
  <c r="Z25" i="15"/>
  <c r="BR25" i="118"/>
  <c r="BH25" i="118"/>
  <c r="P17" i="155"/>
  <c r="AC30" i="124"/>
  <c r="AC29" i="151"/>
  <c r="Z25" i="118"/>
  <c r="Z25" i="101"/>
  <c r="Z26" i="114"/>
  <c r="T21" i="155"/>
  <c r="Y21" i="155" s="1"/>
  <c r="Z21" i="155" s="1"/>
  <c r="R22" i="155"/>
  <c r="AO26" i="126"/>
  <c r="AI28" i="150"/>
  <c r="W31" i="153"/>
  <c r="R27" i="110"/>
  <c r="T27" i="110" s="1"/>
  <c r="Y27" i="110" s="1"/>
  <c r="AC31" i="155"/>
  <c r="AL31" i="153"/>
  <c r="O23" i="151"/>
  <c r="P23" i="151" s="1"/>
  <c r="V23" i="151" s="1"/>
  <c r="W23" i="151" s="1"/>
  <c r="AF31" i="153"/>
  <c r="AI31" i="153"/>
  <c r="BR31" i="153"/>
  <c r="Z31" i="153"/>
  <c r="BR31" i="155"/>
  <c r="AF31" i="155"/>
  <c r="AO31" i="155"/>
  <c r="AI31" i="155"/>
  <c r="AQ31" i="155"/>
  <c r="AR31" i="155" s="1"/>
  <c r="W31" i="155"/>
  <c r="AL31" i="155"/>
  <c r="K33" i="155"/>
  <c r="I34" i="155"/>
  <c r="AE32" i="155"/>
  <c r="AK32" i="155"/>
  <c r="V32" i="155"/>
  <c r="AB32" i="155"/>
  <c r="AH32" i="155"/>
  <c r="AN32" i="155"/>
  <c r="M32" i="155"/>
  <c r="BN32" i="155"/>
  <c r="BO32" i="155" s="1"/>
  <c r="BQ32" i="155"/>
  <c r="BL32" i="155"/>
  <c r="BD18" i="133"/>
  <c r="BE18" i="133" s="1"/>
  <c r="AV18" i="133"/>
  <c r="AW18" i="133" s="1"/>
  <c r="AV18" i="120"/>
  <c r="AW18" i="120" s="1"/>
  <c r="BD18" i="120"/>
  <c r="BE18" i="120" s="1"/>
  <c r="AV18" i="130"/>
  <c r="AW18" i="130" s="1"/>
  <c r="BD18" i="130"/>
  <c r="BE18" i="130" s="1"/>
  <c r="AT19" i="130"/>
  <c r="A21" i="58"/>
  <c r="AT19" i="136"/>
  <c r="AT19" i="15"/>
  <c r="AT19" i="17"/>
  <c r="BD18" i="13"/>
  <c r="BE18" i="13" s="1"/>
  <c r="AV18" i="13"/>
  <c r="AW18" i="13" s="1"/>
  <c r="AT18" i="153"/>
  <c r="AT17" i="153"/>
  <c r="AT16" i="152"/>
  <c r="AT17" i="152"/>
  <c r="AT18" i="152"/>
  <c r="AT19" i="153"/>
  <c r="AT15" i="152"/>
  <c r="AT19" i="152"/>
  <c r="AT15" i="153"/>
  <c r="AT16" i="153"/>
  <c r="BR31" i="152"/>
  <c r="AO31" i="153"/>
  <c r="I37" i="153"/>
  <c r="M32" i="153"/>
  <c r="BQ32" i="153"/>
  <c r="O32" i="153"/>
  <c r="V32" i="153"/>
  <c r="AB32" i="153"/>
  <c r="AH32" i="153"/>
  <c r="AN32" i="153"/>
  <c r="P32" i="153"/>
  <c r="R32" i="153"/>
  <c r="T32" i="153" s="1"/>
  <c r="Y32" i="153" s="1"/>
  <c r="AE32" i="153"/>
  <c r="BN32" i="153"/>
  <c r="BO32" i="153" s="1"/>
  <c r="AK32" i="153"/>
  <c r="BL32" i="153"/>
  <c r="K33" i="153"/>
  <c r="AQ31" i="153"/>
  <c r="AR31" i="153" s="1"/>
  <c r="AC31" i="153"/>
  <c r="W31" i="152"/>
  <c r="AI31" i="152"/>
  <c r="Z31" i="152"/>
  <c r="I41" i="152"/>
  <c r="AO31" i="152"/>
  <c r="AQ31" i="152"/>
  <c r="AR31" i="152" s="1"/>
  <c r="AC31" i="152"/>
  <c r="AL31" i="152"/>
  <c r="P32" i="152"/>
  <c r="BN32" i="152"/>
  <c r="BO32" i="152" s="1"/>
  <c r="R32" i="152"/>
  <c r="T32" i="152" s="1"/>
  <c r="Y32" i="152" s="1"/>
  <c r="AE32" i="152"/>
  <c r="AK32" i="152"/>
  <c r="M32" i="152"/>
  <c r="BQ32" i="152"/>
  <c r="O32" i="152"/>
  <c r="V32" i="152"/>
  <c r="AB32" i="152"/>
  <c r="AH32" i="152"/>
  <c r="AN32" i="152"/>
  <c r="BL32" i="152"/>
  <c r="K33" i="152"/>
  <c r="AF31" i="152"/>
  <c r="BH29" i="147"/>
  <c r="AW29" i="147"/>
  <c r="AF28" i="150"/>
  <c r="AW28" i="146"/>
  <c r="AO28" i="150"/>
  <c r="AL29" i="151"/>
  <c r="BK25" i="110"/>
  <c r="AQ29" i="151"/>
  <c r="AR29" i="151" s="1"/>
  <c r="BK25" i="115"/>
  <c r="K31" i="151"/>
  <c r="I32" i="151"/>
  <c r="AO29" i="151"/>
  <c r="AF29" i="151"/>
  <c r="AK30" i="151"/>
  <c r="AE30" i="151"/>
  <c r="R30" i="151"/>
  <c r="T30" i="151" s="1"/>
  <c r="Y30" i="151" s="1"/>
  <c r="AN30" i="151"/>
  <c r="AH30" i="151"/>
  <c r="AB30" i="151"/>
  <c r="V30" i="151"/>
  <c r="BQ30" i="151"/>
  <c r="M30" i="151"/>
  <c r="BN30" i="151"/>
  <c r="BO30" i="151" s="1"/>
  <c r="BL30" i="151"/>
  <c r="BR29" i="151"/>
  <c r="AI29" i="151"/>
  <c r="AC28" i="150"/>
  <c r="AQ28" i="150"/>
  <c r="AR28" i="150" s="1"/>
  <c r="Z28" i="150"/>
  <c r="I33" i="150"/>
  <c r="BQ29" i="150"/>
  <c r="AK29" i="150"/>
  <c r="AE29" i="150"/>
  <c r="R29" i="150"/>
  <c r="T29" i="150" s="1"/>
  <c r="Y29" i="150" s="1"/>
  <c r="P29" i="150"/>
  <c r="AB29" i="150"/>
  <c r="AN29" i="150"/>
  <c r="O29" i="150"/>
  <c r="AH29" i="150"/>
  <c r="M29" i="150"/>
  <c r="BN29" i="150"/>
  <c r="BO29" i="150" s="1"/>
  <c r="BL29" i="150"/>
  <c r="K30" i="150"/>
  <c r="AL28" i="150"/>
  <c r="BR28" i="150"/>
  <c r="AQ30" i="149"/>
  <c r="AR30" i="149" s="1"/>
  <c r="W22" i="149"/>
  <c r="O23" i="149"/>
  <c r="AC30" i="149"/>
  <c r="BR30" i="149"/>
  <c r="AI30" i="149"/>
  <c r="AN31" i="149"/>
  <c r="AH31" i="149"/>
  <c r="AB31" i="149"/>
  <c r="V31" i="149"/>
  <c r="BQ31" i="149"/>
  <c r="AK31" i="149"/>
  <c r="AE31" i="149"/>
  <c r="M31" i="149"/>
  <c r="BN31" i="149"/>
  <c r="BO31" i="149" s="1"/>
  <c r="BL31" i="149"/>
  <c r="AL30" i="149"/>
  <c r="AF30" i="149"/>
  <c r="AO30" i="149"/>
  <c r="I33" i="149"/>
  <c r="K32" i="149"/>
  <c r="W30" i="149"/>
  <c r="BK25" i="114"/>
  <c r="T26" i="110"/>
  <c r="Y26" i="110" s="1"/>
  <c r="Z26" i="110" s="1"/>
  <c r="BL29" i="147"/>
  <c r="AF28" i="146"/>
  <c r="BH28" i="146"/>
  <c r="BA29" i="147"/>
  <c r="BB29" i="147" s="1"/>
  <c r="BR29" i="147"/>
  <c r="BD29" i="147"/>
  <c r="BE29" i="147" s="1"/>
  <c r="AE30" i="147"/>
  <c r="AT30" i="147"/>
  <c r="BD30" i="147" s="1"/>
  <c r="BQ30" i="147"/>
  <c r="AY30" i="147"/>
  <c r="BA30" i="147" s="1"/>
  <c r="AB30" i="147"/>
  <c r="M30" i="147"/>
  <c r="AI30" i="147" s="1"/>
  <c r="BJ30" i="147"/>
  <c r="AF29" i="147"/>
  <c r="BK28" i="147"/>
  <c r="AC29" i="147"/>
  <c r="AI29" i="147"/>
  <c r="P21" i="147"/>
  <c r="K31" i="147"/>
  <c r="AH31" i="147" s="1"/>
  <c r="I32" i="147"/>
  <c r="BK27" i="146"/>
  <c r="BD28" i="146"/>
  <c r="BE28" i="146" s="1"/>
  <c r="BL28" i="146"/>
  <c r="Z28" i="146"/>
  <c r="P20" i="146"/>
  <c r="AC28" i="146"/>
  <c r="BA28" i="146"/>
  <c r="BB28" i="146" s="1"/>
  <c r="AT29" i="146"/>
  <c r="BD29" i="146" s="1"/>
  <c r="AB29" i="146"/>
  <c r="BQ29" i="146"/>
  <c r="AY29" i="146"/>
  <c r="BG29" i="146" s="1"/>
  <c r="R29" i="146"/>
  <c r="T29" i="146" s="1"/>
  <c r="Y29" i="146" s="1"/>
  <c r="AE29" i="146"/>
  <c r="M29" i="146"/>
  <c r="BJ29" i="146"/>
  <c r="AI28" i="146"/>
  <c r="I31" i="146"/>
  <c r="K30" i="146"/>
  <c r="AH30" i="146" s="1"/>
  <c r="BR28" i="146"/>
  <c r="AQ25" i="101"/>
  <c r="AR25" i="101" s="1"/>
  <c r="BA26" i="115"/>
  <c r="BG26" i="98"/>
  <c r="BH26" i="98" s="1"/>
  <c r="Z24" i="66"/>
  <c r="BE25" i="101"/>
  <c r="BH25" i="101"/>
  <c r="BH27" i="64"/>
  <c r="AL26" i="126"/>
  <c r="AC26" i="126"/>
  <c r="BR26" i="126"/>
  <c r="BB30" i="124"/>
  <c r="BR26" i="96"/>
  <c r="AW26" i="96"/>
  <c r="BB26" i="63"/>
  <c r="BD26" i="115"/>
  <c r="BE26" i="115" s="1"/>
  <c r="AQ26" i="115"/>
  <c r="AR26" i="115" s="1"/>
  <c r="BE30" i="124"/>
  <c r="BL30" i="124"/>
  <c r="BH26" i="115"/>
  <c r="BR27" i="135"/>
  <c r="BA26" i="114"/>
  <c r="BB26" i="114" s="1"/>
  <c r="BA26" i="126"/>
  <c r="BB26" i="126" s="1"/>
  <c r="BD26" i="110"/>
  <c r="BE26" i="110" s="1"/>
  <c r="BB28" i="105"/>
  <c r="BR24" i="17"/>
  <c r="AI24" i="17"/>
  <c r="AO25" i="118"/>
  <c r="AF25" i="118"/>
  <c r="AQ24" i="66"/>
  <c r="AR24" i="66" s="1"/>
  <c r="BH24" i="66"/>
  <c r="AL24" i="17"/>
  <c r="AC24" i="17"/>
  <c r="BA27" i="135"/>
  <c r="BB27" i="135" s="1"/>
  <c r="AF27" i="135"/>
  <c r="AO27" i="135"/>
  <c r="BR26" i="98"/>
  <c r="AO26" i="98"/>
  <c r="AQ28" i="105"/>
  <c r="AR28" i="105" s="1"/>
  <c r="AV25" i="101"/>
  <c r="AW25" i="101" s="1"/>
  <c r="AO24" i="120"/>
  <c r="AW26" i="110"/>
  <c r="BH27" i="135"/>
  <c r="AF30" i="124"/>
  <c r="AI30" i="124"/>
  <c r="BB26" i="98"/>
  <c r="AF26" i="98"/>
  <c r="AW26" i="98"/>
  <c r="BD26" i="96"/>
  <c r="BE26" i="96" s="1"/>
  <c r="AL26" i="96"/>
  <c r="AF26" i="96"/>
  <c r="AF25" i="101"/>
  <c r="AO25" i="101"/>
  <c r="Z24" i="120"/>
  <c r="AL24" i="120"/>
  <c r="BR30" i="124"/>
  <c r="W30" i="124"/>
  <c r="AW24" i="66"/>
  <c r="AC24" i="66"/>
  <c r="BB26" i="96"/>
  <c r="AI25" i="101"/>
  <c r="BG26" i="63"/>
  <c r="BH26" i="63" s="1"/>
  <c r="BA27" i="64"/>
  <c r="BB27" i="64" s="1"/>
  <c r="AQ26" i="126"/>
  <c r="AR26" i="126" s="1"/>
  <c r="AI26" i="126"/>
  <c r="AW26" i="126"/>
  <c r="BR26" i="110"/>
  <c r="Z27" i="135"/>
  <c r="AQ27" i="135"/>
  <c r="AR27" i="135" s="1"/>
  <c r="AI27" i="135"/>
  <c r="AV30" i="124"/>
  <c r="AW30" i="124" s="1"/>
  <c r="BL26" i="98"/>
  <c r="BA24" i="66"/>
  <c r="BB24" i="66" s="1"/>
  <c r="BG28" i="105"/>
  <c r="BH28" i="105" s="1"/>
  <c r="BA25" i="118"/>
  <c r="BB25" i="118" s="1"/>
  <c r="AV26" i="63"/>
  <c r="AW26" i="63" s="1"/>
  <c r="AQ26" i="63"/>
  <c r="AR26" i="63" s="1"/>
  <c r="AQ24" i="13"/>
  <c r="AR24" i="13" s="1"/>
  <c r="AC24" i="13"/>
  <c r="BR24" i="13"/>
  <c r="AL25" i="15"/>
  <c r="AO28" i="136"/>
  <c r="BD26" i="126"/>
  <c r="BE26" i="126" s="1"/>
  <c r="AF26" i="126"/>
  <c r="BL26" i="126"/>
  <c r="AI24" i="120"/>
  <c r="BR24" i="120"/>
  <c r="BA26" i="110"/>
  <c r="BB26" i="110" s="1"/>
  <c r="AF26" i="110"/>
  <c r="AL26" i="110"/>
  <c r="AL25" i="101"/>
  <c r="BR25" i="101"/>
  <c r="AV27" i="64"/>
  <c r="AW27" i="64" s="1"/>
  <c r="AI25" i="15"/>
  <c r="AO25" i="15"/>
  <c r="AC24" i="120"/>
  <c r="AQ26" i="110"/>
  <c r="AR26" i="110" s="1"/>
  <c r="AI26" i="110"/>
  <c r="BL26" i="110"/>
  <c r="AC27" i="135"/>
  <c r="BD26" i="98"/>
  <c r="BE26" i="98" s="1"/>
  <c r="AO28" i="105"/>
  <c r="BA25" i="101"/>
  <c r="BB25" i="101" s="1"/>
  <c r="BD26" i="114"/>
  <c r="BE26" i="114" s="1"/>
  <c r="AO26" i="114"/>
  <c r="AF26" i="114"/>
  <c r="Z24" i="13"/>
  <c r="AC25" i="15"/>
  <c r="AF25" i="15"/>
  <c r="AC26" i="110"/>
  <c r="M31" i="124"/>
  <c r="BJ31" i="124"/>
  <c r="K32" i="124"/>
  <c r="AH32" i="124" s="1"/>
  <c r="V31" i="124"/>
  <c r="AT31" i="124"/>
  <c r="BD31" i="124" s="1"/>
  <c r="BQ31" i="124"/>
  <c r="AE31" i="124"/>
  <c r="AB31" i="124"/>
  <c r="AY31" i="124"/>
  <c r="BA31" i="124" s="1"/>
  <c r="M26" i="101"/>
  <c r="AN26" i="101"/>
  <c r="BQ26" i="101"/>
  <c r="AT26" i="101"/>
  <c r="AV26" i="101" s="1"/>
  <c r="AK26" i="101"/>
  <c r="AY26" i="101"/>
  <c r="BG26" i="101" s="1"/>
  <c r="AB26" i="101"/>
  <c r="AE26" i="101"/>
  <c r="R26" i="101"/>
  <c r="T26" i="101" s="1"/>
  <c r="Y26" i="101" s="1"/>
  <c r="T25" i="98"/>
  <c r="Y25" i="98" s="1"/>
  <c r="R26" i="98"/>
  <c r="M26" i="118"/>
  <c r="K27" i="118"/>
  <c r="R27" i="118" s="1"/>
  <c r="AE26" i="118"/>
  <c r="AB26" i="118"/>
  <c r="AH26" i="118"/>
  <c r="AY26" i="118"/>
  <c r="BG26" i="118" s="1"/>
  <c r="AN26" i="118"/>
  <c r="AK26" i="118"/>
  <c r="BQ26" i="118"/>
  <c r="AT26" i="118"/>
  <c r="BD26" i="118" s="1"/>
  <c r="I32" i="126"/>
  <c r="I42" i="133"/>
  <c r="BH26" i="114"/>
  <c r="BR26" i="114"/>
  <c r="BL26" i="114"/>
  <c r="I36" i="95"/>
  <c r="BE26" i="63"/>
  <c r="BR26" i="63"/>
  <c r="AC26" i="63"/>
  <c r="AL26" i="63"/>
  <c r="AF24" i="13"/>
  <c r="AQ27" i="64"/>
  <c r="AR27" i="64" s="1"/>
  <c r="BR27" i="64"/>
  <c r="AO27" i="64"/>
  <c r="BL26" i="15"/>
  <c r="BN26" i="15"/>
  <c r="BO26" i="15" s="1"/>
  <c r="AK26" i="15"/>
  <c r="AN26" i="15"/>
  <c r="BQ26" i="15"/>
  <c r="M26" i="15"/>
  <c r="AE26" i="15"/>
  <c r="AH26" i="15"/>
  <c r="AB26" i="15"/>
  <c r="K27" i="15"/>
  <c r="R27" i="15" s="1"/>
  <c r="AF26" i="115"/>
  <c r="BR28" i="136"/>
  <c r="M27" i="126"/>
  <c r="AI27" i="126" s="1"/>
  <c r="BJ27" i="126"/>
  <c r="AE27" i="126"/>
  <c r="AN27" i="126"/>
  <c r="AY27" i="126"/>
  <c r="BG27" i="126" s="1"/>
  <c r="AK27" i="126"/>
  <c r="AT27" i="126"/>
  <c r="AV27" i="126" s="1"/>
  <c r="AB27" i="126"/>
  <c r="BQ27" i="126"/>
  <c r="K28" i="126"/>
  <c r="AH31" i="126" s="1"/>
  <c r="AQ24" i="120"/>
  <c r="AR24" i="120" s="1"/>
  <c r="M28" i="135"/>
  <c r="AN28" i="135"/>
  <c r="AK28" i="135"/>
  <c r="AH28" i="135"/>
  <c r="AE28" i="135"/>
  <c r="AB28" i="135"/>
  <c r="BN28" i="135"/>
  <c r="BO28" i="135" s="1"/>
  <c r="AY28" i="135"/>
  <c r="BA28" i="135" s="1"/>
  <c r="BL28" i="135"/>
  <c r="BQ28" i="135"/>
  <c r="AT28" i="135"/>
  <c r="AV28" i="135" s="1"/>
  <c r="R28" i="135"/>
  <c r="T28" i="135" s="1"/>
  <c r="Y28" i="135" s="1"/>
  <c r="BL25" i="17"/>
  <c r="BN25" i="17"/>
  <c r="BO25" i="17" s="1"/>
  <c r="AY25" i="17"/>
  <c r="BA25" i="17" s="1"/>
  <c r="M25" i="17"/>
  <c r="AH25" i="17"/>
  <c r="AB25" i="17"/>
  <c r="AK25" i="17"/>
  <c r="AE25" i="17"/>
  <c r="AN25" i="17"/>
  <c r="BQ25" i="17"/>
  <c r="R25" i="17"/>
  <c r="T25" i="17" s="1"/>
  <c r="Y25" i="17" s="1"/>
  <c r="BD27" i="135"/>
  <c r="BE27" i="135" s="1"/>
  <c r="I28" i="101"/>
  <c r="K27" i="101"/>
  <c r="AH27" i="101" s="1"/>
  <c r="Z24" i="98"/>
  <c r="BK24" i="98"/>
  <c r="AQ26" i="98"/>
  <c r="AR26" i="98" s="1"/>
  <c r="AI26" i="98"/>
  <c r="I29" i="110"/>
  <c r="K28" i="110"/>
  <c r="BD24" i="66"/>
  <c r="BE24" i="66" s="1"/>
  <c r="AI24" i="66"/>
  <c r="AO24" i="66"/>
  <c r="AI28" i="105"/>
  <c r="BL28" i="105"/>
  <c r="I83" i="99"/>
  <c r="BB117" i="101"/>
  <c r="AW26" i="115"/>
  <c r="AI26" i="115"/>
  <c r="BR26" i="115"/>
  <c r="M29" i="136"/>
  <c r="BN29" i="136"/>
  <c r="BO29" i="136" s="1"/>
  <c r="BL29" i="136"/>
  <c r="AN29" i="136"/>
  <c r="AH29" i="136"/>
  <c r="AK29" i="136"/>
  <c r="AB29" i="136"/>
  <c r="AE29" i="136"/>
  <c r="BQ29" i="136"/>
  <c r="K30" i="136"/>
  <c r="K26" i="120"/>
  <c r="AH25" i="120"/>
  <c r="AY25" i="120"/>
  <c r="BA25" i="120" s="1"/>
  <c r="M25" i="120"/>
  <c r="BQ25" i="120"/>
  <c r="AK25" i="120"/>
  <c r="AN25" i="120"/>
  <c r="AE25" i="120"/>
  <c r="AB25" i="120"/>
  <c r="R25" i="120"/>
  <c r="T25" i="120" s="1"/>
  <c r="Y25" i="120" s="1"/>
  <c r="I32" i="63"/>
  <c r="M27" i="115"/>
  <c r="BJ27" i="115"/>
  <c r="AK27" i="115"/>
  <c r="AB27" i="115"/>
  <c r="AN27" i="115"/>
  <c r="AH27" i="115"/>
  <c r="AT27" i="115"/>
  <c r="AV27" i="115" s="1"/>
  <c r="AE27" i="115"/>
  <c r="BQ27" i="115"/>
  <c r="AY27" i="115"/>
  <c r="BG27" i="115" s="1"/>
  <c r="I30" i="135"/>
  <c r="K29" i="135"/>
  <c r="I27" i="17"/>
  <c r="K26" i="17"/>
  <c r="BL25" i="13"/>
  <c r="BN25" i="13"/>
  <c r="BO25" i="13" s="1"/>
  <c r="M25" i="13"/>
  <c r="AY25" i="13"/>
  <c r="BG25" i="13" s="1"/>
  <c r="BQ25" i="13"/>
  <c r="AE25" i="13"/>
  <c r="AB25" i="13"/>
  <c r="AH25" i="13"/>
  <c r="AK25" i="13"/>
  <c r="AN25" i="13"/>
  <c r="R25" i="13"/>
  <c r="T25" i="13" s="1"/>
  <c r="Y25" i="13" s="1"/>
  <c r="I33" i="136"/>
  <c r="M27" i="110"/>
  <c r="BJ27" i="110"/>
  <c r="AH27" i="110"/>
  <c r="AE27" i="110"/>
  <c r="AT27" i="110"/>
  <c r="BD27" i="110" s="1"/>
  <c r="AB27" i="110"/>
  <c r="AY27" i="110"/>
  <c r="BA27" i="110" s="1"/>
  <c r="AN27" i="110"/>
  <c r="AK27" i="110"/>
  <c r="BQ27" i="110"/>
  <c r="BR24" i="66"/>
  <c r="AL24" i="66"/>
  <c r="BJ29" i="105"/>
  <c r="M29" i="105"/>
  <c r="AB29" i="105"/>
  <c r="AT29" i="105"/>
  <c r="BD29" i="105" s="1"/>
  <c r="AE29" i="105"/>
  <c r="AY29" i="105"/>
  <c r="BA29" i="105" s="1"/>
  <c r="AH29" i="105"/>
  <c r="BQ29" i="105"/>
  <c r="AN29" i="105"/>
  <c r="AK29" i="105"/>
  <c r="K30" i="105"/>
  <c r="AL28" i="105"/>
  <c r="AC28" i="105"/>
  <c r="AO24" i="17"/>
  <c r="Z26" i="96"/>
  <c r="AC26" i="96"/>
  <c r="AO26" i="96"/>
  <c r="BD25" i="118"/>
  <c r="BE25" i="118" s="1"/>
  <c r="AQ25" i="118"/>
  <c r="AR25" i="118" s="1"/>
  <c r="AL25" i="118"/>
  <c r="AI25" i="118"/>
  <c r="I31" i="104"/>
  <c r="AQ26" i="114"/>
  <c r="AW26" i="114"/>
  <c r="AL26" i="114"/>
  <c r="AO26" i="63"/>
  <c r="AO24" i="13"/>
  <c r="M28" i="64"/>
  <c r="AY28" i="64"/>
  <c r="BG28" i="64" s="1"/>
  <c r="BN28" i="64"/>
  <c r="BO28" i="64" s="1"/>
  <c r="AH28" i="64"/>
  <c r="AK28" i="64"/>
  <c r="AE28" i="64"/>
  <c r="AB28" i="64"/>
  <c r="AN28" i="64"/>
  <c r="BQ28" i="64"/>
  <c r="BL28" i="64"/>
  <c r="AT28" i="64"/>
  <c r="AV28" i="64" s="1"/>
  <c r="K29" i="64"/>
  <c r="R28" i="64"/>
  <c r="T28" i="64" s="1"/>
  <c r="Y28" i="64" s="1"/>
  <c r="Z28" i="64" s="1"/>
  <c r="AI27" i="64"/>
  <c r="AC27" i="64"/>
  <c r="AQ25" i="15"/>
  <c r="AR25" i="15" s="1"/>
  <c r="AC26" i="115"/>
  <c r="BL26" i="115"/>
  <c r="AQ28" i="136"/>
  <c r="AR28" i="136" s="1"/>
  <c r="AC28" i="136"/>
  <c r="AL28" i="136"/>
  <c r="I33" i="64"/>
  <c r="I29" i="115"/>
  <c r="K28" i="115"/>
  <c r="BK25" i="126"/>
  <c r="K26" i="66"/>
  <c r="I27" i="66"/>
  <c r="BL27" i="96"/>
  <c r="BN27" i="96"/>
  <c r="BO27" i="96" s="1"/>
  <c r="M27" i="96"/>
  <c r="AT27" i="96"/>
  <c r="BD27" i="96" s="1"/>
  <c r="AN27" i="96"/>
  <c r="AE27" i="96"/>
  <c r="AK27" i="96"/>
  <c r="AB27" i="96"/>
  <c r="AH27" i="96"/>
  <c r="BG27" i="96"/>
  <c r="BQ27" i="96"/>
  <c r="BA27" i="96"/>
  <c r="R27" i="96"/>
  <c r="T27" i="96" s="1"/>
  <c r="Y27" i="96" s="1"/>
  <c r="BG30" i="124"/>
  <c r="BH30" i="124" s="1"/>
  <c r="I34" i="105"/>
  <c r="AC26" i="98"/>
  <c r="M27" i="98"/>
  <c r="K28" i="98"/>
  <c r="AE27" i="98"/>
  <c r="AT27" i="98"/>
  <c r="BD27" i="98" s="1"/>
  <c r="AB27" i="98"/>
  <c r="AY27" i="98"/>
  <c r="BG27" i="98" s="1"/>
  <c r="AN27" i="98"/>
  <c r="AK27" i="98"/>
  <c r="AH27" i="98"/>
  <c r="BJ27" i="98"/>
  <c r="BQ27" i="98"/>
  <c r="I27" i="13"/>
  <c r="K26" i="13"/>
  <c r="AF24" i="66"/>
  <c r="BD28" i="105"/>
  <c r="BE28" i="105" s="1"/>
  <c r="BR28" i="105"/>
  <c r="AF28" i="105"/>
  <c r="AQ24" i="17"/>
  <c r="AR24" i="17" s="1"/>
  <c r="AQ26" i="96"/>
  <c r="AR26" i="96" s="1"/>
  <c r="BH26" i="96"/>
  <c r="I33" i="114"/>
  <c r="I31" i="15"/>
  <c r="I34" i="132"/>
  <c r="BJ27" i="114"/>
  <c r="AE27" i="114"/>
  <c r="M27" i="114"/>
  <c r="AY27" i="114"/>
  <c r="BA27" i="114" s="1"/>
  <c r="AK27" i="114"/>
  <c r="AT27" i="114"/>
  <c r="AV27" i="114" s="1"/>
  <c r="AB27" i="114"/>
  <c r="BQ27" i="114"/>
  <c r="AN27" i="114"/>
  <c r="AH27" i="114"/>
  <c r="K28" i="114"/>
  <c r="R27" i="114"/>
  <c r="T27" i="114" s="1"/>
  <c r="Y27" i="114" s="1"/>
  <c r="BN27" i="63"/>
  <c r="BO27" i="63" s="1"/>
  <c r="M27" i="63"/>
  <c r="BL27" i="63"/>
  <c r="AH27" i="63"/>
  <c r="AK27" i="63"/>
  <c r="AB27" i="63"/>
  <c r="AE27" i="63"/>
  <c r="AN27" i="63"/>
  <c r="AY27" i="63"/>
  <c r="BA27" i="63" s="1"/>
  <c r="BQ27" i="63"/>
  <c r="AT27" i="63"/>
  <c r="AV27" i="63" s="1"/>
  <c r="K28" i="63"/>
  <c r="AF26" i="63"/>
  <c r="AN25" i="66"/>
  <c r="BN25" i="66"/>
  <c r="BO25" i="66" s="1"/>
  <c r="M25" i="66"/>
  <c r="BL25" i="66"/>
  <c r="AY25" i="66"/>
  <c r="BA25" i="66" s="1"/>
  <c r="AE25" i="66"/>
  <c r="AK25" i="66"/>
  <c r="AB25" i="66"/>
  <c r="AH25" i="66"/>
  <c r="BQ25" i="66"/>
  <c r="R25" i="66"/>
  <c r="T25" i="66" s="1"/>
  <c r="Y25" i="66" s="1"/>
  <c r="AT25" i="66"/>
  <c r="BD25" i="66" s="1"/>
  <c r="K28" i="96"/>
  <c r="I29" i="96"/>
  <c r="W19" i="95"/>
  <c r="O20" i="95"/>
  <c r="Z25" i="104"/>
  <c r="T26" i="15"/>
  <c r="Y26" i="15" s="1"/>
  <c r="T26" i="104"/>
  <c r="Y26" i="104" s="1"/>
  <c r="AT19" i="120"/>
  <c r="AT19" i="133"/>
  <c r="AT19" i="13"/>
  <c r="R27" i="136"/>
  <c r="T26" i="136"/>
  <c r="Y26" i="136" s="1"/>
  <c r="Z26" i="136" s="1"/>
  <c r="T27" i="63"/>
  <c r="Y27" i="63" s="1"/>
  <c r="R28" i="63"/>
  <c r="P19" i="98"/>
  <c r="BK27" i="124"/>
  <c r="Z27" i="124"/>
  <c r="T28" i="124"/>
  <c r="Y28" i="124" s="1"/>
  <c r="R29" i="124"/>
  <c r="T28" i="132"/>
  <c r="Y28" i="132" s="1"/>
  <c r="Z28" i="132" s="1"/>
  <c r="R29" i="132"/>
  <c r="T29" i="132" s="1"/>
  <c r="Y29" i="132" s="1"/>
  <c r="Z29" i="132" s="1"/>
  <c r="V20" i="115"/>
  <c r="V20" i="106"/>
  <c r="Z25" i="107"/>
  <c r="BK25" i="107"/>
  <c r="W20" i="114"/>
  <c r="O21" i="114"/>
  <c r="R26" i="99"/>
  <c r="T25" i="99"/>
  <c r="Y25" i="99" s="1"/>
  <c r="P18" i="105"/>
  <c r="V21" i="101"/>
  <c r="V18" i="99"/>
  <c r="W19" i="13"/>
  <c r="O20" i="13"/>
  <c r="V22" i="124"/>
  <c r="W19" i="126"/>
  <c r="O20" i="126"/>
  <c r="P19" i="107"/>
  <c r="T26" i="105"/>
  <c r="Y26" i="105" s="1"/>
  <c r="R27" i="105"/>
  <c r="V19" i="130"/>
  <c r="W19" i="66"/>
  <c r="O20" i="66"/>
  <c r="T26" i="107"/>
  <c r="Y26" i="107" s="1"/>
  <c r="R27" i="107"/>
  <c r="V20" i="129"/>
  <c r="BK24" i="99"/>
  <c r="Z24" i="99"/>
  <c r="W18" i="120"/>
  <c r="O19" i="120"/>
  <c r="P19" i="118"/>
  <c r="T26" i="118"/>
  <c r="Y26" i="118" s="1"/>
  <c r="Z26" i="115"/>
  <c r="P20" i="110"/>
  <c r="W18" i="136"/>
  <c r="O19" i="136"/>
  <c r="W19" i="15"/>
  <c r="O20" i="15"/>
  <c r="R28" i="115"/>
  <c r="T27" i="115"/>
  <c r="Y27" i="115" s="1"/>
  <c r="P20" i="17"/>
  <c r="W21" i="64"/>
  <c r="O22" i="64"/>
  <c r="V20" i="104"/>
  <c r="W20" i="96"/>
  <c r="O21" i="96"/>
  <c r="P19" i="63"/>
  <c r="W18" i="135"/>
  <c r="O19" i="135"/>
  <c r="W18" i="112"/>
  <c r="O19" i="112"/>
  <c r="BA24" i="136" l="1"/>
  <c r="BB24" i="136" s="1"/>
  <c r="BR28" i="99"/>
  <c r="AO27" i="130"/>
  <c r="AL28" i="99"/>
  <c r="AC30" i="107"/>
  <c r="AO28" i="99"/>
  <c r="AO30" i="107"/>
  <c r="AC28" i="99"/>
  <c r="AO27" i="115"/>
  <c r="BR27" i="115"/>
  <c r="BG24" i="153"/>
  <c r="BH24" i="153" s="1"/>
  <c r="BA24" i="155"/>
  <c r="BB24" i="155" s="1"/>
  <c r="BG24" i="120"/>
  <c r="BH24" i="120" s="1"/>
  <c r="AT20" i="133"/>
  <c r="AC27" i="98"/>
  <c r="BB29" i="105"/>
  <c r="AL26" i="101"/>
  <c r="BG24" i="17"/>
  <c r="BH24" i="17" s="1"/>
  <c r="AO25" i="95"/>
  <c r="AI28" i="99"/>
  <c r="AQ28" i="99"/>
  <c r="AR28" i="99" s="1"/>
  <c r="BA30" i="107"/>
  <c r="BB30" i="107" s="1"/>
  <c r="BG30" i="107"/>
  <c r="BH30" i="107" s="1"/>
  <c r="BL30" i="107"/>
  <c r="P29" i="132"/>
  <c r="AT29" i="132"/>
  <c r="V29" i="132"/>
  <c r="W29" i="132" s="1"/>
  <c r="AB29" i="132"/>
  <c r="AC29" i="132" s="1"/>
  <c r="K30" i="132"/>
  <c r="AV29" i="132"/>
  <c r="AW29" i="132" s="1"/>
  <c r="BL29" i="132"/>
  <c r="BN29" i="132"/>
  <c r="BO29" i="132" s="1"/>
  <c r="M29" i="132"/>
  <c r="BD29" i="132"/>
  <c r="BE29" i="132" s="1"/>
  <c r="AH29" i="132"/>
  <c r="AI29" i="132" s="1"/>
  <c r="AQ29" i="132"/>
  <c r="AR29" i="132" s="1"/>
  <c r="BG29" i="132"/>
  <c r="BH29" i="132" s="1"/>
  <c r="AK29" i="132"/>
  <c r="AL29" i="132" s="1"/>
  <c r="BQ29" i="132"/>
  <c r="BR29" i="132" s="1"/>
  <c r="AN29" i="132"/>
  <c r="AO29" i="132" s="1"/>
  <c r="AE29" i="132"/>
  <c r="AF29" i="132" s="1"/>
  <c r="AY29" i="132"/>
  <c r="BA29" i="132" s="1"/>
  <c r="BB29" i="132" s="1"/>
  <c r="BA28" i="99"/>
  <c r="BB28" i="99" s="1"/>
  <c r="BG28" i="99"/>
  <c r="BH28" i="99" s="1"/>
  <c r="AQ30" i="107"/>
  <c r="AR30" i="107" s="1"/>
  <c r="AI30" i="107"/>
  <c r="BE27" i="110"/>
  <c r="AF28" i="135"/>
  <c r="AI26" i="118"/>
  <c r="BG24" i="13"/>
  <c r="BH24" i="13" s="1"/>
  <c r="AW25" i="95"/>
  <c r="AF28" i="99"/>
  <c r="I33" i="107"/>
  <c r="K32" i="107"/>
  <c r="Z26" i="118"/>
  <c r="AI27" i="98"/>
  <c r="AL29" i="105"/>
  <c r="BE26" i="118"/>
  <c r="AT20" i="152"/>
  <c r="BL28" i="99"/>
  <c r="BJ31" i="107"/>
  <c r="AT31" i="107"/>
  <c r="AV31" i="107" s="1"/>
  <c r="AE31" i="107"/>
  <c r="BQ31" i="107"/>
  <c r="AN31" i="107"/>
  <c r="AB31" i="107"/>
  <c r="AK31" i="107"/>
  <c r="AY31" i="107"/>
  <c r="BA31" i="107" s="1"/>
  <c r="M31" i="107"/>
  <c r="AH31" i="107"/>
  <c r="M29" i="99"/>
  <c r="AY29" i="99"/>
  <c r="BG29" i="99" s="1"/>
  <c r="K30" i="99"/>
  <c r="AK29" i="99"/>
  <c r="AT29" i="99"/>
  <c r="AV29" i="99" s="1"/>
  <c r="AN29" i="99"/>
  <c r="AE29" i="99"/>
  <c r="AF29" i="99" s="1"/>
  <c r="AH29" i="99"/>
  <c r="AB29" i="99"/>
  <c r="BQ29" i="99"/>
  <c r="BJ29" i="99"/>
  <c r="BL29" i="99" s="1"/>
  <c r="BG31" i="107"/>
  <c r="AT20" i="13"/>
  <c r="AL27" i="110"/>
  <c r="AC27" i="126"/>
  <c r="AV28" i="99"/>
  <c r="AW28" i="99" s="1"/>
  <c r="BD28" i="99"/>
  <c r="BE28" i="99" s="1"/>
  <c r="AV30" i="107"/>
  <c r="AW30" i="107" s="1"/>
  <c r="BD30" i="107"/>
  <c r="BE30" i="107" s="1"/>
  <c r="O29" i="132"/>
  <c r="BK25" i="104"/>
  <c r="W32" i="152"/>
  <c r="BA26" i="106"/>
  <c r="BB26" i="106" s="1"/>
  <c r="Z26" i="106"/>
  <c r="BG26" i="104"/>
  <c r="BH26" i="104" s="1"/>
  <c r="Z26" i="112"/>
  <c r="AI25" i="95"/>
  <c r="BA27" i="129"/>
  <c r="BB27" i="129" s="1"/>
  <c r="R28" i="110"/>
  <c r="BD26" i="106"/>
  <c r="BE26" i="106" s="1"/>
  <c r="Z26" i="15"/>
  <c r="AF29" i="136"/>
  <c r="AO29" i="136"/>
  <c r="AL32" i="153"/>
  <c r="W32" i="153"/>
  <c r="AL27" i="130"/>
  <c r="AC29" i="133"/>
  <c r="BR29" i="133"/>
  <c r="W29" i="133"/>
  <c r="AI26" i="106"/>
  <c r="AO26" i="106"/>
  <c r="AL26" i="112"/>
  <c r="R24" i="156"/>
  <c r="T23" i="156"/>
  <c r="Y23" i="156" s="1"/>
  <c r="Z23" i="156" s="1"/>
  <c r="AC27" i="130"/>
  <c r="BR27" i="130"/>
  <c r="BR26" i="106"/>
  <c r="AF26" i="106"/>
  <c r="W17" i="156"/>
  <c r="O18" i="156"/>
  <c r="AO26" i="112"/>
  <c r="AF27" i="130"/>
  <c r="AF29" i="133"/>
  <c r="AL29" i="133"/>
  <c r="AW26" i="106"/>
  <c r="AL26" i="106"/>
  <c r="BH26" i="106"/>
  <c r="AC26" i="104"/>
  <c r="AO27" i="129"/>
  <c r="AF26" i="112"/>
  <c r="BL26" i="112"/>
  <c r="AC26" i="112"/>
  <c r="R27" i="126"/>
  <c r="T27" i="126" s="1"/>
  <c r="Y27" i="126" s="1"/>
  <c r="Z27" i="126" s="1"/>
  <c r="BD25" i="95"/>
  <c r="BE25" i="95" s="1"/>
  <c r="O30" i="163"/>
  <c r="F70" i="163"/>
  <c r="O31" i="164"/>
  <c r="V31" i="164" s="1"/>
  <c r="W31" i="164" s="1"/>
  <c r="V30" i="163"/>
  <c r="W30" i="163" s="1"/>
  <c r="P31" i="163"/>
  <c r="P32" i="164"/>
  <c r="P33" i="164" s="1"/>
  <c r="P34" i="164" s="1"/>
  <c r="P35" i="164" s="1"/>
  <c r="P36" i="164" s="1"/>
  <c r="P37" i="164" s="1"/>
  <c r="P38" i="164" s="1"/>
  <c r="P39" i="164" s="1"/>
  <c r="R30" i="147"/>
  <c r="T30" i="147" s="1"/>
  <c r="Y30" i="147" s="1"/>
  <c r="Z30" i="147" s="1"/>
  <c r="O29" i="161"/>
  <c r="V29" i="161"/>
  <c r="W29" i="161" s="1"/>
  <c r="P30" i="161"/>
  <c r="K63" i="161"/>
  <c r="BQ63" i="161" s="1"/>
  <c r="I64" i="161"/>
  <c r="BD62" i="161"/>
  <c r="BE62" i="161" s="1"/>
  <c r="AQ62" i="161"/>
  <c r="AR62" i="161" s="1"/>
  <c r="AK62" i="161"/>
  <c r="AL62" i="161" s="1"/>
  <c r="AE62" i="161"/>
  <c r="AF62" i="161" s="1"/>
  <c r="Y62" i="161"/>
  <c r="Z62" i="161" s="1"/>
  <c r="R62" i="161"/>
  <c r="T62" i="161" s="1"/>
  <c r="AV62" i="161"/>
  <c r="AW62" i="161" s="1"/>
  <c r="P62" i="161"/>
  <c r="BG62" i="161"/>
  <c r="BH62" i="161" s="1"/>
  <c r="BA62" i="161"/>
  <c r="BB62" i="161" s="1"/>
  <c r="AT62" i="161"/>
  <c r="AN62" i="161"/>
  <c r="AO62" i="161" s="1"/>
  <c r="AH62" i="161"/>
  <c r="AI62" i="161" s="1"/>
  <c r="AB62" i="161"/>
  <c r="AC62" i="161" s="1"/>
  <c r="V62" i="161"/>
  <c r="W62" i="161" s="1"/>
  <c r="O62" i="161"/>
  <c r="AY62" i="161"/>
  <c r="BR62" i="161"/>
  <c r="BJ62" i="161"/>
  <c r="BL62" i="161" s="1"/>
  <c r="BK62" i="161"/>
  <c r="M62" i="161"/>
  <c r="BN62" i="161"/>
  <c r="BO62" i="161" s="1"/>
  <c r="R31" i="149"/>
  <c r="T31" i="149" s="1"/>
  <c r="Y31" i="149" s="1"/>
  <c r="Z31" i="149" s="1"/>
  <c r="AL27" i="96"/>
  <c r="AC27" i="63"/>
  <c r="BR27" i="96"/>
  <c r="BR28" i="64"/>
  <c r="AC25" i="13"/>
  <c r="AF25" i="120"/>
  <c r="AY25" i="136"/>
  <c r="BA25" i="136" s="1"/>
  <c r="BB25" i="136" s="1"/>
  <c r="AY25" i="152"/>
  <c r="BA25" i="152" s="1"/>
  <c r="BB25" i="152" s="1"/>
  <c r="AC26" i="106"/>
  <c r="AF26" i="104"/>
  <c r="BJ27" i="104"/>
  <c r="AB27" i="104"/>
  <c r="BQ27" i="104"/>
  <c r="AT27" i="104"/>
  <c r="AV27" i="104" s="1"/>
  <c r="K28" i="104"/>
  <c r="M27" i="104"/>
  <c r="AY27" i="104"/>
  <c r="BA27" i="104" s="1"/>
  <c r="AH27" i="104"/>
  <c r="AE27" i="104"/>
  <c r="AN27" i="104"/>
  <c r="AK27" i="104"/>
  <c r="BG27" i="104"/>
  <c r="K28" i="106"/>
  <c r="BJ27" i="106"/>
  <c r="AT27" i="106"/>
  <c r="BD27" i="106" s="1"/>
  <c r="AB27" i="106"/>
  <c r="M27" i="106"/>
  <c r="AH27" i="106"/>
  <c r="AK27" i="106"/>
  <c r="AE27" i="106"/>
  <c r="AN27" i="106"/>
  <c r="AY27" i="106"/>
  <c r="BA27" i="106" s="1"/>
  <c r="AV27" i="106"/>
  <c r="BQ27" i="106"/>
  <c r="R27" i="106"/>
  <c r="T27" i="106" s="1"/>
  <c r="Y27" i="106" s="1"/>
  <c r="Z27" i="129"/>
  <c r="AC27" i="129"/>
  <c r="AI27" i="129"/>
  <c r="BA26" i="112"/>
  <c r="BB26" i="112" s="1"/>
  <c r="BG26" i="112"/>
  <c r="BH26" i="112" s="1"/>
  <c r="BR31" i="156"/>
  <c r="AF31" i="156"/>
  <c r="AR25" i="112"/>
  <c r="BK25" i="112"/>
  <c r="BB25" i="95"/>
  <c r="Z25" i="66"/>
  <c r="AL26" i="104"/>
  <c r="BE26" i="104"/>
  <c r="I31" i="106"/>
  <c r="BD27" i="129"/>
  <c r="BE27" i="129" s="1"/>
  <c r="AV27" i="129"/>
  <c r="AW27" i="129" s="1"/>
  <c r="AL27" i="129"/>
  <c r="AC31" i="156"/>
  <c r="Z25" i="95"/>
  <c r="BR25" i="95"/>
  <c r="AF25" i="95"/>
  <c r="Z25" i="13"/>
  <c r="AQ29" i="133"/>
  <c r="AR29" i="133" s="1"/>
  <c r="AI29" i="133"/>
  <c r="K33" i="156"/>
  <c r="I34" i="156"/>
  <c r="AB27" i="112"/>
  <c r="BQ27" i="112"/>
  <c r="AK27" i="112"/>
  <c r="R27" i="112"/>
  <c r="T27" i="112" s="1"/>
  <c r="Y27" i="112" s="1"/>
  <c r="BJ27" i="112"/>
  <c r="AT27" i="112"/>
  <c r="K28" i="112"/>
  <c r="AH27" i="112"/>
  <c r="M27" i="112"/>
  <c r="AY27" i="112"/>
  <c r="AE27" i="112"/>
  <c r="AN27" i="112"/>
  <c r="AY25" i="133"/>
  <c r="BG25" i="133" s="1"/>
  <c r="BH25" i="133" s="1"/>
  <c r="BL30" i="133"/>
  <c r="BA30" i="133"/>
  <c r="BB30" i="133" s="1"/>
  <c r="Y30" i="133"/>
  <c r="Z30" i="133" s="1"/>
  <c r="AT30" i="133"/>
  <c r="BD30" i="133"/>
  <c r="BE30" i="133" s="1"/>
  <c r="AK30" i="133"/>
  <c r="AL30" i="133" s="1"/>
  <c r="AV30" i="133"/>
  <c r="AW30" i="133" s="1"/>
  <c r="K31" i="133"/>
  <c r="AY30" i="133"/>
  <c r="AQ30" i="133"/>
  <c r="AR30" i="133" s="1"/>
  <c r="AN30" i="133"/>
  <c r="AO30" i="133" s="1"/>
  <c r="R30" i="133"/>
  <c r="T30" i="133" s="1"/>
  <c r="AB30" i="133"/>
  <c r="AE30" i="133"/>
  <c r="AF30" i="133" s="1"/>
  <c r="BN30" i="133"/>
  <c r="BO30" i="133" s="1"/>
  <c r="O30" i="133"/>
  <c r="BG30" i="133"/>
  <c r="BH30" i="133" s="1"/>
  <c r="AH30" i="133"/>
  <c r="AI30" i="133" s="1"/>
  <c r="M30" i="133"/>
  <c r="P30" i="133"/>
  <c r="BQ30" i="133"/>
  <c r="BR30" i="133" s="1"/>
  <c r="V30" i="133"/>
  <c r="W30" i="133" s="1"/>
  <c r="AQ26" i="104"/>
  <c r="AR26" i="104" s="1"/>
  <c r="AO26" i="104"/>
  <c r="BR26" i="104"/>
  <c r="AB32" i="156"/>
  <c r="AE32" i="156"/>
  <c r="AH32" i="156"/>
  <c r="AK32" i="156"/>
  <c r="AN32" i="156"/>
  <c r="M32" i="156"/>
  <c r="BL32" i="156"/>
  <c r="BQ32" i="156"/>
  <c r="BN32" i="156"/>
  <c r="BO32" i="156" s="1"/>
  <c r="V32" i="156"/>
  <c r="AQ27" i="129"/>
  <c r="AR27" i="129" s="1"/>
  <c r="BD26" i="112"/>
  <c r="BE26" i="112" s="1"/>
  <c r="AV26" i="112"/>
  <c r="AW26" i="112" s="1"/>
  <c r="AO31" i="156"/>
  <c r="BK25" i="106"/>
  <c r="AY25" i="130"/>
  <c r="BA25" i="130" s="1"/>
  <c r="BB25" i="130" s="1"/>
  <c r="AO29" i="133"/>
  <c r="AQ26" i="106"/>
  <c r="BL26" i="106"/>
  <c r="AV26" i="104"/>
  <c r="AW26" i="104" s="1"/>
  <c r="BB26" i="104"/>
  <c r="AI26" i="104"/>
  <c r="BR27" i="129"/>
  <c r="AF27" i="129"/>
  <c r="BR26" i="112"/>
  <c r="W31" i="156"/>
  <c r="AL31" i="156"/>
  <c r="AQ25" i="95"/>
  <c r="AR25" i="95" s="1"/>
  <c r="BL26" i="95"/>
  <c r="AB26" i="95"/>
  <c r="BN26" i="95"/>
  <c r="BO26" i="95" s="1"/>
  <c r="BG26" i="95"/>
  <c r="AK26" i="95"/>
  <c r="AN26" i="95"/>
  <c r="AH26" i="95"/>
  <c r="BQ26" i="95"/>
  <c r="AT26" i="95"/>
  <c r="AV26" i="95" s="1"/>
  <c r="BA26" i="95"/>
  <c r="M26" i="95"/>
  <c r="AE26" i="95"/>
  <c r="K27" i="95"/>
  <c r="R26" i="95"/>
  <c r="T26" i="95" s="1"/>
  <c r="Y26" i="95" s="1"/>
  <c r="AL25" i="95"/>
  <c r="AL28" i="64"/>
  <c r="AL25" i="66"/>
  <c r="AC27" i="114"/>
  <c r="AF25" i="17"/>
  <c r="AC26" i="15"/>
  <c r="BR26" i="118"/>
  <c r="BE31" i="124"/>
  <c r="BL26" i="104"/>
  <c r="K29" i="129"/>
  <c r="AB28" i="129"/>
  <c r="M28" i="129"/>
  <c r="AY28" i="129"/>
  <c r="BA28" i="129" s="1"/>
  <c r="BN28" i="129"/>
  <c r="BO28" i="129" s="1"/>
  <c r="BQ28" i="129"/>
  <c r="AH28" i="129"/>
  <c r="AN28" i="129"/>
  <c r="AE28" i="129"/>
  <c r="BL28" i="129"/>
  <c r="AK28" i="129"/>
  <c r="AT28" i="129"/>
  <c r="R28" i="129"/>
  <c r="T28" i="129" s="1"/>
  <c r="Y28" i="129" s="1"/>
  <c r="BH27" i="129"/>
  <c r="AQ26" i="112"/>
  <c r="AI26" i="112"/>
  <c r="AQ31" i="156"/>
  <c r="AR31" i="156" s="1"/>
  <c r="AI31" i="156"/>
  <c r="BH25" i="95"/>
  <c r="AC25" i="95"/>
  <c r="Z25" i="105"/>
  <c r="Z30" i="151"/>
  <c r="AT20" i="150"/>
  <c r="AT20" i="156"/>
  <c r="AI27" i="130"/>
  <c r="AQ27" i="130"/>
  <c r="AR27" i="130" s="1"/>
  <c r="K29" i="130"/>
  <c r="M28" i="130"/>
  <c r="BN28" i="130"/>
  <c r="BO28" i="130" s="1"/>
  <c r="BQ28" i="130"/>
  <c r="AH28" i="130"/>
  <c r="AE28" i="130"/>
  <c r="BL28" i="130"/>
  <c r="AB28" i="130"/>
  <c r="AC28" i="130" s="1"/>
  <c r="AN28" i="130"/>
  <c r="AK28" i="130"/>
  <c r="R28" i="130"/>
  <c r="T28" i="130" s="1"/>
  <c r="Y28" i="130" s="1"/>
  <c r="BA24" i="15"/>
  <c r="BB24" i="15" s="1"/>
  <c r="BG24" i="15"/>
  <c r="BH24" i="15" s="1"/>
  <c r="BA24" i="130"/>
  <c r="BB24" i="130" s="1"/>
  <c r="BG24" i="130"/>
  <c r="BH24" i="130" s="1"/>
  <c r="BG25" i="150"/>
  <c r="BH25" i="150" s="1"/>
  <c r="BA25" i="150"/>
  <c r="BB25" i="150" s="1"/>
  <c r="BG25" i="151"/>
  <c r="BH25" i="151" s="1"/>
  <c r="BA25" i="151"/>
  <c r="BB25" i="151" s="1"/>
  <c r="BA25" i="155"/>
  <c r="BB25" i="155" s="1"/>
  <c r="BG25" i="155"/>
  <c r="BH25" i="155" s="1"/>
  <c r="BG25" i="153"/>
  <c r="BH25" i="153" s="1"/>
  <c r="BA25" i="153"/>
  <c r="BB25" i="153" s="1"/>
  <c r="BG24" i="149"/>
  <c r="BH24" i="149" s="1"/>
  <c r="BA24" i="149"/>
  <c r="BB24" i="149" s="1"/>
  <c r="BG24" i="156"/>
  <c r="BH24" i="156" s="1"/>
  <c r="BA24" i="156"/>
  <c r="BB24" i="156" s="1"/>
  <c r="A30" i="7"/>
  <c r="AY26" i="155" s="1"/>
  <c r="AY25" i="156"/>
  <c r="AY25" i="15"/>
  <c r="BD19" i="156"/>
  <c r="BE19" i="156" s="1"/>
  <c r="AV19" i="156"/>
  <c r="AW19" i="156" s="1"/>
  <c r="AV19" i="150"/>
  <c r="AW19" i="150" s="1"/>
  <c r="BD19" i="150"/>
  <c r="BE19" i="150" s="1"/>
  <c r="BE30" i="147"/>
  <c r="AI29" i="150"/>
  <c r="BB25" i="120"/>
  <c r="AC30" i="147"/>
  <c r="Z27" i="63"/>
  <c r="BB30" i="147"/>
  <c r="V17" i="155"/>
  <c r="AF26" i="101"/>
  <c r="T22" i="155"/>
  <c r="Y22" i="155" s="1"/>
  <c r="Z22" i="155" s="1"/>
  <c r="R23" i="155"/>
  <c r="AW27" i="126"/>
  <c r="W31" i="149"/>
  <c r="Z29" i="150"/>
  <c r="AI30" i="151"/>
  <c r="BR29" i="105"/>
  <c r="BE29" i="105"/>
  <c r="BH26" i="101"/>
  <c r="AF31" i="124"/>
  <c r="Z29" i="146"/>
  <c r="BR30" i="151"/>
  <c r="AI32" i="152"/>
  <c r="AF32" i="153"/>
  <c r="AI32" i="153"/>
  <c r="BR32" i="153"/>
  <c r="AC32" i="152"/>
  <c r="Z32" i="152"/>
  <c r="AC32" i="153"/>
  <c r="O24" i="151"/>
  <c r="V29" i="150"/>
  <c r="W29" i="150" s="1"/>
  <c r="AC32" i="155"/>
  <c r="AL32" i="155"/>
  <c r="BR32" i="155"/>
  <c r="W32" i="155"/>
  <c r="AI32" i="155"/>
  <c r="AO32" i="155"/>
  <c r="AF32" i="155"/>
  <c r="M33" i="155"/>
  <c r="BN33" i="155"/>
  <c r="BO33" i="155" s="1"/>
  <c r="BQ33" i="155"/>
  <c r="V33" i="155"/>
  <c r="AH33" i="155"/>
  <c r="AK33" i="155"/>
  <c r="AB33" i="155"/>
  <c r="AN33" i="155"/>
  <c r="AE33" i="155"/>
  <c r="BL33" i="155"/>
  <c r="AQ32" i="155"/>
  <c r="AR32" i="155" s="1"/>
  <c r="K34" i="155"/>
  <c r="I35" i="155"/>
  <c r="AT20" i="15"/>
  <c r="AT20" i="120"/>
  <c r="A22" i="58"/>
  <c r="AV19" i="130"/>
  <c r="AW19" i="130" s="1"/>
  <c r="BD19" i="130"/>
  <c r="BE19" i="130" s="1"/>
  <c r="AT20" i="153"/>
  <c r="BD20" i="153" s="1"/>
  <c r="BE20" i="153" s="1"/>
  <c r="BD19" i="17"/>
  <c r="BE19" i="17" s="1"/>
  <c r="AV19" i="17"/>
  <c r="AW19" i="17" s="1"/>
  <c r="AT20" i="136"/>
  <c r="BD19" i="15"/>
  <c r="BE19" i="15" s="1"/>
  <c r="AV19" i="15"/>
  <c r="AW19" i="15" s="1"/>
  <c r="BD19" i="136"/>
  <c r="BE19" i="136" s="1"/>
  <c r="AV19" i="136"/>
  <c r="AW19" i="136" s="1"/>
  <c r="AT20" i="130"/>
  <c r="AT20" i="17"/>
  <c r="AV15" i="153"/>
  <c r="AW15" i="153" s="1"/>
  <c r="BD15" i="153"/>
  <c r="BE15" i="153" s="1"/>
  <c r="BD19" i="152"/>
  <c r="BE19" i="152" s="1"/>
  <c r="AV19" i="152"/>
  <c r="AW19" i="152" s="1"/>
  <c r="BD18" i="153"/>
  <c r="BE18" i="153" s="1"/>
  <c r="AV18" i="153"/>
  <c r="AW18" i="153" s="1"/>
  <c r="BD16" i="152"/>
  <c r="BE16" i="152" s="1"/>
  <c r="AV16" i="152"/>
  <c r="AW16" i="152" s="1"/>
  <c r="AV15" i="152"/>
  <c r="AW15" i="152" s="1"/>
  <c r="BD15" i="152"/>
  <c r="BE15" i="152" s="1"/>
  <c r="BD17" i="152"/>
  <c r="BE17" i="152" s="1"/>
  <c r="AV17" i="152"/>
  <c r="AW17" i="152" s="1"/>
  <c r="BD20" i="152"/>
  <c r="BE20" i="152" s="1"/>
  <c r="AV20" i="152"/>
  <c r="AW20" i="152" s="1"/>
  <c r="AV31" i="124"/>
  <c r="AW31" i="124" s="1"/>
  <c r="BD16" i="153"/>
  <c r="BE16" i="153" s="1"/>
  <c r="AV16" i="153"/>
  <c r="AW16" i="153" s="1"/>
  <c r="AV19" i="153"/>
  <c r="AW19" i="153" s="1"/>
  <c r="BD19" i="153"/>
  <c r="BE19" i="153" s="1"/>
  <c r="BD18" i="152"/>
  <c r="BE18" i="152" s="1"/>
  <c r="AV18" i="152"/>
  <c r="AW18" i="152" s="1"/>
  <c r="BD17" i="153"/>
  <c r="BE17" i="153" s="1"/>
  <c r="AV17" i="153"/>
  <c r="AW17" i="153" s="1"/>
  <c r="AO32" i="152"/>
  <c r="AL32" i="152"/>
  <c r="Z32" i="153"/>
  <c r="AO32" i="153"/>
  <c r="BR32" i="152"/>
  <c r="I38" i="153"/>
  <c r="AQ32" i="153"/>
  <c r="AR32" i="153" s="1"/>
  <c r="M33" i="153"/>
  <c r="BQ33" i="153"/>
  <c r="O33" i="153"/>
  <c r="V33" i="153"/>
  <c r="AB33" i="153"/>
  <c r="AH33" i="153"/>
  <c r="AN33" i="153"/>
  <c r="AK33" i="153"/>
  <c r="P33" i="153"/>
  <c r="R33" i="153"/>
  <c r="T33" i="153" s="1"/>
  <c r="Y33" i="153" s="1"/>
  <c r="AE33" i="153"/>
  <c r="BN33" i="153"/>
  <c r="BO33" i="153" s="1"/>
  <c r="BL33" i="153"/>
  <c r="K34" i="153"/>
  <c r="AQ32" i="152"/>
  <c r="AR32" i="152" s="1"/>
  <c r="P33" i="152"/>
  <c r="BN33" i="152"/>
  <c r="BO33" i="152" s="1"/>
  <c r="R33" i="152"/>
  <c r="T33" i="152" s="1"/>
  <c r="Y33" i="152" s="1"/>
  <c r="AE33" i="152"/>
  <c r="AK33" i="152"/>
  <c r="M33" i="152"/>
  <c r="BQ33" i="152"/>
  <c r="O33" i="152"/>
  <c r="V33" i="152"/>
  <c r="AB33" i="152"/>
  <c r="AH33" i="152"/>
  <c r="AN33" i="152"/>
  <c r="BL33" i="152"/>
  <c r="K34" i="152"/>
  <c r="AF32" i="152"/>
  <c r="I42" i="152"/>
  <c r="BH29" i="146"/>
  <c r="BE29" i="146"/>
  <c r="AF31" i="149"/>
  <c r="AO31" i="149"/>
  <c r="Z27" i="114"/>
  <c r="AF29" i="150"/>
  <c r="BH26" i="118"/>
  <c r="AC29" i="150"/>
  <c r="AO30" i="151"/>
  <c r="AF30" i="151"/>
  <c r="BK26" i="126"/>
  <c r="BK26" i="115"/>
  <c r="BK26" i="110"/>
  <c r="AV27" i="98"/>
  <c r="AW27" i="98" s="1"/>
  <c r="BD27" i="115"/>
  <c r="BE27" i="115" s="1"/>
  <c r="BG27" i="110"/>
  <c r="BH27" i="110" s="1"/>
  <c r="BB26" i="115"/>
  <c r="BA26" i="118"/>
  <c r="BB26" i="118" s="1"/>
  <c r="K32" i="151"/>
  <c r="I33" i="151"/>
  <c r="AK31" i="151"/>
  <c r="AE31" i="151"/>
  <c r="R31" i="151"/>
  <c r="T31" i="151" s="1"/>
  <c r="Y31" i="151" s="1"/>
  <c r="AN31" i="151"/>
  <c r="AH31" i="151"/>
  <c r="AB31" i="151"/>
  <c r="V31" i="151"/>
  <c r="BQ31" i="151"/>
  <c r="BN31" i="151"/>
  <c r="BO31" i="151" s="1"/>
  <c r="M31" i="151"/>
  <c r="BL31" i="151"/>
  <c r="AL30" i="151"/>
  <c r="AC30" i="151"/>
  <c r="AQ30" i="151"/>
  <c r="AR30" i="151" s="1"/>
  <c r="W30" i="151"/>
  <c r="AL29" i="150"/>
  <c r="BR29" i="150"/>
  <c r="AQ29" i="150"/>
  <c r="AR29" i="150" s="1"/>
  <c r="AO29" i="150"/>
  <c r="I34" i="150"/>
  <c r="BQ30" i="150"/>
  <c r="AK30" i="150"/>
  <c r="AE30" i="150"/>
  <c r="R30" i="150"/>
  <c r="T30" i="150" s="1"/>
  <c r="Y30" i="150" s="1"/>
  <c r="P30" i="150"/>
  <c r="AN30" i="150"/>
  <c r="AH30" i="150"/>
  <c r="AB30" i="150"/>
  <c r="V30" i="150"/>
  <c r="BN30" i="150"/>
  <c r="BO30" i="150" s="1"/>
  <c r="M30" i="150"/>
  <c r="BL30" i="150"/>
  <c r="K31" i="150"/>
  <c r="AQ31" i="149"/>
  <c r="AR31" i="149" s="1"/>
  <c r="P23" i="149"/>
  <c r="AN32" i="149"/>
  <c r="AH32" i="149"/>
  <c r="AB32" i="149"/>
  <c r="V32" i="149"/>
  <c r="BQ32" i="149"/>
  <c r="AE32" i="149"/>
  <c r="AK32" i="149"/>
  <c r="BN32" i="149"/>
  <c r="BO32" i="149" s="1"/>
  <c r="M32" i="149"/>
  <c r="BL32" i="149"/>
  <c r="I34" i="149"/>
  <c r="K33" i="149"/>
  <c r="AC31" i="149"/>
  <c r="AL31" i="149"/>
  <c r="BR31" i="149"/>
  <c r="AI31" i="149"/>
  <c r="AL25" i="13"/>
  <c r="AW27" i="115"/>
  <c r="AI31" i="124"/>
  <c r="BR30" i="147"/>
  <c r="BG30" i="147"/>
  <c r="BH30" i="147" s="1"/>
  <c r="BL30" i="147"/>
  <c r="K32" i="147"/>
  <c r="AH32" i="147" s="1"/>
  <c r="I33" i="147"/>
  <c r="AF30" i="147"/>
  <c r="AE31" i="147"/>
  <c r="AT31" i="147"/>
  <c r="AV31" i="147" s="1"/>
  <c r="BQ31" i="147"/>
  <c r="AB31" i="147"/>
  <c r="AY31" i="147"/>
  <c r="BG31" i="147" s="1"/>
  <c r="M31" i="147"/>
  <c r="BJ31" i="147"/>
  <c r="AV30" i="147"/>
  <c r="AW30" i="147" s="1"/>
  <c r="BK29" i="147"/>
  <c r="V21" i="147"/>
  <c r="BL29" i="146"/>
  <c r="AT30" i="146"/>
  <c r="AV30" i="146" s="1"/>
  <c r="AB30" i="146"/>
  <c r="BQ30" i="146"/>
  <c r="AY30" i="146"/>
  <c r="BG30" i="146" s="1"/>
  <c r="R30" i="146"/>
  <c r="T30" i="146" s="1"/>
  <c r="Y30" i="146" s="1"/>
  <c r="AE30" i="146"/>
  <c r="M30" i="146"/>
  <c r="BJ30" i="146"/>
  <c r="V20" i="146"/>
  <c r="I32" i="146"/>
  <c r="K31" i="146"/>
  <c r="AH31" i="146" s="1"/>
  <c r="AV29" i="146"/>
  <c r="AW29" i="146" s="1"/>
  <c r="AF29" i="146"/>
  <c r="AC29" i="146"/>
  <c r="BA29" i="146"/>
  <c r="BB29" i="146" s="1"/>
  <c r="BK28" i="146"/>
  <c r="BR29" i="146"/>
  <c r="AI29" i="146"/>
  <c r="BA27" i="126"/>
  <c r="BB27" i="126" s="1"/>
  <c r="BR25" i="17"/>
  <c r="AC25" i="17"/>
  <c r="AW28" i="135"/>
  <c r="AW27" i="63"/>
  <c r="BA27" i="98"/>
  <c r="BB27" i="98" s="1"/>
  <c r="AO27" i="98"/>
  <c r="AW28" i="64"/>
  <c r="BG31" i="124"/>
  <c r="BH31" i="124" s="1"/>
  <c r="AO28" i="64"/>
  <c r="AI28" i="64"/>
  <c r="Z25" i="17"/>
  <c r="AL25" i="17"/>
  <c r="BB25" i="17"/>
  <c r="BR31" i="124"/>
  <c r="AI25" i="66"/>
  <c r="BB25" i="66"/>
  <c r="BG27" i="63"/>
  <c r="BH27" i="63" s="1"/>
  <c r="AF28" i="64"/>
  <c r="BH28" i="64"/>
  <c r="BR27" i="126"/>
  <c r="BR26" i="101"/>
  <c r="BR27" i="114"/>
  <c r="BB27" i="114"/>
  <c r="AI27" i="114"/>
  <c r="AW27" i="114"/>
  <c r="AF27" i="114"/>
  <c r="Z25" i="120"/>
  <c r="AL25" i="120"/>
  <c r="BD26" i="101"/>
  <c r="BE26" i="101" s="1"/>
  <c r="Z27" i="96"/>
  <c r="BH27" i="126"/>
  <c r="AQ26" i="101"/>
  <c r="AR26" i="101" s="1"/>
  <c r="BE25" i="66"/>
  <c r="AC25" i="66"/>
  <c r="BE27" i="98"/>
  <c r="AC27" i="96"/>
  <c r="BE27" i="96"/>
  <c r="BG29" i="105"/>
  <c r="BH29" i="105" s="1"/>
  <c r="AI29" i="105"/>
  <c r="AI25" i="13"/>
  <c r="BH25" i="13"/>
  <c r="BH27" i="115"/>
  <c r="AI27" i="115"/>
  <c r="Z28" i="135"/>
  <c r="BD27" i="126"/>
  <c r="BE27" i="126" s="1"/>
  <c r="Z26" i="101"/>
  <c r="BA26" i="101"/>
  <c r="BB26" i="101" s="1"/>
  <c r="AI26" i="101"/>
  <c r="AO26" i="101"/>
  <c r="AC31" i="124"/>
  <c r="BL31" i="124"/>
  <c r="AQ27" i="98"/>
  <c r="AR27" i="98" s="1"/>
  <c r="AF27" i="98"/>
  <c r="BB27" i="63"/>
  <c r="AQ27" i="63"/>
  <c r="AR27" i="63" s="1"/>
  <c r="AO27" i="114"/>
  <c r="AL27" i="114"/>
  <c r="BH27" i="98"/>
  <c r="BH27" i="96"/>
  <c r="AQ28" i="64"/>
  <c r="AR28" i="64" s="1"/>
  <c r="AO25" i="13"/>
  <c r="AF25" i="13"/>
  <c r="AF27" i="115"/>
  <c r="AC27" i="115"/>
  <c r="AO25" i="17"/>
  <c r="AI25" i="17"/>
  <c r="AC26" i="101"/>
  <c r="AW26" i="101"/>
  <c r="BB31" i="124"/>
  <c r="W31" i="124"/>
  <c r="AL27" i="115"/>
  <c r="AQ25" i="66"/>
  <c r="AR25" i="66" s="1"/>
  <c r="AV27" i="96"/>
  <c r="AW27" i="96" s="1"/>
  <c r="BG25" i="120"/>
  <c r="BH25" i="120" s="1"/>
  <c r="AC29" i="136"/>
  <c r="BB28" i="135"/>
  <c r="AI28" i="135"/>
  <c r="AI26" i="15"/>
  <c r="BR25" i="66"/>
  <c r="AF25" i="66"/>
  <c r="AF27" i="96"/>
  <c r="BB27" i="110"/>
  <c r="BA27" i="115"/>
  <c r="BB27" i="115" s="1"/>
  <c r="AC25" i="120"/>
  <c r="BR25" i="120"/>
  <c r="BR28" i="135"/>
  <c r="AL28" i="135"/>
  <c r="AO27" i="126"/>
  <c r="AO25" i="66"/>
  <c r="BG27" i="114"/>
  <c r="BH27" i="114" s="1"/>
  <c r="BR27" i="98"/>
  <c r="AL27" i="98"/>
  <c r="BB27" i="96"/>
  <c r="AI27" i="96"/>
  <c r="AO27" i="96"/>
  <c r="BA28" i="64"/>
  <c r="BB28" i="64" s="1"/>
  <c r="AC28" i="64"/>
  <c r="AO29" i="105"/>
  <c r="AF29" i="105"/>
  <c r="BR27" i="110"/>
  <c r="BA25" i="13"/>
  <c r="BB25" i="13" s="1"/>
  <c r="BR29" i="136"/>
  <c r="AI29" i="136"/>
  <c r="AQ28" i="135"/>
  <c r="AR28" i="135" s="1"/>
  <c r="AC28" i="135"/>
  <c r="AO28" i="135"/>
  <c r="AQ27" i="126"/>
  <c r="AR27" i="126" s="1"/>
  <c r="AL27" i="126"/>
  <c r="AF27" i="126"/>
  <c r="AQ26" i="15"/>
  <c r="AR26" i="15" s="1"/>
  <c r="AV25" i="66"/>
  <c r="AW25" i="66" s="1"/>
  <c r="M28" i="114"/>
  <c r="BJ28" i="114"/>
  <c r="AN28" i="114"/>
  <c r="AT28" i="114"/>
  <c r="AV28" i="114" s="1"/>
  <c r="AH28" i="114"/>
  <c r="AB28" i="114"/>
  <c r="AK28" i="114"/>
  <c r="AE28" i="114"/>
  <c r="AY28" i="114"/>
  <c r="BA28" i="114" s="1"/>
  <c r="BQ28" i="114"/>
  <c r="K29" i="114"/>
  <c r="R28" i="114"/>
  <c r="T28" i="114" s="1"/>
  <c r="Y28" i="114" s="1"/>
  <c r="I34" i="114"/>
  <c r="I35" i="105"/>
  <c r="I28" i="66"/>
  <c r="K27" i="66"/>
  <c r="I34" i="64"/>
  <c r="M30" i="105"/>
  <c r="BJ30" i="105"/>
  <c r="AY30" i="105"/>
  <c r="BG30" i="105" s="1"/>
  <c r="AT30" i="105"/>
  <c r="BD30" i="105" s="1"/>
  <c r="AB30" i="105"/>
  <c r="AE30" i="105"/>
  <c r="AH30" i="105"/>
  <c r="AK30" i="105"/>
  <c r="BQ30" i="105"/>
  <c r="AN30" i="105"/>
  <c r="K31" i="105"/>
  <c r="I28" i="17"/>
  <c r="K27" i="17"/>
  <c r="AQ25" i="120"/>
  <c r="AR25" i="120" s="1"/>
  <c r="AO25" i="120"/>
  <c r="I84" i="99"/>
  <c r="I30" i="110"/>
  <c r="K29" i="110"/>
  <c r="R29" i="110" s="1"/>
  <c r="AL26" i="15"/>
  <c r="I37" i="95"/>
  <c r="M32" i="124"/>
  <c r="K33" i="124"/>
  <c r="AH33" i="124" s="1"/>
  <c r="BJ32" i="124"/>
  <c r="V32" i="124"/>
  <c r="AE32" i="124"/>
  <c r="AT32" i="124"/>
  <c r="AV32" i="124" s="1"/>
  <c r="AB32" i="124"/>
  <c r="AY32" i="124"/>
  <c r="BA32" i="124" s="1"/>
  <c r="BQ32" i="124"/>
  <c r="K29" i="96"/>
  <c r="I30" i="96"/>
  <c r="BG25" i="66"/>
  <c r="BH25" i="66" s="1"/>
  <c r="BN28" i="63"/>
  <c r="BO28" i="63" s="1"/>
  <c r="M28" i="63"/>
  <c r="AE28" i="63"/>
  <c r="AK28" i="63"/>
  <c r="AN28" i="63"/>
  <c r="AB28" i="63"/>
  <c r="AH28" i="63"/>
  <c r="AY28" i="63"/>
  <c r="BA28" i="63" s="1"/>
  <c r="BL28" i="63"/>
  <c r="BQ28" i="63"/>
  <c r="AT28" i="63"/>
  <c r="AV28" i="63" s="1"/>
  <c r="K29" i="63"/>
  <c r="R29" i="63" s="1"/>
  <c r="AL27" i="63"/>
  <c r="BL27" i="114"/>
  <c r="I32" i="15"/>
  <c r="BL26" i="13"/>
  <c r="M26" i="13"/>
  <c r="BN26" i="13"/>
  <c r="BO26" i="13" s="1"/>
  <c r="AY26" i="13"/>
  <c r="BA26" i="13" s="1"/>
  <c r="BQ26" i="13"/>
  <c r="AB26" i="13"/>
  <c r="AH26" i="13"/>
  <c r="AE26" i="13"/>
  <c r="AN26" i="13"/>
  <c r="AK26" i="13"/>
  <c r="R26" i="13"/>
  <c r="T26" i="13" s="1"/>
  <c r="Y26" i="13" s="1"/>
  <c r="BL27" i="98"/>
  <c r="M28" i="98"/>
  <c r="K29" i="98"/>
  <c r="AB28" i="98"/>
  <c r="AT28" i="98"/>
  <c r="AV28" i="98" s="1"/>
  <c r="AY28" i="98"/>
  <c r="BA28" i="98" s="1"/>
  <c r="BJ28" i="98"/>
  <c r="AE28" i="98"/>
  <c r="AK28" i="98"/>
  <c r="AN28" i="98"/>
  <c r="AH28" i="98"/>
  <c r="BQ28" i="98"/>
  <c r="AQ27" i="96"/>
  <c r="AR27" i="96" s="1"/>
  <c r="M26" i="66"/>
  <c r="BN26" i="66"/>
  <c r="BO26" i="66" s="1"/>
  <c r="BL26" i="66"/>
  <c r="AY26" i="66"/>
  <c r="BG26" i="66" s="1"/>
  <c r="AB26" i="66"/>
  <c r="AE26" i="66"/>
  <c r="AH26" i="66"/>
  <c r="AK26" i="66"/>
  <c r="AN26" i="66"/>
  <c r="BQ26" i="66"/>
  <c r="R26" i="66"/>
  <c r="T26" i="66" s="1"/>
  <c r="Y26" i="66" s="1"/>
  <c r="AT26" i="66"/>
  <c r="BD26" i="66" s="1"/>
  <c r="BD28" i="64"/>
  <c r="BE28" i="64" s="1"/>
  <c r="AQ29" i="105"/>
  <c r="AR29" i="105" s="1"/>
  <c r="AV29" i="105"/>
  <c r="AW29" i="105" s="1"/>
  <c r="AC29" i="105"/>
  <c r="AO27" i="110"/>
  <c r="AF27" i="110"/>
  <c r="AQ25" i="13"/>
  <c r="AR25" i="13" s="1"/>
  <c r="BR25" i="13"/>
  <c r="BL27" i="115"/>
  <c r="I33" i="63"/>
  <c r="M30" i="136"/>
  <c r="BL30" i="136"/>
  <c r="BN30" i="136"/>
  <c r="BO30" i="136" s="1"/>
  <c r="AN30" i="136"/>
  <c r="AE30" i="136"/>
  <c r="V30" i="136"/>
  <c r="AH30" i="136"/>
  <c r="AK30" i="136"/>
  <c r="AB30" i="136"/>
  <c r="BQ30" i="136"/>
  <c r="K31" i="136"/>
  <c r="AN27" i="101"/>
  <c r="BQ27" i="101"/>
  <c r="M27" i="101"/>
  <c r="AK27" i="101"/>
  <c r="AE27" i="101"/>
  <c r="AT27" i="101"/>
  <c r="AV27" i="101" s="1"/>
  <c r="AY27" i="101"/>
  <c r="BG27" i="101" s="1"/>
  <c r="AB27" i="101"/>
  <c r="R27" i="101"/>
  <c r="T27" i="101" s="1"/>
  <c r="Y27" i="101" s="1"/>
  <c r="AQ25" i="17"/>
  <c r="AR25" i="17" s="1"/>
  <c r="BD28" i="135"/>
  <c r="BE28" i="135" s="1"/>
  <c r="BG28" i="135"/>
  <c r="BH28" i="135" s="1"/>
  <c r="BL27" i="126"/>
  <c r="I43" i="133"/>
  <c r="AL26" i="118"/>
  <c r="AC26" i="118"/>
  <c r="BL28" i="96"/>
  <c r="AB28" i="96"/>
  <c r="BN28" i="96"/>
  <c r="BO28" i="96" s="1"/>
  <c r="M28" i="96"/>
  <c r="AE28" i="96"/>
  <c r="AN28" i="96"/>
  <c r="AK28" i="96"/>
  <c r="BG28" i="96"/>
  <c r="AT28" i="96"/>
  <c r="AV28" i="96" s="1"/>
  <c r="AH28" i="96"/>
  <c r="BA28" i="96"/>
  <c r="BQ28" i="96"/>
  <c r="R28" i="96"/>
  <c r="T28" i="96" s="1"/>
  <c r="Y28" i="96" s="1"/>
  <c r="BD27" i="63"/>
  <c r="BE27" i="63" s="1"/>
  <c r="BR27" i="63"/>
  <c r="AO27" i="63"/>
  <c r="AI27" i="63"/>
  <c r="BD27" i="114"/>
  <c r="BE27" i="114" s="1"/>
  <c r="I28" i="13"/>
  <c r="K27" i="13"/>
  <c r="M28" i="115"/>
  <c r="BJ28" i="115"/>
  <c r="BQ28" i="115"/>
  <c r="AK28" i="115"/>
  <c r="AT28" i="115"/>
  <c r="AV28" i="115" s="1"/>
  <c r="AE28" i="115"/>
  <c r="AB28" i="115"/>
  <c r="AH28" i="115"/>
  <c r="AN28" i="115"/>
  <c r="AY28" i="115"/>
  <c r="BG28" i="115" s="1"/>
  <c r="M29" i="64"/>
  <c r="AY29" i="64"/>
  <c r="BA29" i="64" s="1"/>
  <c r="BL29" i="64"/>
  <c r="BN29" i="64"/>
  <c r="BO29" i="64" s="1"/>
  <c r="AN29" i="64"/>
  <c r="AK29" i="64"/>
  <c r="BQ29" i="64"/>
  <c r="AB29" i="64"/>
  <c r="AE29" i="64"/>
  <c r="AH29" i="64"/>
  <c r="R29" i="64"/>
  <c r="T29" i="64" s="1"/>
  <c r="Y29" i="64" s="1"/>
  <c r="AT29" i="64"/>
  <c r="BD29" i="64" s="1"/>
  <c r="K30" i="64"/>
  <c r="AR26" i="114"/>
  <c r="BK26" i="114"/>
  <c r="I32" i="104"/>
  <c r="AV27" i="110"/>
  <c r="AW27" i="110" s="1"/>
  <c r="AI27" i="110"/>
  <c r="I34" i="136"/>
  <c r="M29" i="135"/>
  <c r="AB29" i="135"/>
  <c r="AN29" i="135"/>
  <c r="AH29" i="135"/>
  <c r="BN29" i="135"/>
  <c r="BO29" i="135" s="1"/>
  <c r="AY29" i="135"/>
  <c r="BG29" i="135" s="1"/>
  <c r="AK29" i="135"/>
  <c r="AE29" i="135"/>
  <c r="BL29" i="135"/>
  <c r="BQ29" i="135"/>
  <c r="R29" i="135"/>
  <c r="T29" i="135" s="1"/>
  <c r="Y29" i="135" s="1"/>
  <c r="AT29" i="135"/>
  <c r="AV29" i="135" s="1"/>
  <c r="AE26" i="120"/>
  <c r="AB26" i="120"/>
  <c r="AH26" i="120"/>
  <c r="K27" i="120"/>
  <c r="AY26" i="120"/>
  <c r="BA26" i="120" s="1"/>
  <c r="BQ26" i="120"/>
  <c r="M26" i="120"/>
  <c r="AK26" i="120"/>
  <c r="AN26" i="120"/>
  <c r="R26" i="120"/>
  <c r="T26" i="120" s="1"/>
  <c r="Y26" i="120" s="1"/>
  <c r="I29" i="101"/>
  <c r="K28" i="101"/>
  <c r="AH28" i="101" s="1"/>
  <c r="M28" i="126"/>
  <c r="BJ28" i="126"/>
  <c r="AT28" i="126"/>
  <c r="BD28" i="126" s="1"/>
  <c r="AN28" i="126"/>
  <c r="AE28" i="126"/>
  <c r="AY28" i="126"/>
  <c r="BA28" i="126" s="1"/>
  <c r="AK28" i="126"/>
  <c r="AB28" i="126"/>
  <c r="BQ28" i="126"/>
  <c r="K29" i="126"/>
  <c r="AH32" i="126" s="1"/>
  <c r="BL27" i="15"/>
  <c r="BN27" i="15"/>
  <c r="BO27" i="15" s="1"/>
  <c r="AN27" i="15"/>
  <c r="M27" i="15"/>
  <c r="AK27" i="15"/>
  <c r="BQ27" i="15"/>
  <c r="AE27" i="15"/>
  <c r="AB27" i="15"/>
  <c r="AH27" i="15"/>
  <c r="K28" i="15"/>
  <c r="BR26" i="15"/>
  <c r="AV26" i="118"/>
  <c r="AW26" i="118" s="1"/>
  <c r="AQ26" i="118"/>
  <c r="AR26" i="118" s="1"/>
  <c r="AO26" i="118"/>
  <c r="AF26" i="118"/>
  <c r="R27" i="98"/>
  <c r="T26" i="98"/>
  <c r="Y26" i="98" s="1"/>
  <c r="AF27" i="63"/>
  <c r="AQ27" i="114"/>
  <c r="I35" i="132"/>
  <c r="I30" i="115"/>
  <c r="K29" i="115"/>
  <c r="BL29" i="105"/>
  <c r="AQ27" i="110"/>
  <c r="AR27" i="110" s="1"/>
  <c r="AC27" i="110"/>
  <c r="BL27" i="110"/>
  <c r="BL26" i="17"/>
  <c r="BN26" i="17"/>
  <c r="BO26" i="17" s="1"/>
  <c r="M26" i="17"/>
  <c r="AY26" i="17"/>
  <c r="BA26" i="17" s="1"/>
  <c r="AK26" i="17"/>
  <c r="AE26" i="17"/>
  <c r="AN26" i="17"/>
  <c r="AH26" i="17"/>
  <c r="AB26" i="17"/>
  <c r="BQ26" i="17"/>
  <c r="R26" i="17"/>
  <c r="T26" i="17" s="1"/>
  <c r="Y26" i="17" s="1"/>
  <c r="I31" i="135"/>
  <c r="K30" i="135"/>
  <c r="AQ27" i="115"/>
  <c r="AR27" i="115" s="1"/>
  <c r="AI25" i="120"/>
  <c r="AQ29" i="136"/>
  <c r="AR29" i="136" s="1"/>
  <c r="AL29" i="136"/>
  <c r="M28" i="110"/>
  <c r="BJ28" i="110"/>
  <c r="AE28" i="110"/>
  <c r="AY28" i="110"/>
  <c r="BA28" i="110" s="1"/>
  <c r="AH28" i="110"/>
  <c r="AT28" i="110"/>
  <c r="AV28" i="110" s="1"/>
  <c r="AK28" i="110"/>
  <c r="AN28" i="110"/>
  <c r="AB28" i="110"/>
  <c r="BQ28" i="110"/>
  <c r="BG25" i="17"/>
  <c r="BH25" i="17" s="1"/>
  <c r="AF26" i="15"/>
  <c r="AO26" i="15"/>
  <c r="I33" i="126"/>
  <c r="M27" i="118"/>
  <c r="K28" i="118"/>
  <c r="AY27" i="118"/>
  <c r="BA27" i="118" s="1"/>
  <c r="AE27" i="118"/>
  <c r="AN27" i="118"/>
  <c r="AB27" i="118"/>
  <c r="AH27" i="118"/>
  <c r="AK27" i="118"/>
  <c r="BQ27" i="118"/>
  <c r="AT27" i="118"/>
  <c r="BD27" i="118" s="1"/>
  <c r="BK25" i="98"/>
  <c r="Z25" i="98"/>
  <c r="P20" i="95"/>
  <c r="T27" i="15"/>
  <c r="Y27" i="15" s="1"/>
  <c r="R28" i="15"/>
  <c r="Z26" i="104"/>
  <c r="T27" i="104"/>
  <c r="Y27" i="104" s="1"/>
  <c r="R28" i="104"/>
  <c r="BD20" i="133"/>
  <c r="BE20" i="133" s="1"/>
  <c r="AV20" i="133"/>
  <c r="AW20" i="133" s="1"/>
  <c r="AV20" i="13"/>
  <c r="AW20" i="13" s="1"/>
  <c r="BD20" i="13"/>
  <c r="BE20" i="13" s="1"/>
  <c r="AV19" i="13"/>
  <c r="AW19" i="13" s="1"/>
  <c r="BD19" i="13"/>
  <c r="BE19" i="13" s="1"/>
  <c r="BD19" i="133"/>
  <c r="BE19" i="133" s="1"/>
  <c r="AV19" i="133"/>
  <c r="AW19" i="133" s="1"/>
  <c r="AV19" i="120"/>
  <c r="AW19" i="120" s="1"/>
  <c r="BD19" i="120"/>
  <c r="BE19" i="120" s="1"/>
  <c r="T27" i="136"/>
  <c r="Y27" i="136" s="1"/>
  <c r="Z27" i="136" s="1"/>
  <c r="R28" i="136"/>
  <c r="T28" i="110"/>
  <c r="Y28" i="110" s="1"/>
  <c r="V19" i="98"/>
  <c r="Z27" i="110"/>
  <c r="T29" i="124"/>
  <c r="Y29" i="124" s="1"/>
  <c r="R30" i="124"/>
  <c r="T28" i="63"/>
  <c r="Y28" i="63" s="1"/>
  <c r="Z28" i="124"/>
  <c r="BK28" i="124"/>
  <c r="W20" i="115"/>
  <c r="O21" i="115"/>
  <c r="R28" i="107"/>
  <c r="T27" i="107"/>
  <c r="Y27" i="107" s="1"/>
  <c r="Z26" i="107"/>
  <c r="BK26" i="107"/>
  <c r="W19" i="130"/>
  <c r="O20" i="130"/>
  <c r="Z26" i="105"/>
  <c r="BK26" i="105"/>
  <c r="P20" i="126"/>
  <c r="BK25" i="99"/>
  <c r="Z25" i="99"/>
  <c r="P20" i="66"/>
  <c r="V19" i="107"/>
  <c r="W21" i="101"/>
  <c r="O22" i="101"/>
  <c r="T26" i="99"/>
  <c r="Y26" i="99" s="1"/>
  <c r="R27" i="99"/>
  <c r="W20" i="129"/>
  <c r="O21" i="129"/>
  <c r="P20" i="13"/>
  <c r="W18" i="99"/>
  <c r="O19" i="99"/>
  <c r="V18" i="105"/>
  <c r="W20" i="106"/>
  <c r="O21" i="106"/>
  <c r="T27" i="105"/>
  <c r="Y27" i="105" s="1"/>
  <c r="R28" i="105"/>
  <c r="W22" i="124"/>
  <c r="O23" i="124"/>
  <c r="P21" i="114"/>
  <c r="P19" i="120"/>
  <c r="T27" i="118"/>
  <c r="Y27" i="118" s="1"/>
  <c r="R28" i="118"/>
  <c r="V19" i="118"/>
  <c r="W20" i="104"/>
  <c r="O21" i="104"/>
  <c r="V20" i="17"/>
  <c r="V19" i="63"/>
  <c r="R29" i="115"/>
  <c r="T28" i="115"/>
  <c r="Y28" i="115" s="1"/>
  <c r="P22" i="64"/>
  <c r="P19" i="136"/>
  <c r="V20" i="110"/>
  <c r="P21" i="96"/>
  <c r="P19" i="112"/>
  <c r="P19" i="135"/>
  <c r="Z27" i="115"/>
  <c r="P20" i="15"/>
  <c r="Z27" i="118" l="1"/>
  <c r="AO26" i="66"/>
  <c r="AO28" i="98"/>
  <c r="AW28" i="115"/>
  <c r="AF32" i="124"/>
  <c r="Z26" i="95"/>
  <c r="AO26" i="95"/>
  <c r="AL28" i="130"/>
  <c r="BR28" i="130"/>
  <c r="BH29" i="99"/>
  <c r="AC31" i="107"/>
  <c r="BR27" i="106"/>
  <c r="AO31" i="107"/>
  <c r="Z28" i="63"/>
  <c r="AF28" i="126"/>
  <c r="BH31" i="107"/>
  <c r="AI31" i="107"/>
  <c r="BR31" i="107"/>
  <c r="AF28" i="130"/>
  <c r="AC28" i="129"/>
  <c r="AK32" i="107"/>
  <c r="AT32" i="107"/>
  <c r="AE32" i="107"/>
  <c r="AH32" i="107"/>
  <c r="AY32" i="107"/>
  <c r="AN32" i="107"/>
  <c r="AB32" i="107"/>
  <c r="BJ32" i="107"/>
  <c r="V32" i="107"/>
  <c r="M32" i="107"/>
  <c r="BQ32" i="107"/>
  <c r="AQ31" i="107"/>
  <c r="AR31" i="107" s="1"/>
  <c r="AQ29" i="99"/>
  <c r="AR29" i="99" s="1"/>
  <c r="AI29" i="99"/>
  <c r="AC30" i="105"/>
  <c r="AI28" i="129"/>
  <c r="AO27" i="104"/>
  <c r="AO29" i="99"/>
  <c r="I34" i="107"/>
  <c r="K33" i="107"/>
  <c r="BA29" i="99"/>
  <c r="BB29" i="99" s="1"/>
  <c r="AT21" i="130"/>
  <c r="BD21" i="130" s="1"/>
  <c r="BE21" i="130" s="1"/>
  <c r="W32" i="156"/>
  <c r="AW29" i="99"/>
  <c r="AF31" i="107"/>
  <c r="BA30" i="132"/>
  <c r="BB30" i="132" s="1"/>
  <c r="P30" i="132"/>
  <c r="AQ30" i="132"/>
  <c r="AR30" i="132" s="1"/>
  <c r="M30" i="132"/>
  <c r="BL30" i="132"/>
  <c r="O30" i="132"/>
  <c r="AK30" i="132"/>
  <c r="AL30" i="132" s="1"/>
  <c r="AY30" i="132"/>
  <c r="K31" i="132"/>
  <c r="AN30" i="132"/>
  <c r="AO30" i="132" s="1"/>
  <c r="BD30" i="132"/>
  <c r="BE30" i="132" s="1"/>
  <c r="AT30" i="132"/>
  <c r="AB30" i="132"/>
  <c r="AC30" i="132" s="1"/>
  <c r="AH30" i="132"/>
  <c r="AI30" i="132" s="1"/>
  <c r="V30" i="132"/>
  <c r="W30" i="132" s="1"/>
  <c r="AE30" i="132"/>
  <c r="AF30" i="132" s="1"/>
  <c r="BG30" i="132"/>
  <c r="BH30" i="132" s="1"/>
  <c r="BQ30" i="132"/>
  <c r="BR30" i="132" s="1"/>
  <c r="AV30" i="132"/>
  <c r="AW30" i="132" s="1"/>
  <c r="R30" i="132"/>
  <c r="T30" i="132" s="1"/>
  <c r="BN30" i="132"/>
  <c r="BO30" i="132" s="1"/>
  <c r="Y30" i="132"/>
  <c r="Z30" i="132" s="1"/>
  <c r="AC26" i="66"/>
  <c r="BB28" i="98"/>
  <c r="AL28" i="129"/>
  <c r="BR29" i="99"/>
  <c r="AL29" i="99"/>
  <c r="BB31" i="107"/>
  <c r="AW31" i="107"/>
  <c r="BD29" i="99"/>
  <c r="BE29" i="99" s="1"/>
  <c r="AC28" i="110"/>
  <c r="BH28" i="96"/>
  <c r="BH27" i="101"/>
  <c r="AY26" i="133"/>
  <c r="BA26" i="133" s="1"/>
  <c r="BB26" i="133" s="1"/>
  <c r="BA25" i="133"/>
  <c r="BB25" i="133" s="1"/>
  <c r="Z27" i="106"/>
  <c r="AC29" i="99"/>
  <c r="M30" i="99"/>
  <c r="AH30" i="99"/>
  <c r="BJ30" i="99"/>
  <c r="AE30" i="99"/>
  <c r="AN30" i="99"/>
  <c r="K31" i="99"/>
  <c r="AY30" i="99"/>
  <c r="AK30" i="99"/>
  <c r="AT30" i="99"/>
  <c r="BQ30" i="99"/>
  <c r="AB30" i="99"/>
  <c r="AL31" i="107"/>
  <c r="BL31" i="107"/>
  <c r="BD31" i="107"/>
  <c r="BE31" i="107" s="1"/>
  <c r="BG25" i="130"/>
  <c r="BH25" i="130" s="1"/>
  <c r="R28" i="126"/>
  <c r="T28" i="126" s="1"/>
  <c r="Y28" i="126" s="1"/>
  <c r="BG25" i="136"/>
  <c r="BH25" i="136" s="1"/>
  <c r="Z28" i="129"/>
  <c r="AF28" i="129"/>
  <c r="AW26" i="95"/>
  <c r="AO28" i="129"/>
  <c r="BB28" i="129"/>
  <c r="AF26" i="95"/>
  <c r="BB27" i="106"/>
  <c r="AI27" i="106"/>
  <c r="AF32" i="156"/>
  <c r="BG27" i="106"/>
  <c r="AC27" i="104"/>
  <c r="R31" i="147"/>
  <c r="T31" i="147" s="1"/>
  <c r="Y31" i="147" s="1"/>
  <c r="Z31" i="147" s="1"/>
  <c r="BG25" i="152"/>
  <c r="BH25" i="152" s="1"/>
  <c r="Z28" i="130"/>
  <c r="AO32" i="156"/>
  <c r="AC32" i="156"/>
  <c r="AO27" i="112"/>
  <c r="Z27" i="112"/>
  <c r="AF27" i="104"/>
  <c r="BR32" i="156"/>
  <c r="AL32" i="156"/>
  <c r="AF27" i="112"/>
  <c r="BH27" i="104"/>
  <c r="AI27" i="104"/>
  <c r="AW27" i="104"/>
  <c r="R25" i="156"/>
  <c r="T24" i="156"/>
  <c r="Y24" i="156" s="1"/>
  <c r="Z24" i="156" s="1"/>
  <c r="AC27" i="112"/>
  <c r="BK26" i="104"/>
  <c r="R32" i="149"/>
  <c r="T32" i="149" s="1"/>
  <c r="Y32" i="149" s="1"/>
  <c r="Z32" i="149" s="1"/>
  <c r="W33" i="153"/>
  <c r="AO28" i="130"/>
  <c r="AQ26" i="95"/>
  <c r="AR26" i="95" s="1"/>
  <c r="BR27" i="112"/>
  <c r="AW27" i="106"/>
  <c r="AL27" i="106"/>
  <c r="BE27" i="106"/>
  <c r="AL27" i="104"/>
  <c r="BB27" i="104"/>
  <c r="BR27" i="104"/>
  <c r="P18" i="156"/>
  <c r="BD26" i="95"/>
  <c r="BE26" i="95" s="1"/>
  <c r="O31" i="163"/>
  <c r="V31" i="163" s="1"/>
  <c r="W31" i="163" s="1"/>
  <c r="O32" i="164"/>
  <c r="O33" i="164" s="1"/>
  <c r="O34" i="164" s="1"/>
  <c r="O35" i="164" s="1"/>
  <c r="O36" i="164" s="1"/>
  <c r="O37" i="164" s="1"/>
  <c r="O38" i="164" s="1"/>
  <c r="O39" i="164" s="1"/>
  <c r="P32" i="163"/>
  <c r="P33" i="163" s="1"/>
  <c r="P34" i="163" s="1"/>
  <c r="P35" i="163" s="1"/>
  <c r="P36" i="163" s="1"/>
  <c r="P37" i="163" s="1"/>
  <c r="P38" i="163" s="1"/>
  <c r="P39" i="163" s="1"/>
  <c r="O30" i="161"/>
  <c r="V30" i="161"/>
  <c r="W30" i="161" s="1"/>
  <c r="P31" i="161"/>
  <c r="K64" i="161"/>
  <c r="BQ64" i="161" s="1"/>
  <c r="I65" i="161"/>
  <c r="BD63" i="161"/>
  <c r="BE63" i="161" s="1"/>
  <c r="AQ63" i="161"/>
  <c r="AR63" i="161" s="1"/>
  <c r="AK63" i="161"/>
  <c r="AL63" i="161" s="1"/>
  <c r="AE63" i="161"/>
  <c r="AF63" i="161" s="1"/>
  <c r="Y63" i="161"/>
  <c r="Z63" i="161" s="1"/>
  <c r="R63" i="161"/>
  <c r="T63" i="161" s="1"/>
  <c r="AV63" i="161"/>
  <c r="AW63" i="161" s="1"/>
  <c r="P63" i="161"/>
  <c r="BG63" i="161"/>
  <c r="BH63" i="161" s="1"/>
  <c r="BA63" i="161"/>
  <c r="BB63" i="161" s="1"/>
  <c r="AT63" i="161"/>
  <c r="AN63" i="161"/>
  <c r="AO63" i="161" s="1"/>
  <c r="AH63" i="161"/>
  <c r="AI63" i="161" s="1"/>
  <c r="AB63" i="161"/>
  <c r="AC63" i="161" s="1"/>
  <c r="V63" i="161"/>
  <c r="W63" i="161" s="1"/>
  <c r="O63" i="161"/>
  <c r="AY63" i="161"/>
  <c r="BR63" i="161"/>
  <c r="BK63" i="161"/>
  <c r="BN63" i="161"/>
  <c r="BO63" i="161" s="1"/>
  <c r="BJ63" i="161"/>
  <c r="BL63" i="161" s="1"/>
  <c r="M63" i="161"/>
  <c r="BR28" i="96"/>
  <c r="AL26" i="13"/>
  <c r="Z28" i="114"/>
  <c r="AY26" i="153"/>
  <c r="BG26" i="153" s="1"/>
  <c r="BH26" i="153" s="1"/>
  <c r="BG28" i="129"/>
  <c r="BH28" i="129" s="1"/>
  <c r="BR28" i="129"/>
  <c r="BB26" i="95"/>
  <c r="BH26" i="95"/>
  <c r="AR26" i="106"/>
  <c r="BK26" i="106"/>
  <c r="Y31" i="133"/>
  <c r="Z31" i="133" s="1"/>
  <c r="AK31" i="133"/>
  <c r="AL31" i="133" s="1"/>
  <c r="BA31" i="133"/>
  <c r="BB31" i="133" s="1"/>
  <c r="K32" i="133"/>
  <c r="AB31" i="133"/>
  <c r="AC31" i="133" s="1"/>
  <c r="AE31" i="133"/>
  <c r="AF31" i="133" s="1"/>
  <c r="BD31" i="133"/>
  <c r="BE31" i="133" s="1"/>
  <c r="AY31" i="133"/>
  <c r="V31" i="133"/>
  <c r="W31" i="133" s="1"/>
  <c r="R31" i="133"/>
  <c r="T31" i="133" s="1"/>
  <c r="M31" i="133"/>
  <c r="AN31" i="133"/>
  <c r="AO31" i="133" s="1"/>
  <c r="BQ31" i="133"/>
  <c r="BR31" i="133" s="1"/>
  <c r="AQ31" i="133"/>
  <c r="AR31" i="133" s="1"/>
  <c r="BN31" i="133"/>
  <c r="BO31" i="133" s="1"/>
  <c r="BG31" i="133"/>
  <c r="BH31" i="133" s="1"/>
  <c r="AT31" i="133"/>
  <c r="AH31" i="133"/>
  <c r="AI31" i="133" s="1"/>
  <c r="BL31" i="133"/>
  <c r="P31" i="133"/>
  <c r="O31" i="133"/>
  <c r="AV31" i="133"/>
  <c r="AW31" i="133" s="1"/>
  <c r="BL27" i="112"/>
  <c r="BN33" i="156"/>
  <c r="BO33" i="156" s="1"/>
  <c r="V33" i="156"/>
  <c r="AE33" i="156"/>
  <c r="AN33" i="156"/>
  <c r="AK33" i="156"/>
  <c r="BQ33" i="156"/>
  <c r="M33" i="156"/>
  <c r="BL33" i="156"/>
  <c r="AH33" i="156"/>
  <c r="AB33" i="156"/>
  <c r="I32" i="106"/>
  <c r="BH27" i="106"/>
  <c r="AC27" i="106"/>
  <c r="BL27" i="104"/>
  <c r="BR27" i="118"/>
  <c r="AO26" i="17"/>
  <c r="AO29" i="64"/>
  <c r="AO28" i="115"/>
  <c r="AO30" i="136"/>
  <c r="AC28" i="63"/>
  <c r="AI28" i="114"/>
  <c r="AY26" i="136"/>
  <c r="BG26" i="136" s="1"/>
  <c r="BH26" i="136" s="1"/>
  <c r="AY26" i="152"/>
  <c r="BG26" i="152" s="1"/>
  <c r="BH26" i="152" s="1"/>
  <c r="AR26" i="112"/>
  <c r="BK26" i="112"/>
  <c r="AC30" i="133"/>
  <c r="BG27" i="112"/>
  <c r="BH27" i="112" s="1"/>
  <c r="BA27" i="112"/>
  <c r="BB27" i="112" s="1"/>
  <c r="AO27" i="106"/>
  <c r="BD27" i="104"/>
  <c r="BE27" i="104" s="1"/>
  <c r="AI28" i="110"/>
  <c r="AF27" i="15"/>
  <c r="AY26" i="150"/>
  <c r="BG26" i="150" s="1"/>
  <c r="BH26" i="150" s="1"/>
  <c r="BR26" i="95"/>
  <c r="AC26" i="95"/>
  <c r="AL27" i="112"/>
  <c r="AF27" i="106"/>
  <c r="BL27" i="106"/>
  <c r="AN28" i="104"/>
  <c r="M28" i="104"/>
  <c r="AT28" i="104"/>
  <c r="AV28" i="104" s="1"/>
  <c r="BJ28" i="104"/>
  <c r="AB28" i="104"/>
  <c r="AK28" i="104"/>
  <c r="AY28" i="104"/>
  <c r="BG28" i="104" s="1"/>
  <c r="AH28" i="104"/>
  <c r="AE28" i="104"/>
  <c r="K29" i="104"/>
  <c r="BQ28" i="104"/>
  <c r="AF29" i="64"/>
  <c r="AL30" i="136"/>
  <c r="BR28" i="63"/>
  <c r="BB28" i="114"/>
  <c r="BA26" i="151"/>
  <c r="BB26" i="151" s="1"/>
  <c r="AB27" i="95"/>
  <c r="BQ27" i="95"/>
  <c r="M27" i="95"/>
  <c r="AN27" i="95"/>
  <c r="K28" i="95"/>
  <c r="BN27" i="95"/>
  <c r="BO27" i="95" s="1"/>
  <c r="AH27" i="95"/>
  <c r="BL27" i="95"/>
  <c r="AK27" i="95"/>
  <c r="BG27" i="95"/>
  <c r="AE27" i="95"/>
  <c r="AT27" i="95"/>
  <c r="AV27" i="95" s="1"/>
  <c r="BA27" i="95"/>
  <c r="R27" i="95"/>
  <c r="T27" i="95" s="1"/>
  <c r="Y27" i="95" s="1"/>
  <c r="AI26" i="95"/>
  <c r="AI27" i="112"/>
  <c r="AQ27" i="112"/>
  <c r="K29" i="106"/>
  <c r="M28" i="106"/>
  <c r="BJ28" i="106"/>
  <c r="AB28" i="106"/>
  <c r="AY28" i="106"/>
  <c r="AT28" i="106"/>
  <c r="AV28" i="106" s="1"/>
  <c r="AN28" i="106"/>
  <c r="AE28" i="106"/>
  <c r="AK28" i="106"/>
  <c r="AH28" i="106"/>
  <c r="BQ28" i="106"/>
  <c r="BA28" i="106"/>
  <c r="BG28" i="106"/>
  <c r="R28" i="106"/>
  <c r="T28" i="106" s="1"/>
  <c r="Y28" i="106" s="1"/>
  <c r="AC26" i="13"/>
  <c r="BD28" i="129"/>
  <c r="BE28" i="129" s="1"/>
  <c r="AV28" i="129"/>
  <c r="AW28" i="129" s="1"/>
  <c r="M28" i="112"/>
  <c r="AH28" i="112"/>
  <c r="AT28" i="112"/>
  <c r="AK28" i="112"/>
  <c r="AB28" i="112"/>
  <c r="BQ28" i="112"/>
  <c r="AY28" i="112"/>
  <c r="R28" i="112"/>
  <c r="T28" i="112" s="1"/>
  <c r="Y28" i="112" s="1"/>
  <c r="BJ28" i="112"/>
  <c r="BL28" i="112" s="1"/>
  <c r="AN28" i="112"/>
  <c r="K29" i="112"/>
  <c r="AE28" i="112"/>
  <c r="AO27" i="118"/>
  <c r="W33" i="155"/>
  <c r="AQ28" i="129"/>
  <c r="AR28" i="129" s="1"/>
  <c r="AE29" i="129"/>
  <c r="BQ29" i="129"/>
  <c r="AH29" i="129"/>
  <c r="BL29" i="129"/>
  <c r="AK29" i="129"/>
  <c r="AQ29" i="129" s="1"/>
  <c r="BN29" i="129"/>
  <c r="BO29" i="129" s="1"/>
  <c r="AB29" i="129"/>
  <c r="K30" i="129"/>
  <c r="AY29" i="129"/>
  <c r="BA29" i="129" s="1"/>
  <c r="M29" i="129"/>
  <c r="AN29" i="129"/>
  <c r="AT29" i="129"/>
  <c r="R29" i="129"/>
  <c r="T29" i="129" s="1"/>
  <c r="Y29" i="129" s="1"/>
  <c r="AL26" i="95"/>
  <c r="AQ32" i="156"/>
  <c r="AR32" i="156" s="1"/>
  <c r="AI32" i="156"/>
  <c r="BD27" i="112"/>
  <c r="BE27" i="112" s="1"/>
  <c r="AV27" i="112"/>
  <c r="AW27" i="112" s="1"/>
  <c r="K34" i="156"/>
  <c r="I35" i="156"/>
  <c r="AQ27" i="106"/>
  <c r="AQ27" i="104"/>
  <c r="AR27" i="104" s="1"/>
  <c r="AI31" i="151"/>
  <c r="AT21" i="150"/>
  <c r="AT21" i="156"/>
  <c r="BA25" i="15"/>
  <c r="BB25" i="15" s="1"/>
  <c r="BG25" i="15"/>
  <c r="BH25" i="15" s="1"/>
  <c r="BA26" i="155"/>
  <c r="BB26" i="155" s="1"/>
  <c r="BG26" i="155"/>
  <c r="BH26" i="155" s="1"/>
  <c r="BG25" i="149"/>
  <c r="BH25" i="149" s="1"/>
  <c r="BA25" i="149"/>
  <c r="BB25" i="149" s="1"/>
  <c r="BG25" i="156"/>
  <c r="BH25" i="156" s="1"/>
  <c r="BA25" i="156"/>
  <c r="BB25" i="156" s="1"/>
  <c r="A31" i="7"/>
  <c r="AY27" i="150" s="1"/>
  <c r="AY26" i="156"/>
  <c r="AY26" i="130"/>
  <c r="AY26" i="15"/>
  <c r="AI28" i="130"/>
  <c r="AQ28" i="130"/>
  <c r="AR28" i="130" s="1"/>
  <c r="M29" i="130"/>
  <c r="K30" i="130"/>
  <c r="BN29" i="130"/>
  <c r="BO29" i="130" s="1"/>
  <c r="BL29" i="130"/>
  <c r="BQ29" i="130"/>
  <c r="AE29" i="130"/>
  <c r="AK29" i="130"/>
  <c r="AN29" i="130"/>
  <c r="AH29" i="130"/>
  <c r="AB29" i="130"/>
  <c r="R29" i="130"/>
  <c r="T29" i="130" s="1"/>
  <c r="Y29" i="130" s="1"/>
  <c r="BD20" i="156"/>
  <c r="BE20" i="156" s="1"/>
  <c r="AV20" i="156"/>
  <c r="AW20" i="156" s="1"/>
  <c r="AV20" i="150"/>
  <c r="AW20" i="150" s="1"/>
  <c r="BD20" i="150"/>
  <c r="BE20" i="150" s="1"/>
  <c r="O30" i="150"/>
  <c r="O31" i="150" s="1"/>
  <c r="Z26" i="13"/>
  <c r="AI26" i="13"/>
  <c r="W30" i="150"/>
  <c r="BR31" i="151"/>
  <c r="AC28" i="126"/>
  <c r="Z30" i="150"/>
  <c r="W31" i="151"/>
  <c r="Z31" i="151"/>
  <c r="AI30" i="150"/>
  <c r="BH31" i="147"/>
  <c r="T23" i="155"/>
  <c r="Y23" i="155" s="1"/>
  <c r="Z23" i="155" s="1"/>
  <c r="R24" i="155"/>
  <c r="W17" i="155"/>
  <c r="O18" i="155"/>
  <c r="W33" i="152"/>
  <c r="Z33" i="153"/>
  <c r="AO33" i="153"/>
  <c r="AL33" i="152"/>
  <c r="P24" i="151"/>
  <c r="V24" i="151" s="1"/>
  <c r="W24" i="151" s="1"/>
  <c r="AO33" i="155"/>
  <c r="AL33" i="155"/>
  <c r="BR33" i="155"/>
  <c r="AF33" i="155"/>
  <c r="AC33" i="155"/>
  <c r="AI33" i="155"/>
  <c r="K35" i="155"/>
  <c r="I36" i="155"/>
  <c r="V34" i="155"/>
  <c r="AB34" i="155"/>
  <c r="AH34" i="155"/>
  <c r="AN34" i="155"/>
  <c r="BL34" i="155"/>
  <c r="AE34" i="155"/>
  <c r="AK34" i="155"/>
  <c r="M34" i="155"/>
  <c r="BN34" i="155"/>
  <c r="BO34" i="155" s="1"/>
  <c r="BQ34" i="155"/>
  <c r="AQ33" i="155"/>
  <c r="AR33" i="155" s="1"/>
  <c r="BD27" i="101"/>
  <c r="BE27" i="101" s="1"/>
  <c r="AV20" i="153"/>
  <c r="AW20" i="153" s="1"/>
  <c r="BD20" i="136"/>
  <c r="BE20" i="136" s="1"/>
  <c r="AV20" i="136"/>
  <c r="AW20" i="136" s="1"/>
  <c r="AV20" i="17"/>
  <c r="AW20" i="17" s="1"/>
  <c r="BD20" i="17"/>
  <c r="BE20" i="17" s="1"/>
  <c r="BD20" i="15"/>
  <c r="BE20" i="15" s="1"/>
  <c r="AV20" i="15"/>
  <c r="AW20" i="15" s="1"/>
  <c r="A23" i="58"/>
  <c r="AT21" i="13"/>
  <c r="AT21" i="15"/>
  <c r="AT21" i="136"/>
  <c r="AT21" i="153"/>
  <c r="AT21" i="152"/>
  <c r="AT21" i="17"/>
  <c r="AT21" i="120"/>
  <c r="AT21" i="133"/>
  <c r="BD20" i="130"/>
  <c r="BE20" i="130" s="1"/>
  <c r="AV20" i="130"/>
  <c r="AW20" i="130" s="1"/>
  <c r="BD20" i="120"/>
  <c r="BE20" i="120" s="1"/>
  <c r="AV20" i="120"/>
  <c r="AW20" i="120" s="1"/>
  <c r="AC33" i="152"/>
  <c r="Z33" i="152"/>
  <c r="AF33" i="153"/>
  <c r="AC33" i="153"/>
  <c r="AI33" i="152"/>
  <c r="BR33" i="152"/>
  <c r="AL33" i="153"/>
  <c r="AI33" i="153"/>
  <c r="BR33" i="153"/>
  <c r="AQ33" i="153"/>
  <c r="AR33" i="153" s="1"/>
  <c r="M34" i="153"/>
  <c r="BQ34" i="153"/>
  <c r="O34" i="153"/>
  <c r="V34" i="153"/>
  <c r="AB34" i="153"/>
  <c r="AH34" i="153"/>
  <c r="AN34" i="153"/>
  <c r="AK34" i="153"/>
  <c r="P34" i="153"/>
  <c r="AE34" i="153"/>
  <c r="BN34" i="153"/>
  <c r="BO34" i="153" s="1"/>
  <c r="R34" i="153"/>
  <c r="T34" i="153" s="1"/>
  <c r="Y34" i="153" s="1"/>
  <c r="BL34" i="153"/>
  <c r="K35" i="153"/>
  <c r="I39" i="153"/>
  <c r="P34" i="152"/>
  <c r="BN34" i="152"/>
  <c r="BO34" i="152" s="1"/>
  <c r="R34" i="152"/>
  <c r="T34" i="152" s="1"/>
  <c r="Y34" i="152" s="1"/>
  <c r="AE34" i="152"/>
  <c r="AK34" i="152"/>
  <c r="M34" i="152"/>
  <c r="O34" i="152"/>
  <c r="V34" i="152"/>
  <c r="AB34" i="152"/>
  <c r="AH34" i="152"/>
  <c r="AN34" i="152"/>
  <c r="BL34" i="152"/>
  <c r="BQ34" i="152"/>
  <c r="K35" i="152"/>
  <c r="AF33" i="152"/>
  <c r="I43" i="152"/>
  <c r="AO33" i="152"/>
  <c r="AQ33" i="152"/>
  <c r="AR33" i="152" s="1"/>
  <c r="AW28" i="63"/>
  <c r="AO30" i="150"/>
  <c r="AL30" i="150"/>
  <c r="AL30" i="105"/>
  <c r="AW30" i="146"/>
  <c r="BR30" i="150"/>
  <c r="AI26" i="17"/>
  <c r="BB26" i="17"/>
  <c r="AO26" i="13"/>
  <c r="BR26" i="13"/>
  <c r="AF30" i="150"/>
  <c r="BK27" i="110"/>
  <c r="BK27" i="126"/>
  <c r="BK27" i="115"/>
  <c r="AV30" i="105"/>
  <c r="AW30" i="105" s="1"/>
  <c r="AQ32" i="149"/>
  <c r="AR32" i="149" s="1"/>
  <c r="BA30" i="105"/>
  <c r="BB30" i="105" s="1"/>
  <c r="AC31" i="151"/>
  <c r="AQ31" i="151"/>
  <c r="AR31" i="151" s="1"/>
  <c r="AO31" i="151"/>
  <c r="AF31" i="151"/>
  <c r="K33" i="151"/>
  <c r="I34" i="151"/>
  <c r="AL31" i="151"/>
  <c r="AK32" i="151"/>
  <c r="AE32" i="151"/>
  <c r="R32" i="151"/>
  <c r="T32" i="151" s="1"/>
  <c r="Y32" i="151" s="1"/>
  <c r="AN32" i="151"/>
  <c r="AH32" i="151"/>
  <c r="AB32" i="151"/>
  <c r="V32" i="151"/>
  <c r="BQ32" i="151"/>
  <c r="M32" i="151"/>
  <c r="BN32" i="151"/>
  <c r="BO32" i="151" s="1"/>
  <c r="BL32" i="151"/>
  <c r="AC30" i="150"/>
  <c r="AQ30" i="150"/>
  <c r="AR30" i="150" s="1"/>
  <c r="I35" i="150"/>
  <c r="BQ31" i="150"/>
  <c r="AK31" i="150"/>
  <c r="AE31" i="150"/>
  <c r="R31" i="150"/>
  <c r="T31" i="150" s="1"/>
  <c r="Y31" i="150" s="1"/>
  <c r="P31" i="150"/>
  <c r="AB31" i="150"/>
  <c r="V31" i="150"/>
  <c r="AN31" i="150"/>
  <c r="AH31" i="150"/>
  <c r="M31" i="150"/>
  <c r="BN31" i="150"/>
  <c r="BO31" i="150" s="1"/>
  <c r="BL31" i="150"/>
  <c r="K32" i="150"/>
  <c r="V23" i="149"/>
  <c r="AC32" i="149"/>
  <c r="AN33" i="149"/>
  <c r="AH33" i="149"/>
  <c r="AB33" i="149"/>
  <c r="V33" i="149"/>
  <c r="BQ33" i="149"/>
  <c r="AK33" i="149"/>
  <c r="AE33" i="149"/>
  <c r="BN33" i="149"/>
  <c r="BO33" i="149" s="1"/>
  <c r="M33" i="149"/>
  <c r="BL33" i="149"/>
  <c r="BR32" i="149"/>
  <c r="AI32" i="149"/>
  <c r="I35" i="149"/>
  <c r="K34" i="149"/>
  <c r="AL32" i="149"/>
  <c r="AF32" i="149"/>
  <c r="AO32" i="149"/>
  <c r="W32" i="149"/>
  <c r="BL31" i="147"/>
  <c r="BH30" i="146"/>
  <c r="AW31" i="147"/>
  <c r="BA31" i="147"/>
  <c r="BB31" i="147" s="1"/>
  <c r="Z30" i="146"/>
  <c r="BK30" i="147"/>
  <c r="BR31" i="147"/>
  <c r="BD31" i="147"/>
  <c r="BE31" i="147" s="1"/>
  <c r="AF31" i="147"/>
  <c r="W21" i="147"/>
  <c r="O22" i="147"/>
  <c r="AC31" i="147"/>
  <c r="AI31" i="147"/>
  <c r="K33" i="147"/>
  <c r="AH33" i="147" s="1"/>
  <c r="I34" i="147"/>
  <c r="AE32" i="147"/>
  <c r="AT32" i="147"/>
  <c r="BD32" i="147" s="1"/>
  <c r="BQ32" i="147"/>
  <c r="AY32" i="147"/>
  <c r="BG32" i="147" s="1"/>
  <c r="AB32" i="147"/>
  <c r="M32" i="147"/>
  <c r="BJ32" i="147"/>
  <c r="BL30" i="146"/>
  <c r="I33" i="146"/>
  <c r="K32" i="146"/>
  <c r="AH32" i="146" s="1"/>
  <c r="AC30" i="146"/>
  <c r="BA30" i="146"/>
  <c r="BB30" i="146" s="1"/>
  <c r="BK29" i="146"/>
  <c r="BR30" i="146"/>
  <c r="AI30" i="146"/>
  <c r="W20" i="146"/>
  <c r="O21" i="146"/>
  <c r="AF30" i="146"/>
  <c r="BD30" i="146"/>
  <c r="BE30" i="146" s="1"/>
  <c r="AT31" i="146"/>
  <c r="BD31" i="146" s="1"/>
  <c r="AB31" i="146"/>
  <c r="BQ31" i="146"/>
  <c r="AY31" i="146"/>
  <c r="BG31" i="146" s="1"/>
  <c r="AE31" i="146"/>
  <c r="R31" i="146"/>
  <c r="T31" i="146" s="1"/>
  <c r="Y31" i="146" s="1"/>
  <c r="M31" i="146"/>
  <c r="BJ31" i="146"/>
  <c r="AW29" i="135"/>
  <c r="BB28" i="110"/>
  <c r="BR26" i="17"/>
  <c r="AF26" i="17"/>
  <c r="BG28" i="126"/>
  <c r="BH28" i="126" s="1"/>
  <c r="BE26" i="66"/>
  <c r="AL26" i="66"/>
  <c r="BH26" i="66"/>
  <c r="AF26" i="13"/>
  <c r="BB26" i="13"/>
  <c r="BB28" i="63"/>
  <c r="AL28" i="63"/>
  <c r="Z27" i="15"/>
  <c r="BA29" i="135"/>
  <c r="BB29" i="135" s="1"/>
  <c r="Z26" i="66"/>
  <c r="AI26" i="66"/>
  <c r="AF28" i="98"/>
  <c r="AC28" i="98"/>
  <c r="AV29" i="64"/>
  <c r="AW29" i="64" s="1"/>
  <c r="AI28" i="96"/>
  <c r="AO28" i="96"/>
  <c r="BR26" i="66"/>
  <c r="AF26" i="66"/>
  <c r="BG27" i="118"/>
  <c r="BH27" i="118" s="1"/>
  <c r="BE28" i="126"/>
  <c r="Z28" i="96"/>
  <c r="AW28" i="96"/>
  <c r="BD32" i="124"/>
  <c r="BE32" i="124" s="1"/>
  <c r="BG28" i="110"/>
  <c r="BH28" i="110" s="1"/>
  <c r="BR28" i="126"/>
  <c r="AW27" i="101"/>
  <c r="AQ30" i="136"/>
  <c r="AR30" i="136" s="1"/>
  <c r="AI30" i="136"/>
  <c r="BG28" i="98"/>
  <c r="BH28" i="98" s="1"/>
  <c r="AQ28" i="98"/>
  <c r="AR28" i="98" s="1"/>
  <c r="AW28" i="98"/>
  <c r="AO28" i="63"/>
  <c r="BE30" i="105"/>
  <c r="BG28" i="114"/>
  <c r="BH28" i="114" s="1"/>
  <c r="AO30" i="105"/>
  <c r="BH30" i="105"/>
  <c r="BE27" i="118"/>
  <c r="AI27" i="118"/>
  <c r="BB27" i="118"/>
  <c r="BD28" i="110"/>
  <c r="BE28" i="110" s="1"/>
  <c r="AV28" i="126"/>
  <c r="AW28" i="126" s="1"/>
  <c r="AO26" i="120"/>
  <c r="Z29" i="135"/>
  <c r="AF29" i="135"/>
  <c r="AI29" i="135"/>
  <c r="BD28" i="115"/>
  <c r="BE28" i="115" s="1"/>
  <c r="AC28" i="115"/>
  <c r="BG28" i="63"/>
  <c r="BH28" i="63" s="1"/>
  <c r="AI27" i="15"/>
  <c r="AL27" i="15"/>
  <c r="AL29" i="135"/>
  <c r="AO29" i="135"/>
  <c r="AV27" i="118"/>
  <c r="AW27" i="118" s="1"/>
  <c r="AC27" i="118"/>
  <c r="BG26" i="17"/>
  <c r="BH26" i="17" s="1"/>
  <c r="BB28" i="126"/>
  <c r="BL28" i="126"/>
  <c r="Z26" i="120"/>
  <c r="BD29" i="135"/>
  <c r="BE29" i="135" s="1"/>
  <c r="BR29" i="135"/>
  <c r="BH29" i="135"/>
  <c r="AC29" i="135"/>
  <c r="AC29" i="64"/>
  <c r="BA28" i="115"/>
  <c r="BB28" i="115" s="1"/>
  <c r="AC27" i="101"/>
  <c r="AF27" i="101"/>
  <c r="AO27" i="101"/>
  <c r="AV26" i="66"/>
  <c r="AW26" i="66" s="1"/>
  <c r="BD28" i="98"/>
  <c r="BE28" i="98" s="1"/>
  <c r="BG26" i="13"/>
  <c r="BH26" i="13" s="1"/>
  <c r="BD28" i="63"/>
  <c r="BE28" i="63" s="1"/>
  <c r="AI28" i="63"/>
  <c r="AF28" i="63"/>
  <c r="AW32" i="124"/>
  <c r="AL28" i="110"/>
  <c r="AF28" i="110"/>
  <c r="BB26" i="120"/>
  <c r="Z29" i="64"/>
  <c r="AQ28" i="96"/>
  <c r="AR28" i="96" s="1"/>
  <c r="Z27" i="101"/>
  <c r="AC30" i="136"/>
  <c r="AF30" i="136"/>
  <c r="AQ28" i="63"/>
  <c r="AR28" i="63" s="1"/>
  <c r="BB32" i="124"/>
  <c r="AL27" i="118"/>
  <c r="AF27" i="118"/>
  <c r="BR28" i="110"/>
  <c r="AW28" i="110"/>
  <c r="AI28" i="126"/>
  <c r="AO28" i="126"/>
  <c r="BE29" i="64"/>
  <c r="AL29" i="64"/>
  <c r="BB29" i="64"/>
  <c r="AL28" i="126"/>
  <c r="AQ26" i="66"/>
  <c r="AR26" i="66" s="1"/>
  <c r="BD28" i="114"/>
  <c r="BE28" i="114" s="1"/>
  <c r="AQ27" i="118"/>
  <c r="AR27" i="118" s="1"/>
  <c r="I34" i="126"/>
  <c r="AQ28" i="110"/>
  <c r="AR28" i="110" s="1"/>
  <c r="BL28" i="110"/>
  <c r="M30" i="135"/>
  <c r="AE30" i="135"/>
  <c r="V30" i="135"/>
  <c r="AB30" i="135"/>
  <c r="AH30" i="135"/>
  <c r="AK30" i="135"/>
  <c r="BL30" i="135"/>
  <c r="AN30" i="135"/>
  <c r="BN30" i="135"/>
  <c r="BO30" i="135" s="1"/>
  <c r="AY30" i="135"/>
  <c r="BA30" i="135" s="1"/>
  <c r="BQ30" i="135"/>
  <c r="AT30" i="135"/>
  <c r="AV30" i="135" s="1"/>
  <c r="R30" i="135"/>
  <c r="T30" i="135" s="1"/>
  <c r="Y30" i="135" s="1"/>
  <c r="I36" i="132"/>
  <c r="BL28" i="15"/>
  <c r="BN28" i="15"/>
  <c r="BO28" i="15" s="1"/>
  <c r="AN28" i="15"/>
  <c r="BQ28" i="15"/>
  <c r="M28" i="15"/>
  <c r="AK28" i="15"/>
  <c r="AE28" i="15"/>
  <c r="AB28" i="15"/>
  <c r="AH28" i="15"/>
  <c r="K29" i="15"/>
  <c r="AC27" i="15"/>
  <c r="I30" i="101"/>
  <c r="K29" i="101"/>
  <c r="AH29" i="101" s="1"/>
  <c r="BG26" i="120"/>
  <c r="BH26" i="120" s="1"/>
  <c r="AL26" i="120"/>
  <c r="AH27" i="120"/>
  <c r="K28" i="120"/>
  <c r="M27" i="120"/>
  <c r="BQ27" i="120"/>
  <c r="AK27" i="120"/>
  <c r="AN27" i="120"/>
  <c r="AB27" i="120"/>
  <c r="AE27" i="120"/>
  <c r="R27" i="120"/>
  <c r="T27" i="120" s="1"/>
  <c r="Y27" i="120" s="1"/>
  <c r="I33" i="104"/>
  <c r="BG29" i="64"/>
  <c r="BH29" i="64" s="1"/>
  <c r="BH28" i="115"/>
  <c r="AI28" i="115"/>
  <c r="AL28" i="115"/>
  <c r="BL27" i="13"/>
  <c r="BN27" i="13"/>
  <c r="BO27" i="13" s="1"/>
  <c r="M27" i="13"/>
  <c r="BQ27" i="13"/>
  <c r="AH27" i="13"/>
  <c r="AB27" i="13"/>
  <c r="AN27" i="13"/>
  <c r="AE27" i="13"/>
  <c r="AK27" i="13"/>
  <c r="R27" i="13"/>
  <c r="T27" i="13" s="1"/>
  <c r="Y27" i="13" s="1"/>
  <c r="BB28" i="96"/>
  <c r="AF28" i="96"/>
  <c r="AQ27" i="101"/>
  <c r="AR27" i="101" s="1"/>
  <c r="BA27" i="101"/>
  <c r="BB27" i="101" s="1"/>
  <c r="BR27" i="101"/>
  <c r="BL28" i="98"/>
  <c r="BR28" i="98"/>
  <c r="AL28" i="98"/>
  <c r="BG32" i="124"/>
  <c r="BH32" i="124" s="1"/>
  <c r="BL32" i="124"/>
  <c r="BR32" i="124"/>
  <c r="W32" i="124"/>
  <c r="M29" i="110"/>
  <c r="BJ29" i="110"/>
  <c r="AH29" i="110"/>
  <c r="AT29" i="110"/>
  <c r="BD29" i="110" s="1"/>
  <c r="AN29" i="110"/>
  <c r="AK29" i="110"/>
  <c r="AE29" i="110"/>
  <c r="AB29" i="110"/>
  <c r="AY29" i="110"/>
  <c r="BA29" i="110" s="1"/>
  <c r="BQ29" i="110"/>
  <c r="M31" i="105"/>
  <c r="BJ31" i="105"/>
  <c r="AB31" i="105"/>
  <c r="AE31" i="105"/>
  <c r="AT31" i="105"/>
  <c r="AV31" i="105" s="1"/>
  <c r="AY31" i="105"/>
  <c r="BA31" i="105" s="1"/>
  <c r="AH31" i="105"/>
  <c r="BQ31" i="105"/>
  <c r="AK31" i="105"/>
  <c r="AN31" i="105"/>
  <c r="K32" i="105"/>
  <c r="AI30" i="105"/>
  <c r="M29" i="114"/>
  <c r="BJ29" i="114"/>
  <c r="AB29" i="114"/>
  <c r="AT29" i="114"/>
  <c r="AV29" i="114" s="1"/>
  <c r="AN29" i="114"/>
  <c r="AE29" i="114"/>
  <c r="AY29" i="114"/>
  <c r="BA29" i="114" s="1"/>
  <c r="AH29" i="114"/>
  <c r="AK29" i="114"/>
  <c r="BQ29" i="114"/>
  <c r="K30" i="114"/>
  <c r="R29" i="114"/>
  <c r="T29" i="114" s="1"/>
  <c r="Y29" i="114" s="1"/>
  <c r="AQ28" i="114"/>
  <c r="AC28" i="114"/>
  <c r="BL28" i="114"/>
  <c r="K29" i="118"/>
  <c r="M28" i="118"/>
  <c r="AB28" i="118"/>
  <c r="AE28" i="118"/>
  <c r="AH28" i="118"/>
  <c r="AY28" i="118"/>
  <c r="BG28" i="118" s="1"/>
  <c r="AN28" i="118"/>
  <c r="AK28" i="118"/>
  <c r="BQ28" i="118"/>
  <c r="AT28" i="118"/>
  <c r="BD28" i="118" s="1"/>
  <c r="I32" i="135"/>
  <c r="K31" i="135"/>
  <c r="AQ26" i="17"/>
  <c r="AR26" i="17" s="1"/>
  <c r="M29" i="115"/>
  <c r="BJ29" i="115"/>
  <c r="BQ29" i="115"/>
  <c r="AH29" i="115"/>
  <c r="AE29" i="115"/>
  <c r="AN29" i="115"/>
  <c r="AT29" i="115"/>
  <c r="AV29" i="115" s="1"/>
  <c r="AB29" i="115"/>
  <c r="AK29" i="115"/>
  <c r="AY29" i="115"/>
  <c r="BG29" i="115" s="1"/>
  <c r="AR27" i="114"/>
  <c r="BK27" i="114"/>
  <c r="BK26" i="98"/>
  <c r="Z26" i="98"/>
  <c r="AQ26" i="120"/>
  <c r="AR26" i="120" s="1"/>
  <c r="AI26" i="120"/>
  <c r="AQ29" i="135"/>
  <c r="AR29" i="135" s="1"/>
  <c r="I35" i="136"/>
  <c r="M30" i="64"/>
  <c r="AY30" i="64"/>
  <c r="BA30" i="64" s="1"/>
  <c r="BN30" i="64"/>
  <c r="BO30" i="64" s="1"/>
  <c r="BL30" i="64"/>
  <c r="AB30" i="64"/>
  <c r="AE30" i="64"/>
  <c r="AH30" i="64"/>
  <c r="V30" i="64"/>
  <c r="AN30" i="64"/>
  <c r="AK30" i="64"/>
  <c r="BQ30" i="64"/>
  <c r="AT30" i="64"/>
  <c r="BD30" i="64" s="1"/>
  <c r="R30" i="64"/>
  <c r="T30" i="64" s="1"/>
  <c r="Y30" i="64" s="1"/>
  <c r="K31" i="64"/>
  <c r="AQ29" i="64"/>
  <c r="AR29" i="64" s="1"/>
  <c r="BR28" i="115"/>
  <c r="I29" i="13"/>
  <c r="K28" i="13"/>
  <c r="BA26" i="66"/>
  <c r="BB26" i="66" s="1"/>
  <c r="I38" i="95"/>
  <c r="K30" i="110"/>
  <c r="I31" i="110"/>
  <c r="BL27" i="66"/>
  <c r="M27" i="66"/>
  <c r="AE27" i="66"/>
  <c r="BN27" i="66"/>
  <c r="BO27" i="66" s="1"/>
  <c r="AY27" i="66"/>
  <c r="BA27" i="66" s="1"/>
  <c r="AH27" i="66"/>
  <c r="AN27" i="66"/>
  <c r="AK27" i="66"/>
  <c r="AB27" i="66"/>
  <c r="BQ27" i="66"/>
  <c r="R27" i="66"/>
  <c r="T27" i="66" s="1"/>
  <c r="Y27" i="66" s="1"/>
  <c r="AT27" i="66"/>
  <c r="BD27" i="66" s="1"/>
  <c r="AO28" i="110"/>
  <c r="Z26" i="17"/>
  <c r="AC26" i="17"/>
  <c r="AL26" i="17"/>
  <c r="I31" i="115"/>
  <c r="K30" i="115"/>
  <c r="R30" i="115" s="1"/>
  <c r="T27" i="98"/>
  <c r="Y27" i="98" s="1"/>
  <c r="R28" i="98"/>
  <c r="AQ27" i="15"/>
  <c r="AR27" i="15" s="1"/>
  <c r="BR27" i="15"/>
  <c r="AO27" i="15"/>
  <c r="M29" i="126"/>
  <c r="BJ29" i="126"/>
  <c r="AY29" i="126"/>
  <c r="BA29" i="126" s="1"/>
  <c r="AB29" i="126"/>
  <c r="AT29" i="126"/>
  <c r="BD29" i="126" s="1"/>
  <c r="AN29" i="126"/>
  <c r="AE29" i="126"/>
  <c r="AK29" i="126"/>
  <c r="BQ29" i="126"/>
  <c r="R29" i="126"/>
  <c r="T29" i="126" s="1"/>
  <c r="Y29" i="126" s="1"/>
  <c r="K30" i="126"/>
  <c r="AH33" i="126" s="1"/>
  <c r="AQ28" i="126"/>
  <c r="AR28" i="126" s="1"/>
  <c r="BR26" i="120"/>
  <c r="AC26" i="120"/>
  <c r="AI29" i="64"/>
  <c r="BR29" i="64"/>
  <c r="AQ28" i="115"/>
  <c r="AR28" i="115" s="1"/>
  <c r="AF28" i="115"/>
  <c r="BL28" i="115"/>
  <c r="BD28" i="96"/>
  <c r="BE28" i="96" s="1"/>
  <c r="AL28" i="96"/>
  <c r="I44" i="133"/>
  <c r="AI27" i="101"/>
  <c r="AL27" i="101"/>
  <c r="BR30" i="136"/>
  <c r="W30" i="136"/>
  <c r="I34" i="63"/>
  <c r="AI28" i="98"/>
  <c r="M29" i="98"/>
  <c r="K30" i="98"/>
  <c r="AE29" i="98"/>
  <c r="AY29" i="98"/>
  <c r="BA29" i="98" s="1"/>
  <c r="AB29" i="98"/>
  <c r="AK29" i="98"/>
  <c r="AT29" i="98"/>
  <c r="AV29" i="98" s="1"/>
  <c r="BJ29" i="98"/>
  <c r="AN29" i="98"/>
  <c r="AH29" i="98"/>
  <c r="BQ29" i="98"/>
  <c r="AQ26" i="13"/>
  <c r="AR26" i="13" s="1"/>
  <c r="I31" i="96"/>
  <c r="K30" i="96"/>
  <c r="AC32" i="124"/>
  <c r="AI32" i="124"/>
  <c r="K34" i="124"/>
  <c r="AH34" i="124" s="1"/>
  <c r="M33" i="124"/>
  <c r="BJ33" i="124"/>
  <c r="V33" i="124"/>
  <c r="AB33" i="124"/>
  <c r="AT33" i="124"/>
  <c r="AV33" i="124" s="1"/>
  <c r="AE33" i="124"/>
  <c r="AY33" i="124"/>
  <c r="BA33" i="124" s="1"/>
  <c r="BQ33" i="124"/>
  <c r="BN27" i="17"/>
  <c r="BO27" i="17" s="1"/>
  <c r="BL27" i="17"/>
  <c r="M27" i="17"/>
  <c r="AB27" i="17"/>
  <c r="AH27" i="17"/>
  <c r="AN27" i="17"/>
  <c r="AK27" i="17"/>
  <c r="AE27" i="17"/>
  <c r="BQ27" i="17"/>
  <c r="R27" i="17"/>
  <c r="T27" i="17" s="1"/>
  <c r="Y27" i="17" s="1"/>
  <c r="AQ30" i="105"/>
  <c r="AR30" i="105" s="1"/>
  <c r="BL30" i="105"/>
  <c r="BR30" i="105"/>
  <c r="AF30" i="105"/>
  <c r="K28" i="66"/>
  <c r="I29" i="66"/>
  <c r="I35" i="114"/>
  <c r="AF28" i="114"/>
  <c r="AW28" i="114"/>
  <c r="Z28" i="126"/>
  <c r="M28" i="101"/>
  <c r="AI28" i="101" s="1"/>
  <c r="BQ28" i="101"/>
  <c r="AN28" i="101"/>
  <c r="AE28" i="101"/>
  <c r="AB28" i="101"/>
  <c r="AY28" i="101"/>
  <c r="BA28" i="101" s="1"/>
  <c r="AK28" i="101"/>
  <c r="AT28" i="101"/>
  <c r="BD28" i="101" s="1"/>
  <c r="R28" i="101"/>
  <c r="T28" i="101" s="1"/>
  <c r="Y28" i="101" s="1"/>
  <c r="AF26" i="120"/>
  <c r="AC28" i="96"/>
  <c r="M31" i="136"/>
  <c r="BL31" i="136"/>
  <c r="BN31" i="136"/>
  <c r="BO31" i="136" s="1"/>
  <c r="AE31" i="136"/>
  <c r="AN31" i="136"/>
  <c r="AH31" i="136"/>
  <c r="AK31" i="136"/>
  <c r="AB31" i="136"/>
  <c r="V31" i="136"/>
  <c r="BQ31" i="136"/>
  <c r="K32" i="136"/>
  <c r="I33" i="15"/>
  <c r="M29" i="63"/>
  <c r="BN29" i="63"/>
  <c r="BO29" i="63" s="1"/>
  <c r="BL29" i="63"/>
  <c r="AH29" i="63"/>
  <c r="AK29" i="63"/>
  <c r="AB29" i="63"/>
  <c r="AN29" i="63"/>
  <c r="AY29" i="63"/>
  <c r="BG29" i="63" s="1"/>
  <c r="AE29" i="63"/>
  <c r="BQ29" i="63"/>
  <c r="K30" i="63"/>
  <c r="AT29" i="63"/>
  <c r="AK29" i="96"/>
  <c r="BN29" i="96"/>
  <c r="BO29" i="96" s="1"/>
  <c r="M29" i="96"/>
  <c r="AB29" i="96"/>
  <c r="BL29" i="96"/>
  <c r="AN29" i="96"/>
  <c r="BG29" i="96"/>
  <c r="AT29" i="96"/>
  <c r="AV29" i="96" s="1"/>
  <c r="AE29" i="96"/>
  <c r="AH29" i="96"/>
  <c r="BQ29" i="96"/>
  <c r="BA29" i="96"/>
  <c r="R29" i="96"/>
  <c r="T29" i="96" s="1"/>
  <c r="Y29" i="96" s="1"/>
  <c r="I85" i="99"/>
  <c r="I29" i="17"/>
  <c r="K28" i="17"/>
  <c r="I35" i="64"/>
  <c r="I36" i="105"/>
  <c r="BR28" i="114"/>
  <c r="AL28" i="114"/>
  <c r="AO28" i="114"/>
  <c r="V20" i="95"/>
  <c r="R29" i="104"/>
  <c r="T28" i="104"/>
  <c r="Y28" i="104" s="1"/>
  <c r="R29" i="15"/>
  <c r="T28" i="15"/>
  <c r="Y28" i="15" s="1"/>
  <c r="BK27" i="104"/>
  <c r="Z27" i="104"/>
  <c r="T28" i="136"/>
  <c r="Y28" i="136" s="1"/>
  <c r="Z28" i="136" s="1"/>
  <c r="R29" i="136"/>
  <c r="T30" i="124"/>
  <c r="Y30" i="124" s="1"/>
  <c r="R31" i="124"/>
  <c r="BK29" i="124"/>
  <c r="Z29" i="124"/>
  <c r="T29" i="63"/>
  <c r="Y29" i="63" s="1"/>
  <c r="Z28" i="110"/>
  <c r="W19" i="98"/>
  <c r="O20" i="98"/>
  <c r="R30" i="110"/>
  <c r="T29" i="110"/>
  <c r="Y29" i="110" s="1"/>
  <c r="P21" i="115"/>
  <c r="V21" i="114"/>
  <c r="P21" i="106"/>
  <c r="P19" i="99"/>
  <c r="P21" i="129"/>
  <c r="T27" i="99"/>
  <c r="Y27" i="99" s="1"/>
  <c r="R28" i="99"/>
  <c r="V20" i="126"/>
  <c r="Z27" i="105"/>
  <c r="BK27" i="105"/>
  <c r="W19" i="107"/>
  <c r="O20" i="107"/>
  <c r="Z26" i="99"/>
  <c r="BK26" i="99"/>
  <c r="W18" i="105"/>
  <c r="O19" i="105"/>
  <c r="T28" i="107"/>
  <c r="Y28" i="107" s="1"/>
  <c r="R29" i="107"/>
  <c r="P23" i="124"/>
  <c r="R29" i="105"/>
  <c r="T28" i="105"/>
  <c r="Y28" i="105" s="1"/>
  <c r="V20" i="13"/>
  <c r="P22" i="101"/>
  <c r="V20" i="66"/>
  <c r="P20" i="130"/>
  <c r="BK27" i="107"/>
  <c r="Z27" i="107"/>
  <c r="V19" i="120"/>
  <c r="W19" i="118"/>
  <c r="O20" i="118"/>
  <c r="T28" i="118"/>
  <c r="Y28" i="118" s="1"/>
  <c r="R29" i="118"/>
  <c r="P21" i="104"/>
  <c r="V19" i="112"/>
  <c r="V21" i="96"/>
  <c r="V19" i="136"/>
  <c r="V22" i="64"/>
  <c r="V20" i="15"/>
  <c r="W20" i="110"/>
  <c r="O21" i="110"/>
  <c r="Z28" i="115"/>
  <c r="V19" i="135"/>
  <c r="T29" i="115"/>
  <c r="Y29" i="115" s="1"/>
  <c r="W19" i="63"/>
  <c r="O20" i="63"/>
  <c r="W20" i="17"/>
  <c r="O21" i="17"/>
  <c r="Z28" i="15" l="1"/>
  <c r="AW30" i="135"/>
  <c r="AL30" i="99"/>
  <c r="Z28" i="106"/>
  <c r="AC29" i="98"/>
  <c r="AW28" i="106"/>
  <c r="BH29" i="96"/>
  <c r="AC28" i="112"/>
  <c r="AI28" i="106"/>
  <c r="AC30" i="99"/>
  <c r="AO30" i="99"/>
  <c r="AC28" i="15"/>
  <c r="AL28" i="104"/>
  <c r="BR30" i="99"/>
  <c r="AF30" i="99"/>
  <c r="BG26" i="133"/>
  <c r="BH26" i="133" s="1"/>
  <c r="BA26" i="153"/>
  <c r="BB26" i="153" s="1"/>
  <c r="AV21" i="130"/>
  <c r="AW21" i="130" s="1"/>
  <c r="AY27" i="155"/>
  <c r="AN33" i="107"/>
  <c r="AT33" i="107"/>
  <c r="BQ33" i="107"/>
  <c r="AK33" i="107"/>
  <c r="AB33" i="107"/>
  <c r="AH33" i="107"/>
  <c r="AY33" i="107"/>
  <c r="V33" i="107"/>
  <c r="AE33" i="107"/>
  <c r="BJ33" i="107"/>
  <c r="BL33" i="107" s="1"/>
  <c r="M33" i="107"/>
  <c r="AL27" i="17"/>
  <c r="AT22" i="136"/>
  <c r="AV22" i="136" s="1"/>
  <c r="AW22" i="136" s="1"/>
  <c r="AO29" i="110"/>
  <c r="AY27" i="120"/>
  <c r="BG27" i="120" s="1"/>
  <c r="AY27" i="130"/>
  <c r="AY27" i="153"/>
  <c r="BG27" i="153" s="1"/>
  <c r="BH27" i="153" s="1"/>
  <c r="I35" i="107"/>
  <c r="K34" i="107"/>
  <c r="BL32" i="107"/>
  <c r="AV32" i="107"/>
  <c r="AW32" i="107" s="1"/>
  <c r="BD32" i="107"/>
  <c r="BE32" i="107" s="1"/>
  <c r="AY27" i="17"/>
  <c r="BA27" i="17" s="1"/>
  <c r="BB27" i="17" s="1"/>
  <c r="AF32" i="107"/>
  <c r="Z27" i="13"/>
  <c r="AY27" i="152"/>
  <c r="BG27" i="152" s="1"/>
  <c r="BH27" i="152" s="1"/>
  <c r="BD30" i="99"/>
  <c r="BE30" i="99" s="1"/>
  <c r="AV30" i="99"/>
  <c r="AW30" i="99" s="1"/>
  <c r="BL30" i="99"/>
  <c r="AC32" i="107"/>
  <c r="AL32" i="107"/>
  <c r="BJ31" i="99"/>
  <c r="M31" i="99"/>
  <c r="AE31" i="99"/>
  <c r="K32" i="99"/>
  <c r="AH31" i="99"/>
  <c r="AK31" i="99"/>
  <c r="BQ31" i="99"/>
  <c r="AB31" i="99"/>
  <c r="AC31" i="99" s="1"/>
  <c r="AN31" i="99"/>
  <c r="AY31" i="99"/>
  <c r="BA31" i="99" s="1"/>
  <c r="AT31" i="99"/>
  <c r="AI32" i="107"/>
  <c r="AQ32" i="107"/>
  <c r="AR32" i="107" s="1"/>
  <c r="AY27" i="13"/>
  <c r="BA27" i="13" s="1"/>
  <c r="W32" i="107"/>
  <c r="AW31" i="105"/>
  <c r="BB29" i="110"/>
  <c r="AY27" i="136"/>
  <c r="BG27" i="136" s="1"/>
  <c r="BH27" i="136" s="1"/>
  <c r="AF27" i="95"/>
  <c r="AQ30" i="99"/>
  <c r="AR30" i="99" s="1"/>
  <c r="AI30" i="99"/>
  <c r="AN31" i="132"/>
  <c r="AO31" i="132" s="1"/>
  <c r="AY31" i="132"/>
  <c r="BA31" i="132"/>
  <c r="BB31" i="132" s="1"/>
  <c r="M31" i="132"/>
  <c r="V31" i="132"/>
  <c r="W31" i="132" s="1"/>
  <c r="Y31" i="132"/>
  <c r="Z31" i="132" s="1"/>
  <c r="P31" i="132"/>
  <c r="AK31" i="132"/>
  <c r="AL31" i="132" s="1"/>
  <c r="BG31" i="132"/>
  <c r="BH31" i="132" s="1"/>
  <c r="AH31" i="132"/>
  <c r="AI31" i="132" s="1"/>
  <c r="R31" i="132"/>
  <c r="T31" i="132" s="1"/>
  <c r="O31" i="132"/>
  <c r="AT31" i="132"/>
  <c r="AB31" i="132"/>
  <c r="AC31" i="132" s="1"/>
  <c r="K32" i="132"/>
  <c r="AE31" i="132"/>
  <c r="AF31" i="132" s="1"/>
  <c r="AV31" i="132"/>
  <c r="AW31" i="132" s="1"/>
  <c r="BD31" i="132"/>
  <c r="BE31" i="132" s="1"/>
  <c r="BN31" i="132"/>
  <c r="BO31" i="132" s="1"/>
  <c r="BL31" i="132"/>
  <c r="AQ31" i="132"/>
  <c r="AR31" i="132" s="1"/>
  <c r="BQ31" i="132"/>
  <c r="BR31" i="132" s="1"/>
  <c r="AO32" i="107"/>
  <c r="BG30" i="99"/>
  <c r="BH30" i="99" s="1"/>
  <c r="BA30" i="99"/>
  <c r="BB30" i="99" s="1"/>
  <c r="BR32" i="107"/>
  <c r="BA32" i="107"/>
  <c r="BB32" i="107" s="1"/>
  <c r="BG32" i="107"/>
  <c r="BH32" i="107" s="1"/>
  <c r="BG26" i="151"/>
  <c r="BH26" i="151" s="1"/>
  <c r="R33" i="149"/>
  <c r="T33" i="149" s="1"/>
  <c r="Y33" i="149" s="1"/>
  <c r="Z33" i="149" s="1"/>
  <c r="BA26" i="136"/>
  <c r="BB26" i="136" s="1"/>
  <c r="BG29" i="129"/>
  <c r="BH29" i="129" s="1"/>
  <c r="BA26" i="152"/>
  <c r="BB26" i="152" s="1"/>
  <c r="BA26" i="150"/>
  <c r="BB26" i="150" s="1"/>
  <c r="Z27" i="95"/>
  <c r="BH27" i="95"/>
  <c r="BR27" i="95"/>
  <c r="Z28" i="118"/>
  <c r="Z29" i="63"/>
  <c r="AL27" i="95"/>
  <c r="AW27" i="95"/>
  <c r="AO27" i="95"/>
  <c r="AL29" i="130"/>
  <c r="AF29" i="129"/>
  <c r="AF28" i="112"/>
  <c r="Z28" i="112"/>
  <c r="AL28" i="112"/>
  <c r="BH28" i="106"/>
  <c r="BA28" i="104"/>
  <c r="BB28" i="104" s="1"/>
  <c r="AF28" i="104"/>
  <c r="AC28" i="104"/>
  <c r="AO28" i="104"/>
  <c r="R32" i="147"/>
  <c r="T32" i="147" s="1"/>
  <c r="Y32" i="147" s="1"/>
  <c r="Z32" i="147" s="1"/>
  <c r="AR29" i="129"/>
  <c r="BB28" i="106"/>
  <c r="AF28" i="106"/>
  <c r="AC28" i="106"/>
  <c r="AQ27" i="95"/>
  <c r="AR27" i="95" s="1"/>
  <c r="AQ28" i="104"/>
  <c r="AR28" i="104" s="1"/>
  <c r="AI28" i="104"/>
  <c r="V18" i="156"/>
  <c r="R26" i="156"/>
  <c r="T25" i="156"/>
  <c r="Y25" i="156" s="1"/>
  <c r="Z25" i="156" s="1"/>
  <c r="BR29" i="110"/>
  <c r="AC29" i="129"/>
  <c r="AO28" i="112"/>
  <c r="BR28" i="112"/>
  <c r="BR28" i="106"/>
  <c r="AO28" i="106"/>
  <c r="BR28" i="104"/>
  <c r="BH28" i="104"/>
  <c r="AW28" i="104"/>
  <c r="BR33" i="156"/>
  <c r="O32" i="163"/>
  <c r="O33" i="163" s="1"/>
  <c r="O34" i="163" s="1"/>
  <c r="O35" i="163" s="1"/>
  <c r="O36" i="163" s="1"/>
  <c r="O37" i="163" s="1"/>
  <c r="O38" i="163" s="1"/>
  <c r="O39" i="163" s="1"/>
  <c r="O31" i="161"/>
  <c r="V31" i="161" s="1"/>
  <c r="W31" i="161" s="1"/>
  <c r="P32" i="161"/>
  <c r="P33" i="161" s="1"/>
  <c r="P34" i="161" s="1"/>
  <c r="P35" i="161" s="1"/>
  <c r="P36" i="161" s="1"/>
  <c r="P37" i="161" s="1"/>
  <c r="P38" i="161" s="1"/>
  <c r="P39" i="161" s="1"/>
  <c r="K65" i="161"/>
  <c r="BQ65" i="161" s="1"/>
  <c r="I66" i="161"/>
  <c r="BD64" i="161"/>
  <c r="BE64" i="161" s="1"/>
  <c r="AQ64" i="161"/>
  <c r="AR64" i="161" s="1"/>
  <c r="AK64" i="161"/>
  <c r="AL64" i="161" s="1"/>
  <c r="AE64" i="161"/>
  <c r="AF64" i="161" s="1"/>
  <c r="Y64" i="161"/>
  <c r="Z64" i="161" s="1"/>
  <c r="R64" i="161"/>
  <c r="T64" i="161" s="1"/>
  <c r="AV64" i="161"/>
  <c r="AW64" i="161" s="1"/>
  <c r="P64" i="161"/>
  <c r="BG64" i="161"/>
  <c r="BH64" i="161" s="1"/>
  <c r="BA64" i="161"/>
  <c r="BB64" i="161" s="1"/>
  <c r="AT64" i="161"/>
  <c r="AN64" i="161"/>
  <c r="AO64" i="161" s="1"/>
  <c r="AH64" i="161"/>
  <c r="AI64" i="161" s="1"/>
  <c r="AB64" i="161"/>
  <c r="AC64" i="161" s="1"/>
  <c r="V64" i="161"/>
  <c r="W64" i="161" s="1"/>
  <c r="O64" i="161"/>
  <c r="AY64" i="161"/>
  <c r="BR64" i="161"/>
  <c r="BK64" i="161"/>
  <c r="BN64" i="161"/>
  <c r="BO64" i="161" s="1"/>
  <c r="M64" i="161"/>
  <c r="BJ64" i="161"/>
  <c r="BL64" i="161" s="1"/>
  <c r="AR27" i="112"/>
  <c r="BK27" i="112"/>
  <c r="AC33" i="124"/>
  <c r="AO29" i="98"/>
  <c r="BE29" i="126"/>
  <c r="AO29" i="114"/>
  <c r="AI30" i="135"/>
  <c r="AI34" i="152"/>
  <c r="AF29" i="130"/>
  <c r="AR27" i="106"/>
  <c r="BK27" i="106"/>
  <c r="AO29" i="129"/>
  <c r="AL29" i="129"/>
  <c r="AV28" i="112"/>
  <c r="AW28" i="112" s="1"/>
  <c r="BD28" i="112"/>
  <c r="BE28" i="112" s="1"/>
  <c r="AQ28" i="106"/>
  <c r="BD27" i="95"/>
  <c r="BE27" i="95" s="1"/>
  <c r="AN29" i="104"/>
  <c r="AT29" i="104"/>
  <c r="AV29" i="104" s="1"/>
  <c r="AK29" i="104"/>
  <c r="BQ29" i="104"/>
  <c r="M29" i="104"/>
  <c r="AE29" i="104"/>
  <c r="K30" i="104"/>
  <c r="BJ29" i="104"/>
  <c r="AB29" i="104"/>
  <c r="AH29" i="104"/>
  <c r="AI29" i="104" s="1"/>
  <c r="AY29" i="104"/>
  <c r="BA29" i="104" s="1"/>
  <c r="BB29" i="104" s="1"/>
  <c r="BL28" i="104"/>
  <c r="I33" i="106"/>
  <c r="AL33" i="156"/>
  <c r="M32" i="133"/>
  <c r="O32" i="133"/>
  <c r="AQ32" i="133"/>
  <c r="AR32" i="133" s="1"/>
  <c r="AN32" i="133"/>
  <c r="AO32" i="133" s="1"/>
  <c r="BN32" i="133"/>
  <c r="BO32" i="133" s="1"/>
  <c r="AE32" i="133"/>
  <c r="AF32" i="133" s="1"/>
  <c r="BQ32" i="133"/>
  <c r="BR32" i="133" s="1"/>
  <c r="BA32" i="133"/>
  <c r="BB32" i="133" s="1"/>
  <c r="AH32" i="133"/>
  <c r="AI32" i="133" s="1"/>
  <c r="AB32" i="133"/>
  <c r="AC32" i="133" s="1"/>
  <c r="BD32" i="133"/>
  <c r="BE32" i="133" s="1"/>
  <c r="K33" i="133"/>
  <c r="V32" i="133"/>
  <c r="W32" i="133" s="1"/>
  <c r="Y32" i="133"/>
  <c r="Z32" i="133" s="1"/>
  <c r="R32" i="133"/>
  <c r="T32" i="133" s="1"/>
  <c r="P32" i="133"/>
  <c r="AT32" i="133"/>
  <c r="AV32" i="133"/>
  <c r="AW32" i="133" s="1"/>
  <c r="BL32" i="133"/>
  <c r="AY32" i="133"/>
  <c r="BG32" i="133"/>
  <c r="BH32" i="133" s="1"/>
  <c r="AK32" i="133"/>
  <c r="AL32" i="133" s="1"/>
  <c r="AI27" i="66"/>
  <c r="AC30" i="64"/>
  <c r="AF29" i="115"/>
  <c r="BH28" i="118"/>
  <c r="Z29" i="130"/>
  <c r="BR29" i="130"/>
  <c r="I36" i="156"/>
  <c r="K35" i="156"/>
  <c r="AI28" i="112"/>
  <c r="AQ28" i="112"/>
  <c r="AC33" i="156"/>
  <c r="AO33" i="156"/>
  <c r="AL29" i="63"/>
  <c r="AL29" i="114"/>
  <c r="AF27" i="120"/>
  <c r="AC29" i="130"/>
  <c r="AY27" i="133"/>
  <c r="BA27" i="133" s="1"/>
  <c r="BB27" i="133" s="1"/>
  <c r="AN34" i="156"/>
  <c r="M34" i="156"/>
  <c r="BL34" i="156"/>
  <c r="BN34" i="156"/>
  <c r="BO34" i="156" s="1"/>
  <c r="V34" i="156"/>
  <c r="AE34" i="156"/>
  <c r="AB34" i="156"/>
  <c r="AK34" i="156"/>
  <c r="AL34" i="156" s="1"/>
  <c r="AH34" i="156"/>
  <c r="BQ34" i="156"/>
  <c r="Z29" i="129"/>
  <c r="BB29" i="129"/>
  <c r="AI29" i="129"/>
  <c r="BA28" i="112"/>
  <c r="BB28" i="112" s="1"/>
  <c r="BG28" i="112"/>
  <c r="BH28" i="112" s="1"/>
  <c r="BD28" i="106"/>
  <c r="BE28" i="106" s="1"/>
  <c r="AL28" i="106"/>
  <c r="BL28" i="106"/>
  <c r="BB27" i="95"/>
  <c r="AI27" i="95"/>
  <c r="AC27" i="95"/>
  <c r="BD28" i="104"/>
  <c r="BE28" i="104" s="1"/>
  <c r="AI33" i="156"/>
  <c r="AQ33" i="156"/>
  <c r="AR33" i="156" s="1"/>
  <c r="AF33" i="156"/>
  <c r="AO31" i="136"/>
  <c r="BE28" i="101"/>
  <c r="BR27" i="66"/>
  <c r="AO30" i="64"/>
  <c r="AL29" i="115"/>
  <c r="BB27" i="13"/>
  <c r="AC27" i="120"/>
  <c r="W34" i="153"/>
  <c r="BD29" i="129"/>
  <c r="BE29" i="129" s="1"/>
  <c r="AV29" i="129"/>
  <c r="AW29" i="129" s="1"/>
  <c r="AE30" i="129"/>
  <c r="AB30" i="129"/>
  <c r="AK30" i="129"/>
  <c r="AY30" i="129"/>
  <c r="BA30" i="129" s="1"/>
  <c r="BQ30" i="129"/>
  <c r="AH30" i="129"/>
  <c r="BL30" i="129"/>
  <c r="M30" i="129"/>
  <c r="V30" i="129"/>
  <c r="K31" i="129"/>
  <c r="BN30" i="129"/>
  <c r="BO30" i="129" s="1"/>
  <c r="AN30" i="129"/>
  <c r="AT30" i="129"/>
  <c r="R30" i="129"/>
  <c r="T30" i="129" s="1"/>
  <c r="Y30" i="129" s="1"/>
  <c r="BR29" i="129"/>
  <c r="W33" i="156"/>
  <c r="AF29" i="63"/>
  <c r="AF33" i="124"/>
  <c r="AO27" i="120"/>
  <c r="AO29" i="130"/>
  <c r="AT29" i="112"/>
  <c r="AK29" i="112"/>
  <c r="AB29" i="112"/>
  <c r="BQ29" i="112"/>
  <c r="BR29" i="112" s="1"/>
  <c r="AN29" i="112"/>
  <c r="R29" i="112"/>
  <c r="T29" i="112" s="1"/>
  <c r="Y29" i="112" s="1"/>
  <c r="BJ29" i="112"/>
  <c r="AE29" i="112"/>
  <c r="K30" i="112"/>
  <c r="AY29" i="112"/>
  <c r="M29" i="112"/>
  <c r="AH29" i="112"/>
  <c r="M29" i="106"/>
  <c r="BJ29" i="106"/>
  <c r="AB29" i="106"/>
  <c r="AT29" i="106"/>
  <c r="AV29" i="106" s="1"/>
  <c r="AW29" i="106" s="1"/>
  <c r="AY29" i="106"/>
  <c r="BA29" i="106" s="1"/>
  <c r="AE29" i="106"/>
  <c r="AN29" i="106"/>
  <c r="AH29" i="106"/>
  <c r="AK29" i="106"/>
  <c r="BQ29" i="106"/>
  <c r="K30" i="106"/>
  <c r="R29" i="106"/>
  <c r="T29" i="106" s="1"/>
  <c r="Y29" i="106" s="1"/>
  <c r="AT28" i="95"/>
  <c r="BD28" i="95" s="1"/>
  <c r="AN28" i="95"/>
  <c r="AH28" i="95"/>
  <c r="BA28" i="95"/>
  <c r="AE28" i="95"/>
  <c r="BQ28" i="95"/>
  <c r="M28" i="95"/>
  <c r="AK28" i="95"/>
  <c r="K29" i="95"/>
  <c r="BN28" i="95"/>
  <c r="BO28" i="95" s="1"/>
  <c r="BG28" i="95"/>
  <c r="BL28" i="95"/>
  <c r="AB28" i="95"/>
  <c r="R28" i="95"/>
  <c r="T28" i="95" s="1"/>
  <c r="Y28" i="95" s="1"/>
  <c r="AT22" i="133"/>
  <c r="BD22" i="133" s="1"/>
  <c r="BE22" i="133" s="1"/>
  <c r="AT22" i="17"/>
  <c r="AV22" i="17" s="1"/>
  <c r="AW22" i="17" s="1"/>
  <c r="BH27" i="120"/>
  <c r="BE31" i="146"/>
  <c r="BH32" i="147"/>
  <c r="Z31" i="150"/>
  <c r="AT22" i="150"/>
  <c r="AT22" i="156"/>
  <c r="AI29" i="130"/>
  <c r="AQ29" i="130"/>
  <c r="AR29" i="130" s="1"/>
  <c r="BL30" i="130"/>
  <c r="M30" i="130"/>
  <c r="BN30" i="130"/>
  <c r="BO30" i="130" s="1"/>
  <c r="K31" i="130"/>
  <c r="BQ30" i="130"/>
  <c r="V30" i="130"/>
  <c r="AK30" i="130"/>
  <c r="AB30" i="130"/>
  <c r="AN30" i="130"/>
  <c r="AE30" i="130"/>
  <c r="AF30" i="130" s="1"/>
  <c r="AH30" i="130"/>
  <c r="R30" i="130"/>
  <c r="T30" i="130" s="1"/>
  <c r="Y30" i="130" s="1"/>
  <c r="BA26" i="15"/>
  <c r="BB26" i="15" s="1"/>
  <c r="BG26" i="15"/>
  <c r="BH26" i="15" s="1"/>
  <c r="BA27" i="130"/>
  <c r="BB27" i="130" s="1"/>
  <c r="BG27" i="130"/>
  <c r="BH27" i="130" s="1"/>
  <c r="BA26" i="130"/>
  <c r="BB26" i="130" s="1"/>
  <c r="BG26" i="130"/>
  <c r="BH26" i="130" s="1"/>
  <c r="BA27" i="136"/>
  <c r="BB27" i="136" s="1"/>
  <c r="BA27" i="150"/>
  <c r="BB27" i="150" s="1"/>
  <c r="BG27" i="150"/>
  <c r="BH27" i="150" s="1"/>
  <c r="BG27" i="151"/>
  <c r="BH27" i="151" s="1"/>
  <c r="BA27" i="151"/>
  <c r="BB27" i="151" s="1"/>
  <c r="BG27" i="155"/>
  <c r="BH27" i="155" s="1"/>
  <c r="BA27" i="155"/>
  <c r="BB27" i="155" s="1"/>
  <c r="BA26" i="149"/>
  <c r="BB26" i="149" s="1"/>
  <c r="BG26" i="149"/>
  <c r="BH26" i="149" s="1"/>
  <c r="BA26" i="156"/>
  <c r="BB26" i="156" s="1"/>
  <c r="BG26" i="156"/>
  <c r="BH26" i="156" s="1"/>
  <c r="A32" i="7"/>
  <c r="AY27" i="156"/>
  <c r="AY28" i="152"/>
  <c r="AY28" i="155"/>
  <c r="AY28" i="133"/>
  <c r="AY28" i="136"/>
  <c r="AY27" i="15"/>
  <c r="BD21" i="156"/>
  <c r="BE21" i="156" s="1"/>
  <c r="AV21" i="156"/>
  <c r="AW21" i="156" s="1"/>
  <c r="AV21" i="150"/>
  <c r="AW21" i="150" s="1"/>
  <c r="BD21" i="150"/>
  <c r="BE21" i="150" s="1"/>
  <c r="AL29" i="126"/>
  <c r="Z29" i="114"/>
  <c r="AC29" i="110"/>
  <c r="BE32" i="147"/>
  <c r="AF29" i="110"/>
  <c r="Z31" i="146"/>
  <c r="W31" i="150"/>
  <c r="T24" i="155"/>
  <c r="Y24" i="155" s="1"/>
  <c r="Z24" i="155" s="1"/>
  <c r="R25" i="155"/>
  <c r="P18" i="155"/>
  <c r="AL29" i="110"/>
  <c r="AI29" i="110"/>
  <c r="AT22" i="15"/>
  <c r="AV22" i="15" s="1"/>
  <c r="AW22" i="15" s="1"/>
  <c r="AF34" i="153"/>
  <c r="AO34" i="153"/>
  <c r="AI34" i="153"/>
  <c r="BR34" i="153"/>
  <c r="Z34" i="153"/>
  <c r="AL34" i="153"/>
  <c r="AC34" i="153"/>
  <c r="AQ34" i="155"/>
  <c r="AR34" i="155" s="1"/>
  <c r="O25" i="151"/>
  <c r="BR34" i="155"/>
  <c r="AL34" i="155"/>
  <c r="W34" i="155"/>
  <c r="AO34" i="155"/>
  <c r="AF34" i="155"/>
  <c r="AI34" i="155"/>
  <c r="K36" i="155"/>
  <c r="I37" i="155"/>
  <c r="AC34" i="155"/>
  <c r="M35" i="155"/>
  <c r="BQ35" i="155"/>
  <c r="BN35" i="155"/>
  <c r="BO35" i="155" s="1"/>
  <c r="V35" i="155"/>
  <c r="AH35" i="155"/>
  <c r="AK35" i="155"/>
  <c r="AB35" i="155"/>
  <c r="AN35" i="155"/>
  <c r="AE35" i="155"/>
  <c r="BL35" i="155"/>
  <c r="AT22" i="130"/>
  <c r="AV22" i="130" s="1"/>
  <c r="AW22" i="130" s="1"/>
  <c r="BD21" i="153"/>
  <c r="BE21" i="153" s="1"/>
  <c r="AV21" i="153"/>
  <c r="AW21" i="153" s="1"/>
  <c r="BD21" i="15"/>
  <c r="BE21" i="15" s="1"/>
  <c r="AV21" i="15"/>
  <c r="AW21" i="15" s="1"/>
  <c r="AV21" i="133"/>
  <c r="AW21" i="133" s="1"/>
  <c r="BD21" i="133"/>
  <c r="BE21" i="133" s="1"/>
  <c r="AV21" i="120"/>
  <c r="AW21" i="120" s="1"/>
  <c r="BD21" i="120"/>
  <c r="BE21" i="120" s="1"/>
  <c r="BD21" i="17"/>
  <c r="BE21" i="17" s="1"/>
  <c r="AV21" i="17"/>
  <c r="AW21" i="17" s="1"/>
  <c r="AV21" i="152"/>
  <c r="AW21" i="152" s="1"/>
  <c r="BD21" i="152"/>
  <c r="BE21" i="152" s="1"/>
  <c r="AV21" i="136"/>
  <c r="AW21" i="136" s="1"/>
  <c r="BD21" i="136"/>
  <c r="BE21" i="136" s="1"/>
  <c r="A24" i="58"/>
  <c r="AT22" i="153"/>
  <c r="AT22" i="120"/>
  <c r="AT22" i="13"/>
  <c r="AT22" i="152"/>
  <c r="AV21" i="13"/>
  <c r="AW21" i="13" s="1"/>
  <c r="BD21" i="13"/>
  <c r="BE21" i="13" s="1"/>
  <c r="I40" i="153"/>
  <c r="M35" i="153"/>
  <c r="O35" i="153"/>
  <c r="V35" i="153"/>
  <c r="AB35" i="153"/>
  <c r="AH35" i="153"/>
  <c r="AN35" i="153"/>
  <c r="R35" i="153"/>
  <c r="T35" i="153" s="1"/>
  <c r="Y35" i="153" s="1"/>
  <c r="AE35" i="153"/>
  <c r="BN35" i="153"/>
  <c r="BO35" i="153" s="1"/>
  <c r="AK35" i="153"/>
  <c r="BQ35" i="153"/>
  <c r="P35" i="153"/>
  <c r="BL35" i="153"/>
  <c r="K36" i="153"/>
  <c r="AQ34" i="153"/>
  <c r="AR34" i="153" s="1"/>
  <c r="W34" i="152"/>
  <c r="BR34" i="152"/>
  <c r="AO34" i="152"/>
  <c r="Z34" i="152"/>
  <c r="AC34" i="152"/>
  <c r="AL34" i="152"/>
  <c r="BD33" i="124"/>
  <c r="BE33" i="124" s="1"/>
  <c r="AQ34" i="152"/>
  <c r="AR34" i="152" s="1"/>
  <c r="I44" i="152"/>
  <c r="P35" i="152"/>
  <c r="R35" i="152"/>
  <c r="T35" i="152" s="1"/>
  <c r="Y35" i="152" s="1"/>
  <c r="AE35" i="152"/>
  <c r="AK35" i="152"/>
  <c r="V35" i="152"/>
  <c r="AN35" i="152"/>
  <c r="BQ35" i="152"/>
  <c r="M35" i="152"/>
  <c r="AH35" i="152"/>
  <c r="BL35" i="152"/>
  <c r="O35" i="152"/>
  <c r="AB35" i="152"/>
  <c r="BN35" i="152"/>
  <c r="BO35" i="152" s="1"/>
  <c r="K36" i="152"/>
  <c r="AF34" i="152"/>
  <c r="AI31" i="150"/>
  <c r="AF31" i="150"/>
  <c r="AC31" i="150"/>
  <c r="AF33" i="149"/>
  <c r="AV29" i="110"/>
  <c r="AW29" i="110" s="1"/>
  <c r="BG27" i="13"/>
  <c r="BH27" i="13" s="1"/>
  <c r="BD29" i="115"/>
  <c r="BE29" i="115" s="1"/>
  <c r="BK28" i="115"/>
  <c r="BR32" i="151"/>
  <c r="AI32" i="151"/>
  <c r="Z32" i="151"/>
  <c r="AO32" i="151"/>
  <c r="AF32" i="151"/>
  <c r="W32" i="151"/>
  <c r="AL32" i="151"/>
  <c r="K34" i="151"/>
  <c r="I35" i="151"/>
  <c r="AC32" i="151"/>
  <c r="AQ32" i="151"/>
  <c r="AR32" i="151" s="1"/>
  <c r="AK33" i="151"/>
  <c r="AE33" i="151"/>
  <c r="R33" i="151"/>
  <c r="T33" i="151" s="1"/>
  <c r="Y33" i="151" s="1"/>
  <c r="AN33" i="151"/>
  <c r="AH33" i="151"/>
  <c r="AB33" i="151"/>
  <c r="V33" i="151"/>
  <c r="BQ33" i="151"/>
  <c r="BN33" i="151"/>
  <c r="BO33" i="151" s="1"/>
  <c r="M33" i="151"/>
  <c r="BL33" i="151"/>
  <c r="AO31" i="150"/>
  <c r="I36" i="150"/>
  <c r="P32" i="150"/>
  <c r="AN32" i="150"/>
  <c r="AH32" i="150"/>
  <c r="AB32" i="150"/>
  <c r="V32" i="150"/>
  <c r="O32" i="150"/>
  <c r="BQ32" i="150"/>
  <c r="AE32" i="150"/>
  <c r="R32" i="150"/>
  <c r="T32" i="150" s="1"/>
  <c r="Y32" i="150" s="1"/>
  <c r="AK32" i="150"/>
  <c r="BL32" i="150"/>
  <c r="M32" i="150"/>
  <c r="BN32" i="150"/>
  <c r="BO32" i="150" s="1"/>
  <c r="K33" i="150"/>
  <c r="AL31" i="150"/>
  <c r="BR31" i="150"/>
  <c r="AQ31" i="150"/>
  <c r="AR31" i="150" s="1"/>
  <c r="AQ33" i="149"/>
  <c r="AR33" i="149" s="1"/>
  <c r="BL29" i="110"/>
  <c r="BG29" i="110"/>
  <c r="BH29" i="110" s="1"/>
  <c r="BL32" i="147"/>
  <c r="W23" i="149"/>
  <c r="O24" i="149"/>
  <c r="AN34" i="149"/>
  <c r="AH34" i="149"/>
  <c r="AB34" i="149"/>
  <c r="V34" i="149"/>
  <c r="BQ34" i="149"/>
  <c r="AE34" i="149"/>
  <c r="AK34" i="149"/>
  <c r="BN34" i="149"/>
  <c r="BO34" i="149" s="1"/>
  <c r="M34" i="149"/>
  <c r="BL34" i="149"/>
  <c r="W33" i="149"/>
  <c r="I36" i="149"/>
  <c r="K35" i="149"/>
  <c r="AC33" i="149"/>
  <c r="AL33" i="149"/>
  <c r="BR33" i="149"/>
  <c r="AI33" i="149"/>
  <c r="AO33" i="149"/>
  <c r="BK28" i="110"/>
  <c r="BH31" i="146"/>
  <c r="BE29" i="110"/>
  <c r="BR27" i="120"/>
  <c r="BB30" i="135"/>
  <c r="AC32" i="147"/>
  <c r="AF32" i="147"/>
  <c r="AI32" i="147"/>
  <c r="AV32" i="147"/>
  <c r="AW32" i="147" s="1"/>
  <c r="K34" i="147"/>
  <c r="AH34" i="147" s="1"/>
  <c r="I35" i="147"/>
  <c r="AE33" i="147"/>
  <c r="AT33" i="147"/>
  <c r="BD33" i="147" s="1"/>
  <c r="BQ33" i="147"/>
  <c r="AB33" i="147"/>
  <c r="AY33" i="147"/>
  <c r="BG33" i="147" s="1"/>
  <c r="M33" i="147"/>
  <c r="BJ33" i="147"/>
  <c r="P22" i="147"/>
  <c r="BK31" i="147"/>
  <c r="BA32" i="147"/>
  <c r="BB32" i="147" s="1"/>
  <c r="BR32" i="147"/>
  <c r="BL31" i="146"/>
  <c r="AV31" i="146"/>
  <c r="AW31" i="146" s="1"/>
  <c r="P21" i="146"/>
  <c r="BK30" i="146"/>
  <c r="AF31" i="146"/>
  <c r="AC31" i="146"/>
  <c r="BA31" i="146"/>
  <c r="BB31" i="146" s="1"/>
  <c r="AT32" i="146"/>
  <c r="AV32" i="146" s="1"/>
  <c r="AB32" i="146"/>
  <c r="BQ32" i="146"/>
  <c r="AY32" i="146"/>
  <c r="BA32" i="146" s="1"/>
  <c r="AE32" i="146"/>
  <c r="R32" i="146"/>
  <c r="T32" i="146" s="1"/>
  <c r="Y32" i="146" s="1"/>
  <c r="M32" i="146"/>
  <c r="BJ32" i="146"/>
  <c r="BR31" i="146"/>
  <c r="AI31" i="146"/>
  <c r="I34" i="146"/>
  <c r="K33" i="146"/>
  <c r="AH33" i="146" s="1"/>
  <c r="AQ28" i="118"/>
  <c r="AR28" i="118" s="1"/>
  <c r="AQ29" i="110"/>
  <c r="AR29" i="110" s="1"/>
  <c r="BD29" i="114"/>
  <c r="BE29" i="114" s="1"/>
  <c r="AC27" i="66"/>
  <c r="BB27" i="66"/>
  <c r="Z28" i="101"/>
  <c r="Z27" i="66"/>
  <c r="AO27" i="66"/>
  <c r="BK28" i="126"/>
  <c r="BA28" i="118"/>
  <c r="BB28" i="118" s="1"/>
  <c r="AQ31" i="105"/>
  <c r="AR31" i="105" s="1"/>
  <c r="AQ29" i="96"/>
  <c r="AR29" i="96" s="1"/>
  <c r="BG28" i="101"/>
  <c r="BH28" i="101" s="1"/>
  <c r="BE28" i="118"/>
  <c r="AV28" i="101"/>
  <c r="AW28" i="101" s="1"/>
  <c r="AO29" i="63"/>
  <c r="AW33" i="124"/>
  <c r="AI27" i="120"/>
  <c r="BD29" i="96"/>
  <c r="BE29" i="96" s="1"/>
  <c r="AC28" i="101"/>
  <c r="BR28" i="101"/>
  <c r="BB33" i="124"/>
  <c r="BD29" i="98"/>
  <c r="BE29" i="98" s="1"/>
  <c r="BB29" i="98"/>
  <c r="AV29" i="126"/>
  <c r="AW29" i="126" s="1"/>
  <c r="BR29" i="63"/>
  <c r="BR29" i="126"/>
  <c r="BE30" i="64"/>
  <c r="AQ27" i="13"/>
  <c r="AR27" i="13" s="1"/>
  <c r="BH29" i="63"/>
  <c r="AI29" i="63"/>
  <c r="AQ31" i="136"/>
  <c r="AR31" i="136" s="1"/>
  <c r="BB28" i="101"/>
  <c r="AQ29" i="126"/>
  <c r="AR29" i="126" s="1"/>
  <c r="AI29" i="126"/>
  <c r="AL30" i="64"/>
  <c r="AF30" i="64"/>
  <c r="BB30" i="64"/>
  <c r="BL29" i="115"/>
  <c r="Z27" i="120"/>
  <c r="AF28" i="15"/>
  <c r="BR28" i="15"/>
  <c r="BG30" i="135"/>
  <c r="BH30" i="135" s="1"/>
  <c r="AO28" i="101"/>
  <c r="AQ27" i="17"/>
  <c r="AR27" i="17" s="1"/>
  <c r="AI27" i="17"/>
  <c r="AI29" i="98"/>
  <c r="AL29" i="98"/>
  <c r="AO29" i="126"/>
  <c r="BB29" i="126"/>
  <c r="AV27" i="66"/>
  <c r="AW27" i="66" s="1"/>
  <c r="Z30" i="64"/>
  <c r="BR30" i="64"/>
  <c r="AI30" i="64"/>
  <c r="BR28" i="118"/>
  <c r="AO28" i="118"/>
  <c r="AC28" i="118"/>
  <c r="AO27" i="13"/>
  <c r="BR27" i="13"/>
  <c r="AI28" i="15"/>
  <c r="AL28" i="15"/>
  <c r="BL33" i="124"/>
  <c r="BL29" i="126"/>
  <c r="AV30" i="64"/>
  <c r="AW30" i="64" s="1"/>
  <c r="BH29" i="115"/>
  <c r="AO29" i="115"/>
  <c r="AQ30" i="135"/>
  <c r="AR30" i="135" s="1"/>
  <c r="W30" i="135"/>
  <c r="AI28" i="118"/>
  <c r="AL27" i="13"/>
  <c r="AC27" i="13"/>
  <c r="BA27" i="120"/>
  <c r="BB27" i="120" s="1"/>
  <c r="BA29" i="63"/>
  <c r="BB29" i="63" s="1"/>
  <c r="AC29" i="63"/>
  <c r="AL28" i="101"/>
  <c r="AF28" i="101"/>
  <c r="AI33" i="124"/>
  <c r="BG29" i="98"/>
  <c r="BH29" i="98" s="1"/>
  <c r="AW29" i="98"/>
  <c r="AF29" i="98"/>
  <c r="BG29" i="126"/>
  <c r="BH29" i="126" s="1"/>
  <c r="AF29" i="126"/>
  <c r="AC29" i="126"/>
  <c r="BG30" i="64"/>
  <c r="BH30" i="64" s="1"/>
  <c r="W30" i="64"/>
  <c r="BA29" i="115"/>
  <c r="BB29" i="115" s="1"/>
  <c r="AC29" i="115"/>
  <c r="AI29" i="115"/>
  <c r="AL28" i="118"/>
  <c r="AF28" i="118"/>
  <c r="BG31" i="105"/>
  <c r="BH31" i="105" s="1"/>
  <c r="I37" i="105"/>
  <c r="I30" i="17"/>
  <c r="K29" i="17"/>
  <c r="Z29" i="96"/>
  <c r="BR29" i="96"/>
  <c r="AC29" i="96"/>
  <c r="AV29" i="63"/>
  <c r="AW29" i="63" s="1"/>
  <c r="BD29" i="63"/>
  <c r="BE29" i="63" s="1"/>
  <c r="AQ29" i="63"/>
  <c r="AR29" i="63" s="1"/>
  <c r="W31" i="136"/>
  <c r="AI31" i="136"/>
  <c r="AQ28" i="101"/>
  <c r="AR28" i="101" s="1"/>
  <c r="K29" i="66"/>
  <c r="I30" i="66"/>
  <c r="Z27" i="17"/>
  <c r="AF27" i="17"/>
  <c r="AC27" i="17"/>
  <c r="AB30" i="96"/>
  <c r="AT30" i="96"/>
  <c r="AV30" i="96" s="1"/>
  <c r="M30" i="96"/>
  <c r="AN30" i="96"/>
  <c r="BN30" i="96"/>
  <c r="BO30" i="96" s="1"/>
  <c r="BL30" i="96"/>
  <c r="AH30" i="96"/>
  <c r="AE30" i="96"/>
  <c r="AK30" i="96"/>
  <c r="BG30" i="96"/>
  <c r="BQ30" i="96"/>
  <c r="BA30" i="96"/>
  <c r="R30" i="96"/>
  <c r="T30" i="96" s="1"/>
  <c r="Y30" i="96" s="1"/>
  <c r="AQ29" i="98"/>
  <c r="AR29" i="98" s="1"/>
  <c r="BE27" i="66"/>
  <c r="AQ27" i="66"/>
  <c r="AR27" i="66" s="1"/>
  <c r="AL27" i="66"/>
  <c r="I39" i="95"/>
  <c r="BN28" i="13"/>
  <c r="BO28" i="13" s="1"/>
  <c r="M28" i="13"/>
  <c r="BQ28" i="13"/>
  <c r="BL28" i="13"/>
  <c r="AE28" i="13"/>
  <c r="AH28" i="13"/>
  <c r="AN28" i="13"/>
  <c r="AB28" i="13"/>
  <c r="AK28" i="13"/>
  <c r="AY28" i="13"/>
  <c r="BA28" i="13" s="1"/>
  <c r="R28" i="13"/>
  <c r="T28" i="13" s="1"/>
  <c r="Y28" i="13" s="1"/>
  <c r="M31" i="64"/>
  <c r="AY31" i="64"/>
  <c r="BA31" i="64" s="1"/>
  <c r="BN31" i="64"/>
  <c r="BO31" i="64" s="1"/>
  <c r="AB31" i="64"/>
  <c r="BL31" i="64"/>
  <c r="AN31" i="64"/>
  <c r="AE31" i="64"/>
  <c r="V31" i="64"/>
  <c r="AK31" i="64"/>
  <c r="BQ31" i="64"/>
  <c r="AH31" i="64"/>
  <c r="AT31" i="64"/>
  <c r="BD31" i="64" s="1"/>
  <c r="R31" i="64"/>
  <c r="T31" i="64" s="1"/>
  <c r="Y31" i="64" s="1"/>
  <c r="K32" i="64"/>
  <c r="I36" i="136"/>
  <c r="AQ29" i="114"/>
  <c r="AI29" i="114"/>
  <c r="BJ32" i="105"/>
  <c r="M32" i="105"/>
  <c r="AY32" i="105"/>
  <c r="BG32" i="105" s="1"/>
  <c r="V32" i="105"/>
  <c r="AT32" i="105"/>
  <c r="AV32" i="105" s="1"/>
  <c r="AE32" i="105"/>
  <c r="AB32" i="105"/>
  <c r="AH32" i="105"/>
  <c r="AN32" i="105"/>
  <c r="BQ32" i="105"/>
  <c r="AK32" i="105"/>
  <c r="K33" i="105"/>
  <c r="AO31" i="105"/>
  <c r="BB31" i="105"/>
  <c r="AF31" i="105"/>
  <c r="AL27" i="120"/>
  <c r="M28" i="120"/>
  <c r="K29" i="120"/>
  <c r="AE28" i="120"/>
  <c r="AB28" i="120"/>
  <c r="AY28" i="120"/>
  <c r="BG28" i="120" s="1"/>
  <c r="BQ28" i="120"/>
  <c r="AN28" i="120"/>
  <c r="AK28" i="120"/>
  <c r="AH28" i="120"/>
  <c r="R28" i="120"/>
  <c r="T28" i="120" s="1"/>
  <c r="Y28" i="120" s="1"/>
  <c r="I31" i="101"/>
  <c r="K30" i="101"/>
  <c r="AH30" i="101" s="1"/>
  <c r="BL29" i="15"/>
  <c r="BN29" i="15"/>
  <c r="BO29" i="15" s="1"/>
  <c r="M29" i="15"/>
  <c r="AN29" i="15"/>
  <c r="BQ29" i="15"/>
  <c r="AB29" i="15"/>
  <c r="AH29" i="15"/>
  <c r="AK29" i="15"/>
  <c r="AE29" i="15"/>
  <c r="K30" i="15"/>
  <c r="BD30" i="135"/>
  <c r="BE30" i="135" s="1"/>
  <c r="AL30" i="135"/>
  <c r="AF30" i="135"/>
  <c r="M28" i="66"/>
  <c r="BN28" i="66"/>
  <c r="BO28" i="66" s="1"/>
  <c r="AY28" i="66"/>
  <c r="BA28" i="66" s="1"/>
  <c r="BL28" i="66"/>
  <c r="AH28" i="66"/>
  <c r="AK28" i="66"/>
  <c r="AB28" i="66"/>
  <c r="AN28" i="66"/>
  <c r="AE28" i="66"/>
  <c r="BQ28" i="66"/>
  <c r="AT28" i="66"/>
  <c r="AV28" i="66" s="1"/>
  <c r="R28" i="66"/>
  <c r="T28" i="66" s="1"/>
  <c r="Y28" i="66" s="1"/>
  <c r="BG33" i="124"/>
  <c r="BH33" i="124" s="1"/>
  <c r="K35" i="124"/>
  <c r="AH35" i="124" s="1"/>
  <c r="M34" i="124"/>
  <c r="AI34" i="124" s="1"/>
  <c r="BJ34" i="124"/>
  <c r="V34" i="124"/>
  <c r="AT34" i="124"/>
  <c r="AV34" i="124" s="1"/>
  <c r="AE34" i="124"/>
  <c r="AB34" i="124"/>
  <c r="AY34" i="124"/>
  <c r="BA34" i="124" s="1"/>
  <c r="BQ34" i="124"/>
  <c r="I32" i="96"/>
  <c r="K31" i="96"/>
  <c r="BL29" i="98"/>
  <c r="BR29" i="98"/>
  <c r="K31" i="98"/>
  <c r="M30" i="98"/>
  <c r="AE30" i="98"/>
  <c r="AY30" i="98"/>
  <c r="BA30" i="98" s="1"/>
  <c r="AT30" i="98"/>
  <c r="AV30" i="98" s="1"/>
  <c r="AB30" i="98"/>
  <c r="BJ30" i="98"/>
  <c r="AN30" i="98"/>
  <c r="AK30" i="98"/>
  <c r="AH30" i="98"/>
  <c r="BQ30" i="98"/>
  <c r="I32" i="110"/>
  <c r="K31" i="110"/>
  <c r="K29" i="13"/>
  <c r="I30" i="13"/>
  <c r="AQ29" i="115"/>
  <c r="AR29" i="115" s="1"/>
  <c r="AV28" i="118"/>
  <c r="AW28" i="118" s="1"/>
  <c r="BN30" i="114"/>
  <c r="BO30" i="114" s="1"/>
  <c r="BJ30" i="114"/>
  <c r="BL30" i="114" s="1"/>
  <c r="M30" i="114"/>
  <c r="V30" i="114"/>
  <c r="AB30" i="114"/>
  <c r="AT30" i="114"/>
  <c r="AV30" i="114" s="1"/>
  <c r="AE30" i="114"/>
  <c r="AN30" i="114"/>
  <c r="AY30" i="114"/>
  <c r="BA30" i="114" s="1"/>
  <c r="AH30" i="114"/>
  <c r="AK30" i="114"/>
  <c r="BQ30" i="114"/>
  <c r="K31" i="114"/>
  <c r="R30" i="114"/>
  <c r="T30" i="114" s="1"/>
  <c r="Y30" i="114" s="1"/>
  <c r="AW29" i="114"/>
  <c r="BB29" i="114"/>
  <c r="AC29" i="114"/>
  <c r="AL31" i="105"/>
  <c r="AI31" i="105"/>
  <c r="AC31" i="105"/>
  <c r="I36" i="64"/>
  <c r="BN30" i="63"/>
  <c r="BO30" i="63" s="1"/>
  <c r="M30" i="63"/>
  <c r="AN30" i="63"/>
  <c r="AH30" i="63"/>
  <c r="V30" i="63"/>
  <c r="AK30" i="63"/>
  <c r="AB30" i="63"/>
  <c r="AE30" i="63"/>
  <c r="AY30" i="63"/>
  <c r="BA30" i="63" s="1"/>
  <c r="BL30" i="63"/>
  <c r="BQ30" i="63"/>
  <c r="AT30" i="63"/>
  <c r="AV30" i="63" s="1"/>
  <c r="K31" i="63"/>
  <c r="I86" i="99"/>
  <c r="BB29" i="96"/>
  <c r="AI29" i="96"/>
  <c r="AO29" i="96"/>
  <c r="AC31" i="136"/>
  <c r="AF31" i="136"/>
  <c r="BR27" i="17"/>
  <c r="AO27" i="17"/>
  <c r="BR33" i="124"/>
  <c r="W33" i="124"/>
  <c r="I45" i="133"/>
  <c r="M30" i="126"/>
  <c r="BJ30" i="126"/>
  <c r="V30" i="126"/>
  <c r="AN30" i="126"/>
  <c r="AK30" i="126"/>
  <c r="AE30" i="126"/>
  <c r="AB30" i="126"/>
  <c r="AT30" i="126"/>
  <c r="BD30" i="126" s="1"/>
  <c r="AY30" i="126"/>
  <c r="BG30" i="126" s="1"/>
  <c r="BQ30" i="126"/>
  <c r="K31" i="126"/>
  <c r="AH34" i="126" s="1"/>
  <c r="R30" i="126"/>
  <c r="T30" i="126" s="1"/>
  <c r="Y30" i="126" s="1"/>
  <c r="R29" i="98"/>
  <c r="T28" i="98"/>
  <c r="Y28" i="98" s="1"/>
  <c r="M30" i="115"/>
  <c r="V30" i="115"/>
  <c r="BN30" i="115"/>
  <c r="BO30" i="115" s="1"/>
  <c r="BJ30" i="115"/>
  <c r="BL30" i="115" s="1"/>
  <c r="AN30" i="115"/>
  <c r="AB30" i="115"/>
  <c r="AK30" i="115"/>
  <c r="AH30" i="115"/>
  <c r="AI30" i="115" s="1"/>
  <c r="AE30" i="115"/>
  <c r="AT30" i="115"/>
  <c r="BD30" i="115" s="1"/>
  <c r="BQ30" i="115"/>
  <c r="AY30" i="115"/>
  <c r="BA30" i="115" s="1"/>
  <c r="BG27" i="66"/>
  <c r="BH27" i="66" s="1"/>
  <c r="AF27" i="66"/>
  <c r="M30" i="110"/>
  <c r="BJ30" i="110"/>
  <c r="AY30" i="110"/>
  <c r="BA30" i="110" s="1"/>
  <c r="AN30" i="110"/>
  <c r="AK30" i="110"/>
  <c r="AH30" i="110"/>
  <c r="AE30" i="110"/>
  <c r="AB30" i="110"/>
  <c r="AT30" i="110"/>
  <c r="AV30" i="110" s="1"/>
  <c r="BQ30" i="110"/>
  <c r="AQ30" i="64"/>
  <c r="AR30" i="64" s="1"/>
  <c r="AW29" i="115"/>
  <c r="BR29" i="115"/>
  <c r="M31" i="135"/>
  <c r="AB31" i="135"/>
  <c r="V31" i="135"/>
  <c r="BN31" i="135"/>
  <c r="BO31" i="135" s="1"/>
  <c r="AN31" i="135"/>
  <c r="AE31" i="135"/>
  <c r="AY31" i="135"/>
  <c r="BA31" i="135" s="1"/>
  <c r="AK31" i="135"/>
  <c r="AH31" i="135"/>
  <c r="BL31" i="135"/>
  <c r="BQ31" i="135"/>
  <c r="R31" i="135"/>
  <c r="T31" i="135" s="1"/>
  <c r="Y31" i="135" s="1"/>
  <c r="AT31" i="135"/>
  <c r="AV31" i="135" s="1"/>
  <c r="AW31" i="135" s="1"/>
  <c r="BG29" i="114"/>
  <c r="BH29" i="114" s="1"/>
  <c r="BR29" i="114"/>
  <c r="AF29" i="114"/>
  <c r="BL29" i="114"/>
  <c r="BD31" i="105"/>
  <c r="BE31" i="105" s="1"/>
  <c r="AF27" i="13"/>
  <c r="AI27" i="13"/>
  <c r="AQ27" i="120"/>
  <c r="AR27" i="120" s="1"/>
  <c r="AQ28" i="15"/>
  <c r="AR28" i="15" s="1"/>
  <c r="AO28" i="15"/>
  <c r="I37" i="132"/>
  <c r="Z30" i="135"/>
  <c r="BR30" i="135"/>
  <c r="AO30" i="135"/>
  <c r="AC30" i="135"/>
  <c r="R30" i="63"/>
  <c r="R31" i="63" s="1"/>
  <c r="BL28" i="17"/>
  <c r="BN28" i="17"/>
  <c r="BO28" i="17" s="1"/>
  <c r="M28" i="17"/>
  <c r="AY28" i="17"/>
  <c r="BA28" i="17" s="1"/>
  <c r="AB28" i="17"/>
  <c r="AH28" i="17"/>
  <c r="AN28" i="17"/>
  <c r="AK28" i="17"/>
  <c r="AE28" i="17"/>
  <c r="BQ28" i="17"/>
  <c r="R28" i="17"/>
  <c r="T28" i="17" s="1"/>
  <c r="Y28" i="17" s="1"/>
  <c r="AW29" i="96"/>
  <c r="AF29" i="96"/>
  <c r="AL29" i="96"/>
  <c r="I34" i="15"/>
  <c r="M32" i="136"/>
  <c r="BL32" i="136"/>
  <c r="BN32" i="136"/>
  <c r="BO32" i="136" s="1"/>
  <c r="AN32" i="136"/>
  <c r="AE32" i="136"/>
  <c r="AB32" i="136"/>
  <c r="AH32" i="136"/>
  <c r="AK32" i="136"/>
  <c r="BQ32" i="136"/>
  <c r="V32" i="136"/>
  <c r="K33" i="136"/>
  <c r="BR31" i="136"/>
  <c r="AL31" i="136"/>
  <c r="I36" i="114"/>
  <c r="I35" i="63"/>
  <c r="Z29" i="126"/>
  <c r="BK27" i="98"/>
  <c r="Z27" i="98"/>
  <c r="I32" i="115"/>
  <c r="K31" i="115"/>
  <c r="I33" i="135"/>
  <c r="K32" i="135"/>
  <c r="M29" i="118"/>
  <c r="K30" i="118"/>
  <c r="AH29" i="118"/>
  <c r="AY29" i="118"/>
  <c r="BA29" i="118" s="1"/>
  <c r="AB29" i="118"/>
  <c r="AE29" i="118"/>
  <c r="AN29" i="118"/>
  <c r="AK29" i="118"/>
  <c r="BQ29" i="118"/>
  <c r="AT29" i="118"/>
  <c r="BD29" i="118" s="1"/>
  <c r="AR28" i="114"/>
  <c r="BK28" i="114"/>
  <c r="BL31" i="105"/>
  <c r="BR31" i="105"/>
  <c r="I34" i="104"/>
  <c r="M29" i="101"/>
  <c r="AN29" i="101"/>
  <c r="BQ29" i="101"/>
  <c r="AT29" i="101"/>
  <c r="BD29" i="101" s="1"/>
  <c r="AB29" i="101"/>
  <c r="AK29" i="101"/>
  <c r="AY29" i="101"/>
  <c r="BA29" i="101" s="1"/>
  <c r="AE29" i="101"/>
  <c r="R29" i="101"/>
  <c r="T29" i="101" s="1"/>
  <c r="Y29" i="101" s="1"/>
  <c r="I35" i="126"/>
  <c r="W20" i="95"/>
  <c r="O21" i="95"/>
  <c r="R30" i="15"/>
  <c r="T29" i="15"/>
  <c r="Y29" i="15" s="1"/>
  <c r="Z28" i="104"/>
  <c r="T29" i="104"/>
  <c r="Y29" i="104" s="1"/>
  <c r="R30" i="104"/>
  <c r="T29" i="136"/>
  <c r="Y29" i="136" s="1"/>
  <c r="Z29" i="136" s="1"/>
  <c r="R30" i="136"/>
  <c r="Z29" i="110"/>
  <c r="T30" i="110"/>
  <c r="Y30" i="110" s="1"/>
  <c r="R31" i="110"/>
  <c r="P20" i="98"/>
  <c r="R32" i="124"/>
  <c r="T31" i="124"/>
  <c r="Y31" i="124" s="1"/>
  <c r="Z30" i="124"/>
  <c r="BK30" i="124"/>
  <c r="V21" i="115"/>
  <c r="V22" i="101"/>
  <c r="T29" i="105"/>
  <c r="Y29" i="105" s="1"/>
  <c r="R30" i="105"/>
  <c r="W20" i="126"/>
  <c r="O21" i="126"/>
  <c r="BK27" i="99"/>
  <c r="Z27" i="99"/>
  <c r="W20" i="13"/>
  <c r="O21" i="13"/>
  <c r="V23" i="124"/>
  <c r="R30" i="107"/>
  <c r="T29" i="107"/>
  <c r="Y29" i="107" s="1"/>
  <c r="P20" i="107"/>
  <c r="V21" i="129"/>
  <c r="V21" i="106"/>
  <c r="Z28" i="107"/>
  <c r="BK28" i="107"/>
  <c r="W21" i="114"/>
  <c r="O22" i="114"/>
  <c r="V20" i="130"/>
  <c r="W20" i="66"/>
  <c r="O21" i="66"/>
  <c r="BK28" i="105"/>
  <c r="Z28" i="105"/>
  <c r="P19" i="105"/>
  <c r="T28" i="99"/>
  <c r="Y28" i="99" s="1"/>
  <c r="R29" i="99"/>
  <c r="V19" i="99"/>
  <c r="W19" i="120"/>
  <c r="O20" i="120"/>
  <c r="R30" i="118"/>
  <c r="T29" i="118"/>
  <c r="Y29" i="118" s="1"/>
  <c r="P20" i="118"/>
  <c r="W20" i="15"/>
  <c r="O21" i="15"/>
  <c r="P21" i="110"/>
  <c r="W22" i="64"/>
  <c r="O23" i="64"/>
  <c r="W19" i="136"/>
  <c r="O20" i="136"/>
  <c r="W19" i="112"/>
  <c r="O20" i="112"/>
  <c r="V21" i="104"/>
  <c r="P21" i="17"/>
  <c r="P20" i="63"/>
  <c r="Z29" i="115"/>
  <c r="W19" i="135"/>
  <c r="O20" i="135"/>
  <c r="R31" i="115"/>
  <c r="T30" i="115"/>
  <c r="Y30" i="115" s="1"/>
  <c r="W21" i="96"/>
  <c r="O22" i="96"/>
  <c r="BA27" i="153" l="1"/>
  <c r="BB27" i="153" s="1"/>
  <c r="BG27" i="17"/>
  <c r="BH27" i="17" s="1"/>
  <c r="BH28" i="120"/>
  <c r="AC29" i="104"/>
  <c r="AI29" i="106"/>
  <c r="AF29" i="104"/>
  <c r="AL29" i="104"/>
  <c r="Z30" i="115"/>
  <c r="AI31" i="135"/>
  <c r="BB30" i="115"/>
  <c r="AL30" i="114"/>
  <c r="AI30" i="98"/>
  <c r="BB28" i="13"/>
  <c r="Z29" i="106"/>
  <c r="AC34" i="156"/>
  <c r="BH28" i="95"/>
  <c r="BB29" i="106"/>
  <c r="AF34" i="156"/>
  <c r="AO30" i="129"/>
  <c r="AL33" i="107"/>
  <c r="AC29" i="118"/>
  <c r="AI28" i="13"/>
  <c r="AW29" i="104"/>
  <c r="AQ31" i="99"/>
  <c r="AR31" i="99" s="1"/>
  <c r="BD22" i="136"/>
  <c r="BE22" i="136" s="1"/>
  <c r="BA27" i="152"/>
  <c r="BB27" i="152" s="1"/>
  <c r="R34" i="149"/>
  <c r="T34" i="149" s="1"/>
  <c r="Y34" i="149" s="1"/>
  <c r="Z29" i="15"/>
  <c r="AY28" i="153"/>
  <c r="BG28" i="153" s="1"/>
  <c r="BH28" i="153" s="1"/>
  <c r="M32" i="132"/>
  <c r="BG32" i="132"/>
  <c r="BH32" i="132" s="1"/>
  <c r="AV32" i="132"/>
  <c r="AW32" i="132" s="1"/>
  <c r="BD32" i="132"/>
  <c r="BE32" i="132" s="1"/>
  <c r="AY32" i="132"/>
  <c r="Y32" i="132"/>
  <c r="Z32" i="132" s="1"/>
  <c r="BA32" i="132"/>
  <c r="BB32" i="132" s="1"/>
  <c r="AK32" i="132"/>
  <c r="AL32" i="132" s="1"/>
  <c r="V32" i="132"/>
  <c r="W32" i="132" s="1"/>
  <c r="BL32" i="132"/>
  <c r="P32" i="132"/>
  <c r="O32" i="132"/>
  <c r="AQ32" i="132"/>
  <c r="AR32" i="132" s="1"/>
  <c r="AB32" i="132"/>
  <c r="AC32" i="132" s="1"/>
  <c r="K33" i="132"/>
  <c r="BN32" i="132"/>
  <c r="BO32" i="132" s="1"/>
  <c r="BQ32" i="132"/>
  <c r="BR32" i="132" s="1"/>
  <c r="AH32" i="132"/>
  <c r="AI32" i="132" s="1"/>
  <c r="R32" i="132"/>
  <c r="T32" i="132" s="1"/>
  <c r="AT32" i="132"/>
  <c r="AE32" i="132"/>
  <c r="AF32" i="132" s="1"/>
  <c r="AN32" i="132"/>
  <c r="AO32" i="132" s="1"/>
  <c r="BR31" i="99"/>
  <c r="BL31" i="99"/>
  <c r="AF33" i="107"/>
  <c r="BR33" i="107"/>
  <c r="AL30" i="126"/>
  <c r="AI28" i="66"/>
  <c r="AC29" i="15"/>
  <c r="AF29" i="112"/>
  <c r="AL31" i="99"/>
  <c r="AE34" i="107"/>
  <c r="AH34" i="107"/>
  <c r="AY34" i="107"/>
  <c r="M34" i="107"/>
  <c r="AN34" i="107"/>
  <c r="AB34" i="107"/>
  <c r="AC34" i="107" s="1"/>
  <c r="BQ34" i="107"/>
  <c r="V34" i="107"/>
  <c r="AT34" i="107"/>
  <c r="AK34" i="107"/>
  <c r="AL34" i="107" s="1"/>
  <c r="BJ34" i="107"/>
  <c r="BL34" i="107" s="1"/>
  <c r="W33" i="107"/>
  <c r="AV33" i="107"/>
  <c r="AW33" i="107" s="1"/>
  <c r="BD33" i="107"/>
  <c r="BE33" i="107" s="1"/>
  <c r="AO31" i="135"/>
  <c r="AY28" i="150"/>
  <c r="BG28" i="150" s="1"/>
  <c r="BH28" i="150" s="1"/>
  <c r="BD31" i="99"/>
  <c r="BE31" i="99" s="1"/>
  <c r="AV31" i="99"/>
  <c r="AW31" i="99" s="1"/>
  <c r="AI31" i="99"/>
  <c r="I36" i="107"/>
  <c r="K35" i="107"/>
  <c r="BA33" i="107"/>
  <c r="BB33" i="107" s="1"/>
  <c r="BG33" i="107"/>
  <c r="BH33" i="107" s="1"/>
  <c r="AO33" i="107"/>
  <c r="AL30" i="110"/>
  <c r="AF28" i="66"/>
  <c r="AI30" i="96"/>
  <c r="Z29" i="112"/>
  <c r="BL29" i="104"/>
  <c r="BB31" i="99"/>
  <c r="K33" i="99"/>
  <c r="BJ32" i="99"/>
  <c r="V32" i="99"/>
  <c r="AH32" i="99"/>
  <c r="BQ32" i="99"/>
  <c r="M32" i="99"/>
  <c r="AE32" i="99"/>
  <c r="AN32" i="99"/>
  <c r="AY32" i="99"/>
  <c r="AB32" i="99"/>
  <c r="AK32" i="99"/>
  <c r="AT32" i="99"/>
  <c r="AQ33" i="107"/>
  <c r="AR33" i="107" s="1"/>
  <c r="AI33" i="107"/>
  <c r="AF29" i="15"/>
  <c r="AO31" i="99"/>
  <c r="AF31" i="99"/>
  <c r="AC33" i="107"/>
  <c r="BG31" i="99"/>
  <c r="BH31" i="99" s="1"/>
  <c r="BG27" i="133"/>
  <c r="BH27" i="133" s="1"/>
  <c r="Z28" i="95"/>
  <c r="AO28" i="95"/>
  <c r="BG29" i="106"/>
  <c r="AC28" i="95"/>
  <c r="AF28" i="95"/>
  <c r="BE28" i="95"/>
  <c r="AL28" i="95"/>
  <c r="AO29" i="106"/>
  <c r="BL29" i="112"/>
  <c r="BB30" i="129"/>
  <c r="BK28" i="104"/>
  <c r="R33" i="147"/>
  <c r="T33" i="147" s="1"/>
  <c r="Y33" i="147" s="1"/>
  <c r="Z33" i="147" s="1"/>
  <c r="AC30" i="130"/>
  <c r="BL29" i="106"/>
  <c r="AL29" i="112"/>
  <c r="Z30" i="129"/>
  <c r="AI30" i="129"/>
  <c r="AO29" i="104"/>
  <c r="T26" i="156"/>
  <c r="Y26" i="156" s="1"/>
  <c r="Z26" i="156" s="1"/>
  <c r="R27" i="156"/>
  <c r="W18" i="156"/>
  <c r="O19" i="156"/>
  <c r="AI28" i="95"/>
  <c r="BR30" i="129"/>
  <c r="AF30" i="129"/>
  <c r="W34" i="156"/>
  <c r="AO34" i="156"/>
  <c r="BG29" i="104"/>
  <c r="BH29" i="104" s="1"/>
  <c r="BR29" i="104"/>
  <c r="O32" i="161"/>
  <c r="O33" i="161" s="1"/>
  <c r="O34" i="161" s="1"/>
  <c r="O35" i="161" s="1"/>
  <c r="O36" i="161" s="1"/>
  <c r="O37" i="161" s="1"/>
  <c r="O38" i="161" s="1"/>
  <c r="O39" i="161" s="1"/>
  <c r="K66" i="161"/>
  <c r="BQ66" i="161" s="1"/>
  <c r="I67" i="161"/>
  <c r="BD65" i="161"/>
  <c r="BE65" i="161" s="1"/>
  <c r="AQ65" i="161"/>
  <c r="AR65" i="161" s="1"/>
  <c r="AK65" i="161"/>
  <c r="AL65" i="161" s="1"/>
  <c r="AE65" i="161"/>
  <c r="AF65" i="161" s="1"/>
  <c r="Y65" i="161"/>
  <c r="Z65" i="161" s="1"/>
  <c r="R65" i="161"/>
  <c r="T65" i="161" s="1"/>
  <c r="AV65" i="161"/>
  <c r="AW65" i="161" s="1"/>
  <c r="P65" i="161"/>
  <c r="BG65" i="161"/>
  <c r="BH65" i="161" s="1"/>
  <c r="BA65" i="161"/>
  <c r="BB65" i="161" s="1"/>
  <c r="AT65" i="161"/>
  <c r="AN65" i="161"/>
  <c r="AO65" i="161" s="1"/>
  <c r="AH65" i="161"/>
  <c r="AI65" i="161" s="1"/>
  <c r="AB65" i="161"/>
  <c r="AC65" i="161" s="1"/>
  <c r="V65" i="161"/>
  <c r="W65" i="161" s="1"/>
  <c r="O65" i="161"/>
  <c r="AY65" i="161"/>
  <c r="BR65" i="161"/>
  <c r="BN65" i="161"/>
  <c r="BO65" i="161" s="1"/>
  <c r="BK65" i="161"/>
  <c r="BJ65" i="161"/>
  <c r="BL65" i="161" s="1"/>
  <c r="M65" i="161"/>
  <c r="AV28" i="95"/>
  <c r="AW28" i="95" s="1"/>
  <c r="BD29" i="104"/>
  <c r="BE29" i="104" s="1"/>
  <c r="BD29" i="106"/>
  <c r="BE29" i="106" s="1"/>
  <c r="AL32" i="136"/>
  <c r="Z28" i="17"/>
  <c r="M30" i="106"/>
  <c r="AT30" i="106"/>
  <c r="BD30" i="106" s="1"/>
  <c r="AN30" i="106"/>
  <c r="BJ30" i="106"/>
  <c r="AK30" i="106"/>
  <c r="AE30" i="106"/>
  <c r="AH30" i="106"/>
  <c r="AB30" i="106"/>
  <c r="AY30" i="106"/>
  <c r="BA30" i="106" s="1"/>
  <c r="BQ30" i="106"/>
  <c r="K31" i="106"/>
  <c r="R30" i="106"/>
  <c r="T30" i="106" s="1"/>
  <c r="Y30" i="106" s="1"/>
  <c r="BA29" i="112"/>
  <c r="BB29" i="112" s="1"/>
  <c r="BG29" i="112"/>
  <c r="BH29" i="112" s="1"/>
  <c r="AH35" i="156"/>
  <c r="AN35" i="156"/>
  <c r="M35" i="156"/>
  <c r="BN35" i="156"/>
  <c r="BO35" i="156" s="1"/>
  <c r="BQ35" i="156"/>
  <c r="AE35" i="156"/>
  <c r="V35" i="156"/>
  <c r="AK35" i="156"/>
  <c r="AB35" i="156"/>
  <c r="BL35" i="156"/>
  <c r="AO30" i="130"/>
  <c r="BB28" i="95"/>
  <c r="BH29" i="106"/>
  <c r="AL29" i="106"/>
  <c r="AC29" i="106"/>
  <c r="K31" i="112"/>
  <c r="AT30" i="112"/>
  <c r="AH30" i="112"/>
  <c r="AK30" i="112"/>
  <c r="AE30" i="112"/>
  <c r="BQ30" i="112"/>
  <c r="AY30" i="112"/>
  <c r="R30" i="112"/>
  <c r="T30" i="112" s="1"/>
  <c r="Y30" i="112" s="1"/>
  <c r="M30" i="112"/>
  <c r="AN30" i="112"/>
  <c r="AB30" i="112"/>
  <c r="BJ30" i="112"/>
  <c r="AC29" i="112"/>
  <c r="K36" i="156"/>
  <c r="I37" i="156"/>
  <c r="BG33" i="133"/>
  <c r="BH33" i="133" s="1"/>
  <c r="R33" i="133"/>
  <c r="T33" i="133" s="1"/>
  <c r="AB33" i="133"/>
  <c r="AC33" i="133" s="1"/>
  <c r="P33" i="133"/>
  <c r="O33" i="133"/>
  <c r="AN33" i="133"/>
  <c r="AO33" i="133" s="1"/>
  <c r="BL33" i="133"/>
  <c r="AQ33" i="133"/>
  <c r="AR33" i="133" s="1"/>
  <c r="AH33" i="133"/>
  <c r="AI33" i="133" s="1"/>
  <c r="AY33" i="133"/>
  <c r="BN33" i="133"/>
  <c r="BO33" i="133" s="1"/>
  <c r="AK33" i="133"/>
  <c r="AL33" i="133" s="1"/>
  <c r="V33" i="133"/>
  <c r="W33" i="133" s="1"/>
  <c r="AV33" i="133"/>
  <c r="AW33" i="133" s="1"/>
  <c r="M33" i="133"/>
  <c r="BQ33" i="133"/>
  <c r="BR33" i="133" s="1"/>
  <c r="BA33" i="133"/>
  <c r="BB33" i="133" s="1"/>
  <c r="Y33" i="133"/>
  <c r="Z33" i="133" s="1"/>
  <c r="BD33" i="133"/>
  <c r="BE33" i="133" s="1"/>
  <c r="AE33" i="133"/>
  <c r="AF33" i="133" s="1"/>
  <c r="AT33" i="133"/>
  <c r="K34" i="133"/>
  <c r="AK29" i="95"/>
  <c r="BQ29" i="95"/>
  <c r="M29" i="95"/>
  <c r="AE29" i="95"/>
  <c r="K30" i="95"/>
  <c r="BN29" i="95"/>
  <c r="BO29" i="95" s="1"/>
  <c r="AH29" i="95"/>
  <c r="BL29" i="95"/>
  <c r="BG29" i="95"/>
  <c r="AN29" i="95"/>
  <c r="AB29" i="95"/>
  <c r="AT29" i="95"/>
  <c r="AV29" i="95" s="1"/>
  <c r="BA29" i="95"/>
  <c r="R29" i="95"/>
  <c r="T29" i="95" s="1"/>
  <c r="Y29" i="95" s="1"/>
  <c r="Z29" i="95" s="1"/>
  <c r="K32" i="129"/>
  <c r="AH31" i="129"/>
  <c r="BN31" i="129"/>
  <c r="BO31" i="129" s="1"/>
  <c r="AN31" i="129"/>
  <c r="AB31" i="129"/>
  <c r="BQ31" i="129"/>
  <c r="AK31" i="129"/>
  <c r="AY31" i="129"/>
  <c r="BA31" i="129" s="1"/>
  <c r="AE31" i="129"/>
  <c r="BL31" i="129"/>
  <c r="M31" i="129"/>
  <c r="V31" i="129"/>
  <c r="AT31" i="129"/>
  <c r="R31" i="129"/>
  <c r="T31" i="129" s="1"/>
  <c r="Y31" i="129" s="1"/>
  <c r="AC29" i="101"/>
  <c r="AL30" i="63"/>
  <c r="AL30" i="130"/>
  <c r="AQ28" i="95"/>
  <c r="AR28" i="95" s="1"/>
  <c r="BD29" i="112"/>
  <c r="BE29" i="112" s="1"/>
  <c r="AV29" i="112"/>
  <c r="AW29" i="112" s="1"/>
  <c r="AV30" i="129"/>
  <c r="AW30" i="129" s="1"/>
  <c r="BD30" i="129"/>
  <c r="BE30" i="129" s="1"/>
  <c r="W30" i="129"/>
  <c r="AL30" i="129"/>
  <c r="BR34" i="156"/>
  <c r="AR28" i="112"/>
  <c r="BK28" i="112"/>
  <c r="I34" i="106"/>
  <c r="AQ29" i="104"/>
  <c r="AR29" i="104" s="1"/>
  <c r="AK30" i="104"/>
  <c r="AT30" i="104"/>
  <c r="AV30" i="104" s="1"/>
  <c r="AN30" i="104"/>
  <c r="M30" i="104"/>
  <c r="BJ30" i="104"/>
  <c r="AB30" i="104"/>
  <c r="AH30" i="104"/>
  <c r="AY30" i="104"/>
  <c r="BA30" i="104" s="1"/>
  <c r="K31" i="104"/>
  <c r="BQ30" i="104"/>
  <c r="AE30" i="104"/>
  <c r="BR29" i="118"/>
  <c r="AO32" i="136"/>
  <c r="AO28" i="17"/>
  <c r="AW30" i="110"/>
  <c r="AI28" i="120"/>
  <c r="AF32" i="105"/>
  <c r="Z30" i="130"/>
  <c r="W30" i="130"/>
  <c r="AQ29" i="106"/>
  <c r="AF29" i="106"/>
  <c r="AI29" i="112"/>
  <c r="AQ29" i="112"/>
  <c r="AQ30" i="129"/>
  <c r="AR30" i="129" s="1"/>
  <c r="AC30" i="129"/>
  <c r="AI34" i="156"/>
  <c r="AQ34" i="156"/>
  <c r="AR34" i="156" s="1"/>
  <c r="AF30" i="114"/>
  <c r="AC30" i="98"/>
  <c r="W35" i="155"/>
  <c r="BR30" i="130"/>
  <c r="BR28" i="95"/>
  <c r="BR29" i="106"/>
  <c r="AO29" i="112"/>
  <c r="BG30" i="129"/>
  <c r="BH30" i="129" s="1"/>
  <c r="AR28" i="106"/>
  <c r="BK28" i="106"/>
  <c r="AV22" i="133"/>
  <c r="AW22" i="133" s="1"/>
  <c r="BD22" i="17"/>
  <c r="BE22" i="17" s="1"/>
  <c r="AT23" i="150"/>
  <c r="AT23" i="156"/>
  <c r="BA27" i="15"/>
  <c r="BB27" i="15" s="1"/>
  <c r="BG27" i="15"/>
  <c r="BH27" i="15" s="1"/>
  <c r="BA28" i="136"/>
  <c r="BB28" i="136" s="1"/>
  <c r="BG28" i="136"/>
  <c r="BH28" i="136" s="1"/>
  <c r="BA28" i="151"/>
  <c r="BB28" i="151" s="1"/>
  <c r="BG28" i="151"/>
  <c r="BH28" i="151" s="1"/>
  <c r="BA28" i="133"/>
  <c r="BB28" i="133" s="1"/>
  <c r="BG28" i="133"/>
  <c r="BH28" i="133" s="1"/>
  <c r="BG28" i="155"/>
  <c r="BH28" i="155" s="1"/>
  <c r="BA28" i="155"/>
  <c r="BB28" i="155" s="1"/>
  <c r="BA28" i="153"/>
  <c r="BB28" i="153" s="1"/>
  <c r="BG28" i="152"/>
  <c r="BH28" i="152" s="1"/>
  <c r="BA28" i="152"/>
  <c r="BB28" i="152" s="1"/>
  <c r="BA27" i="149"/>
  <c r="BB27" i="149" s="1"/>
  <c r="BG27" i="149"/>
  <c r="BH27" i="149" s="1"/>
  <c r="BG27" i="156"/>
  <c r="BH27" i="156" s="1"/>
  <c r="BA27" i="156"/>
  <c r="BB27" i="156" s="1"/>
  <c r="A33" i="7"/>
  <c r="AY29" i="150" s="1"/>
  <c r="AY28" i="156"/>
  <c r="AY29" i="155"/>
  <c r="AY29" i="133"/>
  <c r="AY29" i="136"/>
  <c r="AY28" i="130"/>
  <c r="AY29" i="130"/>
  <c r="AY28" i="15"/>
  <c r="AQ30" i="130"/>
  <c r="AR30" i="130" s="1"/>
  <c r="AI30" i="130"/>
  <c r="BL31" i="130"/>
  <c r="BN31" i="130"/>
  <c r="BO31" i="130" s="1"/>
  <c r="K32" i="130"/>
  <c r="M31" i="130"/>
  <c r="BQ31" i="130"/>
  <c r="V31" i="130"/>
  <c r="AB31" i="130"/>
  <c r="AE31" i="130"/>
  <c r="AH31" i="130"/>
  <c r="AK31" i="130"/>
  <c r="AL31" i="130" s="1"/>
  <c r="AN31" i="130"/>
  <c r="R31" i="130"/>
  <c r="T31" i="130" s="1"/>
  <c r="Y31" i="130" s="1"/>
  <c r="AV22" i="156"/>
  <c r="AW22" i="156" s="1"/>
  <c r="BD22" i="156"/>
  <c r="BE22" i="156" s="1"/>
  <c r="AV22" i="150"/>
  <c r="AW22" i="150" s="1"/>
  <c r="BD22" i="150"/>
  <c r="BE22" i="150" s="1"/>
  <c r="Z29" i="118"/>
  <c r="BE30" i="126"/>
  <c r="AF29" i="101"/>
  <c r="W33" i="151"/>
  <c r="Z33" i="151"/>
  <c r="AC34" i="124"/>
  <c r="T25" i="155"/>
  <c r="Y25" i="155" s="1"/>
  <c r="Z25" i="155" s="1"/>
  <c r="R26" i="155"/>
  <c r="V18" i="155"/>
  <c r="Z28" i="66"/>
  <c r="AL30" i="96"/>
  <c r="Z34" i="149"/>
  <c r="AI35" i="153"/>
  <c r="Z35" i="153"/>
  <c r="W35" i="153"/>
  <c r="BR35" i="153"/>
  <c r="AF35" i="153"/>
  <c r="BD22" i="15"/>
  <c r="BE22" i="15" s="1"/>
  <c r="BK30" i="115"/>
  <c r="P25" i="151"/>
  <c r="AQ35" i="155"/>
  <c r="AR35" i="155" s="1"/>
  <c r="AO35" i="155"/>
  <c r="AC35" i="155"/>
  <c r="BR35" i="155"/>
  <c r="AF35" i="155"/>
  <c r="AL35" i="155"/>
  <c r="AI35" i="155"/>
  <c r="K37" i="155"/>
  <c r="I38" i="155"/>
  <c r="AE36" i="155"/>
  <c r="AK36" i="155"/>
  <c r="V36" i="155"/>
  <c r="AB36" i="155"/>
  <c r="AH36" i="155"/>
  <c r="AN36" i="155"/>
  <c r="M36" i="155"/>
  <c r="BQ36" i="155"/>
  <c r="BN36" i="155"/>
  <c r="BO36" i="155" s="1"/>
  <c r="BL36" i="155"/>
  <c r="BD22" i="130"/>
  <c r="BE22" i="130" s="1"/>
  <c r="AV22" i="152"/>
  <c r="AW22" i="152" s="1"/>
  <c r="BD22" i="152"/>
  <c r="BE22" i="152" s="1"/>
  <c r="A25" i="58"/>
  <c r="AT24" i="13" s="1"/>
  <c r="AT23" i="133"/>
  <c r="AT23" i="120"/>
  <c r="AT24" i="136"/>
  <c r="AT23" i="13"/>
  <c r="AT23" i="153"/>
  <c r="AT23" i="15"/>
  <c r="AT23" i="130"/>
  <c r="AT23" i="152"/>
  <c r="AT23" i="17"/>
  <c r="AT23" i="136"/>
  <c r="BD22" i="13"/>
  <c r="BE22" i="13" s="1"/>
  <c r="AV22" i="13"/>
  <c r="AW22" i="13" s="1"/>
  <c r="BD22" i="153"/>
  <c r="BE22" i="153" s="1"/>
  <c r="AV22" i="153"/>
  <c r="AW22" i="153" s="1"/>
  <c r="AV22" i="120"/>
  <c r="AW22" i="120" s="1"/>
  <c r="BD22" i="120"/>
  <c r="BE22" i="120" s="1"/>
  <c r="AC35" i="152"/>
  <c r="AI35" i="152"/>
  <c r="AO35" i="152"/>
  <c r="Z35" i="152"/>
  <c r="O36" i="153"/>
  <c r="V36" i="153"/>
  <c r="R36" i="153"/>
  <c r="T36" i="153" s="1"/>
  <c r="Y36" i="153" s="1"/>
  <c r="BQ36" i="153"/>
  <c r="AB36" i="153"/>
  <c r="AH36" i="153"/>
  <c r="AN36" i="153"/>
  <c r="M36" i="153"/>
  <c r="BN36" i="153"/>
  <c r="BO36" i="153" s="1"/>
  <c r="AE36" i="153"/>
  <c r="AK36" i="153"/>
  <c r="P36" i="153"/>
  <c r="BL36" i="153"/>
  <c r="K37" i="153"/>
  <c r="AL35" i="153"/>
  <c r="AO35" i="153"/>
  <c r="AQ35" i="153"/>
  <c r="AR35" i="153" s="1"/>
  <c r="AC35" i="153"/>
  <c r="I41" i="153"/>
  <c r="AL35" i="152"/>
  <c r="W35" i="152"/>
  <c r="AF35" i="152"/>
  <c r="I45" i="152"/>
  <c r="BR35" i="152"/>
  <c r="M36" i="152"/>
  <c r="BQ36" i="152"/>
  <c r="O36" i="152"/>
  <c r="V36" i="152"/>
  <c r="AB36" i="152"/>
  <c r="AH36" i="152"/>
  <c r="AN36" i="152"/>
  <c r="P36" i="152"/>
  <c r="BN36" i="152"/>
  <c r="BO36" i="152" s="1"/>
  <c r="R36" i="152"/>
  <c r="T36" i="152" s="1"/>
  <c r="Y36" i="152" s="1"/>
  <c r="AE36" i="152"/>
  <c r="AK36" i="152"/>
  <c r="BL36" i="152"/>
  <c r="K37" i="152"/>
  <c r="AQ35" i="152"/>
  <c r="AR35" i="152" s="1"/>
  <c r="AW28" i="66"/>
  <c r="AC33" i="147"/>
  <c r="AW32" i="146"/>
  <c r="AI33" i="147"/>
  <c r="Z32" i="146"/>
  <c r="BH33" i="147"/>
  <c r="BE33" i="147"/>
  <c r="BG30" i="98"/>
  <c r="BH30" i="98" s="1"/>
  <c r="BD30" i="98"/>
  <c r="BE30" i="98" s="1"/>
  <c r="AQ32" i="150"/>
  <c r="AR32" i="150" s="1"/>
  <c r="AQ33" i="151"/>
  <c r="AR33" i="151" s="1"/>
  <c r="BK29" i="126"/>
  <c r="BK29" i="115"/>
  <c r="BK29" i="110"/>
  <c r="AL33" i="151"/>
  <c r="AC33" i="151"/>
  <c r="K35" i="151"/>
  <c r="I36" i="151"/>
  <c r="BR33" i="151"/>
  <c r="AI33" i="151"/>
  <c r="AK34" i="151"/>
  <c r="AE34" i="151"/>
  <c r="R34" i="151"/>
  <c r="T34" i="151" s="1"/>
  <c r="Y34" i="151" s="1"/>
  <c r="AN34" i="151"/>
  <c r="AH34" i="151"/>
  <c r="AB34" i="151"/>
  <c r="V34" i="151"/>
  <c r="BQ34" i="151"/>
  <c r="M34" i="151"/>
  <c r="BN34" i="151"/>
  <c r="BO34" i="151" s="1"/>
  <c r="BL34" i="151"/>
  <c r="AO33" i="151"/>
  <c r="AF33" i="151"/>
  <c r="BR32" i="150"/>
  <c r="AI32" i="150"/>
  <c r="I37" i="150"/>
  <c r="P33" i="150"/>
  <c r="AN33" i="150"/>
  <c r="AH33" i="150"/>
  <c r="AB33" i="150"/>
  <c r="V33" i="150"/>
  <c r="O33" i="150"/>
  <c r="BQ33" i="150"/>
  <c r="AE33" i="150"/>
  <c r="R33" i="150"/>
  <c r="T33" i="150" s="1"/>
  <c r="Y33" i="150" s="1"/>
  <c r="AK33" i="150"/>
  <c r="M33" i="150"/>
  <c r="BN33" i="150"/>
  <c r="BO33" i="150" s="1"/>
  <c r="BL33" i="150"/>
  <c r="K34" i="150"/>
  <c r="AL32" i="150"/>
  <c r="AF32" i="150"/>
  <c r="AO32" i="150"/>
  <c r="Z32" i="150"/>
  <c r="W32" i="150"/>
  <c r="AC32" i="150"/>
  <c r="AQ34" i="149"/>
  <c r="AR34" i="149" s="1"/>
  <c r="P24" i="149"/>
  <c r="V24" i="149" s="1"/>
  <c r="W24" i="149" s="1"/>
  <c r="BK31" i="146"/>
  <c r="AN35" i="149"/>
  <c r="AH35" i="149"/>
  <c r="AB35" i="149"/>
  <c r="V35" i="149"/>
  <c r="BQ35" i="149"/>
  <c r="R35" i="149"/>
  <c r="T35" i="149" s="1"/>
  <c r="Y35" i="149" s="1"/>
  <c r="AK35" i="149"/>
  <c r="AE35" i="149"/>
  <c r="M35" i="149"/>
  <c r="BN35" i="149"/>
  <c r="BO35" i="149" s="1"/>
  <c r="BL35" i="149"/>
  <c r="AC34" i="149"/>
  <c r="I37" i="149"/>
  <c r="K36" i="149"/>
  <c r="BR34" i="149"/>
  <c r="AI34" i="149"/>
  <c r="AL34" i="149"/>
  <c r="AF34" i="149"/>
  <c r="AO34" i="149"/>
  <c r="W34" i="149"/>
  <c r="T30" i="63"/>
  <c r="Y30" i="63" s="1"/>
  <c r="Z30" i="63" s="1"/>
  <c r="Z30" i="114"/>
  <c r="AI30" i="114"/>
  <c r="AW30" i="114"/>
  <c r="AO32" i="105"/>
  <c r="AL28" i="13"/>
  <c r="AF28" i="13"/>
  <c r="BB29" i="101"/>
  <c r="BR29" i="101"/>
  <c r="BB30" i="114"/>
  <c r="AC30" i="114"/>
  <c r="AW30" i="96"/>
  <c r="BB32" i="146"/>
  <c r="Z28" i="13"/>
  <c r="BA32" i="105"/>
  <c r="BB32" i="105" s="1"/>
  <c r="BA33" i="147"/>
  <c r="BB33" i="147" s="1"/>
  <c r="AV33" i="147"/>
  <c r="AW33" i="147" s="1"/>
  <c r="BL33" i="147"/>
  <c r="K35" i="147"/>
  <c r="AH35" i="147" s="1"/>
  <c r="I36" i="147"/>
  <c r="AE34" i="147"/>
  <c r="AT34" i="147"/>
  <c r="BD34" i="147" s="1"/>
  <c r="BQ34" i="147"/>
  <c r="AY34" i="147"/>
  <c r="BG34" i="147" s="1"/>
  <c r="AB34" i="147"/>
  <c r="M34" i="147"/>
  <c r="BJ34" i="147"/>
  <c r="BR33" i="147"/>
  <c r="BK32" i="147"/>
  <c r="V22" i="147"/>
  <c r="AF33" i="147"/>
  <c r="BL32" i="146"/>
  <c r="AT33" i="146"/>
  <c r="AV33" i="146" s="1"/>
  <c r="AB33" i="146"/>
  <c r="BQ33" i="146"/>
  <c r="AY33" i="146"/>
  <c r="BG33" i="146" s="1"/>
  <c r="R33" i="146"/>
  <c r="T33" i="146" s="1"/>
  <c r="Y33" i="146" s="1"/>
  <c r="AE33" i="146"/>
  <c r="BJ33" i="146"/>
  <c r="M33" i="146"/>
  <c r="BR32" i="146"/>
  <c r="AI32" i="146"/>
  <c r="BG32" i="146"/>
  <c r="BH32" i="146" s="1"/>
  <c r="I35" i="146"/>
  <c r="K34" i="146"/>
  <c r="AH34" i="146" s="1"/>
  <c r="BD32" i="146"/>
  <c r="BE32" i="146" s="1"/>
  <c r="AF32" i="146"/>
  <c r="AC32" i="146"/>
  <c r="V21" i="146"/>
  <c r="AL29" i="118"/>
  <c r="BB31" i="135"/>
  <c r="BR30" i="114"/>
  <c r="AO30" i="114"/>
  <c r="W30" i="114"/>
  <c r="BR28" i="66"/>
  <c r="AL28" i="66"/>
  <c r="AO28" i="66"/>
  <c r="BB29" i="118"/>
  <c r="BR34" i="124"/>
  <c r="AV30" i="126"/>
  <c r="AW30" i="126" s="1"/>
  <c r="AW32" i="105"/>
  <c r="BL32" i="105"/>
  <c r="BE31" i="64"/>
  <c r="W31" i="64"/>
  <c r="BE29" i="118"/>
  <c r="BH30" i="126"/>
  <c r="AQ30" i="126"/>
  <c r="AR30" i="126" s="1"/>
  <c r="BB30" i="63"/>
  <c r="BB31" i="64"/>
  <c r="AI29" i="101"/>
  <c r="BE29" i="101"/>
  <c r="BR28" i="17"/>
  <c r="AI28" i="17"/>
  <c r="W30" i="63"/>
  <c r="BD34" i="124"/>
  <c r="BE34" i="124" s="1"/>
  <c r="AW30" i="63"/>
  <c r="Z29" i="101"/>
  <c r="AL29" i="101"/>
  <c r="AO29" i="101"/>
  <c r="AO29" i="118"/>
  <c r="AI29" i="118"/>
  <c r="AF30" i="126"/>
  <c r="W30" i="126"/>
  <c r="BG34" i="124"/>
  <c r="BH34" i="124" s="1"/>
  <c r="AC28" i="66"/>
  <c r="BB28" i="66"/>
  <c r="BG31" i="135"/>
  <c r="BH31" i="135" s="1"/>
  <c r="BG30" i="115"/>
  <c r="BH30" i="115" s="1"/>
  <c r="BA30" i="126"/>
  <c r="BB30" i="126" s="1"/>
  <c r="BD30" i="96"/>
  <c r="BE30" i="96" s="1"/>
  <c r="BD30" i="110"/>
  <c r="BE30" i="110" s="1"/>
  <c r="BB30" i="110"/>
  <c r="BR30" i="63"/>
  <c r="AF30" i="63"/>
  <c r="AI30" i="63"/>
  <c r="AW30" i="98"/>
  <c r="BD28" i="66"/>
  <c r="BE28" i="66" s="1"/>
  <c r="AQ28" i="66"/>
  <c r="AR28" i="66" s="1"/>
  <c r="AL32" i="105"/>
  <c r="AI32" i="105"/>
  <c r="W32" i="105"/>
  <c r="BG31" i="64"/>
  <c r="BH31" i="64" s="1"/>
  <c r="AF29" i="118"/>
  <c r="W32" i="136"/>
  <c r="AC32" i="136"/>
  <c r="AL28" i="17"/>
  <c r="BB28" i="17"/>
  <c r="BL30" i="110"/>
  <c r="BE30" i="115"/>
  <c r="AC30" i="115"/>
  <c r="AQ30" i="63"/>
  <c r="AR30" i="63" s="1"/>
  <c r="AC30" i="63"/>
  <c r="AO30" i="63"/>
  <c r="BB30" i="98"/>
  <c r="BR32" i="105"/>
  <c r="AC32" i="105"/>
  <c r="BH32" i="105"/>
  <c r="AQ31" i="64"/>
  <c r="AR31" i="64" s="1"/>
  <c r="BG29" i="118"/>
  <c r="BH29" i="118" s="1"/>
  <c r="BG28" i="17"/>
  <c r="BH28" i="17" s="1"/>
  <c r="BD31" i="135"/>
  <c r="BE31" i="135" s="1"/>
  <c r="AL31" i="135"/>
  <c r="BR30" i="110"/>
  <c r="AC30" i="110"/>
  <c r="AO30" i="110"/>
  <c r="AQ30" i="114"/>
  <c r="AR30" i="114" s="1"/>
  <c r="AV31" i="64"/>
  <c r="AW31" i="64" s="1"/>
  <c r="AO28" i="13"/>
  <c r="BR28" i="13"/>
  <c r="BR30" i="96"/>
  <c r="BG29" i="101"/>
  <c r="BH29" i="101" s="1"/>
  <c r="BR31" i="135"/>
  <c r="AF30" i="110"/>
  <c r="AV29" i="118"/>
  <c r="AW29" i="118" s="1"/>
  <c r="AF31" i="135"/>
  <c r="AC31" i="135"/>
  <c r="BG30" i="110"/>
  <c r="BH30" i="110" s="1"/>
  <c r="AI30" i="110"/>
  <c r="BD30" i="63"/>
  <c r="BE30" i="63" s="1"/>
  <c r="BG28" i="66"/>
  <c r="BH28" i="66" s="1"/>
  <c r="AQ29" i="15"/>
  <c r="AR29" i="15" s="1"/>
  <c r="AC30" i="96"/>
  <c r="AV29" i="101"/>
  <c r="AW29" i="101" s="1"/>
  <c r="AQ29" i="118"/>
  <c r="AR29" i="118" s="1"/>
  <c r="I34" i="135"/>
  <c r="K33" i="135"/>
  <c r="AQ32" i="136"/>
  <c r="AR32" i="136" s="1"/>
  <c r="AI32" i="136"/>
  <c r="AF28" i="17"/>
  <c r="AC28" i="17"/>
  <c r="Z31" i="135"/>
  <c r="AQ31" i="135"/>
  <c r="AR31" i="135" s="1"/>
  <c r="W31" i="135"/>
  <c r="AV30" i="115"/>
  <c r="AW30" i="115" s="1"/>
  <c r="BR30" i="115"/>
  <c r="AL30" i="115"/>
  <c r="Z28" i="98"/>
  <c r="BK28" i="98"/>
  <c r="AC30" i="126"/>
  <c r="AO30" i="126"/>
  <c r="BN31" i="63"/>
  <c r="BO31" i="63" s="1"/>
  <c r="M31" i="63"/>
  <c r="BL31" i="63"/>
  <c r="V31" i="63"/>
  <c r="AH31" i="63"/>
  <c r="AB31" i="63"/>
  <c r="AE31" i="63"/>
  <c r="AN31" i="63"/>
  <c r="AK31" i="63"/>
  <c r="AY31" i="63"/>
  <c r="BA31" i="63" s="1"/>
  <c r="BQ31" i="63"/>
  <c r="AT31" i="63"/>
  <c r="BD31" i="63" s="1"/>
  <c r="K32" i="63"/>
  <c r="BG30" i="63"/>
  <c r="BH30" i="63" s="1"/>
  <c r="BG30" i="114"/>
  <c r="BH30" i="114" s="1"/>
  <c r="I33" i="110"/>
  <c r="K32" i="110"/>
  <c r="AQ30" i="98"/>
  <c r="AR30" i="98" s="1"/>
  <c r="AF30" i="98"/>
  <c r="BB34" i="124"/>
  <c r="BL34" i="124"/>
  <c r="AI29" i="15"/>
  <c r="M30" i="101"/>
  <c r="BQ30" i="101"/>
  <c r="AN30" i="101"/>
  <c r="AK30" i="101"/>
  <c r="AE30" i="101"/>
  <c r="AT30" i="101"/>
  <c r="BD30" i="101" s="1"/>
  <c r="AB30" i="101"/>
  <c r="AY30" i="101"/>
  <c r="BA30" i="101" s="1"/>
  <c r="R30" i="101"/>
  <c r="T30" i="101" s="1"/>
  <c r="Y30" i="101" s="1"/>
  <c r="BA28" i="120"/>
  <c r="BB28" i="120" s="1"/>
  <c r="BR28" i="120"/>
  <c r="K30" i="120"/>
  <c r="AH29" i="120"/>
  <c r="AE29" i="120"/>
  <c r="AY29" i="120"/>
  <c r="BG29" i="120" s="1"/>
  <c r="M29" i="120"/>
  <c r="AN29" i="120"/>
  <c r="BQ29" i="120"/>
  <c r="AK29" i="120"/>
  <c r="AB29" i="120"/>
  <c r="R29" i="120"/>
  <c r="T29" i="120" s="1"/>
  <c r="Y29" i="120" s="1"/>
  <c r="BD32" i="105"/>
  <c r="BE32" i="105" s="1"/>
  <c r="I37" i="136"/>
  <c r="Z31" i="64"/>
  <c r="AI31" i="64"/>
  <c r="AF31" i="64"/>
  <c r="AC31" i="64"/>
  <c r="BG28" i="13"/>
  <c r="BH28" i="13" s="1"/>
  <c r="AC28" i="13"/>
  <c r="BB30" i="96"/>
  <c r="BH30" i="96"/>
  <c r="M30" i="118"/>
  <c r="K31" i="118"/>
  <c r="AY30" i="118"/>
  <c r="BG30" i="118" s="1"/>
  <c r="AE30" i="118"/>
  <c r="AH30" i="118"/>
  <c r="V30" i="118"/>
  <c r="AB30" i="118"/>
  <c r="AK30" i="118"/>
  <c r="AN30" i="118"/>
  <c r="BQ30" i="118"/>
  <c r="AT30" i="118"/>
  <c r="BD30" i="118" s="1"/>
  <c r="M33" i="136"/>
  <c r="BN33" i="136"/>
  <c r="BO33" i="136" s="1"/>
  <c r="BL33" i="136"/>
  <c r="AB33" i="136"/>
  <c r="AH33" i="136"/>
  <c r="AN33" i="136"/>
  <c r="AK33" i="136"/>
  <c r="V33" i="136"/>
  <c r="AE33" i="136"/>
  <c r="BQ33" i="136"/>
  <c r="K34" i="136"/>
  <c r="I35" i="15"/>
  <c r="T29" i="98"/>
  <c r="Y29" i="98" s="1"/>
  <c r="R30" i="98"/>
  <c r="I46" i="133"/>
  <c r="I87" i="99"/>
  <c r="K30" i="13"/>
  <c r="I31" i="13"/>
  <c r="BL31" i="96"/>
  <c r="AH31" i="96"/>
  <c r="M31" i="96"/>
  <c r="BN31" i="96"/>
  <c r="BO31" i="96" s="1"/>
  <c r="AT31" i="96"/>
  <c r="AV31" i="96" s="1"/>
  <c r="AE31" i="96"/>
  <c r="V31" i="96"/>
  <c r="AB31" i="96"/>
  <c r="BG31" i="96"/>
  <c r="AK31" i="96"/>
  <c r="AN31" i="96"/>
  <c r="BQ31" i="96"/>
  <c r="BA31" i="96"/>
  <c r="R31" i="96"/>
  <c r="T31" i="96" s="1"/>
  <c r="Y31" i="96" s="1"/>
  <c r="I32" i="101"/>
  <c r="K31" i="101"/>
  <c r="AH31" i="101" s="1"/>
  <c r="M33" i="105"/>
  <c r="BJ33" i="105"/>
  <c r="AY33" i="105"/>
  <c r="BA33" i="105" s="1"/>
  <c r="V33" i="105"/>
  <c r="AB33" i="105"/>
  <c r="AT33" i="105"/>
  <c r="BD33" i="105" s="1"/>
  <c r="AE33" i="105"/>
  <c r="AH33" i="105"/>
  <c r="AK33" i="105"/>
  <c r="AL33" i="105" s="1"/>
  <c r="BQ33" i="105"/>
  <c r="AN33" i="105"/>
  <c r="K34" i="105"/>
  <c r="AR29" i="114"/>
  <c r="BK29" i="114"/>
  <c r="BR31" i="64"/>
  <c r="AO31" i="64"/>
  <c r="AQ28" i="13"/>
  <c r="AR28" i="13" s="1"/>
  <c r="I40" i="95"/>
  <c r="M31" i="115"/>
  <c r="BK31" i="115"/>
  <c r="BJ31" i="115"/>
  <c r="BL31" i="115" s="1"/>
  <c r="BN31" i="115"/>
  <c r="BO31" i="115" s="1"/>
  <c r="V31" i="115"/>
  <c r="AN31" i="115"/>
  <c r="BQ31" i="115"/>
  <c r="AT31" i="115"/>
  <c r="BD31" i="115" s="1"/>
  <c r="AB31" i="115"/>
  <c r="AE31" i="115"/>
  <c r="AH31" i="115"/>
  <c r="AK31" i="115"/>
  <c r="AY31" i="115"/>
  <c r="BA31" i="115" s="1"/>
  <c r="BB31" i="115" s="1"/>
  <c r="I36" i="63"/>
  <c r="I37" i="114"/>
  <c r="BR32" i="136"/>
  <c r="AF32" i="136"/>
  <c r="AQ28" i="17"/>
  <c r="AR28" i="17" s="1"/>
  <c r="I38" i="132"/>
  <c r="AQ30" i="115"/>
  <c r="AR30" i="115" s="1"/>
  <c r="AF30" i="115"/>
  <c r="AO30" i="115"/>
  <c r="W30" i="115"/>
  <c r="Z30" i="126"/>
  <c r="BR30" i="126"/>
  <c r="AI30" i="126"/>
  <c r="BL30" i="126"/>
  <c r="BK30" i="114"/>
  <c r="M29" i="13"/>
  <c r="BN29" i="13"/>
  <c r="BO29" i="13" s="1"/>
  <c r="AY29" i="13"/>
  <c r="BA29" i="13" s="1"/>
  <c r="BQ29" i="13"/>
  <c r="BL29" i="13"/>
  <c r="AE29" i="13"/>
  <c r="AN29" i="13"/>
  <c r="AH29" i="13"/>
  <c r="AK29" i="13"/>
  <c r="AB29" i="13"/>
  <c r="R29" i="13"/>
  <c r="T29" i="13" s="1"/>
  <c r="Y29" i="13" s="1"/>
  <c r="AL30" i="98"/>
  <c r="M31" i="98"/>
  <c r="K32" i="98"/>
  <c r="AT31" i="98"/>
  <c r="AV31" i="98" s="1"/>
  <c r="AB31" i="98"/>
  <c r="AY31" i="98"/>
  <c r="BG31" i="98" s="1"/>
  <c r="BJ31" i="98"/>
  <c r="AN31" i="98"/>
  <c r="AH31" i="98"/>
  <c r="AK31" i="98"/>
  <c r="AE31" i="98"/>
  <c r="BQ31" i="98"/>
  <c r="I33" i="96"/>
  <c r="K32" i="96"/>
  <c r="AF34" i="124"/>
  <c r="M35" i="124"/>
  <c r="BJ35" i="124"/>
  <c r="BL35" i="124" s="1"/>
  <c r="K36" i="124"/>
  <c r="AH36" i="124" s="1"/>
  <c r="BN35" i="124"/>
  <c r="BO35" i="124" s="1"/>
  <c r="V35" i="124"/>
  <c r="AB35" i="124"/>
  <c r="AE35" i="124"/>
  <c r="AT35" i="124"/>
  <c r="AV35" i="124" s="1"/>
  <c r="AY35" i="124"/>
  <c r="BA35" i="124" s="1"/>
  <c r="BQ35" i="124"/>
  <c r="BL30" i="15"/>
  <c r="BN30" i="15"/>
  <c r="BO30" i="15" s="1"/>
  <c r="V30" i="15"/>
  <c r="AN30" i="15"/>
  <c r="M30" i="15"/>
  <c r="AK30" i="15"/>
  <c r="BQ30" i="15"/>
  <c r="AH30" i="15"/>
  <c r="AE30" i="15"/>
  <c r="AB30" i="15"/>
  <c r="K31" i="15"/>
  <c r="AL29" i="15"/>
  <c r="BR29" i="15"/>
  <c r="Z28" i="120"/>
  <c r="AL28" i="120"/>
  <c r="AC28" i="120"/>
  <c r="AL31" i="64"/>
  <c r="Z30" i="96"/>
  <c r="AQ30" i="96"/>
  <c r="AR30" i="96" s="1"/>
  <c r="AF30" i="96"/>
  <c r="AO30" i="96"/>
  <c r="I31" i="66"/>
  <c r="K30" i="66"/>
  <c r="BL29" i="17"/>
  <c r="BN29" i="17"/>
  <c r="BO29" i="17" s="1"/>
  <c r="M29" i="17"/>
  <c r="AY29" i="17"/>
  <c r="BA29" i="17" s="1"/>
  <c r="AB29" i="17"/>
  <c r="AE29" i="17"/>
  <c r="AH29" i="17"/>
  <c r="AN29" i="17"/>
  <c r="AK29" i="17"/>
  <c r="BQ29" i="17"/>
  <c r="R29" i="17"/>
  <c r="T29" i="17" s="1"/>
  <c r="Y29" i="17" s="1"/>
  <c r="I38" i="105"/>
  <c r="I36" i="126"/>
  <c r="AQ29" i="101"/>
  <c r="AR29" i="101" s="1"/>
  <c r="I35" i="104"/>
  <c r="M32" i="135"/>
  <c r="AN32" i="135"/>
  <c r="AB32" i="135"/>
  <c r="AH32" i="135"/>
  <c r="V32" i="135"/>
  <c r="AK32" i="135"/>
  <c r="AE32" i="135"/>
  <c r="BN32" i="135"/>
  <c r="BO32" i="135" s="1"/>
  <c r="AY32" i="135"/>
  <c r="BA32" i="135" s="1"/>
  <c r="BL32" i="135"/>
  <c r="BQ32" i="135"/>
  <c r="AT32" i="135"/>
  <c r="AV32" i="135" s="1"/>
  <c r="R32" i="135"/>
  <c r="T32" i="135" s="1"/>
  <c r="Y32" i="135" s="1"/>
  <c r="I33" i="115"/>
  <c r="K32" i="115"/>
  <c r="AQ30" i="110"/>
  <c r="AR30" i="110" s="1"/>
  <c r="M31" i="126"/>
  <c r="AI31" i="126" s="1"/>
  <c r="BJ31" i="126"/>
  <c r="V31" i="126"/>
  <c r="AN31" i="126"/>
  <c r="AE31" i="126"/>
  <c r="AB31" i="126"/>
  <c r="AY31" i="126"/>
  <c r="BG31" i="126" s="1"/>
  <c r="AK31" i="126"/>
  <c r="AT31" i="126"/>
  <c r="AV31" i="126" s="1"/>
  <c r="BQ31" i="126"/>
  <c r="K32" i="126"/>
  <c r="AH35" i="126" s="1"/>
  <c r="R31" i="126"/>
  <c r="T31" i="126" s="1"/>
  <c r="Y31" i="126" s="1"/>
  <c r="I37" i="64"/>
  <c r="BK31" i="114"/>
  <c r="BN31" i="114"/>
  <c r="BO31" i="114" s="1"/>
  <c r="BJ31" i="114"/>
  <c r="BL31" i="114" s="1"/>
  <c r="V31" i="114"/>
  <c r="M31" i="114"/>
  <c r="AN31" i="114"/>
  <c r="AY31" i="114"/>
  <c r="BA31" i="114" s="1"/>
  <c r="AK31" i="114"/>
  <c r="AT31" i="114"/>
  <c r="AV31" i="114" s="1"/>
  <c r="AB31" i="114"/>
  <c r="AE31" i="114"/>
  <c r="AH31" i="114"/>
  <c r="BQ31" i="114"/>
  <c r="K32" i="114"/>
  <c r="R31" i="114"/>
  <c r="T31" i="114" s="1"/>
  <c r="Y31" i="114" s="1"/>
  <c r="BD30" i="114"/>
  <c r="BE30" i="114" s="1"/>
  <c r="M31" i="110"/>
  <c r="BJ31" i="110"/>
  <c r="AB31" i="110"/>
  <c r="AH31" i="110"/>
  <c r="AE31" i="110"/>
  <c r="AT31" i="110"/>
  <c r="BD31" i="110" s="1"/>
  <c r="AN31" i="110"/>
  <c r="AY31" i="110"/>
  <c r="BG31" i="110" s="1"/>
  <c r="AK31" i="110"/>
  <c r="BQ31" i="110"/>
  <c r="BL30" i="98"/>
  <c r="BR30" i="98"/>
  <c r="AO30" i="98"/>
  <c r="AW34" i="124"/>
  <c r="W34" i="124"/>
  <c r="AO29" i="15"/>
  <c r="AQ28" i="120"/>
  <c r="AR28" i="120" s="1"/>
  <c r="AO28" i="120"/>
  <c r="AF28" i="120"/>
  <c r="AQ32" i="105"/>
  <c r="AR32" i="105" s="1"/>
  <c r="M32" i="64"/>
  <c r="AB32" i="64"/>
  <c r="AY32" i="64"/>
  <c r="BA32" i="64" s="1"/>
  <c r="BL32" i="64"/>
  <c r="BN32" i="64"/>
  <c r="BO32" i="64" s="1"/>
  <c r="AE32" i="64"/>
  <c r="AH32" i="64"/>
  <c r="AK32" i="64"/>
  <c r="AN32" i="64"/>
  <c r="BQ32" i="64"/>
  <c r="V32" i="64"/>
  <c r="AT32" i="64"/>
  <c r="BD32" i="64" s="1"/>
  <c r="K33" i="64"/>
  <c r="R32" i="64"/>
  <c r="T32" i="64" s="1"/>
  <c r="Y32" i="64" s="1"/>
  <c r="M29" i="66"/>
  <c r="BN29" i="66"/>
  <c r="BO29" i="66" s="1"/>
  <c r="AB29" i="66"/>
  <c r="AE29" i="66"/>
  <c r="AH29" i="66"/>
  <c r="AI29" i="66" s="1"/>
  <c r="AK29" i="66"/>
  <c r="AY29" i="66"/>
  <c r="BA29" i="66" s="1"/>
  <c r="BL29" i="66"/>
  <c r="AN29" i="66"/>
  <c r="BQ29" i="66"/>
  <c r="R29" i="66"/>
  <c r="T29" i="66" s="1"/>
  <c r="Y29" i="66" s="1"/>
  <c r="AT29" i="66"/>
  <c r="BD29" i="66" s="1"/>
  <c r="I31" i="17"/>
  <c r="K30" i="17"/>
  <c r="P21" i="95"/>
  <c r="T30" i="104"/>
  <c r="Y30" i="104" s="1"/>
  <c r="R31" i="104"/>
  <c r="Z29" i="104"/>
  <c r="T30" i="15"/>
  <c r="Y30" i="15" s="1"/>
  <c r="R31" i="15"/>
  <c r="T30" i="136"/>
  <c r="Y30" i="136" s="1"/>
  <c r="Z30" i="136" s="1"/>
  <c r="R31" i="136"/>
  <c r="V20" i="98"/>
  <c r="T31" i="110"/>
  <c r="Y31" i="110" s="1"/>
  <c r="R32" i="110"/>
  <c r="Z30" i="110"/>
  <c r="BK31" i="124"/>
  <c r="Z31" i="124"/>
  <c r="R32" i="63"/>
  <c r="T31" i="63"/>
  <c r="Y31" i="63" s="1"/>
  <c r="Z31" i="63" s="1"/>
  <c r="R33" i="124"/>
  <c r="T32" i="124"/>
  <c r="Y32" i="124" s="1"/>
  <c r="W21" i="115"/>
  <c r="O22" i="115"/>
  <c r="W20" i="130"/>
  <c r="O21" i="130"/>
  <c r="T30" i="105"/>
  <c r="Y30" i="105" s="1"/>
  <c r="R31" i="105"/>
  <c r="T29" i="99"/>
  <c r="Y29" i="99" s="1"/>
  <c r="R30" i="99"/>
  <c r="P21" i="66"/>
  <c r="V21" i="66" s="1"/>
  <c r="W21" i="66" s="1"/>
  <c r="W21" i="129"/>
  <c r="O22" i="129"/>
  <c r="W23" i="124"/>
  <c r="O24" i="124"/>
  <c r="Z29" i="105"/>
  <c r="BK29" i="105"/>
  <c r="W19" i="99"/>
  <c r="O20" i="99"/>
  <c r="BK28" i="99"/>
  <c r="Z28" i="99"/>
  <c r="W21" i="106"/>
  <c r="O22" i="106"/>
  <c r="Z29" i="107"/>
  <c r="BK29" i="107"/>
  <c r="P21" i="13"/>
  <c r="P21" i="126"/>
  <c r="V19" i="105"/>
  <c r="P22" i="114"/>
  <c r="V20" i="107"/>
  <c r="T30" i="107"/>
  <c r="Y30" i="107" s="1"/>
  <c r="R31" i="107"/>
  <c r="W22" i="101"/>
  <c r="O23" i="101"/>
  <c r="P20" i="120"/>
  <c r="V20" i="118"/>
  <c r="R31" i="118"/>
  <c r="T30" i="118"/>
  <c r="Y30" i="118" s="1"/>
  <c r="V21" i="17"/>
  <c r="R32" i="115"/>
  <c r="T31" i="115"/>
  <c r="Y31" i="115" s="1"/>
  <c r="P20" i="136"/>
  <c r="P21" i="15"/>
  <c r="P22" i="96"/>
  <c r="P20" i="135"/>
  <c r="V20" i="63"/>
  <c r="W21" i="104"/>
  <c r="O22" i="104"/>
  <c r="P20" i="112"/>
  <c r="P23" i="64"/>
  <c r="V21" i="110"/>
  <c r="AI30" i="106" l="1"/>
  <c r="AO31" i="96"/>
  <c r="AW31" i="114"/>
  <c r="AO29" i="95"/>
  <c r="AO34" i="107"/>
  <c r="W34" i="107"/>
  <c r="AF31" i="110"/>
  <c r="Z31" i="129"/>
  <c r="AC32" i="99"/>
  <c r="BE30" i="106"/>
  <c r="W32" i="99"/>
  <c r="AI29" i="95"/>
  <c r="AI29" i="17"/>
  <c r="AC29" i="120"/>
  <c r="AC31" i="63"/>
  <c r="AW29" i="95"/>
  <c r="BR34" i="107"/>
  <c r="R34" i="147"/>
  <c r="T34" i="147" s="1"/>
  <c r="Y34" i="147" s="1"/>
  <c r="AI32" i="99"/>
  <c r="AQ32" i="99"/>
  <c r="AR32" i="99" s="1"/>
  <c r="AC33" i="105"/>
  <c r="W31" i="96"/>
  <c r="BA32" i="99"/>
  <c r="BB32" i="99" s="1"/>
  <c r="BG32" i="99"/>
  <c r="BH32" i="99" s="1"/>
  <c r="AE35" i="107"/>
  <c r="AT35" i="107"/>
  <c r="V35" i="107"/>
  <c r="M35" i="107"/>
  <c r="AK35" i="107"/>
  <c r="BN35" i="107"/>
  <c r="BO35" i="107" s="1"/>
  <c r="AB35" i="107"/>
  <c r="AH35" i="107"/>
  <c r="BQ35" i="107"/>
  <c r="BJ35" i="107"/>
  <c r="AY35" i="107"/>
  <c r="AN35" i="107"/>
  <c r="AO35" i="107" s="1"/>
  <c r="BH31" i="98"/>
  <c r="BB30" i="104"/>
  <c r="AF30" i="106"/>
  <c r="AO32" i="99"/>
  <c r="BL32" i="99"/>
  <c r="I37" i="107"/>
  <c r="K36" i="107"/>
  <c r="AY29" i="153"/>
  <c r="AF29" i="95"/>
  <c r="AL30" i="106"/>
  <c r="AF32" i="99"/>
  <c r="AE33" i="99"/>
  <c r="AF33" i="99" s="1"/>
  <c r="BQ33" i="99"/>
  <c r="AH33" i="99"/>
  <c r="M33" i="99"/>
  <c r="AY33" i="99"/>
  <c r="K34" i="99"/>
  <c r="BJ33" i="99"/>
  <c r="BL33" i="99" s="1"/>
  <c r="V33" i="99"/>
  <c r="AN33" i="99"/>
  <c r="AB33" i="99"/>
  <c r="AC33" i="99" s="1"/>
  <c r="AK33" i="99"/>
  <c r="AT33" i="99"/>
  <c r="AV34" i="107"/>
  <c r="AW34" i="107" s="1"/>
  <c r="BD34" i="107"/>
  <c r="BE34" i="107" s="1"/>
  <c r="BA34" i="107"/>
  <c r="BB34" i="107" s="1"/>
  <c r="BG34" i="107"/>
  <c r="BH34" i="107" s="1"/>
  <c r="AL31" i="98"/>
  <c r="AL29" i="13"/>
  <c r="AY29" i="152"/>
  <c r="BA29" i="152" s="1"/>
  <c r="BB29" i="152" s="1"/>
  <c r="BA28" i="150"/>
  <c r="BB28" i="150" s="1"/>
  <c r="BR30" i="106"/>
  <c r="AV32" i="99"/>
  <c r="AW32" i="99" s="1"/>
  <c r="BD32" i="99"/>
  <c r="BE32" i="99" s="1"/>
  <c r="AI34" i="107"/>
  <c r="AQ34" i="107"/>
  <c r="AR34" i="107" s="1"/>
  <c r="AQ29" i="95"/>
  <c r="AR29" i="95" s="1"/>
  <c r="AL32" i="99"/>
  <c r="BR32" i="99"/>
  <c r="AF34" i="107"/>
  <c r="AN33" i="132"/>
  <c r="AO33" i="132" s="1"/>
  <c r="AY33" i="132"/>
  <c r="AK33" i="132"/>
  <c r="AL33" i="132" s="1"/>
  <c r="BG33" i="132"/>
  <c r="BH33" i="132" s="1"/>
  <c r="M33" i="132"/>
  <c r="AH33" i="132"/>
  <c r="AI33" i="132" s="1"/>
  <c r="Y33" i="132"/>
  <c r="Z33" i="132" s="1"/>
  <c r="BQ33" i="132"/>
  <c r="BR33" i="132" s="1"/>
  <c r="R33" i="132"/>
  <c r="T33" i="132" s="1"/>
  <c r="AQ33" i="132"/>
  <c r="AR33" i="132" s="1"/>
  <c r="BD33" i="132"/>
  <c r="BE33" i="132" s="1"/>
  <c r="P33" i="132"/>
  <c r="K34" i="132"/>
  <c r="O33" i="132"/>
  <c r="BN33" i="132"/>
  <c r="BO33" i="132" s="1"/>
  <c r="AT33" i="132"/>
  <c r="BL33" i="132"/>
  <c r="BA33" i="132"/>
  <c r="BB33" i="132" s="1"/>
  <c r="AB33" i="132"/>
  <c r="AC33" i="132" s="1"/>
  <c r="AE33" i="132"/>
  <c r="AF33" i="132" s="1"/>
  <c r="V33" i="132"/>
  <c r="W33" i="132" s="1"/>
  <c r="AV33" i="132"/>
  <c r="AW33" i="132" s="1"/>
  <c r="BG31" i="129"/>
  <c r="BB29" i="95"/>
  <c r="BH29" i="95"/>
  <c r="Z30" i="106"/>
  <c r="BL30" i="112"/>
  <c r="Z30" i="112"/>
  <c r="AI30" i="104"/>
  <c r="AO30" i="104"/>
  <c r="AF35" i="156"/>
  <c r="AO35" i="156"/>
  <c r="AQ30" i="106"/>
  <c r="AR30" i="106" s="1"/>
  <c r="P19" i="156"/>
  <c r="BG30" i="104"/>
  <c r="BH30" i="104" s="1"/>
  <c r="BK29" i="104"/>
  <c r="Z30" i="118"/>
  <c r="AI30" i="15"/>
  <c r="BR30" i="104"/>
  <c r="AW30" i="104"/>
  <c r="BH31" i="129"/>
  <c r="AC35" i="156"/>
  <c r="BR35" i="156"/>
  <c r="AL31" i="129"/>
  <c r="Z31" i="115"/>
  <c r="Z30" i="15"/>
  <c r="Z29" i="13"/>
  <c r="W33" i="136"/>
  <c r="AC33" i="136"/>
  <c r="BE31" i="63"/>
  <c r="AC31" i="130"/>
  <c r="AL30" i="104"/>
  <c r="W31" i="129"/>
  <c r="BB31" i="129"/>
  <c r="AL35" i="156"/>
  <c r="BG30" i="106"/>
  <c r="BH30" i="106" s="1"/>
  <c r="AC30" i="106"/>
  <c r="T27" i="156"/>
  <c r="Y27" i="156" s="1"/>
  <c r="Z27" i="156" s="1"/>
  <c r="R28" i="156"/>
  <c r="I68" i="161"/>
  <c r="K67" i="161"/>
  <c r="BQ67" i="161" s="1"/>
  <c r="BD66" i="161"/>
  <c r="BE66" i="161" s="1"/>
  <c r="AQ66" i="161"/>
  <c r="AR66" i="161" s="1"/>
  <c r="AK66" i="161"/>
  <c r="AL66" i="161" s="1"/>
  <c r="AE66" i="161"/>
  <c r="AF66" i="161" s="1"/>
  <c r="Y66" i="161"/>
  <c r="Z66" i="161" s="1"/>
  <c r="R66" i="161"/>
  <c r="T66" i="161" s="1"/>
  <c r="AV66" i="161"/>
  <c r="AW66" i="161" s="1"/>
  <c r="P66" i="161"/>
  <c r="BG66" i="161"/>
  <c r="BH66" i="161" s="1"/>
  <c r="BA66" i="161"/>
  <c r="BB66" i="161" s="1"/>
  <c r="AT66" i="161"/>
  <c r="AN66" i="161"/>
  <c r="AO66" i="161" s="1"/>
  <c r="AH66" i="161"/>
  <c r="AI66" i="161" s="1"/>
  <c r="AB66" i="161"/>
  <c r="AC66" i="161" s="1"/>
  <c r="V66" i="161"/>
  <c r="W66" i="161" s="1"/>
  <c r="O66" i="161"/>
  <c r="AY66" i="161"/>
  <c r="BR66" i="161"/>
  <c r="BJ66" i="161"/>
  <c r="BL66" i="161" s="1"/>
  <c r="M66" i="161"/>
  <c r="BN66" i="161"/>
  <c r="BO66" i="161" s="1"/>
  <c r="BK66" i="161"/>
  <c r="AV30" i="106"/>
  <c r="AW30" i="106" s="1"/>
  <c r="BB30" i="106"/>
  <c r="AR29" i="106"/>
  <c r="BK29" i="106"/>
  <c r="AK31" i="104"/>
  <c r="AY31" i="104"/>
  <c r="BG31" i="104" s="1"/>
  <c r="K32" i="104"/>
  <c r="AN31" i="104"/>
  <c r="AE31" i="104"/>
  <c r="AH31" i="104"/>
  <c r="BQ31" i="104"/>
  <c r="AB31" i="104"/>
  <c r="M31" i="104"/>
  <c r="AT31" i="104"/>
  <c r="BD31" i="104" s="1"/>
  <c r="BJ31" i="104"/>
  <c r="AK32" i="129"/>
  <c r="BQ32" i="129"/>
  <c r="BL32" i="129"/>
  <c r="AN32" i="129"/>
  <c r="M32" i="129"/>
  <c r="AE32" i="129"/>
  <c r="K33" i="129"/>
  <c r="V32" i="129"/>
  <c r="BN32" i="129"/>
  <c r="BO32" i="129" s="1"/>
  <c r="AB32" i="129"/>
  <c r="AH32" i="129"/>
  <c r="AY32" i="129"/>
  <c r="BA32" i="129" s="1"/>
  <c r="R32" i="129"/>
  <c r="T32" i="129" s="1"/>
  <c r="Y32" i="129" s="1"/>
  <c r="AT32" i="129"/>
  <c r="BD32" i="129" s="1"/>
  <c r="BQ36" i="156"/>
  <c r="BL36" i="156"/>
  <c r="V36" i="156"/>
  <c r="AB36" i="156"/>
  <c r="AE36" i="156"/>
  <c r="AH36" i="156"/>
  <c r="AK36" i="156"/>
  <c r="AN36" i="156"/>
  <c r="M36" i="156"/>
  <c r="BN36" i="156"/>
  <c r="BO36" i="156" s="1"/>
  <c r="BD30" i="112"/>
  <c r="BE30" i="112" s="1"/>
  <c r="AV30" i="112"/>
  <c r="AW30" i="112" s="1"/>
  <c r="BB35" i="124"/>
  <c r="Z31" i="130"/>
  <c r="W31" i="130"/>
  <c r="BR31" i="129"/>
  <c r="AC29" i="95"/>
  <c r="BN30" i="95"/>
  <c r="BO30" i="95" s="1"/>
  <c r="BG30" i="95"/>
  <c r="AN30" i="95"/>
  <c r="AK30" i="95"/>
  <c r="AH30" i="95"/>
  <c r="BA30" i="95"/>
  <c r="AE30" i="95"/>
  <c r="BQ30" i="95"/>
  <c r="M30" i="95"/>
  <c r="AB30" i="95"/>
  <c r="K31" i="95"/>
  <c r="BL30" i="95"/>
  <c r="AT30" i="95"/>
  <c r="AV30" i="95" s="1"/>
  <c r="R30" i="95"/>
  <c r="T30" i="95" s="1"/>
  <c r="Y30" i="95" s="1"/>
  <c r="BL34" i="133"/>
  <c r="BG34" i="133"/>
  <c r="BH34" i="133" s="1"/>
  <c r="AK34" i="133"/>
  <c r="AL34" i="133" s="1"/>
  <c r="AQ34" i="133"/>
  <c r="AR34" i="133" s="1"/>
  <c r="AY34" i="133"/>
  <c r="AN34" i="133"/>
  <c r="AO34" i="133" s="1"/>
  <c r="P34" i="133"/>
  <c r="K35" i="133"/>
  <c r="AE34" i="133"/>
  <c r="AF34" i="133" s="1"/>
  <c r="BD34" i="133"/>
  <c r="BE34" i="133" s="1"/>
  <c r="BQ34" i="133"/>
  <c r="BR34" i="133" s="1"/>
  <c r="AT34" i="133"/>
  <c r="Y34" i="133"/>
  <c r="Z34" i="133" s="1"/>
  <c r="AH34" i="133"/>
  <c r="AI34" i="133" s="1"/>
  <c r="BN34" i="133"/>
  <c r="BO34" i="133" s="1"/>
  <c r="BA34" i="133"/>
  <c r="BB34" i="133" s="1"/>
  <c r="AV34" i="133"/>
  <c r="AW34" i="133" s="1"/>
  <c r="V34" i="133"/>
  <c r="W34" i="133" s="1"/>
  <c r="M34" i="133"/>
  <c r="AB34" i="133"/>
  <c r="AC34" i="133" s="1"/>
  <c r="R34" i="133"/>
  <c r="T34" i="133" s="1"/>
  <c r="O34" i="133"/>
  <c r="BA30" i="112"/>
  <c r="BB30" i="112" s="1"/>
  <c r="BG30" i="112"/>
  <c r="BH30" i="112" s="1"/>
  <c r="AB31" i="112"/>
  <c r="BQ31" i="112"/>
  <c r="K32" i="112"/>
  <c r="AH31" i="112"/>
  <c r="R31" i="112"/>
  <c r="T31" i="112" s="1"/>
  <c r="Y31" i="112" s="1"/>
  <c r="AN31" i="112"/>
  <c r="BJ31" i="112"/>
  <c r="AK31" i="112"/>
  <c r="M31" i="112"/>
  <c r="AY31" i="112"/>
  <c r="AT31" i="112"/>
  <c r="AE31" i="112"/>
  <c r="AO29" i="66"/>
  <c r="AL31" i="110"/>
  <c r="W32" i="135"/>
  <c r="W31" i="115"/>
  <c r="AI30" i="118"/>
  <c r="W36" i="152"/>
  <c r="AO31" i="130"/>
  <c r="BR31" i="130"/>
  <c r="AQ30" i="104"/>
  <c r="AR30" i="104" s="1"/>
  <c r="AC31" i="129"/>
  <c r="BR30" i="112"/>
  <c r="AR29" i="112"/>
  <c r="BK29" i="112"/>
  <c r="BD30" i="104"/>
  <c r="BE30" i="104" s="1"/>
  <c r="AC30" i="104"/>
  <c r="AO31" i="129"/>
  <c r="BD29" i="95"/>
  <c r="BE29" i="95" s="1"/>
  <c r="AC30" i="112"/>
  <c r="AF30" i="112"/>
  <c r="AO32" i="64"/>
  <c r="BB32" i="135"/>
  <c r="AC31" i="115"/>
  <c r="AO30" i="118"/>
  <c r="AF30" i="104"/>
  <c r="BL30" i="104"/>
  <c r="BD31" i="129"/>
  <c r="BE31" i="129" s="1"/>
  <c r="AV31" i="129"/>
  <c r="AW31" i="129" s="1"/>
  <c r="AF31" i="129"/>
  <c r="BR29" i="95"/>
  <c r="AO30" i="112"/>
  <c r="AL30" i="112"/>
  <c r="W35" i="156"/>
  <c r="AI35" i="156"/>
  <c r="AQ35" i="156"/>
  <c r="AR35" i="156" s="1"/>
  <c r="M31" i="106"/>
  <c r="BJ31" i="106"/>
  <c r="AE31" i="106"/>
  <c r="AB31" i="106"/>
  <c r="AT31" i="106"/>
  <c r="BD31" i="106" s="1"/>
  <c r="AK31" i="106"/>
  <c r="AH31" i="106"/>
  <c r="AY31" i="106"/>
  <c r="BA31" i="106" s="1"/>
  <c r="AN31" i="106"/>
  <c r="BQ31" i="106"/>
  <c r="BG31" i="106"/>
  <c r="K32" i="106"/>
  <c r="R31" i="106"/>
  <c r="T31" i="106" s="1"/>
  <c r="Y31" i="106" s="1"/>
  <c r="BL30" i="106"/>
  <c r="AL31" i="126"/>
  <c r="BB31" i="63"/>
  <c r="AF31" i="130"/>
  <c r="I35" i="106"/>
  <c r="AQ31" i="129"/>
  <c r="AR31" i="129" s="1"/>
  <c r="AI31" i="129"/>
  <c r="AL29" i="95"/>
  <c r="K37" i="156"/>
  <c r="I38" i="156"/>
  <c r="AQ30" i="112"/>
  <c r="AI30" i="112"/>
  <c r="AO30" i="106"/>
  <c r="AT24" i="15"/>
  <c r="AV24" i="15" s="1"/>
  <c r="AW24" i="15" s="1"/>
  <c r="AT24" i="17"/>
  <c r="BD24" i="17" s="1"/>
  <c r="BE24" i="17" s="1"/>
  <c r="AT24" i="130"/>
  <c r="BD24" i="130" s="1"/>
  <c r="BE24" i="130" s="1"/>
  <c r="AT24" i="133"/>
  <c r="AV24" i="133" s="1"/>
  <c r="AW24" i="133" s="1"/>
  <c r="AT24" i="150"/>
  <c r="AT24" i="156"/>
  <c r="AQ31" i="130"/>
  <c r="AR31" i="130" s="1"/>
  <c r="AI31" i="130"/>
  <c r="M32" i="130"/>
  <c r="K33" i="130"/>
  <c r="BN32" i="130"/>
  <c r="BO32" i="130" s="1"/>
  <c r="BL32" i="130"/>
  <c r="V32" i="130"/>
  <c r="BQ32" i="130"/>
  <c r="AE32" i="130"/>
  <c r="AH32" i="130"/>
  <c r="AK32" i="130"/>
  <c r="AN32" i="130"/>
  <c r="AB32" i="130"/>
  <c r="R32" i="130"/>
  <c r="T32" i="130" s="1"/>
  <c r="Y32" i="130" s="1"/>
  <c r="BA28" i="15"/>
  <c r="BB28" i="15" s="1"/>
  <c r="BG28" i="15"/>
  <c r="BH28" i="15" s="1"/>
  <c r="BG29" i="130"/>
  <c r="BH29" i="130" s="1"/>
  <c r="BA29" i="130"/>
  <c r="BB29" i="130" s="1"/>
  <c r="BA28" i="130"/>
  <c r="BB28" i="130" s="1"/>
  <c r="BG28" i="130"/>
  <c r="BH28" i="130" s="1"/>
  <c r="BA29" i="136"/>
  <c r="BB29" i="136" s="1"/>
  <c r="BG29" i="136"/>
  <c r="BH29" i="136" s="1"/>
  <c r="BA29" i="150"/>
  <c r="BB29" i="150" s="1"/>
  <c r="BG29" i="150"/>
  <c r="BH29" i="150" s="1"/>
  <c r="BG29" i="151"/>
  <c r="BH29" i="151" s="1"/>
  <c r="BA29" i="151"/>
  <c r="BB29" i="151" s="1"/>
  <c r="BA29" i="133"/>
  <c r="BB29" i="133" s="1"/>
  <c r="BG29" i="133"/>
  <c r="BH29" i="133" s="1"/>
  <c r="BG29" i="155"/>
  <c r="BH29" i="155" s="1"/>
  <c r="BA29" i="155"/>
  <c r="BB29" i="155" s="1"/>
  <c r="BG29" i="153"/>
  <c r="BH29" i="153" s="1"/>
  <c r="BA29" i="153"/>
  <c r="BB29" i="153" s="1"/>
  <c r="BG28" i="149"/>
  <c r="BH28" i="149" s="1"/>
  <c r="BA28" i="149"/>
  <c r="BB28" i="149" s="1"/>
  <c r="BA28" i="156"/>
  <c r="BB28" i="156" s="1"/>
  <c r="BG28" i="156"/>
  <c r="BH28" i="156" s="1"/>
  <c r="A34" i="7"/>
  <c r="AY30" i="155" s="1"/>
  <c r="AY29" i="156"/>
  <c r="AY30" i="150"/>
  <c r="AY29" i="15"/>
  <c r="BD23" i="156"/>
  <c r="BE23" i="156" s="1"/>
  <c r="AV23" i="156"/>
  <c r="AW23" i="156" s="1"/>
  <c r="AV23" i="150"/>
  <c r="AW23" i="150" s="1"/>
  <c r="BD23" i="150"/>
  <c r="BE23" i="150" s="1"/>
  <c r="Z33" i="150"/>
  <c r="BB30" i="101"/>
  <c r="AL30" i="101"/>
  <c r="AL33" i="150"/>
  <c r="T26" i="155"/>
  <c r="Y26" i="155" s="1"/>
  <c r="Z26" i="155" s="1"/>
  <c r="R27" i="155"/>
  <c r="BH34" i="147"/>
  <c r="AO33" i="150"/>
  <c r="BE30" i="101"/>
  <c r="W33" i="150"/>
  <c r="Z34" i="151"/>
  <c r="W18" i="155"/>
  <c r="O19" i="155"/>
  <c r="BK35" i="124"/>
  <c r="AL36" i="153"/>
  <c r="AQ36" i="155"/>
  <c r="AR36" i="155" s="1"/>
  <c r="AF36" i="152"/>
  <c r="AF36" i="153"/>
  <c r="AI36" i="153"/>
  <c r="Z36" i="153"/>
  <c r="V25" i="151"/>
  <c r="P26" i="151"/>
  <c r="AC36" i="155"/>
  <c r="BR36" i="155"/>
  <c r="W36" i="155"/>
  <c r="AL36" i="155"/>
  <c r="K38" i="155"/>
  <c r="I39" i="155"/>
  <c r="AO36" i="155"/>
  <c r="AF36" i="155"/>
  <c r="AE37" i="155"/>
  <c r="AK37" i="155"/>
  <c r="V37" i="155"/>
  <c r="AB37" i="155"/>
  <c r="AH37" i="155"/>
  <c r="AN37" i="155"/>
  <c r="BQ37" i="155"/>
  <c r="M37" i="155"/>
  <c r="BN37" i="155"/>
  <c r="BO37" i="155" s="1"/>
  <c r="BL37" i="155"/>
  <c r="AI36" i="155"/>
  <c r="AV23" i="136"/>
  <c r="AW23" i="136" s="1"/>
  <c r="BD23" i="136"/>
  <c r="BE23" i="136" s="1"/>
  <c r="AV23" i="130"/>
  <c r="AW23" i="130" s="1"/>
  <c r="BD23" i="130"/>
  <c r="BE23" i="130" s="1"/>
  <c r="AV23" i="153"/>
  <c r="AW23" i="153" s="1"/>
  <c r="BD23" i="153"/>
  <c r="BE23" i="153" s="1"/>
  <c r="BD23" i="133"/>
  <c r="BE23" i="133" s="1"/>
  <c r="AV23" i="133"/>
  <c r="AW23" i="133" s="1"/>
  <c r="BD23" i="15"/>
  <c r="BE23" i="15" s="1"/>
  <c r="AV23" i="15"/>
  <c r="AW23" i="15" s="1"/>
  <c r="BD23" i="13"/>
  <c r="BE23" i="13" s="1"/>
  <c r="AV23" i="13"/>
  <c r="AW23" i="13" s="1"/>
  <c r="BD24" i="136"/>
  <c r="BE24" i="136" s="1"/>
  <c r="AV24" i="136"/>
  <c r="AW24" i="136" s="1"/>
  <c r="BD24" i="13"/>
  <c r="BE24" i="13" s="1"/>
  <c r="AV24" i="13"/>
  <c r="AW24" i="13" s="1"/>
  <c r="A26" i="58"/>
  <c r="AT24" i="152"/>
  <c r="AT25" i="152"/>
  <c r="AT24" i="120"/>
  <c r="AT24" i="153"/>
  <c r="BD23" i="17"/>
  <c r="BE23" i="17" s="1"/>
  <c r="AV23" i="17"/>
  <c r="AW23" i="17" s="1"/>
  <c r="BD23" i="152"/>
  <c r="BE23" i="152" s="1"/>
  <c r="AV23" i="152"/>
  <c r="AW23" i="152" s="1"/>
  <c r="AV23" i="120"/>
  <c r="AW23" i="120" s="1"/>
  <c r="BD23" i="120"/>
  <c r="BE23" i="120" s="1"/>
  <c r="AO36" i="153"/>
  <c r="AQ36" i="153"/>
  <c r="AR36" i="153" s="1"/>
  <c r="I42" i="153"/>
  <c r="M37" i="153"/>
  <c r="BQ37" i="153"/>
  <c r="O37" i="153"/>
  <c r="V37" i="153"/>
  <c r="AB37" i="153"/>
  <c r="AH37" i="153"/>
  <c r="AN37" i="153"/>
  <c r="P37" i="153"/>
  <c r="BN37" i="153"/>
  <c r="BO37" i="153" s="1"/>
  <c r="AK37" i="153"/>
  <c r="R37" i="153"/>
  <c r="T37" i="153" s="1"/>
  <c r="Y37" i="153" s="1"/>
  <c r="AE37" i="153"/>
  <c r="BL37" i="153"/>
  <c r="K38" i="153"/>
  <c r="AC36" i="153"/>
  <c r="W36" i="153"/>
  <c r="BR36" i="153"/>
  <c r="Z36" i="152"/>
  <c r="AO36" i="152"/>
  <c r="AI36" i="152"/>
  <c r="BR36" i="152"/>
  <c r="AL36" i="152"/>
  <c r="AC36" i="152"/>
  <c r="AQ36" i="152"/>
  <c r="AR36" i="152" s="1"/>
  <c r="M37" i="152"/>
  <c r="BQ37" i="152"/>
  <c r="O37" i="152"/>
  <c r="V37" i="152"/>
  <c r="AB37" i="152"/>
  <c r="AH37" i="152"/>
  <c r="AN37" i="152"/>
  <c r="P37" i="152"/>
  <c r="BN37" i="152"/>
  <c r="BO37" i="152" s="1"/>
  <c r="R37" i="152"/>
  <c r="T37" i="152" s="1"/>
  <c r="Y37" i="152" s="1"/>
  <c r="AE37" i="152"/>
  <c r="AK37" i="152"/>
  <c r="BL37" i="152"/>
  <c r="K38" i="152"/>
  <c r="I46" i="152"/>
  <c r="BH33" i="146"/>
  <c r="AW33" i="146"/>
  <c r="AF33" i="150"/>
  <c r="AC33" i="150"/>
  <c r="BE34" i="147"/>
  <c r="AQ34" i="151"/>
  <c r="AR34" i="151" s="1"/>
  <c r="BG29" i="13"/>
  <c r="BH29" i="13" s="1"/>
  <c r="BK30" i="110"/>
  <c r="AO34" i="151"/>
  <c r="AF34" i="151"/>
  <c r="W34" i="151"/>
  <c r="AL34" i="151"/>
  <c r="AC34" i="151"/>
  <c r="K36" i="151"/>
  <c r="I37" i="151"/>
  <c r="BR34" i="151"/>
  <c r="AI34" i="151"/>
  <c r="AK35" i="151"/>
  <c r="AE35" i="151"/>
  <c r="R35" i="151"/>
  <c r="T35" i="151" s="1"/>
  <c r="Y35" i="151" s="1"/>
  <c r="AN35" i="151"/>
  <c r="AH35" i="151"/>
  <c r="AB35" i="151"/>
  <c r="V35" i="151"/>
  <c r="BQ35" i="151"/>
  <c r="BN35" i="151"/>
  <c r="BO35" i="151" s="1"/>
  <c r="M35" i="151"/>
  <c r="BL35" i="151"/>
  <c r="BR33" i="150"/>
  <c r="AI33" i="150"/>
  <c r="I38" i="150"/>
  <c r="P34" i="150"/>
  <c r="AN34" i="150"/>
  <c r="AH34" i="150"/>
  <c r="AB34" i="150"/>
  <c r="V34" i="150"/>
  <c r="O34" i="150"/>
  <c r="BQ34" i="150"/>
  <c r="AE34" i="150"/>
  <c r="R34" i="150"/>
  <c r="T34" i="150" s="1"/>
  <c r="Y34" i="150" s="1"/>
  <c r="AK34" i="150"/>
  <c r="BN34" i="150"/>
  <c r="BO34" i="150" s="1"/>
  <c r="BL34" i="150"/>
  <c r="M34" i="150"/>
  <c r="K35" i="150"/>
  <c r="AQ33" i="150"/>
  <c r="AR33" i="150" s="1"/>
  <c r="O25" i="149"/>
  <c r="P25" i="149" s="1"/>
  <c r="AL35" i="149"/>
  <c r="AC35" i="149"/>
  <c r="BR35" i="149"/>
  <c r="AN36" i="149"/>
  <c r="AH36" i="149"/>
  <c r="AB36" i="149"/>
  <c r="V36" i="149"/>
  <c r="BQ36" i="149"/>
  <c r="AE36" i="149"/>
  <c r="R36" i="149"/>
  <c r="T36" i="149" s="1"/>
  <c r="Y36" i="149" s="1"/>
  <c r="AK36" i="149"/>
  <c r="BL36" i="149"/>
  <c r="M36" i="149"/>
  <c r="BN36" i="149"/>
  <c r="BO36" i="149" s="1"/>
  <c r="Z35" i="149"/>
  <c r="AO35" i="149"/>
  <c r="AI35" i="149"/>
  <c r="I38" i="149"/>
  <c r="K37" i="149"/>
  <c r="AF35" i="149"/>
  <c r="AQ35" i="149"/>
  <c r="AR35" i="149" s="1"/>
  <c r="W35" i="149"/>
  <c r="AC34" i="147"/>
  <c r="AI34" i="147"/>
  <c r="AL31" i="115"/>
  <c r="BE31" i="115"/>
  <c r="BL34" i="147"/>
  <c r="AV34" i="147"/>
  <c r="AW34" i="147" s="1"/>
  <c r="BK33" i="147"/>
  <c r="Z34" i="147"/>
  <c r="AE35" i="147"/>
  <c r="AT35" i="147"/>
  <c r="AV35" i="147" s="1"/>
  <c r="BQ35" i="147"/>
  <c r="AB35" i="147"/>
  <c r="AY35" i="147"/>
  <c r="BG35" i="147" s="1"/>
  <c r="M35" i="147"/>
  <c r="BN35" i="147"/>
  <c r="BO35" i="147" s="1"/>
  <c r="BJ35" i="147"/>
  <c r="BL35" i="147" s="1"/>
  <c r="W22" i="147"/>
  <c r="O23" i="147"/>
  <c r="BA34" i="147"/>
  <c r="BB34" i="147" s="1"/>
  <c r="BR34" i="147"/>
  <c r="K36" i="147"/>
  <c r="AH36" i="147" s="1"/>
  <c r="I37" i="147"/>
  <c r="AF34" i="147"/>
  <c r="BK32" i="146"/>
  <c r="BL33" i="146"/>
  <c r="AT34" i="146"/>
  <c r="AV34" i="146" s="1"/>
  <c r="AB34" i="146"/>
  <c r="BQ34" i="146"/>
  <c r="AY34" i="146"/>
  <c r="BA34" i="146" s="1"/>
  <c r="R34" i="146"/>
  <c r="T34" i="146" s="1"/>
  <c r="Y34" i="146" s="1"/>
  <c r="AE34" i="146"/>
  <c r="BJ34" i="146"/>
  <c r="M34" i="146"/>
  <c r="AF33" i="146"/>
  <c r="AC33" i="146"/>
  <c r="BA33" i="146"/>
  <c r="BB33" i="146" s="1"/>
  <c r="I36" i="146"/>
  <c r="K35" i="146"/>
  <c r="AH35" i="146" s="1"/>
  <c r="BD33" i="146"/>
  <c r="BE33" i="146" s="1"/>
  <c r="BR33" i="146"/>
  <c r="AI33" i="146"/>
  <c r="W21" i="146"/>
  <c r="O22" i="146"/>
  <c r="Z33" i="146"/>
  <c r="BK30" i="126"/>
  <c r="BD31" i="126"/>
  <c r="BE31" i="126" s="1"/>
  <c r="BE29" i="66"/>
  <c r="AI31" i="115"/>
  <c r="BR31" i="115"/>
  <c r="BG31" i="115"/>
  <c r="BH31" i="115" s="1"/>
  <c r="AF31" i="115"/>
  <c r="AO31" i="115"/>
  <c r="BG32" i="64"/>
  <c r="BH32" i="64" s="1"/>
  <c r="AQ31" i="114"/>
  <c r="AR31" i="114" s="1"/>
  <c r="AO31" i="98"/>
  <c r="AO29" i="13"/>
  <c r="BB29" i="13"/>
  <c r="Z29" i="120"/>
  <c r="Z29" i="66"/>
  <c r="BB29" i="66"/>
  <c r="AV31" i="110"/>
  <c r="AW31" i="110" s="1"/>
  <c r="BD35" i="124"/>
  <c r="BE35" i="124" s="1"/>
  <c r="BE32" i="64"/>
  <c r="Z29" i="17"/>
  <c r="AQ32" i="135"/>
  <c r="AR32" i="135" s="1"/>
  <c r="BG30" i="101"/>
  <c r="BH30" i="101" s="1"/>
  <c r="BG29" i="66"/>
  <c r="BH29" i="66" s="1"/>
  <c r="BR29" i="66"/>
  <c r="AV32" i="64"/>
  <c r="AW32" i="64" s="1"/>
  <c r="AO29" i="17"/>
  <c r="BB29" i="17"/>
  <c r="BA31" i="98"/>
  <c r="BB31" i="98" s="1"/>
  <c r="AI29" i="13"/>
  <c r="BR29" i="13"/>
  <c r="BR33" i="105"/>
  <c r="BE33" i="105"/>
  <c r="AV30" i="101"/>
  <c r="AW30" i="101" s="1"/>
  <c r="AF30" i="101"/>
  <c r="BR30" i="101"/>
  <c r="AL29" i="66"/>
  <c r="AW32" i="135"/>
  <c r="BR29" i="17"/>
  <c r="AF29" i="17"/>
  <c r="AW35" i="124"/>
  <c r="AI33" i="105"/>
  <c r="W33" i="105"/>
  <c r="Z30" i="101"/>
  <c r="AC30" i="101"/>
  <c r="AI30" i="101"/>
  <c r="AO33" i="105"/>
  <c r="AF33" i="105"/>
  <c r="BB33" i="105"/>
  <c r="BB31" i="96"/>
  <c r="AW31" i="96"/>
  <c r="AQ30" i="101"/>
  <c r="AR30" i="101" s="1"/>
  <c r="BB32" i="64"/>
  <c r="AL32" i="64"/>
  <c r="BA31" i="110"/>
  <c r="BB31" i="110" s="1"/>
  <c r="BR32" i="135"/>
  <c r="BE30" i="118"/>
  <c r="AL30" i="118"/>
  <c r="AF30" i="118"/>
  <c r="AL29" i="120"/>
  <c r="BH29" i="120"/>
  <c r="BG31" i="63"/>
  <c r="BH31" i="63" s="1"/>
  <c r="AL31" i="63"/>
  <c r="AI31" i="63"/>
  <c r="AV29" i="66"/>
  <c r="AW29" i="66" s="1"/>
  <c r="AQ29" i="66"/>
  <c r="AR29" i="66" s="1"/>
  <c r="AF29" i="66"/>
  <c r="W32" i="64"/>
  <c r="BA31" i="126"/>
  <c r="BB31" i="126" s="1"/>
  <c r="BG29" i="17"/>
  <c r="BH29" i="17" s="1"/>
  <c r="AC30" i="15"/>
  <c r="AI35" i="124"/>
  <c r="AC35" i="124"/>
  <c r="AC29" i="13"/>
  <c r="AF29" i="13"/>
  <c r="BG33" i="105"/>
  <c r="BH33" i="105" s="1"/>
  <c r="BR30" i="118"/>
  <c r="AC30" i="118"/>
  <c r="BH30" i="118"/>
  <c r="BR29" i="120"/>
  <c r="BR31" i="63"/>
  <c r="AO31" i="63"/>
  <c r="AC29" i="66"/>
  <c r="Z32" i="64"/>
  <c r="BR32" i="64"/>
  <c r="AF32" i="64"/>
  <c r="AC32" i="64"/>
  <c r="AW31" i="126"/>
  <c r="BD32" i="135"/>
  <c r="BE32" i="135" s="1"/>
  <c r="BR35" i="124"/>
  <c r="AQ31" i="98"/>
  <c r="AR31" i="98" s="1"/>
  <c r="AW31" i="98"/>
  <c r="BA30" i="118"/>
  <c r="BB30" i="118" s="1"/>
  <c r="W30" i="118"/>
  <c r="BA29" i="120"/>
  <c r="BB29" i="120" s="1"/>
  <c r="AO29" i="120"/>
  <c r="AI29" i="120"/>
  <c r="AF31" i="63"/>
  <c r="M33" i="64"/>
  <c r="AY33" i="64"/>
  <c r="BA33" i="64" s="1"/>
  <c r="BN33" i="64"/>
  <c r="BO33" i="64" s="1"/>
  <c r="V33" i="64"/>
  <c r="BQ33" i="64"/>
  <c r="BL33" i="64"/>
  <c r="AE33" i="64"/>
  <c r="AH33" i="64"/>
  <c r="AN33" i="64"/>
  <c r="AK33" i="64"/>
  <c r="AB33" i="64"/>
  <c r="AT33" i="64"/>
  <c r="BD33" i="64" s="1"/>
  <c r="R33" i="64"/>
  <c r="T33" i="64" s="1"/>
  <c r="Y33" i="64" s="1"/>
  <c r="K34" i="64"/>
  <c r="BE31" i="110"/>
  <c r="AQ31" i="110"/>
  <c r="AR31" i="110" s="1"/>
  <c r="BL31" i="110"/>
  <c r="Z31" i="114"/>
  <c r="BR31" i="114"/>
  <c r="AC31" i="114"/>
  <c r="AO31" i="114"/>
  <c r="Z31" i="126"/>
  <c r="BR31" i="126"/>
  <c r="AF31" i="126"/>
  <c r="BL31" i="126"/>
  <c r="Z32" i="135"/>
  <c r="BG32" i="135"/>
  <c r="BH32" i="135" s="1"/>
  <c r="AL32" i="135"/>
  <c r="AO32" i="135"/>
  <c r="AL29" i="17"/>
  <c r="AC29" i="17"/>
  <c r="K31" i="66"/>
  <c r="I32" i="66"/>
  <c r="BL31" i="15"/>
  <c r="BN31" i="15"/>
  <c r="BO31" i="15" s="1"/>
  <c r="M31" i="15"/>
  <c r="AN31" i="15"/>
  <c r="V31" i="15"/>
  <c r="AK31" i="15"/>
  <c r="BQ31" i="15"/>
  <c r="AE31" i="15"/>
  <c r="AH31" i="15"/>
  <c r="AB31" i="15"/>
  <c r="K32" i="15"/>
  <c r="AQ30" i="15"/>
  <c r="AR30" i="15" s="1"/>
  <c r="BR30" i="15"/>
  <c r="AO30" i="15"/>
  <c r="AF35" i="124"/>
  <c r="M36" i="124"/>
  <c r="K37" i="124"/>
  <c r="AH37" i="124" s="1"/>
  <c r="BN36" i="124"/>
  <c r="BO36" i="124" s="1"/>
  <c r="BJ36" i="124"/>
  <c r="BL36" i="124" s="1"/>
  <c r="BK36" i="124"/>
  <c r="V36" i="124"/>
  <c r="AT36" i="124"/>
  <c r="AV36" i="124" s="1"/>
  <c r="AB36" i="124"/>
  <c r="AE36" i="124"/>
  <c r="AY36" i="124"/>
  <c r="BA36" i="124" s="1"/>
  <c r="BQ36" i="124"/>
  <c r="BD31" i="98"/>
  <c r="BE31" i="98" s="1"/>
  <c r="BL31" i="98"/>
  <c r="BR31" i="98"/>
  <c r="AI31" i="98"/>
  <c r="AC31" i="98"/>
  <c r="AQ29" i="13"/>
  <c r="AR29" i="13" s="1"/>
  <c r="AQ31" i="115"/>
  <c r="AR31" i="115" s="1"/>
  <c r="AQ33" i="105"/>
  <c r="AR33" i="105" s="1"/>
  <c r="I33" i="101"/>
  <c r="K32" i="101"/>
  <c r="AH32" i="101" s="1"/>
  <c r="BD31" i="96"/>
  <c r="BE31" i="96" s="1"/>
  <c r="BR31" i="96"/>
  <c r="AC31" i="96"/>
  <c r="K31" i="13"/>
  <c r="I32" i="13"/>
  <c r="I47" i="133"/>
  <c r="I36" i="15"/>
  <c r="AF33" i="136"/>
  <c r="AI33" i="136"/>
  <c r="AV30" i="118"/>
  <c r="AW30" i="118" s="1"/>
  <c r="AQ30" i="118"/>
  <c r="AR30" i="118" s="1"/>
  <c r="I38" i="136"/>
  <c r="AF29" i="120"/>
  <c r="AE30" i="120"/>
  <c r="K31" i="120"/>
  <c r="AH30" i="120"/>
  <c r="V30" i="120"/>
  <c r="BQ30" i="120"/>
  <c r="AN30" i="120"/>
  <c r="M30" i="120"/>
  <c r="AK30" i="120"/>
  <c r="AB30" i="120"/>
  <c r="R30" i="120"/>
  <c r="T30" i="120" s="1"/>
  <c r="Y30" i="120" s="1"/>
  <c r="AO30" i="101"/>
  <c r="AV31" i="63"/>
  <c r="AW31" i="63" s="1"/>
  <c r="AQ31" i="63"/>
  <c r="AR31" i="63" s="1"/>
  <c r="W31" i="63"/>
  <c r="BK32" i="114"/>
  <c r="BJ32" i="114"/>
  <c r="BL32" i="114" s="1"/>
  <c r="BN32" i="114"/>
  <c r="BO32" i="114" s="1"/>
  <c r="V32" i="114"/>
  <c r="M32" i="114"/>
  <c r="AT32" i="114"/>
  <c r="BD32" i="114" s="1"/>
  <c r="AB32" i="114"/>
  <c r="AH32" i="114"/>
  <c r="AY32" i="114"/>
  <c r="BA32" i="114" s="1"/>
  <c r="AN32" i="114"/>
  <c r="AE32" i="114"/>
  <c r="AK32" i="114"/>
  <c r="BQ32" i="114"/>
  <c r="K33" i="114"/>
  <c r="R32" i="114"/>
  <c r="T32" i="114" s="1"/>
  <c r="Y32" i="114" s="1"/>
  <c r="M32" i="126"/>
  <c r="BJ32" i="126"/>
  <c r="V32" i="126"/>
  <c r="AE32" i="126"/>
  <c r="AK32" i="126"/>
  <c r="AT32" i="126"/>
  <c r="AV32" i="126" s="1"/>
  <c r="AN32" i="126"/>
  <c r="AB32" i="126"/>
  <c r="AY32" i="126"/>
  <c r="BA32" i="126" s="1"/>
  <c r="BQ32" i="126"/>
  <c r="K33" i="126"/>
  <c r="AH36" i="126" s="1"/>
  <c r="R32" i="126"/>
  <c r="T32" i="126" s="1"/>
  <c r="Y32" i="126" s="1"/>
  <c r="W30" i="15"/>
  <c r="I37" i="63"/>
  <c r="I41" i="95"/>
  <c r="BL33" i="105"/>
  <c r="BL30" i="13"/>
  <c r="M30" i="13"/>
  <c r="BN30" i="13"/>
  <c r="BO30" i="13" s="1"/>
  <c r="BQ30" i="13"/>
  <c r="AH30" i="13"/>
  <c r="V30" i="13"/>
  <c r="AN30" i="13"/>
  <c r="AK30" i="13"/>
  <c r="AE30" i="13"/>
  <c r="AB30" i="13"/>
  <c r="R30" i="13"/>
  <c r="T30" i="13" s="1"/>
  <c r="Y30" i="13" s="1"/>
  <c r="T30" i="98"/>
  <c r="Y30" i="98" s="1"/>
  <c r="R31" i="98"/>
  <c r="M34" i="136"/>
  <c r="BN34" i="136"/>
  <c r="BO34" i="136" s="1"/>
  <c r="BL34" i="136"/>
  <c r="V34" i="136"/>
  <c r="AN34" i="136"/>
  <c r="AH34" i="136"/>
  <c r="AE34" i="136"/>
  <c r="AB34" i="136"/>
  <c r="AK34" i="136"/>
  <c r="BQ34" i="136"/>
  <c r="K35" i="136"/>
  <c r="M31" i="118"/>
  <c r="K32" i="118"/>
  <c r="R32" i="118" s="1"/>
  <c r="AB31" i="118"/>
  <c r="AH31" i="118"/>
  <c r="AY31" i="118"/>
  <c r="BA31" i="118" s="1"/>
  <c r="V31" i="118"/>
  <c r="AK31" i="118"/>
  <c r="AE31" i="118"/>
  <c r="BQ31" i="118"/>
  <c r="AN31" i="118"/>
  <c r="AT31" i="118"/>
  <c r="BD31" i="118" s="1"/>
  <c r="M32" i="110"/>
  <c r="BJ32" i="110"/>
  <c r="AE32" i="110"/>
  <c r="AY32" i="110"/>
  <c r="BA32" i="110" s="1"/>
  <c r="AK32" i="110"/>
  <c r="AB32" i="110"/>
  <c r="AT32" i="110"/>
  <c r="BD32" i="110" s="1"/>
  <c r="AN32" i="110"/>
  <c r="AH32" i="110"/>
  <c r="BQ32" i="110"/>
  <c r="BL30" i="17"/>
  <c r="BN30" i="17"/>
  <c r="BO30" i="17" s="1"/>
  <c r="M30" i="17"/>
  <c r="AY30" i="17"/>
  <c r="BA30" i="17" s="1"/>
  <c r="V30" i="17"/>
  <c r="AK30" i="17"/>
  <c r="AE30" i="17"/>
  <c r="AB30" i="17"/>
  <c r="AN30" i="17"/>
  <c r="AH30" i="17"/>
  <c r="BQ30" i="17"/>
  <c r="R30" i="17"/>
  <c r="T30" i="17" s="1"/>
  <c r="Y30" i="17" s="1"/>
  <c r="AI32" i="64"/>
  <c r="AI31" i="110"/>
  <c r="BG31" i="114"/>
  <c r="BH31" i="114" s="1"/>
  <c r="AI31" i="114"/>
  <c r="AL31" i="114"/>
  <c r="W31" i="114"/>
  <c r="AQ31" i="126"/>
  <c r="AR31" i="126" s="1"/>
  <c r="AO31" i="126"/>
  <c r="M32" i="115"/>
  <c r="BJ32" i="115"/>
  <c r="BL32" i="115" s="1"/>
  <c r="V32" i="115"/>
  <c r="BN32" i="115"/>
  <c r="BO32" i="115" s="1"/>
  <c r="BK32" i="115"/>
  <c r="BQ32" i="115"/>
  <c r="AT32" i="115"/>
  <c r="BD32" i="115" s="1"/>
  <c r="AE32" i="115"/>
  <c r="AK32" i="115"/>
  <c r="AB32" i="115"/>
  <c r="AH32" i="115"/>
  <c r="AN32" i="115"/>
  <c r="AY32" i="115"/>
  <c r="BA32" i="115" s="1"/>
  <c r="BB32" i="115" s="1"/>
  <c r="AI32" i="135"/>
  <c r="I37" i="126"/>
  <c r="AF30" i="15"/>
  <c r="AL30" i="15"/>
  <c r="BG35" i="124"/>
  <c r="BH35" i="124" s="1"/>
  <c r="W35" i="124"/>
  <c r="BL32" i="96"/>
  <c r="AH32" i="96"/>
  <c r="AT32" i="96"/>
  <c r="AV32" i="96" s="1"/>
  <c r="M32" i="96"/>
  <c r="AK32" i="96"/>
  <c r="BN32" i="96"/>
  <c r="BO32" i="96" s="1"/>
  <c r="BG32" i="96"/>
  <c r="AE32" i="96"/>
  <c r="AB32" i="96"/>
  <c r="AN32" i="96"/>
  <c r="V32" i="96"/>
  <c r="BQ32" i="96"/>
  <c r="BA32" i="96"/>
  <c r="R32" i="96"/>
  <c r="T32" i="96" s="1"/>
  <c r="Y32" i="96" s="1"/>
  <c r="AF31" i="98"/>
  <c r="M32" i="98"/>
  <c r="K33" i="98"/>
  <c r="AE32" i="98"/>
  <c r="AB32" i="98"/>
  <c r="AY32" i="98"/>
  <c r="BA32" i="98" s="1"/>
  <c r="V32" i="98"/>
  <c r="BJ32" i="98"/>
  <c r="AK32" i="98"/>
  <c r="AH32" i="98"/>
  <c r="AT32" i="98"/>
  <c r="BD32" i="98" s="1"/>
  <c r="AN32" i="98"/>
  <c r="BQ32" i="98"/>
  <c r="I39" i="132"/>
  <c r="AV31" i="115"/>
  <c r="AW31" i="115" s="1"/>
  <c r="M34" i="105"/>
  <c r="BJ34" i="105"/>
  <c r="AY34" i="105"/>
  <c r="BA34" i="105" s="1"/>
  <c r="AB34" i="105"/>
  <c r="AT34" i="105"/>
  <c r="BD34" i="105" s="1"/>
  <c r="V34" i="105"/>
  <c r="AE34" i="105"/>
  <c r="AH34" i="105"/>
  <c r="AK34" i="105"/>
  <c r="BQ34" i="105"/>
  <c r="AN34" i="105"/>
  <c r="K35" i="105"/>
  <c r="AV33" i="105"/>
  <c r="AW33" i="105" s="1"/>
  <c r="AL31" i="96"/>
  <c r="AF31" i="96"/>
  <c r="AI31" i="96"/>
  <c r="I88" i="99"/>
  <c r="BK29" i="98"/>
  <c r="Z29" i="98"/>
  <c r="AQ33" i="136"/>
  <c r="AR33" i="136" s="1"/>
  <c r="AL33" i="136"/>
  <c r="I34" i="110"/>
  <c r="K33" i="110"/>
  <c r="BN32" i="63"/>
  <c r="BO32" i="63" s="1"/>
  <c r="M32" i="63"/>
  <c r="V32" i="63"/>
  <c r="AK32" i="63"/>
  <c r="AE32" i="63"/>
  <c r="AB32" i="63"/>
  <c r="AN32" i="63"/>
  <c r="AH32" i="63"/>
  <c r="AY32" i="63"/>
  <c r="BA32" i="63" s="1"/>
  <c r="BL32" i="63"/>
  <c r="BQ32" i="63"/>
  <c r="AT32" i="63"/>
  <c r="AV32" i="63" s="1"/>
  <c r="K33" i="63"/>
  <c r="R33" i="63" s="1"/>
  <c r="M33" i="135"/>
  <c r="AK33" i="135"/>
  <c r="AE33" i="135"/>
  <c r="AH33" i="135"/>
  <c r="V33" i="135"/>
  <c r="AB33" i="135"/>
  <c r="BN33" i="135"/>
  <c r="BO33" i="135" s="1"/>
  <c r="AN33" i="135"/>
  <c r="AY33" i="135"/>
  <c r="BG33" i="135" s="1"/>
  <c r="BL33" i="135"/>
  <c r="BQ33" i="135"/>
  <c r="AT33" i="135"/>
  <c r="BD33" i="135" s="1"/>
  <c r="R33" i="135"/>
  <c r="T33" i="135" s="1"/>
  <c r="Y33" i="135" s="1"/>
  <c r="I32" i="17"/>
  <c r="K31" i="17"/>
  <c r="AQ32" i="64"/>
  <c r="AR32" i="64" s="1"/>
  <c r="BH31" i="110"/>
  <c r="BR31" i="110"/>
  <c r="AO31" i="110"/>
  <c r="AC31" i="110"/>
  <c r="BD31" i="114"/>
  <c r="BE31" i="114" s="1"/>
  <c r="AF31" i="114"/>
  <c r="BB31" i="114"/>
  <c r="I38" i="64"/>
  <c r="BH31" i="126"/>
  <c r="AC31" i="126"/>
  <c r="W31" i="126"/>
  <c r="I34" i="115"/>
  <c r="K33" i="115"/>
  <c r="AF32" i="135"/>
  <c r="AC32" i="135"/>
  <c r="I36" i="104"/>
  <c r="I39" i="105"/>
  <c r="AQ29" i="17"/>
  <c r="AR29" i="17" s="1"/>
  <c r="M30" i="66"/>
  <c r="V30" i="66"/>
  <c r="AN30" i="66"/>
  <c r="BN30" i="66"/>
  <c r="BO30" i="66" s="1"/>
  <c r="BL30" i="66"/>
  <c r="AY30" i="66"/>
  <c r="BA30" i="66" s="1"/>
  <c r="AE30" i="66"/>
  <c r="AB30" i="66"/>
  <c r="AH30" i="66"/>
  <c r="AK30" i="66"/>
  <c r="BQ30" i="66"/>
  <c r="AT30" i="66"/>
  <c r="AV30" i="66" s="1"/>
  <c r="R30" i="66"/>
  <c r="T30" i="66" s="1"/>
  <c r="Y30" i="66" s="1"/>
  <c r="K33" i="96"/>
  <c r="I34" i="96"/>
  <c r="I38" i="114"/>
  <c r="M31" i="101"/>
  <c r="AI31" i="101" s="1"/>
  <c r="BQ31" i="101"/>
  <c r="AN31" i="101"/>
  <c r="AK31" i="101"/>
  <c r="AB31" i="101"/>
  <c r="AY31" i="101"/>
  <c r="BG31" i="101" s="1"/>
  <c r="AT31" i="101"/>
  <c r="AV31" i="101" s="1"/>
  <c r="AE31" i="101"/>
  <c r="R31" i="101"/>
  <c r="T31" i="101" s="1"/>
  <c r="Y31" i="101" s="1"/>
  <c r="Z31" i="96"/>
  <c r="AQ31" i="96"/>
  <c r="AR31" i="96" s="1"/>
  <c r="BH31" i="96"/>
  <c r="BR33" i="136"/>
  <c r="AO33" i="136"/>
  <c r="AQ29" i="120"/>
  <c r="AR29" i="120" s="1"/>
  <c r="I35" i="135"/>
  <c r="K34" i="135"/>
  <c r="V21" i="95"/>
  <c r="R32" i="15"/>
  <c r="T31" i="15"/>
  <c r="Y31" i="15" s="1"/>
  <c r="Z31" i="15" s="1"/>
  <c r="R32" i="104"/>
  <c r="T31" i="104"/>
  <c r="Y31" i="104" s="1"/>
  <c r="Z30" i="104"/>
  <c r="R32" i="136"/>
  <c r="T31" i="136"/>
  <c r="Y31" i="136" s="1"/>
  <c r="Z31" i="136" s="1"/>
  <c r="BK32" i="124"/>
  <c r="Z32" i="124"/>
  <c r="T32" i="110"/>
  <c r="Y32" i="110" s="1"/>
  <c r="R33" i="110"/>
  <c r="T33" i="124"/>
  <c r="Y33" i="124" s="1"/>
  <c r="R34" i="124"/>
  <c r="T32" i="63"/>
  <c r="Y32" i="63" s="1"/>
  <c r="Z32" i="63" s="1"/>
  <c r="Z31" i="110"/>
  <c r="W20" i="98"/>
  <c r="O21" i="98"/>
  <c r="P22" i="115"/>
  <c r="P23" i="101"/>
  <c r="V21" i="126"/>
  <c r="BK30" i="107"/>
  <c r="Z30" i="107"/>
  <c r="W20" i="107"/>
  <c r="O21" i="107"/>
  <c r="W19" i="105"/>
  <c r="O20" i="105"/>
  <c r="P22" i="129"/>
  <c r="R32" i="107"/>
  <c r="T31" i="107"/>
  <c r="Y31" i="107" s="1"/>
  <c r="V22" i="114"/>
  <c r="V21" i="13"/>
  <c r="P22" i="106"/>
  <c r="P24" i="124"/>
  <c r="T30" i="99"/>
  <c r="Y30" i="99" s="1"/>
  <c r="R31" i="99"/>
  <c r="T31" i="105"/>
  <c r="Y31" i="105" s="1"/>
  <c r="R32" i="105"/>
  <c r="P20" i="99"/>
  <c r="P21" i="130"/>
  <c r="O22" i="66"/>
  <c r="Z29" i="99"/>
  <c r="BK29" i="99"/>
  <c r="Z30" i="105"/>
  <c r="BK30" i="105"/>
  <c r="V20" i="120"/>
  <c r="T31" i="118"/>
  <c r="Y31" i="118" s="1"/>
  <c r="W20" i="118"/>
  <c r="O21" i="118"/>
  <c r="P21" i="118" s="1"/>
  <c r="V23" i="64"/>
  <c r="W20" i="63"/>
  <c r="O21" i="63"/>
  <c r="V21" i="15"/>
  <c r="W21" i="17"/>
  <c r="O22" i="17"/>
  <c r="W21" i="110"/>
  <c r="O22" i="110"/>
  <c r="V20" i="135"/>
  <c r="R33" i="115"/>
  <c r="T32" i="115"/>
  <c r="Y32" i="115" s="1"/>
  <c r="P22" i="104"/>
  <c r="V20" i="112"/>
  <c r="V20" i="136"/>
  <c r="V22" i="96"/>
  <c r="BG29" i="152" l="1"/>
  <c r="BH29" i="152" s="1"/>
  <c r="AF30" i="13"/>
  <c r="R35" i="147"/>
  <c r="T35" i="147" s="1"/>
  <c r="Y35" i="147" s="1"/>
  <c r="BR30" i="17"/>
  <c r="AI32" i="110"/>
  <c r="BE31" i="106"/>
  <c r="AI30" i="13"/>
  <c r="W33" i="135"/>
  <c r="AF30" i="17"/>
  <c r="AL32" i="110"/>
  <c r="BR33" i="64"/>
  <c r="AC31" i="104"/>
  <c r="AI30" i="66"/>
  <c r="AI32" i="98"/>
  <c r="BE31" i="104"/>
  <c r="AO31" i="104"/>
  <c r="AL35" i="107"/>
  <c r="AL33" i="99"/>
  <c r="BH31" i="104"/>
  <c r="BR35" i="107"/>
  <c r="BR31" i="118"/>
  <c r="AW30" i="95"/>
  <c r="AO33" i="99"/>
  <c r="BH33" i="135"/>
  <c r="BB32" i="98"/>
  <c r="Z32" i="129"/>
  <c r="AI31" i="104"/>
  <c r="BA33" i="99"/>
  <c r="BB33" i="99" s="1"/>
  <c r="BG33" i="99"/>
  <c r="BH33" i="99" s="1"/>
  <c r="AL31" i="112"/>
  <c r="BL31" i="104"/>
  <c r="BA35" i="107"/>
  <c r="BB35" i="107" s="1"/>
  <c r="BG35" i="107"/>
  <c r="BH35" i="107" s="1"/>
  <c r="AO33" i="64"/>
  <c r="AY30" i="153"/>
  <c r="W32" i="130"/>
  <c r="AO31" i="106"/>
  <c r="AQ32" i="129"/>
  <c r="AR32" i="129" s="1"/>
  <c r="AQ33" i="99"/>
  <c r="AR33" i="99" s="1"/>
  <c r="AI33" i="99"/>
  <c r="BL35" i="107"/>
  <c r="BK35" i="107"/>
  <c r="AC31" i="101"/>
  <c r="BB31" i="118"/>
  <c r="Z30" i="13"/>
  <c r="W30" i="13"/>
  <c r="AY30" i="152"/>
  <c r="BG30" i="152" s="1"/>
  <c r="BH30" i="152" s="1"/>
  <c r="AF31" i="112"/>
  <c r="BQ34" i="132"/>
  <c r="BR34" i="132" s="1"/>
  <c r="V34" i="132"/>
  <c r="W34" i="132" s="1"/>
  <c r="AB34" i="132"/>
  <c r="AC34" i="132" s="1"/>
  <c r="BG34" i="132"/>
  <c r="BH34" i="132" s="1"/>
  <c r="BD34" i="132"/>
  <c r="BE34" i="132" s="1"/>
  <c r="AY34" i="132"/>
  <c r="M34" i="132"/>
  <c r="O34" i="132"/>
  <c r="AQ34" i="132"/>
  <c r="AR34" i="132" s="1"/>
  <c r="P34" i="132"/>
  <c r="BA34" i="132"/>
  <c r="BB34" i="132" s="1"/>
  <c r="BL34" i="132"/>
  <c r="R34" i="132"/>
  <c r="T34" i="132" s="1"/>
  <c r="AK34" i="132"/>
  <c r="AL34" i="132" s="1"/>
  <c r="BN34" i="132"/>
  <c r="BO34" i="132" s="1"/>
  <c r="K35" i="132"/>
  <c r="AT34" i="132"/>
  <c r="AN34" i="132"/>
  <c r="AO34" i="132" s="1"/>
  <c r="AH34" i="132"/>
  <c r="AI34" i="132" s="1"/>
  <c r="AE34" i="132"/>
  <c r="AF34" i="132" s="1"/>
  <c r="Y34" i="132"/>
  <c r="Z34" i="132" s="1"/>
  <c r="AV34" i="132"/>
  <c r="AW34" i="132" s="1"/>
  <c r="W33" i="99"/>
  <c r="BR33" i="99"/>
  <c r="BN36" i="107"/>
  <c r="BO36" i="107" s="1"/>
  <c r="AB36" i="107"/>
  <c r="BJ36" i="107"/>
  <c r="BL36" i="107" s="1"/>
  <c r="AK36" i="107"/>
  <c r="AY36" i="107"/>
  <c r="AH36" i="107"/>
  <c r="BQ36" i="107"/>
  <c r="AE36" i="107"/>
  <c r="V36" i="107"/>
  <c r="BK36" i="107"/>
  <c r="AT36" i="107"/>
  <c r="AN36" i="107"/>
  <c r="M36" i="107"/>
  <c r="W35" i="107"/>
  <c r="AY30" i="120"/>
  <c r="BA30" i="120" s="1"/>
  <c r="BB30" i="120" s="1"/>
  <c r="AL32" i="130"/>
  <c r="I38" i="107"/>
  <c r="K37" i="107"/>
  <c r="AQ35" i="107"/>
  <c r="AR35" i="107" s="1"/>
  <c r="AI35" i="107"/>
  <c r="AV35" i="107"/>
  <c r="AW35" i="107" s="1"/>
  <c r="BD35" i="107"/>
  <c r="BE35" i="107" s="1"/>
  <c r="AY30" i="13"/>
  <c r="BA30" i="13" s="1"/>
  <c r="BB30" i="13" s="1"/>
  <c r="AY30" i="136"/>
  <c r="BG30" i="136" s="1"/>
  <c r="BH30" i="136" s="1"/>
  <c r="BD33" i="99"/>
  <c r="BE33" i="99" s="1"/>
  <c r="AV33" i="99"/>
  <c r="AW33" i="99" s="1"/>
  <c r="M34" i="99"/>
  <c r="BJ34" i="99"/>
  <c r="BL34" i="99" s="1"/>
  <c r="K35" i="99"/>
  <c r="V34" i="99"/>
  <c r="AT34" i="99"/>
  <c r="AK34" i="99"/>
  <c r="AB34" i="99"/>
  <c r="AN34" i="99"/>
  <c r="AE34" i="99"/>
  <c r="AH34" i="99"/>
  <c r="AY34" i="99"/>
  <c r="BQ34" i="99"/>
  <c r="AC35" i="107"/>
  <c r="AF35" i="107"/>
  <c r="BK30" i="106"/>
  <c r="AC32" i="130"/>
  <c r="AF32" i="130"/>
  <c r="Z31" i="106"/>
  <c r="AI30" i="95"/>
  <c r="AC32" i="129"/>
  <c r="AF32" i="129"/>
  <c r="BR32" i="129"/>
  <c r="Z32" i="130"/>
  <c r="BB31" i="106"/>
  <c r="AO31" i="112"/>
  <c r="BR31" i="112"/>
  <c r="BH31" i="106"/>
  <c r="AC31" i="106"/>
  <c r="AL32" i="129"/>
  <c r="V19" i="156"/>
  <c r="T28" i="156"/>
  <c r="Y28" i="156" s="1"/>
  <c r="Z28" i="156" s="1"/>
  <c r="R29" i="156"/>
  <c r="BK30" i="104"/>
  <c r="AC34" i="136"/>
  <c r="W34" i="136"/>
  <c r="AC32" i="126"/>
  <c r="W37" i="152"/>
  <c r="AF37" i="153"/>
  <c r="W37" i="153"/>
  <c r="AI31" i="106"/>
  <c r="AF31" i="106"/>
  <c r="BB32" i="129"/>
  <c r="W32" i="129"/>
  <c r="AO32" i="129"/>
  <c r="AQ31" i="104"/>
  <c r="AR31" i="104" s="1"/>
  <c r="Z32" i="115"/>
  <c r="AC31" i="15"/>
  <c r="AL31" i="15"/>
  <c r="AV24" i="17"/>
  <c r="AW24" i="17" s="1"/>
  <c r="BR31" i="106"/>
  <c r="Z30" i="95"/>
  <c r="BE32" i="129"/>
  <c r="AI32" i="129"/>
  <c r="BA31" i="104"/>
  <c r="BB31" i="104" s="1"/>
  <c r="BD24" i="15"/>
  <c r="BE24" i="15" s="1"/>
  <c r="BD30" i="95"/>
  <c r="BE30" i="95" s="1"/>
  <c r="BG67" i="161"/>
  <c r="BH67" i="161" s="1"/>
  <c r="BD67" i="161"/>
  <c r="BE67" i="161" s="1"/>
  <c r="AQ67" i="161"/>
  <c r="AR67" i="161" s="1"/>
  <c r="AK67" i="161"/>
  <c r="AL67" i="161" s="1"/>
  <c r="AE67" i="161"/>
  <c r="AF67" i="161" s="1"/>
  <c r="Y67" i="161"/>
  <c r="Z67" i="161" s="1"/>
  <c r="R67" i="161"/>
  <c r="T67" i="161" s="1"/>
  <c r="BR67" i="161"/>
  <c r="AV67" i="161"/>
  <c r="AW67" i="161" s="1"/>
  <c r="P67" i="161"/>
  <c r="BA67" i="161"/>
  <c r="BB67" i="161" s="1"/>
  <c r="AT67" i="161"/>
  <c r="AN67" i="161"/>
  <c r="AO67" i="161" s="1"/>
  <c r="AH67" i="161"/>
  <c r="AI67" i="161" s="1"/>
  <c r="AB67" i="161"/>
  <c r="AC67" i="161" s="1"/>
  <c r="V67" i="161"/>
  <c r="W67" i="161" s="1"/>
  <c r="O67" i="161"/>
  <c r="AY67" i="161"/>
  <c r="M67" i="161"/>
  <c r="BJ67" i="161"/>
  <c r="BL67" i="161" s="1"/>
  <c r="BK67" i="161"/>
  <c r="BN67" i="161"/>
  <c r="BO67" i="161" s="1"/>
  <c r="I69" i="161"/>
  <c r="K68" i="161"/>
  <c r="BQ68" i="161" s="1"/>
  <c r="BD24" i="133"/>
  <c r="BE24" i="133" s="1"/>
  <c r="AV31" i="106"/>
  <c r="AW31" i="106" s="1"/>
  <c r="AF32" i="96"/>
  <c r="AR30" i="112"/>
  <c r="BK30" i="112"/>
  <c r="BG31" i="95"/>
  <c r="AE31" i="95"/>
  <c r="AT31" i="95"/>
  <c r="AV31" i="95" s="1"/>
  <c r="BA31" i="95"/>
  <c r="M31" i="95"/>
  <c r="AH31" i="95"/>
  <c r="BQ31" i="95"/>
  <c r="BN31" i="95"/>
  <c r="BO31" i="95" s="1"/>
  <c r="AK31" i="95"/>
  <c r="K32" i="95"/>
  <c r="BL31" i="95"/>
  <c r="AB31" i="95"/>
  <c r="AN31" i="95"/>
  <c r="V31" i="95"/>
  <c r="R31" i="95"/>
  <c r="T31" i="95" s="1"/>
  <c r="Y31" i="95" s="1"/>
  <c r="W36" i="156"/>
  <c r="AO32" i="130"/>
  <c r="K38" i="156"/>
  <c r="I39" i="156"/>
  <c r="I36" i="106"/>
  <c r="AL31" i="106"/>
  <c r="BD31" i="112"/>
  <c r="BE31" i="112" s="1"/>
  <c r="AV31" i="112"/>
  <c r="AW31" i="112" s="1"/>
  <c r="Z31" i="112"/>
  <c r="AC30" i="95"/>
  <c r="AL30" i="95"/>
  <c r="AO36" i="156"/>
  <c r="BG32" i="129"/>
  <c r="BH32" i="129" s="1"/>
  <c r="K34" i="129"/>
  <c r="AK33" i="129"/>
  <c r="BN33" i="129"/>
  <c r="BO33" i="129" s="1"/>
  <c r="AB33" i="129"/>
  <c r="M33" i="129"/>
  <c r="AN33" i="129"/>
  <c r="V33" i="129"/>
  <c r="BQ33" i="129"/>
  <c r="AE33" i="129"/>
  <c r="AY33" i="129"/>
  <c r="BA33" i="129" s="1"/>
  <c r="AH33" i="129"/>
  <c r="BL33" i="129"/>
  <c r="R33" i="129"/>
  <c r="T33" i="129" s="1"/>
  <c r="Y33" i="129" s="1"/>
  <c r="AT33" i="129"/>
  <c r="BD33" i="129" s="1"/>
  <c r="BJ32" i="104"/>
  <c r="AY32" i="104"/>
  <c r="BA32" i="104" s="1"/>
  <c r="V32" i="104"/>
  <c r="AE32" i="104"/>
  <c r="AN32" i="104"/>
  <c r="AB32" i="104"/>
  <c r="K33" i="104"/>
  <c r="AK32" i="104"/>
  <c r="AT32" i="104"/>
  <c r="AV32" i="104" s="1"/>
  <c r="BQ32" i="104"/>
  <c r="M32" i="104"/>
  <c r="AH32" i="104"/>
  <c r="V37" i="156"/>
  <c r="AB37" i="156"/>
  <c r="AE37" i="156"/>
  <c r="AH37" i="156"/>
  <c r="AK37" i="156"/>
  <c r="AN37" i="156"/>
  <c r="M37" i="156"/>
  <c r="BN37" i="156"/>
  <c r="BO37" i="156" s="1"/>
  <c r="BQ37" i="156"/>
  <c r="BL37" i="156"/>
  <c r="BA31" i="112"/>
  <c r="BB31" i="112" s="1"/>
  <c r="BG31" i="112"/>
  <c r="BH31" i="112" s="1"/>
  <c r="AI31" i="112"/>
  <c r="AQ31" i="112"/>
  <c r="AO30" i="95"/>
  <c r="AL36" i="156"/>
  <c r="BR36" i="156"/>
  <c r="AE32" i="106"/>
  <c r="M32" i="106"/>
  <c r="BJ32" i="106"/>
  <c r="V32" i="106"/>
  <c r="AB32" i="106"/>
  <c r="AY32" i="106"/>
  <c r="BA32" i="106" s="1"/>
  <c r="AT32" i="106"/>
  <c r="AV32" i="106" s="1"/>
  <c r="AN32" i="106"/>
  <c r="AO32" i="106" s="1"/>
  <c r="AH32" i="106"/>
  <c r="AK32" i="106"/>
  <c r="BQ32" i="106"/>
  <c r="K33" i="106"/>
  <c r="R32" i="106"/>
  <c r="T32" i="106" s="1"/>
  <c r="Y32" i="106" s="1"/>
  <c r="K33" i="112"/>
  <c r="AY32" i="112"/>
  <c r="AN32" i="112"/>
  <c r="AE32" i="112"/>
  <c r="AH32" i="112"/>
  <c r="BQ32" i="112"/>
  <c r="AT32" i="112"/>
  <c r="R32" i="112"/>
  <c r="T32" i="112" s="1"/>
  <c r="Y32" i="112" s="1"/>
  <c r="M32" i="112"/>
  <c r="AK32" i="112"/>
  <c r="BJ32" i="112"/>
  <c r="AB32" i="112"/>
  <c r="AQ30" i="95"/>
  <c r="AR30" i="95" s="1"/>
  <c r="BR30" i="95"/>
  <c r="BH30" i="95"/>
  <c r="AI36" i="156"/>
  <c r="AQ36" i="156"/>
  <c r="AR36" i="156" s="1"/>
  <c r="AV31" i="104"/>
  <c r="AW31" i="104" s="1"/>
  <c r="BR31" i="104"/>
  <c r="AL31" i="104"/>
  <c r="AC32" i="63"/>
  <c r="BE34" i="105"/>
  <c r="BB32" i="114"/>
  <c r="BQ35" i="133"/>
  <c r="BR35" i="133" s="1"/>
  <c r="AT35" i="133"/>
  <c r="AB35" i="133"/>
  <c r="AC35" i="133" s="1"/>
  <c r="V35" i="133"/>
  <c r="W35" i="133" s="1"/>
  <c r="AN35" i="133"/>
  <c r="AO35" i="133" s="1"/>
  <c r="AE35" i="133"/>
  <c r="AF35" i="133" s="1"/>
  <c r="M35" i="133"/>
  <c r="BA35" i="133"/>
  <c r="BB35" i="133" s="1"/>
  <c r="AY35" i="133"/>
  <c r="AH35" i="133"/>
  <c r="AI35" i="133" s="1"/>
  <c r="BN35" i="133"/>
  <c r="BO35" i="133" s="1"/>
  <c r="AK35" i="133"/>
  <c r="AL35" i="133" s="1"/>
  <c r="BG35" i="133"/>
  <c r="BH35" i="133" s="1"/>
  <c r="R35" i="133"/>
  <c r="T35" i="133" s="1"/>
  <c r="BL35" i="133"/>
  <c r="O35" i="133"/>
  <c r="AQ35" i="133"/>
  <c r="AR35" i="133" s="1"/>
  <c r="Y35" i="133"/>
  <c r="Z35" i="133" s="1"/>
  <c r="BD35" i="133"/>
  <c r="BE35" i="133" s="1"/>
  <c r="P35" i="133"/>
  <c r="AV35" i="133"/>
  <c r="AW35" i="133" s="1"/>
  <c r="K36" i="133"/>
  <c r="AF30" i="95"/>
  <c r="AF36" i="156"/>
  <c r="AV32" i="129"/>
  <c r="AW32" i="129" s="1"/>
  <c r="AL32" i="115"/>
  <c r="AL32" i="126"/>
  <c r="BR32" i="130"/>
  <c r="AQ31" i="106"/>
  <c r="BL31" i="106"/>
  <c r="BL31" i="112"/>
  <c r="AC31" i="112"/>
  <c r="BB30" i="95"/>
  <c r="AC36" i="156"/>
  <c r="AF31" i="104"/>
  <c r="AV24" i="130"/>
  <c r="AW24" i="130" s="1"/>
  <c r="Z36" i="149"/>
  <c r="AI35" i="151"/>
  <c r="AT25" i="150"/>
  <c r="AT25" i="156"/>
  <c r="BA29" i="15"/>
  <c r="BB29" i="15" s="1"/>
  <c r="BG29" i="15"/>
  <c r="BH29" i="15" s="1"/>
  <c r="BA30" i="150"/>
  <c r="BB30" i="150" s="1"/>
  <c r="BG30" i="150"/>
  <c r="BH30" i="150" s="1"/>
  <c r="BA30" i="151"/>
  <c r="BB30" i="151" s="1"/>
  <c r="BG30" i="151"/>
  <c r="BH30" i="151" s="1"/>
  <c r="BG30" i="155"/>
  <c r="BH30" i="155" s="1"/>
  <c r="BA30" i="155"/>
  <c r="BB30" i="155" s="1"/>
  <c r="BG30" i="153"/>
  <c r="BH30" i="153" s="1"/>
  <c r="BA30" i="153"/>
  <c r="BB30" i="153" s="1"/>
  <c r="BG29" i="149"/>
  <c r="BH29" i="149" s="1"/>
  <c r="BA29" i="149"/>
  <c r="BB29" i="149" s="1"/>
  <c r="BG29" i="156"/>
  <c r="BH29" i="156" s="1"/>
  <c r="BA29" i="156"/>
  <c r="BB29" i="156" s="1"/>
  <c r="A35" i="7"/>
  <c r="AY31" i="153" s="1"/>
  <c r="AY30" i="156"/>
  <c r="AY30" i="130"/>
  <c r="AY31" i="130"/>
  <c r="AY30" i="15"/>
  <c r="AI32" i="130"/>
  <c r="AQ32" i="130"/>
  <c r="AR32" i="130" s="1"/>
  <c r="M33" i="130"/>
  <c r="K34" i="130"/>
  <c r="BN33" i="130"/>
  <c r="BO33" i="130" s="1"/>
  <c r="BQ33" i="130"/>
  <c r="BL33" i="130"/>
  <c r="V33" i="130"/>
  <c r="AH33" i="130"/>
  <c r="AK33" i="130"/>
  <c r="AE33" i="130"/>
  <c r="AF33" i="130" s="1"/>
  <c r="AB33" i="130"/>
  <c r="AN33" i="130"/>
  <c r="R33" i="130"/>
  <c r="T33" i="130" s="1"/>
  <c r="Y33" i="130" s="1"/>
  <c r="BD24" i="156"/>
  <c r="BE24" i="156" s="1"/>
  <c r="AV24" i="156"/>
  <c r="AW24" i="156" s="1"/>
  <c r="AV24" i="150"/>
  <c r="AW24" i="150" s="1"/>
  <c r="BD24" i="150"/>
  <c r="BE24" i="150" s="1"/>
  <c r="Z30" i="120"/>
  <c r="BB36" i="124"/>
  <c r="BR35" i="151"/>
  <c r="P19" i="155"/>
  <c r="AO30" i="17"/>
  <c r="AO32" i="110"/>
  <c r="BB32" i="110"/>
  <c r="BE31" i="118"/>
  <c r="AW35" i="147"/>
  <c r="W35" i="151"/>
  <c r="Z35" i="151"/>
  <c r="Z31" i="118"/>
  <c r="Z30" i="17"/>
  <c r="AC36" i="124"/>
  <c r="BH35" i="147"/>
  <c r="T27" i="155"/>
  <c r="Y27" i="155" s="1"/>
  <c r="Z27" i="155" s="1"/>
  <c r="R28" i="155"/>
  <c r="AL37" i="153"/>
  <c r="AI37" i="153"/>
  <c r="BR37" i="153"/>
  <c r="Z37" i="153"/>
  <c r="AC37" i="153"/>
  <c r="AF37" i="152"/>
  <c r="V26" i="151"/>
  <c r="W26" i="151" s="1"/>
  <c r="P27" i="151"/>
  <c r="W25" i="151"/>
  <c r="O26" i="151"/>
  <c r="AQ37" i="155"/>
  <c r="AR37" i="155" s="1"/>
  <c r="AI37" i="155"/>
  <c r="K39" i="155"/>
  <c r="I40" i="155"/>
  <c r="AC37" i="155"/>
  <c r="AE38" i="155"/>
  <c r="AK38" i="155"/>
  <c r="V38" i="155"/>
  <c r="AB38" i="155"/>
  <c r="AH38" i="155"/>
  <c r="AN38" i="155"/>
  <c r="BN38" i="155"/>
  <c r="BO38" i="155" s="1"/>
  <c r="BQ38" i="155"/>
  <c r="M38" i="155"/>
  <c r="BL38" i="155"/>
  <c r="BR37" i="155"/>
  <c r="W37" i="155"/>
  <c r="AL37" i="155"/>
  <c r="AO37" i="155"/>
  <c r="AF37" i="155"/>
  <c r="AV24" i="153"/>
  <c r="AW24" i="153" s="1"/>
  <c r="BD24" i="153"/>
  <c r="BE24" i="153" s="1"/>
  <c r="A27" i="58"/>
  <c r="AT25" i="13"/>
  <c r="AT25" i="136"/>
  <c r="AT25" i="133"/>
  <c r="AT25" i="153"/>
  <c r="AT25" i="120"/>
  <c r="AT25" i="15"/>
  <c r="AT26" i="17"/>
  <c r="AT25" i="130"/>
  <c r="AT25" i="17"/>
  <c r="AT26" i="15"/>
  <c r="AV24" i="120"/>
  <c r="AW24" i="120" s="1"/>
  <c r="BD24" i="120"/>
  <c r="BE24" i="120" s="1"/>
  <c r="AV25" i="152"/>
  <c r="AW25" i="152" s="1"/>
  <c r="BD25" i="152"/>
  <c r="BE25" i="152" s="1"/>
  <c r="BD24" i="152"/>
  <c r="BE24" i="152" s="1"/>
  <c r="AV24" i="152"/>
  <c r="AW24" i="152" s="1"/>
  <c r="AO37" i="153"/>
  <c r="AQ37" i="153"/>
  <c r="AR37" i="153" s="1"/>
  <c r="I43" i="153"/>
  <c r="M38" i="153"/>
  <c r="BQ38" i="153"/>
  <c r="O38" i="153"/>
  <c r="V38" i="153"/>
  <c r="AB38" i="153"/>
  <c r="AH38" i="153"/>
  <c r="AN38" i="153"/>
  <c r="P38" i="153"/>
  <c r="BN38" i="153"/>
  <c r="BO38" i="153" s="1"/>
  <c r="R38" i="153"/>
  <c r="T38" i="153" s="1"/>
  <c r="Y38" i="153" s="1"/>
  <c r="AE38" i="153"/>
  <c r="AK38" i="153"/>
  <c r="BL38" i="153"/>
  <c r="K39" i="153"/>
  <c r="Z37" i="152"/>
  <c r="AO37" i="152"/>
  <c r="AI37" i="152"/>
  <c r="BR37" i="152"/>
  <c r="AL37" i="152"/>
  <c r="AC37" i="152"/>
  <c r="BK31" i="110"/>
  <c r="I47" i="152"/>
  <c r="AQ37" i="152"/>
  <c r="AR37" i="152" s="1"/>
  <c r="M38" i="152"/>
  <c r="BQ38" i="152"/>
  <c r="O38" i="152"/>
  <c r="V38" i="152"/>
  <c r="AB38" i="152"/>
  <c r="AH38" i="152"/>
  <c r="AN38" i="152"/>
  <c r="P38" i="152"/>
  <c r="BN38" i="152"/>
  <c r="BO38" i="152" s="1"/>
  <c r="R38" i="152"/>
  <c r="T38" i="152" s="1"/>
  <c r="Y38" i="152" s="1"/>
  <c r="AE38" i="152"/>
  <c r="AK38" i="152"/>
  <c r="BL38" i="152"/>
  <c r="K39" i="152"/>
  <c r="BB34" i="105"/>
  <c r="AW32" i="96"/>
  <c r="BD32" i="126"/>
  <c r="BE32" i="126" s="1"/>
  <c r="AQ36" i="149"/>
  <c r="AR36" i="149" s="1"/>
  <c r="BG34" i="105"/>
  <c r="BH34" i="105" s="1"/>
  <c r="AO35" i="151"/>
  <c r="AF35" i="151"/>
  <c r="AK36" i="151"/>
  <c r="AE36" i="151"/>
  <c r="R36" i="151"/>
  <c r="T36" i="151" s="1"/>
  <c r="Y36" i="151" s="1"/>
  <c r="AN36" i="151"/>
  <c r="AH36" i="151"/>
  <c r="AB36" i="151"/>
  <c r="V36" i="151"/>
  <c r="BQ36" i="151"/>
  <c r="M36" i="151"/>
  <c r="BN36" i="151"/>
  <c r="BO36" i="151" s="1"/>
  <c r="BL36" i="151"/>
  <c r="AL35" i="151"/>
  <c r="AC35" i="151"/>
  <c r="AQ35" i="151"/>
  <c r="AR35" i="151" s="1"/>
  <c r="K37" i="151"/>
  <c r="I38" i="151"/>
  <c r="BR34" i="150"/>
  <c r="AI34" i="150"/>
  <c r="I39" i="150"/>
  <c r="P35" i="150"/>
  <c r="AN35" i="150"/>
  <c r="AH35" i="150"/>
  <c r="AB35" i="150"/>
  <c r="V35" i="150"/>
  <c r="O35" i="150"/>
  <c r="BQ35" i="150"/>
  <c r="AE35" i="150"/>
  <c r="R35" i="150"/>
  <c r="T35" i="150" s="1"/>
  <c r="Y35" i="150" s="1"/>
  <c r="AK35" i="150"/>
  <c r="M35" i="150"/>
  <c r="BL35" i="150"/>
  <c r="BN35" i="150"/>
  <c r="BO35" i="150" s="1"/>
  <c r="K36" i="150"/>
  <c r="Z34" i="150"/>
  <c r="AF34" i="150"/>
  <c r="AO34" i="150"/>
  <c r="AL34" i="150"/>
  <c r="AQ34" i="150"/>
  <c r="AR34" i="150" s="1"/>
  <c r="W34" i="150"/>
  <c r="AC34" i="150"/>
  <c r="V25" i="149"/>
  <c r="P26" i="149"/>
  <c r="BR36" i="149"/>
  <c r="AI36" i="149"/>
  <c r="AN37" i="149"/>
  <c r="AH37" i="149"/>
  <c r="AB37" i="149"/>
  <c r="V37" i="149"/>
  <c r="BQ37" i="149"/>
  <c r="R37" i="149"/>
  <c r="T37" i="149" s="1"/>
  <c r="Y37" i="149" s="1"/>
  <c r="AK37" i="149"/>
  <c r="AE37" i="149"/>
  <c r="BN37" i="149"/>
  <c r="BO37" i="149" s="1"/>
  <c r="M37" i="149"/>
  <c r="BL37" i="149"/>
  <c r="AL36" i="149"/>
  <c r="AF36" i="149"/>
  <c r="AO36" i="149"/>
  <c r="I39" i="149"/>
  <c r="K38" i="149"/>
  <c r="W36" i="149"/>
  <c r="AC36" i="149"/>
  <c r="W30" i="120"/>
  <c r="BA31" i="101"/>
  <c r="BB31" i="101" s="1"/>
  <c r="AL30" i="120"/>
  <c r="Z34" i="146"/>
  <c r="BE33" i="64"/>
  <c r="BB34" i="146"/>
  <c r="Z35" i="147"/>
  <c r="AO34" i="105"/>
  <c r="BR32" i="126"/>
  <c r="AO32" i="126"/>
  <c r="AF32" i="126"/>
  <c r="AW34" i="146"/>
  <c r="BR35" i="147"/>
  <c r="AW32" i="126"/>
  <c r="AC30" i="120"/>
  <c r="BR30" i="120"/>
  <c r="AQ33" i="64"/>
  <c r="AR33" i="64" s="1"/>
  <c r="BB33" i="64"/>
  <c r="BA35" i="147"/>
  <c r="BB35" i="147" s="1"/>
  <c r="BD35" i="147"/>
  <c r="BE35" i="147" s="1"/>
  <c r="BG36" i="124"/>
  <c r="BH36" i="124" s="1"/>
  <c r="K37" i="147"/>
  <c r="AH37" i="147" s="1"/>
  <c r="I38" i="147"/>
  <c r="P23" i="147"/>
  <c r="BK35" i="147"/>
  <c r="AF35" i="147"/>
  <c r="AE36" i="147"/>
  <c r="R36" i="147"/>
  <c r="T36" i="147" s="1"/>
  <c r="Y36" i="147" s="1"/>
  <c r="BQ36" i="147"/>
  <c r="AT36" i="147"/>
  <c r="AV36" i="147" s="1"/>
  <c r="AB36" i="147"/>
  <c r="AY36" i="147"/>
  <c r="BA36" i="147" s="1"/>
  <c r="M36" i="147"/>
  <c r="BJ36" i="147"/>
  <c r="BL36" i="147" s="1"/>
  <c r="BK36" i="147"/>
  <c r="BN36" i="147"/>
  <c r="BO36" i="147" s="1"/>
  <c r="AC35" i="147"/>
  <c r="AI35" i="147"/>
  <c r="BK34" i="147"/>
  <c r="BL34" i="146"/>
  <c r="AT35" i="146"/>
  <c r="AV35" i="146" s="1"/>
  <c r="AB35" i="146"/>
  <c r="BQ35" i="146"/>
  <c r="AY35" i="146"/>
  <c r="BG35" i="146" s="1"/>
  <c r="AE35" i="146"/>
  <c r="R35" i="146"/>
  <c r="T35" i="146" s="1"/>
  <c r="Y35" i="146" s="1"/>
  <c r="BJ35" i="146"/>
  <c r="BL35" i="146" s="1"/>
  <c r="M35" i="146"/>
  <c r="BN35" i="146"/>
  <c r="BO35" i="146" s="1"/>
  <c r="BR34" i="146"/>
  <c r="AI34" i="146"/>
  <c r="BG34" i="146"/>
  <c r="BH34" i="146" s="1"/>
  <c r="I37" i="146"/>
  <c r="K36" i="146"/>
  <c r="AH36" i="146" s="1"/>
  <c r="AF34" i="146"/>
  <c r="BD34" i="146"/>
  <c r="BE34" i="146" s="1"/>
  <c r="P22" i="146"/>
  <c r="AC34" i="146"/>
  <c r="BK33" i="146"/>
  <c r="BR33" i="135"/>
  <c r="AF33" i="135"/>
  <c r="AC30" i="17"/>
  <c r="BB30" i="17"/>
  <c r="AO31" i="118"/>
  <c r="W31" i="118"/>
  <c r="AO32" i="96"/>
  <c r="AI32" i="96"/>
  <c r="AL32" i="114"/>
  <c r="AI32" i="114"/>
  <c r="W32" i="114"/>
  <c r="BH31" i="101"/>
  <c r="AQ30" i="66"/>
  <c r="AR30" i="66" s="1"/>
  <c r="BE33" i="135"/>
  <c r="BR32" i="110"/>
  <c r="AC32" i="110"/>
  <c r="AC30" i="13"/>
  <c r="AO30" i="13"/>
  <c r="AW31" i="101"/>
  <c r="AQ33" i="135"/>
  <c r="AR33" i="135" s="1"/>
  <c r="AF31" i="118"/>
  <c r="AI31" i="118"/>
  <c r="AQ34" i="136"/>
  <c r="AR34" i="136" s="1"/>
  <c r="BG30" i="13"/>
  <c r="BH30" i="13" s="1"/>
  <c r="BG32" i="98"/>
  <c r="BH32" i="98" s="1"/>
  <c r="BG31" i="118"/>
  <c r="BH31" i="118" s="1"/>
  <c r="BG33" i="64"/>
  <c r="BH33" i="64" s="1"/>
  <c r="AI30" i="17"/>
  <c r="AL30" i="17"/>
  <c r="AV32" i="110"/>
  <c r="AW32" i="110" s="1"/>
  <c r="W32" i="126"/>
  <c r="BD30" i="66"/>
  <c r="BE30" i="66" s="1"/>
  <c r="BD32" i="96"/>
  <c r="BE32" i="96" s="1"/>
  <c r="W30" i="17"/>
  <c r="BB32" i="126"/>
  <c r="AI32" i="126"/>
  <c r="BG32" i="114"/>
  <c r="BH32" i="114" s="1"/>
  <c r="AO30" i="120"/>
  <c r="AI30" i="120"/>
  <c r="Z30" i="66"/>
  <c r="BG30" i="66"/>
  <c r="BH30" i="66" s="1"/>
  <c r="AF30" i="66"/>
  <c r="AO30" i="66"/>
  <c r="AW32" i="63"/>
  <c r="AI32" i="63"/>
  <c r="AL32" i="63"/>
  <c r="AO32" i="98"/>
  <c r="AF32" i="98"/>
  <c r="BG32" i="115"/>
  <c r="BH32" i="115" s="1"/>
  <c r="AI32" i="115"/>
  <c r="BE32" i="115"/>
  <c r="W32" i="115"/>
  <c r="BG32" i="110"/>
  <c r="BH32" i="110" s="1"/>
  <c r="AV32" i="114"/>
  <c r="AW32" i="114" s="1"/>
  <c r="AF30" i="120"/>
  <c r="BD36" i="124"/>
  <c r="BE36" i="124" s="1"/>
  <c r="AF31" i="15"/>
  <c r="AO31" i="15"/>
  <c r="AF33" i="64"/>
  <c r="AW30" i="66"/>
  <c r="AL30" i="66"/>
  <c r="BB30" i="66"/>
  <c r="W30" i="66"/>
  <c r="BR32" i="63"/>
  <c r="AO32" i="63"/>
  <c r="W32" i="63"/>
  <c r="AQ34" i="105"/>
  <c r="AR34" i="105" s="1"/>
  <c r="AV34" i="105"/>
  <c r="AW34" i="105" s="1"/>
  <c r="W34" i="105"/>
  <c r="BR32" i="98"/>
  <c r="BE32" i="98"/>
  <c r="W32" i="98"/>
  <c r="AO32" i="114"/>
  <c r="BE32" i="114"/>
  <c r="BR31" i="15"/>
  <c r="AQ32" i="114"/>
  <c r="AR32" i="114" s="1"/>
  <c r="BR30" i="66"/>
  <c r="AC30" i="66"/>
  <c r="BD32" i="63"/>
  <c r="BE32" i="63" s="1"/>
  <c r="BB32" i="63"/>
  <c r="AF32" i="63"/>
  <c r="BR34" i="105"/>
  <c r="AI34" i="105"/>
  <c r="AC34" i="105"/>
  <c r="AV32" i="98"/>
  <c r="AW32" i="98" s="1"/>
  <c r="AQ32" i="98"/>
  <c r="AR32" i="98" s="1"/>
  <c r="AL32" i="98"/>
  <c r="AC32" i="98"/>
  <c r="AQ32" i="110"/>
  <c r="AR32" i="110" s="1"/>
  <c r="BL32" i="110"/>
  <c r="AQ31" i="118"/>
  <c r="AR31" i="118" s="1"/>
  <c r="AI31" i="15"/>
  <c r="W31" i="15"/>
  <c r="I36" i="135"/>
  <c r="K35" i="135"/>
  <c r="AO31" i="101"/>
  <c r="AQ31" i="101"/>
  <c r="AR31" i="101" s="1"/>
  <c r="BD31" i="101"/>
  <c r="BE31" i="101" s="1"/>
  <c r="BR31" i="101"/>
  <c r="I35" i="96"/>
  <c r="K34" i="96"/>
  <c r="I39" i="64"/>
  <c r="BN31" i="17"/>
  <c r="BO31" i="17" s="1"/>
  <c r="BL31" i="17"/>
  <c r="M31" i="17"/>
  <c r="AY31" i="17"/>
  <c r="BG31" i="17" s="1"/>
  <c r="AK31" i="17"/>
  <c r="V31" i="17"/>
  <c r="AN31" i="17"/>
  <c r="AE31" i="17"/>
  <c r="AH31" i="17"/>
  <c r="AB31" i="17"/>
  <c r="BQ31" i="17"/>
  <c r="R31" i="17"/>
  <c r="T31" i="17" s="1"/>
  <c r="Y31" i="17" s="1"/>
  <c r="AV33" i="135"/>
  <c r="AW33" i="135" s="1"/>
  <c r="BA33" i="135"/>
  <c r="BB33" i="135" s="1"/>
  <c r="AO33" i="135"/>
  <c r="AI33" i="135"/>
  <c r="BN33" i="63"/>
  <c r="BO33" i="63" s="1"/>
  <c r="M33" i="63"/>
  <c r="BL33" i="63"/>
  <c r="AH33" i="63"/>
  <c r="V33" i="63"/>
  <c r="AK33" i="63"/>
  <c r="AB33" i="63"/>
  <c r="AE33" i="63"/>
  <c r="AN33" i="63"/>
  <c r="AY33" i="63"/>
  <c r="BG33" i="63" s="1"/>
  <c r="BQ33" i="63"/>
  <c r="AT33" i="63"/>
  <c r="AV33" i="63" s="1"/>
  <c r="K34" i="63"/>
  <c r="R34" i="63" s="1"/>
  <c r="BG32" i="63"/>
  <c r="BH32" i="63" s="1"/>
  <c r="AL34" i="105"/>
  <c r="AF34" i="105"/>
  <c r="BB32" i="96"/>
  <c r="W32" i="96"/>
  <c r="BH32" i="96"/>
  <c r="AQ32" i="115"/>
  <c r="AR32" i="115" s="1"/>
  <c r="AO32" i="115"/>
  <c r="AF32" i="115"/>
  <c r="AQ30" i="17"/>
  <c r="AR30" i="17" s="1"/>
  <c r="BE32" i="110"/>
  <c r="AF32" i="110"/>
  <c r="AV31" i="118"/>
  <c r="AW31" i="118" s="1"/>
  <c r="AL31" i="118"/>
  <c r="AC31" i="118"/>
  <c r="AF34" i="136"/>
  <c r="T31" i="98"/>
  <c r="Y31" i="98" s="1"/>
  <c r="R32" i="98"/>
  <c r="AQ30" i="13"/>
  <c r="AR30" i="13" s="1"/>
  <c r="AL30" i="13"/>
  <c r="BR30" i="13"/>
  <c r="I42" i="95"/>
  <c r="M33" i="126"/>
  <c r="BJ33" i="126"/>
  <c r="V33" i="126"/>
  <c r="AY33" i="126"/>
  <c r="BA33" i="126" s="1"/>
  <c r="AN33" i="126"/>
  <c r="AK33" i="126"/>
  <c r="AT33" i="126"/>
  <c r="BD33" i="126" s="1"/>
  <c r="AB33" i="126"/>
  <c r="AE33" i="126"/>
  <c r="BQ33" i="126"/>
  <c r="K34" i="126"/>
  <c r="AH37" i="126" s="1"/>
  <c r="R33" i="126"/>
  <c r="T33" i="126" s="1"/>
  <c r="Y33" i="126" s="1"/>
  <c r="BG32" i="126"/>
  <c r="BH32" i="126" s="1"/>
  <c r="Z32" i="114"/>
  <c r="BR32" i="114"/>
  <c r="AF32" i="114"/>
  <c r="AC32" i="114"/>
  <c r="AQ30" i="120"/>
  <c r="AR30" i="120" s="1"/>
  <c r="BL31" i="13"/>
  <c r="M31" i="13"/>
  <c r="BN31" i="13"/>
  <c r="BO31" i="13" s="1"/>
  <c r="BQ31" i="13"/>
  <c r="V31" i="13"/>
  <c r="AE31" i="13"/>
  <c r="AN31" i="13"/>
  <c r="AY31" i="13"/>
  <c r="BA31" i="13" s="1"/>
  <c r="AH31" i="13"/>
  <c r="AK31" i="13"/>
  <c r="AB31" i="13"/>
  <c r="R31" i="13"/>
  <c r="T31" i="13" s="1"/>
  <c r="Y31" i="13" s="1"/>
  <c r="BR36" i="124"/>
  <c r="AF36" i="124"/>
  <c r="AQ31" i="15"/>
  <c r="AR31" i="15" s="1"/>
  <c r="M31" i="66"/>
  <c r="BN31" i="66"/>
  <c r="BO31" i="66" s="1"/>
  <c r="AE31" i="66"/>
  <c r="BL31" i="66"/>
  <c r="AY31" i="66"/>
  <c r="BG31" i="66" s="1"/>
  <c r="AB31" i="66"/>
  <c r="AN31" i="66"/>
  <c r="AK31" i="66"/>
  <c r="V31" i="66"/>
  <c r="AH31" i="66"/>
  <c r="BQ31" i="66"/>
  <c r="R31" i="66"/>
  <c r="T31" i="66" s="1"/>
  <c r="Y31" i="66" s="1"/>
  <c r="AT31" i="66"/>
  <c r="BD31" i="66" s="1"/>
  <c r="Z33" i="64"/>
  <c r="AL33" i="64"/>
  <c r="BN33" i="96"/>
  <c r="BO33" i="96" s="1"/>
  <c r="AB33" i="96"/>
  <c r="V33" i="96"/>
  <c r="AT33" i="96"/>
  <c r="AV33" i="96" s="1"/>
  <c r="BG33" i="96"/>
  <c r="AE33" i="96"/>
  <c r="M33" i="96"/>
  <c r="AH33" i="96"/>
  <c r="AK33" i="96"/>
  <c r="AN33" i="96"/>
  <c r="BL33" i="96"/>
  <c r="BQ33" i="96"/>
  <c r="BA33" i="96"/>
  <c r="R33" i="96"/>
  <c r="T33" i="96" s="1"/>
  <c r="Y33" i="96" s="1"/>
  <c r="I37" i="104"/>
  <c r="M33" i="115"/>
  <c r="BJ33" i="115"/>
  <c r="BL33" i="115" s="1"/>
  <c r="BK33" i="115"/>
  <c r="BN33" i="115"/>
  <c r="BO33" i="115" s="1"/>
  <c r="V33" i="115"/>
  <c r="BQ33" i="115"/>
  <c r="AT33" i="115"/>
  <c r="AV33" i="115" s="1"/>
  <c r="AB33" i="115"/>
  <c r="AN33" i="115"/>
  <c r="AK33" i="115"/>
  <c r="AH33" i="115"/>
  <c r="AE33" i="115"/>
  <c r="AY33" i="115"/>
  <c r="BA33" i="115" s="1"/>
  <c r="BB33" i="115" s="1"/>
  <c r="I33" i="17"/>
  <c r="K32" i="17"/>
  <c r="BL34" i="105"/>
  <c r="I38" i="126"/>
  <c r="M32" i="118"/>
  <c r="K33" i="118"/>
  <c r="AH32" i="118"/>
  <c r="V32" i="118"/>
  <c r="AY32" i="118"/>
  <c r="BA32" i="118" s="1"/>
  <c r="AE32" i="118"/>
  <c r="AB32" i="118"/>
  <c r="AK32" i="118"/>
  <c r="AN32" i="118"/>
  <c r="BQ32" i="118"/>
  <c r="AT32" i="118"/>
  <c r="BD32" i="118" s="1"/>
  <c r="BR34" i="136"/>
  <c r="AI34" i="136"/>
  <c r="Z30" i="98"/>
  <c r="BK30" i="98"/>
  <c r="BN33" i="114"/>
  <c r="BO33" i="114" s="1"/>
  <c r="BK33" i="114"/>
  <c r="M33" i="114"/>
  <c r="BJ33" i="114"/>
  <c r="BL33" i="114" s="1"/>
  <c r="V33" i="114"/>
  <c r="AT33" i="114"/>
  <c r="AV33" i="114" s="1"/>
  <c r="AH33" i="114"/>
  <c r="AK33" i="114"/>
  <c r="AY33" i="114"/>
  <c r="BA33" i="114" s="1"/>
  <c r="AB33" i="114"/>
  <c r="AE33" i="114"/>
  <c r="AN33" i="114"/>
  <c r="BQ33" i="114"/>
  <c r="K34" i="114"/>
  <c r="R33" i="114"/>
  <c r="T33" i="114" s="1"/>
  <c r="Y33" i="114" s="1"/>
  <c r="AI36" i="124"/>
  <c r="AV33" i="64"/>
  <c r="AW33" i="64" s="1"/>
  <c r="M34" i="135"/>
  <c r="AN34" i="135"/>
  <c r="AB34" i="135"/>
  <c r="V34" i="135"/>
  <c r="AH34" i="135"/>
  <c r="AK34" i="135"/>
  <c r="BN34" i="135"/>
  <c r="BO34" i="135" s="1"/>
  <c r="AE34" i="135"/>
  <c r="BL34" i="135"/>
  <c r="AY34" i="135"/>
  <c r="BA34" i="135" s="1"/>
  <c r="BQ34" i="135"/>
  <c r="AT34" i="135"/>
  <c r="AV34" i="135" s="1"/>
  <c r="R34" i="135"/>
  <c r="T34" i="135" s="1"/>
  <c r="Y34" i="135" s="1"/>
  <c r="AF31" i="101"/>
  <c r="AL31" i="101"/>
  <c r="I35" i="115"/>
  <c r="K34" i="115"/>
  <c r="Z33" i="135"/>
  <c r="AC33" i="135"/>
  <c r="AL33" i="135"/>
  <c r="AQ32" i="63"/>
  <c r="AR32" i="63" s="1"/>
  <c r="M33" i="110"/>
  <c r="BJ33" i="110"/>
  <c r="AY33" i="110"/>
  <c r="BA33" i="110" s="1"/>
  <c r="AE33" i="110"/>
  <c r="AT33" i="110"/>
  <c r="BD33" i="110" s="1"/>
  <c r="AK33" i="110"/>
  <c r="AH33" i="110"/>
  <c r="AN33" i="110"/>
  <c r="AB33" i="110"/>
  <c r="BQ33" i="110"/>
  <c r="I89" i="99"/>
  <c r="BJ35" i="105"/>
  <c r="BL35" i="105" s="1"/>
  <c r="BN35" i="105"/>
  <c r="BO35" i="105" s="1"/>
  <c r="M35" i="105"/>
  <c r="AE35" i="105"/>
  <c r="AY35" i="105"/>
  <c r="BG35" i="105" s="1"/>
  <c r="V35" i="105"/>
  <c r="AT35" i="105"/>
  <c r="BD35" i="105" s="1"/>
  <c r="AH35" i="105"/>
  <c r="AN35" i="105"/>
  <c r="AK35" i="105"/>
  <c r="BQ35" i="105"/>
  <c r="AB35" i="105"/>
  <c r="BK35" i="105"/>
  <c r="K36" i="105"/>
  <c r="I40" i="132"/>
  <c r="BL32" i="98"/>
  <c r="Z32" i="96"/>
  <c r="BR32" i="96"/>
  <c r="AC32" i="96"/>
  <c r="AL32" i="96"/>
  <c r="AV32" i="115"/>
  <c r="AW32" i="115" s="1"/>
  <c r="AC32" i="115"/>
  <c r="BR32" i="115"/>
  <c r="BG30" i="17"/>
  <c r="BH30" i="17" s="1"/>
  <c r="AL34" i="136"/>
  <c r="AO34" i="136"/>
  <c r="I38" i="63"/>
  <c r="AQ32" i="126"/>
  <c r="AR32" i="126" s="1"/>
  <c r="AE31" i="120"/>
  <c r="AH31" i="120"/>
  <c r="K32" i="120"/>
  <c r="AB31" i="120"/>
  <c r="V31" i="120"/>
  <c r="AY31" i="120"/>
  <c r="BA31" i="120" s="1"/>
  <c r="BQ31" i="120"/>
  <c r="AN31" i="120"/>
  <c r="M31" i="120"/>
  <c r="AK31" i="120"/>
  <c r="R31" i="120"/>
  <c r="T31" i="120" s="1"/>
  <c r="Y31" i="120" s="1"/>
  <c r="I39" i="136"/>
  <c r="I48" i="133"/>
  <c r="M32" i="101"/>
  <c r="V32" i="101"/>
  <c r="AN32" i="101"/>
  <c r="BQ32" i="101"/>
  <c r="AY32" i="101"/>
  <c r="BA32" i="101" s="1"/>
  <c r="AT32" i="101"/>
  <c r="AV32" i="101" s="1"/>
  <c r="AE32" i="101"/>
  <c r="AK32" i="101"/>
  <c r="AB32" i="101"/>
  <c r="R32" i="101"/>
  <c r="T32" i="101" s="1"/>
  <c r="Y32" i="101" s="1"/>
  <c r="AW36" i="124"/>
  <c r="W36" i="124"/>
  <c r="K38" i="124"/>
  <c r="AH38" i="124" s="1"/>
  <c r="M37" i="124"/>
  <c r="BN37" i="124"/>
  <c r="BO37" i="124" s="1"/>
  <c r="BK37" i="124"/>
  <c r="BJ37" i="124"/>
  <c r="BL37" i="124" s="1"/>
  <c r="V37" i="124"/>
  <c r="AB37" i="124"/>
  <c r="AE37" i="124"/>
  <c r="AT37" i="124"/>
  <c r="AV37" i="124" s="1"/>
  <c r="AY37" i="124"/>
  <c r="BA37" i="124" s="1"/>
  <c r="BQ37" i="124"/>
  <c r="BK31" i="126"/>
  <c r="AC33" i="64"/>
  <c r="AI33" i="64"/>
  <c r="W33" i="64"/>
  <c r="Z31" i="101"/>
  <c r="I39" i="114"/>
  <c r="I40" i="105"/>
  <c r="K34" i="110"/>
  <c r="I35" i="110"/>
  <c r="K34" i="98"/>
  <c r="M33" i="98"/>
  <c r="AY33" i="98"/>
  <c r="BG33" i="98" s="1"/>
  <c r="AB33" i="98"/>
  <c r="AT33" i="98"/>
  <c r="BD33" i="98" s="1"/>
  <c r="AE33" i="98"/>
  <c r="V33" i="98"/>
  <c r="AH33" i="98"/>
  <c r="BJ33" i="98"/>
  <c r="AK33" i="98"/>
  <c r="AN33" i="98"/>
  <c r="BQ33" i="98"/>
  <c r="AQ32" i="96"/>
  <c r="AR32" i="96" s="1"/>
  <c r="M35" i="136"/>
  <c r="BN35" i="136"/>
  <c r="BO35" i="136" s="1"/>
  <c r="BL35" i="136"/>
  <c r="V35" i="136"/>
  <c r="AN35" i="136"/>
  <c r="AK35" i="136"/>
  <c r="AH35" i="136"/>
  <c r="AB35" i="136"/>
  <c r="AE35" i="136"/>
  <c r="BQ35" i="136"/>
  <c r="K36" i="136"/>
  <c r="Z32" i="126"/>
  <c r="BL32" i="126"/>
  <c r="I37" i="15"/>
  <c r="I33" i="13"/>
  <c r="K32" i="13"/>
  <c r="I34" i="101"/>
  <c r="K33" i="101"/>
  <c r="AH33" i="101" s="1"/>
  <c r="BL32" i="15"/>
  <c r="BN32" i="15"/>
  <c r="BO32" i="15" s="1"/>
  <c r="BQ32" i="15"/>
  <c r="AN32" i="15"/>
  <c r="M32" i="15"/>
  <c r="AK32" i="15"/>
  <c r="V32" i="15"/>
  <c r="AE32" i="15"/>
  <c r="AH32" i="15"/>
  <c r="AB32" i="15"/>
  <c r="K33" i="15"/>
  <c r="R33" i="15" s="1"/>
  <c r="I33" i="66"/>
  <c r="K32" i="66"/>
  <c r="M34" i="64"/>
  <c r="AY34" i="64"/>
  <c r="BA34" i="64" s="1"/>
  <c r="BL34" i="64"/>
  <c r="BN34" i="64"/>
  <c r="BO34" i="64" s="1"/>
  <c r="AE34" i="64"/>
  <c r="AK34" i="64"/>
  <c r="AH34" i="64"/>
  <c r="BQ34" i="64"/>
  <c r="AN34" i="64"/>
  <c r="V34" i="64"/>
  <c r="AB34" i="64"/>
  <c r="AT34" i="64"/>
  <c r="BD34" i="64" s="1"/>
  <c r="K35" i="64"/>
  <c r="R34" i="64"/>
  <c r="T34" i="64" s="1"/>
  <c r="Y34" i="64" s="1"/>
  <c r="W21" i="95"/>
  <c r="O22" i="95"/>
  <c r="Z31" i="104"/>
  <c r="R33" i="104"/>
  <c r="T32" i="104"/>
  <c r="Y32" i="104" s="1"/>
  <c r="T32" i="15"/>
  <c r="Y32" i="15" s="1"/>
  <c r="R33" i="136"/>
  <c r="T32" i="136"/>
  <c r="Y32" i="136" s="1"/>
  <c r="Z32" i="136" s="1"/>
  <c r="BK33" i="124"/>
  <c r="Z33" i="124"/>
  <c r="P21" i="98"/>
  <c r="T33" i="63"/>
  <c r="Y33" i="63" s="1"/>
  <c r="R34" i="110"/>
  <c r="T33" i="110"/>
  <c r="Y33" i="110" s="1"/>
  <c r="Z32" i="110"/>
  <c r="R35" i="124"/>
  <c r="T34" i="124"/>
  <c r="Y34" i="124" s="1"/>
  <c r="V22" i="115"/>
  <c r="Z30" i="99"/>
  <c r="BK30" i="99"/>
  <c r="T32" i="105"/>
  <c r="Y32" i="105" s="1"/>
  <c r="R33" i="105"/>
  <c r="W21" i="13"/>
  <c r="O22" i="13"/>
  <c r="W22" i="114"/>
  <c r="O23" i="114"/>
  <c r="R33" i="107"/>
  <c r="T32" i="107"/>
  <c r="Y32" i="107" s="1"/>
  <c r="P20" i="105"/>
  <c r="W21" i="126"/>
  <c r="O22" i="126"/>
  <c r="P22" i="126" s="1"/>
  <c r="V23" i="101"/>
  <c r="V21" i="130"/>
  <c r="P22" i="66"/>
  <c r="BK31" i="105"/>
  <c r="Z31" i="105"/>
  <c r="V22" i="106"/>
  <c r="BK31" i="107"/>
  <c r="Z31" i="107"/>
  <c r="V20" i="99"/>
  <c r="T31" i="99"/>
  <c r="Y31" i="99" s="1"/>
  <c r="R32" i="99"/>
  <c r="V24" i="124"/>
  <c r="V22" i="129"/>
  <c r="P21" i="107"/>
  <c r="W20" i="120"/>
  <c r="O21" i="120"/>
  <c r="V21" i="118"/>
  <c r="T32" i="118"/>
  <c r="Y32" i="118" s="1"/>
  <c r="R33" i="118"/>
  <c r="W22" i="96"/>
  <c r="O23" i="96"/>
  <c r="W20" i="136"/>
  <c r="O21" i="136"/>
  <c r="W20" i="112"/>
  <c r="O21" i="112"/>
  <c r="W20" i="135"/>
  <c r="O21" i="135"/>
  <c r="W21" i="15"/>
  <c r="O22" i="15"/>
  <c r="P21" i="63"/>
  <c r="V22" i="104"/>
  <c r="P22" i="110"/>
  <c r="P22" i="17"/>
  <c r="R34" i="115"/>
  <c r="T33" i="115"/>
  <c r="Y33" i="115" s="1"/>
  <c r="W23" i="64"/>
  <c r="O24" i="64"/>
  <c r="BA30" i="136" l="1"/>
  <c r="BB30" i="136" s="1"/>
  <c r="BE35" i="105"/>
  <c r="Z31" i="95"/>
  <c r="AL31" i="95"/>
  <c r="AW31" i="95"/>
  <c r="Z33" i="114"/>
  <c r="AC31" i="95"/>
  <c r="AI31" i="95"/>
  <c r="W36" i="107"/>
  <c r="AC34" i="99"/>
  <c r="AO36" i="107"/>
  <c r="W31" i="95"/>
  <c r="Z33" i="115"/>
  <c r="AL33" i="98"/>
  <c r="AO31" i="95"/>
  <c r="BR31" i="95"/>
  <c r="AI34" i="135"/>
  <c r="W33" i="115"/>
  <c r="BH31" i="66"/>
  <c r="BG30" i="120"/>
  <c r="BH30" i="120" s="1"/>
  <c r="AO33" i="126"/>
  <c r="AT26" i="130"/>
  <c r="AI32" i="106"/>
  <c r="Z33" i="129"/>
  <c r="BR34" i="99"/>
  <c r="AL34" i="99"/>
  <c r="AL36" i="107"/>
  <c r="BG35" i="132"/>
  <c r="BH35" i="132" s="1"/>
  <c r="Y35" i="132"/>
  <c r="Z35" i="132" s="1"/>
  <c r="P35" i="132"/>
  <c r="BN35" i="132"/>
  <c r="BO35" i="132" s="1"/>
  <c r="BA35" i="132"/>
  <c r="BB35" i="132" s="1"/>
  <c r="R35" i="132"/>
  <c r="T35" i="132" s="1"/>
  <c r="AN35" i="132"/>
  <c r="AO35" i="132" s="1"/>
  <c r="BL35" i="132"/>
  <c r="V35" i="132"/>
  <c r="W35" i="132" s="1"/>
  <c r="AQ35" i="132"/>
  <c r="AR35" i="132" s="1"/>
  <c r="O35" i="132"/>
  <c r="AK35" i="132"/>
  <c r="AL35" i="132" s="1"/>
  <c r="AV35" i="132"/>
  <c r="AW35" i="132" s="1"/>
  <c r="K36" i="132"/>
  <c r="AT35" i="132"/>
  <c r="AH35" i="132"/>
  <c r="AI35" i="132" s="1"/>
  <c r="AB35" i="132"/>
  <c r="AC35" i="132" s="1"/>
  <c r="BQ35" i="132"/>
  <c r="BR35" i="132" s="1"/>
  <c r="AE35" i="132"/>
  <c r="AF35" i="132" s="1"/>
  <c r="BD35" i="132"/>
  <c r="BE35" i="132" s="1"/>
  <c r="M35" i="132"/>
  <c r="AY35" i="132"/>
  <c r="BG36" i="107"/>
  <c r="BH36" i="107" s="1"/>
  <c r="BA36" i="107"/>
  <c r="BB36" i="107" s="1"/>
  <c r="BA34" i="99"/>
  <c r="BB34" i="99" s="1"/>
  <c r="BG34" i="99"/>
  <c r="BH34" i="99" s="1"/>
  <c r="AV34" i="99"/>
  <c r="AW34" i="99" s="1"/>
  <c r="BD34" i="99"/>
  <c r="BE34" i="99" s="1"/>
  <c r="AV36" i="107"/>
  <c r="AW36" i="107" s="1"/>
  <c r="BD36" i="107"/>
  <c r="BE36" i="107" s="1"/>
  <c r="BB32" i="118"/>
  <c r="AO31" i="17"/>
  <c r="AT26" i="133"/>
  <c r="BD26" i="133" s="1"/>
  <c r="BE26" i="133" s="1"/>
  <c r="BA30" i="152"/>
  <c r="BB30" i="152" s="1"/>
  <c r="BR32" i="112"/>
  <c r="Z32" i="106"/>
  <c r="AW32" i="106"/>
  <c r="AQ34" i="99"/>
  <c r="AR34" i="99" s="1"/>
  <c r="AI34" i="99"/>
  <c r="W34" i="99"/>
  <c r="AF36" i="107"/>
  <c r="AC36" i="107"/>
  <c r="AF34" i="64"/>
  <c r="Z32" i="118"/>
  <c r="BB32" i="101"/>
  <c r="BR31" i="17"/>
  <c r="AF34" i="99"/>
  <c r="AT35" i="99"/>
  <c r="AH35" i="99"/>
  <c r="AK35" i="99"/>
  <c r="M35" i="99"/>
  <c r="BN35" i="99"/>
  <c r="BO35" i="99" s="1"/>
  <c r="BQ35" i="99"/>
  <c r="K36" i="99"/>
  <c r="BJ35" i="99"/>
  <c r="AY35" i="99"/>
  <c r="V35" i="99"/>
  <c r="W35" i="99" s="1"/>
  <c r="AE35" i="99"/>
  <c r="AN35" i="99"/>
  <c r="AB35" i="99"/>
  <c r="BR36" i="107"/>
  <c r="I39" i="107"/>
  <c r="K38" i="107"/>
  <c r="AO34" i="64"/>
  <c r="AO33" i="115"/>
  <c r="BR32" i="106"/>
  <c r="AC32" i="106"/>
  <c r="BG32" i="104"/>
  <c r="BH32" i="104" s="1"/>
  <c r="AO34" i="99"/>
  <c r="BJ37" i="107"/>
  <c r="BL37" i="107" s="1"/>
  <c r="V37" i="107"/>
  <c r="AK37" i="107"/>
  <c r="BQ37" i="107"/>
  <c r="AY37" i="107"/>
  <c r="BK37" i="107"/>
  <c r="M37" i="107"/>
  <c r="AN37" i="107"/>
  <c r="AE37" i="107"/>
  <c r="BN37" i="107"/>
  <c r="BO37" i="107" s="1"/>
  <c r="AT37" i="107"/>
  <c r="AH37" i="107"/>
  <c r="AB37" i="107"/>
  <c r="AC37" i="107" s="1"/>
  <c r="AQ36" i="107"/>
  <c r="AR36" i="107" s="1"/>
  <c r="AI36" i="107"/>
  <c r="AI33" i="129"/>
  <c r="Z33" i="63"/>
  <c r="BE33" i="129"/>
  <c r="BB33" i="129"/>
  <c r="AQ31" i="95"/>
  <c r="AR31" i="95" s="1"/>
  <c r="BK31" i="104"/>
  <c r="W35" i="136"/>
  <c r="AL38" i="153"/>
  <c r="Z33" i="130"/>
  <c r="AL33" i="130"/>
  <c r="BR33" i="130"/>
  <c r="AQ32" i="106"/>
  <c r="AR32" i="106" s="1"/>
  <c r="AF37" i="156"/>
  <c r="AQ32" i="104"/>
  <c r="AR32" i="104" s="1"/>
  <c r="R30" i="156"/>
  <c r="T29" i="156"/>
  <c r="Y29" i="156" s="1"/>
  <c r="Z29" i="156" s="1"/>
  <c r="W19" i="156"/>
  <c r="O20" i="156"/>
  <c r="AF37" i="124"/>
  <c r="AO33" i="130"/>
  <c r="AO37" i="156"/>
  <c r="AC37" i="156"/>
  <c r="AC33" i="130"/>
  <c r="W33" i="130"/>
  <c r="AC32" i="112"/>
  <c r="Z32" i="112"/>
  <c r="BR37" i="156"/>
  <c r="BH31" i="95"/>
  <c r="BG68" i="161"/>
  <c r="BH68" i="161" s="1"/>
  <c r="BA68" i="161"/>
  <c r="BB68" i="161" s="1"/>
  <c r="AT68" i="161"/>
  <c r="AN68" i="161"/>
  <c r="AO68" i="161" s="1"/>
  <c r="AH68" i="161"/>
  <c r="AI68" i="161" s="1"/>
  <c r="AB68" i="161"/>
  <c r="AC68" i="161" s="1"/>
  <c r="V68" i="161"/>
  <c r="W68" i="161" s="1"/>
  <c r="O68" i="161"/>
  <c r="AY68" i="161"/>
  <c r="AQ68" i="161"/>
  <c r="AR68" i="161" s="1"/>
  <c r="R68" i="161"/>
  <c r="T68" i="161" s="1"/>
  <c r="Y68" i="161"/>
  <c r="Z68" i="161" s="1"/>
  <c r="P68" i="161"/>
  <c r="BD68" i="161"/>
  <c r="BE68" i="161" s="1"/>
  <c r="AV68" i="161"/>
  <c r="AW68" i="161" s="1"/>
  <c r="AE68" i="161"/>
  <c r="AF68" i="161" s="1"/>
  <c r="BR68" i="161"/>
  <c r="AK68" i="161"/>
  <c r="AL68" i="161" s="1"/>
  <c r="BN68" i="161"/>
  <c r="BO68" i="161" s="1"/>
  <c r="BK68" i="161"/>
  <c r="BJ68" i="161"/>
  <c r="BL68" i="161" s="1"/>
  <c r="M68" i="161"/>
  <c r="K69" i="161"/>
  <c r="BQ69" i="161" s="1"/>
  <c r="I70" i="161"/>
  <c r="BD32" i="106"/>
  <c r="BE32" i="106" s="1"/>
  <c r="BB32" i="106"/>
  <c r="AY31" i="155"/>
  <c r="BG31" i="155" s="1"/>
  <c r="BH31" i="155" s="1"/>
  <c r="AV32" i="112"/>
  <c r="AW32" i="112" s="1"/>
  <c r="BD32" i="112"/>
  <c r="BE32" i="112" s="1"/>
  <c r="AN33" i="112"/>
  <c r="R33" i="112"/>
  <c r="T33" i="112" s="1"/>
  <c r="Y33" i="112" s="1"/>
  <c r="M33" i="112"/>
  <c r="AH33" i="112"/>
  <c r="BJ33" i="112"/>
  <c r="AK33" i="112"/>
  <c r="K34" i="112"/>
  <c r="AT33" i="112"/>
  <c r="AB33" i="112"/>
  <c r="AE33" i="112"/>
  <c r="AY33" i="112"/>
  <c r="BQ33" i="112"/>
  <c r="AF32" i="106"/>
  <c r="W37" i="156"/>
  <c r="BR32" i="104"/>
  <c r="AF32" i="104"/>
  <c r="AV33" i="129"/>
  <c r="AW33" i="129" s="1"/>
  <c r="AC33" i="129"/>
  <c r="AF31" i="95"/>
  <c r="AW32" i="104"/>
  <c r="W32" i="104"/>
  <c r="AF33" i="129"/>
  <c r="I37" i="106"/>
  <c r="W37" i="124"/>
  <c r="BE33" i="110"/>
  <c r="AI33" i="114"/>
  <c r="AY31" i="152"/>
  <c r="BG31" i="152" s="1"/>
  <c r="BH31" i="152" s="1"/>
  <c r="AV36" i="133"/>
  <c r="AW36" i="133" s="1"/>
  <c r="R36" i="133"/>
  <c r="T36" i="133" s="1"/>
  <c r="BG36" i="133"/>
  <c r="BH36" i="133" s="1"/>
  <c r="BL36" i="133"/>
  <c r="AE36" i="133"/>
  <c r="AF36" i="133" s="1"/>
  <c r="AN36" i="133"/>
  <c r="AO36" i="133" s="1"/>
  <c r="AQ36" i="133"/>
  <c r="AR36" i="133" s="1"/>
  <c r="M36" i="133"/>
  <c r="BD36" i="133"/>
  <c r="BE36" i="133" s="1"/>
  <c r="Y36" i="133"/>
  <c r="Z36" i="133" s="1"/>
  <c r="AB36" i="133"/>
  <c r="AC36" i="133" s="1"/>
  <c r="BN36" i="133"/>
  <c r="BO36" i="133" s="1"/>
  <c r="BA36" i="133"/>
  <c r="BB36" i="133" s="1"/>
  <c r="AT36" i="133"/>
  <c r="AH36" i="133"/>
  <c r="AI36" i="133" s="1"/>
  <c r="P36" i="133"/>
  <c r="V36" i="133"/>
  <c r="W36" i="133" s="1"/>
  <c r="AY36" i="133"/>
  <c r="K37" i="133"/>
  <c r="AK36" i="133"/>
  <c r="AL36" i="133" s="1"/>
  <c r="O36" i="133"/>
  <c r="BQ36" i="133"/>
  <c r="BR36" i="133" s="1"/>
  <c r="BL32" i="112"/>
  <c r="AI32" i="112"/>
  <c r="AQ32" i="112"/>
  <c r="M33" i="106"/>
  <c r="V33" i="106"/>
  <c r="AN33" i="106"/>
  <c r="BJ33" i="106"/>
  <c r="AY33" i="106"/>
  <c r="BA33" i="106" s="1"/>
  <c r="AE33" i="106"/>
  <c r="AB33" i="106"/>
  <c r="AK33" i="106"/>
  <c r="AT33" i="106"/>
  <c r="BD33" i="106" s="1"/>
  <c r="AH33" i="106"/>
  <c r="BQ33" i="106"/>
  <c r="R33" i="106"/>
  <c r="T33" i="106" s="1"/>
  <c r="Y33" i="106" s="1"/>
  <c r="K34" i="106"/>
  <c r="AL37" i="156"/>
  <c r="BD32" i="104"/>
  <c r="BE32" i="104" s="1"/>
  <c r="AL32" i="104"/>
  <c r="BB32" i="104"/>
  <c r="BG33" i="129"/>
  <c r="BH33" i="129" s="1"/>
  <c r="BR33" i="129"/>
  <c r="AL33" i="129"/>
  <c r="K39" i="156"/>
  <c r="I40" i="156"/>
  <c r="AO32" i="118"/>
  <c r="AF31" i="13"/>
  <c r="AL33" i="63"/>
  <c r="W38" i="153"/>
  <c r="AY31" i="136"/>
  <c r="BA31" i="136" s="1"/>
  <c r="BB31" i="136" s="1"/>
  <c r="AL32" i="112"/>
  <c r="AF32" i="112"/>
  <c r="BG32" i="106"/>
  <c r="BH32" i="106" s="1"/>
  <c r="AL32" i="106"/>
  <c r="W32" i="106"/>
  <c r="AR31" i="112"/>
  <c r="BK31" i="112"/>
  <c r="AQ37" i="156"/>
  <c r="AR37" i="156" s="1"/>
  <c r="AI37" i="156"/>
  <c r="M33" i="104"/>
  <c r="AH33" i="104"/>
  <c r="BJ33" i="104"/>
  <c r="AT33" i="104"/>
  <c r="BD33" i="104" s="1"/>
  <c r="AN33" i="104"/>
  <c r="AB33" i="104"/>
  <c r="V33" i="104"/>
  <c r="W33" i="104" s="1"/>
  <c r="AE33" i="104"/>
  <c r="BQ33" i="104"/>
  <c r="AY33" i="104"/>
  <c r="BG33" i="104" s="1"/>
  <c r="K34" i="104"/>
  <c r="AK33" i="104"/>
  <c r="BL32" i="104"/>
  <c r="AQ33" i="129"/>
  <c r="AR33" i="129" s="1"/>
  <c r="W33" i="129"/>
  <c r="BN34" i="129"/>
  <c r="BO34" i="129" s="1"/>
  <c r="AY34" i="129"/>
  <c r="BG34" i="129" s="1"/>
  <c r="AH34" i="129"/>
  <c r="AN34" i="129"/>
  <c r="AK34" i="129"/>
  <c r="AB34" i="129"/>
  <c r="BQ34" i="129"/>
  <c r="V34" i="129"/>
  <c r="BL34" i="129"/>
  <c r="K35" i="129"/>
  <c r="AE34" i="129"/>
  <c r="M34" i="129"/>
  <c r="R34" i="129"/>
  <c r="T34" i="129" s="1"/>
  <c r="Y34" i="129" s="1"/>
  <c r="AT34" i="129"/>
  <c r="AV34" i="129" s="1"/>
  <c r="BQ38" i="156"/>
  <c r="BL38" i="156"/>
  <c r="V38" i="156"/>
  <c r="AB38" i="156"/>
  <c r="AE38" i="156"/>
  <c r="AH38" i="156"/>
  <c r="AK38" i="156"/>
  <c r="AN38" i="156"/>
  <c r="M38" i="156"/>
  <c r="BN38" i="156"/>
  <c r="BO38" i="156" s="1"/>
  <c r="BD31" i="95"/>
  <c r="BE31" i="95" s="1"/>
  <c r="AC35" i="136"/>
  <c r="AF33" i="98"/>
  <c r="AL32" i="101"/>
  <c r="AC33" i="110"/>
  <c r="AF33" i="114"/>
  <c r="AY31" i="150"/>
  <c r="BA31" i="150" s="1"/>
  <c r="BB31" i="150" s="1"/>
  <c r="AR31" i="106"/>
  <c r="BK31" i="106"/>
  <c r="AO32" i="112"/>
  <c r="BL32" i="106"/>
  <c r="AI32" i="104"/>
  <c r="AC32" i="104"/>
  <c r="AO33" i="129"/>
  <c r="BL32" i="95"/>
  <c r="AH32" i="95"/>
  <c r="AT32" i="95"/>
  <c r="AV32" i="95" s="1"/>
  <c r="AN32" i="95"/>
  <c r="AK32" i="95"/>
  <c r="AB32" i="95"/>
  <c r="AE32" i="95"/>
  <c r="BA32" i="95"/>
  <c r="M32" i="95"/>
  <c r="BG32" i="95"/>
  <c r="BQ32" i="95"/>
  <c r="BN32" i="95"/>
  <c r="BO32" i="95" s="1"/>
  <c r="V32" i="95"/>
  <c r="K33" i="95"/>
  <c r="R32" i="95"/>
  <c r="T32" i="95" s="1"/>
  <c r="Y32" i="95" s="1"/>
  <c r="BB31" i="95"/>
  <c r="AL31" i="13"/>
  <c r="BH33" i="63"/>
  <c r="BG31" i="151"/>
  <c r="BH31" i="151" s="1"/>
  <c r="BA32" i="112"/>
  <c r="BB32" i="112" s="1"/>
  <c r="BG32" i="112"/>
  <c r="BH32" i="112" s="1"/>
  <c r="AO32" i="104"/>
  <c r="AW36" i="147"/>
  <c r="Z35" i="150"/>
  <c r="W35" i="150"/>
  <c r="AT26" i="150"/>
  <c r="AT26" i="156"/>
  <c r="AQ33" i="130"/>
  <c r="AR33" i="130" s="1"/>
  <c r="AI33" i="130"/>
  <c r="BL34" i="130"/>
  <c r="BN34" i="130"/>
  <c r="BO34" i="130" s="1"/>
  <c r="M34" i="130"/>
  <c r="K35" i="130"/>
  <c r="V34" i="130"/>
  <c r="AN34" i="130"/>
  <c r="AB34" i="130"/>
  <c r="AH34" i="130"/>
  <c r="BQ34" i="130"/>
  <c r="AE34" i="130"/>
  <c r="AK34" i="130"/>
  <c r="R34" i="130"/>
  <c r="T34" i="130" s="1"/>
  <c r="Y34" i="130" s="1"/>
  <c r="BA30" i="15"/>
  <c r="BB30" i="15" s="1"/>
  <c r="BG30" i="15"/>
  <c r="BH30" i="15" s="1"/>
  <c r="BA31" i="130"/>
  <c r="BB31" i="130" s="1"/>
  <c r="BG31" i="130"/>
  <c r="BH31" i="130" s="1"/>
  <c r="BG30" i="130"/>
  <c r="BH30" i="130" s="1"/>
  <c r="BA30" i="130"/>
  <c r="BB30" i="130" s="1"/>
  <c r="BG31" i="153"/>
  <c r="BH31" i="153" s="1"/>
  <c r="BA31" i="153"/>
  <c r="BB31" i="153" s="1"/>
  <c r="BG30" i="149"/>
  <c r="BH30" i="149" s="1"/>
  <c r="BA30" i="149"/>
  <c r="BB30" i="149" s="1"/>
  <c r="BG30" i="156"/>
  <c r="BH30" i="156" s="1"/>
  <c r="BA30" i="156"/>
  <c r="BB30" i="156" s="1"/>
  <c r="A36" i="7"/>
  <c r="AY32" i="152" s="1"/>
  <c r="AY31" i="156"/>
  <c r="AY32" i="153"/>
  <c r="AY32" i="155"/>
  <c r="AY32" i="150"/>
  <c r="AY32" i="136"/>
  <c r="AY31" i="15"/>
  <c r="BD25" i="156"/>
  <c r="BE25" i="156" s="1"/>
  <c r="AV25" i="156"/>
  <c r="AW25" i="156" s="1"/>
  <c r="AV25" i="150"/>
  <c r="AW25" i="150" s="1"/>
  <c r="BD25" i="150"/>
  <c r="BE25" i="150" s="1"/>
  <c r="AC33" i="126"/>
  <c r="BB36" i="147"/>
  <c r="AW33" i="63"/>
  <c r="BH35" i="146"/>
  <c r="T28" i="155"/>
  <c r="Y28" i="155" s="1"/>
  <c r="Z28" i="155" s="1"/>
  <c r="R29" i="155"/>
  <c r="BR37" i="124"/>
  <c r="Z36" i="151"/>
  <c r="V19" i="155"/>
  <c r="Z32" i="15"/>
  <c r="Z38" i="152"/>
  <c r="AT26" i="136"/>
  <c r="AV26" i="136" s="1"/>
  <c r="AW26" i="136" s="1"/>
  <c r="AC38" i="153"/>
  <c r="AF38" i="153"/>
  <c r="Z38" i="153"/>
  <c r="AI38" i="153"/>
  <c r="BR38" i="153"/>
  <c r="O27" i="151"/>
  <c r="V27" i="151"/>
  <c r="W27" i="151" s="1"/>
  <c r="P28" i="151"/>
  <c r="AQ38" i="155"/>
  <c r="AR38" i="155" s="1"/>
  <c r="AO38" i="155"/>
  <c r="AC38" i="155"/>
  <c r="AF38" i="155"/>
  <c r="W38" i="155"/>
  <c r="AL38" i="155"/>
  <c r="V39" i="155"/>
  <c r="AB39" i="155"/>
  <c r="AH39" i="155"/>
  <c r="AN39" i="155"/>
  <c r="AK39" i="155"/>
  <c r="M39" i="155"/>
  <c r="AE39" i="155"/>
  <c r="BQ39" i="155"/>
  <c r="BN39" i="155"/>
  <c r="BO39" i="155" s="1"/>
  <c r="BL39" i="155"/>
  <c r="BR38" i="155"/>
  <c r="AI38" i="155"/>
  <c r="K40" i="155"/>
  <c r="I41" i="155"/>
  <c r="AT26" i="13"/>
  <c r="AV26" i="13" s="1"/>
  <c r="AW26" i="13" s="1"/>
  <c r="AV25" i="153"/>
  <c r="AW25" i="153" s="1"/>
  <c r="BD25" i="153"/>
  <c r="BE25" i="153" s="1"/>
  <c r="AV25" i="13"/>
  <c r="AW25" i="13" s="1"/>
  <c r="BD25" i="13"/>
  <c r="BE25" i="13" s="1"/>
  <c r="AT26" i="120"/>
  <c r="BD26" i="17"/>
  <c r="BE26" i="17" s="1"/>
  <c r="AV26" i="17"/>
  <c r="AW26" i="17" s="1"/>
  <c r="BD25" i="136"/>
  <c r="BE25" i="136" s="1"/>
  <c r="AV25" i="136"/>
  <c r="AW25" i="136" s="1"/>
  <c r="AV26" i="130"/>
  <c r="AW26" i="130" s="1"/>
  <c r="BD26" i="130"/>
  <c r="BE26" i="130" s="1"/>
  <c r="BD26" i="15"/>
  <c r="BE26" i="15" s="1"/>
  <c r="AV26" i="15"/>
  <c r="AW26" i="15" s="1"/>
  <c r="BD25" i="17"/>
  <c r="BE25" i="17" s="1"/>
  <c r="AV25" i="17"/>
  <c r="AW25" i="17" s="1"/>
  <c r="BD25" i="15"/>
  <c r="BE25" i="15" s="1"/>
  <c r="AV25" i="15"/>
  <c r="AW25" i="15" s="1"/>
  <c r="BD25" i="133"/>
  <c r="BE25" i="133" s="1"/>
  <c r="AV25" i="133"/>
  <c r="AW25" i="133" s="1"/>
  <c r="AV25" i="130"/>
  <c r="AW25" i="130" s="1"/>
  <c r="BD25" i="130"/>
  <c r="BE25" i="130" s="1"/>
  <c r="AV25" i="120"/>
  <c r="AW25" i="120" s="1"/>
  <c r="BD25" i="120"/>
  <c r="BE25" i="120" s="1"/>
  <c r="A28" i="58"/>
  <c r="AT26" i="152"/>
  <c r="AT26" i="153"/>
  <c r="AT27" i="152"/>
  <c r="W38" i="152"/>
  <c r="M39" i="153"/>
  <c r="BQ39" i="153"/>
  <c r="O39" i="153"/>
  <c r="V39" i="153"/>
  <c r="AB39" i="153"/>
  <c r="AH39" i="153"/>
  <c r="AN39" i="153"/>
  <c r="P39" i="153"/>
  <c r="BN39" i="153"/>
  <c r="BO39" i="153" s="1"/>
  <c r="AE39" i="153"/>
  <c r="AK39" i="153"/>
  <c r="R39" i="153"/>
  <c r="T39" i="153" s="1"/>
  <c r="Y39" i="153" s="1"/>
  <c r="BL39" i="153"/>
  <c r="K40" i="153"/>
  <c r="AQ38" i="153"/>
  <c r="AR38" i="153" s="1"/>
  <c r="AO38" i="153"/>
  <c r="I44" i="153"/>
  <c r="AL38" i="152"/>
  <c r="AI38" i="152"/>
  <c r="BR38" i="152"/>
  <c r="AF38" i="152"/>
  <c r="AC38" i="152"/>
  <c r="AO38" i="152"/>
  <c r="AQ38" i="152"/>
  <c r="AR38" i="152" s="1"/>
  <c r="M39" i="152"/>
  <c r="BQ39" i="152"/>
  <c r="O39" i="152"/>
  <c r="V39" i="152"/>
  <c r="AB39" i="152"/>
  <c r="AH39" i="152"/>
  <c r="AN39" i="152"/>
  <c r="P39" i="152"/>
  <c r="BN39" i="152"/>
  <c r="BO39" i="152" s="1"/>
  <c r="R39" i="152"/>
  <c r="T39" i="152" s="1"/>
  <c r="Y39" i="152" s="1"/>
  <c r="AE39" i="152"/>
  <c r="AK39" i="152"/>
  <c r="BL39" i="152"/>
  <c r="K40" i="152"/>
  <c r="I48" i="152"/>
  <c r="AO36" i="151"/>
  <c r="AW35" i="146"/>
  <c r="AF35" i="150"/>
  <c r="Z31" i="66"/>
  <c r="Z36" i="147"/>
  <c r="AF37" i="149"/>
  <c r="AL35" i="150"/>
  <c r="AC36" i="151"/>
  <c r="AO35" i="150"/>
  <c r="BG33" i="110"/>
  <c r="BH33" i="110" s="1"/>
  <c r="AQ36" i="151"/>
  <c r="AR36" i="151" s="1"/>
  <c r="AV35" i="105"/>
  <c r="AW35" i="105" s="1"/>
  <c r="BA35" i="105"/>
  <c r="BB35" i="105" s="1"/>
  <c r="AV33" i="98"/>
  <c r="AW33" i="98" s="1"/>
  <c r="BD32" i="101"/>
  <c r="BE32" i="101" s="1"/>
  <c r="W31" i="120"/>
  <c r="K38" i="151"/>
  <c r="I39" i="151"/>
  <c r="AK37" i="151"/>
  <c r="AE37" i="151"/>
  <c r="R37" i="151"/>
  <c r="T37" i="151" s="1"/>
  <c r="Y37" i="151" s="1"/>
  <c r="AN37" i="151"/>
  <c r="AH37" i="151"/>
  <c r="AB37" i="151"/>
  <c r="V37" i="151"/>
  <c r="BQ37" i="151"/>
  <c r="BN37" i="151"/>
  <c r="BO37" i="151" s="1"/>
  <c r="M37" i="151"/>
  <c r="BL37" i="151"/>
  <c r="BR36" i="151"/>
  <c r="AI36" i="151"/>
  <c r="AF36" i="151"/>
  <c r="W36" i="151"/>
  <c r="AL36" i="151"/>
  <c r="BR35" i="150"/>
  <c r="AI35" i="150"/>
  <c r="I40" i="150"/>
  <c r="P36" i="150"/>
  <c r="AN36" i="150"/>
  <c r="AH36" i="150"/>
  <c r="AB36" i="150"/>
  <c r="V36" i="150"/>
  <c r="O36" i="150"/>
  <c r="BQ36" i="150"/>
  <c r="AE36" i="150"/>
  <c r="R36" i="150"/>
  <c r="T36" i="150" s="1"/>
  <c r="Y36" i="150" s="1"/>
  <c r="AK36" i="150"/>
  <c r="BL36" i="150"/>
  <c r="M36" i="150"/>
  <c r="BN36" i="150"/>
  <c r="BO36" i="150" s="1"/>
  <c r="K37" i="150"/>
  <c r="AQ35" i="150"/>
  <c r="AR35" i="150" s="1"/>
  <c r="AC35" i="150"/>
  <c r="AQ37" i="149"/>
  <c r="AR37" i="149" s="1"/>
  <c r="V26" i="149"/>
  <c r="W26" i="149" s="1"/>
  <c r="P27" i="149"/>
  <c r="W25" i="149"/>
  <c r="O26" i="149"/>
  <c r="I40" i="149"/>
  <c r="K39" i="149"/>
  <c r="W37" i="149"/>
  <c r="AC37" i="149"/>
  <c r="AL37" i="149"/>
  <c r="BR37" i="149"/>
  <c r="AI37" i="149"/>
  <c r="AN38" i="149"/>
  <c r="AH38" i="149"/>
  <c r="AB38" i="149"/>
  <c r="V38" i="149"/>
  <c r="BQ38" i="149"/>
  <c r="AE38" i="149"/>
  <c r="R38" i="149"/>
  <c r="T38" i="149" s="1"/>
  <c r="Y38" i="149" s="1"/>
  <c r="AK38" i="149"/>
  <c r="M38" i="149"/>
  <c r="BL38" i="149"/>
  <c r="BN38" i="149"/>
  <c r="BO38" i="149" s="1"/>
  <c r="Z37" i="149"/>
  <c r="AO37" i="149"/>
  <c r="BA31" i="66"/>
  <c r="BB31" i="66" s="1"/>
  <c r="BG31" i="13"/>
  <c r="BH31" i="13" s="1"/>
  <c r="BK32" i="110"/>
  <c r="V23" i="147"/>
  <c r="AC36" i="147"/>
  <c r="BG36" i="147"/>
  <c r="BH36" i="147" s="1"/>
  <c r="BR36" i="147"/>
  <c r="BD36" i="147"/>
  <c r="BE36" i="147" s="1"/>
  <c r="AF36" i="147"/>
  <c r="K38" i="147"/>
  <c r="AH38" i="147" s="1"/>
  <c r="I39" i="147"/>
  <c r="AI36" i="147"/>
  <c r="AE37" i="147"/>
  <c r="R37" i="147"/>
  <c r="T37" i="147" s="1"/>
  <c r="Y37" i="147" s="1"/>
  <c r="BQ37" i="147"/>
  <c r="AY37" i="147"/>
  <c r="BG37" i="147" s="1"/>
  <c r="AT37" i="147"/>
  <c r="BD37" i="147" s="1"/>
  <c r="AB37" i="147"/>
  <c r="V37" i="147"/>
  <c r="BJ37" i="147"/>
  <c r="BL37" i="147" s="1"/>
  <c r="BK37" i="147"/>
  <c r="BN37" i="147"/>
  <c r="BO37" i="147" s="1"/>
  <c r="M37" i="147"/>
  <c r="BK34" i="146"/>
  <c r="AT36" i="146"/>
  <c r="AV36" i="146" s="1"/>
  <c r="AB36" i="146"/>
  <c r="BQ36" i="146"/>
  <c r="AY36" i="146"/>
  <c r="BG36" i="146" s="1"/>
  <c r="AE36" i="146"/>
  <c r="R36" i="146"/>
  <c r="T36" i="146" s="1"/>
  <c r="Y36" i="146" s="1"/>
  <c r="BK36" i="146"/>
  <c r="BJ36" i="146"/>
  <c r="BL36" i="146" s="1"/>
  <c r="BN36" i="146"/>
  <c r="BO36" i="146" s="1"/>
  <c r="M36" i="146"/>
  <c r="AF35" i="146"/>
  <c r="AC35" i="146"/>
  <c r="BA35" i="146"/>
  <c r="BB35" i="146" s="1"/>
  <c r="I38" i="146"/>
  <c r="K37" i="146"/>
  <c r="AH37" i="146" s="1"/>
  <c r="BK35" i="146"/>
  <c r="BD35" i="146"/>
  <c r="BE35" i="146" s="1"/>
  <c r="BR35" i="146"/>
  <c r="AI35" i="146"/>
  <c r="V22" i="146"/>
  <c r="Z35" i="146"/>
  <c r="BE34" i="64"/>
  <c r="BA33" i="98"/>
  <c r="BB33" i="98" s="1"/>
  <c r="AV32" i="118"/>
  <c r="AW32" i="118" s="1"/>
  <c r="AC35" i="105"/>
  <c r="BR33" i="110"/>
  <c r="AC33" i="114"/>
  <c r="AW33" i="114"/>
  <c r="BR33" i="63"/>
  <c r="AC33" i="63"/>
  <c r="AW32" i="101"/>
  <c r="BG34" i="135"/>
  <c r="BH34" i="135" s="1"/>
  <c r="BR33" i="114"/>
  <c r="AO33" i="114"/>
  <c r="AL33" i="114"/>
  <c r="AW34" i="135"/>
  <c r="BD33" i="96"/>
  <c r="BE33" i="96" s="1"/>
  <c r="BE33" i="126"/>
  <c r="BB33" i="126"/>
  <c r="AO33" i="63"/>
  <c r="W33" i="63"/>
  <c r="Z31" i="17"/>
  <c r="AW37" i="124"/>
  <c r="AI37" i="124"/>
  <c r="AQ34" i="135"/>
  <c r="AR34" i="135" s="1"/>
  <c r="AC34" i="135"/>
  <c r="AV34" i="64"/>
  <c r="AW34" i="64" s="1"/>
  <c r="BR31" i="66"/>
  <c r="BG33" i="126"/>
  <c r="BH33" i="126" s="1"/>
  <c r="BG37" i="124"/>
  <c r="BH37" i="124" s="1"/>
  <c r="AQ32" i="101"/>
  <c r="AR32" i="101" s="1"/>
  <c r="BB34" i="135"/>
  <c r="BB33" i="110"/>
  <c r="BE31" i="66"/>
  <c r="AV33" i="126"/>
  <c r="AW33" i="126" s="1"/>
  <c r="Z34" i="64"/>
  <c r="BR34" i="64"/>
  <c r="AF32" i="15"/>
  <c r="AO32" i="15"/>
  <c r="Z31" i="120"/>
  <c r="AO31" i="120"/>
  <c r="AC31" i="120"/>
  <c r="AL35" i="105"/>
  <c r="W35" i="105"/>
  <c r="BE32" i="118"/>
  <c r="BB33" i="96"/>
  <c r="AO33" i="96"/>
  <c r="AF33" i="96"/>
  <c r="AC33" i="96"/>
  <c r="BA33" i="63"/>
  <c r="BB33" i="63" s="1"/>
  <c r="AF31" i="17"/>
  <c r="BH31" i="17"/>
  <c r="BR31" i="120"/>
  <c r="AO35" i="105"/>
  <c r="BG32" i="118"/>
  <c r="BH32" i="118" s="1"/>
  <c r="AQ32" i="118"/>
  <c r="AR32" i="118" s="1"/>
  <c r="AI33" i="115"/>
  <c r="AW33" i="115"/>
  <c r="AQ33" i="96"/>
  <c r="AR33" i="96" s="1"/>
  <c r="AL33" i="96"/>
  <c r="BH33" i="96"/>
  <c r="W34" i="64"/>
  <c r="AL34" i="64"/>
  <c r="BB34" i="64"/>
  <c r="AQ32" i="15"/>
  <c r="AR32" i="15" s="1"/>
  <c r="AI32" i="15"/>
  <c r="AL32" i="15"/>
  <c r="AQ35" i="136"/>
  <c r="AR35" i="136" s="1"/>
  <c r="AL31" i="120"/>
  <c r="BB31" i="120"/>
  <c r="AI31" i="120"/>
  <c r="BH35" i="105"/>
  <c r="BR35" i="105"/>
  <c r="AI35" i="105"/>
  <c r="AF35" i="105"/>
  <c r="BG33" i="114"/>
  <c r="BH33" i="114" s="1"/>
  <c r="BG33" i="115"/>
  <c r="BH33" i="115" s="1"/>
  <c r="Z33" i="96"/>
  <c r="BR33" i="96"/>
  <c r="AI33" i="96"/>
  <c r="AW33" i="96"/>
  <c r="AV31" i="66"/>
  <c r="AW31" i="66" s="1"/>
  <c r="AI31" i="66"/>
  <c r="AO31" i="66"/>
  <c r="AF31" i="66"/>
  <c r="AF33" i="126"/>
  <c r="AL33" i="126"/>
  <c r="BL33" i="126"/>
  <c r="AC31" i="17"/>
  <c r="W31" i="17"/>
  <c r="BL32" i="13"/>
  <c r="BN32" i="13"/>
  <c r="BO32" i="13" s="1"/>
  <c r="M32" i="13"/>
  <c r="BQ32" i="13"/>
  <c r="AY32" i="13"/>
  <c r="BA32" i="13" s="1"/>
  <c r="AN32" i="13"/>
  <c r="AE32" i="13"/>
  <c r="AH32" i="13"/>
  <c r="AK32" i="13"/>
  <c r="AB32" i="13"/>
  <c r="V32" i="13"/>
  <c r="R32" i="13"/>
  <c r="T32" i="13" s="1"/>
  <c r="Y32" i="13" s="1"/>
  <c r="BG34" i="64"/>
  <c r="BH34" i="64" s="1"/>
  <c r="K33" i="13"/>
  <c r="I34" i="13"/>
  <c r="BK32" i="126"/>
  <c r="AI35" i="136"/>
  <c r="BE33" i="98"/>
  <c r="BR33" i="98"/>
  <c r="BL33" i="98"/>
  <c r="K35" i="98"/>
  <c r="M34" i="98"/>
  <c r="AY34" i="98"/>
  <c r="BG34" i="98" s="1"/>
  <c r="AB34" i="98"/>
  <c r="AE34" i="98"/>
  <c r="AK34" i="98"/>
  <c r="AH34" i="98"/>
  <c r="AT34" i="98"/>
  <c r="BD34" i="98" s="1"/>
  <c r="V34" i="98"/>
  <c r="BJ34" i="98"/>
  <c r="AN34" i="98"/>
  <c r="BQ34" i="98"/>
  <c r="M34" i="110"/>
  <c r="BJ34" i="110"/>
  <c r="AH34" i="110"/>
  <c r="AE34" i="110"/>
  <c r="AN34" i="110"/>
  <c r="AK34" i="110"/>
  <c r="AB34" i="110"/>
  <c r="AT34" i="110"/>
  <c r="BD34" i="110" s="1"/>
  <c r="AY34" i="110"/>
  <c r="BG34" i="110" s="1"/>
  <c r="BQ34" i="110"/>
  <c r="AC37" i="124"/>
  <c r="Z32" i="101"/>
  <c r="BG32" i="101"/>
  <c r="BH32" i="101" s="1"/>
  <c r="AF32" i="101"/>
  <c r="BR32" i="101"/>
  <c r="BG31" i="120"/>
  <c r="BH31" i="120" s="1"/>
  <c r="AF31" i="120"/>
  <c r="BJ36" i="105"/>
  <c r="BL36" i="105" s="1"/>
  <c r="BK36" i="105"/>
  <c r="M36" i="105"/>
  <c r="BN36" i="105"/>
  <c r="BO36" i="105" s="1"/>
  <c r="V36" i="105"/>
  <c r="AB36" i="105"/>
  <c r="AY36" i="105"/>
  <c r="BG36" i="105" s="1"/>
  <c r="AT36" i="105"/>
  <c r="AV36" i="105" s="1"/>
  <c r="AE36" i="105"/>
  <c r="AH36" i="105"/>
  <c r="AN36" i="105"/>
  <c r="AK36" i="105"/>
  <c r="BQ36" i="105"/>
  <c r="K37" i="105"/>
  <c r="AQ35" i="105"/>
  <c r="AR35" i="105" s="1"/>
  <c r="I90" i="99"/>
  <c r="AO33" i="110"/>
  <c r="AF33" i="110"/>
  <c r="Z34" i="135"/>
  <c r="AL34" i="135"/>
  <c r="AO34" i="135"/>
  <c r="M34" i="114"/>
  <c r="BK34" i="114"/>
  <c r="BN34" i="114"/>
  <c r="BO34" i="114" s="1"/>
  <c r="BJ34" i="114"/>
  <c r="BL34" i="114" s="1"/>
  <c r="V34" i="114"/>
  <c r="AH34" i="114"/>
  <c r="AK34" i="114"/>
  <c r="AT34" i="114"/>
  <c r="BD34" i="114" s="1"/>
  <c r="AE34" i="114"/>
  <c r="AB34" i="114"/>
  <c r="AN34" i="114"/>
  <c r="AY34" i="114"/>
  <c r="BA34" i="114" s="1"/>
  <c r="BQ34" i="114"/>
  <c r="K35" i="114"/>
  <c r="R34" i="114"/>
  <c r="T34" i="114" s="1"/>
  <c r="Y34" i="114" s="1"/>
  <c r="BD33" i="114"/>
  <c r="BE33" i="114" s="1"/>
  <c r="BB33" i="114"/>
  <c r="W33" i="114"/>
  <c r="AL32" i="118"/>
  <c r="W32" i="118"/>
  <c r="BD33" i="115"/>
  <c r="BE33" i="115" s="1"/>
  <c r="AL33" i="115"/>
  <c r="BR33" i="115"/>
  <c r="AQ31" i="66"/>
  <c r="AR31" i="66" s="1"/>
  <c r="W31" i="66"/>
  <c r="AC31" i="66"/>
  <c r="Z31" i="13"/>
  <c r="AQ31" i="13"/>
  <c r="AR31" i="13" s="1"/>
  <c r="AI31" i="13"/>
  <c r="W31" i="13"/>
  <c r="M34" i="126"/>
  <c r="AI34" i="126" s="1"/>
  <c r="BJ34" i="126"/>
  <c r="V34" i="126"/>
  <c r="AY34" i="126"/>
  <c r="BG34" i="126" s="1"/>
  <c r="AT34" i="126"/>
  <c r="BD34" i="126" s="1"/>
  <c r="AE34" i="126"/>
  <c r="AK34" i="126"/>
  <c r="AB34" i="126"/>
  <c r="AN34" i="126"/>
  <c r="BQ34" i="126"/>
  <c r="K35" i="126"/>
  <c r="AH38" i="126" s="1"/>
  <c r="R34" i="126"/>
  <c r="T34" i="126" s="1"/>
  <c r="Y34" i="126" s="1"/>
  <c r="I43" i="95"/>
  <c r="M34" i="63"/>
  <c r="BN34" i="63"/>
  <c r="BO34" i="63" s="1"/>
  <c r="V34" i="63"/>
  <c r="AE34" i="63"/>
  <c r="AN34" i="63"/>
  <c r="AB34" i="63"/>
  <c r="BL34" i="63"/>
  <c r="AK34" i="63"/>
  <c r="AH34" i="63"/>
  <c r="AY34" i="63"/>
  <c r="BA34" i="63" s="1"/>
  <c r="BQ34" i="63"/>
  <c r="AT34" i="63"/>
  <c r="BD34" i="63" s="1"/>
  <c r="K35" i="63"/>
  <c r="BA31" i="17"/>
  <c r="BB31" i="17" s="1"/>
  <c r="I40" i="64"/>
  <c r="AK34" i="96"/>
  <c r="AN34" i="96"/>
  <c r="V34" i="96"/>
  <c r="BN34" i="96"/>
  <c r="BO34" i="96" s="1"/>
  <c r="M34" i="96"/>
  <c r="AE34" i="96"/>
  <c r="BL34" i="96"/>
  <c r="AH34" i="96"/>
  <c r="BG34" i="96"/>
  <c r="AB34" i="96"/>
  <c r="AT34" i="96"/>
  <c r="AV34" i="96" s="1"/>
  <c r="BQ34" i="96"/>
  <c r="BA34" i="96"/>
  <c r="R34" i="96"/>
  <c r="T34" i="96" s="1"/>
  <c r="Y34" i="96" s="1"/>
  <c r="BL32" i="66"/>
  <c r="AB32" i="66"/>
  <c r="M32" i="66"/>
  <c r="AH32" i="66"/>
  <c r="BN32" i="66"/>
  <c r="BO32" i="66" s="1"/>
  <c r="AY32" i="66"/>
  <c r="BA32" i="66" s="1"/>
  <c r="AK32" i="66"/>
  <c r="AN32" i="66"/>
  <c r="V32" i="66"/>
  <c r="AE32" i="66"/>
  <c r="BQ32" i="66"/>
  <c r="R32" i="66"/>
  <c r="T32" i="66" s="1"/>
  <c r="Y32" i="66" s="1"/>
  <c r="AT32" i="66"/>
  <c r="AV32" i="66" s="1"/>
  <c r="M33" i="101"/>
  <c r="AN33" i="101"/>
  <c r="BQ33" i="101"/>
  <c r="AE33" i="101"/>
  <c r="AY33" i="101"/>
  <c r="BG33" i="101" s="1"/>
  <c r="AB33" i="101"/>
  <c r="AK33" i="101"/>
  <c r="V33" i="101"/>
  <c r="AT33" i="101"/>
  <c r="BD33" i="101" s="1"/>
  <c r="R33" i="101"/>
  <c r="T33" i="101" s="1"/>
  <c r="Y33" i="101" s="1"/>
  <c r="I38" i="15"/>
  <c r="BR35" i="136"/>
  <c r="AL35" i="136"/>
  <c r="AQ33" i="98"/>
  <c r="AR33" i="98" s="1"/>
  <c r="AI33" i="98"/>
  <c r="AC33" i="98"/>
  <c r="BD37" i="124"/>
  <c r="BE37" i="124" s="1"/>
  <c r="AO32" i="101"/>
  <c r="I49" i="133"/>
  <c r="AQ31" i="120"/>
  <c r="AR31" i="120" s="1"/>
  <c r="AV33" i="110"/>
  <c r="AW33" i="110" s="1"/>
  <c r="AI33" i="110"/>
  <c r="M34" i="115"/>
  <c r="BK34" i="115"/>
  <c r="BN34" i="115"/>
  <c r="BO34" i="115" s="1"/>
  <c r="BJ34" i="115"/>
  <c r="BL34" i="115" s="1"/>
  <c r="BQ34" i="115"/>
  <c r="AN34" i="115"/>
  <c r="AK34" i="115"/>
  <c r="AB34" i="115"/>
  <c r="AE34" i="115"/>
  <c r="AT34" i="115"/>
  <c r="BD34" i="115" s="1"/>
  <c r="AH34" i="115"/>
  <c r="V34" i="115"/>
  <c r="AY34" i="115"/>
  <c r="BA34" i="115" s="1"/>
  <c r="BB34" i="115" s="1"/>
  <c r="BD34" i="135"/>
  <c r="BE34" i="135" s="1"/>
  <c r="BR32" i="118"/>
  <c r="AC32" i="118"/>
  <c r="AI32" i="118"/>
  <c r="I39" i="126"/>
  <c r="BB31" i="13"/>
  <c r="BR31" i="13"/>
  <c r="AQ33" i="126"/>
  <c r="AR33" i="126" s="1"/>
  <c r="BD33" i="63"/>
  <c r="BE33" i="63" s="1"/>
  <c r="K35" i="96"/>
  <c r="I36" i="96"/>
  <c r="M35" i="64"/>
  <c r="AK35" i="64"/>
  <c r="AY35" i="64"/>
  <c r="BG35" i="64" s="1"/>
  <c r="BN35" i="64"/>
  <c r="BO35" i="64" s="1"/>
  <c r="AB35" i="64"/>
  <c r="V35" i="64"/>
  <c r="AN35" i="64"/>
  <c r="BQ35" i="64"/>
  <c r="AE35" i="64"/>
  <c r="AH35" i="64"/>
  <c r="BL35" i="64"/>
  <c r="AT35" i="64"/>
  <c r="BD35" i="64" s="1"/>
  <c r="R35" i="64"/>
  <c r="T35" i="64" s="1"/>
  <c r="Y35" i="64" s="1"/>
  <c r="Z35" i="64" s="1"/>
  <c r="K36" i="64"/>
  <c r="AQ34" i="64"/>
  <c r="AR34" i="64" s="1"/>
  <c r="BL33" i="15"/>
  <c r="BN33" i="15"/>
  <c r="BO33" i="15" s="1"/>
  <c r="AN33" i="15"/>
  <c r="M33" i="15"/>
  <c r="V33" i="15"/>
  <c r="AK33" i="15"/>
  <c r="BQ33" i="15"/>
  <c r="AE33" i="15"/>
  <c r="AH33" i="15"/>
  <c r="AB33" i="15"/>
  <c r="K34" i="15"/>
  <c r="R34" i="15" s="1"/>
  <c r="AC34" i="64"/>
  <c r="AI34" i="64"/>
  <c r="K33" i="66"/>
  <c r="I34" i="66"/>
  <c r="AC32" i="15"/>
  <c r="W32" i="15"/>
  <c r="BR32" i="15"/>
  <c r="I35" i="101"/>
  <c r="K34" i="101"/>
  <c r="AH34" i="101" s="1"/>
  <c r="AF35" i="136"/>
  <c r="AO35" i="136"/>
  <c r="BH33" i="98"/>
  <c r="AO33" i="98"/>
  <c r="W33" i="98"/>
  <c r="I41" i="105"/>
  <c r="BB37" i="124"/>
  <c r="BK38" i="124"/>
  <c r="K39" i="124"/>
  <c r="AH39" i="124" s="1"/>
  <c r="M38" i="124"/>
  <c r="BN38" i="124"/>
  <c r="BO38" i="124" s="1"/>
  <c r="BJ38" i="124"/>
  <c r="BL38" i="124" s="1"/>
  <c r="V38" i="124"/>
  <c r="AE38" i="124"/>
  <c r="AB38" i="124"/>
  <c r="AT38" i="124"/>
  <c r="BD38" i="124" s="1"/>
  <c r="AY38" i="124"/>
  <c r="BA38" i="124" s="1"/>
  <c r="BQ38" i="124"/>
  <c r="AC32" i="101"/>
  <c r="AI32" i="101"/>
  <c r="W32" i="101"/>
  <c r="AE32" i="120"/>
  <c r="AH32" i="120"/>
  <c r="K33" i="120"/>
  <c r="AB32" i="120"/>
  <c r="AY32" i="120"/>
  <c r="BG32" i="120" s="1"/>
  <c r="M32" i="120"/>
  <c r="BQ32" i="120"/>
  <c r="AK32" i="120"/>
  <c r="AN32" i="120"/>
  <c r="V32" i="120"/>
  <c r="R32" i="120"/>
  <c r="T32" i="120" s="1"/>
  <c r="Y32" i="120" s="1"/>
  <c r="I39" i="63"/>
  <c r="I41" i="132"/>
  <c r="AQ33" i="110"/>
  <c r="AR33" i="110" s="1"/>
  <c r="AL33" i="110"/>
  <c r="BL33" i="110"/>
  <c r="I36" i="115"/>
  <c r="K35" i="115"/>
  <c r="R35" i="115" s="1"/>
  <c r="BR34" i="135"/>
  <c r="AF34" i="135"/>
  <c r="W34" i="135"/>
  <c r="AQ33" i="114"/>
  <c r="AR33" i="114" s="1"/>
  <c r="AF32" i="118"/>
  <c r="M33" i="118"/>
  <c r="K34" i="118"/>
  <c r="R34" i="118" s="1"/>
  <c r="V33" i="118"/>
  <c r="AH33" i="118"/>
  <c r="AY33" i="118"/>
  <c r="BA33" i="118" s="1"/>
  <c r="AB33" i="118"/>
  <c r="AE33" i="118"/>
  <c r="AK33" i="118"/>
  <c r="AN33" i="118"/>
  <c r="BQ33" i="118"/>
  <c r="AT33" i="118"/>
  <c r="BD33" i="118" s="1"/>
  <c r="BN32" i="17"/>
  <c r="BO32" i="17" s="1"/>
  <c r="BL32" i="17"/>
  <c r="AY32" i="17"/>
  <c r="BA32" i="17" s="1"/>
  <c r="V32" i="17"/>
  <c r="M32" i="17"/>
  <c r="AB32" i="17"/>
  <c r="AH32" i="17"/>
  <c r="AE32" i="17"/>
  <c r="AN32" i="17"/>
  <c r="AK32" i="17"/>
  <c r="BQ32" i="17"/>
  <c r="R32" i="17"/>
  <c r="T32" i="17" s="1"/>
  <c r="Y32" i="17" s="1"/>
  <c r="AQ33" i="115"/>
  <c r="AR33" i="115" s="1"/>
  <c r="AF33" i="115"/>
  <c r="AC33" i="115"/>
  <c r="I38" i="104"/>
  <c r="W33" i="96"/>
  <c r="AL31" i="66"/>
  <c r="AC31" i="13"/>
  <c r="AO31" i="13"/>
  <c r="BR33" i="126"/>
  <c r="AI33" i="126"/>
  <c r="W33" i="126"/>
  <c r="T32" i="98"/>
  <c r="Y32" i="98" s="1"/>
  <c r="R33" i="98"/>
  <c r="AQ33" i="63"/>
  <c r="AR33" i="63" s="1"/>
  <c r="AF33" i="63"/>
  <c r="AI33" i="63"/>
  <c r="AQ31" i="17"/>
  <c r="AR31" i="17" s="1"/>
  <c r="AI31" i="17"/>
  <c r="AL31" i="17"/>
  <c r="M35" i="135"/>
  <c r="AE35" i="135"/>
  <c r="AK35" i="135"/>
  <c r="AB35" i="135"/>
  <c r="V35" i="135"/>
  <c r="AH35" i="135"/>
  <c r="AY35" i="135"/>
  <c r="BG35" i="135" s="1"/>
  <c r="BN35" i="135"/>
  <c r="BO35" i="135" s="1"/>
  <c r="AN35" i="135"/>
  <c r="BL35" i="135"/>
  <c r="BQ35" i="135"/>
  <c r="AT35" i="135"/>
  <c r="BD35" i="135" s="1"/>
  <c r="R35" i="135"/>
  <c r="T35" i="135" s="1"/>
  <c r="Y35" i="135" s="1"/>
  <c r="M36" i="136"/>
  <c r="BN36" i="136"/>
  <c r="BO36" i="136" s="1"/>
  <c r="BQ36" i="136"/>
  <c r="V36" i="136"/>
  <c r="AN36" i="136"/>
  <c r="AK36" i="136"/>
  <c r="AE36" i="136"/>
  <c r="AB36" i="136"/>
  <c r="BL36" i="136"/>
  <c r="AH36" i="136"/>
  <c r="K37" i="136"/>
  <c r="I36" i="110"/>
  <c r="K35" i="110"/>
  <c r="I40" i="114"/>
  <c r="I40" i="136"/>
  <c r="I34" i="17"/>
  <c r="K33" i="17"/>
  <c r="Z33" i="126"/>
  <c r="Z31" i="98"/>
  <c r="BK31" i="98"/>
  <c r="I37" i="135"/>
  <c r="K36" i="135"/>
  <c r="P22" i="95"/>
  <c r="Z32" i="104"/>
  <c r="T33" i="104"/>
  <c r="Y33" i="104" s="1"/>
  <c r="R34" i="104"/>
  <c r="T33" i="15"/>
  <c r="Y33" i="15" s="1"/>
  <c r="T33" i="136"/>
  <c r="Y33" i="136" s="1"/>
  <c r="Z33" i="136" s="1"/>
  <c r="R34" i="136"/>
  <c r="Z34" i="124"/>
  <c r="BK34" i="124"/>
  <c r="V21" i="98"/>
  <c r="T35" i="124"/>
  <c r="Y35" i="124" s="1"/>
  <c r="Z35" i="124" s="1"/>
  <c r="R36" i="124"/>
  <c r="Z33" i="110"/>
  <c r="T34" i="63"/>
  <c r="Y34" i="63" s="1"/>
  <c r="R35" i="63"/>
  <c r="T34" i="110"/>
  <c r="Y34" i="110" s="1"/>
  <c r="R35" i="110"/>
  <c r="W22" i="115"/>
  <c r="O23" i="115"/>
  <c r="T32" i="99"/>
  <c r="Y32" i="99" s="1"/>
  <c r="R33" i="99"/>
  <c r="V22" i="126"/>
  <c r="Z32" i="107"/>
  <c r="BK32" i="107"/>
  <c r="P22" i="13"/>
  <c r="R34" i="105"/>
  <c r="T33" i="105"/>
  <c r="Y33" i="105" s="1"/>
  <c r="V21" i="107"/>
  <c r="Z31" i="99"/>
  <c r="BK31" i="99"/>
  <c r="V22" i="66"/>
  <c r="T33" i="107"/>
  <c r="Y33" i="107" s="1"/>
  <c r="R34" i="107"/>
  <c r="BK32" i="105"/>
  <c r="Z32" i="105"/>
  <c r="V20" i="105"/>
  <c r="P23" i="114"/>
  <c r="W22" i="129"/>
  <c r="O23" i="129"/>
  <c r="W24" i="124"/>
  <c r="O25" i="124"/>
  <c r="W20" i="99"/>
  <c r="O21" i="99"/>
  <c r="W22" i="106"/>
  <c r="O23" i="106"/>
  <c r="W21" i="130"/>
  <c r="O22" i="130"/>
  <c r="W23" i="101"/>
  <c r="O24" i="101"/>
  <c r="P21" i="120"/>
  <c r="T33" i="118"/>
  <c r="Y33" i="118" s="1"/>
  <c r="O22" i="118"/>
  <c r="W21" i="118"/>
  <c r="W22" i="104"/>
  <c r="O23" i="104"/>
  <c r="P22" i="15"/>
  <c r="P21" i="112"/>
  <c r="V22" i="110"/>
  <c r="P24" i="64"/>
  <c r="T34" i="115"/>
  <c r="Y34" i="115" s="1"/>
  <c r="V21" i="63"/>
  <c r="P21" i="135"/>
  <c r="P21" i="136"/>
  <c r="P23" i="96"/>
  <c r="V22" i="17"/>
  <c r="AC33" i="106" l="1"/>
  <c r="AC33" i="104"/>
  <c r="AO33" i="104"/>
  <c r="BB33" i="106"/>
  <c r="BR34" i="114"/>
  <c r="Z34" i="115"/>
  <c r="Z34" i="63"/>
  <c r="AO34" i="63"/>
  <c r="AI34" i="63"/>
  <c r="BR37" i="107"/>
  <c r="AF34" i="115"/>
  <c r="AW34" i="129"/>
  <c r="AO37" i="107"/>
  <c r="W37" i="107"/>
  <c r="BB33" i="118"/>
  <c r="BH36" i="105"/>
  <c r="AL35" i="99"/>
  <c r="AV26" i="133"/>
  <c r="AW26" i="133" s="1"/>
  <c r="BA31" i="155"/>
  <c r="BB31" i="155" s="1"/>
  <c r="BG31" i="136"/>
  <c r="BH31" i="136" s="1"/>
  <c r="AV37" i="107"/>
  <c r="AW37" i="107" s="1"/>
  <c r="BD37" i="107"/>
  <c r="BE37" i="107" s="1"/>
  <c r="BA37" i="107"/>
  <c r="BB37" i="107" s="1"/>
  <c r="BG37" i="107"/>
  <c r="BH37" i="107" s="1"/>
  <c r="I40" i="107"/>
  <c r="K39" i="107"/>
  <c r="BA35" i="99"/>
  <c r="BB35" i="99" s="1"/>
  <c r="BG35" i="99"/>
  <c r="BH35" i="99" s="1"/>
  <c r="BL35" i="99"/>
  <c r="BK35" i="99"/>
  <c r="AI35" i="99"/>
  <c r="AQ35" i="99"/>
  <c r="AR35" i="99" s="1"/>
  <c r="AO32" i="17"/>
  <c r="AC35" i="64"/>
  <c r="AO34" i="110"/>
  <c r="AF32" i="13"/>
  <c r="AQ32" i="95"/>
  <c r="AR32" i="95" s="1"/>
  <c r="BH33" i="104"/>
  <c r="AF37" i="107"/>
  <c r="AL37" i="107"/>
  <c r="AC35" i="99"/>
  <c r="AE36" i="99"/>
  <c r="AN36" i="99"/>
  <c r="BN36" i="99"/>
  <c r="BO36" i="99" s="1"/>
  <c r="BQ36" i="99"/>
  <c r="M36" i="99"/>
  <c r="BJ36" i="99"/>
  <c r="BL36" i="99" s="1"/>
  <c r="AH36" i="99"/>
  <c r="BK36" i="99"/>
  <c r="K37" i="99"/>
  <c r="AT36" i="99"/>
  <c r="V36" i="99"/>
  <c r="AK36" i="99"/>
  <c r="AY36" i="99"/>
  <c r="AB36" i="99"/>
  <c r="BD35" i="99"/>
  <c r="BE35" i="99" s="1"/>
  <c r="AV35" i="99"/>
  <c r="AW35" i="99" s="1"/>
  <c r="AT36" i="132"/>
  <c r="AH36" i="132"/>
  <c r="AI36" i="132" s="1"/>
  <c r="AY36" i="132"/>
  <c r="BG36" i="132"/>
  <c r="BH36" i="132" s="1"/>
  <c r="BN36" i="132"/>
  <c r="BO36" i="132" s="1"/>
  <c r="V36" i="132"/>
  <c r="W36" i="132" s="1"/>
  <c r="BL36" i="132"/>
  <c r="BQ36" i="132"/>
  <c r="BR36" i="132" s="1"/>
  <c r="AE36" i="132"/>
  <c r="AF36" i="132" s="1"/>
  <c r="O36" i="132"/>
  <c r="BD36" i="132"/>
  <c r="BE36" i="132" s="1"/>
  <c r="AQ36" i="132"/>
  <c r="AR36" i="132" s="1"/>
  <c r="M36" i="132"/>
  <c r="AN36" i="132"/>
  <c r="AO36" i="132" s="1"/>
  <c r="P36" i="132"/>
  <c r="AV36" i="132"/>
  <c r="AW36" i="132" s="1"/>
  <c r="AB36" i="132"/>
  <c r="AC36" i="132" s="1"/>
  <c r="R36" i="132"/>
  <c r="T36" i="132" s="1"/>
  <c r="Y36" i="132"/>
  <c r="Z36" i="132" s="1"/>
  <c r="BA36" i="132"/>
  <c r="BB36" i="132" s="1"/>
  <c r="AK36" i="132"/>
  <c r="AL36" i="132" s="1"/>
  <c r="K37" i="132"/>
  <c r="AL34" i="130"/>
  <c r="BR33" i="104"/>
  <c r="AO35" i="99"/>
  <c r="BR35" i="99"/>
  <c r="AF34" i="129"/>
  <c r="AI33" i="104"/>
  <c r="AF35" i="99"/>
  <c r="AQ37" i="107"/>
  <c r="AR37" i="107" s="1"/>
  <c r="AI37" i="107"/>
  <c r="BJ38" i="107"/>
  <c r="BL38" i="107" s="1"/>
  <c r="AE38" i="107"/>
  <c r="BQ38" i="107"/>
  <c r="AT38" i="107"/>
  <c r="M38" i="107"/>
  <c r="AK38" i="107"/>
  <c r="AN38" i="107"/>
  <c r="V38" i="107"/>
  <c r="BN38" i="107"/>
  <c r="BO38" i="107" s="1"/>
  <c r="BK38" i="107"/>
  <c r="AY38" i="107"/>
  <c r="AH38" i="107"/>
  <c r="AB38" i="107"/>
  <c r="BK32" i="104"/>
  <c r="BG31" i="150"/>
  <c r="BH31" i="150" s="1"/>
  <c r="AL33" i="112"/>
  <c r="Z33" i="112"/>
  <c r="AC36" i="136"/>
  <c r="W36" i="136"/>
  <c r="W39" i="152"/>
  <c r="W39" i="153"/>
  <c r="AW32" i="95"/>
  <c r="Z34" i="129"/>
  <c r="AL34" i="129"/>
  <c r="AL33" i="104"/>
  <c r="AF33" i="104"/>
  <c r="BE33" i="104"/>
  <c r="Z33" i="106"/>
  <c r="AC33" i="112"/>
  <c r="AO33" i="112"/>
  <c r="BA31" i="151"/>
  <c r="BB31" i="151" s="1"/>
  <c r="AQ33" i="106"/>
  <c r="AR33" i="106" s="1"/>
  <c r="BR33" i="112"/>
  <c r="Z33" i="118"/>
  <c r="AF34" i="130"/>
  <c r="W34" i="129"/>
  <c r="AO34" i="129"/>
  <c r="BG33" i="106"/>
  <c r="BH33" i="106" s="1"/>
  <c r="AF33" i="106"/>
  <c r="W33" i="106"/>
  <c r="BR34" i="130"/>
  <c r="W34" i="130"/>
  <c r="AF38" i="156"/>
  <c r="T30" i="156"/>
  <c r="Y30" i="156" s="1"/>
  <c r="Z30" i="156" s="1"/>
  <c r="R31" i="156"/>
  <c r="BH34" i="129"/>
  <c r="AL33" i="106"/>
  <c r="P20" i="156"/>
  <c r="K70" i="161"/>
  <c r="BQ70" i="161" s="1"/>
  <c r="I71" i="161"/>
  <c r="BR69" i="161"/>
  <c r="AY69" i="161"/>
  <c r="AT69" i="161"/>
  <c r="AK69" i="161"/>
  <c r="AL69" i="161" s="1"/>
  <c r="V69" i="161"/>
  <c r="W69" i="161" s="1"/>
  <c r="BA69" i="161"/>
  <c r="BB69" i="161" s="1"/>
  <c r="AQ69" i="161"/>
  <c r="AR69" i="161" s="1"/>
  <c r="AB69" i="161"/>
  <c r="AC69" i="161" s="1"/>
  <c r="R69" i="161"/>
  <c r="T69" i="161" s="1"/>
  <c r="BG69" i="161"/>
  <c r="BH69" i="161" s="1"/>
  <c r="AH69" i="161"/>
  <c r="AI69" i="161" s="1"/>
  <c r="Y69" i="161"/>
  <c r="Z69" i="161" s="1"/>
  <c r="P69" i="161"/>
  <c r="AN69" i="161"/>
  <c r="AO69" i="161" s="1"/>
  <c r="AE69" i="161"/>
  <c r="AF69" i="161" s="1"/>
  <c r="BD69" i="161"/>
  <c r="BE69" i="161" s="1"/>
  <c r="AV69" i="161"/>
  <c r="AW69" i="161" s="1"/>
  <c r="O69" i="161"/>
  <c r="BN69" i="161"/>
  <c r="BO69" i="161" s="1"/>
  <c r="BK69" i="161"/>
  <c r="BJ69" i="161"/>
  <c r="BL69" i="161" s="1"/>
  <c r="M69" i="161"/>
  <c r="BA31" i="152"/>
  <c r="BB31" i="152" s="1"/>
  <c r="AV33" i="106"/>
  <c r="AO33" i="118"/>
  <c r="AF35" i="64"/>
  <c r="BR34" i="115"/>
  <c r="BH33" i="101"/>
  <c r="W34" i="114"/>
  <c r="AL34" i="98"/>
  <c r="Z34" i="130"/>
  <c r="AO34" i="130"/>
  <c r="BD32" i="95"/>
  <c r="BE32" i="95" s="1"/>
  <c r="BR32" i="95"/>
  <c r="AL32" i="95"/>
  <c r="AL38" i="156"/>
  <c r="BR38" i="156"/>
  <c r="AC34" i="129"/>
  <c r="BQ39" i="156"/>
  <c r="BL39" i="156"/>
  <c r="V39" i="156"/>
  <c r="AB39" i="156"/>
  <c r="AE39" i="156"/>
  <c r="AH39" i="156"/>
  <c r="AK39" i="156"/>
  <c r="AN39" i="156"/>
  <c r="M39" i="156"/>
  <c r="BN39" i="156"/>
  <c r="BO39" i="156" s="1"/>
  <c r="BE33" i="106"/>
  <c r="AO33" i="106"/>
  <c r="BA37" i="133"/>
  <c r="BB37" i="133" s="1"/>
  <c r="R37" i="133"/>
  <c r="T37" i="133" s="1"/>
  <c r="AT37" i="133"/>
  <c r="BQ37" i="133"/>
  <c r="BR37" i="133" s="1"/>
  <c r="BD37" i="133"/>
  <c r="BE37" i="133" s="1"/>
  <c r="AB37" i="133"/>
  <c r="AC37" i="133" s="1"/>
  <c r="BL37" i="133"/>
  <c r="AE37" i="133"/>
  <c r="AF37" i="133" s="1"/>
  <c r="AK37" i="133"/>
  <c r="AL37" i="133" s="1"/>
  <c r="V37" i="133"/>
  <c r="W37" i="133" s="1"/>
  <c r="M37" i="133"/>
  <c r="AH37" i="133"/>
  <c r="AI37" i="133" s="1"/>
  <c r="AY37" i="133"/>
  <c r="AV37" i="133"/>
  <c r="AW37" i="133" s="1"/>
  <c r="BN37" i="133"/>
  <c r="BO37" i="133" s="1"/>
  <c r="P37" i="133"/>
  <c r="AN37" i="133"/>
  <c r="AO37" i="133" s="1"/>
  <c r="O37" i="133"/>
  <c r="BG37" i="133"/>
  <c r="BH37" i="133" s="1"/>
  <c r="Y37" i="133"/>
  <c r="Z37" i="133" s="1"/>
  <c r="AQ37" i="133"/>
  <c r="AR37" i="133" s="1"/>
  <c r="K38" i="133"/>
  <c r="I38" i="106"/>
  <c r="I39" i="106" s="1"/>
  <c r="BH32" i="95"/>
  <c r="AO32" i="95"/>
  <c r="AI38" i="156"/>
  <c r="AQ38" i="156"/>
  <c r="AR38" i="156" s="1"/>
  <c r="BD34" i="129"/>
  <c r="BE34" i="129" s="1"/>
  <c r="M34" i="104"/>
  <c r="AK34" i="104"/>
  <c r="BJ34" i="104"/>
  <c r="AE34" i="104"/>
  <c r="AN34" i="104"/>
  <c r="AY34" i="104"/>
  <c r="BG34" i="104" s="1"/>
  <c r="BQ34" i="104"/>
  <c r="AB34" i="104"/>
  <c r="K35" i="104"/>
  <c r="V34" i="104"/>
  <c r="AT34" i="104"/>
  <c r="BD34" i="104" s="1"/>
  <c r="AH34" i="104"/>
  <c r="BD33" i="112"/>
  <c r="BE33" i="112" s="1"/>
  <c r="AV33" i="112"/>
  <c r="AW33" i="112" s="1"/>
  <c r="AF34" i="114"/>
  <c r="K36" i="129"/>
  <c r="AH35" i="129"/>
  <c r="M35" i="129"/>
  <c r="AB35" i="129"/>
  <c r="BN35" i="129"/>
  <c r="BO35" i="129" s="1"/>
  <c r="AN35" i="129"/>
  <c r="V35" i="129"/>
  <c r="AY35" i="129"/>
  <c r="BG35" i="129" s="1"/>
  <c r="AE35" i="129"/>
  <c r="BQ35" i="129"/>
  <c r="AK35" i="129"/>
  <c r="BL35" i="129"/>
  <c r="AT35" i="129"/>
  <c r="R35" i="129"/>
  <c r="T35" i="129" s="1"/>
  <c r="Y35" i="129" s="1"/>
  <c r="M34" i="112"/>
  <c r="AY34" i="112"/>
  <c r="AN34" i="112"/>
  <c r="AT34" i="112"/>
  <c r="AH34" i="112"/>
  <c r="BQ34" i="112"/>
  <c r="AE34" i="112"/>
  <c r="R34" i="112"/>
  <c r="T34" i="112" s="1"/>
  <c r="Y34" i="112" s="1"/>
  <c r="K35" i="112"/>
  <c r="AB34" i="112"/>
  <c r="BJ34" i="112"/>
  <c r="AK34" i="112"/>
  <c r="W35" i="135"/>
  <c r="W32" i="120"/>
  <c r="BH34" i="110"/>
  <c r="W32" i="13"/>
  <c r="M33" i="95"/>
  <c r="AE33" i="95"/>
  <c r="BQ33" i="95"/>
  <c r="BN33" i="95"/>
  <c r="BO33" i="95" s="1"/>
  <c r="AT33" i="95"/>
  <c r="BD33" i="95" s="1"/>
  <c r="K34" i="95"/>
  <c r="BL33" i="95"/>
  <c r="AB33" i="95"/>
  <c r="BG33" i="95"/>
  <c r="V33" i="95"/>
  <c r="AH33" i="95"/>
  <c r="AK33" i="95"/>
  <c r="AN33" i="95"/>
  <c r="BA33" i="95"/>
  <c r="R33" i="95"/>
  <c r="T33" i="95" s="1"/>
  <c r="Y33" i="95" s="1"/>
  <c r="BB32" i="95"/>
  <c r="AI32" i="95"/>
  <c r="AC38" i="156"/>
  <c r="AI34" i="129"/>
  <c r="AQ33" i="104"/>
  <c r="AR33" i="104" s="1"/>
  <c r="BL33" i="104"/>
  <c r="AY34" i="106"/>
  <c r="BA34" i="106" s="1"/>
  <c r="AE34" i="106"/>
  <c r="M34" i="106"/>
  <c r="BJ34" i="106"/>
  <c r="V34" i="106"/>
  <c r="AH34" i="106"/>
  <c r="AB34" i="106"/>
  <c r="AN34" i="106"/>
  <c r="AK34" i="106"/>
  <c r="AT34" i="106"/>
  <c r="AV34" i="106" s="1"/>
  <c r="BQ34" i="106"/>
  <c r="BG34" i="106"/>
  <c r="R34" i="106"/>
  <c r="T34" i="106" s="1"/>
  <c r="Y34" i="106" s="1"/>
  <c r="K35" i="106"/>
  <c r="AR32" i="112"/>
  <c r="BK32" i="112"/>
  <c r="W32" i="95"/>
  <c r="AF32" i="95"/>
  <c r="W38" i="156"/>
  <c r="AQ34" i="129"/>
  <c r="AR34" i="129" s="1"/>
  <c r="BA33" i="104"/>
  <c r="BB33" i="104" s="1"/>
  <c r="BR33" i="106"/>
  <c r="BG33" i="112"/>
  <c r="BH33" i="112" s="1"/>
  <c r="BA33" i="112"/>
  <c r="BB33" i="112" s="1"/>
  <c r="BL33" i="112"/>
  <c r="BK32" i="106"/>
  <c r="AO35" i="135"/>
  <c r="BR33" i="15"/>
  <c r="AL32" i="66"/>
  <c r="BH34" i="96"/>
  <c r="BE34" i="126"/>
  <c r="AC34" i="130"/>
  <c r="Z32" i="95"/>
  <c r="AC32" i="95"/>
  <c r="AO38" i="156"/>
  <c r="BA34" i="129"/>
  <c r="BB34" i="129" s="1"/>
  <c r="BR34" i="129"/>
  <c r="AV33" i="104"/>
  <c r="AW33" i="104" s="1"/>
  <c r="I41" i="156"/>
  <c r="K40" i="156"/>
  <c r="AI33" i="106"/>
  <c r="BL33" i="106"/>
  <c r="AF33" i="112"/>
  <c r="AI33" i="112"/>
  <c r="AQ33" i="112"/>
  <c r="AT27" i="150"/>
  <c r="AT27" i="156"/>
  <c r="AT27" i="120"/>
  <c r="AV27" i="120" s="1"/>
  <c r="AW27" i="120" s="1"/>
  <c r="BA31" i="15"/>
  <c r="BB31" i="15" s="1"/>
  <c r="BG31" i="15"/>
  <c r="BH31" i="15" s="1"/>
  <c r="BA32" i="136"/>
  <c r="BB32" i="136" s="1"/>
  <c r="BG32" i="136"/>
  <c r="BH32" i="136" s="1"/>
  <c r="BA32" i="150"/>
  <c r="BB32" i="150" s="1"/>
  <c r="BG32" i="150"/>
  <c r="BH32" i="150" s="1"/>
  <c r="BA32" i="151"/>
  <c r="BB32" i="151" s="1"/>
  <c r="BG32" i="151"/>
  <c r="BH32" i="151" s="1"/>
  <c r="BA32" i="155"/>
  <c r="BB32" i="155" s="1"/>
  <c r="BG32" i="155"/>
  <c r="BH32" i="155" s="1"/>
  <c r="BG32" i="153"/>
  <c r="BH32" i="153" s="1"/>
  <c r="BA32" i="153"/>
  <c r="BB32" i="153" s="1"/>
  <c r="BG32" i="152"/>
  <c r="BH32" i="152" s="1"/>
  <c r="BA32" i="152"/>
  <c r="BB32" i="152" s="1"/>
  <c r="BG31" i="149"/>
  <c r="BH31" i="149" s="1"/>
  <c r="BA31" i="149"/>
  <c r="BB31" i="149" s="1"/>
  <c r="BG31" i="156"/>
  <c r="BH31" i="156" s="1"/>
  <c r="BA31" i="156"/>
  <c r="BB31" i="156" s="1"/>
  <c r="A37" i="7"/>
  <c r="AY32" i="156"/>
  <c r="AY33" i="152"/>
  <c r="AY33" i="153"/>
  <c r="AY33" i="155"/>
  <c r="AY33" i="150"/>
  <c r="AY33" i="136"/>
  <c r="AY32" i="130"/>
  <c r="AY33" i="130"/>
  <c r="AY32" i="15"/>
  <c r="AI34" i="130"/>
  <c r="AQ34" i="130"/>
  <c r="AR34" i="130" s="1"/>
  <c r="BL35" i="130"/>
  <c r="M35" i="130"/>
  <c r="BN35" i="130"/>
  <c r="BO35" i="130" s="1"/>
  <c r="K36" i="130"/>
  <c r="BQ35" i="130"/>
  <c r="V35" i="130"/>
  <c r="AN35" i="130"/>
  <c r="AH35" i="130"/>
  <c r="AB35" i="130"/>
  <c r="AE35" i="130"/>
  <c r="AK35" i="130"/>
  <c r="R35" i="130"/>
  <c r="T35" i="130" s="1"/>
  <c r="Y35" i="130" s="1"/>
  <c r="BD26" i="156"/>
  <c r="BE26" i="156" s="1"/>
  <c r="AV26" i="156"/>
  <c r="AW26" i="156" s="1"/>
  <c r="AV26" i="150"/>
  <c r="AW26" i="150" s="1"/>
  <c r="BD26" i="150"/>
  <c r="BE26" i="150" s="1"/>
  <c r="BB34" i="63"/>
  <c r="BE34" i="98"/>
  <c r="AC34" i="98"/>
  <c r="AL38" i="149"/>
  <c r="Z38" i="149"/>
  <c r="W38" i="149"/>
  <c r="W35" i="64"/>
  <c r="AL35" i="64"/>
  <c r="W33" i="101"/>
  <c r="BB34" i="114"/>
  <c r="BE34" i="114"/>
  <c r="AO34" i="98"/>
  <c r="AI34" i="98"/>
  <c r="BH34" i="98"/>
  <c r="Z36" i="146"/>
  <c r="Z33" i="15"/>
  <c r="AL32" i="13"/>
  <c r="BB32" i="13"/>
  <c r="AF38" i="149"/>
  <c r="Z36" i="150"/>
  <c r="W37" i="151"/>
  <c r="Z37" i="151"/>
  <c r="W19" i="155"/>
  <c r="O20" i="155"/>
  <c r="BE35" i="135"/>
  <c r="BE35" i="64"/>
  <c r="BR34" i="63"/>
  <c r="Z32" i="13"/>
  <c r="T29" i="155"/>
  <c r="Y29" i="155" s="1"/>
  <c r="Z29" i="155" s="1"/>
  <c r="R30" i="155"/>
  <c r="BD26" i="136"/>
  <c r="BE26" i="136" s="1"/>
  <c r="AC39" i="152"/>
  <c r="AF39" i="152"/>
  <c r="Z39" i="152"/>
  <c r="AF39" i="153"/>
  <c r="O28" i="151"/>
  <c r="V28" i="151"/>
  <c r="W28" i="151" s="1"/>
  <c r="P29" i="151"/>
  <c r="AQ39" i="155"/>
  <c r="AR39" i="155" s="1"/>
  <c r="BR39" i="155"/>
  <c r="AL39" i="155"/>
  <c r="AO39" i="155"/>
  <c r="K41" i="155"/>
  <c r="I42" i="155"/>
  <c r="AI39" i="155"/>
  <c r="AE40" i="155"/>
  <c r="AK40" i="155"/>
  <c r="M40" i="155"/>
  <c r="BQ40" i="155"/>
  <c r="BN40" i="155"/>
  <c r="BO40" i="155" s="1"/>
  <c r="AN40" i="155"/>
  <c r="V40" i="155"/>
  <c r="AB40" i="155"/>
  <c r="BL40" i="155"/>
  <c r="AH40" i="155"/>
  <c r="AF39" i="155"/>
  <c r="AC39" i="155"/>
  <c r="W39" i="155"/>
  <c r="BD26" i="13"/>
  <c r="BE26" i="13" s="1"/>
  <c r="AV27" i="152"/>
  <c r="AW27" i="152" s="1"/>
  <c r="BD27" i="152"/>
  <c r="BE27" i="152" s="1"/>
  <c r="BD26" i="153"/>
  <c r="BE26" i="153" s="1"/>
  <c r="AV26" i="153"/>
  <c r="AW26" i="153" s="1"/>
  <c r="A29" i="58"/>
  <c r="AT27" i="153"/>
  <c r="AT27" i="133"/>
  <c r="AT27" i="15"/>
  <c r="AT27" i="13"/>
  <c r="AT27" i="130"/>
  <c r="AT27" i="17"/>
  <c r="AT27" i="136"/>
  <c r="AV26" i="120"/>
  <c r="AW26" i="120" s="1"/>
  <c r="BD26" i="120"/>
  <c r="BE26" i="120" s="1"/>
  <c r="AV26" i="152"/>
  <c r="AW26" i="152" s="1"/>
  <c r="BD26" i="152"/>
  <c r="BE26" i="152" s="1"/>
  <c r="AO39" i="153"/>
  <c r="AO39" i="152"/>
  <c r="Z39" i="153"/>
  <c r="AI39" i="153"/>
  <c r="BR39" i="153"/>
  <c r="AL39" i="152"/>
  <c r="AI39" i="152"/>
  <c r="AL39" i="153"/>
  <c r="AC39" i="153"/>
  <c r="AQ39" i="153"/>
  <c r="AR39" i="153" s="1"/>
  <c r="I45" i="153"/>
  <c r="M40" i="153"/>
  <c r="BQ40" i="153"/>
  <c r="O40" i="153"/>
  <c r="V40" i="153"/>
  <c r="AB40" i="153"/>
  <c r="AH40" i="153"/>
  <c r="AN40" i="153"/>
  <c r="P40" i="153"/>
  <c r="BN40" i="153"/>
  <c r="BO40" i="153" s="1"/>
  <c r="AE40" i="153"/>
  <c r="AK40" i="153"/>
  <c r="R40" i="153"/>
  <c r="T40" i="153" s="1"/>
  <c r="Y40" i="153" s="1"/>
  <c r="BL40" i="153"/>
  <c r="K41" i="153"/>
  <c r="AQ39" i="152"/>
  <c r="AR39" i="152" s="1"/>
  <c r="BR39" i="152"/>
  <c r="M40" i="152"/>
  <c r="BQ40" i="152"/>
  <c r="O40" i="152"/>
  <c r="V40" i="152"/>
  <c r="AB40" i="152"/>
  <c r="AH40" i="152"/>
  <c r="AN40" i="152"/>
  <c r="P40" i="152"/>
  <c r="BN40" i="152"/>
  <c r="BO40" i="152" s="1"/>
  <c r="R40" i="152"/>
  <c r="T40" i="152" s="1"/>
  <c r="Y40" i="152" s="1"/>
  <c r="AE40" i="152"/>
  <c r="AK40" i="152"/>
  <c r="BL40" i="152"/>
  <c r="K41" i="152"/>
  <c r="I49" i="152"/>
  <c r="BB32" i="66"/>
  <c r="BH36" i="146"/>
  <c r="BH35" i="64"/>
  <c r="BK33" i="126"/>
  <c r="AV34" i="115"/>
  <c r="AW34" i="115" s="1"/>
  <c r="AQ36" i="150"/>
  <c r="AR36" i="150" s="1"/>
  <c r="AV34" i="98"/>
  <c r="AW34" i="98" s="1"/>
  <c r="O27" i="149"/>
  <c r="BR37" i="151"/>
  <c r="AI37" i="151"/>
  <c r="AO37" i="151"/>
  <c r="AF37" i="151"/>
  <c r="AL37" i="151"/>
  <c r="K39" i="151"/>
  <c r="I40" i="151"/>
  <c r="AC37" i="151"/>
  <c r="AQ37" i="151"/>
  <c r="AR37" i="151" s="1"/>
  <c r="AK38" i="151"/>
  <c r="AE38" i="151"/>
  <c r="R38" i="151"/>
  <c r="T38" i="151" s="1"/>
  <c r="Y38" i="151" s="1"/>
  <c r="AN38" i="151"/>
  <c r="AH38" i="151"/>
  <c r="AB38" i="151"/>
  <c r="V38" i="151"/>
  <c r="BQ38" i="151"/>
  <c r="M38" i="151"/>
  <c r="BN38" i="151"/>
  <c r="BO38" i="151" s="1"/>
  <c r="BL38" i="151"/>
  <c r="BR36" i="150"/>
  <c r="AI36" i="150"/>
  <c r="I41" i="150"/>
  <c r="P37" i="150"/>
  <c r="AN37" i="150"/>
  <c r="AH37" i="150"/>
  <c r="AB37" i="150"/>
  <c r="V37" i="150"/>
  <c r="O37" i="150"/>
  <c r="BQ37" i="150"/>
  <c r="AE37" i="150"/>
  <c r="R37" i="150"/>
  <c r="T37" i="150" s="1"/>
  <c r="Y37" i="150" s="1"/>
  <c r="AK37" i="150"/>
  <c r="M37" i="150"/>
  <c r="BN37" i="150"/>
  <c r="BO37" i="150" s="1"/>
  <c r="BL37" i="150"/>
  <c r="K38" i="150"/>
  <c r="AL36" i="150"/>
  <c r="AF36" i="150"/>
  <c r="AO36" i="150"/>
  <c r="W36" i="150"/>
  <c r="AC36" i="150"/>
  <c r="V27" i="149"/>
  <c r="W27" i="149" s="1"/>
  <c r="P28" i="149"/>
  <c r="AQ38" i="149"/>
  <c r="AR38" i="149" s="1"/>
  <c r="BR38" i="149"/>
  <c r="AI38" i="149"/>
  <c r="AO38" i="149"/>
  <c r="AN39" i="149"/>
  <c r="AH39" i="149"/>
  <c r="AB39" i="149"/>
  <c r="V39" i="149"/>
  <c r="BQ39" i="149"/>
  <c r="R39" i="149"/>
  <c r="T39" i="149" s="1"/>
  <c r="Y39" i="149" s="1"/>
  <c r="AK39" i="149"/>
  <c r="AE39" i="149"/>
  <c r="M39" i="149"/>
  <c r="BN39" i="149"/>
  <c r="BO39" i="149" s="1"/>
  <c r="BL39" i="149"/>
  <c r="AC38" i="149"/>
  <c r="I41" i="149"/>
  <c r="K40" i="149"/>
  <c r="BA35" i="135"/>
  <c r="BB35" i="135" s="1"/>
  <c r="BK33" i="110"/>
  <c r="BA34" i="110"/>
  <c r="BB34" i="110" s="1"/>
  <c r="AW34" i="96"/>
  <c r="BE37" i="147"/>
  <c r="Z37" i="147"/>
  <c r="AW36" i="146"/>
  <c r="BA37" i="147"/>
  <c r="BB37" i="147" s="1"/>
  <c r="AF37" i="147"/>
  <c r="BH37" i="147"/>
  <c r="BG34" i="115"/>
  <c r="BH34" i="115" s="1"/>
  <c r="AI37" i="147"/>
  <c r="AV37" i="147"/>
  <c r="AW37" i="147" s="1"/>
  <c r="W37" i="147"/>
  <c r="AC37" i="147"/>
  <c r="AE38" i="147"/>
  <c r="R38" i="147"/>
  <c r="T38" i="147" s="1"/>
  <c r="Y38" i="147" s="1"/>
  <c r="BQ38" i="147"/>
  <c r="V38" i="147"/>
  <c r="AY38" i="147"/>
  <c r="BA38" i="147" s="1"/>
  <c r="AT38" i="147"/>
  <c r="AV38" i="147" s="1"/>
  <c r="AB38" i="147"/>
  <c r="M38" i="147"/>
  <c r="BN38" i="147"/>
  <c r="BO38" i="147" s="1"/>
  <c r="BJ38" i="147"/>
  <c r="BL38" i="147" s="1"/>
  <c r="BK38" i="147"/>
  <c r="BR37" i="147"/>
  <c r="K39" i="147"/>
  <c r="AH39" i="147" s="1"/>
  <c r="I40" i="147"/>
  <c r="W23" i="147"/>
  <c r="O24" i="147"/>
  <c r="W22" i="146"/>
  <c r="O23" i="146"/>
  <c r="AC36" i="146"/>
  <c r="BA36" i="146"/>
  <c r="BB36" i="146" s="1"/>
  <c r="AT37" i="146"/>
  <c r="AV37" i="146" s="1"/>
  <c r="AB37" i="146"/>
  <c r="V37" i="146"/>
  <c r="BQ37" i="146"/>
  <c r="AY37" i="146"/>
  <c r="BG37" i="146" s="1"/>
  <c r="R37" i="146"/>
  <c r="T37" i="146" s="1"/>
  <c r="Y37" i="146" s="1"/>
  <c r="AE37" i="146"/>
  <c r="BN37" i="146"/>
  <c r="BO37" i="146" s="1"/>
  <c r="M37" i="146"/>
  <c r="BJ37" i="146"/>
  <c r="BL37" i="146" s="1"/>
  <c r="BK37" i="146"/>
  <c r="BR36" i="146"/>
  <c r="AI36" i="146"/>
  <c r="I39" i="146"/>
  <c r="K38" i="146"/>
  <c r="AH38" i="146" s="1"/>
  <c r="BD36" i="146"/>
  <c r="BE36" i="146" s="1"/>
  <c r="AF36" i="146"/>
  <c r="Z32" i="66"/>
  <c r="BE34" i="63"/>
  <c r="BR35" i="64"/>
  <c r="BD32" i="66"/>
  <c r="BE32" i="66" s="1"/>
  <c r="AC34" i="63"/>
  <c r="BR34" i="98"/>
  <c r="W34" i="98"/>
  <c r="AF34" i="98"/>
  <c r="AC32" i="13"/>
  <c r="AO32" i="13"/>
  <c r="AC33" i="15"/>
  <c r="AQ35" i="64"/>
  <c r="AR35" i="64" s="1"/>
  <c r="AI32" i="13"/>
  <c r="BR32" i="13"/>
  <c r="AQ32" i="120"/>
  <c r="AR32" i="120" s="1"/>
  <c r="AV38" i="124"/>
  <c r="AW38" i="124" s="1"/>
  <c r="AQ33" i="15"/>
  <c r="AR33" i="15" s="1"/>
  <c r="AQ36" i="136"/>
  <c r="AR36" i="136" s="1"/>
  <c r="BG33" i="118"/>
  <c r="BH33" i="118" s="1"/>
  <c r="AO34" i="126"/>
  <c r="AF34" i="126"/>
  <c r="BA35" i="64"/>
  <c r="BB35" i="64" s="1"/>
  <c r="BR34" i="126"/>
  <c r="AC34" i="126"/>
  <c r="BH34" i="126"/>
  <c r="Z34" i="114"/>
  <c r="AO34" i="114"/>
  <c r="AL34" i="114"/>
  <c r="AQ33" i="101"/>
  <c r="AR33" i="101" s="1"/>
  <c r="AL34" i="63"/>
  <c r="AF34" i="63"/>
  <c r="AV34" i="126"/>
  <c r="AW34" i="126" s="1"/>
  <c r="AC34" i="114"/>
  <c r="AI34" i="114"/>
  <c r="BD36" i="105"/>
  <c r="BE36" i="105" s="1"/>
  <c r="AV35" i="135"/>
  <c r="AW35" i="135" s="1"/>
  <c r="Z32" i="17"/>
  <c r="AL32" i="17"/>
  <c r="AC32" i="17"/>
  <c r="BE33" i="118"/>
  <c r="AL33" i="118"/>
  <c r="AI33" i="118"/>
  <c r="AV35" i="64"/>
  <c r="AW35" i="64" s="1"/>
  <c r="BD34" i="96"/>
  <c r="BE34" i="96" s="1"/>
  <c r="AL36" i="105"/>
  <c r="AW36" i="105"/>
  <c r="AV34" i="110"/>
  <c r="AW34" i="110" s="1"/>
  <c r="AV34" i="114"/>
  <c r="AW34" i="114" s="1"/>
  <c r="BL34" i="110"/>
  <c r="BR35" i="135"/>
  <c r="AC35" i="135"/>
  <c r="BG32" i="17"/>
  <c r="BH32" i="17" s="1"/>
  <c r="BR33" i="118"/>
  <c r="AC33" i="118"/>
  <c r="BA32" i="120"/>
  <c r="BB32" i="120" s="1"/>
  <c r="AL32" i="120"/>
  <c r="AC32" i="120"/>
  <c r="AV33" i="101"/>
  <c r="AW33" i="101" s="1"/>
  <c r="BR34" i="96"/>
  <c r="AQ34" i="63"/>
  <c r="AR34" i="63" s="1"/>
  <c r="W34" i="63"/>
  <c r="AL34" i="126"/>
  <c r="BA36" i="105"/>
  <c r="BB36" i="105" s="1"/>
  <c r="Z35" i="135"/>
  <c r="BH35" i="135"/>
  <c r="AF36" i="105"/>
  <c r="W36" i="105"/>
  <c r="BB34" i="96"/>
  <c r="AC34" i="96"/>
  <c r="AF34" i="96"/>
  <c r="AO34" i="96"/>
  <c r="AV34" i="63"/>
  <c r="AW34" i="63" s="1"/>
  <c r="W34" i="126"/>
  <c r="AQ34" i="110"/>
  <c r="AR34" i="110" s="1"/>
  <c r="AL34" i="110"/>
  <c r="AI35" i="135"/>
  <c r="AF35" i="135"/>
  <c r="AF32" i="17"/>
  <c r="W32" i="17"/>
  <c r="BR32" i="17"/>
  <c r="AI32" i="17"/>
  <c r="AF33" i="118"/>
  <c r="W33" i="118"/>
  <c r="BB38" i="124"/>
  <c r="AF38" i="124"/>
  <c r="BG32" i="66"/>
  <c r="BH32" i="66" s="1"/>
  <c r="Z34" i="96"/>
  <c r="AI34" i="96"/>
  <c r="BG34" i="63"/>
  <c r="BH34" i="63" s="1"/>
  <c r="AQ34" i="114"/>
  <c r="AR34" i="114" s="1"/>
  <c r="BE34" i="110"/>
  <c r="AF34" i="110"/>
  <c r="BG32" i="13"/>
  <c r="BH32" i="13" s="1"/>
  <c r="AQ33" i="118"/>
  <c r="AR33" i="118" s="1"/>
  <c r="BE38" i="124"/>
  <c r="W34" i="96"/>
  <c r="BR34" i="110"/>
  <c r="AC34" i="110"/>
  <c r="AI34" i="110"/>
  <c r="I37" i="110"/>
  <c r="K36" i="110"/>
  <c r="AO36" i="136"/>
  <c r="T33" i="98"/>
  <c r="Y33" i="98" s="1"/>
  <c r="R34" i="98"/>
  <c r="I39" i="104"/>
  <c r="AV33" i="118"/>
  <c r="AW33" i="118" s="1"/>
  <c r="I37" i="115"/>
  <c r="K36" i="115"/>
  <c r="I42" i="132"/>
  <c r="BH32" i="120"/>
  <c r="BR32" i="120"/>
  <c r="AE33" i="120"/>
  <c r="AH33" i="120"/>
  <c r="M33" i="120"/>
  <c r="K34" i="120"/>
  <c r="AB33" i="120"/>
  <c r="V33" i="120"/>
  <c r="AY33" i="120"/>
  <c r="BG33" i="120" s="1"/>
  <c r="BQ33" i="120"/>
  <c r="AK33" i="120"/>
  <c r="AN33" i="120"/>
  <c r="R33" i="120"/>
  <c r="T33" i="120" s="1"/>
  <c r="Y33" i="120" s="1"/>
  <c r="AI38" i="124"/>
  <c r="BN33" i="66"/>
  <c r="BO33" i="66" s="1"/>
  <c r="AK33" i="66"/>
  <c r="AY33" i="66"/>
  <c r="BG33" i="66" s="1"/>
  <c r="M33" i="66"/>
  <c r="V33" i="66"/>
  <c r="BL33" i="66"/>
  <c r="AB33" i="66"/>
  <c r="AE33" i="66"/>
  <c r="AN33" i="66"/>
  <c r="AH33" i="66"/>
  <c r="BQ33" i="66"/>
  <c r="AT33" i="66"/>
  <c r="AV33" i="66" s="1"/>
  <c r="R33" i="66"/>
  <c r="T33" i="66" s="1"/>
  <c r="Y33" i="66" s="1"/>
  <c r="AF33" i="15"/>
  <c r="W33" i="15"/>
  <c r="W34" i="115"/>
  <c r="AC34" i="115"/>
  <c r="Z33" i="101"/>
  <c r="BA33" i="101"/>
  <c r="BB33" i="101" s="1"/>
  <c r="AL33" i="101"/>
  <c r="AF33" i="101"/>
  <c r="BR32" i="66"/>
  <c r="AF32" i="66"/>
  <c r="AC32" i="66"/>
  <c r="I44" i="95"/>
  <c r="BA34" i="126"/>
  <c r="BB34" i="126" s="1"/>
  <c r="AQ36" i="105"/>
  <c r="AR36" i="105" s="1"/>
  <c r="AO36" i="105"/>
  <c r="BA34" i="98"/>
  <c r="BB34" i="98" s="1"/>
  <c r="AQ34" i="98"/>
  <c r="AR34" i="98" s="1"/>
  <c r="AQ32" i="13"/>
  <c r="AR32" i="13" s="1"/>
  <c r="M37" i="136"/>
  <c r="BN37" i="136"/>
  <c r="BO37" i="136" s="1"/>
  <c r="BL37" i="136"/>
  <c r="AN37" i="136"/>
  <c r="AE37" i="136"/>
  <c r="V37" i="136"/>
  <c r="AB37" i="136"/>
  <c r="AH37" i="136"/>
  <c r="AK37" i="136"/>
  <c r="BQ37" i="136"/>
  <c r="K38" i="136"/>
  <c r="BK32" i="98"/>
  <c r="Z32" i="98"/>
  <c r="M34" i="118"/>
  <c r="K35" i="118"/>
  <c r="R35" i="118" s="1"/>
  <c r="AH34" i="118"/>
  <c r="V34" i="118"/>
  <c r="AE34" i="118"/>
  <c r="AY34" i="118"/>
  <c r="BA34" i="118" s="1"/>
  <c r="AB34" i="118"/>
  <c r="BQ34" i="118"/>
  <c r="AN34" i="118"/>
  <c r="AK34" i="118"/>
  <c r="AT34" i="118"/>
  <c r="BD34" i="118" s="1"/>
  <c r="AI32" i="120"/>
  <c r="BG38" i="124"/>
  <c r="BH38" i="124" s="1"/>
  <c r="K36" i="96"/>
  <c r="I37" i="96"/>
  <c r="I40" i="126"/>
  <c r="AI34" i="115"/>
  <c r="AL34" i="115"/>
  <c r="BE33" i="101"/>
  <c r="AC33" i="101"/>
  <c r="BR33" i="101"/>
  <c r="AW32" i="66"/>
  <c r="W32" i="66"/>
  <c r="M35" i="63"/>
  <c r="BN35" i="63"/>
  <c r="BO35" i="63" s="1"/>
  <c r="BL35" i="63"/>
  <c r="AB35" i="63"/>
  <c r="V35" i="63"/>
  <c r="AE35" i="63"/>
  <c r="AK35" i="63"/>
  <c r="AH35" i="63"/>
  <c r="AY35" i="63"/>
  <c r="BA35" i="63" s="1"/>
  <c r="AN35" i="63"/>
  <c r="BQ35" i="63"/>
  <c r="AT35" i="63"/>
  <c r="BD35" i="63" s="1"/>
  <c r="K36" i="63"/>
  <c r="Z34" i="126"/>
  <c r="BL34" i="126"/>
  <c r="BJ35" i="114"/>
  <c r="BL35" i="114" s="1"/>
  <c r="BK35" i="114"/>
  <c r="BN35" i="114"/>
  <c r="BO35" i="114" s="1"/>
  <c r="M35" i="114"/>
  <c r="V35" i="114"/>
  <c r="AH35" i="114"/>
  <c r="AK35" i="114"/>
  <c r="AN35" i="114"/>
  <c r="AB35" i="114"/>
  <c r="AT35" i="114"/>
  <c r="AV35" i="114" s="1"/>
  <c r="AY35" i="114"/>
  <c r="BA35" i="114" s="1"/>
  <c r="AE35" i="114"/>
  <c r="BQ35" i="114"/>
  <c r="K36" i="114"/>
  <c r="R35" i="114"/>
  <c r="T35" i="114" s="1"/>
  <c r="Y35" i="114" s="1"/>
  <c r="BJ37" i="105"/>
  <c r="BL37" i="105" s="1"/>
  <c r="M37" i="105"/>
  <c r="BK37" i="105"/>
  <c r="BN37" i="105"/>
  <c r="BO37" i="105" s="1"/>
  <c r="AY37" i="105"/>
  <c r="BA37" i="105" s="1"/>
  <c r="AE37" i="105"/>
  <c r="V37" i="105"/>
  <c r="AT37" i="105"/>
  <c r="BD37" i="105" s="1"/>
  <c r="AB37" i="105"/>
  <c r="AH37" i="105"/>
  <c r="AK37" i="105"/>
  <c r="BQ37" i="105"/>
  <c r="AN37" i="105"/>
  <c r="K38" i="105"/>
  <c r="I35" i="13"/>
  <c r="K34" i="13"/>
  <c r="M36" i="135"/>
  <c r="V36" i="135"/>
  <c r="AB36" i="135"/>
  <c r="AH36" i="135"/>
  <c r="AE36" i="135"/>
  <c r="AK36" i="135"/>
  <c r="BN36" i="135"/>
  <c r="BO36" i="135" s="1"/>
  <c r="AY36" i="135"/>
  <c r="BG36" i="135" s="1"/>
  <c r="AN36" i="135"/>
  <c r="BL36" i="135"/>
  <c r="BQ36" i="135"/>
  <c r="AT36" i="135"/>
  <c r="BD36" i="135" s="1"/>
  <c r="R36" i="135"/>
  <c r="T36" i="135" s="1"/>
  <c r="Y36" i="135" s="1"/>
  <c r="BL33" i="17"/>
  <c r="BN33" i="17"/>
  <c r="BO33" i="17" s="1"/>
  <c r="AY33" i="17"/>
  <c r="BA33" i="17" s="1"/>
  <c r="V33" i="17"/>
  <c r="AK33" i="17"/>
  <c r="M33" i="17"/>
  <c r="AE33" i="17"/>
  <c r="AH33" i="17"/>
  <c r="AN33" i="17"/>
  <c r="AB33" i="17"/>
  <c r="BQ33" i="17"/>
  <c r="R33" i="17"/>
  <c r="T33" i="17" s="1"/>
  <c r="Y33" i="17" s="1"/>
  <c r="I41" i="114"/>
  <c r="AF36" i="136"/>
  <c r="BR36" i="136"/>
  <c r="AQ35" i="135"/>
  <c r="AR35" i="135" s="1"/>
  <c r="AL35" i="135"/>
  <c r="AQ32" i="17"/>
  <c r="AR32" i="17" s="1"/>
  <c r="BB32" i="17"/>
  <c r="Z32" i="120"/>
  <c r="AO32" i="120"/>
  <c r="AF32" i="120"/>
  <c r="BR38" i="124"/>
  <c r="AC38" i="124"/>
  <c r="W38" i="124"/>
  <c r="M39" i="124"/>
  <c r="AI39" i="124" s="1"/>
  <c r="BK39" i="124"/>
  <c r="K40" i="124"/>
  <c r="AH40" i="124" s="1"/>
  <c r="BN39" i="124"/>
  <c r="BO39" i="124" s="1"/>
  <c r="BJ39" i="124"/>
  <c r="BL39" i="124" s="1"/>
  <c r="V39" i="124"/>
  <c r="AT39" i="124"/>
  <c r="BD39" i="124" s="1"/>
  <c r="AE39" i="124"/>
  <c r="AB39" i="124"/>
  <c r="AY39" i="124"/>
  <c r="BA39" i="124" s="1"/>
  <c r="BQ39" i="124"/>
  <c r="I42" i="105"/>
  <c r="M34" i="101"/>
  <c r="V34" i="101"/>
  <c r="BQ34" i="101"/>
  <c r="AE34" i="101"/>
  <c r="AK34" i="101"/>
  <c r="AB34" i="101"/>
  <c r="AT34" i="101"/>
  <c r="BD34" i="101" s="1"/>
  <c r="AY34" i="101"/>
  <c r="BG34" i="101" s="1"/>
  <c r="AN34" i="101"/>
  <c r="R34" i="101"/>
  <c r="T34" i="101" s="1"/>
  <c r="Y34" i="101" s="1"/>
  <c r="AI33" i="15"/>
  <c r="AO33" i="15"/>
  <c r="AH36" i="64"/>
  <c r="M36" i="64"/>
  <c r="AY36" i="64"/>
  <c r="BA36" i="64" s="1"/>
  <c r="BN36" i="64"/>
  <c r="BO36" i="64" s="1"/>
  <c r="BL36" i="64"/>
  <c r="AB36" i="64"/>
  <c r="V36" i="64"/>
  <c r="AN36" i="64"/>
  <c r="AK36" i="64"/>
  <c r="BQ36" i="64"/>
  <c r="AE36" i="64"/>
  <c r="AT36" i="64"/>
  <c r="AV36" i="64" s="1"/>
  <c r="K37" i="64"/>
  <c r="R36" i="64"/>
  <c r="T36" i="64" s="1"/>
  <c r="Y36" i="64" s="1"/>
  <c r="AI35" i="64"/>
  <c r="AO35" i="64"/>
  <c r="BL35" i="96"/>
  <c r="AB35" i="96"/>
  <c r="BN35" i="96"/>
  <c r="BO35" i="96" s="1"/>
  <c r="AK35" i="96"/>
  <c r="AH35" i="96"/>
  <c r="M35" i="96"/>
  <c r="AT35" i="96"/>
  <c r="AV35" i="96" s="1"/>
  <c r="AE35" i="96"/>
  <c r="BG35" i="96"/>
  <c r="AN35" i="96"/>
  <c r="V35" i="96"/>
  <c r="BA35" i="96"/>
  <c r="BQ35" i="96"/>
  <c r="R35" i="96"/>
  <c r="T35" i="96" s="1"/>
  <c r="Y35" i="96" s="1"/>
  <c r="AQ34" i="115"/>
  <c r="AR34" i="115" s="1"/>
  <c r="BE34" i="115"/>
  <c r="AO34" i="115"/>
  <c r="I39" i="15"/>
  <c r="AI33" i="101"/>
  <c r="AO33" i="101"/>
  <c r="AQ32" i="66"/>
  <c r="AR32" i="66" s="1"/>
  <c r="AO32" i="66"/>
  <c r="AI32" i="66"/>
  <c r="AQ34" i="96"/>
  <c r="AR34" i="96" s="1"/>
  <c r="AL34" i="96"/>
  <c r="M35" i="126"/>
  <c r="V35" i="126"/>
  <c r="BN35" i="126"/>
  <c r="BO35" i="126" s="1"/>
  <c r="BJ35" i="126"/>
  <c r="BL35" i="126" s="1"/>
  <c r="AT35" i="126"/>
  <c r="AV35" i="126" s="1"/>
  <c r="AB35" i="126"/>
  <c r="AY35" i="126"/>
  <c r="BA35" i="126" s="1"/>
  <c r="AK35" i="126"/>
  <c r="AN35" i="126"/>
  <c r="AE35" i="126"/>
  <c r="BQ35" i="126"/>
  <c r="K36" i="126"/>
  <c r="AH39" i="126" s="1"/>
  <c r="R35" i="126"/>
  <c r="T35" i="126" s="1"/>
  <c r="Y35" i="126" s="1"/>
  <c r="AQ34" i="126"/>
  <c r="AR34" i="126" s="1"/>
  <c r="BG34" i="114"/>
  <c r="BH34" i="114" s="1"/>
  <c r="BR36" i="105"/>
  <c r="AI36" i="105"/>
  <c r="AC36" i="105"/>
  <c r="BL34" i="98"/>
  <c r="BL33" i="13"/>
  <c r="M33" i="13"/>
  <c r="BN33" i="13"/>
  <c r="BO33" i="13" s="1"/>
  <c r="AY33" i="13"/>
  <c r="BA33" i="13" s="1"/>
  <c r="BQ33" i="13"/>
  <c r="AK33" i="13"/>
  <c r="AH33" i="13"/>
  <c r="AN33" i="13"/>
  <c r="V33" i="13"/>
  <c r="AB33" i="13"/>
  <c r="AE33" i="13"/>
  <c r="R33" i="13"/>
  <c r="T33" i="13" s="1"/>
  <c r="Y33" i="13" s="1"/>
  <c r="I38" i="135"/>
  <c r="K37" i="135"/>
  <c r="I35" i="17"/>
  <c r="K34" i="17"/>
  <c r="I41" i="136"/>
  <c r="M35" i="110"/>
  <c r="BN35" i="110"/>
  <c r="BO35" i="110" s="1"/>
  <c r="BJ35" i="110"/>
  <c r="BL35" i="110" s="1"/>
  <c r="AB35" i="110"/>
  <c r="AT35" i="110"/>
  <c r="AV35" i="110" s="1"/>
  <c r="AY35" i="110"/>
  <c r="BG35" i="110" s="1"/>
  <c r="AH35" i="110"/>
  <c r="AK35" i="110"/>
  <c r="AE35" i="110"/>
  <c r="AN35" i="110"/>
  <c r="BQ35" i="110"/>
  <c r="AI36" i="136"/>
  <c r="AL36" i="136"/>
  <c r="M35" i="115"/>
  <c r="BK35" i="115"/>
  <c r="BN35" i="115"/>
  <c r="BO35" i="115" s="1"/>
  <c r="BJ35" i="115"/>
  <c r="BL35" i="115" s="1"/>
  <c r="V35" i="115"/>
  <c r="BQ35" i="115"/>
  <c r="AT35" i="115"/>
  <c r="AV35" i="115" s="1"/>
  <c r="AK35" i="115"/>
  <c r="AN35" i="115"/>
  <c r="AB35" i="115"/>
  <c r="AE35" i="115"/>
  <c r="AH35" i="115"/>
  <c r="AY35" i="115"/>
  <c r="BA35" i="115" s="1"/>
  <c r="BB35" i="115" s="1"/>
  <c r="I40" i="63"/>
  <c r="I36" i="101"/>
  <c r="K35" i="101"/>
  <c r="AH35" i="101" s="1"/>
  <c r="I35" i="66"/>
  <c r="K34" i="66"/>
  <c r="BL34" i="15"/>
  <c r="BN34" i="15"/>
  <c r="BO34" i="15" s="1"/>
  <c r="AK34" i="15"/>
  <c r="V34" i="15"/>
  <c r="AN34" i="15"/>
  <c r="AH34" i="15"/>
  <c r="BQ34" i="15"/>
  <c r="AE34" i="15"/>
  <c r="M34" i="15"/>
  <c r="AB34" i="15"/>
  <c r="K35" i="15"/>
  <c r="R35" i="15" s="1"/>
  <c r="AL33" i="15"/>
  <c r="I50" i="133"/>
  <c r="I41" i="64"/>
  <c r="I91" i="99"/>
  <c r="BN35" i="98"/>
  <c r="BO35" i="98" s="1"/>
  <c r="M35" i="98"/>
  <c r="K36" i="98"/>
  <c r="AE35" i="98"/>
  <c r="AY35" i="98"/>
  <c r="BA35" i="98" s="1"/>
  <c r="AT35" i="98"/>
  <c r="AV35" i="98" s="1"/>
  <c r="V35" i="98"/>
  <c r="AB35" i="98"/>
  <c r="AH35" i="98"/>
  <c r="AK35" i="98"/>
  <c r="AN35" i="98"/>
  <c r="BJ35" i="98"/>
  <c r="BL35" i="98" s="1"/>
  <c r="BQ35" i="98"/>
  <c r="T34" i="107"/>
  <c r="Y34" i="107" s="1"/>
  <c r="BK34" i="107" s="1"/>
  <c r="R35" i="107"/>
  <c r="V22" i="95"/>
  <c r="T34" i="105"/>
  <c r="Y34" i="105" s="1"/>
  <c r="BK34" i="105" s="1"/>
  <c r="R35" i="105"/>
  <c r="T34" i="104"/>
  <c r="Y34" i="104" s="1"/>
  <c r="Z34" i="104" s="1"/>
  <c r="R35" i="104"/>
  <c r="Z33" i="104"/>
  <c r="BK33" i="104"/>
  <c r="T34" i="15"/>
  <c r="Y34" i="15" s="1"/>
  <c r="T34" i="136"/>
  <c r="Y34" i="136" s="1"/>
  <c r="Z34" i="136" s="1"/>
  <c r="R35" i="136"/>
  <c r="R37" i="124"/>
  <c r="T36" i="124"/>
  <c r="Y36" i="124" s="1"/>
  <c r="Z36" i="124" s="1"/>
  <c r="R36" i="63"/>
  <c r="T35" i="63"/>
  <c r="Y35" i="63" s="1"/>
  <c r="W21" i="98"/>
  <c r="O22" i="98"/>
  <c r="T35" i="110"/>
  <c r="Y35" i="110" s="1"/>
  <c r="R36" i="110"/>
  <c r="Z34" i="110"/>
  <c r="P23" i="115"/>
  <c r="P21" i="99"/>
  <c r="W20" i="105"/>
  <c r="O21" i="105"/>
  <c r="W21" i="107"/>
  <c r="O22" i="107"/>
  <c r="O23" i="126"/>
  <c r="W22" i="126"/>
  <c r="BK32" i="99"/>
  <c r="Z32" i="99"/>
  <c r="BK33" i="105"/>
  <c r="Z33" i="105"/>
  <c r="P23" i="106"/>
  <c r="V23" i="114"/>
  <c r="P24" i="101"/>
  <c r="P25" i="124"/>
  <c r="P23" i="129"/>
  <c r="Z33" i="107"/>
  <c r="BK33" i="107"/>
  <c r="W22" i="66"/>
  <c r="O23" i="66"/>
  <c r="P22" i="130"/>
  <c r="V22" i="13"/>
  <c r="T33" i="99"/>
  <c r="Y33" i="99" s="1"/>
  <c r="R34" i="99"/>
  <c r="V21" i="120"/>
  <c r="P22" i="118"/>
  <c r="T34" i="118"/>
  <c r="Y34" i="118" s="1"/>
  <c r="W22" i="17"/>
  <c r="O23" i="17"/>
  <c r="R36" i="115"/>
  <c r="T35" i="115"/>
  <c r="Y35" i="115" s="1"/>
  <c r="V23" i="96"/>
  <c r="V21" i="135"/>
  <c r="V21" i="112"/>
  <c r="V21" i="136"/>
  <c r="W21" i="63"/>
  <c r="O22" i="63"/>
  <c r="V24" i="64"/>
  <c r="W22" i="110"/>
  <c r="O23" i="110"/>
  <c r="V22" i="15"/>
  <c r="P23" i="104"/>
  <c r="AW35" i="98" l="1"/>
  <c r="AL38" i="107"/>
  <c r="AL35" i="98"/>
  <c r="AC34" i="104"/>
  <c r="Z34" i="106"/>
  <c r="BB34" i="106"/>
  <c r="AO33" i="95"/>
  <c r="W36" i="99"/>
  <c r="AL34" i="104"/>
  <c r="BR38" i="107"/>
  <c r="Z40" i="153"/>
  <c r="W38" i="107"/>
  <c r="AF38" i="107"/>
  <c r="AF36" i="99"/>
  <c r="AI37" i="105"/>
  <c r="BE34" i="104"/>
  <c r="AO34" i="104"/>
  <c r="AC38" i="107"/>
  <c r="AO38" i="107"/>
  <c r="AL36" i="99"/>
  <c r="BA36" i="99"/>
  <c r="BB36" i="99" s="1"/>
  <c r="BG36" i="99"/>
  <c r="BH36" i="99" s="1"/>
  <c r="AI36" i="99"/>
  <c r="AQ36" i="99"/>
  <c r="AR36" i="99" s="1"/>
  <c r="Z35" i="129"/>
  <c r="BH35" i="129"/>
  <c r="W35" i="115"/>
  <c r="AT28" i="130"/>
  <c r="W35" i="129"/>
  <c r="AO39" i="156"/>
  <c r="AI38" i="107"/>
  <c r="AQ38" i="107"/>
  <c r="AR38" i="107" s="1"/>
  <c r="AW35" i="110"/>
  <c r="AF34" i="118"/>
  <c r="AQ34" i="106"/>
  <c r="AR34" i="106" s="1"/>
  <c r="BG38" i="107"/>
  <c r="BH38" i="107" s="1"/>
  <c r="BA38" i="107"/>
  <c r="BB38" i="107" s="1"/>
  <c r="BD36" i="99"/>
  <c r="BE36" i="99" s="1"/>
  <c r="AV36" i="99"/>
  <c r="AW36" i="99" s="1"/>
  <c r="BR36" i="99"/>
  <c r="I41" i="107"/>
  <c r="K40" i="107"/>
  <c r="AO35" i="115"/>
  <c r="BE33" i="95"/>
  <c r="AL35" i="129"/>
  <c r="BD38" i="107"/>
  <c r="BE38" i="107" s="1"/>
  <c r="AV38" i="107"/>
  <c r="AW38" i="107" s="1"/>
  <c r="BN37" i="99"/>
  <c r="BO37" i="99" s="1"/>
  <c r="AK37" i="99"/>
  <c r="M37" i="99"/>
  <c r="AB37" i="99"/>
  <c r="AN37" i="99"/>
  <c r="K38" i="99"/>
  <c r="V37" i="99"/>
  <c r="BQ37" i="99"/>
  <c r="AE37" i="99"/>
  <c r="AF37" i="99" s="1"/>
  <c r="AY37" i="99"/>
  <c r="BJ37" i="99"/>
  <c r="BL37" i="99" s="1"/>
  <c r="AT37" i="99"/>
  <c r="BK37" i="99"/>
  <c r="AH37" i="99"/>
  <c r="Z35" i="63"/>
  <c r="AO36" i="135"/>
  <c r="AO34" i="118"/>
  <c r="BR35" i="130"/>
  <c r="AC35" i="129"/>
  <c r="BG37" i="132"/>
  <c r="BH37" i="132" s="1"/>
  <c r="AV37" i="132"/>
  <c r="AW37" i="132" s="1"/>
  <c r="P37" i="132"/>
  <c r="Y37" i="132"/>
  <c r="Z37" i="132" s="1"/>
  <c r="BA37" i="132"/>
  <c r="BB37" i="132" s="1"/>
  <c r="BD37" i="132"/>
  <c r="BE37" i="132" s="1"/>
  <c r="R37" i="132"/>
  <c r="T37" i="132" s="1"/>
  <c r="BN37" i="132"/>
  <c r="BO37" i="132" s="1"/>
  <c r="AQ37" i="132"/>
  <c r="AR37" i="132" s="1"/>
  <c r="AK37" i="132"/>
  <c r="AL37" i="132" s="1"/>
  <c r="AB37" i="132"/>
  <c r="AC37" i="132" s="1"/>
  <c r="K38" i="132"/>
  <c r="AH37" i="132"/>
  <c r="AI37" i="132" s="1"/>
  <c r="O37" i="132"/>
  <c r="AT37" i="132"/>
  <c r="BL37" i="132"/>
  <c r="AE37" i="132"/>
  <c r="AF37" i="132" s="1"/>
  <c r="AY37" i="132"/>
  <c r="BQ37" i="132"/>
  <c r="BR37" i="132" s="1"/>
  <c r="V37" i="132"/>
  <c r="W37" i="132" s="1"/>
  <c r="M37" i="132"/>
  <c r="AN37" i="132"/>
  <c r="AO37" i="132" s="1"/>
  <c r="AC36" i="99"/>
  <c r="AO36" i="99"/>
  <c r="BQ39" i="107"/>
  <c r="AN39" i="107"/>
  <c r="M39" i="107"/>
  <c r="V39" i="107"/>
  <c r="AK39" i="107"/>
  <c r="BN39" i="107"/>
  <c r="BO39" i="107" s="1"/>
  <c r="AH39" i="107"/>
  <c r="AY39" i="107"/>
  <c r="BK39" i="107"/>
  <c r="AB39" i="107"/>
  <c r="BJ39" i="107"/>
  <c r="BL39" i="107" s="1"/>
  <c r="AE39" i="107"/>
  <c r="AT39" i="107"/>
  <c r="AL35" i="130"/>
  <c r="AO35" i="130"/>
  <c r="BL34" i="112"/>
  <c r="AC34" i="106"/>
  <c r="T31" i="156"/>
  <c r="Y31" i="156" s="1"/>
  <c r="Z31" i="156" s="1"/>
  <c r="R32" i="156"/>
  <c r="BH34" i="106"/>
  <c r="AW34" i="106"/>
  <c r="AI34" i="106"/>
  <c r="AF34" i="106"/>
  <c r="Z33" i="95"/>
  <c r="AL33" i="95"/>
  <c r="AC33" i="95"/>
  <c r="AL34" i="112"/>
  <c r="Z34" i="112"/>
  <c r="BR34" i="104"/>
  <c r="BR34" i="106"/>
  <c r="AL34" i="106"/>
  <c r="W34" i="106"/>
  <c r="AQ33" i="95"/>
  <c r="AR33" i="95" s="1"/>
  <c r="AI33" i="95"/>
  <c r="AF34" i="112"/>
  <c r="BR35" i="129"/>
  <c r="AO35" i="129"/>
  <c r="AI35" i="129"/>
  <c r="V20" i="156"/>
  <c r="Z34" i="118"/>
  <c r="AF34" i="101"/>
  <c r="AF118" i="101" s="1"/>
  <c r="AO34" i="106"/>
  <c r="BL34" i="106"/>
  <c r="BB33" i="95"/>
  <c r="W33" i="95"/>
  <c r="AF33" i="95"/>
  <c r="AC34" i="112"/>
  <c r="BR34" i="112"/>
  <c r="AQ35" i="129"/>
  <c r="AR35" i="129" s="1"/>
  <c r="AF35" i="129"/>
  <c r="BA34" i="104"/>
  <c r="BB34" i="104" s="1"/>
  <c r="AF39" i="156"/>
  <c r="K71" i="161"/>
  <c r="BQ71" i="161" s="1"/>
  <c r="I72" i="161"/>
  <c r="BD70" i="161"/>
  <c r="BE70" i="161" s="1"/>
  <c r="AQ70" i="161"/>
  <c r="AR70" i="161" s="1"/>
  <c r="AK70" i="161"/>
  <c r="AL70" i="161" s="1"/>
  <c r="AE70" i="161"/>
  <c r="AF70" i="161" s="1"/>
  <c r="Y70" i="161"/>
  <c r="Z70" i="161" s="1"/>
  <c r="R70" i="161"/>
  <c r="T70" i="161" s="1"/>
  <c r="AV70" i="161"/>
  <c r="AW70" i="161" s="1"/>
  <c r="AN70" i="161"/>
  <c r="AO70" i="161" s="1"/>
  <c r="O70" i="161"/>
  <c r="AT70" i="161"/>
  <c r="V70" i="161"/>
  <c r="W70" i="161" s="1"/>
  <c r="BR70" i="161"/>
  <c r="BA70" i="161"/>
  <c r="BB70" i="161" s="1"/>
  <c r="AB70" i="161"/>
  <c r="AC70" i="161" s="1"/>
  <c r="AH70" i="161"/>
  <c r="AI70" i="161" s="1"/>
  <c r="BG70" i="161"/>
  <c r="BH70" i="161" s="1"/>
  <c r="AY70" i="161"/>
  <c r="P70" i="161"/>
  <c r="BJ70" i="161"/>
  <c r="BL70" i="161" s="1"/>
  <c r="BK70" i="161"/>
  <c r="M70" i="161"/>
  <c r="BN70" i="161"/>
  <c r="BO70" i="161" s="1"/>
  <c r="AV33" i="95"/>
  <c r="AW33" i="95" s="1"/>
  <c r="AW33" i="106"/>
  <c r="BK33" i="106"/>
  <c r="AO40" i="155"/>
  <c r="K41" i="156"/>
  <c r="I42" i="156"/>
  <c r="BD34" i="112"/>
  <c r="BE34" i="112" s="1"/>
  <c r="AV34" i="112"/>
  <c r="AW34" i="112" s="1"/>
  <c r="AI39" i="156"/>
  <c r="AQ39" i="156"/>
  <c r="AR39" i="156" s="1"/>
  <c r="AC33" i="13"/>
  <c r="AF36" i="135"/>
  <c r="AF35" i="114"/>
  <c r="AI37" i="136"/>
  <c r="Z35" i="130"/>
  <c r="W35" i="130"/>
  <c r="BD34" i="106"/>
  <c r="BE34" i="106" s="1"/>
  <c r="BH33" i="95"/>
  <c r="BR33" i="95"/>
  <c r="K36" i="112"/>
  <c r="AB35" i="112"/>
  <c r="M35" i="112"/>
  <c r="AK35" i="112"/>
  <c r="AH35" i="112"/>
  <c r="AN35" i="112"/>
  <c r="BQ35" i="112"/>
  <c r="BJ35" i="112"/>
  <c r="AT35" i="112"/>
  <c r="R35" i="112"/>
  <c r="T35" i="112" s="1"/>
  <c r="Y35" i="112" s="1"/>
  <c r="BN35" i="112"/>
  <c r="BO35" i="112" s="1"/>
  <c r="AE35" i="112"/>
  <c r="AY35" i="112"/>
  <c r="AO34" i="112"/>
  <c r="BA35" i="129"/>
  <c r="BB35" i="129" s="1"/>
  <c r="BN36" i="129"/>
  <c r="BO36" i="129" s="1"/>
  <c r="AN36" i="129"/>
  <c r="V36" i="129"/>
  <c r="AY36" i="129"/>
  <c r="BA36" i="129" s="1"/>
  <c r="BB36" i="129" s="1"/>
  <c r="AE36" i="129"/>
  <c r="BQ36" i="129"/>
  <c r="AH36" i="129"/>
  <c r="BL36" i="129"/>
  <c r="M36" i="129"/>
  <c r="AK36" i="129"/>
  <c r="AL36" i="129" s="1"/>
  <c r="K37" i="129"/>
  <c r="AB36" i="129"/>
  <c r="AT36" i="129"/>
  <c r="BD36" i="129" s="1"/>
  <c r="R36" i="129"/>
  <c r="T36" i="129" s="1"/>
  <c r="Y36" i="129" s="1"/>
  <c r="W34" i="104"/>
  <c r="AF34" i="104"/>
  <c r="I40" i="106"/>
  <c r="I41" i="106" s="1"/>
  <c r="I42" i="106" s="1"/>
  <c r="W35" i="63"/>
  <c r="BA34" i="112"/>
  <c r="BB34" i="112" s="1"/>
  <c r="BG34" i="112"/>
  <c r="BH34" i="112" s="1"/>
  <c r="AQ34" i="104"/>
  <c r="AR34" i="104" s="1"/>
  <c r="AY35" i="104"/>
  <c r="BG35" i="104" s="1"/>
  <c r="AK35" i="104"/>
  <c r="BQ35" i="104"/>
  <c r="AH35" i="104"/>
  <c r="AQ35" i="104" s="1"/>
  <c r="BN35" i="104"/>
  <c r="BO35" i="104" s="1"/>
  <c r="V35" i="104"/>
  <c r="M35" i="104"/>
  <c r="AN35" i="104"/>
  <c r="K36" i="104"/>
  <c r="BJ35" i="104"/>
  <c r="BL35" i="104" s="1"/>
  <c r="AT35" i="104"/>
  <c r="BD35" i="104" s="1"/>
  <c r="AB35" i="104"/>
  <c r="AE35" i="104"/>
  <c r="BL34" i="104"/>
  <c r="AV38" i="133"/>
  <c r="AW38" i="133" s="1"/>
  <c r="BG38" i="133"/>
  <c r="BH38" i="133" s="1"/>
  <c r="V38" i="133"/>
  <c r="W38" i="133" s="1"/>
  <c r="K39" i="133"/>
  <c r="AN38" i="133"/>
  <c r="AO38" i="133" s="1"/>
  <c r="BD38" i="133"/>
  <c r="BE38" i="133" s="1"/>
  <c r="AB38" i="133"/>
  <c r="AC38" i="133" s="1"/>
  <c r="AT38" i="133"/>
  <c r="BA38" i="133"/>
  <c r="BB38" i="133" s="1"/>
  <c r="AK38" i="133"/>
  <c r="AL38" i="133" s="1"/>
  <c r="M38" i="133"/>
  <c r="AE38" i="133"/>
  <c r="AF38" i="133" s="1"/>
  <c r="AQ38" i="133"/>
  <c r="AR38" i="133" s="1"/>
  <c r="AY38" i="133"/>
  <c r="BN38" i="133"/>
  <c r="BO38" i="133" s="1"/>
  <c r="P38" i="133"/>
  <c r="AH38" i="133"/>
  <c r="AI38" i="133" s="1"/>
  <c r="BQ38" i="133"/>
  <c r="BR38" i="133" s="1"/>
  <c r="BL38" i="133"/>
  <c r="O38" i="133"/>
  <c r="Y38" i="133"/>
  <c r="Z38" i="133" s="1"/>
  <c r="R38" i="133"/>
  <c r="T38" i="133" s="1"/>
  <c r="AC39" i="156"/>
  <c r="AF35" i="130"/>
  <c r="AV34" i="104"/>
  <c r="AW34" i="104" s="1"/>
  <c r="W39" i="156"/>
  <c r="AF37" i="105"/>
  <c r="BB35" i="63"/>
  <c r="AC35" i="130"/>
  <c r="BK34" i="106"/>
  <c r="BN35" i="106"/>
  <c r="BO35" i="106" s="1"/>
  <c r="BJ35" i="106"/>
  <c r="BL35" i="106" s="1"/>
  <c r="M35" i="106"/>
  <c r="AY35" i="106"/>
  <c r="BG35" i="106" s="1"/>
  <c r="AK35" i="106"/>
  <c r="AE35" i="106"/>
  <c r="AH35" i="106"/>
  <c r="AT35" i="106"/>
  <c r="AV35" i="106" s="1"/>
  <c r="AB35" i="106"/>
  <c r="AN35" i="106"/>
  <c r="V35" i="106"/>
  <c r="BA35" i="106"/>
  <c r="BQ35" i="106"/>
  <c r="K36" i="106"/>
  <c r="R35" i="106"/>
  <c r="T35" i="106" s="1"/>
  <c r="Y35" i="106" s="1"/>
  <c r="Z35" i="106" s="1"/>
  <c r="BN34" i="95"/>
  <c r="BO34" i="95" s="1"/>
  <c r="AB34" i="95"/>
  <c r="K35" i="95"/>
  <c r="BL34" i="95"/>
  <c r="AH34" i="95"/>
  <c r="AE34" i="95"/>
  <c r="V34" i="95"/>
  <c r="AK34" i="95"/>
  <c r="AT34" i="95"/>
  <c r="BD34" i="95" s="1"/>
  <c r="AN34" i="95"/>
  <c r="BA34" i="95"/>
  <c r="M34" i="95"/>
  <c r="BG34" i="95"/>
  <c r="BQ34" i="95"/>
  <c r="R34" i="95"/>
  <c r="T34" i="95" s="1"/>
  <c r="Y34" i="95" s="1"/>
  <c r="AL33" i="13"/>
  <c r="BH34" i="101"/>
  <c r="BH118" i="101" s="1"/>
  <c r="AO35" i="114"/>
  <c r="AO37" i="136"/>
  <c r="BH33" i="120"/>
  <c r="AR33" i="112"/>
  <c r="BK33" i="112"/>
  <c r="BQ40" i="156"/>
  <c r="BL40" i="156"/>
  <c r="V40" i="156"/>
  <c r="AB40" i="156"/>
  <c r="AE40" i="156"/>
  <c r="AH40" i="156"/>
  <c r="AK40" i="156"/>
  <c r="AN40" i="156"/>
  <c r="M40" i="156"/>
  <c r="BN40" i="156"/>
  <c r="BO40" i="156" s="1"/>
  <c r="AQ34" i="112"/>
  <c r="AI34" i="112"/>
  <c r="AV35" i="129"/>
  <c r="AW35" i="129" s="1"/>
  <c r="BD35" i="129"/>
  <c r="BE35" i="129" s="1"/>
  <c r="AI34" i="104"/>
  <c r="BH34" i="104"/>
  <c r="AL39" i="156"/>
  <c r="BR39" i="156"/>
  <c r="AT28" i="133"/>
  <c r="BD28" i="133" s="1"/>
  <c r="BE28" i="133" s="1"/>
  <c r="BD27" i="120"/>
  <c r="BE27" i="120" s="1"/>
  <c r="W37" i="146"/>
  <c r="Z39" i="149"/>
  <c r="Z38" i="151"/>
  <c r="AT28" i="150"/>
  <c r="AT28" i="156"/>
  <c r="AQ35" i="130"/>
  <c r="AR35" i="130" s="1"/>
  <c r="AI35" i="130"/>
  <c r="M36" i="130"/>
  <c r="K37" i="130"/>
  <c r="BN36" i="130"/>
  <c r="BO36" i="130" s="1"/>
  <c r="V36" i="130"/>
  <c r="BL36" i="130"/>
  <c r="BQ36" i="130"/>
  <c r="AK36" i="130"/>
  <c r="AB36" i="130"/>
  <c r="AE36" i="130"/>
  <c r="AN36" i="130"/>
  <c r="AH36" i="130"/>
  <c r="R36" i="130"/>
  <c r="T36" i="130" s="1"/>
  <c r="Y36" i="130" s="1"/>
  <c r="BA32" i="15"/>
  <c r="BB32" i="15" s="1"/>
  <c r="BG32" i="15"/>
  <c r="BH32" i="15" s="1"/>
  <c r="BA33" i="130"/>
  <c r="BB33" i="130" s="1"/>
  <c r="BG33" i="130"/>
  <c r="BH33" i="130" s="1"/>
  <c r="BA32" i="130"/>
  <c r="BB32" i="130" s="1"/>
  <c r="BG32" i="130"/>
  <c r="BH32" i="130" s="1"/>
  <c r="BA33" i="136"/>
  <c r="BB33" i="136" s="1"/>
  <c r="BG33" i="136"/>
  <c r="BH33" i="136" s="1"/>
  <c r="BA33" i="150"/>
  <c r="BB33" i="150" s="1"/>
  <c r="BG33" i="150"/>
  <c r="BH33" i="150" s="1"/>
  <c r="BG33" i="151"/>
  <c r="BH33" i="151" s="1"/>
  <c r="BA33" i="151"/>
  <c r="BB33" i="151" s="1"/>
  <c r="BG33" i="155"/>
  <c r="BH33" i="155" s="1"/>
  <c r="BA33" i="155"/>
  <c r="BB33" i="155" s="1"/>
  <c r="BG33" i="153"/>
  <c r="BH33" i="153" s="1"/>
  <c r="BA33" i="153"/>
  <c r="BB33" i="153" s="1"/>
  <c r="BG33" i="152"/>
  <c r="BH33" i="152" s="1"/>
  <c r="BA33" i="152"/>
  <c r="BB33" i="152" s="1"/>
  <c r="BG32" i="149"/>
  <c r="BH32" i="149" s="1"/>
  <c r="BA32" i="149"/>
  <c r="BB32" i="149" s="1"/>
  <c r="BA32" i="156"/>
  <c r="BB32" i="156" s="1"/>
  <c r="BG32" i="156"/>
  <c r="BH32" i="156" s="1"/>
  <c r="A38" i="7"/>
  <c r="AY34" i="150" s="1"/>
  <c r="AY33" i="156"/>
  <c r="AY33" i="15"/>
  <c r="AV27" i="156"/>
  <c r="AW27" i="156" s="1"/>
  <c r="BD27" i="156"/>
  <c r="BE27" i="156" s="1"/>
  <c r="AV27" i="150"/>
  <c r="AW27" i="150" s="1"/>
  <c r="BD27" i="150"/>
  <c r="BE27" i="150" s="1"/>
  <c r="AF39" i="149"/>
  <c r="Z34" i="15"/>
  <c r="Z33" i="13"/>
  <c r="BB39" i="124"/>
  <c r="W39" i="149"/>
  <c r="BR36" i="64"/>
  <c r="AC36" i="64"/>
  <c r="AC38" i="147"/>
  <c r="BR38" i="147"/>
  <c r="P20" i="155"/>
  <c r="BE34" i="118"/>
  <c r="Z37" i="146"/>
  <c r="AW38" i="147"/>
  <c r="Z37" i="150"/>
  <c r="W37" i="150"/>
  <c r="BH37" i="146"/>
  <c r="AW37" i="146"/>
  <c r="BB38" i="147"/>
  <c r="T30" i="155"/>
  <c r="Y30" i="155" s="1"/>
  <c r="Z30" i="155" s="1"/>
  <c r="R31" i="155"/>
  <c r="W40" i="153"/>
  <c r="W40" i="152"/>
  <c r="AT28" i="136"/>
  <c r="BD28" i="136" s="1"/>
  <c r="BE28" i="136" s="1"/>
  <c r="AQ40" i="152"/>
  <c r="AR40" i="152" s="1"/>
  <c r="AL40" i="153"/>
  <c r="AO40" i="153"/>
  <c r="AF40" i="153"/>
  <c r="AI40" i="153"/>
  <c r="BR40" i="153"/>
  <c r="AC40" i="153"/>
  <c r="AF40" i="152"/>
  <c r="Z40" i="152"/>
  <c r="Z34" i="105"/>
  <c r="O29" i="151"/>
  <c r="V29" i="151" s="1"/>
  <c r="W29" i="151" s="1"/>
  <c r="P30" i="151"/>
  <c r="P31" i="151" s="1"/>
  <c r="P32" i="151" s="1"/>
  <c r="P33" i="151" s="1"/>
  <c r="P34" i="151" s="1"/>
  <c r="P35" i="151" s="1"/>
  <c r="P36" i="151" s="1"/>
  <c r="P37" i="151" s="1"/>
  <c r="P38" i="151" s="1"/>
  <c r="P39" i="151" s="1"/>
  <c r="W40" i="155"/>
  <c r="AC40" i="155"/>
  <c r="AL40" i="155"/>
  <c r="AI40" i="155"/>
  <c r="BR40" i="155"/>
  <c r="AQ40" i="155"/>
  <c r="AR40" i="155" s="1"/>
  <c r="I43" i="155"/>
  <c r="K42" i="155"/>
  <c r="BN41" i="155"/>
  <c r="BO41" i="155" s="1"/>
  <c r="AE41" i="155"/>
  <c r="AK41" i="155"/>
  <c r="V41" i="155"/>
  <c r="AB41" i="155"/>
  <c r="AH41" i="155"/>
  <c r="AN41" i="155"/>
  <c r="M41" i="155"/>
  <c r="BQ41" i="155"/>
  <c r="BL41" i="155"/>
  <c r="AF40" i="155"/>
  <c r="AV27" i="130"/>
  <c r="AW27" i="130" s="1"/>
  <c r="BD27" i="130"/>
  <c r="BE27" i="130" s="1"/>
  <c r="AV27" i="15"/>
  <c r="AW27" i="15" s="1"/>
  <c r="BD27" i="15"/>
  <c r="BE27" i="15" s="1"/>
  <c r="AT28" i="15"/>
  <c r="AV27" i="136"/>
  <c r="AW27" i="136" s="1"/>
  <c r="BD27" i="136"/>
  <c r="BE27" i="136" s="1"/>
  <c r="BD27" i="153"/>
  <c r="BE27" i="153" s="1"/>
  <c r="AV27" i="153"/>
  <c r="AW27" i="153" s="1"/>
  <c r="AV28" i="130"/>
  <c r="AW28" i="130" s="1"/>
  <c r="BD28" i="130"/>
  <c r="BE28" i="130" s="1"/>
  <c r="AV27" i="13"/>
  <c r="AW27" i="13" s="1"/>
  <c r="BD27" i="13"/>
  <c r="BE27" i="13" s="1"/>
  <c r="BD27" i="133"/>
  <c r="BE27" i="133" s="1"/>
  <c r="AV27" i="133"/>
  <c r="AW27" i="133" s="1"/>
  <c r="BD27" i="17"/>
  <c r="BE27" i="17" s="1"/>
  <c r="AV27" i="17"/>
  <c r="AW27" i="17" s="1"/>
  <c r="A30" i="58"/>
  <c r="AT28" i="152"/>
  <c r="AT28" i="13"/>
  <c r="AT28" i="153"/>
  <c r="AT28" i="120"/>
  <c r="AT28" i="17"/>
  <c r="I46" i="153"/>
  <c r="AQ40" i="153"/>
  <c r="AR40" i="153" s="1"/>
  <c r="R41" i="153"/>
  <c r="T41" i="153" s="1"/>
  <c r="Y41" i="153" s="1"/>
  <c r="AE41" i="153"/>
  <c r="AK41" i="153"/>
  <c r="M41" i="153"/>
  <c r="BQ41" i="153"/>
  <c r="O41" i="153"/>
  <c r="V41" i="153"/>
  <c r="AB41" i="153"/>
  <c r="AH41" i="153"/>
  <c r="AN41" i="153"/>
  <c r="BN41" i="153"/>
  <c r="BO41" i="153" s="1"/>
  <c r="P41" i="153"/>
  <c r="BL41" i="153"/>
  <c r="K42" i="153"/>
  <c r="AI40" i="152"/>
  <c r="BR40" i="152"/>
  <c r="R41" i="152"/>
  <c r="T41" i="152" s="1"/>
  <c r="Y41" i="152" s="1"/>
  <c r="AE41" i="152"/>
  <c r="AK41" i="152"/>
  <c r="M41" i="152"/>
  <c r="BQ41" i="152"/>
  <c r="O41" i="152"/>
  <c r="V41" i="152"/>
  <c r="AB41" i="152"/>
  <c r="AH41" i="152"/>
  <c r="AN41" i="152"/>
  <c r="BL41" i="152"/>
  <c r="P41" i="152"/>
  <c r="BN41" i="152"/>
  <c r="BO41" i="152" s="1"/>
  <c r="K42" i="152"/>
  <c r="AL40" i="152"/>
  <c r="AC40" i="152"/>
  <c r="AO40" i="152"/>
  <c r="I50" i="152"/>
  <c r="BR33" i="66"/>
  <c r="AC33" i="66"/>
  <c r="AL37" i="150"/>
  <c r="AO37" i="150"/>
  <c r="BB34" i="118"/>
  <c r="AF37" i="150"/>
  <c r="AV39" i="124"/>
  <c r="AW39" i="124" s="1"/>
  <c r="BG33" i="13"/>
  <c r="BH33" i="13" s="1"/>
  <c r="BG35" i="98"/>
  <c r="BH35" i="98" s="1"/>
  <c r="BA33" i="66"/>
  <c r="BB33" i="66" s="1"/>
  <c r="BR38" i="151"/>
  <c r="AI38" i="151"/>
  <c r="AK39" i="151"/>
  <c r="AE39" i="151"/>
  <c r="R39" i="151"/>
  <c r="T39" i="151" s="1"/>
  <c r="Y39" i="151" s="1"/>
  <c r="AN39" i="151"/>
  <c r="AH39" i="151"/>
  <c r="AB39" i="151"/>
  <c r="V39" i="151"/>
  <c r="BQ39" i="151"/>
  <c r="BN39" i="151"/>
  <c r="BO39" i="151" s="1"/>
  <c r="M39" i="151"/>
  <c r="BL39" i="151"/>
  <c r="AO38" i="151"/>
  <c r="AF38" i="151"/>
  <c r="W38" i="151"/>
  <c r="AL38" i="151"/>
  <c r="AC38" i="151"/>
  <c r="AQ38" i="151"/>
  <c r="AR38" i="151" s="1"/>
  <c r="I41" i="151"/>
  <c r="K40" i="151"/>
  <c r="BR37" i="150"/>
  <c r="AI37" i="150"/>
  <c r="I42" i="150"/>
  <c r="P38" i="150"/>
  <c r="AN38" i="150"/>
  <c r="AH38" i="150"/>
  <c r="AB38" i="150"/>
  <c r="V38" i="150"/>
  <c r="O38" i="150"/>
  <c r="BQ38" i="150"/>
  <c r="AE38" i="150"/>
  <c r="R38" i="150"/>
  <c r="T38" i="150" s="1"/>
  <c r="Y38" i="150" s="1"/>
  <c r="AK38" i="150"/>
  <c r="BN38" i="150"/>
  <c r="BO38" i="150" s="1"/>
  <c r="BL38" i="150"/>
  <c r="M38" i="150"/>
  <c r="K39" i="150"/>
  <c r="AQ37" i="150"/>
  <c r="AR37" i="150" s="1"/>
  <c r="AC37" i="150"/>
  <c r="AQ39" i="149"/>
  <c r="AR39" i="149" s="1"/>
  <c r="O28" i="149"/>
  <c r="V28" i="149"/>
  <c r="W28" i="149" s="1"/>
  <c r="P29" i="149"/>
  <c r="AN40" i="149"/>
  <c r="AH40" i="149"/>
  <c r="AB40" i="149"/>
  <c r="V40" i="149"/>
  <c r="BQ40" i="149"/>
  <c r="AE40" i="149"/>
  <c r="R40" i="149"/>
  <c r="T40" i="149" s="1"/>
  <c r="Y40" i="149" s="1"/>
  <c r="AK40" i="149"/>
  <c r="BN40" i="149"/>
  <c r="BO40" i="149" s="1"/>
  <c r="M40" i="149"/>
  <c r="BL40" i="149"/>
  <c r="AC39" i="149"/>
  <c r="K41" i="149"/>
  <c r="I42" i="149"/>
  <c r="AL39" i="149"/>
  <c r="BR39" i="149"/>
  <c r="AI39" i="149"/>
  <c r="AO39" i="149"/>
  <c r="AI38" i="147"/>
  <c r="Z38" i="147"/>
  <c r="BA33" i="120"/>
  <c r="BB33" i="120" s="1"/>
  <c r="BK34" i="110"/>
  <c r="AC33" i="17"/>
  <c r="AW33" i="66"/>
  <c r="BD38" i="147"/>
  <c r="BE38" i="147" s="1"/>
  <c r="AQ35" i="63"/>
  <c r="AR35" i="63" s="1"/>
  <c r="AE39" i="147"/>
  <c r="R39" i="147"/>
  <c r="T39" i="147" s="1"/>
  <c r="Y39" i="147" s="1"/>
  <c r="BQ39" i="147"/>
  <c r="V39" i="147"/>
  <c r="AY39" i="147"/>
  <c r="BG39" i="147" s="1"/>
  <c r="AT39" i="147"/>
  <c r="BD39" i="147" s="1"/>
  <c r="BK39" i="147"/>
  <c r="AB39" i="147"/>
  <c r="BN39" i="147"/>
  <c r="BO39" i="147" s="1"/>
  <c r="M39" i="147"/>
  <c r="BJ39" i="147"/>
  <c r="BL39" i="147" s="1"/>
  <c r="AF38" i="147"/>
  <c r="P24" i="147"/>
  <c r="W38" i="147"/>
  <c r="K40" i="147"/>
  <c r="AH40" i="147" s="1"/>
  <c r="I41" i="147"/>
  <c r="BG38" i="147"/>
  <c r="BH38" i="147" s="1"/>
  <c r="AF37" i="146"/>
  <c r="AC37" i="146"/>
  <c r="BA37" i="146"/>
  <c r="BB37" i="146" s="1"/>
  <c r="AT38" i="146"/>
  <c r="AV38" i="146" s="1"/>
  <c r="AB38" i="146"/>
  <c r="V38" i="146"/>
  <c r="BQ38" i="146"/>
  <c r="AY38" i="146"/>
  <c r="BG38" i="146" s="1"/>
  <c r="R38" i="146"/>
  <c r="T38" i="146" s="1"/>
  <c r="Y38" i="146" s="1"/>
  <c r="AE38" i="146"/>
  <c r="M38" i="146"/>
  <c r="BK38" i="146"/>
  <c r="BJ38" i="146"/>
  <c r="BL38" i="146" s="1"/>
  <c r="BN38" i="146"/>
  <c r="BO38" i="146" s="1"/>
  <c r="BD37" i="146"/>
  <c r="BE37" i="146" s="1"/>
  <c r="BR37" i="146"/>
  <c r="AI37" i="146"/>
  <c r="I40" i="146"/>
  <c r="K39" i="146"/>
  <c r="AH39" i="146" s="1"/>
  <c r="P23" i="146"/>
  <c r="AQ36" i="64"/>
  <c r="AR36" i="64" s="1"/>
  <c r="BG39" i="124"/>
  <c r="BH39" i="124" s="1"/>
  <c r="AC39" i="124"/>
  <c r="BE36" i="135"/>
  <c r="AO37" i="105"/>
  <c r="BB37" i="105"/>
  <c r="AF34" i="15"/>
  <c r="AW35" i="115"/>
  <c r="Z34" i="101"/>
  <c r="Z118" i="101" s="1"/>
  <c r="AQ37" i="136"/>
  <c r="AR37" i="136" s="1"/>
  <c r="BH35" i="110"/>
  <c r="AF33" i="13"/>
  <c r="AI33" i="13"/>
  <c r="AQ34" i="15"/>
  <c r="AR34" i="15" s="1"/>
  <c r="AQ35" i="115"/>
  <c r="AR35" i="115" s="1"/>
  <c r="BD35" i="96"/>
  <c r="BE35" i="96" s="1"/>
  <c r="BG35" i="63"/>
  <c r="BH35" i="63" s="1"/>
  <c r="AI35" i="98"/>
  <c r="BB35" i="98"/>
  <c r="BD35" i="110"/>
  <c r="BE35" i="110" s="1"/>
  <c r="AL35" i="110"/>
  <c r="AC35" i="110"/>
  <c r="W33" i="13"/>
  <c r="BR33" i="13"/>
  <c r="BD35" i="98"/>
  <c r="BE35" i="98" s="1"/>
  <c r="BG35" i="126"/>
  <c r="BH35" i="126" s="1"/>
  <c r="AO34" i="101"/>
  <c r="AO118" i="101" s="1"/>
  <c r="BB35" i="114"/>
  <c r="AL35" i="114"/>
  <c r="BR35" i="63"/>
  <c r="AI35" i="63"/>
  <c r="AC35" i="63"/>
  <c r="BG34" i="118"/>
  <c r="BH34" i="118" s="1"/>
  <c r="AC34" i="118"/>
  <c r="AI34" i="118"/>
  <c r="AI33" i="66"/>
  <c r="BH33" i="66"/>
  <c r="W35" i="98"/>
  <c r="AQ35" i="114"/>
  <c r="AR35" i="114" s="1"/>
  <c r="AW35" i="114"/>
  <c r="AI35" i="114"/>
  <c r="AV35" i="63"/>
  <c r="AW35" i="63" s="1"/>
  <c r="Z33" i="66"/>
  <c r="Z33" i="120"/>
  <c r="AL33" i="120"/>
  <c r="AC33" i="120"/>
  <c r="AF33" i="120"/>
  <c r="BD35" i="126"/>
  <c r="BE35" i="126" s="1"/>
  <c r="BB35" i="126"/>
  <c r="BR35" i="114"/>
  <c r="AO35" i="63"/>
  <c r="AF35" i="63"/>
  <c r="AV34" i="118"/>
  <c r="AW34" i="118" s="1"/>
  <c r="BB35" i="96"/>
  <c r="AF35" i="96"/>
  <c r="AL35" i="96"/>
  <c r="BD36" i="64"/>
  <c r="BE36" i="64" s="1"/>
  <c r="BG36" i="64"/>
  <c r="BH36" i="64" s="1"/>
  <c r="BA34" i="101"/>
  <c r="BB34" i="101" s="1"/>
  <c r="BB118" i="101" s="1"/>
  <c r="BE34" i="101"/>
  <c r="BE118" i="101" s="1"/>
  <c r="AI34" i="101"/>
  <c r="AI118" i="101" s="1"/>
  <c r="BR39" i="124"/>
  <c r="AF39" i="124"/>
  <c r="BR36" i="135"/>
  <c r="BH36" i="135"/>
  <c r="AI36" i="135"/>
  <c r="BG37" i="105"/>
  <c r="BH37" i="105" s="1"/>
  <c r="BE37" i="105"/>
  <c r="Z35" i="114"/>
  <c r="BD35" i="114"/>
  <c r="BE35" i="114" s="1"/>
  <c r="AC35" i="114"/>
  <c r="W35" i="114"/>
  <c r="BE35" i="63"/>
  <c r="AL35" i="63"/>
  <c r="BD33" i="66"/>
  <c r="BE33" i="66" s="1"/>
  <c r="AO33" i="66"/>
  <c r="AL33" i="66"/>
  <c r="AO33" i="120"/>
  <c r="W33" i="120"/>
  <c r="AI33" i="120"/>
  <c r="BA35" i="110"/>
  <c r="BB35" i="110" s="1"/>
  <c r="Z35" i="96"/>
  <c r="W35" i="96"/>
  <c r="AW35" i="96"/>
  <c r="AC34" i="101"/>
  <c r="AC118" i="101" s="1"/>
  <c r="BR34" i="101"/>
  <c r="BR118" i="101" s="1"/>
  <c r="BE39" i="124"/>
  <c r="W39" i="124"/>
  <c r="AI33" i="17"/>
  <c r="W33" i="17"/>
  <c r="Z36" i="135"/>
  <c r="BA36" i="135"/>
  <c r="BB36" i="135" s="1"/>
  <c r="AC36" i="135"/>
  <c r="AQ37" i="105"/>
  <c r="AR37" i="105" s="1"/>
  <c r="AF33" i="66"/>
  <c r="W33" i="66"/>
  <c r="BR34" i="15"/>
  <c r="W34" i="15"/>
  <c r="AQ35" i="126"/>
  <c r="AR35" i="126" s="1"/>
  <c r="AL34" i="101"/>
  <c r="AL118" i="101" s="1"/>
  <c r="W34" i="101"/>
  <c r="BR33" i="17"/>
  <c r="AV36" i="135"/>
  <c r="AW36" i="135" s="1"/>
  <c r="AL36" i="135"/>
  <c r="W36" i="135"/>
  <c r="AC34" i="15"/>
  <c r="AI34" i="15"/>
  <c r="AL34" i="15"/>
  <c r="BR35" i="96"/>
  <c r="BH35" i="96"/>
  <c r="AI35" i="96"/>
  <c r="Z34" i="107"/>
  <c r="Z35" i="115"/>
  <c r="Z35" i="110"/>
  <c r="BR35" i="98"/>
  <c r="AO35" i="98"/>
  <c r="AC35" i="98"/>
  <c r="AF35" i="98"/>
  <c r="AO34" i="15"/>
  <c r="M35" i="101"/>
  <c r="AI35" i="101" s="1"/>
  <c r="BQ35" i="101"/>
  <c r="V35" i="101"/>
  <c r="AN35" i="101"/>
  <c r="AB35" i="101"/>
  <c r="AY35" i="101"/>
  <c r="BA35" i="101" s="1"/>
  <c r="AE35" i="101"/>
  <c r="AK35" i="101"/>
  <c r="AT35" i="101"/>
  <c r="BD35" i="101" s="1"/>
  <c r="R35" i="101"/>
  <c r="T35" i="101" s="1"/>
  <c r="Y35" i="101" s="1"/>
  <c r="BD35" i="115"/>
  <c r="BE35" i="115" s="1"/>
  <c r="AC35" i="115"/>
  <c r="BR35" i="115"/>
  <c r="BR35" i="110"/>
  <c r="AF35" i="110"/>
  <c r="M37" i="135"/>
  <c r="AB37" i="135"/>
  <c r="AH37" i="135"/>
  <c r="AE37" i="135"/>
  <c r="V37" i="135"/>
  <c r="BN37" i="135"/>
  <c r="BO37" i="135" s="1"/>
  <c r="AN37" i="135"/>
  <c r="BL37" i="135"/>
  <c r="AK37" i="135"/>
  <c r="AY37" i="135"/>
  <c r="BA37" i="135" s="1"/>
  <c r="BQ37" i="135"/>
  <c r="AT37" i="135"/>
  <c r="BD37" i="135" s="1"/>
  <c r="R37" i="135"/>
  <c r="T37" i="135" s="1"/>
  <c r="Y37" i="135" s="1"/>
  <c r="Z37" i="135" s="1"/>
  <c r="AO33" i="13"/>
  <c r="BB33" i="13"/>
  <c r="AW35" i="126"/>
  <c r="AL35" i="126"/>
  <c r="BK35" i="126"/>
  <c r="AQ35" i="96"/>
  <c r="AR35" i="96" s="1"/>
  <c r="AO35" i="96"/>
  <c r="AC35" i="96"/>
  <c r="Z36" i="64"/>
  <c r="AF36" i="64"/>
  <c r="W36" i="64"/>
  <c r="AV34" i="101"/>
  <c r="AW34" i="101" s="1"/>
  <c r="AW118" i="101" s="1"/>
  <c r="I42" i="114"/>
  <c r="Z33" i="17"/>
  <c r="BG33" i="17"/>
  <c r="BH33" i="17" s="1"/>
  <c r="AO33" i="17"/>
  <c r="AL33" i="17"/>
  <c r="I36" i="13"/>
  <c r="K35" i="13"/>
  <c r="BR37" i="105"/>
  <c r="AC37" i="105"/>
  <c r="BG35" i="114"/>
  <c r="BH35" i="114" s="1"/>
  <c r="AQ34" i="118"/>
  <c r="AR34" i="118" s="1"/>
  <c r="BR34" i="118"/>
  <c r="W34" i="118"/>
  <c r="M38" i="136"/>
  <c r="BL38" i="136"/>
  <c r="BN38" i="136"/>
  <c r="BO38" i="136" s="1"/>
  <c r="BQ38" i="136"/>
  <c r="V38" i="136"/>
  <c r="AK38" i="136"/>
  <c r="AE38" i="136"/>
  <c r="AB38" i="136"/>
  <c r="AN38" i="136"/>
  <c r="AH38" i="136"/>
  <c r="K39" i="136"/>
  <c r="AL37" i="136"/>
  <c r="AF37" i="136"/>
  <c r="I45" i="95"/>
  <c r="AQ33" i="66"/>
  <c r="AR33" i="66" s="1"/>
  <c r="M36" i="115"/>
  <c r="BJ36" i="115"/>
  <c r="BL36" i="115" s="1"/>
  <c r="BN36" i="115"/>
  <c r="BO36" i="115" s="1"/>
  <c r="BK36" i="115"/>
  <c r="V36" i="115"/>
  <c r="BQ36" i="115"/>
  <c r="AH36" i="115"/>
  <c r="AN36" i="115"/>
  <c r="AK36" i="115"/>
  <c r="AE36" i="115"/>
  <c r="AT36" i="115"/>
  <c r="BD36" i="115" s="1"/>
  <c r="AB36" i="115"/>
  <c r="AY36" i="115"/>
  <c r="BA36" i="115" s="1"/>
  <c r="BB36" i="115" s="1"/>
  <c r="I42" i="64"/>
  <c r="BL35" i="15"/>
  <c r="BN35" i="15"/>
  <c r="BO35" i="15" s="1"/>
  <c r="BQ35" i="15"/>
  <c r="AK35" i="15"/>
  <c r="V35" i="15"/>
  <c r="AB35" i="15"/>
  <c r="M35" i="15"/>
  <c r="AN35" i="15"/>
  <c r="AE35" i="15"/>
  <c r="AH35" i="15"/>
  <c r="K36" i="15"/>
  <c r="BG35" i="115"/>
  <c r="BH35" i="115" s="1"/>
  <c r="I39" i="135"/>
  <c r="K38" i="135"/>
  <c r="M37" i="64"/>
  <c r="AE37" i="64"/>
  <c r="V37" i="64"/>
  <c r="AH37" i="64"/>
  <c r="AY37" i="64"/>
  <c r="BA37" i="64" s="1"/>
  <c r="BN37" i="64"/>
  <c r="BO37" i="64" s="1"/>
  <c r="AN37" i="64"/>
  <c r="BL37" i="64"/>
  <c r="AB37" i="64"/>
  <c r="AK37" i="64"/>
  <c r="BQ37" i="64"/>
  <c r="AT37" i="64"/>
  <c r="AV37" i="64" s="1"/>
  <c r="K38" i="64"/>
  <c r="R37" i="64"/>
  <c r="T37" i="64" s="1"/>
  <c r="Y37" i="64" s="1"/>
  <c r="I38" i="115"/>
  <c r="K37" i="115"/>
  <c r="R35" i="98"/>
  <c r="T34" i="98"/>
  <c r="Y34" i="98" s="1"/>
  <c r="I92" i="99"/>
  <c r="I37" i="101"/>
  <c r="K36" i="101"/>
  <c r="AH36" i="101" s="1"/>
  <c r="AQ35" i="98"/>
  <c r="AR35" i="98" s="1"/>
  <c r="I51" i="133"/>
  <c r="M34" i="66"/>
  <c r="BN34" i="66"/>
  <c r="BO34" i="66" s="1"/>
  <c r="AE34" i="66"/>
  <c r="BL34" i="66"/>
  <c r="AN34" i="66"/>
  <c r="AB34" i="66"/>
  <c r="AY34" i="66"/>
  <c r="BA34" i="66" s="1"/>
  <c r="AK34" i="66"/>
  <c r="V34" i="66"/>
  <c r="AH34" i="66"/>
  <c r="BQ34" i="66"/>
  <c r="AT34" i="66"/>
  <c r="BD34" i="66" s="1"/>
  <c r="R34" i="66"/>
  <c r="T34" i="66" s="1"/>
  <c r="Y34" i="66" s="1"/>
  <c r="AI35" i="115"/>
  <c r="AL35" i="115"/>
  <c r="AQ35" i="110"/>
  <c r="AR35" i="110" s="1"/>
  <c r="AI35" i="110"/>
  <c r="BK35" i="110"/>
  <c r="BL34" i="17"/>
  <c r="BN34" i="17"/>
  <c r="BO34" i="17" s="1"/>
  <c r="V34" i="17"/>
  <c r="M34" i="17"/>
  <c r="AY34" i="17"/>
  <c r="BA34" i="17" s="1"/>
  <c r="AH34" i="17"/>
  <c r="AK34" i="17"/>
  <c r="AB34" i="17"/>
  <c r="AN34" i="17"/>
  <c r="AE34" i="17"/>
  <c r="BQ34" i="17"/>
  <c r="R34" i="17"/>
  <c r="T34" i="17" s="1"/>
  <c r="Y34" i="17" s="1"/>
  <c r="Z35" i="126"/>
  <c r="BR35" i="126"/>
  <c r="AF35" i="126"/>
  <c r="AC35" i="126"/>
  <c r="I40" i="15"/>
  <c r="AL36" i="64"/>
  <c r="AI36" i="64"/>
  <c r="AQ34" i="101"/>
  <c r="AR34" i="101" s="1"/>
  <c r="AR118" i="101" s="1"/>
  <c r="I43" i="105"/>
  <c r="K41" i="124"/>
  <c r="AH41" i="124" s="1"/>
  <c r="M40" i="124"/>
  <c r="BJ40" i="124"/>
  <c r="BL40" i="124" s="1"/>
  <c r="BN40" i="124"/>
  <c r="BO40" i="124" s="1"/>
  <c r="BK40" i="124"/>
  <c r="V40" i="124"/>
  <c r="AB40" i="124"/>
  <c r="AE40" i="124"/>
  <c r="AT40" i="124"/>
  <c r="BD40" i="124" s="1"/>
  <c r="AY40" i="124"/>
  <c r="BA40" i="124" s="1"/>
  <c r="BQ40" i="124"/>
  <c r="AQ33" i="17"/>
  <c r="AR33" i="17" s="1"/>
  <c r="AF33" i="17"/>
  <c r="BB33" i="17"/>
  <c r="AQ36" i="135"/>
  <c r="AR36" i="135" s="1"/>
  <c r="BJ38" i="105"/>
  <c r="BL38" i="105" s="1"/>
  <c r="M38" i="105"/>
  <c r="BK38" i="105"/>
  <c r="BN38" i="105"/>
  <c r="BO38" i="105" s="1"/>
  <c r="AE38" i="105"/>
  <c r="AB38" i="105"/>
  <c r="AT38" i="105"/>
  <c r="AV38" i="105" s="1"/>
  <c r="AY38" i="105"/>
  <c r="BA38" i="105" s="1"/>
  <c r="V38" i="105"/>
  <c r="AH38" i="105"/>
  <c r="BQ38" i="105"/>
  <c r="AN38" i="105"/>
  <c r="AK38" i="105"/>
  <c r="K39" i="105"/>
  <c r="AV37" i="105"/>
  <c r="AW37" i="105" s="1"/>
  <c r="AL37" i="105"/>
  <c r="W37" i="105"/>
  <c r="BK34" i="126"/>
  <c r="I41" i="126"/>
  <c r="K37" i="96"/>
  <c r="I38" i="96"/>
  <c r="AL34" i="118"/>
  <c r="M35" i="118"/>
  <c r="K36" i="118"/>
  <c r="R36" i="118" s="1"/>
  <c r="BN35" i="118"/>
  <c r="BO35" i="118" s="1"/>
  <c r="AE35" i="118"/>
  <c r="AY35" i="118"/>
  <c r="BG35" i="118" s="1"/>
  <c r="AB35" i="118"/>
  <c r="V35" i="118"/>
  <c r="AH35" i="118"/>
  <c r="AK35" i="118"/>
  <c r="AL35" i="118" s="1"/>
  <c r="AN35" i="118"/>
  <c r="BQ35" i="118"/>
  <c r="AT35" i="118"/>
  <c r="AV35" i="118" s="1"/>
  <c r="AC37" i="136"/>
  <c r="Z33" i="98"/>
  <c r="BK33" i="98"/>
  <c r="M36" i="110"/>
  <c r="BN36" i="110"/>
  <c r="BO36" i="110" s="1"/>
  <c r="BK36" i="110"/>
  <c r="BJ36" i="110"/>
  <c r="BL36" i="110" s="1"/>
  <c r="AT36" i="110"/>
  <c r="BD36" i="110" s="1"/>
  <c r="AN36" i="110"/>
  <c r="AB36" i="110"/>
  <c r="AH36" i="110"/>
  <c r="AY36" i="110"/>
  <c r="BA36" i="110" s="1"/>
  <c r="AE36" i="110"/>
  <c r="AK36" i="110"/>
  <c r="BQ36" i="110"/>
  <c r="BK36" i="98"/>
  <c r="M36" i="98"/>
  <c r="K37" i="98"/>
  <c r="BN36" i="98"/>
  <c r="BO36" i="98" s="1"/>
  <c r="BJ36" i="98"/>
  <c r="BL36" i="98" s="1"/>
  <c r="AY36" i="98"/>
  <c r="BG36" i="98" s="1"/>
  <c r="AB36" i="98"/>
  <c r="V36" i="98"/>
  <c r="AN36" i="98"/>
  <c r="AK36" i="98"/>
  <c r="AE36" i="98"/>
  <c r="AH36" i="98"/>
  <c r="AT36" i="98"/>
  <c r="BD36" i="98" s="1"/>
  <c r="BQ36" i="98"/>
  <c r="BK35" i="98"/>
  <c r="I36" i="66"/>
  <c r="K35" i="66"/>
  <c r="I41" i="63"/>
  <c r="AF35" i="115"/>
  <c r="AO35" i="110"/>
  <c r="I42" i="136"/>
  <c r="K35" i="17"/>
  <c r="I36" i="17"/>
  <c r="AQ33" i="13"/>
  <c r="AR33" i="13" s="1"/>
  <c r="M36" i="126"/>
  <c r="BK36" i="126"/>
  <c r="BN36" i="126"/>
  <c r="BO36" i="126" s="1"/>
  <c r="BJ36" i="126"/>
  <c r="BL36" i="126" s="1"/>
  <c r="V36" i="126"/>
  <c r="AT36" i="126"/>
  <c r="BD36" i="126" s="1"/>
  <c r="AB36" i="126"/>
  <c r="AN36" i="126"/>
  <c r="AE36" i="126"/>
  <c r="AY36" i="126"/>
  <c r="BA36" i="126" s="1"/>
  <c r="AK36" i="126"/>
  <c r="BQ36" i="126"/>
  <c r="R36" i="126"/>
  <c r="T36" i="126" s="1"/>
  <c r="Y36" i="126" s="1"/>
  <c r="K37" i="126"/>
  <c r="AH40" i="126" s="1"/>
  <c r="AO35" i="126"/>
  <c r="AI35" i="126"/>
  <c r="W35" i="126"/>
  <c r="AW36" i="64"/>
  <c r="BB36" i="64"/>
  <c r="AO36" i="64"/>
  <c r="M34" i="13"/>
  <c r="BN34" i="13"/>
  <c r="BO34" i="13" s="1"/>
  <c r="BL34" i="13"/>
  <c r="AY34" i="13"/>
  <c r="BA34" i="13" s="1"/>
  <c r="BQ34" i="13"/>
  <c r="AH34" i="13"/>
  <c r="AB34" i="13"/>
  <c r="AK34" i="13"/>
  <c r="AE34" i="13"/>
  <c r="V34" i="13"/>
  <c r="AN34" i="13"/>
  <c r="R34" i="13"/>
  <c r="T34" i="13" s="1"/>
  <c r="Y34" i="13" s="1"/>
  <c r="M36" i="114"/>
  <c r="BJ36" i="114"/>
  <c r="BL36" i="114" s="1"/>
  <c r="BN36" i="114"/>
  <c r="BO36" i="114" s="1"/>
  <c r="BK36" i="114"/>
  <c r="V36" i="114"/>
  <c r="AK36" i="114"/>
  <c r="AH36" i="114"/>
  <c r="AN36" i="114"/>
  <c r="AY36" i="114"/>
  <c r="BA36" i="114" s="1"/>
  <c r="AE36" i="114"/>
  <c r="AT36" i="114"/>
  <c r="AV36" i="114" s="1"/>
  <c r="AB36" i="114"/>
  <c r="BQ36" i="114"/>
  <c r="BR36" i="114" s="1"/>
  <c r="K37" i="114"/>
  <c r="R36" i="114"/>
  <c r="T36" i="114" s="1"/>
  <c r="Y36" i="114" s="1"/>
  <c r="M36" i="63"/>
  <c r="BN36" i="63"/>
  <c r="BO36" i="63" s="1"/>
  <c r="AH36" i="63"/>
  <c r="AE36" i="63"/>
  <c r="V36" i="63"/>
  <c r="AB36" i="63"/>
  <c r="AN36" i="63"/>
  <c r="AY36" i="63"/>
  <c r="BA36" i="63" s="1"/>
  <c r="AK36" i="63"/>
  <c r="BL36" i="63"/>
  <c r="BQ36" i="63"/>
  <c r="AT36" i="63"/>
  <c r="BD36" i="63" s="1"/>
  <c r="K37" i="63"/>
  <c r="BN36" i="96"/>
  <c r="BO36" i="96" s="1"/>
  <c r="AT36" i="96"/>
  <c r="BD36" i="96" s="1"/>
  <c r="V36" i="96"/>
  <c r="AK36" i="96"/>
  <c r="M36" i="96"/>
  <c r="AN36" i="96"/>
  <c r="AE36" i="96"/>
  <c r="BG36" i="96"/>
  <c r="BL36" i="96"/>
  <c r="AH36" i="96"/>
  <c r="AB36" i="96"/>
  <c r="BQ36" i="96"/>
  <c r="BA36" i="96"/>
  <c r="R36" i="96"/>
  <c r="T36" i="96" s="1"/>
  <c r="Y36" i="96" s="1"/>
  <c r="BR37" i="136"/>
  <c r="W37" i="136"/>
  <c r="AQ33" i="120"/>
  <c r="AR33" i="120" s="1"/>
  <c r="BR33" i="120"/>
  <c r="K35" i="120"/>
  <c r="AB34" i="120"/>
  <c r="AH34" i="120"/>
  <c r="AE34" i="120"/>
  <c r="V34" i="120"/>
  <c r="AY34" i="120"/>
  <c r="BG34" i="120" s="1"/>
  <c r="M34" i="120"/>
  <c r="BQ34" i="120"/>
  <c r="AN34" i="120"/>
  <c r="AK34" i="120"/>
  <c r="R34" i="120"/>
  <c r="T34" i="120" s="1"/>
  <c r="Y34" i="120" s="1"/>
  <c r="I43" i="132"/>
  <c r="I40" i="104"/>
  <c r="I38" i="110"/>
  <c r="K37" i="110"/>
  <c r="R37" i="110" s="1"/>
  <c r="BK34" i="104"/>
  <c r="T35" i="107"/>
  <c r="Y35" i="107" s="1"/>
  <c r="Z35" i="107" s="1"/>
  <c r="R36" i="107"/>
  <c r="W22" i="95"/>
  <c r="O23" i="95"/>
  <c r="T35" i="105"/>
  <c r="Y35" i="105" s="1"/>
  <c r="Z35" i="105" s="1"/>
  <c r="R36" i="105"/>
  <c r="T35" i="104"/>
  <c r="Y35" i="104" s="1"/>
  <c r="R36" i="104"/>
  <c r="R36" i="15"/>
  <c r="T35" i="15"/>
  <c r="Y35" i="15" s="1"/>
  <c r="T35" i="136"/>
  <c r="Y35" i="136" s="1"/>
  <c r="Z35" i="136" s="1"/>
  <c r="R36" i="136"/>
  <c r="T37" i="124"/>
  <c r="Y37" i="124" s="1"/>
  <c r="Z37" i="124" s="1"/>
  <c r="R38" i="124"/>
  <c r="T36" i="110"/>
  <c r="Y36" i="110" s="1"/>
  <c r="Z36" i="110" s="1"/>
  <c r="T36" i="63"/>
  <c r="Y36" i="63" s="1"/>
  <c r="R37" i="63"/>
  <c r="P22" i="98"/>
  <c r="V23" i="115"/>
  <c r="P23" i="66"/>
  <c r="P21" i="105"/>
  <c r="T34" i="99"/>
  <c r="Y34" i="99" s="1"/>
  <c r="R35" i="99"/>
  <c r="V23" i="129"/>
  <c r="Z33" i="99"/>
  <c r="BK33" i="99"/>
  <c r="P23" i="126"/>
  <c r="V23" i="106"/>
  <c r="W22" i="13"/>
  <c r="O23" i="13"/>
  <c r="V22" i="130"/>
  <c r="V25" i="124"/>
  <c r="P26" i="124"/>
  <c r="V24" i="101"/>
  <c r="W23" i="114"/>
  <c r="O24" i="114"/>
  <c r="P22" i="107"/>
  <c r="V21" i="99"/>
  <c r="W21" i="120"/>
  <c r="O22" i="120"/>
  <c r="T35" i="118"/>
  <c r="Y35" i="118" s="1"/>
  <c r="Z35" i="118" s="1"/>
  <c r="V22" i="118"/>
  <c r="W24" i="64"/>
  <c r="O25" i="64"/>
  <c r="V23" i="104"/>
  <c r="P23" i="110"/>
  <c r="P22" i="63"/>
  <c r="W21" i="136"/>
  <c r="O22" i="136"/>
  <c r="W21" i="135"/>
  <c r="O22" i="135"/>
  <c r="W21" i="112"/>
  <c r="O22" i="112"/>
  <c r="W22" i="15"/>
  <c r="O23" i="15"/>
  <c r="W23" i="96"/>
  <c r="O24" i="96"/>
  <c r="R37" i="115"/>
  <c r="T36" i="115"/>
  <c r="Y36" i="115" s="1"/>
  <c r="Z36" i="115" s="1"/>
  <c r="P23" i="17"/>
  <c r="BE36" i="110" l="1"/>
  <c r="AI38" i="105"/>
  <c r="AC37" i="64"/>
  <c r="Z36" i="126"/>
  <c r="Z36" i="129"/>
  <c r="BE36" i="129"/>
  <c r="AI36" i="129"/>
  <c r="Z35" i="15"/>
  <c r="AC36" i="129"/>
  <c r="BR36" i="129"/>
  <c r="Z35" i="104"/>
  <c r="BB36" i="114"/>
  <c r="AL39" i="107"/>
  <c r="BE35" i="104"/>
  <c r="AF36" i="130"/>
  <c r="AO39" i="107"/>
  <c r="AF35" i="104"/>
  <c r="W36" i="115"/>
  <c r="BR39" i="107"/>
  <c r="BR37" i="99"/>
  <c r="AL37" i="99"/>
  <c r="AV37" i="99"/>
  <c r="AW37" i="99" s="1"/>
  <c r="BD37" i="99"/>
  <c r="BE37" i="99" s="1"/>
  <c r="AY38" i="99"/>
  <c r="AN38" i="99"/>
  <c r="AH38" i="99"/>
  <c r="K39" i="99"/>
  <c r="BN38" i="99"/>
  <c r="BO38" i="99" s="1"/>
  <c r="AK38" i="99"/>
  <c r="M38" i="99"/>
  <c r="BJ38" i="99"/>
  <c r="BL38" i="99" s="1"/>
  <c r="BQ38" i="99"/>
  <c r="BK38" i="99"/>
  <c r="AT38" i="99"/>
  <c r="AB38" i="99"/>
  <c r="AE38" i="99"/>
  <c r="AF38" i="99" s="1"/>
  <c r="V38" i="99"/>
  <c r="BJ40" i="107"/>
  <c r="BL40" i="107" s="1"/>
  <c r="AT40" i="107"/>
  <c r="BA40" i="107"/>
  <c r="BB40" i="107" s="1"/>
  <c r="AV40" i="107"/>
  <c r="AW40" i="107" s="1"/>
  <c r="M40" i="107"/>
  <c r="Y40" i="107"/>
  <c r="Z40" i="107" s="1"/>
  <c r="AK40" i="107"/>
  <c r="AL40" i="107" s="1"/>
  <c r="V40" i="107"/>
  <c r="W40" i="107" s="1"/>
  <c r="AH40" i="107"/>
  <c r="AI40" i="107" s="1"/>
  <c r="AE40" i="107"/>
  <c r="AF40" i="107" s="1"/>
  <c r="BK40" i="107"/>
  <c r="AN40" i="107"/>
  <c r="AO40" i="107" s="1"/>
  <c r="AQ40" i="107"/>
  <c r="AR40" i="107" s="1"/>
  <c r="AY40" i="107"/>
  <c r="AB40" i="107"/>
  <c r="BD40" i="107"/>
  <c r="BE40" i="107" s="1"/>
  <c r="O40" i="107"/>
  <c r="BN40" i="107"/>
  <c r="BO40" i="107" s="1"/>
  <c r="R40" i="107"/>
  <c r="T40" i="107" s="1"/>
  <c r="P40" i="107"/>
  <c r="BG40" i="107"/>
  <c r="BH40" i="107" s="1"/>
  <c r="BQ40" i="107"/>
  <c r="BR40" i="107" s="1"/>
  <c r="Z36" i="63"/>
  <c r="AL36" i="63"/>
  <c r="AL36" i="98"/>
  <c r="AI34" i="95"/>
  <c r="AW35" i="106"/>
  <c r="AR35" i="104"/>
  <c r="AC39" i="107"/>
  <c r="W39" i="107"/>
  <c r="AO37" i="99"/>
  <c r="I42" i="107"/>
  <c r="K41" i="107"/>
  <c r="AI35" i="106"/>
  <c r="BG37" i="99"/>
  <c r="BH37" i="99" s="1"/>
  <c r="BA37" i="99"/>
  <c r="BB37" i="99" s="1"/>
  <c r="AC37" i="99"/>
  <c r="AY34" i="155"/>
  <c r="BA34" i="155" s="1"/>
  <c r="BB34" i="155" s="1"/>
  <c r="Z34" i="95"/>
  <c r="BE34" i="95"/>
  <c r="BB35" i="106"/>
  <c r="BA39" i="107"/>
  <c r="BB39" i="107" s="1"/>
  <c r="BG39" i="107"/>
  <c r="BH39" i="107" s="1"/>
  <c r="W36" i="114"/>
  <c r="BR34" i="13"/>
  <c r="AC38" i="105"/>
  <c r="BB37" i="64"/>
  <c r="W38" i="136"/>
  <c r="W35" i="106"/>
  <c r="AV39" i="107"/>
  <c r="AW39" i="107" s="1"/>
  <c r="BD39" i="107"/>
  <c r="BE39" i="107" s="1"/>
  <c r="AI39" i="107"/>
  <c r="AQ39" i="107"/>
  <c r="AR39" i="107" s="1"/>
  <c r="AI37" i="99"/>
  <c r="AQ37" i="99"/>
  <c r="AR37" i="99" s="1"/>
  <c r="W36" i="63"/>
  <c r="BH34" i="95"/>
  <c r="BH35" i="106"/>
  <c r="AF39" i="107"/>
  <c r="V38" i="132"/>
  <c r="W38" i="132" s="1"/>
  <c r="BD38" i="132"/>
  <c r="BE38" i="132" s="1"/>
  <c r="R38" i="132"/>
  <c r="T38" i="132" s="1"/>
  <c r="P38" i="132"/>
  <c r="BG38" i="132"/>
  <c r="BH38" i="132" s="1"/>
  <c r="BA38" i="132"/>
  <c r="BB38" i="132" s="1"/>
  <c r="AV38" i="132"/>
  <c r="AW38" i="132" s="1"/>
  <c r="AB38" i="132"/>
  <c r="AC38" i="132" s="1"/>
  <c r="M38" i="132"/>
  <c r="AQ38" i="132"/>
  <c r="AR38" i="132" s="1"/>
  <c r="Y38" i="132"/>
  <c r="Z38" i="132" s="1"/>
  <c r="AK38" i="132"/>
  <c r="AL38" i="132" s="1"/>
  <c r="BL38" i="132"/>
  <c r="O38" i="132"/>
  <c r="AT38" i="132"/>
  <c r="K39" i="132"/>
  <c r="AH38" i="132"/>
  <c r="AI38" i="132" s="1"/>
  <c r="AE38" i="132"/>
  <c r="AF38" i="132" s="1"/>
  <c r="AY38" i="132"/>
  <c r="BN38" i="132"/>
  <c r="BO38" i="132" s="1"/>
  <c r="BQ38" i="132"/>
  <c r="BR38" i="132" s="1"/>
  <c r="AN38" i="132"/>
  <c r="AO38" i="132" s="1"/>
  <c r="W37" i="99"/>
  <c r="AO36" i="126"/>
  <c r="AC38" i="136"/>
  <c r="W36" i="126"/>
  <c r="BR35" i="106"/>
  <c r="AC35" i="106"/>
  <c r="AL35" i="106"/>
  <c r="AC36" i="130"/>
  <c r="AF40" i="156"/>
  <c r="BR40" i="156"/>
  <c r="AL34" i="95"/>
  <c r="Z35" i="112"/>
  <c r="W20" i="156"/>
  <c r="O21" i="156"/>
  <c r="R33" i="156"/>
  <c r="T32" i="156"/>
  <c r="Y32" i="156" s="1"/>
  <c r="Z32" i="156" s="1"/>
  <c r="W41" i="152"/>
  <c r="AL36" i="130"/>
  <c r="AO40" i="156"/>
  <c r="AC40" i="156"/>
  <c r="AQ34" i="95"/>
  <c r="AR34" i="95" s="1"/>
  <c r="BB34" i="95"/>
  <c r="W34" i="95"/>
  <c r="AO36" i="130"/>
  <c r="AL40" i="156"/>
  <c r="BR34" i="95"/>
  <c r="AO34" i="95"/>
  <c r="AC34" i="95"/>
  <c r="AO35" i="106"/>
  <c r="BG36" i="129"/>
  <c r="BH36" i="129" s="1"/>
  <c r="AF36" i="129"/>
  <c r="AL35" i="112"/>
  <c r="K72" i="161"/>
  <c r="BQ72" i="161" s="1"/>
  <c r="I73" i="161"/>
  <c r="BD71" i="161"/>
  <c r="BE71" i="161" s="1"/>
  <c r="AQ71" i="161"/>
  <c r="AR71" i="161" s="1"/>
  <c r="AK71" i="161"/>
  <c r="AL71" i="161" s="1"/>
  <c r="AE71" i="161"/>
  <c r="AF71" i="161" s="1"/>
  <c r="Y71" i="161"/>
  <c r="Z71" i="161" s="1"/>
  <c r="R71" i="161"/>
  <c r="T71" i="161" s="1"/>
  <c r="BA71" i="161"/>
  <c r="BB71" i="161" s="1"/>
  <c r="AB71" i="161"/>
  <c r="AC71" i="161" s="1"/>
  <c r="BG71" i="161"/>
  <c r="BH71" i="161" s="1"/>
  <c r="AY71" i="161"/>
  <c r="AH71" i="161"/>
  <c r="AI71" i="161" s="1"/>
  <c r="P71" i="161"/>
  <c r="BR71" i="161"/>
  <c r="AV71" i="161"/>
  <c r="AW71" i="161" s="1"/>
  <c r="AN71" i="161"/>
  <c r="AO71" i="161" s="1"/>
  <c r="O71" i="161"/>
  <c r="AT71" i="161"/>
  <c r="V71" i="161"/>
  <c r="W71" i="161" s="1"/>
  <c r="M71" i="161"/>
  <c r="BN71" i="161"/>
  <c r="BO71" i="161" s="1"/>
  <c r="BK71" i="161"/>
  <c r="BJ71" i="161"/>
  <c r="BL71" i="161" s="1"/>
  <c r="AV36" i="129"/>
  <c r="AW36" i="129" s="1"/>
  <c r="AV34" i="95"/>
  <c r="AW34" i="95" s="1"/>
  <c r="AF34" i="13"/>
  <c r="BB36" i="110"/>
  <c r="AO34" i="66"/>
  <c r="BE37" i="135"/>
  <c r="AY34" i="153"/>
  <c r="BG34" i="153" s="1"/>
  <c r="BH34" i="153" s="1"/>
  <c r="AI40" i="156"/>
  <c r="AQ40" i="156"/>
  <c r="AR40" i="156" s="1"/>
  <c r="BH35" i="104"/>
  <c r="W40" i="124"/>
  <c r="AC34" i="17"/>
  <c r="AL36" i="115"/>
  <c r="BR37" i="135"/>
  <c r="W37" i="135"/>
  <c r="AL35" i="101"/>
  <c r="AY34" i="152"/>
  <c r="BG34" i="152" s="1"/>
  <c r="BH34" i="152" s="1"/>
  <c r="Z36" i="130"/>
  <c r="BR36" i="130"/>
  <c r="AR34" i="112"/>
  <c r="BK34" i="112"/>
  <c r="AF34" i="95"/>
  <c r="BD35" i="106"/>
  <c r="BE35" i="106" s="1"/>
  <c r="AF35" i="106"/>
  <c r="P39" i="133"/>
  <c r="BG39" i="133"/>
  <c r="BH39" i="133" s="1"/>
  <c r="AV39" i="133"/>
  <c r="AW39" i="133" s="1"/>
  <c r="O39" i="133"/>
  <c r="M39" i="133"/>
  <c r="AT39" i="133"/>
  <c r="V39" i="133"/>
  <c r="W39" i="133" s="1"/>
  <c r="AB39" i="133"/>
  <c r="AC39" i="133" s="1"/>
  <c r="AE39" i="133"/>
  <c r="AF39" i="133" s="1"/>
  <c r="BN39" i="133"/>
  <c r="BO39" i="133" s="1"/>
  <c r="AY39" i="133"/>
  <c r="BL39" i="133"/>
  <c r="BD39" i="133"/>
  <c r="BE39" i="133" s="1"/>
  <c r="AN39" i="133"/>
  <c r="AO39" i="133" s="1"/>
  <c r="AH39" i="133"/>
  <c r="AI39" i="133" s="1"/>
  <c r="BQ39" i="133"/>
  <c r="BR39" i="133" s="1"/>
  <c r="AQ39" i="133"/>
  <c r="AR39" i="133" s="1"/>
  <c r="Y39" i="133"/>
  <c r="Z39" i="133" s="1"/>
  <c r="K40" i="133"/>
  <c r="R39" i="133"/>
  <c r="T39" i="133" s="1"/>
  <c r="AK39" i="133"/>
  <c r="AL39" i="133" s="1"/>
  <c r="BA39" i="133"/>
  <c r="BB39" i="133" s="1"/>
  <c r="AC35" i="104"/>
  <c r="W35" i="104"/>
  <c r="BD35" i="112"/>
  <c r="BE35" i="112" s="1"/>
  <c r="AV35" i="112"/>
  <c r="AW35" i="112" s="1"/>
  <c r="W34" i="66"/>
  <c r="AY34" i="136"/>
  <c r="BA34" i="136" s="1"/>
  <c r="BB34" i="136" s="1"/>
  <c r="BN36" i="106"/>
  <c r="BO36" i="106" s="1"/>
  <c r="BK36" i="106"/>
  <c r="BJ36" i="106"/>
  <c r="BL36" i="106" s="1"/>
  <c r="M36" i="106"/>
  <c r="AY36" i="106"/>
  <c r="BA36" i="106" s="1"/>
  <c r="AT36" i="106"/>
  <c r="BD36" i="106" s="1"/>
  <c r="AK36" i="106"/>
  <c r="AE36" i="106"/>
  <c r="V36" i="106"/>
  <c r="AB36" i="106"/>
  <c r="AC36" i="106" s="1"/>
  <c r="AH36" i="106"/>
  <c r="AN36" i="106"/>
  <c r="BQ36" i="106"/>
  <c r="R36" i="106"/>
  <c r="T36" i="106" s="1"/>
  <c r="Y36" i="106" s="1"/>
  <c r="K37" i="106"/>
  <c r="I43" i="106"/>
  <c r="AE37" i="129"/>
  <c r="BL37" i="129"/>
  <c r="M37" i="129"/>
  <c r="AH37" i="129"/>
  <c r="V37" i="129"/>
  <c r="AY37" i="129"/>
  <c r="BA37" i="129" s="1"/>
  <c r="BN37" i="129"/>
  <c r="BO37" i="129" s="1"/>
  <c r="AN37" i="129"/>
  <c r="K38" i="129"/>
  <c r="AK37" i="129"/>
  <c r="AB37" i="129"/>
  <c r="BQ37" i="129"/>
  <c r="AT37" i="129"/>
  <c r="BD37" i="129" s="1"/>
  <c r="R37" i="129"/>
  <c r="T37" i="129" s="1"/>
  <c r="Y37" i="129" s="1"/>
  <c r="BL35" i="112"/>
  <c r="BK35" i="112"/>
  <c r="AC35" i="112"/>
  <c r="BH36" i="98"/>
  <c r="BH35" i="118"/>
  <c r="AL37" i="135"/>
  <c r="W36" i="130"/>
  <c r="W40" i="156"/>
  <c r="AV35" i="104"/>
  <c r="AW35" i="104" s="1"/>
  <c r="AI35" i="104"/>
  <c r="BA35" i="112"/>
  <c r="BB35" i="112" s="1"/>
  <c r="BG35" i="112"/>
  <c r="BH35" i="112" s="1"/>
  <c r="BR35" i="112"/>
  <c r="M36" i="112"/>
  <c r="AT36" i="112"/>
  <c r="AY36" i="112"/>
  <c r="AB36" i="112"/>
  <c r="K37" i="112"/>
  <c r="AK36" i="112"/>
  <c r="BQ36" i="112"/>
  <c r="BK36" i="112"/>
  <c r="AE36" i="112"/>
  <c r="R36" i="112"/>
  <c r="T36" i="112" s="1"/>
  <c r="Y36" i="112" s="1"/>
  <c r="BN36" i="112"/>
  <c r="BO36" i="112" s="1"/>
  <c r="AH36" i="112"/>
  <c r="BJ36" i="112"/>
  <c r="BL36" i="112" s="1"/>
  <c r="AN36" i="112"/>
  <c r="I43" i="156"/>
  <c r="K42" i="156"/>
  <c r="BN35" i="95"/>
  <c r="BO35" i="95" s="1"/>
  <c r="AT35" i="95"/>
  <c r="AV35" i="95" s="1"/>
  <c r="K36" i="95"/>
  <c r="BL35" i="95"/>
  <c r="AB35" i="95"/>
  <c r="AH35" i="95"/>
  <c r="BG35" i="95"/>
  <c r="AK35" i="95"/>
  <c r="V35" i="95"/>
  <c r="AE35" i="95"/>
  <c r="BA35" i="95"/>
  <c r="M35" i="95"/>
  <c r="AN35" i="95"/>
  <c r="BQ35" i="95"/>
  <c r="R35" i="95"/>
  <c r="T35" i="95" s="1"/>
  <c r="Y35" i="95" s="1"/>
  <c r="BK35" i="104"/>
  <c r="M36" i="104"/>
  <c r="AN36" i="104"/>
  <c r="AK36" i="104"/>
  <c r="AT36" i="104"/>
  <c r="BD36" i="104" s="1"/>
  <c r="K37" i="104"/>
  <c r="BQ36" i="104"/>
  <c r="AH36" i="104"/>
  <c r="AY36" i="104"/>
  <c r="BA36" i="104" s="1"/>
  <c r="AE36" i="104"/>
  <c r="BN36" i="104"/>
  <c r="BO36" i="104" s="1"/>
  <c r="AB36" i="104"/>
  <c r="BJ36" i="104"/>
  <c r="BL36" i="104" s="1"/>
  <c r="V36" i="104"/>
  <c r="BK36" i="104"/>
  <c r="BR35" i="104"/>
  <c r="W36" i="129"/>
  <c r="AF35" i="112"/>
  <c r="AO35" i="112"/>
  <c r="M41" i="156"/>
  <c r="AH41" i="156"/>
  <c r="BQ41" i="156"/>
  <c r="AN41" i="156"/>
  <c r="BN41" i="156"/>
  <c r="BO41" i="156" s="1"/>
  <c r="V41" i="156"/>
  <c r="AE41" i="156"/>
  <c r="AB41" i="156"/>
  <c r="AK41" i="156"/>
  <c r="BL41" i="156"/>
  <c r="AQ35" i="106"/>
  <c r="AR35" i="106" s="1"/>
  <c r="BK35" i="106"/>
  <c r="BA35" i="104"/>
  <c r="BB35" i="104" s="1"/>
  <c r="AO35" i="104"/>
  <c r="AL35" i="104"/>
  <c r="AQ36" i="129"/>
  <c r="AR36" i="129" s="1"/>
  <c r="AO36" i="129"/>
  <c r="AI35" i="112"/>
  <c r="AQ35" i="112"/>
  <c r="AR35" i="112" s="1"/>
  <c r="AV28" i="133"/>
  <c r="AW28" i="133" s="1"/>
  <c r="AT29" i="150"/>
  <c r="AT29" i="156"/>
  <c r="BG33" i="15"/>
  <c r="BH33" i="15" s="1"/>
  <c r="BA33" i="15"/>
  <c r="BB33" i="15" s="1"/>
  <c r="BA34" i="150"/>
  <c r="BB34" i="150" s="1"/>
  <c r="BG34" i="150"/>
  <c r="BH34" i="150" s="1"/>
  <c r="BG34" i="151"/>
  <c r="BH34" i="151" s="1"/>
  <c r="BA34" i="151"/>
  <c r="BB34" i="151" s="1"/>
  <c r="BA34" i="152"/>
  <c r="BB34" i="152" s="1"/>
  <c r="BG33" i="149"/>
  <c r="BH33" i="149" s="1"/>
  <c r="BA33" i="149"/>
  <c r="BB33" i="149" s="1"/>
  <c r="BA33" i="156"/>
  <c r="BB33" i="156" s="1"/>
  <c r="BG33" i="156"/>
  <c r="BH33" i="156" s="1"/>
  <c r="A39" i="7"/>
  <c r="AY34" i="156"/>
  <c r="AY35" i="152"/>
  <c r="AY35" i="153"/>
  <c r="AY35" i="155"/>
  <c r="AY35" i="150"/>
  <c r="AY35" i="136"/>
  <c r="AY34" i="130"/>
  <c r="AY35" i="130"/>
  <c r="AY34" i="15"/>
  <c r="AI36" i="130"/>
  <c r="AQ36" i="130"/>
  <c r="AR36" i="130" s="1"/>
  <c r="K38" i="130"/>
  <c r="M37" i="130"/>
  <c r="BN37" i="130"/>
  <c r="BO37" i="130" s="1"/>
  <c r="BQ37" i="130"/>
  <c r="V37" i="130"/>
  <c r="BL37" i="130"/>
  <c r="AH37" i="130"/>
  <c r="AE37" i="130"/>
  <c r="AN37" i="130"/>
  <c r="AK37" i="130"/>
  <c r="AB37" i="130"/>
  <c r="R37" i="130"/>
  <c r="T37" i="130" s="1"/>
  <c r="Y37" i="130" s="1"/>
  <c r="AV28" i="156"/>
  <c r="AW28" i="156" s="1"/>
  <c r="BD28" i="156"/>
  <c r="BE28" i="156" s="1"/>
  <c r="AV28" i="150"/>
  <c r="AW28" i="150" s="1"/>
  <c r="BD28" i="150"/>
  <c r="BE28" i="150" s="1"/>
  <c r="AW37" i="64"/>
  <c r="T31" i="155"/>
  <c r="Y31" i="155" s="1"/>
  <c r="Z31" i="155" s="1"/>
  <c r="R32" i="155"/>
  <c r="AF40" i="124"/>
  <c r="BE39" i="147"/>
  <c r="W39" i="151"/>
  <c r="Z39" i="151"/>
  <c r="V20" i="155"/>
  <c r="BR40" i="124"/>
  <c r="Z40" i="149"/>
  <c r="W41" i="153"/>
  <c r="AO41" i="153"/>
  <c r="AL41" i="153"/>
  <c r="AC41" i="153"/>
  <c r="AI41" i="153"/>
  <c r="BR41" i="153"/>
  <c r="AV28" i="136"/>
  <c r="AW28" i="136" s="1"/>
  <c r="AT29" i="15"/>
  <c r="AV29" i="15" s="1"/>
  <c r="AW29" i="15" s="1"/>
  <c r="AI41" i="152"/>
  <c r="Z41" i="152"/>
  <c r="O30" i="151"/>
  <c r="O31" i="151" s="1"/>
  <c r="O32" i="151" s="1"/>
  <c r="O33" i="151" s="1"/>
  <c r="O34" i="151" s="1"/>
  <c r="O35" i="151" s="1"/>
  <c r="O36" i="151" s="1"/>
  <c r="O37" i="151" s="1"/>
  <c r="O38" i="151" s="1"/>
  <c r="O39" i="151" s="1"/>
  <c r="O40" i="151" s="1"/>
  <c r="BR41" i="155"/>
  <c r="AQ41" i="155"/>
  <c r="AR41" i="155" s="1"/>
  <c r="AI41" i="155"/>
  <c r="AC41" i="155"/>
  <c r="V42" i="155"/>
  <c r="AB42" i="155"/>
  <c r="AH42" i="155"/>
  <c r="AN42" i="155"/>
  <c r="BN42" i="155"/>
  <c r="BO42" i="155" s="1"/>
  <c r="M42" i="155"/>
  <c r="BQ42" i="155"/>
  <c r="AE42" i="155"/>
  <c r="AK42" i="155"/>
  <c r="BL42" i="155"/>
  <c r="W41" i="155"/>
  <c r="AL41" i="155"/>
  <c r="I44" i="155"/>
  <c r="K43" i="155"/>
  <c r="AO41" i="155"/>
  <c r="AF41" i="155"/>
  <c r="AT29" i="152"/>
  <c r="AV29" i="152" s="1"/>
  <c r="AW29" i="152" s="1"/>
  <c r="BD28" i="17"/>
  <c r="BE28" i="17" s="1"/>
  <c r="AV28" i="17"/>
  <c r="AW28" i="17" s="1"/>
  <c r="BD28" i="120"/>
  <c r="BE28" i="120" s="1"/>
  <c r="AV28" i="120"/>
  <c r="AW28" i="120" s="1"/>
  <c r="BD28" i="153"/>
  <c r="BE28" i="153" s="1"/>
  <c r="AV28" i="153"/>
  <c r="AW28" i="153" s="1"/>
  <c r="A31" i="58"/>
  <c r="AT30" i="15" s="1"/>
  <c r="AT29" i="17"/>
  <c r="AT29" i="130"/>
  <c r="AT29" i="153"/>
  <c r="AT30" i="130"/>
  <c r="AT29" i="136"/>
  <c r="AT29" i="13"/>
  <c r="AT30" i="136"/>
  <c r="AT29" i="133"/>
  <c r="BD28" i="13"/>
  <c r="BE28" i="13" s="1"/>
  <c r="AV28" i="13"/>
  <c r="AW28" i="13" s="1"/>
  <c r="BD28" i="152"/>
  <c r="BE28" i="152" s="1"/>
  <c r="AV28" i="152"/>
  <c r="AW28" i="152" s="1"/>
  <c r="BD28" i="15"/>
  <c r="BE28" i="15" s="1"/>
  <c r="AV28" i="15"/>
  <c r="AW28" i="15" s="1"/>
  <c r="Z41" i="153"/>
  <c r="R42" i="153"/>
  <c r="T42" i="153" s="1"/>
  <c r="Y42" i="153" s="1"/>
  <c r="AE42" i="153"/>
  <c r="AK42" i="153"/>
  <c r="M42" i="153"/>
  <c r="BQ42" i="153"/>
  <c r="O42" i="153"/>
  <c r="V42" i="153"/>
  <c r="AB42" i="153"/>
  <c r="AH42" i="153"/>
  <c r="AN42" i="153"/>
  <c r="BN42" i="153"/>
  <c r="BO42" i="153" s="1"/>
  <c r="P42" i="153"/>
  <c r="BL42" i="153"/>
  <c r="K43" i="153"/>
  <c r="AQ41" i="153"/>
  <c r="AR41" i="153" s="1"/>
  <c r="AF41" i="153"/>
  <c r="I47" i="153"/>
  <c r="BR41" i="152"/>
  <c r="AC41" i="152"/>
  <c r="AL41" i="152"/>
  <c r="I51" i="152"/>
  <c r="AF41" i="152"/>
  <c r="R42" i="152"/>
  <c r="T42" i="152" s="1"/>
  <c r="Y42" i="152" s="1"/>
  <c r="AE42" i="152"/>
  <c r="AK42" i="152"/>
  <c r="M42" i="152"/>
  <c r="BQ42" i="152"/>
  <c r="O42" i="152"/>
  <c r="V42" i="152"/>
  <c r="AB42" i="152"/>
  <c r="AH42" i="152"/>
  <c r="AN42" i="152"/>
  <c r="BL42" i="152"/>
  <c r="P42" i="152"/>
  <c r="BN42" i="152"/>
  <c r="BO42" i="152" s="1"/>
  <c r="K43" i="152"/>
  <c r="AO41" i="152"/>
  <c r="AQ41" i="152"/>
  <c r="AR41" i="152" s="1"/>
  <c r="BE34" i="66"/>
  <c r="AL34" i="13"/>
  <c r="AW38" i="146"/>
  <c r="BH39" i="147"/>
  <c r="Z38" i="146"/>
  <c r="AC38" i="146"/>
  <c r="AI39" i="147"/>
  <c r="AF39" i="147"/>
  <c r="AQ40" i="149"/>
  <c r="AR40" i="149" s="1"/>
  <c r="BG35" i="101"/>
  <c r="BH35" i="101" s="1"/>
  <c r="BG34" i="66"/>
  <c r="BH34" i="66" s="1"/>
  <c r="BG36" i="110"/>
  <c r="BH36" i="110" s="1"/>
  <c r="I42" i="151"/>
  <c r="K41" i="151"/>
  <c r="AO39" i="151"/>
  <c r="AF39" i="151"/>
  <c r="AL39" i="151"/>
  <c r="AC39" i="151"/>
  <c r="AQ39" i="151"/>
  <c r="AR39" i="151" s="1"/>
  <c r="AK40" i="151"/>
  <c r="AE40" i="151"/>
  <c r="R40" i="151"/>
  <c r="T40" i="151" s="1"/>
  <c r="Y40" i="151" s="1"/>
  <c r="P40" i="151"/>
  <c r="AN40" i="151"/>
  <c r="AH40" i="151"/>
  <c r="AB40" i="151"/>
  <c r="V40" i="151"/>
  <c r="BQ40" i="151"/>
  <c r="M40" i="151"/>
  <c r="BN40" i="151"/>
  <c r="BO40" i="151" s="1"/>
  <c r="BL40" i="151"/>
  <c r="BR39" i="151"/>
  <c r="AI39" i="151"/>
  <c r="BR38" i="150"/>
  <c r="AI38" i="150"/>
  <c r="P39" i="150"/>
  <c r="AN39" i="150"/>
  <c r="AH39" i="150"/>
  <c r="AB39" i="150"/>
  <c r="V39" i="150"/>
  <c r="O39" i="150"/>
  <c r="BQ39" i="150"/>
  <c r="AE39" i="150"/>
  <c r="R39" i="150"/>
  <c r="T39" i="150" s="1"/>
  <c r="Y39" i="150" s="1"/>
  <c r="AK39" i="150"/>
  <c r="M39" i="150"/>
  <c r="BL39" i="150"/>
  <c r="BN39" i="150"/>
  <c r="BO39" i="150" s="1"/>
  <c r="K40" i="150"/>
  <c r="Z38" i="150"/>
  <c r="AF38" i="150"/>
  <c r="AO38" i="150"/>
  <c r="AL38" i="150"/>
  <c r="AQ38" i="150"/>
  <c r="AR38" i="150" s="1"/>
  <c r="W38" i="150"/>
  <c r="AC38" i="150"/>
  <c r="I43" i="150"/>
  <c r="O29" i="149"/>
  <c r="V29" i="149" s="1"/>
  <c r="W29" i="149" s="1"/>
  <c r="P30" i="149"/>
  <c r="P31" i="149" s="1"/>
  <c r="P32" i="149" s="1"/>
  <c r="P33" i="149" s="1"/>
  <c r="P34" i="149" s="1"/>
  <c r="P35" i="149" s="1"/>
  <c r="P36" i="149" s="1"/>
  <c r="P37" i="149" s="1"/>
  <c r="P38" i="149" s="1"/>
  <c r="P39" i="149" s="1"/>
  <c r="P40" i="149" s="1"/>
  <c r="P41" i="149" s="1"/>
  <c r="BG34" i="13"/>
  <c r="BH34" i="13" s="1"/>
  <c r="AN41" i="149"/>
  <c r="AH41" i="149"/>
  <c r="AB41" i="149"/>
  <c r="V41" i="149"/>
  <c r="BQ41" i="149"/>
  <c r="AK41" i="149"/>
  <c r="AE41" i="149"/>
  <c r="R41" i="149"/>
  <c r="T41" i="149" s="1"/>
  <c r="Y41" i="149" s="1"/>
  <c r="BN41" i="149"/>
  <c r="BO41" i="149" s="1"/>
  <c r="M41" i="149"/>
  <c r="BL41" i="149"/>
  <c r="AC40" i="149"/>
  <c r="BR40" i="149"/>
  <c r="AI40" i="149"/>
  <c r="AL40" i="149"/>
  <c r="AF40" i="149"/>
  <c r="AO40" i="149"/>
  <c r="K42" i="149"/>
  <c r="I43" i="149"/>
  <c r="W40" i="149"/>
  <c r="AQ37" i="64"/>
  <c r="AR37" i="64" s="1"/>
  <c r="Z35" i="101"/>
  <c r="BH38" i="146"/>
  <c r="AV40" i="124"/>
  <c r="AW40" i="124" s="1"/>
  <c r="BB35" i="101"/>
  <c r="BA36" i="98"/>
  <c r="BB36" i="98" s="1"/>
  <c r="Z36" i="96"/>
  <c r="AI36" i="96"/>
  <c r="AO36" i="96"/>
  <c r="AW35" i="118"/>
  <c r="Z39" i="147"/>
  <c r="BA39" i="147"/>
  <c r="BB39" i="147" s="1"/>
  <c r="AC39" i="147"/>
  <c r="AV39" i="147"/>
  <c r="AW39" i="147" s="1"/>
  <c r="K41" i="147"/>
  <c r="AH41" i="147" s="1"/>
  <c r="I42" i="147"/>
  <c r="V24" i="147"/>
  <c r="AE40" i="147"/>
  <c r="R40" i="147"/>
  <c r="T40" i="147" s="1"/>
  <c r="Y40" i="147" s="1"/>
  <c r="BQ40" i="147"/>
  <c r="AT40" i="147"/>
  <c r="BD40" i="147" s="1"/>
  <c r="AB40" i="147"/>
  <c r="V40" i="147"/>
  <c r="AY40" i="147"/>
  <c r="BG40" i="147" s="1"/>
  <c r="BJ40" i="147"/>
  <c r="BL40" i="147" s="1"/>
  <c r="BK40" i="147"/>
  <c r="M40" i="147"/>
  <c r="AI40" i="147" s="1"/>
  <c r="BN40" i="147"/>
  <c r="BO40" i="147" s="1"/>
  <c r="W39" i="147"/>
  <c r="BR39" i="147"/>
  <c r="BD38" i="146"/>
  <c r="BE38" i="146" s="1"/>
  <c r="W38" i="146"/>
  <c r="BA38" i="146"/>
  <c r="BB38" i="146" s="1"/>
  <c r="AT39" i="146"/>
  <c r="BD39" i="146" s="1"/>
  <c r="AB39" i="146"/>
  <c r="V39" i="146"/>
  <c r="BQ39" i="146"/>
  <c r="AY39" i="146"/>
  <c r="BG39" i="146" s="1"/>
  <c r="AE39" i="146"/>
  <c r="R39" i="146"/>
  <c r="T39" i="146" s="1"/>
  <c r="Y39" i="146" s="1"/>
  <c r="BK39" i="146"/>
  <c r="BN39" i="146"/>
  <c r="BO39" i="146" s="1"/>
  <c r="BJ39" i="146"/>
  <c r="BL39" i="146" s="1"/>
  <c r="M39" i="146"/>
  <c r="BR38" i="146"/>
  <c r="AI38" i="146"/>
  <c r="V23" i="146"/>
  <c r="I41" i="146"/>
  <c r="K40" i="146"/>
  <c r="AH40" i="146" s="1"/>
  <c r="AF38" i="146"/>
  <c r="AQ34" i="17"/>
  <c r="AR34" i="17" s="1"/>
  <c r="BE36" i="63"/>
  <c r="BB36" i="63"/>
  <c r="BB34" i="13"/>
  <c r="AL38" i="105"/>
  <c r="BB40" i="124"/>
  <c r="BR36" i="63"/>
  <c r="AI36" i="98"/>
  <c r="W36" i="98"/>
  <c r="BR36" i="98"/>
  <c r="BR36" i="110"/>
  <c r="AF36" i="63"/>
  <c r="AQ36" i="63"/>
  <c r="AR36" i="63" s="1"/>
  <c r="AO36" i="63"/>
  <c r="AI36" i="63"/>
  <c r="BD36" i="114"/>
  <c r="BE36" i="114" s="1"/>
  <c r="BG34" i="17"/>
  <c r="BH34" i="17" s="1"/>
  <c r="BB34" i="66"/>
  <c r="Z37" i="64"/>
  <c r="W34" i="120"/>
  <c r="AQ34" i="120"/>
  <c r="AR34" i="120" s="1"/>
  <c r="AC36" i="63"/>
  <c r="BE36" i="98"/>
  <c r="BA35" i="118"/>
  <c r="BB35" i="118" s="1"/>
  <c r="AI35" i="118"/>
  <c r="AF35" i="118"/>
  <c r="BD38" i="105"/>
  <c r="BE38" i="105" s="1"/>
  <c r="BH34" i="120"/>
  <c r="BR36" i="96"/>
  <c r="BH36" i="96"/>
  <c r="AL36" i="96"/>
  <c r="BG36" i="126"/>
  <c r="BH36" i="126" s="1"/>
  <c r="AL36" i="110"/>
  <c r="AC36" i="110"/>
  <c r="BD35" i="118"/>
  <c r="BE35" i="118" s="1"/>
  <c r="BB38" i="105"/>
  <c r="Z34" i="66"/>
  <c r="AI34" i="66"/>
  <c r="AC34" i="66"/>
  <c r="AC36" i="115"/>
  <c r="AO36" i="115"/>
  <c r="BG37" i="135"/>
  <c r="BH37" i="135" s="1"/>
  <c r="AF35" i="101"/>
  <c r="AO35" i="101"/>
  <c r="BE36" i="96"/>
  <c r="AO35" i="15"/>
  <c r="BA34" i="120"/>
  <c r="BB34" i="120" s="1"/>
  <c r="AO34" i="120"/>
  <c r="BG36" i="63"/>
  <c r="BH36" i="63" s="1"/>
  <c r="Z34" i="13"/>
  <c r="AL36" i="126"/>
  <c r="AC36" i="126"/>
  <c r="BG38" i="105"/>
  <c r="BH38" i="105" s="1"/>
  <c r="AW38" i="105"/>
  <c r="BE40" i="124"/>
  <c r="BB34" i="17"/>
  <c r="BR34" i="66"/>
  <c r="AL34" i="66"/>
  <c r="BD37" i="64"/>
  <c r="BE37" i="64" s="1"/>
  <c r="AI35" i="15"/>
  <c r="AC35" i="15"/>
  <c r="BR35" i="15"/>
  <c r="BG36" i="115"/>
  <c r="BH36" i="115" s="1"/>
  <c r="BE36" i="115"/>
  <c r="AI36" i="115"/>
  <c r="AQ38" i="136"/>
  <c r="AR38" i="136" s="1"/>
  <c r="AV37" i="135"/>
  <c r="AW37" i="135" s="1"/>
  <c r="AQ37" i="135"/>
  <c r="AR37" i="135" s="1"/>
  <c r="AO37" i="135"/>
  <c r="AI37" i="135"/>
  <c r="W35" i="101"/>
  <c r="BR34" i="120"/>
  <c r="AF34" i="120"/>
  <c r="AV36" i="96"/>
  <c r="AW36" i="96" s="1"/>
  <c r="AW36" i="114"/>
  <c r="AI36" i="114"/>
  <c r="W34" i="13"/>
  <c r="AI34" i="13"/>
  <c r="AV36" i="126"/>
  <c r="AW36" i="126" s="1"/>
  <c r="BB36" i="126"/>
  <c r="AI36" i="126"/>
  <c r="AV36" i="98"/>
  <c r="AW36" i="98" s="1"/>
  <c r="AV36" i="110"/>
  <c r="AW36" i="110" s="1"/>
  <c r="AO35" i="118"/>
  <c r="AC35" i="118"/>
  <c r="AF34" i="66"/>
  <c r="AF35" i="15"/>
  <c r="W35" i="15"/>
  <c r="AF36" i="115"/>
  <c r="BR36" i="115"/>
  <c r="BB37" i="135"/>
  <c r="AC37" i="135"/>
  <c r="BE35" i="101"/>
  <c r="AC35" i="101"/>
  <c r="BR35" i="101"/>
  <c r="AV36" i="63"/>
  <c r="AW36" i="63" s="1"/>
  <c r="AQ35" i="118"/>
  <c r="AR35" i="118" s="1"/>
  <c r="AF37" i="135"/>
  <c r="I39" i="110"/>
  <c r="K38" i="110"/>
  <c r="I44" i="132"/>
  <c r="AQ36" i="96"/>
  <c r="AR36" i="96" s="1"/>
  <c r="BG36" i="114"/>
  <c r="BH36" i="114" s="1"/>
  <c r="AC36" i="114"/>
  <c r="AO36" i="114"/>
  <c r="AQ34" i="13"/>
  <c r="AR34" i="13" s="1"/>
  <c r="M37" i="126"/>
  <c r="AI37" i="126" s="1"/>
  <c r="BN37" i="126"/>
  <c r="BO37" i="126" s="1"/>
  <c r="BK37" i="126"/>
  <c r="BJ37" i="126"/>
  <c r="BL37" i="126" s="1"/>
  <c r="V37" i="126"/>
  <c r="AE37" i="126"/>
  <c r="AB37" i="126"/>
  <c r="AN37" i="126"/>
  <c r="AT37" i="126"/>
  <c r="BD37" i="126" s="1"/>
  <c r="AK37" i="126"/>
  <c r="AY37" i="126"/>
  <c r="BA37" i="126" s="1"/>
  <c r="BQ37" i="126"/>
  <c r="BR37" i="126" s="1"/>
  <c r="R37" i="126"/>
  <c r="T37" i="126" s="1"/>
  <c r="Y37" i="126" s="1"/>
  <c r="K38" i="126"/>
  <c r="AH41" i="126" s="1"/>
  <c r="BN35" i="17"/>
  <c r="BO35" i="17" s="1"/>
  <c r="BL35" i="17"/>
  <c r="AY35" i="17"/>
  <c r="BG35" i="17" s="1"/>
  <c r="AH35" i="17"/>
  <c r="M35" i="17"/>
  <c r="V35" i="17"/>
  <c r="AN35" i="17"/>
  <c r="AE35" i="17"/>
  <c r="AB35" i="17"/>
  <c r="AK35" i="17"/>
  <c r="BQ35" i="17"/>
  <c r="R35" i="17"/>
  <c r="T35" i="17" s="1"/>
  <c r="Y35" i="17" s="1"/>
  <c r="I37" i="66"/>
  <c r="K36" i="66"/>
  <c r="AO36" i="98"/>
  <c r="AF36" i="110"/>
  <c r="AO36" i="110"/>
  <c r="M39" i="105"/>
  <c r="BK39" i="105"/>
  <c r="BN39" i="105"/>
  <c r="BO39" i="105" s="1"/>
  <c r="BJ39" i="105"/>
  <c r="BL39" i="105" s="1"/>
  <c r="AT39" i="105"/>
  <c r="AV39" i="105" s="1"/>
  <c r="V39" i="105"/>
  <c r="AE39" i="105"/>
  <c r="AB39" i="105"/>
  <c r="AY39" i="105"/>
  <c r="BG39" i="105" s="1"/>
  <c r="AH39" i="105"/>
  <c r="AN39" i="105"/>
  <c r="AK39" i="105"/>
  <c r="BQ39" i="105"/>
  <c r="K40" i="105"/>
  <c r="BR38" i="105"/>
  <c r="I41" i="15"/>
  <c r="BR34" i="17"/>
  <c r="AO34" i="17"/>
  <c r="AV34" i="66"/>
  <c r="AW34" i="66" s="1"/>
  <c r="M36" i="101"/>
  <c r="AI36" i="101" s="1"/>
  <c r="V36" i="101"/>
  <c r="BQ36" i="101"/>
  <c r="AN36" i="101"/>
  <c r="AK36" i="101"/>
  <c r="AY36" i="101"/>
  <c r="BG36" i="101" s="1"/>
  <c r="AB36" i="101"/>
  <c r="AT36" i="101"/>
  <c r="BD36" i="101" s="1"/>
  <c r="AE36" i="101"/>
  <c r="R36" i="101"/>
  <c r="T36" i="101" s="1"/>
  <c r="Y36" i="101" s="1"/>
  <c r="BK34" i="98"/>
  <c r="Z34" i="98"/>
  <c r="AB38" i="64"/>
  <c r="M38" i="64"/>
  <c r="AN38" i="64"/>
  <c r="AY38" i="64"/>
  <c r="BG38" i="64" s="1"/>
  <c r="BN38" i="64"/>
  <c r="BO38" i="64" s="1"/>
  <c r="V38" i="64"/>
  <c r="AE38" i="64"/>
  <c r="BL38" i="64"/>
  <c r="AK38" i="64"/>
  <c r="BQ38" i="64"/>
  <c r="AH38" i="64"/>
  <c r="AT38" i="64"/>
  <c r="AV38" i="64" s="1"/>
  <c r="K39" i="64"/>
  <c r="R38" i="64"/>
  <c r="T38" i="64" s="1"/>
  <c r="Y38" i="64" s="1"/>
  <c r="BG37" i="64"/>
  <c r="BH37" i="64" s="1"/>
  <c r="AL37" i="64"/>
  <c r="AF37" i="64"/>
  <c r="AQ36" i="115"/>
  <c r="AR36" i="115" s="1"/>
  <c r="AO38" i="136"/>
  <c r="AL38" i="136"/>
  <c r="K36" i="13"/>
  <c r="I37" i="13"/>
  <c r="AQ35" i="101"/>
  <c r="AR35" i="101" s="1"/>
  <c r="AI34" i="120"/>
  <c r="BN37" i="63"/>
  <c r="BO37" i="63" s="1"/>
  <c r="M37" i="63"/>
  <c r="BL37" i="63"/>
  <c r="V37" i="63"/>
  <c r="AK37" i="63"/>
  <c r="AE37" i="63"/>
  <c r="AB37" i="63"/>
  <c r="AH37" i="63"/>
  <c r="AN37" i="63"/>
  <c r="AY37" i="63"/>
  <c r="BA37" i="63" s="1"/>
  <c r="BQ37" i="63"/>
  <c r="AT37" i="63"/>
  <c r="AV37" i="63" s="1"/>
  <c r="K38" i="63"/>
  <c r="I43" i="136"/>
  <c r="I42" i="126"/>
  <c r="BN41" i="124"/>
  <c r="BO41" i="124" s="1"/>
  <c r="M41" i="124"/>
  <c r="K42" i="124"/>
  <c r="AH42" i="124" s="1"/>
  <c r="BK41" i="124"/>
  <c r="BJ41" i="124"/>
  <c r="BL41" i="124" s="1"/>
  <c r="V41" i="124"/>
  <c r="AT41" i="124"/>
  <c r="BD41" i="124" s="1"/>
  <c r="AI41" i="124"/>
  <c r="AE41" i="124"/>
  <c r="AB41" i="124"/>
  <c r="AY41" i="124"/>
  <c r="BA41" i="124" s="1"/>
  <c r="BQ41" i="124"/>
  <c r="I52" i="133"/>
  <c r="I38" i="101"/>
  <c r="K37" i="101"/>
  <c r="AH37" i="101" s="1"/>
  <c r="T35" i="98"/>
  <c r="Y35" i="98" s="1"/>
  <c r="Z35" i="98" s="1"/>
  <c r="R36" i="98"/>
  <c r="BL36" i="15"/>
  <c r="BN36" i="15"/>
  <c r="BO36" i="15" s="1"/>
  <c r="M36" i="15"/>
  <c r="BQ36" i="15"/>
  <c r="AN36" i="15"/>
  <c r="AH36" i="15"/>
  <c r="AB36" i="15"/>
  <c r="AK36" i="15"/>
  <c r="AE36" i="15"/>
  <c r="V36" i="15"/>
  <c r="K37" i="15"/>
  <c r="I43" i="64"/>
  <c r="I46" i="95"/>
  <c r="M39" i="136"/>
  <c r="BL39" i="136"/>
  <c r="BN39" i="136"/>
  <c r="BO39" i="136" s="1"/>
  <c r="AH39" i="136"/>
  <c r="AN39" i="136"/>
  <c r="AB39" i="136"/>
  <c r="V39" i="136"/>
  <c r="AK39" i="136"/>
  <c r="AE39" i="136"/>
  <c r="BQ39" i="136"/>
  <c r="K40" i="136"/>
  <c r="Z34" i="120"/>
  <c r="AL34" i="120"/>
  <c r="AC34" i="120"/>
  <c r="BB36" i="96"/>
  <c r="AC36" i="96"/>
  <c r="AF36" i="96"/>
  <c r="W36" i="96"/>
  <c r="Z36" i="114"/>
  <c r="AQ36" i="114"/>
  <c r="AR36" i="114" s="1"/>
  <c r="AF36" i="114"/>
  <c r="AL36" i="114"/>
  <c r="AO34" i="13"/>
  <c r="AC34" i="13"/>
  <c r="BR36" i="126"/>
  <c r="BE36" i="126"/>
  <c r="AF36" i="126"/>
  <c r="I42" i="63"/>
  <c r="AF36" i="98"/>
  <c r="AC36" i="98"/>
  <c r="BK37" i="98"/>
  <c r="M37" i="98"/>
  <c r="BN37" i="98"/>
  <c r="BO37" i="98" s="1"/>
  <c r="BJ37" i="98"/>
  <c r="BL37" i="98" s="1"/>
  <c r="K38" i="98"/>
  <c r="V37" i="98"/>
  <c r="AY37" i="98"/>
  <c r="BA37" i="98" s="1"/>
  <c r="AT37" i="98"/>
  <c r="AV37" i="98" s="1"/>
  <c r="AB37" i="98"/>
  <c r="AE37" i="98"/>
  <c r="AN37" i="98"/>
  <c r="AK37" i="98"/>
  <c r="AH37" i="98"/>
  <c r="BQ37" i="98"/>
  <c r="AQ36" i="110"/>
  <c r="AR36" i="110" s="1"/>
  <c r="AI36" i="110"/>
  <c r="BR35" i="118"/>
  <c r="W35" i="118"/>
  <c r="I39" i="96"/>
  <c r="K38" i="96"/>
  <c r="AQ38" i="105"/>
  <c r="AR38" i="105" s="1"/>
  <c r="W38" i="105"/>
  <c r="AF38" i="105"/>
  <c r="BG40" i="124"/>
  <c r="BH40" i="124" s="1"/>
  <c r="AI40" i="124"/>
  <c r="AC40" i="124"/>
  <c r="AL34" i="17"/>
  <c r="W34" i="17"/>
  <c r="AQ34" i="66"/>
  <c r="AR34" i="66" s="1"/>
  <c r="I93" i="99"/>
  <c r="M37" i="115"/>
  <c r="BJ37" i="115"/>
  <c r="BL37" i="115" s="1"/>
  <c r="BN37" i="115"/>
  <c r="BO37" i="115" s="1"/>
  <c r="BK37" i="115"/>
  <c r="BQ37" i="115"/>
  <c r="V37" i="115"/>
  <c r="AK37" i="115"/>
  <c r="AH37" i="115"/>
  <c r="AB37" i="115"/>
  <c r="AT37" i="115"/>
  <c r="BD37" i="115" s="1"/>
  <c r="AE37" i="115"/>
  <c r="AN37" i="115"/>
  <c r="AY37" i="115"/>
  <c r="BG37" i="115" s="1"/>
  <c r="BR37" i="64"/>
  <c r="AI37" i="64"/>
  <c r="M38" i="135"/>
  <c r="V38" i="135"/>
  <c r="AB38" i="135"/>
  <c r="AH38" i="135"/>
  <c r="AE38" i="135"/>
  <c r="AK38" i="135"/>
  <c r="BL38" i="135"/>
  <c r="AN38" i="135"/>
  <c r="BN38" i="135"/>
  <c r="BO38" i="135" s="1"/>
  <c r="AY38" i="135"/>
  <c r="BA38" i="135" s="1"/>
  <c r="BQ38" i="135"/>
  <c r="AT38" i="135"/>
  <c r="AV38" i="135" s="1"/>
  <c r="R38" i="135"/>
  <c r="T38" i="135" s="1"/>
  <c r="Y38" i="135" s="1"/>
  <c r="AQ35" i="15"/>
  <c r="AR35" i="15" s="1"/>
  <c r="AL35" i="15"/>
  <c r="AV36" i="115"/>
  <c r="AW36" i="115" s="1"/>
  <c r="BR38" i="136"/>
  <c r="I43" i="114"/>
  <c r="AV35" i="101"/>
  <c r="AW35" i="101" s="1"/>
  <c r="M37" i="110"/>
  <c r="BN37" i="110"/>
  <c r="BO37" i="110" s="1"/>
  <c r="BK37" i="110"/>
  <c r="BJ37" i="110"/>
  <c r="BL37" i="110" s="1"/>
  <c r="V37" i="110"/>
  <c r="AE37" i="110"/>
  <c r="AN37" i="110"/>
  <c r="AH37" i="110"/>
  <c r="AT37" i="110"/>
  <c r="AV37" i="110" s="1"/>
  <c r="AY37" i="110"/>
  <c r="BA37" i="110" s="1"/>
  <c r="AB37" i="110"/>
  <c r="AK37" i="110"/>
  <c r="BQ37" i="110"/>
  <c r="I41" i="104"/>
  <c r="AE35" i="120"/>
  <c r="AH35" i="120"/>
  <c r="AB35" i="120"/>
  <c r="K36" i="120"/>
  <c r="V35" i="120"/>
  <c r="AY35" i="120"/>
  <c r="BG35" i="120" s="1"/>
  <c r="BN35" i="120"/>
  <c r="BO35" i="120" s="1"/>
  <c r="M35" i="120"/>
  <c r="BQ35" i="120"/>
  <c r="AK35" i="120"/>
  <c r="AN35" i="120"/>
  <c r="R35" i="120"/>
  <c r="T35" i="120" s="1"/>
  <c r="Y35" i="120" s="1"/>
  <c r="BJ37" i="114"/>
  <c r="BL37" i="114" s="1"/>
  <c r="BK37" i="114"/>
  <c r="BN37" i="114"/>
  <c r="BO37" i="114" s="1"/>
  <c r="M37" i="114"/>
  <c r="V37" i="114"/>
  <c r="AK37" i="114"/>
  <c r="AY37" i="114"/>
  <c r="BA37" i="114" s="1"/>
  <c r="AN37" i="114"/>
  <c r="AT37" i="114"/>
  <c r="AV37" i="114" s="1"/>
  <c r="AH37" i="114"/>
  <c r="AB37" i="114"/>
  <c r="AE37" i="114"/>
  <c r="BQ37" i="114"/>
  <c r="K38" i="114"/>
  <c r="R37" i="114"/>
  <c r="T37" i="114" s="1"/>
  <c r="Y37" i="114" s="1"/>
  <c r="AQ36" i="126"/>
  <c r="AR36" i="126" s="1"/>
  <c r="I37" i="17"/>
  <c r="K36" i="17"/>
  <c r="BN35" i="66"/>
  <c r="BO35" i="66" s="1"/>
  <c r="AH35" i="66"/>
  <c r="M35" i="66"/>
  <c r="AN35" i="66"/>
  <c r="BL35" i="66"/>
  <c r="AY35" i="66"/>
  <c r="BA35" i="66" s="1"/>
  <c r="AB35" i="66"/>
  <c r="AK35" i="66"/>
  <c r="V35" i="66"/>
  <c r="AE35" i="66"/>
  <c r="BQ35" i="66"/>
  <c r="AT35" i="66"/>
  <c r="AV35" i="66" s="1"/>
  <c r="R35" i="66"/>
  <c r="T35" i="66" s="1"/>
  <c r="Y35" i="66" s="1"/>
  <c r="AQ36" i="98"/>
  <c r="AR36" i="98" s="1"/>
  <c r="M36" i="118"/>
  <c r="K37" i="118"/>
  <c r="R37" i="118" s="1"/>
  <c r="AB36" i="118"/>
  <c r="AE36" i="118"/>
  <c r="BN36" i="118"/>
  <c r="BO36" i="118" s="1"/>
  <c r="AY36" i="118"/>
  <c r="BA36" i="118" s="1"/>
  <c r="V36" i="118"/>
  <c r="AH36" i="118"/>
  <c r="AK36" i="118"/>
  <c r="AN36" i="118"/>
  <c r="BQ36" i="118"/>
  <c r="AT36" i="118"/>
  <c r="BD36" i="118" s="1"/>
  <c r="AB37" i="96"/>
  <c r="AH37" i="96"/>
  <c r="BN37" i="96"/>
  <c r="BO37" i="96" s="1"/>
  <c r="M37" i="96"/>
  <c r="AK37" i="96"/>
  <c r="AT37" i="96"/>
  <c r="BD37" i="96" s="1"/>
  <c r="V37" i="96"/>
  <c r="BG37" i="96"/>
  <c r="AN37" i="96"/>
  <c r="BL37" i="96"/>
  <c r="AE37" i="96"/>
  <c r="BQ37" i="96"/>
  <c r="BA37" i="96"/>
  <c r="R37" i="96"/>
  <c r="T37" i="96" s="1"/>
  <c r="Y37" i="96" s="1"/>
  <c r="AO38" i="105"/>
  <c r="I44" i="105"/>
  <c r="Z34" i="17"/>
  <c r="AF34" i="17"/>
  <c r="AI34" i="17"/>
  <c r="I39" i="115"/>
  <c r="K38" i="115"/>
  <c r="AO37" i="64"/>
  <c r="W37" i="64"/>
  <c r="I40" i="135"/>
  <c r="K39" i="135"/>
  <c r="AI38" i="136"/>
  <c r="AF38" i="136"/>
  <c r="M35" i="13"/>
  <c r="BN35" i="13"/>
  <c r="BO35" i="13" s="1"/>
  <c r="AY35" i="13"/>
  <c r="BA35" i="13" s="1"/>
  <c r="AH35" i="13"/>
  <c r="BL35" i="13"/>
  <c r="AN35" i="13"/>
  <c r="V35" i="13"/>
  <c r="BQ35" i="13"/>
  <c r="AK35" i="13"/>
  <c r="AE35" i="13"/>
  <c r="AB35" i="13"/>
  <c r="R35" i="13"/>
  <c r="T35" i="13" s="1"/>
  <c r="Y35" i="13" s="1"/>
  <c r="T36" i="107"/>
  <c r="Y36" i="107" s="1"/>
  <c r="Z36" i="107" s="1"/>
  <c r="R37" i="107"/>
  <c r="P23" i="95"/>
  <c r="T36" i="105"/>
  <c r="Y36" i="105" s="1"/>
  <c r="Z36" i="105" s="1"/>
  <c r="R37" i="105"/>
  <c r="T36" i="104"/>
  <c r="Y36" i="104" s="1"/>
  <c r="R37" i="104"/>
  <c r="R37" i="15"/>
  <c r="T36" i="15"/>
  <c r="Y36" i="15" s="1"/>
  <c r="Z36" i="15" s="1"/>
  <c r="R37" i="136"/>
  <c r="T36" i="136"/>
  <c r="Y36" i="136" s="1"/>
  <c r="Z36" i="136" s="1"/>
  <c r="V22" i="98"/>
  <c r="T37" i="63"/>
  <c r="Y37" i="63" s="1"/>
  <c r="R38" i="63"/>
  <c r="T38" i="124"/>
  <c r="Y38" i="124" s="1"/>
  <c r="Z38" i="124" s="1"/>
  <c r="R39" i="124"/>
  <c r="T37" i="110"/>
  <c r="Y37" i="110" s="1"/>
  <c r="W23" i="115"/>
  <c r="O24" i="115"/>
  <c r="P27" i="124"/>
  <c r="V26" i="124"/>
  <c r="W26" i="124" s="1"/>
  <c r="V23" i="126"/>
  <c r="W21" i="99"/>
  <c r="O22" i="99"/>
  <c r="W24" i="101"/>
  <c r="O25" i="101"/>
  <c r="W25" i="124"/>
  <c r="O26" i="124"/>
  <c r="P23" i="13"/>
  <c r="W23" i="129"/>
  <c r="O24" i="129"/>
  <c r="P24" i="129" s="1"/>
  <c r="T35" i="99"/>
  <c r="Y35" i="99" s="1"/>
  <c r="Z35" i="99" s="1"/>
  <c r="R36" i="99"/>
  <c r="V23" i="66"/>
  <c r="V22" i="107"/>
  <c r="P24" i="114"/>
  <c r="W22" i="130"/>
  <c r="O23" i="130"/>
  <c r="W23" i="106"/>
  <c r="O24" i="106"/>
  <c r="Z34" i="99"/>
  <c r="BK34" i="99"/>
  <c r="V21" i="105"/>
  <c r="P22" i="120"/>
  <c r="W22" i="118"/>
  <c r="O23" i="118"/>
  <c r="T36" i="118"/>
  <c r="Y36" i="118" s="1"/>
  <c r="V23" i="17"/>
  <c r="P24" i="96"/>
  <c r="V22" i="63"/>
  <c r="P23" i="15"/>
  <c r="P22" i="112"/>
  <c r="T37" i="115"/>
  <c r="Y37" i="115" s="1"/>
  <c r="P22" i="136"/>
  <c r="V23" i="110"/>
  <c r="P25" i="64"/>
  <c r="P22" i="135"/>
  <c r="W23" i="104"/>
  <c r="O24" i="104"/>
  <c r="AL36" i="112" l="1"/>
  <c r="AC40" i="107"/>
  <c r="AL37" i="130"/>
  <c r="BR37" i="130"/>
  <c r="AF36" i="112"/>
  <c r="BB37" i="129"/>
  <c r="BR38" i="99"/>
  <c r="AF37" i="130"/>
  <c r="BH37" i="115"/>
  <c r="AF37" i="63"/>
  <c r="W38" i="64"/>
  <c r="W36" i="104"/>
  <c r="W36" i="15"/>
  <c r="AO36" i="112"/>
  <c r="AC37" i="129"/>
  <c r="W38" i="99"/>
  <c r="AL37" i="129"/>
  <c r="AF41" i="156"/>
  <c r="BR41" i="124"/>
  <c r="W41" i="124"/>
  <c r="AC35" i="17"/>
  <c r="Z37" i="130"/>
  <c r="AL41" i="156"/>
  <c r="BR41" i="156"/>
  <c r="AO36" i="106"/>
  <c r="BE36" i="106"/>
  <c r="Z36" i="104"/>
  <c r="Z36" i="112"/>
  <c r="BE37" i="129"/>
  <c r="BR36" i="104"/>
  <c r="W36" i="106"/>
  <c r="BH37" i="96"/>
  <c r="BR37" i="96"/>
  <c r="BB37" i="63"/>
  <c r="BG34" i="155"/>
  <c r="BH34" i="155" s="1"/>
  <c r="AQ38" i="99"/>
  <c r="AR38" i="99" s="1"/>
  <c r="AI38" i="99"/>
  <c r="AF37" i="98"/>
  <c r="BG34" i="136"/>
  <c r="BH34" i="136" s="1"/>
  <c r="AI36" i="106"/>
  <c r="BB36" i="106"/>
  <c r="AO38" i="99"/>
  <c r="AO37" i="114"/>
  <c r="BG38" i="99"/>
  <c r="BH38" i="99" s="1"/>
  <c r="BA38" i="99"/>
  <c r="BB38" i="99" s="1"/>
  <c r="AC38" i="99"/>
  <c r="AL38" i="99"/>
  <c r="AF37" i="114"/>
  <c r="Z36" i="106"/>
  <c r="BN41" i="107"/>
  <c r="BO41" i="107" s="1"/>
  <c r="Y41" i="107"/>
  <c r="Z41" i="107" s="1"/>
  <c r="AK41" i="107"/>
  <c r="AL41" i="107" s="1"/>
  <c r="AE41" i="107"/>
  <c r="AF41" i="107" s="1"/>
  <c r="BD41" i="107"/>
  <c r="BE41" i="107" s="1"/>
  <c r="AN41" i="107"/>
  <c r="AO41" i="107" s="1"/>
  <c r="AQ41" i="107"/>
  <c r="AR41" i="107" s="1"/>
  <c r="M41" i="107"/>
  <c r="AB41" i="107"/>
  <c r="AC41" i="107" s="1"/>
  <c r="V41" i="107"/>
  <c r="W41" i="107" s="1"/>
  <c r="BA41" i="107"/>
  <c r="BB41" i="107" s="1"/>
  <c r="BK41" i="107"/>
  <c r="O41" i="107"/>
  <c r="AH41" i="107"/>
  <c r="AI41" i="107" s="1"/>
  <c r="P41" i="107"/>
  <c r="BG41" i="107"/>
  <c r="BH41" i="107" s="1"/>
  <c r="AT41" i="107"/>
  <c r="AV41" i="107"/>
  <c r="AW41" i="107" s="1"/>
  <c r="BJ41" i="107"/>
  <c r="BL41" i="107" s="1"/>
  <c r="R41" i="107"/>
  <c r="T41" i="107" s="1"/>
  <c r="BQ41" i="107"/>
  <c r="BR41" i="107" s="1"/>
  <c r="AY41" i="107"/>
  <c r="AV38" i="99"/>
  <c r="AW38" i="99" s="1"/>
  <c r="BD38" i="99"/>
  <c r="BE38" i="99" s="1"/>
  <c r="BL39" i="132"/>
  <c r="BQ39" i="132"/>
  <c r="BR39" i="132" s="1"/>
  <c r="AH39" i="132"/>
  <c r="AI39" i="132" s="1"/>
  <c r="R39" i="132"/>
  <c r="T39" i="132" s="1"/>
  <c r="AE39" i="132"/>
  <c r="AF39" i="132" s="1"/>
  <c r="BG39" i="132"/>
  <c r="BH39" i="132" s="1"/>
  <c r="AV39" i="132"/>
  <c r="AW39" i="132" s="1"/>
  <c r="Y39" i="132"/>
  <c r="Z39" i="132" s="1"/>
  <c r="AY39" i="132"/>
  <c r="AQ39" i="132"/>
  <c r="AR39" i="132" s="1"/>
  <c r="BD39" i="132"/>
  <c r="BE39" i="132" s="1"/>
  <c r="AB39" i="132"/>
  <c r="AC39" i="132" s="1"/>
  <c r="BA39" i="132"/>
  <c r="BB39" i="132" s="1"/>
  <c r="P39" i="132"/>
  <c r="AK39" i="132"/>
  <c r="AL39" i="132" s="1"/>
  <c r="K40" i="132"/>
  <c r="O39" i="132"/>
  <c r="AT39" i="132"/>
  <c r="AN39" i="132"/>
  <c r="AO39" i="132" s="1"/>
  <c r="BN39" i="132"/>
  <c r="BO39" i="132" s="1"/>
  <c r="M39" i="132"/>
  <c r="V39" i="132"/>
  <c r="W39" i="132" s="1"/>
  <c r="AL36" i="118"/>
  <c r="AL36" i="106"/>
  <c r="I43" i="107"/>
  <c r="K42" i="107"/>
  <c r="AT39" i="99"/>
  <c r="BN39" i="99"/>
  <c r="BO39" i="99" s="1"/>
  <c r="AE39" i="99"/>
  <c r="AH39" i="99"/>
  <c r="AY39" i="99"/>
  <c r="AK39" i="99"/>
  <c r="M39" i="99"/>
  <c r="BK39" i="99"/>
  <c r="AN39" i="99"/>
  <c r="K40" i="99"/>
  <c r="AB39" i="99"/>
  <c r="BQ39" i="99"/>
  <c r="V39" i="99"/>
  <c r="W39" i="99" s="1"/>
  <c r="BJ39" i="99"/>
  <c r="BL39" i="99" s="1"/>
  <c r="BG37" i="129"/>
  <c r="BH37" i="129" s="1"/>
  <c r="AL42" i="155"/>
  <c r="AL35" i="95"/>
  <c r="AC36" i="112"/>
  <c r="AQ37" i="129"/>
  <c r="AR37" i="129" s="1"/>
  <c r="W37" i="129"/>
  <c r="AF37" i="129"/>
  <c r="BG36" i="106"/>
  <c r="BH36" i="106" s="1"/>
  <c r="BG36" i="104"/>
  <c r="AC36" i="104"/>
  <c r="AI36" i="104"/>
  <c r="BR36" i="112"/>
  <c r="Z37" i="129"/>
  <c r="BR37" i="129"/>
  <c r="AO37" i="129"/>
  <c r="AI37" i="129"/>
  <c r="T33" i="156"/>
  <c r="Y33" i="156" s="1"/>
  <c r="Z33" i="156" s="1"/>
  <c r="R34" i="156"/>
  <c r="Z37" i="63"/>
  <c r="AI39" i="136"/>
  <c r="AL38" i="64"/>
  <c r="W42" i="153"/>
  <c r="AC37" i="130"/>
  <c r="W41" i="156"/>
  <c r="AV36" i="104"/>
  <c r="AW36" i="104" s="1"/>
  <c r="Z35" i="95"/>
  <c r="BH35" i="95"/>
  <c r="P21" i="156"/>
  <c r="BR35" i="95"/>
  <c r="AW35" i="95"/>
  <c r="W42" i="152"/>
  <c r="W37" i="130"/>
  <c r="AC41" i="156"/>
  <c r="AO41" i="156"/>
  <c r="AQ36" i="104"/>
  <c r="AR36" i="104" s="1"/>
  <c r="AO35" i="95"/>
  <c r="I74" i="161"/>
  <c r="K73" i="161"/>
  <c r="BQ73" i="161" s="1"/>
  <c r="BR72" i="161"/>
  <c r="AY72" i="161"/>
  <c r="BD72" i="161"/>
  <c r="BE72" i="161" s="1"/>
  <c r="AQ72" i="161"/>
  <c r="AR72" i="161" s="1"/>
  <c r="AK72" i="161"/>
  <c r="AL72" i="161" s="1"/>
  <c r="AE72" i="161"/>
  <c r="AF72" i="161" s="1"/>
  <c r="Y72" i="161"/>
  <c r="Z72" i="161" s="1"/>
  <c r="R72" i="161"/>
  <c r="T72" i="161" s="1"/>
  <c r="AV72" i="161"/>
  <c r="AW72" i="161" s="1"/>
  <c r="P72" i="161"/>
  <c r="BA72" i="161"/>
  <c r="BB72" i="161" s="1"/>
  <c r="AB72" i="161"/>
  <c r="AC72" i="161" s="1"/>
  <c r="AT72" i="161"/>
  <c r="V72" i="161"/>
  <c r="W72" i="161" s="1"/>
  <c r="AN72" i="161"/>
  <c r="AO72" i="161" s="1"/>
  <c r="AH72" i="161"/>
  <c r="AI72" i="161" s="1"/>
  <c r="O72" i="161"/>
  <c r="BG72" i="161"/>
  <c r="BH72" i="161" s="1"/>
  <c r="BN72" i="161"/>
  <c r="BO72" i="161" s="1"/>
  <c r="BK72" i="161"/>
  <c r="BJ72" i="161"/>
  <c r="BL72" i="161" s="1"/>
  <c r="M72" i="161"/>
  <c r="AV37" i="129"/>
  <c r="AW37" i="129" s="1"/>
  <c r="AL35" i="13"/>
  <c r="W37" i="98"/>
  <c r="AI36" i="15"/>
  <c r="AI41" i="156"/>
  <c r="AQ41" i="156"/>
  <c r="AR41" i="156" s="1"/>
  <c r="BK37" i="104"/>
  <c r="AY37" i="104"/>
  <c r="BG37" i="104" s="1"/>
  <c r="AH37" i="104"/>
  <c r="BN37" i="104"/>
  <c r="BO37" i="104" s="1"/>
  <c r="V37" i="104"/>
  <c r="BJ37" i="104"/>
  <c r="BL37" i="104" s="1"/>
  <c r="AN37" i="104"/>
  <c r="M37" i="104"/>
  <c r="AT37" i="104"/>
  <c r="AV37" i="104" s="1"/>
  <c r="K38" i="104"/>
  <c r="BQ37" i="104"/>
  <c r="AK37" i="104"/>
  <c r="AE37" i="104"/>
  <c r="AB37" i="104"/>
  <c r="AI35" i="95"/>
  <c r="BD36" i="112"/>
  <c r="BE36" i="112" s="1"/>
  <c r="AV36" i="112"/>
  <c r="AW36" i="112" s="1"/>
  <c r="AV36" i="106"/>
  <c r="AW36" i="106" s="1"/>
  <c r="BA36" i="112"/>
  <c r="BB36" i="112" s="1"/>
  <c r="BG36" i="112"/>
  <c r="BH36" i="112" s="1"/>
  <c r="W37" i="110"/>
  <c r="AF38" i="135"/>
  <c r="AW39" i="105"/>
  <c r="AO37" i="130"/>
  <c r="BH36" i="104"/>
  <c r="BE36" i="104"/>
  <c r="BD35" i="95"/>
  <c r="BE35" i="95" s="1"/>
  <c r="BB35" i="95"/>
  <c r="AC35" i="95"/>
  <c r="I44" i="106"/>
  <c r="AQ36" i="106"/>
  <c r="AR36" i="106" s="1"/>
  <c r="BA34" i="153"/>
  <c r="BB34" i="153" s="1"/>
  <c r="AF36" i="104"/>
  <c r="AL36" i="104"/>
  <c r="AF35" i="95"/>
  <c r="AI36" i="112"/>
  <c r="AQ36" i="112"/>
  <c r="AR36" i="112" s="1"/>
  <c r="AV40" i="133"/>
  <c r="AW40" i="133" s="1"/>
  <c r="BD40" i="133"/>
  <c r="BE40" i="133" s="1"/>
  <c r="AQ40" i="133"/>
  <c r="AR40" i="133" s="1"/>
  <c r="AB40" i="133"/>
  <c r="AC40" i="133" s="1"/>
  <c r="P40" i="133"/>
  <c r="Y40" i="133"/>
  <c r="Z40" i="133" s="1"/>
  <c r="BL40" i="133"/>
  <c r="AK40" i="133"/>
  <c r="AL40" i="133" s="1"/>
  <c r="O40" i="133"/>
  <c r="BA40" i="133"/>
  <c r="BB40" i="133" s="1"/>
  <c r="M40" i="133"/>
  <c r="AH40" i="133"/>
  <c r="AI40" i="133" s="1"/>
  <c r="AT40" i="133"/>
  <c r="AY40" i="133"/>
  <c r="BN40" i="133"/>
  <c r="BO40" i="133" s="1"/>
  <c r="R40" i="133"/>
  <c r="T40" i="133" s="1"/>
  <c r="BG40" i="133"/>
  <c r="BH40" i="133" s="1"/>
  <c r="AN40" i="133"/>
  <c r="AO40" i="133" s="1"/>
  <c r="BQ40" i="133"/>
  <c r="BR40" i="133" s="1"/>
  <c r="AE40" i="133"/>
  <c r="AF40" i="133" s="1"/>
  <c r="V40" i="133"/>
  <c r="W40" i="133" s="1"/>
  <c r="K41" i="133"/>
  <c r="I44" i="156"/>
  <c r="K43" i="156"/>
  <c r="Z37" i="110"/>
  <c r="AW37" i="110"/>
  <c r="AL39" i="136"/>
  <c r="BH39" i="105"/>
  <c r="W37" i="126"/>
  <c r="BB36" i="104"/>
  <c r="AO36" i="104"/>
  <c r="AQ35" i="95"/>
  <c r="AR35" i="95" s="1"/>
  <c r="W35" i="95"/>
  <c r="AK36" i="95"/>
  <c r="AB36" i="95"/>
  <c r="V36" i="95"/>
  <c r="BA36" i="95"/>
  <c r="M36" i="95"/>
  <c r="BL36" i="95"/>
  <c r="BQ36" i="95"/>
  <c r="BN36" i="95"/>
  <c r="BO36" i="95" s="1"/>
  <c r="AE36" i="95"/>
  <c r="K37" i="95"/>
  <c r="BG36" i="95"/>
  <c r="AT36" i="95"/>
  <c r="BD36" i="95" s="1"/>
  <c r="AN36" i="95"/>
  <c r="AH36" i="95"/>
  <c r="R36" i="95"/>
  <c r="T36" i="95" s="1"/>
  <c r="Y36" i="95" s="1"/>
  <c r="K38" i="112"/>
  <c r="AH37" i="112"/>
  <c r="AN37" i="112"/>
  <c r="V37" i="112"/>
  <c r="BN37" i="112"/>
  <c r="BO37" i="112" s="1"/>
  <c r="AT37" i="112"/>
  <c r="R37" i="112"/>
  <c r="T37" i="112" s="1"/>
  <c r="Y37" i="112" s="1"/>
  <c r="M37" i="112"/>
  <c r="AB37" i="112"/>
  <c r="BJ37" i="112"/>
  <c r="BL37" i="112" s="1"/>
  <c r="BQ37" i="112"/>
  <c r="BK37" i="112"/>
  <c r="AK37" i="112"/>
  <c r="AE37" i="112"/>
  <c r="AY37" i="112"/>
  <c r="AK38" i="129"/>
  <c r="AH38" i="129"/>
  <c r="AE38" i="129"/>
  <c r="BL38" i="129"/>
  <c r="K39" i="129"/>
  <c r="AN38" i="129"/>
  <c r="M38" i="129"/>
  <c r="AB38" i="129"/>
  <c r="BN38" i="129"/>
  <c r="BO38" i="129" s="1"/>
  <c r="BQ38" i="129"/>
  <c r="V38" i="129"/>
  <c r="AY38" i="129"/>
  <c r="BG38" i="129" s="1"/>
  <c r="AQ38" i="129"/>
  <c r="AR38" i="129" s="1"/>
  <c r="AT38" i="129"/>
  <c r="R38" i="129"/>
  <c r="T38" i="129" s="1"/>
  <c r="Y38" i="129" s="1"/>
  <c r="K38" i="106"/>
  <c r="BJ37" i="106"/>
  <c r="BL37" i="106" s="1"/>
  <c r="BN37" i="106"/>
  <c r="BO37" i="106" s="1"/>
  <c r="BK37" i="106"/>
  <c r="AY37" i="106"/>
  <c r="BG37" i="106" s="1"/>
  <c r="V37" i="106"/>
  <c r="M37" i="106"/>
  <c r="AN37" i="106"/>
  <c r="AK37" i="106"/>
  <c r="AE37" i="106"/>
  <c r="AT37" i="106"/>
  <c r="AV37" i="106" s="1"/>
  <c r="AW37" i="106" s="1"/>
  <c r="AH37" i="106"/>
  <c r="AB37" i="106"/>
  <c r="BQ37" i="106"/>
  <c r="R37" i="106"/>
  <c r="T37" i="106" s="1"/>
  <c r="Y37" i="106" s="1"/>
  <c r="BR36" i="106"/>
  <c r="AF36" i="106"/>
  <c r="AL36" i="101"/>
  <c r="BL42" i="156"/>
  <c r="BN42" i="156"/>
  <c r="BO42" i="156" s="1"/>
  <c r="V42" i="156"/>
  <c r="AE42" i="156"/>
  <c r="AB42" i="156"/>
  <c r="AK42" i="156"/>
  <c r="AH42" i="156"/>
  <c r="M42" i="156"/>
  <c r="AN42" i="156"/>
  <c r="BQ42" i="156"/>
  <c r="AT30" i="150"/>
  <c r="AT30" i="156"/>
  <c r="AI37" i="130"/>
  <c r="AQ37" i="130"/>
  <c r="AR37" i="130" s="1"/>
  <c r="BL38" i="130"/>
  <c r="K39" i="130"/>
  <c r="M38" i="130"/>
  <c r="BN38" i="130"/>
  <c r="BO38" i="130" s="1"/>
  <c r="BQ38" i="130"/>
  <c r="V38" i="130"/>
  <c r="AK38" i="130"/>
  <c r="AE38" i="130"/>
  <c r="AB38" i="130"/>
  <c r="AN38" i="130"/>
  <c r="AH38" i="130"/>
  <c r="R38" i="130"/>
  <c r="T38" i="130" s="1"/>
  <c r="Y38" i="130" s="1"/>
  <c r="BA34" i="15"/>
  <c r="BB34" i="15" s="1"/>
  <c r="BG34" i="15"/>
  <c r="BH34" i="15" s="1"/>
  <c r="BA35" i="130"/>
  <c r="BB35" i="130" s="1"/>
  <c r="BG35" i="130"/>
  <c r="BH35" i="130" s="1"/>
  <c r="BA34" i="130"/>
  <c r="BB34" i="130" s="1"/>
  <c r="BG34" i="130"/>
  <c r="BH34" i="130" s="1"/>
  <c r="BA35" i="136"/>
  <c r="BB35" i="136" s="1"/>
  <c r="BG35" i="136"/>
  <c r="BH35" i="136" s="1"/>
  <c r="BA35" i="150"/>
  <c r="BB35" i="150" s="1"/>
  <c r="BG35" i="150"/>
  <c r="BH35" i="150" s="1"/>
  <c r="BA35" i="151"/>
  <c r="BB35" i="151" s="1"/>
  <c r="BG35" i="151"/>
  <c r="BH35" i="151" s="1"/>
  <c r="BA35" i="155"/>
  <c r="BB35" i="155" s="1"/>
  <c r="BG35" i="155"/>
  <c r="BH35" i="155" s="1"/>
  <c r="BA35" i="153"/>
  <c r="BB35" i="153" s="1"/>
  <c r="BG35" i="153"/>
  <c r="BH35" i="153" s="1"/>
  <c r="BG35" i="152"/>
  <c r="BH35" i="152" s="1"/>
  <c r="BA35" i="152"/>
  <c r="BB35" i="152" s="1"/>
  <c r="BG34" i="149"/>
  <c r="BH34" i="149" s="1"/>
  <c r="BA34" i="149"/>
  <c r="BB34" i="149" s="1"/>
  <c r="BA34" i="156"/>
  <c r="BB34" i="156" s="1"/>
  <c r="BG34" i="156"/>
  <c r="BH34" i="156" s="1"/>
  <c r="A40" i="7"/>
  <c r="AY35" i="156"/>
  <c r="AY36" i="152"/>
  <c r="AY36" i="153"/>
  <c r="AY36" i="155"/>
  <c r="AY36" i="150"/>
  <c r="AY36" i="136"/>
  <c r="AY35" i="15"/>
  <c r="BD29" i="156"/>
  <c r="BE29" i="156" s="1"/>
  <c r="AV29" i="156"/>
  <c r="AW29" i="156" s="1"/>
  <c r="AV29" i="150"/>
  <c r="AW29" i="150" s="1"/>
  <c r="BD29" i="150"/>
  <c r="BE29" i="150" s="1"/>
  <c r="W20" i="155"/>
  <c r="O21" i="155"/>
  <c r="Z39" i="150"/>
  <c r="W39" i="150"/>
  <c r="AC40" i="147"/>
  <c r="Z40" i="151"/>
  <c r="T32" i="155"/>
  <c r="Y32" i="155" s="1"/>
  <c r="Z32" i="155" s="1"/>
  <c r="R33" i="155"/>
  <c r="Z41" i="149"/>
  <c r="AC42" i="153"/>
  <c r="BD29" i="15"/>
  <c r="BE29" i="15" s="1"/>
  <c r="AI42" i="153"/>
  <c r="BR42" i="153"/>
  <c r="AF42" i="155"/>
  <c r="BR42" i="155"/>
  <c r="AC42" i="155"/>
  <c r="AO42" i="155"/>
  <c r="W42" i="155"/>
  <c r="V43" i="155"/>
  <c r="AB43" i="155"/>
  <c r="AH43" i="155"/>
  <c r="AN43" i="155"/>
  <c r="BN43" i="155"/>
  <c r="BO43" i="155" s="1"/>
  <c r="M43" i="155"/>
  <c r="BQ43" i="155"/>
  <c r="AK43" i="155"/>
  <c r="AE43" i="155"/>
  <c r="BL43" i="155"/>
  <c r="I45" i="155"/>
  <c r="K44" i="155"/>
  <c r="AI42" i="155"/>
  <c r="AQ42" i="155"/>
  <c r="AR42" i="155" s="1"/>
  <c r="BD29" i="152"/>
  <c r="BE29" i="152" s="1"/>
  <c r="AV30" i="130"/>
  <c r="AW30" i="130" s="1"/>
  <c r="BD30" i="130"/>
  <c r="BE30" i="130" s="1"/>
  <c r="AV29" i="130"/>
  <c r="AW29" i="130" s="1"/>
  <c r="BD29" i="130"/>
  <c r="BE29" i="130" s="1"/>
  <c r="AV30" i="15"/>
  <c r="AW30" i="15" s="1"/>
  <c r="BD30" i="15"/>
  <c r="BE30" i="15" s="1"/>
  <c r="AV29" i="13"/>
  <c r="AW29" i="13" s="1"/>
  <c r="BD29" i="13"/>
  <c r="BE29" i="13" s="1"/>
  <c r="AV29" i="136"/>
  <c r="AW29" i="136" s="1"/>
  <c r="BD29" i="136"/>
  <c r="BE29" i="136" s="1"/>
  <c r="BD29" i="153"/>
  <c r="BE29" i="153" s="1"/>
  <c r="AV29" i="153"/>
  <c r="AW29" i="153" s="1"/>
  <c r="AV29" i="133"/>
  <c r="AW29" i="133" s="1"/>
  <c r="BD29" i="133"/>
  <c r="BE29" i="133" s="1"/>
  <c r="AV30" i="136"/>
  <c r="AW30" i="136" s="1"/>
  <c r="BD30" i="136"/>
  <c r="BE30" i="136" s="1"/>
  <c r="AV29" i="17"/>
  <c r="AW29" i="17" s="1"/>
  <c r="BD29" i="17"/>
  <c r="BE29" i="17" s="1"/>
  <c r="A32" i="58"/>
  <c r="AT30" i="17"/>
  <c r="AT30" i="120"/>
  <c r="AT30" i="13"/>
  <c r="AC42" i="152"/>
  <c r="AO42" i="153"/>
  <c r="Z42" i="153"/>
  <c r="AL42" i="153"/>
  <c r="AF42" i="153"/>
  <c r="I48" i="153"/>
  <c r="R43" i="153"/>
  <c r="T43" i="153" s="1"/>
  <c r="Y43" i="153" s="1"/>
  <c r="AE43" i="153"/>
  <c r="AK43" i="153"/>
  <c r="M43" i="153"/>
  <c r="BQ43" i="153"/>
  <c r="O43" i="153"/>
  <c r="V43" i="153"/>
  <c r="AB43" i="153"/>
  <c r="AH43" i="153"/>
  <c r="AN43" i="153"/>
  <c r="BN43" i="153"/>
  <c r="BO43" i="153" s="1"/>
  <c r="P43" i="153"/>
  <c r="BL43" i="153"/>
  <c r="K44" i="153"/>
  <c r="AQ42" i="153"/>
  <c r="AR42" i="153" s="1"/>
  <c r="AO42" i="152"/>
  <c r="AL42" i="152"/>
  <c r="AI42" i="152"/>
  <c r="BR42" i="152"/>
  <c r="Z42" i="152"/>
  <c r="AQ42" i="152"/>
  <c r="AR42" i="152" s="1"/>
  <c r="AF42" i="152"/>
  <c r="R43" i="152"/>
  <c r="T43" i="152" s="1"/>
  <c r="Y43" i="152" s="1"/>
  <c r="AE43" i="152"/>
  <c r="AK43" i="152"/>
  <c r="M43" i="152"/>
  <c r="BQ43" i="152"/>
  <c r="P43" i="152"/>
  <c r="BN43" i="152"/>
  <c r="BO43" i="152" s="1"/>
  <c r="AB43" i="152"/>
  <c r="BL43" i="152"/>
  <c r="AH43" i="152"/>
  <c r="O43" i="152"/>
  <c r="AN43" i="152"/>
  <c r="V43" i="152"/>
  <c r="K44" i="152"/>
  <c r="I52" i="152"/>
  <c r="BH38" i="64"/>
  <c r="AL39" i="150"/>
  <c r="AO39" i="150"/>
  <c r="Z39" i="146"/>
  <c r="AF39" i="150"/>
  <c r="BG37" i="98"/>
  <c r="BH37" i="98" s="1"/>
  <c r="BA38" i="64"/>
  <c r="BB38" i="64" s="1"/>
  <c r="AQ40" i="151"/>
  <c r="AR40" i="151" s="1"/>
  <c r="BG37" i="110"/>
  <c r="BH37" i="110" s="1"/>
  <c r="BA35" i="17"/>
  <c r="BB35" i="17" s="1"/>
  <c r="AV37" i="126"/>
  <c r="AW37" i="126" s="1"/>
  <c r="AQ41" i="149"/>
  <c r="AR41" i="149" s="1"/>
  <c r="W40" i="151"/>
  <c r="AL40" i="151"/>
  <c r="AC40" i="151"/>
  <c r="BR40" i="151"/>
  <c r="AI40" i="151"/>
  <c r="P41" i="151"/>
  <c r="AN41" i="151"/>
  <c r="AH41" i="151"/>
  <c r="AB41" i="151"/>
  <c r="V41" i="151"/>
  <c r="O41" i="151"/>
  <c r="BQ41" i="151"/>
  <c r="AK41" i="151"/>
  <c r="AE41" i="151"/>
  <c r="R41" i="151"/>
  <c r="T41" i="151" s="1"/>
  <c r="Y41" i="151" s="1"/>
  <c r="BN41" i="151"/>
  <c r="BO41" i="151" s="1"/>
  <c r="M41" i="151"/>
  <c r="BL41" i="151"/>
  <c r="AO40" i="151"/>
  <c r="AF40" i="151"/>
  <c r="I43" i="151"/>
  <c r="K42" i="151"/>
  <c r="AQ39" i="150"/>
  <c r="AR39" i="150" s="1"/>
  <c r="I44" i="150"/>
  <c r="AC39" i="150"/>
  <c r="BR39" i="150"/>
  <c r="AI39" i="150"/>
  <c r="P40" i="150"/>
  <c r="AN40" i="150"/>
  <c r="AH40" i="150"/>
  <c r="AB40" i="150"/>
  <c r="V40" i="150"/>
  <c r="O40" i="150"/>
  <c r="BQ40" i="150"/>
  <c r="AE40" i="150"/>
  <c r="R40" i="150"/>
  <c r="T40" i="150" s="1"/>
  <c r="Y40" i="150" s="1"/>
  <c r="AK40" i="150"/>
  <c r="M40" i="150"/>
  <c r="BN40" i="150"/>
  <c r="BO40" i="150" s="1"/>
  <c r="BL40" i="150"/>
  <c r="K41" i="150"/>
  <c r="O30" i="149"/>
  <c r="O31" i="149" s="1"/>
  <c r="O32" i="149" s="1"/>
  <c r="O33" i="149" s="1"/>
  <c r="O34" i="149" s="1"/>
  <c r="O35" i="149" s="1"/>
  <c r="O36" i="149" s="1"/>
  <c r="O37" i="149" s="1"/>
  <c r="O38" i="149" s="1"/>
  <c r="O39" i="149" s="1"/>
  <c r="O40" i="149" s="1"/>
  <c r="O41" i="149" s="1"/>
  <c r="O42" i="149" s="1"/>
  <c r="K43" i="149"/>
  <c r="I44" i="149"/>
  <c r="W41" i="149"/>
  <c r="AO41" i="149"/>
  <c r="AN42" i="149"/>
  <c r="AH42" i="149"/>
  <c r="AB42" i="149"/>
  <c r="V42" i="149"/>
  <c r="BQ42" i="149"/>
  <c r="AK42" i="149"/>
  <c r="AE42" i="149"/>
  <c r="R42" i="149"/>
  <c r="T42" i="149" s="1"/>
  <c r="Y42" i="149" s="1"/>
  <c r="P42" i="149"/>
  <c r="BN42" i="149"/>
  <c r="BO42" i="149" s="1"/>
  <c r="M42" i="149"/>
  <c r="BL42" i="149"/>
  <c r="AF41" i="149"/>
  <c r="AC41" i="149"/>
  <c r="AL41" i="149"/>
  <c r="BR41" i="149"/>
  <c r="AI41" i="149"/>
  <c r="BG37" i="114"/>
  <c r="BH37" i="114" s="1"/>
  <c r="AF39" i="146"/>
  <c r="W39" i="146"/>
  <c r="BE39" i="146"/>
  <c r="BH40" i="147"/>
  <c r="BE40" i="147"/>
  <c r="BA40" i="99"/>
  <c r="BB40" i="99" s="1"/>
  <c r="AV37" i="115"/>
  <c r="AW37" i="115" s="1"/>
  <c r="BE36" i="118"/>
  <c r="W40" i="147"/>
  <c r="BB37" i="98"/>
  <c r="BH39" i="146"/>
  <c r="Z40" i="147"/>
  <c r="BA40" i="147"/>
  <c r="BB40" i="147" s="1"/>
  <c r="BD37" i="114"/>
  <c r="BE37" i="114" s="1"/>
  <c r="AV40" i="147"/>
  <c r="AW40" i="147" s="1"/>
  <c r="W24" i="147"/>
  <c r="O25" i="147"/>
  <c r="BR40" i="147"/>
  <c r="I43" i="147"/>
  <c r="K42" i="147"/>
  <c r="AH42" i="147" s="1"/>
  <c r="AF40" i="147"/>
  <c r="AT41" i="147"/>
  <c r="AV41" i="147" s="1"/>
  <c r="AY41" i="147"/>
  <c r="BG41" i="147" s="1"/>
  <c r="AE41" i="147"/>
  <c r="R41" i="147"/>
  <c r="T41" i="147" s="1"/>
  <c r="Y41" i="147" s="1"/>
  <c r="AB41" i="147"/>
  <c r="BQ41" i="147"/>
  <c r="V41" i="147"/>
  <c r="BK41" i="147"/>
  <c r="BJ41" i="147"/>
  <c r="BL41" i="147" s="1"/>
  <c r="BN41" i="147"/>
  <c r="BO41" i="147" s="1"/>
  <c r="M41" i="147"/>
  <c r="AT40" i="146"/>
  <c r="AV40" i="146" s="1"/>
  <c r="AB40" i="146"/>
  <c r="V40" i="146"/>
  <c r="BQ40" i="146"/>
  <c r="AY40" i="146"/>
  <c r="BG40" i="146" s="1"/>
  <c r="AE40" i="146"/>
  <c r="R40" i="146"/>
  <c r="T40" i="146" s="1"/>
  <c r="Y40" i="146" s="1"/>
  <c r="BN40" i="146"/>
  <c r="BO40" i="146" s="1"/>
  <c r="M40" i="146"/>
  <c r="BJ40" i="146"/>
  <c r="BL40" i="146" s="1"/>
  <c r="BK40" i="146"/>
  <c r="AV39" i="146"/>
  <c r="AW39" i="146" s="1"/>
  <c r="I42" i="146"/>
  <c r="K41" i="146"/>
  <c r="AH41" i="146" s="1"/>
  <c r="AC39" i="146"/>
  <c r="BA39" i="146"/>
  <c r="BB39" i="146" s="1"/>
  <c r="BR39" i="146"/>
  <c r="AI39" i="146"/>
  <c r="W23" i="146"/>
  <c r="O24" i="146"/>
  <c r="BG36" i="118"/>
  <c r="BH36" i="118" s="1"/>
  <c r="AQ37" i="114"/>
  <c r="AR37" i="114" s="1"/>
  <c r="AQ35" i="13"/>
  <c r="AR35" i="13" s="1"/>
  <c r="Z37" i="96"/>
  <c r="BE37" i="96"/>
  <c r="AC37" i="110"/>
  <c r="AO37" i="110"/>
  <c r="Z35" i="13"/>
  <c r="AL37" i="98"/>
  <c r="AW37" i="98"/>
  <c r="BE37" i="126"/>
  <c r="AF37" i="126"/>
  <c r="AQ38" i="135"/>
  <c r="AR38" i="135" s="1"/>
  <c r="BD37" i="63"/>
  <c r="BE37" i="63" s="1"/>
  <c r="AF35" i="66"/>
  <c r="Z38" i="64"/>
  <c r="Z37" i="126"/>
  <c r="AI37" i="96"/>
  <c r="BG38" i="135"/>
  <c r="BH38" i="135" s="1"/>
  <c r="BB37" i="96"/>
  <c r="AO37" i="96"/>
  <c r="AL37" i="96"/>
  <c r="AC37" i="96"/>
  <c r="BB37" i="126"/>
  <c r="AO37" i="126"/>
  <c r="AW35" i="66"/>
  <c r="BD38" i="64"/>
  <c r="BE38" i="64" s="1"/>
  <c r="AF36" i="101"/>
  <c r="BH36" i="101"/>
  <c r="W36" i="101"/>
  <c r="AL39" i="105"/>
  <c r="AL37" i="126"/>
  <c r="AC37" i="126"/>
  <c r="AF37" i="96"/>
  <c r="W37" i="96"/>
  <c r="BR39" i="136"/>
  <c r="AC39" i="136"/>
  <c r="AW38" i="135"/>
  <c r="BB38" i="135"/>
  <c r="BE37" i="115"/>
  <c r="AF41" i="124"/>
  <c r="BE41" i="124"/>
  <c r="BR37" i="63"/>
  <c r="AC37" i="63"/>
  <c r="BR39" i="105"/>
  <c r="AI39" i="105"/>
  <c r="W39" i="105"/>
  <c r="AQ35" i="17"/>
  <c r="AR35" i="17" s="1"/>
  <c r="BH35" i="17"/>
  <c r="BD35" i="66"/>
  <c r="BE35" i="66" s="1"/>
  <c r="BG35" i="66"/>
  <c r="BH35" i="66" s="1"/>
  <c r="BB37" i="110"/>
  <c r="AQ37" i="115"/>
  <c r="AR37" i="115" s="1"/>
  <c r="AF36" i="15"/>
  <c r="AO36" i="15"/>
  <c r="AW37" i="63"/>
  <c r="AO37" i="63"/>
  <c r="BD39" i="105"/>
  <c r="BE39" i="105" s="1"/>
  <c r="BA39" i="105"/>
  <c r="BB39" i="105" s="1"/>
  <c r="AC39" i="105"/>
  <c r="AL36" i="15"/>
  <c r="BG37" i="63"/>
  <c r="BH37" i="63" s="1"/>
  <c r="BR36" i="118"/>
  <c r="AQ36" i="15"/>
  <c r="AR36" i="15" s="1"/>
  <c r="AC36" i="15"/>
  <c r="BR36" i="15"/>
  <c r="BB41" i="124"/>
  <c r="AI38" i="64"/>
  <c r="Z36" i="101"/>
  <c r="BE36" i="101"/>
  <c r="AO36" i="101"/>
  <c r="Z36" i="118"/>
  <c r="AV37" i="96"/>
  <c r="AW37" i="96" s="1"/>
  <c r="AV36" i="118"/>
  <c r="AW36" i="118" s="1"/>
  <c r="AO36" i="118"/>
  <c r="BB36" i="118"/>
  <c r="Z35" i="120"/>
  <c r="AL35" i="120"/>
  <c r="BH35" i="120"/>
  <c r="AI35" i="120"/>
  <c r="BD38" i="135"/>
  <c r="BE38" i="135" s="1"/>
  <c r="AC41" i="124"/>
  <c r="AL37" i="63"/>
  <c r="AW38" i="64"/>
  <c r="BR38" i="64"/>
  <c r="AF38" i="64"/>
  <c r="AO38" i="64"/>
  <c r="BA36" i="101"/>
  <c r="BB36" i="101" s="1"/>
  <c r="AQ39" i="105"/>
  <c r="AR39" i="105" s="1"/>
  <c r="BG37" i="126"/>
  <c r="BH37" i="126" s="1"/>
  <c r="AI36" i="118"/>
  <c r="AF36" i="118"/>
  <c r="W35" i="120"/>
  <c r="AV41" i="124"/>
  <c r="AW41" i="124" s="1"/>
  <c r="AQ38" i="64"/>
  <c r="AR38" i="64" s="1"/>
  <c r="AC38" i="64"/>
  <c r="AV40" i="99"/>
  <c r="AW40" i="99" s="1"/>
  <c r="M38" i="115"/>
  <c r="V38" i="115"/>
  <c r="BN38" i="115"/>
  <c r="BO38" i="115" s="1"/>
  <c r="BK38" i="115"/>
  <c r="BJ38" i="115"/>
  <c r="BL38" i="115" s="1"/>
  <c r="AT38" i="115"/>
  <c r="BD38" i="115" s="1"/>
  <c r="AK38" i="115"/>
  <c r="AE38" i="115"/>
  <c r="BQ38" i="115"/>
  <c r="AB38" i="115"/>
  <c r="AH38" i="115"/>
  <c r="AN38" i="115"/>
  <c r="AY38" i="115"/>
  <c r="BG38" i="115" s="1"/>
  <c r="BH38" i="115" s="1"/>
  <c r="AC35" i="66"/>
  <c r="I38" i="17"/>
  <c r="K37" i="17"/>
  <c r="BR37" i="115"/>
  <c r="T36" i="98"/>
  <c r="Y36" i="98" s="1"/>
  <c r="Z36" i="98" s="1"/>
  <c r="R37" i="98"/>
  <c r="M38" i="110"/>
  <c r="BK38" i="110"/>
  <c r="BJ38" i="110"/>
  <c r="BL38" i="110" s="1"/>
  <c r="BN38" i="110"/>
  <c r="BO38" i="110" s="1"/>
  <c r="V38" i="110"/>
  <c r="AN38" i="110"/>
  <c r="AT38" i="110"/>
  <c r="BD38" i="110" s="1"/>
  <c r="AY38" i="110"/>
  <c r="BG38" i="110" s="1"/>
  <c r="AH38" i="110"/>
  <c r="AB38" i="110"/>
  <c r="AE38" i="110"/>
  <c r="AK38" i="110"/>
  <c r="BQ38" i="110"/>
  <c r="R38" i="110"/>
  <c r="T38" i="110" s="1"/>
  <c r="Y38" i="110" s="1"/>
  <c r="BG35" i="13"/>
  <c r="BH35" i="13" s="1"/>
  <c r="BR35" i="13"/>
  <c r="AI35" i="13"/>
  <c r="I41" i="135"/>
  <c r="K40" i="135"/>
  <c r="I40" i="115"/>
  <c r="K39" i="115"/>
  <c r="I45" i="105"/>
  <c r="W36" i="118"/>
  <c r="AC36" i="118"/>
  <c r="W35" i="66"/>
  <c r="AI35" i="66"/>
  <c r="AC37" i="114"/>
  <c r="BB37" i="114"/>
  <c r="BA35" i="120"/>
  <c r="BB35" i="120" s="1"/>
  <c r="BR35" i="120"/>
  <c r="AF35" i="120"/>
  <c r="BD37" i="110"/>
  <c r="BE37" i="110" s="1"/>
  <c r="AF37" i="110"/>
  <c r="BR38" i="135"/>
  <c r="AO38" i="135"/>
  <c r="AI38" i="135"/>
  <c r="AO37" i="115"/>
  <c r="AI37" i="115"/>
  <c r="BD37" i="98"/>
  <c r="BE37" i="98" s="1"/>
  <c r="BR37" i="98"/>
  <c r="AO37" i="98"/>
  <c r="AF39" i="136"/>
  <c r="AO39" i="136"/>
  <c r="I44" i="64"/>
  <c r="I53" i="133"/>
  <c r="BG41" i="124"/>
  <c r="BH41" i="124" s="1"/>
  <c r="AI37" i="63"/>
  <c r="W37" i="63"/>
  <c r="AV36" i="101"/>
  <c r="AW36" i="101" s="1"/>
  <c r="AC36" i="101"/>
  <c r="BR36" i="101"/>
  <c r="I42" i="15"/>
  <c r="BJ40" i="105"/>
  <c r="BL40" i="105" s="1"/>
  <c r="M40" i="105"/>
  <c r="BK40" i="105"/>
  <c r="BN40" i="105"/>
  <c r="BO40" i="105" s="1"/>
  <c r="BA40" i="105"/>
  <c r="BB40" i="105" s="1"/>
  <c r="AY40" i="105"/>
  <c r="P40" i="105"/>
  <c r="O40" i="105"/>
  <c r="V40" i="105"/>
  <c r="W40" i="105" s="1"/>
  <c r="AV40" i="105"/>
  <c r="AW40" i="105" s="1"/>
  <c r="AN40" i="105"/>
  <c r="AO40" i="105" s="1"/>
  <c r="BD40" i="105"/>
  <c r="BE40" i="105" s="1"/>
  <c r="R40" i="105"/>
  <c r="T40" i="105" s="1"/>
  <c r="AK40" i="105"/>
  <c r="AL40" i="105" s="1"/>
  <c r="BG40" i="105"/>
  <c r="BH40" i="105" s="1"/>
  <c r="BQ40" i="105"/>
  <c r="BR40" i="105" s="1"/>
  <c r="AT40" i="105"/>
  <c r="AQ40" i="105"/>
  <c r="AR40" i="105" s="1"/>
  <c r="AE40" i="105"/>
  <c r="AF40" i="105" s="1"/>
  <c r="AH40" i="105"/>
  <c r="AI40" i="105" s="1"/>
  <c r="Y40" i="105"/>
  <c r="Z40" i="105" s="1"/>
  <c r="AB40" i="105"/>
  <c r="K41" i="105"/>
  <c r="AO39" i="105"/>
  <c r="AF39" i="105"/>
  <c r="V36" i="66"/>
  <c r="AK36" i="66"/>
  <c r="BN36" i="66"/>
  <c r="BO36" i="66" s="1"/>
  <c r="AN36" i="66"/>
  <c r="M36" i="66"/>
  <c r="BL36" i="66"/>
  <c r="AY36" i="66"/>
  <c r="BA36" i="66" s="1"/>
  <c r="AB36" i="66"/>
  <c r="AH36" i="66"/>
  <c r="AE36" i="66"/>
  <c r="BQ36" i="66"/>
  <c r="AT36" i="66"/>
  <c r="AV36" i="66" s="1"/>
  <c r="R36" i="66"/>
  <c r="T36" i="66" s="1"/>
  <c r="Y36" i="66" s="1"/>
  <c r="BR35" i="17"/>
  <c r="AF35" i="17"/>
  <c r="AI35" i="17"/>
  <c r="I45" i="132"/>
  <c r="I40" i="110"/>
  <c r="K39" i="110"/>
  <c r="I44" i="136"/>
  <c r="Z37" i="115"/>
  <c r="AC35" i="13"/>
  <c r="W35" i="13"/>
  <c r="BB35" i="13"/>
  <c r="M37" i="118"/>
  <c r="K38" i="118"/>
  <c r="BN37" i="118"/>
  <c r="BO37" i="118" s="1"/>
  <c r="AE37" i="118"/>
  <c r="AH37" i="118"/>
  <c r="AB37" i="118"/>
  <c r="V37" i="118"/>
  <c r="AY37" i="118"/>
  <c r="BG37" i="118" s="1"/>
  <c r="AN37" i="118"/>
  <c r="AK37" i="118"/>
  <c r="BQ37" i="118"/>
  <c r="AT37" i="118"/>
  <c r="AV37" i="118" s="1"/>
  <c r="Z35" i="66"/>
  <c r="BR35" i="66"/>
  <c r="AQ35" i="66"/>
  <c r="AR35" i="66" s="1"/>
  <c r="AL35" i="66"/>
  <c r="Z37" i="114"/>
  <c r="AI37" i="114"/>
  <c r="AL37" i="114"/>
  <c r="AQ35" i="120"/>
  <c r="AR35" i="120" s="1"/>
  <c r="AE36" i="120"/>
  <c r="M36" i="120"/>
  <c r="AH36" i="120"/>
  <c r="K37" i="120"/>
  <c r="AB36" i="120"/>
  <c r="V36" i="120"/>
  <c r="AY36" i="120"/>
  <c r="BG36" i="120" s="1"/>
  <c r="BN36" i="120"/>
  <c r="BO36" i="120" s="1"/>
  <c r="BQ36" i="120"/>
  <c r="AK36" i="120"/>
  <c r="AN36" i="120"/>
  <c r="R36" i="120"/>
  <c r="T36" i="120" s="1"/>
  <c r="Y36" i="120" s="1"/>
  <c r="I42" i="104"/>
  <c r="AQ37" i="110"/>
  <c r="AR37" i="110" s="1"/>
  <c r="AC38" i="135"/>
  <c r="BA37" i="115"/>
  <c r="BB37" i="115" s="1"/>
  <c r="AF37" i="115"/>
  <c r="AL37" i="115"/>
  <c r="I94" i="99"/>
  <c r="AQ37" i="98"/>
  <c r="AR37" i="98" s="1"/>
  <c r="I43" i="63"/>
  <c r="M40" i="136"/>
  <c r="BN40" i="136"/>
  <c r="BO40" i="136" s="1"/>
  <c r="BL40" i="136"/>
  <c r="AB40" i="136"/>
  <c r="AE40" i="136"/>
  <c r="AN40" i="136"/>
  <c r="AH40" i="136"/>
  <c r="AK40" i="136"/>
  <c r="V40" i="136"/>
  <c r="BQ40" i="136"/>
  <c r="K41" i="136"/>
  <c r="M37" i="101"/>
  <c r="V37" i="101"/>
  <c r="BQ37" i="101"/>
  <c r="AN37" i="101"/>
  <c r="AB37" i="101"/>
  <c r="AY37" i="101"/>
  <c r="BG37" i="101" s="1"/>
  <c r="AE37" i="101"/>
  <c r="AT37" i="101"/>
  <c r="AV37" i="101" s="1"/>
  <c r="AK37" i="101"/>
  <c r="R37" i="101"/>
  <c r="T37" i="101" s="1"/>
  <c r="Y37" i="101" s="1"/>
  <c r="M42" i="124"/>
  <c r="K43" i="124"/>
  <c r="AH43" i="124" s="1"/>
  <c r="BJ42" i="124"/>
  <c r="BL42" i="124" s="1"/>
  <c r="BK42" i="124"/>
  <c r="BN42" i="124"/>
  <c r="BO42" i="124" s="1"/>
  <c r="V42" i="124"/>
  <c r="AB42" i="124"/>
  <c r="AE42" i="124"/>
  <c r="AT42" i="124"/>
  <c r="AV42" i="124" s="1"/>
  <c r="AY42" i="124"/>
  <c r="BA42" i="124" s="1"/>
  <c r="BQ42" i="124"/>
  <c r="AQ37" i="63"/>
  <c r="AR37" i="63" s="1"/>
  <c r="I38" i="13"/>
  <c r="K37" i="13"/>
  <c r="AQ40" i="99"/>
  <c r="AR40" i="99" s="1"/>
  <c r="I38" i="66"/>
  <c r="K37" i="66"/>
  <c r="AO35" i="17"/>
  <c r="M39" i="135"/>
  <c r="AE39" i="135"/>
  <c r="AB39" i="135"/>
  <c r="V39" i="135"/>
  <c r="BN39" i="135"/>
  <c r="BO39" i="135" s="1"/>
  <c r="AY39" i="135"/>
  <c r="BA39" i="135" s="1"/>
  <c r="AK39" i="135"/>
  <c r="AN39" i="135"/>
  <c r="AH39" i="135"/>
  <c r="BL39" i="135"/>
  <c r="BQ39" i="135"/>
  <c r="AT39" i="135"/>
  <c r="AV39" i="135" s="1"/>
  <c r="R39" i="135"/>
  <c r="T39" i="135" s="1"/>
  <c r="Y39" i="135" s="1"/>
  <c r="AC37" i="115"/>
  <c r="I40" i="96"/>
  <c r="K39" i="96"/>
  <c r="I47" i="95"/>
  <c r="M38" i="126"/>
  <c r="BJ38" i="126"/>
  <c r="BL38" i="126" s="1"/>
  <c r="V38" i="126"/>
  <c r="BK38" i="126"/>
  <c r="BN38" i="126"/>
  <c r="BO38" i="126" s="1"/>
  <c r="AK38" i="126"/>
  <c r="AN38" i="126"/>
  <c r="AE38" i="126"/>
  <c r="AB38" i="126"/>
  <c r="AY38" i="126"/>
  <c r="BA38" i="126" s="1"/>
  <c r="AT38" i="126"/>
  <c r="BD38" i="126" s="1"/>
  <c r="BQ38" i="126"/>
  <c r="K39" i="126"/>
  <c r="AH42" i="126" s="1"/>
  <c r="R38" i="126"/>
  <c r="T38" i="126" s="1"/>
  <c r="Y38" i="126" s="1"/>
  <c r="R38" i="115"/>
  <c r="R39" i="115" s="1"/>
  <c r="AF35" i="13"/>
  <c r="AO35" i="13"/>
  <c r="AQ37" i="96"/>
  <c r="AR37" i="96" s="1"/>
  <c r="AQ36" i="118"/>
  <c r="AR36" i="118" s="1"/>
  <c r="BB35" i="66"/>
  <c r="AO35" i="66"/>
  <c r="BL36" i="17"/>
  <c r="BN36" i="17"/>
  <c r="BO36" i="17" s="1"/>
  <c r="AY36" i="17"/>
  <c r="BA36" i="17" s="1"/>
  <c r="M36" i="17"/>
  <c r="V36" i="17"/>
  <c r="AB36" i="17"/>
  <c r="AE36" i="17"/>
  <c r="AK36" i="17"/>
  <c r="AH36" i="17"/>
  <c r="AN36" i="17"/>
  <c r="BQ36" i="17"/>
  <c r="R36" i="17"/>
  <c r="T36" i="17" s="1"/>
  <c r="Y36" i="17" s="1"/>
  <c r="BK38" i="114"/>
  <c r="BJ38" i="114"/>
  <c r="BL38" i="114" s="1"/>
  <c r="BN38" i="114"/>
  <c r="BO38" i="114" s="1"/>
  <c r="M38" i="114"/>
  <c r="V38" i="114"/>
  <c r="AY38" i="114"/>
  <c r="BA38" i="114" s="1"/>
  <c r="AB38" i="114"/>
  <c r="AH38" i="114"/>
  <c r="AK38" i="114"/>
  <c r="AE38" i="114"/>
  <c r="AT38" i="114"/>
  <c r="AV38" i="114" s="1"/>
  <c r="AN38" i="114"/>
  <c r="BQ38" i="114"/>
  <c r="K39" i="114"/>
  <c r="R38" i="114"/>
  <c r="T38" i="114" s="1"/>
  <c r="Y38" i="114" s="1"/>
  <c r="BR37" i="114"/>
  <c r="AW37" i="114"/>
  <c r="W37" i="114"/>
  <c r="AO35" i="120"/>
  <c r="AC35" i="120"/>
  <c r="BR37" i="110"/>
  <c r="AL37" i="110"/>
  <c r="AI37" i="110"/>
  <c r="I44" i="114"/>
  <c r="Z38" i="135"/>
  <c r="AL38" i="135"/>
  <c r="W38" i="135"/>
  <c r="W37" i="115"/>
  <c r="AE38" i="96"/>
  <c r="BN38" i="96"/>
  <c r="BO38" i="96" s="1"/>
  <c r="M38" i="96"/>
  <c r="AN38" i="96"/>
  <c r="AH38" i="96"/>
  <c r="AT38" i="96"/>
  <c r="BD38" i="96" s="1"/>
  <c r="BG38" i="96"/>
  <c r="AK38" i="96"/>
  <c r="V38" i="96"/>
  <c r="BL38" i="96"/>
  <c r="AB38" i="96"/>
  <c r="AC38" i="96" s="1"/>
  <c r="BA38" i="96"/>
  <c r="BQ38" i="96"/>
  <c r="R38" i="96"/>
  <c r="T38" i="96" s="1"/>
  <c r="Y38" i="96" s="1"/>
  <c r="AI37" i="98"/>
  <c r="AC37" i="98"/>
  <c r="BJ38" i="98"/>
  <c r="BL38" i="98" s="1"/>
  <c r="M38" i="98"/>
  <c r="K39" i="98"/>
  <c r="BK38" i="98"/>
  <c r="BN38" i="98"/>
  <c r="BO38" i="98" s="1"/>
  <c r="AB38" i="98"/>
  <c r="AC38" i="98" s="1"/>
  <c r="V38" i="98"/>
  <c r="AT38" i="98"/>
  <c r="AV38" i="98" s="1"/>
  <c r="AY38" i="98"/>
  <c r="BA38" i="98" s="1"/>
  <c r="AH38" i="98"/>
  <c r="AI38" i="98" s="1"/>
  <c r="AE38" i="98"/>
  <c r="AK38" i="98"/>
  <c r="AN38" i="98"/>
  <c r="BQ38" i="98"/>
  <c r="AQ39" i="136"/>
  <c r="AR39" i="136" s="1"/>
  <c r="W39" i="136"/>
  <c r="BL37" i="15"/>
  <c r="BN37" i="15"/>
  <c r="BO37" i="15" s="1"/>
  <c r="M37" i="15"/>
  <c r="V37" i="15"/>
  <c r="BQ37" i="15"/>
  <c r="AN37" i="15"/>
  <c r="AK37" i="15"/>
  <c r="AE37" i="15"/>
  <c r="AB37" i="15"/>
  <c r="AH37" i="15"/>
  <c r="K38" i="15"/>
  <c r="R38" i="15" s="1"/>
  <c r="I39" i="101"/>
  <c r="K38" i="101"/>
  <c r="AH38" i="101" s="1"/>
  <c r="I43" i="126"/>
  <c r="BN38" i="63"/>
  <c r="BO38" i="63" s="1"/>
  <c r="M38" i="63"/>
  <c r="AE38" i="63"/>
  <c r="AN38" i="63"/>
  <c r="AB38" i="63"/>
  <c r="AK38" i="63"/>
  <c r="AL38" i="63" s="1"/>
  <c r="BL38" i="63"/>
  <c r="V38" i="63"/>
  <c r="AH38" i="63"/>
  <c r="AY38" i="63"/>
  <c r="BA38" i="63" s="1"/>
  <c r="BB38" i="63" s="1"/>
  <c r="BQ38" i="63"/>
  <c r="AT38" i="63"/>
  <c r="BD38" i="63" s="1"/>
  <c r="K39" i="63"/>
  <c r="BL36" i="13"/>
  <c r="M36" i="13"/>
  <c r="BN36" i="13"/>
  <c r="BO36" i="13" s="1"/>
  <c r="AY36" i="13"/>
  <c r="BA36" i="13" s="1"/>
  <c r="BQ36" i="13"/>
  <c r="AH36" i="13"/>
  <c r="AK36" i="13"/>
  <c r="AN36" i="13"/>
  <c r="AB36" i="13"/>
  <c r="V36" i="13"/>
  <c r="AE36" i="13"/>
  <c r="R36" i="13"/>
  <c r="T36" i="13" s="1"/>
  <c r="Y36" i="13" s="1"/>
  <c r="M39" i="64"/>
  <c r="AN39" i="64"/>
  <c r="AH39" i="64"/>
  <c r="AE39" i="64"/>
  <c r="AY39" i="64"/>
  <c r="BA39" i="64" s="1"/>
  <c r="BB39" i="64" s="1"/>
  <c r="BN39" i="64"/>
  <c r="BO39" i="64" s="1"/>
  <c r="AB39" i="64"/>
  <c r="V39" i="64"/>
  <c r="BQ39" i="64"/>
  <c r="BR39" i="64" s="1"/>
  <c r="BL39" i="64"/>
  <c r="AK39" i="64"/>
  <c r="AT39" i="64"/>
  <c r="AV39" i="64" s="1"/>
  <c r="R39" i="64"/>
  <c r="T39" i="64" s="1"/>
  <c r="Y39" i="64" s="1"/>
  <c r="K40" i="64"/>
  <c r="AQ36" i="101"/>
  <c r="AR36" i="101" s="1"/>
  <c r="Z35" i="17"/>
  <c r="AL35" i="17"/>
  <c r="W35" i="17"/>
  <c r="AQ37" i="126"/>
  <c r="AR37" i="126" s="1"/>
  <c r="T37" i="107"/>
  <c r="Y37" i="107" s="1"/>
  <c r="Z37" i="107" s="1"/>
  <c r="R38" i="107"/>
  <c r="V23" i="95"/>
  <c r="T37" i="105"/>
  <c r="Y37" i="105" s="1"/>
  <c r="Z37" i="105" s="1"/>
  <c r="R38" i="105"/>
  <c r="T37" i="104"/>
  <c r="Y37" i="104" s="1"/>
  <c r="Z37" i="104" s="1"/>
  <c r="R38" i="104"/>
  <c r="T37" i="15"/>
  <c r="Y37" i="15" s="1"/>
  <c r="R38" i="136"/>
  <c r="T37" i="136"/>
  <c r="Y37" i="136" s="1"/>
  <c r="Z37" i="136" s="1"/>
  <c r="W22" i="98"/>
  <c r="O23" i="98"/>
  <c r="T38" i="63"/>
  <c r="Y38" i="63" s="1"/>
  <c r="R39" i="63"/>
  <c r="T39" i="124"/>
  <c r="Y39" i="124" s="1"/>
  <c r="Z39" i="124" s="1"/>
  <c r="R40" i="124"/>
  <c r="P24" i="115"/>
  <c r="P28" i="124"/>
  <c r="V27" i="124"/>
  <c r="W27" i="124" s="1"/>
  <c r="W21" i="105"/>
  <c r="O22" i="105"/>
  <c r="P24" i="106"/>
  <c r="T36" i="99"/>
  <c r="Y36" i="99" s="1"/>
  <c r="Z36" i="99" s="1"/>
  <c r="R37" i="99"/>
  <c r="O27" i="124"/>
  <c r="P22" i="99"/>
  <c r="W22" i="107"/>
  <c r="O23" i="107"/>
  <c r="W23" i="66"/>
  <c r="O24" i="66"/>
  <c r="P24" i="66" s="1"/>
  <c r="W23" i="126"/>
  <c r="O24" i="126"/>
  <c r="P23" i="130"/>
  <c r="V24" i="114"/>
  <c r="V24" i="129"/>
  <c r="V23" i="13"/>
  <c r="P25" i="101"/>
  <c r="V22" i="120"/>
  <c r="R38" i="118"/>
  <c r="T37" i="118"/>
  <c r="Y37" i="118" s="1"/>
  <c r="P23" i="118"/>
  <c r="P24" i="104"/>
  <c r="V22" i="112"/>
  <c r="W22" i="63"/>
  <c r="O23" i="63"/>
  <c r="V22" i="135"/>
  <c r="V25" i="64"/>
  <c r="P26" i="64"/>
  <c r="W23" i="110"/>
  <c r="O24" i="110"/>
  <c r="V22" i="136"/>
  <c r="V23" i="15"/>
  <c r="V24" i="96"/>
  <c r="W23" i="17"/>
  <c r="O24" i="17"/>
  <c r="Z37" i="106" l="1"/>
  <c r="AO37" i="118"/>
  <c r="AI36" i="66"/>
  <c r="AC42" i="156"/>
  <c r="AI39" i="135"/>
  <c r="AW42" i="124"/>
  <c r="AF38" i="130"/>
  <c r="AL38" i="130"/>
  <c r="AO42" i="156"/>
  <c r="AC38" i="130"/>
  <c r="AO38" i="130"/>
  <c r="AE40" i="99"/>
  <c r="AF40" i="99" s="1"/>
  <c r="BJ40" i="99"/>
  <c r="BL40" i="99" s="1"/>
  <c r="AY40" i="99"/>
  <c r="BG40" i="99" s="1"/>
  <c r="BH40" i="99" s="1"/>
  <c r="AT40" i="99"/>
  <c r="BD40" i="99" s="1"/>
  <c r="BE40" i="99" s="1"/>
  <c r="AK40" i="99"/>
  <c r="AL40" i="99" s="1"/>
  <c r="V40" i="99"/>
  <c r="W40" i="99" s="1"/>
  <c r="AH40" i="99"/>
  <c r="AI40" i="99" s="1"/>
  <c r="K41" i="99"/>
  <c r="AB40" i="99"/>
  <c r="AN40" i="99"/>
  <c r="AO40" i="99" s="1"/>
  <c r="M40" i="99"/>
  <c r="BK40" i="99"/>
  <c r="BQ40" i="99"/>
  <c r="BR40" i="99" s="1"/>
  <c r="BN40" i="99"/>
  <c r="BO40" i="99" s="1"/>
  <c r="AQ39" i="99"/>
  <c r="AR39" i="99" s="1"/>
  <c r="AI39" i="99"/>
  <c r="W36" i="13"/>
  <c r="AO38" i="114"/>
  <c r="AF37" i="104"/>
  <c r="AO39" i="99"/>
  <c r="AF39" i="99"/>
  <c r="AT31" i="130"/>
  <c r="AV31" i="130" s="1"/>
  <c r="AW31" i="130" s="1"/>
  <c r="AL37" i="104"/>
  <c r="BN40" i="132"/>
  <c r="BO40" i="132" s="1"/>
  <c r="BQ40" i="132"/>
  <c r="BR40" i="132" s="1"/>
  <c r="AY40" i="132"/>
  <c r="AT40" i="132"/>
  <c r="K41" i="132"/>
  <c r="AN40" i="132"/>
  <c r="AO40" i="132" s="1"/>
  <c r="AE40" i="132"/>
  <c r="AF40" i="132" s="1"/>
  <c r="P40" i="132"/>
  <c r="V40" i="132"/>
  <c r="W40" i="132" s="1"/>
  <c r="AQ40" i="132"/>
  <c r="AR40" i="132" s="1"/>
  <c r="AV40" i="132"/>
  <c r="AW40" i="132" s="1"/>
  <c r="BD40" i="132"/>
  <c r="BE40" i="132" s="1"/>
  <c r="AH40" i="132"/>
  <c r="AI40" i="132" s="1"/>
  <c r="BG40" i="132"/>
  <c r="BH40" i="132" s="1"/>
  <c r="R40" i="132"/>
  <c r="T40" i="132" s="1"/>
  <c r="BA40" i="132"/>
  <c r="BB40" i="132" s="1"/>
  <c r="AK40" i="132"/>
  <c r="AL40" i="132" s="1"/>
  <c r="Y40" i="132"/>
  <c r="Z40" i="132" s="1"/>
  <c r="O40" i="132"/>
  <c r="M40" i="132"/>
  <c r="AB40" i="132"/>
  <c r="AC40" i="132" s="1"/>
  <c r="BL40" i="132"/>
  <c r="W37" i="104"/>
  <c r="BD39" i="99"/>
  <c r="BE39" i="99" s="1"/>
  <c r="AV39" i="99"/>
  <c r="AW39" i="99" s="1"/>
  <c r="AL40" i="136"/>
  <c r="Z38" i="130"/>
  <c r="BR39" i="99"/>
  <c r="AL39" i="99"/>
  <c r="BJ42" i="107"/>
  <c r="BL42" i="107" s="1"/>
  <c r="R42" i="107"/>
  <c r="T42" i="107" s="1"/>
  <c r="BA42" i="107"/>
  <c r="BB42" i="107" s="1"/>
  <c r="AQ42" i="107"/>
  <c r="AR42" i="107" s="1"/>
  <c r="AV42" i="107"/>
  <c r="AW42" i="107" s="1"/>
  <c r="AN42" i="107"/>
  <c r="AO42" i="107" s="1"/>
  <c r="O42" i="107"/>
  <c r="Y42" i="107"/>
  <c r="Z42" i="107" s="1"/>
  <c r="BD42" i="107"/>
  <c r="BE42" i="107" s="1"/>
  <c r="AY42" i="107"/>
  <c r="AH42" i="107"/>
  <c r="AI42" i="107" s="1"/>
  <c r="P42" i="107"/>
  <c r="BK42" i="107"/>
  <c r="AE42" i="107"/>
  <c r="AF42" i="107" s="1"/>
  <c r="AK42" i="107"/>
  <c r="AL42" i="107" s="1"/>
  <c r="BG42" i="107"/>
  <c r="BH42" i="107" s="1"/>
  <c r="M42" i="107"/>
  <c r="BQ42" i="107"/>
  <c r="BR42" i="107" s="1"/>
  <c r="AT42" i="107"/>
  <c r="AB42" i="107"/>
  <c r="AC42" i="107" s="1"/>
  <c r="BN42" i="107"/>
  <c r="BO42" i="107" s="1"/>
  <c r="V42" i="107"/>
  <c r="W42" i="107" s="1"/>
  <c r="AI36" i="13"/>
  <c r="BB42" i="124"/>
  <c r="BA37" i="104"/>
  <c r="AW37" i="104"/>
  <c r="AC39" i="99"/>
  <c r="BA39" i="99"/>
  <c r="BB39" i="99" s="1"/>
  <c r="BG39" i="99"/>
  <c r="BH39" i="99" s="1"/>
  <c r="I44" i="107"/>
  <c r="K43" i="107"/>
  <c r="AC37" i="106"/>
  <c r="AL37" i="106"/>
  <c r="BH37" i="106"/>
  <c r="AV36" i="95"/>
  <c r="AW36" i="95" s="1"/>
  <c r="W38" i="130"/>
  <c r="BR42" i="156"/>
  <c r="AL42" i="156"/>
  <c r="AI37" i="106"/>
  <c r="AO37" i="106"/>
  <c r="AQ36" i="95"/>
  <c r="W37" i="112"/>
  <c r="AW37" i="101"/>
  <c r="W43" i="153"/>
  <c r="BR37" i="112"/>
  <c r="Z37" i="112"/>
  <c r="AO37" i="112"/>
  <c r="BE36" i="95"/>
  <c r="AF42" i="156"/>
  <c r="AQ37" i="106"/>
  <c r="AR37" i="106" s="1"/>
  <c r="AF38" i="129"/>
  <c r="AF37" i="112"/>
  <c r="BH36" i="95"/>
  <c r="BB37" i="104"/>
  <c r="BR37" i="104"/>
  <c r="AO37" i="104"/>
  <c r="R35" i="156"/>
  <c r="T34" i="156"/>
  <c r="Y34" i="156" s="1"/>
  <c r="Z34" i="156" s="1"/>
  <c r="Z37" i="118"/>
  <c r="W42" i="156"/>
  <c r="BR37" i="106"/>
  <c r="AF37" i="106"/>
  <c r="W37" i="106"/>
  <c r="BA38" i="129"/>
  <c r="BB38" i="129" s="1"/>
  <c r="AL37" i="112"/>
  <c r="AC37" i="112"/>
  <c r="AC37" i="104"/>
  <c r="V21" i="156"/>
  <c r="BR73" i="161"/>
  <c r="AY73" i="161"/>
  <c r="BD73" i="161"/>
  <c r="BE73" i="161" s="1"/>
  <c r="AQ73" i="161"/>
  <c r="AR73" i="161" s="1"/>
  <c r="AK73" i="161"/>
  <c r="AL73" i="161" s="1"/>
  <c r="AE73" i="161"/>
  <c r="AF73" i="161" s="1"/>
  <c r="Y73" i="161"/>
  <c r="Z73" i="161" s="1"/>
  <c r="R73" i="161"/>
  <c r="T73" i="161" s="1"/>
  <c r="AV73" i="161"/>
  <c r="AW73" i="161" s="1"/>
  <c r="P73" i="161"/>
  <c r="AN73" i="161"/>
  <c r="AO73" i="161" s="1"/>
  <c r="O73" i="161"/>
  <c r="BG73" i="161"/>
  <c r="BH73" i="161" s="1"/>
  <c r="AH73" i="161"/>
  <c r="AI73" i="161" s="1"/>
  <c r="BA73" i="161"/>
  <c r="BB73" i="161" s="1"/>
  <c r="AB73" i="161"/>
  <c r="AC73" i="161" s="1"/>
  <c r="AT73" i="161"/>
  <c r="V73" i="161"/>
  <c r="W73" i="161" s="1"/>
  <c r="BK73" i="161"/>
  <c r="BJ73" i="161"/>
  <c r="BL73" i="161" s="1"/>
  <c r="M73" i="161"/>
  <c r="BN73" i="161"/>
  <c r="BO73" i="161" s="1"/>
  <c r="K74" i="161"/>
  <c r="BQ74" i="161" s="1"/>
  <c r="I75" i="161"/>
  <c r="BD38" i="129"/>
  <c r="BE38" i="129" s="1"/>
  <c r="AV38" i="129"/>
  <c r="AW38" i="129" s="1"/>
  <c r="BQ41" i="133"/>
  <c r="BR41" i="133" s="1"/>
  <c r="O41" i="133"/>
  <c r="AN41" i="133"/>
  <c r="AO41" i="133" s="1"/>
  <c r="K42" i="133"/>
  <c r="AT41" i="133"/>
  <c r="AY41" i="133"/>
  <c r="V41" i="133"/>
  <c r="W41" i="133" s="1"/>
  <c r="AH41" i="133"/>
  <c r="AI41" i="133" s="1"/>
  <c r="BL41" i="133"/>
  <c r="AB41" i="133"/>
  <c r="AC41" i="133" s="1"/>
  <c r="BG41" i="133"/>
  <c r="BH41" i="133" s="1"/>
  <c r="Y41" i="133"/>
  <c r="Z41" i="133" s="1"/>
  <c r="AV41" i="133"/>
  <c r="AW41" i="133" s="1"/>
  <c r="BN41" i="133"/>
  <c r="BO41" i="133" s="1"/>
  <c r="AK41" i="133"/>
  <c r="AL41" i="133" s="1"/>
  <c r="P41" i="133"/>
  <c r="BA41" i="133"/>
  <c r="BB41" i="133" s="1"/>
  <c r="M41" i="133"/>
  <c r="AE41" i="133"/>
  <c r="AF41" i="133" s="1"/>
  <c r="R41" i="133"/>
  <c r="T41" i="133" s="1"/>
  <c r="AQ41" i="133"/>
  <c r="AR41" i="133" s="1"/>
  <c r="BD41" i="133"/>
  <c r="BE41" i="133" s="1"/>
  <c r="BA37" i="106"/>
  <c r="BB37" i="106" s="1"/>
  <c r="AC38" i="129"/>
  <c r="AI38" i="129"/>
  <c r="BL37" i="95"/>
  <c r="AT37" i="95"/>
  <c r="AV37" i="95" s="1"/>
  <c r="AH37" i="95"/>
  <c r="AB37" i="95"/>
  <c r="V37" i="95"/>
  <c r="AE37" i="95"/>
  <c r="BG37" i="95"/>
  <c r="BA37" i="95"/>
  <c r="M37" i="95"/>
  <c r="AK37" i="95"/>
  <c r="BQ37" i="95"/>
  <c r="BN37" i="95"/>
  <c r="BO37" i="95" s="1"/>
  <c r="AN37" i="95"/>
  <c r="K38" i="95"/>
  <c r="R37" i="95"/>
  <c r="T37" i="95" s="1"/>
  <c r="Y37" i="95" s="1"/>
  <c r="BB36" i="95"/>
  <c r="W36" i="120"/>
  <c r="BD37" i="106"/>
  <c r="BE37" i="106" s="1"/>
  <c r="AL38" i="129"/>
  <c r="BG37" i="112"/>
  <c r="BH37" i="112" s="1"/>
  <c r="BA37" i="112"/>
  <c r="BB37" i="112" s="1"/>
  <c r="AR36" i="95"/>
  <c r="AF36" i="95"/>
  <c r="W36" i="95"/>
  <c r="AQ37" i="104"/>
  <c r="AR37" i="104" s="1"/>
  <c r="AO37" i="15"/>
  <c r="W38" i="110"/>
  <c r="BH38" i="129"/>
  <c r="AO38" i="129"/>
  <c r="AQ37" i="112"/>
  <c r="AR37" i="112" s="1"/>
  <c r="AI37" i="112"/>
  <c r="AI36" i="95"/>
  <c r="AC36" i="95"/>
  <c r="BD37" i="104"/>
  <c r="BE37" i="104" s="1"/>
  <c r="M38" i="104"/>
  <c r="AE38" i="104"/>
  <c r="AY38" i="104"/>
  <c r="BA38" i="104" s="1"/>
  <c r="AK38" i="104"/>
  <c r="AT38" i="104"/>
  <c r="BD38" i="104" s="1"/>
  <c r="AB38" i="104"/>
  <c r="BJ38" i="104"/>
  <c r="BL38" i="104" s="1"/>
  <c r="AN38" i="104"/>
  <c r="BQ38" i="104"/>
  <c r="BK38" i="104"/>
  <c r="AH38" i="104"/>
  <c r="K39" i="104"/>
  <c r="R39" i="104" s="1"/>
  <c r="T39" i="104" s="1"/>
  <c r="Y39" i="104" s="1"/>
  <c r="BN38" i="104"/>
  <c r="BO38" i="104" s="1"/>
  <c r="V38" i="104"/>
  <c r="BH38" i="96"/>
  <c r="AI38" i="114"/>
  <c r="AL36" i="17"/>
  <c r="AC37" i="101"/>
  <c r="AC40" i="136"/>
  <c r="AL36" i="120"/>
  <c r="AC40" i="105"/>
  <c r="AT31" i="15"/>
  <c r="AV31" i="15" s="1"/>
  <c r="AW31" i="15" s="1"/>
  <c r="AI42" i="156"/>
  <c r="AQ42" i="156"/>
  <c r="AR42" i="156" s="1"/>
  <c r="BK38" i="106"/>
  <c r="BN38" i="106"/>
  <c r="BO38" i="106" s="1"/>
  <c r="BJ38" i="106"/>
  <c r="BL38" i="106" s="1"/>
  <c r="M38" i="106"/>
  <c r="V38" i="106"/>
  <c r="AB38" i="106"/>
  <c r="AN38" i="106"/>
  <c r="AK38" i="106"/>
  <c r="AE38" i="106"/>
  <c r="AH38" i="106"/>
  <c r="AT38" i="106"/>
  <c r="AV38" i="106" s="1"/>
  <c r="AY38" i="106"/>
  <c r="BG38" i="106" s="1"/>
  <c r="BQ38" i="106"/>
  <c r="K39" i="106"/>
  <c r="R38" i="106"/>
  <c r="T38" i="106" s="1"/>
  <c r="Y38" i="106" s="1"/>
  <c r="W38" i="129"/>
  <c r="AE39" i="129"/>
  <c r="BL39" i="129"/>
  <c r="M39" i="129"/>
  <c r="V39" i="129"/>
  <c r="K40" i="129"/>
  <c r="AB39" i="129"/>
  <c r="BN39" i="129"/>
  <c r="BO39" i="129" s="1"/>
  <c r="AN39" i="129"/>
  <c r="AH39" i="129"/>
  <c r="BQ39" i="129"/>
  <c r="AK39" i="129"/>
  <c r="AY39" i="129"/>
  <c r="BG39" i="129" s="1"/>
  <c r="AT39" i="129"/>
  <c r="BD39" i="129" s="1"/>
  <c r="R39" i="129"/>
  <c r="T39" i="129" s="1"/>
  <c r="Y39" i="129" s="1"/>
  <c r="M38" i="112"/>
  <c r="AN38" i="112"/>
  <c r="AH38" i="112"/>
  <c r="AY38" i="112"/>
  <c r="BJ38" i="112"/>
  <c r="BL38" i="112" s="1"/>
  <c r="AB38" i="112"/>
  <c r="BQ38" i="112"/>
  <c r="BR38" i="112" s="1"/>
  <c r="V38" i="112"/>
  <c r="BN38" i="112"/>
  <c r="BO38" i="112" s="1"/>
  <c r="AE38" i="112"/>
  <c r="R38" i="112"/>
  <c r="T38" i="112" s="1"/>
  <c r="Y38" i="112" s="1"/>
  <c r="K39" i="112"/>
  <c r="AK38" i="112"/>
  <c r="AL38" i="112" s="1"/>
  <c r="BK38" i="112"/>
  <c r="AT38" i="112"/>
  <c r="AO36" i="95"/>
  <c r="BR36" i="95"/>
  <c r="AL36" i="95"/>
  <c r="AB43" i="156"/>
  <c r="AK43" i="156"/>
  <c r="AH43" i="156"/>
  <c r="M43" i="156"/>
  <c r="AE43" i="156"/>
  <c r="AN43" i="156"/>
  <c r="BQ43" i="156"/>
  <c r="V43" i="156"/>
  <c r="BL43" i="156"/>
  <c r="BN43" i="156"/>
  <c r="BO43" i="156" s="1"/>
  <c r="I45" i="106"/>
  <c r="AI37" i="104"/>
  <c r="AI37" i="15"/>
  <c r="AI37" i="118"/>
  <c r="AI38" i="110"/>
  <c r="BR38" i="115"/>
  <c r="BR38" i="130"/>
  <c r="Z38" i="129"/>
  <c r="BR38" i="129"/>
  <c r="BD37" i="112"/>
  <c r="BE37" i="112" s="1"/>
  <c r="AV37" i="112"/>
  <c r="AW37" i="112" s="1"/>
  <c r="Z36" i="95"/>
  <c r="K44" i="156"/>
  <c r="I45" i="156"/>
  <c r="BH37" i="104"/>
  <c r="BG38" i="114"/>
  <c r="Z41" i="151"/>
  <c r="AT31" i="150"/>
  <c r="AT31" i="156"/>
  <c r="BA35" i="15"/>
  <c r="BB35" i="15" s="1"/>
  <c r="BG35" i="15"/>
  <c r="BH35" i="15" s="1"/>
  <c r="BA36" i="136"/>
  <c r="BB36" i="136" s="1"/>
  <c r="BG36" i="136"/>
  <c r="BH36" i="136" s="1"/>
  <c r="BA36" i="150"/>
  <c r="BB36" i="150" s="1"/>
  <c r="BG36" i="150"/>
  <c r="BH36" i="150" s="1"/>
  <c r="BG36" i="151"/>
  <c r="BH36" i="151" s="1"/>
  <c r="BA36" i="151"/>
  <c r="BB36" i="151" s="1"/>
  <c r="BG36" i="155"/>
  <c r="BH36" i="155" s="1"/>
  <c r="BA36" i="155"/>
  <c r="BB36" i="155" s="1"/>
  <c r="BA36" i="153"/>
  <c r="BB36" i="153" s="1"/>
  <c r="BG36" i="153"/>
  <c r="BH36" i="153" s="1"/>
  <c r="BG36" i="152"/>
  <c r="BH36" i="152" s="1"/>
  <c r="BA36" i="152"/>
  <c r="BB36" i="152" s="1"/>
  <c r="BA35" i="149"/>
  <c r="BB35" i="149" s="1"/>
  <c r="BG35" i="149"/>
  <c r="BH35" i="149" s="1"/>
  <c r="BG35" i="156"/>
  <c r="BH35" i="156" s="1"/>
  <c r="BA35" i="156"/>
  <c r="BB35" i="156" s="1"/>
  <c r="A41" i="7"/>
  <c r="AY37" i="155" s="1"/>
  <c r="AY36" i="156"/>
  <c r="AY37" i="136"/>
  <c r="AY36" i="130"/>
  <c r="AY36" i="15"/>
  <c r="AQ38" i="130"/>
  <c r="AR38" i="130" s="1"/>
  <c r="AI38" i="130"/>
  <c r="BL39" i="130"/>
  <c r="BN39" i="130"/>
  <c r="BO39" i="130" s="1"/>
  <c r="M39" i="130"/>
  <c r="K40" i="130"/>
  <c r="V39" i="130"/>
  <c r="BQ39" i="130"/>
  <c r="AK39" i="130"/>
  <c r="AE39" i="130"/>
  <c r="AB39" i="130"/>
  <c r="AH39" i="130"/>
  <c r="AN39" i="130"/>
  <c r="R39" i="130"/>
  <c r="T39" i="130" s="1"/>
  <c r="Y39" i="130" s="1"/>
  <c r="AV30" i="156"/>
  <c r="AW30" i="156" s="1"/>
  <c r="BD30" i="156"/>
  <c r="BE30" i="156" s="1"/>
  <c r="AV30" i="150"/>
  <c r="AW30" i="150" s="1"/>
  <c r="BD30" i="150"/>
  <c r="BE30" i="150" s="1"/>
  <c r="W42" i="149"/>
  <c r="AC42" i="149"/>
  <c r="AF38" i="126"/>
  <c r="P21" i="155"/>
  <c r="Z38" i="110"/>
  <c r="Z42" i="149"/>
  <c r="Z40" i="150"/>
  <c r="W40" i="150"/>
  <c r="T33" i="155"/>
  <c r="Y33" i="155" s="1"/>
  <c r="Z33" i="155" s="1"/>
  <c r="R34" i="155"/>
  <c r="BR43" i="155"/>
  <c r="AO43" i="152"/>
  <c r="Z43" i="152"/>
  <c r="AC43" i="153"/>
  <c r="AO43" i="153"/>
  <c r="AQ43" i="155"/>
  <c r="AR43" i="155" s="1"/>
  <c r="V44" i="155"/>
  <c r="AB44" i="155"/>
  <c r="AH44" i="155"/>
  <c r="AN44" i="155"/>
  <c r="BN44" i="155"/>
  <c r="BO44" i="155" s="1"/>
  <c r="M44" i="155"/>
  <c r="BQ44" i="155"/>
  <c r="AE44" i="155"/>
  <c r="AK44" i="155"/>
  <c r="BL44" i="155"/>
  <c r="AF43" i="155"/>
  <c r="AL43" i="155"/>
  <c r="AC43" i="155"/>
  <c r="I46" i="155"/>
  <c r="K45" i="155"/>
  <c r="W43" i="155"/>
  <c r="AO43" i="155"/>
  <c r="AI43" i="155"/>
  <c r="A33" i="58"/>
  <c r="AT32" i="15" s="1"/>
  <c r="AT31" i="136"/>
  <c r="AT31" i="13"/>
  <c r="AT31" i="120"/>
  <c r="AT31" i="17"/>
  <c r="BD31" i="130"/>
  <c r="BE31" i="130" s="1"/>
  <c r="BD30" i="120"/>
  <c r="BE30" i="120" s="1"/>
  <c r="AV30" i="120"/>
  <c r="AW30" i="120" s="1"/>
  <c r="BD30" i="13"/>
  <c r="BE30" i="13" s="1"/>
  <c r="AV30" i="13"/>
  <c r="AW30" i="13" s="1"/>
  <c r="AV30" i="17"/>
  <c r="AW30" i="17" s="1"/>
  <c r="BD30" i="17"/>
  <c r="BE30" i="17" s="1"/>
  <c r="AI43" i="153"/>
  <c r="BR43" i="153"/>
  <c r="Z43" i="153"/>
  <c r="AF43" i="153"/>
  <c r="R44" i="153"/>
  <c r="T44" i="153" s="1"/>
  <c r="Y44" i="153" s="1"/>
  <c r="AE44" i="153"/>
  <c r="AK44" i="153"/>
  <c r="M44" i="153"/>
  <c r="BQ44" i="153"/>
  <c r="O44" i="153"/>
  <c r="V44" i="153"/>
  <c r="AB44" i="153"/>
  <c r="AH44" i="153"/>
  <c r="AN44" i="153"/>
  <c r="BN44" i="153"/>
  <c r="BO44" i="153" s="1"/>
  <c r="P44" i="153"/>
  <c r="BL44" i="153"/>
  <c r="K45" i="153"/>
  <c r="AQ43" i="153"/>
  <c r="AR43" i="153" s="1"/>
  <c r="AL43" i="153"/>
  <c r="I49" i="153"/>
  <c r="R44" i="152"/>
  <c r="T44" i="152" s="1"/>
  <c r="Y44" i="152" s="1"/>
  <c r="AE44" i="152"/>
  <c r="AK44" i="152"/>
  <c r="M44" i="152"/>
  <c r="V44" i="152"/>
  <c r="AH44" i="152"/>
  <c r="BN44" i="152"/>
  <c r="BO44" i="152" s="1"/>
  <c r="O44" i="152"/>
  <c r="AB44" i="152"/>
  <c r="AN44" i="152"/>
  <c r="P44" i="152"/>
  <c r="BQ44" i="152"/>
  <c r="BL44" i="152"/>
  <c r="K45" i="152"/>
  <c r="AC43" i="152"/>
  <c r="BR43" i="152"/>
  <c r="AQ43" i="152"/>
  <c r="AR43" i="152" s="1"/>
  <c r="W43" i="152"/>
  <c r="AI43" i="152"/>
  <c r="AL43" i="152"/>
  <c r="I53" i="152"/>
  <c r="AF43" i="152"/>
  <c r="AW36" i="66"/>
  <c r="BH40" i="146"/>
  <c r="AI41" i="147"/>
  <c r="Z41" i="147"/>
  <c r="AF41" i="147"/>
  <c r="AF42" i="149"/>
  <c r="Z40" i="146"/>
  <c r="W40" i="146"/>
  <c r="AW40" i="146"/>
  <c r="AV38" i="115"/>
  <c r="AW38" i="115" s="1"/>
  <c r="AQ40" i="150"/>
  <c r="AR40" i="150" s="1"/>
  <c r="AQ41" i="151"/>
  <c r="AR41" i="151" s="1"/>
  <c r="AK42" i="151"/>
  <c r="AE42" i="151"/>
  <c r="AN42" i="151"/>
  <c r="AH42" i="151"/>
  <c r="BQ42" i="151"/>
  <c r="P42" i="151"/>
  <c r="V42" i="151"/>
  <c r="O42" i="151"/>
  <c r="AB42" i="151"/>
  <c r="R42" i="151"/>
  <c r="T42" i="151" s="1"/>
  <c r="Y42" i="151" s="1"/>
  <c r="M42" i="151"/>
  <c r="BN42" i="151"/>
  <c r="BO42" i="151" s="1"/>
  <c r="BL42" i="151"/>
  <c r="W41" i="151"/>
  <c r="K43" i="151"/>
  <c r="I44" i="151"/>
  <c r="AF41" i="151"/>
  <c r="AC41" i="151"/>
  <c r="AL41" i="151"/>
  <c r="BR41" i="151"/>
  <c r="AI41" i="151"/>
  <c r="AO41" i="151"/>
  <c r="AC40" i="150"/>
  <c r="I45" i="150"/>
  <c r="BR40" i="150"/>
  <c r="AI40" i="150"/>
  <c r="AN41" i="150"/>
  <c r="AH41" i="150"/>
  <c r="AB41" i="150"/>
  <c r="V41" i="150"/>
  <c r="O41" i="150"/>
  <c r="BQ41" i="150"/>
  <c r="P41" i="150"/>
  <c r="AK41" i="150"/>
  <c r="AE41" i="150"/>
  <c r="R41" i="150"/>
  <c r="T41" i="150" s="1"/>
  <c r="Y41" i="150" s="1"/>
  <c r="M41" i="150"/>
  <c r="BN41" i="150"/>
  <c r="BO41" i="150" s="1"/>
  <c r="BL41" i="150"/>
  <c r="K42" i="150"/>
  <c r="AL40" i="150"/>
  <c r="AF40" i="150"/>
  <c r="AO40" i="150"/>
  <c r="AL42" i="149"/>
  <c r="BR42" i="149"/>
  <c r="AI42" i="149"/>
  <c r="K44" i="149"/>
  <c r="I45" i="149"/>
  <c r="AQ42" i="149"/>
  <c r="AR42" i="149" s="1"/>
  <c r="AO42" i="149"/>
  <c r="AN43" i="149"/>
  <c r="AH43" i="149"/>
  <c r="AB43" i="149"/>
  <c r="V43" i="149"/>
  <c r="O43" i="149"/>
  <c r="BQ43" i="149"/>
  <c r="AK43" i="149"/>
  <c r="AE43" i="149"/>
  <c r="R43" i="149"/>
  <c r="T43" i="149" s="1"/>
  <c r="Y43" i="149" s="1"/>
  <c r="BN43" i="149"/>
  <c r="BO43" i="149" s="1"/>
  <c r="P43" i="149"/>
  <c r="M43" i="149"/>
  <c r="BL43" i="149"/>
  <c r="R39" i="110"/>
  <c r="BG36" i="13"/>
  <c r="BH36" i="13" s="1"/>
  <c r="BR36" i="17"/>
  <c r="AO38" i="115"/>
  <c r="AI38" i="115"/>
  <c r="AL38" i="115"/>
  <c r="BH41" i="147"/>
  <c r="BG36" i="66"/>
  <c r="BH36" i="66" s="1"/>
  <c r="T38" i="115"/>
  <c r="Y38" i="115" s="1"/>
  <c r="Z38" i="115" s="1"/>
  <c r="BE38" i="110"/>
  <c r="AC38" i="115"/>
  <c r="BE38" i="115"/>
  <c r="AW41" i="147"/>
  <c r="AQ37" i="101"/>
  <c r="AR37" i="101" s="1"/>
  <c r="BD41" i="147"/>
  <c r="BE41" i="147" s="1"/>
  <c r="AT42" i="147"/>
  <c r="BD42" i="147" s="1"/>
  <c r="AB42" i="147"/>
  <c r="V42" i="147"/>
  <c r="AE42" i="147"/>
  <c r="BQ42" i="147"/>
  <c r="R42" i="147"/>
  <c r="T42" i="147" s="1"/>
  <c r="Y42" i="147" s="1"/>
  <c r="AY42" i="147"/>
  <c r="BG42" i="147" s="1"/>
  <c r="BK42" i="147"/>
  <c r="BN42" i="147"/>
  <c r="BO42" i="147" s="1"/>
  <c r="BJ42" i="147"/>
  <c r="BL42" i="147" s="1"/>
  <c r="M42" i="147"/>
  <c r="P25" i="147"/>
  <c r="BR41" i="147"/>
  <c r="BA41" i="147"/>
  <c r="BB41" i="147" s="1"/>
  <c r="K43" i="147"/>
  <c r="AH43" i="147" s="1"/>
  <c r="I44" i="147"/>
  <c r="W41" i="147"/>
  <c r="AC41" i="147"/>
  <c r="I43" i="146"/>
  <c r="K42" i="146"/>
  <c r="AH42" i="146" s="1"/>
  <c r="AC40" i="146"/>
  <c r="BA40" i="146"/>
  <c r="BB40" i="146" s="1"/>
  <c r="P24" i="146"/>
  <c r="BR40" i="146"/>
  <c r="AI40" i="146"/>
  <c r="BD40" i="146"/>
  <c r="BE40" i="146" s="1"/>
  <c r="AF40" i="146"/>
  <c r="AT41" i="146"/>
  <c r="AV41" i="146" s="1"/>
  <c r="AB41" i="146"/>
  <c r="V41" i="146"/>
  <c r="BQ41" i="146"/>
  <c r="AY41" i="146"/>
  <c r="BG41" i="146" s="1"/>
  <c r="R41" i="146"/>
  <c r="T41" i="146" s="1"/>
  <c r="Y41" i="146" s="1"/>
  <c r="AE41" i="146"/>
  <c r="BN41" i="146"/>
  <c r="BO41" i="146" s="1"/>
  <c r="M41" i="146"/>
  <c r="BK41" i="146"/>
  <c r="BJ41" i="146"/>
  <c r="BL41" i="146" s="1"/>
  <c r="AQ36" i="120"/>
  <c r="AR36" i="120" s="1"/>
  <c r="BG38" i="98"/>
  <c r="BH38" i="98" s="1"/>
  <c r="BE38" i="96"/>
  <c r="BG42" i="124"/>
  <c r="BH42" i="124" s="1"/>
  <c r="AW37" i="118"/>
  <c r="BD42" i="124"/>
  <c r="BE42" i="124" s="1"/>
  <c r="AC42" i="124"/>
  <c r="BR42" i="124"/>
  <c r="AI42" i="124"/>
  <c r="W42" i="124"/>
  <c r="W40" i="136"/>
  <c r="AF40" i="136"/>
  <c r="AQ36" i="17"/>
  <c r="AR36" i="17" s="1"/>
  <c r="AQ38" i="115"/>
  <c r="AR38" i="115" s="1"/>
  <c r="AW39" i="64"/>
  <c r="BR38" i="96"/>
  <c r="BH38" i="114"/>
  <c r="AV41" i="99"/>
  <c r="AW41" i="99" s="1"/>
  <c r="BE38" i="63"/>
  <c r="BB38" i="96"/>
  <c r="AF36" i="17"/>
  <c r="BB36" i="17"/>
  <c r="Z38" i="126"/>
  <c r="AL38" i="110"/>
  <c r="BH38" i="110"/>
  <c r="BA38" i="115"/>
  <c r="BB38" i="115" s="1"/>
  <c r="BG38" i="126"/>
  <c r="BH38" i="126" s="1"/>
  <c r="AW39" i="135"/>
  <c r="Z37" i="101"/>
  <c r="AQ40" i="136"/>
  <c r="AR40" i="136" s="1"/>
  <c r="AQ41" i="99"/>
  <c r="AR41" i="99" s="1"/>
  <c r="BG39" i="64"/>
  <c r="BH39" i="64" s="1"/>
  <c r="BD39" i="135"/>
  <c r="BE39" i="135" s="1"/>
  <c r="BB39" i="135"/>
  <c r="W38" i="115"/>
  <c r="BG41" i="99"/>
  <c r="BH41" i="99" s="1"/>
  <c r="AO39" i="64"/>
  <c r="BG39" i="135"/>
  <c r="BH39" i="135" s="1"/>
  <c r="BR37" i="118"/>
  <c r="AF38" i="115"/>
  <c r="BR39" i="135"/>
  <c r="AQ39" i="64"/>
  <c r="AR39" i="64" s="1"/>
  <c r="BD38" i="98"/>
  <c r="BE38" i="98" s="1"/>
  <c r="AO38" i="98"/>
  <c r="BR38" i="126"/>
  <c r="AF37" i="101"/>
  <c r="AO37" i="101"/>
  <c r="AO36" i="13"/>
  <c r="BB36" i="13"/>
  <c r="BB38" i="98"/>
  <c r="AL38" i="98"/>
  <c r="AW38" i="98"/>
  <c r="BD37" i="101"/>
  <c r="BE37" i="101" s="1"/>
  <c r="BH37" i="101"/>
  <c r="BR37" i="101"/>
  <c r="BR40" i="136"/>
  <c r="AI40" i="136"/>
  <c r="Z36" i="120"/>
  <c r="BA36" i="120"/>
  <c r="BB36" i="120" s="1"/>
  <c r="BR36" i="120"/>
  <c r="AC36" i="120"/>
  <c r="AF36" i="120"/>
  <c r="AQ37" i="118"/>
  <c r="AR37" i="118" s="1"/>
  <c r="BH37" i="118"/>
  <c r="AF37" i="118"/>
  <c r="BR36" i="66"/>
  <c r="AC36" i="66"/>
  <c r="AO36" i="66"/>
  <c r="AV38" i="110"/>
  <c r="AW38" i="110" s="1"/>
  <c r="Z39" i="64"/>
  <c r="AL39" i="64"/>
  <c r="AC39" i="64"/>
  <c r="AI39" i="64"/>
  <c r="AF36" i="13"/>
  <c r="AL36" i="13"/>
  <c r="BR38" i="98"/>
  <c r="AF38" i="98"/>
  <c r="W38" i="98"/>
  <c r="BE38" i="126"/>
  <c r="AO38" i="126"/>
  <c r="AF42" i="124"/>
  <c r="AO40" i="136"/>
  <c r="BA37" i="118"/>
  <c r="BB37" i="118" s="1"/>
  <c r="W37" i="118"/>
  <c r="BD36" i="66"/>
  <c r="BE36" i="66" s="1"/>
  <c r="BB36" i="66"/>
  <c r="AL37" i="118"/>
  <c r="AC37" i="118"/>
  <c r="BG38" i="63"/>
  <c r="BH38" i="63" s="1"/>
  <c r="M39" i="63"/>
  <c r="BN39" i="63"/>
  <c r="BO39" i="63" s="1"/>
  <c r="BL39" i="63"/>
  <c r="AH39" i="63"/>
  <c r="V39" i="63"/>
  <c r="AE39" i="63"/>
  <c r="AN39" i="63"/>
  <c r="AB39" i="63"/>
  <c r="AK39" i="63"/>
  <c r="AY39" i="63"/>
  <c r="BA39" i="63" s="1"/>
  <c r="BQ39" i="63"/>
  <c r="AT39" i="63"/>
  <c r="AV39" i="63" s="1"/>
  <c r="K40" i="63"/>
  <c r="K40" i="98"/>
  <c r="M39" i="98"/>
  <c r="BN39" i="98"/>
  <c r="BO39" i="98" s="1"/>
  <c r="BJ39" i="98"/>
  <c r="BL39" i="98" s="1"/>
  <c r="BK39" i="98"/>
  <c r="V39" i="98"/>
  <c r="AE39" i="98"/>
  <c r="AT39" i="98"/>
  <c r="BD39" i="98" s="1"/>
  <c r="AB39" i="98"/>
  <c r="AK39" i="98"/>
  <c r="AN39" i="98"/>
  <c r="AY39" i="98"/>
  <c r="BG39" i="98" s="1"/>
  <c r="AH39" i="98"/>
  <c r="BQ39" i="98"/>
  <c r="BR39" i="98" s="1"/>
  <c r="BA37" i="101"/>
  <c r="BB37" i="101" s="1"/>
  <c r="M41" i="136"/>
  <c r="BN41" i="136"/>
  <c r="BO41" i="136" s="1"/>
  <c r="BL41" i="136"/>
  <c r="AB41" i="136"/>
  <c r="V41" i="136"/>
  <c r="BQ41" i="136"/>
  <c r="AK41" i="136"/>
  <c r="AH41" i="136"/>
  <c r="AE41" i="136"/>
  <c r="AN41" i="136"/>
  <c r="K42" i="136"/>
  <c r="M39" i="115"/>
  <c r="BJ39" i="115"/>
  <c r="BL39" i="115" s="1"/>
  <c r="BK39" i="115"/>
  <c r="BN39" i="115"/>
  <c r="BO39" i="115" s="1"/>
  <c r="V39" i="115"/>
  <c r="BQ39" i="115"/>
  <c r="AK39" i="115"/>
  <c r="AH39" i="115"/>
  <c r="AN39" i="115"/>
  <c r="AE39" i="115"/>
  <c r="AB39" i="115"/>
  <c r="AT39" i="115"/>
  <c r="BD39" i="115" s="1"/>
  <c r="AY39" i="115"/>
  <c r="BA39" i="115" s="1"/>
  <c r="BB39" i="115" s="1"/>
  <c r="Z38" i="63"/>
  <c r="Z37" i="15"/>
  <c r="BD39" i="64"/>
  <c r="BE39" i="64" s="1"/>
  <c r="AV38" i="63"/>
  <c r="AW38" i="63" s="1"/>
  <c r="AQ38" i="63"/>
  <c r="AR38" i="63" s="1"/>
  <c r="AI38" i="63"/>
  <c r="AC38" i="63"/>
  <c r="I40" i="101"/>
  <c r="K39" i="101"/>
  <c r="AH39" i="101" s="1"/>
  <c r="AC37" i="15"/>
  <c r="AQ38" i="98"/>
  <c r="AR38" i="98" s="1"/>
  <c r="Z38" i="96"/>
  <c r="AV38" i="96"/>
  <c r="AW38" i="96" s="1"/>
  <c r="W38" i="96"/>
  <c r="AI38" i="96"/>
  <c r="AF38" i="96"/>
  <c r="BR38" i="114"/>
  <c r="AW38" i="114"/>
  <c r="AC38" i="114"/>
  <c r="Z36" i="17"/>
  <c r="BG36" i="17"/>
  <c r="BH36" i="17" s="1"/>
  <c r="AO36" i="17"/>
  <c r="AC36" i="17"/>
  <c r="M39" i="126"/>
  <c r="BN39" i="126"/>
  <c r="BO39" i="126" s="1"/>
  <c r="BJ39" i="126"/>
  <c r="BL39" i="126" s="1"/>
  <c r="V39" i="126"/>
  <c r="BK39" i="126"/>
  <c r="AY39" i="126"/>
  <c r="BG39" i="126" s="1"/>
  <c r="AB39" i="126"/>
  <c r="AK39" i="126"/>
  <c r="AT39" i="126"/>
  <c r="BD39" i="126" s="1"/>
  <c r="AN39" i="126"/>
  <c r="AE39" i="126"/>
  <c r="BQ39" i="126"/>
  <c r="R39" i="126"/>
  <c r="T39" i="126" s="1"/>
  <c r="Y39" i="126" s="1"/>
  <c r="K40" i="126"/>
  <c r="AH43" i="126" s="1"/>
  <c r="AQ38" i="126"/>
  <c r="AR38" i="126" s="1"/>
  <c r="AI38" i="126"/>
  <c r="W38" i="126"/>
  <c r="AO39" i="135"/>
  <c r="W39" i="135"/>
  <c r="AL37" i="101"/>
  <c r="AI37" i="101"/>
  <c r="W37" i="101"/>
  <c r="I43" i="104"/>
  <c r="BH36" i="120"/>
  <c r="AB37" i="120"/>
  <c r="AE37" i="120"/>
  <c r="K38" i="120"/>
  <c r="AH37" i="120"/>
  <c r="V37" i="120"/>
  <c r="BN37" i="120"/>
  <c r="BO37" i="120" s="1"/>
  <c r="BQ37" i="120"/>
  <c r="M37" i="120"/>
  <c r="AC37" i="120" s="1"/>
  <c r="AN37" i="120"/>
  <c r="AK37" i="120"/>
  <c r="R37" i="120"/>
  <c r="T37" i="120" s="1"/>
  <c r="Y37" i="120" s="1"/>
  <c r="M38" i="118"/>
  <c r="K39" i="118"/>
  <c r="AB38" i="118"/>
  <c r="BN38" i="118"/>
  <c r="BO38" i="118" s="1"/>
  <c r="V38" i="118"/>
  <c r="AY38" i="118"/>
  <c r="BA38" i="118" s="1"/>
  <c r="AH38" i="118"/>
  <c r="AE38" i="118"/>
  <c r="AK38" i="118"/>
  <c r="AN38" i="118"/>
  <c r="BQ38" i="118"/>
  <c r="AT38" i="118"/>
  <c r="BD38" i="118" s="1"/>
  <c r="M39" i="110"/>
  <c r="BK39" i="110"/>
  <c r="BJ39" i="110"/>
  <c r="BL39" i="110" s="1"/>
  <c r="BN39" i="110"/>
  <c r="BO39" i="110" s="1"/>
  <c r="V39" i="110"/>
  <c r="AK39" i="110"/>
  <c r="AN39" i="110"/>
  <c r="AY39" i="110"/>
  <c r="BA39" i="110" s="1"/>
  <c r="AH39" i="110"/>
  <c r="AB39" i="110"/>
  <c r="AT39" i="110"/>
  <c r="BD39" i="110" s="1"/>
  <c r="AE39" i="110"/>
  <c r="BQ39" i="110"/>
  <c r="I46" i="132"/>
  <c r="AF36" i="66"/>
  <c r="BK41" i="105"/>
  <c r="M41" i="105"/>
  <c r="BN41" i="105"/>
  <c r="BO41" i="105" s="1"/>
  <c r="BJ41" i="105"/>
  <c r="BL41" i="105" s="1"/>
  <c r="BQ41" i="105"/>
  <c r="BR41" i="105" s="1"/>
  <c r="R41" i="105"/>
  <c r="T41" i="105" s="1"/>
  <c r="AK41" i="105"/>
  <c r="AL41" i="105" s="1"/>
  <c r="AH41" i="105"/>
  <c r="AI41" i="105" s="1"/>
  <c r="Y41" i="105"/>
  <c r="Z41" i="105" s="1"/>
  <c r="AQ41" i="105"/>
  <c r="AR41" i="105" s="1"/>
  <c r="AY41" i="105"/>
  <c r="BA41" i="105"/>
  <c r="BB41" i="105" s="1"/>
  <c r="AE41" i="105"/>
  <c r="AF41" i="105" s="1"/>
  <c r="P41" i="105"/>
  <c r="AB41" i="105"/>
  <c r="AC41" i="105" s="1"/>
  <c r="V41" i="105"/>
  <c r="W41" i="105" s="1"/>
  <c r="AN41" i="105"/>
  <c r="AO41" i="105" s="1"/>
  <c r="AV41" i="105"/>
  <c r="AW41" i="105" s="1"/>
  <c r="O41" i="105"/>
  <c r="BD41" i="105"/>
  <c r="BE41" i="105" s="1"/>
  <c r="AT41" i="105"/>
  <c r="BG41" i="105"/>
  <c r="BH41" i="105" s="1"/>
  <c r="K42" i="105"/>
  <c r="I43" i="15"/>
  <c r="I54" i="133"/>
  <c r="I41" i="115"/>
  <c r="K40" i="115"/>
  <c r="R40" i="115" s="1"/>
  <c r="BR38" i="110"/>
  <c r="AF38" i="110"/>
  <c r="M38" i="101"/>
  <c r="AI38" i="101" s="1"/>
  <c r="AN38" i="101"/>
  <c r="V38" i="101"/>
  <c r="BQ38" i="101"/>
  <c r="AT38" i="101"/>
  <c r="BD38" i="101" s="1"/>
  <c r="AB38" i="101"/>
  <c r="AE38" i="101"/>
  <c r="AY38" i="101"/>
  <c r="BG38" i="101" s="1"/>
  <c r="AK38" i="101"/>
  <c r="R38" i="101"/>
  <c r="T38" i="101" s="1"/>
  <c r="Y38" i="101" s="1"/>
  <c r="K38" i="66"/>
  <c r="I39" i="66"/>
  <c r="M43" i="124"/>
  <c r="K44" i="124"/>
  <c r="AH44" i="124" s="1"/>
  <c r="BJ43" i="124"/>
  <c r="BL43" i="124" s="1"/>
  <c r="BK43" i="124"/>
  <c r="BN43" i="124"/>
  <c r="BO43" i="124" s="1"/>
  <c r="AE43" i="124"/>
  <c r="AB43" i="124"/>
  <c r="V43" i="124"/>
  <c r="AT43" i="124"/>
  <c r="BD43" i="124" s="1"/>
  <c r="AY43" i="124"/>
  <c r="BA43" i="124" s="1"/>
  <c r="BQ43" i="124"/>
  <c r="I45" i="136"/>
  <c r="R38" i="98"/>
  <c r="T37" i="98"/>
  <c r="Y37" i="98" s="1"/>
  <c r="Z37" i="98" s="1"/>
  <c r="W39" i="64"/>
  <c r="AF39" i="64"/>
  <c r="Z36" i="13"/>
  <c r="AQ36" i="13"/>
  <c r="AR36" i="13" s="1"/>
  <c r="AC36" i="13"/>
  <c r="BR36" i="13"/>
  <c r="BR38" i="63"/>
  <c r="W38" i="63"/>
  <c r="AO38" i="63"/>
  <c r="BL38" i="15"/>
  <c r="BN38" i="15"/>
  <c r="BO38" i="15" s="1"/>
  <c r="M38" i="15"/>
  <c r="V38" i="15"/>
  <c r="BQ38" i="15"/>
  <c r="AK38" i="15"/>
  <c r="AN38" i="15"/>
  <c r="AH38" i="15"/>
  <c r="AB38" i="15"/>
  <c r="AE38" i="15"/>
  <c r="K39" i="15"/>
  <c r="AF37" i="15"/>
  <c r="BR37" i="15"/>
  <c r="AQ38" i="96"/>
  <c r="AR38" i="96" s="1"/>
  <c r="AL38" i="96"/>
  <c r="AO38" i="96"/>
  <c r="Z38" i="114"/>
  <c r="BD38" i="114"/>
  <c r="BE38" i="114" s="1"/>
  <c r="AF38" i="114"/>
  <c r="BB38" i="114"/>
  <c r="AI36" i="17"/>
  <c r="W36" i="17"/>
  <c r="BB38" i="126"/>
  <c r="AC38" i="126"/>
  <c r="AL38" i="126"/>
  <c r="M39" i="96"/>
  <c r="AB39" i="96"/>
  <c r="AK39" i="96"/>
  <c r="BG39" i="96"/>
  <c r="BN39" i="96"/>
  <c r="BO39" i="96" s="1"/>
  <c r="AT39" i="96"/>
  <c r="BD39" i="96" s="1"/>
  <c r="BL39" i="96"/>
  <c r="AH39" i="96"/>
  <c r="AE39" i="96"/>
  <c r="V39" i="96"/>
  <c r="AN39" i="96"/>
  <c r="BQ39" i="96"/>
  <c r="BA39" i="96"/>
  <c r="R39" i="96"/>
  <c r="T39" i="96" s="1"/>
  <c r="Y39" i="96" s="1"/>
  <c r="AQ39" i="135"/>
  <c r="AR39" i="135" s="1"/>
  <c r="AL39" i="135"/>
  <c r="AC39" i="135"/>
  <c r="I95" i="99"/>
  <c r="AO36" i="120"/>
  <c r="AI36" i="120"/>
  <c r="BD37" i="118"/>
  <c r="BE37" i="118" s="1"/>
  <c r="I41" i="110"/>
  <c r="K40" i="110"/>
  <c r="Z36" i="66"/>
  <c r="AQ36" i="66"/>
  <c r="AR36" i="66" s="1"/>
  <c r="AL36" i="66"/>
  <c r="M40" i="135"/>
  <c r="AK40" i="135"/>
  <c r="BN40" i="135"/>
  <c r="BO40" i="135" s="1"/>
  <c r="AB40" i="135"/>
  <c r="AN40" i="135"/>
  <c r="AH40" i="135"/>
  <c r="AE40" i="135"/>
  <c r="V40" i="135"/>
  <c r="AY40" i="135"/>
  <c r="BA40" i="135" s="1"/>
  <c r="BL40" i="135"/>
  <c r="BQ40" i="135"/>
  <c r="AT40" i="135"/>
  <c r="AV40" i="135" s="1"/>
  <c r="R40" i="135"/>
  <c r="T40" i="135" s="1"/>
  <c r="Y40" i="135" s="1"/>
  <c r="BA38" i="110"/>
  <c r="BB38" i="110" s="1"/>
  <c r="AC38" i="110"/>
  <c r="AO38" i="110"/>
  <c r="BL37" i="17"/>
  <c r="BN37" i="17"/>
  <c r="BO37" i="17" s="1"/>
  <c r="AB37" i="17"/>
  <c r="M37" i="17"/>
  <c r="AK37" i="17"/>
  <c r="AH37" i="17"/>
  <c r="AE37" i="17"/>
  <c r="AN37" i="17"/>
  <c r="V37" i="17"/>
  <c r="BQ37" i="17"/>
  <c r="R37" i="17"/>
  <c r="T37" i="17" s="1"/>
  <c r="Y37" i="17" s="1"/>
  <c r="I48" i="95"/>
  <c r="K38" i="13"/>
  <c r="I39" i="13"/>
  <c r="V40" i="64"/>
  <c r="M40" i="64"/>
  <c r="AB40" i="64"/>
  <c r="AY40" i="64"/>
  <c r="BG40" i="64" s="1"/>
  <c r="BN40" i="64"/>
  <c r="BO40" i="64" s="1"/>
  <c r="BL40" i="64"/>
  <c r="AK40" i="64"/>
  <c r="BQ40" i="64"/>
  <c r="AE40" i="64"/>
  <c r="AN40" i="64"/>
  <c r="AH40" i="64"/>
  <c r="AT40" i="64"/>
  <c r="AV40" i="64" s="1"/>
  <c r="K41" i="64"/>
  <c r="R40" i="64"/>
  <c r="T40" i="64" s="1"/>
  <c r="Y40" i="64" s="1"/>
  <c r="AF38" i="63"/>
  <c r="I44" i="126"/>
  <c r="AQ37" i="15"/>
  <c r="AR37" i="15" s="1"/>
  <c r="AL37" i="15"/>
  <c r="W37" i="15"/>
  <c r="I45" i="114"/>
  <c r="BK39" i="114"/>
  <c r="BN39" i="114"/>
  <c r="BO39" i="114" s="1"/>
  <c r="BJ39" i="114"/>
  <c r="BL39" i="114" s="1"/>
  <c r="M39" i="114"/>
  <c r="V39" i="114"/>
  <c r="AY39" i="114"/>
  <c r="BA39" i="114" s="1"/>
  <c r="AN39" i="114"/>
  <c r="AE39" i="114"/>
  <c r="AB39" i="114"/>
  <c r="AH39" i="114"/>
  <c r="AK39" i="114"/>
  <c r="AT39" i="114"/>
  <c r="AV39" i="114" s="1"/>
  <c r="AW39" i="114" s="1"/>
  <c r="BQ39" i="114"/>
  <c r="K40" i="114"/>
  <c r="R39" i="114"/>
  <c r="T39" i="114" s="1"/>
  <c r="Y39" i="114" s="1"/>
  <c r="AQ38" i="114"/>
  <c r="AR38" i="114" s="1"/>
  <c r="AL38" i="114"/>
  <c r="W38" i="114"/>
  <c r="AV38" i="126"/>
  <c r="AW38" i="126" s="1"/>
  <c r="K40" i="96"/>
  <c r="I41" i="96"/>
  <c r="Z39" i="135"/>
  <c r="AF39" i="135"/>
  <c r="AB37" i="66"/>
  <c r="BN37" i="66"/>
  <c r="BO37" i="66" s="1"/>
  <c r="M37" i="66"/>
  <c r="AK37" i="66"/>
  <c r="BL37" i="66"/>
  <c r="AY37" i="66"/>
  <c r="BG37" i="66" s="1"/>
  <c r="V37" i="66"/>
  <c r="AE37" i="66"/>
  <c r="AN37" i="66"/>
  <c r="AH37" i="66"/>
  <c r="BQ37" i="66"/>
  <c r="AT37" i="66"/>
  <c r="BD37" i="66" s="1"/>
  <c r="R37" i="66"/>
  <c r="T37" i="66" s="1"/>
  <c r="Y37" i="66" s="1"/>
  <c r="BL37" i="13"/>
  <c r="M37" i="13"/>
  <c r="BN37" i="13"/>
  <c r="BO37" i="13" s="1"/>
  <c r="BQ37" i="13"/>
  <c r="AH37" i="13"/>
  <c r="AK37" i="13"/>
  <c r="AN37" i="13"/>
  <c r="V37" i="13"/>
  <c r="AB37" i="13"/>
  <c r="AE37" i="13"/>
  <c r="R37" i="13"/>
  <c r="T37" i="13" s="1"/>
  <c r="Y37" i="13" s="1"/>
  <c r="I44" i="63"/>
  <c r="W36" i="66"/>
  <c r="I45" i="64"/>
  <c r="I46" i="105"/>
  <c r="I42" i="135"/>
  <c r="K41" i="135"/>
  <c r="AQ38" i="110"/>
  <c r="AR38" i="110" s="1"/>
  <c r="I39" i="17"/>
  <c r="K38" i="17"/>
  <c r="T38" i="107"/>
  <c r="Y38" i="107" s="1"/>
  <c r="Z38" i="107" s="1"/>
  <c r="R39" i="107"/>
  <c r="T39" i="107" s="1"/>
  <c r="Y39" i="107" s="1"/>
  <c r="Z39" i="107" s="1"/>
  <c r="W23" i="95"/>
  <c r="O24" i="95"/>
  <c r="T38" i="105"/>
  <c r="Y38" i="105" s="1"/>
  <c r="Z38" i="105" s="1"/>
  <c r="R39" i="105"/>
  <c r="T39" i="105" s="1"/>
  <c r="Y39" i="105" s="1"/>
  <c r="Z39" i="105" s="1"/>
  <c r="T38" i="104"/>
  <c r="Y38" i="104" s="1"/>
  <c r="Z38" i="104" s="1"/>
  <c r="R39" i="15"/>
  <c r="T38" i="15"/>
  <c r="Y38" i="15" s="1"/>
  <c r="T38" i="136"/>
  <c r="Y38" i="136" s="1"/>
  <c r="Z38" i="136" s="1"/>
  <c r="R39" i="136"/>
  <c r="O28" i="124"/>
  <c r="T40" i="124"/>
  <c r="Y40" i="124" s="1"/>
  <c r="Z40" i="124" s="1"/>
  <c r="R41" i="124"/>
  <c r="T39" i="63"/>
  <c r="Y39" i="63" s="1"/>
  <c r="R40" i="63"/>
  <c r="P23" i="98"/>
  <c r="V24" i="115"/>
  <c r="V25" i="101"/>
  <c r="V24" i="66"/>
  <c r="V22" i="99"/>
  <c r="V28" i="124"/>
  <c r="W28" i="124" s="1"/>
  <c r="P29" i="124"/>
  <c r="V23" i="130"/>
  <c r="P24" i="126"/>
  <c r="P23" i="107"/>
  <c r="O25" i="129"/>
  <c r="W24" i="129"/>
  <c r="T37" i="99"/>
  <c r="Y37" i="99" s="1"/>
  <c r="Z37" i="99" s="1"/>
  <c r="R38" i="99"/>
  <c r="W23" i="13"/>
  <c r="O24" i="13"/>
  <c r="W24" i="114"/>
  <c r="O25" i="114"/>
  <c r="P25" i="114" s="1"/>
  <c r="V24" i="106"/>
  <c r="P22" i="105"/>
  <c r="W22" i="120"/>
  <c r="O23" i="120"/>
  <c r="V23" i="118"/>
  <c r="R39" i="118"/>
  <c r="T38" i="118"/>
  <c r="Y38" i="118" s="1"/>
  <c r="P24" i="17"/>
  <c r="P24" i="110"/>
  <c r="P23" i="63"/>
  <c r="T39" i="115"/>
  <c r="Y39" i="115" s="1"/>
  <c r="Z39" i="115" s="1"/>
  <c r="W23" i="15"/>
  <c r="O24" i="15"/>
  <c r="P27" i="64"/>
  <c r="V26" i="64"/>
  <c r="W26" i="64" s="1"/>
  <c r="V24" i="104"/>
  <c r="W24" i="96"/>
  <c r="O25" i="96"/>
  <c r="W22" i="136"/>
  <c r="O23" i="136"/>
  <c r="W25" i="64"/>
  <c r="O26" i="64"/>
  <c r="W22" i="135"/>
  <c r="O23" i="135"/>
  <c r="W22" i="112"/>
  <c r="O23" i="112"/>
  <c r="AO40" i="135" l="1"/>
  <c r="AF39" i="114"/>
  <c r="BB40" i="135"/>
  <c r="AL39" i="63"/>
  <c r="BB39" i="63"/>
  <c r="BE38" i="101"/>
  <c r="AL39" i="130"/>
  <c r="AO39" i="115"/>
  <c r="AI39" i="110"/>
  <c r="AL38" i="118"/>
  <c r="AC40" i="99"/>
  <c r="BB39" i="96"/>
  <c r="BR38" i="106"/>
  <c r="BH38" i="106"/>
  <c r="AC38" i="104"/>
  <c r="AI38" i="106"/>
  <c r="W39" i="110"/>
  <c r="W38" i="118"/>
  <c r="AF43" i="156"/>
  <c r="Z38" i="112"/>
  <c r="BE39" i="129"/>
  <c r="AW38" i="106"/>
  <c r="W38" i="106"/>
  <c r="AI38" i="104"/>
  <c r="BE38" i="104"/>
  <c r="AY37" i="13"/>
  <c r="BA37" i="13" s="1"/>
  <c r="AY37" i="120"/>
  <c r="BA37" i="120" s="1"/>
  <c r="R41" i="132"/>
  <c r="T41" i="132" s="1"/>
  <c r="P41" i="132"/>
  <c r="Y41" i="132"/>
  <c r="Z41" i="132" s="1"/>
  <c r="BN41" i="132"/>
  <c r="BO41" i="132" s="1"/>
  <c r="AQ41" i="132"/>
  <c r="AR41" i="132" s="1"/>
  <c r="BD41" i="132"/>
  <c r="BE41" i="132" s="1"/>
  <c r="BL41" i="132"/>
  <c r="K42" i="132"/>
  <c r="AB41" i="132"/>
  <c r="AC41" i="132" s="1"/>
  <c r="AK41" i="132"/>
  <c r="AL41" i="132" s="1"/>
  <c r="AY41" i="132"/>
  <c r="AT41" i="132"/>
  <c r="AE41" i="132"/>
  <c r="AF41" i="132" s="1"/>
  <c r="AV41" i="132"/>
  <c r="AW41" i="132" s="1"/>
  <c r="M41" i="132"/>
  <c r="AN41" i="132"/>
  <c r="AO41" i="132" s="1"/>
  <c r="BG41" i="132"/>
  <c r="BH41" i="132" s="1"/>
  <c r="BA41" i="132"/>
  <c r="BB41" i="132" s="1"/>
  <c r="BQ41" i="132"/>
  <c r="BR41" i="132" s="1"/>
  <c r="AH41" i="132"/>
  <c r="AI41" i="132" s="1"/>
  <c r="O41" i="132"/>
  <c r="V41" i="132"/>
  <c r="W41" i="132" s="1"/>
  <c r="AY37" i="150"/>
  <c r="K42" i="99"/>
  <c r="BJ41" i="99"/>
  <c r="BL41" i="99" s="1"/>
  <c r="BQ41" i="99"/>
  <c r="BR41" i="99" s="1"/>
  <c r="AT41" i="99"/>
  <c r="BD41" i="99" s="1"/>
  <c r="BE41" i="99" s="1"/>
  <c r="AK41" i="99"/>
  <c r="AL41" i="99" s="1"/>
  <c r="V41" i="99"/>
  <c r="W41" i="99" s="1"/>
  <c r="BN41" i="99"/>
  <c r="BO41" i="99" s="1"/>
  <c r="AB41" i="99"/>
  <c r="AC41" i="99" s="1"/>
  <c r="AE41" i="99"/>
  <c r="AF41" i="99" s="1"/>
  <c r="AY41" i="99"/>
  <c r="BA41" i="99" s="1"/>
  <c r="BB41" i="99" s="1"/>
  <c r="AH41" i="99"/>
  <c r="AI41" i="99" s="1"/>
  <c r="M41" i="99"/>
  <c r="BK41" i="99"/>
  <c r="AN41" i="99"/>
  <c r="AO41" i="99" s="1"/>
  <c r="AY37" i="153"/>
  <c r="BG37" i="153" s="1"/>
  <c r="BH37" i="153" s="1"/>
  <c r="AL38" i="104"/>
  <c r="BB37" i="95"/>
  <c r="AW37" i="95"/>
  <c r="R43" i="107"/>
  <c r="T43" i="107" s="1"/>
  <c r="AN43" i="107"/>
  <c r="AO43" i="107" s="1"/>
  <c r="BQ43" i="107"/>
  <c r="BR43" i="107" s="1"/>
  <c r="V43" i="107"/>
  <c r="W43" i="107" s="1"/>
  <c r="BK43" i="107"/>
  <c r="O43" i="107"/>
  <c r="AE43" i="107"/>
  <c r="AF43" i="107" s="1"/>
  <c r="AT43" i="107"/>
  <c r="BJ43" i="107"/>
  <c r="BL43" i="107" s="1"/>
  <c r="BG43" i="107"/>
  <c r="BH43" i="107" s="1"/>
  <c r="BA43" i="107"/>
  <c r="BB43" i="107" s="1"/>
  <c r="M43" i="107"/>
  <c r="Y43" i="107"/>
  <c r="Z43" i="107" s="1"/>
  <c r="AY43" i="107"/>
  <c r="AV43" i="107"/>
  <c r="AW43" i="107" s="1"/>
  <c r="AH43" i="107"/>
  <c r="AI43" i="107" s="1"/>
  <c r="AQ43" i="107"/>
  <c r="AR43" i="107" s="1"/>
  <c r="P43" i="107"/>
  <c r="BN43" i="107"/>
  <c r="BO43" i="107" s="1"/>
  <c r="BD43" i="107"/>
  <c r="BE43" i="107" s="1"/>
  <c r="AB43" i="107"/>
  <c r="AC43" i="107" s="1"/>
  <c r="AK43" i="107"/>
  <c r="AL43" i="107" s="1"/>
  <c r="AY37" i="152"/>
  <c r="BG37" i="152" s="1"/>
  <c r="BH37" i="152" s="1"/>
  <c r="Z38" i="106"/>
  <c r="BR38" i="104"/>
  <c r="I45" i="107"/>
  <c r="K44" i="107"/>
  <c r="AY37" i="17"/>
  <c r="BA37" i="17" s="1"/>
  <c r="BB37" i="17" s="1"/>
  <c r="W39" i="115"/>
  <c r="AY37" i="130"/>
  <c r="BG37" i="130" s="1"/>
  <c r="BH37" i="130" s="1"/>
  <c r="W43" i="156"/>
  <c r="AL38" i="106"/>
  <c r="W38" i="104"/>
  <c r="AO38" i="104"/>
  <c r="AF38" i="104"/>
  <c r="BD31" i="15"/>
  <c r="BE31" i="15" s="1"/>
  <c r="AF38" i="15"/>
  <c r="AL38" i="15"/>
  <c r="AI39" i="129"/>
  <c r="BB43" i="124"/>
  <c r="W44" i="153"/>
  <c r="BR39" i="130"/>
  <c r="AF38" i="112"/>
  <c r="AO38" i="112"/>
  <c r="BH39" i="129"/>
  <c r="W39" i="129"/>
  <c r="AQ37" i="95"/>
  <c r="AR37" i="95" s="1"/>
  <c r="R36" i="156"/>
  <c r="T35" i="156"/>
  <c r="Y35" i="156" s="1"/>
  <c r="Z35" i="156" s="1"/>
  <c r="AC39" i="130"/>
  <c r="W21" i="156"/>
  <c r="O22" i="156"/>
  <c r="Z39" i="130"/>
  <c r="AL43" i="156"/>
  <c r="W38" i="112"/>
  <c r="BR39" i="129"/>
  <c r="AC38" i="106"/>
  <c r="AQ38" i="104"/>
  <c r="AR38" i="104" s="1"/>
  <c r="BB38" i="104"/>
  <c r="K75" i="161"/>
  <c r="BQ75" i="161" s="1"/>
  <c r="I76" i="161"/>
  <c r="BD74" i="161"/>
  <c r="BE74" i="161" s="1"/>
  <c r="AQ74" i="161"/>
  <c r="AR74" i="161" s="1"/>
  <c r="AK74" i="161"/>
  <c r="AL74" i="161" s="1"/>
  <c r="AE74" i="161"/>
  <c r="AF74" i="161" s="1"/>
  <c r="Y74" i="161"/>
  <c r="Z74" i="161" s="1"/>
  <c r="R74" i="161"/>
  <c r="T74" i="161" s="1"/>
  <c r="AV74" i="161"/>
  <c r="AW74" i="161" s="1"/>
  <c r="P74" i="161"/>
  <c r="BG74" i="161"/>
  <c r="BH74" i="161" s="1"/>
  <c r="BA74" i="161"/>
  <c r="BB74" i="161" s="1"/>
  <c r="AT74" i="161"/>
  <c r="AN74" i="161"/>
  <c r="AO74" i="161" s="1"/>
  <c r="AH74" i="161"/>
  <c r="AI74" i="161" s="1"/>
  <c r="AB74" i="161"/>
  <c r="AC74" i="161" s="1"/>
  <c r="V74" i="161"/>
  <c r="W74" i="161" s="1"/>
  <c r="O74" i="161"/>
  <c r="AY74" i="161"/>
  <c r="BR74" i="161"/>
  <c r="BN74" i="161"/>
  <c r="BO74" i="161" s="1"/>
  <c r="M74" i="161"/>
  <c r="BJ74" i="161"/>
  <c r="BL74" i="161" s="1"/>
  <c r="BK74" i="161"/>
  <c r="AV38" i="104"/>
  <c r="AW38" i="104" s="1"/>
  <c r="AI37" i="13"/>
  <c r="W37" i="66"/>
  <c r="AO37" i="17"/>
  <c r="AF39" i="96"/>
  <c r="AI39" i="98"/>
  <c r="AF44" i="155"/>
  <c r="AO39" i="130"/>
  <c r="W39" i="130"/>
  <c r="BR43" i="156"/>
  <c r="AC43" i="156"/>
  <c r="AQ39" i="129"/>
  <c r="AR39" i="129" s="1"/>
  <c r="AO39" i="129"/>
  <c r="BA38" i="106"/>
  <c r="BB38" i="106" s="1"/>
  <c r="AO37" i="95"/>
  <c r="BH37" i="95"/>
  <c r="W39" i="98"/>
  <c r="AO43" i="156"/>
  <c r="BK39" i="112"/>
  <c r="V39" i="112"/>
  <c r="BQ39" i="112"/>
  <c r="AK39" i="112"/>
  <c r="BJ39" i="112"/>
  <c r="BL39" i="112" s="1"/>
  <c r="AH39" i="112"/>
  <c r="R39" i="112"/>
  <c r="T39" i="112" s="1"/>
  <c r="Y39" i="112" s="1"/>
  <c r="M39" i="112"/>
  <c r="K40" i="112"/>
  <c r="AE39" i="112"/>
  <c r="AB39" i="112"/>
  <c r="BN39" i="112"/>
  <c r="BO39" i="112" s="1"/>
  <c r="AY39" i="112"/>
  <c r="AN39" i="112"/>
  <c r="AT39" i="112"/>
  <c r="AC38" i="112"/>
  <c r="BA39" i="129"/>
  <c r="BB39" i="129" s="1"/>
  <c r="AF39" i="129"/>
  <c r="AQ38" i="106"/>
  <c r="AR38" i="106" s="1"/>
  <c r="AF38" i="106"/>
  <c r="BJ39" i="104"/>
  <c r="BL39" i="104" s="1"/>
  <c r="AN39" i="104"/>
  <c r="AB39" i="104"/>
  <c r="V39" i="104"/>
  <c r="BK39" i="104"/>
  <c r="AK39" i="104"/>
  <c r="K40" i="104"/>
  <c r="M39" i="104"/>
  <c r="Z39" i="104" s="1"/>
  <c r="AE39" i="104"/>
  <c r="AT39" i="104"/>
  <c r="BD39" i="104" s="1"/>
  <c r="BN39" i="104"/>
  <c r="BO39" i="104" s="1"/>
  <c r="BQ39" i="104"/>
  <c r="AY39" i="104"/>
  <c r="BA39" i="104" s="1"/>
  <c r="AH39" i="104"/>
  <c r="Z37" i="95"/>
  <c r="AF37" i="95"/>
  <c r="AC37" i="13"/>
  <c r="AC41" i="136"/>
  <c r="I46" i="106"/>
  <c r="AV39" i="129"/>
  <c r="AW39" i="129" s="1"/>
  <c r="AC39" i="129"/>
  <c r="BG38" i="104"/>
  <c r="BH38" i="104" s="1"/>
  <c r="BR37" i="95"/>
  <c r="W37" i="95"/>
  <c r="BQ42" i="133"/>
  <c r="BR42" i="133" s="1"/>
  <c r="BD42" i="133"/>
  <c r="BE42" i="133" s="1"/>
  <c r="AN42" i="133"/>
  <c r="AO42" i="133" s="1"/>
  <c r="R42" i="133"/>
  <c r="T42" i="133" s="1"/>
  <c r="AB42" i="133"/>
  <c r="AC42" i="133" s="1"/>
  <c r="AT42" i="133"/>
  <c r="BL42" i="133"/>
  <c r="AQ42" i="133"/>
  <c r="AR42" i="133" s="1"/>
  <c r="AK42" i="133"/>
  <c r="AL42" i="133" s="1"/>
  <c r="Y42" i="133"/>
  <c r="Z42" i="133" s="1"/>
  <c r="BN42" i="133"/>
  <c r="BO42" i="133" s="1"/>
  <c r="AY42" i="133"/>
  <c r="BG42" i="133"/>
  <c r="BH42" i="133" s="1"/>
  <c r="BA42" i="133"/>
  <c r="BB42" i="133" s="1"/>
  <c r="M42" i="133"/>
  <c r="AH42" i="133"/>
  <c r="AI42" i="133" s="1"/>
  <c r="V42" i="133"/>
  <c r="W42" i="133" s="1"/>
  <c r="P42" i="133"/>
  <c r="O42" i="133"/>
  <c r="AE42" i="133"/>
  <c r="AF42" i="133" s="1"/>
  <c r="AV42" i="133"/>
  <c r="AW42" i="133" s="1"/>
  <c r="K43" i="133"/>
  <c r="AO40" i="64"/>
  <c r="AL39" i="98"/>
  <c r="W39" i="63"/>
  <c r="AF39" i="130"/>
  <c r="BA38" i="112"/>
  <c r="BB38" i="112" s="1"/>
  <c r="BG38" i="112"/>
  <c r="BH38" i="112" s="1"/>
  <c r="Z39" i="129"/>
  <c r="AL39" i="129"/>
  <c r="AK40" i="129"/>
  <c r="AB40" i="129"/>
  <c r="V40" i="129"/>
  <c r="BL40" i="129"/>
  <c r="K41" i="129"/>
  <c r="AH40" i="129"/>
  <c r="M40" i="129"/>
  <c r="AN40" i="129"/>
  <c r="BN40" i="129"/>
  <c r="BO40" i="129" s="1"/>
  <c r="BQ40" i="129"/>
  <c r="AE40" i="129"/>
  <c r="AY40" i="129"/>
  <c r="BG40" i="129" s="1"/>
  <c r="AT40" i="129"/>
  <c r="BD40" i="129" s="1"/>
  <c r="R40" i="129"/>
  <c r="T40" i="129" s="1"/>
  <c r="Y40" i="129" s="1"/>
  <c r="BD38" i="106"/>
  <c r="BE38" i="106" s="1"/>
  <c r="AO38" i="106"/>
  <c r="BD37" i="95"/>
  <c r="BE37" i="95" s="1"/>
  <c r="AL37" i="95"/>
  <c r="AC37" i="95"/>
  <c r="AI41" i="136"/>
  <c r="AC39" i="98"/>
  <c r="K45" i="156"/>
  <c r="I46" i="156"/>
  <c r="AQ43" i="156"/>
  <c r="AR43" i="156" s="1"/>
  <c r="AI43" i="156"/>
  <c r="AV38" i="112"/>
  <c r="AW38" i="112" s="1"/>
  <c r="BD38" i="112"/>
  <c r="BE38" i="112" s="1"/>
  <c r="AI38" i="112"/>
  <c r="AQ38" i="112"/>
  <c r="AR38" i="112" s="1"/>
  <c r="K40" i="106"/>
  <c r="BN39" i="106"/>
  <c r="BO39" i="106" s="1"/>
  <c r="BK39" i="106"/>
  <c r="BJ39" i="106"/>
  <c r="BL39" i="106" s="1"/>
  <c r="AE39" i="106"/>
  <c r="M39" i="106"/>
  <c r="AY39" i="106"/>
  <c r="BA39" i="106" s="1"/>
  <c r="AN39" i="106"/>
  <c r="AK39" i="106"/>
  <c r="AT39" i="106"/>
  <c r="AV39" i="106" s="1"/>
  <c r="AB39" i="106"/>
  <c r="AH39" i="106"/>
  <c r="V39" i="106"/>
  <c r="BQ39" i="106"/>
  <c r="R39" i="106"/>
  <c r="T39" i="106" s="1"/>
  <c r="Y39" i="106" s="1"/>
  <c r="AI37" i="95"/>
  <c r="V44" i="156"/>
  <c r="AE44" i="156"/>
  <c r="AB44" i="156"/>
  <c r="AK44" i="156"/>
  <c r="AH44" i="156"/>
  <c r="BQ44" i="156"/>
  <c r="AN44" i="156"/>
  <c r="M44" i="156"/>
  <c r="BL44" i="156"/>
  <c r="BN44" i="156"/>
  <c r="BO44" i="156" s="1"/>
  <c r="BN38" i="95"/>
  <c r="BO38" i="95" s="1"/>
  <c r="AT38" i="95"/>
  <c r="AV38" i="95" s="1"/>
  <c r="K39" i="95"/>
  <c r="BL38" i="95"/>
  <c r="V38" i="95"/>
  <c r="BG38" i="95"/>
  <c r="AH38" i="95"/>
  <c r="AE38" i="95"/>
  <c r="AN38" i="95"/>
  <c r="AK38" i="95"/>
  <c r="BA38" i="95"/>
  <c r="M38" i="95"/>
  <c r="AB38" i="95"/>
  <c r="BQ38" i="95"/>
  <c r="R38" i="95"/>
  <c r="T38" i="95" s="1"/>
  <c r="Y38" i="95" s="1"/>
  <c r="Z41" i="150"/>
  <c r="AT32" i="150"/>
  <c r="AT32" i="156"/>
  <c r="AI39" i="130"/>
  <c r="AQ39" i="130"/>
  <c r="AR39" i="130" s="1"/>
  <c r="K41" i="130"/>
  <c r="BN40" i="130"/>
  <c r="BO40" i="130" s="1"/>
  <c r="M40" i="130"/>
  <c r="V40" i="130"/>
  <c r="BL40" i="130"/>
  <c r="BQ40" i="130"/>
  <c r="AB40" i="130"/>
  <c r="AK40" i="130"/>
  <c r="AN40" i="130"/>
  <c r="AO40" i="130" s="1"/>
  <c r="AH40" i="130"/>
  <c r="AE40" i="130"/>
  <c r="R40" i="130"/>
  <c r="T40" i="130" s="1"/>
  <c r="Y40" i="130" s="1"/>
  <c r="BA36" i="15"/>
  <c r="BB36" i="15" s="1"/>
  <c r="BG36" i="15"/>
  <c r="BH36" i="15" s="1"/>
  <c r="BA37" i="130"/>
  <c r="BB37" i="130" s="1"/>
  <c r="BA36" i="130"/>
  <c r="BB36" i="130" s="1"/>
  <c r="BG36" i="130"/>
  <c r="BH36" i="130" s="1"/>
  <c r="BG37" i="136"/>
  <c r="BH37" i="136" s="1"/>
  <c r="BA37" i="136"/>
  <c r="BB37" i="136" s="1"/>
  <c r="BA37" i="150"/>
  <c r="BB37" i="150" s="1"/>
  <c r="BG37" i="150"/>
  <c r="BH37" i="150" s="1"/>
  <c r="BA37" i="151"/>
  <c r="BB37" i="151" s="1"/>
  <c r="BG37" i="151"/>
  <c r="BH37" i="151" s="1"/>
  <c r="BG37" i="155"/>
  <c r="BH37" i="155" s="1"/>
  <c r="BA37" i="155"/>
  <c r="BB37" i="155" s="1"/>
  <c r="BA37" i="153"/>
  <c r="BB37" i="153" s="1"/>
  <c r="BA36" i="149"/>
  <c r="BB36" i="149" s="1"/>
  <c r="BG36" i="149"/>
  <c r="BH36" i="149" s="1"/>
  <c r="BA36" i="156"/>
  <c r="BB36" i="156" s="1"/>
  <c r="BG36" i="156"/>
  <c r="BH36" i="156" s="1"/>
  <c r="A42" i="7"/>
  <c r="AY38" i="155" s="1"/>
  <c r="AY37" i="156"/>
  <c r="AY37" i="15"/>
  <c r="AV31" i="156"/>
  <c r="AW31" i="156" s="1"/>
  <c r="BD31" i="156"/>
  <c r="BE31" i="156" s="1"/>
  <c r="AV31" i="150"/>
  <c r="AW31" i="150" s="1"/>
  <c r="BD31" i="150"/>
  <c r="BE31" i="150" s="1"/>
  <c r="AL39" i="126"/>
  <c r="W43" i="149"/>
  <c r="Z37" i="66"/>
  <c r="Z42" i="151"/>
  <c r="V21" i="155"/>
  <c r="Z39" i="96"/>
  <c r="W39" i="96"/>
  <c r="BE39" i="96"/>
  <c r="AO39" i="98"/>
  <c r="AF39" i="98"/>
  <c r="Z43" i="149"/>
  <c r="AC42" i="151"/>
  <c r="Z38" i="15"/>
  <c r="T34" i="155"/>
  <c r="Y34" i="155" s="1"/>
  <c r="Z34" i="155" s="1"/>
  <c r="R35" i="155"/>
  <c r="R40" i="110"/>
  <c r="T40" i="110" s="1"/>
  <c r="Y40" i="110" s="1"/>
  <c r="AO44" i="153"/>
  <c r="AI44" i="153"/>
  <c r="BR44" i="153"/>
  <c r="AC44" i="153"/>
  <c r="Z44" i="153"/>
  <c r="BR44" i="155"/>
  <c r="AO44" i="155"/>
  <c r="AL44" i="155"/>
  <c r="AC44" i="155"/>
  <c r="AQ44" i="155"/>
  <c r="AR44" i="155" s="1"/>
  <c r="AI44" i="155"/>
  <c r="V45" i="155"/>
  <c r="AB45" i="155"/>
  <c r="AH45" i="155"/>
  <c r="AN45" i="155"/>
  <c r="BN45" i="155"/>
  <c r="BO45" i="155" s="1"/>
  <c r="M45" i="155"/>
  <c r="BQ45" i="155"/>
  <c r="AE45" i="155"/>
  <c r="AK45" i="155"/>
  <c r="BL45" i="155"/>
  <c r="W44" i="155"/>
  <c r="K46" i="155"/>
  <c r="I47" i="155"/>
  <c r="BD31" i="120"/>
  <c r="BE31" i="120" s="1"/>
  <c r="AV31" i="120"/>
  <c r="AW31" i="120" s="1"/>
  <c r="AV31" i="136"/>
  <c r="AW31" i="136" s="1"/>
  <c r="BD31" i="136"/>
  <c r="BE31" i="136" s="1"/>
  <c r="AV31" i="17"/>
  <c r="AW31" i="17" s="1"/>
  <c r="BD31" i="17"/>
  <c r="BE31" i="17" s="1"/>
  <c r="BD32" i="15"/>
  <c r="BE32" i="15" s="1"/>
  <c r="AV32" i="15"/>
  <c r="AW32" i="15" s="1"/>
  <c r="AV31" i="13"/>
  <c r="AW31" i="13" s="1"/>
  <c r="BD31" i="13"/>
  <c r="BE31" i="13" s="1"/>
  <c r="A34" i="58"/>
  <c r="AT33" i="15" s="1"/>
  <c r="AT32" i="17"/>
  <c r="AT32" i="13"/>
  <c r="AT32" i="120"/>
  <c r="AT32" i="130"/>
  <c r="AT32" i="136"/>
  <c r="AC44" i="152"/>
  <c r="Z44" i="152"/>
  <c r="AF44" i="153"/>
  <c r="I50" i="153"/>
  <c r="R45" i="153"/>
  <c r="T45" i="153" s="1"/>
  <c r="Y45" i="153" s="1"/>
  <c r="AE45" i="153"/>
  <c r="AK45" i="153"/>
  <c r="M45" i="153"/>
  <c r="BQ45" i="153"/>
  <c r="O45" i="153"/>
  <c r="V45" i="153"/>
  <c r="AB45" i="153"/>
  <c r="AH45" i="153"/>
  <c r="AN45" i="153"/>
  <c r="BN45" i="153"/>
  <c r="BO45" i="153" s="1"/>
  <c r="P45" i="153"/>
  <c r="BL45" i="153"/>
  <c r="K46" i="153"/>
  <c r="AQ44" i="153"/>
  <c r="AR44" i="153" s="1"/>
  <c r="AL44" i="153"/>
  <c r="AQ44" i="152"/>
  <c r="AR44" i="152" s="1"/>
  <c r="BR44" i="152"/>
  <c r="AO44" i="152"/>
  <c r="AI44" i="152"/>
  <c r="AL44" i="152"/>
  <c r="W44" i="152"/>
  <c r="AF44" i="152"/>
  <c r="I54" i="152"/>
  <c r="O45" i="152"/>
  <c r="V45" i="152"/>
  <c r="AB45" i="152"/>
  <c r="AH45" i="152"/>
  <c r="AN45" i="152"/>
  <c r="P45" i="152"/>
  <c r="BN45" i="152"/>
  <c r="BO45" i="152" s="1"/>
  <c r="R45" i="152"/>
  <c r="T45" i="152" s="1"/>
  <c r="Y45" i="152" s="1"/>
  <c r="AE45" i="152"/>
  <c r="AK45" i="152"/>
  <c r="M45" i="152"/>
  <c r="BQ45" i="152"/>
  <c r="BL45" i="152"/>
  <c r="K46" i="152"/>
  <c r="BH42" i="147"/>
  <c r="AI37" i="66"/>
  <c r="BH39" i="98"/>
  <c r="BE39" i="98"/>
  <c r="AF43" i="149"/>
  <c r="T39" i="110"/>
  <c r="Y39" i="110" s="1"/>
  <c r="Z39" i="110" s="1"/>
  <c r="AQ41" i="150"/>
  <c r="AR41" i="150" s="1"/>
  <c r="K44" i="151"/>
  <c r="I45" i="151"/>
  <c r="AF42" i="151"/>
  <c r="AK43" i="151"/>
  <c r="AE43" i="151"/>
  <c r="R43" i="151"/>
  <c r="T43" i="151" s="1"/>
  <c r="Y43" i="151" s="1"/>
  <c r="AN43" i="151"/>
  <c r="AH43" i="151"/>
  <c r="AB43" i="151"/>
  <c r="V43" i="151"/>
  <c r="O43" i="151"/>
  <c r="BQ43" i="151"/>
  <c r="P43" i="151"/>
  <c r="M43" i="151"/>
  <c r="BN43" i="151"/>
  <c r="BO43" i="151" s="1"/>
  <c r="BL43" i="151"/>
  <c r="BR42" i="151"/>
  <c r="AL42" i="151"/>
  <c r="AI42" i="151"/>
  <c r="AQ42" i="151"/>
  <c r="AR42" i="151" s="1"/>
  <c r="W42" i="151"/>
  <c r="AO42" i="151"/>
  <c r="AF41" i="150"/>
  <c r="BR41" i="150"/>
  <c r="AI41" i="150"/>
  <c r="AL41" i="150"/>
  <c r="AO41" i="150"/>
  <c r="W41" i="150"/>
  <c r="AN42" i="150"/>
  <c r="AH42" i="150"/>
  <c r="AB42" i="150"/>
  <c r="V42" i="150"/>
  <c r="O42" i="150"/>
  <c r="BQ42" i="150"/>
  <c r="P42" i="150"/>
  <c r="AK42" i="150"/>
  <c r="AE42" i="150"/>
  <c r="R42" i="150"/>
  <c r="T42" i="150" s="1"/>
  <c r="Y42" i="150" s="1"/>
  <c r="M42" i="150"/>
  <c r="BN42" i="150"/>
  <c r="BO42" i="150" s="1"/>
  <c r="BL42" i="150"/>
  <c r="K43" i="150"/>
  <c r="AC41" i="150"/>
  <c r="I46" i="150"/>
  <c r="AC43" i="149"/>
  <c r="K45" i="149"/>
  <c r="I46" i="149"/>
  <c r="AL43" i="149"/>
  <c r="BR43" i="149"/>
  <c r="AI43" i="149"/>
  <c r="AN44" i="149"/>
  <c r="AH44" i="149"/>
  <c r="AB44" i="149"/>
  <c r="V44" i="149"/>
  <c r="O44" i="149"/>
  <c r="BQ44" i="149"/>
  <c r="AK44" i="149"/>
  <c r="AE44" i="149"/>
  <c r="R44" i="149"/>
  <c r="T44" i="149" s="1"/>
  <c r="Y44" i="149" s="1"/>
  <c r="P44" i="149"/>
  <c r="M44" i="149"/>
  <c r="BN44" i="149"/>
  <c r="BO44" i="149" s="1"/>
  <c r="BL44" i="149"/>
  <c r="AQ43" i="149"/>
  <c r="AR43" i="149" s="1"/>
  <c r="AO43" i="149"/>
  <c r="BA40" i="64"/>
  <c r="BB40" i="64" s="1"/>
  <c r="AW40" i="64"/>
  <c r="BB39" i="110"/>
  <c r="Z39" i="63"/>
  <c r="AI39" i="114"/>
  <c r="BB39" i="114"/>
  <c r="BB38" i="118"/>
  <c r="AQ37" i="120"/>
  <c r="AR37" i="120" s="1"/>
  <c r="BR39" i="63"/>
  <c r="AO39" i="63"/>
  <c r="Z41" i="146"/>
  <c r="W41" i="146"/>
  <c r="AW41" i="146"/>
  <c r="BR42" i="147"/>
  <c r="Z38" i="118"/>
  <c r="AW40" i="135"/>
  <c r="BE38" i="118"/>
  <c r="BH41" i="146"/>
  <c r="Z42" i="147"/>
  <c r="BE42" i="147"/>
  <c r="BR40" i="135"/>
  <c r="AF40" i="135"/>
  <c r="AW39" i="63"/>
  <c r="AV39" i="126"/>
  <c r="AW39" i="126" s="1"/>
  <c r="AV39" i="110"/>
  <c r="AW39" i="110" s="1"/>
  <c r="BA39" i="126"/>
  <c r="BB39" i="126" s="1"/>
  <c r="AT43" i="147"/>
  <c r="BD43" i="147" s="1"/>
  <c r="AB43" i="147"/>
  <c r="V43" i="147"/>
  <c r="AY43" i="147"/>
  <c r="BG43" i="147" s="1"/>
  <c r="R43" i="147"/>
  <c r="T43" i="147" s="1"/>
  <c r="Y43" i="147" s="1"/>
  <c r="BQ43" i="147"/>
  <c r="AE43" i="147"/>
  <c r="BN43" i="147"/>
  <c r="BO43" i="147" s="1"/>
  <c r="BJ43" i="147"/>
  <c r="BL43" i="147" s="1"/>
  <c r="M43" i="147"/>
  <c r="BK43" i="147"/>
  <c r="AF42" i="147"/>
  <c r="W42" i="147"/>
  <c r="AV42" i="147"/>
  <c r="AW42" i="147" s="1"/>
  <c r="AC42" i="147"/>
  <c r="BA42" i="147"/>
  <c r="BB42" i="147" s="1"/>
  <c r="V25" i="147"/>
  <c r="I45" i="147"/>
  <c r="K44" i="147"/>
  <c r="AH44" i="147" s="1"/>
  <c r="AI42" i="147"/>
  <c r="AF41" i="146"/>
  <c r="AC41" i="146"/>
  <c r="BA41" i="146"/>
  <c r="BB41" i="146" s="1"/>
  <c r="BD41" i="146"/>
  <c r="BE41" i="146" s="1"/>
  <c r="BR41" i="146"/>
  <c r="AI41" i="146"/>
  <c r="V24" i="146"/>
  <c r="AT42" i="146"/>
  <c r="AV42" i="146" s="1"/>
  <c r="AB42" i="146"/>
  <c r="V42" i="146"/>
  <c r="BQ42" i="146"/>
  <c r="AY42" i="146"/>
  <c r="BG42" i="146" s="1"/>
  <c r="R42" i="146"/>
  <c r="T42" i="146" s="1"/>
  <c r="Y42" i="146" s="1"/>
  <c r="AE42" i="146"/>
  <c r="BJ42" i="146"/>
  <c r="BL42" i="146" s="1"/>
  <c r="M42" i="146"/>
  <c r="BK42" i="146"/>
  <c r="BN42" i="146"/>
  <c r="BO42" i="146" s="1"/>
  <c r="I44" i="146"/>
  <c r="K43" i="146"/>
  <c r="AH43" i="146" s="1"/>
  <c r="AO39" i="96"/>
  <c r="BG37" i="13"/>
  <c r="BH37" i="13" s="1"/>
  <c r="BA37" i="66"/>
  <c r="BB37" i="66" s="1"/>
  <c r="BA38" i="101"/>
  <c r="BB38" i="101" s="1"/>
  <c r="Z39" i="114"/>
  <c r="Z40" i="135"/>
  <c r="AI40" i="135"/>
  <c r="AL40" i="135"/>
  <c r="BG39" i="110"/>
  <c r="BH39" i="110" s="1"/>
  <c r="BG40" i="135"/>
  <c r="BH40" i="135" s="1"/>
  <c r="BE43" i="124"/>
  <c r="AL39" i="96"/>
  <c r="AV43" i="124"/>
  <c r="AW43" i="124" s="1"/>
  <c r="BE39" i="126"/>
  <c r="BH39" i="126"/>
  <c r="Z39" i="126"/>
  <c r="AF39" i="126"/>
  <c r="AC39" i="126"/>
  <c r="W39" i="126"/>
  <c r="AQ37" i="66"/>
  <c r="AR37" i="66" s="1"/>
  <c r="AO37" i="66"/>
  <c r="BR39" i="114"/>
  <c r="AC39" i="114"/>
  <c r="BR39" i="96"/>
  <c r="BR37" i="66"/>
  <c r="BD39" i="114"/>
  <c r="BE39" i="114" s="1"/>
  <c r="W39" i="114"/>
  <c r="AC39" i="63"/>
  <c r="AI39" i="63"/>
  <c r="BR39" i="126"/>
  <c r="AO39" i="126"/>
  <c r="AI39" i="126"/>
  <c r="AF37" i="13"/>
  <c r="AL37" i="13"/>
  <c r="BE37" i="66"/>
  <c r="BH37" i="66"/>
  <c r="AL39" i="114"/>
  <c r="AO39" i="114"/>
  <c r="BG38" i="118"/>
  <c r="BH38" i="118" s="1"/>
  <c r="AF39" i="63"/>
  <c r="BD42" i="99"/>
  <c r="BE42" i="99" s="1"/>
  <c r="AQ38" i="118"/>
  <c r="AR38" i="118" s="1"/>
  <c r="W37" i="13"/>
  <c r="BR37" i="13"/>
  <c r="BH40" i="64"/>
  <c r="AC39" i="96"/>
  <c r="AQ42" i="99"/>
  <c r="AR42" i="99" s="1"/>
  <c r="AF39" i="110"/>
  <c r="BG37" i="120"/>
  <c r="BH37" i="120" s="1"/>
  <c r="BE39" i="115"/>
  <c r="AI39" i="115"/>
  <c r="AV39" i="98"/>
  <c r="AW39" i="98" s="1"/>
  <c r="Z37" i="13"/>
  <c r="AO37" i="13"/>
  <c r="BB37" i="13"/>
  <c r="Z40" i="64"/>
  <c r="BR40" i="64"/>
  <c r="Z37" i="17"/>
  <c r="AQ37" i="17"/>
  <c r="AR37" i="17" s="1"/>
  <c r="W40" i="135"/>
  <c r="AC40" i="135"/>
  <c r="BG43" i="124"/>
  <c r="BH43" i="124" s="1"/>
  <c r="BH38" i="101"/>
  <c r="BE39" i="110"/>
  <c r="AO39" i="110"/>
  <c r="BB37" i="120"/>
  <c r="AQ39" i="126"/>
  <c r="AR39" i="126" s="1"/>
  <c r="AV39" i="115"/>
  <c r="AW39" i="115" s="1"/>
  <c r="AC39" i="115"/>
  <c r="AL39" i="115"/>
  <c r="BG39" i="63"/>
  <c r="BH39" i="63" s="1"/>
  <c r="AI40" i="64"/>
  <c r="AL40" i="64"/>
  <c r="AC40" i="64"/>
  <c r="AQ39" i="96"/>
  <c r="AR39" i="96" s="1"/>
  <c r="AI39" i="96"/>
  <c r="BH39" i="96"/>
  <c r="AI43" i="124"/>
  <c r="BR39" i="110"/>
  <c r="AC39" i="110"/>
  <c r="AL39" i="110"/>
  <c r="BG39" i="115"/>
  <c r="BH39" i="115" s="1"/>
  <c r="AF39" i="115"/>
  <c r="BR39" i="115"/>
  <c r="M41" i="135"/>
  <c r="AH41" i="135"/>
  <c r="AE41" i="135"/>
  <c r="AN41" i="135"/>
  <c r="V41" i="135"/>
  <c r="AK41" i="135"/>
  <c r="BN41" i="135"/>
  <c r="BO41" i="135" s="1"/>
  <c r="AY41" i="135"/>
  <c r="BG41" i="135" s="1"/>
  <c r="AB41" i="135"/>
  <c r="BL41" i="135"/>
  <c r="BQ41" i="135"/>
  <c r="AT41" i="135"/>
  <c r="BD41" i="135" s="1"/>
  <c r="R41" i="135"/>
  <c r="T41" i="135" s="1"/>
  <c r="Y41" i="135" s="1"/>
  <c r="I45" i="63"/>
  <c r="AV37" i="66"/>
  <c r="AW37" i="66" s="1"/>
  <c r="AF37" i="66"/>
  <c r="AL37" i="66"/>
  <c r="AB40" i="96"/>
  <c r="BN40" i="96"/>
  <c r="BO40" i="96" s="1"/>
  <c r="AE40" i="96"/>
  <c r="BG40" i="96"/>
  <c r="M40" i="96"/>
  <c r="AK40" i="96"/>
  <c r="V40" i="96"/>
  <c r="AN40" i="96"/>
  <c r="AH40" i="96"/>
  <c r="AT40" i="96"/>
  <c r="BD40" i="96" s="1"/>
  <c r="BL40" i="96"/>
  <c r="BQ40" i="96"/>
  <c r="BA40" i="96"/>
  <c r="R40" i="96"/>
  <c r="T40" i="96" s="1"/>
  <c r="Y40" i="96" s="1"/>
  <c r="BG39" i="114"/>
  <c r="BH39" i="114" s="1"/>
  <c r="I45" i="126"/>
  <c r="BD40" i="64"/>
  <c r="BE40" i="64" s="1"/>
  <c r="AQ40" i="64"/>
  <c r="AR40" i="64" s="1"/>
  <c r="AF40" i="64"/>
  <c r="W40" i="64"/>
  <c r="BR37" i="17"/>
  <c r="AF37" i="17"/>
  <c r="AC37" i="17"/>
  <c r="BD40" i="135"/>
  <c r="BE40" i="135" s="1"/>
  <c r="I96" i="99"/>
  <c r="AV39" i="96"/>
  <c r="AW39" i="96" s="1"/>
  <c r="AO38" i="15"/>
  <c r="W38" i="15"/>
  <c r="BA42" i="99"/>
  <c r="BB42" i="99" s="1"/>
  <c r="BR43" i="124"/>
  <c r="W43" i="124"/>
  <c r="AF43" i="124"/>
  <c r="BJ44" i="124"/>
  <c r="BL44" i="124" s="1"/>
  <c r="K45" i="124"/>
  <c r="AH45" i="124" s="1"/>
  <c r="M44" i="124"/>
  <c r="BN44" i="124"/>
  <c r="BO44" i="124" s="1"/>
  <c r="BK44" i="124"/>
  <c r="V44" i="124"/>
  <c r="AB44" i="124"/>
  <c r="AE44" i="124"/>
  <c r="AT44" i="124"/>
  <c r="BD44" i="124" s="1"/>
  <c r="AY44" i="124"/>
  <c r="BA44" i="124" s="1"/>
  <c r="BQ44" i="124"/>
  <c r="Z38" i="101"/>
  <c r="AV38" i="101"/>
  <c r="AW38" i="101" s="1"/>
  <c r="BR38" i="101"/>
  <c r="M40" i="115"/>
  <c r="BK40" i="115"/>
  <c r="V40" i="115"/>
  <c r="BN40" i="115"/>
  <c r="BO40" i="115" s="1"/>
  <c r="BJ40" i="115"/>
  <c r="BL40" i="115" s="1"/>
  <c r="BQ40" i="115"/>
  <c r="AH40" i="115"/>
  <c r="AK40" i="115"/>
  <c r="AN40" i="115"/>
  <c r="AT40" i="115"/>
  <c r="BD40" i="115" s="1"/>
  <c r="AB40" i="115"/>
  <c r="AE40" i="115"/>
  <c r="AY40" i="115"/>
  <c r="BA40" i="115" s="1"/>
  <c r="BB40" i="115" s="1"/>
  <c r="I47" i="132"/>
  <c r="AV38" i="118"/>
  <c r="AW38" i="118" s="1"/>
  <c r="AF38" i="118"/>
  <c r="Z37" i="120"/>
  <c r="AO37" i="120"/>
  <c r="AF37" i="120"/>
  <c r="I44" i="104"/>
  <c r="M40" i="126"/>
  <c r="BJ40" i="126"/>
  <c r="BL40" i="126" s="1"/>
  <c r="BN40" i="126"/>
  <c r="BO40" i="126" s="1"/>
  <c r="BK40" i="126"/>
  <c r="V40" i="126"/>
  <c r="AE40" i="126"/>
  <c r="AN40" i="126"/>
  <c r="AK40" i="126"/>
  <c r="AB40" i="126"/>
  <c r="AY40" i="126"/>
  <c r="BG40" i="126" s="1"/>
  <c r="AT40" i="126"/>
  <c r="BD40" i="126" s="1"/>
  <c r="BQ40" i="126"/>
  <c r="K41" i="126"/>
  <c r="AH44" i="126" s="1"/>
  <c r="R40" i="126"/>
  <c r="T40" i="126" s="1"/>
  <c r="Y40" i="126" s="1"/>
  <c r="BN40" i="63"/>
  <c r="BO40" i="63" s="1"/>
  <c r="M40" i="63"/>
  <c r="AH40" i="63"/>
  <c r="AE40" i="63"/>
  <c r="V40" i="63"/>
  <c r="AK40" i="63"/>
  <c r="AN40" i="63"/>
  <c r="AB40" i="63"/>
  <c r="AY40" i="63"/>
  <c r="BA40" i="63" s="1"/>
  <c r="BL40" i="63"/>
  <c r="BQ40" i="63"/>
  <c r="AT40" i="63"/>
  <c r="AV40" i="63" s="1"/>
  <c r="K41" i="63"/>
  <c r="R41" i="63" s="1"/>
  <c r="BL38" i="17"/>
  <c r="BN38" i="17"/>
  <c r="BO38" i="17" s="1"/>
  <c r="M38" i="17"/>
  <c r="V38" i="17"/>
  <c r="AY38" i="17"/>
  <c r="BA38" i="17" s="1"/>
  <c r="AH38" i="17"/>
  <c r="AB38" i="17"/>
  <c r="AK38" i="17"/>
  <c r="AE38" i="17"/>
  <c r="AN38" i="17"/>
  <c r="BQ38" i="17"/>
  <c r="R38" i="17"/>
  <c r="T38" i="17" s="1"/>
  <c r="Y38" i="17" s="1"/>
  <c r="I43" i="135"/>
  <c r="K42" i="135"/>
  <c r="I46" i="64"/>
  <c r="AQ37" i="13"/>
  <c r="AR37" i="13" s="1"/>
  <c r="I46" i="114"/>
  <c r="I49" i="95"/>
  <c r="AI37" i="17"/>
  <c r="T38" i="98"/>
  <c r="Y38" i="98" s="1"/>
  <c r="Z38" i="98" s="1"/>
  <c r="R39" i="98"/>
  <c r="T39" i="98" s="1"/>
  <c r="Y39" i="98" s="1"/>
  <c r="Z39" i="98" s="1"/>
  <c r="AF38" i="101"/>
  <c r="W38" i="101"/>
  <c r="I42" i="115"/>
  <c r="K41" i="115"/>
  <c r="BR38" i="118"/>
  <c r="AI38" i="118"/>
  <c r="AC38" i="118"/>
  <c r="W37" i="120"/>
  <c r="M39" i="101"/>
  <c r="V39" i="101"/>
  <c r="AN39" i="101"/>
  <c r="BQ39" i="101"/>
  <c r="AT39" i="101"/>
  <c r="AV39" i="101" s="1"/>
  <c r="AE39" i="101"/>
  <c r="AK39" i="101"/>
  <c r="AY39" i="101"/>
  <c r="BG39" i="101" s="1"/>
  <c r="AB39" i="101"/>
  <c r="R39" i="101"/>
  <c r="T39" i="101" s="1"/>
  <c r="Y39" i="101" s="1"/>
  <c r="AQ39" i="115"/>
  <c r="AR39" i="115" s="1"/>
  <c r="AL41" i="136"/>
  <c r="BD39" i="63"/>
  <c r="BE39" i="63" s="1"/>
  <c r="I40" i="17"/>
  <c r="K39" i="17"/>
  <c r="I40" i="13"/>
  <c r="K39" i="13"/>
  <c r="W37" i="17"/>
  <c r="AL37" i="17"/>
  <c r="AQ40" i="135"/>
  <c r="AR40" i="135" s="1"/>
  <c r="M40" i="110"/>
  <c r="BK40" i="110"/>
  <c r="BN40" i="110"/>
  <c r="BO40" i="110" s="1"/>
  <c r="BJ40" i="110"/>
  <c r="BL40" i="110" s="1"/>
  <c r="AE40" i="110"/>
  <c r="AK40" i="110"/>
  <c r="AY40" i="110"/>
  <c r="BG40" i="110" s="1"/>
  <c r="AB40" i="110"/>
  <c r="AH40" i="110"/>
  <c r="V40" i="110"/>
  <c r="AT40" i="110"/>
  <c r="BD40" i="110" s="1"/>
  <c r="AN40" i="110"/>
  <c r="BQ40" i="110"/>
  <c r="AC38" i="15"/>
  <c r="AC43" i="124"/>
  <c r="I40" i="66"/>
  <c r="K39" i="66"/>
  <c r="AQ38" i="101"/>
  <c r="AR38" i="101" s="1"/>
  <c r="AL38" i="101"/>
  <c r="AC38" i="101"/>
  <c r="AO38" i="101"/>
  <c r="I44" i="15"/>
  <c r="AQ39" i="110"/>
  <c r="AR39" i="110" s="1"/>
  <c r="AO38" i="118"/>
  <c r="K40" i="118"/>
  <c r="M39" i="118"/>
  <c r="BN39" i="118"/>
  <c r="BO39" i="118" s="1"/>
  <c r="AE39" i="118"/>
  <c r="V39" i="118"/>
  <c r="AY39" i="118"/>
  <c r="BA39" i="118" s="1"/>
  <c r="AB39" i="118"/>
  <c r="AH39" i="118"/>
  <c r="AK39" i="118"/>
  <c r="AN39" i="118"/>
  <c r="BQ39" i="118"/>
  <c r="AT39" i="118"/>
  <c r="BD39" i="118" s="1"/>
  <c r="BR37" i="120"/>
  <c r="AI37" i="120"/>
  <c r="I41" i="101"/>
  <c r="K40" i="101"/>
  <c r="AO41" i="136"/>
  <c r="BR41" i="136"/>
  <c r="BA39" i="98"/>
  <c r="BB39" i="98" s="1"/>
  <c r="AQ39" i="98"/>
  <c r="AR39" i="98" s="1"/>
  <c r="AQ39" i="63"/>
  <c r="AR39" i="63" s="1"/>
  <c r="I47" i="105"/>
  <c r="AC37" i="66"/>
  <c r="I42" i="96"/>
  <c r="K41" i="96"/>
  <c r="BN40" i="114"/>
  <c r="BO40" i="114" s="1"/>
  <c r="BK40" i="114"/>
  <c r="M40" i="114"/>
  <c r="BJ40" i="114"/>
  <c r="BL40" i="114" s="1"/>
  <c r="V40" i="114"/>
  <c r="AN40" i="114"/>
  <c r="AK40" i="114"/>
  <c r="AT40" i="114"/>
  <c r="AV40" i="114" s="1"/>
  <c r="AY40" i="114"/>
  <c r="BA40" i="114" s="1"/>
  <c r="AH40" i="114"/>
  <c r="AB40" i="114"/>
  <c r="AE40" i="114"/>
  <c r="BQ40" i="114"/>
  <c r="K41" i="114"/>
  <c r="R40" i="114"/>
  <c r="T40" i="114" s="1"/>
  <c r="Y40" i="114" s="1"/>
  <c r="Z40" i="114" s="1"/>
  <c r="AQ39" i="114"/>
  <c r="AR39" i="114" s="1"/>
  <c r="AK41" i="64"/>
  <c r="M41" i="64"/>
  <c r="V41" i="64"/>
  <c r="AY41" i="64"/>
  <c r="BG41" i="64" s="1"/>
  <c r="BL41" i="64"/>
  <c r="BN41" i="64"/>
  <c r="BO41" i="64" s="1"/>
  <c r="AH41" i="64"/>
  <c r="AB41" i="64"/>
  <c r="AE41" i="64"/>
  <c r="BQ41" i="64"/>
  <c r="BR41" i="64" s="1"/>
  <c r="AN41" i="64"/>
  <c r="AT41" i="64"/>
  <c r="AV41" i="64" s="1"/>
  <c r="K42" i="64"/>
  <c r="R41" i="64"/>
  <c r="T41" i="64" s="1"/>
  <c r="Y41" i="64" s="1"/>
  <c r="BL38" i="13"/>
  <c r="M38" i="13"/>
  <c r="BN38" i="13"/>
  <c r="BO38" i="13" s="1"/>
  <c r="BQ38" i="13"/>
  <c r="AY38" i="13"/>
  <c r="BA38" i="13" s="1"/>
  <c r="V38" i="13"/>
  <c r="AB38" i="13"/>
  <c r="AN38" i="13"/>
  <c r="AE38" i="13"/>
  <c r="AH38" i="13"/>
  <c r="AK38" i="13"/>
  <c r="R38" i="13"/>
  <c r="T38" i="13" s="1"/>
  <c r="Y38" i="13" s="1"/>
  <c r="I42" i="110"/>
  <c r="K41" i="110"/>
  <c r="BN39" i="15"/>
  <c r="BO39" i="15" s="1"/>
  <c r="M39" i="15"/>
  <c r="BL39" i="15"/>
  <c r="V39" i="15"/>
  <c r="BQ39" i="15"/>
  <c r="AK39" i="15"/>
  <c r="AH39" i="15"/>
  <c r="AB39" i="15"/>
  <c r="AN39" i="15"/>
  <c r="AE39" i="15"/>
  <c r="K40" i="15"/>
  <c r="AQ38" i="15"/>
  <c r="AR38" i="15" s="1"/>
  <c r="AI38" i="15"/>
  <c r="BR38" i="15"/>
  <c r="I46" i="136"/>
  <c r="V38" i="66"/>
  <c r="AN38" i="66"/>
  <c r="AK38" i="66"/>
  <c r="BN38" i="66"/>
  <c r="BO38" i="66" s="1"/>
  <c r="AB38" i="66"/>
  <c r="AH38" i="66"/>
  <c r="AE38" i="66"/>
  <c r="M38" i="66"/>
  <c r="BL38" i="66"/>
  <c r="AY38" i="66"/>
  <c r="BA38" i="66" s="1"/>
  <c r="BQ38" i="66"/>
  <c r="AT38" i="66"/>
  <c r="AV38" i="66" s="1"/>
  <c r="R38" i="66"/>
  <c r="T38" i="66" s="1"/>
  <c r="Y38" i="66" s="1"/>
  <c r="I55" i="133"/>
  <c r="M42" i="105"/>
  <c r="BN42" i="105"/>
  <c r="BO42" i="105" s="1"/>
  <c r="BJ42" i="105"/>
  <c r="BL42" i="105" s="1"/>
  <c r="BK42" i="105"/>
  <c r="AK42" i="105"/>
  <c r="AL42" i="105" s="1"/>
  <c r="O42" i="105"/>
  <c r="BD42" i="105"/>
  <c r="BE42" i="105" s="1"/>
  <c r="AT42" i="105"/>
  <c r="BQ42" i="105"/>
  <c r="BR42" i="105" s="1"/>
  <c r="AY42" i="105"/>
  <c r="AN42" i="105"/>
  <c r="AO42" i="105" s="1"/>
  <c r="AB42" i="105"/>
  <c r="AC42" i="105" s="1"/>
  <c r="AV42" i="105"/>
  <c r="AW42" i="105" s="1"/>
  <c r="BG42" i="105"/>
  <c r="BH42" i="105" s="1"/>
  <c r="V42" i="105"/>
  <c r="W42" i="105" s="1"/>
  <c r="R42" i="105"/>
  <c r="T42" i="105" s="1"/>
  <c r="AE42" i="105"/>
  <c r="AF42" i="105" s="1"/>
  <c r="P42" i="105"/>
  <c r="Y42" i="105"/>
  <c r="Z42" i="105" s="1"/>
  <c r="AQ42" i="105"/>
  <c r="AR42" i="105" s="1"/>
  <c r="AH42" i="105"/>
  <c r="AI42" i="105" s="1"/>
  <c r="BA42" i="105"/>
  <c r="BB42" i="105" s="1"/>
  <c r="K43" i="105"/>
  <c r="AL37" i="120"/>
  <c r="K39" i="120"/>
  <c r="AB38" i="120"/>
  <c r="AE38" i="120"/>
  <c r="AH38" i="120"/>
  <c r="M38" i="120"/>
  <c r="V38" i="120"/>
  <c r="BN38" i="120"/>
  <c r="BO38" i="120" s="1"/>
  <c r="AY38" i="120"/>
  <c r="BG38" i="120" s="1"/>
  <c r="BQ38" i="120"/>
  <c r="AK38" i="120"/>
  <c r="AN38" i="120"/>
  <c r="R38" i="120"/>
  <c r="T38" i="120" s="1"/>
  <c r="Y38" i="120" s="1"/>
  <c r="M42" i="136"/>
  <c r="BN42" i="136"/>
  <c r="BO42" i="136" s="1"/>
  <c r="BL42" i="136"/>
  <c r="AK42" i="136"/>
  <c r="AB42" i="136"/>
  <c r="AE42" i="136"/>
  <c r="AH42" i="136"/>
  <c r="V42" i="136"/>
  <c r="AN42" i="136"/>
  <c r="BQ42" i="136"/>
  <c r="K43" i="136"/>
  <c r="AQ41" i="136"/>
  <c r="AR41" i="136" s="1"/>
  <c r="AF41" i="136"/>
  <c r="W41" i="136"/>
  <c r="K41" i="98"/>
  <c r="M40" i="98"/>
  <c r="BJ40" i="98"/>
  <c r="BL40" i="98" s="1"/>
  <c r="BN40" i="98"/>
  <c r="BO40" i="98" s="1"/>
  <c r="BK40" i="98"/>
  <c r="AE40" i="98"/>
  <c r="AF40" i="98" s="1"/>
  <c r="AK40" i="98"/>
  <c r="AL40" i="98" s="1"/>
  <c r="AN40" i="98"/>
  <c r="AO40" i="98" s="1"/>
  <c r="O40" i="98"/>
  <c r="R40" i="98"/>
  <c r="T40" i="98" s="1"/>
  <c r="BA40" i="98"/>
  <c r="BB40" i="98" s="1"/>
  <c r="AQ40" i="98"/>
  <c r="AR40" i="98" s="1"/>
  <c r="BD40" i="98"/>
  <c r="BE40" i="98" s="1"/>
  <c r="AH40" i="98"/>
  <c r="AI40" i="98" s="1"/>
  <c r="BG40" i="98"/>
  <c r="BH40" i="98" s="1"/>
  <c r="Y40" i="98"/>
  <c r="Z40" i="98" s="1"/>
  <c r="V40" i="98"/>
  <c r="W40" i="98" s="1"/>
  <c r="BQ40" i="98"/>
  <c r="BR40" i="98" s="1"/>
  <c r="AY40" i="98"/>
  <c r="P40" i="98"/>
  <c r="AT40" i="98"/>
  <c r="AV40" i="98"/>
  <c r="AW40" i="98" s="1"/>
  <c r="AB40" i="98"/>
  <c r="P24" i="95"/>
  <c r="R40" i="15"/>
  <c r="T39" i="15"/>
  <c r="Y39" i="15" s="1"/>
  <c r="R40" i="136"/>
  <c r="T39" i="136"/>
  <c r="Y39" i="136" s="1"/>
  <c r="Z39" i="136" s="1"/>
  <c r="O29" i="124"/>
  <c r="V29" i="124" s="1"/>
  <c r="W29" i="124" s="1"/>
  <c r="V23" i="98"/>
  <c r="T40" i="63"/>
  <c r="Y40" i="63" s="1"/>
  <c r="R42" i="124"/>
  <c r="T41" i="124"/>
  <c r="Y41" i="124" s="1"/>
  <c r="Z41" i="124" s="1"/>
  <c r="W24" i="115"/>
  <c r="O25" i="115"/>
  <c r="V23" i="107"/>
  <c r="P30" i="124"/>
  <c r="P31" i="124" s="1"/>
  <c r="P32" i="124" s="1"/>
  <c r="P33" i="124" s="1"/>
  <c r="P34" i="124" s="1"/>
  <c r="P35" i="124" s="1"/>
  <c r="P36" i="124" s="1"/>
  <c r="P37" i="124" s="1"/>
  <c r="P38" i="124" s="1"/>
  <c r="P39" i="124" s="1"/>
  <c r="P40" i="124" s="1"/>
  <c r="P41" i="124" s="1"/>
  <c r="P42" i="124" s="1"/>
  <c r="P43" i="124" s="1"/>
  <c r="P44" i="124" s="1"/>
  <c r="P45" i="124" s="1"/>
  <c r="W24" i="106"/>
  <c r="O25" i="106"/>
  <c r="P26" i="114"/>
  <c r="V25" i="114"/>
  <c r="T38" i="99"/>
  <c r="Y38" i="99" s="1"/>
  <c r="Z38" i="99" s="1"/>
  <c r="R39" i="99"/>
  <c r="P25" i="129"/>
  <c r="W23" i="130"/>
  <c r="O24" i="130"/>
  <c r="O25" i="66"/>
  <c r="W24" i="66"/>
  <c r="V24" i="126"/>
  <c r="W22" i="99"/>
  <c r="O23" i="99"/>
  <c r="W25" i="101"/>
  <c r="O26" i="101"/>
  <c r="O27" i="64"/>
  <c r="V22" i="105"/>
  <c r="P24" i="13"/>
  <c r="P23" i="120"/>
  <c r="R40" i="118"/>
  <c r="T39" i="118"/>
  <c r="Y39" i="118" s="1"/>
  <c r="W23" i="118"/>
  <c r="O24" i="118"/>
  <c r="W24" i="104"/>
  <c r="O25" i="104"/>
  <c r="P23" i="136"/>
  <c r="P25" i="96"/>
  <c r="P24" i="15"/>
  <c r="V24" i="110"/>
  <c r="V24" i="17"/>
  <c r="P23" i="135"/>
  <c r="P28" i="64"/>
  <c r="V27" i="64"/>
  <c r="W27" i="64" s="1"/>
  <c r="R41" i="115"/>
  <c r="T40" i="115"/>
  <c r="Y40" i="115" s="1"/>
  <c r="P23" i="112"/>
  <c r="V23" i="63"/>
  <c r="BG37" i="17" l="1"/>
  <c r="BH37" i="17" s="1"/>
  <c r="AC41" i="135"/>
  <c r="BR38" i="120"/>
  <c r="AF40" i="129"/>
  <c r="BR38" i="17"/>
  <c r="AO40" i="115"/>
  <c r="Z40" i="129"/>
  <c r="Z40" i="63"/>
  <c r="AL40" i="114"/>
  <c r="BR39" i="104"/>
  <c r="BA37" i="152"/>
  <c r="BB37" i="152" s="1"/>
  <c r="W38" i="13"/>
  <c r="AH44" i="107"/>
  <c r="AI44" i="107" s="1"/>
  <c r="AV44" i="107"/>
  <c r="AW44" i="107" s="1"/>
  <c r="AE44" i="107"/>
  <c r="AF44" i="107" s="1"/>
  <c r="BN44" i="107"/>
  <c r="BO44" i="107" s="1"/>
  <c r="O44" i="107"/>
  <c r="BA44" i="107"/>
  <c r="BB44" i="107" s="1"/>
  <c r="AB44" i="107"/>
  <c r="AC44" i="107" s="1"/>
  <c r="BK44" i="107"/>
  <c r="BQ44" i="107"/>
  <c r="BR44" i="107" s="1"/>
  <c r="AQ44" i="107"/>
  <c r="AR44" i="107" s="1"/>
  <c r="P44" i="107"/>
  <c r="M44" i="107"/>
  <c r="Y44" i="107"/>
  <c r="Z44" i="107" s="1"/>
  <c r="BG44" i="107"/>
  <c r="BH44" i="107" s="1"/>
  <c r="BD44" i="107"/>
  <c r="BE44" i="107" s="1"/>
  <c r="AT44" i="107"/>
  <c r="BJ44" i="107"/>
  <c r="BL44" i="107" s="1"/>
  <c r="AN44" i="107"/>
  <c r="AO44" i="107" s="1"/>
  <c r="AY44" i="107"/>
  <c r="V44" i="107"/>
  <c r="W44" i="107" s="1"/>
  <c r="R44" i="107"/>
  <c r="T44" i="107" s="1"/>
  <c r="AK44" i="107"/>
  <c r="AL44" i="107" s="1"/>
  <c r="BB39" i="118"/>
  <c r="AW39" i="101"/>
  <c r="BR44" i="156"/>
  <c r="AW39" i="106"/>
  <c r="I46" i="107"/>
  <c r="K45" i="107"/>
  <c r="BA42" i="132"/>
  <c r="BB42" i="132" s="1"/>
  <c r="P42" i="132"/>
  <c r="BQ42" i="132"/>
  <c r="BR42" i="132" s="1"/>
  <c r="K43" i="132"/>
  <c r="R42" i="132"/>
  <c r="T42" i="132" s="1"/>
  <c r="Y42" i="132"/>
  <c r="Z42" i="132" s="1"/>
  <c r="AK42" i="132"/>
  <c r="AL42" i="132" s="1"/>
  <c r="AQ42" i="132"/>
  <c r="AR42" i="132" s="1"/>
  <c r="AE42" i="132"/>
  <c r="AF42" i="132" s="1"/>
  <c r="AT42" i="132"/>
  <c r="AN42" i="132"/>
  <c r="AO42" i="132" s="1"/>
  <c r="AB42" i="132"/>
  <c r="AC42" i="132" s="1"/>
  <c r="BL42" i="132"/>
  <c r="AH42" i="132"/>
  <c r="AI42" i="132" s="1"/>
  <c r="BD42" i="132"/>
  <c r="BE42" i="132" s="1"/>
  <c r="V42" i="132"/>
  <c r="W42" i="132" s="1"/>
  <c r="BG42" i="132"/>
  <c r="BH42" i="132" s="1"/>
  <c r="AV42" i="132"/>
  <c r="AW42" i="132" s="1"/>
  <c r="O42" i="132"/>
  <c r="BN42" i="132"/>
  <c r="BO42" i="132" s="1"/>
  <c r="M42" i="132"/>
  <c r="AY42" i="132"/>
  <c r="Z39" i="118"/>
  <c r="BG39" i="104"/>
  <c r="M42" i="99"/>
  <c r="AB42" i="99"/>
  <c r="AC42" i="99" s="1"/>
  <c r="AK42" i="99"/>
  <c r="AL42" i="99" s="1"/>
  <c r="K43" i="99"/>
  <c r="BJ42" i="99"/>
  <c r="BL42" i="99" s="1"/>
  <c r="BQ42" i="99"/>
  <c r="BR42" i="99" s="1"/>
  <c r="V42" i="99"/>
  <c r="W42" i="99" s="1"/>
  <c r="BK42" i="99"/>
  <c r="AY42" i="99"/>
  <c r="BG42" i="99" s="1"/>
  <c r="BH42" i="99" s="1"/>
  <c r="BN42" i="99"/>
  <c r="BO42" i="99" s="1"/>
  <c r="AE42" i="99"/>
  <c r="AF42" i="99" s="1"/>
  <c r="AN42" i="99"/>
  <c r="AO42" i="99" s="1"/>
  <c r="AT42" i="99"/>
  <c r="AV42" i="99" s="1"/>
  <c r="AW42" i="99" s="1"/>
  <c r="AH42" i="99"/>
  <c r="AI42" i="99" s="1"/>
  <c r="AI40" i="96"/>
  <c r="BR39" i="106"/>
  <c r="AQ39" i="104"/>
  <c r="AR39" i="104" s="1"/>
  <c r="AL42" i="136"/>
  <c r="AW38" i="66"/>
  <c r="AL39" i="15"/>
  <c r="W40" i="126"/>
  <c r="AI39" i="106"/>
  <c r="AO39" i="106"/>
  <c r="BE40" i="129"/>
  <c r="AC38" i="95"/>
  <c r="AQ38" i="95"/>
  <c r="AR38" i="95" s="1"/>
  <c r="W38" i="95"/>
  <c r="AC44" i="156"/>
  <c r="BB39" i="106"/>
  <c r="BH40" i="129"/>
  <c r="AO40" i="129"/>
  <c r="W39" i="104"/>
  <c r="AL45" i="155"/>
  <c r="Z38" i="95"/>
  <c r="BB38" i="95"/>
  <c r="AI38" i="95"/>
  <c r="AL39" i="106"/>
  <c r="BR40" i="129"/>
  <c r="AL40" i="126"/>
  <c r="AF38" i="95"/>
  <c r="BG39" i="106"/>
  <c r="BH39" i="106" s="1"/>
  <c r="W40" i="129"/>
  <c r="BH39" i="104"/>
  <c r="AC39" i="104"/>
  <c r="AC39" i="112"/>
  <c r="Z39" i="112"/>
  <c r="AI40" i="129"/>
  <c r="AC40" i="129"/>
  <c r="AI39" i="104"/>
  <c r="BE39" i="104"/>
  <c r="AL39" i="104"/>
  <c r="AO39" i="112"/>
  <c r="Z40" i="115"/>
  <c r="AO39" i="15"/>
  <c r="BR38" i="95"/>
  <c r="AW38" i="95"/>
  <c r="AL44" i="156"/>
  <c r="BA40" i="129"/>
  <c r="BB40" i="129" s="1"/>
  <c r="BB39" i="104"/>
  <c r="AF39" i="104"/>
  <c r="P22" i="156"/>
  <c r="T36" i="156"/>
  <c r="Y36" i="156" s="1"/>
  <c r="Z36" i="156" s="1"/>
  <c r="R37" i="156"/>
  <c r="K76" i="161"/>
  <c r="BQ76" i="161" s="1"/>
  <c r="I77" i="161"/>
  <c r="BD75" i="161"/>
  <c r="BE75" i="161" s="1"/>
  <c r="AQ75" i="161"/>
  <c r="AR75" i="161" s="1"/>
  <c r="AK75" i="161"/>
  <c r="AL75" i="161" s="1"/>
  <c r="AE75" i="161"/>
  <c r="AF75" i="161" s="1"/>
  <c r="Y75" i="161"/>
  <c r="Z75" i="161" s="1"/>
  <c r="R75" i="161"/>
  <c r="T75" i="161" s="1"/>
  <c r="AV75" i="161"/>
  <c r="AW75" i="161" s="1"/>
  <c r="P75" i="161"/>
  <c r="BG75" i="161"/>
  <c r="BH75" i="161" s="1"/>
  <c r="BA75" i="161"/>
  <c r="BB75" i="161" s="1"/>
  <c r="AT75" i="161"/>
  <c r="AN75" i="161"/>
  <c r="AO75" i="161" s="1"/>
  <c r="AH75" i="161"/>
  <c r="AI75" i="161" s="1"/>
  <c r="AB75" i="161"/>
  <c r="AC75" i="161" s="1"/>
  <c r="V75" i="161"/>
  <c r="W75" i="161" s="1"/>
  <c r="O75" i="161"/>
  <c r="AY75" i="161"/>
  <c r="BR75" i="161"/>
  <c r="BK75" i="161"/>
  <c r="M75" i="161"/>
  <c r="BJ75" i="161"/>
  <c r="BL75" i="161" s="1"/>
  <c r="BN75" i="161"/>
  <c r="BO75" i="161" s="1"/>
  <c r="AV40" i="129"/>
  <c r="AW40" i="129" s="1"/>
  <c r="AV39" i="104"/>
  <c r="AW39" i="104" s="1"/>
  <c r="W42" i="136"/>
  <c r="AI38" i="13"/>
  <c r="AC40" i="114"/>
  <c r="BH39" i="101"/>
  <c r="AY38" i="153"/>
  <c r="BG38" i="153" s="1"/>
  <c r="BH38" i="153" s="1"/>
  <c r="AC40" i="130"/>
  <c r="BD38" i="95"/>
  <c r="BE38" i="95" s="1"/>
  <c r="AO38" i="95"/>
  <c r="V39" i="95"/>
  <c r="AH39" i="95"/>
  <c r="BG39" i="95"/>
  <c r="AK39" i="95"/>
  <c r="AB39" i="95"/>
  <c r="BA39" i="95"/>
  <c r="M39" i="95"/>
  <c r="AE39" i="95"/>
  <c r="BQ39" i="95"/>
  <c r="BN39" i="95"/>
  <c r="BO39" i="95" s="1"/>
  <c r="AN39" i="95"/>
  <c r="K40" i="95"/>
  <c r="BL39" i="95"/>
  <c r="AT39" i="95"/>
  <c r="AV39" i="95" s="1"/>
  <c r="R39" i="95"/>
  <c r="T39" i="95" s="1"/>
  <c r="Y39" i="95" s="1"/>
  <c r="AO44" i="156"/>
  <c r="W44" i="156"/>
  <c r="BD39" i="106"/>
  <c r="BE39" i="106" s="1"/>
  <c r="AC39" i="106"/>
  <c r="AF39" i="106"/>
  <c r="BN45" i="156"/>
  <c r="BO45" i="156" s="1"/>
  <c r="V45" i="156"/>
  <c r="AE45" i="156"/>
  <c r="AB45" i="156"/>
  <c r="AK45" i="156"/>
  <c r="AH45" i="156"/>
  <c r="M45" i="156"/>
  <c r="AN45" i="156"/>
  <c r="BQ45" i="156"/>
  <c r="BL45" i="156"/>
  <c r="AE41" i="129"/>
  <c r="BL41" i="129"/>
  <c r="K42" i="129"/>
  <c r="AK41" i="129"/>
  <c r="M41" i="129"/>
  <c r="AN41" i="129"/>
  <c r="BN41" i="129"/>
  <c r="BO41" i="129" s="1"/>
  <c r="AH41" i="129"/>
  <c r="V41" i="129"/>
  <c r="AY41" i="129"/>
  <c r="BG41" i="129" s="1"/>
  <c r="AB41" i="129"/>
  <c r="AC41" i="129" s="1"/>
  <c r="BQ41" i="129"/>
  <c r="AT41" i="129"/>
  <c r="BD41" i="129" s="1"/>
  <c r="R41" i="129"/>
  <c r="T41" i="129" s="1"/>
  <c r="Y41" i="129" s="1"/>
  <c r="Z41" i="129" s="1"/>
  <c r="I47" i="106"/>
  <c r="W39" i="112"/>
  <c r="AF40" i="110"/>
  <c r="W45" i="153"/>
  <c r="AY38" i="152"/>
  <c r="BA38" i="152" s="1"/>
  <c r="BB38" i="152" s="1"/>
  <c r="Z40" i="130"/>
  <c r="BR40" i="130"/>
  <c r="BA39" i="112"/>
  <c r="BB39" i="112" s="1"/>
  <c r="BG39" i="112"/>
  <c r="BH39" i="112" s="1"/>
  <c r="AY38" i="136"/>
  <c r="AF40" i="130"/>
  <c r="AI44" i="156"/>
  <c r="AQ44" i="156"/>
  <c r="AR44" i="156" s="1"/>
  <c r="AN43" i="133"/>
  <c r="AO43" i="133" s="1"/>
  <c r="BA43" i="133"/>
  <c r="BB43" i="133" s="1"/>
  <c r="AY43" i="133"/>
  <c r="BL43" i="133"/>
  <c r="BG43" i="133"/>
  <c r="BH43" i="133" s="1"/>
  <c r="R43" i="133"/>
  <c r="T43" i="133" s="1"/>
  <c r="AK43" i="133"/>
  <c r="AL43" i="133" s="1"/>
  <c r="M43" i="133"/>
  <c r="V43" i="133"/>
  <c r="W43" i="133" s="1"/>
  <c r="AQ43" i="133"/>
  <c r="AR43" i="133" s="1"/>
  <c r="AE43" i="133"/>
  <c r="AF43" i="133" s="1"/>
  <c r="BN43" i="133"/>
  <c r="BO43" i="133" s="1"/>
  <c r="P43" i="133"/>
  <c r="AH43" i="133"/>
  <c r="AI43" i="133" s="1"/>
  <c r="BD43" i="133"/>
  <c r="BE43" i="133" s="1"/>
  <c r="AV43" i="133"/>
  <c r="AW43" i="133" s="1"/>
  <c r="O43" i="133"/>
  <c r="BQ43" i="133"/>
  <c r="BR43" i="133" s="1"/>
  <c r="K44" i="133"/>
  <c r="AT43" i="133"/>
  <c r="Y43" i="133"/>
  <c r="Z43" i="133" s="1"/>
  <c r="AB43" i="133"/>
  <c r="AC43" i="133" s="1"/>
  <c r="AI39" i="112"/>
  <c r="AQ39" i="112"/>
  <c r="AR39" i="112" s="1"/>
  <c r="AI40" i="110"/>
  <c r="AC38" i="17"/>
  <c r="AY38" i="150"/>
  <c r="BA38" i="150" s="1"/>
  <c r="BB38" i="150" s="1"/>
  <c r="W40" i="130"/>
  <c r="BH38" i="95"/>
  <c r="AQ39" i="106"/>
  <c r="AR39" i="106" s="1"/>
  <c r="Z39" i="106"/>
  <c r="W39" i="106"/>
  <c r="K41" i="106"/>
  <c r="BJ40" i="106"/>
  <c r="BL40" i="106" s="1"/>
  <c r="BN40" i="106"/>
  <c r="BO40" i="106" s="1"/>
  <c r="BK40" i="106"/>
  <c r="AV40" i="106"/>
  <c r="AW40" i="106" s="1"/>
  <c r="M40" i="106"/>
  <c r="BG40" i="106"/>
  <c r="BH40" i="106" s="1"/>
  <c r="AN40" i="106"/>
  <c r="AO40" i="106" s="1"/>
  <c r="BD40" i="106"/>
  <c r="BE40" i="106" s="1"/>
  <c r="P40" i="106"/>
  <c r="O40" i="106"/>
  <c r="R40" i="106"/>
  <c r="T40" i="106" s="1"/>
  <c r="AH40" i="106"/>
  <c r="AI40" i="106" s="1"/>
  <c r="AE40" i="106"/>
  <c r="AF40" i="106" s="1"/>
  <c r="AK40" i="106"/>
  <c r="AL40" i="106" s="1"/>
  <c r="Y40" i="106"/>
  <c r="Z40" i="106" s="1"/>
  <c r="AT40" i="106"/>
  <c r="BA40" i="106"/>
  <c r="BB40" i="106" s="1"/>
  <c r="AQ40" i="106"/>
  <c r="AR40" i="106" s="1"/>
  <c r="AY40" i="106"/>
  <c r="V40" i="106"/>
  <c r="W40" i="106" s="1"/>
  <c r="BQ40" i="106"/>
  <c r="BR40" i="106" s="1"/>
  <c r="AB40" i="106"/>
  <c r="AQ40" i="129"/>
  <c r="AR40" i="129" s="1"/>
  <c r="AL40" i="129"/>
  <c r="AO39" i="104"/>
  <c r="AF39" i="112"/>
  <c r="AL39" i="112"/>
  <c r="AO39" i="118"/>
  <c r="AL40" i="63"/>
  <c r="W41" i="135"/>
  <c r="AL40" i="130"/>
  <c r="AL38" i="95"/>
  <c r="AF44" i="156"/>
  <c r="K46" i="156"/>
  <c r="I47" i="156"/>
  <c r="AH40" i="104"/>
  <c r="AI40" i="104" s="1"/>
  <c r="AE40" i="104"/>
  <c r="AF40" i="104" s="1"/>
  <c r="AT40" i="104"/>
  <c r="BA40" i="104"/>
  <c r="BB40" i="104" s="1"/>
  <c r="P40" i="104"/>
  <c r="BQ40" i="104"/>
  <c r="BR40" i="104" s="1"/>
  <c r="BJ40" i="104"/>
  <c r="BL40" i="104" s="1"/>
  <c r="O40" i="104"/>
  <c r="AV40" i="104"/>
  <c r="AW40" i="104" s="1"/>
  <c r="AK40" i="104"/>
  <c r="AL40" i="104" s="1"/>
  <c r="M40" i="104"/>
  <c r="AB40" i="104"/>
  <c r="Y40" i="104"/>
  <c r="Z40" i="104" s="1"/>
  <c r="R40" i="104"/>
  <c r="T40" i="104" s="1"/>
  <c r="K41" i="104"/>
  <c r="BN40" i="104"/>
  <c r="BO40" i="104" s="1"/>
  <c r="AN40" i="104"/>
  <c r="AO40" i="104" s="1"/>
  <c r="BG40" i="104"/>
  <c r="BH40" i="104" s="1"/>
  <c r="AY40" i="104"/>
  <c r="BK40" i="104"/>
  <c r="V40" i="104"/>
  <c r="W40" i="104" s="1"/>
  <c r="BD40" i="104"/>
  <c r="BE40" i="104" s="1"/>
  <c r="AQ40" i="104"/>
  <c r="AR40" i="104" s="1"/>
  <c r="AV39" i="112"/>
  <c r="AW39" i="112" s="1"/>
  <c r="BD39" i="112"/>
  <c r="BE39" i="112" s="1"/>
  <c r="BK40" i="112"/>
  <c r="AN40" i="112"/>
  <c r="AK40" i="112"/>
  <c r="AT40" i="112"/>
  <c r="K41" i="112"/>
  <c r="AH40" i="112"/>
  <c r="AE40" i="112"/>
  <c r="M40" i="112"/>
  <c r="AB40" i="112"/>
  <c r="BQ40" i="112"/>
  <c r="BJ40" i="112"/>
  <c r="BL40" i="112" s="1"/>
  <c r="V40" i="112"/>
  <c r="R40" i="112"/>
  <c r="T40" i="112" s="1"/>
  <c r="Y40" i="112" s="1"/>
  <c r="BN40" i="112"/>
  <c r="BO40" i="112" s="1"/>
  <c r="AY40" i="112"/>
  <c r="BR39" i="112"/>
  <c r="AT33" i="150"/>
  <c r="AT33" i="156"/>
  <c r="BA37" i="15"/>
  <c r="BB37" i="15" s="1"/>
  <c r="BG37" i="15"/>
  <c r="BH37" i="15" s="1"/>
  <c r="BA38" i="136"/>
  <c r="BB38" i="136" s="1"/>
  <c r="BG38" i="136"/>
  <c r="BH38" i="136" s="1"/>
  <c r="BA38" i="151"/>
  <c r="BB38" i="151" s="1"/>
  <c r="BG38" i="151"/>
  <c r="BH38" i="151" s="1"/>
  <c r="BA38" i="155"/>
  <c r="BB38" i="155" s="1"/>
  <c r="BG38" i="155"/>
  <c r="BH38" i="155" s="1"/>
  <c r="BA38" i="153"/>
  <c r="BB38" i="153" s="1"/>
  <c r="BG37" i="149"/>
  <c r="BH37" i="149" s="1"/>
  <c r="BA37" i="149"/>
  <c r="BB37" i="149" s="1"/>
  <c r="BG37" i="156"/>
  <c r="BH37" i="156" s="1"/>
  <c r="BA37" i="156"/>
  <c r="BB37" i="156" s="1"/>
  <c r="A43" i="7"/>
  <c r="AY39" i="155" s="1"/>
  <c r="AY38" i="156"/>
  <c r="AY39" i="152"/>
  <c r="AY39" i="153"/>
  <c r="AY39" i="150"/>
  <c r="AY39" i="136"/>
  <c r="AY38" i="130"/>
  <c r="AY39" i="130"/>
  <c r="AY38" i="15"/>
  <c r="AI40" i="130"/>
  <c r="AQ40" i="130"/>
  <c r="AR40" i="130" s="1"/>
  <c r="K42" i="130"/>
  <c r="M41" i="130"/>
  <c r="BN41" i="130"/>
  <c r="BO41" i="130" s="1"/>
  <c r="V41" i="130"/>
  <c r="BQ41" i="130"/>
  <c r="BL41" i="130"/>
  <c r="AK41" i="130"/>
  <c r="AB41" i="130"/>
  <c r="AE41" i="130"/>
  <c r="AN41" i="130"/>
  <c r="AH41" i="130"/>
  <c r="R41" i="130"/>
  <c r="T41" i="130" s="1"/>
  <c r="Y41" i="130" s="1"/>
  <c r="AV32" i="156"/>
  <c r="AW32" i="156" s="1"/>
  <c r="BD32" i="156"/>
  <c r="BE32" i="156" s="1"/>
  <c r="AV32" i="150"/>
  <c r="AW32" i="150" s="1"/>
  <c r="BD32" i="150"/>
  <c r="BE32" i="150" s="1"/>
  <c r="Z42" i="150"/>
  <c r="BE40" i="110"/>
  <c r="AW40" i="63"/>
  <c r="BH40" i="126"/>
  <c r="Z44" i="149"/>
  <c r="Z40" i="110"/>
  <c r="T35" i="155"/>
  <c r="Y35" i="155" s="1"/>
  <c r="Z35" i="155" s="1"/>
  <c r="R36" i="155"/>
  <c r="W21" i="155"/>
  <c r="O22" i="155"/>
  <c r="AF44" i="124"/>
  <c r="BH42" i="146"/>
  <c r="AW42" i="146"/>
  <c r="AO44" i="149"/>
  <c r="W42" i="146"/>
  <c r="W43" i="151"/>
  <c r="Z43" i="151"/>
  <c r="R41" i="110"/>
  <c r="AO45" i="152"/>
  <c r="Z45" i="152"/>
  <c r="AO45" i="153"/>
  <c r="AF45" i="155"/>
  <c r="BR45" i="155"/>
  <c r="V46" i="155"/>
  <c r="AB46" i="155"/>
  <c r="AH46" i="155"/>
  <c r="AN46" i="155"/>
  <c r="BN46" i="155"/>
  <c r="BO46" i="155" s="1"/>
  <c r="M46" i="155"/>
  <c r="BQ46" i="155"/>
  <c r="AE46" i="155"/>
  <c r="AK46" i="155"/>
  <c r="BL46" i="155"/>
  <c r="AC45" i="155"/>
  <c r="W45" i="155"/>
  <c r="AO45" i="155"/>
  <c r="K47" i="155"/>
  <c r="I48" i="155"/>
  <c r="AQ45" i="155"/>
  <c r="AR45" i="155" s="1"/>
  <c r="AI45" i="155"/>
  <c r="BD32" i="130"/>
  <c r="BE32" i="130" s="1"/>
  <c r="AV32" i="130"/>
  <c r="AW32" i="130" s="1"/>
  <c r="AV32" i="120"/>
  <c r="AW32" i="120" s="1"/>
  <c r="BD32" i="120"/>
  <c r="BE32" i="120" s="1"/>
  <c r="AV32" i="13"/>
  <c r="AW32" i="13" s="1"/>
  <c r="BD32" i="13"/>
  <c r="BE32" i="13" s="1"/>
  <c r="BD32" i="17"/>
  <c r="BE32" i="17" s="1"/>
  <c r="AV32" i="17"/>
  <c r="AW32" i="17" s="1"/>
  <c r="A35" i="58"/>
  <c r="AT33" i="136"/>
  <c r="AT33" i="13"/>
  <c r="AT33" i="17"/>
  <c r="AT33" i="120"/>
  <c r="AV32" i="136"/>
  <c r="AW32" i="136" s="1"/>
  <c r="BD32" i="136"/>
  <c r="BE32" i="136" s="1"/>
  <c r="AV33" i="15"/>
  <c r="AW33" i="15" s="1"/>
  <c r="BD33" i="15"/>
  <c r="BE33" i="15" s="1"/>
  <c r="AL45" i="152"/>
  <c r="AC45" i="152"/>
  <c r="AI45" i="153"/>
  <c r="BR45" i="153"/>
  <c r="AQ45" i="153"/>
  <c r="AR45" i="153" s="1"/>
  <c r="AC45" i="153"/>
  <c r="AL45" i="153"/>
  <c r="AF45" i="153"/>
  <c r="I51" i="153"/>
  <c r="R46" i="153"/>
  <c r="T46" i="153" s="1"/>
  <c r="Y46" i="153" s="1"/>
  <c r="AE46" i="153"/>
  <c r="AK46" i="153"/>
  <c r="M46" i="153"/>
  <c r="O46" i="153"/>
  <c r="V46" i="153"/>
  <c r="AB46" i="153"/>
  <c r="AH46" i="153"/>
  <c r="AN46" i="153"/>
  <c r="BN46" i="153"/>
  <c r="BO46" i="153" s="1"/>
  <c r="P46" i="153"/>
  <c r="BQ46" i="153"/>
  <c r="BL46" i="153"/>
  <c r="K47" i="153"/>
  <c r="Z45" i="153"/>
  <c r="BR45" i="152"/>
  <c r="AQ45" i="152"/>
  <c r="AR45" i="152" s="1"/>
  <c r="AI45" i="152"/>
  <c r="I55" i="152"/>
  <c r="O46" i="152"/>
  <c r="V46" i="152"/>
  <c r="AB46" i="152"/>
  <c r="AH46" i="152"/>
  <c r="AN46" i="152"/>
  <c r="P46" i="152"/>
  <c r="BN46" i="152"/>
  <c r="BO46" i="152" s="1"/>
  <c r="R46" i="152"/>
  <c r="T46" i="152" s="1"/>
  <c r="Y46" i="152" s="1"/>
  <c r="AE46" i="152"/>
  <c r="AK46" i="152"/>
  <c r="M46" i="152"/>
  <c r="BQ46" i="152"/>
  <c r="BL46" i="152"/>
  <c r="K47" i="152"/>
  <c r="AF45" i="152"/>
  <c r="W45" i="152"/>
  <c r="AF40" i="114"/>
  <c r="AW40" i="114"/>
  <c r="BH40" i="110"/>
  <c r="BA41" i="64"/>
  <c r="BB41" i="64" s="1"/>
  <c r="AQ42" i="150"/>
  <c r="AR42" i="150" s="1"/>
  <c r="AC43" i="151"/>
  <c r="AF43" i="151"/>
  <c r="BR43" i="151"/>
  <c r="AI43" i="151"/>
  <c r="AL43" i="151"/>
  <c r="K45" i="151"/>
  <c r="I46" i="151"/>
  <c r="AO43" i="151"/>
  <c r="AQ43" i="151"/>
  <c r="AR43" i="151" s="1"/>
  <c r="AK44" i="151"/>
  <c r="AE44" i="151"/>
  <c r="R44" i="151"/>
  <c r="T44" i="151" s="1"/>
  <c r="Y44" i="151" s="1"/>
  <c r="AN44" i="151"/>
  <c r="AH44" i="151"/>
  <c r="AB44" i="151"/>
  <c r="V44" i="151"/>
  <c r="O44" i="151"/>
  <c r="BQ44" i="151"/>
  <c r="P44" i="151"/>
  <c r="BN44" i="151"/>
  <c r="BO44" i="151" s="1"/>
  <c r="M44" i="151"/>
  <c r="BL44" i="151"/>
  <c r="W42" i="150"/>
  <c r="AN43" i="150"/>
  <c r="AH43" i="150"/>
  <c r="AB43" i="150"/>
  <c r="V43" i="150"/>
  <c r="O43" i="150"/>
  <c r="BQ43" i="150"/>
  <c r="P43" i="150"/>
  <c r="AK43" i="150"/>
  <c r="AE43" i="150"/>
  <c r="R43" i="150"/>
  <c r="T43" i="150" s="1"/>
  <c r="Y43" i="150" s="1"/>
  <c r="BN43" i="150"/>
  <c r="BO43" i="150" s="1"/>
  <c r="M43" i="150"/>
  <c r="BL43" i="150"/>
  <c r="K44" i="150"/>
  <c r="AC42" i="150"/>
  <c r="I47" i="150"/>
  <c r="BR42" i="150"/>
  <c r="AI42" i="150"/>
  <c r="AF42" i="150"/>
  <c r="AL42" i="150"/>
  <c r="AO42" i="150"/>
  <c r="AQ44" i="149"/>
  <c r="AR44" i="149" s="1"/>
  <c r="K46" i="149"/>
  <c r="I47" i="149"/>
  <c r="W44" i="149"/>
  <c r="AN45" i="149"/>
  <c r="AH45" i="149"/>
  <c r="AB45" i="149"/>
  <c r="V45" i="149"/>
  <c r="O45" i="149"/>
  <c r="BQ45" i="149"/>
  <c r="AK45" i="149"/>
  <c r="AE45" i="149"/>
  <c r="R45" i="149"/>
  <c r="T45" i="149" s="1"/>
  <c r="Y45" i="149" s="1"/>
  <c r="P45" i="149"/>
  <c r="BN45" i="149"/>
  <c r="BO45" i="149" s="1"/>
  <c r="M45" i="149"/>
  <c r="BL45" i="149"/>
  <c r="AF44" i="149"/>
  <c r="AC44" i="149"/>
  <c r="AL44" i="149"/>
  <c r="BR44" i="149"/>
  <c r="AI44" i="149"/>
  <c r="AV43" i="147"/>
  <c r="AW43" i="147" s="1"/>
  <c r="AV40" i="115"/>
  <c r="AW40" i="115" s="1"/>
  <c r="BH43" i="147"/>
  <c r="BA38" i="120"/>
  <c r="BB38" i="120" s="1"/>
  <c r="Z38" i="13"/>
  <c r="AW41" i="64"/>
  <c r="BE43" i="147"/>
  <c r="AO38" i="13"/>
  <c r="BR38" i="13"/>
  <c r="BE41" i="135"/>
  <c r="BH41" i="135"/>
  <c r="BR43" i="147"/>
  <c r="AF38" i="13"/>
  <c r="BB38" i="13"/>
  <c r="W43" i="147"/>
  <c r="Z39" i="15"/>
  <c r="BB40" i="63"/>
  <c r="Z42" i="146"/>
  <c r="Z43" i="147"/>
  <c r="K45" i="147"/>
  <c r="AH45" i="147" s="1"/>
  <c r="I46" i="147"/>
  <c r="AC43" i="147"/>
  <c r="BA43" i="147"/>
  <c r="BB43" i="147" s="1"/>
  <c r="AT44" i="147"/>
  <c r="BD44" i="147" s="1"/>
  <c r="AB44" i="147"/>
  <c r="V44" i="147"/>
  <c r="AE44" i="147"/>
  <c r="BQ44" i="147"/>
  <c r="AY44" i="147"/>
  <c r="BG44" i="147" s="1"/>
  <c r="R44" i="147"/>
  <c r="T44" i="147" s="1"/>
  <c r="Y44" i="147" s="1"/>
  <c r="BN44" i="147"/>
  <c r="BO44" i="147" s="1"/>
  <c r="M44" i="147"/>
  <c r="BK44" i="147"/>
  <c r="BJ44" i="147"/>
  <c r="BL44" i="147" s="1"/>
  <c r="W25" i="147"/>
  <c r="O26" i="147"/>
  <c r="AF43" i="147"/>
  <c r="AI43" i="147"/>
  <c r="AF42" i="146"/>
  <c r="BD42" i="146"/>
  <c r="BE42" i="146" s="1"/>
  <c r="AT43" i="146"/>
  <c r="AV43" i="146" s="1"/>
  <c r="AB43" i="146"/>
  <c r="V43" i="146"/>
  <c r="BQ43" i="146"/>
  <c r="AY43" i="146"/>
  <c r="BA43" i="146" s="1"/>
  <c r="AE43" i="146"/>
  <c r="R43" i="146"/>
  <c r="T43" i="146" s="1"/>
  <c r="Y43" i="146" s="1"/>
  <c r="BK43" i="146"/>
  <c r="BJ43" i="146"/>
  <c r="BL43" i="146" s="1"/>
  <c r="M43" i="146"/>
  <c r="BN43" i="146"/>
  <c r="BO43" i="146" s="1"/>
  <c r="AC42" i="146"/>
  <c r="BA42" i="146"/>
  <c r="BB42" i="146" s="1"/>
  <c r="I45" i="146"/>
  <c r="K44" i="146"/>
  <c r="AH44" i="146" s="1"/>
  <c r="BR42" i="146"/>
  <c r="AI42" i="146"/>
  <c r="W24" i="146"/>
  <c r="O25" i="146"/>
  <c r="BG39" i="118"/>
  <c r="BH39" i="118" s="1"/>
  <c r="AQ42" i="136"/>
  <c r="AR42" i="136" s="1"/>
  <c r="BR40" i="63"/>
  <c r="AC40" i="98"/>
  <c r="AF42" i="136"/>
  <c r="AQ40" i="63"/>
  <c r="AR40" i="63" s="1"/>
  <c r="BR44" i="124"/>
  <c r="Z38" i="17"/>
  <c r="BH38" i="120"/>
  <c r="AL38" i="13"/>
  <c r="AC38" i="13"/>
  <c r="BG38" i="17"/>
  <c r="BH38" i="17" s="1"/>
  <c r="BE40" i="126"/>
  <c r="AQ40" i="126"/>
  <c r="AR40" i="126" s="1"/>
  <c r="BE44" i="124"/>
  <c r="AQ38" i="120"/>
  <c r="AR38" i="120" s="1"/>
  <c r="BA40" i="110"/>
  <c r="BB40" i="110" s="1"/>
  <c r="BD39" i="101"/>
  <c r="BE39" i="101" s="1"/>
  <c r="AF39" i="101"/>
  <c r="AO39" i="101"/>
  <c r="AV44" i="124"/>
  <c r="AW44" i="124" s="1"/>
  <c r="BR40" i="96"/>
  <c r="AQ38" i="13"/>
  <c r="AR38" i="13" s="1"/>
  <c r="AO40" i="110"/>
  <c r="AQ39" i="101"/>
  <c r="AR39" i="101" s="1"/>
  <c r="AI39" i="15"/>
  <c r="W39" i="15"/>
  <c r="BR40" i="110"/>
  <c r="W40" i="110"/>
  <c r="AL40" i="110"/>
  <c r="BB40" i="96"/>
  <c r="BE40" i="96"/>
  <c r="AL40" i="96"/>
  <c r="AV41" i="135"/>
  <c r="AW41" i="135" s="1"/>
  <c r="Z38" i="66"/>
  <c r="Z41" i="64"/>
  <c r="BH41" i="64"/>
  <c r="AF41" i="64"/>
  <c r="AL41" i="64"/>
  <c r="BG40" i="114"/>
  <c r="BH40" i="114" s="1"/>
  <c r="AQ39" i="118"/>
  <c r="AR39" i="118" s="1"/>
  <c r="AL39" i="118"/>
  <c r="W39" i="118"/>
  <c r="AQ38" i="17"/>
  <c r="AR38" i="17" s="1"/>
  <c r="W40" i="63"/>
  <c r="AV40" i="126"/>
  <c r="AW40" i="126" s="1"/>
  <c r="AO40" i="126"/>
  <c r="AO41" i="135"/>
  <c r="BD38" i="66"/>
  <c r="BE38" i="66" s="1"/>
  <c r="BB38" i="66"/>
  <c r="AI38" i="66"/>
  <c r="AO38" i="66"/>
  <c r="BD43" i="99"/>
  <c r="BE43" i="99" s="1"/>
  <c r="AC41" i="64"/>
  <c r="AQ40" i="114"/>
  <c r="AR40" i="114" s="1"/>
  <c r="AI40" i="114"/>
  <c r="AO40" i="114"/>
  <c r="AV40" i="110"/>
  <c r="AW40" i="110" s="1"/>
  <c r="AF38" i="17"/>
  <c r="BB38" i="17"/>
  <c r="BG40" i="63"/>
  <c r="BH40" i="63" s="1"/>
  <c r="AC40" i="63"/>
  <c r="AF40" i="63"/>
  <c r="BA40" i="126"/>
  <c r="BB40" i="126" s="1"/>
  <c r="BG40" i="115"/>
  <c r="BH40" i="115" s="1"/>
  <c r="AC40" i="115"/>
  <c r="AI40" i="115"/>
  <c r="W40" i="115"/>
  <c r="BG44" i="124"/>
  <c r="BH44" i="124" s="1"/>
  <c r="AC44" i="124"/>
  <c r="W44" i="124"/>
  <c r="AQ40" i="96"/>
  <c r="AR40" i="96" s="1"/>
  <c r="AO40" i="96"/>
  <c r="BH40" i="96"/>
  <c r="BR41" i="135"/>
  <c r="AF41" i="135"/>
  <c r="BD41" i="64"/>
  <c r="BE41" i="64" s="1"/>
  <c r="AO41" i="64"/>
  <c r="AI41" i="64"/>
  <c r="W41" i="64"/>
  <c r="BE39" i="118"/>
  <c r="AC39" i="118"/>
  <c r="AC40" i="110"/>
  <c r="AO40" i="63"/>
  <c r="AI40" i="63"/>
  <c r="BB44" i="124"/>
  <c r="AI44" i="124"/>
  <c r="Z40" i="96"/>
  <c r="W40" i="96"/>
  <c r="AF40" i="96"/>
  <c r="Z41" i="135"/>
  <c r="AL41" i="135"/>
  <c r="AI41" i="135"/>
  <c r="BG38" i="66"/>
  <c r="BH38" i="66" s="1"/>
  <c r="BG41" i="96"/>
  <c r="BN41" i="96"/>
  <c r="BO41" i="96" s="1"/>
  <c r="AH41" i="96"/>
  <c r="AE41" i="96"/>
  <c r="V41" i="96"/>
  <c r="AT41" i="96"/>
  <c r="BD41" i="96" s="1"/>
  <c r="M41" i="96"/>
  <c r="AB41" i="96"/>
  <c r="AN41" i="96"/>
  <c r="AK41" i="96"/>
  <c r="BL41" i="96"/>
  <c r="BQ41" i="96"/>
  <c r="BA41" i="96"/>
  <c r="R41" i="96"/>
  <c r="T41" i="96" s="1"/>
  <c r="Y41" i="96" s="1"/>
  <c r="BR42" i="136"/>
  <c r="AI42" i="136"/>
  <c r="Z38" i="120"/>
  <c r="AL38" i="120"/>
  <c r="W38" i="120"/>
  <c r="AC38" i="120"/>
  <c r="AQ38" i="66"/>
  <c r="AR38" i="66" s="1"/>
  <c r="AF38" i="66"/>
  <c r="AL38" i="66"/>
  <c r="BN40" i="15"/>
  <c r="BO40" i="15" s="1"/>
  <c r="BL40" i="15"/>
  <c r="M40" i="15"/>
  <c r="AN40" i="15"/>
  <c r="AB40" i="15"/>
  <c r="BQ40" i="15"/>
  <c r="V40" i="15"/>
  <c r="AK40" i="15"/>
  <c r="AH40" i="15"/>
  <c r="AE40" i="15"/>
  <c r="K41" i="15"/>
  <c r="AQ39" i="15"/>
  <c r="AR39" i="15" s="1"/>
  <c r="AC39" i="15"/>
  <c r="BR39" i="15"/>
  <c r="I43" i="110"/>
  <c r="K42" i="110"/>
  <c r="AN42" i="64"/>
  <c r="AE42" i="64"/>
  <c r="M42" i="64"/>
  <c r="AY42" i="64"/>
  <c r="BG42" i="64" s="1"/>
  <c r="BL42" i="64"/>
  <c r="BN42" i="64"/>
  <c r="BO42" i="64" s="1"/>
  <c r="BQ42" i="64"/>
  <c r="AB42" i="64"/>
  <c r="AH42" i="64"/>
  <c r="AK42" i="64"/>
  <c r="V42" i="64"/>
  <c r="AT42" i="64"/>
  <c r="AV42" i="64" s="1"/>
  <c r="R42" i="64"/>
  <c r="T42" i="64" s="1"/>
  <c r="Y42" i="64" s="1"/>
  <c r="K43" i="64"/>
  <c r="AQ41" i="64"/>
  <c r="AR41" i="64" s="1"/>
  <c r="BJ41" i="114"/>
  <c r="BL41" i="114" s="1"/>
  <c r="BN41" i="114"/>
  <c r="BO41" i="114" s="1"/>
  <c r="BK41" i="114"/>
  <c r="M41" i="114"/>
  <c r="V41" i="114"/>
  <c r="AN41" i="114"/>
  <c r="AE41" i="114"/>
  <c r="AK41" i="114"/>
  <c r="AL41" i="114" s="1"/>
  <c r="AH41" i="114"/>
  <c r="AY41" i="114"/>
  <c r="BA41" i="114" s="1"/>
  <c r="AB41" i="114"/>
  <c r="AT41" i="114"/>
  <c r="AV41" i="114" s="1"/>
  <c r="AW41" i="114" s="1"/>
  <c r="BQ41" i="114"/>
  <c r="K42" i="114"/>
  <c r="R41" i="114"/>
  <c r="T41" i="114" s="1"/>
  <c r="Y41" i="114" s="1"/>
  <c r="BR40" i="114"/>
  <c r="BB40" i="114"/>
  <c r="W40" i="114"/>
  <c r="AV39" i="118"/>
  <c r="AW39" i="118" s="1"/>
  <c r="BR39" i="118"/>
  <c r="AI39" i="118"/>
  <c r="AF39" i="118"/>
  <c r="AQ40" i="110"/>
  <c r="AR40" i="110" s="1"/>
  <c r="BA39" i="101"/>
  <c r="BB39" i="101" s="1"/>
  <c r="AC39" i="101"/>
  <c r="AI39" i="101"/>
  <c r="W39" i="101"/>
  <c r="I47" i="114"/>
  <c r="AL38" i="17"/>
  <c r="W38" i="17"/>
  <c r="BN41" i="63"/>
  <c r="BO41" i="63" s="1"/>
  <c r="M41" i="63"/>
  <c r="BL41" i="63"/>
  <c r="AE41" i="63"/>
  <c r="AK41" i="63"/>
  <c r="AB41" i="63"/>
  <c r="AH41" i="63"/>
  <c r="V41" i="63"/>
  <c r="AN41" i="63"/>
  <c r="AY41" i="63"/>
  <c r="BG41" i="63" s="1"/>
  <c r="BQ41" i="63"/>
  <c r="AT41" i="63"/>
  <c r="AV41" i="63" s="1"/>
  <c r="K42" i="63"/>
  <c r="BR40" i="126"/>
  <c r="AC40" i="126"/>
  <c r="AF40" i="126"/>
  <c r="BR40" i="115"/>
  <c r="AV40" i="96"/>
  <c r="AW40" i="96" s="1"/>
  <c r="AC40" i="96"/>
  <c r="BA41" i="135"/>
  <c r="BB41" i="135" s="1"/>
  <c r="M40" i="101"/>
  <c r="AB40" i="101"/>
  <c r="BG40" i="101"/>
  <c r="BH40" i="101" s="1"/>
  <c r="AH40" i="101"/>
  <c r="AI40" i="101" s="1"/>
  <c r="AT40" i="101"/>
  <c r="AK40" i="101"/>
  <c r="AL40" i="101" s="1"/>
  <c r="AQ40" i="101"/>
  <c r="AR40" i="101" s="1"/>
  <c r="V40" i="101"/>
  <c r="W40" i="101" s="1"/>
  <c r="R40" i="101"/>
  <c r="T40" i="101" s="1"/>
  <c r="O40" i="101"/>
  <c r="AY40" i="101"/>
  <c r="BQ40" i="101"/>
  <c r="BR40" i="101" s="1"/>
  <c r="AN40" i="101"/>
  <c r="AO40" i="101" s="1"/>
  <c r="AV40" i="101"/>
  <c r="AW40" i="101" s="1"/>
  <c r="BD40" i="101"/>
  <c r="BE40" i="101" s="1"/>
  <c r="Y40" i="101"/>
  <c r="Z40" i="101" s="1"/>
  <c r="BA40" i="101"/>
  <c r="BB40" i="101" s="1"/>
  <c r="AE40" i="101"/>
  <c r="AF40" i="101" s="1"/>
  <c r="P40" i="101"/>
  <c r="AK39" i="66"/>
  <c r="AE39" i="66"/>
  <c r="AN39" i="66"/>
  <c r="V39" i="66"/>
  <c r="AH39" i="66"/>
  <c r="BN39" i="66"/>
  <c r="BO39" i="66" s="1"/>
  <c r="M39" i="66"/>
  <c r="AB39" i="66"/>
  <c r="BL39" i="66"/>
  <c r="AY39" i="66"/>
  <c r="BA39" i="66" s="1"/>
  <c r="BQ39" i="66"/>
  <c r="AT39" i="66"/>
  <c r="AV39" i="66" s="1"/>
  <c r="R39" i="66"/>
  <c r="T39" i="66" s="1"/>
  <c r="Y39" i="66" s="1"/>
  <c r="M39" i="13"/>
  <c r="BN39" i="13"/>
  <c r="BO39" i="13" s="1"/>
  <c r="AY39" i="13"/>
  <c r="BA39" i="13" s="1"/>
  <c r="BL39" i="13"/>
  <c r="AH39" i="13"/>
  <c r="AK39" i="13"/>
  <c r="V39" i="13"/>
  <c r="AN39" i="13"/>
  <c r="AE39" i="13"/>
  <c r="BQ39" i="13"/>
  <c r="AB39" i="13"/>
  <c r="R39" i="13"/>
  <c r="T39" i="13" s="1"/>
  <c r="Y39" i="13" s="1"/>
  <c r="BN39" i="17"/>
  <c r="BO39" i="17" s="1"/>
  <c r="BL39" i="17"/>
  <c r="V39" i="17"/>
  <c r="M39" i="17"/>
  <c r="AY39" i="17"/>
  <c r="BA39" i="17" s="1"/>
  <c r="AB39" i="17"/>
  <c r="AE39" i="17"/>
  <c r="AH39" i="17"/>
  <c r="AN39" i="17"/>
  <c r="AK39" i="17"/>
  <c r="BQ39" i="17"/>
  <c r="R39" i="17"/>
  <c r="T39" i="17" s="1"/>
  <c r="Y39" i="17" s="1"/>
  <c r="I50" i="95"/>
  <c r="M42" i="135"/>
  <c r="AE42" i="135"/>
  <c r="AN42" i="135"/>
  <c r="AH42" i="135"/>
  <c r="AK42" i="135"/>
  <c r="V42" i="135"/>
  <c r="BN42" i="135"/>
  <c r="BO42" i="135" s="1"/>
  <c r="AY42" i="135"/>
  <c r="BG42" i="135" s="1"/>
  <c r="AB42" i="135"/>
  <c r="BL42" i="135"/>
  <c r="BQ42" i="135"/>
  <c r="AT42" i="135"/>
  <c r="AV42" i="135" s="1"/>
  <c r="R42" i="135"/>
  <c r="T42" i="135" s="1"/>
  <c r="Y42" i="135" s="1"/>
  <c r="BD40" i="63"/>
  <c r="BE40" i="63" s="1"/>
  <c r="AQ40" i="115"/>
  <c r="AR40" i="115" s="1"/>
  <c r="M45" i="124"/>
  <c r="BN45" i="124"/>
  <c r="BO45" i="124" s="1"/>
  <c r="BJ45" i="124"/>
  <c r="BL45" i="124" s="1"/>
  <c r="K46" i="124"/>
  <c r="AH46" i="124" s="1"/>
  <c r="BK45" i="124"/>
  <c r="V45" i="124"/>
  <c r="AE45" i="124"/>
  <c r="AB45" i="124"/>
  <c r="AT45" i="124"/>
  <c r="AV45" i="124" s="1"/>
  <c r="AY45" i="124"/>
  <c r="BA45" i="124" s="1"/>
  <c r="BQ45" i="124"/>
  <c r="I97" i="99"/>
  <c r="I46" i="63"/>
  <c r="AB39" i="120"/>
  <c r="AH39" i="120"/>
  <c r="M39" i="120"/>
  <c r="V39" i="120"/>
  <c r="AE39" i="120"/>
  <c r="K40" i="120"/>
  <c r="AY39" i="120"/>
  <c r="BA39" i="120" s="1"/>
  <c r="BN39" i="120"/>
  <c r="BO39" i="120" s="1"/>
  <c r="BQ39" i="120"/>
  <c r="AK39" i="120"/>
  <c r="AN39" i="120"/>
  <c r="R39" i="120"/>
  <c r="T39" i="120" s="1"/>
  <c r="Y39" i="120" s="1"/>
  <c r="I48" i="105"/>
  <c r="M43" i="136"/>
  <c r="BN43" i="136"/>
  <c r="BO43" i="136" s="1"/>
  <c r="BL43" i="136"/>
  <c r="AB43" i="136"/>
  <c r="AN43" i="136"/>
  <c r="AH43" i="136"/>
  <c r="AE43" i="136"/>
  <c r="V43" i="136"/>
  <c r="AK43" i="136"/>
  <c r="BQ43" i="136"/>
  <c r="K44" i="136"/>
  <c r="AO42" i="136"/>
  <c r="AC42" i="136"/>
  <c r="AI38" i="120"/>
  <c r="BR38" i="66"/>
  <c r="AC38" i="66"/>
  <c r="W38" i="66"/>
  <c r="AF39" i="15"/>
  <c r="BG38" i="13"/>
  <c r="BH38" i="13" s="1"/>
  <c r="BD40" i="114"/>
  <c r="BE40" i="114" s="1"/>
  <c r="I43" i="96"/>
  <c r="K42" i="96"/>
  <c r="I42" i="101"/>
  <c r="K41" i="101"/>
  <c r="K40" i="66"/>
  <c r="I41" i="66"/>
  <c r="K40" i="13"/>
  <c r="I41" i="13"/>
  <c r="I41" i="17"/>
  <c r="K40" i="17"/>
  <c r="Z39" i="101"/>
  <c r="AL39" i="101"/>
  <c r="BR39" i="101"/>
  <c r="M41" i="115"/>
  <c r="BJ41" i="115"/>
  <c r="BL41" i="115" s="1"/>
  <c r="BK41" i="115"/>
  <c r="BN41" i="115"/>
  <c r="BO41" i="115" s="1"/>
  <c r="V41" i="115"/>
  <c r="AN41" i="115"/>
  <c r="AK41" i="115"/>
  <c r="AH41" i="115"/>
  <c r="AB41" i="115"/>
  <c r="AE41" i="115"/>
  <c r="BQ41" i="115"/>
  <c r="AT41" i="115"/>
  <c r="BD41" i="115" s="1"/>
  <c r="AY41" i="115"/>
  <c r="BA41" i="115" s="1"/>
  <c r="K43" i="135"/>
  <c r="I44" i="135"/>
  <c r="AO38" i="17"/>
  <c r="AI38" i="17"/>
  <c r="Z40" i="126"/>
  <c r="AI40" i="126"/>
  <c r="I48" i="132"/>
  <c r="BE40" i="115"/>
  <c r="AF40" i="115"/>
  <c r="AL40" i="115"/>
  <c r="I46" i="126"/>
  <c r="AQ41" i="135"/>
  <c r="AR41" i="135" s="1"/>
  <c r="K42" i="98"/>
  <c r="BJ41" i="98"/>
  <c r="BL41" i="98" s="1"/>
  <c r="BN41" i="98"/>
  <c r="BO41" i="98" s="1"/>
  <c r="BK41" i="98"/>
  <c r="M41" i="98"/>
  <c r="AQ41" i="98"/>
  <c r="AR41" i="98" s="1"/>
  <c r="R41" i="98"/>
  <c r="T41" i="98" s="1"/>
  <c r="BG41" i="98"/>
  <c r="BH41" i="98" s="1"/>
  <c r="P41" i="98"/>
  <c r="AV41" i="98"/>
  <c r="AW41" i="98" s="1"/>
  <c r="AY41" i="98"/>
  <c r="AH41" i="98"/>
  <c r="AI41" i="98" s="1"/>
  <c r="AN41" i="98"/>
  <c r="AO41" i="98" s="1"/>
  <c r="AT41" i="98"/>
  <c r="AE41" i="98"/>
  <c r="AF41" i="98" s="1"/>
  <c r="V41" i="98"/>
  <c r="W41" i="98" s="1"/>
  <c r="BQ41" i="98"/>
  <c r="BR41" i="98" s="1"/>
  <c r="AB41" i="98"/>
  <c r="AC41" i="98" s="1"/>
  <c r="BA41" i="98"/>
  <c r="BB41" i="98" s="1"/>
  <c r="O41" i="98"/>
  <c r="Y41" i="98"/>
  <c r="Z41" i="98" s="1"/>
  <c r="BD41" i="98"/>
  <c r="BE41" i="98" s="1"/>
  <c r="AK41" i="98"/>
  <c r="AL41" i="98" s="1"/>
  <c r="AO38" i="120"/>
  <c r="AF38" i="120"/>
  <c r="BK43" i="105"/>
  <c r="M43" i="105"/>
  <c r="BN43" i="105"/>
  <c r="BO43" i="105" s="1"/>
  <c r="BJ43" i="105"/>
  <c r="BL43" i="105" s="1"/>
  <c r="BD43" i="105"/>
  <c r="BE43" i="105" s="1"/>
  <c r="O43" i="105"/>
  <c r="BA43" i="105"/>
  <c r="BB43" i="105" s="1"/>
  <c r="AH43" i="105"/>
  <c r="AI43" i="105" s="1"/>
  <c r="V43" i="105"/>
  <c r="W43" i="105" s="1"/>
  <c r="AN43" i="105"/>
  <c r="AO43" i="105" s="1"/>
  <c r="BG43" i="105"/>
  <c r="BH43" i="105" s="1"/>
  <c r="AV43" i="105"/>
  <c r="AW43" i="105" s="1"/>
  <c r="AB43" i="105"/>
  <c r="AC43" i="105" s="1"/>
  <c r="AY43" i="105"/>
  <c r="AQ43" i="105"/>
  <c r="AR43" i="105" s="1"/>
  <c r="AT43" i="105"/>
  <c r="P43" i="105"/>
  <c r="AE43" i="105"/>
  <c r="AF43" i="105" s="1"/>
  <c r="Y43" i="105"/>
  <c r="Z43" i="105" s="1"/>
  <c r="AK43" i="105"/>
  <c r="AL43" i="105" s="1"/>
  <c r="R43" i="105"/>
  <c r="T43" i="105" s="1"/>
  <c r="BQ43" i="105"/>
  <c r="BR43" i="105" s="1"/>
  <c r="K44" i="105"/>
  <c r="I56" i="133"/>
  <c r="I47" i="136"/>
  <c r="AQ43" i="99"/>
  <c r="AR43" i="99" s="1"/>
  <c r="M41" i="110"/>
  <c r="BK41" i="110"/>
  <c r="BJ41" i="110"/>
  <c r="BL41" i="110" s="1"/>
  <c r="BN41" i="110"/>
  <c r="BO41" i="110" s="1"/>
  <c r="AN41" i="110"/>
  <c r="V41" i="110"/>
  <c r="AK41" i="110"/>
  <c r="AT41" i="110"/>
  <c r="AV41" i="110" s="1"/>
  <c r="AH41" i="110"/>
  <c r="AY41" i="110"/>
  <c r="BA41" i="110" s="1"/>
  <c r="AE41" i="110"/>
  <c r="AB41" i="110"/>
  <c r="BQ41" i="110"/>
  <c r="K41" i="118"/>
  <c r="R41" i="118" s="1"/>
  <c r="M40" i="118"/>
  <c r="AH40" i="118"/>
  <c r="BN40" i="118"/>
  <c r="BO40" i="118" s="1"/>
  <c r="AB40" i="118"/>
  <c r="V40" i="118"/>
  <c r="AY40" i="118"/>
  <c r="BG40" i="118" s="1"/>
  <c r="AE40" i="118"/>
  <c r="AK40" i="118"/>
  <c r="AN40" i="118"/>
  <c r="BQ40" i="118"/>
  <c r="AT40" i="118"/>
  <c r="AV40" i="118" s="1"/>
  <c r="I45" i="15"/>
  <c r="I43" i="115"/>
  <c r="K42" i="115"/>
  <c r="R42" i="115" s="1"/>
  <c r="I47" i="64"/>
  <c r="M41" i="126"/>
  <c r="BK41" i="126"/>
  <c r="V41" i="126"/>
  <c r="BJ41" i="126"/>
  <c r="BL41" i="126" s="1"/>
  <c r="BN41" i="126"/>
  <c r="BO41" i="126" s="1"/>
  <c r="AE41" i="126"/>
  <c r="AK41" i="126"/>
  <c r="AB41" i="126"/>
  <c r="AY41" i="126"/>
  <c r="BG41" i="126" s="1"/>
  <c r="AN41" i="126"/>
  <c r="AT41" i="126"/>
  <c r="BD41" i="126" s="1"/>
  <c r="BQ41" i="126"/>
  <c r="K42" i="126"/>
  <c r="AH45" i="126" s="1"/>
  <c r="R41" i="126"/>
  <c r="T41" i="126" s="1"/>
  <c r="Y41" i="126" s="1"/>
  <c r="I45" i="104"/>
  <c r="V24" i="95"/>
  <c r="O30" i="124"/>
  <c r="O31" i="124" s="1"/>
  <c r="O32" i="124" s="1"/>
  <c r="O33" i="124" s="1"/>
  <c r="O34" i="124" s="1"/>
  <c r="O35" i="124" s="1"/>
  <c r="O36" i="124" s="1"/>
  <c r="O37" i="124" s="1"/>
  <c r="O38" i="124" s="1"/>
  <c r="O39" i="124" s="1"/>
  <c r="O40" i="124" s="1"/>
  <c r="O41" i="124" s="1"/>
  <c r="O42" i="124" s="1"/>
  <c r="O43" i="124" s="1"/>
  <c r="O44" i="124" s="1"/>
  <c r="O45" i="124" s="1"/>
  <c r="R41" i="15"/>
  <c r="T40" i="15"/>
  <c r="Y40" i="15" s="1"/>
  <c r="R41" i="136"/>
  <c r="T40" i="136"/>
  <c r="Y40" i="136" s="1"/>
  <c r="Z40" i="136" s="1"/>
  <c r="T41" i="63"/>
  <c r="Y41" i="63" s="1"/>
  <c r="R42" i="63"/>
  <c r="T42" i="124"/>
  <c r="Y42" i="124" s="1"/>
  <c r="Z42" i="124" s="1"/>
  <c r="R43" i="124"/>
  <c r="W23" i="98"/>
  <c r="O24" i="98"/>
  <c r="P25" i="115"/>
  <c r="O28" i="64"/>
  <c r="W22" i="105"/>
  <c r="O23" i="105"/>
  <c r="P26" i="129"/>
  <c r="V25" i="129"/>
  <c r="V24" i="13"/>
  <c r="P24" i="130"/>
  <c r="P27" i="114"/>
  <c r="V26" i="114"/>
  <c r="W26" i="114" s="1"/>
  <c r="W23" i="107"/>
  <c r="O24" i="107"/>
  <c r="P23" i="99"/>
  <c r="W24" i="126"/>
  <c r="O25" i="126"/>
  <c r="P25" i="66"/>
  <c r="O26" i="114"/>
  <c r="W25" i="114"/>
  <c r="P26" i="101"/>
  <c r="T39" i="99"/>
  <c r="Y39" i="99" s="1"/>
  <c r="Z39" i="99" s="1"/>
  <c r="R40" i="99"/>
  <c r="P25" i="106"/>
  <c r="V23" i="120"/>
  <c r="P24" i="118"/>
  <c r="T40" i="118"/>
  <c r="Y40" i="118" s="1"/>
  <c r="W23" i="63"/>
  <c r="O24" i="63"/>
  <c r="V23" i="112"/>
  <c r="V23" i="135"/>
  <c r="W24" i="110"/>
  <c r="O25" i="110"/>
  <c r="V25" i="96"/>
  <c r="P26" i="96"/>
  <c r="V23" i="136"/>
  <c r="T41" i="115"/>
  <c r="Y41" i="115" s="1"/>
  <c r="V28" i="64"/>
  <c r="W28" i="64" s="1"/>
  <c r="P29" i="64"/>
  <c r="V24" i="15"/>
  <c r="W24" i="17"/>
  <c r="O25" i="17"/>
  <c r="P25" i="104"/>
  <c r="BR41" i="126" l="1"/>
  <c r="AO43" i="136"/>
  <c r="BB41" i="115"/>
  <c r="AC41" i="126"/>
  <c r="W41" i="115"/>
  <c r="AO40" i="118"/>
  <c r="AC41" i="115"/>
  <c r="AC42" i="135"/>
  <c r="BE41" i="129"/>
  <c r="W40" i="112"/>
  <c r="AC41" i="130"/>
  <c r="Z39" i="95"/>
  <c r="BR39" i="95"/>
  <c r="AW39" i="95"/>
  <c r="AF39" i="95"/>
  <c r="M45" i="107"/>
  <c r="R45" i="107"/>
  <c r="T45" i="107" s="1"/>
  <c r="AN45" i="107"/>
  <c r="AO45" i="107" s="1"/>
  <c r="BQ45" i="107"/>
  <c r="BR45" i="107" s="1"/>
  <c r="Y45" i="107"/>
  <c r="Z45" i="107" s="1"/>
  <c r="AK45" i="107"/>
  <c r="AL45" i="107" s="1"/>
  <c r="AY45" i="107"/>
  <c r="O45" i="107"/>
  <c r="AB45" i="107"/>
  <c r="AC45" i="107" s="1"/>
  <c r="BN45" i="107"/>
  <c r="BO45" i="107" s="1"/>
  <c r="AT45" i="107"/>
  <c r="AE45" i="107"/>
  <c r="AF45" i="107" s="1"/>
  <c r="AV45" i="107"/>
  <c r="AW45" i="107" s="1"/>
  <c r="BG45" i="107"/>
  <c r="BH45" i="107" s="1"/>
  <c r="V45" i="107"/>
  <c r="W45" i="107" s="1"/>
  <c r="AH45" i="107"/>
  <c r="AI45" i="107" s="1"/>
  <c r="BJ45" i="107"/>
  <c r="BL45" i="107" s="1"/>
  <c r="BK45" i="107"/>
  <c r="BA45" i="107"/>
  <c r="BB45" i="107" s="1"/>
  <c r="AQ45" i="107"/>
  <c r="AR45" i="107" s="1"/>
  <c r="BD45" i="107"/>
  <c r="BE45" i="107" s="1"/>
  <c r="P45" i="107"/>
  <c r="AI39" i="17"/>
  <c r="W40" i="15"/>
  <c r="Z41" i="130"/>
  <c r="AB43" i="99"/>
  <c r="AC43" i="99" s="1"/>
  <c r="AH43" i="99"/>
  <c r="AI43" i="99" s="1"/>
  <c r="BA43" i="99"/>
  <c r="BB43" i="99" s="1"/>
  <c r="BJ43" i="99"/>
  <c r="BL43" i="99" s="1"/>
  <c r="AE43" i="99"/>
  <c r="AF43" i="99" s="1"/>
  <c r="AY43" i="99"/>
  <c r="BG43" i="99" s="1"/>
  <c r="BH43" i="99" s="1"/>
  <c r="AT43" i="99"/>
  <c r="AV43" i="99" s="1"/>
  <c r="AW43" i="99" s="1"/>
  <c r="AN43" i="99"/>
  <c r="AO43" i="99" s="1"/>
  <c r="M43" i="99"/>
  <c r="BN43" i="99"/>
  <c r="BO43" i="99" s="1"/>
  <c r="AK43" i="99"/>
  <c r="AL43" i="99" s="1"/>
  <c r="K44" i="99"/>
  <c r="V43" i="99"/>
  <c r="W43" i="99" s="1"/>
  <c r="BQ43" i="99"/>
  <c r="BR43" i="99" s="1"/>
  <c r="BK43" i="99"/>
  <c r="I47" i="107"/>
  <c r="K46" i="107"/>
  <c r="BD43" i="132"/>
  <c r="BE43" i="132" s="1"/>
  <c r="AH43" i="132"/>
  <c r="AI43" i="132" s="1"/>
  <c r="BN43" i="132"/>
  <c r="BO43" i="132" s="1"/>
  <c r="BL43" i="132"/>
  <c r="O43" i="132"/>
  <c r="Y43" i="132"/>
  <c r="Z43" i="132" s="1"/>
  <c r="AK43" i="132"/>
  <c r="AL43" i="132" s="1"/>
  <c r="V43" i="132"/>
  <c r="W43" i="132" s="1"/>
  <c r="K44" i="132"/>
  <c r="BQ43" i="132"/>
  <c r="BR43" i="132" s="1"/>
  <c r="AB43" i="132"/>
  <c r="AC43" i="132" s="1"/>
  <c r="AE43" i="132"/>
  <c r="AF43" i="132" s="1"/>
  <c r="AQ43" i="132"/>
  <c r="AR43" i="132" s="1"/>
  <c r="AN43" i="132"/>
  <c r="AO43" i="132" s="1"/>
  <c r="BG43" i="132"/>
  <c r="BH43" i="132" s="1"/>
  <c r="AV43" i="132"/>
  <c r="AW43" i="132" s="1"/>
  <c r="M43" i="132"/>
  <c r="AY43" i="132"/>
  <c r="BA43" i="132"/>
  <c r="BB43" i="132" s="1"/>
  <c r="P43" i="132"/>
  <c r="R43" i="132"/>
  <c r="T43" i="132" s="1"/>
  <c r="AT43" i="132"/>
  <c r="AL42" i="135"/>
  <c r="BH41" i="63"/>
  <c r="BR45" i="156"/>
  <c r="BB39" i="120"/>
  <c r="W45" i="156"/>
  <c r="BG38" i="150"/>
  <c r="BH38" i="150" s="1"/>
  <c r="BG38" i="152"/>
  <c r="BH38" i="152" s="1"/>
  <c r="AO45" i="156"/>
  <c r="AC45" i="156"/>
  <c r="V22" i="156"/>
  <c r="W43" i="136"/>
  <c r="AF45" i="156"/>
  <c r="BH39" i="95"/>
  <c r="AI39" i="95"/>
  <c r="R38" i="156"/>
  <c r="T37" i="156"/>
  <c r="Y37" i="156" s="1"/>
  <c r="Z37" i="156" s="1"/>
  <c r="I78" i="161"/>
  <c r="K77" i="161"/>
  <c r="BQ77" i="161" s="1"/>
  <c r="BD76" i="161"/>
  <c r="BE76" i="161" s="1"/>
  <c r="AQ76" i="161"/>
  <c r="AR76" i="161" s="1"/>
  <c r="AK76" i="161"/>
  <c r="AL76" i="161" s="1"/>
  <c r="AE76" i="161"/>
  <c r="AF76" i="161" s="1"/>
  <c r="Y76" i="161"/>
  <c r="Z76" i="161" s="1"/>
  <c r="R76" i="161"/>
  <c r="T76" i="161" s="1"/>
  <c r="AV76" i="161"/>
  <c r="AW76" i="161" s="1"/>
  <c r="P76" i="161"/>
  <c r="BG76" i="161"/>
  <c r="BH76" i="161" s="1"/>
  <c r="BA76" i="161"/>
  <c r="BB76" i="161" s="1"/>
  <c r="AT76" i="161"/>
  <c r="AN76" i="161"/>
  <c r="AO76" i="161" s="1"/>
  <c r="AH76" i="161"/>
  <c r="AI76" i="161" s="1"/>
  <c r="AB76" i="161"/>
  <c r="AC76" i="161" s="1"/>
  <c r="V76" i="161"/>
  <c r="W76" i="161" s="1"/>
  <c r="O76" i="161"/>
  <c r="AY76" i="161"/>
  <c r="BR76" i="161"/>
  <c r="BJ76" i="161"/>
  <c r="BL76" i="161" s="1"/>
  <c r="M76" i="161"/>
  <c r="BN76" i="161"/>
  <c r="BO76" i="161" s="1"/>
  <c r="BK76" i="161"/>
  <c r="AV41" i="129"/>
  <c r="AW41" i="129" s="1"/>
  <c r="AO39" i="120"/>
  <c r="AF39" i="13"/>
  <c r="W42" i="64"/>
  <c r="AF41" i="130"/>
  <c r="BG40" i="112"/>
  <c r="BH40" i="112" s="1"/>
  <c r="BA40" i="112"/>
  <c r="BB40" i="112" s="1"/>
  <c r="AC40" i="112"/>
  <c r="AL40" i="112"/>
  <c r="BR41" i="129"/>
  <c r="AO41" i="129"/>
  <c r="BD39" i="95"/>
  <c r="BE39" i="95" s="1"/>
  <c r="AO40" i="112"/>
  <c r="K42" i="104"/>
  <c r="AN41" i="104"/>
  <c r="AO41" i="104" s="1"/>
  <c r="BQ41" i="104"/>
  <c r="BR41" i="104" s="1"/>
  <c r="AK41" i="104"/>
  <c r="AL41" i="104" s="1"/>
  <c r="BJ41" i="104"/>
  <c r="BL41" i="104" s="1"/>
  <c r="AY41" i="104"/>
  <c r="AH41" i="104"/>
  <c r="AI41" i="104" s="1"/>
  <c r="P41" i="104"/>
  <c r="BK41" i="104"/>
  <c r="R41" i="104"/>
  <c r="T41" i="104" s="1"/>
  <c r="AV41" i="104"/>
  <c r="AW41" i="104" s="1"/>
  <c r="AT41" i="104"/>
  <c r="M41" i="104"/>
  <c r="AB41" i="104"/>
  <c r="AC41" i="104" s="1"/>
  <c r="V41" i="104"/>
  <c r="W41" i="104" s="1"/>
  <c r="AQ41" i="104"/>
  <c r="AR41" i="104" s="1"/>
  <c r="BN41" i="104"/>
  <c r="BO41" i="104" s="1"/>
  <c r="BD41" i="104"/>
  <c r="BE41" i="104" s="1"/>
  <c r="O41" i="104"/>
  <c r="AE41" i="104"/>
  <c r="AF41" i="104" s="1"/>
  <c r="BG41" i="104"/>
  <c r="BH41" i="104" s="1"/>
  <c r="Y41" i="104"/>
  <c r="Z41" i="104" s="1"/>
  <c r="BA41" i="104"/>
  <c r="BB41" i="104" s="1"/>
  <c r="W40" i="118"/>
  <c r="AL41" i="130"/>
  <c r="Z40" i="112"/>
  <c r="AF40" i="112"/>
  <c r="K47" i="156"/>
  <c r="I48" i="156"/>
  <c r="BK41" i="106"/>
  <c r="BJ41" i="106"/>
  <c r="BL41" i="106" s="1"/>
  <c r="BN41" i="106"/>
  <c r="BO41" i="106" s="1"/>
  <c r="BG41" i="106"/>
  <c r="BH41" i="106" s="1"/>
  <c r="AH41" i="106"/>
  <c r="AI41" i="106" s="1"/>
  <c r="M41" i="106"/>
  <c r="O41" i="106"/>
  <c r="AE41" i="106"/>
  <c r="AF41" i="106" s="1"/>
  <c r="BD41" i="106"/>
  <c r="BE41" i="106" s="1"/>
  <c r="AV41" i="106"/>
  <c r="AW41" i="106" s="1"/>
  <c r="P41" i="106"/>
  <c r="AQ41" i="106"/>
  <c r="AR41" i="106" s="1"/>
  <c r="BA41" i="106"/>
  <c r="BB41" i="106" s="1"/>
  <c r="AY41" i="106"/>
  <c r="R41" i="106"/>
  <c r="T41" i="106" s="1"/>
  <c r="AK41" i="106"/>
  <c r="AL41" i="106" s="1"/>
  <c r="AN41" i="106"/>
  <c r="AO41" i="106" s="1"/>
  <c r="BQ41" i="106"/>
  <c r="BR41" i="106" s="1"/>
  <c r="Y41" i="106"/>
  <c r="Z41" i="106" s="1"/>
  <c r="AB41" i="106"/>
  <c r="AC41" i="106" s="1"/>
  <c r="AT41" i="106"/>
  <c r="V41" i="106"/>
  <c r="W41" i="106" s="1"/>
  <c r="K42" i="106"/>
  <c r="AQ44" i="133"/>
  <c r="AR44" i="133" s="1"/>
  <c r="V44" i="133"/>
  <c r="W44" i="133" s="1"/>
  <c r="Y44" i="133"/>
  <c r="Z44" i="133" s="1"/>
  <c r="AN44" i="133"/>
  <c r="AO44" i="133" s="1"/>
  <c r="M44" i="133"/>
  <c r="P44" i="133"/>
  <c r="R44" i="133"/>
  <c r="T44" i="133" s="1"/>
  <c r="AY44" i="133"/>
  <c r="BN44" i="133"/>
  <c r="BO44" i="133" s="1"/>
  <c r="AV44" i="133"/>
  <c r="AW44" i="133" s="1"/>
  <c r="AE44" i="133"/>
  <c r="AF44" i="133" s="1"/>
  <c r="AH44" i="133"/>
  <c r="AI44" i="133" s="1"/>
  <c r="BD44" i="133"/>
  <c r="BE44" i="133" s="1"/>
  <c r="BG44" i="133"/>
  <c r="BH44" i="133" s="1"/>
  <c r="BL44" i="133"/>
  <c r="BA44" i="133"/>
  <c r="BB44" i="133" s="1"/>
  <c r="AB44" i="133"/>
  <c r="AC44" i="133" s="1"/>
  <c r="AT44" i="133"/>
  <c r="O44" i="133"/>
  <c r="BQ44" i="133"/>
  <c r="BR44" i="133" s="1"/>
  <c r="AK44" i="133"/>
  <c r="AL44" i="133" s="1"/>
  <c r="K45" i="133"/>
  <c r="I48" i="106"/>
  <c r="BH41" i="129"/>
  <c r="AL41" i="129"/>
  <c r="W39" i="95"/>
  <c r="AO41" i="110"/>
  <c r="R42" i="110"/>
  <c r="T42" i="110" s="1"/>
  <c r="Y42" i="110" s="1"/>
  <c r="AQ40" i="112"/>
  <c r="AR40" i="112" s="1"/>
  <c r="AI40" i="112"/>
  <c r="BN46" i="156"/>
  <c r="BO46" i="156" s="1"/>
  <c r="V46" i="156"/>
  <c r="AE46" i="156"/>
  <c r="AB46" i="156"/>
  <c r="AK46" i="156"/>
  <c r="AH46" i="156"/>
  <c r="M46" i="156"/>
  <c r="AN46" i="156"/>
  <c r="BQ46" i="156"/>
  <c r="BL46" i="156"/>
  <c r="W41" i="129"/>
  <c r="K43" i="129"/>
  <c r="AB42" i="129"/>
  <c r="BL42" i="129"/>
  <c r="M42" i="129"/>
  <c r="V42" i="129"/>
  <c r="BN42" i="129"/>
  <c r="BO42" i="129" s="1"/>
  <c r="BQ42" i="129"/>
  <c r="AE42" i="129"/>
  <c r="AH42" i="129"/>
  <c r="AN42" i="129"/>
  <c r="AK42" i="129"/>
  <c r="AY42" i="129"/>
  <c r="BG42" i="129" s="1"/>
  <c r="AT42" i="129"/>
  <c r="R42" i="129"/>
  <c r="T42" i="129" s="1"/>
  <c r="Y42" i="129" s="1"/>
  <c r="AK40" i="95"/>
  <c r="BA40" i="95"/>
  <c r="M40" i="95"/>
  <c r="AT40" i="95"/>
  <c r="BD40" i="95" s="1"/>
  <c r="BQ40" i="95"/>
  <c r="V40" i="95"/>
  <c r="BL40" i="95"/>
  <c r="AN40" i="95"/>
  <c r="K41" i="95"/>
  <c r="BG40" i="95"/>
  <c r="BN40" i="95"/>
  <c r="BO40" i="95" s="1"/>
  <c r="AE40" i="95"/>
  <c r="AB40" i="95"/>
  <c r="AH40" i="95"/>
  <c r="R40" i="95"/>
  <c r="T40" i="95" s="1"/>
  <c r="Y40" i="95" s="1"/>
  <c r="Z40" i="95" s="1"/>
  <c r="BB39" i="95"/>
  <c r="AI39" i="13"/>
  <c r="BR42" i="64"/>
  <c r="BR41" i="130"/>
  <c r="BA39" i="151"/>
  <c r="BB39" i="151" s="1"/>
  <c r="K42" i="112"/>
  <c r="AT41" i="112"/>
  <c r="AN41" i="112"/>
  <c r="M41" i="112"/>
  <c r="AB41" i="112"/>
  <c r="BQ41" i="112"/>
  <c r="BK41" i="112"/>
  <c r="AH41" i="112"/>
  <c r="R41" i="112"/>
  <c r="T41" i="112" s="1"/>
  <c r="Y41" i="112" s="1"/>
  <c r="BJ41" i="112"/>
  <c r="BL41" i="112" s="1"/>
  <c r="AE41" i="112"/>
  <c r="BN41" i="112"/>
  <c r="BO41" i="112" s="1"/>
  <c r="V41" i="112"/>
  <c r="AK41" i="112"/>
  <c r="AY41" i="112"/>
  <c r="AC40" i="104"/>
  <c r="AC40" i="106"/>
  <c r="AQ41" i="129"/>
  <c r="AR41" i="129" s="1"/>
  <c r="AI41" i="129"/>
  <c r="AI45" i="156"/>
  <c r="AQ45" i="156"/>
  <c r="AR45" i="156" s="1"/>
  <c r="AQ39" i="95"/>
  <c r="AR39" i="95" s="1"/>
  <c r="AO39" i="95"/>
  <c r="AC39" i="95"/>
  <c r="AI41" i="110"/>
  <c r="AC41" i="63"/>
  <c r="AW42" i="64"/>
  <c r="AF40" i="15"/>
  <c r="AO41" i="130"/>
  <c r="W41" i="130"/>
  <c r="BR40" i="112"/>
  <c r="AV40" i="112"/>
  <c r="AW40" i="112" s="1"/>
  <c r="BD40" i="112"/>
  <c r="BE40" i="112" s="1"/>
  <c r="BA41" i="129"/>
  <c r="BB41" i="129" s="1"/>
  <c r="AF41" i="129"/>
  <c r="AL45" i="156"/>
  <c r="AL39" i="95"/>
  <c r="T41" i="110"/>
  <c r="Y41" i="110" s="1"/>
  <c r="Z41" i="110" s="1"/>
  <c r="Z43" i="150"/>
  <c r="AF43" i="150"/>
  <c r="W44" i="151"/>
  <c r="Z44" i="151"/>
  <c r="AT34" i="150"/>
  <c r="AT34" i="156"/>
  <c r="AI41" i="130"/>
  <c r="AQ41" i="130"/>
  <c r="AR41" i="130" s="1"/>
  <c r="BL42" i="130"/>
  <c r="K43" i="130"/>
  <c r="M42" i="130"/>
  <c r="BN42" i="130"/>
  <c r="BO42" i="130" s="1"/>
  <c r="BQ42" i="130"/>
  <c r="AB42" i="130"/>
  <c r="AH42" i="130"/>
  <c r="AN42" i="130"/>
  <c r="AE42" i="130"/>
  <c r="V42" i="130"/>
  <c r="AK42" i="130"/>
  <c r="R42" i="130"/>
  <c r="T42" i="130" s="1"/>
  <c r="Y42" i="130" s="1"/>
  <c r="BA38" i="15"/>
  <c r="BB38" i="15" s="1"/>
  <c r="BG38" i="15"/>
  <c r="BH38" i="15" s="1"/>
  <c r="BG39" i="130"/>
  <c r="BH39" i="130" s="1"/>
  <c r="BA39" i="130"/>
  <c r="BB39" i="130" s="1"/>
  <c r="BA38" i="130"/>
  <c r="BB38" i="130" s="1"/>
  <c r="BG38" i="130"/>
  <c r="BH38" i="130" s="1"/>
  <c r="BA39" i="136"/>
  <c r="BB39" i="136" s="1"/>
  <c r="BG39" i="136"/>
  <c r="BH39" i="136" s="1"/>
  <c r="BG39" i="150"/>
  <c r="BH39" i="150" s="1"/>
  <c r="BA39" i="150"/>
  <c r="BB39" i="150" s="1"/>
  <c r="BG39" i="151"/>
  <c r="BH39" i="151" s="1"/>
  <c r="BA39" i="155"/>
  <c r="BB39" i="155" s="1"/>
  <c r="BG39" i="155"/>
  <c r="BH39" i="155" s="1"/>
  <c r="BG39" i="153"/>
  <c r="BH39" i="153" s="1"/>
  <c r="BA39" i="153"/>
  <c r="BB39" i="153" s="1"/>
  <c r="BG39" i="152"/>
  <c r="BH39" i="152" s="1"/>
  <c r="BA39" i="152"/>
  <c r="BB39" i="152" s="1"/>
  <c r="BA38" i="149"/>
  <c r="BB38" i="149" s="1"/>
  <c r="BG38" i="149"/>
  <c r="BH38" i="149" s="1"/>
  <c r="BG38" i="156"/>
  <c r="BH38" i="156" s="1"/>
  <c r="BA38" i="156"/>
  <c r="BB38" i="156" s="1"/>
  <c r="A44" i="7"/>
  <c r="AY40" i="150" s="1"/>
  <c r="AY39" i="156"/>
  <c r="AY39" i="15"/>
  <c r="AV33" i="156"/>
  <c r="AW33" i="156" s="1"/>
  <c r="BD33" i="156"/>
  <c r="BE33" i="156" s="1"/>
  <c r="AV33" i="150"/>
  <c r="AW33" i="150" s="1"/>
  <c r="BD33" i="150"/>
  <c r="BE33" i="150" s="1"/>
  <c r="BB45" i="124"/>
  <c r="Z45" i="149"/>
  <c r="W43" i="150"/>
  <c r="T36" i="155"/>
  <c r="Y36" i="155" s="1"/>
  <c r="Z36" i="155" s="1"/>
  <c r="R37" i="155"/>
  <c r="AW42" i="135"/>
  <c r="AC45" i="124"/>
  <c r="P22" i="155"/>
  <c r="AC46" i="153"/>
  <c r="BR46" i="153"/>
  <c r="AI46" i="153"/>
  <c r="AF46" i="155"/>
  <c r="BR46" i="155"/>
  <c r="AL46" i="155"/>
  <c r="K48" i="155"/>
  <c r="I49" i="155"/>
  <c r="AI46" i="155"/>
  <c r="M47" i="155"/>
  <c r="BQ47" i="155"/>
  <c r="V47" i="155"/>
  <c r="AB47" i="155"/>
  <c r="AH47" i="155"/>
  <c r="AN47" i="155"/>
  <c r="AE47" i="155"/>
  <c r="AK47" i="155"/>
  <c r="BN47" i="155"/>
  <c r="BO47" i="155" s="1"/>
  <c r="BL47" i="155"/>
  <c r="AQ46" i="155"/>
  <c r="AR46" i="155" s="1"/>
  <c r="AC46" i="155"/>
  <c r="W46" i="155"/>
  <c r="AO46" i="155"/>
  <c r="AT34" i="15"/>
  <c r="BD34" i="15" s="1"/>
  <c r="BE34" i="15" s="1"/>
  <c r="BD33" i="120"/>
  <c r="BE33" i="120" s="1"/>
  <c r="AV33" i="120"/>
  <c r="AW33" i="120" s="1"/>
  <c r="BD33" i="13"/>
  <c r="BE33" i="13" s="1"/>
  <c r="AV33" i="13"/>
  <c r="AW33" i="13" s="1"/>
  <c r="A36" i="58"/>
  <c r="AT35" i="120"/>
  <c r="AT34" i="17"/>
  <c r="AT34" i="136"/>
  <c r="AT34" i="120"/>
  <c r="AT34" i="130"/>
  <c r="AT34" i="13"/>
  <c r="AV33" i="136"/>
  <c r="AW33" i="136" s="1"/>
  <c r="BD33" i="136"/>
  <c r="BE33" i="136" s="1"/>
  <c r="BD33" i="17"/>
  <c r="BE33" i="17" s="1"/>
  <c r="AV33" i="17"/>
  <c r="AW33" i="17" s="1"/>
  <c r="Z46" i="153"/>
  <c r="O47" i="153"/>
  <c r="V47" i="153"/>
  <c r="AB47" i="153"/>
  <c r="AH47" i="153"/>
  <c r="AN47" i="153"/>
  <c r="AK47" i="153"/>
  <c r="BQ47" i="153"/>
  <c r="M47" i="153"/>
  <c r="AE47" i="153"/>
  <c r="P47" i="153"/>
  <c r="BN47" i="153"/>
  <c r="BO47" i="153" s="1"/>
  <c r="R47" i="153"/>
  <c r="T47" i="153" s="1"/>
  <c r="Y47" i="153" s="1"/>
  <c r="BL47" i="153"/>
  <c r="K48" i="153"/>
  <c r="W46" i="153"/>
  <c r="AO46" i="153"/>
  <c r="AQ46" i="153"/>
  <c r="AR46" i="153" s="1"/>
  <c r="AL46" i="153"/>
  <c r="AF46" i="153"/>
  <c r="I52" i="153"/>
  <c r="AL46" i="152"/>
  <c r="Z46" i="152"/>
  <c r="O47" i="152"/>
  <c r="V47" i="152"/>
  <c r="AB47" i="152"/>
  <c r="AH47" i="152"/>
  <c r="AN47" i="152"/>
  <c r="P47" i="152"/>
  <c r="BN47" i="152"/>
  <c r="BO47" i="152" s="1"/>
  <c r="R47" i="152"/>
  <c r="T47" i="152" s="1"/>
  <c r="Y47" i="152" s="1"/>
  <c r="AE47" i="152"/>
  <c r="AK47" i="152"/>
  <c r="M47" i="152"/>
  <c r="BQ47" i="152"/>
  <c r="BL47" i="152"/>
  <c r="K48" i="152"/>
  <c r="AF46" i="152"/>
  <c r="W46" i="152"/>
  <c r="AO46" i="152"/>
  <c r="BR46" i="152"/>
  <c r="AQ46" i="152"/>
  <c r="AR46" i="152" s="1"/>
  <c r="AI46" i="152"/>
  <c r="AC46" i="152"/>
  <c r="I56" i="152"/>
  <c r="AQ43" i="150"/>
  <c r="AR43" i="150" s="1"/>
  <c r="BA42" i="135"/>
  <c r="BB42" i="135" s="1"/>
  <c r="Z41" i="63"/>
  <c r="Z40" i="15"/>
  <c r="Z44" i="147"/>
  <c r="AF44" i="147"/>
  <c r="Z41" i="115"/>
  <c r="BH44" i="147"/>
  <c r="W44" i="147"/>
  <c r="O46" i="124"/>
  <c r="BA42" i="64"/>
  <c r="BB42" i="64" s="1"/>
  <c r="AQ45" i="149"/>
  <c r="AR45" i="149" s="1"/>
  <c r="AK45" i="151"/>
  <c r="AE45" i="151"/>
  <c r="R45" i="151"/>
  <c r="T45" i="151" s="1"/>
  <c r="Y45" i="151" s="1"/>
  <c r="AN45" i="151"/>
  <c r="AH45" i="151"/>
  <c r="AB45" i="151"/>
  <c r="V45" i="151"/>
  <c r="O45" i="151"/>
  <c r="BQ45" i="151"/>
  <c r="P45" i="151"/>
  <c r="BN45" i="151"/>
  <c r="BO45" i="151" s="1"/>
  <c r="M45" i="151"/>
  <c r="BL45" i="151"/>
  <c r="AC44" i="151"/>
  <c r="AF44" i="151"/>
  <c r="BR44" i="151"/>
  <c r="AI44" i="151"/>
  <c r="AL44" i="151"/>
  <c r="AO44" i="151"/>
  <c r="AQ44" i="151"/>
  <c r="AR44" i="151" s="1"/>
  <c r="K46" i="151"/>
  <c r="I47" i="151"/>
  <c r="AN44" i="150"/>
  <c r="AH44" i="150"/>
  <c r="AB44" i="150"/>
  <c r="V44" i="150"/>
  <c r="O44" i="150"/>
  <c r="BQ44" i="150"/>
  <c r="P44" i="150"/>
  <c r="AK44" i="150"/>
  <c r="R44" i="150"/>
  <c r="T44" i="150" s="1"/>
  <c r="Y44" i="150" s="1"/>
  <c r="AE44" i="150"/>
  <c r="M44" i="150"/>
  <c r="BN44" i="150"/>
  <c r="BO44" i="150" s="1"/>
  <c r="BL44" i="150"/>
  <c r="K45" i="150"/>
  <c r="AC43" i="150"/>
  <c r="BR43" i="150"/>
  <c r="AI43" i="150"/>
  <c r="I48" i="150"/>
  <c r="AL43" i="150"/>
  <c r="AO43" i="150"/>
  <c r="W45" i="149"/>
  <c r="AF45" i="149"/>
  <c r="AC45" i="149"/>
  <c r="I48" i="149"/>
  <c r="K47" i="149"/>
  <c r="AO45" i="149"/>
  <c r="AL45" i="149"/>
  <c r="BR45" i="149"/>
  <c r="AI45" i="149"/>
  <c r="AN46" i="149"/>
  <c r="AH46" i="149"/>
  <c r="AB46" i="149"/>
  <c r="V46" i="149"/>
  <c r="O46" i="149"/>
  <c r="BQ46" i="149"/>
  <c r="AK46" i="149"/>
  <c r="AE46" i="149"/>
  <c r="R46" i="149"/>
  <c r="T46" i="149" s="1"/>
  <c r="Y46" i="149" s="1"/>
  <c r="P46" i="149"/>
  <c r="BN46" i="149"/>
  <c r="BO46" i="149" s="1"/>
  <c r="M46" i="149"/>
  <c r="BL46" i="149"/>
  <c r="AQ40" i="15"/>
  <c r="AR40" i="15" s="1"/>
  <c r="BA40" i="118"/>
  <c r="BB40" i="118" s="1"/>
  <c r="BG41" i="114"/>
  <c r="BH41" i="114" s="1"/>
  <c r="BR43" i="146"/>
  <c r="BB39" i="66"/>
  <c r="AF39" i="66"/>
  <c r="AW43" i="146"/>
  <c r="Z40" i="118"/>
  <c r="Z39" i="66"/>
  <c r="AQ39" i="66"/>
  <c r="AR39" i="66" s="1"/>
  <c r="BE44" i="147"/>
  <c r="Z43" i="146"/>
  <c r="BB43" i="146"/>
  <c r="AI43" i="146"/>
  <c r="AC44" i="147"/>
  <c r="AV44" i="147"/>
  <c r="AW44" i="147" s="1"/>
  <c r="BA44" i="147"/>
  <c r="BB44" i="147" s="1"/>
  <c r="AI44" i="147"/>
  <c r="I47" i="147"/>
  <c r="K46" i="147"/>
  <c r="AH46" i="147" s="1"/>
  <c r="P26" i="147"/>
  <c r="BR44" i="147"/>
  <c r="AT45" i="147"/>
  <c r="BD45" i="147" s="1"/>
  <c r="AB45" i="147"/>
  <c r="V45" i="147"/>
  <c r="AY45" i="147"/>
  <c r="BG45" i="147" s="1"/>
  <c r="R45" i="147"/>
  <c r="T45" i="147" s="1"/>
  <c r="Y45" i="147" s="1"/>
  <c r="AE45" i="147"/>
  <c r="BK45" i="147"/>
  <c r="BQ45" i="147"/>
  <c r="M45" i="147"/>
  <c r="BN45" i="147"/>
  <c r="BO45" i="147" s="1"/>
  <c r="BJ45" i="147"/>
  <c r="BL45" i="147" s="1"/>
  <c r="BG43" i="146"/>
  <c r="BH43" i="146" s="1"/>
  <c r="BD43" i="146"/>
  <c r="BE43" i="146" s="1"/>
  <c r="I46" i="146"/>
  <c r="K45" i="146"/>
  <c r="AH45" i="146" s="1"/>
  <c r="W43" i="146"/>
  <c r="AF43" i="146"/>
  <c r="AC43" i="146"/>
  <c r="P25" i="146"/>
  <c r="AT44" i="146"/>
  <c r="AV44" i="146" s="1"/>
  <c r="AB44" i="146"/>
  <c r="V44" i="146"/>
  <c r="BQ44" i="146"/>
  <c r="AY44" i="146"/>
  <c r="BG44" i="146" s="1"/>
  <c r="AE44" i="146"/>
  <c r="R44" i="146"/>
  <c r="T44" i="146" s="1"/>
  <c r="Y44" i="146" s="1"/>
  <c r="BJ44" i="146"/>
  <c r="BL44" i="146" s="1"/>
  <c r="BN44" i="146"/>
  <c r="BO44" i="146" s="1"/>
  <c r="BK44" i="146"/>
  <c r="M44" i="146"/>
  <c r="AQ43" i="136"/>
  <c r="AR43" i="136" s="1"/>
  <c r="Z39" i="120"/>
  <c r="AO41" i="126"/>
  <c r="AL41" i="126"/>
  <c r="W41" i="126"/>
  <c r="BB41" i="110"/>
  <c r="W41" i="110"/>
  <c r="BH40" i="118"/>
  <c r="AI40" i="118"/>
  <c r="AQ41" i="110"/>
  <c r="AR41" i="110" s="1"/>
  <c r="AV41" i="115"/>
  <c r="AW41" i="115" s="1"/>
  <c r="AF41" i="115"/>
  <c r="AO41" i="115"/>
  <c r="Z39" i="17"/>
  <c r="AO39" i="17"/>
  <c r="BB39" i="17"/>
  <c r="BH41" i="126"/>
  <c r="AF41" i="126"/>
  <c r="BR39" i="17"/>
  <c r="AF39" i="17"/>
  <c r="W39" i="17"/>
  <c r="AI41" i="114"/>
  <c r="W41" i="114"/>
  <c r="Z41" i="96"/>
  <c r="AL41" i="96"/>
  <c r="BE41" i="96"/>
  <c r="AL39" i="17"/>
  <c r="AC39" i="17"/>
  <c r="AC39" i="13"/>
  <c r="W39" i="13"/>
  <c r="BB39" i="13"/>
  <c r="AW41" i="63"/>
  <c r="BB41" i="96"/>
  <c r="AO41" i="96"/>
  <c r="BH42" i="135"/>
  <c r="AV41" i="126"/>
  <c r="AW41" i="126" s="1"/>
  <c r="AW41" i="110"/>
  <c r="BG39" i="120"/>
  <c r="BH39" i="120" s="1"/>
  <c r="W39" i="120"/>
  <c r="BR39" i="66"/>
  <c r="AC39" i="66"/>
  <c r="W39" i="66"/>
  <c r="AQ42" i="64"/>
  <c r="AR42" i="64" s="1"/>
  <c r="BR41" i="96"/>
  <c r="AC41" i="96"/>
  <c r="AF41" i="96"/>
  <c r="BA41" i="126"/>
  <c r="BB41" i="126" s="1"/>
  <c r="AW40" i="118"/>
  <c r="AL40" i="118"/>
  <c r="AC40" i="118"/>
  <c r="BD41" i="110"/>
  <c r="BE41" i="110" s="1"/>
  <c r="BE41" i="115"/>
  <c r="AL39" i="120"/>
  <c r="AI39" i="120"/>
  <c r="BE41" i="126"/>
  <c r="AQ41" i="126"/>
  <c r="AR41" i="126" s="1"/>
  <c r="BR40" i="118"/>
  <c r="AF40" i="118"/>
  <c r="BG41" i="115"/>
  <c r="BH41" i="115" s="1"/>
  <c r="BR41" i="115"/>
  <c r="AL41" i="115"/>
  <c r="BD42" i="135"/>
  <c r="BE42" i="135" s="1"/>
  <c r="AO39" i="13"/>
  <c r="BG44" i="99"/>
  <c r="BH44" i="99" s="1"/>
  <c r="BR45" i="124"/>
  <c r="AW45" i="124"/>
  <c r="BR41" i="63"/>
  <c r="W41" i="63"/>
  <c r="AF41" i="63"/>
  <c r="AL40" i="15"/>
  <c r="AC40" i="15"/>
  <c r="BD40" i="118"/>
  <c r="BE40" i="118" s="1"/>
  <c r="AV44" i="99"/>
  <c r="AW44" i="99" s="1"/>
  <c r="BA41" i="63"/>
  <c r="BB41" i="63" s="1"/>
  <c r="AI41" i="63"/>
  <c r="BD41" i="114"/>
  <c r="BE41" i="114" s="1"/>
  <c r="AO40" i="15"/>
  <c r="BR39" i="120"/>
  <c r="BG39" i="17"/>
  <c r="BH39" i="17" s="1"/>
  <c r="Z39" i="13"/>
  <c r="BR39" i="13"/>
  <c r="AL39" i="13"/>
  <c r="AW39" i="66"/>
  <c r="AI39" i="66"/>
  <c r="AO41" i="63"/>
  <c r="AL41" i="63"/>
  <c r="AQ41" i="114"/>
  <c r="AR41" i="114" s="1"/>
  <c r="AC41" i="114"/>
  <c r="AF41" i="114"/>
  <c r="BH42" i="64"/>
  <c r="AI40" i="15"/>
  <c r="BR40" i="15"/>
  <c r="BG41" i="110"/>
  <c r="BH41" i="110" s="1"/>
  <c r="I49" i="132"/>
  <c r="M40" i="13"/>
  <c r="BN40" i="13"/>
  <c r="BO40" i="13" s="1"/>
  <c r="BL40" i="13"/>
  <c r="AE40" i="13"/>
  <c r="AH40" i="13"/>
  <c r="AK40" i="13"/>
  <c r="AN40" i="13"/>
  <c r="BQ40" i="13"/>
  <c r="V40" i="13"/>
  <c r="AB40" i="13"/>
  <c r="R40" i="13"/>
  <c r="T40" i="13" s="1"/>
  <c r="Y40" i="13" s="1"/>
  <c r="I42" i="66"/>
  <c r="K41" i="66"/>
  <c r="I43" i="101"/>
  <c r="K42" i="101"/>
  <c r="M44" i="136"/>
  <c r="BN44" i="136"/>
  <c r="BO44" i="136" s="1"/>
  <c r="BL44" i="136"/>
  <c r="AN44" i="136"/>
  <c r="AE44" i="136"/>
  <c r="V44" i="136"/>
  <c r="AH44" i="136"/>
  <c r="AB44" i="136"/>
  <c r="AK44" i="136"/>
  <c r="BQ44" i="136"/>
  <c r="K45" i="136"/>
  <c r="I47" i="63"/>
  <c r="AE43" i="64"/>
  <c r="AN43" i="64"/>
  <c r="AK43" i="64"/>
  <c r="M43" i="64"/>
  <c r="AY43" i="64"/>
  <c r="BA43" i="64" s="1"/>
  <c r="BN43" i="64"/>
  <c r="BO43" i="64" s="1"/>
  <c r="V43" i="64"/>
  <c r="BQ43" i="64"/>
  <c r="BL43" i="64"/>
  <c r="AB43" i="64"/>
  <c r="AH43" i="64"/>
  <c r="AT43" i="64"/>
  <c r="AV43" i="64" s="1"/>
  <c r="K44" i="64"/>
  <c r="R43" i="64"/>
  <c r="T43" i="64" s="1"/>
  <c r="Y43" i="64" s="1"/>
  <c r="I44" i="110"/>
  <c r="K43" i="110"/>
  <c r="I46" i="104"/>
  <c r="M42" i="115"/>
  <c r="BK42" i="115"/>
  <c r="BN42" i="115"/>
  <c r="BO42" i="115" s="1"/>
  <c r="BJ42" i="115"/>
  <c r="BL42" i="115" s="1"/>
  <c r="V42" i="115"/>
  <c r="BQ42" i="115"/>
  <c r="AN42" i="115"/>
  <c r="AH42" i="115"/>
  <c r="AB42" i="115"/>
  <c r="AT42" i="115"/>
  <c r="AV42" i="115" s="1"/>
  <c r="AK42" i="115"/>
  <c r="AE42" i="115"/>
  <c r="AY42" i="115"/>
  <c r="BA42" i="115" s="1"/>
  <c r="BB42" i="115" s="1"/>
  <c r="AQ40" i="118"/>
  <c r="AR40" i="118" s="1"/>
  <c r="BR41" i="110"/>
  <c r="AC41" i="110"/>
  <c r="AQ44" i="99"/>
  <c r="AR44" i="99" s="1"/>
  <c r="I57" i="133"/>
  <c r="BN40" i="17"/>
  <c r="BO40" i="17" s="1"/>
  <c r="BL40" i="17"/>
  <c r="V40" i="17"/>
  <c r="AE40" i="17"/>
  <c r="AN40" i="17"/>
  <c r="AK40" i="17"/>
  <c r="M40" i="17"/>
  <c r="AH40" i="17"/>
  <c r="AB40" i="17"/>
  <c r="BQ40" i="17"/>
  <c r="R40" i="17"/>
  <c r="T40" i="17" s="1"/>
  <c r="Y40" i="17" s="1"/>
  <c r="BL40" i="66"/>
  <c r="V40" i="66"/>
  <c r="M40" i="66"/>
  <c r="AB40" i="66"/>
  <c r="AH40" i="66"/>
  <c r="AN40" i="66"/>
  <c r="AE40" i="66"/>
  <c r="BN40" i="66"/>
  <c r="BO40" i="66" s="1"/>
  <c r="AK40" i="66"/>
  <c r="AY40" i="66"/>
  <c r="BA40" i="66" s="1"/>
  <c r="BQ40" i="66"/>
  <c r="AT40" i="66"/>
  <c r="AV40" i="66" s="1"/>
  <c r="R40" i="66"/>
  <c r="T40" i="66" s="1"/>
  <c r="Y40" i="66" s="1"/>
  <c r="AC43" i="136"/>
  <c r="I49" i="105"/>
  <c r="BG45" i="124"/>
  <c r="BH45" i="124" s="1"/>
  <c r="AF45" i="124"/>
  <c r="BN46" i="124"/>
  <c r="BO46" i="124" s="1"/>
  <c r="BK46" i="124"/>
  <c r="K47" i="124"/>
  <c r="AH47" i="124" s="1"/>
  <c r="M46" i="124"/>
  <c r="AI46" i="124" s="1"/>
  <c r="BJ46" i="124"/>
  <c r="BL46" i="124" s="1"/>
  <c r="V46" i="124"/>
  <c r="AB46" i="124"/>
  <c r="AE46" i="124"/>
  <c r="AT46" i="124"/>
  <c r="AV46" i="124" s="1"/>
  <c r="AY46" i="124"/>
  <c r="BA46" i="124" s="1"/>
  <c r="BQ46" i="124"/>
  <c r="BR42" i="135"/>
  <c r="AI42" i="135"/>
  <c r="I51" i="95"/>
  <c r="BD39" i="66"/>
  <c r="BE39" i="66" s="1"/>
  <c r="BG39" i="66"/>
  <c r="BH39" i="66" s="1"/>
  <c r="AL39" i="66"/>
  <c r="M42" i="63"/>
  <c r="BN42" i="63"/>
  <c r="BO42" i="63" s="1"/>
  <c r="AB42" i="63"/>
  <c r="V42" i="63"/>
  <c r="AE42" i="63"/>
  <c r="AH42" i="63"/>
  <c r="AK42" i="63"/>
  <c r="AN42" i="63"/>
  <c r="BL42" i="63"/>
  <c r="AY42" i="63"/>
  <c r="BA42" i="63" s="1"/>
  <c r="BQ42" i="63"/>
  <c r="AT42" i="63"/>
  <c r="BD42" i="63" s="1"/>
  <c r="K43" i="63"/>
  <c r="I48" i="114"/>
  <c r="Z41" i="114"/>
  <c r="BR41" i="114"/>
  <c r="BB41" i="114"/>
  <c r="AO41" i="114"/>
  <c r="Z42" i="64"/>
  <c r="AL42" i="64"/>
  <c r="AF42" i="64"/>
  <c r="AV41" i="96"/>
  <c r="AW41" i="96" s="1"/>
  <c r="W41" i="96"/>
  <c r="BH41" i="96"/>
  <c r="Z41" i="126"/>
  <c r="AI41" i="126"/>
  <c r="I48" i="64"/>
  <c r="I44" i="115"/>
  <c r="K43" i="115"/>
  <c r="I46" i="15"/>
  <c r="AF41" i="110"/>
  <c r="AL41" i="110"/>
  <c r="BJ44" i="105"/>
  <c r="BL44" i="105" s="1"/>
  <c r="BK44" i="105"/>
  <c r="M44" i="105"/>
  <c r="BN44" i="105"/>
  <c r="BO44" i="105" s="1"/>
  <c r="R44" i="105"/>
  <c r="T44" i="105" s="1"/>
  <c r="AE44" i="105"/>
  <c r="AF44" i="105" s="1"/>
  <c r="BQ44" i="105"/>
  <c r="BR44" i="105" s="1"/>
  <c r="AQ44" i="105"/>
  <c r="AR44" i="105" s="1"/>
  <c r="AK44" i="105"/>
  <c r="AL44" i="105" s="1"/>
  <c r="O44" i="105"/>
  <c r="BD44" i="105"/>
  <c r="BE44" i="105" s="1"/>
  <c r="Y44" i="105"/>
  <c r="Z44" i="105" s="1"/>
  <c r="AY44" i="105"/>
  <c r="AN44" i="105"/>
  <c r="AO44" i="105" s="1"/>
  <c r="AB44" i="105"/>
  <c r="AC44" i="105" s="1"/>
  <c r="AH44" i="105"/>
  <c r="AI44" i="105" s="1"/>
  <c r="AT44" i="105"/>
  <c r="AV44" i="105"/>
  <c r="AW44" i="105" s="1"/>
  <c r="P44" i="105"/>
  <c r="BG44" i="105"/>
  <c r="BH44" i="105" s="1"/>
  <c r="BA44" i="105"/>
  <c r="BB44" i="105" s="1"/>
  <c r="V44" i="105"/>
  <c r="W44" i="105" s="1"/>
  <c r="K45" i="105"/>
  <c r="I47" i="126"/>
  <c r="I45" i="135"/>
  <c r="K44" i="135"/>
  <c r="AQ41" i="115"/>
  <c r="AR41" i="115" s="1"/>
  <c r="AI41" i="115"/>
  <c r="I42" i="17"/>
  <c r="K41" i="17"/>
  <c r="AH42" i="96"/>
  <c r="AB42" i="96"/>
  <c r="AK42" i="96"/>
  <c r="AN42" i="96"/>
  <c r="M42" i="96"/>
  <c r="BN42" i="96"/>
  <c r="BO42" i="96" s="1"/>
  <c r="V42" i="96"/>
  <c r="AT42" i="96"/>
  <c r="AV42" i="96" s="1"/>
  <c r="BG42" i="96"/>
  <c r="AE42" i="96"/>
  <c r="BL42" i="96"/>
  <c r="BQ42" i="96"/>
  <c r="BA42" i="96"/>
  <c r="R42" i="96"/>
  <c r="T42" i="96" s="1"/>
  <c r="Y42" i="96" s="1"/>
  <c r="BR43" i="136"/>
  <c r="AF43" i="136"/>
  <c r="AQ39" i="120"/>
  <c r="AR39" i="120" s="1"/>
  <c r="AE40" i="120"/>
  <c r="AH40" i="120"/>
  <c r="K41" i="120"/>
  <c r="M40" i="120"/>
  <c r="AB40" i="120"/>
  <c r="BN40" i="120"/>
  <c r="BO40" i="120" s="1"/>
  <c r="V40" i="120"/>
  <c r="BQ40" i="120"/>
  <c r="AK40" i="120"/>
  <c r="AN40" i="120"/>
  <c r="R40" i="120"/>
  <c r="T40" i="120" s="1"/>
  <c r="Y40" i="120" s="1"/>
  <c r="I98" i="99"/>
  <c r="AI45" i="124"/>
  <c r="AQ42" i="135"/>
  <c r="AR42" i="135" s="1"/>
  <c r="AO42" i="135"/>
  <c r="AQ39" i="17"/>
  <c r="AR39" i="17" s="1"/>
  <c r="AQ39" i="13"/>
  <c r="AR39" i="13" s="1"/>
  <c r="BD41" i="63"/>
  <c r="BE41" i="63" s="1"/>
  <c r="M42" i="114"/>
  <c r="BN42" i="114"/>
  <c r="BO42" i="114" s="1"/>
  <c r="BK42" i="114"/>
  <c r="BJ42" i="114"/>
  <c r="BL42" i="114" s="1"/>
  <c r="V42" i="114"/>
  <c r="AN42" i="114"/>
  <c r="AE42" i="114"/>
  <c r="AK42" i="114"/>
  <c r="AH42" i="114"/>
  <c r="AY42" i="114"/>
  <c r="BA42" i="114" s="1"/>
  <c r="AT42" i="114"/>
  <c r="AV42" i="114" s="1"/>
  <c r="AB42" i="114"/>
  <c r="BQ42" i="114"/>
  <c r="K43" i="114"/>
  <c r="R42" i="114"/>
  <c r="T42" i="114" s="1"/>
  <c r="Y42" i="114" s="1"/>
  <c r="BD42" i="64"/>
  <c r="BE42" i="64" s="1"/>
  <c r="AI42" i="64"/>
  <c r="AO42" i="64"/>
  <c r="AQ41" i="96"/>
  <c r="AR41" i="96" s="1"/>
  <c r="M42" i="126"/>
  <c r="BN42" i="126"/>
  <c r="BO42" i="126" s="1"/>
  <c r="BJ42" i="126"/>
  <c r="BL42" i="126" s="1"/>
  <c r="BK42" i="126"/>
  <c r="V42" i="126"/>
  <c r="AY42" i="126"/>
  <c r="BA42" i="126" s="1"/>
  <c r="AE42" i="126"/>
  <c r="AB42" i="126"/>
  <c r="AT42" i="126"/>
  <c r="AV42" i="126" s="1"/>
  <c r="AK42" i="126"/>
  <c r="AN42" i="126"/>
  <c r="BQ42" i="126"/>
  <c r="K43" i="126"/>
  <c r="AH46" i="126" s="1"/>
  <c r="R42" i="126"/>
  <c r="T42" i="126" s="1"/>
  <c r="Y42" i="126" s="1"/>
  <c r="M41" i="118"/>
  <c r="K42" i="118"/>
  <c r="R42" i="118" s="1"/>
  <c r="BN41" i="118"/>
  <c r="BO41" i="118" s="1"/>
  <c r="AH41" i="118"/>
  <c r="AY41" i="118"/>
  <c r="BG41" i="118" s="1"/>
  <c r="AB41" i="118"/>
  <c r="V41" i="118"/>
  <c r="AE41" i="118"/>
  <c r="AK41" i="118"/>
  <c r="AN41" i="118"/>
  <c r="BQ41" i="118"/>
  <c r="AT41" i="118"/>
  <c r="AV41" i="118" s="1"/>
  <c r="I48" i="136"/>
  <c r="BK42" i="98"/>
  <c r="K43" i="98"/>
  <c r="BJ42" i="98"/>
  <c r="BL42" i="98" s="1"/>
  <c r="BN42" i="98"/>
  <c r="BO42" i="98" s="1"/>
  <c r="M42" i="98"/>
  <c r="Y42" i="98"/>
  <c r="Z42" i="98" s="1"/>
  <c r="AQ42" i="98"/>
  <c r="AR42" i="98" s="1"/>
  <c r="AY42" i="98"/>
  <c r="BD42" i="98"/>
  <c r="BE42" i="98" s="1"/>
  <c r="AV42" i="98"/>
  <c r="AW42" i="98" s="1"/>
  <c r="R42" i="98"/>
  <c r="T42" i="98" s="1"/>
  <c r="O42" i="98"/>
  <c r="V42" i="98"/>
  <c r="W42" i="98" s="1"/>
  <c r="BG42" i="98"/>
  <c r="BH42" i="98" s="1"/>
  <c r="AB42" i="98"/>
  <c r="AC42" i="98" s="1"/>
  <c r="AE42" i="98"/>
  <c r="AF42" i="98" s="1"/>
  <c r="AN42" i="98"/>
  <c r="AO42" i="98" s="1"/>
  <c r="BA42" i="98"/>
  <c r="BB42" i="98" s="1"/>
  <c r="BQ42" i="98"/>
  <c r="BR42" i="98" s="1"/>
  <c r="P42" i="98"/>
  <c r="AT42" i="98"/>
  <c r="AK42" i="98"/>
  <c r="AL42" i="98" s="1"/>
  <c r="AH42" i="98"/>
  <c r="AI42" i="98" s="1"/>
  <c r="M43" i="135"/>
  <c r="AE43" i="135"/>
  <c r="BN43" i="135"/>
  <c r="BO43" i="135" s="1"/>
  <c r="AK43" i="135"/>
  <c r="V43" i="135"/>
  <c r="AN43" i="135"/>
  <c r="AH43" i="135"/>
  <c r="AY43" i="135"/>
  <c r="BA43" i="135" s="1"/>
  <c r="AB43" i="135"/>
  <c r="BL43" i="135"/>
  <c r="BQ43" i="135"/>
  <c r="AT43" i="135"/>
  <c r="BD43" i="135" s="1"/>
  <c r="R43" i="135"/>
  <c r="T43" i="135" s="1"/>
  <c r="Y43" i="135" s="1"/>
  <c r="I42" i="13"/>
  <c r="K41" i="13"/>
  <c r="M41" i="101"/>
  <c r="AB41" i="101"/>
  <c r="AC41" i="101" s="1"/>
  <c r="AV41" i="101"/>
  <c r="AW41" i="101" s="1"/>
  <c r="V41" i="101"/>
  <c r="W41" i="101" s="1"/>
  <c r="AT41" i="101"/>
  <c r="BG41" i="101"/>
  <c r="BH41" i="101" s="1"/>
  <c r="AQ41" i="101"/>
  <c r="AR41" i="101" s="1"/>
  <c r="AE41" i="101"/>
  <c r="AF41" i="101" s="1"/>
  <c r="P41" i="101"/>
  <c r="R41" i="101"/>
  <c r="T41" i="101" s="1"/>
  <c r="AK41" i="101"/>
  <c r="AL41" i="101" s="1"/>
  <c r="BQ41" i="101"/>
  <c r="BR41" i="101" s="1"/>
  <c r="BD41" i="101"/>
  <c r="BE41" i="101" s="1"/>
  <c r="BA41" i="101"/>
  <c r="BB41" i="101" s="1"/>
  <c r="O41" i="101"/>
  <c r="AH41" i="101"/>
  <c r="AI41" i="101" s="1"/>
  <c r="Y41" i="101"/>
  <c r="Z41" i="101" s="1"/>
  <c r="AY41" i="101"/>
  <c r="AN41" i="101"/>
  <c r="AO41" i="101" s="1"/>
  <c r="K43" i="96"/>
  <c r="I44" i="96"/>
  <c r="AL43" i="136"/>
  <c r="AI43" i="136"/>
  <c r="AF39" i="120"/>
  <c r="AC39" i="120"/>
  <c r="BD45" i="124"/>
  <c r="BE45" i="124" s="1"/>
  <c r="W45" i="124"/>
  <c r="Z42" i="135"/>
  <c r="W42" i="135"/>
  <c r="AF42" i="135"/>
  <c r="BG39" i="13"/>
  <c r="BH39" i="13" s="1"/>
  <c r="AO39" i="66"/>
  <c r="AC40" i="101"/>
  <c r="AQ41" i="63"/>
  <c r="AR41" i="63" s="1"/>
  <c r="AC42" i="64"/>
  <c r="M42" i="110"/>
  <c r="BN42" i="110"/>
  <c r="BO42" i="110" s="1"/>
  <c r="BK42" i="110"/>
  <c r="BJ42" i="110"/>
  <c r="BL42" i="110" s="1"/>
  <c r="V42" i="110"/>
  <c r="AH42" i="110"/>
  <c r="AY42" i="110"/>
  <c r="BA42" i="110" s="1"/>
  <c r="AE42" i="110"/>
  <c r="AN42" i="110"/>
  <c r="AK42" i="110"/>
  <c r="AB42" i="110"/>
  <c r="AT42" i="110"/>
  <c r="AV42" i="110" s="1"/>
  <c r="BQ42" i="110"/>
  <c r="BR42" i="110" s="1"/>
  <c r="BL41" i="15"/>
  <c r="BN41" i="15"/>
  <c r="BO41" i="15" s="1"/>
  <c r="M41" i="15"/>
  <c r="V41" i="15"/>
  <c r="AK41" i="15"/>
  <c r="AN41" i="15"/>
  <c r="AE41" i="15"/>
  <c r="AH41" i="15"/>
  <c r="BQ41" i="15"/>
  <c r="AB41" i="15"/>
  <c r="K42" i="15"/>
  <c r="R42" i="15" s="1"/>
  <c r="AI41" i="96"/>
  <c r="P46" i="124"/>
  <c r="W24" i="95"/>
  <c r="O25" i="95"/>
  <c r="T41" i="15"/>
  <c r="Y41" i="15" s="1"/>
  <c r="T41" i="136"/>
  <c r="Y41" i="136" s="1"/>
  <c r="Z41" i="136" s="1"/>
  <c r="R42" i="136"/>
  <c r="R43" i="63"/>
  <c r="T42" i="63"/>
  <c r="Y42" i="63" s="1"/>
  <c r="P24" i="98"/>
  <c r="T43" i="124"/>
  <c r="Y43" i="124" s="1"/>
  <c r="Z43" i="124" s="1"/>
  <c r="R44" i="124"/>
  <c r="P26" i="115"/>
  <c r="V25" i="115"/>
  <c r="P25" i="126"/>
  <c r="O27" i="114"/>
  <c r="P28" i="114"/>
  <c r="V27" i="114"/>
  <c r="W27" i="114" s="1"/>
  <c r="V25" i="106"/>
  <c r="V25" i="66"/>
  <c r="P26" i="66"/>
  <c r="V23" i="99"/>
  <c r="P24" i="107"/>
  <c r="V24" i="130"/>
  <c r="P27" i="101"/>
  <c r="V26" i="101"/>
  <c r="W24" i="13"/>
  <c r="O25" i="13"/>
  <c r="W25" i="129"/>
  <c r="O26" i="129"/>
  <c r="P23" i="105"/>
  <c r="T40" i="99"/>
  <c r="Y40" i="99" s="1"/>
  <c r="Z40" i="99" s="1"/>
  <c r="R41" i="99"/>
  <c r="V26" i="129"/>
  <c r="W26" i="129" s="1"/>
  <c r="P27" i="129"/>
  <c r="W23" i="120"/>
  <c r="O24" i="120"/>
  <c r="T41" i="118"/>
  <c r="Y41" i="118" s="1"/>
  <c r="V24" i="118"/>
  <c r="W25" i="96"/>
  <c r="O26" i="96"/>
  <c r="V25" i="104"/>
  <c r="P25" i="110"/>
  <c r="R43" i="115"/>
  <c r="T42" i="115"/>
  <c r="Y42" i="115" s="1"/>
  <c r="W23" i="136"/>
  <c r="O24" i="136"/>
  <c r="W23" i="112"/>
  <c r="O24" i="112"/>
  <c r="P25" i="17"/>
  <c r="W24" i="15"/>
  <c r="O25" i="15"/>
  <c r="P30" i="64"/>
  <c r="P31" i="64" s="1"/>
  <c r="P32" i="64" s="1"/>
  <c r="P33" i="64" s="1"/>
  <c r="P34" i="64" s="1"/>
  <c r="P35" i="64" s="1"/>
  <c r="P36" i="64" s="1"/>
  <c r="P37" i="64" s="1"/>
  <c r="P38" i="64" s="1"/>
  <c r="P39" i="64" s="1"/>
  <c r="P40" i="64" s="1"/>
  <c r="P41" i="64" s="1"/>
  <c r="P42" i="64" s="1"/>
  <c r="P43" i="64" s="1"/>
  <c r="P44" i="64" s="1"/>
  <c r="V26" i="96"/>
  <c r="W26" i="96" s="1"/>
  <c r="P27" i="96"/>
  <c r="O29" i="64"/>
  <c r="W23" i="135"/>
  <c r="O24" i="135"/>
  <c r="P24" i="63"/>
  <c r="BR42" i="114" l="1"/>
  <c r="AW43" i="64"/>
  <c r="BH41" i="118"/>
  <c r="AF40" i="66"/>
  <c r="AC43" i="135"/>
  <c r="AC47" i="155"/>
  <c r="AO42" i="129"/>
  <c r="AI42" i="114"/>
  <c r="AL42" i="129"/>
  <c r="Z42" i="63"/>
  <c r="AO42" i="110"/>
  <c r="AC42" i="115"/>
  <c r="AY40" i="155"/>
  <c r="BA40" i="155" s="1"/>
  <c r="BB40" i="155" s="1"/>
  <c r="W42" i="130"/>
  <c r="AF40" i="13"/>
  <c r="AY40" i="153"/>
  <c r="M44" i="99"/>
  <c r="AY44" i="99"/>
  <c r="BA44" i="99" s="1"/>
  <c r="BB44" i="99" s="1"/>
  <c r="AN44" i="99"/>
  <c r="AO44" i="99" s="1"/>
  <c r="BN44" i="99"/>
  <c r="BO44" i="99" s="1"/>
  <c r="AB44" i="99"/>
  <c r="AC44" i="99" s="1"/>
  <c r="BJ44" i="99"/>
  <c r="BL44" i="99" s="1"/>
  <c r="K45" i="99"/>
  <c r="BK44" i="99"/>
  <c r="BQ44" i="99"/>
  <c r="BR44" i="99" s="1"/>
  <c r="AT44" i="99"/>
  <c r="BD44" i="99" s="1"/>
  <c r="BE44" i="99" s="1"/>
  <c r="AK44" i="99"/>
  <c r="AL44" i="99" s="1"/>
  <c r="V44" i="99"/>
  <c r="W44" i="99" s="1"/>
  <c r="AE44" i="99"/>
  <c r="AF44" i="99" s="1"/>
  <c r="AH44" i="99"/>
  <c r="AI44" i="99" s="1"/>
  <c r="AY40" i="13"/>
  <c r="BA40" i="13" s="1"/>
  <c r="AY40" i="152"/>
  <c r="BG40" i="152" s="1"/>
  <c r="BH40" i="152" s="1"/>
  <c r="BN46" i="107"/>
  <c r="BO46" i="107" s="1"/>
  <c r="AK46" i="107"/>
  <c r="AL46" i="107" s="1"/>
  <c r="AY46" i="107"/>
  <c r="AE46" i="107"/>
  <c r="AF46" i="107" s="1"/>
  <c r="M46" i="107"/>
  <c r="AH46" i="107"/>
  <c r="AI46" i="107" s="1"/>
  <c r="BQ46" i="107"/>
  <c r="BR46" i="107" s="1"/>
  <c r="R46" i="107"/>
  <c r="T46" i="107" s="1"/>
  <c r="AN46" i="107"/>
  <c r="AO46" i="107" s="1"/>
  <c r="BG46" i="107"/>
  <c r="BH46" i="107" s="1"/>
  <c r="BD46" i="107"/>
  <c r="BE46" i="107" s="1"/>
  <c r="Y46" i="107"/>
  <c r="Z46" i="107" s="1"/>
  <c r="AV46" i="107"/>
  <c r="AW46" i="107" s="1"/>
  <c r="BJ46" i="107"/>
  <c r="BL46" i="107" s="1"/>
  <c r="V46" i="107"/>
  <c r="W46" i="107" s="1"/>
  <c r="P46" i="107"/>
  <c r="O46" i="107"/>
  <c r="AB46" i="107"/>
  <c r="AC46" i="107" s="1"/>
  <c r="BK46" i="107"/>
  <c r="AQ46" i="107"/>
  <c r="AR46" i="107" s="1"/>
  <c r="AT46" i="107"/>
  <c r="BA46" i="107"/>
  <c r="BB46" i="107" s="1"/>
  <c r="P47" i="124"/>
  <c r="BB42" i="96"/>
  <c r="AT35" i="15"/>
  <c r="BD35" i="15" s="1"/>
  <c r="BE35" i="15" s="1"/>
  <c r="AY40" i="136"/>
  <c r="I48" i="107"/>
  <c r="K47" i="107"/>
  <c r="W42" i="110"/>
  <c r="AL41" i="118"/>
  <c r="W42" i="126"/>
  <c r="AY40" i="120"/>
  <c r="BA40" i="120" s="1"/>
  <c r="AY40" i="17"/>
  <c r="BA40" i="17" s="1"/>
  <c r="W42" i="115"/>
  <c r="AC42" i="130"/>
  <c r="Z42" i="129"/>
  <c r="AF42" i="129"/>
  <c r="AC42" i="129"/>
  <c r="R44" i="132"/>
  <c r="T44" i="132" s="1"/>
  <c r="Y44" i="132"/>
  <c r="Z44" i="132" s="1"/>
  <c r="AB44" i="132"/>
  <c r="AC44" i="132" s="1"/>
  <c r="K45" i="132"/>
  <c r="AN44" i="132"/>
  <c r="AO44" i="132" s="1"/>
  <c r="BQ44" i="132"/>
  <c r="BR44" i="132" s="1"/>
  <c r="M44" i="132"/>
  <c r="O44" i="132"/>
  <c r="BG44" i="132"/>
  <c r="BH44" i="132" s="1"/>
  <c r="BA44" i="132"/>
  <c r="BB44" i="132" s="1"/>
  <c r="BD44" i="132"/>
  <c r="BE44" i="132" s="1"/>
  <c r="AT44" i="132"/>
  <c r="AE44" i="132"/>
  <c r="AF44" i="132" s="1"/>
  <c r="BN44" i="132"/>
  <c r="BO44" i="132" s="1"/>
  <c r="AY44" i="132"/>
  <c r="BL44" i="132"/>
  <c r="AK44" i="132"/>
  <c r="AL44" i="132" s="1"/>
  <c r="V44" i="132"/>
  <c r="W44" i="132" s="1"/>
  <c r="AV44" i="132"/>
  <c r="AW44" i="132" s="1"/>
  <c r="P44" i="132"/>
  <c r="AQ44" i="132"/>
  <c r="AR44" i="132" s="1"/>
  <c r="AH44" i="132"/>
  <c r="AI44" i="132" s="1"/>
  <c r="AC41" i="15"/>
  <c r="AF42" i="130"/>
  <c r="AI40" i="95"/>
  <c r="BH40" i="95"/>
  <c r="W40" i="95"/>
  <c r="BB40" i="95"/>
  <c r="BA42" i="129"/>
  <c r="BB42" i="129" s="1"/>
  <c r="W42" i="129"/>
  <c r="T38" i="156"/>
  <c r="Y38" i="156" s="1"/>
  <c r="Z38" i="156" s="1"/>
  <c r="R39" i="156"/>
  <c r="Z42" i="130"/>
  <c r="AO42" i="130"/>
  <c r="AC40" i="95"/>
  <c r="AL40" i="95"/>
  <c r="AF40" i="95"/>
  <c r="AO40" i="95"/>
  <c r="BE40" i="95"/>
  <c r="W22" i="156"/>
  <c r="O23" i="156"/>
  <c r="BD77" i="161"/>
  <c r="BE77" i="161" s="1"/>
  <c r="AQ77" i="161"/>
  <c r="AR77" i="161" s="1"/>
  <c r="AK77" i="161"/>
  <c r="AL77" i="161" s="1"/>
  <c r="AE77" i="161"/>
  <c r="AF77" i="161" s="1"/>
  <c r="Y77" i="161"/>
  <c r="Z77" i="161" s="1"/>
  <c r="R77" i="161"/>
  <c r="T77" i="161" s="1"/>
  <c r="AV77" i="161"/>
  <c r="AW77" i="161" s="1"/>
  <c r="P77" i="161"/>
  <c r="BG77" i="161"/>
  <c r="BH77" i="161" s="1"/>
  <c r="BA77" i="161"/>
  <c r="BB77" i="161" s="1"/>
  <c r="AT77" i="161"/>
  <c r="AN77" i="161"/>
  <c r="AO77" i="161" s="1"/>
  <c r="AH77" i="161"/>
  <c r="AI77" i="161" s="1"/>
  <c r="AB77" i="161"/>
  <c r="AC77" i="161" s="1"/>
  <c r="V77" i="161"/>
  <c r="W77" i="161" s="1"/>
  <c r="O77" i="161"/>
  <c r="AY77" i="161"/>
  <c r="BR77" i="161"/>
  <c r="BJ77" i="161"/>
  <c r="BL77" i="161" s="1"/>
  <c r="M77" i="161"/>
  <c r="BN77" i="161"/>
  <c r="BO77" i="161" s="1"/>
  <c r="BK77" i="161"/>
  <c r="I79" i="161"/>
  <c r="K78" i="161"/>
  <c r="BQ78" i="161" s="1"/>
  <c r="AV40" i="95"/>
  <c r="AW40" i="95" s="1"/>
  <c r="R43" i="110"/>
  <c r="T43" i="110" s="1"/>
  <c r="Y43" i="110" s="1"/>
  <c r="AO41" i="15"/>
  <c r="BR40" i="13"/>
  <c r="AL41" i="112"/>
  <c r="AI41" i="112"/>
  <c r="AQ41" i="112"/>
  <c r="AR41" i="112" s="1"/>
  <c r="AV41" i="112"/>
  <c r="AW41" i="112" s="1"/>
  <c r="BD41" i="112"/>
  <c r="BE41" i="112" s="1"/>
  <c r="BH42" i="129"/>
  <c r="AL46" i="156"/>
  <c r="AO44" i="136"/>
  <c r="W41" i="112"/>
  <c r="M42" i="112"/>
  <c r="AH42" i="112"/>
  <c r="R42" i="112"/>
  <c r="T42" i="112" s="1"/>
  <c r="Y42" i="112" s="1"/>
  <c r="BK42" i="112"/>
  <c r="AE42" i="112"/>
  <c r="K43" i="112"/>
  <c r="AT42" i="112"/>
  <c r="AY42" i="112"/>
  <c r="V42" i="112"/>
  <c r="BJ42" i="112"/>
  <c r="BL42" i="112" s="1"/>
  <c r="AN42" i="112"/>
  <c r="AK42" i="112"/>
  <c r="BN42" i="112"/>
  <c r="BO42" i="112" s="1"/>
  <c r="AB42" i="112"/>
  <c r="BQ42" i="112"/>
  <c r="AC46" i="156"/>
  <c r="AY42" i="106"/>
  <c r="AN42" i="106"/>
  <c r="AO42" i="106" s="1"/>
  <c r="AH42" i="106"/>
  <c r="AI42" i="106" s="1"/>
  <c r="Y42" i="106"/>
  <c r="Z42" i="106" s="1"/>
  <c r="P42" i="106"/>
  <c r="BD42" i="106"/>
  <c r="BE42" i="106" s="1"/>
  <c r="R42" i="106"/>
  <c r="T42" i="106" s="1"/>
  <c r="AK42" i="106"/>
  <c r="AL42" i="106" s="1"/>
  <c r="AQ42" i="106"/>
  <c r="AR42" i="106" s="1"/>
  <c r="V42" i="106"/>
  <c r="W42" i="106" s="1"/>
  <c r="AE42" i="106"/>
  <c r="AF42" i="106" s="1"/>
  <c r="AV42" i="106"/>
  <c r="AW42" i="106" s="1"/>
  <c r="AB42" i="106"/>
  <c r="AC42" i="106" s="1"/>
  <c r="BG42" i="106"/>
  <c r="BH42" i="106" s="1"/>
  <c r="BA42" i="106"/>
  <c r="BB42" i="106" s="1"/>
  <c r="BQ42" i="106"/>
  <c r="BR42" i="106" s="1"/>
  <c r="O42" i="106"/>
  <c r="AT42" i="106"/>
  <c r="BK42" i="106"/>
  <c r="BJ42" i="106"/>
  <c r="BL42" i="106" s="1"/>
  <c r="BN42" i="106"/>
  <c r="BO42" i="106" s="1"/>
  <c r="M42" i="106"/>
  <c r="K43" i="106"/>
  <c r="I49" i="156"/>
  <c r="K48" i="156"/>
  <c r="BR41" i="112"/>
  <c r="BR46" i="156"/>
  <c r="AF46" i="156"/>
  <c r="I49" i="106"/>
  <c r="AB47" i="156"/>
  <c r="BL47" i="156"/>
  <c r="AH47" i="156"/>
  <c r="AN47" i="156"/>
  <c r="M47" i="156"/>
  <c r="BN47" i="156"/>
  <c r="BO47" i="156" s="1"/>
  <c r="BQ47" i="156"/>
  <c r="AK47" i="156"/>
  <c r="V47" i="156"/>
  <c r="AE47" i="156"/>
  <c r="BD42" i="104"/>
  <c r="BE42" i="104" s="1"/>
  <c r="BQ42" i="104"/>
  <c r="BR42" i="104" s="1"/>
  <c r="AV42" i="104"/>
  <c r="AW42" i="104" s="1"/>
  <c r="AB42" i="104"/>
  <c r="AC42" i="104" s="1"/>
  <c r="BK42" i="104"/>
  <c r="BA42" i="104"/>
  <c r="BB42" i="104" s="1"/>
  <c r="V42" i="104"/>
  <c r="W42" i="104" s="1"/>
  <c r="Y42" i="104"/>
  <c r="Z42" i="104" s="1"/>
  <c r="K43" i="104"/>
  <c r="M42" i="104"/>
  <c r="BG42" i="104"/>
  <c r="BH42" i="104" s="1"/>
  <c r="AY42" i="104"/>
  <c r="O42" i="104"/>
  <c r="BN42" i="104"/>
  <c r="BO42" i="104" s="1"/>
  <c r="AQ42" i="104"/>
  <c r="AR42" i="104" s="1"/>
  <c r="AH42" i="104"/>
  <c r="AI42" i="104" s="1"/>
  <c r="AN42" i="104"/>
  <c r="AO42" i="104" s="1"/>
  <c r="R42" i="104"/>
  <c r="T42" i="104" s="1"/>
  <c r="AT42" i="104"/>
  <c r="AE42" i="104"/>
  <c r="AF42" i="104" s="1"/>
  <c r="AK42" i="104"/>
  <c r="AL42" i="104" s="1"/>
  <c r="P42" i="104"/>
  <c r="BJ42" i="104"/>
  <c r="BL42" i="104" s="1"/>
  <c r="W40" i="120"/>
  <c r="AF42" i="63"/>
  <c r="AC44" i="136"/>
  <c r="AL42" i="130"/>
  <c r="BR42" i="130"/>
  <c r="AF41" i="112"/>
  <c r="AC41" i="112"/>
  <c r="BR40" i="95"/>
  <c r="AV42" i="129"/>
  <c r="AW42" i="129" s="1"/>
  <c r="BD42" i="129"/>
  <c r="BE42" i="129" s="1"/>
  <c r="AI42" i="129"/>
  <c r="AO46" i="156"/>
  <c r="W46" i="156"/>
  <c r="BG45" i="133"/>
  <c r="BH45" i="133" s="1"/>
  <c r="AT45" i="133"/>
  <c r="AV45" i="133"/>
  <c r="AW45" i="133" s="1"/>
  <c r="AK45" i="133"/>
  <c r="AL45" i="133" s="1"/>
  <c r="Y45" i="133"/>
  <c r="Z45" i="133" s="1"/>
  <c r="AE45" i="133"/>
  <c r="AF45" i="133" s="1"/>
  <c r="BL45" i="133"/>
  <c r="BA45" i="133"/>
  <c r="BB45" i="133" s="1"/>
  <c r="R45" i="133"/>
  <c r="T45" i="133" s="1"/>
  <c r="V45" i="133"/>
  <c r="W45" i="133" s="1"/>
  <c r="M45" i="133"/>
  <c r="AB45" i="133"/>
  <c r="AC45" i="133" s="1"/>
  <c r="O45" i="133"/>
  <c r="P45" i="133"/>
  <c r="BN45" i="133"/>
  <c r="BO45" i="133" s="1"/>
  <c r="AN45" i="133"/>
  <c r="AO45" i="133" s="1"/>
  <c r="BQ45" i="133"/>
  <c r="BR45" i="133" s="1"/>
  <c r="AQ45" i="133"/>
  <c r="AR45" i="133" s="1"/>
  <c r="AY45" i="133"/>
  <c r="AH45" i="133"/>
  <c r="AI45" i="133" s="1"/>
  <c r="BD45" i="133"/>
  <c r="BE45" i="133" s="1"/>
  <c r="K46" i="133"/>
  <c r="W43" i="135"/>
  <c r="W42" i="114"/>
  <c r="BH42" i="96"/>
  <c r="BR43" i="64"/>
  <c r="BA41" i="112"/>
  <c r="BB41" i="112" s="1"/>
  <c r="BG41" i="112"/>
  <c r="BH41" i="112" s="1"/>
  <c r="Z41" i="112"/>
  <c r="AO41" i="112"/>
  <c r="AQ40" i="95"/>
  <c r="AR40" i="95" s="1"/>
  <c r="M41" i="95"/>
  <c r="AN41" i="95"/>
  <c r="BQ41" i="95"/>
  <c r="BN41" i="95"/>
  <c r="BO41" i="95" s="1"/>
  <c r="AB41" i="95"/>
  <c r="K42" i="95"/>
  <c r="BL41" i="95"/>
  <c r="AE41" i="95"/>
  <c r="AT41" i="95"/>
  <c r="BD41" i="95" s="1"/>
  <c r="AK41" i="95"/>
  <c r="BG41" i="95"/>
  <c r="AH41" i="95"/>
  <c r="V41" i="95"/>
  <c r="W41" i="95" s="1"/>
  <c r="BA41" i="95"/>
  <c r="R41" i="95"/>
  <c r="T41" i="95" s="1"/>
  <c r="Y41" i="95" s="1"/>
  <c r="AQ42" i="129"/>
  <c r="AR42" i="129" s="1"/>
  <c r="BR42" i="129"/>
  <c r="V43" i="129"/>
  <c r="BL43" i="129"/>
  <c r="K44" i="129"/>
  <c r="AN43" i="129"/>
  <c r="M43" i="129"/>
  <c r="AB43" i="129"/>
  <c r="BN43" i="129"/>
  <c r="BO43" i="129" s="1"/>
  <c r="AH43" i="129"/>
  <c r="AE43" i="129"/>
  <c r="AY43" i="129"/>
  <c r="BG43" i="129" s="1"/>
  <c r="AK43" i="129"/>
  <c r="AL43" i="129" s="1"/>
  <c r="BQ43" i="129"/>
  <c r="AT43" i="129"/>
  <c r="R43" i="129"/>
  <c r="T43" i="129" s="1"/>
  <c r="Y43" i="129" s="1"/>
  <c r="AQ46" i="156"/>
  <c r="AR46" i="156" s="1"/>
  <c r="AI46" i="156"/>
  <c r="Z46" i="149"/>
  <c r="Z44" i="150"/>
  <c r="W45" i="151"/>
  <c r="Z45" i="151"/>
  <c r="AT35" i="150"/>
  <c r="AT35" i="156"/>
  <c r="BA39" i="15"/>
  <c r="BB39" i="15" s="1"/>
  <c r="BG39" i="15"/>
  <c r="BH39" i="15" s="1"/>
  <c r="BG40" i="136"/>
  <c r="BH40" i="136" s="1"/>
  <c r="BA40" i="136"/>
  <c r="BB40" i="136" s="1"/>
  <c r="BG40" i="150"/>
  <c r="BH40" i="150" s="1"/>
  <c r="BA40" i="150"/>
  <c r="BB40" i="150" s="1"/>
  <c r="BG40" i="151"/>
  <c r="BH40" i="151" s="1"/>
  <c r="BA40" i="151"/>
  <c r="BB40" i="151" s="1"/>
  <c r="BG40" i="155"/>
  <c r="BH40" i="155" s="1"/>
  <c r="BG40" i="153"/>
  <c r="BH40" i="153" s="1"/>
  <c r="BA40" i="153"/>
  <c r="BB40" i="153" s="1"/>
  <c r="BG39" i="149"/>
  <c r="BH39" i="149" s="1"/>
  <c r="BA39" i="149"/>
  <c r="BB39" i="149" s="1"/>
  <c r="BG39" i="156"/>
  <c r="BH39" i="156" s="1"/>
  <c r="BA39" i="156"/>
  <c r="BB39" i="156" s="1"/>
  <c r="A45" i="7"/>
  <c r="AY41" i="136" s="1"/>
  <c r="AY40" i="156"/>
  <c r="AY41" i="152"/>
  <c r="AY41" i="153"/>
  <c r="AY41" i="155"/>
  <c r="AY41" i="150"/>
  <c r="AY40" i="130"/>
  <c r="AY41" i="130"/>
  <c r="AY40" i="15"/>
  <c r="AI42" i="130"/>
  <c r="AQ42" i="130"/>
  <c r="AR42" i="130" s="1"/>
  <c r="BL43" i="130"/>
  <c r="K44" i="130"/>
  <c r="M43" i="130"/>
  <c r="BN43" i="130"/>
  <c r="BO43" i="130" s="1"/>
  <c r="BQ43" i="130"/>
  <c r="V43" i="130"/>
  <c r="AE43" i="130"/>
  <c r="AN43" i="130"/>
  <c r="AK43" i="130"/>
  <c r="AB43" i="130"/>
  <c r="AH43" i="130"/>
  <c r="R43" i="130"/>
  <c r="T43" i="130" s="1"/>
  <c r="Y43" i="130" s="1"/>
  <c r="AV34" i="156"/>
  <c r="AW34" i="156" s="1"/>
  <c r="BD34" i="156"/>
  <c r="BE34" i="156" s="1"/>
  <c r="AV34" i="150"/>
  <c r="AW34" i="150" s="1"/>
  <c r="BD34" i="150"/>
  <c r="BE34" i="150" s="1"/>
  <c r="AC42" i="126"/>
  <c r="W46" i="149"/>
  <c r="V22" i="155"/>
  <c r="T37" i="155"/>
  <c r="Y37" i="155" s="1"/>
  <c r="Z37" i="155" s="1"/>
  <c r="R38" i="155"/>
  <c r="BB42" i="110"/>
  <c r="Z42" i="110"/>
  <c r="AW46" i="124"/>
  <c r="Z47" i="153"/>
  <c r="AQ47" i="152"/>
  <c r="AR47" i="152" s="1"/>
  <c r="W47" i="155"/>
  <c r="AL47" i="155"/>
  <c r="AI47" i="155"/>
  <c r="AF47" i="153"/>
  <c r="AF47" i="155"/>
  <c r="AO47" i="155"/>
  <c r="AQ47" i="155"/>
  <c r="AR47" i="155" s="1"/>
  <c r="K49" i="155"/>
  <c r="I50" i="155"/>
  <c r="BR47" i="155"/>
  <c r="AE48" i="155"/>
  <c r="AK48" i="155"/>
  <c r="M48" i="155"/>
  <c r="BQ48" i="155"/>
  <c r="BN48" i="155"/>
  <c r="BO48" i="155" s="1"/>
  <c r="AB48" i="155"/>
  <c r="BL48" i="155"/>
  <c r="AH48" i="155"/>
  <c r="AN48" i="155"/>
  <c r="V48" i="155"/>
  <c r="AV34" i="15"/>
  <c r="AW34" i="15" s="1"/>
  <c r="AV34" i="130"/>
  <c r="AW34" i="130" s="1"/>
  <c r="BD34" i="130"/>
  <c r="BE34" i="130" s="1"/>
  <c r="AV34" i="17"/>
  <c r="AW34" i="17" s="1"/>
  <c r="BD34" i="17"/>
  <c r="BE34" i="17" s="1"/>
  <c r="AV34" i="120"/>
  <c r="AW34" i="120" s="1"/>
  <c r="BD34" i="120"/>
  <c r="BE34" i="120" s="1"/>
  <c r="BD34" i="136"/>
  <c r="BE34" i="136" s="1"/>
  <c r="AV34" i="136"/>
  <c r="AW34" i="136" s="1"/>
  <c r="BD35" i="120"/>
  <c r="BE35" i="120" s="1"/>
  <c r="AV35" i="120"/>
  <c r="AW35" i="120" s="1"/>
  <c r="AV34" i="13"/>
  <c r="AW34" i="13" s="1"/>
  <c r="BD34" i="13"/>
  <c r="BE34" i="13" s="1"/>
  <c r="A37" i="58"/>
  <c r="AT35" i="17"/>
  <c r="AT35" i="130"/>
  <c r="AT35" i="13"/>
  <c r="AT35" i="136"/>
  <c r="AO47" i="153"/>
  <c r="BR47" i="153"/>
  <c r="AL47" i="153"/>
  <c r="W47" i="153"/>
  <c r="AQ47" i="153"/>
  <c r="AR47" i="153" s="1"/>
  <c r="I53" i="153"/>
  <c r="AI47" i="153"/>
  <c r="AC47" i="153"/>
  <c r="M48" i="153"/>
  <c r="O48" i="153"/>
  <c r="V48" i="153"/>
  <c r="AB48" i="153"/>
  <c r="AH48" i="153"/>
  <c r="AN48" i="153"/>
  <c r="BL48" i="153"/>
  <c r="P48" i="153"/>
  <c r="BN48" i="153"/>
  <c r="BO48" i="153" s="1"/>
  <c r="R48" i="153"/>
  <c r="T48" i="153" s="1"/>
  <c r="Y48" i="153" s="1"/>
  <c r="AE48" i="153"/>
  <c r="AK48" i="153"/>
  <c r="BQ48" i="153"/>
  <c r="K49" i="153"/>
  <c r="Z47" i="152"/>
  <c r="I57" i="152"/>
  <c r="BR47" i="152"/>
  <c r="AI47" i="152"/>
  <c r="AL47" i="152"/>
  <c r="AC47" i="152"/>
  <c r="M48" i="152"/>
  <c r="BQ48" i="152"/>
  <c r="O48" i="152"/>
  <c r="V48" i="152"/>
  <c r="AB48" i="152"/>
  <c r="AH48" i="152"/>
  <c r="AN48" i="152"/>
  <c r="P48" i="152"/>
  <c r="BN48" i="152"/>
  <c r="BO48" i="152" s="1"/>
  <c r="R48" i="152"/>
  <c r="T48" i="152" s="1"/>
  <c r="Y48" i="152" s="1"/>
  <c r="AE48" i="152"/>
  <c r="AK48" i="152"/>
  <c r="BL48" i="152"/>
  <c r="K49" i="152"/>
  <c r="AF47" i="152"/>
  <c r="W47" i="152"/>
  <c r="AO47" i="152"/>
  <c r="AF45" i="147"/>
  <c r="W45" i="147"/>
  <c r="BE45" i="147"/>
  <c r="AF46" i="149"/>
  <c r="AL42" i="110"/>
  <c r="AI42" i="110"/>
  <c r="AQ44" i="150"/>
  <c r="AR44" i="150" s="1"/>
  <c r="BD42" i="115"/>
  <c r="BE42" i="115" s="1"/>
  <c r="I48" i="151"/>
  <c r="K47" i="151"/>
  <c r="BR45" i="151"/>
  <c r="AI45" i="151"/>
  <c r="AL45" i="151"/>
  <c r="AK46" i="151"/>
  <c r="AE46" i="151"/>
  <c r="R46" i="151"/>
  <c r="T46" i="151" s="1"/>
  <c r="Y46" i="151" s="1"/>
  <c r="AN46" i="151"/>
  <c r="AH46" i="151"/>
  <c r="AB46" i="151"/>
  <c r="V46" i="151"/>
  <c r="O46" i="151"/>
  <c r="BQ46" i="151"/>
  <c r="P46" i="151"/>
  <c r="M46" i="151"/>
  <c r="BN46" i="151"/>
  <c r="BO46" i="151" s="1"/>
  <c r="BL46" i="151"/>
  <c r="AO45" i="151"/>
  <c r="AQ45" i="151"/>
  <c r="AR45" i="151" s="1"/>
  <c r="AC45" i="151"/>
  <c r="AF45" i="151"/>
  <c r="I49" i="150"/>
  <c r="AL44" i="150"/>
  <c r="AO44" i="150"/>
  <c r="W44" i="150"/>
  <c r="AN45" i="150"/>
  <c r="AH45" i="150"/>
  <c r="AB45" i="150"/>
  <c r="V45" i="150"/>
  <c r="O45" i="150"/>
  <c r="BQ45" i="150"/>
  <c r="P45" i="150"/>
  <c r="AK45" i="150"/>
  <c r="AE45" i="150"/>
  <c r="R45" i="150"/>
  <c r="T45" i="150" s="1"/>
  <c r="Y45" i="150" s="1"/>
  <c r="M45" i="150"/>
  <c r="BN45" i="150"/>
  <c r="BO45" i="150" s="1"/>
  <c r="BL45" i="150"/>
  <c r="K46" i="150"/>
  <c r="AF44" i="150"/>
  <c r="AC44" i="150"/>
  <c r="BR44" i="150"/>
  <c r="AI44" i="150"/>
  <c r="AQ46" i="149"/>
  <c r="AR46" i="149" s="1"/>
  <c r="AO46" i="149"/>
  <c r="AN47" i="149"/>
  <c r="AH47" i="149"/>
  <c r="AB47" i="149"/>
  <c r="V47" i="149"/>
  <c r="O47" i="149"/>
  <c r="BQ47" i="149"/>
  <c r="AK47" i="149"/>
  <c r="AE47" i="149"/>
  <c r="R47" i="149"/>
  <c r="T47" i="149" s="1"/>
  <c r="Y47" i="149" s="1"/>
  <c r="P47" i="149"/>
  <c r="M47" i="149"/>
  <c r="BN47" i="149"/>
  <c r="BO47" i="149" s="1"/>
  <c r="BL47" i="149"/>
  <c r="K48" i="149"/>
  <c r="I49" i="149"/>
  <c r="AC46" i="149"/>
  <c r="AL46" i="149"/>
  <c r="BR46" i="149"/>
  <c r="AI46" i="149"/>
  <c r="Z44" i="146"/>
  <c r="W44" i="146"/>
  <c r="Z42" i="114"/>
  <c r="AO40" i="13"/>
  <c r="BB40" i="13"/>
  <c r="BR45" i="147"/>
  <c r="Z45" i="147"/>
  <c r="AI45" i="147"/>
  <c r="AW44" i="146"/>
  <c r="Z42" i="115"/>
  <c r="Z41" i="118"/>
  <c r="BB42" i="114"/>
  <c r="AO42" i="114"/>
  <c r="AW42" i="115"/>
  <c r="BH44" i="146"/>
  <c r="BH45" i="147"/>
  <c r="AV45" i="147"/>
  <c r="AW45" i="147" s="1"/>
  <c r="AC45" i="147"/>
  <c r="BA45" i="147"/>
  <c r="BB45" i="147" s="1"/>
  <c r="V26" i="147"/>
  <c r="AT46" i="147"/>
  <c r="AV46" i="147" s="1"/>
  <c r="AB46" i="147"/>
  <c r="V46" i="147"/>
  <c r="AE46" i="147"/>
  <c r="BQ46" i="147"/>
  <c r="AY46" i="147"/>
  <c r="BA46" i="147" s="1"/>
  <c r="R46" i="147"/>
  <c r="T46" i="147" s="1"/>
  <c r="Y46" i="147" s="1"/>
  <c r="M46" i="147"/>
  <c r="BJ46" i="147"/>
  <c r="BL46" i="147" s="1"/>
  <c r="BK46" i="147"/>
  <c r="BN46" i="147"/>
  <c r="BO46" i="147" s="1"/>
  <c r="K47" i="147"/>
  <c r="AH47" i="147" s="1"/>
  <c r="I48" i="147"/>
  <c r="AC44" i="146"/>
  <c r="BA44" i="146"/>
  <c r="BB44" i="146" s="1"/>
  <c r="V25" i="146"/>
  <c r="BR44" i="146"/>
  <c r="AI44" i="146"/>
  <c r="BD44" i="146"/>
  <c r="BE44" i="146" s="1"/>
  <c r="AF44" i="146"/>
  <c r="AT45" i="146"/>
  <c r="BD45" i="146" s="1"/>
  <c r="AB45" i="146"/>
  <c r="V45" i="146"/>
  <c r="BQ45" i="146"/>
  <c r="AY45" i="146"/>
  <c r="BG45" i="146" s="1"/>
  <c r="R45" i="146"/>
  <c r="T45" i="146" s="1"/>
  <c r="Y45" i="146" s="1"/>
  <c r="AE45" i="146"/>
  <c r="BN45" i="146"/>
  <c r="BO45" i="146" s="1"/>
  <c r="BJ45" i="146"/>
  <c r="BL45" i="146" s="1"/>
  <c r="M45" i="146"/>
  <c r="BK45" i="146"/>
  <c r="I47" i="146"/>
  <c r="K46" i="146"/>
  <c r="AH46" i="146" s="1"/>
  <c r="BD42" i="110"/>
  <c r="BE42" i="110" s="1"/>
  <c r="BR43" i="135"/>
  <c r="Z40" i="120"/>
  <c r="BR40" i="120"/>
  <c r="AC40" i="120"/>
  <c r="AF40" i="120"/>
  <c r="BE43" i="135"/>
  <c r="BB43" i="135"/>
  <c r="AL43" i="135"/>
  <c r="BD42" i="126"/>
  <c r="BE42" i="126" s="1"/>
  <c r="BD42" i="114"/>
  <c r="BE42" i="114" s="1"/>
  <c r="AW42" i="126"/>
  <c r="BB42" i="63"/>
  <c r="AI42" i="63"/>
  <c r="BD40" i="66"/>
  <c r="BE40" i="66" s="1"/>
  <c r="BB43" i="64"/>
  <c r="BG42" i="110"/>
  <c r="BH42" i="110" s="1"/>
  <c r="AW41" i="118"/>
  <c r="BE42" i="63"/>
  <c r="AQ42" i="114"/>
  <c r="AR42" i="114" s="1"/>
  <c r="Z43" i="64"/>
  <c r="AC43" i="64"/>
  <c r="AO43" i="64"/>
  <c r="BR42" i="96"/>
  <c r="AQ44" i="136"/>
  <c r="AR44" i="136" s="1"/>
  <c r="AO40" i="120"/>
  <c r="BB40" i="120"/>
  <c r="Z42" i="96"/>
  <c r="AQ40" i="17"/>
  <c r="AR40" i="17" s="1"/>
  <c r="BR44" i="136"/>
  <c r="W44" i="136"/>
  <c r="AL42" i="126"/>
  <c r="BB42" i="126"/>
  <c r="AL40" i="120"/>
  <c r="BD42" i="96"/>
  <c r="BE42" i="96" s="1"/>
  <c r="AQ42" i="63"/>
  <c r="AR42" i="63" s="1"/>
  <c r="AL42" i="63"/>
  <c r="AC42" i="63"/>
  <c r="O47" i="124"/>
  <c r="BG40" i="66"/>
  <c r="BH40" i="66" s="1"/>
  <c r="AV42" i="63"/>
  <c r="AW42" i="63" s="1"/>
  <c r="BD43" i="64"/>
  <c r="BE43" i="64" s="1"/>
  <c r="AF46" i="124"/>
  <c r="AC46" i="124"/>
  <c r="AF43" i="64"/>
  <c r="AW42" i="110"/>
  <c r="AF42" i="110"/>
  <c r="Z43" i="135"/>
  <c r="AO43" i="135"/>
  <c r="AF43" i="135"/>
  <c r="BA41" i="118"/>
  <c r="BB41" i="118" s="1"/>
  <c r="BG42" i="126"/>
  <c r="BH42" i="126" s="1"/>
  <c r="AC42" i="114"/>
  <c r="AL42" i="114"/>
  <c r="BG42" i="63"/>
  <c r="BH42" i="63" s="1"/>
  <c r="BR46" i="124"/>
  <c r="BB40" i="66"/>
  <c r="AQ43" i="64"/>
  <c r="AR43" i="64" s="1"/>
  <c r="AC40" i="13"/>
  <c r="AL40" i="13"/>
  <c r="AC42" i="110"/>
  <c r="AV43" i="135"/>
  <c r="AW43" i="135" s="1"/>
  <c r="BR41" i="118"/>
  <c r="W41" i="118"/>
  <c r="AW42" i="114"/>
  <c r="AF42" i="114"/>
  <c r="AQ42" i="96"/>
  <c r="AR42" i="96" s="1"/>
  <c r="BR42" i="63"/>
  <c r="AO42" i="63"/>
  <c r="W42" i="63"/>
  <c r="BB46" i="124"/>
  <c r="AW40" i="66"/>
  <c r="AL40" i="66"/>
  <c r="AI40" i="66"/>
  <c r="BG42" i="115"/>
  <c r="BH42" i="115" s="1"/>
  <c r="AL42" i="115"/>
  <c r="AO42" i="115"/>
  <c r="AI43" i="64"/>
  <c r="W43" i="64"/>
  <c r="AL43" i="64"/>
  <c r="Z40" i="13"/>
  <c r="W40" i="13"/>
  <c r="AI40" i="13"/>
  <c r="Z41" i="15"/>
  <c r="BL42" i="15"/>
  <c r="BN42" i="15"/>
  <c r="BO42" i="15" s="1"/>
  <c r="AN42" i="15"/>
  <c r="V42" i="15"/>
  <c r="M42" i="15"/>
  <c r="AK42" i="15"/>
  <c r="AE42" i="15"/>
  <c r="AB42" i="15"/>
  <c r="BQ42" i="15"/>
  <c r="AH42" i="15"/>
  <c r="K43" i="15"/>
  <c r="BR41" i="15"/>
  <c r="AL41" i="15"/>
  <c r="AQ42" i="110"/>
  <c r="AR42" i="110" s="1"/>
  <c r="I43" i="13"/>
  <c r="K42" i="13"/>
  <c r="AQ43" i="135"/>
  <c r="AR43" i="135" s="1"/>
  <c r="AI43" i="135"/>
  <c r="AO41" i="118"/>
  <c r="AC41" i="118"/>
  <c r="M42" i="118"/>
  <c r="K43" i="118"/>
  <c r="BN42" i="118"/>
  <c r="BO42" i="118" s="1"/>
  <c r="AB42" i="118"/>
  <c r="AE42" i="118"/>
  <c r="AY42" i="118"/>
  <c r="BA42" i="118" s="1"/>
  <c r="AH42" i="118"/>
  <c r="V42" i="118"/>
  <c r="AK42" i="118"/>
  <c r="AN42" i="118"/>
  <c r="BQ42" i="118"/>
  <c r="AT42" i="118"/>
  <c r="BD42" i="118" s="1"/>
  <c r="AQ42" i="126"/>
  <c r="AR42" i="126" s="1"/>
  <c r="AI42" i="126"/>
  <c r="M43" i="114"/>
  <c r="BJ43" i="114"/>
  <c r="BL43" i="114" s="1"/>
  <c r="BK43" i="114"/>
  <c r="BN43" i="114"/>
  <c r="BO43" i="114" s="1"/>
  <c r="AK43" i="114"/>
  <c r="AE43" i="114"/>
  <c r="AB43" i="114"/>
  <c r="AN43" i="114"/>
  <c r="AH43" i="114"/>
  <c r="AY43" i="114"/>
  <c r="BA43" i="114" s="1"/>
  <c r="AT43" i="114"/>
  <c r="AV43" i="114" s="1"/>
  <c r="V43" i="114"/>
  <c r="BQ43" i="114"/>
  <c r="K44" i="114"/>
  <c r="R43" i="114"/>
  <c r="T43" i="114" s="1"/>
  <c r="Y43" i="114" s="1"/>
  <c r="BG40" i="120"/>
  <c r="BH40" i="120" s="1"/>
  <c r="AI40" i="120"/>
  <c r="AO42" i="96"/>
  <c r="I43" i="17"/>
  <c r="K42" i="17"/>
  <c r="I48" i="126"/>
  <c r="M45" i="105"/>
  <c r="BK45" i="105"/>
  <c r="BN45" i="105"/>
  <c r="BO45" i="105" s="1"/>
  <c r="BJ45" i="105"/>
  <c r="BL45" i="105" s="1"/>
  <c r="AY45" i="105"/>
  <c r="AH45" i="105"/>
  <c r="AI45" i="105" s="1"/>
  <c r="P45" i="105"/>
  <c r="AN45" i="105"/>
  <c r="AO45" i="105" s="1"/>
  <c r="BA45" i="105"/>
  <c r="BB45" i="105" s="1"/>
  <c r="AB45" i="105"/>
  <c r="AC45" i="105" s="1"/>
  <c r="BD45" i="105"/>
  <c r="BE45" i="105" s="1"/>
  <c r="AK45" i="105"/>
  <c r="AL45" i="105" s="1"/>
  <c r="V45" i="105"/>
  <c r="W45" i="105" s="1"/>
  <c r="Y45" i="105"/>
  <c r="Z45" i="105" s="1"/>
  <c r="AV45" i="105"/>
  <c r="AW45" i="105" s="1"/>
  <c r="AQ45" i="105"/>
  <c r="AR45" i="105" s="1"/>
  <c r="AT45" i="105"/>
  <c r="AE45" i="105"/>
  <c r="AF45" i="105" s="1"/>
  <c r="BG45" i="105"/>
  <c r="BH45" i="105" s="1"/>
  <c r="R45" i="105"/>
  <c r="T45" i="105" s="1"/>
  <c r="O45" i="105"/>
  <c r="BQ45" i="105"/>
  <c r="BR45" i="105" s="1"/>
  <c r="K46" i="105"/>
  <c r="I47" i="15"/>
  <c r="BD46" i="124"/>
  <c r="BE46" i="124" s="1"/>
  <c r="W46" i="124"/>
  <c r="AC40" i="66"/>
  <c r="Z40" i="17"/>
  <c r="AI40" i="17"/>
  <c r="AF40" i="17"/>
  <c r="AQ42" i="115"/>
  <c r="AR42" i="115" s="1"/>
  <c r="AF42" i="115"/>
  <c r="AI42" i="115"/>
  <c r="M44" i="64"/>
  <c r="AH44" i="64"/>
  <c r="AK44" i="64"/>
  <c r="V44" i="64"/>
  <c r="AY44" i="64"/>
  <c r="BA44" i="64" s="1"/>
  <c r="BL44" i="64"/>
  <c r="BN44" i="64"/>
  <c r="BO44" i="64" s="1"/>
  <c r="AN44" i="64"/>
  <c r="AB44" i="64"/>
  <c r="AE44" i="64"/>
  <c r="BQ44" i="64"/>
  <c r="AT44" i="64"/>
  <c r="BD44" i="64" s="1"/>
  <c r="R44" i="64"/>
  <c r="T44" i="64" s="1"/>
  <c r="Y44" i="64" s="1"/>
  <c r="K45" i="64"/>
  <c r="BG43" i="64"/>
  <c r="BH43" i="64" s="1"/>
  <c r="I48" i="63"/>
  <c r="AL44" i="136"/>
  <c r="AF44" i="136"/>
  <c r="V41" i="66"/>
  <c r="AE41" i="66"/>
  <c r="AH41" i="66"/>
  <c r="AK41" i="66"/>
  <c r="AN41" i="66"/>
  <c r="M41" i="66"/>
  <c r="AB41" i="66"/>
  <c r="AY41" i="66"/>
  <c r="BG41" i="66" s="1"/>
  <c r="BN41" i="66"/>
  <c r="BO41" i="66" s="1"/>
  <c r="BL41" i="66"/>
  <c r="BQ41" i="66"/>
  <c r="AT41" i="66"/>
  <c r="BD41" i="66" s="1"/>
  <c r="R41" i="66"/>
  <c r="T41" i="66" s="1"/>
  <c r="Y41" i="66" s="1"/>
  <c r="I50" i="132"/>
  <c r="AQ41" i="15"/>
  <c r="AR41" i="15" s="1"/>
  <c r="AI41" i="15"/>
  <c r="W41" i="15"/>
  <c r="K44" i="96"/>
  <c r="I45" i="96"/>
  <c r="BG43" i="135"/>
  <c r="BH43" i="135" s="1"/>
  <c r="I49" i="136"/>
  <c r="BD41" i="118"/>
  <c r="BE41" i="118" s="1"/>
  <c r="BG42" i="114"/>
  <c r="BH42" i="114" s="1"/>
  <c r="AQ40" i="120"/>
  <c r="AR40" i="120" s="1"/>
  <c r="W42" i="96"/>
  <c r="AL42" i="96"/>
  <c r="M44" i="135"/>
  <c r="AH44" i="135"/>
  <c r="AN44" i="135"/>
  <c r="AB44" i="135"/>
  <c r="AK44" i="135"/>
  <c r="V44" i="135"/>
  <c r="BN44" i="135"/>
  <c r="BO44" i="135" s="1"/>
  <c r="AE44" i="135"/>
  <c r="AY44" i="135"/>
  <c r="BA44" i="135" s="1"/>
  <c r="BL44" i="135"/>
  <c r="BQ44" i="135"/>
  <c r="AT44" i="135"/>
  <c r="AV44" i="135" s="1"/>
  <c r="R44" i="135"/>
  <c r="T44" i="135" s="1"/>
  <c r="Y44" i="135" s="1"/>
  <c r="I49" i="64"/>
  <c r="I52" i="95"/>
  <c r="AQ40" i="66"/>
  <c r="AR40" i="66" s="1"/>
  <c r="W40" i="17"/>
  <c r="I58" i="133"/>
  <c r="I47" i="104"/>
  <c r="M43" i="110"/>
  <c r="BK43" i="110"/>
  <c r="BN43" i="110"/>
  <c r="BO43" i="110" s="1"/>
  <c r="BJ43" i="110"/>
  <c r="BL43" i="110" s="1"/>
  <c r="V43" i="110"/>
  <c r="AN43" i="110"/>
  <c r="AT43" i="110"/>
  <c r="AV43" i="110" s="1"/>
  <c r="AE43" i="110"/>
  <c r="AB43" i="110"/>
  <c r="AK43" i="110"/>
  <c r="AH43" i="110"/>
  <c r="AY43" i="110"/>
  <c r="BA43" i="110" s="1"/>
  <c r="BQ43" i="110"/>
  <c r="M45" i="136"/>
  <c r="BL45" i="136"/>
  <c r="BN45" i="136"/>
  <c r="BO45" i="136" s="1"/>
  <c r="AT45" i="136"/>
  <c r="AH45" i="136"/>
  <c r="AI45" i="136" s="1"/>
  <c r="BG45" i="136"/>
  <c r="BH45" i="136" s="1"/>
  <c r="AY45" i="136"/>
  <c r="AQ45" i="136"/>
  <c r="AR45" i="136" s="1"/>
  <c r="AB45" i="136"/>
  <c r="Y45" i="136"/>
  <c r="Z45" i="136" s="1"/>
  <c r="BA45" i="136"/>
  <c r="BB45" i="136" s="1"/>
  <c r="AV45" i="136"/>
  <c r="AW45" i="136" s="1"/>
  <c r="AN45" i="136"/>
  <c r="AO45" i="136" s="1"/>
  <c r="BQ45" i="136"/>
  <c r="BR45" i="136" s="1"/>
  <c r="V45" i="136"/>
  <c r="W45" i="136" s="1"/>
  <c r="R45" i="136"/>
  <c r="T45" i="136" s="1"/>
  <c r="P45" i="136"/>
  <c r="O45" i="136"/>
  <c r="AE45" i="136"/>
  <c r="AF45" i="136" s="1"/>
  <c r="AK45" i="136"/>
  <c r="AL45" i="136" s="1"/>
  <c r="BD45" i="136"/>
  <c r="BE45" i="136" s="1"/>
  <c r="K46" i="136"/>
  <c r="I43" i="66"/>
  <c r="K42" i="66"/>
  <c r="AF41" i="15"/>
  <c r="AH43" i="96"/>
  <c r="AE43" i="96"/>
  <c r="BN43" i="96"/>
  <c r="BO43" i="96" s="1"/>
  <c r="BG43" i="96"/>
  <c r="AT43" i="96"/>
  <c r="BD43" i="96" s="1"/>
  <c r="M43" i="96"/>
  <c r="V43" i="96"/>
  <c r="AN43" i="96"/>
  <c r="AK43" i="96"/>
  <c r="AB43" i="96"/>
  <c r="BL43" i="96"/>
  <c r="BA43" i="96"/>
  <c r="BQ43" i="96"/>
  <c r="R43" i="96"/>
  <c r="T43" i="96" s="1"/>
  <c r="Y43" i="96" s="1"/>
  <c r="BN43" i="98"/>
  <c r="BO43" i="98" s="1"/>
  <c r="BK43" i="98"/>
  <c r="K44" i="98"/>
  <c r="BJ43" i="98"/>
  <c r="BL43" i="98" s="1"/>
  <c r="M43" i="98"/>
  <c r="BD43" i="98"/>
  <c r="BE43" i="98" s="1"/>
  <c r="AH43" i="98"/>
  <c r="AI43" i="98" s="1"/>
  <c r="Y43" i="98"/>
  <c r="Z43" i="98" s="1"/>
  <c r="AK43" i="98"/>
  <c r="AL43" i="98" s="1"/>
  <c r="AT43" i="98"/>
  <c r="AV43" i="98"/>
  <c r="AW43" i="98" s="1"/>
  <c r="BQ43" i="98"/>
  <c r="BR43" i="98" s="1"/>
  <c r="P43" i="98"/>
  <c r="BA43" i="98"/>
  <c r="BB43" i="98" s="1"/>
  <c r="BG43" i="98"/>
  <c r="BH43" i="98" s="1"/>
  <c r="V43" i="98"/>
  <c r="W43" i="98" s="1"/>
  <c r="AN43" i="98"/>
  <c r="AO43" i="98" s="1"/>
  <c r="AB43" i="98"/>
  <c r="AC43" i="98" s="1"/>
  <c r="AY43" i="98"/>
  <c r="AE43" i="98"/>
  <c r="AF43" i="98" s="1"/>
  <c r="O43" i="98"/>
  <c r="R43" i="98"/>
  <c r="T43" i="98" s="1"/>
  <c r="AQ43" i="98"/>
  <c r="AR43" i="98" s="1"/>
  <c r="AQ41" i="118"/>
  <c r="AR41" i="118" s="1"/>
  <c r="AF41" i="118"/>
  <c r="AI41" i="118"/>
  <c r="Z42" i="126"/>
  <c r="BR42" i="126"/>
  <c r="AO42" i="126"/>
  <c r="AF42" i="126"/>
  <c r="AW42" i="96"/>
  <c r="AF42" i="96"/>
  <c r="AC42" i="96"/>
  <c r="I46" i="135"/>
  <c r="K45" i="135"/>
  <c r="M43" i="115"/>
  <c r="BK43" i="115"/>
  <c r="BJ43" i="115"/>
  <c r="BL43" i="115" s="1"/>
  <c r="V43" i="115"/>
  <c r="BN43" i="115"/>
  <c r="BO43" i="115" s="1"/>
  <c r="AE43" i="115"/>
  <c r="AB43" i="115"/>
  <c r="BQ43" i="115"/>
  <c r="AH43" i="115"/>
  <c r="AN43" i="115"/>
  <c r="AK43" i="115"/>
  <c r="AT43" i="115"/>
  <c r="BD43" i="115" s="1"/>
  <c r="AY43" i="115"/>
  <c r="BG43" i="115" s="1"/>
  <c r="I49" i="114"/>
  <c r="Z40" i="66"/>
  <c r="BR40" i="66"/>
  <c r="AO40" i="66"/>
  <c r="W40" i="66"/>
  <c r="BR40" i="17"/>
  <c r="AL40" i="17"/>
  <c r="BB40" i="17"/>
  <c r="BR42" i="115"/>
  <c r="I45" i="110"/>
  <c r="K44" i="110"/>
  <c r="AI44" i="136"/>
  <c r="M42" i="101"/>
  <c r="AN42" i="101"/>
  <c r="AO42" i="101" s="1"/>
  <c r="R42" i="101"/>
  <c r="T42" i="101" s="1"/>
  <c r="AE42" i="101"/>
  <c r="AF42" i="101" s="1"/>
  <c r="BA42" i="101"/>
  <c r="BB42" i="101" s="1"/>
  <c r="BD42" i="101"/>
  <c r="BE42" i="101" s="1"/>
  <c r="AK42" i="101"/>
  <c r="AL42" i="101" s="1"/>
  <c r="BG42" i="101"/>
  <c r="BH42" i="101" s="1"/>
  <c r="BQ42" i="101"/>
  <c r="BR42" i="101" s="1"/>
  <c r="AV42" i="101"/>
  <c r="AW42" i="101" s="1"/>
  <c r="V42" i="101"/>
  <c r="W42" i="101" s="1"/>
  <c r="AY42" i="101"/>
  <c r="P42" i="101"/>
  <c r="AH42" i="101"/>
  <c r="AI42" i="101" s="1"/>
  <c r="Y42" i="101"/>
  <c r="Z42" i="101" s="1"/>
  <c r="AQ42" i="101"/>
  <c r="AR42" i="101" s="1"/>
  <c r="AT42" i="101"/>
  <c r="AB42" i="101"/>
  <c r="AC42" i="101" s="1"/>
  <c r="O42" i="101"/>
  <c r="AQ40" i="13"/>
  <c r="AR40" i="13" s="1"/>
  <c r="M41" i="13"/>
  <c r="BN41" i="13"/>
  <c r="BO41" i="13" s="1"/>
  <c r="BL41" i="13"/>
  <c r="AN41" i="13"/>
  <c r="AY41" i="13"/>
  <c r="BA41" i="13" s="1"/>
  <c r="BQ41" i="13"/>
  <c r="AE41" i="13"/>
  <c r="AB41" i="13"/>
  <c r="AH41" i="13"/>
  <c r="V41" i="13"/>
  <c r="AK41" i="13"/>
  <c r="R41" i="13"/>
  <c r="T41" i="13" s="1"/>
  <c r="Y41" i="13" s="1"/>
  <c r="M43" i="126"/>
  <c r="BK43" i="126"/>
  <c r="BN43" i="126"/>
  <c r="BO43" i="126" s="1"/>
  <c r="BJ43" i="126"/>
  <c r="BL43" i="126" s="1"/>
  <c r="V43" i="126"/>
  <c r="AK43" i="126"/>
  <c r="AN43" i="126"/>
  <c r="AB43" i="126"/>
  <c r="AE43" i="126"/>
  <c r="AT43" i="126"/>
  <c r="BD43" i="126" s="1"/>
  <c r="AY43" i="126"/>
  <c r="BA43" i="126" s="1"/>
  <c r="BQ43" i="126"/>
  <c r="R43" i="126"/>
  <c r="T43" i="126" s="1"/>
  <c r="Y43" i="126" s="1"/>
  <c r="K44" i="126"/>
  <c r="AH47" i="126" s="1"/>
  <c r="I99" i="99"/>
  <c r="M41" i="120"/>
  <c r="V41" i="120"/>
  <c r="K42" i="120"/>
  <c r="AB41" i="120"/>
  <c r="AH41" i="120"/>
  <c r="AE41" i="120"/>
  <c r="BN41" i="120"/>
  <c r="BO41" i="120" s="1"/>
  <c r="AY41" i="120"/>
  <c r="BA41" i="120" s="1"/>
  <c r="BQ41" i="120"/>
  <c r="AK41" i="120"/>
  <c r="AN41" i="120"/>
  <c r="R41" i="120"/>
  <c r="T41" i="120" s="1"/>
  <c r="Y41" i="120" s="1"/>
  <c r="AI42" i="96"/>
  <c r="BL41" i="17"/>
  <c r="BN41" i="17"/>
  <c r="BO41" i="17" s="1"/>
  <c r="M41" i="17"/>
  <c r="AY41" i="17"/>
  <c r="BA41" i="17" s="1"/>
  <c r="V41" i="17"/>
  <c r="AN41" i="17"/>
  <c r="AH41" i="17"/>
  <c r="AB41" i="17"/>
  <c r="AK41" i="17"/>
  <c r="AE41" i="17"/>
  <c r="BQ41" i="17"/>
  <c r="R41" i="17"/>
  <c r="T41" i="17" s="1"/>
  <c r="Y41" i="17" s="1"/>
  <c r="I45" i="115"/>
  <c r="K44" i="115"/>
  <c r="M43" i="63"/>
  <c r="BN43" i="63"/>
  <c r="BO43" i="63" s="1"/>
  <c r="BL43" i="63"/>
  <c r="AN43" i="63"/>
  <c r="AH43" i="63"/>
  <c r="V43" i="63"/>
  <c r="AB43" i="63"/>
  <c r="AE43" i="63"/>
  <c r="AK43" i="63"/>
  <c r="AY43" i="63"/>
  <c r="BA43" i="63" s="1"/>
  <c r="BQ43" i="63"/>
  <c r="AT43" i="63"/>
  <c r="AV43" i="63" s="1"/>
  <c r="K44" i="63"/>
  <c r="BG46" i="124"/>
  <c r="BH46" i="124" s="1"/>
  <c r="BJ47" i="124"/>
  <c r="BL47" i="124" s="1"/>
  <c r="BK47" i="124"/>
  <c r="M47" i="124"/>
  <c r="K48" i="124"/>
  <c r="AH48" i="124" s="1"/>
  <c r="BN47" i="124"/>
  <c r="BO47" i="124" s="1"/>
  <c r="V47" i="124"/>
  <c r="AB47" i="124"/>
  <c r="AT47" i="124"/>
  <c r="AV47" i="124" s="1"/>
  <c r="AE47" i="124"/>
  <c r="AY47" i="124"/>
  <c r="BA47" i="124" s="1"/>
  <c r="BQ47" i="124"/>
  <c r="I50" i="105"/>
  <c r="AC40" i="17"/>
  <c r="AO40" i="17"/>
  <c r="I44" i="101"/>
  <c r="K43" i="101"/>
  <c r="P25" i="95"/>
  <c r="T42" i="15"/>
  <c r="Y42" i="15" s="1"/>
  <c r="R43" i="15"/>
  <c r="R43" i="136"/>
  <c r="T42" i="136"/>
  <c r="Y42" i="136" s="1"/>
  <c r="Z42" i="136" s="1"/>
  <c r="T43" i="63"/>
  <c r="Y43" i="63" s="1"/>
  <c r="R45" i="124"/>
  <c r="T44" i="124"/>
  <c r="Y44" i="124" s="1"/>
  <c r="Z44" i="124" s="1"/>
  <c r="V24" i="98"/>
  <c r="W25" i="115"/>
  <c r="O26" i="115"/>
  <c r="P27" i="115"/>
  <c r="V26" i="115"/>
  <c r="W26" i="115" s="1"/>
  <c r="W24" i="130"/>
  <c r="O25" i="130"/>
  <c r="W25" i="66"/>
  <c r="O26" i="66"/>
  <c r="T41" i="99"/>
  <c r="Y41" i="99" s="1"/>
  <c r="Z41" i="99" s="1"/>
  <c r="R42" i="99"/>
  <c r="O27" i="129"/>
  <c r="W26" i="101"/>
  <c r="O27" i="101"/>
  <c r="V24" i="107"/>
  <c r="V28" i="114"/>
  <c r="W28" i="114" s="1"/>
  <c r="P29" i="114"/>
  <c r="P26" i="126"/>
  <c r="V25" i="126"/>
  <c r="P28" i="129"/>
  <c r="V27" i="129"/>
  <c r="W27" i="129" s="1"/>
  <c r="P28" i="101"/>
  <c r="V27" i="101"/>
  <c r="W27" i="101" s="1"/>
  <c r="W25" i="106"/>
  <c r="O26" i="106"/>
  <c r="O28" i="114"/>
  <c r="V23" i="105"/>
  <c r="P25" i="13"/>
  <c r="W23" i="99"/>
  <c r="O24" i="99"/>
  <c r="P27" i="66"/>
  <c r="V26" i="66"/>
  <c r="W26" i="66" s="1"/>
  <c r="P24" i="120"/>
  <c r="W24" i="118"/>
  <c r="O25" i="118"/>
  <c r="R43" i="118"/>
  <c r="T42" i="118"/>
  <c r="Y42" i="118" s="1"/>
  <c r="V24" i="63"/>
  <c r="V25" i="110"/>
  <c r="P24" i="135"/>
  <c r="P28" i="96"/>
  <c r="V27" i="96"/>
  <c r="W27" i="96" s="1"/>
  <c r="P25" i="15"/>
  <c r="V29" i="64"/>
  <c r="W29" i="64" s="1"/>
  <c r="T43" i="115"/>
  <c r="Y43" i="115" s="1"/>
  <c r="W25" i="104"/>
  <c r="O26" i="104"/>
  <c r="P26" i="17"/>
  <c r="V25" i="17"/>
  <c r="P24" i="112"/>
  <c r="P24" i="136"/>
  <c r="O27" i="96"/>
  <c r="BR43" i="129" l="1"/>
  <c r="AC43" i="129"/>
  <c r="AF43" i="129"/>
  <c r="BH43" i="115"/>
  <c r="AF47" i="156"/>
  <c r="BR47" i="156"/>
  <c r="Z43" i="130"/>
  <c r="AC41" i="95"/>
  <c r="Z44" i="64"/>
  <c r="Z42" i="118"/>
  <c r="AC47" i="124"/>
  <c r="AI41" i="13"/>
  <c r="W47" i="156"/>
  <c r="BB44" i="64"/>
  <c r="AW43" i="114"/>
  <c r="BR41" i="120"/>
  <c r="AI43" i="115"/>
  <c r="AC43" i="96"/>
  <c r="AI43" i="114"/>
  <c r="Z43" i="129"/>
  <c r="Z42" i="15"/>
  <c r="W43" i="126"/>
  <c r="BB41" i="13"/>
  <c r="W43" i="110"/>
  <c r="BG40" i="13"/>
  <c r="BH40" i="13" s="1"/>
  <c r="BA40" i="152"/>
  <c r="BB40" i="152" s="1"/>
  <c r="AV35" i="15"/>
  <c r="AW35" i="15" s="1"/>
  <c r="AI41" i="120"/>
  <c r="AC45" i="136"/>
  <c r="AL42" i="118"/>
  <c r="I49" i="107"/>
  <c r="K48" i="107"/>
  <c r="AC43" i="110"/>
  <c r="AC43" i="130"/>
  <c r="BH43" i="129"/>
  <c r="AO43" i="129"/>
  <c r="BE41" i="95"/>
  <c r="AL47" i="156"/>
  <c r="AF42" i="112"/>
  <c r="BG40" i="17"/>
  <c r="BH40" i="17" s="1"/>
  <c r="R45" i="132"/>
  <c r="T45" i="132" s="1"/>
  <c r="BA45" i="132"/>
  <c r="BB45" i="132" s="1"/>
  <c r="BN45" i="132"/>
  <c r="BO45" i="132" s="1"/>
  <c r="K46" i="132"/>
  <c r="BL45" i="132"/>
  <c r="AH45" i="132"/>
  <c r="AI45" i="132" s="1"/>
  <c r="BG45" i="132"/>
  <c r="BH45" i="132" s="1"/>
  <c r="P45" i="132"/>
  <c r="O45" i="132"/>
  <c r="AB45" i="132"/>
  <c r="AC45" i="132" s="1"/>
  <c r="AE45" i="132"/>
  <c r="AF45" i="132" s="1"/>
  <c r="AK45" i="132"/>
  <c r="AL45" i="132" s="1"/>
  <c r="V45" i="132"/>
  <c r="W45" i="132" s="1"/>
  <c r="AV45" i="132"/>
  <c r="AW45" i="132" s="1"/>
  <c r="Y45" i="132"/>
  <c r="Z45" i="132" s="1"/>
  <c r="AY45" i="132"/>
  <c r="AT45" i="132"/>
  <c r="BQ45" i="132"/>
  <c r="BR45" i="132" s="1"/>
  <c r="M45" i="132"/>
  <c r="AN45" i="132"/>
  <c r="AO45" i="132" s="1"/>
  <c r="BD45" i="132"/>
  <c r="BE45" i="132" s="1"/>
  <c r="AQ45" i="132"/>
  <c r="AR45" i="132" s="1"/>
  <c r="Y45" i="99"/>
  <c r="Z45" i="99" s="1"/>
  <c r="V45" i="99"/>
  <c r="W45" i="99" s="1"/>
  <c r="BD45" i="99"/>
  <c r="BE45" i="99" s="1"/>
  <c r="P45" i="99"/>
  <c r="AQ45" i="99"/>
  <c r="AR45" i="99" s="1"/>
  <c r="AB45" i="99"/>
  <c r="AC45" i="99" s="1"/>
  <c r="BQ45" i="99"/>
  <c r="BR45" i="99" s="1"/>
  <c r="BG45" i="99"/>
  <c r="BH45" i="99" s="1"/>
  <c r="AT45" i="99"/>
  <c r="K46" i="99"/>
  <c r="AE45" i="99"/>
  <c r="AF45" i="99" s="1"/>
  <c r="O45" i="99"/>
  <c r="AN45" i="99"/>
  <c r="AO45" i="99" s="1"/>
  <c r="AH45" i="99"/>
  <c r="AI45" i="99" s="1"/>
  <c r="AK45" i="99"/>
  <c r="AL45" i="99" s="1"/>
  <c r="BN45" i="99"/>
  <c r="BO45" i="99" s="1"/>
  <c r="BA45" i="99"/>
  <c r="BB45" i="99" s="1"/>
  <c r="BJ45" i="99"/>
  <c r="BL45" i="99" s="1"/>
  <c r="M45" i="99"/>
  <c r="AY45" i="99"/>
  <c r="R45" i="99"/>
  <c r="T45" i="99" s="1"/>
  <c r="BK45" i="99"/>
  <c r="AV45" i="99"/>
  <c r="AW45" i="99" s="1"/>
  <c r="W42" i="112"/>
  <c r="AF42" i="118"/>
  <c r="AF43" i="130"/>
  <c r="AH47" i="107"/>
  <c r="AI47" i="107" s="1"/>
  <c r="AN47" i="107"/>
  <c r="AO47" i="107" s="1"/>
  <c r="BG47" i="107"/>
  <c r="BH47" i="107" s="1"/>
  <c r="BJ47" i="107"/>
  <c r="BL47" i="107" s="1"/>
  <c r="O47" i="107"/>
  <c r="P47" i="107"/>
  <c r="Y47" i="107"/>
  <c r="Z47" i="107" s="1"/>
  <c r="AQ47" i="107"/>
  <c r="AR47" i="107" s="1"/>
  <c r="BA47" i="107"/>
  <c r="BB47" i="107" s="1"/>
  <c r="BD47" i="107"/>
  <c r="BE47" i="107" s="1"/>
  <c r="BK47" i="107"/>
  <c r="AK47" i="107"/>
  <c r="AL47" i="107" s="1"/>
  <c r="M47" i="107"/>
  <c r="V47" i="107"/>
  <c r="W47" i="107" s="1"/>
  <c r="R47" i="107"/>
  <c r="T47" i="107" s="1"/>
  <c r="BQ47" i="107"/>
  <c r="BR47" i="107" s="1"/>
  <c r="AB47" i="107"/>
  <c r="AC47" i="107" s="1"/>
  <c r="AY47" i="107"/>
  <c r="BN47" i="107"/>
  <c r="BO47" i="107" s="1"/>
  <c r="AE47" i="107"/>
  <c r="AF47" i="107" s="1"/>
  <c r="AT47" i="107"/>
  <c r="AV47" i="107"/>
  <c r="AW47" i="107" s="1"/>
  <c r="Z41" i="95"/>
  <c r="BH41" i="95"/>
  <c r="Z43" i="110"/>
  <c r="Z43" i="115"/>
  <c r="R44" i="110"/>
  <c r="T44" i="110" s="1"/>
  <c r="Y44" i="110" s="1"/>
  <c r="W43" i="129"/>
  <c r="BB41" i="95"/>
  <c r="AL41" i="95"/>
  <c r="AO41" i="95"/>
  <c r="AL42" i="112"/>
  <c r="BR42" i="112"/>
  <c r="AO42" i="112"/>
  <c r="Z42" i="112"/>
  <c r="P23" i="156"/>
  <c r="AC43" i="126"/>
  <c r="AL43" i="130"/>
  <c r="AI41" i="95"/>
  <c r="AF41" i="95"/>
  <c r="AC47" i="156"/>
  <c r="AC42" i="112"/>
  <c r="T39" i="156"/>
  <c r="Y39" i="156" s="1"/>
  <c r="Z39" i="156" s="1"/>
  <c r="R40" i="156"/>
  <c r="AV78" i="161"/>
  <c r="AW78" i="161" s="1"/>
  <c r="P78" i="161"/>
  <c r="BG78" i="161"/>
  <c r="BH78" i="161" s="1"/>
  <c r="BA78" i="161"/>
  <c r="BB78" i="161" s="1"/>
  <c r="AT78" i="161"/>
  <c r="AN78" i="161"/>
  <c r="AO78" i="161" s="1"/>
  <c r="AH78" i="161"/>
  <c r="AI78" i="161" s="1"/>
  <c r="AB78" i="161"/>
  <c r="AC78" i="161" s="1"/>
  <c r="V78" i="161"/>
  <c r="W78" i="161" s="1"/>
  <c r="O78" i="161"/>
  <c r="BR78" i="161"/>
  <c r="AY78" i="161"/>
  <c r="Y78" i="161"/>
  <c r="Z78" i="161" s="1"/>
  <c r="AQ78" i="161"/>
  <c r="AR78" i="161" s="1"/>
  <c r="R78" i="161"/>
  <c r="T78" i="161" s="1"/>
  <c r="AK78" i="161"/>
  <c r="AL78" i="161" s="1"/>
  <c r="BD78" i="161"/>
  <c r="BE78" i="161" s="1"/>
  <c r="AE78" i="161"/>
  <c r="AF78" i="161" s="1"/>
  <c r="BJ78" i="161"/>
  <c r="BL78" i="161" s="1"/>
  <c r="BK78" i="161"/>
  <c r="BN78" i="161"/>
  <c r="BO78" i="161" s="1"/>
  <c r="M78" i="161"/>
  <c r="I80" i="161"/>
  <c r="K79" i="161"/>
  <c r="BQ79" i="161" s="1"/>
  <c r="AV41" i="95"/>
  <c r="AW41" i="95" s="1"/>
  <c r="BB44" i="135"/>
  <c r="AC44" i="64"/>
  <c r="BR42" i="15"/>
  <c r="AH42" i="95"/>
  <c r="BA42" i="95"/>
  <c r="M42" i="95"/>
  <c r="AK42" i="95"/>
  <c r="BQ42" i="95"/>
  <c r="BN42" i="95"/>
  <c r="BO42" i="95" s="1"/>
  <c r="AT42" i="95"/>
  <c r="AV42" i="95" s="1"/>
  <c r="K43" i="95"/>
  <c r="BL42" i="95"/>
  <c r="AB42" i="95"/>
  <c r="V42" i="95"/>
  <c r="AE42" i="95"/>
  <c r="AN42" i="95"/>
  <c r="BG42" i="95"/>
  <c r="R42" i="95"/>
  <c r="T42" i="95" s="1"/>
  <c r="Y42" i="95" s="1"/>
  <c r="Z42" i="95" s="1"/>
  <c r="AV42" i="112"/>
  <c r="AW42" i="112" s="1"/>
  <c r="BD42" i="112"/>
  <c r="BE42" i="112" s="1"/>
  <c r="AL43" i="63"/>
  <c r="BR41" i="17"/>
  <c r="BD43" i="129"/>
  <c r="BE43" i="129" s="1"/>
  <c r="AV43" i="129"/>
  <c r="AW43" i="129" s="1"/>
  <c r="M44" i="129"/>
  <c r="AE44" i="129"/>
  <c r="K45" i="129"/>
  <c r="AH44" i="129"/>
  <c r="BN44" i="129"/>
  <c r="BO44" i="129" s="1"/>
  <c r="AN44" i="129"/>
  <c r="V44" i="129"/>
  <c r="W44" i="129" s="1"/>
  <c r="AY44" i="129"/>
  <c r="BA44" i="129" s="1"/>
  <c r="AK44" i="129"/>
  <c r="BQ44" i="129"/>
  <c r="AB44" i="129"/>
  <c r="BL44" i="129"/>
  <c r="R44" i="129"/>
  <c r="T44" i="129" s="1"/>
  <c r="Y44" i="129" s="1"/>
  <c r="AT44" i="129"/>
  <c r="BG46" i="133"/>
  <c r="BH46" i="133" s="1"/>
  <c r="Y46" i="133"/>
  <c r="Z46" i="133" s="1"/>
  <c r="AY46" i="133"/>
  <c r="O46" i="133"/>
  <c r="BL46" i="133"/>
  <c r="AV46" i="133"/>
  <c r="AW46" i="133" s="1"/>
  <c r="AE46" i="133"/>
  <c r="AF46" i="133" s="1"/>
  <c r="AQ46" i="133"/>
  <c r="AR46" i="133" s="1"/>
  <c r="AK46" i="133"/>
  <c r="AL46" i="133" s="1"/>
  <c r="BN46" i="133"/>
  <c r="BO46" i="133" s="1"/>
  <c r="BQ46" i="133"/>
  <c r="BR46" i="133" s="1"/>
  <c r="AB46" i="133"/>
  <c r="AC46" i="133" s="1"/>
  <c r="AT46" i="133"/>
  <c r="AN46" i="133"/>
  <c r="AO46" i="133" s="1"/>
  <c r="M46" i="133"/>
  <c r="BA46" i="133"/>
  <c r="BB46" i="133" s="1"/>
  <c r="V46" i="133"/>
  <c r="W46" i="133" s="1"/>
  <c r="P46" i="133"/>
  <c r="R46" i="133"/>
  <c r="T46" i="133" s="1"/>
  <c r="BD46" i="133"/>
  <c r="BE46" i="133" s="1"/>
  <c r="AH46" i="133"/>
  <c r="AI46" i="133" s="1"/>
  <c r="K47" i="133"/>
  <c r="AY43" i="112"/>
  <c r="BG43" i="112" s="1"/>
  <c r="AE43" i="112"/>
  <c r="BN43" i="112"/>
  <c r="BO43" i="112" s="1"/>
  <c r="AB43" i="112"/>
  <c r="AK43" i="112"/>
  <c r="M43" i="112"/>
  <c r="AN43" i="112"/>
  <c r="BJ43" i="112"/>
  <c r="BL43" i="112" s="1"/>
  <c r="AH43" i="112"/>
  <c r="BQ43" i="112"/>
  <c r="K44" i="112"/>
  <c r="AT43" i="112"/>
  <c r="R43" i="112"/>
  <c r="T43" i="112" s="1"/>
  <c r="Y43" i="112" s="1"/>
  <c r="BK43" i="112"/>
  <c r="V43" i="112"/>
  <c r="AL43" i="114"/>
  <c r="AO43" i="130"/>
  <c r="AQ43" i="129"/>
  <c r="AR43" i="129" s="1"/>
  <c r="AI43" i="129"/>
  <c r="AQ41" i="95"/>
  <c r="AR41" i="95" s="1"/>
  <c r="BK43" i="104"/>
  <c r="O43" i="104"/>
  <c r="AB43" i="104"/>
  <c r="AC43" i="104" s="1"/>
  <c r="BA43" i="104"/>
  <c r="BB43" i="104" s="1"/>
  <c r="M43" i="104"/>
  <c r="AQ43" i="104"/>
  <c r="AR43" i="104" s="1"/>
  <c r="R43" i="104"/>
  <c r="T43" i="104" s="1"/>
  <c r="BG43" i="104"/>
  <c r="BH43" i="104" s="1"/>
  <c r="BN43" i="104"/>
  <c r="BO43" i="104" s="1"/>
  <c r="BQ43" i="104"/>
  <c r="BR43" i="104" s="1"/>
  <c r="AK43" i="104"/>
  <c r="AL43" i="104" s="1"/>
  <c r="AY43" i="104"/>
  <c r="AV43" i="104"/>
  <c r="AW43" i="104" s="1"/>
  <c r="BD43" i="104"/>
  <c r="BE43" i="104" s="1"/>
  <c r="AE43" i="104"/>
  <c r="AF43" i="104" s="1"/>
  <c r="AT43" i="104"/>
  <c r="Y43" i="104"/>
  <c r="Z43" i="104" s="1"/>
  <c r="V43" i="104"/>
  <c r="W43" i="104" s="1"/>
  <c r="BJ43" i="104"/>
  <c r="BL43" i="104" s="1"/>
  <c r="AN43" i="104"/>
  <c r="AO43" i="104" s="1"/>
  <c r="P43" i="104"/>
  <c r="AH43" i="104"/>
  <c r="AI43" i="104" s="1"/>
  <c r="K44" i="104"/>
  <c r="AN48" i="156"/>
  <c r="AK48" i="156"/>
  <c r="BQ48" i="156"/>
  <c r="AE48" i="156"/>
  <c r="M48" i="156"/>
  <c r="V48" i="156"/>
  <c r="AB48" i="156"/>
  <c r="AH48" i="156"/>
  <c r="BN48" i="156"/>
  <c r="BO48" i="156" s="1"/>
  <c r="BL48" i="156"/>
  <c r="BA43" i="129"/>
  <c r="BB43" i="129" s="1"/>
  <c r="BR41" i="95"/>
  <c r="I50" i="106"/>
  <c r="K49" i="156"/>
  <c r="I50" i="156"/>
  <c r="AL44" i="135"/>
  <c r="W43" i="130"/>
  <c r="AO47" i="156"/>
  <c r="M43" i="106"/>
  <c r="AN43" i="106"/>
  <c r="AO43" i="106" s="1"/>
  <c r="BA43" i="106"/>
  <c r="BB43" i="106" s="1"/>
  <c r="AT43" i="106"/>
  <c r="AK43" i="106"/>
  <c r="AL43" i="106" s="1"/>
  <c r="P43" i="106"/>
  <c r="AB43" i="106"/>
  <c r="AC43" i="106" s="1"/>
  <c r="BK43" i="106"/>
  <c r="AH43" i="106"/>
  <c r="AI43" i="106" s="1"/>
  <c r="BD43" i="106"/>
  <c r="BE43" i="106" s="1"/>
  <c r="V43" i="106"/>
  <c r="W43" i="106" s="1"/>
  <c r="BN43" i="106"/>
  <c r="BO43" i="106" s="1"/>
  <c r="BQ43" i="106"/>
  <c r="BR43" i="106" s="1"/>
  <c r="AQ43" i="106"/>
  <c r="AR43" i="106" s="1"/>
  <c r="R43" i="106"/>
  <c r="T43" i="106" s="1"/>
  <c r="BJ43" i="106"/>
  <c r="BL43" i="106" s="1"/>
  <c r="BG43" i="106"/>
  <c r="BH43" i="106" s="1"/>
  <c r="AE43" i="106"/>
  <c r="AF43" i="106" s="1"/>
  <c r="AV43" i="106"/>
  <c r="AW43" i="106" s="1"/>
  <c r="Y43" i="106"/>
  <c r="Z43" i="106" s="1"/>
  <c r="O43" i="106"/>
  <c r="AY43" i="106"/>
  <c r="K44" i="106"/>
  <c r="BR43" i="130"/>
  <c r="AQ47" i="156"/>
  <c r="AR47" i="156" s="1"/>
  <c r="AI47" i="156"/>
  <c r="BA42" i="112"/>
  <c r="BB42" i="112" s="1"/>
  <c r="BG42" i="112"/>
  <c r="BH42" i="112" s="1"/>
  <c r="AQ42" i="112"/>
  <c r="AR42" i="112" s="1"/>
  <c r="AI42" i="112"/>
  <c r="Z46" i="147"/>
  <c r="AW46" i="147"/>
  <c r="W46" i="151"/>
  <c r="Z46" i="151"/>
  <c r="AT36" i="150"/>
  <c r="AT36" i="156"/>
  <c r="AT36" i="120"/>
  <c r="BD36" i="120" s="1"/>
  <c r="BE36" i="120" s="1"/>
  <c r="AI43" i="130"/>
  <c r="AQ43" i="130"/>
  <c r="AR43" i="130" s="1"/>
  <c r="K45" i="130"/>
  <c r="M44" i="130"/>
  <c r="BN44" i="130"/>
  <c r="BO44" i="130" s="1"/>
  <c r="BQ44" i="130"/>
  <c r="AH44" i="130"/>
  <c r="AN44" i="130"/>
  <c r="AE44" i="130"/>
  <c r="AB44" i="130"/>
  <c r="AC44" i="130" s="1"/>
  <c r="BL44" i="130"/>
  <c r="AK44" i="130"/>
  <c r="V44" i="130"/>
  <c r="R44" i="130"/>
  <c r="T44" i="130" s="1"/>
  <c r="Y44" i="130" s="1"/>
  <c r="BA40" i="15"/>
  <c r="BB40" i="15" s="1"/>
  <c r="BG40" i="15"/>
  <c r="BH40" i="15" s="1"/>
  <c r="BA41" i="130"/>
  <c r="BB41" i="130" s="1"/>
  <c r="BG41" i="130"/>
  <c r="BH41" i="130" s="1"/>
  <c r="BA40" i="130"/>
  <c r="BB40" i="130" s="1"/>
  <c r="BG40" i="130"/>
  <c r="BH40" i="130" s="1"/>
  <c r="BG41" i="136"/>
  <c r="BH41" i="136" s="1"/>
  <c r="BA41" i="136"/>
  <c r="BB41" i="136" s="1"/>
  <c r="BA41" i="150"/>
  <c r="BB41" i="150" s="1"/>
  <c r="BG41" i="150"/>
  <c r="BH41" i="150" s="1"/>
  <c r="BG41" i="151"/>
  <c r="BH41" i="151" s="1"/>
  <c r="BA41" i="151"/>
  <c r="BB41" i="151" s="1"/>
  <c r="BA41" i="155"/>
  <c r="BB41" i="155" s="1"/>
  <c r="BG41" i="155"/>
  <c r="BH41" i="155" s="1"/>
  <c r="BG41" i="153"/>
  <c r="BH41" i="153" s="1"/>
  <c r="BA41" i="153"/>
  <c r="BB41" i="153" s="1"/>
  <c r="BG41" i="152"/>
  <c r="BH41" i="152" s="1"/>
  <c r="BA41" i="152"/>
  <c r="BB41" i="152" s="1"/>
  <c r="BG40" i="149"/>
  <c r="BH40" i="149" s="1"/>
  <c r="BA40" i="149"/>
  <c r="BB40" i="149" s="1"/>
  <c r="BG40" i="156"/>
  <c r="BH40" i="156" s="1"/>
  <c r="BA40" i="156"/>
  <c r="BB40" i="156" s="1"/>
  <c r="A46" i="7"/>
  <c r="AY42" i="150" s="1"/>
  <c r="AY41" i="156"/>
  <c r="AY41" i="15"/>
  <c r="BD35" i="156"/>
  <c r="BE35" i="156" s="1"/>
  <c r="AV35" i="156"/>
  <c r="AW35" i="156" s="1"/>
  <c r="AV35" i="150"/>
  <c r="AW35" i="150" s="1"/>
  <c r="BD35" i="150"/>
  <c r="BE35" i="150" s="1"/>
  <c r="AF47" i="124"/>
  <c r="T38" i="155"/>
  <c r="Y38" i="155" s="1"/>
  <c r="Z38" i="155" s="1"/>
  <c r="R39" i="155"/>
  <c r="Z41" i="13"/>
  <c r="BE42" i="118"/>
  <c r="BB46" i="147"/>
  <c r="W22" i="155"/>
  <c r="O23" i="155"/>
  <c r="W48" i="152"/>
  <c r="AI48" i="153"/>
  <c r="AQ42" i="15"/>
  <c r="Z48" i="152"/>
  <c r="AT36" i="130"/>
  <c r="BD36" i="130" s="1"/>
  <c r="BE36" i="130" s="1"/>
  <c r="AL48" i="153"/>
  <c r="AF48" i="152"/>
  <c r="AC48" i="155"/>
  <c r="AI48" i="155"/>
  <c r="BR48" i="155"/>
  <c r="W48" i="155"/>
  <c r="AO48" i="155"/>
  <c r="AL48" i="155"/>
  <c r="AF48" i="155"/>
  <c r="K50" i="155"/>
  <c r="I51" i="155"/>
  <c r="AE49" i="155"/>
  <c r="AK49" i="155"/>
  <c r="V49" i="155"/>
  <c r="AB49" i="155"/>
  <c r="AH49" i="155"/>
  <c r="AN49" i="155"/>
  <c r="BL49" i="155"/>
  <c r="M49" i="155"/>
  <c r="BN49" i="155"/>
  <c r="BO49" i="155" s="1"/>
  <c r="BQ49" i="155"/>
  <c r="AQ48" i="155"/>
  <c r="AR48" i="155" s="1"/>
  <c r="BD35" i="13"/>
  <c r="BE35" i="13" s="1"/>
  <c r="AV35" i="13"/>
  <c r="AW35" i="13" s="1"/>
  <c r="BD35" i="130"/>
  <c r="BE35" i="130" s="1"/>
  <c r="AV35" i="130"/>
  <c r="AW35" i="130" s="1"/>
  <c r="BD35" i="17"/>
  <c r="BE35" i="17" s="1"/>
  <c r="AV35" i="17"/>
  <c r="AW35" i="17" s="1"/>
  <c r="BD35" i="136"/>
  <c r="BE35" i="136" s="1"/>
  <c r="AV35" i="136"/>
  <c r="AW35" i="136" s="1"/>
  <c r="A38" i="58"/>
  <c r="AT36" i="13"/>
  <c r="AT36" i="136"/>
  <c r="AT37" i="15"/>
  <c r="AT36" i="17"/>
  <c r="AT36" i="15"/>
  <c r="BR48" i="153"/>
  <c r="Z48" i="153"/>
  <c r="AI48" i="152"/>
  <c r="AF48" i="153"/>
  <c r="AC48" i="153"/>
  <c r="W48" i="153"/>
  <c r="M49" i="153"/>
  <c r="BQ49" i="153"/>
  <c r="O49" i="153"/>
  <c r="V49" i="153"/>
  <c r="AB49" i="153"/>
  <c r="AH49" i="153"/>
  <c r="AN49" i="153"/>
  <c r="P49" i="153"/>
  <c r="BN49" i="153"/>
  <c r="BO49" i="153" s="1"/>
  <c r="AK49" i="153"/>
  <c r="R49" i="153"/>
  <c r="T49" i="153" s="1"/>
  <c r="Y49" i="153" s="1"/>
  <c r="AE49" i="153"/>
  <c r="BL49" i="153"/>
  <c r="K50" i="153"/>
  <c r="AQ48" i="153"/>
  <c r="AR48" i="153" s="1"/>
  <c r="AO48" i="153"/>
  <c r="I54" i="153"/>
  <c r="AQ48" i="152"/>
  <c r="AR48" i="152" s="1"/>
  <c r="AO48" i="152"/>
  <c r="BR48" i="152"/>
  <c r="M49" i="152"/>
  <c r="BQ49" i="152"/>
  <c r="O49" i="152"/>
  <c r="V49" i="152"/>
  <c r="AB49" i="152"/>
  <c r="AH49" i="152"/>
  <c r="AN49" i="152"/>
  <c r="P49" i="152"/>
  <c r="BN49" i="152"/>
  <c r="BO49" i="152" s="1"/>
  <c r="R49" i="152"/>
  <c r="T49" i="152" s="1"/>
  <c r="Y49" i="152" s="1"/>
  <c r="AE49" i="152"/>
  <c r="AK49" i="152"/>
  <c r="BL49" i="152"/>
  <c r="K50" i="152"/>
  <c r="AL48" i="152"/>
  <c r="AC48" i="152"/>
  <c r="I58" i="152"/>
  <c r="AC41" i="17"/>
  <c r="BB41" i="17"/>
  <c r="BH45" i="146"/>
  <c r="AI41" i="17"/>
  <c r="Z43" i="63"/>
  <c r="BG41" i="120"/>
  <c r="BH41" i="120" s="1"/>
  <c r="BG43" i="114"/>
  <c r="AQ46" i="151"/>
  <c r="AR46" i="151" s="1"/>
  <c r="AO46" i="151"/>
  <c r="AC46" i="151"/>
  <c r="AF46" i="151"/>
  <c r="AK47" i="151"/>
  <c r="AE47" i="151"/>
  <c r="R47" i="151"/>
  <c r="T47" i="151" s="1"/>
  <c r="Y47" i="151" s="1"/>
  <c r="AN47" i="151"/>
  <c r="AH47" i="151"/>
  <c r="AB47" i="151"/>
  <c r="V47" i="151"/>
  <c r="O47" i="151"/>
  <c r="BQ47" i="151"/>
  <c r="P47" i="151"/>
  <c r="BN47" i="151"/>
  <c r="BO47" i="151" s="1"/>
  <c r="M47" i="151"/>
  <c r="BL47" i="151"/>
  <c r="BR46" i="151"/>
  <c r="AI46" i="151"/>
  <c r="AL46" i="151"/>
  <c r="I49" i="151"/>
  <c r="K48" i="151"/>
  <c r="AN46" i="150"/>
  <c r="AH46" i="150"/>
  <c r="AB46" i="150"/>
  <c r="V46" i="150"/>
  <c r="O46" i="150"/>
  <c r="BQ46" i="150"/>
  <c r="P46" i="150"/>
  <c r="AK46" i="150"/>
  <c r="AE46" i="150"/>
  <c r="R46" i="150"/>
  <c r="T46" i="150" s="1"/>
  <c r="Y46" i="150" s="1"/>
  <c r="M46" i="150"/>
  <c r="BN46" i="150"/>
  <c r="BO46" i="150" s="1"/>
  <c r="BL46" i="150"/>
  <c r="K47" i="150"/>
  <c r="AC45" i="150"/>
  <c r="AF45" i="150"/>
  <c r="Z45" i="150"/>
  <c r="BR45" i="150"/>
  <c r="AI45" i="150"/>
  <c r="AQ45" i="150"/>
  <c r="AR45" i="150" s="1"/>
  <c r="AL45" i="150"/>
  <c r="AO45" i="150"/>
  <c r="I50" i="150"/>
  <c r="W45" i="150"/>
  <c r="BQ48" i="149"/>
  <c r="AK48" i="149"/>
  <c r="AE48" i="149"/>
  <c r="R48" i="149"/>
  <c r="T48" i="149" s="1"/>
  <c r="Y48" i="149" s="1"/>
  <c r="P48" i="149"/>
  <c r="AN48" i="149"/>
  <c r="AH48" i="149"/>
  <c r="AB48" i="149"/>
  <c r="V48" i="149"/>
  <c r="O48" i="149"/>
  <c r="BN48" i="149"/>
  <c r="BO48" i="149" s="1"/>
  <c r="M48" i="149"/>
  <c r="BL48" i="149"/>
  <c r="AF47" i="149"/>
  <c r="AC47" i="149"/>
  <c r="AL47" i="149"/>
  <c r="BR47" i="149"/>
  <c r="AI47" i="149"/>
  <c r="AQ47" i="149"/>
  <c r="AR47" i="149" s="1"/>
  <c r="AO47" i="149"/>
  <c r="K49" i="149"/>
  <c r="I50" i="149"/>
  <c r="Z47" i="149"/>
  <c r="W47" i="149"/>
  <c r="AQ43" i="96"/>
  <c r="AR43" i="96" s="1"/>
  <c r="BE45" i="146"/>
  <c r="BD46" i="147"/>
  <c r="BE46" i="147" s="1"/>
  <c r="AI46" i="147"/>
  <c r="BG46" i="147"/>
  <c r="BH46" i="147" s="1"/>
  <c r="W26" i="147"/>
  <c r="O27" i="147"/>
  <c r="I49" i="147"/>
  <c r="K48" i="147"/>
  <c r="AH48" i="147" s="1"/>
  <c r="BR46" i="147"/>
  <c r="AT47" i="147"/>
  <c r="AV47" i="147" s="1"/>
  <c r="AB47" i="147"/>
  <c r="V47" i="147"/>
  <c r="AY47" i="147"/>
  <c r="BG47" i="147" s="1"/>
  <c r="R47" i="147"/>
  <c r="T47" i="147" s="1"/>
  <c r="Y47" i="147" s="1"/>
  <c r="BQ47" i="147"/>
  <c r="AE47" i="147"/>
  <c r="BN47" i="147"/>
  <c r="BO47" i="147" s="1"/>
  <c r="BJ47" i="147"/>
  <c r="BL47" i="147" s="1"/>
  <c r="M47" i="147"/>
  <c r="BK47" i="147"/>
  <c r="AF46" i="147"/>
  <c r="W46" i="147"/>
  <c r="AC46" i="147"/>
  <c r="Z45" i="146"/>
  <c r="W45" i="146"/>
  <c r="AV45" i="146"/>
  <c r="AW45" i="146" s="1"/>
  <c r="W25" i="146"/>
  <c r="O26" i="146"/>
  <c r="AT46" i="146"/>
  <c r="BD46" i="146" s="1"/>
  <c r="AB46" i="146"/>
  <c r="V46" i="146"/>
  <c r="BQ46" i="146"/>
  <c r="AY46" i="146"/>
  <c r="BG46" i="146" s="1"/>
  <c r="R46" i="146"/>
  <c r="T46" i="146" s="1"/>
  <c r="Y46" i="146" s="1"/>
  <c r="AE46" i="146"/>
  <c r="M46" i="146"/>
  <c r="BN46" i="146"/>
  <c r="BO46" i="146" s="1"/>
  <c r="BK46" i="146"/>
  <c r="BJ46" i="146"/>
  <c r="BL46" i="146" s="1"/>
  <c r="AF45" i="146"/>
  <c r="AC45" i="146"/>
  <c r="BA45" i="146"/>
  <c r="BB45" i="146" s="1"/>
  <c r="I48" i="146"/>
  <c r="K47" i="146"/>
  <c r="AH47" i="146" s="1"/>
  <c r="BR45" i="146"/>
  <c r="AI45" i="146"/>
  <c r="BG43" i="126"/>
  <c r="BH43" i="126" s="1"/>
  <c r="AI43" i="63"/>
  <c r="BE41" i="66"/>
  <c r="BH41" i="66"/>
  <c r="BR44" i="64"/>
  <c r="BR41" i="66"/>
  <c r="Z41" i="66"/>
  <c r="BE44" i="64"/>
  <c r="BG44" i="64"/>
  <c r="BH44" i="64" s="1"/>
  <c r="BB43" i="110"/>
  <c r="BB43" i="126"/>
  <c r="AI43" i="110"/>
  <c r="AW43" i="110"/>
  <c r="AF44" i="64"/>
  <c r="AW43" i="63"/>
  <c r="BB41" i="120"/>
  <c r="BB43" i="96"/>
  <c r="BE43" i="96"/>
  <c r="BG43" i="110"/>
  <c r="BH43" i="110" s="1"/>
  <c r="W42" i="118"/>
  <c r="AC42" i="118"/>
  <c r="AC42" i="15"/>
  <c r="AF41" i="17"/>
  <c r="AO41" i="17"/>
  <c r="AO41" i="120"/>
  <c r="AL41" i="13"/>
  <c r="AF41" i="13"/>
  <c r="AV43" i="96"/>
  <c r="AW43" i="96" s="1"/>
  <c r="BR42" i="118"/>
  <c r="O48" i="124"/>
  <c r="BB43" i="63"/>
  <c r="Z41" i="17"/>
  <c r="AL41" i="17"/>
  <c r="W41" i="17"/>
  <c r="BD44" i="135"/>
  <c r="BE44" i="135" s="1"/>
  <c r="AO42" i="118"/>
  <c r="BB42" i="118"/>
  <c r="AQ41" i="66"/>
  <c r="AR41" i="66" s="1"/>
  <c r="BD47" i="124"/>
  <c r="BE47" i="124" s="1"/>
  <c r="BD43" i="63"/>
  <c r="BE43" i="63" s="1"/>
  <c r="AQ43" i="63"/>
  <c r="AR43" i="63" s="1"/>
  <c r="AV43" i="115"/>
  <c r="AW43" i="115" s="1"/>
  <c r="AW44" i="135"/>
  <c r="AV41" i="66"/>
  <c r="AW41" i="66" s="1"/>
  <c r="W44" i="64"/>
  <c r="BG42" i="118"/>
  <c r="BH42" i="118" s="1"/>
  <c r="W43" i="63"/>
  <c r="BR44" i="135"/>
  <c r="Z43" i="126"/>
  <c r="AI44" i="64"/>
  <c r="AQ43" i="114"/>
  <c r="AR43" i="114" s="1"/>
  <c r="AV42" i="118"/>
  <c r="AW42" i="118" s="1"/>
  <c r="AR42" i="15"/>
  <c r="AF42" i="15"/>
  <c r="W42" i="15"/>
  <c r="BR43" i="63"/>
  <c r="AF43" i="63"/>
  <c r="AO43" i="63"/>
  <c r="BE43" i="126"/>
  <c r="AL43" i="126"/>
  <c r="BA43" i="115"/>
  <c r="BB43" i="115" s="1"/>
  <c r="AL43" i="115"/>
  <c r="AC43" i="115"/>
  <c r="AI42" i="15"/>
  <c r="AL42" i="15"/>
  <c r="AO42" i="15"/>
  <c r="BN44" i="63"/>
  <c r="BO44" i="63" s="1"/>
  <c r="M44" i="63"/>
  <c r="AN44" i="63"/>
  <c r="AE44" i="63"/>
  <c r="AK44" i="63"/>
  <c r="V44" i="63"/>
  <c r="AB44" i="63"/>
  <c r="AH44" i="63"/>
  <c r="AY44" i="63"/>
  <c r="BA44" i="63" s="1"/>
  <c r="BL44" i="63"/>
  <c r="BQ44" i="63"/>
  <c r="AT44" i="63"/>
  <c r="AV44" i="63" s="1"/>
  <c r="K45" i="63"/>
  <c r="I51" i="105"/>
  <c r="W47" i="124"/>
  <c r="BG43" i="63"/>
  <c r="BH43" i="63" s="1"/>
  <c r="BG41" i="17"/>
  <c r="BH41" i="17" s="1"/>
  <c r="Z41" i="120"/>
  <c r="AQ41" i="120"/>
  <c r="AR41" i="120" s="1"/>
  <c r="AL41" i="120"/>
  <c r="AF41" i="120"/>
  <c r="W41" i="120"/>
  <c r="M44" i="126"/>
  <c r="BJ44" i="126"/>
  <c r="BL44" i="126" s="1"/>
  <c r="BK44" i="126"/>
  <c r="BN44" i="126"/>
  <c r="BO44" i="126" s="1"/>
  <c r="V44" i="126"/>
  <c r="AB44" i="126"/>
  <c r="AE44" i="126"/>
  <c r="AK44" i="126"/>
  <c r="AN44" i="126"/>
  <c r="AT44" i="126"/>
  <c r="BD44" i="126" s="1"/>
  <c r="AY44" i="126"/>
  <c r="BA44" i="126" s="1"/>
  <c r="BQ44" i="126"/>
  <c r="R44" i="126"/>
  <c r="T44" i="126" s="1"/>
  <c r="Y44" i="126" s="1"/>
  <c r="K45" i="126"/>
  <c r="AH48" i="126" s="1"/>
  <c r="BR43" i="126"/>
  <c r="AO43" i="126"/>
  <c r="W41" i="13"/>
  <c r="BR41" i="13"/>
  <c r="AQ43" i="115"/>
  <c r="AR43" i="115" s="1"/>
  <c r="BE43" i="115"/>
  <c r="BR43" i="115"/>
  <c r="W43" i="115"/>
  <c r="M45" i="135"/>
  <c r="AE45" i="135"/>
  <c r="AF45" i="135" s="1"/>
  <c r="BA45" i="135"/>
  <c r="BB45" i="135" s="1"/>
  <c r="P45" i="135"/>
  <c r="AV45" i="135"/>
  <c r="AW45" i="135" s="1"/>
  <c r="AY45" i="135"/>
  <c r="BN45" i="135"/>
  <c r="BO45" i="135" s="1"/>
  <c r="V45" i="135"/>
  <c r="W45" i="135" s="1"/>
  <c r="AT45" i="135"/>
  <c r="AK45" i="135"/>
  <c r="AL45" i="135" s="1"/>
  <c r="BD45" i="135"/>
  <c r="BE45" i="135" s="1"/>
  <c r="AH45" i="135"/>
  <c r="AI45" i="135" s="1"/>
  <c r="AQ45" i="135"/>
  <c r="AR45" i="135" s="1"/>
  <c r="AN45" i="135"/>
  <c r="AO45" i="135" s="1"/>
  <c r="O45" i="135"/>
  <c r="BG45" i="135"/>
  <c r="BH45" i="135" s="1"/>
  <c r="R45" i="135"/>
  <c r="T45" i="135" s="1"/>
  <c r="AB45" i="135"/>
  <c r="Y45" i="135"/>
  <c r="Z45" i="135" s="1"/>
  <c r="BQ45" i="135"/>
  <c r="BR45" i="135" s="1"/>
  <c r="BL45" i="135"/>
  <c r="BK44" i="98"/>
  <c r="K45" i="98"/>
  <c r="BJ44" i="98"/>
  <c r="BL44" i="98" s="1"/>
  <c r="M44" i="98"/>
  <c r="BN44" i="98"/>
  <c r="BO44" i="98" s="1"/>
  <c r="AE44" i="98"/>
  <c r="AF44" i="98" s="1"/>
  <c r="AQ44" i="98"/>
  <c r="AR44" i="98" s="1"/>
  <c r="BG44" i="98"/>
  <c r="BH44" i="98" s="1"/>
  <c r="P44" i="98"/>
  <c r="Y44" i="98"/>
  <c r="Z44" i="98" s="1"/>
  <c r="AY44" i="98"/>
  <c r="R44" i="98"/>
  <c r="T44" i="98" s="1"/>
  <c r="AK44" i="98"/>
  <c r="AL44" i="98" s="1"/>
  <c r="AV44" i="98"/>
  <c r="AW44" i="98" s="1"/>
  <c r="BD44" i="98"/>
  <c r="BE44" i="98" s="1"/>
  <c r="AB44" i="98"/>
  <c r="AC44" i="98" s="1"/>
  <c r="BQ44" i="98"/>
  <c r="BR44" i="98" s="1"/>
  <c r="BA44" i="98"/>
  <c r="BB44" i="98" s="1"/>
  <c r="AN44" i="98"/>
  <c r="AO44" i="98" s="1"/>
  <c r="O44" i="98"/>
  <c r="V44" i="98"/>
  <c r="W44" i="98" s="1"/>
  <c r="AH44" i="98"/>
  <c r="AI44" i="98" s="1"/>
  <c r="AT44" i="98"/>
  <c r="Z43" i="96"/>
  <c r="AL43" i="96"/>
  <c r="AI43" i="96"/>
  <c r="AH42" i="66"/>
  <c r="AK42" i="66"/>
  <c r="M42" i="66"/>
  <c r="AB42" i="66"/>
  <c r="BN42" i="66"/>
  <c r="BO42" i="66" s="1"/>
  <c r="AE42" i="66"/>
  <c r="V42" i="66"/>
  <c r="AN42" i="66"/>
  <c r="BL42" i="66"/>
  <c r="AY42" i="66"/>
  <c r="BA42" i="66" s="1"/>
  <c r="BQ42" i="66"/>
  <c r="AT42" i="66"/>
  <c r="AV42" i="66" s="1"/>
  <c r="R42" i="66"/>
  <c r="T42" i="66" s="1"/>
  <c r="Y42" i="66" s="1"/>
  <c r="BD43" i="110"/>
  <c r="BE43" i="110" s="1"/>
  <c r="AL43" i="110"/>
  <c r="AO43" i="110"/>
  <c r="Z44" i="135"/>
  <c r="BG44" i="135"/>
  <c r="BH44" i="135" s="1"/>
  <c r="W44" i="135"/>
  <c r="AI44" i="135"/>
  <c r="BG44" i="96"/>
  <c r="AB44" i="96"/>
  <c r="AT44" i="96"/>
  <c r="BD44" i="96" s="1"/>
  <c r="V44" i="96"/>
  <c r="AH44" i="96"/>
  <c r="AE44" i="96"/>
  <c r="AK44" i="96"/>
  <c r="AN44" i="96"/>
  <c r="M44" i="96"/>
  <c r="BN44" i="96"/>
  <c r="BO44" i="96" s="1"/>
  <c r="BL44" i="96"/>
  <c r="BA44" i="96"/>
  <c r="BQ44" i="96"/>
  <c r="R44" i="96"/>
  <c r="T44" i="96" s="1"/>
  <c r="Y44" i="96" s="1"/>
  <c r="BA41" i="66"/>
  <c r="BB41" i="66" s="1"/>
  <c r="AC41" i="66"/>
  <c r="AI41" i="66"/>
  <c r="AV44" i="64"/>
  <c r="AW44" i="64" s="1"/>
  <c r="AL44" i="64"/>
  <c r="M46" i="105"/>
  <c r="BN46" i="105"/>
  <c r="BO46" i="105" s="1"/>
  <c r="BK46" i="105"/>
  <c r="BJ46" i="105"/>
  <c r="BL46" i="105" s="1"/>
  <c r="AH46" i="105"/>
  <c r="AI46" i="105" s="1"/>
  <c r="O46" i="105"/>
  <c r="R46" i="105"/>
  <c r="T46" i="105" s="1"/>
  <c r="AV46" i="105"/>
  <c r="AW46" i="105" s="1"/>
  <c r="AE46" i="105"/>
  <c r="AF46" i="105" s="1"/>
  <c r="AQ46" i="105"/>
  <c r="AR46" i="105" s="1"/>
  <c r="AB46" i="105"/>
  <c r="AC46" i="105" s="1"/>
  <c r="BQ46" i="105"/>
  <c r="BR46" i="105" s="1"/>
  <c r="P46" i="105"/>
  <c r="AK46" i="105"/>
  <c r="AL46" i="105" s="1"/>
  <c r="V46" i="105"/>
  <c r="W46" i="105" s="1"/>
  <c r="BA46" i="105"/>
  <c r="BB46" i="105" s="1"/>
  <c r="AY46" i="105"/>
  <c r="AT46" i="105"/>
  <c r="AN46" i="105"/>
  <c r="AO46" i="105" s="1"/>
  <c r="BD46" i="105"/>
  <c r="BE46" i="105" s="1"/>
  <c r="BG46" i="105"/>
  <c r="BH46" i="105" s="1"/>
  <c r="Y46" i="105"/>
  <c r="Z46" i="105" s="1"/>
  <c r="K47" i="105"/>
  <c r="Z43" i="114"/>
  <c r="BR43" i="114"/>
  <c r="BB43" i="114"/>
  <c r="AF43" i="114"/>
  <c r="AQ42" i="118"/>
  <c r="AR42" i="118" s="1"/>
  <c r="BB47" i="124"/>
  <c r="AQ41" i="13"/>
  <c r="AR41" i="13" s="1"/>
  <c r="M44" i="110"/>
  <c r="BN44" i="110"/>
  <c r="BO44" i="110" s="1"/>
  <c r="BK44" i="110"/>
  <c r="BJ44" i="110"/>
  <c r="BL44" i="110" s="1"/>
  <c r="V44" i="110"/>
  <c r="AY44" i="110"/>
  <c r="BG44" i="110" s="1"/>
  <c r="AN44" i="110"/>
  <c r="AH44" i="110"/>
  <c r="AT44" i="110"/>
  <c r="BD44" i="110" s="1"/>
  <c r="AK44" i="110"/>
  <c r="AE44" i="110"/>
  <c r="AB44" i="110"/>
  <c r="BQ44" i="110"/>
  <c r="I47" i="135"/>
  <c r="K46" i="135"/>
  <c r="AO43" i="96"/>
  <c r="BH43" i="96"/>
  <c r="I44" i="66"/>
  <c r="K43" i="66"/>
  <c r="AQ43" i="110"/>
  <c r="AR43" i="110" s="1"/>
  <c r="I59" i="133"/>
  <c r="I50" i="64"/>
  <c r="I50" i="136"/>
  <c r="I51" i="132"/>
  <c r="AF41" i="66"/>
  <c r="AH45" i="64"/>
  <c r="M45" i="64"/>
  <c r="AK45" i="64"/>
  <c r="V45" i="64"/>
  <c r="AY45" i="64"/>
  <c r="BA45" i="64" s="1"/>
  <c r="BN45" i="64"/>
  <c r="BO45" i="64" s="1"/>
  <c r="BL45" i="64"/>
  <c r="AN45" i="64"/>
  <c r="AE45" i="64"/>
  <c r="BQ45" i="64"/>
  <c r="AB45" i="64"/>
  <c r="AT45" i="64"/>
  <c r="AV45" i="64" s="1"/>
  <c r="K46" i="64"/>
  <c r="R45" i="64"/>
  <c r="T45" i="64" s="1"/>
  <c r="Y45" i="64" s="1"/>
  <c r="I49" i="126"/>
  <c r="M44" i="114"/>
  <c r="BJ44" i="114"/>
  <c r="BL44" i="114" s="1"/>
  <c r="BN44" i="114"/>
  <c r="BO44" i="114" s="1"/>
  <c r="BK44" i="114"/>
  <c r="V44" i="114"/>
  <c r="AT44" i="114"/>
  <c r="AV44" i="114" s="1"/>
  <c r="AH44" i="114"/>
  <c r="AN44" i="114"/>
  <c r="AK44" i="114"/>
  <c r="AL44" i="114" s="1"/>
  <c r="AY44" i="114"/>
  <c r="BA44" i="114" s="1"/>
  <c r="AE44" i="114"/>
  <c r="AB44" i="114"/>
  <c r="BQ44" i="114"/>
  <c r="BR44" i="114" s="1"/>
  <c r="K45" i="114"/>
  <c r="R44" i="114"/>
  <c r="T44" i="114" s="1"/>
  <c r="Y44" i="114" s="1"/>
  <c r="BD43" i="114"/>
  <c r="BE43" i="114" s="1"/>
  <c r="M42" i="13"/>
  <c r="BN42" i="13"/>
  <c r="BO42" i="13" s="1"/>
  <c r="BL42" i="13"/>
  <c r="BQ42" i="13"/>
  <c r="AN42" i="13"/>
  <c r="AH42" i="13"/>
  <c r="AE42" i="13"/>
  <c r="V42" i="13"/>
  <c r="AB42" i="13"/>
  <c r="AK42" i="13"/>
  <c r="R42" i="13"/>
  <c r="T42" i="13" s="1"/>
  <c r="Y42" i="13" s="1"/>
  <c r="BL43" i="15"/>
  <c r="BN43" i="15"/>
  <c r="BO43" i="15" s="1"/>
  <c r="BQ43" i="15"/>
  <c r="V43" i="15"/>
  <c r="M43" i="15"/>
  <c r="AN43" i="15"/>
  <c r="AB43" i="15"/>
  <c r="AE43" i="15"/>
  <c r="AK43" i="15"/>
  <c r="AH43" i="15"/>
  <c r="K44" i="15"/>
  <c r="R44" i="15" s="1"/>
  <c r="BR47" i="124"/>
  <c r="AI47" i="124"/>
  <c r="M44" i="115"/>
  <c r="BK44" i="115"/>
  <c r="BN44" i="115"/>
  <c r="BO44" i="115" s="1"/>
  <c r="BJ44" i="115"/>
  <c r="BL44" i="115" s="1"/>
  <c r="V44" i="115"/>
  <c r="BQ44" i="115"/>
  <c r="AT44" i="115"/>
  <c r="BD44" i="115" s="1"/>
  <c r="AK44" i="115"/>
  <c r="AB44" i="115"/>
  <c r="AE44" i="115"/>
  <c r="AH44" i="115"/>
  <c r="AN44" i="115"/>
  <c r="AY44" i="115"/>
  <c r="BA44" i="115" s="1"/>
  <c r="BB44" i="115" s="1"/>
  <c r="R44" i="115"/>
  <c r="T44" i="115" s="1"/>
  <c r="Y44" i="115" s="1"/>
  <c r="R44" i="63"/>
  <c r="T44" i="63" s="1"/>
  <c r="Y44" i="63" s="1"/>
  <c r="M43" i="101"/>
  <c r="AN43" i="101"/>
  <c r="AO43" i="101" s="1"/>
  <c r="BG43" i="101"/>
  <c r="BH43" i="101" s="1"/>
  <c r="AH43" i="101"/>
  <c r="AI43" i="101" s="1"/>
  <c r="Y43" i="101"/>
  <c r="Z43" i="101" s="1"/>
  <c r="O43" i="101"/>
  <c r="AY43" i="101"/>
  <c r="AT43" i="101"/>
  <c r="BA43" i="101"/>
  <c r="BB43" i="101" s="1"/>
  <c r="AB43" i="101"/>
  <c r="AC43" i="101" s="1"/>
  <c r="AE43" i="101"/>
  <c r="AF43" i="101" s="1"/>
  <c r="AK43" i="101"/>
  <c r="AL43" i="101" s="1"/>
  <c r="AQ43" i="101"/>
  <c r="AR43" i="101" s="1"/>
  <c r="BQ43" i="101"/>
  <c r="BR43" i="101" s="1"/>
  <c r="BD43" i="101"/>
  <c r="BE43" i="101" s="1"/>
  <c r="V43" i="101"/>
  <c r="W43" i="101" s="1"/>
  <c r="R43" i="101"/>
  <c r="T43" i="101" s="1"/>
  <c r="AV43" i="101"/>
  <c r="AW43" i="101" s="1"/>
  <c r="P43" i="101"/>
  <c r="BG47" i="124"/>
  <c r="BH47" i="124" s="1"/>
  <c r="AW47" i="124"/>
  <c r="BN48" i="124"/>
  <c r="BO48" i="124" s="1"/>
  <c r="M48" i="124"/>
  <c r="K49" i="124"/>
  <c r="AH49" i="124" s="1"/>
  <c r="BJ48" i="124"/>
  <c r="BL48" i="124" s="1"/>
  <c r="BK48" i="124"/>
  <c r="V48" i="124"/>
  <c r="AB48" i="124"/>
  <c r="AE48" i="124"/>
  <c r="AT48" i="124"/>
  <c r="BD48" i="124" s="1"/>
  <c r="AY48" i="124"/>
  <c r="BA48" i="124" s="1"/>
  <c r="BQ48" i="124"/>
  <c r="AC43" i="63"/>
  <c r="I46" i="115"/>
  <c r="K45" i="115"/>
  <c r="AQ41" i="17"/>
  <c r="AR41" i="17" s="1"/>
  <c r="AC41" i="120"/>
  <c r="AV43" i="126"/>
  <c r="AW43" i="126" s="1"/>
  <c r="AQ43" i="126"/>
  <c r="AR43" i="126" s="1"/>
  <c r="AF43" i="126"/>
  <c r="AI43" i="126"/>
  <c r="BG41" i="13"/>
  <c r="BH41" i="13" s="1"/>
  <c r="AC41" i="13"/>
  <c r="AO41" i="13"/>
  <c r="I46" i="110"/>
  <c r="K45" i="110"/>
  <c r="I50" i="114"/>
  <c r="AO43" i="115"/>
  <c r="AF43" i="115"/>
  <c r="BR43" i="96"/>
  <c r="W43" i="96"/>
  <c r="M46" i="136"/>
  <c r="BL46" i="136"/>
  <c r="BN46" i="136"/>
  <c r="BO46" i="136" s="1"/>
  <c r="AN46" i="136"/>
  <c r="AO46" i="136" s="1"/>
  <c r="AQ46" i="136"/>
  <c r="AR46" i="136" s="1"/>
  <c r="AV46" i="136"/>
  <c r="AW46" i="136" s="1"/>
  <c r="AK46" i="136"/>
  <c r="AL46" i="136" s="1"/>
  <c r="AE46" i="136"/>
  <c r="AF46" i="136" s="1"/>
  <c r="P46" i="136"/>
  <c r="BA46" i="136"/>
  <c r="BB46" i="136" s="1"/>
  <c r="AT46" i="136"/>
  <c r="V46" i="136"/>
  <c r="W46" i="136" s="1"/>
  <c r="O46" i="136"/>
  <c r="AB46" i="136"/>
  <c r="AC46" i="136" s="1"/>
  <c r="BG46" i="136"/>
  <c r="BH46" i="136" s="1"/>
  <c r="R46" i="136"/>
  <c r="T46" i="136" s="1"/>
  <c r="AY46" i="136"/>
  <c r="AH46" i="136"/>
  <c r="AI46" i="136" s="1"/>
  <c r="BD46" i="136"/>
  <c r="BE46" i="136" s="1"/>
  <c r="BQ46" i="136"/>
  <c r="BR46" i="136" s="1"/>
  <c r="Y46" i="136"/>
  <c r="Z46" i="136" s="1"/>
  <c r="K47" i="136"/>
  <c r="BR43" i="110"/>
  <c r="AF43" i="110"/>
  <c r="AF44" i="135"/>
  <c r="AC44" i="135"/>
  <c r="AO41" i="66"/>
  <c r="W41" i="66"/>
  <c r="I49" i="63"/>
  <c r="I48" i="15"/>
  <c r="BL42" i="17"/>
  <c r="BN42" i="17"/>
  <c r="BO42" i="17" s="1"/>
  <c r="M42" i="17"/>
  <c r="AB42" i="17"/>
  <c r="AN42" i="17"/>
  <c r="AY42" i="17"/>
  <c r="BA42" i="17" s="1"/>
  <c r="V42" i="17"/>
  <c r="AK42" i="17"/>
  <c r="AE42" i="17"/>
  <c r="AH42" i="17"/>
  <c r="BQ42" i="17"/>
  <c r="R42" i="17"/>
  <c r="T42" i="17" s="1"/>
  <c r="Y42" i="17" s="1"/>
  <c r="BH43" i="114"/>
  <c r="W43" i="114"/>
  <c r="AO43" i="114"/>
  <c r="AI42" i="118"/>
  <c r="I44" i="13"/>
  <c r="K43" i="13"/>
  <c r="I45" i="101"/>
  <c r="K44" i="101"/>
  <c r="AE42" i="120"/>
  <c r="V42" i="120"/>
  <c r="AH42" i="120"/>
  <c r="K43" i="120"/>
  <c r="M42" i="120"/>
  <c r="AB42" i="120"/>
  <c r="BN42" i="120"/>
  <c r="BO42" i="120" s="1"/>
  <c r="BQ42" i="120"/>
  <c r="AN42" i="120"/>
  <c r="AK42" i="120"/>
  <c r="R42" i="120"/>
  <c r="T42" i="120" s="1"/>
  <c r="Y42" i="120" s="1"/>
  <c r="I100" i="99"/>
  <c r="AF43" i="96"/>
  <c r="I48" i="104"/>
  <c r="I53" i="95"/>
  <c r="AQ44" i="135"/>
  <c r="AR44" i="135" s="1"/>
  <c r="AO44" i="135"/>
  <c r="K45" i="96"/>
  <c r="I46" i="96"/>
  <c r="P48" i="124"/>
  <c r="AL41" i="66"/>
  <c r="AQ44" i="64"/>
  <c r="AR44" i="64" s="1"/>
  <c r="AO44" i="64"/>
  <c r="I44" i="17"/>
  <c r="K43" i="17"/>
  <c r="AC43" i="114"/>
  <c r="M43" i="118"/>
  <c r="K44" i="118"/>
  <c r="AY43" i="118"/>
  <c r="BG43" i="118" s="1"/>
  <c r="BN43" i="118"/>
  <c r="BO43" i="118" s="1"/>
  <c r="AE43" i="118"/>
  <c r="AH43" i="118"/>
  <c r="V43" i="118"/>
  <c r="AB43" i="118"/>
  <c r="AK43" i="118"/>
  <c r="AN43" i="118"/>
  <c r="BQ43" i="118"/>
  <c r="AT43" i="118"/>
  <c r="BD43" i="118" s="1"/>
  <c r="P45" i="64"/>
  <c r="V25" i="95"/>
  <c r="P26" i="95"/>
  <c r="O28" i="96"/>
  <c r="T43" i="15"/>
  <c r="Y43" i="15" s="1"/>
  <c r="O29" i="114"/>
  <c r="V29" i="114" s="1"/>
  <c r="W29" i="114" s="1"/>
  <c r="R44" i="136"/>
  <c r="T44" i="136" s="1"/>
  <c r="Y44" i="136" s="1"/>
  <c r="Z44" i="136" s="1"/>
  <c r="T43" i="136"/>
  <c r="Y43" i="136" s="1"/>
  <c r="Z43" i="136" s="1"/>
  <c r="W24" i="98"/>
  <c r="O25" i="98"/>
  <c r="T45" i="124"/>
  <c r="Y45" i="124" s="1"/>
  <c r="Z45" i="124" s="1"/>
  <c r="R46" i="124"/>
  <c r="R45" i="110"/>
  <c r="V27" i="115"/>
  <c r="W27" i="115" s="1"/>
  <c r="P28" i="115"/>
  <c r="O27" i="115"/>
  <c r="P29" i="129"/>
  <c r="V28" i="129"/>
  <c r="W28" i="129" s="1"/>
  <c r="V25" i="13"/>
  <c r="P26" i="13"/>
  <c r="W23" i="105"/>
  <c r="O24" i="105"/>
  <c r="P26" i="106"/>
  <c r="P30" i="114"/>
  <c r="P31" i="114" s="1"/>
  <c r="P32" i="114" s="1"/>
  <c r="P33" i="114" s="1"/>
  <c r="P34" i="114" s="1"/>
  <c r="P35" i="114" s="1"/>
  <c r="P36" i="114" s="1"/>
  <c r="P37" i="114" s="1"/>
  <c r="P38" i="114" s="1"/>
  <c r="P39" i="114" s="1"/>
  <c r="P40" i="114" s="1"/>
  <c r="P41" i="114" s="1"/>
  <c r="P42" i="114" s="1"/>
  <c r="P43" i="114" s="1"/>
  <c r="P44" i="114" s="1"/>
  <c r="P45" i="114" s="1"/>
  <c r="O28" i="101"/>
  <c r="O28" i="129"/>
  <c r="T42" i="99"/>
  <c r="Y42" i="99" s="1"/>
  <c r="Z42" i="99" s="1"/>
  <c r="R43" i="99"/>
  <c r="P25" i="130"/>
  <c r="P28" i="66"/>
  <c r="V27" i="66"/>
  <c r="W27" i="66" s="1"/>
  <c r="W25" i="126"/>
  <c r="O26" i="126"/>
  <c r="P24" i="99"/>
  <c r="P29" i="101"/>
  <c r="V28" i="101"/>
  <c r="W28" i="101" s="1"/>
  <c r="V26" i="126"/>
  <c r="W26" i="126" s="1"/>
  <c r="P27" i="126"/>
  <c r="W24" i="107"/>
  <c r="O25" i="107"/>
  <c r="O27" i="66"/>
  <c r="V24" i="120"/>
  <c r="R44" i="118"/>
  <c r="T43" i="118"/>
  <c r="Y43" i="118" s="1"/>
  <c r="P25" i="118"/>
  <c r="V24" i="136"/>
  <c r="W25" i="17"/>
  <c r="O26" i="17"/>
  <c r="P26" i="104"/>
  <c r="V26" i="17"/>
  <c r="W26" i="17" s="1"/>
  <c r="P27" i="17"/>
  <c r="P26" i="15"/>
  <c r="V25" i="15"/>
  <c r="W25" i="110"/>
  <c r="O26" i="110"/>
  <c r="W24" i="63"/>
  <c r="O25" i="63"/>
  <c r="V24" i="112"/>
  <c r="V28" i="96"/>
  <c r="W28" i="96" s="1"/>
  <c r="P29" i="96"/>
  <c r="V24" i="135"/>
  <c r="O30" i="64"/>
  <c r="O31" i="64" s="1"/>
  <c r="O32" i="64" s="1"/>
  <c r="O33" i="64" s="1"/>
  <c r="O34" i="64" s="1"/>
  <c r="O35" i="64" s="1"/>
  <c r="O36" i="64" s="1"/>
  <c r="O37" i="64" s="1"/>
  <c r="O38" i="64" s="1"/>
  <c r="O39" i="64" s="1"/>
  <c r="O40" i="64" s="1"/>
  <c r="O41" i="64" s="1"/>
  <c r="O42" i="64" s="1"/>
  <c r="O43" i="64" s="1"/>
  <c r="O44" i="64" s="1"/>
  <c r="O45" i="64" s="1"/>
  <c r="AL44" i="130" l="1"/>
  <c r="BR44" i="130"/>
  <c r="W44" i="114"/>
  <c r="AW42" i="95"/>
  <c r="BR42" i="120"/>
  <c r="BR42" i="13"/>
  <c r="BR44" i="96"/>
  <c r="Z44" i="63"/>
  <c r="AO44" i="129"/>
  <c r="Z44" i="110"/>
  <c r="AC44" i="129"/>
  <c r="BR44" i="129"/>
  <c r="AI44" i="129"/>
  <c r="W48" i="124"/>
  <c r="W44" i="63"/>
  <c r="AF42" i="95"/>
  <c r="Z45" i="64"/>
  <c r="BR42" i="17"/>
  <c r="W44" i="115"/>
  <c r="AC48" i="156"/>
  <c r="BB44" i="129"/>
  <c r="P46" i="64"/>
  <c r="AC44" i="115"/>
  <c r="AY42" i="13"/>
  <c r="BA42" i="13" s="1"/>
  <c r="BB42" i="13" s="1"/>
  <c r="AY42" i="153"/>
  <c r="BG42" i="153" s="1"/>
  <c r="BH42" i="153" s="1"/>
  <c r="AY42" i="155"/>
  <c r="BG42" i="155" s="1"/>
  <c r="BH42" i="155" s="1"/>
  <c r="Z43" i="15"/>
  <c r="AY42" i="120"/>
  <c r="BA42" i="120" s="1"/>
  <c r="AL43" i="15"/>
  <c r="W44" i="110"/>
  <c r="AY42" i="152"/>
  <c r="BA42" i="152" s="1"/>
  <c r="BB42" i="152" s="1"/>
  <c r="AY42" i="136"/>
  <c r="BA42" i="136" s="1"/>
  <c r="BB42" i="136" s="1"/>
  <c r="BQ46" i="132"/>
  <c r="BR46" i="132" s="1"/>
  <c r="AH46" i="132"/>
  <c r="AI46" i="132" s="1"/>
  <c r="BA46" i="132"/>
  <c r="BB46" i="132" s="1"/>
  <c r="R46" i="132"/>
  <c r="T46" i="132" s="1"/>
  <c r="BD46" i="132"/>
  <c r="BE46" i="132" s="1"/>
  <c r="Y46" i="132"/>
  <c r="Z46" i="132" s="1"/>
  <c r="O46" i="132"/>
  <c r="BN46" i="132"/>
  <c r="BO46" i="132" s="1"/>
  <c r="AB46" i="132"/>
  <c r="AC46" i="132" s="1"/>
  <c r="AN46" i="132"/>
  <c r="AO46" i="132" s="1"/>
  <c r="AQ46" i="132"/>
  <c r="AR46" i="132" s="1"/>
  <c r="AV46" i="132"/>
  <c r="AW46" i="132" s="1"/>
  <c r="P46" i="132"/>
  <c r="BL46" i="132"/>
  <c r="AY46" i="132"/>
  <c r="AK46" i="132"/>
  <c r="AL46" i="132" s="1"/>
  <c r="M46" i="132"/>
  <c r="K47" i="132"/>
  <c r="V46" i="132"/>
  <c r="W46" i="132" s="1"/>
  <c r="AT46" i="132"/>
  <c r="AE46" i="132"/>
  <c r="AF46" i="132" s="1"/>
  <c r="BG46" i="132"/>
  <c r="BH46" i="132" s="1"/>
  <c r="BJ48" i="107"/>
  <c r="BL48" i="107" s="1"/>
  <c r="AK48" i="107"/>
  <c r="AL48" i="107" s="1"/>
  <c r="AV48" i="107"/>
  <c r="AW48" i="107" s="1"/>
  <c r="BQ48" i="107"/>
  <c r="BR48" i="107" s="1"/>
  <c r="BK48" i="107"/>
  <c r="V48" i="107"/>
  <c r="W48" i="107" s="1"/>
  <c r="AH48" i="107"/>
  <c r="AI48" i="107" s="1"/>
  <c r="R48" i="107"/>
  <c r="T48" i="107" s="1"/>
  <c r="BD48" i="107"/>
  <c r="BE48" i="107" s="1"/>
  <c r="P48" i="107"/>
  <c r="Y48" i="107"/>
  <c r="Z48" i="107" s="1"/>
  <c r="O48" i="107"/>
  <c r="AE48" i="107"/>
  <c r="AF48" i="107" s="1"/>
  <c r="BN48" i="107"/>
  <c r="BO48" i="107" s="1"/>
  <c r="BA48" i="107"/>
  <c r="BB48" i="107" s="1"/>
  <c r="AY48" i="107"/>
  <c r="AN48" i="107"/>
  <c r="AO48" i="107" s="1"/>
  <c r="AB48" i="107"/>
  <c r="AC48" i="107" s="1"/>
  <c r="BG48" i="107"/>
  <c r="BH48" i="107" s="1"/>
  <c r="AT48" i="107"/>
  <c r="AQ48" i="107"/>
  <c r="AR48" i="107" s="1"/>
  <c r="M48" i="107"/>
  <c r="BR44" i="110"/>
  <c r="BE44" i="110"/>
  <c r="Z44" i="130"/>
  <c r="AO44" i="130"/>
  <c r="AT46" i="99"/>
  <c r="AV46" i="99"/>
  <c r="AW46" i="99" s="1"/>
  <c r="AY46" i="99"/>
  <c r="BN46" i="99"/>
  <c r="BO46" i="99" s="1"/>
  <c r="P46" i="99"/>
  <c r="BA46" i="99"/>
  <c r="BB46" i="99" s="1"/>
  <c r="O46" i="99"/>
  <c r="AN46" i="99"/>
  <c r="AO46" i="99" s="1"/>
  <c r="AE46" i="99"/>
  <c r="AF46" i="99" s="1"/>
  <c r="BD46" i="99"/>
  <c r="BE46" i="99" s="1"/>
  <c r="AQ46" i="99"/>
  <c r="AR46" i="99" s="1"/>
  <c r="AB46" i="99"/>
  <c r="AC46" i="99" s="1"/>
  <c r="R46" i="99"/>
  <c r="T46" i="99" s="1"/>
  <c r="Y46" i="99"/>
  <c r="Z46" i="99" s="1"/>
  <c r="K47" i="99"/>
  <c r="V46" i="99"/>
  <c r="W46" i="99" s="1"/>
  <c r="AK46" i="99"/>
  <c r="AL46" i="99" s="1"/>
  <c r="AH46" i="99"/>
  <c r="AI46" i="99" s="1"/>
  <c r="BG46" i="99"/>
  <c r="BH46" i="99" s="1"/>
  <c r="M46" i="99"/>
  <c r="BQ46" i="99"/>
  <c r="BR46" i="99" s="1"/>
  <c r="BJ46" i="99"/>
  <c r="BL46" i="99" s="1"/>
  <c r="BK46" i="99"/>
  <c r="I50" i="107"/>
  <c r="K49" i="107"/>
  <c r="W44" i="130"/>
  <c r="AF44" i="130"/>
  <c r="V23" i="156"/>
  <c r="Z43" i="112"/>
  <c r="BH43" i="112"/>
  <c r="BB44" i="63"/>
  <c r="W49" i="152"/>
  <c r="AF49" i="153"/>
  <c r="W49" i="153"/>
  <c r="AO48" i="156"/>
  <c r="BG44" i="129"/>
  <c r="BH44" i="129" s="1"/>
  <c r="BH42" i="95"/>
  <c r="BB42" i="95"/>
  <c r="T40" i="156"/>
  <c r="Y40" i="156" s="1"/>
  <c r="Z40" i="156" s="1"/>
  <c r="R41" i="156"/>
  <c r="AO43" i="112"/>
  <c r="AO42" i="95"/>
  <c r="BG79" i="161"/>
  <c r="BH79" i="161" s="1"/>
  <c r="BA79" i="161"/>
  <c r="BB79" i="161" s="1"/>
  <c r="AT79" i="161"/>
  <c r="AN79" i="161"/>
  <c r="AO79" i="161" s="1"/>
  <c r="AH79" i="161"/>
  <c r="AI79" i="161" s="1"/>
  <c r="AB79" i="161"/>
  <c r="AC79" i="161" s="1"/>
  <c r="V79" i="161"/>
  <c r="W79" i="161" s="1"/>
  <c r="O79" i="161"/>
  <c r="BR79" i="161"/>
  <c r="AY79" i="161"/>
  <c r="BD79" i="161"/>
  <c r="BE79" i="161" s="1"/>
  <c r="AQ79" i="161"/>
  <c r="AR79" i="161" s="1"/>
  <c r="AK79" i="161"/>
  <c r="AL79" i="161" s="1"/>
  <c r="AE79" i="161"/>
  <c r="AF79" i="161" s="1"/>
  <c r="Y79" i="161"/>
  <c r="Z79" i="161" s="1"/>
  <c r="R79" i="161"/>
  <c r="T79" i="161" s="1"/>
  <c r="AV79" i="161"/>
  <c r="AW79" i="161" s="1"/>
  <c r="P79" i="161"/>
  <c r="BK79" i="161"/>
  <c r="BN79" i="161"/>
  <c r="BO79" i="161" s="1"/>
  <c r="BJ79" i="161"/>
  <c r="BL79" i="161" s="1"/>
  <c r="M79" i="161"/>
  <c r="I81" i="161"/>
  <c r="K80" i="161"/>
  <c r="BQ80" i="161" s="1"/>
  <c r="I51" i="106"/>
  <c r="V43" i="95"/>
  <c r="AE43" i="95"/>
  <c r="AH43" i="95"/>
  <c r="AN43" i="95"/>
  <c r="AK43" i="95"/>
  <c r="BA43" i="95"/>
  <c r="M43" i="95"/>
  <c r="BG43" i="95"/>
  <c r="BQ43" i="95"/>
  <c r="BN43" i="95"/>
  <c r="BO43" i="95" s="1"/>
  <c r="AT43" i="95"/>
  <c r="BD43" i="95" s="1"/>
  <c r="K44" i="95"/>
  <c r="BL43" i="95"/>
  <c r="AB43" i="95"/>
  <c r="R43" i="95"/>
  <c r="T43" i="95" s="1"/>
  <c r="Y43" i="95" s="1"/>
  <c r="P49" i="124"/>
  <c r="W42" i="13"/>
  <c r="BR45" i="64"/>
  <c r="W42" i="66"/>
  <c r="W48" i="156"/>
  <c r="BN44" i="104"/>
  <c r="BO44" i="104" s="1"/>
  <c r="Y44" i="104"/>
  <c r="Z44" i="104" s="1"/>
  <c r="AH44" i="104"/>
  <c r="AI44" i="104" s="1"/>
  <c r="AB44" i="104"/>
  <c r="AC44" i="104" s="1"/>
  <c r="AE44" i="104"/>
  <c r="AF44" i="104" s="1"/>
  <c r="BK44" i="104"/>
  <c r="P44" i="104"/>
  <c r="BG44" i="104"/>
  <c r="BH44" i="104" s="1"/>
  <c r="BQ44" i="104"/>
  <c r="BR44" i="104" s="1"/>
  <c r="AY44" i="104"/>
  <c r="AK44" i="104"/>
  <c r="AL44" i="104" s="1"/>
  <c r="BA44" i="104"/>
  <c r="BB44" i="104" s="1"/>
  <c r="AN44" i="104"/>
  <c r="AO44" i="104" s="1"/>
  <c r="M44" i="104"/>
  <c r="V44" i="104"/>
  <c r="W44" i="104" s="1"/>
  <c r="AV44" i="104"/>
  <c r="AW44" i="104" s="1"/>
  <c r="AT44" i="104"/>
  <c r="K45" i="104"/>
  <c r="BJ44" i="104"/>
  <c r="BL44" i="104" s="1"/>
  <c r="BD44" i="104"/>
  <c r="BE44" i="104" s="1"/>
  <c r="AQ44" i="104"/>
  <c r="AR44" i="104" s="1"/>
  <c r="O44" i="104"/>
  <c r="R44" i="104"/>
  <c r="T44" i="104" s="1"/>
  <c r="BA43" i="112"/>
  <c r="BB43" i="112" s="1"/>
  <c r="AF43" i="112"/>
  <c r="AI42" i="95"/>
  <c r="AF43" i="118"/>
  <c r="W44" i="126"/>
  <c r="AV43" i="112"/>
  <c r="AW43" i="112" s="1"/>
  <c r="BD43" i="112"/>
  <c r="BE43" i="112" s="1"/>
  <c r="BD44" i="129"/>
  <c r="BE44" i="129" s="1"/>
  <c r="AV44" i="129"/>
  <c r="AW44" i="129" s="1"/>
  <c r="Z44" i="115"/>
  <c r="K50" i="156"/>
  <c r="I51" i="156"/>
  <c r="AF48" i="156"/>
  <c r="K45" i="112"/>
  <c r="AB44" i="112"/>
  <c r="AY44" i="112"/>
  <c r="BK44" i="112"/>
  <c r="AT44" i="112"/>
  <c r="BQ44" i="112"/>
  <c r="M44" i="112"/>
  <c r="AK44" i="112"/>
  <c r="R44" i="112"/>
  <c r="T44" i="112" s="1"/>
  <c r="Y44" i="112" s="1"/>
  <c r="BN44" i="112"/>
  <c r="BO44" i="112" s="1"/>
  <c r="V44" i="112"/>
  <c r="BJ44" i="112"/>
  <c r="BL44" i="112" s="1"/>
  <c r="AE44" i="112"/>
  <c r="AF44" i="112" s="1"/>
  <c r="AN44" i="112"/>
  <c r="AH44" i="112"/>
  <c r="Z44" i="129"/>
  <c r="AL44" i="129"/>
  <c r="AT45" i="129"/>
  <c r="R45" i="129"/>
  <c r="T45" i="129" s="1"/>
  <c r="AH45" i="129"/>
  <c r="AI45" i="129" s="1"/>
  <c r="BN45" i="129"/>
  <c r="BO45" i="129" s="1"/>
  <c r="BG45" i="129"/>
  <c r="BH45" i="129" s="1"/>
  <c r="BA45" i="129"/>
  <c r="BB45" i="129" s="1"/>
  <c r="AQ45" i="129"/>
  <c r="AR45" i="129" s="1"/>
  <c r="M45" i="129"/>
  <c r="AY45" i="129"/>
  <c r="V45" i="129"/>
  <c r="W45" i="129" s="1"/>
  <c r="Y45" i="129"/>
  <c r="Z45" i="129" s="1"/>
  <c r="K46" i="129"/>
  <c r="AV45" i="129"/>
  <c r="AW45" i="129" s="1"/>
  <c r="O45" i="129"/>
  <c r="AB45" i="129"/>
  <c r="P45" i="129"/>
  <c r="AE45" i="129"/>
  <c r="AF45" i="129" s="1"/>
  <c r="BD45" i="129"/>
  <c r="BE45" i="129" s="1"/>
  <c r="BL45" i="129"/>
  <c r="BQ45" i="129"/>
  <c r="BR45" i="129" s="1"/>
  <c r="AK45" i="129"/>
  <c r="AL45" i="129" s="1"/>
  <c r="AN45" i="129"/>
  <c r="AO45" i="129" s="1"/>
  <c r="BD42" i="95"/>
  <c r="BE42" i="95" s="1"/>
  <c r="W42" i="95"/>
  <c r="BR42" i="95"/>
  <c r="W42" i="17"/>
  <c r="AO44" i="126"/>
  <c r="M49" i="156"/>
  <c r="AE49" i="156"/>
  <c r="V49" i="156"/>
  <c r="BN49" i="156"/>
  <c r="BO49" i="156" s="1"/>
  <c r="AB49" i="156"/>
  <c r="BQ49" i="156"/>
  <c r="AH49" i="156"/>
  <c r="AK49" i="156"/>
  <c r="AN49" i="156"/>
  <c r="BL49" i="156"/>
  <c r="BR48" i="156"/>
  <c r="BR43" i="112"/>
  <c r="AL43" i="112"/>
  <c r="AH47" i="133"/>
  <c r="AI47" i="133" s="1"/>
  <c r="AK47" i="133"/>
  <c r="AL47" i="133" s="1"/>
  <c r="AE47" i="133"/>
  <c r="AF47" i="133" s="1"/>
  <c r="BN47" i="133"/>
  <c r="BO47" i="133" s="1"/>
  <c r="AY47" i="133"/>
  <c r="Y47" i="133"/>
  <c r="Z47" i="133" s="1"/>
  <c r="BQ47" i="133"/>
  <c r="BR47" i="133" s="1"/>
  <c r="M47" i="133"/>
  <c r="BG47" i="133"/>
  <c r="BH47" i="133" s="1"/>
  <c r="AQ47" i="133"/>
  <c r="AR47" i="133" s="1"/>
  <c r="AN47" i="133"/>
  <c r="AO47" i="133" s="1"/>
  <c r="BL47" i="133"/>
  <c r="O47" i="133"/>
  <c r="AB47" i="133"/>
  <c r="AC47" i="133" s="1"/>
  <c r="AV47" i="133"/>
  <c r="AW47" i="133" s="1"/>
  <c r="V47" i="133"/>
  <c r="W47" i="133" s="1"/>
  <c r="AT47" i="133"/>
  <c r="R47" i="133"/>
  <c r="T47" i="133" s="1"/>
  <c r="K48" i="133"/>
  <c r="P47" i="133"/>
  <c r="BD47" i="133"/>
  <c r="BE47" i="133" s="1"/>
  <c r="BA47" i="133"/>
  <c r="BB47" i="133" s="1"/>
  <c r="AF44" i="129"/>
  <c r="AQ42" i="95"/>
  <c r="AR42" i="95" s="1"/>
  <c r="AC42" i="95"/>
  <c r="AL42" i="95"/>
  <c r="AL43" i="118"/>
  <c r="BD44" i="106"/>
  <c r="BE44" i="106" s="1"/>
  <c r="AT44" i="106"/>
  <c r="O44" i="106"/>
  <c r="BJ44" i="106"/>
  <c r="BL44" i="106" s="1"/>
  <c r="AY44" i="106"/>
  <c r="V44" i="106"/>
  <c r="W44" i="106" s="1"/>
  <c r="Y44" i="106"/>
  <c r="Z44" i="106" s="1"/>
  <c r="BK44" i="106"/>
  <c r="AN44" i="106"/>
  <c r="AO44" i="106" s="1"/>
  <c r="AK44" i="106"/>
  <c r="AL44" i="106" s="1"/>
  <c r="R44" i="106"/>
  <c r="T44" i="106" s="1"/>
  <c r="BN44" i="106"/>
  <c r="BO44" i="106" s="1"/>
  <c r="P44" i="106"/>
  <c r="AQ44" i="106"/>
  <c r="AR44" i="106" s="1"/>
  <c r="AE44" i="106"/>
  <c r="AF44" i="106" s="1"/>
  <c r="BG44" i="106"/>
  <c r="BH44" i="106" s="1"/>
  <c r="AB44" i="106"/>
  <c r="AC44" i="106" s="1"/>
  <c r="BA44" i="106"/>
  <c r="BB44" i="106" s="1"/>
  <c r="AH44" i="106"/>
  <c r="AI44" i="106" s="1"/>
  <c r="M44" i="106"/>
  <c r="AV44" i="106"/>
  <c r="AW44" i="106" s="1"/>
  <c r="BQ44" i="106"/>
  <c r="BR44" i="106" s="1"/>
  <c r="K45" i="106"/>
  <c r="AI48" i="156"/>
  <c r="AQ48" i="156"/>
  <c r="AR48" i="156" s="1"/>
  <c r="AL48" i="156"/>
  <c r="W43" i="112"/>
  <c r="AQ43" i="112"/>
  <c r="AR43" i="112" s="1"/>
  <c r="AI43" i="112"/>
  <c r="AC43" i="112"/>
  <c r="AQ44" i="129"/>
  <c r="AR44" i="129" s="1"/>
  <c r="AV36" i="120"/>
  <c r="AW36" i="120" s="1"/>
  <c r="W48" i="149"/>
  <c r="AF48" i="149"/>
  <c r="Z46" i="150"/>
  <c r="AT37" i="150"/>
  <c r="AT37" i="156"/>
  <c r="BG41" i="15"/>
  <c r="BH41" i="15" s="1"/>
  <c r="BA41" i="15"/>
  <c r="BB41" i="15" s="1"/>
  <c r="BG42" i="136"/>
  <c r="BH42" i="136" s="1"/>
  <c r="BG42" i="150"/>
  <c r="BH42" i="150" s="1"/>
  <c r="BA42" i="150"/>
  <c r="BB42" i="150" s="1"/>
  <c r="BG42" i="151"/>
  <c r="BH42" i="151" s="1"/>
  <c r="BA42" i="151"/>
  <c r="BB42" i="151" s="1"/>
  <c r="BA42" i="155"/>
  <c r="BB42" i="155" s="1"/>
  <c r="BG42" i="152"/>
  <c r="BH42" i="152" s="1"/>
  <c r="BG41" i="149"/>
  <c r="BH41" i="149" s="1"/>
  <c r="BA41" i="149"/>
  <c r="BB41" i="149" s="1"/>
  <c r="BG41" i="156"/>
  <c r="BH41" i="156" s="1"/>
  <c r="BA41" i="156"/>
  <c r="BB41" i="156" s="1"/>
  <c r="A47" i="7"/>
  <c r="AY43" i="150" s="1"/>
  <c r="AY42" i="156"/>
  <c r="AY42" i="130"/>
  <c r="AY42" i="15"/>
  <c r="AI44" i="130"/>
  <c r="AQ44" i="130"/>
  <c r="AR44" i="130" s="1"/>
  <c r="BN45" i="130"/>
  <c r="BO45" i="130" s="1"/>
  <c r="M45" i="130"/>
  <c r="K46" i="130"/>
  <c r="BL45" i="130"/>
  <c r="AH45" i="130"/>
  <c r="AI45" i="130" s="1"/>
  <c r="R45" i="130"/>
  <c r="T45" i="130" s="1"/>
  <c r="AQ45" i="130"/>
  <c r="AR45" i="130" s="1"/>
  <c r="BA45" i="130"/>
  <c r="BB45" i="130" s="1"/>
  <c r="AE45" i="130"/>
  <c r="AF45" i="130" s="1"/>
  <c r="P45" i="130"/>
  <c r="AT45" i="130"/>
  <c r="BQ45" i="130"/>
  <c r="BR45" i="130" s="1"/>
  <c r="O45" i="130"/>
  <c r="AK45" i="130"/>
  <c r="AL45" i="130" s="1"/>
  <c r="Y45" i="130"/>
  <c r="Z45" i="130" s="1"/>
  <c r="AY45" i="130"/>
  <c r="AN45" i="130"/>
  <c r="AO45" i="130" s="1"/>
  <c r="V45" i="130"/>
  <c r="W45" i="130" s="1"/>
  <c r="AV45" i="130"/>
  <c r="AW45" i="130" s="1"/>
  <c r="BD45" i="130"/>
  <c r="BE45" i="130" s="1"/>
  <c r="BG45" i="130"/>
  <c r="BH45" i="130" s="1"/>
  <c r="AB45" i="130"/>
  <c r="BD36" i="156"/>
  <c r="BE36" i="156" s="1"/>
  <c r="AV36" i="156"/>
  <c r="AW36" i="156" s="1"/>
  <c r="AV36" i="150"/>
  <c r="AW36" i="150" s="1"/>
  <c r="BD36" i="150"/>
  <c r="BE36" i="150" s="1"/>
  <c r="AW44" i="63"/>
  <c r="AO48" i="149"/>
  <c r="W47" i="151"/>
  <c r="Z47" i="151"/>
  <c r="P23" i="155"/>
  <c r="Z48" i="149"/>
  <c r="T39" i="155"/>
  <c r="Y39" i="155" s="1"/>
  <c r="Z39" i="155" s="1"/>
  <c r="R40" i="155"/>
  <c r="AV36" i="130"/>
  <c r="AW36" i="130" s="1"/>
  <c r="AQ49" i="152"/>
  <c r="AR49" i="152" s="1"/>
  <c r="AF49" i="152"/>
  <c r="AC49" i="153"/>
  <c r="Z49" i="152"/>
  <c r="Z49" i="153"/>
  <c r="R45" i="63"/>
  <c r="T45" i="63" s="1"/>
  <c r="Y45" i="63" s="1"/>
  <c r="AO49" i="155"/>
  <c r="AF49" i="155"/>
  <c r="K51" i="155"/>
  <c r="I52" i="155"/>
  <c r="AI49" i="155"/>
  <c r="AE50" i="155"/>
  <c r="AK50" i="155"/>
  <c r="V50" i="155"/>
  <c r="AB50" i="155"/>
  <c r="AH50" i="155"/>
  <c r="AN50" i="155"/>
  <c r="BQ50" i="155"/>
  <c r="M50" i="155"/>
  <c r="BN50" i="155"/>
  <c r="BO50" i="155" s="1"/>
  <c r="BL50" i="155"/>
  <c r="BR49" i="155"/>
  <c r="AC49" i="155"/>
  <c r="AQ49" i="155"/>
  <c r="AR49" i="155" s="1"/>
  <c r="W49" i="155"/>
  <c r="AL49" i="155"/>
  <c r="BD36" i="17"/>
  <c r="BE36" i="17" s="1"/>
  <c r="AV36" i="17"/>
  <c r="AW36" i="17" s="1"/>
  <c r="BD36" i="13"/>
  <c r="BE36" i="13" s="1"/>
  <c r="AV36" i="13"/>
  <c r="AW36" i="13" s="1"/>
  <c r="BD36" i="136"/>
  <c r="BE36" i="136" s="1"/>
  <c r="AV36" i="136"/>
  <c r="AW36" i="136" s="1"/>
  <c r="BD36" i="15"/>
  <c r="BE36" i="15" s="1"/>
  <c r="AV36" i="15"/>
  <c r="AW36" i="15" s="1"/>
  <c r="A39" i="58"/>
  <c r="AT37" i="130"/>
  <c r="AT37" i="120"/>
  <c r="AT37" i="17"/>
  <c r="AT37" i="136"/>
  <c r="AT37" i="13"/>
  <c r="BD37" i="15"/>
  <c r="BE37" i="15" s="1"/>
  <c r="AV37" i="15"/>
  <c r="AW37" i="15" s="1"/>
  <c r="R45" i="115"/>
  <c r="AL49" i="153"/>
  <c r="AO49" i="153"/>
  <c r="AI49" i="152"/>
  <c r="BR49" i="152"/>
  <c r="AI49" i="153"/>
  <c r="BR49" i="153"/>
  <c r="BD44" i="114"/>
  <c r="BE44" i="114" s="1"/>
  <c r="I55" i="153"/>
  <c r="M50" i="153"/>
  <c r="BQ50" i="153"/>
  <c r="O50" i="153"/>
  <c r="V50" i="153"/>
  <c r="AB50" i="153"/>
  <c r="AH50" i="153"/>
  <c r="AN50" i="153"/>
  <c r="P50" i="153"/>
  <c r="BN50" i="153"/>
  <c r="BO50" i="153" s="1"/>
  <c r="R50" i="153"/>
  <c r="T50" i="153" s="1"/>
  <c r="Y50" i="153" s="1"/>
  <c r="AE50" i="153"/>
  <c r="AK50" i="153"/>
  <c r="BL50" i="153"/>
  <c r="K51" i="153"/>
  <c r="AQ49" i="153"/>
  <c r="AR49" i="153" s="1"/>
  <c r="I59" i="152"/>
  <c r="M50" i="152"/>
  <c r="BQ50" i="152"/>
  <c r="O50" i="152"/>
  <c r="V50" i="152"/>
  <c r="AB50" i="152"/>
  <c r="AH50" i="152"/>
  <c r="AN50" i="152"/>
  <c r="P50" i="152"/>
  <c r="BN50" i="152"/>
  <c r="BO50" i="152" s="1"/>
  <c r="R50" i="152"/>
  <c r="T50" i="152" s="1"/>
  <c r="Y50" i="152" s="1"/>
  <c r="AE50" i="152"/>
  <c r="AK50" i="152"/>
  <c r="BL50" i="152"/>
  <c r="K51" i="152"/>
  <c r="AL49" i="152"/>
  <c r="AC49" i="152"/>
  <c r="AO49" i="152"/>
  <c r="BB44" i="126"/>
  <c r="BH46" i="146"/>
  <c r="AQ46" i="150"/>
  <c r="AR46" i="150" s="1"/>
  <c r="AW47" i="147"/>
  <c r="AQ48" i="149"/>
  <c r="AR48" i="149" s="1"/>
  <c r="BR47" i="151"/>
  <c r="AI47" i="151"/>
  <c r="AL47" i="151"/>
  <c r="P48" i="151"/>
  <c r="BQ48" i="151"/>
  <c r="AE48" i="151"/>
  <c r="R48" i="151"/>
  <c r="T48" i="151" s="1"/>
  <c r="Y48" i="151" s="1"/>
  <c r="AN48" i="151"/>
  <c r="AB48" i="151"/>
  <c r="O48" i="151"/>
  <c r="AK48" i="151"/>
  <c r="AH48" i="151"/>
  <c r="V48" i="151"/>
  <c r="M48" i="151"/>
  <c r="BN48" i="151"/>
  <c r="BO48" i="151" s="1"/>
  <c r="BL48" i="151"/>
  <c r="AO47" i="151"/>
  <c r="AQ47" i="151"/>
  <c r="AR47" i="151" s="1"/>
  <c r="I50" i="151"/>
  <c r="K49" i="151"/>
  <c r="AC47" i="151"/>
  <c r="AF47" i="151"/>
  <c r="AF46" i="150"/>
  <c r="AL46" i="150"/>
  <c r="AO46" i="150"/>
  <c r="W46" i="150"/>
  <c r="AN47" i="150"/>
  <c r="AH47" i="150"/>
  <c r="AB47" i="150"/>
  <c r="V47" i="150"/>
  <c r="O47" i="150"/>
  <c r="BQ47" i="150"/>
  <c r="P47" i="150"/>
  <c r="AK47" i="150"/>
  <c r="AE47" i="150"/>
  <c r="R47" i="150"/>
  <c r="T47" i="150" s="1"/>
  <c r="Y47" i="150" s="1"/>
  <c r="BN47" i="150"/>
  <c r="BO47" i="150" s="1"/>
  <c r="M47" i="150"/>
  <c r="BL47" i="150"/>
  <c r="K48" i="150"/>
  <c r="AC46" i="150"/>
  <c r="I51" i="150"/>
  <c r="BR46" i="150"/>
  <c r="AI46" i="150"/>
  <c r="AC48" i="149"/>
  <c r="K50" i="149"/>
  <c r="I51" i="149"/>
  <c r="AI48" i="149"/>
  <c r="BQ49" i="149"/>
  <c r="AK49" i="149"/>
  <c r="AE49" i="149"/>
  <c r="R49" i="149"/>
  <c r="T49" i="149" s="1"/>
  <c r="Y49" i="149" s="1"/>
  <c r="P49" i="149"/>
  <c r="AN49" i="149"/>
  <c r="AH49" i="149"/>
  <c r="AB49" i="149"/>
  <c r="V49" i="149"/>
  <c r="O49" i="149"/>
  <c r="BN49" i="149"/>
  <c r="BO49" i="149" s="1"/>
  <c r="M49" i="149"/>
  <c r="BL49" i="149"/>
  <c r="AL48" i="149"/>
  <c r="BR48" i="149"/>
  <c r="W47" i="147"/>
  <c r="O46" i="64"/>
  <c r="AF44" i="114"/>
  <c r="W46" i="146"/>
  <c r="BE46" i="146"/>
  <c r="Z47" i="147"/>
  <c r="BB44" i="114"/>
  <c r="AW44" i="114"/>
  <c r="Z46" i="146"/>
  <c r="BH47" i="147"/>
  <c r="BD47" i="147"/>
  <c r="BE47" i="147" s="1"/>
  <c r="BR47" i="147"/>
  <c r="AC47" i="147"/>
  <c r="BA47" i="147"/>
  <c r="BB47" i="147" s="1"/>
  <c r="AT48" i="147"/>
  <c r="BD48" i="147" s="1"/>
  <c r="AB48" i="147"/>
  <c r="V48" i="147"/>
  <c r="AE48" i="147"/>
  <c r="BQ48" i="147"/>
  <c r="AY48" i="147"/>
  <c r="BG48" i="147" s="1"/>
  <c r="R48" i="147"/>
  <c r="T48" i="147" s="1"/>
  <c r="Y48" i="147" s="1"/>
  <c r="BK48" i="147"/>
  <c r="BJ48" i="147"/>
  <c r="BL48" i="147" s="1"/>
  <c r="BN48" i="147"/>
  <c r="BO48" i="147" s="1"/>
  <c r="M48" i="147"/>
  <c r="AF47" i="147"/>
  <c r="AI47" i="147"/>
  <c r="K49" i="147"/>
  <c r="AH49" i="147" s="1"/>
  <c r="I50" i="147"/>
  <c r="P27" i="147"/>
  <c r="AV46" i="146"/>
  <c r="AW46" i="146" s="1"/>
  <c r="AC46" i="146"/>
  <c r="BA46" i="146"/>
  <c r="BB46" i="146" s="1"/>
  <c r="P26" i="146"/>
  <c r="AT47" i="146"/>
  <c r="AV47" i="146" s="1"/>
  <c r="AB47" i="146"/>
  <c r="V47" i="146"/>
  <c r="BQ47" i="146"/>
  <c r="AY47" i="146"/>
  <c r="BA47" i="146" s="1"/>
  <c r="AE47" i="146"/>
  <c r="R47" i="146"/>
  <c r="T47" i="146" s="1"/>
  <c r="Y47" i="146" s="1"/>
  <c r="BK47" i="146"/>
  <c r="M47" i="146"/>
  <c r="BN47" i="146"/>
  <c r="BO47" i="146" s="1"/>
  <c r="BJ47" i="146"/>
  <c r="BL47" i="146" s="1"/>
  <c r="BR46" i="146"/>
  <c r="AI46" i="146"/>
  <c r="I49" i="146"/>
  <c r="K48" i="146"/>
  <c r="AH48" i="146" s="1"/>
  <c r="AF46" i="146"/>
  <c r="AQ44" i="63"/>
  <c r="AR44" i="63" s="1"/>
  <c r="AW42" i="66"/>
  <c r="AC45" i="64"/>
  <c r="Z43" i="118"/>
  <c r="BG44" i="126"/>
  <c r="BH44" i="126" s="1"/>
  <c r="AO44" i="115"/>
  <c r="AL44" i="115"/>
  <c r="AC42" i="13"/>
  <c r="AO42" i="13"/>
  <c r="BE43" i="118"/>
  <c r="AC43" i="118"/>
  <c r="Z42" i="17"/>
  <c r="AF42" i="17"/>
  <c r="AO42" i="17"/>
  <c r="AW45" i="64"/>
  <c r="AF44" i="110"/>
  <c r="BH43" i="118"/>
  <c r="Z44" i="114"/>
  <c r="BG45" i="64"/>
  <c r="BH45" i="64" s="1"/>
  <c r="AV44" i="110"/>
  <c r="AW44" i="110" s="1"/>
  <c r="AL44" i="110"/>
  <c r="BH44" i="110"/>
  <c r="AO43" i="118"/>
  <c r="AI43" i="118"/>
  <c r="AI43" i="15"/>
  <c r="AO43" i="15"/>
  <c r="BR43" i="15"/>
  <c r="AI42" i="66"/>
  <c r="Z44" i="126"/>
  <c r="BE44" i="96"/>
  <c r="BE44" i="126"/>
  <c r="AF43" i="15"/>
  <c r="W43" i="15"/>
  <c r="AQ45" i="64"/>
  <c r="AR45" i="64" s="1"/>
  <c r="Z44" i="96"/>
  <c r="BG42" i="17"/>
  <c r="BH42" i="17" s="1"/>
  <c r="BE48" i="124"/>
  <c r="AC43" i="15"/>
  <c r="BA43" i="118"/>
  <c r="BB43" i="118" s="1"/>
  <c r="BG48" i="124"/>
  <c r="BH48" i="124" s="1"/>
  <c r="BG44" i="115"/>
  <c r="BH44" i="115" s="1"/>
  <c r="AI44" i="115"/>
  <c r="BE44" i="115"/>
  <c r="AF42" i="13"/>
  <c r="AC44" i="110"/>
  <c r="AI44" i="110"/>
  <c r="AQ42" i="66"/>
  <c r="AR42" i="66" s="1"/>
  <c r="AF44" i="126"/>
  <c r="AL44" i="63"/>
  <c r="AV43" i="118"/>
  <c r="AW43" i="118" s="1"/>
  <c r="AQ43" i="118"/>
  <c r="AR43" i="118" s="1"/>
  <c r="AL42" i="120"/>
  <c r="BB42" i="120"/>
  <c r="AI42" i="120"/>
  <c r="AQ42" i="17"/>
  <c r="AR42" i="17" s="1"/>
  <c r="AF44" i="115"/>
  <c r="BR44" i="115"/>
  <c r="Z42" i="13"/>
  <c r="AL42" i="13"/>
  <c r="AI42" i="13"/>
  <c r="AO44" i="110"/>
  <c r="AV44" i="96"/>
  <c r="AW44" i="96" s="1"/>
  <c r="Z42" i="66"/>
  <c r="BB42" i="66"/>
  <c r="AC45" i="135"/>
  <c r="AV44" i="126"/>
  <c r="AW44" i="126" s="1"/>
  <c r="AI44" i="126"/>
  <c r="AC44" i="126"/>
  <c r="BR44" i="63"/>
  <c r="AI44" i="63"/>
  <c r="AF44" i="63"/>
  <c r="AV48" i="124"/>
  <c r="AW48" i="124" s="1"/>
  <c r="BR42" i="66"/>
  <c r="BR44" i="126"/>
  <c r="AL44" i="126"/>
  <c r="BD44" i="63"/>
  <c r="BE44" i="63" s="1"/>
  <c r="BR43" i="118"/>
  <c r="W43" i="118"/>
  <c r="BN43" i="17"/>
  <c r="BO43" i="17" s="1"/>
  <c r="BL43" i="17"/>
  <c r="M43" i="17"/>
  <c r="AN43" i="17"/>
  <c r="AK43" i="17"/>
  <c r="AB43" i="17"/>
  <c r="V43" i="17"/>
  <c r="AH43" i="17"/>
  <c r="AE43" i="17"/>
  <c r="BQ43" i="17"/>
  <c r="R43" i="17"/>
  <c r="T43" i="17" s="1"/>
  <c r="Y43" i="17" s="1"/>
  <c r="Z42" i="120"/>
  <c r="BG42" i="120"/>
  <c r="BH42" i="120" s="1"/>
  <c r="AO42" i="120"/>
  <c r="AC42" i="120"/>
  <c r="W42" i="120"/>
  <c r="AL42" i="17"/>
  <c r="AC42" i="17"/>
  <c r="I49" i="15"/>
  <c r="I50" i="63"/>
  <c r="I51" i="114"/>
  <c r="I47" i="110"/>
  <c r="K46" i="110"/>
  <c r="M45" i="115"/>
  <c r="BN45" i="115"/>
  <c r="BO45" i="115" s="1"/>
  <c r="V45" i="115"/>
  <c r="BJ45" i="115"/>
  <c r="BL45" i="115" s="1"/>
  <c r="BK45" i="115"/>
  <c r="BQ45" i="115"/>
  <c r="AE45" i="115"/>
  <c r="AT45" i="115"/>
  <c r="BD45" i="115" s="1"/>
  <c r="AB45" i="115"/>
  <c r="AH45" i="115"/>
  <c r="AN45" i="115"/>
  <c r="AK45" i="115"/>
  <c r="AY45" i="115"/>
  <c r="BA45" i="115" s="1"/>
  <c r="BB48" i="124"/>
  <c r="AQ44" i="115"/>
  <c r="AR44" i="115" s="1"/>
  <c r="BN45" i="114"/>
  <c r="BO45" i="114" s="1"/>
  <c r="M45" i="114"/>
  <c r="BJ45" i="114"/>
  <c r="BL45" i="114" s="1"/>
  <c r="BK45" i="114"/>
  <c r="AB45" i="114"/>
  <c r="V45" i="114"/>
  <c r="AN45" i="114"/>
  <c r="AH45" i="114"/>
  <c r="AY45" i="114"/>
  <c r="BA45" i="114" s="1"/>
  <c r="AE45" i="114"/>
  <c r="AT45" i="114"/>
  <c r="AV45" i="114" s="1"/>
  <c r="AK45" i="114"/>
  <c r="BQ45" i="114"/>
  <c r="K46" i="114"/>
  <c r="R45" i="114"/>
  <c r="T45" i="114" s="1"/>
  <c r="Y45" i="114" s="1"/>
  <c r="M46" i="64"/>
  <c r="V46" i="64"/>
  <c r="AH46" i="64"/>
  <c r="AK46" i="64"/>
  <c r="AN46" i="64"/>
  <c r="AE46" i="64"/>
  <c r="AB46" i="64"/>
  <c r="AY46" i="64"/>
  <c r="BG46" i="64" s="1"/>
  <c r="BN46" i="64"/>
  <c r="BO46" i="64" s="1"/>
  <c r="BL46" i="64"/>
  <c r="BQ46" i="64"/>
  <c r="AT46" i="64"/>
  <c r="AV46" i="64" s="1"/>
  <c r="K47" i="64"/>
  <c r="R46" i="64"/>
  <c r="T46" i="64" s="1"/>
  <c r="Y46" i="64" s="1"/>
  <c r="I51" i="64"/>
  <c r="BN43" i="66"/>
  <c r="BO43" i="66" s="1"/>
  <c r="AE43" i="66"/>
  <c r="AK43" i="66"/>
  <c r="V43" i="66"/>
  <c r="AY43" i="66"/>
  <c r="BA43" i="66" s="1"/>
  <c r="AH43" i="66"/>
  <c r="AN43" i="66"/>
  <c r="M43" i="66"/>
  <c r="AB43" i="66"/>
  <c r="BL43" i="66"/>
  <c r="BQ43" i="66"/>
  <c r="AT43" i="66"/>
  <c r="AV43" i="66" s="1"/>
  <c r="R43" i="66"/>
  <c r="T43" i="66" s="1"/>
  <c r="Y43" i="66" s="1"/>
  <c r="AL44" i="96"/>
  <c r="BD42" i="66"/>
  <c r="BE42" i="66" s="1"/>
  <c r="BG42" i="66"/>
  <c r="BH42" i="66" s="1"/>
  <c r="M45" i="63"/>
  <c r="BN45" i="63"/>
  <c r="BO45" i="63" s="1"/>
  <c r="BL45" i="63"/>
  <c r="AB45" i="63"/>
  <c r="AH45" i="63"/>
  <c r="V45" i="63"/>
  <c r="AN45" i="63"/>
  <c r="AE45" i="63"/>
  <c r="AY45" i="63"/>
  <c r="BA45" i="63" s="1"/>
  <c r="AK45" i="63"/>
  <c r="BQ45" i="63"/>
  <c r="AT45" i="63"/>
  <c r="BD45" i="63" s="1"/>
  <c r="K46" i="63"/>
  <c r="BG44" i="63"/>
  <c r="BH44" i="63" s="1"/>
  <c r="M44" i="118"/>
  <c r="K45" i="118"/>
  <c r="BN44" i="118"/>
  <c r="BO44" i="118" s="1"/>
  <c r="AB44" i="118"/>
  <c r="AH44" i="118"/>
  <c r="AY44" i="118"/>
  <c r="BA44" i="118" s="1"/>
  <c r="AE44" i="118"/>
  <c r="V44" i="118"/>
  <c r="AK44" i="118"/>
  <c r="AN44" i="118"/>
  <c r="BQ44" i="118"/>
  <c r="AT44" i="118"/>
  <c r="AV44" i="118" s="1"/>
  <c r="I45" i="17"/>
  <c r="K44" i="17"/>
  <c r="I49" i="104"/>
  <c r="AQ42" i="120"/>
  <c r="AR42" i="120" s="1"/>
  <c r="AF42" i="120"/>
  <c r="M43" i="13"/>
  <c r="BN43" i="13"/>
  <c r="BO43" i="13" s="1"/>
  <c r="BL43" i="13"/>
  <c r="BQ43" i="13"/>
  <c r="V43" i="13"/>
  <c r="AK43" i="13"/>
  <c r="AN43" i="13"/>
  <c r="AE43" i="13"/>
  <c r="AH43" i="13"/>
  <c r="AB43" i="13"/>
  <c r="R43" i="13"/>
  <c r="T43" i="13" s="1"/>
  <c r="Y43" i="13" s="1"/>
  <c r="I47" i="115"/>
  <c r="K46" i="115"/>
  <c r="BR48" i="124"/>
  <c r="AF48" i="124"/>
  <c r="AQ42" i="13"/>
  <c r="AR42" i="13" s="1"/>
  <c r="BG44" i="114"/>
  <c r="BH44" i="114" s="1"/>
  <c r="AC44" i="114"/>
  <c r="AO44" i="114"/>
  <c r="BD45" i="64"/>
  <c r="BE45" i="64" s="1"/>
  <c r="AF45" i="64"/>
  <c r="AI45" i="64"/>
  <c r="I51" i="136"/>
  <c r="I45" i="66"/>
  <c r="K44" i="66"/>
  <c r="M46" i="135"/>
  <c r="P46" i="135"/>
  <c r="BG46" i="135"/>
  <c r="BH46" i="135" s="1"/>
  <c r="AN46" i="135"/>
  <c r="AO46" i="135" s="1"/>
  <c r="AK46" i="135"/>
  <c r="AL46" i="135" s="1"/>
  <c r="R46" i="135"/>
  <c r="T46" i="135" s="1"/>
  <c r="BN46" i="135"/>
  <c r="BO46" i="135" s="1"/>
  <c r="O46" i="135"/>
  <c r="BA46" i="135"/>
  <c r="BB46" i="135" s="1"/>
  <c r="AT46" i="135"/>
  <c r="V46" i="135"/>
  <c r="W46" i="135" s="1"/>
  <c r="AB46" i="135"/>
  <c r="AC46" i="135" s="1"/>
  <c r="AY46" i="135"/>
  <c r="Y46" i="135"/>
  <c r="Z46" i="135" s="1"/>
  <c r="BQ46" i="135"/>
  <c r="BR46" i="135" s="1"/>
  <c r="AQ46" i="135"/>
  <c r="AR46" i="135" s="1"/>
  <c r="BL46" i="135"/>
  <c r="AV46" i="135"/>
  <c r="AW46" i="135" s="1"/>
  <c r="AH46" i="135"/>
  <c r="AI46" i="135" s="1"/>
  <c r="BD46" i="135"/>
  <c r="BE46" i="135" s="1"/>
  <c r="AE46" i="135"/>
  <c r="AF46" i="135" s="1"/>
  <c r="BA44" i="110"/>
  <c r="BB44" i="110" s="1"/>
  <c r="BB44" i="96"/>
  <c r="AF44" i="96"/>
  <c r="AC44" i="96"/>
  <c r="AO42" i="66"/>
  <c r="AC42" i="66"/>
  <c r="I52" i="105"/>
  <c r="P46" i="114"/>
  <c r="I47" i="96"/>
  <c r="K46" i="96"/>
  <c r="M43" i="120"/>
  <c r="AB43" i="120"/>
  <c r="AH43" i="120"/>
  <c r="V43" i="120"/>
  <c r="AE43" i="120"/>
  <c r="K44" i="120"/>
  <c r="BN43" i="120"/>
  <c r="BO43" i="120" s="1"/>
  <c r="BQ43" i="120"/>
  <c r="AK43" i="120"/>
  <c r="AN43" i="120"/>
  <c r="R43" i="120"/>
  <c r="T43" i="120" s="1"/>
  <c r="Y43" i="120" s="1"/>
  <c r="M44" i="101"/>
  <c r="AH44" i="101"/>
  <c r="AI44" i="101" s="1"/>
  <c r="BG44" i="101"/>
  <c r="BH44" i="101" s="1"/>
  <c r="AQ44" i="101"/>
  <c r="AR44" i="101" s="1"/>
  <c r="R44" i="101"/>
  <c r="T44" i="101" s="1"/>
  <c r="P44" i="101"/>
  <c r="Y44" i="101"/>
  <c r="Z44" i="101" s="1"/>
  <c r="BQ44" i="101"/>
  <c r="BR44" i="101" s="1"/>
  <c r="AT44" i="101"/>
  <c r="AB44" i="101"/>
  <c r="AC44" i="101" s="1"/>
  <c r="V44" i="101"/>
  <c r="W44" i="101" s="1"/>
  <c r="AK44" i="101"/>
  <c r="AL44" i="101" s="1"/>
  <c r="AE44" i="101"/>
  <c r="AF44" i="101" s="1"/>
  <c r="AY44" i="101"/>
  <c r="O44" i="101"/>
  <c r="BA44" i="101"/>
  <c r="BB44" i="101" s="1"/>
  <c r="AN44" i="101"/>
  <c r="AO44" i="101" s="1"/>
  <c r="AV44" i="101"/>
  <c r="AW44" i="101" s="1"/>
  <c r="BD44" i="101"/>
  <c r="BE44" i="101" s="1"/>
  <c r="K44" i="13"/>
  <c r="I45" i="13"/>
  <c r="AI42" i="17"/>
  <c r="BB42" i="17"/>
  <c r="M47" i="136"/>
  <c r="BN47" i="136"/>
  <c r="BO47" i="136" s="1"/>
  <c r="BL47" i="136"/>
  <c r="AH47" i="136"/>
  <c r="AI47" i="136" s="1"/>
  <c r="AE47" i="136"/>
  <c r="AF47" i="136" s="1"/>
  <c r="BA47" i="136"/>
  <c r="BB47" i="136" s="1"/>
  <c r="AV47" i="136"/>
  <c r="AW47" i="136" s="1"/>
  <c r="AY47" i="136"/>
  <c r="BG47" i="136"/>
  <c r="BH47" i="136" s="1"/>
  <c r="R47" i="136"/>
  <c r="T47" i="136" s="1"/>
  <c r="P47" i="136"/>
  <c r="AN47" i="136"/>
  <c r="AO47" i="136" s="1"/>
  <c r="AT47" i="136"/>
  <c r="Y47" i="136"/>
  <c r="Z47" i="136" s="1"/>
  <c r="BD47" i="136"/>
  <c r="BE47" i="136" s="1"/>
  <c r="AB47" i="136"/>
  <c r="AC47" i="136" s="1"/>
  <c r="AQ47" i="136"/>
  <c r="AR47" i="136" s="1"/>
  <c r="O47" i="136"/>
  <c r="BQ47" i="136"/>
  <c r="BR47" i="136" s="1"/>
  <c r="AK47" i="136"/>
  <c r="AL47" i="136" s="1"/>
  <c r="V47" i="136"/>
  <c r="W47" i="136" s="1"/>
  <c r="K48" i="136"/>
  <c r="AI48" i="124"/>
  <c r="AC48" i="124"/>
  <c r="M49" i="124"/>
  <c r="K50" i="124"/>
  <c r="BJ49" i="124"/>
  <c r="BL49" i="124" s="1"/>
  <c r="BN49" i="124"/>
  <c r="BO49" i="124" s="1"/>
  <c r="BK49" i="124"/>
  <c r="V49" i="124"/>
  <c r="AB49" i="124"/>
  <c r="AT49" i="124"/>
  <c r="BD49" i="124" s="1"/>
  <c r="AE49" i="124"/>
  <c r="AY49" i="124"/>
  <c r="BA49" i="124" s="1"/>
  <c r="BQ49" i="124"/>
  <c r="AV44" i="115"/>
  <c r="AW44" i="115" s="1"/>
  <c r="BL44" i="15"/>
  <c r="BN44" i="15"/>
  <c r="BO44" i="15" s="1"/>
  <c r="M44" i="15"/>
  <c r="V44" i="15"/>
  <c r="AH44" i="15"/>
  <c r="AE44" i="15"/>
  <c r="AK44" i="15"/>
  <c r="BQ44" i="15"/>
  <c r="AN44" i="15"/>
  <c r="AB44" i="15"/>
  <c r="K45" i="15"/>
  <c r="R45" i="15" s="1"/>
  <c r="AQ43" i="15"/>
  <c r="AR43" i="15" s="1"/>
  <c r="AQ44" i="114"/>
  <c r="AR44" i="114" s="1"/>
  <c r="AI44" i="114"/>
  <c r="I50" i="126"/>
  <c r="AO45" i="64"/>
  <c r="W45" i="64"/>
  <c r="I60" i="133"/>
  <c r="I48" i="135"/>
  <c r="K47" i="135"/>
  <c r="BN47" i="105"/>
  <c r="BO47" i="105" s="1"/>
  <c r="M47" i="105"/>
  <c r="BK47" i="105"/>
  <c r="BJ47" i="105"/>
  <c r="BL47" i="105" s="1"/>
  <c r="BG47" i="105"/>
  <c r="BH47" i="105" s="1"/>
  <c r="AQ47" i="105"/>
  <c r="AR47" i="105" s="1"/>
  <c r="AT47" i="105"/>
  <c r="AH47" i="105"/>
  <c r="AI47" i="105" s="1"/>
  <c r="AE47" i="105"/>
  <c r="AF47" i="105" s="1"/>
  <c r="AV47" i="105"/>
  <c r="AW47" i="105" s="1"/>
  <c r="P47" i="105"/>
  <c r="BQ47" i="105"/>
  <c r="BR47" i="105" s="1"/>
  <c r="BD47" i="105"/>
  <c r="BE47" i="105" s="1"/>
  <c r="AK47" i="105"/>
  <c r="AL47" i="105" s="1"/>
  <c r="R47" i="105"/>
  <c r="T47" i="105" s="1"/>
  <c r="AN47" i="105"/>
  <c r="AO47" i="105" s="1"/>
  <c r="O47" i="105"/>
  <c r="AB47" i="105"/>
  <c r="AC47" i="105" s="1"/>
  <c r="V47" i="105"/>
  <c r="W47" i="105" s="1"/>
  <c r="BA47" i="105"/>
  <c r="BB47" i="105" s="1"/>
  <c r="Y47" i="105"/>
  <c r="Z47" i="105" s="1"/>
  <c r="AY47" i="105"/>
  <c r="K48" i="105"/>
  <c r="AI44" i="96"/>
  <c r="BH44" i="96"/>
  <c r="BN45" i="98"/>
  <c r="BO45" i="98" s="1"/>
  <c r="M45" i="98"/>
  <c r="BK45" i="98"/>
  <c r="BJ45" i="98"/>
  <c r="BL45" i="98" s="1"/>
  <c r="K46" i="98"/>
  <c r="AK45" i="98"/>
  <c r="AL45" i="98" s="1"/>
  <c r="Y45" i="98"/>
  <c r="Z45" i="98" s="1"/>
  <c r="BG45" i="98"/>
  <c r="BH45" i="98" s="1"/>
  <c r="AB45" i="98"/>
  <c r="AC45" i="98" s="1"/>
  <c r="AH45" i="98"/>
  <c r="AI45" i="98" s="1"/>
  <c r="AY45" i="98"/>
  <c r="BA45" i="98"/>
  <c r="BB45" i="98" s="1"/>
  <c r="AE45" i="98"/>
  <c r="AF45" i="98" s="1"/>
  <c r="AV45" i="98"/>
  <c r="AW45" i="98" s="1"/>
  <c r="AN45" i="98"/>
  <c r="AO45" i="98" s="1"/>
  <c r="BQ45" i="98"/>
  <c r="BR45" i="98" s="1"/>
  <c r="BD45" i="98"/>
  <c r="BE45" i="98" s="1"/>
  <c r="AT45" i="98"/>
  <c r="R45" i="98"/>
  <c r="T45" i="98" s="1"/>
  <c r="O45" i="98"/>
  <c r="V45" i="98"/>
  <c r="W45" i="98" s="1"/>
  <c r="AQ45" i="98"/>
  <c r="AR45" i="98" s="1"/>
  <c r="P45" i="98"/>
  <c r="O49" i="124"/>
  <c r="BG45" i="96"/>
  <c r="V45" i="96"/>
  <c r="AE45" i="96"/>
  <c r="AK45" i="96"/>
  <c r="AH45" i="96"/>
  <c r="M45" i="96"/>
  <c r="BN45" i="96"/>
  <c r="BO45" i="96" s="1"/>
  <c r="AT45" i="96"/>
  <c r="AV45" i="96" s="1"/>
  <c r="AN45" i="96"/>
  <c r="AB45" i="96"/>
  <c r="BL45" i="96"/>
  <c r="BA45" i="96"/>
  <c r="BQ45" i="96"/>
  <c r="R45" i="96"/>
  <c r="T45" i="96" s="1"/>
  <c r="Y45" i="96" s="1"/>
  <c r="I54" i="95"/>
  <c r="I101" i="99"/>
  <c r="I46" i="101"/>
  <c r="K45" i="101"/>
  <c r="M45" i="110"/>
  <c r="BN45" i="110"/>
  <c r="BO45" i="110" s="1"/>
  <c r="BJ45" i="110"/>
  <c r="BL45" i="110" s="1"/>
  <c r="BK45" i="110"/>
  <c r="AY45" i="110"/>
  <c r="BA45" i="110" s="1"/>
  <c r="AE45" i="110"/>
  <c r="AK45" i="110"/>
  <c r="AB45" i="110"/>
  <c r="AN45" i="110"/>
  <c r="V45" i="110"/>
  <c r="AH45" i="110"/>
  <c r="AT45" i="110"/>
  <c r="AV45" i="110" s="1"/>
  <c r="BQ45" i="110"/>
  <c r="BB45" i="64"/>
  <c r="AL45" i="64"/>
  <c r="I52" i="132"/>
  <c r="AQ44" i="110"/>
  <c r="AR44" i="110" s="1"/>
  <c r="AQ44" i="96"/>
  <c r="AR44" i="96" s="1"/>
  <c r="AO44" i="96"/>
  <c r="W44" i="96"/>
  <c r="AF42" i="66"/>
  <c r="AL42" i="66"/>
  <c r="M45" i="126"/>
  <c r="BN45" i="126"/>
  <c r="BO45" i="126" s="1"/>
  <c r="BJ45" i="126"/>
  <c r="BL45" i="126" s="1"/>
  <c r="V45" i="126"/>
  <c r="BK45" i="126"/>
  <c r="AY45" i="126"/>
  <c r="BA45" i="126" s="1"/>
  <c r="AB45" i="126"/>
  <c r="AT45" i="126"/>
  <c r="AV45" i="126" s="1"/>
  <c r="AK45" i="126"/>
  <c r="AN45" i="126"/>
  <c r="AE45" i="126"/>
  <c r="BQ45" i="126"/>
  <c r="K46" i="126"/>
  <c r="AH49" i="126" s="1"/>
  <c r="R45" i="126"/>
  <c r="T45" i="126" s="1"/>
  <c r="Y45" i="126" s="1"/>
  <c r="AQ44" i="126"/>
  <c r="AR44" i="126" s="1"/>
  <c r="AC44" i="63"/>
  <c r="AO44" i="63"/>
  <c r="O28" i="115"/>
  <c r="V26" i="95"/>
  <c r="W26" i="95" s="1"/>
  <c r="P27" i="95"/>
  <c r="W25" i="95"/>
  <c r="O26" i="95"/>
  <c r="T44" i="15"/>
  <c r="Y44" i="15" s="1"/>
  <c r="O29" i="129"/>
  <c r="V29" i="129" s="1"/>
  <c r="W29" i="129" s="1"/>
  <c r="P25" i="98"/>
  <c r="T45" i="110"/>
  <c r="Y45" i="110" s="1"/>
  <c r="R46" i="110"/>
  <c r="R47" i="124"/>
  <c r="T46" i="124"/>
  <c r="Y46" i="124" s="1"/>
  <c r="Z46" i="124" s="1"/>
  <c r="V28" i="115"/>
  <c r="W28" i="115" s="1"/>
  <c r="P29" i="115"/>
  <c r="O28" i="66"/>
  <c r="P25" i="107"/>
  <c r="O29" i="101"/>
  <c r="V26" i="106"/>
  <c r="P27" i="106"/>
  <c r="P30" i="129"/>
  <c r="P31" i="129" s="1"/>
  <c r="P32" i="129" s="1"/>
  <c r="P33" i="129" s="1"/>
  <c r="P34" i="129" s="1"/>
  <c r="P35" i="129" s="1"/>
  <c r="P36" i="129" s="1"/>
  <c r="P37" i="129" s="1"/>
  <c r="P38" i="129" s="1"/>
  <c r="P39" i="129" s="1"/>
  <c r="P40" i="129" s="1"/>
  <c r="P41" i="129" s="1"/>
  <c r="P42" i="129" s="1"/>
  <c r="P43" i="129" s="1"/>
  <c r="P44" i="129" s="1"/>
  <c r="P30" i="101"/>
  <c r="V29" i="101"/>
  <c r="W29" i="101" s="1"/>
  <c r="O27" i="126"/>
  <c r="P26" i="130"/>
  <c r="V25" i="130"/>
  <c r="P27" i="13"/>
  <c r="V26" i="13"/>
  <c r="W26" i="13" s="1"/>
  <c r="V24" i="99"/>
  <c r="P29" i="66"/>
  <c r="V28" i="66"/>
  <c r="W28" i="66" s="1"/>
  <c r="P24" i="105"/>
  <c r="W25" i="13"/>
  <c r="O26" i="13"/>
  <c r="V27" i="126"/>
  <c r="W27" i="126" s="1"/>
  <c r="P28" i="126"/>
  <c r="T43" i="99"/>
  <c r="Y43" i="99" s="1"/>
  <c r="Z43" i="99" s="1"/>
  <c r="R44" i="99"/>
  <c r="T44" i="99" s="1"/>
  <c r="Y44" i="99" s="1"/>
  <c r="Z44" i="99" s="1"/>
  <c r="O30" i="114"/>
  <c r="O31" i="114" s="1"/>
  <c r="O32" i="114" s="1"/>
  <c r="O33" i="114" s="1"/>
  <c r="O34" i="114" s="1"/>
  <c r="O35" i="114" s="1"/>
  <c r="O36" i="114" s="1"/>
  <c r="O37" i="114" s="1"/>
  <c r="O38" i="114" s="1"/>
  <c r="O39" i="114" s="1"/>
  <c r="O40" i="114" s="1"/>
  <c r="O41" i="114" s="1"/>
  <c r="O42" i="114" s="1"/>
  <c r="O43" i="114" s="1"/>
  <c r="O44" i="114" s="1"/>
  <c r="O45" i="114" s="1"/>
  <c r="W24" i="120"/>
  <c r="O25" i="120"/>
  <c r="V25" i="118"/>
  <c r="P26" i="118"/>
  <c r="R45" i="118"/>
  <c r="T44" i="118"/>
  <c r="Y44" i="118" s="1"/>
  <c r="Z44" i="118" s="1"/>
  <c r="W24" i="135"/>
  <c r="O25" i="135"/>
  <c r="V29" i="96"/>
  <c r="W29" i="96" s="1"/>
  <c r="P30" i="96"/>
  <c r="W24" i="112"/>
  <c r="O25" i="112"/>
  <c r="W25" i="15"/>
  <c r="O26" i="15"/>
  <c r="V27" i="17"/>
  <c r="W27" i="17" s="1"/>
  <c r="P28" i="17"/>
  <c r="W24" i="136"/>
  <c r="O25" i="136"/>
  <c r="O27" i="17"/>
  <c r="P27" i="15"/>
  <c r="V26" i="15"/>
  <c r="W26" i="15" s="1"/>
  <c r="P25" i="63"/>
  <c r="P26" i="110"/>
  <c r="O29" i="96"/>
  <c r="V26" i="104"/>
  <c r="P27" i="104"/>
  <c r="BG42" i="13" l="1"/>
  <c r="BH42" i="13" s="1"/>
  <c r="BB45" i="115"/>
  <c r="P47" i="64"/>
  <c r="AI44" i="118"/>
  <c r="AL45" i="126"/>
  <c r="BR43" i="120"/>
  <c r="BR43" i="13"/>
  <c r="AL44" i="118"/>
  <c r="AC45" i="130"/>
  <c r="Z45" i="96"/>
  <c r="AF45" i="114"/>
  <c r="BE43" i="95"/>
  <c r="BA42" i="153"/>
  <c r="BB42" i="153" s="1"/>
  <c r="AY43" i="120"/>
  <c r="BG43" i="120" s="1"/>
  <c r="AT38" i="15"/>
  <c r="AY43" i="155"/>
  <c r="BA43" i="155" s="1"/>
  <c r="BB43" i="155" s="1"/>
  <c r="AY43" i="13"/>
  <c r="BA43" i="13" s="1"/>
  <c r="BB43" i="13" s="1"/>
  <c r="AY43" i="17"/>
  <c r="BA43" i="17" s="1"/>
  <c r="BB43" i="17" s="1"/>
  <c r="AY43" i="130"/>
  <c r="BG43" i="130" s="1"/>
  <c r="BH43" i="130" s="1"/>
  <c r="AY43" i="153"/>
  <c r="BQ47" i="99"/>
  <c r="BR47" i="99" s="1"/>
  <c r="BD47" i="99"/>
  <c r="BE47" i="99" s="1"/>
  <c r="BJ47" i="99"/>
  <c r="BL47" i="99" s="1"/>
  <c r="O47" i="99"/>
  <c r="V47" i="99"/>
  <c r="W47" i="99" s="1"/>
  <c r="BG47" i="99"/>
  <c r="BH47" i="99" s="1"/>
  <c r="BA47" i="99"/>
  <c r="BB47" i="99" s="1"/>
  <c r="P47" i="99"/>
  <c r="Y47" i="99"/>
  <c r="Z47" i="99" s="1"/>
  <c r="AE47" i="99"/>
  <c r="AF47" i="99" s="1"/>
  <c r="AV47" i="99"/>
  <c r="AW47" i="99" s="1"/>
  <c r="AN47" i="99"/>
  <c r="AO47" i="99" s="1"/>
  <c r="AK47" i="99"/>
  <c r="AL47" i="99" s="1"/>
  <c r="R47" i="99"/>
  <c r="T47" i="99" s="1"/>
  <c r="AY47" i="99"/>
  <c r="M47" i="99"/>
  <c r="AB47" i="99"/>
  <c r="AC47" i="99" s="1"/>
  <c r="AT47" i="99"/>
  <c r="BK47" i="99"/>
  <c r="AQ47" i="99"/>
  <c r="AR47" i="99" s="1"/>
  <c r="BN47" i="99"/>
  <c r="BO47" i="99" s="1"/>
  <c r="K48" i="99"/>
  <c r="AH47" i="99"/>
  <c r="AI47" i="99" s="1"/>
  <c r="BB45" i="110"/>
  <c r="AF43" i="13"/>
  <c r="AO46" i="64"/>
  <c r="AY43" i="152"/>
  <c r="BA43" i="152" s="1"/>
  <c r="BB43" i="152" s="1"/>
  <c r="AF43" i="120"/>
  <c r="AY43" i="136"/>
  <c r="BA43" i="136" s="1"/>
  <c r="BB43" i="136" s="1"/>
  <c r="AQ49" i="107"/>
  <c r="AR49" i="107" s="1"/>
  <c r="Y49" i="107"/>
  <c r="Z49" i="107" s="1"/>
  <c r="AT49" i="107"/>
  <c r="AE49" i="107"/>
  <c r="AF49" i="107" s="1"/>
  <c r="BD49" i="107"/>
  <c r="BE49" i="107" s="1"/>
  <c r="R49" i="107"/>
  <c r="T49" i="107" s="1"/>
  <c r="BQ49" i="107"/>
  <c r="BR49" i="107" s="1"/>
  <c r="BN49" i="107"/>
  <c r="BO49" i="107" s="1"/>
  <c r="BJ49" i="107"/>
  <c r="BL49" i="107" s="1"/>
  <c r="M49" i="107"/>
  <c r="AY49" i="107"/>
  <c r="V49" i="107"/>
  <c r="W49" i="107" s="1"/>
  <c r="BG49" i="107"/>
  <c r="BH49" i="107" s="1"/>
  <c r="BA49" i="107"/>
  <c r="BB49" i="107" s="1"/>
  <c r="BK49" i="107"/>
  <c r="AN49" i="107"/>
  <c r="AO49" i="107" s="1"/>
  <c r="AB49" i="107"/>
  <c r="AC49" i="107" s="1"/>
  <c r="AV49" i="107"/>
  <c r="AW49" i="107" s="1"/>
  <c r="O49" i="107"/>
  <c r="AK49" i="107"/>
  <c r="AL49" i="107" s="1"/>
  <c r="AH49" i="107"/>
  <c r="AI49" i="107" s="1"/>
  <c r="P49" i="107"/>
  <c r="AO45" i="110"/>
  <c r="BB45" i="63"/>
  <c r="Z44" i="112"/>
  <c r="I51" i="107"/>
  <c r="K50" i="107"/>
  <c r="O47" i="132"/>
  <c r="AK47" i="132"/>
  <c r="AL47" i="132" s="1"/>
  <c r="BG47" i="132"/>
  <c r="BH47" i="132" s="1"/>
  <c r="K48" i="132"/>
  <c r="BQ47" i="132"/>
  <c r="BR47" i="132" s="1"/>
  <c r="P47" i="132"/>
  <c r="R47" i="132"/>
  <c r="T47" i="132" s="1"/>
  <c r="BN47" i="132"/>
  <c r="BO47" i="132" s="1"/>
  <c r="AV47" i="132"/>
  <c r="AW47" i="132" s="1"/>
  <c r="AN47" i="132"/>
  <c r="AO47" i="132" s="1"/>
  <c r="AQ47" i="132"/>
  <c r="AR47" i="132" s="1"/>
  <c r="AE47" i="132"/>
  <c r="AF47" i="132" s="1"/>
  <c r="V47" i="132"/>
  <c r="W47" i="132" s="1"/>
  <c r="BA47" i="132"/>
  <c r="BB47" i="132" s="1"/>
  <c r="BL47" i="132"/>
  <c r="M47" i="132"/>
  <c r="AH47" i="132"/>
  <c r="AI47" i="132" s="1"/>
  <c r="AT47" i="132"/>
  <c r="Y47" i="132"/>
  <c r="Z47" i="132" s="1"/>
  <c r="AY47" i="132"/>
  <c r="BD47" i="132"/>
  <c r="BE47" i="132" s="1"/>
  <c r="AB47" i="132"/>
  <c r="AC47" i="132" s="1"/>
  <c r="W50" i="152"/>
  <c r="W50" i="153"/>
  <c r="AC43" i="95"/>
  <c r="AF43" i="95"/>
  <c r="AV43" i="95"/>
  <c r="AW43" i="95" s="1"/>
  <c r="AI43" i="95"/>
  <c r="BR43" i="95"/>
  <c r="AL43" i="95"/>
  <c r="T41" i="156"/>
  <c r="Y41" i="156" s="1"/>
  <c r="Z41" i="156" s="1"/>
  <c r="R42" i="156"/>
  <c r="Z44" i="15"/>
  <c r="Z43" i="95"/>
  <c r="BH43" i="95"/>
  <c r="W23" i="156"/>
  <c r="O24" i="156"/>
  <c r="BR80" i="161"/>
  <c r="AY80" i="161"/>
  <c r="BD80" i="161"/>
  <c r="BE80" i="161" s="1"/>
  <c r="AQ80" i="161"/>
  <c r="AR80" i="161" s="1"/>
  <c r="AK80" i="161"/>
  <c r="AL80" i="161" s="1"/>
  <c r="AE80" i="161"/>
  <c r="AF80" i="161" s="1"/>
  <c r="Y80" i="161"/>
  <c r="Z80" i="161" s="1"/>
  <c r="R80" i="161"/>
  <c r="T80" i="161" s="1"/>
  <c r="AV80" i="161"/>
  <c r="AW80" i="161" s="1"/>
  <c r="P80" i="161"/>
  <c r="AT80" i="161"/>
  <c r="V80" i="161"/>
  <c r="W80" i="161" s="1"/>
  <c r="AN80" i="161"/>
  <c r="AO80" i="161" s="1"/>
  <c r="O80" i="161"/>
  <c r="BG80" i="161"/>
  <c r="BH80" i="161" s="1"/>
  <c r="AH80" i="161"/>
  <c r="AI80" i="161" s="1"/>
  <c r="AB80" i="161"/>
  <c r="AC80" i="161" s="1"/>
  <c r="BA80" i="161"/>
  <c r="BB80" i="161" s="1"/>
  <c r="BN80" i="161"/>
  <c r="BO80" i="161" s="1"/>
  <c r="M80" i="161"/>
  <c r="BK80" i="161"/>
  <c r="BJ80" i="161"/>
  <c r="BL80" i="161" s="1"/>
  <c r="K81" i="161"/>
  <c r="BQ81" i="161" s="1"/>
  <c r="I82" i="161"/>
  <c r="AC45" i="96"/>
  <c r="W43" i="17"/>
  <c r="BJ45" i="106"/>
  <c r="BL45" i="106" s="1"/>
  <c r="AN45" i="106"/>
  <c r="AO45" i="106" s="1"/>
  <c r="AT45" i="106"/>
  <c r="Y45" i="106"/>
  <c r="Z45" i="106" s="1"/>
  <c r="BN45" i="106"/>
  <c r="BO45" i="106" s="1"/>
  <c r="AE45" i="106"/>
  <c r="AF45" i="106" s="1"/>
  <c r="AH45" i="106"/>
  <c r="AI45" i="106" s="1"/>
  <c r="R45" i="106"/>
  <c r="T45" i="106" s="1"/>
  <c r="BK45" i="106"/>
  <c r="AQ45" i="106"/>
  <c r="AR45" i="106" s="1"/>
  <c r="AK45" i="106"/>
  <c r="AL45" i="106" s="1"/>
  <c r="O45" i="106"/>
  <c r="AY45" i="106"/>
  <c r="AV45" i="106"/>
  <c r="AW45" i="106" s="1"/>
  <c r="AB45" i="106"/>
  <c r="AC45" i="106" s="1"/>
  <c r="M45" i="106"/>
  <c r="P45" i="106"/>
  <c r="BG45" i="106"/>
  <c r="BH45" i="106" s="1"/>
  <c r="BD45" i="106"/>
  <c r="BE45" i="106" s="1"/>
  <c r="V45" i="106"/>
  <c r="W45" i="106" s="1"/>
  <c r="BA45" i="106"/>
  <c r="BB45" i="106" s="1"/>
  <c r="BQ45" i="106"/>
  <c r="BR45" i="106" s="1"/>
  <c r="K46" i="106"/>
  <c r="BR44" i="112"/>
  <c r="AQ43" i="95"/>
  <c r="AR43" i="95" s="1"/>
  <c r="AO43" i="95"/>
  <c r="AW43" i="66"/>
  <c r="W45" i="114"/>
  <c r="AC45" i="115"/>
  <c r="AC43" i="17"/>
  <c r="AO49" i="156"/>
  <c r="W49" i="156"/>
  <c r="BN46" i="129"/>
  <c r="BO46" i="129" s="1"/>
  <c r="AB46" i="129"/>
  <c r="AC46" i="129" s="1"/>
  <c r="R46" i="129"/>
  <c r="T46" i="129" s="1"/>
  <c r="O46" i="129"/>
  <c r="V46" i="129"/>
  <c r="W46" i="129" s="1"/>
  <c r="AY46" i="129"/>
  <c r="P46" i="129"/>
  <c r="BL46" i="129"/>
  <c r="AT46" i="129"/>
  <c r="AE46" i="129"/>
  <c r="AF46" i="129" s="1"/>
  <c r="AQ46" i="129"/>
  <c r="AR46" i="129" s="1"/>
  <c r="AK46" i="129"/>
  <c r="AL46" i="129" s="1"/>
  <c r="AV46" i="129"/>
  <c r="AW46" i="129" s="1"/>
  <c r="BA46" i="129"/>
  <c r="BB46" i="129" s="1"/>
  <c r="K47" i="129"/>
  <c r="BG46" i="129"/>
  <c r="BH46" i="129" s="1"/>
  <c r="AH46" i="129"/>
  <c r="AI46" i="129" s="1"/>
  <c r="BQ46" i="129"/>
  <c r="BR46" i="129" s="1"/>
  <c r="M46" i="129"/>
  <c r="Y46" i="129"/>
  <c r="Z46" i="129" s="1"/>
  <c r="AN46" i="129"/>
  <c r="AO46" i="129" s="1"/>
  <c r="BD46" i="129"/>
  <c r="BE46" i="129" s="1"/>
  <c r="W44" i="112"/>
  <c r="BD44" i="112"/>
  <c r="BE44" i="112" s="1"/>
  <c r="AV44" i="112"/>
  <c r="AW44" i="112" s="1"/>
  <c r="K51" i="156"/>
  <c r="I52" i="156"/>
  <c r="Z43" i="17"/>
  <c r="BN48" i="133"/>
  <c r="BO48" i="133" s="1"/>
  <c r="BQ48" i="133"/>
  <c r="BR48" i="133" s="1"/>
  <c r="AK48" i="133"/>
  <c r="AL48" i="133" s="1"/>
  <c r="O48" i="133"/>
  <c r="M48" i="133"/>
  <c r="AB48" i="133"/>
  <c r="AC48" i="133" s="1"/>
  <c r="BD48" i="133"/>
  <c r="BE48" i="133" s="1"/>
  <c r="P48" i="133"/>
  <c r="AT48" i="133"/>
  <c r="K49" i="133"/>
  <c r="AN48" i="133"/>
  <c r="AO48" i="133" s="1"/>
  <c r="Y48" i="133"/>
  <c r="Z48" i="133" s="1"/>
  <c r="V48" i="133"/>
  <c r="W48" i="133" s="1"/>
  <c r="R48" i="133"/>
  <c r="T48" i="133" s="1"/>
  <c r="AE48" i="133"/>
  <c r="AF48" i="133" s="1"/>
  <c r="AH48" i="133"/>
  <c r="AI48" i="133" s="1"/>
  <c r="AQ48" i="133"/>
  <c r="AR48" i="133" s="1"/>
  <c r="AV48" i="133"/>
  <c r="AW48" i="133" s="1"/>
  <c r="BL48" i="133"/>
  <c r="BA48" i="133"/>
  <c r="BB48" i="133" s="1"/>
  <c r="BG48" i="133"/>
  <c r="BH48" i="133" s="1"/>
  <c r="AY48" i="133"/>
  <c r="AL49" i="156"/>
  <c r="AF49" i="156"/>
  <c r="BQ50" i="156"/>
  <c r="V50" i="156"/>
  <c r="M50" i="156"/>
  <c r="AB50" i="156"/>
  <c r="AE50" i="156"/>
  <c r="AH50" i="156"/>
  <c r="BN50" i="156"/>
  <c r="BO50" i="156" s="1"/>
  <c r="AN50" i="156"/>
  <c r="BL50" i="156"/>
  <c r="AK50" i="156"/>
  <c r="AL50" i="156" s="1"/>
  <c r="AL44" i="15"/>
  <c r="BR43" i="17"/>
  <c r="AI49" i="156"/>
  <c r="AQ49" i="156"/>
  <c r="AR49" i="156" s="1"/>
  <c r="AI44" i="112"/>
  <c r="AQ44" i="112"/>
  <c r="AR44" i="112" s="1"/>
  <c r="BA44" i="112"/>
  <c r="BB44" i="112" s="1"/>
  <c r="BG44" i="112"/>
  <c r="BH44" i="112" s="1"/>
  <c r="W43" i="95"/>
  <c r="BR49" i="156"/>
  <c r="AC45" i="129"/>
  <c r="AO44" i="112"/>
  <c r="AL44" i="112"/>
  <c r="AC44" i="112"/>
  <c r="BK45" i="104"/>
  <c r="BD45" i="104"/>
  <c r="BE45" i="104" s="1"/>
  <c r="R45" i="104"/>
  <c r="T45" i="104" s="1"/>
  <c r="AH45" i="104"/>
  <c r="AI45" i="104" s="1"/>
  <c r="M45" i="104"/>
  <c r="BA45" i="104"/>
  <c r="BB45" i="104" s="1"/>
  <c r="BQ45" i="104"/>
  <c r="BR45" i="104" s="1"/>
  <c r="O45" i="104"/>
  <c r="BN45" i="104"/>
  <c r="BO45" i="104" s="1"/>
  <c r="AB45" i="104"/>
  <c r="AC45" i="104" s="1"/>
  <c r="AT45" i="104"/>
  <c r="AK45" i="104"/>
  <c r="AL45" i="104" s="1"/>
  <c r="AV45" i="104"/>
  <c r="AW45" i="104" s="1"/>
  <c r="AQ45" i="104"/>
  <c r="AR45" i="104" s="1"/>
  <c r="AY45" i="104"/>
  <c r="K46" i="104"/>
  <c r="BG45" i="104"/>
  <c r="BH45" i="104" s="1"/>
  <c r="AN45" i="104"/>
  <c r="AO45" i="104" s="1"/>
  <c r="AE45" i="104"/>
  <c r="AF45" i="104" s="1"/>
  <c r="BJ45" i="104"/>
  <c r="BL45" i="104" s="1"/>
  <c r="V45" i="104"/>
  <c r="W45" i="104" s="1"/>
  <c r="Y45" i="104"/>
  <c r="Z45" i="104" s="1"/>
  <c r="P45" i="104"/>
  <c r="AB44" i="95"/>
  <c r="AK44" i="95"/>
  <c r="AE44" i="95"/>
  <c r="V44" i="95"/>
  <c r="AN44" i="95"/>
  <c r="BA44" i="95"/>
  <c r="M44" i="95"/>
  <c r="AT44" i="95"/>
  <c r="AV44" i="95" s="1"/>
  <c r="BQ44" i="95"/>
  <c r="BN44" i="95"/>
  <c r="BO44" i="95" s="1"/>
  <c r="AH44" i="95"/>
  <c r="K45" i="95"/>
  <c r="BG44" i="95"/>
  <c r="BL44" i="95"/>
  <c r="R44" i="95"/>
  <c r="T44" i="95" s="1"/>
  <c r="Y44" i="95" s="1"/>
  <c r="BB43" i="95"/>
  <c r="I52" i="106"/>
  <c r="AI45" i="63"/>
  <c r="AC49" i="156"/>
  <c r="K46" i="112"/>
  <c r="AK45" i="112"/>
  <c r="AH45" i="112"/>
  <c r="BN45" i="112"/>
  <c r="BO45" i="112" s="1"/>
  <c r="AE45" i="112"/>
  <c r="BQ45" i="112"/>
  <c r="BK45" i="112"/>
  <c r="AN45" i="112"/>
  <c r="R45" i="112"/>
  <c r="T45" i="112" s="1"/>
  <c r="Y45" i="112" s="1"/>
  <c r="V45" i="112"/>
  <c r="M45" i="112"/>
  <c r="AT45" i="112"/>
  <c r="AY45" i="112"/>
  <c r="BJ45" i="112"/>
  <c r="BL45" i="112" s="1"/>
  <c r="AB45" i="112"/>
  <c r="AT38" i="136"/>
  <c r="BD38" i="136" s="1"/>
  <c r="BE38" i="136" s="1"/>
  <c r="P50" i="124"/>
  <c r="AH50" i="124"/>
  <c r="W48" i="151"/>
  <c r="Z48" i="151"/>
  <c r="R46" i="115"/>
  <c r="R47" i="115" s="1"/>
  <c r="AT38" i="150"/>
  <c r="AT38" i="156"/>
  <c r="BL46" i="130"/>
  <c r="K47" i="130"/>
  <c r="BN46" i="130"/>
  <c r="BO46" i="130" s="1"/>
  <c r="M46" i="130"/>
  <c r="AN46" i="130"/>
  <c r="AO46" i="130" s="1"/>
  <c r="BG46" i="130"/>
  <c r="BH46" i="130" s="1"/>
  <c r="BA46" i="130"/>
  <c r="BB46" i="130" s="1"/>
  <c r="BQ46" i="130"/>
  <c r="BR46" i="130" s="1"/>
  <c r="P46" i="130"/>
  <c r="AV46" i="130"/>
  <c r="AW46" i="130" s="1"/>
  <c r="AH46" i="130"/>
  <c r="AI46" i="130" s="1"/>
  <c r="R46" i="130"/>
  <c r="T46" i="130" s="1"/>
  <c r="V46" i="130"/>
  <c r="W46" i="130" s="1"/>
  <c r="AT46" i="130"/>
  <c r="BD46" i="130"/>
  <c r="BE46" i="130" s="1"/>
  <c r="AE46" i="130"/>
  <c r="AF46" i="130" s="1"/>
  <c r="AB46" i="130"/>
  <c r="AC46" i="130" s="1"/>
  <c r="O46" i="130"/>
  <c r="AY46" i="130"/>
  <c r="AK46" i="130"/>
  <c r="AL46" i="130" s="1"/>
  <c r="Y46" i="130"/>
  <c r="Z46" i="130" s="1"/>
  <c r="AQ46" i="130"/>
  <c r="AR46" i="130" s="1"/>
  <c r="BA42" i="15"/>
  <c r="BB42" i="15" s="1"/>
  <c r="BG42" i="15"/>
  <c r="BH42" i="15" s="1"/>
  <c r="BA43" i="130"/>
  <c r="BB43" i="130" s="1"/>
  <c r="BG42" i="130"/>
  <c r="BH42" i="130" s="1"/>
  <c r="BA42" i="130"/>
  <c r="BB42" i="130" s="1"/>
  <c r="BG43" i="150"/>
  <c r="BH43" i="150" s="1"/>
  <c r="BA43" i="150"/>
  <c r="BB43" i="150" s="1"/>
  <c r="BG43" i="151"/>
  <c r="BH43" i="151" s="1"/>
  <c r="BA43" i="151"/>
  <c r="BB43" i="151" s="1"/>
  <c r="BG43" i="153"/>
  <c r="BH43" i="153" s="1"/>
  <c r="BA43" i="153"/>
  <c r="BB43" i="153" s="1"/>
  <c r="BG42" i="149"/>
  <c r="BH42" i="149" s="1"/>
  <c r="BA42" i="149"/>
  <c r="BB42" i="149" s="1"/>
  <c r="BA42" i="156"/>
  <c r="BB42" i="156" s="1"/>
  <c r="BG42" i="156"/>
  <c r="BH42" i="156" s="1"/>
  <c r="A48" i="7"/>
  <c r="AY43" i="156"/>
  <c r="AY43" i="15"/>
  <c r="BD37" i="156"/>
  <c r="BE37" i="156" s="1"/>
  <c r="AV37" i="156"/>
  <c r="AW37" i="156" s="1"/>
  <c r="AV37" i="150"/>
  <c r="AW37" i="150" s="1"/>
  <c r="BD37" i="150"/>
  <c r="BE37" i="150" s="1"/>
  <c r="BB49" i="124"/>
  <c r="AF49" i="149"/>
  <c r="Z47" i="146"/>
  <c r="AO49" i="149"/>
  <c r="V23" i="155"/>
  <c r="BR45" i="126"/>
  <c r="BE49" i="124"/>
  <c r="W49" i="149"/>
  <c r="T40" i="155"/>
  <c r="Y40" i="155" s="1"/>
  <c r="Z40" i="155" s="1"/>
  <c r="R41" i="155"/>
  <c r="AL45" i="114"/>
  <c r="AI45" i="114"/>
  <c r="Z49" i="149"/>
  <c r="Z47" i="150"/>
  <c r="Z45" i="63"/>
  <c r="O46" i="114"/>
  <c r="T45" i="115"/>
  <c r="Y45" i="115" s="1"/>
  <c r="Z45" i="115" s="1"/>
  <c r="R46" i="63"/>
  <c r="AF50" i="152"/>
  <c r="Z50" i="153"/>
  <c r="AI50" i="153"/>
  <c r="BR50" i="153"/>
  <c r="AO50" i="155"/>
  <c r="AF50" i="155"/>
  <c r="BR50" i="155"/>
  <c r="W50" i="155"/>
  <c r="AL50" i="155"/>
  <c r="K52" i="155"/>
  <c r="I53" i="155"/>
  <c r="AE51" i="155"/>
  <c r="AK51" i="155"/>
  <c r="AN51" i="155"/>
  <c r="AH51" i="155"/>
  <c r="BL51" i="155"/>
  <c r="AB51" i="155"/>
  <c r="BN51" i="155"/>
  <c r="BO51" i="155" s="1"/>
  <c r="M51" i="155"/>
  <c r="BQ51" i="155"/>
  <c r="V51" i="155"/>
  <c r="AI50" i="155"/>
  <c r="AC50" i="155"/>
  <c r="AQ50" i="155"/>
  <c r="AR50" i="155" s="1"/>
  <c r="AV37" i="136"/>
  <c r="AW37" i="136" s="1"/>
  <c r="BD37" i="136"/>
  <c r="BE37" i="136" s="1"/>
  <c r="BD37" i="13"/>
  <c r="BE37" i="13" s="1"/>
  <c r="AV37" i="13"/>
  <c r="AW37" i="13" s="1"/>
  <c r="BD37" i="130"/>
  <c r="BE37" i="130" s="1"/>
  <c r="AV37" i="130"/>
  <c r="AW37" i="130" s="1"/>
  <c r="AV38" i="15"/>
  <c r="AW38" i="15" s="1"/>
  <c r="BD38" i="15"/>
  <c r="BE38" i="15" s="1"/>
  <c r="BD37" i="120"/>
  <c r="BE37" i="120" s="1"/>
  <c r="AV37" i="120"/>
  <c r="AW37" i="120" s="1"/>
  <c r="BD37" i="17"/>
  <c r="BE37" i="17" s="1"/>
  <c r="AV37" i="17"/>
  <c r="AW37" i="17" s="1"/>
  <c r="A40" i="58"/>
  <c r="AT38" i="120"/>
  <c r="AT38" i="130"/>
  <c r="AT38" i="13"/>
  <c r="AT38" i="17"/>
  <c r="AT39" i="15"/>
  <c r="AI50" i="152"/>
  <c r="BR50" i="152"/>
  <c r="M51" i="153"/>
  <c r="BQ51" i="153"/>
  <c r="O51" i="153"/>
  <c r="V51" i="153"/>
  <c r="AB51" i="153"/>
  <c r="AH51" i="153"/>
  <c r="AN51" i="153"/>
  <c r="P51" i="153"/>
  <c r="BN51" i="153"/>
  <c r="BO51" i="153" s="1"/>
  <c r="AE51" i="153"/>
  <c r="AK51" i="153"/>
  <c r="R51" i="153"/>
  <c r="T51" i="153" s="1"/>
  <c r="Y51" i="153" s="1"/>
  <c r="BL51" i="153"/>
  <c r="K52" i="153"/>
  <c r="AF50" i="153"/>
  <c r="AC50" i="153"/>
  <c r="AL50" i="153"/>
  <c r="AQ50" i="153"/>
  <c r="AR50" i="153" s="1"/>
  <c r="AO50" i="153"/>
  <c r="I56" i="153"/>
  <c r="Z50" i="152"/>
  <c r="AQ50" i="152"/>
  <c r="AR50" i="152" s="1"/>
  <c r="AQ48" i="151"/>
  <c r="AR48" i="151" s="1"/>
  <c r="M51" i="152"/>
  <c r="BQ51" i="152"/>
  <c r="O51" i="152"/>
  <c r="V51" i="152"/>
  <c r="AB51" i="152"/>
  <c r="AH51" i="152"/>
  <c r="AN51" i="152"/>
  <c r="P51" i="152"/>
  <c r="BN51" i="152"/>
  <c r="BO51" i="152" s="1"/>
  <c r="R51" i="152"/>
  <c r="T51" i="152" s="1"/>
  <c r="Y51" i="152" s="1"/>
  <c r="AE51" i="152"/>
  <c r="AK51" i="152"/>
  <c r="BL51" i="152"/>
  <c r="K52" i="152"/>
  <c r="AL50" i="152"/>
  <c r="AC50" i="152"/>
  <c r="AO50" i="152"/>
  <c r="I60" i="152"/>
  <c r="AW46" i="64"/>
  <c r="Z45" i="114"/>
  <c r="AW45" i="114"/>
  <c r="AO45" i="114"/>
  <c r="Z48" i="147"/>
  <c r="AF46" i="64"/>
  <c r="W46" i="64"/>
  <c r="BR45" i="114"/>
  <c r="W47" i="146"/>
  <c r="AW47" i="146"/>
  <c r="AF47" i="150"/>
  <c r="AQ47" i="150"/>
  <c r="AR47" i="150" s="1"/>
  <c r="AQ49" i="149"/>
  <c r="AR49" i="149" s="1"/>
  <c r="BA46" i="64"/>
  <c r="BB46" i="64" s="1"/>
  <c r="AC48" i="151"/>
  <c r="AF48" i="151"/>
  <c r="BR48" i="151"/>
  <c r="P49" i="151"/>
  <c r="BQ49" i="151"/>
  <c r="AE49" i="151"/>
  <c r="R49" i="151"/>
  <c r="T49" i="151" s="1"/>
  <c r="Y49" i="151" s="1"/>
  <c r="AN49" i="151"/>
  <c r="AB49" i="151"/>
  <c r="O49" i="151"/>
  <c r="AK49" i="151"/>
  <c r="AH49" i="151"/>
  <c r="V49" i="151"/>
  <c r="M49" i="151"/>
  <c r="BN49" i="151"/>
  <c r="BO49" i="151" s="1"/>
  <c r="BL49" i="151"/>
  <c r="AO48" i="151"/>
  <c r="I51" i="151"/>
  <c r="K50" i="151"/>
  <c r="AI48" i="151"/>
  <c r="AL48" i="151"/>
  <c r="I52" i="150"/>
  <c r="W47" i="150"/>
  <c r="BQ48" i="150"/>
  <c r="AK48" i="150"/>
  <c r="AE48" i="150"/>
  <c r="R48" i="150"/>
  <c r="T48" i="150" s="1"/>
  <c r="Y48" i="150" s="1"/>
  <c r="AN48" i="150"/>
  <c r="AB48" i="150"/>
  <c r="O48" i="150"/>
  <c r="AH48" i="150"/>
  <c r="V48" i="150"/>
  <c r="BN48" i="150"/>
  <c r="BO48" i="150" s="1"/>
  <c r="P48" i="150"/>
  <c r="M48" i="150"/>
  <c r="BL48" i="150"/>
  <c r="K49" i="150"/>
  <c r="AC47" i="150"/>
  <c r="BR47" i="150"/>
  <c r="AI47" i="150"/>
  <c r="AL47" i="150"/>
  <c r="AO47" i="150"/>
  <c r="I52" i="149"/>
  <c r="K51" i="149"/>
  <c r="AL49" i="149"/>
  <c r="BR49" i="149"/>
  <c r="BQ50" i="149"/>
  <c r="AK50" i="149"/>
  <c r="AE50" i="149"/>
  <c r="R50" i="149"/>
  <c r="T50" i="149" s="1"/>
  <c r="Y50" i="149" s="1"/>
  <c r="P50" i="149"/>
  <c r="AN50" i="149"/>
  <c r="AH50" i="149"/>
  <c r="AB50" i="149"/>
  <c r="V50" i="149"/>
  <c r="O50" i="149"/>
  <c r="BN50" i="149"/>
  <c r="BO50" i="149" s="1"/>
  <c r="M50" i="149"/>
  <c r="BL50" i="149"/>
  <c r="AC49" i="149"/>
  <c r="AI49" i="149"/>
  <c r="O50" i="124"/>
  <c r="AF48" i="147"/>
  <c r="BH48" i="147"/>
  <c r="W48" i="147"/>
  <c r="BE48" i="147"/>
  <c r="BA43" i="120"/>
  <c r="BB43" i="120" s="1"/>
  <c r="BB47" i="146"/>
  <c r="BR48" i="147"/>
  <c r="I51" i="147"/>
  <c r="K50" i="147"/>
  <c r="AH50" i="147" s="1"/>
  <c r="AV48" i="147"/>
  <c r="AW48" i="147" s="1"/>
  <c r="AC48" i="147"/>
  <c r="BA48" i="147"/>
  <c r="BB48" i="147" s="1"/>
  <c r="V27" i="147"/>
  <c r="AT49" i="147"/>
  <c r="BD49" i="147" s="1"/>
  <c r="AB49" i="147"/>
  <c r="V49" i="147"/>
  <c r="AY49" i="147"/>
  <c r="BG49" i="147" s="1"/>
  <c r="R49" i="147"/>
  <c r="T49" i="147" s="1"/>
  <c r="Y49" i="147" s="1"/>
  <c r="BQ49" i="147"/>
  <c r="AE49" i="147"/>
  <c r="M49" i="147"/>
  <c r="BJ49" i="147"/>
  <c r="BL49" i="147" s="1"/>
  <c r="BN49" i="147"/>
  <c r="BO49" i="147" s="1"/>
  <c r="BK49" i="147"/>
  <c r="AI48" i="147"/>
  <c r="AT48" i="146"/>
  <c r="AV48" i="146" s="1"/>
  <c r="AB48" i="146"/>
  <c r="V48" i="146"/>
  <c r="BQ48" i="146"/>
  <c r="AY48" i="146"/>
  <c r="BG48" i="146" s="1"/>
  <c r="AE48" i="146"/>
  <c r="R48" i="146"/>
  <c r="T48" i="146" s="1"/>
  <c r="Y48" i="146" s="1"/>
  <c r="BK48" i="146"/>
  <c r="BN48" i="146"/>
  <c r="BO48" i="146" s="1"/>
  <c r="BJ48" i="146"/>
  <c r="BL48" i="146" s="1"/>
  <c r="M48" i="146"/>
  <c r="BD47" i="146"/>
  <c r="BE47" i="146" s="1"/>
  <c r="BR47" i="146"/>
  <c r="AI47" i="146"/>
  <c r="BG47" i="146"/>
  <c r="BH47" i="146" s="1"/>
  <c r="I50" i="146"/>
  <c r="K49" i="146"/>
  <c r="AH49" i="146" s="1"/>
  <c r="AF47" i="146"/>
  <c r="AC47" i="146"/>
  <c r="V26" i="146"/>
  <c r="AQ45" i="110"/>
  <c r="AR45" i="110" s="1"/>
  <c r="AI43" i="66"/>
  <c r="AF43" i="66"/>
  <c r="BG49" i="124"/>
  <c r="BH49" i="124" s="1"/>
  <c r="AI49" i="124"/>
  <c r="AC49" i="124"/>
  <c r="Z43" i="66"/>
  <c r="AC43" i="66"/>
  <c r="BB43" i="66"/>
  <c r="Z45" i="126"/>
  <c r="AO45" i="126"/>
  <c r="AC45" i="126"/>
  <c r="BB45" i="96"/>
  <c r="AW45" i="96"/>
  <c r="AL45" i="96"/>
  <c r="BR49" i="124"/>
  <c r="BB45" i="126"/>
  <c r="AF45" i="96"/>
  <c r="AV49" i="124"/>
  <c r="AW49" i="124" s="1"/>
  <c r="W49" i="124"/>
  <c r="AW44" i="118"/>
  <c r="AF43" i="17"/>
  <c r="BR44" i="118"/>
  <c r="AF44" i="118"/>
  <c r="O47" i="64"/>
  <c r="BR43" i="66"/>
  <c r="AI43" i="17"/>
  <c r="AO43" i="17"/>
  <c r="AQ44" i="15"/>
  <c r="AR44" i="15" s="1"/>
  <c r="BG45" i="63"/>
  <c r="BH45" i="63" s="1"/>
  <c r="AF45" i="63"/>
  <c r="AC45" i="63"/>
  <c r="AL45" i="115"/>
  <c r="BE45" i="115"/>
  <c r="BH43" i="120"/>
  <c r="AQ45" i="63"/>
  <c r="AR45" i="63" s="1"/>
  <c r="AO45" i="63"/>
  <c r="BH46" i="64"/>
  <c r="AO45" i="115"/>
  <c r="AF45" i="115"/>
  <c r="W45" i="115"/>
  <c r="Z45" i="110"/>
  <c r="AF45" i="126"/>
  <c r="AW45" i="126"/>
  <c r="BR45" i="96"/>
  <c r="AO45" i="96"/>
  <c r="AI45" i="96"/>
  <c r="BH45" i="96"/>
  <c r="BG44" i="118"/>
  <c r="BH44" i="118" s="1"/>
  <c r="W44" i="118"/>
  <c r="AC44" i="118"/>
  <c r="BE45" i="63"/>
  <c r="BG43" i="66"/>
  <c r="BH43" i="66" s="1"/>
  <c r="Z46" i="64"/>
  <c r="BR46" i="64"/>
  <c r="AC46" i="64"/>
  <c r="AI46" i="64"/>
  <c r="BG45" i="115"/>
  <c r="BH45" i="115" s="1"/>
  <c r="AL43" i="17"/>
  <c r="BG45" i="126"/>
  <c r="BH45" i="126" s="1"/>
  <c r="W45" i="110"/>
  <c r="AF45" i="110"/>
  <c r="BR44" i="15"/>
  <c r="W44" i="15"/>
  <c r="AF49" i="124"/>
  <c r="Z43" i="120"/>
  <c r="AO43" i="120"/>
  <c r="AI43" i="120"/>
  <c r="Z43" i="13"/>
  <c r="AI43" i="13"/>
  <c r="W43" i="13"/>
  <c r="AO44" i="118"/>
  <c r="BB44" i="118"/>
  <c r="BR45" i="63"/>
  <c r="AL45" i="63"/>
  <c r="BD45" i="114"/>
  <c r="BE45" i="114" s="1"/>
  <c r="BB45" i="114"/>
  <c r="AC45" i="114"/>
  <c r="AI45" i="115"/>
  <c r="BR45" i="115"/>
  <c r="AQ43" i="17"/>
  <c r="AR43" i="17" s="1"/>
  <c r="BD45" i="126"/>
  <c r="BE45" i="126" s="1"/>
  <c r="BG45" i="110"/>
  <c r="BH45" i="110" s="1"/>
  <c r="AW45" i="110"/>
  <c r="AC45" i="110"/>
  <c r="AC44" i="15"/>
  <c r="AF44" i="15"/>
  <c r="AV45" i="63"/>
  <c r="AW45" i="63" s="1"/>
  <c r="BD43" i="66"/>
  <c r="BE43" i="66" s="1"/>
  <c r="BD45" i="96"/>
  <c r="BE45" i="96" s="1"/>
  <c r="AQ45" i="96"/>
  <c r="AR45" i="96" s="1"/>
  <c r="AO44" i="15"/>
  <c r="AI44" i="15"/>
  <c r="I53" i="132"/>
  <c r="BD45" i="110"/>
  <c r="BE45" i="110" s="1"/>
  <c r="BJ48" i="105"/>
  <c r="BL48" i="105" s="1"/>
  <c r="M48" i="105"/>
  <c r="BK48" i="105"/>
  <c r="BN48" i="105"/>
  <c r="BO48" i="105" s="1"/>
  <c r="AH48" i="105"/>
  <c r="AI48" i="105" s="1"/>
  <c r="O48" i="105"/>
  <c r="AV48" i="105"/>
  <c r="AW48" i="105" s="1"/>
  <c r="AQ48" i="105"/>
  <c r="AR48" i="105" s="1"/>
  <c r="P48" i="105"/>
  <c r="AN48" i="105"/>
  <c r="AO48" i="105" s="1"/>
  <c r="AE48" i="105"/>
  <c r="AF48" i="105" s="1"/>
  <c r="BA48" i="105"/>
  <c r="BB48" i="105" s="1"/>
  <c r="BQ48" i="105"/>
  <c r="BR48" i="105" s="1"/>
  <c r="V48" i="105"/>
  <c r="W48" i="105" s="1"/>
  <c r="AK48" i="105"/>
  <c r="AL48" i="105" s="1"/>
  <c r="R48" i="105"/>
  <c r="T48" i="105" s="1"/>
  <c r="Y48" i="105"/>
  <c r="Z48" i="105" s="1"/>
  <c r="AT48" i="105"/>
  <c r="BD48" i="105"/>
  <c r="BE48" i="105" s="1"/>
  <c r="BG48" i="105"/>
  <c r="BH48" i="105" s="1"/>
  <c r="AY48" i="105"/>
  <c r="AB48" i="105"/>
  <c r="AC48" i="105" s="1"/>
  <c r="K49" i="105"/>
  <c r="I49" i="135"/>
  <c r="K48" i="135"/>
  <c r="BL45" i="15"/>
  <c r="BN45" i="15"/>
  <c r="BO45" i="15" s="1"/>
  <c r="BQ45" i="15"/>
  <c r="M45" i="15"/>
  <c r="AK45" i="15"/>
  <c r="AB45" i="15"/>
  <c r="AN45" i="15"/>
  <c r="AE45" i="15"/>
  <c r="AH45" i="15"/>
  <c r="V45" i="15"/>
  <c r="K46" i="15"/>
  <c r="I52" i="136"/>
  <c r="AO43" i="13"/>
  <c r="BD44" i="118"/>
  <c r="BE44" i="118" s="1"/>
  <c r="M46" i="63"/>
  <c r="BN46" i="63"/>
  <c r="BO46" i="63" s="1"/>
  <c r="AB46" i="63"/>
  <c r="V46" i="63"/>
  <c r="AN46" i="63"/>
  <c r="AE46" i="63"/>
  <c r="AK46" i="63"/>
  <c r="AH46" i="63"/>
  <c r="AY46" i="63"/>
  <c r="BA46" i="63" s="1"/>
  <c r="BL46" i="63"/>
  <c r="BQ46" i="63"/>
  <c r="AT46" i="63"/>
  <c r="BD46" i="63" s="1"/>
  <c r="K47" i="63"/>
  <c r="W45" i="63"/>
  <c r="AQ43" i="66"/>
  <c r="AR43" i="66" s="1"/>
  <c r="W43" i="66"/>
  <c r="BD46" i="64"/>
  <c r="BE46" i="64" s="1"/>
  <c r="AQ45" i="114"/>
  <c r="AR45" i="114" s="1"/>
  <c r="AV45" i="115"/>
  <c r="AW45" i="115" s="1"/>
  <c r="M46" i="110"/>
  <c r="BN46" i="110"/>
  <c r="BO46" i="110" s="1"/>
  <c r="BK46" i="110"/>
  <c r="BJ46" i="110"/>
  <c r="BL46" i="110" s="1"/>
  <c r="V46" i="110"/>
  <c r="AY46" i="110"/>
  <c r="BG46" i="110" s="1"/>
  <c r="AK46" i="110"/>
  <c r="AT46" i="110"/>
  <c r="AV46" i="110" s="1"/>
  <c r="AE46" i="110"/>
  <c r="AN46" i="110"/>
  <c r="AH46" i="110"/>
  <c r="AB46" i="110"/>
  <c r="BQ46" i="110"/>
  <c r="I51" i="63"/>
  <c r="W45" i="126"/>
  <c r="I102" i="99"/>
  <c r="BJ46" i="98"/>
  <c r="BL46" i="98" s="1"/>
  <c r="BK46" i="98"/>
  <c r="K47" i="98"/>
  <c r="BN46" i="98"/>
  <c r="BO46" i="98" s="1"/>
  <c r="M46" i="98"/>
  <c r="BQ46" i="98"/>
  <c r="BR46" i="98" s="1"/>
  <c r="O46" i="98"/>
  <c r="AK46" i="98"/>
  <c r="AL46" i="98" s="1"/>
  <c r="BD46" i="98"/>
  <c r="BE46" i="98" s="1"/>
  <c r="AQ46" i="98"/>
  <c r="AR46" i="98" s="1"/>
  <c r="AH46" i="98"/>
  <c r="AI46" i="98" s="1"/>
  <c r="AY46" i="98"/>
  <c r="BA46" i="98"/>
  <c r="BB46" i="98" s="1"/>
  <c r="V46" i="98"/>
  <c r="W46" i="98" s="1"/>
  <c r="AT46" i="98"/>
  <c r="AN46" i="98"/>
  <c r="AO46" i="98" s="1"/>
  <c r="AV46" i="98"/>
  <c r="AW46" i="98" s="1"/>
  <c r="R46" i="98"/>
  <c r="T46" i="98" s="1"/>
  <c r="Y46" i="98"/>
  <c r="Z46" i="98" s="1"/>
  <c r="P46" i="98"/>
  <c r="AE46" i="98"/>
  <c r="AF46" i="98" s="1"/>
  <c r="AB46" i="98"/>
  <c r="AC46" i="98" s="1"/>
  <c r="BG46" i="98"/>
  <c r="BH46" i="98" s="1"/>
  <c r="W43" i="120"/>
  <c r="AN46" i="96"/>
  <c r="AK46" i="96"/>
  <c r="AT46" i="96"/>
  <c r="AV46" i="96" s="1"/>
  <c r="BN46" i="96"/>
  <c r="BO46" i="96" s="1"/>
  <c r="V46" i="96"/>
  <c r="AH46" i="96"/>
  <c r="AB46" i="96"/>
  <c r="M46" i="96"/>
  <c r="AE46" i="96"/>
  <c r="BG46" i="96"/>
  <c r="BL46" i="96"/>
  <c r="BQ46" i="96"/>
  <c r="BA46" i="96"/>
  <c r="R46" i="96"/>
  <c r="T46" i="96" s="1"/>
  <c r="Y46" i="96" s="1"/>
  <c r="I53" i="105"/>
  <c r="AE44" i="66"/>
  <c r="M44" i="66"/>
  <c r="AK44" i="66"/>
  <c r="AN44" i="66"/>
  <c r="BN44" i="66"/>
  <c r="BO44" i="66" s="1"/>
  <c r="V44" i="66"/>
  <c r="AH44" i="66"/>
  <c r="AB44" i="66"/>
  <c r="AY44" i="66"/>
  <c r="BA44" i="66" s="1"/>
  <c r="BL44" i="66"/>
  <c r="BQ44" i="66"/>
  <c r="AT44" i="66"/>
  <c r="BD44" i="66" s="1"/>
  <c r="R44" i="66"/>
  <c r="T44" i="66" s="1"/>
  <c r="Y44" i="66" s="1"/>
  <c r="AC43" i="13"/>
  <c r="AL43" i="13"/>
  <c r="AQ44" i="118"/>
  <c r="AR44" i="118" s="1"/>
  <c r="AO43" i="66"/>
  <c r="AL43" i="66"/>
  <c r="I52" i="64"/>
  <c r="AL46" i="64"/>
  <c r="AQ45" i="115"/>
  <c r="AR45" i="115" s="1"/>
  <c r="I48" i="110"/>
  <c r="K47" i="110"/>
  <c r="R47" i="110" s="1"/>
  <c r="M46" i="126"/>
  <c r="BN46" i="126"/>
  <c r="BO46" i="126" s="1"/>
  <c r="BJ46" i="126"/>
  <c r="BL46" i="126" s="1"/>
  <c r="BK46" i="126"/>
  <c r="V46" i="126"/>
  <c r="AY46" i="126"/>
  <c r="BA46" i="126" s="1"/>
  <c r="AT46" i="126"/>
  <c r="BD46" i="126" s="1"/>
  <c r="AN46" i="126"/>
  <c r="AB46" i="126"/>
  <c r="AE46" i="126"/>
  <c r="AK46" i="126"/>
  <c r="BQ46" i="126"/>
  <c r="R46" i="126"/>
  <c r="T46" i="126" s="1"/>
  <c r="Y46" i="126" s="1"/>
  <c r="K47" i="126"/>
  <c r="AH50" i="126" s="1"/>
  <c r="M45" i="101"/>
  <c r="P45" i="101"/>
  <c r="BA45" i="101"/>
  <c r="BB45" i="101" s="1"/>
  <c r="AH45" i="101"/>
  <c r="AI45" i="101" s="1"/>
  <c r="AK45" i="101"/>
  <c r="AL45" i="101" s="1"/>
  <c r="V45" i="101"/>
  <c r="W45" i="101" s="1"/>
  <c r="R45" i="101"/>
  <c r="T45" i="101" s="1"/>
  <c r="BG45" i="101"/>
  <c r="BH45" i="101" s="1"/>
  <c r="AE45" i="101"/>
  <c r="AF45" i="101" s="1"/>
  <c r="Y45" i="101"/>
  <c r="Z45" i="101" s="1"/>
  <c r="BQ45" i="101"/>
  <c r="BR45" i="101" s="1"/>
  <c r="AV45" i="101"/>
  <c r="AW45" i="101" s="1"/>
  <c r="AY45" i="101"/>
  <c r="AN45" i="101"/>
  <c r="AO45" i="101" s="1"/>
  <c r="O45" i="101"/>
  <c r="AT45" i="101"/>
  <c r="AB45" i="101"/>
  <c r="AC45" i="101" s="1"/>
  <c r="BD45" i="101"/>
  <c r="BE45" i="101" s="1"/>
  <c r="AQ45" i="101"/>
  <c r="AR45" i="101" s="1"/>
  <c r="I61" i="133"/>
  <c r="I51" i="126"/>
  <c r="BN50" i="124"/>
  <c r="BO50" i="124" s="1"/>
  <c r="BJ50" i="124"/>
  <c r="BL50" i="124" s="1"/>
  <c r="K51" i="124"/>
  <c r="AH51" i="124" s="1"/>
  <c r="M50" i="124"/>
  <c r="BK50" i="124"/>
  <c r="V50" i="124"/>
  <c r="AB50" i="124"/>
  <c r="AT50" i="124"/>
  <c r="AV50" i="124" s="1"/>
  <c r="AE50" i="124"/>
  <c r="AY50" i="124"/>
  <c r="BA50" i="124" s="1"/>
  <c r="BQ50" i="124"/>
  <c r="M48" i="136"/>
  <c r="BN48" i="136"/>
  <c r="BO48" i="136" s="1"/>
  <c r="BL48" i="136"/>
  <c r="V48" i="136"/>
  <c r="W48" i="136" s="1"/>
  <c r="AV48" i="136"/>
  <c r="AW48" i="136" s="1"/>
  <c r="AB48" i="136"/>
  <c r="AC48" i="136" s="1"/>
  <c r="Y48" i="136"/>
  <c r="Z48" i="136" s="1"/>
  <c r="P48" i="136"/>
  <c r="O48" i="136"/>
  <c r="BQ48" i="136"/>
  <c r="BR48" i="136" s="1"/>
  <c r="AY48" i="136"/>
  <c r="AQ48" i="136"/>
  <c r="AR48" i="136" s="1"/>
  <c r="BA48" i="136"/>
  <c r="BB48" i="136" s="1"/>
  <c r="BG48" i="136"/>
  <c r="BH48" i="136" s="1"/>
  <c r="AN48" i="136"/>
  <c r="AO48" i="136" s="1"/>
  <c r="BD48" i="136"/>
  <c r="BE48" i="136" s="1"/>
  <c r="AK48" i="136"/>
  <c r="AL48" i="136" s="1"/>
  <c r="AT48" i="136"/>
  <c r="AH48" i="136"/>
  <c r="AI48" i="136" s="1"/>
  <c r="R48" i="136"/>
  <c r="T48" i="136" s="1"/>
  <c r="AE48" i="136"/>
  <c r="AF48" i="136" s="1"/>
  <c r="K49" i="136"/>
  <c r="K45" i="13"/>
  <c r="I46" i="13"/>
  <c r="K47" i="96"/>
  <c r="I48" i="96"/>
  <c r="K45" i="66"/>
  <c r="I46" i="66"/>
  <c r="M46" i="115"/>
  <c r="BK46" i="115"/>
  <c r="V46" i="115"/>
  <c r="BJ46" i="115"/>
  <c r="BL46" i="115" s="1"/>
  <c r="BN46" i="115"/>
  <c r="BO46" i="115" s="1"/>
  <c r="AE46" i="115"/>
  <c r="AT46" i="115"/>
  <c r="BD46" i="115" s="1"/>
  <c r="AK46" i="115"/>
  <c r="AH46" i="115"/>
  <c r="AN46" i="115"/>
  <c r="AB46" i="115"/>
  <c r="BQ46" i="115"/>
  <c r="AY46" i="115"/>
  <c r="BG46" i="115" s="1"/>
  <c r="BH46" i="115" s="1"/>
  <c r="BL44" i="17"/>
  <c r="BN44" i="17"/>
  <c r="BO44" i="17" s="1"/>
  <c r="M44" i="17"/>
  <c r="AY44" i="17"/>
  <c r="BA44" i="17" s="1"/>
  <c r="AH44" i="17"/>
  <c r="AE44" i="17"/>
  <c r="V44" i="17"/>
  <c r="AB44" i="17"/>
  <c r="AK44" i="17"/>
  <c r="AN44" i="17"/>
  <c r="BQ44" i="17"/>
  <c r="R44" i="17"/>
  <c r="T44" i="17" s="1"/>
  <c r="Y44" i="17" s="1"/>
  <c r="M46" i="114"/>
  <c r="BN46" i="114"/>
  <c r="BO46" i="114" s="1"/>
  <c r="BJ46" i="114"/>
  <c r="BL46" i="114" s="1"/>
  <c r="BK46" i="114"/>
  <c r="AE46" i="114"/>
  <c r="AY46" i="114"/>
  <c r="BA46" i="114" s="1"/>
  <c r="AK46" i="114"/>
  <c r="AN46" i="114"/>
  <c r="AB46" i="114"/>
  <c r="AT46" i="114"/>
  <c r="AV46" i="114" s="1"/>
  <c r="V46" i="114"/>
  <c r="AH46" i="114"/>
  <c r="BQ46" i="114"/>
  <c r="K47" i="114"/>
  <c r="R46" i="114"/>
  <c r="T46" i="114" s="1"/>
  <c r="Y46" i="114" s="1"/>
  <c r="AQ45" i="126"/>
  <c r="AR45" i="126" s="1"/>
  <c r="AI45" i="126"/>
  <c r="BR45" i="110"/>
  <c r="AI45" i="110"/>
  <c r="AL45" i="110"/>
  <c r="I47" i="101"/>
  <c r="K46" i="101"/>
  <c r="I55" i="95"/>
  <c r="W45" i="96"/>
  <c r="M47" i="135"/>
  <c r="BG47" i="135"/>
  <c r="BH47" i="135" s="1"/>
  <c r="V47" i="135"/>
  <c r="W47" i="135" s="1"/>
  <c r="BD47" i="135"/>
  <c r="BE47" i="135" s="1"/>
  <c r="R47" i="135"/>
  <c r="T47" i="135" s="1"/>
  <c r="AY47" i="135"/>
  <c r="AQ47" i="135"/>
  <c r="AR47" i="135" s="1"/>
  <c r="AN47" i="135"/>
  <c r="AO47" i="135" s="1"/>
  <c r="AV47" i="135"/>
  <c r="AW47" i="135" s="1"/>
  <c r="Y47" i="135"/>
  <c r="Z47" i="135" s="1"/>
  <c r="O47" i="135"/>
  <c r="BA47" i="135"/>
  <c r="BB47" i="135" s="1"/>
  <c r="AH47" i="135"/>
  <c r="AI47" i="135" s="1"/>
  <c r="AK47" i="135"/>
  <c r="AL47" i="135" s="1"/>
  <c r="BN47" i="135"/>
  <c r="BO47" i="135" s="1"/>
  <c r="AB47" i="135"/>
  <c r="AC47" i="135" s="1"/>
  <c r="BL47" i="135"/>
  <c r="BQ47" i="135"/>
  <c r="BR47" i="135" s="1"/>
  <c r="P47" i="135"/>
  <c r="AT47" i="135"/>
  <c r="AE47" i="135"/>
  <c r="AF47" i="135" s="1"/>
  <c r="BL44" i="13"/>
  <c r="BN44" i="13"/>
  <c r="BO44" i="13" s="1"/>
  <c r="M44" i="13"/>
  <c r="AY44" i="13"/>
  <c r="BG44" i="13" s="1"/>
  <c r="AK44" i="13"/>
  <c r="AH44" i="13"/>
  <c r="AN44" i="13"/>
  <c r="AB44" i="13"/>
  <c r="BQ44" i="13"/>
  <c r="AE44" i="13"/>
  <c r="V44" i="13"/>
  <c r="R44" i="13"/>
  <c r="T44" i="13" s="1"/>
  <c r="Y44" i="13" s="1"/>
  <c r="AQ43" i="120"/>
  <c r="AR43" i="120" s="1"/>
  <c r="AL43" i="120"/>
  <c r="K45" i="120"/>
  <c r="AB44" i="120"/>
  <c r="AH44" i="120"/>
  <c r="V44" i="120"/>
  <c r="M44" i="120"/>
  <c r="AE44" i="120"/>
  <c r="AY44" i="120"/>
  <c r="BA44" i="120" s="1"/>
  <c r="BN44" i="120"/>
  <c r="BO44" i="120" s="1"/>
  <c r="BQ44" i="120"/>
  <c r="AN44" i="120"/>
  <c r="AK44" i="120"/>
  <c r="R44" i="120"/>
  <c r="T44" i="120" s="1"/>
  <c r="Y44" i="120" s="1"/>
  <c r="AC43" i="120"/>
  <c r="P47" i="114"/>
  <c r="I48" i="115"/>
  <c r="K47" i="115"/>
  <c r="AQ43" i="13"/>
  <c r="AR43" i="13" s="1"/>
  <c r="I50" i="104"/>
  <c r="I46" i="17"/>
  <c r="K45" i="17"/>
  <c r="K46" i="118"/>
  <c r="M45" i="118"/>
  <c r="BN45" i="118"/>
  <c r="BO45" i="118" s="1"/>
  <c r="V45" i="118"/>
  <c r="AE45" i="118"/>
  <c r="AH45" i="118"/>
  <c r="AB45" i="118"/>
  <c r="AY45" i="118"/>
  <c r="BG45" i="118" s="1"/>
  <c r="AK45" i="118"/>
  <c r="AN45" i="118"/>
  <c r="BQ45" i="118"/>
  <c r="AT45" i="118"/>
  <c r="BD45" i="118" s="1"/>
  <c r="V47" i="64"/>
  <c r="AK47" i="64"/>
  <c r="AH47" i="64"/>
  <c r="AN47" i="64"/>
  <c r="AE47" i="64"/>
  <c r="AB47" i="64"/>
  <c r="M47" i="64"/>
  <c r="AY47" i="64"/>
  <c r="BG47" i="64" s="1"/>
  <c r="BN47" i="64"/>
  <c r="BO47" i="64" s="1"/>
  <c r="BL47" i="64"/>
  <c r="BQ47" i="64"/>
  <c r="AT47" i="64"/>
  <c r="AV47" i="64" s="1"/>
  <c r="K48" i="64"/>
  <c r="R47" i="64"/>
  <c r="T47" i="64" s="1"/>
  <c r="Y47" i="64" s="1"/>
  <c r="AQ46" i="64"/>
  <c r="AR46" i="64" s="1"/>
  <c r="BG45" i="114"/>
  <c r="BH45" i="114" s="1"/>
  <c r="I52" i="114"/>
  <c r="I50" i="15"/>
  <c r="O27" i="95"/>
  <c r="P28" i="95"/>
  <c r="V27" i="95"/>
  <c r="W27" i="95" s="1"/>
  <c r="R46" i="15"/>
  <c r="T45" i="15"/>
  <c r="Y45" i="15" s="1"/>
  <c r="O28" i="17"/>
  <c r="O27" i="13"/>
  <c r="R48" i="124"/>
  <c r="T47" i="124"/>
  <c r="Y47" i="124" s="1"/>
  <c r="Z47" i="124" s="1"/>
  <c r="V25" i="98"/>
  <c r="O28" i="126"/>
  <c r="T46" i="110"/>
  <c r="Y46" i="110" s="1"/>
  <c r="O30" i="96"/>
  <c r="V30" i="96" s="1"/>
  <c r="W30" i="96" s="1"/>
  <c r="P30" i="115"/>
  <c r="P31" i="115" s="1"/>
  <c r="P32" i="115" s="1"/>
  <c r="P33" i="115" s="1"/>
  <c r="P34" i="115" s="1"/>
  <c r="P35" i="115" s="1"/>
  <c r="P36" i="115" s="1"/>
  <c r="P37" i="115" s="1"/>
  <c r="P38" i="115" s="1"/>
  <c r="P39" i="115" s="1"/>
  <c r="P40" i="115" s="1"/>
  <c r="P41" i="115" s="1"/>
  <c r="P42" i="115" s="1"/>
  <c r="P43" i="115" s="1"/>
  <c r="P44" i="115" s="1"/>
  <c r="P45" i="115" s="1"/>
  <c r="P46" i="115" s="1"/>
  <c r="P47" i="115" s="1"/>
  <c r="O30" i="129"/>
  <c r="O31" i="129" s="1"/>
  <c r="O32" i="129" s="1"/>
  <c r="O33" i="129" s="1"/>
  <c r="O34" i="129" s="1"/>
  <c r="O35" i="129" s="1"/>
  <c r="O36" i="129" s="1"/>
  <c r="O37" i="129" s="1"/>
  <c r="O38" i="129" s="1"/>
  <c r="O39" i="129" s="1"/>
  <c r="O40" i="129" s="1"/>
  <c r="O41" i="129" s="1"/>
  <c r="O42" i="129" s="1"/>
  <c r="O43" i="129" s="1"/>
  <c r="O44" i="129" s="1"/>
  <c r="O29" i="115"/>
  <c r="V29" i="115" s="1"/>
  <c r="W29" i="115" s="1"/>
  <c r="P31" i="101"/>
  <c r="V30" i="101"/>
  <c r="W30" i="101" s="1"/>
  <c r="V25" i="107"/>
  <c r="P30" i="66"/>
  <c r="P31" i="66" s="1"/>
  <c r="P32" i="66" s="1"/>
  <c r="P33" i="66" s="1"/>
  <c r="P34" i="66" s="1"/>
  <c r="P35" i="66" s="1"/>
  <c r="P36" i="66" s="1"/>
  <c r="P37" i="66" s="1"/>
  <c r="P38" i="66" s="1"/>
  <c r="P39" i="66" s="1"/>
  <c r="P40" i="66" s="1"/>
  <c r="P41" i="66" s="1"/>
  <c r="P42" i="66" s="1"/>
  <c r="P43" i="66" s="1"/>
  <c r="P44" i="66" s="1"/>
  <c r="P45" i="66" s="1"/>
  <c r="W24" i="99"/>
  <c r="O25" i="99"/>
  <c r="O29" i="66"/>
  <c r="V29" i="66" s="1"/>
  <c r="W29" i="66" s="1"/>
  <c r="V27" i="106"/>
  <c r="W27" i="106" s="1"/>
  <c r="P28" i="106"/>
  <c r="W26" i="106"/>
  <c r="O27" i="106"/>
  <c r="P29" i="126"/>
  <c r="V28" i="126"/>
  <c r="W28" i="126" s="1"/>
  <c r="V24" i="105"/>
  <c r="W25" i="130"/>
  <c r="O26" i="130"/>
  <c r="V27" i="13"/>
  <c r="W27" i="13" s="1"/>
  <c r="P28" i="13"/>
  <c r="P27" i="130"/>
  <c r="V26" i="130"/>
  <c r="W26" i="130" s="1"/>
  <c r="O30" i="101"/>
  <c r="P25" i="120"/>
  <c r="R46" i="118"/>
  <c r="T45" i="118"/>
  <c r="Y45" i="118" s="1"/>
  <c r="P27" i="118"/>
  <c r="V26" i="118"/>
  <c r="W26" i="118" s="1"/>
  <c r="W25" i="118"/>
  <c r="O26" i="118"/>
  <c r="P28" i="104"/>
  <c r="V27" i="104"/>
  <c r="W27" i="104" s="1"/>
  <c r="P25" i="136"/>
  <c r="V26" i="110"/>
  <c r="P29" i="17"/>
  <c r="V28" i="17"/>
  <c r="W28" i="17" s="1"/>
  <c r="P25" i="112"/>
  <c r="P25" i="135"/>
  <c r="W26" i="104"/>
  <c r="O27" i="104"/>
  <c r="P26" i="63"/>
  <c r="V25" i="63"/>
  <c r="P28" i="15"/>
  <c r="V27" i="15"/>
  <c r="W27" i="15" s="1"/>
  <c r="O27" i="15"/>
  <c r="P31" i="96"/>
  <c r="P32" i="96" s="1"/>
  <c r="P33" i="96" s="1"/>
  <c r="P34" i="96" s="1"/>
  <c r="P35" i="96" s="1"/>
  <c r="P36" i="96" s="1"/>
  <c r="P37" i="96" s="1"/>
  <c r="P38" i="96" s="1"/>
  <c r="P39" i="96" s="1"/>
  <c r="P40" i="96" s="1"/>
  <c r="P41" i="96" s="1"/>
  <c r="P42" i="96" s="1"/>
  <c r="P43" i="96" s="1"/>
  <c r="P44" i="96" s="1"/>
  <c r="P45" i="96" s="1"/>
  <c r="P46" i="96" s="1"/>
  <c r="P47" i="96" s="1"/>
  <c r="AC50" i="156" l="1"/>
  <c r="BH44" i="95"/>
  <c r="AF45" i="15"/>
  <c r="BR46" i="110"/>
  <c r="BR47" i="64"/>
  <c r="W51" i="153"/>
  <c r="AI46" i="115"/>
  <c r="Z51" i="153"/>
  <c r="BG43" i="152"/>
  <c r="BH43" i="152" s="1"/>
  <c r="BG43" i="13"/>
  <c r="BH43" i="13" s="1"/>
  <c r="BG43" i="155"/>
  <c r="BH43" i="155" s="1"/>
  <c r="BG43" i="136"/>
  <c r="BH43" i="136" s="1"/>
  <c r="AN48" i="99"/>
  <c r="AO48" i="99" s="1"/>
  <c r="AB48" i="99"/>
  <c r="AC48" i="99" s="1"/>
  <c r="BK48" i="99"/>
  <c r="O48" i="99"/>
  <c r="AH48" i="99"/>
  <c r="AI48" i="99" s="1"/>
  <c r="AY48" i="99"/>
  <c r="V48" i="99"/>
  <c r="W48" i="99" s="1"/>
  <c r="BN48" i="99"/>
  <c r="BO48" i="99" s="1"/>
  <c r="K49" i="99"/>
  <c r="AK48" i="99"/>
  <c r="AL48" i="99" s="1"/>
  <c r="AT48" i="99"/>
  <c r="R48" i="99"/>
  <c r="T48" i="99" s="1"/>
  <c r="AE48" i="99"/>
  <c r="AF48" i="99" s="1"/>
  <c r="BG48" i="99"/>
  <c r="BH48" i="99" s="1"/>
  <c r="Y48" i="99"/>
  <c r="Z48" i="99" s="1"/>
  <c r="M48" i="99"/>
  <c r="BD48" i="99"/>
  <c r="BE48" i="99" s="1"/>
  <c r="BJ48" i="99"/>
  <c r="BL48" i="99" s="1"/>
  <c r="AQ48" i="99"/>
  <c r="AR48" i="99" s="1"/>
  <c r="BA48" i="99"/>
  <c r="BB48" i="99" s="1"/>
  <c r="P48" i="99"/>
  <c r="BQ48" i="99"/>
  <c r="BR48" i="99" s="1"/>
  <c r="AV48" i="99"/>
  <c r="AW48" i="99" s="1"/>
  <c r="M50" i="107"/>
  <c r="AV50" i="107"/>
  <c r="AW50" i="107" s="1"/>
  <c r="BD50" i="107"/>
  <c r="BE50" i="107" s="1"/>
  <c r="AH50" i="107"/>
  <c r="AI50" i="107" s="1"/>
  <c r="BN50" i="107"/>
  <c r="BO50" i="107" s="1"/>
  <c r="BG50" i="107"/>
  <c r="BH50" i="107" s="1"/>
  <c r="AK50" i="107"/>
  <c r="AL50" i="107" s="1"/>
  <c r="O50" i="107"/>
  <c r="AE50" i="107"/>
  <c r="AF50" i="107" s="1"/>
  <c r="AQ50" i="107"/>
  <c r="AR50" i="107" s="1"/>
  <c r="BJ50" i="107"/>
  <c r="BL50" i="107" s="1"/>
  <c r="AY50" i="107"/>
  <c r="Y50" i="107"/>
  <c r="Z50" i="107" s="1"/>
  <c r="AB50" i="107"/>
  <c r="AC50" i="107" s="1"/>
  <c r="V50" i="107"/>
  <c r="W50" i="107" s="1"/>
  <c r="P50" i="107"/>
  <c r="AT50" i="107"/>
  <c r="BQ50" i="107"/>
  <c r="BR50" i="107" s="1"/>
  <c r="BK50" i="107"/>
  <c r="BA50" i="107"/>
  <c r="BB50" i="107" s="1"/>
  <c r="R50" i="107"/>
  <c r="T50" i="107" s="1"/>
  <c r="AN50" i="107"/>
  <c r="AO50" i="107" s="1"/>
  <c r="BR44" i="120"/>
  <c r="BR46" i="96"/>
  <c r="AW44" i="95"/>
  <c r="AO50" i="156"/>
  <c r="W50" i="156"/>
  <c r="I52" i="107"/>
  <c r="K51" i="107"/>
  <c r="BR50" i="156"/>
  <c r="BL48" i="132"/>
  <c r="AE48" i="132"/>
  <c r="AF48" i="132" s="1"/>
  <c r="AV48" i="132"/>
  <c r="AW48" i="132" s="1"/>
  <c r="BA48" i="132"/>
  <c r="BB48" i="132" s="1"/>
  <c r="AH48" i="132"/>
  <c r="AI48" i="132" s="1"/>
  <c r="BQ48" i="132"/>
  <c r="BR48" i="132" s="1"/>
  <c r="AY48" i="132"/>
  <c r="AB48" i="132"/>
  <c r="AC48" i="132" s="1"/>
  <c r="V48" i="132"/>
  <c r="W48" i="132" s="1"/>
  <c r="AN48" i="132"/>
  <c r="AO48" i="132" s="1"/>
  <c r="BG48" i="132"/>
  <c r="BH48" i="132" s="1"/>
  <c r="P48" i="132"/>
  <c r="M48" i="132"/>
  <c r="BD48" i="132"/>
  <c r="BE48" i="132" s="1"/>
  <c r="AT48" i="132"/>
  <c r="Y48" i="132"/>
  <c r="Z48" i="132" s="1"/>
  <c r="AQ48" i="132"/>
  <c r="AR48" i="132" s="1"/>
  <c r="O48" i="132"/>
  <c r="K49" i="132"/>
  <c r="R48" i="132"/>
  <c r="T48" i="132" s="1"/>
  <c r="AK48" i="132"/>
  <c r="AL48" i="132" s="1"/>
  <c r="BN48" i="132"/>
  <c r="BO48" i="132" s="1"/>
  <c r="AI45" i="118"/>
  <c r="W44" i="17"/>
  <c r="BG43" i="17"/>
  <c r="BH43" i="17" s="1"/>
  <c r="AY44" i="155"/>
  <c r="BA44" i="155" s="1"/>
  <c r="BB44" i="155" s="1"/>
  <c r="AO45" i="118"/>
  <c r="AF46" i="114"/>
  <c r="BR44" i="17"/>
  <c r="AI44" i="95"/>
  <c r="AO44" i="95"/>
  <c r="AF50" i="156"/>
  <c r="AC44" i="17"/>
  <c r="BB44" i="17"/>
  <c r="T42" i="156"/>
  <c r="Y42" i="156" s="1"/>
  <c r="Z42" i="156" s="1"/>
  <c r="R43" i="156"/>
  <c r="BE45" i="118"/>
  <c r="AQ44" i="95"/>
  <c r="AR44" i="95" s="1"/>
  <c r="Z45" i="118"/>
  <c r="P24" i="156"/>
  <c r="AV38" i="136"/>
  <c r="AW38" i="136" s="1"/>
  <c r="K82" i="161"/>
  <c r="BQ82" i="161" s="1"/>
  <c r="I83" i="161"/>
  <c r="BD81" i="161"/>
  <c r="BE81" i="161" s="1"/>
  <c r="AQ81" i="161"/>
  <c r="AR81" i="161" s="1"/>
  <c r="AK81" i="161"/>
  <c r="AL81" i="161" s="1"/>
  <c r="AE81" i="161"/>
  <c r="AF81" i="161" s="1"/>
  <c r="Y81" i="161"/>
  <c r="Z81" i="161" s="1"/>
  <c r="R81" i="161"/>
  <c r="T81" i="161" s="1"/>
  <c r="AV81" i="161"/>
  <c r="AW81" i="161" s="1"/>
  <c r="P81" i="161"/>
  <c r="BG81" i="161"/>
  <c r="BH81" i="161" s="1"/>
  <c r="BA81" i="161"/>
  <c r="BB81" i="161" s="1"/>
  <c r="AT81" i="161"/>
  <c r="AN81" i="161"/>
  <c r="AO81" i="161" s="1"/>
  <c r="AH81" i="161"/>
  <c r="AI81" i="161" s="1"/>
  <c r="AB81" i="161"/>
  <c r="AC81" i="161" s="1"/>
  <c r="V81" i="161"/>
  <c r="W81" i="161" s="1"/>
  <c r="O81" i="161"/>
  <c r="AY81" i="161"/>
  <c r="BR81" i="161"/>
  <c r="BJ81" i="161"/>
  <c r="BL81" i="161" s="1"/>
  <c r="BN81" i="161"/>
  <c r="BO81" i="161" s="1"/>
  <c r="BK81" i="161"/>
  <c r="M81" i="161"/>
  <c r="BD44" i="95"/>
  <c r="BE44" i="95" s="1"/>
  <c r="T46" i="115"/>
  <c r="Y46" i="115" s="1"/>
  <c r="Z46" i="115" s="1"/>
  <c r="AF45" i="112"/>
  <c r="BN46" i="104"/>
  <c r="BO46" i="104" s="1"/>
  <c r="V46" i="104"/>
  <c r="W46" i="104" s="1"/>
  <c r="AE46" i="104"/>
  <c r="AF46" i="104" s="1"/>
  <c r="O46" i="104"/>
  <c r="P46" i="104"/>
  <c r="BQ46" i="104"/>
  <c r="BR46" i="104" s="1"/>
  <c r="AQ46" i="104"/>
  <c r="AR46" i="104" s="1"/>
  <c r="R46" i="104"/>
  <c r="T46" i="104" s="1"/>
  <c r="AT46" i="104"/>
  <c r="AN46" i="104"/>
  <c r="AO46" i="104" s="1"/>
  <c r="AV46" i="104"/>
  <c r="AW46" i="104" s="1"/>
  <c r="Y46" i="104"/>
  <c r="Z46" i="104" s="1"/>
  <c r="AK46" i="104"/>
  <c r="AL46" i="104" s="1"/>
  <c r="BK46" i="104"/>
  <c r="AB46" i="104"/>
  <c r="AC46" i="104" s="1"/>
  <c r="BD46" i="104"/>
  <c r="BE46" i="104" s="1"/>
  <c r="AY46" i="104"/>
  <c r="M46" i="104"/>
  <c r="BG46" i="104"/>
  <c r="BH46" i="104" s="1"/>
  <c r="AH46" i="104"/>
  <c r="AI46" i="104" s="1"/>
  <c r="BA46" i="104"/>
  <c r="BB46" i="104" s="1"/>
  <c r="K47" i="104"/>
  <c r="BJ46" i="104"/>
  <c r="BL46" i="104" s="1"/>
  <c r="AE51" i="156"/>
  <c r="V51" i="156"/>
  <c r="BN51" i="156"/>
  <c r="BO51" i="156" s="1"/>
  <c r="AB51" i="156"/>
  <c r="AK51" i="156"/>
  <c r="AH51" i="156"/>
  <c r="BQ51" i="156"/>
  <c r="AN51" i="156"/>
  <c r="BL51" i="156"/>
  <c r="M51" i="156"/>
  <c r="W51" i="152"/>
  <c r="AY44" i="153"/>
  <c r="BA44" i="153" s="1"/>
  <c r="BB44" i="153" s="1"/>
  <c r="W45" i="112"/>
  <c r="W44" i="95"/>
  <c r="AC46" i="114"/>
  <c r="W46" i="110"/>
  <c r="AO46" i="63"/>
  <c r="AY44" i="152"/>
  <c r="BG44" i="152" s="1"/>
  <c r="BH44" i="152" s="1"/>
  <c r="AC45" i="112"/>
  <c r="Z45" i="112"/>
  <c r="AQ45" i="112"/>
  <c r="AR45" i="112" s="1"/>
  <c r="AI45" i="112"/>
  <c r="BR44" i="95"/>
  <c r="AF44" i="95"/>
  <c r="AQ50" i="156"/>
  <c r="AR50" i="156" s="1"/>
  <c r="AI50" i="156"/>
  <c r="AO44" i="13"/>
  <c r="W44" i="66"/>
  <c r="AY44" i="136"/>
  <c r="BG44" i="136" s="1"/>
  <c r="BH44" i="136" s="1"/>
  <c r="AO45" i="112"/>
  <c r="AL45" i="112"/>
  <c r="I53" i="106"/>
  <c r="AL44" i="95"/>
  <c r="AF46" i="110"/>
  <c r="BB46" i="63"/>
  <c r="AY44" i="150"/>
  <c r="BA44" i="150" s="1"/>
  <c r="BB44" i="150" s="1"/>
  <c r="BG45" i="112"/>
  <c r="BH45" i="112" s="1"/>
  <c r="BA45" i="112"/>
  <c r="BB45" i="112" s="1"/>
  <c r="BJ46" i="112"/>
  <c r="BL46" i="112" s="1"/>
  <c r="V46" i="112"/>
  <c r="BQ46" i="112"/>
  <c r="BN46" i="112"/>
  <c r="BO46" i="112" s="1"/>
  <c r="AY46" i="112"/>
  <c r="R46" i="112"/>
  <c r="T46" i="112" s="1"/>
  <c r="Y46" i="112" s="1"/>
  <c r="M46" i="112"/>
  <c r="AB46" i="112"/>
  <c r="BK46" i="112"/>
  <c r="AH46" i="112"/>
  <c r="AE46" i="112"/>
  <c r="AT46" i="112"/>
  <c r="K47" i="112"/>
  <c r="AK46" i="112"/>
  <c r="AN46" i="112"/>
  <c r="AC44" i="95"/>
  <c r="BN49" i="133"/>
  <c r="BO49" i="133" s="1"/>
  <c r="P49" i="133"/>
  <c r="BQ49" i="133"/>
  <c r="BR49" i="133" s="1"/>
  <c r="AN49" i="133"/>
  <c r="AO49" i="133" s="1"/>
  <c r="BL49" i="133"/>
  <c r="AH49" i="133"/>
  <c r="AI49" i="133" s="1"/>
  <c r="BD49" i="133"/>
  <c r="BE49" i="133" s="1"/>
  <c r="O49" i="133"/>
  <c r="BG49" i="133"/>
  <c r="BH49" i="133" s="1"/>
  <c r="AK49" i="133"/>
  <c r="AL49" i="133" s="1"/>
  <c r="AQ49" i="133"/>
  <c r="AR49" i="133" s="1"/>
  <c r="K50" i="133"/>
  <c r="AY49" i="133"/>
  <c r="Y49" i="133"/>
  <c r="Z49" i="133" s="1"/>
  <c r="AE49" i="133"/>
  <c r="AF49" i="133" s="1"/>
  <c r="BA49" i="133"/>
  <c r="BB49" i="133" s="1"/>
  <c r="R49" i="133"/>
  <c r="T49" i="133" s="1"/>
  <c r="V49" i="133"/>
  <c r="W49" i="133" s="1"/>
  <c r="M49" i="133"/>
  <c r="AT49" i="133"/>
  <c r="AB49" i="133"/>
  <c r="AC49" i="133" s="1"/>
  <c r="AV49" i="133"/>
  <c r="AW49" i="133" s="1"/>
  <c r="W44" i="13"/>
  <c r="W46" i="126"/>
  <c r="AL51" i="152"/>
  <c r="AV45" i="112"/>
  <c r="AW45" i="112" s="1"/>
  <c r="BD45" i="112"/>
  <c r="BE45" i="112" s="1"/>
  <c r="BR45" i="112"/>
  <c r="Z44" i="95"/>
  <c r="AH45" i="95"/>
  <c r="AK45" i="95"/>
  <c r="AB45" i="95"/>
  <c r="BA45" i="95"/>
  <c r="M45" i="95"/>
  <c r="V45" i="95"/>
  <c r="BQ45" i="95"/>
  <c r="BN45" i="95"/>
  <c r="BO45" i="95" s="1"/>
  <c r="AE45" i="95"/>
  <c r="K46" i="95"/>
  <c r="BL45" i="95"/>
  <c r="BG45" i="95"/>
  <c r="AT45" i="95"/>
  <c r="AV45" i="95" s="1"/>
  <c r="AW45" i="95" s="1"/>
  <c r="AN45" i="95"/>
  <c r="AO45" i="95" s="1"/>
  <c r="R45" i="95"/>
  <c r="T45" i="95" s="1"/>
  <c r="Y45" i="95" s="1"/>
  <c r="BB44" i="95"/>
  <c r="K52" i="156"/>
  <c r="I53" i="156"/>
  <c r="M47" i="129"/>
  <c r="R47" i="129"/>
  <c r="T47" i="129" s="1"/>
  <c r="BD47" i="129"/>
  <c r="BE47" i="129" s="1"/>
  <c r="BQ47" i="129"/>
  <c r="BR47" i="129" s="1"/>
  <c r="AT47" i="129"/>
  <c r="AV47" i="129"/>
  <c r="AW47" i="129" s="1"/>
  <c r="P47" i="129"/>
  <c r="BL47" i="129"/>
  <c r="AE47" i="129"/>
  <c r="AF47" i="129" s="1"/>
  <c r="AN47" i="129"/>
  <c r="AO47" i="129" s="1"/>
  <c r="BG47" i="129"/>
  <c r="BH47" i="129" s="1"/>
  <c r="AH47" i="129"/>
  <c r="AI47" i="129" s="1"/>
  <c r="AY47" i="129"/>
  <c r="K48" i="129"/>
  <c r="Y47" i="129"/>
  <c r="Z47" i="129" s="1"/>
  <c r="V47" i="129"/>
  <c r="W47" i="129" s="1"/>
  <c r="BA47" i="129"/>
  <c r="BB47" i="129" s="1"/>
  <c r="AB47" i="129"/>
  <c r="AC47" i="129" s="1"/>
  <c r="BN47" i="129"/>
  <c r="BO47" i="129" s="1"/>
  <c r="AK47" i="129"/>
  <c r="AL47" i="129" s="1"/>
  <c r="O47" i="129"/>
  <c r="AQ47" i="129"/>
  <c r="AR47" i="129" s="1"/>
  <c r="BJ46" i="106"/>
  <c r="BL46" i="106" s="1"/>
  <c r="AH46" i="106"/>
  <c r="AI46" i="106" s="1"/>
  <c r="R46" i="106"/>
  <c r="T46" i="106" s="1"/>
  <c r="AY46" i="106"/>
  <c r="BQ46" i="106"/>
  <c r="BR46" i="106" s="1"/>
  <c r="AB46" i="106"/>
  <c r="AC46" i="106" s="1"/>
  <c r="M46" i="106"/>
  <c r="AN46" i="106"/>
  <c r="AO46" i="106" s="1"/>
  <c r="AQ46" i="106"/>
  <c r="AR46" i="106" s="1"/>
  <c r="BD46" i="106"/>
  <c r="BE46" i="106" s="1"/>
  <c r="BA46" i="106"/>
  <c r="BB46" i="106" s="1"/>
  <c r="AK46" i="106"/>
  <c r="AL46" i="106" s="1"/>
  <c r="BG46" i="106"/>
  <c r="BH46" i="106" s="1"/>
  <c r="BN46" i="106"/>
  <c r="BO46" i="106" s="1"/>
  <c r="AV46" i="106"/>
  <c r="AW46" i="106" s="1"/>
  <c r="O46" i="106"/>
  <c r="P46" i="106"/>
  <c r="BK46" i="106"/>
  <c r="Y46" i="106"/>
  <c r="Z46" i="106" s="1"/>
  <c r="V46" i="106"/>
  <c r="W46" i="106" s="1"/>
  <c r="AE46" i="106"/>
  <c r="AF46" i="106" s="1"/>
  <c r="AT46" i="106"/>
  <c r="K47" i="106"/>
  <c r="W49" i="151"/>
  <c r="AT39" i="150"/>
  <c r="AT39" i="156"/>
  <c r="R47" i="63"/>
  <c r="T47" i="63" s="1"/>
  <c r="Y47" i="63" s="1"/>
  <c r="BA43" i="15"/>
  <c r="BB43" i="15" s="1"/>
  <c r="BG43" i="15"/>
  <c r="BH43" i="15" s="1"/>
  <c r="BG44" i="151"/>
  <c r="BH44" i="151" s="1"/>
  <c r="BA44" i="151"/>
  <c r="BB44" i="151" s="1"/>
  <c r="BG43" i="149"/>
  <c r="BH43" i="149" s="1"/>
  <c r="BA43" i="149"/>
  <c r="BB43" i="149" s="1"/>
  <c r="BA43" i="156"/>
  <c r="BB43" i="156" s="1"/>
  <c r="BG43" i="156"/>
  <c r="BH43" i="156" s="1"/>
  <c r="A49" i="7"/>
  <c r="AY45" i="152" s="1"/>
  <c r="AY44" i="156"/>
  <c r="AY45" i="155"/>
  <c r="AY45" i="150"/>
  <c r="AY44" i="130"/>
  <c r="AY44" i="15"/>
  <c r="BL47" i="130"/>
  <c r="K48" i="130"/>
  <c r="BN47" i="130"/>
  <c r="BO47" i="130" s="1"/>
  <c r="M47" i="130"/>
  <c r="AH47" i="130"/>
  <c r="AI47" i="130" s="1"/>
  <c r="P47" i="130"/>
  <c r="AT47" i="130"/>
  <c r="AY47" i="130"/>
  <c r="BA47" i="130"/>
  <c r="BB47" i="130" s="1"/>
  <c r="AE47" i="130"/>
  <c r="AF47" i="130" s="1"/>
  <c r="AB47" i="130"/>
  <c r="AC47" i="130" s="1"/>
  <c r="R47" i="130"/>
  <c r="T47" i="130" s="1"/>
  <c r="Y47" i="130"/>
  <c r="Z47" i="130" s="1"/>
  <c r="AN47" i="130"/>
  <c r="AO47" i="130" s="1"/>
  <c r="BQ47" i="130"/>
  <c r="BR47" i="130" s="1"/>
  <c r="AV47" i="130"/>
  <c r="AW47" i="130" s="1"/>
  <c r="O47" i="130"/>
  <c r="BD47" i="130"/>
  <c r="BE47" i="130" s="1"/>
  <c r="AK47" i="130"/>
  <c r="AL47" i="130" s="1"/>
  <c r="V47" i="130"/>
  <c r="W47" i="130" s="1"/>
  <c r="BG47" i="130"/>
  <c r="BH47" i="130" s="1"/>
  <c r="AQ47" i="130"/>
  <c r="AR47" i="130" s="1"/>
  <c r="BD38" i="156"/>
  <c r="BE38" i="156" s="1"/>
  <c r="AV38" i="156"/>
  <c r="AW38" i="156" s="1"/>
  <c r="AV38" i="150"/>
  <c r="AW38" i="150" s="1"/>
  <c r="BD38" i="150"/>
  <c r="BE38" i="150" s="1"/>
  <c r="Z44" i="120"/>
  <c r="AO46" i="126"/>
  <c r="W50" i="149"/>
  <c r="Z49" i="151"/>
  <c r="BR46" i="63"/>
  <c r="AL46" i="63"/>
  <c r="AW48" i="146"/>
  <c r="AI50" i="149"/>
  <c r="BH49" i="147"/>
  <c r="T41" i="155"/>
  <c r="Y41" i="155" s="1"/>
  <c r="Z41" i="155" s="1"/>
  <c r="R42" i="155"/>
  <c r="Z48" i="146"/>
  <c r="W48" i="146"/>
  <c r="Z48" i="150"/>
  <c r="W23" i="155"/>
  <c r="O24" i="155"/>
  <c r="T46" i="63"/>
  <c r="Y46" i="63" s="1"/>
  <c r="Z46" i="63" s="1"/>
  <c r="AT39" i="120"/>
  <c r="AV39" i="120" s="1"/>
  <c r="AW39" i="120" s="1"/>
  <c r="AF51" i="152"/>
  <c r="AO51" i="152"/>
  <c r="AC51" i="153"/>
  <c r="Z51" i="152"/>
  <c r="AI51" i="152"/>
  <c r="BR51" i="152"/>
  <c r="AC51" i="152"/>
  <c r="AQ51" i="155"/>
  <c r="AR51" i="155" s="1"/>
  <c r="BR51" i="155"/>
  <c r="AC51" i="155"/>
  <c r="AI51" i="155"/>
  <c r="AF51" i="155"/>
  <c r="AE52" i="155"/>
  <c r="AK52" i="155"/>
  <c r="AH52" i="155"/>
  <c r="BL52" i="155"/>
  <c r="AB52" i="155"/>
  <c r="BN52" i="155"/>
  <c r="BO52" i="155" s="1"/>
  <c r="M52" i="155"/>
  <c r="V52" i="155"/>
  <c r="BQ52" i="155"/>
  <c r="AN52" i="155"/>
  <c r="W51" i="155"/>
  <c r="AO51" i="155"/>
  <c r="AL51" i="155"/>
  <c r="K53" i="155"/>
  <c r="I54" i="155"/>
  <c r="AV38" i="130"/>
  <c r="AW38" i="130" s="1"/>
  <c r="BD38" i="130"/>
  <c r="BE38" i="130" s="1"/>
  <c r="AV38" i="13"/>
  <c r="AW38" i="13" s="1"/>
  <c r="BD38" i="13"/>
  <c r="BE38" i="13" s="1"/>
  <c r="AV38" i="120"/>
  <c r="AW38" i="120" s="1"/>
  <c r="BD38" i="120"/>
  <c r="BE38" i="120" s="1"/>
  <c r="BD39" i="15"/>
  <c r="BE39" i="15" s="1"/>
  <c r="AV39" i="15"/>
  <c r="AW39" i="15" s="1"/>
  <c r="AV38" i="17"/>
  <c r="AW38" i="17" s="1"/>
  <c r="BD38" i="17"/>
  <c r="BE38" i="17" s="1"/>
  <c r="A41" i="58"/>
  <c r="AT39" i="130"/>
  <c r="AT39" i="13"/>
  <c r="AT39" i="17"/>
  <c r="AT39" i="136"/>
  <c r="AL51" i="153"/>
  <c r="AI51" i="153"/>
  <c r="BR51" i="153"/>
  <c r="AQ51" i="153"/>
  <c r="AR51" i="153" s="1"/>
  <c r="AF51" i="153"/>
  <c r="AO51" i="153"/>
  <c r="M52" i="153"/>
  <c r="BQ52" i="153"/>
  <c r="O52" i="153"/>
  <c r="V52" i="153"/>
  <c r="AB52" i="153"/>
  <c r="AH52" i="153"/>
  <c r="AN52" i="153"/>
  <c r="P52" i="153"/>
  <c r="BN52" i="153"/>
  <c r="BO52" i="153" s="1"/>
  <c r="AE52" i="153"/>
  <c r="AK52" i="153"/>
  <c r="R52" i="153"/>
  <c r="T52" i="153" s="1"/>
  <c r="Y52" i="153" s="1"/>
  <c r="BL52" i="153"/>
  <c r="K53" i="153"/>
  <c r="I57" i="153"/>
  <c r="I61" i="152"/>
  <c r="AQ51" i="152"/>
  <c r="AR51" i="152" s="1"/>
  <c r="M52" i="152"/>
  <c r="BQ52" i="152"/>
  <c r="O52" i="152"/>
  <c r="V52" i="152"/>
  <c r="AB52" i="152"/>
  <c r="AH52" i="152"/>
  <c r="AN52" i="152"/>
  <c r="P52" i="152"/>
  <c r="BN52" i="152"/>
  <c r="BO52" i="152" s="1"/>
  <c r="R52" i="152"/>
  <c r="T52" i="152" s="1"/>
  <c r="Y52" i="152" s="1"/>
  <c r="AE52" i="152"/>
  <c r="AK52" i="152"/>
  <c r="BL52" i="152"/>
  <c r="K53" i="152"/>
  <c r="AO48" i="150"/>
  <c r="BB46" i="126"/>
  <c r="BE49" i="147"/>
  <c r="AO50" i="149"/>
  <c r="AF50" i="149"/>
  <c r="AF48" i="150"/>
  <c r="BH48" i="146"/>
  <c r="AO49" i="151"/>
  <c r="BD50" i="124"/>
  <c r="BE50" i="124" s="1"/>
  <c r="P50" i="151"/>
  <c r="BQ50" i="151"/>
  <c r="AE50" i="151"/>
  <c r="R50" i="151"/>
  <c r="T50" i="151" s="1"/>
  <c r="Y50" i="151" s="1"/>
  <c r="AN50" i="151"/>
  <c r="AB50" i="151"/>
  <c r="O50" i="151"/>
  <c r="AK50" i="151"/>
  <c r="AH50" i="151"/>
  <c r="V50" i="151"/>
  <c r="M50" i="151"/>
  <c r="BN50" i="151"/>
  <c r="BO50" i="151" s="1"/>
  <c r="BL50" i="151"/>
  <c r="K51" i="151"/>
  <c r="I52" i="151"/>
  <c r="AC49" i="151"/>
  <c r="AF49" i="151"/>
  <c r="BR49" i="151"/>
  <c r="AQ49" i="151"/>
  <c r="AR49" i="151" s="1"/>
  <c r="AI49" i="151"/>
  <c r="AL49" i="151"/>
  <c r="W48" i="150"/>
  <c r="AL48" i="150"/>
  <c r="BR48" i="150"/>
  <c r="AI48" i="150"/>
  <c r="AQ48" i="150"/>
  <c r="AR48" i="150" s="1"/>
  <c r="AC48" i="150"/>
  <c r="I53" i="150"/>
  <c r="BQ49" i="150"/>
  <c r="AK49" i="150"/>
  <c r="AE49" i="150"/>
  <c r="R49" i="150"/>
  <c r="T49" i="150" s="1"/>
  <c r="Y49" i="150" s="1"/>
  <c r="AN49" i="150"/>
  <c r="AB49" i="150"/>
  <c r="O49" i="150"/>
  <c r="AH49" i="150"/>
  <c r="V49" i="150"/>
  <c r="BN49" i="150"/>
  <c r="BO49" i="150" s="1"/>
  <c r="P49" i="150"/>
  <c r="M49" i="150"/>
  <c r="BL49" i="150"/>
  <c r="K50" i="150"/>
  <c r="Z50" i="149"/>
  <c r="AL50" i="149"/>
  <c r="BR50" i="149"/>
  <c r="BQ51" i="149"/>
  <c r="AK51" i="149"/>
  <c r="AH51" i="149"/>
  <c r="R51" i="149"/>
  <c r="T51" i="149" s="1"/>
  <c r="Y51" i="149" s="1"/>
  <c r="AE51" i="149"/>
  <c r="P51" i="149"/>
  <c r="AN51" i="149"/>
  <c r="AB51" i="149"/>
  <c r="V51" i="149"/>
  <c r="O51" i="149"/>
  <c r="M51" i="149"/>
  <c r="BN51" i="149"/>
  <c r="BO51" i="149" s="1"/>
  <c r="BL51" i="149"/>
  <c r="AC50" i="149"/>
  <c r="AQ50" i="149"/>
  <c r="AR50" i="149" s="1"/>
  <c r="I53" i="149"/>
  <c r="K52" i="149"/>
  <c r="BA44" i="13"/>
  <c r="BB44" i="13" s="1"/>
  <c r="AQ46" i="96"/>
  <c r="AR46" i="96" s="1"/>
  <c r="AC46" i="96"/>
  <c r="AW46" i="96"/>
  <c r="AC46" i="110"/>
  <c r="AW46" i="110"/>
  <c r="Z46" i="110"/>
  <c r="Z46" i="96"/>
  <c r="AI46" i="110"/>
  <c r="AL46" i="110"/>
  <c r="AF46" i="96"/>
  <c r="AO46" i="110"/>
  <c r="BH46" i="110"/>
  <c r="BE46" i="63"/>
  <c r="Z49" i="147"/>
  <c r="AQ44" i="66"/>
  <c r="AR44" i="66" s="1"/>
  <c r="AV49" i="147"/>
  <c r="AW49" i="147" s="1"/>
  <c r="BA49" i="147"/>
  <c r="BB49" i="147" s="1"/>
  <c r="AF49" i="147"/>
  <c r="AI49" i="147"/>
  <c r="BR49" i="147"/>
  <c r="W49" i="147"/>
  <c r="W27" i="147"/>
  <c r="O28" i="147"/>
  <c r="AT50" i="147"/>
  <c r="BD50" i="147" s="1"/>
  <c r="AB50" i="147"/>
  <c r="V50" i="147"/>
  <c r="AE50" i="147"/>
  <c r="BQ50" i="147"/>
  <c r="AY50" i="147"/>
  <c r="BG50" i="147" s="1"/>
  <c r="R50" i="147"/>
  <c r="T50" i="147" s="1"/>
  <c r="Y50" i="147" s="1"/>
  <c r="BK50" i="147"/>
  <c r="BN50" i="147"/>
  <c r="BO50" i="147" s="1"/>
  <c r="BJ50" i="147"/>
  <c r="BL50" i="147" s="1"/>
  <c r="M50" i="147"/>
  <c r="AC49" i="147"/>
  <c r="K51" i="147"/>
  <c r="AH51" i="147" s="1"/>
  <c r="I52" i="147"/>
  <c r="AT49" i="146"/>
  <c r="AV49" i="146" s="1"/>
  <c r="AB49" i="146"/>
  <c r="V49" i="146"/>
  <c r="BQ49" i="146"/>
  <c r="AY49" i="146"/>
  <c r="BG49" i="146" s="1"/>
  <c r="R49" i="146"/>
  <c r="T49" i="146" s="1"/>
  <c r="Y49" i="146" s="1"/>
  <c r="AE49" i="146"/>
  <c r="BN49" i="146"/>
  <c r="BO49" i="146" s="1"/>
  <c r="M49" i="146"/>
  <c r="BJ49" i="146"/>
  <c r="BL49" i="146" s="1"/>
  <c r="BK49" i="146"/>
  <c r="AC48" i="146"/>
  <c r="BA48" i="146"/>
  <c r="BB48" i="146" s="1"/>
  <c r="I51" i="146"/>
  <c r="K50" i="146"/>
  <c r="AH50" i="146" s="1"/>
  <c r="BR48" i="146"/>
  <c r="AI48" i="146"/>
  <c r="BD48" i="146"/>
  <c r="BE48" i="146" s="1"/>
  <c r="AF48" i="146"/>
  <c r="W26" i="146"/>
  <c r="O27" i="146"/>
  <c r="BA45" i="118"/>
  <c r="BB45" i="118" s="1"/>
  <c r="BH44" i="13"/>
  <c r="Z44" i="13"/>
  <c r="AF44" i="13"/>
  <c r="AI44" i="13"/>
  <c r="AL44" i="17"/>
  <c r="AI44" i="17"/>
  <c r="AF46" i="63"/>
  <c r="AV45" i="118"/>
  <c r="AW45" i="118" s="1"/>
  <c r="AQ45" i="118"/>
  <c r="AR45" i="118" s="1"/>
  <c r="AC45" i="118"/>
  <c r="AI46" i="63"/>
  <c r="W46" i="63"/>
  <c r="AC46" i="63"/>
  <c r="Z46" i="114"/>
  <c r="AQ46" i="114"/>
  <c r="AR46" i="114" s="1"/>
  <c r="BG50" i="124"/>
  <c r="BH50" i="124" s="1"/>
  <c r="BE44" i="66"/>
  <c r="BB44" i="66"/>
  <c r="Z47" i="64"/>
  <c r="BR44" i="66"/>
  <c r="BG46" i="63"/>
  <c r="BH46" i="63" s="1"/>
  <c r="BG46" i="126"/>
  <c r="BH46" i="126" s="1"/>
  <c r="BA47" i="64"/>
  <c r="BB47" i="64" s="1"/>
  <c r="AW47" i="64"/>
  <c r="BH45" i="118"/>
  <c r="AI45" i="15"/>
  <c r="AL45" i="15"/>
  <c r="AW46" i="114"/>
  <c r="AQ46" i="63"/>
  <c r="AR46" i="63" s="1"/>
  <c r="Z45" i="15"/>
  <c r="BR45" i="118"/>
  <c r="AL45" i="118"/>
  <c r="W46" i="96"/>
  <c r="AO46" i="96"/>
  <c r="W45" i="15"/>
  <c r="AC45" i="15"/>
  <c r="O47" i="114"/>
  <c r="BD46" i="114"/>
  <c r="BE46" i="114" s="1"/>
  <c r="BA46" i="115"/>
  <c r="BB46" i="115" s="1"/>
  <c r="AW50" i="124"/>
  <c r="W50" i="124"/>
  <c r="BE46" i="126"/>
  <c r="Z44" i="66"/>
  <c r="BG44" i="66"/>
  <c r="BH44" i="66" s="1"/>
  <c r="AC44" i="66"/>
  <c r="AO44" i="66"/>
  <c r="BB46" i="96"/>
  <c r="BH46" i="96"/>
  <c r="AI46" i="96"/>
  <c r="BA46" i="110"/>
  <c r="BB46" i="110" s="1"/>
  <c r="AL44" i="120"/>
  <c r="BB44" i="120"/>
  <c r="AI44" i="120"/>
  <c r="BG46" i="114"/>
  <c r="BH46" i="114" s="1"/>
  <c r="AQ44" i="17"/>
  <c r="AR44" i="17" s="1"/>
  <c r="AV46" i="115"/>
  <c r="AW46" i="115" s="1"/>
  <c r="AO46" i="115"/>
  <c r="BR50" i="124"/>
  <c r="BB50" i="124"/>
  <c r="AC50" i="124"/>
  <c r="BR46" i="126"/>
  <c r="AV44" i="66"/>
  <c r="AW44" i="66" s="1"/>
  <c r="W45" i="118"/>
  <c r="AO44" i="120"/>
  <c r="AF44" i="120"/>
  <c r="AC44" i="120"/>
  <c r="I53" i="114"/>
  <c r="BD47" i="64"/>
  <c r="BE47" i="64" s="1"/>
  <c r="AO47" i="64"/>
  <c r="AF45" i="118"/>
  <c r="K47" i="118"/>
  <c r="M46" i="118"/>
  <c r="BN46" i="118"/>
  <c r="BO46" i="118" s="1"/>
  <c r="AH46" i="118"/>
  <c r="AB46" i="118"/>
  <c r="V46" i="118"/>
  <c r="AE46" i="118"/>
  <c r="AK46" i="118"/>
  <c r="AN46" i="118"/>
  <c r="AY46" i="118"/>
  <c r="BA46" i="118" s="1"/>
  <c r="BQ46" i="118"/>
  <c r="AT46" i="118"/>
  <c r="BD46" i="118" s="1"/>
  <c r="BG44" i="120"/>
  <c r="BH44" i="120" s="1"/>
  <c r="W44" i="120"/>
  <c r="AC44" i="13"/>
  <c r="BR46" i="114"/>
  <c r="W46" i="114"/>
  <c r="AL46" i="114"/>
  <c r="Z44" i="17"/>
  <c r="BG44" i="17"/>
  <c r="BH44" i="17" s="1"/>
  <c r="AO44" i="17"/>
  <c r="AF44" i="17"/>
  <c r="AC46" i="115"/>
  <c r="BE46" i="115"/>
  <c r="W46" i="115"/>
  <c r="AK47" i="96"/>
  <c r="BN47" i="96"/>
  <c r="BO47" i="96" s="1"/>
  <c r="V47" i="96"/>
  <c r="M47" i="96"/>
  <c r="AN47" i="96"/>
  <c r="AE47" i="96"/>
  <c r="AH47" i="96"/>
  <c r="AT47" i="96"/>
  <c r="BD47" i="96" s="1"/>
  <c r="AB47" i="96"/>
  <c r="BG47" i="96"/>
  <c r="BL47" i="96"/>
  <c r="BQ47" i="96"/>
  <c r="BA47" i="96"/>
  <c r="R47" i="96"/>
  <c r="T47" i="96" s="1"/>
  <c r="Y47" i="96" s="1"/>
  <c r="AF50" i="124"/>
  <c r="AI50" i="124"/>
  <c r="K52" i="124"/>
  <c r="AH52" i="124" s="1"/>
  <c r="M51" i="124"/>
  <c r="BJ51" i="124"/>
  <c r="BL51" i="124" s="1"/>
  <c r="BK51" i="124"/>
  <c r="BN51" i="124"/>
  <c r="BO51" i="124" s="1"/>
  <c r="AE51" i="124"/>
  <c r="V51" i="124"/>
  <c r="AT51" i="124"/>
  <c r="BD51" i="124" s="1"/>
  <c r="AB51" i="124"/>
  <c r="AY51" i="124"/>
  <c r="BA51" i="124" s="1"/>
  <c r="BQ51" i="124"/>
  <c r="I52" i="126"/>
  <c r="AV46" i="126"/>
  <c r="AW46" i="126" s="1"/>
  <c r="AC46" i="126"/>
  <c r="M47" i="110"/>
  <c r="BK47" i="110"/>
  <c r="BN47" i="110"/>
  <c r="BO47" i="110" s="1"/>
  <c r="BJ47" i="110"/>
  <c r="BL47" i="110" s="1"/>
  <c r="AK47" i="110"/>
  <c r="AH47" i="110"/>
  <c r="V47" i="110"/>
  <c r="AB47" i="110"/>
  <c r="AN47" i="110"/>
  <c r="AY47" i="110"/>
  <c r="BG47" i="110" s="1"/>
  <c r="AE47" i="110"/>
  <c r="AT47" i="110"/>
  <c r="AV47" i="110" s="1"/>
  <c r="BQ47" i="110"/>
  <c r="AF44" i="66"/>
  <c r="BD46" i="96"/>
  <c r="BE46" i="96" s="1"/>
  <c r="I103" i="99"/>
  <c r="BD46" i="110"/>
  <c r="BE46" i="110" s="1"/>
  <c r="AQ46" i="110"/>
  <c r="AR46" i="110" s="1"/>
  <c r="AV46" i="63"/>
  <c r="AW46" i="63" s="1"/>
  <c r="AI47" i="64"/>
  <c r="BN45" i="17"/>
  <c r="BO45" i="17" s="1"/>
  <c r="BL45" i="17"/>
  <c r="M45" i="17"/>
  <c r="AH45" i="17"/>
  <c r="AN45" i="17"/>
  <c r="AK45" i="17"/>
  <c r="AE45" i="17"/>
  <c r="AY45" i="17"/>
  <c r="BA45" i="17" s="1"/>
  <c r="AB45" i="17"/>
  <c r="V45" i="17"/>
  <c r="BQ45" i="17"/>
  <c r="R45" i="17"/>
  <c r="T45" i="17" s="1"/>
  <c r="Y45" i="17" s="1"/>
  <c r="I56" i="95"/>
  <c r="BB46" i="114"/>
  <c r="AQ46" i="115"/>
  <c r="AR46" i="115" s="1"/>
  <c r="AF46" i="115"/>
  <c r="K46" i="66"/>
  <c r="I47" i="66"/>
  <c r="I47" i="13"/>
  <c r="K46" i="13"/>
  <c r="I49" i="110"/>
  <c r="K48" i="110"/>
  <c r="M48" i="135"/>
  <c r="AH48" i="135"/>
  <c r="AI48" i="135" s="1"/>
  <c r="BA48" i="135"/>
  <c r="BB48" i="135" s="1"/>
  <c r="AQ48" i="135"/>
  <c r="AR48" i="135" s="1"/>
  <c r="AK48" i="135"/>
  <c r="AL48" i="135" s="1"/>
  <c r="AE48" i="135"/>
  <c r="AF48" i="135" s="1"/>
  <c r="AB48" i="135"/>
  <c r="AC48" i="135" s="1"/>
  <c r="BQ48" i="135"/>
  <c r="BR48" i="135" s="1"/>
  <c r="AT48" i="135"/>
  <c r="O48" i="135"/>
  <c r="V48" i="135"/>
  <c r="W48" i="135" s="1"/>
  <c r="BD48" i="135"/>
  <c r="BE48" i="135" s="1"/>
  <c r="AY48" i="135"/>
  <c r="BG48" i="135"/>
  <c r="BH48" i="135" s="1"/>
  <c r="AN48" i="135"/>
  <c r="AO48" i="135" s="1"/>
  <c r="R48" i="135"/>
  <c r="T48" i="135" s="1"/>
  <c r="P48" i="135"/>
  <c r="AV48" i="135"/>
  <c r="AW48" i="135" s="1"/>
  <c r="Y48" i="135"/>
  <c r="Z48" i="135" s="1"/>
  <c r="BN48" i="135"/>
  <c r="BO48" i="135" s="1"/>
  <c r="BL48" i="135"/>
  <c r="AB48" i="64"/>
  <c r="AH48" i="64"/>
  <c r="M48" i="64"/>
  <c r="AE48" i="64"/>
  <c r="AK48" i="64"/>
  <c r="AN48" i="64"/>
  <c r="V48" i="64"/>
  <c r="AY48" i="64"/>
  <c r="BG48" i="64" s="1"/>
  <c r="BN48" i="64"/>
  <c r="BO48" i="64" s="1"/>
  <c r="BL48" i="64"/>
  <c r="BQ48" i="64"/>
  <c r="AT48" i="64"/>
  <c r="BD48" i="64" s="1"/>
  <c r="K49" i="64"/>
  <c r="R48" i="64"/>
  <c r="T48" i="64" s="1"/>
  <c r="Y48" i="64" s="1"/>
  <c r="BH47" i="64"/>
  <c r="AC47" i="64"/>
  <c r="AL47" i="64"/>
  <c r="I47" i="17"/>
  <c r="K46" i="17"/>
  <c r="M47" i="115"/>
  <c r="BN47" i="115"/>
  <c r="BO47" i="115" s="1"/>
  <c r="BK47" i="115"/>
  <c r="BJ47" i="115"/>
  <c r="BL47" i="115" s="1"/>
  <c r="V47" i="115"/>
  <c r="BQ47" i="115"/>
  <c r="AT47" i="115"/>
  <c r="AV47" i="115" s="1"/>
  <c r="AN47" i="115"/>
  <c r="AH47" i="115"/>
  <c r="AB47" i="115"/>
  <c r="AK47" i="115"/>
  <c r="AE47" i="115"/>
  <c r="AY47" i="115"/>
  <c r="BG47" i="115" s="1"/>
  <c r="BH47" i="115" s="1"/>
  <c r="M46" i="101"/>
  <c r="AN46" i="101"/>
  <c r="AO46" i="101" s="1"/>
  <c r="AE46" i="101"/>
  <c r="AF46" i="101" s="1"/>
  <c r="BA46" i="101"/>
  <c r="BB46" i="101" s="1"/>
  <c r="AH46" i="101"/>
  <c r="AI46" i="101" s="1"/>
  <c r="AY46" i="101"/>
  <c r="Y46" i="101"/>
  <c r="Z46" i="101" s="1"/>
  <c r="AQ46" i="101"/>
  <c r="AR46" i="101" s="1"/>
  <c r="AB46" i="101"/>
  <c r="AC46" i="101" s="1"/>
  <c r="V46" i="101"/>
  <c r="W46" i="101" s="1"/>
  <c r="P46" i="101"/>
  <c r="BQ46" i="101"/>
  <c r="BR46" i="101" s="1"/>
  <c r="AT46" i="101"/>
  <c r="AV46" i="101"/>
  <c r="AW46" i="101" s="1"/>
  <c r="O46" i="101"/>
  <c r="BD46" i="101"/>
  <c r="BE46" i="101" s="1"/>
  <c r="R46" i="101"/>
  <c r="T46" i="101" s="1"/>
  <c r="AK46" i="101"/>
  <c r="AL46" i="101" s="1"/>
  <c r="BG46" i="101"/>
  <c r="BH46" i="101" s="1"/>
  <c r="M47" i="114"/>
  <c r="BN47" i="114"/>
  <c r="BO47" i="114" s="1"/>
  <c r="BJ47" i="114"/>
  <c r="BL47" i="114" s="1"/>
  <c r="BK47" i="114"/>
  <c r="AN47" i="114"/>
  <c r="AT47" i="114"/>
  <c r="AV47" i="114" s="1"/>
  <c r="AB47" i="114"/>
  <c r="AE47" i="114"/>
  <c r="AK47" i="114"/>
  <c r="AY47" i="114"/>
  <c r="BA47" i="114" s="1"/>
  <c r="V47" i="114"/>
  <c r="AH47" i="114"/>
  <c r="BQ47" i="114"/>
  <c r="K48" i="114"/>
  <c r="P48" i="114" s="1"/>
  <c r="R47" i="114"/>
  <c r="T47" i="114" s="1"/>
  <c r="Y47" i="114" s="1"/>
  <c r="V45" i="66"/>
  <c r="AN45" i="66"/>
  <c r="AB45" i="66"/>
  <c r="BN45" i="66"/>
  <c r="BO45" i="66" s="1"/>
  <c r="AY45" i="66"/>
  <c r="BA45" i="66" s="1"/>
  <c r="AK45" i="66"/>
  <c r="AH45" i="66"/>
  <c r="AE45" i="66"/>
  <c r="M45" i="66"/>
  <c r="BL45" i="66"/>
  <c r="BQ45" i="66"/>
  <c r="AT45" i="66"/>
  <c r="BD45" i="66" s="1"/>
  <c r="R45" i="66"/>
  <c r="T45" i="66" s="1"/>
  <c r="Y45" i="66" s="1"/>
  <c r="M45" i="13"/>
  <c r="BN45" i="13"/>
  <c r="BO45" i="13" s="1"/>
  <c r="BL45" i="13"/>
  <c r="AE45" i="13"/>
  <c r="AN45" i="13"/>
  <c r="AK45" i="13"/>
  <c r="AY45" i="13"/>
  <c r="BG45" i="13" s="1"/>
  <c r="BQ45" i="13"/>
  <c r="V45" i="13"/>
  <c r="AB45" i="13"/>
  <c r="AH45" i="13"/>
  <c r="R45" i="13"/>
  <c r="T45" i="13" s="1"/>
  <c r="Y45" i="13" s="1"/>
  <c r="I62" i="133"/>
  <c r="M47" i="126"/>
  <c r="BN47" i="126"/>
  <c r="BO47" i="126" s="1"/>
  <c r="BJ47" i="126"/>
  <c r="BL47" i="126" s="1"/>
  <c r="V47" i="126"/>
  <c r="BK47" i="126"/>
  <c r="AT47" i="126"/>
  <c r="BD47" i="126" s="1"/>
  <c r="AB47" i="126"/>
  <c r="AY47" i="126"/>
  <c r="BG47" i="126" s="1"/>
  <c r="AE47" i="126"/>
  <c r="AN47" i="126"/>
  <c r="AK47" i="126"/>
  <c r="BQ47" i="126"/>
  <c r="R47" i="126"/>
  <c r="T47" i="126" s="1"/>
  <c r="Y47" i="126" s="1"/>
  <c r="K48" i="126"/>
  <c r="AH51" i="126" s="1"/>
  <c r="AL46" i="126"/>
  <c r="I53" i="64"/>
  <c r="P48" i="64"/>
  <c r="P49" i="64" s="1"/>
  <c r="AI44" i="66"/>
  <c r="AL44" i="66"/>
  <c r="I54" i="105"/>
  <c r="AL46" i="96"/>
  <c r="O51" i="124"/>
  <c r="I52" i="63"/>
  <c r="M47" i="63"/>
  <c r="BN47" i="63"/>
  <c r="BO47" i="63" s="1"/>
  <c r="V47" i="63"/>
  <c r="BL47" i="63"/>
  <c r="AB47" i="63"/>
  <c r="AH47" i="63"/>
  <c r="AN47" i="63"/>
  <c r="AE47" i="63"/>
  <c r="AK47" i="63"/>
  <c r="AY47" i="63"/>
  <c r="BA47" i="63" s="1"/>
  <c r="BQ47" i="63"/>
  <c r="AT47" i="63"/>
  <c r="BD47" i="63" s="1"/>
  <c r="K48" i="63"/>
  <c r="I53" i="136"/>
  <c r="BL46" i="15"/>
  <c r="BN46" i="15"/>
  <c r="BO46" i="15" s="1"/>
  <c r="M46" i="15"/>
  <c r="AN46" i="15"/>
  <c r="BQ46" i="15"/>
  <c r="AK46" i="15"/>
  <c r="V46" i="15"/>
  <c r="AB46" i="15"/>
  <c r="AE46" i="15"/>
  <c r="AH46" i="15"/>
  <c r="K47" i="15"/>
  <c r="R47" i="15" s="1"/>
  <c r="AQ45" i="15"/>
  <c r="AR45" i="15" s="1"/>
  <c r="K49" i="135"/>
  <c r="I50" i="135"/>
  <c r="I54" i="132"/>
  <c r="P51" i="124"/>
  <c r="I51" i="15"/>
  <c r="AQ47" i="64"/>
  <c r="AR47" i="64" s="1"/>
  <c r="AF47" i="64"/>
  <c r="W47" i="64"/>
  <c r="I51" i="104"/>
  <c r="I49" i="115"/>
  <c r="K48" i="115"/>
  <c r="P48" i="115" s="1"/>
  <c r="AQ44" i="120"/>
  <c r="AR44" i="120" s="1"/>
  <c r="AH45" i="120"/>
  <c r="AB45" i="120"/>
  <c r="V45" i="120"/>
  <c r="M45" i="120"/>
  <c r="K46" i="120"/>
  <c r="AE45" i="120"/>
  <c r="BN45" i="120"/>
  <c r="BO45" i="120" s="1"/>
  <c r="AY45" i="120"/>
  <c r="BG45" i="120" s="1"/>
  <c r="BQ45" i="120"/>
  <c r="AK45" i="120"/>
  <c r="AN45" i="120"/>
  <c r="R45" i="120"/>
  <c r="T45" i="120" s="1"/>
  <c r="Y45" i="120" s="1"/>
  <c r="AQ44" i="13"/>
  <c r="AR44" i="13" s="1"/>
  <c r="BR44" i="13"/>
  <c r="AL44" i="13"/>
  <c r="I48" i="101"/>
  <c r="K47" i="101"/>
  <c r="AI46" i="114"/>
  <c r="AO46" i="114"/>
  <c r="O48" i="64"/>
  <c r="BR46" i="115"/>
  <c r="AL46" i="115"/>
  <c r="I49" i="96"/>
  <c r="K48" i="96"/>
  <c r="P48" i="96" s="1"/>
  <c r="M49" i="136"/>
  <c r="BN49" i="136"/>
  <c r="BO49" i="136" s="1"/>
  <c r="BL49" i="136"/>
  <c r="AN49" i="136"/>
  <c r="AO49" i="136" s="1"/>
  <c r="O49" i="136"/>
  <c r="AB49" i="136"/>
  <c r="AC49" i="136" s="1"/>
  <c r="AV49" i="136"/>
  <c r="AW49" i="136" s="1"/>
  <c r="AH49" i="136"/>
  <c r="AI49" i="136" s="1"/>
  <c r="BG49" i="136"/>
  <c r="BH49" i="136" s="1"/>
  <c r="AK49" i="136"/>
  <c r="AL49" i="136" s="1"/>
  <c r="R49" i="136"/>
  <c r="T49" i="136" s="1"/>
  <c r="BD49" i="136"/>
  <c r="BE49" i="136" s="1"/>
  <c r="AQ49" i="136"/>
  <c r="AR49" i="136" s="1"/>
  <c r="BQ49" i="136"/>
  <c r="BR49" i="136" s="1"/>
  <c r="Y49" i="136"/>
  <c r="Z49" i="136" s="1"/>
  <c r="BA49" i="136"/>
  <c r="BB49" i="136" s="1"/>
  <c r="AT49" i="136"/>
  <c r="V49" i="136"/>
  <c r="W49" i="136" s="1"/>
  <c r="AY49" i="136"/>
  <c r="AE49" i="136"/>
  <c r="AF49" i="136" s="1"/>
  <c r="P49" i="136"/>
  <c r="K50" i="136"/>
  <c r="Z46" i="126"/>
  <c r="AQ46" i="126"/>
  <c r="AR46" i="126" s="1"/>
  <c r="AF46" i="126"/>
  <c r="AI46" i="126"/>
  <c r="M47" i="98"/>
  <c r="BN47" i="98"/>
  <c r="BO47" i="98" s="1"/>
  <c r="K48" i="98"/>
  <c r="BJ47" i="98"/>
  <c r="BL47" i="98" s="1"/>
  <c r="BK47" i="98"/>
  <c r="AE47" i="98"/>
  <c r="AF47" i="98" s="1"/>
  <c r="AV47" i="98"/>
  <c r="AW47" i="98" s="1"/>
  <c r="P47" i="98"/>
  <c r="AB47" i="98"/>
  <c r="AC47" i="98" s="1"/>
  <c r="BQ47" i="98"/>
  <c r="BR47" i="98" s="1"/>
  <c r="Y47" i="98"/>
  <c r="Z47" i="98" s="1"/>
  <c r="BD47" i="98"/>
  <c r="BE47" i="98" s="1"/>
  <c r="AT47" i="98"/>
  <c r="AK47" i="98"/>
  <c r="AL47" i="98" s="1"/>
  <c r="AQ47" i="98"/>
  <c r="AR47" i="98" s="1"/>
  <c r="V47" i="98"/>
  <c r="W47" i="98" s="1"/>
  <c r="O47" i="98"/>
  <c r="AH47" i="98"/>
  <c r="AI47" i="98" s="1"/>
  <c r="BG47" i="98"/>
  <c r="BH47" i="98" s="1"/>
  <c r="AN47" i="98"/>
  <c r="AO47" i="98" s="1"/>
  <c r="BA47" i="98"/>
  <c r="BB47" i="98" s="1"/>
  <c r="R47" i="98"/>
  <c r="T47" i="98" s="1"/>
  <c r="AY47" i="98"/>
  <c r="AO45" i="15"/>
  <c r="BR45" i="15"/>
  <c r="M49" i="105"/>
  <c r="BN49" i="105"/>
  <c r="BO49" i="105" s="1"/>
  <c r="BJ49" i="105"/>
  <c r="BL49" i="105" s="1"/>
  <c r="BK49" i="105"/>
  <c r="AK49" i="105"/>
  <c r="AL49" i="105" s="1"/>
  <c r="BQ49" i="105"/>
  <c r="BR49" i="105" s="1"/>
  <c r="O49" i="105"/>
  <c r="Y49" i="105"/>
  <c r="Z49" i="105" s="1"/>
  <c r="AV49" i="105"/>
  <c r="AW49" i="105" s="1"/>
  <c r="AN49" i="105"/>
  <c r="AO49" i="105" s="1"/>
  <c r="AH49" i="105"/>
  <c r="AI49" i="105" s="1"/>
  <c r="BA49" i="105"/>
  <c r="BB49" i="105" s="1"/>
  <c r="P49" i="105"/>
  <c r="BG49" i="105"/>
  <c r="BH49" i="105" s="1"/>
  <c r="V49" i="105"/>
  <c r="W49" i="105" s="1"/>
  <c r="AT49" i="105"/>
  <c r="BD49" i="105"/>
  <c r="BE49" i="105" s="1"/>
  <c r="AB49" i="105"/>
  <c r="AC49" i="105" s="1"/>
  <c r="AE49" i="105"/>
  <c r="AF49" i="105" s="1"/>
  <c r="AQ49" i="105"/>
  <c r="AR49" i="105" s="1"/>
  <c r="AY49" i="105"/>
  <c r="R49" i="105"/>
  <c r="T49" i="105" s="1"/>
  <c r="K50" i="105"/>
  <c r="V28" i="95"/>
  <c r="W28" i="95" s="1"/>
  <c r="P29" i="95"/>
  <c r="O28" i="95"/>
  <c r="T46" i="15"/>
  <c r="Y46" i="15" s="1"/>
  <c r="O28" i="104"/>
  <c r="O29" i="17"/>
  <c r="V29" i="17" s="1"/>
  <c r="W29" i="17" s="1"/>
  <c r="O31" i="101"/>
  <c r="V31" i="101" s="1"/>
  <c r="W31" i="101" s="1"/>
  <c r="W25" i="98"/>
  <c r="O26" i="98"/>
  <c r="R49" i="124"/>
  <c r="T48" i="124"/>
  <c r="Y48" i="124" s="1"/>
  <c r="Z48" i="124" s="1"/>
  <c r="T47" i="110"/>
  <c r="Y47" i="110" s="1"/>
  <c r="R48" i="110"/>
  <c r="O30" i="115"/>
  <c r="O31" i="115" s="1"/>
  <c r="O32" i="115" s="1"/>
  <c r="O33" i="115" s="1"/>
  <c r="O34" i="115" s="1"/>
  <c r="O35" i="115" s="1"/>
  <c r="O36" i="115" s="1"/>
  <c r="O37" i="115" s="1"/>
  <c r="O38" i="115" s="1"/>
  <c r="O39" i="115" s="1"/>
  <c r="O40" i="115" s="1"/>
  <c r="O41" i="115" s="1"/>
  <c r="O42" i="115" s="1"/>
  <c r="O43" i="115" s="1"/>
  <c r="O44" i="115" s="1"/>
  <c r="O45" i="115" s="1"/>
  <c r="O46" i="115" s="1"/>
  <c r="O47" i="115" s="1"/>
  <c r="W24" i="105"/>
  <c r="O25" i="105"/>
  <c r="O28" i="106"/>
  <c r="O30" i="66"/>
  <c r="O31" i="66" s="1"/>
  <c r="O32" i="66" s="1"/>
  <c r="O33" i="66" s="1"/>
  <c r="O34" i="66" s="1"/>
  <c r="O35" i="66" s="1"/>
  <c r="O36" i="66" s="1"/>
  <c r="O37" i="66" s="1"/>
  <c r="O38" i="66" s="1"/>
  <c r="O39" i="66" s="1"/>
  <c r="O40" i="66" s="1"/>
  <c r="O41" i="66" s="1"/>
  <c r="O42" i="66" s="1"/>
  <c r="O43" i="66" s="1"/>
  <c r="O44" i="66" s="1"/>
  <c r="O45" i="66" s="1"/>
  <c r="P25" i="99"/>
  <c r="O29" i="126"/>
  <c r="V29" i="126" s="1"/>
  <c r="W29" i="126" s="1"/>
  <c r="O28" i="13"/>
  <c r="V28" i="13"/>
  <c r="W28" i="13" s="1"/>
  <c r="P29" i="13"/>
  <c r="P32" i="101"/>
  <c r="P33" i="101" s="1"/>
  <c r="P34" i="101" s="1"/>
  <c r="P35" i="101" s="1"/>
  <c r="P36" i="101" s="1"/>
  <c r="P37" i="101" s="1"/>
  <c r="P38" i="101" s="1"/>
  <c r="P39" i="101" s="1"/>
  <c r="O27" i="130"/>
  <c r="W25" i="107"/>
  <c r="O26" i="107"/>
  <c r="P28" i="130"/>
  <c r="V27" i="130"/>
  <c r="W27" i="130" s="1"/>
  <c r="P30" i="126"/>
  <c r="P31" i="126" s="1"/>
  <c r="P32" i="126" s="1"/>
  <c r="P33" i="126" s="1"/>
  <c r="P34" i="126" s="1"/>
  <c r="P35" i="126" s="1"/>
  <c r="P36" i="126" s="1"/>
  <c r="P37" i="126" s="1"/>
  <c r="P38" i="126" s="1"/>
  <c r="P39" i="126" s="1"/>
  <c r="P40" i="126" s="1"/>
  <c r="P41" i="126" s="1"/>
  <c r="P42" i="126" s="1"/>
  <c r="P43" i="126" s="1"/>
  <c r="P44" i="126" s="1"/>
  <c r="P45" i="126" s="1"/>
  <c r="P46" i="126" s="1"/>
  <c r="P47" i="126" s="1"/>
  <c r="P48" i="126" s="1"/>
  <c r="V28" i="106"/>
  <c r="W28" i="106" s="1"/>
  <c r="P29" i="106"/>
  <c r="P26" i="120"/>
  <c r="V25" i="120"/>
  <c r="P28" i="118"/>
  <c r="V27" i="118"/>
  <c r="W27" i="118" s="1"/>
  <c r="O27" i="118"/>
  <c r="T46" i="118"/>
  <c r="Y46" i="118" s="1"/>
  <c r="R47" i="118"/>
  <c r="W25" i="63"/>
  <c r="O26" i="63"/>
  <c r="O28" i="15"/>
  <c r="P27" i="63"/>
  <c r="V26" i="63"/>
  <c r="W26" i="63" s="1"/>
  <c r="P29" i="104"/>
  <c r="V28" i="104"/>
  <c r="W28" i="104" s="1"/>
  <c r="V25" i="135"/>
  <c r="P26" i="135"/>
  <c r="P26" i="136"/>
  <c r="V25" i="136"/>
  <c r="O31" i="96"/>
  <c r="O32" i="96" s="1"/>
  <c r="O33" i="96" s="1"/>
  <c r="O34" i="96" s="1"/>
  <c r="O35" i="96" s="1"/>
  <c r="O36" i="96" s="1"/>
  <c r="O37" i="96" s="1"/>
  <c r="O38" i="96" s="1"/>
  <c r="O39" i="96" s="1"/>
  <c r="O40" i="96" s="1"/>
  <c r="O41" i="96" s="1"/>
  <c r="O42" i="96" s="1"/>
  <c r="O43" i="96" s="1"/>
  <c r="O44" i="96" s="1"/>
  <c r="O45" i="96" s="1"/>
  <c r="O46" i="96" s="1"/>
  <c r="O47" i="96" s="1"/>
  <c r="P29" i="15"/>
  <c r="V28" i="15"/>
  <c r="W28" i="15" s="1"/>
  <c r="T47" i="115"/>
  <c r="Y47" i="115" s="1"/>
  <c r="R48" i="115"/>
  <c r="V25" i="112"/>
  <c r="P30" i="17"/>
  <c r="P31" i="17" s="1"/>
  <c r="P32" i="17" s="1"/>
  <c r="P33" i="17" s="1"/>
  <c r="P34" i="17" s="1"/>
  <c r="P35" i="17" s="1"/>
  <c r="P36" i="17" s="1"/>
  <c r="P37" i="17" s="1"/>
  <c r="P38" i="17" s="1"/>
  <c r="P39" i="17" s="1"/>
  <c r="P40" i="17" s="1"/>
  <c r="P41" i="17" s="1"/>
  <c r="P42" i="17" s="1"/>
  <c r="P43" i="17" s="1"/>
  <c r="P44" i="17" s="1"/>
  <c r="P45" i="17" s="1"/>
  <c r="P46" i="17" s="1"/>
  <c r="W26" i="110"/>
  <c r="O27" i="110"/>
  <c r="BG44" i="153" l="1"/>
  <c r="BH44" i="153" s="1"/>
  <c r="AO46" i="112"/>
  <c r="Z45" i="95"/>
  <c r="AF45" i="95"/>
  <c r="W45" i="95"/>
  <c r="AL47" i="114"/>
  <c r="AO47" i="110"/>
  <c r="AF46" i="112"/>
  <c r="BR47" i="114"/>
  <c r="BG44" i="155"/>
  <c r="BH44" i="155" s="1"/>
  <c r="BG44" i="150"/>
  <c r="BH44" i="150" s="1"/>
  <c r="BA44" i="136"/>
  <c r="BB44" i="136" s="1"/>
  <c r="BR48" i="64"/>
  <c r="I53" i="107"/>
  <c r="K52" i="107"/>
  <c r="BK51" i="107"/>
  <c r="Y51" i="107"/>
  <c r="Z51" i="107" s="1"/>
  <c r="V51" i="107"/>
  <c r="W51" i="107" s="1"/>
  <c r="AT51" i="107"/>
  <c r="AH51" i="107"/>
  <c r="AI51" i="107" s="1"/>
  <c r="AK51" i="107"/>
  <c r="AL51" i="107" s="1"/>
  <c r="AB51" i="107"/>
  <c r="AC51" i="107" s="1"/>
  <c r="BG51" i="107"/>
  <c r="BH51" i="107" s="1"/>
  <c r="BJ51" i="107"/>
  <c r="BL51" i="107" s="1"/>
  <c r="R51" i="107"/>
  <c r="T51" i="107" s="1"/>
  <c r="AE51" i="107"/>
  <c r="AF51" i="107" s="1"/>
  <c r="BD51" i="107"/>
  <c r="BE51" i="107" s="1"/>
  <c r="O51" i="107"/>
  <c r="BA51" i="107"/>
  <c r="BB51" i="107" s="1"/>
  <c r="P51" i="107"/>
  <c r="AN51" i="107"/>
  <c r="AO51" i="107" s="1"/>
  <c r="BN51" i="107"/>
  <c r="BO51" i="107" s="1"/>
  <c r="M51" i="107"/>
  <c r="BQ51" i="107"/>
  <c r="BR51" i="107" s="1"/>
  <c r="AQ51" i="107"/>
  <c r="AR51" i="107" s="1"/>
  <c r="AV51" i="107"/>
  <c r="AW51" i="107" s="1"/>
  <c r="AY51" i="107"/>
  <c r="R49" i="99"/>
  <c r="T49" i="99" s="1"/>
  <c r="BJ49" i="99"/>
  <c r="BL49" i="99" s="1"/>
  <c r="BK49" i="99"/>
  <c r="AE49" i="99"/>
  <c r="AF49" i="99" s="1"/>
  <c r="AK49" i="99"/>
  <c r="AL49" i="99" s="1"/>
  <c r="P49" i="99"/>
  <c r="Y49" i="99"/>
  <c r="Z49" i="99" s="1"/>
  <c r="AT49" i="99"/>
  <c r="BD49" i="99"/>
  <c r="BE49" i="99" s="1"/>
  <c r="AV49" i="99"/>
  <c r="AW49" i="99" s="1"/>
  <c r="O49" i="99"/>
  <c r="BN49" i="99"/>
  <c r="BO49" i="99" s="1"/>
  <c r="AH49" i="99"/>
  <c r="AI49" i="99" s="1"/>
  <c r="M49" i="99"/>
  <c r="AY49" i="99"/>
  <c r="BQ49" i="99"/>
  <c r="BR49" i="99" s="1"/>
  <c r="AB49" i="99"/>
  <c r="AC49" i="99" s="1"/>
  <c r="BA49" i="99"/>
  <c r="BB49" i="99" s="1"/>
  <c r="K50" i="99"/>
  <c r="AN49" i="99"/>
  <c r="AO49" i="99" s="1"/>
  <c r="V49" i="99"/>
  <c r="W49" i="99" s="1"/>
  <c r="AQ49" i="99"/>
  <c r="AR49" i="99" s="1"/>
  <c r="BG49" i="99"/>
  <c r="BH49" i="99" s="1"/>
  <c r="AO47" i="114"/>
  <c r="AL47" i="110"/>
  <c r="AT40" i="15"/>
  <c r="Y49" i="132"/>
  <c r="Z49" i="132" s="1"/>
  <c r="AQ49" i="132"/>
  <c r="AR49" i="132" s="1"/>
  <c r="BN49" i="132"/>
  <c r="BO49" i="132" s="1"/>
  <c r="K50" i="132"/>
  <c r="BA49" i="132"/>
  <c r="BB49" i="132" s="1"/>
  <c r="AK49" i="132"/>
  <c r="AL49" i="132" s="1"/>
  <c r="AN49" i="132"/>
  <c r="AO49" i="132" s="1"/>
  <c r="AB49" i="132"/>
  <c r="AC49" i="132" s="1"/>
  <c r="V49" i="132"/>
  <c r="W49" i="132" s="1"/>
  <c r="BD49" i="132"/>
  <c r="BE49" i="132" s="1"/>
  <c r="M49" i="132"/>
  <c r="BL49" i="132"/>
  <c r="AH49" i="132"/>
  <c r="AI49" i="132" s="1"/>
  <c r="BG49" i="132"/>
  <c r="BH49" i="132" s="1"/>
  <c r="O49" i="132"/>
  <c r="AV49" i="132"/>
  <c r="AW49" i="132" s="1"/>
  <c r="BQ49" i="132"/>
  <c r="BR49" i="132" s="1"/>
  <c r="AE49" i="132"/>
  <c r="AF49" i="132" s="1"/>
  <c r="P49" i="132"/>
  <c r="R49" i="132"/>
  <c r="T49" i="132" s="1"/>
  <c r="AY49" i="132"/>
  <c r="AT49" i="132"/>
  <c r="AL46" i="112"/>
  <c r="Z46" i="112"/>
  <c r="BR45" i="95"/>
  <c r="AC45" i="95"/>
  <c r="AC46" i="112"/>
  <c r="AL45" i="95"/>
  <c r="BR46" i="112"/>
  <c r="AL51" i="156"/>
  <c r="V24" i="156"/>
  <c r="W52" i="152"/>
  <c r="AI45" i="95"/>
  <c r="W46" i="112"/>
  <c r="AO51" i="156"/>
  <c r="T43" i="156"/>
  <c r="Y43" i="156" s="1"/>
  <c r="Z43" i="156" s="1"/>
  <c r="R44" i="156"/>
  <c r="BH45" i="13"/>
  <c r="Z52" i="153"/>
  <c r="W52" i="153"/>
  <c r="BA44" i="152"/>
  <c r="BB44" i="152" s="1"/>
  <c r="BH45" i="95"/>
  <c r="K83" i="161"/>
  <c r="BQ83" i="161" s="1"/>
  <c r="I84" i="161"/>
  <c r="BD82" i="161"/>
  <c r="BE82" i="161" s="1"/>
  <c r="AQ82" i="161"/>
  <c r="AR82" i="161" s="1"/>
  <c r="AK82" i="161"/>
  <c r="AL82" i="161" s="1"/>
  <c r="AE82" i="161"/>
  <c r="AF82" i="161" s="1"/>
  <c r="Y82" i="161"/>
  <c r="Z82" i="161" s="1"/>
  <c r="R82" i="161"/>
  <c r="T82" i="161" s="1"/>
  <c r="AV82" i="161"/>
  <c r="AW82" i="161" s="1"/>
  <c r="P82" i="161"/>
  <c r="BG82" i="161"/>
  <c r="BH82" i="161" s="1"/>
  <c r="BA82" i="161"/>
  <c r="BB82" i="161" s="1"/>
  <c r="AT82" i="161"/>
  <c r="AN82" i="161"/>
  <c r="AO82" i="161" s="1"/>
  <c r="AH82" i="161"/>
  <c r="AI82" i="161" s="1"/>
  <c r="AB82" i="161"/>
  <c r="AC82" i="161" s="1"/>
  <c r="V82" i="161"/>
  <c r="W82" i="161" s="1"/>
  <c r="O82" i="161"/>
  <c r="BR82" i="161"/>
  <c r="AY82" i="161"/>
  <c r="BJ82" i="161"/>
  <c r="BL82" i="161" s="1"/>
  <c r="BN82" i="161"/>
  <c r="BO82" i="161" s="1"/>
  <c r="BK82" i="161"/>
  <c r="M82" i="161"/>
  <c r="P52" i="124"/>
  <c r="P53" i="124" s="1"/>
  <c r="Z45" i="13"/>
  <c r="Z45" i="66"/>
  <c r="W48" i="64"/>
  <c r="BR47" i="96"/>
  <c r="BB46" i="118"/>
  <c r="BD45" i="95"/>
  <c r="BE45" i="95" s="1"/>
  <c r="AB46" i="95"/>
  <c r="AN46" i="95"/>
  <c r="AK46" i="95"/>
  <c r="BA46" i="95"/>
  <c r="M46" i="95"/>
  <c r="BG46" i="95"/>
  <c r="BQ46" i="95"/>
  <c r="BN46" i="95"/>
  <c r="BO46" i="95" s="1"/>
  <c r="V46" i="95"/>
  <c r="K47" i="95"/>
  <c r="BL46" i="95"/>
  <c r="AT46" i="95"/>
  <c r="BD46" i="95" s="1"/>
  <c r="AH46" i="95"/>
  <c r="AE46" i="95"/>
  <c r="R46" i="95"/>
  <c r="T46" i="95" s="1"/>
  <c r="Y46" i="95" s="1"/>
  <c r="BB45" i="95"/>
  <c r="BN47" i="112"/>
  <c r="BO47" i="112" s="1"/>
  <c r="AT47" i="112"/>
  <c r="BQ47" i="112"/>
  <c r="BJ47" i="112"/>
  <c r="BL47" i="112" s="1"/>
  <c r="AB47" i="112"/>
  <c r="R47" i="112"/>
  <c r="T47" i="112" s="1"/>
  <c r="Y47" i="112" s="1"/>
  <c r="V47" i="112"/>
  <c r="K48" i="112"/>
  <c r="AE47" i="112"/>
  <c r="BK47" i="112"/>
  <c r="AN47" i="112"/>
  <c r="AY47" i="112"/>
  <c r="AK47" i="112"/>
  <c r="AH47" i="112"/>
  <c r="M47" i="112"/>
  <c r="AC51" i="156"/>
  <c r="BH45" i="120"/>
  <c r="AC47" i="63"/>
  <c r="AI45" i="13"/>
  <c r="AO45" i="13"/>
  <c r="W47" i="115"/>
  <c r="AF45" i="17"/>
  <c r="K53" i="156"/>
  <c r="I54" i="156"/>
  <c r="AV46" i="112"/>
  <c r="AW46" i="112" s="1"/>
  <c r="BD46" i="112"/>
  <c r="BE46" i="112" s="1"/>
  <c r="AN52" i="156"/>
  <c r="BL52" i="156"/>
  <c r="AK52" i="156"/>
  <c r="BQ52" i="156"/>
  <c r="V52" i="156"/>
  <c r="M52" i="156"/>
  <c r="AB52" i="156"/>
  <c r="AE52" i="156"/>
  <c r="AH52" i="156"/>
  <c r="BN52" i="156"/>
  <c r="BO52" i="156" s="1"/>
  <c r="BA46" i="112"/>
  <c r="BB46" i="112" s="1"/>
  <c r="BG46" i="112"/>
  <c r="BH46" i="112" s="1"/>
  <c r="W51" i="156"/>
  <c r="W46" i="15"/>
  <c r="AL47" i="63"/>
  <c r="W45" i="13"/>
  <c r="AI47" i="115"/>
  <c r="BR45" i="17"/>
  <c r="BL50" i="133"/>
  <c r="BQ50" i="133"/>
  <c r="BR50" i="133" s="1"/>
  <c r="AT50" i="133"/>
  <c r="BD50" i="133"/>
  <c r="BE50" i="133" s="1"/>
  <c r="BN50" i="133"/>
  <c r="BO50" i="133" s="1"/>
  <c r="BG50" i="133"/>
  <c r="BH50" i="133" s="1"/>
  <c r="P50" i="133"/>
  <c r="AE50" i="133"/>
  <c r="AF50" i="133" s="1"/>
  <c r="M50" i="133"/>
  <c r="BA50" i="133"/>
  <c r="BB50" i="133" s="1"/>
  <c r="Y50" i="133"/>
  <c r="Z50" i="133" s="1"/>
  <c r="AV50" i="133"/>
  <c r="AW50" i="133" s="1"/>
  <c r="O50" i="133"/>
  <c r="AB50" i="133"/>
  <c r="AC50" i="133" s="1"/>
  <c r="R50" i="133"/>
  <c r="T50" i="133" s="1"/>
  <c r="K51" i="133"/>
  <c r="AY50" i="133"/>
  <c r="AK50" i="133"/>
  <c r="AL50" i="133" s="1"/>
  <c r="AQ50" i="133"/>
  <c r="AR50" i="133" s="1"/>
  <c r="V50" i="133"/>
  <c r="W50" i="133" s="1"/>
  <c r="AN50" i="133"/>
  <c r="AO50" i="133" s="1"/>
  <c r="AH50" i="133"/>
  <c r="AI50" i="133" s="1"/>
  <c r="AQ46" i="112"/>
  <c r="AR46" i="112" s="1"/>
  <c r="AI46" i="112"/>
  <c r="BR51" i="156"/>
  <c r="AF51" i="156"/>
  <c r="BE47" i="96"/>
  <c r="W46" i="118"/>
  <c r="AY45" i="153"/>
  <c r="BA45" i="153" s="1"/>
  <c r="BB45" i="153" s="1"/>
  <c r="BK47" i="106"/>
  <c r="AB47" i="106"/>
  <c r="AC47" i="106" s="1"/>
  <c r="AK47" i="106"/>
  <c r="AL47" i="106" s="1"/>
  <c r="AN47" i="106"/>
  <c r="AO47" i="106" s="1"/>
  <c r="BJ47" i="106"/>
  <c r="BL47" i="106" s="1"/>
  <c r="Y47" i="106"/>
  <c r="Z47" i="106" s="1"/>
  <c r="P47" i="106"/>
  <c r="BG47" i="106"/>
  <c r="BH47" i="106" s="1"/>
  <c r="AY47" i="106"/>
  <c r="BQ47" i="106"/>
  <c r="BR47" i="106" s="1"/>
  <c r="AT47" i="106"/>
  <c r="M47" i="106"/>
  <c r="AQ47" i="106"/>
  <c r="AR47" i="106" s="1"/>
  <c r="AH47" i="106"/>
  <c r="AI47" i="106" s="1"/>
  <c r="BD47" i="106"/>
  <c r="BE47" i="106" s="1"/>
  <c r="BA47" i="106"/>
  <c r="BB47" i="106" s="1"/>
  <c r="V47" i="106"/>
  <c r="W47" i="106" s="1"/>
  <c r="AV47" i="106"/>
  <c r="AW47" i="106" s="1"/>
  <c r="BN47" i="106"/>
  <c r="BO47" i="106" s="1"/>
  <c r="R47" i="106"/>
  <c r="T47" i="106" s="1"/>
  <c r="O47" i="106"/>
  <c r="AE47" i="106"/>
  <c r="AF47" i="106" s="1"/>
  <c r="K48" i="106"/>
  <c r="I54" i="106"/>
  <c r="AQ51" i="156"/>
  <c r="AR51" i="156" s="1"/>
  <c r="AI51" i="156"/>
  <c r="BN48" i="129"/>
  <c r="BO48" i="129" s="1"/>
  <c r="P48" i="129"/>
  <c r="V48" i="129"/>
  <c r="W48" i="129" s="1"/>
  <c r="AT48" i="129"/>
  <c r="M48" i="129"/>
  <c r="BG48" i="129"/>
  <c r="BH48" i="129" s="1"/>
  <c r="O48" i="129"/>
  <c r="Y48" i="129"/>
  <c r="Z48" i="129" s="1"/>
  <c r="AK48" i="129"/>
  <c r="AL48" i="129" s="1"/>
  <c r="AB48" i="129"/>
  <c r="AC48" i="129" s="1"/>
  <c r="AN48" i="129"/>
  <c r="AO48" i="129" s="1"/>
  <c r="BL48" i="129"/>
  <c r="BQ48" i="129"/>
  <c r="BR48" i="129" s="1"/>
  <c r="AE48" i="129"/>
  <c r="AF48" i="129" s="1"/>
  <c r="AY48" i="129"/>
  <c r="BA48" i="129"/>
  <c r="BB48" i="129" s="1"/>
  <c r="AQ48" i="129"/>
  <c r="AR48" i="129" s="1"/>
  <c r="R48" i="129"/>
  <c r="T48" i="129" s="1"/>
  <c r="K49" i="129"/>
  <c r="AV48" i="129"/>
  <c r="AW48" i="129" s="1"/>
  <c r="AH48" i="129"/>
  <c r="AI48" i="129" s="1"/>
  <c r="BD48" i="129"/>
  <c r="BE48" i="129" s="1"/>
  <c r="AQ45" i="95"/>
  <c r="AR45" i="95" s="1"/>
  <c r="BK47" i="104"/>
  <c r="AQ47" i="104"/>
  <c r="AR47" i="104" s="1"/>
  <c r="BA47" i="104"/>
  <c r="BB47" i="104" s="1"/>
  <c r="BQ47" i="104"/>
  <c r="BR47" i="104" s="1"/>
  <c r="BJ47" i="104"/>
  <c r="BL47" i="104" s="1"/>
  <c r="AB47" i="104"/>
  <c r="AC47" i="104" s="1"/>
  <c r="AE47" i="104"/>
  <c r="AF47" i="104" s="1"/>
  <c r="AV47" i="104"/>
  <c r="AW47" i="104" s="1"/>
  <c r="K48" i="104"/>
  <c r="BD47" i="104"/>
  <c r="BE47" i="104" s="1"/>
  <c r="AY47" i="104"/>
  <c r="AN47" i="104"/>
  <c r="AO47" i="104" s="1"/>
  <c r="AK47" i="104"/>
  <c r="AL47" i="104" s="1"/>
  <c r="O47" i="104"/>
  <c r="R47" i="104"/>
  <c r="T47" i="104" s="1"/>
  <c r="BN47" i="104"/>
  <c r="BO47" i="104" s="1"/>
  <c r="Y47" i="104"/>
  <c r="Z47" i="104" s="1"/>
  <c r="V47" i="104"/>
  <c r="W47" i="104" s="1"/>
  <c r="AT47" i="104"/>
  <c r="M47" i="104"/>
  <c r="BG47" i="104"/>
  <c r="BH47" i="104" s="1"/>
  <c r="AH47" i="104"/>
  <c r="AI47" i="104" s="1"/>
  <c r="P47" i="104"/>
  <c r="R48" i="63"/>
  <c r="T48" i="63" s="1"/>
  <c r="Y48" i="63" s="1"/>
  <c r="AT40" i="150"/>
  <c r="AT40" i="156"/>
  <c r="K49" i="130"/>
  <c r="M48" i="130"/>
  <c r="BN48" i="130"/>
  <c r="BO48" i="130" s="1"/>
  <c r="BL48" i="130"/>
  <c r="O48" i="130"/>
  <c r="Y48" i="130"/>
  <c r="Z48" i="130" s="1"/>
  <c r="AV48" i="130"/>
  <c r="AW48" i="130" s="1"/>
  <c r="BG48" i="130"/>
  <c r="BH48" i="130" s="1"/>
  <c r="R48" i="130"/>
  <c r="T48" i="130" s="1"/>
  <c r="AB48" i="130"/>
  <c r="AC48" i="130" s="1"/>
  <c r="AY48" i="130"/>
  <c r="AH48" i="130"/>
  <c r="AI48" i="130" s="1"/>
  <c r="BA48" i="130"/>
  <c r="BB48" i="130" s="1"/>
  <c r="AE48" i="130"/>
  <c r="AF48" i="130" s="1"/>
  <c r="AN48" i="130"/>
  <c r="AO48" i="130" s="1"/>
  <c r="P48" i="130"/>
  <c r="AQ48" i="130"/>
  <c r="AR48" i="130" s="1"/>
  <c r="BQ48" i="130"/>
  <c r="BR48" i="130" s="1"/>
  <c r="V48" i="130"/>
  <c r="W48" i="130" s="1"/>
  <c r="AT48" i="130"/>
  <c r="AK48" i="130"/>
  <c r="AL48" i="130" s="1"/>
  <c r="BD48" i="130"/>
  <c r="BE48" i="130" s="1"/>
  <c r="BA44" i="15"/>
  <c r="BB44" i="15" s="1"/>
  <c r="BG44" i="15"/>
  <c r="BH44" i="15" s="1"/>
  <c r="BA44" i="130"/>
  <c r="BB44" i="130" s="1"/>
  <c r="BG44" i="130"/>
  <c r="BH44" i="130" s="1"/>
  <c r="BA45" i="150"/>
  <c r="BB45" i="150" s="1"/>
  <c r="BG45" i="150"/>
  <c r="BH45" i="150" s="1"/>
  <c r="BA45" i="151"/>
  <c r="BB45" i="151" s="1"/>
  <c r="BG45" i="151"/>
  <c r="BH45" i="151" s="1"/>
  <c r="BA45" i="155"/>
  <c r="BB45" i="155" s="1"/>
  <c r="BG45" i="155"/>
  <c r="BH45" i="155" s="1"/>
  <c r="BA45" i="152"/>
  <c r="BB45" i="152" s="1"/>
  <c r="BG45" i="152"/>
  <c r="BH45" i="152" s="1"/>
  <c r="BG44" i="149"/>
  <c r="BH44" i="149" s="1"/>
  <c r="BA44" i="149"/>
  <c r="BB44" i="149" s="1"/>
  <c r="BA44" i="156"/>
  <c r="BB44" i="156" s="1"/>
  <c r="BG44" i="156"/>
  <c r="BH44" i="156" s="1"/>
  <c r="A50" i="7"/>
  <c r="AY46" i="155" s="1"/>
  <c r="AY45" i="156"/>
  <c r="AY46" i="152"/>
  <c r="AY46" i="153"/>
  <c r="AY45" i="15"/>
  <c r="BD39" i="156"/>
  <c r="BE39" i="156" s="1"/>
  <c r="AV39" i="156"/>
  <c r="AW39" i="156" s="1"/>
  <c r="AV39" i="150"/>
  <c r="AW39" i="150" s="1"/>
  <c r="BD39" i="150"/>
  <c r="BE39" i="150" s="1"/>
  <c r="BE51" i="124"/>
  <c r="Z50" i="151"/>
  <c r="BR47" i="126"/>
  <c r="BH47" i="126"/>
  <c r="T42" i="155"/>
  <c r="Y42" i="155" s="1"/>
  <c r="Z42" i="155" s="1"/>
  <c r="R43" i="155"/>
  <c r="Z49" i="150"/>
  <c r="W50" i="151"/>
  <c r="Z48" i="64"/>
  <c r="P24" i="155"/>
  <c r="AF52" i="152"/>
  <c r="AL52" i="153"/>
  <c r="AO52" i="155"/>
  <c r="BD39" i="120"/>
  <c r="BE39" i="120" s="1"/>
  <c r="AT40" i="17"/>
  <c r="BD40" i="17" s="1"/>
  <c r="BE40" i="17" s="1"/>
  <c r="AC52" i="153"/>
  <c r="AI52" i="155"/>
  <c r="AF52" i="153"/>
  <c r="BR52" i="155"/>
  <c r="W52" i="155"/>
  <c r="AC52" i="155"/>
  <c r="AQ52" i="155"/>
  <c r="AR52" i="155" s="1"/>
  <c r="AL52" i="155"/>
  <c r="AF52" i="155"/>
  <c r="I55" i="155"/>
  <c r="K54" i="155"/>
  <c r="BQ53" i="155"/>
  <c r="M53" i="155"/>
  <c r="V53" i="155"/>
  <c r="AB53" i="155"/>
  <c r="AH53" i="155"/>
  <c r="AN53" i="155"/>
  <c r="BN53" i="155"/>
  <c r="BO53" i="155" s="1"/>
  <c r="AE53" i="155"/>
  <c r="AK53" i="155"/>
  <c r="BL53" i="155"/>
  <c r="BD39" i="17"/>
  <c r="BE39" i="17" s="1"/>
  <c r="AV39" i="17"/>
  <c r="AW39" i="17" s="1"/>
  <c r="AV40" i="15"/>
  <c r="AW40" i="15" s="1"/>
  <c r="BD40" i="15"/>
  <c r="BE40" i="15" s="1"/>
  <c r="A42" i="58"/>
  <c r="AT40" i="13"/>
  <c r="AT40" i="136"/>
  <c r="AT40" i="130"/>
  <c r="AT40" i="120"/>
  <c r="BD39" i="136"/>
  <c r="BE39" i="136" s="1"/>
  <c r="AV39" i="136"/>
  <c r="AW39" i="136" s="1"/>
  <c r="BD39" i="13"/>
  <c r="BE39" i="13" s="1"/>
  <c r="AV39" i="13"/>
  <c r="AW39" i="13" s="1"/>
  <c r="BD39" i="130"/>
  <c r="BE39" i="130" s="1"/>
  <c r="AV39" i="130"/>
  <c r="AW39" i="130" s="1"/>
  <c r="AO52" i="153"/>
  <c r="AC52" i="152"/>
  <c r="AI52" i="153"/>
  <c r="BR52" i="153"/>
  <c r="Z52" i="152"/>
  <c r="AO52" i="152"/>
  <c r="I58" i="153"/>
  <c r="AQ52" i="153"/>
  <c r="AR52" i="153" s="1"/>
  <c r="M53" i="153"/>
  <c r="BQ53" i="153"/>
  <c r="O53" i="153"/>
  <c r="V53" i="153"/>
  <c r="AB53" i="153"/>
  <c r="AH53" i="153"/>
  <c r="AN53" i="153"/>
  <c r="P53" i="153"/>
  <c r="BN53" i="153"/>
  <c r="BO53" i="153" s="1"/>
  <c r="AK53" i="153"/>
  <c r="R53" i="153"/>
  <c r="T53" i="153" s="1"/>
  <c r="Y53" i="153" s="1"/>
  <c r="AE53" i="153"/>
  <c r="BL53" i="153"/>
  <c r="K54" i="153"/>
  <c r="AL52" i="152"/>
  <c r="AI52" i="152"/>
  <c r="BR52" i="152"/>
  <c r="AV51" i="124"/>
  <c r="AW51" i="124" s="1"/>
  <c r="AQ52" i="152"/>
  <c r="AR52" i="152" s="1"/>
  <c r="I62" i="152"/>
  <c r="M53" i="152"/>
  <c r="BQ53" i="152"/>
  <c r="O53" i="152"/>
  <c r="V53" i="152"/>
  <c r="AB53" i="152"/>
  <c r="AH53" i="152"/>
  <c r="AN53" i="152"/>
  <c r="P53" i="152"/>
  <c r="BN53" i="152"/>
  <c r="BO53" i="152" s="1"/>
  <c r="R53" i="152"/>
  <c r="T53" i="152" s="1"/>
  <c r="Y53" i="152" s="1"/>
  <c r="AE53" i="152"/>
  <c r="AK53" i="152"/>
  <c r="BL53" i="152"/>
  <c r="K54" i="152"/>
  <c r="BH50" i="147"/>
  <c r="W50" i="147"/>
  <c r="AO49" i="150"/>
  <c r="BA48" i="64"/>
  <c r="BB48" i="64" s="1"/>
  <c r="Z46" i="15"/>
  <c r="Z46" i="118"/>
  <c r="AF49" i="150"/>
  <c r="AQ50" i="151"/>
  <c r="AR50" i="151" s="1"/>
  <c r="O52" i="124"/>
  <c r="K52" i="151"/>
  <c r="I53" i="151"/>
  <c r="AC50" i="151"/>
  <c r="AF50" i="151"/>
  <c r="BR50" i="151"/>
  <c r="AK51" i="151"/>
  <c r="AE51" i="151"/>
  <c r="R51" i="151"/>
  <c r="T51" i="151" s="1"/>
  <c r="Y51" i="151" s="1"/>
  <c r="P51" i="151"/>
  <c r="AN51" i="151"/>
  <c r="AH51" i="151"/>
  <c r="AB51" i="151"/>
  <c r="V51" i="151"/>
  <c r="O51" i="151"/>
  <c r="BQ51" i="151"/>
  <c r="M51" i="151"/>
  <c r="BN51" i="151"/>
  <c r="BO51" i="151" s="1"/>
  <c r="BL51" i="151"/>
  <c r="AO50" i="151"/>
  <c r="AI50" i="151"/>
  <c r="AL50" i="151"/>
  <c r="AC49" i="150"/>
  <c r="BQ50" i="150"/>
  <c r="AK50" i="150"/>
  <c r="AE50" i="150"/>
  <c r="R50" i="150"/>
  <c r="T50" i="150" s="1"/>
  <c r="Y50" i="150" s="1"/>
  <c r="AN50" i="150"/>
  <c r="AB50" i="150"/>
  <c r="O50" i="150"/>
  <c r="AH50" i="150"/>
  <c r="V50" i="150"/>
  <c r="BN50" i="150"/>
  <c r="BO50" i="150" s="1"/>
  <c r="P50" i="150"/>
  <c r="M50" i="150"/>
  <c r="BL50" i="150"/>
  <c r="K51" i="150"/>
  <c r="W49" i="150"/>
  <c r="AL49" i="150"/>
  <c r="BR49" i="150"/>
  <c r="AI49" i="150"/>
  <c r="AQ49" i="150"/>
  <c r="AR49" i="150" s="1"/>
  <c r="I54" i="150"/>
  <c r="AO51" i="149"/>
  <c r="AQ51" i="149"/>
  <c r="AR51" i="149" s="1"/>
  <c r="AI51" i="149"/>
  <c r="BR51" i="149"/>
  <c r="P52" i="149"/>
  <c r="BQ52" i="149"/>
  <c r="AK52" i="149"/>
  <c r="AH52" i="149"/>
  <c r="V52" i="149"/>
  <c r="AE52" i="149"/>
  <c r="R52" i="149"/>
  <c r="T52" i="149" s="1"/>
  <c r="Y52" i="149" s="1"/>
  <c r="AN52" i="149"/>
  <c r="AB52" i="149"/>
  <c r="O52" i="149"/>
  <c r="M52" i="149"/>
  <c r="BN52" i="149"/>
  <c r="BO52" i="149" s="1"/>
  <c r="BL52" i="149"/>
  <c r="W51" i="149"/>
  <c r="I54" i="149"/>
  <c r="K53" i="149"/>
  <c r="AC51" i="149"/>
  <c r="AF51" i="149"/>
  <c r="Z51" i="149"/>
  <c r="AL51" i="149"/>
  <c r="BD47" i="114"/>
  <c r="BE47" i="114" s="1"/>
  <c r="O46" i="66"/>
  <c r="BE45" i="66"/>
  <c r="Z47" i="114"/>
  <c r="BH49" i="146"/>
  <c r="AI50" i="147"/>
  <c r="Z50" i="147"/>
  <c r="AF50" i="147"/>
  <c r="BG45" i="17"/>
  <c r="BH45" i="17" s="1"/>
  <c r="Z49" i="146"/>
  <c r="W49" i="146"/>
  <c r="AW49" i="146"/>
  <c r="BE50" i="147"/>
  <c r="AQ46" i="15"/>
  <c r="AR46" i="15" s="1"/>
  <c r="O49" i="64"/>
  <c r="K52" i="147"/>
  <c r="AH52" i="147" s="1"/>
  <c r="I53" i="147"/>
  <c r="BR50" i="147"/>
  <c r="P28" i="147"/>
  <c r="AT51" i="147"/>
  <c r="AV51" i="147" s="1"/>
  <c r="AB51" i="147"/>
  <c r="V51" i="147"/>
  <c r="AY51" i="147"/>
  <c r="BG51" i="147" s="1"/>
  <c r="R51" i="147"/>
  <c r="T51" i="147" s="1"/>
  <c r="Y51" i="147" s="1"/>
  <c r="BQ51" i="147"/>
  <c r="AE51" i="147"/>
  <c r="BN51" i="147"/>
  <c r="BO51" i="147" s="1"/>
  <c r="BK51" i="147"/>
  <c r="BJ51" i="147"/>
  <c r="BL51" i="147" s="1"/>
  <c r="M51" i="147"/>
  <c r="AI51" i="147" s="1"/>
  <c r="AV50" i="147"/>
  <c r="AW50" i="147" s="1"/>
  <c r="AC50" i="147"/>
  <c r="BA50" i="147"/>
  <c r="BB50" i="147" s="1"/>
  <c r="AF49" i="146"/>
  <c r="AC49" i="146"/>
  <c r="BA49" i="146"/>
  <c r="BB49" i="146" s="1"/>
  <c r="BD49" i="146"/>
  <c r="BE49" i="146" s="1"/>
  <c r="BR49" i="146"/>
  <c r="AI49" i="146"/>
  <c r="P27" i="146"/>
  <c r="AT50" i="146"/>
  <c r="AV50" i="146" s="1"/>
  <c r="AB50" i="146"/>
  <c r="V50" i="146"/>
  <c r="BQ50" i="146"/>
  <c r="AY50" i="146"/>
  <c r="BG50" i="146" s="1"/>
  <c r="R50" i="146"/>
  <c r="T50" i="146" s="1"/>
  <c r="Y50" i="146" s="1"/>
  <c r="AE50" i="146"/>
  <c r="BJ50" i="146"/>
  <c r="BL50" i="146" s="1"/>
  <c r="M50" i="146"/>
  <c r="BK50" i="146"/>
  <c r="BN50" i="146"/>
  <c r="BO50" i="146" s="1"/>
  <c r="I52" i="146"/>
  <c r="K51" i="146"/>
  <c r="AH51" i="146" s="1"/>
  <c r="BR51" i="124"/>
  <c r="AC51" i="124"/>
  <c r="AF51" i="124"/>
  <c r="AO45" i="120"/>
  <c r="BE47" i="63"/>
  <c r="BR45" i="13"/>
  <c r="BE48" i="64"/>
  <c r="BA47" i="110"/>
  <c r="BB47" i="110" s="1"/>
  <c r="AI51" i="124"/>
  <c r="W51" i="124"/>
  <c r="AV47" i="96"/>
  <c r="AW47" i="96" s="1"/>
  <c r="AC47" i="96"/>
  <c r="AO47" i="96"/>
  <c r="AL47" i="96"/>
  <c r="Z47" i="96"/>
  <c r="BB47" i="96"/>
  <c r="BH47" i="96"/>
  <c r="AF47" i="96"/>
  <c r="BE47" i="126"/>
  <c r="BA45" i="13"/>
  <c r="BB45" i="13" s="1"/>
  <c r="BE46" i="118"/>
  <c r="AL46" i="118"/>
  <c r="AQ45" i="66"/>
  <c r="AR45" i="66" s="1"/>
  <c r="AQ47" i="110"/>
  <c r="AR47" i="110" s="1"/>
  <c r="BB51" i="124"/>
  <c r="AI47" i="96"/>
  <c r="W47" i="96"/>
  <c r="BR46" i="118"/>
  <c r="AQ45" i="120"/>
  <c r="AR45" i="120" s="1"/>
  <c r="BA45" i="120"/>
  <c r="BB45" i="120" s="1"/>
  <c r="AI45" i="120"/>
  <c r="AF45" i="66"/>
  <c r="Z47" i="63"/>
  <c r="AV47" i="63"/>
  <c r="AW47" i="63" s="1"/>
  <c r="BB47" i="63"/>
  <c r="BD47" i="110"/>
  <c r="BE47" i="110" s="1"/>
  <c r="AF47" i="126"/>
  <c r="AI47" i="126"/>
  <c r="BG45" i="66"/>
  <c r="BH45" i="66" s="1"/>
  <c r="Z47" i="115"/>
  <c r="AQ47" i="63"/>
  <c r="AR47" i="63" s="1"/>
  <c r="AO47" i="63"/>
  <c r="W47" i="63"/>
  <c r="AQ47" i="114"/>
  <c r="AR47" i="114" s="1"/>
  <c r="Z47" i="110"/>
  <c r="AI47" i="63"/>
  <c r="AV47" i="126"/>
  <c r="AW47" i="126" s="1"/>
  <c r="BB45" i="66"/>
  <c r="BB47" i="114"/>
  <c r="AW47" i="114"/>
  <c r="AF47" i="115"/>
  <c r="AO47" i="115"/>
  <c r="Z45" i="17"/>
  <c r="W45" i="17"/>
  <c r="BG51" i="124"/>
  <c r="BH51" i="124" s="1"/>
  <c r="BG47" i="63"/>
  <c r="BH47" i="63" s="1"/>
  <c r="BA47" i="115"/>
  <c r="BB47" i="115" s="1"/>
  <c r="AL47" i="115"/>
  <c r="AW47" i="115"/>
  <c r="AC45" i="17"/>
  <c r="AO45" i="17"/>
  <c r="O48" i="96"/>
  <c r="O48" i="115"/>
  <c r="BR47" i="63"/>
  <c r="AF47" i="63"/>
  <c r="AL47" i="126"/>
  <c r="AC47" i="126"/>
  <c r="AV45" i="66"/>
  <c r="AW45" i="66" s="1"/>
  <c r="AI47" i="114"/>
  <c r="AQ47" i="115"/>
  <c r="AR47" i="115" s="1"/>
  <c r="AC47" i="115"/>
  <c r="BR47" i="115"/>
  <c r="BB45" i="17"/>
  <c r="BG46" i="118"/>
  <c r="BH46" i="118" s="1"/>
  <c r="M48" i="98"/>
  <c r="BJ48" i="98"/>
  <c r="BL48" i="98" s="1"/>
  <c r="K49" i="98"/>
  <c r="BK48" i="98"/>
  <c r="BN48" i="98"/>
  <c r="BO48" i="98" s="1"/>
  <c r="V48" i="98"/>
  <c r="W48" i="98" s="1"/>
  <c r="Y48" i="98"/>
  <c r="Z48" i="98" s="1"/>
  <c r="AQ48" i="98"/>
  <c r="AR48" i="98" s="1"/>
  <c r="AH48" i="98"/>
  <c r="AI48" i="98" s="1"/>
  <c r="AY48" i="98"/>
  <c r="AK48" i="98"/>
  <c r="AL48" i="98" s="1"/>
  <c r="BA48" i="98"/>
  <c r="BB48" i="98" s="1"/>
  <c r="AT48" i="98"/>
  <c r="AV48" i="98"/>
  <c r="AW48" i="98" s="1"/>
  <c r="O48" i="98"/>
  <c r="AN48" i="98"/>
  <c r="AO48" i="98" s="1"/>
  <c r="BQ48" i="98"/>
  <c r="BR48" i="98" s="1"/>
  <c r="P48" i="98"/>
  <c r="R48" i="98"/>
  <c r="T48" i="98" s="1"/>
  <c r="AB48" i="98"/>
  <c r="AC48" i="98" s="1"/>
  <c r="AE48" i="98"/>
  <c r="AF48" i="98" s="1"/>
  <c r="BG48" i="98"/>
  <c r="BH48" i="98" s="1"/>
  <c r="BD48" i="98"/>
  <c r="BE48" i="98" s="1"/>
  <c r="M50" i="136"/>
  <c r="BN50" i="136"/>
  <c r="BO50" i="136" s="1"/>
  <c r="BL50" i="136"/>
  <c r="R50" i="136"/>
  <c r="T50" i="136" s="1"/>
  <c r="AK50" i="136"/>
  <c r="AL50" i="136" s="1"/>
  <c r="Y50" i="136"/>
  <c r="Z50" i="136" s="1"/>
  <c r="BA50" i="136"/>
  <c r="BB50" i="136" s="1"/>
  <c r="AY50" i="136"/>
  <c r="BD50" i="136"/>
  <c r="BE50" i="136" s="1"/>
  <c r="AB50" i="136"/>
  <c r="AC50" i="136" s="1"/>
  <c r="V50" i="136"/>
  <c r="W50" i="136" s="1"/>
  <c r="AT50" i="136"/>
  <c r="AE50" i="136"/>
  <c r="AF50" i="136" s="1"/>
  <c r="BG50" i="136"/>
  <c r="BH50" i="136" s="1"/>
  <c r="AV50" i="136"/>
  <c r="AW50" i="136" s="1"/>
  <c r="O50" i="136"/>
  <c r="AH50" i="136"/>
  <c r="AI50" i="136" s="1"/>
  <c r="AQ50" i="136"/>
  <c r="AR50" i="136" s="1"/>
  <c r="P50" i="136"/>
  <c r="BQ50" i="136"/>
  <c r="BR50" i="136" s="1"/>
  <c r="AN50" i="136"/>
  <c r="AO50" i="136" s="1"/>
  <c r="K51" i="136"/>
  <c r="I49" i="101"/>
  <c r="K48" i="101"/>
  <c r="Z45" i="120"/>
  <c r="BR45" i="120"/>
  <c r="AF45" i="120"/>
  <c r="AC45" i="120"/>
  <c r="I50" i="115"/>
  <c r="K49" i="115"/>
  <c r="K50" i="135"/>
  <c r="I51" i="135"/>
  <c r="AC46" i="15"/>
  <c r="AO46" i="15"/>
  <c r="I54" i="64"/>
  <c r="Z47" i="126"/>
  <c r="BA47" i="126"/>
  <c r="BB47" i="126" s="1"/>
  <c r="AO47" i="126"/>
  <c r="I63" i="133"/>
  <c r="AC45" i="13"/>
  <c r="AL45" i="13"/>
  <c r="W45" i="66"/>
  <c r="BG47" i="114"/>
  <c r="BH47" i="114" s="1"/>
  <c r="W47" i="114"/>
  <c r="AC47" i="114"/>
  <c r="BL46" i="17"/>
  <c r="BN46" i="17"/>
  <c r="BO46" i="17" s="1"/>
  <c r="AY46" i="17"/>
  <c r="BG46" i="17" s="1"/>
  <c r="M46" i="17"/>
  <c r="AB46" i="17"/>
  <c r="V46" i="17"/>
  <c r="AH46" i="17"/>
  <c r="AN46" i="17"/>
  <c r="AK46" i="17"/>
  <c r="AE46" i="17"/>
  <c r="BQ46" i="17"/>
  <c r="R46" i="17"/>
  <c r="T46" i="17" s="1"/>
  <c r="Y46" i="17" s="1"/>
  <c r="AV48" i="64"/>
  <c r="AW48" i="64" s="1"/>
  <c r="AF48" i="64"/>
  <c r="I50" i="110"/>
  <c r="K49" i="110"/>
  <c r="V46" i="66"/>
  <c r="AN46" i="66"/>
  <c r="AB46" i="66"/>
  <c r="AH46" i="66"/>
  <c r="AK46" i="66"/>
  <c r="AE46" i="66"/>
  <c r="BN46" i="66"/>
  <c r="BO46" i="66" s="1"/>
  <c r="M46" i="66"/>
  <c r="AY46" i="66"/>
  <c r="BG46" i="66" s="1"/>
  <c r="BL46" i="66"/>
  <c r="BQ46" i="66"/>
  <c r="AT46" i="66"/>
  <c r="BD46" i="66" s="1"/>
  <c r="R46" i="66"/>
  <c r="T46" i="66" s="1"/>
  <c r="Y46" i="66" s="1"/>
  <c r="I57" i="95"/>
  <c r="P46" i="66"/>
  <c r="AW47" i="110"/>
  <c r="AF47" i="110"/>
  <c r="W47" i="110"/>
  <c r="BK52" i="124"/>
  <c r="M52" i="124"/>
  <c r="AI52" i="124" s="1"/>
  <c r="K53" i="124"/>
  <c r="AH53" i="124" s="1"/>
  <c r="BJ52" i="124"/>
  <c r="BL52" i="124" s="1"/>
  <c r="BN52" i="124"/>
  <c r="BO52" i="124" s="1"/>
  <c r="V52" i="124"/>
  <c r="AE52" i="124"/>
  <c r="AB52" i="124"/>
  <c r="AT52" i="124"/>
  <c r="AV52" i="124" s="1"/>
  <c r="BQ52" i="124"/>
  <c r="AY52" i="124"/>
  <c r="BA52" i="124" s="1"/>
  <c r="AQ47" i="96"/>
  <c r="AR47" i="96" s="1"/>
  <c r="AV46" i="118"/>
  <c r="AW46" i="118" s="1"/>
  <c r="AI46" i="118"/>
  <c r="AH46" i="120"/>
  <c r="AE46" i="120"/>
  <c r="V46" i="120"/>
  <c r="AB46" i="120"/>
  <c r="K47" i="120"/>
  <c r="M46" i="120"/>
  <c r="BN46" i="120"/>
  <c r="BO46" i="120" s="1"/>
  <c r="AY46" i="120"/>
  <c r="BG46" i="120" s="1"/>
  <c r="BQ46" i="120"/>
  <c r="AK46" i="120"/>
  <c r="AN46" i="120"/>
  <c r="R46" i="120"/>
  <c r="T46" i="120" s="1"/>
  <c r="Y46" i="120" s="1"/>
  <c r="M49" i="135"/>
  <c r="AN49" i="135"/>
  <c r="AO49" i="135" s="1"/>
  <c r="V49" i="135"/>
  <c r="W49" i="135" s="1"/>
  <c r="Y49" i="135"/>
  <c r="Z49" i="135" s="1"/>
  <c r="AK49" i="135"/>
  <c r="AL49" i="135" s="1"/>
  <c r="AB49" i="135"/>
  <c r="AC49" i="135" s="1"/>
  <c r="AT49" i="135"/>
  <c r="AH49" i="135"/>
  <c r="AI49" i="135" s="1"/>
  <c r="AV49" i="135"/>
  <c r="AW49" i="135" s="1"/>
  <c r="AQ49" i="135"/>
  <c r="AR49" i="135" s="1"/>
  <c r="AE49" i="135"/>
  <c r="AF49" i="135" s="1"/>
  <c r="BQ49" i="135"/>
  <c r="BR49" i="135" s="1"/>
  <c r="P49" i="135"/>
  <c r="R49" i="135"/>
  <c r="T49" i="135" s="1"/>
  <c r="BD49" i="135"/>
  <c r="BE49" i="135" s="1"/>
  <c r="BA49" i="135"/>
  <c r="BB49" i="135" s="1"/>
  <c r="BG49" i="135"/>
  <c r="BH49" i="135" s="1"/>
  <c r="O49" i="135"/>
  <c r="AY49" i="135"/>
  <c r="BN49" i="135"/>
  <c r="BO49" i="135" s="1"/>
  <c r="BL49" i="135"/>
  <c r="I55" i="105"/>
  <c r="K47" i="17"/>
  <c r="I48" i="17"/>
  <c r="BL46" i="13"/>
  <c r="M46" i="13"/>
  <c r="BN46" i="13"/>
  <c r="BO46" i="13" s="1"/>
  <c r="BQ46" i="13"/>
  <c r="AY46" i="13"/>
  <c r="BG46" i="13" s="1"/>
  <c r="AE46" i="13"/>
  <c r="AK46" i="13"/>
  <c r="V46" i="13"/>
  <c r="AH46" i="13"/>
  <c r="AN46" i="13"/>
  <c r="AB46" i="13"/>
  <c r="R46" i="13"/>
  <c r="T46" i="13" s="1"/>
  <c r="Y46" i="13" s="1"/>
  <c r="AL45" i="17"/>
  <c r="BH47" i="110"/>
  <c r="AI47" i="110"/>
  <c r="AF46" i="118"/>
  <c r="I54" i="114"/>
  <c r="P47" i="17"/>
  <c r="AK48" i="96"/>
  <c r="AN48" i="96"/>
  <c r="AT48" i="96"/>
  <c r="AV48" i="96" s="1"/>
  <c r="BN48" i="96"/>
  <c r="BO48" i="96" s="1"/>
  <c r="AB48" i="96"/>
  <c r="BG48" i="96"/>
  <c r="V48" i="96"/>
  <c r="M48" i="96"/>
  <c r="AE48" i="96"/>
  <c r="AH48" i="96"/>
  <c r="BL48" i="96"/>
  <c r="BQ48" i="96"/>
  <c r="BA48" i="96"/>
  <c r="R48" i="96"/>
  <c r="T48" i="96" s="1"/>
  <c r="Y48" i="96" s="1"/>
  <c r="I52" i="104"/>
  <c r="AI46" i="15"/>
  <c r="AL46" i="15"/>
  <c r="I54" i="136"/>
  <c r="I53" i="63"/>
  <c r="AQ47" i="126"/>
  <c r="AR47" i="126" s="1"/>
  <c r="AQ45" i="13"/>
  <c r="AR45" i="13" s="1"/>
  <c r="AI45" i="66"/>
  <c r="AC45" i="66"/>
  <c r="BK48" i="114"/>
  <c r="BJ48" i="114"/>
  <c r="BL48" i="114" s="1"/>
  <c r="BN48" i="114"/>
  <c r="BO48" i="114" s="1"/>
  <c r="M48" i="114"/>
  <c r="BQ48" i="114"/>
  <c r="AY48" i="114"/>
  <c r="BA48" i="114" s="1"/>
  <c r="AT48" i="114"/>
  <c r="AV48" i="114" s="1"/>
  <c r="AK48" i="114"/>
  <c r="AE48" i="114"/>
  <c r="AH48" i="114"/>
  <c r="AB48" i="114"/>
  <c r="V48" i="114"/>
  <c r="AN48" i="114"/>
  <c r="K49" i="114"/>
  <c r="P49" i="114" s="1"/>
  <c r="R48" i="114"/>
  <c r="T48" i="114" s="1"/>
  <c r="Y48" i="114" s="1"/>
  <c r="BD47" i="115"/>
  <c r="BE47" i="115" s="1"/>
  <c r="V49" i="64"/>
  <c r="AB49" i="64"/>
  <c r="AN49" i="64"/>
  <c r="M49" i="64"/>
  <c r="AH49" i="64"/>
  <c r="AE49" i="64"/>
  <c r="AK49" i="64"/>
  <c r="AY49" i="64"/>
  <c r="BA49" i="64" s="1"/>
  <c r="BL49" i="64"/>
  <c r="BN49" i="64"/>
  <c r="BO49" i="64" s="1"/>
  <c r="BQ49" i="64"/>
  <c r="AT49" i="64"/>
  <c r="AV49" i="64" s="1"/>
  <c r="R49" i="64"/>
  <c r="T49" i="64" s="1"/>
  <c r="Y49" i="64" s="1"/>
  <c r="K50" i="64"/>
  <c r="BH48" i="64"/>
  <c r="AO48" i="64"/>
  <c r="AI48" i="64"/>
  <c r="K47" i="13"/>
  <c r="I48" i="13"/>
  <c r="I104" i="99"/>
  <c r="I53" i="126"/>
  <c r="M50" i="105"/>
  <c r="BN50" i="105"/>
  <c r="BO50" i="105" s="1"/>
  <c r="BJ50" i="105"/>
  <c r="BL50" i="105" s="1"/>
  <c r="BK50" i="105"/>
  <c r="P50" i="105"/>
  <c r="AY50" i="105"/>
  <c r="Y50" i="105"/>
  <c r="Z50" i="105" s="1"/>
  <c r="AN50" i="105"/>
  <c r="AO50" i="105" s="1"/>
  <c r="BA50" i="105"/>
  <c r="BB50" i="105" s="1"/>
  <c r="AB50" i="105"/>
  <c r="AC50" i="105" s="1"/>
  <c r="AT50" i="105"/>
  <c r="BG50" i="105"/>
  <c r="BH50" i="105" s="1"/>
  <c r="V50" i="105"/>
  <c r="W50" i="105" s="1"/>
  <c r="AV50" i="105"/>
  <c r="AW50" i="105" s="1"/>
  <c r="AE50" i="105"/>
  <c r="AF50" i="105" s="1"/>
  <c r="BQ50" i="105"/>
  <c r="BR50" i="105" s="1"/>
  <c r="AK50" i="105"/>
  <c r="AL50" i="105" s="1"/>
  <c r="O50" i="105"/>
  <c r="AQ50" i="105"/>
  <c r="AR50" i="105" s="1"/>
  <c r="R50" i="105"/>
  <c r="T50" i="105" s="1"/>
  <c r="AH50" i="105"/>
  <c r="AI50" i="105" s="1"/>
  <c r="BD50" i="105"/>
  <c r="BE50" i="105" s="1"/>
  <c r="K51" i="105"/>
  <c r="I50" i="96"/>
  <c r="K49" i="96"/>
  <c r="P49" i="96" s="1"/>
  <c r="M47" i="101"/>
  <c r="P47" i="101"/>
  <c r="BD47" i="101"/>
  <c r="BE47" i="101" s="1"/>
  <c r="V47" i="101"/>
  <c r="W47" i="101" s="1"/>
  <c r="Y47" i="101"/>
  <c r="Z47" i="101" s="1"/>
  <c r="AH47" i="101"/>
  <c r="AI47" i="101" s="1"/>
  <c r="AV47" i="101"/>
  <c r="AW47" i="101" s="1"/>
  <c r="AE47" i="101"/>
  <c r="AF47" i="101" s="1"/>
  <c r="BA47" i="101"/>
  <c r="BB47" i="101" s="1"/>
  <c r="BQ47" i="101"/>
  <c r="BR47" i="101" s="1"/>
  <c r="BG47" i="101"/>
  <c r="BH47" i="101" s="1"/>
  <c r="AN47" i="101"/>
  <c r="AO47" i="101" s="1"/>
  <c r="R47" i="101"/>
  <c r="T47" i="101" s="1"/>
  <c r="AB47" i="101"/>
  <c r="AC47" i="101" s="1"/>
  <c r="AY47" i="101"/>
  <c r="AK47" i="101"/>
  <c r="AL47" i="101" s="1"/>
  <c r="AT47" i="101"/>
  <c r="O47" i="101"/>
  <c r="AQ47" i="101"/>
  <c r="AR47" i="101" s="1"/>
  <c r="AL45" i="120"/>
  <c r="W45" i="120"/>
  <c r="M48" i="115"/>
  <c r="BK48" i="115"/>
  <c r="BJ48" i="115"/>
  <c r="BL48" i="115" s="1"/>
  <c r="BN48" i="115"/>
  <c r="BO48" i="115" s="1"/>
  <c r="V48" i="115"/>
  <c r="BQ48" i="115"/>
  <c r="AE48" i="115"/>
  <c r="AH48" i="115"/>
  <c r="AN48" i="115"/>
  <c r="AB48" i="115"/>
  <c r="AK48" i="115"/>
  <c r="AT48" i="115"/>
  <c r="AV48" i="115" s="1"/>
  <c r="AY48" i="115"/>
  <c r="BA48" i="115" s="1"/>
  <c r="BB48" i="115" s="1"/>
  <c r="I52" i="15"/>
  <c r="I55" i="132"/>
  <c r="BN47" i="15"/>
  <c r="BO47" i="15" s="1"/>
  <c r="BQ47" i="15"/>
  <c r="BL47" i="15"/>
  <c r="M47" i="15"/>
  <c r="AB47" i="15"/>
  <c r="AE47" i="15"/>
  <c r="AK47" i="15"/>
  <c r="AN47" i="15"/>
  <c r="V47" i="15"/>
  <c r="AH47" i="15"/>
  <c r="K48" i="15"/>
  <c r="AF46" i="15"/>
  <c r="BR46" i="15"/>
  <c r="M48" i="63"/>
  <c r="BN48" i="63"/>
  <c r="BO48" i="63" s="1"/>
  <c r="AH48" i="63"/>
  <c r="AE48" i="63"/>
  <c r="AB48" i="63"/>
  <c r="V48" i="63"/>
  <c r="AK48" i="63"/>
  <c r="AN48" i="63"/>
  <c r="AY48" i="63"/>
  <c r="BA48" i="63" s="1"/>
  <c r="BL48" i="63"/>
  <c r="BQ48" i="63"/>
  <c r="AT48" i="63"/>
  <c r="BD48" i="63" s="1"/>
  <c r="K49" i="63"/>
  <c r="M48" i="126"/>
  <c r="BJ48" i="126"/>
  <c r="BL48" i="126" s="1"/>
  <c r="V48" i="126"/>
  <c r="BK48" i="126"/>
  <c r="BN48" i="126"/>
  <c r="BO48" i="126" s="1"/>
  <c r="AN48" i="126"/>
  <c r="AY48" i="126"/>
  <c r="BA48" i="126" s="1"/>
  <c r="AB48" i="126"/>
  <c r="AT48" i="126"/>
  <c r="AV48" i="126" s="1"/>
  <c r="AE48" i="126"/>
  <c r="AK48" i="126"/>
  <c r="BQ48" i="126"/>
  <c r="K49" i="126"/>
  <c r="R48" i="126"/>
  <c r="T48" i="126" s="1"/>
  <c r="Y48" i="126" s="1"/>
  <c r="W47" i="126"/>
  <c r="AF45" i="13"/>
  <c r="BR45" i="66"/>
  <c r="AL45" i="66"/>
  <c r="AO45" i="66"/>
  <c r="AF47" i="114"/>
  <c r="AQ48" i="64"/>
  <c r="AR48" i="64" s="1"/>
  <c r="AL48" i="64"/>
  <c r="AC48" i="64"/>
  <c r="M48" i="110"/>
  <c r="BJ48" i="110"/>
  <c r="BL48" i="110" s="1"/>
  <c r="BK48" i="110"/>
  <c r="BN48" i="110"/>
  <c r="BO48" i="110" s="1"/>
  <c r="AH48" i="110"/>
  <c r="AY48" i="110"/>
  <c r="BA48" i="110" s="1"/>
  <c r="V48" i="110"/>
  <c r="AE48" i="110"/>
  <c r="AT48" i="110"/>
  <c r="BD48" i="110" s="1"/>
  <c r="AK48" i="110"/>
  <c r="AB48" i="110"/>
  <c r="AN48" i="110"/>
  <c r="BQ48" i="110"/>
  <c r="K47" i="66"/>
  <c r="I48" i="66"/>
  <c r="AQ45" i="17"/>
  <c r="AR45" i="17" s="1"/>
  <c r="AI45" i="17"/>
  <c r="BR47" i="110"/>
  <c r="AC47" i="110"/>
  <c r="AQ46" i="118"/>
  <c r="AR46" i="118" s="1"/>
  <c r="AO46" i="118"/>
  <c r="AC46" i="118"/>
  <c r="K48" i="118"/>
  <c r="M47" i="118"/>
  <c r="BN47" i="118"/>
  <c r="BO47" i="118" s="1"/>
  <c r="AH47" i="118"/>
  <c r="AE47" i="118"/>
  <c r="AY47" i="118"/>
  <c r="BA47" i="118" s="1"/>
  <c r="V47" i="118"/>
  <c r="AB47" i="118"/>
  <c r="AK47" i="118"/>
  <c r="AN47" i="118"/>
  <c r="BQ47" i="118"/>
  <c r="AT47" i="118"/>
  <c r="AV47" i="118" s="1"/>
  <c r="O48" i="114"/>
  <c r="O29" i="95"/>
  <c r="V29" i="95"/>
  <c r="W29" i="95" s="1"/>
  <c r="P30" i="95"/>
  <c r="R48" i="15"/>
  <c r="T47" i="15"/>
  <c r="Y47" i="15" s="1"/>
  <c r="P26" i="98"/>
  <c r="O29" i="13"/>
  <c r="V29" i="13" s="1"/>
  <c r="W29" i="13" s="1"/>
  <c r="T49" i="124"/>
  <c r="Y49" i="124" s="1"/>
  <c r="Z49" i="124" s="1"/>
  <c r="R50" i="124"/>
  <c r="R49" i="110"/>
  <c r="T48" i="110"/>
  <c r="Y48" i="110" s="1"/>
  <c r="P26" i="107"/>
  <c r="V25" i="99"/>
  <c r="P25" i="105"/>
  <c r="V28" i="130"/>
  <c r="W28" i="130" s="1"/>
  <c r="P29" i="130"/>
  <c r="O30" i="126"/>
  <c r="O31" i="126" s="1"/>
  <c r="O32" i="126" s="1"/>
  <c r="O33" i="126" s="1"/>
  <c r="O34" i="126" s="1"/>
  <c r="O35" i="126" s="1"/>
  <c r="O36" i="126" s="1"/>
  <c r="O37" i="126" s="1"/>
  <c r="O38" i="126" s="1"/>
  <c r="O39" i="126" s="1"/>
  <c r="O40" i="126" s="1"/>
  <c r="O41" i="126" s="1"/>
  <c r="O42" i="126" s="1"/>
  <c r="O43" i="126" s="1"/>
  <c r="O44" i="126" s="1"/>
  <c r="O45" i="126" s="1"/>
  <c r="O46" i="126" s="1"/>
  <c r="O47" i="126" s="1"/>
  <c r="O48" i="126" s="1"/>
  <c r="O28" i="130"/>
  <c r="P30" i="13"/>
  <c r="P31" i="13" s="1"/>
  <c r="P32" i="13" s="1"/>
  <c r="P33" i="13" s="1"/>
  <c r="P34" i="13" s="1"/>
  <c r="P35" i="13" s="1"/>
  <c r="P36" i="13" s="1"/>
  <c r="P37" i="13" s="1"/>
  <c r="P38" i="13" s="1"/>
  <c r="P39" i="13" s="1"/>
  <c r="P40" i="13" s="1"/>
  <c r="P41" i="13" s="1"/>
  <c r="P42" i="13" s="1"/>
  <c r="P43" i="13" s="1"/>
  <c r="P44" i="13" s="1"/>
  <c r="P45" i="13" s="1"/>
  <c r="P46" i="13" s="1"/>
  <c r="O32" i="101"/>
  <c r="O33" i="101" s="1"/>
  <c r="O34" i="101" s="1"/>
  <c r="O35" i="101" s="1"/>
  <c r="O36" i="101" s="1"/>
  <c r="O37" i="101" s="1"/>
  <c r="O38" i="101" s="1"/>
  <c r="O39" i="101" s="1"/>
  <c r="V29" i="106"/>
  <c r="W29" i="106" s="1"/>
  <c r="P30" i="106"/>
  <c r="O29" i="106"/>
  <c r="O28" i="118"/>
  <c r="W25" i="120"/>
  <c r="O26" i="120"/>
  <c r="P27" i="120"/>
  <c r="V26" i="120"/>
  <c r="W26" i="120" s="1"/>
  <c r="R48" i="118"/>
  <c r="T47" i="118"/>
  <c r="Y47" i="118" s="1"/>
  <c r="V28" i="118"/>
  <c r="W28" i="118" s="1"/>
  <c r="P29" i="118"/>
  <c r="W25" i="112"/>
  <c r="O26" i="112"/>
  <c r="V26" i="135"/>
  <c r="W26" i="135" s="1"/>
  <c r="P27" i="135"/>
  <c r="V29" i="104"/>
  <c r="W29" i="104" s="1"/>
  <c r="P30" i="104"/>
  <c r="O29" i="15"/>
  <c r="V29" i="15" s="1"/>
  <c r="W29" i="15" s="1"/>
  <c r="R49" i="115"/>
  <c r="T48" i="115"/>
  <c r="Y48" i="115" s="1"/>
  <c r="O30" i="17"/>
  <c r="O31" i="17" s="1"/>
  <c r="O32" i="17" s="1"/>
  <c r="O33" i="17" s="1"/>
  <c r="O34" i="17" s="1"/>
  <c r="O35" i="17" s="1"/>
  <c r="O36" i="17" s="1"/>
  <c r="O37" i="17" s="1"/>
  <c r="O38" i="17" s="1"/>
  <c r="O39" i="17" s="1"/>
  <c r="O40" i="17" s="1"/>
  <c r="O41" i="17" s="1"/>
  <c r="O42" i="17" s="1"/>
  <c r="O43" i="17" s="1"/>
  <c r="O44" i="17" s="1"/>
  <c r="O45" i="17" s="1"/>
  <c r="O46" i="17" s="1"/>
  <c r="W25" i="135"/>
  <c r="O26" i="135"/>
  <c r="O29" i="104"/>
  <c r="O27" i="63"/>
  <c r="W25" i="136"/>
  <c r="O26" i="136"/>
  <c r="P27" i="110"/>
  <c r="P30" i="15"/>
  <c r="P31" i="15" s="1"/>
  <c r="P32" i="15" s="1"/>
  <c r="P33" i="15" s="1"/>
  <c r="P34" i="15" s="1"/>
  <c r="P35" i="15" s="1"/>
  <c r="P36" i="15" s="1"/>
  <c r="P37" i="15" s="1"/>
  <c r="P38" i="15" s="1"/>
  <c r="P39" i="15" s="1"/>
  <c r="P40" i="15" s="1"/>
  <c r="P41" i="15" s="1"/>
  <c r="P42" i="15" s="1"/>
  <c r="P43" i="15" s="1"/>
  <c r="P44" i="15" s="1"/>
  <c r="P45" i="15" s="1"/>
  <c r="P46" i="15" s="1"/>
  <c r="P47" i="15" s="1"/>
  <c r="P48" i="15" s="1"/>
  <c r="P27" i="136"/>
  <c r="V26" i="136"/>
  <c r="W26" i="136" s="1"/>
  <c r="V27" i="63"/>
  <c r="W27" i="63" s="1"/>
  <c r="P28" i="63"/>
  <c r="BR48" i="110" l="1"/>
  <c r="AF46" i="17"/>
  <c r="AF46" i="13"/>
  <c r="BB49" i="64"/>
  <c r="W52" i="124"/>
  <c r="BE46" i="66"/>
  <c r="BG45" i="153"/>
  <c r="BH45" i="153" s="1"/>
  <c r="BA50" i="132"/>
  <c r="BB50" i="132" s="1"/>
  <c r="R50" i="132"/>
  <c r="T50" i="132" s="1"/>
  <c r="AB50" i="132"/>
  <c r="AC50" i="132" s="1"/>
  <c r="AK50" i="132"/>
  <c r="AL50" i="132" s="1"/>
  <c r="O50" i="132"/>
  <c r="AT50" i="132"/>
  <c r="BL50" i="132"/>
  <c r="K51" i="132"/>
  <c r="AN50" i="132"/>
  <c r="AO50" i="132" s="1"/>
  <c r="BG50" i="132"/>
  <c r="BH50" i="132" s="1"/>
  <c r="BD50" i="132"/>
  <c r="BE50" i="132" s="1"/>
  <c r="BN50" i="132"/>
  <c r="BO50" i="132" s="1"/>
  <c r="M50" i="132"/>
  <c r="AQ50" i="132"/>
  <c r="AR50" i="132" s="1"/>
  <c r="BQ50" i="132"/>
  <c r="BR50" i="132" s="1"/>
  <c r="AH50" i="132"/>
  <c r="AI50" i="132" s="1"/>
  <c r="V50" i="132"/>
  <c r="W50" i="132" s="1"/>
  <c r="AE50" i="132"/>
  <c r="AF50" i="132" s="1"/>
  <c r="AV50" i="132"/>
  <c r="AW50" i="132" s="1"/>
  <c r="Y50" i="132"/>
  <c r="Z50" i="132" s="1"/>
  <c r="AY50" i="132"/>
  <c r="P50" i="132"/>
  <c r="P50" i="99"/>
  <c r="O50" i="99"/>
  <c r="R50" i="99"/>
  <c r="T50" i="99" s="1"/>
  <c r="AT50" i="99"/>
  <c r="AY50" i="99"/>
  <c r="BQ50" i="99"/>
  <c r="BR50" i="99" s="1"/>
  <c r="AE50" i="99"/>
  <c r="AF50" i="99" s="1"/>
  <c r="AB50" i="99"/>
  <c r="AC50" i="99" s="1"/>
  <c r="Y50" i="99"/>
  <c r="Z50" i="99" s="1"/>
  <c r="AQ50" i="99"/>
  <c r="AR50" i="99" s="1"/>
  <c r="BJ50" i="99"/>
  <c r="BL50" i="99" s="1"/>
  <c r="M50" i="99"/>
  <c r="V50" i="99"/>
  <c r="W50" i="99" s="1"/>
  <c r="BD50" i="99"/>
  <c r="BE50" i="99" s="1"/>
  <c r="K51" i="99"/>
  <c r="AH50" i="99"/>
  <c r="AI50" i="99" s="1"/>
  <c r="BK50" i="99"/>
  <c r="AN50" i="99"/>
  <c r="AO50" i="99" s="1"/>
  <c r="AK50" i="99"/>
  <c r="AL50" i="99" s="1"/>
  <c r="BG50" i="99"/>
  <c r="BH50" i="99" s="1"/>
  <c r="BN50" i="99"/>
  <c r="BO50" i="99" s="1"/>
  <c r="BA50" i="99"/>
  <c r="BB50" i="99" s="1"/>
  <c r="AV50" i="99"/>
  <c r="AW50" i="99" s="1"/>
  <c r="BJ52" i="107"/>
  <c r="BL52" i="107" s="1"/>
  <c r="AE52" i="107"/>
  <c r="AF52" i="107" s="1"/>
  <c r="Y52" i="107"/>
  <c r="Z52" i="107" s="1"/>
  <c r="AQ52" i="107"/>
  <c r="AR52" i="107" s="1"/>
  <c r="M52" i="107"/>
  <c r="BQ52" i="107"/>
  <c r="BR52" i="107" s="1"/>
  <c r="R52" i="107"/>
  <c r="T52" i="107" s="1"/>
  <c r="AK52" i="107"/>
  <c r="AL52" i="107" s="1"/>
  <c r="BN52" i="107"/>
  <c r="BO52" i="107" s="1"/>
  <c r="BA52" i="107"/>
  <c r="BB52" i="107" s="1"/>
  <c r="P52" i="107"/>
  <c r="AT52" i="107"/>
  <c r="BD52" i="107"/>
  <c r="BE52" i="107" s="1"/>
  <c r="AH52" i="107"/>
  <c r="AI52" i="107" s="1"/>
  <c r="BG52" i="107"/>
  <c r="BH52" i="107" s="1"/>
  <c r="AY52" i="107"/>
  <c r="O52" i="107"/>
  <c r="BK52" i="107"/>
  <c r="V52" i="107"/>
  <c r="W52" i="107" s="1"/>
  <c r="AB52" i="107"/>
  <c r="AC52" i="107" s="1"/>
  <c r="AN52" i="107"/>
  <c r="AO52" i="107" s="1"/>
  <c r="AV52" i="107"/>
  <c r="AW52" i="107" s="1"/>
  <c r="P47" i="13"/>
  <c r="Z48" i="63"/>
  <c r="AI48" i="110"/>
  <c r="AC48" i="63"/>
  <c r="AO48" i="115"/>
  <c r="AL48" i="114"/>
  <c r="Z46" i="17"/>
  <c r="AO53" i="155"/>
  <c r="I54" i="107"/>
  <c r="K53" i="107"/>
  <c r="AO46" i="13"/>
  <c r="AY46" i="150"/>
  <c r="BA46" i="150" s="1"/>
  <c r="BB46" i="150" s="1"/>
  <c r="AQ46" i="95"/>
  <c r="AR46" i="95" s="1"/>
  <c r="W48" i="114"/>
  <c r="R49" i="63"/>
  <c r="BE48" i="110"/>
  <c r="BB48" i="63"/>
  <c r="Z48" i="110"/>
  <c r="W24" i="156"/>
  <c r="O25" i="156"/>
  <c r="W52" i="156"/>
  <c r="AO47" i="112"/>
  <c r="Z46" i="95"/>
  <c r="BE46" i="95"/>
  <c r="T44" i="156"/>
  <c r="Y44" i="156" s="1"/>
  <c r="Z44" i="156" s="1"/>
  <c r="R45" i="156"/>
  <c r="AL47" i="15"/>
  <c r="W53" i="153"/>
  <c r="AF52" i="156"/>
  <c r="BR52" i="156"/>
  <c r="AL47" i="112"/>
  <c r="AC47" i="112"/>
  <c r="I85" i="161"/>
  <c r="K84" i="161"/>
  <c r="BQ84" i="161" s="1"/>
  <c r="BG83" i="161"/>
  <c r="BH83" i="161" s="1"/>
  <c r="BA83" i="161"/>
  <c r="BB83" i="161" s="1"/>
  <c r="AT83" i="161"/>
  <c r="AN83" i="161"/>
  <c r="AO83" i="161" s="1"/>
  <c r="AH83" i="161"/>
  <c r="AI83" i="161" s="1"/>
  <c r="AB83" i="161"/>
  <c r="AC83" i="161" s="1"/>
  <c r="V83" i="161"/>
  <c r="W83" i="161" s="1"/>
  <c r="O83" i="161"/>
  <c r="BR83" i="161"/>
  <c r="AK83" i="161"/>
  <c r="AL83" i="161" s="1"/>
  <c r="AY83" i="161"/>
  <c r="AQ83" i="161"/>
  <c r="AR83" i="161" s="1"/>
  <c r="R83" i="161"/>
  <c r="T83" i="161" s="1"/>
  <c r="Y83" i="161"/>
  <c r="Z83" i="161" s="1"/>
  <c r="P83" i="161"/>
  <c r="AE83" i="161"/>
  <c r="AF83" i="161" s="1"/>
  <c r="BD83" i="161"/>
  <c r="BE83" i="161" s="1"/>
  <c r="AV83" i="161"/>
  <c r="AW83" i="161" s="1"/>
  <c r="M83" i="161"/>
  <c r="BK83" i="161"/>
  <c r="BJ83" i="161"/>
  <c r="BL83" i="161" s="1"/>
  <c r="BN83" i="161"/>
  <c r="BO83" i="161" s="1"/>
  <c r="AL46" i="120"/>
  <c r="AO46" i="17"/>
  <c r="K54" i="156"/>
  <c r="I55" i="156"/>
  <c r="AQ47" i="112"/>
  <c r="AR47" i="112" s="1"/>
  <c r="AI47" i="112"/>
  <c r="K49" i="112"/>
  <c r="AE48" i="112"/>
  <c r="BQ48" i="112"/>
  <c r="BK48" i="112"/>
  <c r="V48" i="112"/>
  <c r="R48" i="112"/>
  <c r="T48" i="112" s="1"/>
  <c r="Y48" i="112" s="1"/>
  <c r="BN48" i="112"/>
  <c r="BO48" i="112" s="1"/>
  <c r="AK48" i="112"/>
  <c r="BJ48" i="112"/>
  <c r="BL48" i="112" s="1"/>
  <c r="AN48" i="112"/>
  <c r="AB48" i="112"/>
  <c r="AY48" i="112"/>
  <c r="M48" i="112"/>
  <c r="AH48" i="112"/>
  <c r="AT48" i="112"/>
  <c r="BD47" i="112"/>
  <c r="BE47" i="112" s="1"/>
  <c r="AV47" i="112"/>
  <c r="AW47" i="112" s="1"/>
  <c r="AV46" i="95"/>
  <c r="AW46" i="95" s="1"/>
  <c r="W46" i="95"/>
  <c r="AL46" i="95"/>
  <c r="BB47" i="118"/>
  <c r="AC52" i="156"/>
  <c r="AO52" i="156"/>
  <c r="M53" i="156"/>
  <c r="AE53" i="156"/>
  <c r="V53" i="156"/>
  <c r="BN53" i="156"/>
  <c r="BO53" i="156" s="1"/>
  <c r="AB53" i="156"/>
  <c r="BQ53" i="156"/>
  <c r="AH53" i="156"/>
  <c r="AK53" i="156"/>
  <c r="AN53" i="156"/>
  <c r="BL53" i="156"/>
  <c r="W47" i="112"/>
  <c r="AF46" i="95"/>
  <c r="AO46" i="95"/>
  <c r="W46" i="17"/>
  <c r="BA47" i="112"/>
  <c r="BB47" i="112" s="1"/>
  <c r="BG47" i="112"/>
  <c r="BH47" i="112" s="1"/>
  <c r="Z47" i="112"/>
  <c r="AI46" i="95"/>
  <c r="BR46" i="95"/>
  <c r="AC46" i="95"/>
  <c r="AO47" i="118"/>
  <c r="W48" i="115"/>
  <c r="BK48" i="104"/>
  <c r="AB48" i="104"/>
  <c r="AC48" i="104" s="1"/>
  <c r="O48" i="104"/>
  <c r="BQ48" i="104"/>
  <c r="BR48" i="104" s="1"/>
  <c r="BJ48" i="104"/>
  <c r="BL48" i="104" s="1"/>
  <c r="AT48" i="104"/>
  <c r="AH48" i="104"/>
  <c r="AI48" i="104" s="1"/>
  <c r="AY48" i="104"/>
  <c r="M48" i="104"/>
  <c r="Y48" i="104"/>
  <c r="Z48" i="104" s="1"/>
  <c r="AQ48" i="104"/>
  <c r="AR48" i="104" s="1"/>
  <c r="BG48" i="104"/>
  <c r="BH48" i="104" s="1"/>
  <c r="BN48" i="104"/>
  <c r="BO48" i="104" s="1"/>
  <c r="P48" i="104"/>
  <c r="R48" i="104"/>
  <c r="T48" i="104" s="1"/>
  <c r="BD48" i="104"/>
  <c r="BE48" i="104" s="1"/>
  <c r="K49" i="104"/>
  <c r="BA48" i="104"/>
  <c r="BB48" i="104" s="1"/>
  <c r="V48" i="104"/>
  <c r="W48" i="104" s="1"/>
  <c r="AV48" i="104"/>
  <c r="AW48" i="104" s="1"/>
  <c r="AK48" i="104"/>
  <c r="AL48" i="104" s="1"/>
  <c r="AE48" i="104"/>
  <c r="AF48" i="104" s="1"/>
  <c r="AN48" i="104"/>
  <c r="AO48" i="104" s="1"/>
  <c r="I55" i="106"/>
  <c r="BH46" i="95"/>
  <c r="AK49" i="129"/>
  <c r="AL49" i="129" s="1"/>
  <c r="AE49" i="129"/>
  <c r="AF49" i="129" s="1"/>
  <c r="O49" i="129"/>
  <c r="BL49" i="129"/>
  <c r="BG49" i="129"/>
  <c r="BH49" i="129" s="1"/>
  <c r="BD49" i="129"/>
  <c r="BE49" i="129" s="1"/>
  <c r="BQ49" i="129"/>
  <c r="BR49" i="129" s="1"/>
  <c r="Y49" i="129"/>
  <c r="Z49" i="129" s="1"/>
  <c r="M49" i="129"/>
  <c r="AQ49" i="129"/>
  <c r="AR49" i="129" s="1"/>
  <c r="AN49" i="129"/>
  <c r="AO49" i="129" s="1"/>
  <c r="AV49" i="129"/>
  <c r="AW49" i="129" s="1"/>
  <c r="BA49" i="129"/>
  <c r="BB49" i="129" s="1"/>
  <c r="BN49" i="129"/>
  <c r="BO49" i="129" s="1"/>
  <c r="R49" i="129"/>
  <c r="T49" i="129" s="1"/>
  <c r="V49" i="129"/>
  <c r="W49" i="129" s="1"/>
  <c r="AT49" i="129"/>
  <c r="AH49" i="129"/>
  <c r="AI49" i="129" s="1"/>
  <c r="K50" i="129"/>
  <c r="AY49" i="129"/>
  <c r="AB49" i="129"/>
  <c r="AC49" i="129" s="1"/>
  <c r="P49" i="129"/>
  <c r="BN48" i="106"/>
  <c r="BO48" i="106" s="1"/>
  <c r="V48" i="106"/>
  <c r="W48" i="106" s="1"/>
  <c r="AH48" i="106"/>
  <c r="AI48" i="106" s="1"/>
  <c r="AK48" i="106"/>
  <c r="AL48" i="106" s="1"/>
  <c r="AN48" i="106"/>
  <c r="AO48" i="106" s="1"/>
  <c r="AY48" i="106"/>
  <c r="Y48" i="106"/>
  <c r="Z48" i="106" s="1"/>
  <c r="M48" i="106"/>
  <c r="O48" i="106"/>
  <c r="P48" i="106"/>
  <c r="BD48" i="106"/>
  <c r="BE48" i="106" s="1"/>
  <c r="BQ48" i="106"/>
  <c r="BR48" i="106" s="1"/>
  <c r="AV48" i="106"/>
  <c r="AW48" i="106" s="1"/>
  <c r="AT48" i="106"/>
  <c r="BK48" i="106"/>
  <c r="AB48" i="106"/>
  <c r="AC48" i="106" s="1"/>
  <c r="AE48" i="106"/>
  <c r="AF48" i="106" s="1"/>
  <c r="AQ48" i="106"/>
  <c r="AR48" i="106" s="1"/>
  <c r="BJ48" i="106"/>
  <c r="BL48" i="106" s="1"/>
  <c r="BA48" i="106"/>
  <c r="BB48" i="106" s="1"/>
  <c r="R48" i="106"/>
  <c r="T48" i="106" s="1"/>
  <c r="BG48" i="106"/>
  <c r="BH48" i="106" s="1"/>
  <c r="K49" i="106"/>
  <c r="O51" i="133"/>
  <c r="BL51" i="133"/>
  <c r="BA51" i="133"/>
  <c r="BB51" i="133" s="1"/>
  <c r="BQ51" i="133"/>
  <c r="BR51" i="133" s="1"/>
  <c r="AE51" i="133"/>
  <c r="AF51" i="133" s="1"/>
  <c r="BN51" i="133"/>
  <c r="BO51" i="133" s="1"/>
  <c r="AN51" i="133"/>
  <c r="AO51" i="133" s="1"/>
  <c r="AT51" i="133"/>
  <c r="V51" i="133"/>
  <c r="W51" i="133" s="1"/>
  <c r="M51" i="133"/>
  <c r="AK51" i="133"/>
  <c r="AL51" i="133" s="1"/>
  <c r="BD51" i="133"/>
  <c r="BE51" i="133" s="1"/>
  <c r="AB51" i="133"/>
  <c r="AC51" i="133" s="1"/>
  <c r="AY51" i="133"/>
  <c r="Y51" i="133"/>
  <c r="Z51" i="133" s="1"/>
  <c r="R51" i="133"/>
  <c r="T51" i="133" s="1"/>
  <c r="K52" i="133"/>
  <c r="BG51" i="133"/>
  <c r="BH51" i="133" s="1"/>
  <c r="AH51" i="133"/>
  <c r="AI51" i="133" s="1"/>
  <c r="AV51" i="133"/>
  <c r="AW51" i="133" s="1"/>
  <c r="P51" i="133"/>
  <c r="AQ51" i="133"/>
  <c r="AR51" i="133" s="1"/>
  <c r="AQ52" i="156"/>
  <c r="AR52" i="156" s="1"/>
  <c r="AI52" i="156"/>
  <c r="AL52" i="156"/>
  <c r="AF47" i="112"/>
  <c r="BR47" i="112"/>
  <c r="BL47" i="95"/>
  <c r="AN47" i="95"/>
  <c r="V47" i="95"/>
  <c r="BG47" i="95"/>
  <c r="AH47" i="95"/>
  <c r="AT47" i="95"/>
  <c r="AV47" i="95" s="1"/>
  <c r="AK47" i="95"/>
  <c r="BA47" i="95"/>
  <c r="M47" i="95"/>
  <c r="AB47" i="95"/>
  <c r="BQ47" i="95"/>
  <c r="BN47" i="95"/>
  <c r="BO47" i="95" s="1"/>
  <c r="AE47" i="95"/>
  <c r="K48" i="95"/>
  <c r="R47" i="95"/>
  <c r="T47" i="95" s="1"/>
  <c r="Y47" i="95" s="1"/>
  <c r="BB46" i="95"/>
  <c r="O30" i="104"/>
  <c r="P49" i="126"/>
  <c r="AH52" i="126"/>
  <c r="AT41" i="150"/>
  <c r="AT41" i="156"/>
  <c r="BA45" i="15"/>
  <c r="BB45" i="15" s="1"/>
  <c r="BG45" i="15"/>
  <c r="BH45" i="15" s="1"/>
  <c r="BG46" i="150"/>
  <c r="BH46" i="150" s="1"/>
  <c r="BG46" i="151"/>
  <c r="BH46" i="151" s="1"/>
  <c r="BA46" i="151"/>
  <c r="BB46" i="151" s="1"/>
  <c r="BA46" i="155"/>
  <c r="BB46" i="155" s="1"/>
  <c r="BG46" i="155"/>
  <c r="BH46" i="155" s="1"/>
  <c r="BA46" i="153"/>
  <c r="BB46" i="153" s="1"/>
  <c r="BG46" i="153"/>
  <c r="BH46" i="153" s="1"/>
  <c r="BA46" i="152"/>
  <c r="BB46" i="152" s="1"/>
  <c r="BG46" i="152"/>
  <c r="BH46" i="152" s="1"/>
  <c r="BG45" i="149"/>
  <c r="BH45" i="149" s="1"/>
  <c r="BA45" i="149"/>
  <c r="BB45" i="149" s="1"/>
  <c r="BG45" i="156"/>
  <c r="BH45" i="156" s="1"/>
  <c r="BA45" i="156"/>
  <c r="BB45" i="156" s="1"/>
  <c r="A51" i="7"/>
  <c r="AY47" i="150" s="1"/>
  <c r="AY46" i="156"/>
  <c r="AY46" i="15"/>
  <c r="M49" i="130"/>
  <c r="BN49" i="130"/>
  <c r="BO49" i="130" s="1"/>
  <c r="K50" i="130"/>
  <c r="BL49" i="130"/>
  <c r="AH49" i="130"/>
  <c r="AI49" i="130" s="1"/>
  <c r="P49" i="130"/>
  <c r="Y49" i="130"/>
  <c r="Z49" i="130" s="1"/>
  <c r="R49" i="130"/>
  <c r="T49" i="130" s="1"/>
  <c r="AQ49" i="130"/>
  <c r="AR49" i="130" s="1"/>
  <c r="AB49" i="130"/>
  <c r="AC49" i="130" s="1"/>
  <c r="AN49" i="130"/>
  <c r="AO49" i="130" s="1"/>
  <c r="BA49" i="130"/>
  <c r="BB49" i="130" s="1"/>
  <c r="V49" i="130"/>
  <c r="W49" i="130" s="1"/>
  <c r="BG49" i="130"/>
  <c r="BH49" i="130" s="1"/>
  <c r="AV49" i="130"/>
  <c r="AW49" i="130" s="1"/>
  <c r="AT49" i="130"/>
  <c r="AY49" i="130"/>
  <c r="BD49" i="130"/>
  <c r="BE49" i="130" s="1"/>
  <c r="O49" i="130"/>
  <c r="AK49" i="130"/>
  <c r="AL49" i="130" s="1"/>
  <c r="AE49" i="130"/>
  <c r="AF49" i="130" s="1"/>
  <c r="BQ49" i="130"/>
  <c r="BR49" i="130" s="1"/>
  <c r="BD40" i="156"/>
  <c r="BE40" i="156" s="1"/>
  <c r="AV40" i="156"/>
  <c r="AW40" i="156" s="1"/>
  <c r="AV40" i="150"/>
  <c r="AW40" i="150" s="1"/>
  <c r="BD40" i="150"/>
  <c r="BE40" i="150" s="1"/>
  <c r="Z51" i="147"/>
  <c r="Z50" i="150"/>
  <c r="BB52" i="124"/>
  <c r="AO52" i="149"/>
  <c r="AI52" i="149"/>
  <c r="Z51" i="151"/>
  <c r="T43" i="155"/>
  <c r="Y43" i="155" s="1"/>
  <c r="Z43" i="155" s="1"/>
  <c r="R44" i="155"/>
  <c r="BH50" i="146"/>
  <c r="AW50" i="146"/>
  <c r="Z52" i="149"/>
  <c r="Z47" i="15"/>
  <c r="AC48" i="126"/>
  <c r="BH46" i="120"/>
  <c r="V24" i="155"/>
  <c r="AC52" i="149"/>
  <c r="W52" i="149"/>
  <c r="AC53" i="155"/>
  <c r="AF53" i="155"/>
  <c r="W53" i="152"/>
  <c r="AV40" i="17"/>
  <c r="AW40" i="17" s="1"/>
  <c r="AT41" i="15"/>
  <c r="BD41" i="15" s="1"/>
  <c r="BE41" i="15" s="1"/>
  <c r="Z53" i="152"/>
  <c r="Z53" i="153"/>
  <c r="AF53" i="153"/>
  <c r="AC53" i="153"/>
  <c r="AL53" i="153"/>
  <c r="AO53" i="153"/>
  <c r="AL53" i="155"/>
  <c r="W53" i="155"/>
  <c r="AQ53" i="155"/>
  <c r="AR53" i="155" s="1"/>
  <c r="M54" i="155"/>
  <c r="BQ54" i="155"/>
  <c r="V54" i="155"/>
  <c r="AB54" i="155"/>
  <c r="AH54" i="155"/>
  <c r="AN54" i="155"/>
  <c r="BN54" i="155"/>
  <c r="BO54" i="155" s="1"/>
  <c r="AE54" i="155"/>
  <c r="AK54" i="155"/>
  <c r="BL54" i="155"/>
  <c r="AI53" i="155"/>
  <c r="BR53" i="155"/>
  <c r="I56" i="155"/>
  <c r="K55" i="155"/>
  <c r="AV40" i="130"/>
  <c r="AW40" i="130" s="1"/>
  <c r="BD40" i="130"/>
  <c r="BE40" i="130" s="1"/>
  <c r="A43" i="58"/>
  <c r="AT41" i="13"/>
  <c r="AT41" i="17"/>
  <c r="AT41" i="120"/>
  <c r="AT41" i="130"/>
  <c r="AV40" i="136"/>
  <c r="AW40" i="136" s="1"/>
  <c r="BD40" i="136"/>
  <c r="BE40" i="136" s="1"/>
  <c r="BD40" i="120"/>
  <c r="BE40" i="120" s="1"/>
  <c r="AV40" i="120"/>
  <c r="AW40" i="120" s="1"/>
  <c r="BD40" i="13"/>
  <c r="BE40" i="13" s="1"/>
  <c r="AV40" i="13"/>
  <c r="AW40" i="13" s="1"/>
  <c r="AL53" i="152"/>
  <c r="AI53" i="152"/>
  <c r="BR53" i="152"/>
  <c r="AI53" i="153"/>
  <c r="BR53" i="153"/>
  <c r="AQ53" i="153"/>
  <c r="AR53" i="153" s="1"/>
  <c r="M54" i="153"/>
  <c r="BQ54" i="153"/>
  <c r="O54" i="153"/>
  <c r="V54" i="153"/>
  <c r="AB54" i="153"/>
  <c r="AH54" i="153"/>
  <c r="AN54" i="153"/>
  <c r="P54" i="153"/>
  <c r="BN54" i="153"/>
  <c r="BO54" i="153" s="1"/>
  <c r="R54" i="153"/>
  <c r="T54" i="153" s="1"/>
  <c r="Y54" i="153" s="1"/>
  <c r="AE54" i="153"/>
  <c r="AK54" i="153"/>
  <c r="BL54" i="153"/>
  <c r="K55" i="153"/>
  <c r="I59" i="153"/>
  <c r="AF53" i="152"/>
  <c r="AC53" i="152"/>
  <c r="AO53" i="152"/>
  <c r="AQ53" i="152"/>
  <c r="AR53" i="152" s="1"/>
  <c r="I63" i="152"/>
  <c r="M54" i="152"/>
  <c r="BQ54" i="152"/>
  <c r="O54" i="152"/>
  <c r="V54" i="152"/>
  <c r="AB54" i="152"/>
  <c r="AH54" i="152"/>
  <c r="AN54" i="152"/>
  <c r="P54" i="152"/>
  <c r="BN54" i="152"/>
  <c r="BO54" i="152" s="1"/>
  <c r="R54" i="152"/>
  <c r="T54" i="152" s="1"/>
  <c r="Y54" i="152" s="1"/>
  <c r="AE54" i="152"/>
  <c r="AK54" i="152"/>
  <c r="BL54" i="152"/>
  <c r="K55" i="152"/>
  <c r="AO50" i="150"/>
  <c r="Z47" i="118"/>
  <c r="W51" i="147"/>
  <c r="AW51" i="147"/>
  <c r="AF50" i="150"/>
  <c r="BR46" i="17"/>
  <c r="AF52" i="149"/>
  <c r="AQ51" i="151"/>
  <c r="AR51" i="151" s="1"/>
  <c r="AC51" i="151"/>
  <c r="BR51" i="151"/>
  <c r="AI51" i="151"/>
  <c r="AO51" i="151"/>
  <c r="AF51" i="151"/>
  <c r="K53" i="151"/>
  <c r="I54" i="151"/>
  <c r="W51" i="151"/>
  <c r="AL51" i="151"/>
  <c r="AK52" i="151"/>
  <c r="AE52" i="151"/>
  <c r="R52" i="151"/>
  <c r="T52" i="151" s="1"/>
  <c r="Y52" i="151" s="1"/>
  <c r="P52" i="151"/>
  <c r="AN52" i="151"/>
  <c r="AH52" i="151"/>
  <c r="AB52" i="151"/>
  <c r="V52" i="151"/>
  <c r="O52" i="151"/>
  <c r="BQ52" i="151"/>
  <c r="M52" i="151"/>
  <c r="BN52" i="151"/>
  <c r="BO52" i="151" s="1"/>
  <c r="BL52" i="151"/>
  <c r="BQ51" i="150"/>
  <c r="AK51" i="150"/>
  <c r="AE51" i="150"/>
  <c r="R51" i="150"/>
  <c r="T51" i="150" s="1"/>
  <c r="Y51" i="150" s="1"/>
  <c r="AN51" i="150"/>
  <c r="AB51" i="150"/>
  <c r="O51" i="150"/>
  <c r="AH51" i="150"/>
  <c r="V51" i="150"/>
  <c r="BN51" i="150"/>
  <c r="BO51" i="150" s="1"/>
  <c r="P51" i="150"/>
  <c r="M51" i="150"/>
  <c r="BL51" i="150"/>
  <c r="K52" i="150"/>
  <c r="I55" i="150"/>
  <c r="W50" i="150"/>
  <c r="AL50" i="150"/>
  <c r="BR50" i="150"/>
  <c r="AI50" i="150"/>
  <c r="AQ50" i="150"/>
  <c r="AR50" i="150" s="1"/>
  <c r="AC50" i="150"/>
  <c r="AL52" i="149"/>
  <c r="P53" i="149"/>
  <c r="BQ53" i="149"/>
  <c r="AK53" i="149"/>
  <c r="AH53" i="149"/>
  <c r="V53" i="149"/>
  <c r="AE53" i="149"/>
  <c r="R53" i="149"/>
  <c r="T53" i="149" s="1"/>
  <c r="Y53" i="149" s="1"/>
  <c r="AN53" i="149"/>
  <c r="AB53" i="149"/>
  <c r="O53" i="149"/>
  <c r="BN53" i="149"/>
  <c r="BO53" i="149" s="1"/>
  <c r="M53" i="149"/>
  <c r="BL53" i="149"/>
  <c r="AQ52" i="149"/>
  <c r="AR52" i="149" s="1"/>
  <c r="I55" i="149"/>
  <c r="K54" i="149"/>
  <c r="BR52" i="149"/>
  <c r="O47" i="17"/>
  <c r="AF51" i="147"/>
  <c r="BH51" i="147"/>
  <c r="BA46" i="17"/>
  <c r="BB46" i="17" s="1"/>
  <c r="Z50" i="146"/>
  <c r="O49" i="126"/>
  <c r="BD51" i="147"/>
  <c r="BE51" i="147" s="1"/>
  <c r="BR51" i="147"/>
  <c r="AC51" i="147"/>
  <c r="BA51" i="147"/>
  <c r="BB51" i="147" s="1"/>
  <c r="V28" i="147"/>
  <c r="K53" i="147"/>
  <c r="AH53" i="147" s="1"/>
  <c r="I54" i="147"/>
  <c r="AT52" i="147"/>
  <c r="AV52" i="147" s="1"/>
  <c r="AB52" i="147"/>
  <c r="V52" i="147"/>
  <c r="BQ52" i="147"/>
  <c r="AY52" i="147"/>
  <c r="BA52" i="147" s="1"/>
  <c r="AE52" i="147"/>
  <c r="R52" i="147"/>
  <c r="T52" i="147" s="1"/>
  <c r="Y52" i="147" s="1"/>
  <c r="M52" i="147"/>
  <c r="BK52" i="147"/>
  <c r="BN52" i="147"/>
  <c r="BO52" i="147" s="1"/>
  <c r="BJ52" i="147"/>
  <c r="BL52" i="147" s="1"/>
  <c r="AC50" i="146"/>
  <c r="BA50" i="146"/>
  <c r="BB50" i="146" s="1"/>
  <c r="V27" i="146"/>
  <c r="BR50" i="146"/>
  <c r="AI50" i="146"/>
  <c r="AT51" i="146"/>
  <c r="BD51" i="146" s="1"/>
  <c r="AB51" i="146"/>
  <c r="V51" i="146"/>
  <c r="BQ51" i="146"/>
  <c r="AY51" i="146"/>
  <c r="BG51" i="146" s="1"/>
  <c r="AE51" i="146"/>
  <c r="R51" i="146"/>
  <c r="T51" i="146" s="1"/>
  <c r="Y51" i="146" s="1"/>
  <c r="BK51" i="146"/>
  <c r="BJ51" i="146"/>
  <c r="BL51" i="146" s="1"/>
  <c r="BN51" i="146"/>
  <c r="BO51" i="146" s="1"/>
  <c r="M51" i="146"/>
  <c r="AF50" i="146"/>
  <c r="BD50" i="146"/>
  <c r="BE50" i="146" s="1"/>
  <c r="I53" i="146"/>
  <c r="K52" i="146"/>
  <c r="AH52" i="146" s="1"/>
  <c r="W50" i="146"/>
  <c r="AV48" i="110"/>
  <c r="AW48" i="110" s="1"/>
  <c r="AL48" i="110"/>
  <c r="BB48" i="110"/>
  <c r="AO47" i="15"/>
  <c r="BG48" i="63"/>
  <c r="BH48" i="63" s="1"/>
  <c r="BD48" i="96"/>
  <c r="BE48" i="96" s="1"/>
  <c r="O53" i="124"/>
  <c r="AW48" i="96"/>
  <c r="Z46" i="120"/>
  <c r="AC48" i="110"/>
  <c r="W48" i="110"/>
  <c r="AW48" i="126"/>
  <c r="AV48" i="63"/>
  <c r="AW48" i="63" s="1"/>
  <c r="AQ49" i="64"/>
  <c r="AR49" i="64" s="1"/>
  <c r="BD48" i="114"/>
  <c r="BE48" i="114" s="1"/>
  <c r="BR52" i="124"/>
  <c r="AC47" i="15"/>
  <c r="AL48" i="126"/>
  <c r="AI48" i="126"/>
  <c r="AO48" i="110"/>
  <c r="AF48" i="110"/>
  <c r="Z48" i="126"/>
  <c r="AI47" i="15"/>
  <c r="AQ48" i="96"/>
  <c r="AR48" i="96" s="1"/>
  <c r="Z46" i="13"/>
  <c r="AQ46" i="13"/>
  <c r="AR46" i="13" s="1"/>
  <c r="BG47" i="118"/>
  <c r="BH47" i="118" s="1"/>
  <c r="BG48" i="126"/>
  <c r="BH48" i="126" s="1"/>
  <c r="W47" i="15"/>
  <c r="AF47" i="15"/>
  <c r="BR47" i="15"/>
  <c r="Z49" i="64"/>
  <c r="AV46" i="66"/>
  <c r="AW46" i="66" s="1"/>
  <c r="AI46" i="17"/>
  <c r="BH46" i="17"/>
  <c r="AQ48" i="114"/>
  <c r="AR48" i="114" s="1"/>
  <c r="AW52" i="124"/>
  <c r="AF52" i="124"/>
  <c r="AL46" i="17"/>
  <c r="AC46" i="17"/>
  <c r="AL48" i="63"/>
  <c r="AI48" i="63"/>
  <c r="BA46" i="66"/>
  <c r="BB46" i="66" s="1"/>
  <c r="BD48" i="126"/>
  <c r="BE48" i="126" s="1"/>
  <c r="BA46" i="120"/>
  <c r="BB46" i="120" s="1"/>
  <c r="BE48" i="63"/>
  <c r="W48" i="63"/>
  <c r="BG48" i="115"/>
  <c r="BH48" i="115" s="1"/>
  <c r="AW48" i="115"/>
  <c r="AI48" i="115"/>
  <c r="AW49" i="64"/>
  <c r="AC48" i="114"/>
  <c r="AW48" i="114"/>
  <c r="AC46" i="13"/>
  <c r="AL46" i="13"/>
  <c r="O49" i="114"/>
  <c r="AQ48" i="115"/>
  <c r="AR48" i="115" s="1"/>
  <c r="AL48" i="115"/>
  <c r="AF48" i="115"/>
  <c r="AI48" i="114"/>
  <c r="BB48" i="114"/>
  <c r="BR48" i="96"/>
  <c r="Z48" i="115"/>
  <c r="AW47" i="118"/>
  <c r="AL47" i="118"/>
  <c r="BG48" i="110"/>
  <c r="BH48" i="110" s="1"/>
  <c r="BR48" i="126"/>
  <c r="BB48" i="126"/>
  <c r="BR48" i="63"/>
  <c r="AO48" i="63"/>
  <c r="AF48" i="63"/>
  <c r="AC48" i="115"/>
  <c r="BR48" i="115"/>
  <c r="BR49" i="64"/>
  <c r="AL49" i="64"/>
  <c r="AO49" i="64"/>
  <c r="Z48" i="114"/>
  <c r="AO48" i="114"/>
  <c r="AF48" i="114"/>
  <c r="BR48" i="114"/>
  <c r="Z48" i="96"/>
  <c r="AF48" i="96"/>
  <c r="AI46" i="13"/>
  <c r="BH46" i="13"/>
  <c r="AH47" i="66"/>
  <c r="AB47" i="66"/>
  <c r="AK47" i="66"/>
  <c r="V47" i="66"/>
  <c r="AE47" i="66"/>
  <c r="BN47" i="66"/>
  <c r="BO47" i="66" s="1"/>
  <c r="M47" i="66"/>
  <c r="AN47" i="66"/>
  <c r="AY47" i="66"/>
  <c r="BA47" i="66" s="1"/>
  <c r="BL47" i="66"/>
  <c r="BQ47" i="66"/>
  <c r="AT47" i="66"/>
  <c r="AV47" i="66" s="1"/>
  <c r="R47" i="66"/>
  <c r="T47" i="66" s="1"/>
  <c r="Y47" i="66" s="1"/>
  <c r="AQ48" i="63"/>
  <c r="AR48" i="63" s="1"/>
  <c r="BD48" i="115"/>
  <c r="BE48" i="115" s="1"/>
  <c r="I51" i="96"/>
  <c r="K50" i="96"/>
  <c r="P50" i="96" s="1"/>
  <c r="M51" i="105"/>
  <c r="BN51" i="105"/>
  <c r="BO51" i="105" s="1"/>
  <c r="BJ51" i="105"/>
  <c r="BL51" i="105" s="1"/>
  <c r="BK51" i="105"/>
  <c r="AH51" i="105"/>
  <c r="AI51" i="105" s="1"/>
  <c r="Y51" i="105"/>
  <c r="Z51" i="105" s="1"/>
  <c r="AY51" i="105"/>
  <c r="AN51" i="105"/>
  <c r="AO51" i="105" s="1"/>
  <c r="AE51" i="105"/>
  <c r="AF51" i="105" s="1"/>
  <c r="R51" i="105"/>
  <c r="T51" i="105" s="1"/>
  <c r="BG51" i="105"/>
  <c r="BH51" i="105" s="1"/>
  <c r="AQ51" i="105"/>
  <c r="AR51" i="105" s="1"/>
  <c r="AB51" i="105"/>
  <c r="AC51" i="105" s="1"/>
  <c r="AK51" i="105"/>
  <c r="AL51" i="105" s="1"/>
  <c r="AT51" i="105"/>
  <c r="V51" i="105"/>
  <c r="W51" i="105" s="1"/>
  <c r="P51" i="105"/>
  <c r="AV51" i="105"/>
  <c r="AW51" i="105" s="1"/>
  <c r="O51" i="105"/>
  <c r="BQ51" i="105"/>
  <c r="BR51" i="105" s="1"/>
  <c r="BA51" i="105"/>
  <c r="BB51" i="105" s="1"/>
  <c r="BD51" i="105"/>
  <c r="BE51" i="105" s="1"/>
  <c r="K52" i="105"/>
  <c r="I54" i="126"/>
  <c r="BL47" i="13"/>
  <c r="BN47" i="13"/>
  <c r="BO47" i="13" s="1"/>
  <c r="M47" i="13"/>
  <c r="BQ47" i="13"/>
  <c r="AN47" i="13"/>
  <c r="AH47" i="13"/>
  <c r="V47" i="13"/>
  <c r="AB47" i="13"/>
  <c r="AK47" i="13"/>
  <c r="AE47" i="13"/>
  <c r="R47" i="13"/>
  <c r="T47" i="13" s="1"/>
  <c r="Y47" i="13" s="1"/>
  <c r="M50" i="64"/>
  <c r="AB50" i="64"/>
  <c r="AE50" i="64"/>
  <c r="AN50" i="64"/>
  <c r="AH50" i="64"/>
  <c r="V50" i="64"/>
  <c r="AK50" i="64"/>
  <c r="AY50" i="64"/>
  <c r="BG50" i="64" s="1"/>
  <c r="BL50" i="64"/>
  <c r="BN50" i="64"/>
  <c r="BO50" i="64" s="1"/>
  <c r="BQ50" i="64"/>
  <c r="AT50" i="64"/>
  <c r="AV50" i="64" s="1"/>
  <c r="K51" i="64"/>
  <c r="R50" i="64"/>
  <c r="T50" i="64" s="1"/>
  <c r="Y50" i="64" s="1"/>
  <c r="I54" i="63"/>
  <c r="AC48" i="96"/>
  <c r="AL48" i="96"/>
  <c r="I49" i="17"/>
  <c r="K48" i="17"/>
  <c r="P48" i="17" s="1"/>
  <c r="AF46" i="120"/>
  <c r="M53" i="124"/>
  <c r="K54" i="124"/>
  <c r="AH54" i="124" s="1"/>
  <c r="BJ53" i="124"/>
  <c r="BL53" i="124" s="1"/>
  <c r="BK53" i="124"/>
  <c r="BN53" i="124"/>
  <c r="BO53" i="124" s="1"/>
  <c r="V53" i="124"/>
  <c r="AE53" i="124"/>
  <c r="AB53" i="124"/>
  <c r="AT53" i="124"/>
  <c r="BD53" i="124" s="1"/>
  <c r="AY53" i="124"/>
  <c r="BA53" i="124" s="1"/>
  <c r="BQ53" i="124"/>
  <c r="AI46" i="66"/>
  <c r="M49" i="110"/>
  <c r="BJ49" i="110"/>
  <c r="BL49" i="110" s="1"/>
  <c r="BK49" i="110"/>
  <c r="BN49" i="110"/>
  <c r="BO49" i="110" s="1"/>
  <c r="V49" i="110"/>
  <c r="AH49" i="110"/>
  <c r="AE49" i="110"/>
  <c r="AK49" i="110"/>
  <c r="AB49" i="110"/>
  <c r="AT49" i="110"/>
  <c r="BD49" i="110" s="1"/>
  <c r="AN49" i="110"/>
  <c r="AY49" i="110"/>
  <c r="BA49" i="110" s="1"/>
  <c r="BQ49" i="110"/>
  <c r="BR49" i="110" s="1"/>
  <c r="I55" i="64"/>
  <c r="I52" i="135"/>
  <c r="K51" i="135"/>
  <c r="M48" i="101"/>
  <c r="AN48" i="101"/>
  <c r="AO48" i="101" s="1"/>
  <c r="AB48" i="101"/>
  <c r="AC48" i="101" s="1"/>
  <c r="AT48" i="101"/>
  <c r="BG48" i="101"/>
  <c r="BH48" i="101" s="1"/>
  <c r="AQ48" i="101"/>
  <c r="AR48" i="101" s="1"/>
  <c r="BQ48" i="101"/>
  <c r="BR48" i="101" s="1"/>
  <c r="P48" i="101"/>
  <c r="BD48" i="101"/>
  <c r="BE48" i="101" s="1"/>
  <c r="AV48" i="101"/>
  <c r="AW48" i="101" s="1"/>
  <c r="AE48" i="101"/>
  <c r="AF48" i="101" s="1"/>
  <c r="AY48" i="101"/>
  <c r="O48" i="101"/>
  <c r="Y48" i="101"/>
  <c r="Z48" i="101" s="1"/>
  <c r="BA48" i="101"/>
  <c r="BB48" i="101" s="1"/>
  <c r="R48" i="101"/>
  <c r="T48" i="101" s="1"/>
  <c r="AK48" i="101"/>
  <c r="AL48" i="101" s="1"/>
  <c r="AH48" i="101"/>
  <c r="AI48" i="101" s="1"/>
  <c r="V48" i="101"/>
  <c r="W48" i="101" s="1"/>
  <c r="BD47" i="118"/>
  <c r="BE47" i="118" s="1"/>
  <c r="AF47" i="118"/>
  <c r="M48" i="118"/>
  <c r="K49" i="118"/>
  <c r="BN48" i="118"/>
  <c r="BO48" i="118" s="1"/>
  <c r="AH48" i="118"/>
  <c r="AE48" i="118"/>
  <c r="AB48" i="118"/>
  <c r="V48" i="118"/>
  <c r="BQ48" i="118"/>
  <c r="AY48" i="118"/>
  <c r="BA48" i="118" s="1"/>
  <c r="AK48" i="118"/>
  <c r="AN48" i="118"/>
  <c r="AT48" i="118"/>
  <c r="AV48" i="118" s="1"/>
  <c r="M49" i="126"/>
  <c r="BJ49" i="126"/>
  <c r="BL49" i="126" s="1"/>
  <c r="BN49" i="126"/>
  <c r="BO49" i="126" s="1"/>
  <c r="BK49" i="126"/>
  <c r="V49" i="126"/>
  <c r="AB49" i="126"/>
  <c r="AK49" i="126"/>
  <c r="AY49" i="126"/>
  <c r="BG49" i="126" s="1"/>
  <c r="AT49" i="126"/>
  <c r="AV49" i="126" s="1"/>
  <c r="AE49" i="126"/>
  <c r="AN49" i="126"/>
  <c r="BQ49" i="126"/>
  <c r="K50" i="126"/>
  <c r="AH53" i="126" s="1"/>
  <c r="R49" i="126"/>
  <c r="T49" i="126" s="1"/>
  <c r="Y49" i="126" s="1"/>
  <c r="AQ48" i="126"/>
  <c r="AR48" i="126" s="1"/>
  <c r="AF48" i="126"/>
  <c r="W48" i="126"/>
  <c r="M49" i="63"/>
  <c r="BN49" i="63"/>
  <c r="BO49" i="63" s="1"/>
  <c r="BL49" i="63"/>
  <c r="AB49" i="63"/>
  <c r="AH49" i="63"/>
  <c r="AK49" i="63"/>
  <c r="AE49" i="63"/>
  <c r="V49" i="63"/>
  <c r="AN49" i="63"/>
  <c r="AY49" i="63"/>
  <c r="BA49" i="63" s="1"/>
  <c r="BQ49" i="63"/>
  <c r="AT49" i="63"/>
  <c r="AV49" i="63" s="1"/>
  <c r="K50" i="63"/>
  <c r="BL48" i="15"/>
  <c r="BN48" i="15"/>
  <c r="BO48" i="15" s="1"/>
  <c r="M48" i="15"/>
  <c r="AK48" i="15"/>
  <c r="AN48" i="15"/>
  <c r="AE48" i="15"/>
  <c r="V48" i="15"/>
  <c r="AB48" i="15"/>
  <c r="BQ48" i="15"/>
  <c r="AH48" i="15"/>
  <c r="K49" i="15"/>
  <c r="AQ47" i="15"/>
  <c r="AR47" i="15" s="1"/>
  <c r="I53" i="15"/>
  <c r="BG49" i="64"/>
  <c r="BH49" i="64" s="1"/>
  <c r="AF49" i="64"/>
  <c r="AC49" i="64"/>
  <c r="BK49" i="114"/>
  <c r="BN49" i="114"/>
  <c r="BO49" i="114" s="1"/>
  <c r="M49" i="114"/>
  <c r="BJ49" i="114"/>
  <c r="BL49" i="114" s="1"/>
  <c r="V49" i="114"/>
  <c r="AE49" i="114"/>
  <c r="AY49" i="114"/>
  <c r="BA49" i="114" s="1"/>
  <c r="AH49" i="114"/>
  <c r="AN49" i="114"/>
  <c r="AK49" i="114"/>
  <c r="AT49" i="114"/>
  <c r="AV49" i="114" s="1"/>
  <c r="AB49" i="114"/>
  <c r="BQ49" i="114"/>
  <c r="K50" i="114"/>
  <c r="P50" i="114" s="1"/>
  <c r="R49" i="114"/>
  <c r="T49" i="114" s="1"/>
  <c r="Y49" i="114" s="1"/>
  <c r="I55" i="136"/>
  <c r="I55" i="114"/>
  <c r="BN47" i="17"/>
  <c r="BO47" i="17" s="1"/>
  <c r="BL47" i="17"/>
  <c r="M47" i="17"/>
  <c r="AE47" i="17"/>
  <c r="AB47" i="17"/>
  <c r="V47" i="17"/>
  <c r="AK47" i="17"/>
  <c r="AH47" i="17"/>
  <c r="AN47" i="17"/>
  <c r="BQ47" i="17"/>
  <c r="R47" i="17"/>
  <c r="T47" i="17" s="1"/>
  <c r="Y47" i="17" s="1"/>
  <c r="AQ46" i="120"/>
  <c r="AR46" i="120" s="1"/>
  <c r="BR46" i="120"/>
  <c r="V47" i="120"/>
  <c r="K48" i="120"/>
  <c r="AE47" i="120"/>
  <c r="AB47" i="120"/>
  <c r="M47" i="120"/>
  <c r="AH47" i="120"/>
  <c r="BN47" i="120"/>
  <c r="BO47" i="120" s="1"/>
  <c r="BQ47" i="120"/>
  <c r="AK47" i="120"/>
  <c r="AN47" i="120"/>
  <c r="R47" i="120"/>
  <c r="T47" i="120" s="1"/>
  <c r="Y47" i="120" s="1"/>
  <c r="AI46" i="120"/>
  <c r="BD52" i="124"/>
  <c r="BE52" i="124" s="1"/>
  <c r="I58" i="95"/>
  <c r="AQ46" i="66"/>
  <c r="AR46" i="66" s="1"/>
  <c r="AC46" i="66"/>
  <c r="I51" i="110"/>
  <c r="K50" i="110"/>
  <c r="M50" i="135"/>
  <c r="AQ50" i="135"/>
  <c r="AR50" i="135" s="1"/>
  <c r="Y50" i="135"/>
  <c r="Z50" i="135" s="1"/>
  <c r="AB50" i="135"/>
  <c r="AC50" i="135" s="1"/>
  <c r="AV50" i="135"/>
  <c r="AW50" i="135" s="1"/>
  <c r="BG50" i="135"/>
  <c r="BH50" i="135" s="1"/>
  <c r="AY50" i="135"/>
  <c r="BD50" i="135"/>
  <c r="BE50" i="135" s="1"/>
  <c r="AT50" i="135"/>
  <c r="AH50" i="135"/>
  <c r="AI50" i="135" s="1"/>
  <c r="AK50" i="135"/>
  <c r="AL50" i="135" s="1"/>
  <c r="BA50" i="135"/>
  <c r="BB50" i="135" s="1"/>
  <c r="AE50" i="135"/>
  <c r="AF50" i="135" s="1"/>
  <c r="BQ50" i="135"/>
  <c r="BR50" i="135" s="1"/>
  <c r="AN50" i="135"/>
  <c r="AO50" i="135" s="1"/>
  <c r="V50" i="135"/>
  <c r="W50" i="135" s="1"/>
  <c r="P50" i="135"/>
  <c r="R50" i="135"/>
  <c r="T50" i="135" s="1"/>
  <c r="BN50" i="135"/>
  <c r="BO50" i="135" s="1"/>
  <c r="O50" i="135"/>
  <c r="BL50" i="135"/>
  <c r="I50" i="101"/>
  <c r="K49" i="101"/>
  <c r="BN49" i="98"/>
  <c r="BO49" i="98" s="1"/>
  <c r="BK49" i="98"/>
  <c r="K50" i="98"/>
  <c r="M49" i="98"/>
  <c r="BJ49" i="98"/>
  <c r="BL49" i="98" s="1"/>
  <c r="Y49" i="98"/>
  <c r="Z49" i="98" s="1"/>
  <c r="AE49" i="98"/>
  <c r="AF49" i="98" s="1"/>
  <c r="AK49" i="98"/>
  <c r="AL49" i="98" s="1"/>
  <c r="AH49" i="98"/>
  <c r="AI49" i="98" s="1"/>
  <c r="O49" i="98"/>
  <c r="BQ49" i="98"/>
  <c r="BR49" i="98" s="1"/>
  <c r="AT49" i="98"/>
  <c r="R49" i="98"/>
  <c r="T49" i="98" s="1"/>
  <c r="AY49" i="98"/>
  <c r="BD49" i="98"/>
  <c r="BE49" i="98" s="1"/>
  <c r="AQ49" i="98"/>
  <c r="AR49" i="98" s="1"/>
  <c r="BA49" i="98"/>
  <c r="BB49" i="98" s="1"/>
  <c r="BG49" i="98"/>
  <c r="BH49" i="98" s="1"/>
  <c r="AB49" i="98"/>
  <c r="AC49" i="98" s="1"/>
  <c r="V49" i="98"/>
  <c r="W49" i="98" s="1"/>
  <c r="P49" i="98"/>
  <c r="AN49" i="98"/>
  <c r="AO49" i="98" s="1"/>
  <c r="AV49" i="98"/>
  <c r="AW49" i="98" s="1"/>
  <c r="O49" i="96"/>
  <c r="P49" i="15"/>
  <c r="AQ47" i="118"/>
  <c r="AR47" i="118" s="1"/>
  <c r="AC47" i="118"/>
  <c r="AI47" i="118"/>
  <c r="AQ48" i="110"/>
  <c r="AR48" i="110" s="1"/>
  <c r="AO48" i="126"/>
  <c r="I105" i="99"/>
  <c r="BD49" i="64"/>
  <c r="BE49" i="64" s="1"/>
  <c r="AI49" i="64"/>
  <c r="W49" i="64"/>
  <c r="BG48" i="114"/>
  <c r="BH48" i="114" s="1"/>
  <c r="P50" i="64"/>
  <c r="P51" i="64" s="1"/>
  <c r="I53" i="104"/>
  <c r="BB48" i="96"/>
  <c r="W48" i="96"/>
  <c r="O47" i="66"/>
  <c r="BA46" i="13"/>
  <c r="BB46" i="13" s="1"/>
  <c r="W46" i="13"/>
  <c r="BR46" i="13"/>
  <c r="AC46" i="120"/>
  <c r="BG52" i="124"/>
  <c r="BH52" i="124" s="1"/>
  <c r="P47" i="66"/>
  <c r="Z46" i="66"/>
  <c r="BR46" i="66"/>
  <c r="AF46" i="66"/>
  <c r="AO46" i="66"/>
  <c r="M49" i="115"/>
  <c r="BK49" i="115"/>
  <c r="BJ49" i="115"/>
  <c r="BL49" i="115" s="1"/>
  <c r="V49" i="115"/>
  <c r="BN49" i="115"/>
  <c r="BO49" i="115" s="1"/>
  <c r="AN49" i="115"/>
  <c r="BQ49" i="115"/>
  <c r="AH49" i="115"/>
  <c r="AB49" i="115"/>
  <c r="AE49" i="115"/>
  <c r="AT49" i="115"/>
  <c r="BD49" i="115" s="1"/>
  <c r="AK49" i="115"/>
  <c r="AY49" i="115"/>
  <c r="BA49" i="115" s="1"/>
  <c r="BB49" i="115" s="1"/>
  <c r="O50" i="64"/>
  <c r="P49" i="115"/>
  <c r="BR47" i="118"/>
  <c r="W47" i="118"/>
  <c r="K48" i="66"/>
  <c r="I49" i="66"/>
  <c r="I56" i="132"/>
  <c r="BG49" i="96"/>
  <c r="AH49" i="96"/>
  <c r="BL49" i="96"/>
  <c r="BN49" i="96"/>
  <c r="BO49" i="96" s="1"/>
  <c r="M49" i="96"/>
  <c r="AT49" i="96"/>
  <c r="BD49" i="96" s="1"/>
  <c r="AN49" i="96"/>
  <c r="AB49" i="96"/>
  <c r="V49" i="96"/>
  <c r="AK49" i="96"/>
  <c r="AE49" i="96"/>
  <c r="BQ49" i="96"/>
  <c r="BA49" i="96"/>
  <c r="R49" i="96"/>
  <c r="T49" i="96" s="1"/>
  <c r="Y49" i="96" s="1"/>
  <c r="O49" i="115"/>
  <c r="K48" i="13"/>
  <c r="P48" i="13" s="1"/>
  <c r="I49" i="13"/>
  <c r="AI48" i="96"/>
  <c r="BH48" i="96"/>
  <c r="AO48" i="96"/>
  <c r="I56" i="105"/>
  <c r="AO46" i="120"/>
  <c r="W46" i="120"/>
  <c r="AC52" i="124"/>
  <c r="BH46" i="66"/>
  <c r="AL46" i="66"/>
  <c r="W46" i="66"/>
  <c r="AQ46" i="17"/>
  <c r="AR46" i="17" s="1"/>
  <c r="I64" i="133"/>
  <c r="I51" i="115"/>
  <c r="K50" i="115"/>
  <c r="M51" i="136"/>
  <c r="BN51" i="136"/>
  <c r="BO51" i="136" s="1"/>
  <c r="BL51" i="136"/>
  <c r="AQ51" i="136"/>
  <c r="AR51" i="136" s="1"/>
  <c r="BA51" i="136"/>
  <c r="BB51" i="136" s="1"/>
  <c r="V51" i="136"/>
  <c r="W51" i="136" s="1"/>
  <c r="BG51" i="136"/>
  <c r="BH51" i="136" s="1"/>
  <c r="AN51" i="136"/>
  <c r="AO51" i="136" s="1"/>
  <c r="AH51" i="136"/>
  <c r="AI51" i="136" s="1"/>
  <c r="BD51" i="136"/>
  <c r="BE51" i="136" s="1"/>
  <c r="AB51" i="136"/>
  <c r="AC51" i="136" s="1"/>
  <c r="R51" i="136"/>
  <c r="T51" i="136" s="1"/>
  <c r="AV51" i="136"/>
  <c r="AW51" i="136" s="1"/>
  <c r="AT51" i="136"/>
  <c r="O51" i="136"/>
  <c r="BQ51" i="136"/>
  <c r="BR51" i="136" s="1"/>
  <c r="AK51" i="136"/>
  <c r="AL51" i="136" s="1"/>
  <c r="AY51" i="136"/>
  <c r="P51" i="136"/>
  <c r="Y51" i="136"/>
  <c r="Z51" i="136" s="1"/>
  <c r="AE51" i="136"/>
  <c r="AF51" i="136" s="1"/>
  <c r="K52" i="136"/>
  <c r="P31" i="95"/>
  <c r="P32" i="95" s="1"/>
  <c r="P33" i="95" s="1"/>
  <c r="P34" i="95" s="1"/>
  <c r="P35" i="95" s="1"/>
  <c r="P36" i="95" s="1"/>
  <c r="P37" i="95" s="1"/>
  <c r="P38" i="95" s="1"/>
  <c r="P39" i="95" s="1"/>
  <c r="P40" i="95" s="1"/>
  <c r="P41" i="95" s="1"/>
  <c r="P42" i="95" s="1"/>
  <c r="P43" i="95" s="1"/>
  <c r="P44" i="95" s="1"/>
  <c r="P45" i="95" s="1"/>
  <c r="P46" i="95" s="1"/>
  <c r="P47" i="95" s="1"/>
  <c r="P48" i="95" s="1"/>
  <c r="O30" i="95"/>
  <c r="V30" i="95" s="1"/>
  <c r="W30" i="95" s="1"/>
  <c r="T48" i="15"/>
  <c r="Y48" i="15" s="1"/>
  <c r="R49" i="15"/>
  <c r="O29" i="130"/>
  <c r="V29" i="130" s="1"/>
  <c r="W29" i="130" s="1"/>
  <c r="T49" i="63"/>
  <c r="Y49" i="63" s="1"/>
  <c r="R50" i="63"/>
  <c r="R50" i="110"/>
  <c r="T49" i="110"/>
  <c r="Y49" i="110" s="1"/>
  <c r="P27" i="98"/>
  <c r="V26" i="98"/>
  <c r="O27" i="135"/>
  <c r="R51" i="124"/>
  <c r="T50" i="124"/>
  <c r="Y50" i="124" s="1"/>
  <c r="Z50" i="124" s="1"/>
  <c r="V25" i="105"/>
  <c r="O30" i="13"/>
  <c r="O31" i="13" s="1"/>
  <c r="O32" i="13" s="1"/>
  <c r="O33" i="13" s="1"/>
  <c r="O34" i="13" s="1"/>
  <c r="O35" i="13" s="1"/>
  <c r="O36" i="13" s="1"/>
  <c r="O37" i="13" s="1"/>
  <c r="O38" i="13" s="1"/>
  <c r="O39" i="13" s="1"/>
  <c r="O40" i="13" s="1"/>
  <c r="O41" i="13" s="1"/>
  <c r="O42" i="13" s="1"/>
  <c r="O43" i="13" s="1"/>
  <c r="O44" i="13" s="1"/>
  <c r="O45" i="13" s="1"/>
  <c r="O46" i="13" s="1"/>
  <c r="O47" i="13" s="1"/>
  <c r="O30" i="106"/>
  <c r="P31" i="106"/>
  <c r="V30" i="106"/>
  <c r="W30" i="106" s="1"/>
  <c r="P27" i="107"/>
  <c r="V26" i="107"/>
  <c r="P30" i="130"/>
  <c r="P31" i="130" s="1"/>
  <c r="P32" i="130" s="1"/>
  <c r="P33" i="130" s="1"/>
  <c r="P34" i="130" s="1"/>
  <c r="P35" i="130" s="1"/>
  <c r="P36" i="130" s="1"/>
  <c r="P37" i="130" s="1"/>
  <c r="P38" i="130" s="1"/>
  <c r="P39" i="130" s="1"/>
  <c r="P40" i="130" s="1"/>
  <c r="P41" i="130" s="1"/>
  <c r="P42" i="130" s="1"/>
  <c r="P43" i="130" s="1"/>
  <c r="P44" i="130" s="1"/>
  <c r="W25" i="99"/>
  <c r="O26" i="99"/>
  <c r="O27" i="120"/>
  <c r="P28" i="120"/>
  <c r="V27" i="120"/>
  <c r="W27" i="120" s="1"/>
  <c r="T48" i="118"/>
  <c r="Y48" i="118" s="1"/>
  <c r="R49" i="118"/>
  <c r="P30" i="118"/>
  <c r="P31" i="118" s="1"/>
  <c r="P32" i="118" s="1"/>
  <c r="P33" i="118" s="1"/>
  <c r="P34" i="118" s="1"/>
  <c r="P35" i="118" s="1"/>
  <c r="P36" i="118" s="1"/>
  <c r="P37" i="118" s="1"/>
  <c r="P38" i="118" s="1"/>
  <c r="P39" i="118" s="1"/>
  <c r="P40" i="118" s="1"/>
  <c r="P41" i="118" s="1"/>
  <c r="P42" i="118" s="1"/>
  <c r="P43" i="118" s="1"/>
  <c r="P44" i="118" s="1"/>
  <c r="P45" i="118" s="1"/>
  <c r="P46" i="118" s="1"/>
  <c r="P47" i="118" s="1"/>
  <c r="P48" i="118" s="1"/>
  <c r="P49" i="118" s="1"/>
  <c r="O29" i="118"/>
  <c r="V29" i="118" s="1"/>
  <c r="W29" i="118" s="1"/>
  <c r="V28" i="63"/>
  <c r="W28" i="63" s="1"/>
  <c r="P29" i="63"/>
  <c r="O27" i="136"/>
  <c r="R50" i="115"/>
  <c r="T49" i="115"/>
  <c r="Y49" i="115" s="1"/>
  <c r="V27" i="135"/>
  <c r="W27" i="135" s="1"/>
  <c r="P28" i="135"/>
  <c r="P28" i="136"/>
  <c r="V27" i="136"/>
  <c r="W27" i="136" s="1"/>
  <c r="O30" i="15"/>
  <c r="O31" i="15" s="1"/>
  <c r="O32" i="15" s="1"/>
  <c r="O33" i="15" s="1"/>
  <c r="O34" i="15" s="1"/>
  <c r="O35" i="15" s="1"/>
  <c r="O36" i="15" s="1"/>
  <c r="O37" i="15" s="1"/>
  <c r="O38" i="15" s="1"/>
  <c r="O39" i="15" s="1"/>
  <c r="O40" i="15" s="1"/>
  <c r="O41" i="15" s="1"/>
  <c r="O42" i="15" s="1"/>
  <c r="O43" i="15" s="1"/>
  <c r="O44" i="15" s="1"/>
  <c r="O45" i="15" s="1"/>
  <c r="O46" i="15" s="1"/>
  <c r="O47" i="15" s="1"/>
  <c r="O48" i="15" s="1"/>
  <c r="O28" i="63"/>
  <c r="P31" i="104"/>
  <c r="V30" i="104"/>
  <c r="W30" i="104" s="1"/>
  <c r="V27" i="110"/>
  <c r="P26" i="112"/>
  <c r="W49" i="96" l="1"/>
  <c r="AI49" i="63"/>
  <c r="W49" i="110"/>
  <c r="AI47" i="13"/>
  <c r="W54" i="153"/>
  <c r="I55" i="107"/>
  <c r="K54" i="107"/>
  <c r="AW49" i="114"/>
  <c r="AW49" i="126"/>
  <c r="BB48" i="118"/>
  <c r="AY47" i="155"/>
  <c r="BG47" i="155" s="1"/>
  <c r="BH47" i="155" s="1"/>
  <c r="AC48" i="112"/>
  <c r="P54" i="124"/>
  <c r="W47" i="17"/>
  <c r="AL54" i="152"/>
  <c r="AT42" i="15"/>
  <c r="AV42" i="15" s="1"/>
  <c r="AW42" i="15" s="1"/>
  <c r="AY47" i="153"/>
  <c r="BA47" i="153" s="1"/>
  <c r="BB47" i="153" s="1"/>
  <c r="AY47" i="13"/>
  <c r="BA47" i="13" s="1"/>
  <c r="BB47" i="13" s="1"/>
  <c r="AY47" i="152"/>
  <c r="AQ47" i="95"/>
  <c r="AR47" i="95" s="1"/>
  <c r="AH51" i="132"/>
  <c r="AI51" i="132" s="1"/>
  <c r="AV51" i="132"/>
  <c r="AW51" i="132" s="1"/>
  <c r="Y51" i="132"/>
  <c r="Z51" i="132" s="1"/>
  <c r="AK51" i="132"/>
  <c r="AL51" i="132" s="1"/>
  <c r="AQ51" i="132"/>
  <c r="AR51" i="132" s="1"/>
  <c r="O51" i="132"/>
  <c r="AB51" i="132"/>
  <c r="AC51" i="132" s="1"/>
  <c r="BG51" i="132"/>
  <c r="BH51" i="132" s="1"/>
  <c r="BL51" i="132"/>
  <c r="R51" i="132"/>
  <c r="T51" i="132" s="1"/>
  <c r="AT51" i="132"/>
  <c r="AE51" i="132"/>
  <c r="AF51" i="132" s="1"/>
  <c r="K52" i="132"/>
  <c r="BQ51" i="132"/>
  <c r="BR51" i="132" s="1"/>
  <c r="BN51" i="132"/>
  <c r="BO51" i="132" s="1"/>
  <c r="AN51" i="132"/>
  <c r="AO51" i="132" s="1"/>
  <c r="AY51" i="132"/>
  <c r="BA51" i="132"/>
  <c r="BB51" i="132" s="1"/>
  <c r="M51" i="132"/>
  <c r="BD51" i="132"/>
  <c r="BE51" i="132" s="1"/>
  <c r="V51" i="132"/>
  <c r="W51" i="132" s="1"/>
  <c r="P51" i="132"/>
  <c r="O51" i="99"/>
  <c r="AE51" i="99"/>
  <c r="AF51" i="99" s="1"/>
  <c r="BD51" i="99"/>
  <c r="BE51" i="99" s="1"/>
  <c r="AK51" i="99"/>
  <c r="AL51" i="99" s="1"/>
  <c r="AT51" i="99"/>
  <c r="BG51" i="99"/>
  <c r="BH51" i="99" s="1"/>
  <c r="AQ51" i="99"/>
  <c r="AR51" i="99" s="1"/>
  <c r="R51" i="99"/>
  <c r="T51" i="99" s="1"/>
  <c r="AB51" i="99"/>
  <c r="AC51" i="99" s="1"/>
  <c r="BA51" i="99"/>
  <c r="BB51" i="99" s="1"/>
  <c r="Y51" i="99"/>
  <c r="Z51" i="99" s="1"/>
  <c r="BN51" i="99"/>
  <c r="BO51" i="99" s="1"/>
  <c r="AN51" i="99"/>
  <c r="AO51" i="99" s="1"/>
  <c r="AV51" i="99"/>
  <c r="AW51" i="99" s="1"/>
  <c r="M51" i="99"/>
  <c r="AH51" i="99"/>
  <c r="AI51" i="99" s="1"/>
  <c r="BQ51" i="99"/>
  <c r="BR51" i="99" s="1"/>
  <c r="BJ51" i="99"/>
  <c r="BL51" i="99" s="1"/>
  <c r="K52" i="99"/>
  <c r="BK51" i="99"/>
  <c r="AY51" i="99"/>
  <c r="P51" i="99"/>
  <c r="V51" i="99"/>
  <c r="W51" i="99" s="1"/>
  <c r="BR47" i="17"/>
  <c r="AY47" i="120"/>
  <c r="BA47" i="120" s="1"/>
  <c r="BB47" i="120" s="1"/>
  <c r="AY47" i="17"/>
  <c r="BA47" i="17" s="1"/>
  <c r="BB49" i="114"/>
  <c r="W49" i="126"/>
  <c r="AF48" i="118"/>
  <c r="W47" i="13"/>
  <c r="BN53" i="107"/>
  <c r="BO53" i="107" s="1"/>
  <c r="AH53" i="107"/>
  <c r="AI53" i="107" s="1"/>
  <c r="AY53" i="107"/>
  <c r="BD53" i="107"/>
  <c r="BE53" i="107" s="1"/>
  <c r="BK53" i="107"/>
  <c r="AB53" i="107"/>
  <c r="AC53" i="107" s="1"/>
  <c r="R53" i="107"/>
  <c r="T53" i="107" s="1"/>
  <c r="AE53" i="107"/>
  <c r="AF53" i="107" s="1"/>
  <c r="BA53" i="107"/>
  <c r="BB53" i="107" s="1"/>
  <c r="AT53" i="107"/>
  <c r="Y53" i="107"/>
  <c r="Z53" i="107" s="1"/>
  <c r="BJ53" i="107"/>
  <c r="BL53" i="107" s="1"/>
  <c r="BQ53" i="107"/>
  <c r="BR53" i="107" s="1"/>
  <c r="P53" i="107"/>
  <c r="BG53" i="107"/>
  <c r="BH53" i="107" s="1"/>
  <c r="AV53" i="107"/>
  <c r="AW53" i="107" s="1"/>
  <c r="M53" i="107"/>
  <c r="AQ53" i="107"/>
  <c r="AR53" i="107" s="1"/>
  <c r="O53" i="107"/>
  <c r="V53" i="107"/>
  <c r="W53" i="107" s="1"/>
  <c r="AK53" i="107"/>
  <c r="AL53" i="107" s="1"/>
  <c r="AN53" i="107"/>
  <c r="AO53" i="107" s="1"/>
  <c r="Z49" i="115"/>
  <c r="Z47" i="95"/>
  <c r="BB47" i="95"/>
  <c r="BH47" i="95"/>
  <c r="AF47" i="95"/>
  <c r="T45" i="156"/>
  <c r="Y45" i="156" s="1"/>
  <c r="Z45" i="156" s="1"/>
  <c r="R46" i="156"/>
  <c r="Z48" i="15"/>
  <c r="BR47" i="95"/>
  <c r="AL47" i="95"/>
  <c r="Z48" i="112"/>
  <c r="P25" i="156"/>
  <c r="AI47" i="95"/>
  <c r="AC47" i="95"/>
  <c r="AW47" i="95"/>
  <c r="AO47" i="95"/>
  <c r="BR53" i="156"/>
  <c r="W48" i="112"/>
  <c r="AV84" i="161"/>
  <c r="AW84" i="161" s="1"/>
  <c r="P84" i="161"/>
  <c r="BG84" i="161"/>
  <c r="BH84" i="161" s="1"/>
  <c r="BA84" i="161"/>
  <c r="BB84" i="161" s="1"/>
  <c r="AT84" i="161"/>
  <c r="AN84" i="161"/>
  <c r="AO84" i="161" s="1"/>
  <c r="AH84" i="161"/>
  <c r="AI84" i="161" s="1"/>
  <c r="AB84" i="161"/>
  <c r="AC84" i="161" s="1"/>
  <c r="V84" i="161"/>
  <c r="W84" i="161" s="1"/>
  <c r="O84" i="161"/>
  <c r="BD84" i="161"/>
  <c r="BE84" i="161" s="1"/>
  <c r="AQ84" i="161"/>
  <c r="AR84" i="161" s="1"/>
  <c r="AE84" i="161"/>
  <c r="AF84" i="161" s="1"/>
  <c r="R84" i="161"/>
  <c r="T84" i="161" s="1"/>
  <c r="AY84" i="161"/>
  <c r="AK84" i="161"/>
  <c r="AL84" i="161" s="1"/>
  <c r="Y84" i="161"/>
  <c r="Z84" i="161" s="1"/>
  <c r="BR84" i="161"/>
  <c r="BN84" i="161"/>
  <c r="BO84" i="161" s="1"/>
  <c r="BK84" i="161"/>
  <c r="M84" i="161"/>
  <c r="BJ84" i="161"/>
  <c r="BL84" i="161" s="1"/>
  <c r="I86" i="161"/>
  <c r="K85" i="161"/>
  <c r="BQ85" i="161" s="1"/>
  <c r="BD47" i="95"/>
  <c r="BE47" i="95" s="1"/>
  <c r="BN52" i="133"/>
  <c r="BO52" i="133" s="1"/>
  <c r="Y52" i="133"/>
  <c r="Z52" i="133" s="1"/>
  <c r="AB52" i="133"/>
  <c r="AC52" i="133" s="1"/>
  <c r="AH52" i="133"/>
  <c r="AI52" i="133" s="1"/>
  <c r="BL52" i="133"/>
  <c r="BA52" i="133"/>
  <c r="BB52" i="133" s="1"/>
  <c r="O52" i="133"/>
  <c r="BG52" i="133"/>
  <c r="BH52" i="133" s="1"/>
  <c r="P52" i="133"/>
  <c r="V52" i="133"/>
  <c r="W52" i="133" s="1"/>
  <c r="AE52" i="133"/>
  <c r="AF52" i="133" s="1"/>
  <c r="K53" i="133"/>
  <c r="AN52" i="133"/>
  <c r="AO52" i="133" s="1"/>
  <c r="AY52" i="133"/>
  <c r="BD52" i="133"/>
  <c r="BE52" i="133" s="1"/>
  <c r="BQ52" i="133"/>
  <c r="BR52" i="133" s="1"/>
  <c r="AV52" i="133"/>
  <c r="AW52" i="133" s="1"/>
  <c r="AQ52" i="133"/>
  <c r="AR52" i="133" s="1"/>
  <c r="M52" i="133"/>
  <c r="AK52" i="133"/>
  <c r="AL52" i="133" s="1"/>
  <c r="R52" i="133"/>
  <c r="T52" i="133" s="1"/>
  <c r="AT52" i="133"/>
  <c r="I56" i="106"/>
  <c r="AO49" i="63"/>
  <c r="AC49" i="110"/>
  <c r="AI50" i="64"/>
  <c r="AF47" i="13"/>
  <c r="W47" i="95"/>
  <c r="BQ50" i="129"/>
  <c r="BR50" i="129" s="1"/>
  <c r="AT50" i="129"/>
  <c r="BA50" i="129"/>
  <c r="BB50" i="129" s="1"/>
  <c r="AH50" i="129"/>
  <c r="AI50" i="129" s="1"/>
  <c r="AQ50" i="129"/>
  <c r="AR50" i="129" s="1"/>
  <c r="AY50" i="129"/>
  <c r="M50" i="129"/>
  <c r="R50" i="129"/>
  <c r="T50" i="129" s="1"/>
  <c r="O50" i="129"/>
  <c r="BG50" i="129"/>
  <c r="BH50" i="129" s="1"/>
  <c r="BN50" i="129"/>
  <c r="BO50" i="129" s="1"/>
  <c r="AN50" i="129"/>
  <c r="AO50" i="129" s="1"/>
  <c r="AB50" i="129"/>
  <c r="AC50" i="129" s="1"/>
  <c r="AV50" i="129"/>
  <c r="AW50" i="129" s="1"/>
  <c r="K51" i="129"/>
  <c r="P50" i="129"/>
  <c r="AK50" i="129"/>
  <c r="AL50" i="129" s="1"/>
  <c r="BD50" i="129"/>
  <c r="BE50" i="129" s="1"/>
  <c r="AE50" i="129"/>
  <c r="AF50" i="129" s="1"/>
  <c r="V50" i="129"/>
  <c r="W50" i="129" s="1"/>
  <c r="Y50" i="129"/>
  <c r="Z50" i="129" s="1"/>
  <c r="BL50" i="129"/>
  <c r="Y49" i="104"/>
  <c r="Z49" i="104" s="1"/>
  <c r="BQ49" i="104"/>
  <c r="BR49" i="104" s="1"/>
  <c r="BA49" i="104"/>
  <c r="BB49" i="104" s="1"/>
  <c r="O49" i="104"/>
  <c r="AN49" i="104"/>
  <c r="AO49" i="104" s="1"/>
  <c r="BD49" i="104"/>
  <c r="BE49" i="104" s="1"/>
  <c r="BK49" i="104"/>
  <c r="AE49" i="104"/>
  <c r="AF49" i="104" s="1"/>
  <c r="AK49" i="104"/>
  <c r="AL49" i="104" s="1"/>
  <c r="P49" i="104"/>
  <c r="BJ49" i="104"/>
  <c r="BL49" i="104" s="1"/>
  <c r="AB49" i="104"/>
  <c r="AC49" i="104" s="1"/>
  <c r="AH49" i="104"/>
  <c r="AI49" i="104" s="1"/>
  <c r="R49" i="104"/>
  <c r="T49" i="104" s="1"/>
  <c r="BN49" i="104"/>
  <c r="BO49" i="104" s="1"/>
  <c r="AY49" i="104"/>
  <c r="V49" i="104"/>
  <c r="W49" i="104" s="1"/>
  <c r="AT49" i="104"/>
  <c r="M49" i="104"/>
  <c r="AV49" i="104"/>
  <c r="AW49" i="104" s="1"/>
  <c r="BG49" i="104"/>
  <c r="BH49" i="104" s="1"/>
  <c r="AQ49" i="104"/>
  <c r="AR49" i="104" s="1"/>
  <c r="K50" i="104"/>
  <c r="AC53" i="156"/>
  <c r="AO48" i="112"/>
  <c r="I56" i="156"/>
  <c r="K55" i="156"/>
  <c r="AY55" i="156" s="1"/>
  <c r="BB49" i="96"/>
  <c r="W48" i="15"/>
  <c r="W54" i="152"/>
  <c r="M48" i="95"/>
  <c r="AB48" i="95"/>
  <c r="BQ48" i="95"/>
  <c r="BN48" i="95"/>
  <c r="BO48" i="95" s="1"/>
  <c r="AH48" i="95"/>
  <c r="K49" i="95"/>
  <c r="BL48" i="95"/>
  <c r="AT48" i="95"/>
  <c r="AV48" i="95" s="1"/>
  <c r="AE48" i="95"/>
  <c r="AN48" i="95"/>
  <c r="AK48" i="95"/>
  <c r="AL48" i="95" s="1"/>
  <c r="V48" i="95"/>
  <c r="BG48" i="95"/>
  <c r="BH48" i="95" s="1"/>
  <c r="BA48" i="95"/>
  <c r="R48" i="95"/>
  <c r="T48" i="95" s="1"/>
  <c r="Y48" i="95" s="1"/>
  <c r="Z48" i="95" s="1"/>
  <c r="AV48" i="112"/>
  <c r="AW48" i="112" s="1"/>
  <c r="BD48" i="112"/>
  <c r="BE48" i="112" s="1"/>
  <c r="BR48" i="112"/>
  <c r="V54" i="156"/>
  <c r="M54" i="156"/>
  <c r="AB54" i="156"/>
  <c r="AE54" i="156"/>
  <c r="AH54" i="156"/>
  <c r="BN54" i="156"/>
  <c r="BO54" i="156" s="1"/>
  <c r="AN54" i="156"/>
  <c r="BL54" i="156"/>
  <c r="AK54" i="156"/>
  <c r="BQ54" i="156"/>
  <c r="AO53" i="156"/>
  <c r="W53" i="156"/>
  <c r="AQ48" i="112"/>
  <c r="AR48" i="112" s="1"/>
  <c r="AI48" i="112"/>
  <c r="AL48" i="112"/>
  <c r="AF48" i="112"/>
  <c r="AC49" i="115"/>
  <c r="AL53" i="156"/>
  <c r="AF53" i="156"/>
  <c r="BJ49" i="112"/>
  <c r="BL49" i="112" s="1"/>
  <c r="AK49" i="112"/>
  <c r="R49" i="112"/>
  <c r="T49" i="112" s="1"/>
  <c r="Y49" i="112" s="1"/>
  <c r="M49" i="112"/>
  <c r="V49" i="112"/>
  <c r="BK49" i="112"/>
  <c r="AE49" i="112"/>
  <c r="AH49" i="112"/>
  <c r="AB49" i="112"/>
  <c r="K50" i="112"/>
  <c r="AT49" i="112"/>
  <c r="AN49" i="112"/>
  <c r="BN49" i="112"/>
  <c r="BO49" i="112" s="1"/>
  <c r="AY49" i="112"/>
  <c r="BQ49" i="112"/>
  <c r="BG49" i="106"/>
  <c r="BH49" i="106" s="1"/>
  <c r="AQ49" i="106"/>
  <c r="AR49" i="106" s="1"/>
  <c r="P49" i="106"/>
  <c r="M49" i="106"/>
  <c r="BQ49" i="106"/>
  <c r="BR49" i="106" s="1"/>
  <c r="AV49" i="106"/>
  <c r="AW49" i="106" s="1"/>
  <c r="R49" i="106"/>
  <c r="T49" i="106" s="1"/>
  <c r="Y49" i="106"/>
  <c r="Z49" i="106" s="1"/>
  <c r="BA49" i="106"/>
  <c r="BB49" i="106" s="1"/>
  <c r="AE49" i="106"/>
  <c r="AF49" i="106" s="1"/>
  <c r="BK49" i="106"/>
  <c r="BD49" i="106"/>
  <c r="BE49" i="106" s="1"/>
  <c r="AK49" i="106"/>
  <c r="AL49" i="106" s="1"/>
  <c r="AT49" i="106"/>
  <c r="BJ49" i="106"/>
  <c r="BL49" i="106" s="1"/>
  <c r="AB49" i="106"/>
  <c r="AC49" i="106" s="1"/>
  <c r="AN49" i="106"/>
  <c r="AO49" i="106" s="1"/>
  <c r="AY49" i="106"/>
  <c r="BN49" i="106"/>
  <c r="BO49" i="106" s="1"/>
  <c r="V49" i="106"/>
  <c r="W49" i="106" s="1"/>
  <c r="AH49" i="106"/>
  <c r="AI49" i="106" s="1"/>
  <c r="O49" i="106"/>
  <c r="K50" i="106"/>
  <c r="AQ53" i="156"/>
  <c r="AR53" i="156" s="1"/>
  <c r="AI53" i="156"/>
  <c r="BA48" i="112"/>
  <c r="BB48" i="112" s="1"/>
  <c r="BG48" i="112"/>
  <c r="BH48" i="112" s="1"/>
  <c r="AF51" i="146"/>
  <c r="BH51" i="146"/>
  <c r="BE51" i="146"/>
  <c r="AT42" i="150"/>
  <c r="AT42" i="156"/>
  <c r="BL50" i="130"/>
  <c r="K51" i="130"/>
  <c r="BN50" i="130"/>
  <c r="BO50" i="130" s="1"/>
  <c r="M50" i="130"/>
  <c r="BQ50" i="130"/>
  <c r="BR50" i="130" s="1"/>
  <c r="AV50" i="130"/>
  <c r="AW50" i="130" s="1"/>
  <c r="AQ50" i="130"/>
  <c r="AR50" i="130" s="1"/>
  <c r="Y50" i="130"/>
  <c r="Z50" i="130" s="1"/>
  <c r="V50" i="130"/>
  <c r="W50" i="130" s="1"/>
  <c r="R50" i="130"/>
  <c r="T50" i="130" s="1"/>
  <c r="P50" i="130"/>
  <c r="AH50" i="130"/>
  <c r="AI50" i="130" s="1"/>
  <c r="AK50" i="130"/>
  <c r="AL50" i="130" s="1"/>
  <c r="AE50" i="130"/>
  <c r="AF50" i="130" s="1"/>
  <c r="BD50" i="130"/>
  <c r="BE50" i="130" s="1"/>
  <c r="BA50" i="130"/>
  <c r="BB50" i="130" s="1"/>
  <c r="AY50" i="130"/>
  <c r="BG50" i="130"/>
  <c r="BH50" i="130" s="1"/>
  <c r="AT50" i="130"/>
  <c r="O50" i="130"/>
  <c r="AN50" i="130"/>
  <c r="AO50" i="130" s="1"/>
  <c r="AB50" i="130"/>
  <c r="AC50" i="130" s="1"/>
  <c r="BG46" i="15"/>
  <c r="BH46" i="15" s="1"/>
  <c r="BA46" i="15"/>
  <c r="BB46" i="15" s="1"/>
  <c r="BG47" i="150"/>
  <c r="BH47" i="150" s="1"/>
  <c r="BA47" i="150"/>
  <c r="BB47" i="150" s="1"/>
  <c r="BA47" i="151"/>
  <c r="BB47" i="151" s="1"/>
  <c r="BG47" i="151"/>
  <c r="BH47" i="151" s="1"/>
  <c r="BA47" i="152"/>
  <c r="BB47" i="152" s="1"/>
  <c r="BG47" i="152"/>
  <c r="BH47" i="152" s="1"/>
  <c r="BG46" i="149"/>
  <c r="BH46" i="149" s="1"/>
  <c r="BA46" i="149"/>
  <c r="BB46" i="149" s="1"/>
  <c r="BA46" i="156"/>
  <c r="BB46" i="156" s="1"/>
  <c r="BG46" i="156"/>
  <c r="BH46" i="156" s="1"/>
  <c r="A52" i="7"/>
  <c r="AY48" i="150" s="1"/>
  <c r="AY47" i="156"/>
  <c r="AY48" i="155"/>
  <c r="AY47" i="15"/>
  <c r="AV41" i="156"/>
  <c r="AW41" i="156" s="1"/>
  <c r="BD41" i="156"/>
  <c r="BE41" i="156" s="1"/>
  <c r="AV41" i="150"/>
  <c r="AW41" i="150" s="1"/>
  <c r="BD41" i="150"/>
  <c r="BE41" i="150" s="1"/>
  <c r="W51" i="150"/>
  <c r="Z52" i="151"/>
  <c r="Z47" i="120"/>
  <c r="BR47" i="120"/>
  <c r="BB53" i="124"/>
  <c r="W51" i="146"/>
  <c r="Z53" i="149"/>
  <c r="W24" i="155"/>
  <c r="O25" i="155"/>
  <c r="T44" i="155"/>
  <c r="Y44" i="155" s="1"/>
  <c r="Z44" i="155" s="1"/>
  <c r="R45" i="155"/>
  <c r="W54" i="155"/>
  <c r="Z54" i="152"/>
  <c r="AV41" i="15"/>
  <c r="AW41" i="15" s="1"/>
  <c r="Z54" i="153"/>
  <c r="AF54" i="153"/>
  <c r="AO54" i="153"/>
  <c r="AL54" i="155"/>
  <c r="AI54" i="152"/>
  <c r="BR54" i="152"/>
  <c r="AC54" i="153"/>
  <c r="AI54" i="155"/>
  <c r="BR54" i="155"/>
  <c r="AC54" i="155"/>
  <c r="M55" i="155"/>
  <c r="BQ55" i="155"/>
  <c r="BR55" i="155" s="1"/>
  <c r="O55" i="155"/>
  <c r="V55" i="155"/>
  <c r="W55" i="155" s="1"/>
  <c r="AB55" i="155"/>
  <c r="AH55" i="155"/>
  <c r="AI55" i="155" s="1"/>
  <c r="AN55" i="155"/>
  <c r="AO55" i="155" s="1"/>
  <c r="BA55" i="155"/>
  <c r="BB55" i="155" s="1"/>
  <c r="BG55" i="155"/>
  <c r="BH55" i="155" s="1"/>
  <c r="P55" i="155"/>
  <c r="AV55" i="155"/>
  <c r="AW55" i="155" s="1"/>
  <c r="BN55" i="155"/>
  <c r="BO55" i="155" s="1"/>
  <c r="AE55" i="155"/>
  <c r="AF55" i="155" s="1"/>
  <c r="BD55" i="155"/>
  <c r="BE55" i="155" s="1"/>
  <c r="AK55" i="155"/>
  <c r="AL55" i="155" s="1"/>
  <c r="R55" i="155"/>
  <c r="T55" i="155" s="1"/>
  <c r="AQ55" i="155"/>
  <c r="AR55" i="155" s="1"/>
  <c r="Y55" i="155"/>
  <c r="Z55" i="155" s="1"/>
  <c r="BL55" i="155"/>
  <c r="I57" i="155"/>
  <c r="K56" i="155"/>
  <c r="AQ54" i="155"/>
  <c r="AR54" i="155" s="1"/>
  <c r="AF54" i="155"/>
  <c r="AO54" i="155"/>
  <c r="BD41" i="17"/>
  <c r="BE41" i="17" s="1"/>
  <c r="AV41" i="17"/>
  <c r="AW41" i="17" s="1"/>
  <c r="BD42" i="15"/>
  <c r="BE42" i="15" s="1"/>
  <c r="A44" i="58"/>
  <c r="AT42" i="17"/>
  <c r="AT42" i="120"/>
  <c r="AT42" i="136"/>
  <c r="AT42" i="13"/>
  <c r="BD41" i="130"/>
  <c r="BE41" i="130" s="1"/>
  <c r="AV41" i="130"/>
  <c r="AW41" i="130" s="1"/>
  <c r="BD41" i="13"/>
  <c r="BE41" i="13" s="1"/>
  <c r="AV41" i="13"/>
  <c r="AW41" i="13" s="1"/>
  <c r="BD41" i="120"/>
  <c r="BE41" i="120" s="1"/>
  <c r="AV41" i="120"/>
  <c r="AW41" i="120" s="1"/>
  <c r="AL54" i="153"/>
  <c r="AI54" i="153"/>
  <c r="BR54" i="153"/>
  <c r="I60" i="153"/>
  <c r="M55" i="153"/>
  <c r="BQ55" i="153"/>
  <c r="BR55" i="153" s="1"/>
  <c r="O55" i="153"/>
  <c r="V55" i="153"/>
  <c r="W55" i="153" s="1"/>
  <c r="AB55" i="153"/>
  <c r="AH55" i="153"/>
  <c r="AI55" i="153" s="1"/>
  <c r="AN55" i="153"/>
  <c r="AO55" i="153" s="1"/>
  <c r="BA55" i="153"/>
  <c r="BB55" i="153" s="1"/>
  <c r="BG55" i="153"/>
  <c r="BH55" i="153" s="1"/>
  <c r="P55" i="153"/>
  <c r="AV55" i="153"/>
  <c r="AW55" i="153" s="1"/>
  <c r="BN55" i="153"/>
  <c r="BO55" i="153" s="1"/>
  <c r="Y55" i="153"/>
  <c r="Z55" i="153" s="1"/>
  <c r="AE55" i="153"/>
  <c r="AF55" i="153" s="1"/>
  <c r="BD55" i="153"/>
  <c r="BE55" i="153" s="1"/>
  <c r="AK55" i="153"/>
  <c r="AL55" i="153" s="1"/>
  <c r="R55" i="153"/>
  <c r="T55" i="153" s="1"/>
  <c r="AQ55" i="153"/>
  <c r="AR55" i="153" s="1"/>
  <c r="BL55" i="153"/>
  <c r="K56" i="153"/>
  <c r="AQ54" i="153"/>
  <c r="AR54" i="153" s="1"/>
  <c r="AF54" i="152"/>
  <c r="AC54" i="152"/>
  <c r="AO54" i="152"/>
  <c r="BD49" i="126"/>
  <c r="BE49" i="126" s="1"/>
  <c r="AQ54" i="152"/>
  <c r="AR54" i="152" s="1"/>
  <c r="I64" i="152"/>
  <c r="M55" i="152"/>
  <c r="BQ55" i="152"/>
  <c r="BR55" i="152" s="1"/>
  <c r="O55" i="152"/>
  <c r="V55" i="152"/>
  <c r="W55" i="152" s="1"/>
  <c r="AB55" i="152"/>
  <c r="AH55" i="152"/>
  <c r="AI55" i="152" s="1"/>
  <c r="AN55" i="152"/>
  <c r="AO55" i="152" s="1"/>
  <c r="BA55" i="152"/>
  <c r="BB55" i="152" s="1"/>
  <c r="BG55" i="152"/>
  <c r="BH55" i="152" s="1"/>
  <c r="P55" i="152"/>
  <c r="AV55" i="152"/>
  <c r="AW55" i="152" s="1"/>
  <c r="BN55" i="152"/>
  <c r="BO55" i="152" s="1"/>
  <c r="R55" i="152"/>
  <c r="T55" i="152" s="1"/>
  <c r="Y55" i="152"/>
  <c r="Z55" i="152" s="1"/>
  <c r="AE55" i="152"/>
  <c r="AF55" i="152" s="1"/>
  <c r="AK55" i="152"/>
  <c r="AL55" i="152" s="1"/>
  <c r="AQ55" i="152"/>
  <c r="AR55" i="152" s="1"/>
  <c r="BD55" i="152"/>
  <c r="BE55" i="152" s="1"/>
  <c r="BL55" i="152"/>
  <c r="K56" i="152"/>
  <c r="AL49" i="114"/>
  <c r="AF49" i="114"/>
  <c r="Z49" i="126"/>
  <c r="AO49" i="126"/>
  <c r="BH49" i="126"/>
  <c r="AW48" i="118"/>
  <c r="AW50" i="64"/>
  <c r="BH50" i="64"/>
  <c r="AO51" i="150"/>
  <c r="BR50" i="64"/>
  <c r="Z48" i="118"/>
  <c r="Z50" i="64"/>
  <c r="AF51" i="150"/>
  <c r="O49" i="15"/>
  <c r="O48" i="13"/>
  <c r="BR52" i="151"/>
  <c r="AI52" i="151"/>
  <c r="AK53" i="151"/>
  <c r="AE53" i="151"/>
  <c r="R53" i="151"/>
  <c r="T53" i="151" s="1"/>
  <c r="Y53" i="151" s="1"/>
  <c r="P53" i="151"/>
  <c r="AN53" i="151"/>
  <c r="AH53" i="151"/>
  <c r="AB53" i="151"/>
  <c r="V53" i="151"/>
  <c r="O53" i="151"/>
  <c r="BQ53" i="151"/>
  <c r="M53" i="151"/>
  <c r="BN53" i="151"/>
  <c r="BO53" i="151" s="1"/>
  <c r="BL53" i="151"/>
  <c r="AO52" i="151"/>
  <c r="AF52" i="151"/>
  <c r="W52" i="151"/>
  <c r="AL52" i="151"/>
  <c r="AC52" i="151"/>
  <c r="AQ52" i="151"/>
  <c r="AR52" i="151" s="1"/>
  <c r="K54" i="151"/>
  <c r="I55" i="151"/>
  <c r="I56" i="150"/>
  <c r="AI51" i="150"/>
  <c r="AQ51" i="150"/>
  <c r="AR51" i="150" s="1"/>
  <c r="AC51" i="150"/>
  <c r="Z51" i="150"/>
  <c r="BQ52" i="150"/>
  <c r="AK52" i="150"/>
  <c r="AE52" i="150"/>
  <c r="R52" i="150"/>
  <c r="T52" i="150" s="1"/>
  <c r="Y52" i="150" s="1"/>
  <c r="AN52" i="150"/>
  <c r="AB52" i="150"/>
  <c r="O52" i="150"/>
  <c r="AH52" i="150"/>
  <c r="V52" i="150"/>
  <c r="BN52" i="150"/>
  <c r="BO52" i="150" s="1"/>
  <c r="P52" i="150"/>
  <c r="M52" i="150"/>
  <c r="BL52" i="150"/>
  <c r="K53" i="150"/>
  <c r="AL51" i="150"/>
  <c r="BR51" i="150"/>
  <c r="BG49" i="114"/>
  <c r="BH49" i="114" s="1"/>
  <c r="W53" i="149"/>
  <c r="AC53" i="149"/>
  <c r="AF53" i="149"/>
  <c r="AI53" i="149"/>
  <c r="AL53" i="149"/>
  <c r="P54" i="149"/>
  <c r="BQ54" i="149"/>
  <c r="AK54" i="149"/>
  <c r="AH54" i="149"/>
  <c r="V54" i="149"/>
  <c r="AE54" i="149"/>
  <c r="R54" i="149"/>
  <c r="T54" i="149" s="1"/>
  <c r="Y54" i="149" s="1"/>
  <c r="AN54" i="149"/>
  <c r="AB54" i="149"/>
  <c r="O54" i="149"/>
  <c r="M54" i="149"/>
  <c r="BN54" i="149"/>
  <c r="BO54" i="149" s="1"/>
  <c r="BL54" i="149"/>
  <c r="AO53" i="149"/>
  <c r="AQ53" i="149"/>
  <c r="AR53" i="149" s="1"/>
  <c r="I56" i="149"/>
  <c r="K55" i="149"/>
  <c r="AT55" i="149" s="1"/>
  <c r="BR53" i="149"/>
  <c r="BD49" i="114"/>
  <c r="BE49" i="114" s="1"/>
  <c r="O50" i="126"/>
  <c r="BB52" i="147"/>
  <c r="Z49" i="114"/>
  <c r="AO48" i="118"/>
  <c r="W48" i="118"/>
  <c r="BB49" i="110"/>
  <c r="AL49" i="110"/>
  <c r="Z51" i="146"/>
  <c r="BG47" i="17"/>
  <c r="BH47" i="17" s="1"/>
  <c r="Z49" i="63"/>
  <c r="AW52" i="147"/>
  <c r="BR47" i="66"/>
  <c r="Z49" i="110"/>
  <c r="BB49" i="63"/>
  <c r="BE49" i="110"/>
  <c r="BD52" i="147"/>
  <c r="BE52" i="147" s="1"/>
  <c r="BG52" i="147"/>
  <c r="BH52" i="147" s="1"/>
  <c r="O51" i="64"/>
  <c r="AC52" i="147"/>
  <c r="AF52" i="147"/>
  <c r="BR52" i="147"/>
  <c r="AI52" i="147"/>
  <c r="W28" i="147"/>
  <c r="O29" i="147"/>
  <c r="I55" i="147"/>
  <c r="K54" i="147"/>
  <c r="AH54" i="147" s="1"/>
  <c r="Z52" i="147"/>
  <c r="W52" i="147"/>
  <c r="AT53" i="147"/>
  <c r="AV53" i="147" s="1"/>
  <c r="AB53" i="147"/>
  <c r="V53" i="147"/>
  <c r="BQ53" i="147"/>
  <c r="AY53" i="147"/>
  <c r="BA53" i="147" s="1"/>
  <c r="AE53" i="147"/>
  <c r="R53" i="147"/>
  <c r="T53" i="147" s="1"/>
  <c r="Y53" i="147" s="1"/>
  <c r="BJ53" i="147"/>
  <c r="BL53" i="147" s="1"/>
  <c r="BK53" i="147"/>
  <c r="BN53" i="147"/>
  <c r="BO53" i="147" s="1"/>
  <c r="M53" i="147"/>
  <c r="I54" i="146"/>
  <c r="K53" i="146"/>
  <c r="AH53" i="146" s="1"/>
  <c r="AV51" i="146"/>
  <c r="AW51" i="146" s="1"/>
  <c r="W27" i="146"/>
  <c r="O28" i="146"/>
  <c r="AC51" i="146"/>
  <c r="BA51" i="146"/>
  <c r="BB51" i="146" s="1"/>
  <c r="AT52" i="146"/>
  <c r="AV52" i="146" s="1"/>
  <c r="AB52" i="146"/>
  <c r="V52" i="146"/>
  <c r="BQ52" i="146"/>
  <c r="AY52" i="146"/>
  <c r="BA52" i="146" s="1"/>
  <c r="AE52" i="146"/>
  <c r="R52" i="146"/>
  <c r="T52" i="146" s="1"/>
  <c r="Y52" i="146" s="1"/>
  <c r="BJ52" i="146"/>
  <c r="BL52" i="146" s="1"/>
  <c r="BN52" i="146"/>
  <c r="BO52" i="146" s="1"/>
  <c r="M52" i="146"/>
  <c r="BK52" i="146"/>
  <c r="BR51" i="146"/>
  <c r="AI51" i="146"/>
  <c r="AQ50" i="64"/>
  <c r="AR50" i="64" s="1"/>
  <c r="AQ47" i="120"/>
  <c r="AR47" i="120" s="1"/>
  <c r="BR49" i="114"/>
  <c r="AQ48" i="15"/>
  <c r="AR48" i="15" s="1"/>
  <c r="AW49" i="63"/>
  <c r="AF49" i="126"/>
  <c r="Z47" i="17"/>
  <c r="AC49" i="114"/>
  <c r="AI49" i="114"/>
  <c r="BR49" i="126"/>
  <c r="AI49" i="126"/>
  <c r="AQ48" i="118"/>
  <c r="AR48" i="118" s="1"/>
  <c r="BE53" i="124"/>
  <c r="AF53" i="124"/>
  <c r="Z47" i="66"/>
  <c r="BB47" i="66"/>
  <c r="BR53" i="124"/>
  <c r="AW47" i="66"/>
  <c r="AF47" i="66"/>
  <c r="BR48" i="15"/>
  <c r="AL49" i="126"/>
  <c r="AO47" i="66"/>
  <c r="AF49" i="96"/>
  <c r="AO49" i="96"/>
  <c r="Z49" i="96"/>
  <c r="AL49" i="96"/>
  <c r="BE49" i="96"/>
  <c r="AC53" i="124"/>
  <c r="AL49" i="115"/>
  <c r="AI49" i="115"/>
  <c r="W49" i="115"/>
  <c r="AQ47" i="66"/>
  <c r="AR47" i="66" s="1"/>
  <c r="BG49" i="115"/>
  <c r="BH49" i="115" s="1"/>
  <c r="BE49" i="115"/>
  <c r="BR49" i="115"/>
  <c r="AC49" i="126"/>
  <c r="AO50" i="64"/>
  <c r="Z47" i="13"/>
  <c r="AI49" i="96"/>
  <c r="AC47" i="120"/>
  <c r="BG49" i="63"/>
  <c r="BH49" i="63" s="1"/>
  <c r="BG49" i="110"/>
  <c r="BH49" i="110" s="1"/>
  <c r="AQ49" i="115"/>
  <c r="AR49" i="115" s="1"/>
  <c r="AO48" i="15"/>
  <c r="BR49" i="63"/>
  <c r="BA49" i="126"/>
  <c r="BB49" i="126" s="1"/>
  <c r="BR49" i="96"/>
  <c r="AC49" i="96"/>
  <c r="AL47" i="120"/>
  <c r="AI47" i="120"/>
  <c r="AI47" i="17"/>
  <c r="AF47" i="17"/>
  <c r="AQ49" i="63"/>
  <c r="AR49" i="63" s="1"/>
  <c r="AF49" i="63"/>
  <c r="AV49" i="110"/>
  <c r="AW49" i="110" s="1"/>
  <c r="AV53" i="124"/>
  <c r="AW53" i="124" s="1"/>
  <c r="AI53" i="124"/>
  <c r="BD50" i="64"/>
  <c r="BE50" i="64" s="1"/>
  <c r="AQ47" i="13"/>
  <c r="AR47" i="13" s="1"/>
  <c r="AC47" i="13"/>
  <c r="BR47" i="13"/>
  <c r="BG47" i="66"/>
  <c r="BH47" i="66" s="1"/>
  <c r="M52" i="136"/>
  <c r="BN52" i="136"/>
  <c r="BO52" i="136" s="1"/>
  <c r="BL52" i="136"/>
  <c r="BQ52" i="136"/>
  <c r="BR52" i="136" s="1"/>
  <c r="BG52" i="136"/>
  <c r="BH52" i="136" s="1"/>
  <c r="AK52" i="136"/>
  <c r="AL52" i="136" s="1"/>
  <c r="AB52" i="136"/>
  <c r="AC52" i="136" s="1"/>
  <c r="AT52" i="136"/>
  <c r="R52" i="136"/>
  <c r="T52" i="136" s="1"/>
  <c r="AE52" i="136"/>
  <c r="AF52" i="136" s="1"/>
  <c r="Y52" i="136"/>
  <c r="Z52" i="136" s="1"/>
  <c r="O52" i="136"/>
  <c r="BD52" i="136"/>
  <c r="BE52" i="136" s="1"/>
  <c r="BA52" i="136"/>
  <c r="BB52" i="136" s="1"/>
  <c r="AQ52" i="136"/>
  <c r="AR52" i="136" s="1"/>
  <c r="AH52" i="136"/>
  <c r="AI52" i="136" s="1"/>
  <c r="V52" i="136"/>
  <c r="W52" i="136" s="1"/>
  <c r="AY52" i="136"/>
  <c r="AV52" i="136"/>
  <c r="AW52" i="136" s="1"/>
  <c r="AN52" i="136"/>
  <c r="AO52" i="136" s="1"/>
  <c r="P52" i="136"/>
  <c r="K53" i="136"/>
  <c r="I57" i="105"/>
  <c r="O50" i="115"/>
  <c r="O50" i="96"/>
  <c r="M49" i="101"/>
  <c r="BQ49" i="101"/>
  <c r="BR49" i="101" s="1"/>
  <c r="BG49" i="101"/>
  <c r="BH49" i="101" s="1"/>
  <c r="BD49" i="101"/>
  <c r="BE49" i="101" s="1"/>
  <c r="BA49" i="101"/>
  <c r="BB49" i="101" s="1"/>
  <c r="AY49" i="101"/>
  <c r="AV49" i="101"/>
  <c r="AW49" i="101" s="1"/>
  <c r="V49" i="101"/>
  <c r="W49" i="101" s="1"/>
  <c r="Y49" i="101"/>
  <c r="Z49" i="101" s="1"/>
  <c r="AT49" i="101"/>
  <c r="AB49" i="101"/>
  <c r="AC49" i="101" s="1"/>
  <c r="AQ49" i="101"/>
  <c r="AR49" i="101" s="1"/>
  <c r="AE49" i="101"/>
  <c r="AF49" i="101" s="1"/>
  <c r="O49" i="101"/>
  <c r="AK49" i="101"/>
  <c r="AL49" i="101" s="1"/>
  <c r="AN49" i="101"/>
  <c r="AO49" i="101" s="1"/>
  <c r="P49" i="101"/>
  <c r="R49" i="101"/>
  <c r="T49" i="101" s="1"/>
  <c r="AH49" i="101"/>
  <c r="AI49" i="101" s="1"/>
  <c r="V48" i="120"/>
  <c r="AE48" i="120"/>
  <c r="AB48" i="120"/>
  <c r="AH48" i="120"/>
  <c r="K49" i="120"/>
  <c r="M48" i="120"/>
  <c r="AY48" i="120"/>
  <c r="BG48" i="120" s="1"/>
  <c r="BN48" i="120"/>
  <c r="BO48" i="120" s="1"/>
  <c r="BQ48" i="120"/>
  <c r="AN48" i="120"/>
  <c r="AK48" i="120"/>
  <c r="R48" i="120"/>
  <c r="T48" i="120" s="1"/>
  <c r="Y48" i="120" s="1"/>
  <c r="I56" i="114"/>
  <c r="I56" i="64"/>
  <c r="AI49" i="110"/>
  <c r="BA50" i="64"/>
  <c r="BB50" i="64" s="1"/>
  <c r="AL47" i="13"/>
  <c r="AO47" i="13"/>
  <c r="BJ52" i="105"/>
  <c r="BL52" i="105" s="1"/>
  <c r="BK52" i="105"/>
  <c r="M52" i="105"/>
  <c r="BN52" i="105"/>
  <c r="BO52" i="105" s="1"/>
  <c r="BQ52" i="105"/>
  <c r="BR52" i="105" s="1"/>
  <c r="BD52" i="105"/>
  <c r="BE52" i="105" s="1"/>
  <c r="AV52" i="105"/>
  <c r="AW52" i="105" s="1"/>
  <c r="AN52" i="105"/>
  <c r="AO52" i="105" s="1"/>
  <c r="AH52" i="105"/>
  <c r="AI52" i="105" s="1"/>
  <c r="Y52" i="105"/>
  <c r="Z52" i="105" s="1"/>
  <c r="AK52" i="105"/>
  <c r="AL52" i="105" s="1"/>
  <c r="AE52" i="105"/>
  <c r="AF52" i="105" s="1"/>
  <c r="AY52" i="105"/>
  <c r="R52" i="105"/>
  <c r="T52" i="105" s="1"/>
  <c r="BA52" i="105"/>
  <c r="BB52" i="105" s="1"/>
  <c r="AB52" i="105"/>
  <c r="AC52" i="105" s="1"/>
  <c r="AQ52" i="105"/>
  <c r="AR52" i="105" s="1"/>
  <c r="AT52" i="105"/>
  <c r="P52" i="105"/>
  <c r="O52" i="105"/>
  <c r="BG52" i="105"/>
  <c r="BH52" i="105" s="1"/>
  <c r="V52" i="105"/>
  <c r="W52" i="105" s="1"/>
  <c r="K53" i="105"/>
  <c r="K51" i="96"/>
  <c r="P51" i="96" s="1"/>
  <c r="I52" i="96"/>
  <c r="AC47" i="66"/>
  <c r="I65" i="133"/>
  <c r="AV49" i="96"/>
  <c r="AW49" i="96" s="1"/>
  <c r="BH49" i="96"/>
  <c r="AV49" i="115"/>
  <c r="AW49" i="115" s="1"/>
  <c r="AF49" i="115"/>
  <c r="AO49" i="115"/>
  <c r="I106" i="99"/>
  <c r="BK50" i="98"/>
  <c r="BJ50" i="98"/>
  <c r="BL50" i="98" s="1"/>
  <c r="M50" i="98"/>
  <c r="BN50" i="98"/>
  <c r="BO50" i="98" s="1"/>
  <c r="K51" i="98"/>
  <c r="P50" i="98"/>
  <c r="AN50" i="98"/>
  <c r="AO50" i="98" s="1"/>
  <c r="BA50" i="98"/>
  <c r="BB50" i="98" s="1"/>
  <c r="AH50" i="98"/>
  <c r="AI50" i="98" s="1"/>
  <c r="BD50" i="98"/>
  <c r="BE50" i="98" s="1"/>
  <c r="AQ50" i="98"/>
  <c r="AR50" i="98" s="1"/>
  <c r="AY50" i="98"/>
  <c r="O50" i="98"/>
  <c r="AT50" i="98"/>
  <c r="BQ50" i="98"/>
  <c r="BR50" i="98" s="1"/>
  <c r="AE50" i="98"/>
  <c r="AF50" i="98" s="1"/>
  <c r="AK50" i="98"/>
  <c r="AL50" i="98" s="1"/>
  <c r="BG50" i="98"/>
  <c r="BH50" i="98" s="1"/>
  <c r="Y50" i="98"/>
  <c r="Z50" i="98" s="1"/>
  <c r="R50" i="98"/>
  <c r="T50" i="98" s="1"/>
  <c r="AB50" i="98"/>
  <c r="AC50" i="98" s="1"/>
  <c r="AV50" i="98"/>
  <c r="AW50" i="98" s="1"/>
  <c r="V50" i="98"/>
  <c r="W50" i="98" s="1"/>
  <c r="I51" i="101"/>
  <c r="K50" i="101"/>
  <c r="W47" i="120"/>
  <c r="AO47" i="17"/>
  <c r="AC47" i="17"/>
  <c r="I56" i="136"/>
  <c r="I54" i="15"/>
  <c r="AI48" i="15"/>
  <c r="AL48" i="15"/>
  <c r="BN50" i="63"/>
  <c r="BO50" i="63" s="1"/>
  <c r="M50" i="63"/>
  <c r="AB50" i="63"/>
  <c r="AE50" i="63"/>
  <c r="AK50" i="63"/>
  <c r="V50" i="63"/>
  <c r="AN50" i="63"/>
  <c r="AH50" i="63"/>
  <c r="BL50" i="63"/>
  <c r="AY50" i="63"/>
  <c r="BA50" i="63" s="1"/>
  <c r="BQ50" i="63"/>
  <c r="AT50" i="63"/>
  <c r="BD50" i="63" s="1"/>
  <c r="K51" i="63"/>
  <c r="AL49" i="63"/>
  <c r="BG48" i="118"/>
  <c r="BH48" i="118" s="1"/>
  <c r="AL48" i="118"/>
  <c r="AC48" i="118"/>
  <c r="M49" i="118"/>
  <c r="K50" i="118"/>
  <c r="V49" i="118"/>
  <c r="BN49" i="118"/>
  <c r="BO49" i="118" s="1"/>
  <c r="AB49" i="118"/>
  <c r="AY49" i="118"/>
  <c r="BA49" i="118" s="1"/>
  <c r="AH49" i="118"/>
  <c r="AE49" i="118"/>
  <c r="AN49" i="118"/>
  <c r="AK49" i="118"/>
  <c r="BQ49" i="118"/>
  <c r="AT49" i="118"/>
  <c r="AV49" i="118" s="1"/>
  <c r="M51" i="135"/>
  <c r="AB51" i="135"/>
  <c r="AC51" i="135" s="1"/>
  <c r="BD51" i="135"/>
  <c r="BE51" i="135" s="1"/>
  <c r="BG51" i="135"/>
  <c r="BH51" i="135" s="1"/>
  <c r="AY51" i="135"/>
  <c r="P51" i="135"/>
  <c r="V51" i="135"/>
  <c r="W51" i="135" s="1"/>
  <c r="AK51" i="135"/>
  <c r="AL51" i="135" s="1"/>
  <c r="AV51" i="135"/>
  <c r="AW51" i="135" s="1"/>
  <c r="BN51" i="135"/>
  <c r="BO51" i="135" s="1"/>
  <c r="AH51" i="135"/>
  <c r="AI51" i="135" s="1"/>
  <c r="AT51" i="135"/>
  <c r="BQ51" i="135"/>
  <c r="BR51" i="135" s="1"/>
  <c r="AE51" i="135"/>
  <c r="AF51" i="135" s="1"/>
  <c r="O51" i="135"/>
  <c r="AN51" i="135"/>
  <c r="AO51" i="135" s="1"/>
  <c r="BL51" i="135"/>
  <c r="R51" i="135"/>
  <c r="T51" i="135" s="1"/>
  <c r="BA51" i="135"/>
  <c r="BB51" i="135" s="1"/>
  <c r="AQ51" i="135"/>
  <c r="AR51" i="135" s="1"/>
  <c r="Y51" i="135"/>
  <c r="Z51" i="135" s="1"/>
  <c r="AQ49" i="110"/>
  <c r="AR49" i="110" s="1"/>
  <c r="I55" i="63"/>
  <c r="BD47" i="66"/>
  <c r="BE47" i="66" s="1"/>
  <c r="AI47" i="66"/>
  <c r="O50" i="114"/>
  <c r="M50" i="115"/>
  <c r="BJ50" i="115"/>
  <c r="BL50" i="115" s="1"/>
  <c r="BK50" i="115"/>
  <c r="BN50" i="115"/>
  <c r="BO50" i="115" s="1"/>
  <c r="V50" i="115"/>
  <c r="BQ50" i="115"/>
  <c r="AH50" i="115"/>
  <c r="AT50" i="115"/>
  <c r="BD50" i="115" s="1"/>
  <c r="AN50" i="115"/>
  <c r="AB50" i="115"/>
  <c r="AE50" i="115"/>
  <c r="AK50" i="115"/>
  <c r="AY50" i="115"/>
  <c r="BA50" i="115" s="1"/>
  <c r="I50" i="13"/>
  <c r="K49" i="13"/>
  <c r="AQ49" i="96"/>
  <c r="AR49" i="96" s="1"/>
  <c r="I57" i="132"/>
  <c r="I50" i="66"/>
  <c r="K49" i="66"/>
  <c r="P50" i="115"/>
  <c r="P48" i="66"/>
  <c r="O48" i="66"/>
  <c r="I54" i="104"/>
  <c r="BK50" i="110"/>
  <c r="M50" i="110"/>
  <c r="BN50" i="110"/>
  <c r="BO50" i="110" s="1"/>
  <c r="BJ50" i="110"/>
  <c r="BL50" i="110" s="1"/>
  <c r="AB50" i="110"/>
  <c r="AY50" i="110"/>
  <c r="BG50" i="110" s="1"/>
  <c r="AN50" i="110"/>
  <c r="AH50" i="110"/>
  <c r="AK50" i="110"/>
  <c r="V50" i="110"/>
  <c r="AT50" i="110"/>
  <c r="AV50" i="110" s="1"/>
  <c r="AE50" i="110"/>
  <c r="BQ50" i="110"/>
  <c r="BD49" i="63"/>
  <c r="BE49" i="63" s="1"/>
  <c r="BD48" i="118"/>
  <c r="BE48" i="118" s="1"/>
  <c r="I53" i="135"/>
  <c r="K52" i="135"/>
  <c r="BN48" i="17"/>
  <c r="BO48" i="17" s="1"/>
  <c r="AY48" i="17"/>
  <c r="BG48" i="17" s="1"/>
  <c r="BL48" i="17"/>
  <c r="AE48" i="17"/>
  <c r="AK48" i="17"/>
  <c r="AB48" i="17"/>
  <c r="AN48" i="17"/>
  <c r="AH48" i="17"/>
  <c r="M48" i="17"/>
  <c r="V48" i="17"/>
  <c r="BQ48" i="17"/>
  <c r="R48" i="17"/>
  <c r="T48" i="17" s="1"/>
  <c r="Y48" i="17" s="1"/>
  <c r="AL50" i="64"/>
  <c r="AF50" i="64"/>
  <c r="W47" i="66"/>
  <c r="O48" i="17"/>
  <c r="I52" i="115"/>
  <c r="K51" i="115"/>
  <c r="R51" i="115" s="1"/>
  <c r="BN48" i="13"/>
  <c r="BO48" i="13" s="1"/>
  <c r="M48" i="13"/>
  <c r="BL48" i="13"/>
  <c r="AY48" i="13"/>
  <c r="BA48" i="13" s="1"/>
  <c r="BQ48" i="13"/>
  <c r="V48" i="13"/>
  <c r="AH48" i="13"/>
  <c r="AB48" i="13"/>
  <c r="AK48" i="13"/>
  <c r="AN48" i="13"/>
  <c r="AE48" i="13"/>
  <c r="R48" i="13"/>
  <c r="T48" i="13" s="1"/>
  <c r="Y48" i="13" s="1"/>
  <c r="BL48" i="66"/>
  <c r="AB48" i="66"/>
  <c r="BN48" i="66"/>
  <c r="BO48" i="66" s="1"/>
  <c r="AE48" i="66"/>
  <c r="M48" i="66"/>
  <c r="V48" i="66"/>
  <c r="AK48" i="66"/>
  <c r="AH48" i="66"/>
  <c r="AN48" i="66"/>
  <c r="AY48" i="66"/>
  <c r="BA48" i="66" s="1"/>
  <c r="BQ48" i="66"/>
  <c r="AT48" i="66"/>
  <c r="AV48" i="66" s="1"/>
  <c r="R48" i="66"/>
  <c r="T48" i="66" s="1"/>
  <c r="Y48" i="66" s="1"/>
  <c r="I52" i="110"/>
  <c r="K51" i="110"/>
  <c r="I59" i="95"/>
  <c r="AO47" i="120"/>
  <c r="AF47" i="120"/>
  <c r="AQ47" i="17"/>
  <c r="AR47" i="17" s="1"/>
  <c r="AL47" i="17"/>
  <c r="BB47" i="17"/>
  <c r="BK50" i="114"/>
  <c r="BN50" i="114"/>
  <c r="BO50" i="114" s="1"/>
  <c r="BJ50" i="114"/>
  <c r="BL50" i="114" s="1"/>
  <c r="M50" i="114"/>
  <c r="AE50" i="114"/>
  <c r="AY50" i="114"/>
  <c r="BA50" i="114" s="1"/>
  <c r="V50" i="114"/>
  <c r="AT50" i="114"/>
  <c r="AV50" i="114" s="1"/>
  <c r="AB50" i="114"/>
  <c r="AK50" i="114"/>
  <c r="AN50" i="114"/>
  <c r="AH50" i="114"/>
  <c r="BQ50" i="114"/>
  <c r="K51" i="114"/>
  <c r="R50" i="114"/>
  <c r="T50" i="114" s="1"/>
  <c r="Y50" i="114" s="1"/>
  <c r="AQ49" i="114"/>
  <c r="AR49" i="114" s="1"/>
  <c r="AO49" i="114"/>
  <c r="W49" i="114"/>
  <c r="BL49" i="15"/>
  <c r="BN49" i="15"/>
  <c r="BO49" i="15" s="1"/>
  <c r="AN49" i="15"/>
  <c r="M49" i="15"/>
  <c r="BQ49" i="15"/>
  <c r="AB49" i="15"/>
  <c r="V49" i="15"/>
  <c r="AH49" i="15"/>
  <c r="AK49" i="15"/>
  <c r="AE49" i="15"/>
  <c r="K50" i="15"/>
  <c r="P50" i="15" s="1"/>
  <c r="AC48" i="15"/>
  <c r="AF48" i="15"/>
  <c r="W49" i="63"/>
  <c r="AC49" i="63"/>
  <c r="M50" i="126"/>
  <c r="BK50" i="126"/>
  <c r="BN50" i="126"/>
  <c r="BO50" i="126" s="1"/>
  <c r="V50" i="126"/>
  <c r="BJ50" i="126"/>
  <c r="BL50" i="126" s="1"/>
  <c r="AN50" i="126"/>
  <c r="AB50" i="126"/>
  <c r="AK50" i="126"/>
  <c r="AY50" i="126"/>
  <c r="BA50" i="126" s="1"/>
  <c r="AT50" i="126"/>
  <c r="AV50" i="126" s="1"/>
  <c r="AE50" i="126"/>
  <c r="BQ50" i="126"/>
  <c r="R50" i="126"/>
  <c r="T50" i="126" s="1"/>
  <c r="Y50" i="126" s="1"/>
  <c r="K51" i="126"/>
  <c r="AH54" i="126" s="1"/>
  <c r="AQ49" i="126"/>
  <c r="AR49" i="126" s="1"/>
  <c r="BR48" i="118"/>
  <c r="AI48" i="118"/>
  <c r="AO49" i="110"/>
  <c r="AF49" i="110"/>
  <c r="BG53" i="124"/>
  <c r="BH53" i="124" s="1"/>
  <c r="W53" i="124"/>
  <c r="M54" i="124"/>
  <c r="K55" i="124"/>
  <c r="BN54" i="124"/>
  <c r="BO54" i="124" s="1"/>
  <c r="BJ54" i="124"/>
  <c r="BL54" i="124" s="1"/>
  <c r="BK54" i="124"/>
  <c r="V54" i="124"/>
  <c r="AB54" i="124"/>
  <c r="AE54" i="124"/>
  <c r="AT54" i="124"/>
  <c r="AV54" i="124" s="1"/>
  <c r="AY54" i="124"/>
  <c r="BA54" i="124" s="1"/>
  <c r="BQ54" i="124"/>
  <c r="I50" i="17"/>
  <c r="K49" i="17"/>
  <c r="P49" i="17" s="1"/>
  <c r="AE51" i="64"/>
  <c r="AN51" i="64"/>
  <c r="AH51" i="64"/>
  <c r="M51" i="64"/>
  <c r="AK51" i="64"/>
  <c r="V51" i="64"/>
  <c r="AB51" i="64"/>
  <c r="AY51" i="64"/>
  <c r="BA51" i="64" s="1"/>
  <c r="BN51" i="64"/>
  <c r="BO51" i="64" s="1"/>
  <c r="BQ51" i="64"/>
  <c r="BL51" i="64"/>
  <c r="AT51" i="64"/>
  <c r="BD51" i="64" s="1"/>
  <c r="K52" i="64"/>
  <c r="R51" i="64"/>
  <c r="T51" i="64" s="1"/>
  <c r="Y51" i="64" s="1"/>
  <c r="W50" i="64"/>
  <c r="AC50" i="64"/>
  <c r="I55" i="126"/>
  <c r="M50" i="96"/>
  <c r="AB50" i="96"/>
  <c r="BG50" i="96"/>
  <c r="BL50" i="96"/>
  <c r="AE50" i="96"/>
  <c r="AN50" i="96"/>
  <c r="AH50" i="96"/>
  <c r="BN50" i="96"/>
  <c r="BO50" i="96" s="1"/>
  <c r="AK50" i="96"/>
  <c r="V50" i="96"/>
  <c r="AT50" i="96"/>
  <c r="BD50" i="96" s="1"/>
  <c r="BQ50" i="96"/>
  <c r="BA50" i="96"/>
  <c r="R50" i="96"/>
  <c r="T50" i="96" s="1"/>
  <c r="Y50" i="96" s="1"/>
  <c r="O54" i="124"/>
  <c r="AL47" i="66"/>
  <c r="P50" i="126"/>
  <c r="P51" i="126" s="1"/>
  <c r="O29" i="63"/>
  <c r="V29" i="63" s="1"/>
  <c r="W29" i="63" s="1"/>
  <c r="O31" i="95"/>
  <c r="O32" i="95" s="1"/>
  <c r="O33" i="95" s="1"/>
  <c r="O34" i="95" s="1"/>
  <c r="O35" i="95" s="1"/>
  <c r="O36" i="95" s="1"/>
  <c r="O37" i="95" s="1"/>
  <c r="O38" i="95" s="1"/>
  <c r="O39" i="95" s="1"/>
  <c r="O40" i="95" s="1"/>
  <c r="O41" i="95" s="1"/>
  <c r="O42" i="95" s="1"/>
  <c r="O43" i="95" s="1"/>
  <c r="O44" i="95" s="1"/>
  <c r="O45" i="95" s="1"/>
  <c r="O46" i="95" s="1"/>
  <c r="O47" i="95" s="1"/>
  <c r="O48" i="95" s="1"/>
  <c r="R50" i="15"/>
  <c r="T49" i="15"/>
  <c r="Y49" i="15" s="1"/>
  <c r="T51" i="124"/>
  <c r="Y51" i="124" s="1"/>
  <c r="Z51" i="124" s="1"/>
  <c r="R52" i="124"/>
  <c r="T50" i="63"/>
  <c r="Y50" i="63" s="1"/>
  <c r="Z50" i="63" s="1"/>
  <c r="R51" i="63"/>
  <c r="W26" i="98"/>
  <c r="O27" i="98"/>
  <c r="P28" i="98"/>
  <c r="V27" i="98"/>
  <c r="W27" i="98" s="1"/>
  <c r="R51" i="110"/>
  <c r="T50" i="110"/>
  <c r="Y50" i="110" s="1"/>
  <c r="O31" i="104"/>
  <c r="V31" i="104" s="1"/>
  <c r="W31" i="104" s="1"/>
  <c r="O28" i="136"/>
  <c r="W26" i="107"/>
  <c r="O27" i="107"/>
  <c r="O31" i="106"/>
  <c r="V31" i="106" s="1"/>
  <c r="W31" i="106" s="1"/>
  <c r="P28" i="107"/>
  <c r="V27" i="107"/>
  <c r="W27" i="107" s="1"/>
  <c r="P32" i="106"/>
  <c r="P33" i="106" s="1"/>
  <c r="P34" i="106" s="1"/>
  <c r="P35" i="106" s="1"/>
  <c r="P36" i="106" s="1"/>
  <c r="P37" i="106" s="1"/>
  <c r="P38" i="106" s="1"/>
  <c r="P39" i="106" s="1"/>
  <c r="W25" i="105"/>
  <c r="O26" i="105"/>
  <c r="P26" i="99"/>
  <c r="O30" i="130"/>
  <c r="O31" i="130" s="1"/>
  <c r="O32" i="130" s="1"/>
  <c r="O33" i="130" s="1"/>
  <c r="O34" i="130" s="1"/>
  <c r="O35" i="130" s="1"/>
  <c r="O36" i="130" s="1"/>
  <c r="O37" i="130" s="1"/>
  <c r="O38" i="130" s="1"/>
  <c r="O39" i="130" s="1"/>
  <c r="O40" i="130" s="1"/>
  <c r="O41" i="130" s="1"/>
  <c r="O42" i="130" s="1"/>
  <c r="O43" i="130" s="1"/>
  <c r="O44" i="130" s="1"/>
  <c r="O28" i="120"/>
  <c r="P29" i="120"/>
  <c r="V28" i="120"/>
  <c r="W28" i="120" s="1"/>
  <c r="R50" i="118"/>
  <c r="T49" i="118"/>
  <c r="Y49" i="118" s="1"/>
  <c r="O30" i="118"/>
  <c r="O31" i="118" s="1"/>
  <c r="O32" i="118" s="1"/>
  <c r="O33" i="118" s="1"/>
  <c r="O34" i="118" s="1"/>
  <c r="O35" i="118" s="1"/>
  <c r="O36" i="118" s="1"/>
  <c r="O37" i="118" s="1"/>
  <c r="O38" i="118" s="1"/>
  <c r="O39" i="118" s="1"/>
  <c r="O40" i="118" s="1"/>
  <c r="O41" i="118" s="1"/>
  <c r="O42" i="118" s="1"/>
  <c r="O43" i="118" s="1"/>
  <c r="O44" i="118" s="1"/>
  <c r="O45" i="118" s="1"/>
  <c r="O46" i="118" s="1"/>
  <c r="O47" i="118" s="1"/>
  <c r="O48" i="118" s="1"/>
  <c r="O49" i="118" s="1"/>
  <c r="P30" i="63"/>
  <c r="P31" i="63" s="1"/>
  <c r="P32" i="63" s="1"/>
  <c r="P33" i="63" s="1"/>
  <c r="P34" i="63" s="1"/>
  <c r="P35" i="63" s="1"/>
  <c r="P36" i="63" s="1"/>
  <c r="P37" i="63" s="1"/>
  <c r="P38" i="63" s="1"/>
  <c r="P39" i="63" s="1"/>
  <c r="P40" i="63" s="1"/>
  <c r="P41" i="63" s="1"/>
  <c r="P42" i="63" s="1"/>
  <c r="P43" i="63" s="1"/>
  <c r="P44" i="63" s="1"/>
  <c r="P45" i="63" s="1"/>
  <c r="P46" i="63" s="1"/>
  <c r="P47" i="63" s="1"/>
  <c r="P48" i="63" s="1"/>
  <c r="P49" i="63" s="1"/>
  <c r="P50" i="63" s="1"/>
  <c r="P51" i="63" s="1"/>
  <c r="P32" i="104"/>
  <c r="P33" i="104" s="1"/>
  <c r="P34" i="104" s="1"/>
  <c r="P35" i="104" s="1"/>
  <c r="P36" i="104" s="1"/>
  <c r="P37" i="104" s="1"/>
  <c r="P38" i="104" s="1"/>
  <c r="P39" i="104" s="1"/>
  <c r="W27" i="110"/>
  <c r="O28" i="110"/>
  <c r="P29" i="136"/>
  <c r="V28" i="136"/>
  <c r="W28" i="136" s="1"/>
  <c r="T50" i="115"/>
  <c r="Y50" i="115" s="1"/>
  <c r="P29" i="135"/>
  <c r="V28" i="135"/>
  <c r="W28" i="135" s="1"/>
  <c r="O28" i="135"/>
  <c r="V26" i="112"/>
  <c r="BG47" i="13" l="1"/>
  <c r="BH47" i="13" s="1"/>
  <c r="BB50" i="115"/>
  <c r="W50" i="115"/>
  <c r="W50" i="63"/>
  <c r="Z50" i="115"/>
  <c r="AI48" i="95"/>
  <c r="AO50" i="115"/>
  <c r="BB50" i="63"/>
  <c r="Z49" i="118"/>
  <c r="BG47" i="153"/>
  <c r="BH47" i="153" s="1"/>
  <c r="BA47" i="155"/>
  <c r="BB47" i="155" s="1"/>
  <c r="AN52" i="99"/>
  <c r="AO52" i="99" s="1"/>
  <c r="AE52" i="99"/>
  <c r="AF52" i="99" s="1"/>
  <c r="BQ52" i="99"/>
  <c r="BR52" i="99" s="1"/>
  <c r="P52" i="99"/>
  <c r="AH52" i="99"/>
  <c r="AI52" i="99" s="1"/>
  <c r="V52" i="99"/>
  <c r="W52" i="99" s="1"/>
  <c r="BN52" i="99"/>
  <c r="BO52" i="99" s="1"/>
  <c r="O52" i="99"/>
  <c r="AV52" i="99"/>
  <c r="AW52" i="99" s="1"/>
  <c r="R52" i="99"/>
  <c r="T52" i="99" s="1"/>
  <c r="AQ52" i="99"/>
  <c r="AR52" i="99" s="1"/>
  <c r="BJ52" i="99"/>
  <c r="BL52" i="99" s="1"/>
  <c r="AT52" i="99"/>
  <c r="M52" i="99"/>
  <c r="AK52" i="99"/>
  <c r="AL52" i="99" s="1"/>
  <c r="Y52" i="99"/>
  <c r="Z52" i="99" s="1"/>
  <c r="AY52" i="99"/>
  <c r="AB52" i="99"/>
  <c r="AC52" i="99" s="1"/>
  <c r="K53" i="99"/>
  <c r="BG52" i="99"/>
  <c r="BH52" i="99" s="1"/>
  <c r="BK52" i="99"/>
  <c r="BA52" i="99"/>
  <c r="BB52" i="99" s="1"/>
  <c r="BD52" i="99"/>
  <c r="BE52" i="99" s="1"/>
  <c r="BR49" i="112"/>
  <c r="AC49" i="112"/>
  <c r="Z49" i="112"/>
  <c r="AO48" i="95"/>
  <c r="BG47" i="120"/>
  <c r="BH47" i="120" s="1"/>
  <c r="AL49" i="112"/>
  <c r="BB51" i="64"/>
  <c r="P49" i="66"/>
  <c r="BB48" i="95"/>
  <c r="AW48" i="95"/>
  <c r="BJ54" i="107"/>
  <c r="BL54" i="107" s="1"/>
  <c r="BD54" i="107"/>
  <c r="BE54" i="107" s="1"/>
  <c r="P54" i="107"/>
  <c r="AK54" i="107"/>
  <c r="AL54" i="107" s="1"/>
  <c r="M54" i="107"/>
  <c r="AY54" i="107"/>
  <c r="BQ54" i="107"/>
  <c r="BR54" i="107" s="1"/>
  <c r="AN54" i="107"/>
  <c r="AO54" i="107" s="1"/>
  <c r="O54" i="107"/>
  <c r="BK54" i="107"/>
  <c r="V54" i="107"/>
  <c r="W54" i="107" s="1"/>
  <c r="AQ54" i="107"/>
  <c r="AR54" i="107" s="1"/>
  <c r="AH54" i="107"/>
  <c r="AI54" i="107" s="1"/>
  <c r="AV54" i="107"/>
  <c r="AW54" i="107" s="1"/>
  <c r="BN54" i="107"/>
  <c r="BO54" i="107" s="1"/>
  <c r="BA54" i="107"/>
  <c r="BB54" i="107" s="1"/>
  <c r="AB54" i="107"/>
  <c r="AC54" i="107" s="1"/>
  <c r="AT54" i="107"/>
  <c r="BG54" i="107"/>
  <c r="BH54" i="107" s="1"/>
  <c r="Y54" i="107"/>
  <c r="Z54" i="107" s="1"/>
  <c r="R54" i="107"/>
  <c r="T54" i="107" s="1"/>
  <c r="AE54" i="107"/>
  <c r="AF54" i="107" s="1"/>
  <c r="AO49" i="112"/>
  <c r="I56" i="107"/>
  <c r="K55" i="107"/>
  <c r="AO48" i="13"/>
  <c r="AO48" i="66"/>
  <c r="AY48" i="153"/>
  <c r="BA48" i="153" s="1"/>
  <c r="BB48" i="153" s="1"/>
  <c r="W49" i="112"/>
  <c r="AE52" i="132"/>
  <c r="AF52" i="132" s="1"/>
  <c r="P52" i="132"/>
  <c r="BD52" i="132"/>
  <c r="BE52" i="132" s="1"/>
  <c r="AT52" i="132"/>
  <c r="AV52" i="132"/>
  <c r="AW52" i="132" s="1"/>
  <c r="BQ52" i="132"/>
  <c r="BR52" i="132" s="1"/>
  <c r="AQ52" i="132"/>
  <c r="AR52" i="132" s="1"/>
  <c r="BN52" i="132"/>
  <c r="BO52" i="132" s="1"/>
  <c r="K53" i="132"/>
  <c r="M52" i="132"/>
  <c r="BA52" i="132"/>
  <c r="BB52" i="132" s="1"/>
  <c r="AK52" i="132"/>
  <c r="AL52" i="132" s="1"/>
  <c r="AN52" i="132"/>
  <c r="AO52" i="132" s="1"/>
  <c r="AB52" i="132"/>
  <c r="AC52" i="132" s="1"/>
  <c r="V52" i="132"/>
  <c r="W52" i="132" s="1"/>
  <c r="BG52" i="132"/>
  <c r="BH52" i="132" s="1"/>
  <c r="Y52" i="132"/>
  <c r="Z52" i="132" s="1"/>
  <c r="BL52" i="132"/>
  <c r="AH52" i="132"/>
  <c r="AI52" i="132" s="1"/>
  <c r="AY52" i="132"/>
  <c r="R52" i="132"/>
  <c r="T52" i="132" s="1"/>
  <c r="O52" i="132"/>
  <c r="O49" i="95"/>
  <c r="T46" i="156"/>
  <c r="Y46" i="156" s="1"/>
  <c r="Z46" i="156" s="1"/>
  <c r="R47" i="156"/>
  <c r="V25" i="156"/>
  <c r="P26" i="156"/>
  <c r="AV85" i="161"/>
  <c r="AW85" i="161" s="1"/>
  <c r="P85" i="161"/>
  <c r="BG85" i="161"/>
  <c r="BH85" i="161" s="1"/>
  <c r="BA85" i="161"/>
  <c r="BB85" i="161" s="1"/>
  <c r="AT85" i="161"/>
  <c r="AN85" i="161"/>
  <c r="AO85" i="161" s="1"/>
  <c r="AH85" i="161"/>
  <c r="AI85" i="161" s="1"/>
  <c r="AB85" i="161"/>
  <c r="AC85" i="161" s="1"/>
  <c r="V85" i="161"/>
  <c r="W85" i="161" s="1"/>
  <c r="O85" i="161"/>
  <c r="BD85" i="161"/>
  <c r="BE85" i="161" s="1"/>
  <c r="AQ85" i="161"/>
  <c r="AR85" i="161" s="1"/>
  <c r="AE85" i="161"/>
  <c r="AF85" i="161" s="1"/>
  <c r="R85" i="161"/>
  <c r="T85" i="161" s="1"/>
  <c r="AY85" i="161"/>
  <c r="AK85" i="161"/>
  <c r="AL85" i="161" s="1"/>
  <c r="Y85" i="161"/>
  <c r="Z85" i="161" s="1"/>
  <c r="BR85" i="161"/>
  <c r="BJ85" i="161"/>
  <c r="BL85" i="161" s="1"/>
  <c r="BN85" i="161"/>
  <c r="BO85" i="161" s="1"/>
  <c r="BK85" i="161"/>
  <c r="M85" i="161"/>
  <c r="I87" i="161"/>
  <c r="K86" i="161"/>
  <c r="BQ86" i="161" s="1"/>
  <c r="BD48" i="95"/>
  <c r="BE48" i="95" s="1"/>
  <c r="AI50" i="114"/>
  <c r="W48" i="13"/>
  <c r="AO49" i="118"/>
  <c r="AO48" i="120"/>
  <c r="BN50" i="112"/>
  <c r="BO50" i="112" s="1"/>
  <c r="AY50" i="112"/>
  <c r="R50" i="112"/>
  <c r="T50" i="112" s="1"/>
  <c r="Y50" i="112" s="1"/>
  <c r="BJ50" i="112"/>
  <c r="BL50" i="112" s="1"/>
  <c r="AB50" i="112"/>
  <c r="K51" i="112"/>
  <c r="AN50" i="112"/>
  <c r="AH50" i="112"/>
  <c r="AK50" i="112"/>
  <c r="BK50" i="112"/>
  <c r="AT50" i="112"/>
  <c r="V50" i="112"/>
  <c r="M50" i="112"/>
  <c r="AE50" i="112"/>
  <c r="BQ50" i="112"/>
  <c r="AL54" i="156"/>
  <c r="AC54" i="156"/>
  <c r="W48" i="95"/>
  <c r="AN49" i="95"/>
  <c r="BA49" i="95"/>
  <c r="M49" i="95"/>
  <c r="AH49" i="95"/>
  <c r="BQ49" i="95"/>
  <c r="BN49" i="95"/>
  <c r="BO49" i="95" s="1"/>
  <c r="AE49" i="95"/>
  <c r="K50" i="95"/>
  <c r="BL49" i="95"/>
  <c r="AK49" i="95"/>
  <c r="V49" i="95"/>
  <c r="AB49" i="95"/>
  <c r="AT49" i="95"/>
  <c r="AV49" i="95" s="1"/>
  <c r="BG49" i="95"/>
  <c r="R49" i="95"/>
  <c r="T49" i="95" s="1"/>
  <c r="Y49" i="95" s="1"/>
  <c r="Z49" i="95" s="1"/>
  <c r="I57" i="106"/>
  <c r="AF50" i="96"/>
  <c r="BH50" i="110"/>
  <c r="AY48" i="152"/>
  <c r="BG48" i="152" s="1"/>
  <c r="BH48" i="152" s="1"/>
  <c r="Y50" i="106"/>
  <c r="Z50" i="106" s="1"/>
  <c r="V50" i="106"/>
  <c r="W50" i="106" s="1"/>
  <c r="BA50" i="106"/>
  <c r="BB50" i="106" s="1"/>
  <c r="BK50" i="106"/>
  <c r="AN50" i="106"/>
  <c r="AO50" i="106" s="1"/>
  <c r="AQ50" i="106"/>
  <c r="AR50" i="106" s="1"/>
  <c r="R50" i="106"/>
  <c r="T50" i="106" s="1"/>
  <c r="M50" i="106"/>
  <c r="AV50" i="106"/>
  <c r="AW50" i="106" s="1"/>
  <c r="BN50" i="106"/>
  <c r="BO50" i="106" s="1"/>
  <c r="AH50" i="106"/>
  <c r="AI50" i="106" s="1"/>
  <c r="AT50" i="106"/>
  <c r="AE50" i="106"/>
  <c r="AF50" i="106" s="1"/>
  <c r="BJ50" i="106"/>
  <c r="BL50" i="106" s="1"/>
  <c r="P50" i="106"/>
  <c r="O50" i="106"/>
  <c r="AY50" i="106"/>
  <c r="BG50" i="106"/>
  <c r="BH50" i="106" s="1"/>
  <c r="AB50" i="106"/>
  <c r="AC50" i="106" s="1"/>
  <c r="BD50" i="106"/>
  <c r="BE50" i="106" s="1"/>
  <c r="BQ50" i="106"/>
  <c r="BR50" i="106" s="1"/>
  <c r="AK50" i="106"/>
  <c r="AL50" i="106" s="1"/>
  <c r="K51" i="106"/>
  <c r="BG49" i="112"/>
  <c r="BH49" i="112" s="1"/>
  <c r="BA49" i="112"/>
  <c r="BB49" i="112" s="1"/>
  <c r="AQ49" i="112"/>
  <c r="AR49" i="112" s="1"/>
  <c r="AI49" i="112"/>
  <c r="AO54" i="156"/>
  <c r="W54" i="156"/>
  <c r="O50" i="104"/>
  <c r="BG50" i="104"/>
  <c r="BH50" i="104" s="1"/>
  <c r="BA50" i="104"/>
  <c r="BB50" i="104" s="1"/>
  <c r="AB50" i="104"/>
  <c r="AC50" i="104" s="1"/>
  <c r="BQ50" i="104"/>
  <c r="BR50" i="104" s="1"/>
  <c r="R50" i="104"/>
  <c r="T50" i="104" s="1"/>
  <c r="M50" i="104"/>
  <c r="AY50" i="104"/>
  <c r="AV50" i="104"/>
  <c r="AW50" i="104" s="1"/>
  <c r="BD50" i="104"/>
  <c r="BE50" i="104" s="1"/>
  <c r="BK50" i="104"/>
  <c r="P50" i="104"/>
  <c r="Y50" i="104"/>
  <c r="Z50" i="104" s="1"/>
  <c r="AH50" i="104"/>
  <c r="AI50" i="104" s="1"/>
  <c r="BN50" i="104"/>
  <c r="BO50" i="104" s="1"/>
  <c r="AT50" i="104"/>
  <c r="AE50" i="104"/>
  <c r="AF50" i="104" s="1"/>
  <c r="AQ50" i="104"/>
  <c r="AR50" i="104" s="1"/>
  <c r="K51" i="104"/>
  <c r="BJ50" i="104"/>
  <c r="BL50" i="104" s="1"/>
  <c r="AN50" i="104"/>
  <c r="AO50" i="104" s="1"/>
  <c r="AK50" i="104"/>
  <c r="AL50" i="104" s="1"/>
  <c r="V50" i="104"/>
  <c r="W50" i="104" s="1"/>
  <c r="AQ51" i="129"/>
  <c r="AR51" i="129" s="1"/>
  <c r="V51" i="129"/>
  <c r="W51" i="129" s="1"/>
  <c r="AV51" i="129"/>
  <c r="AW51" i="129" s="1"/>
  <c r="AY51" i="129"/>
  <c r="AB51" i="129"/>
  <c r="AC51" i="129" s="1"/>
  <c r="R51" i="129"/>
  <c r="T51" i="129" s="1"/>
  <c r="M51" i="129"/>
  <c r="BD51" i="129"/>
  <c r="BE51" i="129" s="1"/>
  <c r="BA51" i="129"/>
  <c r="BB51" i="129" s="1"/>
  <c r="BG51" i="129"/>
  <c r="BH51" i="129" s="1"/>
  <c r="K52" i="129"/>
  <c r="BQ51" i="129"/>
  <c r="BR51" i="129" s="1"/>
  <c r="AK51" i="129"/>
  <c r="AL51" i="129" s="1"/>
  <c r="AN51" i="129"/>
  <c r="AO51" i="129" s="1"/>
  <c r="BN51" i="129"/>
  <c r="BO51" i="129" s="1"/>
  <c r="Y51" i="129"/>
  <c r="Z51" i="129" s="1"/>
  <c r="AT51" i="129"/>
  <c r="AE51" i="129"/>
  <c r="AF51" i="129" s="1"/>
  <c r="O51" i="129"/>
  <c r="P51" i="129"/>
  <c r="AH51" i="129"/>
  <c r="AI51" i="129" s="1"/>
  <c r="BL51" i="129"/>
  <c r="AL50" i="96"/>
  <c r="AL49" i="15"/>
  <c r="W50" i="110"/>
  <c r="AW49" i="118"/>
  <c r="AF49" i="112"/>
  <c r="AQ48" i="95"/>
  <c r="AR48" i="95" s="1"/>
  <c r="AF48" i="95"/>
  <c r="BR48" i="95"/>
  <c r="AW50" i="114"/>
  <c r="AC49" i="118"/>
  <c r="AQ54" i="156"/>
  <c r="AR54" i="156" s="1"/>
  <c r="AI54" i="156"/>
  <c r="AC48" i="95"/>
  <c r="O55" i="156"/>
  <c r="BG55" i="156"/>
  <c r="BH55" i="156" s="1"/>
  <c r="Y55" i="156"/>
  <c r="Z55" i="156" s="1"/>
  <c r="BQ55" i="156"/>
  <c r="BR55" i="156" s="1"/>
  <c r="V55" i="156"/>
  <c r="W55" i="156" s="1"/>
  <c r="M55" i="156"/>
  <c r="BN55" i="156"/>
  <c r="BO55" i="156" s="1"/>
  <c r="BL55" i="156"/>
  <c r="AB55" i="156"/>
  <c r="AE55" i="156"/>
  <c r="AF55" i="156" s="1"/>
  <c r="R55" i="156"/>
  <c r="T55" i="156" s="1"/>
  <c r="AH55" i="156"/>
  <c r="AI55" i="156" s="1"/>
  <c r="AV55" i="156"/>
  <c r="AW55" i="156" s="1"/>
  <c r="AQ55" i="156"/>
  <c r="AR55" i="156" s="1"/>
  <c r="AN55" i="156"/>
  <c r="AO55" i="156" s="1"/>
  <c r="BD55" i="156"/>
  <c r="BE55" i="156" s="1"/>
  <c r="BA55" i="156"/>
  <c r="BB55" i="156" s="1"/>
  <c r="P55" i="156"/>
  <c r="AK55" i="156"/>
  <c r="AL55" i="156" s="1"/>
  <c r="P49" i="95"/>
  <c r="P50" i="95" s="1"/>
  <c r="W49" i="15"/>
  <c r="AV49" i="112"/>
  <c r="AW49" i="112" s="1"/>
  <c r="BD49" i="112"/>
  <c r="BE49" i="112" s="1"/>
  <c r="BR54" i="156"/>
  <c r="AF54" i="156"/>
  <c r="K56" i="156"/>
  <c r="AY56" i="156" s="1"/>
  <c r="I57" i="156"/>
  <c r="BN53" i="133"/>
  <c r="BO53" i="133" s="1"/>
  <c r="BG53" i="133"/>
  <c r="BH53" i="133" s="1"/>
  <c r="O53" i="133"/>
  <c r="Y53" i="133"/>
  <c r="Z53" i="133" s="1"/>
  <c r="BL53" i="133"/>
  <c r="BQ53" i="133"/>
  <c r="BR53" i="133" s="1"/>
  <c r="AE53" i="133"/>
  <c r="AF53" i="133" s="1"/>
  <c r="BA53" i="133"/>
  <c r="BB53" i="133" s="1"/>
  <c r="M53" i="133"/>
  <c r="AT53" i="133"/>
  <c r="AH53" i="133"/>
  <c r="AI53" i="133" s="1"/>
  <c r="P53" i="133"/>
  <c r="AQ53" i="133"/>
  <c r="AR53" i="133" s="1"/>
  <c r="V53" i="133"/>
  <c r="W53" i="133" s="1"/>
  <c r="AV53" i="133"/>
  <c r="AW53" i="133" s="1"/>
  <c r="K54" i="133"/>
  <c r="BD53" i="133"/>
  <c r="BE53" i="133" s="1"/>
  <c r="R53" i="133"/>
  <c r="T53" i="133" s="1"/>
  <c r="AB53" i="133"/>
  <c r="AC53" i="133" s="1"/>
  <c r="AK53" i="133"/>
  <c r="AL53" i="133" s="1"/>
  <c r="AN53" i="133"/>
  <c r="AO53" i="133" s="1"/>
  <c r="AY53" i="133"/>
  <c r="W54" i="149"/>
  <c r="Z53" i="151"/>
  <c r="AT43" i="150"/>
  <c r="AT43" i="156"/>
  <c r="BA47" i="15"/>
  <c r="BB47" i="15" s="1"/>
  <c r="BG47" i="15"/>
  <c r="BH47" i="15" s="1"/>
  <c r="BA48" i="150"/>
  <c r="BB48" i="150" s="1"/>
  <c r="BG48" i="150"/>
  <c r="BH48" i="150" s="1"/>
  <c r="BA48" i="151"/>
  <c r="BB48" i="151" s="1"/>
  <c r="BG48" i="151"/>
  <c r="BH48" i="151" s="1"/>
  <c r="BG48" i="155"/>
  <c r="BH48" i="155" s="1"/>
  <c r="BA48" i="155"/>
  <c r="BB48" i="155" s="1"/>
  <c r="BA48" i="152"/>
  <c r="BB48" i="152" s="1"/>
  <c r="BG47" i="149"/>
  <c r="BH47" i="149" s="1"/>
  <c r="BA47" i="149"/>
  <c r="BB47" i="149" s="1"/>
  <c r="BG47" i="156"/>
  <c r="BH47" i="156" s="1"/>
  <c r="BA47" i="156"/>
  <c r="BB47" i="156" s="1"/>
  <c r="A53" i="7"/>
  <c r="AY49" i="153" s="1"/>
  <c r="AY48" i="156"/>
  <c r="AY49" i="152"/>
  <c r="AY48" i="15"/>
  <c r="BL51" i="130"/>
  <c r="M51" i="130"/>
  <c r="K52" i="130"/>
  <c r="BN51" i="130"/>
  <c r="BO51" i="130" s="1"/>
  <c r="BD51" i="130"/>
  <c r="BE51" i="130" s="1"/>
  <c r="AY51" i="130"/>
  <c r="O51" i="130"/>
  <c r="BA51" i="130"/>
  <c r="BB51" i="130" s="1"/>
  <c r="AH51" i="130"/>
  <c r="AI51" i="130" s="1"/>
  <c r="P51" i="130"/>
  <c r="BQ51" i="130"/>
  <c r="BR51" i="130" s="1"/>
  <c r="AV51" i="130"/>
  <c r="AW51" i="130" s="1"/>
  <c r="AT51" i="130"/>
  <c r="AK51" i="130"/>
  <c r="AL51" i="130" s="1"/>
  <c r="BG51" i="130"/>
  <c r="BH51" i="130" s="1"/>
  <c r="Y51" i="130"/>
  <c r="Z51" i="130" s="1"/>
  <c r="AN51" i="130"/>
  <c r="AO51" i="130" s="1"/>
  <c r="V51" i="130"/>
  <c r="W51" i="130" s="1"/>
  <c r="R51" i="130"/>
  <c r="T51" i="130" s="1"/>
  <c r="AE51" i="130"/>
  <c r="AF51" i="130" s="1"/>
  <c r="AQ51" i="130"/>
  <c r="AR51" i="130" s="1"/>
  <c r="AB51" i="130"/>
  <c r="AC51" i="130" s="1"/>
  <c r="AV42" i="156"/>
  <c r="AW42" i="156" s="1"/>
  <c r="BD42" i="156"/>
  <c r="BE42" i="156" s="1"/>
  <c r="AV42" i="150"/>
  <c r="AW42" i="150" s="1"/>
  <c r="BD42" i="150"/>
  <c r="BE42" i="150" s="1"/>
  <c r="BB54" i="124"/>
  <c r="BE50" i="63"/>
  <c r="AL49" i="118"/>
  <c r="BB49" i="118"/>
  <c r="Z54" i="149"/>
  <c r="Z48" i="17"/>
  <c r="T45" i="155"/>
  <c r="Y45" i="155" s="1"/>
  <c r="Z45" i="155" s="1"/>
  <c r="R46" i="155"/>
  <c r="AF54" i="124"/>
  <c r="AL50" i="126"/>
  <c r="Z52" i="150"/>
  <c r="P25" i="155"/>
  <c r="AT43" i="120"/>
  <c r="BD43" i="120" s="1"/>
  <c r="BE43" i="120" s="1"/>
  <c r="AT43" i="15"/>
  <c r="AV43" i="15" s="1"/>
  <c r="AW43" i="15" s="1"/>
  <c r="AC55" i="152"/>
  <c r="AC55" i="155"/>
  <c r="M56" i="155"/>
  <c r="BQ56" i="155"/>
  <c r="BR56" i="155" s="1"/>
  <c r="O56" i="155"/>
  <c r="V56" i="155"/>
  <c r="W56" i="155" s="1"/>
  <c r="AB56" i="155"/>
  <c r="AC56" i="155" s="1"/>
  <c r="AH56" i="155"/>
  <c r="AI56" i="155" s="1"/>
  <c r="AN56" i="155"/>
  <c r="AO56" i="155" s="1"/>
  <c r="BA56" i="155"/>
  <c r="BB56" i="155" s="1"/>
  <c r="BG56" i="155"/>
  <c r="BH56" i="155" s="1"/>
  <c r="P56" i="155"/>
  <c r="AV56" i="155"/>
  <c r="AW56" i="155" s="1"/>
  <c r="BN56" i="155"/>
  <c r="BO56" i="155" s="1"/>
  <c r="AK56" i="155"/>
  <c r="AL56" i="155" s="1"/>
  <c r="R56" i="155"/>
  <c r="T56" i="155" s="1"/>
  <c r="AQ56" i="155"/>
  <c r="AR56" i="155" s="1"/>
  <c r="Y56" i="155"/>
  <c r="Z56" i="155" s="1"/>
  <c r="AE56" i="155"/>
  <c r="AF56" i="155" s="1"/>
  <c r="BD56" i="155"/>
  <c r="BE56" i="155" s="1"/>
  <c r="BL56" i="155"/>
  <c r="I58" i="155"/>
  <c r="K57" i="155"/>
  <c r="BD42" i="13"/>
  <c r="BE42" i="13" s="1"/>
  <c r="AV42" i="13"/>
  <c r="AW42" i="13" s="1"/>
  <c r="AV42" i="136"/>
  <c r="AW42" i="136" s="1"/>
  <c r="BD42" i="136"/>
  <c r="BE42" i="136" s="1"/>
  <c r="BD42" i="120"/>
  <c r="BE42" i="120" s="1"/>
  <c r="AV42" i="120"/>
  <c r="AW42" i="120" s="1"/>
  <c r="BD42" i="17"/>
  <c r="BE42" i="17" s="1"/>
  <c r="AV42" i="17"/>
  <c r="AW42" i="17" s="1"/>
  <c r="A45" i="58"/>
  <c r="AT44" i="15" s="1"/>
  <c r="AT43" i="17"/>
  <c r="AT43" i="136"/>
  <c r="AT43" i="13"/>
  <c r="AT43" i="130"/>
  <c r="M56" i="153"/>
  <c r="O56" i="153"/>
  <c r="V56" i="153"/>
  <c r="W56" i="153" s="1"/>
  <c r="AB56" i="153"/>
  <c r="AC56" i="153" s="1"/>
  <c r="AH56" i="153"/>
  <c r="AI56" i="153" s="1"/>
  <c r="AN56" i="153"/>
  <c r="AO56" i="153" s="1"/>
  <c r="BA56" i="153"/>
  <c r="BB56" i="153" s="1"/>
  <c r="BG56" i="153"/>
  <c r="BH56" i="153" s="1"/>
  <c r="P56" i="153"/>
  <c r="AV56" i="153"/>
  <c r="AW56" i="153" s="1"/>
  <c r="BN56" i="153"/>
  <c r="BO56" i="153" s="1"/>
  <c r="AE56" i="153"/>
  <c r="AF56" i="153" s="1"/>
  <c r="BD56" i="153"/>
  <c r="BE56" i="153" s="1"/>
  <c r="BQ56" i="153"/>
  <c r="BR56" i="153" s="1"/>
  <c r="AK56" i="153"/>
  <c r="AL56" i="153" s="1"/>
  <c r="R56" i="153"/>
  <c r="T56" i="153" s="1"/>
  <c r="AQ56" i="153"/>
  <c r="AR56" i="153" s="1"/>
  <c r="Y56" i="153"/>
  <c r="Z56" i="153" s="1"/>
  <c r="BL56" i="153"/>
  <c r="K57" i="153"/>
  <c r="AC55" i="153"/>
  <c r="I61" i="153"/>
  <c r="I65" i="152"/>
  <c r="M56" i="152"/>
  <c r="BQ56" i="152"/>
  <c r="BR56" i="152" s="1"/>
  <c r="O56" i="152"/>
  <c r="V56" i="152"/>
  <c r="W56" i="152" s="1"/>
  <c r="AB56" i="152"/>
  <c r="AC56" i="152" s="1"/>
  <c r="AH56" i="152"/>
  <c r="AI56" i="152" s="1"/>
  <c r="AN56" i="152"/>
  <c r="AO56" i="152" s="1"/>
  <c r="BA56" i="152"/>
  <c r="BB56" i="152" s="1"/>
  <c r="BG56" i="152"/>
  <c r="BH56" i="152" s="1"/>
  <c r="P56" i="152"/>
  <c r="AV56" i="152"/>
  <c r="AW56" i="152" s="1"/>
  <c r="BN56" i="152"/>
  <c r="BO56" i="152" s="1"/>
  <c r="R56" i="152"/>
  <c r="T56" i="152" s="1"/>
  <c r="Y56" i="152"/>
  <c r="Z56" i="152" s="1"/>
  <c r="AE56" i="152"/>
  <c r="AF56" i="152" s="1"/>
  <c r="AK56" i="152"/>
  <c r="AL56" i="152" s="1"/>
  <c r="AQ56" i="152"/>
  <c r="AR56" i="152" s="1"/>
  <c r="BD56" i="152"/>
  <c r="BE56" i="152" s="1"/>
  <c r="BL56" i="152"/>
  <c r="K57" i="152"/>
  <c r="AO52" i="150"/>
  <c r="Z53" i="147"/>
  <c r="AW53" i="147"/>
  <c r="AF54" i="149"/>
  <c r="Z50" i="110"/>
  <c r="AC54" i="149"/>
  <c r="AF52" i="150"/>
  <c r="BB53" i="147"/>
  <c r="AO54" i="149"/>
  <c r="AI54" i="149"/>
  <c r="BG48" i="13"/>
  <c r="BH48" i="13" s="1"/>
  <c r="AQ53" i="151"/>
  <c r="AR53" i="151" s="1"/>
  <c r="O50" i="118"/>
  <c r="AK54" i="151"/>
  <c r="AE54" i="151"/>
  <c r="R54" i="151"/>
  <c r="T54" i="151" s="1"/>
  <c r="Y54" i="151" s="1"/>
  <c r="P54" i="151"/>
  <c r="AN54" i="151"/>
  <c r="AH54" i="151"/>
  <c r="AB54" i="151"/>
  <c r="V54" i="151"/>
  <c r="O54" i="151"/>
  <c r="BQ54" i="151"/>
  <c r="M54" i="151"/>
  <c r="BN54" i="151"/>
  <c r="BO54" i="151" s="1"/>
  <c r="BL54" i="151"/>
  <c r="AO53" i="151"/>
  <c r="AF53" i="151"/>
  <c r="W53" i="151"/>
  <c r="AL53" i="151"/>
  <c r="AC53" i="151"/>
  <c r="K55" i="151"/>
  <c r="I56" i="151"/>
  <c r="BR53" i="151"/>
  <c r="AI53" i="151"/>
  <c r="W52" i="150"/>
  <c r="AL52" i="150"/>
  <c r="BR52" i="150"/>
  <c r="AI52" i="150"/>
  <c r="AQ52" i="150"/>
  <c r="AR52" i="150" s="1"/>
  <c r="AC52" i="150"/>
  <c r="I57" i="150"/>
  <c r="BQ53" i="150"/>
  <c r="AK53" i="150"/>
  <c r="AE53" i="150"/>
  <c r="R53" i="150"/>
  <c r="T53" i="150" s="1"/>
  <c r="Y53" i="150" s="1"/>
  <c r="AB53" i="150"/>
  <c r="O53" i="150"/>
  <c r="AN53" i="150"/>
  <c r="V53" i="150"/>
  <c r="AH53" i="150"/>
  <c r="P53" i="150"/>
  <c r="BN53" i="150"/>
  <c r="BO53" i="150" s="1"/>
  <c r="M53" i="150"/>
  <c r="BL53" i="150"/>
  <c r="K54" i="150"/>
  <c r="AV55" i="149"/>
  <c r="AW55" i="149" s="1"/>
  <c r="P55" i="149"/>
  <c r="BQ55" i="149"/>
  <c r="BR55" i="149" s="1"/>
  <c r="AY55" i="149"/>
  <c r="AK55" i="149"/>
  <c r="AL55" i="149" s="1"/>
  <c r="Y55" i="149"/>
  <c r="Z55" i="149" s="1"/>
  <c r="BG55" i="149"/>
  <c r="BH55" i="149" s="1"/>
  <c r="AH55" i="149"/>
  <c r="AI55" i="149" s="1"/>
  <c r="V55" i="149"/>
  <c r="W55" i="149" s="1"/>
  <c r="BD55" i="149"/>
  <c r="BE55" i="149" s="1"/>
  <c r="AQ55" i="149"/>
  <c r="AR55" i="149" s="1"/>
  <c r="AE55" i="149"/>
  <c r="AF55" i="149" s="1"/>
  <c r="R55" i="149"/>
  <c r="T55" i="149" s="1"/>
  <c r="BA55" i="149"/>
  <c r="BB55" i="149" s="1"/>
  <c r="AN55" i="149"/>
  <c r="AO55" i="149" s="1"/>
  <c r="AB55" i="149"/>
  <c r="O55" i="149"/>
  <c r="M55" i="149"/>
  <c r="BN55" i="149"/>
  <c r="BO55" i="149" s="1"/>
  <c r="BL55" i="149"/>
  <c r="AL54" i="149"/>
  <c r="I57" i="149"/>
  <c r="K56" i="149"/>
  <c r="AT56" i="149" s="1"/>
  <c r="AQ54" i="149"/>
  <c r="AR54" i="149" s="1"/>
  <c r="BR54" i="149"/>
  <c r="BB48" i="66"/>
  <c r="AW52" i="146"/>
  <c r="Z49" i="15"/>
  <c r="AW48" i="66"/>
  <c r="BB52" i="146"/>
  <c r="BD53" i="147"/>
  <c r="BE53" i="147" s="1"/>
  <c r="AF53" i="147"/>
  <c r="BR53" i="147"/>
  <c r="AI53" i="147"/>
  <c r="BG53" i="147"/>
  <c r="BH53" i="147" s="1"/>
  <c r="AT54" i="147"/>
  <c r="AV54" i="147" s="1"/>
  <c r="AB54" i="147"/>
  <c r="V54" i="147"/>
  <c r="BQ54" i="147"/>
  <c r="AY54" i="147"/>
  <c r="BA54" i="147" s="1"/>
  <c r="AE54" i="147"/>
  <c r="R54" i="147"/>
  <c r="T54" i="147" s="1"/>
  <c r="Y54" i="147" s="1"/>
  <c r="BK54" i="147"/>
  <c r="BN54" i="147"/>
  <c r="BO54" i="147" s="1"/>
  <c r="BJ54" i="147"/>
  <c r="BL54" i="147" s="1"/>
  <c r="M54" i="147"/>
  <c r="I56" i="147"/>
  <c r="K55" i="147"/>
  <c r="P29" i="147"/>
  <c r="W53" i="147"/>
  <c r="AC53" i="147"/>
  <c r="BR52" i="146"/>
  <c r="AI52" i="146"/>
  <c r="BG52" i="146"/>
  <c r="BH52" i="146" s="1"/>
  <c r="BD52" i="146"/>
  <c r="BE52" i="146" s="1"/>
  <c r="AF52" i="146"/>
  <c r="P28" i="146"/>
  <c r="Z52" i="146"/>
  <c r="W52" i="146"/>
  <c r="AT53" i="146"/>
  <c r="BD53" i="146" s="1"/>
  <c r="AB53" i="146"/>
  <c r="V53" i="146"/>
  <c r="BQ53" i="146"/>
  <c r="AY53" i="146"/>
  <c r="BG53" i="146" s="1"/>
  <c r="R53" i="146"/>
  <c r="T53" i="146" s="1"/>
  <c r="Y53" i="146" s="1"/>
  <c r="AE53" i="146"/>
  <c r="BN53" i="146"/>
  <c r="BO53" i="146" s="1"/>
  <c r="M53" i="146"/>
  <c r="BJ53" i="146"/>
  <c r="BL53" i="146" s="1"/>
  <c r="BK53" i="146"/>
  <c r="AC52" i="146"/>
  <c r="I55" i="146"/>
  <c r="K54" i="146"/>
  <c r="AH54" i="146" s="1"/>
  <c r="BD54" i="124"/>
  <c r="BE54" i="124" s="1"/>
  <c r="BB50" i="126"/>
  <c r="AI48" i="120"/>
  <c r="AW54" i="124"/>
  <c r="AO50" i="114"/>
  <c r="W50" i="114"/>
  <c r="AQ50" i="114"/>
  <c r="AR50" i="114" s="1"/>
  <c r="BG50" i="126"/>
  <c r="BH50" i="126" s="1"/>
  <c r="AQ50" i="115"/>
  <c r="AR50" i="115" s="1"/>
  <c r="AV50" i="96"/>
  <c r="AW50" i="96" s="1"/>
  <c r="O50" i="15"/>
  <c r="Z50" i="114"/>
  <c r="BD50" i="114"/>
  <c r="BE50" i="114" s="1"/>
  <c r="AC50" i="114"/>
  <c r="AF50" i="114"/>
  <c r="BD48" i="66"/>
  <c r="BE48" i="66" s="1"/>
  <c r="W54" i="124"/>
  <c r="AQ51" i="64"/>
  <c r="AR51" i="64" s="1"/>
  <c r="W48" i="17"/>
  <c r="AC48" i="17"/>
  <c r="BH48" i="17"/>
  <c r="AW50" i="110"/>
  <c r="AQ50" i="110"/>
  <c r="AR50" i="110" s="1"/>
  <c r="AQ50" i="63"/>
  <c r="AR50" i="63" s="1"/>
  <c r="Z48" i="120"/>
  <c r="AV51" i="64"/>
  <c r="AW51" i="64" s="1"/>
  <c r="BR50" i="114"/>
  <c r="AL50" i="114"/>
  <c r="BB50" i="114"/>
  <c r="BG48" i="66"/>
  <c r="BH48" i="66" s="1"/>
  <c r="BA50" i="110"/>
  <c r="BB50" i="110" s="1"/>
  <c r="AL48" i="120"/>
  <c r="BH48" i="120"/>
  <c r="BE51" i="64"/>
  <c r="AC54" i="124"/>
  <c r="O51" i="126"/>
  <c r="BD50" i="126"/>
  <c r="BE50" i="126" s="1"/>
  <c r="AF49" i="15"/>
  <c r="AC49" i="15"/>
  <c r="BG50" i="114"/>
  <c r="BH50" i="114" s="1"/>
  <c r="BA48" i="17"/>
  <c r="BB48" i="17" s="1"/>
  <c r="AO48" i="17"/>
  <c r="BR50" i="110"/>
  <c r="AF50" i="110"/>
  <c r="AI50" i="110"/>
  <c r="BR49" i="118"/>
  <c r="AI49" i="118"/>
  <c r="W49" i="118"/>
  <c r="BR48" i="120"/>
  <c r="W48" i="120"/>
  <c r="BD50" i="110"/>
  <c r="BE50" i="110" s="1"/>
  <c r="BG49" i="118"/>
  <c r="BH49" i="118" s="1"/>
  <c r="BG50" i="63"/>
  <c r="BH50" i="63" s="1"/>
  <c r="AC48" i="120"/>
  <c r="Z50" i="96"/>
  <c r="BE50" i="96"/>
  <c r="BR54" i="124"/>
  <c r="AI54" i="124"/>
  <c r="AW50" i="126"/>
  <c r="BR48" i="17"/>
  <c r="AI48" i="17"/>
  <c r="AL50" i="110"/>
  <c r="AC50" i="110"/>
  <c r="BE50" i="115"/>
  <c r="AF49" i="118"/>
  <c r="BB50" i="96"/>
  <c r="AI50" i="96"/>
  <c r="BH50" i="96"/>
  <c r="I56" i="126"/>
  <c r="M52" i="64"/>
  <c r="AK52" i="64"/>
  <c r="AH52" i="64"/>
  <c r="AE52" i="64"/>
  <c r="V52" i="64"/>
  <c r="AN52" i="64"/>
  <c r="AB52" i="64"/>
  <c r="AY52" i="64"/>
  <c r="BG52" i="64" s="1"/>
  <c r="BL52" i="64"/>
  <c r="BN52" i="64"/>
  <c r="BO52" i="64" s="1"/>
  <c r="BQ52" i="64"/>
  <c r="AT52" i="64"/>
  <c r="AV52" i="64" s="1"/>
  <c r="K53" i="64"/>
  <c r="R52" i="64"/>
  <c r="T52" i="64" s="1"/>
  <c r="Y52" i="64" s="1"/>
  <c r="BG51" i="64"/>
  <c r="BH51" i="64" s="1"/>
  <c r="W51" i="64"/>
  <c r="AO51" i="64"/>
  <c r="M55" i="124"/>
  <c r="BN55" i="124"/>
  <c r="BO55" i="124" s="1"/>
  <c r="BJ55" i="124"/>
  <c r="BL55" i="124" s="1"/>
  <c r="K56" i="124"/>
  <c r="BK55" i="124"/>
  <c r="BQ55" i="124"/>
  <c r="BR55" i="124" s="1"/>
  <c r="AT55" i="124"/>
  <c r="AY55" i="124"/>
  <c r="BG55" i="124"/>
  <c r="BH55" i="124" s="1"/>
  <c r="O55" i="124"/>
  <c r="V55" i="124"/>
  <c r="W55" i="124" s="1"/>
  <c r="AV55" i="124"/>
  <c r="AW55" i="124" s="1"/>
  <c r="BD55" i="124"/>
  <c r="BE55" i="124" s="1"/>
  <c r="BA55" i="124"/>
  <c r="BB55" i="124" s="1"/>
  <c r="AE55" i="124"/>
  <c r="AF55" i="124" s="1"/>
  <c r="AK55" i="124"/>
  <c r="AL55" i="124" s="1"/>
  <c r="AB55" i="124"/>
  <c r="AH55" i="124"/>
  <c r="AI55" i="124" s="1"/>
  <c r="R55" i="124"/>
  <c r="T55" i="124" s="1"/>
  <c r="P55" i="124"/>
  <c r="Y55" i="124"/>
  <c r="Z55" i="124" s="1"/>
  <c r="AN55" i="124"/>
  <c r="AO55" i="124" s="1"/>
  <c r="AQ55" i="124"/>
  <c r="AR55" i="124" s="1"/>
  <c r="Z50" i="126"/>
  <c r="AO50" i="126"/>
  <c r="AQ49" i="15"/>
  <c r="AR49" i="15" s="1"/>
  <c r="BJ51" i="114"/>
  <c r="BL51" i="114" s="1"/>
  <c r="BK51" i="114"/>
  <c r="BN51" i="114"/>
  <c r="BO51" i="114" s="1"/>
  <c r="M51" i="114"/>
  <c r="AB51" i="114"/>
  <c r="AN51" i="114"/>
  <c r="AY51" i="114"/>
  <c r="BA51" i="114" s="1"/>
  <c r="AK51" i="114"/>
  <c r="AT51" i="114"/>
  <c r="BD51" i="114" s="1"/>
  <c r="AH51" i="114"/>
  <c r="AE51" i="114"/>
  <c r="V51" i="114"/>
  <c r="BQ51" i="114"/>
  <c r="K52" i="114"/>
  <c r="R51" i="114"/>
  <c r="T51" i="114" s="1"/>
  <c r="Y51" i="114" s="1"/>
  <c r="M51" i="110"/>
  <c r="BN51" i="110"/>
  <c r="BO51" i="110" s="1"/>
  <c r="BJ51" i="110"/>
  <c r="BL51" i="110" s="1"/>
  <c r="BK51" i="110"/>
  <c r="V51" i="110"/>
  <c r="AE51" i="110"/>
  <c r="AK51" i="110"/>
  <c r="AT51" i="110"/>
  <c r="BD51" i="110" s="1"/>
  <c r="AN51" i="110"/>
  <c r="AY51" i="110"/>
  <c r="BA51" i="110" s="1"/>
  <c r="AH51" i="110"/>
  <c r="AB51" i="110"/>
  <c r="BQ51" i="110"/>
  <c r="AL48" i="66"/>
  <c r="AC48" i="13"/>
  <c r="BB48" i="13"/>
  <c r="M51" i="115"/>
  <c r="BK51" i="115"/>
  <c r="BJ51" i="115"/>
  <c r="BL51" i="115" s="1"/>
  <c r="BN51" i="115"/>
  <c r="BO51" i="115" s="1"/>
  <c r="BQ51" i="115"/>
  <c r="AT51" i="115"/>
  <c r="BD51" i="115" s="1"/>
  <c r="AN51" i="115"/>
  <c r="V51" i="115"/>
  <c r="AK51" i="115"/>
  <c r="AB51" i="115"/>
  <c r="AH51" i="115"/>
  <c r="AE51" i="115"/>
  <c r="AY51" i="115"/>
  <c r="BG51" i="115" s="1"/>
  <c r="AQ48" i="17"/>
  <c r="AR48" i="17" s="1"/>
  <c r="AL48" i="17"/>
  <c r="AO50" i="110"/>
  <c r="I58" i="132"/>
  <c r="AV50" i="115"/>
  <c r="AW50" i="115" s="1"/>
  <c r="AF50" i="115"/>
  <c r="AI50" i="115"/>
  <c r="BD49" i="118"/>
  <c r="BE49" i="118" s="1"/>
  <c r="AQ49" i="118"/>
  <c r="AR49" i="118" s="1"/>
  <c r="AV50" i="63"/>
  <c r="AW50" i="63" s="1"/>
  <c r="AI50" i="63"/>
  <c r="AF50" i="63"/>
  <c r="I57" i="136"/>
  <c r="AQ48" i="120"/>
  <c r="AR48" i="120" s="1"/>
  <c r="M49" i="120"/>
  <c r="AH49" i="120"/>
  <c r="V49" i="120"/>
  <c r="AE49" i="120"/>
  <c r="K50" i="120"/>
  <c r="AB49" i="120"/>
  <c r="AY49" i="120"/>
  <c r="BA49" i="120" s="1"/>
  <c r="BN49" i="120"/>
  <c r="BO49" i="120" s="1"/>
  <c r="BQ49" i="120"/>
  <c r="AK49" i="120"/>
  <c r="AN49" i="120"/>
  <c r="R49" i="120"/>
  <c r="T49" i="120" s="1"/>
  <c r="Y49" i="120" s="1"/>
  <c r="O51" i="96"/>
  <c r="BR50" i="96"/>
  <c r="W50" i="96"/>
  <c r="AO50" i="96"/>
  <c r="AC50" i="96"/>
  <c r="AL51" i="64"/>
  <c r="AF51" i="64"/>
  <c r="BR50" i="126"/>
  <c r="AI50" i="126"/>
  <c r="AO49" i="15"/>
  <c r="I53" i="110"/>
  <c r="K52" i="110"/>
  <c r="Z48" i="66"/>
  <c r="BR48" i="66"/>
  <c r="W48" i="66"/>
  <c r="AC48" i="66"/>
  <c r="AF48" i="13"/>
  <c r="AI48" i="13"/>
  <c r="I53" i="115"/>
  <c r="K52" i="115"/>
  <c r="AF48" i="17"/>
  <c r="M52" i="135"/>
  <c r="AK52" i="135"/>
  <c r="AL52" i="135" s="1"/>
  <c r="AQ52" i="135"/>
  <c r="AR52" i="135" s="1"/>
  <c r="BD52" i="135"/>
  <c r="BE52" i="135" s="1"/>
  <c r="AB52" i="135"/>
  <c r="AC52" i="135" s="1"/>
  <c r="BG52" i="135"/>
  <c r="BH52" i="135" s="1"/>
  <c r="R52" i="135"/>
  <c r="T52" i="135" s="1"/>
  <c r="BQ52" i="135"/>
  <c r="BR52" i="135" s="1"/>
  <c r="BN52" i="135"/>
  <c r="BO52" i="135" s="1"/>
  <c r="V52" i="135"/>
  <c r="W52" i="135" s="1"/>
  <c r="AH52" i="135"/>
  <c r="AI52" i="135" s="1"/>
  <c r="O52" i="135"/>
  <c r="AV52" i="135"/>
  <c r="AW52" i="135" s="1"/>
  <c r="P52" i="135"/>
  <c r="AE52" i="135"/>
  <c r="AF52" i="135" s="1"/>
  <c r="AN52" i="135"/>
  <c r="AO52" i="135" s="1"/>
  <c r="Y52" i="135"/>
  <c r="Z52" i="135" s="1"/>
  <c r="BA52" i="135"/>
  <c r="BB52" i="135" s="1"/>
  <c r="AT52" i="135"/>
  <c r="AY52" i="135"/>
  <c r="BL52" i="135"/>
  <c r="P51" i="115"/>
  <c r="AH49" i="66"/>
  <c r="AB49" i="66"/>
  <c r="AE49" i="66"/>
  <c r="M49" i="66"/>
  <c r="AN49" i="66"/>
  <c r="V49" i="66"/>
  <c r="BN49" i="66"/>
  <c r="BO49" i="66" s="1"/>
  <c r="AK49" i="66"/>
  <c r="AY49" i="66"/>
  <c r="BA49" i="66" s="1"/>
  <c r="BL49" i="66"/>
  <c r="BQ49" i="66"/>
  <c r="AT49" i="66"/>
  <c r="AV49" i="66" s="1"/>
  <c r="R49" i="66"/>
  <c r="T49" i="66" s="1"/>
  <c r="Y49" i="66" s="1"/>
  <c r="BG50" i="115"/>
  <c r="BH50" i="115" s="1"/>
  <c r="AC50" i="115"/>
  <c r="BR50" i="115"/>
  <c r="AO50" i="63"/>
  <c r="AC50" i="63"/>
  <c r="M50" i="101"/>
  <c r="AH50" i="101"/>
  <c r="AI50" i="101" s="1"/>
  <c r="BG50" i="101"/>
  <c r="BH50" i="101" s="1"/>
  <c r="P50" i="101"/>
  <c r="AB50" i="101"/>
  <c r="AC50" i="101" s="1"/>
  <c r="AE50" i="101"/>
  <c r="AF50" i="101" s="1"/>
  <c r="BD50" i="101"/>
  <c r="BE50" i="101" s="1"/>
  <c r="BQ50" i="101"/>
  <c r="BR50" i="101" s="1"/>
  <c r="V50" i="101"/>
  <c r="W50" i="101" s="1"/>
  <c r="AT50" i="101"/>
  <c r="O50" i="101"/>
  <c r="AQ50" i="101"/>
  <c r="AR50" i="101" s="1"/>
  <c r="Y50" i="101"/>
  <c r="Z50" i="101" s="1"/>
  <c r="AY50" i="101"/>
  <c r="R50" i="101"/>
  <c r="T50" i="101" s="1"/>
  <c r="AN50" i="101"/>
  <c r="AO50" i="101" s="1"/>
  <c r="BA50" i="101"/>
  <c r="BB50" i="101" s="1"/>
  <c r="AV50" i="101"/>
  <c r="AW50" i="101" s="1"/>
  <c r="AK50" i="101"/>
  <c r="AL50" i="101" s="1"/>
  <c r="BJ51" i="98"/>
  <c r="BL51" i="98" s="1"/>
  <c r="K52" i="98"/>
  <c r="BK51" i="98"/>
  <c r="M51" i="98"/>
  <c r="BN51" i="98"/>
  <c r="BO51" i="98" s="1"/>
  <c r="V51" i="98"/>
  <c r="W51" i="98" s="1"/>
  <c r="AE51" i="98"/>
  <c r="AF51" i="98" s="1"/>
  <c r="AB51" i="98"/>
  <c r="AC51" i="98" s="1"/>
  <c r="R51" i="98"/>
  <c r="T51" i="98" s="1"/>
  <c r="BG51" i="98"/>
  <c r="BH51" i="98" s="1"/>
  <c r="P51" i="98"/>
  <c r="AN51" i="98"/>
  <c r="AO51" i="98" s="1"/>
  <c r="AH51" i="98"/>
  <c r="AI51" i="98" s="1"/>
  <c r="AT51" i="98"/>
  <c r="Y51" i="98"/>
  <c r="Z51" i="98" s="1"/>
  <c r="BA51" i="98"/>
  <c r="BB51" i="98" s="1"/>
  <c r="AQ51" i="98"/>
  <c r="AR51" i="98" s="1"/>
  <c r="AK51" i="98"/>
  <c r="AL51" i="98" s="1"/>
  <c r="AY51" i="98"/>
  <c r="AV51" i="98"/>
  <c r="AW51" i="98" s="1"/>
  <c r="BD51" i="98"/>
  <c r="BE51" i="98" s="1"/>
  <c r="O51" i="98"/>
  <c r="BQ51" i="98"/>
  <c r="BR51" i="98" s="1"/>
  <c r="I66" i="133"/>
  <c r="I53" i="96"/>
  <c r="K52" i="96"/>
  <c r="I57" i="64"/>
  <c r="BA48" i="120"/>
  <c r="BB48" i="120" s="1"/>
  <c r="O52" i="64"/>
  <c r="I58" i="105"/>
  <c r="BN49" i="17"/>
  <c r="BO49" i="17" s="1"/>
  <c r="M49" i="17"/>
  <c r="AY49" i="17"/>
  <c r="BA49" i="17" s="1"/>
  <c r="AN49" i="17"/>
  <c r="AE49" i="17"/>
  <c r="BL49" i="17"/>
  <c r="AB49" i="17"/>
  <c r="AH49" i="17"/>
  <c r="AK49" i="17"/>
  <c r="V49" i="17"/>
  <c r="BQ49" i="17"/>
  <c r="R49" i="17"/>
  <c r="T49" i="17" s="1"/>
  <c r="Y49" i="17" s="1"/>
  <c r="I60" i="95"/>
  <c r="I54" i="135"/>
  <c r="K53" i="135"/>
  <c r="I55" i="104"/>
  <c r="K50" i="66"/>
  <c r="I51" i="66"/>
  <c r="M49" i="13"/>
  <c r="BN49" i="13"/>
  <c r="BO49" i="13" s="1"/>
  <c r="BL49" i="13"/>
  <c r="BQ49" i="13"/>
  <c r="AY49" i="13"/>
  <c r="BA49" i="13" s="1"/>
  <c r="AE49" i="13"/>
  <c r="AK49" i="13"/>
  <c r="AH49" i="13"/>
  <c r="V49" i="13"/>
  <c r="AB49" i="13"/>
  <c r="AN49" i="13"/>
  <c r="R49" i="13"/>
  <c r="T49" i="13" s="1"/>
  <c r="Y49" i="13" s="1"/>
  <c r="BN51" i="63"/>
  <c r="BO51" i="63" s="1"/>
  <c r="M51" i="63"/>
  <c r="BL51" i="63"/>
  <c r="AK51" i="63"/>
  <c r="V51" i="63"/>
  <c r="AE51" i="63"/>
  <c r="AH51" i="63"/>
  <c r="AN51" i="63"/>
  <c r="AB51" i="63"/>
  <c r="AY51" i="63"/>
  <c r="BA51" i="63" s="1"/>
  <c r="BQ51" i="63"/>
  <c r="AT51" i="63"/>
  <c r="AV51" i="63" s="1"/>
  <c r="K52" i="63"/>
  <c r="I52" i="101"/>
  <c r="K51" i="101"/>
  <c r="O49" i="13"/>
  <c r="AE51" i="96"/>
  <c r="BN51" i="96"/>
  <c r="BO51" i="96" s="1"/>
  <c r="AN51" i="96"/>
  <c r="M51" i="96"/>
  <c r="AK51" i="96"/>
  <c r="AH51" i="96"/>
  <c r="V51" i="96"/>
  <c r="AB51" i="96"/>
  <c r="BG51" i="96"/>
  <c r="AT51" i="96"/>
  <c r="BD51" i="96" s="1"/>
  <c r="BL51" i="96"/>
  <c r="BA51" i="96"/>
  <c r="BQ51" i="96"/>
  <c r="R51" i="96"/>
  <c r="T51" i="96" s="1"/>
  <c r="Y51" i="96" s="1"/>
  <c r="I57" i="114"/>
  <c r="M53" i="136"/>
  <c r="BN53" i="136"/>
  <c r="BO53" i="136" s="1"/>
  <c r="BL53" i="136"/>
  <c r="AN53" i="136"/>
  <c r="AO53" i="136" s="1"/>
  <c r="AY53" i="136"/>
  <c r="BG53" i="136"/>
  <c r="BH53" i="136" s="1"/>
  <c r="V53" i="136"/>
  <c r="W53" i="136" s="1"/>
  <c r="O53" i="136"/>
  <c r="AH53" i="136"/>
  <c r="AI53" i="136" s="1"/>
  <c r="P53" i="136"/>
  <c r="BA53" i="136"/>
  <c r="BB53" i="136" s="1"/>
  <c r="Y53" i="136"/>
  <c r="Z53" i="136" s="1"/>
  <c r="AT53" i="136"/>
  <c r="BQ53" i="136"/>
  <c r="BR53" i="136" s="1"/>
  <c r="BD53" i="136"/>
  <c r="BE53" i="136" s="1"/>
  <c r="AV53" i="136"/>
  <c r="AW53" i="136" s="1"/>
  <c r="AQ53" i="136"/>
  <c r="AR53" i="136" s="1"/>
  <c r="AE53" i="136"/>
  <c r="AF53" i="136" s="1"/>
  <c r="AB53" i="136"/>
  <c r="AC53" i="136" s="1"/>
  <c r="AK53" i="136"/>
  <c r="AL53" i="136" s="1"/>
  <c r="R53" i="136"/>
  <c r="T53" i="136" s="1"/>
  <c r="K54" i="136"/>
  <c r="P49" i="13"/>
  <c r="AQ50" i="96"/>
  <c r="AR50" i="96" s="1"/>
  <c r="Z51" i="64"/>
  <c r="BR51" i="64"/>
  <c r="AC51" i="64"/>
  <c r="AI51" i="64"/>
  <c r="I51" i="17"/>
  <c r="K50" i="17"/>
  <c r="BG54" i="124"/>
  <c r="BH54" i="124" s="1"/>
  <c r="M51" i="126"/>
  <c r="BN51" i="126"/>
  <c r="BO51" i="126" s="1"/>
  <c r="BK51" i="126"/>
  <c r="V51" i="126"/>
  <c r="BJ51" i="126"/>
  <c r="BL51" i="126" s="1"/>
  <c r="AK51" i="126"/>
  <c r="AB51" i="126"/>
  <c r="AT51" i="126"/>
  <c r="AV51" i="126" s="1"/>
  <c r="AN51" i="126"/>
  <c r="AE51" i="126"/>
  <c r="AY51" i="126"/>
  <c r="BG51" i="126" s="1"/>
  <c r="BQ51" i="126"/>
  <c r="K52" i="126"/>
  <c r="P52" i="126" s="1"/>
  <c r="R51" i="126"/>
  <c r="T51" i="126" s="1"/>
  <c r="Y51" i="126" s="1"/>
  <c r="AQ50" i="126"/>
  <c r="AR50" i="126" s="1"/>
  <c r="AF50" i="126"/>
  <c r="AC50" i="126"/>
  <c r="W50" i="126"/>
  <c r="BN50" i="15"/>
  <c r="BO50" i="15" s="1"/>
  <c r="BL50" i="15"/>
  <c r="M50" i="15"/>
  <c r="BQ50" i="15"/>
  <c r="AK50" i="15"/>
  <c r="AN50" i="15"/>
  <c r="AH50" i="15"/>
  <c r="AB50" i="15"/>
  <c r="AE50" i="15"/>
  <c r="V50" i="15"/>
  <c r="K51" i="15"/>
  <c r="AI49" i="15"/>
  <c r="BR49" i="15"/>
  <c r="P52" i="64"/>
  <c r="P53" i="64" s="1"/>
  <c r="AQ48" i="66"/>
  <c r="AR48" i="66" s="1"/>
  <c r="AI48" i="66"/>
  <c r="AF48" i="66"/>
  <c r="Z48" i="13"/>
  <c r="AQ48" i="13"/>
  <c r="AR48" i="13" s="1"/>
  <c r="AL48" i="13"/>
  <c r="BR48" i="13"/>
  <c r="O49" i="17"/>
  <c r="O49" i="66"/>
  <c r="I51" i="13"/>
  <c r="K50" i="13"/>
  <c r="AL50" i="115"/>
  <c r="O51" i="114"/>
  <c r="I56" i="63"/>
  <c r="M50" i="118"/>
  <c r="K51" i="118"/>
  <c r="BN50" i="118"/>
  <c r="BO50" i="118" s="1"/>
  <c r="V50" i="118"/>
  <c r="AE50" i="118"/>
  <c r="AH50" i="118"/>
  <c r="AB50" i="118"/>
  <c r="AY50" i="118"/>
  <c r="BG50" i="118" s="1"/>
  <c r="AN50" i="118"/>
  <c r="AK50" i="118"/>
  <c r="BQ50" i="118"/>
  <c r="AT50" i="118"/>
  <c r="AV50" i="118" s="1"/>
  <c r="BR50" i="63"/>
  <c r="AL50" i="63"/>
  <c r="I55" i="15"/>
  <c r="I107" i="99"/>
  <c r="P50" i="118"/>
  <c r="BJ53" i="105"/>
  <c r="BL53" i="105" s="1"/>
  <c r="BK53" i="105"/>
  <c r="M53" i="105"/>
  <c r="BN53" i="105"/>
  <c r="BO53" i="105" s="1"/>
  <c r="AB53" i="105"/>
  <c r="AC53" i="105" s="1"/>
  <c r="BG53" i="105"/>
  <c r="BH53" i="105" s="1"/>
  <c r="P53" i="105"/>
  <c r="AY53" i="105"/>
  <c r="BA53" i="105"/>
  <c r="BB53" i="105" s="1"/>
  <c r="R53" i="105"/>
  <c r="T53" i="105" s="1"/>
  <c r="AN53" i="105"/>
  <c r="AO53" i="105" s="1"/>
  <c r="AV53" i="105"/>
  <c r="AW53" i="105" s="1"/>
  <c r="AH53" i="105"/>
  <c r="AI53" i="105" s="1"/>
  <c r="BD53" i="105"/>
  <c r="BE53" i="105" s="1"/>
  <c r="BQ53" i="105"/>
  <c r="BR53" i="105" s="1"/>
  <c r="AT53" i="105"/>
  <c r="AK53" i="105"/>
  <c r="AL53" i="105" s="1"/>
  <c r="V53" i="105"/>
  <c r="W53" i="105" s="1"/>
  <c r="O53" i="105"/>
  <c r="Y53" i="105"/>
  <c r="Z53" i="105" s="1"/>
  <c r="AE53" i="105"/>
  <c r="AF53" i="105" s="1"/>
  <c r="AQ53" i="105"/>
  <c r="AR53" i="105" s="1"/>
  <c r="K54" i="105"/>
  <c r="AF48" i="120"/>
  <c r="O51" i="115"/>
  <c r="P51" i="114"/>
  <c r="P52" i="114" s="1"/>
  <c r="R51" i="15"/>
  <c r="T50" i="15"/>
  <c r="Y50" i="15" s="1"/>
  <c r="V28" i="98"/>
  <c r="W28" i="98" s="1"/>
  <c r="P29" i="98"/>
  <c r="R52" i="63"/>
  <c r="T51" i="63"/>
  <c r="Y51" i="63" s="1"/>
  <c r="O28" i="98"/>
  <c r="R52" i="110"/>
  <c r="T51" i="110"/>
  <c r="Y51" i="110" s="1"/>
  <c r="T52" i="124"/>
  <c r="Y52" i="124" s="1"/>
  <c r="Z52" i="124" s="1"/>
  <c r="R53" i="124"/>
  <c r="P27" i="99"/>
  <c r="V26" i="99"/>
  <c r="O28" i="107"/>
  <c r="O30" i="63"/>
  <c r="O31" i="63" s="1"/>
  <c r="O32" i="63" s="1"/>
  <c r="O33" i="63" s="1"/>
  <c r="O34" i="63" s="1"/>
  <c r="O35" i="63" s="1"/>
  <c r="O36" i="63" s="1"/>
  <c r="O37" i="63" s="1"/>
  <c r="O38" i="63" s="1"/>
  <c r="O39" i="63" s="1"/>
  <c r="O40" i="63" s="1"/>
  <c r="O41" i="63" s="1"/>
  <c r="O42" i="63" s="1"/>
  <c r="O43" i="63" s="1"/>
  <c r="O44" i="63" s="1"/>
  <c r="O45" i="63" s="1"/>
  <c r="O46" i="63" s="1"/>
  <c r="O47" i="63" s="1"/>
  <c r="O48" i="63" s="1"/>
  <c r="O49" i="63" s="1"/>
  <c r="O50" i="63" s="1"/>
  <c r="O51" i="63" s="1"/>
  <c r="O32" i="106"/>
  <c r="O33" i="106" s="1"/>
  <c r="O34" i="106" s="1"/>
  <c r="O35" i="106" s="1"/>
  <c r="O36" i="106" s="1"/>
  <c r="O37" i="106" s="1"/>
  <c r="O38" i="106" s="1"/>
  <c r="O39" i="106" s="1"/>
  <c r="P26" i="105"/>
  <c r="P29" i="107"/>
  <c r="V28" i="107"/>
  <c r="W28" i="107" s="1"/>
  <c r="O29" i="120"/>
  <c r="V29" i="120" s="1"/>
  <c r="W29" i="120" s="1"/>
  <c r="P30" i="120"/>
  <c r="P31" i="120" s="1"/>
  <c r="P32" i="120" s="1"/>
  <c r="P33" i="120" s="1"/>
  <c r="P34" i="120" s="1"/>
  <c r="P35" i="120" s="1"/>
  <c r="P36" i="120" s="1"/>
  <c r="P37" i="120" s="1"/>
  <c r="P38" i="120" s="1"/>
  <c r="P39" i="120" s="1"/>
  <c r="P40" i="120" s="1"/>
  <c r="P41" i="120" s="1"/>
  <c r="P42" i="120" s="1"/>
  <c r="P43" i="120" s="1"/>
  <c r="P44" i="120" s="1"/>
  <c r="P45" i="120" s="1"/>
  <c r="P46" i="120" s="1"/>
  <c r="P47" i="120" s="1"/>
  <c r="P48" i="120" s="1"/>
  <c r="P49" i="120" s="1"/>
  <c r="P50" i="120" s="1"/>
  <c r="R51" i="118"/>
  <c r="T50" i="118"/>
  <c r="Y50" i="118" s="1"/>
  <c r="P30" i="135"/>
  <c r="P31" i="135" s="1"/>
  <c r="P32" i="135" s="1"/>
  <c r="P33" i="135" s="1"/>
  <c r="P34" i="135" s="1"/>
  <c r="P35" i="135" s="1"/>
  <c r="P36" i="135" s="1"/>
  <c r="P37" i="135" s="1"/>
  <c r="P38" i="135" s="1"/>
  <c r="P39" i="135" s="1"/>
  <c r="P40" i="135" s="1"/>
  <c r="P41" i="135" s="1"/>
  <c r="P42" i="135" s="1"/>
  <c r="P43" i="135" s="1"/>
  <c r="P44" i="135" s="1"/>
  <c r="P28" i="110"/>
  <c r="W26" i="112"/>
  <c r="O27" i="112"/>
  <c r="P30" i="136"/>
  <c r="P31" i="136" s="1"/>
  <c r="P32" i="136" s="1"/>
  <c r="P33" i="136" s="1"/>
  <c r="P34" i="136" s="1"/>
  <c r="P35" i="136" s="1"/>
  <c r="P36" i="136" s="1"/>
  <c r="P37" i="136" s="1"/>
  <c r="P38" i="136" s="1"/>
  <c r="P39" i="136" s="1"/>
  <c r="P40" i="136" s="1"/>
  <c r="P41" i="136" s="1"/>
  <c r="P42" i="136" s="1"/>
  <c r="P43" i="136" s="1"/>
  <c r="P44" i="136" s="1"/>
  <c r="O29" i="135"/>
  <c r="V29" i="135" s="1"/>
  <c r="W29" i="135" s="1"/>
  <c r="R52" i="115"/>
  <c r="T51" i="115"/>
  <c r="Y51" i="115" s="1"/>
  <c r="Z51" i="115" s="1"/>
  <c r="O32" i="104"/>
  <c r="O33" i="104" s="1"/>
  <c r="O34" i="104" s="1"/>
  <c r="O35" i="104" s="1"/>
  <c r="O36" i="104" s="1"/>
  <c r="O37" i="104" s="1"/>
  <c r="O38" i="104" s="1"/>
  <c r="O39" i="104" s="1"/>
  <c r="O29" i="136"/>
  <c r="BG48" i="153" l="1"/>
  <c r="BH48" i="153" s="1"/>
  <c r="Z50" i="15"/>
  <c r="AI50" i="15"/>
  <c r="W49" i="13"/>
  <c r="BR49" i="120"/>
  <c r="BH51" i="115"/>
  <c r="BB49" i="13"/>
  <c r="BR51" i="110"/>
  <c r="AC49" i="95"/>
  <c r="W50" i="112"/>
  <c r="AC51" i="96"/>
  <c r="AF51" i="63"/>
  <c r="AO51" i="110"/>
  <c r="W51" i="114"/>
  <c r="W49" i="95"/>
  <c r="BR49" i="95"/>
  <c r="AL49" i="95"/>
  <c r="AI49" i="95"/>
  <c r="AY49" i="150"/>
  <c r="I57" i="107"/>
  <c r="K56" i="107"/>
  <c r="AY49" i="155"/>
  <c r="AW49" i="95"/>
  <c r="R53" i="132"/>
  <c r="T53" i="132" s="1"/>
  <c r="AV53" i="132"/>
  <c r="AW53" i="132" s="1"/>
  <c r="BN53" i="132"/>
  <c r="BO53" i="132" s="1"/>
  <c r="AT53" i="132"/>
  <c r="P53" i="132"/>
  <c r="AK53" i="132"/>
  <c r="AL53" i="132" s="1"/>
  <c r="AQ53" i="132"/>
  <c r="AR53" i="132" s="1"/>
  <c r="BL53" i="132"/>
  <c r="M53" i="132"/>
  <c r="K54" i="132"/>
  <c r="Y53" i="132"/>
  <c r="Z53" i="132" s="1"/>
  <c r="AB53" i="132"/>
  <c r="AC53" i="132" s="1"/>
  <c r="V53" i="132"/>
  <c r="W53" i="132" s="1"/>
  <c r="AN53" i="132"/>
  <c r="AO53" i="132" s="1"/>
  <c r="AE53" i="132"/>
  <c r="AF53" i="132" s="1"/>
  <c r="AH53" i="132"/>
  <c r="AI53" i="132" s="1"/>
  <c r="BG53" i="132"/>
  <c r="BH53" i="132" s="1"/>
  <c r="BD53" i="132"/>
  <c r="BE53" i="132" s="1"/>
  <c r="BQ53" i="132"/>
  <c r="BR53" i="132" s="1"/>
  <c r="AY53" i="132"/>
  <c r="O53" i="132"/>
  <c r="BA53" i="132"/>
  <c r="BB53" i="132" s="1"/>
  <c r="M53" i="99"/>
  <c r="AV53" i="99"/>
  <c r="AW53" i="99" s="1"/>
  <c r="AN53" i="99"/>
  <c r="AO53" i="99" s="1"/>
  <c r="BG53" i="99"/>
  <c r="BH53" i="99" s="1"/>
  <c r="AT53" i="99"/>
  <c r="P53" i="99"/>
  <c r="O53" i="99"/>
  <c r="AE53" i="99"/>
  <c r="AF53" i="99" s="1"/>
  <c r="V53" i="99"/>
  <c r="W53" i="99" s="1"/>
  <c r="K54" i="99"/>
  <c r="AY53" i="99"/>
  <c r="BD53" i="99"/>
  <c r="BE53" i="99" s="1"/>
  <c r="BK53" i="99"/>
  <c r="BQ53" i="99"/>
  <c r="BR53" i="99" s="1"/>
  <c r="AK53" i="99"/>
  <c r="AL53" i="99" s="1"/>
  <c r="BJ53" i="99"/>
  <c r="BL53" i="99" s="1"/>
  <c r="BA53" i="99"/>
  <c r="BB53" i="99" s="1"/>
  <c r="AQ53" i="99"/>
  <c r="AR53" i="99" s="1"/>
  <c r="BN53" i="99"/>
  <c r="BO53" i="99" s="1"/>
  <c r="AH53" i="99"/>
  <c r="AI53" i="99" s="1"/>
  <c r="AB53" i="99"/>
  <c r="AC53" i="99" s="1"/>
  <c r="Y53" i="99"/>
  <c r="Z53" i="99" s="1"/>
  <c r="R53" i="99"/>
  <c r="T53" i="99" s="1"/>
  <c r="BB51" i="63"/>
  <c r="W51" i="110"/>
  <c r="AL51" i="114"/>
  <c r="R55" i="107"/>
  <c r="T55" i="107" s="1"/>
  <c r="AK55" i="107"/>
  <c r="AL55" i="107" s="1"/>
  <c r="AV55" i="107"/>
  <c r="AW55" i="107" s="1"/>
  <c r="O55" i="107"/>
  <c r="Y55" i="107"/>
  <c r="Z55" i="107" s="1"/>
  <c r="BA55" i="107"/>
  <c r="BB55" i="107" s="1"/>
  <c r="BQ55" i="107"/>
  <c r="BR55" i="107" s="1"/>
  <c r="BK55" i="107"/>
  <c r="AN55" i="107"/>
  <c r="AO55" i="107" s="1"/>
  <c r="AQ55" i="107"/>
  <c r="AR55" i="107" s="1"/>
  <c r="AB55" i="107"/>
  <c r="AC55" i="107" s="1"/>
  <c r="AH55" i="107"/>
  <c r="AI55" i="107" s="1"/>
  <c r="BN55" i="107"/>
  <c r="BO55" i="107" s="1"/>
  <c r="BJ55" i="107"/>
  <c r="BL55" i="107" s="1"/>
  <c r="AE55" i="107"/>
  <c r="AF55" i="107" s="1"/>
  <c r="AT55" i="107"/>
  <c r="BG55" i="107"/>
  <c r="BH55" i="107" s="1"/>
  <c r="M55" i="107"/>
  <c r="V55" i="107"/>
  <c r="W55" i="107" s="1"/>
  <c r="AY55" i="107"/>
  <c r="BD55" i="107"/>
  <c r="BE55" i="107" s="1"/>
  <c r="P55" i="107"/>
  <c r="V26" i="156"/>
  <c r="W26" i="156" s="1"/>
  <c r="P27" i="156"/>
  <c r="AW52" i="64"/>
  <c r="W25" i="156"/>
  <c r="O26" i="156"/>
  <c r="T47" i="156"/>
  <c r="Y47" i="156" s="1"/>
  <c r="Z47" i="156" s="1"/>
  <c r="R48" i="156"/>
  <c r="Z51" i="63"/>
  <c r="AV86" i="161"/>
  <c r="AW86" i="161" s="1"/>
  <c r="P86" i="161"/>
  <c r="BG86" i="161"/>
  <c r="BH86" i="161" s="1"/>
  <c r="BA86" i="161"/>
  <c r="BB86" i="161" s="1"/>
  <c r="AT86" i="161"/>
  <c r="AN86" i="161"/>
  <c r="AO86" i="161" s="1"/>
  <c r="AH86" i="161"/>
  <c r="AI86" i="161" s="1"/>
  <c r="AB86" i="161"/>
  <c r="AC86" i="161" s="1"/>
  <c r="V86" i="161"/>
  <c r="W86" i="161" s="1"/>
  <c r="O86" i="161"/>
  <c r="BD86" i="161"/>
  <c r="BE86" i="161" s="1"/>
  <c r="AQ86" i="161"/>
  <c r="AR86" i="161" s="1"/>
  <c r="AE86" i="161"/>
  <c r="AF86" i="161" s="1"/>
  <c r="R86" i="161"/>
  <c r="T86" i="161" s="1"/>
  <c r="AY86" i="161"/>
  <c r="AK86" i="161"/>
  <c r="AL86" i="161" s="1"/>
  <c r="Y86" i="161"/>
  <c r="Z86" i="161" s="1"/>
  <c r="BR86" i="161"/>
  <c r="BJ86" i="161"/>
  <c r="BL86" i="161" s="1"/>
  <c r="BN86" i="161"/>
  <c r="BO86" i="161" s="1"/>
  <c r="BK86" i="161"/>
  <c r="M86" i="161"/>
  <c r="I88" i="161"/>
  <c r="K87" i="161"/>
  <c r="BQ87" i="161" s="1"/>
  <c r="BD49" i="95"/>
  <c r="BE49" i="95" s="1"/>
  <c r="O50" i="95"/>
  <c r="I58" i="156"/>
  <c r="K57" i="156"/>
  <c r="AY57" i="156" s="1"/>
  <c r="M51" i="106"/>
  <c r="R51" i="106"/>
  <c r="T51" i="106" s="1"/>
  <c r="P51" i="106"/>
  <c r="V51" i="106"/>
  <c r="W51" i="106" s="1"/>
  <c r="BN51" i="106"/>
  <c r="BO51" i="106" s="1"/>
  <c r="AK51" i="106"/>
  <c r="AL51" i="106" s="1"/>
  <c r="BQ51" i="106"/>
  <c r="BR51" i="106" s="1"/>
  <c r="O51" i="106"/>
  <c r="BK51" i="106"/>
  <c r="Y51" i="106"/>
  <c r="Z51" i="106" s="1"/>
  <c r="BD51" i="106"/>
  <c r="BE51" i="106" s="1"/>
  <c r="AQ51" i="106"/>
  <c r="AR51" i="106" s="1"/>
  <c r="BJ51" i="106"/>
  <c r="BL51" i="106" s="1"/>
  <c r="AY51" i="106"/>
  <c r="AN51" i="106"/>
  <c r="AO51" i="106" s="1"/>
  <c r="AB51" i="106"/>
  <c r="AC51" i="106" s="1"/>
  <c r="BG51" i="106"/>
  <c r="BH51" i="106" s="1"/>
  <c r="AV51" i="106"/>
  <c r="AW51" i="106" s="1"/>
  <c r="BA51" i="106"/>
  <c r="BB51" i="106" s="1"/>
  <c r="AH51" i="106"/>
  <c r="AI51" i="106" s="1"/>
  <c r="AE51" i="106"/>
  <c r="AF51" i="106" s="1"/>
  <c r="AT51" i="106"/>
  <c r="K52" i="106"/>
  <c r="AY51" i="112"/>
  <c r="AH51" i="112"/>
  <c r="BJ51" i="112"/>
  <c r="BL51" i="112" s="1"/>
  <c r="AK51" i="112"/>
  <c r="AT51" i="112"/>
  <c r="BN51" i="112"/>
  <c r="BO51" i="112" s="1"/>
  <c r="AE51" i="112"/>
  <c r="BQ51" i="112"/>
  <c r="BK51" i="112"/>
  <c r="AB51" i="112"/>
  <c r="R51" i="112"/>
  <c r="T51" i="112" s="1"/>
  <c r="Y51" i="112" s="1"/>
  <c r="K52" i="112"/>
  <c r="AN51" i="112"/>
  <c r="M51" i="112"/>
  <c r="V51" i="112"/>
  <c r="W51" i="112" s="1"/>
  <c r="P52" i="115"/>
  <c r="AL51" i="115"/>
  <c r="W52" i="64"/>
  <c r="BA56" i="156"/>
  <c r="BB56" i="156" s="1"/>
  <c r="BQ56" i="156"/>
  <c r="BR56" i="156" s="1"/>
  <c r="P56" i="156"/>
  <c r="O56" i="156"/>
  <c r="BG56" i="156"/>
  <c r="BH56" i="156" s="1"/>
  <c r="M56" i="156"/>
  <c r="BN56" i="156"/>
  <c r="BO56" i="156" s="1"/>
  <c r="V56" i="156"/>
  <c r="W56" i="156" s="1"/>
  <c r="R56" i="156"/>
  <c r="T56" i="156" s="1"/>
  <c r="AE56" i="156"/>
  <c r="AF56" i="156" s="1"/>
  <c r="BL56" i="156"/>
  <c r="AB56" i="156"/>
  <c r="AC56" i="156" s="1"/>
  <c r="AQ56" i="156"/>
  <c r="AR56" i="156" s="1"/>
  <c r="AV56" i="156"/>
  <c r="AW56" i="156" s="1"/>
  <c r="AH56" i="156"/>
  <c r="AI56" i="156" s="1"/>
  <c r="BD56" i="156"/>
  <c r="BE56" i="156" s="1"/>
  <c r="AN56" i="156"/>
  <c r="AO56" i="156" s="1"/>
  <c r="AK56" i="156"/>
  <c r="AL56" i="156" s="1"/>
  <c r="Y56" i="156"/>
  <c r="Z56" i="156" s="1"/>
  <c r="AC55" i="156"/>
  <c r="AQ49" i="95"/>
  <c r="AR49" i="95" s="1"/>
  <c r="AV50" i="112"/>
  <c r="AW50" i="112" s="1"/>
  <c r="BD50" i="112"/>
  <c r="BE50" i="112" s="1"/>
  <c r="AC50" i="112"/>
  <c r="P51" i="118"/>
  <c r="AF50" i="118"/>
  <c r="W49" i="17"/>
  <c r="AC55" i="124"/>
  <c r="AE54" i="133"/>
  <c r="AF54" i="133" s="1"/>
  <c r="AV54" i="133"/>
  <c r="AW54" i="133" s="1"/>
  <c r="BA54" i="133"/>
  <c r="BB54" i="133" s="1"/>
  <c r="BN54" i="133"/>
  <c r="BO54" i="133" s="1"/>
  <c r="AQ54" i="133"/>
  <c r="AR54" i="133" s="1"/>
  <c r="AB54" i="133"/>
  <c r="AC54" i="133" s="1"/>
  <c r="BQ54" i="133"/>
  <c r="BR54" i="133" s="1"/>
  <c r="M54" i="133"/>
  <c r="AN54" i="133"/>
  <c r="AO54" i="133" s="1"/>
  <c r="O54" i="133"/>
  <c r="AT54" i="133"/>
  <c r="BL54" i="133"/>
  <c r="AK54" i="133"/>
  <c r="AL54" i="133" s="1"/>
  <c r="R54" i="133"/>
  <c r="T54" i="133" s="1"/>
  <c r="AY54" i="133"/>
  <c r="Y54" i="133"/>
  <c r="Z54" i="133" s="1"/>
  <c r="BG54" i="133"/>
  <c r="BH54" i="133" s="1"/>
  <c r="BD54" i="133"/>
  <c r="BE54" i="133" s="1"/>
  <c r="K55" i="133"/>
  <c r="AH54" i="133"/>
  <c r="AI54" i="133" s="1"/>
  <c r="V54" i="133"/>
  <c r="W54" i="133" s="1"/>
  <c r="P54" i="133"/>
  <c r="BN51" i="104"/>
  <c r="BO51" i="104" s="1"/>
  <c r="AE51" i="104"/>
  <c r="AF51" i="104" s="1"/>
  <c r="BG51" i="104"/>
  <c r="BH51" i="104" s="1"/>
  <c r="BQ51" i="104"/>
  <c r="BR51" i="104" s="1"/>
  <c r="M51" i="104"/>
  <c r="R51" i="104"/>
  <c r="T51" i="104" s="1"/>
  <c r="AH51" i="104"/>
  <c r="AI51" i="104" s="1"/>
  <c r="O51" i="104"/>
  <c r="BJ51" i="104"/>
  <c r="BL51" i="104" s="1"/>
  <c r="BA51" i="104"/>
  <c r="BB51" i="104" s="1"/>
  <c r="AT51" i="104"/>
  <c r="P51" i="104"/>
  <c r="AY51" i="104"/>
  <c r="AV51" i="104"/>
  <c r="AW51" i="104" s="1"/>
  <c r="AB51" i="104"/>
  <c r="AC51" i="104" s="1"/>
  <c r="K52" i="104"/>
  <c r="AK51" i="104"/>
  <c r="AL51" i="104" s="1"/>
  <c r="BD51" i="104"/>
  <c r="BE51" i="104" s="1"/>
  <c r="Y51" i="104"/>
  <c r="Z51" i="104" s="1"/>
  <c r="BK51" i="104"/>
  <c r="AQ51" i="104"/>
  <c r="AR51" i="104" s="1"/>
  <c r="AN51" i="104"/>
  <c r="AO51" i="104" s="1"/>
  <c r="V51" i="104"/>
  <c r="W51" i="104" s="1"/>
  <c r="BH49" i="95"/>
  <c r="BL50" i="95"/>
  <c r="V50" i="95"/>
  <c r="K51" i="95"/>
  <c r="P51" i="95" s="1"/>
  <c r="BN50" i="95"/>
  <c r="BO50" i="95" s="1"/>
  <c r="AH50" i="95"/>
  <c r="AE50" i="95"/>
  <c r="AT50" i="95"/>
  <c r="BD50" i="95" s="1"/>
  <c r="AN50" i="95"/>
  <c r="AK50" i="95"/>
  <c r="BG50" i="95"/>
  <c r="BA50" i="95"/>
  <c r="M50" i="95"/>
  <c r="AB50" i="95"/>
  <c r="BQ50" i="95"/>
  <c r="R50" i="95"/>
  <c r="T50" i="95" s="1"/>
  <c r="Y50" i="95" s="1"/>
  <c r="BB49" i="95"/>
  <c r="I58" i="106"/>
  <c r="AF49" i="95"/>
  <c r="AO49" i="95"/>
  <c r="BR50" i="112"/>
  <c r="AL50" i="112"/>
  <c r="Z50" i="112"/>
  <c r="AO50" i="118"/>
  <c r="AF50" i="112"/>
  <c r="AI50" i="112"/>
  <c r="AQ50" i="112"/>
  <c r="AR50" i="112" s="1"/>
  <c r="BG50" i="112"/>
  <c r="BH50" i="112" s="1"/>
  <c r="BA50" i="112"/>
  <c r="BB50" i="112" s="1"/>
  <c r="AL49" i="66"/>
  <c r="BR51" i="115"/>
  <c r="K53" i="129"/>
  <c r="O52" i="129"/>
  <c r="AH52" i="129"/>
  <c r="AI52" i="129" s="1"/>
  <c r="AE52" i="129"/>
  <c r="AF52" i="129" s="1"/>
  <c r="AB52" i="129"/>
  <c r="AC52" i="129" s="1"/>
  <c r="BN52" i="129"/>
  <c r="BO52" i="129" s="1"/>
  <c r="AQ52" i="129"/>
  <c r="AR52" i="129" s="1"/>
  <c r="AT52" i="129"/>
  <c r="BQ52" i="129"/>
  <c r="BR52" i="129" s="1"/>
  <c r="M52" i="129"/>
  <c r="BA52" i="129"/>
  <c r="BB52" i="129" s="1"/>
  <c r="BG52" i="129"/>
  <c r="BH52" i="129" s="1"/>
  <c r="AY52" i="129"/>
  <c r="R52" i="129"/>
  <c r="T52" i="129" s="1"/>
  <c r="V52" i="129"/>
  <c r="W52" i="129" s="1"/>
  <c r="AN52" i="129"/>
  <c r="AO52" i="129" s="1"/>
  <c r="AK52" i="129"/>
  <c r="AL52" i="129" s="1"/>
  <c r="BL52" i="129"/>
  <c r="BD52" i="129"/>
  <c r="BE52" i="129" s="1"/>
  <c r="AV52" i="129"/>
  <c r="AW52" i="129" s="1"/>
  <c r="Y52" i="129"/>
  <c r="Z52" i="129" s="1"/>
  <c r="P52" i="129"/>
  <c r="AO50" i="112"/>
  <c r="O52" i="63"/>
  <c r="AT44" i="150"/>
  <c r="AT44" i="156"/>
  <c r="M52" i="130"/>
  <c r="BN52" i="130"/>
  <c r="BO52" i="130" s="1"/>
  <c r="K53" i="130"/>
  <c r="BL52" i="130"/>
  <c r="AB52" i="130"/>
  <c r="AC52" i="130" s="1"/>
  <c r="AK52" i="130"/>
  <c r="AL52" i="130" s="1"/>
  <c r="AV52" i="130"/>
  <c r="AW52" i="130" s="1"/>
  <c r="AN52" i="130"/>
  <c r="AO52" i="130" s="1"/>
  <c r="AE52" i="130"/>
  <c r="AF52" i="130" s="1"/>
  <c r="AQ52" i="130"/>
  <c r="AR52" i="130" s="1"/>
  <c r="AH52" i="130"/>
  <c r="AI52" i="130" s="1"/>
  <c r="AY52" i="130"/>
  <c r="BG52" i="130"/>
  <c r="BH52" i="130" s="1"/>
  <c r="BD52" i="130"/>
  <c r="BE52" i="130" s="1"/>
  <c r="BQ52" i="130"/>
  <c r="BR52" i="130" s="1"/>
  <c r="AT52" i="130"/>
  <c r="BA52" i="130"/>
  <c r="BB52" i="130" s="1"/>
  <c r="R52" i="130"/>
  <c r="T52" i="130" s="1"/>
  <c r="O52" i="130"/>
  <c r="P52" i="130"/>
  <c r="Y52" i="130"/>
  <c r="Z52" i="130" s="1"/>
  <c r="V52" i="130"/>
  <c r="W52" i="130" s="1"/>
  <c r="BG48" i="15"/>
  <c r="BH48" i="15" s="1"/>
  <c r="BA48" i="15"/>
  <c r="BB48" i="15" s="1"/>
  <c r="BA49" i="150"/>
  <c r="BB49" i="150" s="1"/>
  <c r="BG49" i="150"/>
  <c r="BH49" i="150" s="1"/>
  <c r="BA49" i="151"/>
  <c r="BB49" i="151" s="1"/>
  <c r="BG49" i="151"/>
  <c r="BH49" i="151" s="1"/>
  <c r="BA49" i="155"/>
  <c r="BB49" i="155" s="1"/>
  <c r="BG49" i="155"/>
  <c r="BH49" i="155" s="1"/>
  <c r="BG49" i="153"/>
  <c r="BH49" i="153" s="1"/>
  <c r="BA49" i="153"/>
  <c r="BB49" i="153" s="1"/>
  <c r="BG49" i="152"/>
  <c r="BH49" i="152" s="1"/>
  <c r="BA49" i="152"/>
  <c r="BB49" i="152" s="1"/>
  <c r="BG48" i="149"/>
  <c r="BH48" i="149" s="1"/>
  <c r="BA48" i="149"/>
  <c r="BB48" i="149" s="1"/>
  <c r="BA48" i="156"/>
  <c r="BB48" i="156" s="1"/>
  <c r="BG48" i="156"/>
  <c r="BH48" i="156" s="1"/>
  <c r="A54" i="7"/>
  <c r="AY49" i="156"/>
  <c r="AY50" i="153"/>
  <c r="AY50" i="155"/>
  <c r="AY49" i="15"/>
  <c r="AV43" i="156"/>
  <c r="AW43" i="156" s="1"/>
  <c r="BD43" i="156"/>
  <c r="BE43" i="156" s="1"/>
  <c r="AV43" i="150"/>
  <c r="AW43" i="150" s="1"/>
  <c r="BD43" i="150"/>
  <c r="BE43" i="150" s="1"/>
  <c r="BH52" i="64"/>
  <c r="AW51" i="126"/>
  <c r="BR52" i="64"/>
  <c r="AC55" i="149"/>
  <c r="AO53" i="150"/>
  <c r="Z54" i="151"/>
  <c r="Z52" i="64"/>
  <c r="AO52" i="64"/>
  <c r="W53" i="146"/>
  <c r="Z51" i="114"/>
  <c r="T46" i="155"/>
  <c r="Y46" i="155" s="1"/>
  <c r="Z46" i="155" s="1"/>
  <c r="R47" i="155"/>
  <c r="Z51" i="110"/>
  <c r="Z51" i="126"/>
  <c r="Z53" i="146"/>
  <c r="BE51" i="114"/>
  <c r="BE53" i="146"/>
  <c r="W53" i="150"/>
  <c r="P26" i="155"/>
  <c r="V25" i="155"/>
  <c r="AV43" i="120"/>
  <c r="AW43" i="120" s="1"/>
  <c r="BD43" i="15"/>
  <c r="BE43" i="15" s="1"/>
  <c r="O50" i="17"/>
  <c r="O50" i="66"/>
  <c r="M57" i="155"/>
  <c r="BQ57" i="155"/>
  <c r="BR57" i="155" s="1"/>
  <c r="O57" i="155"/>
  <c r="V57" i="155"/>
  <c r="W57" i="155" s="1"/>
  <c r="AB57" i="155"/>
  <c r="AC57" i="155" s="1"/>
  <c r="AH57" i="155"/>
  <c r="AI57" i="155" s="1"/>
  <c r="AN57" i="155"/>
  <c r="AO57" i="155" s="1"/>
  <c r="BA57" i="155"/>
  <c r="BB57" i="155" s="1"/>
  <c r="BG57" i="155"/>
  <c r="BH57" i="155" s="1"/>
  <c r="P57" i="155"/>
  <c r="AV57" i="155"/>
  <c r="AW57" i="155" s="1"/>
  <c r="BN57" i="155"/>
  <c r="BO57" i="155" s="1"/>
  <c r="R57" i="155"/>
  <c r="T57" i="155" s="1"/>
  <c r="AQ57" i="155"/>
  <c r="AR57" i="155" s="1"/>
  <c r="Y57" i="155"/>
  <c r="Z57" i="155" s="1"/>
  <c r="AE57" i="155"/>
  <c r="AF57" i="155" s="1"/>
  <c r="BD57" i="155"/>
  <c r="BE57" i="155" s="1"/>
  <c r="AK57" i="155"/>
  <c r="AL57" i="155" s="1"/>
  <c r="BL57" i="155"/>
  <c r="I59" i="155"/>
  <c r="K58" i="155"/>
  <c r="BD43" i="130"/>
  <c r="BE43" i="130" s="1"/>
  <c r="AV43" i="130"/>
  <c r="AW43" i="130" s="1"/>
  <c r="AV43" i="13"/>
  <c r="AW43" i="13" s="1"/>
  <c r="BD43" i="13"/>
  <c r="BE43" i="13" s="1"/>
  <c r="AV43" i="136"/>
  <c r="AW43" i="136" s="1"/>
  <c r="BD43" i="136"/>
  <c r="BE43" i="136" s="1"/>
  <c r="BD43" i="17"/>
  <c r="BE43" i="17" s="1"/>
  <c r="AV43" i="17"/>
  <c r="AW43" i="17" s="1"/>
  <c r="AV44" i="15"/>
  <c r="AW44" i="15" s="1"/>
  <c r="BD44" i="15"/>
  <c r="BE44" i="15" s="1"/>
  <c r="A46" i="58"/>
  <c r="AT44" i="120"/>
  <c r="AT44" i="17"/>
  <c r="AT44" i="13"/>
  <c r="O57" i="153"/>
  <c r="V57" i="153"/>
  <c r="W57" i="153" s="1"/>
  <c r="AB57" i="153"/>
  <c r="AC57" i="153" s="1"/>
  <c r="AH57" i="153"/>
  <c r="AI57" i="153" s="1"/>
  <c r="AN57" i="153"/>
  <c r="AO57" i="153" s="1"/>
  <c r="BA57" i="153"/>
  <c r="BB57" i="153" s="1"/>
  <c r="BG57" i="153"/>
  <c r="BH57" i="153" s="1"/>
  <c r="P57" i="153"/>
  <c r="AV57" i="153"/>
  <c r="AW57" i="153" s="1"/>
  <c r="BN57" i="153"/>
  <c r="BO57" i="153" s="1"/>
  <c r="BQ57" i="153"/>
  <c r="BR57" i="153" s="1"/>
  <c r="Y57" i="153"/>
  <c r="Z57" i="153" s="1"/>
  <c r="AK57" i="153"/>
  <c r="AL57" i="153" s="1"/>
  <c r="M57" i="153"/>
  <c r="AQ57" i="153"/>
  <c r="AR57" i="153" s="1"/>
  <c r="BD57" i="153"/>
  <c r="BE57" i="153" s="1"/>
  <c r="R57" i="153"/>
  <c r="T57" i="153" s="1"/>
  <c r="AE57" i="153"/>
  <c r="AF57" i="153" s="1"/>
  <c r="BL57" i="153"/>
  <c r="K58" i="153"/>
  <c r="I62" i="153"/>
  <c r="M57" i="152"/>
  <c r="BQ57" i="152"/>
  <c r="BR57" i="152" s="1"/>
  <c r="O57" i="152"/>
  <c r="V57" i="152"/>
  <c r="W57" i="152" s="1"/>
  <c r="AB57" i="152"/>
  <c r="AC57" i="152" s="1"/>
  <c r="AH57" i="152"/>
  <c r="AI57" i="152" s="1"/>
  <c r="AN57" i="152"/>
  <c r="AO57" i="152" s="1"/>
  <c r="BA57" i="152"/>
  <c r="BB57" i="152" s="1"/>
  <c r="BG57" i="152"/>
  <c r="BH57" i="152" s="1"/>
  <c r="P57" i="152"/>
  <c r="AV57" i="152"/>
  <c r="AW57" i="152" s="1"/>
  <c r="BN57" i="152"/>
  <c r="BO57" i="152" s="1"/>
  <c r="R57" i="152"/>
  <c r="T57" i="152" s="1"/>
  <c r="AE57" i="152"/>
  <c r="AF57" i="152" s="1"/>
  <c r="BD57" i="152"/>
  <c r="BE57" i="152" s="1"/>
  <c r="AK57" i="152"/>
  <c r="AL57" i="152" s="1"/>
  <c r="AQ57" i="152"/>
  <c r="AR57" i="152" s="1"/>
  <c r="Y57" i="152"/>
  <c r="Z57" i="152" s="1"/>
  <c r="BL57" i="152"/>
  <c r="K58" i="152"/>
  <c r="I66" i="152"/>
  <c r="W54" i="147"/>
  <c r="AW54" i="147"/>
  <c r="AF53" i="150"/>
  <c r="AI53" i="150"/>
  <c r="AV51" i="114"/>
  <c r="AW51" i="114" s="1"/>
  <c r="AV51" i="115"/>
  <c r="AW51" i="115" s="1"/>
  <c r="O52" i="114"/>
  <c r="O53" i="64"/>
  <c r="AQ54" i="151"/>
  <c r="AR54" i="151" s="1"/>
  <c r="AO54" i="151"/>
  <c r="AF54" i="151"/>
  <c r="W54" i="151"/>
  <c r="AL54" i="151"/>
  <c r="K56" i="151"/>
  <c r="I57" i="151"/>
  <c r="AC54" i="151"/>
  <c r="BD55" i="151"/>
  <c r="BE55" i="151" s="1"/>
  <c r="AQ55" i="151"/>
  <c r="AR55" i="151" s="1"/>
  <c r="AK55" i="151"/>
  <c r="AL55" i="151" s="1"/>
  <c r="AE55" i="151"/>
  <c r="AF55" i="151" s="1"/>
  <c r="Y55" i="151"/>
  <c r="Z55" i="151" s="1"/>
  <c r="R55" i="151"/>
  <c r="T55" i="151" s="1"/>
  <c r="AV55" i="151"/>
  <c r="AW55" i="151" s="1"/>
  <c r="P55" i="151"/>
  <c r="BG55" i="151"/>
  <c r="BH55" i="151" s="1"/>
  <c r="BA55" i="151"/>
  <c r="BB55" i="151" s="1"/>
  <c r="AT55" i="151"/>
  <c r="AN55" i="151"/>
  <c r="AO55" i="151" s="1"/>
  <c r="AH55" i="151"/>
  <c r="AI55" i="151" s="1"/>
  <c r="AB55" i="151"/>
  <c r="V55" i="151"/>
  <c r="W55" i="151" s="1"/>
  <c r="O55" i="151"/>
  <c r="BQ55" i="151"/>
  <c r="BR55" i="151" s="1"/>
  <c r="AY55" i="151"/>
  <c r="M55" i="151"/>
  <c r="BN55" i="151"/>
  <c r="BO55" i="151" s="1"/>
  <c r="BL55" i="151"/>
  <c r="BR54" i="151"/>
  <c r="AI54" i="151"/>
  <c r="AC53" i="150"/>
  <c r="Z53" i="150"/>
  <c r="BQ54" i="150"/>
  <c r="AK54" i="150"/>
  <c r="AE54" i="150"/>
  <c r="R54" i="150"/>
  <c r="T54" i="150" s="1"/>
  <c r="Y54" i="150" s="1"/>
  <c r="P54" i="150"/>
  <c r="AN54" i="150"/>
  <c r="O54" i="150"/>
  <c r="AH54" i="150"/>
  <c r="AB54" i="150"/>
  <c r="V54" i="150"/>
  <c r="BN54" i="150"/>
  <c r="BO54" i="150" s="1"/>
  <c r="M54" i="150"/>
  <c r="BL54" i="150"/>
  <c r="K55" i="150"/>
  <c r="AL53" i="150"/>
  <c r="BR53" i="150"/>
  <c r="AQ53" i="150"/>
  <c r="AR53" i="150" s="1"/>
  <c r="I58" i="150"/>
  <c r="I58" i="149"/>
  <c r="K57" i="149"/>
  <c r="AT57" i="149" s="1"/>
  <c r="AV56" i="149"/>
  <c r="AW56" i="149" s="1"/>
  <c r="P56" i="149"/>
  <c r="BQ56" i="149"/>
  <c r="BR56" i="149" s="1"/>
  <c r="AY56" i="149"/>
  <c r="AK56" i="149"/>
  <c r="AL56" i="149" s="1"/>
  <c r="Y56" i="149"/>
  <c r="Z56" i="149" s="1"/>
  <c r="BG56" i="149"/>
  <c r="BH56" i="149" s="1"/>
  <c r="AH56" i="149"/>
  <c r="AI56" i="149" s="1"/>
  <c r="V56" i="149"/>
  <c r="W56" i="149" s="1"/>
  <c r="BD56" i="149"/>
  <c r="BE56" i="149" s="1"/>
  <c r="AQ56" i="149"/>
  <c r="AR56" i="149" s="1"/>
  <c r="AE56" i="149"/>
  <c r="AF56" i="149" s="1"/>
  <c r="R56" i="149"/>
  <c r="T56" i="149" s="1"/>
  <c r="BA56" i="149"/>
  <c r="BB56" i="149" s="1"/>
  <c r="AN56" i="149"/>
  <c r="AO56" i="149" s="1"/>
  <c r="AB56" i="149"/>
  <c r="AC56" i="149" s="1"/>
  <c r="O56" i="149"/>
  <c r="BN56" i="149"/>
  <c r="BO56" i="149" s="1"/>
  <c r="M56" i="149"/>
  <c r="BL56" i="149"/>
  <c r="BD51" i="126"/>
  <c r="BE51" i="126" s="1"/>
  <c r="BB54" i="147"/>
  <c r="AI54" i="147"/>
  <c r="AI49" i="17"/>
  <c r="AO49" i="17"/>
  <c r="BR54" i="147"/>
  <c r="BR49" i="17"/>
  <c r="BH53" i="146"/>
  <c r="AF54" i="147"/>
  <c r="BD54" i="147"/>
  <c r="BE54" i="147" s="1"/>
  <c r="BG54" i="147"/>
  <c r="BH54" i="147" s="1"/>
  <c r="I57" i="147"/>
  <c r="K56" i="147"/>
  <c r="V29" i="147"/>
  <c r="P30" i="147"/>
  <c r="Z54" i="147"/>
  <c r="AC54" i="147"/>
  <c r="BG55" i="147"/>
  <c r="BH55" i="147" s="1"/>
  <c r="BA55" i="147"/>
  <c r="BB55" i="147" s="1"/>
  <c r="AT55" i="147"/>
  <c r="AN55" i="147"/>
  <c r="AO55" i="147" s="1"/>
  <c r="AH55" i="147"/>
  <c r="AI55" i="147" s="1"/>
  <c r="AB55" i="147"/>
  <c r="V55" i="147"/>
  <c r="W55" i="147" s="1"/>
  <c r="O55" i="147"/>
  <c r="BQ55" i="147"/>
  <c r="BR55" i="147" s="1"/>
  <c r="AY55" i="147"/>
  <c r="BD55" i="147"/>
  <c r="BE55" i="147" s="1"/>
  <c r="AQ55" i="147"/>
  <c r="AR55" i="147" s="1"/>
  <c r="AE55" i="147"/>
  <c r="AF55" i="147" s="1"/>
  <c r="R55" i="147"/>
  <c r="T55" i="147" s="1"/>
  <c r="P55" i="147"/>
  <c r="Y55" i="147"/>
  <c r="Z55" i="147" s="1"/>
  <c r="AV55" i="147"/>
  <c r="AW55" i="147" s="1"/>
  <c r="AK55" i="147"/>
  <c r="AL55" i="147" s="1"/>
  <c r="BN55" i="147"/>
  <c r="BO55" i="147" s="1"/>
  <c r="M55" i="147"/>
  <c r="BJ55" i="147"/>
  <c r="BL55" i="147" s="1"/>
  <c r="BK55" i="147"/>
  <c r="AT54" i="146"/>
  <c r="AV54" i="146" s="1"/>
  <c r="AB54" i="146"/>
  <c r="V54" i="146"/>
  <c r="BQ54" i="146"/>
  <c r="AY54" i="146"/>
  <c r="BG54" i="146" s="1"/>
  <c r="R54" i="146"/>
  <c r="T54" i="146" s="1"/>
  <c r="Y54" i="146" s="1"/>
  <c r="AE54" i="146"/>
  <c r="M54" i="146"/>
  <c r="BN54" i="146"/>
  <c r="BO54" i="146" s="1"/>
  <c r="BK54" i="146"/>
  <c r="BJ54" i="146"/>
  <c r="BL54" i="146" s="1"/>
  <c r="AV53" i="146"/>
  <c r="AW53" i="146" s="1"/>
  <c r="V28" i="146"/>
  <c r="I56" i="146"/>
  <c r="K55" i="146"/>
  <c r="AF53" i="146"/>
  <c r="AC53" i="146"/>
  <c r="BA53" i="146"/>
  <c r="BB53" i="146" s="1"/>
  <c r="BR53" i="146"/>
  <c r="AI53" i="146"/>
  <c r="BG49" i="120"/>
  <c r="BH49" i="120" s="1"/>
  <c r="AQ51" i="63"/>
  <c r="AR51" i="63" s="1"/>
  <c r="AQ52" i="64"/>
  <c r="AR52" i="64" s="1"/>
  <c r="BR51" i="126"/>
  <c r="AF51" i="126"/>
  <c r="AI51" i="126"/>
  <c r="Z51" i="96"/>
  <c r="BE51" i="96"/>
  <c r="BA51" i="126"/>
  <c r="BB51" i="126" s="1"/>
  <c r="O52" i="115"/>
  <c r="AW50" i="118"/>
  <c r="AO49" i="13"/>
  <c r="AL49" i="13"/>
  <c r="BG49" i="66"/>
  <c r="BH49" i="66" s="1"/>
  <c r="AC51" i="110"/>
  <c r="BE51" i="110"/>
  <c r="AF52" i="64"/>
  <c r="AC52" i="64"/>
  <c r="AI52" i="64"/>
  <c r="BH50" i="118"/>
  <c r="Z50" i="118"/>
  <c r="AW49" i="66"/>
  <c r="O52" i="126"/>
  <c r="AW51" i="63"/>
  <c r="BB49" i="120"/>
  <c r="BR50" i="118"/>
  <c r="AQ51" i="126"/>
  <c r="AR51" i="126" s="1"/>
  <c r="AO51" i="126"/>
  <c r="AL51" i="126"/>
  <c r="BR51" i="96"/>
  <c r="AQ49" i="13"/>
  <c r="AR49" i="13" s="1"/>
  <c r="BH51" i="126"/>
  <c r="AC51" i="126"/>
  <c r="W51" i="126"/>
  <c r="W51" i="96"/>
  <c r="AO51" i="96"/>
  <c r="Z49" i="13"/>
  <c r="AQ51" i="110"/>
  <c r="AR51" i="110" s="1"/>
  <c r="AF51" i="114"/>
  <c r="BB51" i="114"/>
  <c r="AQ49" i="120"/>
  <c r="AR49" i="120" s="1"/>
  <c r="BB51" i="110"/>
  <c r="AF51" i="110"/>
  <c r="BR51" i="114"/>
  <c r="BA50" i="118"/>
  <c r="BB50" i="118" s="1"/>
  <c r="AQ49" i="66"/>
  <c r="AR49" i="66" s="1"/>
  <c r="AF50" i="15"/>
  <c r="AL50" i="15"/>
  <c r="BB51" i="96"/>
  <c r="BH51" i="96"/>
  <c r="AL51" i="96"/>
  <c r="AF51" i="96"/>
  <c r="BG51" i="63"/>
  <c r="BH51" i="63" s="1"/>
  <c r="BG49" i="17"/>
  <c r="BH49" i="17" s="1"/>
  <c r="BB49" i="66"/>
  <c r="AO49" i="66"/>
  <c r="AI49" i="66"/>
  <c r="BG51" i="110"/>
  <c r="BH51" i="110" s="1"/>
  <c r="AV51" i="96"/>
  <c r="AW51" i="96" s="1"/>
  <c r="BD51" i="63"/>
  <c r="BE51" i="63" s="1"/>
  <c r="AO51" i="63"/>
  <c r="AF49" i="66"/>
  <c r="AQ51" i="114"/>
  <c r="AR51" i="114" s="1"/>
  <c r="BD50" i="118"/>
  <c r="BE50" i="118" s="1"/>
  <c r="M50" i="13"/>
  <c r="BN50" i="13"/>
  <c r="BO50" i="13" s="1"/>
  <c r="BL50" i="13"/>
  <c r="AY50" i="13"/>
  <c r="BA50" i="13" s="1"/>
  <c r="BQ50" i="13"/>
  <c r="AE50" i="13"/>
  <c r="AB50" i="13"/>
  <c r="AK50" i="13"/>
  <c r="AN50" i="13"/>
  <c r="V50" i="13"/>
  <c r="AH50" i="13"/>
  <c r="R50" i="13"/>
  <c r="T50" i="13" s="1"/>
  <c r="Y50" i="13" s="1"/>
  <c r="I52" i="17"/>
  <c r="K51" i="17"/>
  <c r="BN54" i="136"/>
  <c r="BO54" i="136" s="1"/>
  <c r="M54" i="136"/>
  <c r="BL54" i="136"/>
  <c r="V54" i="136"/>
  <c r="W54" i="136" s="1"/>
  <c r="AY54" i="136"/>
  <c r="AN54" i="136"/>
  <c r="AO54" i="136" s="1"/>
  <c r="AE54" i="136"/>
  <c r="AF54" i="136" s="1"/>
  <c r="O54" i="136"/>
  <c r="BA54" i="136"/>
  <c r="BB54" i="136" s="1"/>
  <c r="AV54" i="136"/>
  <c r="AW54" i="136" s="1"/>
  <c r="AH54" i="136"/>
  <c r="AI54" i="136" s="1"/>
  <c r="Y54" i="136"/>
  <c r="Z54" i="136" s="1"/>
  <c r="AT54" i="136"/>
  <c r="R54" i="136"/>
  <c r="T54" i="136" s="1"/>
  <c r="P54" i="136"/>
  <c r="BQ54" i="136"/>
  <c r="BR54" i="136" s="1"/>
  <c r="AB54" i="136"/>
  <c r="AC54" i="136" s="1"/>
  <c r="BD54" i="136"/>
  <c r="BE54" i="136" s="1"/>
  <c r="AK54" i="136"/>
  <c r="AL54" i="136" s="1"/>
  <c r="AQ54" i="136"/>
  <c r="AR54" i="136" s="1"/>
  <c r="BG54" i="136"/>
  <c r="BH54" i="136" s="1"/>
  <c r="K55" i="136"/>
  <c r="BN52" i="63"/>
  <c r="BO52" i="63" s="1"/>
  <c r="M52" i="63"/>
  <c r="AK52" i="63"/>
  <c r="V52" i="63"/>
  <c r="AB52" i="63"/>
  <c r="AN52" i="63"/>
  <c r="AE52" i="63"/>
  <c r="AY52" i="63"/>
  <c r="BA52" i="63" s="1"/>
  <c r="AH52" i="63"/>
  <c r="BL52" i="63"/>
  <c r="BQ52" i="63"/>
  <c r="AT52" i="63"/>
  <c r="AV52" i="63" s="1"/>
  <c r="K53" i="63"/>
  <c r="AB50" i="66"/>
  <c r="M50" i="66"/>
  <c r="AE50" i="66"/>
  <c r="BN50" i="66"/>
  <c r="BO50" i="66" s="1"/>
  <c r="V50" i="66"/>
  <c r="AN50" i="66"/>
  <c r="AK50" i="66"/>
  <c r="AH50" i="66"/>
  <c r="BL50" i="66"/>
  <c r="AY50" i="66"/>
  <c r="BA50" i="66" s="1"/>
  <c r="BQ50" i="66"/>
  <c r="AT50" i="66"/>
  <c r="AV50" i="66" s="1"/>
  <c r="R50" i="66"/>
  <c r="T50" i="66" s="1"/>
  <c r="Y50" i="66" s="1"/>
  <c r="K54" i="135"/>
  <c r="I55" i="135"/>
  <c r="I61" i="95"/>
  <c r="AN52" i="96"/>
  <c r="AK52" i="96"/>
  <c r="AT52" i="96"/>
  <c r="AV52" i="96" s="1"/>
  <c r="AE52" i="96"/>
  <c r="AH52" i="96"/>
  <c r="BN52" i="96"/>
  <c r="BO52" i="96" s="1"/>
  <c r="AB52" i="96"/>
  <c r="M52" i="96"/>
  <c r="BG52" i="96"/>
  <c r="V52" i="96"/>
  <c r="BL52" i="96"/>
  <c r="BQ52" i="96"/>
  <c r="BA52" i="96"/>
  <c r="R52" i="96"/>
  <c r="T52" i="96" s="1"/>
  <c r="Y52" i="96" s="1"/>
  <c r="BD49" i="66"/>
  <c r="BE49" i="66" s="1"/>
  <c r="M52" i="115"/>
  <c r="BJ52" i="115"/>
  <c r="BL52" i="115" s="1"/>
  <c r="BN52" i="115"/>
  <c r="BO52" i="115" s="1"/>
  <c r="BK52" i="115"/>
  <c r="BQ52" i="115"/>
  <c r="V52" i="115"/>
  <c r="AK52" i="115"/>
  <c r="AT52" i="115"/>
  <c r="AV52" i="115" s="1"/>
  <c r="AN52" i="115"/>
  <c r="AH52" i="115"/>
  <c r="AB52" i="115"/>
  <c r="AE52" i="115"/>
  <c r="AY52" i="115"/>
  <c r="BG52" i="115" s="1"/>
  <c r="BJ52" i="110"/>
  <c r="BL52" i="110" s="1"/>
  <c r="M52" i="110"/>
  <c r="BN52" i="110"/>
  <c r="BO52" i="110" s="1"/>
  <c r="BK52" i="110"/>
  <c r="V52" i="110"/>
  <c r="AY52" i="110"/>
  <c r="BA52" i="110" s="1"/>
  <c r="AT52" i="110"/>
  <c r="BD52" i="110" s="1"/>
  <c r="AK52" i="110"/>
  <c r="AE52" i="110"/>
  <c r="AN52" i="110"/>
  <c r="AH52" i="110"/>
  <c r="AB52" i="110"/>
  <c r="BQ52" i="110"/>
  <c r="O52" i="96"/>
  <c r="AO49" i="120"/>
  <c r="W49" i="120"/>
  <c r="BA51" i="115"/>
  <c r="BB51" i="115" s="1"/>
  <c r="AI51" i="115"/>
  <c r="AO51" i="115"/>
  <c r="AV51" i="110"/>
  <c r="AW51" i="110" s="1"/>
  <c r="BG51" i="114"/>
  <c r="BH51" i="114" s="1"/>
  <c r="AC51" i="114"/>
  <c r="BD52" i="64"/>
  <c r="BE52" i="64" s="1"/>
  <c r="BA52" i="64"/>
  <c r="BB52" i="64" s="1"/>
  <c r="I56" i="15"/>
  <c r="W50" i="118"/>
  <c r="I57" i="63"/>
  <c r="K51" i="13"/>
  <c r="I52" i="13"/>
  <c r="BL51" i="15"/>
  <c r="BN51" i="15"/>
  <c r="BO51" i="15" s="1"/>
  <c r="AN51" i="15"/>
  <c r="AK51" i="15"/>
  <c r="M51" i="15"/>
  <c r="BQ51" i="15"/>
  <c r="AE51" i="15"/>
  <c r="AB51" i="15"/>
  <c r="V51" i="15"/>
  <c r="AH51" i="15"/>
  <c r="K52" i="15"/>
  <c r="AQ50" i="15"/>
  <c r="AR50" i="15" s="1"/>
  <c r="AC50" i="15"/>
  <c r="BR50" i="15"/>
  <c r="AQ51" i="96"/>
  <c r="AR51" i="96" s="1"/>
  <c r="O50" i="13"/>
  <c r="BR51" i="63"/>
  <c r="AC51" i="63"/>
  <c r="W51" i="63"/>
  <c r="AC49" i="13"/>
  <c r="AF49" i="13"/>
  <c r="Z49" i="17"/>
  <c r="AL49" i="17"/>
  <c r="AF49" i="17"/>
  <c r="I54" i="96"/>
  <c r="K53" i="96"/>
  <c r="BN52" i="98"/>
  <c r="BO52" i="98" s="1"/>
  <c r="BJ52" i="98"/>
  <c r="BL52" i="98" s="1"/>
  <c r="M52" i="98"/>
  <c r="BK52" i="98"/>
  <c r="K53" i="98"/>
  <c r="P52" i="98"/>
  <c r="BD52" i="98"/>
  <c r="BE52" i="98" s="1"/>
  <c r="BG52" i="98"/>
  <c r="BH52" i="98" s="1"/>
  <c r="O52" i="98"/>
  <c r="AN52" i="98"/>
  <c r="AO52" i="98" s="1"/>
  <c r="AE52" i="98"/>
  <c r="AF52" i="98" s="1"/>
  <c r="AK52" i="98"/>
  <c r="AL52" i="98" s="1"/>
  <c r="BA52" i="98"/>
  <c r="BB52" i="98" s="1"/>
  <c r="AV52" i="98"/>
  <c r="AW52" i="98" s="1"/>
  <c r="AB52" i="98"/>
  <c r="AC52" i="98" s="1"/>
  <c r="AH52" i="98"/>
  <c r="AI52" i="98" s="1"/>
  <c r="AT52" i="98"/>
  <c r="AQ52" i="98"/>
  <c r="AR52" i="98" s="1"/>
  <c r="R52" i="98"/>
  <c r="T52" i="98" s="1"/>
  <c r="AY52" i="98"/>
  <c r="V52" i="98"/>
  <c r="W52" i="98" s="1"/>
  <c r="Y52" i="98"/>
  <c r="Z52" i="98" s="1"/>
  <c r="BQ52" i="98"/>
  <c r="BR52" i="98" s="1"/>
  <c r="I54" i="115"/>
  <c r="K53" i="115"/>
  <c r="I54" i="110"/>
  <c r="K53" i="110"/>
  <c r="Z49" i="120"/>
  <c r="AL49" i="120"/>
  <c r="AC49" i="120"/>
  <c r="AI49" i="120"/>
  <c r="AC51" i="115"/>
  <c r="BE51" i="115"/>
  <c r="M56" i="124"/>
  <c r="BN56" i="124"/>
  <c r="BO56" i="124" s="1"/>
  <c r="BK56" i="124"/>
  <c r="K57" i="124"/>
  <c r="BJ56" i="124"/>
  <c r="BL56" i="124" s="1"/>
  <c r="AN56" i="124"/>
  <c r="AO56" i="124" s="1"/>
  <c r="AV56" i="124"/>
  <c r="AW56" i="124" s="1"/>
  <c r="AK56" i="124"/>
  <c r="AL56" i="124" s="1"/>
  <c r="R56" i="124"/>
  <c r="T56" i="124" s="1"/>
  <c r="AY56" i="124"/>
  <c r="V56" i="124"/>
  <c r="W56" i="124" s="1"/>
  <c r="AE56" i="124"/>
  <c r="AF56" i="124" s="1"/>
  <c r="AH56" i="124"/>
  <c r="AI56" i="124" s="1"/>
  <c r="O56" i="124"/>
  <c r="AQ56" i="124"/>
  <c r="AR56" i="124" s="1"/>
  <c r="Y56" i="124"/>
  <c r="Z56" i="124" s="1"/>
  <c r="AB56" i="124"/>
  <c r="AC56" i="124" s="1"/>
  <c r="P56" i="124"/>
  <c r="AT56" i="124"/>
  <c r="BD56" i="124"/>
  <c r="BE56" i="124" s="1"/>
  <c r="BQ56" i="124"/>
  <c r="BR56" i="124" s="1"/>
  <c r="BG56" i="124"/>
  <c r="BH56" i="124" s="1"/>
  <c r="BA56" i="124"/>
  <c r="BB56" i="124" s="1"/>
  <c r="P52" i="96"/>
  <c r="M54" i="105"/>
  <c r="BK54" i="105"/>
  <c r="BN54" i="105"/>
  <c r="BO54" i="105" s="1"/>
  <c r="BJ54" i="105"/>
  <c r="BL54" i="105" s="1"/>
  <c r="AY54" i="105"/>
  <c r="BA54" i="105"/>
  <c r="BB54" i="105" s="1"/>
  <c r="P54" i="105"/>
  <c r="AT54" i="105"/>
  <c r="AN54" i="105"/>
  <c r="AO54" i="105" s="1"/>
  <c r="R54" i="105"/>
  <c r="T54" i="105" s="1"/>
  <c r="V54" i="105"/>
  <c r="W54" i="105" s="1"/>
  <c r="BD54" i="105"/>
  <c r="BE54" i="105" s="1"/>
  <c r="AE54" i="105"/>
  <c r="AF54" i="105" s="1"/>
  <c r="O54" i="105"/>
  <c r="BQ54" i="105"/>
  <c r="BR54" i="105" s="1"/>
  <c r="Y54" i="105"/>
  <c r="Z54" i="105" s="1"/>
  <c r="AV54" i="105"/>
  <c r="AW54" i="105" s="1"/>
  <c r="BG54" i="105"/>
  <c r="BH54" i="105" s="1"/>
  <c r="AH54" i="105"/>
  <c r="AI54" i="105" s="1"/>
  <c r="AK54" i="105"/>
  <c r="AL54" i="105" s="1"/>
  <c r="AQ54" i="105"/>
  <c r="AR54" i="105" s="1"/>
  <c r="AB54" i="105"/>
  <c r="AC54" i="105" s="1"/>
  <c r="K55" i="105"/>
  <c r="AQ50" i="118"/>
  <c r="AR50" i="118" s="1"/>
  <c r="AC50" i="118"/>
  <c r="M51" i="101"/>
  <c r="AE51" i="101"/>
  <c r="AF51" i="101" s="1"/>
  <c r="AN51" i="101"/>
  <c r="AO51" i="101" s="1"/>
  <c r="V51" i="101"/>
  <c r="W51" i="101" s="1"/>
  <c r="BA51" i="101"/>
  <c r="BB51" i="101" s="1"/>
  <c r="AV51" i="101"/>
  <c r="AW51" i="101" s="1"/>
  <c r="AK51" i="101"/>
  <c r="AL51" i="101" s="1"/>
  <c r="BG51" i="101"/>
  <c r="BH51" i="101" s="1"/>
  <c r="R51" i="101"/>
  <c r="T51" i="101" s="1"/>
  <c r="AB51" i="101"/>
  <c r="AC51" i="101" s="1"/>
  <c r="AT51" i="101"/>
  <c r="AY51" i="101"/>
  <c r="BD51" i="101"/>
  <c r="BE51" i="101" s="1"/>
  <c r="P51" i="101"/>
  <c r="BQ51" i="101"/>
  <c r="BR51" i="101" s="1"/>
  <c r="AH51" i="101"/>
  <c r="AI51" i="101" s="1"/>
  <c r="O51" i="101"/>
  <c r="AQ51" i="101"/>
  <c r="AR51" i="101" s="1"/>
  <c r="Y51" i="101"/>
  <c r="Z51" i="101" s="1"/>
  <c r="AL51" i="63"/>
  <c r="I56" i="104"/>
  <c r="P51" i="15"/>
  <c r="P52" i="15" s="1"/>
  <c r="V50" i="120"/>
  <c r="AE50" i="120"/>
  <c r="AH50" i="120"/>
  <c r="M50" i="120"/>
  <c r="AB50" i="120"/>
  <c r="K51" i="120"/>
  <c r="BN50" i="120"/>
  <c r="BO50" i="120" s="1"/>
  <c r="AY50" i="120"/>
  <c r="BG50" i="120" s="1"/>
  <c r="BH50" i="120" s="1"/>
  <c r="BQ50" i="120"/>
  <c r="AK50" i="120"/>
  <c r="AN50" i="120"/>
  <c r="R50" i="120"/>
  <c r="T50" i="120" s="1"/>
  <c r="Y50" i="120" s="1"/>
  <c r="I59" i="132"/>
  <c r="P50" i="66"/>
  <c r="I57" i="126"/>
  <c r="P52" i="63"/>
  <c r="O51" i="15"/>
  <c r="I108" i="99"/>
  <c r="AL50" i="118"/>
  <c r="AI50" i="118"/>
  <c r="M51" i="118"/>
  <c r="K52" i="118"/>
  <c r="BN51" i="118"/>
  <c r="BO51" i="118" s="1"/>
  <c r="AB51" i="118"/>
  <c r="V51" i="118"/>
  <c r="AH51" i="118"/>
  <c r="AE51" i="118"/>
  <c r="AN51" i="118"/>
  <c r="AY51" i="118"/>
  <c r="BG51" i="118" s="1"/>
  <c r="AK51" i="118"/>
  <c r="BQ51" i="118"/>
  <c r="AT51" i="118"/>
  <c r="AV51" i="118" s="1"/>
  <c r="W50" i="15"/>
  <c r="AO50" i="15"/>
  <c r="M52" i="126"/>
  <c r="BK52" i="126"/>
  <c r="BN52" i="126"/>
  <c r="BO52" i="126" s="1"/>
  <c r="BJ52" i="126"/>
  <c r="BL52" i="126" s="1"/>
  <c r="V52" i="126"/>
  <c r="AB52" i="126"/>
  <c r="AE52" i="126"/>
  <c r="AN52" i="126"/>
  <c r="AK52" i="126"/>
  <c r="AT52" i="126"/>
  <c r="AV52" i="126" s="1"/>
  <c r="AY52" i="126"/>
  <c r="BA52" i="126" s="1"/>
  <c r="BQ52" i="126"/>
  <c r="K53" i="126"/>
  <c r="R52" i="126"/>
  <c r="T52" i="126" s="1"/>
  <c r="Y52" i="126" s="1"/>
  <c r="BL50" i="17"/>
  <c r="BN50" i="17"/>
  <c r="BO50" i="17" s="1"/>
  <c r="AY50" i="17"/>
  <c r="BG50" i="17" s="1"/>
  <c r="M50" i="17"/>
  <c r="AH50" i="17"/>
  <c r="AN50" i="17"/>
  <c r="V50" i="17"/>
  <c r="AB50" i="17"/>
  <c r="AC50" i="17" s="1"/>
  <c r="AK50" i="17"/>
  <c r="AE50" i="17"/>
  <c r="BQ50" i="17"/>
  <c r="R50" i="17"/>
  <c r="T50" i="17" s="1"/>
  <c r="Y50" i="17" s="1"/>
  <c r="P50" i="13"/>
  <c r="P51" i="13" s="1"/>
  <c r="I58" i="114"/>
  <c r="AI51" i="96"/>
  <c r="I53" i="101"/>
  <c r="K52" i="101"/>
  <c r="AI51" i="63"/>
  <c r="BG49" i="13"/>
  <c r="BH49" i="13" s="1"/>
  <c r="AI49" i="13"/>
  <c r="BR49" i="13"/>
  <c r="K51" i="66"/>
  <c r="I52" i="66"/>
  <c r="M53" i="135"/>
  <c r="AV53" i="135"/>
  <c r="AW53" i="135" s="1"/>
  <c r="P53" i="135"/>
  <c r="AY53" i="135"/>
  <c r="Y53" i="135"/>
  <c r="Z53" i="135" s="1"/>
  <c r="AN53" i="135"/>
  <c r="AO53" i="135" s="1"/>
  <c r="AB53" i="135"/>
  <c r="AC53" i="135" s="1"/>
  <c r="AQ53" i="135"/>
  <c r="AR53" i="135" s="1"/>
  <c r="AH53" i="135"/>
  <c r="AI53" i="135" s="1"/>
  <c r="BG53" i="135"/>
  <c r="BH53" i="135" s="1"/>
  <c r="BQ53" i="135"/>
  <c r="BR53" i="135" s="1"/>
  <c r="R53" i="135"/>
  <c r="T53" i="135" s="1"/>
  <c r="AT53" i="135"/>
  <c r="V53" i="135"/>
  <c r="W53" i="135" s="1"/>
  <c r="O53" i="135"/>
  <c r="BA53" i="135"/>
  <c r="BB53" i="135" s="1"/>
  <c r="BD53" i="135"/>
  <c r="BE53" i="135" s="1"/>
  <c r="AK53" i="135"/>
  <c r="AL53" i="135" s="1"/>
  <c r="AE53" i="135"/>
  <c r="AF53" i="135" s="1"/>
  <c r="BN53" i="135"/>
  <c r="BO53" i="135" s="1"/>
  <c r="BL53" i="135"/>
  <c r="AQ49" i="17"/>
  <c r="AR49" i="17" s="1"/>
  <c r="AC49" i="17"/>
  <c r="BB49" i="17"/>
  <c r="I59" i="105"/>
  <c r="I58" i="64"/>
  <c r="I67" i="133"/>
  <c r="Z49" i="66"/>
  <c r="BR49" i="66"/>
  <c r="W49" i="66"/>
  <c r="AC49" i="66"/>
  <c r="O51" i="118"/>
  <c r="AF49" i="120"/>
  <c r="I58" i="136"/>
  <c r="AQ51" i="115"/>
  <c r="AR51" i="115" s="1"/>
  <c r="AF51" i="115"/>
  <c r="W51" i="115"/>
  <c r="AI51" i="110"/>
  <c r="AL51" i="110"/>
  <c r="BK52" i="114"/>
  <c r="M52" i="114"/>
  <c r="BN52" i="114"/>
  <c r="BO52" i="114" s="1"/>
  <c r="BJ52" i="114"/>
  <c r="BL52" i="114" s="1"/>
  <c r="AE52" i="114"/>
  <c r="AB52" i="114"/>
  <c r="AY52" i="114"/>
  <c r="BA52" i="114" s="1"/>
  <c r="AN52" i="114"/>
  <c r="AT52" i="114"/>
  <c r="AV52" i="114" s="1"/>
  <c r="V52" i="114"/>
  <c r="AK52" i="114"/>
  <c r="AH52" i="114"/>
  <c r="BQ52" i="114"/>
  <c r="K53" i="114"/>
  <c r="P53" i="114" s="1"/>
  <c r="R52" i="114"/>
  <c r="T52" i="114" s="1"/>
  <c r="Y52" i="114" s="1"/>
  <c r="AI51" i="114"/>
  <c r="AO51" i="114"/>
  <c r="AB53" i="64"/>
  <c r="AN53" i="64"/>
  <c r="AH53" i="64"/>
  <c r="AK53" i="64"/>
  <c r="M53" i="64"/>
  <c r="AE53" i="64"/>
  <c r="V53" i="64"/>
  <c r="AY53" i="64"/>
  <c r="BG53" i="64" s="1"/>
  <c r="BL53" i="64"/>
  <c r="BN53" i="64"/>
  <c r="BO53" i="64" s="1"/>
  <c r="BQ53" i="64"/>
  <c r="AT53" i="64"/>
  <c r="AV53" i="64" s="1"/>
  <c r="K54" i="64"/>
  <c r="R53" i="64"/>
  <c r="T53" i="64" s="1"/>
  <c r="Y53" i="64" s="1"/>
  <c r="AL52" i="64"/>
  <c r="P50" i="17"/>
  <c r="P51" i="17" s="1"/>
  <c r="T51" i="15"/>
  <c r="Y51" i="15" s="1"/>
  <c r="R52" i="15"/>
  <c r="O29" i="98"/>
  <c r="T52" i="110"/>
  <c r="Y52" i="110" s="1"/>
  <c r="R53" i="110"/>
  <c r="V29" i="98"/>
  <c r="W29" i="98" s="1"/>
  <c r="P30" i="98"/>
  <c r="T53" i="124"/>
  <c r="Y53" i="124" s="1"/>
  <c r="Z53" i="124" s="1"/>
  <c r="R54" i="124"/>
  <c r="T54" i="124" s="1"/>
  <c r="Y54" i="124" s="1"/>
  <c r="Z54" i="124" s="1"/>
  <c r="R53" i="63"/>
  <c r="T52" i="63"/>
  <c r="Y52" i="63" s="1"/>
  <c r="P30" i="107"/>
  <c r="V29" i="107"/>
  <c r="W29" i="107" s="1"/>
  <c r="W26" i="99"/>
  <c r="O27" i="99"/>
  <c r="O29" i="107"/>
  <c r="V27" i="99"/>
  <c r="W27" i="99" s="1"/>
  <c r="P28" i="99"/>
  <c r="P27" i="105"/>
  <c r="V26" i="105"/>
  <c r="O30" i="120"/>
  <c r="O31" i="120" s="1"/>
  <c r="O32" i="120" s="1"/>
  <c r="O33" i="120" s="1"/>
  <c r="O34" i="120" s="1"/>
  <c r="O35" i="120" s="1"/>
  <c r="O36" i="120" s="1"/>
  <c r="O37" i="120" s="1"/>
  <c r="O38" i="120" s="1"/>
  <c r="O39" i="120" s="1"/>
  <c r="O40" i="120" s="1"/>
  <c r="O41" i="120" s="1"/>
  <c r="O42" i="120" s="1"/>
  <c r="O43" i="120" s="1"/>
  <c r="O44" i="120" s="1"/>
  <c r="O45" i="120" s="1"/>
  <c r="O46" i="120" s="1"/>
  <c r="O47" i="120" s="1"/>
  <c r="O48" i="120" s="1"/>
  <c r="O49" i="120" s="1"/>
  <c r="O50" i="120" s="1"/>
  <c r="T51" i="118"/>
  <c r="Y51" i="118" s="1"/>
  <c r="Z51" i="118" s="1"/>
  <c r="R52" i="118"/>
  <c r="V28" i="110"/>
  <c r="T52" i="115"/>
  <c r="Y52" i="115" s="1"/>
  <c r="R53" i="115"/>
  <c r="P27" i="112"/>
  <c r="O30" i="135"/>
  <c r="O31" i="135" s="1"/>
  <c r="O32" i="135" s="1"/>
  <c r="O33" i="135" s="1"/>
  <c r="O34" i="135" s="1"/>
  <c r="O35" i="135" s="1"/>
  <c r="O36" i="135" s="1"/>
  <c r="O37" i="135" s="1"/>
  <c r="O38" i="135" s="1"/>
  <c r="O39" i="135" s="1"/>
  <c r="O40" i="135" s="1"/>
  <c r="O41" i="135" s="1"/>
  <c r="O42" i="135" s="1"/>
  <c r="O43" i="135" s="1"/>
  <c r="O44" i="135" s="1"/>
  <c r="V29" i="136"/>
  <c r="W29" i="136" s="1"/>
  <c r="W52" i="114" l="1"/>
  <c r="AO52" i="63"/>
  <c r="W52" i="126"/>
  <c r="Z50" i="95"/>
  <c r="Z51" i="15"/>
  <c r="BH52" i="115"/>
  <c r="AO52" i="110"/>
  <c r="BE50" i="95"/>
  <c r="Z52" i="115"/>
  <c r="P53" i="96"/>
  <c r="BB50" i="66"/>
  <c r="BR50" i="13"/>
  <c r="BB50" i="95"/>
  <c r="AI50" i="95"/>
  <c r="AE54" i="132"/>
  <c r="AF54" i="132" s="1"/>
  <c r="BD54" i="132"/>
  <c r="BE54" i="132" s="1"/>
  <c r="BQ54" i="132"/>
  <c r="BR54" i="132" s="1"/>
  <c r="AH54" i="132"/>
  <c r="AI54" i="132" s="1"/>
  <c r="O54" i="132"/>
  <c r="AT54" i="132"/>
  <c r="BN54" i="132"/>
  <c r="BO54" i="132" s="1"/>
  <c r="Y54" i="132"/>
  <c r="Z54" i="132" s="1"/>
  <c r="K55" i="132"/>
  <c r="M54" i="132"/>
  <c r="BG54" i="132"/>
  <c r="BH54" i="132" s="1"/>
  <c r="AV54" i="132"/>
  <c r="AW54" i="132" s="1"/>
  <c r="BA54" i="132"/>
  <c r="BB54" i="132" s="1"/>
  <c r="AY54" i="132"/>
  <c r="AK54" i="132"/>
  <c r="AL54" i="132" s="1"/>
  <c r="V54" i="132"/>
  <c r="W54" i="132" s="1"/>
  <c r="AB54" i="132"/>
  <c r="AC54" i="132" s="1"/>
  <c r="R54" i="132"/>
  <c r="T54" i="132" s="1"/>
  <c r="P54" i="132"/>
  <c r="AN54" i="132"/>
  <c r="AO54" i="132" s="1"/>
  <c r="BL54" i="132"/>
  <c r="AQ54" i="132"/>
  <c r="AR54" i="132" s="1"/>
  <c r="BN56" i="107"/>
  <c r="BO56" i="107" s="1"/>
  <c r="P56" i="107"/>
  <c r="R56" i="107"/>
  <c r="T56" i="107" s="1"/>
  <c r="BA56" i="107"/>
  <c r="BB56" i="107" s="1"/>
  <c r="BK56" i="107"/>
  <c r="AV56" i="107"/>
  <c r="AW56" i="107" s="1"/>
  <c r="O56" i="107"/>
  <c r="AT56" i="107"/>
  <c r="AY56" i="107"/>
  <c r="V56" i="107"/>
  <c r="W56" i="107" s="1"/>
  <c r="BQ56" i="107"/>
  <c r="BR56" i="107" s="1"/>
  <c r="AE56" i="107"/>
  <c r="AF56" i="107" s="1"/>
  <c r="AH56" i="107"/>
  <c r="AI56" i="107" s="1"/>
  <c r="AQ56" i="107"/>
  <c r="AR56" i="107" s="1"/>
  <c r="AK56" i="107"/>
  <c r="AL56" i="107" s="1"/>
  <c r="Y56" i="107"/>
  <c r="Z56" i="107" s="1"/>
  <c r="BJ56" i="107"/>
  <c r="BL56" i="107" s="1"/>
  <c r="AB56" i="107"/>
  <c r="AC56" i="107" s="1"/>
  <c r="BD56" i="107"/>
  <c r="BE56" i="107" s="1"/>
  <c r="AN56" i="107"/>
  <c r="AO56" i="107" s="1"/>
  <c r="M56" i="107"/>
  <c r="BG56" i="107"/>
  <c r="BH56" i="107" s="1"/>
  <c r="O27" i="156"/>
  <c r="I58" i="107"/>
  <c r="K57" i="107"/>
  <c r="AO50" i="13"/>
  <c r="AV50" i="95"/>
  <c r="Z51" i="112"/>
  <c r="K55" i="99"/>
  <c r="V54" i="99"/>
  <c r="W54" i="99" s="1"/>
  <c r="BG54" i="99"/>
  <c r="BH54" i="99" s="1"/>
  <c r="AQ54" i="99"/>
  <c r="AR54" i="99" s="1"/>
  <c r="AB54" i="99"/>
  <c r="AC54" i="99" s="1"/>
  <c r="M54" i="99"/>
  <c r="AV54" i="99"/>
  <c r="AW54" i="99" s="1"/>
  <c r="AE54" i="99"/>
  <c r="AF54" i="99" s="1"/>
  <c r="AK54" i="99"/>
  <c r="AL54" i="99" s="1"/>
  <c r="BJ54" i="99"/>
  <c r="BL54" i="99" s="1"/>
  <c r="R54" i="99"/>
  <c r="T54" i="99" s="1"/>
  <c r="Y54" i="99"/>
  <c r="Z54" i="99" s="1"/>
  <c r="AH54" i="99"/>
  <c r="AI54" i="99" s="1"/>
  <c r="P54" i="99"/>
  <c r="AY54" i="99"/>
  <c r="AN54" i="99"/>
  <c r="AO54" i="99" s="1"/>
  <c r="AT54" i="99"/>
  <c r="BK54" i="99"/>
  <c r="BD54" i="99"/>
  <c r="BE54" i="99" s="1"/>
  <c r="O54" i="99"/>
  <c r="BN54" i="99"/>
  <c r="BO54" i="99" s="1"/>
  <c r="BA54" i="99"/>
  <c r="BB54" i="99" s="1"/>
  <c r="BQ54" i="99"/>
  <c r="BR54" i="99" s="1"/>
  <c r="P53" i="63"/>
  <c r="BB52" i="110"/>
  <c r="O51" i="95"/>
  <c r="BR52" i="114"/>
  <c r="T48" i="156"/>
  <c r="Y48" i="156" s="1"/>
  <c r="Z48" i="156" s="1"/>
  <c r="R49" i="156"/>
  <c r="Z52" i="63"/>
  <c r="BR53" i="64"/>
  <c r="AW52" i="63"/>
  <c r="BB52" i="63"/>
  <c r="V27" i="156"/>
  <c r="W27" i="156" s="1"/>
  <c r="P28" i="156"/>
  <c r="AW52" i="115"/>
  <c r="AC51" i="112"/>
  <c r="BG87" i="161"/>
  <c r="BH87" i="161" s="1"/>
  <c r="BA87" i="161"/>
  <c r="BB87" i="161" s="1"/>
  <c r="AT87" i="161"/>
  <c r="AN87" i="161"/>
  <c r="AO87" i="161" s="1"/>
  <c r="AH87" i="161"/>
  <c r="AI87" i="161" s="1"/>
  <c r="AB87" i="161"/>
  <c r="AC87" i="161" s="1"/>
  <c r="V87" i="161"/>
  <c r="W87" i="161" s="1"/>
  <c r="O87" i="161"/>
  <c r="BR87" i="161"/>
  <c r="AY87" i="161"/>
  <c r="P87" i="161"/>
  <c r="AK87" i="161"/>
  <c r="AL87" i="161" s="1"/>
  <c r="Y87" i="161"/>
  <c r="Z87" i="161" s="1"/>
  <c r="AV87" i="161"/>
  <c r="AW87" i="161" s="1"/>
  <c r="R87" i="161"/>
  <c r="T87" i="161" s="1"/>
  <c r="BD87" i="161"/>
  <c r="BE87" i="161" s="1"/>
  <c r="AQ87" i="161"/>
  <c r="AR87" i="161" s="1"/>
  <c r="AE87" i="161"/>
  <c r="AF87" i="161" s="1"/>
  <c r="BJ87" i="161"/>
  <c r="BL87" i="161" s="1"/>
  <c r="M87" i="161"/>
  <c r="BK87" i="161"/>
  <c r="BN87" i="161"/>
  <c r="BO87" i="161" s="1"/>
  <c r="I89" i="161"/>
  <c r="K88" i="161"/>
  <c r="BQ88" i="161" s="1"/>
  <c r="O53" i="63"/>
  <c r="P53" i="115"/>
  <c r="AF50" i="95"/>
  <c r="BD51" i="112"/>
  <c r="BE51" i="112" s="1"/>
  <c r="AV51" i="112"/>
  <c r="AW51" i="112" s="1"/>
  <c r="AL51" i="112"/>
  <c r="AC52" i="114"/>
  <c r="W51" i="118"/>
  <c r="AF52" i="115"/>
  <c r="AY50" i="152"/>
  <c r="BG50" i="152" s="1"/>
  <c r="BH50" i="152" s="1"/>
  <c r="AW50" i="95"/>
  <c r="BH50" i="95"/>
  <c r="BK52" i="104"/>
  <c r="V52" i="104"/>
  <c r="W52" i="104" s="1"/>
  <c r="AY52" i="104"/>
  <c r="O52" i="104"/>
  <c r="K53" i="104"/>
  <c r="R52" i="104"/>
  <c r="T52" i="104" s="1"/>
  <c r="AN52" i="104"/>
  <c r="AO52" i="104" s="1"/>
  <c r="Y52" i="104"/>
  <c r="Z52" i="104" s="1"/>
  <c r="AK52" i="104"/>
  <c r="AL52" i="104" s="1"/>
  <c r="BG52" i="104"/>
  <c r="BH52" i="104" s="1"/>
  <c r="BA52" i="104"/>
  <c r="BB52" i="104" s="1"/>
  <c r="BN52" i="104"/>
  <c r="BO52" i="104" s="1"/>
  <c r="AH52" i="104"/>
  <c r="AI52" i="104" s="1"/>
  <c r="BQ52" i="104"/>
  <c r="BR52" i="104" s="1"/>
  <c r="AB52" i="104"/>
  <c r="AC52" i="104" s="1"/>
  <c r="BJ52" i="104"/>
  <c r="BL52" i="104" s="1"/>
  <c r="AV52" i="104"/>
  <c r="AW52" i="104" s="1"/>
  <c r="AE52" i="104"/>
  <c r="AF52" i="104" s="1"/>
  <c r="AT52" i="104"/>
  <c r="M52" i="104"/>
  <c r="BD52" i="104"/>
  <c r="BE52" i="104" s="1"/>
  <c r="P52" i="104"/>
  <c r="AQ52" i="104"/>
  <c r="AR52" i="104" s="1"/>
  <c r="BR52" i="115"/>
  <c r="BD53" i="129"/>
  <c r="BE53" i="129" s="1"/>
  <c r="BG53" i="129"/>
  <c r="BH53" i="129" s="1"/>
  <c r="AK53" i="129"/>
  <c r="AL53" i="129" s="1"/>
  <c r="BN53" i="129"/>
  <c r="BO53" i="129" s="1"/>
  <c r="P53" i="129"/>
  <c r="V53" i="129"/>
  <c r="W53" i="129" s="1"/>
  <c r="BA53" i="129"/>
  <c r="BB53" i="129" s="1"/>
  <c r="K54" i="129"/>
  <c r="AE53" i="129"/>
  <c r="AF53" i="129" s="1"/>
  <c r="R53" i="129"/>
  <c r="T53" i="129" s="1"/>
  <c r="AT53" i="129"/>
  <c r="M53" i="129"/>
  <c r="BQ53" i="129"/>
  <c r="BR53" i="129" s="1"/>
  <c r="AY53" i="129"/>
  <c r="AB53" i="129"/>
  <c r="AC53" i="129" s="1"/>
  <c r="AQ53" i="129"/>
  <c r="AR53" i="129" s="1"/>
  <c r="O53" i="129"/>
  <c r="AN53" i="129"/>
  <c r="AO53" i="129" s="1"/>
  <c r="BL53" i="129"/>
  <c r="Y53" i="129"/>
  <c r="Z53" i="129" s="1"/>
  <c r="AH53" i="129"/>
  <c r="AI53" i="129" s="1"/>
  <c r="AV53" i="129"/>
  <c r="AW53" i="129" s="1"/>
  <c r="I59" i="106"/>
  <c r="AQ50" i="95"/>
  <c r="AR50" i="95" s="1"/>
  <c r="AL50" i="95"/>
  <c r="BG51" i="95"/>
  <c r="AB51" i="95"/>
  <c r="AK51" i="95"/>
  <c r="BA51" i="95"/>
  <c r="M51" i="95"/>
  <c r="AH51" i="95"/>
  <c r="BQ51" i="95"/>
  <c r="BN51" i="95"/>
  <c r="BO51" i="95" s="1"/>
  <c r="V51" i="95"/>
  <c r="K52" i="95"/>
  <c r="AT51" i="95"/>
  <c r="AV51" i="95" s="1"/>
  <c r="AE51" i="95"/>
  <c r="AN51" i="95"/>
  <c r="BL51" i="95"/>
  <c r="R51" i="95"/>
  <c r="T51" i="95" s="1"/>
  <c r="Y51" i="95" s="1"/>
  <c r="AH55" i="133"/>
  <c r="AI55" i="133" s="1"/>
  <c r="AK55" i="133"/>
  <c r="AL55" i="133" s="1"/>
  <c r="AN55" i="133"/>
  <c r="AO55" i="133" s="1"/>
  <c r="M55" i="133"/>
  <c r="AB55" i="133"/>
  <c r="AC55" i="133" s="1"/>
  <c r="AY55" i="133"/>
  <c r="BG55" i="133"/>
  <c r="BH55" i="133" s="1"/>
  <c r="BN55" i="133"/>
  <c r="BO55" i="133" s="1"/>
  <c r="P55" i="133"/>
  <c r="AV55" i="133"/>
  <c r="AW55" i="133" s="1"/>
  <c r="BQ55" i="133"/>
  <c r="BR55" i="133" s="1"/>
  <c r="BL55" i="133"/>
  <c r="R55" i="133"/>
  <c r="T55" i="133" s="1"/>
  <c r="BA55" i="133"/>
  <c r="BB55" i="133" s="1"/>
  <c r="AE55" i="133"/>
  <c r="AF55" i="133" s="1"/>
  <c r="V55" i="133"/>
  <c r="W55" i="133" s="1"/>
  <c r="BD55" i="133"/>
  <c r="BE55" i="133" s="1"/>
  <c r="Y55" i="133"/>
  <c r="Z55" i="133" s="1"/>
  <c r="K56" i="133"/>
  <c r="AQ55" i="133"/>
  <c r="AR55" i="133" s="1"/>
  <c r="O55" i="133"/>
  <c r="AT55" i="133"/>
  <c r="BR51" i="112"/>
  <c r="AI51" i="112"/>
  <c r="AQ51" i="112"/>
  <c r="AR51" i="112" s="1"/>
  <c r="BH51" i="118"/>
  <c r="W51" i="15"/>
  <c r="AY50" i="150"/>
  <c r="BA50" i="150" s="1"/>
  <c r="BB50" i="150" s="1"/>
  <c r="BR50" i="95"/>
  <c r="AO50" i="95"/>
  <c r="W50" i="95"/>
  <c r="AO51" i="112"/>
  <c r="AF51" i="112"/>
  <c r="BA51" i="112"/>
  <c r="BB51" i="112" s="1"/>
  <c r="BG51" i="112"/>
  <c r="BH51" i="112" s="1"/>
  <c r="AH57" i="156"/>
  <c r="AI57" i="156" s="1"/>
  <c r="AV57" i="156"/>
  <c r="AW57" i="156" s="1"/>
  <c r="AQ57" i="156"/>
  <c r="AR57" i="156" s="1"/>
  <c r="AN57" i="156"/>
  <c r="AO57" i="156" s="1"/>
  <c r="BD57" i="156"/>
  <c r="BE57" i="156" s="1"/>
  <c r="BA57" i="156"/>
  <c r="BB57" i="156" s="1"/>
  <c r="P57" i="156"/>
  <c r="BQ57" i="156"/>
  <c r="BR57" i="156" s="1"/>
  <c r="O57" i="156"/>
  <c r="BG57" i="156"/>
  <c r="BH57" i="156" s="1"/>
  <c r="Y57" i="156"/>
  <c r="Z57" i="156" s="1"/>
  <c r="AK57" i="156"/>
  <c r="AL57" i="156" s="1"/>
  <c r="V57" i="156"/>
  <c r="W57" i="156" s="1"/>
  <c r="M57" i="156"/>
  <c r="BN57" i="156"/>
  <c r="BO57" i="156" s="1"/>
  <c r="BL57" i="156"/>
  <c r="AB57" i="156"/>
  <c r="AC57" i="156" s="1"/>
  <c r="AE57" i="156"/>
  <c r="AF57" i="156" s="1"/>
  <c r="R57" i="156"/>
  <c r="T57" i="156" s="1"/>
  <c r="AO52" i="115"/>
  <c r="AC50" i="95"/>
  <c r="BK52" i="112"/>
  <c r="V52" i="112"/>
  <c r="M52" i="112"/>
  <c r="AH52" i="112"/>
  <c r="AB52" i="112"/>
  <c r="AE52" i="112"/>
  <c r="BN52" i="112"/>
  <c r="BO52" i="112" s="1"/>
  <c r="AN52" i="112"/>
  <c r="AY52" i="112"/>
  <c r="BJ52" i="112"/>
  <c r="BL52" i="112" s="1"/>
  <c r="AK52" i="112"/>
  <c r="BQ52" i="112"/>
  <c r="K53" i="112"/>
  <c r="AT52" i="112"/>
  <c r="R52" i="112"/>
  <c r="T52" i="112" s="1"/>
  <c r="Y52" i="112" s="1"/>
  <c r="Z52" i="112" s="1"/>
  <c r="BJ52" i="106"/>
  <c r="BL52" i="106" s="1"/>
  <c r="BQ52" i="106"/>
  <c r="BR52" i="106" s="1"/>
  <c r="BD52" i="106"/>
  <c r="BE52" i="106" s="1"/>
  <c r="AQ52" i="106"/>
  <c r="AR52" i="106" s="1"/>
  <c r="BK52" i="106"/>
  <c r="AE52" i="106"/>
  <c r="AF52" i="106" s="1"/>
  <c r="AB52" i="106"/>
  <c r="AC52" i="106" s="1"/>
  <c r="AN52" i="106"/>
  <c r="AO52" i="106" s="1"/>
  <c r="BN52" i="106"/>
  <c r="BO52" i="106" s="1"/>
  <c r="BG52" i="106"/>
  <c r="BH52" i="106" s="1"/>
  <c r="R52" i="106"/>
  <c r="T52" i="106" s="1"/>
  <c r="AV52" i="106"/>
  <c r="AW52" i="106" s="1"/>
  <c r="AK52" i="106"/>
  <c r="AL52" i="106" s="1"/>
  <c r="BA52" i="106"/>
  <c r="BB52" i="106" s="1"/>
  <c r="P52" i="106"/>
  <c r="AT52" i="106"/>
  <c r="O52" i="106"/>
  <c r="Y52" i="106"/>
  <c r="Z52" i="106" s="1"/>
  <c r="M52" i="106"/>
  <c r="AH52" i="106"/>
  <c r="AI52" i="106" s="1"/>
  <c r="V52" i="106"/>
  <c r="W52" i="106" s="1"/>
  <c r="AY52" i="106"/>
  <c r="K53" i="106"/>
  <c r="I59" i="156"/>
  <c r="K58" i="156"/>
  <c r="AY58" i="156" s="1"/>
  <c r="AT45" i="150"/>
  <c r="AT45" i="156"/>
  <c r="BA49" i="15"/>
  <c r="BB49" i="15" s="1"/>
  <c r="BG49" i="15"/>
  <c r="BH49" i="15" s="1"/>
  <c r="BA50" i="151"/>
  <c r="BB50" i="151" s="1"/>
  <c r="BG50" i="151"/>
  <c r="BH50" i="151" s="1"/>
  <c r="BG50" i="155"/>
  <c r="BH50" i="155" s="1"/>
  <c r="BA50" i="155"/>
  <c r="BB50" i="155" s="1"/>
  <c r="BG50" i="153"/>
  <c r="BH50" i="153" s="1"/>
  <c r="BA50" i="153"/>
  <c r="BB50" i="153" s="1"/>
  <c r="BG49" i="149"/>
  <c r="BH49" i="149" s="1"/>
  <c r="BA49" i="149"/>
  <c r="BB49" i="149" s="1"/>
  <c r="BA49" i="156"/>
  <c r="BB49" i="156" s="1"/>
  <c r="BG49" i="156"/>
  <c r="BH49" i="156" s="1"/>
  <c r="A55" i="7"/>
  <c r="AY51" i="152" s="1"/>
  <c r="AY50" i="156"/>
  <c r="AY51" i="153"/>
  <c r="AY51" i="155"/>
  <c r="AY51" i="150"/>
  <c r="AY50" i="15"/>
  <c r="M53" i="130"/>
  <c r="BN53" i="130"/>
  <c r="BO53" i="130" s="1"/>
  <c r="K54" i="130"/>
  <c r="BL53" i="130"/>
  <c r="R53" i="130"/>
  <c r="T53" i="130" s="1"/>
  <c r="AE53" i="130"/>
  <c r="AF53" i="130" s="1"/>
  <c r="BG53" i="130"/>
  <c r="BH53" i="130" s="1"/>
  <c r="AQ53" i="130"/>
  <c r="AR53" i="130" s="1"/>
  <c r="BA53" i="130"/>
  <c r="BB53" i="130" s="1"/>
  <c r="V53" i="130"/>
  <c r="W53" i="130" s="1"/>
  <c r="AH53" i="130"/>
  <c r="AI53" i="130" s="1"/>
  <c r="P53" i="130"/>
  <c r="AT53" i="130"/>
  <c r="AK53" i="130"/>
  <c r="AL53" i="130" s="1"/>
  <c r="AY53" i="130"/>
  <c r="BQ53" i="130"/>
  <c r="BR53" i="130" s="1"/>
  <c r="BD53" i="130"/>
  <c r="BE53" i="130" s="1"/>
  <c r="AV53" i="130"/>
  <c r="AW53" i="130" s="1"/>
  <c r="O53" i="130"/>
  <c r="AB53" i="130"/>
  <c r="AC53" i="130" s="1"/>
  <c r="Y53" i="130"/>
  <c r="Z53" i="130" s="1"/>
  <c r="AN53" i="130"/>
  <c r="AO53" i="130" s="1"/>
  <c r="AV44" i="156"/>
  <c r="AW44" i="156" s="1"/>
  <c r="BD44" i="156"/>
  <c r="BE44" i="156" s="1"/>
  <c r="AV44" i="150"/>
  <c r="AW44" i="150" s="1"/>
  <c r="BD44" i="150"/>
  <c r="BE44" i="150" s="1"/>
  <c r="Z54" i="150"/>
  <c r="BR50" i="17"/>
  <c r="BR51" i="118"/>
  <c r="AF51" i="118"/>
  <c r="Z54" i="146"/>
  <c r="W54" i="150"/>
  <c r="W25" i="155"/>
  <c r="O26" i="155"/>
  <c r="T47" i="155"/>
  <c r="Y47" i="155" s="1"/>
  <c r="Z47" i="155" s="1"/>
  <c r="R48" i="155"/>
  <c r="AO52" i="126"/>
  <c r="V26" i="155"/>
  <c r="W26" i="155" s="1"/>
  <c r="P27" i="155"/>
  <c r="O52" i="118"/>
  <c r="M58" i="155"/>
  <c r="BQ58" i="155"/>
  <c r="BR58" i="155" s="1"/>
  <c r="O58" i="155"/>
  <c r="V58" i="155"/>
  <c r="W58" i="155" s="1"/>
  <c r="AB58" i="155"/>
  <c r="AC58" i="155" s="1"/>
  <c r="AH58" i="155"/>
  <c r="AI58" i="155" s="1"/>
  <c r="AN58" i="155"/>
  <c r="AO58" i="155" s="1"/>
  <c r="BA58" i="155"/>
  <c r="BB58" i="155" s="1"/>
  <c r="BG58" i="155"/>
  <c r="BH58" i="155" s="1"/>
  <c r="P58" i="155"/>
  <c r="AV58" i="155"/>
  <c r="AW58" i="155" s="1"/>
  <c r="BN58" i="155"/>
  <c r="BO58" i="155" s="1"/>
  <c r="Y58" i="155"/>
  <c r="Z58" i="155" s="1"/>
  <c r="AE58" i="155"/>
  <c r="AF58" i="155" s="1"/>
  <c r="BD58" i="155"/>
  <c r="BE58" i="155" s="1"/>
  <c r="AK58" i="155"/>
  <c r="AL58" i="155" s="1"/>
  <c r="AQ58" i="155"/>
  <c r="AR58" i="155" s="1"/>
  <c r="R58" i="155"/>
  <c r="T58" i="155" s="1"/>
  <c r="BL58" i="155"/>
  <c r="I60" i="155"/>
  <c r="K59" i="155"/>
  <c r="A47" i="58"/>
  <c r="AT46" i="15" s="1"/>
  <c r="AT45" i="13"/>
  <c r="AT45" i="15"/>
  <c r="AT45" i="17"/>
  <c r="AT45" i="120"/>
  <c r="AV44" i="17"/>
  <c r="AW44" i="17" s="1"/>
  <c r="BD44" i="17"/>
  <c r="BE44" i="17" s="1"/>
  <c r="BD44" i="13"/>
  <c r="BE44" i="13" s="1"/>
  <c r="AV44" i="13"/>
  <c r="AW44" i="13" s="1"/>
  <c r="AV44" i="120"/>
  <c r="AW44" i="120" s="1"/>
  <c r="BD44" i="120"/>
  <c r="BE44" i="120" s="1"/>
  <c r="I63" i="153"/>
  <c r="O58" i="153"/>
  <c r="V58" i="153"/>
  <c r="W58" i="153" s="1"/>
  <c r="AB58" i="153"/>
  <c r="AC58" i="153" s="1"/>
  <c r="AH58" i="153"/>
  <c r="AI58" i="153" s="1"/>
  <c r="AN58" i="153"/>
  <c r="AO58" i="153" s="1"/>
  <c r="BA58" i="153"/>
  <c r="BB58" i="153" s="1"/>
  <c r="BG58" i="153"/>
  <c r="BH58" i="153" s="1"/>
  <c r="P58" i="153"/>
  <c r="AV58" i="153"/>
  <c r="AW58" i="153" s="1"/>
  <c r="BN58" i="153"/>
  <c r="BO58" i="153" s="1"/>
  <c r="BQ58" i="153"/>
  <c r="BR58" i="153" s="1"/>
  <c r="Y58" i="153"/>
  <c r="Z58" i="153" s="1"/>
  <c r="AK58" i="153"/>
  <c r="AL58" i="153" s="1"/>
  <c r="M58" i="153"/>
  <c r="BD58" i="153"/>
  <c r="BE58" i="153" s="1"/>
  <c r="R58" i="153"/>
  <c r="T58" i="153" s="1"/>
  <c r="AE58" i="153"/>
  <c r="AF58" i="153" s="1"/>
  <c r="AQ58" i="153"/>
  <c r="AR58" i="153" s="1"/>
  <c r="BL58" i="153"/>
  <c r="K59" i="153"/>
  <c r="I67" i="152"/>
  <c r="M58" i="152"/>
  <c r="BQ58" i="152"/>
  <c r="BR58" i="152" s="1"/>
  <c r="O58" i="152"/>
  <c r="V58" i="152"/>
  <c r="W58" i="152" s="1"/>
  <c r="AB58" i="152"/>
  <c r="AC58" i="152" s="1"/>
  <c r="AH58" i="152"/>
  <c r="AI58" i="152" s="1"/>
  <c r="AN58" i="152"/>
  <c r="AO58" i="152" s="1"/>
  <c r="BA58" i="152"/>
  <c r="BB58" i="152" s="1"/>
  <c r="BG58" i="152"/>
  <c r="BH58" i="152" s="1"/>
  <c r="P58" i="152"/>
  <c r="AV58" i="152"/>
  <c r="AW58" i="152" s="1"/>
  <c r="BN58" i="152"/>
  <c r="BO58" i="152" s="1"/>
  <c r="AK58" i="152"/>
  <c r="AL58" i="152" s="1"/>
  <c r="R58" i="152"/>
  <c r="T58" i="152" s="1"/>
  <c r="AQ58" i="152"/>
  <c r="AR58" i="152" s="1"/>
  <c r="Y58" i="152"/>
  <c r="Z58" i="152" s="1"/>
  <c r="AE58" i="152"/>
  <c r="AF58" i="152" s="1"/>
  <c r="BD58" i="152"/>
  <c r="BE58" i="152" s="1"/>
  <c r="BL58" i="152"/>
  <c r="K59" i="152"/>
  <c r="Z53" i="64"/>
  <c r="AI54" i="150"/>
  <c r="W54" i="146"/>
  <c r="AW54" i="146"/>
  <c r="AF54" i="150"/>
  <c r="O52" i="15"/>
  <c r="BG50" i="13"/>
  <c r="BH50" i="13" s="1"/>
  <c r="O53" i="115"/>
  <c r="AC55" i="151"/>
  <c r="K57" i="151"/>
  <c r="I58" i="151"/>
  <c r="BD56" i="151"/>
  <c r="BE56" i="151" s="1"/>
  <c r="AQ56" i="151"/>
  <c r="AR56" i="151" s="1"/>
  <c r="AK56" i="151"/>
  <c r="AL56" i="151" s="1"/>
  <c r="AE56" i="151"/>
  <c r="AF56" i="151" s="1"/>
  <c r="Y56" i="151"/>
  <c r="Z56" i="151" s="1"/>
  <c r="R56" i="151"/>
  <c r="T56" i="151" s="1"/>
  <c r="AV56" i="151"/>
  <c r="AW56" i="151" s="1"/>
  <c r="P56" i="151"/>
  <c r="BG56" i="151"/>
  <c r="BH56" i="151" s="1"/>
  <c r="BA56" i="151"/>
  <c r="BB56" i="151" s="1"/>
  <c r="AT56" i="151"/>
  <c r="AN56" i="151"/>
  <c r="AO56" i="151" s="1"/>
  <c r="AH56" i="151"/>
  <c r="AI56" i="151" s="1"/>
  <c r="AB56" i="151"/>
  <c r="AC56" i="151" s="1"/>
  <c r="V56" i="151"/>
  <c r="W56" i="151" s="1"/>
  <c r="O56" i="151"/>
  <c r="BQ56" i="151"/>
  <c r="BR56" i="151" s="1"/>
  <c r="AY56" i="151"/>
  <c r="M56" i="151"/>
  <c r="BN56" i="151"/>
  <c r="BO56" i="151" s="1"/>
  <c r="BL56" i="151"/>
  <c r="AL54" i="150"/>
  <c r="BR54" i="150"/>
  <c r="AC54" i="150"/>
  <c r="AQ54" i="150"/>
  <c r="AR54" i="150" s="1"/>
  <c r="AO54" i="150"/>
  <c r="I59" i="150"/>
  <c r="BQ55" i="150"/>
  <c r="BR55" i="150" s="1"/>
  <c r="AY55" i="150"/>
  <c r="BD55" i="150"/>
  <c r="BE55" i="150" s="1"/>
  <c r="AQ55" i="150"/>
  <c r="AR55" i="150" s="1"/>
  <c r="AK55" i="150"/>
  <c r="AL55" i="150" s="1"/>
  <c r="AE55" i="150"/>
  <c r="AF55" i="150" s="1"/>
  <c r="Y55" i="150"/>
  <c r="Z55" i="150" s="1"/>
  <c r="R55" i="150"/>
  <c r="T55" i="150" s="1"/>
  <c r="AV55" i="150"/>
  <c r="AW55" i="150" s="1"/>
  <c r="P55" i="150"/>
  <c r="BA55" i="150"/>
  <c r="BB55" i="150" s="1"/>
  <c r="AB55" i="150"/>
  <c r="AT55" i="150"/>
  <c r="V55" i="150"/>
  <c r="W55" i="150" s="1"/>
  <c r="AN55" i="150"/>
  <c r="AO55" i="150" s="1"/>
  <c r="O55" i="150"/>
  <c r="BG55" i="150"/>
  <c r="BH55" i="150" s="1"/>
  <c r="AH55" i="150"/>
  <c r="AI55" i="150" s="1"/>
  <c r="BN55" i="150"/>
  <c r="BO55" i="150" s="1"/>
  <c r="M55" i="150"/>
  <c r="BL55" i="150"/>
  <c r="K56" i="150"/>
  <c r="AV57" i="149"/>
  <c r="AW57" i="149" s="1"/>
  <c r="P57" i="149"/>
  <c r="BQ57" i="149"/>
  <c r="BR57" i="149" s="1"/>
  <c r="AY57" i="149"/>
  <c r="AK57" i="149"/>
  <c r="AL57" i="149" s="1"/>
  <c r="Y57" i="149"/>
  <c r="Z57" i="149" s="1"/>
  <c r="BG57" i="149"/>
  <c r="BH57" i="149" s="1"/>
  <c r="AH57" i="149"/>
  <c r="AI57" i="149" s="1"/>
  <c r="V57" i="149"/>
  <c r="W57" i="149" s="1"/>
  <c r="BD57" i="149"/>
  <c r="BE57" i="149" s="1"/>
  <c r="AQ57" i="149"/>
  <c r="AR57" i="149" s="1"/>
  <c r="AE57" i="149"/>
  <c r="AF57" i="149" s="1"/>
  <c r="R57" i="149"/>
  <c r="T57" i="149" s="1"/>
  <c r="BA57" i="149"/>
  <c r="BB57" i="149" s="1"/>
  <c r="AN57" i="149"/>
  <c r="AO57" i="149" s="1"/>
  <c r="AB57" i="149"/>
  <c r="AC57" i="149" s="1"/>
  <c r="O57" i="149"/>
  <c r="M57" i="149"/>
  <c r="BN57" i="149"/>
  <c r="BO57" i="149" s="1"/>
  <c r="BL57" i="149"/>
  <c r="I59" i="149"/>
  <c r="K58" i="149"/>
  <c r="AT58" i="149" s="1"/>
  <c r="O51" i="120"/>
  <c r="O51" i="13"/>
  <c r="BH54" i="146"/>
  <c r="AI52" i="63"/>
  <c r="AC52" i="63"/>
  <c r="AC55" i="147"/>
  <c r="V30" i="147"/>
  <c r="W30" i="147" s="1"/>
  <c r="P31" i="147"/>
  <c r="BG56" i="147"/>
  <c r="BH56" i="147" s="1"/>
  <c r="BA56" i="147"/>
  <c r="BB56" i="147" s="1"/>
  <c r="AT56" i="147"/>
  <c r="AN56" i="147"/>
  <c r="AO56" i="147" s="1"/>
  <c r="AH56" i="147"/>
  <c r="AI56" i="147" s="1"/>
  <c r="AB56" i="147"/>
  <c r="AC56" i="147" s="1"/>
  <c r="V56" i="147"/>
  <c r="W56" i="147" s="1"/>
  <c r="O56" i="147"/>
  <c r="BQ56" i="147"/>
  <c r="BR56" i="147" s="1"/>
  <c r="AY56" i="147"/>
  <c r="BD56" i="147"/>
  <c r="BE56" i="147" s="1"/>
  <c r="AQ56" i="147"/>
  <c r="AR56" i="147" s="1"/>
  <c r="AE56" i="147"/>
  <c r="AF56" i="147" s="1"/>
  <c r="R56" i="147"/>
  <c r="T56" i="147" s="1"/>
  <c r="P56" i="147"/>
  <c r="AV56" i="147"/>
  <c r="AW56" i="147" s="1"/>
  <c r="AK56" i="147"/>
  <c r="AL56" i="147" s="1"/>
  <c r="Y56" i="147"/>
  <c r="Z56" i="147" s="1"/>
  <c r="M56" i="147"/>
  <c r="BJ56" i="147"/>
  <c r="BL56" i="147" s="1"/>
  <c r="BK56" i="147"/>
  <c r="BN56" i="147"/>
  <c r="BO56" i="147" s="1"/>
  <c r="W29" i="147"/>
  <c r="O30" i="147"/>
  <c r="I58" i="147"/>
  <c r="K57" i="147"/>
  <c r="W28" i="146"/>
  <c r="O29" i="146"/>
  <c r="AC54" i="146"/>
  <c r="BA54" i="146"/>
  <c r="BB54" i="146" s="1"/>
  <c r="AV55" i="146"/>
  <c r="AW55" i="146" s="1"/>
  <c r="P55" i="146"/>
  <c r="BG55" i="146"/>
  <c r="BH55" i="146" s="1"/>
  <c r="BA55" i="146"/>
  <c r="BB55" i="146" s="1"/>
  <c r="AT55" i="146"/>
  <c r="AN55" i="146"/>
  <c r="AO55" i="146" s="1"/>
  <c r="AH55" i="146"/>
  <c r="AI55" i="146" s="1"/>
  <c r="AB55" i="146"/>
  <c r="V55" i="146"/>
  <c r="W55" i="146" s="1"/>
  <c r="O55" i="146"/>
  <c r="BQ55" i="146"/>
  <c r="BR55" i="146" s="1"/>
  <c r="AY55" i="146"/>
  <c r="AK55" i="146"/>
  <c r="AL55" i="146" s="1"/>
  <c r="AQ55" i="146"/>
  <c r="AR55" i="146" s="1"/>
  <c r="BD55" i="146"/>
  <c r="BE55" i="146" s="1"/>
  <c r="AE55" i="146"/>
  <c r="AF55" i="146" s="1"/>
  <c r="Y55" i="146"/>
  <c r="Z55" i="146" s="1"/>
  <c r="R55" i="146"/>
  <c r="T55" i="146" s="1"/>
  <c r="BK55" i="146"/>
  <c r="M55" i="146"/>
  <c r="BN55" i="146"/>
  <c r="BO55" i="146" s="1"/>
  <c r="BJ55" i="146"/>
  <c r="BL55" i="146" s="1"/>
  <c r="BR54" i="146"/>
  <c r="AI54" i="146"/>
  <c r="I57" i="146"/>
  <c r="K56" i="146"/>
  <c r="AF54" i="146"/>
  <c r="BD54" i="146"/>
  <c r="BE54" i="146" s="1"/>
  <c r="O54" i="64"/>
  <c r="Z50" i="66"/>
  <c r="BA50" i="17"/>
  <c r="BB50" i="17" s="1"/>
  <c r="BA50" i="120"/>
  <c r="BB50" i="120" s="1"/>
  <c r="BG52" i="110"/>
  <c r="BH52" i="110" s="1"/>
  <c r="BG52" i="126"/>
  <c r="BH52" i="126" s="1"/>
  <c r="AO50" i="66"/>
  <c r="Z52" i="110"/>
  <c r="AW52" i="114"/>
  <c r="AF52" i="114"/>
  <c r="BR52" i="63"/>
  <c r="W53" i="64"/>
  <c r="AI53" i="64"/>
  <c r="BD50" i="66"/>
  <c r="BE50" i="66" s="1"/>
  <c r="AQ52" i="96"/>
  <c r="AR52" i="96" s="1"/>
  <c r="W52" i="63"/>
  <c r="AI50" i="13"/>
  <c r="AC50" i="13"/>
  <c r="BD52" i="126"/>
  <c r="BE52" i="126" s="1"/>
  <c r="AW51" i="118"/>
  <c r="Z50" i="120"/>
  <c r="AL50" i="120"/>
  <c r="AF50" i="120"/>
  <c r="AQ51" i="15"/>
  <c r="AR51" i="15" s="1"/>
  <c r="AQ52" i="63"/>
  <c r="AR52" i="63" s="1"/>
  <c r="AL50" i="13"/>
  <c r="BB50" i="13"/>
  <c r="BA53" i="64"/>
  <c r="BB53" i="64" s="1"/>
  <c r="AC51" i="15"/>
  <c r="AV52" i="110"/>
  <c r="AW52" i="110" s="1"/>
  <c r="Z50" i="13"/>
  <c r="W50" i="13"/>
  <c r="AF50" i="13"/>
  <c r="AQ50" i="120"/>
  <c r="AR50" i="120" s="1"/>
  <c r="W50" i="17"/>
  <c r="BH50" i="17"/>
  <c r="AW53" i="64"/>
  <c r="Z52" i="114"/>
  <c r="Z50" i="17"/>
  <c r="AF50" i="17"/>
  <c r="AO50" i="17"/>
  <c r="AL51" i="118"/>
  <c r="AI51" i="118"/>
  <c r="AL51" i="15"/>
  <c r="BD52" i="115"/>
  <c r="BE52" i="115" s="1"/>
  <c r="AC52" i="96"/>
  <c r="AW52" i="96"/>
  <c r="AW50" i="66"/>
  <c r="W50" i="66"/>
  <c r="AC50" i="66"/>
  <c r="AF52" i="63"/>
  <c r="AL52" i="63"/>
  <c r="AL52" i="114"/>
  <c r="BB52" i="114"/>
  <c r="AL50" i="17"/>
  <c r="AI50" i="17"/>
  <c r="AW52" i="126"/>
  <c r="AI52" i="126"/>
  <c r="AF51" i="15"/>
  <c r="AO51" i="15"/>
  <c r="AI52" i="110"/>
  <c r="BE52" i="110"/>
  <c r="BB52" i="96"/>
  <c r="W52" i="96"/>
  <c r="AL52" i="96"/>
  <c r="BR50" i="66"/>
  <c r="BD52" i="114"/>
  <c r="BE52" i="114" s="1"/>
  <c r="BG50" i="66"/>
  <c r="BH50" i="66" s="1"/>
  <c r="AL50" i="66"/>
  <c r="AF50" i="66"/>
  <c r="I59" i="136"/>
  <c r="I68" i="133"/>
  <c r="I60" i="105"/>
  <c r="I54" i="101"/>
  <c r="K53" i="101"/>
  <c r="M53" i="126"/>
  <c r="AI53" i="126" s="1"/>
  <c r="BJ53" i="126"/>
  <c r="BL53" i="126" s="1"/>
  <c r="BK53" i="126"/>
  <c r="BN53" i="126"/>
  <c r="BO53" i="126" s="1"/>
  <c r="V53" i="126"/>
  <c r="AY53" i="126"/>
  <c r="BA53" i="126" s="1"/>
  <c r="AB53" i="126"/>
  <c r="AE53" i="126"/>
  <c r="AT53" i="126"/>
  <c r="AV53" i="126" s="1"/>
  <c r="AN53" i="126"/>
  <c r="AK53" i="126"/>
  <c r="BQ53" i="126"/>
  <c r="K54" i="126"/>
  <c r="R53" i="126"/>
  <c r="T53" i="126" s="1"/>
  <c r="Y53" i="126" s="1"/>
  <c r="BA51" i="118"/>
  <c r="BB51" i="118" s="1"/>
  <c r="I55" i="115"/>
  <c r="K54" i="115"/>
  <c r="BJ53" i="98"/>
  <c r="BL53" i="98" s="1"/>
  <c r="K54" i="98"/>
  <c r="M53" i="98"/>
  <c r="BN53" i="98"/>
  <c r="BO53" i="98" s="1"/>
  <c r="BK53" i="98"/>
  <c r="P53" i="98"/>
  <c r="O53" i="98"/>
  <c r="BA53" i="98"/>
  <c r="BB53" i="98" s="1"/>
  <c r="AH53" i="98"/>
  <c r="AI53" i="98" s="1"/>
  <c r="Y53" i="98"/>
  <c r="Z53" i="98" s="1"/>
  <c r="AN53" i="98"/>
  <c r="AO53" i="98" s="1"/>
  <c r="AK53" i="98"/>
  <c r="AL53" i="98" s="1"/>
  <c r="R53" i="98"/>
  <c r="T53" i="98" s="1"/>
  <c r="AQ53" i="98"/>
  <c r="AR53" i="98" s="1"/>
  <c r="AT53" i="98"/>
  <c r="BQ53" i="98"/>
  <c r="BR53" i="98" s="1"/>
  <c r="AE53" i="98"/>
  <c r="AF53" i="98" s="1"/>
  <c r="AB53" i="98"/>
  <c r="AC53" i="98" s="1"/>
  <c r="AY53" i="98"/>
  <c r="BD53" i="98"/>
  <c r="BE53" i="98" s="1"/>
  <c r="BG53" i="98"/>
  <c r="BH53" i="98" s="1"/>
  <c r="AV53" i="98"/>
  <c r="AW53" i="98" s="1"/>
  <c r="V53" i="98"/>
  <c r="W53" i="98" s="1"/>
  <c r="M51" i="13"/>
  <c r="BN51" i="13"/>
  <c r="BO51" i="13" s="1"/>
  <c r="BL51" i="13"/>
  <c r="AY51" i="13"/>
  <c r="BA51" i="13" s="1"/>
  <c r="AB51" i="13"/>
  <c r="AN51" i="13"/>
  <c r="AH51" i="13"/>
  <c r="BQ51" i="13"/>
  <c r="AE51" i="13"/>
  <c r="V51" i="13"/>
  <c r="AK51" i="13"/>
  <c r="R51" i="13"/>
  <c r="T51" i="13" s="1"/>
  <c r="Y51" i="13" s="1"/>
  <c r="BR52" i="110"/>
  <c r="AC52" i="110"/>
  <c r="AL52" i="110"/>
  <c r="BA52" i="115"/>
  <c r="BB52" i="115" s="1"/>
  <c r="AQ52" i="115"/>
  <c r="AR52" i="115" s="1"/>
  <c r="AI52" i="115"/>
  <c r="W52" i="115"/>
  <c r="BD52" i="96"/>
  <c r="BE52" i="96" s="1"/>
  <c r="AF52" i="96"/>
  <c r="M54" i="135"/>
  <c r="BG54" i="135"/>
  <c r="BH54" i="135" s="1"/>
  <c r="AV54" i="135"/>
  <c r="AW54" i="135" s="1"/>
  <c r="BQ54" i="135"/>
  <c r="BR54" i="135" s="1"/>
  <c r="R54" i="135"/>
  <c r="T54" i="135" s="1"/>
  <c r="V54" i="135"/>
  <c r="W54" i="135" s="1"/>
  <c r="AB54" i="135"/>
  <c r="AC54" i="135" s="1"/>
  <c r="AN54" i="135"/>
  <c r="AO54" i="135" s="1"/>
  <c r="Y54" i="135"/>
  <c r="Z54" i="135" s="1"/>
  <c r="AH54" i="135"/>
  <c r="AI54" i="135" s="1"/>
  <c r="P54" i="135"/>
  <c r="BA54" i="135"/>
  <c r="BB54" i="135" s="1"/>
  <c r="AK54" i="135"/>
  <c r="AL54" i="135" s="1"/>
  <c r="BD54" i="135"/>
  <c r="BE54" i="135" s="1"/>
  <c r="BN54" i="135"/>
  <c r="BO54" i="135" s="1"/>
  <c r="BL54" i="135"/>
  <c r="AQ54" i="135"/>
  <c r="AR54" i="135" s="1"/>
  <c r="AE54" i="135"/>
  <c r="AF54" i="135" s="1"/>
  <c r="AY54" i="135"/>
  <c r="AT54" i="135"/>
  <c r="O54" i="135"/>
  <c r="BD52" i="63"/>
  <c r="BE52" i="63" s="1"/>
  <c r="I53" i="17"/>
  <c r="K52" i="17"/>
  <c r="P52" i="17" s="1"/>
  <c r="V54" i="64"/>
  <c r="AE54" i="64"/>
  <c r="M54" i="64"/>
  <c r="AN54" i="64"/>
  <c r="AH54" i="64"/>
  <c r="AB54" i="64"/>
  <c r="AK54" i="64"/>
  <c r="AY54" i="64"/>
  <c r="BA54" i="64" s="1"/>
  <c r="BN54" i="64"/>
  <c r="BO54" i="64" s="1"/>
  <c r="BL54" i="64"/>
  <c r="BQ54" i="64"/>
  <c r="AT54" i="64"/>
  <c r="AV54" i="64" s="1"/>
  <c r="K55" i="64"/>
  <c r="R54" i="64"/>
  <c r="T54" i="64" s="1"/>
  <c r="Y54" i="64" s="1"/>
  <c r="BH53" i="64"/>
  <c r="AF53" i="64"/>
  <c r="AO53" i="64"/>
  <c r="I59" i="64"/>
  <c r="K52" i="66"/>
  <c r="I53" i="66"/>
  <c r="BR52" i="126"/>
  <c r="BB52" i="126"/>
  <c r="AL52" i="126"/>
  <c r="AC52" i="126"/>
  <c r="K53" i="118"/>
  <c r="M52" i="118"/>
  <c r="BN52" i="118"/>
  <c r="BO52" i="118" s="1"/>
  <c r="AB52" i="118"/>
  <c r="V52" i="118"/>
  <c r="AE52" i="118"/>
  <c r="AY52" i="118"/>
  <c r="BG52" i="118" s="1"/>
  <c r="AH52" i="118"/>
  <c r="AN52" i="118"/>
  <c r="AK52" i="118"/>
  <c r="BQ52" i="118"/>
  <c r="AT52" i="118"/>
  <c r="AV52" i="118" s="1"/>
  <c r="I60" i="132"/>
  <c r="AO50" i="120"/>
  <c r="AI50" i="120"/>
  <c r="I57" i="104"/>
  <c r="M53" i="110"/>
  <c r="BJ53" i="110"/>
  <c r="BL53" i="110" s="1"/>
  <c r="BK53" i="110"/>
  <c r="BN53" i="110"/>
  <c r="BO53" i="110" s="1"/>
  <c r="V53" i="110"/>
  <c r="AH53" i="110"/>
  <c r="AB53" i="110"/>
  <c r="AT53" i="110"/>
  <c r="BD53" i="110" s="1"/>
  <c r="AE53" i="110"/>
  <c r="AK53" i="110"/>
  <c r="AY53" i="110"/>
  <c r="BA53" i="110" s="1"/>
  <c r="AN53" i="110"/>
  <c r="BQ53" i="110"/>
  <c r="AK53" i="96"/>
  <c r="BG53" i="96"/>
  <c r="BN53" i="96"/>
  <c r="BO53" i="96" s="1"/>
  <c r="AE53" i="96"/>
  <c r="V53" i="96"/>
  <c r="AT53" i="96"/>
  <c r="BD53" i="96" s="1"/>
  <c r="AB53" i="96"/>
  <c r="AH53" i="96"/>
  <c r="AN53" i="96"/>
  <c r="BL53" i="96"/>
  <c r="M53" i="96"/>
  <c r="BQ53" i="96"/>
  <c r="BA53" i="96"/>
  <c r="R53" i="96"/>
  <c r="T53" i="96" s="1"/>
  <c r="Y53" i="96" s="1"/>
  <c r="BN52" i="15"/>
  <c r="BO52" i="15" s="1"/>
  <c r="BL52" i="15"/>
  <c r="AK52" i="15"/>
  <c r="BQ52" i="15"/>
  <c r="AN52" i="15"/>
  <c r="AH52" i="15"/>
  <c r="AB52" i="15"/>
  <c r="AE52" i="15"/>
  <c r="V52" i="15"/>
  <c r="M52" i="15"/>
  <c r="K53" i="15"/>
  <c r="P53" i="15" s="1"/>
  <c r="I58" i="63"/>
  <c r="I57" i="15"/>
  <c r="O53" i="96"/>
  <c r="I62" i="95"/>
  <c r="BN55" i="136"/>
  <c r="BO55" i="136" s="1"/>
  <c r="M55" i="136"/>
  <c r="BL55" i="136"/>
  <c r="AV55" i="136"/>
  <c r="AW55" i="136" s="1"/>
  <c r="AK55" i="136"/>
  <c r="AL55" i="136" s="1"/>
  <c r="BA55" i="136"/>
  <c r="BB55" i="136" s="1"/>
  <c r="AQ55" i="136"/>
  <c r="AR55" i="136" s="1"/>
  <c r="BD55" i="136"/>
  <c r="BE55" i="136" s="1"/>
  <c r="P55" i="136"/>
  <c r="AN55" i="136"/>
  <c r="AO55" i="136" s="1"/>
  <c r="R55" i="136"/>
  <c r="T55" i="136" s="1"/>
  <c r="AY55" i="136"/>
  <c r="O55" i="136"/>
  <c r="BG55" i="136"/>
  <c r="BH55" i="136" s="1"/>
  <c r="AB55" i="136"/>
  <c r="AC55" i="136" s="1"/>
  <c r="BQ55" i="136"/>
  <c r="BR55" i="136" s="1"/>
  <c r="AH55" i="136"/>
  <c r="AI55" i="136" s="1"/>
  <c r="Y55" i="136"/>
  <c r="Z55" i="136" s="1"/>
  <c r="AE55" i="136"/>
  <c r="AF55" i="136" s="1"/>
  <c r="V55" i="136"/>
  <c r="W55" i="136" s="1"/>
  <c r="AT55" i="136"/>
  <c r="K56" i="136"/>
  <c r="BD53" i="64"/>
  <c r="BE53" i="64" s="1"/>
  <c r="AQ53" i="64"/>
  <c r="AR53" i="64" s="1"/>
  <c r="AC53" i="64"/>
  <c r="BJ53" i="114"/>
  <c r="BL53" i="114" s="1"/>
  <c r="M53" i="114"/>
  <c r="BN53" i="114"/>
  <c r="BO53" i="114" s="1"/>
  <c r="BK53" i="114"/>
  <c r="AN53" i="114"/>
  <c r="AE53" i="114"/>
  <c r="AH53" i="114"/>
  <c r="AT53" i="114"/>
  <c r="AV53" i="114" s="1"/>
  <c r="AY53" i="114"/>
  <c r="BA53" i="114" s="1"/>
  <c r="AB53" i="114"/>
  <c r="AK53" i="114"/>
  <c r="V53" i="114"/>
  <c r="BQ53" i="114"/>
  <c r="K54" i="114"/>
  <c r="R53" i="114"/>
  <c r="T53" i="114" s="1"/>
  <c r="Y53" i="114" s="1"/>
  <c r="AQ52" i="114"/>
  <c r="AR52" i="114" s="1"/>
  <c r="AB51" i="66"/>
  <c r="M51" i="66"/>
  <c r="AE51" i="66"/>
  <c r="BN51" i="66"/>
  <c r="BO51" i="66" s="1"/>
  <c r="AK51" i="66"/>
  <c r="V51" i="66"/>
  <c r="AN51" i="66"/>
  <c r="AH51" i="66"/>
  <c r="BL51" i="66"/>
  <c r="AY51" i="66"/>
  <c r="BA51" i="66" s="1"/>
  <c r="BQ51" i="66"/>
  <c r="AT51" i="66"/>
  <c r="AV51" i="66" s="1"/>
  <c r="R51" i="66"/>
  <c r="T51" i="66" s="1"/>
  <c r="Y51" i="66" s="1"/>
  <c r="AQ52" i="126"/>
  <c r="AR52" i="126" s="1"/>
  <c r="BD51" i="118"/>
  <c r="BE51" i="118" s="1"/>
  <c r="I109" i="99"/>
  <c r="I58" i="126"/>
  <c r="M51" i="120"/>
  <c r="AB51" i="120"/>
  <c r="V51" i="120"/>
  <c r="K52" i="120"/>
  <c r="AE51" i="120"/>
  <c r="AH51" i="120"/>
  <c r="AY51" i="120"/>
  <c r="BA51" i="120" s="1"/>
  <c r="BN51" i="120"/>
  <c r="BO51" i="120" s="1"/>
  <c r="BQ51" i="120"/>
  <c r="AK51" i="120"/>
  <c r="AN51" i="120"/>
  <c r="R51" i="120"/>
  <c r="T51" i="120" s="1"/>
  <c r="Y51" i="120" s="1"/>
  <c r="O51" i="66"/>
  <c r="I55" i="110"/>
  <c r="K54" i="110"/>
  <c r="I55" i="96"/>
  <c r="K54" i="96"/>
  <c r="P54" i="64"/>
  <c r="P51" i="120"/>
  <c r="P52" i="120" s="1"/>
  <c r="AL53" i="64"/>
  <c r="BG52" i="114"/>
  <c r="BH52" i="114" s="1"/>
  <c r="AI52" i="114"/>
  <c r="AO52" i="114"/>
  <c r="M52" i="101"/>
  <c r="AH52" i="101"/>
  <c r="AI52" i="101" s="1"/>
  <c r="AY52" i="101"/>
  <c r="P52" i="101"/>
  <c r="AV52" i="101"/>
  <c r="AW52" i="101" s="1"/>
  <c r="AE52" i="101"/>
  <c r="AF52" i="101" s="1"/>
  <c r="AQ52" i="101"/>
  <c r="AR52" i="101" s="1"/>
  <c r="BA52" i="101"/>
  <c r="BB52" i="101" s="1"/>
  <c r="AN52" i="101"/>
  <c r="AO52" i="101" s="1"/>
  <c r="BG52" i="101"/>
  <c r="BH52" i="101" s="1"/>
  <c r="O52" i="101"/>
  <c r="AT52" i="101"/>
  <c r="AB52" i="101"/>
  <c r="AC52" i="101" s="1"/>
  <c r="BQ52" i="101"/>
  <c r="BR52" i="101" s="1"/>
  <c r="AK52" i="101"/>
  <c r="AL52" i="101" s="1"/>
  <c r="BD52" i="101"/>
  <c r="BE52" i="101" s="1"/>
  <c r="R52" i="101"/>
  <c r="T52" i="101" s="1"/>
  <c r="V52" i="101"/>
  <c r="W52" i="101" s="1"/>
  <c r="Y52" i="101"/>
  <c r="Z52" i="101" s="1"/>
  <c r="I59" i="114"/>
  <c r="AQ50" i="17"/>
  <c r="AR50" i="17" s="1"/>
  <c r="Z52" i="126"/>
  <c r="AF52" i="126"/>
  <c r="O51" i="17"/>
  <c r="AQ51" i="118"/>
  <c r="AR51" i="118" s="1"/>
  <c r="AO51" i="118"/>
  <c r="AC51" i="118"/>
  <c r="P51" i="66"/>
  <c r="BR50" i="120"/>
  <c r="AC50" i="120"/>
  <c r="W50" i="120"/>
  <c r="P53" i="126"/>
  <c r="P54" i="126" s="1"/>
  <c r="O53" i="114"/>
  <c r="M55" i="105"/>
  <c r="BK55" i="105"/>
  <c r="BN55" i="105"/>
  <c r="BO55" i="105" s="1"/>
  <c r="BJ55" i="105"/>
  <c r="BL55" i="105" s="1"/>
  <c r="AQ55" i="105"/>
  <c r="AR55" i="105" s="1"/>
  <c r="AT55" i="105"/>
  <c r="AN55" i="105"/>
  <c r="AO55" i="105" s="1"/>
  <c r="AE55" i="105"/>
  <c r="AF55" i="105" s="1"/>
  <c r="AB55" i="105"/>
  <c r="AC55" i="105" s="1"/>
  <c r="V55" i="105"/>
  <c r="W55" i="105" s="1"/>
  <c r="AK55" i="105"/>
  <c r="AL55" i="105" s="1"/>
  <c r="BQ55" i="105"/>
  <c r="BR55" i="105" s="1"/>
  <c r="AY55" i="105"/>
  <c r="BA55" i="105"/>
  <c r="BB55" i="105" s="1"/>
  <c r="R55" i="105"/>
  <c r="T55" i="105" s="1"/>
  <c r="O55" i="105"/>
  <c r="AH55" i="105"/>
  <c r="AI55" i="105" s="1"/>
  <c r="AV55" i="105"/>
  <c r="AW55" i="105" s="1"/>
  <c r="Y55" i="105"/>
  <c r="Z55" i="105" s="1"/>
  <c r="BG55" i="105"/>
  <c r="BH55" i="105" s="1"/>
  <c r="BD55" i="105"/>
  <c r="BE55" i="105" s="1"/>
  <c r="P55" i="105"/>
  <c r="K56" i="105"/>
  <c r="BK57" i="124"/>
  <c r="M57" i="124"/>
  <c r="K58" i="124"/>
  <c r="BJ57" i="124"/>
  <c r="BL57" i="124" s="1"/>
  <c r="BN57" i="124"/>
  <c r="BO57" i="124" s="1"/>
  <c r="BA57" i="124"/>
  <c r="BB57" i="124" s="1"/>
  <c r="BD57" i="124"/>
  <c r="BE57" i="124" s="1"/>
  <c r="AQ57" i="124"/>
  <c r="AR57" i="124" s="1"/>
  <c r="AE57" i="124"/>
  <c r="AF57" i="124" s="1"/>
  <c r="P57" i="124"/>
  <c r="AH57" i="124"/>
  <c r="AI57" i="124" s="1"/>
  <c r="AY57" i="124"/>
  <c r="V57" i="124"/>
  <c r="W57" i="124" s="1"/>
  <c r="AB57" i="124"/>
  <c r="AC57" i="124" s="1"/>
  <c r="AT57" i="124"/>
  <c r="R57" i="124"/>
  <c r="T57" i="124" s="1"/>
  <c r="BQ57" i="124"/>
  <c r="BR57" i="124" s="1"/>
  <c r="AV57" i="124"/>
  <c r="AW57" i="124" s="1"/>
  <c r="Y57" i="124"/>
  <c r="Z57" i="124" s="1"/>
  <c r="AN57" i="124"/>
  <c r="AO57" i="124" s="1"/>
  <c r="O57" i="124"/>
  <c r="AK57" i="124"/>
  <c r="AL57" i="124" s="1"/>
  <c r="BG57" i="124"/>
  <c r="BH57" i="124" s="1"/>
  <c r="M53" i="115"/>
  <c r="BN53" i="115"/>
  <c r="BO53" i="115" s="1"/>
  <c r="BK53" i="115"/>
  <c r="BJ53" i="115"/>
  <c r="BL53" i="115" s="1"/>
  <c r="BQ53" i="115"/>
  <c r="AT53" i="115"/>
  <c r="AV53" i="115" s="1"/>
  <c r="AH53" i="115"/>
  <c r="AN53" i="115"/>
  <c r="V53" i="115"/>
  <c r="AE53" i="115"/>
  <c r="AK53" i="115"/>
  <c r="AB53" i="115"/>
  <c r="AY53" i="115"/>
  <c r="BG53" i="115" s="1"/>
  <c r="BH53" i="115" s="1"/>
  <c r="AI51" i="15"/>
  <c r="BR51" i="15"/>
  <c r="K52" i="13"/>
  <c r="I53" i="13"/>
  <c r="P52" i="118"/>
  <c r="P53" i="118" s="1"/>
  <c r="AQ52" i="110"/>
  <c r="AR52" i="110" s="1"/>
  <c r="AF52" i="110"/>
  <c r="W52" i="110"/>
  <c r="AC52" i="115"/>
  <c r="AL52" i="115"/>
  <c r="Z52" i="96"/>
  <c r="BR52" i="96"/>
  <c r="BH52" i="96"/>
  <c r="AI52" i="96"/>
  <c r="AO52" i="96"/>
  <c r="I56" i="135"/>
  <c r="K55" i="135"/>
  <c r="AQ50" i="66"/>
  <c r="AR50" i="66" s="1"/>
  <c r="AI50" i="66"/>
  <c r="BN53" i="63"/>
  <c r="BO53" i="63" s="1"/>
  <c r="M53" i="63"/>
  <c r="BL53" i="63"/>
  <c r="V53" i="63"/>
  <c r="AK53" i="63"/>
  <c r="AN53" i="63"/>
  <c r="AE53" i="63"/>
  <c r="AH53" i="63"/>
  <c r="AB53" i="63"/>
  <c r="AY53" i="63"/>
  <c r="BG53" i="63" s="1"/>
  <c r="BQ53" i="63"/>
  <c r="AT53" i="63"/>
  <c r="BD53" i="63" s="1"/>
  <c r="K54" i="63"/>
  <c r="R54" i="63" s="1"/>
  <c r="T54" i="63" s="1"/>
  <c r="Y54" i="63" s="1"/>
  <c r="BG52" i="63"/>
  <c r="BH52" i="63" s="1"/>
  <c r="BN51" i="17"/>
  <c r="BO51" i="17" s="1"/>
  <c r="BL51" i="17"/>
  <c r="AY51" i="17"/>
  <c r="BA51" i="17" s="1"/>
  <c r="AE51" i="17"/>
  <c r="V51" i="17"/>
  <c r="AB51" i="17"/>
  <c r="AH51" i="17"/>
  <c r="M51" i="17"/>
  <c r="AK51" i="17"/>
  <c r="AN51" i="17"/>
  <c r="BQ51" i="17"/>
  <c r="R51" i="17"/>
  <c r="T51" i="17" s="1"/>
  <c r="Y51" i="17" s="1"/>
  <c r="AQ50" i="13"/>
  <c r="AR50" i="13" s="1"/>
  <c r="O53" i="126"/>
  <c r="T52" i="15"/>
  <c r="Y52" i="15" s="1"/>
  <c r="R53" i="15"/>
  <c r="P31" i="98"/>
  <c r="V30" i="98"/>
  <c r="W30" i="98" s="1"/>
  <c r="R54" i="110"/>
  <c r="T54" i="110" s="1"/>
  <c r="Y54" i="110" s="1"/>
  <c r="T53" i="110"/>
  <c r="Y53" i="110" s="1"/>
  <c r="T53" i="63"/>
  <c r="Y53" i="63" s="1"/>
  <c r="O30" i="107"/>
  <c r="O30" i="98"/>
  <c r="O28" i="99"/>
  <c r="W26" i="105"/>
  <c r="O27" i="105"/>
  <c r="P28" i="105"/>
  <c r="V27" i="105"/>
  <c r="W27" i="105" s="1"/>
  <c r="P31" i="107"/>
  <c r="V30" i="107"/>
  <c r="W30" i="107" s="1"/>
  <c r="P29" i="99"/>
  <c r="V28" i="99"/>
  <c r="W28" i="99" s="1"/>
  <c r="R53" i="118"/>
  <c r="T52" i="118"/>
  <c r="Y52" i="118" s="1"/>
  <c r="Z52" i="118" s="1"/>
  <c r="O30" i="136"/>
  <c r="O31" i="136" s="1"/>
  <c r="O32" i="136" s="1"/>
  <c r="O33" i="136" s="1"/>
  <c r="O34" i="136" s="1"/>
  <c r="O35" i="136" s="1"/>
  <c r="O36" i="136" s="1"/>
  <c r="O37" i="136" s="1"/>
  <c r="O38" i="136" s="1"/>
  <c r="O39" i="136" s="1"/>
  <c r="O40" i="136" s="1"/>
  <c r="O41" i="136" s="1"/>
  <c r="O42" i="136" s="1"/>
  <c r="O43" i="136" s="1"/>
  <c r="O44" i="136" s="1"/>
  <c r="R54" i="115"/>
  <c r="T54" i="115" s="1"/>
  <c r="Y54" i="115" s="1"/>
  <c r="T53" i="115"/>
  <c r="Y53" i="115" s="1"/>
  <c r="V27" i="112"/>
  <c r="W28" i="110"/>
  <c r="O29" i="110"/>
  <c r="Z54" i="64" l="1"/>
  <c r="AF53" i="110"/>
  <c r="AL54" i="64"/>
  <c r="AW54" i="64"/>
  <c r="BR53" i="110"/>
  <c r="AF51" i="13"/>
  <c r="BA50" i="152"/>
  <c r="BB50" i="152" s="1"/>
  <c r="P54" i="115"/>
  <c r="W53" i="115"/>
  <c r="P52" i="66"/>
  <c r="AC51" i="13"/>
  <c r="BJ57" i="107"/>
  <c r="BL57" i="107" s="1"/>
  <c r="AB57" i="107"/>
  <c r="AC57" i="107" s="1"/>
  <c r="BD57" i="107"/>
  <c r="BE57" i="107" s="1"/>
  <c r="AH57" i="107"/>
  <c r="AI57" i="107" s="1"/>
  <c r="V57" i="107"/>
  <c r="W57" i="107" s="1"/>
  <c r="BG57" i="107"/>
  <c r="BH57" i="107" s="1"/>
  <c r="AY57" i="107"/>
  <c r="Y57" i="107"/>
  <c r="Z57" i="107" s="1"/>
  <c r="BK57" i="107"/>
  <c r="R57" i="107"/>
  <c r="T57" i="107" s="1"/>
  <c r="AN57" i="107"/>
  <c r="AO57" i="107" s="1"/>
  <c r="P57" i="107"/>
  <c r="O57" i="107"/>
  <c r="BA57" i="107"/>
  <c r="BB57" i="107" s="1"/>
  <c r="BN57" i="107"/>
  <c r="BO57" i="107" s="1"/>
  <c r="AK57" i="107"/>
  <c r="AL57" i="107" s="1"/>
  <c r="AE57" i="107"/>
  <c r="AF57" i="107" s="1"/>
  <c r="AQ57" i="107"/>
  <c r="AR57" i="107" s="1"/>
  <c r="M57" i="107"/>
  <c r="AT57" i="107"/>
  <c r="AV57" i="107"/>
  <c r="AW57" i="107" s="1"/>
  <c r="BQ57" i="107"/>
  <c r="BR57" i="107" s="1"/>
  <c r="W51" i="66"/>
  <c r="I59" i="107"/>
  <c r="K58" i="107"/>
  <c r="V55" i="99"/>
  <c r="W55" i="99" s="1"/>
  <c r="AN55" i="99"/>
  <c r="AO55" i="99" s="1"/>
  <c r="AB55" i="99"/>
  <c r="AC55" i="99" s="1"/>
  <c r="R55" i="99"/>
  <c r="T55" i="99" s="1"/>
  <c r="BJ55" i="99"/>
  <c r="BL55" i="99" s="1"/>
  <c r="BD55" i="99"/>
  <c r="BE55" i="99" s="1"/>
  <c r="Y55" i="99"/>
  <c r="Z55" i="99" s="1"/>
  <c r="AY55" i="99"/>
  <c r="AV55" i="99"/>
  <c r="AW55" i="99" s="1"/>
  <c r="AH55" i="99"/>
  <c r="AI55" i="99" s="1"/>
  <c r="O55" i="99"/>
  <c r="BQ55" i="99"/>
  <c r="BR55" i="99" s="1"/>
  <c r="AT55" i="99"/>
  <c r="M55" i="99"/>
  <c r="BA55" i="99"/>
  <c r="BB55" i="99" s="1"/>
  <c r="BN55" i="99"/>
  <c r="BO55" i="99" s="1"/>
  <c r="AQ55" i="99"/>
  <c r="AR55" i="99" s="1"/>
  <c r="P55" i="99"/>
  <c r="K56" i="99"/>
  <c r="BK55" i="99"/>
  <c r="BG55" i="99"/>
  <c r="BH55" i="99" s="1"/>
  <c r="AK55" i="99"/>
  <c r="AL55" i="99" s="1"/>
  <c r="AE55" i="99"/>
  <c r="AF55" i="99" s="1"/>
  <c r="BQ55" i="132"/>
  <c r="BR55" i="132" s="1"/>
  <c r="V55" i="132"/>
  <c r="W55" i="132" s="1"/>
  <c r="AK55" i="132"/>
  <c r="AL55" i="132" s="1"/>
  <c r="AY55" i="132"/>
  <c r="AE55" i="132"/>
  <c r="AF55" i="132" s="1"/>
  <c r="BG55" i="132"/>
  <c r="BH55" i="132" s="1"/>
  <c r="Y55" i="132"/>
  <c r="Z55" i="132" s="1"/>
  <c r="M55" i="132"/>
  <c r="O55" i="132"/>
  <c r="AV55" i="132"/>
  <c r="AW55" i="132" s="1"/>
  <c r="AQ55" i="132"/>
  <c r="AR55" i="132" s="1"/>
  <c r="R55" i="132"/>
  <c r="T55" i="132" s="1"/>
  <c r="BA55" i="132"/>
  <c r="BB55" i="132" s="1"/>
  <c r="BL55" i="132"/>
  <c r="P55" i="132"/>
  <c r="AB55" i="132"/>
  <c r="AC55" i="132" s="1"/>
  <c r="BN55" i="132"/>
  <c r="BO55" i="132" s="1"/>
  <c r="K56" i="132"/>
  <c r="AT55" i="132"/>
  <c r="AN55" i="132"/>
  <c r="AO55" i="132" s="1"/>
  <c r="AH55" i="132"/>
  <c r="AI55" i="132" s="1"/>
  <c r="BD55" i="132"/>
  <c r="BE55" i="132" s="1"/>
  <c r="BH53" i="63"/>
  <c r="AF51" i="120"/>
  <c r="BB51" i="66"/>
  <c r="AO53" i="63"/>
  <c r="BR53" i="115"/>
  <c r="W53" i="126"/>
  <c r="O52" i="95"/>
  <c r="BG50" i="150"/>
  <c r="BH50" i="150" s="1"/>
  <c r="AQ51" i="95"/>
  <c r="AW51" i="95"/>
  <c r="O28" i="156"/>
  <c r="Z51" i="13"/>
  <c r="BR53" i="126"/>
  <c r="AC51" i="95"/>
  <c r="R50" i="156"/>
  <c r="T49" i="156"/>
  <c r="Y49" i="156" s="1"/>
  <c r="Z49" i="156" s="1"/>
  <c r="AL53" i="126"/>
  <c r="W51" i="13"/>
  <c r="AO51" i="13"/>
  <c r="Z53" i="126"/>
  <c r="AO53" i="126"/>
  <c r="BB53" i="126"/>
  <c r="BR52" i="112"/>
  <c r="AO52" i="112"/>
  <c r="P29" i="156"/>
  <c r="P30" i="156" s="1"/>
  <c r="P31" i="156" s="1"/>
  <c r="P32" i="156" s="1"/>
  <c r="P33" i="156" s="1"/>
  <c r="P34" i="156" s="1"/>
  <c r="P35" i="156" s="1"/>
  <c r="P36" i="156" s="1"/>
  <c r="P37" i="156" s="1"/>
  <c r="P38" i="156" s="1"/>
  <c r="P39" i="156" s="1"/>
  <c r="P40" i="156" s="1"/>
  <c r="P41" i="156" s="1"/>
  <c r="P42" i="156" s="1"/>
  <c r="P43" i="156" s="1"/>
  <c r="P44" i="156" s="1"/>
  <c r="P45" i="156" s="1"/>
  <c r="P46" i="156" s="1"/>
  <c r="P47" i="156" s="1"/>
  <c r="P48" i="156" s="1"/>
  <c r="P49" i="156" s="1"/>
  <c r="P50" i="156" s="1"/>
  <c r="P51" i="156" s="1"/>
  <c r="P52" i="156" s="1"/>
  <c r="P53" i="156" s="1"/>
  <c r="P54" i="156" s="1"/>
  <c r="V28" i="156"/>
  <c r="W28" i="156" s="1"/>
  <c r="BR88" i="161"/>
  <c r="AY88" i="161"/>
  <c r="BD88" i="161"/>
  <c r="BE88" i="161" s="1"/>
  <c r="AQ88" i="161"/>
  <c r="AR88" i="161" s="1"/>
  <c r="AK88" i="161"/>
  <c r="AL88" i="161" s="1"/>
  <c r="AE88" i="161"/>
  <c r="AF88" i="161" s="1"/>
  <c r="Y88" i="161"/>
  <c r="Z88" i="161" s="1"/>
  <c r="R88" i="161"/>
  <c r="T88" i="161" s="1"/>
  <c r="AV88" i="161"/>
  <c r="AW88" i="161" s="1"/>
  <c r="P88" i="161"/>
  <c r="BA88" i="161"/>
  <c r="BB88" i="161" s="1"/>
  <c r="AB88" i="161"/>
  <c r="AC88" i="161" s="1"/>
  <c r="AT88" i="161"/>
  <c r="V88" i="161"/>
  <c r="W88" i="161" s="1"/>
  <c r="AN88" i="161"/>
  <c r="AO88" i="161" s="1"/>
  <c r="O88" i="161"/>
  <c r="BG88" i="161"/>
  <c r="BH88" i="161" s="1"/>
  <c r="AH88" i="161"/>
  <c r="AI88" i="161" s="1"/>
  <c r="BK88" i="161"/>
  <c r="BJ88" i="161"/>
  <c r="BL88" i="161" s="1"/>
  <c r="BN88" i="161"/>
  <c r="BO88" i="161" s="1"/>
  <c r="M88" i="161"/>
  <c r="I90" i="161"/>
  <c r="K89" i="161"/>
  <c r="BQ89" i="161" s="1"/>
  <c r="BD51" i="95"/>
  <c r="BE51" i="95" s="1"/>
  <c r="BK53" i="106"/>
  <c r="AQ53" i="106"/>
  <c r="AR53" i="106" s="1"/>
  <c r="AN53" i="106"/>
  <c r="AO53" i="106" s="1"/>
  <c r="AB53" i="106"/>
  <c r="AC53" i="106" s="1"/>
  <c r="BN53" i="106"/>
  <c r="BO53" i="106" s="1"/>
  <c r="AY53" i="106"/>
  <c r="Y53" i="106"/>
  <c r="Z53" i="106" s="1"/>
  <c r="V53" i="106"/>
  <c r="W53" i="106" s="1"/>
  <c r="AE53" i="106"/>
  <c r="AF53" i="106" s="1"/>
  <c r="BA53" i="106"/>
  <c r="BB53" i="106" s="1"/>
  <c r="AH53" i="106"/>
  <c r="AI53" i="106" s="1"/>
  <c r="BG53" i="106"/>
  <c r="BH53" i="106" s="1"/>
  <c r="O53" i="106"/>
  <c r="BD53" i="106"/>
  <c r="BE53" i="106" s="1"/>
  <c r="M53" i="106"/>
  <c r="AT53" i="106"/>
  <c r="AK53" i="106"/>
  <c r="AL53" i="106" s="1"/>
  <c r="P53" i="106"/>
  <c r="BJ53" i="106"/>
  <c r="BL53" i="106" s="1"/>
  <c r="R53" i="106"/>
  <c r="T53" i="106" s="1"/>
  <c r="BQ53" i="106"/>
  <c r="BR53" i="106" s="1"/>
  <c r="AV53" i="106"/>
  <c r="AW53" i="106" s="1"/>
  <c r="K54" i="106"/>
  <c r="AV52" i="112"/>
  <c r="AW52" i="112" s="1"/>
  <c r="BD52" i="112"/>
  <c r="BE52" i="112" s="1"/>
  <c r="W52" i="112"/>
  <c r="BL52" i="95"/>
  <c r="AK52" i="95"/>
  <c r="AB52" i="95"/>
  <c r="BG52" i="95"/>
  <c r="AN52" i="95"/>
  <c r="V52" i="95"/>
  <c r="AH52" i="95"/>
  <c r="BA52" i="95"/>
  <c r="M52" i="95"/>
  <c r="AT52" i="95"/>
  <c r="AV52" i="95" s="1"/>
  <c r="BQ52" i="95"/>
  <c r="BN52" i="95"/>
  <c r="BO52" i="95" s="1"/>
  <c r="AE52" i="95"/>
  <c r="K53" i="95"/>
  <c r="R52" i="95"/>
  <c r="T52" i="95" s="1"/>
  <c r="Y52" i="95" s="1"/>
  <c r="BB51" i="95"/>
  <c r="BR54" i="64"/>
  <c r="AW53" i="126"/>
  <c r="BN53" i="112"/>
  <c r="BO53" i="112" s="1"/>
  <c r="AE53" i="112"/>
  <c r="AK53" i="112"/>
  <c r="K54" i="112"/>
  <c r="AY53" i="112"/>
  <c r="BQ53" i="112"/>
  <c r="M53" i="112"/>
  <c r="AH53" i="112"/>
  <c r="R53" i="112"/>
  <c r="T53" i="112" s="1"/>
  <c r="Y53" i="112" s="1"/>
  <c r="BK53" i="112"/>
  <c r="AN53" i="112"/>
  <c r="BJ53" i="112"/>
  <c r="BL53" i="112" s="1"/>
  <c r="AT53" i="112"/>
  <c r="AB53" i="112"/>
  <c r="V53" i="112"/>
  <c r="AR51" i="95"/>
  <c r="W51" i="95"/>
  <c r="AL51" i="95"/>
  <c r="I60" i="106"/>
  <c r="M53" i="104"/>
  <c r="AT53" i="104"/>
  <c r="BQ53" i="104"/>
  <c r="BR53" i="104" s="1"/>
  <c r="AN53" i="104"/>
  <c r="AO53" i="104" s="1"/>
  <c r="K54" i="104"/>
  <c r="BN53" i="104"/>
  <c r="BO53" i="104" s="1"/>
  <c r="O53" i="104"/>
  <c r="AY53" i="104"/>
  <c r="AH53" i="104"/>
  <c r="AI53" i="104" s="1"/>
  <c r="AE53" i="104"/>
  <c r="AF53" i="104" s="1"/>
  <c r="P53" i="104"/>
  <c r="AB53" i="104"/>
  <c r="AC53" i="104" s="1"/>
  <c r="AK53" i="104"/>
  <c r="AL53" i="104" s="1"/>
  <c r="AQ53" i="104"/>
  <c r="AR53" i="104" s="1"/>
  <c r="V53" i="104"/>
  <c r="W53" i="104" s="1"/>
  <c r="BK53" i="104"/>
  <c r="R53" i="104"/>
  <c r="T53" i="104" s="1"/>
  <c r="Y53" i="104"/>
  <c r="Z53" i="104" s="1"/>
  <c r="BD53" i="104"/>
  <c r="BE53" i="104" s="1"/>
  <c r="BJ53" i="104"/>
  <c r="BL53" i="104" s="1"/>
  <c r="AV53" i="104"/>
  <c r="AW53" i="104" s="1"/>
  <c r="BG53" i="104"/>
  <c r="BH53" i="104" s="1"/>
  <c r="BA53" i="104"/>
  <c r="BB53" i="104" s="1"/>
  <c r="AF52" i="118"/>
  <c r="AF52" i="112"/>
  <c r="BR51" i="120"/>
  <c r="AF53" i="114"/>
  <c r="AL52" i="112"/>
  <c r="AC52" i="112"/>
  <c r="BA56" i="133"/>
  <c r="BB56" i="133" s="1"/>
  <c r="AN56" i="133"/>
  <c r="AO56" i="133" s="1"/>
  <c r="R56" i="133"/>
  <c r="T56" i="133" s="1"/>
  <c r="K57" i="133"/>
  <c r="AT56" i="133"/>
  <c r="BD56" i="133"/>
  <c r="BE56" i="133" s="1"/>
  <c r="BQ56" i="133"/>
  <c r="BR56" i="133" s="1"/>
  <c r="Y56" i="133"/>
  <c r="Z56" i="133" s="1"/>
  <c r="AQ56" i="133"/>
  <c r="AR56" i="133" s="1"/>
  <c r="AK56" i="133"/>
  <c r="AL56" i="133" s="1"/>
  <c r="BL56" i="133"/>
  <c r="O56" i="133"/>
  <c r="AB56" i="133"/>
  <c r="AC56" i="133" s="1"/>
  <c r="AV56" i="133"/>
  <c r="AW56" i="133" s="1"/>
  <c r="M56" i="133"/>
  <c r="V56" i="133"/>
  <c r="W56" i="133" s="1"/>
  <c r="P56" i="133"/>
  <c r="BG56" i="133"/>
  <c r="BH56" i="133" s="1"/>
  <c r="BN56" i="133"/>
  <c r="BO56" i="133" s="1"/>
  <c r="AH56" i="133"/>
  <c r="AI56" i="133" s="1"/>
  <c r="AE56" i="133"/>
  <c r="AF56" i="133" s="1"/>
  <c r="AY56" i="133"/>
  <c r="AO51" i="95"/>
  <c r="BR51" i="95"/>
  <c r="BH51" i="95"/>
  <c r="W53" i="110"/>
  <c r="AL52" i="118"/>
  <c r="AB58" i="156"/>
  <c r="AC58" i="156" s="1"/>
  <c r="AQ58" i="156"/>
  <c r="AR58" i="156" s="1"/>
  <c r="AV58" i="156"/>
  <c r="AW58" i="156" s="1"/>
  <c r="AH58" i="156"/>
  <c r="AI58" i="156" s="1"/>
  <c r="BD58" i="156"/>
  <c r="BE58" i="156" s="1"/>
  <c r="AN58" i="156"/>
  <c r="AO58" i="156" s="1"/>
  <c r="AK58" i="156"/>
  <c r="AL58" i="156" s="1"/>
  <c r="P58" i="156"/>
  <c r="BA58" i="156"/>
  <c r="BB58" i="156" s="1"/>
  <c r="BQ58" i="156"/>
  <c r="BR58" i="156" s="1"/>
  <c r="BN58" i="156"/>
  <c r="BO58" i="156" s="1"/>
  <c r="O58" i="156"/>
  <c r="BG58" i="156"/>
  <c r="BH58" i="156" s="1"/>
  <c r="M58" i="156"/>
  <c r="Y58" i="156"/>
  <c r="Z58" i="156" s="1"/>
  <c r="V58" i="156"/>
  <c r="W58" i="156" s="1"/>
  <c r="R58" i="156"/>
  <c r="T58" i="156" s="1"/>
  <c r="AE58" i="156"/>
  <c r="AF58" i="156" s="1"/>
  <c r="BL58" i="156"/>
  <c r="AQ52" i="112"/>
  <c r="AR52" i="112" s="1"/>
  <c r="AI52" i="112"/>
  <c r="Z51" i="95"/>
  <c r="AF51" i="95"/>
  <c r="AI51" i="95"/>
  <c r="BN54" i="129"/>
  <c r="BO54" i="129" s="1"/>
  <c r="AT54" i="129"/>
  <c r="V54" i="129"/>
  <c r="W54" i="129" s="1"/>
  <c r="AB54" i="129"/>
  <c r="AC54" i="129" s="1"/>
  <c r="P54" i="129"/>
  <c r="BQ54" i="129"/>
  <c r="BR54" i="129" s="1"/>
  <c r="AH54" i="129"/>
  <c r="AI54" i="129" s="1"/>
  <c r="BL54" i="129"/>
  <c r="BG54" i="129"/>
  <c r="BH54" i="129" s="1"/>
  <c r="AQ54" i="129"/>
  <c r="AR54" i="129" s="1"/>
  <c r="BA54" i="129"/>
  <c r="BB54" i="129" s="1"/>
  <c r="R54" i="129"/>
  <c r="T54" i="129" s="1"/>
  <c r="AN54" i="129"/>
  <c r="AO54" i="129" s="1"/>
  <c r="Y54" i="129"/>
  <c r="Z54" i="129" s="1"/>
  <c r="M54" i="129"/>
  <c r="O54" i="129"/>
  <c r="BD54" i="129"/>
  <c r="BE54" i="129" s="1"/>
  <c r="AV54" i="129"/>
  <c r="AW54" i="129" s="1"/>
  <c r="K55" i="129"/>
  <c r="AE54" i="129"/>
  <c r="AF54" i="129" s="1"/>
  <c r="AK54" i="129"/>
  <c r="AL54" i="129" s="1"/>
  <c r="AY54" i="129"/>
  <c r="P52" i="95"/>
  <c r="P53" i="95" s="1"/>
  <c r="AC53" i="114"/>
  <c r="I60" i="156"/>
  <c r="K59" i="156"/>
  <c r="AY59" i="156" s="1"/>
  <c r="BA52" i="112"/>
  <c r="BB52" i="112" s="1"/>
  <c r="BG52" i="112"/>
  <c r="BH52" i="112" s="1"/>
  <c r="AT46" i="150"/>
  <c r="AT46" i="156"/>
  <c r="BL54" i="130"/>
  <c r="M54" i="130"/>
  <c r="K55" i="130"/>
  <c r="BN54" i="130"/>
  <c r="BO54" i="130" s="1"/>
  <c r="AV54" i="130"/>
  <c r="AW54" i="130" s="1"/>
  <c r="AB54" i="130"/>
  <c r="AC54" i="130" s="1"/>
  <c r="AN54" i="130"/>
  <c r="AO54" i="130" s="1"/>
  <c r="BG54" i="130"/>
  <c r="BH54" i="130" s="1"/>
  <c r="AT54" i="130"/>
  <c r="R54" i="130"/>
  <c r="T54" i="130" s="1"/>
  <c r="AH54" i="130"/>
  <c r="AI54" i="130" s="1"/>
  <c r="O54" i="130"/>
  <c r="BA54" i="130"/>
  <c r="BB54" i="130" s="1"/>
  <c r="AE54" i="130"/>
  <c r="AF54" i="130" s="1"/>
  <c r="AQ54" i="130"/>
  <c r="AR54" i="130" s="1"/>
  <c r="P54" i="130"/>
  <c r="BD54" i="130"/>
  <c r="BE54" i="130" s="1"/>
  <c r="Y54" i="130"/>
  <c r="Z54" i="130" s="1"/>
  <c r="V54" i="130"/>
  <c r="W54" i="130" s="1"/>
  <c r="AY54" i="130"/>
  <c r="BQ54" i="130"/>
  <c r="BR54" i="130" s="1"/>
  <c r="AK54" i="130"/>
  <c r="AL54" i="130" s="1"/>
  <c r="BA50" i="15"/>
  <c r="BB50" i="15" s="1"/>
  <c r="BG50" i="15"/>
  <c r="BH50" i="15" s="1"/>
  <c r="BA51" i="150"/>
  <c r="BB51" i="150" s="1"/>
  <c r="BG51" i="150"/>
  <c r="BH51" i="150" s="1"/>
  <c r="BG51" i="151"/>
  <c r="BH51" i="151" s="1"/>
  <c r="BA51" i="151"/>
  <c r="BB51" i="151" s="1"/>
  <c r="BG51" i="155"/>
  <c r="BH51" i="155" s="1"/>
  <c r="BA51" i="155"/>
  <c r="BB51" i="155" s="1"/>
  <c r="BG51" i="153"/>
  <c r="BH51" i="153" s="1"/>
  <c r="BA51" i="153"/>
  <c r="BB51" i="153" s="1"/>
  <c r="BG51" i="152"/>
  <c r="BH51" i="152" s="1"/>
  <c r="BA51" i="152"/>
  <c r="BB51" i="152" s="1"/>
  <c r="BA50" i="149"/>
  <c r="BB50" i="149" s="1"/>
  <c r="BG50" i="149"/>
  <c r="BH50" i="149" s="1"/>
  <c r="BA50" i="156"/>
  <c r="BB50" i="156" s="1"/>
  <c r="BG50" i="156"/>
  <c r="BH50" i="156" s="1"/>
  <c r="A56" i="7"/>
  <c r="AY52" i="150" s="1"/>
  <c r="AY51" i="156"/>
  <c r="AY51" i="15"/>
  <c r="AV45" i="156"/>
  <c r="AW45" i="156" s="1"/>
  <c r="BD45" i="156"/>
  <c r="BE45" i="156" s="1"/>
  <c r="AV45" i="150"/>
  <c r="AW45" i="150" s="1"/>
  <c r="BD45" i="150"/>
  <c r="BE45" i="150" s="1"/>
  <c r="O27" i="155"/>
  <c r="AW52" i="118"/>
  <c r="AF53" i="126"/>
  <c r="Z53" i="110"/>
  <c r="AC53" i="126"/>
  <c r="V27" i="155"/>
  <c r="W27" i="155" s="1"/>
  <c r="P28" i="155"/>
  <c r="T48" i="155"/>
  <c r="Y48" i="155" s="1"/>
  <c r="Z48" i="155" s="1"/>
  <c r="R49" i="155"/>
  <c r="O53" i="118"/>
  <c r="M59" i="155"/>
  <c r="BQ59" i="155"/>
  <c r="BR59" i="155" s="1"/>
  <c r="O59" i="155"/>
  <c r="V59" i="155"/>
  <c r="W59" i="155" s="1"/>
  <c r="AB59" i="155"/>
  <c r="AC59" i="155" s="1"/>
  <c r="AH59" i="155"/>
  <c r="AI59" i="155" s="1"/>
  <c r="AN59" i="155"/>
  <c r="AO59" i="155" s="1"/>
  <c r="BA59" i="155"/>
  <c r="BB59" i="155" s="1"/>
  <c r="BG59" i="155"/>
  <c r="BH59" i="155" s="1"/>
  <c r="P59" i="155"/>
  <c r="AV59" i="155"/>
  <c r="AW59" i="155" s="1"/>
  <c r="BN59" i="155"/>
  <c r="BO59" i="155" s="1"/>
  <c r="AE59" i="155"/>
  <c r="AF59" i="155" s="1"/>
  <c r="BD59" i="155"/>
  <c r="BE59" i="155" s="1"/>
  <c r="AK59" i="155"/>
  <c r="AL59" i="155" s="1"/>
  <c r="R59" i="155"/>
  <c r="T59" i="155" s="1"/>
  <c r="Y59" i="155"/>
  <c r="Z59" i="155" s="1"/>
  <c r="AQ59" i="155"/>
  <c r="AR59" i="155" s="1"/>
  <c r="BL59" i="155"/>
  <c r="I61" i="155"/>
  <c r="K60" i="155"/>
  <c r="AV46" i="15"/>
  <c r="AW46" i="15" s="1"/>
  <c r="BD46" i="15"/>
  <c r="BE46" i="15" s="1"/>
  <c r="BD45" i="15"/>
  <c r="BE45" i="15" s="1"/>
  <c r="AV45" i="15"/>
  <c r="AW45" i="15" s="1"/>
  <c r="BD45" i="120"/>
  <c r="BE45" i="120" s="1"/>
  <c r="AV45" i="120"/>
  <c r="AW45" i="120" s="1"/>
  <c r="BD45" i="13"/>
  <c r="BE45" i="13" s="1"/>
  <c r="AV45" i="13"/>
  <c r="AW45" i="13" s="1"/>
  <c r="AV45" i="17"/>
  <c r="AW45" i="17" s="1"/>
  <c r="BD45" i="17"/>
  <c r="BE45" i="17" s="1"/>
  <c r="A48" i="58"/>
  <c r="AT47" i="15" s="1"/>
  <c r="AT46" i="13"/>
  <c r="AT46" i="17"/>
  <c r="AT46" i="120"/>
  <c r="O59" i="153"/>
  <c r="V59" i="153"/>
  <c r="W59" i="153" s="1"/>
  <c r="AB59" i="153"/>
  <c r="AC59" i="153" s="1"/>
  <c r="AH59" i="153"/>
  <c r="AI59" i="153" s="1"/>
  <c r="AN59" i="153"/>
  <c r="AO59" i="153" s="1"/>
  <c r="BA59" i="153"/>
  <c r="BB59" i="153" s="1"/>
  <c r="BG59" i="153"/>
  <c r="BH59" i="153" s="1"/>
  <c r="P59" i="153"/>
  <c r="AV59" i="153"/>
  <c r="AW59" i="153" s="1"/>
  <c r="BN59" i="153"/>
  <c r="BO59" i="153" s="1"/>
  <c r="BQ59" i="153"/>
  <c r="BR59" i="153" s="1"/>
  <c r="Y59" i="153"/>
  <c r="Z59" i="153" s="1"/>
  <c r="AK59" i="153"/>
  <c r="AL59" i="153" s="1"/>
  <c r="M59" i="153"/>
  <c r="R59" i="153"/>
  <c r="T59" i="153" s="1"/>
  <c r="AE59" i="153"/>
  <c r="AF59" i="153" s="1"/>
  <c r="AQ59" i="153"/>
  <c r="AR59" i="153" s="1"/>
  <c r="BD59" i="153"/>
  <c r="BE59" i="153" s="1"/>
  <c r="BL59" i="153"/>
  <c r="K60" i="153"/>
  <c r="I64" i="153"/>
  <c r="M59" i="152"/>
  <c r="O59" i="152"/>
  <c r="V59" i="152"/>
  <c r="W59" i="152" s="1"/>
  <c r="AB59" i="152"/>
  <c r="AC59" i="152" s="1"/>
  <c r="AH59" i="152"/>
  <c r="AI59" i="152" s="1"/>
  <c r="AN59" i="152"/>
  <c r="AO59" i="152" s="1"/>
  <c r="BA59" i="152"/>
  <c r="BB59" i="152" s="1"/>
  <c r="BG59" i="152"/>
  <c r="BH59" i="152" s="1"/>
  <c r="P59" i="152"/>
  <c r="R59" i="152"/>
  <c r="T59" i="152" s="1"/>
  <c r="AE59" i="152"/>
  <c r="AF59" i="152" s="1"/>
  <c r="BN59" i="152"/>
  <c r="BO59" i="152" s="1"/>
  <c r="AQ59" i="152"/>
  <c r="AR59" i="152" s="1"/>
  <c r="Y59" i="152"/>
  <c r="Z59" i="152" s="1"/>
  <c r="AK59" i="152"/>
  <c r="AL59" i="152" s="1"/>
  <c r="BQ59" i="152"/>
  <c r="BR59" i="152" s="1"/>
  <c r="AV59" i="152"/>
  <c r="AW59" i="152" s="1"/>
  <c r="BD59" i="152"/>
  <c r="BE59" i="152" s="1"/>
  <c r="BL59" i="152"/>
  <c r="K60" i="152"/>
  <c r="I68" i="152"/>
  <c r="O53" i="15"/>
  <c r="BR51" i="13"/>
  <c r="BB51" i="13"/>
  <c r="AL51" i="13"/>
  <c r="AI51" i="13"/>
  <c r="BD53" i="126"/>
  <c r="BE53" i="126" s="1"/>
  <c r="O54" i="126"/>
  <c r="BG54" i="64"/>
  <c r="BH54" i="64" s="1"/>
  <c r="O52" i="120"/>
  <c r="K58" i="151"/>
  <c r="I59" i="151"/>
  <c r="BD57" i="151"/>
  <c r="BE57" i="151" s="1"/>
  <c r="AQ57" i="151"/>
  <c r="AR57" i="151" s="1"/>
  <c r="AK57" i="151"/>
  <c r="AL57" i="151" s="1"/>
  <c r="AE57" i="151"/>
  <c r="AF57" i="151" s="1"/>
  <c r="Y57" i="151"/>
  <c r="Z57" i="151" s="1"/>
  <c r="R57" i="151"/>
  <c r="T57" i="151" s="1"/>
  <c r="AV57" i="151"/>
  <c r="AW57" i="151" s="1"/>
  <c r="P57" i="151"/>
  <c r="BG57" i="151"/>
  <c r="BH57" i="151" s="1"/>
  <c r="BA57" i="151"/>
  <c r="BB57" i="151" s="1"/>
  <c r="AT57" i="151"/>
  <c r="AN57" i="151"/>
  <c r="AO57" i="151" s="1"/>
  <c r="AH57" i="151"/>
  <c r="AI57" i="151" s="1"/>
  <c r="AB57" i="151"/>
  <c r="AC57" i="151" s="1"/>
  <c r="V57" i="151"/>
  <c r="W57" i="151" s="1"/>
  <c r="O57" i="151"/>
  <c r="BQ57" i="151"/>
  <c r="BR57" i="151" s="1"/>
  <c r="AY57" i="151"/>
  <c r="M57" i="151"/>
  <c r="BN57" i="151"/>
  <c r="BO57" i="151" s="1"/>
  <c r="BL57" i="151"/>
  <c r="BQ56" i="150"/>
  <c r="BR56" i="150" s="1"/>
  <c r="AY56" i="150"/>
  <c r="BD56" i="150"/>
  <c r="BE56" i="150" s="1"/>
  <c r="AQ56" i="150"/>
  <c r="AR56" i="150" s="1"/>
  <c r="AK56" i="150"/>
  <c r="AL56" i="150" s="1"/>
  <c r="AE56" i="150"/>
  <c r="AF56" i="150" s="1"/>
  <c r="Y56" i="150"/>
  <c r="Z56" i="150" s="1"/>
  <c r="R56" i="150"/>
  <c r="T56" i="150" s="1"/>
  <c r="AV56" i="150"/>
  <c r="AW56" i="150" s="1"/>
  <c r="P56" i="150"/>
  <c r="AN56" i="150"/>
  <c r="AO56" i="150" s="1"/>
  <c r="O56" i="150"/>
  <c r="BG56" i="150"/>
  <c r="BH56" i="150" s="1"/>
  <c r="AH56" i="150"/>
  <c r="AI56" i="150" s="1"/>
  <c r="BA56" i="150"/>
  <c r="BB56" i="150" s="1"/>
  <c r="AB56" i="150"/>
  <c r="AC56" i="150" s="1"/>
  <c r="AT56" i="150"/>
  <c r="V56" i="150"/>
  <c r="W56" i="150" s="1"/>
  <c r="BN56" i="150"/>
  <c r="BO56" i="150" s="1"/>
  <c r="M56" i="150"/>
  <c r="BL56" i="150"/>
  <c r="K57" i="150"/>
  <c r="AC55" i="150"/>
  <c r="I60" i="150"/>
  <c r="AV58" i="149"/>
  <c r="AW58" i="149" s="1"/>
  <c r="P58" i="149"/>
  <c r="BQ58" i="149"/>
  <c r="BR58" i="149" s="1"/>
  <c r="AY58" i="149"/>
  <c r="AK58" i="149"/>
  <c r="AL58" i="149" s="1"/>
  <c r="Y58" i="149"/>
  <c r="Z58" i="149" s="1"/>
  <c r="BG58" i="149"/>
  <c r="BH58" i="149" s="1"/>
  <c r="AH58" i="149"/>
  <c r="AI58" i="149" s="1"/>
  <c r="V58" i="149"/>
  <c r="W58" i="149" s="1"/>
  <c r="BD58" i="149"/>
  <c r="BE58" i="149" s="1"/>
  <c r="AQ58" i="149"/>
  <c r="AR58" i="149" s="1"/>
  <c r="AE58" i="149"/>
  <c r="AF58" i="149" s="1"/>
  <c r="R58" i="149"/>
  <c r="T58" i="149" s="1"/>
  <c r="BA58" i="149"/>
  <c r="BB58" i="149" s="1"/>
  <c r="AN58" i="149"/>
  <c r="AO58" i="149" s="1"/>
  <c r="AB58" i="149"/>
  <c r="AC58" i="149" s="1"/>
  <c r="O58" i="149"/>
  <c r="M58" i="149"/>
  <c r="BN58" i="149"/>
  <c r="BO58" i="149" s="1"/>
  <c r="BL58" i="149"/>
  <c r="I60" i="149"/>
  <c r="K59" i="149"/>
  <c r="AT59" i="149" s="1"/>
  <c r="AF53" i="63"/>
  <c r="O31" i="98"/>
  <c r="V31" i="98" s="1"/>
  <c r="W31" i="98" s="1"/>
  <c r="I59" i="147"/>
  <c r="K58" i="147"/>
  <c r="O31" i="147"/>
  <c r="V31" i="147"/>
  <c r="W31" i="147" s="1"/>
  <c r="P32" i="147"/>
  <c r="BG57" i="147"/>
  <c r="BH57" i="147" s="1"/>
  <c r="BA57" i="147"/>
  <c r="BB57" i="147" s="1"/>
  <c r="AT57" i="147"/>
  <c r="AN57" i="147"/>
  <c r="AO57" i="147" s="1"/>
  <c r="AH57" i="147"/>
  <c r="AI57" i="147" s="1"/>
  <c r="AB57" i="147"/>
  <c r="AC57" i="147" s="1"/>
  <c r="V57" i="147"/>
  <c r="W57" i="147" s="1"/>
  <c r="O57" i="147"/>
  <c r="BQ57" i="147"/>
  <c r="BR57" i="147" s="1"/>
  <c r="AY57" i="147"/>
  <c r="BD57" i="147"/>
  <c r="BE57" i="147" s="1"/>
  <c r="AQ57" i="147"/>
  <c r="AR57" i="147" s="1"/>
  <c r="AE57" i="147"/>
  <c r="AF57" i="147" s="1"/>
  <c r="R57" i="147"/>
  <c r="T57" i="147" s="1"/>
  <c r="P57" i="147"/>
  <c r="Y57" i="147"/>
  <c r="Z57" i="147" s="1"/>
  <c r="AV57" i="147"/>
  <c r="AW57" i="147" s="1"/>
  <c r="AK57" i="147"/>
  <c r="AL57" i="147" s="1"/>
  <c r="BK57" i="147"/>
  <c r="BN57" i="147"/>
  <c r="BO57" i="147" s="1"/>
  <c r="BJ57" i="147"/>
  <c r="BL57" i="147" s="1"/>
  <c r="M57" i="147"/>
  <c r="AC55" i="146"/>
  <c r="AV56" i="146"/>
  <c r="AW56" i="146" s="1"/>
  <c r="P56" i="146"/>
  <c r="BG56" i="146"/>
  <c r="BH56" i="146" s="1"/>
  <c r="BA56" i="146"/>
  <c r="BB56" i="146" s="1"/>
  <c r="AT56" i="146"/>
  <c r="AN56" i="146"/>
  <c r="AO56" i="146" s="1"/>
  <c r="AH56" i="146"/>
  <c r="AI56" i="146" s="1"/>
  <c r="AB56" i="146"/>
  <c r="AC56" i="146" s="1"/>
  <c r="V56" i="146"/>
  <c r="W56" i="146" s="1"/>
  <c r="O56" i="146"/>
  <c r="AY56" i="146"/>
  <c r="Y56" i="146"/>
  <c r="Z56" i="146" s="1"/>
  <c r="AE56" i="146"/>
  <c r="AF56" i="146" s="1"/>
  <c r="BQ56" i="146"/>
  <c r="BR56" i="146" s="1"/>
  <c r="AQ56" i="146"/>
  <c r="AR56" i="146" s="1"/>
  <c r="R56" i="146"/>
  <c r="T56" i="146" s="1"/>
  <c r="AK56" i="146"/>
  <c r="AL56" i="146" s="1"/>
  <c r="BD56" i="146"/>
  <c r="BE56" i="146" s="1"/>
  <c r="BN56" i="146"/>
  <c r="BO56" i="146" s="1"/>
  <c r="BK56" i="146"/>
  <c r="M56" i="146"/>
  <c r="BJ56" i="146"/>
  <c r="BL56" i="146" s="1"/>
  <c r="K57" i="146"/>
  <c r="I58" i="146"/>
  <c r="P29" i="146"/>
  <c r="BB54" i="64"/>
  <c r="Z51" i="66"/>
  <c r="BG51" i="13"/>
  <c r="BH51" i="13" s="1"/>
  <c r="Z52" i="15"/>
  <c r="AQ51" i="17"/>
  <c r="AR51" i="17" s="1"/>
  <c r="BE53" i="96"/>
  <c r="AQ53" i="126"/>
  <c r="AR53" i="126" s="1"/>
  <c r="Z53" i="63"/>
  <c r="BE53" i="63"/>
  <c r="BB53" i="96"/>
  <c r="W53" i="114"/>
  <c r="AW53" i="114"/>
  <c r="Z53" i="114"/>
  <c r="BA53" i="63"/>
  <c r="BB53" i="63" s="1"/>
  <c r="Z53" i="115"/>
  <c r="AL53" i="115"/>
  <c r="AI53" i="115"/>
  <c r="AI53" i="63"/>
  <c r="W53" i="63"/>
  <c r="BR51" i="66"/>
  <c r="BG53" i="114"/>
  <c r="BH53" i="114" s="1"/>
  <c r="AV53" i="96"/>
  <c r="AW53" i="96" s="1"/>
  <c r="AC53" i="115"/>
  <c r="AO53" i="115"/>
  <c r="BG51" i="120"/>
  <c r="BH51" i="120" s="1"/>
  <c r="BR53" i="114"/>
  <c r="BB53" i="114"/>
  <c r="AO53" i="114"/>
  <c r="W52" i="15"/>
  <c r="AO52" i="15"/>
  <c r="BR53" i="96"/>
  <c r="AO53" i="110"/>
  <c r="BE53" i="110"/>
  <c r="BH52" i="118"/>
  <c r="BA53" i="115"/>
  <c r="BB53" i="115" s="1"/>
  <c r="AF52" i="15"/>
  <c r="BR52" i="15"/>
  <c r="Z53" i="96"/>
  <c r="AO53" i="96"/>
  <c r="W53" i="96"/>
  <c r="AL53" i="96"/>
  <c r="BB53" i="110"/>
  <c r="AC53" i="110"/>
  <c r="AF53" i="115"/>
  <c r="AW53" i="115"/>
  <c r="AQ51" i="120"/>
  <c r="AR51" i="120" s="1"/>
  <c r="AW51" i="66"/>
  <c r="AL53" i="114"/>
  <c r="AI53" i="114"/>
  <c r="AC52" i="15"/>
  <c r="AL52" i="15"/>
  <c r="AQ53" i="96"/>
  <c r="AR53" i="96" s="1"/>
  <c r="AI53" i="96"/>
  <c r="AF53" i="96"/>
  <c r="AL53" i="110"/>
  <c r="AI53" i="110"/>
  <c r="AF51" i="17"/>
  <c r="BR53" i="63"/>
  <c r="AC53" i="63"/>
  <c r="AL53" i="63"/>
  <c r="BB51" i="120"/>
  <c r="AQ53" i="114"/>
  <c r="AR53" i="114" s="1"/>
  <c r="BD52" i="118"/>
  <c r="BE52" i="118" s="1"/>
  <c r="BA52" i="118"/>
  <c r="BB52" i="118" s="1"/>
  <c r="AI52" i="118"/>
  <c r="AC52" i="118"/>
  <c r="O54" i="63"/>
  <c r="BR52" i="118"/>
  <c r="AC54" i="64"/>
  <c r="AF54" i="64"/>
  <c r="AQ53" i="63"/>
  <c r="AR53" i="63" s="1"/>
  <c r="BG53" i="126"/>
  <c r="BH53" i="126" s="1"/>
  <c r="BG51" i="17"/>
  <c r="BH51" i="17" s="1"/>
  <c r="AV53" i="110"/>
  <c r="AW53" i="110" s="1"/>
  <c r="AO52" i="118"/>
  <c r="W52" i="118"/>
  <c r="BL52" i="13"/>
  <c r="M52" i="13"/>
  <c r="BN52" i="13"/>
  <c r="BO52" i="13" s="1"/>
  <c r="BQ52" i="13"/>
  <c r="AB52" i="13"/>
  <c r="AH52" i="13"/>
  <c r="AN52" i="13"/>
  <c r="AE52" i="13"/>
  <c r="AK52" i="13"/>
  <c r="V52" i="13"/>
  <c r="R52" i="13"/>
  <c r="T52" i="13" s="1"/>
  <c r="Y52" i="13" s="1"/>
  <c r="I110" i="99"/>
  <c r="I59" i="63"/>
  <c r="BR51" i="17"/>
  <c r="AI51" i="17"/>
  <c r="BB51" i="17"/>
  <c r="M54" i="63"/>
  <c r="Z54" i="63" s="1"/>
  <c r="BN54" i="63"/>
  <c r="BO54" i="63" s="1"/>
  <c r="AH54" i="63"/>
  <c r="AK54" i="63"/>
  <c r="V54" i="63"/>
  <c r="AE54" i="63"/>
  <c r="AB54" i="63"/>
  <c r="AN54" i="63"/>
  <c r="AY54" i="63"/>
  <c r="BG54" i="63" s="1"/>
  <c r="BL54" i="63"/>
  <c r="BQ54" i="63"/>
  <c r="AT54" i="63"/>
  <c r="AV54" i="63" s="1"/>
  <c r="K55" i="63"/>
  <c r="M55" i="135"/>
  <c r="AN55" i="135"/>
  <c r="AO55" i="135" s="1"/>
  <c r="AK55" i="135"/>
  <c r="AL55" i="135" s="1"/>
  <c r="AT55" i="135"/>
  <c r="AB55" i="135"/>
  <c r="AC55" i="135" s="1"/>
  <c r="BG55" i="135"/>
  <c r="BH55" i="135" s="1"/>
  <c r="AV55" i="135"/>
  <c r="AW55" i="135" s="1"/>
  <c r="R55" i="135"/>
  <c r="T55" i="135" s="1"/>
  <c r="AQ55" i="135"/>
  <c r="AR55" i="135" s="1"/>
  <c r="Y55" i="135"/>
  <c r="Z55" i="135" s="1"/>
  <c r="BA55" i="135"/>
  <c r="BB55" i="135" s="1"/>
  <c r="BD55" i="135"/>
  <c r="BE55" i="135" s="1"/>
  <c r="V55" i="135"/>
  <c r="W55" i="135" s="1"/>
  <c r="O55" i="135"/>
  <c r="BQ55" i="135"/>
  <c r="BR55" i="135" s="1"/>
  <c r="P55" i="135"/>
  <c r="AY55" i="135"/>
  <c r="AE55" i="135"/>
  <c r="AF55" i="135" s="1"/>
  <c r="AH55" i="135"/>
  <c r="AI55" i="135" s="1"/>
  <c r="BN55" i="135"/>
  <c r="BO55" i="135" s="1"/>
  <c r="BL55" i="135"/>
  <c r="BD53" i="115"/>
  <c r="BE53" i="115" s="1"/>
  <c r="I60" i="114"/>
  <c r="I56" i="96"/>
  <c r="K55" i="96"/>
  <c r="K53" i="120"/>
  <c r="M52" i="120"/>
  <c r="AH52" i="120"/>
  <c r="AB52" i="120"/>
  <c r="V52" i="120"/>
  <c r="AE52" i="120"/>
  <c r="BN52" i="120"/>
  <c r="BO52" i="120" s="1"/>
  <c r="AY52" i="120"/>
  <c r="BG52" i="120" s="1"/>
  <c r="BQ52" i="120"/>
  <c r="AK52" i="120"/>
  <c r="AN52" i="120"/>
  <c r="R52" i="120"/>
  <c r="T52" i="120" s="1"/>
  <c r="Y52" i="120" s="1"/>
  <c r="BD51" i="66"/>
  <c r="BE51" i="66" s="1"/>
  <c r="BG51" i="66"/>
  <c r="BH51" i="66" s="1"/>
  <c r="AL51" i="66"/>
  <c r="AC51" i="66"/>
  <c r="BD53" i="114"/>
  <c r="BE53" i="114" s="1"/>
  <c r="M56" i="136"/>
  <c r="BN56" i="136"/>
  <c r="BO56" i="136" s="1"/>
  <c r="BL56" i="136"/>
  <c r="R56" i="136"/>
  <c r="T56" i="136" s="1"/>
  <c r="P56" i="136"/>
  <c r="AH56" i="136"/>
  <c r="AI56" i="136" s="1"/>
  <c r="BG56" i="136"/>
  <c r="BH56" i="136" s="1"/>
  <c r="AV56" i="136"/>
  <c r="AW56" i="136" s="1"/>
  <c r="AB56" i="136"/>
  <c r="AC56" i="136" s="1"/>
  <c r="AQ56" i="136"/>
  <c r="AR56" i="136" s="1"/>
  <c r="BQ56" i="136"/>
  <c r="BR56" i="136" s="1"/>
  <c r="AK56" i="136"/>
  <c r="AL56" i="136" s="1"/>
  <c r="V56" i="136"/>
  <c r="W56" i="136" s="1"/>
  <c r="AT56" i="136"/>
  <c r="AE56" i="136"/>
  <c r="AF56" i="136" s="1"/>
  <c r="BD56" i="136"/>
  <c r="BE56" i="136" s="1"/>
  <c r="AY56" i="136"/>
  <c r="Y56" i="136"/>
  <c r="Z56" i="136" s="1"/>
  <c r="BA56" i="136"/>
  <c r="BB56" i="136" s="1"/>
  <c r="AN56" i="136"/>
  <c r="AO56" i="136" s="1"/>
  <c r="O56" i="136"/>
  <c r="K57" i="136"/>
  <c r="BN53" i="15"/>
  <c r="BO53" i="15" s="1"/>
  <c r="BL53" i="15"/>
  <c r="M53" i="15"/>
  <c r="AK53" i="15"/>
  <c r="AE53" i="15"/>
  <c r="AN53" i="15"/>
  <c r="AH53" i="15"/>
  <c r="AB53" i="15"/>
  <c r="V53" i="15"/>
  <c r="BQ53" i="15"/>
  <c r="K54" i="15"/>
  <c r="R54" i="15" s="1"/>
  <c r="T54" i="15" s="1"/>
  <c r="Y54" i="15" s="1"/>
  <c r="AI52" i="15"/>
  <c r="AC53" i="96"/>
  <c r="BG53" i="110"/>
  <c r="BH53" i="110" s="1"/>
  <c r="I61" i="132"/>
  <c r="AQ52" i="118"/>
  <c r="AR52" i="118" s="1"/>
  <c r="BD54" i="64"/>
  <c r="BE54" i="64" s="1"/>
  <c r="AI54" i="64"/>
  <c r="W54" i="64"/>
  <c r="AQ51" i="13"/>
  <c r="AR51" i="13" s="1"/>
  <c r="I61" i="105"/>
  <c r="P53" i="120"/>
  <c r="AH54" i="96"/>
  <c r="V54" i="96"/>
  <c r="AB54" i="96"/>
  <c r="M54" i="96"/>
  <c r="AE54" i="96"/>
  <c r="AT54" i="96"/>
  <c r="BD54" i="96" s="1"/>
  <c r="BG54" i="96"/>
  <c r="BL54" i="96"/>
  <c r="AN54" i="96"/>
  <c r="BN54" i="96"/>
  <c r="BO54" i="96" s="1"/>
  <c r="AK54" i="96"/>
  <c r="BQ54" i="96"/>
  <c r="BA54" i="96"/>
  <c r="R54" i="96"/>
  <c r="T54" i="96" s="1"/>
  <c r="Y54" i="96" s="1"/>
  <c r="I58" i="104"/>
  <c r="I60" i="64"/>
  <c r="AE55" i="64"/>
  <c r="AF55" i="64" s="1"/>
  <c r="AK55" i="64"/>
  <c r="AL55" i="64" s="1"/>
  <c r="BQ55" i="64"/>
  <c r="BR55" i="64" s="1"/>
  <c r="BG55" i="64"/>
  <c r="BH55" i="64" s="1"/>
  <c r="AY55" i="64"/>
  <c r="AV55" i="64"/>
  <c r="AW55" i="64" s="1"/>
  <c r="M55" i="64"/>
  <c r="R55" i="64"/>
  <c r="T55" i="64" s="1"/>
  <c r="BD55" i="64"/>
  <c r="BE55" i="64" s="1"/>
  <c r="AN55" i="64"/>
  <c r="AO55" i="64" s="1"/>
  <c r="AH55" i="64"/>
  <c r="AI55" i="64" s="1"/>
  <c r="AT55" i="64"/>
  <c r="AQ55" i="64"/>
  <c r="AR55" i="64" s="1"/>
  <c r="Y55" i="64"/>
  <c r="Z55" i="64" s="1"/>
  <c r="P55" i="64"/>
  <c r="O55" i="64"/>
  <c r="BA55" i="64"/>
  <c r="BB55" i="64" s="1"/>
  <c r="V55" i="64"/>
  <c r="W55" i="64" s="1"/>
  <c r="BN55" i="64"/>
  <c r="BO55" i="64" s="1"/>
  <c r="BL55" i="64"/>
  <c r="AB55" i="64"/>
  <c r="K56" i="64"/>
  <c r="I54" i="17"/>
  <c r="K53" i="17"/>
  <c r="BN54" i="98"/>
  <c r="BO54" i="98" s="1"/>
  <c r="K55" i="98"/>
  <c r="M54" i="98"/>
  <c r="BK54" i="98"/>
  <c r="BJ54" i="98"/>
  <c r="BL54" i="98" s="1"/>
  <c r="V54" i="98"/>
  <c r="W54" i="98" s="1"/>
  <c r="BD54" i="98"/>
  <c r="BE54" i="98" s="1"/>
  <c r="AT54" i="98"/>
  <c r="AB54" i="98"/>
  <c r="AC54" i="98" s="1"/>
  <c r="AV54" i="98"/>
  <c r="AW54" i="98" s="1"/>
  <c r="AE54" i="98"/>
  <c r="AF54" i="98" s="1"/>
  <c r="BA54" i="98"/>
  <c r="BB54" i="98" s="1"/>
  <c r="O54" i="98"/>
  <c r="AH54" i="98"/>
  <c r="AI54" i="98" s="1"/>
  <c r="BG54" i="98"/>
  <c r="BH54" i="98" s="1"/>
  <c r="R54" i="98"/>
  <c r="T54" i="98" s="1"/>
  <c r="AY54" i="98"/>
  <c r="AQ54" i="98"/>
  <c r="AR54" i="98" s="1"/>
  <c r="Y54" i="98"/>
  <c r="Z54" i="98" s="1"/>
  <c r="AN54" i="98"/>
  <c r="AO54" i="98" s="1"/>
  <c r="P54" i="98"/>
  <c r="AK54" i="98"/>
  <c r="AL54" i="98" s="1"/>
  <c r="BQ54" i="98"/>
  <c r="BR54" i="98" s="1"/>
  <c r="I55" i="101"/>
  <c r="K54" i="101"/>
  <c r="AO51" i="17"/>
  <c r="AC51" i="17"/>
  <c r="AV53" i="63"/>
  <c r="AW53" i="63" s="1"/>
  <c r="I57" i="135"/>
  <c r="K56" i="135"/>
  <c r="AQ53" i="115"/>
  <c r="AR53" i="115" s="1"/>
  <c r="P54" i="96"/>
  <c r="O54" i="114"/>
  <c r="BJ54" i="110"/>
  <c r="BL54" i="110" s="1"/>
  <c r="M54" i="110"/>
  <c r="Z54" i="110" s="1"/>
  <c r="BN54" i="110"/>
  <c r="BO54" i="110" s="1"/>
  <c r="BK54" i="110"/>
  <c r="AE54" i="110"/>
  <c r="AN54" i="110"/>
  <c r="AY54" i="110"/>
  <c r="BG54" i="110" s="1"/>
  <c r="AK54" i="110"/>
  <c r="AB54" i="110"/>
  <c r="V54" i="110"/>
  <c r="AT54" i="110"/>
  <c r="BD54" i="110" s="1"/>
  <c r="AH54" i="110"/>
  <c r="BQ54" i="110"/>
  <c r="O54" i="115"/>
  <c r="AO51" i="120"/>
  <c r="W51" i="120"/>
  <c r="I59" i="126"/>
  <c r="AQ51" i="66"/>
  <c r="AR51" i="66" s="1"/>
  <c r="AI51" i="66"/>
  <c r="I63" i="95"/>
  <c r="I58" i="15"/>
  <c r="BH53" i="96"/>
  <c r="AQ53" i="110"/>
  <c r="AR53" i="110" s="1"/>
  <c r="I54" i="66"/>
  <c r="K53" i="66"/>
  <c r="AQ54" i="64"/>
  <c r="AR54" i="64" s="1"/>
  <c r="AO54" i="64"/>
  <c r="O52" i="13"/>
  <c r="M54" i="115"/>
  <c r="Z54" i="115" s="1"/>
  <c r="BK54" i="115"/>
  <c r="V54" i="115"/>
  <c r="BJ54" i="115"/>
  <c r="BL54" i="115" s="1"/>
  <c r="BN54" i="115"/>
  <c r="BO54" i="115" s="1"/>
  <c r="BQ54" i="115"/>
  <c r="AH54" i="115"/>
  <c r="AN54" i="115"/>
  <c r="AK54" i="115"/>
  <c r="AE54" i="115"/>
  <c r="AB54" i="115"/>
  <c r="AT54" i="115"/>
  <c r="BD54" i="115" s="1"/>
  <c r="AY54" i="115"/>
  <c r="BA54" i="115" s="1"/>
  <c r="P54" i="63"/>
  <c r="P52" i="13"/>
  <c r="I60" i="136"/>
  <c r="Z51" i="17"/>
  <c r="AL51" i="17"/>
  <c r="W51" i="17"/>
  <c r="K53" i="13"/>
  <c r="I54" i="13"/>
  <c r="M58" i="124"/>
  <c r="K59" i="124"/>
  <c r="BN58" i="124"/>
  <c r="BO58" i="124" s="1"/>
  <c r="BJ58" i="124"/>
  <c r="BL58" i="124" s="1"/>
  <c r="BK58" i="124"/>
  <c r="AN58" i="124"/>
  <c r="AO58" i="124" s="1"/>
  <c r="AK58" i="124"/>
  <c r="AL58" i="124" s="1"/>
  <c r="R58" i="124"/>
  <c r="T58" i="124" s="1"/>
  <c r="AV58" i="124"/>
  <c r="AW58" i="124" s="1"/>
  <c r="AQ58" i="124"/>
  <c r="AR58" i="124" s="1"/>
  <c r="AT58" i="124"/>
  <c r="O58" i="124"/>
  <c r="AY58" i="124"/>
  <c r="BD58" i="124"/>
  <c r="BE58" i="124" s="1"/>
  <c r="AB58" i="124"/>
  <c r="AC58" i="124" s="1"/>
  <c r="AH58" i="124"/>
  <c r="AI58" i="124" s="1"/>
  <c r="BQ58" i="124"/>
  <c r="BR58" i="124" s="1"/>
  <c r="AE58" i="124"/>
  <c r="AF58" i="124" s="1"/>
  <c r="V58" i="124"/>
  <c r="W58" i="124" s="1"/>
  <c r="P58" i="124"/>
  <c r="BA58" i="124"/>
  <c r="BB58" i="124" s="1"/>
  <c r="BG58" i="124"/>
  <c r="BH58" i="124" s="1"/>
  <c r="Y58" i="124"/>
  <c r="Z58" i="124" s="1"/>
  <c r="BN56" i="105"/>
  <c r="BO56" i="105" s="1"/>
  <c r="BJ56" i="105"/>
  <c r="BL56" i="105" s="1"/>
  <c r="M56" i="105"/>
  <c r="BK56" i="105"/>
  <c r="BA56" i="105"/>
  <c r="BB56" i="105" s="1"/>
  <c r="Y56" i="105"/>
  <c r="Z56" i="105" s="1"/>
  <c r="V56" i="105"/>
  <c r="W56" i="105" s="1"/>
  <c r="AV56" i="105"/>
  <c r="AW56" i="105" s="1"/>
  <c r="BD56" i="105"/>
  <c r="BE56" i="105" s="1"/>
  <c r="AN56" i="105"/>
  <c r="AO56" i="105" s="1"/>
  <c r="AE56" i="105"/>
  <c r="AF56" i="105" s="1"/>
  <c r="BQ56" i="105"/>
  <c r="BR56" i="105" s="1"/>
  <c r="AB56" i="105"/>
  <c r="AC56" i="105" s="1"/>
  <c r="O56" i="105"/>
  <c r="AY56" i="105"/>
  <c r="AK56" i="105"/>
  <c r="AL56" i="105" s="1"/>
  <c r="AH56" i="105"/>
  <c r="AI56" i="105" s="1"/>
  <c r="R56" i="105"/>
  <c r="T56" i="105" s="1"/>
  <c r="BG56" i="105"/>
  <c r="BH56" i="105" s="1"/>
  <c r="P56" i="105"/>
  <c r="AT56" i="105"/>
  <c r="AQ56" i="105"/>
  <c r="AR56" i="105" s="1"/>
  <c r="K57" i="105"/>
  <c r="O52" i="17"/>
  <c r="I56" i="110"/>
  <c r="K55" i="110"/>
  <c r="O52" i="66"/>
  <c r="Z51" i="120"/>
  <c r="AL51" i="120"/>
  <c r="AI51" i="120"/>
  <c r="AC51" i="120"/>
  <c r="AO51" i="66"/>
  <c r="AF51" i="66"/>
  <c r="BJ54" i="114"/>
  <c r="BL54" i="114" s="1"/>
  <c r="M54" i="114"/>
  <c r="BN54" i="114"/>
  <c r="BO54" i="114" s="1"/>
  <c r="BK54" i="114"/>
  <c r="AE54" i="114"/>
  <c r="AK54" i="114"/>
  <c r="AN54" i="114"/>
  <c r="AB54" i="114"/>
  <c r="AT54" i="114"/>
  <c r="AV54" i="114" s="1"/>
  <c r="AY54" i="114"/>
  <c r="BA54" i="114" s="1"/>
  <c r="AH54" i="114"/>
  <c r="V54" i="114"/>
  <c r="BQ54" i="114"/>
  <c r="K55" i="114"/>
  <c r="R54" i="114"/>
  <c r="T54" i="114" s="1"/>
  <c r="Y54" i="114" s="1"/>
  <c r="O54" i="96"/>
  <c r="AQ52" i="15"/>
  <c r="AR52" i="15" s="1"/>
  <c r="M53" i="118"/>
  <c r="K54" i="118"/>
  <c r="BN53" i="118"/>
  <c r="BO53" i="118" s="1"/>
  <c r="V53" i="118"/>
  <c r="AH53" i="118"/>
  <c r="AE53" i="118"/>
  <c r="AY53" i="118"/>
  <c r="BG53" i="118" s="1"/>
  <c r="AB53" i="118"/>
  <c r="AN53" i="118"/>
  <c r="AK53" i="118"/>
  <c r="BQ53" i="118"/>
  <c r="AT53" i="118"/>
  <c r="AV53" i="118" s="1"/>
  <c r="AK52" i="66"/>
  <c r="M52" i="66"/>
  <c r="AB52" i="66"/>
  <c r="BN52" i="66"/>
  <c r="BO52" i="66" s="1"/>
  <c r="V52" i="66"/>
  <c r="AH52" i="66"/>
  <c r="AE52" i="66"/>
  <c r="AN52" i="66"/>
  <c r="BL52" i="66"/>
  <c r="AY52" i="66"/>
  <c r="BA52" i="66" s="1"/>
  <c r="BQ52" i="66"/>
  <c r="AT52" i="66"/>
  <c r="AV52" i="66" s="1"/>
  <c r="R52" i="66"/>
  <c r="T52" i="66" s="1"/>
  <c r="Y52" i="66" s="1"/>
  <c r="BN52" i="17"/>
  <c r="BO52" i="17" s="1"/>
  <c r="BL52" i="17"/>
  <c r="M52" i="17"/>
  <c r="AH52" i="17"/>
  <c r="AE52" i="17"/>
  <c r="AN52" i="17"/>
  <c r="V52" i="17"/>
  <c r="AK52" i="17"/>
  <c r="AB52" i="17"/>
  <c r="BQ52" i="17"/>
  <c r="R52" i="17"/>
  <c r="T52" i="17" s="1"/>
  <c r="Y52" i="17" s="1"/>
  <c r="I56" i="115"/>
  <c r="K55" i="115"/>
  <c r="M54" i="126"/>
  <c r="BK54" i="126"/>
  <c r="BN54" i="126"/>
  <c r="BO54" i="126" s="1"/>
  <c r="BJ54" i="126"/>
  <c r="BL54" i="126" s="1"/>
  <c r="V54" i="126"/>
  <c r="AY54" i="126"/>
  <c r="BG54" i="126" s="1"/>
  <c r="AK54" i="126"/>
  <c r="AN54" i="126"/>
  <c r="AT54" i="126"/>
  <c r="AV54" i="126" s="1"/>
  <c r="AB54" i="126"/>
  <c r="AE54" i="126"/>
  <c r="BQ54" i="126"/>
  <c r="R54" i="126"/>
  <c r="T54" i="126" s="1"/>
  <c r="Y54" i="126" s="1"/>
  <c r="K55" i="126"/>
  <c r="M53" i="101"/>
  <c r="AY53" i="101"/>
  <c r="V53" i="101"/>
  <c r="W53" i="101" s="1"/>
  <c r="BA53" i="101"/>
  <c r="BB53" i="101" s="1"/>
  <c r="Y53" i="101"/>
  <c r="Z53" i="101" s="1"/>
  <c r="AH53" i="101"/>
  <c r="AI53" i="101" s="1"/>
  <c r="P53" i="101"/>
  <c r="AQ53" i="101"/>
  <c r="AR53" i="101" s="1"/>
  <c r="AK53" i="101"/>
  <c r="AL53" i="101" s="1"/>
  <c r="BD53" i="101"/>
  <c r="BE53" i="101" s="1"/>
  <c r="AN53" i="101"/>
  <c r="AO53" i="101" s="1"/>
  <c r="BQ53" i="101"/>
  <c r="BR53" i="101" s="1"/>
  <c r="AE53" i="101"/>
  <c r="AF53" i="101" s="1"/>
  <c r="AT53" i="101"/>
  <c r="AV53" i="101"/>
  <c r="AW53" i="101" s="1"/>
  <c r="BG53" i="101"/>
  <c r="BH53" i="101" s="1"/>
  <c r="R53" i="101"/>
  <c r="T53" i="101" s="1"/>
  <c r="AB53" i="101"/>
  <c r="AC53" i="101" s="1"/>
  <c r="O53" i="101"/>
  <c r="I69" i="133"/>
  <c r="P54" i="114"/>
  <c r="T53" i="15"/>
  <c r="Y53" i="15" s="1"/>
  <c r="P32" i="98"/>
  <c r="P33" i="98" s="1"/>
  <c r="P34" i="98" s="1"/>
  <c r="P35" i="98" s="1"/>
  <c r="P36" i="98" s="1"/>
  <c r="P37" i="98" s="1"/>
  <c r="P38" i="98" s="1"/>
  <c r="P39" i="98" s="1"/>
  <c r="O28" i="105"/>
  <c r="P32" i="107"/>
  <c r="P33" i="107" s="1"/>
  <c r="P34" i="107" s="1"/>
  <c r="P35" i="107" s="1"/>
  <c r="P36" i="107" s="1"/>
  <c r="P37" i="107" s="1"/>
  <c r="P38" i="107" s="1"/>
  <c r="P39" i="107" s="1"/>
  <c r="P29" i="105"/>
  <c r="V28" i="105"/>
  <c r="W28" i="105" s="1"/>
  <c r="P30" i="99"/>
  <c r="V29" i="99"/>
  <c r="W29" i="99" s="1"/>
  <c r="O31" i="107"/>
  <c r="V31" i="107" s="1"/>
  <c r="W31" i="107" s="1"/>
  <c r="O29" i="99"/>
  <c r="T53" i="118"/>
  <c r="Y53" i="118" s="1"/>
  <c r="R54" i="118"/>
  <c r="T54" i="118" s="1"/>
  <c r="Y54" i="118" s="1"/>
  <c r="W27" i="112"/>
  <c r="O28" i="112"/>
  <c r="P29" i="110"/>
  <c r="W52" i="17" l="1"/>
  <c r="AC52" i="13"/>
  <c r="AL52" i="13"/>
  <c r="P53" i="66"/>
  <c r="AI52" i="66"/>
  <c r="BB52" i="66"/>
  <c r="BR54" i="96"/>
  <c r="W53" i="112"/>
  <c r="AL54" i="114"/>
  <c r="BB54" i="115"/>
  <c r="BB54" i="114"/>
  <c r="AY52" i="155"/>
  <c r="BG52" i="155" s="1"/>
  <c r="BH52" i="155" s="1"/>
  <c r="BG56" i="99"/>
  <c r="BH56" i="99" s="1"/>
  <c r="AE56" i="99"/>
  <c r="AF56" i="99" s="1"/>
  <c r="P56" i="99"/>
  <c r="AN56" i="99"/>
  <c r="AO56" i="99" s="1"/>
  <c r="AH56" i="99"/>
  <c r="AI56" i="99" s="1"/>
  <c r="BA56" i="99"/>
  <c r="BB56" i="99" s="1"/>
  <c r="AQ56" i="99"/>
  <c r="AR56" i="99" s="1"/>
  <c r="BN56" i="99"/>
  <c r="BO56" i="99" s="1"/>
  <c r="V56" i="99"/>
  <c r="W56" i="99" s="1"/>
  <c r="O56" i="99"/>
  <c r="AV56" i="99"/>
  <c r="AW56" i="99" s="1"/>
  <c r="Y56" i="99"/>
  <c r="Z56" i="99" s="1"/>
  <c r="AB56" i="99"/>
  <c r="AC56" i="99" s="1"/>
  <c r="AT56" i="99"/>
  <c r="BQ56" i="99"/>
  <c r="BR56" i="99" s="1"/>
  <c r="K57" i="99"/>
  <c r="AY56" i="99"/>
  <c r="BJ56" i="99"/>
  <c r="BL56" i="99" s="1"/>
  <c r="R56" i="99"/>
  <c r="T56" i="99" s="1"/>
  <c r="M56" i="99"/>
  <c r="AK56" i="99"/>
  <c r="AL56" i="99" s="1"/>
  <c r="BK56" i="99"/>
  <c r="BD56" i="99"/>
  <c r="BE56" i="99" s="1"/>
  <c r="AF52" i="120"/>
  <c r="AY52" i="153"/>
  <c r="BN58" i="107"/>
  <c r="BO58" i="107" s="1"/>
  <c r="AB58" i="107"/>
  <c r="AC58" i="107" s="1"/>
  <c r="Y58" i="107"/>
  <c r="Z58" i="107" s="1"/>
  <c r="O58" i="107"/>
  <c r="BJ58" i="107"/>
  <c r="BL58" i="107" s="1"/>
  <c r="BA58" i="107"/>
  <c r="BB58" i="107" s="1"/>
  <c r="AY58" i="107"/>
  <c r="AN58" i="107"/>
  <c r="AO58" i="107" s="1"/>
  <c r="AE58" i="107"/>
  <c r="AF58" i="107" s="1"/>
  <c r="V58" i="107"/>
  <c r="W58" i="107" s="1"/>
  <c r="P58" i="107"/>
  <c r="BD58" i="107"/>
  <c r="BE58" i="107" s="1"/>
  <c r="R58" i="107"/>
  <c r="T58" i="107" s="1"/>
  <c r="AK58" i="107"/>
  <c r="AL58" i="107" s="1"/>
  <c r="M58" i="107"/>
  <c r="BQ58" i="107"/>
  <c r="BR58" i="107" s="1"/>
  <c r="BG58" i="107"/>
  <c r="BH58" i="107" s="1"/>
  <c r="BK58" i="107"/>
  <c r="AT58" i="107"/>
  <c r="AQ58" i="107"/>
  <c r="AR58" i="107" s="1"/>
  <c r="AV58" i="107"/>
  <c r="AW58" i="107" s="1"/>
  <c r="AH58" i="107"/>
  <c r="AI58" i="107" s="1"/>
  <c r="AY52" i="152"/>
  <c r="BG52" i="152" s="1"/>
  <c r="BH52" i="152" s="1"/>
  <c r="BG56" i="132"/>
  <c r="BH56" i="132" s="1"/>
  <c r="Y56" i="132"/>
  <c r="Z56" i="132" s="1"/>
  <c r="BQ56" i="132"/>
  <c r="BR56" i="132" s="1"/>
  <c r="BA56" i="132"/>
  <c r="BB56" i="132" s="1"/>
  <c r="O56" i="132"/>
  <c r="R56" i="132"/>
  <c r="T56" i="132" s="1"/>
  <c r="AB56" i="132"/>
  <c r="AC56" i="132" s="1"/>
  <c r="AK56" i="132"/>
  <c r="AL56" i="132" s="1"/>
  <c r="P56" i="132"/>
  <c r="AV56" i="132"/>
  <c r="AW56" i="132" s="1"/>
  <c r="BN56" i="132"/>
  <c r="BO56" i="132" s="1"/>
  <c r="AT56" i="132"/>
  <c r="K57" i="132"/>
  <c r="BL56" i="132"/>
  <c r="AN56" i="132"/>
  <c r="AO56" i="132" s="1"/>
  <c r="AE56" i="132"/>
  <c r="AF56" i="132" s="1"/>
  <c r="AQ56" i="132"/>
  <c r="AR56" i="132" s="1"/>
  <c r="AH56" i="132"/>
  <c r="AI56" i="132" s="1"/>
  <c r="V56" i="132"/>
  <c r="W56" i="132" s="1"/>
  <c r="AY56" i="132"/>
  <c r="M56" i="132"/>
  <c r="BD56" i="132"/>
  <c r="BE56" i="132" s="1"/>
  <c r="I60" i="107"/>
  <c r="K59" i="107"/>
  <c r="W54" i="126"/>
  <c r="P54" i="15"/>
  <c r="AL52" i="120"/>
  <c r="AY52" i="17"/>
  <c r="BG52" i="17" s="1"/>
  <c r="BH52" i="17" s="1"/>
  <c r="W54" i="63"/>
  <c r="AY52" i="13"/>
  <c r="BG52" i="13" s="1"/>
  <c r="BH52" i="13" s="1"/>
  <c r="O53" i="95"/>
  <c r="AQ52" i="95"/>
  <c r="AR52" i="95" s="1"/>
  <c r="BR53" i="15"/>
  <c r="AO53" i="15"/>
  <c r="Z52" i="95"/>
  <c r="AW52" i="95"/>
  <c r="T50" i="156"/>
  <c r="Y50" i="156" s="1"/>
  <c r="Z50" i="156" s="1"/>
  <c r="R51" i="156"/>
  <c r="O29" i="156"/>
  <c r="BD89" i="161"/>
  <c r="BE89" i="161" s="1"/>
  <c r="AQ89" i="161"/>
  <c r="AR89" i="161" s="1"/>
  <c r="AK89" i="161"/>
  <c r="AL89" i="161" s="1"/>
  <c r="AE89" i="161"/>
  <c r="AF89" i="161" s="1"/>
  <c r="Y89" i="161"/>
  <c r="Z89" i="161" s="1"/>
  <c r="R89" i="161"/>
  <c r="T89" i="161" s="1"/>
  <c r="AV89" i="161"/>
  <c r="AW89" i="161" s="1"/>
  <c r="P89" i="161"/>
  <c r="BG89" i="161"/>
  <c r="BH89" i="161" s="1"/>
  <c r="BA89" i="161"/>
  <c r="BB89" i="161" s="1"/>
  <c r="AT89" i="161"/>
  <c r="AN89" i="161"/>
  <c r="AO89" i="161" s="1"/>
  <c r="AH89" i="161"/>
  <c r="AI89" i="161" s="1"/>
  <c r="AB89" i="161"/>
  <c r="AC89" i="161" s="1"/>
  <c r="V89" i="161"/>
  <c r="W89" i="161" s="1"/>
  <c r="O89" i="161"/>
  <c r="AY89" i="161"/>
  <c r="BR89" i="161"/>
  <c r="BJ89" i="161"/>
  <c r="BL89" i="161" s="1"/>
  <c r="BN89" i="161"/>
  <c r="BO89" i="161" s="1"/>
  <c r="BK89" i="161"/>
  <c r="M89" i="161"/>
  <c r="I91" i="161"/>
  <c r="K90" i="161"/>
  <c r="BQ90" i="161" s="1"/>
  <c r="BD52" i="95"/>
  <c r="BE52" i="95" s="1"/>
  <c r="AO54" i="110"/>
  <c r="AN54" i="104"/>
  <c r="AO54" i="104" s="1"/>
  <c r="AB54" i="104"/>
  <c r="AC54" i="104" s="1"/>
  <c r="AH54" i="104"/>
  <c r="AI54" i="104" s="1"/>
  <c r="K55" i="104"/>
  <c r="AE54" i="104"/>
  <c r="AF54" i="104" s="1"/>
  <c r="BQ54" i="104"/>
  <c r="BR54" i="104" s="1"/>
  <c r="AV54" i="104"/>
  <c r="AW54" i="104" s="1"/>
  <c r="BK54" i="104"/>
  <c r="BG54" i="104"/>
  <c r="BH54" i="104" s="1"/>
  <c r="Y54" i="104"/>
  <c r="Z54" i="104" s="1"/>
  <c r="BA54" i="104"/>
  <c r="BB54" i="104" s="1"/>
  <c r="M54" i="104"/>
  <c r="P54" i="104"/>
  <c r="AK54" i="104"/>
  <c r="AL54" i="104" s="1"/>
  <c r="R54" i="104"/>
  <c r="T54" i="104" s="1"/>
  <c r="BN54" i="104"/>
  <c r="BO54" i="104" s="1"/>
  <c r="AT54" i="104"/>
  <c r="O54" i="104"/>
  <c r="BD54" i="104"/>
  <c r="BE54" i="104" s="1"/>
  <c r="BJ54" i="104"/>
  <c r="BL54" i="104" s="1"/>
  <c r="AQ54" i="104"/>
  <c r="AR54" i="104" s="1"/>
  <c r="AY54" i="104"/>
  <c r="V54" i="104"/>
  <c r="W54" i="104" s="1"/>
  <c r="I61" i="106"/>
  <c r="AV53" i="112"/>
  <c r="AW53" i="112" s="1"/>
  <c r="BD53" i="112"/>
  <c r="BE53" i="112" s="1"/>
  <c r="BH52" i="95"/>
  <c r="AB59" i="156"/>
  <c r="AC59" i="156" s="1"/>
  <c r="AE59" i="156"/>
  <c r="AF59" i="156" s="1"/>
  <c r="R59" i="156"/>
  <c r="T59" i="156" s="1"/>
  <c r="AH59" i="156"/>
  <c r="AI59" i="156" s="1"/>
  <c r="AV59" i="156"/>
  <c r="AW59" i="156" s="1"/>
  <c r="AQ59" i="156"/>
  <c r="AR59" i="156" s="1"/>
  <c r="AN59" i="156"/>
  <c r="AO59" i="156" s="1"/>
  <c r="BD59" i="156"/>
  <c r="BE59" i="156" s="1"/>
  <c r="BA59" i="156"/>
  <c r="BB59" i="156" s="1"/>
  <c r="P59" i="156"/>
  <c r="AK59" i="156"/>
  <c r="AL59" i="156" s="1"/>
  <c r="O59" i="156"/>
  <c r="BG59" i="156"/>
  <c r="BH59" i="156" s="1"/>
  <c r="Y59" i="156"/>
  <c r="Z59" i="156" s="1"/>
  <c r="BQ59" i="156"/>
  <c r="BR59" i="156" s="1"/>
  <c r="V59" i="156"/>
  <c r="W59" i="156" s="1"/>
  <c r="M59" i="156"/>
  <c r="BN59" i="156"/>
  <c r="BO59" i="156" s="1"/>
  <c r="BL59" i="156"/>
  <c r="BR53" i="112"/>
  <c r="AC52" i="95"/>
  <c r="R54" i="106"/>
  <c r="T54" i="106" s="1"/>
  <c r="AT54" i="106"/>
  <c r="BG54" i="106"/>
  <c r="BH54" i="106" s="1"/>
  <c r="M54" i="106"/>
  <c r="V54" i="106"/>
  <c r="W54" i="106" s="1"/>
  <c r="AE54" i="106"/>
  <c r="AF54" i="106" s="1"/>
  <c r="O54" i="106"/>
  <c r="AV54" i="106"/>
  <c r="AW54" i="106" s="1"/>
  <c r="P54" i="106"/>
  <c r="AY54" i="106"/>
  <c r="BK54" i="106"/>
  <c r="AH54" i="106"/>
  <c r="AI54" i="106" s="1"/>
  <c r="BD54" i="106"/>
  <c r="BE54" i="106" s="1"/>
  <c r="AB54" i="106"/>
  <c r="AC54" i="106" s="1"/>
  <c r="BJ54" i="106"/>
  <c r="BL54" i="106" s="1"/>
  <c r="BA54" i="106"/>
  <c r="BB54" i="106" s="1"/>
  <c r="AN54" i="106"/>
  <c r="AO54" i="106" s="1"/>
  <c r="AQ54" i="106"/>
  <c r="AR54" i="106" s="1"/>
  <c r="BN54" i="106"/>
  <c r="BO54" i="106" s="1"/>
  <c r="Y54" i="106"/>
  <c r="Z54" i="106" s="1"/>
  <c r="AK54" i="106"/>
  <c r="AL54" i="106" s="1"/>
  <c r="BQ54" i="106"/>
  <c r="BR54" i="106" s="1"/>
  <c r="K55" i="106"/>
  <c r="AW53" i="118"/>
  <c r="AL54" i="115"/>
  <c r="W54" i="110"/>
  <c r="BH54" i="63"/>
  <c r="K60" i="156"/>
  <c r="AY60" i="156" s="1"/>
  <c r="I61" i="156"/>
  <c r="AE55" i="129"/>
  <c r="AF55" i="129" s="1"/>
  <c r="V55" i="129"/>
  <c r="W55" i="129" s="1"/>
  <c r="AV55" i="129"/>
  <c r="AW55" i="129" s="1"/>
  <c r="BN55" i="129"/>
  <c r="BO55" i="129" s="1"/>
  <c r="BG55" i="129"/>
  <c r="BH55" i="129" s="1"/>
  <c r="AK55" i="129"/>
  <c r="AL55" i="129" s="1"/>
  <c r="AT55" i="129"/>
  <c r="K56" i="129"/>
  <c r="AH55" i="129"/>
  <c r="AI55" i="129" s="1"/>
  <c r="BA55" i="129"/>
  <c r="BB55" i="129" s="1"/>
  <c r="AB55" i="129"/>
  <c r="AC55" i="129" s="1"/>
  <c r="M55" i="129"/>
  <c r="O55" i="129"/>
  <c r="AQ55" i="129"/>
  <c r="AR55" i="129" s="1"/>
  <c r="Y55" i="129"/>
  <c r="Z55" i="129" s="1"/>
  <c r="R55" i="129"/>
  <c r="T55" i="129" s="1"/>
  <c r="AN55" i="129"/>
  <c r="AO55" i="129" s="1"/>
  <c r="AY55" i="129"/>
  <c r="BL55" i="129"/>
  <c r="BQ55" i="129"/>
  <c r="BR55" i="129" s="1"/>
  <c r="P55" i="129"/>
  <c r="BD55" i="129"/>
  <c r="BE55" i="129" s="1"/>
  <c r="AO53" i="112"/>
  <c r="BG53" i="112"/>
  <c r="BH53" i="112" s="1"/>
  <c r="BA53" i="112"/>
  <c r="BB53" i="112" s="1"/>
  <c r="BG53" i="95"/>
  <c r="AK53" i="95"/>
  <c r="AT53" i="95"/>
  <c r="AV53" i="95" s="1"/>
  <c r="BA53" i="95"/>
  <c r="M53" i="95"/>
  <c r="AH53" i="95"/>
  <c r="BQ53" i="95"/>
  <c r="BN53" i="95"/>
  <c r="BO53" i="95" s="1"/>
  <c r="AE53" i="95"/>
  <c r="K54" i="95"/>
  <c r="BL53" i="95"/>
  <c r="AN53" i="95"/>
  <c r="AB53" i="95"/>
  <c r="V53" i="95"/>
  <c r="R53" i="95"/>
  <c r="T53" i="95" s="1"/>
  <c r="Y53" i="95" s="1"/>
  <c r="BB52" i="95"/>
  <c r="AL52" i="95"/>
  <c r="Z53" i="118"/>
  <c r="AI53" i="118"/>
  <c r="BJ54" i="112"/>
  <c r="BL54" i="112" s="1"/>
  <c r="AT54" i="112"/>
  <c r="AB54" i="112"/>
  <c r="AN54" i="112"/>
  <c r="K55" i="112"/>
  <c r="AE54" i="112"/>
  <c r="AH54" i="112"/>
  <c r="BK54" i="112"/>
  <c r="V54" i="112"/>
  <c r="BQ54" i="112"/>
  <c r="BN54" i="112"/>
  <c r="BO54" i="112" s="1"/>
  <c r="AK54" i="112"/>
  <c r="R54" i="112"/>
  <c r="T54" i="112" s="1"/>
  <c r="Y54" i="112" s="1"/>
  <c r="M54" i="112"/>
  <c r="AY54" i="112"/>
  <c r="AF52" i="95"/>
  <c r="AI52" i="95"/>
  <c r="Z53" i="112"/>
  <c r="AL53" i="112"/>
  <c r="W52" i="95"/>
  <c r="AO53" i="118"/>
  <c r="BN57" i="133"/>
  <c r="BO57" i="133" s="1"/>
  <c r="BD57" i="133"/>
  <c r="BE57" i="133" s="1"/>
  <c r="AH57" i="133"/>
  <c r="AI57" i="133" s="1"/>
  <c r="BA57" i="133"/>
  <c r="BB57" i="133" s="1"/>
  <c r="BL57" i="133"/>
  <c r="AN57" i="133"/>
  <c r="AO57" i="133" s="1"/>
  <c r="O57" i="133"/>
  <c r="AK57" i="133"/>
  <c r="AL57" i="133" s="1"/>
  <c r="M57" i="133"/>
  <c r="BG57" i="133"/>
  <c r="BH57" i="133" s="1"/>
  <c r="Y57" i="133"/>
  <c r="Z57" i="133" s="1"/>
  <c r="P57" i="133"/>
  <c r="AY57" i="133"/>
  <c r="AB57" i="133"/>
  <c r="AC57" i="133" s="1"/>
  <c r="AE57" i="133"/>
  <c r="AF57" i="133" s="1"/>
  <c r="K58" i="133"/>
  <c r="R57" i="133"/>
  <c r="T57" i="133" s="1"/>
  <c r="AV57" i="133"/>
  <c r="AW57" i="133" s="1"/>
  <c r="AQ57" i="133"/>
  <c r="AR57" i="133" s="1"/>
  <c r="BQ57" i="133"/>
  <c r="BR57" i="133" s="1"/>
  <c r="AT57" i="133"/>
  <c r="V57" i="133"/>
  <c r="W57" i="133" s="1"/>
  <c r="AC53" i="112"/>
  <c r="AQ53" i="112"/>
  <c r="AR53" i="112" s="1"/>
  <c r="AI53" i="112"/>
  <c r="AF53" i="112"/>
  <c r="BR52" i="95"/>
  <c r="AO52" i="95"/>
  <c r="AT47" i="150"/>
  <c r="AT47" i="156"/>
  <c r="BA51" i="15"/>
  <c r="BB51" i="15" s="1"/>
  <c r="BG51" i="15"/>
  <c r="BH51" i="15" s="1"/>
  <c r="BA52" i="150"/>
  <c r="BB52" i="150" s="1"/>
  <c r="BG52" i="150"/>
  <c r="BH52" i="150" s="1"/>
  <c r="BA52" i="151"/>
  <c r="BB52" i="151" s="1"/>
  <c r="BG52" i="151"/>
  <c r="BH52" i="151" s="1"/>
  <c r="BG52" i="153"/>
  <c r="BH52" i="153" s="1"/>
  <c r="BA52" i="153"/>
  <c r="BB52" i="153" s="1"/>
  <c r="BG51" i="149"/>
  <c r="BH51" i="149" s="1"/>
  <c r="BA51" i="149"/>
  <c r="BB51" i="149" s="1"/>
  <c r="BG51" i="156"/>
  <c r="BH51" i="156" s="1"/>
  <c r="BA51" i="156"/>
  <c r="BB51" i="156" s="1"/>
  <c r="A57" i="7"/>
  <c r="AY53" i="150" s="1"/>
  <c r="AY52" i="156"/>
  <c r="AY52" i="15"/>
  <c r="BL55" i="130"/>
  <c r="K56" i="130"/>
  <c r="BN55" i="130"/>
  <c r="BO55" i="130" s="1"/>
  <c r="M55" i="130"/>
  <c r="O55" i="130"/>
  <c r="AT55" i="130"/>
  <c r="AQ55" i="130"/>
  <c r="AR55" i="130" s="1"/>
  <c r="AY55" i="130"/>
  <c r="P55" i="130"/>
  <c r="AB55" i="130"/>
  <c r="AC55" i="130" s="1"/>
  <c r="AV55" i="130"/>
  <c r="AW55" i="130" s="1"/>
  <c r="AE55" i="130"/>
  <c r="AF55" i="130" s="1"/>
  <c r="BQ55" i="130"/>
  <c r="BR55" i="130" s="1"/>
  <c r="AK55" i="130"/>
  <c r="AL55" i="130" s="1"/>
  <c r="AN55" i="130"/>
  <c r="AO55" i="130" s="1"/>
  <c r="Y55" i="130"/>
  <c r="Z55" i="130" s="1"/>
  <c r="BA55" i="130"/>
  <c r="BB55" i="130" s="1"/>
  <c r="AH55" i="130"/>
  <c r="AI55" i="130" s="1"/>
  <c r="R55" i="130"/>
  <c r="T55" i="130" s="1"/>
  <c r="V55" i="130"/>
  <c r="W55" i="130" s="1"/>
  <c r="BG55" i="130"/>
  <c r="BH55" i="130" s="1"/>
  <c r="BD55" i="130"/>
  <c r="BE55" i="130" s="1"/>
  <c r="AV46" i="156"/>
  <c r="AW46" i="156" s="1"/>
  <c r="BD46" i="156"/>
  <c r="BE46" i="156" s="1"/>
  <c r="AV46" i="150"/>
  <c r="AW46" i="150" s="1"/>
  <c r="BD46" i="150"/>
  <c r="BE46" i="150" s="1"/>
  <c r="BR54" i="126"/>
  <c r="AO54" i="126"/>
  <c r="V28" i="155"/>
  <c r="W28" i="155" s="1"/>
  <c r="P29" i="155"/>
  <c r="P30" i="155" s="1"/>
  <c r="P31" i="155" s="1"/>
  <c r="P32" i="155" s="1"/>
  <c r="P33" i="155" s="1"/>
  <c r="P34" i="155" s="1"/>
  <c r="P35" i="155" s="1"/>
  <c r="P36" i="155" s="1"/>
  <c r="P37" i="155" s="1"/>
  <c r="P38" i="155" s="1"/>
  <c r="P39" i="155" s="1"/>
  <c r="P40" i="155" s="1"/>
  <c r="P41" i="155" s="1"/>
  <c r="P42" i="155" s="1"/>
  <c r="P43" i="155" s="1"/>
  <c r="P44" i="155" s="1"/>
  <c r="P45" i="155" s="1"/>
  <c r="P46" i="155" s="1"/>
  <c r="P47" i="155" s="1"/>
  <c r="P48" i="155" s="1"/>
  <c r="P49" i="155" s="1"/>
  <c r="P50" i="155" s="1"/>
  <c r="P51" i="155" s="1"/>
  <c r="P52" i="155" s="1"/>
  <c r="P53" i="155" s="1"/>
  <c r="P54" i="155" s="1"/>
  <c r="BR54" i="110"/>
  <c r="Z52" i="13"/>
  <c r="T49" i="155"/>
  <c r="Y49" i="155" s="1"/>
  <c r="Z49" i="155" s="1"/>
  <c r="R50" i="155"/>
  <c r="O28" i="155"/>
  <c r="O54" i="15"/>
  <c r="M60" i="155"/>
  <c r="BQ60" i="155"/>
  <c r="BR60" i="155" s="1"/>
  <c r="O60" i="155"/>
  <c r="V60" i="155"/>
  <c r="W60" i="155" s="1"/>
  <c r="AB60" i="155"/>
  <c r="AC60" i="155" s="1"/>
  <c r="AH60" i="155"/>
  <c r="AI60" i="155" s="1"/>
  <c r="AN60" i="155"/>
  <c r="AO60" i="155" s="1"/>
  <c r="BA60" i="155"/>
  <c r="BB60" i="155" s="1"/>
  <c r="BG60" i="155"/>
  <c r="BH60" i="155" s="1"/>
  <c r="P60" i="155"/>
  <c r="AV60" i="155"/>
  <c r="AW60" i="155" s="1"/>
  <c r="BN60" i="155"/>
  <c r="BO60" i="155" s="1"/>
  <c r="AK60" i="155"/>
  <c r="AL60" i="155" s="1"/>
  <c r="R60" i="155"/>
  <c r="T60" i="155" s="1"/>
  <c r="AQ60" i="155"/>
  <c r="AR60" i="155" s="1"/>
  <c r="AE60" i="155"/>
  <c r="AF60" i="155" s="1"/>
  <c r="BD60" i="155"/>
  <c r="BE60" i="155" s="1"/>
  <c r="Y60" i="155"/>
  <c r="Z60" i="155" s="1"/>
  <c r="BL60" i="155"/>
  <c r="I62" i="155"/>
  <c r="K61" i="155"/>
  <c r="AV46" i="120"/>
  <c r="AW46" i="120" s="1"/>
  <c r="BD46" i="120"/>
  <c r="BE46" i="120" s="1"/>
  <c r="AV46" i="13"/>
  <c r="AW46" i="13" s="1"/>
  <c r="BD46" i="13"/>
  <c r="BE46" i="13" s="1"/>
  <c r="BD46" i="17"/>
  <c r="BE46" i="17" s="1"/>
  <c r="AV46" i="17"/>
  <c r="AW46" i="17" s="1"/>
  <c r="AV47" i="15"/>
  <c r="AW47" i="15" s="1"/>
  <c r="BD47" i="15"/>
  <c r="BE47" i="15" s="1"/>
  <c r="A49" i="58"/>
  <c r="AT47" i="17"/>
  <c r="AT47" i="120"/>
  <c r="AT47" i="13"/>
  <c r="I65" i="153"/>
  <c r="O60" i="153"/>
  <c r="P60" i="153"/>
  <c r="AB60" i="153"/>
  <c r="AC60" i="153" s="1"/>
  <c r="AK60" i="153"/>
  <c r="AL60" i="153" s="1"/>
  <c r="BQ60" i="153"/>
  <c r="BR60" i="153" s="1"/>
  <c r="V60" i="153"/>
  <c r="W60" i="153" s="1"/>
  <c r="AE60" i="153"/>
  <c r="AF60" i="153" s="1"/>
  <c r="BA60" i="153"/>
  <c r="BB60" i="153" s="1"/>
  <c r="BG60" i="153"/>
  <c r="BH60" i="153" s="1"/>
  <c r="M60" i="153"/>
  <c r="Y60" i="153"/>
  <c r="Z60" i="153" s="1"/>
  <c r="AN60" i="153"/>
  <c r="AO60" i="153" s="1"/>
  <c r="AV60" i="153"/>
  <c r="AW60" i="153" s="1"/>
  <c r="BN60" i="153"/>
  <c r="BO60" i="153" s="1"/>
  <c r="BD60" i="153"/>
  <c r="BE60" i="153" s="1"/>
  <c r="AH60" i="153"/>
  <c r="AI60" i="153" s="1"/>
  <c r="AQ60" i="153"/>
  <c r="AR60" i="153" s="1"/>
  <c r="R60" i="153"/>
  <c r="T60" i="153" s="1"/>
  <c r="BL60" i="153"/>
  <c r="K61" i="153"/>
  <c r="O53" i="120"/>
  <c r="I69" i="152"/>
  <c r="O60" i="152"/>
  <c r="V60" i="152"/>
  <c r="W60" i="152" s="1"/>
  <c r="AB60" i="152"/>
  <c r="AC60" i="152" s="1"/>
  <c r="AH60" i="152"/>
  <c r="AI60" i="152" s="1"/>
  <c r="AN60" i="152"/>
  <c r="AO60" i="152" s="1"/>
  <c r="BA60" i="152"/>
  <c r="BB60" i="152" s="1"/>
  <c r="BG60" i="152"/>
  <c r="BH60" i="152" s="1"/>
  <c r="AK60" i="152"/>
  <c r="AL60" i="152" s="1"/>
  <c r="BQ60" i="152"/>
  <c r="BR60" i="152" s="1"/>
  <c r="M60" i="152"/>
  <c r="AE60" i="152"/>
  <c r="AF60" i="152" s="1"/>
  <c r="AV60" i="152"/>
  <c r="AW60" i="152" s="1"/>
  <c r="BD60" i="152"/>
  <c r="BE60" i="152" s="1"/>
  <c r="P60" i="152"/>
  <c r="Y60" i="152"/>
  <c r="Z60" i="152" s="1"/>
  <c r="BN60" i="152"/>
  <c r="BO60" i="152" s="1"/>
  <c r="AQ60" i="152"/>
  <c r="AR60" i="152" s="1"/>
  <c r="R60" i="152"/>
  <c r="T60" i="152" s="1"/>
  <c r="BL60" i="152"/>
  <c r="K61" i="152"/>
  <c r="AQ54" i="110"/>
  <c r="AR54" i="110" s="1"/>
  <c r="BG54" i="114"/>
  <c r="BH54" i="114" s="1"/>
  <c r="I60" i="151"/>
  <c r="K59" i="151"/>
  <c r="BD58" i="151"/>
  <c r="BE58" i="151" s="1"/>
  <c r="AQ58" i="151"/>
  <c r="AR58" i="151" s="1"/>
  <c r="AK58" i="151"/>
  <c r="AL58" i="151" s="1"/>
  <c r="AE58" i="151"/>
  <c r="AF58" i="151" s="1"/>
  <c r="Y58" i="151"/>
  <c r="Z58" i="151" s="1"/>
  <c r="R58" i="151"/>
  <c r="T58" i="151" s="1"/>
  <c r="AV58" i="151"/>
  <c r="AW58" i="151" s="1"/>
  <c r="P58" i="151"/>
  <c r="BG58" i="151"/>
  <c r="BH58" i="151" s="1"/>
  <c r="BA58" i="151"/>
  <c r="BB58" i="151" s="1"/>
  <c r="AT58" i="151"/>
  <c r="AN58" i="151"/>
  <c r="AO58" i="151" s="1"/>
  <c r="AH58" i="151"/>
  <c r="AI58" i="151" s="1"/>
  <c r="AB58" i="151"/>
  <c r="AC58" i="151" s="1"/>
  <c r="V58" i="151"/>
  <c r="W58" i="151" s="1"/>
  <c r="O58" i="151"/>
  <c r="BQ58" i="151"/>
  <c r="BR58" i="151" s="1"/>
  <c r="AY58" i="151"/>
  <c r="M58" i="151"/>
  <c r="BN58" i="151"/>
  <c r="BO58" i="151" s="1"/>
  <c r="BL58" i="151"/>
  <c r="BD57" i="150"/>
  <c r="BE57" i="150" s="1"/>
  <c r="AQ57" i="150"/>
  <c r="AR57" i="150" s="1"/>
  <c r="AK57" i="150"/>
  <c r="AL57" i="150" s="1"/>
  <c r="AE57" i="150"/>
  <c r="AF57" i="150" s="1"/>
  <c r="BG57" i="150"/>
  <c r="BH57" i="150" s="1"/>
  <c r="AY57" i="150"/>
  <c r="AH57" i="150"/>
  <c r="AI57" i="150" s="1"/>
  <c r="AV57" i="150"/>
  <c r="AW57" i="150" s="1"/>
  <c r="AN57" i="150"/>
  <c r="AO57" i="150" s="1"/>
  <c r="Y57" i="150"/>
  <c r="Z57" i="150" s="1"/>
  <c r="R57" i="150"/>
  <c r="T57" i="150" s="1"/>
  <c r="AT57" i="150"/>
  <c r="P57" i="150"/>
  <c r="AB57" i="150"/>
  <c r="AC57" i="150" s="1"/>
  <c r="BA57" i="150"/>
  <c r="BB57" i="150" s="1"/>
  <c r="V57" i="150"/>
  <c r="W57" i="150" s="1"/>
  <c r="O57" i="150"/>
  <c r="BQ57" i="150"/>
  <c r="BR57" i="150" s="1"/>
  <c r="BN57" i="150"/>
  <c r="BO57" i="150" s="1"/>
  <c r="M57" i="150"/>
  <c r="BL57" i="150"/>
  <c r="K58" i="150"/>
  <c r="I61" i="150"/>
  <c r="AV59" i="149"/>
  <c r="AW59" i="149" s="1"/>
  <c r="P59" i="149"/>
  <c r="BQ59" i="149"/>
  <c r="BR59" i="149" s="1"/>
  <c r="AY59" i="149"/>
  <c r="AK59" i="149"/>
  <c r="AL59" i="149" s="1"/>
  <c r="Y59" i="149"/>
  <c r="Z59" i="149" s="1"/>
  <c r="BG59" i="149"/>
  <c r="BH59" i="149" s="1"/>
  <c r="AH59" i="149"/>
  <c r="AI59" i="149" s="1"/>
  <c r="V59" i="149"/>
  <c r="W59" i="149" s="1"/>
  <c r="BD59" i="149"/>
  <c r="BE59" i="149" s="1"/>
  <c r="AQ59" i="149"/>
  <c r="AR59" i="149" s="1"/>
  <c r="AE59" i="149"/>
  <c r="AF59" i="149" s="1"/>
  <c r="R59" i="149"/>
  <c r="T59" i="149" s="1"/>
  <c r="BA59" i="149"/>
  <c r="BB59" i="149" s="1"/>
  <c r="AN59" i="149"/>
  <c r="AO59" i="149" s="1"/>
  <c r="AB59" i="149"/>
  <c r="AC59" i="149" s="1"/>
  <c r="O59" i="149"/>
  <c r="M59" i="149"/>
  <c r="BN59" i="149"/>
  <c r="BO59" i="149" s="1"/>
  <c r="BL59" i="149"/>
  <c r="I61" i="149"/>
  <c r="K60" i="149"/>
  <c r="AT60" i="149" s="1"/>
  <c r="AW54" i="63"/>
  <c r="O32" i="147"/>
  <c r="BG58" i="147"/>
  <c r="BH58" i="147" s="1"/>
  <c r="BA58" i="147"/>
  <c r="BB58" i="147" s="1"/>
  <c r="AT58" i="147"/>
  <c r="AN58" i="147"/>
  <c r="AO58" i="147" s="1"/>
  <c r="AH58" i="147"/>
  <c r="AI58" i="147" s="1"/>
  <c r="AB58" i="147"/>
  <c r="AC58" i="147" s="1"/>
  <c r="V58" i="147"/>
  <c r="W58" i="147" s="1"/>
  <c r="O58" i="147"/>
  <c r="BQ58" i="147"/>
  <c r="BR58" i="147" s="1"/>
  <c r="AY58" i="147"/>
  <c r="BD58" i="147"/>
  <c r="BE58" i="147" s="1"/>
  <c r="AQ58" i="147"/>
  <c r="AR58" i="147" s="1"/>
  <c r="AE58" i="147"/>
  <c r="AF58" i="147" s="1"/>
  <c r="R58" i="147"/>
  <c r="T58" i="147" s="1"/>
  <c r="P58" i="147"/>
  <c r="AV58" i="147"/>
  <c r="AW58" i="147" s="1"/>
  <c r="AK58" i="147"/>
  <c r="AL58" i="147" s="1"/>
  <c r="Y58" i="147"/>
  <c r="Z58" i="147" s="1"/>
  <c r="BK58" i="147"/>
  <c r="BJ58" i="147"/>
  <c r="BL58" i="147" s="1"/>
  <c r="BN58" i="147"/>
  <c r="BO58" i="147" s="1"/>
  <c r="M58" i="147"/>
  <c r="V32" i="147"/>
  <c r="W32" i="147" s="1"/>
  <c r="P33" i="147"/>
  <c r="I60" i="147"/>
  <c r="K59" i="147"/>
  <c r="BD57" i="146"/>
  <c r="BE57" i="146" s="1"/>
  <c r="AQ57" i="146"/>
  <c r="AR57" i="146" s="1"/>
  <c r="AK57" i="146"/>
  <c r="AL57" i="146" s="1"/>
  <c r="AE57" i="146"/>
  <c r="AF57" i="146" s="1"/>
  <c r="Y57" i="146"/>
  <c r="Z57" i="146" s="1"/>
  <c r="R57" i="146"/>
  <c r="T57" i="146" s="1"/>
  <c r="BG57" i="146"/>
  <c r="BH57" i="146" s="1"/>
  <c r="BA57" i="146"/>
  <c r="BB57" i="146" s="1"/>
  <c r="AT57" i="146"/>
  <c r="AN57" i="146"/>
  <c r="AO57" i="146" s="1"/>
  <c r="AH57" i="146"/>
  <c r="AI57" i="146" s="1"/>
  <c r="AB57" i="146"/>
  <c r="AC57" i="146" s="1"/>
  <c r="V57" i="146"/>
  <c r="W57" i="146" s="1"/>
  <c r="O57" i="146"/>
  <c r="P57" i="146"/>
  <c r="AY57" i="146"/>
  <c r="AV57" i="146"/>
  <c r="AW57" i="146" s="1"/>
  <c r="BQ57" i="146"/>
  <c r="BR57" i="146" s="1"/>
  <c r="BN57" i="146"/>
  <c r="BO57" i="146" s="1"/>
  <c r="BJ57" i="146"/>
  <c r="BL57" i="146" s="1"/>
  <c r="BK57" i="146"/>
  <c r="M57" i="146"/>
  <c r="V29" i="146"/>
  <c r="P30" i="146"/>
  <c r="K58" i="146"/>
  <c r="I59" i="146"/>
  <c r="AQ54" i="63"/>
  <c r="AR54" i="63" s="1"/>
  <c r="Z53" i="15"/>
  <c r="BA53" i="118"/>
  <c r="BB53" i="118" s="1"/>
  <c r="AQ53" i="15"/>
  <c r="AR53" i="15" s="1"/>
  <c r="AO52" i="13"/>
  <c r="BA52" i="120"/>
  <c r="BB52" i="120" s="1"/>
  <c r="Z54" i="126"/>
  <c r="AW54" i="126"/>
  <c r="AW52" i="66"/>
  <c r="AI53" i="15"/>
  <c r="BA54" i="110"/>
  <c r="BB54" i="110" s="1"/>
  <c r="BH53" i="118"/>
  <c r="AF54" i="115"/>
  <c r="BR54" i="115"/>
  <c r="AV54" i="110"/>
  <c r="AW54" i="110" s="1"/>
  <c r="BB54" i="96"/>
  <c r="AO54" i="96"/>
  <c r="AF54" i="96"/>
  <c r="AQ52" i="120"/>
  <c r="AR52" i="120" s="1"/>
  <c r="BR54" i="114"/>
  <c r="AW54" i="114"/>
  <c r="BE54" i="96"/>
  <c r="W52" i="13"/>
  <c r="AI52" i="13"/>
  <c r="Z54" i="114"/>
  <c r="W54" i="114"/>
  <c r="AC54" i="114"/>
  <c r="BH52" i="120"/>
  <c r="AQ54" i="126"/>
  <c r="AR54" i="126" s="1"/>
  <c r="BR53" i="118"/>
  <c r="AC53" i="118"/>
  <c r="W53" i="118"/>
  <c r="AI54" i="114"/>
  <c r="AO54" i="114"/>
  <c r="BH54" i="110"/>
  <c r="AC54" i="110"/>
  <c r="AF54" i="63"/>
  <c r="AQ52" i="17"/>
  <c r="AR52" i="17" s="1"/>
  <c r="BH54" i="126"/>
  <c r="BR52" i="66"/>
  <c r="BG54" i="115"/>
  <c r="BH54" i="115" s="1"/>
  <c r="BD54" i="63"/>
  <c r="BE54" i="63" s="1"/>
  <c r="AF52" i="13"/>
  <c r="BR52" i="13"/>
  <c r="AF54" i="110"/>
  <c r="AV54" i="96"/>
  <c r="AW54" i="96" s="1"/>
  <c r="Z52" i="66"/>
  <c r="AL53" i="118"/>
  <c r="AF53" i="118"/>
  <c r="AQ54" i="114"/>
  <c r="AR54" i="114" s="1"/>
  <c r="BE54" i="115"/>
  <c r="AO54" i="115"/>
  <c r="AI54" i="110"/>
  <c r="AL54" i="110"/>
  <c r="AC55" i="64"/>
  <c r="W53" i="15"/>
  <c r="AF53" i="15"/>
  <c r="AC52" i="120"/>
  <c r="BR54" i="63"/>
  <c r="AF54" i="114"/>
  <c r="AC54" i="115"/>
  <c r="AI54" i="115"/>
  <c r="W54" i="115"/>
  <c r="BE54" i="110"/>
  <c r="Z54" i="96"/>
  <c r="AL54" i="96"/>
  <c r="BH54" i="96"/>
  <c r="AC54" i="96"/>
  <c r="Z52" i="120"/>
  <c r="AO52" i="120"/>
  <c r="BA54" i="126"/>
  <c r="BB54" i="126" s="1"/>
  <c r="BD54" i="126"/>
  <c r="BE54" i="126" s="1"/>
  <c r="I57" i="115"/>
  <c r="K56" i="115"/>
  <c r="AO52" i="17"/>
  <c r="BD52" i="66"/>
  <c r="BE52" i="66" s="1"/>
  <c r="BG52" i="66"/>
  <c r="BH52" i="66" s="1"/>
  <c r="W52" i="66"/>
  <c r="AL52" i="66"/>
  <c r="K55" i="118"/>
  <c r="M54" i="118"/>
  <c r="Z54" i="118" s="1"/>
  <c r="BN54" i="118"/>
  <c r="BO54" i="118" s="1"/>
  <c r="V54" i="118"/>
  <c r="AH54" i="118"/>
  <c r="AB54" i="118"/>
  <c r="AE54" i="118"/>
  <c r="AY54" i="118"/>
  <c r="BA54" i="118" s="1"/>
  <c r="AN54" i="118"/>
  <c r="AK54" i="118"/>
  <c r="BQ54" i="118"/>
  <c r="AT54" i="118"/>
  <c r="AV54" i="118" s="1"/>
  <c r="O53" i="66"/>
  <c r="O53" i="17"/>
  <c r="K54" i="13"/>
  <c r="I55" i="13"/>
  <c r="I61" i="136"/>
  <c r="O53" i="13"/>
  <c r="I55" i="66"/>
  <c r="K54" i="66"/>
  <c r="I64" i="95"/>
  <c r="I60" i="126"/>
  <c r="I58" i="135"/>
  <c r="K57" i="135"/>
  <c r="I56" i="101"/>
  <c r="K55" i="101"/>
  <c r="AQ54" i="96"/>
  <c r="AR54" i="96" s="1"/>
  <c r="I62" i="132"/>
  <c r="AB55" i="96"/>
  <c r="AH55" i="96"/>
  <c r="AI55" i="96" s="1"/>
  <c r="BQ55" i="96"/>
  <c r="BR55" i="96" s="1"/>
  <c r="AN55" i="96"/>
  <c r="AO55" i="96" s="1"/>
  <c r="AQ55" i="96"/>
  <c r="AR55" i="96" s="1"/>
  <c r="BA55" i="96"/>
  <c r="BB55" i="96" s="1"/>
  <c r="BN55" i="96"/>
  <c r="BO55" i="96" s="1"/>
  <c r="M55" i="96"/>
  <c r="BD55" i="96"/>
  <c r="BE55" i="96" s="1"/>
  <c r="AT55" i="96"/>
  <c r="AE55" i="96"/>
  <c r="AF55" i="96" s="1"/>
  <c r="AK55" i="96"/>
  <c r="AL55" i="96" s="1"/>
  <c r="R55" i="96"/>
  <c r="T55" i="96" s="1"/>
  <c r="P55" i="96"/>
  <c r="AV55" i="96"/>
  <c r="AW55" i="96" s="1"/>
  <c r="BG55" i="96"/>
  <c r="BH55" i="96" s="1"/>
  <c r="V55" i="96"/>
  <c r="W55" i="96" s="1"/>
  <c r="Y55" i="96"/>
  <c r="Z55" i="96" s="1"/>
  <c r="O55" i="96"/>
  <c r="BL55" i="96"/>
  <c r="I61" i="114"/>
  <c r="AQ52" i="13"/>
  <c r="AR52" i="13" s="1"/>
  <c r="I70" i="133"/>
  <c r="M55" i="126"/>
  <c r="BJ55" i="126"/>
  <c r="BL55" i="126" s="1"/>
  <c r="BN55" i="126"/>
  <c r="BO55" i="126" s="1"/>
  <c r="BK55" i="126"/>
  <c r="AH55" i="126"/>
  <c r="AI55" i="126" s="1"/>
  <c r="BD55" i="126"/>
  <c r="BE55" i="126" s="1"/>
  <c r="AN55" i="126"/>
  <c r="AO55" i="126" s="1"/>
  <c r="AT55" i="126"/>
  <c r="AE55" i="126"/>
  <c r="AF55" i="126" s="1"/>
  <c r="AV55" i="126"/>
  <c r="AW55" i="126" s="1"/>
  <c r="BG55" i="126"/>
  <c r="BH55" i="126" s="1"/>
  <c r="AQ55" i="126"/>
  <c r="AR55" i="126" s="1"/>
  <c r="R55" i="126"/>
  <c r="T55" i="126" s="1"/>
  <c r="AY55" i="126"/>
  <c r="AB55" i="126"/>
  <c r="V55" i="126"/>
  <c r="W55" i="126" s="1"/>
  <c r="O55" i="126"/>
  <c r="AK55" i="126"/>
  <c r="AL55" i="126" s="1"/>
  <c r="Y55" i="126"/>
  <c r="Z55" i="126" s="1"/>
  <c r="BQ55" i="126"/>
  <c r="BR55" i="126" s="1"/>
  <c r="P55" i="126"/>
  <c r="BA55" i="126"/>
  <c r="BB55" i="126" s="1"/>
  <c r="K56" i="126"/>
  <c r="AF54" i="126"/>
  <c r="AL54" i="126"/>
  <c r="Z52" i="17"/>
  <c r="AC52" i="17"/>
  <c r="AF52" i="17"/>
  <c r="AO52" i="66"/>
  <c r="BD53" i="118"/>
  <c r="BE53" i="118" s="1"/>
  <c r="AQ53" i="118"/>
  <c r="AR53" i="118" s="1"/>
  <c r="BD54" i="114"/>
  <c r="BE54" i="114" s="1"/>
  <c r="M55" i="110"/>
  <c r="BN55" i="110"/>
  <c r="BO55" i="110" s="1"/>
  <c r="BK55" i="110"/>
  <c r="BJ55" i="110"/>
  <c r="BL55" i="110" s="1"/>
  <c r="R55" i="110"/>
  <c r="T55" i="110" s="1"/>
  <c r="Y55" i="110"/>
  <c r="Z55" i="110" s="1"/>
  <c r="BA55" i="110"/>
  <c r="BB55" i="110" s="1"/>
  <c r="AH55" i="110"/>
  <c r="AI55" i="110" s="1"/>
  <c r="O55" i="110"/>
  <c r="AQ55" i="110"/>
  <c r="AR55" i="110" s="1"/>
  <c r="P55" i="110"/>
  <c r="AY55" i="110"/>
  <c r="AN55" i="110"/>
  <c r="AO55" i="110" s="1"/>
  <c r="AT55" i="110"/>
  <c r="BQ55" i="110"/>
  <c r="BR55" i="110" s="1"/>
  <c r="BG55" i="110"/>
  <c r="BH55" i="110" s="1"/>
  <c r="AE55" i="110"/>
  <c r="AF55" i="110" s="1"/>
  <c r="BD55" i="110"/>
  <c r="BE55" i="110" s="1"/>
  <c r="AK55" i="110"/>
  <c r="AL55" i="110" s="1"/>
  <c r="V55" i="110"/>
  <c r="W55" i="110" s="1"/>
  <c r="AB55" i="110"/>
  <c r="AV55" i="110"/>
  <c r="AW55" i="110" s="1"/>
  <c r="BL53" i="13"/>
  <c r="BN53" i="13"/>
  <c r="BO53" i="13" s="1"/>
  <c r="M53" i="13"/>
  <c r="AK53" i="13"/>
  <c r="AN53" i="13"/>
  <c r="AH53" i="13"/>
  <c r="AB53" i="13"/>
  <c r="AE53" i="13"/>
  <c r="AY53" i="13"/>
  <c r="BG53" i="13" s="1"/>
  <c r="BQ53" i="13"/>
  <c r="V53" i="13"/>
  <c r="R53" i="13"/>
  <c r="T53" i="13" s="1"/>
  <c r="Y53" i="13" s="1"/>
  <c r="P53" i="13"/>
  <c r="P54" i="13" s="1"/>
  <c r="AQ54" i="115"/>
  <c r="AR54" i="115" s="1"/>
  <c r="I59" i="15"/>
  <c r="BN53" i="17"/>
  <c r="BO53" i="17" s="1"/>
  <c r="M53" i="17"/>
  <c r="BL53" i="17"/>
  <c r="AH53" i="17"/>
  <c r="AN53" i="17"/>
  <c r="AE53" i="17"/>
  <c r="AB53" i="17"/>
  <c r="AK53" i="17"/>
  <c r="V53" i="17"/>
  <c r="W53" i="17" s="1"/>
  <c r="BQ53" i="17"/>
  <c r="R53" i="17"/>
  <c r="T53" i="17" s="1"/>
  <c r="Y53" i="17" s="1"/>
  <c r="I61" i="64"/>
  <c r="P54" i="118"/>
  <c r="AI52" i="120"/>
  <c r="I57" i="96"/>
  <c r="K56" i="96"/>
  <c r="AO54" i="63"/>
  <c r="AL54" i="63"/>
  <c r="I60" i="63"/>
  <c r="P53" i="17"/>
  <c r="AC54" i="126"/>
  <c r="AI54" i="126"/>
  <c r="BR52" i="17"/>
  <c r="AL52" i="17"/>
  <c r="AI52" i="17"/>
  <c r="AQ52" i="66"/>
  <c r="AR52" i="66" s="1"/>
  <c r="AF52" i="66"/>
  <c r="AC52" i="66"/>
  <c r="BJ55" i="114"/>
  <c r="BL55" i="114" s="1"/>
  <c r="M55" i="114"/>
  <c r="BK55" i="114"/>
  <c r="BN55" i="114"/>
  <c r="BO55" i="114" s="1"/>
  <c r="AY55" i="114"/>
  <c r="AN55" i="114"/>
  <c r="AO55" i="114" s="1"/>
  <c r="BQ55" i="114"/>
  <c r="BR55" i="114" s="1"/>
  <c r="AT55" i="114"/>
  <c r="AB55" i="114"/>
  <c r="P55" i="114"/>
  <c r="BD55" i="114"/>
  <c r="BE55" i="114" s="1"/>
  <c r="AE55" i="114"/>
  <c r="AF55" i="114" s="1"/>
  <c r="BG55" i="114"/>
  <c r="BH55" i="114" s="1"/>
  <c r="R55" i="114"/>
  <c r="T55" i="114" s="1"/>
  <c r="V55" i="114"/>
  <c r="W55" i="114" s="1"/>
  <c r="AK55" i="114"/>
  <c r="AL55" i="114" s="1"/>
  <c r="O55" i="114"/>
  <c r="AQ55" i="114"/>
  <c r="AR55" i="114" s="1"/>
  <c r="AH55" i="114"/>
  <c r="AI55" i="114" s="1"/>
  <c r="AV55" i="114"/>
  <c r="AW55" i="114" s="1"/>
  <c r="Y55" i="114"/>
  <c r="Z55" i="114" s="1"/>
  <c r="BA55" i="114"/>
  <c r="BB55" i="114" s="1"/>
  <c r="K56" i="114"/>
  <c r="I57" i="110"/>
  <c r="K56" i="110"/>
  <c r="BK57" i="105"/>
  <c r="M57" i="105"/>
  <c r="BN57" i="105"/>
  <c r="BO57" i="105" s="1"/>
  <c r="BJ57" i="105"/>
  <c r="BL57" i="105" s="1"/>
  <c r="AK57" i="105"/>
  <c r="AL57" i="105" s="1"/>
  <c r="R57" i="105"/>
  <c r="T57" i="105" s="1"/>
  <c r="AV57" i="105"/>
  <c r="AW57" i="105" s="1"/>
  <c r="AT57" i="105"/>
  <c r="BA57" i="105"/>
  <c r="BB57" i="105" s="1"/>
  <c r="AE57" i="105"/>
  <c r="AF57" i="105" s="1"/>
  <c r="O57" i="105"/>
  <c r="Y57" i="105"/>
  <c r="Z57" i="105" s="1"/>
  <c r="P57" i="105"/>
  <c r="AB57" i="105"/>
  <c r="AC57" i="105" s="1"/>
  <c r="BQ57" i="105"/>
  <c r="BR57" i="105" s="1"/>
  <c r="V57" i="105"/>
  <c r="W57" i="105" s="1"/>
  <c r="BG57" i="105"/>
  <c r="BH57" i="105" s="1"/>
  <c r="AY57" i="105"/>
  <c r="BD57" i="105"/>
  <c r="BE57" i="105" s="1"/>
  <c r="AQ57" i="105"/>
  <c r="AR57" i="105" s="1"/>
  <c r="AN57" i="105"/>
  <c r="AO57" i="105" s="1"/>
  <c r="AH57" i="105"/>
  <c r="AI57" i="105" s="1"/>
  <c r="K58" i="105"/>
  <c r="M59" i="124"/>
  <c r="BN59" i="124"/>
  <c r="BO59" i="124" s="1"/>
  <c r="K60" i="124"/>
  <c r="BJ59" i="124"/>
  <c r="BL59" i="124" s="1"/>
  <c r="BK59" i="124"/>
  <c r="BG59" i="124"/>
  <c r="BH59" i="124" s="1"/>
  <c r="AH59" i="124"/>
  <c r="AI59" i="124" s="1"/>
  <c r="R59" i="124"/>
  <c r="T59" i="124" s="1"/>
  <c r="Y59" i="124"/>
  <c r="Z59" i="124" s="1"/>
  <c r="AT59" i="124"/>
  <c r="BA59" i="124"/>
  <c r="BB59" i="124" s="1"/>
  <c r="O59" i="124"/>
  <c r="AN59" i="124"/>
  <c r="AO59" i="124" s="1"/>
  <c r="P59" i="124"/>
  <c r="BD59" i="124"/>
  <c r="BE59" i="124" s="1"/>
  <c r="AK59" i="124"/>
  <c r="AL59" i="124" s="1"/>
  <c r="V59" i="124"/>
  <c r="W59" i="124" s="1"/>
  <c r="AV59" i="124"/>
  <c r="AW59" i="124" s="1"/>
  <c r="BQ59" i="124"/>
  <c r="BR59" i="124" s="1"/>
  <c r="AY59" i="124"/>
  <c r="AE59" i="124"/>
  <c r="AF59" i="124" s="1"/>
  <c r="AQ59" i="124"/>
  <c r="AR59" i="124" s="1"/>
  <c r="AB59" i="124"/>
  <c r="AC59" i="124" s="1"/>
  <c r="AV54" i="115"/>
  <c r="AW54" i="115" s="1"/>
  <c r="I55" i="17"/>
  <c r="K54" i="17"/>
  <c r="I59" i="104"/>
  <c r="W54" i="96"/>
  <c r="BL54" i="15"/>
  <c r="BN54" i="15"/>
  <c r="BO54" i="15" s="1"/>
  <c r="M54" i="15"/>
  <c r="Z54" i="15" s="1"/>
  <c r="BQ54" i="15"/>
  <c r="AK54" i="15"/>
  <c r="AH54" i="15"/>
  <c r="V54" i="15"/>
  <c r="AE54" i="15"/>
  <c r="AN54" i="15"/>
  <c r="AB54" i="15"/>
  <c r="K55" i="15"/>
  <c r="AC53" i="15"/>
  <c r="AL53" i="15"/>
  <c r="O54" i="118"/>
  <c r="BA54" i="63"/>
  <c r="BB54" i="63" s="1"/>
  <c r="AC54" i="63"/>
  <c r="AI54" i="63"/>
  <c r="M55" i="115"/>
  <c r="BJ55" i="115"/>
  <c r="BL55" i="115" s="1"/>
  <c r="BK55" i="115"/>
  <c r="BN55" i="115"/>
  <c r="BO55" i="115" s="1"/>
  <c r="V55" i="115"/>
  <c r="W55" i="115" s="1"/>
  <c r="AT55" i="115"/>
  <c r="AB55" i="115"/>
  <c r="AE55" i="115"/>
  <c r="AF55" i="115" s="1"/>
  <c r="AV55" i="115"/>
  <c r="AW55" i="115" s="1"/>
  <c r="P55" i="115"/>
  <c r="AH55" i="115"/>
  <c r="AI55" i="115" s="1"/>
  <c r="AY55" i="115"/>
  <c r="AQ55" i="115"/>
  <c r="AR55" i="115" s="1"/>
  <c r="BG55" i="115"/>
  <c r="BH55" i="115" s="1"/>
  <c r="R55" i="115"/>
  <c r="T55" i="115" s="1"/>
  <c r="O55" i="115"/>
  <c r="AN55" i="115"/>
  <c r="AO55" i="115" s="1"/>
  <c r="AK55" i="115"/>
  <c r="AL55" i="115" s="1"/>
  <c r="BQ55" i="115"/>
  <c r="BR55" i="115" s="1"/>
  <c r="BA55" i="115"/>
  <c r="BB55" i="115" s="1"/>
  <c r="Y55" i="115"/>
  <c r="Z55" i="115" s="1"/>
  <c r="BD55" i="115"/>
  <c r="BE55" i="115" s="1"/>
  <c r="AE53" i="66"/>
  <c r="BN53" i="66"/>
  <c r="BO53" i="66" s="1"/>
  <c r="AK53" i="66"/>
  <c r="AH53" i="66"/>
  <c r="V53" i="66"/>
  <c r="AB53" i="66"/>
  <c r="AN53" i="66"/>
  <c r="M53" i="66"/>
  <c r="AY53" i="66"/>
  <c r="BG53" i="66" s="1"/>
  <c r="BL53" i="66"/>
  <c r="BQ53" i="66"/>
  <c r="AT53" i="66"/>
  <c r="AV53" i="66" s="1"/>
  <c r="R53" i="66"/>
  <c r="T53" i="66" s="1"/>
  <c r="Y53" i="66" s="1"/>
  <c r="M56" i="135"/>
  <c r="BD56" i="135"/>
  <c r="BE56" i="135" s="1"/>
  <c r="AN56" i="135"/>
  <c r="AO56" i="135" s="1"/>
  <c r="BQ56" i="135"/>
  <c r="BR56" i="135" s="1"/>
  <c r="O56" i="135"/>
  <c r="AK56" i="135"/>
  <c r="AL56" i="135" s="1"/>
  <c r="R56" i="135"/>
  <c r="T56" i="135" s="1"/>
  <c r="V56" i="135"/>
  <c r="W56" i="135" s="1"/>
  <c r="BA56" i="135"/>
  <c r="BB56" i="135" s="1"/>
  <c r="AQ56" i="135"/>
  <c r="AR56" i="135" s="1"/>
  <c r="AH56" i="135"/>
  <c r="AI56" i="135" s="1"/>
  <c r="BG56" i="135"/>
  <c r="BH56" i="135" s="1"/>
  <c r="AE56" i="135"/>
  <c r="AF56" i="135" s="1"/>
  <c r="Y56" i="135"/>
  <c r="Z56" i="135" s="1"/>
  <c r="AT56" i="135"/>
  <c r="AY56" i="135"/>
  <c r="BN56" i="135"/>
  <c r="BO56" i="135" s="1"/>
  <c r="AB56" i="135"/>
  <c r="AC56" i="135" s="1"/>
  <c r="AV56" i="135"/>
  <c r="AW56" i="135" s="1"/>
  <c r="P56" i="135"/>
  <c r="BL56" i="135"/>
  <c r="M54" i="101"/>
  <c r="AK54" i="101"/>
  <c r="AL54" i="101" s="1"/>
  <c r="BA54" i="101"/>
  <c r="BB54" i="101" s="1"/>
  <c r="AB54" i="101"/>
  <c r="AC54" i="101" s="1"/>
  <c r="BG54" i="101"/>
  <c r="BH54" i="101" s="1"/>
  <c r="R54" i="101"/>
  <c r="T54" i="101" s="1"/>
  <c r="BD54" i="101"/>
  <c r="BE54" i="101" s="1"/>
  <c r="V54" i="101"/>
  <c r="W54" i="101" s="1"/>
  <c r="AV54" i="101"/>
  <c r="AW54" i="101" s="1"/>
  <c r="P54" i="101"/>
  <c r="Y54" i="101"/>
  <c r="Z54" i="101" s="1"/>
  <c r="O54" i="101"/>
  <c r="AY54" i="101"/>
  <c r="AN54" i="101"/>
  <c r="AO54" i="101" s="1"/>
  <c r="BQ54" i="101"/>
  <c r="BR54" i="101" s="1"/>
  <c r="AQ54" i="101"/>
  <c r="AR54" i="101" s="1"/>
  <c r="AE54" i="101"/>
  <c r="AF54" i="101" s="1"/>
  <c r="AT54" i="101"/>
  <c r="AH54" i="101"/>
  <c r="AI54" i="101" s="1"/>
  <c r="M55" i="98"/>
  <c r="K56" i="98"/>
  <c r="BJ55" i="98"/>
  <c r="BL55" i="98" s="1"/>
  <c r="BK55" i="98"/>
  <c r="BN55" i="98"/>
  <c r="BO55" i="98" s="1"/>
  <c r="P55" i="98"/>
  <c r="AQ55" i="98"/>
  <c r="AR55" i="98" s="1"/>
  <c r="O55" i="98"/>
  <c r="BA55" i="98"/>
  <c r="BB55" i="98" s="1"/>
  <c r="BD55" i="98"/>
  <c r="BE55" i="98" s="1"/>
  <c r="AV55" i="98"/>
  <c r="AW55" i="98" s="1"/>
  <c r="AT55" i="98"/>
  <c r="AB55" i="98"/>
  <c r="AC55" i="98" s="1"/>
  <c r="AN55" i="98"/>
  <c r="AO55" i="98" s="1"/>
  <c r="Y55" i="98"/>
  <c r="Z55" i="98" s="1"/>
  <c r="BQ55" i="98"/>
  <c r="BR55" i="98" s="1"/>
  <c r="V55" i="98"/>
  <c r="W55" i="98" s="1"/>
  <c r="AY55" i="98"/>
  <c r="AH55" i="98"/>
  <c r="AI55" i="98" s="1"/>
  <c r="AK55" i="98"/>
  <c r="AL55" i="98" s="1"/>
  <c r="AE55" i="98"/>
  <c r="AF55" i="98" s="1"/>
  <c r="BG55" i="98"/>
  <c r="BH55" i="98" s="1"/>
  <c r="R55" i="98"/>
  <c r="T55" i="98" s="1"/>
  <c r="AN56" i="64"/>
  <c r="AO56" i="64" s="1"/>
  <c r="V56" i="64"/>
  <c r="W56" i="64" s="1"/>
  <c r="AK56" i="64"/>
  <c r="AL56" i="64" s="1"/>
  <c r="BA56" i="64"/>
  <c r="BB56" i="64" s="1"/>
  <c r="M56" i="64"/>
  <c r="BQ56" i="64"/>
  <c r="BR56" i="64" s="1"/>
  <c r="BG56" i="64"/>
  <c r="BH56" i="64" s="1"/>
  <c r="AV56" i="64"/>
  <c r="AW56" i="64" s="1"/>
  <c r="O56" i="64"/>
  <c r="AE56" i="64"/>
  <c r="AF56" i="64" s="1"/>
  <c r="AH56" i="64"/>
  <c r="AI56" i="64" s="1"/>
  <c r="R56" i="64"/>
  <c r="T56" i="64" s="1"/>
  <c r="AQ56" i="64"/>
  <c r="AR56" i="64" s="1"/>
  <c r="P56" i="64"/>
  <c r="AY56" i="64"/>
  <c r="Y56" i="64"/>
  <c r="Z56" i="64" s="1"/>
  <c r="BD56" i="64"/>
  <c r="BE56" i="64" s="1"/>
  <c r="AB56" i="64"/>
  <c r="AC56" i="64" s="1"/>
  <c r="AT56" i="64"/>
  <c r="BL56" i="64"/>
  <c r="BN56" i="64"/>
  <c r="BO56" i="64" s="1"/>
  <c r="K57" i="64"/>
  <c r="AI54" i="96"/>
  <c r="I62" i="105"/>
  <c r="M57" i="136"/>
  <c r="BN57" i="136"/>
  <c r="BO57" i="136" s="1"/>
  <c r="BL57" i="136"/>
  <c r="O57" i="136"/>
  <c r="BG57" i="136"/>
  <c r="BH57" i="136" s="1"/>
  <c r="AH57" i="136"/>
  <c r="AI57" i="136" s="1"/>
  <c r="AT57" i="136"/>
  <c r="AQ57" i="136"/>
  <c r="AR57" i="136" s="1"/>
  <c r="AK57" i="136"/>
  <c r="AL57" i="136" s="1"/>
  <c r="AY57" i="136"/>
  <c r="P57" i="136"/>
  <c r="R57" i="136"/>
  <c r="T57" i="136" s="1"/>
  <c r="BQ57" i="136"/>
  <c r="BR57" i="136" s="1"/>
  <c r="BD57" i="136"/>
  <c r="BE57" i="136" s="1"/>
  <c r="AB57" i="136"/>
  <c r="AC57" i="136" s="1"/>
  <c r="AN57" i="136"/>
  <c r="AO57" i="136" s="1"/>
  <c r="AE57" i="136"/>
  <c r="AF57" i="136" s="1"/>
  <c r="V57" i="136"/>
  <c r="W57" i="136" s="1"/>
  <c r="Y57" i="136"/>
  <c r="Z57" i="136" s="1"/>
  <c r="AV57" i="136"/>
  <c r="AW57" i="136" s="1"/>
  <c r="BA57" i="136"/>
  <c r="BB57" i="136" s="1"/>
  <c r="K58" i="136"/>
  <c r="BR52" i="120"/>
  <c r="W52" i="120"/>
  <c r="AH53" i="120"/>
  <c r="K54" i="120"/>
  <c r="AE53" i="120"/>
  <c r="AB53" i="120"/>
  <c r="V53" i="120"/>
  <c r="M53" i="120"/>
  <c r="BN53" i="120"/>
  <c r="BO53" i="120" s="1"/>
  <c r="BQ53" i="120"/>
  <c r="AN53" i="120"/>
  <c r="AK53" i="120"/>
  <c r="AY53" i="120"/>
  <c r="BA53" i="120" s="1"/>
  <c r="R53" i="120"/>
  <c r="T53" i="120" s="1"/>
  <c r="Y53" i="120" s="1"/>
  <c r="BN55" i="63"/>
  <c r="BO55" i="63" s="1"/>
  <c r="M55" i="63"/>
  <c r="P55" i="63"/>
  <c r="AH55" i="63"/>
  <c r="AI55" i="63" s="1"/>
  <c r="V55" i="63"/>
  <c r="W55" i="63" s="1"/>
  <c r="AQ55" i="63"/>
  <c r="AR55" i="63" s="1"/>
  <c r="Y55" i="63"/>
  <c r="Z55" i="63" s="1"/>
  <c r="BL55" i="63"/>
  <c r="O55" i="63"/>
  <c r="R55" i="63"/>
  <c r="T55" i="63" s="1"/>
  <c r="AB55" i="63"/>
  <c r="AK55" i="63"/>
  <c r="AL55" i="63" s="1"/>
  <c r="AN55" i="63"/>
  <c r="AO55" i="63" s="1"/>
  <c r="AY55" i="63"/>
  <c r="AE55" i="63"/>
  <c r="AF55" i="63" s="1"/>
  <c r="AV55" i="63"/>
  <c r="AW55" i="63" s="1"/>
  <c r="AT55" i="63"/>
  <c r="BG55" i="63"/>
  <c r="BH55" i="63" s="1"/>
  <c r="BD55" i="63"/>
  <c r="BE55" i="63" s="1"/>
  <c r="BA55" i="63"/>
  <c r="BB55" i="63" s="1"/>
  <c r="BQ55" i="63"/>
  <c r="BR55" i="63" s="1"/>
  <c r="K56" i="63"/>
  <c r="I111" i="99"/>
  <c r="O30" i="99"/>
  <c r="O32" i="98"/>
  <c r="O33" i="98" s="1"/>
  <c r="O34" i="98" s="1"/>
  <c r="O35" i="98" s="1"/>
  <c r="O36" i="98" s="1"/>
  <c r="O37" i="98" s="1"/>
  <c r="O38" i="98" s="1"/>
  <c r="O39" i="98" s="1"/>
  <c r="V29" i="105"/>
  <c r="W29" i="105" s="1"/>
  <c r="P30" i="105"/>
  <c r="V30" i="99"/>
  <c r="W30" i="99" s="1"/>
  <c r="P31" i="99"/>
  <c r="O32" i="107"/>
  <c r="O33" i="107" s="1"/>
  <c r="O34" i="107" s="1"/>
  <c r="O35" i="107" s="1"/>
  <c r="O36" i="107" s="1"/>
  <c r="O37" i="107" s="1"/>
  <c r="O38" i="107" s="1"/>
  <c r="O39" i="107" s="1"/>
  <c r="O29" i="105"/>
  <c r="V29" i="110"/>
  <c r="P30" i="110"/>
  <c r="P28" i="112"/>
  <c r="BA52" i="155" l="1"/>
  <c r="BB52" i="155" s="1"/>
  <c r="BA52" i="13"/>
  <c r="BB52" i="13" s="1"/>
  <c r="BA52" i="152"/>
  <c r="BB52" i="152" s="1"/>
  <c r="AO53" i="17"/>
  <c r="AF53" i="17"/>
  <c r="AC54" i="118"/>
  <c r="AL54" i="118"/>
  <c r="R57" i="99"/>
  <c r="T57" i="99" s="1"/>
  <c r="AE57" i="99"/>
  <c r="AF57" i="99" s="1"/>
  <c r="BA57" i="99"/>
  <c r="BB57" i="99" s="1"/>
  <c r="AH57" i="99"/>
  <c r="AI57" i="99" s="1"/>
  <c r="AQ57" i="99"/>
  <c r="AR57" i="99" s="1"/>
  <c r="AY57" i="99"/>
  <c r="O57" i="99"/>
  <c r="AB57" i="99"/>
  <c r="AC57" i="99" s="1"/>
  <c r="BJ57" i="99"/>
  <c r="BL57" i="99" s="1"/>
  <c r="M57" i="99"/>
  <c r="V57" i="99"/>
  <c r="W57" i="99" s="1"/>
  <c r="BN57" i="99"/>
  <c r="BO57" i="99" s="1"/>
  <c r="BQ57" i="99"/>
  <c r="BR57" i="99" s="1"/>
  <c r="BG57" i="99"/>
  <c r="BH57" i="99" s="1"/>
  <c r="K58" i="99"/>
  <c r="AN57" i="99"/>
  <c r="AO57" i="99" s="1"/>
  <c r="AK57" i="99"/>
  <c r="AL57" i="99" s="1"/>
  <c r="AT57" i="99"/>
  <c r="Y57" i="99"/>
  <c r="Z57" i="99" s="1"/>
  <c r="BD57" i="99"/>
  <c r="BE57" i="99" s="1"/>
  <c r="P57" i="99"/>
  <c r="BK57" i="99"/>
  <c r="AV57" i="99"/>
  <c r="AW57" i="99" s="1"/>
  <c r="AY53" i="155"/>
  <c r="BG53" i="155" s="1"/>
  <c r="BH53" i="155" s="1"/>
  <c r="AF53" i="95"/>
  <c r="AW53" i="95"/>
  <c r="BB53" i="95"/>
  <c r="AW53" i="66"/>
  <c r="AY53" i="153"/>
  <c r="BG53" i="153" s="1"/>
  <c r="BH53" i="153" s="1"/>
  <c r="AE57" i="132"/>
  <c r="AF57" i="132" s="1"/>
  <c r="M57" i="132"/>
  <c r="O57" i="132"/>
  <c r="BA57" i="132"/>
  <c r="BB57" i="132" s="1"/>
  <c r="P57" i="132"/>
  <c r="AB57" i="132"/>
  <c r="AC57" i="132" s="1"/>
  <c r="AV57" i="132"/>
  <c r="AW57" i="132" s="1"/>
  <c r="BN57" i="132"/>
  <c r="BO57" i="132" s="1"/>
  <c r="AN57" i="132"/>
  <c r="AO57" i="132" s="1"/>
  <c r="AY57" i="132"/>
  <c r="Y57" i="132"/>
  <c r="Z57" i="132" s="1"/>
  <c r="R57" i="132"/>
  <c r="T57" i="132" s="1"/>
  <c r="AT57" i="132"/>
  <c r="K58" i="132"/>
  <c r="BL57" i="132"/>
  <c r="BD57" i="132"/>
  <c r="BE57" i="132" s="1"/>
  <c r="BQ57" i="132"/>
  <c r="BR57" i="132" s="1"/>
  <c r="BG57" i="132"/>
  <c r="BH57" i="132" s="1"/>
  <c r="AQ57" i="132"/>
  <c r="AR57" i="132" s="1"/>
  <c r="AK57" i="132"/>
  <c r="AL57" i="132" s="1"/>
  <c r="AH57" i="132"/>
  <c r="AI57" i="132" s="1"/>
  <c r="V57" i="132"/>
  <c r="W57" i="132" s="1"/>
  <c r="BA52" i="17"/>
  <c r="BB52" i="17" s="1"/>
  <c r="AI54" i="15"/>
  <c r="AY53" i="17"/>
  <c r="BG53" i="17" s="1"/>
  <c r="BH53" i="17" s="1"/>
  <c r="W53" i="13"/>
  <c r="AC55" i="110"/>
  <c r="AY53" i="152"/>
  <c r="AC53" i="95"/>
  <c r="BR53" i="95"/>
  <c r="BN59" i="107"/>
  <c r="BO59" i="107" s="1"/>
  <c r="AB59" i="107"/>
  <c r="AC59" i="107" s="1"/>
  <c r="AV59" i="107"/>
  <c r="AW59" i="107" s="1"/>
  <c r="BA59" i="107"/>
  <c r="BB59" i="107" s="1"/>
  <c r="BK59" i="107"/>
  <c r="AN59" i="107"/>
  <c r="AO59" i="107" s="1"/>
  <c r="AE59" i="107"/>
  <c r="AF59" i="107" s="1"/>
  <c r="BJ59" i="107"/>
  <c r="BL59" i="107" s="1"/>
  <c r="AY59" i="107"/>
  <c r="BD59" i="107"/>
  <c r="BE59" i="107" s="1"/>
  <c r="O59" i="107"/>
  <c r="P59" i="107"/>
  <c r="V59" i="107"/>
  <c r="W59" i="107" s="1"/>
  <c r="BG59" i="107"/>
  <c r="BH59" i="107" s="1"/>
  <c r="AQ59" i="107"/>
  <c r="AR59" i="107" s="1"/>
  <c r="R59" i="107"/>
  <c r="T59" i="107" s="1"/>
  <c r="Y59" i="107"/>
  <c r="Z59" i="107" s="1"/>
  <c r="BQ59" i="107"/>
  <c r="BR59" i="107" s="1"/>
  <c r="M59" i="107"/>
  <c r="AH59" i="107"/>
  <c r="AI59" i="107" s="1"/>
  <c r="AT59" i="107"/>
  <c r="AK59" i="107"/>
  <c r="AL59" i="107" s="1"/>
  <c r="AL53" i="120"/>
  <c r="AQ53" i="95"/>
  <c r="AR53" i="95" s="1"/>
  <c r="I61" i="107"/>
  <c r="K60" i="107"/>
  <c r="BR53" i="120"/>
  <c r="Z54" i="112"/>
  <c r="W54" i="112"/>
  <c r="BH53" i="95"/>
  <c r="AL54" i="112"/>
  <c r="AO54" i="112"/>
  <c r="V29" i="156"/>
  <c r="W29" i="156" s="1"/>
  <c r="AC54" i="112"/>
  <c r="T51" i="156"/>
  <c r="Y51" i="156" s="1"/>
  <c r="Z51" i="156" s="1"/>
  <c r="R52" i="156"/>
  <c r="BR54" i="112"/>
  <c r="AF54" i="112"/>
  <c r="W53" i="95"/>
  <c r="AV90" i="161"/>
  <c r="AW90" i="161" s="1"/>
  <c r="P90" i="161"/>
  <c r="BG90" i="161"/>
  <c r="BH90" i="161" s="1"/>
  <c r="BA90" i="161"/>
  <c r="BB90" i="161" s="1"/>
  <c r="AT90" i="161"/>
  <c r="AN90" i="161"/>
  <c r="AO90" i="161" s="1"/>
  <c r="AH90" i="161"/>
  <c r="AI90" i="161" s="1"/>
  <c r="AB90" i="161"/>
  <c r="AC90" i="161" s="1"/>
  <c r="V90" i="161"/>
  <c r="W90" i="161" s="1"/>
  <c r="O90" i="161"/>
  <c r="BR90" i="161"/>
  <c r="AY90" i="161"/>
  <c r="Y90" i="161"/>
  <c r="Z90" i="161" s="1"/>
  <c r="AQ90" i="161"/>
  <c r="AR90" i="161" s="1"/>
  <c r="R90" i="161"/>
  <c r="T90" i="161" s="1"/>
  <c r="AK90" i="161"/>
  <c r="AL90" i="161" s="1"/>
  <c r="BD90" i="161"/>
  <c r="BE90" i="161" s="1"/>
  <c r="AE90" i="161"/>
  <c r="AF90" i="161" s="1"/>
  <c r="BK90" i="161"/>
  <c r="M90" i="161"/>
  <c r="BN90" i="161"/>
  <c r="BO90" i="161" s="1"/>
  <c r="BJ90" i="161"/>
  <c r="BL90" i="161" s="1"/>
  <c r="K91" i="161"/>
  <c r="BQ91" i="161" s="1"/>
  <c r="I92" i="161"/>
  <c r="BG58" i="133"/>
  <c r="BH58" i="133" s="1"/>
  <c r="BA58" i="133"/>
  <c r="BB58" i="133" s="1"/>
  <c r="Y58" i="133"/>
  <c r="Z58" i="133" s="1"/>
  <c r="AT58" i="133"/>
  <c r="O58" i="133"/>
  <c r="AQ58" i="133"/>
  <c r="AR58" i="133" s="1"/>
  <c r="BN58" i="133"/>
  <c r="BO58" i="133" s="1"/>
  <c r="AY58" i="133"/>
  <c r="AV58" i="133"/>
  <c r="AW58" i="133" s="1"/>
  <c r="AK58" i="133"/>
  <c r="AL58" i="133" s="1"/>
  <c r="M58" i="133"/>
  <c r="BD58" i="133"/>
  <c r="BE58" i="133" s="1"/>
  <c r="V58" i="133"/>
  <c r="W58" i="133" s="1"/>
  <c r="P58" i="133"/>
  <c r="BL58" i="133"/>
  <c r="BQ58" i="133"/>
  <c r="BR58" i="133" s="1"/>
  <c r="AH58" i="133"/>
  <c r="AI58" i="133" s="1"/>
  <c r="AE58" i="133"/>
  <c r="AF58" i="133" s="1"/>
  <c r="R58" i="133"/>
  <c r="T58" i="133" s="1"/>
  <c r="AN58" i="133"/>
  <c r="AO58" i="133" s="1"/>
  <c r="AB58" i="133"/>
  <c r="AC58" i="133" s="1"/>
  <c r="K59" i="133"/>
  <c r="AQ54" i="112"/>
  <c r="AR54" i="112" s="1"/>
  <c r="AI54" i="112"/>
  <c r="BD53" i="95"/>
  <c r="BE53" i="95" s="1"/>
  <c r="K61" i="156"/>
  <c r="AY61" i="156" s="1"/>
  <c r="I62" i="156"/>
  <c r="BK55" i="106"/>
  <c r="Y55" i="106"/>
  <c r="Z55" i="106" s="1"/>
  <c r="BD55" i="106"/>
  <c r="BE55" i="106" s="1"/>
  <c r="BA55" i="106"/>
  <c r="BB55" i="106" s="1"/>
  <c r="AQ55" i="106"/>
  <c r="AR55" i="106" s="1"/>
  <c r="BJ55" i="106"/>
  <c r="BL55" i="106" s="1"/>
  <c r="V55" i="106"/>
  <c r="W55" i="106" s="1"/>
  <c r="AV55" i="106"/>
  <c r="AW55" i="106" s="1"/>
  <c r="AN55" i="106"/>
  <c r="AO55" i="106" s="1"/>
  <c r="AE55" i="106"/>
  <c r="AF55" i="106" s="1"/>
  <c r="O55" i="106"/>
  <c r="AH55" i="106"/>
  <c r="AI55" i="106" s="1"/>
  <c r="BQ55" i="106"/>
  <c r="BR55" i="106" s="1"/>
  <c r="M55" i="106"/>
  <c r="P55" i="106"/>
  <c r="AK55" i="106"/>
  <c r="AL55" i="106" s="1"/>
  <c r="BG55" i="106"/>
  <c r="BH55" i="106" s="1"/>
  <c r="AY55" i="106"/>
  <c r="BN55" i="106"/>
  <c r="BO55" i="106" s="1"/>
  <c r="AT55" i="106"/>
  <c r="AB55" i="106"/>
  <c r="AC55" i="106" s="1"/>
  <c r="R55" i="106"/>
  <c r="T55" i="106" s="1"/>
  <c r="K56" i="106"/>
  <c r="BL54" i="95"/>
  <c r="AK54" i="95"/>
  <c r="K55" i="95"/>
  <c r="BN54" i="95"/>
  <c r="BO54" i="95" s="1"/>
  <c r="AT54" i="95"/>
  <c r="AV54" i="95" s="1"/>
  <c r="P54" i="95"/>
  <c r="V54" i="95"/>
  <c r="AH54" i="95"/>
  <c r="BG54" i="95"/>
  <c r="AB54" i="95"/>
  <c r="O54" i="95"/>
  <c r="AE54" i="95"/>
  <c r="BA54" i="95"/>
  <c r="M54" i="95"/>
  <c r="AN54" i="95"/>
  <c r="BQ54" i="95"/>
  <c r="BD54" i="95"/>
  <c r="R54" i="95"/>
  <c r="T54" i="95" s="1"/>
  <c r="Y54" i="95" s="1"/>
  <c r="BA60" i="156"/>
  <c r="BB60" i="156" s="1"/>
  <c r="BQ60" i="156"/>
  <c r="BR60" i="156" s="1"/>
  <c r="P60" i="156"/>
  <c r="O60" i="156"/>
  <c r="BG60" i="156"/>
  <c r="BH60" i="156" s="1"/>
  <c r="M60" i="156"/>
  <c r="BN60" i="156"/>
  <c r="BO60" i="156" s="1"/>
  <c r="V60" i="156"/>
  <c r="W60" i="156" s="1"/>
  <c r="R60" i="156"/>
  <c r="T60" i="156" s="1"/>
  <c r="AE60" i="156"/>
  <c r="AF60" i="156" s="1"/>
  <c r="BL60" i="156"/>
  <c r="AB60" i="156"/>
  <c r="AC60" i="156" s="1"/>
  <c r="AQ60" i="156"/>
  <c r="AR60" i="156" s="1"/>
  <c r="AV60" i="156"/>
  <c r="AW60" i="156" s="1"/>
  <c r="AH60" i="156"/>
  <c r="AI60" i="156" s="1"/>
  <c r="BD60" i="156"/>
  <c r="BE60" i="156" s="1"/>
  <c r="AN60" i="156"/>
  <c r="AO60" i="156" s="1"/>
  <c r="AK60" i="156"/>
  <c r="AL60" i="156" s="1"/>
  <c r="Y60" i="156"/>
  <c r="Z60" i="156" s="1"/>
  <c r="BJ55" i="112"/>
  <c r="BL55" i="112" s="1"/>
  <c r="AK55" i="112"/>
  <c r="AL55" i="112" s="1"/>
  <c r="V55" i="112"/>
  <c r="W55" i="112" s="1"/>
  <c r="AB55" i="112"/>
  <c r="R55" i="112"/>
  <c r="T55" i="112" s="1"/>
  <c r="AN55" i="112"/>
  <c r="AO55" i="112" s="1"/>
  <c r="K56" i="112"/>
  <c r="BD55" i="112"/>
  <c r="BE55" i="112" s="1"/>
  <c r="BQ55" i="112"/>
  <c r="BR55" i="112" s="1"/>
  <c r="BG55" i="112"/>
  <c r="BH55" i="112" s="1"/>
  <c r="BN55" i="112"/>
  <c r="BO55" i="112" s="1"/>
  <c r="M55" i="112"/>
  <c r="AH55" i="112"/>
  <c r="AI55" i="112" s="1"/>
  <c r="Y55" i="112"/>
  <c r="Z55" i="112" s="1"/>
  <c r="P55" i="112"/>
  <c r="AT55" i="112"/>
  <c r="AY55" i="112"/>
  <c r="O55" i="112"/>
  <c r="AV55" i="112"/>
  <c r="AW55" i="112" s="1"/>
  <c r="BA55" i="112"/>
  <c r="BB55" i="112" s="1"/>
  <c r="AQ55" i="112"/>
  <c r="AR55" i="112" s="1"/>
  <c r="BK55" i="112"/>
  <c r="AE55" i="112"/>
  <c r="AF55" i="112" s="1"/>
  <c r="AC54" i="15"/>
  <c r="AL53" i="95"/>
  <c r="I62" i="106"/>
  <c r="BG54" i="112"/>
  <c r="BH54" i="112" s="1"/>
  <c r="BA54" i="112"/>
  <c r="BB54" i="112" s="1"/>
  <c r="V56" i="129"/>
  <c r="W56" i="129" s="1"/>
  <c r="AT56" i="129"/>
  <c r="BG56" i="129"/>
  <c r="BH56" i="129" s="1"/>
  <c r="M56" i="129"/>
  <c r="AV56" i="129"/>
  <c r="AW56" i="129" s="1"/>
  <c r="AQ56" i="129"/>
  <c r="AR56" i="129" s="1"/>
  <c r="AE56" i="129"/>
  <c r="AF56" i="129" s="1"/>
  <c r="K57" i="129"/>
  <c r="AH56" i="129"/>
  <c r="AI56" i="129" s="1"/>
  <c r="BA56" i="129"/>
  <c r="BB56" i="129" s="1"/>
  <c r="BQ56" i="129"/>
  <c r="BR56" i="129" s="1"/>
  <c r="BN56" i="129"/>
  <c r="BO56" i="129" s="1"/>
  <c r="R56" i="129"/>
  <c r="T56" i="129" s="1"/>
  <c r="AY56" i="129"/>
  <c r="P56" i="129"/>
  <c r="AB56" i="129"/>
  <c r="AC56" i="129" s="1"/>
  <c r="AN56" i="129"/>
  <c r="AO56" i="129" s="1"/>
  <c r="BD56" i="129"/>
  <c r="BE56" i="129" s="1"/>
  <c r="BL56" i="129"/>
  <c r="AK56" i="129"/>
  <c r="AL56" i="129" s="1"/>
  <c r="Y56" i="129"/>
  <c r="Z56" i="129" s="1"/>
  <c r="O56" i="129"/>
  <c r="AC53" i="13"/>
  <c r="BD54" i="112"/>
  <c r="BE54" i="112" s="1"/>
  <c r="AV54" i="112"/>
  <c r="AW54" i="112" s="1"/>
  <c r="Z53" i="95"/>
  <c r="AO53" i="95"/>
  <c r="AI53" i="95"/>
  <c r="BJ55" i="104"/>
  <c r="BL55" i="104" s="1"/>
  <c r="AH55" i="104"/>
  <c r="AI55" i="104" s="1"/>
  <c r="AK55" i="104"/>
  <c r="AL55" i="104" s="1"/>
  <c r="V55" i="104"/>
  <c r="W55" i="104" s="1"/>
  <c r="M55" i="104"/>
  <c r="AB55" i="104"/>
  <c r="AC55" i="104" s="1"/>
  <c r="R55" i="104"/>
  <c r="T55" i="104" s="1"/>
  <c r="Y55" i="104"/>
  <c r="Z55" i="104" s="1"/>
  <c r="K56" i="104"/>
  <c r="BK55" i="104"/>
  <c r="AV55" i="104"/>
  <c r="AW55" i="104" s="1"/>
  <c r="BA55" i="104"/>
  <c r="BB55" i="104" s="1"/>
  <c r="BG55" i="104"/>
  <c r="BH55" i="104" s="1"/>
  <c r="BN55" i="104"/>
  <c r="BO55" i="104" s="1"/>
  <c r="AN55" i="104"/>
  <c r="AO55" i="104" s="1"/>
  <c r="BD55" i="104"/>
  <c r="BE55" i="104" s="1"/>
  <c r="AE55" i="104"/>
  <c r="AF55" i="104" s="1"/>
  <c r="BQ55" i="104"/>
  <c r="BR55" i="104" s="1"/>
  <c r="P55" i="104"/>
  <c r="O55" i="104"/>
  <c r="AQ55" i="104"/>
  <c r="AR55" i="104" s="1"/>
  <c r="AT55" i="104"/>
  <c r="AY55" i="104"/>
  <c r="AC53" i="120"/>
  <c r="AT48" i="15"/>
  <c r="BD48" i="15" s="1"/>
  <c r="BE48" i="15" s="1"/>
  <c r="AT48" i="150"/>
  <c r="AT48" i="156"/>
  <c r="K57" i="130"/>
  <c r="BL56" i="130"/>
  <c r="M56" i="130"/>
  <c r="BN56" i="130"/>
  <c r="BO56" i="130" s="1"/>
  <c r="BG56" i="130"/>
  <c r="BH56" i="130" s="1"/>
  <c r="AV56" i="130"/>
  <c r="AW56" i="130" s="1"/>
  <c r="AB56" i="130"/>
  <c r="AC56" i="130" s="1"/>
  <c r="AH56" i="130"/>
  <c r="AI56" i="130" s="1"/>
  <c r="AT56" i="130"/>
  <c r="P56" i="130"/>
  <c r="AQ56" i="130"/>
  <c r="AR56" i="130" s="1"/>
  <c r="R56" i="130"/>
  <c r="T56" i="130" s="1"/>
  <c r="BA56" i="130"/>
  <c r="BB56" i="130" s="1"/>
  <c r="V56" i="130"/>
  <c r="W56" i="130" s="1"/>
  <c r="BD56" i="130"/>
  <c r="BE56" i="130" s="1"/>
  <c r="Y56" i="130"/>
  <c r="Z56" i="130" s="1"/>
  <c r="AK56" i="130"/>
  <c r="AL56" i="130" s="1"/>
  <c r="BQ56" i="130"/>
  <c r="BR56" i="130" s="1"/>
  <c r="AN56" i="130"/>
  <c r="AO56" i="130" s="1"/>
  <c r="AY56" i="130"/>
  <c r="AE56" i="130"/>
  <c r="AF56" i="130" s="1"/>
  <c r="O56" i="130"/>
  <c r="BG52" i="15"/>
  <c r="BH52" i="15" s="1"/>
  <c r="BA52" i="15"/>
  <c r="BB52" i="15" s="1"/>
  <c r="BG53" i="150"/>
  <c r="BH53" i="150" s="1"/>
  <c r="BA53" i="150"/>
  <c r="BB53" i="150" s="1"/>
  <c r="BG53" i="151"/>
  <c r="BH53" i="151" s="1"/>
  <c r="BA53" i="151"/>
  <c r="BB53" i="151" s="1"/>
  <c r="BG53" i="152"/>
  <c r="BH53" i="152" s="1"/>
  <c r="BA53" i="152"/>
  <c r="BB53" i="152" s="1"/>
  <c r="BG52" i="149"/>
  <c r="BH52" i="149" s="1"/>
  <c r="BA52" i="149"/>
  <c r="BB52" i="149" s="1"/>
  <c r="BA52" i="156"/>
  <c r="BB52" i="156" s="1"/>
  <c r="BG52" i="156"/>
  <c r="BH52" i="156" s="1"/>
  <c r="A58" i="7"/>
  <c r="AY53" i="156"/>
  <c r="AY54" i="152"/>
  <c r="AY54" i="153"/>
  <c r="AY54" i="155"/>
  <c r="AY54" i="150"/>
  <c r="AY53" i="15"/>
  <c r="BD47" i="156"/>
  <c r="BE47" i="156" s="1"/>
  <c r="AV47" i="156"/>
  <c r="AW47" i="156" s="1"/>
  <c r="AV47" i="150"/>
  <c r="AW47" i="150" s="1"/>
  <c r="BD47" i="150"/>
  <c r="BE47" i="150" s="1"/>
  <c r="AW54" i="118"/>
  <c r="T50" i="155"/>
  <c r="Y50" i="155" s="1"/>
  <c r="Z50" i="155" s="1"/>
  <c r="R51" i="155"/>
  <c r="BB54" i="118"/>
  <c r="O29" i="155"/>
  <c r="M61" i="155"/>
  <c r="O61" i="155"/>
  <c r="V61" i="155"/>
  <c r="W61" i="155" s="1"/>
  <c r="AB61" i="155"/>
  <c r="AC61" i="155" s="1"/>
  <c r="P61" i="155"/>
  <c r="AV61" i="155"/>
  <c r="AW61" i="155" s="1"/>
  <c r="BN61" i="155"/>
  <c r="BO61" i="155" s="1"/>
  <c r="R61" i="155"/>
  <c r="T61" i="155" s="1"/>
  <c r="AK61" i="155"/>
  <c r="AL61" i="155" s="1"/>
  <c r="BD61" i="155"/>
  <c r="BE61" i="155" s="1"/>
  <c r="Y61" i="155"/>
  <c r="Z61" i="155" s="1"/>
  <c r="AN61" i="155"/>
  <c r="AO61" i="155" s="1"/>
  <c r="AH61" i="155"/>
  <c r="AI61" i="155" s="1"/>
  <c r="BA61" i="155"/>
  <c r="BB61" i="155" s="1"/>
  <c r="AQ61" i="155"/>
  <c r="AR61" i="155" s="1"/>
  <c r="BG61" i="155"/>
  <c r="BH61" i="155" s="1"/>
  <c r="BQ61" i="155"/>
  <c r="BR61" i="155" s="1"/>
  <c r="AE61" i="155"/>
  <c r="AF61" i="155" s="1"/>
  <c r="BL61" i="155"/>
  <c r="I63" i="155"/>
  <c r="K62" i="155"/>
  <c r="BD47" i="120"/>
  <c r="BE47" i="120" s="1"/>
  <c r="AV47" i="120"/>
  <c r="AW47" i="120" s="1"/>
  <c r="AV47" i="13"/>
  <c r="AW47" i="13" s="1"/>
  <c r="BD47" i="13"/>
  <c r="BE47" i="13" s="1"/>
  <c r="AV47" i="17"/>
  <c r="AW47" i="17" s="1"/>
  <c r="BD47" i="17"/>
  <c r="BE47" i="17" s="1"/>
  <c r="A50" i="58"/>
  <c r="AT48" i="17"/>
  <c r="AT48" i="13"/>
  <c r="AT48" i="120"/>
  <c r="M61" i="153"/>
  <c r="BQ61" i="153"/>
  <c r="BR61" i="153" s="1"/>
  <c r="O61" i="153"/>
  <c r="V61" i="153"/>
  <c r="W61" i="153" s="1"/>
  <c r="AB61" i="153"/>
  <c r="AC61" i="153" s="1"/>
  <c r="AH61" i="153"/>
  <c r="AI61" i="153" s="1"/>
  <c r="AN61" i="153"/>
  <c r="AO61" i="153" s="1"/>
  <c r="BA61" i="153"/>
  <c r="BB61" i="153" s="1"/>
  <c r="BG61" i="153"/>
  <c r="BH61" i="153" s="1"/>
  <c r="P61" i="153"/>
  <c r="AV61" i="153"/>
  <c r="AW61" i="153" s="1"/>
  <c r="BN61" i="153"/>
  <c r="BO61" i="153" s="1"/>
  <c r="AK61" i="153"/>
  <c r="AL61" i="153" s="1"/>
  <c r="R61" i="153"/>
  <c r="T61" i="153" s="1"/>
  <c r="AQ61" i="153"/>
  <c r="AR61" i="153" s="1"/>
  <c r="Y61" i="153"/>
  <c r="Z61" i="153" s="1"/>
  <c r="AE61" i="153"/>
  <c r="AF61" i="153" s="1"/>
  <c r="BD61" i="153"/>
  <c r="BE61" i="153" s="1"/>
  <c r="BL61" i="153"/>
  <c r="K62" i="153"/>
  <c r="I66" i="153"/>
  <c r="M61" i="152"/>
  <c r="BQ61" i="152"/>
  <c r="BR61" i="152" s="1"/>
  <c r="O61" i="152"/>
  <c r="V61" i="152"/>
  <c r="W61" i="152" s="1"/>
  <c r="AB61" i="152"/>
  <c r="AC61" i="152" s="1"/>
  <c r="AH61" i="152"/>
  <c r="AI61" i="152" s="1"/>
  <c r="AN61" i="152"/>
  <c r="AO61" i="152" s="1"/>
  <c r="BA61" i="152"/>
  <c r="BB61" i="152" s="1"/>
  <c r="BG61" i="152"/>
  <c r="BH61" i="152" s="1"/>
  <c r="P61" i="152"/>
  <c r="AV61" i="152"/>
  <c r="AW61" i="152" s="1"/>
  <c r="BN61" i="152"/>
  <c r="BO61" i="152" s="1"/>
  <c r="R61" i="152"/>
  <c r="T61" i="152" s="1"/>
  <c r="AQ61" i="152"/>
  <c r="AR61" i="152" s="1"/>
  <c r="Y61" i="152"/>
  <c r="Z61" i="152" s="1"/>
  <c r="AK61" i="152"/>
  <c r="AL61" i="152" s="1"/>
  <c r="BD61" i="152"/>
  <c r="BE61" i="152" s="1"/>
  <c r="AE61" i="152"/>
  <c r="AF61" i="152" s="1"/>
  <c r="BL61" i="152"/>
  <c r="K62" i="152"/>
  <c r="I70" i="152"/>
  <c r="AO54" i="15"/>
  <c r="AL54" i="15"/>
  <c r="AC55" i="114"/>
  <c r="Z53" i="17"/>
  <c r="Z53" i="13"/>
  <c r="BD59" i="151"/>
  <c r="BE59" i="151" s="1"/>
  <c r="AQ59" i="151"/>
  <c r="AR59" i="151" s="1"/>
  <c r="AK59" i="151"/>
  <c r="AL59" i="151" s="1"/>
  <c r="AE59" i="151"/>
  <c r="AF59" i="151" s="1"/>
  <c r="BG59" i="151"/>
  <c r="BH59" i="151" s="1"/>
  <c r="BA59" i="151"/>
  <c r="BB59" i="151" s="1"/>
  <c r="AT59" i="151"/>
  <c r="AN59" i="151"/>
  <c r="AO59" i="151" s="1"/>
  <c r="AH59" i="151"/>
  <c r="AI59" i="151" s="1"/>
  <c r="AB59" i="151"/>
  <c r="AC59" i="151" s="1"/>
  <c r="AV59" i="151"/>
  <c r="AW59" i="151" s="1"/>
  <c r="Y59" i="151"/>
  <c r="Z59" i="151" s="1"/>
  <c r="R59" i="151"/>
  <c r="T59" i="151" s="1"/>
  <c r="BQ59" i="151"/>
  <c r="BR59" i="151" s="1"/>
  <c r="P59" i="151"/>
  <c r="V59" i="151"/>
  <c r="W59" i="151" s="1"/>
  <c r="O59" i="151"/>
  <c r="AY59" i="151"/>
  <c r="M59" i="151"/>
  <c r="BN59" i="151"/>
  <c r="BO59" i="151" s="1"/>
  <c r="BL59" i="151"/>
  <c r="K60" i="151"/>
  <c r="I61" i="151"/>
  <c r="I62" i="150"/>
  <c r="BQ58" i="150"/>
  <c r="BR58" i="150" s="1"/>
  <c r="BD58" i="150"/>
  <c r="BE58" i="150" s="1"/>
  <c r="AQ58" i="150"/>
  <c r="AR58" i="150" s="1"/>
  <c r="AK58" i="150"/>
  <c r="AL58" i="150" s="1"/>
  <c r="AE58" i="150"/>
  <c r="AF58" i="150" s="1"/>
  <c r="Y58" i="150"/>
  <c r="Z58" i="150" s="1"/>
  <c r="R58" i="150"/>
  <c r="T58" i="150" s="1"/>
  <c r="AT58" i="150"/>
  <c r="V58" i="150"/>
  <c r="W58" i="150" s="1"/>
  <c r="BA58" i="150"/>
  <c r="BB58" i="150" s="1"/>
  <c r="AB58" i="150"/>
  <c r="AC58" i="150" s="1"/>
  <c r="AY58" i="150"/>
  <c r="AH58" i="150"/>
  <c r="AI58" i="150" s="1"/>
  <c r="P58" i="150"/>
  <c r="BG58" i="150"/>
  <c r="BH58" i="150" s="1"/>
  <c r="AV58" i="150"/>
  <c r="AW58" i="150" s="1"/>
  <c r="O58" i="150"/>
  <c r="AN58" i="150"/>
  <c r="AO58" i="150" s="1"/>
  <c r="M58" i="150"/>
  <c r="BN58" i="150"/>
  <c r="BO58" i="150" s="1"/>
  <c r="BL58" i="150"/>
  <c r="K59" i="150"/>
  <c r="AV60" i="149"/>
  <c r="AW60" i="149" s="1"/>
  <c r="P60" i="149"/>
  <c r="BQ60" i="149"/>
  <c r="BR60" i="149" s="1"/>
  <c r="AY60" i="149"/>
  <c r="AK60" i="149"/>
  <c r="AL60" i="149" s="1"/>
  <c r="Y60" i="149"/>
  <c r="Z60" i="149" s="1"/>
  <c r="BG60" i="149"/>
  <c r="BH60" i="149" s="1"/>
  <c r="AH60" i="149"/>
  <c r="AI60" i="149" s="1"/>
  <c r="V60" i="149"/>
  <c r="W60" i="149" s="1"/>
  <c r="BD60" i="149"/>
  <c r="BE60" i="149" s="1"/>
  <c r="AQ60" i="149"/>
  <c r="AR60" i="149" s="1"/>
  <c r="AE60" i="149"/>
  <c r="AF60" i="149" s="1"/>
  <c r="R60" i="149"/>
  <c r="T60" i="149" s="1"/>
  <c r="BA60" i="149"/>
  <c r="BB60" i="149" s="1"/>
  <c r="AN60" i="149"/>
  <c r="AO60" i="149" s="1"/>
  <c r="AB60" i="149"/>
  <c r="AC60" i="149" s="1"/>
  <c r="O60" i="149"/>
  <c r="M60" i="149"/>
  <c r="BN60" i="149"/>
  <c r="BO60" i="149" s="1"/>
  <c r="BL60" i="149"/>
  <c r="I62" i="149"/>
  <c r="K61" i="149"/>
  <c r="AT61" i="149" s="1"/>
  <c r="AQ53" i="13"/>
  <c r="AR53" i="13" s="1"/>
  <c r="BA53" i="13"/>
  <c r="BB53" i="13" s="1"/>
  <c r="BR54" i="118"/>
  <c r="AF54" i="118"/>
  <c r="AF53" i="13"/>
  <c r="AL53" i="13"/>
  <c r="BG59" i="147"/>
  <c r="BH59" i="147" s="1"/>
  <c r="BA59" i="147"/>
  <c r="BB59" i="147" s="1"/>
  <c r="AT59" i="147"/>
  <c r="AN59" i="147"/>
  <c r="AO59" i="147" s="1"/>
  <c r="AH59" i="147"/>
  <c r="AI59" i="147" s="1"/>
  <c r="AB59" i="147"/>
  <c r="AC59" i="147" s="1"/>
  <c r="V59" i="147"/>
  <c r="W59" i="147" s="1"/>
  <c r="O59" i="147"/>
  <c r="BQ59" i="147"/>
  <c r="BR59" i="147" s="1"/>
  <c r="AY59" i="147"/>
  <c r="BD59" i="147"/>
  <c r="BE59" i="147" s="1"/>
  <c r="AQ59" i="147"/>
  <c r="AR59" i="147" s="1"/>
  <c r="AE59" i="147"/>
  <c r="AF59" i="147" s="1"/>
  <c r="R59" i="147"/>
  <c r="T59" i="147" s="1"/>
  <c r="P59" i="147"/>
  <c r="Y59" i="147"/>
  <c r="Z59" i="147" s="1"/>
  <c r="AV59" i="147"/>
  <c r="AW59" i="147" s="1"/>
  <c r="AK59" i="147"/>
  <c r="AL59" i="147" s="1"/>
  <c r="BN59" i="147"/>
  <c r="BO59" i="147" s="1"/>
  <c r="BJ59" i="147"/>
  <c r="BL59" i="147" s="1"/>
  <c r="M59" i="147"/>
  <c r="BK59" i="147"/>
  <c r="I61" i="147"/>
  <c r="K60" i="147"/>
  <c r="V33" i="147"/>
  <c r="W33" i="147" s="1"/>
  <c r="P34" i="147"/>
  <c r="O33" i="147"/>
  <c r="W29" i="146"/>
  <c r="O30" i="146"/>
  <c r="K59" i="146"/>
  <c r="I60" i="146"/>
  <c r="V30" i="146"/>
  <c r="W30" i="146" s="1"/>
  <c r="P31" i="146"/>
  <c r="BD58" i="146"/>
  <c r="BE58" i="146" s="1"/>
  <c r="AQ58" i="146"/>
  <c r="AR58" i="146" s="1"/>
  <c r="AK58" i="146"/>
  <c r="AL58" i="146" s="1"/>
  <c r="AE58" i="146"/>
  <c r="AF58" i="146" s="1"/>
  <c r="Y58" i="146"/>
  <c r="Z58" i="146" s="1"/>
  <c r="R58" i="146"/>
  <c r="T58" i="146" s="1"/>
  <c r="BG58" i="146"/>
  <c r="BH58" i="146" s="1"/>
  <c r="BA58" i="146"/>
  <c r="BB58" i="146" s="1"/>
  <c r="AT58" i="146"/>
  <c r="AN58" i="146"/>
  <c r="AO58" i="146" s="1"/>
  <c r="AH58" i="146"/>
  <c r="AI58" i="146" s="1"/>
  <c r="AB58" i="146"/>
  <c r="AC58" i="146" s="1"/>
  <c r="V58" i="146"/>
  <c r="W58" i="146" s="1"/>
  <c r="O58" i="146"/>
  <c r="P58" i="146"/>
  <c r="AY58" i="146"/>
  <c r="AV58" i="146"/>
  <c r="AW58" i="146" s="1"/>
  <c r="BQ58" i="146"/>
  <c r="BR58" i="146" s="1"/>
  <c r="BJ58" i="146"/>
  <c r="BL58" i="146" s="1"/>
  <c r="BK58" i="146"/>
  <c r="M58" i="146"/>
  <c r="BN58" i="146"/>
  <c r="BO58" i="146" s="1"/>
  <c r="BB53" i="120"/>
  <c r="AQ54" i="118"/>
  <c r="AR54" i="118" s="1"/>
  <c r="Z53" i="120"/>
  <c r="AC53" i="66"/>
  <c r="BH53" i="13"/>
  <c r="AO53" i="13"/>
  <c r="AC55" i="126"/>
  <c r="AQ53" i="120"/>
  <c r="AR53" i="120" s="1"/>
  <c r="Z53" i="66"/>
  <c r="AC55" i="115"/>
  <c r="BR53" i="66"/>
  <c r="BR53" i="17"/>
  <c r="BH53" i="66"/>
  <c r="W53" i="66"/>
  <c r="AF53" i="66"/>
  <c r="AF54" i="15"/>
  <c r="BR54" i="15"/>
  <c r="W54" i="15"/>
  <c r="AC53" i="17"/>
  <c r="BG53" i="120"/>
  <c r="BH53" i="120" s="1"/>
  <c r="BA53" i="66"/>
  <c r="BB53" i="66" s="1"/>
  <c r="AO53" i="66"/>
  <c r="AL53" i="66"/>
  <c r="BR53" i="13"/>
  <c r="AI53" i="13"/>
  <c r="AF53" i="120"/>
  <c r="BN55" i="15"/>
  <c r="BO55" i="15" s="1"/>
  <c r="AB55" i="15"/>
  <c r="M55" i="15"/>
  <c r="BQ55" i="15"/>
  <c r="BR55" i="15" s="1"/>
  <c r="O55" i="15"/>
  <c r="AT55" i="15"/>
  <c r="BA55" i="15"/>
  <c r="BB55" i="15" s="1"/>
  <c r="AE55" i="15"/>
  <c r="AF55" i="15" s="1"/>
  <c r="AK55" i="15"/>
  <c r="AL55" i="15" s="1"/>
  <c r="AN55" i="15"/>
  <c r="AO55" i="15" s="1"/>
  <c r="BL55" i="15"/>
  <c r="BD55" i="15"/>
  <c r="BE55" i="15" s="1"/>
  <c r="AY55" i="15"/>
  <c r="P55" i="15"/>
  <c r="AQ55" i="15"/>
  <c r="AR55" i="15" s="1"/>
  <c r="Y55" i="15"/>
  <c r="Z55" i="15" s="1"/>
  <c r="AV55" i="15"/>
  <c r="AW55" i="15" s="1"/>
  <c r="V55" i="15"/>
  <c r="W55" i="15" s="1"/>
  <c r="BG55" i="15"/>
  <c r="BH55" i="15" s="1"/>
  <c r="AH55" i="15"/>
  <c r="AI55" i="15" s="1"/>
  <c r="R55" i="15"/>
  <c r="T55" i="15" s="1"/>
  <c r="K56" i="15"/>
  <c r="M58" i="105"/>
  <c r="BN58" i="105"/>
  <c r="BO58" i="105" s="1"/>
  <c r="BJ58" i="105"/>
  <c r="BL58" i="105" s="1"/>
  <c r="BK58" i="105"/>
  <c r="AQ58" i="105"/>
  <c r="AR58" i="105" s="1"/>
  <c r="AT58" i="105"/>
  <c r="Y58" i="105"/>
  <c r="Z58" i="105" s="1"/>
  <c r="R58" i="105"/>
  <c r="T58" i="105" s="1"/>
  <c r="AV58" i="105"/>
  <c r="AW58" i="105" s="1"/>
  <c r="AB58" i="105"/>
  <c r="AC58" i="105" s="1"/>
  <c r="BD58" i="105"/>
  <c r="BE58" i="105" s="1"/>
  <c r="P58" i="105"/>
  <c r="O58" i="105"/>
  <c r="AK58" i="105"/>
  <c r="AL58" i="105" s="1"/>
  <c r="V58" i="105"/>
  <c r="W58" i="105" s="1"/>
  <c r="AY58" i="105"/>
  <c r="BQ58" i="105"/>
  <c r="BR58" i="105" s="1"/>
  <c r="AE58" i="105"/>
  <c r="AF58" i="105" s="1"/>
  <c r="BA58" i="105"/>
  <c r="BB58" i="105" s="1"/>
  <c r="BG58" i="105"/>
  <c r="BH58" i="105" s="1"/>
  <c r="AN58" i="105"/>
  <c r="AO58" i="105" s="1"/>
  <c r="AH58" i="105"/>
  <c r="AI58" i="105" s="1"/>
  <c r="K59" i="105"/>
  <c r="K57" i="110"/>
  <c r="I58" i="110"/>
  <c r="I60" i="15"/>
  <c r="I57" i="101"/>
  <c r="K56" i="101"/>
  <c r="I61" i="126"/>
  <c r="V54" i="66"/>
  <c r="AN54" i="66"/>
  <c r="AB54" i="66"/>
  <c r="M54" i="66"/>
  <c r="AK54" i="66"/>
  <c r="AE54" i="66"/>
  <c r="BN54" i="66"/>
  <c r="BO54" i="66" s="1"/>
  <c r="AH54" i="66"/>
  <c r="BL54" i="66"/>
  <c r="AY54" i="66"/>
  <c r="BA54" i="66" s="1"/>
  <c r="BQ54" i="66"/>
  <c r="AT54" i="66"/>
  <c r="AV54" i="66" s="1"/>
  <c r="R54" i="66"/>
  <c r="T54" i="66" s="1"/>
  <c r="Y54" i="66" s="1"/>
  <c r="I62" i="136"/>
  <c r="O54" i="66"/>
  <c r="AB54" i="120"/>
  <c r="K55" i="120"/>
  <c r="M54" i="120"/>
  <c r="AH54" i="120"/>
  <c r="AE54" i="120"/>
  <c r="V54" i="120"/>
  <c r="BN54" i="120"/>
  <c r="BO54" i="120" s="1"/>
  <c r="AY54" i="120"/>
  <c r="BA54" i="120" s="1"/>
  <c r="BQ54" i="120"/>
  <c r="AK54" i="120"/>
  <c r="AN54" i="120"/>
  <c r="R54" i="120"/>
  <c r="T54" i="120" s="1"/>
  <c r="Y54" i="120" s="1"/>
  <c r="BN58" i="136"/>
  <c r="BO58" i="136" s="1"/>
  <c r="M58" i="136"/>
  <c r="BL58" i="136"/>
  <c r="P58" i="136"/>
  <c r="BG58" i="136"/>
  <c r="BH58" i="136" s="1"/>
  <c r="AQ58" i="136"/>
  <c r="AR58" i="136" s="1"/>
  <c r="V58" i="136"/>
  <c r="W58" i="136" s="1"/>
  <c r="BA58" i="136"/>
  <c r="BB58" i="136" s="1"/>
  <c r="AH58" i="136"/>
  <c r="AI58" i="136" s="1"/>
  <c r="R58" i="136"/>
  <c r="T58" i="136" s="1"/>
  <c r="Y58" i="136"/>
  <c r="Z58" i="136" s="1"/>
  <c r="BD58" i="136"/>
  <c r="BE58" i="136" s="1"/>
  <c r="AY58" i="136"/>
  <c r="AN58" i="136"/>
  <c r="AO58" i="136" s="1"/>
  <c r="AT58" i="136"/>
  <c r="BQ58" i="136"/>
  <c r="BR58" i="136" s="1"/>
  <c r="AB58" i="136"/>
  <c r="AC58" i="136" s="1"/>
  <c r="AK58" i="136"/>
  <c r="AL58" i="136" s="1"/>
  <c r="AV58" i="136"/>
  <c r="AW58" i="136" s="1"/>
  <c r="O58" i="136"/>
  <c r="AE58" i="136"/>
  <c r="AF58" i="136" s="1"/>
  <c r="K59" i="136"/>
  <c r="BD53" i="66"/>
  <c r="BE53" i="66" s="1"/>
  <c r="AQ54" i="15"/>
  <c r="AR54" i="15" s="1"/>
  <c r="I60" i="104"/>
  <c r="BJ60" i="124"/>
  <c r="BL60" i="124" s="1"/>
  <c r="BN60" i="124"/>
  <c r="BO60" i="124" s="1"/>
  <c r="M60" i="124"/>
  <c r="K61" i="124"/>
  <c r="BK60" i="124"/>
  <c r="Y60" i="124"/>
  <c r="Z60" i="124" s="1"/>
  <c r="AK60" i="124"/>
  <c r="AL60" i="124" s="1"/>
  <c r="P60" i="124"/>
  <c r="AY60" i="124"/>
  <c r="BA60" i="124"/>
  <c r="BB60" i="124" s="1"/>
  <c r="AE60" i="124"/>
  <c r="AF60" i="124" s="1"/>
  <c r="R60" i="124"/>
  <c r="T60" i="124" s="1"/>
  <c r="BD60" i="124"/>
  <c r="BE60" i="124" s="1"/>
  <c r="AV60" i="124"/>
  <c r="AW60" i="124" s="1"/>
  <c r="AB60" i="124"/>
  <c r="AC60" i="124" s="1"/>
  <c r="AN60" i="124"/>
  <c r="AO60" i="124" s="1"/>
  <c r="BQ60" i="124"/>
  <c r="BR60" i="124" s="1"/>
  <c r="BG60" i="124"/>
  <c r="BH60" i="124" s="1"/>
  <c r="AT60" i="124"/>
  <c r="AH60" i="124"/>
  <c r="AI60" i="124" s="1"/>
  <c r="V60" i="124"/>
  <c r="W60" i="124" s="1"/>
  <c r="AQ60" i="124"/>
  <c r="AR60" i="124" s="1"/>
  <c r="O60" i="124"/>
  <c r="BN56" i="114"/>
  <c r="BO56" i="114" s="1"/>
  <c r="BJ56" i="114"/>
  <c r="BL56" i="114" s="1"/>
  <c r="BK56" i="114"/>
  <c r="M56" i="114"/>
  <c r="V56" i="114"/>
  <c r="W56" i="114" s="1"/>
  <c r="AY56" i="114"/>
  <c r="BD56" i="114"/>
  <c r="BE56" i="114" s="1"/>
  <c r="AQ56" i="114"/>
  <c r="AR56" i="114" s="1"/>
  <c r="P56" i="114"/>
  <c r="Y56" i="114"/>
  <c r="Z56" i="114" s="1"/>
  <c r="BG56" i="114"/>
  <c r="BH56" i="114" s="1"/>
  <c r="AV56" i="114"/>
  <c r="AW56" i="114" s="1"/>
  <c r="AT56" i="114"/>
  <c r="AK56" i="114"/>
  <c r="AL56" i="114" s="1"/>
  <c r="AB56" i="114"/>
  <c r="AC56" i="114" s="1"/>
  <c r="AH56" i="114"/>
  <c r="AI56" i="114" s="1"/>
  <c r="O56" i="114"/>
  <c r="BQ56" i="114"/>
  <c r="BR56" i="114" s="1"/>
  <c r="AN56" i="114"/>
  <c r="AO56" i="114" s="1"/>
  <c r="AE56" i="114"/>
  <c r="AF56" i="114" s="1"/>
  <c r="R56" i="114"/>
  <c r="T56" i="114" s="1"/>
  <c r="BA56" i="114"/>
  <c r="BB56" i="114" s="1"/>
  <c r="K57" i="114"/>
  <c r="BQ56" i="96"/>
  <c r="BR56" i="96" s="1"/>
  <c r="BA56" i="96"/>
  <c r="BB56" i="96" s="1"/>
  <c r="BN56" i="96"/>
  <c r="BO56" i="96" s="1"/>
  <c r="AE56" i="96"/>
  <c r="AF56" i="96" s="1"/>
  <c r="Y56" i="96"/>
  <c r="Z56" i="96" s="1"/>
  <c r="O56" i="96"/>
  <c r="AH56" i="96"/>
  <c r="AI56" i="96" s="1"/>
  <c r="AB56" i="96"/>
  <c r="AN56" i="96"/>
  <c r="AO56" i="96" s="1"/>
  <c r="AV56" i="96"/>
  <c r="AW56" i="96" s="1"/>
  <c r="AK56" i="96"/>
  <c r="AL56" i="96" s="1"/>
  <c r="BG56" i="96"/>
  <c r="BH56" i="96" s="1"/>
  <c r="AT56" i="96"/>
  <c r="R56" i="96"/>
  <c r="T56" i="96" s="1"/>
  <c r="AQ56" i="96"/>
  <c r="AR56" i="96" s="1"/>
  <c r="V56" i="96"/>
  <c r="W56" i="96" s="1"/>
  <c r="M56" i="96"/>
  <c r="BD56" i="96"/>
  <c r="BE56" i="96" s="1"/>
  <c r="P56" i="96"/>
  <c r="BL56" i="96"/>
  <c r="AQ53" i="17"/>
  <c r="AR53" i="17" s="1"/>
  <c r="AL53" i="17"/>
  <c r="AI53" i="17"/>
  <c r="M56" i="126"/>
  <c r="BK56" i="126"/>
  <c r="BN56" i="126"/>
  <c r="BO56" i="126" s="1"/>
  <c r="BJ56" i="126"/>
  <c r="BL56" i="126" s="1"/>
  <c r="AQ56" i="126"/>
  <c r="AR56" i="126" s="1"/>
  <c r="P56" i="126"/>
  <c r="AT56" i="126"/>
  <c r="V56" i="126"/>
  <c r="W56" i="126" s="1"/>
  <c r="AE56" i="126"/>
  <c r="AF56" i="126" s="1"/>
  <c r="O56" i="126"/>
  <c r="AV56" i="126"/>
  <c r="AW56" i="126" s="1"/>
  <c r="BA56" i="126"/>
  <c r="BB56" i="126" s="1"/>
  <c r="AN56" i="126"/>
  <c r="AO56" i="126" s="1"/>
  <c r="R56" i="126"/>
  <c r="T56" i="126" s="1"/>
  <c r="AK56" i="126"/>
  <c r="AL56" i="126" s="1"/>
  <c r="Y56" i="126"/>
  <c r="Z56" i="126" s="1"/>
  <c r="BG56" i="126"/>
  <c r="BH56" i="126" s="1"/>
  <c r="BQ56" i="126"/>
  <c r="BR56" i="126" s="1"/>
  <c r="AB56" i="126"/>
  <c r="AC56" i="126" s="1"/>
  <c r="BD56" i="126"/>
  <c r="BE56" i="126" s="1"/>
  <c r="AH56" i="126"/>
  <c r="AI56" i="126" s="1"/>
  <c r="AY56" i="126"/>
  <c r="K57" i="126"/>
  <c r="I71" i="133"/>
  <c r="I62" i="114"/>
  <c r="AC55" i="96"/>
  <c r="I63" i="132"/>
  <c r="M57" i="135"/>
  <c r="AQ57" i="135"/>
  <c r="AR57" i="135" s="1"/>
  <c r="AK57" i="135"/>
  <c r="AL57" i="135" s="1"/>
  <c r="BG57" i="135"/>
  <c r="BH57" i="135" s="1"/>
  <c r="AN57" i="135"/>
  <c r="AO57" i="135" s="1"/>
  <c r="Y57" i="135"/>
  <c r="Z57" i="135" s="1"/>
  <c r="AB57" i="135"/>
  <c r="AC57" i="135" s="1"/>
  <c r="AH57" i="135"/>
  <c r="AI57" i="135" s="1"/>
  <c r="V57" i="135"/>
  <c r="W57" i="135" s="1"/>
  <c r="BA57" i="135"/>
  <c r="BB57" i="135" s="1"/>
  <c r="AE57" i="135"/>
  <c r="AF57" i="135" s="1"/>
  <c r="BN57" i="135"/>
  <c r="BO57" i="135" s="1"/>
  <c r="BQ57" i="135"/>
  <c r="BR57" i="135" s="1"/>
  <c r="AT57" i="135"/>
  <c r="AY57" i="135"/>
  <c r="P57" i="135"/>
  <c r="BD57" i="135"/>
  <c r="BE57" i="135" s="1"/>
  <c r="O57" i="135"/>
  <c r="R57" i="135"/>
  <c r="T57" i="135" s="1"/>
  <c r="BL57" i="135"/>
  <c r="AV57" i="135"/>
  <c r="AW57" i="135" s="1"/>
  <c r="I56" i="66"/>
  <c r="K55" i="66"/>
  <c r="K55" i="13"/>
  <c r="I56" i="13"/>
  <c r="BG54" i="118"/>
  <c r="BH54" i="118" s="1"/>
  <c r="M56" i="115"/>
  <c r="BN56" i="115"/>
  <c r="BO56" i="115" s="1"/>
  <c r="BJ56" i="115"/>
  <c r="BL56" i="115" s="1"/>
  <c r="BK56" i="115"/>
  <c r="AK56" i="115"/>
  <c r="AL56" i="115" s="1"/>
  <c r="Y56" i="115"/>
  <c r="Z56" i="115" s="1"/>
  <c r="R56" i="115"/>
  <c r="T56" i="115" s="1"/>
  <c r="AQ56" i="115"/>
  <c r="AR56" i="115" s="1"/>
  <c r="AV56" i="115"/>
  <c r="AW56" i="115" s="1"/>
  <c r="V56" i="115"/>
  <c r="W56" i="115" s="1"/>
  <c r="AE56" i="115"/>
  <c r="AF56" i="115" s="1"/>
  <c r="AN56" i="115"/>
  <c r="AO56" i="115" s="1"/>
  <c r="BD56" i="115"/>
  <c r="BE56" i="115" s="1"/>
  <c r="BQ56" i="115"/>
  <c r="BR56" i="115" s="1"/>
  <c r="BA56" i="115"/>
  <c r="BB56" i="115" s="1"/>
  <c r="AB56" i="115"/>
  <c r="AC56" i="115" s="1"/>
  <c r="AT56" i="115"/>
  <c r="P56" i="115"/>
  <c r="AY56" i="115"/>
  <c r="AH56" i="115"/>
  <c r="AI56" i="115" s="1"/>
  <c r="BG56" i="115"/>
  <c r="BH56" i="115" s="1"/>
  <c r="O56" i="115"/>
  <c r="I112" i="99"/>
  <c r="AC55" i="63"/>
  <c r="AO53" i="120"/>
  <c r="W53" i="120"/>
  <c r="AI53" i="120"/>
  <c r="K57" i="98"/>
  <c r="M56" i="98"/>
  <c r="BN56" i="98"/>
  <c r="BO56" i="98" s="1"/>
  <c r="BK56" i="98"/>
  <c r="BJ56" i="98"/>
  <c r="BL56" i="98" s="1"/>
  <c r="AE56" i="98"/>
  <c r="AF56" i="98" s="1"/>
  <c r="Y56" i="98"/>
  <c r="Z56" i="98" s="1"/>
  <c r="V56" i="98"/>
  <c r="W56" i="98" s="1"/>
  <c r="BD56" i="98"/>
  <c r="BE56" i="98" s="1"/>
  <c r="BQ56" i="98"/>
  <c r="BR56" i="98" s="1"/>
  <c r="AQ56" i="98"/>
  <c r="AR56" i="98" s="1"/>
  <c r="AK56" i="98"/>
  <c r="AL56" i="98" s="1"/>
  <c r="AT56" i="98"/>
  <c r="AV56" i="98"/>
  <c r="AW56" i="98" s="1"/>
  <c r="BG56" i="98"/>
  <c r="BH56" i="98" s="1"/>
  <c r="AY56" i="98"/>
  <c r="AH56" i="98"/>
  <c r="AI56" i="98" s="1"/>
  <c r="R56" i="98"/>
  <c r="T56" i="98" s="1"/>
  <c r="O56" i="98"/>
  <c r="AB56" i="98"/>
  <c r="AC56" i="98" s="1"/>
  <c r="BA56" i="98"/>
  <c r="BB56" i="98" s="1"/>
  <c r="P56" i="98"/>
  <c r="AN56" i="98"/>
  <c r="AO56" i="98" s="1"/>
  <c r="AQ53" i="66"/>
  <c r="AR53" i="66" s="1"/>
  <c r="AI53" i="66"/>
  <c r="O54" i="120"/>
  <c r="BL54" i="17"/>
  <c r="BN54" i="17"/>
  <c r="BO54" i="17" s="1"/>
  <c r="AY54" i="17"/>
  <c r="BG54" i="17" s="1"/>
  <c r="M54" i="17"/>
  <c r="AE54" i="17"/>
  <c r="AK54" i="17"/>
  <c r="AB54" i="17"/>
  <c r="AH54" i="17"/>
  <c r="V54" i="17"/>
  <c r="AN54" i="17"/>
  <c r="BQ54" i="17"/>
  <c r="R54" i="17"/>
  <c r="T54" i="17" s="1"/>
  <c r="Y54" i="17" s="1"/>
  <c r="I61" i="63"/>
  <c r="I58" i="96"/>
  <c r="K57" i="96"/>
  <c r="P54" i="120"/>
  <c r="I59" i="135"/>
  <c r="K58" i="135"/>
  <c r="O54" i="13"/>
  <c r="BL54" i="13"/>
  <c r="M54" i="13"/>
  <c r="BN54" i="13"/>
  <c r="BO54" i="13" s="1"/>
  <c r="BQ54" i="13"/>
  <c r="AY54" i="13"/>
  <c r="BA54" i="13" s="1"/>
  <c r="AH54" i="13"/>
  <c r="V54" i="13"/>
  <c r="AK54" i="13"/>
  <c r="AE54" i="13"/>
  <c r="AB54" i="13"/>
  <c r="AN54" i="13"/>
  <c r="R54" i="13"/>
  <c r="T54" i="13" s="1"/>
  <c r="Y54" i="13" s="1"/>
  <c r="BD54" i="118"/>
  <c r="BE54" i="118" s="1"/>
  <c r="AO54" i="118"/>
  <c r="AI54" i="118"/>
  <c r="M55" i="118"/>
  <c r="K56" i="118"/>
  <c r="BN55" i="118"/>
  <c r="BO55" i="118" s="1"/>
  <c r="V55" i="118"/>
  <c r="W55" i="118" s="1"/>
  <c r="AY55" i="118"/>
  <c r="AT55" i="118"/>
  <c r="AK55" i="118"/>
  <c r="AL55" i="118" s="1"/>
  <c r="R55" i="118"/>
  <c r="T55" i="118" s="1"/>
  <c r="BA55" i="118"/>
  <c r="BB55" i="118" s="1"/>
  <c r="BG55" i="118"/>
  <c r="BH55" i="118" s="1"/>
  <c r="Y55" i="118"/>
  <c r="Z55" i="118" s="1"/>
  <c r="AQ55" i="118"/>
  <c r="AR55" i="118" s="1"/>
  <c r="AN55" i="118"/>
  <c r="AO55" i="118" s="1"/>
  <c r="AV55" i="118"/>
  <c r="AW55" i="118" s="1"/>
  <c r="O55" i="118"/>
  <c r="BD55" i="118"/>
  <c r="BE55" i="118" s="1"/>
  <c r="P55" i="118"/>
  <c r="BQ55" i="118"/>
  <c r="BR55" i="118" s="1"/>
  <c r="AH55" i="118"/>
  <c r="AI55" i="118" s="1"/>
  <c r="AE55" i="118"/>
  <c r="AF55" i="118" s="1"/>
  <c r="AB55" i="118"/>
  <c r="I58" i="115"/>
  <c r="K57" i="115"/>
  <c r="P54" i="66"/>
  <c r="M56" i="63"/>
  <c r="BN56" i="63"/>
  <c r="BO56" i="63" s="1"/>
  <c r="V56" i="63"/>
  <c r="W56" i="63" s="1"/>
  <c r="Y56" i="63"/>
  <c r="Z56" i="63" s="1"/>
  <c r="P56" i="63"/>
  <c r="BA56" i="63"/>
  <c r="BB56" i="63" s="1"/>
  <c r="AK56" i="63"/>
  <c r="AL56" i="63" s="1"/>
  <c r="AT56" i="63"/>
  <c r="AH56" i="63"/>
  <c r="AI56" i="63" s="1"/>
  <c r="BG56" i="63"/>
  <c r="BH56" i="63" s="1"/>
  <c r="O56" i="63"/>
  <c r="AY56" i="63"/>
  <c r="R56" i="63"/>
  <c r="T56" i="63" s="1"/>
  <c r="AQ56" i="63"/>
  <c r="AR56" i="63" s="1"/>
  <c r="AE56" i="63"/>
  <c r="AF56" i="63" s="1"/>
  <c r="AB56" i="63"/>
  <c r="AC56" i="63" s="1"/>
  <c r="AV56" i="63"/>
  <c r="AW56" i="63" s="1"/>
  <c r="BQ56" i="63"/>
  <c r="BR56" i="63" s="1"/>
  <c r="BD56" i="63"/>
  <c r="BE56" i="63" s="1"/>
  <c r="AN56" i="63"/>
  <c r="AO56" i="63" s="1"/>
  <c r="BL56" i="63"/>
  <c r="K57" i="63"/>
  <c r="I63" i="105"/>
  <c r="AE57" i="64"/>
  <c r="AF57" i="64" s="1"/>
  <c r="AH57" i="64"/>
  <c r="AI57" i="64" s="1"/>
  <c r="Y57" i="64"/>
  <c r="Z57" i="64" s="1"/>
  <c r="V57" i="64"/>
  <c r="W57" i="64" s="1"/>
  <c r="AV57" i="64"/>
  <c r="AW57" i="64" s="1"/>
  <c r="BA57" i="64"/>
  <c r="BB57" i="64" s="1"/>
  <c r="BQ57" i="64"/>
  <c r="BR57" i="64" s="1"/>
  <c r="BG57" i="64"/>
  <c r="BH57" i="64" s="1"/>
  <c r="AQ57" i="64"/>
  <c r="AR57" i="64" s="1"/>
  <c r="AT57" i="64"/>
  <c r="BD57" i="64"/>
  <c r="BE57" i="64" s="1"/>
  <c r="P57" i="64"/>
  <c r="AN57" i="64"/>
  <c r="AO57" i="64" s="1"/>
  <c r="O57" i="64"/>
  <c r="M57" i="64"/>
  <c r="AK57" i="64"/>
  <c r="AL57" i="64" s="1"/>
  <c r="R57" i="64"/>
  <c r="T57" i="64" s="1"/>
  <c r="AB57" i="64"/>
  <c r="AC57" i="64" s="1"/>
  <c r="AY57" i="64"/>
  <c r="BN57" i="64"/>
  <c r="BO57" i="64" s="1"/>
  <c r="BL57" i="64"/>
  <c r="K58" i="64"/>
  <c r="I56" i="17"/>
  <c r="K55" i="17"/>
  <c r="BJ56" i="110"/>
  <c r="BL56" i="110" s="1"/>
  <c r="M56" i="110"/>
  <c r="BK56" i="110"/>
  <c r="BN56" i="110"/>
  <c r="BO56" i="110" s="1"/>
  <c r="AH56" i="110"/>
  <c r="AI56" i="110" s="1"/>
  <c r="AQ56" i="110"/>
  <c r="AR56" i="110" s="1"/>
  <c r="P56" i="110"/>
  <c r="BA56" i="110"/>
  <c r="BB56" i="110" s="1"/>
  <c r="BD56" i="110"/>
  <c r="BE56" i="110" s="1"/>
  <c r="R56" i="110"/>
  <c r="T56" i="110" s="1"/>
  <c r="AK56" i="110"/>
  <c r="AL56" i="110" s="1"/>
  <c r="AV56" i="110"/>
  <c r="AW56" i="110" s="1"/>
  <c r="BQ56" i="110"/>
  <c r="BR56" i="110" s="1"/>
  <c r="O56" i="110"/>
  <c r="BG56" i="110"/>
  <c r="BH56" i="110" s="1"/>
  <c r="V56" i="110"/>
  <c r="W56" i="110" s="1"/>
  <c r="AB56" i="110"/>
  <c r="AC56" i="110" s="1"/>
  <c r="AY56" i="110"/>
  <c r="AT56" i="110"/>
  <c r="AN56" i="110"/>
  <c r="AO56" i="110" s="1"/>
  <c r="AE56" i="110"/>
  <c r="AF56" i="110" s="1"/>
  <c r="Y56" i="110"/>
  <c r="Z56" i="110" s="1"/>
  <c r="P54" i="17"/>
  <c r="I62" i="64"/>
  <c r="M55" i="101"/>
  <c r="Y55" i="101"/>
  <c r="Z55" i="101" s="1"/>
  <c r="BA55" i="101"/>
  <c r="BB55" i="101" s="1"/>
  <c r="AH55" i="101"/>
  <c r="AI55" i="101" s="1"/>
  <c r="V55" i="101"/>
  <c r="W55" i="101" s="1"/>
  <c r="AV55" i="101"/>
  <c r="AW55" i="101" s="1"/>
  <c r="P55" i="101"/>
  <c r="BG55" i="101"/>
  <c r="BH55" i="101" s="1"/>
  <c r="AE55" i="101"/>
  <c r="AF55" i="101" s="1"/>
  <c r="BQ55" i="101"/>
  <c r="BR55" i="101" s="1"/>
  <c r="AT55" i="101"/>
  <c r="AY55" i="101"/>
  <c r="BD55" i="101"/>
  <c r="BE55" i="101" s="1"/>
  <c r="AN55" i="101"/>
  <c r="AO55" i="101" s="1"/>
  <c r="R55" i="101"/>
  <c r="T55" i="101" s="1"/>
  <c r="AB55" i="101"/>
  <c r="AC55" i="101" s="1"/>
  <c r="AK55" i="101"/>
  <c r="AL55" i="101" s="1"/>
  <c r="AQ55" i="101"/>
  <c r="AR55" i="101" s="1"/>
  <c r="O55" i="101"/>
  <c r="I65" i="95"/>
  <c r="O54" i="17"/>
  <c r="W54" i="118"/>
  <c r="O30" i="105"/>
  <c r="O31" i="99"/>
  <c r="V31" i="99" s="1"/>
  <c r="P32" i="99"/>
  <c r="P33" i="99" s="1"/>
  <c r="P34" i="99" s="1"/>
  <c r="P35" i="99" s="1"/>
  <c r="P36" i="99" s="1"/>
  <c r="P37" i="99" s="1"/>
  <c r="P38" i="99" s="1"/>
  <c r="P39" i="99" s="1"/>
  <c r="P40" i="99" s="1"/>
  <c r="P41" i="99" s="1"/>
  <c r="P42" i="99" s="1"/>
  <c r="P43" i="99" s="1"/>
  <c r="P44" i="99" s="1"/>
  <c r="P31" i="105"/>
  <c r="V30" i="105"/>
  <c r="W30" i="105" s="1"/>
  <c r="W29" i="110"/>
  <c r="O30" i="110"/>
  <c r="P31" i="110"/>
  <c r="V30" i="110"/>
  <c r="W30" i="110" s="1"/>
  <c r="V28" i="112"/>
  <c r="AO54" i="120" l="1"/>
  <c r="BB54" i="66"/>
  <c r="BA53" i="153"/>
  <c r="BB53" i="153" s="1"/>
  <c r="I62" i="107"/>
  <c r="K61" i="107"/>
  <c r="AC55" i="118"/>
  <c r="BA53" i="155"/>
  <c r="BB53" i="155" s="1"/>
  <c r="Z54" i="95"/>
  <c r="BE54" i="95"/>
  <c r="AW54" i="95"/>
  <c r="AK58" i="99"/>
  <c r="AL58" i="99" s="1"/>
  <c r="P58" i="99"/>
  <c r="AV58" i="99"/>
  <c r="AW58" i="99" s="1"/>
  <c r="AH58" i="99"/>
  <c r="AI58" i="99" s="1"/>
  <c r="M58" i="99"/>
  <c r="AN58" i="99"/>
  <c r="AO58" i="99" s="1"/>
  <c r="BK58" i="99"/>
  <c r="O58" i="99"/>
  <c r="BG58" i="99"/>
  <c r="BH58" i="99" s="1"/>
  <c r="V58" i="99"/>
  <c r="W58" i="99" s="1"/>
  <c r="BD58" i="99"/>
  <c r="BE58" i="99" s="1"/>
  <c r="AY58" i="99"/>
  <c r="AT58" i="99"/>
  <c r="BJ58" i="99"/>
  <c r="BL58" i="99" s="1"/>
  <c r="K59" i="99"/>
  <c r="R58" i="99"/>
  <c r="T58" i="99" s="1"/>
  <c r="BA58" i="99"/>
  <c r="BB58" i="99" s="1"/>
  <c r="BQ58" i="99"/>
  <c r="BR58" i="99" s="1"/>
  <c r="BN58" i="99"/>
  <c r="BO58" i="99" s="1"/>
  <c r="AE58" i="99"/>
  <c r="AF58" i="99" s="1"/>
  <c r="Y58" i="99"/>
  <c r="Z58" i="99" s="1"/>
  <c r="AQ58" i="99"/>
  <c r="AR58" i="99" s="1"/>
  <c r="AB58" i="99"/>
  <c r="AC58" i="99" s="1"/>
  <c r="BA53" i="17"/>
  <c r="BB53" i="17" s="1"/>
  <c r="BN60" i="107"/>
  <c r="BO60" i="107" s="1"/>
  <c r="AB60" i="107"/>
  <c r="AC60" i="107" s="1"/>
  <c r="AN60" i="107"/>
  <c r="AO60" i="107" s="1"/>
  <c r="O60" i="107"/>
  <c r="AV60" i="107"/>
  <c r="AW60" i="107" s="1"/>
  <c r="R60" i="107"/>
  <c r="T60" i="107" s="1"/>
  <c r="BD60" i="107"/>
  <c r="BE60" i="107" s="1"/>
  <c r="Y60" i="107"/>
  <c r="Z60" i="107" s="1"/>
  <c r="AK60" i="107"/>
  <c r="AL60" i="107" s="1"/>
  <c r="BQ60" i="107"/>
  <c r="BR60" i="107" s="1"/>
  <c r="AT60" i="107"/>
  <c r="AQ60" i="107"/>
  <c r="AR60" i="107" s="1"/>
  <c r="P60" i="107"/>
  <c r="BJ60" i="107"/>
  <c r="BL60" i="107" s="1"/>
  <c r="AH60" i="107"/>
  <c r="AI60" i="107" s="1"/>
  <c r="BG60" i="107"/>
  <c r="BH60" i="107" s="1"/>
  <c r="AY60" i="107"/>
  <c r="M60" i="107"/>
  <c r="AE60" i="107"/>
  <c r="AF60" i="107" s="1"/>
  <c r="BK60" i="107"/>
  <c r="V60" i="107"/>
  <c r="W60" i="107" s="1"/>
  <c r="BA60" i="107"/>
  <c r="BB60" i="107" s="1"/>
  <c r="AY58" i="132"/>
  <c r="AQ58" i="132"/>
  <c r="AR58" i="132" s="1"/>
  <c r="AV58" i="132"/>
  <c r="AW58" i="132" s="1"/>
  <c r="AK58" i="132"/>
  <c r="AL58" i="132" s="1"/>
  <c r="AE58" i="132"/>
  <c r="AF58" i="132" s="1"/>
  <c r="M58" i="132"/>
  <c r="BG58" i="132"/>
  <c r="BH58" i="132" s="1"/>
  <c r="P58" i="132"/>
  <c r="BA58" i="132"/>
  <c r="BB58" i="132" s="1"/>
  <c r="Y58" i="132"/>
  <c r="Z58" i="132" s="1"/>
  <c r="AB58" i="132"/>
  <c r="AC58" i="132" s="1"/>
  <c r="BL58" i="132"/>
  <c r="BQ58" i="132"/>
  <c r="BR58" i="132" s="1"/>
  <c r="AN58" i="132"/>
  <c r="AO58" i="132" s="1"/>
  <c r="R58" i="132"/>
  <c r="T58" i="132" s="1"/>
  <c r="V58" i="132"/>
  <c r="W58" i="132" s="1"/>
  <c r="BD58" i="132"/>
  <c r="BE58" i="132" s="1"/>
  <c r="O58" i="132"/>
  <c r="AT58" i="132"/>
  <c r="AH58" i="132"/>
  <c r="AI58" i="132" s="1"/>
  <c r="K59" i="132"/>
  <c r="BN58" i="132"/>
  <c r="BO58" i="132" s="1"/>
  <c r="BR54" i="95"/>
  <c r="O30" i="156"/>
  <c r="O31" i="156" s="1"/>
  <c r="O32" i="156" s="1"/>
  <c r="O33" i="156" s="1"/>
  <c r="O34" i="156" s="1"/>
  <c r="O35" i="156" s="1"/>
  <c r="O36" i="156" s="1"/>
  <c r="O37" i="156" s="1"/>
  <c r="O38" i="156" s="1"/>
  <c r="O39" i="156" s="1"/>
  <c r="O40" i="156" s="1"/>
  <c r="O41" i="156" s="1"/>
  <c r="O42" i="156" s="1"/>
  <c r="O43" i="156" s="1"/>
  <c r="O44" i="156" s="1"/>
  <c r="O45" i="156" s="1"/>
  <c r="O46" i="156" s="1"/>
  <c r="O47" i="156" s="1"/>
  <c r="O48" i="156" s="1"/>
  <c r="O49" i="156" s="1"/>
  <c r="O50" i="156" s="1"/>
  <c r="O51" i="156" s="1"/>
  <c r="O52" i="156" s="1"/>
  <c r="O53" i="156" s="1"/>
  <c r="O54" i="156" s="1"/>
  <c r="R53" i="156"/>
  <c r="T52" i="156"/>
  <c r="Y52" i="156" s="1"/>
  <c r="Z52" i="156" s="1"/>
  <c r="AC54" i="95"/>
  <c r="AC55" i="112"/>
  <c r="K92" i="161"/>
  <c r="BQ92" i="161" s="1"/>
  <c r="I93" i="161"/>
  <c r="AV91" i="161"/>
  <c r="AW91" i="161" s="1"/>
  <c r="P91" i="161"/>
  <c r="BG91" i="161"/>
  <c r="BH91" i="161" s="1"/>
  <c r="BA91" i="161"/>
  <c r="BB91" i="161" s="1"/>
  <c r="AT91" i="161"/>
  <c r="AN91" i="161"/>
  <c r="AO91" i="161" s="1"/>
  <c r="AH91" i="161"/>
  <c r="AI91" i="161" s="1"/>
  <c r="AB91" i="161"/>
  <c r="AC91" i="161" s="1"/>
  <c r="V91" i="161"/>
  <c r="W91" i="161" s="1"/>
  <c r="O91" i="161"/>
  <c r="BR91" i="161"/>
  <c r="AY91" i="161"/>
  <c r="AK91" i="161"/>
  <c r="AL91" i="161" s="1"/>
  <c r="BD91" i="161"/>
  <c r="BE91" i="161" s="1"/>
  <c r="AE91" i="161"/>
  <c r="AF91" i="161" s="1"/>
  <c r="Y91" i="161"/>
  <c r="Z91" i="161" s="1"/>
  <c r="R91" i="161"/>
  <c r="T91" i="161" s="1"/>
  <c r="AQ91" i="161"/>
  <c r="AR91" i="161" s="1"/>
  <c r="BJ91" i="161"/>
  <c r="BL91" i="161" s="1"/>
  <c r="BN91" i="161"/>
  <c r="BO91" i="161" s="1"/>
  <c r="BK91" i="161"/>
  <c r="M91" i="161"/>
  <c r="I63" i="106"/>
  <c r="K58" i="129"/>
  <c r="Y57" i="129"/>
  <c r="Z57" i="129" s="1"/>
  <c r="R57" i="129"/>
  <c r="T57" i="129" s="1"/>
  <c r="BA57" i="129"/>
  <c r="BB57" i="129" s="1"/>
  <c r="BN57" i="129"/>
  <c r="BO57" i="129" s="1"/>
  <c r="BG57" i="129"/>
  <c r="BH57" i="129" s="1"/>
  <c r="AE57" i="129"/>
  <c r="AF57" i="129" s="1"/>
  <c r="AB57" i="129"/>
  <c r="AC57" i="129" s="1"/>
  <c r="AV57" i="129"/>
  <c r="AW57" i="129" s="1"/>
  <c r="AK57" i="129"/>
  <c r="AL57" i="129" s="1"/>
  <c r="AT57" i="129"/>
  <c r="AY57" i="129"/>
  <c r="O57" i="129"/>
  <c r="V57" i="129"/>
  <c r="W57" i="129" s="1"/>
  <c r="P57" i="129"/>
  <c r="AH57" i="129"/>
  <c r="AI57" i="129" s="1"/>
  <c r="AQ57" i="129"/>
  <c r="AR57" i="129" s="1"/>
  <c r="BL57" i="129"/>
  <c r="M57" i="129"/>
  <c r="BD57" i="129"/>
  <c r="BE57" i="129" s="1"/>
  <c r="AN57" i="129"/>
  <c r="AO57" i="129" s="1"/>
  <c r="BQ57" i="129"/>
  <c r="BR57" i="129" s="1"/>
  <c r="AO54" i="95"/>
  <c r="BH54" i="95"/>
  <c r="M55" i="95"/>
  <c r="AH55" i="95"/>
  <c r="AI55" i="95" s="1"/>
  <c r="P55" i="95"/>
  <c r="AN55" i="95"/>
  <c r="AO55" i="95" s="1"/>
  <c r="BN55" i="95"/>
  <c r="BO55" i="95" s="1"/>
  <c r="V55" i="95"/>
  <c r="W55" i="95" s="1"/>
  <c r="BG55" i="95"/>
  <c r="BH55" i="95" s="1"/>
  <c r="Y55" i="95"/>
  <c r="Z55" i="95" s="1"/>
  <c r="BL55" i="95"/>
  <c r="AV55" i="95"/>
  <c r="AW55" i="95" s="1"/>
  <c r="BA55" i="95"/>
  <c r="BB55" i="95" s="1"/>
  <c r="K56" i="95"/>
  <c r="AT55" i="95"/>
  <c r="AB55" i="95"/>
  <c r="AC55" i="95" s="1"/>
  <c r="BD55" i="95"/>
  <c r="BE55" i="95" s="1"/>
  <c r="AK55" i="95"/>
  <c r="AL55" i="95" s="1"/>
  <c r="O55" i="95"/>
  <c r="R55" i="95"/>
  <c r="T55" i="95" s="1"/>
  <c r="BQ55" i="95"/>
  <c r="BR55" i="95" s="1"/>
  <c r="AE55" i="95"/>
  <c r="AF55" i="95" s="1"/>
  <c r="AQ55" i="95"/>
  <c r="AR55" i="95" s="1"/>
  <c r="AI54" i="17"/>
  <c r="AI54" i="66"/>
  <c r="BK56" i="104"/>
  <c r="AK56" i="104"/>
  <c r="AL56" i="104" s="1"/>
  <c r="AB56" i="104"/>
  <c r="AC56" i="104" s="1"/>
  <c r="BQ56" i="104"/>
  <c r="BR56" i="104" s="1"/>
  <c r="AY56" i="104"/>
  <c r="R56" i="104"/>
  <c r="T56" i="104" s="1"/>
  <c r="K57" i="104"/>
  <c r="BN56" i="104"/>
  <c r="BO56" i="104" s="1"/>
  <c r="AV56" i="104"/>
  <c r="AW56" i="104" s="1"/>
  <c r="AH56" i="104"/>
  <c r="AI56" i="104" s="1"/>
  <c r="AN56" i="104"/>
  <c r="AO56" i="104" s="1"/>
  <c r="Y56" i="104"/>
  <c r="Z56" i="104" s="1"/>
  <c r="M56" i="104"/>
  <c r="O56" i="104"/>
  <c r="BD56" i="104"/>
  <c r="BE56" i="104" s="1"/>
  <c r="AQ56" i="104"/>
  <c r="AR56" i="104" s="1"/>
  <c r="P56" i="104"/>
  <c r="AT56" i="104"/>
  <c r="V56" i="104"/>
  <c r="W56" i="104" s="1"/>
  <c r="BG56" i="104"/>
  <c r="BH56" i="104" s="1"/>
  <c r="BA56" i="104"/>
  <c r="BB56" i="104" s="1"/>
  <c r="BJ56" i="104"/>
  <c r="BL56" i="104" s="1"/>
  <c r="AE56" i="104"/>
  <c r="AF56" i="104" s="1"/>
  <c r="AI54" i="95"/>
  <c r="AL54" i="95"/>
  <c r="AT59" i="133"/>
  <c r="AV59" i="133"/>
  <c r="AW59" i="133" s="1"/>
  <c r="AY59" i="133"/>
  <c r="AN59" i="133"/>
  <c r="AO59" i="133" s="1"/>
  <c r="AE59" i="133"/>
  <c r="AF59" i="133" s="1"/>
  <c r="BQ59" i="133"/>
  <c r="BR59" i="133" s="1"/>
  <c r="AQ59" i="133"/>
  <c r="AR59" i="133" s="1"/>
  <c r="M59" i="133"/>
  <c r="O59" i="133"/>
  <c r="BA59" i="133"/>
  <c r="BB59" i="133" s="1"/>
  <c r="Y59" i="133"/>
  <c r="Z59" i="133" s="1"/>
  <c r="BN59" i="133"/>
  <c r="BO59" i="133" s="1"/>
  <c r="R59" i="133"/>
  <c r="T59" i="133" s="1"/>
  <c r="V59" i="133"/>
  <c r="W59" i="133" s="1"/>
  <c r="AK59" i="133"/>
  <c r="AL59" i="133" s="1"/>
  <c r="AH59" i="133"/>
  <c r="AI59" i="133" s="1"/>
  <c r="K60" i="133"/>
  <c r="BL59" i="133"/>
  <c r="BG59" i="133"/>
  <c r="BH59" i="133" s="1"/>
  <c r="BD59" i="133"/>
  <c r="BE59" i="133" s="1"/>
  <c r="P59" i="133"/>
  <c r="AB59" i="133"/>
  <c r="AC59" i="133" s="1"/>
  <c r="AI54" i="13"/>
  <c r="K57" i="112"/>
  <c r="AK56" i="112"/>
  <c r="AL56" i="112" s="1"/>
  <c r="AN56" i="112"/>
  <c r="AO56" i="112" s="1"/>
  <c r="BG56" i="112"/>
  <c r="BH56" i="112" s="1"/>
  <c r="M56" i="112"/>
  <c r="AB56" i="112"/>
  <c r="AC56" i="112" s="1"/>
  <c r="AH56" i="112"/>
  <c r="AI56" i="112" s="1"/>
  <c r="Y56" i="112"/>
  <c r="Z56" i="112" s="1"/>
  <c r="BJ56" i="112"/>
  <c r="BL56" i="112" s="1"/>
  <c r="AY56" i="112"/>
  <c r="BD56" i="112"/>
  <c r="BE56" i="112" s="1"/>
  <c r="V56" i="112"/>
  <c r="W56" i="112" s="1"/>
  <c r="BN56" i="112"/>
  <c r="BO56" i="112" s="1"/>
  <c r="BQ56" i="112"/>
  <c r="BR56" i="112" s="1"/>
  <c r="AT56" i="112"/>
  <c r="P56" i="112"/>
  <c r="R56" i="112"/>
  <c r="T56" i="112" s="1"/>
  <c r="AQ56" i="112"/>
  <c r="AR56" i="112" s="1"/>
  <c r="BA56" i="112"/>
  <c r="BB56" i="112" s="1"/>
  <c r="BK56" i="112"/>
  <c r="AV56" i="112"/>
  <c r="AW56" i="112" s="1"/>
  <c r="AE56" i="112"/>
  <c r="AF56" i="112" s="1"/>
  <c r="O56" i="112"/>
  <c r="BB54" i="95"/>
  <c r="W54" i="95"/>
  <c r="I63" i="156"/>
  <c r="K62" i="156"/>
  <c r="AY62" i="156" s="1"/>
  <c r="AW54" i="66"/>
  <c r="AQ54" i="95"/>
  <c r="AR54" i="95" s="1"/>
  <c r="AF54" i="95"/>
  <c r="BJ56" i="106"/>
  <c r="BL56" i="106" s="1"/>
  <c r="AQ56" i="106"/>
  <c r="AR56" i="106" s="1"/>
  <c r="BQ56" i="106"/>
  <c r="BR56" i="106" s="1"/>
  <c r="AN56" i="106"/>
  <c r="AO56" i="106" s="1"/>
  <c r="AH56" i="106"/>
  <c r="AI56" i="106" s="1"/>
  <c r="O56" i="106"/>
  <c r="Y56" i="106"/>
  <c r="Z56" i="106" s="1"/>
  <c r="R56" i="106"/>
  <c r="T56" i="106" s="1"/>
  <c r="AT56" i="106"/>
  <c r="BG56" i="106"/>
  <c r="BH56" i="106" s="1"/>
  <c r="M56" i="106"/>
  <c r="AE56" i="106"/>
  <c r="AF56" i="106" s="1"/>
  <c r="BA56" i="106"/>
  <c r="BB56" i="106" s="1"/>
  <c r="AK56" i="106"/>
  <c r="AL56" i="106" s="1"/>
  <c r="BK56" i="106"/>
  <c r="AV56" i="106"/>
  <c r="AW56" i="106" s="1"/>
  <c r="BD56" i="106"/>
  <c r="BE56" i="106" s="1"/>
  <c r="P56" i="106"/>
  <c r="BN56" i="106"/>
  <c r="BO56" i="106" s="1"/>
  <c r="V56" i="106"/>
  <c r="W56" i="106" s="1"/>
  <c r="AB56" i="106"/>
  <c r="AC56" i="106" s="1"/>
  <c r="AY56" i="106"/>
  <c r="K57" i="106"/>
  <c r="M61" i="156"/>
  <c r="BG61" i="156"/>
  <c r="BH61" i="156" s="1"/>
  <c r="AE61" i="156"/>
  <c r="AF61" i="156" s="1"/>
  <c r="BL61" i="156"/>
  <c r="V61" i="156"/>
  <c r="W61" i="156" s="1"/>
  <c r="P61" i="156"/>
  <c r="AK61" i="156"/>
  <c r="AL61" i="156" s="1"/>
  <c r="AB61" i="156"/>
  <c r="AC61" i="156" s="1"/>
  <c r="AV61" i="156"/>
  <c r="AW61" i="156" s="1"/>
  <c r="AQ61" i="156"/>
  <c r="AR61" i="156" s="1"/>
  <c r="AH61" i="156"/>
  <c r="AI61" i="156" s="1"/>
  <c r="BN61" i="156"/>
  <c r="BO61" i="156" s="1"/>
  <c r="BD61" i="156"/>
  <c r="BE61" i="156" s="1"/>
  <c r="AN61" i="156"/>
  <c r="AO61" i="156" s="1"/>
  <c r="R61" i="156"/>
  <c r="T61" i="156" s="1"/>
  <c r="O61" i="156"/>
  <c r="BA61" i="156"/>
  <c r="BB61" i="156" s="1"/>
  <c r="Y61" i="156"/>
  <c r="Z61" i="156" s="1"/>
  <c r="BQ61" i="156"/>
  <c r="BR61" i="156" s="1"/>
  <c r="AC54" i="13"/>
  <c r="BR54" i="17"/>
  <c r="AV48" i="15"/>
  <c r="AW48" i="15" s="1"/>
  <c r="AT49" i="15"/>
  <c r="BD49" i="15" s="1"/>
  <c r="BE49" i="15" s="1"/>
  <c r="AT49" i="150"/>
  <c r="AT49" i="156"/>
  <c r="BA53" i="15"/>
  <c r="BB53" i="15" s="1"/>
  <c r="BG53" i="15"/>
  <c r="BH53" i="15" s="1"/>
  <c r="BA54" i="150"/>
  <c r="BB54" i="150" s="1"/>
  <c r="BG54" i="150"/>
  <c r="BH54" i="150" s="1"/>
  <c r="BG54" i="151"/>
  <c r="BH54" i="151" s="1"/>
  <c r="BA54" i="151"/>
  <c r="BB54" i="151" s="1"/>
  <c r="BG54" i="155"/>
  <c r="BH54" i="155" s="1"/>
  <c r="BA54" i="155"/>
  <c r="BB54" i="155" s="1"/>
  <c r="BG54" i="153"/>
  <c r="BH54" i="153" s="1"/>
  <c r="BA54" i="153"/>
  <c r="BB54" i="153" s="1"/>
  <c r="BG54" i="152"/>
  <c r="BH54" i="152" s="1"/>
  <c r="BA54" i="152"/>
  <c r="BB54" i="152" s="1"/>
  <c r="BG53" i="149"/>
  <c r="BH53" i="149" s="1"/>
  <c r="BA53" i="149"/>
  <c r="BB53" i="149" s="1"/>
  <c r="BG53" i="156"/>
  <c r="BH53" i="156" s="1"/>
  <c r="BA53" i="156"/>
  <c r="BB53" i="156" s="1"/>
  <c r="A59" i="7"/>
  <c r="A60" i="7" s="1"/>
  <c r="A61" i="7" s="1"/>
  <c r="A62" i="7" s="1"/>
  <c r="A63" i="7" s="1"/>
  <c r="A64" i="7" s="1"/>
  <c r="A65" i="7" s="1"/>
  <c r="A66" i="7" s="1"/>
  <c r="A67" i="7" s="1"/>
  <c r="AY54" i="156"/>
  <c r="AY54" i="15"/>
  <c r="K58" i="130"/>
  <c r="BN57" i="130"/>
  <c r="BO57" i="130" s="1"/>
  <c r="M57" i="130"/>
  <c r="AQ57" i="130"/>
  <c r="AR57" i="130" s="1"/>
  <c r="O57" i="130"/>
  <c r="V57" i="130"/>
  <c r="W57" i="130" s="1"/>
  <c r="AV57" i="130"/>
  <c r="AW57" i="130" s="1"/>
  <c r="AK57" i="130"/>
  <c r="AL57" i="130" s="1"/>
  <c r="R57" i="130"/>
  <c r="T57" i="130" s="1"/>
  <c r="AH57" i="130"/>
  <c r="AI57" i="130" s="1"/>
  <c r="P57" i="130"/>
  <c r="BL57" i="130"/>
  <c r="BD57" i="130"/>
  <c r="BE57" i="130" s="1"/>
  <c r="BA57" i="130"/>
  <c r="BB57" i="130" s="1"/>
  <c r="AY57" i="130"/>
  <c r="AB57" i="130"/>
  <c r="AC57" i="130" s="1"/>
  <c r="AE57" i="130"/>
  <c r="AF57" i="130" s="1"/>
  <c r="AN57" i="130"/>
  <c r="AO57" i="130" s="1"/>
  <c r="AT57" i="130"/>
  <c r="BQ57" i="130"/>
  <c r="BR57" i="130" s="1"/>
  <c r="BG57" i="130"/>
  <c r="BH57" i="130" s="1"/>
  <c r="Y57" i="130"/>
  <c r="Z57" i="130" s="1"/>
  <c r="BD48" i="156"/>
  <c r="BE48" i="156" s="1"/>
  <c r="AV48" i="156"/>
  <c r="AW48" i="156" s="1"/>
  <c r="AV48" i="150"/>
  <c r="AW48" i="150" s="1"/>
  <c r="BD48" i="150"/>
  <c r="BE48" i="150" s="1"/>
  <c r="V29" i="155"/>
  <c r="W29" i="155" s="1"/>
  <c r="T51" i="155"/>
  <c r="Y51" i="155" s="1"/>
  <c r="Z51" i="155" s="1"/>
  <c r="R52" i="155"/>
  <c r="P62" i="155"/>
  <c r="AV62" i="155"/>
  <c r="AW62" i="155" s="1"/>
  <c r="BN62" i="155"/>
  <c r="BO62" i="155" s="1"/>
  <c r="R62" i="155"/>
  <c r="T62" i="155" s="1"/>
  <c r="AH62" i="155"/>
  <c r="AI62" i="155" s="1"/>
  <c r="AQ62" i="155"/>
  <c r="AR62" i="155" s="1"/>
  <c r="BG62" i="155"/>
  <c r="BH62" i="155" s="1"/>
  <c r="AB62" i="155"/>
  <c r="AC62" i="155" s="1"/>
  <c r="AK62" i="155"/>
  <c r="AL62" i="155" s="1"/>
  <c r="BA62" i="155"/>
  <c r="BB62" i="155" s="1"/>
  <c r="BQ62" i="155"/>
  <c r="BR62" i="155" s="1"/>
  <c r="V62" i="155"/>
  <c r="W62" i="155" s="1"/>
  <c r="BD62" i="155"/>
  <c r="BE62" i="155" s="1"/>
  <c r="BL62" i="155"/>
  <c r="Y62" i="155"/>
  <c r="Z62" i="155" s="1"/>
  <c r="AN62" i="155"/>
  <c r="AO62" i="155" s="1"/>
  <c r="M62" i="155"/>
  <c r="AE62" i="155"/>
  <c r="AF62" i="155" s="1"/>
  <c r="O62" i="155"/>
  <c r="I64" i="155"/>
  <c r="K63" i="155"/>
  <c r="BD48" i="17"/>
  <c r="BE48" i="17" s="1"/>
  <c r="AV48" i="17"/>
  <c r="AW48" i="17" s="1"/>
  <c r="AV48" i="120"/>
  <c r="AW48" i="120" s="1"/>
  <c r="BD48" i="120"/>
  <c r="BE48" i="120" s="1"/>
  <c r="AV48" i="13"/>
  <c r="AW48" i="13" s="1"/>
  <c r="BD48" i="13"/>
  <c r="BE48" i="13" s="1"/>
  <c r="A51" i="58"/>
  <c r="AT49" i="17"/>
  <c r="AT49" i="13"/>
  <c r="AT49" i="120"/>
  <c r="I67" i="153"/>
  <c r="M62" i="153"/>
  <c r="BQ62" i="153"/>
  <c r="BR62" i="153" s="1"/>
  <c r="O62" i="153"/>
  <c r="V62" i="153"/>
  <c r="W62" i="153" s="1"/>
  <c r="AB62" i="153"/>
  <c r="AC62" i="153" s="1"/>
  <c r="AH62" i="153"/>
  <c r="AI62" i="153" s="1"/>
  <c r="AN62" i="153"/>
  <c r="AO62" i="153" s="1"/>
  <c r="BA62" i="153"/>
  <c r="BB62" i="153" s="1"/>
  <c r="BG62" i="153"/>
  <c r="BH62" i="153" s="1"/>
  <c r="P62" i="153"/>
  <c r="AV62" i="153"/>
  <c r="AW62" i="153" s="1"/>
  <c r="BN62" i="153"/>
  <c r="BO62" i="153" s="1"/>
  <c r="R62" i="153"/>
  <c r="T62" i="153" s="1"/>
  <c r="AQ62" i="153"/>
  <c r="AR62" i="153" s="1"/>
  <c r="Y62" i="153"/>
  <c r="Z62" i="153" s="1"/>
  <c r="AE62" i="153"/>
  <c r="AF62" i="153" s="1"/>
  <c r="BD62" i="153"/>
  <c r="BE62" i="153" s="1"/>
  <c r="AK62" i="153"/>
  <c r="AL62" i="153" s="1"/>
  <c r="BL62" i="153"/>
  <c r="K63" i="153"/>
  <c r="I71" i="152"/>
  <c r="M62" i="152"/>
  <c r="BQ62" i="152"/>
  <c r="BR62" i="152" s="1"/>
  <c r="O62" i="152"/>
  <c r="V62" i="152"/>
  <c r="W62" i="152" s="1"/>
  <c r="AB62" i="152"/>
  <c r="AC62" i="152" s="1"/>
  <c r="AH62" i="152"/>
  <c r="AI62" i="152" s="1"/>
  <c r="AN62" i="152"/>
  <c r="AO62" i="152" s="1"/>
  <c r="BA62" i="152"/>
  <c r="BB62" i="152" s="1"/>
  <c r="BG62" i="152"/>
  <c r="BH62" i="152" s="1"/>
  <c r="P62" i="152"/>
  <c r="AV62" i="152"/>
  <c r="AW62" i="152" s="1"/>
  <c r="BN62" i="152"/>
  <c r="BO62" i="152" s="1"/>
  <c r="Y62" i="152"/>
  <c r="Z62" i="152" s="1"/>
  <c r="AE62" i="152"/>
  <c r="AF62" i="152" s="1"/>
  <c r="BD62" i="152"/>
  <c r="BE62" i="152" s="1"/>
  <c r="R62" i="152"/>
  <c r="T62" i="152" s="1"/>
  <c r="AK62" i="152"/>
  <c r="AL62" i="152" s="1"/>
  <c r="AQ62" i="152"/>
  <c r="AR62" i="152" s="1"/>
  <c r="BL62" i="152"/>
  <c r="K63" i="152"/>
  <c r="K61" i="151"/>
  <c r="I62" i="151"/>
  <c r="BD60" i="151"/>
  <c r="BE60" i="151" s="1"/>
  <c r="AQ60" i="151"/>
  <c r="AR60" i="151" s="1"/>
  <c r="AK60" i="151"/>
  <c r="AL60" i="151" s="1"/>
  <c r="AE60" i="151"/>
  <c r="AF60" i="151" s="1"/>
  <c r="Y60" i="151"/>
  <c r="Z60" i="151" s="1"/>
  <c r="R60" i="151"/>
  <c r="T60" i="151" s="1"/>
  <c r="BG60" i="151"/>
  <c r="BH60" i="151" s="1"/>
  <c r="BA60" i="151"/>
  <c r="BB60" i="151" s="1"/>
  <c r="AT60" i="151"/>
  <c r="AN60" i="151"/>
  <c r="AO60" i="151" s="1"/>
  <c r="AH60" i="151"/>
  <c r="AI60" i="151" s="1"/>
  <c r="AB60" i="151"/>
  <c r="AC60" i="151" s="1"/>
  <c r="V60" i="151"/>
  <c r="W60" i="151" s="1"/>
  <c r="O60" i="151"/>
  <c r="AV60" i="151"/>
  <c r="AW60" i="151" s="1"/>
  <c r="BQ60" i="151"/>
  <c r="BR60" i="151" s="1"/>
  <c r="P60" i="151"/>
  <c r="AY60" i="151"/>
  <c r="M60" i="151"/>
  <c r="BN60" i="151"/>
  <c r="BO60" i="151" s="1"/>
  <c r="BL60" i="151"/>
  <c r="BQ59" i="150"/>
  <c r="BR59" i="150" s="1"/>
  <c r="AY59" i="150"/>
  <c r="BD59" i="150"/>
  <c r="BE59" i="150" s="1"/>
  <c r="AQ59" i="150"/>
  <c r="AR59" i="150" s="1"/>
  <c r="AK59" i="150"/>
  <c r="AL59" i="150" s="1"/>
  <c r="AE59" i="150"/>
  <c r="AF59" i="150" s="1"/>
  <c r="Y59" i="150"/>
  <c r="Z59" i="150" s="1"/>
  <c r="R59" i="150"/>
  <c r="T59" i="150" s="1"/>
  <c r="P59" i="150"/>
  <c r="BA59" i="150"/>
  <c r="BB59" i="150" s="1"/>
  <c r="AN59" i="150"/>
  <c r="AO59" i="150" s="1"/>
  <c r="AB59" i="150"/>
  <c r="AC59" i="150" s="1"/>
  <c r="O59" i="150"/>
  <c r="AV59" i="150"/>
  <c r="AW59" i="150" s="1"/>
  <c r="BG59" i="150"/>
  <c r="BH59" i="150" s="1"/>
  <c r="AT59" i="150"/>
  <c r="AH59" i="150"/>
  <c r="AI59" i="150" s="1"/>
  <c r="V59" i="150"/>
  <c r="W59" i="150" s="1"/>
  <c r="M59" i="150"/>
  <c r="BN59" i="150"/>
  <c r="BO59" i="150" s="1"/>
  <c r="BL59" i="150"/>
  <c r="K60" i="150"/>
  <c r="I63" i="150"/>
  <c r="BQ61" i="149"/>
  <c r="BR61" i="149" s="1"/>
  <c r="AY61" i="149"/>
  <c r="BA61" i="149"/>
  <c r="BB61" i="149" s="1"/>
  <c r="AQ61" i="149"/>
  <c r="AR61" i="149" s="1"/>
  <c r="AB61" i="149"/>
  <c r="AC61" i="149" s="1"/>
  <c r="R61" i="149"/>
  <c r="T61" i="149" s="1"/>
  <c r="BD61" i="149"/>
  <c r="BE61" i="149" s="1"/>
  <c r="AV61" i="149"/>
  <c r="AW61" i="149" s="1"/>
  <c r="AN61" i="149"/>
  <c r="AO61" i="149" s="1"/>
  <c r="AE61" i="149"/>
  <c r="AF61" i="149" s="1"/>
  <c r="O61" i="149"/>
  <c r="BG61" i="149"/>
  <c r="BH61" i="149" s="1"/>
  <c r="Y61" i="149"/>
  <c r="Z61" i="149" s="1"/>
  <c r="AK61" i="149"/>
  <c r="AL61" i="149" s="1"/>
  <c r="V61" i="149"/>
  <c r="W61" i="149" s="1"/>
  <c r="AH61" i="149"/>
  <c r="AI61" i="149" s="1"/>
  <c r="P61" i="149"/>
  <c r="M61" i="149"/>
  <c r="BN61" i="149"/>
  <c r="BO61" i="149" s="1"/>
  <c r="BL61" i="149"/>
  <c r="K62" i="149"/>
  <c r="AT62" i="149" s="1"/>
  <c r="I63" i="149"/>
  <c r="BG60" i="147"/>
  <c r="BH60" i="147" s="1"/>
  <c r="BA60" i="147"/>
  <c r="BB60" i="147" s="1"/>
  <c r="AT60" i="147"/>
  <c r="AN60" i="147"/>
  <c r="AO60" i="147" s="1"/>
  <c r="AH60" i="147"/>
  <c r="AI60" i="147" s="1"/>
  <c r="AB60" i="147"/>
  <c r="AC60" i="147" s="1"/>
  <c r="V60" i="147"/>
  <c r="W60" i="147" s="1"/>
  <c r="O60" i="147"/>
  <c r="BQ60" i="147"/>
  <c r="BR60" i="147" s="1"/>
  <c r="AY60" i="147"/>
  <c r="BD60" i="147"/>
  <c r="BE60" i="147" s="1"/>
  <c r="AQ60" i="147"/>
  <c r="AR60" i="147" s="1"/>
  <c r="AE60" i="147"/>
  <c r="AF60" i="147" s="1"/>
  <c r="R60" i="147"/>
  <c r="T60" i="147" s="1"/>
  <c r="P60" i="147"/>
  <c r="AV60" i="147"/>
  <c r="AW60" i="147" s="1"/>
  <c r="AK60" i="147"/>
  <c r="AL60" i="147" s="1"/>
  <c r="Y60" i="147"/>
  <c r="Z60" i="147" s="1"/>
  <c r="M60" i="147"/>
  <c r="BK60" i="147"/>
  <c r="BN60" i="147"/>
  <c r="BO60" i="147" s="1"/>
  <c r="BJ60" i="147"/>
  <c r="BL60" i="147" s="1"/>
  <c r="O34" i="147"/>
  <c r="K61" i="147"/>
  <c r="I62" i="147"/>
  <c r="V34" i="147"/>
  <c r="W34" i="147" s="1"/>
  <c r="P35" i="147"/>
  <c r="O31" i="146"/>
  <c r="K60" i="146"/>
  <c r="I61" i="146"/>
  <c r="BD59" i="146"/>
  <c r="BE59" i="146" s="1"/>
  <c r="AQ59" i="146"/>
  <c r="AR59" i="146" s="1"/>
  <c r="AK59" i="146"/>
  <c r="AL59" i="146" s="1"/>
  <c r="AE59" i="146"/>
  <c r="AF59" i="146" s="1"/>
  <c r="Y59" i="146"/>
  <c r="Z59" i="146" s="1"/>
  <c r="R59" i="146"/>
  <c r="T59" i="146" s="1"/>
  <c r="AV59" i="146"/>
  <c r="AW59" i="146" s="1"/>
  <c r="P59" i="146"/>
  <c r="BG59" i="146"/>
  <c r="BH59" i="146" s="1"/>
  <c r="BA59" i="146"/>
  <c r="BB59" i="146" s="1"/>
  <c r="AT59" i="146"/>
  <c r="AN59" i="146"/>
  <c r="AO59" i="146" s="1"/>
  <c r="AH59" i="146"/>
  <c r="AI59" i="146" s="1"/>
  <c r="AB59" i="146"/>
  <c r="AC59" i="146" s="1"/>
  <c r="V59" i="146"/>
  <c r="W59" i="146" s="1"/>
  <c r="O59" i="146"/>
  <c r="AY59" i="146"/>
  <c r="BQ59" i="146"/>
  <c r="BR59" i="146" s="1"/>
  <c r="BJ59" i="146"/>
  <c r="BL59" i="146" s="1"/>
  <c r="BN59" i="146"/>
  <c r="BO59" i="146" s="1"/>
  <c r="M59" i="146"/>
  <c r="BK59" i="146"/>
  <c r="V31" i="146"/>
  <c r="W31" i="146" s="1"/>
  <c r="P32" i="146"/>
  <c r="BA54" i="17"/>
  <c r="BB54" i="17" s="1"/>
  <c r="AC54" i="17"/>
  <c r="BG54" i="120"/>
  <c r="BH54" i="120" s="1"/>
  <c r="BH54" i="17"/>
  <c r="Z54" i="13"/>
  <c r="AF54" i="13"/>
  <c r="Z54" i="17"/>
  <c r="Z54" i="120"/>
  <c r="AL54" i="13"/>
  <c r="BR54" i="13"/>
  <c r="AO54" i="13"/>
  <c r="AQ54" i="17"/>
  <c r="AR54" i="17" s="1"/>
  <c r="W54" i="17"/>
  <c r="AF54" i="17"/>
  <c r="BR54" i="66"/>
  <c r="AC55" i="15"/>
  <c r="AC56" i="96"/>
  <c r="Z54" i="66"/>
  <c r="AL54" i="66"/>
  <c r="W54" i="66"/>
  <c r="BG54" i="13"/>
  <c r="BH54" i="13" s="1"/>
  <c r="AO54" i="17"/>
  <c r="AL54" i="17"/>
  <c r="BB54" i="120"/>
  <c r="AQ54" i="66"/>
  <c r="AR54" i="66" s="1"/>
  <c r="AC54" i="66"/>
  <c r="AF54" i="66"/>
  <c r="AO54" i="66"/>
  <c r="AV58" i="64"/>
  <c r="AW58" i="64" s="1"/>
  <c r="AH58" i="64"/>
  <c r="AI58" i="64" s="1"/>
  <c r="AK58" i="64"/>
  <c r="AL58" i="64" s="1"/>
  <c r="R58" i="64"/>
  <c r="T58" i="64" s="1"/>
  <c r="AQ58" i="64"/>
  <c r="AR58" i="64" s="1"/>
  <c r="AB58" i="64"/>
  <c r="AC58" i="64" s="1"/>
  <c r="BQ58" i="64"/>
  <c r="BR58" i="64" s="1"/>
  <c r="P58" i="64"/>
  <c r="AY58" i="64"/>
  <c r="AT58" i="64"/>
  <c r="BG58" i="64"/>
  <c r="BH58" i="64" s="1"/>
  <c r="Y58" i="64"/>
  <c r="Z58" i="64" s="1"/>
  <c r="V58" i="64"/>
  <c r="W58" i="64" s="1"/>
  <c r="AN58" i="64"/>
  <c r="AO58" i="64" s="1"/>
  <c r="M58" i="64"/>
  <c r="O58" i="64"/>
  <c r="BD58" i="64"/>
  <c r="BE58" i="64" s="1"/>
  <c r="AE58" i="64"/>
  <c r="AF58" i="64" s="1"/>
  <c r="BA58" i="64"/>
  <c r="BB58" i="64" s="1"/>
  <c r="BL58" i="64"/>
  <c r="BN58" i="64"/>
  <c r="BO58" i="64" s="1"/>
  <c r="K59" i="64"/>
  <c r="M57" i="63"/>
  <c r="BN57" i="63"/>
  <c r="BO57" i="63" s="1"/>
  <c r="BD57" i="63"/>
  <c r="BE57" i="63" s="1"/>
  <c r="AH57" i="63"/>
  <c r="AI57" i="63" s="1"/>
  <c r="AY57" i="63"/>
  <c r="AQ57" i="63"/>
  <c r="AR57" i="63" s="1"/>
  <c r="BL57" i="63"/>
  <c r="O57" i="63"/>
  <c r="P57" i="63"/>
  <c r="BG57" i="63"/>
  <c r="BH57" i="63" s="1"/>
  <c r="AK57" i="63"/>
  <c r="AL57" i="63" s="1"/>
  <c r="V57" i="63"/>
  <c r="W57" i="63" s="1"/>
  <c r="AB57" i="63"/>
  <c r="AC57" i="63" s="1"/>
  <c r="AE57" i="63"/>
  <c r="AF57" i="63" s="1"/>
  <c r="AT57" i="63"/>
  <c r="BQ57" i="63"/>
  <c r="BR57" i="63" s="1"/>
  <c r="AN57" i="63"/>
  <c r="AO57" i="63" s="1"/>
  <c r="AV57" i="63"/>
  <c r="AW57" i="63" s="1"/>
  <c r="BA57" i="63"/>
  <c r="BB57" i="63" s="1"/>
  <c r="R57" i="63"/>
  <c r="T57" i="63" s="1"/>
  <c r="Y57" i="63"/>
  <c r="Z57" i="63" s="1"/>
  <c r="K58" i="63"/>
  <c r="I59" i="115"/>
  <c r="K58" i="115"/>
  <c r="M56" i="118"/>
  <c r="K57" i="118"/>
  <c r="BN56" i="118"/>
  <c r="BO56" i="118" s="1"/>
  <c r="AV56" i="118"/>
  <c r="AW56" i="118" s="1"/>
  <c r="AB56" i="118"/>
  <c r="AC56" i="118" s="1"/>
  <c r="BD56" i="118"/>
  <c r="BE56" i="118" s="1"/>
  <c r="BQ56" i="118"/>
  <c r="BR56" i="118" s="1"/>
  <c r="AE56" i="118"/>
  <c r="AF56" i="118" s="1"/>
  <c r="BG56" i="118"/>
  <c r="BH56" i="118" s="1"/>
  <c r="AY56" i="118"/>
  <c r="AK56" i="118"/>
  <c r="AL56" i="118" s="1"/>
  <c r="P56" i="118"/>
  <c r="O56" i="118"/>
  <c r="R56" i="118"/>
  <c r="T56" i="118" s="1"/>
  <c r="AN56" i="118"/>
  <c r="AO56" i="118" s="1"/>
  <c r="AQ56" i="118"/>
  <c r="AR56" i="118" s="1"/>
  <c r="BA56" i="118"/>
  <c r="BB56" i="118" s="1"/>
  <c r="AT56" i="118"/>
  <c r="Y56" i="118"/>
  <c r="Z56" i="118" s="1"/>
  <c r="AH56" i="118"/>
  <c r="AI56" i="118" s="1"/>
  <c r="V56" i="118"/>
  <c r="W56" i="118" s="1"/>
  <c r="I62" i="63"/>
  <c r="O55" i="66"/>
  <c r="BQ55" i="66"/>
  <c r="BR55" i="66" s="1"/>
  <c r="AB55" i="66"/>
  <c r="AN55" i="66"/>
  <c r="AO55" i="66" s="1"/>
  <c r="BD55" i="66"/>
  <c r="BE55" i="66" s="1"/>
  <c r="V55" i="66"/>
  <c r="W55" i="66" s="1"/>
  <c r="BA55" i="66"/>
  <c r="BB55" i="66" s="1"/>
  <c r="P55" i="66"/>
  <c r="AQ55" i="66"/>
  <c r="AR55" i="66" s="1"/>
  <c r="AH55" i="66"/>
  <c r="AI55" i="66" s="1"/>
  <c r="AK55" i="66"/>
  <c r="AL55" i="66" s="1"/>
  <c r="BG55" i="66"/>
  <c r="BH55" i="66" s="1"/>
  <c r="M55" i="66"/>
  <c r="R55" i="66"/>
  <c r="T55" i="66" s="1"/>
  <c r="BN55" i="66"/>
  <c r="BO55" i="66" s="1"/>
  <c r="AY55" i="66"/>
  <c r="AV55" i="66"/>
  <c r="AW55" i="66" s="1"/>
  <c r="AE55" i="66"/>
  <c r="AF55" i="66" s="1"/>
  <c r="Y55" i="66"/>
  <c r="Z55" i="66" s="1"/>
  <c r="AT55" i="66"/>
  <c r="BL55" i="66"/>
  <c r="I72" i="133"/>
  <c r="M61" i="124"/>
  <c r="K62" i="124"/>
  <c r="BJ61" i="124"/>
  <c r="BL61" i="124" s="1"/>
  <c r="BK61" i="124"/>
  <c r="BN61" i="124"/>
  <c r="BO61" i="124" s="1"/>
  <c r="AV61" i="124"/>
  <c r="AW61" i="124" s="1"/>
  <c r="P61" i="124"/>
  <c r="V61" i="124"/>
  <c r="W61" i="124" s="1"/>
  <c r="O61" i="124"/>
  <c r="BG61" i="124"/>
  <c r="BH61" i="124" s="1"/>
  <c r="AH61" i="124"/>
  <c r="AI61" i="124" s="1"/>
  <c r="Y61" i="124"/>
  <c r="Z61" i="124" s="1"/>
  <c r="AE61" i="124"/>
  <c r="AF61" i="124" s="1"/>
  <c r="AB61" i="124"/>
  <c r="AC61" i="124" s="1"/>
  <c r="AK61" i="124"/>
  <c r="AL61" i="124" s="1"/>
  <c r="BA61" i="124"/>
  <c r="BB61" i="124" s="1"/>
  <c r="AQ61" i="124"/>
  <c r="AR61" i="124" s="1"/>
  <c r="AT61" i="124"/>
  <c r="AY61" i="124"/>
  <c r="BD61" i="124"/>
  <c r="BE61" i="124" s="1"/>
  <c r="R61" i="124"/>
  <c r="T61" i="124" s="1"/>
  <c r="AN61" i="124"/>
  <c r="AO61" i="124" s="1"/>
  <c r="BQ61" i="124"/>
  <c r="BR61" i="124" s="1"/>
  <c r="I61" i="104"/>
  <c r="BR54" i="120"/>
  <c r="AF54" i="120"/>
  <c r="AC54" i="120"/>
  <c r="BD54" i="66"/>
  <c r="BE54" i="66" s="1"/>
  <c r="BG54" i="66"/>
  <c r="BH54" i="66" s="1"/>
  <c r="I58" i="101"/>
  <c r="K57" i="101"/>
  <c r="I59" i="110"/>
  <c r="K58" i="110"/>
  <c r="BL56" i="15"/>
  <c r="BN56" i="15"/>
  <c r="BO56" i="15" s="1"/>
  <c r="M56" i="15"/>
  <c r="BD56" i="15"/>
  <c r="BE56" i="15" s="1"/>
  <c r="AE56" i="15"/>
  <c r="AF56" i="15" s="1"/>
  <c r="P56" i="15"/>
  <c r="AB56" i="15"/>
  <c r="AC56" i="15" s="1"/>
  <c r="V56" i="15"/>
  <c r="W56" i="15" s="1"/>
  <c r="AQ56" i="15"/>
  <c r="AR56" i="15" s="1"/>
  <c r="R56" i="15"/>
  <c r="T56" i="15" s="1"/>
  <c r="AN56" i="15"/>
  <c r="AO56" i="15" s="1"/>
  <c r="AV56" i="15"/>
  <c r="AW56" i="15" s="1"/>
  <c r="BG56" i="15"/>
  <c r="BH56" i="15" s="1"/>
  <c r="AK56" i="15"/>
  <c r="AL56" i="15" s="1"/>
  <c r="BA56" i="15"/>
  <c r="BB56" i="15" s="1"/>
  <c r="AH56" i="15"/>
  <c r="AI56" i="15" s="1"/>
  <c r="O56" i="15"/>
  <c r="Y56" i="15"/>
  <c r="Z56" i="15" s="1"/>
  <c r="AY56" i="15"/>
  <c r="BQ56" i="15"/>
  <c r="BR56" i="15" s="1"/>
  <c r="AT56" i="15"/>
  <c r="K57" i="15"/>
  <c r="BN55" i="17"/>
  <c r="BO55" i="17" s="1"/>
  <c r="BL55" i="17"/>
  <c r="M55" i="17"/>
  <c r="AH55" i="17"/>
  <c r="AI55" i="17" s="1"/>
  <c r="AK55" i="17"/>
  <c r="AL55" i="17" s="1"/>
  <c r="BQ55" i="17"/>
  <c r="BR55" i="17" s="1"/>
  <c r="BG55" i="17"/>
  <c r="BH55" i="17" s="1"/>
  <c r="AV55" i="17"/>
  <c r="AW55" i="17" s="1"/>
  <c r="AN55" i="17"/>
  <c r="AO55" i="17" s="1"/>
  <c r="AY55" i="17"/>
  <c r="O55" i="17"/>
  <c r="Y55" i="17"/>
  <c r="Z55" i="17" s="1"/>
  <c r="AT55" i="17"/>
  <c r="P55" i="17"/>
  <c r="AQ55" i="17"/>
  <c r="AR55" i="17" s="1"/>
  <c r="AB55" i="17"/>
  <c r="BA55" i="17"/>
  <c r="BB55" i="17" s="1"/>
  <c r="V55" i="17"/>
  <c r="W55" i="17" s="1"/>
  <c r="AE55" i="17"/>
  <c r="AF55" i="17" s="1"/>
  <c r="R55" i="17"/>
  <c r="T55" i="17" s="1"/>
  <c r="BD55" i="17"/>
  <c r="BE55" i="17" s="1"/>
  <c r="W54" i="13"/>
  <c r="M58" i="135"/>
  <c r="BA58" i="135"/>
  <c r="BB58" i="135" s="1"/>
  <c r="BQ58" i="135"/>
  <c r="BR58" i="135" s="1"/>
  <c r="V58" i="135"/>
  <c r="W58" i="135" s="1"/>
  <c r="AQ58" i="135"/>
  <c r="AR58" i="135" s="1"/>
  <c r="AE58" i="135"/>
  <c r="AF58" i="135" s="1"/>
  <c r="BG58" i="135"/>
  <c r="BH58" i="135" s="1"/>
  <c r="AB58" i="135"/>
  <c r="AC58" i="135" s="1"/>
  <c r="AV58" i="135"/>
  <c r="AW58" i="135" s="1"/>
  <c r="O58" i="135"/>
  <c r="Y58" i="135"/>
  <c r="Z58" i="135" s="1"/>
  <c r="AH58" i="135"/>
  <c r="AI58" i="135" s="1"/>
  <c r="AN58" i="135"/>
  <c r="AO58" i="135" s="1"/>
  <c r="AT58" i="135"/>
  <c r="AY58" i="135"/>
  <c r="P58" i="135"/>
  <c r="R58" i="135"/>
  <c r="T58" i="135" s="1"/>
  <c r="AK58" i="135"/>
  <c r="AL58" i="135" s="1"/>
  <c r="BD58" i="135"/>
  <c r="BE58" i="135" s="1"/>
  <c r="BN58" i="135"/>
  <c r="BO58" i="135" s="1"/>
  <c r="BL58" i="135"/>
  <c r="AB57" i="96"/>
  <c r="BN57" i="96"/>
  <c r="BO57" i="96" s="1"/>
  <c r="BL57" i="96"/>
  <c r="O57" i="96"/>
  <c r="AN57" i="96"/>
  <c r="AO57" i="96" s="1"/>
  <c r="AE57" i="96"/>
  <c r="AF57" i="96" s="1"/>
  <c r="BG57" i="96"/>
  <c r="BH57" i="96" s="1"/>
  <c r="BA57" i="96"/>
  <c r="BB57" i="96" s="1"/>
  <c r="AQ57" i="96"/>
  <c r="AR57" i="96" s="1"/>
  <c r="BD57" i="96"/>
  <c r="BE57" i="96" s="1"/>
  <c r="AH57" i="96"/>
  <c r="AI57" i="96" s="1"/>
  <c r="V57" i="96"/>
  <c r="W57" i="96" s="1"/>
  <c r="AT57" i="96"/>
  <c r="AV57" i="96"/>
  <c r="AW57" i="96" s="1"/>
  <c r="R57" i="96"/>
  <c r="T57" i="96" s="1"/>
  <c r="AK57" i="96"/>
  <c r="AL57" i="96" s="1"/>
  <c r="M57" i="96"/>
  <c r="BQ57" i="96"/>
  <c r="BR57" i="96" s="1"/>
  <c r="P57" i="96"/>
  <c r="Y57" i="96"/>
  <c r="Z57" i="96" s="1"/>
  <c r="I113" i="99"/>
  <c r="K56" i="66"/>
  <c r="I57" i="66"/>
  <c r="M57" i="126"/>
  <c r="BJ57" i="126"/>
  <c r="BL57" i="126" s="1"/>
  <c r="BN57" i="126"/>
  <c r="BO57" i="126" s="1"/>
  <c r="BK57" i="126"/>
  <c r="O57" i="126"/>
  <c r="AT57" i="126"/>
  <c r="BD57" i="126"/>
  <c r="BE57" i="126" s="1"/>
  <c r="P57" i="126"/>
  <c r="R57" i="126"/>
  <c r="T57" i="126" s="1"/>
  <c r="BQ57" i="126"/>
  <c r="BR57" i="126" s="1"/>
  <c r="AV57" i="126"/>
  <c r="AW57" i="126" s="1"/>
  <c r="AY57" i="126"/>
  <c r="AE57" i="126"/>
  <c r="AF57" i="126" s="1"/>
  <c r="BA57" i="126"/>
  <c r="BB57" i="126" s="1"/>
  <c r="AN57" i="126"/>
  <c r="AO57" i="126" s="1"/>
  <c r="Y57" i="126"/>
  <c r="Z57" i="126" s="1"/>
  <c r="AH57" i="126"/>
  <c r="AI57" i="126" s="1"/>
  <c r="BG57" i="126"/>
  <c r="BH57" i="126" s="1"/>
  <c r="V57" i="126"/>
  <c r="W57" i="126" s="1"/>
  <c r="AK57" i="126"/>
  <c r="AL57" i="126" s="1"/>
  <c r="AB57" i="126"/>
  <c r="AC57" i="126" s="1"/>
  <c r="AQ57" i="126"/>
  <c r="AR57" i="126" s="1"/>
  <c r="K58" i="126"/>
  <c r="M59" i="136"/>
  <c r="BN59" i="136"/>
  <c r="BO59" i="136" s="1"/>
  <c r="BD59" i="136"/>
  <c r="BE59" i="136" s="1"/>
  <c r="AH59" i="136"/>
  <c r="AI59" i="136" s="1"/>
  <c r="Y59" i="136"/>
  <c r="Z59" i="136" s="1"/>
  <c r="AV59" i="136"/>
  <c r="AW59" i="136" s="1"/>
  <c r="AN59" i="136"/>
  <c r="AO59" i="136" s="1"/>
  <c r="BQ59" i="136"/>
  <c r="BR59" i="136" s="1"/>
  <c r="BA59" i="136"/>
  <c r="BB59" i="136" s="1"/>
  <c r="AT59" i="136"/>
  <c r="V59" i="136"/>
  <c r="W59" i="136" s="1"/>
  <c r="P59" i="136"/>
  <c r="AY59" i="136"/>
  <c r="BL59" i="136"/>
  <c r="AQ59" i="136"/>
  <c r="AR59" i="136" s="1"/>
  <c r="O59" i="136"/>
  <c r="AK59" i="136"/>
  <c r="AL59" i="136" s="1"/>
  <c r="BG59" i="136"/>
  <c r="BH59" i="136" s="1"/>
  <c r="AB59" i="136"/>
  <c r="AC59" i="136" s="1"/>
  <c r="AE59" i="136"/>
  <c r="AF59" i="136" s="1"/>
  <c r="R59" i="136"/>
  <c r="T59" i="136" s="1"/>
  <c r="K60" i="136"/>
  <c r="AI54" i="120"/>
  <c r="I63" i="136"/>
  <c r="M57" i="110"/>
  <c r="BN57" i="110"/>
  <c r="BO57" i="110" s="1"/>
  <c r="BJ57" i="110"/>
  <c r="BL57" i="110" s="1"/>
  <c r="BK57" i="110"/>
  <c r="AH57" i="110"/>
  <c r="AI57" i="110" s="1"/>
  <c r="AB57" i="110"/>
  <c r="AC57" i="110" s="1"/>
  <c r="BD57" i="110"/>
  <c r="BE57" i="110" s="1"/>
  <c r="AT57" i="110"/>
  <c r="AQ57" i="110"/>
  <c r="AR57" i="110" s="1"/>
  <c r="BG57" i="110"/>
  <c r="BH57" i="110" s="1"/>
  <c r="V57" i="110"/>
  <c r="W57" i="110" s="1"/>
  <c r="AV57" i="110"/>
  <c r="AW57" i="110" s="1"/>
  <c r="AE57" i="110"/>
  <c r="AF57" i="110" s="1"/>
  <c r="AY57" i="110"/>
  <c r="Y57" i="110"/>
  <c r="Z57" i="110" s="1"/>
  <c r="AK57" i="110"/>
  <c r="AL57" i="110" s="1"/>
  <c r="AN57" i="110"/>
  <c r="AO57" i="110" s="1"/>
  <c r="R57" i="110"/>
  <c r="T57" i="110" s="1"/>
  <c r="BA57" i="110"/>
  <c r="BB57" i="110" s="1"/>
  <c r="P57" i="110"/>
  <c r="O57" i="110"/>
  <c r="BQ57" i="110"/>
  <c r="BR57" i="110" s="1"/>
  <c r="I66" i="95"/>
  <c r="I63" i="64"/>
  <c r="I57" i="17"/>
  <c r="K56" i="17"/>
  <c r="I60" i="135"/>
  <c r="K59" i="135"/>
  <c r="I59" i="96"/>
  <c r="K58" i="96"/>
  <c r="K58" i="98"/>
  <c r="BJ57" i="98"/>
  <c r="BL57" i="98" s="1"/>
  <c r="M57" i="98"/>
  <c r="BK57" i="98"/>
  <c r="BN57" i="98"/>
  <c r="BO57" i="98" s="1"/>
  <c r="BD57" i="98"/>
  <c r="BE57" i="98" s="1"/>
  <c r="P57" i="98"/>
  <c r="BQ57" i="98"/>
  <c r="BR57" i="98" s="1"/>
  <c r="Y57" i="98"/>
  <c r="Z57" i="98" s="1"/>
  <c r="R57" i="98"/>
  <c r="T57" i="98" s="1"/>
  <c r="AQ57" i="98"/>
  <c r="AR57" i="98" s="1"/>
  <c r="V57" i="98"/>
  <c r="W57" i="98" s="1"/>
  <c r="O57" i="98"/>
  <c r="AT57" i="98"/>
  <c r="BA57" i="98"/>
  <c r="BB57" i="98" s="1"/>
  <c r="AY57" i="98"/>
  <c r="AE57" i="98"/>
  <c r="AF57" i="98" s="1"/>
  <c r="BG57" i="98"/>
  <c r="BH57" i="98" s="1"/>
  <c r="AK57" i="98"/>
  <c r="AL57" i="98" s="1"/>
  <c r="AH57" i="98"/>
  <c r="AI57" i="98" s="1"/>
  <c r="AB57" i="98"/>
  <c r="AC57" i="98" s="1"/>
  <c r="AV57" i="98"/>
  <c r="AW57" i="98" s="1"/>
  <c r="AN57" i="98"/>
  <c r="AO57" i="98" s="1"/>
  <c r="K56" i="13"/>
  <c r="I57" i="13"/>
  <c r="I63" i="114"/>
  <c r="M57" i="114"/>
  <c r="BN57" i="114"/>
  <c r="BO57" i="114" s="1"/>
  <c r="BK57" i="114"/>
  <c r="BJ57" i="114"/>
  <c r="BL57" i="114" s="1"/>
  <c r="AV57" i="114"/>
  <c r="AW57" i="114" s="1"/>
  <c r="P57" i="114"/>
  <c r="AN57" i="114"/>
  <c r="AO57" i="114" s="1"/>
  <c r="AH57" i="114"/>
  <c r="AI57" i="114" s="1"/>
  <c r="BA57" i="114"/>
  <c r="BB57" i="114" s="1"/>
  <c r="AQ57" i="114"/>
  <c r="AR57" i="114" s="1"/>
  <c r="R57" i="114"/>
  <c r="T57" i="114" s="1"/>
  <c r="BG57" i="114"/>
  <c r="BH57" i="114" s="1"/>
  <c r="AY57" i="114"/>
  <c r="O57" i="114"/>
  <c r="AK57" i="114"/>
  <c r="AL57" i="114" s="1"/>
  <c r="AT57" i="114"/>
  <c r="BD57" i="114"/>
  <c r="BE57" i="114" s="1"/>
  <c r="AE57" i="114"/>
  <c r="AF57" i="114" s="1"/>
  <c r="V57" i="114"/>
  <c r="W57" i="114" s="1"/>
  <c r="Y57" i="114"/>
  <c r="Z57" i="114" s="1"/>
  <c r="AB57" i="114"/>
  <c r="AC57" i="114" s="1"/>
  <c r="BQ57" i="114"/>
  <c r="BR57" i="114" s="1"/>
  <c r="K58" i="114"/>
  <c r="I62" i="126"/>
  <c r="I61" i="15"/>
  <c r="BK59" i="105"/>
  <c r="M59" i="105"/>
  <c r="BN59" i="105"/>
  <c r="BO59" i="105" s="1"/>
  <c r="BJ59" i="105"/>
  <c r="BL59" i="105" s="1"/>
  <c r="AH59" i="105"/>
  <c r="AI59" i="105" s="1"/>
  <c r="Y59" i="105"/>
  <c r="Z59" i="105" s="1"/>
  <c r="BQ59" i="105"/>
  <c r="BR59" i="105" s="1"/>
  <c r="BG59" i="105"/>
  <c r="BH59" i="105" s="1"/>
  <c r="AY59" i="105"/>
  <c r="P59" i="105"/>
  <c r="AN59" i="105"/>
  <c r="AO59" i="105" s="1"/>
  <c r="R59" i="105"/>
  <c r="T59" i="105" s="1"/>
  <c r="V59" i="105"/>
  <c r="W59" i="105" s="1"/>
  <c r="AK59" i="105"/>
  <c r="AL59" i="105" s="1"/>
  <c r="BA59" i="105"/>
  <c r="BB59" i="105" s="1"/>
  <c r="AV59" i="105"/>
  <c r="AW59" i="105" s="1"/>
  <c r="AT59" i="105"/>
  <c r="O59" i="105"/>
  <c r="AE59" i="105"/>
  <c r="AF59" i="105" s="1"/>
  <c r="AB59" i="105"/>
  <c r="AC59" i="105" s="1"/>
  <c r="BD59" i="105"/>
  <c r="BE59" i="105" s="1"/>
  <c r="AQ59" i="105"/>
  <c r="AR59" i="105" s="1"/>
  <c r="K60" i="105"/>
  <c r="I64" i="105"/>
  <c r="M57" i="115"/>
  <c r="BK57" i="115"/>
  <c r="BN57" i="115"/>
  <c r="BO57" i="115" s="1"/>
  <c r="BJ57" i="115"/>
  <c r="BL57" i="115" s="1"/>
  <c r="AN57" i="115"/>
  <c r="AO57" i="115" s="1"/>
  <c r="BA57" i="115"/>
  <c r="BB57" i="115" s="1"/>
  <c r="Y57" i="115"/>
  <c r="Z57" i="115" s="1"/>
  <c r="BD57" i="115"/>
  <c r="BE57" i="115" s="1"/>
  <c r="BQ57" i="115"/>
  <c r="BR57" i="115" s="1"/>
  <c r="AK57" i="115"/>
  <c r="AL57" i="115" s="1"/>
  <c r="V57" i="115"/>
  <c r="W57" i="115" s="1"/>
  <c r="AH57" i="115"/>
  <c r="AI57" i="115" s="1"/>
  <c r="AY57" i="115"/>
  <c r="BG57" i="115"/>
  <c r="BH57" i="115" s="1"/>
  <c r="AT57" i="115"/>
  <c r="R57" i="115"/>
  <c r="T57" i="115" s="1"/>
  <c r="AV57" i="115"/>
  <c r="AW57" i="115" s="1"/>
  <c r="O57" i="115"/>
  <c r="AB57" i="115"/>
  <c r="AC57" i="115" s="1"/>
  <c r="AQ57" i="115"/>
  <c r="AR57" i="115" s="1"/>
  <c r="AE57" i="115"/>
  <c r="AF57" i="115" s="1"/>
  <c r="P57" i="115"/>
  <c r="AQ54" i="13"/>
  <c r="AR54" i="13" s="1"/>
  <c r="BB54" i="13"/>
  <c r="BN55" i="13"/>
  <c r="BO55" i="13" s="1"/>
  <c r="M55" i="13"/>
  <c r="BL55" i="13"/>
  <c r="AV55" i="13"/>
  <c r="AW55" i="13" s="1"/>
  <c r="AT55" i="13"/>
  <c r="BD55" i="13"/>
  <c r="BE55" i="13" s="1"/>
  <c r="BQ55" i="13"/>
  <c r="BR55" i="13" s="1"/>
  <c r="AN55" i="13"/>
  <c r="AO55" i="13" s="1"/>
  <c r="AB55" i="13"/>
  <c r="BG55" i="13"/>
  <c r="BH55" i="13" s="1"/>
  <c r="AE55" i="13"/>
  <c r="AF55" i="13" s="1"/>
  <c r="BA55" i="13"/>
  <c r="BB55" i="13" s="1"/>
  <c r="P55" i="13"/>
  <c r="AH55" i="13"/>
  <c r="AI55" i="13" s="1"/>
  <c r="O55" i="13"/>
  <c r="AQ55" i="13"/>
  <c r="AR55" i="13" s="1"/>
  <c r="V55" i="13"/>
  <c r="W55" i="13" s="1"/>
  <c r="R55" i="13"/>
  <c r="T55" i="13" s="1"/>
  <c r="AY55" i="13"/>
  <c r="Y55" i="13"/>
  <c r="Z55" i="13" s="1"/>
  <c r="AK55" i="13"/>
  <c r="AL55" i="13" s="1"/>
  <c r="I64" i="132"/>
  <c r="AQ54" i="120"/>
  <c r="AR54" i="120" s="1"/>
  <c r="AL54" i="120"/>
  <c r="W54" i="120"/>
  <c r="AV55" i="120"/>
  <c r="AW55" i="120" s="1"/>
  <c r="AK55" i="120"/>
  <c r="AL55" i="120" s="1"/>
  <c r="AN55" i="120"/>
  <c r="AO55" i="120" s="1"/>
  <c r="P55" i="120"/>
  <c r="AE55" i="120"/>
  <c r="AF55" i="120" s="1"/>
  <c r="AH55" i="120"/>
  <c r="AI55" i="120" s="1"/>
  <c r="V55" i="120"/>
  <c r="W55" i="120" s="1"/>
  <c r="Y55" i="120"/>
  <c r="Z55" i="120" s="1"/>
  <c r="BG55" i="120"/>
  <c r="BH55" i="120" s="1"/>
  <c r="AT55" i="120"/>
  <c r="R55" i="120"/>
  <c r="T55" i="120" s="1"/>
  <c r="AY55" i="120"/>
  <c r="M55" i="120"/>
  <c r="K56" i="120"/>
  <c r="BQ55" i="120"/>
  <c r="BR55" i="120" s="1"/>
  <c r="BA55" i="120"/>
  <c r="BB55" i="120" s="1"/>
  <c r="BD55" i="120"/>
  <c r="BE55" i="120" s="1"/>
  <c r="O55" i="120"/>
  <c r="AQ55" i="120"/>
  <c r="AR55" i="120" s="1"/>
  <c r="BN55" i="120"/>
  <c r="BO55" i="120" s="1"/>
  <c r="AB55" i="120"/>
  <c r="M56" i="101"/>
  <c r="Y56" i="101"/>
  <c r="Z56" i="101" s="1"/>
  <c r="AV56" i="101"/>
  <c r="AW56" i="101" s="1"/>
  <c r="BG56" i="101"/>
  <c r="BH56" i="101" s="1"/>
  <c r="AT56" i="101"/>
  <c r="BD56" i="101"/>
  <c r="BE56" i="101" s="1"/>
  <c r="BQ56" i="101"/>
  <c r="BR56" i="101" s="1"/>
  <c r="AH56" i="101"/>
  <c r="AI56" i="101" s="1"/>
  <c r="O56" i="101"/>
  <c r="P56" i="101"/>
  <c r="BA56" i="101"/>
  <c r="BB56" i="101" s="1"/>
  <c r="AB56" i="101"/>
  <c r="AC56" i="101" s="1"/>
  <c r="AE56" i="101"/>
  <c r="AF56" i="101" s="1"/>
  <c r="AQ56" i="101"/>
  <c r="AR56" i="101" s="1"/>
  <c r="AN56" i="101"/>
  <c r="AO56" i="101" s="1"/>
  <c r="V56" i="101"/>
  <c r="W56" i="101" s="1"/>
  <c r="R56" i="101"/>
  <c r="T56" i="101" s="1"/>
  <c r="AK56" i="101"/>
  <c r="AL56" i="101" s="1"/>
  <c r="AY56" i="101"/>
  <c r="P32" i="105"/>
  <c r="P33" i="105" s="1"/>
  <c r="P34" i="105" s="1"/>
  <c r="P35" i="105" s="1"/>
  <c r="P36" i="105" s="1"/>
  <c r="P37" i="105" s="1"/>
  <c r="P38" i="105" s="1"/>
  <c r="P39" i="105" s="1"/>
  <c r="O32" i="99"/>
  <c r="O33" i="99" s="1"/>
  <c r="O34" i="99" s="1"/>
  <c r="O35" i="99" s="1"/>
  <c r="O36" i="99" s="1"/>
  <c r="O37" i="99" s="1"/>
  <c r="O38" i="99" s="1"/>
  <c r="O39" i="99" s="1"/>
  <c r="O40" i="99" s="1"/>
  <c r="O41" i="99" s="1"/>
  <c r="O42" i="99" s="1"/>
  <c r="O43" i="99" s="1"/>
  <c r="O44" i="99" s="1"/>
  <c r="W31" i="99"/>
  <c r="O31" i="105"/>
  <c r="P32" i="110"/>
  <c r="V31" i="110"/>
  <c r="W31" i="110" s="1"/>
  <c r="O31" i="110"/>
  <c r="W28" i="112"/>
  <c r="O29" i="112"/>
  <c r="K60" i="99" l="1"/>
  <c r="P59" i="99"/>
  <c r="BN59" i="99"/>
  <c r="BO59" i="99" s="1"/>
  <c r="O59" i="99"/>
  <c r="M59" i="99"/>
  <c r="BA59" i="99"/>
  <c r="BB59" i="99" s="1"/>
  <c r="BJ59" i="99"/>
  <c r="BL59" i="99" s="1"/>
  <c r="BQ59" i="99"/>
  <c r="BR59" i="99" s="1"/>
  <c r="BK59" i="99"/>
  <c r="AH59" i="99"/>
  <c r="AI59" i="99" s="1"/>
  <c r="AV59" i="99"/>
  <c r="AW59" i="99" s="1"/>
  <c r="Y59" i="99"/>
  <c r="Z59" i="99" s="1"/>
  <c r="BG59" i="99"/>
  <c r="BH59" i="99" s="1"/>
  <c r="AB59" i="99"/>
  <c r="AC59" i="99" s="1"/>
  <c r="AN59" i="99"/>
  <c r="AO59" i="99" s="1"/>
  <c r="AT59" i="99"/>
  <c r="AK59" i="99"/>
  <c r="AL59" i="99" s="1"/>
  <c r="V59" i="99"/>
  <c r="W59" i="99" s="1"/>
  <c r="AY59" i="99"/>
  <c r="AQ59" i="99"/>
  <c r="AR59" i="99" s="1"/>
  <c r="R59" i="99"/>
  <c r="T59" i="99" s="1"/>
  <c r="AE59" i="99"/>
  <c r="AF59" i="99" s="1"/>
  <c r="BD59" i="99"/>
  <c r="BE59" i="99" s="1"/>
  <c r="P59" i="132"/>
  <c r="AB59" i="132"/>
  <c r="AC59" i="132" s="1"/>
  <c r="AH59" i="132"/>
  <c r="AI59" i="132" s="1"/>
  <c r="K60" i="132"/>
  <c r="BD59" i="132"/>
  <c r="BE59" i="132" s="1"/>
  <c r="BL59" i="132"/>
  <c r="AT59" i="132"/>
  <c r="BQ59" i="132"/>
  <c r="BR59" i="132" s="1"/>
  <c r="AY59" i="132"/>
  <c r="M59" i="132"/>
  <c r="AE59" i="132"/>
  <c r="AF59" i="132" s="1"/>
  <c r="BA59" i="132"/>
  <c r="BB59" i="132" s="1"/>
  <c r="V59" i="132"/>
  <c r="W59" i="132" s="1"/>
  <c r="AN59" i="132"/>
  <c r="AO59" i="132" s="1"/>
  <c r="R59" i="132"/>
  <c r="T59" i="132" s="1"/>
  <c r="O59" i="132"/>
  <c r="BG59" i="132"/>
  <c r="BH59" i="132" s="1"/>
  <c r="AV59" i="132"/>
  <c r="AW59" i="132" s="1"/>
  <c r="Y59" i="132"/>
  <c r="Z59" i="132" s="1"/>
  <c r="BN59" i="132"/>
  <c r="BO59" i="132" s="1"/>
  <c r="AQ59" i="132"/>
  <c r="AR59" i="132" s="1"/>
  <c r="AK59" i="132"/>
  <c r="AL59" i="132" s="1"/>
  <c r="BN61" i="107"/>
  <c r="BO61" i="107" s="1"/>
  <c r="AB61" i="107"/>
  <c r="AC61" i="107" s="1"/>
  <c r="Y61" i="107"/>
  <c r="Z61" i="107" s="1"/>
  <c r="BD61" i="107"/>
  <c r="BE61" i="107" s="1"/>
  <c r="AT61" i="107"/>
  <c r="BJ61" i="107"/>
  <c r="BL61" i="107" s="1"/>
  <c r="O61" i="107"/>
  <c r="BG61" i="107"/>
  <c r="BH61" i="107" s="1"/>
  <c r="V61" i="107"/>
  <c r="W61" i="107" s="1"/>
  <c r="AK61" i="107"/>
  <c r="AL61" i="107" s="1"/>
  <c r="BQ61" i="107"/>
  <c r="BR61" i="107" s="1"/>
  <c r="AV61" i="107"/>
  <c r="AW61" i="107" s="1"/>
  <c r="R61" i="107"/>
  <c r="T61" i="107" s="1"/>
  <c r="BK61" i="107"/>
  <c r="AQ61" i="107"/>
  <c r="AR61" i="107" s="1"/>
  <c r="AH61" i="107"/>
  <c r="AI61" i="107" s="1"/>
  <c r="AY61" i="107"/>
  <c r="M61" i="107"/>
  <c r="P61" i="107"/>
  <c r="AE61" i="107"/>
  <c r="AF61" i="107" s="1"/>
  <c r="AN61" i="107"/>
  <c r="AO61" i="107" s="1"/>
  <c r="BA61" i="107"/>
  <c r="BB61" i="107" s="1"/>
  <c r="I63" i="107"/>
  <c r="K62" i="107"/>
  <c r="T53" i="156"/>
  <c r="Y53" i="156" s="1"/>
  <c r="Z53" i="156" s="1"/>
  <c r="R54" i="156"/>
  <c r="T54" i="156" s="1"/>
  <c r="Y54" i="156" s="1"/>
  <c r="Z54" i="156" s="1"/>
  <c r="K93" i="161"/>
  <c r="BQ93" i="161" s="1"/>
  <c r="I94" i="161"/>
  <c r="BG92" i="161"/>
  <c r="BH92" i="161" s="1"/>
  <c r="BA92" i="161"/>
  <c r="BB92" i="161" s="1"/>
  <c r="AT92" i="161"/>
  <c r="AN92" i="161"/>
  <c r="AO92" i="161" s="1"/>
  <c r="AH92" i="161"/>
  <c r="AI92" i="161" s="1"/>
  <c r="AB92" i="161"/>
  <c r="AC92" i="161" s="1"/>
  <c r="V92" i="161"/>
  <c r="W92" i="161" s="1"/>
  <c r="O92" i="161"/>
  <c r="BR92" i="161"/>
  <c r="AY92" i="161"/>
  <c r="BD92" i="161"/>
  <c r="BE92" i="161" s="1"/>
  <c r="AQ92" i="161"/>
  <c r="AR92" i="161" s="1"/>
  <c r="AK92" i="161"/>
  <c r="AL92" i="161" s="1"/>
  <c r="AE92" i="161"/>
  <c r="AF92" i="161" s="1"/>
  <c r="Y92" i="161"/>
  <c r="Z92" i="161" s="1"/>
  <c r="R92" i="161"/>
  <c r="T92" i="161" s="1"/>
  <c r="AV92" i="161"/>
  <c r="AW92" i="161" s="1"/>
  <c r="P92" i="161"/>
  <c r="BN92" i="161"/>
  <c r="BO92" i="161" s="1"/>
  <c r="M92" i="161"/>
  <c r="BJ92" i="161"/>
  <c r="BL92" i="161" s="1"/>
  <c r="BK92" i="161"/>
  <c r="BA62" i="156"/>
  <c r="BB62" i="156" s="1"/>
  <c r="Y62" i="156"/>
  <c r="Z62" i="156" s="1"/>
  <c r="BQ62" i="156"/>
  <c r="BR62" i="156" s="1"/>
  <c r="O62" i="156"/>
  <c r="BG62" i="156"/>
  <c r="BH62" i="156" s="1"/>
  <c r="AE62" i="156"/>
  <c r="AF62" i="156" s="1"/>
  <c r="M62" i="156"/>
  <c r="V62" i="156"/>
  <c r="W62" i="156" s="1"/>
  <c r="P62" i="156"/>
  <c r="AK62" i="156"/>
  <c r="AL62" i="156" s="1"/>
  <c r="BL62" i="156"/>
  <c r="AB62" i="156"/>
  <c r="AC62" i="156" s="1"/>
  <c r="AV62" i="156"/>
  <c r="AW62" i="156" s="1"/>
  <c r="AQ62" i="156"/>
  <c r="AR62" i="156" s="1"/>
  <c r="AH62" i="156"/>
  <c r="AI62" i="156" s="1"/>
  <c r="BN62" i="156"/>
  <c r="BO62" i="156" s="1"/>
  <c r="BD62" i="156"/>
  <c r="BE62" i="156" s="1"/>
  <c r="AN62" i="156"/>
  <c r="AO62" i="156" s="1"/>
  <c r="R62" i="156"/>
  <c r="T62" i="156" s="1"/>
  <c r="I64" i="156"/>
  <c r="K63" i="156"/>
  <c r="AY63" i="156" s="1"/>
  <c r="M57" i="106"/>
  <c r="AB57" i="106"/>
  <c r="AC57" i="106" s="1"/>
  <c r="AK57" i="106"/>
  <c r="AL57" i="106" s="1"/>
  <c r="BD57" i="106"/>
  <c r="BE57" i="106" s="1"/>
  <c r="BG57" i="106"/>
  <c r="BH57" i="106" s="1"/>
  <c r="AT57" i="106"/>
  <c r="AV57" i="106"/>
  <c r="AW57" i="106" s="1"/>
  <c r="BJ57" i="106"/>
  <c r="BL57" i="106" s="1"/>
  <c r="Y57" i="106"/>
  <c r="Z57" i="106" s="1"/>
  <c r="BQ57" i="106"/>
  <c r="BR57" i="106" s="1"/>
  <c r="O57" i="106"/>
  <c r="BN57" i="106"/>
  <c r="BO57" i="106" s="1"/>
  <c r="BA57" i="106"/>
  <c r="BB57" i="106" s="1"/>
  <c r="AE57" i="106"/>
  <c r="AF57" i="106" s="1"/>
  <c r="AN57" i="106"/>
  <c r="AO57" i="106" s="1"/>
  <c r="BK57" i="106"/>
  <c r="P57" i="106"/>
  <c r="AQ57" i="106"/>
  <c r="AR57" i="106" s="1"/>
  <c r="R57" i="106"/>
  <c r="T57" i="106" s="1"/>
  <c r="V57" i="106"/>
  <c r="W57" i="106" s="1"/>
  <c r="AH57" i="106"/>
  <c r="AI57" i="106" s="1"/>
  <c r="AY57" i="106"/>
  <c r="K58" i="106"/>
  <c r="BK57" i="112"/>
  <c r="AB57" i="112"/>
  <c r="AC57" i="112" s="1"/>
  <c r="P57" i="112"/>
  <c r="AY57" i="112"/>
  <c r="BJ57" i="112"/>
  <c r="BL57" i="112" s="1"/>
  <c r="BG57" i="112"/>
  <c r="BH57" i="112" s="1"/>
  <c r="BA57" i="112"/>
  <c r="BB57" i="112" s="1"/>
  <c r="AH57" i="112"/>
  <c r="AI57" i="112" s="1"/>
  <c r="BN57" i="112"/>
  <c r="BO57" i="112" s="1"/>
  <c r="V57" i="112"/>
  <c r="W57" i="112" s="1"/>
  <c r="Y57" i="112"/>
  <c r="Z57" i="112" s="1"/>
  <c r="AE57" i="112"/>
  <c r="AF57" i="112" s="1"/>
  <c r="K58" i="112"/>
  <c r="AK57" i="112"/>
  <c r="AL57" i="112" s="1"/>
  <c r="R57" i="112"/>
  <c r="T57" i="112" s="1"/>
  <c r="AV57" i="112"/>
  <c r="AW57" i="112" s="1"/>
  <c r="BD57" i="112"/>
  <c r="BE57" i="112" s="1"/>
  <c r="BQ57" i="112"/>
  <c r="BR57" i="112" s="1"/>
  <c r="AT57" i="112"/>
  <c r="M57" i="112"/>
  <c r="O57" i="112"/>
  <c r="AN57" i="112"/>
  <c r="AO57" i="112" s="1"/>
  <c r="AQ57" i="112"/>
  <c r="AR57" i="112" s="1"/>
  <c r="AC55" i="120"/>
  <c r="K59" i="129"/>
  <c r="BG58" i="129"/>
  <c r="BH58" i="129" s="1"/>
  <c r="BD58" i="129"/>
  <c r="BE58" i="129" s="1"/>
  <c r="AH58" i="129"/>
  <c r="AI58" i="129" s="1"/>
  <c r="AE58" i="129"/>
  <c r="AF58" i="129" s="1"/>
  <c r="BQ58" i="129"/>
  <c r="BR58" i="129" s="1"/>
  <c r="P58" i="129"/>
  <c r="BL58" i="129"/>
  <c r="Y58" i="129"/>
  <c r="Z58" i="129" s="1"/>
  <c r="O58" i="129"/>
  <c r="AB58" i="129"/>
  <c r="AC58" i="129" s="1"/>
  <c r="BA58" i="129"/>
  <c r="BB58" i="129" s="1"/>
  <c r="V58" i="129"/>
  <c r="W58" i="129" s="1"/>
  <c r="AN58" i="129"/>
  <c r="AO58" i="129" s="1"/>
  <c r="BN58" i="129"/>
  <c r="BO58" i="129" s="1"/>
  <c r="AV58" i="129"/>
  <c r="AW58" i="129" s="1"/>
  <c r="R58" i="129"/>
  <c r="T58" i="129" s="1"/>
  <c r="AK58" i="129"/>
  <c r="AL58" i="129" s="1"/>
  <c r="M58" i="129"/>
  <c r="AY58" i="129"/>
  <c r="AQ58" i="129"/>
  <c r="AR58" i="129" s="1"/>
  <c r="AT58" i="129"/>
  <c r="BN57" i="104"/>
  <c r="BO57" i="104" s="1"/>
  <c r="Y57" i="104"/>
  <c r="Z57" i="104" s="1"/>
  <c r="P57" i="104"/>
  <c r="BG57" i="104"/>
  <c r="BH57" i="104" s="1"/>
  <c r="BJ57" i="104"/>
  <c r="BL57" i="104" s="1"/>
  <c r="AE57" i="104"/>
  <c r="AF57" i="104" s="1"/>
  <c r="AN57" i="104"/>
  <c r="AO57" i="104" s="1"/>
  <c r="AV57" i="104"/>
  <c r="AW57" i="104" s="1"/>
  <c r="M57" i="104"/>
  <c r="V57" i="104"/>
  <c r="W57" i="104" s="1"/>
  <c r="AK57" i="104"/>
  <c r="AL57" i="104" s="1"/>
  <c r="BA57" i="104"/>
  <c r="BB57" i="104" s="1"/>
  <c r="BK57" i="104"/>
  <c r="BQ57" i="104"/>
  <c r="BR57" i="104" s="1"/>
  <c r="O57" i="104"/>
  <c r="AH57" i="104"/>
  <c r="AI57" i="104" s="1"/>
  <c r="K58" i="104"/>
  <c r="R57" i="104"/>
  <c r="T57" i="104" s="1"/>
  <c r="BD57" i="104"/>
  <c r="BE57" i="104" s="1"/>
  <c r="AB57" i="104"/>
  <c r="AC57" i="104" s="1"/>
  <c r="AQ57" i="104"/>
  <c r="AR57" i="104" s="1"/>
  <c r="AT57" i="104"/>
  <c r="AY57" i="104"/>
  <c r="M56" i="95"/>
  <c r="BQ56" i="95"/>
  <c r="BR56" i="95" s="1"/>
  <c r="P56" i="95"/>
  <c r="R56" i="95"/>
  <c r="T56" i="95" s="1"/>
  <c r="BN56" i="95"/>
  <c r="BO56" i="95" s="1"/>
  <c r="BD56" i="95"/>
  <c r="BE56" i="95" s="1"/>
  <c r="V56" i="95"/>
  <c r="W56" i="95" s="1"/>
  <c r="BG56" i="95"/>
  <c r="BH56" i="95" s="1"/>
  <c r="BL56" i="95"/>
  <c r="AN56" i="95"/>
  <c r="AO56" i="95" s="1"/>
  <c r="BA56" i="95"/>
  <c r="BB56" i="95" s="1"/>
  <c r="K57" i="95"/>
  <c r="AT56" i="95"/>
  <c r="AE56" i="95"/>
  <c r="AF56" i="95" s="1"/>
  <c r="AB56" i="95"/>
  <c r="AK56" i="95"/>
  <c r="AL56" i="95" s="1"/>
  <c r="AQ56" i="95"/>
  <c r="AR56" i="95" s="1"/>
  <c r="AV56" i="95"/>
  <c r="AW56" i="95" s="1"/>
  <c r="O56" i="95"/>
  <c r="AH56" i="95"/>
  <c r="AI56" i="95" s="1"/>
  <c r="Y56" i="95"/>
  <c r="Z56" i="95" s="1"/>
  <c r="P60" i="133"/>
  <c r="AB60" i="133"/>
  <c r="AC60" i="133" s="1"/>
  <c r="BD60" i="133"/>
  <c r="BE60" i="133" s="1"/>
  <c r="AH60" i="133"/>
  <c r="AI60" i="133" s="1"/>
  <c r="AE60" i="133"/>
  <c r="AF60" i="133" s="1"/>
  <c r="AV60" i="133"/>
  <c r="AW60" i="133" s="1"/>
  <c r="BN60" i="133"/>
  <c r="BO60" i="133" s="1"/>
  <c r="Y60" i="133"/>
  <c r="Z60" i="133" s="1"/>
  <c r="BA60" i="133"/>
  <c r="BB60" i="133" s="1"/>
  <c r="AN60" i="133"/>
  <c r="AO60" i="133" s="1"/>
  <c r="BL60" i="133"/>
  <c r="V60" i="133"/>
  <c r="W60" i="133" s="1"/>
  <c r="R60" i="133"/>
  <c r="T60" i="133" s="1"/>
  <c r="AT60" i="133"/>
  <c r="M60" i="133"/>
  <c r="AQ60" i="133"/>
  <c r="AR60" i="133" s="1"/>
  <c r="BQ60" i="133"/>
  <c r="BR60" i="133" s="1"/>
  <c r="O60" i="133"/>
  <c r="AY60" i="133"/>
  <c r="BG60" i="133"/>
  <c r="BH60" i="133" s="1"/>
  <c r="AK60" i="133"/>
  <c r="AL60" i="133" s="1"/>
  <c r="K61" i="133"/>
  <c r="I64" i="106"/>
  <c r="AV49" i="15"/>
  <c r="AW49" i="15" s="1"/>
  <c r="AT50" i="150"/>
  <c r="AT50" i="156"/>
  <c r="M58" i="130"/>
  <c r="K59" i="130"/>
  <c r="BN58" i="130"/>
  <c r="BO58" i="130" s="1"/>
  <c r="BL58" i="130"/>
  <c r="AQ58" i="130"/>
  <c r="AR58" i="130" s="1"/>
  <c r="BA58" i="130"/>
  <c r="BB58" i="130" s="1"/>
  <c r="AY58" i="130"/>
  <c r="AB58" i="130"/>
  <c r="AC58" i="130" s="1"/>
  <c r="O58" i="130"/>
  <c r="BD58" i="130"/>
  <c r="BE58" i="130" s="1"/>
  <c r="AT58" i="130"/>
  <c r="AN58" i="130"/>
  <c r="AO58" i="130" s="1"/>
  <c r="AE58" i="130"/>
  <c r="AF58" i="130" s="1"/>
  <c r="AV58" i="130"/>
  <c r="AW58" i="130" s="1"/>
  <c r="P58" i="130"/>
  <c r="Y58" i="130"/>
  <c r="Z58" i="130" s="1"/>
  <c r="AK58" i="130"/>
  <c r="AL58" i="130" s="1"/>
  <c r="BQ58" i="130"/>
  <c r="BR58" i="130" s="1"/>
  <c r="AH58" i="130"/>
  <c r="AI58" i="130" s="1"/>
  <c r="R58" i="130"/>
  <c r="T58" i="130" s="1"/>
  <c r="V58" i="130"/>
  <c r="W58" i="130" s="1"/>
  <c r="BG58" i="130"/>
  <c r="BH58" i="130" s="1"/>
  <c r="BA54" i="15"/>
  <c r="BB54" i="15" s="1"/>
  <c r="BG54" i="15"/>
  <c r="BH54" i="15" s="1"/>
  <c r="BG54" i="149"/>
  <c r="BH54" i="149" s="1"/>
  <c r="BA54" i="149"/>
  <c r="BB54" i="149" s="1"/>
  <c r="BA54" i="156"/>
  <c r="BB54" i="156" s="1"/>
  <c r="BG54" i="156"/>
  <c r="BH54" i="156" s="1"/>
  <c r="AV49" i="156"/>
  <c r="AW49" i="156" s="1"/>
  <c r="BD49" i="156"/>
  <c r="BE49" i="156" s="1"/>
  <c r="AV49" i="150"/>
  <c r="AW49" i="150" s="1"/>
  <c r="BD49" i="150"/>
  <c r="BE49" i="150" s="1"/>
  <c r="T52" i="155"/>
  <c r="Y52" i="155" s="1"/>
  <c r="Z52" i="155" s="1"/>
  <c r="R53" i="155"/>
  <c r="O30" i="155"/>
  <c r="O31" i="155" s="1"/>
  <c r="O32" i="155" s="1"/>
  <c r="O33" i="155" s="1"/>
  <c r="O34" i="155" s="1"/>
  <c r="O35" i="155" s="1"/>
  <c r="O36" i="155" s="1"/>
  <c r="O37" i="155" s="1"/>
  <c r="O38" i="155" s="1"/>
  <c r="O39" i="155" s="1"/>
  <c r="O40" i="155" s="1"/>
  <c r="O41" i="155" s="1"/>
  <c r="O42" i="155" s="1"/>
  <c r="O43" i="155" s="1"/>
  <c r="O44" i="155" s="1"/>
  <c r="O45" i="155" s="1"/>
  <c r="O46" i="155" s="1"/>
  <c r="O47" i="155" s="1"/>
  <c r="O48" i="155" s="1"/>
  <c r="O49" i="155" s="1"/>
  <c r="O50" i="155" s="1"/>
  <c r="O51" i="155" s="1"/>
  <c r="O52" i="155" s="1"/>
  <c r="O53" i="155" s="1"/>
  <c r="O54" i="155" s="1"/>
  <c r="P63" i="155"/>
  <c r="AV63" i="155"/>
  <c r="AW63" i="155" s="1"/>
  <c r="BN63" i="155"/>
  <c r="BO63" i="155" s="1"/>
  <c r="M63" i="155"/>
  <c r="V63" i="155"/>
  <c r="W63" i="155" s="1"/>
  <c r="AE63" i="155"/>
  <c r="AF63" i="155" s="1"/>
  <c r="BD63" i="155"/>
  <c r="BE63" i="155" s="1"/>
  <c r="O63" i="155"/>
  <c r="Y63" i="155"/>
  <c r="Z63" i="155" s="1"/>
  <c r="AN63" i="155"/>
  <c r="AO63" i="155" s="1"/>
  <c r="AK63" i="155"/>
  <c r="AL63" i="155" s="1"/>
  <c r="BA63" i="155"/>
  <c r="BB63" i="155" s="1"/>
  <c r="AQ63" i="155"/>
  <c r="AR63" i="155" s="1"/>
  <c r="BG63" i="155"/>
  <c r="BH63" i="155" s="1"/>
  <c r="BQ63" i="155"/>
  <c r="BR63" i="155" s="1"/>
  <c r="AB63" i="155"/>
  <c r="AC63" i="155" s="1"/>
  <c r="R63" i="155"/>
  <c r="T63" i="155" s="1"/>
  <c r="AH63" i="155"/>
  <c r="AI63" i="155" s="1"/>
  <c r="BL63" i="155"/>
  <c r="K64" i="155"/>
  <c r="I65" i="155"/>
  <c r="BD49" i="13"/>
  <c r="BE49" i="13" s="1"/>
  <c r="AV49" i="13"/>
  <c r="AW49" i="13" s="1"/>
  <c r="AV49" i="120"/>
  <c r="AW49" i="120" s="1"/>
  <c r="BD49" i="120"/>
  <c r="BE49" i="120" s="1"/>
  <c r="BD49" i="17"/>
  <c r="BE49" i="17" s="1"/>
  <c r="AV49" i="17"/>
  <c r="AW49" i="17" s="1"/>
  <c r="A52" i="58"/>
  <c r="AT51" i="15" s="1"/>
  <c r="AT50" i="120"/>
  <c r="AT50" i="13"/>
  <c r="AT50" i="17"/>
  <c r="AT50" i="15"/>
  <c r="M63" i="153"/>
  <c r="BQ63" i="153"/>
  <c r="BR63" i="153" s="1"/>
  <c r="O63" i="153"/>
  <c r="V63" i="153"/>
  <c r="W63" i="153" s="1"/>
  <c r="AB63" i="153"/>
  <c r="AC63" i="153" s="1"/>
  <c r="AH63" i="153"/>
  <c r="AI63" i="153" s="1"/>
  <c r="AN63" i="153"/>
  <c r="AO63" i="153" s="1"/>
  <c r="BA63" i="153"/>
  <c r="BB63" i="153" s="1"/>
  <c r="BG63" i="153"/>
  <c r="BH63" i="153" s="1"/>
  <c r="P63" i="153"/>
  <c r="AV63" i="153"/>
  <c r="AW63" i="153" s="1"/>
  <c r="BN63" i="153"/>
  <c r="BO63" i="153" s="1"/>
  <c r="Y63" i="153"/>
  <c r="Z63" i="153" s="1"/>
  <c r="AE63" i="153"/>
  <c r="AF63" i="153" s="1"/>
  <c r="BD63" i="153"/>
  <c r="BE63" i="153" s="1"/>
  <c r="AK63" i="153"/>
  <c r="AL63" i="153" s="1"/>
  <c r="R63" i="153"/>
  <c r="T63" i="153" s="1"/>
  <c r="AQ63" i="153"/>
  <c r="AR63" i="153" s="1"/>
  <c r="BL63" i="153"/>
  <c r="K64" i="153"/>
  <c r="I68" i="153"/>
  <c r="M63" i="152"/>
  <c r="BQ63" i="152"/>
  <c r="BR63" i="152" s="1"/>
  <c r="O63" i="152"/>
  <c r="V63" i="152"/>
  <c r="W63" i="152" s="1"/>
  <c r="AB63" i="152"/>
  <c r="AC63" i="152" s="1"/>
  <c r="AH63" i="152"/>
  <c r="AI63" i="152" s="1"/>
  <c r="AN63" i="152"/>
  <c r="AO63" i="152" s="1"/>
  <c r="BA63" i="152"/>
  <c r="BB63" i="152" s="1"/>
  <c r="BG63" i="152"/>
  <c r="BH63" i="152" s="1"/>
  <c r="P63" i="152"/>
  <c r="AV63" i="152"/>
  <c r="AW63" i="152" s="1"/>
  <c r="BN63" i="152"/>
  <c r="BO63" i="152" s="1"/>
  <c r="AE63" i="152"/>
  <c r="AF63" i="152" s="1"/>
  <c r="BD63" i="152"/>
  <c r="BE63" i="152" s="1"/>
  <c r="AK63" i="152"/>
  <c r="AL63" i="152" s="1"/>
  <c r="AQ63" i="152"/>
  <c r="AR63" i="152" s="1"/>
  <c r="R63" i="152"/>
  <c r="T63" i="152" s="1"/>
  <c r="Y63" i="152"/>
  <c r="Z63" i="152" s="1"/>
  <c r="BL63" i="152"/>
  <c r="K64" i="152"/>
  <c r="I72" i="152"/>
  <c r="K62" i="151"/>
  <c r="I63" i="151"/>
  <c r="BD61" i="151"/>
  <c r="BE61" i="151" s="1"/>
  <c r="AQ61" i="151"/>
  <c r="AR61" i="151" s="1"/>
  <c r="AK61" i="151"/>
  <c r="AL61" i="151" s="1"/>
  <c r="AE61" i="151"/>
  <c r="AF61" i="151" s="1"/>
  <c r="Y61" i="151"/>
  <c r="Z61" i="151" s="1"/>
  <c r="R61" i="151"/>
  <c r="T61" i="151" s="1"/>
  <c r="BG61" i="151"/>
  <c r="BH61" i="151" s="1"/>
  <c r="BA61" i="151"/>
  <c r="BB61" i="151" s="1"/>
  <c r="AT61" i="151"/>
  <c r="AN61" i="151"/>
  <c r="AO61" i="151" s="1"/>
  <c r="AH61" i="151"/>
  <c r="AI61" i="151" s="1"/>
  <c r="AB61" i="151"/>
  <c r="AC61" i="151" s="1"/>
  <c r="V61" i="151"/>
  <c r="W61" i="151" s="1"/>
  <c r="O61" i="151"/>
  <c r="AV61" i="151"/>
  <c r="AW61" i="151" s="1"/>
  <c r="BQ61" i="151"/>
  <c r="BR61" i="151" s="1"/>
  <c r="P61" i="151"/>
  <c r="AY61" i="151"/>
  <c r="M61" i="151"/>
  <c r="BN61" i="151"/>
  <c r="BO61" i="151" s="1"/>
  <c r="BL61" i="151"/>
  <c r="I64" i="150"/>
  <c r="BQ60" i="150"/>
  <c r="BR60" i="150" s="1"/>
  <c r="AY60" i="150"/>
  <c r="BD60" i="150"/>
  <c r="BE60" i="150" s="1"/>
  <c r="AQ60" i="150"/>
  <c r="AR60" i="150" s="1"/>
  <c r="AK60" i="150"/>
  <c r="AL60" i="150" s="1"/>
  <c r="AE60" i="150"/>
  <c r="AF60" i="150" s="1"/>
  <c r="Y60" i="150"/>
  <c r="Z60" i="150" s="1"/>
  <c r="R60" i="150"/>
  <c r="T60" i="150" s="1"/>
  <c r="P60" i="150"/>
  <c r="BA60" i="150"/>
  <c r="BB60" i="150" s="1"/>
  <c r="AN60" i="150"/>
  <c r="AO60" i="150" s="1"/>
  <c r="AB60" i="150"/>
  <c r="AC60" i="150" s="1"/>
  <c r="O60" i="150"/>
  <c r="AV60" i="150"/>
  <c r="AW60" i="150" s="1"/>
  <c r="AT60" i="150"/>
  <c r="AH60" i="150"/>
  <c r="AI60" i="150" s="1"/>
  <c r="V60" i="150"/>
  <c r="W60" i="150" s="1"/>
  <c r="BG60" i="150"/>
  <c r="BH60" i="150" s="1"/>
  <c r="BN60" i="150"/>
  <c r="BO60" i="150" s="1"/>
  <c r="M60" i="150"/>
  <c r="BL60" i="150"/>
  <c r="K61" i="150"/>
  <c r="K63" i="149"/>
  <c r="AT63" i="149" s="1"/>
  <c r="I64" i="149"/>
  <c r="BQ62" i="149"/>
  <c r="BR62" i="149" s="1"/>
  <c r="AY62" i="149"/>
  <c r="BD62" i="149"/>
  <c r="BE62" i="149" s="1"/>
  <c r="AQ62" i="149"/>
  <c r="AR62" i="149" s="1"/>
  <c r="AK62" i="149"/>
  <c r="AL62" i="149" s="1"/>
  <c r="AE62" i="149"/>
  <c r="AF62" i="149" s="1"/>
  <c r="Y62" i="149"/>
  <c r="Z62" i="149" s="1"/>
  <c r="R62" i="149"/>
  <c r="T62" i="149" s="1"/>
  <c r="P62" i="149"/>
  <c r="AV62" i="149"/>
  <c r="AW62" i="149" s="1"/>
  <c r="V62" i="149"/>
  <c r="W62" i="149" s="1"/>
  <c r="AN62" i="149"/>
  <c r="AO62" i="149" s="1"/>
  <c r="O62" i="149"/>
  <c r="BG62" i="149"/>
  <c r="BH62" i="149" s="1"/>
  <c r="AH62" i="149"/>
  <c r="AI62" i="149" s="1"/>
  <c r="BA62" i="149"/>
  <c r="BB62" i="149" s="1"/>
  <c r="AB62" i="149"/>
  <c r="AC62" i="149" s="1"/>
  <c r="BN62" i="149"/>
  <c r="BO62" i="149" s="1"/>
  <c r="M62" i="149"/>
  <c r="BL62" i="149"/>
  <c r="BG61" i="147"/>
  <c r="BH61" i="147" s="1"/>
  <c r="BA61" i="147"/>
  <c r="BB61" i="147" s="1"/>
  <c r="AT61" i="147"/>
  <c r="AN61" i="147"/>
  <c r="AO61" i="147" s="1"/>
  <c r="AH61" i="147"/>
  <c r="AI61" i="147" s="1"/>
  <c r="AB61" i="147"/>
  <c r="AC61" i="147" s="1"/>
  <c r="V61" i="147"/>
  <c r="W61" i="147" s="1"/>
  <c r="O61" i="147"/>
  <c r="BQ61" i="147"/>
  <c r="BR61" i="147" s="1"/>
  <c r="AY61" i="147"/>
  <c r="BD61" i="147"/>
  <c r="BE61" i="147" s="1"/>
  <c r="AQ61" i="147"/>
  <c r="AR61" i="147" s="1"/>
  <c r="AE61" i="147"/>
  <c r="AF61" i="147" s="1"/>
  <c r="R61" i="147"/>
  <c r="T61" i="147" s="1"/>
  <c r="P61" i="147"/>
  <c r="Y61" i="147"/>
  <c r="Z61" i="147" s="1"/>
  <c r="AV61" i="147"/>
  <c r="AW61" i="147" s="1"/>
  <c r="AK61" i="147"/>
  <c r="AL61" i="147" s="1"/>
  <c r="BJ61" i="147"/>
  <c r="BL61" i="147" s="1"/>
  <c r="BK61" i="147"/>
  <c r="BN61" i="147"/>
  <c r="BO61" i="147" s="1"/>
  <c r="M61" i="147"/>
  <c r="V35" i="147"/>
  <c r="W35" i="147" s="1"/>
  <c r="P36" i="147"/>
  <c r="O35" i="147"/>
  <c r="I63" i="147"/>
  <c r="K62" i="147"/>
  <c r="O32" i="146"/>
  <c r="V32" i="146"/>
  <c r="W32" i="146" s="1"/>
  <c r="P33" i="146"/>
  <c r="K61" i="146"/>
  <c r="I62" i="146"/>
  <c r="BD60" i="146"/>
  <c r="BE60" i="146" s="1"/>
  <c r="AQ60" i="146"/>
  <c r="AR60" i="146" s="1"/>
  <c r="AK60" i="146"/>
  <c r="AL60" i="146" s="1"/>
  <c r="AE60" i="146"/>
  <c r="AF60" i="146" s="1"/>
  <c r="Y60" i="146"/>
  <c r="Z60" i="146" s="1"/>
  <c r="R60" i="146"/>
  <c r="T60" i="146" s="1"/>
  <c r="AV60" i="146"/>
  <c r="AW60" i="146" s="1"/>
  <c r="P60" i="146"/>
  <c r="BG60" i="146"/>
  <c r="BH60" i="146" s="1"/>
  <c r="BA60" i="146"/>
  <c r="BB60" i="146" s="1"/>
  <c r="AT60" i="146"/>
  <c r="AN60" i="146"/>
  <c r="AO60" i="146" s="1"/>
  <c r="AH60" i="146"/>
  <c r="AI60" i="146" s="1"/>
  <c r="AB60" i="146"/>
  <c r="AC60" i="146" s="1"/>
  <c r="V60" i="146"/>
  <c r="W60" i="146" s="1"/>
  <c r="O60" i="146"/>
  <c r="AY60" i="146"/>
  <c r="BQ60" i="146"/>
  <c r="BR60" i="146" s="1"/>
  <c r="BN60" i="146"/>
  <c r="BO60" i="146" s="1"/>
  <c r="M60" i="146"/>
  <c r="BJ60" i="146"/>
  <c r="BL60" i="146" s="1"/>
  <c r="BK60" i="146"/>
  <c r="AC55" i="66"/>
  <c r="I65" i="132"/>
  <c r="I63" i="126"/>
  <c r="I64" i="114"/>
  <c r="BL58" i="96"/>
  <c r="AK58" i="96"/>
  <c r="AL58" i="96" s="1"/>
  <c r="AB58" i="96"/>
  <c r="BG58" i="96"/>
  <c r="BH58" i="96" s="1"/>
  <c r="AN58" i="96"/>
  <c r="AO58" i="96" s="1"/>
  <c r="AQ58" i="96"/>
  <c r="AR58" i="96" s="1"/>
  <c r="V58" i="96"/>
  <c r="W58" i="96" s="1"/>
  <c r="AE58" i="96"/>
  <c r="AF58" i="96" s="1"/>
  <c r="M58" i="96"/>
  <c r="BD58" i="96"/>
  <c r="BE58" i="96" s="1"/>
  <c r="AV58" i="96"/>
  <c r="AW58" i="96" s="1"/>
  <c r="AH58" i="96"/>
  <c r="AI58" i="96" s="1"/>
  <c r="BN58" i="96"/>
  <c r="BO58" i="96" s="1"/>
  <c r="P58" i="96"/>
  <c r="AT58" i="96"/>
  <c r="R58" i="96"/>
  <c r="T58" i="96" s="1"/>
  <c r="BA58" i="96"/>
  <c r="BB58" i="96" s="1"/>
  <c r="BQ58" i="96"/>
  <c r="BR58" i="96" s="1"/>
  <c r="O58" i="96"/>
  <c r="Y58" i="96"/>
  <c r="Z58" i="96" s="1"/>
  <c r="I64" i="136"/>
  <c r="M60" i="136"/>
  <c r="BN60" i="136"/>
  <c r="BO60" i="136" s="1"/>
  <c r="BL60" i="136"/>
  <c r="O60" i="136"/>
  <c r="BQ60" i="136"/>
  <c r="BR60" i="136" s="1"/>
  <c r="AK60" i="136"/>
  <c r="AL60" i="136" s="1"/>
  <c r="BD60" i="136"/>
  <c r="BE60" i="136" s="1"/>
  <c r="AQ60" i="136"/>
  <c r="AR60" i="136" s="1"/>
  <c r="V60" i="136"/>
  <c r="W60" i="136" s="1"/>
  <c r="AH60" i="136"/>
  <c r="AI60" i="136" s="1"/>
  <c r="AE60" i="136"/>
  <c r="AF60" i="136" s="1"/>
  <c r="BA60" i="136"/>
  <c r="BB60" i="136" s="1"/>
  <c r="R60" i="136"/>
  <c r="T60" i="136" s="1"/>
  <c r="AY60" i="136"/>
  <c r="BG60" i="136"/>
  <c r="BH60" i="136" s="1"/>
  <c r="AB60" i="136"/>
  <c r="AC60" i="136" s="1"/>
  <c r="AN60" i="136"/>
  <c r="AO60" i="136" s="1"/>
  <c r="AT60" i="136"/>
  <c r="Y60" i="136"/>
  <c r="Z60" i="136" s="1"/>
  <c r="AV60" i="136"/>
  <c r="AW60" i="136" s="1"/>
  <c r="P60" i="136"/>
  <c r="K61" i="136"/>
  <c r="M58" i="126"/>
  <c r="BK58" i="126"/>
  <c r="BN58" i="126"/>
  <c r="BO58" i="126" s="1"/>
  <c r="BJ58" i="126"/>
  <c r="BL58" i="126" s="1"/>
  <c r="V58" i="126"/>
  <c r="W58" i="126" s="1"/>
  <c r="AE58" i="126"/>
  <c r="AF58" i="126" s="1"/>
  <c r="AT58" i="126"/>
  <c r="BQ58" i="126"/>
  <c r="BR58" i="126" s="1"/>
  <c r="O58" i="126"/>
  <c r="AV58" i="126"/>
  <c r="AW58" i="126" s="1"/>
  <c r="P58" i="126"/>
  <c r="BG58" i="126"/>
  <c r="BH58" i="126" s="1"/>
  <c r="AB58" i="126"/>
  <c r="AC58" i="126" s="1"/>
  <c r="AQ58" i="126"/>
  <c r="AR58" i="126" s="1"/>
  <c r="BD58" i="126"/>
  <c r="BE58" i="126" s="1"/>
  <c r="R58" i="126"/>
  <c r="T58" i="126" s="1"/>
  <c r="AY58" i="126"/>
  <c r="AK58" i="126"/>
  <c r="AL58" i="126" s="1"/>
  <c r="BA58" i="126"/>
  <c r="BB58" i="126" s="1"/>
  <c r="AH58" i="126"/>
  <c r="AI58" i="126" s="1"/>
  <c r="Y58" i="126"/>
  <c r="Z58" i="126" s="1"/>
  <c r="AN58" i="126"/>
  <c r="AO58" i="126" s="1"/>
  <c r="K59" i="126"/>
  <c r="AC57" i="96"/>
  <c r="M57" i="101"/>
  <c r="BA57" i="101"/>
  <c r="BB57" i="101" s="1"/>
  <c r="AB57" i="101"/>
  <c r="AC57" i="101" s="1"/>
  <c r="O57" i="101"/>
  <c r="BG57" i="101"/>
  <c r="BH57" i="101" s="1"/>
  <c r="AE57" i="101"/>
  <c r="AF57" i="101" s="1"/>
  <c r="P57" i="101"/>
  <c r="AT57" i="101"/>
  <c r="Y57" i="101"/>
  <c r="Z57" i="101" s="1"/>
  <c r="R57" i="101"/>
  <c r="T57" i="101" s="1"/>
  <c r="AY57" i="101"/>
  <c r="BD57" i="101"/>
  <c r="BE57" i="101" s="1"/>
  <c r="AQ57" i="101"/>
  <c r="AR57" i="101" s="1"/>
  <c r="V57" i="101"/>
  <c r="W57" i="101" s="1"/>
  <c r="AN57" i="101"/>
  <c r="AO57" i="101" s="1"/>
  <c r="BQ57" i="101"/>
  <c r="BR57" i="101" s="1"/>
  <c r="AH57" i="101"/>
  <c r="AI57" i="101" s="1"/>
  <c r="AV57" i="101"/>
  <c r="AW57" i="101" s="1"/>
  <c r="AK57" i="101"/>
  <c r="AL57" i="101" s="1"/>
  <c r="I62" i="104"/>
  <c r="K58" i="118"/>
  <c r="M57" i="118"/>
  <c r="BN57" i="118"/>
  <c r="BO57" i="118" s="1"/>
  <c r="AQ57" i="118"/>
  <c r="AR57" i="118" s="1"/>
  <c r="R57" i="118"/>
  <c r="T57" i="118" s="1"/>
  <c r="AN57" i="118"/>
  <c r="AO57" i="118" s="1"/>
  <c r="AE57" i="118"/>
  <c r="AF57" i="118" s="1"/>
  <c r="AY57" i="118"/>
  <c r="AH57" i="118"/>
  <c r="AI57" i="118" s="1"/>
  <c r="BG57" i="118"/>
  <c r="BH57" i="118" s="1"/>
  <c r="BQ57" i="118"/>
  <c r="BR57" i="118" s="1"/>
  <c r="AV57" i="118"/>
  <c r="AW57" i="118" s="1"/>
  <c r="BA57" i="118"/>
  <c r="BB57" i="118" s="1"/>
  <c r="V57" i="118"/>
  <c r="W57" i="118" s="1"/>
  <c r="Y57" i="118"/>
  <c r="Z57" i="118" s="1"/>
  <c r="P57" i="118"/>
  <c r="O57" i="118"/>
  <c r="AK57" i="118"/>
  <c r="AL57" i="118" s="1"/>
  <c r="BD57" i="118"/>
  <c r="BE57" i="118" s="1"/>
  <c r="AT57" i="118"/>
  <c r="AB57" i="118"/>
  <c r="AC57" i="118" s="1"/>
  <c r="M58" i="63"/>
  <c r="BN58" i="63"/>
  <c r="BO58" i="63" s="1"/>
  <c r="AE58" i="63"/>
  <c r="AF58" i="63" s="1"/>
  <c r="AB58" i="63"/>
  <c r="AC58" i="63" s="1"/>
  <c r="AH58" i="63"/>
  <c r="AI58" i="63" s="1"/>
  <c r="AN58" i="63"/>
  <c r="AO58" i="63" s="1"/>
  <c r="Y58" i="63"/>
  <c r="Z58" i="63" s="1"/>
  <c r="BA58" i="63"/>
  <c r="BB58" i="63" s="1"/>
  <c r="R58" i="63"/>
  <c r="T58" i="63" s="1"/>
  <c r="O58" i="63"/>
  <c r="BQ58" i="63"/>
  <c r="BR58" i="63" s="1"/>
  <c r="AQ58" i="63"/>
  <c r="AR58" i="63" s="1"/>
  <c r="P58" i="63"/>
  <c r="BG58" i="63"/>
  <c r="BH58" i="63" s="1"/>
  <c r="AK58" i="63"/>
  <c r="AL58" i="63" s="1"/>
  <c r="AV58" i="63"/>
  <c r="AW58" i="63" s="1"/>
  <c r="BD58" i="63"/>
  <c r="BE58" i="63" s="1"/>
  <c r="AT58" i="63"/>
  <c r="AY58" i="63"/>
  <c r="V58" i="63"/>
  <c r="W58" i="63" s="1"/>
  <c r="BL58" i="63"/>
  <c r="K59" i="63"/>
  <c r="AC55" i="13"/>
  <c r="I65" i="105"/>
  <c r="BK58" i="114"/>
  <c r="M58" i="114"/>
  <c r="BN58" i="114"/>
  <c r="BO58" i="114" s="1"/>
  <c r="BJ58" i="114"/>
  <c r="BL58" i="114" s="1"/>
  <c r="P58" i="114"/>
  <c r="R58" i="114"/>
  <c r="T58" i="114" s="1"/>
  <c r="BG58" i="114"/>
  <c r="BH58" i="114" s="1"/>
  <c r="AN58" i="114"/>
  <c r="AO58" i="114" s="1"/>
  <c r="AT58" i="114"/>
  <c r="BD58" i="114"/>
  <c r="BE58" i="114" s="1"/>
  <c r="O58" i="114"/>
  <c r="AH58" i="114"/>
  <c r="AI58" i="114" s="1"/>
  <c r="BQ58" i="114"/>
  <c r="BR58" i="114" s="1"/>
  <c r="Y58" i="114"/>
  <c r="Z58" i="114" s="1"/>
  <c r="AQ58" i="114"/>
  <c r="AR58" i="114" s="1"/>
  <c r="V58" i="114"/>
  <c r="W58" i="114" s="1"/>
  <c r="AV58" i="114"/>
  <c r="AW58" i="114" s="1"/>
  <c r="AK58" i="114"/>
  <c r="AL58" i="114" s="1"/>
  <c r="BA58" i="114"/>
  <c r="BB58" i="114" s="1"/>
  <c r="AB58" i="114"/>
  <c r="AC58" i="114" s="1"/>
  <c r="AE58" i="114"/>
  <c r="AF58" i="114" s="1"/>
  <c r="AY58" i="114"/>
  <c r="K59" i="114"/>
  <c r="I60" i="96"/>
  <c r="K59" i="96"/>
  <c r="M59" i="135"/>
  <c r="R59" i="135"/>
  <c r="T59" i="135" s="1"/>
  <c r="AV59" i="135"/>
  <c r="AW59" i="135" s="1"/>
  <c r="AQ59" i="135"/>
  <c r="AR59" i="135" s="1"/>
  <c r="V59" i="135"/>
  <c r="W59" i="135" s="1"/>
  <c r="P59" i="135"/>
  <c r="AK59" i="135"/>
  <c r="AL59" i="135" s="1"/>
  <c r="BD59" i="135"/>
  <c r="BE59" i="135" s="1"/>
  <c r="AH59" i="135"/>
  <c r="AI59" i="135" s="1"/>
  <c r="BA59" i="135"/>
  <c r="BB59" i="135" s="1"/>
  <c r="AN59" i="135"/>
  <c r="AO59" i="135" s="1"/>
  <c r="AB59" i="135"/>
  <c r="AC59" i="135" s="1"/>
  <c r="BQ59" i="135"/>
  <c r="BR59" i="135" s="1"/>
  <c r="O59" i="135"/>
  <c r="AT59" i="135"/>
  <c r="Y59" i="135"/>
  <c r="Z59" i="135" s="1"/>
  <c r="AY59" i="135"/>
  <c r="BG59" i="135"/>
  <c r="BH59" i="135" s="1"/>
  <c r="BN59" i="135"/>
  <c r="BO59" i="135" s="1"/>
  <c r="AE59" i="135"/>
  <c r="AF59" i="135" s="1"/>
  <c r="BL59" i="135"/>
  <c r="BN56" i="17"/>
  <c r="BO56" i="17" s="1"/>
  <c r="M56" i="17"/>
  <c r="BL56" i="17"/>
  <c r="AV56" i="17"/>
  <c r="AW56" i="17" s="1"/>
  <c r="AT56" i="17"/>
  <c r="O56" i="17"/>
  <c r="BD56" i="17"/>
  <c r="BE56" i="17" s="1"/>
  <c r="BG56" i="17"/>
  <c r="BH56" i="17" s="1"/>
  <c r="V56" i="17"/>
  <c r="W56" i="17" s="1"/>
  <c r="AB56" i="17"/>
  <c r="AC56" i="17" s="1"/>
  <c r="R56" i="17"/>
  <c r="T56" i="17" s="1"/>
  <c r="AN56" i="17"/>
  <c r="AO56" i="17" s="1"/>
  <c r="AK56" i="17"/>
  <c r="AL56" i="17" s="1"/>
  <c r="AQ56" i="17"/>
  <c r="AR56" i="17" s="1"/>
  <c r="Y56" i="17"/>
  <c r="Z56" i="17" s="1"/>
  <c r="AY56" i="17"/>
  <c r="AH56" i="17"/>
  <c r="AI56" i="17" s="1"/>
  <c r="AE56" i="17"/>
  <c r="AF56" i="17" s="1"/>
  <c r="P56" i="17"/>
  <c r="BA56" i="17"/>
  <c r="BB56" i="17" s="1"/>
  <c r="BQ56" i="17"/>
  <c r="BR56" i="17" s="1"/>
  <c r="M58" i="110"/>
  <c r="BN58" i="110"/>
  <c r="BO58" i="110" s="1"/>
  <c r="BJ58" i="110"/>
  <c r="BL58" i="110" s="1"/>
  <c r="BK58" i="110"/>
  <c r="AV58" i="110"/>
  <c r="AW58" i="110" s="1"/>
  <c r="BD58" i="110"/>
  <c r="BE58" i="110" s="1"/>
  <c r="O58" i="110"/>
  <c r="Y58" i="110"/>
  <c r="Z58" i="110" s="1"/>
  <c r="AH58" i="110"/>
  <c r="AI58" i="110" s="1"/>
  <c r="AT58" i="110"/>
  <c r="BA58" i="110"/>
  <c r="BB58" i="110" s="1"/>
  <c r="V58" i="110"/>
  <c r="W58" i="110" s="1"/>
  <c r="P58" i="110"/>
  <c r="AY58" i="110"/>
  <c r="AE58" i="110"/>
  <c r="AF58" i="110" s="1"/>
  <c r="BQ58" i="110"/>
  <c r="BR58" i="110" s="1"/>
  <c r="AN58" i="110"/>
  <c r="AO58" i="110" s="1"/>
  <c r="R58" i="110"/>
  <c r="T58" i="110" s="1"/>
  <c r="AB58" i="110"/>
  <c r="AC58" i="110" s="1"/>
  <c r="AQ58" i="110"/>
  <c r="AR58" i="110" s="1"/>
  <c r="BG58" i="110"/>
  <c r="BH58" i="110" s="1"/>
  <c r="AK58" i="110"/>
  <c r="AL58" i="110" s="1"/>
  <c r="I59" i="101"/>
  <c r="K58" i="101"/>
  <c r="I73" i="133"/>
  <c r="M60" i="105"/>
  <c r="BN60" i="105"/>
  <c r="BO60" i="105" s="1"/>
  <c r="BJ60" i="105"/>
  <c r="BL60" i="105" s="1"/>
  <c r="BK60" i="105"/>
  <c r="AK60" i="105"/>
  <c r="AL60" i="105" s="1"/>
  <c r="AT60" i="105"/>
  <c r="AE60" i="105"/>
  <c r="AF60" i="105" s="1"/>
  <c r="BD60" i="105"/>
  <c r="BE60" i="105" s="1"/>
  <c r="AB60" i="105"/>
  <c r="AC60" i="105" s="1"/>
  <c r="BQ60" i="105"/>
  <c r="BR60" i="105" s="1"/>
  <c r="V60" i="105"/>
  <c r="W60" i="105" s="1"/>
  <c r="BA60" i="105"/>
  <c r="BB60" i="105" s="1"/>
  <c r="O60" i="105"/>
  <c r="R60" i="105"/>
  <c r="T60" i="105" s="1"/>
  <c r="AN60" i="105"/>
  <c r="AO60" i="105" s="1"/>
  <c r="AY60" i="105"/>
  <c r="P60" i="105"/>
  <c r="BG60" i="105"/>
  <c r="BH60" i="105" s="1"/>
  <c r="AV60" i="105"/>
  <c r="AW60" i="105" s="1"/>
  <c r="AQ60" i="105"/>
  <c r="AR60" i="105" s="1"/>
  <c r="AH60" i="105"/>
  <c r="AI60" i="105" s="1"/>
  <c r="Y60" i="105"/>
  <c r="Z60" i="105" s="1"/>
  <c r="K61" i="105"/>
  <c r="I62" i="15"/>
  <c r="K57" i="13"/>
  <c r="I58" i="13"/>
  <c r="BJ58" i="98"/>
  <c r="BL58" i="98" s="1"/>
  <c r="K59" i="98"/>
  <c r="BK58" i="98"/>
  <c r="M58" i="98"/>
  <c r="BN58" i="98"/>
  <c r="BO58" i="98" s="1"/>
  <c r="P58" i="98"/>
  <c r="AQ58" i="98"/>
  <c r="AR58" i="98" s="1"/>
  <c r="AV58" i="98"/>
  <c r="AW58" i="98" s="1"/>
  <c r="BG58" i="98"/>
  <c r="BH58" i="98" s="1"/>
  <c r="AK58" i="98"/>
  <c r="AL58" i="98" s="1"/>
  <c r="Y58" i="98"/>
  <c r="Z58" i="98" s="1"/>
  <c r="AY58" i="98"/>
  <c r="V58" i="98"/>
  <c r="W58" i="98" s="1"/>
  <c r="R58" i="98"/>
  <c r="T58" i="98" s="1"/>
  <c r="AH58" i="98"/>
  <c r="AI58" i="98" s="1"/>
  <c r="BD58" i="98"/>
  <c r="BE58" i="98" s="1"/>
  <c r="AB58" i="98"/>
  <c r="AC58" i="98" s="1"/>
  <c r="BA58" i="98"/>
  <c r="BB58" i="98" s="1"/>
  <c r="O58" i="98"/>
  <c r="AE58" i="98"/>
  <c r="AF58" i="98" s="1"/>
  <c r="AN58" i="98"/>
  <c r="AO58" i="98" s="1"/>
  <c r="BQ58" i="98"/>
  <c r="BR58" i="98" s="1"/>
  <c r="AT58" i="98"/>
  <c r="I61" i="135"/>
  <c r="K60" i="135"/>
  <c r="I58" i="17"/>
  <c r="K57" i="17"/>
  <c r="I67" i="95"/>
  <c r="I58" i="66"/>
  <c r="K57" i="66"/>
  <c r="I60" i="110"/>
  <c r="K59" i="110"/>
  <c r="BN62" i="124"/>
  <c r="BO62" i="124" s="1"/>
  <c r="BJ62" i="124"/>
  <c r="BL62" i="124" s="1"/>
  <c r="K63" i="124"/>
  <c r="M62" i="124"/>
  <c r="BK62" i="124"/>
  <c r="BD62" i="124"/>
  <c r="BE62" i="124" s="1"/>
  <c r="BA62" i="124"/>
  <c r="BB62" i="124" s="1"/>
  <c r="AN62" i="124"/>
  <c r="AO62" i="124" s="1"/>
  <c r="AY62" i="124"/>
  <c r="R62" i="124"/>
  <c r="T62" i="124" s="1"/>
  <c r="BQ62" i="124"/>
  <c r="BR62" i="124" s="1"/>
  <c r="AK62" i="124"/>
  <c r="AL62" i="124" s="1"/>
  <c r="BG62" i="124"/>
  <c r="BH62" i="124" s="1"/>
  <c r="P62" i="124"/>
  <c r="AQ62" i="124"/>
  <c r="AR62" i="124" s="1"/>
  <c r="AH62" i="124"/>
  <c r="AI62" i="124" s="1"/>
  <c r="AE62" i="124"/>
  <c r="AF62" i="124" s="1"/>
  <c r="V62" i="124"/>
  <c r="W62" i="124" s="1"/>
  <c r="O62" i="124"/>
  <c r="Y62" i="124"/>
  <c r="Z62" i="124" s="1"/>
  <c r="AV62" i="124"/>
  <c r="AW62" i="124" s="1"/>
  <c r="AB62" i="124"/>
  <c r="AC62" i="124" s="1"/>
  <c r="AT62" i="124"/>
  <c r="M58" i="115"/>
  <c r="BK58" i="115"/>
  <c r="BJ58" i="115"/>
  <c r="BL58" i="115" s="1"/>
  <c r="BN58" i="115"/>
  <c r="BO58" i="115" s="1"/>
  <c r="BD58" i="115"/>
  <c r="BE58" i="115" s="1"/>
  <c r="AV58" i="115"/>
  <c r="AW58" i="115" s="1"/>
  <c r="AN58" i="115"/>
  <c r="AO58" i="115" s="1"/>
  <c r="AH58" i="115"/>
  <c r="AI58" i="115" s="1"/>
  <c r="BG58" i="115"/>
  <c r="BH58" i="115" s="1"/>
  <c r="Y58" i="115"/>
  <c r="Z58" i="115" s="1"/>
  <c r="V58" i="115"/>
  <c r="W58" i="115" s="1"/>
  <c r="AT58" i="115"/>
  <c r="R58" i="115"/>
  <c r="T58" i="115" s="1"/>
  <c r="O58" i="115"/>
  <c r="AQ58" i="115"/>
  <c r="AR58" i="115" s="1"/>
  <c r="P58" i="115"/>
  <c r="AB58" i="115"/>
  <c r="AC58" i="115" s="1"/>
  <c r="AY58" i="115"/>
  <c r="BQ58" i="115"/>
  <c r="BR58" i="115" s="1"/>
  <c r="BA58" i="115"/>
  <c r="BB58" i="115" s="1"/>
  <c r="AK58" i="115"/>
  <c r="AL58" i="115" s="1"/>
  <c r="AE58" i="115"/>
  <c r="AF58" i="115" s="1"/>
  <c r="AK59" i="64"/>
  <c r="AL59" i="64" s="1"/>
  <c r="AH59" i="64"/>
  <c r="AI59" i="64" s="1"/>
  <c r="AY59" i="64"/>
  <c r="AE59" i="64"/>
  <c r="AF59" i="64" s="1"/>
  <c r="AT59" i="64"/>
  <c r="O59" i="64"/>
  <c r="V59" i="64"/>
  <c r="W59" i="64" s="1"/>
  <c r="BA59" i="64"/>
  <c r="BB59" i="64" s="1"/>
  <c r="M59" i="64"/>
  <c r="BQ59" i="64"/>
  <c r="BR59" i="64" s="1"/>
  <c r="AN59" i="64"/>
  <c r="AO59" i="64" s="1"/>
  <c r="R59" i="64"/>
  <c r="T59" i="64" s="1"/>
  <c r="BD59" i="64"/>
  <c r="BE59" i="64" s="1"/>
  <c r="BG59" i="64"/>
  <c r="BH59" i="64" s="1"/>
  <c r="P59" i="64"/>
  <c r="Y59" i="64"/>
  <c r="Z59" i="64" s="1"/>
  <c r="AB59" i="64"/>
  <c r="AC59" i="64" s="1"/>
  <c r="AV59" i="64"/>
  <c r="AW59" i="64" s="1"/>
  <c r="AQ59" i="64"/>
  <c r="AR59" i="64" s="1"/>
  <c r="BN59" i="64"/>
  <c r="BO59" i="64" s="1"/>
  <c r="BL59" i="64"/>
  <c r="K60" i="64"/>
  <c r="BG56" i="120"/>
  <c r="BH56" i="120" s="1"/>
  <c r="BD56" i="120"/>
  <c r="BE56" i="120" s="1"/>
  <c r="K57" i="120"/>
  <c r="AK56" i="120"/>
  <c r="AL56" i="120" s="1"/>
  <c r="AH56" i="120"/>
  <c r="AI56" i="120" s="1"/>
  <c r="AQ56" i="120"/>
  <c r="AR56" i="120" s="1"/>
  <c r="AN56" i="120"/>
  <c r="AO56" i="120" s="1"/>
  <c r="AB56" i="120"/>
  <c r="AC56" i="120" s="1"/>
  <c r="V56" i="120"/>
  <c r="W56" i="120" s="1"/>
  <c r="R56" i="120"/>
  <c r="T56" i="120" s="1"/>
  <c r="AE56" i="120"/>
  <c r="AF56" i="120" s="1"/>
  <c r="Y56" i="120"/>
  <c r="Z56" i="120" s="1"/>
  <c r="AY56" i="120"/>
  <c r="BQ56" i="120"/>
  <c r="BR56" i="120" s="1"/>
  <c r="O56" i="120"/>
  <c r="P56" i="120"/>
  <c r="M56" i="120"/>
  <c r="BA56" i="120"/>
  <c r="BB56" i="120" s="1"/>
  <c r="AV56" i="120"/>
  <c r="AW56" i="120" s="1"/>
  <c r="AT56" i="120"/>
  <c r="BN56" i="120"/>
  <c r="BO56" i="120" s="1"/>
  <c r="M56" i="13"/>
  <c r="BN56" i="13"/>
  <c r="BO56" i="13" s="1"/>
  <c r="BL56" i="13"/>
  <c r="AY56" i="13"/>
  <c r="BA56" i="13"/>
  <c r="BB56" i="13" s="1"/>
  <c r="AE56" i="13"/>
  <c r="AF56" i="13" s="1"/>
  <c r="AN56" i="13"/>
  <c r="AO56" i="13" s="1"/>
  <c r="Y56" i="13"/>
  <c r="Z56" i="13" s="1"/>
  <c r="BQ56" i="13"/>
  <c r="BR56" i="13" s="1"/>
  <c r="AK56" i="13"/>
  <c r="AL56" i="13" s="1"/>
  <c r="AV56" i="13"/>
  <c r="AW56" i="13" s="1"/>
  <c r="P56" i="13"/>
  <c r="O56" i="13"/>
  <c r="AB56" i="13"/>
  <c r="AC56" i="13" s="1"/>
  <c r="AT56" i="13"/>
  <c r="V56" i="13"/>
  <c r="W56" i="13" s="1"/>
  <c r="BG56" i="13"/>
  <c r="BH56" i="13" s="1"/>
  <c r="R56" i="13"/>
  <c r="T56" i="13" s="1"/>
  <c r="AQ56" i="13"/>
  <c r="AR56" i="13" s="1"/>
  <c r="BD56" i="13"/>
  <c r="BE56" i="13" s="1"/>
  <c r="AH56" i="13"/>
  <c r="AI56" i="13" s="1"/>
  <c r="I64" i="64"/>
  <c r="BL56" i="66"/>
  <c r="AN56" i="66"/>
  <c r="AO56" i="66" s="1"/>
  <c r="BD56" i="66"/>
  <c r="BE56" i="66" s="1"/>
  <c r="Y56" i="66"/>
  <c r="Z56" i="66" s="1"/>
  <c r="AH56" i="66"/>
  <c r="AI56" i="66" s="1"/>
  <c r="BQ56" i="66"/>
  <c r="BR56" i="66" s="1"/>
  <c r="V56" i="66"/>
  <c r="W56" i="66" s="1"/>
  <c r="R56" i="66"/>
  <c r="T56" i="66" s="1"/>
  <c r="BA56" i="66"/>
  <c r="BB56" i="66" s="1"/>
  <c r="BG56" i="66"/>
  <c r="BH56" i="66" s="1"/>
  <c r="AT56" i="66"/>
  <c r="P56" i="66"/>
  <c r="BN56" i="66"/>
  <c r="BO56" i="66" s="1"/>
  <c r="AV56" i="66"/>
  <c r="AW56" i="66" s="1"/>
  <c r="AY56" i="66"/>
  <c r="O56" i="66"/>
  <c r="AQ56" i="66"/>
  <c r="AR56" i="66" s="1"/>
  <c r="AE56" i="66"/>
  <c r="AF56" i="66" s="1"/>
  <c r="M56" i="66"/>
  <c r="AB56" i="66"/>
  <c r="AC56" i="66" s="1"/>
  <c r="AK56" i="66"/>
  <c r="AL56" i="66" s="1"/>
  <c r="I114" i="99"/>
  <c r="AC55" i="17"/>
  <c r="BN57" i="15"/>
  <c r="BO57" i="15" s="1"/>
  <c r="BL57" i="15"/>
  <c r="M57" i="15"/>
  <c r="AY57" i="15"/>
  <c r="P57" i="15"/>
  <c r="AB57" i="15"/>
  <c r="AC57" i="15" s="1"/>
  <c r="Y57" i="15"/>
  <c r="Z57" i="15" s="1"/>
  <c r="BD57" i="15"/>
  <c r="BE57" i="15" s="1"/>
  <c r="V57" i="15"/>
  <c r="W57" i="15" s="1"/>
  <c r="AK57" i="15"/>
  <c r="AL57" i="15" s="1"/>
  <c r="BA57" i="15"/>
  <c r="BB57" i="15" s="1"/>
  <c r="AE57" i="15"/>
  <c r="AF57" i="15" s="1"/>
  <c r="R57" i="15"/>
  <c r="T57" i="15" s="1"/>
  <c r="BG57" i="15"/>
  <c r="BH57" i="15" s="1"/>
  <c r="AQ57" i="15"/>
  <c r="AR57" i="15" s="1"/>
  <c r="O57" i="15"/>
  <c r="AN57" i="15"/>
  <c r="AO57" i="15" s="1"/>
  <c r="AH57" i="15"/>
  <c r="AI57" i="15" s="1"/>
  <c r="AT57" i="15"/>
  <c r="AV57" i="15"/>
  <c r="AW57" i="15" s="1"/>
  <c r="BQ57" i="15"/>
  <c r="BR57" i="15" s="1"/>
  <c r="K58" i="15"/>
  <c r="I63" i="63"/>
  <c r="I60" i="115"/>
  <c r="K59" i="115"/>
  <c r="O32" i="110"/>
  <c r="V31" i="105"/>
  <c r="W31" i="105" s="1"/>
  <c r="P29" i="112"/>
  <c r="P33" i="110"/>
  <c r="V32" i="110"/>
  <c r="W32" i="110" s="1"/>
  <c r="BK62" i="107" l="1"/>
  <c r="AY62" i="107"/>
  <c r="BQ62" i="107"/>
  <c r="BR62" i="107" s="1"/>
  <c r="AN62" i="107"/>
  <c r="AO62" i="107" s="1"/>
  <c r="BG62" i="107"/>
  <c r="BH62" i="107" s="1"/>
  <c r="AQ62" i="107"/>
  <c r="AR62" i="107" s="1"/>
  <c r="BD62" i="107"/>
  <c r="BE62" i="107" s="1"/>
  <c r="AB62" i="107"/>
  <c r="AC62" i="107" s="1"/>
  <c r="BN62" i="107"/>
  <c r="BO62" i="107" s="1"/>
  <c r="Y62" i="107"/>
  <c r="Z62" i="107" s="1"/>
  <c r="V62" i="107"/>
  <c r="W62" i="107" s="1"/>
  <c r="O62" i="107"/>
  <c r="P62" i="107"/>
  <c r="AV62" i="107"/>
  <c r="AW62" i="107" s="1"/>
  <c r="AE62" i="107"/>
  <c r="AF62" i="107" s="1"/>
  <c r="M62" i="107"/>
  <c r="BA62" i="107"/>
  <c r="BB62" i="107" s="1"/>
  <c r="BJ62" i="107"/>
  <c r="BL62" i="107" s="1"/>
  <c r="R62" i="107"/>
  <c r="T62" i="107" s="1"/>
  <c r="AK62" i="107"/>
  <c r="AL62" i="107" s="1"/>
  <c r="AH62" i="107"/>
  <c r="AI62" i="107" s="1"/>
  <c r="AT62" i="107"/>
  <c r="AY60" i="132"/>
  <c r="O60" i="132"/>
  <c r="AQ60" i="132"/>
  <c r="AR60" i="132" s="1"/>
  <c r="R60" i="132"/>
  <c r="T60" i="132" s="1"/>
  <c r="M60" i="132"/>
  <c r="AV60" i="132"/>
  <c r="AW60" i="132" s="1"/>
  <c r="Y60" i="132"/>
  <c r="Z60" i="132" s="1"/>
  <c r="AB60" i="132"/>
  <c r="AC60" i="132" s="1"/>
  <c r="BL60" i="132"/>
  <c r="AN60" i="132"/>
  <c r="AO60" i="132" s="1"/>
  <c r="AH60" i="132"/>
  <c r="AI60" i="132" s="1"/>
  <c r="BA60" i="132"/>
  <c r="BB60" i="132" s="1"/>
  <c r="AT60" i="132"/>
  <c r="AE60" i="132"/>
  <c r="AF60" i="132" s="1"/>
  <c r="K61" i="132"/>
  <c r="BG60" i="132"/>
  <c r="BH60" i="132" s="1"/>
  <c r="AK60" i="132"/>
  <c r="AL60" i="132" s="1"/>
  <c r="V60" i="132"/>
  <c r="W60" i="132" s="1"/>
  <c r="P60" i="132"/>
  <c r="BQ60" i="132"/>
  <c r="BR60" i="132" s="1"/>
  <c r="BD60" i="132"/>
  <c r="BE60" i="132" s="1"/>
  <c r="BN60" i="132"/>
  <c r="BO60" i="132" s="1"/>
  <c r="I64" i="107"/>
  <c r="K63" i="107"/>
  <c r="AE60" i="99"/>
  <c r="AF60" i="99" s="1"/>
  <c r="BJ60" i="99"/>
  <c r="BL60" i="99" s="1"/>
  <c r="AK60" i="99"/>
  <c r="AL60" i="99" s="1"/>
  <c r="Y60" i="99"/>
  <c r="Z60" i="99" s="1"/>
  <c r="BQ60" i="99"/>
  <c r="BR60" i="99" s="1"/>
  <c r="M60" i="99"/>
  <c r="BA60" i="99"/>
  <c r="BB60" i="99" s="1"/>
  <c r="V60" i="99"/>
  <c r="W60" i="99" s="1"/>
  <c r="AH60" i="99"/>
  <c r="AI60" i="99" s="1"/>
  <c r="P60" i="99"/>
  <c r="AV60" i="99"/>
  <c r="AW60" i="99" s="1"/>
  <c r="K61" i="99"/>
  <c r="BK60" i="99"/>
  <c r="AB60" i="99"/>
  <c r="AC60" i="99" s="1"/>
  <c r="AN60" i="99"/>
  <c r="AO60" i="99" s="1"/>
  <c r="BN60" i="99"/>
  <c r="BO60" i="99" s="1"/>
  <c r="R60" i="99"/>
  <c r="T60" i="99" s="1"/>
  <c r="AT60" i="99"/>
  <c r="AQ60" i="99"/>
  <c r="AR60" i="99" s="1"/>
  <c r="BD60" i="99"/>
  <c r="BE60" i="99" s="1"/>
  <c r="O60" i="99"/>
  <c r="BG60" i="99"/>
  <c r="BH60" i="99" s="1"/>
  <c r="AY60" i="99"/>
  <c r="K94" i="161"/>
  <c r="BQ94" i="161" s="1"/>
  <c r="I95" i="161"/>
  <c r="BG93" i="161"/>
  <c r="BH93" i="161" s="1"/>
  <c r="BA93" i="161"/>
  <c r="BB93" i="161" s="1"/>
  <c r="AT93" i="161"/>
  <c r="AN93" i="161"/>
  <c r="AO93" i="161" s="1"/>
  <c r="AH93" i="161"/>
  <c r="AI93" i="161" s="1"/>
  <c r="AB93" i="161"/>
  <c r="AC93" i="161" s="1"/>
  <c r="V93" i="161"/>
  <c r="W93" i="161" s="1"/>
  <c r="O93" i="161"/>
  <c r="BR93" i="161"/>
  <c r="AY93" i="161"/>
  <c r="BD93" i="161"/>
  <c r="BE93" i="161" s="1"/>
  <c r="AQ93" i="161"/>
  <c r="AR93" i="161" s="1"/>
  <c r="AK93" i="161"/>
  <c r="AL93" i="161" s="1"/>
  <c r="AE93" i="161"/>
  <c r="AF93" i="161" s="1"/>
  <c r="Y93" i="161"/>
  <c r="Z93" i="161" s="1"/>
  <c r="R93" i="161"/>
  <c r="T93" i="161" s="1"/>
  <c r="AV93" i="161"/>
  <c r="AW93" i="161" s="1"/>
  <c r="P93" i="161"/>
  <c r="BJ93" i="161"/>
  <c r="BL93" i="161" s="1"/>
  <c r="BN93" i="161"/>
  <c r="BO93" i="161" s="1"/>
  <c r="BK93" i="161"/>
  <c r="M93" i="161"/>
  <c r="I65" i="106"/>
  <c r="V59" i="129"/>
  <c r="W59" i="129" s="1"/>
  <c r="AY59" i="129"/>
  <c r="AQ59" i="129"/>
  <c r="AR59" i="129" s="1"/>
  <c r="M59" i="129"/>
  <c r="P59" i="129"/>
  <c r="AE59" i="129"/>
  <c r="AF59" i="129" s="1"/>
  <c r="BA59" i="129"/>
  <c r="BB59" i="129" s="1"/>
  <c r="AT59" i="129"/>
  <c r="AH59" i="129"/>
  <c r="AI59" i="129" s="1"/>
  <c r="BD59" i="129"/>
  <c r="BE59" i="129" s="1"/>
  <c r="Y59" i="129"/>
  <c r="Z59" i="129" s="1"/>
  <c r="BN59" i="129"/>
  <c r="BO59" i="129" s="1"/>
  <c r="AK59" i="129"/>
  <c r="AL59" i="129" s="1"/>
  <c r="R59" i="129"/>
  <c r="T59" i="129" s="1"/>
  <c r="AB59" i="129"/>
  <c r="AC59" i="129" s="1"/>
  <c r="BQ59" i="129"/>
  <c r="BR59" i="129" s="1"/>
  <c r="BL59" i="129"/>
  <c r="AV59" i="129"/>
  <c r="AW59" i="129" s="1"/>
  <c r="K60" i="129"/>
  <c r="AN59" i="129"/>
  <c r="AO59" i="129" s="1"/>
  <c r="BG59" i="129"/>
  <c r="BH59" i="129" s="1"/>
  <c r="O59" i="129"/>
  <c r="BN61" i="133"/>
  <c r="BO61" i="133" s="1"/>
  <c r="AV61" i="133"/>
  <c r="AW61" i="133" s="1"/>
  <c r="V61" i="133"/>
  <c r="W61" i="133" s="1"/>
  <c r="AE61" i="133"/>
  <c r="AF61" i="133" s="1"/>
  <c r="BL61" i="133"/>
  <c r="BQ61" i="133"/>
  <c r="BR61" i="133" s="1"/>
  <c r="P61" i="133"/>
  <c r="AB61" i="133"/>
  <c r="AC61" i="133" s="1"/>
  <c r="AY61" i="133"/>
  <c r="AN61" i="133"/>
  <c r="AO61" i="133" s="1"/>
  <c r="BD61" i="133"/>
  <c r="BE61" i="133" s="1"/>
  <c r="K62" i="133"/>
  <c r="AK61" i="133"/>
  <c r="AL61" i="133" s="1"/>
  <c r="AT61" i="133"/>
  <c r="Y61" i="133"/>
  <c r="Z61" i="133" s="1"/>
  <c r="O61" i="133"/>
  <c r="BA61" i="133"/>
  <c r="BB61" i="133" s="1"/>
  <c r="BG61" i="133"/>
  <c r="BH61" i="133" s="1"/>
  <c r="M61" i="133"/>
  <c r="AQ61" i="133"/>
  <c r="AR61" i="133" s="1"/>
  <c r="R61" i="133"/>
  <c r="T61" i="133" s="1"/>
  <c r="AH61" i="133"/>
  <c r="AI61" i="133" s="1"/>
  <c r="R57" i="95"/>
  <c r="T57" i="95" s="1"/>
  <c r="AK57" i="95"/>
  <c r="AL57" i="95" s="1"/>
  <c r="BQ57" i="95"/>
  <c r="BR57" i="95" s="1"/>
  <c r="Y57" i="95"/>
  <c r="Z57" i="95" s="1"/>
  <c r="BL57" i="95"/>
  <c r="V57" i="95"/>
  <c r="W57" i="95" s="1"/>
  <c r="AQ57" i="95"/>
  <c r="AR57" i="95" s="1"/>
  <c r="AH57" i="95"/>
  <c r="AI57" i="95" s="1"/>
  <c r="AV57" i="95"/>
  <c r="AW57" i="95" s="1"/>
  <c r="M57" i="95"/>
  <c r="AE57" i="95"/>
  <c r="AF57" i="95" s="1"/>
  <c r="BD57" i="95"/>
  <c r="BE57" i="95" s="1"/>
  <c r="AT57" i="95"/>
  <c r="BN57" i="95"/>
  <c r="BO57" i="95" s="1"/>
  <c r="BA57" i="95"/>
  <c r="BB57" i="95" s="1"/>
  <c r="AB57" i="95"/>
  <c r="AN57" i="95"/>
  <c r="AO57" i="95" s="1"/>
  <c r="O57" i="95"/>
  <c r="P57" i="95"/>
  <c r="BG57" i="95"/>
  <c r="BH57" i="95" s="1"/>
  <c r="K58" i="95"/>
  <c r="BN58" i="104"/>
  <c r="BO58" i="104" s="1"/>
  <c r="AB58" i="104"/>
  <c r="AC58" i="104" s="1"/>
  <c r="AE58" i="104"/>
  <c r="AF58" i="104" s="1"/>
  <c r="P58" i="104"/>
  <c r="K59" i="104"/>
  <c r="BD58" i="104"/>
  <c r="BE58" i="104" s="1"/>
  <c r="BG58" i="104"/>
  <c r="BH58" i="104" s="1"/>
  <c r="O58" i="104"/>
  <c r="R58" i="104"/>
  <c r="T58" i="104" s="1"/>
  <c r="AH58" i="104"/>
  <c r="AI58" i="104" s="1"/>
  <c r="AY58" i="104"/>
  <c r="M58" i="104"/>
  <c r="AT58" i="104"/>
  <c r="V58" i="104"/>
  <c r="W58" i="104" s="1"/>
  <c r="AV58" i="104"/>
  <c r="AW58" i="104" s="1"/>
  <c r="BK58" i="104"/>
  <c r="BQ58" i="104"/>
  <c r="BR58" i="104" s="1"/>
  <c r="AN58" i="104"/>
  <c r="AO58" i="104" s="1"/>
  <c r="AK58" i="104"/>
  <c r="AL58" i="104" s="1"/>
  <c r="BJ58" i="104"/>
  <c r="BL58" i="104" s="1"/>
  <c r="Y58" i="104"/>
  <c r="Z58" i="104" s="1"/>
  <c r="AQ58" i="104"/>
  <c r="AR58" i="104" s="1"/>
  <c r="BA58" i="104"/>
  <c r="BB58" i="104" s="1"/>
  <c r="BJ58" i="112"/>
  <c r="BL58" i="112" s="1"/>
  <c r="Y58" i="112"/>
  <c r="Z58" i="112" s="1"/>
  <c r="AV58" i="112"/>
  <c r="AW58" i="112" s="1"/>
  <c r="BQ58" i="112"/>
  <c r="BR58" i="112" s="1"/>
  <c r="M58" i="112"/>
  <c r="AQ58" i="112"/>
  <c r="AR58" i="112" s="1"/>
  <c r="BA58" i="112"/>
  <c r="BB58" i="112" s="1"/>
  <c r="R58" i="112"/>
  <c r="T58" i="112" s="1"/>
  <c r="AK58" i="112"/>
  <c r="AL58" i="112" s="1"/>
  <c r="BD58" i="112"/>
  <c r="BE58" i="112" s="1"/>
  <c r="AH58" i="112"/>
  <c r="AI58" i="112" s="1"/>
  <c r="BK58" i="112"/>
  <c r="AB58" i="112"/>
  <c r="AC58" i="112" s="1"/>
  <c r="AN58" i="112"/>
  <c r="AO58" i="112" s="1"/>
  <c r="AE58" i="112"/>
  <c r="AF58" i="112" s="1"/>
  <c r="BN58" i="112"/>
  <c r="BO58" i="112" s="1"/>
  <c r="O58" i="112"/>
  <c r="P58" i="112"/>
  <c r="AT58" i="112"/>
  <c r="K59" i="112"/>
  <c r="V58" i="112"/>
  <c r="W58" i="112" s="1"/>
  <c r="BG58" i="112"/>
  <c r="BH58" i="112" s="1"/>
  <c r="AY58" i="112"/>
  <c r="AN63" i="156"/>
  <c r="AO63" i="156" s="1"/>
  <c r="R63" i="156"/>
  <c r="T63" i="156" s="1"/>
  <c r="BA63" i="156"/>
  <c r="BB63" i="156" s="1"/>
  <c r="Y63" i="156"/>
  <c r="Z63" i="156" s="1"/>
  <c r="BQ63" i="156"/>
  <c r="BR63" i="156" s="1"/>
  <c r="O63" i="156"/>
  <c r="BG63" i="156"/>
  <c r="BH63" i="156" s="1"/>
  <c r="AE63" i="156"/>
  <c r="AF63" i="156" s="1"/>
  <c r="M63" i="156"/>
  <c r="V63" i="156"/>
  <c r="W63" i="156" s="1"/>
  <c r="P63" i="156"/>
  <c r="AK63" i="156"/>
  <c r="AL63" i="156" s="1"/>
  <c r="BL63" i="156"/>
  <c r="AB63" i="156"/>
  <c r="AC63" i="156" s="1"/>
  <c r="AV63" i="156"/>
  <c r="AW63" i="156" s="1"/>
  <c r="AQ63" i="156"/>
  <c r="AR63" i="156" s="1"/>
  <c r="AH63" i="156"/>
  <c r="AI63" i="156" s="1"/>
  <c r="BN63" i="156"/>
  <c r="BO63" i="156" s="1"/>
  <c r="BD63" i="156"/>
  <c r="BE63" i="156" s="1"/>
  <c r="BD58" i="106"/>
  <c r="BE58" i="106" s="1"/>
  <c r="V58" i="106"/>
  <c r="W58" i="106" s="1"/>
  <c r="BQ58" i="106"/>
  <c r="BR58" i="106" s="1"/>
  <c r="M58" i="106"/>
  <c r="AT58" i="106"/>
  <c r="BG58" i="106"/>
  <c r="BH58" i="106" s="1"/>
  <c r="AK58" i="106"/>
  <c r="AL58" i="106" s="1"/>
  <c r="BK58" i="106"/>
  <c r="P58" i="106"/>
  <c r="BA58" i="106"/>
  <c r="BB58" i="106" s="1"/>
  <c r="AE58" i="106"/>
  <c r="AF58" i="106" s="1"/>
  <c r="BJ58" i="106"/>
  <c r="BL58" i="106" s="1"/>
  <c r="AQ58" i="106"/>
  <c r="AR58" i="106" s="1"/>
  <c r="AV58" i="106"/>
  <c r="AW58" i="106" s="1"/>
  <c r="AN58" i="106"/>
  <c r="AO58" i="106" s="1"/>
  <c r="BN58" i="106"/>
  <c r="BO58" i="106" s="1"/>
  <c r="R58" i="106"/>
  <c r="T58" i="106" s="1"/>
  <c r="AY58" i="106"/>
  <c r="AH58" i="106"/>
  <c r="AI58" i="106" s="1"/>
  <c r="AB58" i="106"/>
  <c r="AC58" i="106" s="1"/>
  <c r="Y58" i="106"/>
  <c r="Z58" i="106" s="1"/>
  <c r="O58" i="106"/>
  <c r="K59" i="106"/>
  <c r="I65" i="156"/>
  <c r="K64" i="156"/>
  <c r="AY64" i="156" s="1"/>
  <c r="AC56" i="95"/>
  <c r="AT51" i="150"/>
  <c r="AT51" i="156"/>
  <c r="BL59" i="130"/>
  <c r="M59" i="130"/>
  <c r="K60" i="130"/>
  <c r="BN59" i="130"/>
  <c r="BO59" i="130" s="1"/>
  <c r="BG59" i="130"/>
  <c r="BH59" i="130" s="1"/>
  <c r="O59" i="130"/>
  <c r="AN59" i="130"/>
  <c r="AO59" i="130" s="1"/>
  <c r="AK59" i="130"/>
  <c r="AL59" i="130" s="1"/>
  <c r="R59" i="130"/>
  <c r="T59" i="130" s="1"/>
  <c r="P59" i="130"/>
  <c r="AB59" i="130"/>
  <c r="AC59" i="130" s="1"/>
  <c r="BQ59" i="130"/>
  <c r="BR59" i="130" s="1"/>
  <c r="Y59" i="130"/>
  <c r="Z59" i="130" s="1"/>
  <c r="AE59" i="130"/>
  <c r="AF59" i="130" s="1"/>
  <c r="BD59" i="130"/>
  <c r="BE59" i="130" s="1"/>
  <c r="AQ59" i="130"/>
  <c r="AR59" i="130" s="1"/>
  <c r="AV59" i="130"/>
  <c r="AW59" i="130" s="1"/>
  <c r="AH59" i="130"/>
  <c r="AI59" i="130" s="1"/>
  <c r="AT59" i="130"/>
  <c r="BA59" i="130"/>
  <c r="BB59" i="130" s="1"/>
  <c r="AY59" i="130"/>
  <c r="V59" i="130"/>
  <c r="W59" i="130" s="1"/>
  <c r="BD50" i="156"/>
  <c r="BE50" i="156" s="1"/>
  <c r="AV50" i="156"/>
  <c r="AW50" i="156" s="1"/>
  <c r="AV50" i="150"/>
  <c r="AW50" i="150" s="1"/>
  <c r="BD50" i="150"/>
  <c r="BE50" i="150" s="1"/>
  <c r="T53" i="155"/>
  <c r="Y53" i="155" s="1"/>
  <c r="Z53" i="155" s="1"/>
  <c r="R54" i="155"/>
  <c r="T54" i="155" s="1"/>
  <c r="Y54" i="155" s="1"/>
  <c r="Z54" i="155" s="1"/>
  <c r="K65" i="155"/>
  <c r="I66" i="155"/>
  <c r="P64" i="155"/>
  <c r="AV64" i="155"/>
  <c r="AW64" i="155" s="1"/>
  <c r="R64" i="155"/>
  <c r="T64" i="155" s="1"/>
  <c r="AH64" i="155"/>
  <c r="AI64" i="155" s="1"/>
  <c r="AQ64" i="155"/>
  <c r="AR64" i="155" s="1"/>
  <c r="BQ64" i="155"/>
  <c r="BR64" i="155" s="1"/>
  <c r="AB64" i="155"/>
  <c r="AC64" i="155" s="1"/>
  <c r="AK64" i="155"/>
  <c r="AL64" i="155" s="1"/>
  <c r="BA64" i="155"/>
  <c r="BB64" i="155" s="1"/>
  <c r="BG64" i="155"/>
  <c r="BH64" i="155" s="1"/>
  <c r="V64" i="155"/>
  <c r="W64" i="155" s="1"/>
  <c r="Y64" i="155"/>
  <c r="Z64" i="155" s="1"/>
  <c r="AN64" i="155"/>
  <c r="AO64" i="155" s="1"/>
  <c r="BD64" i="155"/>
  <c r="BE64" i="155" s="1"/>
  <c r="BN64" i="155"/>
  <c r="BO64" i="155" s="1"/>
  <c r="M64" i="155"/>
  <c r="AE64" i="155"/>
  <c r="AF64" i="155" s="1"/>
  <c r="O64" i="155"/>
  <c r="BL64" i="155"/>
  <c r="BD50" i="17"/>
  <c r="BE50" i="17" s="1"/>
  <c r="AV50" i="17"/>
  <c r="AW50" i="17" s="1"/>
  <c r="A53" i="58"/>
  <c r="AT51" i="13"/>
  <c r="AT52" i="15"/>
  <c r="AT51" i="17"/>
  <c r="AT51" i="120"/>
  <c r="BD51" i="15"/>
  <c r="BE51" i="15" s="1"/>
  <c r="AV51" i="15"/>
  <c r="AW51" i="15" s="1"/>
  <c r="AV50" i="13"/>
  <c r="AW50" i="13" s="1"/>
  <c r="BD50" i="13"/>
  <c r="BE50" i="13" s="1"/>
  <c r="AV50" i="15"/>
  <c r="AW50" i="15" s="1"/>
  <c r="BD50" i="15"/>
  <c r="BE50" i="15" s="1"/>
  <c r="BD50" i="120"/>
  <c r="BE50" i="120" s="1"/>
  <c r="AV50" i="120"/>
  <c r="AW50" i="120" s="1"/>
  <c r="I69" i="153"/>
  <c r="M64" i="153"/>
  <c r="BQ64" i="153"/>
  <c r="BR64" i="153" s="1"/>
  <c r="O64" i="153"/>
  <c r="V64" i="153"/>
  <c r="W64" i="153" s="1"/>
  <c r="AB64" i="153"/>
  <c r="AC64" i="153" s="1"/>
  <c r="AH64" i="153"/>
  <c r="AI64" i="153" s="1"/>
  <c r="AN64" i="153"/>
  <c r="AO64" i="153" s="1"/>
  <c r="BA64" i="153"/>
  <c r="BB64" i="153" s="1"/>
  <c r="BG64" i="153"/>
  <c r="BH64" i="153" s="1"/>
  <c r="P64" i="153"/>
  <c r="AV64" i="153"/>
  <c r="AW64" i="153" s="1"/>
  <c r="BN64" i="153"/>
  <c r="BO64" i="153" s="1"/>
  <c r="AE64" i="153"/>
  <c r="AF64" i="153" s="1"/>
  <c r="BD64" i="153"/>
  <c r="BE64" i="153" s="1"/>
  <c r="AK64" i="153"/>
  <c r="AL64" i="153" s="1"/>
  <c r="R64" i="153"/>
  <c r="T64" i="153" s="1"/>
  <c r="AQ64" i="153"/>
  <c r="AR64" i="153" s="1"/>
  <c r="Y64" i="153"/>
  <c r="Z64" i="153" s="1"/>
  <c r="BL64" i="153"/>
  <c r="K65" i="153"/>
  <c r="I73" i="152"/>
  <c r="M64" i="152"/>
  <c r="BQ64" i="152"/>
  <c r="BR64" i="152" s="1"/>
  <c r="O64" i="152"/>
  <c r="V64" i="152"/>
  <c r="W64" i="152" s="1"/>
  <c r="AB64" i="152"/>
  <c r="AC64" i="152" s="1"/>
  <c r="AH64" i="152"/>
  <c r="AI64" i="152" s="1"/>
  <c r="AN64" i="152"/>
  <c r="AO64" i="152" s="1"/>
  <c r="BA64" i="152"/>
  <c r="BB64" i="152" s="1"/>
  <c r="BG64" i="152"/>
  <c r="BH64" i="152" s="1"/>
  <c r="P64" i="152"/>
  <c r="AV64" i="152"/>
  <c r="AW64" i="152" s="1"/>
  <c r="BN64" i="152"/>
  <c r="BO64" i="152" s="1"/>
  <c r="AK64" i="152"/>
  <c r="AL64" i="152" s="1"/>
  <c r="R64" i="152"/>
  <c r="T64" i="152" s="1"/>
  <c r="AQ64" i="152"/>
  <c r="AR64" i="152" s="1"/>
  <c r="BD64" i="152"/>
  <c r="BE64" i="152" s="1"/>
  <c r="Y64" i="152"/>
  <c r="Z64" i="152" s="1"/>
  <c r="AE64" i="152"/>
  <c r="AF64" i="152" s="1"/>
  <c r="BL64" i="152"/>
  <c r="K65" i="152"/>
  <c r="K63" i="151"/>
  <c r="I64" i="151"/>
  <c r="BD62" i="151"/>
  <c r="BE62" i="151" s="1"/>
  <c r="AQ62" i="151"/>
  <c r="AR62" i="151" s="1"/>
  <c r="AK62" i="151"/>
  <c r="AL62" i="151" s="1"/>
  <c r="AE62" i="151"/>
  <c r="AF62" i="151" s="1"/>
  <c r="Y62" i="151"/>
  <c r="Z62" i="151" s="1"/>
  <c r="R62" i="151"/>
  <c r="T62" i="151" s="1"/>
  <c r="BG62" i="151"/>
  <c r="BH62" i="151" s="1"/>
  <c r="BA62" i="151"/>
  <c r="BB62" i="151" s="1"/>
  <c r="AT62" i="151"/>
  <c r="AN62" i="151"/>
  <c r="AO62" i="151" s="1"/>
  <c r="AH62" i="151"/>
  <c r="AI62" i="151" s="1"/>
  <c r="AB62" i="151"/>
  <c r="AC62" i="151" s="1"/>
  <c r="V62" i="151"/>
  <c r="W62" i="151" s="1"/>
  <c r="O62" i="151"/>
  <c r="AV62" i="151"/>
  <c r="AW62" i="151" s="1"/>
  <c r="BQ62" i="151"/>
  <c r="BR62" i="151" s="1"/>
  <c r="P62" i="151"/>
  <c r="AY62" i="151"/>
  <c r="M62" i="151"/>
  <c r="BN62" i="151"/>
  <c r="BO62" i="151" s="1"/>
  <c r="BL62" i="151"/>
  <c r="BQ61" i="150"/>
  <c r="BR61" i="150" s="1"/>
  <c r="AY61" i="150"/>
  <c r="BD61" i="150"/>
  <c r="BE61" i="150" s="1"/>
  <c r="AQ61" i="150"/>
  <c r="AR61" i="150" s="1"/>
  <c r="AK61" i="150"/>
  <c r="AL61" i="150" s="1"/>
  <c r="AE61" i="150"/>
  <c r="AF61" i="150" s="1"/>
  <c r="Y61" i="150"/>
  <c r="Z61" i="150" s="1"/>
  <c r="R61" i="150"/>
  <c r="T61" i="150" s="1"/>
  <c r="P61" i="150"/>
  <c r="BA61" i="150"/>
  <c r="BB61" i="150" s="1"/>
  <c r="AN61" i="150"/>
  <c r="AO61" i="150" s="1"/>
  <c r="AB61" i="150"/>
  <c r="AC61" i="150" s="1"/>
  <c r="O61" i="150"/>
  <c r="AV61" i="150"/>
  <c r="AW61" i="150" s="1"/>
  <c r="AH61" i="150"/>
  <c r="AI61" i="150" s="1"/>
  <c r="V61" i="150"/>
  <c r="W61" i="150" s="1"/>
  <c r="BG61" i="150"/>
  <c r="BH61" i="150" s="1"/>
  <c r="AT61" i="150"/>
  <c r="BN61" i="150"/>
  <c r="BO61" i="150" s="1"/>
  <c r="M61" i="150"/>
  <c r="BL61" i="150"/>
  <c r="K62" i="150"/>
  <c r="I65" i="150"/>
  <c r="K64" i="149"/>
  <c r="AT64" i="149" s="1"/>
  <c r="I65" i="149"/>
  <c r="BQ63" i="149"/>
  <c r="BR63" i="149" s="1"/>
  <c r="AY63" i="149"/>
  <c r="BD63" i="149"/>
  <c r="BE63" i="149" s="1"/>
  <c r="AQ63" i="149"/>
  <c r="AR63" i="149" s="1"/>
  <c r="AK63" i="149"/>
  <c r="AL63" i="149" s="1"/>
  <c r="AE63" i="149"/>
  <c r="AF63" i="149" s="1"/>
  <c r="Y63" i="149"/>
  <c r="Z63" i="149" s="1"/>
  <c r="R63" i="149"/>
  <c r="T63" i="149" s="1"/>
  <c r="P63" i="149"/>
  <c r="AV63" i="149"/>
  <c r="AW63" i="149" s="1"/>
  <c r="BG63" i="149"/>
  <c r="BH63" i="149" s="1"/>
  <c r="AH63" i="149"/>
  <c r="AI63" i="149" s="1"/>
  <c r="BA63" i="149"/>
  <c r="BB63" i="149" s="1"/>
  <c r="AB63" i="149"/>
  <c r="AC63" i="149" s="1"/>
  <c r="V63" i="149"/>
  <c r="W63" i="149" s="1"/>
  <c r="AN63" i="149"/>
  <c r="AO63" i="149" s="1"/>
  <c r="O63" i="149"/>
  <c r="BN63" i="149"/>
  <c r="BO63" i="149" s="1"/>
  <c r="M63" i="149"/>
  <c r="BL63" i="149"/>
  <c r="P37" i="147"/>
  <c r="P38" i="147" s="1"/>
  <c r="P39" i="147" s="1"/>
  <c r="P40" i="147" s="1"/>
  <c r="P41" i="147" s="1"/>
  <c r="P42" i="147" s="1"/>
  <c r="P43" i="147" s="1"/>
  <c r="P44" i="147" s="1"/>
  <c r="P45" i="147" s="1"/>
  <c r="P46" i="147" s="1"/>
  <c r="P47" i="147" s="1"/>
  <c r="P48" i="147" s="1"/>
  <c r="P49" i="147" s="1"/>
  <c r="P50" i="147" s="1"/>
  <c r="P51" i="147" s="1"/>
  <c r="P52" i="147" s="1"/>
  <c r="P53" i="147" s="1"/>
  <c r="P54" i="147" s="1"/>
  <c r="BG62" i="147"/>
  <c r="BH62" i="147" s="1"/>
  <c r="BA62" i="147"/>
  <c r="BB62" i="147" s="1"/>
  <c r="AT62" i="147"/>
  <c r="AN62" i="147"/>
  <c r="AO62" i="147" s="1"/>
  <c r="AH62" i="147"/>
  <c r="AI62" i="147" s="1"/>
  <c r="AB62" i="147"/>
  <c r="AC62" i="147" s="1"/>
  <c r="V62" i="147"/>
  <c r="W62" i="147" s="1"/>
  <c r="O62" i="147"/>
  <c r="BQ62" i="147"/>
  <c r="BR62" i="147" s="1"/>
  <c r="AY62" i="147"/>
  <c r="BD62" i="147"/>
  <c r="BE62" i="147" s="1"/>
  <c r="AQ62" i="147"/>
  <c r="AR62" i="147" s="1"/>
  <c r="AE62" i="147"/>
  <c r="AF62" i="147" s="1"/>
  <c r="R62" i="147"/>
  <c r="T62" i="147" s="1"/>
  <c r="P62" i="147"/>
  <c r="AV62" i="147"/>
  <c r="AW62" i="147" s="1"/>
  <c r="AK62" i="147"/>
  <c r="AL62" i="147" s="1"/>
  <c r="Y62" i="147"/>
  <c r="Z62" i="147" s="1"/>
  <c r="BK62" i="147"/>
  <c r="BN62" i="147"/>
  <c r="BO62" i="147" s="1"/>
  <c r="BJ62" i="147"/>
  <c r="BL62" i="147" s="1"/>
  <c r="M62" i="147"/>
  <c r="I64" i="147"/>
  <c r="K63" i="147"/>
  <c r="O36" i="147"/>
  <c r="BD61" i="146"/>
  <c r="BE61" i="146" s="1"/>
  <c r="AQ61" i="146"/>
  <c r="AR61" i="146" s="1"/>
  <c r="AK61" i="146"/>
  <c r="AL61" i="146" s="1"/>
  <c r="AE61" i="146"/>
  <c r="AF61" i="146" s="1"/>
  <c r="Y61" i="146"/>
  <c r="Z61" i="146" s="1"/>
  <c r="R61" i="146"/>
  <c r="T61" i="146" s="1"/>
  <c r="AV61" i="146"/>
  <c r="AW61" i="146" s="1"/>
  <c r="P61" i="146"/>
  <c r="BG61" i="146"/>
  <c r="BH61" i="146" s="1"/>
  <c r="BA61" i="146"/>
  <c r="BB61" i="146" s="1"/>
  <c r="AT61" i="146"/>
  <c r="AN61" i="146"/>
  <c r="AO61" i="146" s="1"/>
  <c r="AH61" i="146"/>
  <c r="AI61" i="146" s="1"/>
  <c r="AB61" i="146"/>
  <c r="AC61" i="146" s="1"/>
  <c r="V61" i="146"/>
  <c r="W61" i="146" s="1"/>
  <c r="O61" i="146"/>
  <c r="AY61" i="146"/>
  <c r="BQ61" i="146"/>
  <c r="BR61" i="146" s="1"/>
  <c r="M61" i="146"/>
  <c r="BK61" i="146"/>
  <c r="BJ61" i="146"/>
  <c r="BL61" i="146" s="1"/>
  <c r="BN61" i="146"/>
  <c r="BO61" i="146" s="1"/>
  <c r="V33" i="146"/>
  <c r="W33" i="146" s="1"/>
  <c r="P34" i="146"/>
  <c r="K62" i="146"/>
  <c r="I63" i="146"/>
  <c r="O33" i="146"/>
  <c r="AC58" i="96"/>
  <c r="I59" i="17"/>
  <c r="K58" i="17"/>
  <c r="M58" i="101"/>
  <c r="BG58" i="101"/>
  <c r="BH58" i="101" s="1"/>
  <c r="R58" i="101"/>
  <c r="T58" i="101" s="1"/>
  <c r="Y58" i="101"/>
  <c r="Z58" i="101" s="1"/>
  <c r="AT58" i="101"/>
  <c r="V58" i="101"/>
  <c r="W58" i="101" s="1"/>
  <c r="AB58" i="101"/>
  <c r="AC58" i="101" s="1"/>
  <c r="P58" i="101"/>
  <c r="AN58" i="101"/>
  <c r="AO58" i="101" s="1"/>
  <c r="AV58" i="101"/>
  <c r="AW58" i="101" s="1"/>
  <c r="AH58" i="101"/>
  <c r="AI58" i="101" s="1"/>
  <c r="AQ58" i="101"/>
  <c r="AR58" i="101" s="1"/>
  <c r="BQ58" i="101"/>
  <c r="BR58" i="101" s="1"/>
  <c r="O58" i="101"/>
  <c r="AY58" i="101"/>
  <c r="BA58" i="101"/>
  <c r="BB58" i="101" s="1"/>
  <c r="AE58" i="101"/>
  <c r="AF58" i="101" s="1"/>
  <c r="BD58" i="101"/>
  <c r="BE58" i="101" s="1"/>
  <c r="AK58" i="101"/>
  <c r="AL58" i="101" s="1"/>
  <c r="I63" i="104"/>
  <c r="K58" i="66"/>
  <c r="I59" i="66"/>
  <c r="I63" i="15"/>
  <c r="M59" i="115"/>
  <c r="BK59" i="115"/>
  <c r="BJ59" i="115"/>
  <c r="BL59" i="115" s="1"/>
  <c r="BN59" i="115"/>
  <c r="BO59" i="115" s="1"/>
  <c r="BQ59" i="115"/>
  <c r="BR59" i="115" s="1"/>
  <c r="P59" i="115"/>
  <c r="AK59" i="115"/>
  <c r="AL59" i="115" s="1"/>
  <c r="Y59" i="115"/>
  <c r="Z59" i="115" s="1"/>
  <c r="AN59" i="115"/>
  <c r="AO59" i="115" s="1"/>
  <c r="BD59" i="115"/>
  <c r="BE59" i="115" s="1"/>
  <c r="AV59" i="115"/>
  <c r="AW59" i="115" s="1"/>
  <c r="AH59" i="115"/>
  <c r="AI59" i="115" s="1"/>
  <c r="AT59" i="115"/>
  <c r="BA59" i="115"/>
  <c r="BB59" i="115" s="1"/>
  <c r="AE59" i="115"/>
  <c r="AF59" i="115" s="1"/>
  <c r="O59" i="115"/>
  <c r="V59" i="115"/>
  <c r="W59" i="115" s="1"/>
  <c r="AY59" i="115"/>
  <c r="R59" i="115"/>
  <c r="T59" i="115" s="1"/>
  <c r="AQ59" i="115"/>
  <c r="AR59" i="115" s="1"/>
  <c r="AB59" i="115"/>
  <c r="AC59" i="115" s="1"/>
  <c r="BG59" i="115"/>
  <c r="BH59" i="115" s="1"/>
  <c r="AE60" i="64"/>
  <c r="AF60" i="64" s="1"/>
  <c r="AY60" i="64"/>
  <c r="BQ60" i="64"/>
  <c r="BR60" i="64" s="1"/>
  <c r="AV60" i="64"/>
  <c r="AW60" i="64" s="1"/>
  <c r="AK60" i="64"/>
  <c r="AL60" i="64" s="1"/>
  <c r="AN60" i="64"/>
  <c r="AO60" i="64" s="1"/>
  <c r="BA60" i="64"/>
  <c r="BB60" i="64" s="1"/>
  <c r="BD60" i="64"/>
  <c r="BE60" i="64" s="1"/>
  <c r="Y60" i="64"/>
  <c r="Z60" i="64" s="1"/>
  <c r="R60" i="64"/>
  <c r="T60" i="64" s="1"/>
  <c r="M60" i="64"/>
  <c r="P60" i="64"/>
  <c r="AH60" i="64"/>
  <c r="AI60" i="64" s="1"/>
  <c r="AB60" i="64"/>
  <c r="AC60" i="64" s="1"/>
  <c r="AT60" i="64"/>
  <c r="AQ60" i="64"/>
  <c r="AR60" i="64" s="1"/>
  <c r="V60" i="64"/>
  <c r="W60" i="64" s="1"/>
  <c r="BG60" i="64"/>
  <c r="BH60" i="64" s="1"/>
  <c r="O60" i="64"/>
  <c r="BN60" i="64"/>
  <c r="BO60" i="64" s="1"/>
  <c r="BL60" i="64"/>
  <c r="K61" i="64"/>
  <c r="BN63" i="124"/>
  <c r="BO63" i="124" s="1"/>
  <c r="M63" i="124"/>
  <c r="K64" i="124"/>
  <c r="BJ63" i="124"/>
  <c r="BL63" i="124" s="1"/>
  <c r="BK63" i="124"/>
  <c r="AB63" i="124"/>
  <c r="AC63" i="124" s="1"/>
  <c r="AH63" i="124"/>
  <c r="AI63" i="124" s="1"/>
  <c r="R63" i="124"/>
  <c r="T63" i="124" s="1"/>
  <c r="BQ63" i="124"/>
  <c r="BR63" i="124" s="1"/>
  <c r="Y63" i="124"/>
  <c r="Z63" i="124" s="1"/>
  <c r="BA63" i="124"/>
  <c r="BB63" i="124" s="1"/>
  <c r="AE63" i="124"/>
  <c r="AF63" i="124" s="1"/>
  <c r="O63" i="124"/>
  <c r="AT63" i="124"/>
  <c r="AV63" i="124"/>
  <c r="AW63" i="124" s="1"/>
  <c r="AK63" i="124"/>
  <c r="AL63" i="124" s="1"/>
  <c r="BG63" i="124"/>
  <c r="BH63" i="124" s="1"/>
  <c r="AY63" i="124"/>
  <c r="AQ63" i="124"/>
  <c r="AR63" i="124" s="1"/>
  <c r="AN63" i="124"/>
  <c r="AO63" i="124" s="1"/>
  <c r="BD63" i="124"/>
  <c r="BE63" i="124" s="1"/>
  <c r="V63" i="124"/>
  <c r="W63" i="124" s="1"/>
  <c r="P63" i="124"/>
  <c r="M59" i="110"/>
  <c r="BJ59" i="110"/>
  <c r="BL59" i="110" s="1"/>
  <c r="BK59" i="110"/>
  <c r="BN59" i="110"/>
  <c r="BO59" i="110" s="1"/>
  <c r="P59" i="110"/>
  <c r="O59" i="110"/>
  <c r="AV59" i="110"/>
  <c r="AW59" i="110" s="1"/>
  <c r="BD59" i="110"/>
  <c r="BE59" i="110" s="1"/>
  <c r="BQ59" i="110"/>
  <c r="BR59" i="110" s="1"/>
  <c r="Y59" i="110"/>
  <c r="Z59" i="110" s="1"/>
  <c r="AN59" i="110"/>
  <c r="AO59" i="110" s="1"/>
  <c r="AB59" i="110"/>
  <c r="AC59" i="110" s="1"/>
  <c r="AK59" i="110"/>
  <c r="AL59" i="110" s="1"/>
  <c r="AY59" i="110"/>
  <c r="AT59" i="110"/>
  <c r="BA59" i="110"/>
  <c r="BB59" i="110" s="1"/>
  <c r="R59" i="110"/>
  <c r="T59" i="110" s="1"/>
  <c r="BG59" i="110"/>
  <c r="BH59" i="110" s="1"/>
  <c r="AE59" i="110"/>
  <c r="AF59" i="110" s="1"/>
  <c r="AQ59" i="110"/>
  <c r="AR59" i="110" s="1"/>
  <c r="AH59" i="110"/>
  <c r="AI59" i="110" s="1"/>
  <c r="V59" i="110"/>
  <c r="W59" i="110" s="1"/>
  <c r="I68" i="95"/>
  <c r="M60" i="135"/>
  <c r="V60" i="135"/>
  <c r="W60" i="135" s="1"/>
  <c r="BD60" i="135"/>
  <c r="BE60" i="135" s="1"/>
  <c r="AQ60" i="135"/>
  <c r="AR60" i="135" s="1"/>
  <c r="AY60" i="135"/>
  <c r="AH60" i="135"/>
  <c r="AI60" i="135" s="1"/>
  <c r="AK60" i="135"/>
  <c r="AL60" i="135" s="1"/>
  <c r="AE60" i="135"/>
  <c r="AF60" i="135" s="1"/>
  <c r="P60" i="135"/>
  <c r="AV60" i="135"/>
  <c r="AW60" i="135" s="1"/>
  <c r="AB60" i="135"/>
  <c r="AC60" i="135" s="1"/>
  <c r="BQ60" i="135"/>
  <c r="BR60" i="135" s="1"/>
  <c r="BA60" i="135"/>
  <c r="BB60" i="135" s="1"/>
  <c r="O60" i="135"/>
  <c r="Y60" i="135"/>
  <c r="Z60" i="135" s="1"/>
  <c r="AT60" i="135"/>
  <c r="AN60" i="135"/>
  <c r="AO60" i="135" s="1"/>
  <c r="R60" i="135"/>
  <c r="T60" i="135" s="1"/>
  <c r="BG60" i="135"/>
  <c r="BH60" i="135" s="1"/>
  <c r="BN60" i="135"/>
  <c r="BO60" i="135" s="1"/>
  <c r="BL60" i="135"/>
  <c r="K58" i="13"/>
  <c r="I59" i="13"/>
  <c r="M61" i="105"/>
  <c r="BN61" i="105"/>
  <c r="BO61" i="105" s="1"/>
  <c r="BK61" i="105"/>
  <c r="BJ61" i="105"/>
  <c r="BL61" i="105" s="1"/>
  <c r="BQ61" i="105"/>
  <c r="BR61" i="105" s="1"/>
  <c r="AH61" i="105"/>
  <c r="AI61" i="105" s="1"/>
  <c r="Y61" i="105"/>
  <c r="Z61" i="105" s="1"/>
  <c r="O61" i="105"/>
  <c r="AN61" i="105"/>
  <c r="AO61" i="105" s="1"/>
  <c r="AQ61" i="105"/>
  <c r="AR61" i="105" s="1"/>
  <c r="AK61" i="105"/>
  <c r="AL61" i="105" s="1"/>
  <c r="AB61" i="105"/>
  <c r="AC61" i="105" s="1"/>
  <c r="AE61" i="105"/>
  <c r="AF61" i="105" s="1"/>
  <c r="AT61" i="105"/>
  <c r="BA61" i="105"/>
  <c r="BB61" i="105" s="1"/>
  <c r="R61" i="105"/>
  <c r="T61" i="105" s="1"/>
  <c r="P61" i="105"/>
  <c r="AY61" i="105"/>
  <c r="BD61" i="105"/>
  <c r="BE61" i="105" s="1"/>
  <c r="BG61" i="105"/>
  <c r="BH61" i="105" s="1"/>
  <c r="V61" i="105"/>
  <c r="W61" i="105" s="1"/>
  <c r="AV61" i="105"/>
  <c r="AW61" i="105" s="1"/>
  <c r="K62" i="105"/>
  <c r="I74" i="133"/>
  <c r="I60" i="101"/>
  <c r="K59" i="101"/>
  <c r="BN59" i="63"/>
  <c r="BO59" i="63" s="1"/>
  <c r="M59" i="63"/>
  <c r="BL59" i="63"/>
  <c r="BG59" i="63"/>
  <c r="BH59" i="63" s="1"/>
  <c r="BD59" i="63"/>
  <c r="BE59" i="63" s="1"/>
  <c r="BA59" i="63"/>
  <c r="BB59" i="63" s="1"/>
  <c r="O59" i="63"/>
  <c r="R59" i="63"/>
  <c r="T59" i="63" s="1"/>
  <c r="AY59" i="63"/>
  <c r="AH59" i="63"/>
  <c r="AI59" i="63" s="1"/>
  <c r="AT59" i="63"/>
  <c r="BQ59" i="63"/>
  <c r="BR59" i="63" s="1"/>
  <c r="AE59" i="63"/>
  <c r="AF59" i="63" s="1"/>
  <c r="AV59" i="63"/>
  <c r="AW59" i="63" s="1"/>
  <c r="V59" i="63"/>
  <c r="W59" i="63" s="1"/>
  <c r="AN59" i="63"/>
  <c r="AO59" i="63" s="1"/>
  <c r="AQ59" i="63"/>
  <c r="AR59" i="63" s="1"/>
  <c r="Y59" i="63"/>
  <c r="Z59" i="63" s="1"/>
  <c r="P59" i="63"/>
  <c r="AB59" i="63"/>
  <c r="AC59" i="63" s="1"/>
  <c r="AK59" i="63"/>
  <c r="AL59" i="63" s="1"/>
  <c r="K60" i="63"/>
  <c r="I65" i="136"/>
  <c r="BK59" i="114"/>
  <c r="BJ59" i="114"/>
  <c r="BL59" i="114" s="1"/>
  <c r="M59" i="114"/>
  <c r="BN59" i="114"/>
  <c r="BO59" i="114" s="1"/>
  <c r="AQ59" i="114"/>
  <c r="AR59" i="114" s="1"/>
  <c r="AH59" i="114"/>
  <c r="AI59" i="114" s="1"/>
  <c r="AV59" i="114"/>
  <c r="AW59" i="114" s="1"/>
  <c r="AN59" i="114"/>
  <c r="AO59" i="114" s="1"/>
  <c r="AK59" i="114"/>
  <c r="AL59" i="114" s="1"/>
  <c r="P59" i="114"/>
  <c r="AT59" i="114"/>
  <c r="V59" i="114"/>
  <c r="W59" i="114" s="1"/>
  <c r="BQ59" i="114"/>
  <c r="BR59" i="114" s="1"/>
  <c r="AB59" i="114"/>
  <c r="AC59" i="114" s="1"/>
  <c r="AE59" i="114"/>
  <c r="AF59" i="114" s="1"/>
  <c r="AY59" i="114"/>
  <c r="BG59" i="114"/>
  <c r="BH59" i="114" s="1"/>
  <c r="R59" i="114"/>
  <c r="T59" i="114" s="1"/>
  <c r="BD59" i="114"/>
  <c r="BE59" i="114" s="1"/>
  <c r="O59" i="114"/>
  <c r="Y59" i="114"/>
  <c r="Z59" i="114" s="1"/>
  <c r="BA59" i="114"/>
  <c r="BB59" i="114" s="1"/>
  <c r="K60" i="114"/>
  <c r="I66" i="105"/>
  <c r="I61" i="115"/>
  <c r="K60" i="115"/>
  <c r="AK57" i="120"/>
  <c r="AL57" i="120" s="1"/>
  <c r="AV57" i="120"/>
  <c r="AW57" i="120" s="1"/>
  <c r="BG57" i="120"/>
  <c r="BH57" i="120" s="1"/>
  <c r="BD57" i="120"/>
  <c r="BE57" i="120" s="1"/>
  <c r="K58" i="120"/>
  <c r="V57" i="120"/>
  <c r="W57" i="120" s="1"/>
  <c r="AH57" i="120"/>
  <c r="AI57" i="120" s="1"/>
  <c r="AQ57" i="120"/>
  <c r="AR57" i="120" s="1"/>
  <c r="AN57" i="120"/>
  <c r="AO57" i="120" s="1"/>
  <c r="AT57" i="120"/>
  <c r="AY57" i="120"/>
  <c r="AB57" i="120"/>
  <c r="AC57" i="120" s="1"/>
  <c r="R57" i="120"/>
  <c r="T57" i="120" s="1"/>
  <c r="AE57" i="120"/>
  <c r="AF57" i="120" s="1"/>
  <c r="Y57" i="120"/>
  <c r="Z57" i="120" s="1"/>
  <c r="BA57" i="120"/>
  <c r="BB57" i="120" s="1"/>
  <c r="BQ57" i="120"/>
  <c r="BR57" i="120" s="1"/>
  <c r="O57" i="120"/>
  <c r="P57" i="120"/>
  <c r="M57" i="120"/>
  <c r="BN57" i="120"/>
  <c r="BO57" i="120" s="1"/>
  <c r="I61" i="110"/>
  <c r="K60" i="110"/>
  <c r="I62" i="135"/>
  <c r="K61" i="135"/>
  <c r="M57" i="13"/>
  <c r="BN57" i="13"/>
  <c r="BO57" i="13" s="1"/>
  <c r="BD57" i="13"/>
  <c r="BE57" i="13" s="1"/>
  <c r="O57" i="13"/>
  <c r="AK57" i="13"/>
  <c r="AL57" i="13" s="1"/>
  <c r="AH57" i="13"/>
  <c r="AI57" i="13" s="1"/>
  <c r="P57" i="13"/>
  <c r="V57" i="13"/>
  <c r="W57" i="13" s="1"/>
  <c r="AT57" i="13"/>
  <c r="AB57" i="13"/>
  <c r="AC57" i="13" s="1"/>
  <c r="BL57" i="13"/>
  <c r="BA57" i="13"/>
  <c r="BB57" i="13" s="1"/>
  <c r="BQ57" i="13"/>
  <c r="BR57" i="13" s="1"/>
  <c r="Y57" i="13"/>
  <c r="Z57" i="13" s="1"/>
  <c r="AE57" i="13"/>
  <c r="AF57" i="13" s="1"/>
  <c r="AY57" i="13"/>
  <c r="AN57" i="13"/>
  <c r="AO57" i="13" s="1"/>
  <c r="BG57" i="13"/>
  <c r="BH57" i="13" s="1"/>
  <c r="R57" i="13"/>
  <c r="T57" i="13" s="1"/>
  <c r="AV57" i="13"/>
  <c r="AW57" i="13" s="1"/>
  <c r="AQ57" i="13"/>
  <c r="AR57" i="13" s="1"/>
  <c r="AK59" i="96"/>
  <c r="AL59" i="96" s="1"/>
  <c r="BN59" i="96"/>
  <c r="BO59" i="96" s="1"/>
  <c r="BA59" i="96"/>
  <c r="BB59" i="96" s="1"/>
  <c r="Y59" i="96"/>
  <c r="Z59" i="96" s="1"/>
  <c r="O59" i="96"/>
  <c r="BG59" i="96"/>
  <c r="BH59" i="96" s="1"/>
  <c r="V59" i="96"/>
  <c r="W59" i="96" s="1"/>
  <c r="AB59" i="96"/>
  <c r="AT59" i="96"/>
  <c r="AN59" i="96"/>
  <c r="AO59" i="96" s="1"/>
  <c r="AH59" i="96"/>
  <c r="AI59" i="96" s="1"/>
  <c r="M59" i="96"/>
  <c r="AQ59" i="96"/>
  <c r="AR59" i="96" s="1"/>
  <c r="BD59" i="96"/>
  <c r="BE59" i="96" s="1"/>
  <c r="AV59" i="96"/>
  <c r="AW59" i="96" s="1"/>
  <c r="AE59" i="96"/>
  <c r="AF59" i="96" s="1"/>
  <c r="BQ59" i="96"/>
  <c r="BR59" i="96" s="1"/>
  <c r="R59" i="96"/>
  <c r="T59" i="96" s="1"/>
  <c r="P59" i="96"/>
  <c r="BL59" i="96"/>
  <c r="BN61" i="136"/>
  <c r="BO61" i="136" s="1"/>
  <c r="M61" i="136"/>
  <c r="BL61" i="136"/>
  <c r="AE61" i="136"/>
  <c r="AF61" i="136" s="1"/>
  <c r="AT61" i="136"/>
  <c r="AH61" i="136"/>
  <c r="AI61" i="136" s="1"/>
  <c r="AQ61" i="136"/>
  <c r="AR61" i="136" s="1"/>
  <c r="BD61" i="136"/>
  <c r="BE61" i="136" s="1"/>
  <c r="Y61" i="136"/>
  <c r="Z61" i="136" s="1"/>
  <c r="AY61" i="136"/>
  <c r="AN61" i="136"/>
  <c r="AO61" i="136" s="1"/>
  <c r="O61" i="136"/>
  <c r="BG61" i="136"/>
  <c r="BH61" i="136" s="1"/>
  <c r="V61" i="136"/>
  <c r="W61" i="136" s="1"/>
  <c r="AV61" i="136"/>
  <c r="AW61" i="136" s="1"/>
  <c r="AK61" i="136"/>
  <c r="AL61" i="136" s="1"/>
  <c r="BA61" i="136"/>
  <c r="BB61" i="136" s="1"/>
  <c r="BQ61" i="136"/>
  <c r="BR61" i="136" s="1"/>
  <c r="R61" i="136"/>
  <c r="T61" i="136" s="1"/>
  <c r="AB61" i="136"/>
  <c r="AC61" i="136" s="1"/>
  <c r="P61" i="136"/>
  <c r="K62" i="136"/>
  <c r="I64" i="126"/>
  <c r="I66" i="132"/>
  <c r="I64" i="63"/>
  <c r="BN58" i="15"/>
  <c r="BO58" i="15" s="1"/>
  <c r="BL58" i="15"/>
  <c r="O58" i="15"/>
  <c r="AN58" i="15"/>
  <c r="AO58" i="15" s="1"/>
  <c r="AY58" i="15"/>
  <c r="AH58" i="15"/>
  <c r="AI58" i="15" s="1"/>
  <c r="AQ58" i="15"/>
  <c r="AR58" i="15" s="1"/>
  <c r="R58" i="15"/>
  <c r="T58" i="15" s="1"/>
  <c r="M58" i="15"/>
  <c r="AK58" i="15"/>
  <c r="AL58" i="15" s="1"/>
  <c r="AE58" i="15"/>
  <c r="AF58" i="15" s="1"/>
  <c r="AV58" i="15"/>
  <c r="AW58" i="15" s="1"/>
  <c r="BQ58" i="15"/>
  <c r="BR58" i="15" s="1"/>
  <c r="AT58" i="15"/>
  <c r="BG58" i="15"/>
  <c r="BH58" i="15" s="1"/>
  <c r="BA58" i="15"/>
  <c r="BB58" i="15" s="1"/>
  <c r="BD58" i="15"/>
  <c r="BE58" i="15" s="1"/>
  <c r="V58" i="15"/>
  <c r="W58" i="15" s="1"/>
  <c r="P58" i="15"/>
  <c r="AB58" i="15"/>
  <c r="AC58" i="15" s="1"/>
  <c r="Y58" i="15"/>
  <c r="Z58" i="15" s="1"/>
  <c r="K59" i="15"/>
  <c r="I65" i="64"/>
  <c r="AK57" i="66"/>
  <c r="AL57" i="66" s="1"/>
  <c r="M57" i="66"/>
  <c r="AB57" i="66"/>
  <c r="AC57" i="66" s="1"/>
  <c r="BA57" i="66"/>
  <c r="BB57" i="66" s="1"/>
  <c r="P57" i="66"/>
  <c r="AY57" i="66"/>
  <c r="AN57" i="66"/>
  <c r="AO57" i="66" s="1"/>
  <c r="AE57" i="66"/>
  <c r="AF57" i="66" s="1"/>
  <c r="O57" i="66"/>
  <c r="BG57" i="66"/>
  <c r="BH57" i="66" s="1"/>
  <c r="Y57" i="66"/>
  <c r="Z57" i="66" s="1"/>
  <c r="R57" i="66"/>
  <c r="T57" i="66" s="1"/>
  <c r="AQ57" i="66"/>
  <c r="AR57" i="66" s="1"/>
  <c r="AV57" i="66"/>
  <c r="AW57" i="66" s="1"/>
  <c r="AT57" i="66"/>
  <c r="V57" i="66"/>
  <c r="W57" i="66" s="1"/>
  <c r="AH57" i="66"/>
  <c r="AI57" i="66" s="1"/>
  <c r="BD57" i="66"/>
  <c r="BE57" i="66" s="1"/>
  <c r="BQ57" i="66"/>
  <c r="BR57" i="66" s="1"/>
  <c r="BN57" i="66"/>
  <c r="BO57" i="66" s="1"/>
  <c r="BL57" i="66"/>
  <c r="M57" i="17"/>
  <c r="BN57" i="17"/>
  <c r="BO57" i="17" s="1"/>
  <c r="BL57" i="17"/>
  <c r="AE57" i="17"/>
  <c r="AF57" i="17" s="1"/>
  <c r="AN57" i="17"/>
  <c r="AO57" i="17" s="1"/>
  <c r="O57" i="17"/>
  <c r="BG57" i="17"/>
  <c r="BH57" i="17" s="1"/>
  <c r="BD57" i="17"/>
  <c r="BE57" i="17" s="1"/>
  <c r="R57" i="17"/>
  <c r="T57" i="17" s="1"/>
  <c r="AH57" i="17"/>
  <c r="AI57" i="17" s="1"/>
  <c r="AB57" i="17"/>
  <c r="AC57" i="17" s="1"/>
  <c r="AQ57" i="17"/>
  <c r="AR57" i="17" s="1"/>
  <c r="BA57" i="17"/>
  <c r="BB57" i="17" s="1"/>
  <c r="Y57" i="17"/>
  <c r="Z57" i="17" s="1"/>
  <c r="V57" i="17"/>
  <c r="W57" i="17" s="1"/>
  <c r="AT57" i="17"/>
  <c r="AK57" i="17"/>
  <c r="AL57" i="17" s="1"/>
  <c r="AY57" i="17"/>
  <c r="BQ57" i="17"/>
  <c r="BR57" i="17" s="1"/>
  <c r="AV57" i="17"/>
  <c r="AW57" i="17" s="1"/>
  <c r="P57" i="17"/>
  <c r="BN59" i="98"/>
  <c r="BO59" i="98" s="1"/>
  <c r="BK59" i="98"/>
  <c r="M59" i="98"/>
  <c r="BJ59" i="98"/>
  <c r="BL59" i="98" s="1"/>
  <c r="K60" i="98"/>
  <c r="BD59" i="98"/>
  <c r="BE59" i="98" s="1"/>
  <c r="BG59" i="98"/>
  <c r="BH59" i="98" s="1"/>
  <c r="AT59" i="98"/>
  <c r="BQ59" i="98"/>
  <c r="BR59" i="98" s="1"/>
  <c r="AQ59" i="98"/>
  <c r="AR59" i="98" s="1"/>
  <c r="V59" i="98"/>
  <c r="W59" i="98" s="1"/>
  <c r="O59" i="98"/>
  <c r="Y59" i="98"/>
  <c r="Z59" i="98" s="1"/>
  <c r="AK59" i="98"/>
  <c r="AL59" i="98" s="1"/>
  <c r="AN59" i="98"/>
  <c r="AO59" i="98" s="1"/>
  <c r="AB59" i="98"/>
  <c r="AC59" i="98" s="1"/>
  <c r="P59" i="98"/>
  <c r="AH59" i="98"/>
  <c r="AI59" i="98" s="1"/>
  <c r="AE59" i="98"/>
  <c r="AF59" i="98" s="1"/>
  <c r="BA59" i="98"/>
  <c r="BB59" i="98" s="1"/>
  <c r="AY59" i="98"/>
  <c r="AV59" i="98"/>
  <c r="AW59" i="98" s="1"/>
  <c r="R59" i="98"/>
  <c r="T59" i="98" s="1"/>
  <c r="I61" i="96"/>
  <c r="K60" i="96"/>
  <c r="K59" i="118"/>
  <c r="M58" i="118"/>
  <c r="BN58" i="118"/>
  <c r="BO58" i="118" s="1"/>
  <c r="V58" i="118"/>
  <c r="W58" i="118" s="1"/>
  <c r="AK58" i="118"/>
  <c r="AL58" i="118" s="1"/>
  <c r="AY58" i="118"/>
  <c r="Y58" i="118"/>
  <c r="Z58" i="118" s="1"/>
  <c r="BQ58" i="118"/>
  <c r="BR58" i="118" s="1"/>
  <c r="AQ58" i="118"/>
  <c r="AR58" i="118" s="1"/>
  <c r="AV58" i="118"/>
  <c r="AW58" i="118" s="1"/>
  <c r="O58" i="118"/>
  <c r="AN58" i="118"/>
  <c r="AO58" i="118" s="1"/>
  <c r="AH58" i="118"/>
  <c r="AI58" i="118" s="1"/>
  <c r="BD58" i="118"/>
  <c r="BE58" i="118" s="1"/>
  <c r="BG58" i="118"/>
  <c r="BH58" i="118" s="1"/>
  <c r="P58" i="118"/>
  <c r="BA58" i="118"/>
  <c r="BB58" i="118" s="1"/>
  <c r="AE58" i="118"/>
  <c r="AF58" i="118" s="1"/>
  <c r="R58" i="118"/>
  <c r="T58" i="118" s="1"/>
  <c r="AT58" i="118"/>
  <c r="AB58" i="118"/>
  <c r="AC58" i="118" s="1"/>
  <c r="M59" i="126"/>
  <c r="BJ59" i="126"/>
  <c r="BL59" i="126" s="1"/>
  <c r="BN59" i="126"/>
  <c r="BO59" i="126" s="1"/>
  <c r="BK59" i="126"/>
  <c r="V59" i="126"/>
  <c r="W59" i="126" s="1"/>
  <c r="AH59" i="126"/>
  <c r="AI59" i="126" s="1"/>
  <c r="BD59" i="126"/>
  <c r="BE59" i="126" s="1"/>
  <c r="AK59" i="126"/>
  <c r="AL59" i="126" s="1"/>
  <c r="AV59" i="126"/>
  <c r="AW59" i="126" s="1"/>
  <c r="AE59" i="126"/>
  <c r="AF59" i="126" s="1"/>
  <c r="O59" i="126"/>
  <c r="AT59" i="126"/>
  <c r="AQ59" i="126"/>
  <c r="AR59" i="126" s="1"/>
  <c r="R59" i="126"/>
  <c r="T59" i="126" s="1"/>
  <c r="P59" i="126"/>
  <c r="AB59" i="126"/>
  <c r="AC59" i="126" s="1"/>
  <c r="AN59" i="126"/>
  <c r="AO59" i="126" s="1"/>
  <c r="BQ59" i="126"/>
  <c r="BR59" i="126" s="1"/>
  <c r="BA59" i="126"/>
  <c r="BB59" i="126" s="1"/>
  <c r="Y59" i="126"/>
  <c r="Z59" i="126" s="1"/>
  <c r="AY59" i="126"/>
  <c r="BG59" i="126"/>
  <c r="BH59" i="126" s="1"/>
  <c r="K60" i="126"/>
  <c r="I65" i="114"/>
  <c r="O32" i="105"/>
  <c r="O33" i="105" s="1"/>
  <c r="O34" i="105" s="1"/>
  <c r="O35" i="105" s="1"/>
  <c r="O36" i="105" s="1"/>
  <c r="O37" i="105" s="1"/>
  <c r="O38" i="105" s="1"/>
  <c r="O39" i="105" s="1"/>
  <c r="P30" i="112"/>
  <c r="V29" i="112"/>
  <c r="P34" i="110"/>
  <c r="V33" i="110"/>
  <c r="W33" i="110" s="1"/>
  <c r="O33" i="110"/>
  <c r="K62" i="99" l="1"/>
  <c r="Y61" i="99"/>
  <c r="Z61" i="99" s="1"/>
  <c r="AE61" i="99"/>
  <c r="AF61" i="99" s="1"/>
  <c r="AK61" i="99"/>
  <c r="AL61" i="99" s="1"/>
  <c r="M61" i="99"/>
  <c r="BN61" i="99"/>
  <c r="BO61" i="99" s="1"/>
  <c r="AY61" i="99"/>
  <c r="V61" i="99"/>
  <c r="W61" i="99" s="1"/>
  <c r="P61" i="99"/>
  <c r="AT61" i="99"/>
  <c r="AH61" i="99"/>
  <c r="AI61" i="99" s="1"/>
  <c r="BJ61" i="99"/>
  <c r="BL61" i="99" s="1"/>
  <c r="AN61" i="99"/>
  <c r="AO61" i="99" s="1"/>
  <c r="AQ61" i="99"/>
  <c r="AR61" i="99" s="1"/>
  <c r="BG61" i="99"/>
  <c r="BH61" i="99" s="1"/>
  <c r="AB61" i="99"/>
  <c r="AC61" i="99" s="1"/>
  <c r="BA61" i="99"/>
  <c r="BB61" i="99" s="1"/>
  <c r="BQ61" i="99"/>
  <c r="BR61" i="99" s="1"/>
  <c r="BD61" i="99"/>
  <c r="BE61" i="99" s="1"/>
  <c r="AV61" i="99"/>
  <c r="AW61" i="99" s="1"/>
  <c r="BK61" i="99"/>
  <c r="R61" i="99"/>
  <c r="T61" i="99" s="1"/>
  <c r="O61" i="99"/>
  <c r="BG63" i="107"/>
  <c r="BH63" i="107" s="1"/>
  <c r="AT63" i="107"/>
  <c r="AN63" i="107"/>
  <c r="AO63" i="107" s="1"/>
  <c r="M63" i="107"/>
  <c r="BN63" i="107"/>
  <c r="BO63" i="107" s="1"/>
  <c r="AB63" i="107"/>
  <c r="AC63" i="107" s="1"/>
  <c r="V63" i="107"/>
  <c r="W63" i="107" s="1"/>
  <c r="AQ63" i="107"/>
  <c r="AR63" i="107" s="1"/>
  <c r="R63" i="107"/>
  <c r="T63" i="107" s="1"/>
  <c r="Y63" i="107"/>
  <c r="Z63" i="107" s="1"/>
  <c r="BQ63" i="107"/>
  <c r="BR63" i="107" s="1"/>
  <c r="BD63" i="107"/>
  <c r="BE63" i="107" s="1"/>
  <c r="BK63" i="107"/>
  <c r="AK63" i="107"/>
  <c r="AL63" i="107" s="1"/>
  <c r="P63" i="107"/>
  <c r="AH63" i="107"/>
  <c r="AI63" i="107" s="1"/>
  <c r="BA63" i="107"/>
  <c r="BB63" i="107" s="1"/>
  <c r="BJ63" i="107"/>
  <c r="BL63" i="107" s="1"/>
  <c r="AE63" i="107"/>
  <c r="AF63" i="107" s="1"/>
  <c r="AY63" i="107"/>
  <c r="AV63" i="107"/>
  <c r="AW63" i="107" s="1"/>
  <c r="O63" i="107"/>
  <c r="I65" i="107"/>
  <c r="K64" i="107"/>
  <c r="BG61" i="132"/>
  <c r="BH61" i="132" s="1"/>
  <c r="AK61" i="132"/>
  <c r="AL61" i="132" s="1"/>
  <c r="AB61" i="132"/>
  <c r="AC61" i="132" s="1"/>
  <c r="K62" i="132"/>
  <c r="BL61" i="132"/>
  <c r="AT61" i="132"/>
  <c r="AH61" i="132"/>
  <c r="AI61" i="132" s="1"/>
  <c r="AV61" i="132"/>
  <c r="AW61" i="132" s="1"/>
  <c r="V61" i="132"/>
  <c r="W61" i="132" s="1"/>
  <c r="AN61" i="132"/>
  <c r="AO61" i="132" s="1"/>
  <c r="BA61" i="132"/>
  <c r="BB61" i="132" s="1"/>
  <c r="M61" i="132"/>
  <c r="BQ61" i="132"/>
  <c r="BR61" i="132" s="1"/>
  <c r="AY61" i="132"/>
  <c r="AQ61" i="132"/>
  <c r="AR61" i="132" s="1"/>
  <c r="BN61" i="132"/>
  <c r="BO61" i="132" s="1"/>
  <c r="Y61" i="132"/>
  <c r="Z61" i="132" s="1"/>
  <c r="P61" i="132"/>
  <c r="AE61" i="132"/>
  <c r="AF61" i="132" s="1"/>
  <c r="BD61" i="132"/>
  <c r="BE61" i="132" s="1"/>
  <c r="R61" i="132"/>
  <c r="T61" i="132" s="1"/>
  <c r="O61" i="132"/>
  <c r="AC57" i="95"/>
  <c r="I96" i="161"/>
  <c r="K95" i="161"/>
  <c r="BQ95" i="161" s="1"/>
  <c r="BG94" i="161"/>
  <c r="BH94" i="161" s="1"/>
  <c r="BA94" i="161"/>
  <c r="BB94" i="161" s="1"/>
  <c r="AT94" i="161"/>
  <c r="AN94" i="161"/>
  <c r="AO94" i="161" s="1"/>
  <c r="AH94" i="161"/>
  <c r="AI94" i="161" s="1"/>
  <c r="AB94" i="161"/>
  <c r="AC94" i="161" s="1"/>
  <c r="V94" i="161"/>
  <c r="W94" i="161" s="1"/>
  <c r="O94" i="161"/>
  <c r="BR94" i="161"/>
  <c r="AY94" i="161"/>
  <c r="BD94" i="161"/>
  <c r="BE94" i="161" s="1"/>
  <c r="AQ94" i="161"/>
  <c r="AR94" i="161" s="1"/>
  <c r="AK94" i="161"/>
  <c r="AL94" i="161" s="1"/>
  <c r="AE94" i="161"/>
  <c r="AF94" i="161" s="1"/>
  <c r="Y94" i="161"/>
  <c r="Z94" i="161" s="1"/>
  <c r="R94" i="161"/>
  <c r="T94" i="161" s="1"/>
  <c r="AV94" i="161"/>
  <c r="AW94" i="161" s="1"/>
  <c r="P94" i="161"/>
  <c r="BJ94" i="161"/>
  <c r="BL94" i="161" s="1"/>
  <c r="BK94" i="161"/>
  <c r="M94" i="161"/>
  <c r="BN94" i="161"/>
  <c r="BO94" i="161" s="1"/>
  <c r="AH64" i="156"/>
  <c r="AI64" i="156" s="1"/>
  <c r="BN64" i="156"/>
  <c r="BO64" i="156" s="1"/>
  <c r="BD64" i="156"/>
  <c r="BE64" i="156" s="1"/>
  <c r="AN64" i="156"/>
  <c r="AO64" i="156" s="1"/>
  <c r="R64" i="156"/>
  <c r="T64" i="156" s="1"/>
  <c r="M64" i="156"/>
  <c r="BA64" i="156"/>
  <c r="BB64" i="156" s="1"/>
  <c r="Y64" i="156"/>
  <c r="Z64" i="156" s="1"/>
  <c r="BQ64" i="156"/>
  <c r="BR64" i="156" s="1"/>
  <c r="O64" i="156"/>
  <c r="BG64" i="156"/>
  <c r="BH64" i="156" s="1"/>
  <c r="AE64" i="156"/>
  <c r="AF64" i="156" s="1"/>
  <c r="V64" i="156"/>
  <c r="W64" i="156" s="1"/>
  <c r="P64" i="156"/>
  <c r="AK64" i="156"/>
  <c r="AL64" i="156" s="1"/>
  <c r="BL64" i="156"/>
  <c r="AB64" i="156"/>
  <c r="AC64" i="156" s="1"/>
  <c r="AV64" i="156"/>
  <c r="AW64" i="156" s="1"/>
  <c r="AQ64" i="156"/>
  <c r="AR64" i="156" s="1"/>
  <c r="BN59" i="112"/>
  <c r="BO59" i="112" s="1"/>
  <c r="AK59" i="112"/>
  <c r="AL59" i="112" s="1"/>
  <c r="BA59" i="112"/>
  <c r="BB59" i="112" s="1"/>
  <c r="Y59" i="112"/>
  <c r="Z59" i="112" s="1"/>
  <c r="K60" i="112"/>
  <c r="AT59" i="112"/>
  <c r="AB59" i="112"/>
  <c r="AC59" i="112" s="1"/>
  <c r="AH59" i="112"/>
  <c r="AI59" i="112" s="1"/>
  <c r="BK59" i="112"/>
  <c r="BQ59" i="112"/>
  <c r="BR59" i="112" s="1"/>
  <c r="O59" i="112"/>
  <c r="AE59" i="112"/>
  <c r="AF59" i="112" s="1"/>
  <c r="M59" i="112"/>
  <c r="BG59" i="112"/>
  <c r="BH59" i="112" s="1"/>
  <c r="AV59" i="112"/>
  <c r="AW59" i="112" s="1"/>
  <c r="BD59" i="112"/>
  <c r="BE59" i="112" s="1"/>
  <c r="BJ59" i="112"/>
  <c r="BL59" i="112" s="1"/>
  <c r="P59" i="112"/>
  <c r="AY59" i="112"/>
  <c r="V59" i="112"/>
  <c r="W59" i="112" s="1"/>
  <c r="AQ59" i="112"/>
  <c r="AR59" i="112" s="1"/>
  <c r="AN59" i="112"/>
  <c r="AO59" i="112" s="1"/>
  <c r="R59" i="112"/>
  <c r="T59" i="112" s="1"/>
  <c r="BL62" i="133"/>
  <c r="BD62" i="133"/>
  <c r="BE62" i="133" s="1"/>
  <c r="AE62" i="133"/>
  <c r="AF62" i="133" s="1"/>
  <c r="O62" i="133"/>
  <c r="BN62" i="133"/>
  <c r="BO62" i="133" s="1"/>
  <c r="R62" i="133"/>
  <c r="T62" i="133" s="1"/>
  <c r="AB62" i="133"/>
  <c r="AC62" i="133" s="1"/>
  <c r="AY62" i="133"/>
  <c r="AT62" i="133"/>
  <c r="V62" i="133"/>
  <c r="W62" i="133" s="1"/>
  <c r="AH62" i="133"/>
  <c r="AI62" i="133" s="1"/>
  <c r="K63" i="133"/>
  <c r="Y62" i="133"/>
  <c r="Z62" i="133" s="1"/>
  <c r="BQ62" i="133"/>
  <c r="BR62" i="133" s="1"/>
  <c r="BA62" i="133"/>
  <c r="BB62" i="133" s="1"/>
  <c r="AV62" i="133"/>
  <c r="AW62" i="133" s="1"/>
  <c r="AN62" i="133"/>
  <c r="AO62" i="133" s="1"/>
  <c r="AK62" i="133"/>
  <c r="AL62" i="133" s="1"/>
  <c r="M62" i="133"/>
  <c r="AQ62" i="133"/>
  <c r="AR62" i="133" s="1"/>
  <c r="P62" i="133"/>
  <c r="BG62" i="133"/>
  <c r="BH62" i="133" s="1"/>
  <c r="I66" i="156"/>
  <c r="K65" i="156"/>
  <c r="AY65" i="156" s="1"/>
  <c r="BJ59" i="106"/>
  <c r="BL59" i="106" s="1"/>
  <c r="Y59" i="106"/>
  <c r="Z59" i="106" s="1"/>
  <c r="BA59" i="106"/>
  <c r="BB59" i="106" s="1"/>
  <c r="P59" i="106"/>
  <c r="AQ59" i="106"/>
  <c r="AR59" i="106" s="1"/>
  <c r="BD59" i="106"/>
  <c r="BE59" i="106" s="1"/>
  <c r="AY59" i="106"/>
  <c r="BQ59" i="106"/>
  <c r="BR59" i="106" s="1"/>
  <c r="AT59" i="106"/>
  <c r="AE59" i="106"/>
  <c r="AF59" i="106" s="1"/>
  <c r="M59" i="106"/>
  <c r="AK59" i="106"/>
  <c r="AL59" i="106" s="1"/>
  <c r="V59" i="106"/>
  <c r="W59" i="106" s="1"/>
  <c r="AH59" i="106"/>
  <c r="AI59" i="106" s="1"/>
  <c r="BN59" i="106"/>
  <c r="BO59" i="106" s="1"/>
  <c r="AB59" i="106"/>
  <c r="AC59" i="106" s="1"/>
  <c r="BG59" i="106"/>
  <c r="BH59" i="106" s="1"/>
  <c r="AN59" i="106"/>
  <c r="AO59" i="106" s="1"/>
  <c r="BK59" i="106"/>
  <c r="O59" i="106"/>
  <c r="R59" i="106"/>
  <c r="T59" i="106" s="1"/>
  <c r="AV59" i="106"/>
  <c r="AW59" i="106" s="1"/>
  <c r="K60" i="106"/>
  <c r="BN58" i="95"/>
  <c r="BO58" i="95" s="1"/>
  <c r="BD58" i="95"/>
  <c r="BE58" i="95" s="1"/>
  <c r="AH58" i="95"/>
  <c r="AI58" i="95" s="1"/>
  <c r="AT58" i="95"/>
  <c r="BL58" i="95"/>
  <c r="V58" i="95"/>
  <c r="W58" i="95" s="1"/>
  <c r="R58" i="95"/>
  <c r="T58" i="95" s="1"/>
  <c r="K59" i="95"/>
  <c r="AN58" i="95"/>
  <c r="AO58" i="95" s="1"/>
  <c r="AQ58" i="95"/>
  <c r="AR58" i="95" s="1"/>
  <c r="AK58" i="95"/>
  <c r="AL58" i="95" s="1"/>
  <c r="O58" i="95"/>
  <c r="Y58" i="95"/>
  <c r="Z58" i="95" s="1"/>
  <c r="AB58" i="95"/>
  <c r="BA58" i="95"/>
  <c r="BB58" i="95" s="1"/>
  <c r="AV58" i="95"/>
  <c r="AW58" i="95" s="1"/>
  <c r="P58" i="95"/>
  <c r="M58" i="95"/>
  <c r="BQ58" i="95"/>
  <c r="BR58" i="95" s="1"/>
  <c r="AE58" i="95"/>
  <c r="AF58" i="95" s="1"/>
  <c r="BG58" i="95"/>
  <c r="BH58" i="95" s="1"/>
  <c r="AH60" i="129"/>
  <c r="AI60" i="129" s="1"/>
  <c r="O60" i="129"/>
  <c r="R60" i="129"/>
  <c r="T60" i="129" s="1"/>
  <c r="Y60" i="129"/>
  <c r="Z60" i="129" s="1"/>
  <c r="BD60" i="129"/>
  <c r="BE60" i="129" s="1"/>
  <c r="AK60" i="129"/>
  <c r="AL60" i="129" s="1"/>
  <c r="K61" i="129"/>
  <c r="AY60" i="129"/>
  <c r="P60" i="129"/>
  <c r="AB60" i="129"/>
  <c r="AC60" i="129" s="1"/>
  <c r="M60" i="129"/>
  <c r="AT60" i="129"/>
  <c r="AE60" i="129"/>
  <c r="AF60" i="129" s="1"/>
  <c r="AQ60" i="129"/>
  <c r="AR60" i="129" s="1"/>
  <c r="BN60" i="129"/>
  <c r="BO60" i="129" s="1"/>
  <c r="BG60" i="129"/>
  <c r="BH60" i="129" s="1"/>
  <c r="BA60" i="129"/>
  <c r="BB60" i="129" s="1"/>
  <c r="AV60" i="129"/>
  <c r="AW60" i="129" s="1"/>
  <c r="BQ60" i="129"/>
  <c r="BR60" i="129" s="1"/>
  <c r="V60" i="129"/>
  <c r="W60" i="129" s="1"/>
  <c r="AN60" i="129"/>
  <c r="AO60" i="129" s="1"/>
  <c r="BL60" i="129"/>
  <c r="K60" i="104"/>
  <c r="O59" i="104"/>
  <c r="AB59" i="104"/>
  <c r="AC59" i="104" s="1"/>
  <c r="AV59" i="104"/>
  <c r="AW59" i="104" s="1"/>
  <c r="M59" i="104"/>
  <c r="AK59" i="104"/>
  <c r="AL59" i="104" s="1"/>
  <c r="R59" i="104"/>
  <c r="T59" i="104" s="1"/>
  <c r="BQ59" i="104"/>
  <c r="BR59" i="104" s="1"/>
  <c r="BJ59" i="104"/>
  <c r="BL59" i="104" s="1"/>
  <c r="AY59" i="104"/>
  <c r="BD59" i="104"/>
  <c r="BE59" i="104" s="1"/>
  <c r="BG59" i="104"/>
  <c r="BH59" i="104" s="1"/>
  <c r="BN59" i="104"/>
  <c r="BO59" i="104" s="1"/>
  <c r="AT59" i="104"/>
  <c r="AQ59" i="104"/>
  <c r="AR59" i="104" s="1"/>
  <c r="BA59" i="104"/>
  <c r="BB59" i="104" s="1"/>
  <c r="BK59" i="104"/>
  <c r="P59" i="104"/>
  <c r="AE59" i="104"/>
  <c r="AF59" i="104" s="1"/>
  <c r="V59" i="104"/>
  <c r="W59" i="104" s="1"/>
  <c r="AH59" i="104"/>
  <c r="AI59" i="104" s="1"/>
  <c r="Y59" i="104"/>
  <c r="Z59" i="104" s="1"/>
  <c r="AN59" i="104"/>
  <c r="AO59" i="104" s="1"/>
  <c r="I66" i="106"/>
  <c r="AT52" i="150"/>
  <c r="AT52" i="156"/>
  <c r="BL60" i="130"/>
  <c r="K61" i="130"/>
  <c r="M60" i="130"/>
  <c r="BN60" i="130"/>
  <c r="BO60" i="130" s="1"/>
  <c r="BA60" i="130"/>
  <c r="BB60" i="130" s="1"/>
  <c r="AK60" i="130"/>
  <c r="AL60" i="130" s="1"/>
  <c r="P60" i="130"/>
  <c r="BD60" i="130"/>
  <c r="BE60" i="130" s="1"/>
  <c r="AN60" i="130"/>
  <c r="AO60" i="130" s="1"/>
  <c r="AT60" i="130"/>
  <c r="BQ60" i="130"/>
  <c r="BR60" i="130" s="1"/>
  <c r="Y60" i="130"/>
  <c r="Z60" i="130" s="1"/>
  <c r="AE60" i="130"/>
  <c r="AF60" i="130" s="1"/>
  <c r="R60" i="130"/>
  <c r="T60" i="130" s="1"/>
  <c r="AH60" i="130"/>
  <c r="AI60" i="130" s="1"/>
  <c r="AB60" i="130"/>
  <c r="AC60" i="130" s="1"/>
  <c r="BG60" i="130"/>
  <c r="BH60" i="130" s="1"/>
  <c r="AQ60" i="130"/>
  <c r="AR60" i="130" s="1"/>
  <c r="O60" i="130"/>
  <c r="AY60" i="130"/>
  <c r="V60" i="130"/>
  <c r="W60" i="130" s="1"/>
  <c r="AV60" i="130"/>
  <c r="AW60" i="130" s="1"/>
  <c r="BD51" i="156"/>
  <c r="BE51" i="156" s="1"/>
  <c r="AV51" i="156"/>
  <c r="AW51" i="156" s="1"/>
  <c r="AV51" i="150"/>
  <c r="AW51" i="150" s="1"/>
  <c r="BD51" i="150"/>
  <c r="BE51" i="150" s="1"/>
  <c r="O34" i="146"/>
  <c r="K66" i="155"/>
  <c r="I67" i="155"/>
  <c r="M65" i="155"/>
  <c r="BQ65" i="155"/>
  <c r="BR65" i="155" s="1"/>
  <c r="O65" i="155"/>
  <c r="V65" i="155"/>
  <c r="W65" i="155" s="1"/>
  <c r="AB65" i="155"/>
  <c r="AC65" i="155" s="1"/>
  <c r="AH65" i="155"/>
  <c r="AI65" i="155" s="1"/>
  <c r="AN65" i="155"/>
  <c r="AO65" i="155" s="1"/>
  <c r="BA65" i="155"/>
  <c r="BB65" i="155" s="1"/>
  <c r="BG65" i="155"/>
  <c r="BH65" i="155" s="1"/>
  <c r="Y65" i="155"/>
  <c r="Z65" i="155" s="1"/>
  <c r="AK65" i="155"/>
  <c r="AL65" i="155" s="1"/>
  <c r="P65" i="155"/>
  <c r="R65" i="155"/>
  <c r="T65" i="155" s="1"/>
  <c r="AE65" i="155"/>
  <c r="AF65" i="155" s="1"/>
  <c r="AQ65" i="155"/>
  <c r="AR65" i="155" s="1"/>
  <c r="BD65" i="155"/>
  <c r="BE65" i="155" s="1"/>
  <c r="BN65" i="155"/>
  <c r="BO65" i="155" s="1"/>
  <c r="AV65" i="155"/>
  <c r="AW65" i="155" s="1"/>
  <c r="BL65" i="155"/>
  <c r="BD51" i="17"/>
  <c r="BE51" i="17" s="1"/>
  <c r="AV51" i="17"/>
  <c r="AW51" i="17" s="1"/>
  <c r="AV51" i="13"/>
  <c r="AW51" i="13" s="1"/>
  <c r="BD51" i="13"/>
  <c r="BE51" i="13" s="1"/>
  <c r="A54" i="58"/>
  <c r="AT53" i="15" s="1"/>
  <c r="AT52" i="13"/>
  <c r="AT52" i="120"/>
  <c r="AT52" i="17"/>
  <c r="AV51" i="120"/>
  <c r="AW51" i="120" s="1"/>
  <c r="BD51" i="120"/>
  <c r="BE51" i="120" s="1"/>
  <c r="AV52" i="15"/>
  <c r="AW52" i="15" s="1"/>
  <c r="BD52" i="15"/>
  <c r="BE52" i="15" s="1"/>
  <c r="M65" i="153"/>
  <c r="BQ65" i="153"/>
  <c r="BR65" i="153" s="1"/>
  <c r="O65" i="153"/>
  <c r="V65" i="153"/>
  <c r="W65" i="153" s="1"/>
  <c r="AB65" i="153"/>
  <c r="AC65" i="153" s="1"/>
  <c r="AH65" i="153"/>
  <c r="AI65" i="153" s="1"/>
  <c r="AN65" i="153"/>
  <c r="AO65" i="153" s="1"/>
  <c r="BA65" i="153"/>
  <c r="BB65" i="153" s="1"/>
  <c r="BG65" i="153"/>
  <c r="BH65" i="153" s="1"/>
  <c r="P65" i="153"/>
  <c r="AV65" i="153"/>
  <c r="AW65" i="153" s="1"/>
  <c r="BN65" i="153"/>
  <c r="BO65" i="153" s="1"/>
  <c r="AK65" i="153"/>
  <c r="AL65" i="153" s="1"/>
  <c r="R65" i="153"/>
  <c r="T65" i="153" s="1"/>
  <c r="AQ65" i="153"/>
  <c r="AR65" i="153" s="1"/>
  <c r="Y65" i="153"/>
  <c r="Z65" i="153" s="1"/>
  <c r="BD65" i="153"/>
  <c r="BE65" i="153" s="1"/>
  <c r="AE65" i="153"/>
  <c r="AF65" i="153" s="1"/>
  <c r="BL65" i="153"/>
  <c r="K66" i="153"/>
  <c r="I70" i="153"/>
  <c r="M65" i="152"/>
  <c r="BQ65" i="152"/>
  <c r="BR65" i="152" s="1"/>
  <c r="O65" i="152"/>
  <c r="V65" i="152"/>
  <c r="W65" i="152" s="1"/>
  <c r="AB65" i="152"/>
  <c r="AC65" i="152" s="1"/>
  <c r="AH65" i="152"/>
  <c r="AI65" i="152" s="1"/>
  <c r="AN65" i="152"/>
  <c r="AO65" i="152" s="1"/>
  <c r="BA65" i="152"/>
  <c r="BB65" i="152" s="1"/>
  <c r="BG65" i="152"/>
  <c r="BH65" i="152" s="1"/>
  <c r="P65" i="152"/>
  <c r="AV65" i="152"/>
  <c r="AW65" i="152" s="1"/>
  <c r="BN65" i="152"/>
  <c r="BO65" i="152" s="1"/>
  <c r="R65" i="152"/>
  <c r="T65" i="152" s="1"/>
  <c r="AQ65" i="152"/>
  <c r="AR65" i="152" s="1"/>
  <c r="Y65" i="152"/>
  <c r="Z65" i="152" s="1"/>
  <c r="AE65" i="152"/>
  <c r="AF65" i="152" s="1"/>
  <c r="AK65" i="152"/>
  <c r="AL65" i="152" s="1"/>
  <c r="BD65" i="152"/>
  <c r="BE65" i="152" s="1"/>
  <c r="BL65" i="152"/>
  <c r="K66" i="152"/>
  <c r="I74" i="152"/>
  <c r="K64" i="151"/>
  <c r="I65" i="151"/>
  <c r="BD63" i="151"/>
  <c r="BE63" i="151" s="1"/>
  <c r="AQ63" i="151"/>
  <c r="AR63" i="151" s="1"/>
  <c r="AK63" i="151"/>
  <c r="AL63" i="151" s="1"/>
  <c r="AE63" i="151"/>
  <c r="AF63" i="151" s="1"/>
  <c r="Y63" i="151"/>
  <c r="Z63" i="151" s="1"/>
  <c r="R63" i="151"/>
  <c r="T63" i="151" s="1"/>
  <c r="BG63" i="151"/>
  <c r="BH63" i="151" s="1"/>
  <c r="BA63" i="151"/>
  <c r="BB63" i="151" s="1"/>
  <c r="AT63" i="151"/>
  <c r="AN63" i="151"/>
  <c r="AO63" i="151" s="1"/>
  <c r="AH63" i="151"/>
  <c r="AI63" i="151" s="1"/>
  <c r="AB63" i="151"/>
  <c r="AC63" i="151" s="1"/>
  <c r="V63" i="151"/>
  <c r="W63" i="151" s="1"/>
  <c r="O63" i="151"/>
  <c r="AV63" i="151"/>
  <c r="AW63" i="151" s="1"/>
  <c r="BQ63" i="151"/>
  <c r="BR63" i="151" s="1"/>
  <c r="P63" i="151"/>
  <c r="AY63" i="151"/>
  <c r="M63" i="151"/>
  <c r="BN63" i="151"/>
  <c r="BO63" i="151" s="1"/>
  <c r="BL63" i="151"/>
  <c r="I66" i="150"/>
  <c r="BQ62" i="150"/>
  <c r="BR62" i="150" s="1"/>
  <c r="AY62" i="150"/>
  <c r="BD62" i="150"/>
  <c r="BE62" i="150" s="1"/>
  <c r="AQ62" i="150"/>
  <c r="AR62" i="150" s="1"/>
  <c r="AK62" i="150"/>
  <c r="AL62" i="150" s="1"/>
  <c r="AE62" i="150"/>
  <c r="AF62" i="150" s="1"/>
  <c r="Y62" i="150"/>
  <c r="Z62" i="150" s="1"/>
  <c r="R62" i="150"/>
  <c r="T62" i="150" s="1"/>
  <c r="P62" i="150"/>
  <c r="BA62" i="150"/>
  <c r="BB62" i="150" s="1"/>
  <c r="AN62" i="150"/>
  <c r="AO62" i="150" s="1"/>
  <c r="AB62" i="150"/>
  <c r="AC62" i="150" s="1"/>
  <c r="O62" i="150"/>
  <c r="AV62" i="150"/>
  <c r="AW62" i="150" s="1"/>
  <c r="V62" i="150"/>
  <c r="W62" i="150" s="1"/>
  <c r="AH62" i="150"/>
  <c r="AI62" i="150" s="1"/>
  <c r="BG62" i="150"/>
  <c r="BH62" i="150" s="1"/>
  <c r="AT62" i="150"/>
  <c r="M62" i="150"/>
  <c r="BN62" i="150"/>
  <c r="BO62" i="150" s="1"/>
  <c r="BL62" i="150"/>
  <c r="K63" i="150"/>
  <c r="K65" i="149"/>
  <c r="AT65" i="149" s="1"/>
  <c r="I66" i="149"/>
  <c r="BQ64" i="149"/>
  <c r="BR64" i="149" s="1"/>
  <c r="AY64" i="149"/>
  <c r="BD64" i="149"/>
  <c r="BE64" i="149" s="1"/>
  <c r="AQ64" i="149"/>
  <c r="AR64" i="149" s="1"/>
  <c r="AK64" i="149"/>
  <c r="AL64" i="149" s="1"/>
  <c r="AE64" i="149"/>
  <c r="AF64" i="149" s="1"/>
  <c r="Y64" i="149"/>
  <c r="Z64" i="149" s="1"/>
  <c r="R64" i="149"/>
  <c r="T64" i="149" s="1"/>
  <c r="P64" i="149"/>
  <c r="AV64" i="149"/>
  <c r="AW64" i="149" s="1"/>
  <c r="V64" i="149"/>
  <c r="W64" i="149" s="1"/>
  <c r="AN64" i="149"/>
  <c r="AO64" i="149" s="1"/>
  <c r="O64" i="149"/>
  <c r="BG64" i="149"/>
  <c r="BH64" i="149" s="1"/>
  <c r="AH64" i="149"/>
  <c r="AI64" i="149" s="1"/>
  <c r="BA64" i="149"/>
  <c r="BB64" i="149" s="1"/>
  <c r="AB64" i="149"/>
  <c r="AC64" i="149" s="1"/>
  <c r="BN64" i="149"/>
  <c r="BO64" i="149" s="1"/>
  <c r="M64" i="149"/>
  <c r="BL64" i="149"/>
  <c r="BG63" i="147"/>
  <c r="BH63" i="147" s="1"/>
  <c r="BA63" i="147"/>
  <c r="BB63" i="147" s="1"/>
  <c r="AT63" i="147"/>
  <c r="AN63" i="147"/>
  <c r="AO63" i="147" s="1"/>
  <c r="AH63" i="147"/>
  <c r="AI63" i="147" s="1"/>
  <c r="AB63" i="147"/>
  <c r="AC63" i="147" s="1"/>
  <c r="V63" i="147"/>
  <c r="W63" i="147" s="1"/>
  <c r="O63" i="147"/>
  <c r="BQ63" i="147"/>
  <c r="BR63" i="147" s="1"/>
  <c r="AY63" i="147"/>
  <c r="BD63" i="147"/>
  <c r="BE63" i="147" s="1"/>
  <c r="AQ63" i="147"/>
  <c r="AR63" i="147" s="1"/>
  <c r="AE63" i="147"/>
  <c r="AF63" i="147" s="1"/>
  <c r="R63" i="147"/>
  <c r="T63" i="147" s="1"/>
  <c r="P63" i="147"/>
  <c r="AK63" i="147"/>
  <c r="AL63" i="147" s="1"/>
  <c r="Y63" i="147"/>
  <c r="Z63" i="147" s="1"/>
  <c r="AV63" i="147"/>
  <c r="AW63" i="147" s="1"/>
  <c r="BN63" i="147"/>
  <c r="BO63" i="147" s="1"/>
  <c r="M63" i="147"/>
  <c r="BK63" i="147"/>
  <c r="BJ63" i="147"/>
  <c r="BL63" i="147" s="1"/>
  <c r="K64" i="147"/>
  <c r="I65" i="147"/>
  <c r="V36" i="147"/>
  <c r="W36" i="147" s="1"/>
  <c r="V34" i="146"/>
  <c r="W34" i="146" s="1"/>
  <c r="P35" i="146"/>
  <c r="I64" i="146"/>
  <c r="K63" i="146"/>
  <c r="BD62" i="146"/>
  <c r="BE62" i="146" s="1"/>
  <c r="AQ62" i="146"/>
  <c r="AR62" i="146" s="1"/>
  <c r="AK62" i="146"/>
  <c r="AL62" i="146" s="1"/>
  <c r="AE62" i="146"/>
  <c r="AF62" i="146" s="1"/>
  <c r="Y62" i="146"/>
  <c r="Z62" i="146" s="1"/>
  <c r="R62" i="146"/>
  <c r="T62" i="146" s="1"/>
  <c r="AV62" i="146"/>
  <c r="AW62" i="146" s="1"/>
  <c r="P62" i="146"/>
  <c r="BG62" i="146"/>
  <c r="BH62" i="146" s="1"/>
  <c r="BA62" i="146"/>
  <c r="BB62" i="146" s="1"/>
  <c r="AT62" i="146"/>
  <c r="AN62" i="146"/>
  <c r="AO62" i="146" s="1"/>
  <c r="AH62" i="146"/>
  <c r="AI62" i="146" s="1"/>
  <c r="AB62" i="146"/>
  <c r="AC62" i="146" s="1"/>
  <c r="V62" i="146"/>
  <c r="W62" i="146" s="1"/>
  <c r="O62" i="146"/>
  <c r="AY62" i="146"/>
  <c r="BQ62" i="146"/>
  <c r="BR62" i="146" s="1"/>
  <c r="BJ62" i="146"/>
  <c r="BL62" i="146" s="1"/>
  <c r="BK62" i="146"/>
  <c r="M62" i="146"/>
  <c r="BN62" i="146"/>
  <c r="BO62" i="146" s="1"/>
  <c r="I67" i="132"/>
  <c r="M61" i="135"/>
  <c r="AK61" i="135"/>
  <c r="AL61" i="135" s="1"/>
  <c r="AT61" i="135"/>
  <c r="AN61" i="135"/>
  <c r="AO61" i="135" s="1"/>
  <c r="AY61" i="135"/>
  <c r="BD61" i="135"/>
  <c r="BE61" i="135" s="1"/>
  <c r="BQ61" i="135"/>
  <c r="BR61" i="135" s="1"/>
  <c r="AE61" i="135"/>
  <c r="AF61" i="135" s="1"/>
  <c r="BG61" i="135"/>
  <c r="BH61" i="135" s="1"/>
  <c r="AH61" i="135"/>
  <c r="AI61" i="135" s="1"/>
  <c r="AB61" i="135"/>
  <c r="AC61" i="135" s="1"/>
  <c r="BN61" i="135"/>
  <c r="BO61" i="135" s="1"/>
  <c r="BA61" i="135"/>
  <c r="BB61" i="135" s="1"/>
  <c r="Y61" i="135"/>
  <c r="Z61" i="135" s="1"/>
  <c r="O61" i="135"/>
  <c r="AQ61" i="135"/>
  <c r="AR61" i="135" s="1"/>
  <c r="R61" i="135"/>
  <c r="T61" i="135" s="1"/>
  <c r="P61" i="135"/>
  <c r="V61" i="135"/>
  <c r="W61" i="135" s="1"/>
  <c r="AV61" i="135"/>
  <c r="AW61" i="135" s="1"/>
  <c r="BL61" i="135"/>
  <c r="AQ58" i="120"/>
  <c r="AR58" i="120" s="1"/>
  <c r="AN58" i="120"/>
  <c r="AO58" i="120" s="1"/>
  <c r="AB58" i="120"/>
  <c r="AC58" i="120" s="1"/>
  <c r="BQ58" i="120"/>
  <c r="BR58" i="120" s="1"/>
  <c r="AH58" i="120"/>
  <c r="AI58" i="120" s="1"/>
  <c r="AE58" i="120"/>
  <c r="AF58" i="120" s="1"/>
  <c r="Y58" i="120"/>
  <c r="Z58" i="120" s="1"/>
  <c r="V58" i="120"/>
  <c r="W58" i="120" s="1"/>
  <c r="BA58" i="120"/>
  <c r="BB58" i="120" s="1"/>
  <c r="AT58" i="120"/>
  <c r="O58" i="120"/>
  <c r="P58" i="120"/>
  <c r="M58" i="120"/>
  <c r="R58" i="120"/>
  <c r="T58" i="120" s="1"/>
  <c r="AV58" i="120"/>
  <c r="AW58" i="120" s="1"/>
  <c r="BG58" i="120"/>
  <c r="BH58" i="120" s="1"/>
  <c r="BD58" i="120"/>
  <c r="BE58" i="120" s="1"/>
  <c r="K59" i="120"/>
  <c r="AY58" i="120"/>
  <c r="AK58" i="120"/>
  <c r="AL58" i="120" s="1"/>
  <c r="BN58" i="120"/>
  <c r="BO58" i="120" s="1"/>
  <c r="I67" i="105"/>
  <c r="I66" i="136"/>
  <c r="I69" i="95"/>
  <c r="BN64" i="124"/>
  <c r="BO64" i="124" s="1"/>
  <c r="M64" i="124"/>
  <c r="BK64" i="124"/>
  <c r="BJ64" i="124"/>
  <c r="BL64" i="124" s="1"/>
  <c r="K65" i="124"/>
  <c r="AQ64" i="124"/>
  <c r="AR64" i="124" s="1"/>
  <c r="BQ64" i="124"/>
  <c r="BR64" i="124" s="1"/>
  <c r="BA64" i="124"/>
  <c r="BB64" i="124" s="1"/>
  <c r="O64" i="124"/>
  <c r="BG64" i="124"/>
  <c r="BH64" i="124" s="1"/>
  <c r="AK64" i="124"/>
  <c r="AL64" i="124" s="1"/>
  <c r="AN64" i="124"/>
  <c r="AO64" i="124" s="1"/>
  <c r="AB64" i="124"/>
  <c r="AC64" i="124" s="1"/>
  <c r="AH64" i="124"/>
  <c r="AI64" i="124" s="1"/>
  <c r="BD64" i="124"/>
  <c r="BE64" i="124" s="1"/>
  <c r="R64" i="124"/>
  <c r="T64" i="124" s="1"/>
  <c r="AV64" i="124"/>
  <c r="AW64" i="124" s="1"/>
  <c r="V64" i="124"/>
  <c r="W64" i="124" s="1"/>
  <c r="AE64" i="124"/>
  <c r="AF64" i="124" s="1"/>
  <c r="Y64" i="124"/>
  <c r="Z64" i="124" s="1"/>
  <c r="AT64" i="124"/>
  <c r="AY64" i="124"/>
  <c r="P64" i="124"/>
  <c r="BN58" i="17"/>
  <c r="BO58" i="17" s="1"/>
  <c r="M58" i="17"/>
  <c r="BL58" i="17"/>
  <c r="R58" i="17"/>
  <c r="T58" i="17" s="1"/>
  <c r="AH58" i="17"/>
  <c r="AI58" i="17" s="1"/>
  <c r="AE58" i="17"/>
  <c r="AF58" i="17" s="1"/>
  <c r="BD58" i="17"/>
  <c r="BE58" i="17" s="1"/>
  <c r="AB58" i="17"/>
  <c r="AC58" i="17" s="1"/>
  <c r="AV58" i="17"/>
  <c r="AW58" i="17" s="1"/>
  <c r="P58" i="17"/>
  <c r="V58" i="17"/>
  <c r="W58" i="17" s="1"/>
  <c r="BA58" i="17"/>
  <c r="BB58" i="17" s="1"/>
  <c r="AQ58" i="17"/>
  <c r="AR58" i="17" s="1"/>
  <c r="AK58" i="17"/>
  <c r="AL58" i="17" s="1"/>
  <c r="O58" i="17"/>
  <c r="BG58" i="17"/>
  <c r="BH58" i="17" s="1"/>
  <c r="AY58" i="17"/>
  <c r="BQ58" i="17"/>
  <c r="BR58" i="17" s="1"/>
  <c r="AT58" i="17"/>
  <c r="Y58" i="17"/>
  <c r="Z58" i="17" s="1"/>
  <c r="AN58" i="17"/>
  <c r="AO58" i="17" s="1"/>
  <c r="BG60" i="96"/>
  <c r="BH60" i="96" s="1"/>
  <c r="BQ60" i="96"/>
  <c r="BR60" i="96" s="1"/>
  <c r="AQ60" i="96"/>
  <c r="AR60" i="96" s="1"/>
  <c r="P60" i="96"/>
  <c r="V60" i="96"/>
  <c r="W60" i="96" s="1"/>
  <c r="AH60" i="96"/>
  <c r="AI60" i="96" s="1"/>
  <c r="M60" i="96"/>
  <c r="AV60" i="96"/>
  <c r="AW60" i="96" s="1"/>
  <c r="O60" i="96"/>
  <c r="AK60" i="96"/>
  <c r="AL60" i="96" s="1"/>
  <c r="AE60" i="96"/>
  <c r="AF60" i="96" s="1"/>
  <c r="BA60" i="96"/>
  <c r="BB60" i="96" s="1"/>
  <c r="R60" i="96"/>
  <c r="T60" i="96" s="1"/>
  <c r="BD60" i="96"/>
  <c r="BE60" i="96" s="1"/>
  <c r="BN60" i="96"/>
  <c r="BO60" i="96" s="1"/>
  <c r="AB60" i="96"/>
  <c r="AN60" i="96"/>
  <c r="AO60" i="96" s="1"/>
  <c r="AT60" i="96"/>
  <c r="Y60" i="96"/>
  <c r="Z60" i="96" s="1"/>
  <c r="BL60" i="96"/>
  <c r="M60" i="98"/>
  <c r="K61" i="98"/>
  <c r="BJ60" i="98"/>
  <c r="BL60" i="98" s="1"/>
  <c r="BN60" i="98"/>
  <c r="BO60" i="98" s="1"/>
  <c r="BK60" i="98"/>
  <c r="AY60" i="98"/>
  <c r="BQ60" i="98"/>
  <c r="BR60" i="98" s="1"/>
  <c r="R60" i="98"/>
  <c r="T60" i="98" s="1"/>
  <c r="AK60" i="98"/>
  <c r="AL60" i="98" s="1"/>
  <c r="AQ60" i="98"/>
  <c r="AR60" i="98" s="1"/>
  <c r="AB60" i="98"/>
  <c r="AC60" i="98" s="1"/>
  <c r="BA60" i="98"/>
  <c r="BB60" i="98" s="1"/>
  <c r="P60" i="98"/>
  <c r="AH60" i="98"/>
  <c r="AI60" i="98" s="1"/>
  <c r="Y60" i="98"/>
  <c r="Z60" i="98" s="1"/>
  <c r="AE60" i="98"/>
  <c r="AF60" i="98" s="1"/>
  <c r="AN60" i="98"/>
  <c r="AO60" i="98" s="1"/>
  <c r="V60" i="98"/>
  <c r="W60" i="98" s="1"/>
  <c r="O60" i="98"/>
  <c r="AT60" i="98"/>
  <c r="AV60" i="98"/>
  <c r="AW60" i="98" s="1"/>
  <c r="BG60" i="98"/>
  <c r="BH60" i="98" s="1"/>
  <c r="BD60" i="98"/>
  <c r="BE60" i="98" s="1"/>
  <c r="I66" i="64"/>
  <c r="M62" i="136"/>
  <c r="BN62" i="136"/>
  <c r="BO62" i="136" s="1"/>
  <c r="BL62" i="136"/>
  <c r="BD62" i="136"/>
  <c r="BE62" i="136" s="1"/>
  <c r="O62" i="136"/>
  <c r="AT62" i="136"/>
  <c r="AV62" i="136"/>
  <c r="AW62" i="136" s="1"/>
  <c r="AK62" i="136"/>
  <c r="AL62" i="136" s="1"/>
  <c r="AQ62" i="136"/>
  <c r="AR62" i="136" s="1"/>
  <c r="AH62" i="136"/>
  <c r="AI62" i="136" s="1"/>
  <c r="AE62" i="136"/>
  <c r="AF62" i="136" s="1"/>
  <c r="R62" i="136"/>
  <c r="T62" i="136" s="1"/>
  <c r="BQ62" i="136"/>
  <c r="BR62" i="136" s="1"/>
  <c r="AB62" i="136"/>
  <c r="AC62" i="136" s="1"/>
  <c r="BA62" i="136"/>
  <c r="BB62" i="136" s="1"/>
  <c r="AN62" i="136"/>
  <c r="AO62" i="136" s="1"/>
  <c r="V62" i="136"/>
  <c r="W62" i="136" s="1"/>
  <c r="BG62" i="136"/>
  <c r="BH62" i="136" s="1"/>
  <c r="AY62" i="136"/>
  <c r="Y62" i="136"/>
  <c r="Z62" i="136" s="1"/>
  <c r="P62" i="136"/>
  <c r="K63" i="136"/>
  <c r="I63" i="135"/>
  <c r="K62" i="135"/>
  <c r="M60" i="115"/>
  <c r="BK60" i="115"/>
  <c r="BJ60" i="115"/>
  <c r="BL60" i="115" s="1"/>
  <c r="BN60" i="115"/>
  <c r="BO60" i="115" s="1"/>
  <c r="V60" i="115"/>
  <c r="W60" i="115" s="1"/>
  <c r="AY60" i="115"/>
  <c r="AQ60" i="115"/>
  <c r="AR60" i="115" s="1"/>
  <c r="BQ60" i="115"/>
  <c r="BR60" i="115" s="1"/>
  <c r="BD60" i="115"/>
  <c r="BE60" i="115" s="1"/>
  <c r="AB60" i="115"/>
  <c r="AC60" i="115" s="1"/>
  <c r="BA60" i="115"/>
  <c r="BB60" i="115" s="1"/>
  <c r="AE60" i="115"/>
  <c r="AF60" i="115" s="1"/>
  <c r="AN60" i="115"/>
  <c r="AO60" i="115" s="1"/>
  <c r="AH60" i="115"/>
  <c r="AI60" i="115" s="1"/>
  <c r="AV60" i="115"/>
  <c r="AW60" i="115" s="1"/>
  <c r="R60" i="115"/>
  <c r="T60" i="115" s="1"/>
  <c r="O60" i="115"/>
  <c r="P60" i="115"/>
  <c r="BG60" i="115"/>
  <c r="BH60" i="115" s="1"/>
  <c r="Y60" i="115"/>
  <c r="Z60" i="115" s="1"/>
  <c r="AK60" i="115"/>
  <c r="AL60" i="115" s="1"/>
  <c r="AT60" i="115"/>
  <c r="BJ60" i="114"/>
  <c r="BL60" i="114" s="1"/>
  <c r="BK60" i="114"/>
  <c r="BN60" i="114"/>
  <c r="BO60" i="114" s="1"/>
  <c r="M60" i="114"/>
  <c r="BD60" i="114"/>
  <c r="BE60" i="114" s="1"/>
  <c r="AB60" i="114"/>
  <c r="AC60" i="114" s="1"/>
  <c r="AQ60" i="114"/>
  <c r="AR60" i="114" s="1"/>
  <c r="O60" i="114"/>
  <c r="AT60" i="114"/>
  <c r="AV60" i="114"/>
  <c r="AW60" i="114" s="1"/>
  <c r="AN60" i="114"/>
  <c r="AO60" i="114" s="1"/>
  <c r="BG60" i="114"/>
  <c r="BH60" i="114" s="1"/>
  <c r="AK60" i="114"/>
  <c r="AL60" i="114" s="1"/>
  <c r="Y60" i="114"/>
  <c r="Z60" i="114" s="1"/>
  <c r="AE60" i="114"/>
  <c r="AF60" i="114" s="1"/>
  <c r="R60" i="114"/>
  <c r="T60" i="114" s="1"/>
  <c r="BA60" i="114"/>
  <c r="BB60" i="114" s="1"/>
  <c r="AH60" i="114"/>
  <c r="AI60" i="114" s="1"/>
  <c r="P60" i="114"/>
  <c r="BQ60" i="114"/>
  <c r="BR60" i="114" s="1"/>
  <c r="AY60" i="114"/>
  <c r="V60" i="114"/>
  <c r="W60" i="114" s="1"/>
  <c r="K61" i="114"/>
  <c r="M60" i="63"/>
  <c r="BN60" i="63"/>
  <c r="BO60" i="63" s="1"/>
  <c r="BA60" i="63"/>
  <c r="BB60" i="63" s="1"/>
  <c r="P60" i="63"/>
  <c r="AE60" i="63"/>
  <c r="AF60" i="63" s="1"/>
  <c r="AN60" i="63"/>
  <c r="AO60" i="63" s="1"/>
  <c r="AQ60" i="63"/>
  <c r="AR60" i="63" s="1"/>
  <c r="AK60" i="63"/>
  <c r="AL60" i="63" s="1"/>
  <c r="AT60" i="63"/>
  <c r="V60" i="63"/>
  <c r="W60" i="63" s="1"/>
  <c r="O60" i="63"/>
  <c r="AB60" i="63"/>
  <c r="AC60" i="63" s="1"/>
  <c r="AV60" i="63"/>
  <c r="AW60" i="63" s="1"/>
  <c r="R60" i="63"/>
  <c r="T60" i="63" s="1"/>
  <c r="BQ60" i="63"/>
  <c r="BR60" i="63" s="1"/>
  <c r="BG60" i="63"/>
  <c r="BH60" i="63" s="1"/>
  <c r="BD60" i="63"/>
  <c r="BE60" i="63" s="1"/>
  <c r="AY60" i="63"/>
  <c r="Y60" i="63"/>
  <c r="Z60" i="63" s="1"/>
  <c r="AH60" i="63"/>
  <c r="AI60" i="63" s="1"/>
  <c r="BL60" i="63"/>
  <c r="K61" i="63"/>
  <c r="I75" i="133"/>
  <c r="I60" i="13"/>
  <c r="K59" i="13"/>
  <c r="I64" i="15"/>
  <c r="I64" i="104"/>
  <c r="I60" i="17"/>
  <c r="K59" i="17"/>
  <c r="I66" i="114"/>
  <c r="AV59" i="118"/>
  <c r="AW59" i="118" s="1"/>
  <c r="M59" i="118"/>
  <c r="K60" i="118"/>
  <c r="BN59" i="118"/>
  <c r="BO59" i="118" s="1"/>
  <c r="BQ59" i="118"/>
  <c r="BR59" i="118" s="1"/>
  <c r="AB59" i="118"/>
  <c r="AC59" i="118" s="1"/>
  <c r="BA59" i="118"/>
  <c r="BB59" i="118" s="1"/>
  <c r="AT59" i="118"/>
  <c r="R59" i="118"/>
  <c r="T59" i="118" s="1"/>
  <c r="V59" i="118"/>
  <c r="W59" i="118" s="1"/>
  <c r="AE59" i="118"/>
  <c r="AF59" i="118" s="1"/>
  <c r="AN59" i="118"/>
  <c r="AO59" i="118" s="1"/>
  <c r="AH59" i="118"/>
  <c r="AI59" i="118" s="1"/>
  <c r="BG59" i="118"/>
  <c r="BH59" i="118" s="1"/>
  <c r="AQ59" i="118"/>
  <c r="AR59" i="118" s="1"/>
  <c r="AY59" i="118"/>
  <c r="O59" i="118"/>
  <c r="BD59" i="118"/>
  <c r="BE59" i="118" s="1"/>
  <c r="AK59" i="118"/>
  <c r="AL59" i="118" s="1"/>
  <c r="Y59" i="118"/>
  <c r="Z59" i="118" s="1"/>
  <c r="P59" i="118"/>
  <c r="I62" i="96"/>
  <c r="K61" i="96"/>
  <c r="BL59" i="15"/>
  <c r="M59" i="15"/>
  <c r="BN59" i="15"/>
  <c r="BO59" i="15" s="1"/>
  <c r="AK59" i="15"/>
  <c r="AL59" i="15" s="1"/>
  <c r="AQ59" i="15"/>
  <c r="AR59" i="15" s="1"/>
  <c r="AH59" i="15"/>
  <c r="AI59" i="15" s="1"/>
  <c r="BA59" i="15"/>
  <c r="BB59" i="15" s="1"/>
  <c r="AN59" i="15"/>
  <c r="AO59" i="15" s="1"/>
  <c r="AB59" i="15"/>
  <c r="AC59" i="15" s="1"/>
  <c r="P59" i="15"/>
  <c r="BD59" i="15"/>
  <c r="BE59" i="15" s="1"/>
  <c r="Y59" i="15"/>
  <c r="Z59" i="15" s="1"/>
  <c r="AT59" i="15"/>
  <c r="AV59" i="15"/>
  <c r="AW59" i="15" s="1"/>
  <c r="BQ59" i="15"/>
  <c r="BR59" i="15" s="1"/>
  <c r="R59" i="15"/>
  <c r="T59" i="15" s="1"/>
  <c r="AE59" i="15"/>
  <c r="AF59" i="15" s="1"/>
  <c r="BG59" i="15"/>
  <c r="BH59" i="15" s="1"/>
  <c r="V59" i="15"/>
  <c r="W59" i="15" s="1"/>
  <c r="O59" i="15"/>
  <c r="AY59" i="15"/>
  <c r="K60" i="15"/>
  <c r="I65" i="63"/>
  <c r="I65" i="126"/>
  <c r="AC59" i="96"/>
  <c r="M60" i="110"/>
  <c r="BN60" i="110"/>
  <c r="BO60" i="110" s="1"/>
  <c r="BJ60" i="110"/>
  <c r="BL60" i="110" s="1"/>
  <c r="BK60" i="110"/>
  <c r="AT60" i="110"/>
  <c r="P60" i="110"/>
  <c r="BA60" i="110"/>
  <c r="BB60" i="110" s="1"/>
  <c r="AE60" i="110"/>
  <c r="AF60" i="110" s="1"/>
  <c r="AB60" i="110"/>
  <c r="AC60" i="110" s="1"/>
  <c r="AK60" i="110"/>
  <c r="AL60" i="110" s="1"/>
  <c r="V60" i="110"/>
  <c r="W60" i="110" s="1"/>
  <c r="R60" i="110"/>
  <c r="T60" i="110" s="1"/>
  <c r="AV60" i="110"/>
  <c r="AW60" i="110" s="1"/>
  <c r="BG60" i="110"/>
  <c r="BH60" i="110" s="1"/>
  <c r="AH60" i="110"/>
  <c r="AI60" i="110" s="1"/>
  <c r="Y60" i="110"/>
  <c r="Z60" i="110" s="1"/>
  <c r="AQ60" i="110"/>
  <c r="AR60" i="110" s="1"/>
  <c r="O60" i="110"/>
  <c r="BD60" i="110"/>
  <c r="BE60" i="110" s="1"/>
  <c r="AN60" i="110"/>
  <c r="AO60" i="110" s="1"/>
  <c r="AY60" i="110"/>
  <c r="BQ60" i="110"/>
  <c r="BR60" i="110" s="1"/>
  <c r="I62" i="115"/>
  <c r="K61" i="115"/>
  <c r="M59" i="101"/>
  <c r="P59" i="101"/>
  <c r="BA59" i="101"/>
  <c r="BB59" i="101" s="1"/>
  <c r="AY59" i="101"/>
  <c r="BD59" i="101"/>
  <c r="BE59" i="101" s="1"/>
  <c r="BQ59" i="101"/>
  <c r="BR59" i="101" s="1"/>
  <c r="AQ59" i="101"/>
  <c r="AR59" i="101" s="1"/>
  <c r="BG59" i="101"/>
  <c r="BH59" i="101" s="1"/>
  <c r="AH59" i="101"/>
  <c r="AI59" i="101" s="1"/>
  <c r="O59" i="101"/>
  <c r="Y59" i="101"/>
  <c r="Z59" i="101" s="1"/>
  <c r="AK59" i="101"/>
  <c r="AL59" i="101" s="1"/>
  <c r="AB59" i="101"/>
  <c r="AC59" i="101" s="1"/>
  <c r="AN59" i="101"/>
  <c r="AO59" i="101" s="1"/>
  <c r="R59" i="101"/>
  <c r="T59" i="101" s="1"/>
  <c r="AT59" i="101"/>
  <c r="V59" i="101"/>
  <c r="W59" i="101" s="1"/>
  <c r="AV59" i="101"/>
  <c r="AW59" i="101" s="1"/>
  <c r="AE59" i="101"/>
  <c r="AF59" i="101" s="1"/>
  <c r="M62" i="105"/>
  <c r="BK62" i="105"/>
  <c r="BN62" i="105"/>
  <c r="BO62" i="105" s="1"/>
  <c r="BJ62" i="105"/>
  <c r="BL62" i="105" s="1"/>
  <c r="Y62" i="105"/>
  <c r="Z62" i="105" s="1"/>
  <c r="AT62" i="105"/>
  <c r="AV62" i="105"/>
  <c r="AW62" i="105" s="1"/>
  <c r="AQ62" i="105"/>
  <c r="AR62" i="105" s="1"/>
  <c r="AH62" i="105"/>
  <c r="AI62" i="105" s="1"/>
  <c r="V62" i="105"/>
  <c r="W62" i="105" s="1"/>
  <c r="R62" i="105"/>
  <c r="T62" i="105" s="1"/>
  <c r="AE62" i="105"/>
  <c r="AF62" i="105" s="1"/>
  <c r="AK62" i="105"/>
  <c r="AL62" i="105" s="1"/>
  <c r="BG62" i="105"/>
  <c r="BH62" i="105" s="1"/>
  <c r="O62" i="105"/>
  <c r="BA62" i="105"/>
  <c r="BB62" i="105" s="1"/>
  <c r="BQ62" i="105"/>
  <c r="BR62" i="105" s="1"/>
  <c r="BD62" i="105"/>
  <c r="BE62" i="105" s="1"/>
  <c r="AB62" i="105"/>
  <c r="AC62" i="105" s="1"/>
  <c r="AY62" i="105"/>
  <c r="AN62" i="105"/>
  <c r="AO62" i="105" s="1"/>
  <c r="P62" i="105"/>
  <c r="K63" i="105"/>
  <c r="BL58" i="13"/>
  <c r="BN58" i="13"/>
  <c r="BO58" i="13" s="1"/>
  <c r="M58" i="13"/>
  <c r="BD58" i="13"/>
  <c r="BE58" i="13" s="1"/>
  <c r="AY58" i="13"/>
  <c r="O58" i="13"/>
  <c r="Y58" i="13"/>
  <c r="Z58" i="13" s="1"/>
  <c r="AT58" i="13"/>
  <c r="AN58" i="13"/>
  <c r="AO58" i="13" s="1"/>
  <c r="BG58" i="13"/>
  <c r="BH58" i="13" s="1"/>
  <c r="P58" i="13"/>
  <c r="AV58" i="13"/>
  <c r="AW58" i="13" s="1"/>
  <c r="AQ58" i="13"/>
  <c r="AR58" i="13" s="1"/>
  <c r="BA58" i="13"/>
  <c r="BB58" i="13" s="1"/>
  <c r="BQ58" i="13"/>
  <c r="BR58" i="13" s="1"/>
  <c r="AK58" i="13"/>
  <c r="AL58" i="13" s="1"/>
  <c r="R58" i="13"/>
  <c r="T58" i="13" s="1"/>
  <c r="AH58" i="13"/>
  <c r="AI58" i="13" s="1"/>
  <c r="AE58" i="13"/>
  <c r="AF58" i="13" s="1"/>
  <c r="V58" i="13"/>
  <c r="W58" i="13" s="1"/>
  <c r="AB58" i="13"/>
  <c r="AC58" i="13" s="1"/>
  <c r="K59" i="66"/>
  <c r="I60" i="66"/>
  <c r="M60" i="126"/>
  <c r="BJ60" i="126"/>
  <c r="BL60" i="126" s="1"/>
  <c r="BK60" i="126"/>
  <c r="BN60" i="126"/>
  <c r="BO60" i="126" s="1"/>
  <c r="AH60" i="126"/>
  <c r="AI60" i="126" s="1"/>
  <c r="O60" i="126"/>
  <c r="AV60" i="126"/>
  <c r="AW60" i="126" s="1"/>
  <c r="BG60" i="126"/>
  <c r="BH60" i="126" s="1"/>
  <c r="Y60" i="126"/>
  <c r="Z60" i="126" s="1"/>
  <c r="AQ60" i="126"/>
  <c r="AR60" i="126" s="1"/>
  <c r="AB60" i="126"/>
  <c r="AC60" i="126" s="1"/>
  <c r="AE60" i="126"/>
  <c r="AF60" i="126" s="1"/>
  <c r="AY60" i="126"/>
  <c r="AT60" i="126"/>
  <c r="BA60" i="126"/>
  <c r="BB60" i="126" s="1"/>
  <c r="AK60" i="126"/>
  <c r="AL60" i="126" s="1"/>
  <c r="BD60" i="126"/>
  <c r="BE60" i="126" s="1"/>
  <c r="BQ60" i="126"/>
  <c r="BR60" i="126" s="1"/>
  <c r="V60" i="126"/>
  <c r="W60" i="126" s="1"/>
  <c r="R60" i="126"/>
  <c r="T60" i="126" s="1"/>
  <c r="P60" i="126"/>
  <c r="AN60" i="126"/>
  <c r="AO60" i="126" s="1"/>
  <c r="K61" i="126"/>
  <c r="I62" i="110"/>
  <c r="K61" i="110"/>
  <c r="I61" i="101"/>
  <c r="K60" i="101"/>
  <c r="AN61" i="64"/>
  <c r="AO61" i="64" s="1"/>
  <c r="AH61" i="64"/>
  <c r="AI61" i="64" s="1"/>
  <c r="AE61" i="64"/>
  <c r="AF61" i="64" s="1"/>
  <c r="AV61" i="64"/>
  <c r="AW61" i="64" s="1"/>
  <c r="BG61" i="64"/>
  <c r="BH61" i="64" s="1"/>
  <c r="O61" i="64"/>
  <c r="BA61" i="64"/>
  <c r="BB61" i="64" s="1"/>
  <c r="BQ61" i="64"/>
  <c r="BR61" i="64" s="1"/>
  <c r="M61" i="64"/>
  <c r="Y61" i="64"/>
  <c r="Z61" i="64" s="1"/>
  <c r="AQ61" i="64"/>
  <c r="AR61" i="64" s="1"/>
  <c r="P61" i="64"/>
  <c r="V61" i="64"/>
  <c r="W61" i="64" s="1"/>
  <c r="AB61" i="64"/>
  <c r="AC61" i="64" s="1"/>
  <c r="AY61" i="64"/>
  <c r="R61" i="64"/>
  <c r="T61" i="64" s="1"/>
  <c r="AK61" i="64"/>
  <c r="AL61" i="64" s="1"/>
  <c r="BD61" i="64"/>
  <c r="BE61" i="64" s="1"/>
  <c r="AT61" i="64"/>
  <c r="BL61" i="64"/>
  <c r="BN61" i="64"/>
  <c r="BO61" i="64" s="1"/>
  <c r="K62" i="64"/>
  <c r="R58" i="66"/>
  <c r="T58" i="66" s="1"/>
  <c r="BD58" i="66"/>
  <c r="BE58" i="66" s="1"/>
  <c r="M58" i="66"/>
  <c r="AB58" i="66"/>
  <c r="AC58" i="66" s="1"/>
  <c r="AK58" i="66"/>
  <c r="AL58" i="66" s="1"/>
  <c r="AV58" i="66"/>
  <c r="AW58" i="66" s="1"/>
  <c r="Y58" i="66"/>
  <c r="Z58" i="66" s="1"/>
  <c r="BG58" i="66"/>
  <c r="BH58" i="66" s="1"/>
  <c r="AN58" i="66"/>
  <c r="AO58" i="66" s="1"/>
  <c r="BQ58" i="66"/>
  <c r="BR58" i="66" s="1"/>
  <c r="BN58" i="66"/>
  <c r="BO58" i="66" s="1"/>
  <c r="BA58" i="66"/>
  <c r="BB58" i="66" s="1"/>
  <c r="AH58" i="66"/>
  <c r="AI58" i="66" s="1"/>
  <c r="AQ58" i="66"/>
  <c r="AR58" i="66" s="1"/>
  <c r="AT58" i="66"/>
  <c r="P58" i="66"/>
  <c r="AE58" i="66"/>
  <c r="AF58" i="66" s="1"/>
  <c r="AY58" i="66"/>
  <c r="O58" i="66"/>
  <c r="V58" i="66"/>
  <c r="W58" i="66" s="1"/>
  <c r="BL58" i="66"/>
  <c r="O34" i="110"/>
  <c r="W29" i="112"/>
  <c r="O30" i="112"/>
  <c r="V30" i="112"/>
  <c r="W30" i="112" s="1"/>
  <c r="P31" i="112"/>
  <c r="V34" i="110"/>
  <c r="W34" i="110" s="1"/>
  <c r="P35" i="110"/>
  <c r="BD64" i="107" l="1"/>
  <c r="BE64" i="107" s="1"/>
  <c r="AY64" i="107"/>
  <c r="O64" i="107"/>
  <c r="V64" i="107"/>
  <c r="W64" i="107" s="1"/>
  <c r="BK64" i="107"/>
  <c r="AQ64" i="107"/>
  <c r="AR64" i="107" s="1"/>
  <c r="AH64" i="107"/>
  <c r="AI64" i="107" s="1"/>
  <c r="BJ64" i="107"/>
  <c r="BL64" i="107" s="1"/>
  <c r="AE64" i="107"/>
  <c r="AF64" i="107" s="1"/>
  <c r="AB64" i="107"/>
  <c r="AC64" i="107" s="1"/>
  <c r="R64" i="107"/>
  <c r="T64" i="107" s="1"/>
  <c r="BG64" i="107"/>
  <c r="BH64" i="107" s="1"/>
  <c r="M64" i="107"/>
  <c r="BA64" i="107"/>
  <c r="BB64" i="107" s="1"/>
  <c r="AK64" i="107"/>
  <c r="AL64" i="107" s="1"/>
  <c r="P64" i="107"/>
  <c r="BN64" i="107"/>
  <c r="BO64" i="107" s="1"/>
  <c r="Y64" i="107"/>
  <c r="Z64" i="107" s="1"/>
  <c r="AN64" i="107"/>
  <c r="AO64" i="107" s="1"/>
  <c r="BQ64" i="107"/>
  <c r="BR64" i="107" s="1"/>
  <c r="AT64" i="107"/>
  <c r="AV64" i="107"/>
  <c r="AW64" i="107" s="1"/>
  <c r="I66" i="107"/>
  <c r="K65" i="107"/>
  <c r="M62" i="132"/>
  <c r="BD62" i="132"/>
  <c r="BE62" i="132" s="1"/>
  <c r="V62" i="132"/>
  <c r="W62" i="132" s="1"/>
  <c r="AK62" i="132"/>
  <c r="AL62" i="132" s="1"/>
  <c r="AB62" i="132"/>
  <c r="AC62" i="132" s="1"/>
  <c r="BA62" i="132"/>
  <c r="BB62" i="132" s="1"/>
  <c r="Y62" i="132"/>
  <c r="Z62" i="132" s="1"/>
  <c r="AQ62" i="132"/>
  <c r="AR62" i="132" s="1"/>
  <c r="P62" i="132"/>
  <c r="BL62" i="132"/>
  <c r="R62" i="132"/>
  <c r="T62" i="132" s="1"/>
  <c r="AH62" i="132"/>
  <c r="AI62" i="132" s="1"/>
  <c r="O62" i="132"/>
  <c r="AT62" i="132"/>
  <c r="BG62" i="132"/>
  <c r="BH62" i="132" s="1"/>
  <c r="K63" i="132"/>
  <c r="BQ62" i="132"/>
  <c r="BR62" i="132" s="1"/>
  <c r="AN62" i="132"/>
  <c r="AO62" i="132" s="1"/>
  <c r="AE62" i="132"/>
  <c r="AF62" i="132" s="1"/>
  <c r="BN62" i="132"/>
  <c r="BO62" i="132" s="1"/>
  <c r="AY62" i="132"/>
  <c r="AV62" i="132"/>
  <c r="AW62" i="132" s="1"/>
  <c r="AT62" i="99"/>
  <c r="BK62" i="99"/>
  <c r="AN62" i="99"/>
  <c r="AO62" i="99" s="1"/>
  <c r="BG62" i="99"/>
  <c r="BH62" i="99" s="1"/>
  <c r="BA62" i="99"/>
  <c r="BB62" i="99" s="1"/>
  <c r="K63" i="99"/>
  <c r="BQ62" i="99"/>
  <c r="BR62" i="99" s="1"/>
  <c r="AB62" i="99"/>
  <c r="AC62" i="99" s="1"/>
  <c r="BD62" i="99"/>
  <c r="BE62" i="99" s="1"/>
  <c r="AK62" i="99"/>
  <c r="AL62" i="99" s="1"/>
  <c r="R62" i="99"/>
  <c r="T62" i="99" s="1"/>
  <c r="AQ62" i="99"/>
  <c r="AR62" i="99" s="1"/>
  <c r="AY62" i="99"/>
  <c r="P62" i="99"/>
  <c r="BN62" i="99"/>
  <c r="BO62" i="99" s="1"/>
  <c r="V62" i="99"/>
  <c r="W62" i="99" s="1"/>
  <c r="Y62" i="99"/>
  <c r="Z62" i="99" s="1"/>
  <c r="O62" i="99"/>
  <c r="BJ62" i="99"/>
  <c r="BL62" i="99" s="1"/>
  <c r="AV62" i="99"/>
  <c r="AW62" i="99" s="1"/>
  <c r="M62" i="99"/>
  <c r="AE62" i="99"/>
  <c r="AF62" i="99" s="1"/>
  <c r="AH62" i="99"/>
  <c r="AI62" i="99" s="1"/>
  <c r="BR95" i="161"/>
  <c r="AY95" i="161"/>
  <c r="BG95" i="161"/>
  <c r="BH95" i="161" s="1"/>
  <c r="AH95" i="161"/>
  <c r="AI95" i="161" s="1"/>
  <c r="Y95" i="161"/>
  <c r="Z95" i="161" s="1"/>
  <c r="P95" i="161"/>
  <c r="BD95" i="161"/>
  <c r="BE95" i="161" s="1"/>
  <c r="AV95" i="161"/>
  <c r="AW95" i="161" s="1"/>
  <c r="AN95" i="161"/>
  <c r="AO95" i="161" s="1"/>
  <c r="AE95" i="161"/>
  <c r="AF95" i="161" s="1"/>
  <c r="O95" i="161"/>
  <c r="AT95" i="161"/>
  <c r="AK95" i="161"/>
  <c r="AL95" i="161" s="1"/>
  <c r="V95" i="161"/>
  <c r="W95" i="161" s="1"/>
  <c r="AQ95" i="161"/>
  <c r="AR95" i="161" s="1"/>
  <c r="AB95" i="161"/>
  <c r="AC95" i="161" s="1"/>
  <c r="BA95" i="161"/>
  <c r="BB95" i="161" s="1"/>
  <c r="R95" i="161"/>
  <c r="T95" i="161" s="1"/>
  <c r="BK95" i="161"/>
  <c r="BN95" i="161"/>
  <c r="BO95" i="161" s="1"/>
  <c r="BJ95" i="161"/>
  <c r="BL95" i="161" s="1"/>
  <c r="M95" i="161"/>
  <c r="I97" i="161"/>
  <c r="K96" i="161"/>
  <c r="BQ96" i="161" s="1"/>
  <c r="K61" i="104"/>
  <c r="BK60" i="104"/>
  <c r="AE60" i="104"/>
  <c r="AF60" i="104" s="1"/>
  <c r="V60" i="104"/>
  <c r="W60" i="104" s="1"/>
  <c r="AH60" i="104"/>
  <c r="AI60" i="104" s="1"/>
  <c r="AN60" i="104"/>
  <c r="AO60" i="104" s="1"/>
  <c r="AY60" i="104"/>
  <c r="BJ60" i="104"/>
  <c r="BL60" i="104" s="1"/>
  <c r="AT60" i="104"/>
  <c r="R60" i="104"/>
  <c r="T60" i="104" s="1"/>
  <c r="Y60" i="104"/>
  <c r="Z60" i="104" s="1"/>
  <c r="O60" i="104"/>
  <c r="AB60" i="104"/>
  <c r="AC60" i="104" s="1"/>
  <c r="BA60" i="104"/>
  <c r="BB60" i="104" s="1"/>
  <c r="AQ60" i="104"/>
  <c r="AR60" i="104" s="1"/>
  <c r="BD60" i="104"/>
  <c r="BE60" i="104" s="1"/>
  <c r="BN60" i="104"/>
  <c r="BO60" i="104" s="1"/>
  <c r="P60" i="104"/>
  <c r="AK60" i="104"/>
  <c r="AL60" i="104" s="1"/>
  <c r="AV60" i="104"/>
  <c r="AW60" i="104" s="1"/>
  <c r="M60" i="104"/>
  <c r="BG60" i="104"/>
  <c r="BH60" i="104" s="1"/>
  <c r="BQ60" i="104"/>
  <c r="BR60" i="104" s="1"/>
  <c r="AC58" i="95"/>
  <c r="BL59" i="95"/>
  <c r="BA59" i="95"/>
  <c r="BB59" i="95" s="1"/>
  <c r="AV59" i="95"/>
  <c r="AW59" i="95" s="1"/>
  <c r="K60" i="95"/>
  <c r="BD59" i="95"/>
  <c r="BE59" i="95" s="1"/>
  <c r="AT59" i="95"/>
  <c r="AK59" i="95"/>
  <c r="AL59" i="95" s="1"/>
  <c r="AQ59" i="95"/>
  <c r="AR59" i="95" s="1"/>
  <c r="AN59" i="95"/>
  <c r="AO59" i="95" s="1"/>
  <c r="R59" i="95"/>
  <c r="T59" i="95" s="1"/>
  <c r="AB59" i="95"/>
  <c r="P59" i="95"/>
  <c r="AH59" i="95"/>
  <c r="AI59" i="95" s="1"/>
  <c r="M59" i="95"/>
  <c r="AE59" i="95"/>
  <c r="AF59" i="95" s="1"/>
  <c r="BG59" i="95"/>
  <c r="BH59" i="95" s="1"/>
  <c r="BQ59" i="95"/>
  <c r="BR59" i="95" s="1"/>
  <c r="BN59" i="95"/>
  <c r="BO59" i="95" s="1"/>
  <c r="O59" i="95"/>
  <c r="Y59" i="95"/>
  <c r="Z59" i="95" s="1"/>
  <c r="V59" i="95"/>
  <c r="W59" i="95" s="1"/>
  <c r="AK60" i="106"/>
  <c r="AL60" i="106" s="1"/>
  <c r="O60" i="106"/>
  <c r="AH60" i="106"/>
  <c r="AI60" i="106" s="1"/>
  <c r="BG60" i="106"/>
  <c r="BH60" i="106" s="1"/>
  <c r="AQ60" i="106"/>
  <c r="AR60" i="106" s="1"/>
  <c r="P60" i="106"/>
  <c r="M60" i="106"/>
  <c r="BD60" i="106"/>
  <c r="BE60" i="106" s="1"/>
  <c r="R60" i="106"/>
  <c r="T60" i="106" s="1"/>
  <c r="AN60" i="106"/>
  <c r="AO60" i="106" s="1"/>
  <c r="BN60" i="106"/>
  <c r="BO60" i="106" s="1"/>
  <c r="Y60" i="106"/>
  <c r="Z60" i="106" s="1"/>
  <c r="BA60" i="106"/>
  <c r="BB60" i="106" s="1"/>
  <c r="V60" i="106"/>
  <c r="W60" i="106" s="1"/>
  <c r="BK60" i="106"/>
  <c r="AE60" i="106"/>
  <c r="AF60" i="106" s="1"/>
  <c r="AT60" i="106"/>
  <c r="BQ60" i="106"/>
  <c r="BR60" i="106" s="1"/>
  <c r="BJ60" i="106"/>
  <c r="BL60" i="106" s="1"/>
  <c r="AV60" i="106"/>
  <c r="AW60" i="106" s="1"/>
  <c r="AY60" i="106"/>
  <c r="AB60" i="106"/>
  <c r="AC60" i="106" s="1"/>
  <c r="K61" i="106"/>
  <c r="I67" i="156"/>
  <c r="K66" i="156"/>
  <c r="AY66" i="156" s="1"/>
  <c r="I67" i="106"/>
  <c r="BQ61" i="129"/>
  <c r="BR61" i="129" s="1"/>
  <c r="AV61" i="129"/>
  <c r="AW61" i="129" s="1"/>
  <c r="R61" i="129"/>
  <c r="T61" i="129" s="1"/>
  <c r="BL61" i="129"/>
  <c r="AK61" i="129"/>
  <c r="AL61" i="129" s="1"/>
  <c r="BD61" i="129"/>
  <c r="BE61" i="129" s="1"/>
  <c r="BA61" i="129"/>
  <c r="BB61" i="129" s="1"/>
  <c r="Y61" i="129"/>
  <c r="Z61" i="129" s="1"/>
  <c r="AB61" i="129"/>
  <c r="AC61" i="129" s="1"/>
  <c r="AH61" i="129"/>
  <c r="AI61" i="129" s="1"/>
  <c r="M61" i="129"/>
  <c r="P61" i="129"/>
  <c r="AE61" i="129"/>
  <c r="AF61" i="129" s="1"/>
  <c r="V61" i="129"/>
  <c r="W61" i="129" s="1"/>
  <c r="AY61" i="129"/>
  <c r="AN61" i="129"/>
  <c r="AO61" i="129" s="1"/>
  <c r="BN61" i="129"/>
  <c r="BO61" i="129" s="1"/>
  <c r="K62" i="129"/>
  <c r="O61" i="129"/>
  <c r="AT61" i="129"/>
  <c r="AQ61" i="129"/>
  <c r="AR61" i="129" s="1"/>
  <c r="BG61" i="129"/>
  <c r="BH61" i="129" s="1"/>
  <c r="BA65" i="156"/>
  <c r="BB65" i="156" s="1"/>
  <c r="AE65" i="156"/>
  <c r="AF65" i="156" s="1"/>
  <c r="O65" i="156"/>
  <c r="BG65" i="156"/>
  <c r="BH65" i="156" s="1"/>
  <c r="AK65" i="156"/>
  <c r="AL65" i="156" s="1"/>
  <c r="BN65" i="156"/>
  <c r="BO65" i="156" s="1"/>
  <c r="V65" i="156"/>
  <c r="W65" i="156" s="1"/>
  <c r="P65" i="156"/>
  <c r="AQ65" i="156"/>
  <c r="AR65" i="156" s="1"/>
  <c r="BL65" i="156"/>
  <c r="AB65" i="156"/>
  <c r="AC65" i="156" s="1"/>
  <c r="AV65" i="156"/>
  <c r="AW65" i="156" s="1"/>
  <c r="BD65" i="156"/>
  <c r="BE65" i="156" s="1"/>
  <c r="AH65" i="156"/>
  <c r="AI65" i="156" s="1"/>
  <c r="R65" i="156"/>
  <c r="T65" i="156" s="1"/>
  <c r="M65" i="156"/>
  <c r="AN65" i="156"/>
  <c r="AO65" i="156" s="1"/>
  <c r="Y65" i="156"/>
  <c r="Z65" i="156" s="1"/>
  <c r="BQ65" i="156"/>
  <c r="BR65" i="156" s="1"/>
  <c r="BN63" i="133"/>
  <c r="BO63" i="133" s="1"/>
  <c r="AV63" i="133"/>
  <c r="AW63" i="133" s="1"/>
  <c r="AY63" i="133"/>
  <c r="R63" i="133"/>
  <c r="T63" i="133" s="1"/>
  <c r="AK63" i="133"/>
  <c r="AL63" i="133" s="1"/>
  <c r="V63" i="133"/>
  <c r="W63" i="133" s="1"/>
  <c r="K64" i="133"/>
  <c r="O63" i="133"/>
  <c r="P63" i="133"/>
  <c r="BG63" i="133"/>
  <c r="BH63" i="133" s="1"/>
  <c r="BQ63" i="133"/>
  <c r="BR63" i="133" s="1"/>
  <c r="AB63" i="133"/>
  <c r="AC63" i="133" s="1"/>
  <c r="BA63" i="133"/>
  <c r="BB63" i="133" s="1"/>
  <c r="AQ63" i="133"/>
  <c r="AR63" i="133" s="1"/>
  <c r="AN63" i="133"/>
  <c r="AO63" i="133" s="1"/>
  <c r="M63" i="133"/>
  <c r="AE63" i="133"/>
  <c r="AF63" i="133" s="1"/>
  <c r="BL63" i="133"/>
  <c r="Y63" i="133"/>
  <c r="Z63" i="133" s="1"/>
  <c r="AT63" i="133"/>
  <c r="AH63" i="133"/>
  <c r="AI63" i="133" s="1"/>
  <c r="BD63" i="133"/>
  <c r="BE63" i="133" s="1"/>
  <c r="AB60" i="112"/>
  <c r="AC60" i="112" s="1"/>
  <c r="V60" i="112"/>
  <c r="W60" i="112" s="1"/>
  <c r="P60" i="112"/>
  <c r="BN60" i="112"/>
  <c r="BO60" i="112" s="1"/>
  <c r="AH60" i="112"/>
  <c r="AI60" i="112" s="1"/>
  <c r="BQ60" i="112"/>
  <c r="BR60" i="112" s="1"/>
  <c r="R60" i="112"/>
  <c r="T60" i="112" s="1"/>
  <c r="K61" i="112"/>
  <c r="BA60" i="112"/>
  <c r="BB60" i="112" s="1"/>
  <c r="AK60" i="112"/>
  <c r="AL60" i="112" s="1"/>
  <c r="O60" i="112"/>
  <c r="BJ60" i="112"/>
  <c r="BL60" i="112" s="1"/>
  <c r="AQ60" i="112"/>
  <c r="AR60" i="112" s="1"/>
  <c r="BG60" i="112"/>
  <c r="BH60" i="112" s="1"/>
  <c r="AT60" i="112"/>
  <c r="M60" i="112"/>
  <c r="AY60" i="112"/>
  <c r="AN60" i="112"/>
  <c r="AO60" i="112" s="1"/>
  <c r="Y60" i="112"/>
  <c r="Z60" i="112" s="1"/>
  <c r="BK60" i="112"/>
  <c r="AE60" i="112"/>
  <c r="AF60" i="112" s="1"/>
  <c r="AV60" i="112"/>
  <c r="AW60" i="112" s="1"/>
  <c r="BD60" i="112"/>
  <c r="BE60" i="112" s="1"/>
  <c r="AT53" i="17"/>
  <c r="BD53" i="17" s="1"/>
  <c r="BE53" i="17" s="1"/>
  <c r="AT53" i="150"/>
  <c r="AT53" i="156"/>
  <c r="K62" i="130"/>
  <c r="BN61" i="130"/>
  <c r="BO61" i="130" s="1"/>
  <c r="M61" i="130"/>
  <c r="BL61" i="130"/>
  <c r="AN61" i="130"/>
  <c r="AO61" i="130" s="1"/>
  <c r="BQ61" i="130"/>
  <c r="BR61" i="130" s="1"/>
  <c r="AT61" i="130"/>
  <c r="BA61" i="130"/>
  <c r="BB61" i="130" s="1"/>
  <c r="P61" i="130"/>
  <c r="BD61" i="130"/>
  <c r="BE61" i="130" s="1"/>
  <c r="Y61" i="130"/>
  <c r="Z61" i="130" s="1"/>
  <c r="AQ61" i="130"/>
  <c r="AR61" i="130" s="1"/>
  <c r="R61" i="130"/>
  <c r="T61" i="130" s="1"/>
  <c r="BG61" i="130"/>
  <c r="BH61" i="130" s="1"/>
  <c r="AB61" i="130"/>
  <c r="AC61" i="130" s="1"/>
  <c r="AH61" i="130"/>
  <c r="AI61" i="130" s="1"/>
  <c r="O61" i="130"/>
  <c r="V61" i="130"/>
  <c r="W61" i="130" s="1"/>
  <c r="AE61" i="130"/>
  <c r="AF61" i="130" s="1"/>
  <c r="AK61" i="130"/>
  <c r="AL61" i="130" s="1"/>
  <c r="AY61" i="130"/>
  <c r="AV61" i="130"/>
  <c r="AW61" i="130" s="1"/>
  <c r="AV52" i="156"/>
  <c r="AW52" i="156" s="1"/>
  <c r="BD52" i="156"/>
  <c r="BE52" i="156" s="1"/>
  <c r="AV52" i="150"/>
  <c r="AW52" i="150" s="1"/>
  <c r="BD52" i="150"/>
  <c r="BE52" i="150" s="1"/>
  <c r="AC60" i="96"/>
  <c r="M66" i="155"/>
  <c r="BQ66" i="155"/>
  <c r="BR66" i="155" s="1"/>
  <c r="O66" i="155"/>
  <c r="V66" i="155"/>
  <c r="W66" i="155" s="1"/>
  <c r="AB66" i="155"/>
  <c r="AC66" i="155" s="1"/>
  <c r="AH66" i="155"/>
  <c r="AI66" i="155" s="1"/>
  <c r="AN66" i="155"/>
  <c r="AO66" i="155" s="1"/>
  <c r="BA66" i="155"/>
  <c r="BB66" i="155" s="1"/>
  <c r="BG66" i="155"/>
  <c r="BH66" i="155" s="1"/>
  <c r="AV66" i="155"/>
  <c r="AW66" i="155" s="1"/>
  <c r="Y66" i="155"/>
  <c r="Z66" i="155" s="1"/>
  <c r="AK66" i="155"/>
  <c r="AL66" i="155" s="1"/>
  <c r="P66" i="155"/>
  <c r="R66" i="155"/>
  <c r="T66" i="155" s="1"/>
  <c r="AE66" i="155"/>
  <c r="AF66" i="155" s="1"/>
  <c r="AQ66" i="155"/>
  <c r="AR66" i="155" s="1"/>
  <c r="BD66" i="155"/>
  <c r="BE66" i="155" s="1"/>
  <c r="BN66" i="155"/>
  <c r="BO66" i="155" s="1"/>
  <c r="BL66" i="155"/>
  <c r="K67" i="155"/>
  <c r="I68" i="155"/>
  <c r="BD52" i="120"/>
  <c r="BE52" i="120" s="1"/>
  <c r="AV52" i="120"/>
  <c r="AW52" i="120" s="1"/>
  <c r="AV52" i="17"/>
  <c r="AW52" i="17" s="1"/>
  <c r="BD52" i="17"/>
  <c r="BE52" i="17" s="1"/>
  <c r="AV52" i="13"/>
  <c r="AW52" i="13" s="1"/>
  <c r="BD52" i="13"/>
  <c r="BE52" i="13" s="1"/>
  <c r="AV53" i="15"/>
  <c r="AW53" i="15" s="1"/>
  <c r="BD53" i="15"/>
  <c r="BE53" i="15" s="1"/>
  <c r="A55" i="58"/>
  <c r="AT53" i="120"/>
  <c r="AT53" i="13"/>
  <c r="I71" i="153"/>
  <c r="M66" i="153"/>
  <c r="BQ66" i="153"/>
  <c r="BR66" i="153" s="1"/>
  <c r="O66" i="153"/>
  <c r="V66" i="153"/>
  <c r="W66" i="153" s="1"/>
  <c r="AB66" i="153"/>
  <c r="AC66" i="153" s="1"/>
  <c r="AH66" i="153"/>
  <c r="AI66" i="153" s="1"/>
  <c r="AN66" i="153"/>
  <c r="AO66" i="153" s="1"/>
  <c r="BA66" i="153"/>
  <c r="BB66" i="153" s="1"/>
  <c r="BG66" i="153"/>
  <c r="BH66" i="153" s="1"/>
  <c r="P66" i="153"/>
  <c r="AV66" i="153"/>
  <c r="AW66" i="153" s="1"/>
  <c r="BN66" i="153"/>
  <c r="BO66" i="153" s="1"/>
  <c r="R66" i="153"/>
  <c r="T66" i="153" s="1"/>
  <c r="AQ66" i="153"/>
  <c r="AR66" i="153" s="1"/>
  <c r="Y66" i="153"/>
  <c r="Z66" i="153" s="1"/>
  <c r="AE66" i="153"/>
  <c r="AF66" i="153" s="1"/>
  <c r="BD66" i="153"/>
  <c r="BE66" i="153" s="1"/>
  <c r="AK66" i="153"/>
  <c r="AL66" i="153" s="1"/>
  <c r="BL66" i="153"/>
  <c r="K67" i="153"/>
  <c r="I75" i="152"/>
  <c r="M66" i="152"/>
  <c r="BQ66" i="152"/>
  <c r="BR66" i="152" s="1"/>
  <c r="O66" i="152"/>
  <c r="V66" i="152"/>
  <c r="W66" i="152" s="1"/>
  <c r="AB66" i="152"/>
  <c r="AC66" i="152" s="1"/>
  <c r="AH66" i="152"/>
  <c r="AI66" i="152" s="1"/>
  <c r="AN66" i="152"/>
  <c r="AO66" i="152" s="1"/>
  <c r="BA66" i="152"/>
  <c r="BB66" i="152" s="1"/>
  <c r="BG66" i="152"/>
  <c r="BH66" i="152" s="1"/>
  <c r="P66" i="152"/>
  <c r="AV66" i="152"/>
  <c r="AW66" i="152" s="1"/>
  <c r="BN66" i="152"/>
  <c r="BO66" i="152" s="1"/>
  <c r="Y66" i="152"/>
  <c r="Z66" i="152" s="1"/>
  <c r="AE66" i="152"/>
  <c r="AF66" i="152" s="1"/>
  <c r="BD66" i="152"/>
  <c r="BE66" i="152" s="1"/>
  <c r="AK66" i="152"/>
  <c r="AL66" i="152" s="1"/>
  <c r="AQ66" i="152"/>
  <c r="AR66" i="152" s="1"/>
  <c r="R66" i="152"/>
  <c r="T66" i="152" s="1"/>
  <c r="BL66" i="152"/>
  <c r="K67" i="152"/>
  <c r="K65" i="151"/>
  <c r="I66" i="151"/>
  <c r="BD64" i="151"/>
  <c r="BE64" i="151" s="1"/>
  <c r="AQ64" i="151"/>
  <c r="AR64" i="151" s="1"/>
  <c r="AK64" i="151"/>
  <c r="AL64" i="151" s="1"/>
  <c r="AE64" i="151"/>
  <c r="AF64" i="151" s="1"/>
  <c r="Y64" i="151"/>
  <c r="Z64" i="151" s="1"/>
  <c r="R64" i="151"/>
  <c r="T64" i="151" s="1"/>
  <c r="BG64" i="151"/>
  <c r="BH64" i="151" s="1"/>
  <c r="BA64" i="151"/>
  <c r="BB64" i="151" s="1"/>
  <c r="AT64" i="151"/>
  <c r="AN64" i="151"/>
  <c r="AO64" i="151" s="1"/>
  <c r="AH64" i="151"/>
  <c r="AI64" i="151" s="1"/>
  <c r="AB64" i="151"/>
  <c r="AC64" i="151" s="1"/>
  <c r="V64" i="151"/>
  <c r="W64" i="151" s="1"/>
  <c r="O64" i="151"/>
  <c r="AV64" i="151"/>
  <c r="AW64" i="151" s="1"/>
  <c r="BQ64" i="151"/>
  <c r="BR64" i="151" s="1"/>
  <c r="P64" i="151"/>
  <c r="AY64" i="151"/>
  <c r="M64" i="151"/>
  <c r="BN64" i="151"/>
  <c r="BO64" i="151" s="1"/>
  <c r="BL64" i="151"/>
  <c r="BQ63" i="150"/>
  <c r="BR63" i="150" s="1"/>
  <c r="AY63" i="150"/>
  <c r="BD63" i="150"/>
  <c r="BE63" i="150" s="1"/>
  <c r="AQ63" i="150"/>
  <c r="AR63" i="150" s="1"/>
  <c r="AK63" i="150"/>
  <c r="AL63" i="150" s="1"/>
  <c r="AE63" i="150"/>
  <c r="AF63" i="150" s="1"/>
  <c r="Y63" i="150"/>
  <c r="Z63" i="150" s="1"/>
  <c r="R63" i="150"/>
  <c r="T63" i="150" s="1"/>
  <c r="P63" i="150"/>
  <c r="BA63" i="150"/>
  <c r="BB63" i="150" s="1"/>
  <c r="AN63" i="150"/>
  <c r="AO63" i="150" s="1"/>
  <c r="AB63" i="150"/>
  <c r="AC63" i="150" s="1"/>
  <c r="O63" i="150"/>
  <c r="AV63" i="150"/>
  <c r="AW63" i="150" s="1"/>
  <c r="BG63" i="150"/>
  <c r="BH63" i="150" s="1"/>
  <c r="AT63" i="150"/>
  <c r="AH63" i="150"/>
  <c r="AI63" i="150" s="1"/>
  <c r="V63" i="150"/>
  <c r="W63" i="150" s="1"/>
  <c r="M63" i="150"/>
  <c r="BN63" i="150"/>
  <c r="BO63" i="150" s="1"/>
  <c r="BL63" i="150"/>
  <c r="K64" i="150"/>
  <c r="I67" i="150"/>
  <c r="K66" i="149"/>
  <c r="AT66" i="149" s="1"/>
  <c r="I67" i="149"/>
  <c r="BQ65" i="149"/>
  <c r="BR65" i="149" s="1"/>
  <c r="AY65" i="149"/>
  <c r="BD65" i="149"/>
  <c r="BE65" i="149" s="1"/>
  <c r="AQ65" i="149"/>
  <c r="AR65" i="149" s="1"/>
  <c r="AK65" i="149"/>
  <c r="AL65" i="149" s="1"/>
  <c r="AE65" i="149"/>
  <c r="AF65" i="149" s="1"/>
  <c r="Y65" i="149"/>
  <c r="Z65" i="149" s="1"/>
  <c r="R65" i="149"/>
  <c r="T65" i="149" s="1"/>
  <c r="P65" i="149"/>
  <c r="AV65" i="149"/>
  <c r="AW65" i="149" s="1"/>
  <c r="BG65" i="149"/>
  <c r="BH65" i="149" s="1"/>
  <c r="AH65" i="149"/>
  <c r="AI65" i="149" s="1"/>
  <c r="BA65" i="149"/>
  <c r="BB65" i="149" s="1"/>
  <c r="AB65" i="149"/>
  <c r="AC65" i="149" s="1"/>
  <c r="V65" i="149"/>
  <c r="W65" i="149" s="1"/>
  <c r="AN65" i="149"/>
  <c r="AO65" i="149" s="1"/>
  <c r="O65" i="149"/>
  <c r="M65" i="149"/>
  <c r="BN65" i="149"/>
  <c r="BO65" i="149" s="1"/>
  <c r="BL65" i="149"/>
  <c r="BQ64" i="147"/>
  <c r="BR64" i="147" s="1"/>
  <c r="AY64" i="147"/>
  <c r="BD64" i="147"/>
  <c r="BE64" i="147" s="1"/>
  <c r="AQ64" i="147"/>
  <c r="AR64" i="147" s="1"/>
  <c r="AK64" i="147"/>
  <c r="AL64" i="147" s="1"/>
  <c r="AE64" i="147"/>
  <c r="AF64" i="147" s="1"/>
  <c r="Y64" i="147"/>
  <c r="Z64" i="147" s="1"/>
  <c r="R64" i="147"/>
  <c r="T64" i="147" s="1"/>
  <c r="P64" i="147"/>
  <c r="BA64" i="147"/>
  <c r="BB64" i="147" s="1"/>
  <c r="AN64" i="147"/>
  <c r="AO64" i="147" s="1"/>
  <c r="AB64" i="147"/>
  <c r="AC64" i="147" s="1"/>
  <c r="O64" i="147"/>
  <c r="AV64" i="147"/>
  <c r="AW64" i="147" s="1"/>
  <c r="V64" i="147"/>
  <c r="W64" i="147" s="1"/>
  <c r="BG64" i="147"/>
  <c r="BH64" i="147" s="1"/>
  <c r="AH64" i="147"/>
  <c r="AI64" i="147" s="1"/>
  <c r="AT64" i="147"/>
  <c r="M64" i="147"/>
  <c r="BK64" i="147"/>
  <c r="BJ64" i="147"/>
  <c r="BL64" i="147" s="1"/>
  <c r="BN64" i="147"/>
  <c r="BO64" i="147" s="1"/>
  <c r="K65" i="147"/>
  <c r="I66" i="147"/>
  <c r="O37" i="147"/>
  <c r="O38" i="147" s="1"/>
  <c r="O39" i="147" s="1"/>
  <c r="O40" i="147" s="1"/>
  <c r="O41" i="147" s="1"/>
  <c r="O42" i="147" s="1"/>
  <c r="O43" i="147" s="1"/>
  <c r="O44" i="147" s="1"/>
  <c r="O45" i="147" s="1"/>
  <c r="O46" i="147" s="1"/>
  <c r="O47" i="147" s="1"/>
  <c r="O48" i="147" s="1"/>
  <c r="O49" i="147" s="1"/>
  <c r="O50" i="147" s="1"/>
  <c r="O51" i="147" s="1"/>
  <c r="O52" i="147" s="1"/>
  <c r="O53" i="147" s="1"/>
  <c r="O54" i="147" s="1"/>
  <c r="I65" i="146"/>
  <c r="K64" i="146"/>
  <c r="O35" i="146"/>
  <c r="V35" i="146"/>
  <c r="W35" i="146" s="1"/>
  <c r="P36" i="146"/>
  <c r="BD63" i="146"/>
  <c r="BE63" i="146" s="1"/>
  <c r="AQ63" i="146"/>
  <c r="AR63" i="146" s="1"/>
  <c r="AK63" i="146"/>
  <c r="AL63" i="146" s="1"/>
  <c r="AE63" i="146"/>
  <c r="AF63" i="146" s="1"/>
  <c r="Y63" i="146"/>
  <c r="Z63" i="146" s="1"/>
  <c r="R63" i="146"/>
  <c r="T63" i="146" s="1"/>
  <c r="AV63" i="146"/>
  <c r="AW63" i="146" s="1"/>
  <c r="P63" i="146"/>
  <c r="BG63" i="146"/>
  <c r="BH63" i="146" s="1"/>
  <c r="BA63" i="146"/>
  <c r="BB63" i="146" s="1"/>
  <c r="AT63" i="146"/>
  <c r="AN63" i="146"/>
  <c r="AO63" i="146" s="1"/>
  <c r="AH63" i="146"/>
  <c r="AI63" i="146" s="1"/>
  <c r="AB63" i="146"/>
  <c r="AC63" i="146" s="1"/>
  <c r="V63" i="146"/>
  <c r="W63" i="146" s="1"/>
  <c r="O63" i="146"/>
  <c r="AY63" i="146"/>
  <c r="BQ63" i="146"/>
  <c r="BR63" i="146" s="1"/>
  <c r="BJ63" i="146"/>
  <c r="BL63" i="146" s="1"/>
  <c r="BK63" i="146"/>
  <c r="BN63" i="146"/>
  <c r="BO63" i="146" s="1"/>
  <c r="M63" i="146"/>
  <c r="M60" i="101"/>
  <c r="AQ60" i="101"/>
  <c r="AR60" i="101" s="1"/>
  <c r="BD60" i="101"/>
  <c r="BE60" i="101" s="1"/>
  <c r="Y60" i="101"/>
  <c r="Z60" i="101" s="1"/>
  <c r="AY60" i="101"/>
  <c r="AV60" i="101"/>
  <c r="AW60" i="101" s="1"/>
  <c r="P60" i="101"/>
  <c r="AE60" i="101"/>
  <c r="AF60" i="101" s="1"/>
  <c r="O60" i="101"/>
  <c r="BA60" i="101"/>
  <c r="BB60" i="101" s="1"/>
  <c r="V60" i="101"/>
  <c r="W60" i="101" s="1"/>
  <c r="AT60" i="101"/>
  <c r="AK60" i="101"/>
  <c r="AL60" i="101" s="1"/>
  <c r="BQ60" i="101"/>
  <c r="BR60" i="101" s="1"/>
  <c r="R60" i="101"/>
  <c r="T60" i="101" s="1"/>
  <c r="AN60" i="101"/>
  <c r="AO60" i="101" s="1"/>
  <c r="AB60" i="101"/>
  <c r="AC60" i="101" s="1"/>
  <c r="AH60" i="101"/>
  <c r="AI60" i="101" s="1"/>
  <c r="BG60" i="101"/>
  <c r="BH60" i="101" s="1"/>
  <c r="M61" i="126"/>
  <c r="BN61" i="126"/>
  <c r="BO61" i="126" s="1"/>
  <c r="BK61" i="126"/>
  <c r="BJ61" i="126"/>
  <c r="BL61" i="126" s="1"/>
  <c r="AY61" i="126"/>
  <c r="BQ61" i="126"/>
  <c r="BR61" i="126" s="1"/>
  <c r="BA61" i="126"/>
  <c r="BB61" i="126" s="1"/>
  <c r="O61" i="126"/>
  <c r="P61" i="126"/>
  <c r="Y61" i="126"/>
  <c r="Z61" i="126" s="1"/>
  <c r="AV61" i="126"/>
  <c r="AW61" i="126" s="1"/>
  <c r="AT61" i="126"/>
  <c r="BD61" i="126"/>
  <c r="BE61" i="126" s="1"/>
  <c r="AH61" i="126"/>
  <c r="AI61" i="126" s="1"/>
  <c r="R61" i="126"/>
  <c r="T61" i="126" s="1"/>
  <c r="AQ61" i="126"/>
  <c r="AR61" i="126" s="1"/>
  <c r="AE61" i="126"/>
  <c r="AF61" i="126" s="1"/>
  <c r="AB61" i="126"/>
  <c r="AC61" i="126" s="1"/>
  <c r="AK61" i="126"/>
  <c r="AL61" i="126" s="1"/>
  <c r="AN61" i="126"/>
  <c r="AO61" i="126" s="1"/>
  <c r="BG61" i="126"/>
  <c r="BH61" i="126" s="1"/>
  <c r="V61" i="126"/>
  <c r="W61" i="126" s="1"/>
  <c r="K62" i="126"/>
  <c r="I63" i="115"/>
  <c r="K62" i="115"/>
  <c r="I66" i="63"/>
  <c r="I65" i="104"/>
  <c r="BL59" i="13"/>
  <c r="BN59" i="13"/>
  <c r="BO59" i="13" s="1"/>
  <c r="M59" i="13"/>
  <c r="AH59" i="13"/>
  <c r="AI59" i="13" s="1"/>
  <c r="V59" i="13"/>
  <c r="W59" i="13" s="1"/>
  <c r="Y59" i="13"/>
  <c r="Z59" i="13" s="1"/>
  <c r="AY59" i="13"/>
  <c r="AK59" i="13"/>
  <c r="AL59" i="13" s="1"/>
  <c r="BA59" i="13"/>
  <c r="BB59" i="13" s="1"/>
  <c r="BG59" i="13"/>
  <c r="BH59" i="13" s="1"/>
  <c r="O59" i="13"/>
  <c r="R59" i="13"/>
  <c r="T59" i="13" s="1"/>
  <c r="AV59" i="13"/>
  <c r="AW59" i="13" s="1"/>
  <c r="AN59" i="13"/>
  <c r="AO59" i="13" s="1"/>
  <c r="AB59" i="13"/>
  <c r="AC59" i="13" s="1"/>
  <c r="BD59" i="13"/>
  <c r="BE59" i="13" s="1"/>
  <c r="P59" i="13"/>
  <c r="AQ59" i="13"/>
  <c r="AR59" i="13" s="1"/>
  <c r="AE59" i="13"/>
  <c r="AF59" i="13" s="1"/>
  <c r="AT59" i="13"/>
  <c r="BQ59" i="13"/>
  <c r="BR59" i="13" s="1"/>
  <c r="I68" i="105"/>
  <c r="V59" i="120"/>
  <c r="W59" i="120" s="1"/>
  <c r="Y59" i="120"/>
  <c r="Z59" i="120" s="1"/>
  <c r="BG59" i="120"/>
  <c r="BH59" i="120" s="1"/>
  <c r="AK59" i="120"/>
  <c r="AL59" i="120" s="1"/>
  <c r="O59" i="120"/>
  <c r="BQ59" i="120"/>
  <c r="BR59" i="120" s="1"/>
  <c r="K60" i="120"/>
  <c r="AQ59" i="120"/>
  <c r="AR59" i="120" s="1"/>
  <c r="AY59" i="120"/>
  <c r="R59" i="120"/>
  <c r="T59" i="120" s="1"/>
  <c r="AV59" i="120"/>
  <c r="AW59" i="120" s="1"/>
  <c r="AE59" i="120"/>
  <c r="AF59" i="120" s="1"/>
  <c r="M59" i="120"/>
  <c r="AH59" i="120"/>
  <c r="AI59" i="120" s="1"/>
  <c r="AT59" i="120"/>
  <c r="BA59" i="120"/>
  <c r="BB59" i="120" s="1"/>
  <c r="P59" i="120"/>
  <c r="AB59" i="120"/>
  <c r="AC59" i="120" s="1"/>
  <c r="BD59" i="120"/>
  <c r="BE59" i="120" s="1"/>
  <c r="AN59" i="120"/>
  <c r="AO59" i="120" s="1"/>
  <c r="BN59" i="120"/>
  <c r="BO59" i="120" s="1"/>
  <c r="I68" i="132"/>
  <c r="I62" i="101"/>
  <c r="K61" i="101"/>
  <c r="K60" i="66"/>
  <c r="I61" i="66"/>
  <c r="M63" i="105"/>
  <c r="BK63" i="105"/>
  <c r="BN63" i="105"/>
  <c r="BO63" i="105" s="1"/>
  <c r="BJ63" i="105"/>
  <c r="BL63" i="105" s="1"/>
  <c r="AE63" i="105"/>
  <c r="AF63" i="105" s="1"/>
  <c r="AN63" i="105"/>
  <c r="AO63" i="105" s="1"/>
  <c r="BQ63" i="105"/>
  <c r="BR63" i="105" s="1"/>
  <c r="AT63" i="105"/>
  <c r="AY63" i="105"/>
  <c r="P63" i="105"/>
  <c r="BA63" i="105"/>
  <c r="BB63" i="105" s="1"/>
  <c r="AH63" i="105"/>
  <c r="AI63" i="105" s="1"/>
  <c r="BG63" i="105"/>
  <c r="BH63" i="105" s="1"/>
  <c r="AV63" i="105"/>
  <c r="AW63" i="105" s="1"/>
  <c r="AB63" i="105"/>
  <c r="AC63" i="105" s="1"/>
  <c r="AK63" i="105"/>
  <c r="AL63" i="105" s="1"/>
  <c r="BD63" i="105"/>
  <c r="BE63" i="105" s="1"/>
  <c r="Y63" i="105"/>
  <c r="Z63" i="105" s="1"/>
  <c r="R63" i="105"/>
  <c r="T63" i="105" s="1"/>
  <c r="AQ63" i="105"/>
  <c r="AR63" i="105" s="1"/>
  <c r="O63" i="105"/>
  <c r="V63" i="105"/>
  <c r="W63" i="105" s="1"/>
  <c r="K64" i="105"/>
  <c r="AH61" i="96"/>
  <c r="AI61" i="96" s="1"/>
  <c r="AB61" i="96"/>
  <c r="BA61" i="96"/>
  <c r="BB61" i="96" s="1"/>
  <c r="R61" i="96"/>
  <c r="T61" i="96" s="1"/>
  <c r="V61" i="96"/>
  <c r="W61" i="96" s="1"/>
  <c r="BG61" i="96"/>
  <c r="BH61" i="96" s="1"/>
  <c r="P61" i="96"/>
  <c r="AT61" i="96"/>
  <c r="Y61" i="96"/>
  <c r="Z61" i="96" s="1"/>
  <c r="AE61" i="96"/>
  <c r="AF61" i="96" s="1"/>
  <c r="AK61" i="96"/>
  <c r="AL61" i="96" s="1"/>
  <c r="M61" i="96"/>
  <c r="BL61" i="96"/>
  <c r="BN61" i="96"/>
  <c r="BO61" i="96" s="1"/>
  <c r="BQ61" i="96"/>
  <c r="BR61" i="96" s="1"/>
  <c r="AV61" i="96"/>
  <c r="AW61" i="96" s="1"/>
  <c r="AQ61" i="96"/>
  <c r="AR61" i="96" s="1"/>
  <c r="AN61" i="96"/>
  <c r="AO61" i="96" s="1"/>
  <c r="BD61" i="96"/>
  <c r="BE61" i="96" s="1"/>
  <c r="O61" i="96"/>
  <c r="M60" i="118"/>
  <c r="BA60" i="118"/>
  <c r="BB60" i="118" s="1"/>
  <c r="K61" i="118"/>
  <c r="BN60" i="118"/>
  <c r="BO60" i="118" s="1"/>
  <c r="BQ60" i="118"/>
  <c r="BR60" i="118" s="1"/>
  <c r="BD60" i="118"/>
  <c r="BE60" i="118" s="1"/>
  <c r="BG60" i="118"/>
  <c r="BH60" i="118" s="1"/>
  <c r="AB60" i="118"/>
  <c r="AC60" i="118" s="1"/>
  <c r="Y60" i="118"/>
  <c r="Z60" i="118" s="1"/>
  <c r="AY60" i="118"/>
  <c r="AH60" i="118"/>
  <c r="AI60" i="118" s="1"/>
  <c r="O60" i="118"/>
  <c r="AE60" i="118"/>
  <c r="AF60" i="118" s="1"/>
  <c r="P60" i="118"/>
  <c r="R60" i="118"/>
  <c r="T60" i="118" s="1"/>
  <c r="AQ60" i="118"/>
  <c r="AR60" i="118" s="1"/>
  <c r="AV60" i="118"/>
  <c r="AW60" i="118" s="1"/>
  <c r="AN60" i="118"/>
  <c r="AO60" i="118" s="1"/>
  <c r="V60" i="118"/>
  <c r="W60" i="118" s="1"/>
  <c r="AK60" i="118"/>
  <c r="AL60" i="118" s="1"/>
  <c r="AT60" i="118"/>
  <c r="I67" i="114"/>
  <c r="K60" i="13"/>
  <c r="I61" i="13"/>
  <c r="M61" i="114"/>
  <c r="BJ61" i="114"/>
  <c r="BL61" i="114" s="1"/>
  <c r="BK61" i="114"/>
  <c r="BN61" i="114"/>
  <c r="BO61" i="114" s="1"/>
  <c r="AH61" i="114"/>
  <c r="AI61" i="114" s="1"/>
  <c r="O61" i="114"/>
  <c r="V61" i="114"/>
  <c r="W61" i="114" s="1"/>
  <c r="AT61" i="114"/>
  <c r="Y61" i="114"/>
  <c r="Z61" i="114" s="1"/>
  <c r="P61" i="114"/>
  <c r="BD61" i="114"/>
  <c r="BE61" i="114" s="1"/>
  <c r="AE61" i="114"/>
  <c r="AF61" i="114" s="1"/>
  <c r="BA61" i="114"/>
  <c r="BB61" i="114" s="1"/>
  <c r="R61" i="114"/>
  <c r="T61" i="114" s="1"/>
  <c r="AV61" i="114"/>
  <c r="AW61" i="114" s="1"/>
  <c r="AY61" i="114"/>
  <c r="AN61" i="114"/>
  <c r="AO61" i="114" s="1"/>
  <c r="AB61" i="114"/>
  <c r="AC61" i="114" s="1"/>
  <c r="BG61" i="114"/>
  <c r="BH61" i="114" s="1"/>
  <c r="AK61" i="114"/>
  <c r="AL61" i="114" s="1"/>
  <c r="BQ61" i="114"/>
  <c r="BR61" i="114" s="1"/>
  <c r="AQ61" i="114"/>
  <c r="AR61" i="114" s="1"/>
  <c r="K62" i="114"/>
  <c r="I67" i="64"/>
  <c r="M61" i="98"/>
  <c r="BN61" i="98"/>
  <c r="BO61" i="98" s="1"/>
  <c r="BK61" i="98"/>
  <c r="BJ61" i="98"/>
  <c r="BL61" i="98" s="1"/>
  <c r="K62" i="98"/>
  <c r="AN61" i="98"/>
  <c r="AO61" i="98" s="1"/>
  <c r="BA61" i="98"/>
  <c r="BB61" i="98" s="1"/>
  <c r="AY61" i="98"/>
  <c r="AQ61" i="98"/>
  <c r="AR61" i="98" s="1"/>
  <c r="AV61" i="98"/>
  <c r="AW61" i="98" s="1"/>
  <c r="AK61" i="98"/>
  <c r="AL61" i="98" s="1"/>
  <c r="Y61" i="98"/>
  <c r="Z61" i="98" s="1"/>
  <c r="R61" i="98"/>
  <c r="T61" i="98" s="1"/>
  <c r="V61" i="98"/>
  <c r="W61" i="98" s="1"/>
  <c r="P61" i="98"/>
  <c r="BQ61" i="98"/>
  <c r="BR61" i="98" s="1"/>
  <c r="AB61" i="98"/>
  <c r="AC61" i="98" s="1"/>
  <c r="O61" i="98"/>
  <c r="BD61" i="98"/>
  <c r="BE61" i="98" s="1"/>
  <c r="AE61" i="98"/>
  <c r="AF61" i="98" s="1"/>
  <c r="AT61" i="98"/>
  <c r="BG61" i="98"/>
  <c r="BH61" i="98" s="1"/>
  <c r="AH61" i="98"/>
  <c r="AI61" i="98" s="1"/>
  <c r="M65" i="124"/>
  <c r="BK65" i="124"/>
  <c r="K66" i="124"/>
  <c r="BJ65" i="124"/>
  <c r="BL65" i="124" s="1"/>
  <c r="BN65" i="124"/>
  <c r="BO65" i="124" s="1"/>
  <c r="AN65" i="124"/>
  <c r="AO65" i="124" s="1"/>
  <c r="V65" i="124"/>
  <c r="W65" i="124" s="1"/>
  <c r="P65" i="124"/>
  <c r="BQ65" i="124"/>
  <c r="BR65" i="124" s="1"/>
  <c r="R65" i="124"/>
  <c r="T65" i="124" s="1"/>
  <c r="BD65" i="124"/>
  <c r="BE65" i="124" s="1"/>
  <c r="Y65" i="124"/>
  <c r="Z65" i="124" s="1"/>
  <c r="BA65" i="124"/>
  <c r="BB65" i="124" s="1"/>
  <c r="AY65" i="124"/>
  <c r="AT65" i="124"/>
  <c r="AH65" i="124"/>
  <c r="AI65" i="124" s="1"/>
  <c r="AQ65" i="124"/>
  <c r="AR65" i="124" s="1"/>
  <c r="AK65" i="124"/>
  <c r="AL65" i="124" s="1"/>
  <c r="AE65" i="124"/>
  <c r="AF65" i="124" s="1"/>
  <c r="AB65" i="124"/>
  <c r="AC65" i="124" s="1"/>
  <c r="BG65" i="124"/>
  <c r="BH65" i="124" s="1"/>
  <c r="O65" i="124"/>
  <c r="AV65" i="124"/>
  <c r="AW65" i="124" s="1"/>
  <c r="AQ62" i="64"/>
  <c r="AR62" i="64" s="1"/>
  <c r="P62" i="64"/>
  <c r="Y62" i="64"/>
  <c r="Z62" i="64" s="1"/>
  <c r="BD62" i="64"/>
  <c r="BE62" i="64" s="1"/>
  <c r="BG62" i="64"/>
  <c r="BH62" i="64" s="1"/>
  <c r="AE62" i="64"/>
  <c r="AF62" i="64" s="1"/>
  <c r="AK62" i="64"/>
  <c r="AL62" i="64" s="1"/>
  <c r="AH62" i="64"/>
  <c r="AI62" i="64" s="1"/>
  <c r="M62" i="64"/>
  <c r="AT62" i="64"/>
  <c r="AY62" i="64"/>
  <c r="O62" i="64"/>
  <c r="BQ62" i="64"/>
  <c r="BR62" i="64" s="1"/>
  <c r="V62" i="64"/>
  <c r="W62" i="64" s="1"/>
  <c r="AV62" i="64"/>
  <c r="AW62" i="64" s="1"/>
  <c r="AN62" i="64"/>
  <c r="AO62" i="64" s="1"/>
  <c r="AB62" i="64"/>
  <c r="AC62" i="64" s="1"/>
  <c r="BA62" i="64"/>
  <c r="BB62" i="64" s="1"/>
  <c r="R62" i="64"/>
  <c r="T62" i="64" s="1"/>
  <c r="BN62" i="64"/>
  <c r="BO62" i="64" s="1"/>
  <c r="BL62" i="64"/>
  <c r="K63" i="64"/>
  <c r="M61" i="110"/>
  <c r="BN61" i="110"/>
  <c r="BO61" i="110" s="1"/>
  <c r="BK61" i="110"/>
  <c r="BJ61" i="110"/>
  <c r="BL61" i="110" s="1"/>
  <c r="R61" i="110"/>
  <c r="T61" i="110" s="1"/>
  <c r="O61" i="110"/>
  <c r="AK61" i="110"/>
  <c r="AL61" i="110" s="1"/>
  <c r="BD61" i="110"/>
  <c r="BE61" i="110" s="1"/>
  <c r="V61" i="110"/>
  <c r="W61" i="110" s="1"/>
  <c r="Y61" i="110"/>
  <c r="Z61" i="110" s="1"/>
  <c r="P61" i="110"/>
  <c r="AV61" i="110"/>
  <c r="AW61" i="110" s="1"/>
  <c r="AB61" i="110"/>
  <c r="AC61" i="110" s="1"/>
  <c r="AE61" i="110"/>
  <c r="AF61" i="110" s="1"/>
  <c r="AT61" i="110"/>
  <c r="AQ61" i="110"/>
  <c r="AR61" i="110" s="1"/>
  <c r="AH61" i="110"/>
  <c r="AI61" i="110" s="1"/>
  <c r="BQ61" i="110"/>
  <c r="BR61" i="110" s="1"/>
  <c r="BA61" i="110"/>
  <c r="BB61" i="110" s="1"/>
  <c r="BG61" i="110"/>
  <c r="BH61" i="110" s="1"/>
  <c r="AY61" i="110"/>
  <c r="AN61" i="110"/>
  <c r="AO61" i="110" s="1"/>
  <c r="AB59" i="66"/>
  <c r="AC59" i="66" s="1"/>
  <c r="AH59" i="66"/>
  <c r="AI59" i="66" s="1"/>
  <c r="O59" i="66"/>
  <c r="BQ59" i="66"/>
  <c r="BR59" i="66" s="1"/>
  <c r="AK59" i="66"/>
  <c r="AL59" i="66" s="1"/>
  <c r="AE59" i="66"/>
  <c r="AF59" i="66" s="1"/>
  <c r="AN59" i="66"/>
  <c r="AO59" i="66" s="1"/>
  <c r="BN59" i="66"/>
  <c r="BO59" i="66" s="1"/>
  <c r="M59" i="66"/>
  <c r="BG59" i="66"/>
  <c r="BH59" i="66" s="1"/>
  <c r="AQ59" i="66"/>
  <c r="AR59" i="66" s="1"/>
  <c r="R59" i="66"/>
  <c r="T59" i="66" s="1"/>
  <c r="AY59" i="66"/>
  <c r="V59" i="66"/>
  <c r="W59" i="66" s="1"/>
  <c r="AT59" i="66"/>
  <c r="P59" i="66"/>
  <c r="Y59" i="66"/>
  <c r="Z59" i="66" s="1"/>
  <c r="BD59" i="66"/>
  <c r="BE59" i="66" s="1"/>
  <c r="AV59" i="66"/>
  <c r="AW59" i="66" s="1"/>
  <c r="BA59" i="66"/>
  <c r="BB59" i="66" s="1"/>
  <c r="BL59" i="66"/>
  <c r="K62" i="96"/>
  <c r="I63" i="96"/>
  <c r="BN59" i="17"/>
  <c r="BO59" i="17" s="1"/>
  <c r="BL59" i="17"/>
  <c r="M59" i="17"/>
  <c r="R59" i="17"/>
  <c r="T59" i="17" s="1"/>
  <c r="AB59" i="17"/>
  <c r="AC59" i="17" s="1"/>
  <c r="AN59" i="17"/>
  <c r="AO59" i="17" s="1"/>
  <c r="Y59" i="17"/>
  <c r="Z59" i="17" s="1"/>
  <c r="AY59" i="17"/>
  <c r="AH59" i="17"/>
  <c r="AI59" i="17" s="1"/>
  <c r="AK59" i="17"/>
  <c r="AL59" i="17" s="1"/>
  <c r="P59" i="17"/>
  <c r="AT59" i="17"/>
  <c r="BD59" i="17"/>
  <c r="BE59" i="17" s="1"/>
  <c r="O59" i="17"/>
  <c r="V59" i="17"/>
  <c r="W59" i="17" s="1"/>
  <c r="AE59" i="17"/>
  <c r="AF59" i="17" s="1"/>
  <c r="BA59" i="17"/>
  <c r="BB59" i="17" s="1"/>
  <c r="BQ59" i="17"/>
  <c r="BR59" i="17" s="1"/>
  <c r="AQ59" i="17"/>
  <c r="AR59" i="17" s="1"/>
  <c r="BG59" i="17"/>
  <c r="BH59" i="17" s="1"/>
  <c r="AV59" i="17"/>
  <c r="AW59" i="17" s="1"/>
  <c r="M62" i="135"/>
  <c r="P62" i="135"/>
  <c r="O62" i="135"/>
  <c r="AQ62" i="135"/>
  <c r="AR62" i="135" s="1"/>
  <c r="BA62" i="135"/>
  <c r="BB62" i="135" s="1"/>
  <c r="AN62" i="135"/>
  <c r="AO62" i="135" s="1"/>
  <c r="AK62" i="135"/>
  <c r="AL62" i="135" s="1"/>
  <c r="AB62" i="135"/>
  <c r="AC62" i="135" s="1"/>
  <c r="AV62" i="135"/>
  <c r="AW62" i="135" s="1"/>
  <c r="V62" i="135"/>
  <c r="W62" i="135" s="1"/>
  <c r="AH62" i="135"/>
  <c r="AI62" i="135" s="1"/>
  <c r="R62" i="135"/>
  <c r="T62" i="135" s="1"/>
  <c r="BD62" i="135"/>
  <c r="BE62" i="135" s="1"/>
  <c r="AY62" i="135"/>
  <c r="BG62" i="135"/>
  <c r="BH62" i="135" s="1"/>
  <c r="Y62" i="135"/>
  <c r="Z62" i="135" s="1"/>
  <c r="AE62" i="135"/>
  <c r="AF62" i="135" s="1"/>
  <c r="BN62" i="135"/>
  <c r="BO62" i="135" s="1"/>
  <c r="BQ62" i="135"/>
  <c r="BR62" i="135" s="1"/>
  <c r="BL62" i="135"/>
  <c r="AT62" i="135"/>
  <c r="I67" i="136"/>
  <c r="I63" i="110"/>
  <c r="K62" i="110"/>
  <c r="M61" i="115"/>
  <c r="BN61" i="115"/>
  <c r="BO61" i="115" s="1"/>
  <c r="BK61" i="115"/>
  <c r="BJ61" i="115"/>
  <c r="BL61" i="115" s="1"/>
  <c r="AQ61" i="115"/>
  <c r="AR61" i="115" s="1"/>
  <c r="AB61" i="115"/>
  <c r="AC61" i="115" s="1"/>
  <c r="AT61" i="115"/>
  <c r="BD61" i="115"/>
  <c r="BE61" i="115" s="1"/>
  <c r="AK61" i="115"/>
  <c r="AL61" i="115" s="1"/>
  <c r="AV61" i="115"/>
  <c r="AW61" i="115" s="1"/>
  <c r="BG61" i="115"/>
  <c r="BH61" i="115" s="1"/>
  <c r="O61" i="115"/>
  <c r="BA61" i="115"/>
  <c r="BB61" i="115" s="1"/>
  <c r="AY61" i="115"/>
  <c r="BQ61" i="115"/>
  <c r="BR61" i="115" s="1"/>
  <c r="AH61" i="115"/>
  <c r="AI61" i="115" s="1"/>
  <c r="V61" i="115"/>
  <c r="W61" i="115" s="1"/>
  <c r="P61" i="115"/>
  <c r="Y61" i="115"/>
  <c r="Z61" i="115" s="1"/>
  <c r="R61" i="115"/>
  <c r="T61" i="115" s="1"/>
  <c r="AE61" i="115"/>
  <c r="AF61" i="115" s="1"/>
  <c r="AN61" i="115"/>
  <c r="AO61" i="115" s="1"/>
  <c r="I66" i="126"/>
  <c r="BL60" i="15"/>
  <c r="BN60" i="15"/>
  <c r="BO60" i="15" s="1"/>
  <c r="M60" i="15"/>
  <c r="P60" i="15"/>
  <c r="AK60" i="15"/>
  <c r="AL60" i="15" s="1"/>
  <c r="Y60" i="15"/>
  <c r="Z60" i="15" s="1"/>
  <c r="AT60" i="15"/>
  <c r="AE60" i="15"/>
  <c r="AF60" i="15" s="1"/>
  <c r="AN60" i="15"/>
  <c r="AO60" i="15" s="1"/>
  <c r="AB60" i="15"/>
  <c r="AC60" i="15" s="1"/>
  <c r="R60" i="15"/>
  <c r="T60" i="15" s="1"/>
  <c r="BA60" i="15"/>
  <c r="BB60" i="15" s="1"/>
  <c r="AQ60" i="15"/>
  <c r="AR60" i="15" s="1"/>
  <c r="BD60" i="15"/>
  <c r="BE60" i="15" s="1"/>
  <c r="O60" i="15"/>
  <c r="BQ60" i="15"/>
  <c r="BR60" i="15" s="1"/>
  <c r="AY60" i="15"/>
  <c r="AH60" i="15"/>
  <c r="AI60" i="15" s="1"/>
  <c r="BG60" i="15"/>
  <c r="BH60" i="15" s="1"/>
  <c r="V60" i="15"/>
  <c r="W60" i="15" s="1"/>
  <c r="AV60" i="15"/>
  <c r="AW60" i="15" s="1"/>
  <c r="K61" i="15"/>
  <c r="I61" i="17"/>
  <c r="K60" i="17"/>
  <c r="I65" i="15"/>
  <c r="I76" i="133"/>
  <c r="BN61" i="63"/>
  <c r="BO61" i="63" s="1"/>
  <c r="M61" i="63"/>
  <c r="BL61" i="63"/>
  <c r="AV61" i="63"/>
  <c r="AW61" i="63" s="1"/>
  <c r="AT61" i="63"/>
  <c r="AB61" i="63"/>
  <c r="AC61" i="63" s="1"/>
  <c r="AQ61" i="63"/>
  <c r="AR61" i="63" s="1"/>
  <c r="BQ61" i="63"/>
  <c r="BR61" i="63" s="1"/>
  <c r="V61" i="63"/>
  <c r="W61" i="63" s="1"/>
  <c r="AY61" i="63"/>
  <c r="AN61" i="63"/>
  <c r="AO61" i="63" s="1"/>
  <c r="BA61" i="63"/>
  <c r="BB61" i="63" s="1"/>
  <c r="AE61" i="63"/>
  <c r="AF61" i="63" s="1"/>
  <c r="Y61" i="63"/>
  <c r="Z61" i="63" s="1"/>
  <c r="AH61" i="63"/>
  <c r="AI61" i="63" s="1"/>
  <c r="O61" i="63"/>
  <c r="BD61" i="63"/>
  <c r="BE61" i="63" s="1"/>
  <c r="R61" i="63"/>
  <c r="T61" i="63" s="1"/>
  <c r="P61" i="63"/>
  <c r="BG61" i="63"/>
  <c r="BH61" i="63" s="1"/>
  <c r="AK61" i="63"/>
  <c r="AL61" i="63" s="1"/>
  <c r="K62" i="63"/>
  <c r="K63" i="135"/>
  <c r="I64" i="135"/>
  <c r="M63" i="136"/>
  <c r="BN63" i="136"/>
  <c r="BO63" i="136" s="1"/>
  <c r="BL63" i="136"/>
  <c r="AY63" i="136"/>
  <c r="V63" i="136"/>
  <c r="W63" i="136" s="1"/>
  <c r="AH63" i="136"/>
  <c r="AI63" i="136" s="1"/>
  <c r="Y63" i="136"/>
  <c r="Z63" i="136" s="1"/>
  <c r="AQ63" i="136"/>
  <c r="AR63" i="136" s="1"/>
  <c r="AK63" i="136"/>
  <c r="AL63" i="136" s="1"/>
  <c r="AV63" i="136"/>
  <c r="AW63" i="136" s="1"/>
  <c r="AN63" i="136"/>
  <c r="AO63" i="136" s="1"/>
  <c r="BQ63" i="136"/>
  <c r="BR63" i="136" s="1"/>
  <c r="R63" i="136"/>
  <c r="T63" i="136" s="1"/>
  <c r="AT63" i="136"/>
  <c r="P63" i="136"/>
  <c r="AE63" i="136"/>
  <c r="AF63" i="136" s="1"/>
  <c r="BD63" i="136"/>
  <c r="BE63" i="136" s="1"/>
  <c r="BG63" i="136"/>
  <c r="BH63" i="136" s="1"/>
  <c r="BA63" i="136"/>
  <c r="BB63" i="136" s="1"/>
  <c r="O63" i="136"/>
  <c r="AB63" i="136"/>
  <c r="AC63" i="136" s="1"/>
  <c r="K64" i="136"/>
  <c r="I70" i="95"/>
  <c r="O31" i="112"/>
  <c r="O35" i="110"/>
  <c r="P36" i="110"/>
  <c r="V35" i="110"/>
  <c r="W35" i="110" s="1"/>
  <c r="P32" i="112"/>
  <c r="V31" i="112"/>
  <c r="W31" i="112" s="1"/>
  <c r="I67" i="107" l="1"/>
  <c r="K66" i="107"/>
  <c r="BN65" i="107"/>
  <c r="BO65" i="107" s="1"/>
  <c r="R65" i="107"/>
  <c r="T65" i="107" s="1"/>
  <c r="P65" i="107"/>
  <c r="AB65" i="107"/>
  <c r="AC65" i="107" s="1"/>
  <c r="AK65" i="107"/>
  <c r="AL65" i="107" s="1"/>
  <c r="AH65" i="107"/>
  <c r="AI65" i="107" s="1"/>
  <c r="AV65" i="107"/>
  <c r="AW65" i="107" s="1"/>
  <c r="BG65" i="107"/>
  <c r="BH65" i="107" s="1"/>
  <c r="BD65" i="107"/>
  <c r="BE65" i="107" s="1"/>
  <c r="AY65" i="107"/>
  <c r="AN65" i="107"/>
  <c r="AO65" i="107" s="1"/>
  <c r="Y65" i="107"/>
  <c r="Z65" i="107" s="1"/>
  <c r="M65" i="107"/>
  <c r="AT65" i="107"/>
  <c r="O65" i="107"/>
  <c r="AQ65" i="107"/>
  <c r="AR65" i="107" s="1"/>
  <c r="BA65" i="107"/>
  <c r="BB65" i="107" s="1"/>
  <c r="V65" i="107"/>
  <c r="W65" i="107" s="1"/>
  <c r="BK65" i="107"/>
  <c r="AE65" i="107"/>
  <c r="AF65" i="107" s="1"/>
  <c r="BQ65" i="107"/>
  <c r="BR65" i="107" s="1"/>
  <c r="BJ65" i="107"/>
  <c r="BL65" i="107" s="1"/>
  <c r="AK63" i="99"/>
  <c r="AL63" i="99" s="1"/>
  <c r="BG63" i="99"/>
  <c r="BH63" i="99" s="1"/>
  <c r="P63" i="99"/>
  <c r="AN63" i="99"/>
  <c r="AO63" i="99" s="1"/>
  <c r="AH63" i="99"/>
  <c r="AI63" i="99" s="1"/>
  <c r="M63" i="99"/>
  <c r="V63" i="99"/>
  <c r="W63" i="99" s="1"/>
  <c r="BD63" i="99"/>
  <c r="BE63" i="99" s="1"/>
  <c r="O63" i="99"/>
  <c r="AV63" i="99"/>
  <c r="AW63" i="99" s="1"/>
  <c r="AQ63" i="99"/>
  <c r="AR63" i="99" s="1"/>
  <c r="BA63" i="99"/>
  <c r="BB63" i="99" s="1"/>
  <c r="BJ63" i="99"/>
  <c r="BL63" i="99" s="1"/>
  <c r="Y63" i="99"/>
  <c r="Z63" i="99" s="1"/>
  <c r="AE63" i="99"/>
  <c r="AF63" i="99" s="1"/>
  <c r="AY63" i="99"/>
  <c r="R63" i="99"/>
  <c r="T63" i="99" s="1"/>
  <c r="AT63" i="99"/>
  <c r="BQ63" i="99"/>
  <c r="BR63" i="99" s="1"/>
  <c r="BN63" i="99"/>
  <c r="BO63" i="99" s="1"/>
  <c r="AB63" i="99"/>
  <c r="AC63" i="99" s="1"/>
  <c r="BK63" i="99"/>
  <c r="K64" i="99"/>
  <c r="O63" i="132"/>
  <c r="BN63" i="132"/>
  <c r="BO63" i="132" s="1"/>
  <c r="BQ63" i="132"/>
  <c r="BR63" i="132" s="1"/>
  <c r="K64" i="132"/>
  <c r="BD63" i="132"/>
  <c r="BE63" i="132" s="1"/>
  <c r="AE63" i="132"/>
  <c r="AF63" i="132" s="1"/>
  <c r="AK63" i="132"/>
  <c r="AL63" i="132" s="1"/>
  <c r="P63" i="132"/>
  <c r="AB63" i="132"/>
  <c r="AC63" i="132" s="1"/>
  <c r="M63" i="132"/>
  <c r="AN63" i="132"/>
  <c r="AO63" i="132" s="1"/>
  <c r="AY63" i="132"/>
  <c r="R63" i="132"/>
  <c r="T63" i="132" s="1"/>
  <c r="BA63" i="132"/>
  <c r="BB63" i="132" s="1"/>
  <c r="BL63" i="132"/>
  <c r="V63" i="132"/>
  <c r="W63" i="132" s="1"/>
  <c r="BG63" i="132"/>
  <c r="BH63" i="132" s="1"/>
  <c r="AV63" i="132"/>
  <c r="AW63" i="132" s="1"/>
  <c r="AH63" i="132"/>
  <c r="AI63" i="132" s="1"/>
  <c r="AQ63" i="132"/>
  <c r="AR63" i="132" s="1"/>
  <c r="Y63" i="132"/>
  <c r="Z63" i="132" s="1"/>
  <c r="AT63" i="132"/>
  <c r="AC59" i="95"/>
  <c r="BD96" i="161"/>
  <c r="BE96" i="161" s="1"/>
  <c r="AQ96" i="161"/>
  <c r="AR96" i="161" s="1"/>
  <c r="AK96" i="161"/>
  <c r="AL96" i="161" s="1"/>
  <c r="AE96" i="161"/>
  <c r="AF96" i="161" s="1"/>
  <c r="Y96" i="161"/>
  <c r="Z96" i="161" s="1"/>
  <c r="R96" i="161"/>
  <c r="T96" i="161" s="1"/>
  <c r="BR96" i="161"/>
  <c r="BA96" i="161"/>
  <c r="BB96" i="161" s="1"/>
  <c r="AB96" i="161"/>
  <c r="AC96" i="161" s="1"/>
  <c r="BG96" i="161"/>
  <c r="BH96" i="161" s="1"/>
  <c r="AY96" i="161"/>
  <c r="AH96" i="161"/>
  <c r="AI96" i="161" s="1"/>
  <c r="P96" i="161"/>
  <c r="AV96" i="161"/>
  <c r="AW96" i="161" s="1"/>
  <c r="AN96" i="161"/>
  <c r="AO96" i="161" s="1"/>
  <c r="O96" i="161"/>
  <c r="AT96" i="161"/>
  <c r="V96" i="161"/>
  <c r="W96" i="161" s="1"/>
  <c r="BN96" i="161"/>
  <c r="BO96" i="161" s="1"/>
  <c r="BK96" i="161"/>
  <c r="M96" i="161"/>
  <c r="BJ96" i="161"/>
  <c r="BL96" i="161" s="1"/>
  <c r="I98" i="161"/>
  <c r="K97" i="161"/>
  <c r="BQ97" i="161" s="1"/>
  <c r="AV53" i="17"/>
  <c r="AW53" i="17" s="1"/>
  <c r="O64" i="133"/>
  <c r="AH64" i="133"/>
  <c r="AI64" i="133" s="1"/>
  <c r="BD64" i="133"/>
  <c r="BE64" i="133" s="1"/>
  <c r="BG64" i="133"/>
  <c r="BH64" i="133" s="1"/>
  <c r="BL64" i="133"/>
  <c r="AY64" i="133"/>
  <c r="AB64" i="133"/>
  <c r="AC64" i="133" s="1"/>
  <c r="M64" i="133"/>
  <c r="AN64" i="133"/>
  <c r="AO64" i="133" s="1"/>
  <c r="V64" i="133"/>
  <c r="W64" i="133" s="1"/>
  <c r="BA64" i="133"/>
  <c r="BB64" i="133" s="1"/>
  <c r="AE64" i="133"/>
  <c r="AF64" i="133" s="1"/>
  <c r="BN64" i="133"/>
  <c r="BO64" i="133" s="1"/>
  <c r="Y64" i="133"/>
  <c r="Z64" i="133" s="1"/>
  <c r="BQ64" i="133"/>
  <c r="BR64" i="133" s="1"/>
  <c r="AK64" i="133"/>
  <c r="AL64" i="133" s="1"/>
  <c r="AT64" i="133"/>
  <c r="R64" i="133"/>
  <c r="T64" i="133" s="1"/>
  <c r="P64" i="133"/>
  <c r="K65" i="133"/>
  <c r="AQ64" i="133"/>
  <c r="AR64" i="133" s="1"/>
  <c r="AV64" i="133"/>
  <c r="AW64" i="133" s="1"/>
  <c r="I68" i="106"/>
  <c r="BJ61" i="112"/>
  <c r="BL61" i="112" s="1"/>
  <c r="AY61" i="112"/>
  <c r="BD61" i="112"/>
  <c r="BE61" i="112" s="1"/>
  <c r="AN61" i="112"/>
  <c r="AO61" i="112" s="1"/>
  <c r="BN61" i="112"/>
  <c r="BO61" i="112" s="1"/>
  <c r="AH61" i="112"/>
  <c r="AI61" i="112" s="1"/>
  <c r="P61" i="112"/>
  <c r="R61" i="112"/>
  <c r="T61" i="112" s="1"/>
  <c r="K62" i="112"/>
  <c r="O61" i="112"/>
  <c r="AQ61" i="112"/>
  <c r="AR61" i="112" s="1"/>
  <c r="V61" i="112"/>
  <c r="W61" i="112" s="1"/>
  <c r="M61" i="112"/>
  <c r="Y61" i="112"/>
  <c r="Z61" i="112" s="1"/>
  <c r="AK61" i="112"/>
  <c r="AL61" i="112" s="1"/>
  <c r="AE61" i="112"/>
  <c r="AF61" i="112" s="1"/>
  <c r="AB61" i="112"/>
  <c r="AC61" i="112" s="1"/>
  <c r="BA61" i="112"/>
  <c r="BB61" i="112" s="1"/>
  <c r="AT61" i="112"/>
  <c r="BK61" i="112"/>
  <c r="BG61" i="112"/>
  <c r="BH61" i="112" s="1"/>
  <c r="BQ61" i="112"/>
  <c r="BR61" i="112" s="1"/>
  <c r="AV61" i="112"/>
  <c r="AW61" i="112" s="1"/>
  <c r="R62" i="129"/>
  <c r="T62" i="129" s="1"/>
  <c r="BQ62" i="129"/>
  <c r="BR62" i="129" s="1"/>
  <c r="AY62" i="129"/>
  <c r="AQ62" i="129"/>
  <c r="AR62" i="129" s="1"/>
  <c r="BD62" i="129"/>
  <c r="BE62" i="129" s="1"/>
  <c r="O62" i="129"/>
  <c r="BN62" i="129"/>
  <c r="BO62" i="129" s="1"/>
  <c r="AV62" i="129"/>
  <c r="AW62" i="129" s="1"/>
  <c r="BG62" i="129"/>
  <c r="BH62" i="129" s="1"/>
  <c r="Y62" i="129"/>
  <c r="Z62" i="129" s="1"/>
  <c r="K63" i="129"/>
  <c r="AE62" i="129"/>
  <c r="AF62" i="129" s="1"/>
  <c r="AT62" i="129"/>
  <c r="AK62" i="129"/>
  <c r="AL62" i="129" s="1"/>
  <c r="M62" i="129"/>
  <c r="V62" i="129"/>
  <c r="W62" i="129" s="1"/>
  <c r="P62" i="129"/>
  <c r="AB62" i="129"/>
  <c r="AC62" i="129" s="1"/>
  <c r="AN62" i="129"/>
  <c r="AO62" i="129" s="1"/>
  <c r="BA62" i="129"/>
  <c r="BB62" i="129" s="1"/>
  <c r="AH62" i="129"/>
  <c r="AI62" i="129" s="1"/>
  <c r="BL62" i="129"/>
  <c r="V66" i="156"/>
  <c r="W66" i="156" s="1"/>
  <c r="R66" i="156"/>
  <c r="T66" i="156" s="1"/>
  <c r="BQ66" i="156"/>
  <c r="BR66" i="156" s="1"/>
  <c r="BL66" i="156"/>
  <c r="AB66" i="156"/>
  <c r="AC66" i="156" s="1"/>
  <c r="Y66" i="156"/>
  <c r="Z66" i="156" s="1"/>
  <c r="M66" i="156"/>
  <c r="AH66" i="156"/>
  <c r="AI66" i="156" s="1"/>
  <c r="AE66" i="156"/>
  <c r="AF66" i="156" s="1"/>
  <c r="AV66" i="156"/>
  <c r="AW66" i="156" s="1"/>
  <c r="AN66" i="156"/>
  <c r="AO66" i="156" s="1"/>
  <c r="AK66" i="156"/>
  <c r="AL66" i="156" s="1"/>
  <c r="BD66" i="156"/>
  <c r="BE66" i="156" s="1"/>
  <c r="BA66" i="156"/>
  <c r="BB66" i="156" s="1"/>
  <c r="AQ66" i="156"/>
  <c r="AR66" i="156" s="1"/>
  <c r="P66" i="156"/>
  <c r="O66" i="156"/>
  <c r="BG66" i="156"/>
  <c r="BH66" i="156" s="1"/>
  <c r="BN66" i="156"/>
  <c r="BO66" i="156" s="1"/>
  <c r="BA60" i="95"/>
  <c r="BB60" i="95" s="1"/>
  <c r="AK60" i="95"/>
  <c r="AL60" i="95" s="1"/>
  <c r="AE60" i="95"/>
  <c r="AF60" i="95" s="1"/>
  <c r="BQ60" i="95"/>
  <c r="BR60" i="95" s="1"/>
  <c r="R60" i="95"/>
  <c r="T60" i="95" s="1"/>
  <c r="AB60" i="95"/>
  <c r="O60" i="95"/>
  <c r="BG60" i="95"/>
  <c r="BH60" i="95" s="1"/>
  <c r="AT60" i="95"/>
  <c r="M60" i="95"/>
  <c r="AN60" i="95"/>
  <c r="AO60" i="95" s="1"/>
  <c r="Y60" i="95"/>
  <c r="Z60" i="95" s="1"/>
  <c r="AV60" i="95"/>
  <c r="AW60" i="95" s="1"/>
  <c r="BN60" i="95"/>
  <c r="BO60" i="95" s="1"/>
  <c r="P60" i="95"/>
  <c r="AH60" i="95"/>
  <c r="AI60" i="95" s="1"/>
  <c r="V60" i="95"/>
  <c r="W60" i="95" s="1"/>
  <c r="BL60" i="95"/>
  <c r="BD60" i="95"/>
  <c r="BE60" i="95" s="1"/>
  <c r="AQ60" i="95"/>
  <c r="AR60" i="95" s="1"/>
  <c r="K61" i="95"/>
  <c r="K67" i="156"/>
  <c r="AY67" i="156" s="1"/>
  <c r="I68" i="156"/>
  <c r="BK61" i="106"/>
  <c r="P61" i="106"/>
  <c r="AB61" i="106"/>
  <c r="AC61" i="106" s="1"/>
  <c r="AE61" i="106"/>
  <c r="AF61" i="106" s="1"/>
  <c r="BJ61" i="106"/>
  <c r="BL61" i="106" s="1"/>
  <c r="BA61" i="106"/>
  <c r="BB61" i="106" s="1"/>
  <c r="AT61" i="106"/>
  <c r="AK61" i="106"/>
  <c r="AL61" i="106" s="1"/>
  <c r="BN61" i="106"/>
  <c r="BO61" i="106" s="1"/>
  <c r="AH61" i="106"/>
  <c r="AI61" i="106" s="1"/>
  <c r="AQ61" i="106"/>
  <c r="AR61" i="106" s="1"/>
  <c r="O61" i="106"/>
  <c r="BQ61" i="106"/>
  <c r="BR61" i="106" s="1"/>
  <c r="BG61" i="106"/>
  <c r="BH61" i="106" s="1"/>
  <c r="V61" i="106"/>
  <c r="W61" i="106" s="1"/>
  <c r="Y61" i="106"/>
  <c r="Z61" i="106" s="1"/>
  <c r="R61" i="106"/>
  <c r="T61" i="106" s="1"/>
  <c r="AN61" i="106"/>
  <c r="AO61" i="106" s="1"/>
  <c r="M61" i="106"/>
  <c r="AV61" i="106"/>
  <c r="AW61" i="106" s="1"/>
  <c r="BD61" i="106"/>
  <c r="BE61" i="106" s="1"/>
  <c r="AY61" i="106"/>
  <c r="K62" i="106"/>
  <c r="M61" i="104"/>
  <c r="AQ61" i="104"/>
  <c r="AR61" i="104" s="1"/>
  <c r="AE61" i="104"/>
  <c r="AF61" i="104" s="1"/>
  <c r="AB61" i="104"/>
  <c r="AC61" i="104" s="1"/>
  <c r="BD61" i="104"/>
  <c r="BE61" i="104" s="1"/>
  <c r="P61" i="104"/>
  <c r="O61" i="104"/>
  <c r="K62" i="104"/>
  <c r="R61" i="104"/>
  <c r="T61" i="104" s="1"/>
  <c r="AN61" i="104"/>
  <c r="AO61" i="104" s="1"/>
  <c r="BQ61" i="104"/>
  <c r="BR61" i="104" s="1"/>
  <c r="BN61" i="104"/>
  <c r="BO61" i="104" s="1"/>
  <c r="BA61" i="104"/>
  <c r="BB61" i="104" s="1"/>
  <c r="V61" i="104"/>
  <c r="W61" i="104" s="1"/>
  <c r="AK61" i="104"/>
  <c r="AL61" i="104" s="1"/>
  <c r="BK61" i="104"/>
  <c r="AT61" i="104"/>
  <c r="Y61" i="104"/>
  <c r="Z61" i="104" s="1"/>
  <c r="AV61" i="104"/>
  <c r="AW61" i="104" s="1"/>
  <c r="BJ61" i="104"/>
  <c r="BL61" i="104" s="1"/>
  <c r="AH61" i="104"/>
  <c r="AI61" i="104" s="1"/>
  <c r="AY61" i="104"/>
  <c r="BG61" i="104"/>
  <c r="BH61" i="104" s="1"/>
  <c r="AT54" i="150"/>
  <c r="AT54" i="156"/>
  <c r="BN62" i="130"/>
  <c r="BO62" i="130" s="1"/>
  <c r="K63" i="130"/>
  <c r="M62" i="130"/>
  <c r="BL62" i="130"/>
  <c r="BG62" i="130"/>
  <c r="BH62" i="130" s="1"/>
  <c r="AT62" i="130"/>
  <c r="BQ62" i="130"/>
  <c r="BR62" i="130" s="1"/>
  <c r="BA62" i="130"/>
  <c r="BB62" i="130" s="1"/>
  <c r="AB62" i="130"/>
  <c r="AC62" i="130" s="1"/>
  <c r="BD62" i="130"/>
  <c r="BE62" i="130" s="1"/>
  <c r="AH62" i="130"/>
  <c r="AI62" i="130" s="1"/>
  <c r="AN62" i="130"/>
  <c r="AO62" i="130" s="1"/>
  <c r="AE62" i="130"/>
  <c r="AF62" i="130" s="1"/>
  <c r="P62" i="130"/>
  <c r="V62" i="130"/>
  <c r="W62" i="130" s="1"/>
  <c r="AK62" i="130"/>
  <c r="AL62" i="130" s="1"/>
  <c r="AQ62" i="130"/>
  <c r="AR62" i="130" s="1"/>
  <c r="Y62" i="130"/>
  <c r="Z62" i="130" s="1"/>
  <c r="R62" i="130"/>
  <c r="T62" i="130" s="1"/>
  <c r="AV62" i="130"/>
  <c r="AW62" i="130" s="1"/>
  <c r="O62" i="130"/>
  <c r="AY62" i="130"/>
  <c r="BD53" i="156"/>
  <c r="BE53" i="156" s="1"/>
  <c r="AV53" i="156"/>
  <c r="AW53" i="156" s="1"/>
  <c r="AV53" i="150"/>
  <c r="AW53" i="150" s="1"/>
  <c r="BD53" i="150"/>
  <c r="BE53" i="150" s="1"/>
  <c r="I69" i="155"/>
  <c r="K68" i="155"/>
  <c r="M67" i="155"/>
  <c r="BQ67" i="155"/>
  <c r="BR67" i="155" s="1"/>
  <c r="O67" i="155"/>
  <c r="V67" i="155"/>
  <c r="W67" i="155" s="1"/>
  <c r="AB67" i="155"/>
  <c r="AC67" i="155" s="1"/>
  <c r="AH67" i="155"/>
  <c r="AI67" i="155" s="1"/>
  <c r="AN67" i="155"/>
  <c r="AO67" i="155" s="1"/>
  <c r="BA67" i="155"/>
  <c r="BB67" i="155" s="1"/>
  <c r="BG67" i="155"/>
  <c r="BH67" i="155" s="1"/>
  <c r="R67" i="155"/>
  <c r="T67" i="155" s="1"/>
  <c r="AE67" i="155"/>
  <c r="AF67" i="155" s="1"/>
  <c r="AQ67" i="155"/>
  <c r="AR67" i="155" s="1"/>
  <c r="BD67" i="155"/>
  <c r="BE67" i="155" s="1"/>
  <c r="BN67" i="155"/>
  <c r="BO67" i="155" s="1"/>
  <c r="AV67" i="155"/>
  <c r="AW67" i="155" s="1"/>
  <c r="Y67" i="155"/>
  <c r="Z67" i="155" s="1"/>
  <c r="AK67" i="155"/>
  <c r="AL67" i="155" s="1"/>
  <c r="P67" i="155"/>
  <c r="BL67" i="155"/>
  <c r="AV53" i="120"/>
  <c r="AW53" i="120" s="1"/>
  <c r="BD53" i="120"/>
  <c r="BE53" i="120" s="1"/>
  <c r="A56" i="58"/>
  <c r="AT54" i="13"/>
  <c r="AT54" i="15"/>
  <c r="AT54" i="120"/>
  <c r="AT54" i="17"/>
  <c r="AV53" i="13"/>
  <c r="AW53" i="13" s="1"/>
  <c r="BD53" i="13"/>
  <c r="BE53" i="13" s="1"/>
  <c r="M67" i="153"/>
  <c r="BQ67" i="153"/>
  <c r="BR67" i="153" s="1"/>
  <c r="O67" i="153"/>
  <c r="V67" i="153"/>
  <c r="W67" i="153" s="1"/>
  <c r="AB67" i="153"/>
  <c r="AC67" i="153" s="1"/>
  <c r="AH67" i="153"/>
  <c r="AI67" i="153" s="1"/>
  <c r="AN67" i="153"/>
  <c r="AO67" i="153" s="1"/>
  <c r="BA67" i="153"/>
  <c r="BB67" i="153" s="1"/>
  <c r="BG67" i="153"/>
  <c r="BH67" i="153" s="1"/>
  <c r="P67" i="153"/>
  <c r="AV67" i="153"/>
  <c r="AW67" i="153" s="1"/>
  <c r="BN67" i="153"/>
  <c r="BO67" i="153" s="1"/>
  <c r="Y67" i="153"/>
  <c r="Z67" i="153" s="1"/>
  <c r="AE67" i="153"/>
  <c r="AF67" i="153" s="1"/>
  <c r="BD67" i="153"/>
  <c r="BE67" i="153" s="1"/>
  <c r="AK67" i="153"/>
  <c r="AL67" i="153" s="1"/>
  <c r="AQ67" i="153"/>
  <c r="AR67" i="153" s="1"/>
  <c r="R67" i="153"/>
  <c r="T67" i="153" s="1"/>
  <c r="BL67" i="153"/>
  <c r="K68" i="153"/>
  <c r="I72" i="153"/>
  <c r="M67" i="152"/>
  <c r="BQ67" i="152"/>
  <c r="BR67" i="152" s="1"/>
  <c r="O67" i="152"/>
  <c r="V67" i="152"/>
  <c r="W67" i="152" s="1"/>
  <c r="AB67" i="152"/>
  <c r="AC67" i="152" s="1"/>
  <c r="AH67" i="152"/>
  <c r="AI67" i="152" s="1"/>
  <c r="AN67" i="152"/>
  <c r="AO67" i="152" s="1"/>
  <c r="BA67" i="152"/>
  <c r="BB67" i="152" s="1"/>
  <c r="BG67" i="152"/>
  <c r="BH67" i="152" s="1"/>
  <c r="P67" i="152"/>
  <c r="AV67" i="152"/>
  <c r="AW67" i="152" s="1"/>
  <c r="BN67" i="152"/>
  <c r="BO67" i="152" s="1"/>
  <c r="AE67" i="152"/>
  <c r="AF67" i="152" s="1"/>
  <c r="BD67" i="152"/>
  <c r="BE67" i="152" s="1"/>
  <c r="AK67" i="152"/>
  <c r="AL67" i="152" s="1"/>
  <c r="R67" i="152"/>
  <c r="T67" i="152" s="1"/>
  <c r="Y67" i="152"/>
  <c r="Z67" i="152" s="1"/>
  <c r="AQ67" i="152"/>
  <c r="AR67" i="152" s="1"/>
  <c r="BL67" i="152"/>
  <c r="K68" i="152"/>
  <c r="I76" i="152"/>
  <c r="K66" i="151"/>
  <c r="I67" i="151"/>
  <c r="BD65" i="151"/>
  <c r="BE65" i="151" s="1"/>
  <c r="AQ65" i="151"/>
  <c r="AR65" i="151" s="1"/>
  <c r="AK65" i="151"/>
  <c r="AL65" i="151" s="1"/>
  <c r="AE65" i="151"/>
  <c r="AF65" i="151" s="1"/>
  <c r="Y65" i="151"/>
  <c r="Z65" i="151" s="1"/>
  <c r="R65" i="151"/>
  <c r="T65" i="151" s="1"/>
  <c r="BG65" i="151"/>
  <c r="BH65" i="151" s="1"/>
  <c r="BA65" i="151"/>
  <c r="BB65" i="151" s="1"/>
  <c r="AT65" i="151"/>
  <c r="AN65" i="151"/>
  <c r="AO65" i="151" s="1"/>
  <c r="AH65" i="151"/>
  <c r="AI65" i="151" s="1"/>
  <c r="AB65" i="151"/>
  <c r="AC65" i="151" s="1"/>
  <c r="V65" i="151"/>
  <c r="W65" i="151" s="1"/>
  <c r="O65" i="151"/>
  <c r="AV65" i="151"/>
  <c r="AW65" i="151" s="1"/>
  <c r="BQ65" i="151"/>
  <c r="BR65" i="151" s="1"/>
  <c r="P65" i="151"/>
  <c r="AY65" i="151"/>
  <c r="M65" i="151"/>
  <c r="BN65" i="151"/>
  <c r="BO65" i="151" s="1"/>
  <c r="BL65" i="151"/>
  <c r="I68" i="150"/>
  <c r="BQ64" i="150"/>
  <c r="BR64" i="150" s="1"/>
  <c r="AY64" i="150"/>
  <c r="BD64" i="150"/>
  <c r="BE64" i="150" s="1"/>
  <c r="AQ64" i="150"/>
  <c r="AR64" i="150" s="1"/>
  <c r="AK64" i="150"/>
  <c r="AL64" i="150" s="1"/>
  <c r="AE64" i="150"/>
  <c r="AF64" i="150" s="1"/>
  <c r="Y64" i="150"/>
  <c r="Z64" i="150" s="1"/>
  <c r="R64" i="150"/>
  <c r="T64" i="150" s="1"/>
  <c r="P64" i="150"/>
  <c r="BA64" i="150"/>
  <c r="BB64" i="150" s="1"/>
  <c r="AN64" i="150"/>
  <c r="AO64" i="150" s="1"/>
  <c r="AB64" i="150"/>
  <c r="AC64" i="150" s="1"/>
  <c r="O64" i="150"/>
  <c r="AV64" i="150"/>
  <c r="AW64" i="150" s="1"/>
  <c r="AT64" i="150"/>
  <c r="AH64" i="150"/>
  <c r="AI64" i="150" s="1"/>
  <c r="V64" i="150"/>
  <c r="W64" i="150" s="1"/>
  <c r="BG64" i="150"/>
  <c r="BH64" i="150" s="1"/>
  <c r="BN64" i="150"/>
  <c r="BO64" i="150" s="1"/>
  <c r="M64" i="150"/>
  <c r="BL64" i="150"/>
  <c r="K65" i="150"/>
  <c r="K67" i="149"/>
  <c r="AT67" i="149" s="1"/>
  <c r="I68" i="149"/>
  <c r="BQ66" i="149"/>
  <c r="BR66" i="149" s="1"/>
  <c r="AY66" i="149"/>
  <c r="BD66" i="149"/>
  <c r="BE66" i="149" s="1"/>
  <c r="AQ66" i="149"/>
  <c r="AR66" i="149" s="1"/>
  <c r="AK66" i="149"/>
  <c r="AL66" i="149" s="1"/>
  <c r="AE66" i="149"/>
  <c r="AF66" i="149" s="1"/>
  <c r="Y66" i="149"/>
  <c r="Z66" i="149" s="1"/>
  <c r="R66" i="149"/>
  <c r="T66" i="149" s="1"/>
  <c r="P66" i="149"/>
  <c r="AV66" i="149"/>
  <c r="AW66" i="149" s="1"/>
  <c r="V66" i="149"/>
  <c r="W66" i="149" s="1"/>
  <c r="AN66" i="149"/>
  <c r="AO66" i="149" s="1"/>
  <c r="O66" i="149"/>
  <c r="BG66" i="149"/>
  <c r="BH66" i="149" s="1"/>
  <c r="AH66" i="149"/>
  <c r="AI66" i="149" s="1"/>
  <c r="BA66" i="149"/>
  <c r="BB66" i="149" s="1"/>
  <c r="AB66" i="149"/>
  <c r="AC66" i="149" s="1"/>
  <c r="M66" i="149"/>
  <c r="BN66" i="149"/>
  <c r="BO66" i="149" s="1"/>
  <c r="BL66" i="149"/>
  <c r="K66" i="147"/>
  <c r="I67" i="147"/>
  <c r="BQ65" i="147"/>
  <c r="BR65" i="147" s="1"/>
  <c r="AY65" i="147"/>
  <c r="BD65" i="147"/>
  <c r="BE65" i="147" s="1"/>
  <c r="AQ65" i="147"/>
  <c r="AR65" i="147" s="1"/>
  <c r="AK65" i="147"/>
  <c r="AL65" i="147" s="1"/>
  <c r="AE65" i="147"/>
  <c r="AF65" i="147" s="1"/>
  <c r="Y65" i="147"/>
  <c r="Z65" i="147" s="1"/>
  <c r="R65" i="147"/>
  <c r="T65" i="147" s="1"/>
  <c r="P65" i="147"/>
  <c r="BA65" i="147"/>
  <c r="BB65" i="147" s="1"/>
  <c r="AN65" i="147"/>
  <c r="AO65" i="147" s="1"/>
  <c r="AB65" i="147"/>
  <c r="AC65" i="147" s="1"/>
  <c r="O65" i="147"/>
  <c r="AV65" i="147"/>
  <c r="AW65" i="147" s="1"/>
  <c r="BG65" i="147"/>
  <c r="BH65" i="147" s="1"/>
  <c r="AT65" i="147"/>
  <c r="AH65" i="147"/>
  <c r="AI65" i="147" s="1"/>
  <c r="V65" i="147"/>
  <c r="W65" i="147" s="1"/>
  <c r="BK65" i="147"/>
  <c r="BJ65" i="147"/>
  <c r="BL65" i="147" s="1"/>
  <c r="BN65" i="147"/>
  <c r="BO65" i="147" s="1"/>
  <c r="M65" i="147"/>
  <c r="O36" i="146"/>
  <c r="V36" i="146" s="1"/>
  <c r="W36" i="146" s="1"/>
  <c r="AV64" i="146"/>
  <c r="AW64" i="146" s="1"/>
  <c r="P64" i="146"/>
  <c r="BG64" i="146"/>
  <c r="BH64" i="146" s="1"/>
  <c r="BA64" i="146"/>
  <c r="BB64" i="146" s="1"/>
  <c r="AT64" i="146"/>
  <c r="AN64" i="146"/>
  <c r="AO64" i="146" s="1"/>
  <c r="AH64" i="146"/>
  <c r="AI64" i="146" s="1"/>
  <c r="AB64" i="146"/>
  <c r="AC64" i="146" s="1"/>
  <c r="V64" i="146"/>
  <c r="W64" i="146" s="1"/>
  <c r="O64" i="146"/>
  <c r="BQ64" i="146"/>
  <c r="BR64" i="146" s="1"/>
  <c r="AY64" i="146"/>
  <c r="BD64" i="146"/>
  <c r="BE64" i="146" s="1"/>
  <c r="AE64" i="146"/>
  <c r="AF64" i="146" s="1"/>
  <c r="Y64" i="146"/>
  <c r="Z64" i="146" s="1"/>
  <c r="AQ64" i="146"/>
  <c r="AR64" i="146" s="1"/>
  <c r="R64" i="146"/>
  <c r="T64" i="146" s="1"/>
  <c r="AK64" i="146"/>
  <c r="AL64" i="146" s="1"/>
  <c r="BJ64" i="146"/>
  <c r="BL64" i="146" s="1"/>
  <c r="BN64" i="146"/>
  <c r="BO64" i="146" s="1"/>
  <c r="M64" i="146"/>
  <c r="BK64" i="146"/>
  <c r="P37" i="146"/>
  <c r="P38" i="146" s="1"/>
  <c r="P39" i="146" s="1"/>
  <c r="P40" i="146" s="1"/>
  <c r="P41" i="146" s="1"/>
  <c r="P42" i="146" s="1"/>
  <c r="P43" i="146" s="1"/>
  <c r="P44" i="146" s="1"/>
  <c r="P45" i="146" s="1"/>
  <c r="P46" i="146" s="1"/>
  <c r="P47" i="146" s="1"/>
  <c r="P48" i="146" s="1"/>
  <c r="P49" i="146" s="1"/>
  <c r="P50" i="146" s="1"/>
  <c r="P51" i="146" s="1"/>
  <c r="P52" i="146" s="1"/>
  <c r="P53" i="146" s="1"/>
  <c r="P54" i="146" s="1"/>
  <c r="I66" i="146"/>
  <c r="K65" i="146"/>
  <c r="M60" i="17"/>
  <c r="BN60" i="17"/>
  <c r="BO60" i="17" s="1"/>
  <c r="BL60" i="17"/>
  <c r="P60" i="17"/>
  <c r="BA60" i="17"/>
  <c r="BB60" i="17" s="1"/>
  <c r="AB60" i="17"/>
  <c r="AC60" i="17" s="1"/>
  <c r="AV60" i="17"/>
  <c r="AW60" i="17" s="1"/>
  <c r="AY60" i="17"/>
  <c r="O60" i="17"/>
  <c r="AK60" i="17"/>
  <c r="AL60" i="17" s="1"/>
  <c r="BQ60" i="17"/>
  <c r="BR60" i="17" s="1"/>
  <c r="BD60" i="17"/>
  <c r="BE60" i="17" s="1"/>
  <c r="BG60" i="17"/>
  <c r="BH60" i="17" s="1"/>
  <c r="R60" i="17"/>
  <c r="T60" i="17" s="1"/>
  <c r="AQ60" i="17"/>
  <c r="AR60" i="17" s="1"/>
  <c r="AT60" i="17"/>
  <c r="V60" i="17"/>
  <c r="W60" i="17" s="1"/>
  <c r="AH60" i="17"/>
  <c r="AI60" i="17" s="1"/>
  <c r="AN60" i="17"/>
  <c r="AO60" i="17" s="1"/>
  <c r="Y60" i="17"/>
  <c r="Z60" i="17" s="1"/>
  <c r="AE60" i="17"/>
  <c r="AF60" i="17" s="1"/>
  <c r="I68" i="136"/>
  <c r="I64" i="96"/>
  <c r="K63" i="96"/>
  <c r="K63" i="98"/>
  <c r="BK62" i="98"/>
  <c r="M62" i="98"/>
  <c r="BJ62" i="98"/>
  <c r="BL62" i="98" s="1"/>
  <c r="BN62" i="98"/>
  <c r="BO62" i="98" s="1"/>
  <c r="BQ62" i="98"/>
  <c r="BR62" i="98" s="1"/>
  <c r="AN62" i="98"/>
  <c r="AO62" i="98" s="1"/>
  <c r="BG62" i="98"/>
  <c r="BH62" i="98" s="1"/>
  <c r="Y62" i="98"/>
  <c r="Z62" i="98" s="1"/>
  <c r="P62" i="98"/>
  <c r="AV62" i="98"/>
  <c r="AW62" i="98" s="1"/>
  <c r="AH62" i="98"/>
  <c r="AI62" i="98" s="1"/>
  <c r="AQ62" i="98"/>
  <c r="AR62" i="98" s="1"/>
  <c r="O62" i="98"/>
  <c r="AE62" i="98"/>
  <c r="AF62" i="98" s="1"/>
  <c r="BA62" i="98"/>
  <c r="BB62" i="98" s="1"/>
  <c r="AY62" i="98"/>
  <c r="AT62" i="98"/>
  <c r="AK62" i="98"/>
  <c r="AL62" i="98" s="1"/>
  <c r="V62" i="98"/>
  <c r="W62" i="98" s="1"/>
  <c r="BD62" i="98"/>
  <c r="BE62" i="98" s="1"/>
  <c r="R62" i="98"/>
  <c r="T62" i="98" s="1"/>
  <c r="AB62" i="98"/>
  <c r="AC62" i="98" s="1"/>
  <c r="BJ64" i="105"/>
  <c r="BL64" i="105" s="1"/>
  <c r="M64" i="105"/>
  <c r="BK64" i="105"/>
  <c r="BN64" i="105"/>
  <c r="BO64" i="105" s="1"/>
  <c r="O64" i="105"/>
  <c r="V64" i="105"/>
  <c r="W64" i="105" s="1"/>
  <c r="Y64" i="105"/>
  <c r="Z64" i="105" s="1"/>
  <c r="R64" i="105"/>
  <c r="T64" i="105" s="1"/>
  <c r="AN64" i="105"/>
  <c r="AO64" i="105" s="1"/>
  <c r="BQ64" i="105"/>
  <c r="BR64" i="105" s="1"/>
  <c r="AQ64" i="105"/>
  <c r="AR64" i="105" s="1"/>
  <c r="AT64" i="105"/>
  <c r="BG64" i="105"/>
  <c r="BH64" i="105" s="1"/>
  <c r="AB64" i="105"/>
  <c r="AC64" i="105" s="1"/>
  <c r="AH64" i="105"/>
  <c r="AI64" i="105" s="1"/>
  <c r="P64" i="105"/>
  <c r="AV64" i="105"/>
  <c r="AW64" i="105" s="1"/>
  <c r="BD64" i="105"/>
  <c r="BE64" i="105" s="1"/>
  <c r="AY64" i="105"/>
  <c r="AE64" i="105"/>
  <c r="AF64" i="105" s="1"/>
  <c r="AK64" i="105"/>
  <c r="AL64" i="105" s="1"/>
  <c r="BA64" i="105"/>
  <c r="BB64" i="105" s="1"/>
  <c r="K65" i="105"/>
  <c r="M60" i="66"/>
  <c r="BQ60" i="66"/>
  <c r="BR60" i="66" s="1"/>
  <c r="AN60" i="66"/>
  <c r="AO60" i="66" s="1"/>
  <c r="O60" i="66"/>
  <c r="AT60" i="66"/>
  <c r="AQ60" i="66"/>
  <c r="AR60" i="66" s="1"/>
  <c r="AK60" i="66"/>
  <c r="AL60" i="66" s="1"/>
  <c r="BA60" i="66"/>
  <c r="BB60" i="66" s="1"/>
  <c r="BG60" i="66"/>
  <c r="BH60" i="66" s="1"/>
  <c r="AH60" i="66"/>
  <c r="AI60" i="66" s="1"/>
  <c r="V60" i="66"/>
  <c r="W60" i="66" s="1"/>
  <c r="BD60" i="66"/>
  <c r="BE60" i="66" s="1"/>
  <c r="AY60" i="66"/>
  <c r="AB60" i="66"/>
  <c r="AC60" i="66" s="1"/>
  <c r="AE60" i="66"/>
  <c r="AF60" i="66" s="1"/>
  <c r="P60" i="66"/>
  <c r="BN60" i="66"/>
  <c r="BO60" i="66" s="1"/>
  <c r="Y60" i="66"/>
  <c r="Z60" i="66" s="1"/>
  <c r="AV60" i="66"/>
  <c r="AW60" i="66" s="1"/>
  <c r="R60" i="66"/>
  <c r="T60" i="66" s="1"/>
  <c r="BL60" i="66"/>
  <c r="V60" i="120"/>
  <c r="W60" i="120" s="1"/>
  <c r="BG60" i="120"/>
  <c r="BH60" i="120" s="1"/>
  <c r="AY60" i="120"/>
  <c r="AN60" i="120"/>
  <c r="AO60" i="120" s="1"/>
  <c r="AB60" i="120"/>
  <c r="AC60" i="120" s="1"/>
  <c r="AQ60" i="120"/>
  <c r="AR60" i="120" s="1"/>
  <c r="AH60" i="120"/>
  <c r="AI60" i="120" s="1"/>
  <c r="O60" i="120"/>
  <c r="R60" i="120"/>
  <c r="T60" i="120" s="1"/>
  <c r="K61" i="120"/>
  <c r="M60" i="120"/>
  <c r="AV60" i="120"/>
  <c r="AW60" i="120" s="1"/>
  <c r="BA60" i="120"/>
  <c r="BB60" i="120" s="1"/>
  <c r="AE60" i="120"/>
  <c r="AF60" i="120" s="1"/>
  <c r="BD60" i="120"/>
  <c r="BE60" i="120" s="1"/>
  <c r="Y60" i="120"/>
  <c r="Z60" i="120" s="1"/>
  <c r="P60" i="120"/>
  <c r="BQ60" i="120"/>
  <c r="BR60" i="120" s="1"/>
  <c r="AT60" i="120"/>
  <c r="AK60" i="120"/>
  <c r="AL60" i="120" s="1"/>
  <c r="BN60" i="120"/>
  <c r="BO60" i="120" s="1"/>
  <c r="M62" i="115"/>
  <c r="BJ62" i="115"/>
  <c r="BL62" i="115" s="1"/>
  <c r="BK62" i="115"/>
  <c r="BN62" i="115"/>
  <c r="BO62" i="115" s="1"/>
  <c r="AQ62" i="115"/>
  <c r="AR62" i="115" s="1"/>
  <c r="AH62" i="115"/>
  <c r="AI62" i="115" s="1"/>
  <c r="BG62" i="115"/>
  <c r="BH62" i="115" s="1"/>
  <c r="AV62" i="115"/>
  <c r="AW62" i="115" s="1"/>
  <c r="AY62" i="115"/>
  <c r="V62" i="115"/>
  <c r="W62" i="115" s="1"/>
  <c r="R62" i="115"/>
  <c r="T62" i="115" s="1"/>
  <c r="BD62" i="115"/>
  <c r="BE62" i="115" s="1"/>
  <c r="BA62" i="115"/>
  <c r="BB62" i="115" s="1"/>
  <c r="O62" i="115"/>
  <c r="Y62" i="115"/>
  <c r="Z62" i="115" s="1"/>
  <c r="AT62" i="115"/>
  <c r="AK62" i="115"/>
  <c r="AL62" i="115" s="1"/>
  <c r="AE62" i="115"/>
  <c r="AF62" i="115" s="1"/>
  <c r="P62" i="115"/>
  <c r="AB62" i="115"/>
  <c r="AC62" i="115" s="1"/>
  <c r="BQ62" i="115"/>
  <c r="BR62" i="115" s="1"/>
  <c r="AN62" i="115"/>
  <c r="AO62" i="115" s="1"/>
  <c r="I65" i="135"/>
  <c r="K64" i="135"/>
  <c r="I77" i="133"/>
  <c r="I62" i="17"/>
  <c r="K61" i="17"/>
  <c r="M62" i="110"/>
  <c r="BN62" i="110"/>
  <c r="BO62" i="110" s="1"/>
  <c r="BJ62" i="110"/>
  <c r="BL62" i="110" s="1"/>
  <c r="BK62" i="110"/>
  <c r="AY62" i="110"/>
  <c r="O62" i="110"/>
  <c r="AK62" i="110"/>
  <c r="AL62" i="110" s="1"/>
  <c r="AB62" i="110"/>
  <c r="AC62" i="110" s="1"/>
  <c r="R62" i="110"/>
  <c r="T62" i="110" s="1"/>
  <c r="BG62" i="110"/>
  <c r="BH62" i="110" s="1"/>
  <c r="Y62" i="110"/>
  <c r="Z62" i="110" s="1"/>
  <c r="AV62" i="110"/>
  <c r="AW62" i="110" s="1"/>
  <c r="AE62" i="110"/>
  <c r="AF62" i="110" s="1"/>
  <c r="BD62" i="110"/>
  <c r="BE62" i="110" s="1"/>
  <c r="BA62" i="110"/>
  <c r="BB62" i="110" s="1"/>
  <c r="V62" i="110"/>
  <c r="W62" i="110" s="1"/>
  <c r="BQ62" i="110"/>
  <c r="BR62" i="110" s="1"/>
  <c r="AH62" i="110"/>
  <c r="AI62" i="110" s="1"/>
  <c r="AT62" i="110"/>
  <c r="AN62" i="110"/>
  <c r="AO62" i="110" s="1"/>
  <c r="P62" i="110"/>
  <c r="AQ62" i="110"/>
  <c r="AR62" i="110" s="1"/>
  <c r="BN62" i="96"/>
  <c r="BO62" i="96" s="1"/>
  <c r="AH62" i="96"/>
  <c r="AI62" i="96" s="1"/>
  <c r="AE62" i="96"/>
  <c r="AF62" i="96" s="1"/>
  <c r="O62" i="96"/>
  <c r="AQ62" i="96"/>
  <c r="AR62" i="96" s="1"/>
  <c r="BQ62" i="96"/>
  <c r="BR62" i="96" s="1"/>
  <c r="BG62" i="96"/>
  <c r="BH62" i="96" s="1"/>
  <c r="AV62" i="96"/>
  <c r="AW62" i="96" s="1"/>
  <c r="BD62" i="96"/>
  <c r="BE62" i="96" s="1"/>
  <c r="AB62" i="96"/>
  <c r="AT62" i="96"/>
  <c r="Y62" i="96"/>
  <c r="Z62" i="96" s="1"/>
  <c r="M62" i="96"/>
  <c r="P62" i="96"/>
  <c r="V62" i="96"/>
  <c r="W62" i="96" s="1"/>
  <c r="AN62" i="96"/>
  <c r="AO62" i="96" s="1"/>
  <c r="BA62" i="96"/>
  <c r="BB62" i="96" s="1"/>
  <c r="AK62" i="96"/>
  <c r="AL62" i="96" s="1"/>
  <c r="R62" i="96"/>
  <c r="T62" i="96" s="1"/>
  <c r="BL62" i="96"/>
  <c r="I62" i="13"/>
  <c r="K61" i="13"/>
  <c r="M61" i="118"/>
  <c r="K62" i="118"/>
  <c r="BN61" i="118"/>
  <c r="BO61" i="118" s="1"/>
  <c r="AQ61" i="118"/>
  <c r="AR61" i="118" s="1"/>
  <c r="AV61" i="118"/>
  <c r="AW61" i="118" s="1"/>
  <c r="BD61" i="118"/>
  <c r="BE61" i="118" s="1"/>
  <c r="V61" i="118"/>
  <c r="W61" i="118" s="1"/>
  <c r="AK61" i="118"/>
  <c r="AL61" i="118" s="1"/>
  <c r="AN61" i="118"/>
  <c r="AO61" i="118" s="1"/>
  <c r="AE61" i="118"/>
  <c r="AF61" i="118" s="1"/>
  <c r="R61" i="118"/>
  <c r="T61" i="118" s="1"/>
  <c r="P61" i="118"/>
  <c r="O61" i="118"/>
  <c r="BA61" i="118"/>
  <c r="BB61" i="118" s="1"/>
  <c r="BG61" i="118"/>
  <c r="BH61" i="118" s="1"/>
  <c r="AH61" i="118"/>
  <c r="AI61" i="118" s="1"/>
  <c r="BQ61" i="118"/>
  <c r="BR61" i="118" s="1"/>
  <c r="Y61" i="118"/>
  <c r="Z61" i="118" s="1"/>
  <c r="AB61" i="118"/>
  <c r="AC61" i="118" s="1"/>
  <c r="AT61" i="118"/>
  <c r="AY61" i="118"/>
  <c r="I69" i="132"/>
  <c r="I66" i="104"/>
  <c r="I64" i="115"/>
  <c r="K63" i="115"/>
  <c r="I71" i="95"/>
  <c r="M63" i="135"/>
  <c r="AK63" i="135"/>
  <c r="AL63" i="135" s="1"/>
  <c r="AQ63" i="135"/>
  <c r="AR63" i="135" s="1"/>
  <c r="AV63" i="135"/>
  <c r="AW63" i="135" s="1"/>
  <c r="AE63" i="135"/>
  <c r="AF63" i="135" s="1"/>
  <c r="BG63" i="135"/>
  <c r="BH63" i="135" s="1"/>
  <c r="Y63" i="135"/>
  <c r="Z63" i="135" s="1"/>
  <c r="BA63" i="135"/>
  <c r="BB63" i="135" s="1"/>
  <c r="R63" i="135"/>
  <c r="T63" i="135" s="1"/>
  <c r="BQ63" i="135"/>
  <c r="BR63" i="135" s="1"/>
  <c r="O63" i="135"/>
  <c r="V63" i="135"/>
  <c r="W63" i="135" s="1"/>
  <c r="AB63" i="135"/>
  <c r="AC63" i="135" s="1"/>
  <c r="BD63" i="135"/>
  <c r="BE63" i="135" s="1"/>
  <c r="AH63" i="135"/>
  <c r="AI63" i="135" s="1"/>
  <c r="P63" i="135"/>
  <c r="AY63" i="135"/>
  <c r="AT63" i="135"/>
  <c r="AN63" i="135"/>
  <c r="AO63" i="135" s="1"/>
  <c r="BL63" i="135"/>
  <c r="BN63" i="135"/>
  <c r="BO63" i="135" s="1"/>
  <c r="M61" i="15"/>
  <c r="BL61" i="15"/>
  <c r="BN61" i="15"/>
  <c r="BO61" i="15" s="1"/>
  <c r="AB61" i="15"/>
  <c r="AC61" i="15" s="1"/>
  <c r="AE61" i="15"/>
  <c r="AF61" i="15" s="1"/>
  <c r="BD61" i="15"/>
  <c r="BE61" i="15" s="1"/>
  <c r="AY61" i="15"/>
  <c r="AN61" i="15"/>
  <c r="AO61" i="15" s="1"/>
  <c r="Y61" i="15"/>
  <c r="Z61" i="15" s="1"/>
  <c r="AT61" i="15"/>
  <c r="P61" i="15"/>
  <c r="BQ61" i="15"/>
  <c r="BR61" i="15" s="1"/>
  <c r="R61" i="15"/>
  <c r="T61" i="15" s="1"/>
  <c r="O61" i="15"/>
  <c r="AK61" i="15"/>
  <c r="AL61" i="15" s="1"/>
  <c r="BG61" i="15"/>
  <c r="BH61" i="15" s="1"/>
  <c r="V61" i="15"/>
  <c r="W61" i="15" s="1"/>
  <c r="AQ61" i="15"/>
  <c r="AR61" i="15" s="1"/>
  <c r="AV61" i="15"/>
  <c r="AW61" i="15" s="1"/>
  <c r="BA61" i="15"/>
  <c r="BB61" i="15" s="1"/>
  <c r="AH61" i="15"/>
  <c r="AI61" i="15" s="1"/>
  <c r="K62" i="15"/>
  <c r="I67" i="126"/>
  <c r="K63" i="110"/>
  <c r="I64" i="110"/>
  <c r="I68" i="64"/>
  <c r="BJ62" i="114"/>
  <c r="BL62" i="114" s="1"/>
  <c r="M62" i="114"/>
  <c r="BK62" i="114"/>
  <c r="BN62" i="114"/>
  <c r="BO62" i="114" s="1"/>
  <c r="AN62" i="114"/>
  <c r="AO62" i="114" s="1"/>
  <c r="AY62" i="114"/>
  <c r="AQ62" i="114"/>
  <c r="AR62" i="114" s="1"/>
  <c r="AH62" i="114"/>
  <c r="AI62" i="114" s="1"/>
  <c r="Y62" i="114"/>
  <c r="Z62" i="114" s="1"/>
  <c r="BQ62" i="114"/>
  <c r="BR62" i="114" s="1"/>
  <c r="V62" i="114"/>
  <c r="W62" i="114" s="1"/>
  <c r="R62" i="114"/>
  <c r="T62" i="114" s="1"/>
  <c r="BD62" i="114"/>
  <c r="BE62" i="114" s="1"/>
  <c r="BA62" i="114"/>
  <c r="BB62" i="114" s="1"/>
  <c r="AT62" i="114"/>
  <c r="AK62" i="114"/>
  <c r="AL62" i="114" s="1"/>
  <c r="BG62" i="114"/>
  <c r="BH62" i="114" s="1"/>
  <c r="P62" i="114"/>
  <c r="AB62" i="114"/>
  <c r="AC62" i="114" s="1"/>
  <c r="AE62" i="114"/>
  <c r="AF62" i="114" s="1"/>
  <c r="AV62" i="114"/>
  <c r="AW62" i="114" s="1"/>
  <c r="O62" i="114"/>
  <c r="K63" i="114"/>
  <c r="M60" i="13"/>
  <c r="BL60" i="13"/>
  <c r="BN60" i="13"/>
  <c r="BO60" i="13" s="1"/>
  <c r="P60" i="13"/>
  <c r="BG60" i="13"/>
  <c r="BH60" i="13" s="1"/>
  <c r="R60" i="13"/>
  <c r="T60" i="13" s="1"/>
  <c r="BD60" i="13"/>
  <c r="BE60" i="13" s="1"/>
  <c r="AN60" i="13"/>
  <c r="AO60" i="13" s="1"/>
  <c r="AH60" i="13"/>
  <c r="AI60" i="13" s="1"/>
  <c r="Y60" i="13"/>
  <c r="Z60" i="13" s="1"/>
  <c r="AQ60" i="13"/>
  <c r="AR60" i="13" s="1"/>
  <c r="AT60" i="13"/>
  <c r="AV60" i="13"/>
  <c r="AW60" i="13" s="1"/>
  <c r="O60" i="13"/>
  <c r="AK60" i="13"/>
  <c r="AL60" i="13" s="1"/>
  <c r="AY60" i="13"/>
  <c r="AE60" i="13"/>
  <c r="AF60" i="13" s="1"/>
  <c r="BQ60" i="13"/>
  <c r="BR60" i="13" s="1"/>
  <c r="V60" i="13"/>
  <c r="W60" i="13" s="1"/>
  <c r="BA60" i="13"/>
  <c r="BB60" i="13" s="1"/>
  <c r="AB60" i="13"/>
  <c r="AC60" i="13" s="1"/>
  <c r="I68" i="114"/>
  <c r="AC61" i="96"/>
  <c r="M61" i="101"/>
  <c r="AV61" i="101"/>
  <c r="AW61" i="101" s="1"/>
  <c r="R61" i="101"/>
  <c r="T61" i="101" s="1"/>
  <c r="AQ61" i="101"/>
  <c r="AR61" i="101" s="1"/>
  <c r="AB61" i="101"/>
  <c r="AC61" i="101" s="1"/>
  <c r="BD61" i="101"/>
  <c r="BE61" i="101" s="1"/>
  <c r="AE61" i="101"/>
  <c r="AF61" i="101" s="1"/>
  <c r="V61" i="101"/>
  <c r="W61" i="101" s="1"/>
  <c r="Y61" i="101"/>
  <c r="Z61" i="101" s="1"/>
  <c r="O61" i="101"/>
  <c r="AN61" i="101"/>
  <c r="AO61" i="101" s="1"/>
  <c r="BG61" i="101"/>
  <c r="BH61" i="101" s="1"/>
  <c r="AY61" i="101"/>
  <c r="AH61" i="101"/>
  <c r="AI61" i="101" s="1"/>
  <c r="AK61" i="101"/>
  <c r="AL61" i="101" s="1"/>
  <c r="AT61" i="101"/>
  <c r="P61" i="101"/>
  <c r="BQ61" i="101"/>
  <c r="BR61" i="101" s="1"/>
  <c r="BA61" i="101"/>
  <c r="BB61" i="101" s="1"/>
  <c r="M62" i="126"/>
  <c r="BK62" i="126"/>
  <c r="BJ62" i="126"/>
  <c r="BL62" i="126" s="1"/>
  <c r="BN62" i="126"/>
  <c r="BO62" i="126" s="1"/>
  <c r="AB62" i="126"/>
  <c r="AC62" i="126" s="1"/>
  <c r="AT62" i="126"/>
  <c r="AV62" i="126"/>
  <c r="AW62" i="126" s="1"/>
  <c r="V62" i="126"/>
  <c r="W62" i="126" s="1"/>
  <c r="AY62" i="126"/>
  <c r="AH62" i="126"/>
  <c r="AI62" i="126" s="1"/>
  <c r="BQ62" i="126"/>
  <c r="BR62" i="126" s="1"/>
  <c r="AN62" i="126"/>
  <c r="AO62" i="126" s="1"/>
  <c r="BG62" i="126"/>
  <c r="BH62" i="126" s="1"/>
  <c r="BD62" i="126"/>
  <c r="BE62" i="126" s="1"/>
  <c r="AE62" i="126"/>
  <c r="AF62" i="126" s="1"/>
  <c r="P62" i="126"/>
  <c r="Y62" i="126"/>
  <c r="Z62" i="126" s="1"/>
  <c r="AK62" i="126"/>
  <c r="AL62" i="126" s="1"/>
  <c r="O62" i="126"/>
  <c r="AQ62" i="126"/>
  <c r="AR62" i="126" s="1"/>
  <c r="BA62" i="126"/>
  <c r="BB62" i="126" s="1"/>
  <c r="R62" i="126"/>
  <c r="T62" i="126" s="1"/>
  <c r="K63" i="126"/>
  <c r="M64" i="136"/>
  <c r="BN64" i="136"/>
  <c r="BO64" i="136" s="1"/>
  <c r="BL64" i="136"/>
  <c r="R64" i="136"/>
  <c r="T64" i="136" s="1"/>
  <c r="AQ64" i="136"/>
  <c r="AR64" i="136" s="1"/>
  <c r="AN64" i="136"/>
  <c r="AO64" i="136" s="1"/>
  <c r="AT64" i="136"/>
  <c r="BD64" i="136"/>
  <c r="BE64" i="136" s="1"/>
  <c r="AV64" i="136"/>
  <c r="AW64" i="136" s="1"/>
  <c r="AK64" i="136"/>
  <c r="AL64" i="136" s="1"/>
  <c r="O64" i="136"/>
  <c r="V64" i="136"/>
  <c r="W64" i="136" s="1"/>
  <c r="AH64" i="136"/>
  <c r="AI64" i="136" s="1"/>
  <c r="AE64" i="136"/>
  <c r="AF64" i="136" s="1"/>
  <c r="BA64" i="136"/>
  <c r="BB64" i="136" s="1"/>
  <c r="P64" i="136"/>
  <c r="BQ64" i="136"/>
  <c r="BR64" i="136" s="1"/>
  <c r="AY64" i="136"/>
  <c r="AB64" i="136"/>
  <c r="AC64" i="136" s="1"/>
  <c r="Y64" i="136"/>
  <c r="Z64" i="136" s="1"/>
  <c r="BG64" i="136"/>
  <c r="BH64" i="136" s="1"/>
  <c r="K65" i="136"/>
  <c r="M62" i="63"/>
  <c r="BN62" i="63"/>
  <c r="BO62" i="63" s="1"/>
  <c r="BG62" i="63"/>
  <c r="BH62" i="63" s="1"/>
  <c r="O62" i="63"/>
  <c r="BD62" i="63"/>
  <c r="BE62" i="63" s="1"/>
  <c r="BA62" i="63"/>
  <c r="BB62" i="63" s="1"/>
  <c r="AN62" i="63"/>
  <c r="AO62" i="63" s="1"/>
  <c r="AB62" i="63"/>
  <c r="AC62" i="63" s="1"/>
  <c r="AQ62" i="63"/>
  <c r="AR62" i="63" s="1"/>
  <c r="AE62" i="63"/>
  <c r="AF62" i="63" s="1"/>
  <c r="AH62" i="63"/>
  <c r="AI62" i="63" s="1"/>
  <c r="Y62" i="63"/>
  <c r="Z62" i="63" s="1"/>
  <c r="AK62" i="63"/>
  <c r="AL62" i="63" s="1"/>
  <c r="AY62" i="63"/>
  <c r="R62" i="63"/>
  <c r="T62" i="63" s="1"/>
  <c r="AT62" i="63"/>
  <c r="V62" i="63"/>
  <c r="W62" i="63" s="1"/>
  <c r="P62" i="63"/>
  <c r="AV62" i="63"/>
  <c r="AW62" i="63" s="1"/>
  <c r="BQ62" i="63"/>
  <c r="BR62" i="63" s="1"/>
  <c r="BL62" i="63"/>
  <c r="K63" i="63"/>
  <c r="I66" i="15"/>
  <c r="AY63" i="64"/>
  <c r="BA63" i="64"/>
  <c r="BB63" i="64" s="1"/>
  <c r="V63" i="64"/>
  <c r="W63" i="64" s="1"/>
  <c r="AV63" i="64"/>
  <c r="AW63" i="64" s="1"/>
  <c r="AT63" i="64"/>
  <c r="AK63" i="64"/>
  <c r="AL63" i="64" s="1"/>
  <c r="O63" i="64"/>
  <c r="M63" i="64"/>
  <c r="BQ63" i="64"/>
  <c r="BR63" i="64" s="1"/>
  <c r="AE63" i="64"/>
  <c r="AF63" i="64" s="1"/>
  <c r="R63" i="64"/>
  <c r="T63" i="64" s="1"/>
  <c r="AN63" i="64"/>
  <c r="AO63" i="64" s="1"/>
  <c r="AH63" i="64"/>
  <c r="AI63" i="64" s="1"/>
  <c r="Y63" i="64"/>
  <c r="Z63" i="64" s="1"/>
  <c r="BG63" i="64"/>
  <c r="BH63" i="64" s="1"/>
  <c r="AB63" i="64"/>
  <c r="AC63" i="64" s="1"/>
  <c r="AQ63" i="64"/>
  <c r="AR63" i="64" s="1"/>
  <c r="BD63" i="64"/>
  <c r="BE63" i="64" s="1"/>
  <c r="P63" i="64"/>
  <c r="BN63" i="64"/>
  <c r="BO63" i="64" s="1"/>
  <c r="BL63" i="64"/>
  <c r="K64" i="64"/>
  <c r="M66" i="124"/>
  <c r="BK66" i="124"/>
  <c r="K67" i="124"/>
  <c r="BN66" i="124"/>
  <c r="BO66" i="124" s="1"/>
  <c r="BJ66" i="124"/>
  <c r="BL66" i="124" s="1"/>
  <c r="P66" i="124"/>
  <c r="BG66" i="124"/>
  <c r="BH66" i="124" s="1"/>
  <c r="BQ66" i="124"/>
  <c r="BR66" i="124" s="1"/>
  <c r="AY66" i="124"/>
  <c r="AN66" i="124"/>
  <c r="AO66" i="124" s="1"/>
  <c r="AK66" i="124"/>
  <c r="AL66" i="124" s="1"/>
  <c r="BA66" i="124"/>
  <c r="BB66" i="124" s="1"/>
  <c r="AQ66" i="124"/>
  <c r="AR66" i="124" s="1"/>
  <c r="V66" i="124"/>
  <c r="W66" i="124" s="1"/>
  <c r="Y66" i="124"/>
  <c r="Z66" i="124" s="1"/>
  <c r="R66" i="124"/>
  <c r="T66" i="124" s="1"/>
  <c r="AE66" i="124"/>
  <c r="AF66" i="124" s="1"/>
  <c r="AT66" i="124"/>
  <c r="BD66" i="124"/>
  <c r="BE66" i="124" s="1"/>
  <c r="AV66" i="124"/>
  <c r="AW66" i="124" s="1"/>
  <c r="AH66" i="124"/>
  <c r="AI66" i="124" s="1"/>
  <c r="AB66" i="124"/>
  <c r="AC66" i="124" s="1"/>
  <c r="O66" i="124"/>
  <c r="K61" i="66"/>
  <c r="I62" i="66"/>
  <c r="I63" i="101"/>
  <c r="K62" i="101"/>
  <c r="I69" i="105"/>
  <c r="I67" i="63"/>
  <c r="O32" i="112"/>
  <c r="P33" i="112"/>
  <c r="V32" i="112"/>
  <c r="W32" i="112" s="1"/>
  <c r="O36" i="110"/>
  <c r="V36" i="110" s="1"/>
  <c r="W36" i="110" s="1"/>
  <c r="P37" i="110"/>
  <c r="P38" i="110" s="1"/>
  <c r="P39" i="110" s="1"/>
  <c r="P40" i="110" s="1"/>
  <c r="P41" i="110" s="1"/>
  <c r="P42" i="110" s="1"/>
  <c r="P43" i="110" s="1"/>
  <c r="P44" i="110" s="1"/>
  <c r="P45" i="110" s="1"/>
  <c r="P46" i="110" s="1"/>
  <c r="P47" i="110" s="1"/>
  <c r="P48" i="110" s="1"/>
  <c r="P49" i="110" s="1"/>
  <c r="P50" i="110" s="1"/>
  <c r="P51" i="110" s="1"/>
  <c r="P52" i="110" s="1"/>
  <c r="P53" i="110" s="1"/>
  <c r="P54" i="110" s="1"/>
  <c r="K65" i="99" l="1"/>
  <c r="P64" i="99"/>
  <c r="BG64" i="99"/>
  <c r="BH64" i="99" s="1"/>
  <c r="O64" i="99"/>
  <c r="Y64" i="99"/>
  <c r="Z64" i="99" s="1"/>
  <c r="BJ64" i="99"/>
  <c r="BL64" i="99" s="1"/>
  <c r="BD64" i="99"/>
  <c r="BE64" i="99" s="1"/>
  <c r="AE64" i="99"/>
  <c r="AF64" i="99" s="1"/>
  <c r="AQ64" i="99"/>
  <c r="AR64" i="99" s="1"/>
  <c r="AK64" i="99"/>
  <c r="AL64" i="99" s="1"/>
  <c r="BN64" i="99"/>
  <c r="BO64" i="99" s="1"/>
  <c r="AV64" i="99"/>
  <c r="AW64" i="99" s="1"/>
  <c r="V64" i="99"/>
  <c r="W64" i="99" s="1"/>
  <c r="BK64" i="99"/>
  <c r="AT64" i="99"/>
  <c r="BA64" i="99"/>
  <c r="BB64" i="99" s="1"/>
  <c r="BQ64" i="99"/>
  <c r="BR64" i="99" s="1"/>
  <c r="AY64" i="99"/>
  <c r="AN64" i="99"/>
  <c r="AO64" i="99" s="1"/>
  <c r="AB64" i="99"/>
  <c r="AC64" i="99" s="1"/>
  <c r="R64" i="99"/>
  <c r="T64" i="99" s="1"/>
  <c r="M64" i="99"/>
  <c r="AH64" i="99"/>
  <c r="AI64" i="99" s="1"/>
  <c r="AT19" i="149"/>
  <c r="AT18" i="149"/>
  <c r="AT17" i="149"/>
  <c r="AT16" i="149"/>
  <c r="AT20" i="149"/>
  <c r="AT21" i="149"/>
  <c r="AT22" i="149"/>
  <c r="AT15" i="149"/>
  <c r="AT23" i="149"/>
  <c r="AT25" i="149"/>
  <c r="AT24" i="149"/>
  <c r="AT26" i="149"/>
  <c r="AT28" i="149"/>
  <c r="AT27" i="149"/>
  <c r="AT29" i="149"/>
  <c r="AT30" i="149"/>
  <c r="AT31" i="149"/>
  <c r="AT32" i="149"/>
  <c r="AT35" i="149"/>
  <c r="AT34" i="149"/>
  <c r="AT33" i="149"/>
  <c r="AT36" i="149"/>
  <c r="AT37" i="149"/>
  <c r="AT39" i="149"/>
  <c r="AT38" i="149"/>
  <c r="AT41" i="149"/>
  <c r="AT40" i="149"/>
  <c r="AT42" i="149"/>
  <c r="AT43" i="149"/>
  <c r="AT46" i="149"/>
  <c r="AT44" i="149"/>
  <c r="AT45" i="149"/>
  <c r="AT47" i="149"/>
  <c r="AT48" i="149"/>
  <c r="AT49" i="149"/>
  <c r="AT51" i="149"/>
  <c r="AT52" i="149"/>
  <c r="AT50" i="149"/>
  <c r="AT53" i="149"/>
  <c r="AT54" i="149"/>
  <c r="R64" i="132"/>
  <c r="T64" i="132" s="1"/>
  <c r="BQ64" i="132"/>
  <c r="BR64" i="132" s="1"/>
  <c r="P64" i="132"/>
  <c r="BN64" i="132"/>
  <c r="BO64" i="132" s="1"/>
  <c r="M64" i="132"/>
  <c r="AQ64" i="132"/>
  <c r="AR64" i="132" s="1"/>
  <c r="AE64" i="132"/>
  <c r="AF64" i="132" s="1"/>
  <c r="V64" i="132"/>
  <c r="W64" i="132" s="1"/>
  <c r="AV64" i="132"/>
  <c r="AW64" i="132" s="1"/>
  <c r="AK64" i="132"/>
  <c r="AL64" i="132" s="1"/>
  <c r="K65" i="132"/>
  <c r="AH64" i="132"/>
  <c r="AI64" i="132" s="1"/>
  <c r="BA64" i="132"/>
  <c r="BB64" i="132" s="1"/>
  <c r="AY64" i="132"/>
  <c r="AN64" i="132"/>
  <c r="AO64" i="132" s="1"/>
  <c r="AB64" i="132"/>
  <c r="AC64" i="132" s="1"/>
  <c r="BG64" i="132"/>
  <c r="BH64" i="132" s="1"/>
  <c r="AT64" i="132"/>
  <c r="Y64" i="132"/>
  <c r="Z64" i="132" s="1"/>
  <c r="BL64" i="132"/>
  <c r="O64" i="132"/>
  <c r="BD64" i="132"/>
  <c r="BE64" i="132" s="1"/>
  <c r="BN66" i="107"/>
  <c r="BO66" i="107" s="1"/>
  <c r="O66" i="107"/>
  <c r="AH66" i="107"/>
  <c r="AI66" i="107" s="1"/>
  <c r="BD66" i="107"/>
  <c r="BE66" i="107" s="1"/>
  <c r="P66" i="107"/>
  <c r="BG66" i="107"/>
  <c r="BH66" i="107" s="1"/>
  <c r="BQ66" i="107"/>
  <c r="BR66" i="107" s="1"/>
  <c r="BJ66" i="107"/>
  <c r="BL66" i="107" s="1"/>
  <c r="AN66" i="107"/>
  <c r="AO66" i="107" s="1"/>
  <c r="R66" i="107"/>
  <c r="T66" i="107" s="1"/>
  <c r="AY66" i="107"/>
  <c r="BK66" i="107"/>
  <c r="AV66" i="107"/>
  <c r="AW66" i="107" s="1"/>
  <c r="M66" i="107"/>
  <c r="AE66" i="107"/>
  <c r="AF66" i="107" s="1"/>
  <c r="AT66" i="107"/>
  <c r="AB66" i="107"/>
  <c r="AC66" i="107" s="1"/>
  <c r="AK66" i="107"/>
  <c r="AL66" i="107" s="1"/>
  <c r="V66" i="107"/>
  <c r="W66" i="107" s="1"/>
  <c r="AQ66" i="107"/>
  <c r="AR66" i="107" s="1"/>
  <c r="Y66" i="107"/>
  <c r="Z66" i="107" s="1"/>
  <c r="BA66" i="107"/>
  <c r="BB66" i="107" s="1"/>
  <c r="I68" i="107"/>
  <c r="K67" i="107"/>
  <c r="AV97" i="161"/>
  <c r="AW97" i="161" s="1"/>
  <c r="P97" i="161"/>
  <c r="BD97" i="161"/>
  <c r="BE97" i="161" s="1"/>
  <c r="AT97" i="161"/>
  <c r="AE97" i="161"/>
  <c r="AF97" i="161" s="1"/>
  <c r="V97" i="161"/>
  <c r="W97" i="161" s="1"/>
  <c r="BR97" i="161"/>
  <c r="BA97" i="161"/>
  <c r="BB97" i="161" s="1"/>
  <c r="AK97" i="161"/>
  <c r="AL97" i="161" s="1"/>
  <c r="AB97" i="161"/>
  <c r="AC97" i="161" s="1"/>
  <c r="BG97" i="161"/>
  <c r="BH97" i="161" s="1"/>
  <c r="AY97" i="161"/>
  <c r="AQ97" i="161"/>
  <c r="AR97" i="161" s="1"/>
  <c r="AH97" i="161"/>
  <c r="AI97" i="161" s="1"/>
  <c r="R97" i="161"/>
  <c r="T97" i="161" s="1"/>
  <c r="AN97" i="161"/>
  <c r="AO97" i="161" s="1"/>
  <c r="Y97" i="161"/>
  <c r="Z97" i="161" s="1"/>
  <c r="O97" i="161"/>
  <c r="BK97" i="161"/>
  <c r="M97" i="161"/>
  <c r="BN97" i="161"/>
  <c r="BO97" i="161" s="1"/>
  <c r="BJ97" i="161"/>
  <c r="BL97" i="161" s="1"/>
  <c r="I99" i="161"/>
  <c r="K98" i="161"/>
  <c r="BQ98" i="161" s="1"/>
  <c r="AT15" i="151"/>
  <c r="AV15" i="149"/>
  <c r="AT16" i="151"/>
  <c r="AT17" i="151"/>
  <c r="AT15" i="133"/>
  <c r="AT15" i="150"/>
  <c r="AT16" i="15"/>
  <c r="AT15" i="15"/>
  <c r="I69" i="106"/>
  <c r="BL61" i="95"/>
  <c r="AB61" i="95"/>
  <c r="R61" i="95"/>
  <c r="T61" i="95" s="1"/>
  <c r="K62" i="95"/>
  <c r="AN61" i="95"/>
  <c r="AO61" i="95" s="1"/>
  <c r="Y61" i="95"/>
  <c r="Z61" i="95" s="1"/>
  <c r="O61" i="95"/>
  <c r="V61" i="95"/>
  <c r="W61" i="95" s="1"/>
  <c r="AK61" i="95"/>
  <c r="AL61" i="95" s="1"/>
  <c r="AV61" i="95"/>
  <c r="AW61" i="95" s="1"/>
  <c r="AT61" i="95"/>
  <c r="BQ61" i="95"/>
  <c r="BR61" i="95" s="1"/>
  <c r="BA61" i="95"/>
  <c r="BB61" i="95" s="1"/>
  <c r="M61" i="95"/>
  <c r="AH61" i="95"/>
  <c r="AI61" i="95" s="1"/>
  <c r="AQ61" i="95"/>
  <c r="AR61" i="95" s="1"/>
  <c r="P61" i="95"/>
  <c r="BN61" i="95"/>
  <c r="BO61" i="95" s="1"/>
  <c r="BG61" i="95"/>
  <c r="BH61" i="95" s="1"/>
  <c r="AE61" i="95"/>
  <c r="AF61" i="95" s="1"/>
  <c r="BD61" i="95"/>
  <c r="BE61" i="95" s="1"/>
  <c r="BA63" i="129"/>
  <c r="BB63" i="129" s="1"/>
  <c r="R63" i="129"/>
  <c r="T63" i="129" s="1"/>
  <c r="Y63" i="129"/>
  <c r="Z63" i="129" s="1"/>
  <c r="BL63" i="129"/>
  <c r="P63" i="129"/>
  <c r="BQ63" i="129"/>
  <c r="BR63" i="129" s="1"/>
  <c r="AH63" i="129"/>
  <c r="AI63" i="129" s="1"/>
  <c r="BD63" i="129"/>
  <c r="BE63" i="129" s="1"/>
  <c r="BG63" i="129"/>
  <c r="BH63" i="129" s="1"/>
  <c r="AV63" i="129"/>
  <c r="AW63" i="129" s="1"/>
  <c r="K64" i="129"/>
  <c r="AT63" i="129"/>
  <c r="AY63" i="129"/>
  <c r="V63" i="129"/>
  <c r="W63" i="129" s="1"/>
  <c r="M63" i="129"/>
  <c r="AQ63" i="129"/>
  <c r="AR63" i="129" s="1"/>
  <c r="AK63" i="129"/>
  <c r="AL63" i="129" s="1"/>
  <c r="AE63" i="129"/>
  <c r="AF63" i="129" s="1"/>
  <c r="BN63" i="129"/>
  <c r="BO63" i="129" s="1"/>
  <c r="AB63" i="129"/>
  <c r="AC63" i="129" s="1"/>
  <c r="AN63" i="129"/>
  <c r="AO63" i="129" s="1"/>
  <c r="O63" i="129"/>
  <c r="BN62" i="104"/>
  <c r="BO62" i="104" s="1"/>
  <c r="AN62" i="104"/>
  <c r="AO62" i="104" s="1"/>
  <c r="BD62" i="104"/>
  <c r="BE62" i="104" s="1"/>
  <c r="AE62" i="104"/>
  <c r="AF62" i="104" s="1"/>
  <c r="K63" i="104"/>
  <c r="BK62" i="104"/>
  <c r="BG62" i="104"/>
  <c r="BH62" i="104" s="1"/>
  <c r="AV62" i="104"/>
  <c r="AW62" i="104" s="1"/>
  <c r="AB62" i="104"/>
  <c r="AC62" i="104" s="1"/>
  <c r="BJ62" i="104"/>
  <c r="BL62" i="104" s="1"/>
  <c r="O62" i="104"/>
  <c r="V62" i="104"/>
  <c r="W62" i="104" s="1"/>
  <c r="AQ62" i="104"/>
  <c r="AR62" i="104" s="1"/>
  <c r="Y62" i="104"/>
  <c r="Z62" i="104" s="1"/>
  <c r="AY62" i="104"/>
  <c r="R62" i="104"/>
  <c r="T62" i="104" s="1"/>
  <c r="P62" i="104"/>
  <c r="AH62" i="104"/>
  <c r="AI62" i="104" s="1"/>
  <c r="BQ62" i="104"/>
  <c r="BR62" i="104" s="1"/>
  <c r="M62" i="104"/>
  <c r="AK62" i="104"/>
  <c r="AL62" i="104" s="1"/>
  <c r="BA62" i="104"/>
  <c r="BB62" i="104" s="1"/>
  <c r="AT62" i="104"/>
  <c r="K63" i="112"/>
  <c r="Y62" i="112"/>
  <c r="Z62" i="112" s="1"/>
  <c r="AH62" i="112"/>
  <c r="AI62" i="112" s="1"/>
  <c r="V62" i="112"/>
  <c r="W62" i="112" s="1"/>
  <c r="AT62" i="112"/>
  <c r="AE62" i="112"/>
  <c r="AF62" i="112" s="1"/>
  <c r="BA62" i="112"/>
  <c r="BB62" i="112" s="1"/>
  <c r="BN62" i="112"/>
  <c r="BO62" i="112" s="1"/>
  <c r="O62" i="112"/>
  <c r="AN62" i="112"/>
  <c r="AO62" i="112" s="1"/>
  <c r="AY62" i="112"/>
  <c r="BJ62" i="112"/>
  <c r="BL62" i="112" s="1"/>
  <c r="BG62" i="112"/>
  <c r="BH62" i="112" s="1"/>
  <c r="AB62" i="112"/>
  <c r="AC62" i="112" s="1"/>
  <c r="AV62" i="112"/>
  <c r="AW62" i="112" s="1"/>
  <c r="BK62" i="112"/>
  <c r="R62" i="112"/>
  <c r="T62" i="112" s="1"/>
  <c r="AQ62" i="112"/>
  <c r="AR62" i="112" s="1"/>
  <c r="BD62" i="112"/>
  <c r="BE62" i="112" s="1"/>
  <c r="M62" i="112"/>
  <c r="P62" i="112"/>
  <c r="BQ62" i="112"/>
  <c r="BR62" i="112" s="1"/>
  <c r="AK62" i="112"/>
  <c r="AL62" i="112" s="1"/>
  <c r="I69" i="156"/>
  <c r="K68" i="156"/>
  <c r="AY68" i="156" s="1"/>
  <c r="R65" i="133"/>
  <c r="T65" i="133" s="1"/>
  <c r="V65" i="133"/>
  <c r="W65" i="133" s="1"/>
  <c r="AT65" i="133"/>
  <c r="K66" i="133"/>
  <c r="AY65" i="133"/>
  <c r="AK65" i="133"/>
  <c r="AL65" i="133" s="1"/>
  <c r="O65" i="133"/>
  <c r="P65" i="133"/>
  <c r="AQ65" i="133"/>
  <c r="AR65" i="133" s="1"/>
  <c r="AH65" i="133"/>
  <c r="AI65" i="133" s="1"/>
  <c r="BN65" i="133"/>
  <c r="BO65" i="133" s="1"/>
  <c r="AV65" i="133"/>
  <c r="AW65" i="133" s="1"/>
  <c r="Y65" i="133"/>
  <c r="Z65" i="133" s="1"/>
  <c r="BQ65" i="133"/>
  <c r="BR65" i="133" s="1"/>
  <c r="BL65" i="133"/>
  <c r="BD65" i="133"/>
  <c r="BE65" i="133" s="1"/>
  <c r="AE65" i="133"/>
  <c r="AF65" i="133" s="1"/>
  <c r="BA65" i="133"/>
  <c r="BB65" i="133" s="1"/>
  <c r="M65" i="133"/>
  <c r="AB65" i="133"/>
  <c r="AC65" i="133" s="1"/>
  <c r="BG65" i="133"/>
  <c r="BH65" i="133" s="1"/>
  <c r="AN65" i="133"/>
  <c r="AO65" i="133" s="1"/>
  <c r="M62" i="106"/>
  <c r="Y62" i="106"/>
  <c r="Z62" i="106" s="1"/>
  <c r="P62" i="106"/>
  <c r="AH62" i="106"/>
  <c r="AI62" i="106" s="1"/>
  <c r="BJ62" i="106"/>
  <c r="BL62" i="106" s="1"/>
  <c r="BA62" i="106"/>
  <c r="BB62" i="106" s="1"/>
  <c r="O62" i="106"/>
  <c r="BQ62" i="106"/>
  <c r="BR62" i="106" s="1"/>
  <c r="AT62" i="106"/>
  <c r="BK62" i="106"/>
  <c r="BD62" i="106"/>
  <c r="BE62" i="106" s="1"/>
  <c r="BG62" i="106"/>
  <c r="BH62" i="106" s="1"/>
  <c r="AV62" i="106"/>
  <c r="AW62" i="106" s="1"/>
  <c r="BN62" i="106"/>
  <c r="BO62" i="106" s="1"/>
  <c r="AB62" i="106"/>
  <c r="AC62" i="106" s="1"/>
  <c r="AN62" i="106"/>
  <c r="AO62" i="106" s="1"/>
  <c r="V62" i="106"/>
  <c r="W62" i="106" s="1"/>
  <c r="AY62" i="106"/>
  <c r="AQ62" i="106"/>
  <c r="AR62" i="106" s="1"/>
  <c r="AK62" i="106"/>
  <c r="AL62" i="106" s="1"/>
  <c r="R62" i="106"/>
  <c r="T62" i="106" s="1"/>
  <c r="AE62" i="106"/>
  <c r="AF62" i="106" s="1"/>
  <c r="K63" i="106"/>
  <c r="BA67" i="156"/>
  <c r="BB67" i="156" s="1"/>
  <c r="Y67" i="156"/>
  <c r="Z67" i="156" s="1"/>
  <c r="BL67" i="156"/>
  <c r="O67" i="156"/>
  <c r="M67" i="156"/>
  <c r="BQ67" i="156"/>
  <c r="BR67" i="156" s="1"/>
  <c r="BN67" i="156"/>
  <c r="BO67" i="156" s="1"/>
  <c r="V67" i="156"/>
  <c r="W67" i="156" s="1"/>
  <c r="AE67" i="156"/>
  <c r="AF67" i="156" s="1"/>
  <c r="R67" i="156"/>
  <c r="T67" i="156" s="1"/>
  <c r="AK67" i="156"/>
  <c r="AL67" i="156" s="1"/>
  <c r="AB67" i="156"/>
  <c r="AC67" i="156" s="1"/>
  <c r="AV67" i="156"/>
  <c r="AW67" i="156" s="1"/>
  <c r="AQ67" i="156"/>
  <c r="AR67" i="156" s="1"/>
  <c r="AH67" i="156"/>
  <c r="AI67" i="156" s="1"/>
  <c r="BD67" i="156"/>
  <c r="BE67" i="156" s="1"/>
  <c r="AN67" i="156"/>
  <c r="AO67" i="156" s="1"/>
  <c r="P67" i="156"/>
  <c r="BG67" i="156"/>
  <c r="BH67" i="156" s="1"/>
  <c r="AC60" i="95"/>
  <c r="AV15" i="151"/>
  <c r="AW15" i="151" s="1"/>
  <c r="AT29" i="120"/>
  <c r="BL63" i="130"/>
  <c r="M63" i="130"/>
  <c r="BN63" i="130"/>
  <c r="BO63" i="130" s="1"/>
  <c r="K64" i="130"/>
  <c r="AY63" i="130"/>
  <c r="BG63" i="130"/>
  <c r="BH63" i="130" s="1"/>
  <c r="AQ63" i="130"/>
  <c r="AR63" i="130" s="1"/>
  <c r="BA63" i="130"/>
  <c r="BB63" i="130" s="1"/>
  <c r="AT63" i="130"/>
  <c r="BD63" i="130"/>
  <c r="BE63" i="130" s="1"/>
  <c r="AN63" i="130"/>
  <c r="AO63" i="130" s="1"/>
  <c r="AV63" i="130"/>
  <c r="AW63" i="130" s="1"/>
  <c r="AH63" i="130"/>
  <c r="AI63" i="130" s="1"/>
  <c r="O63" i="130"/>
  <c r="R63" i="130"/>
  <c r="T63" i="130" s="1"/>
  <c r="AB63" i="130"/>
  <c r="AC63" i="130" s="1"/>
  <c r="Y63" i="130"/>
  <c r="Z63" i="130" s="1"/>
  <c r="V63" i="130"/>
  <c r="W63" i="130" s="1"/>
  <c r="AK63" i="130"/>
  <c r="AL63" i="130" s="1"/>
  <c r="AE63" i="130"/>
  <c r="AF63" i="130" s="1"/>
  <c r="P63" i="130"/>
  <c r="BQ63" i="130"/>
  <c r="BR63" i="130" s="1"/>
  <c r="AV54" i="156"/>
  <c r="AW54" i="156" s="1"/>
  <c r="BD54" i="156"/>
  <c r="BE54" i="156" s="1"/>
  <c r="AV54" i="150"/>
  <c r="AW54" i="150" s="1"/>
  <c r="BD54" i="150"/>
  <c r="BE54" i="150" s="1"/>
  <c r="M68" i="155"/>
  <c r="BQ68" i="155"/>
  <c r="BR68" i="155" s="1"/>
  <c r="O68" i="155"/>
  <c r="V68" i="155"/>
  <c r="W68" i="155" s="1"/>
  <c r="AB68" i="155"/>
  <c r="AC68" i="155" s="1"/>
  <c r="AH68" i="155"/>
  <c r="AI68" i="155" s="1"/>
  <c r="AN68" i="155"/>
  <c r="AO68" i="155" s="1"/>
  <c r="BA68" i="155"/>
  <c r="BB68" i="155" s="1"/>
  <c r="BG68" i="155"/>
  <c r="BH68" i="155" s="1"/>
  <c r="P68" i="155"/>
  <c r="R68" i="155"/>
  <c r="T68" i="155" s="1"/>
  <c r="AE68" i="155"/>
  <c r="AF68" i="155" s="1"/>
  <c r="AQ68" i="155"/>
  <c r="AR68" i="155" s="1"/>
  <c r="BD68" i="155"/>
  <c r="BE68" i="155" s="1"/>
  <c r="BN68" i="155"/>
  <c r="BO68" i="155" s="1"/>
  <c r="AV68" i="155"/>
  <c r="AW68" i="155" s="1"/>
  <c r="Y68" i="155"/>
  <c r="Z68" i="155" s="1"/>
  <c r="AK68" i="155"/>
  <c r="AL68" i="155" s="1"/>
  <c r="BL68" i="155"/>
  <c r="K69" i="155"/>
  <c r="I70" i="155"/>
  <c r="AV54" i="13"/>
  <c r="AW54" i="13" s="1"/>
  <c r="BD54" i="13"/>
  <c r="BE54" i="13" s="1"/>
  <c r="BD54" i="17"/>
  <c r="BE54" i="17" s="1"/>
  <c r="AV54" i="17"/>
  <c r="AW54" i="17" s="1"/>
  <c r="AV54" i="120"/>
  <c r="AW54" i="120" s="1"/>
  <c r="BD54" i="120"/>
  <c r="BE54" i="120" s="1"/>
  <c r="AV54" i="15"/>
  <c r="AW54" i="15" s="1"/>
  <c r="BD54" i="15"/>
  <c r="BE54" i="15" s="1"/>
  <c r="I73" i="153"/>
  <c r="M68" i="153"/>
  <c r="BQ68" i="153"/>
  <c r="BR68" i="153" s="1"/>
  <c r="O68" i="153"/>
  <c r="V68" i="153"/>
  <c r="W68" i="153" s="1"/>
  <c r="AB68" i="153"/>
  <c r="AC68" i="153" s="1"/>
  <c r="AH68" i="153"/>
  <c r="AI68" i="153" s="1"/>
  <c r="AN68" i="153"/>
  <c r="AO68" i="153" s="1"/>
  <c r="BA68" i="153"/>
  <c r="BB68" i="153" s="1"/>
  <c r="BG68" i="153"/>
  <c r="BH68" i="153" s="1"/>
  <c r="P68" i="153"/>
  <c r="AV68" i="153"/>
  <c r="AW68" i="153" s="1"/>
  <c r="BN68" i="153"/>
  <c r="BO68" i="153" s="1"/>
  <c r="AE68" i="153"/>
  <c r="AF68" i="153" s="1"/>
  <c r="BD68" i="153"/>
  <c r="BE68" i="153" s="1"/>
  <c r="AK68" i="153"/>
  <c r="AL68" i="153" s="1"/>
  <c r="R68" i="153"/>
  <c r="T68" i="153" s="1"/>
  <c r="AQ68" i="153"/>
  <c r="AR68" i="153" s="1"/>
  <c r="Y68" i="153"/>
  <c r="Z68" i="153" s="1"/>
  <c r="BL68" i="153"/>
  <c r="K69" i="153"/>
  <c r="I77" i="152"/>
  <c r="M68" i="152"/>
  <c r="BQ68" i="152"/>
  <c r="BR68" i="152" s="1"/>
  <c r="O68" i="152"/>
  <c r="V68" i="152"/>
  <c r="W68" i="152" s="1"/>
  <c r="AB68" i="152"/>
  <c r="AC68" i="152" s="1"/>
  <c r="AH68" i="152"/>
  <c r="AI68" i="152" s="1"/>
  <c r="AN68" i="152"/>
  <c r="AO68" i="152" s="1"/>
  <c r="BA68" i="152"/>
  <c r="BB68" i="152" s="1"/>
  <c r="BG68" i="152"/>
  <c r="BH68" i="152" s="1"/>
  <c r="P68" i="152"/>
  <c r="AV68" i="152"/>
  <c r="AW68" i="152" s="1"/>
  <c r="BN68" i="152"/>
  <c r="BO68" i="152" s="1"/>
  <c r="AK68" i="152"/>
  <c r="AL68" i="152" s="1"/>
  <c r="R68" i="152"/>
  <c r="T68" i="152" s="1"/>
  <c r="AQ68" i="152"/>
  <c r="AR68" i="152" s="1"/>
  <c r="AE68" i="152"/>
  <c r="AF68" i="152" s="1"/>
  <c r="BD68" i="152"/>
  <c r="BE68" i="152" s="1"/>
  <c r="Y68" i="152"/>
  <c r="Z68" i="152" s="1"/>
  <c r="BL68" i="152"/>
  <c r="K69" i="152"/>
  <c r="K67" i="151"/>
  <c r="I68" i="151"/>
  <c r="BD66" i="151"/>
  <c r="BE66" i="151" s="1"/>
  <c r="AQ66" i="151"/>
  <c r="AR66" i="151" s="1"/>
  <c r="AK66" i="151"/>
  <c r="AL66" i="151" s="1"/>
  <c r="AE66" i="151"/>
  <c r="AF66" i="151" s="1"/>
  <c r="Y66" i="151"/>
  <c r="Z66" i="151" s="1"/>
  <c r="R66" i="151"/>
  <c r="T66" i="151" s="1"/>
  <c r="BG66" i="151"/>
  <c r="BH66" i="151" s="1"/>
  <c r="BA66" i="151"/>
  <c r="BB66" i="151" s="1"/>
  <c r="AT66" i="151"/>
  <c r="AN66" i="151"/>
  <c r="AO66" i="151" s="1"/>
  <c r="AH66" i="151"/>
  <c r="AI66" i="151" s="1"/>
  <c r="AB66" i="151"/>
  <c r="AC66" i="151" s="1"/>
  <c r="V66" i="151"/>
  <c r="W66" i="151" s="1"/>
  <c r="O66" i="151"/>
  <c r="AV66" i="151"/>
  <c r="AW66" i="151" s="1"/>
  <c r="BQ66" i="151"/>
  <c r="BR66" i="151" s="1"/>
  <c r="P66" i="151"/>
  <c r="AY66" i="151"/>
  <c r="M66" i="151"/>
  <c r="BN66" i="151"/>
  <c r="BO66" i="151" s="1"/>
  <c r="BL66" i="151"/>
  <c r="BQ65" i="150"/>
  <c r="BR65" i="150" s="1"/>
  <c r="AY65" i="150"/>
  <c r="BD65" i="150"/>
  <c r="BE65" i="150" s="1"/>
  <c r="AQ65" i="150"/>
  <c r="AR65" i="150" s="1"/>
  <c r="AK65" i="150"/>
  <c r="AL65" i="150" s="1"/>
  <c r="AE65" i="150"/>
  <c r="AF65" i="150" s="1"/>
  <c r="Y65" i="150"/>
  <c r="Z65" i="150" s="1"/>
  <c r="R65" i="150"/>
  <c r="T65" i="150" s="1"/>
  <c r="P65" i="150"/>
  <c r="BA65" i="150"/>
  <c r="BB65" i="150" s="1"/>
  <c r="AN65" i="150"/>
  <c r="AO65" i="150" s="1"/>
  <c r="AB65" i="150"/>
  <c r="AC65" i="150" s="1"/>
  <c r="O65" i="150"/>
  <c r="AV65" i="150"/>
  <c r="AW65" i="150" s="1"/>
  <c r="AH65" i="150"/>
  <c r="AI65" i="150" s="1"/>
  <c r="V65" i="150"/>
  <c r="W65" i="150" s="1"/>
  <c r="BG65" i="150"/>
  <c r="BH65" i="150" s="1"/>
  <c r="AT65" i="150"/>
  <c r="BN65" i="150"/>
  <c r="BO65" i="150" s="1"/>
  <c r="M65" i="150"/>
  <c r="BL65" i="150"/>
  <c r="K66" i="150"/>
  <c r="I69" i="150"/>
  <c r="I69" i="149"/>
  <c r="K68" i="149"/>
  <c r="AT68" i="149" s="1"/>
  <c r="BQ67" i="149"/>
  <c r="BR67" i="149" s="1"/>
  <c r="AY67" i="149"/>
  <c r="BD67" i="149"/>
  <c r="BE67" i="149" s="1"/>
  <c r="AQ67" i="149"/>
  <c r="AR67" i="149" s="1"/>
  <c r="AK67" i="149"/>
  <c r="AL67" i="149" s="1"/>
  <c r="AE67" i="149"/>
  <c r="AF67" i="149" s="1"/>
  <c r="Y67" i="149"/>
  <c r="Z67" i="149" s="1"/>
  <c r="R67" i="149"/>
  <c r="T67" i="149" s="1"/>
  <c r="P67" i="149"/>
  <c r="AV67" i="149"/>
  <c r="AW67" i="149" s="1"/>
  <c r="BG67" i="149"/>
  <c r="BH67" i="149" s="1"/>
  <c r="AH67" i="149"/>
  <c r="AI67" i="149" s="1"/>
  <c r="BA67" i="149"/>
  <c r="BB67" i="149" s="1"/>
  <c r="AB67" i="149"/>
  <c r="AC67" i="149" s="1"/>
  <c r="V67" i="149"/>
  <c r="W67" i="149" s="1"/>
  <c r="AN67" i="149"/>
  <c r="AO67" i="149" s="1"/>
  <c r="O67" i="149"/>
  <c r="BN67" i="149"/>
  <c r="BO67" i="149" s="1"/>
  <c r="M67" i="149"/>
  <c r="BL67" i="149"/>
  <c r="K67" i="147"/>
  <c r="I68" i="147"/>
  <c r="BQ66" i="147"/>
  <c r="BR66" i="147" s="1"/>
  <c r="AY66" i="147"/>
  <c r="BD66" i="147"/>
  <c r="BE66" i="147" s="1"/>
  <c r="AQ66" i="147"/>
  <c r="AR66" i="147" s="1"/>
  <c r="AK66" i="147"/>
  <c r="AL66" i="147" s="1"/>
  <c r="AE66" i="147"/>
  <c r="AF66" i="147" s="1"/>
  <c r="Y66" i="147"/>
  <c r="Z66" i="147" s="1"/>
  <c r="R66" i="147"/>
  <c r="T66" i="147" s="1"/>
  <c r="P66" i="147"/>
  <c r="BA66" i="147"/>
  <c r="BB66" i="147" s="1"/>
  <c r="AN66" i="147"/>
  <c r="AO66" i="147" s="1"/>
  <c r="AB66" i="147"/>
  <c r="AC66" i="147" s="1"/>
  <c r="O66" i="147"/>
  <c r="AV66" i="147"/>
  <c r="AW66" i="147" s="1"/>
  <c r="AT66" i="147"/>
  <c r="AH66" i="147"/>
  <c r="AI66" i="147" s="1"/>
  <c r="BG66" i="147"/>
  <c r="BH66" i="147" s="1"/>
  <c r="V66" i="147"/>
  <c r="W66" i="147" s="1"/>
  <c r="BJ66" i="147"/>
  <c r="BL66" i="147" s="1"/>
  <c r="BN66" i="147"/>
  <c r="BO66" i="147" s="1"/>
  <c r="M66" i="147"/>
  <c r="BK66" i="147"/>
  <c r="AV65" i="146"/>
  <c r="AW65" i="146" s="1"/>
  <c r="P65" i="146"/>
  <c r="BG65" i="146"/>
  <c r="BH65" i="146" s="1"/>
  <c r="BA65" i="146"/>
  <c r="BB65" i="146" s="1"/>
  <c r="AT65" i="146"/>
  <c r="AN65" i="146"/>
  <c r="AO65" i="146" s="1"/>
  <c r="AH65" i="146"/>
  <c r="AI65" i="146" s="1"/>
  <c r="AB65" i="146"/>
  <c r="AC65" i="146" s="1"/>
  <c r="V65" i="146"/>
  <c r="W65" i="146" s="1"/>
  <c r="O65" i="146"/>
  <c r="BQ65" i="146"/>
  <c r="BR65" i="146" s="1"/>
  <c r="AY65" i="146"/>
  <c r="AQ65" i="146"/>
  <c r="AR65" i="146" s="1"/>
  <c r="R65" i="146"/>
  <c r="T65" i="146" s="1"/>
  <c r="AK65" i="146"/>
  <c r="AL65" i="146" s="1"/>
  <c r="BD65" i="146"/>
  <c r="BE65" i="146" s="1"/>
  <c r="AE65" i="146"/>
  <c r="AF65" i="146" s="1"/>
  <c r="Y65" i="146"/>
  <c r="Z65" i="146" s="1"/>
  <c r="BJ65" i="146"/>
  <c r="BL65" i="146" s="1"/>
  <c r="M65" i="146"/>
  <c r="BN65" i="146"/>
  <c r="BO65" i="146" s="1"/>
  <c r="BK65" i="146"/>
  <c r="I67" i="146"/>
  <c r="K66" i="146"/>
  <c r="O37" i="146"/>
  <c r="O38" i="146" s="1"/>
  <c r="O39" i="146" s="1"/>
  <c r="O40" i="146" s="1"/>
  <c r="O41" i="146" s="1"/>
  <c r="O42" i="146" s="1"/>
  <c r="O43" i="146" s="1"/>
  <c r="O44" i="146" s="1"/>
  <c r="O45" i="146" s="1"/>
  <c r="O46" i="146" s="1"/>
  <c r="O47" i="146" s="1"/>
  <c r="O48" i="146" s="1"/>
  <c r="O49" i="146" s="1"/>
  <c r="O50" i="146" s="1"/>
  <c r="O51" i="146" s="1"/>
  <c r="O52" i="146" s="1"/>
  <c r="O53" i="146" s="1"/>
  <c r="O54" i="146" s="1"/>
  <c r="AC62" i="96"/>
  <c r="M62" i="101"/>
  <c r="O62" i="101"/>
  <c r="BQ62" i="101"/>
  <c r="BR62" i="101" s="1"/>
  <c r="BA62" i="101"/>
  <c r="BB62" i="101" s="1"/>
  <c r="AT62" i="101"/>
  <c r="AK62" i="101"/>
  <c r="AL62" i="101" s="1"/>
  <c r="AH62" i="101"/>
  <c r="AI62" i="101" s="1"/>
  <c r="AE62" i="101"/>
  <c r="AF62" i="101" s="1"/>
  <c r="R62" i="101"/>
  <c r="T62" i="101" s="1"/>
  <c r="P62" i="101"/>
  <c r="AB62" i="101"/>
  <c r="AC62" i="101" s="1"/>
  <c r="AV62" i="101"/>
  <c r="AW62" i="101" s="1"/>
  <c r="AY62" i="101"/>
  <c r="AQ62" i="101"/>
  <c r="AR62" i="101" s="1"/>
  <c r="Y62" i="101"/>
  <c r="Z62" i="101" s="1"/>
  <c r="BG62" i="101"/>
  <c r="BH62" i="101" s="1"/>
  <c r="BD62" i="101"/>
  <c r="BE62" i="101" s="1"/>
  <c r="AN62" i="101"/>
  <c r="AO62" i="101" s="1"/>
  <c r="V62" i="101"/>
  <c r="W62" i="101" s="1"/>
  <c r="M67" i="124"/>
  <c r="BK67" i="124"/>
  <c r="BJ67" i="124"/>
  <c r="BL67" i="124" s="1"/>
  <c r="K68" i="124"/>
  <c r="BN67" i="124"/>
  <c r="BO67" i="124" s="1"/>
  <c r="AV67" i="124"/>
  <c r="AW67" i="124" s="1"/>
  <c r="P67" i="124"/>
  <c r="AB67" i="124"/>
  <c r="AC67" i="124" s="1"/>
  <c r="AY67" i="124"/>
  <c r="AH67" i="124"/>
  <c r="AI67" i="124" s="1"/>
  <c r="V67" i="124"/>
  <c r="W67" i="124" s="1"/>
  <c r="BA67" i="124"/>
  <c r="BB67" i="124" s="1"/>
  <c r="BG67" i="124"/>
  <c r="BH67" i="124" s="1"/>
  <c r="R67" i="124"/>
  <c r="T67" i="124" s="1"/>
  <c r="AT67" i="124"/>
  <c r="Y67" i="124"/>
  <c r="Z67" i="124" s="1"/>
  <c r="O67" i="124"/>
  <c r="AQ67" i="124"/>
  <c r="AR67" i="124" s="1"/>
  <c r="BQ67" i="124"/>
  <c r="BR67" i="124" s="1"/>
  <c r="AK67" i="124"/>
  <c r="AL67" i="124" s="1"/>
  <c r="AN67" i="124"/>
  <c r="AO67" i="124" s="1"/>
  <c r="BD67" i="124"/>
  <c r="BE67" i="124" s="1"/>
  <c r="AE67" i="124"/>
  <c r="AF67" i="124" s="1"/>
  <c r="AK64" i="64"/>
  <c r="AL64" i="64" s="1"/>
  <c r="BG64" i="64"/>
  <c r="BH64" i="64" s="1"/>
  <c r="AQ64" i="64"/>
  <c r="AR64" i="64" s="1"/>
  <c r="AN64" i="64"/>
  <c r="AO64" i="64" s="1"/>
  <c r="AH64" i="64"/>
  <c r="AI64" i="64" s="1"/>
  <c r="BQ64" i="64"/>
  <c r="BR64" i="64" s="1"/>
  <c r="BD64" i="64"/>
  <c r="BE64" i="64" s="1"/>
  <c r="BA64" i="64"/>
  <c r="BB64" i="64" s="1"/>
  <c r="M64" i="64"/>
  <c r="P64" i="64"/>
  <c r="AV64" i="64"/>
  <c r="AW64" i="64" s="1"/>
  <c r="AY64" i="64"/>
  <c r="R64" i="64"/>
  <c r="T64" i="64" s="1"/>
  <c r="Y64" i="64"/>
  <c r="Z64" i="64" s="1"/>
  <c r="AT64" i="64"/>
  <c r="V64" i="64"/>
  <c r="W64" i="64" s="1"/>
  <c r="AE64" i="64"/>
  <c r="AF64" i="64" s="1"/>
  <c r="O64" i="64"/>
  <c r="AB64" i="64"/>
  <c r="AC64" i="64" s="1"/>
  <c r="BL64" i="64"/>
  <c r="BN64" i="64"/>
  <c r="BO64" i="64" s="1"/>
  <c r="K65" i="64"/>
  <c r="BN63" i="63"/>
  <c r="BO63" i="63" s="1"/>
  <c r="M63" i="63"/>
  <c r="BL63" i="63"/>
  <c r="AE63" i="63"/>
  <c r="AF63" i="63" s="1"/>
  <c r="R63" i="63"/>
  <c r="T63" i="63" s="1"/>
  <c r="P63" i="63"/>
  <c r="BD63" i="63"/>
  <c r="BE63" i="63" s="1"/>
  <c r="Y63" i="63"/>
  <c r="Z63" i="63" s="1"/>
  <c r="AQ63" i="63"/>
  <c r="AR63" i="63" s="1"/>
  <c r="AH63" i="63"/>
  <c r="AI63" i="63" s="1"/>
  <c r="AV63" i="63"/>
  <c r="AW63" i="63" s="1"/>
  <c r="BG63" i="63"/>
  <c r="BH63" i="63" s="1"/>
  <c r="AK63" i="63"/>
  <c r="AL63" i="63" s="1"/>
  <c r="V63" i="63"/>
  <c r="W63" i="63" s="1"/>
  <c r="AT63" i="63"/>
  <c r="BQ63" i="63"/>
  <c r="BR63" i="63" s="1"/>
  <c r="AY63" i="63"/>
  <c r="O63" i="63"/>
  <c r="BA63" i="63"/>
  <c r="BB63" i="63" s="1"/>
  <c r="AN63" i="63"/>
  <c r="AO63" i="63" s="1"/>
  <c r="AB63" i="63"/>
  <c r="AC63" i="63" s="1"/>
  <c r="K64" i="63"/>
  <c r="M63" i="126"/>
  <c r="BN63" i="126"/>
  <c r="BO63" i="126" s="1"/>
  <c r="BJ63" i="126"/>
  <c r="BL63" i="126" s="1"/>
  <c r="BK63" i="126"/>
  <c r="AT63" i="126"/>
  <c r="AK63" i="126"/>
  <c r="AL63" i="126" s="1"/>
  <c r="Y63" i="126"/>
  <c r="Z63" i="126" s="1"/>
  <c r="BQ63" i="126"/>
  <c r="BR63" i="126" s="1"/>
  <c r="R63" i="126"/>
  <c r="T63" i="126" s="1"/>
  <c r="P63" i="126"/>
  <c r="O63" i="126"/>
  <c r="AH63" i="126"/>
  <c r="AI63" i="126" s="1"/>
  <c r="AQ63" i="126"/>
  <c r="AR63" i="126" s="1"/>
  <c r="AE63" i="126"/>
  <c r="AF63" i="126" s="1"/>
  <c r="AV63" i="126"/>
  <c r="AW63" i="126" s="1"/>
  <c r="AB63" i="126"/>
  <c r="AC63" i="126" s="1"/>
  <c r="BG63" i="126"/>
  <c r="BH63" i="126" s="1"/>
  <c r="AY63" i="126"/>
  <c r="AN63" i="126"/>
  <c r="AO63" i="126" s="1"/>
  <c r="BA63" i="126"/>
  <c r="BB63" i="126" s="1"/>
  <c r="V63" i="126"/>
  <c r="W63" i="126" s="1"/>
  <c r="BD63" i="126"/>
  <c r="BE63" i="126" s="1"/>
  <c r="K64" i="126"/>
  <c r="I68" i="126"/>
  <c r="M62" i="118"/>
  <c r="K63" i="118"/>
  <c r="BN62" i="118"/>
  <c r="BO62" i="118" s="1"/>
  <c r="V62" i="118"/>
  <c r="W62" i="118" s="1"/>
  <c r="AK62" i="118"/>
  <c r="AL62" i="118" s="1"/>
  <c r="AN62" i="118"/>
  <c r="AO62" i="118" s="1"/>
  <c r="AV62" i="118"/>
  <c r="AW62" i="118" s="1"/>
  <c r="Y62" i="118"/>
  <c r="Z62" i="118" s="1"/>
  <c r="AT62" i="118"/>
  <c r="BQ62" i="118"/>
  <c r="BR62" i="118" s="1"/>
  <c r="BG62" i="118"/>
  <c r="BH62" i="118" s="1"/>
  <c r="AY62" i="118"/>
  <c r="AB62" i="118"/>
  <c r="AC62" i="118" s="1"/>
  <c r="O62" i="118"/>
  <c r="AE62" i="118"/>
  <c r="AF62" i="118" s="1"/>
  <c r="BA62" i="118"/>
  <c r="BB62" i="118" s="1"/>
  <c r="AQ62" i="118"/>
  <c r="AR62" i="118" s="1"/>
  <c r="P62" i="118"/>
  <c r="BD62" i="118"/>
  <c r="BE62" i="118" s="1"/>
  <c r="R62" i="118"/>
  <c r="T62" i="118" s="1"/>
  <c r="AH62" i="118"/>
  <c r="AI62" i="118" s="1"/>
  <c r="I63" i="17"/>
  <c r="K62" i="17"/>
  <c r="I66" i="135"/>
  <c r="K65" i="135"/>
  <c r="AY61" i="120"/>
  <c r="AB61" i="120"/>
  <c r="AC61" i="120" s="1"/>
  <c r="R61" i="120"/>
  <c r="T61" i="120" s="1"/>
  <c r="AE61" i="120"/>
  <c r="AF61" i="120" s="1"/>
  <c r="M61" i="120"/>
  <c r="AK61" i="120"/>
  <c r="AL61" i="120" s="1"/>
  <c r="AV61" i="120"/>
  <c r="AW61" i="120" s="1"/>
  <c r="BG61" i="120"/>
  <c r="BH61" i="120" s="1"/>
  <c r="AN61" i="120"/>
  <c r="AO61" i="120" s="1"/>
  <c r="BD61" i="120"/>
  <c r="BE61" i="120" s="1"/>
  <c r="BQ61" i="120"/>
  <c r="BR61" i="120" s="1"/>
  <c r="P61" i="120"/>
  <c r="AH61" i="120"/>
  <c r="AI61" i="120" s="1"/>
  <c r="Y61" i="120"/>
  <c r="Z61" i="120" s="1"/>
  <c r="BA61" i="120"/>
  <c r="BB61" i="120" s="1"/>
  <c r="O61" i="120"/>
  <c r="K62" i="120"/>
  <c r="V61" i="120"/>
  <c r="W61" i="120" s="1"/>
  <c r="AQ61" i="120"/>
  <c r="AR61" i="120" s="1"/>
  <c r="AT61" i="120"/>
  <c r="BN61" i="120"/>
  <c r="BO61" i="120" s="1"/>
  <c r="BA63" i="96"/>
  <c r="BB63" i="96" s="1"/>
  <c r="M63" i="96"/>
  <c r="AB63" i="96"/>
  <c r="AQ63" i="96"/>
  <c r="AR63" i="96" s="1"/>
  <c r="O63" i="96"/>
  <c r="BQ63" i="96"/>
  <c r="BR63" i="96" s="1"/>
  <c r="AE63" i="96"/>
  <c r="AF63" i="96" s="1"/>
  <c r="AK63" i="96"/>
  <c r="AL63" i="96" s="1"/>
  <c r="BD63" i="96"/>
  <c r="BE63" i="96" s="1"/>
  <c r="AT63" i="96"/>
  <c r="BG63" i="96"/>
  <c r="BH63" i="96" s="1"/>
  <c r="V63" i="96"/>
  <c r="W63" i="96" s="1"/>
  <c r="AV63" i="96"/>
  <c r="AW63" i="96" s="1"/>
  <c r="R63" i="96"/>
  <c r="T63" i="96" s="1"/>
  <c r="AN63" i="96"/>
  <c r="AO63" i="96" s="1"/>
  <c r="BN63" i="96"/>
  <c r="BO63" i="96" s="1"/>
  <c r="AH63" i="96"/>
  <c r="AI63" i="96" s="1"/>
  <c r="Y63" i="96"/>
  <c r="Z63" i="96" s="1"/>
  <c r="P63" i="96"/>
  <c r="BL63" i="96"/>
  <c r="I68" i="63"/>
  <c r="I64" i="101"/>
  <c r="K63" i="101"/>
  <c r="I69" i="114"/>
  <c r="I65" i="110"/>
  <c r="K64" i="110"/>
  <c r="BL62" i="15"/>
  <c r="M62" i="15"/>
  <c r="BN62" i="15"/>
  <c r="BO62" i="15" s="1"/>
  <c r="V62" i="15"/>
  <c r="W62" i="15" s="1"/>
  <c r="AT62" i="15"/>
  <c r="AN62" i="15"/>
  <c r="AO62" i="15" s="1"/>
  <c r="AE62" i="15"/>
  <c r="AF62" i="15" s="1"/>
  <c r="BA62" i="15"/>
  <c r="BB62" i="15" s="1"/>
  <c r="R62" i="15"/>
  <c r="T62" i="15" s="1"/>
  <c r="AK62" i="15"/>
  <c r="AL62" i="15" s="1"/>
  <c r="AV62" i="15"/>
  <c r="AW62" i="15" s="1"/>
  <c r="AB62" i="15"/>
  <c r="AC62" i="15" s="1"/>
  <c r="Y62" i="15"/>
  <c r="Z62" i="15" s="1"/>
  <c r="BD62" i="15"/>
  <c r="BE62" i="15" s="1"/>
  <c r="AH62" i="15"/>
  <c r="AI62" i="15" s="1"/>
  <c r="AQ62" i="15"/>
  <c r="AR62" i="15" s="1"/>
  <c r="BG62" i="15"/>
  <c r="BH62" i="15" s="1"/>
  <c r="P62" i="15"/>
  <c r="AY62" i="15"/>
  <c r="BQ62" i="15"/>
  <c r="BR62" i="15" s="1"/>
  <c r="O62" i="15"/>
  <c r="K63" i="15"/>
  <c r="I72" i="95"/>
  <c r="I67" i="104"/>
  <c r="I65" i="96"/>
  <c r="K64" i="96"/>
  <c r="K62" i="66"/>
  <c r="I63" i="66"/>
  <c r="BN65" i="136"/>
  <c r="BO65" i="136" s="1"/>
  <c r="M65" i="136"/>
  <c r="BL65" i="136"/>
  <c r="AH65" i="136"/>
  <c r="AI65" i="136" s="1"/>
  <c r="R65" i="136"/>
  <c r="T65" i="136" s="1"/>
  <c r="BG65" i="136"/>
  <c r="BH65" i="136" s="1"/>
  <c r="BA65" i="136"/>
  <c r="BB65" i="136" s="1"/>
  <c r="AN65" i="136"/>
  <c r="AO65" i="136" s="1"/>
  <c r="AT65" i="136"/>
  <c r="BQ65" i="136"/>
  <c r="BR65" i="136" s="1"/>
  <c r="AB65" i="136"/>
  <c r="AC65" i="136" s="1"/>
  <c r="V65" i="136"/>
  <c r="W65" i="136" s="1"/>
  <c r="AV65" i="136"/>
  <c r="AW65" i="136" s="1"/>
  <c r="O65" i="136"/>
  <c r="AE65" i="136"/>
  <c r="AF65" i="136" s="1"/>
  <c r="P65" i="136"/>
  <c r="AY65" i="136"/>
  <c r="AQ65" i="136"/>
  <c r="AR65" i="136" s="1"/>
  <c r="Y65" i="136"/>
  <c r="Z65" i="136" s="1"/>
  <c r="BD65" i="136"/>
  <c r="BE65" i="136" s="1"/>
  <c r="AK65" i="136"/>
  <c r="AL65" i="136" s="1"/>
  <c r="K66" i="136"/>
  <c r="I69" i="64"/>
  <c r="BK63" i="110"/>
  <c r="M63" i="110"/>
  <c r="BN63" i="110"/>
  <c r="BO63" i="110" s="1"/>
  <c r="BJ63" i="110"/>
  <c r="BL63" i="110" s="1"/>
  <c r="AH63" i="110"/>
  <c r="AI63" i="110" s="1"/>
  <c r="AT63" i="110"/>
  <c r="AQ63" i="110"/>
  <c r="AR63" i="110" s="1"/>
  <c r="BD63" i="110"/>
  <c r="BE63" i="110" s="1"/>
  <c r="BA63" i="110"/>
  <c r="BB63" i="110" s="1"/>
  <c r="BQ63" i="110"/>
  <c r="BR63" i="110" s="1"/>
  <c r="BG63" i="110"/>
  <c r="BH63" i="110" s="1"/>
  <c r="AV63" i="110"/>
  <c r="AW63" i="110" s="1"/>
  <c r="AB63" i="110"/>
  <c r="AC63" i="110" s="1"/>
  <c r="R63" i="110"/>
  <c r="T63" i="110" s="1"/>
  <c r="Y63" i="110"/>
  <c r="Z63" i="110" s="1"/>
  <c r="P63" i="110"/>
  <c r="AY63" i="110"/>
  <c r="AN63" i="110"/>
  <c r="AO63" i="110" s="1"/>
  <c r="AE63" i="110"/>
  <c r="AF63" i="110" s="1"/>
  <c r="O63" i="110"/>
  <c r="AK63" i="110"/>
  <c r="AL63" i="110" s="1"/>
  <c r="V63" i="110"/>
  <c r="W63" i="110" s="1"/>
  <c r="M63" i="115"/>
  <c r="BK63" i="115"/>
  <c r="BN63" i="115"/>
  <c r="BO63" i="115" s="1"/>
  <c r="BJ63" i="115"/>
  <c r="BL63" i="115" s="1"/>
  <c r="AT63" i="115"/>
  <c r="AV63" i="115"/>
  <c r="AW63" i="115" s="1"/>
  <c r="AE63" i="115"/>
  <c r="AF63" i="115" s="1"/>
  <c r="BA63" i="115"/>
  <c r="BB63" i="115" s="1"/>
  <c r="Y63" i="115"/>
  <c r="Z63" i="115" s="1"/>
  <c r="AQ63" i="115"/>
  <c r="AR63" i="115" s="1"/>
  <c r="O63" i="115"/>
  <c r="P63" i="115"/>
  <c r="AB63" i="115"/>
  <c r="AC63" i="115" s="1"/>
  <c r="R63" i="115"/>
  <c r="T63" i="115" s="1"/>
  <c r="BG63" i="115"/>
  <c r="BH63" i="115" s="1"/>
  <c r="AK63" i="115"/>
  <c r="AL63" i="115" s="1"/>
  <c r="BQ63" i="115"/>
  <c r="BR63" i="115" s="1"/>
  <c r="BD63" i="115"/>
  <c r="BE63" i="115" s="1"/>
  <c r="AH63" i="115"/>
  <c r="AI63" i="115" s="1"/>
  <c r="V63" i="115"/>
  <c r="W63" i="115" s="1"/>
  <c r="AN63" i="115"/>
  <c r="AO63" i="115" s="1"/>
  <c r="AY63" i="115"/>
  <c r="I70" i="132"/>
  <c r="BN61" i="13"/>
  <c r="BO61" i="13" s="1"/>
  <c r="M61" i="13"/>
  <c r="BL61" i="13"/>
  <c r="AK61" i="13"/>
  <c r="AL61" i="13" s="1"/>
  <c r="BA61" i="13"/>
  <c r="BB61" i="13" s="1"/>
  <c r="AV61" i="13"/>
  <c r="AW61" i="13" s="1"/>
  <c r="BQ61" i="13"/>
  <c r="BR61" i="13" s="1"/>
  <c r="AN61" i="13"/>
  <c r="AO61" i="13" s="1"/>
  <c r="BD61" i="13"/>
  <c r="BE61" i="13" s="1"/>
  <c r="AH61" i="13"/>
  <c r="AI61" i="13" s="1"/>
  <c r="Y61" i="13"/>
  <c r="Z61" i="13" s="1"/>
  <c r="BG61" i="13"/>
  <c r="BH61" i="13" s="1"/>
  <c r="V61" i="13"/>
  <c r="W61" i="13" s="1"/>
  <c r="P61" i="13"/>
  <c r="AY61" i="13"/>
  <c r="AQ61" i="13"/>
  <c r="AR61" i="13" s="1"/>
  <c r="R61" i="13"/>
  <c r="T61" i="13" s="1"/>
  <c r="AT61" i="13"/>
  <c r="AE61" i="13"/>
  <c r="AF61" i="13" s="1"/>
  <c r="O61" i="13"/>
  <c r="AB61" i="13"/>
  <c r="AC61" i="13" s="1"/>
  <c r="I78" i="133"/>
  <c r="I70" i="105"/>
  <c r="R61" i="66"/>
  <c r="T61" i="66" s="1"/>
  <c r="BA61" i="66"/>
  <c r="BB61" i="66" s="1"/>
  <c r="BQ61" i="66"/>
  <c r="BR61" i="66" s="1"/>
  <c r="AN61" i="66"/>
  <c r="AO61" i="66" s="1"/>
  <c r="BN61" i="66"/>
  <c r="BO61" i="66" s="1"/>
  <c r="AV61" i="66"/>
  <c r="AW61" i="66" s="1"/>
  <c r="AY61" i="66"/>
  <c r="AH61" i="66"/>
  <c r="AI61" i="66" s="1"/>
  <c r="V61" i="66"/>
  <c r="W61" i="66" s="1"/>
  <c r="AT61" i="66"/>
  <c r="AE61" i="66"/>
  <c r="AF61" i="66" s="1"/>
  <c r="M61" i="66"/>
  <c r="AB61" i="66"/>
  <c r="AC61" i="66" s="1"/>
  <c r="O61" i="66"/>
  <c r="P61" i="66"/>
  <c r="BD61" i="66"/>
  <c r="BE61" i="66" s="1"/>
  <c r="Y61" i="66"/>
  <c r="Z61" i="66" s="1"/>
  <c r="AK61" i="66"/>
  <c r="AL61" i="66" s="1"/>
  <c r="BG61" i="66"/>
  <c r="BH61" i="66" s="1"/>
  <c r="AQ61" i="66"/>
  <c r="AR61" i="66" s="1"/>
  <c r="BL61" i="66"/>
  <c r="I67" i="15"/>
  <c r="M63" i="114"/>
  <c r="BJ63" i="114"/>
  <c r="BL63" i="114" s="1"/>
  <c r="BN63" i="114"/>
  <c r="BO63" i="114" s="1"/>
  <c r="BK63" i="114"/>
  <c r="AY63" i="114"/>
  <c r="P63" i="114"/>
  <c r="AB63" i="114"/>
  <c r="AC63" i="114" s="1"/>
  <c r="R63" i="114"/>
  <c r="T63" i="114" s="1"/>
  <c r="Y63" i="114"/>
  <c r="Z63" i="114" s="1"/>
  <c r="BQ63" i="114"/>
  <c r="BR63" i="114" s="1"/>
  <c r="BG63" i="114"/>
  <c r="BH63" i="114" s="1"/>
  <c r="O63" i="114"/>
  <c r="AE63" i="114"/>
  <c r="AF63" i="114" s="1"/>
  <c r="AQ63" i="114"/>
  <c r="AR63" i="114" s="1"/>
  <c r="AK63" i="114"/>
  <c r="AL63" i="114" s="1"/>
  <c r="AT63" i="114"/>
  <c r="BA63" i="114"/>
  <c r="BB63" i="114" s="1"/>
  <c r="AN63" i="114"/>
  <c r="AO63" i="114" s="1"/>
  <c r="AH63" i="114"/>
  <c r="AI63" i="114" s="1"/>
  <c r="V63" i="114"/>
  <c r="W63" i="114" s="1"/>
  <c r="AV63" i="114"/>
  <c r="AW63" i="114" s="1"/>
  <c r="BD63" i="114"/>
  <c r="BE63" i="114" s="1"/>
  <c r="K64" i="114"/>
  <c r="I65" i="115"/>
  <c r="K64" i="115"/>
  <c r="K62" i="13"/>
  <c r="I63" i="13"/>
  <c r="BN61" i="17"/>
  <c r="BO61" i="17" s="1"/>
  <c r="BL61" i="17"/>
  <c r="M61" i="17"/>
  <c r="BQ61" i="17"/>
  <c r="BR61" i="17" s="1"/>
  <c r="O61" i="17"/>
  <c r="AK61" i="17"/>
  <c r="AL61" i="17" s="1"/>
  <c r="AH61" i="17"/>
  <c r="AI61" i="17" s="1"/>
  <c r="AT61" i="17"/>
  <c r="BD61" i="17"/>
  <c r="BE61" i="17" s="1"/>
  <c r="V61" i="17"/>
  <c r="W61" i="17" s="1"/>
  <c r="BG61" i="17"/>
  <c r="BH61" i="17" s="1"/>
  <c r="AN61" i="17"/>
  <c r="AO61" i="17" s="1"/>
  <c r="Y61" i="17"/>
  <c r="Z61" i="17" s="1"/>
  <c r="AV61" i="17"/>
  <c r="AW61" i="17" s="1"/>
  <c r="R61" i="17"/>
  <c r="T61" i="17" s="1"/>
  <c r="AB61" i="17"/>
  <c r="AC61" i="17" s="1"/>
  <c r="P61" i="17"/>
  <c r="BA61" i="17"/>
  <c r="BB61" i="17" s="1"/>
  <c r="AY61" i="17"/>
  <c r="AQ61" i="17"/>
  <c r="AR61" i="17" s="1"/>
  <c r="AE61" i="17"/>
  <c r="AF61" i="17" s="1"/>
  <c r="M64" i="135"/>
  <c r="R64" i="135"/>
  <c r="T64" i="135" s="1"/>
  <c r="BQ64" i="135"/>
  <c r="BR64" i="135" s="1"/>
  <c r="AB64" i="135"/>
  <c r="AC64" i="135" s="1"/>
  <c r="AY64" i="135"/>
  <c r="AK64" i="135"/>
  <c r="AL64" i="135" s="1"/>
  <c r="AH64" i="135"/>
  <c r="AI64" i="135" s="1"/>
  <c r="AV64" i="135"/>
  <c r="AW64" i="135" s="1"/>
  <c r="AN64" i="135"/>
  <c r="AO64" i="135" s="1"/>
  <c r="AE64" i="135"/>
  <c r="AF64" i="135" s="1"/>
  <c r="AT64" i="135"/>
  <c r="BA64" i="135"/>
  <c r="BB64" i="135" s="1"/>
  <c r="O64" i="135"/>
  <c r="AQ64" i="135"/>
  <c r="AR64" i="135" s="1"/>
  <c r="BD64" i="135"/>
  <c r="BE64" i="135" s="1"/>
  <c r="P64" i="135"/>
  <c r="Y64" i="135"/>
  <c r="Z64" i="135" s="1"/>
  <c r="BN64" i="135"/>
  <c r="BO64" i="135" s="1"/>
  <c r="V64" i="135"/>
  <c r="W64" i="135" s="1"/>
  <c r="BG64" i="135"/>
  <c r="BH64" i="135" s="1"/>
  <c r="BL64" i="135"/>
  <c r="BK65" i="105"/>
  <c r="M65" i="105"/>
  <c r="BN65" i="105"/>
  <c r="BO65" i="105" s="1"/>
  <c r="BJ65" i="105"/>
  <c r="BL65" i="105" s="1"/>
  <c r="AE65" i="105"/>
  <c r="AF65" i="105" s="1"/>
  <c r="AH65" i="105"/>
  <c r="AI65" i="105" s="1"/>
  <c r="BG65" i="105"/>
  <c r="BH65" i="105" s="1"/>
  <c r="AV65" i="105"/>
  <c r="AW65" i="105" s="1"/>
  <c r="AT65" i="105"/>
  <c r="AQ65" i="105"/>
  <c r="AR65" i="105" s="1"/>
  <c r="V65" i="105"/>
  <c r="W65" i="105" s="1"/>
  <c r="AY65" i="105"/>
  <c r="O65" i="105"/>
  <c r="AK65" i="105"/>
  <c r="AL65" i="105" s="1"/>
  <c r="P65" i="105"/>
  <c r="BD65" i="105"/>
  <c r="BE65" i="105" s="1"/>
  <c r="AB65" i="105"/>
  <c r="AC65" i="105" s="1"/>
  <c r="BA65" i="105"/>
  <c r="BB65" i="105" s="1"/>
  <c r="Y65" i="105"/>
  <c r="Z65" i="105" s="1"/>
  <c r="AN65" i="105"/>
  <c r="AO65" i="105" s="1"/>
  <c r="R65" i="105"/>
  <c r="T65" i="105" s="1"/>
  <c r="BQ65" i="105"/>
  <c r="BR65" i="105" s="1"/>
  <c r="K66" i="105"/>
  <c r="BN63" i="98"/>
  <c r="BO63" i="98" s="1"/>
  <c r="BK63" i="98"/>
  <c r="M63" i="98"/>
  <c r="K64" i="98"/>
  <c r="BJ63" i="98"/>
  <c r="BL63" i="98" s="1"/>
  <c r="AK63" i="98"/>
  <c r="AL63" i="98" s="1"/>
  <c r="R63" i="98"/>
  <c r="T63" i="98" s="1"/>
  <c r="V63" i="98"/>
  <c r="W63" i="98" s="1"/>
  <c r="AQ63" i="98"/>
  <c r="AR63" i="98" s="1"/>
  <c r="BD63" i="98"/>
  <c r="BE63" i="98" s="1"/>
  <c r="AT63" i="98"/>
  <c r="BQ63" i="98"/>
  <c r="BR63" i="98" s="1"/>
  <c r="BG63" i="98"/>
  <c r="BH63" i="98" s="1"/>
  <c r="AB63" i="98"/>
  <c r="AC63" i="98" s="1"/>
  <c r="AY63" i="98"/>
  <c r="O63" i="98"/>
  <c r="AN63" i="98"/>
  <c r="AO63" i="98" s="1"/>
  <c r="AH63" i="98"/>
  <c r="AI63" i="98" s="1"/>
  <c r="AE63" i="98"/>
  <c r="AF63" i="98" s="1"/>
  <c r="Y63" i="98"/>
  <c r="Z63" i="98" s="1"/>
  <c r="P63" i="98"/>
  <c r="AV63" i="98"/>
  <c r="AW63" i="98" s="1"/>
  <c r="BA63" i="98"/>
  <c r="BB63" i="98" s="1"/>
  <c r="I69" i="136"/>
  <c r="V33" i="112"/>
  <c r="W33" i="112" s="1"/>
  <c r="P34" i="112"/>
  <c r="O33" i="112"/>
  <c r="O37" i="110"/>
  <c r="O38" i="110" s="1"/>
  <c r="O39" i="110" s="1"/>
  <c r="O40" i="110" s="1"/>
  <c r="O41" i="110" s="1"/>
  <c r="O42" i="110" s="1"/>
  <c r="O43" i="110" s="1"/>
  <c r="O44" i="110" s="1"/>
  <c r="O45" i="110" s="1"/>
  <c r="O46" i="110" s="1"/>
  <c r="O47" i="110" s="1"/>
  <c r="O48" i="110" s="1"/>
  <c r="O49" i="110" s="1"/>
  <c r="O50" i="110" s="1"/>
  <c r="O51" i="110" s="1"/>
  <c r="O52" i="110" s="1"/>
  <c r="O53" i="110" s="1"/>
  <c r="O54" i="110" s="1"/>
  <c r="I69" i="107" l="1"/>
  <c r="K68" i="107"/>
  <c r="BD65" i="132"/>
  <c r="BE65" i="132" s="1"/>
  <c r="M65" i="132"/>
  <c r="AB65" i="132"/>
  <c r="AC65" i="132" s="1"/>
  <c r="AK65" i="132"/>
  <c r="AL65" i="132" s="1"/>
  <c r="AQ65" i="132"/>
  <c r="AR65" i="132" s="1"/>
  <c r="P65" i="132"/>
  <c r="BN65" i="132"/>
  <c r="BO65" i="132" s="1"/>
  <c r="AT65" i="132"/>
  <c r="K66" i="132"/>
  <c r="AH65" i="132"/>
  <c r="AI65" i="132" s="1"/>
  <c r="BQ65" i="132"/>
  <c r="BR65" i="132" s="1"/>
  <c r="AY65" i="132"/>
  <c r="BL65" i="132"/>
  <c r="O65" i="132"/>
  <c r="BG65" i="132"/>
  <c r="BH65" i="132" s="1"/>
  <c r="Y65" i="132"/>
  <c r="Z65" i="132" s="1"/>
  <c r="AE65" i="132"/>
  <c r="AF65" i="132" s="1"/>
  <c r="V65" i="132"/>
  <c r="W65" i="132" s="1"/>
  <c r="BA65" i="132"/>
  <c r="BB65" i="132" s="1"/>
  <c r="AN65" i="132"/>
  <c r="AO65" i="132" s="1"/>
  <c r="R65" i="132"/>
  <c r="T65" i="132" s="1"/>
  <c r="AV65" i="132"/>
  <c r="AW65" i="132" s="1"/>
  <c r="AE67" i="107"/>
  <c r="AF67" i="107" s="1"/>
  <c r="P67" i="107"/>
  <c r="AK67" i="107"/>
  <c r="AL67" i="107" s="1"/>
  <c r="M67" i="107"/>
  <c r="R67" i="107"/>
  <c r="T67" i="107" s="1"/>
  <c r="AH67" i="107"/>
  <c r="AI67" i="107" s="1"/>
  <c r="Y67" i="107"/>
  <c r="Z67" i="107" s="1"/>
  <c r="BJ67" i="107"/>
  <c r="BL67" i="107" s="1"/>
  <c r="BA67" i="107"/>
  <c r="BB67" i="107" s="1"/>
  <c r="BN67" i="107"/>
  <c r="BO67" i="107" s="1"/>
  <c r="AN67" i="107"/>
  <c r="AO67" i="107" s="1"/>
  <c r="BG67" i="107"/>
  <c r="BH67" i="107" s="1"/>
  <c r="AV67" i="107"/>
  <c r="AW67" i="107" s="1"/>
  <c r="BK67" i="107"/>
  <c r="V67" i="107"/>
  <c r="W67" i="107" s="1"/>
  <c r="BD67" i="107"/>
  <c r="BE67" i="107" s="1"/>
  <c r="AT67" i="107"/>
  <c r="BQ67" i="107"/>
  <c r="BR67" i="107" s="1"/>
  <c r="AQ67" i="107"/>
  <c r="AR67" i="107" s="1"/>
  <c r="AY67" i="107"/>
  <c r="O67" i="107"/>
  <c r="AB67" i="107"/>
  <c r="AC67" i="107" s="1"/>
  <c r="AN65" i="99"/>
  <c r="AO65" i="99" s="1"/>
  <c r="BJ65" i="99"/>
  <c r="BL65" i="99" s="1"/>
  <c r="AT65" i="99"/>
  <c r="AH65" i="99"/>
  <c r="AI65" i="99" s="1"/>
  <c r="BQ65" i="99"/>
  <c r="BR65" i="99" s="1"/>
  <c r="AE65" i="99"/>
  <c r="AF65" i="99" s="1"/>
  <c r="BG65" i="99"/>
  <c r="BH65" i="99" s="1"/>
  <c r="R65" i="99"/>
  <c r="T65" i="99" s="1"/>
  <c r="BN65" i="99"/>
  <c r="BO65" i="99" s="1"/>
  <c r="P65" i="99"/>
  <c r="AQ65" i="99"/>
  <c r="AR65" i="99" s="1"/>
  <c r="V65" i="99"/>
  <c r="W65" i="99" s="1"/>
  <c r="BD65" i="99"/>
  <c r="BE65" i="99" s="1"/>
  <c r="BA65" i="99"/>
  <c r="BB65" i="99" s="1"/>
  <c r="AK65" i="99"/>
  <c r="AL65" i="99" s="1"/>
  <c r="AY65" i="99"/>
  <c r="M65" i="99"/>
  <c r="AB65" i="99"/>
  <c r="AC65" i="99" s="1"/>
  <c r="K66" i="99"/>
  <c r="BK65" i="99"/>
  <c r="AV65" i="99"/>
  <c r="AW65" i="99" s="1"/>
  <c r="Y65" i="99"/>
  <c r="Z65" i="99" s="1"/>
  <c r="O65" i="99"/>
  <c r="BD98" i="161"/>
  <c r="BE98" i="161" s="1"/>
  <c r="AQ98" i="161"/>
  <c r="AR98" i="161" s="1"/>
  <c r="AK98" i="161"/>
  <c r="AL98" i="161" s="1"/>
  <c r="AE98" i="161"/>
  <c r="AF98" i="161" s="1"/>
  <c r="Y98" i="161"/>
  <c r="Z98" i="161" s="1"/>
  <c r="R98" i="161"/>
  <c r="T98" i="161" s="1"/>
  <c r="AV98" i="161"/>
  <c r="AW98" i="161" s="1"/>
  <c r="P98" i="161"/>
  <c r="BG98" i="161"/>
  <c r="BH98" i="161" s="1"/>
  <c r="AT98" i="161"/>
  <c r="AH98" i="161"/>
  <c r="AI98" i="161" s="1"/>
  <c r="V98" i="161"/>
  <c r="W98" i="161" s="1"/>
  <c r="BR98" i="161"/>
  <c r="BA98" i="161"/>
  <c r="BB98" i="161" s="1"/>
  <c r="AN98" i="161"/>
  <c r="AO98" i="161" s="1"/>
  <c r="AB98" i="161"/>
  <c r="AC98" i="161" s="1"/>
  <c r="O98" i="161"/>
  <c r="AY98" i="161"/>
  <c r="BJ98" i="161"/>
  <c r="BL98" i="161" s="1"/>
  <c r="BN98" i="161"/>
  <c r="BO98" i="161" s="1"/>
  <c r="M98" i="161"/>
  <c r="BK98" i="161"/>
  <c r="I100" i="161"/>
  <c r="K99" i="161"/>
  <c r="BQ99" i="161" s="1"/>
  <c r="P64" i="129"/>
  <c r="V64" i="129"/>
  <c r="W64" i="129" s="1"/>
  <c r="R64" i="129"/>
  <c r="T64" i="129" s="1"/>
  <c r="BL64" i="129"/>
  <c r="AE64" i="129"/>
  <c r="AF64" i="129" s="1"/>
  <c r="AN64" i="129"/>
  <c r="AO64" i="129" s="1"/>
  <c r="BQ64" i="129"/>
  <c r="BR64" i="129" s="1"/>
  <c r="AK64" i="129"/>
  <c r="AL64" i="129" s="1"/>
  <c r="BA64" i="129"/>
  <c r="BB64" i="129" s="1"/>
  <c r="AT64" i="129"/>
  <c r="M64" i="129"/>
  <c r="AY64" i="129"/>
  <c r="AV64" i="129"/>
  <c r="AW64" i="129" s="1"/>
  <c r="O64" i="129"/>
  <c r="K65" i="129"/>
  <c r="BD64" i="129"/>
  <c r="BE64" i="129" s="1"/>
  <c r="AH64" i="129"/>
  <c r="AI64" i="129" s="1"/>
  <c r="Y64" i="129"/>
  <c r="Z64" i="129" s="1"/>
  <c r="BN64" i="129"/>
  <c r="BO64" i="129" s="1"/>
  <c r="AQ64" i="129"/>
  <c r="AR64" i="129" s="1"/>
  <c r="AB64" i="129"/>
  <c r="AC64" i="129" s="1"/>
  <c r="BG64" i="129"/>
  <c r="BH64" i="129" s="1"/>
  <c r="AC61" i="95"/>
  <c r="AV16" i="15"/>
  <c r="AW16" i="15" s="1"/>
  <c r="BD16" i="15"/>
  <c r="BE16" i="15" s="1"/>
  <c r="AE68" i="156"/>
  <c r="AF68" i="156" s="1"/>
  <c r="BQ68" i="156"/>
  <c r="BR68" i="156" s="1"/>
  <c r="BA68" i="156"/>
  <c r="BB68" i="156" s="1"/>
  <c r="AK68" i="156"/>
  <c r="AL68" i="156" s="1"/>
  <c r="O68" i="156"/>
  <c r="BG68" i="156"/>
  <c r="BH68" i="156" s="1"/>
  <c r="AQ68" i="156"/>
  <c r="AR68" i="156" s="1"/>
  <c r="V68" i="156"/>
  <c r="W68" i="156" s="1"/>
  <c r="BL68" i="156"/>
  <c r="BD68" i="156"/>
  <c r="BE68" i="156" s="1"/>
  <c r="AB68" i="156"/>
  <c r="AC68" i="156" s="1"/>
  <c r="BN68" i="156"/>
  <c r="BO68" i="156" s="1"/>
  <c r="R68" i="156"/>
  <c r="T68" i="156" s="1"/>
  <c r="M68" i="156"/>
  <c r="AH68" i="156"/>
  <c r="AI68" i="156" s="1"/>
  <c r="AV68" i="156"/>
  <c r="AW68" i="156" s="1"/>
  <c r="Y68" i="156"/>
  <c r="Z68" i="156" s="1"/>
  <c r="AN68" i="156"/>
  <c r="AO68" i="156" s="1"/>
  <c r="P68" i="156"/>
  <c r="O63" i="112"/>
  <c r="Y63" i="112"/>
  <c r="Z63" i="112" s="1"/>
  <c r="AT63" i="112"/>
  <c r="AQ63" i="112"/>
  <c r="AR63" i="112" s="1"/>
  <c r="M63" i="112"/>
  <c r="BQ63" i="112"/>
  <c r="BR63" i="112" s="1"/>
  <c r="AN63" i="112"/>
  <c r="AO63" i="112" s="1"/>
  <c r="AK63" i="112"/>
  <c r="AL63" i="112" s="1"/>
  <c r="AV63" i="112"/>
  <c r="AW63" i="112" s="1"/>
  <c r="BK63" i="112"/>
  <c r="AB63" i="112"/>
  <c r="AC63" i="112" s="1"/>
  <c r="BN63" i="112"/>
  <c r="BO63" i="112" s="1"/>
  <c r="V63" i="112"/>
  <c r="W63" i="112" s="1"/>
  <c r="AY63" i="112"/>
  <c r="R63" i="112"/>
  <c r="T63" i="112" s="1"/>
  <c r="BJ63" i="112"/>
  <c r="BL63" i="112" s="1"/>
  <c r="AH63" i="112"/>
  <c r="AI63" i="112" s="1"/>
  <c r="BA63" i="112"/>
  <c r="BB63" i="112" s="1"/>
  <c r="BD63" i="112"/>
  <c r="BE63" i="112" s="1"/>
  <c r="K64" i="112"/>
  <c r="AE63" i="112"/>
  <c r="AF63" i="112" s="1"/>
  <c r="BG63" i="112"/>
  <c r="BH63" i="112" s="1"/>
  <c r="P63" i="112"/>
  <c r="AV15" i="150"/>
  <c r="AW15" i="150" s="1"/>
  <c r="BD15" i="150"/>
  <c r="BE15" i="150" s="1"/>
  <c r="K69" i="156"/>
  <c r="AY69" i="156" s="1"/>
  <c r="I70" i="156"/>
  <c r="BK63" i="104"/>
  <c r="AK63" i="104"/>
  <c r="AL63" i="104" s="1"/>
  <c r="AV63" i="104"/>
  <c r="AW63" i="104" s="1"/>
  <c r="P63" i="104"/>
  <c r="BN63" i="104"/>
  <c r="BO63" i="104" s="1"/>
  <c r="AB63" i="104"/>
  <c r="AC63" i="104" s="1"/>
  <c r="AT63" i="104"/>
  <c r="AY63" i="104"/>
  <c r="BJ63" i="104"/>
  <c r="BL63" i="104" s="1"/>
  <c r="Y63" i="104"/>
  <c r="Z63" i="104" s="1"/>
  <c r="AN63" i="104"/>
  <c r="AO63" i="104" s="1"/>
  <c r="AH63" i="104"/>
  <c r="AI63" i="104" s="1"/>
  <c r="O63" i="104"/>
  <c r="BG63" i="104"/>
  <c r="BH63" i="104" s="1"/>
  <c r="AQ63" i="104"/>
  <c r="AR63" i="104" s="1"/>
  <c r="BA63" i="104"/>
  <c r="BB63" i="104" s="1"/>
  <c r="V63" i="104"/>
  <c r="W63" i="104" s="1"/>
  <c r="BQ63" i="104"/>
  <c r="BR63" i="104" s="1"/>
  <c r="K64" i="104"/>
  <c r="M63" i="104"/>
  <c r="AE63" i="104"/>
  <c r="AF63" i="104" s="1"/>
  <c r="BD63" i="104"/>
  <c r="BE63" i="104" s="1"/>
  <c r="R63" i="104"/>
  <c r="T63" i="104" s="1"/>
  <c r="BN66" i="133"/>
  <c r="BO66" i="133" s="1"/>
  <c r="R66" i="133"/>
  <c r="T66" i="133" s="1"/>
  <c r="BD66" i="133"/>
  <c r="BE66" i="133" s="1"/>
  <c r="AB66" i="133"/>
  <c r="AC66" i="133" s="1"/>
  <c r="M66" i="133"/>
  <c r="AQ66" i="133"/>
  <c r="AR66" i="133" s="1"/>
  <c r="BA66" i="133"/>
  <c r="BB66" i="133" s="1"/>
  <c r="BQ66" i="133"/>
  <c r="BR66" i="133" s="1"/>
  <c r="AY66" i="133"/>
  <c r="AT66" i="133"/>
  <c r="P66" i="133"/>
  <c r="K67" i="133"/>
  <c r="AK66" i="133"/>
  <c r="AL66" i="133" s="1"/>
  <c r="V66" i="133"/>
  <c r="W66" i="133" s="1"/>
  <c r="AH66" i="133"/>
  <c r="AI66" i="133" s="1"/>
  <c r="Y66" i="133"/>
  <c r="Z66" i="133" s="1"/>
  <c r="AV66" i="133"/>
  <c r="AW66" i="133" s="1"/>
  <c r="BG66" i="133"/>
  <c r="BH66" i="133" s="1"/>
  <c r="BL66" i="133"/>
  <c r="O66" i="133"/>
  <c r="AE66" i="133"/>
  <c r="AF66" i="133" s="1"/>
  <c r="AN66" i="133"/>
  <c r="AO66" i="133" s="1"/>
  <c r="I70" i="106"/>
  <c r="BD15" i="133"/>
  <c r="BE15" i="133" s="1"/>
  <c r="AV15" i="133"/>
  <c r="AW15" i="133" s="1"/>
  <c r="BK63" i="106"/>
  <c r="AN63" i="106"/>
  <c r="AO63" i="106" s="1"/>
  <c r="O63" i="106"/>
  <c r="BA63" i="106"/>
  <c r="BB63" i="106" s="1"/>
  <c r="Y63" i="106"/>
  <c r="Z63" i="106" s="1"/>
  <c r="AK63" i="106"/>
  <c r="AL63" i="106" s="1"/>
  <c r="BG63" i="106"/>
  <c r="BH63" i="106" s="1"/>
  <c r="M63" i="106"/>
  <c r="AT63" i="106"/>
  <c r="V63" i="106"/>
  <c r="W63" i="106" s="1"/>
  <c r="AQ63" i="106"/>
  <c r="AR63" i="106" s="1"/>
  <c r="AE63" i="106"/>
  <c r="AF63" i="106" s="1"/>
  <c r="BQ63" i="106"/>
  <c r="BR63" i="106" s="1"/>
  <c r="BD63" i="106"/>
  <c r="BE63" i="106" s="1"/>
  <c r="BJ63" i="106"/>
  <c r="BL63" i="106" s="1"/>
  <c r="P63" i="106"/>
  <c r="R63" i="106"/>
  <c r="T63" i="106" s="1"/>
  <c r="AV63" i="106"/>
  <c r="AW63" i="106" s="1"/>
  <c r="BN63" i="106"/>
  <c r="BO63" i="106" s="1"/>
  <c r="AY63" i="106"/>
  <c r="AB63" i="106"/>
  <c r="AC63" i="106" s="1"/>
  <c r="AH63" i="106"/>
  <c r="AI63" i="106" s="1"/>
  <c r="K64" i="106"/>
  <c r="Y62" i="95"/>
  <c r="Z62" i="95" s="1"/>
  <c r="V62" i="95"/>
  <c r="W62" i="95" s="1"/>
  <c r="AK62" i="95"/>
  <c r="AL62" i="95" s="1"/>
  <c r="M62" i="95"/>
  <c r="BG62" i="95"/>
  <c r="BH62" i="95" s="1"/>
  <c r="R62" i="95"/>
  <c r="T62" i="95" s="1"/>
  <c r="AH62" i="95"/>
  <c r="AI62" i="95" s="1"/>
  <c r="BL62" i="95"/>
  <c r="O62" i="95"/>
  <c r="AB62" i="95"/>
  <c r="AC62" i="95" s="1"/>
  <c r="AV62" i="95"/>
  <c r="AW62" i="95" s="1"/>
  <c r="BN62" i="95"/>
  <c r="BO62" i="95" s="1"/>
  <c r="BA62" i="95"/>
  <c r="BB62" i="95" s="1"/>
  <c r="BD62" i="95"/>
  <c r="BE62" i="95" s="1"/>
  <c r="K63" i="95"/>
  <c r="P62" i="95"/>
  <c r="BQ62" i="95"/>
  <c r="BR62" i="95" s="1"/>
  <c r="AT62" i="95"/>
  <c r="AN62" i="95"/>
  <c r="AO62" i="95" s="1"/>
  <c r="AQ62" i="95"/>
  <c r="AR62" i="95" s="1"/>
  <c r="AE62" i="95"/>
  <c r="AF62" i="95" s="1"/>
  <c r="AV15" i="15"/>
  <c r="AW15" i="15" s="1"/>
  <c r="BD15" i="15"/>
  <c r="BE15" i="15" s="1"/>
  <c r="BD15" i="151"/>
  <c r="BE15" i="151" s="1"/>
  <c r="BD29" i="120"/>
  <c r="BE29" i="120" s="1"/>
  <c r="AV29" i="120"/>
  <c r="AW29" i="120" s="1"/>
  <c r="BL64" i="130"/>
  <c r="BN64" i="130"/>
  <c r="BO64" i="130" s="1"/>
  <c r="K65" i="130"/>
  <c r="M64" i="130"/>
  <c r="AB64" i="130"/>
  <c r="AC64" i="130" s="1"/>
  <c r="BA64" i="130"/>
  <c r="BB64" i="130" s="1"/>
  <c r="AH64" i="130"/>
  <c r="AI64" i="130" s="1"/>
  <c r="AT64" i="130"/>
  <c r="AQ64" i="130"/>
  <c r="AR64" i="130" s="1"/>
  <c r="AN64" i="130"/>
  <c r="AO64" i="130" s="1"/>
  <c r="Y64" i="130"/>
  <c r="Z64" i="130" s="1"/>
  <c r="R64" i="130"/>
  <c r="T64" i="130" s="1"/>
  <c r="AY64" i="130"/>
  <c r="BG64" i="130"/>
  <c r="BH64" i="130" s="1"/>
  <c r="AK64" i="130"/>
  <c r="AL64" i="130" s="1"/>
  <c r="V64" i="130"/>
  <c r="W64" i="130" s="1"/>
  <c r="P64" i="130"/>
  <c r="BQ64" i="130"/>
  <c r="BR64" i="130" s="1"/>
  <c r="AV64" i="130"/>
  <c r="AW64" i="130" s="1"/>
  <c r="O64" i="130"/>
  <c r="BD64" i="130"/>
  <c r="BE64" i="130" s="1"/>
  <c r="AE64" i="130"/>
  <c r="AF64" i="130" s="1"/>
  <c r="BD16" i="151"/>
  <c r="BE16" i="151" s="1"/>
  <c r="AV16" i="151"/>
  <c r="AW16" i="151" s="1"/>
  <c r="I71" i="155"/>
  <c r="K70" i="155"/>
  <c r="R69" i="155"/>
  <c r="T69" i="155" s="1"/>
  <c r="Y69" i="155"/>
  <c r="Z69" i="155" s="1"/>
  <c r="AE69" i="155"/>
  <c r="AF69" i="155" s="1"/>
  <c r="AK69" i="155"/>
  <c r="AL69" i="155" s="1"/>
  <c r="AQ69" i="155"/>
  <c r="AR69" i="155" s="1"/>
  <c r="BD69" i="155"/>
  <c r="BE69" i="155" s="1"/>
  <c r="M69" i="155"/>
  <c r="BQ69" i="155"/>
  <c r="BR69" i="155" s="1"/>
  <c r="AV69" i="155"/>
  <c r="AW69" i="155" s="1"/>
  <c r="BN69" i="155"/>
  <c r="BO69" i="155" s="1"/>
  <c r="O69" i="155"/>
  <c r="AB69" i="155"/>
  <c r="AC69" i="155" s="1"/>
  <c r="AN69" i="155"/>
  <c r="AO69" i="155" s="1"/>
  <c r="BA69" i="155"/>
  <c r="BB69" i="155" s="1"/>
  <c r="P69" i="155"/>
  <c r="V69" i="155"/>
  <c r="W69" i="155" s="1"/>
  <c r="AH69" i="155"/>
  <c r="AI69" i="155" s="1"/>
  <c r="BG69" i="155"/>
  <c r="BH69" i="155" s="1"/>
  <c r="BL69" i="155"/>
  <c r="AW15" i="149"/>
  <c r="BD15" i="149"/>
  <c r="BE15" i="149" s="1"/>
  <c r="R69" i="153"/>
  <c r="T69" i="153" s="1"/>
  <c r="Y69" i="153"/>
  <c r="Z69" i="153" s="1"/>
  <c r="AE69" i="153"/>
  <c r="AF69" i="153" s="1"/>
  <c r="AK69" i="153"/>
  <c r="AL69" i="153" s="1"/>
  <c r="AQ69" i="153"/>
  <c r="AR69" i="153" s="1"/>
  <c r="BD69" i="153"/>
  <c r="BE69" i="153" s="1"/>
  <c r="M69" i="153"/>
  <c r="BQ69" i="153"/>
  <c r="BR69" i="153" s="1"/>
  <c r="O69" i="153"/>
  <c r="V69" i="153"/>
  <c r="W69" i="153" s="1"/>
  <c r="AB69" i="153"/>
  <c r="AC69" i="153" s="1"/>
  <c r="AH69" i="153"/>
  <c r="AI69" i="153" s="1"/>
  <c r="AN69" i="153"/>
  <c r="AO69" i="153" s="1"/>
  <c r="BA69" i="153"/>
  <c r="BB69" i="153" s="1"/>
  <c r="BG69" i="153"/>
  <c r="BH69" i="153" s="1"/>
  <c r="BL69" i="153"/>
  <c r="P69" i="153"/>
  <c r="AV69" i="153"/>
  <c r="AW69" i="153" s="1"/>
  <c r="BN69" i="153"/>
  <c r="BO69" i="153" s="1"/>
  <c r="K70" i="153"/>
  <c r="I74" i="153"/>
  <c r="R69" i="152"/>
  <c r="T69" i="152" s="1"/>
  <c r="Y69" i="152"/>
  <c r="Z69" i="152" s="1"/>
  <c r="AE69" i="152"/>
  <c r="AF69" i="152" s="1"/>
  <c r="AK69" i="152"/>
  <c r="AL69" i="152" s="1"/>
  <c r="AQ69" i="152"/>
  <c r="AR69" i="152" s="1"/>
  <c r="BD69" i="152"/>
  <c r="BE69" i="152" s="1"/>
  <c r="M69" i="152"/>
  <c r="BQ69" i="152"/>
  <c r="BR69" i="152" s="1"/>
  <c r="O69" i="152"/>
  <c r="V69" i="152"/>
  <c r="W69" i="152" s="1"/>
  <c r="AB69" i="152"/>
  <c r="AC69" i="152" s="1"/>
  <c r="AH69" i="152"/>
  <c r="AI69" i="152" s="1"/>
  <c r="AN69" i="152"/>
  <c r="AO69" i="152" s="1"/>
  <c r="BA69" i="152"/>
  <c r="BB69" i="152" s="1"/>
  <c r="BG69" i="152"/>
  <c r="BH69" i="152" s="1"/>
  <c r="BL69" i="152"/>
  <c r="P69" i="152"/>
  <c r="AV69" i="152"/>
  <c r="AW69" i="152" s="1"/>
  <c r="BN69" i="152"/>
  <c r="BO69" i="152" s="1"/>
  <c r="K70" i="152"/>
  <c r="I78" i="152"/>
  <c r="I69" i="151"/>
  <c r="K68" i="151"/>
  <c r="BD67" i="151"/>
  <c r="BE67" i="151" s="1"/>
  <c r="AQ67" i="151"/>
  <c r="AR67" i="151" s="1"/>
  <c r="AK67" i="151"/>
  <c r="AL67" i="151" s="1"/>
  <c r="AE67" i="151"/>
  <c r="AF67" i="151" s="1"/>
  <c r="Y67" i="151"/>
  <c r="Z67" i="151" s="1"/>
  <c r="R67" i="151"/>
  <c r="T67" i="151" s="1"/>
  <c r="BG67" i="151"/>
  <c r="BH67" i="151" s="1"/>
  <c r="BA67" i="151"/>
  <c r="BB67" i="151" s="1"/>
  <c r="AT67" i="151"/>
  <c r="AN67" i="151"/>
  <c r="AO67" i="151" s="1"/>
  <c r="AH67" i="151"/>
  <c r="AI67" i="151" s="1"/>
  <c r="AB67" i="151"/>
  <c r="AC67" i="151" s="1"/>
  <c r="V67" i="151"/>
  <c r="W67" i="151" s="1"/>
  <c r="O67" i="151"/>
  <c r="AV67" i="151"/>
  <c r="AW67" i="151" s="1"/>
  <c r="BQ67" i="151"/>
  <c r="BR67" i="151" s="1"/>
  <c r="P67" i="151"/>
  <c r="AY67" i="151"/>
  <c r="M67" i="151"/>
  <c r="BN67" i="151"/>
  <c r="BO67" i="151" s="1"/>
  <c r="BL67" i="151"/>
  <c r="I70" i="150"/>
  <c r="BQ66" i="150"/>
  <c r="BR66" i="150" s="1"/>
  <c r="AY66" i="150"/>
  <c r="BD66" i="150"/>
  <c r="BE66" i="150" s="1"/>
  <c r="AQ66" i="150"/>
  <c r="AR66" i="150" s="1"/>
  <c r="AK66" i="150"/>
  <c r="AL66" i="150" s="1"/>
  <c r="AE66" i="150"/>
  <c r="AF66" i="150" s="1"/>
  <c r="Y66" i="150"/>
  <c r="Z66" i="150" s="1"/>
  <c r="R66" i="150"/>
  <c r="T66" i="150" s="1"/>
  <c r="P66" i="150"/>
  <c r="BA66" i="150"/>
  <c r="BB66" i="150" s="1"/>
  <c r="AN66" i="150"/>
  <c r="AO66" i="150" s="1"/>
  <c r="AB66" i="150"/>
  <c r="AC66" i="150" s="1"/>
  <c r="O66" i="150"/>
  <c r="AV66" i="150"/>
  <c r="AW66" i="150" s="1"/>
  <c r="V66" i="150"/>
  <c r="W66" i="150" s="1"/>
  <c r="BG66" i="150"/>
  <c r="BH66" i="150" s="1"/>
  <c r="AT66" i="150"/>
  <c r="AH66" i="150"/>
  <c r="AI66" i="150" s="1"/>
  <c r="M66" i="150"/>
  <c r="BN66" i="150"/>
  <c r="BO66" i="150" s="1"/>
  <c r="BL66" i="150"/>
  <c r="K67" i="150"/>
  <c r="BQ68" i="149"/>
  <c r="BR68" i="149" s="1"/>
  <c r="AY68" i="149"/>
  <c r="BD68" i="149"/>
  <c r="BE68" i="149" s="1"/>
  <c r="AQ68" i="149"/>
  <c r="AR68" i="149" s="1"/>
  <c r="AK68" i="149"/>
  <c r="AL68" i="149" s="1"/>
  <c r="AE68" i="149"/>
  <c r="AF68" i="149" s="1"/>
  <c r="Y68" i="149"/>
  <c r="Z68" i="149" s="1"/>
  <c r="R68" i="149"/>
  <c r="T68" i="149" s="1"/>
  <c r="P68" i="149"/>
  <c r="AV68" i="149"/>
  <c r="AW68" i="149" s="1"/>
  <c r="V68" i="149"/>
  <c r="W68" i="149" s="1"/>
  <c r="AN68" i="149"/>
  <c r="AO68" i="149" s="1"/>
  <c r="O68" i="149"/>
  <c r="BG68" i="149"/>
  <c r="BH68" i="149" s="1"/>
  <c r="AH68" i="149"/>
  <c r="AI68" i="149" s="1"/>
  <c r="BA68" i="149"/>
  <c r="BB68" i="149" s="1"/>
  <c r="AB68" i="149"/>
  <c r="AC68" i="149" s="1"/>
  <c r="BN68" i="149"/>
  <c r="BO68" i="149" s="1"/>
  <c r="M68" i="149"/>
  <c r="BL68" i="149"/>
  <c r="I70" i="149"/>
  <c r="K69" i="149"/>
  <c r="AT69" i="149" s="1"/>
  <c r="I69" i="147"/>
  <c r="K68" i="147"/>
  <c r="BQ67" i="147"/>
  <c r="BR67" i="147" s="1"/>
  <c r="AY67" i="147"/>
  <c r="BD67" i="147"/>
  <c r="BE67" i="147" s="1"/>
  <c r="AQ67" i="147"/>
  <c r="AR67" i="147" s="1"/>
  <c r="AK67" i="147"/>
  <c r="AL67" i="147" s="1"/>
  <c r="AE67" i="147"/>
  <c r="AF67" i="147" s="1"/>
  <c r="Y67" i="147"/>
  <c r="Z67" i="147" s="1"/>
  <c r="R67" i="147"/>
  <c r="T67" i="147" s="1"/>
  <c r="P67" i="147"/>
  <c r="BA67" i="147"/>
  <c r="BB67" i="147" s="1"/>
  <c r="AN67" i="147"/>
  <c r="AO67" i="147" s="1"/>
  <c r="AB67" i="147"/>
  <c r="AC67" i="147" s="1"/>
  <c r="O67" i="147"/>
  <c r="AV67" i="147"/>
  <c r="AW67" i="147" s="1"/>
  <c r="AH67" i="147"/>
  <c r="AI67" i="147" s="1"/>
  <c r="V67" i="147"/>
  <c r="W67" i="147" s="1"/>
  <c r="AT67" i="147"/>
  <c r="BG67" i="147"/>
  <c r="BH67" i="147" s="1"/>
  <c r="BN67" i="147"/>
  <c r="BO67" i="147" s="1"/>
  <c r="M67" i="147"/>
  <c r="BK67" i="147"/>
  <c r="BJ67" i="147"/>
  <c r="BL67" i="147" s="1"/>
  <c r="AV66" i="146"/>
  <c r="AW66" i="146" s="1"/>
  <c r="P66" i="146"/>
  <c r="BG66" i="146"/>
  <c r="BH66" i="146" s="1"/>
  <c r="BA66" i="146"/>
  <c r="BB66" i="146" s="1"/>
  <c r="AT66" i="146"/>
  <c r="AN66" i="146"/>
  <c r="AO66" i="146" s="1"/>
  <c r="AH66" i="146"/>
  <c r="AI66" i="146" s="1"/>
  <c r="AB66" i="146"/>
  <c r="AC66" i="146" s="1"/>
  <c r="V66" i="146"/>
  <c r="W66" i="146" s="1"/>
  <c r="O66" i="146"/>
  <c r="BQ66" i="146"/>
  <c r="BR66" i="146" s="1"/>
  <c r="AY66" i="146"/>
  <c r="BD66" i="146"/>
  <c r="BE66" i="146" s="1"/>
  <c r="AE66" i="146"/>
  <c r="AF66" i="146" s="1"/>
  <c r="Y66" i="146"/>
  <c r="Z66" i="146" s="1"/>
  <c r="AQ66" i="146"/>
  <c r="AR66" i="146" s="1"/>
  <c r="R66" i="146"/>
  <c r="T66" i="146" s="1"/>
  <c r="AK66" i="146"/>
  <c r="AL66" i="146" s="1"/>
  <c r="M66" i="146"/>
  <c r="BN66" i="146"/>
  <c r="BO66" i="146" s="1"/>
  <c r="BK66" i="146"/>
  <c r="BJ66" i="146"/>
  <c r="BL66" i="146" s="1"/>
  <c r="I68" i="146"/>
  <c r="K67" i="146"/>
  <c r="I64" i="13"/>
  <c r="K63" i="13"/>
  <c r="BK64" i="114"/>
  <c r="BJ64" i="114"/>
  <c r="BL64" i="114" s="1"/>
  <c r="M64" i="114"/>
  <c r="BN64" i="114"/>
  <c r="BO64" i="114" s="1"/>
  <c r="BG64" i="114"/>
  <c r="BH64" i="114" s="1"/>
  <c r="AV64" i="114"/>
  <c r="AW64" i="114" s="1"/>
  <c r="AQ64" i="114"/>
  <c r="AR64" i="114" s="1"/>
  <c r="R64" i="114"/>
  <c r="T64" i="114" s="1"/>
  <c r="P64" i="114"/>
  <c r="BD64" i="114"/>
  <c r="BE64" i="114" s="1"/>
  <c r="BQ64" i="114"/>
  <c r="BR64" i="114" s="1"/>
  <c r="AH64" i="114"/>
  <c r="AI64" i="114" s="1"/>
  <c r="AN64" i="114"/>
  <c r="AO64" i="114" s="1"/>
  <c r="Y64" i="114"/>
  <c r="Z64" i="114" s="1"/>
  <c r="V64" i="114"/>
  <c r="W64" i="114" s="1"/>
  <c r="O64" i="114"/>
  <c r="AK64" i="114"/>
  <c r="AL64" i="114" s="1"/>
  <c r="AB64" i="114"/>
  <c r="AC64" i="114" s="1"/>
  <c r="AE64" i="114"/>
  <c r="AF64" i="114" s="1"/>
  <c r="AY64" i="114"/>
  <c r="BA64" i="114"/>
  <c r="BB64" i="114" s="1"/>
  <c r="AT64" i="114"/>
  <c r="K65" i="114"/>
  <c r="I71" i="132"/>
  <c r="I70" i="114"/>
  <c r="BL62" i="13"/>
  <c r="M62" i="13"/>
  <c r="BN62" i="13"/>
  <c r="BO62" i="13" s="1"/>
  <c r="AK62" i="13"/>
  <c r="AL62" i="13" s="1"/>
  <c r="BQ62" i="13"/>
  <c r="BR62" i="13" s="1"/>
  <c r="BG62" i="13"/>
  <c r="BH62" i="13" s="1"/>
  <c r="AT62" i="13"/>
  <c r="O62" i="13"/>
  <c r="R62" i="13"/>
  <c r="T62" i="13" s="1"/>
  <c r="AQ62" i="13"/>
  <c r="AR62" i="13" s="1"/>
  <c r="AH62" i="13"/>
  <c r="AI62" i="13" s="1"/>
  <c r="BD62" i="13"/>
  <c r="BE62" i="13" s="1"/>
  <c r="AN62" i="13"/>
  <c r="AO62" i="13" s="1"/>
  <c r="P62" i="13"/>
  <c r="AV62" i="13"/>
  <c r="AW62" i="13" s="1"/>
  <c r="AE62" i="13"/>
  <c r="AF62" i="13" s="1"/>
  <c r="BA62" i="13"/>
  <c r="BB62" i="13" s="1"/>
  <c r="AB62" i="13"/>
  <c r="AC62" i="13" s="1"/>
  <c r="Y62" i="13"/>
  <c r="Z62" i="13" s="1"/>
  <c r="V62" i="13"/>
  <c r="W62" i="13" s="1"/>
  <c r="AY62" i="13"/>
  <c r="I68" i="15"/>
  <c r="I66" i="96"/>
  <c r="K65" i="96"/>
  <c r="M64" i="110"/>
  <c r="BN64" i="110"/>
  <c r="BO64" i="110" s="1"/>
  <c r="BJ64" i="110"/>
  <c r="BL64" i="110" s="1"/>
  <c r="BK64" i="110"/>
  <c r="AB64" i="110"/>
  <c r="AC64" i="110" s="1"/>
  <c r="BG64" i="110"/>
  <c r="BH64" i="110" s="1"/>
  <c r="P64" i="110"/>
  <c r="BQ64" i="110"/>
  <c r="BR64" i="110" s="1"/>
  <c r="R64" i="110"/>
  <c r="T64" i="110" s="1"/>
  <c r="AN64" i="110"/>
  <c r="AO64" i="110" s="1"/>
  <c r="BD64" i="110"/>
  <c r="BE64" i="110" s="1"/>
  <c r="Y64" i="110"/>
  <c r="Z64" i="110" s="1"/>
  <c r="AK64" i="110"/>
  <c r="AL64" i="110" s="1"/>
  <c r="AY64" i="110"/>
  <c r="AV64" i="110"/>
  <c r="AW64" i="110" s="1"/>
  <c r="AT64" i="110"/>
  <c r="BA64" i="110"/>
  <c r="BB64" i="110" s="1"/>
  <c r="O64" i="110"/>
  <c r="AQ64" i="110"/>
  <c r="AR64" i="110" s="1"/>
  <c r="AE64" i="110"/>
  <c r="AF64" i="110" s="1"/>
  <c r="V64" i="110"/>
  <c r="W64" i="110" s="1"/>
  <c r="AH64" i="110"/>
  <c r="AI64" i="110" s="1"/>
  <c r="I69" i="63"/>
  <c r="R62" i="120"/>
  <c r="T62" i="120" s="1"/>
  <c r="BQ62" i="120"/>
  <c r="BR62" i="120" s="1"/>
  <c r="K63" i="120"/>
  <c r="M62" i="120"/>
  <c r="AH62" i="120"/>
  <c r="AI62" i="120" s="1"/>
  <c r="BA62" i="120"/>
  <c r="BB62" i="120" s="1"/>
  <c r="AV62" i="120"/>
  <c r="AW62" i="120" s="1"/>
  <c r="AE62" i="120"/>
  <c r="AF62" i="120" s="1"/>
  <c r="BD62" i="120"/>
  <c r="BE62" i="120" s="1"/>
  <c r="O62" i="120"/>
  <c r="V62" i="120"/>
  <c r="W62" i="120" s="1"/>
  <c r="P62" i="120"/>
  <c r="BG62" i="120"/>
  <c r="BH62" i="120" s="1"/>
  <c r="AK62" i="120"/>
  <c r="AL62" i="120" s="1"/>
  <c r="AT62" i="120"/>
  <c r="AN62" i="120"/>
  <c r="AO62" i="120" s="1"/>
  <c r="AB62" i="120"/>
  <c r="AC62" i="120" s="1"/>
  <c r="Y62" i="120"/>
  <c r="Z62" i="120" s="1"/>
  <c r="AQ62" i="120"/>
  <c r="AR62" i="120" s="1"/>
  <c r="AY62" i="120"/>
  <c r="BN62" i="120"/>
  <c r="BO62" i="120" s="1"/>
  <c r="I64" i="17"/>
  <c r="K63" i="17"/>
  <c r="M63" i="118"/>
  <c r="K64" i="118"/>
  <c r="BN63" i="118"/>
  <c r="BO63" i="118" s="1"/>
  <c r="P63" i="118"/>
  <c r="AN63" i="118"/>
  <c r="AO63" i="118" s="1"/>
  <c r="AV63" i="118"/>
  <c r="AW63" i="118" s="1"/>
  <c r="AY63" i="118"/>
  <c r="AH63" i="118"/>
  <c r="AI63" i="118" s="1"/>
  <c r="R63" i="118"/>
  <c r="T63" i="118" s="1"/>
  <c r="V63" i="118"/>
  <c r="W63" i="118" s="1"/>
  <c r="AT63" i="118"/>
  <c r="AQ63" i="118"/>
  <c r="AR63" i="118" s="1"/>
  <c r="AE63" i="118"/>
  <c r="AF63" i="118" s="1"/>
  <c r="BQ63" i="118"/>
  <c r="BR63" i="118" s="1"/>
  <c r="Y63" i="118"/>
  <c r="Z63" i="118" s="1"/>
  <c r="BG63" i="118"/>
  <c r="BH63" i="118" s="1"/>
  <c r="BA63" i="118"/>
  <c r="BB63" i="118" s="1"/>
  <c r="AK63" i="118"/>
  <c r="AL63" i="118" s="1"/>
  <c r="O63" i="118"/>
  <c r="AB63" i="118"/>
  <c r="AC63" i="118" s="1"/>
  <c r="BD63" i="118"/>
  <c r="BE63" i="118" s="1"/>
  <c r="I69" i="126"/>
  <c r="BJ68" i="124"/>
  <c r="BL68" i="124" s="1"/>
  <c r="K69" i="124"/>
  <c r="M68" i="124"/>
  <c r="BK68" i="124"/>
  <c r="BN68" i="124"/>
  <c r="BO68" i="124" s="1"/>
  <c r="R68" i="124"/>
  <c r="T68" i="124" s="1"/>
  <c r="AE68" i="124"/>
  <c r="AF68" i="124" s="1"/>
  <c r="AQ68" i="124"/>
  <c r="AR68" i="124" s="1"/>
  <c r="AV68" i="124"/>
  <c r="AW68" i="124" s="1"/>
  <c r="BA68" i="124"/>
  <c r="BB68" i="124" s="1"/>
  <c r="O68" i="124"/>
  <c r="AK68" i="124"/>
  <c r="AL68" i="124" s="1"/>
  <c r="BQ68" i="124"/>
  <c r="BR68" i="124" s="1"/>
  <c r="P68" i="124"/>
  <c r="V68" i="124"/>
  <c r="W68" i="124" s="1"/>
  <c r="BG68" i="124"/>
  <c r="BH68" i="124" s="1"/>
  <c r="AY68" i="124"/>
  <c r="AH68" i="124"/>
  <c r="AI68" i="124" s="1"/>
  <c r="AN68" i="124"/>
  <c r="AO68" i="124" s="1"/>
  <c r="AT68" i="124"/>
  <c r="BD68" i="124"/>
  <c r="BE68" i="124" s="1"/>
  <c r="AB68" i="124"/>
  <c r="AC68" i="124" s="1"/>
  <c r="Y68" i="124"/>
  <c r="Z68" i="124" s="1"/>
  <c r="I71" i="105"/>
  <c r="AB62" i="66"/>
  <c r="AC62" i="66" s="1"/>
  <c r="AV62" i="66"/>
  <c r="AW62" i="66" s="1"/>
  <c r="P62" i="66"/>
  <c r="V62" i="66"/>
  <c r="W62" i="66" s="1"/>
  <c r="AN62" i="66"/>
  <c r="AO62" i="66" s="1"/>
  <c r="AE62" i="66"/>
  <c r="AF62" i="66" s="1"/>
  <c r="BG62" i="66"/>
  <c r="BH62" i="66" s="1"/>
  <c r="AY62" i="66"/>
  <c r="Y62" i="66"/>
  <c r="Z62" i="66" s="1"/>
  <c r="AT62" i="66"/>
  <c r="R62" i="66"/>
  <c r="T62" i="66" s="1"/>
  <c r="AQ62" i="66"/>
  <c r="AR62" i="66" s="1"/>
  <c r="O62" i="66"/>
  <c r="BA62" i="66"/>
  <c r="BB62" i="66" s="1"/>
  <c r="BN62" i="66"/>
  <c r="BO62" i="66" s="1"/>
  <c r="BQ62" i="66"/>
  <c r="BR62" i="66" s="1"/>
  <c r="AH62" i="66"/>
  <c r="AI62" i="66" s="1"/>
  <c r="BD62" i="66"/>
  <c r="BE62" i="66" s="1"/>
  <c r="M62" i="66"/>
  <c r="AK62" i="66"/>
  <c r="AL62" i="66" s="1"/>
  <c r="BL62" i="66"/>
  <c r="M64" i="96"/>
  <c r="BA64" i="96"/>
  <c r="BB64" i="96" s="1"/>
  <c r="AE64" i="96"/>
  <c r="AF64" i="96" s="1"/>
  <c r="AQ64" i="96"/>
  <c r="AR64" i="96" s="1"/>
  <c r="O64" i="96"/>
  <c r="V64" i="96"/>
  <c r="W64" i="96" s="1"/>
  <c r="AH64" i="96"/>
  <c r="AI64" i="96" s="1"/>
  <c r="BD64" i="96"/>
  <c r="BE64" i="96" s="1"/>
  <c r="R64" i="96"/>
  <c r="T64" i="96" s="1"/>
  <c r="AV64" i="96"/>
  <c r="AW64" i="96" s="1"/>
  <c r="BG64" i="96"/>
  <c r="BH64" i="96" s="1"/>
  <c r="BN64" i="96"/>
  <c r="BO64" i="96" s="1"/>
  <c r="Y64" i="96"/>
  <c r="Z64" i="96" s="1"/>
  <c r="AT64" i="96"/>
  <c r="BQ64" i="96"/>
  <c r="BR64" i="96" s="1"/>
  <c r="AB64" i="96"/>
  <c r="AK64" i="96"/>
  <c r="AL64" i="96" s="1"/>
  <c r="AN64" i="96"/>
  <c r="AO64" i="96" s="1"/>
  <c r="P64" i="96"/>
  <c r="BL64" i="96"/>
  <c r="BN62" i="17"/>
  <c r="BO62" i="17" s="1"/>
  <c r="BL62" i="17"/>
  <c r="M62" i="17"/>
  <c r="AK62" i="17"/>
  <c r="AL62" i="17" s="1"/>
  <c r="Y62" i="17"/>
  <c r="Z62" i="17" s="1"/>
  <c r="AV62" i="17"/>
  <c r="AW62" i="17" s="1"/>
  <c r="AQ62" i="17"/>
  <c r="AR62" i="17" s="1"/>
  <c r="AH62" i="17"/>
  <c r="AI62" i="17" s="1"/>
  <c r="AY62" i="17"/>
  <c r="O62" i="17"/>
  <c r="AB62" i="17"/>
  <c r="AC62" i="17" s="1"/>
  <c r="BQ62" i="17"/>
  <c r="BR62" i="17" s="1"/>
  <c r="AN62" i="17"/>
  <c r="AO62" i="17" s="1"/>
  <c r="AT62" i="17"/>
  <c r="BG62" i="17"/>
  <c r="BH62" i="17" s="1"/>
  <c r="V62" i="17"/>
  <c r="W62" i="17" s="1"/>
  <c r="BA62" i="17"/>
  <c r="BB62" i="17" s="1"/>
  <c r="BD62" i="17"/>
  <c r="BE62" i="17" s="1"/>
  <c r="R62" i="17"/>
  <c r="T62" i="17" s="1"/>
  <c r="P62" i="17"/>
  <c r="AE62" i="17"/>
  <c r="AF62" i="17" s="1"/>
  <c r="M64" i="115"/>
  <c r="BN64" i="115"/>
  <c r="BO64" i="115" s="1"/>
  <c r="BJ64" i="115"/>
  <c r="BL64" i="115" s="1"/>
  <c r="BK64" i="115"/>
  <c r="P64" i="115"/>
  <c r="BA64" i="115"/>
  <c r="BB64" i="115" s="1"/>
  <c r="Y64" i="115"/>
  <c r="Z64" i="115" s="1"/>
  <c r="AQ64" i="115"/>
  <c r="AR64" i="115" s="1"/>
  <c r="AE64" i="115"/>
  <c r="AF64" i="115" s="1"/>
  <c r="AY64" i="115"/>
  <c r="AH64" i="115"/>
  <c r="AI64" i="115" s="1"/>
  <c r="AB64" i="115"/>
  <c r="AC64" i="115" s="1"/>
  <c r="AT64" i="115"/>
  <c r="AN64" i="115"/>
  <c r="AO64" i="115" s="1"/>
  <c r="V64" i="115"/>
  <c r="W64" i="115" s="1"/>
  <c r="BG64" i="115"/>
  <c r="BH64" i="115" s="1"/>
  <c r="BQ64" i="115"/>
  <c r="BR64" i="115" s="1"/>
  <c r="AK64" i="115"/>
  <c r="AL64" i="115" s="1"/>
  <c r="O64" i="115"/>
  <c r="BD64" i="115"/>
  <c r="BE64" i="115" s="1"/>
  <c r="R64" i="115"/>
  <c r="T64" i="115" s="1"/>
  <c r="AV64" i="115"/>
  <c r="AW64" i="115" s="1"/>
  <c r="I79" i="133"/>
  <c r="I70" i="64"/>
  <c r="I73" i="95"/>
  <c r="I66" i="110"/>
  <c r="K65" i="110"/>
  <c r="M63" i="101"/>
  <c r="AN63" i="101"/>
  <c r="AO63" i="101" s="1"/>
  <c r="Y63" i="101"/>
  <c r="Z63" i="101" s="1"/>
  <c r="AH63" i="101"/>
  <c r="AI63" i="101" s="1"/>
  <c r="V63" i="101"/>
  <c r="W63" i="101" s="1"/>
  <c r="AV63" i="101"/>
  <c r="AW63" i="101" s="1"/>
  <c r="BG63" i="101"/>
  <c r="BH63" i="101" s="1"/>
  <c r="AB63" i="101"/>
  <c r="AC63" i="101" s="1"/>
  <c r="P63" i="101"/>
  <c r="AT63" i="101"/>
  <c r="BQ63" i="101"/>
  <c r="BR63" i="101" s="1"/>
  <c r="R63" i="101"/>
  <c r="T63" i="101" s="1"/>
  <c r="O63" i="101"/>
  <c r="BA63" i="101"/>
  <c r="BB63" i="101" s="1"/>
  <c r="AE63" i="101"/>
  <c r="AF63" i="101" s="1"/>
  <c r="AQ63" i="101"/>
  <c r="AR63" i="101" s="1"/>
  <c r="AK63" i="101"/>
  <c r="AL63" i="101" s="1"/>
  <c r="AY63" i="101"/>
  <c r="BD63" i="101"/>
  <c r="BE63" i="101" s="1"/>
  <c r="M65" i="135"/>
  <c r="R65" i="135"/>
  <c r="T65" i="135" s="1"/>
  <c r="AQ65" i="135"/>
  <c r="AR65" i="135" s="1"/>
  <c r="AY65" i="135"/>
  <c r="BD65" i="135"/>
  <c r="BE65" i="135" s="1"/>
  <c r="AK65" i="135"/>
  <c r="AL65" i="135" s="1"/>
  <c r="AN65" i="135"/>
  <c r="AO65" i="135" s="1"/>
  <c r="AT65" i="135"/>
  <c r="AE65" i="135"/>
  <c r="AF65" i="135" s="1"/>
  <c r="BG65" i="135"/>
  <c r="BH65" i="135" s="1"/>
  <c r="V65" i="135"/>
  <c r="W65" i="135" s="1"/>
  <c r="AV65" i="135"/>
  <c r="AW65" i="135" s="1"/>
  <c r="O65" i="135"/>
  <c r="AB65" i="135"/>
  <c r="AC65" i="135" s="1"/>
  <c r="Y65" i="135"/>
  <c r="Z65" i="135" s="1"/>
  <c r="BQ65" i="135"/>
  <c r="BR65" i="135" s="1"/>
  <c r="BA65" i="135"/>
  <c r="BB65" i="135" s="1"/>
  <c r="P65" i="135"/>
  <c r="AH65" i="135"/>
  <c r="AI65" i="135" s="1"/>
  <c r="BN65" i="135"/>
  <c r="BO65" i="135" s="1"/>
  <c r="BL65" i="135"/>
  <c r="BN64" i="63"/>
  <c r="BO64" i="63" s="1"/>
  <c r="M64" i="63"/>
  <c r="AE64" i="63"/>
  <c r="AF64" i="63" s="1"/>
  <c r="V64" i="63"/>
  <c r="W64" i="63" s="1"/>
  <c r="O64" i="63"/>
  <c r="AB64" i="63"/>
  <c r="AC64" i="63" s="1"/>
  <c r="BA64" i="63"/>
  <c r="BB64" i="63" s="1"/>
  <c r="Y64" i="63"/>
  <c r="Z64" i="63" s="1"/>
  <c r="BG64" i="63"/>
  <c r="BH64" i="63" s="1"/>
  <c r="R64" i="63"/>
  <c r="T64" i="63" s="1"/>
  <c r="BQ64" i="63"/>
  <c r="BR64" i="63" s="1"/>
  <c r="AK64" i="63"/>
  <c r="AL64" i="63" s="1"/>
  <c r="AN64" i="63"/>
  <c r="AO64" i="63" s="1"/>
  <c r="AH64" i="63"/>
  <c r="AI64" i="63" s="1"/>
  <c r="P64" i="63"/>
  <c r="AV64" i="63"/>
  <c r="AW64" i="63" s="1"/>
  <c r="BD64" i="63"/>
  <c r="BE64" i="63" s="1"/>
  <c r="AT64" i="63"/>
  <c r="AY64" i="63"/>
  <c r="AQ64" i="63"/>
  <c r="AR64" i="63" s="1"/>
  <c r="BL64" i="63"/>
  <c r="K65" i="63"/>
  <c r="Y65" i="64"/>
  <c r="Z65" i="64" s="1"/>
  <c r="BG65" i="64"/>
  <c r="BH65" i="64" s="1"/>
  <c r="AE65" i="64"/>
  <c r="AF65" i="64" s="1"/>
  <c r="AB65" i="64"/>
  <c r="AC65" i="64" s="1"/>
  <c r="AT65" i="64"/>
  <c r="V65" i="64"/>
  <c r="W65" i="64" s="1"/>
  <c r="P65" i="64"/>
  <c r="AQ65" i="64"/>
  <c r="AR65" i="64" s="1"/>
  <c r="AN65" i="64"/>
  <c r="AO65" i="64" s="1"/>
  <c r="AH65" i="64"/>
  <c r="AI65" i="64" s="1"/>
  <c r="BQ65" i="64"/>
  <c r="BR65" i="64" s="1"/>
  <c r="AY65" i="64"/>
  <c r="BA65" i="64"/>
  <c r="BB65" i="64" s="1"/>
  <c r="M65" i="64"/>
  <c r="BD65" i="64"/>
  <c r="BE65" i="64" s="1"/>
  <c r="AV65" i="64"/>
  <c r="AW65" i="64" s="1"/>
  <c r="R65" i="64"/>
  <c r="T65" i="64" s="1"/>
  <c r="O65" i="64"/>
  <c r="AK65" i="64"/>
  <c r="AL65" i="64" s="1"/>
  <c r="BN65" i="64"/>
  <c r="BO65" i="64" s="1"/>
  <c r="BL65" i="64"/>
  <c r="K66" i="64"/>
  <c r="I70" i="136"/>
  <c r="AB64" i="98"/>
  <c r="AC64" i="98" s="1"/>
  <c r="K65" i="98"/>
  <c r="BN64" i="98"/>
  <c r="BO64" i="98" s="1"/>
  <c r="BJ64" i="98"/>
  <c r="BL64" i="98" s="1"/>
  <c r="BK64" i="98"/>
  <c r="M64" i="98"/>
  <c r="AY64" i="98"/>
  <c r="AN64" i="98"/>
  <c r="AO64" i="98" s="1"/>
  <c r="P64" i="98"/>
  <c r="BA64" i="98"/>
  <c r="BB64" i="98" s="1"/>
  <c r="BG64" i="98"/>
  <c r="BH64" i="98" s="1"/>
  <c r="V64" i="98"/>
  <c r="W64" i="98" s="1"/>
  <c r="AK64" i="98"/>
  <c r="AL64" i="98" s="1"/>
  <c r="R64" i="98"/>
  <c r="T64" i="98" s="1"/>
  <c r="AH64" i="98"/>
  <c r="AI64" i="98" s="1"/>
  <c r="Y64" i="98"/>
  <c r="Z64" i="98" s="1"/>
  <c r="AQ64" i="98"/>
  <c r="AR64" i="98" s="1"/>
  <c r="O64" i="98"/>
  <c r="AE64" i="98"/>
  <c r="AF64" i="98" s="1"/>
  <c r="BD64" i="98"/>
  <c r="BE64" i="98" s="1"/>
  <c r="AT64" i="98"/>
  <c r="AV64" i="98"/>
  <c r="AW64" i="98" s="1"/>
  <c r="BQ64" i="98"/>
  <c r="BR64" i="98" s="1"/>
  <c r="BJ66" i="105"/>
  <c r="BL66" i="105" s="1"/>
  <c r="BK66" i="105"/>
  <c r="M66" i="105"/>
  <c r="BN66" i="105"/>
  <c r="BO66" i="105" s="1"/>
  <c r="BD66" i="105"/>
  <c r="BE66" i="105" s="1"/>
  <c r="BQ66" i="105"/>
  <c r="BR66" i="105" s="1"/>
  <c r="AV66" i="105"/>
  <c r="AW66" i="105" s="1"/>
  <c r="BA66" i="105"/>
  <c r="BB66" i="105" s="1"/>
  <c r="R66" i="105"/>
  <c r="T66" i="105" s="1"/>
  <c r="V66" i="105"/>
  <c r="W66" i="105" s="1"/>
  <c r="P66" i="105"/>
  <c r="O66" i="105"/>
  <c r="Y66" i="105"/>
  <c r="Z66" i="105" s="1"/>
  <c r="AQ66" i="105"/>
  <c r="AR66" i="105" s="1"/>
  <c r="AT66" i="105"/>
  <c r="AN66" i="105"/>
  <c r="AO66" i="105" s="1"/>
  <c r="AH66" i="105"/>
  <c r="AI66" i="105" s="1"/>
  <c r="AK66" i="105"/>
  <c r="AL66" i="105" s="1"/>
  <c r="AB66" i="105"/>
  <c r="AC66" i="105" s="1"/>
  <c r="BG66" i="105"/>
  <c r="BH66" i="105" s="1"/>
  <c r="AY66" i="105"/>
  <c r="AE66" i="105"/>
  <c r="AF66" i="105" s="1"/>
  <c r="K67" i="105"/>
  <c r="I66" i="115"/>
  <c r="K65" i="115"/>
  <c r="M66" i="136"/>
  <c r="BN66" i="136"/>
  <c r="BO66" i="136" s="1"/>
  <c r="BL66" i="136"/>
  <c r="V66" i="136"/>
  <c r="W66" i="136" s="1"/>
  <c r="AV66" i="136"/>
  <c r="AW66" i="136" s="1"/>
  <c r="P66" i="136"/>
  <c r="AT66" i="136"/>
  <c r="AE66" i="136"/>
  <c r="AF66" i="136" s="1"/>
  <c r="BD66" i="136"/>
  <c r="BE66" i="136" s="1"/>
  <c r="AQ66" i="136"/>
  <c r="AR66" i="136" s="1"/>
  <c r="O66" i="136"/>
  <c r="AB66" i="136"/>
  <c r="AC66" i="136" s="1"/>
  <c r="BG66" i="136"/>
  <c r="BH66" i="136" s="1"/>
  <c r="AK66" i="136"/>
  <c r="AL66" i="136" s="1"/>
  <c r="R66" i="136"/>
  <c r="T66" i="136" s="1"/>
  <c r="BQ66" i="136"/>
  <c r="BR66" i="136" s="1"/>
  <c r="AH66" i="136"/>
  <c r="AI66" i="136" s="1"/>
  <c r="Y66" i="136"/>
  <c r="Z66" i="136" s="1"/>
  <c r="BA66" i="136"/>
  <c r="BB66" i="136" s="1"/>
  <c r="AN66" i="136"/>
  <c r="AO66" i="136" s="1"/>
  <c r="AY66" i="136"/>
  <c r="K67" i="136"/>
  <c r="K63" i="66"/>
  <c r="I64" i="66"/>
  <c r="I68" i="104"/>
  <c r="BN63" i="15"/>
  <c r="BO63" i="15" s="1"/>
  <c r="BL63" i="15"/>
  <c r="R63" i="15"/>
  <c r="T63" i="15" s="1"/>
  <c r="AQ63" i="15"/>
  <c r="AR63" i="15" s="1"/>
  <c r="Y63" i="15"/>
  <c r="Z63" i="15" s="1"/>
  <c r="AK63" i="15"/>
  <c r="AL63" i="15" s="1"/>
  <c r="BD63" i="15"/>
  <c r="BE63" i="15" s="1"/>
  <c r="M63" i="15"/>
  <c r="V63" i="15"/>
  <c r="W63" i="15" s="1"/>
  <c r="AT63" i="15"/>
  <c r="AB63" i="15"/>
  <c r="AC63" i="15" s="1"/>
  <c r="AV63" i="15"/>
  <c r="AW63" i="15" s="1"/>
  <c r="BG63" i="15"/>
  <c r="BH63" i="15" s="1"/>
  <c r="P63" i="15"/>
  <c r="BQ63" i="15"/>
  <c r="BR63" i="15" s="1"/>
  <c r="AH63" i="15"/>
  <c r="AI63" i="15" s="1"/>
  <c r="AN63" i="15"/>
  <c r="AO63" i="15" s="1"/>
  <c r="O63" i="15"/>
  <c r="AE63" i="15"/>
  <c r="AF63" i="15" s="1"/>
  <c r="BA63" i="15"/>
  <c r="BB63" i="15" s="1"/>
  <c r="AY63" i="15"/>
  <c r="K64" i="15"/>
  <c r="I65" i="101"/>
  <c r="K64" i="101"/>
  <c r="AC63" i="96"/>
  <c r="I67" i="135"/>
  <c r="K66" i="135"/>
  <c r="M64" i="126"/>
  <c r="BN64" i="126"/>
  <c r="BO64" i="126" s="1"/>
  <c r="BJ64" i="126"/>
  <c r="BL64" i="126" s="1"/>
  <c r="BK64" i="126"/>
  <c r="BA64" i="126"/>
  <c r="BB64" i="126" s="1"/>
  <c r="Y64" i="126"/>
  <c r="Z64" i="126" s="1"/>
  <c r="AQ64" i="126"/>
  <c r="AR64" i="126" s="1"/>
  <c r="R64" i="126"/>
  <c r="T64" i="126" s="1"/>
  <c r="BQ64" i="126"/>
  <c r="BR64" i="126" s="1"/>
  <c r="O64" i="126"/>
  <c r="AK64" i="126"/>
  <c r="AL64" i="126" s="1"/>
  <c r="AE64" i="126"/>
  <c r="AF64" i="126" s="1"/>
  <c r="AH64" i="126"/>
  <c r="AI64" i="126" s="1"/>
  <c r="AV64" i="126"/>
  <c r="AW64" i="126" s="1"/>
  <c r="P64" i="126"/>
  <c r="AB64" i="126"/>
  <c r="AC64" i="126" s="1"/>
  <c r="AT64" i="126"/>
  <c r="V64" i="126"/>
  <c r="W64" i="126" s="1"/>
  <c r="BD64" i="126"/>
  <c r="BE64" i="126" s="1"/>
  <c r="BG64" i="126"/>
  <c r="BH64" i="126" s="1"/>
  <c r="AY64" i="126"/>
  <c r="AN64" i="126"/>
  <c r="AO64" i="126" s="1"/>
  <c r="K65" i="126"/>
  <c r="O34" i="112"/>
  <c r="P35" i="112"/>
  <c r="V34" i="112"/>
  <c r="W34" i="112" s="1"/>
  <c r="BK66" i="99" l="1"/>
  <c r="AN66" i="99"/>
  <c r="AO66" i="99" s="1"/>
  <c r="BD66" i="99"/>
  <c r="BE66" i="99" s="1"/>
  <c r="BN66" i="99"/>
  <c r="BO66" i="99" s="1"/>
  <c r="V66" i="99"/>
  <c r="W66" i="99" s="1"/>
  <c r="AB66" i="99"/>
  <c r="AC66" i="99" s="1"/>
  <c r="BA66" i="99"/>
  <c r="BB66" i="99" s="1"/>
  <c r="M66" i="99"/>
  <c r="Y66" i="99"/>
  <c r="Z66" i="99" s="1"/>
  <c r="BQ66" i="99"/>
  <c r="BR66" i="99" s="1"/>
  <c r="K67" i="99"/>
  <c r="BJ66" i="99"/>
  <c r="BL66" i="99" s="1"/>
  <c r="BG66" i="99"/>
  <c r="BH66" i="99" s="1"/>
  <c r="P66" i="99"/>
  <c r="O66" i="99"/>
  <c r="AQ66" i="99"/>
  <c r="AR66" i="99" s="1"/>
  <c r="AK66" i="99"/>
  <c r="AL66" i="99" s="1"/>
  <c r="R66" i="99"/>
  <c r="T66" i="99" s="1"/>
  <c r="AV66" i="99"/>
  <c r="AW66" i="99" s="1"/>
  <c r="AE66" i="99"/>
  <c r="AF66" i="99" s="1"/>
  <c r="AT66" i="99"/>
  <c r="AY66" i="99"/>
  <c r="AH66" i="99"/>
  <c r="AI66" i="99" s="1"/>
  <c r="AY66" i="132"/>
  <c r="AT66" i="132"/>
  <c r="BA66" i="132"/>
  <c r="BB66" i="132" s="1"/>
  <c r="K67" i="132"/>
  <c r="BN66" i="132"/>
  <c r="BO66" i="132" s="1"/>
  <c r="BG66" i="132"/>
  <c r="BH66" i="132" s="1"/>
  <c r="R66" i="132"/>
  <c r="T66" i="132" s="1"/>
  <c r="AB66" i="132"/>
  <c r="AC66" i="132" s="1"/>
  <c r="AH66" i="132"/>
  <c r="AI66" i="132" s="1"/>
  <c r="Y66" i="132"/>
  <c r="Z66" i="132" s="1"/>
  <c r="AN66" i="132"/>
  <c r="AO66" i="132" s="1"/>
  <c r="AE66" i="132"/>
  <c r="AF66" i="132" s="1"/>
  <c r="AQ66" i="132"/>
  <c r="AR66" i="132" s="1"/>
  <c r="BD66" i="132"/>
  <c r="BE66" i="132" s="1"/>
  <c r="AV66" i="132"/>
  <c r="AW66" i="132" s="1"/>
  <c r="M66" i="132"/>
  <c r="BQ66" i="132"/>
  <c r="BR66" i="132" s="1"/>
  <c r="P66" i="132"/>
  <c r="AK66" i="132"/>
  <c r="AL66" i="132" s="1"/>
  <c r="O66" i="132"/>
  <c r="BL66" i="132"/>
  <c r="V66" i="132"/>
  <c r="W66" i="132" s="1"/>
  <c r="BN68" i="107"/>
  <c r="BO68" i="107" s="1"/>
  <c r="AV68" i="107"/>
  <c r="AW68" i="107" s="1"/>
  <c r="Y68" i="107"/>
  <c r="Z68" i="107" s="1"/>
  <c r="AT68" i="107"/>
  <c r="P68" i="107"/>
  <c r="BQ68" i="107"/>
  <c r="BR68" i="107" s="1"/>
  <c r="AE68" i="107"/>
  <c r="AF68" i="107" s="1"/>
  <c r="AN68" i="107"/>
  <c r="AO68" i="107" s="1"/>
  <c r="AQ68" i="107"/>
  <c r="AR68" i="107" s="1"/>
  <c r="O68" i="107"/>
  <c r="BG68" i="107"/>
  <c r="BH68" i="107" s="1"/>
  <c r="BK68" i="107"/>
  <c r="R68" i="107"/>
  <c r="T68" i="107" s="1"/>
  <c r="V68" i="107"/>
  <c r="W68" i="107" s="1"/>
  <c r="AH68" i="107"/>
  <c r="AI68" i="107" s="1"/>
  <c r="BJ68" i="107"/>
  <c r="BL68" i="107" s="1"/>
  <c r="AY68" i="107"/>
  <c r="BD68" i="107"/>
  <c r="BE68" i="107" s="1"/>
  <c r="BA68" i="107"/>
  <c r="BB68" i="107" s="1"/>
  <c r="M68" i="107"/>
  <c r="AB68" i="107"/>
  <c r="AC68" i="107" s="1"/>
  <c r="AK68" i="107"/>
  <c r="AL68" i="107" s="1"/>
  <c r="I70" i="107"/>
  <c r="K69" i="107"/>
  <c r="AV99" i="161"/>
  <c r="AW99" i="161" s="1"/>
  <c r="P99" i="161"/>
  <c r="BG99" i="161"/>
  <c r="BH99" i="161" s="1"/>
  <c r="BA99" i="161"/>
  <c r="BB99" i="161" s="1"/>
  <c r="AT99" i="161"/>
  <c r="AN99" i="161"/>
  <c r="AO99" i="161" s="1"/>
  <c r="AH99" i="161"/>
  <c r="AI99" i="161" s="1"/>
  <c r="AB99" i="161"/>
  <c r="AC99" i="161" s="1"/>
  <c r="V99" i="161"/>
  <c r="W99" i="161" s="1"/>
  <c r="O99" i="161"/>
  <c r="BR99" i="161"/>
  <c r="AY99" i="161"/>
  <c r="BD99" i="161"/>
  <c r="BE99" i="161" s="1"/>
  <c r="AE99" i="161"/>
  <c r="AF99" i="161" s="1"/>
  <c r="R99" i="161"/>
  <c r="T99" i="161" s="1"/>
  <c r="AQ99" i="161"/>
  <c r="AR99" i="161" s="1"/>
  <c r="AK99" i="161"/>
  <c r="AL99" i="161" s="1"/>
  <c r="Y99" i="161"/>
  <c r="Z99" i="161" s="1"/>
  <c r="BK99" i="161"/>
  <c r="BJ99" i="161"/>
  <c r="BL99" i="161" s="1"/>
  <c r="M99" i="161"/>
  <c r="BN99" i="161"/>
  <c r="BO99" i="161" s="1"/>
  <c r="I101" i="161"/>
  <c r="K100" i="161"/>
  <c r="BQ100" i="161" s="1"/>
  <c r="AK64" i="106"/>
  <c r="AL64" i="106" s="1"/>
  <c r="AQ64" i="106"/>
  <c r="AR64" i="106" s="1"/>
  <c r="O64" i="106"/>
  <c r="M64" i="106"/>
  <c r="R64" i="106"/>
  <c r="T64" i="106" s="1"/>
  <c r="AT64" i="106"/>
  <c r="BQ64" i="106"/>
  <c r="BR64" i="106" s="1"/>
  <c r="BN64" i="106"/>
  <c r="BO64" i="106" s="1"/>
  <c r="BA64" i="106"/>
  <c r="BB64" i="106" s="1"/>
  <c r="AY64" i="106"/>
  <c r="AB64" i="106"/>
  <c r="AC64" i="106" s="1"/>
  <c r="BJ64" i="106"/>
  <c r="BL64" i="106" s="1"/>
  <c r="BD64" i="106"/>
  <c r="BE64" i="106" s="1"/>
  <c r="AE64" i="106"/>
  <c r="AF64" i="106" s="1"/>
  <c r="AV64" i="106"/>
  <c r="AW64" i="106" s="1"/>
  <c r="BK64" i="106"/>
  <c r="Y64" i="106"/>
  <c r="Z64" i="106" s="1"/>
  <c r="AN64" i="106"/>
  <c r="AO64" i="106" s="1"/>
  <c r="V64" i="106"/>
  <c r="W64" i="106" s="1"/>
  <c r="AH64" i="106"/>
  <c r="AI64" i="106" s="1"/>
  <c r="BG64" i="106"/>
  <c r="BH64" i="106" s="1"/>
  <c r="P64" i="106"/>
  <c r="K65" i="106"/>
  <c r="I71" i="156"/>
  <c r="K70" i="156"/>
  <c r="AY70" i="156" s="1"/>
  <c r="M67" i="133"/>
  <c r="AQ67" i="133"/>
  <c r="AR67" i="133" s="1"/>
  <c r="BA67" i="133"/>
  <c r="BB67" i="133" s="1"/>
  <c r="V67" i="133"/>
  <c r="W67" i="133" s="1"/>
  <c r="BL67" i="133"/>
  <c r="AT67" i="133"/>
  <c r="O67" i="133"/>
  <c r="AH67" i="133"/>
  <c r="AI67" i="133" s="1"/>
  <c r="BD67" i="133"/>
  <c r="BE67" i="133" s="1"/>
  <c r="AV67" i="133"/>
  <c r="AW67" i="133" s="1"/>
  <c r="R67" i="133"/>
  <c r="T67" i="133" s="1"/>
  <c r="K68" i="133"/>
  <c r="AK67" i="133"/>
  <c r="AL67" i="133" s="1"/>
  <c r="BQ67" i="133"/>
  <c r="BR67" i="133" s="1"/>
  <c r="P67" i="133"/>
  <c r="BG67" i="133"/>
  <c r="BH67" i="133" s="1"/>
  <c r="AN67" i="133"/>
  <c r="AO67" i="133" s="1"/>
  <c r="AB67" i="133"/>
  <c r="AC67" i="133" s="1"/>
  <c r="BN67" i="133"/>
  <c r="BO67" i="133" s="1"/>
  <c r="AE67" i="133"/>
  <c r="AF67" i="133" s="1"/>
  <c r="AY67" i="133"/>
  <c r="Y67" i="133"/>
  <c r="Z67" i="133" s="1"/>
  <c r="R69" i="156"/>
  <c r="T69" i="156" s="1"/>
  <c r="M69" i="156"/>
  <c r="V69" i="156"/>
  <c r="W69" i="156" s="1"/>
  <c r="Y69" i="156"/>
  <c r="Z69" i="156" s="1"/>
  <c r="AH69" i="156"/>
  <c r="AI69" i="156" s="1"/>
  <c r="AE69" i="156"/>
  <c r="AF69" i="156" s="1"/>
  <c r="BQ69" i="156"/>
  <c r="BR69" i="156" s="1"/>
  <c r="BG69" i="156"/>
  <c r="BH69" i="156" s="1"/>
  <c r="P69" i="156"/>
  <c r="AK69" i="156"/>
  <c r="AL69" i="156" s="1"/>
  <c r="AB69" i="156"/>
  <c r="AC69" i="156" s="1"/>
  <c r="O69" i="156"/>
  <c r="AV69" i="156"/>
  <c r="AW69" i="156" s="1"/>
  <c r="AQ69" i="156"/>
  <c r="AR69" i="156" s="1"/>
  <c r="BA69" i="156"/>
  <c r="BB69" i="156" s="1"/>
  <c r="AN69" i="156"/>
  <c r="AO69" i="156" s="1"/>
  <c r="BN69" i="156"/>
  <c r="BO69" i="156" s="1"/>
  <c r="BD69" i="156"/>
  <c r="BE69" i="156" s="1"/>
  <c r="BL69" i="156"/>
  <c r="M64" i="112"/>
  <c r="AB64" i="112"/>
  <c r="AC64" i="112" s="1"/>
  <c r="AY64" i="112"/>
  <c r="P64" i="112"/>
  <c r="BN64" i="112"/>
  <c r="BO64" i="112" s="1"/>
  <c r="BD64" i="112"/>
  <c r="BE64" i="112" s="1"/>
  <c r="BQ64" i="112"/>
  <c r="BR64" i="112" s="1"/>
  <c r="R64" i="112"/>
  <c r="T64" i="112" s="1"/>
  <c r="K65" i="112"/>
  <c r="BA64" i="112"/>
  <c r="BB64" i="112" s="1"/>
  <c r="AN64" i="112"/>
  <c r="AO64" i="112" s="1"/>
  <c r="V64" i="112"/>
  <c r="W64" i="112" s="1"/>
  <c r="AQ64" i="112"/>
  <c r="AR64" i="112" s="1"/>
  <c r="Y64" i="112"/>
  <c r="Z64" i="112" s="1"/>
  <c r="AK64" i="112"/>
  <c r="AL64" i="112" s="1"/>
  <c r="BJ64" i="112"/>
  <c r="BL64" i="112" s="1"/>
  <c r="AE64" i="112"/>
  <c r="AF64" i="112" s="1"/>
  <c r="AV64" i="112"/>
  <c r="AW64" i="112" s="1"/>
  <c r="BG64" i="112"/>
  <c r="BH64" i="112" s="1"/>
  <c r="BK64" i="112"/>
  <c r="AT64" i="112"/>
  <c r="AH64" i="112"/>
  <c r="AI64" i="112" s="1"/>
  <c r="O64" i="112"/>
  <c r="I71" i="106"/>
  <c r="AQ63" i="95"/>
  <c r="AR63" i="95" s="1"/>
  <c r="BD63" i="95"/>
  <c r="BE63" i="95" s="1"/>
  <c r="AH63" i="95"/>
  <c r="AI63" i="95" s="1"/>
  <c r="AE63" i="95"/>
  <c r="AF63" i="95" s="1"/>
  <c r="AN63" i="95"/>
  <c r="AO63" i="95" s="1"/>
  <c r="V63" i="95"/>
  <c r="W63" i="95" s="1"/>
  <c r="M63" i="95"/>
  <c r="AK63" i="95"/>
  <c r="AL63" i="95" s="1"/>
  <c r="BG63" i="95"/>
  <c r="BH63" i="95" s="1"/>
  <c r="AB63" i="95"/>
  <c r="BN63" i="95"/>
  <c r="BO63" i="95" s="1"/>
  <c r="AT63" i="95"/>
  <c r="BA63" i="95"/>
  <c r="BB63" i="95" s="1"/>
  <c r="BQ63" i="95"/>
  <c r="BR63" i="95" s="1"/>
  <c r="BL63" i="95"/>
  <c r="P63" i="95"/>
  <c r="O63" i="95"/>
  <c r="K64" i="95"/>
  <c r="AV63" i="95"/>
  <c r="AW63" i="95" s="1"/>
  <c r="Y63" i="95"/>
  <c r="Z63" i="95" s="1"/>
  <c r="R63" i="95"/>
  <c r="T63" i="95" s="1"/>
  <c r="K66" i="129"/>
  <c r="AY65" i="129"/>
  <c r="M65" i="129"/>
  <c r="BG65" i="129"/>
  <c r="BH65" i="129" s="1"/>
  <c r="AQ65" i="129"/>
  <c r="AR65" i="129" s="1"/>
  <c r="P65" i="129"/>
  <c r="AK65" i="129"/>
  <c r="AL65" i="129" s="1"/>
  <c r="BA65" i="129"/>
  <c r="BB65" i="129" s="1"/>
  <c r="BQ65" i="129"/>
  <c r="BR65" i="129" s="1"/>
  <c r="V65" i="129"/>
  <c r="W65" i="129" s="1"/>
  <c r="BD65" i="129"/>
  <c r="BE65" i="129" s="1"/>
  <c r="AH65" i="129"/>
  <c r="AI65" i="129" s="1"/>
  <c r="Y65" i="129"/>
  <c r="Z65" i="129" s="1"/>
  <c r="AV65" i="129"/>
  <c r="AW65" i="129" s="1"/>
  <c r="R65" i="129"/>
  <c r="T65" i="129" s="1"/>
  <c r="AE65" i="129"/>
  <c r="AF65" i="129" s="1"/>
  <c r="BN65" i="129"/>
  <c r="BO65" i="129" s="1"/>
  <c r="O65" i="129"/>
  <c r="AB65" i="129"/>
  <c r="AC65" i="129" s="1"/>
  <c r="AT65" i="129"/>
  <c r="AN65" i="129"/>
  <c r="AO65" i="129" s="1"/>
  <c r="BL65" i="129"/>
  <c r="AV64" i="104"/>
  <c r="AW64" i="104" s="1"/>
  <c r="BA64" i="104"/>
  <c r="BB64" i="104" s="1"/>
  <c r="AY64" i="104"/>
  <c r="K65" i="104"/>
  <c r="BK64" i="104"/>
  <c r="AH64" i="104"/>
  <c r="AI64" i="104" s="1"/>
  <c r="AB64" i="104"/>
  <c r="AC64" i="104" s="1"/>
  <c r="AK64" i="104"/>
  <c r="AL64" i="104" s="1"/>
  <c r="M64" i="104"/>
  <c r="Y64" i="104"/>
  <c r="Z64" i="104" s="1"/>
  <c r="BD64" i="104"/>
  <c r="BE64" i="104" s="1"/>
  <c r="AT64" i="104"/>
  <c r="BN64" i="104"/>
  <c r="BO64" i="104" s="1"/>
  <c r="O64" i="104"/>
  <c r="BQ64" i="104"/>
  <c r="BR64" i="104" s="1"/>
  <c r="BG64" i="104"/>
  <c r="BH64" i="104" s="1"/>
  <c r="BJ64" i="104"/>
  <c r="BL64" i="104" s="1"/>
  <c r="AE64" i="104"/>
  <c r="AF64" i="104" s="1"/>
  <c r="R64" i="104"/>
  <c r="T64" i="104" s="1"/>
  <c r="AN64" i="104"/>
  <c r="AO64" i="104" s="1"/>
  <c r="P64" i="104"/>
  <c r="V64" i="104"/>
  <c r="W64" i="104" s="1"/>
  <c r="AQ64" i="104"/>
  <c r="AR64" i="104" s="1"/>
  <c r="BN65" i="130"/>
  <c r="BO65" i="130" s="1"/>
  <c r="M65" i="130"/>
  <c r="BL65" i="130"/>
  <c r="K66" i="130"/>
  <c r="P65" i="130"/>
  <c r="O65" i="130"/>
  <c r="BA65" i="130"/>
  <c r="BB65" i="130" s="1"/>
  <c r="AB65" i="130"/>
  <c r="AC65" i="130" s="1"/>
  <c r="Y65" i="130"/>
  <c r="Z65" i="130" s="1"/>
  <c r="AV65" i="130"/>
  <c r="AW65" i="130" s="1"/>
  <c r="AY65" i="130"/>
  <c r="AE65" i="130"/>
  <c r="AF65" i="130" s="1"/>
  <c r="AQ65" i="130"/>
  <c r="AR65" i="130" s="1"/>
  <c r="BQ65" i="130"/>
  <c r="BR65" i="130" s="1"/>
  <c r="AK65" i="130"/>
  <c r="AL65" i="130" s="1"/>
  <c r="AT65" i="130"/>
  <c r="AH65" i="130"/>
  <c r="AI65" i="130" s="1"/>
  <c r="R65" i="130"/>
  <c r="T65" i="130" s="1"/>
  <c r="V65" i="130"/>
  <c r="W65" i="130" s="1"/>
  <c r="BG65" i="130"/>
  <c r="BH65" i="130" s="1"/>
  <c r="BD65" i="130"/>
  <c r="BE65" i="130" s="1"/>
  <c r="AN65" i="130"/>
  <c r="AO65" i="130" s="1"/>
  <c r="BD17" i="151"/>
  <c r="BE17" i="151" s="1"/>
  <c r="AV17" i="151"/>
  <c r="AW17" i="151" s="1"/>
  <c r="I72" i="155"/>
  <c r="K71" i="155"/>
  <c r="P70" i="155"/>
  <c r="AV70" i="155"/>
  <c r="AW70" i="155" s="1"/>
  <c r="BN70" i="155"/>
  <c r="BO70" i="155" s="1"/>
  <c r="R70" i="155"/>
  <c r="T70" i="155" s="1"/>
  <c r="Y70" i="155"/>
  <c r="Z70" i="155" s="1"/>
  <c r="AE70" i="155"/>
  <c r="AF70" i="155" s="1"/>
  <c r="AK70" i="155"/>
  <c r="AL70" i="155" s="1"/>
  <c r="AQ70" i="155"/>
  <c r="AR70" i="155" s="1"/>
  <c r="BD70" i="155"/>
  <c r="BE70" i="155" s="1"/>
  <c r="O70" i="155"/>
  <c r="AB70" i="155"/>
  <c r="AC70" i="155" s="1"/>
  <c r="AN70" i="155"/>
  <c r="AO70" i="155" s="1"/>
  <c r="BA70" i="155"/>
  <c r="BB70" i="155" s="1"/>
  <c r="BL70" i="155"/>
  <c r="V70" i="155"/>
  <c r="W70" i="155" s="1"/>
  <c r="AH70" i="155"/>
  <c r="AI70" i="155" s="1"/>
  <c r="BG70" i="155"/>
  <c r="BH70" i="155" s="1"/>
  <c r="BQ70" i="155"/>
  <c r="BR70" i="155" s="1"/>
  <c r="M70" i="155"/>
  <c r="AV16" i="149"/>
  <c r="AW16" i="149" s="1"/>
  <c r="BD16" i="149"/>
  <c r="BE16" i="149" s="1"/>
  <c r="AT18" i="151"/>
  <c r="I75" i="153"/>
  <c r="P70" i="153"/>
  <c r="AV70" i="153"/>
  <c r="AW70" i="153" s="1"/>
  <c r="BN70" i="153"/>
  <c r="BO70" i="153" s="1"/>
  <c r="R70" i="153"/>
  <c r="T70" i="153" s="1"/>
  <c r="Y70" i="153"/>
  <c r="Z70" i="153" s="1"/>
  <c r="AE70" i="153"/>
  <c r="AF70" i="153" s="1"/>
  <c r="AK70" i="153"/>
  <c r="AL70" i="153" s="1"/>
  <c r="AQ70" i="153"/>
  <c r="AR70" i="153" s="1"/>
  <c r="BD70" i="153"/>
  <c r="BE70" i="153" s="1"/>
  <c r="M70" i="153"/>
  <c r="AH70" i="153"/>
  <c r="AI70" i="153" s="1"/>
  <c r="BG70" i="153"/>
  <c r="BH70" i="153" s="1"/>
  <c r="BQ70" i="153"/>
  <c r="BR70" i="153" s="1"/>
  <c r="O70" i="153"/>
  <c r="AN70" i="153"/>
  <c r="AO70" i="153" s="1"/>
  <c r="V70" i="153"/>
  <c r="W70" i="153" s="1"/>
  <c r="AB70" i="153"/>
  <c r="AC70" i="153" s="1"/>
  <c r="BL70" i="153"/>
  <c r="BA70" i="153"/>
  <c r="BB70" i="153" s="1"/>
  <c r="K71" i="153"/>
  <c r="I79" i="152"/>
  <c r="P70" i="152"/>
  <c r="AV70" i="152"/>
  <c r="AW70" i="152" s="1"/>
  <c r="BN70" i="152"/>
  <c r="BO70" i="152" s="1"/>
  <c r="R70" i="152"/>
  <c r="T70" i="152" s="1"/>
  <c r="Y70" i="152"/>
  <c r="Z70" i="152" s="1"/>
  <c r="AE70" i="152"/>
  <c r="AF70" i="152" s="1"/>
  <c r="AK70" i="152"/>
  <c r="AL70" i="152" s="1"/>
  <c r="AQ70" i="152"/>
  <c r="AR70" i="152" s="1"/>
  <c r="BD70" i="152"/>
  <c r="BE70" i="152" s="1"/>
  <c r="M70" i="152"/>
  <c r="BQ70" i="152"/>
  <c r="BR70" i="152" s="1"/>
  <c r="O70" i="152"/>
  <c r="AN70" i="152"/>
  <c r="AO70" i="152" s="1"/>
  <c r="V70" i="152"/>
  <c r="W70" i="152" s="1"/>
  <c r="AH70" i="152"/>
  <c r="AI70" i="152" s="1"/>
  <c r="BA70" i="152"/>
  <c r="BB70" i="152" s="1"/>
  <c r="BL70" i="152"/>
  <c r="BG70" i="152"/>
  <c r="BH70" i="152" s="1"/>
  <c r="AB70" i="152"/>
  <c r="AC70" i="152" s="1"/>
  <c r="K71" i="152"/>
  <c r="BD68" i="151"/>
  <c r="BE68" i="151" s="1"/>
  <c r="AQ68" i="151"/>
  <c r="AR68" i="151" s="1"/>
  <c r="AK68" i="151"/>
  <c r="AL68" i="151" s="1"/>
  <c r="AE68" i="151"/>
  <c r="AF68" i="151" s="1"/>
  <c r="Y68" i="151"/>
  <c r="Z68" i="151" s="1"/>
  <c r="R68" i="151"/>
  <c r="T68" i="151" s="1"/>
  <c r="BG68" i="151"/>
  <c r="BH68" i="151" s="1"/>
  <c r="BA68" i="151"/>
  <c r="BB68" i="151" s="1"/>
  <c r="AT68" i="151"/>
  <c r="AN68" i="151"/>
  <c r="AO68" i="151" s="1"/>
  <c r="AH68" i="151"/>
  <c r="AI68" i="151" s="1"/>
  <c r="AB68" i="151"/>
  <c r="AC68" i="151" s="1"/>
  <c r="V68" i="151"/>
  <c r="W68" i="151" s="1"/>
  <c r="O68" i="151"/>
  <c r="AV68" i="151"/>
  <c r="AW68" i="151" s="1"/>
  <c r="BQ68" i="151"/>
  <c r="BR68" i="151" s="1"/>
  <c r="P68" i="151"/>
  <c r="AY68" i="151"/>
  <c r="M68" i="151"/>
  <c r="BN68" i="151"/>
  <c r="BO68" i="151" s="1"/>
  <c r="BL68" i="151"/>
  <c r="I70" i="151"/>
  <c r="K69" i="151"/>
  <c r="BQ67" i="150"/>
  <c r="BR67" i="150" s="1"/>
  <c r="AY67" i="150"/>
  <c r="BD67" i="150"/>
  <c r="BE67" i="150" s="1"/>
  <c r="AQ67" i="150"/>
  <c r="AR67" i="150" s="1"/>
  <c r="AK67" i="150"/>
  <c r="AL67" i="150" s="1"/>
  <c r="AE67" i="150"/>
  <c r="AF67" i="150" s="1"/>
  <c r="Y67" i="150"/>
  <c r="Z67" i="150" s="1"/>
  <c r="R67" i="150"/>
  <c r="T67" i="150" s="1"/>
  <c r="P67" i="150"/>
  <c r="BA67" i="150"/>
  <c r="BB67" i="150" s="1"/>
  <c r="AN67" i="150"/>
  <c r="AO67" i="150" s="1"/>
  <c r="AB67" i="150"/>
  <c r="AC67" i="150" s="1"/>
  <c r="O67" i="150"/>
  <c r="AV67" i="150"/>
  <c r="AW67" i="150" s="1"/>
  <c r="BG67" i="150"/>
  <c r="BH67" i="150" s="1"/>
  <c r="AT67" i="150"/>
  <c r="AH67" i="150"/>
  <c r="AI67" i="150" s="1"/>
  <c r="V67" i="150"/>
  <c r="W67" i="150" s="1"/>
  <c r="M67" i="150"/>
  <c r="BN67" i="150"/>
  <c r="BO67" i="150" s="1"/>
  <c r="BL67" i="150"/>
  <c r="K68" i="150"/>
  <c r="I71" i="150"/>
  <c r="BD69" i="149"/>
  <c r="BE69" i="149" s="1"/>
  <c r="AQ69" i="149"/>
  <c r="AR69" i="149" s="1"/>
  <c r="AK69" i="149"/>
  <c r="AL69" i="149" s="1"/>
  <c r="AE69" i="149"/>
  <c r="AF69" i="149" s="1"/>
  <c r="Y69" i="149"/>
  <c r="Z69" i="149" s="1"/>
  <c r="R69" i="149"/>
  <c r="T69" i="149" s="1"/>
  <c r="AV69" i="149"/>
  <c r="AW69" i="149" s="1"/>
  <c r="P69" i="149"/>
  <c r="BA69" i="149"/>
  <c r="BB69" i="149" s="1"/>
  <c r="AN69" i="149"/>
  <c r="AO69" i="149" s="1"/>
  <c r="AB69" i="149"/>
  <c r="AC69" i="149" s="1"/>
  <c r="O69" i="149"/>
  <c r="BG69" i="149"/>
  <c r="BH69" i="149" s="1"/>
  <c r="AH69" i="149"/>
  <c r="AI69" i="149" s="1"/>
  <c r="V69" i="149"/>
  <c r="W69" i="149" s="1"/>
  <c r="AY69" i="149"/>
  <c r="BQ69" i="149"/>
  <c r="BR69" i="149" s="1"/>
  <c r="M69" i="149"/>
  <c r="BN69" i="149"/>
  <c r="BO69" i="149" s="1"/>
  <c r="BL69" i="149"/>
  <c r="I71" i="149"/>
  <c r="K70" i="149"/>
  <c r="AT70" i="149" s="1"/>
  <c r="BG68" i="147"/>
  <c r="BH68" i="147" s="1"/>
  <c r="BA68" i="147"/>
  <c r="BB68" i="147" s="1"/>
  <c r="AT68" i="147"/>
  <c r="AN68" i="147"/>
  <c r="AO68" i="147" s="1"/>
  <c r="AH68" i="147"/>
  <c r="AI68" i="147" s="1"/>
  <c r="AB68" i="147"/>
  <c r="AC68" i="147" s="1"/>
  <c r="AY68" i="147"/>
  <c r="AQ68" i="147"/>
  <c r="AR68" i="147" s="1"/>
  <c r="Y68" i="147"/>
  <c r="Z68" i="147" s="1"/>
  <c r="R68" i="147"/>
  <c r="T68" i="147" s="1"/>
  <c r="AV68" i="147"/>
  <c r="AW68" i="147" s="1"/>
  <c r="AE68" i="147"/>
  <c r="AF68" i="147" s="1"/>
  <c r="P68" i="147"/>
  <c r="O68" i="147"/>
  <c r="BD68" i="147"/>
  <c r="BE68" i="147" s="1"/>
  <c r="V68" i="147"/>
  <c r="W68" i="147" s="1"/>
  <c r="BQ68" i="147"/>
  <c r="BR68" i="147" s="1"/>
  <c r="AK68" i="147"/>
  <c r="AL68" i="147" s="1"/>
  <c r="M68" i="147"/>
  <c r="BN68" i="147"/>
  <c r="BO68" i="147" s="1"/>
  <c r="BK68" i="147"/>
  <c r="BJ68" i="147"/>
  <c r="BL68" i="147" s="1"/>
  <c r="K69" i="147"/>
  <c r="I70" i="147"/>
  <c r="AV67" i="146"/>
  <c r="AW67" i="146" s="1"/>
  <c r="P67" i="146"/>
  <c r="BG67" i="146"/>
  <c r="BH67" i="146" s="1"/>
  <c r="BA67" i="146"/>
  <c r="BB67" i="146" s="1"/>
  <c r="AT67" i="146"/>
  <c r="AN67" i="146"/>
  <c r="AO67" i="146" s="1"/>
  <c r="AH67" i="146"/>
  <c r="AI67" i="146" s="1"/>
  <c r="AB67" i="146"/>
  <c r="AC67" i="146" s="1"/>
  <c r="V67" i="146"/>
  <c r="W67" i="146" s="1"/>
  <c r="O67" i="146"/>
  <c r="BQ67" i="146"/>
  <c r="BR67" i="146" s="1"/>
  <c r="AY67" i="146"/>
  <c r="AQ67" i="146"/>
  <c r="AR67" i="146" s="1"/>
  <c r="R67" i="146"/>
  <c r="T67" i="146" s="1"/>
  <c r="AK67" i="146"/>
  <c r="AL67" i="146" s="1"/>
  <c r="BD67" i="146"/>
  <c r="BE67" i="146" s="1"/>
  <c r="AE67" i="146"/>
  <c r="AF67" i="146" s="1"/>
  <c r="Y67" i="146"/>
  <c r="Z67" i="146" s="1"/>
  <c r="BN67" i="146"/>
  <c r="BO67" i="146" s="1"/>
  <c r="BK67" i="146"/>
  <c r="M67" i="146"/>
  <c r="BJ67" i="146"/>
  <c r="BL67" i="146" s="1"/>
  <c r="I69" i="146"/>
  <c r="K68" i="146"/>
  <c r="AC64" i="96"/>
  <c r="M64" i="101"/>
  <c r="AN64" i="101"/>
  <c r="AO64" i="101" s="1"/>
  <c r="V64" i="101"/>
  <c r="W64" i="101" s="1"/>
  <c r="AB64" i="101"/>
  <c r="AC64" i="101" s="1"/>
  <c r="O64" i="101"/>
  <c r="BA64" i="101"/>
  <c r="BB64" i="101" s="1"/>
  <c r="AH64" i="101"/>
  <c r="AI64" i="101" s="1"/>
  <c r="BQ64" i="101"/>
  <c r="BR64" i="101" s="1"/>
  <c r="AV64" i="101"/>
  <c r="AW64" i="101" s="1"/>
  <c r="AE64" i="101"/>
  <c r="AF64" i="101" s="1"/>
  <c r="BD64" i="101"/>
  <c r="BE64" i="101" s="1"/>
  <c r="R64" i="101"/>
  <c r="T64" i="101" s="1"/>
  <c r="AQ64" i="101"/>
  <c r="AR64" i="101" s="1"/>
  <c r="AK64" i="101"/>
  <c r="AL64" i="101" s="1"/>
  <c r="Y64" i="101"/>
  <c r="Z64" i="101" s="1"/>
  <c r="AY64" i="101"/>
  <c r="AT64" i="101"/>
  <c r="P64" i="101"/>
  <c r="BG64" i="101"/>
  <c r="BH64" i="101" s="1"/>
  <c r="BN67" i="136"/>
  <c r="BO67" i="136" s="1"/>
  <c r="M67" i="136"/>
  <c r="BQ67" i="136"/>
  <c r="BR67" i="136" s="1"/>
  <c r="R67" i="136"/>
  <c r="T67" i="136" s="1"/>
  <c r="BD67" i="136"/>
  <c r="BE67" i="136" s="1"/>
  <c r="O67" i="136"/>
  <c r="AV67" i="136"/>
  <c r="AW67" i="136" s="1"/>
  <c r="AE67" i="136"/>
  <c r="AF67" i="136" s="1"/>
  <c r="AY67" i="136"/>
  <c r="V67" i="136"/>
  <c r="W67" i="136" s="1"/>
  <c r="BL67" i="136"/>
  <c r="BG67" i="136"/>
  <c r="BH67" i="136" s="1"/>
  <c r="AB67" i="136"/>
  <c r="AC67" i="136" s="1"/>
  <c r="P67" i="136"/>
  <c r="AT67" i="136"/>
  <c r="Y67" i="136"/>
  <c r="Z67" i="136" s="1"/>
  <c r="BA67" i="136"/>
  <c r="BB67" i="136" s="1"/>
  <c r="AQ67" i="136"/>
  <c r="AR67" i="136" s="1"/>
  <c r="AN67" i="136"/>
  <c r="AO67" i="136" s="1"/>
  <c r="AH67" i="136"/>
  <c r="AI67" i="136" s="1"/>
  <c r="AK67" i="136"/>
  <c r="AL67" i="136" s="1"/>
  <c r="K68" i="136"/>
  <c r="BK67" i="105"/>
  <c r="M67" i="105"/>
  <c r="BN67" i="105"/>
  <c r="BO67" i="105" s="1"/>
  <c r="BJ67" i="105"/>
  <c r="BL67" i="105" s="1"/>
  <c r="AY67" i="105"/>
  <c r="O67" i="105"/>
  <c r="AE67" i="105"/>
  <c r="AF67" i="105" s="1"/>
  <c r="BA67" i="105"/>
  <c r="BB67" i="105" s="1"/>
  <c r="AV67" i="105"/>
  <c r="AW67" i="105" s="1"/>
  <c r="AN67" i="105"/>
  <c r="AO67" i="105" s="1"/>
  <c r="P67" i="105"/>
  <c r="AK67" i="105"/>
  <c r="AL67" i="105" s="1"/>
  <c r="AB67" i="105"/>
  <c r="AC67" i="105" s="1"/>
  <c r="R67" i="105"/>
  <c r="T67" i="105" s="1"/>
  <c r="V67" i="105"/>
  <c r="W67" i="105" s="1"/>
  <c r="BG67" i="105"/>
  <c r="BH67" i="105" s="1"/>
  <c r="BQ67" i="105"/>
  <c r="BR67" i="105" s="1"/>
  <c r="AT67" i="105"/>
  <c r="BD67" i="105"/>
  <c r="BE67" i="105" s="1"/>
  <c r="Y67" i="105"/>
  <c r="Z67" i="105" s="1"/>
  <c r="AQ67" i="105"/>
  <c r="AR67" i="105" s="1"/>
  <c r="AH67" i="105"/>
  <c r="AI67" i="105" s="1"/>
  <c r="K68" i="105"/>
  <c r="K66" i="98"/>
  <c r="V65" i="98"/>
  <c r="W65" i="98" s="1"/>
  <c r="BJ65" i="98"/>
  <c r="BL65" i="98" s="1"/>
  <c r="M65" i="98"/>
  <c r="BN65" i="98"/>
  <c r="BO65" i="98" s="1"/>
  <c r="BK65" i="98"/>
  <c r="AE65" i="98"/>
  <c r="AF65" i="98" s="1"/>
  <c r="AH65" i="98"/>
  <c r="AI65" i="98" s="1"/>
  <c r="O65" i="98"/>
  <c r="Y65" i="98"/>
  <c r="Z65" i="98" s="1"/>
  <c r="AT65" i="98"/>
  <c r="AY65" i="98"/>
  <c r="BG65" i="98"/>
  <c r="BH65" i="98" s="1"/>
  <c r="AV65" i="98"/>
  <c r="AW65" i="98" s="1"/>
  <c r="BQ65" i="98"/>
  <c r="BR65" i="98" s="1"/>
  <c r="BA65" i="98"/>
  <c r="BB65" i="98" s="1"/>
  <c r="AN65" i="98"/>
  <c r="AO65" i="98" s="1"/>
  <c r="AQ65" i="98"/>
  <c r="AR65" i="98" s="1"/>
  <c r="AB65" i="98"/>
  <c r="AC65" i="98" s="1"/>
  <c r="R65" i="98"/>
  <c r="T65" i="98" s="1"/>
  <c r="AK65" i="98"/>
  <c r="AL65" i="98" s="1"/>
  <c r="BD65" i="98"/>
  <c r="BE65" i="98" s="1"/>
  <c r="P65" i="98"/>
  <c r="V66" i="64"/>
  <c r="W66" i="64" s="1"/>
  <c r="BD66" i="64"/>
  <c r="BE66" i="64" s="1"/>
  <c r="O66" i="64"/>
  <c r="R66" i="64"/>
  <c r="T66" i="64" s="1"/>
  <c r="AK66" i="64"/>
  <c r="AL66" i="64" s="1"/>
  <c r="AH66" i="64"/>
  <c r="AI66" i="64" s="1"/>
  <c r="AE66" i="64"/>
  <c r="AF66" i="64" s="1"/>
  <c r="AY66" i="64"/>
  <c r="BA66" i="64"/>
  <c r="BB66" i="64" s="1"/>
  <c r="BG66" i="64"/>
  <c r="BH66" i="64" s="1"/>
  <c r="AB66" i="64"/>
  <c r="AC66" i="64" s="1"/>
  <c r="AV66" i="64"/>
  <c r="AW66" i="64" s="1"/>
  <c r="BQ66" i="64"/>
  <c r="BR66" i="64" s="1"/>
  <c r="M66" i="64"/>
  <c r="AT66" i="64"/>
  <c r="AN66" i="64"/>
  <c r="AO66" i="64" s="1"/>
  <c r="AQ66" i="64"/>
  <c r="AR66" i="64" s="1"/>
  <c r="P66" i="64"/>
  <c r="Y66" i="64"/>
  <c r="Z66" i="64" s="1"/>
  <c r="BL66" i="64"/>
  <c r="BN66" i="64"/>
  <c r="BO66" i="64" s="1"/>
  <c r="K67" i="64"/>
  <c r="BN65" i="63"/>
  <c r="BO65" i="63" s="1"/>
  <c r="M65" i="63"/>
  <c r="BL65" i="63"/>
  <c r="O65" i="63"/>
  <c r="R65" i="63"/>
  <c r="T65" i="63" s="1"/>
  <c r="BA65" i="63"/>
  <c r="BB65" i="63" s="1"/>
  <c r="V65" i="63"/>
  <c r="W65" i="63" s="1"/>
  <c r="AN65" i="63"/>
  <c r="AO65" i="63" s="1"/>
  <c r="BG65" i="63"/>
  <c r="BH65" i="63" s="1"/>
  <c r="Y65" i="63"/>
  <c r="Z65" i="63" s="1"/>
  <c r="AE65" i="63"/>
  <c r="AF65" i="63" s="1"/>
  <c r="AK65" i="63"/>
  <c r="AL65" i="63" s="1"/>
  <c r="AT65" i="63"/>
  <c r="AH65" i="63"/>
  <c r="AI65" i="63" s="1"/>
  <c r="AY65" i="63"/>
  <c r="BD65" i="63"/>
  <c r="BE65" i="63" s="1"/>
  <c r="BQ65" i="63"/>
  <c r="BR65" i="63" s="1"/>
  <c r="AB65" i="63"/>
  <c r="AC65" i="63" s="1"/>
  <c r="AQ65" i="63"/>
  <c r="AR65" i="63" s="1"/>
  <c r="P65" i="63"/>
  <c r="AV65" i="63"/>
  <c r="AW65" i="63" s="1"/>
  <c r="K66" i="63"/>
  <c r="I74" i="95"/>
  <c r="M63" i="17"/>
  <c r="BN63" i="17"/>
  <c r="BO63" i="17" s="1"/>
  <c r="BL63" i="17"/>
  <c r="BQ63" i="17"/>
  <c r="BR63" i="17" s="1"/>
  <c r="V63" i="17"/>
  <c r="W63" i="17" s="1"/>
  <c r="BG63" i="17"/>
  <c r="BH63" i="17" s="1"/>
  <c r="BA63" i="17"/>
  <c r="BB63" i="17" s="1"/>
  <c r="AN63" i="17"/>
  <c r="AO63" i="17" s="1"/>
  <c r="AV63" i="17"/>
  <c r="AW63" i="17" s="1"/>
  <c r="AQ63" i="17"/>
  <c r="AR63" i="17" s="1"/>
  <c r="AK63" i="17"/>
  <c r="AL63" i="17" s="1"/>
  <c r="AH63" i="17"/>
  <c r="AI63" i="17" s="1"/>
  <c r="P63" i="17"/>
  <c r="AY63" i="17"/>
  <c r="AT63" i="17"/>
  <c r="R63" i="17"/>
  <c r="T63" i="17" s="1"/>
  <c r="AE63" i="17"/>
  <c r="AF63" i="17" s="1"/>
  <c r="O63" i="17"/>
  <c r="BD63" i="17"/>
  <c r="BE63" i="17" s="1"/>
  <c r="Y63" i="17"/>
  <c r="Z63" i="17" s="1"/>
  <c r="AB63" i="17"/>
  <c r="AC63" i="17" s="1"/>
  <c r="BA63" i="120"/>
  <c r="BB63" i="120" s="1"/>
  <c r="P63" i="120"/>
  <c r="AB63" i="120"/>
  <c r="AC63" i="120" s="1"/>
  <c r="BD63" i="120"/>
  <c r="BE63" i="120" s="1"/>
  <c r="AN63" i="120"/>
  <c r="AO63" i="120" s="1"/>
  <c r="V63" i="120"/>
  <c r="W63" i="120" s="1"/>
  <c r="Y63" i="120"/>
  <c r="Z63" i="120" s="1"/>
  <c r="BG63" i="120"/>
  <c r="BH63" i="120" s="1"/>
  <c r="AK63" i="120"/>
  <c r="AL63" i="120" s="1"/>
  <c r="O63" i="120"/>
  <c r="BQ63" i="120"/>
  <c r="BR63" i="120" s="1"/>
  <c r="K64" i="120"/>
  <c r="AQ63" i="120"/>
  <c r="AR63" i="120" s="1"/>
  <c r="AY63" i="120"/>
  <c r="R63" i="120"/>
  <c r="T63" i="120" s="1"/>
  <c r="AV63" i="120"/>
  <c r="AW63" i="120" s="1"/>
  <c r="AE63" i="120"/>
  <c r="AF63" i="120" s="1"/>
  <c r="M63" i="120"/>
  <c r="AH63" i="120"/>
  <c r="AI63" i="120" s="1"/>
  <c r="AT63" i="120"/>
  <c r="BN63" i="120"/>
  <c r="BO63" i="120" s="1"/>
  <c r="I71" i="114"/>
  <c r="M66" i="135"/>
  <c r="O66" i="135"/>
  <c r="BG66" i="135"/>
  <c r="BH66" i="135" s="1"/>
  <c r="V66" i="135"/>
  <c r="W66" i="135" s="1"/>
  <c r="P66" i="135"/>
  <c r="AQ66" i="135"/>
  <c r="AR66" i="135" s="1"/>
  <c r="AH66" i="135"/>
  <c r="AI66" i="135" s="1"/>
  <c r="Y66" i="135"/>
  <c r="Z66" i="135" s="1"/>
  <c r="BA66" i="135"/>
  <c r="BB66" i="135" s="1"/>
  <c r="AK66" i="135"/>
  <c r="AL66" i="135" s="1"/>
  <c r="AY66" i="135"/>
  <c r="BQ66" i="135"/>
  <c r="BR66" i="135" s="1"/>
  <c r="AB66" i="135"/>
  <c r="AC66" i="135" s="1"/>
  <c r="R66" i="135"/>
  <c r="T66" i="135" s="1"/>
  <c r="AN66" i="135"/>
  <c r="AO66" i="135" s="1"/>
  <c r="AV66" i="135"/>
  <c r="AW66" i="135" s="1"/>
  <c r="AT66" i="135"/>
  <c r="AE66" i="135"/>
  <c r="AF66" i="135" s="1"/>
  <c r="BD66" i="135"/>
  <c r="BE66" i="135" s="1"/>
  <c r="BN66" i="135"/>
  <c r="BO66" i="135" s="1"/>
  <c r="BL66" i="135"/>
  <c r="I66" i="101"/>
  <c r="K65" i="101"/>
  <c r="I69" i="104"/>
  <c r="I80" i="133"/>
  <c r="I72" i="105"/>
  <c r="I65" i="17"/>
  <c r="K64" i="17"/>
  <c r="V65" i="96"/>
  <c r="W65" i="96" s="1"/>
  <c r="AK65" i="96"/>
  <c r="AL65" i="96" s="1"/>
  <c r="BN65" i="96"/>
  <c r="BO65" i="96" s="1"/>
  <c r="O65" i="96"/>
  <c r="R65" i="96"/>
  <c r="T65" i="96" s="1"/>
  <c r="BQ65" i="96"/>
  <c r="BR65" i="96" s="1"/>
  <c r="AE65" i="96"/>
  <c r="AF65" i="96" s="1"/>
  <c r="BG65" i="96"/>
  <c r="BH65" i="96" s="1"/>
  <c r="AQ65" i="96"/>
  <c r="AR65" i="96" s="1"/>
  <c r="BD65" i="96"/>
  <c r="BE65" i="96" s="1"/>
  <c r="AB65" i="96"/>
  <c r="AC65" i="96" s="1"/>
  <c r="BA65" i="96"/>
  <c r="BB65" i="96" s="1"/>
  <c r="M65" i="96"/>
  <c r="AV65" i="96"/>
  <c r="AW65" i="96" s="1"/>
  <c r="AN65" i="96"/>
  <c r="AO65" i="96" s="1"/>
  <c r="BL65" i="96"/>
  <c r="AH65" i="96"/>
  <c r="AI65" i="96" s="1"/>
  <c r="P65" i="96"/>
  <c r="AT65" i="96"/>
  <c r="Y65" i="96"/>
  <c r="Z65" i="96" s="1"/>
  <c r="I69" i="15"/>
  <c r="I72" i="132"/>
  <c r="M65" i="126"/>
  <c r="BK65" i="126"/>
  <c r="BJ65" i="126"/>
  <c r="BL65" i="126" s="1"/>
  <c r="BN65" i="126"/>
  <c r="BO65" i="126" s="1"/>
  <c r="BD65" i="126"/>
  <c r="BE65" i="126" s="1"/>
  <c r="AK65" i="126"/>
  <c r="AL65" i="126" s="1"/>
  <c r="Y65" i="126"/>
  <c r="Z65" i="126" s="1"/>
  <c r="BG65" i="126"/>
  <c r="BH65" i="126" s="1"/>
  <c r="P65" i="126"/>
  <c r="AH65" i="126"/>
  <c r="AI65" i="126" s="1"/>
  <c r="V65" i="126"/>
  <c r="W65" i="126" s="1"/>
  <c r="AE65" i="126"/>
  <c r="AF65" i="126" s="1"/>
  <c r="AQ65" i="126"/>
  <c r="AR65" i="126" s="1"/>
  <c r="AY65" i="126"/>
  <c r="BA65" i="126"/>
  <c r="BB65" i="126" s="1"/>
  <c r="AV65" i="126"/>
  <c r="AW65" i="126" s="1"/>
  <c r="R65" i="126"/>
  <c r="T65" i="126" s="1"/>
  <c r="AT65" i="126"/>
  <c r="AN65" i="126"/>
  <c r="AO65" i="126" s="1"/>
  <c r="O65" i="126"/>
  <c r="BQ65" i="126"/>
  <c r="BR65" i="126" s="1"/>
  <c r="AB65" i="126"/>
  <c r="AC65" i="126" s="1"/>
  <c r="K66" i="126"/>
  <c r="I68" i="135"/>
  <c r="K67" i="135"/>
  <c r="BL64" i="15"/>
  <c r="BN64" i="15"/>
  <c r="BO64" i="15" s="1"/>
  <c r="M64" i="15"/>
  <c r="BG64" i="15"/>
  <c r="BH64" i="15" s="1"/>
  <c r="BA64" i="15"/>
  <c r="BB64" i="15" s="1"/>
  <c r="AQ64" i="15"/>
  <c r="AR64" i="15" s="1"/>
  <c r="AK64" i="15"/>
  <c r="AL64" i="15" s="1"/>
  <c r="AN64" i="15"/>
  <c r="AO64" i="15" s="1"/>
  <c r="BD64" i="15"/>
  <c r="BE64" i="15" s="1"/>
  <c r="V64" i="15"/>
  <c r="W64" i="15" s="1"/>
  <c r="Y64" i="15"/>
  <c r="Z64" i="15" s="1"/>
  <c r="AB64" i="15"/>
  <c r="AC64" i="15" s="1"/>
  <c r="AH64" i="15"/>
  <c r="AI64" i="15" s="1"/>
  <c r="AE64" i="15"/>
  <c r="AF64" i="15" s="1"/>
  <c r="AT64" i="15"/>
  <c r="AV64" i="15"/>
  <c r="AW64" i="15" s="1"/>
  <c r="R64" i="15"/>
  <c r="T64" i="15" s="1"/>
  <c r="AY64" i="15"/>
  <c r="BQ64" i="15"/>
  <c r="BR64" i="15" s="1"/>
  <c r="O64" i="15"/>
  <c r="P64" i="15"/>
  <c r="K65" i="15"/>
  <c r="I65" i="66"/>
  <c r="K64" i="66"/>
  <c r="M65" i="115"/>
  <c r="BN65" i="115"/>
  <c r="BO65" i="115" s="1"/>
  <c r="BJ65" i="115"/>
  <c r="BL65" i="115" s="1"/>
  <c r="BK65" i="115"/>
  <c r="AH65" i="115"/>
  <c r="AI65" i="115" s="1"/>
  <c r="AY65" i="115"/>
  <c r="BQ65" i="115"/>
  <c r="BR65" i="115" s="1"/>
  <c r="AQ65" i="115"/>
  <c r="AR65" i="115" s="1"/>
  <c r="AV65" i="115"/>
  <c r="AW65" i="115" s="1"/>
  <c r="AN65" i="115"/>
  <c r="AO65" i="115" s="1"/>
  <c r="V65" i="115"/>
  <c r="W65" i="115" s="1"/>
  <c r="BG65" i="115"/>
  <c r="BH65" i="115" s="1"/>
  <c r="O65" i="115"/>
  <c r="AB65" i="115"/>
  <c r="AC65" i="115" s="1"/>
  <c r="AE65" i="115"/>
  <c r="AF65" i="115" s="1"/>
  <c r="R65" i="115"/>
  <c r="T65" i="115" s="1"/>
  <c r="P65" i="115"/>
  <c r="AT65" i="115"/>
  <c r="AK65" i="115"/>
  <c r="AL65" i="115" s="1"/>
  <c r="Y65" i="115"/>
  <c r="Z65" i="115" s="1"/>
  <c r="BA65" i="115"/>
  <c r="BB65" i="115" s="1"/>
  <c r="BD65" i="115"/>
  <c r="BE65" i="115" s="1"/>
  <c r="M65" i="110"/>
  <c r="BN65" i="110"/>
  <c r="BO65" i="110" s="1"/>
  <c r="BJ65" i="110"/>
  <c r="BL65" i="110" s="1"/>
  <c r="BK65" i="110"/>
  <c r="P65" i="110"/>
  <c r="BQ65" i="110"/>
  <c r="BR65" i="110" s="1"/>
  <c r="AE65" i="110"/>
  <c r="AF65" i="110" s="1"/>
  <c r="AY65" i="110"/>
  <c r="AQ65" i="110"/>
  <c r="AR65" i="110" s="1"/>
  <c r="AK65" i="110"/>
  <c r="AL65" i="110" s="1"/>
  <c r="BA65" i="110"/>
  <c r="BB65" i="110" s="1"/>
  <c r="Y65" i="110"/>
  <c r="Z65" i="110" s="1"/>
  <c r="V65" i="110"/>
  <c r="W65" i="110" s="1"/>
  <c r="AV65" i="110"/>
  <c r="AW65" i="110" s="1"/>
  <c r="BG65" i="110"/>
  <c r="BH65" i="110" s="1"/>
  <c r="BD65" i="110"/>
  <c r="BE65" i="110" s="1"/>
  <c r="R65" i="110"/>
  <c r="T65" i="110" s="1"/>
  <c r="O65" i="110"/>
  <c r="AN65" i="110"/>
  <c r="AO65" i="110" s="1"/>
  <c r="AH65" i="110"/>
  <c r="AI65" i="110" s="1"/>
  <c r="AB65" i="110"/>
  <c r="AC65" i="110" s="1"/>
  <c r="AT65" i="110"/>
  <c r="I71" i="64"/>
  <c r="I70" i="126"/>
  <c r="M64" i="118"/>
  <c r="K65" i="118"/>
  <c r="BN64" i="118"/>
  <c r="BO64" i="118" s="1"/>
  <c r="AQ64" i="118"/>
  <c r="AR64" i="118" s="1"/>
  <c r="BQ64" i="118"/>
  <c r="BR64" i="118" s="1"/>
  <c r="AB64" i="118"/>
  <c r="AC64" i="118" s="1"/>
  <c r="BG64" i="118"/>
  <c r="BH64" i="118" s="1"/>
  <c r="P64" i="118"/>
  <c r="Y64" i="118"/>
  <c r="Z64" i="118" s="1"/>
  <c r="BD64" i="118"/>
  <c r="BE64" i="118" s="1"/>
  <c r="AK64" i="118"/>
  <c r="AL64" i="118" s="1"/>
  <c r="AY64" i="118"/>
  <c r="AT64" i="118"/>
  <c r="V64" i="118"/>
  <c r="W64" i="118" s="1"/>
  <c r="AE64" i="118"/>
  <c r="AF64" i="118" s="1"/>
  <c r="AN64" i="118"/>
  <c r="AO64" i="118" s="1"/>
  <c r="AV64" i="118"/>
  <c r="AW64" i="118" s="1"/>
  <c r="O64" i="118"/>
  <c r="R64" i="118"/>
  <c r="T64" i="118" s="1"/>
  <c r="BA64" i="118"/>
  <c r="BB64" i="118" s="1"/>
  <c r="AH64" i="118"/>
  <c r="AI64" i="118" s="1"/>
  <c r="K66" i="96"/>
  <c r="I67" i="96"/>
  <c r="BN63" i="13"/>
  <c r="BO63" i="13" s="1"/>
  <c r="M63" i="13"/>
  <c r="BL63" i="13"/>
  <c r="AN63" i="13"/>
  <c r="AO63" i="13" s="1"/>
  <c r="AH63" i="13"/>
  <c r="AI63" i="13" s="1"/>
  <c r="BA63" i="13"/>
  <c r="BB63" i="13" s="1"/>
  <c r="BD63" i="13"/>
  <c r="BE63" i="13" s="1"/>
  <c r="AB63" i="13"/>
  <c r="AC63" i="13" s="1"/>
  <c r="R63" i="13"/>
  <c r="T63" i="13" s="1"/>
  <c r="AY63" i="13"/>
  <c r="AV63" i="13"/>
  <c r="AW63" i="13" s="1"/>
  <c r="V63" i="13"/>
  <c r="W63" i="13" s="1"/>
  <c r="AT63" i="13"/>
  <c r="AK63" i="13"/>
  <c r="AL63" i="13" s="1"/>
  <c r="BQ63" i="13"/>
  <c r="BR63" i="13" s="1"/>
  <c r="O63" i="13"/>
  <c r="Y63" i="13"/>
  <c r="Z63" i="13" s="1"/>
  <c r="AQ63" i="13"/>
  <c r="AR63" i="13" s="1"/>
  <c r="BG63" i="13"/>
  <c r="BH63" i="13" s="1"/>
  <c r="P63" i="13"/>
  <c r="AE63" i="13"/>
  <c r="AF63" i="13" s="1"/>
  <c r="AK63" i="66"/>
  <c r="AL63" i="66" s="1"/>
  <c r="AH63" i="66"/>
  <c r="AI63" i="66" s="1"/>
  <c r="BN63" i="66"/>
  <c r="BO63" i="66" s="1"/>
  <c r="M63" i="66"/>
  <c r="BG63" i="66"/>
  <c r="BH63" i="66" s="1"/>
  <c r="BQ63" i="66"/>
  <c r="BR63" i="66" s="1"/>
  <c r="BA63" i="66"/>
  <c r="BB63" i="66" s="1"/>
  <c r="AE63" i="66"/>
  <c r="AF63" i="66" s="1"/>
  <c r="V63" i="66"/>
  <c r="W63" i="66" s="1"/>
  <c r="Y63" i="66"/>
  <c r="Z63" i="66" s="1"/>
  <c r="P63" i="66"/>
  <c r="R63" i="66"/>
  <c r="T63" i="66" s="1"/>
  <c r="BD63" i="66"/>
  <c r="BE63" i="66" s="1"/>
  <c r="AB63" i="66"/>
  <c r="AC63" i="66" s="1"/>
  <c r="AN63" i="66"/>
  <c r="AO63" i="66" s="1"/>
  <c r="AV63" i="66"/>
  <c r="AW63" i="66" s="1"/>
  <c r="AY63" i="66"/>
  <c r="O63" i="66"/>
  <c r="AQ63" i="66"/>
  <c r="AR63" i="66" s="1"/>
  <c r="AT63" i="66"/>
  <c r="BL63" i="66"/>
  <c r="I67" i="115"/>
  <c r="K66" i="115"/>
  <c r="I71" i="136"/>
  <c r="I67" i="110"/>
  <c r="K66" i="110"/>
  <c r="M69" i="124"/>
  <c r="BK69" i="124"/>
  <c r="K70" i="124"/>
  <c r="BN69" i="124"/>
  <c r="BO69" i="124" s="1"/>
  <c r="BJ69" i="124"/>
  <c r="BL69" i="124" s="1"/>
  <c r="AV69" i="124"/>
  <c r="AW69" i="124" s="1"/>
  <c r="AK69" i="124"/>
  <c r="AL69" i="124" s="1"/>
  <c r="AH69" i="124"/>
  <c r="AI69" i="124" s="1"/>
  <c r="P69" i="124"/>
  <c r="AN69" i="124"/>
  <c r="AO69" i="124" s="1"/>
  <c r="BA69" i="124"/>
  <c r="BB69" i="124" s="1"/>
  <c r="BQ69" i="124"/>
  <c r="BR69" i="124" s="1"/>
  <c r="AT69" i="124"/>
  <c r="AE69" i="124"/>
  <c r="AF69" i="124" s="1"/>
  <c r="R69" i="124"/>
  <c r="T69" i="124" s="1"/>
  <c r="BD69" i="124"/>
  <c r="BE69" i="124" s="1"/>
  <c r="AB69" i="124"/>
  <c r="AC69" i="124" s="1"/>
  <c r="AY69" i="124"/>
  <c r="BG69" i="124"/>
  <c r="BH69" i="124" s="1"/>
  <c r="AQ69" i="124"/>
  <c r="AR69" i="124" s="1"/>
  <c r="O69" i="124"/>
  <c r="Y69" i="124"/>
  <c r="Z69" i="124" s="1"/>
  <c r="V69" i="124"/>
  <c r="W69" i="124" s="1"/>
  <c r="I70" i="63"/>
  <c r="BN65" i="114"/>
  <c r="BO65" i="114" s="1"/>
  <c r="BK65" i="114"/>
  <c r="M65" i="114"/>
  <c r="BJ65" i="114"/>
  <c r="BL65" i="114" s="1"/>
  <c r="AE65" i="114"/>
  <c r="AF65" i="114" s="1"/>
  <c r="AQ65" i="114"/>
  <c r="AR65" i="114" s="1"/>
  <c r="AY65" i="114"/>
  <c r="BG65" i="114"/>
  <c r="BH65" i="114" s="1"/>
  <c r="BA65" i="114"/>
  <c r="BB65" i="114" s="1"/>
  <c r="P65" i="114"/>
  <c r="V65" i="114"/>
  <c r="W65" i="114" s="1"/>
  <c r="AN65" i="114"/>
  <c r="AO65" i="114" s="1"/>
  <c r="AT65" i="114"/>
  <c r="AK65" i="114"/>
  <c r="AL65" i="114" s="1"/>
  <c r="Y65" i="114"/>
  <c r="Z65" i="114" s="1"/>
  <c r="AB65" i="114"/>
  <c r="AC65" i="114" s="1"/>
  <c r="AV65" i="114"/>
  <c r="AW65" i="114" s="1"/>
  <c r="O65" i="114"/>
  <c r="R65" i="114"/>
  <c r="T65" i="114" s="1"/>
  <c r="BQ65" i="114"/>
  <c r="BR65" i="114" s="1"/>
  <c r="AH65" i="114"/>
  <c r="AI65" i="114" s="1"/>
  <c r="BD65" i="114"/>
  <c r="BE65" i="114" s="1"/>
  <c r="K66" i="114"/>
  <c r="K64" i="13"/>
  <c r="I65" i="13"/>
  <c r="P36" i="112"/>
  <c r="V35" i="112"/>
  <c r="W35" i="112" s="1"/>
  <c r="O35" i="112"/>
  <c r="AY67" i="99" l="1"/>
  <c r="BK67" i="99"/>
  <c r="P67" i="99"/>
  <c r="BD67" i="99"/>
  <c r="BE67" i="99" s="1"/>
  <c r="AN67" i="99"/>
  <c r="AO67" i="99" s="1"/>
  <c r="BJ67" i="99"/>
  <c r="BL67" i="99" s="1"/>
  <c r="BG67" i="99"/>
  <c r="BH67" i="99" s="1"/>
  <c r="AT67" i="99"/>
  <c r="K68" i="99"/>
  <c r="AV67" i="99"/>
  <c r="AW67" i="99" s="1"/>
  <c r="AK67" i="99"/>
  <c r="AL67" i="99" s="1"/>
  <c r="AH67" i="99"/>
  <c r="AI67" i="99" s="1"/>
  <c r="Y67" i="99"/>
  <c r="Z67" i="99" s="1"/>
  <c r="R67" i="99"/>
  <c r="T67" i="99" s="1"/>
  <c r="AQ67" i="99"/>
  <c r="AR67" i="99" s="1"/>
  <c r="V67" i="99"/>
  <c r="W67" i="99" s="1"/>
  <c r="BN67" i="99"/>
  <c r="BO67" i="99" s="1"/>
  <c r="O67" i="99"/>
  <c r="BQ67" i="99"/>
  <c r="BR67" i="99" s="1"/>
  <c r="M67" i="99"/>
  <c r="AB67" i="99"/>
  <c r="AC67" i="99" s="1"/>
  <c r="BA67" i="99"/>
  <c r="BB67" i="99" s="1"/>
  <c r="AE67" i="99"/>
  <c r="AF67" i="99" s="1"/>
  <c r="BG69" i="107"/>
  <c r="BH69" i="107" s="1"/>
  <c r="AH69" i="107"/>
  <c r="AI69" i="107" s="1"/>
  <c r="AQ69" i="107"/>
  <c r="AR69" i="107" s="1"/>
  <c r="BJ69" i="107"/>
  <c r="BL69" i="107" s="1"/>
  <c r="P69" i="107"/>
  <c r="M69" i="107"/>
  <c r="AN69" i="107"/>
  <c r="AO69" i="107" s="1"/>
  <c r="BQ69" i="107"/>
  <c r="BR69" i="107" s="1"/>
  <c r="AV69" i="107"/>
  <c r="AW69" i="107" s="1"/>
  <c r="BN69" i="107"/>
  <c r="BO69" i="107" s="1"/>
  <c r="AY69" i="107"/>
  <c r="O69" i="107"/>
  <c r="Y69" i="107"/>
  <c r="Z69" i="107" s="1"/>
  <c r="R69" i="107"/>
  <c r="T69" i="107" s="1"/>
  <c r="BD69" i="107"/>
  <c r="BE69" i="107" s="1"/>
  <c r="BA69" i="107"/>
  <c r="BB69" i="107" s="1"/>
  <c r="AT69" i="107"/>
  <c r="AB69" i="107"/>
  <c r="AC69" i="107" s="1"/>
  <c r="BK69" i="107"/>
  <c r="AK69" i="107"/>
  <c r="AL69" i="107" s="1"/>
  <c r="V69" i="107"/>
  <c r="W69" i="107" s="1"/>
  <c r="AE69" i="107"/>
  <c r="AF69" i="107" s="1"/>
  <c r="BN67" i="132"/>
  <c r="BO67" i="132" s="1"/>
  <c r="BQ67" i="132"/>
  <c r="BR67" i="132" s="1"/>
  <c r="V67" i="132"/>
  <c r="W67" i="132" s="1"/>
  <c r="K68" i="132"/>
  <c r="AN67" i="132"/>
  <c r="AO67" i="132" s="1"/>
  <c r="AE67" i="132"/>
  <c r="AF67" i="132" s="1"/>
  <c r="AH67" i="132"/>
  <c r="AI67" i="132" s="1"/>
  <c r="R67" i="132"/>
  <c r="T67" i="132" s="1"/>
  <c r="AV67" i="132"/>
  <c r="AW67" i="132" s="1"/>
  <c r="M67" i="132"/>
  <c r="O67" i="132"/>
  <c r="BA67" i="132"/>
  <c r="BB67" i="132" s="1"/>
  <c r="BD67" i="132"/>
  <c r="BE67" i="132" s="1"/>
  <c r="P67" i="132"/>
  <c r="BG67" i="132"/>
  <c r="BH67" i="132" s="1"/>
  <c r="Y67" i="132"/>
  <c r="Z67" i="132" s="1"/>
  <c r="AK67" i="132"/>
  <c r="AL67" i="132" s="1"/>
  <c r="AT67" i="132"/>
  <c r="AY67" i="132"/>
  <c r="AQ67" i="132"/>
  <c r="AR67" i="132" s="1"/>
  <c r="AB67" i="132"/>
  <c r="AC67" i="132" s="1"/>
  <c r="BL67" i="132"/>
  <c r="I71" i="107"/>
  <c r="K70" i="107"/>
  <c r="AC63" i="95"/>
  <c r="AV100" i="161"/>
  <c r="AW100" i="161" s="1"/>
  <c r="P100" i="161"/>
  <c r="BG100" i="161"/>
  <c r="BH100" i="161" s="1"/>
  <c r="BA100" i="161"/>
  <c r="BB100" i="161" s="1"/>
  <c r="AT100" i="161"/>
  <c r="AN100" i="161"/>
  <c r="AO100" i="161" s="1"/>
  <c r="AH100" i="161"/>
  <c r="AI100" i="161" s="1"/>
  <c r="AB100" i="161"/>
  <c r="AC100" i="161" s="1"/>
  <c r="V100" i="161"/>
  <c r="W100" i="161" s="1"/>
  <c r="O100" i="161"/>
  <c r="BR100" i="161"/>
  <c r="AY100" i="161"/>
  <c r="AQ100" i="161"/>
  <c r="AR100" i="161" s="1"/>
  <c r="R100" i="161"/>
  <c r="T100" i="161" s="1"/>
  <c r="AK100" i="161"/>
  <c r="AL100" i="161" s="1"/>
  <c r="BD100" i="161"/>
  <c r="BE100" i="161" s="1"/>
  <c r="AE100" i="161"/>
  <c r="AF100" i="161" s="1"/>
  <c r="Y100" i="161"/>
  <c r="Z100" i="161" s="1"/>
  <c r="BK100" i="161"/>
  <c r="BN100" i="161"/>
  <c r="BO100" i="161" s="1"/>
  <c r="BJ100" i="161"/>
  <c r="BL100" i="161" s="1"/>
  <c r="M100" i="161"/>
  <c r="I102" i="161"/>
  <c r="K101" i="161"/>
  <c r="BQ101" i="161" s="1"/>
  <c r="BK65" i="112"/>
  <c r="AT65" i="112"/>
  <c r="AK65" i="112"/>
  <c r="AL65" i="112" s="1"/>
  <c r="AY65" i="112"/>
  <c r="BN65" i="112"/>
  <c r="BO65" i="112" s="1"/>
  <c r="R65" i="112"/>
  <c r="T65" i="112" s="1"/>
  <c r="AH65" i="112"/>
  <c r="AI65" i="112" s="1"/>
  <c r="O65" i="112"/>
  <c r="M65" i="112"/>
  <c r="BA65" i="112"/>
  <c r="BB65" i="112" s="1"/>
  <c r="BG65" i="112"/>
  <c r="BH65" i="112" s="1"/>
  <c r="V65" i="112"/>
  <c r="W65" i="112" s="1"/>
  <c r="P65" i="112"/>
  <c r="BQ65" i="112"/>
  <c r="BR65" i="112" s="1"/>
  <c r="AB65" i="112"/>
  <c r="AC65" i="112" s="1"/>
  <c r="K66" i="112"/>
  <c r="AV65" i="112"/>
  <c r="AW65" i="112" s="1"/>
  <c r="AN65" i="112"/>
  <c r="AO65" i="112" s="1"/>
  <c r="Y65" i="112"/>
  <c r="Z65" i="112" s="1"/>
  <c r="BJ65" i="112"/>
  <c r="BL65" i="112" s="1"/>
  <c r="AQ65" i="112"/>
  <c r="AR65" i="112" s="1"/>
  <c r="AE65" i="112"/>
  <c r="AF65" i="112" s="1"/>
  <c r="BD65" i="112"/>
  <c r="BE65" i="112" s="1"/>
  <c r="BJ65" i="104"/>
  <c r="BL65" i="104" s="1"/>
  <c r="P65" i="104"/>
  <c r="Y65" i="104"/>
  <c r="Z65" i="104" s="1"/>
  <c r="R65" i="104"/>
  <c r="T65" i="104" s="1"/>
  <c r="BD65" i="104"/>
  <c r="BE65" i="104" s="1"/>
  <c r="AN65" i="104"/>
  <c r="AO65" i="104" s="1"/>
  <c r="V65" i="104"/>
  <c r="W65" i="104" s="1"/>
  <c r="BQ65" i="104"/>
  <c r="BR65" i="104" s="1"/>
  <c r="O65" i="104"/>
  <c r="AB65" i="104"/>
  <c r="AC65" i="104" s="1"/>
  <c r="BN65" i="104"/>
  <c r="BO65" i="104" s="1"/>
  <c r="AK65" i="104"/>
  <c r="AL65" i="104" s="1"/>
  <c r="AQ65" i="104"/>
  <c r="AR65" i="104" s="1"/>
  <c r="BA65" i="104"/>
  <c r="BB65" i="104" s="1"/>
  <c r="K66" i="104"/>
  <c r="BK65" i="104"/>
  <c r="AE65" i="104"/>
  <c r="AF65" i="104" s="1"/>
  <c r="AH65" i="104"/>
  <c r="AI65" i="104" s="1"/>
  <c r="AT65" i="104"/>
  <c r="M65" i="104"/>
  <c r="AY65" i="104"/>
  <c r="BG65" i="104"/>
  <c r="BH65" i="104" s="1"/>
  <c r="AV65" i="104"/>
  <c r="AW65" i="104" s="1"/>
  <c r="AB64" i="95"/>
  <c r="AK64" i="95"/>
  <c r="AL64" i="95" s="1"/>
  <c r="BG64" i="95"/>
  <c r="BH64" i="95" s="1"/>
  <c r="AE64" i="95"/>
  <c r="AF64" i="95" s="1"/>
  <c r="Y64" i="95"/>
  <c r="Z64" i="95" s="1"/>
  <c r="BD64" i="95"/>
  <c r="BE64" i="95" s="1"/>
  <c r="M64" i="95"/>
  <c r="AH64" i="95"/>
  <c r="AI64" i="95" s="1"/>
  <c r="AN64" i="95"/>
  <c r="AO64" i="95" s="1"/>
  <c r="BQ64" i="95"/>
  <c r="BR64" i="95" s="1"/>
  <c r="BL64" i="95"/>
  <c r="P64" i="95"/>
  <c r="AT64" i="95"/>
  <c r="O64" i="95"/>
  <c r="BN64" i="95"/>
  <c r="BO64" i="95" s="1"/>
  <c r="AQ64" i="95"/>
  <c r="AR64" i="95" s="1"/>
  <c r="R64" i="95"/>
  <c r="T64" i="95" s="1"/>
  <c r="K65" i="95"/>
  <c r="AV64" i="95"/>
  <c r="AW64" i="95" s="1"/>
  <c r="BA64" i="95"/>
  <c r="BB64" i="95" s="1"/>
  <c r="V64" i="95"/>
  <c r="W64" i="95" s="1"/>
  <c r="I72" i="106"/>
  <c r="M68" i="133"/>
  <c r="AT68" i="133"/>
  <c r="AQ68" i="133"/>
  <c r="AR68" i="133" s="1"/>
  <c r="P68" i="133"/>
  <c r="BN68" i="133"/>
  <c r="BO68" i="133" s="1"/>
  <c r="AN68" i="133"/>
  <c r="AO68" i="133" s="1"/>
  <c r="BG68" i="133"/>
  <c r="BH68" i="133" s="1"/>
  <c r="AK68" i="133"/>
  <c r="AL68" i="133" s="1"/>
  <c r="BL68" i="133"/>
  <c r="AY68" i="133"/>
  <c r="BQ68" i="133"/>
  <c r="BR68" i="133" s="1"/>
  <c r="R68" i="133"/>
  <c r="T68" i="133" s="1"/>
  <c r="BD68" i="133"/>
  <c r="BE68" i="133" s="1"/>
  <c r="AE68" i="133"/>
  <c r="AF68" i="133" s="1"/>
  <c r="BA68" i="133"/>
  <c r="BB68" i="133" s="1"/>
  <c r="K69" i="133"/>
  <c r="V68" i="133"/>
  <c r="W68" i="133" s="1"/>
  <c r="AH68" i="133"/>
  <c r="AI68" i="133" s="1"/>
  <c r="AB68" i="133"/>
  <c r="AC68" i="133" s="1"/>
  <c r="Y68" i="133"/>
  <c r="Z68" i="133" s="1"/>
  <c r="AV68" i="133"/>
  <c r="AW68" i="133" s="1"/>
  <c r="O68" i="133"/>
  <c r="AN70" i="156"/>
  <c r="AO70" i="156" s="1"/>
  <c r="BN70" i="156"/>
  <c r="BO70" i="156" s="1"/>
  <c r="BD70" i="156"/>
  <c r="BE70" i="156" s="1"/>
  <c r="BA70" i="156"/>
  <c r="BB70" i="156" s="1"/>
  <c r="R70" i="156"/>
  <c r="T70" i="156" s="1"/>
  <c r="O70" i="156"/>
  <c r="BG70" i="156"/>
  <c r="BH70" i="156" s="1"/>
  <c r="Y70" i="156"/>
  <c r="Z70" i="156" s="1"/>
  <c r="BQ70" i="156"/>
  <c r="BR70" i="156" s="1"/>
  <c r="V70" i="156"/>
  <c r="W70" i="156" s="1"/>
  <c r="BL70" i="156"/>
  <c r="AE70" i="156"/>
  <c r="AF70" i="156" s="1"/>
  <c r="M70" i="156"/>
  <c r="AB70" i="156"/>
  <c r="AC70" i="156" s="1"/>
  <c r="P70" i="156"/>
  <c r="AK70" i="156"/>
  <c r="AL70" i="156" s="1"/>
  <c r="AH70" i="156"/>
  <c r="AI70" i="156" s="1"/>
  <c r="AV70" i="156"/>
  <c r="AW70" i="156" s="1"/>
  <c r="AQ70" i="156"/>
  <c r="AR70" i="156" s="1"/>
  <c r="R66" i="129"/>
  <c r="T66" i="129" s="1"/>
  <c r="AT66" i="129"/>
  <c r="AK66" i="129"/>
  <c r="AL66" i="129" s="1"/>
  <c r="BQ66" i="129"/>
  <c r="BR66" i="129" s="1"/>
  <c r="AV66" i="129"/>
  <c r="AW66" i="129" s="1"/>
  <c r="Y66" i="129"/>
  <c r="Z66" i="129" s="1"/>
  <c r="M66" i="129"/>
  <c r="O66" i="129"/>
  <c r="BA66" i="129"/>
  <c r="BB66" i="129" s="1"/>
  <c r="P66" i="129"/>
  <c r="K67" i="129"/>
  <c r="AH66" i="129"/>
  <c r="AI66" i="129" s="1"/>
  <c r="BG66" i="129"/>
  <c r="BH66" i="129" s="1"/>
  <c r="AQ66" i="129"/>
  <c r="AR66" i="129" s="1"/>
  <c r="BN66" i="129"/>
  <c r="BO66" i="129" s="1"/>
  <c r="AB66" i="129"/>
  <c r="AC66" i="129" s="1"/>
  <c r="BD66" i="129"/>
  <c r="BE66" i="129" s="1"/>
  <c r="V66" i="129"/>
  <c r="W66" i="129" s="1"/>
  <c r="AE66" i="129"/>
  <c r="AF66" i="129" s="1"/>
  <c r="AY66" i="129"/>
  <c r="AN66" i="129"/>
  <c r="AO66" i="129" s="1"/>
  <c r="BL66" i="129"/>
  <c r="I72" i="156"/>
  <c r="K71" i="156"/>
  <c r="AY71" i="156" s="1"/>
  <c r="AT65" i="106"/>
  <c r="AN65" i="106"/>
  <c r="AO65" i="106" s="1"/>
  <c r="Y65" i="106"/>
  <c r="Z65" i="106" s="1"/>
  <c r="BA65" i="106"/>
  <c r="BB65" i="106" s="1"/>
  <c r="AY65" i="106"/>
  <c r="M65" i="106"/>
  <c r="AH65" i="106"/>
  <c r="AI65" i="106" s="1"/>
  <c r="AV65" i="106"/>
  <c r="AW65" i="106" s="1"/>
  <c r="BD65" i="106"/>
  <c r="BE65" i="106" s="1"/>
  <c r="BN65" i="106"/>
  <c r="BO65" i="106" s="1"/>
  <c r="AK65" i="106"/>
  <c r="AL65" i="106" s="1"/>
  <c r="O65" i="106"/>
  <c r="P65" i="106"/>
  <c r="V65" i="106"/>
  <c r="W65" i="106" s="1"/>
  <c r="BJ65" i="106"/>
  <c r="BL65" i="106" s="1"/>
  <c r="R65" i="106"/>
  <c r="T65" i="106" s="1"/>
  <c r="BQ65" i="106"/>
  <c r="BR65" i="106" s="1"/>
  <c r="AQ65" i="106"/>
  <c r="AR65" i="106" s="1"/>
  <c r="BK65" i="106"/>
  <c r="BG65" i="106"/>
  <c r="BH65" i="106" s="1"/>
  <c r="AE65" i="106"/>
  <c r="AF65" i="106" s="1"/>
  <c r="AB65" i="106"/>
  <c r="AC65" i="106" s="1"/>
  <c r="K66" i="106"/>
  <c r="K67" i="130"/>
  <c r="M66" i="130"/>
  <c r="BN66" i="130"/>
  <c r="BO66" i="130" s="1"/>
  <c r="BL66" i="130"/>
  <c r="AQ66" i="130"/>
  <c r="AR66" i="130" s="1"/>
  <c r="BQ66" i="130"/>
  <c r="BR66" i="130" s="1"/>
  <c r="BD66" i="130"/>
  <c r="BE66" i="130" s="1"/>
  <c r="AV66" i="130"/>
  <c r="AW66" i="130" s="1"/>
  <c r="BG66" i="130"/>
  <c r="BH66" i="130" s="1"/>
  <c r="AY66" i="130"/>
  <c r="V66" i="130"/>
  <c r="W66" i="130" s="1"/>
  <c r="AE66" i="130"/>
  <c r="AF66" i="130" s="1"/>
  <c r="AT66" i="130"/>
  <c r="AN66" i="130"/>
  <c r="AO66" i="130" s="1"/>
  <c r="R66" i="130"/>
  <c r="T66" i="130" s="1"/>
  <c r="O66" i="130"/>
  <c r="AK66" i="130"/>
  <c r="AL66" i="130" s="1"/>
  <c r="AB66" i="130"/>
  <c r="AC66" i="130" s="1"/>
  <c r="P66" i="130"/>
  <c r="AH66" i="130"/>
  <c r="AI66" i="130" s="1"/>
  <c r="Y66" i="130"/>
  <c r="Z66" i="130" s="1"/>
  <c r="BA66" i="130"/>
  <c r="BB66" i="130" s="1"/>
  <c r="AV18" i="151"/>
  <c r="AW18" i="151" s="1"/>
  <c r="BD18" i="151"/>
  <c r="BE18" i="151" s="1"/>
  <c r="I73" i="155"/>
  <c r="K72" i="155"/>
  <c r="P71" i="155"/>
  <c r="AV71" i="155"/>
  <c r="AW71" i="155" s="1"/>
  <c r="BN71" i="155"/>
  <c r="BO71" i="155" s="1"/>
  <c r="R71" i="155"/>
  <c r="T71" i="155" s="1"/>
  <c r="Y71" i="155"/>
  <c r="Z71" i="155" s="1"/>
  <c r="AE71" i="155"/>
  <c r="AF71" i="155" s="1"/>
  <c r="AK71" i="155"/>
  <c r="AL71" i="155" s="1"/>
  <c r="AQ71" i="155"/>
  <c r="AR71" i="155" s="1"/>
  <c r="BD71" i="155"/>
  <c r="BE71" i="155" s="1"/>
  <c r="M71" i="155"/>
  <c r="O71" i="155"/>
  <c r="AB71" i="155"/>
  <c r="AC71" i="155" s="1"/>
  <c r="AN71" i="155"/>
  <c r="AO71" i="155" s="1"/>
  <c r="BA71" i="155"/>
  <c r="BB71" i="155" s="1"/>
  <c r="BL71" i="155"/>
  <c r="V71" i="155"/>
  <c r="W71" i="155" s="1"/>
  <c r="AH71" i="155"/>
  <c r="AI71" i="155" s="1"/>
  <c r="BG71" i="155"/>
  <c r="BH71" i="155" s="1"/>
  <c r="BQ71" i="155"/>
  <c r="BR71" i="155" s="1"/>
  <c r="BD17" i="149"/>
  <c r="BE17" i="149" s="1"/>
  <c r="AV17" i="149"/>
  <c r="AW17" i="149" s="1"/>
  <c r="AT19" i="151"/>
  <c r="P71" i="153"/>
  <c r="AV71" i="153"/>
  <c r="AW71" i="153" s="1"/>
  <c r="BN71" i="153"/>
  <c r="BO71" i="153" s="1"/>
  <c r="R71" i="153"/>
  <c r="T71" i="153" s="1"/>
  <c r="Y71" i="153"/>
  <c r="Z71" i="153" s="1"/>
  <c r="AE71" i="153"/>
  <c r="AF71" i="153" s="1"/>
  <c r="AK71" i="153"/>
  <c r="AL71" i="153" s="1"/>
  <c r="AQ71" i="153"/>
  <c r="AR71" i="153" s="1"/>
  <c r="BD71" i="153"/>
  <c r="BE71" i="153" s="1"/>
  <c r="BL71" i="153"/>
  <c r="V71" i="153"/>
  <c r="W71" i="153" s="1"/>
  <c r="AH71" i="153"/>
  <c r="AI71" i="153" s="1"/>
  <c r="BG71" i="153"/>
  <c r="BH71" i="153" s="1"/>
  <c r="BQ71" i="153"/>
  <c r="BR71" i="153" s="1"/>
  <c r="M71" i="153"/>
  <c r="AN71" i="153"/>
  <c r="AO71" i="153" s="1"/>
  <c r="BA71" i="153"/>
  <c r="BB71" i="153" s="1"/>
  <c r="O71" i="153"/>
  <c r="AB71" i="153"/>
  <c r="AC71" i="153" s="1"/>
  <c r="K72" i="153"/>
  <c r="I76" i="153"/>
  <c r="P71" i="152"/>
  <c r="AV71" i="152"/>
  <c r="AW71" i="152" s="1"/>
  <c r="BN71" i="152"/>
  <c r="BO71" i="152" s="1"/>
  <c r="R71" i="152"/>
  <c r="T71" i="152" s="1"/>
  <c r="Y71" i="152"/>
  <c r="Z71" i="152" s="1"/>
  <c r="AE71" i="152"/>
  <c r="AF71" i="152" s="1"/>
  <c r="AK71" i="152"/>
  <c r="AL71" i="152" s="1"/>
  <c r="AQ71" i="152"/>
  <c r="AR71" i="152" s="1"/>
  <c r="BD71" i="152"/>
  <c r="BE71" i="152" s="1"/>
  <c r="M71" i="152"/>
  <c r="BQ71" i="152"/>
  <c r="BR71" i="152" s="1"/>
  <c r="O71" i="152"/>
  <c r="AN71" i="152"/>
  <c r="AO71" i="152" s="1"/>
  <c r="V71" i="152"/>
  <c r="W71" i="152" s="1"/>
  <c r="AH71" i="152"/>
  <c r="AI71" i="152" s="1"/>
  <c r="BA71" i="152"/>
  <c r="BB71" i="152" s="1"/>
  <c r="BL71" i="152"/>
  <c r="BG71" i="152"/>
  <c r="BH71" i="152" s="1"/>
  <c r="AB71" i="152"/>
  <c r="AC71" i="152" s="1"/>
  <c r="K72" i="152"/>
  <c r="I80" i="152"/>
  <c r="AV69" i="151"/>
  <c r="AW69" i="151" s="1"/>
  <c r="P69" i="151"/>
  <c r="BQ69" i="151"/>
  <c r="BR69" i="151" s="1"/>
  <c r="AY69" i="151"/>
  <c r="BG69" i="151"/>
  <c r="BH69" i="151" s="1"/>
  <c r="AT69" i="151"/>
  <c r="AH69" i="151"/>
  <c r="AI69" i="151" s="1"/>
  <c r="V69" i="151"/>
  <c r="W69" i="151" s="1"/>
  <c r="BD69" i="151"/>
  <c r="BE69" i="151" s="1"/>
  <c r="AQ69" i="151"/>
  <c r="AR69" i="151" s="1"/>
  <c r="AE69" i="151"/>
  <c r="AF69" i="151" s="1"/>
  <c r="R69" i="151"/>
  <c r="T69" i="151" s="1"/>
  <c r="BA69" i="151"/>
  <c r="BB69" i="151" s="1"/>
  <c r="AN69" i="151"/>
  <c r="AO69" i="151" s="1"/>
  <c r="AB69" i="151"/>
  <c r="AC69" i="151" s="1"/>
  <c r="O69" i="151"/>
  <c r="AK69" i="151"/>
  <c r="AL69" i="151" s="1"/>
  <c r="Y69" i="151"/>
  <c r="Z69" i="151" s="1"/>
  <c r="BN69" i="151"/>
  <c r="BO69" i="151" s="1"/>
  <c r="M69" i="151"/>
  <c r="BL69" i="151"/>
  <c r="I71" i="151"/>
  <c r="K70" i="151"/>
  <c r="I72" i="150"/>
  <c r="BQ68" i="150"/>
  <c r="BR68" i="150" s="1"/>
  <c r="AY68" i="150"/>
  <c r="BD68" i="150"/>
  <c r="BE68" i="150" s="1"/>
  <c r="AQ68" i="150"/>
  <c r="AR68" i="150" s="1"/>
  <c r="AK68" i="150"/>
  <c r="AL68" i="150" s="1"/>
  <c r="AE68" i="150"/>
  <c r="AF68" i="150" s="1"/>
  <c r="Y68" i="150"/>
  <c r="Z68" i="150" s="1"/>
  <c r="R68" i="150"/>
  <c r="T68" i="150" s="1"/>
  <c r="P68" i="150"/>
  <c r="BA68" i="150"/>
  <c r="BB68" i="150" s="1"/>
  <c r="AN68" i="150"/>
  <c r="AO68" i="150" s="1"/>
  <c r="AB68" i="150"/>
  <c r="AC68" i="150" s="1"/>
  <c r="O68" i="150"/>
  <c r="AV68" i="150"/>
  <c r="AW68" i="150" s="1"/>
  <c r="AT68" i="150"/>
  <c r="AH68" i="150"/>
  <c r="AI68" i="150" s="1"/>
  <c r="V68" i="150"/>
  <c r="W68" i="150" s="1"/>
  <c r="BG68" i="150"/>
  <c r="BH68" i="150" s="1"/>
  <c r="BN68" i="150"/>
  <c r="BO68" i="150" s="1"/>
  <c r="M68" i="150"/>
  <c r="BL68" i="150"/>
  <c r="K69" i="150"/>
  <c r="AV70" i="149"/>
  <c r="AW70" i="149" s="1"/>
  <c r="P70" i="149"/>
  <c r="BG70" i="149"/>
  <c r="BH70" i="149" s="1"/>
  <c r="BA70" i="149"/>
  <c r="BB70" i="149" s="1"/>
  <c r="AN70" i="149"/>
  <c r="AO70" i="149" s="1"/>
  <c r="AH70" i="149"/>
  <c r="AI70" i="149" s="1"/>
  <c r="AB70" i="149"/>
  <c r="AC70" i="149" s="1"/>
  <c r="V70" i="149"/>
  <c r="W70" i="149" s="1"/>
  <c r="O70" i="149"/>
  <c r="AY70" i="149"/>
  <c r="BQ70" i="149"/>
  <c r="BR70" i="149" s="1"/>
  <c r="AQ70" i="149"/>
  <c r="AR70" i="149" s="1"/>
  <c r="R70" i="149"/>
  <c r="T70" i="149" s="1"/>
  <c r="AK70" i="149"/>
  <c r="AL70" i="149" s="1"/>
  <c r="BD70" i="149"/>
  <c r="BE70" i="149" s="1"/>
  <c r="AE70" i="149"/>
  <c r="AF70" i="149" s="1"/>
  <c r="Y70" i="149"/>
  <c r="Z70" i="149" s="1"/>
  <c r="BN70" i="149"/>
  <c r="BO70" i="149" s="1"/>
  <c r="M70" i="149"/>
  <c r="BL70" i="149"/>
  <c r="I72" i="149"/>
  <c r="K71" i="149"/>
  <c r="AT71" i="149" s="1"/>
  <c r="K70" i="147"/>
  <c r="I71" i="147"/>
  <c r="BQ69" i="147"/>
  <c r="BR69" i="147" s="1"/>
  <c r="AY69" i="147"/>
  <c r="BD69" i="147"/>
  <c r="BE69" i="147" s="1"/>
  <c r="AT69" i="147"/>
  <c r="AK69" i="147"/>
  <c r="AL69" i="147" s="1"/>
  <c r="V69" i="147"/>
  <c r="W69" i="147" s="1"/>
  <c r="BA69" i="147"/>
  <c r="BB69" i="147" s="1"/>
  <c r="AQ69" i="147"/>
  <c r="AR69" i="147" s="1"/>
  <c r="AB69" i="147"/>
  <c r="AC69" i="147" s="1"/>
  <c r="R69" i="147"/>
  <c r="T69" i="147" s="1"/>
  <c r="AH69" i="147"/>
  <c r="AI69" i="147" s="1"/>
  <c r="P69" i="147"/>
  <c r="AV69" i="147"/>
  <c r="AW69" i="147" s="1"/>
  <c r="AE69" i="147"/>
  <c r="AF69" i="147" s="1"/>
  <c r="O69" i="147"/>
  <c r="Y69" i="147"/>
  <c r="Z69" i="147" s="1"/>
  <c r="AN69" i="147"/>
  <c r="AO69" i="147" s="1"/>
  <c r="BG69" i="147"/>
  <c r="BH69" i="147" s="1"/>
  <c r="BN69" i="147"/>
  <c r="BO69" i="147" s="1"/>
  <c r="BK69" i="147"/>
  <c r="BJ69" i="147"/>
  <c r="BL69" i="147" s="1"/>
  <c r="M69" i="147"/>
  <c r="AV68" i="146"/>
  <c r="AW68" i="146" s="1"/>
  <c r="P68" i="146"/>
  <c r="BG68" i="146"/>
  <c r="BH68" i="146" s="1"/>
  <c r="BA68" i="146"/>
  <c r="BB68" i="146" s="1"/>
  <c r="AT68" i="146"/>
  <c r="AN68" i="146"/>
  <c r="AO68" i="146" s="1"/>
  <c r="AH68" i="146"/>
  <c r="AI68" i="146" s="1"/>
  <c r="AB68" i="146"/>
  <c r="AC68" i="146" s="1"/>
  <c r="V68" i="146"/>
  <c r="W68" i="146" s="1"/>
  <c r="O68" i="146"/>
  <c r="BQ68" i="146"/>
  <c r="BR68" i="146" s="1"/>
  <c r="AY68" i="146"/>
  <c r="BD68" i="146"/>
  <c r="BE68" i="146" s="1"/>
  <c r="AE68" i="146"/>
  <c r="AF68" i="146" s="1"/>
  <c r="Y68" i="146"/>
  <c r="Z68" i="146" s="1"/>
  <c r="AQ68" i="146"/>
  <c r="AR68" i="146" s="1"/>
  <c r="R68" i="146"/>
  <c r="T68" i="146" s="1"/>
  <c r="AK68" i="146"/>
  <c r="AL68" i="146" s="1"/>
  <c r="BJ68" i="146"/>
  <c r="BL68" i="146" s="1"/>
  <c r="BK68" i="146"/>
  <c r="M68" i="146"/>
  <c r="BN68" i="146"/>
  <c r="BO68" i="146" s="1"/>
  <c r="I70" i="146"/>
  <c r="K69" i="146"/>
  <c r="I72" i="136"/>
  <c r="I71" i="126"/>
  <c r="M65" i="101"/>
  <c r="AY65" i="101"/>
  <c r="AK65" i="101"/>
  <c r="AL65" i="101" s="1"/>
  <c r="BG65" i="101"/>
  <c r="BH65" i="101" s="1"/>
  <c r="AE65" i="101"/>
  <c r="AF65" i="101" s="1"/>
  <c r="AQ65" i="101"/>
  <c r="AR65" i="101" s="1"/>
  <c r="AV65" i="101"/>
  <c r="AW65" i="101" s="1"/>
  <c r="Y65" i="101"/>
  <c r="Z65" i="101" s="1"/>
  <c r="AH65" i="101"/>
  <c r="AI65" i="101" s="1"/>
  <c r="V65" i="101"/>
  <c r="W65" i="101" s="1"/>
  <c r="BD65" i="101"/>
  <c r="BE65" i="101" s="1"/>
  <c r="AT65" i="101"/>
  <c r="BQ65" i="101"/>
  <c r="BR65" i="101" s="1"/>
  <c r="AN65" i="101"/>
  <c r="AO65" i="101" s="1"/>
  <c r="R65" i="101"/>
  <c r="T65" i="101" s="1"/>
  <c r="AB65" i="101"/>
  <c r="AC65" i="101" s="1"/>
  <c r="O65" i="101"/>
  <c r="BA65" i="101"/>
  <c r="BB65" i="101" s="1"/>
  <c r="P65" i="101"/>
  <c r="I72" i="114"/>
  <c r="M66" i="114"/>
  <c r="BK66" i="114"/>
  <c r="BJ66" i="114"/>
  <c r="BL66" i="114" s="1"/>
  <c r="BN66" i="114"/>
  <c r="BO66" i="114" s="1"/>
  <c r="BQ66" i="114"/>
  <c r="BR66" i="114" s="1"/>
  <c r="AH66" i="114"/>
  <c r="AI66" i="114" s="1"/>
  <c r="BA66" i="114"/>
  <c r="BB66" i="114" s="1"/>
  <c r="O66" i="114"/>
  <c r="P66" i="114"/>
  <c r="AQ66" i="114"/>
  <c r="AR66" i="114" s="1"/>
  <c r="AB66" i="114"/>
  <c r="AC66" i="114" s="1"/>
  <c r="BD66" i="114"/>
  <c r="BE66" i="114" s="1"/>
  <c r="AY66" i="114"/>
  <c r="BG66" i="114"/>
  <c r="BH66" i="114" s="1"/>
  <c r="AT66" i="114"/>
  <c r="AN66" i="114"/>
  <c r="AO66" i="114" s="1"/>
  <c r="V66" i="114"/>
  <c r="W66" i="114" s="1"/>
  <c r="AE66" i="114"/>
  <c r="AF66" i="114" s="1"/>
  <c r="R66" i="114"/>
  <c r="T66" i="114" s="1"/>
  <c r="Y66" i="114"/>
  <c r="Z66" i="114" s="1"/>
  <c r="AV66" i="114"/>
  <c r="AW66" i="114" s="1"/>
  <c r="AK66" i="114"/>
  <c r="AL66" i="114" s="1"/>
  <c r="K67" i="114"/>
  <c r="I71" i="63"/>
  <c r="BK66" i="110"/>
  <c r="M66" i="110"/>
  <c r="BJ66" i="110"/>
  <c r="BL66" i="110" s="1"/>
  <c r="BN66" i="110"/>
  <c r="BO66" i="110" s="1"/>
  <c r="O66" i="110"/>
  <c r="BQ66" i="110"/>
  <c r="BR66" i="110" s="1"/>
  <c r="AK66" i="110"/>
  <c r="AL66" i="110" s="1"/>
  <c r="AT66" i="110"/>
  <c r="AN66" i="110"/>
  <c r="AO66" i="110" s="1"/>
  <c r="AB66" i="110"/>
  <c r="AC66" i="110" s="1"/>
  <c r="BG66" i="110"/>
  <c r="BH66" i="110" s="1"/>
  <c r="BD66" i="110"/>
  <c r="BE66" i="110" s="1"/>
  <c r="AE66" i="110"/>
  <c r="AF66" i="110" s="1"/>
  <c r="R66" i="110"/>
  <c r="T66" i="110" s="1"/>
  <c r="V66" i="110"/>
  <c r="W66" i="110" s="1"/>
  <c r="P66" i="110"/>
  <c r="AV66" i="110"/>
  <c r="AW66" i="110" s="1"/>
  <c r="BA66" i="110"/>
  <c r="BB66" i="110" s="1"/>
  <c r="Y66" i="110"/>
  <c r="Z66" i="110" s="1"/>
  <c r="AH66" i="110"/>
  <c r="AI66" i="110" s="1"/>
  <c r="AQ66" i="110"/>
  <c r="AR66" i="110" s="1"/>
  <c r="AY66" i="110"/>
  <c r="M66" i="115"/>
  <c r="BJ66" i="115"/>
  <c r="BL66" i="115" s="1"/>
  <c r="BN66" i="115"/>
  <c r="BO66" i="115" s="1"/>
  <c r="BK66" i="115"/>
  <c r="AK66" i="115"/>
  <c r="AL66" i="115" s="1"/>
  <c r="AT66" i="115"/>
  <c r="BQ66" i="115"/>
  <c r="BR66" i="115" s="1"/>
  <c r="AV66" i="115"/>
  <c r="AW66" i="115" s="1"/>
  <c r="BD66" i="115"/>
  <c r="BE66" i="115" s="1"/>
  <c r="O66" i="115"/>
  <c r="AE66" i="115"/>
  <c r="AF66" i="115" s="1"/>
  <c r="AH66" i="115"/>
  <c r="AI66" i="115" s="1"/>
  <c r="R66" i="115"/>
  <c r="T66" i="115" s="1"/>
  <c r="BA66" i="115"/>
  <c r="BB66" i="115" s="1"/>
  <c r="V66" i="115"/>
  <c r="W66" i="115" s="1"/>
  <c r="AY66" i="115"/>
  <c r="AB66" i="115"/>
  <c r="AC66" i="115" s="1"/>
  <c r="P66" i="115"/>
  <c r="AQ66" i="115"/>
  <c r="AR66" i="115" s="1"/>
  <c r="Y66" i="115"/>
  <c r="Z66" i="115" s="1"/>
  <c r="AN66" i="115"/>
  <c r="AO66" i="115" s="1"/>
  <c r="BG66" i="115"/>
  <c r="BH66" i="115" s="1"/>
  <c r="M65" i="118"/>
  <c r="K66" i="118"/>
  <c r="BN65" i="118"/>
  <c r="BO65" i="118" s="1"/>
  <c r="Y65" i="118"/>
  <c r="Z65" i="118" s="1"/>
  <c r="AV65" i="118"/>
  <c r="AW65" i="118" s="1"/>
  <c r="BA65" i="118"/>
  <c r="BB65" i="118" s="1"/>
  <c r="R65" i="118"/>
  <c r="T65" i="118" s="1"/>
  <c r="P65" i="118"/>
  <c r="AH65" i="118"/>
  <c r="AI65" i="118" s="1"/>
  <c r="AK65" i="118"/>
  <c r="AL65" i="118" s="1"/>
  <c r="AN65" i="118"/>
  <c r="AO65" i="118" s="1"/>
  <c r="AB65" i="118"/>
  <c r="AC65" i="118" s="1"/>
  <c r="AQ65" i="118"/>
  <c r="AR65" i="118" s="1"/>
  <c r="BG65" i="118"/>
  <c r="BH65" i="118" s="1"/>
  <c r="BD65" i="118"/>
  <c r="BE65" i="118" s="1"/>
  <c r="O65" i="118"/>
  <c r="BQ65" i="118"/>
  <c r="BR65" i="118" s="1"/>
  <c r="AT65" i="118"/>
  <c r="AE65" i="118"/>
  <c r="AF65" i="118" s="1"/>
  <c r="AY65" i="118"/>
  <c r="V65" i="118"/>
  <c r="W65" i="118" s="1"/>
  <c r="I72" i="64"/>
  <c r="BL64" i="66"/>
  <c r="BQ64" i="66"/>
  <c r="BR64" i="66" s="1"/>
  <c r="V64" i="66"/>
  <c r="W64" i="66" s="1"/>
  <c r="M64" i="66"/>
  <c r="AH64" i="66"/>
  <c r="AI64" i="66" s="1"/>
  <c r="AE64" i="66"/>
  <c r="AF64" i="66" s="1"/>
  <c r="Y64" i="66"/>
  <c r="Z64" i="66" s="1"/>
  <c r="AK64" i="66"/>
  <c r="AL64" i="66" s="1"/>
  <c r="BN64" i="66"/>
  <c r="BO64" i="66" s="1"/>
  <c r="AV64" i="66"/>
  <c r="AW64" i="66" s="1"/>
  <c r="AQ64" i="66"/>
  <c r="AR64" i="66" s="1"/>
  <c r="AN64" i="66"/>
  <c r="AO64" i="66" s="1"/>
  <c r="AY64" i="66"/>
  <c r="BD64" i="66"/>
  <c r="BE64" i="66" s="1"/>
  <c r="AB64" i="66"/>
  <c r="AC64" i="66" s="1"/>
  <c r="AT64" i="66"/>
  <c r="O64" i="66"/>
  <c r="P64" i="66"/>
  <c r="BA64" i="66"/>
  <c r="BB64" i="66" s="1"/>
  <c r="R64" i="66"/>
  <c r="T64" i="66" s="1"/>
  <c r="BG64" i="66"/>
  <c r="BH64" i="66" s="1"/>
  <c r="M67" i="135"/>
  <c r="AQ67" i="135"/>
  <c r="AR67" i="135" s="1"/>
  <c r="AK67" i="135"/>
  <c r="AL67" i="135" s="1"/>
  <c r="O67" i="135"/>
  <c r="AH67" i="135"/>
  <c r="AI67" i="135" s="1"/>
  <c r="AT67" i="135"/>
  <c r="AB67" i="135"/>
  <c r="AC67" i="135" s="1"/>
  <c r="R67" i="135"/>
  <c r="T67" i="135" s="1"/>
  <c r="BQ67" i="135"/>
  <c r="BR67" i="135" s="1"/>
  <c r="AV67" i="135"/>
  <c r="AW67" i="135" s="1"/>
  <c r="AE67" i="135"/>
  <c r="AF67" i="135" s="1"/>
  <c r="BD67" i="135"/>
  <c r="BE67" i="135" s="1"/>
  <c r="AY67" i="135"/>
  <c r="V67" i="135"/>
  <c r="W67" i="135" s="1"/>
  <c r="P67" i="135"/>
  <c r="Y67" i="135"/>
  <c r="Z67" i="135" s="1"/>
  <c r="BA67" i="135"/>
  <c r="BB67" i="135" s="1"/>
  <c r="BG67" i="135"/>
  <c r="BH67" i="135" s="1"/>
  <c r="AN67" i="135"/>
  <c r="AO67" i="135" s="1"/>
  <c r="BN67" i="135"/>
  <c r="BO67" i="135" s="1"/>
  <c r="BL67" i="135"/>
  <c r="I70" i="15"/>
  <c r="I73" i="105"/>
  <c r="I67" i="101"/>
  <c r="K66" i="101"/>
  <c r="AN64" i="120"/>
  <c r="AO64" i="120" s="1"/>
  <c r="AY64" i="120"/>
  <c r="AB64" i="120"/>
  <c r="AC64" i="120" s="1"/>
  <c r="R64" i="120"/>
  <c r="T64" i="120" s="1"/>
  <c r="BG64" i="120"/>
  <c r="BH64" i="120" s="1"/>
  <c r="Y64" i="120"/>
  <c r="Z64" i="120" s="1"/>
  <c r="BA64" i="120"/>
  <c r="BB64" i="120" s="1"/>
  <c r="BQ64" i="120"/>
  <c r="BR64" i="120" s="1"/>
  <c r="O64" i="120"/>
  <c r="AQ64" i="120"/>
  <c r="AR64" i="120" s="1"/>
  <c r="M64" i="120"/>
  <c r="AK64" i="120"/>
  <c r="AL64" i="120" s="1"/>
  <c r="AV64" i="120"/>
  <c r="AW64" i="120" s="1"/>
  <c r="AE64" i="120"/>
  <c r="AF64" i="120" s="1"/>
  <c r="AT64" i="120"/>
  <c r="BD64" i="120"/>
  <c r="BE64" i="120" s="1"/>
  <c r="K65" i="120"/>
  <c r="V64" i="120"/>
  <c r="W64" i="120" s="1"/>
  <c r="AH64" i="120"/>
  <c r="AI64" i="120" s="1"/>
  <c r="P64" i="120"/>
  <c r="BN64" i="120"/>
  <c r="BO64" i="120" s="1"/>
  <c r="I75" i="95"/>
  <c r="O67" i="64"/>
  <c r="V67" i="64"/>
  <c r="W67" i="64" s="1"/>
  <c r="P67" i="64"/>
  <c r="AK67" i="64"/>
  <c r="AL67" i="64" s="1"/>
  <c r="AE67" i="64"/>
  <c r="AF67" i="64" s="1"/>
  <c r="BG67" i="64"/>
  <c r="BH67" i="64" s="1"/>
  <c r="M67" i="64"/>
  <c r="BQ67" i="64"/>
  <c r="BR67" i="64" s="1"/>
  <c r="AV67" i="64"/>
  <c r="AW67" i="64" s="1"/>
  <c r="R67" i="64"/>
  <c r="T67" i="64" s="1"/>
  <c r="BD67" i="64"/>
  <c r="BE67" i="64" s="1"/>
  <c r="AH67" i="64"/>
  <c r="AI67" i="64" s="1"/>
  <c r="BA67" i="64"/>
  <c r="BB67" i="64" s="1"/>
  <c r="AN67" i="64"/>
  <c r="AO67" i="64" s="1"/>
  <c r="AB67" i="64"/>
  <c r="AC67" i="64" s="1"/>
  <c r="AY67" i="64"/>
  <c r="AT67" i="64"/>
  <c r="Y67" i="64"/>
  <c r="Z67" i="64" s="1"/>
  <c r="AQ67" i="64"/>
  <c r="AR67" i="64" s="1"/>
  <c r="BN67" i="64"/>
  <c r="BO67" i="64" s="1"/>
  <c r="BL67" i="64"/>
  <c r="K68" i="64"/>
  <c r="BK66" i="98"/>
  <c r="M66" i="98"/>
  <c r="BJ66" i="98"/>
  <c r="BL66" i="98" s="1"/>
  <c r="BN66" i="98"/>
  <c r="BO66" i="98" s="1"/>
  <c r="K67" i="98"/>
  <c r="AE66" i="98"/>
  <c r="AF66" i="98" s="1"/>
  <c r="BG66" i="98"/>
  <c r="BH66" i="98" s="1"/>
  <c r="BD66" i="98"/>
  <c r="BE66" i="98" s="1"/>
  <c r="BA66" i="98"/>
  <c r="BB66" i="98" s="1"/>
  <c r="AN66" i="98"/>
  <c r="AO66" i="98" s="1"/>
  <c r="AQ66" i="98"/>
  <c r="AR66" i="98" s="1"/>
  <c r="V66" i="98"/>
  <c r="W66" i="98" s="1"/>
  <c r="R66" i="98"/>
  <c r="T66" i="98" s="1"/>
  <c r="O66" i="98"/>
  <c r="AB66" i="98"/>
  <c r="AC66" i="98" s="1"/>
  <c r="AV66" i="98"/>
  <c r="AW66" i="98" s="1"/>
  <c r="AH66" i="98"/>
  <c r="AI66" i="98" s="1"/>
  <c r="AY66" i="98"/>
  <c r="BQ66" i="98"/>
  <c r="BR66" i="98" s="1"/>
  <c r="AT66" i="98"/>
  <c r="P66" i="98"/>
  <c r="AK66" i="98"/>
  <c r="AL66" i="98" s="1"/>
  <c r="Y66" i="98"/>
  <c r="Z66" i="98" s="1"/>
  <c r="BN68" i="136"/>
  <c r="BO68" i="136" s="1"/>
  <c r="M68" i="136"/>
  <c r="BL68" i="136"/>
  <c r="AE68" i="136"/>
  <c r="AF68" i="136" s="1"/>
  <c r="V68" i="136"/>
  <c r="W68" i="136" s="1"/>
  <c r="P68" i="136"/>
  <c r="AY68" i="136"/>
  <c r="AQ68" i="136"/>
  <c r="AR68" i="136" s="1"/>
  <c r="Y68" i="136"/>
  <c r="Z68" i="136" s="1"/>
  <c r="AH68" i="136"/>
  <c r="AI68" i="136" s="1"/>
  <c r="BG68" i="136"/>
  <c r="BH68" i="136" s="1"/>
  <c r="AB68" i="136"/>
  <c r="AC68" i="136" s="1"/>
  <c r="BA68" i="136"/>
  <c r="BB68" i="136" s="1"/>
  <c r="AN68" i="136"/>
  <c r="AO68" i="136" s="1"/>
  <c r="BQ68" i="136"/>
  <c r="BR68" i="136" s="1"/>
  <c r="AK68" i="136"/>
  <c r="AL68" i="136" s="1"/>
  <c r="BD68" i="136"/>
  <c r="BE68" i="136" s="1"/>
  <c r="AV68" i="136"/>
  <c r="AW68" i="136" s="1"/>
  <c r="R68" i="136"/>
  <c r="T68" i="136" s="1"/>
  <c r="O68" i="136"/>
  <c r="AT68" i="136"/>
  <c r="K69" i="136"/>
  <c r="M70" i="124"/>
  <c r="BJ70" i="124"/>
  <c r="BL70" i="124" s="1"/>
  <c r="BK70" i="124"/>
  <c r="BN70" i="124"/>
  <c r="BO70" i="124" s="1"/>
  <c r="K71" i="124"/>
  <c r="V70" i="124"/>
  <c r="W70" i="124" s="1"/>
  <c r="BD70" i="124"/>
  <c r="BE70" i="124" s="1"/>
  <c r="O70" i="124"/>
  <c r="AN70" i="124"/>
  <c r="AO70" i="124" s="1"/>
  <c r="R70" i="124"/>
  <c r="T70" i="124" s="1"/>
  <c r="P70" i="124"/>
  <c r="AH70" i="124"/>
  <c r="AI70" i="124" s="1"/>
  <c r="AY70" i="124"/>
  <c r="AB70" i="124"/>
  <c r="AC70" i="124" s="1"/>
  <c r="AE70" i="124"/>
  <c r="AF70" i="124" s="1"/>
  <c r="AV70" i="124"/>
  <c r="AW70" i="124" s="1"/>
  <c r="BQ70" i="124"/>
  <c r="BR70" i="124" s="1"/>
  <c r="AT70" i="124"/>
  <c r="AQ70" i="124"/>
  <c r="AR70" i="124" s="1"/>
  <c r="BG70" i="124"/>
  <c r="BH70" i="124" s="1"/>
  <c r="BA70" i="124"/>
  <c r="BB70" i="124" s="1"/>
  <c r="AK70" i="124"/>
  <c r="AL70" i="124" s="1"/>
  <c r="Y70" i="124"/>
  <c r="Z70" i="124" s="1"/>
  <c r="I68" i="110"/>
  <c r="K67" i="110"/>
  <c r="I68" i="115"/>
  <c r="K67" i="115"/>
  <c r="I68" i="96"/>
  <c r="K67" i="96"/>
  <c r="K65" i="66"/>
  <c r="I66" i="66"/>
  <c r="I69" i="135"/>
  <c r="K68" i="135"/>
  <c r="I73" i="132"/>
  <c r="BL64" i="17"/>
  <c r="BN64" i="17"/>
  <c r="BO64" i="17" s="1"/>
  <c r="M64" i="17"/>
  <c r="BG64" i="17"/>
  <c r="BH64" i="17" s="1"/>
  <c r="Y64" i="17"/>
  <c r="Z64" i="17" s="1"/>
  <c r="AB64" i="17"/>
  <c r="AC64" i="17" s="1"/>
  <c r="R64" i="17"/>
  <c r="T64" i="17" s="1"/>
  <c r="V64" i="17"/>
  <c r="W64" i="17" s="1"/>
  <c r="AQ64" i="17"/>
  <c r="AR64" i="17" s="1"/>
  <c r="AK64" i="17"/>
  <c r="AL64" i="17" s="1"/>
  <c r="AV64" i="17"/>
  <c r="AW64" i="17" s="1"/>
  <c r="BA64" i="17"/>
  <c r="BB64" i="17" s="1"/>
  <c r="P64" i="17"/>
  <c r="AE64" i="17"/>
  <c r="AF64" i="17" s="1"/>
  <c r="BQ64" i="17"/>
  <c r="BR64" i="17" s="1"/>
  <c r="AN64" i="17"/>
  <c r="AO64" i="17" s="1"/>
  <c r="AH64" i="17"/>
  <c r="AI64" i="17" s="1"/>
  <c r="AY64" i="17"/>
  <c r="BD64" i="17"/>
  <c r="BE64" i="17" s="1"/>
  <c r="AT64" i="17"/>
  <c r="O64" i="17"/>
  <c r="BK68" i="105"/>
  <c r="M68" i="105"/>
  <c r="BN68" i="105"/>
  <c r="BO68" i="105" s="1"/>
  <c r="BJ68" i="105"/>
  <c r="BL68" i="105" s="1"/>
  <c r="BA68" i="105"/>
  <c r="BB68" i="105" s="1"/>
  <c r="AV68" i="105"/>
  <c r="AW68" i="105" s="1"/>
  <c r="BG68" i="105"/>
  <c r="BH68" i="105" s="1"/>
  <c r="BD68" i="105"/>
  <c r="BE68" i="105" s="1"/>
  <c r="R68" i="105"/>
  <c r="T68" i="105" s="1"/>
  <c r="AB68" i="105"/>
  <c r="AC68" i="105" s="1"/>
  <c r="AH68" i="105"/>
  <c r="AI68" i="105" s="1"/>
  <c r="AQ68" i="105"/>
  <c r="AR68" i="105" s="1"/>
  <c r="Y68" i="105"/>
  <c r="Z68" i="105" s="1"/>
  <c r="AK68" i="105"/>
  <c r="AL68" i="105" s="1"/>
  <c r="O68" i="105"/>
  <c r="BQ68" i="105"/>
  <c r="BR68" i="105" s="1"/>
  <c r="AT68" i="105"/>
  <c r="AY68" i="105"/>
  <c r="V68" i="105"/>
  <c r="W68" i="105" s="1"/>
  <c r="AN68" i="105"/>
  <c r="AO68" i="105" s="1"/>
  <c r="AE68" i="105"/>
  <c r="AF68" i="105" s="1"/>
  <c r="P68" i="105"/>
  <c r="K69" i="105"/>
  <c r="M64" i="13"/>
  <c r="BN64" i="13"/>
  <c r="BO64" i="13" s="1"/>
  <c r="BL64" i="13"/>
  <c r="AK64" i="13"/>
  <c r="AL64" i="13" s="1"/>
  <c r="AT64" i="13"/>
  <c r="AB64" i="13"/>
  <c r="AC64" i="13" s="1"/>
  <c r="BG64" i="13"/>
  <c r="BH64" i="13" s="1"/>
  <c r="AE64" i="13"/>
  <c r="AF64" i="13" s="1"/>
  <c r="O64" i="13"/>
  <c r="R64" i="13"/>
  <c r="T64" i="13" s="1"/>
  <c r="AN64" i="13"/>
  <c r="AO64" i="13" s="1"/>
  <c r="AV64" i="13"/>
  <c r="AW64" i="13" s="1"/>
  <c r="V64" i="13"/>
  <c r="W64" i="13" s="1"/>
  <c r="Y64" i="13"/>
  <c r="Z64" i="13" s="1"/>
  <c r="BA64" i="13"/>
  <c r="BB64" i="13" s="1"/>
  <c r="AH64" i="13"/>
  <c r="AI64" i="13" s="1"/>
  <c r="AQ64" i="13"/>
  <c r="AR64" i="13" s="1"/>
  <c r="BD64" i="13"/>
  <c r="BE64" i="13" s="1"/>
  <c r="AY64" i="13"/>
  <c r="BQ64" i="13"/>
  <c r="BR64" i="13" s="1"/>
  <c r="P64" i="13"/>
  <c r="K65" i="13"/>
  <c r="I66" i="13"/>
  <c r="BQ66" i="96"/>
  <c r="BR66" i="96" s="1"/>
  <c r="BN66" i="96"/>
  <c r="BO66" i="96" s="1"/>
  <c r="V66" i="96"/>
  <c r="W66" i="96" s="1"/>
  <c r="O66" i="96"/>
  <c r="BD66" i="96"/>
  <c r="BE66" i="96" s="1"/>
  <c r="BG66" i="96"/>
  <c r="BH66" i="96" s="1"/>
  <c r="AH66" i="96"/>
  <c r="AI66" i="96" s="1"/>
  <c r="AB66" i="96"/>
  <c r="AC66" i="96" s="1"/>
  <c r="AN66" i="96"/>
  <c r="AO66" i="96" s="1"/>
  <c r="AQ66" i="96"/>
  <c r="AR66" i="96" s="1"/>
  <c r="BA66" i="96"/>
  <c r="BB66" i="96" s="1"/>
  <c r="AE66" i="96"/>
  <c r="AF66" i="96" s="1"/>
  <c r="BL66" i="96"/>
  <c r="R66" i="96"/>
  <c r="T66" i="96" s="1"/>
  <c r="AV66" i="96"/>
  <c r="AW66" i="96" s="1"/>
  <c r="AK66" i="96"/>
  <c r="AL66" i="96" s="1"/>
  <c r="M66" i="96"/>
  <c r="P66" i="96"/>
  <c r="AT66" i="96"/>
  <c r="Y66" i="96"/>
  <c r="Z66" i="96" s="1"/>
  <c r="BN65" i="15"/>
  <c r="BO65" i="15" s="1"/>
  <c r="BL65" i="15"/>
  <c r="M65" i="15"/>
  <c r="Y65" i="15"/>
  <c r="Z65" i="15" s="1"/>
  <c r="AT65" i="15"/>
  <c r="AB65" i="15"/>
  <c r="AC65" i="15" s="1"/>
  <c r="AN65" i="15"/>
  <c r="AO65" i="15" s="1"/>
  <c r="AK65" i="15"/>
  <c r="AL65" i="15" s="1"/>
  <c r="V65" i="15"/>
  <c r="W65" i="15" s="1"/>
  <c r="AQ65" i="15"/>
  <c r="AR65" i="15" s="1"/>
  <c r="BG65" i="15"/>
  <c r="BH65" i="15" s="1"/>
  <c r="BQ65" i="15"/>
  <c r="BR65" i="15" s="1"/>
  <c r="AE65" i="15"/>
  <c r="AF65" i="15" s="1"/>
  <c r="O65" i="15"/>
  <c r="BA65" i="15"/>
  <c r="BB65" i="15" s="1"/>
  <c r="BD65" i="15"/>
  <c r="BE65" i="15" s="1"/>
  <c r="AH65" i="15"/>
  <c r="AI65" i="15" s="1"/>
  <c r="R65" i="15"/>
  <c r="T65" i="15" s="1"/>
  <c r="AV65" i="15"/>
  <c r="AW65" i="15" s="1"/>
  <c r="AY65" i="15"/>
  <c r="P65" i="15"/>
  <c r="K66" i="15"/>
  <c r="M66" i="126"/>
  <c r="BK66" i="126"/>
  <c r="BJ66" i="126"/>
  <c r="BL66" i="126" s="1"/>
  <c r="BN66" i="126"/>
  <c r="BO66" i="126" s="1"/>
  <c r="AK66" i="126"/>
  <c r="AL66" i="126" s="1"/>
  <c r="V66" i="126"/>
  <c r="W66" i="126" s="1"/>
  <c r="BA66" i="126"/>
  <c r="BB66" i="126" s="1"/>
  <c r="AV66" i="126"/>
  <c r="AW66" i="126" s="1"/>
  <c r="AN66" i="126"/>
  <c r="AO66" i="126" s="1"/>
  <c r="Y66" i="126"/>
  <c r="Z66" i="126" s="1"/>
  <c r="BD66" i="126"/>
  <c r="BE66" i="126" s="1"/>
  <c r="P66" i="126"/>
  <c r="AE66" i="126"/>
  <c r="AF66" i="126" s="1"/>
  <c r="O66" i="126"/>
  <c r="AY66" i="126"/>
  <c r="R66" i="126"/>
  <c r="T66" i="126" s="1"/>
  <c r="AQ66" i="126"/>
  <c r="AR66" i="126" s="1"/>
  <c r="AH66" i="126"/>
  <c r="AI66" i="126" s="1"/>
  <c r="BG66" i="126"/>
  <c r="BH66" i="126" s="1"/>
  <c r="BQ66" i="126"/>
  <c r="BR66" i="126" s="1"/>
  <c r="AB66" i="126"/>
  <c r="AC66" i="126" s="1"/>
  <c r="AT66" i="126"/>
  <c r="K67" i="126"/>
  <c r="I66" i="17"/>
  <c r="K65" i="17"/>
  <c r="I81" i="133"/>
  <c r="I70" i="104"/>
  <c r="BN66" i="63"/>
  <c r="BO66" i="63" s="1"/>
  <c r="M66" i="63"/>
  <c r="AN66" i="63"/>
  <c r="AO66" i="63" s="1"/>
  <c r="BG66" i="63"/>
  <c r="BH66" i="63" s="1"/>
  <c r="AQ66" i="63"/>
  <c r="AR66" i="63" s="1"/>
  <c r="BQ66" i="63"/>
  <c r="BR66" i="63" s="1"/>
  <c r="AB66" i="63"/>
  <c r="AC66" i="63" s="1"/>
  <c r="AY66" i="63"/>
  <c r="BA66" i="63"/>
  <c r="BB66" i="63" s="1"/>
  <c r="R66" i="63"/>
  <c r="T66" i="63" s="1"/>
  <c r="V66" i="63"/>
  <c r="W66" i="63" s="1"/>
  <c r="AK66" i="63"/>
  <c r="AL66" i="63" s="1"/>
  <c r="BD66" i="63"/>
  <c r="BE66" i="63" s="1"/>
  <c r="AT66" i="63"/>
  <c r="P66" i="63"/>
  <c r="AE66" i="63"/>
  <c r="AF66" i="63" s="1"/>
  <c r="AH66" i="63"/>
  <c r="AI66" i="63" s="1"/>
  <c r="Y66" i="63"/>
  <c r="Z66" i="63" s="1"/>
  <c r="BL66" i="63"/>
  <c r="AV66" i="63"/>
  <c r="AW66" i="63" s="1"/>
  <c r="O66" i="63"/>
  <c r="K67" i="63"/>
  <c r="O36" i="112"/>
  <c r="V36" i="112" s="1"/>
  <c r="W36" i="112" s="1"/>
  <c r="P37" i="112"/>
  <c r="P38" i="112" s="1"/>
  <c r="P39" i="112" s="1"/>
  <c r="P40" i="112" s="1"/>
  <c r="P41" i="112" s="1"/>
  <c r="P42" i="112" s="1"/>
  <c r="P43" i="112" s="1"/>
  <c r="P44" i="112" s="1"/>
  <c r="P45" i="112" s="1"/>
  <c r="P46" i="112" s="1"/>
  <c r="P47" i="112" s="1"/>
  <c r="P48" i="112" s="1"/>
  <c r="P49" i="112" s="1"/>
  <c r="P50" i="112" s="1"/>
  <c r="P51" i="112" s="1"/>
  <c r="P52" i="112" s="1"/>
  <c r="P53" i="112" s="1"/>
  <c r="P54" i="112" s="1"/>
  <c r="BK70" i="107" l="1"/>
  <c r="P70" i="107"/>
  <c r="AH70" i="107"/>
  <c r="AI70" i="107" s="1"/>
  <c r="AQ70" i="107"/>
  <c r="AR70" i="107" s="1"/>
  <c r="BJ70" i="107"/>
  <c r="BL70" i="107" s="1"/>
  <c r="BG70" i="107"/>
  <c r="BH70" i="107" s="1"/>
  <c r="O70" i="107"/>
  <c r="AY70" i="107"/>
  <c r="AN70" i="107"/>
  <c r="AO70" i="107" s="1"/>
  <c r="AE70" i="107"/>
  <c r="AF70" i="107" s="1"/>
  <c r="BQ70" i="107"/>
  <c r="BR70" i="107" s="1"/>
  <c r="BD70" i="107"/>
  <c r="BE70" i="107" s="1"/>
  <c r="AB70" i="107"/>
  <c r="AC70" i="107" s="1"/>
  <c r="BN70" i="107"/>
  <c r="BO70" i="107" s="1"/>
  <c r="V70" i="107"/>
  <c r="W70" i="107" s="1"/>
  <c r="R70" i="107"/>
  <c r="T70" i="107" s="1"/>
  <c r="AK70" i="107"/>
  <c r="AL70" i="107" s="1"/>
  <c r="BA70" i="107"/>
  <c r="BB70" i="107" s="1"/>
  <c r="AT70" i="107"/>
  <c r="AV70" i="107"/>
  <c r="AW70" i="107" s="1"/>
  <c r="M70" i="107"/>
  <c r="Y70" i="107"/>
  <c r="Z70" i="107" s="1"/>
  <c r="M68" i="99"/>
  <c r="P68" i="99"/>
  <c r="AT68" i="99"/>
  <c r="BD68" i="99"/>
  <c r="BE68" i="99" s="1"/>
  <c r="K69" i="99"/>
  <c r="BK68" i="99"/>
  <c r="AB68" i="99"/>
  <c r="AC68" i="99" s="1"/>
  <c r="BA68" i="99"/>
  <c r="BB68" i="99" s="1"/>
  <c r="BG68" i="99"/>
  <c r="BH68" i="99" s="1"/>
  <c r="BJ68" i="99"/>
  <c r="BL68" i="99" s="1"/>
  <c r="AH68" i="99"/>
  <c r="AI68" i="99" s="1"/>
  <c r="AE68" i="99"/>
  <c r="AF68" i="99" s="1"/>
  <c r="R68" i="99"/>
  <c r="T68" i="99" s="1"/>
  <c r="O68" i="99"/>
  <c r="BQ68" i="99"/>
  <c r="BR68" i="99" s="1"/>
  <c r="AQ68" i="99"/>
  <c r="AR68" i="99" s="1"/>
  <c r="BN68" i="99"/>
  <c r="BO68" i="99" s="1"/>
  <c r="Y68" i="99"/>
  <c r="Z68" i="99" s="1"/>
  <c r="V68" i="99"/>
  <c r="W68" i="99" s="1"/>
  <c r="AK68" i="99"/>
  <c r="AL68" i="99" s="1"/>
  <c r="AY68" i="99"/>
  <c r="AV68" i="99"/>
  <c r="AW68" i="99" s="1"/>
  <c r="AN68" i="99"/>
  <c r="AO68" i="99" s="1"/>
  <c r="I72" i="107"/>
  <c r="K71" i="107"/>
  <c r="BQ68" i="132"/>
  <c r="BR68" i="132" s="1"/>
  <c r="V68" i="132"/>
  <c r="W68" i="132" s="1"/>
  <c r="BA68" i="132"/>
  <c r="BB68" i="132" s="1"/>
  <c r="AY68" i="132"/>
  <c r="AE68" i="132"/>
  <c r="AF68" i="132" s="1"/>
  <c r="BG68" i="132"/>
  <c r="BH68" i="132" s="1"/>
  <c r="R68" i="132"/>
  <c r="T68" i="132" s="1"/>
  <c r="AT68" i="132"/>
  <c r="BD68" i="132"/>
  <c r="BE68" i="132" s="1"/>
  <c r="AQ68" i="132"/>
  <c r="AR68" i="132" s="1"/>
  <c r="O68" i="132"/>
  <c r="Y68" i="132"/>
  <c r="Z68" i="132" s="1"/>
  <c r="BN68" i="132"/>
  <c r="BO68" i="132" s="1"/>
  <c r="BL68" i="132"/>
  <c r="AH68" i="132"/>
  <c r="AI68" i="132" s="1"/>
  <c r="AK68" i="132"/>
  <c r="AL68" i="132" s="1"/>
  <c r="AN68" i="132"/>
  <c r="AO68" i="132" s="1"/>
  <c r="K69" i="132"/>
  <c r="P68" i="132"/>
  <c r="AB68" i="132"/>
  <c r="AC68" i="132" s="1"/>
  <c r="AV68" i="132"/>
  <c r="AW68" i="132" s="1"/>
  <c r="M68" i="132"/>
  <c r="AV101" i="161"/>
  <c r="AW101" i="161" s="1"/>
  <c r="P101" i="161"/>
  <c r="BG101" i="161"/>
  <c r="BH101" i="161" s="1"/>
  <c r="BA101" i="161"/>
  <c r="BB101" i="161" s="1"/>
  <c r="AT101" i="161"/>
  <c r="AN101" i="161"/>
  <c r="AO101" i="161" s="1"/>
  <c r="AH101" i="161"/>
  <c r="AI101" i="161" s="1"/>
  <c r="AB101" i="161"/>
  <c r="AC101" i="161" s="1"/>
  <c r="V101" i="161"/>
  <c r="W101" i="161" s="1"/>
  <c r="O101" i="161"/>
  <c r="BR101" i="161"/>
  <c r="AY101" i="161"/>
  <c r="BD101" i="161"/>
  <c r="BE101" i="161" s="1"/>
  <c r="AE101" i="161"/>
  <c r="AF101" i="161" s="1"/>
  <c r="Y101" i="161"/>
  <c r="Z101" i="161" s="1"/>
  <c r="AQ101" i="161"/>
  <c r="AR101" i="161" s="1"/>
  <c r="R101" i="161"/>
  <c r="T101" i="161" s="1"/>
  <c r="AK101" i="161"/>
  <c r="AL101" i="161" s="1"/>
  <c r="BK101" i="161"/>
  <c r="BN101" i="161"/>
  <c r="BO101" i="161" s="1"/>
  <c r="BJ101" i="161"/>
  <c r="BL101" i="161" s="1"/>
  <c r="M101" i="161"/>
  <c r="K102" i="161"/>
  <c r="BQ102" i="161" s="1"/>
  <c r="I103" i="161"/>
  <c r="AC64" i="95"/>
  <c r="M66" i="106"/>
  <c r="AT66" i="106"/>
  <c r="BG66" i="106"/>
  <c r="BH66" i="106" s="1"/>
  <c r="AV66" i="106"/>
  <c r="AW66" i="106" s="1"/>
  <c r="BJ66" i="106"/>
  <c r="BL66" i="106" s="1"/>
  <c r="BD66" i="106"/>
  <c r="BE66" i="106" s="1"/>
  <c r="BQ66" i="106"/>
  <c r="BR66" i="106" s="1"/>
  <c r="AN66" i="106"/>
  <c r="AO66" i="106" s="1"/>
  <c r="BN66" i="106"/>
  <c r="BO66" i="106" s="1"/>
  <c r="P66" i="106"/>
  <c r="AK66" i="106"/>
  <c r="AL66" i="106" s="1"/>
  <c r="R66" i="106"/>
  <c r="T66" i="106" s="1"/>
  <c r="BK66" i="106"/>
  <c r="Y66" i="106"/>
  <c r="Z66" i="106" s="1"/>
  <c r="AB66" i="106"/>
  <c r="AC66" i="106" s="1"/>
  <c r="AY66" i="106"/>
  <c r="BA66" i="106"/>
  <c r="BB66" i="106" s="1"/>
  <c r="V66" i="106"/>
  <c r="W66" i="106" s="1"/>
  <c r="AH66" i="106"/>
  <c r="AI66" i="106" s="1"/>
  <c r="AQ66" i="106"/>
  <c r="AR66" i="106" s="1"/>
  <c r="O66" i="106"/>
  <c r="AE66" i="106"/>
  <c r="AF66" i="106" s="1"/>
  <c r="K67" i="106"/>
  <c r="O65" i="95"/>
  <c r="BA65" i="95"/>
  <c r="BB65" i="95" s="1"/>
  <c r="Y65" i="95"/>
  <c r="Z65" i="95" s="1"/>
  <c r="AE65" i="95"/>
  <c r="AF65" i="95" s="1"/>
  <c r="AT65" i="95"/>
  <c r="AH65" i="95"/>
  <c r="AI65" i="95" s="1"/>
  <c r="M65" i="95"/>
  <c r="P65" i="95"/>
  <c r="AV65" i="95"/>
  <c r="AW65" i="95" s="1"/>
  <c r="BQ65" i="95"/>
  <c r="BR65" i="95" s="1"/>
  <c r="BN65" i="95"/>
  <c r="BO65" i="95" s="1"/>
  <c r="R65" i="95"/>
  <c r="T65" i="95" s="1"/>
  <c r="AQ65" i="95"/>
  <c r="AR65" i="95" s="1"/>
  <c r="AK65" i="95"/>
  <c r="AL65" i="95" s="1"/>
  <c r="BL65" i="95"/>
  <c r="V65" i="95"/>
  <c r="W65" i="95" s="1"/>
  <c r="BD65" i="95"/>
  <c r="BE65" i="95" s="1"/>
  <c r="K66" i="95"/>
  <c r="BG65" i="95"/>
  <c r="BH65" i="95" s="1"/>
  <c r="AN65" i="95"/>
  <c r="AO65" i="95" s="1"/>
  <c r="AB65" i="95"/>
  <c r="AC65" i="95" s="1"/>
  <c r="K67" i="112"/>
  <c r="AN66" i="112"/>
  <c r="AO66" i="112" s="1"/>
  <c r="BQ66" i="112"/>
  <c r="BR66" i="112" s="1"/>
  <c r="Y66" i="112"/>
  <c r="Z66" i="112" s="1"/>
  <c r="AT66" i="112"/>
  <c r="BK66" i="112"/>
  <c r="AK66" i="112"/>
  <c r="AL66" i="112" s="1"/>
  <c r="BG66" i="112"/>
  <c r="BH66" i="112" s="1"/>
  <c r="AV66" i="112"/>
  <c r="AW66" i="112" s="1"/>
  <c r="BN66" i="112"/>
  <c r="BO66" i="112" s="1"/>
  <c r="BJ66" i="112"/>
  <c r="BL66" i="112" s="1"/>
  <c r="V66" i="112"/>
  <c r="W66" i="112" s="1"/>
  <c r="O66" i="112"/>
  <c r="BD66" i="112"/>
  <c r="BE66" i="112" s="1"/>
  <c r="AH66" i="112"/>
  <c r="AI66" i="112" s="1"/>
  <c r="AB66" i="112"/>
  <c r="AC66" i="112" s="1"/>
  <c r="AY66" i="112"/>
  <c r="M66" i="112"/>
  <c r="AQ66" i="112"/>
  <c r="AR66" i="112" s="1"/>
  <c r="AE66" i="112"/>
  <c r="AF66" i="112" s="1"/>
  <c r="BA66" i="112"/>
  <c r="BB66" i="112" s="1"/>
  <c r="P66" i="112"/>
  <c r="R66" i="112"/>
  <c r="T66" i="112" s="1"/>
  <c r="AN71" i="156"/>
  <c r="AO71" i="156" s="1"/>
  <c r="BN71" i="156"/>
  <c r="BO71" i="156" s="1"/>
  <c r="BD71" i="156"/>
  <c r="BE71" i="156" s="1"/>
  <c r="BA71" i="156"/>
  <c r="BB71" i="156" s="1"/>
  <c r="R71" i="156"/>
  <c r="T71" i="156" s="1"/>
  <c r="O71" i="156"/>
  <c r="BG71" i="156"/>
  <c r="BH71" i="156" s="1"/>
  <c r="Y71" i="156"/>
  <c r="Z71" i="156" s="1"/>
  <c r="BQ71" i="156"/>
  <c r="BR71" i="156" s="1"/>
  <c r="V71" i="156"/>
  <c r="W71" i="156" s="1"/>
  <c r="BL71" i="156"/>
  <c r="AE71" i="156"/>
  <c r="AF71" i="156" s="1"/>
  <c r="M71" i="156"/>
  <c r="AB71" i="156"/>
  <c r="AC71" i="156" s="1"/>
  <c r="P71" i="156"/>
  <c r="AK71" i="156"/>
  <c r="AL71" i="156" s="1"/>
  <c r="AH71" i="156"/>
  <c r="AI71" i="156" s="1"/>
  <c r="AV71" i="156"/>
  <c r="AW71" i="156" s="1"/>
  <c r="AQ71" i="156"/>
  <c r="AR71" i="156" s="1"/>
  <c r="I73" i="156"/>
  <c r="K72" i="156"/>
  <c r="AY72" i="156" s="1"/>
  <c r="AN67" i="129"/>
  <c r="AO67" i="129" s="1"/>
  <c r="BQ67" i="129"/>
  <c r="BR67" i="129" s="1"/>
  <c r="P67" i="129"/>
  <c r="M67" i="129"/>
  <c r="AT67" i="129"/>
  <c r="V67" i="129"/>
  <c r="W67" i="129" s="1"/>
  <c r="BD67" i="129"/>
  <c r="BE67" i="129" s="1"/>
  <c r="BN67" i="129"/>
  <c r="BO67" i="129" s="1"/>
  <c r="R67" i="129"/>
  <c r="T67" i="129" s="1"/>
  <c r="O67" i="129"/>
  <c r="AH67" i="129"/>
  <c r="AI67" i="129" s="1"/>
  <c r="K68" i="129"/>
  <c r="AB67" i="129"/>
  <c r="AC67" i="129" s="1"/>
  <c r="Y67" i="129"/>
  <c r="Z67" i="129" s="1"/>
  <c r="AV67" i="129"/>
  <c r="AW67" i="129" s="1"/>
  <c r="BG67" i="129"/>
  <c r="BH67" i="129" s="1"/>
  <c r="BA67" i="129"/>
  <c r="BB67" i="129" s="1"/>
  <c r="AQ67" i="129"/>
  <c r="AR67" i="129" s="1"/>
  <c r="BL67" i="129"/>
  <c r="AE67" i="129"/>
  <c r="AF67" i="129" s="1"/>
  <c r="AY67" i="129"/>
  <c r="AK67" i="129"/>
  <c r="AL67" i="129" s="1"/>
  <c r="I73" i="106"/>
  <c r="BN66" i="104"/>
  <c r="BO66" i="104" s="1"/>
  <c r="AY66" i="104"/>
  <c r="BA66" i="104"/>
  <c r="BB66" i="104" s="1"/>
  <c r="AK66" i="104"/>
  <c r="AL66" i="104" s="1"/>
  <c r="BJ66" i="104"/>
  <c r="BL66" i="104" s="1"/>
  <c r="Y66" i="104"/>
  <c r="Z66" i="104" s="1"/>
  <c r="P66" i="104"/>
  <c r="AV66" i="104"/>
  <c r="AW66" i="104" s="1"/>
  <c r="M66" i="104"/>
  <c r="BD66" i="104"/>
  <c r="BE66" i="104" s="1"/>
  <c r="O66" i="104"/>
  <c r="AH66" i="104"/>
  <c r="AI66" i="104" s="1"/>
  <c r="BK66" i="104"/>
  <c r="AQ66" i="104"/>
  <c r="AR66" i="104" s="1"/>
  <c r="V66" i="104"/>
  <c r="W66" i="104" s="1"/>
  <c r="BQ66" i="104"/>
  <c r="BR66" i="104" s="1"/>
  <c r="AN66" i="104"/>
  <c r="AO66" i="104" s="1"/>
  <c r="R66" i="104"/>
  <c r="T66" i="104" s="1"/>
  <c r="BG66" i="104"/>
  <c r="BH66" i="104" s="1"/>
  <c r="AE66" i="104"/>
  <c r="AF66" i="104" s="1"/>
  <c r="AT66" i="104"/>
  <c r="AB66" i="104"/>
  <c r="AC66" i="104" s="1"/>
  <c r="K67" i="104"/>
  <c r="BL69" i="133"/>
  <c r="V69" i="133"/>
  <c r="W69" i="133" s="1"/>
  <c r="AT69" i="133"/>
  <c r="O69" i="133"/>
  <c r="AQ69" i="133"/>
  <c r="AR69" i="133" s="1"/>
  <c r="AV69" i="133"/>
  <c r="AW69" i="133" s="1"/>
  <c r="AK69" i="133"/>
  <c r="AL69" i="133" s="1"/>
  <c r="BG69" i="133"/>
  <c r="BH69" i="133" s="1"/>
  <c r="AE69" i="133"/>
  <c r="AF69" i="133" s="1"/>
  <c r="R69" i="133"/>
  <c r="T69" i="133" s="1"/>
  <c r="K70" i="133"/>
  <c r="P69" i="133"/>
  <c r="AB69" i="133"/>
  <c r="AC69" i="133" s="1"/>
  <c r="BD69" i="133"/>
  <c r="BE69" i="133" s="1"/>
  <c r="BQ69" i="133"/>
  <c r="BR69" i="133" s="1"/>
  <c r="M69" i="133"/>
  <c r="AH69" i="133"/>
  <c r="AI69" i="133" s="1"/>
  <c r="Y69" i="133"/>
  <c r="Z69" i="133" s="1"/>
  <c r="BN69" i="133"/>
  <c r="BO69" i="133" s="1"/>
  <c r="AY69" i="133"/>
  <c r="BA69" i="133"/>
  <c r="BB69" i="133" s="1"/>
  <c r="AN69" i="133"/>
  <c r="AO69" i="133" s="1"/>
  <c r="K68" i="130"/>
  <c r="M67" i="130"/>
  <c r="BN67" i="130"/>
  <c r="BO67" i="130" s="1"/>
  <c r="BL67" i="130"/>
  <c r="AY67" i="130"/>
  <c r="BG67" i="130"/>
  <c r="BH67" i="130" s="1"/>
  <c r="AE67" i="130"/>
  <c r="AF67" i="130" s="1"/>
  <c r="R67" i="130"/>
  <c r="T67" i="130" s="1"/>
  <c r="AQ67" i="130"/>
  <c r="AR67" i="130" s="1"/>
  <c r="Y67" i="130"/>
  <c r="Z67" i="130" s="1"/>
  <c r="BA67" i="130"/>
  <c r="BB67" i="130" s="1"/>
  <c r="BD67" i="130"/>
  <c r="BE67" i="130" s="1"/>
  <c r="AT67" i="130"/>
  <c r="V67" i="130"/>
  <c r="W67" i="130" s="1"/>
  <c r="AB67" i="130"/>
  <c r="AC67" i="130" s="1"/>
  <c r="AV67" i="130"/>
  <c r="AW67" i="130" s="1"/>
  <c r="O67" i="130"/>
  <c r="BQ67" i="130"/>
  <c r="BR67" i="130" s="1"/>
  <c r="P67" i="130"/>
  <c r="AK67" i="130"/>
  <c r="AL67" i="130" s="1"/>
  <c r="AH67" i="130"/>
  <c r="AI67" i="130" s="1"/>
  <c r="AN67" i="130"/>
  <c r="AO67" i="130" s="1"/>
  <c r="BD19" i="151"/>
  <c r="BE19" i="151" s="1"/>
  <c r="AV19" i="151"/>
  <c r="AW19" i="151" s="1"/>
  <c r="P72" i="155"/>
  <c r="AV72" i="155"/>
  <c r="AW72" i="155" s="1"/>
  <c r="BN72" i="155"/>
  <c r="BO72" i="155" s="1"/>
  <c r="R72" i="155"/>
  <c r="T72" i="155" s="1"/>
  <c r="Y72" i="155"/>
  <c r="Z72" i="155" s="1"/>
  <c r="AE72" i="155"/>
  <c r="AF72" i="155" s="1"/>
  <c r="AK72" i="155"/>
  <c r="AL72" i="155" s="1"/>
  <c r="AQ72" i="155"/>
  <c r="AR72" i="155" s="1"/>
  <c r="BD72" i="155"/>
  <c r="BE72" i="155" s="1"/>
  <c r="V72" i="155"/>
  <c r="W72" i="155" s="1"/>
  <c r="AH72" i="155"/>
  <c r="AI72" i="155" s="1"/>
  <c r="BG72" i="155"/>
  <c r="BH72" i="155" s="1"/>
  <c r="BQ72" i="155"/>
  <c r="BR72" i="155" s="1"/>
  <c r="M72" i="155"/>
  <c r="O72" i="155"/>
  <c r="AB72" i="155"/>
  <c r="AC72" i="155" s="1"/>
  <c r="AN72" i="155"/>
  <c r="AO72" i="155" s="1"/>
  <c r="BA72" i="155"/>
  <c r="BB72" i="155" s="1"/>
  <c r="BL72" i="155"/>
  <c r="K73" i="155"/>
  <c r="I74" i="155"/>
  <c r="BD18" i="149"/>
  <c r="BE18" i="149" s="1"/>
  <c r="AV18" i="149"/>
  <c r="AW18" i="149" s="1"/>
  <c r="AT20" i="151"/>
  <c r="I77" i="153"/>
  <c r="P72" i="153"/>
  <c r="AV72" i="153"/>
  <c r="AW72" i="153" s="1"/>
  <c r="BN72" i="153"/>
  <c r="BO72" i="153" s="1"/>
  <c r="R72" i="153"/>
  <c r="T72" i="153" s="1"/>
  <c r="Y72" i="153"/>
  <c r="Z72" i="153" s="1"/>
  <c r="AE72" i="153"/>
  <c r="AF72" i="153" s="1"/>
  <c r="AK72" i="153"/>
  <c r="AL72" i="153" s="1"/>
  <c r="AQ72" i="153"/>
  <c r="AR72" i="153" s="1"/>
  <c r="BD72" i="153"/>
  <c r="BE72" i="153" s="1"/>
  <c r="O72" i="153"/>
  <c r="AB72" i="153"/>
  <c r="AC72" i="153" s="1"/>
  <c r="AN72" i="153"/>
  <c r="AO72" i="153" s="1"/>
  <c r="BA72" i="153"/>
  <c r="BB72" i="153" s="1"/>
  <c r="BL72" i="153"/>
  <c r="V72" i="153"/>
  <c r="W72" i="153" s="1"/>
  <c r="AH72" i="153"/>
  <c r="AI72" i="153" s="1"/>
  <c r="BG72" i="153"/>
  <c r="BH72" i="153" s="1"/>
  <c r="BQ72" i="153"/>
  <c r="BR72" i="153" s="1"/>
  <c r="M72" i="153"/>
  <c r="K73" i="153"/>
  <c r="I81" i="152"/>
  <c r="P72" i="152"/>
  <c r="AV72" i="152"/>
  <c r="AW72" i="152" s="1"/>
  <c r="BN72" i="152"/>
  <c r="BO72" i="152" s="1"/>
  <c r="R72" i="152"/>
  <c r="T72" i="152" s="1"/>
  <c r="Y72" i="152"/>
  <c r="Z72" i="152" s="1"/>
  <c r="AE72" i="152"/>
  <c r="AF72" i="152" s="1"/>
  <c r="AK72" i="152"/>
  <c r="AL72" i="152" s="1"/>
  <c r="AQ72" i="152"/>
  <c r="AR72" i="152" s="1"/>
  <c r="BD72" i="152"/>
  <c r="BE72" i="152" s="1"/>
  <c r="M72" i="152"/>
  <c r="BQ72" i="152"/>
  <c r="BR72" i="152" s="1"/>
  <c r="O72" i="152"/>
  <c r="AN72" i="152"/>
  <c r="AO72" i="152" s="1"/>
  <c r="V72" i="152"/>
  <c r="W72" i="152" s="1"/>
  <c r="AH72" i="152"/>
  <c r="AI72" i="152" s="1"/>
  <c r="BA72" i="152"/>
  <c r="BB72" i="152" s="1"/>
  <c r="BL72" i="152"/>
  <c r="BG72" i="152"/>
  <c r="BH72" i="152" s="1"/>
  <c r="AB72" i="152"/>
  <c r="AC72" i="152" s="1"/>
  <c r="K73" i="152"/>
  <c r="BQ70" i="151"/>
  <c r="BR70" i="151" s="1"/>
  <c r="AY70" i="151"/>
  <c r="AV70" i="151"/>
  <c r="AW70" i="151" s="1"/>
  <c r="BD70" i="151"/>
  <c r="BE70" i="151" s="1"/>
  <c r="AQ70" i="151"/>
  <c r="AR70" i="151" s="1"/>
  <c r="AH70" i="151"/>
  <c r="AI70" i="151" s="1"/>
  <c r="AB70" i="151"/>
  <c r="AC70" i="151" s="1"/>
  <c r="V70" i="151"/>
  <c r="W70" i="151" s="1"/>
  <c r="O70" i="151"/>
  <c r="AK70" i="151"/>
  <c r="AL70" i="151" s="1"/>
  <c r="AE70" i="151"/>
  <c r="AF70" i="151" s="1"/>
  <c r="Y70" i="151"/>
  <c r="Z70" i="151" s="1"/>
  <c r="R70" i="151"/>
  <c r="T70" i="151" s="1"/>
  <c r="BA70" i="151"/>
  <c r="BB70" i="151" s="1"/>
  <c r="AT70" i="151"/>
  <c r="P70" i="151"/>
  <c r="AN70" i="151"/>
  <c r="AO70" i="151" s="1"/>
  <c r="BG70" i="151"/>
  <c r="BH70" i="151" s="1"/>
  <c r="M70" i="151"/>
  <c r="BN70" i="151"/>
  <c r="BO70" i="151" s="1"/>
  <c r="BL70" i="151"/>
  <c r="I72" i="151"/>
  <c r="K71" i="151"/>
  <c r="BQ69" i="150"/>
  <c r="BR69" i="150" s="1"/>
  <c r="BD69" i="150"/>
  <c r="BE69" i="150" s="1"/>
  <c r="AQ69" i="150"/>
  <c r="AR69" i="150" s="1"/>
  <c r="AK69" i="150"/>
  <c r="AL69" i="150" s="1"/>
  <c r="AE69" i="150"/>
  <c r="AF69" i="150" s="1"/>
  <c r="Y69" i="150"/>
  <c r="Z69" i="150" s="1"/>
  <c r="R69" i="150"/>
  <c r="T69" i="150" s="1"/>
  <c r="AV69" i="150"/>
  <c r="AW69" i="150" s="1"/>
  <c r="P69" i="150"/>
  <c r="BA69" i="150"/>
  <c r="BB69" i="150" s="1"/>
  <c r="AN69" i="150"/>
  <c r="AO69" i="150" s="1"/>
  <c r="AB69" i="150"/>
  <c r="AC69" i="150" s="1"/>
  <c r="O69" i="150"/>
  <c r="AY69" i="150"/>
  <c r="BG69" i="150"/>
  <c r="BH69" i="150" s="1"/>
  <c r="AT69" i="150"/>
  <c r="AH69" i="150"/>
  <c r="AI69" i="150" s="1"/>
  <c r="V69" i="150"/>
  <c r="W69" i="150" s="1"/>
  <c r="M69" i="150"/>
  <c r="BN69" i="150"/>
  <c r="BO69" i="150" s="1"/>
  <c r="BL69" i="150"/>
  <c r="K70" i="150"/>
  <c r="I73" i="150"/>
  <c r="AV71" i="149"/>
  <c r="AW71" i="149" s="1"/>
  <c r="P71" i="149"/>
  <c r="BG71" i="149"/>
  <c r="BH71" i="149" s="1"/>
  <c r="BA71" i="149"/>
  <c r="BB71" i="149" s="1"/>
  <c r="AN71" i="149"/>
  <c r="AO71" i="149" s="1"/>
  <c r="AH71" i="149"/>
  <c r="AI71" i="149" s="1"/>
  <c r="AB71" i="149"/>
  <c r="AC71" i="149" s="1"/>
  <c r="V71" i="149"/>
  <c r="W71" i="149" s="1"/>
  <c r="O71" i="149"/>
  <c r="AY71" i="149"/>
  <c r="BQ71" i="149"/>
  <c r="BR71" i="149" s="1"/>
  <c r="BD71" i="149"/>
  <c r="BE71" i="149" s="1"/>
  <c r="AE71" i="149"/>
  <c r="AF71" i="149" s="1"/>
  <c r="Y71" i="149"/>
  <c r="Z71" i="149" s="1"/>
  <c r="AQ71" i="149"/>
  <c r="AR71" i="149" s="1"/>
  <c r="R71" i="149"/>
  <c r="T71" i="149" s="1"/>
  <c r="AK71" i="149"/>
  <c r="AL71" i="149" s="1"/>
  <c r="BN71" i="149"/>
  <c r="BO71" i="149" s="1"/>
  <c r="M71" i="149"/>
  <c r="BL71" i="149"/>
  <c r="I73" i="149"/>
  <c r="K72" i="149"/>
  <c r="AT72" i="149" s="1"/>
  <c r="BG70" i="147"/>
  <c r="BH70" i="147" s="1"/>
  <c r="BA70" i="147"/>
  <c r="BB70" i="147" s="1"/>
  <c r="AT70" i="147"/>
  <c r="AN70" i="147"/>
  <c r="AO70" i="147" s="1"/>
  <c r="AH70" i="147"/>
  <c r="AI70" i="147" s="1"/>
  <c r="AB70" i="147"/>
  <c r="AC70" i="147" s="1"/>
  <c r="V70" i="147"/>
  <c r="W70" i="147" s="1"/>
  <c r="O70" i="147"/>
  <c r="BD70" i="147"/>
  <c r="BE70" i="147" s="1"/>
  <c r="AQ70" i="147"/>
  <c r="AR70" i="147" s="1"/>
  <c r="AK70" i="147"/>
  <c r="AL70" i="147" s="1"/>
  <c r="AE70" i="147"/>
  <c r="AF70" i="147" s="1"/>
  <c r="Y70" i="147"/>
  <c r="Z70" i="147" s="1"/>
  <c r="R70" i="147"/>
  <c r="T70" i="147" s="1"/>
  <c r="P70" i="147"/>
  <c r="AY70" i="147"/>
  <c r="AV70" i="147"/>
  <c r="AW70" i="147" s="1"/>
  <c r="BQ70" i="147"/>
  <c r="BR70" i="147" s="1"/>
  <c r="M70" i="147"/>
  <c r="BJ70" i="147"/>
  <c r="BL70" i="147" s="1"/>
  <c r="BN70" i="147"/>
  <c r="BO70" i="147" s="1"/>
  <c r="BK70" i="147"/>
  <c r="K71" i="147"/>
  <c r="I72" i="147"/>
  <c r="BG69" i="146"/>
  <c r="BH69" i="146" s="1"/>
  <c r="BA69" i="146"/>
  <c r="BB69" i="146" s="1"/>
  <c r="AT69" i="146"/>
  <c r="AN69" i="146"/>
  <c r="AO69" i="146" s="1"/>
  <c r="AH69" i="146"/>
  <c r="AI69" i="146" s="1"/>
  <c r="AB69" i="146"/>
  <c r="AC69" i="146" s="1"/>
  <c r="V69" i="146"/>
  <c r="W69" i="146" s="1"/>
  <c r="O69" i="146"/>
  <c r="BQ69" i="146"/>
  <c r="BR69" i="146" s="1"/>
  <c r="AY69" i="146"/>
  <c r="BD69" i="146"/>
  <c r="BE69" i="146" s="1"/>
  <c r="AQ69" i="146"/>
  <c r="AR69" i="146" s="1"/>
  <c r="AK69" i="146"/>
  <c r="AL69" i="146" s="1"/>
  <c r="AE69" i="146"/>
  <c r="AF69" i="146" s="1"/>
  <c r="Y69" i="146"/>
  <c r="Z69" i="146" s="1"/>
  <c r="R69" i="146"/>
  <c r="T69" i="146" s="1"/>
  <c r="P69" i="146"/>
  <c r="AV69" i="146"/>
  <c r="AW69" i="146" s="1"/>
  <c r="BK69" i="146"/>
  <c r="BN69" i="146"/>
  <c r="BO69" i="146" s="1"/>
  <c r="BJ69" i="146"/>
  <c r="BL69" i="146" s="1"/>
  <c r="M69" i="146"/>
  <c r="K70" i="146"/>
  <c r="I71" i="146"/>
  <c r="I67" i="17"/>
  <c r="K66" i="17"/>
  <c r="BN66" i="15"/>
  <c r="BO66" i="15" s="1"/>
  <c r="M66" i="15"/>
  <c r="R66" i="15"/>
  <c r="T66" i="15" s="1"/>
  <c r="AH66" i="15"/>
  <c r="AI66" i="15" s="1"/>
  <c r="BG66" i="15"/>
  <c r="BH66" i="15" s="1"/>
  <c r="Y66" i="15"/>
  <c r="Z66" i="15" s="1"/>
  <c r="P66" i="15"/>
  <c r="AY66" i="15"/>
  <c r="AV66" i="15"/>
  <c r="AW66" i="15" s="1"/>
  <c r="V66" i="15"/>
  <c r="W66" i="15" s="1"/>
  <c r="BD66" i="15"/>
  <c r="BE66" i="15" s="1"/>
  <c r="AB66" i="15"/>
  <c r="AC66" i="15" s="1"/>
  <c r="AN66" i="15"/>
  <c r="AO66" i="15" s="1"/>
  <c r="BA66" i="15"/>
  <c r="BB66" i="15" s="1"/>
  <c r="O66" i="15"/>
  <c r="BL66" i="15"/>
  <c r="AE66" i="15"/>
  <c r="AF66" i="15" s="1"/>
  <c r="AQ66" i="15"/>
  <c r="AR66" i="15" s="1"/>
  <c r="BQ66" i="15"/>
  <c r="BR66" i="15" s="1"/>
  <c r="AT66" i="15"/>
  <c r="AK66" i="15"/>
  <c r="AL66" i="15" s="1"/>
  <c r="K67" i="15"/>
  <c r="BN69" i="105"/>
  <c r="BO69" i="105" s="1"/>
  <c r="BJ69" i="105"/>
  <c r="BL69" i="105" s="1"/>
  <c r="M69" i="105"/>
  <c r="BK69" i="105"/>
  <c r="Y69" i="105"/>
  <c r="Z69" i="105" s="1"/>
  <c r="BG69" i="105"/>
  <c r="BH69" i="105" s="1"/>
  <c r="AV69" i="105"/>
  <c r="AW69" i="105" s="1"/>
  <c r="AH69" i="105"/>
  <c r="AI69" i="105" s="1"/>
  <c r="AK69" i="105"/>
  <c r="AL69" i="105" s="1"/>
  <c r="AE69" i="105"/>
  <c r="AF69" i="105" s="1"/>
  <c r="BQ69" i="105"/>
  <c r="BR69" i="105" s="1"/>
  <c r="AY69" i="105"/>
  <c r="O69" i="105"/>
  <c r="BA69" i="105"/>
  <c r="BB69" i="105" s="1"/>
  <c r="AB69" i="105"/>
  <c r="AC69" i="105" s="1"/>
  <c r="AT69" i="105"/>
  <c r="P69" i="105"/>
  <c r="AN69" i="105"/>
  <c r="AO69" i="105" s="1"/>
  <c r="AQ69" i="105"/>
  <c r="AR69" i="105" s="1"/>
  <c r="BD69" i="105"/>
  <c r="BE69" i="105" s="1"/>
  <c r="V69" i="105"/>
  <c r="W69" i="105" s="1"/>
  <c r="R69" i="105"/>
  <c r="T69" i="105" s="1"/>
  <c r="K70" i="105"/>
  <c r="M68" i="135"/>
  <c r="V68" i="135"/>
  <c r="W68" i="135" s="1"/>
  <c r="P68" i="135"/>
  <c r="AE68" i="135"/>
  <c r="AF68" i="135" s="1"/>
  <c r="O68" i="135"/>
  <c r="BG68" i="135"/>
  <c r="BH68" i="135" s="1"/>
  <c r="AB68" i="135"/>
  <c r="AC68" i="135" s="1"/>
  <c r="BA68" i="135"/>
  <c r="BB68" i="135" s="1"/>
  <c r="AK68" i="135"/>
  <c r="AL68" i="135" s="1"/>
  <c r="AQ68" i="135"/>
  <c r="AR68" i="135" s="1"/>
  <c r="BQ68" i="135"/>
  <c r="BR68" i="135" s="1"/>
  <c r="Y68" i="135"/>
  <c r="Z68" i="135" s="1"/>
  <c r="R68" i="135"/>
  <c r="T68" i="135" s="1"/>
  <c r="AN68" i="135"/>
  <c r="AO68" i="135" s="1"/>
  <c r="AT68" i="135"/>
  <c r="AV68" i="135"/>
  <c r="AW68" i="135" s="1"/>
  <c r="AY68" i="135"/>
  <c r="BN68" i="135"/>
  <c r="BO68" i="135" s="1"/>
  <c r="AH68" i="135"/>
  <c r="AI68" i="135" s="1"/>
  <c r="BD68" i="135"/>
  <c r="BE68" i="135" s="1"/>
  <c r="BL68" i="135"/>
  <c r="BA67" i="96"/>
  <c r="BB67" i="96" s="1"/>
  <c r="AH67" i="96"/>
  <c r="AI67" i="96" s="1"/>
  <c r="AQ67" i="96"/>
  <c r="AR67" i="96" s="1"/>
  <c r="BD67" i="96"/>
  <c r="BE67" i="96" s="1"/>
  <c r="Y67" i="96"/>
  <c r="Z67" i="96" s="1"/>
  <c r="AB67" i="96"/>
  <c r="AC67" i="96" s="1"/>
  <c r="V67" i="96"/>
  <c r="W67" i="96" s="1"/>
  <c r="AT67" i="96"/>
  <c r="P67" i="96"/>
  <c r="AE67" i="96"/>
  <c r="AF67" i="96" s="1"/>
  <c r="BG67" i="96"/>
  <c r="BH67" i="96" s="1"/>
  <c r="BN67" i="96"/>
  <c r="BO67" i="96" s="1"/>
  <c r="AV67" i="96"/>
  <c r="AW67" i="96" s="1"/>
  <c r="O67" i="96"/>
  <c r="BQ67" i="96"/>
  <c r="BR67" i="96" s="1"/>
  <c r="M67" i="96"/>
  <c r="AK67" i="96"/>
  <c r="AL67" i="96" s="1"/>
  <c r="R67" i="96"/>
  <c r="T67" i="96" s="1"/>
  <c r="AN67" i="96"/>
  <c r="AO67" i="96" s="1"/>
  <c r="BL67" i="96"/>
  <c r="M67" i="110"/>
  <c r="BJ67" i="110"/>
  <c r="BL67" i="110" s="1"/>
  <c r="BN67" i="110"/>
  <c r="BO67" i="110" s="1"/>
  <c r="BK67" i="110"/>
  <c r="V67" i="110"/>
  <c r="W67" i="110" s="1"/>
  <c r="O67" i="110"/>
  <c r="P67" i="110"/>
  <c r="BQ67" i="110"/>
  <c r="BR67" i="110" s="1"/>
  <c r="AK67" i="110"/>
  <c r="AL67" i="110" s="1"/>
  <c r="Y67" i="110"/>
  <c r="Z67" i="110" s="1"/>
  <c r="AQ67" i="110"/>
  <c r="AR67" i="110" s="1"/>
  <c r="AH67" i="110"/>
  <c r="AI67" i="110" s="1"/>
  <c r="AB67" i="110"/>
  <c r="AC67" i="110" s="1"/>
  <c r="BD67" i="110"/>
  <c r="BE67" i="110" s="1"/>
  <c r="BG67" i="110"/>
  <c r="BH67" i="110" s="1"/>
  <c r="AV67" i="110"/>
  <c r="AW67" i="110" s="1"/>
  <c r="R67" i="110"/>
  <c r="T67" i="110" s="1"/>
  <c r="AN67" i="110"/>
  <c r="AO67" i="110" s="1"/>
  <c r="AT67" i="110"/>
  <c r="AY67" i="110"/>
  <c r="BA67" i="110"/>
  <c r="BB67" i="110" s="1"/>
  <c r="AE67" i="110"/>
  <c r="AF67" i="110" s="1"/>
  <c r="BK71" i="124"/>
  <c r="M71" i="124"/>
  <c r="K72" i="124"/>
  <c r="BN71" i="124"/>
  <c r="BO71" i="124" s="1"/>
  <c r="BJ71" i="124"/>
  <c r="BL71" i="124" s="1"/>
  <c r="Y71" i="124"/>
  <c r="Z71" i="124" s="1"/>
  <c r="AH71" i="124"/>
  <c r="AI71" i="124" s="1"/>
  <c r="BQ71" i="124"/>
  <c r="BR71" i="124" s="1"/>
  <c r="BA71" i="124"/>
  <c r="BB71" i="124" s="1"/>
  <c r="AV71" i="124"/>
  <c r="AW71" i="124" s="1"/>
  <c r="R71" i="124"/>
  <c r="T71" i="124" s="1"/>
  <c r="AE71" i="124"/>
  <c r="AF71" i="124" s="1"/>
  <c r="AT71" i="124"/>
  <c r="P71" i="124"/>
  <c r="AN71" i="124"/>
  <c r="AO71" i="124" s="1"/>
  <c r="O71" i="124"/>
  <c r="BG71" i="124"/>
  <c r="BH71" i="124" s="1"/>
  <c r="AQ71" i="124"/>
  <c r="AR71" i="124" s="1"/>
  <c r="V71" i="124"/>
  <c r="W71" i="124" s="1"/>
  <c r="AK71" i="124"/>
  <c r="AL71" i="124" s="1"/>
  <c r="AY71" i="124"/>
  <c r="AB71" i="124"/>
  <c r="AC71" i="124" s="1"/>
  <c r="BD71" i="124"/>
  <c r="BE71" i="124" s="1"/>
  <c r="AE68" i="64"/>
  <c r="AF68" i="64" s="1"/>
  <c r="AY68" i="64"/>
  <c r="AB68" i="64"/>
  <c r="AC68" i="64" s="1"/>
  <c r="P68" i="64"/>
  <c r="AN68" i="64"/>
  <c r="AO68" i="64" s="1"/>
  <c r="BG68" i="64"/>
  <c r="BH68" i="64" s="1"/>
  <c r="AQ68" i="64"/>
  <c r="AR68" i="64" s="1"/>
  <c r="AV68" i="64"/>
  <c r="AW68" i="64" s="1"/>
  <c r="BA68" i="64"/>
  <c r="BB68" i="64" s="1"/>
  <c r="AT68" i="64"/>
  <c r="AK68" i="64"/>
  <c r="AL68" i="64" s="1"/>
  <c r="R68" i="64"/>
  <c r="T68" i="64" s="1"/>
  <c r="AH68" i="64"/>
  <c r="AI68" i="64" s="1"/>
  <c r="V68" i="64"/>
  <c r="W68" i="64" s="1"/>
  <c r="M68" i="64"/>
  <c r="BD68" i="64"/>
  <c r="BE68" i="64" s="1"/>
  <c r="BQ68" i="64"/>
  <c r="BR68" i="64" s="1"/>
  <c r="Y68" i="64"/>
  <c r="Z68" i="64" s="1"/>
  <c r="O68" i="64"/>
  <c r="BL68" i="64"/>
  <c r="BN68" i="64"/>
  <c r="BO68" i="64" s="1"/>
  <c r="K69" i="64"/>
  <c r="AQ65" i="120"/>
  <c r="AR65" i="120" s="1"/>
  <c r="AN65" i="120"/>
  <c r="AO65" i="120" s="1"/>
  <c r="AB65" i="120"/>
  <c r="AC65" i="120" s="1"/>
  <c r="V65" i="120"/>
  <c r="W65" i="120" s="1"/>
  <c r="R65" i="120"/>
  <c r="T65" i="120" s="1"/>
  <c r="AE65" i="120"/>
  <c r="AF65" i="120" s="1"/>
  <c r="Y65" i="120"/>
  <c r="Z65" i="120" s="1"/>
  <c r="AY65" i="120"/>
  <c r="BQ65" i="120"/>
  <c r="BR65" i="120" s="1"/>
  <c r="O65" i="120"/>
  <c r="P65" i="120"/>
  <c r="M65" i="120"/>
  <c r="BA65" i="120"/>
  <c r="BB65" i="120" s="1"/>
  <c r="AV65" i="120"/>
  <c r="AW65" i="120" s="1"/>
  <c r="AT65" i="120"/>
  <c r="BG65" i="120"/>
  <c r="BH65" i="120" s="1"/>
  <c r="BD65" i="120"/>
  <c r="BE65" i="120" s="1"/>
  <c r="K66" i="120"/>
  <c r="AK65" i="120"/>
  <c r="AL65" i="120" s="1"/>
  <c r="AH65" i="120"/>
  <c r="AI65" i="120" s="1"/>
  <c r="BN65" i="120"/>
  <c r="BO65" i="120" s="1"/>
  <c r="I68" i="101"/>
  <c r="K67" i="101"/>
  <c r="I72" i="63"/>
  <c r="I72" i="126"/>
  <c r="M67" i="126"/>
  <c r="BK67" i="126"/>
  <c r="BN67" i="126"/>
  <c r="BO67" i="126" s="1"/>
  <c r="BJ67" i="126"/>
  <c r="BL67" i="126" s="1"/>
  <c r="AE67" i="126"/>
  <c r="AF67" i="126" s="1"/>
  <c r="AT67" i="126"/>
  <c r="AN67" i="126"/>
  <c r="AO67" i="126" s="1"/>
  <c r="BA67" i="126"/>
  <c r="BB67" i="126" s="1"/>
  <c r="AY67" i="126"/>
  <c r="R67" i="126"/>
  <c r="T67" i="126" s="1"/>
  <c r="BD67" i="126"/>
  <c r="BE67" i="126" s="1"/>
  <c r="BG67" i="126"/>
  <c r="BH67" i="126" s="1"/>
  <c r="AH67" i="126"/>
  <c r="AI67" i="126" s="1"/>
  <c r="AB67" i="126"/>
  <c r="AC67" i="126" s="1"/>
  <c r="AK67" i="126"/>
  <c r="AL67" i="126" s="1"/>
  <c r="BQ67" i="126"/>
  <c r="BR67" i="126" s="1"/>
  <c r="O67" i="126"/>
  <c r="P67" i="126"/>
  <c r="Y67" i="126"/>
  <c r="Z67" i="126" s="1"/>
  <c r="AQ67" i="126"/>
  <c r="AR67" i="126" s="1"/>
  <c r="V67" i="126"/>
  <c r="W67" i="126" s="1"/>
  <c r="AV67" i="126"/>
  <c r="AW67" i="126" s="1"/>
  <c r="K68" i="126"/>
  <c r="K66" i="13"/>
  <c r="I67" i="13"/>
  <c r="I70" i="135"/>
  <c r="K69" i="135"/>
  <c r="K68" i="96"/>
  <c r="I69" i="96"/>
  <c r="I69" i="110"/>
  <c r="K68" i="110"/>
  <c r="I71" i="15"/>
  <c r="I71" i="104"/>
  <c r="I82" i="133"/>
  <c r="M65" i="13"/>
  <c r="BN65" i="13"/>
  <c r="BO65" i="13" s="1"/>
  <c r="BL65" i="13"/>
  <c r="O65" i="13"/>
  <c r="BQ65" i="13"/>
  <c r="BR65" i="13" s="1"/>
  <c r="Y65" i="13"/>
  <c r="Z65" i="13" s="1"/>
  <c r="AV65" i="13"/>
  <c r="AW65" i="13" s="1"/>
  <c r="BG65" i="13"/>
  <c r="BH65" i="13" s="1"/>
  <c r="AN65" i="13"/>
  <c r="AO65" i="13" s="1"/>
  <c r="AK65" i="13"/>
  <c r="AL65" i="13" s="1"/>
  <c r="P65" i="13"/>
  <c r="AY65" i="13"/>
  <c r="BA65" i="13"/>
  <c r="BB65" i="13" s="1"/>
  <c r="AT65" i="13"/>
  <c r="BD65" i="13"/>
  <c r="BE65" i="13" s="1"/>
  <c r="R65" i="13"/>
  <c r="T65" i="13" s="1"/>
  <c r="AH65" i="13"/>
  <c r="AI65" i="13" s="1"/>
  <c r="AB65" i="13"/>
  <c r="AC65" i="13" s="1"/>
  <c r="AE65" i="13"/>
  <c r="AF65" i="13" s="1"/>
  <c r="AQ65" i="13"/>
  <c r="AR65" i="13" s="1"/>
  <c r="V65" i="13"/>
  <c r="W65" i="13" s="1"/>
  <c r="K66" i="66"/>
  <c r="I67" i="66"/>
  <c r="M67" i="115"/>
  <c r="BJ67" i="115"/>
  <c r="BL67" i="115" s="1"/>
  <c r="BK67" i="115"/>
  <c r="BN67" i="115"/>
  <c r="BO67" i="115" s="1"/>
  <c r="AN67" i="115"/>
  <c r="AO67" i="115" s="1"/>
  <c r="AB67" i="115"/>
  <c r="AC67" i="115" s="1"/>
  <c r="AQ67" i="115"/>
  <c r="AR67" i="115" s="1"/>
  <c r="V67" i="115"/>
  <c r="W67" i="115" s="1"/>
  <c r="AH67" i="115"/>
  <c r="AI67" i="115" s="1"/>
  <c r="AK67" i="115"/>
  <c r="AL67" i="115" s="1"/>
  <c r="R67" i="115"/>
  <c r="T67" i="115" s="1"/>
  <c r="AE67" i="115"/>
  <c r="AF67" i="115" s="1"/>
  <c r="BQ67" i="115"/>
  <c r="BR67" i="115" s="1"/>
  <c r="O67" i="115"/>
  <c r="BG67" i="115"/>
  <c r="BH67" i="115" s="1"/>
  <c r="AV67" i="115"/>
  <c r="AW67" i="115" s="1"/>
  <c r="P67" i="115"/>
  <c r="BA67" i="115"/>
  <c r="BB67" i="115" s="1"/>
  <c r="BD67" i="115"/>
  <c r="BE67" i="115" s="1"/>
  <c r="Y67" i="115"/>
  <c r="Z67" i="115" s="1"/>
  <c r="AT67" i="115"/>
  <c r="AY67" i="115"/>
  <c r="I73" i="64"/>
  <c r="BJ67" i="114"/>
  <c r="BL67" i="114" s="1"/>
  <c r="BN67" i="114"/>
  <c r="BO67" i="114" s="1"/>
  <c r="M67" i="114"/>
  <c r="BK67" i="114"/>
  <c r="P67" i="114"/>
  <c r="R67" i="114"/>
  <c r="T67" i="114" s="1"/>
  <c r="Y67" i="114"/>
  <c r="Z67" i="114" s="1"/>
  <c r="AY67" i="114"/>
  <c r="AE67" i="114"/>
  <c r="AF67" i="114" s="1"/>
  <c r="AH67" i="114"/>
  <c r="AI67" i="114" s="1"/>
  <c r="BG67" i="114"/>
  <c r="BH67" i="114" s="1"/>
  <c r="AN67" i="114"/>
  <c r="AO67" i="114" s="1"/>
  <c r="BQ67" i="114"/>
  <c r="BR67" i="114" s="1"/>
  <c r="O67" i="114"/>
  <c r="AB67" i="114"/>
  <c r="AC67" i="114" s="1"/>
  <c r="BA67" i="114"/>
  <c r="BB67" i="114" s="1"/>
  <c r="AV67" i="114"/>
  <c r="AW67" i="114" s="1"/>
  <c r="AQ67" i="114"/>
  <c r="AR67" i="114" s="1"/>
  <c r="BD67" i="114"/>
  <c r="BE67" i="114" s="1"/>
  <c r="AT67" i="114"/>
  <c r="AK67" i="114"/>
  <c r="AL67" i="114" s="1"/>
  <c r="V67" i="114"/>
  <c r="W67" i="114" s="1"/>
  <c r="K68" i="114"/>
  <c r="BN67" i="63"/>
  <c r="BO67" i="63" s="1"/>
  <c r="M67" i="63"/>
  <c r="BL67" i="63"/>
  <c r="AV67" i="63"/>
  <c r="AW67" i="63" s="1"/>
  <c r="P67" i="63"/>
  <c r="BD67" i="63"/>
  <c r="BE67" i="63" s="1"/>
  <c r="AH67" i="63"/>
  <c r="AI67" i="63" s="1"/>
  <c r="V67" i="63"/>
  <c r="W67" i="63" s="1"/>
  <c r="Y67" i="63"/>
  <c r="Z67" i="63" s="1"/>
  <c r="BQ67" i="63"/>
  <c r="BR67" i="63" s="1"/>
  <c r="AN67" i="63"/>
  <c r="AO67" i="63" s="1"/>
  <c r="AQ67" i="63"/>
  <c r="AR67" i="63" s="1"/>
  <c r="AK67" i="63"/>
  <c r="AL67" i="63" s="1"/>
  <c r="AY67" i="63"/>
  <c r="AB67" i="63"/>
  <c r="AC67" i="63" s="1"/>
  <c r="BA67" i="63"/>
  <c r="BB67" i="63" s="1"/>
  <c r="BG67" i="63"/>
  <c r="BH67" i="63" s="1"/>
  <c r="AE67" i="63"/>
  <c r="AF67" i="63" s="1"/>
  <c r="O67" i="63"/>
  <c r="AT67" i="63"/>
  <c r="R67" i="63"/>
  <c r="T67" i="63" s="1"/>
  <c r="K68" i="63"/>
  <c r="BN65" i="17"/>
  <c r="BO65" i="17" s="1"/>
  <c r="M65" i="17"/>
  <c r="BL65" i="17"/>
  <c r="AE65" i="17"/>
  <c r="AF65" i="17" s="1"/>
  <c r="P65" i="17"/>
  <c r="O65" i="17"/>
  <c r="AY65" i="17"/>
  <c r="BQ65" i="17"/>
  <c r="BR65" i="17" s="1"/>
  <c r="V65" i="17"/>
  <c r="W65" i="17" s="1"/>
  <c r="BG65" i="17"/>
  <c r="BH65" i="17" s="1"/>
  <c r="Y65" i="17"/>
  <c r="Z65" i="17" s="1"/>
  <c r="BD65" i="17"/>
  <c r="BE65" i="17" s="1"/>
  <c r="R65" i="17"/>
  <c r="T65" i="17" s="1"/>
  <c r="AQ65" i="17"/>
  <c r="AR65" i="17" s="1"/>
  <c r="AB65" i="17"/>
  <c r="AC65" i="17" s="1"/>
  <c r="AK65" i="17"/>
  <c r="AL65" i="17" s="1"/>
  <c r="AT65" i="17"/>
  <c r="AV65" i="17"/>
  <c r="AW65" i="17" s="1"/>
  <c r="AH65" i="17"/>
  <c r="AI65" i="17" s="1"/>
  <c r="BA65" i="17"/>
  <c r="BB65" i="17" s="1"/>
  <c r="AN65" i="17"/>
  <c r="AO65" i="17" s="1"/>
  <c r="I74" i="132"/>
  <c r="AQ65" i="66"/>
  <c r="AR65" i="66" s="1"/>
  <c r="AK65" i="66"/>
  <c r="AL65" i="66" s="1"/>
  <c r="AH65" i="66"/>
  <c r="AI65" i="66" s="1"/>
  <c r="BN65" i="66"/>
  <c r="BO65" i="66" s="1"/>
  <c r="O65" i="66"/>
  <c r="BG65" i="66"/>
  <c r="BH65" i="66" s="1"/>
  <c r="BQ65" i="66"/>
  <c r="BR65" i="66" s="1"/>
  <c r="BA65" i="66"/>
  <c r="BB65" i="66" s="1"/>
  <c r="M65" i="66"/>
  <c r="AT65" i="66"/>
  <c r="Y65" i="66"/>
  <c r="Z65" i="66" s="1"/>
  <c r="AN65" i="66"/>
  <c r="AO65" i="66" s="1"/>
  <c r="P65" i="66"/>
  <c r="R65" i="66"/>
  <c r="T65" i="66" s="1"/>
  <c r="AE65" i="66"/>
  <c r="AF65" i="66" s="1"/>
  <c r="V65" i="66"/>
  <c r="W65" i="66" s="1"/>
  <c r="AB65" i="66"/>
  <c r="AC65" i="66" s="1"/>
  <c r="AV65" i="66"/>
  <c r="AW65" i="66" s="1"/>
  <c r="AY65" i="66"/>
  <c r="BD65" i="66"/>
  <c r="BE65" i="66" s="1"/>
  <c r="BL65" i="66"/>
  <c r="I69" i="115"/>
  <c r="K68" i="115"/>
  <c r="M69" i="136"/>
  <c r="BN69" i="136"/>
  <c r="BO69" i="136" s="1"/>
  <c r="BL69" i="136"/>
  <c r="BD69" i="136"/>
  <c r="BE69" i="136" s="1"/>
  <c r="BG69" i="136"/>
  <c r="BH69" i="136" s="1"/>
  <c r="AK69" i="136"/>
  <c r="AL69" i="136" s="1"/>
  <c r="O69" i="136"/>
  <c r="AB69" i="136"/>
  <c r="AC69" i="136" s="1"/>
  <c r="Y69" i="136"/>
  <c r="Z69" i="136" s="1"/>
  <c r="AH69" i="136"/>
  <c r="AI69" i="136" s="1"/>
  <c r="BQ69" i="136"/>
  <c r="BR69" i="136" s="1"/>
  <c r="AN69" i="136"/>
  <c r="AO69" i="136" s="1"/>
  <c r="V69" i="136"/>
  <c r="W69" i="136" s="1"/>
  <c r="AV69" i="136"/>
  <c r="AW69" i="136" s="1"/>
  <c r="AT69" i="136"/>
  <c r="BA69" i="136"/>
  <c r="BB69" i="136" s="1"/>
  <c r="AY69" i="136"/>
  <c r="R69" i="136"/>
  <c r="T69" i="136" s="1"/>
  <c r="AQ69" i="136"/>
  <c r="AR69" i="136" s="1"/>
  <c r="AE69" i="136"/>
  <c r="AF69" i="136" s="1"/>
  <c r="P69" i="136"/>
  <c r="K70" i="136"/>
  <c r="BJ67" i="98"/>
  <c r="BL67" i="98" s="1"/>
  <c r="K68" i="98"/>
  <c r="BK67" i="98"/>
  <c r="M67" i="98"/>
  <c r="BN67" i="98"/>
  <c r="BO67" i="98" s="1"/>
  <c r="AQ67" i="98"/>
  <c r="AR67" i="98" s="1"/>
  <c r="BA67" i="98"/>
  <c r="BB67" i="98" s="1"/>
  <c r="AH67" i="98"/>
  <c r="AI67" i="98" s="1"/>
  <c r="AN67" i="98"/>
  <c r="AO67" i="98" s="1"/>
  <c r="Y67" i="98"/>
  <c r="Z67" i="98" s="1"/>
  <c r="AB67" i="98"/>
  <c r="AC67" i="98" s="1"/>
  <c r="AE67" i="98"/>
  <c r="AF67" i="98" s="1"/>
  <c r="BQ67" i="98"/>
  <c r="BR67" i="98" s="1"/>
  <c r="BG67" i="98"/>
  <c r="BH67" i="98" s="1"/>
  <c r="R67" i="98"/>
  <c r="T67" i="98" s="1"/>
  <c r="O67" i="98"/>
  <c r="AT67" i="98"/>
  <c r="V67" i="98"/>
  <c r="W67" i="98" s="1"/>
  <c r="AK67" i="98"/>
  <c r="AL67" i="98" s="1"/>
  <c r="P67" i="98"/>
  <c r="AY67" i="98"/>
  <c r="BD67" i="98"/>
  <c r="BE67" i="98" s="1"/>
  <c r="AV67" i="98"/>
  <c r="AW67" i="98" s="1"/>
  <c r="I76" i="95"/>
  <c r="M66" i="101"/>
  <c r="AN66" i="101"/>
  <c r="AO66" i="101" s="1"/>
  <c r="AB66" i="101"/>
  <c r="AC66" i="101" s="1"/>
  <c r="AY66" i="101"/>
  <c r="AV66" i="101"/>
  <c r="AW66" i="101" s="1"/>
  <c r="AQ66" i="101"/>
  <c r="AR66" i="101" s="1"/>
  <c r="R66" i="101"/>
  <c r="T66" i="101" s="1"/>
  <c r="BQ66" i="101"/>
  <c r="BR66" i="101" s="1"/>
  <c r="AT66" i="101"/>
  <c r="O66" i="101"/>
  <c r="AH66" i="101"/>
  <c r="AI66" i="101" s="1"/>
  <c r="BA66" i="101"/>
  <c r="BB66" i="101" s="1"/>
  <c r="AE66" i="101"/>
  <c r="AF66" i="101" s="1"/>
  <c r="P66" i="101"/>
  <c r="BG66" i="101"/>
  <c r="BH66" i="101" s="1"/>
  <c r="Y66" i="101"/>
  <c r="Z66" i="101" s="1"/>
  <c r="V66" i="101"/>
  <c r="W66" i="101" s="1"/>
  <c r="AK66" i="101"/>
  <c r="AL66" i="101" s="1"/>
  <c r="BD66" i="101"/>
  <c r="BE66" i="101" s="1"/>
  <c r="I74" i="105"/>
  <c r="M66" i="118"/>
  <c r="K67" i="118"/>
  <c r="BN66" i="118"/>
  <c r="BO66" i="118" s="1"/>
  <c r="AN66" i="118"/>
  <c r="AO66" i="118" s="1"/>
  <c r="AT66" i="118"/>
  <c r="O66" i="118"/>
  <c r="AQ66" i="118"/>
  <c r="AR66" i="118" s="1"/>
  <c r="BA66" i="118"/>
  <c r="BB66" i="118" s="1"/>
  <c r="AE66" i="118"/>
  <c r="AF66" i="118" s="1"/>
  <c r="BG66" i="118"/>
  <c r="BH66" i="118" s="1"/>
  <c r="R66" i="118"/>
  <c r="T66" i="118" s="1"/>
  <c r="Y66" i="118"/>
  <c r="Z66" i="118" s="1"/>
  <c r="AB66" i="118"/>
  <c r="AC66" i="118" s="1"/>
  <c r="AK66" i="118"/>
  <c r="AL66" i="118" s="1"/>
  <c r="AY66" i="118"/>
  <c r="V66" i="118"/>
  <c r="W66" i="118" s="1"/>
  <c r="BQ66" i="118"/>
  <c r="BR66" i="118" s="1"/>
  <c r="AV66" i="118"/>
  <c r="AW66" i="118" s="1"/>
  <c r="P66" i="118"/>
  <c r="AH66" i="118"/>
  <c r="AI66" i="118" s="1"/>
  <c r="BD66" i="118"/>
  <c r="BE66" i="118" s="1"/>
  <c r="I73" i="114"/>
  <c r="I73" i="136"/>
  <c r="O37" i="112"/>
  <c r="O38" i="112" s="1"/>
  <c r="O39" i="112" s="1"/>
  <c r="O40" i="112" s="1"/>
  <c r="O41" i="112" s="1"/>
  <c r="O42" i="112" s="1"/>
  <c r="O43" i="112" s="1"/>
  <c r="O44" i="112" s="1"/>
  <c r="O45" i="112" s="1"/>
  <c r="O46" i="112" s="1"/>
  <c r="O47" i="112" s="1"/>
  <c r="O48" i="112" s="1"/>
  <c r="O49" i="112" s="1"/>
  <c r="O50" i="112" s="1"/>
  <c r="O51" i="112" s="1"/>
  <c r="O52" i="112" s="1"/>
  <c r="O53" i="112" s="1"/>
  <c r="O54" i="112" s="1"/>
  <c r="AQ69" i="132" l="1"/>
  <c r="AR69" i="132" s="1"/>
  <c r="AK69" i="132"/>
  <c r="AL69" i="132" s="1"/>
  <c r="AB69" i="132"/>
  <c r="AC69" i="132" s="1"/>
  <c r="K70" i="132"/>
  <c r="BN69" i="132"/>
  <c r="BO69" i="132" s="1"/>
  <c r="AT69" i="132"/>
  <c r="BD69" i="132"/>
  <c r="BE69" i="132" s="1"/>
  <c r="BL69" i="132"/>
  <c r="M69" i="132"/>
  <c r="BQ69" i="132"/>
  <c r="BR69" i="132" s="1"/>
  <c r="V69" i="132"/>
  <c r="W69" i="132" s="1"/>
  <c r="BA69" i="132"/>
  <c r="BB69" i="132" s="1"/>
  <c r="AV69" i="132"/>
  <c r="AW69" i="132" s="1"/>
  <c r="AN69" i="132"/>
  <c r="AO69" i="132" s="1"/>
  <c r="AE69" i="132"/>
  <c r="AF69" i="132" s="1"/>
  <c r="BG69" i="132"/>
  <c r="BH69" i="132" s="1"/>
  <c r="P69" i="132"/>
  <c r="O69" i="132"/>
  <c r="AH69" i="132"/>
  <c r="AI69" i="132" s="1"/>
  <c r="AY69" i="132"/>
  <c r="Y69" i="132"/>
  <c r="Z69" i="132" s="1"/>
  <c r="R69" i="132"/>
  <c r="T69" i="132" s="1"/>
  <c r="BN71" i="107"/>
  <c r="BO71" i="107" s="1"/>
  <c r="AT71" i="107"/>
  <c r="AH71" i="107"/>
  <c r="AI71" i="107" s="1"/>
  <c r="O71" i="107"/>
  <c r="V71" i="107"/>
  <c r="W71" i="107" s="1"/>
  <c r="BG71" i="107"/>
  <c r="BH71" i="107" s="1"/>
  <c r="BD71" i="107"/>
  <c r="BE71" i="107" s="1"/>
  <c r="AQ71" i="107"/>
  <c r="AR71" i="107" s="1"/>
  <c r="BK71" i="107"/>
  <c r="P71" i="107"/>
  <c r="AE71" i="107"/>
  <c r="AF71" i="107" s="1"/>
  <c r="R71" i="107"/>
  <c r="T71" i="107" s="1"/>
  <c r="M71" i="107"/>
  <c r="AB71" i="107"/>
  <c r="AC71" i="107" s="1"/>
  <c r="BA71" i="107"/>
  <c r="BB71" i="107" s="1"/>
  <c r="AY71" i="107"/>
  <c r="AN71" i="107"/>
  <c r="AO71" i="107" s="1"/>
  <c r="BJ71" i="107"/>
  <c r="BL71" i="107" s="1"/>
  <c r="AV71" i="107"/>
  <c r="AW71" i="107" s="1"/>
  <c r="Y71" i="107"/>
  <c r="Z71" i="107" s="1"/>
  <c r="AK71" i="107"/>
  <c r="AL71" i="107" s="1"/>
  <c r="BQ71" i="107"/>
  <c r="BR71" i="107" s="1"/>
  <c r="I73" i="107"/>
  <c r="K72" i="107"/>
  <c r="M69" i="99"/>
  <c r="AB69" i="99"/>
  <c r="AC69" i="99" s="1"/>
  <c r="AN69" i="99"/>
  <c r="AO69" i="99" s="1"/>
  <c r="AY69" i="99"/>
  <c r="K70" i="99"/>
  <c r="BJ69" i="99"/>
  <c r="BL69" i="99" s="1"/>
  <c r="V69" i="99"/>
  <c r="W69" i="99" s="1"/>
  <c r="BA69" i="99"/>
  <c r="BB69" i="99" s="1"/>
  <c r="AT69" i="99"/>
  <c r="AV69" i="99"/>
  <c r="AW69" i="99" s="1"/>
  <c r="BG69" i="99"/>
  <c r="BH69" i="99" s="1"/>
  <c r="AE69" i="99"/>
  <c r="AF69" i="99" s="1"/>
  <c r="R69" i="99"/>
  <c r="T69" i="99" s="1"/>
  <c r="P69" i="99"/>
  <c r="BN69" i="99"/>
  <c r="BO69" i="99" s="1"/>
  <c r="Y69" i="99"/>
  <c r="Z69" i="99" s="1"/>
  <c r="BD69" i="99"/>
  <c r="BE69" i="99" s="1"/>
  <c r="O69" i="99"/>
  <c r="AH69" i="99"/>
  <c r="AI69" i="99" s="1"/>
  <c r="BK69" i="99"/>
  <c r="AQ69" i="99"/>
  <c r="AR69" i="99" s="1"/>
  <c r="AK69" i="99"/>
  <c r="AL69" i="99" s="1"/>
  <c r="BQ69" i="99"/>
  <c r="BR69" i="99" s="1"/>
  <c r="I104" i="161"/>
  <c r="K103" i="161"/>
  <c r="BQ103" i="161" s="1"/>
  <c r="AV102" i="161"/>
  <c r="AW102" i="161" s="1"/>
  <c r="P102" i="161"/>
  <c r="BG102" i="161"/>
  <c r="BH102" i="161" s="1"/>
  <c r="BA102" i="161"/>
  <c r="BB102" i="161" s="1"/>
  <c r="AT102" i="161"/>
  <c r="AN102" i="161"/>
  <c r="AO102" i="161" s="1"/>
  <c r="AH102" i="161"/>
  <c r="AI102" i="161" s="1"/>
  <c r="AB102" i="161"/>
  <c r="AC102" i="161" s="1"/>
  <c r="V102" i="161"/>
  <c r="W102" i="161" s="1"/>
  <c r="O102" i="161"/>
  <c r="BR102" i="161"/>
  <c r="AY102" i="161"/>
  <c r="AQ102" i="161"/>
  <c r="AR102" i="161" s="1"/>
  <c r="R102" i="161"/>
  <c r="T102" i="161" s="1"/>
  <c r="AK102" i="161"/>
  <c r="AL102" i="161" s="1"/>
  <c r="BD102" i="161"/>
  <c r="BE102" i="161" s="1"/>
  <c r="AE102" i="161"/>
  <c r="AF102" i="161" s="1"/>
  <c r="Y102" i="161"/>
  <c r="Z102" i="161" s="1"/>
  <c r="BN102" i="161"/>
  <c r="BO102" i="161" s="1"/>
  <c r="BJ102" i="161"/>
  <c r="BL102" i="161" s="1"/>
  <c r="M102" i="161"/>
  <c r="BK102" i="161"/>
  <c r="AT68" i="129"/>
  <c r="Y68" i="129"/>
  <c r="Z68" i="129" s="1"/>
  <c r="AE68" i="129"/>
  <c r="AF68" i="129" s="1"/>
  <c r="BL68" i="129"/>
  <c r="AN68" i="129"/>
  <c r="AO68" i="129" s="1"/>
  <c r="AK68" i="129"/>
  <c r="AL68" i="129" s="1"/>
  <c r="AV68" i="129"/>
  <c r="AW68" i="129" s="1"/>
  <c r="AY68" i="129"/>
  <c r="BG68" i="129"/>
  <c r="BH68" i="129" s="1"/>
  <c r="AQ68" i="129"/>
  <c r="AR68" i="129" s="1"/>
  <c r="M68" i="129"/>
  <c r="BA68" i="129"/>
  <c r="BB68" i="129" s="1"/>
  <c r="BQ68" i="129"/>
  <c r="BR68" i="129" s="1"/>
  <c r="O68" i="129"/>
  <c r="BN68" i="129"/>
  <c r="BO68" i="129" s="1"/>
  <c r="P68" i="129"/>
  <c r="AB68" i="129"/>
  <c r="AC68" i="129" s="1"/>
  <c r="BD68" i="129"/>
  <c r="BE68" i="129" s="1"/>
  <c r="K69" i="129"/>
  <c r="AH68" i="129"/>
  <c r="AI68" i="129" s="1"/>
  <c r="V68" i="129"/>
  <c r="W68" i="129" s="1"/>
  <c r="R68" i="129"/>
  <c r="T68" i="129" s="1"/>
  <c r="AN72" i="156"/>
  <c r="AO72" i="156" s="1"/>
  <c r="R72" i="156"/>
  <c r="T72" i="156" s="1"/>
  <c r="M72" i="156"/>
  <c r="BA72" i="156"/>
  <c r="BB72" i="156" s="1"/>
  <c r="Y72" i="156"/>
  <c r="Z72" i="156" s="1"/>
  <c r="O72" i="156"/>
  <c r="BG72" i="156"/>
  <c r="BH72" i="156" s="1"/>
  <c r="AE72" i="156"/>
  <c r="AF72" i="156" s="1"/>
  <c r="BQ72" i="156"/>
  <c r="BR72" i="156" s="1"/>
  <c r="V72" i="156"/>
  <c r="W72" i="156" s="1"/>
  <c r="P72" i="156"/>
  <c r="AK72" i="156"/>
  <c r="AL72" i="156" s="1"/>
  <c r="BL72" i="156"/>
  <c r="AB72" i="156"/>
  <c r="AC72" i="156" s="1"/>
  <c r="AV72" i="156"/>
  <c r="AW72" i="156" s="1"/>
  <c r="AQ72" i="156"/>
  <c r="AR72" i="156" s="1"/>
  <c r="AH72" i="156"/>
  <c r="AI72" i="156" s="1"/>
  <c r="BN72" i="156"/>
  <c r="BO72" i="156" s="1"/>
  <c r="BD72" i="156"/>
  <c r="BE72" i="156" s="1"/>
  <c r="BN66" i="95"/>
  <c r="BO66" i="95" s="1"/>
  <c r="AQ66" i="95"/>
  <c r="AR66" i="95" s="1"/>
  <c r="BD66" i="95"/>
  <c r="BE66" i="95" s="1"/>
  <c r="Y66" i="95"/>
  <c r="Z66" i="95" s="1"/>
  <c r="BL66" i="95"/>
  <c r="BQ66" i="95"/>
  <c r="BR66" i="95" s="1"/>
  <c r="R66" i="95"/>
  <c r="T66" i="95" s="1"/>
  <c r="K67" i="95"/>
  <c r="AB66" i="95"/>
  <c r="AC66" i="95" s="1"/>
  <c r="AN66" i="95"/>
  <c r="AO66" i="95" s="1"/>
  <c r="V66" i="95"/>
  <c r="W66" i="95" s="1"/>
  <c r="BA66" i="95"/>
  <c r="BB66" i="95" s="1"/>
  <c r="AK66" i="95"/>
  <c r="AL66" i="95" s="1"/>
  <c r="AV66" i="95"/>
  <c r="AW66" i="95" s="1"/>
  <c r="AE66" i="95"/>
  <c r="AF66" i="95" s="1"/>
  <c r="O66" i="95"/>
  <c r="AT66" i="95"/>
  <c r="M66" i="95"/>
  <c r="P66" i="95"/>
  <c r="BG66" i="95"/>
  <c r="BH66" i="95" s="1"/>
  <c r="AH66" i="95"/>
  <c r="AI66" i="95" s="1"/>
  <c r="BJ67" i="106"/>
  <c r="BL67" i="106" s="1"/>
  <c r="AT67" i="106"/>
  <c r="AH67" i="106"/>
  <c r="AI67" i="106" s="1"/>
  <c r="BA67" i="106"/>
  <c r="BB67" i="106" s="1"/>
  <c r="Y67" i="106"/>
  <c r="Z67" i="106" s="1"/>
  <c r="AV67" i="106"/>
  <c r="AW67" i="106" s="1"/>
  <c r="BN67" i="106"/>
  <c r="BO67" i="106" s="1"/>
  <c r="BQ67" i="106"/>
  <c r="BR67" i="106" s="1"/>
  <c r="AQ67" i="106"/>
  <c r="AR67" i="106" s="1"/>
  <c r="BD67" i="106"/>
  <c r="BE67" i="106" s="1"/>
  <c r="AB67" i="106"/>
  <c r="AC67" i="106" s="1"/>
  <c r="BG67" i="106"/>
  <c r="BH67" i="106" s="1"/>
  <c r="AE67" i="106"/>
  <c r="AF67" i="106" s="1"/>
  <c r="M67" i="106"/>
  <c r="AK67" i="106"/>
  <c r="AL67" i="106" s="1"/>
  <c r="O67" i="106"/>
  <c r="AY67" i="106"/>
  <c r="V67" i="106"/>
  <c r="W67" i="106" s="1"/>
  <c r="AN67" i="106"/>
  <c r="AO67" i="106" s="1"/>
  <c r="P67" i="106"/>
  <c r="BK67" i="106"/>
  <c r="R67" i="106"/>
  <c r="T67" i="106" s="1"/>
  <c r="K68" i="106"/>
  <c r="BJ67" i="104"/>
  <c r="BL67" i="104" s="1"/>
  <c r="BD67" i="104"/>
  <c r="BE67" i="104" s="1"/>
  <c r="AH67" i="104"/>
  <c r="AI67" i="104" s="1"/>
  <c r="P67" i="104"/>
  <c r="BN67" i="104"/>
  <c r="BO67" i="104" s="1"/>
  <c r="V67" i="104"/>
  <c r="W67" i="104" s="1"/>
  <c r="AQ67" i="104"/>
  <c r="AR67" i="104" s="1"/>
  <c r="AK67" i="104"/>
  <c r="AL67" i="104" s="1"/>
  <c r="BK67" i="104"/>
  <c r="BG67" i="104"/>
  <c r="BH67" i="104" s="1"/>
  <c r="BA67" i="104"/>
  <c r="BB67" i="104" s="1"/>
  <c r="AY67" i="104"/>
  <c r="AB67" i="104"/>
  <c r="AC67" i="104" s="1"/>
  <c r="AV67" i="104"/>
  <c r="AW67" i="104" s="1"/>
  <c r="AE67" i="104"/>
  <c r="AF67" i="104" s="1"/>
  <c r="O67" i="104"/>
  <c r="Y67" i="104"/>
  <c r="Z67" i="104" s="1"/>
  <c r="AN67" i="104"/>
  <c r="AO67" i="104" s="1"/>
  <c r="M67" i="104"/>
  <c r="AT67" i="104"/>
  <c r="BQ67" i="104"/>
  <c r="BR67" i="104" s="1"/>
  <c r="R67" i="104"/>
  <c r="T67" i="104" s="1"/>
  <c r="K68" i="104"/>
  <c r="I74" i="106"/>
  <c r="K73" i="156"/>
  <c r="AY73" i="156" s="1"/>
  <c r="I74" i="156"/>
  <c r="AY70" i="133"/>
  <c r="AQ70" i="133"/>
  <c r="AR70" i="133" s="1"/>
  <c r="BQ70" i="133"/>
  <c r="BR70" i="133" s="1"/>
  <c r="K71" i="133"/>
  <c r="P70" i="133"/>
  <c r="BG70" i="133"/>
  <c r="BH70" i="133" s="1"/>
  <c r="AH70" i="133"/>
  <c r="AI70" i="133" s="1"/>
  <c r="AK70" i="133"/>
  <c r="AL70" i="133" s="1"/>
  <c r="R70" i="133"/>
  <c r="T70" i="133" s="1"/>
  <c r="AN70" i="133"/>
  <c r="AO70" i="133" s="1"/>
  <c r="M70" i="133"/>
  <c r="V70" i="133"/>
  <c r="W70" i="133" s="1"/>
  <c r="AV70" i="133"/>
  <c r="AW70" i="133" s="1"/>
  <c r="AE70" i="133"/>
  <c r="AF70" i="133" s="1"/>
  <c r="BN70" i="133"/>
  <c r="BO70" i="133" s="1"/>
  <c r="O70" i="133"/>
  <c r="AB70" i="133"/>
  <c r="AC70" i="133" s="1"/>
  <c r="AT70" i="133"/>
  <c r="BL70" i="133"/>
  <c r="Y70" i="133"/>
  <c r="Z70" i="133" s="1"/>
  <c r="BA70" i="133"/>
  <c r="BB70" i="133" s="1"/>
  <c r="BD70" i="133"/>
  <c r="BE70" i="133" s="1"/>
  <c r="Y67" i="112"/>
  <c r="Z67" i="112" s="1"/>
  <c r="O67" i="112"/>
  <c r="BG67" i="112"/>
  <c r="BH67" i="112" s="1"/>
  <c r="BK67" i="112"/>
  <c r="AH67" i="112"/>
  <c r="AI67" i="112" s="1"/>
  <c r="AT67" i="112"/>
  <c r="AV67" i="112"/>
  <c r="AW67" i="112" s="1"/>
  <c r="M67" i="112"/>
  <c r="AN67" i="112"/>
  <c r="AO67" i="112" s="1"/>
  <c r="BA67" i="112"/>
  <c r="BB67" i="112" s="1"/>
  <c r="R67" i="112"/>
  <c r="T67" i="112" s="1"/>
  <c r="BJ67" i="112"/>
  <c r="BL67" i="112" s="1"/>
  <c r="AY67" i="112"/>
  <c r="AB67" i="112"/>
  <c r="AC67" i="112" s="1"/>
  <c r="AK67" i="112"/>
  <c r="AL67" i="112" s="1"/>
  <c r="K68" i="112"/>
  <c r="AE67" i="112"/>
  <c r="AF67" i="112" s="1"/>
  <c r="P67" i="112"/>
  <c r="BQ67" i="112"/>
  <c r="BR67" i="112" s="1"/>
  <c r="BN67" i="112"/>
  <c r="BO67" i="112" s="1"/>
  <c r="BD67" i="112"/>
  <c r="BE67" i="112" s="1"/>
  <c r="V67" i="112"/>
  <c r="W67" i="112" s="1"/>
  <c r="AQ67" i="112"/>
  <c r="AR67" i="112" s="1"/>
  <c r="BN68" i="130"/>
  <c r="BO68" i="130" s="1"/>
  <c r="BL68" i="130"/>
  <c r="K69" i="130"/>
  <c r="M68" i="130"/>
  <c r="AQ68" i="130"/>
  <c r="AR68" i="130" s="1"/>
  <c r="BA68" i="130"/>
  <c r="BB68" i="130" s="1"/>
  <c r="AH68" i="130"/>
  <c r="AI68" i="130" s="1"/>
  <c r="AE68" i="130"/>
  <c r="AF68" i="130" s="1"/>
  <c r="R68" i="130"/>
  <c r="T68" i="130" s="1"/>
  <c r="AY68" i="130"/>
  <c r="V68" i="130"/>
  <c r="W68" i="130" s="1"/>
  <c r="AN68" i="130"/>
  <c r="AO68" i="130" s="1"/>
  <c r="BD68" i="130"/>
  <c r="BE68" i="130" s="1"/>
  <c r="P68" i="130"/>
  <c r="AT68" i="130"/>
  <c r="BG68" i="130"/>
  <c r="BH68" i="130" s="1"/>
  <c r="O68" i="130"/>
  <c r="AB68" i="130"/>
  <c r="AC68" i="130" s="1"/>
  <c r="AK68" i="130"/>
  <c r="AL68" i="130" s="1"/>
  <c r="BQ68" i="130"/>
  <c r="BR68" i="130" s="1"/>
  <c r="AV68" i="130"/>
  <c r="AW68" i="130" s="1"/>
  <c r="Y68" i="130"/>
  <c r="Z68" i="130" s="1"/>
  <c r="AV20" i="151"/>
  <c r="AW20" i="151" s="1"/>
  <c r="BD20" i="151"/>
  <c r="BE20" i="151" s="1"/>
  <c r="I75" i="155"/>
  <c r="K74" i="155"/>
  <c r="P73" i="155"/>
  <c r="AV73" i="155"/>
  <c r="AW73" i="155" s="1"/>
  <c r="BN73" i="155"/>
  <c r="BO73" i="155" s="1"/>
  <c r="R73" i="155"/>
  <c r="T73" i="155" s="1"/>
  <c r="Y73" i="155"/>
  <c r="Z73" i="155" s="1"/>
  <c r="AE73" i="155"/>
  <c r="AF73" i="155" s="1"/>
  <c r="AK73" i="155"/>
  <c r="AL73" i="155" s="1"/>
  <c r="AQ73" i="155"/>
  <c r="AR73" i="155" s="1"/>
  <c r="BD73" i="155"/>
  <c r="BE73" i="155" s="1"/>
  <c r="BL73" i="155"/>
  <c r="V73" i="155"/>
  <c r="W73" i="155" s="1"/>
  <c r="AH73" i="155"/>
  <c r="AI73" i="155" s="1"/>
  <c r="BG73" i="155"/>
  <c r="BH73" i="155" s="1"/>
  <c r="BQ73" i="155"/>
  <c r="BR73" i="155" s="1"/>
  <c r="M73" i="155"/>
  <c r="O73" i="155"/>
  <c r="AB73" i="155"/>
  <c r="AC73" i="155" s="1"/>
  <c r="AN73" i="155"/>
  <c r="AO73" i="155" s="1"/>
  <c r="BA73" i="155"/>
  <c r="BB73" i="155" s="1"/>
  <c r="AV19" i="149"/>
  <c r="AW19" i="149" s="1"/>
  <c r="BD19" i="149"/>
  <c r="BE19" i="149" s="1"/>
  <c r="AT21" i="151"/>
  <c r="P73" i="153"/>
  <c r="R73" i="153"/>
  <c r="T73" i="153" s="1"/>
  <c r="Y73" i="153"/>
  <c r="Z73" i="153" s="1"/>
  <c r="AE73" i="153"/>
  <c r="AF73" i="153" s="1"/>
  <c r="AK73" i="153"/>
  <c r="AL73" i="153" s="1"/>
  <c r="AQ73" i="153"/>
  <c r="AR73" i="153" s="1"/>
  <c r="BD73" i="153"/>
  <c r="BE73" i="153" s="1"/>
  <c r="M73" i="153"/>
  <c r="BA73" i="153"/>
  <c r="BB73" i="153" s="1"/>
  <c r="BN73" i="153"/>
  <c r="BO73" i="153" s="1"/>
  <c r="O73" i="153"/>
  <c r="AB73" i="153"/>
  <c r="AC73" i="153" s="1"/>
  <c r="AN73" i="153"/>
  <c r="AO73" i="153" s="1"/>
  <c r="AV73" i="153"/>
  <c r="AW73" i="153" s="1"/>
  <c r="BQ73" i="153"/>
  <c r="BR73" i="153" s="1"/>
  <c r="AH73" i="153"/>
  <c r="AI73" i="153" s="1"/>
  <c r="BL73" i="153"/>
  <c r="V73" i="153"/>
  <c r="W73" i="153" s="1"/>
  <c r="BG73" i="153"/>
  <c r="BH73" i="153" s="1"/>
  <c r="K74" i="153"/>
  <c r="I78" i="153"/>
  <c r="P73" i="152"/>
  <c r="AV73" i="152"/>
  <c r="AW73" i="152" s="1"/>
  <c r="BN73" i="152"/>
  <c r="BO73" i="152" s="1"/>
  <c r="R73" i="152"/>
  <c r="T73" i="152" s="1"/>
  <c r="Y73" i="152"/>
  <c r="Z73" i="152" s="1"/>
  <c r="AE73" i="152"/>
  <c r="AF73" i="152" s="1"/>
  <c r="AK73" i="152"/>
  <c r="AL73" i="152" s="1"/>
  <c r="AQ73" i="152"/>
  <c r="AR73" i="152" s="1"/>
  <c r="BD73" i="152"/>
  <c r="BE73" i="152" s="1"/>
  <c r="M73" i="152"/>
  <c r="O73" i="152"/>
  <c r="BL73" i="152"/>
  <c r="V73" i="152"/>
  <c r="W73" i="152" s="1"/>
  <c r="AH73" i="152"/>
  <c r="AI73" i="152" s="1"/>
  <c r="BG73" i="152"/>
  <c r="BH73" i="152" s="1"/>
  <c r="BQ73" i="152"/>
  <c r="BR73" i="152" s="1"/>
  <c r="AB73" i="152"/>
  <c r="AC73" i="152" s="1"/>
  <c r="BA73" i="152"/>
  <c r="BB73" i="152" s="1"/>
  <c r="AN73" i="152"/>
  <c r="AO73" i="152" s="1"/>
  <c r="K74" i="152"/>
  <c r="I82" i="152"/>
  <c r="BQ71" i="151"/>
  <c r="BR71" i="151" s="1"/>
  <c r="AY71" i="151"/>
  <c r="AV71" i="151"/>
  <c r="AW71" i="151" s="1"/>
  <c r="P71" i="151"/>
  <c r="BD71" i="151"/>
  <c r="BE71" i="151" s="1"/>
  <c r="AQ71" i="151"/>
  <c r="AR71" i="151" s="1"/>
  <c r="AE71" i="151"/>
  <c r="AF71" i="151" s="1"/>
  <c r="R71" i="151"/>
  <c r="T71" i="151" s="1"/>
  <c r="AK71" i="151"/>
  <c r="AL71" i="151" s="1"/>
  <c r="Y71" i="151"/>
  <c r="Z71" i="151" s="1"/>
  <c r="AN71" i="151"/>
  <c r="AO71" i="151" s="1"/>
  <c r="O71" i="151"/>
  <c r="BG71" i="151"/>
  <c r="BH71" i="151" s="1"/>
  <c r="AH71" i="151"/>
  <c r="AI71" i="151" s="1"/>
  <c r="BA71" i="151"/>
  <c r="BB71" i="151" s="1"/>
  <c r="AB71" i="151"/>
  <c r="AC71" i="151" s="1"/>
  <c r="AT71" i="151"/>
  <c r="V71" i="151"/>
  <c r="W71" i="151" s="1"/>
  <c r="BN71" i="151"/>
  <c r="BO71" i="151" s="1"/>
  <c r="M71" i="151"/>
  <c r="BL71" i="151"/>
  <c r="I73" i="151"/>
  <c r="K72" i="151"/>
  <c r="I74" i="150"/>
  <c r="AV70" i="150"/>
  <c r="AW70" i="150" s="1"/>
  <c r="P70" i="150"/>
  <c r="BG70" i="150"/>
  <c r="BH70" i="150" s="1"/>
  <c r="BA70" i="150"/>
  <c r="BB70" i="150" s="1"/>
  <c r="AT70" i="150"/>
  <c r="AN70" i="150"/>
  <c r="AO70" i="150" s="1"/>
  <c r="AH70" i="150"/>
  <c r="AI70" i="150" s="1"/>
  <c r="AB70" i="150"/>
  <c r="AC70" i="150" s="1"/>
  <c r="V70" i="150"/>
  <c r="W70" i="150" s="1"/>
  <c r="O70" i="150"/>
  <c r="BQ70" i="150"/>
  <c r="BR70" i="150" s="1"/>
  <c r="AY70" i="150"/>
  <c r="BD70" i="150"/>
  <c r="BE70" i="150" s="1"/>
  <c r="AE70" i="150"/>
  <c r="AF70" i="150" s="1"/>
  <c r="Y70" i="150"/>
  <c r="Z70" i="150" s="1"/>
  <c r="AQ70" i="150"/>
  <c r="AR70" i="150" s="1"/>
  <c r="AK70" i="150"/>
  <c r="AL70" i="150" s="1"/>
  <c r="R70" i="150"/>
  <c r="T70" i="150" s="1"/>
  <c r="M70" i="150"/>
  <c r="BN70" i="150"/>
  <c r="BO70" i="150" s="1"/>
  <c r="BL70" i="150"/>
  <c r="K71" i="150"/>
  <c r="AV72" i="149"/>
  <c r="AW72" i="149" s="1"/>
  <c r="P72" i="149"/>
  <c r="BG72" i="149"/>
  <c r="BH72" i="149" s="1"/>
  <c r="BA72" i="149"/>
  <c r="BB72" i="149" s="1"/>
  <c r="AN72" i="149"/>
  <c r="AO72" i="149" s="1"/>
  <c r="AH72" i="149"/>
  <c r="AI72" i="149" s="1"/>
  <c r="AB72" i="149"/>
  <c r="AC72" i="149" s="1"/>
  <c r="V72" i="149"/>
  <c r="W72" i="149" s="1"/>
  <c r="O72" i="149"/>
  <c r="BQ72" i="149"/>
  <c r="BR72" i="149" s="1"/>
  <c r="AY72" i="149"/>
  <c r="AQ72" i="149"/>
  <c r="AR72" i="149" s="1"/>
  <c r="R72" i="149"/>
  <c r="T72" i="149" s="1"/>
  <c r="BD72" i="149"/>
  <c r="BE72" i="149" s="1"/>
  <c r="AE72" i="149"/>
  <c r="AF72" i="149" s="1"/>
  <c r="Y72" i="149"/>
  <c r="Z72" i="149" s="1"/>
  <c r="AK72" i="149"/>
  <c r="AL72" i="149" s="1"/>
  <c r="M72" i="149"/>
  <c r="BN72" i="149"/>
  <c r="BO72" i="149" s="1"/>
  <c r="BL72" i="149"/>
  <c r="I74" i="149"/>
  <c r="K73" i="149"/>
  <c r="AT73" i="149" s="1"/>
  <c r="K72" i="147"/>
  <c r="I73" i="147"/>
  <c r="BG71" i="147"/>
  <c r="BH71" i="147" s="1"/>
  <c r="BA71" i="147"/>
  <c r="BB71" i="147" s="1"/>
  <c r="AT71" i="147"/>
  <c r="AN71" i="147"/>
  <c r="AO71" i="147" s="1"/>
  <c r="AH71" i="147"/>
  <c r="AI71" i="147" s="1"/>
  <c r="AB71" i="147"/>
  <c r="AC71" i="147" s="1"/>
  <c r="V71" i="147"/>
  <c r="W71" i="147" s="1"/>
  <c r="O71" i="147"/>
  <c r="BD71" i="147"/>
  <c r="BE71" i="147" s="1"/>
  <c r="AQ71" i="147"/>
  <c r="AR71" i="147" s="1"/>
  <c r="AK71" i="147"/>
  <c r="AL71" i="147" s="1"/>
  <c r="AE71" i="147"/>
  <c r="AF71" i="147" s="1"/>
  <c r="Y71" i="147"/>
  <c r="Z71" i="147" s="1"/>
  <c r="R71" i="147"/>
  <c r="T71" i="147" s="1"/>
  <c r="P71" i="147"/>
  <c r="AY71" i="147"/>
  <c r="AV71" i="147"/>
  <c r="AW71" i="147" s="1"/>
  <c r="BQ71" i="147"/>
  <c r="BR71" i="147" s="1"/>
  <c r="BJ71" i="147"/>
  <c r="BL71" i="147" s="1"/>
  <c r="BN71" i="147"/>
  <c r="BO71" i="147" s="1"/>
  <c r="BK71" i="147"/>
  <c r="M71" i="147"/>
  <c r="I72" i="146"/>
  <c r="K71" i="146"/>
  <c r="BQ70" i="146"/>
  <c r="BR70" i="146" s="1"/>
  <c r="AY70" i="146"/>
  <c r="BD70" i="146"/>
  <c r="BE70" i="146" s="1"/>
  <c r="AQ70" i="146"/>
  <c r="AR70" i="146" s="1"/>
  <c r="AK70" i="146"/>
  <c r="AL70" i="146" s="1"/>
  <c r="AE70" i="146"/>
  <c r="AF70" i="146" s="1"/>
  <c r="Y70" i="146"/>
  <c r="Z70" i="146" s="1"/>
  <c r="R70" i="146"/>
  <c r="T70" i="146" s="1"/>
  <c r="AV70" i="146"/>
  <c r="AW70" i="146" s="1"/>
  <c r="P70" i="146"/>
  <c r="BA70" i="146"/>
  <c r="BB70" i="146" s="1"/>
  <c r="AB70" i="146"/>
  <c r="AC70" i="146" s="1"/>
  <c r="AT70" i="146"/>
  <c r="V70" i="146"/>
  <c r="W70" i="146" s="1"/>
  <c r="AN70" i="146"/>
  <c r="AO70" i="146" s="1"/>
  <c r="O70" i="146"/>
  <c r="BG70" i="146"/>
  <c r="BH70" i="146" s="1"/>
  <c r="AH70" i="146"/>
  <c r="AI70" i="146" s="1"/>
  <c r="M70" i="146"/>
  <c r="BJ70" i="146"/>
  <c r="BL70" i="146" s="1"/>
  <c r="BN70" i="146"/>
  <c r="BO70" i="146" s="1"/>
  <c r="BK70" i="146"/>
  <c r="K69" i="98"/>
  <c r="BN68" i="98"/>
  <c r="BO68" i="98" s="1"/>
  <c r="BJ68" i="98"/>
  <c r="BL68" i="98" s="1"/>
  <c r="M68" i="98"/>
  <c r="BK68" i="98"/>
  <c r="Y68" i="98"/>
  <c r="Z68" i="98" s="1"/>
  <c r="AV68" i="98"/>
  <c r="AW68" i="98" s="1"/>
  <c r="P68" i="98"/>
  <c r="AN68" i="98"/>
  <c r="AO68" i="98" s="1"/>
  <c r="BD68" i="98"/>
  <c r="BE68" i="98" s="1"/>
  <c r="BG68" i="98"/>
  <c r="BH68" i="98" s="1"/>
  <c r="BA68" i="98"/>
  <c r="BB68" i="98" s="1"/>
  <c r="AQ68" i="98"/>
  <c r="AR68" i="98" s="1"/>
  <c r="AK68" i="98"/>
  <c r="AL68" i="98" s="1"/>
  <c r="AY68" i="98"/>
  <c r="AH68" i="98"/>
  <c r="AI68" i="98" s="1"/>
  <c r="V68" i="98"/>
  <c r="W68" i="98" s="1"/>
  <c r="O68" i="98"/>
  <c r="AT68" i="98"/>
  <c r="R68" i="98"/>
  <c r="T68" i="98" s="1"/>
  <c r="BQ68" i="98"/>
  <c r="BR68" i="98" s="1"/>
  <c r="AB68" i="98"/>
  <c r="AC68" i="98" s="1"/>
  <c r="AE68" i="98"/>
  <c r="AF68" i="98" s="1"/>
  <c r="M68" i="115"/>
  <c r="BK68" i="115"/>
  <c r="BJ68" i="115"/>
  <c r="BL68" i="115" s="1"/>
  <c r="BN68" i="115"/>
  <c r="BO68" i="115" s="1"/>
  <c r="O68" i="115"/>
  <c r="AY68" i="115"/>
  <c r="AN68" i="115"/>
  <c r="AO68" i="115" s="1"/>
  <c r="Y68" i="115"/>
  <c r="Z68" i="115" s="1"/>
  <c r="BQ68" i="115"/>
  <c r="BR68" i="115" s="1"/>
  <c r="R68" i="115"/>
  <c r="T68" i="115" s="1"/>
  <c r="AQ68" i="115"/>
  <c r="AR68" i="115" s="1"/>
  <c r="V68" i="115"/>
  <c r="W68" i="115" s="1"/>
  <c r="P68" i="115"/>
  <c r="BD68" i="115"/>
  <c r="BE68" i="115" s="1"/>
  <c r="AK68" i="115"/>
  <c r="AL68" i="115" s="1"/>
  <c r="AT68" i="115"/>
  <c r="AH68" i="115"/>
  <c r="AI68" i="115" s="1"/>
  <c r="BA68" i="115"/>
  <c r="BB68" i="115" s="1"/>
  <c r="AV68" i="115"/>
  <c r="AW68" i="115" s="1"/>
  <c r="BG68" i="115"/>
  <c r="BH68" i="115" s="1"/>
  <c r="AB68" i="115"/>
  <c r="AC68" i="115" s="1"/>
  <c r="AE68" i="115"/>
  <c r="AF68" i="115" s="1"/>
  <c r="I75" i="132"/>
  <c r="BN68" i="63"/>
  <c r="BO68" i="63" s="1"/>
  <c r="M68" i="63"/>
  <c r="BA68" i="63"/>
  <c r="BB68" i="63" s="1"/>
  <c r="AB68" i="63"/>
  <c r="AC68" i="63" s="1"/>
  <c r="R68" i="63"/>
  <c r="T68" i="63" s="1"/>
  <c r="AQ68" i="63"/>
  <c r="AR68" i="63" s="1"/>
  <c r="AK68" i="63"/>
  <c r="AL68" i="63" s="1"/>
  <c r="P68" i="63"/>
  <c r="AE68" i="63"/>
  <c r="AF68" i="63" s="1"/>
  <c r="V68" i="63"/>
  <c r="W68" i="63" s="1"/>
  <c r="Y68" i="63"/>
  <c r="Z68" i="63" s="1"/>
  <c r="O68" i="63"/>
  <c r="BG68" i="63"/>
  <c r="BH68" i="63" s="1"/>
  <c r="AV68" i="63"/>
  <c r="AW68" i="63" s="1"/>
  <c r="AY68" i="63"/>
  <c r="BD68" i="63"/>
  <c r="BE68" i="63" s="1"/>
  <c r="AT68" i="63"/>
  <c r="BQ68" i="63"/>
  <c r="BR68" i="63" s="1"/>
  <c r="AH68" i="63"/>
  <c r="AI68" i="63" s="1"/>
  <c r="AN68" i="63"/>
  <c r="AO68" i="63" s="1"/>
  <c r="BL68" i="63"/>
  <c r="K69" i="63"/>
  <c r="BK68" i="110"/>
  <c r="M68" i="110"/>
  <c r="BN68" i="110"/>
  <c r="BO68" i="110" s="1"/>
  <c r="BJ68" i="110"/>
  <c r="BL68" i="110" s="1"/>
  <c r="AN68" i="110"/>
  <c r="AO68" i="110" s="1"/>
  <c r="P68" i="110"/>
  <c r="AK68" i="110"/>
  <c r="AL68" i="110" s="1"/>
  <c r="AQ68" i="110"/>
  <c r="AR68" i="110" s="1"/>
  <c r="BG68" i="110"/>
  <c r="BH68" i="110" s="1"/>
  <c r="Y68" i="110"/>
  <c r="Z68" i="110" s="1"/>
  <c r="AT68" i="110"/>
  <c r="R68" i="110"/>
  <c r="T68" i="110" s="1"/>
  <c r="AY68" i="110"/>
  <c r="BD68" i="110"/>
  <c r="BE68" i="110" s="1"/>
  <c r="AH68" i="110"/>
  <c r="AI68" i="110" s="1"/>
  <c r="AB68" i="110"/>
  <c r="AC68" i="110" s="1"/>
  <c r="AV68" i="110"/>
  <c r="AW68" i="110" s="1"/>
  <c r="O68" i="110"/>
  <c r="BQ68" i="110"/>
  <c r="BR68" i="110" s="1"/>
  <c r="BA68" i="110"/>
  <c r="BB68" i="110" s="1"/>
  <c r="V68" i="110"/>
  <c r="W68" i="110" s="1"/>
  <c r="AE68" i="110"/>
  <c r="AF68" i="110" s="1"/>
  <c r="M69" i="135"/>
  <c r="AE69" i="135"/>
  <c r="AF69" i="135" s="1"/>
  <c r="AV69" i="135"/>
  <c r="AW69" i="135" s="1"/>
  <c r="AK69" i="135"/>
  <c r="AL69" i="135" s="1"/>
  <c r="BD69" i="135"/>
  <c r="BE69" i="135" s="1"/>
  <c r="P69" i="135"/>
  <c r="AH69" i="135"/>
  <c r="AI69" i="135" s="1"/>
  <c r="AB69" i="135"/>
  <c r="AC69" i="135" s="1"/>
  <c r="AY69" i="135"/>
  <c r="O69" i="135"/>
  <c r="BA69" i="135"/>
  <c r="BB69" i="135" s="1"/>
  <c r="AQ69" i="135"/>
  <c r="AR69" i="135" s="1"/>
  <c r="BG69" i="135"/>
  <c r="BH69" i="135" s="1"/>
  <c r="AT69" i="135"/>
  <c r="R69" i="135"/>
  <c r="T69" i="135" s="1"/>
  <c r="V69" i="135"/>
  <c r="W69" i="135" s="1"/>
  <c r="BQ69" i="135"/>
  <c r="BR69" i="135" s="1"/>
  <c r="BN69" i="135"/>
  <c r="BO69" i="135" s="1"/>
  <c r="AN69" i="135"/>
  <c r="AO69" i="135" s="1"/>
  <c r="Y69" i="135"/>
  <c r="Z69" i="135" s="1"/>
  <c r="BL69" i="135"/>
  <c r="M68" i="126"/>
  <c r="BN68" i="126"/>
  <c r="BO68" i="126" s="1"/>
  <c r="BK68" i="126"/>
  <c r="BJ68" i="126"/>
  <c r="BL68" i="126" s="1"/>
  <c r="V68" i="126"/>
  <c r="W68" i="126" s="1"/>
  <c r="AY68" i="126"/>
  <c r="BA68" i="126"/>
  <c r="BB68" i="126" s="1"/>
  <c r="AT68" i="126"/>
  <c r="AQ68" i="126"/>
  <c r="AR68" i="126" s="1"/>
  <c r="R68" i="126"/>
  <c r="T68" i="126" s="1"/>
  <c r="BG68" i="126"/>
  <c r="BH68" i="126" s="1"/>
  <c r="AE68" i="126"/>
  <c r="AF68" i="126" s="1"/>
  <c r="P68" i="126"/>
  <c r="AH68" i="126"/>
  <c r="AI68" i="126" s="1"/>
  <c r="BD68" i="126"/>
  <c r="BE68" i="126" s="1"/>
  <c r="AN68" i="126"/>
  <c r="AO68" i="126" s="1"/>
  <c r="AK68" i="126"/>
  <c r="AL68" i="126" s="1"/>
  <c r="AB68" i="126"/>
  <c r="AC68" i="126" s="1"/>
  <c r="Y68" i="126"/>
  <c r="Z68" i="126" s="1"/>
  <c r="O68" i="126"/>
  <c r="AV68" i="126"/>
  <c r="AW68" i="126" s="1"/>
  <c r="BQ68" i="126"/>
  <c r="BR68" i="126" s="1"/>
  <c r="K69" i="126"/>
  <c r="I73" i="63"/>
  <c r="I75" i="105"/>
  <c r="I70" i="115"/>
  <c r="K69" i="115"/>
  <c r="I74" i="64"/>
  <c r="I68" i="66"/>
  <c r="K67" i="66"/>
  <c r="I83" i="133"/>
  <c r="K69" i="110"/>
  <c r="I70" i="110"/>
  <c r="K70" i="135"/>
  <c r="I71" i="135"/>
  <c r="I73" i="126"/>
  <c r="AN69" i="64"/>
  <c r="AO69" i="64" s="1"/>
  <c r="AY69" i="64"/>
  <c r="R69" i="64"/>
  <c r="T69" i="64" s="1"/>
  <c r="BQ69" i="64"/>
  <c r="BR69" i="64" s="1"/>
  <c r="AT69" i="64"/>
  <c r="AE69" i="64"/>
  <c r="AF69" i="64" s="1"/>
  <c r="AV69" i="64"/>
  <c r="AW69" i="64" s="1"/>
  <c r="BG69" i="64"/>
  <c r="BH69" i="64" s="1"/>
  <c r="AK69" i="64"/>
  <c r="AL69" i="64" s="1"/>
  <c r="AQ69" i="64"/>
  <c r="AR69" i="64" s="1"/>
  <c r="V69" i="64"/>
  <c r="W69" i="64" s="1"/>
  <c r="BD69" i="64"/>
  <c r="BE69" i="64" s="1"/>
  <c r="M69" i="64"/>
  <c r="P69" i="64"/>
  <c r="AH69" i="64"/>
  <c r="AI69" i="64" s="1"/>
  <c r="O69" i="64"/>
  <c r="Y69" i="64"/>
  <c r="Z69" i="64" s="1"/>
  <c r="BA69" i="64"/>
  <c r="BB69" i="64" s="1"/>
  <c r="AB69" i="64"/>
  <c r="AC69" i="64" s="1"/>
  <c r="BN69" i="64"/>
  <c r="BO69" i="64" s="1"/>
  <c r="BL69" i="64"/>
  <c r="K70" i="64"/>
  <c r="BJ70" i="105"/>
  <c r="BL70" i="105" s="1"/>
  <c r="BK70" i="105"/>
  <c r="M70" i="105"/>
  <c r="BN70" i="105"/>
  <c r="BO70" i="105" s="1"/>
  <c r="AK70" i="105"/>
  <c r="AL70" i="105" s="1"/>
  <c r="AE70" i="105"/>
  <c r="AF70" i="105" s="1"/>
  <c r="BA70" i="105"/>
  <c r="BB70" i="105" s="1"/>
  <c r="P70" i="105"/>
  <c r="AY70" i="105"/>
  <c r="O70" i="105"/>
  <c r="AV70" i="105"/>
  <c r="AW70" i="105" s="1"/>
  <c r="AQ70" i="105"/>
  <c r="AR70" i="105" s="1"/>
  <c r="AB70" i="105"/>
  <c r="AC70" i="105" s="1"/>
  <c r="AN70" i="105"/>
  <c r="AO70" i="105" s="1"/>
  <c r="Y70" i="105"/>
  <c r="Z70" i="105" s="1"/>
  <c r="AH70" i="105"/>
  <c r="AI70" i="105" s="1"/>
  <c r="R70" i="105"/>
  <c r="T70" i="105" s="1"/>
  <c r="AT70" i="105"/>
  <c r="BG70" i="105"/>
  <c r="BH70" i="105" s="1"/>
  <c r="BQ70" i="105"/>
  <c r="BR70" i="105" s="1"/>
  <c r="V70" i="105"/>
  <c r="W70" i="105" s="1"/>
  <c r="BD70" i="105"/>
  <c r="BE70" i="105" s="1"/>
  <c r="K71" i="105"/>
  <c r="BL66" i="17"/>
  <c r="BN66" i="17"/>
  <c r="BO66" i="17" s="1"/>
  <c r="BA66" i="17"/>
  <c r="BB66" i="17" s="1"/>
  <c r="AE66" i="17"/>
  <c r="AF66" i="17" s="1"/>
  <c r="AQ66" i="17"/>
  <c r="AR66" i="17" s="1"/>
  <c r="P66" i="17"/>
  <c r="AH66" i="17"/>
  <c r="AI66" i="17" s="1"/>
  <c r="O66" i="17"/>
  <c r="Y66" i="17"/>
  <c r="Z66" i="17" s="1"/>
  <c r="BG66" i="17"/>
  <c r="BH66" i="17" s="1"/>
  <c r="AN66" i="17"/>
  <c r="AO66" i="17" s="1"/>
  <c r="M66" i="17"/>
  <c r="AB66" i="17"/>
  <c r="AC66" i="17" s="1"/>
  <c r="AT66" i="17"/>
  <c r="AY66" i="17"/>
  <c r="V66" i="17"/>
  <c r="W66" i="17" s="1"/>
  <c r="AK66" i="17"/>
  <c r="AL66" i="17" s="1"/>
  <c r="BD66" i="17"/>
  <c r="BE66" i="17" s="1"/>
  <c r="AV66" i="17"/>
  <c r="AW66" i="17" s="1"/>
  <c r="BQ66" i="17"/>
  <c r="BR66" i="17" s="1"/>
  <c r="R66" i="17"/>
  <c r="T66" i="17" s="1"/>
  <c r="I74" i="114"/>
  <c r="K68" i="118"/>
  <c r="M67" i="118"/>
  <c r="BN67" i="118"/>
  <c r="BO67" i="118" s="1"/>
  <c r="AH67" i="118"/>
  <c r="AI67" i="118" s="1"/>
  <c r="AN67" i="118"/>
  <c r="AO67" i="118" s="1"/>
  <c r="AE67" i="118"/>
  <c r="AF67" i="118" s="1"/>
  <c r="BD67" i="118"/>
  <c r="BE67" i="118" s="1"/>
  <c r="BQ67" i="118"/>
  <c r="BR67" i="118" s="1"/>
  <c r="AV67" i="118"/>
  <c r="AW67" i="118" s="1"/>
  <c r="R67" i="118"/>
  <c r="T67" i="118" s="1"/>
  <c r="BA67" i="118"/>
  <c r="BB67" i="118" s="1"/>
  <c r="AK67" i="118"/>
  <c r="AL67" i="118" s="1"/>
  <c r="O67" i="118"/>
  <c r="V67" i="118"/>
  <c r="W67" i="118" s="1"/>
  <c r="AY67" i="118"/>
  <c r="Y67" i="118"/>
  <c r="Z67" i="118" s="1"/>
  <c r="AQ67" i="118"/>
  <c r="AR67" i="118" s="1"/>
  <c r="P67" i="118"/>
  <c r="BG67" i="118"/>
  <c r="BH67" i="118" s="1"/>
  <c r="AT67" i="118"/>
  <c r="AB67" i="118"/>
  <c r="AC67" i="118" s="1"/>
  <c r="I77" i="95"/>
  <c r="M70" i="136"/>
  <c r="BN70" i="136"/>
  <c r="BO70" i="136" s="1"/>
  <c r="BL70" i="136"/>
  <c r="AN70" i="136"/>
  <c r="AO70" i="136" s="1"/>
  <c r="AT70" i="136"/>
  <c r="V70" i="136"/>
  <c r="W70" i="136" s="1"/>
  <c r="AQ70" i="136"/>
  <c r="AR70" i="136" s="1"/>
  <c r="BA70" i="136"/>
  <c r="BB70" i="136" s="1"/>
  <c r="BQ70" i="136"/>
  <c r="BR70" i="136" s="1"/>
  <c r="R70" i="136"/>
  <c r="T70" i="136" s="1"/>
  <c r="AY70" i="136"/>
  <c r="AE70" i="136"/>
  <c r="AF70" i="136" s="1"/>
  <c r="Y70" i="136"/>
  <c r="Z70" i="136" s="1"/>
  <c r="O70" i="136"/>
  <c r="AB70" i="136"/>
  <c r="AC70" i="136" s="1"/>
  <c r="P70" i="136"/>
  <c r="AK70" i="136"/>
  <c r="AL70" i="136" s="1"/>
  <c r="AH70" i="136"/>
  <c r="AI70" i="136" s="1"/>
  <c r="BG70" i="136"/>
  <c r="BH70" i="136" s="1"/>
  <c r="AV70" i="136"/>
  <c r="AW70" i="136" s="1"/>
  <c r="BD70" i="136"/>
  <c r="BE70" i="136" s="1"/>
  <c r="K71" i="136"/>
  <c r="BN68" i="114"/>
  <c r="BO68" i="114" s="1"/>
  <c r="BK68" i="114"/>
  <c r="M68" i="114"/>
  <c r="BJ68" i="114"/>
  <c r="BL68" i="114" s="1"/>
  <c r="Y68" i="114"/>
  <c r="Z68" i="114" s="1"/>
  <c r="BQ68" i="114"/>
  <c r="BR68" i="114" s="1"/>
  <c r="AY68" i="114"/>
  <c r="BG68" i="114"/>
  <c r="BH68" i="114" s="1"/>
  <c r="V68" i="114"/>
  <c r="W68" i="114" s="1"/>
  <c r="AE68" i="114"/>
  <c r="AF68" i="114" s="1"/>
  <c r="BD68" i="114"/>
  <c r="BE68" i="114" s="1"/>
  <c r="AB68" i="114"/>
  <c r="AC68" i="114" s="1"/>
  <c r="P68" i="114"/>
  <c r="AN68" i="114"/>
  <c r="AO68" i="114" s="1"/>
  <c r="O68" i="114"/>
  <c r="AQ68" i="114"/>
  <c r="AR68" i="114" s="1"/>
  <c r="AT68" i="114"/>
  <c r="AH68" i="114"/>
  <c r="AI68" i="114" s="1"/>
  <c r="BA68" i="114"/>
  <c r="BB68" i="114" s="1"/>
  <c r="R68" i="114"/>
  <c r="T68" i="114" s="1"/>
  <c r="AK68" i="114"/>
  <c r="AL68" i="114" s="1"/>
  <c r="AV68" i="114"/>
  <c r="AW68" i="114" s="1"/>
  <c r="K69" i="114"/>
  <c r="AK66" i="66"/>
  <c r="AL66" i="66" s="1"/>
  <c r="BD66" i="66"/>
  <c r="BE66" i="66" s="1"/>
  <c r="AB66" i="66"/>
  <c r="AC66" i="66" s="1"/>
  <c r="BQ66" i="66"/>
  <c r="BR66" i="66" s="1"/>
  <c r="AN66" i="66"/>
  <c r="AO66" i="66" s="1"/>
  <c r="AY66" i="66"/>
  <c r="R66" i="66"/>
  <c r="T66" i="66" s="1"/>
  <c r="AE66" i="66"/>
  <c r="AF66" i="66" s="1"/>
  <c r="O66" i="66"/>
  <c r="P66" i="66"/>
  <c r="BA66" i="66"/>
  <c r="BB66" i="66" s="1"/>
  <c r="AH66" i="66"/>
  <c r="AI66" i="66" s="1"/>
  <c r="AQ66" i="66"/>
  <c r="AR66" i="66" s="1"/>
  <c r="Y66" i="66"/>
  <c r="Z66" i="66" s="1"/>
  <c r="AT66" i="66"/>
  <c r="V66" i="66"/>
  <c r="W66" i="66" s="1"/>
  <c r="M66" i="66"/>
  <c r="AV66" i="66"/>
  <c r="AW66" i="66" s="1"/>
  <c r="BG66" i="66"/>
  <c r="BH66" i="66" s="1"/>
  <c r="BN66" i="66"/>
  <c r="BO66" i="66" s="1"/>
  <c r="BL66" i="66"/>
  <c r="I72" i="15"/>
  <c r="K69" i="96"/>
  <c r="I70" i="96"/>
  <c r="K67" i="13"/>
  <c r="I68" i="13"/>
  <c r="M67" i="101"/>
  <c r="BA67" i="101"/>
  <c r="BB67" i="101" s="1"/>
  <c r="AH67" i="101"/>
  <c r="AI67" i="101" s="1"/>
  <c r="BQ67" i="101"/>
  <c r="BR67" i="101" s="1"/>
  <c r="BG67" i="101"/>
  <c r="BH67" i="101" s="1"/>
  <c r="AK67" i="101"/>
  <c r="AL67" i="101" s="1"/>
  <c r="P67" i="101"/>
  <c r="AB67" i="101"/>
  <c r="AC67" i="101" s="1"/>
  <c r="AT67" i="101"/>
  <c r="AY67" i="101"/>
  <c r="AQ67" i="101"/>
  <c r="AR67" i="101" s="1"/>
  <c r="AV67" i="101"/>
  <c r="AW67" i="101" s="1"/>
  <c r="Y67" i="101"/>
  <c r="Z67" i="101" s="1"/>
  <c r="AE67" i="101"/>
  <c r="AF67" i="101" s="1"/>
  <c r="O67" i="101"/>
  <c r="BD67" i="101"/>
  <c r="BE67" i="101" s="1"/>
  <c r="AN67" i="101"/>
  <c r="AO67" i="101" s="1"/>
  <c r="V67" i="101"/>
  <c r="W67" i="101" s="1"/>
  <c r="R67" i="101"/>
  <c r="T67" i="101" s="1"/>
  <c r="I68" i="17"/>
  <c r="K67" i="17"/>
  <c r="I74" i="136"/>
  <c r="I72" i="104"/>
  <c r="V68" i="96"/>
  <c r="W68" i="96" s="1"/>
  <c r="AK68" i="96"/>
  <c r="AL68" i="96" s="1"/>
  <c r="BA68" i="96"/>
  <c r="BB68" i="96" s="1"/>
  <c r="R68" i="96"/>
  <c r="T68" i="96" s="1"/>
  <c r="O68" i="96"/>
  <c r="AE68" i="96"/>
  <c r="AF68" i="96" s="1"/>
  <c r="BN68" i="96"/>
  <c r="BO68" i="96" s="1"/>
  <c r="AN68" i="96"/>
  <c r="AO68" i="96" s="1"/>
  <c r="AV68" i="96"/>
  <c r="AW68" i="96" s="1"/>
  <c r="BD68" i="96"/>
  <c r="BE68" i="96" s="1"/>
  <c r="BQ68" i="96"/>
  <c r="BR68" i="96" s="1"/>
  <c r="AH68" i="96"/>
  <c r="AI68" i="96" s="1"/>
  <c r="Y68" i="96"/>
  <c r="Z68" i="96" s="1"/>
  <c r="AQ68" i="96"/>
  <c r="AR68" i="96" s="1"/>
  <c r="AB68" i="96"/>
  <c r="AC68" i="96" s="1"/>
  <c r="M68" i="96"/>
  <c r="BG68" i="96"/>
  <c r="BH68" i="96" s="1"/>
  <c r="AT68" i="96"/>
  <c r="P68" i="96"/>
  <c r="BL68" i="96"/>
  <c r="BN66" i="13"/>
  <c r="BO66" i="13" s="1"/>
  <c r="M66" i="13"/>
  <c r="BL66" i="13"/>
  <c r="V66" i="13"/>
  <c r="W66" i="13" s="1"/>
  <c r="AK66" i="13"/>
  <c r="AL66" i="13" s="1"/>
  <c r="BG66" i="13"/>
  <c r="BH66" i="13" s="1"/>
  <c r="Y66" i="13"/>
  <c r="Z66" i="13" s="1"/>
  <c r="BA66" i="13"/>
  <c r="BB66" i="13" s="1"/>
  <c r="AN66" i="13"/>
  <c r="AO66" i="13" s="1"/>
  <c r="AY66" i="13"/>
  <c r="AE66" i="13"/>
  <c r="AF66" i="13" s="1"/>
  <c r="AH66" i="13"/>
  <c r="AI66" i="13" s="1"/>
  <c r="AQ66" i="13"/>
  <c r="AR66" i="13" s="1"/>
  <c r="BD66" i="13"/>
  <c r="BE66" i="13" s="1"/>
  <c r="AB66" i="13"/>
  <c r="AC66" i="13" s="1"/>
  <c r="P66" i="13"/>
  <c r="AT66" i="13"/>
  <c r="BQ66" i="13"/>
  <c r="BR66" i="13" s="1"/>
  <c r="AV66" i="13"/>
  <c r="AW66" i="13" s="1"/>
  <c r="O66" i="13"/>
  <c r="R66" i="13"/>
  <c r="T66" i="13" s="1"/>
  <c r="I69" i="101"/>
  <c r="K68" i="101"/>
  <c r="BA66" i="120"/>
  <c r="BB66" i="120" s="1"/>
  <c r="P66" i="120"/>
  <c r="BG66" i="120"/>
  <c r="BH66" i="120" s="1"/>
  <c r="AK66" i="120"/>
  <c r="AL66" i="120" s="1"/>
  <c r="O66" i="120"/>
  <c r="V66" i="120"/>
  <c r="W66" i="120" s="1"/>
  <c r="Y66" i="120"/>
  <c r="Z66" i="120" s="1"/>
  <c r="AQ66" i="120"/>
  <c r="AR66" i="120" s="1"/>
  <c r="AB66" i="120"/>
  <c r="AC66" i="120" s="1"/>
  <c r="AT66" i="120"/>
  <c r="AN66" i="120"/>
  <c r="AO66" i="120" s="1"/>
  <c r="BQ66" i="120"/>
  <c r="BR66" i="120" s="1"/>
  <c r="K67" i="120"/>
  <c r="M66" i="120"/>
  <c r="AY66" i="120"/>
  <c r="R66" i="120"/>
  <c r="T66" i="120" s="1"/>
  <c r="AV66" i="120"/>
  <c r="AW66" i="120" s="1"/>
  <c r="AE66" i="120"/>
  <c r="AF66" i="120" s="1"/>
  <c r="BD66" i="120"/>
  <c r="BE66" i="120" s="1"/>
  <c r="AH66" i="120"/>
  <c r="AI66" i="120" s="1"/>
  <c r="BN66" i="120"/>
  <c r="BO66" i="120" s="1"/>
  <c r="M72" i="124"/>
  <c r="BN72" i="124"/>
  <c r="BO72" i="124" s="1"/>
  <c r="BJ72" i="124"/>
  <c r="BL72" i="124" s="1"/>
  <c r="BK72" i="124"/>
  <c r="K73" i="124"/>
  <c r="AY72" i="124"/>
  <c r="AV72" i="124"/>
  <c r="AW72" i="124" s="1"/>
  <c r="Y72" i="124"/>
  <c r="Z72" i="124" s="1"/>
  <c r="AT72" i="124"/>
  <c r="BD72" i="124"/>
  <c r="BE72" i="124" s="1"/>
  <c r="AQ72" i="124"/>
  <c r="AR72" i="124" s="1"/>
  <c r="AE72" i="124"/>
  <c r="AF72" i="124" s="1"/>
  <c r="BA72" i="124"/>
  <c r="BB72" i="124" s="1"/>
  <c r="V72" i="124"/>
  <c r="W72" i="124" s="1"/>
  <c r="AB72" i="124"/>
  <c r="AC72" i="124" s="1"/>
  <c r="AN72" i="124"/>
  <c r="AO72" i="124" s="1"/>
  <c r="O72" i="124"/>
  <c r="R72" i="124"/>
  <c r="T72" i="124" s="1"/>
  <c r="AK72" i="124"/>
  <c r="AL72" i="124" s="1"/>
  <c r="AH72" i="124"/>
  <c r="AI72" i="124" s="1"/>
  <c r="BG72" i="124"/>
  <c r="BH72" i="124" s="1"/>
  <c r="P72" i="124"/>
  <c r="BQ72" i="124"/>
  <c r="BR72" i="124" s="1"/>
  <c r="BL67" i="15"/>
  <c r="M67" i="15"/>
  <c r="BN67" i="15"/>
  <c r="BO67" i="15" s="1"/>
  <c r="BD67" i="15"/>
  <c r="BE67" i="15" s="1"/>
  <c r="AY67" i="15"/>
  <c r="P67" i="15"/>
  <c r="AN67" i="15"/>
  <c r="AO67" i="15" s="1"/>
  <c r="AV67" i="15"/>
  <c r="AW67" i="15" s="1"/>
  <c r="Y67" i="15"/>
  <c r="Z67" i="15" s="1"/>
  <c r="BG67" i="15"/>
  <c r="BH67" i="15" s="1"/>
  <c r="V67" i="15"/>
  <c r="W67" i="15" s="1"/>
  <c r="O67" i="15"/>
  <c r="AQ67" i="15"/>
  <c r="AR67" i="15" s="1"/>
  <c r="AT67" i="15"/>
  <c r="R67" i="15"/>
  <c r="T67" i="15" s="1"/>
  <c r="BA67" i="15"/>
  <c r="BB67" i="15" s="1"/>
  <c r="AE67" i="15"/>
  <c r="AF67" i="15" s="1"/>
  <c r="AB67" i="15"/>
  <c r="AC67" i="15" s="1"/>
  <c r="AK67" i="15"/>
  <c r="AL67" i="15" s="1"/>
  <c r="BQ67" i="15"/>
  <c r="BR67" i="15" s="1"/>
  <c r="AH67" i="15"/>
  <c r="AI67" i="15" s="1"/>
  <c r="K68" i="15"/>
  <c r="BK72" i="107" l="1"/>
  <c r="V72" i="107"/>
  <c r="W72" i="107" s="1"/>
  <c r="BG72" i="107"/>
  <c r="BH72" i="107" s="1"/>
  <c r="BD72" i="107"/>
  <c r="BE72" i="107" s="1"/>
  <c r="AN72" i="107"/>
  <c r="AO72" i="107" s="1"/>
  <c r="R72" i="107"/>
  <c r="T72" i="107" s="1"/>
  <c r="AE72" i="107"/>
  <c r="AF72" i="107" s="1"/>
  <c r="BQ72" i="107"/>
  <c r="BR72" i="107" s="1"/>
  <c r="AQ72" i="107"/>
  <c r="AR72" i="107" s="1"/>
  <c r="BA72" i="107"/>
  <c r="BB72" i="107" s="1"/>
  <c r="AY72" i="107"/>
  <c r="BN72" i="107"/>
  <c r="BO72" i="107" s="1"/>
  <c r="BJ72" i="107"/>
  <c r="BL72" i="107" s="1"/>
  <c r="P72" i="107"/>
  <c r="AT72" i="107"/>
  <c r="AV72" i="107"/>
  <c r="AW72" i="107" s="1"/>
  <c r="AK72" i="107"/>
  <c r="AL72" i="107" s="1"/>
  <c r="M72" i="107"/>
  <c r="AH72" i="107"/>
  <c r="AI72" i="107" s="1"/>
  <c r="AB72" i="107"/>
  <c r="AC72" i="107" s="1"/>
  <c r="Y72" i="107"/>
  <c r="Z72" i="107" s="1"/>
  <c r="O72" i="107"/>
  <c r="BD70" i="132"/>
  <c r="BE70" i="132" s="1"/>
  <c r="AY70" i="132"/>
  <c r="BA70" i="132"/>
  <c r="BB70" i="132" s="1"/>
  <c r="BL70" i="132"/>
  <c r="V70" i="132"/>
  <c r="W70" i="132" s="1"/>
  <c r="BN70" i="132"/>
  <c r="BO70" i="132" s="1"/>
  <c r="AV70" i="132"/>
  <c r="AW70" i="132" s="1"/>
  <c r="K71" i="132"/>
  <c r="AN70" i="132"/>
  <c r="AO70" i="132" s="1"/>
  <c r="AT70" i="132"/>
  <c r="AK70" i="132"/>
  <c r="AL70" i="132" s="1"/>
  <c r="R70" i="132"/>
  <c r="T70" i="132" s="1"/>
  <c r="AB70" i="132"/>
  <c r="AC70" i="132" s="1"/>
  <c r="AQ70" i="132"/>
  <c r="AR70" i="132" s="1"/>
  <c r="P70" i="132"/>
  <c r="AH70" i="132"/>
  <c r="AI70" i="132" s="1"/>
  <c r="BG70" i="132"/>
  <c r="BH70" i="132" s="1"/>
  <c r="M70" i="132"/>
  <c r="BQ70" i="132"/>
  <c r="BR70" i="132" s="1"/>
  <c r="AE70" i="132"/>
  <c r="AF70" i="132" s="1"/>
  <c r="Y70" i="132"/>
  <c r="Z70" i="132" s="1"/>
  <c r="O70" i="132"/>
  <c r="BG70" i="99"/>
  <c r="BH70" i="99" s="1"/>
  <c r="BJ70" i="99"/>
  <c r="BL70" i="99" s="1"/>
  <c r="AK70" i="99"/>
  <c r="AL70" i="99" s="1"/>
  <c r="AE70" i="99"/>
  <c r="AF70" i="99" s="1"/>
  <c r="AN70" i="99"/>
  <c r="AO70" i="99" s="1"/>
  <c r="P70" i="99"/>
  <c r="BN70" i="99"/>
  <c r="BO70" i="99" s="1"/>
  <c r="AY70" i="99"/>
  <c r="V70" i="99"/>
  <c r="W70" i="99" s="1"/>
  <c r="AB70" i="99"/>
  <c r="AC70" i="99" s="1"/>
  <c r="O70" i="99"/>
  <c r="K71" i="99"/>
  <c r="R70" i="99"/>
  <c r="T70" i="99" s="1"/>
  <c r="AH70" i="99"/>
  <c r="AI70" i="99" s="1"/>
  <c r="Y70" i="99"/>
  <c r="Z70" i="99" s="1"/>
  <c r="BQ70" i="99"/>
  <c r="BR70" i="99" s="1"/>
  <c r="AQ70" i="99"/>
  <c r="AR70" i="99" s="1"/>
  <c r="BD70" i="99"/>
  <c r="BE70" i="99" s="1"/>
  <c r="M70" i="99"/>
  <c r="BK70" i="99"/>
  <c r="AV70" i="99"/>
  <c r="AW70" i="99" s="1"/>
  <c r="BA70" i="99"/>
  <c r="BB70" i="99" s="1"/>
  <c r="AT70" i="99"/>
  <c r="I74" i="107"/>
  <c r="K73" i="107"/>
  <c r="BR103" i="161"/>
  <c r="AY103" i="161"/>
  <c r="AT103" i="161"/>
  <c r="AK103" i="161"/>
  <c r="AL103" i="161" s="1"/>
  <c r="V103" i="161"/>
  <c r="W103" i="161" s="1"/>
  <c r="O103" i="161"/>
  <c r="BA103" i="161"/>
  <c r="BB103" i="161" s="1"/>
  <c r="AQ103" i="161"/>
  <c r="AR103" i="161" s="1"/>
  <c r="AB103" i="161"/>
  <c r="AC103" i="161" s="1"/>
  <c r="BG103" i="161"/>
  <c r="BH103" i="161" s="1"/>
  <c r="AH103" i="161"/>
  <c r="AI103" i="161" s="1"/>
  <c r="Y103" i="161"/>
  <c r="Z103" i="161" s="1"/>
  <c r="R103" i="161"/>
  <c r="T103" i="161" s="1"/>
  <c r="AE103" i="161"/>
  <c r="AF103" i="161" s="1"/>
  <c r="BD103" i="161"/>
  <c r="BE103" i="161" s="1"/>
  <c r="AV103" i="161"/>
  <c r="AW103" i="161" s="1"/>
  <c r="P103" i="161"/>
  <c r="AN103" i="161"/>
  <c r="AO103" i="161" s="1"/>
  <c r="BK103" i="161"/>
  <c r="BN103" i="161"/>
  <c r="BO103" i="161" s="1"/>
  <c r="M103" i="161"/>
  <c r="BJ103" i="161"/>
  <c r="BL103" i="161" s="1"/>
  <c r="I105" i="161"/>
  <c r="K104" i="161"/>
  <c r="BQ104" i="161" s="1"/>
  <c r="V73" i="156"/>
  <c r="W73" i="156" s="1"/>
  <c r="P73" i="156"/>
  <c r="AK73" i="156"/>
  <c r="AL73" i="156" s="1"/>
  <c r="BL73" i="156"/>
  <c r="AB73" i="156"/>
  <c r="AC73" i="156" s="1"/>
  <c r="AV73" i="156"/>
  <c r="AW73" i="156" s="1"/>
  <c r="AQ73" i="156"/>
  <c r="AR73" i="156" s="1"/>
  <c r="AH73" i="156"/>
  <c r="AI73" i="156" s="1"/>
  <c r="BN73" i="156"/>
  <c r="BO73" i="156" s="1"/>
  <c r="BD73" i="156"/>
  <c r="BE73" i="156" s="1"/>
  <c r="AN73" i="156"/>
  <c r="AO73" i="156" s="1"/>
  <c r="R73" i="156"/>
  <c r="T73" i="156" s="1"/>
  <c r="M73" i="156"/>
  <c r="BA73" i="156"/>
  <c r="BB73" i="156" s="1"/>
  <c r="Y73" i="156"/>
  <c r="Z73" i="156" s="1"/>
  <c r="O73" i="156"/>
  <c r="BG73" i="156"/>
  <c r="BH73" i="156" s="1"/>
  <c r="AE73" i="156"/>
  <c r="AF73" i="156" s="1"/>
  <c r="BQ73" i="156"/>
  <c r="BR73" i="156" s="1"/>
  <c r="BK68" i="112"/>
  <c r="BQ68" i="112"/>
  <c r="BR68" i="112" s="1"/>
  <c r="V68" i="112"/>
  <c r="W68" i="112" s="1"/>
  <c r="Y68" i="112"/>
  <c r="Z68" i="112" s="1"/>
  <c r="K69" i="112"/>
  <c r="AY68" i="112"/>
  <c r="O68" i="112"/>
  <c r="BD68" i="112"/>
  <c r="BE68" i="112" s="1"/>
  <c r="AK68" i="112"/>
  <c r="AL68" i="112" s="1"/>
  <c r="AT68" i="112"/>
  <c r="BA68" i="112"/>
  <c r="BB68" i="112" s="1"/>
  <c r="BJ68" i="112"/>
  <c r="BL68" i="112" s="1"/>
  <c r="P68" i="112"/>
  <c r="BG68" i="112"/>
  <c r="BH68" i="112" s="1"/>
  <c r="AE68" i="112"/>
  <c r="AF68" i="112" s="1"/>
  <c r="M68" i="112"/>
  <c r="AB68" i="112"/>
  <c r="AC68" i="112" s="1"/>
  <c r="AN68" i="112"/>
  <c r="AO68" i="112" s="1"/>
  <c r="AV68" i="112"/>
  <c r="AW68" i="112" s="1"/>
  <c r="BN68" i="112"/>
  <c r="BO68" i="112" s="1"/>
  <c r="AH68" i="112"/>
  <c r="AI68" i="112" s="1"/>
  <c r="AQ68" i="112"/>
  <c r="AR68" i="112" s="1"/>
  <c r="R68" i="112"/>
  <c r="T68" i="112" s="1"/>
  <c r="I75" i="106"/>
  <c r="AB68" i="104"/>
  <c r="AC68" i="104" s="1"/>
  <c r="O68" i="104"/>
  <c r="AK68" i="104"/>
  <c r="AL68" i="104" s="1"/>
  <c r="P68" i="104"/>
  <c r="AN68" i="104"/>
  <c r="AO68" i="104" s="1"/>
  <c r="BG68" i="104"/>
  <c r="BH68" i="104" s="1"/>
  <c r="BN68" i="104"/>
  <c r="BO68" i="104" s="1"/>
  <c r="AE68" i="104"/>
  <c r="AF68" i="104" s="1"/>
  <c r="AH68" i="104"/>
  <c r="AI68" i="104" s="1"/>
  <c r="Y68" i="104"/>
  <c r="Z68" i="104" s="1"/>
  <c r="BK68" i="104"/>
  <c r="R68" i="104"/>
  <c r="T68" i="104" s="1"/>
  <c r="AT68" i="104"/>
  <c r="AY68" i="104"/>
  <c r="K69" i="104"/>
  <c r="BJ68" i="104"/>
  <c r="BL68" i="104" s="1"/>
  <c r="BD68" i="104"/>
  <c r="BE68" i="104" s="1"/>
  <c r="AQ68" i="104"/>
  <c r="AR68" i="104" s="1"/>
  <c r="BA68" i="104"/>
  <c r="BB68" i="104" s="1"/>
  <c r="M68" i="104"/>
  <c r="AV68" i="104"/>
  <c r="AW68" i="104" s="1"/>
  <c r="V68" i="104"/>
  <c r="W68" i="104" s="1"/>
  <c r="BQ68" i="104"/>
  <c r="BR68" i="104" s="1"/>
  <c r="BJ68" i="106"/>
  <c r="BL68" i="106" s="1"/>
  <c r="AK68" i="106"/>
  <c r="AL68" i="106" s="1"/>
  <c r="Y68" i="106"/>
  <c r="Z68" i="106" s="1"/>
  <c r="BG68" i="106"/>
  <c r="BH68" i="106" s="1"/>
  <c r="BN68" i="106"/>
  <c r="BO68" i="106" s="1"/>
  <c r="AN68" i="106"/>
  <c r="AO68" i="106" s="1"/>
  <c r="AV68" i="106"/>
  <c r="AW68" i="106" s="1"/>
  <c r="AQ68" i="106"/>
  <c r="AR68" i="106" s="1"/>
  <c r="BK68" i="106"/>
  <c r="V68" i="106"/>
  <c r="W68" i="106" s="1"/>
  <c r="BD68" i="106"/>
  <c r="BE68" i="106" s="1"/>
  <c r="P68" i="106"/>
  <c r="AY68" i="106"/>
  <c r="AB68" i="106"/>
  <c r="AC68" i="106" s="1"/>
  <c r="BA68" i="106"/>
  <c r="BB68" i="106" s="1"/>
  <c r="AH68" i="106"/>
  <c r="AI68" i="106" s="1"/>
  <c r="AT68" i="106"/>
  <c r="R68" i="106"/>
  <c r="T68" i="106" s="1"/>
  <c r="M68" i="106"/>
  <c r="BQ68" i="106"/>
  <c r="BR68" i="106" s="1"/>
  <c r="AE68" i="106"/>
  <c r="AF68" i="106" s="1"/>
  <c r="O68" i="106"/>
  <c r="K69" i="106"/>
  <c r="M67" i="95"/>
  <c r="AH67" i="95"/>
  <c r="AI67" i="95" s="1"/>
  <c r="P67" i="95"/>
  <c r="AT67" i="95"/>
  <c r="BN67" i="95"/>
  <c r="BO67" i="95" s="1"/>
  <c r="R67" i="95"/>
  <c r="T67" i="95" s="1"/>
  <c r="Y67" i="95"/>
  <c r="Z67" i="95" s="1"/>
  <c r="AE67" i="95"/>
  <c r="AF67" i="95" s="1"/>
  <c r="BL67" i="95"/>
  <c r="AQ67" i="95"/>
  <c r="AR67" i="95" s="1"/>
  <c r="BG67" i="95"/>
  <c r="BH67" i="95" s="1"/>
  <c r="K68" i="95"/>
  <c r="AB67" i="95"/>
  <c r="AC67" i="95" s="1"/>
  <c r="O67" i="95"/>
  <c r="BA67" i="95"/>
  <c r="BB67" i="95" s="1"/>
  <c r="AN67" i="95"/>
  <c r="AO67" i="95" s="1"/>
  <c r="BD67" i="95"/>
  <c r="BE67" i="95" s="1"/>
  <c r="AK67" i="95"/>
  <c r="AL67" i="95" s="1"/>
  <c r="V67" i="95"/>
  <c r="W67" i="95" s="1"/>
  <c r="BQ67" i="95"/>
  <c r="BR67" i="95" s="1"/>
  <c r="AV67" i="95"/>
  <c r="AW67" i="95" s="1"/>
  <c r="BG71" i="133"/>
  <c r="BH71" i="133" s="1"/>
  <c r="BD71" i="133"/>
  <c r="BE71" i="133" s="1"/>
  <c r="V71" i="133"/>
  <c r="W71" i="133" s="1"/>
  <c r="K72" i="133"/>
  <c r="AN71" i="133"/>
  <c r="AO71" i="133" s="1"/>
  <c r="O71" i="133"/>
  <c r="AB71" i="133"/>
  <c r="AC71" i="133" s="1"/>
  <c r="AT71" i="133"/>
  <c r="AY71" i="133"/>
  <c r="BQ71" i="133"/>
  <c r="BR71" i="133" s="1"/>
  <c r="BN71" i="133"/>
  <c r="BO71" i="133" s="1"/>
  <c r="AV71" i="133"/>
  <c r="AW71" i="133" s="1"/>
  <c r="BA71" i="133"/>
  <c r="BB71" i="133" s="1"/>
  <c r="AK71" i="133"/>
  <c r="AL71" i="133" s="1"/>
  <c r="M71" i="133"/>
  <c r="AH71" i="133"/>
  <c r="AI71" i="133" s="1"/>
  <c r="AE71" i="133"/>
  <c r="AF71" i="133" s="1"/>
  <c r="Y71" i="133"/>
  <c r="Z71" i="133" s="1"/>
  <c r="BL71" i="133"/>
  <c r="P71" i="133"/>
  <c r="R71" i="133"/>
  <c r="T71" i="133" s="1"/>
  <c r="AQ71" i="133"/>
  <c r="AR71" i="133" s="1"/>
  <c r="I75" i="156"/>
  <c r="K74" i="156"/>
  <c r="AY74" i="156" s="1"/>
  <c r="M69" i="129"/>
  <c r="AB69" i="129"/>
  <c r="AC69" i="129" s="1"/>
  <c r="V69" i="129"/>
  <c r="W69" i="129" s="1"/>
  <c r="BA69" i="129"/>
  <c r="BB69" i="129" s="1"/>
  <c r="K70" i="129"/>
  <c r="AN69" i="129"/>
  <c r="AO69" i="129" s="1"/>
  <c r="AV69" i="129"/>
  <c r="AW69" i="129" s="1"/>
  <c r="AY69" i="129"/>
  <c r="BG69" i="129"/>
  <c r="BH69" i="129" s="1"/>
  <c r="P69" i="129"/>
  <c r="R69" i="129"/>
  <c r="T69" i="129" s="1"/>
  <c r="BL69" i="129"/>
  <c r="AE69" i="129"/>
  <c r="AF69" i="129" s="1"/>
  <c r="BD69" i="129"/>
  <c r="BE69" i="129" s="1"/>
  <c r="Y69" i="129"/>
  <c r="Z69" i="129" s="1"/>
  <c r="AQ69" i="129"/>
  <c r="AR69" i="129" s="1"/>
  <c r="O69" i="129"/>
  <c r="AK69" i="129"/>
  <c r="AL69" i="129" s="1"/>
  <c r="BN69" i="129"/>
  <c r="BO69" i="129" s="1"/>
  <c r="AH69" i="129"/>
  <c r="AI69" i="129" s="1"/>
  <c r="AT69" i="129"/>
  <c r="BQ69" i="129"/>
  <c r="BR69" i="129" s="1"/>
  <c r="BL69" i="130"/>
  <c r="BN69" i="130"/>
  <c r="BO69" i="130" s="1"/>
  <c r="K70" i="130"/>
  <c r="M69" i="130"/>
  <c r="AB69" i="130"/>
  <c r="AC69" i="130" s="1"/>
  <c r="AT69" i="130"/>
  <c r="AH69" i="130"/>
  <c r="AI69" i="130" s="1"/>
  <c r="AE69" i="130"/>
  <c r="AF69" i="130" s="1"/>
  <c r="AQ69" i="130"/>
  <c r="AR69" i="130" s="1"/>
  <c r="AN69" i="130"/>
  <c r="AO69" i="130" s="1"/>
  <c r="BQ69" i="130"/>
  <c r="BR69" i="130" s="1"/>
  <c r="BG69" i="130"/>
  <c r="BH69" i="130" s="1"/>
  <c r="BD69" i="130"/>
  <c r="BE69" i="130" s="1"/>
  <c r="Y69" i="130"/>
  <c r="Z69" i="130" s="1"/>
  <c r="BA69" i="130"/>
  <c r="BB69" i="130" s="1"/>
  <c r="AK69" i="130"/>
  <c r="AL69" i="130" s="1"/>
  <c r="P69" i="130"/>
  <c r="AY69" i="130"/>
  <c r="V69" i="130"/>
  <c r="W69" i="130" s="1"/>
  <c r="AV69" i="130"/>
  <c r="AW69" i="130" s="1"/>
  <c r="R69" i="130"/>
  <c r="T69" i="130" s="1"/>
  <c r="O69" i="130"/>
  <c r="BD21" i="151"/>
  <c r="BE21" i="151" s="1"/>
  <c r="AV21" i="151"/>
  <c r="AW21" i="151" s="1"/>
  <c r="O74" i="155"/>
  <c r="V74" i="155"/>
  <c r="W74" i="155" s="1"/>
  <c r="AB74" i="155"/>
  <c r="AC74" i="155" s="1"/>
  <c r="AH74" i="155"/>
  <c r="AI74" i="155" s="1"/>
  <c r="AN74" i="155"/>
  <c r="AO74" i="155" s="1"/>
  <c r="BA74" i="155"/>
  <c r="BB74" i="155" s="1"/>
  <c r="BG74" i="155"/>
  <c r="BH74" i="155" s="1"/>
  <c r="P74" i="155"/>
  <c r="AV74" i="155"/>
  <c r="AW74" i="155" s="1"/>
  <c r="BN74" i="155"/>
  <c r="BO74" i="155" s="1"/>
  <c r="M74" i="155"/>
  <c r="R74" i="155"/>
  <c r="T74" i="155" s="1"/>
  <c r="AE74" i="155"/>
  <c r="AF74" i="155" s="1"/>
  <c r="AQ74" i="155"/>
  <c r="AR74" i="155" s="1"/>
  <c r="BD74" i="155"/>
  <c r="BE74" i="155" s="1"/>
  <c r="BQ74" i="155"/>
  <c r="BR74" i="155" s="1"/>
  <c r="Y74" i="155"/>
  <c r="Z74" i="155" s="1"/>
  <c r="AK74" i="155"/>
  <c r="AL74" i="155" s="1"/>
  <c r="BL74" i="155"/>
  <c r="I76" i="155"/>
  <c r="K75" i="155"/>
  <c r="AV20" i="149"/>
  <c r="AW20" i="149" s="1"/>
  <c r="BD20" i="149"/>
  <c r="BE20" i="149" s="1"/>
  <c r="AT22" i="151"/>
  <c r="I79" i="153"/>
  <c r="O74" i="153"/>
  <c r="V74" i="153"/>
  <c r="W74" i="153" s="1"/>
  <c r="AB74" i="153"/>
  <c r="AC74" i="153" s="1"/>
  <c r="AH74" i="153"/>
  <c r="AI74" i="153" s="1"/>
  <c r="AN74" i="153"/>
  <c r="AO74" i="153" s="1"/>
  <c r="BA74" i="153"/>
  <c r="BB74" i="153" s="1"/>
  <c r="BG74" i="153"/>
  <c r="BH74" i="153" s="1"/>
  <c r="P74" i="153"/>
  <c r="AV74" i="153"/>
  <c r="AW74" i="153" s="1"/>
  <c r="BN74" i="153"/>
  <c r="BO74" i="153" s="1"/>
  <c r="R74" i="153"/>
  <c r="T74" i="153" s="1"/>
  <c r="Y74" i="153"/>
  <c r="Z74" i="153" s="1"/>
  <c r="AE74" i="153"/>
  <c r="AF74" i="153" s="1"/>
  <c r="AK74" i="153"/>
  <c r="AL74" i="153" s="1"/>
  <c r="AQ74" i="153"/>
  <c r="AR74" i="153" s="1"/>
  <c r="BD74" i="153"/>
  <c r="BE74" i="153" s="1"/>
  <c r="M74" i="153"/>
  <c r="BQ74" i="153"/>
  <c r="BR74" i="153" s="1"/>
  <c r="BL74" i="153"/>
  <c r="K75" i="153"/>
  <c r="I83" i="152"/>
  <c r="O74" i="152"/>
  <c r="V74" i="152"/>
  <c r="W74" i="152" s="1"/>
  <c r="AB74" i="152"/>
  <c r="AC74" i="152" s="1"/>
  <c r="AH74" i="152"/>
  <c r="AI74" i="152" s="1"/>
  <c r="AN74" i="152"/>
  <c r="AO74" i="152" s="1"/>
  <c r="BA74" i="152"/>
  <c r="BB74" i="152" s="1"/>
  <c r="BG74" i="152"/>
  <c r="BH74" i="152" s="1"/>
  <c r="P74" i="152"/>
  <c r="AV74" i="152"/>
  <c r="AW74" i="152" s="1"/>
  <c r="BN74" i="152"/>
  <c r="BO74" i="152" s="1"/>
  <c r="M74" i="152"/>
  <c r="R74" i="152"/>
  <c r="T74" i="152" s="1"/>
  <c r="AE74" i="152"/>
  <c r="AF74" i="152" s="1"/>
  <c r="AQ74" i="152"/>
  <c r="AR74" i="152" s="1"/>
  <c r="BD74" i="152"/>
  <c r="BE74" i="152" s="1"/>
  <c r="AK74" i="152"/>
  <c r="AL74" i="152" s="1"/>
  <c r="Y74" i="152"/>
  <c r="Z74" i="152" s="1"/>
  <c r="BQ74" i="152"/>
  <c r="BR74" i="152" s="1"/>
  <c r="BL74" i="152"/>
  <c r="K75" i="152"/>
  <c r="BQ72" i="151"/>
  <c r="BR72" i="151" s="1"/>
  <c r="AY72" i="151"/>
  <c r="AV72" i="151"/>
  <c r="AW72" i="151" s="1"/>
  <c r="P72" i="151"/>
  <c r="BD72" i="151"/>
  <c r="BE72" i="151" s="1"/>
  <c r="AQ72" i="151"/>
  <c r="AR72" i="151" s="1"/>
  <c r="AE72" i="151"/>
  <c r="AF72" i="151" s="1"/>
  <c r="R72" i="151"/>
  <c r="T72" i="151" s="1"/>
  <c r="AK72" i="151"/>
  <c r="AL72" i="151" s="1"/>
  <c r="Y72" i="151"/>
  <c r="Z72" i="151" s="1"/>
  <c r="BA72" i="151"/>
  <c r="BB72" i="151" s="1"/>
  <c r="AB72" i="151"/>
  <c r="AC72" i="151" s="1"/>
  <c r="AT72" i="151"/>
  <c r="V72" i="151"/>
  <c r="W72" i="151" s="1"/>
  <c r="AN72" i="151"/>
  <c r="AO72" i="151" s="1"/>
  <c r="O72" i="151"/>
  <c r="BG72" i="151"/>
  <c r="BH72" i="151" s="1"/>
  <c r="AH72" i="151"/>
  <c r="AI72" i="151" s="1"/>
  <c r="BN72" i="151"/>
  <c r="BO72" i="151" s="1"/>
  <c r="M72" i="151"/>
  <c r="BL72" i="151"/>
  <c r="I74" i="151"/>
  <c r="K73" i="151"/>
  <c r="AV71" i="150"/>
  <c r="AW71" i="150" s="1"/>
  <c r="P71" i="150"/>
  <c r="BG71" i="150"/>
  <c r="BH71" i="150" s="1"/>
  <c r="BA71" i="150"/>
  <c r="BB71" i="150" s="1"/>
  <c r="AT71" i="150"/>
  <c r="AN71" i="150"/>
  <c r="AO71" i="150" s="1"/>
  <c r="AH71" i="150"/>
  <c r="AI71" i="150" s="1"/>
  <c r="AB71" i="150"/>
  <c r="AC71" i="150" s="1"/>
  <c r="V71" i="150"/>
  <c r="W71" i="150" s="1"/>
  <c r="O71" i="150"/>
  <c r="BQ71" i="150"/>
  <c r="BR71" i="150" s="1"/>
  <c r="AY71" i="150"/>
  <c r="AQ71" i="150"/>
  <c r="AR71" i="150" s="1"/>
  <c r="R71" i="150"/>
  <c r="T71" i="150" s="1"/>
  <c r="AK71" i="150"/>
  <c r="AL71" i="150" s="1"/>
  <c r="AE71" i="150"/>
  <c r="AF71" i="150" s="1"/>
  <c r="Y71" i="150"/>
  <c r="Z71" i="150" s="1"/>
  <c r="BD71" i="150"/>
  <c r="BE71" i="150" s="1"/>
  <c r="BN71" i="150"/>
  <c r="BO71" i="150" s="1"/>
  <c r="M71" i="150"/>
  <c r="BL71" i="150"/>
  <c r="K72" i="150"/>
  <c r="I75" i="150"/>
  <c r="AV73" i="149"/>
  <c r="AW73" i="149" s="1"/>
  <c r="BQ73" i="149"/>
  <c r="BR73" i="149" s="1"/>
  <c r="AY73" i="149"/>
  <c r="AN73" i="149"/>
  <c r="AO73" i="149" s="1"/>
  <c r="AE73" i="149"/>
  <c r="AF73" i="149" s="1"/>
  <c r="P73" i="149"/>
  <c r="BG73" i="149"/>
  <c r="BH73" i="149" s="1"/>
  <c r="AK73" i="149"/>
  <c r="AL73" i="149" s="1"/>
  <c r="V73" i="149"/>
  <c r="W73" i="149" s="1"/>
  <c r="O73" i="149"/>
  <c r="BD73" i="149"/>
  <c r="BE73" i="149" s="1"/>
  <c r="AQ73" i="149"/>
  <c r="AR73" i="149" s="1"/>
  <c r="AB73" i="149"/>
  <c r="AC73" i="149" s="1"/>
  <c r="AH73" i="149"/>
  <c r="AI73" i="149" s="1"/>
  <c r="BA73" i="149"/>
  <c r="BB73" i="149" s="1"/>
  <c r="R73" i="149"/>
  <c r="T73" i="149" s="1"/>
  <c r="Y73" i="149"/>
  <c r="Z73" i="149" s="1"/>
  <c r="BN73" i="149"/>
  <c r="BO73" i="149" s="1"/>
  <c r="M73" i="149"/>
  <c r="BL73" i="149"/>
  <c r="K74" i="149"/>
  <c r="AT74" i="149" s="1"/>
  <c r="I75" i="149"/>
  <c r="I74" i="147"/>
  <c r="K73" i="147"/>
  <c r="BG72" i="147"/>
  <c r="BH72" i="147" s="1"/>
  <c r="BA72" i="147"/>
  <c r="BB72" i="147" s="1"/>
  <c r="AT72" i="147"/>
  <c r="AN72" i="147"/>
  <c r="AO72" i="147" s="1"/>
  <c r="AH72" i="147"/>
  <c r="AI72" i="147" s="1"/>
  <c r="AB72" i="147"/>
  <c r="AC72" i="147" s="1"/>
  <c r="V72" i="147"/>
  <c r="W72" i="147" s="1"/>
  <c r="O72" i="147"/>
  <c r="BD72" i="147"/>
  <c r="BE72" i="147" s="1"/>
  <c r="AQ72" i="147"/>
  <c r="AR72" i="147" s="1"/>
  <c r="AK72" i="147"/>
  <c r="AL72" i="147" s="1"/>
  <c r="AE72" i="147"/>
  <c r="AF72" i="147" s="1"/>
  <c r="Y72" i="147"/>
  <c r="Z72" i="147" s="1"/>
  <c r="R72" i="147"/>
  <c r="T72" i="147" s="1"/>
  <c r="P72" i="147"/>
  <c r="AY72" i="147"/>
  <c r="AV72" i="147"/>
  <c r="AW72" i="147" s="1"/>
  <c r="BQ72" i="147"/>
  <c r="BR72" i="147" s="1"/>
  <c r="M72" i="147"/>
  <c r="BJ72" i="147"/>
  <c r="BL72" i="147" s="1"/>
  <c r="BN72" i="147"/>
  <c r="BO72" i="147" s="1"/>
  <c r="BK72" i="147"/>
  <c r="BQ71" i="146"/>
  <c r="BR71" i="146" s="1"/>
  <c r="AY71" i="146"/>
  <c r="AV71" i="146"/>
  <c r="AW71" i="146" s="1"/>
  <c r="AK71" i="146"/>
  <c r="AL71" i="146" s="1"/>
  <c r="BG71" i="146"/>
  <c r="BH71" i="146" s="1"/>
  <c r="AT71" i="146"/>
  <c r="AH71" i="146"/>
  <c r="AI71" i="146" s="1"/>
  <c r="Y71" i="146"/>
  <c r="Z71" i="146" s="1"/>
  <c r="R71" i="146"/>
  <c r="T71" i="146" s="1"/>
  <c r="BD71" i="146"/>
  <c r="BE71" i="146" s="1"/>
  <c r="AQ71" i="146"/>
  <c r="AR71" i="146" s="1"/>
  <c r="AE71" i="146"/>
  <c r="AF71" i="146" s="1"/>
  <c r="P71" i="146"/>
  <c r="BA71" i="146"/>
  <c r="BB71" i="146" s="1"/>
  <c r="O71" i="146"/>
  <c r="AN71" i="146"/>
  <c r="AO71" i="146" s="1"/>
  <c r="AB71" i="146"/>
  <c r="AC71" i="146" s="1"/>
  <c r="V71" i="146"/>
  <c r="W71" i="146" s="1"/>
  <c r="M71" i="146"/>
  <c r="BK71" i="146"/>
  <c r="BJ71" i="146"/>
  <c r="BL71" i="146" s="1"/>
  <c r="BN71" i="146"/>
  <c r="BO71" i="146" s="1"/>
  <c r="I73" i="146"/>
  <c r="K72" i="146"/>
  <c r="BN68" i="15"/>
  <c r="BO68" i="15" s="1"/>
  <c r="BL68" i="15"/>
  <c r="M68" i="15"/>
  <c r="AV68" i="15"/>
  <c r="AW68" i="15" s="1"/>
  <c r="AT68" i="15"/>
  <c r="AK68" i="15"/>
  <c r="AL68" i="15" s="1"/>
  <c r="BA68" i="15"/>
  <c r="BB68" i="15" s="1"/>
  <c r="BQ68" i="15"/>
  <c r="BR68" i="15" s="1"/>
  <c r="AQ68" i="15"/>
  <c r="AR68" i="15" s="1"/>
  <c r="AY68" i="15"/>
  <c r="P68" i="15"/>
  <c r="V68" i="15"/>
  <c r="W68" i="15" s="1"/>
  <c r="R68" i="15"/>
  <c r="T68" i="15" s="1"/>
  <c r="AE68" i="15"/>
  <c r="AF68" i="15" s="1"/>
  <c r="AN68" i="15"/>
  <c r="AO68" i="15" s="1"/>
  <c r="O68" i="15"/>
  <c r="Y68" i="15"/>
  <c r="Z68" i="15" s="1"/>
  <c r="AB68" i="15"/>
  <c r="AC68" i="15" s="1"/>
  <c r="AH68" i="15"/>
  <c r="AI68" i="15" s="1"/>
  <c r="BD68" i="15"/>
  <c r="BE68" i="15" s="1"/>
  <c r="BG68" i="15"/>
  <c r="BH68" i="15" s="1"/>
  <c r="K69" i="15"/>
  <c r="BN73" i="124"/>
  <c r="BO73" i="124" s="1"/>
  <c r="M73" i="124"/>
  <c r="BK73" i="124"/>
  <c r="BJ73" i="124"/>
  <c r="BL73" i="124" s="1"/>
  <c r="K74" i="124"/>
  <c r="AE73" i="124"/>
  <c r="AF73" i="124" s="1"/>
  <c r="BA73" i="124"/>
  <c r="BB73" i="124" s="1"/>
  <c r="O73" i="124"/>
  <c r="BG73" i="124"/>
  <c r="BH73" i="124" s="1"/>
  <c r="AV73" i="124"/>
  <c r="AW73" i="124" s="1"/>
  <c r="AN73" i="124"/>
  <c r="AO73" i="124" s="1"/>
  <c r="AY73" i="124"/>
  <c r="V73" i="124"/>
  <c r="W73" i="124" s="1"/>
  <c r="AH73" i="124"/>
  <c r="AI73" i="124" s="1"/>
  <c r="R73" i="124"/>
  <c r="T73" i="124" s="1"/>
  <c r="AT73" i="124"/>
  <c r="AK73" i="124"/>
  <c r="AL73" i="124" s="1"/>
  <c r="AB73" i="124"/>
  <c r="AC73" i="124" s="1"/>
  <c r="P73" i="124"/>
  <c r="BQ73" i="124"/>
  <c r="BR73" i="124" s="1"/>
  <c r="AQ73" i="124"/>
  <c r="AR73" i="124" s="1"/>
  <c r="Y73" i="124"/>
  <c r="Z73" i="124" s="1"/>
  <c r="BD73" i="124"/>
  <c r="BE73" i="124" s="1"/>
  <c r="I73" i="104"/>
  <c r="I69" i="17"/>
  <c r="K68" i="17"/>
  <c r="BL67" i="13"/>
  <c r="BN67" i="13"/>
  <c r="BO67" i="13" s="1"/>
  <c r="M67" i="13"/>
  <c r="Y67" i="13"/>
  <c r="Z67" i="13" s="1"/>
  <c r="AY67" i="13"/>
  <c r="P67" i="13"/>
  <c r="AV67" i="13"/>
  <c r="AW67" i="13" s="1"/>
  <c r="AE67" i="13"/>
  <c r="AF67" i="13" s="1"/>
  <c r="AN67" i="13"/>
  <c r="AO67" i="13" s="1"/>
  <c r="AQ67" i="13"/>
  <c r="AR67" i="13" s="1"/>
  <c r="AH67" i="13"/>
  <c r="AI67" i="13" s="1"/>
  <c r="O67" i="13"/>
  <c r="BD67" i="13"/>
  <c r="BE67" i="13" s="1"/>
  <c r="AB67" i="13"/>
  <c r="AC67" i="13" s="1"/>
  <c r="BA67" i="13"/>
  <c r="BB67" i="13" s="1"/>
  <c r="BQ67" i="13"/>
  <c r="BR67" i="13" s="1"/>
  <c r="AK67" i="13"/>
  <c r="AL67" i="13" s="1"/>
  <c r="BG67" i="13"/>
  <c r="BH67" i="13" s="1"/>
  <c r="V67" i="13"/>
  <c r="W67" i="13" s="1"/>
  <c r="AT67" i="13"/>
  <c r="R67" i="13"/>
  <c r="T67" i="13" s="1"/>
  <c r="I78" i="95"/>
  <c r="M71" i="105"/>
  <c r="BK71" i="105"/>
  <c r="BN71" i="105"/>
  <c r="BO71" i="105" s="1"/>
  <c r="BJ71" i="105"/>
  <c r="BL71" i="105" s="1"/>
  <c r="V71" i="105"/>
  <c r="W71" i="105" s="1"/>
  <c r="AV71" i="105"/>
  <c r="AW71" i="105" s="1"/>
  <c r="AN71" i="105"/>
  <c r="AO71" i="105" s="1"/>
  <c r="Y71" i="105"/>
  <c r="Z71" i="105" s="1"/>
  <c r="BQ71" i="105"/>
  <c r="BR71" i="105" s="1"/>
  <c r="BA71" i="105"/>
  <c r="BB71" i="105" s="1"/>
  <c r="R71" i="105"/>
  <c r="T71" i="105" s="1"/>
  <c r="P71" i="105"/>
  <c r="AK71" i="105"/>
  <c r="AL71" i="105" s="1"/>
  <c r="BG71" i="105"/>
  <c r="BH71" i="105" s="1"/>
  <c r="AT71" i="105"/>
  <c r="AH71" i="105"/>
  <c r="AI71" i="105" s="1"/>
  <c r="AQ71" i="105"/>
  <c r="AR71" i="105" s="1"/>
  <c r="AB71" i="105"/>
  <c r="AC71" i="105" s="1"/>
  <c r="AE71" i="105"/>
  <c r="AF71" i="105" s="1"/>
  <c r="BD71" i="105"/>
  <c r="BE71" i="105" s="1"/>
  <c r="O71" i="105"/>
  <c r="AY71" i="105"/>
  <c r="K72" i="105"/>
  <c r="M69" i="110"/>
  <c r="BJ69" i="110"/>
  <c r="BL69" i="110" s="1"/>
  <c r="BN69" i="110"/>
  <c r="BO69" i="110" s="1"/>
  <c r="BK69" i="110"/>
  <c r="BQ69" i="110"/>
  <c r="BR69" i="110" s="1"/>
  <c r="AK69" i="110"/>
  <c r="AL69" i="110" s="1"/>
  <c r="AQ69" i="110"/>
  <c r="AR69" i="110" s="1"/>
  <c r="AT69" i="110"/>
  <c r="AV69" i="110"/>
  <c r="AW69" i="110" s="1"/>
  <c r="O69" i="110"/>
  <c r="Y69" i="110"/>
  <c r="Z69" i="110" s="1"/>
  <c r="AY69" i="110"/>
  <c r="BD69" i="110"/>
  <c r="BE69" i="110" s="1"/>
  <c r="P69" i="110"/>
  <c r="V69" i="110"/>
  <c r="W69" i="110" s="1"/>
  <c r="BG69" i="110"/>
  <c r="BH69" i="110" s="1"/>
  <c r="AN69" i="110"/>
  <c r="AO69" i="110" s="1"/>
  <c r="AB69" i="110"/>
  <c r="AC69" i="110" s="1"/>
  <c r="AE69" i="110"/>
  <c r="AF69" i="110" s="1"/>
  <c r="BA69" i="110"/>
  <c r="BB69" i="110" s="1"/>
  <c r="R69" i="110"/>
  <c r="T69" i="110" s="1"/>
  <c r="AH69" i="110"/>
  <c r="AI69" i="110" s="1"/>
  <c r="AE67" i="66"/>
  <c r="AF67" i="66" s="1"/>
  <c r="Y67" i="66"/>
  <c r="Z67" i="66" s="1"/>
  <c r="AN67" i="66"/>
  <c r="AO67" i="66" s="1"/>
  <c r="BA67" i="66"/>
  <c r="BB67" i="66" s="1"/>
  <c r="P67" i="66"/>
  <c r="BD67" i="66"/>
  <c r="BE67" i="66" s="1"/>
  <c r="V67" i="66"/>
  <c r="W67" i="66" s="1"/>
  <c r="AB67" i="66"/>
  <c r="AC67" i="66" s="1"/>
  <c r="R67" i="66"/>
  <c r="T67" i="66" s="1"/>
  <c r="AH67" i="66"/>
  <c r="AI67" i="66" s="1"/>
  <c r="O67" i="66"/>
  <c r="AQ67" i="66"/>
  <c r="AR67" i="66" s="1"/>
  <c r="AK67" i="66"/>
  <c r="AL67" i="66" s="1"/>
  <c r="AV67" i="66"/>
  <c r="AW67" i="66" s="1"/>
  <c r="BN67" i="66"/>
  <c r="BO67" i="66" s="1"/>
  <c r="M67" i="66"/>
  <c r="BG67" i="66"/>
  <c r="BH67" i="66" s="1"/>
  <c r="BQ67" i="66"/>
  <c r="BR67" i="66" s="1"/>
  <c r="AY67" i="66"/>
  <c r="AT67" i="66"/>
  <c r="BL67" i="66"/>
  <c r="M69" i="115"/>
  <c r="BK69" i="115"/>
  <c r="BN69" i="115"/>
  <c r="BO69" i="115" s="1"/>
  <c r="BJ69" i="115"/>
  <c r="BL69" i="115" s="1"/>
  <c r="BQ69" i="115"/>
  <c r="BR69" i="115" s="1"/>
  <c r="P69" i="115"/>
  <c r="AV69" i="115"/>
  <c r="AW69" i="115" s="1"/>
  <c r="Y69" i="115"/>
  <c r="Z69" i="115" s="1"/>
  <c r="BD69" i="115"/>
  <c r="BE69" i="115" s="1"/>
  <c r="AH69" i="115"/>
  <c r="AI69" i="115" s="1"/>
  <c r="AE69" i="115"/>
  <c r="AF69" i="115" s="1"/>
  <c r="V69" i="115"/>
  <c r="W69" i="115" s="1"/>
  <c r="AY69" i="115"/>
  <c r="AB69" i="115"/>
  <c r="AC69" i="115" s="1"/>
  <c r="BA69" i="115"/>
  <c r="BB69" i="115" s="1"/>
  <c r="AN69" i="115"/>
  <c r="AO69" i="115" s="1"/>
  <c r="R69" i="115"/>
  <c r="T69" i="115" s="1"/>
  <c r="AK69" i="115"/>
  <c r="AL69" i="115" s="1"/>
  <c r="BG69" i="115"/>
  <c r="BH69" i="115" s="1"/>
  <c r="O69" i="115"/>
  <c r="AQ69" i="115"/>
  <c r="AR69" i="115" s="1"/>
  <c r="AT69" i="115"/>
  <c r="K68" i="120"/>
  <c r="AQ67" i="120"/>
  <c r="AR67" i="120" s="1"/>
  <c r="AY67" i="120"/>
  <c r="R67" i="120"/>
  <c r="T67" i="120" s="1"/>
  <c r="V67" i="120"/>
  <c r="W67" i="120" s="1"/>
  <c r="AB67" i="120"/>
  <c r="AC67" i="120" s="1"/>
  <c r="BD67" i="120"/>
  <c r="BE67" i="120" s="1"/>
  <c r="O67" i="120"/>
  <c r="BA67" i="120"/>
  <c r="BB67" i="120" s="1"/>
  <c r="AT67" i="120"/>
  <c r="AE67" i="120"/>
  <c r="AF67" i="120" s="1"/>
  <c r="AH67" i="120"/>
  <c r="AI67" i="120" s="1"/>
  <c r="P67" i="120"/>
  <c r="BG67" i="120"/>
  <c r="BH67" i="120" s="1"/>
  <c r="AN67" i="120"/>
  <c r="AO67" i="120" s="1"/>
  <c r="M67" i="120"/>
  <c r="BQ67" i="120"/>
  <c r="BR67" i="120" s="1"/>
  <c r="Y67" i="120"/>
  <c r="Z67" i="120" s="1"/>
  <c r="AK67" i="120"/>
  <c r="AL67" i="120" s="1"/>
  <c r="AV67" i="120"/>
  <c r="AW67" i="120" s="1"/>
  <c r="BN67" i="120"/>
  <c r="BO67" i="120" s="1"/>
  <c r="K70" i="96"/>
  <c r="I71" i="96"/>
  <c r="BN71" i="136"/>
  <c r="BO71" i="136" s="1"/>
  <c r="M71" i="136"/>
  <c r="BL71" i="136"/>
  <c r="BA71" i="136"/>
  <c r="BB71" i="136" s="1"/>
  <c r="AY71" i="136"/>
  <c r="AB71" i="136"/>
  <c r="AC71" i="136" s="1"/>
  <c r="AV71" i="136"/>
  <c r="AW71" i="136" s="1"/>
  <c r="BD71" i="136"/>
  <c r="BE71" i="136" s="1"/>
  <c r="P71" i="136"/>
  <c r="V71" i="136"/>
  <c r="W71" i="136" s="1"/>
  <c r="AH71" i="136"/>
  <c r="AI71" i="136" s="1"/>
  <c r="BG71" i="136"/>
  <c r="BH71" i="136" s="1"/>
  <c r="BQ71" i="136"/>
  <c r="BR71" i="136" s="1"/>
  <c r="R71" i="136"/>
  <c r="T71" i="136" s="1"/>
  <c r="Y71" i="136"/>
  <c r="Z71" i="136" s="1"/>
  <c r="AQ71" i="136"/>
  <c r="AR71" i="136" s="1"/>
  <c r="AN71" i="136"/>
  <c r="AO71" i="136" s="1"/>
  <c r="AT71" i="136"/>
  <c r="AE71" i="136"/>
  <c r="AF71" i="136" s="1"/>
  <c r="O71" i="136"/>
  <c r="AK71" i="136"/>
  <c r="AL71" i="136" s="1"/>
  <c r="K72" i="136"/>
  <c r="M68" i="118"/>
  <c r="K69" i="118"/>
  <c r="BN68" i="118"/>
  <c r="BO68" i="118" s="1"/>
  <c r="AN68" i="118"/>
  <c r="AO68" i="118" s="1"/>
  <c r="BA68" i="118"/>
  <c r="BB68" i="118" s="1"/>
  <c r="BQ68" i="118"/>
  <c r="BR68" i="118" s="1"/>
  <c r="AH68" i="118"/>
  <c r="AI68" i="118" s="1"/>
  <c r="Y68" i="118"/>
  <c r="Z68" i="118" s="1"/>
  <c r="AE68" i="118"/>
  <c r="AF68" i="118" s="1"/>
  <c r="R68" i="118"/>
  <c r="T68" i="118" s="1"/>
  <c r="O68" i="118"/>
  <c r="AT68" i="118"/>
  <c r="AK68" i="118"/>
  <c r="AL68" i="118" s="1"/>
  <c r="BD68" i="118"/>
  <c r="BE68" i="118" s="1"/>
  <c r="P68" i="118"/>
  <c r="BG68" i="118"/>
  <c r="BH68" i="118" s="1"/>
  <c r="AQ68" i="118"/>
  <c r="AR68" i="118" s="1"/>
  <c r="AY68" i="118"/>
  <c r="AB68" i="118"/>
  <c r="AC68" i="118" s="1"/>
  <c r="V68" i="118"/>
  <c r="W68" i="118" s="1"/>
  <c r="AV68" i="118"/>
  <c r="AW68" i="118" s="1"/>
  <c r="I72" i="135"/>
  <c r="K71" i="135"/>
  <c r="K68" i="66"/>
  <c r="I69" i="66"/>
  <c r="I71" i="115"/>
  <c r="K70" i="115"/>
  <c r="I76" i="132"/>
  <c r="M68" i="101"/>
  <c r="V68" i="101"/>
  <c r="W68" i="101" s="1"/>
  <c r="R68" i="101"/>
  <c r="T68" i="101" s="1"/>
  <c r="AQ68" i="101"/>
  <c r="AR68" i="101" s="1"/>
  <c r="AB68" i="101"/>
  <c r="AC68" i="101" s="1"/>
  <c r="BA68" i="101"/>
  <c r="BB68" i="101" s="1"/>
  <c r="P68" i="101"/>
  <c r="AE68" i="101"/>
  <c r="AF68" i="101" s="1"/>
  <c r="AN68" i="101"/>
  <c r="AO68" i="101" s="1"/>
  <c r="AH68" i="101"/>
  <c r="AI68" i="101" s="1"/>
  <c r="AV68" i="101"/>
  <c r="AW68" i="101" s="1"/>
  <c r="BG68" i="101"/>
  <c r="BH68" i="101" s="1"/>
  <c r="AK68" i="101"/>
  <c r="AL68" i="101" s="1"/>
  <c r="AT68" i="101"/>
  <c r="Y68" i="101"/>
  <c r="Z68" i="101" s="1"/>
  <c r="AY68" i="101"/>
  <c r="BD68" i="101"/>
  <c r="BE68" i="101" s="1"/>
  <c r="BQ68" i="101"/>
  <c r="BR68" i="101" s="1"/>
  <c r="O68" i="101"/>
  <c r="I75" i="136"/>
  <c r="V69" i="96"/>
  <c r="W69" i="96" s="1"/>
  <c r="AK69" i="96"/>
  <c r="AL69" i="96" s="1"/>
  <c r="BN69" i="96"/>
  <c r="BO69" i="96" s="1"/>
  <c r="P69" i="96"/>
  <c r="AV69" i="96"/>
  <c r="AW69" i="96" s="1"/>
  <c r="BQ69" i="96"/>
  <c r="BR69" i="96" s="1"/>
  <c r="AE69" i="96"/>
  <c r="AF69" i="96" s="1"/>
  <c r="BG69" i="96"/>
  <c r="BH69" i="96" s="1"/>
  <c r="O69" i="96"/>
  <c r="AN69" i="96"/>
  <c r="AO69" i="96" s="1"/>
  <c r="AB69" i="96"/>
  <c r="AC69" i="96" s="1"/>
  <c r="BA69" i="96"/>
  <c r="BB69" i="96" s="1"/>
  <c r="M69" i="96"/>
  <c r="AQ69" i="96"/>
  <c r="AR69" i="96" s="1"/>
  <c r="R69" i="96"/>
  <c r="T69" i="96" s="1"/>
  <c r="BL69" i="96"/>
  <c r="AH69" i="96"/>
  <c r="AI69" i="96" s="1"/>
  <c r="AT69" i="96"/>
  <c r="BD69" i="96"/>
  <c r="BE69" i="96" s="1"/>
  <c r="Y69" i="96"/>
  <c r="Z69" i="96" s="1"/>
  <c r="I73" i="15"/>
  <c r="BN69" i="114"/>
  <c r="BO69" i="114" s="1"/>
  <c r="BJ69" i="114"/>
  <c r="BL69" i="114" s="1"/>
  <c r="M69" i="114"/>
  <c r="BK69" i="114"/>
  <c r="AB69" i="114"/>
  <c r="AC69" i="114" s="1"/>
  <c r="AN69" i="114"/>
  <c r="AO69" i="114" s="1"/>
  <c r="AE69" i="114"/>
  <c r="AF69" i="114" s="1"/>
  <c r="BG69" i="114"/>
  <c r="BH69" i="114" s="1"/>
  <c r="AV69" i="114"/>
  <c r="AW69" i="114" s="1"/>
  <c r="AK69" i="114"/>
  <c r="AL69" i="114" s="1"/>
  <c r="BD69" i="114"/>
  <c r="BE69" i="114" s="1"/>
  <c r="BQ69" i="114"/>
  <c r="BR69" i="114" s="1"/>
  <c r="BA69" i="114"/>
  <c r="BB69" i="114" s="1"/>
  <c r="AT69" i="114"/>
  <c r="AY69" i="114"/>
  <c r="O69" i="114"/>
  <c r="P69" i="114"/>
  <c r="AH69" i="114"/>
  <c r="AI69" i="114" s="1"/>
  <c r="AQ69" i="114"/>
  <c r="AR69" i="114" s="1"/>
  <c r="R69" i="114"/>
  <c r="T69" i="114" s="1"/>
  <c r="V69" i="114"/>
  <c r="W69" i="114" s="1"/>
  <c r="Y69" i="114"/>
  <c r="Z69" i="114" s="1"/>
  <c r="K70" i="114"/>
  <c r="I75" i="114"/>
  <c r="I74" i="126"/>
  <c r="M70" i="135"/>
  <c r="AH70" i="135"/>
  <c r="AI70" i="135" s="1"/>
  <c r="Y70" i="135"/>
  <c r="Z70" i="135" s="1"/>
  <c r="V70" i="135"/>
  <c r="W70" i="135" s="1"/>
  <c r="AQ70" i="135"/>
  <c r="AR70" i="135" s="1"/>
  <c r="AY70" i="135"/>
  <c r="BQ70" i="135"/>
  <c r="BR70" i="135" s="1"/>
  <c r="BA70" i="135"/>
  <c r="BB70" i="135" s="1"/>
  <c r="AV70" i="135"/>
  <c r="AW70" i="135" s="1"/>
  <c r="P70" i="135"/>
  <c r="AN70" i="135"/>
  <c r="AO70" i="135" s="1"/>
  <c r="AT70" i="135"/>
  <c r="AE70" i="135"/>
  <c r="AF70" i="135" s="1"/>
  <c r="R70" i="135"/>
  <c r="T70" i="135" s="1"/>
  <c r="AB70" i="135"/>
  <c r="AC70" i="135" s="1"/>
  <c r="O70" i="135"/>
  <c r="BD70" i="135"/>
  <c r="BE70" i="135" s="1"/>
  <c r="AK70" i="135"/>
  <c r="AL70" i="135" s="1"/>
  <c r="BG70" i="135"/>
  <c r="BH70" i="135" s="1"/>
  <c r="BL70" i="135"/>
  <c r="BN70" i="135"/>
  <c r="BO70" i="135" s="1"/>
  <c r="I75" i="64"/>
  <c r="I76" i="105"/>
  <c r="I74" i="63"/>
  <c r="I70" i="101"/>
  <c r="K69" i="101"/>
  <c r="BN67" i="17"/>
  <c r="BO67" i="17" s="1"/>
  <c r="M67" i="17"/>
  <c r="BL67" i="17"/>
  <c r="AQ67" i="17"/>
  <c r="AR67" i="17" s="1"/>
  <c r="BD67" i="17"/>
  <c r="BE67" i="17" s="1"/>
  <c r="AT67" i="17"/>
  <c r="AY67" i="17"/>
  <c r="Y67" i="17"/>
  <c r="Z67" i="17" s="1"/>
  <c r="R67" i="17"/>
  <c r="T67" i="17" s="1"/>
  <c r="BG67" i="17"/>
  <c r="BH67" i="17" s="1"/>
  <c r="P67" i="17"/>
  <c r="AE67" i="17"/>
  <c r="AF67" i="17" s="1"/>
  <c r="AK67" i="17"/>
  <c r="AL67" i="17" s="1"/>
  <c r="V67" i="17"/>
  <c r="W67" i="17" s="1"/>
  <c r="AB67" i="17"/>
  <c r="AC67" i="17" s="1"/>
  <c r="BQ67" i="17"/>
  <c r="BR67" i="17" s="1"/>
  <c r="O67" i="17"/>
  <c r="AH67" i="17"/>
  <c r="AI67" i="17" s="1"/>
  <c r="AN67" i="17"/>
  <c r="AO67" i="17" s="1"/>
  <c r="AV67" i="17"/>
  <c r="AW67" i="17" s="1"/>
  <c r="BA67" i="17"/>
  <c r="BB67" i="17" s="1"/>
  <c r="K68" i="13"/>
  <c r="I69" i="13"/>
  <c r="AQ70" i="64"/>
  <c r="AR70" i="64" s="1"/>
  <c r="V70" i="64"/>
  <c r="W70" i="64" s="1"/>
  <c r="BA70" i="64"/>
  <c r="BB70" i="64" s="1"/>
  <c r="AE70" i="64"/>
  <c r="AF70" i="64" s="1"/>
  <c r="AT70" i="64"/>
  <c r="P70" i="64"/>
  <c r="AY70" i="64"/>
  <c r="BQ70" i="64"/>
  <c r="BR70" i="64" s="1"/>
  <c r="R70" i="64"/>
  <c r="T70" i="64" s="1"/>
  <c r="BD70" i="64"/>
  <c r="BE70" i="64" s="1"/>
  <c r="M70" i="64"/>
  <c r="AN70" i="64"/>
  <c r="AO70" i="64" s="1"/>
  <c r="AV70" i="64"/>
  <c r="AW70" i="64" s="1"/>
  <c r="Y70" i="64"/>
  <c r="Z70" i="64" s="1"/>
  <c r="AB70" i="64"/>
  <c r="AC70" i="64" s="1"/>
  <c r="AH70" i="64"/>
  <c r="AI70" i="64" s="1"/>
  <c r="BG70" i="64"/>
  <c r="BH70" i="64" s="1"/>
  <c r="AK70" i="64"/>
  <c r="AL70" i="64" s="1"/>
  <c r="O70" i="64"/>
  <c r="BN70" i="64"/>
  <c r="BO70" i="64" s="1"/>
  <c r="BL70" i="64"/>
  <c r="K71" i="64"/>
  <c r="I71" i="110"/>
  <c r="K70" i="110"/>
  <c r="I84" i="133"/>
  <c r="M69" i="126"/>
  <c r="BJ69" i="126"/>
  <c r="BL69" i="126" s="1"/>
  <c r="BN69" i="126"/>
  <c r="BO69" i="126" s="1"/>
  <c r="BK69" i="126"/>
  <c r="AK69" i="126"/>
  <c r="AL69" i="126" s="1"/>
  <c r="AB69" i="126"/>
  <c r="AC69" i="126" s="1"/>
  <c r="AQ69" i="126"/>
  <c r="AR69" i="126" s="1"/>
  <c r="AE69" i="126"/>
  <c r="AF69" i="126" s="1"/>
  <c r="BD69" i="126"/>
  <c r="BE69" i="126" s="1"/>
  <c r="P69" i="126"/>
  <c r="AN69" i="126"/>
  <c r="AO69" i="126" s="1"/>
  <c r="AT69" i="126"/>
  <c r="Y69" i="126"/>
  <c r="Z69" i="126" s="1"/>
  <c r="BQ69" i="126"/>
  <c r="BR69" i="126" s="1"/>
  <c r="O69" i="126"/>
  <c r="R69" i="126"/>
  <c r="T69" i="126" s="1"/>
  <c r="BG69" i="126"/>
  <c r="BH69" i="126" s="1"/>
  <c r="AY69" i="126"/>
  <c r="AV69" i="126"/>
  <c r="AW69" i="126" s="1"/>
  <c r="AH69" i="126"/>
  <c r="AI69" i="126" s="1"/>
  <c r="V69" i="126"/>
  <c r="W69" i="126" s="1"/>
  <c r="BA69" i="126"/>
  <c r="BB69" i="126" s="1"/>
  <c r="K70" i="126"/>
  <c r="BN69" i="63"/>
  <c r="BO69" i="63" s="1"/>
  <c r="M69" i="63"/>
  <c r="BL69" i="63"/>
  <c r="Y69" i="63"/>
  <c r="Z69" i="63" s="1"/>
  <c r="V69" i="63"/>
  <c r="W69" i="63" s="1"/>
  <c r="AV69" i="63"/>
  <c r="AW69" i="63" s="1"/>
  <c r="AK69" i="63"/>
  <c r="AL69" i="63" s="1"/>
  <c r="BD69" i="63"/>
  <c r="BE69" i="63" s="1"/>
  <c r="AH69" i="63"/>
  <c r="AI69" i="63" s="1"/>
  <c r="AY69" i="63"/>
  <c r="AE69" i="63"/>
  <c r="AF69" i="63" s="1"/>
  <c r="BQ69" i="63"/>
  <c r="BR69" i="63" s="1"/>
  <c r="AT69" i="63"/>
  <c r="AQ69" i="63"/>
  <c r="AR69" i="63" s="1"/>
  <c r="BG69" i="63"/>
  <c r="BH69" i="63" s="1"/>
  <c r="P69" i="63"/>
  <c r="BA69" i="63"/>
  <c r="BB69" i="63" s="1"/>
  <c r="O69" i="63"/>
  <c r="AB69" i="63"/>
  <c r="AC69" i="63" s="1"/>
  <c r="R69" i="63"/>
  <c r="T69" i="63" s="1"/>
  <c r="AN69" i="63"/>
  <c r="AO69" i="63" s="1"/>
  <c r="K70" i="63"/>
  <c r="BN69" i="98"/>
  <c r="BO69" i="98" s="1"/>
  <c r="M69" i="98"/>
  <c r="K70" i="98"/>
  <c r="BK69" i="98"/>
  <c r="BJ69" i="98"/>
  <c r="BL69" i="98" s="1"/>
  <c r="AV69" i="98"/>
  <c r="AW69" i="98" s="1"/>
  <c r="BD69" i="98"/>
  <c r="BE69" i="98" s="1"/>
  <c r="AT69" i="98"/>
  <c r="AY69" i="98"/>
  <c r="BG69" i="98"/>
  <c r="BH69" i="98" s="1"/>
  <c r="AN69" i="98"/>
  <c r="AO69" i="98" s="1"/>
  <c r="BQ69" i="98"/>
  <c r="BR69" i="98" s="1"/>
  <c r="O69" i="98"/>
  <c r="BA69" i="98"/>
  <c r="BB69" i="98" s="1"/>
  <c r="AB69" i="98"/>
  <c r="AC69" i="98" s="1"/>
  <c r="R69" i="98"/>
  <c r="T69" i="98" s="1"/>
  <c r="AE69" i="98"/>
  <c r="AF69" i="98" s="1"/>
  <c r="P69" i="98"/>
  <c r="V69" i="98"/>
  <c r="W69" i="98" s="1"/>
  <c r="AH69" i="98"/>
  <c r="AI69" i="98" s="1"/>
  <c r="Y69" i="98"/>
  <c r="Z69" i="98" s="1"/>
  <c r="AK69" i="98"/>
  <c r="AL69" i="98" s="1"/>
  <c r="AQ69" i="98"/>
  <c r="AR69" i="98" s="1"/>
  <c r="BN71" i="132" l="1"/>
  <c r="BO71" i="132" s="1"/>
  <c r="BL71" i="132"/>
  <c r="M71" i="132"/>
  <c r="V71" i="132"/>
  <c r="W71" i="132" s="1"/>
  <c r="O71" i="132"/>
  <c r="AQ71" i="132"/>
  <c r="AR71" i="132" s="1"/>
  <c r="P71" i="132"/>
  <c r="AK71" i="132"/>
  <c r="AL71" i="132" s="1"/>
  <c r="K72" i="132"/>
  <c r="BA71" i="132"/>
  <c r="BB71" i="132" s="1"/>
  <c r="AH71" i="132"/>
  <c r="AI71" i="132" s="1"/>
  <c r="AE71" i="132"/>
  <c r="AF71" i="132" s="1"/>
  <c r="BG71" i="132"/>
  <c r="BH71" i="132" s="1"/>
  <c r="AV71" i="132"/>
  <c r="AW71" i="132" s="1"/>
  <c r="R71" i="132"/>
  <c r="T71" i="132" s="1"/>
  <c r="AN71" i="132"/>
  <c r="AO71" i="132" s="1"/>
  <c r="AT71" i="132"/>
  <c r="AY71" i="132"/>
  <c r="BQ71" i="132"/>
  <c r="BR71" i="132" s="1"/>
  <c r="BD71" i="132"/>
  <c r="BE71" i="132" s="1"/>
  <c r="Y71" i="132"/>
  <c r="Z71" i="132" s="1"/>
  <c r="AB71" i="132"/>
  <c r="AC71" i="132" s="1"/>
  <c r="BJ73" i="107"/>
  <c r="BL73" i="107" s="1"/>
  <c r="BQ73" i="107"/>
  <c r="BR73" i="107" s="1"/>
  <c r="BA73" i="107"/>
  <c r="BB73" i="107" s="1"/>
  <c r="AV73" i="107"/>
  <c r="AW73" i="107" s="1"/>
  <c r="AK73" i="107"/>
  <c r="AL73" i="107" s="1"/>
  <c r="R73" i="107"/>
  <c r="T73" i="107" s="1"/>
  <c r="BG73" i="107"/>
  <c r="BH73" i="107" s="1"/>
  <c r="AN73" i="107"/>
  <c r="AO73" i="107" s="1"/>
  <c r="AH73" i="107"/>
  <c r="AI73" i="107" s="1"/>
  <c r="O73" i="107"/>
  <c r="V73" i="107"/>
  <c r="W73" i="107" s="1"/>
  <c r="BK73" i="107"/>
  <c r="BN73" i="107"/>
  <c r="BO73" i="107" s="1"/>
  <c r="BD73" i="107"/>
  <c r="BE73" i="107" s="1"/>
  <c r="AQ73" i="107"/>
  <c r="AR73" i="107" s="1"/>
  <c r="AT73" i="107"/>
  <c r="P73" i="107"/>
  <c r="M73" i="107"/>
  <c r="AB73" i="107"/>
  <c r="AC73" i="107" s="1"/>
  <c r="AE73" i="107"/>
  <c r="AF73" i="107" s="1"/>
  <c r="AY73" i="107"/>
  <c r="Y73" i="107"/>
  <c r="Z73" i="107" s="1"/>
  <c r="I75" i="107"/>
  <c r="K74" i="107"/>
  <c r="AT71" i="99"/>
  <c r="AK71" i="99"/>
  <c r="AL71" i="99" s="1"/>
  <c r="AB71" i="99"/>
  <c r="AC71" i="99" s="1"/>
  <c r="AE71" i="99"/>
  <c r="AF71" i="99" s="1"/>
  <c r="M71" i="99"/>
  <c r="BK71" i="99"/>
  <c r="Y71" i="99"/>
  <c r="Z71" i="99" s="1"/>
  <c r="BD71" i="99"/>
  <c r="BE71" i="99" s="1"/>
  <c r="AH71" i="99"/>
  <c r="AI71" i="99" s="1"/>
  <c r="BG71" i="99"/>
  <c r="BH71" i="99" s="1"/>
  <c r="BJ71" i="99"/>
  <c r="BL71" i="99" s="1"/>
  <c r="BA71" i="99"/>
  <c r="BB71" i="99" s="1"/>
  <c r="AN71" i="99"/>
  <c r="AO71" i="99" s="1"/>
  <c r="O71" i="99"/>
  <c r="BN71" i="99"/>
  <c r="BO71" i="99" s="1"/>
  <c r="BQ71" i="99"/>
  <c r="BR71" i="99" s="1"/>
  <c r="AQ71" i="99"/>
  <c r="AR71" i="99" s="1"/>
  <c r="V71" i="99"/>
  <c r="W71" i="99" s="1"/>
  <c r="AY71" i="99"/>
  <c r="R71" i="99"/>
  <c r="T71" i="99" s="1"/>
  <c r="AV71" i="99"/>
  <c r="AW71" i="99" s="1"/>
  <c r="P71" i="99"/>
  <c r="K72" i="99"/>
  <c r="BD104" i="161"/>
  <c r="BE104" i="161" s="1"/>
  <c r="AQ104" i="161"/>
  <c r="AR104" i="161" s="1"/>
  <c r="AK104" i="161"/>
  <c r="AL104" i="161" s="1"/>
  <c r="AE104" i="161"/>
  <c r="AF104" i="161" s="1"/>
  <c r="Y104" i="161"/>
  <c r="Z104" i="161" s="1"/>
  <c r="R104" i="161"/>
  <c r="T104" i="161" s="1"/>
  <c r="AV104" i="161"/>
  <c r="AW104" i="161" s="1"/>
  <c r="AN104" i="161"/>
  <c r="AO104" i="161" s="1"/>
  <c r="O104" i="161"/>
  <c r="AT104" i="161"/>
  <c r="V104" i="161"/>
  <c r="W104" i="161" s="1"/>
  <c r="BR104" i="161"/>
  <c r="BA104" i="161"/>
  <c r="BB104" i="161" s="1"/>
  <c r="AB104" i="161"/>
  <c r="AC104" i="161" s="1"/>
  <c r="AH104" i="161"/>
  <c r="AI104" i="161" s="1"/>
  <c r="BG104" i="161"/>
  <c r="BH104" i="161" s="1"/>
  <c r="AY104" i="161"/>
  <c r="P104" i="161"/>
  <c r="BK104" i="161"/>
  <c r="BJ104" i="161"/>
  <c r="BL104" i="161" s="1"/>
  <c r="M104" i="161"/>
  <c r="BN104" i="161"/>
  <c r="BO104" i="161" s="1"/>
  <c r="I106" i="161"/>
  <c r="K105" i="161"/>
  <c r="BQ105" i="161" s="1"/>
  <c r="BL72" i="133"/>
  <c r="R72" i="133"/>
  <c r="T72" i="133" s="1"/>
  <c r="AY72" i="133"/>
  <c r="P72" i="133"/>
  <c r="AQ72" i="133"/>
  <c r="AR72" i="133" s="1"/>
  <c r="AK72" i="133"/>
  <c r="AL72" i="133" s="1"/>
  <c r="BD72" i="133"/>
  <c r="BE72" i="133" s="1"/>
  <c r="BA72" i="133"/>
  <c r="BB72" i="133" s="1"/>
  <c r="AT72" i="133"/>
  <c r="Y72" i="133"/>
  <c r="Z72" i="133" s="1"/>
  <c r="AV72" i="133"/>
  <c r="AW72" i="133" s="1"/>
  <c r="V72" i="133"/>
  <c r="W72" i="133" s="1"/>
  <c r="M72" i="133"/>
  <c r="BG72" i="133"/>
  <c r="BH72" i="133" s="1"/>
  <c r="AE72" i="133"/>
  <c r="AF72" i="133" s="1"/>
  <c r="AN72" i="133"/>
  <c r="AO72" i="133" s="1"/>
  <c r="K73" i="133"/>
  <c r="BN72" i="133"/>
  <c r="BO72" i="133" s="1"/>
  <c r="AB72" i="133"/>
  <c r="AC72" i="133" s="1"/>
  <c r="AH72" i="133"/>
  <c r="AI72" i="133" s="1"/>
  <c r="BQ72" i="133"/>
  <c r="BR72" i="133" s="1"/>
  <c r="O72" i="133"/>
  <c r="BL68" i="95"/>
  <c r="AT68" i="95"/>
  <c r="BD68" i="95"/>
  <c r="BE68" i="95" s="1"/>
  <c r="K69" i="95"/>
  <c r="V68" i="95"/>
  <c r="W68" i="95" s="1"/>
  <c r="AQ68" i="95"/>
  <c r="AR68" i="95" s="1"/>
  <c r="AK68" i="95"/>
  <c r="AL68" i="95" s="1"/>
  <c r="BG68" i="95"/>
  <c r="BH68" i="95" s="1"/>
  <c r="AB68" i="95"/>
  <c r="AC68" i="95" s="1"/>
  <c r="O68" i="95"/>
  <c r="AH68" i="95"/>
  <c r="AI68" i="95" s="1"/>
  <c r="AV68" i="95"/>
  <c r="AW68" i="95" s="1"/>
  <c r="AN68" i="95"/>
  <c r="AO68" i="95" s="1"/>
  <c r="M68" i="95"/>
  <c r="Y68" i="95"/>
  <c r="Z68" i="95" s="1"/>
  <c r="R68" i="95"/>
  <c r="T68" i="95" s="1"/>
  <c r="P68" i="95"/>
  <c r="BN68" i="95"/>
  <c r="BO68" i="95" s="1"/>
  <c r="BQ68" i="95"/>
  <c r="BR68" i="95" s="1"/>
  <c r="BA68" i="95"/>
  <c r="BB68" i="95" s="1"/>
  <c r="AE68" i="95"/>
  <c r="AF68" i="95" s="1"/>
  <c r="BJ69" i="106"/>
  <c r="BL69" i="106" s="1"/>
  <c r="AK69" i="106"/>
  <c r="AL69" i="106" s="1"/>
  <c r="P69" i="106"/>
  <c r="AQ69" i="106"/>
  <c r="AR69" i="106" s="1"/>
  <c r="AT69" i="106"/>
  <c r="AB69" i="106"/>
  <c r="AC69" i="106" s="1"/>
  <c r="O69" i="106"/>
  <c r="M69" i="106"/>
  <c r="Y69" i="106"/>
  <c r="Z69" i="106" s="1"/>
  <c r="AY69" i="106"/>
  <c r="R69" i="106"/>
  <c r="T69" i="106" s="1"/>
  <c r="AN69" i="106"/>
  <c r="AO69" i="106" s="1"/>
  <c r="AV69" i="106"/>
  <c r="AW69" i="106" s="1"/>
  <c r="BA69" i="106"/>
  <c r="BB69" i="106" s="1"/>
  <c r="BN69" i="106"/>
  <c r="BO69" i="106" s="1"/>
  <c r="BD69" i="106"/>
  <c r="BE69" i="106" s="1"/>
  <c r="V69" i="106"/>
  <c r="W69" i="106" s="1"/>
  <c r="BG69" i="106"/>
  <c r="BH69" i="106" s="1"/>
  <c r="BK69" i="106"/>
  <c r="BQ69" i="106"/>
  <c r="BR69" i="106" s="1"/>
  <c r="AH69" i="106"/>
  <c r="AI69" i="106" s="1"/>
  <c r="AE69" i="106"/>
  <c r="AF69" i="106" s="1"/>
  <c r="K70" i="106"/>
  <c r="V74" i="156"/>
  <c r="W74" i="156" s="1"/>
  <c r="P74" i="156"/>
  <c r="BD74" i="156"/>
  <c r="BE74" i="156" s="1"/>
  <c r="AB74" i="156"/>
  <c r="AC74" i="156" s="1"/>
  <c r="AV74" i="156"/>
  <c r="AW74" i="156" s="1"/>
  <c r="AQ74" i="156"/>
  <c r="AR74" i="156" s="1"/>
  <c r="M74" i="156"/>
  <c r="AH74" i="156"/>
  <c r="AI74" i="156" s="1"/>
  <c r="BN74" i="156"/>
  <c r="BO74" i="156" s="1"/>
  <c r="AK74" i="156"/>
  <c r="AL74" i="156" s="1"/>
  <c r="AN74" i="156"/>
  <c r="AO74" i="156" s="1"/>
  <c r="Y74" i="156"/>
  <c r="Z74" i="156" s="1"/>
  <c r="BL74" i="156"/>
  <c r="BQ74" i="156"/>
  <c r="BR74" i="156" s="1"/>
  <c r="BA74" i="156"/>
  <c r="BB74" i="156" s="1"/>
  <c r="R74" i="156"/>
  <c r="T74" i="156" s="1"/>
  <c r="O74" i="156"/>
  <c r="BG74" i="156"/>
  <c r="BH74" i="156" s="1"/>
  <c r="AE74" i="156"/>
  <c r="AF74" i="156" s="1"/>
  <c r="K70" i="104"/>
  <c r="M69" i="104"/>
  <c r="AY69" i="104"/>
  <c r="AH69" i="104"/>
  <c r="AI69" i="104" s="1"/>
  <c r="AQ69" i="104"/>
  <c r="AR69" i="104" s="1"/>
  <c r="AN69" i="104"/>
  <c r="AO69" i="104" s="1"/>
  <c r="AB69" i="104"/>
  <c r="AC69" i="104" s="1"/>
  <c r="P69" i="104"/>
  <c r="AE69" i="104"/>
  <c r="AF69" i="104" s="1"/>
  <c r="BQ69" i="104"/>
  <c r="BR69" i="104" s="1"/>
  <c r="BJ69" i="104"/>
  <c r="BL69" i="104" s="1"/>
  <c r="BA69" i="104"/>
  <c r="BB69" i="104" s="1"/>
  <c r="O69" i="104"/>
  <c r="AV69" i="104"/>
  <c r="AW69" i="104" s="1"/>
  <c r="BN69" i="104"/>
  <c r="BO69" i="104" s="1"/>
  <c r="BG69" i="104"/>
  <c r="BH69" i="104" s="1"/>
  <c r="V69" i="104"/>
  <c r="W69" i="104" s="1"/>
  <c r="Y69" i="104"/>
  <c r="Z69" i="104" s="1"/>
  <c r="AK69" i="104"/>
  <c r="AL69" i="104" s="1"/>
  <c r="BK69" i="104"/>
  <c r="BD69" i="104"/>
  <c r="BE69" i="104" s="1"/>
  <c r="AT69" i="104"/>
  <c r="R69" i="104"/>
  <c r="T69" i="104" s="1"/>
  <c r="I76" i="106"/>
  <c r="BN70" i="129"/>
  <c r="BO70" i="129" s="1"/>
  <c r="AY70" i="129"/>
  <c r="O70" i="129"/>
  <c r="BA70" i="129"/>
  <c r="BB70" i="129" s="1"/>
  <c r="K71" i="129"/>
  <c r="V70" i="129"/>
  <c r="W70" i="129" s="1"/>
  <c r="AT70" i="129"/>
  <c r="AK70" i="129"/>
  <c r="AL70" i="129" s="1"/>
  <c r="M70" i="129"/>
  <c r="BD70" i="129"/>
  <c r="BE70" i="129" s="1"/>
  <c r="Y70" i="129"/>
  <c r="Z70" i="129" s="1"/>
  <c r="R70" i="129"/>
  <c r="T70" i="129" s="1"/>
  <c r="AN70" i="129"/>
  <c r="AO70" i="129" s="1"/>
  <c r="AB70" i="129"/>
  <c r="AC70" i="129" s="1"/>
  <c r="AQ70" i="129"/>
  <c r="AR70" i="129" s="1"/>
  <c r="BL70" i="129"/>
  <c r="BG70" i="129"/>
  <c r="BH70" i="129" s="1"/>
  <c r="AE70" i="129"/>
  <c r="AF70" i="129" s="1"/>
  <c r="AH70" i="129"/>
  <c r="AI70" i="129" s="1"/>
  <c r="AV70" i="129"/>
  <c r="AW70" i="129" s="1"/>
  <c r="P70" i="129"/>
  <c r="BQ70" i="129"/>
  <c r="BR70" i="129" s="1"/>
  <c r="I76" i="156"/>
  <c r="K75" i="156"/>
  <c r="AY75" i="156" s="1"/>
  <c r="K70" i="112"/>
  <c r="AE69" i="112"/>
  <c r="AF69" i="112" s="1"/>
  <c r="AY69" i="112"/>
  <c r="AH69" i="112"/>
  <c r="AI69" i="112" s="1"/>
  <c r="BJ69" i="112"/>
  <c r="BL69" i="112" s="1"/>
  <c r="AN69" i="112"/>
  <c r="AO69" i="112" s="1"/>
  <c r="M69" i="112"/>
  <c r="P69" i="112"/>
  <c r="BD69" i="112"/>
  <c r="BE69" i="112" s="1"/>
  <c r="O69" i="112"/>
  <c r="BA69" i="112"/>
  <c r="BB69" i="112" s="1"/>
  <c r="AQ69" i="112"/>
  <c r="AR69" i="112" s="1"/>
  <c r="AT69" i="112"/>
  <c r="BN69" i="112"/>
  <c r="BO69" i="112" s="1"/>
  <c r="V69" i="112"/>
  <c r="W69" i="112" s="1"/>
  <c r="Y69" i="112"/>
  <c r="Z69" i="112" s="1"/>
  <c r="AK69" i="112"/>
  <c r="AL69" i="112" s="1"/>
  <c r="BG69" i="112"/>
  <c r="BH69" i="112" s="1"/>
  <c r="BK69" i="112"/>
  <c r="AB69" i="112"/>
  <c r="AC69" i="112" s="1"/>
  <c r="BQ69" i="112"/>
  <c r="BR69" i="112" s="1"/>
  <c r="AV69" i="112"/>
  <c r="AW69" i="112" s="1"/>
  <c r="R69" i="112"/>
  <c r="T69" i="112" s="1"/>
  <c r="BL70" i="130"/>
  <c r="M70" i="130"/>
  <c r="K71" i="130"/>
  <c r="BN70" i="130"/>
  <c r="BO70" i="130" s="1"/>
  <c r="BD70" i="130"/>
  <c r="BE70" i="130" s="1"/>
  <c r="AT70" i="130"/>
  <c r="R70" i="130"/>
  <c r="T70" i="130" s="1"/>
  <c r="P70" i="130"/>
  <c r="BA70" i="130"/>
  <c r="BB70" i="130" s="1"/>
  <c r="AQ70" i="130"/>
  <c r="AR70" i="130" s="1"/>
  <c r="AN70" i="130"/>
  <c r="AO70" i="130" s="1"/>
  <c r="AK70" i="130"/>
  <c r="AL70" i="130" s="1"/>
  <c r="AY70" i="130"/>
  <c r="AV70" i="130"/>
  <c r="AW70" i="130" s="1"/>
  <c r="Y70" i="130"/>
  <c r="Z70" i="130" s="1"/>
  <c r="AB70" i="130"/>
  <c r="AC70" i="130" s="1"/>
  <c r="BG70" i="130"/>
  <c r="BH70" i="130" s="1"/>
  <c r="AH70" i="130"/>
  <c r="AI70" i="130" s="1"/>
  <c r="AE70" i="130"/>
  <c r="AF70" i="130" s="1"/>
  <c r="V70" i="130"/>
  <c r="W70" i="130" s="1"/>
  <c r="O70" i="130"/>
  <c r="BQ70" i="130"/>
  <c r="BR70" i="130" s="1"/>
  <c r="AV22" i="151"/>
  <c r="AW22" i="151" s="1"/>
  <c r="BD22" i="151"/>
  <c r="BE22" i="151" s="1"/>
  <c r="O75" i="155"/>
  <c r="V75" i="155"/>
  <c r="W75" i="155" s="1"/>
  <c r="AB75" i="155"/>
  <c r="AC75" i="155" s="1"/>
  <c r="AH75" i="155"/>
  <c r="AI75" i="155" s="1"/>
  <c r="AN75" i="155"/>
  <c r="AO75" i="155" s="1"/>
  <c r="BA75" i="155"/>
  <c r="BB75" i="155" s="1"/>
  <c r="BG75" i="155"/>
  <c r="BH75" i="155" s="1"/>
  <c r="P75" i="155"/>
  <c r="AV75" i="155"/>
  <c r="AW75" i="155" s="1"/>
  <c r="BN75" i="155"/>
  <c r="BO75" i="155" s="1"/>
  <c r="M75" i="155"/>
  <c r="R75" i="155"/>
  <c r="T75" i="155" s="1"/>
  <c r="AE75" i="155"/>
  <c r="AF75" i="155" s="1"/>
  <c r="AQ75" i="155"/>
  <c r="AR75" i="155" s="1"/>
  <c r="BD75" i="155"/>
  <c r="BE75" i="155" s="1"/>
  <c r="BQ75" i="155"/>
  <c r="BR75" i="155" s="1"/>
  <c r="Y75" i="155"/>
  <c r="Z75" i="155" s="1"/>
  <c r="AK75" i="155"/>
  <c r="AL75" i="155" s="1"/>
  <c r="BL75" i="155"/>
  <c r="I77" i="155"/>
  <c r="K76" i="155"/>
  <c r="BD21" i="149"/>
  <c r="BE21" i="149" s="1"/>
  <c r="AV21" i="149"/>
  <c r="AW21" i="149" s="1"/>
  <c r="AT23" i="151"/>
  <c r="O75" i="153"/>
  <c r="V75" i="153"/>
  <c r="W75" i="153" s="1"/>
  <c r="AB75" i="153"/>
  <c r="AC75" i="153" s="1"/>
  <c r="AH75" i="153"/>
  <c r="AI75" i="153" s="1"/>
  <c r="AN75" i="153"/>
  <c r="AO75" i="153" s="1"/>
  <c r="BA75" i="153"/>
  <c r="BB75" i="153" s="1"/>
  <c r="BG75" i="153"/>
  <c r="BH75" i="153" s="1"/>
  <c r="P75" i="153"/>
  <c r="AV75" i="153"/>
  <c r="AW75" i="153" s="1"/>
  <c r="BN75" i="153"/>
  <c r="BO75" i="153" s="1"/>
  <c r="R75" i="153"/>
  <c r="T75" i="153" s="1"/>
  <c r="Y75" i="153"/>
  <c r="Z75" i="153" s="1"/>
  <c r="AE75" i="153"/>
  <c r="AF75" i="153" s="1"/>
  <c r="AK75" i="153"/>
  <c r="AL75" i="153" s="1"/>
  <c r="AQ75" i="153"/>
  <c r="AR75" i="153" s="1"/>
  <c r="BD75" i="153"/>
  <c r="BE75" i="153" s="1"/>
  <c r="BQ75" i="153"/>
  <c r="BR75" i="153" s="1"/>
  <c r="M75" i="153"/>
  <c r="BL75" i="153"/>
  <c r="K76" i="153"/>
  <c r="I80" i="153"/>
  <c r="O75" i="152"/>
  <c r="V75" i="152"/>
  <c r="W75" i="152" s="1"/>
  <c r="AB75" i="152"/>
  <c r="AC75" i="152" s="1"/>
  <c r="AH75" i="152"/>
  <c r="AI75" i="152" s="1"/>
  <c r="AN75" i="152"/>
  <c r="AO75" i="152" s="1"/>
  <c r="BA75" i="152"/>
  <c r="BB75" i="152" s="1"/>
  <c r="BG75" i="152"/>
  <c r="BH75" i="152" s="1"/>
  <c r="P75" i="152"/>
  <c r="AV75" i="152"/>
  <c r="AW75" i="152" s="1"/>
  <c r="BN75" i="152"/>
  <c r="BO75" i="152" s="1"/>
  <c r="M75" i="152"/>
  <c r="R75" i="152"/>
  <c r="T75" i="152" s="1"/>
  <c r="AE75" i="152"/>
  <c r="AF75" i="152" s="1"/>
  <c r="AQ75" i="152"/>
  <c r="AR75" i="152" s="1"/>
  <c r="BD75" i="152"/>
  <c r="BE75" i="152" s="1"/>
  <c r="Y75" i="152"/>
  <c r="Z75" i="152" s="1"/>
  <c r="BQ75" i="152"/>
  <c r="BR75" i="152" s="1"/>
  <c r="AK75" i="152"/>
  <c r="AL75" i="152" s="1"/>
  <c r="BL75" i="152"/>
  <c r="K76" i="152"/>
  <c r="I84" i="152"/>
  <c r="BQ73" i="151"/>
  <c r="BR73" i="151" s="1"/>
  <c r="AY73" i="151"/>
  <c r="AV73" i="151"/>
  <c r="AW73" i="151" s="1"/>
  <c r="P73" i="151"/>
  <c r="BD73" i="151"/>
  <c r="BE73" i="151" s="1"/>
  <c r="AQ73" i="151"/>
  <c r="AR73" i="151" s="1"/>
  <c r="AE73" i="151"/>
  <c r="AF73" i="151" s="1"/>
  <c r="R73" i="151"/>
  <c r="T73" i="151" s="1"/>
  <c r="AK73" i="151"/>
  <c r="AL73" i="151" s="1"/>
  <c r="Y73" i="151"/>
  <c r="Z73" i="151" s="1"/>
  <c r="AN73" i="151"/>
  <c r="AO73" i="151" s="1"/>
  <c r="O73" i="151"/>
  <c r="BG73" i="151"/>
  <c r="BH73" i="151" s="1"/>
  <c r="AH73" i="151"/>
  <c r="AI73" i="151" s="1"/>
  <c r="BA73" i="151"/>
  <c r="BB73" i="151" s="1"/>
  <c r="AB73" i="151"/>
  <c r="AC73" i="151" s="1"/>
  <c r="AT73" i="151"/>
  <c r="V73" i="151"/>
  <c r="W73" i="151" s="1"/>
  <c r="M73" i="151"/>
  <c r="BN73" i="151"/>
  <c r="BO73" i="151" s="1"/>
  <c r="BL73" i="151"/>
  <c r="K74" i="151"/>
  <c r="I75" i="151"/>
  <c r="I76" i="150"/>
  <c r="AV72" i="150"/>
  <c r="AW72" i="150" s="1"/>
  <c r="P72" i="150"/>
  <c r="BG72" i="150"/>
  <c r="BH72" i="150" s="1"/>
  <c r="BA72" i="150"/>
  <c r="BB72" i="150" s="1"/>
  <c r="AT72" i="150"/>
  <c r="AN72" i="150"/>
  <c r="AO72" i="150" s="1"/>
  <c r="AH72" i="150"/>
  <c r="AI72" i="150" s="1"/>
  <c r="AB72" i="150"/>
  <c r="AC72" i="150" s="1"/>
  <c r="V72" i="150"/>
  <c r="W72" i="150" s="1"/>
  <c r="O72" i="150"/>
  <c r="BQ72" i="150"/>
  <c r="BR72" i="150" s="1"/>
  <c r="AY72" i="150"/>
  <c r="BD72" i="150"/>
  <c r="BE72" i="150" s="1"/>
  <c r="AE72" i="150"/>
  <c r="AF72" i="150" s="1"/>
  <c r="Y72" i="150"/>
  <c r="Z72" i="150" s="1"/>
  <c r="R72" i="150"/>
  <c r="T72" i="150" s="1"/>
  <c r="AQ72" i="150"/>
  <c r="AR72" i="150" s="1"/>
  <c r="AK72" i="150"/>
  <c r="AL72" i="150" s="1"/>
  <c r="BN72" i="150"/>
  <c r="BO72" i="150" s="1"/>
  <c r="M72" i="150"/>
  <c r="BL72" i="150"/>
  <c r="K73" i="150"/>
  <c r="K75" i="149"/>
  <c r="AT75" i="149" s="1"/>
  <c r="I76" i="149"/>
  <c r="BG74" i="149"/>
  <c r="BH74" i="149" s="1"/>
  <c r="BA74" i="149"/>
  <c r="BB74" i="149" s="1"/>
  <c r="AN74" i="149"/>
  <c r="AO74" i="149" s="1"/>
  <c r="AH74" i="149"/>
  <c r="AI74" i="149" s="1"/>
  <c r="AB74" i="149"/>
  <c r="AC74" i="149" s="1"/>
  <c r="V74" i="149"/>
  <c r="W74" i="149" s="1"/>
  <c r="O74" i="149"/>
  <c r="BQ74" i="149"/>
  <c r="BR74" i="149" s="1"/>
  <c r="BD74" i="149"/>
  <c r="BE74" i="149" s="1"/>
  <c r="AQ74" i="149"/>
  <c r="AR74" i="149" s="1"/>
  <c r="AK74" i="149"/>
  <c r="AL74" i="149" s="1"/>
  <c r="AE74" i="149"/>
  <c r="AF74" i="149" s="1"/>
  <c r="Y74" i="149"/>
  <c r="Z74" i="149" s="1"/>
  <c r="R74" i="149"/>
  <c r="T74" i="149" s="1"/>
  <c r="AV74" i="149"/>
  <c r="AW74" i="149" s="1"/>
  <c r="P74" i="149"/>
  <c r="AY74" i="149"/>
  <c r="M74" i="149"/>
  <c r="BN74" i="149"/>
  <c r="BO74" i="149" s="1"/>
  <c r="BL74" i="149"/>
  <c r="BG73" i="147"/>
  <c r="BH73" i="147" s="1"/>
  <c r="BA73" i="147"/>
  <c r="BB73" i="147" s="1"/>
  <c r="AT73" i="147"/>
  <c r="AN73" i="147"/>
  <c r="AO73" i="147" s="1"/>
  <c r="AH73" i="147"/>
  <c r="AI73" i="147" s="1"/>
  <c r="AB73" i="147"/>
  <c r="AC73" i="147" s="1"/>
  <c r="V73" i="147"/>
  <c r="W73" i="147" s="1"/>
  <c r="O73" i="147"/>
  <c r="BD73" i="147"/>
  <c r="BE73" i="147" s="1"/>
  <c r="AQ73" i="147"/>
  <c r="AR73" i="147" s="1"/>
  <c r="AK73" i="147"/>
  <c r="AL73" i="147" s="1"/>
  <c r="AE73" i="147"/>
  <c r="AF73" i="147" s="1"/>
  <c r="Y73" i="147"/>
  <c r="Z73" i="147" s="1"/>
  <c r="R73" i="147"/>
  <c r="T73" i="147" s="1"/>
  <c r="P73" i="147"/>
  <c r="AY73" i="147"/>
  <c r="AV73" i="147"/>
  <c r="AW73" i="147" s="1"/>
  <c r="BQ73" i="147"/>
  <c r="BR73" i="147" s="1"/>
  <c r="M73" i="147"/>
  <c r="BJ73" i="147"/>
  <c r="BL73" i="147" s="1"/>
  <c r="BN73" i="147"/>
  <c r="BO73" i="147" s="1"/>
  <c r="BK73" i="147"/>
  <c r="I75" i="147"/>
  <c r="K74" i="147"/>
  <c r="BQ72" i="146"/>
  <c r="BR72" i="146" s="1"/>
  <c r="AY72" i="146"/>
  <c r="AV72" i="146"/>
  <c r="AW72" i="146" s="1"/>
  <c r="P72" i="146"/>
  <c r="AK72" i="146"/>
  <c r="AL72" i="146" s="1"/>
  <c r="Y72" i="146"/>
  <c r="Z72" i="146" s="1"/>
  <c r="BG72" i="146"/>
  <c r="BH72" i="146" s="1"/>
  <c r="AT72" i="146"/>
  <c r="AH72" i="146"/>
  <c r="AI72" i="146" s="1"/>
  <c r="V72" i="146"/>
  <c r="W72" i="146" s="1"/>
  <c r="BD72" i="146"/>
  <c r="BE72" i="146" s="1"/>
  <c r="AQ72" i="146"/>
  <c r="AR72" i="146" s="1"/>
  <c r="AE72" i="146"/>
  <c r="AF72" i="146" s="1"/>
  <c r="R72" i="146"/>
  <c r="T72" i="146" s="1"/>
  <c r="AN72" i="146"/>
  <c r="AO72" i="146" s="1"/>
  <c r="AB72" i="146"/>
  <c r="AC72" i="146" s="1"/>
  <c r="O72" i="146"/>
  <c r="BA72" i="146"/>
  <c r="BB72" i="146" s="1"/>
  <c r="BK72" i="146"/>
  <c r="BJ72" i="146"/>
  <c r="BL72" i="146" s="1"/>
  <c r="BN72" i="146"/>
  <c r="BO72" i="146" s="1"/>
  <c r="M72" i="146"/>
  <c r="I74" i="146"/>
  <c r="K73" i="146"/>
  <c r="M70" i="126"/>
  <c r="BK70" i="126"/>
  <c r="BJ70" i="126"/>
  <c r="BL70" i="126" s="1"/>
  <c r="BN70" i="126"/>
  <c r="BO70" i="126" s="1"/>
  <c r="AN70" i="126"/>
  <c r="AO70" i="126" s="1"/>
  <c r="AE70" i="126"/>
  <c r="AF70" i="126" s="1"/>
  <c r="AK70" i="126"/>
  <c r="AL70" i="126" s="1"/>
  <c r="BQ70" i="126"/>
  <c r="BR70" i="126" s="1"/>
  <c r="AB70" i="126"/>
  <c r="AC70" i="126" s="1"/>
  <c r="V70" i="126"/>
  <c r="W70" i="126" s="1"/>
  <c r="BG70" i="126"/>
  <c r="BH70" i="126" s="1"/>
  <c r="R70" i="126"/>
  <c r="T70" i="126" s="1"/>
  <c r="AY70" i="126"/>
  <c r="AT70" i="126"/>
  <c r="P70" i="126"/>
  <c r="BA70" i="126"/>
  <c r="BB70" i="126" s="1"/>
  <c r="BD70" i="126"/>
  <c r="BE70" i="126" s="1"/>
  <c r="AV70" i="126"/>
  <c r="AW70" i="126" s="1"/>
  <c r="AH70" i="126"/>
  <c r="AI70" i="126" s="1"/>
  <c r="O70" i="126"/>
  <c r="Y70" i="126"/>
  <c r="Z70" i="126" s="1"/>
  <c r="AQ70" i="126"/>
  <c r="AR70" i="126" s="1"/>
  <c r="K71" i="126"/>
  <c r="K71" i="110"/>
  <c r="I72" i="110"/>
  <c r="I75" i="126"/>
  <c r="I77" i="132"/>
  <c r="I72" i="115"/>
  <c r="K71" i="115"/>
  <c r="M72" i="136"/>
  <c r="BN72" i="136"/>
  <c r="BO72" i="136" s="1"/>
  <c r="BL72" i="136"/>
  <c r="AQ72" i="136"/>
  <c r="AR72" i="136" s="1"/>
  <c r="AT72" i="136"/>
  <c r="BG72" i="136"/>
  <c r="BH72" i="136" s="1"/>
  <c r="AN72" i="136"/>
  <c r="AO72" i="136" s="1"/>
  <c r="AV72" i="136"/>
  <c r="AW72" i="136" s="1"/>
  <c r="O72" i="136"/>
  <c r="P72" i="136"/>
  <c r="Y72" i="136"/>
  <c r="Z72" i="136" s="1"/>
  <c r="AE72" i="136"/>
  <c r="AF72" i="136" s="1"/>
  <c r="BA72" i="136"/>
  <c r="BB72" i="136" s="1"/>
  <c r="AY72" i="136"/>
  <c r="V72" i="136"/>
  <c r="W72" i="136" s="1"/>
  <c r="R72" i="136"/>
  <c r="T72" i="136" s="1"/>
  <c r="AH72" i="136"/>
  <c r="AI72" i="136" s="1"/>
  <c r="BQ72" i="136"/>
  <c r="BR72" i="136" s="1"/>
  <c r="AB72" i="136"/>
  <c r="AC72" i="136" s="1"/>
  <c r="AK72" i="136"/>
  <c r="AL72" i="136" s="1"/>
  <c r="BD72" i="136"/>
  <c r="BE72" i="136" s="1"/>
  <c r="K73" i="136"/>
  <c r="AB68" i="120"/>
  <c r="AC68" i="120" s="1"/>
  <c r="P68" i="120"/>
  <c r="M68" i="120"/>
  <c r="AH68" i="120"/>
  <c r="AI68" i="120" s="1"/>
  <c r="O68" i="120"/>
  <c r="BG68" i="120"/>
  <c r="BH68" i="120" s="1"/>
  <c r="BD68" i="120"/>
  <c r="BE68" i="120" s="1"/>
  <c r="K69" i="120"/>
  <c r="V68" i="120"/>
  <c r="W68" i="120" s="1"/>
  <c r="BA68" i="120"/>
  <c r="BB68" i="120" s="1"/>
  <c r="AQ68" i="120"/>
  <c r="AR68" i="120" s="1"/>
  <c r="AN68" i="120"/>
  <c r="AO68" i="120" s="1"/>
  <c r="AY68" i="120"/>
  <c r="R68" i="120"/>
  <c r="T68" i="120" s="1"/>
  <c r="AV68" i="120"/>
  <c r="AW68" i="120" s="1"/>
  <c r="AE68" i="120"/>
  <c r="AF68" i="120" s="1"/>
  <c r="Y68" i="120"/>
  <c r="Z68" i="120" s="1"/>
  <c r="AK68" i="120"/>
  <c r="AL68" i="120" s="1"/>
  <c r="BQ68" i="120"/>
  <c r="BR68" i="120" s="1"/>
  <c r="AT68" i="120"/>
  <c r="BN68" i="120"/>
  <c r="BO68" i="120" s="1"/>
  <c r="BJ72" i="105"/>
  <c r="BL72" i="105" s="1"/>
  <c r="M72" i="105"/>
  <c r="BK72" i="105"/>
  <c r="BN72" i="105"/>
  <c r="BO72" i="105" s="1"/>
  <c r="R72" i="105"/>
  <c r="T72" i="105" s="1"/>
  <c r="AK72" i="105"/>
  <c r="AL72" i="105" s="1"/>
  <c r="AE72" i="105"/>
  <c r="AF72" i="105" s="1"/>
  <c r="AT72" i="105"/>
  <c r="AY72" i="105"/>
  <c r="O72" i="105"/>
  <c r="BD72" i="105"/>
  <c r="BE72" i="105" s="1"/>
  <c r="Y72" i="105"/>
  <c r="Z72" i="105" s="1"/>
  <c r="BA72" i="105"/>
  <c r="BB72" i="105" s="1"/>
  <c r="AQ72" i="105"/>
  <c r="AR72" i="105" s="1"/>
  <c r="V72" i="105"/>
  <c r="W72" i="105" s="1"/>
  <c r="AN72" i="105"/>
  <c r="AO72" i="105" s="1"/>
  <c r="BQ72" i="105"/>
  <c r="BR72" i="105" s="1"/>
  <c r="AV72" i="105"/>
  <c r="AW72" i="105" s="1"/>
  <c r="BG72" i="105"/>
  <c r="BH72" i="105" s="1"/>
  <c r="P72" i="105"/>
  <c r="AB72" i="105"/>
  <c r="AC72" i="105" s="1"/>
  <c r="AH72" i="105"/>
  <c r="AI72" i="105" s="1"/>
  <c r="K73" i="105"/>
  <c r="I74" i="104"/>
  <c r="BN74" i="124"/>
  <c r="BO74" i="124" s="1"/>
  <c r="M74" i="124"/>
  <c r="BK74" i="124"/>
  <c r="BJ74" i="124"/>
  <c r="BL74" i="124" s="1"/>
  <c r="K75" i="124"/>
  <c r="AY74" i="124"/>
  <c r="AT74" i="124"/>
  <c r="Y74" i="124"/>
  <c r="Z74" i="124" s="1"/>
  <c r="AH74" i="124"/>
  <c r="AI74" i="124" s="1"/>
  <c r="BQ74" i="124"/>
  <c r="BR74" i="124" s="1"/>
  <c r="O74" i="124"/>
  <c r="AV74" i="124"/>
  <c r="AW74" i="124" s="1"/>
  <c r="AB74" i="124"/>
  <c r="AC74" i="124" s="1"/>
  <c r="AN74" i="124"/>
  <c r="AO74" i="124" s="1"/>
  <c r="BA74" i="124"/>
  <c r="BB74" i="124" s="1"/>
  <c r="P74" i="124"/>
  <c r="BG74" i="124"/>
  <c r="BH74" i="124" s="1"/>
  <c r="AQ74" i="124"/>
  <c r="AR74" i="124" s="1"/>
  <c r="AK74" i="124"/>
  <c r="AL74" i="124" s="1"/>
  <c r="BD74" i="124"/>
  <c r="BE74" i="124" s="1"/>
  <c r="R74" i="124"/>
  <c r="T74" i="124" s="1"/>
  <c r="AE74" i="124"/>
  <c r="AF74" i="124" s="1"/>
  <c r="V74" i="124"/>
  <c r="W74" i="124" s="1"/>
  <c r="P71" i="64"/>
  <c r="V71" i="64"/>
  <c r="W71" i="64" s="1"/>
  <c r="AQ71" i="64"/>
  <c r="AR71" i="64" s="1"/>
  <c r="Y71" i="64"/>
  <c r="Z71" i="64" s="1"/>
  <c r="BA71" i="64"/>
  <c r="BB71" i="64" s="1"/>
  <c r="BG71" i="64"/>
  <c r="BH71" i="64" s="1"/>
  <c r="AY71" i="64"/>
  <c r="AB71" i="64"/>
  <c r="AC71" i="64" s="1"/>
  <c r="O71" i="64"/>
  <c r="AH71" i="64"/>
  <c r="AI71" i="64" s="1"/>
  <c r="AE71" i="64"/>
  <c r="AF71" i="64" s="1"/>
  <c r="M71" i="64"/>
  <c r="BD71" i="64"/>
  <c r="BE71" i="64" s="1"/>
  <c r="AK71" i="64"/>
  <c r="AL71" i="64" s="1"/>
  <c r="BQ71" i="64"/>
  <c r="BR71" i="64" s="1"/>
  <c r="R71" i="64"/>
  <c r="T71" i="64" s="1"/>
  <c r="AV71" i="64"/>
  <c r="AW71" i="64" s="1"/>
  <c r="AN71" i="64"/>
  <c r="AO71" i="64" s="1"/>
  <c r="AT71" i="64"/>
  <c r="BN71" i="64"/>
  <c r="BO71" i="64" s="1"/>
  <c r="BL71" i="64"/>
  <c r="K72" i="64"/>
  <c r="I70" i="13"/>
  <c r="K69" i="13"/>
  <c r="I77" i="105"/>
  <c r="I76" i="114"/>
  <c r="I74" i="15"/>
  <c r="K69" i="66"/>
  <c r="I70" i="66"/>
  <c r="M71" i="135"/>
  <c r="AE71" i="135"/>
  <c r="AF71" i="135" s="1"/>
  <c r="AT71" i="135"/>
  <c r="R71" i="135"/>
  <c r="T71" i="135" s="1"/>
  <c r="AV71" i="135"/>
  <c r="AW71" i="135" s="1"/>
  <c r="AY71" i="135"/>
  <c r="BG71" i="135"/>
  <c r="BH71" i="135" s="1"/>
  <c r="BD71" i="135"/>
  <c r="BE71" i="135" s="1"/>
  <c r="AK71" i="135"/>
  <c r="AL71" i="135" s="1"/>
  <c r="P71" i="135"/>
  <c r="O71" i="135"/>
  <c r="AH71" i="135"/>
  <c r="AI71" i="135" s="1"/>
  <c r="Y71" i="135"/>
  <c r="Z71" i="135" s="1"/>
  <c r="V71" i="135"/>
  <c r="W71" i="135" s="1"/>
  <c r="AQ71" i="135"/>
  <c r="AR71" i="135" s="1"/>
  <c r="BQ71" i="135"/>
  <c r="BR71" i="135" s="1"/>
  <c r="AN71" i="135"/>
  <c r="AO71" i="135" s="1"/>
  <c r="AB71" i="135"/>
  <c r="AC71" i="135" s="1"/>
  <c r="BA71" i="135"/>
  <c r="BB71" i="135" s="1"/>
  <c r="BN71" i="135"/>
  <c r="BO71" i="135" s="1"/>
  <c r="BL71" i="135"/>
  <c r="BL69" i="15"/>
  <c r="BN69" i="15"/>
  <c r="BO69" i="15" s="1"/>
  <c r="M69" i="15"/>
  <c r="V69" i="15"/>
  <c r="W69" i="15" s="1"/>
  <c r="BG69" i="15"/>
  <c r="BH69" i="15" s="1"/>
  <c r="AQ69" i="15"/>
  <c r="AR69" i="15" s="1"/>
  <c r="AB69" i="15"/>
  <c r="AC69" i="15" s="1"/>
  <c r="BD69" i="15"/>
  <c r="BE69" i="15" s="1"/>
  <c r="BQ69" i="15"/>
  <c r="BR69" i="15" s="1"/>
  <c r="AV69" i="15"/>
  <c r="AW69" i="15" s="1"/>
  <c r="P69" i="15"/>
  <c r="AY69" i="15"/>
  <c r="AN69" i="15"/>
  <c r="AO69" i="15" s="1"/>
  <c r="R69" i="15"/>
  <c r="T69" i="15" s="1"/>
  <c r="AK69" i="15"/>
  <c r="AL69" i="15" s="1"/>
  <c r="O69" i="15"/>
  <c r="AT69" i="15"/>
  <c r="AH69" i="15"/>
  <c r="AI69" i="15" s="1"/>
  <c r="AE69" i="15"/>
  <c r="AF69" i="15" s="1"/>
  <c r="BA69" i="15"/>
  <c r="BB69" i="15" s="1"/>
  <c r="Y69" i="15"/>
  <c r="Z69" i="15" s="1"/>
  <c r="K70" i="15"/>
  <c r="BN70" i="63"/>
  <c r="BO70" i="63" s="1"/>
  <c r="M70" i="63"/>
  <c r="BG70" i="63"/>
  <c r="BH70" i="63" s="1"/>
  <c r="AY70" i="63"/>
  <c r="AQ70" i="63"/>
  <c r="AR70" i="63" s="1"/>
  <c r="AT70" i="63"/>
  <c r="AH70" i="63"/>
  <c r="AI70" i="63" s="1"/>
  <c r="BD70" i="63"/>
  <c r="BE70" i="63" s="1"/>
  <c r="AN70" i="63"/>
  <c r="AO70" i="63" s="1"/>
  <c r="Y70" i="63"/>
  <c r="Z70" i="63" s="1"/>
  <c r="BQ70" i="63"/>
  <c r="BR70" i="63" s="1"/>
  <c r="AB70" i="63"/>
  <c r="AC70" i="63" s="1"/>
  <c r="R70" i="63"/>
  <c r="T70" i="63" s="1"/>
  <c r="V70" i="63"/>
  <c r="W70" i="63" s="1"/>
  <c r="BA70" i="63"/>
  <c r="BB70" i="63" s="1"/>
  <c r="P70" i="63"/>
  <c r="O70" i="63"/>
  <c r="BL70" i="63"/>
  <c r="AV70" i="63"/>
  <c r="AW70" i="63" s="1"/>
  <c r="AK70" i="63"/>
  <c r="AL70" i="63" s="1"/>
  <c r="AE70" i="63"/>
  <c r="AF70" i="63" s="1"/>
  <c r="K71" i="63"/>
  <c r="BL68" i="13"/>
  <c r="M68" i="13"/>
  <c r="BN68" i="13"/>
  <c r="BO68" i="13" s="1"/>
  <c r="AN68" i="13"/>
  <c r="AO68" i="13" s="1"/>
  <c r="AT68" i="13"/>
  <c r="AY68" i="13"/>
  <c r="AE68" i="13"/>
  <c r="AF68" i="13" s="1"/>
  <c r="BG68" i="13"/>
  <c r="BH68" i="13" s="1"/>
  <c r="AK68" i="13"/>
  <c r="AL68" i="13" s="1"/>
  <c r="R68" i="13"/>
  <c r="T68" i="13" s="1"/>
  <c r="Y68" i="13"/>
  <c r="Z68" i="13" s="1"/>
  <c r="BD68" i="13"/>
  <c r="BE68" i="13" s="1"/>
  <c r="P68" i="13"/>
  <c r="BQ68" i="13"/>
  <c r="BR68" i="13" s="1"/>
  <c r="V68" i="13"/>
  <c r="W68" i="13" s="1"/>
  <c r="AV68" i="13"/>
  <c r="AW68" i="13" s="1"/>
  <c r="BA68" i="13"/>
  <c r="BB68" i="13" s="1"/>
  <c r="AB68" i="13"/>
  <c r="AC68" i="13" s="1"/>
  <c r="O68" i="13"/>
  <c r="AH68" i="13"/>
  <c r="AI68" i="13" s="1"/>
  <c r="AQ68" i="13"/>
  <c r="AR68" i="13" s="1"/>
  <c r="M69" i="101"/>
  <c r="AY69" i="101"/>
  <c r="R69" i="101"/>
  <c r="T69" i="101" s="1"/>
  <c r="P69" i="101"/>
  <c r="AB69" i="101"/>
  <c r="AC69" i="101" s="1"/>
  <c r="BA69" i="101"/>
  <c r="BB69" i="101" s="1"/>
  <c r="AQ69" i="101"/>
  <c r="AR69" i="101" s="1"/>
  <c r="AV69" i="101"/>
  <c r="AW69" i="101" s="1"/>
  <c r="BQ69" i="101"/>
  <c r="BR69" i="101" s="1"/>
  <c r="AE69" i="101"/>
  <c r="AF69" i="101" s="1"/>
  <c r="BG69" i="101"/>
  <c r="BH69" i="101" s="1"/>
  <c r="AN69" i="101"/>
  <c r="AO69" i="101" s="1"/>
  <c r="Y69" i="101"/>
  <c r="Z69" i="101" s="1"/>
  <c r="V69" i="101"/>
  <c r="W69" i="101" s="1"/>
  <c r="AK69" i="101"/>
  <c r="AL69" i="101" s="1"/>
  <c r="BD69" i="101"/>
  <c r="BE69" i="101" s="1"/>
  <c r="O69" i="101"/>
  <c r="AH69" i="101"/>
  <c r="AI69" i="101" s="1"/>
  <c r="AT69" i="101"/>
  <c r="M70" i="114"/>
  <c r="BJ70" i="114"/>
  <c r="BL70" i="114" s="1"/>
  <c r="BN70" i="114"/>
  <c r="BO70" i="114" s="1"/>
  <c r="BK70" i="114"/>
  <c r="BQ70" i="114"/>
  <c r="BR70" i="114" s="1"/>
  <c r="BG70" i="114"/>
  <c r="BH70" i="114" s="1"/>
  <c r="AH70" i="114"/>
  <c r="AI70" i="114" s="1"/>
  <c r="AV70" i="114"/>
  <c r="AW70" i="114" s="1"/>
  <c r="Y70" i="114"/>
  <c r="Z70" i="114" s="1"/>
  <c r="AT70" i="114"/>
  <c r="V70" i="114"/>
  <c r="W70" i="114" s="1"/>
  <c r="AQ70" i="114"/>
  <c r="AR70" i="114" s="1"/>
  <c r="AN70" i="114"/>
  <c r="AO70" i="114" s="1"/>
  <c r="BD70" i="114"/>
  <c r="BE70" i="114" s="1"/>
  <c r="AY70" i="114"/>
  <c r="P70" i="114"/>
  <c r="BA70" i="114"/>
  <c r="BB70" i="114" s="1"/>
  <c r="R70" i="114"/>
  <c r="T70" i="114" s="1"/>
  <c r="O70" i="114"/>
  <c r="AE70" i="114"/>
  <c r="AF70" i="114" s="1"/>
  <c r="AK70" i="114"/>
  <c r="AL70" i="114" s="1"/>
  <c r="AB70" i="114"/>
  <c r="AC70" i="114" s="1"/>
  <c r="K71" i="114"/>
  <c r="I76" i="136"/>
  <c r="AQ68" i="66"/>
  <c r="AR68" i="66" s="1"/>
  <c r="Y68" i="66"/>
  <c r="Z68" i="66" s="1"/>
  <c r="V68" i="66"/>
  <c r="W68" i="66" s="1"/>
  <c r="M68" i="66"/>
  <c r="AV68" i="66"/>
  <c r="AW68" i="66" s="1"/>
  <c r="BG68" i="66"/>
  <c r="BH68" i="66" s="1"/>
  <c r="AN68" i="66"/>
  <c r="AO68" i="66" s="1"/>
  <c r="AK68" i="66"/>
  <c r="AL68" i="66" s="1"/>
  <c r="R68" i="66"/>
  <c r="T68" i="66" s="1"/>
  <c r="BD68" i="66"/>
  <c r="BE68" i="66" s="1"/>
  <c r="O68" i="66"/>
  <c r="P68" i="66"/>
  <c r="AY68" i="66"/>
  <c r="AB68" i="66"/>
  <c r="AC68" i="66" s="1"/>
  <c r="AT68" i="66"/>
  <c r="AE68" i="66"/>
  <c r="AF68" i="66" s="1"/>
  <c r="BQ68" i="66"/>
  <c r="BR68" i="66" s="1"/>
  <c r="BN68" i="66"/>
  <c r="BO68" i="66" s="1"/>
  <c r="BA68" i="66"/>
  <c r="BB68" i="66" s="1"/>
  <c r="AH68" i="66"/>
  <c r="AI68" i="66" s="1"/>
  <c r="BL68" i="66"/>
  <c r="I73" i="135"/>
  <c r="K72" i="135"/>
  <c r="AT69" i="118"/>
  <c r="K70" i="118"/>
  <c r="M69" i="118"/>
  <c r="BN69" i="118"/>
  <c r="BO69" i="118" s="1"/>
  <c r="AB69" i="118"/>
  <c r="AC69" i="118" s="1"/>
  <c r="AN69" i="118"/>
  <c r="AO69" i="118" s="1"/>
  <c r="AH69" i="118"/>
  <c r="AI69" i="118" s="1"/>
  <c r="O69" i="118"/>
  <c r="Y69" i="118"/>
  <c r="Z69" i="118" s="1"/>
  <c r="BD69" i="118"/>
  <c r="BE69" i="118" s="1"/>
  <c r="BA69" i="118"/>
  <c r="BB69" i="118" s="1"/>
  <c r="BG69" i="118"/>
  <c r="BH69" i="118" s="1"/>
  <c r="P69" i="118"/>
  <c r="R69" i="118"/>
  <c r="T69" i="118" s="1"/>
  <c r="AE69" i="118"/>
  <c r="AF69" i="118" s="1"/>
  <c r="AK69" i="118"/>
  <c r="AL69" i="118" s="1"/>
  <c r="AY69" i="118"/>
  <c r="V69" i="118"/>
  <c r="W69" i="118" s="1"/>
  <c r="AQ69" i="118"/>
  <c r="AR69" i="118" s="1"/>
  <c r="BQ69" i="118"/>
  <c r="BR69" i="118" s="1"/>
  <c r="AV69" i="118"/>
  <c r="AW69" i="118" s="1"/>
  <c r="K71" i="96"/>
  <c r="I72" i="96"/>
  <c r="BN68" i="17"/>
  <c r="BO68" i="17" s="1"/>
  <c r="BL68" i="17"/>
  <c r="M68" i="17"/>
  <c r="R68" i="17"/>
  <c r="T68" i="17" s="1"/>
  <c r="AN68" i="17"/>
  <c r="AO68" i="17" s="1"/>
  <c r="O68" i="17"/>
  <c r="BG68" i="17"/>
  <c r="BH68" i="17" s="1"/>
  <c r="Y68" i="17"/>
  <c r="Z68" i="17" s="1"/>
  <c r="AK68" i="17"/>
  <c r="AL68" i="17" s="1"/>
  <c r="AQ68" i="17"/>
  <c r="AR68" i="17" s="1"/>
  <c r="P68" i="17"/>
  <c r="AY68" i="17"/>
  <c r="BA68" i="17"/>
  <c r="BB68" i="17" s="1"/>
  <c r="AB68" i="17"/>
  <c r="AC68" i="17" s="1"/>
  <c r="AV68" i="17"/>
  <c r="AW68" i="17" s="1"/>
  <c r="BQ68" i="17"/>
  <c r="BR68" i="17" s="1"/>
  <c r="V68" i="17"/>
  <c r="W68" i="17" s="1"/>
  <c r="BD68" i="17"/>
  <c r="BE68" i="17" s="1"/>
  <c r="AT68" i="17"/>
  <c r="AE68" i="17"/>
  <c r="AF68" i="17" s="1"/>
  <c r="AH68" i="17"/>
  <c r="AI68" i="17" s="1"/>
  <c r="K71" i="98"/>
  <c r="BJ70" i="98"/>
  <c r="BL70" i="98" s="1"/>
  <c r="BN70" i="98"/>
  <c r="BO70" i="98" s="1"/>
  <c r="M70" i="98"/>
  <c r="BK70" i="98"/>
  <c r="AV70" i="98"/>
  <c r="AW70" i="98" s="1"/>
  <c r="AN70" i="98"/>
  <c r="AO70" i="98" s="1"/>
  <c r="R70" i="98"/>
  <c r="T70" i="98" s="1"/>
  <c r="AH70" i="98"/>
  <c r="AI70" i="98" s="1"/>
  <c r="AT70" i="98"/>
  <c r="BG70" i="98"/>
  <c r="BH70" i="98" s="1"/>
  <c r="BD70" i="98"/>
  <c r="BE70" i="98" s="1"/>
  <c r="BA70" i="98"/>
  <c r="BB70" i="98" s="1"/>
  <c r="BQ70" i="98"/>
  <c r="BR70" i="98" s="1"/>
  <c r="Y70" i="98"/>
  <c r="Z70" i="98" s="1"/>
  <c r="O70" i="98"/>
  <c r="AY70" i="98"/>
  <c r="V70" i="98"/>
  <c r="W70" i="98" s="1"/>
  <c r="AE70" i="98"/>
  <c r="AF70" i="98" s="1"/>
  <c r="P70" i="98"/>
  <c r="AB70" i="98"/>
  <c r="AC70" i="98" s="1"/>
  <c r="AQ70" i="98"/>
  <c r="AR70" i="98" s="1"/>
  <c r="AK70" i="98"/>
  <c r="AL70" i="98" s="1"/>
  <c r="I85" i="133"/>
  <c r="BK70" i="110"/>
  <c r="M70" i="110"/>
  <c r="BJ70" i="110"/>
  <c r="BL70" i="110" s="1"/>
  <c r="BN70" i="110"/>
  <c r="BO70" i="110" s="1"/>
  <c r="AY70" i="110"/>
  <c r="Y70" i="110"/>
  <c r="Z70" i="110" s="1"/>
  <c r="AH70" i="110"/>
  <c r="AI70" i="110" s="1"/>
  <c r="P70" i="110"/>
  <c r="BA70" i="110"/>
  <c r="BB70" i="110" s="1"/>
  <c r="AE70" i="110"/>
  <c r="AF70" i="110" s="1"/>
  <c r="BQ70" i="110"/>
  <c r="BR70" i="110" s="1"/>
  <c r="R70" i="110"/>
  <c r="T70" i="110" s="1"/>
  <c r="AQ70" i="110"/>
  <c r="AR70" i="110" s="1"/>
  <c r="AT70" i="110"/>
  <c r="BD70" i="110"/>
  <c r="BE70" i="110" s="1"/>
  <c r="AN70" i="110"/>
  <c r="AO70" i="110" s="1"/>
  <c r="BG70" i="110"/>
  <c r="BH70" i="110" s="1"/>
  <c r="V70" i="110"/>
  <c r="W70" i="110" s="1"/>
  <c r="O70" i="110"/>
  <c r="AK70" i="110"/>
  <c r="AL70" i="110" s="1"/>
  <c r="AB70" i="110"/>
  <c r="AC70" i="110" s="1"/>
  <c r="AV70" i="110"/>
  <c r="AW70" i="110" s="1"/>
  <c r="I71" i="101"/>
  <c r="K70" i="101"/>
  <c r="I75" i="63"/>
  <c r="I76" i="64"/>
  <c r="BJ70" i="115"/>
  <c r="BL70" i="115" s="1"/>
  <c r="M70" i="115"/>
  <c r="BN70" i="115"/>
  <c r="BO70" i="115" s="1"/>
  <c r="BK70" i="115"/>
  <c r="P70" i="115"/>
  <c r="AV70" i="115"/>
  <c r="AW70" i="115" s="1"/>
  <c r="AN70" i="115"/>
  <c r="AO70" i="115" s="1"/>
  <c r="AB70" i="115"/>
  <c r="AC70" i="115" s="1"/>
  <c r="O70" i="115"/>
  <c r="AK70" i="115"/>
  <c r="AL70" i="115" s="1"/>
  <c r="AE70" i="115"/>
  <c r="AF70" i="115" s="1"/>
  <c r="Y70" i="115"/>
  <c r="Z70" i="115" s="1"/>
  <c r="R70" i="115"/>
  <c r="T70" i="115" s="1"/>
  <c r="AT70" i="115"/>
  <c r="BA70" i="115"/>
  <c r="BB70" i="115" s="1"/>
  <c r="BG70" i="115"/>
  <c r="BH70" i="115" s="1"/>
  <c r="AQ70" i="115"/>
  <c r="AR70" i="115" s="1"/>
  <c r="BQ70" i="115"/>
  <c r="BR70" i="115" s="1"/>
  <c r="AH70" i="115"/>
  <c r="AI70" i="115" s="1"/>
  <c r="BD70" i="115"/>
  <c r="BE70" i="115" s="1"/>
  <c r="AY70" i="115"/>
  <c r="V70" i="115"/>
  <c r="W70" i="115" s="1"/>
  <c r="BL70" i="96"/>
  <c r="AK70" i="96"/>
  <c r="AL70" i="96" s="1"/>
  <c r="M70" i="96"/>
  <c r="AN70" i="96"/>
  <c r="AO70" i="96" s="1"/>
  <c r="O70" i="96"/>
  <c r="AE70" i="96"/>
  <c r="AF70" i="96" s="1"/>
  <c r="AH70" i="96"/>
  <c r="AI70" i="96" s="1"/>
  <c r="BG70" i="96"/>
  <c r="BH70" i="96" s="1"/>
  <c r="Y70" i="96"/>
  <c r="Z70" i="96" s="1"/>
  <c r="AQ70" i="96"/>
  <c r="AR70" i="96" s="1"/>
  <c r="V70" i="96"/>
  <c r="W70" i="96" s="1"/>
  <c r="BA70" i="96"/>
  <c r="BB70" i="96" s="1"/>
  <c r="BQ70" i="96"/>
  <c r="BR70" i="96" s="1"/>
  <c r="BD70" i="96"/>
  <c r="BE70" i="96" s="1"/>
  <c r="R70" i="96"/>
  <c r="T70" i="96" s="1"/>
  <c r="BN70" i="96"/>
  <c r="BO70" i="96" s="1"/>
  <c r="AB70" i="96"/>
  <c r="AC70" i="96" s="1"/>
  <c r="AT70" i="96"/>
  <c r="P70" i="96"/>
  <c r="AV70" i="96"/>
  <c r="AW70" i="96" s="1"/>
  <c r="I79" i="95"/>
  <c r="I70" i="17"/>
  <c r="K69" i="17"/>
  <c r="BN74" i="107" l="1"/>
  <c r="BO74" i="107" s="1"/>
  <c r="AT74" i="107"/>
  <c r="AB74" i="107"/>
  <c r="AC74" i="107" s="1"/>
  <c r="AE74" i="107"/>
  <c r="AF74" i="107" s="1"/>
  <c r="BA74" i="107"/>
  <c r="BB74" i="107" s="1"/>
  <c r="V74" i="107"/>
  <c r="W74" i="107" s="1"/>
  <c r="AK74" i="107"/>
  <c r="AL74" i="107" s="1"/>
  <c r="AV74" i="107"/>
  <c r="AW74" i="107" s="1"/>
  <c r="BG74" i="107"/>
  <c r="BH74" i="107" s="1"/>
  <c r="P74" i="107"/>
  <c r="BJ74" i="107"/>
  <c r="BL74" i="107" s="1"/>
  <c r="O74" i="107"/>
  <c r="AQ74" i="107"/>
  <c r="AR74" i="107" s="1"/>
  <c r="AN74" i="107"/>
  <c r="AO74" i="107" s="1"/>
  <c r="BK74" i="107"/>
  <c r="BD74" i="107"/>
  <c r="BE74" i="107" s="1"/>
  <c r="M74" i="107"/>
  <c r="BQ74" i="107"/>
  <c r="BR74" i="107" s="1"/>
  <c r="Y74" i="107"/>
  <c r="Z74" i="107" s="1"/>
  <c r="AY74" i="107"/>
  <c r="AH74" i="107"/>
  <c r="AI74" i="107" s="1"/>
  <c r="R74" i="107"/>
  <c r="T74" i="107" s="1"/>
  <c r="M72" i="99"/>
  <c r="BK72" i="99"/>
  <c r="AB72" i="99"/>
  <c r="AC72" i="99" s="1"/>
  <c r="BD72" i="99"/>
  <c r="BE72" i="99" s="1"/>
  <c r="AK72" i="99"/>
  <c r="AL72" i="99" s="1"/>
  <c r="BN72" i="99"/>
  <c r="BO72" i="99" s="1"/>
  <c r="BA72" i="99"/>
  <c r="BB72" i="99" s="1"/>
  <c r="V72" i="99"/>
  <c r="W72" i="99" s="1"/>
  <c r="AH72" i="99"/>
  <c r="AI72" i="99" s="1"/>
  <c r="BQ72" i="99"/>
  <c r="BR72" i="99" s="1"/>
  <c r="AQ72" i="99"/>
  <c r="AR72" i="99" s="1"/>
  <c r="BG72" i="99"/>
  <c r="BH72" i="99" s="1"/>
  <c r="O72" i="99"/>
  <c r="P72" i="99"/>
  <c r="R72" i="99"/>
  <c r="T72" i="99" s="1"/>
  <c r="AN72" i="99"/>
  <c r="AO72" i="99" s="1"/>
  <c r="K73" i="99"/>
  <c r="AY72" i="99"/>
  <c r="AT72" i="99"/>
  <c r="AV72" i="99"/>
  <c r="AW72" i="99" s="1"/>
  <c r="AE72" i="99"/>
  <c r="AF72" i="99" s="1"/>
  <c r="Y72" i="99"/>
  <c r="Z72" i="99" s="1"/>
  <c r="BJ72" i="99"/>
  <c r="BL72" i="99" s="1"/>
  <c r="I76" i="107"/>
  <c r="K75" i="107"/>
  <c r="BQ72" i="132"/>
  <c r="BR72" i="132" s="1"/>
  <c r="BD72" i="132"/>
  <c r="BE72" i="132" s="1"/>
  <c r="P72" i="132"/>
  <c r="AN72" i="132"/>
  <c r="AO72" i="132" s="1"/>
  <c r="AE72" i="132"/>
  <c r="AF72" i="132" s="1"/>
  <c r="V72" i="132"/>
  <c r="W72" i="132" s="1"/>
  <c r="AH72" i="132"/>
  <c r="AI72" i="132" s="1"/>
  <c r="AB72" i="132"/>
  <c r="AC72" i="132" s="1"/>
  <c r="BN72" i="132"/>
  <c r="BO72" i="132" s="1"/>
  <c r="K73" i="132"/>
  <c r="BG72" i="132"/>
  <c r="BH72" i="132" s="1"/>
  <c r="BA72" i="132"/>
  <c r="BB72" i="132" s="1"/>
  <c r="AQ72" i="132"/>
  <c r="AR72" i="132" s="1"/>
  <c r="O72" i="132"/>
  <c r="AT72" i="132"/>
  <c r="Y72" i="132"/>
  <c r="Z72" i="132" s="1"/>
  <c r="R72" i="132"/>
  <c r="T72" i="132" s="1"/>
  <c r="M72" i="132"/>
  <c r="BL72" i="132"/>
  <c r="AY72" i="132"/>
  <c r="AK72" i="132"/>
  <c r="AL72" i="132" s="1"/>
  <c r="AV72" i="132"/>
  <c r="AW72" i="132" s="1"/>
  <c r="AV105" i="161"/>
  <c r="AW105" i="161" s="1"/>
  <c r="P105" i="161"/>
  <c r="BG105" i="161"/>
  <c r="BH105" i="161" s="1"/>
  <c r="BA105" i="161"/>
  <c r="BB105" i="161" s="1"/>
  <c r="AT105" i="161"/>
  <c r="AN105" i="161"/>
  <c r="AO105" i="161" s="1"/>
  <c r="AH105" i="161"/>
  <c r="AI105" i="161" s="1"/>
  <c r="AB105" i="161"/>
  <c r="AC105" i="161" s="1"/>
  <c r="AY105" i="161"/>
  <c r="R105" i="161"/>
  <c r="T105" i="161" s="1"/>
  <c r="AK105" i="161"/>
  <c r="AL105" i="161" s="1"/>
  <c r="Y105" i="161"/>
  <c r="Z105" i="161" s="1"/>
  <c r="O105" i="161"/>
  <c r="BR105" i="161"/>
  <c r="V105" i="161"/>
  <c r="W105" i="161" s="1"/>
  <c r="AE105" i="161"/>
  <c r="AF105" i="161" s="1"/>
  <c r="BD105" i="161"/>
  <c r="BE105" i="161" s="1"/>
  <c r="AQ105" i="161"/>
  <c r="AR105" i="161" s="1"/>
  <c r="BN105" i="161"/>
  <c r="BO105" i="161" s="1"/>
  <c r="M105" i="161"/>
  <c r="BK105" i="161"/>
  <c r="BJ105" i="161"/>
  <c r="BL105" i="161" s="1"/>
  <c r="I107" i="161"/>
  <c r="K106" i="161"/>
  <c r="BQ106" i="161" s="1"/>
  <c r="I77" i="156"/>
  <c r="K76" i="156"/>
  <c r="AY76" i="156" s="1"/>
  <c r="BN71" i="129"/>
  <c r="BO71" i="129" s="1"/>
  <c r="O71" i="129"/>
  <c r="AQ71" i="129"/>
  <c r="AR71" i="129" s="1"/>
  <c r="AT71" i="129"/>
  <c r="K72" i="129"/>
  <c r="AK71" i="129"/>
  <c r="AL71" i="129" s="1"/>
  <c r="AV71" i="129"/>
  <c r="AW71" i="129" s="1"/>
  <c r="AH71" i="129"/>
  <c r="AI71" i="129" s="1"/>
  <c r="M71" i="129"/>
  <c r="BD71" i="129"/>
  <c r="BE71" i="129" s="1"/>
  <c r="R71" i="129"/>
  <c r="T71" i="129" s="1"/>
  <c r="AN71" i="129"/>
  <c r="AO71" i="129" s="1"/>
  <c r="AB71" i="129"/>
  <c r="AC71" i="129" s="1"/>
  <c r="AY71" i="129"/>
  <c r="P71" i="129"/>
  <c r="BL71" i="129"/>
  <c r="Y71" i="129"/>
  <c r="Z71" i="129" s="1"/>
  <c r="BG71" i="129"/>
  <c r="BH71" i="129" s="1"/>
  <c r="BA71" i="129"/>
  <c r="BB71" i="129" s="1"/>
  <c r="BQ71" i="129"/>
  <c r="BR71" i="129" s="1"/>
  <c r="V71" i="129"/>
  <c r="W71" i="129" s="1"/>
  <c r="AE71" i="129"/>
  <c r="AF71" i="129" s="1"/>
  <c r="I77" i="106"/>
  <c r="AK73" i="133"/>
  <c r="AL73" i="133" s="1"/>
  <c r="AY73" i="133"/>
  <c r="AB73" i="133"/>
  <c r="AC73" i="133" s="1"/>
  <c r="K74" i="133"/>
  <c r="V73" i="133"/>
  <c r="W73" i="133" s="1"/>
  <c r="AN73" i="133"/>
  <c r="AO73" i="133" s="1"/>
  <c r="O73" i="133"/>
  <c r="BQ73" i="133"/>
  <c r="BR73" i="133" s="1"/>
  <c r="BD73" i="133"/>
  <c r="BE73" i="133" s="1"/>
  <c r="AV73" i="133"/>
  <c r="AW73" i="133" s="1"/>
  <c r="M73" i="133"/>
  <c r="BG73" i="133"/>
  <c r="BH73" i="133" s="1"/>
  <c r="AE73" i="133"/>
  <c r="AF73" i="133" s="1"/>
  <c r="AQ73" i="133"/>
  <c r="AR73" i="133" s="1"/>
  <c r="BN73" i="133"/>
  <c r="BO73" i="133" s="1"/>
  <c r="Y73" i="133"/>
  <c r="Z73" i="133" s="1"/>
  <c r="R73" i="133"/>
  <c r="T73" i="133" s="1"/>
  <c r="AT73" i="133"/>
  <c r="BL73" i="133"/>
  <c r="BA73" i="133"/>
  <c r="BB73" i="133" s="1"/>
  <c r="P73" i="133"/>
  <c r="AH73" i="133"/>
  <c r="AI73" i="133" s="1"/>
  <c r="M69" i="95"/>
  <c r="AB69" i="95"/>
  <c r="AC69" i="95" s="1"/>
  <c r="AV69" i="95"/>
  <c r="AW69" i="95" s="1"/>
  <c r="AN69" i="95"/>
  <c r="AO69" i="95" s="1"/>
  <c r="BN69" i="95"/>
  <c r="BO69" i="95" s="1"/>
  <c r="BG69" i="95"/>
  <c r="BH69" i="95" s="1"/>
  <c r="BD69" i="95"/>
  <c r="BE69" i="95" s="1"/>
  <c r="AQ69" i="95"/>
  <c r="AR69" i="95" s="1"/>
  <c r="BL69" i="95"/>
  <c r="AH69" i="95"/>
  <c r="AI69" i="95" s="1"/>
  <c r="BA69" i="95"/>
  <c r="BB69" i="95" s="1"/>
  <c r="K70" i="95"/>
  <c r="AE69" i="95"/>
  <c r="AF69" i="95" s="1"/>
  <c r="P69" i="95"/>
  <c r="BQ69" i="95"/>
  <c r="BR69" i="95" s="1"/>
  <c r="Y69" i="95"/>
  <c r="Z69" i="95" s="1"/>
  <c r="V69" i="95"/>
  <c r="W69" i="95" s="1"/>
  <c r="O69" i="95"/>
  <c r="AK69" i="95"/>
  <c r="AL69" i="95" s="1"/>
  <c r="R69" i="95"/>
  <c r="T69" i="95" s="1"/>
  <c r="AT69" i="95"/>
  <c r="BN70" i="112"/>
  <c r="BO70" i="112" s="1"/>
  <c r="BA70" i="112"/>
  <c r="BB70" i="112" s="1"/>
  <c r="V70" i="112"/>
  <c r="W70" i="112" s="1"/>
  <c r="Y70" i="112"/>
  <c r="Z70" i="112" s="1"/>
  <c r="K71" i="112"/>
  <c r="AE70" i="112"/>
  <c r="AF70" i="112" s="1"/>
  <c r="AB70" i="112"/>
  <c r="AC70" i="112" s="1"/>
  <c r="AV70" i="112"/>
  <c r="AW70" i="112" s="1"/>
  <c r="BD70" i="112"/>
  <c r="BE70" i="112" s="1"/>
  <c r="AK70" i="112"/>
  <c r="AL70" i="112" s="1"/>
  <c r="R70" i="112"/>
  <c r="T70" i="112" s="1"/>
  <c r="BJ70" i="112"/>
  <c r="BL70" i="112" s="1"/>
  <c r="AQ70" i="112"/>
  <c r="AR70" i="112" s="1"/>
  <c r="AN70" i="112"/>
  <c r="AO70" i="112" s="1"/>
  <c r="AY70" i="112"/>
  <c r="M70" i="112"/>
  <c r="O70" i="112"/>
  <c r="BQ70" i="112"/>
  <c r="BR70" i="112" s="1"/>
  <c r="AT70" i="112"/>
  <c r="BK70" i="112"/>
  <c r="P70" i="112"/>
  <c r="AH70" i="112"/>
  <c r="AI70" i="112" s="1"/>
  <c r="BG70" i="112"/>
  <c r="BH70" i="112" s="1"/>
  <c r="BJ70" i="106"/>
  <c r="BL70" i="106" s="1"/>
  <c r="R70" i="106"/>
  <c r="T70" i="106" s="1"/>
  <c r="P70" i="106"/>
  <c r="AH70" i="106"/>
  <c r="AI70" i="106" s="1"/>
  <c r="BN70" i="106"/>
  <c r="BO70" i="106" s="1"/>
  <c r="AN70" i="106"/>
  <c r="AO70" i="106" s="1"/>
  <c r="BQ70" i="106"/>
  <c r="BR70" i="106" s="1"/>
  <c r="BG70" i="106"/>
  <c r="BH70" i="106" s="1"/>
  <c r="BD70" i="106"/>
  <c r="BE70" i="106" s="1"/>
  <c r="AT70" i="106"/>
  <c r="AB70" i="106"/>
  <c r="AC70" i="106" s="1"/>
  <c r="AK70" i="106"/>
  <c r="AL70" i="106" s="1"/>
  <c r="AV70" i="106"/>
  <c r="AW70" i="106" s="1"/>
  <c r="AY70" i="106"/>
  <c r="M70" i="106"/>
  <c r="Y70" i="106"/>
  <c r="Z70" i="106" s="1"/>
  <c r="AQ70" i="106"/>
  <c r="AR70" i="106" s="1"/>
  <c r="AE70" i="106"/>
  <c r="AF70" i="106" s="1"/>
  <c r="BK70" i="106"/>
  <c r="BA70" i="106"/>
  <c r="BB70" i="106" s="1"/>
  <c r="V70" i="106"/>
  <c r="W70" i="106" s="1"/>
  <c r="O70" i="106"/>
  <c r="K71" i="106"/>
  <c r="V75" i="156"/>
  <c r="W75" i="156" s="1"/>
  <c r="P75" i="156"/>
  <c r="AK75" i="156"/>
  <c r="AL75" i="156" s="1"/>
  <c r="AB75" i="156"/>
  <c r="AC75" i="156" s="1"/>
  <c r="AV75" i="156"/>
  <c r="AW75" i="156" s="1"/>
  <c r="R75" i="156"/>
  <c r="T75" i="156" s="1"/>
  <c r="M75" i="156"/>
  <c r="AH75" i="156"/>
  <c r="AI75" i="156" s="1"/>
  <c r="BN75" i="156"/>
  <c r="BO75" i="156" s="1"/>
  <c r="AQ75" i="156"/>
  <c r="AR75" i="156" s="1"/>
  <c r="AN75" i="156"/>
  <c r="AO75" i="156" s="1"/>
  <c r="AE75" i="156"/>
  <c r="AF75" i="156" s="1"/>
  <c r="BL75" i="156"/>
  <c r="BQ75" i="156"/>
  <c r="BR75" i="156" s="1"/>
  <c r="BA75" i="156"/>
  <c r="BB75" i="156" s="1"/>
  <c r="BD75" i="156"/>
  <c r="BE75" i="156" s="1"/>
  <c r="O75" i="156"/>
  <c r="BG75" i="156"/>
  <c r="BH75" i="156" s="1"/>
  <c r="Y75" i="156"/>
  <c r="Z75" i="156" s="1"/>
  <c r="BK70" i="104"/>
  <c r="AY70" i="104"/>
  <c r="AT70" i="104"/>
  <c r="BG70" i="104"/>
  <c r="BH70" i="104" s="1"/>
  <c r="BN70" i="104"/>
  <c r="BO70" i="104" s="1"/>
  <c r="BQ70" i="104"/>
  <c r="BR70" i="104" s="1"/>
  <c r="AE70" i="104"/>
  <c r="AF70" i="104" s="1"/>
  <c r="AB70" i="104"/>
  <c r="AC70" i="104" s="1"/>
  <c r="AQ70" i="104"/>
  <c r="AR70" i="104" s="1"/>
  <c r="O70" i="104"/>
  <c r="AV70" i="104"/>
  <c r="AW70" i="104" s="1"/>
  <c r="AH70" i="104"/>
  <c r="AI70" i="104" s="1"/>
  <c r="BJ70" i="104"/>
  <c r="BL70" i="104" s="1"/>
  <c r="AK70" i="104"/>
  <c r="AL70" i="104" s="1"/>
  <c r="P70" i="104"/>
  <c r="AN70" i="104"/>
  <c r="AO70" i="104" s="1"/>
  <c r="K71" i="104"/>
  <c r="BA70" i="104"/>
  <c r="BB70" i="104" s="1"/>
  <c r="M70" i="104"/>
  <c r="BD70" i="104"/>
  <c r="BE70" i="104" s="1"/>
  <c r="V70" i="104"/>
  <c r="W70" i="104" s="1"/>
  <c r="Y70" i="104"/>
  <c r="Z70" i="104" s="1"/>
  <c r="R70" i="104"/>
  <c r="T70" i="104" s="1"/>
  <c r="M71" i="130"/>
  <c r="BN71" i="130"/>
  <c r="BO71" i="130" s="1"/>
  <c r="K72" i="130"/>
  <c r="BL71" i="130"/>
  <c r="AT71" i="130"/>
  <c r="R71" i="130"/>
  <c r="T71" i="130" s="1"/>
  <c r="BQ71" i="130"/>
  <c r="BR71" i="130" s="1"/>
  <c r="AQ71" i="130"/>
  <c r="AR71" i="130" s="1"/>
  <c r="AV71" i="130"/>
  <c r="AW71" i="130" s="1"/>
  <c r="AB71" i="130"/>
  <c r="AC71" i="130" s="1"/>
  <c r="AN71" i="130"/>
  <c r="AO71" i="130" s="1"/>
  <c r="O71" i="130"/>
  <c r="P71" i="130"/>
  <c r="AK71" i="130"/>
  <c r="AL71" i="130" s="1"/>
  <c r="BD71" i="130"/>
  <c r="BE71" i="130" s="1"/>
  <c r="Y71" i="130"/>
  <c r="Z71" i="130" s="1"/>
  <c r="V71" i="130"/>
  <c r="W71" i="130" s="1"/>
  <c r="AY71" i="130"/>
  <c r="AH71" i="130"/>
  <c r="AI71" i="130" s="1"/>
  <c r="AE71" i="130"/>
  <c r="AF71" i="130" s="1"/>
  <c r="BG71" i="130"/>
  <c r="BH71" i="130" s="1"/>
  <c r="BA71" i="130"/>
  <c r="BB71" i="130" s="1"/>
  <c r="AV23" i="151"/>
  <c r="AW23" i="151" s="1"/>
  <c r="BD23" i="151"/>
  <c r="BE23" i="151" s="1"/>
  <c r="O76" i="155"/>
  <c r="V76" i="155"/>
  <c r="W76" i="155" s="1"/>
  <c r="AB76" i="155"/>
  <c r="AC76" i="155" s="1"/>
  <c r="P76" i="155"/>
  <c r="AV76" i="155"/>
  <c r="AW76" i="155" s="1"/>
  <c r="BN76" i="155"/>
  <c r="BO76" i="155" s="1"/>
  <c r="M76" i="155"/>
  <c r="AK76" i="155"/>
  <c r="AL76" i="155" s="1"/>
  <c r="BA76" i="155"/>
  <c r="BB76" i="155" s="1"/>
  <c r="BQ76" i="155"/>
  <c r="BR76" i="155" s="1"/>
  <c r="R76" i="155"/>
  <c r="T76" i="155" s="1"/>
  <c r="AE76" i="155"/>
  <c r="AF76" i="155" s="1"/>
  <c r="BD76" i="155"/>
  <c r="BE76" i="155" s="1"/>
  <c r="AN76" i="155"/>
  <c r="AO76" i="155" s="1"/>
  <c r="BL76" i="155"/>
  <c r="Y76" i="155"/>
  <c r="Z76" i="155" s="1"/>
  <c r="AH76" i="155"/>
  <c r="AI76" i="155" s="1"/>
  <c r="AQ76" i="155"/>
  <c r="AR76" i="155" s="1"/>
  <c r="BG76" i="155"/>
  <c r="BH76" i="155" s="1"/>
  <c r="I78" i="155"/>
  <c r="K77" i="155"/>
  <c r="BD22" i="149"/>
  <c r="BE22" i="149" s="1"/>
  <c r="AV22" i="149"/>
  <c r="AW22" i="149" s="1"/>
  <c r="AT24" i="151"/>
  <c r="I81" i="153"/>
  <c r="O76" i="153"/>
  <c r="V76" i="153"/>
  <c r="W76" i="153" s="1"/>
  <c r="AB76" i="153"/>
  <c r="AC76" i="153" s="1"/>
  <c r="AH76" i="153"/>
  <c r="AI76" i="153" s="1"/>
  <c r="AN76" i="153"/>
  <c r="AO76" i="153" s="1"/>
  <c r="BA76" i="153"/>
  <c r="BB76" i="153" s="1"/>
  <c r="BG76" i="153"/>
  <c r="BH76" i="153" s="1"/>
  <c r="P76" i="153"/>
  <c r="AV76" i="153"/>
  <c r="AW76" i="153" s="1"/>
  <c r="BN76" i="153"/>
  <c r="BO76" i="153" s="1"/>
  <c r="R76" i="153"/>
  <c r="T76" i="153" s="1"/>
  <c r="Y76" i="153"/>
  <c r="Z76" i="153" s="1"/>
  <c r="AE76" i="153"/>
  <c r="AF76" i="153" s="1"/>
  <c r="AK76" i="153"/>
  <c r="AL76" i="153" s="1"/>
  <c r="AQ76" i="153"/>
  <c r="AR76" i="153" s="1"/>
  <c r="BD76" i="153"/>
  <c r="BE76" i="153" s="1"/>
  <c r="BQ76" i="153"/>
  <c r="BR76" i="153" s="1"/>
  <c r="M76" i="153"/>
  <c r="BL76" i="153"/>
  <c r="K77" i="153"/>
  <c r="I85" i="152"/>
  <c r="O76" i="152"/>
  <c r="V76" i="152"/>
  <c r="W76" i="152" s="1"/>
  <c r="AB76" i="152"/>
  <c r="AC76" i="152" s="1"/>
  <c r="AH76" i="152"/>
  <c r="AI76" i="152" s="1"/>
  <c r="AN76" i="152"/>
  <c r="AO76" i="152" s="1"/>
  <c r="BA76" i="152"/>
  <c r="BB76" i="152" s="1"/>
  <c r="BG76" i="152"/>
  <c r="BH76" i="152" s="1"/>
  <c r="P76" i="152"/>
  <c r="M76" i="152"/>
  <c r="BN76" i="152"/>
  <c r="BO76" i="152" s="1"/>
  <c r="R76" i="152"/>
  <c r="T76" i="152" s="1"/>
  <c r="AE76" i="152"/>
  <c r="AF76" i="152" s="1"/>
  <c r="AQ76" i="152"/>
  <c r="AR76" i="152" s="1"/>
  <c r="Y76" i="152"/>
  <c r="Z76" i="152" s="1"/>
  <c r="AV76" i="152"/>
  <c r="AW76" i="152" s="1"/>
  <c r="BQ76" i="152"/>
  <c r="BR76" i="152" s="1"/>
  <c r="AK76" i="152"/>
  <c r="AL76" i="152" s="1"/>
  <c r="BD76" i="152"/>
  <c r="BE76" i="152" s="1"/>
  <c r="BL76" i="152"/>
  <c r="K77" i="152"/>
  <c r="K75" i="151"/>
  <c r="I76" i="151"/>
  <c r="BD74" i="151"/>
  <c r="BE74" i="151" s="1"/>
  <c r="AQ74" i="151"/>
  <c r="AR74" i="151" s="1"/>
  <c r="AK74" i="151"/>
  <c r="AL74" i="151" s="1"/>
  <c r="AE74" i="151"/>
  <c r="AF74" i="151" s="1"/>
  <c r="Y74" i="151"/>
  <c r="Z74" i="151" s="1"/>
  <c r="R74" i="151"/>
  <c r="T74" i="151" s="1"/>
  <c r="BG74" i="151"/>
  <c r="BH74" i="151" s="1"/>
  <c r="BA74" i="151"/>
  <c r="BB74" i="151" s="1"/>
  <c r="AT74" i="151"/>
  <c r="AN74" i="151"/>
  <c r="AO74" i="151" s="1"/>
  <c r="AH74" i="151"/>
  <c r="AI74" i="151" s="1"/>
  <c r="AB74" i="151"/>
  <c r="AC74" i="151" s="1"/>
  <c r="V74" i="151"/>
  <c r="W74" i="151" s="1"/>
  <c r="O74" i="151"/>
  <c r="P74" i="151"/>
  <c r="AV74" i="151"/>
  <c r="AW74" i="151" s="1"/>
  <c r="AY74" i="151"/>
  <c r="BQ74" i="151"/>
  <c r="BR74" i="151" s="1"/>
  <c r="BN74" i="151"/>
  <c r="BO74" i="151" s="1"/>
  <c r="M74" i="151"/>
  <c r="BL74" i="151"/>
  <c r="AV73" i="150"/>
  <c r="AW73" i="150" s="1"/>
  <c r="P73" i="150"/>
  <c r="BG73" i="150"/>
  <c r="BH73" i="150" s="1"/>
  <c r="BA73" i="150"/>
  <c r="BB73" i="150" s="1"/>
  <c r="AT73" i="150"/>
  <c r="AN73" i="150"/>
  <c r="AO73" i="150" s="1"/>
  <c r="AH73" i="150"/>
  <c r="AI73" i="150" s="1"/>
  <c r="AB73" i="150"/>
  <c r="AC73" i="150" s="1"/>
  <c r="V73" i="150"/>
  <c r="W73" i="150" s="1"/>
  <c r="O73" i="150"/>
  <c r="BQ73" i="150"/>
  <c r="BR73" i="150" s="1"/>
  <c r="AY73" i="150"/>
  <c r="AQ73" i="150"/>
  <c r="AR73" i="150" s="1"/>
  <c r="R73" i="150"/>
  <c r="T73" i="150" s="1"/>
  <c r="AK73" i="150"/>
  <c r="AL73" i="150" s="1"/>
  <c r="BD73" i="150"/>
  <c r="BE73" i="150" s="1"/>
  <c r="AE73" i="150"/>
  <c r="AF73" i="150" s="1"/>
  <c r="Y73" i="150"/>
  <c r="Z73" i="150" s="1"/>
  <c r="BN73" i="150"/>
  <c r="BO73" i="150" s="1"/>
  <c r="M73" i="150"/>
  <c r="BL73" i="150"/>
  <c r="K74" i="150"/>
  <c r="I77" i="150"/>
  <c r="K76" i="149"/>
  <c r="AT76" i="149" s="1"/>
  <c r="I77" i="149"/>
  <c r="BG75" i="149"/>
  <c r="BH75" i="149" s="1"/>
  <c r="BA75" i="149"/>
  <c r="BB75" i="149" s="1"/>
  <c r="AN75" i="149"/>
  <c r="AO75" i="149" s="1"/>
  <c r="AH75" i="149"/>
  <c r="AI75" i="149" s="1"/>
  <c r="AB75" i="149"/>
  <c r="AC75" i="149" s="1"/>
  <c r="V75" i="149"/>
  <c r="W75" i="149" s="1"/>
  <c r="O75" i="149"/>
  <c r="BQ75" i="149"/>
  <c r="BR75" i="149" s="1"/>
  <c r="AY75" i="149"/>
  <c r="BD75" i="149"/>
  <c r="BE75" i="149" s="1"/>
  <c r="AQ75" i="149"/>
  <c r="AR75" i="149" s="1"/>
  <c r="AK75" i="149"/>
  <c r="AL75" i="149" s="1"/>
  <c r="AE75" i="149"/>
  <c r="AF75" i="149" s="1"/>
  <c r="Y75" i="149"/>
  <c r="Z75" i="149" s="1"/>
  <c r="R75" i="149"/>
  <c r="T75" i="149" s="1"/>
  <c r="AV75" i="149"/>
  <c r="AW75" i="149" s="1"/>
  <c r="P75" i="149"/>
  <c r="BN75" i="149"/>
  <c r="BO75" i="149" s="1"/>
  <c r="M75" i="149"/>
  <c r="BL75" i="149"/>
  <c r="BQ74" i="147"/>
  <c r="BR74" i="147" s="1"/>
  <c r="AY74" i="147"/>
  <c r="AV74" i="147"/>
  <c r="AW74" i="147" s="1"/>
  <c r="P74" i="147"/>
  <c r="BA74" i="147"/>
  <c r="BB74" i="147" s="1"/>
  <c r="AN74" i="147"/>
  <c r="AO74" i="147" s="1"/>
  <c r="AB74" i="147"/>
  <c r="AC74" i="147" s="1"/>
  <c r="O74" i="147"/>
  <c r="AK74" i="147"/>
  <c r="AL74" i="147" s="1"/>
  <c r="Y74" i="147"/>
  <c r="Z74" i="147" s="1"/>
  <c r="BG74" i="147"/>
  <c r="BH74" i="147" s="1"/>
  <c r="AH74" i="147"/>
  <c r="AI74" i="147" s="1"/>
  <c r="BD74" i="147"/>
  <c r="BE74" i="147" s="1"/>
  <c r="AE74" i="147"/>
  <c r="AF74" i="147" s="1"/>
  <c r="AT74" i="147"/>
  <c r="V74" i="147"/>
  <c r="W74" i="147" s="1"/>
  <c r="AQ74" i="147"/>
  <c r="AR74" i="147" s="1"/>
  <c r="R74" i="147"/>
  <c r="T74" i="147" s="1"/>
  <c r="BN74" i="147"/>
  <c r="BO74" i="147" s="1"/>
  <c r="BJ74" i="147"/>
  <c r="BL74" i="147" s="1"/>
  <c r="M74" i="147"/>
  <c r="BK74" i="147"/>
  <c r="I76" i="147"/>
  <c r="K75" i="147"/>
  <c r="BQ73" i="146"/>
  <c r="BR73" i="146" s="1"/>
  <c r="AY73" i="146"/>
  <c r="BD73" i="146"/>
  <c r="BE73" i="146" s="1"/>
  <c r="AQ73" i="146"/>
  <c r="AR73" i="146" s="1"/>
  <c r="AK73" i="146"/>
  <c r="AL73" i="146" s="1"/>
  <c r="AE73" i="146"/>
  <c r="AF73" i="146" s="1"/>
  <c r="Y73" i="146"/>
  <c r="Z73" i="146" s="1"/>
  <c r="R73" i="146"/>
  <c r="T73" i="146" s="1"/>
  <c r="AV73" i="146"/>
  <c r="AW73" i="146" s="1"/>
  <c r="P73" i="146"/>
  <c r="BG73" i="146"/>
  <c r="BH73" i="146" s="1"/>
  <c r="AH73" i="146"/>
  <c r="AI73" i="146" s="1"/>
  <c r="BA73" i="146"/>
  <c r="BB73" i="146" s="1"/>
  <c r="AB73" i="146"/>
  <c r="AC73" i="146" s="1"/>
  <c r="AT73" i="146"/>
  <c r="V73" i="146"/>
  <c r="W73" i="146" s="1"/>
  <c r="AN73" i="146"/>
  <c r="AO73" i="146" s="1"/>
  <c r="O73" i="146"/>
  <c r="BN73" i="146"/>
  <c r="BO73" i="146" s="1"/>
  <c r="M73" i="146"/>
  <c r="BK73" i="146"/>
  <c r="BJ73" i="146"/>
  <c r="BL73" i="146" s="1"/>
  <c r="K74" i="146"/>
  <c r="I75" i="146"/>
  <c r="I71" i="17"/>
  <c r="K70" i="17"/>
  <c r="M70" i="101"/>
  <c r="AQ70" i="101"/>
  <c r="AR70" i="101" s="1"/>
  <c r="P70" i="101"/>
  <c r="O70" i="101"/>
  <c r="AV70" i="101"/>
  <c r="AW70" i="101" s="1"/>
  <c r="AH70" i="101"/>
  <c r="AI70" i="101" s="1"/>
  <c r="AE70" i="101"/>
  <c r="AF70" i="101" s="1"/>
  <c r="AK70" i="101"/>
  <c r="AL70" i="101" s="1"/>
  <c r="AB70" i="101"/>
  <c r="AC70" i="101" s="1"/>
  <c r="AY70" i="101"/>
  <c r="Y70" i="101"/>
  <c r="Z70" i="101" s="1"/>
  <c r="BQ70" i="101"/>
  <c r="BR70" i="101" s="1"/>
  <c r="AN70" i="101"/>
  <c r="AO70" i="101" s="1"/>
  <c r="BG70" i="101"/>
  <c r="BH70" i="101" s="1"/>
  <c r="V70" i="101"/>
  <c r="W70" i="101" s="1"/>
  <c r="R70" i="101"/>
  <c r="T70" i="101" s="1"/>
  <c r="BD70" i="101"/>
  <c r="BE70" i="101" s="1"/>
  <c r="BA70" i="101"/>
  <c r="BB70" i="101" s="1"/>
  <c r="AT70" i="101"/>
  <c r="I71" i="13"/>
  <c r="K70" i="13"/>
  <c r="BK75" i="124"/>
  <c r="BJ75" i="124"/>
  <c r="BL75" i="124" s="1"/>
  <c r="BN75" i="124"/>
  <c r="BO75" i="124" s="1"/>
  <c r="K76" i="124"/>
  <c r="M75" i="124"/>
  <c r="O75" i="124"/>
  <c r="Y75" i="124"/>
  <c r="Z75" i="124" s="1"/>
  <c r="AT75" i="124"/>
  <c r="AB75" i="124"/>
  <c r="AC75" i="124" s="1"/>
  <c r="BQ75" i="124"/>
  <c r="BR75" i="124" s="1"/>
  <c r="AK75" i="124"/>
  <c r="AL75" i="124" s="1"/>
  <c r="AQ75" i="124"/>
  <c r="AR75" i="124" s="1"/>
  <c r="AY75" i="124"/>
  <c r="BD75" i="124"/>
  <c r="BE75" i="124" s="1"/>
  <c r="AN75" i="124"/>
  <c r="AO75" i="124" s="1"/>
  <c r="R75" i="124"/>
  <c r="T75" i="124" s="1"/>
  <c r="AV75" i="124"/>
  <c r="AW75" i="124" s="1"/>
  <c r="V75" i="124"/>
  <c r="W75" i="124" s="1"/>
  <c r="P75" i="124"/>
  <c r="BG75" i="124"/>
  <c r="BH75" i="124" s="1"/>
  <c r="BA75" i="124"/>
  <c r="BB75" i="124" s="1"/>
  <c r="AE75" i="124"/>
  <c r="AF75" i="124" s="1"/>
  <c r="AH75" i="124"/>
  <c r="AI75" i="124" s="1"/>
  <c r="I73" i="115"/>
  <c r="K72" i="115"/>
  <c r="I73" i="110"/>
  <c r="K72" i="110"/>
  <c r="I77" i="64"/>
  <c r="I72" i="101"/>
  <c r="K71" i="101"/>
  <c r="M72" i="135"/>
  <c r="P72" i="135"/>
  <c r="O72" i="135"/>
  <c r="BQ72" i="135"/>
  <c r="BR72" i="135" s="1"/>
  <c r="AT72" i="135"/>
  <c r="BA72" i="135"/>
  <c r="BB72" i="135" s="1"/>
  <c r="AK72" i="135"/>
  <c r="AL72" i="135" s="1"/>
  <c r="AE72" i="135"/>
  <c r="AF72" i="135" s="1"/>
  <c r="Y72" i="135"/>
  <c r="Z72" i="135" s="1"/>
  <c r="R72" i="135"/>
  <c r="T72" i="135" s="1"/>
  <c r="AQ72" i="135"/>
  <c r="AR72" i="135" s="1"/>
  <c r="AY72" i="135"/>
  <c r="BG72" i="135"/>
  <c r="BH72" i="135" s="1"/>
  <c r="AB72" i="135"/>
  <c r="AC72" i="135" s="1"/>
  <c r="BD72" i="135"/>
  <c r="BE72" i="135" s="1"/>
  <c r="AN72" i="135"/>
  <c r="AO72" i="135" s="1"/>
  <c r="V72" i="135"/>
  <c r="W72" i="135" s="1"/>
  <c r="AH72" i="135"/>
  <c r="AI72" i="135" s="1"/>
  <c r="AV72" i="135"/>
  <c r="AW72" i="135" s="1"/>
  <c r="BN72" i="135"/>
  <c r="BO72" i="135" s="1"/>
  <c r="BL72" i="135"/>
  <c r="I77" i="136"/>
  <c r="M71" i="63"/>
  <c r="BN71" i="63"/>
  <c r="BO71" i="63" s="1"/>
  <c r="BL71" i="63"/>
  <c r="BG71" i="63"/>
  <c r="BH71" i="63" s="1"/>
  <c r="AQ71" i="63"/>
  <c r="AR71" i="63" s="1"/>
  <c r="AV71" i="63"/>
  <c r="AW71" i="63" s="1"/>
  <c r="AN71" i="63"/>
  <c r="AO71" i="63" s="1"/>
  <c r="BA71" i="63"/>
  <c r="BB71" i="63" s="1"/>
  <c r="AE71" i="63"/>
  <c r="AF71" i="63" s="1"/>
  <c r="R71" i="63"/>
  <c r="T71" i="63" s="1"/>
  <c r="BQ71" i="63"/>
  <c r="BR71" i="63" s="1"/>
  <c r="AH71" i="63"/>
  <c r="AI71" i="63" s="1"/>
  <c r="P71" i="63"/>
  <c r="AK71" i="63"/>
  <c r="AL71" i="63" s="1"/>
  <c r="O71" i="63"/>
  <c r="AT71" i="63"/>
  <c r="Y71" i="63"/>
  <c r="Z71" i="63" s="1"/>
  <c r="AY71" i="63"/>
  <c r="BD71" i="63"/>
  <c r="BE71" i="63" s="1"/>
  <c r="V71" i="63"/>
  <c r="W71" i="63" s="1"/>
  <c r="AB71" i="63"/>
  <c r="AC71" i="63" s="1"/>
  <c r="K72" i="63"/>
  <c r="I71" i="66"/>
  <c r="K70" i="66"/>
  <c r="M72" i="64"/>
  <c r="AK72" i="64"/>
  <c r="AL72" i="64" s="1"/>
  <c r="P72" i="64"/>
  <c r="O72" i="64"/>
  <c r="AT72" i="64"/>
  <c r="Y72" i="64"/>
  <c r="Z72" i="64" s="1"/>
  <c r="AH72" i="64"/>
  <c r="AI72" i="64" s="1"/>
  <c r="AY72" i="64"/>
  <c r="BD72" i="64"/>
  <c r="BE72" i="64" s="1"/>
  <c r="AE72" i="64"/>
  <c r="AF72" i="64" s="1"/>
  <c r="BQ72" i="64"/>
  <c r="BR72" i="64" s="1"/>
  <c r="R72" i="64"/>
  <c r="T72" i="64" s="1"/>
  <c r="AQ72" i="64"/>
  <c r="AR72" i="64" s="1"/>
  <c r="V72" i="64"/>
  <c r="W72" i="64" s="1"/>
  <c r="AN72" i="64"/>
  <c r="AO72" i="64" s="1"/>
  <c r="BA72" i="64"/>
  <c r="BB72" i="64" s="1"/>
  <c r="AB72" i="64"/>
  <c r="AC72" i="64" s="1"/>
  <c r="AV72" i="64"/>
  <c r="AW72" i="64" s="1"/>
  <c r="BG72" i="64"/>
  <c r="BH72" i="64" s="1"/>
  <c r="BN72" i="64"/>
  <c r="BO72" i="64" s="1"/>
  <c r="BL72" i="64"/>
  <c r="K73" i="64"/>
  <c r="I78" i="132"/>
  <c r="M71" i="110"/>
  <c r="BK71" i="110"/>
  <c r="BN71" i="110"/>
  <c r="BO71" i="110" s="1"/>
  <c r="BJ71" i="110"/>
  <c r="BL71" i="110" s="1"/>
  <c r="BG71" i="110"/>
  <c r="BH71" i="110" s="1"/>
  <c r="AH71" i="110"/>
  <c r="AI71" i="110" s="1"/>
  <c r="AB71" i="110"/>
  <c r="AC71" i="110" s="1"/>
  <c r="BQ71" i="110"/>
  <c r="BR71" i="110" s="1"/>
  <c r="BD71" i="110"/>
  <c r="BE71" i="110" s="1"/>
  <c r="AN71" i="110"/>
  <c r="AO71" i="110" s="1"/>
  <c r="AK71" i="110"/>
  <c r="AL71" i="110" s="1"/>
  <c r="AQ71" i="110"/>
  <c r="AR71" i="110" s="1"/>
  <c r="AY71" i="110"/>
  <c r="P71" i="110"/>
  <c r="Y71" i="110"/>
  <c r="Z71" i="110" s="1"/>
  <c r="AV71" i="110"/>
  <c r="AW71" i="110" s="1"/>
  <c r="AE71" i="110"/>
  <c r="AF71" i="110" s="1"/>
  <c r="V71" i="110"/>
  <c r="W71" i="110" s="1"/>
  <c r="BA71" i="110"/>
  <c r="BB71" i="110" s="1"/>
  <c r="R71" i="110"/>
  <c r="T71" i="110" s="1"/>
  <c r="O71" i="110"/>
  <c r="AT71" i="110"/>
  <c r="M71" i="126"/>
  <c r="BJ71" i="126"/>
  <c r="BL71" i="126" s="1"/>
  <c r="BN71" i="126"/>
  <c r="BO71" i="126" s="1"/>
  <c r="BK71" i="126"/>
  <c r="BQ71" i="126"/>
  <c r="BR71" i="126" s="1"/>
  <c r="P71" i="126"/>
  <c r="AT71" i="126"/>
  <c r="Y71" i="126"/>
  <c r="Z71" i="126" s="1"/>
  <c r="AB71" i="126"/>
  <c r="AC71" i="126" s="1"/>
  <c r="AE71" i="126"/>
  <c r="AF71" i="126" s="1"/>
  <c r="AV71" i="126"/>
  <c r="AW71" i="126" s="1"/>
  <c r="BD71" i="126"/>
  <c r="BE71" i="126" s="1"/>
  <c r="BA71" i="126"/>
  <c r="BB71" i="126" s="1"/>
  <c r="AN71" i="126"/>
  <c r="AO71" i="126" s="1"/>
  <c r="AY71" i="126"/>
  <c r="AQ71" i="126"/>
  <c r="AR71" i="126" s="1"/>
  <c r="V71" i="126"/>
  <c r="W71" i="126" s="1"/>
  <c r="AK71" i="126"/>
  <c r="AL71" i="126" s="1"/>
  <c r="BG71" i="126"/>
  <c r="BH71" i="126" s="1"/>
  <c r="AH71" i="126"/>
  <c r="AI71" i="126" s="1"/>
  <c r="O71" i="126"/>
  <c r="R71" i="126"/>
  <c r="T71" i="126" s="1"/>
  <c r="K72" i="126"/>
  <c r="I80" i="95"/>
  <c r="BN71" i="98"/>
  <c r="BO71" i="98" s="1"/>
  <c r="BK71" i="98"/>
  <c r="M71" i="98"/>
  <c r="K72" i="98"/>
  <c r="BJ71" i="98"/>
  <c r="BL71" i="98" s="1"/>
  <c r="R71" i="98"/>
  <c r="T71" i="98" s="1"/>
  <c r="AH71" i="98"/>
  <c r="AI71" i="98" s="1"/>
  <c r="BG71" i="98"/>
  <c r="BH71" i="98" s="1"/>
  <c r="AT71" i="98"/>
  <c r="P71" i="98"/>
  <c r="AB71" i="98"/>
  <c r="AC71" i="98" s="1"/>
  <c r="AQ71" i="98"/>
  <c r="AR71" i="98" s="1"/>
  <c r="BD71" i="98"/>
  <c r="BE71" i="98" s="1"/>
  <c r="AK71" i="98"/>
  <c r="AL71" i="98" s="1"/>
  <c r="AY71" i="98"/>
  <c r="AV71" i="98"/>
  <c r="AW71" i="98" s="1"/>
  <c r="BQ71" i="98"/>
  <c r="BR71" i="98" s="1"/>
  <c r="AN71" i="98"/>
  <c r="AO71" i="98" s="1"/>
  <c r="O71" i="98"/>
  <c r="BA71" i="98"/>
  <c r="BB71" i="98" s="1"/>
  <c r="V71" i="98"/>
  <c r="W71" i="98" s="1"/>
  <c r="AE71" i="98"/>
  <c r="AF71" i="98" s="1"/>
  <c r="Y71" i="98"/>
  <c r="Z71" i="98" s="1"/>
  <c r="K72" i="96"/>
  <c r="I73" i="96"/>
  <c r="I74" i="135"/>
  <c r="K73" i="135"/>
  <c r="BK71" i="114"/>
  <c r="BN71" i="114"/>
  <c r="BO71" i="114" s="1"/>
  <c r="M71" i="114"/>
  <c r="BJ71" i="114"/>
  <c r="BL71" i="114" s="1"/>
  <c r="BD71" i="114"/>
  <c r="BE71" i="114" s="1"/>
  <c r="P71" i="114"/>
  <c r="AB71" i="114"/>
  <c r="AC71" i="114" s="1"/>
  <c r="BQ71" i="114"/>
  <c r="BR71" i="114" s="1"/>
  <c r="V71" i="114"/>
  <c r="W71" i="114" s="1"/>
  <c r="AH71" i="114"/>
  <c r="AI71" i="114" s="1"/>
  <c r="AK71" i="114"/>
  <c r="AL71" i="114" s="1"/>
  <c r="AQ71" i="114"/>
  <c r="AR71" i="114" s="1"/>
  <c r="AT71" i="114"/>
  <c r="BG71" i="114"/>
  <c r="BH71" i="114" s="1"/>
  <c r="AE71" i="114"/>
  <c r="AF71" i="114" s="1"/>
  <c r="R71" i="114"/>
  <c r="T71" i="114" s="1"/>
  <c r="BA71" i="114"/>
  <c r="BB71" i="114" s="1"/>
  <c r="Y71" i="114"/>
  <c r="Z71" i="114" s="1"/>
  <c r="AV71" i="114"/>
  <c r="AW71" i="114" s="1"/>
  <c r="O71" i="114"/>
  <c r="AY71" i="114"/>
  <c r="AN71" i="114"/>
  <c r="AO71" i="114" s="1"/>
  <c r="K72" i="114"/>
  <c r="V69" i="66"/>
  <c r="W69" i="66" s="1"/>
  <c r="AB69" i="66"/>
  <c r="AC69" i="66" s="1"/>
  <c r="AV69" i="66"/>
  <c r="AW69" i="66" s="1"/>
  <c r="AY69" i="66"/>
  <c r="O69" i="66"/>
  <c r="AQ69" i="66"/>
  <c r="AR69" i="66" s="1"/>
  <c r="AK69" i="66"/>
  <c r="AL69" i="66" s="1"/>
  <c r="AH69" i="66"/>
  <c r="AI69" i="66" s="1"/>
  <c r="BN69" i="66"/>
  <c r="BO69" i="66" s="1"/>
  <c r="M69" i="66"/>
  <c r="BG69" i="66"/>
  <c r="BH69" i="66" s="1"/>
  <c r="BQ69" i="66"/>
  <c r="BR69" i="66" s="1"/>
  <c r="BA69" i="66"/>
  <c r="BB69" i="66" s="1"/>
  <c r="AE69" i="66"/>
  <c r="AF69" i="66" s="1"/>
  <c r="Y69" i="66"/>
  <c r="Z69" i="66" s="1"/>
  <c r="AN69" i="66"/>
  <c r="AO69" i="66" s="1"/>
  <c r="P69" i="66"/>
  <c r="R69" i="66"/>
  <c r="T69" i="66" s="1"/>
  <c r="BD69" i="66"/>
  <c r="BE69" i="66" s="1"/>
  <c r="AT69" i="66"/>
  <c r="BL69" i="66"/>
  <c r="I77" i="114"/>
  <c r="I75" i="104"/>
  <c r="I76" i="126"/>
  <c r="BN69" i="17"/>
  <c r="BO69" i="17" s="1"/>
  <c r="M69" i="17"/>
  <c r="AE69" i="17"/>
  <c r="AF69" i="17" s="1"/>
  <c r="R69" i="17"/>
  <c r="T69" i="17" s="1"/>
  <c r="BG69" i="17"/>
  <c r="BH69" i="17" s="1"/>
  <c r="BA69" i="17"/>
  <c r="BB69" i="17" s="1"/>
  <c r="O69" i="17"/>
  <c r="BD69" i="17"/>
  <c r="BE69" i="17" s="1"/>
  <c r="BQ69" i="17"/>
  <c r="BR69" i="17" s="1"/>
  <c r="AB69" i="17"/>
  <c r="AC69" i="17" s="1"/>
  <c r="P69" i="17"/>
  <c r="AY69" i="17"/>
  <c r="AN69" i="17"/>
  <c r="AO69" i="17" s="1"/>
  <c r="AK69" i="17"/>
  <c r="AL69" i="17" s="1"/>
  <c r="BL69" i="17"/>
  <c r="AV69" i="17"/>
  <c r="AW69" i="17" s="1"/>
  <c r="Y69" i="17"/>
  <c r="Z69" i="17" s="1"/>
  <c r="AT69" i="17"/>
  <c r="AQ69" i="17"/>
  <c r="AR69" i="17" s="1"/>
  <c r="AH69" i="17"/>
  <c r="AI69" i="17" s="1"/>
  <c r="V69" i="17"/>
  <c r="W69" i="17" s="1"/>
  <c r="I76" i="63"/>
  <c r="I86" i="133"/>
  <c r="AK71" i="96"/>
  <c r="AL71" i="96" s="1"/>
  <c r="AH71" i="96"/>
  <c r="AI71" i="96" s="1"/>
  <c r="AE71" i="96"/>
  <c r="AF71" i="96" s="1"/>
  <c r="AQ71" i="96"/>
  <c r="AR71" i="96" s="1"/>
  <c r="R71" i="96"/>
  <c r="T71" i="96" s="1"/>
  <c r="BN71" i="96"/>
  <c r="BO71" i="96" s="1"/>
  <c r="AB71" i="96"/>
  <c r="AC71" i="96" s="1"/>
  <c r="Y71" i="96"/>
  <c r="Z71" i="96" s="1"/>
  <c r="P71" i="96"/>
  <c r="V71" i="96"/>
  <c r="W71" i="96" s="1"/>
  <c r="BD71" i="96"/>
  <c r="BE71" i="96" s="1"/>
  <c r="AT71" i="96"/>
  <c r="BA71" i="96"/>
  <c r="BB71" i="96" s="1"/>
  <c r="AN71" i="96"/>
  <c r="AO71" i="96" s="1"/>
  <c r="BG71" i="96"/>
  <c r="BH71" i="96" s="1"/>
  <c r="AV71" i="96"/>
  <c r="AW71" i="96" s="1"/>
  <c r="BQ71" i="96"/>
  <c r="BR71" i="96" s="1"/>
  <c r="M71" i="96"/>
  <c r="O71" i="96"/>
  <c r="BL71" i="96"/>
  <c r="M70" i="118"/>
  <c r="K71" i="118"/>
  <c r="BN70" i="118"/>
  <c r="BO70" i="118" s="1"/>
  <c r="AV70" i="118"/>
  <c r="AW70" i="118" s="1"/>
  <c r="BG70" i="118"/>
  <c r="BH70" i="118" s="1"/>
  <c r="AN70" i="118"/>
  <c r="AO70" i="118" s="1"/>
  <c r="P70" i="118"/>
  <c r="AE70" i="118"/>
  <c r="AF70" i="118" s="1"/>
  <c r="BQ70" i="118"/>
  <c r="BR70" i="118" s="1"/>
  <c r="AK70" i="118"/>
  <c r="AL70" i="118" s="1"/>
  <c r="Y70" i="118"/>
  <c r="Z70" i="118" s="1"/>
  <c r="AT70" i="118"/>
  <c r="R70" i="118"/>
  <c r="T70" i="118" s="1"/>
  <c r="AQ70" i="118"/>
  <c r="AR70" i="118" s="1"/>
  <c r="BA70" i="118"/>
  <c r="BB70" i="118" s="1"/>
  <c r="O70" i="118"/>
  <c r="AY70" i="118"/>
  <c r="AB70" i="118"/>
  <c r="AC70" i="118" s="1"/>
  <c r="AH70" i="118"/>
  <c r="AI70" i="118" s="1"/>
  <c r="BD70" i="118"/>
  <c r="BE70" i="118" s="1"/>
  <c r="V70" i="118"/>
  <c r="W70" i="118" s="1"/>
  <c r="BL70" i="15"/>
  <c r="BN70" i="15"/>
  <c r="BO70" i="15" s="1"/>
  <c r="M70" i="15"/>
  <c r="AH70" i="15"/>
  <c r="AI70" i="15" s="1"/>
  <c r="R70" i="15"/>
  <c r="T70" i="15" s="1"/>
  <c r="BG70" i="15"/>
  <c r="BH70" i="15" s="1"/>
  <c r="AV70" i="15"/>
  <c r="AW70" i="15" s="1"/>
  <c r="V70" i="15"/>
  <c r="W70" i="15" s="1"/>
  <c r="AT70" i="15"/>
  <c r="BQ70" i="15"/>
  <c r="BR70" i="15" s="1"/>
  <c r="AK70" i="15"/>
  <c r="AL70" i="15" s="1"/>
  <c r="AE70" i="15"/>
  <c r="AF70" i="15" s="1"/>
  <c r="AY70" i="15"/>
  <c r="AQ70" i="15"/>
  <c r="AR70" i="15" s="1"/>
  <c r="BA70" i="15"/>
  <c r="BB70" i="15" s="1"/>
  <c r="Y70" i="15"/>
  <c r="Z70" i="15" s="1"/>
  <c r="P70" i="15"/>
  <c r="AN70" i="15"/>
  <c r="AO70" i="15" s="1"/>
  <c r="BD70" i="15"/>
  <c r="BE70" i="15" s="1"/>
  <c r="O70" i="15"/>
  <c r="AB70" i="15"/>
  <c r="AC70" i="15" s="1"/>
  <c r="K71" i="15"/>
  <c r="I75" i="15"/>
  <c r="I78" i="105"/>
  <c r="BL69" i="13"/>
  <c r="M69" i="13"/>
  <c r="BN69" i="13"/>
  <c r="BO69" i="13" s="1"/>
  <c r="AY69" i="13"/>
  <c r="AE69" i="13"/>
  <c r="AF69" i="13" s="1"/>
  <c r="BQ69" i="13"/>
  <c r="BR69" i="13" s="1"/>
  <c r="R69" i="13"/>
  <c r="T69" i="13" s="1"/>
  <c r="V69" i="13"/>
  <c r="W69" i="13" s="1"/>
  <c r="AB69" i="13"/>
  <c r="AC69" i="13" s="1"/>
  <c r="P69" i="13"/>
  <c r="BG69" i="13"/>
  <c r="BH69" i="13" s="1"/>
  <c r="Y69" i="13"/>
  <c r="Z69" i="13" s="1"/>
  <c r="BD69" i="13"/>
  <c r="BE69" i="13" s="1"/>
  <c r="AN69" i="13"/>
  <c r="AO69" i="13" s="1"/>
  <c r="AH69" i="13"/>
  <c r="AI69" i="13" s="1"/>
  <c r="O69" i="13"/>
  <c r="AK69" i="13"/>
  <c r="AL69" i="13" s="1"/>
  <c r="BA69" i="13"/>
  <c r="BB69" i="13" s="1"/>
  <c r="AQ69" i="13"/>
  <c r="AR69" i="13" s="1"/>
  <c r="AT69" i="13"/>
  <c r="AV69" i="13"/>
  <c r="AW69" i="13" s="1"/>
  <c r="BJ73" i="105"/>
  <c r="BL73" i="105" s="1"/>
  <c r="BK73" i="105"/>
  <c r="M73" i="105"/>
  <c r="BN73" i="105"/>
  <c r="BO73" i="105" s="1"/>
  <c r="Y73" i="105"/>
  <c r="Z73" i="105" s="1"/>
  <c r="AV73" i="105"/>
  <c r="AW73" i="105" s="1"/>
  <c r="AT73" i="105"/>
  <c r="AN73" i="105"/>
  <c r="AO73" i="105" s="1"/>
  <c r="BQ73" i="105"/>
  <c r="BR73" i="105" s="1"/>
  <c r="AH73" i="105"/>
  <c r="AI73" i="105" s="1"/>
  <c r="R73" i="105"/>
  <c r="T73" i="105" s="1"/>
  <c r="AK73" i="105"/>
  <c r="AL73" i="105" s="1"/>
  <c r="V73" i="105"/>
  <c r="W73" i="105" s="1"/>
  <c r="BD73" i="105"/>
  <c r="BE73" i="105" s="1"/>
  <c r="BA73" i="105"/>
  <c r="BB73" i="105" s="1"/>
  <c r="AQ73" i="105"/>
  <c r="AR73" i="105" s="1"/>
  <c r="O73" i="105"/>
  <c r="BG73" i="105"/>
  <c r="BH73" i="105" s="1"/>
  <c r="AB73" i="105"/>
  <c r="AC73" i="105" s="1"/>
  <c r="AE73" i="105"/>
  <c r="AF73" i="105" s="1"/>
  <c r="AY73" i="105"/>
  <c r="P73" i="105"/>
  <c r="K74" i="105"/>
  <c r="V69" i="120"/>
  <c r="W69" i="120" s="1"/>
  <c r="R69" i="120"/>
  <c r="T69" i="120" s="1"/>
  <c r="AQ69" i="120"/>
  <c r="AR69" i="120" s="1"/>
  <c r="AN69" i="120"/>
  <c r="AO69" i="120" s="1"/>
  <c r="AY69" i="120"/>
  <c r="BQ69" i="120"/>
  <c r="BR69" i="120" s="1"/>
  <c r="O69" i="120"/>
  <c r="AE69" i="120"/>
  <c r="AF69" i="120" s="1"/>
  <c r="Y69" i="120"/>
  <c r="Z69" i="120" s="1"/>
  <c r="AT69" i="120"/>
  <c r="BA69" i="120"/>
  <c r="BB69" i="120" s="1"/>
  <c r="AV69" i="120"/>
  <c r="AW69" i="120" s="1"/>
  <c r="AB69" i="120"/>
  <c r="AC69" i="120" s="1"/>
  <c r="P69" i="120"/>
  <c r="M69" i="120"/>
  <c r="AK69" i="120"/>
  <c r="AL69" i="120" s="1"/>
  <c r="AH69" i="120"/>
  <c r="AI69" i="120" s="1"/>
  <c r="BG69" i="120"/>
  <c r="BH69" i="120" s="1"/>
  <c r="BD69" i="120"/>
  <c r="BE69" i="120" s="1"/>
  <c r="K70" i="120"/>
  <c r="BN69" i="120"/>
  <c r="BO69" i="120" s="1"/>
  <c r="M73" i="136"/>
  <c r="BN73" i="136"/>
  <c r="BO73" i="136" s="1"/>
  <c r="BL73" i="136"/>
  <c r="AK73" i="136"/>
  <c r="AL73" i="136" s="1"/>
  <c r="AH73" i="136"/>
  <c r="AI73" i="136" s="1"/>
  <c r="O73" i="136"/>
  <c r="BQ73" i="136"/>
  <c r="BR73" i="136" s="1"/>
  <c r="BA73" i="136"/>
  <c r="BB73" i="136" s="1"/>
  <c r="Y73" i="136"/>
  <c r="Z73" i="136" s="1"/>
  <c r="P73" i="136"/>
  <c r="AN73" i="136"/>
  <c r="AO73" i="136" s="1"/>
  <c r="BG73" i="136"/>
  <c r="BH73" i="136" s="1"/>
  <c r="AT73" i="136"/>
  <c r="AB73" i="136"/>
  <c r="AC73" i="136" s="1"/>
  <c r="AY73" i="136"/>
  <c r="AE73" i="136"/>
  <c r="AF73" i="136" s="1"/>
  <c r="AQ73" i="136"/>
  <c r="AR73" i="136" s="1"/>
  <c r="V73" i="136"/>
  <c r="W73" i="136" s="1"/>
  <c r="R73" i="136"/>
  <c r="T73" i="136" s="1"/>
  <c r="AV73" i="136"/>
  <c r="AW73" i="136" s="1"/>
  <c r="BD73" i="136"/>
  <c r="BE73" i="136" s="1"/>
  <c r="K74" i="136"/>
  <c r="M71" i="115"/>
  <c r="BN71" i="115"/>
  <c r="BO71" i="115" s="1"/>
  <c r="BJ71" i="115"/>
  <c r="BL71" i="115" s="1"/>
  <c r="BK71" i="115"/>
  <c r="AY71" i="115"/>
  <c r="BQ71" i="115"/>
  <c r="BR71" i="115" s="1"/>
  <c r="AT71" i="115"/>
  <c r="AV71" i="115"/>
  <c r="AW71" i="115" s="1"/>
  <c r="V71" i="115"/>
  <c r="W71" i="115" s="1"/>
  <c r="Y71" i="115"/>
  <c r="Z71" i="115" s="1"/>
  <c r="AQ71" i="115"/>
  <c r="AR71" i="115" s="1"/>
  <c r="AK71" i="115"/>
  <c r="AL71" i="115" s="1"/>
  <c r="P71" i="115"/>
  <c r="R71" i="115"/>
  <c r="T71" i="115" s="1"/>
  <c r="BG71" i="115"/>
  <c r="BH71" i="115" s="1"/>
  <c r="O71" i="115"/>
  <c r="BD71" i="115"/>
  <c r="BE71" i="115" s="1"/>
  <c r="AE71" i="115"/>
  <c r="AF71" i="115" s="1"/>
  <c r="AN71" i="115"/>
  <c r="AO71" i="115" s="1"/>
  <c r="AB71" i="115"/>
  <c r="AC71" i="115" s="1"/>
  <c r="AH71" i="115"/>
  <c r="AI71" i="115" s="1"/>
  <c r="BA71" i="115"/>
  <c r="BB71" i="115" s="1"/>
  <c r="M75" i="107" l="1"/>
  <c r="AK75" i="107"/>
  <c r="AL75" i="107" s="1"/>
  <c r="AH75" i="107"/>
  <c r="AI75" i="107" s="1"/>
  <c r="AN75" i="107"/>
  <c r="AO75" i="107" s="1"/>
  <c r="AB75" i="107"/>
  <c r="AC75" i="107" s="1"/>
  <c r="BN75" i="107"/>
  <c r="BO75" i="107" s="1"/>
  <c r="AT75" i="107"/>
  <c r="V75" i="107"/>
  <c r="W75" i="107" s="1"/>
  <c r="Y75" i="107"/>
  <c r="Z75" i="107" s="1"/>
  <c r="BK75" i="107"/>
  <c r="R75" i="107"/>
  <c r="T75" i="107" s="1"/>
  <c r="BD75" i="107"/>
  <c r="BE75" i="107" s="1"/>
  <c r="BG75" i="107"/>
  <c r="BH75" i="107" s="1"/>
  <c r="AQ75" i="107"/>
  <c r="AR75" i="107" s="1"/>
  <c r="P75" i="107"/>
  <c r="BQ75" i="107"/>
  <c r="BR75" i="107" s="1"/>
  <c r="BA75" i="107"/>
  <c r="BB75" i="107" s="1"/>
  <c r="BJ75" i="107"/>
  <c r="BL75" i="107" s="1"/>
  <c r="AY75" i="107"/>
  <c r="AV75" i="107"/>
  <c r="AW75" i="107" s="1"/>
  <c r="O75" i="107"/>
  <c r="AE75" i="107"/>
  <c r="AF75" i="107" s="1"/>
  <c r="I77" i="107"/>
  <c r="K76" i="107"/>
  <c r="AE73" i="132"/>
  <c r="AF73" i="132" s="1"/>
  <c r="AQ73" i="132"/>
  <c r="AR73" i="132" s="1"/>
  <c r="AB73" i="132"/>
  <c r="AC73" i="132" s="1"/>
  <c r="AK73" i="132"/>
  <c r="AL73" i="132" s="1"/>
  <c r="Y73" i="132"/>
  <c r="Z73" i="132" s="1"/>
  <c r="BG73" i="132"/>
  <c r="BH73" i="132" s="1"/>
  <c r="BN73" i="132"/>
  <c r="BO73" i="132" s="1"/>
  <c r="AT73" i="132"/>
  <c r="K74" i="132"/>
  <c r="BL73" i="132"/>
  <c r="M73" i="132"/>
  <c r="O73" i="132"/>
  <c r="AN73" i="132"/>
  <c r="AO73" i="132" s="1"/>
  <c r="V73" i="132"/>
  <c r="W73" i="132" s="1"/>
  <c r="BA73" i="132"/>
  <c r="BB73" i="132" s="1"/>
  <c r="AH73" i="132"/>
  <c r="AI73" i="132" s="1"/>
  <c r="AY73" i="132"/>
  <c r="BD73" i="132"/>
  <c r="BE73" i="132" s="1"/>
  <c r="R73" i="132"/>
  <c r="T73" i="132" s="1"/>
  <c r="BQ73" i="132"/>
  <c r="BR73" i="132" s="1"/>
  <c r="AV73" i="132"/>
  <c r="AW73" i="132" s="1"/>
  <c r="P73" i="132"/>
  <c r="Y73" i="99"/>
  <c r="Z73" i="99" s="1"/>
  <c r="V73" i="99"/>
  <c r="W73" i="99" s="1"/>
  <c r="BG73" i="99"/>
  <c r="BH73" i="99" s="1"/>
  <c r="AY73" i="99"/>
  <c r="AQ73" i="99"/>
  <c r="AR73" i="99" s="1"/>
  <c r="O73" i="99"/>
  <c r="AN73" i="99"/>
  <c r="AO73" i="99" s="1"/>
  <c r="AH73" i="99"/>
  <c r="AI73" i="99" s="1"/>
  <c r="R73" i="99"/>
  <c r="T73" i="99" s="1"/>
  <c r="P73" i="99"/>
  <c r="AT73" i="99"/>
  <c r="AV73" i="99"/>
  <c r="AW73" i="99" s="1"/>
  <c r="BD73" i="99"/>
  <c r="BE73" i="99" s="1"/>
  <c r="BK73" i="99"/>
  <c r="AE73" i="99"/>
  <c r="AF73" i="99" s="1"/>
  <c r="K74" i="99"/>
  <c r="BQ73" i="99"/>
  <c r="BR73" i="99" s="1"/>
  <c r="BJ73" i="99"/>
  <c r="BL73" i="99" s="1"/>
  <c r="AB73" i="99"/>
  <c r="AC73" i="99" s="1"/>
  <c r="M73" i="99"/>
  <c r="AK73" i="99"/>
  <c r="AL73" i="99" s="1"/>
  <c r="BN73" i="99"/>
  <c r="BO73" i="99" s="1"/>
  <c r="BA73" i="99"/>
  <c r="BB73" i="99" s="1"/>
  <c r="BD106" i="161"/>
  <c r="BE106" i="161" s="1"/>
  <c r="AQ106" i="161"/>
  <c r="AR106" i="161" s="1"/>
  <c r="AK106" i="161"/>
  <c r="AL106" i="161" s="1"/>
  <c r="AE106" i="161"/>
  <c r="AF106" i="161" s="1"/>
  <c r="Y106" i="161"/>
  <c r="Z106" i="161" s="1"/>
  <c r="R106" i="161"/>
  <c r="T106" i="161" s="1"/>
  <c r="AV106" i="161"/>
  <c r="AW106" i="161" s="1"/>
  <c r="P106" i="161"/>
  <c r="BG106" i="161"/>
  <c r="BH106" i="161" s="1"/>
  <c r="BA106" i="161"/>
  <c r="BB106" i="161" s="1"/>
  <c r="AT106" i="161"/>
  <c r="AN106" i="161"/>
  <c r="AO106" i="161" s="1"/>
  <c r="AH106" i="161"/>
  <c r="AI106" i="161" s="1"/>
  <c r="AB106" i="161"/>
  <c r="AC106" i="161" s="1"/>
  <c r="V106" i="161"/>
  <c r="W106" i="161" s="1"/>
  <c r="O106" i="161"/>
  <c r="BR106" i="161"/>
  <c r="AY106" i="161"/>
  <c r="BJ106" i="161"/>
  <c r="BL106" i="161" s="1"/>
  <c r="M106" i="161"/>
  <c r="BK106" i="161"/>
  <c r="BN106" i="161"/>
  <c r="BO106" i="161" s="1"/>
  <c r="I108" i="161"/>
  <c r="K107" i="161"/>
  <c r="BQ107" i="161" s="1"/>
  <c r="AQ74" i="133"/>
  <c r="AR74" i="133" s="1"/>
  <c r="BG74" i="133"/>
  <c r="BH74" i="133" s="1"/>
  <c r="AB74" i="133"/>
  <c r="AC74" i="133" s="1"/>
  <c r="K75" i="133"/>
  <c r="AV74" i="133"/>
  <c r="AW74" i="133" s="1"/>
  <c r="V74" i="133"/>
  <c r="W74" i="133" s="1"/>
  <c r="O74" i="133"/>
  <c r="BN74" i="133"/>
  <c r="BO74" i="133" s="1"/>
  <c r="BQ74" i="133"/>
  <c r="BR74" i="133" s="1"/>
  <c r="AY74" i="133"/>
  <c r="AE74" i="133"/>
  <c r="AF74" i="133" s="1"/>
  <c r="R74" i="133"/>
  <c r="T74" i="133" s="1"/>
  <c r="AN74" i="133"/>
  <c r="AO74" i="133" s="1"/>
  <c r="M74" i="133"/>
  <c r="AK74" i="133"/>
  <c r="AL74" i="133" s="1"/>
  <c r="BD74" i="133"/>
  <c r="BE74" i="133" s="1"/>
  <c r="BA74" i="133"/>
  <c r="BB74" i="133" s="1"/>
  <c r="P74" i="133"/>
  <c r="BL74" i="133"/>
  <c r="AH74" i="133"/>
  <c r="AI74" i="133" s="1"/>
  <c r="AT74" i="133"/>
  <c r="Y74" i="133"/>
  <c r="Z74" i="133" s="1"/>
  <c r="BN71" i="106"/>
  <c r="BO71" i="106" s="1"/>
  <c r="AH71" i="106"/>
  <c r="AI71" i="106" s="1"/>
  <c r="AY71" i="106"/>
  <c r="AV71" i="106"/>
  <c r="AW71" i="106" s="1"/>
  <c r="AB71" i="106"/>
  <c r="AC71" i="106" s="1"/>
  <c r="O71" i="106"/>
  <c r="BG71" i="106"/>
  <c r="BH71" i="106" s="1"/>
  <c r="M71" i="106"/>
  <c r="P71" i="106"/>
  <c r="R71" i="106"/>
  <c r="T71" i="106" s="1"/>
  <c r="AT71" i="106"/>
  <c r="AE71" i="106"/>
  <c r="AF71" i="106" s="1"/>
  <c r="Y71" i="106"/>
  <c r="Z71" i="106" s="1"/>
  <c r="AQ71" i="106"/>
  <c r="AR71" i="106" s="1"/>
  <c r="BK71" i="106"/>
  <c r="BA71" i="106"/>
  <c r="BB71" i="106" s="1"/>
  <c r="V71" i="106"/>
  <c r="W71" i="106" s="1"/>
  <c r="BQ71" i="106"/>
  <c r="BR71" i="106" s="1"/>
  <c r="BJ71" i="106"/>
  <c r="BL71" i="106" s="1"/>
  <c r="BD71" i="106"/>
  <c r="BE71" i="106" s="1"/>
  <c r="AN71" i="106"/>
  <c r="AO71" i="106" s="1"/>
  <c r="AK71" i="106"/>
  <c r="AL71" i="106" s="1"/>
  <c r="K72" i="106"/>
  <c r="BN70" i="95"/>
  <c r="BO70" i="95" s="1"/>
  <c r="BQ70" i="95"/>
  <c r="BR70" i="95" s="1"/>
  <c r="AT70" i="95"/>
  <c r="AB70" i="95"/>
  <c r="AC70" i="95" s="1"/>
  <c r="BL70" i="95"/>
  <c r="AK70" i="95"/>
  <c r="AL70" i="95" s="1"/>
  <c r="P70" i="95"/>
  <c r="K71" i="95"/>
  <c r="AV70" i="95"/>
  <c r="AW70" i="95" s="1"/>
  <c r="V70" i="95"/>
  <c r="W70" i="95" s="1"/>
  <c r="BD70" i="95"/>
  <c r="BE70" i="95" s="1"/>
  <c r="AH70" i="95"/>
  <c r="AI70" i="95" s="1"/>
  <c r="BG70" i="95"/>
  <c r="BH70" i="95" s="1"/>
  <c r="O70" i="95"/>
  <c r="BA70" i="95"/>
  <c r="BB70" i="95" s="1"/>
  <c r="AQ70" i="95"/>
  <c r="AR70" i="95" s="1"/>
  <c r="R70" i="95"/>
  <c r="T70" i="95" s="1"/>
  <c r="M70" i="95"/>
  <c r="AE70" i="95"/>
  <c r="AF70" i="95" s="1"/>
  <c r="Y70" i="95"/>
  <c r="Z70" i="95" s="1"/>
  <c r="AN70" i="95"/>
  <c r="AO70" i="95" s="1"/>
  <c r="V76" i="156"/>
  <c r="W76" i="156" s="1"/>
  <c r="P76" i="156"/>
  <c r="AQ76" i="156"/>
  <c r="AR76" i="156" s="1"/>
  <c r="AB76" i="156"/>
  <c r="AC76" i="156" s="1"/>
  <c r="AV76" i="156"/>
  <c r="AW76" i="156" s="1"/>
  <c r="BD76" i="156"/>
  <c r="BE76" i="156" s="1"/>
  <c r="M76" i="156"/>
  <c r="AH76" i="156"/>
  <c r="AI76" i="156" s="1"/>
  <c r="BN76" i="156"/>
  <c r="BO76" i="156" s="1"/>
  <c r="Y76" i="156"/>
  <c r="Z76" i="156" s="1"/>
  <c r="AN76" i="156"/>
  <c r="AO76" i="156" s="1"/>
  <c r="AK76" i="156"/>
  <c r="AL76" i="156" s="1"/>
  <c r="BL76" i="156"/>
  <c r="BQ76" i="156"/>
  <c r="BR76" i="156" s="1"/>
  <c r="BA76" i="156"/>
  <c r="BB76" i="156" s="1"/>
  <c r="AE76" i="156"/>
  <c r="AF76" i="156" s="1"/>
  <c r="O76" i="156"/>
  <c r="BG76" i="156"/>
  <c r="BH76" i="156" s="1"/>
  <c r="R76" i="156"/>
  <c r="T76" i="156" s="1"/>
  <c r="BJ71" i="104"/>
  <c r="BL71" i="104" s="1"/>
  <c r="AT71" i="104"/>
  <c r="AE71" i="104"/>
  <c r="AF71" i="104" s="1"/>
  <c r="BQ71" i="104"/>
  <c r="BR71" i="104" s="1"/>
  <c r="BN71" i="104"/>
  <c r="BO71" i="104" s="1"/>
  <c r="AY71" i="104"/>
  <c r="AN71" i="104"/>
  <c r="AO71" i="104" s="1"/>
  <c r="P71" i="104"/>
  <c r="K72" i="104"/>
  <c r="BK71" i="104"/>
  <c r="V71" i="104"/>
  <c r="W71" i="104" s="1"/>
  <c r="AB71" i="104"/>
  <c r="AC71" i="104" s="1"/>
  <c r="R71" i="104"/>
  <c r="T71" i="104" s="1"/>
  <c r="M71" i="104"/>
  <c r="AH71" i="104"/>
  <c r="AI71" i="104" s="1"/>
  <c r="BG71" i="104"/>
  <c r="BH71" i="104" s="1"/>
  <c r="AV71" i="104"/>
  <c r="AW71" i="104" s="1"/>
  <c r="AK71" i="104"/>
  <c r="AL71" i="104" s="1"/>
  <c r="BA71" i="104"/>
  <c r="BB71" i="104" s="1"/>
  <c r="O71" i="104"/>
  <c r="AQ71" i="104"/>
  <c r="AR71" i="104" s="1"/>
  <c r="BD71" i="104"/>
  <c r="BE71" i="104" s="1"/>
  <c r="Y71" i="104"/>
  <c r="Z71" i="104" s="1"/>
  <c r="M71" i="112"/>
  <c r="AQ71" i="112"/>
  <c r="AR71" i="112" s="1"/>
  <c r="AH71" i="112"/>
  <c r="AI71" i="112" s="1"/>
  <c r="AY71" i="112"/>
  <c r="V71" i="112"/>
  <c r="W71" i="112" s="1"/>
  <c r="BN71" i="112"/>
  <c r="BO71" i="112" s="1"/>
  <c r="AN71" i="112"/>
  <c r="AO71" i="112" s="1"/>
  <c r="AV71" i="112"/>
  <c r="AW71" i="112" s="1"/>
  <c r="AT71" i="112"/>
  <c r="BJ71" i="112"/>
  <c r="BL71" i="112" s="1"/>
  <c r="AK71" i="112"/>
  <c r="AL71" i="112" s="1"/>
  <c r="BA71" i="112"/>
  <c r="BB71" i="112" s="1"/>
  <c r="AE71" i="112"/>
  <c r="AF71" i="112" s="1"/>
  <c r="P71" i="112"/>
  <c r="BK71" i="112"/>
  <c r="Y71" i="112"/>
  <c r="Z71" i="112" s="1"/>
  <c r="BD71" i="112"/>
  <c r="BE71" i="112" s="1"/>
  <c r="BG71" i="112"/>
  <c r="BH71" i="112" s="1"/>
  <c r="K72" i="112"/>
  <c r="R71" i="112"/>
  <c r="T71" i="112" s="1"/>
  <c r="AB71" i="112"/>
  <c r="AC71" i="112" s="1"/>
  <c r="O71" i="112"/>
  <c r="BQ71" i="112"/>
  <c r="BR71" i="112" s="1"/>
  <c r="I78" i="106"/>
  <c r="AE72" i="129"/>
  <c r="AF72" i="129" s="1"/>
  <c r="AK72" i="129"/>
  <c r="AL72" i="129" s="1"/>
  <c r="O72" i="129"/>
  <c r="K73" i="129"/>
  <c r="V72" i="129"/>
  <c r="W72" i="129" s="1"/>
  <c r="AT72" i="129"/>
  <c r="AH72" i="129"/>
  <c r="AI72" i="129" s="1"/>
  <c r="BN72" i="129"/>
  <c r="BO72" i="129" s="1"/>
  <c r="BA72" i="129"/>
  <c r="BB72" i="129" s="1"/>
  <c r="AQ72" i="129"/>
  <c r="AR72" i="129" s="1"/>
  <c r="AY72" i="129"/>
  <c r="M72" i="129"/>
  <c r="AV72" i="129"/>
  <c r="AW72" i="129" s="1"/>
  <c r="Y72" i="129"/>
  <c r="Z72" i="129" s="1"/>
  <c r="BD72" i="129"/>
  <c r="BE72" i="129" s="1"/>
  <c r="P72" i="129"/>
  <c r="BQ72" i="129"/>
  <c r="BR72" i="129" s="1"/>
  <c r="AB72" i="129"/>
  <c r="AC72" i="129" s="1"/>
  <c r="BL72" i="129"/>
  <c r="AN72" i="129"/>
  <c r="AO72" i="129" s="1"/>
  <c r="R72" i="129"/>
  <c r="T72" i="129" s="1"/>
  <c r="BG72" i="129"/>
  <c r="BH72" i="129" s="1"/>
  <c r="K77" i="156"/>
  <c r="AY77" i="156" s="1"/>
  <c r="I78" i="156"/>
  <c r="BN72" i="130"/>
  <c r="BO72" i="130" s="1"/>
  <c r="K73" i="130"/>
  <c r="M72" i="130"/>
  <c r="BL72" i="130"/>
  <c r="AE72" i="130"/>
  <c r="AF72" i="130" s="1"/>
  <c r="P72" i="130"/>
  <c r="AQ72" i="130"/>
  <c r="AR72" i="130" s="1"/>
  <c r="O72" i="130"/>
  <c r="V72" i="130"/>
  <c r="W72" i="130" s="1"/>
  <c r="AY72" i="130"/>
  <c r="AH72" i="130"/>
  <c r="AI72" i="130" s="1"/>
  <c r="BQ72" i="130"/>
  <c r="BR72" i="130" s="1"/>
  <c r="AK72" i="130"/>
  <c r="AL72" i="130" s="1"/>
  <c r="AB72" i="130"/>
  <c r="AC72" i="130" s="1"/>
  <c r="BG72" i="130"/>
  <c r="BH72" i="130" s="1"/>
  <c r="Y72" i="130"/>
  <c r="Z72" i="130" s="1"/>
  <c r="AV72" i="130"/>
  <c r="AW72" i="130" s="1"/>
  <c r="BD72" i="130"/>
  <c r="BE72" i="130" s="1"/>
  <c r="AN72" i="130"/>
  <c r="AO72" i="130" s="1"/>
  <c r="BA72" i="130"/>
  <c r="BB72" i="130" s="1"/>
  <c r="AT72" i="130"/>
  <c r="R72" i="130"/>
  <c r="T72" i="130" s="1"/>
  <c r="AV24" i="151"/>
  <c r="AW24" i="151" s="1"/>
  <c r="BD24" i="151"/>
  <c r="BE24" i="151" s="1"/>
  <c r="P77" i="155"/>
  <c r="AV77" i="155"/>
  <c r="AW77" i="155" s="1"/>
  <c r="BN77" i="155"/>
  <c r="BO77" i="155" s="1"/>
  <c r="O77" i="155"/>
  <c r="Y77" i="155"/>
  <c r="Z77" i="155" s="1"/>
  <c r="AN77" i="155"/>
  <c r="AO77" i="155" s="1"/>
  <c r="R77" i="155"/>
  <c r="T77" i="155" s="1"/>
  <c r="AH77" i="155"/>
  <c r="AI77" i="155" s="1"/>
  <c r="AQ77" i="155"/>
  <c r="AR77" i="155" s="1"/>
  <c r="BG77" i="155"/>
  <c r="BH77" i="155" s="1"/>
  <c r="AB77" i="155"/>
  <c r="AC77" i="155" s="1"/>
  <c r="AK77" i="155"/>
  <c r="AL77" i="155" s="1"/>
  <c r="BA77" i="155"/>
  <c r="BB77" i="155" s="1"/>
  <c r="BQ77" i="155"/>
  <c r="BR77" i="155" s="1"/>
  <c r="M77" i="155"/>
  <c r="V77" i="155"/>
  <c r="W77" i="155" s="1"/>
  <c r="AE77" i="155"/>
  <c r="AF77" i="155" s="1"/>
  <c r="BD77" i="155"/>
  <c r="BE77" i="155" s="1"/>
  <c r="BL77" i="155"/>
  <c r="K78" i="155"/>
  <c r="I79" i="155"/>
  <c r="AV23" i="149"/>
  <c r="AW23" i="149" s="1"/>
  <c r="BD23" i="149"/>
  <c r="BE23" i="149" s="1"/>
  <c r="O77" i="153"/>
  <c r="V77" i="153"/>
  <c r="W77" i="153" s="1"/>
  <c r="AB77" i="153"/>
  <c r="AC77" i="153" s="1"/>
  <c r="AH77" i="153"/>
  <c r="AI77" i="153" s="1"/>
  <c r="AN77" i="153"/>
  <c r="AO77" i="153" s="1"/>
  <c r="BA77" i="153"/>
  <c r="BB77" i="153" s="1"/>
  <c r="BG77" i="153"/>
  <c r="BH77" i="153" s="1"/>
  <c r="P77" i="153"/>
  <c r="AV77" i="153"/>
  <c r="AW77" i="153" s="1"/>
  <c r="BN77" i="153"/>
  <c r="BO77" i="153" s="1"/>
  <c r="R77" i="153"/>
  <c r="T77" i="153" s="1"/>
  <c r="Y77" i="153"/>
  <c r="Z77" i="153" s="1"/>
  <c r="AE77" i="153"/>
  <c r="AF77" i="153" s="1"/>
  <c r="AK77" i="153"/>
  <c r="AL77" i="153" s="1"/>
  <c r="AQ77" i="153"/>
  <c r="AR77" i="153" s="1"/>
  <c r="BD77" i="153"/>
  <c r="BE77" i="153" s="1"/>
  <c r="M77" i="153"/>
  <c r="BQ77" i="153"/>
  <c r="BR77" i="153" s="1"/>
  <c r="BL77" i="153"/>
  <c r="K78" i="153"/>
  <c r="I82" i="153"/>
  <c r="R77" i="152"/>
  <c r="T77" i="152" s="1"/>
  <c r="Y77" i="152"/>
  <c r="Z77" i="152" s="1"/>
  <c r="AE77" i="152"/>
  <c r="AF77" i="152" s="1"/>
  <c r="AK77" i="152"/>
  <c r="AL77" i="152" s="1"/>
  <c r="AQ77" i="152"/>
  <c r="AR77" i="152" s="1"/>
  <c r="BD77" i="152"/>
  <c r="BE77" i="152" s="1"/>
  <c r="M77" i="152"/>
  <c r="BQ77" i="152"/>
  <c r="BR77" i="152" s="1"/>
  <c r="P77" i="152"/>
  <c r="V77" i="152"/>
  <c r="W77" i="152" s="1"/>
  <c r="AH77" i="152"/>
  <c r="AI77" i="152" s="1"/>
  <c r="BG77" i="152"/>
  <c r="BH77" i="152" s="1"/>
  <c r="BL77" i="152"/>
  <c r="AV77" i="152"/>
  <c r="AW77" i="152" s="1"/>
  <c r="BN77" i="152"/>
  <c r="BO77" i="152" s="1"/>
  <c r="O77" i="152"/>
  <c r="AB77" i="152"/>
  <c r="AC77" i="152" s="1"/>
  <c r="AN77" i="152"/>
  <c r="AO77" i="152" s="1"/>
  <c r="BA77" i="152"/>
  <c r="BB77" i="152" s="1"/>
  <c r="K78" i="152"/>
  <c r="I86" i="152"/>
  <c r="K76" i="151"/>
  <c r="I77" i="151"/>
  <c r="BD75" i="151"/>
  <c r="BE75" i="151" s="1"/>
  <c r="AQ75" i="151"/>
  <c r="AR75" i="151" s="1"/>
  <c r="AK75" i="151"/>
  <c r="AL75" i="151" s="1"/>
  <c r="AE75" i="151"/>
  <c r="AF75" i="151" s="1"/>
  <c r="Y75" i="151"/>
  <c r="Z75" i="151" s="1"/>
  <c r="R75" i="151"/>
  <c r="T75" i="151" s="1"/>
  <c r="BG75" i="151"/>
  <c r="BH75" i="151" s="1"/>
  <c r="BA75" i="151"/>
  <c r="BB75" i="151" s="1"/>
  <c r="AT75" i="151"/>
  <c r="AN75" i="151"/>
  <c r="AO75" i="151" s="1"/>
  <c r="AH75" i="151"/>
  <c r="AI75" i="151" s="1"/>
  <c r="AB75" i="151"/>
  <c r="AC75" i="151" s="1"/>
  <c r="V75" i="151"/>
  <c r="W75" i="151" s="1"/>
  <c r="O75" i="151"/>
  <c r="P75" i="151"/>
  <c r="AV75" i="151"/>
  <c r="AW75" i="151" s="1"/>
  <c r="AY75" i="151"/>
  <c r="BQ75" i="151"/>
  <c r="BR75" i="151" s="1"/>
  <c r="M75" i="151"/>
  <c r="BN75" i="151"/>
  <c r="BO75" i="151" s="1"/>
  <c r="BL75" i="151"/>
  <c r="I78" i="150"/>
  <c r="BG74" i="150"/>
  <c r="BH74" i="150" s="1"/>
  <c r="BA74" i="150"/>
  <c r="BB74" i="150" s="1"/>
  <c r="AT74" i="150"/>
  <c r="AN74" i="150"/>
  <c r="AO74" i="150" s="1"/>
  <c r="AH74" i="150"/>
  <c r="AI74" i="150" s="1"/>
  <c r="AB74" i="150"/>
  <c r="AC74" i="150" s="1"/>
  <c r="V74" i="150"/>
  <c r="W74" i="150" s="1"/>
  <c r="O74" i="150"/>
  <c r="BQ74" i="150"/>
  <c r="BR74" i="150" s="1"/>
  <c r="AY74" i="150"/>
  <c r="BD74" i="150"/>
  <c r="BE74" i="150" s="1"/>
  <c r="AQ74" i="150"/>
  <c r="AR74" i="150" s="1"/>
  <c r="AK74" i="150"/>
  <c r="AL74" i="150" s="1"/>
  <c r="AE74" i="150"/>
  <c r="AF74" i="150" s="1"/>
  <c r="Y74" i="150"/>
  <c r="Z74" i="150" s="1"/>
  <c r="R74" i="150"/>
  <c r="T74" i="150" s="1"/>
  <c r="AV74" i="150"/>
  <c r="AW74" i="150" s="1"/>
  <c r="P74" i="150"/>
  <c r="BN74" i="150"/>
  <c r="BO74" i="150" s="1"/>
  <c r="M74" i="150"/>
  <c r="BL74" i="150"/>
  <c r="K75" i="150"/>
  <c r="I78" i="149"/>
  <c r="K77" i="149"/>
  <c r="AT77" i="149" s="1"/>
  <c r="BG76" i="149"/>
  <c r="BH76" i="149" s="1"/>
  <c r="BA76" i="149"/>
  <c r="BB76" i="149" s="1"/>
  <c r="AN76" i="149"/>
  <c r="AO76" i="149" s="1"/>
  <c r="AH76" i="149"/>
  <c r="AI76" i="149" s="1"/>
  <c r="AB76" i="149"/>
  <c r="AC76" i="149" s="1"/>
  <c r="V76" i="149"/>
  <c r="W76" i="149" s="1"/>
  <c r="O76" i="149"/>
  <c r="BQ76" i="149"/>
  <c r="BR76" i="149" s="1"/>
  <c r="AY76" i="149"/>
  <c r="BD76" i="149"/>
  <c r="BE76" i="149" s="1"/>
  <c r="AQ76" i="149"/>
  <c r="AR76" i="149" s="1"/>
  <c r="AK76" i="149"/>
  <c r="AL76" i="149" s="1"/>
  <c r="AE76" i="149"/>
  <c r="AF76" i="149" s="1"/>
  <c r="Y76" i="149"/>
  <c r="Z76" i="149" s="1"/>
  <c r="R76" i="149"/>
  <c r="T76" i="149" s="1"/>
  <c r="P76" i="149"/>
  <c r="AV76" i="149"/>
  <c r="AW76" i="149" s="1"/>
  <c r="M76" i="149"/>
  <c r="BN76" i="149"/>
  <c r="BO76" i="149" s="1"/>
  <c r="BL76" i="149"/>
  <c r="BQ75" i="147"/>
  <c r="BR75" i="147" s="1"/>
  <c r="AY75" i="147"/>
  <c r="AV75" i="147"/>
  <c r="AW75" i="147" s="1"/>
  <c r="P75" i="147"/>
  <c r="BA75" i="147"/>
  <c r="BB75" i="147" s="1"/>
  <c r="AN75" i="147"/>
  <c r="AO75" i="147" s="1"/>
  <c r="AB75" i="147"/>
  <c r="AC75" i="147" s="1"/>
  <c r="O75" i="147"/>
  <c r="AK75" i="147"/>
  <c r="AL75" i="147" s="1"/>
  <c r="Y75" i="147"/>
  <c r="Z75" i="147" s="1"/>
  <c r="AT75" i="147"/>
  <c r="V75" i="147"/>
  <c r="W75" i="147" s="1"/>
  <c r="AQ75" i="147"/>
  <c r="AR75" i="147" s="1"/>
  <c r="R75" i="147"/>
  <c r="T75" i="147" s="1"/>
  <c r="BG75" i="147"/>
  <c r="BH75" i="147" s="1"/>
  <c r="AH75" i="147"/>
  <c r="AI75" i="147" s="1"/>
  <c r="AE75" i="147"/>
  <c r="AF75" i="147" s="1"/>
  <c r="BD75" i="147"/>
  <c r="BE75" i="147" s="1"/>
  <c r="BN75" i="147"/>
  <c r="BO75" i="147" s="1"/>
  <c r="BJ75" i="147"/>
  <c r="BL75" i="147" s="1"/>
  <c r="M75" i="147"/>
  <c r="BK75" i="147"/>
  <c r="I77" i="147"/>
  <c r="K76" i="147"/>
  <c r="K75" i="146"/>
  <c r="I76" i="146"/>
  <c r="BD74" i="146"/>
  <c r="BE74" i="146" s="1"/>
  <c r="AQ74" i="146"/>
  <c r="AR74" i="146" s="1"/>
  <c r="AK74" i="146"/>
  <c r="AL74" i="146" s="1"/>
  <c r="AE74" i="146"/>
  <c r="AF74" i="146" s="1"/>
  <c r="Y74" i="146"/>
  <c r="Z74" i="146" s="1"/>
  <c r="R74" i="146"/>
  <c r="T74" i="146" s="1"/>
  <c r="AV74" i="146"/>
  <c r="AW74" i="146" s="1"/>
  <c r="P74" i="146"/>
  <c r="BG74" i="146"/>
  <c r="BH74" i="146" s="1"/>
  <c r="BA74" i="146"/>
  <c r="BB74" i="146" s="1"/>
  <c r="AT74" i="146"/>
  <c r="AN74" i="146"/>
  <c r="AO74" i="146" s="1"/>
  <c r="AH74" i="146"/>
  <c r="AI74" i="146" s="1"/>
  <c r="AB74" i="146"/>
  <c r="AC74" i="146" s="1"/>
  <c r="V74" i="146"/>
  <c r="W74" i="146" s="1"/>
  <c r="O74" i="146"/>
  <c r="BQ74" i="146"/>
  <c r="BR74" i="146" s="1"/>
  <c r="AY74" i="146"/>
  <c r="BJ74" i="146"/>
  <c r="BL74" i="146" s="1"/>
  <c r="BN74" i="146"/>
  <c r="BO74" i="146" s="1"/>
  <c r="BK74" i="146"/>
  <c r="M74" i="146"/>
  <c r="AK70" i="120"/>
  <c r="AL70" i="120" s="1"/>
  <c r="R70" i="120"/>
  <c r="T70" i="120" s="1"/>
  <c r="AQ70" i="120"/>
  <c r="AR70" i="120" s="1"/>
  <c r="BQ70" i="120"/>
  <c r="BR70" i="120" s="1"/>
  <c r="BA70" i="120"/>
  <c r="BB70" i="120" s="1"/>
  <c r="V70" i="120"/>
  <c r="W70" i="120" s="1"/>
  <c r="AE70" i="120"/>
  <c r="AF70" i="120" s="1"/>
  <c r="AN70" i="120"/>
  <c r="AO70" i="120" s="1"/>
  <c r="AY70" i="120"/>
  <c r="AT70" i="120"/>
  <c r="Y70" i="120"/>
  <c r="Z70" i="120" s="1"/>
  <c r="AB70" i="120"/>
  <c r="AC70" i="120" s="1"/>
  <c r="P70" i="120"/>
  <c r="O70" i="120"/>
  <c r="BG70" i="120"/>
  <c r="BH70" i="120" s="1"/>
  <c r="M70" i="120"/>
  <c r="AH70" i="120"/>
  <c r="AI70" i="120" s="1"/>
  <c r="AV70" i="120"/>
  <c r="AW70" i="120" s="1"/>
  <c r="K71" i="120"/>
  <c r="BD70" i="120"/>
  <c r="BE70" i="120" s="1"/>
  <c r="BN70" i="120"/>
  <c r="BO70" i="120" s="1"/>
  <c r="BK74" i="105"/>
  <c r="M74" i="105"/>
  <c r="BN74" i="105"/>
  <c r="BO74" i="105" s="1"/>
  <c r="BJ74" i="105"/>
  <c r="BL74" i="105" s="1"/>
  <c r="BG74" i="105"/>
  <c r="BH74" i="105" s="1"/>
  <c r="AV74" i="105"/>
  <c r="AW74" i="105" s="1"/>
  <c r="AE74" i="105"/>
  <c r="AF74" i="105" s="1"/>
  <c r="BD74" i="105"/>
  <c r="BE74" i="105" s="1"/>
  <c r="AB74" i="105"/>
  <c r="AC74" i="105" s="1"/>
  <c r="AQ74" i="105"/>
  <c r="AR74" i="105" s="1"/>
  <c r="Y74" i="105"/>
  <c r="Z74" i="105" s="1"/>
  <c r="BQ74" i="105"/>
  <c r="BR74" i="105" s="1"/>
  <c r="AN74" i="105"/>
  <c r="AO74" i="105" s="1"/>
  <c r="V74" i="105"/>
  <c r="W74" i="105" s="1"/>
  <c r="P74" i="105"/>
  <c r="AT74" i="105"/>
  <c r="AY74" i="105"/>
  <c r="AH74" i="105"/>
  <c r="AI74" i="105" s="1"/>
  <c r="BA74" i="105"/>
  <c r="BB74" i="105" s="1"/>
  <c r="R74" i="105"/>
  <c r="T74" i="105" s="1"/>
  <c r="O74" i="105"/>
  <c r="AK74" i="105"/>
  <c r="AL74" i="105" s="1"/>
  <c r="K75" i="105"/>
  <c r="I79" i="105"/>
  <c r="BN71" i="15"/>
  <c r="BO71" i="15" s="1"/>
  <c r="BL71" i="15"/>
  <c r="M71" i="15"/>
  <c r="AB71" i="15"/>
  <c r="AC71" i="15" s="1"/>
  <c r="BD71" i="15"/>
  <c r="BE71" i="15" s="1"/>
  <c r="BA71" i="15"/>
  <c r="BB71" i="15" s="1"/>
  <c r="AK71" i="15"/>
  <c r="AL71" i="15" s="1"/>
  <c r="AQ71" i="15"/>
  <c r="AR71" i="15" s="1"/>
  <c r="AT71" i="15"/>
  <c r="R71" i="15"/>
  <c r="T71" i="15" s="1"/>
  <c r="AN71" i="15"/>
  <c r="AO71" i="15" s="1"/>
  <c r="O71" i="15"/>
  <c r="V71" i="15"/>
  <c r="W71" i="15" s="1"/>
  <c r="AV71" i="15"/>
  <c r="AW71" i="15" s="1"/>
  <c r="Y71" i="15"/>
  <c r="Z71" i="15" s="1"/>
  <c r="BG71" i="15"/>
  <c r="BH71" i="15" s="1"/>
  <c r="BQ71" i="15"/>
  <c r="BR71" i="15" s="1"/>
  <c r="P71" i="15"/>
  <c r="AY71" i="15"/>
  <c r="AE71" i="15"/>
  <c r="AF71" i="15" s="1"/>
  <c r="AH71" i="15"/>
  <c r="AI71" i="15" s="1"/>
  <c r="K72" i="15"/>
  <c r="I87" i="133"/>
  <c r="BN72" i="96"/>
  <c r="BO72" i="96" s="1"/>
  <c r="AH72" i="96"/>
  <c r="AI72" i="96" s="1"/>
  <c r="Y72" i="96"/>
  <c r="Z72" i="96" s="1"/>
  <c r="O72" i="96"/>
  <c r="BG72" i="96"/>
  <c r="BH72" i="96" s="1"/>
  <c r="AE72" i="96"/>
  <c r="AF72" i="96" s="1"/>
  <c r="BQ72" i="96"/>
  <c r="BR72" i="96" s="1"/>
  <c r="AT72" i="96"/>
  <c r="AQ72" i="96"/>
  <c r="AR72" i="96" s="1"/>
  <c r="AK72" i="96"/>
  <c r="AL72" i="96" s="1"/>
  <c r="M72" i="96"/>
  <c r="AN72" i="96"/>
  <c r="AO72" i="96" s="1"/>
  <c r="BA72" i="96"/>
  <c r="BB72" i="96" s="1"/>
  <c r="BD72" i="96"/>
  <c r="BE72" i="96" s="1"/>
  <c r="AV72" i="96"/>
  <c r="AW72" i="96" s="1"/>
  <c r="V72" i="96"/>
  <c r="W72" i="96" s="1"/>
  <c r="R72" i="96"/>
  <c r="T72" i="96" s="1"/>
  <c r="AB72" i="96"/>
  <c r="AC72" i="96" s="1"/>
  <c r="P72" i="96"/>
  <c r="BL72" i="96"/>
  <c r="BN72" i="98"/>
  <c r="BO72" i="98" s="1"/>
  <c r="K73" i="98"/>
  <c r="BK72" i="98"/>
  <c r="BJ72" i="98"/>
  <c r="BL72" i="98" s="1"/>
  <c r="M72" i="98"/>
  <c r="BQ72" i="98"/>
  <c r="BR72" i="98" s="1"/>
  <c r="BA72" i="98"/>
  <c r="BB72" i="98" s="1"/>
  <c r="P72" i="98"/>
  <c r="AN72" i="98"/>
  <c r="AO72" i="98" s="1"/>
  <c r="R72" i="98"/>
  <c r="T72" i="98" s="1"/>
  <c r="Y72" i="98"/>
  <c r="Z72" i="98" s="1"/>
  <c r="AT72" i="98"/>
  <c r="AB72" i="98"/>
  <c r="AC72" i="98" s="1"/>
  <c r="AV72" i="98"/>
  <c r="AW72" i="98" s="1"/>
  <c r="AY72" i="98"/>
  <c r="AH72" i="98"/>
  <c r="AI72" i="98" s="1"/>
  <c r="AE72" i="98"/>
  <c r="AF72" i="98" s="1"/>
  <c r="AK72" i="98"/>
  <c r="AL72" i="98" s="1"/>
  <c r="AQ72" i="98"/>
  <c r="AR72" i="98" s="1"/>
  <c r="BD72" i="98"/>
  <c r="BE72" i="98" s="1"/>
  <c r="BG72" i="98"/>
  <c r="BH72" i="98" s="1"/>
  <c r="O72" i="98"/>
  <c r="V72" i="98"/>
  <c r="W72" i="98" s="1"/>
  <c r="M72" i="126"/>
  <c r="BJ72" i="126"/>
  <c r="BL72" i="126" s="1"/>
  <c r="BN72" i="126"/>
  <c r="BO72" i="126" s="1"/>
  <c r="BK72" i="126"/>
  <c r="P72" i="126"/>
  <c r="AE72" i="126"/>
  <c r="AF72" i="126" s="1"/>
  <c r="AK72" i="126"/>
  <c r="AL72" i="126" s="1"/>
  <c r="BG72" i="126"/>
  <c r="BH72" i="126" s="1"/>
  <c r="BQ72" i="126"/>
  <c r="BR72" i="126" s="1"/>
  <c r="BD72" i="126"/>
  <c r="BE72" i="126" s="1"/>
  <c r="AB72" i="126"/>
  <c r="AC72" i="126" s="1"/>
  <c r="AN72" i="126"/>
  <c r="AO72" i="126" s="1"/>
  <c r="AT72" i="126"/>
  <c r="Y72" i="126"/>
  <c r="Z72" i="126" s="1"/>
  <c r="AV72" i="126"/>
  <c r="AW72" i="126" s="1"/>
  <c r="BA72" i="126"/>
  <c r="BB72" i="126" s="1"/>
  <c r="AH72" i="126"/>
  <c r="AI72" i="126" s="1"/>
  <c r="AQ72" i="126"/>
  <c r="AR72" i="126" s="1"/>
  <c r="O72" i="126"/>
  <c r="AY72" i="126"/>
  <c r="V72" i="126"/>
  <c r="W72" i="126" s="1"/>
  <c r="R72" i="126"/>
  <c r="T72" i="126" s="1"/>
  <c r="K73" i="126"/>
  <c r="AE73" i="64"/>
  <c r="AF73" i="64" s="1"/>
  <c r="AK73" i="64"/>
  <c r="AL73" i="64" s="1"/>
  <c r="O73" i="64"/>
  <c r="P73" i="64"/>
  <c r="R73" i="64"/>
  <c r="T73" i="64" s="1"/>
  <c r="M73" i="64"/>
  <c r="AV73" i="64"/>
  <c r="AW73" i="64" s="1"/>
  <c r="AY73" i="64"/>
  <c r="AN73" i="64"/>
  <c r="AO73" i="64" s="1"/>
  <c r="AT73" i="64"/>
  <c r="BD73" i="64"/>
  <c r="BE73" i="64" s="1"/>
  <c r="AB73" i="64"/>
  <c r="AC73" i="64" s="1"/>
  <c r="AH73" i="64"/>
  <c r="AI73" i="64" s="1"/>
  <c r="Y73" i="64"/>
  <c r="Z73" i="64" s="1"/>
  <c r="V73" i="64"/>
  <c r="W73" i="64" s="1"/>
  <c r="BQ73" i="64"/>
  <c r="BR73" i="64" s="1"/>
  <c r="BA73" i="64"/>
  <c r="BB73" i="64" s="1"/>
  <c r="AQ73" i="64"/>
  <c r="AR73" i="64" s="1"/>
  <c r="BG73" i="64"/>
  <c r="BH73" i="64" s="1"/>
  <c r="BL73" i="64"/>
  <c r="BN73" i="64"/>
  <c r="BO73" i="64" s="1"/>
  <c r="K74" i="64"/>
  <c r="AK70" i="66"/>
  <c r="AL70" i="66" s="1"/>
  <c r="BD70" i="66"/>
  <c r="BE70" i="66" s="1"/>
  <c r="AB70" i="66"/>
  <c r="AC70" i="66" s="1"/>
  <c r="BQ70" i="66"/>
  <c r="BR70" i="66" s="1"/>
  <c r="AN70" i="66"/>
  <c r="AO70" i="66" s="1"/>
  <c r="BA70" i="66"/>
  <c r="BB70" i="66" s="1"/>
  <c r="AH70" i="66"/>
  <c r="AI70" i="66" s="1"/>
  <c r="AQ70" i="66"/>
  <c r="AR70" i="66" s="1"/>
  <c r="Y70" i="66"/>
  <c r="Z70" i="66" s="1"/>
  <c r="AT70" i="66"/>
  <c r="AY70" i="66"/>
  <c r="AE70" i="66"/>
  <c r="AF70" i="66" s="1"/>
  <c r="P70" i="66"/>
  <c r="M70" i="66"/>
  <c r="BG70" i="66"/>
  <c r="BH70" i="66" s="1"/>
  <c r="R70" i="66"/>
  <c r="T70" i="66" s="1"/>
  <c r="O70" i="66"/>
  <c r="V70" i="66"/>
  <c r="W70" i="66" s="1"/>
  <c r="AV70" i="66"/>
  <c r="AW70" i="66" s="1"/>
  <c r="BN70" i="66"/>
  <c r="BO70" i="66" s="1"/>
  <c r="BL70" i="66"/>
  <c r="I78" i="136"/>
  <c r="I73" i="101"/>
  <c r="K72" i="101"/>
  <c r="I74" i="110"/>
  <c r="K73" i="110"/>
  <c r="I74" i="115"/>
  <c r="K73" i="115"/>
  <c r="BN76" i="124"/>
  <c r="BO76" i="124" s="1"/>
  <c r="BJ76" i="124"/>
  <c r="BL76" i="124" s="1"/>
  <c r="BK76" i="124"/>
  <c r="K77" i="124"/>
  <c r="M76" i="124"/>
  <c r="AE76" i="124"/>
  <c r="AF76" i="124" s="1"/>
  <c r="AQ76" i="124"/>
  <c r="AR76" i="124" s="1"/>
  <c r="AT76" i="124"/>
  <c r="Y76" i="124"/>
  <c r="Z76" i="124" s="1"/>
  <c r="R76" i="124"/>
  <c r="T76" i="124" s="1"/>
  <c r="BA76" i="124"/>
  <c r="BB76" i="124" s="1"/>
  <c r="AY76" i="124"/>
  <c r="AH76" i="124"/>
  <c r="AI76" i="124" s="1"/>
  <c r="P76" i="124"/>
  <c r="BG76" i="124"/>
  <c r="BH76" i="124" s="1"/>
  <c r="BD76" i="124"/>
  <c r="BE76" i="124" s="1"/>
  <c r="AK76" i="124"/>
  <c r="AL76" i="124" s="1"/>
  <c r="AV76" i="124"/>
  <c r="AW76" i="124" s="1"/>
  <c r="V76" i="124"/>
  <c r="W76" i="124" s="1"/>
  <c r="O76" i="124"/>
  <c r="BQ76" i="124"/>
  <c r="BR76" i="124" s="1"/>
  <c r="AN76" i="124"/>
  <c r="AO76" i="124" s="1"/>
  <c r="AB76" i="124"/>
  <c r="AC76" i="124" s="1"/>
  <c r="BL70" i="13"/>
  <c r="M70" i="13"/>
  <c r="BN70" i="13"/>
  <c r="BO70" i="13" s="1"/>
  <c r="BQ70" i="13"/>
  <c r="BR70" i="13" s="1"/>
  <c r="BD70" i="13"/>
  <c r="BE70" i="13" s="1"/>
  <c r="AT70" i="13"/>
  <c r="AK70" i="13"/>
  <c r="AL70" i="13" s="1"/>
  <c r="BG70" i="13"/>
  <c r="BH70" i="13" s="1"/>
  <c r="AV70" i="13"/>
  <c r="AW70" i="13" s="1"/>
  <c r="P70" i="13"/>
  <c r="AE70" i="13"/>
  <c r="AF70" i="13" s="1"/>
  <c r="O70" i="13"/>
  <c r="AN70" i="13"/>
  <c r="AO70" i="13" s="1"/>
  <c r="R70" i="13"/>
  <c r="T70" i="13" s="1"/>
  <c r="BA70" i="13"/>
  <c r="BB70" i="13" s="1"/>
  <c r="AQ70" i="13"/>
  <c r="AR70" i="13" s="1"/>
  <c r="AB70" i="13"/>
  <c r="AC70" i="13" s="1"/>
  <c r="V70" i="13"/>
  <c r="W70" i="13" s="1"/>
  <c r="AH70" i="13"/>
  <c r="AI70" i="13" s="1"/>
  <c r="Y70" i="13"/>
  <c r="Z70" i="13" s="1"/>
  <c r="AY70" i="13"/>
  <c r="M74" i="136"/>
  <c r="BN74" i="136"/>
  <c r="BO74" i="136" s="1"/>
  <c r="BL74" i="136"/>
  <c r="AT74" i="136"/>
  <c r="AQ74" i="136"/>
  <c r="AR74" i="136" s="1"/>
  <c r="AV74" i="136"/>
  <c r="AW74" i="136" s="1"/>
  <c r="V74" i="136"/>
  <c r="W74" i="136" s="1"/>
  <c r="O74" i="136"/>
  <c r="AB74" i="136"/>
  <c r="AC74" i="136" s="1"/>
  <c r="AN74" i="136"/>
  <c r="AO74" i="136" s="1"/>
  <c r="AH74" i="136"/>
  <c r="AI74" i="136" s="1"/>
  <c r="P74" i="136"/>
  <c r="BQ74" i="136"/>
  <c r="BR74" i="136" s="1"/>
  <c r="BG74" i="136"/>
  <c r="BH74" i="136" s="1"/>
  <c r="AK74" i="136"/>
  <c r="AL74" i="136" s="1"/>
  <c r="R74" i="136"/>
  <c r="T74" i="136" s="1"/>
  <c r="BD74" i="136"/>
  <c r="BE74" i="136" s="1"/>
  <c r="Y74" i="136"/>
  <c r="Z74" i="136" s="1"/>
  <c r="BA74" i="136"/>
  <c r="BB74" i="136" s="1"/>
  <c r="AE74" i="136"/>
  <c r="AF74" i="136" s="1"/>
  <c r="AY74" i="136"/>
  <c r="K75" i="136"/>
  <c r="M71" i="118"/>
  <c r="K72" i="118"/>
  <c r="BN71" i="118"/>
  <c r="BO71" i="118" s="1"/>
  <c r="BQ71" i="118"/>
  <c r="BR71" i="118" s="1"/>
  <c r="O71" i="118"/>
  <c r="AN71" i="118"/>
  <c r="AO71" i="118" s="1"/>
  <c r="AQ71" i="118"/>
  <c r="AR71" i="118" s="1"/>
  <c r="Y71" i="118"/>
  <c r="Z71" i="118" s="1"/>
  <c r="AY71" i="118"/>
  <c r="AH71" i="118"/>
  <c r="AI71" i="118" s="1"/>
  <c r="AK71" i="118"/>
  <c r="AL71" i="118" s="1"/>
  <c r="V71" i="118"/>
  <c r="W71" i="118" s="1"/>
  <c r="AT71" i="118"/>
  <c r="BA71" i="118"/>
  <c r="BB71" i="118" s="1"/>
  <c r="AE71" i="118"/>
  <c r="AF71" i="118" s="1"/>
  <c r="BD71" i="118"/>
  <c r="BE71" i="118" s="1"/>
  <c r="P71" i="118"/>
  <c r="R71" i="118"/>
  <c r="T71" i="118" s="1"/>
  <c r="AB71" i="118"/>
  <c r="AC71" i="118" s="1"/>
  <c r="AV71" i="118"/>
  <c r="AW71" i="118" s="1"/>
  <c r="BG71" i="118"/>
  <c r="BH71" i="118" s="1"/>
  <c r="M73" i="135"/>
  <c r="BD73" i="135"/>
  <c r="BE73" i="135" s="1"/>
  <c r="R73" i="135"/>
  <c r="T73" i="135" s="1"/>
  <c r="AN73" i="135"/>
  <c r="AO73" i="135" s="1"/>
  <c r="AT73" i="135"/>
  <c r="V73" i="135"/>
  <c r="W73" i="135" s="1"/>
  <c r="AV73" i="135"/>
  <c r="AW73" i="135" s="1"/>
  <c r="BQ73" i="135"/>
  <c r="BR73" i="135" s="1"/>
  <c r="AE73" i="135"/>
  <c r="AF73" i="135" s="1"/>
  <c r="BG73" i="135"/>
  <c r="BH73" i="135" s="1"/>
  <c r="AB73" i="135"/>
  <c r="AC73" i="135" s="1"/>
  <c r="P73" i="135"/>
  <c r="O73" i="135"/>
  <c r="AH73" i="135"/>
  <c r="AI73" i="135" s="1"/>
  <c r="AK73" i="135"/>
  <c r="AL73" i="135" s="1"/>
  <c r="Y73" i="135"/>
  <c r="Z73" i="135" s="1"/>
  <c r="AQ73" i="135"/>
  <c r="AR73" i="135" s="1"/>
  <c r="BN73" i="135"/>
  <c r="BO73" i="135" s="1"/>
  <c r="BA73" i="135"/>
  <c r="BB73" i="135" s="1"/>
  <c r="AY73" i="135"/>
  <c r="BL73" i="135"/>
  <c r="I79" i="132"/>
  <c r="K71" i="66"/>
  <c r="I72" i="66"/>
  <c r="K71" i="13"/>
  <c r="I72" i="13"/>
  <c r="I77" i="63"/>
  <c r="I76" i="104"/>
  <c r="I78" i="114"/>
  <c r="BJ72" i="114"/>
  <c r="BL72" i="114" s="1"/>
  <c r="BN72" i="114"/>
  <c r="BO72" i="114" s="1"/>
  <c r="BK72" i="114"/>
  <c r="M72" i="114"/>
  <c r="AN72" i="114"/>
  <c r="AO72" i="114" s="1"/>
  <c r="Y72" i="114"/>
  <c r="Z72" i="114" s="1"/>
  <c r="O72" i="114"/>
  <c r="BD72" i="114"/>
  <c r="BE72" i="114" s="1"/>
  <c r="P72" i="114"/>
  <c r="AB72" i="114"/>
  <c r="AC72" i="114" s="1"/>
  <c r="AV72" i="114"/>
  <c r="AW72" i="114" s="1"/>
  <c r="AH72" i="114"/>
  <c r="AI72" i="114" s="1"/>
  <c r="AT72" i="114"/>
  <c r="BA72" i="114"/>
  <c r="BB72" i="114" s="1"/>
  <c r="BQ72" i="114"/>
  <c r="BR72" i="114" s="1"/>
  <c r="AK72" i="114"/>
  <c r="AL72" i="114" s="1"/>
  <c r="V72" i="114"/>
  <c r="W72" i="114" s="1"/>
  <c r="AQ72" i="114"/>
  <c r="AR72" i="114" s="1"/>
  <c r="AE72" i="114"/>
  <c r="AF72" i="114" s="1"/>
  <c r="AY72" i="114"/>
  <c r="BG72" i="114"/>
  <c r="BH72" i="114" s="1"/>
  <c r="R72" i="114"/>
  <c r="T72" i="114" s="1"/>
  <c r="K73" i="114"/>
  <c r="I75" i="135"/>
  <c r="K74" i="135"/>
  <c r="I81" i="95"/>
  <c r="M72" i="63"/>
  <c r="BN72" i="63"/>
  <c r="BO72" i="63" s="1"/>
  <c r="AY72" i="63"/>
  <c r="AT72" i="63"/>
  <c r="O72" i="63"/>
  <c r="AK72" i="63"/>
  <c r="AL72" i="63" s="1"/>
  <c r="BG72" i="63"/>
  <c r="BH72" i="63" s="1"/>
  <c r="AE72" i="63"/>
  <c r="AF72" i="63" s="1"/>
  <c r="BA72" i="63"/>
  <c r="BB72" i="63" s="1"/>
  <c r="V72" i="63"/>
  <c r="W72" i="63" s="1"/>
  <c r="BD72" i="63"/>
  <c r="BE72" i="63" s="1"/>
  <c r="AN72" i="63"/>
  <c r="AO72" i="63" s="1"/>
  <c r="AV72" i="63"/>
  <c r="AW72" i="63" s="1"/>
  <c r="AH72" i="63"/>
  <c r="AI72" i="63" s="1"/>
  <c r="R72" i="63"/>
  <c r="T72" i="63" s="1"/>
  <c r="AQ72" i="63"/>
  <c r="AR72" i="63" s="1"/>
  <c r="AB72" i="63"/>
  <c r="AC72" i="63" s="1"/>
  <c r="BQ72" i="63"/>
  <c r="BR72" i="63" s="1"/>
  <c r="P72" i="63"/>
  <c r="Y72" i="63"/>
  <c r="Z72" i="63" s="1"/>
  <c r="BL72" i="63"/>
  <c r="K73" i="63"/>
  <c r="I78" i="64"/>
  <c r="BN70" i="17"/>
  <c r="BO70" i="17" s="1"/>
  <c r="BL70" i="17"/>
  <c r="M70" i="17"/>
  <c r="AQ70" i="17"/>
  <c r="AR70" i="17" s="1"/>
  <c r="BD70" i="17"/>
  <c r="BE70" i="17" s="1"/>
  <c r="AH70" i="17"/>
  <c r="AI70" i="17" s="1"/>
  <c r="O70" i="17"/>
  <c r="BG70" i="17"/>
  <c r="BH70" i="17" s="1"/>
  <c r="BQ70" i="17"/>
  <c r="BR70" i="17" s="1"/>
  <c r="V70" i="17"/>
  <c r="W70" i="17" s="1"/>
  <c r="AY70" i="17"/>
  <c r="AK70" i="17"/>
  <c r="AL70" i="17" s="1"/>
  <c r="AV70" i="17"/>
  <c r="AW70" i="17" s="1"/>
  <c r="R70" i="17"/>
  <c r="T70" i="17" s="1"/>
  <c r="P70" i="17"/>
  <c r="AE70" i="17"/>
  <c r="AF70" i="17" s="1"/>
  <c r="AB70" i="17"/>
  <c r="AC70" i="17" s="1"/>
  <c r="AN70" i="17"/>
  <c r="AO70" i="17" s="1"/>
  <c r="BA70" i="17"/>
  <c r="BB70" i="17" s="1"/>
  <c r="Y70" i="17"/>
  <c r="Z70" i="17" s="1"/>
  <c r="AT70" i="17"/>
  <c r="I76" i="15"/>
  <c r="I77" i="126"/>
  <c r="K73" i="96"/>
  <c r="I74" i="96"/>
  <c r="M71" i="101"/>
  <c r="AH71" i="101"/>
  <c r="AI71" i="101" s="1"/>
  <c r="BD71" i="101"/>
  <c r="BE71" i="101" s="1"/>
  <c r="AQ71" i="101"/>
  <c r="AR71" i="101" s="1"/>
  <c r="AV71" i="101"/>
  <c r="AW71" i="101" s="1"/>
  <c r="AB71" i="101"/>
  <c r="AC71" i="101" s="1"/>
  <c r="P71" i="101"/>
  <c r="AT71" i="101"/>
  <c r="BQ71" i="101"/>
  <c r="BR71" i="101" s="1"/>
  <c r="O71" i="101"/>
  <c r="R71" i="101"/>
  <c r="T71" i="101" s="1"/>
  <c r="AN71" i="101"/>
  <c r="AO71" i="101" s="1"/>
  <c r="Y71" i="101"/>
  <c r="Z71" i="101" s="1"/>
  <c r="BA71" i="101"/>
  <c r="BB71" i="101" s="1"/>
  <c r="AE71" i="101"/>
  <c r="AF71" i="101" s="1"/>
  <c r="AY71" i="101"/>
  <c r="BG71" i="101"/>
  <c r="BH71" i="101" s="1"/>
  <c r="AK71" i="101"/>
  <c r="AL71" i="101" s="1"/>
  <c r="V71" i="101"/>
  <c r="W71" i="101" s="1"/>
  <c r="M72" i="110"/>
  <c r="BN72" i="110"/>
  <c r="BO72" i="110" s="1"/>
  <c r="BJ72" i="110"/>
  <c r="BL72" i="110" s="1"/>
  <c r="BK72" i="110"/>
  <c r="AV72" i="110"/>
  <c r="AW72" i="110" s="1"/>
  <c r="AQ72" i="110"/>
  <c r="AR72" i="110" s="1"/>
  <c r="Y72" i="110"/>
  <c r="Z72" i="110" s="1"/>
  <c r="BQ72" i="110"/>
  <c r="BR72" i="110" s="1"/>
  <c r="P72" i="110"/>
  <c r="R72" i="110"/>
  <c r="T72" i="110" s="1"/>
  <c r="AY72" i="110"/>
  <c r="AT72" i="110"/>
  <c r="AK72" i="110"/>
  <c r="AL72" i="110" s="1"/>
  <c r="V72" i="110"/>
  <c r="W72" i="110" s="1"/>
  <c r="AB72" i="110"/>
  <c r="AC72" i="110" s="1"/>
  <c r="AE72" i="110"/>
  <c r="AF72" i="110" s="1"/>
  <c r="O72" i="110"/>
  <c r="AN72" i="110"/>
  <c r="AO72" i="110" s="1"/>
  <c r="BD72" i="110"/>
  <c r="BE72" i="110" s="1"/>
  <c r="BA72" i="110"/>
  <c r="BB72" i="110" s="1"/>
  <c r="BG72" i="110"/>
  <c r="BH72" i="110" s="1"/>
  <c r="AH72" i="110"/>
  <c r="AI72" i="110" s="1"/>
  <c r="M72" i="115"/>
  <c r="BJ72" i="115"/>
  <c r="BL72" i="115" s="1"/>
  <c r="BN72" i="115"/>
  <c r="BO72" i="115" s="1"/>
  <c r="BK72" i="115"/>
  <c r="BG72" i="115"/>
  <c r="BH72" i="115" s="1"/>
  <c r="AY72" i="115"/>
  <c r="V72" i="115"/>
  <c r="W72" i="115" s="1"/>
  <c r="AK72" i="115"/>
  <c r="AL72" i="115" s="1"/>
  <c r="BA72" i="115"/>
  <c r="BB72" i="115" s="1"/>
  <c r="R72" i="115"/>
  <c r="T72" i="115" s="1"/>
  <c r="AT72" i="115"/>
  <c r="AQ72" i="115"/>
  <c r="AR72" i="115" s="1"/>
  <c r="BQ72" i="115"/>
  <c r="BR72" i="115" s="1"/>
  <c r="AB72" i="115"/>
  <c r="AC72" i="115" s="1"/>
  <c r="Y72" i="115"/>
  <c r="Z72" i="115" s="1"/>
  <c r="O72" i="115"/>
  <c r="BD72" i="115"/>
  <c r="BE72" i="115" s="1"/>
  <c r="AN72" i="115"/>
  <c r="AO72" i="115" s="1"/>
  <c r="AV72" i="115"/>
  <c r="AW72" i="115" s="1"/>
  <c r="AH72" i="115"/>
  <c r="AI72" i="115" s="1"/>
  <c r="P72" i="115"/>
  <c r="AE72" i="115"/>
  <c r="AF72" i="115" s="1"/>
  <c r="I72" i="17"/>
  <c r="K71" i="17"/>
  <c r="I78" i="107" l="1"/>
  <c r="K77" i="107"/>
  <c r="M76" i="107"/>
  <c r="V76" i="107"/>
  <c r="W76" i="107" s="1"/>
  <c r="BA76" i="107"/>
  <c r="BB76" i="107" s="1"/>
  <c r="O76" i="107"/>
  <c r="AY76" i="107"/>
  <c r="BN76" i="107"/>
  <c r="BO76" i="107" s="1"/>
  <c r="BG76" i="107"/>
  <c r="BH76" i="107" s="1"/>
  <c r="AB76" i="107"/>
  <c r="AC76" i="107" s="1"/>
  <c r="AT76" i="107"/>
  <c r="BJ76" i="107"/>
  <c r="BL76" i="107" s="1"/>
  <c r="AE76" i="107"/>
  <c r="AF76" i="107" s="1"/>
  <c r="R76" i="107"/>
  <c r="T76" i="107" s="1"/>
  <c r="AQ76" i="107"/>
  <c r="AR76" i="107" s="1"/>
  <c r="BQ76" i="107"/>
  <c r="BR76" i="107" s="1"/>
  <c r="AK76" i="107"/>
  <c r="AL76" i="107" s="1"/>
  <c r="AV76" i="107"/>
  <c r="AW76" i="107" s="1"/>
  <c r="Y76" i="107"/>
  <c r="Z76" i="107" s="1"/>
  <c r="AH76" i="107"/>
  <c r="AI76" i="107" s="1"/>
  <c r="BK76" i="107"/>
  <c r="BD76" i="107"/>
  <c r="BE76" i="107" s="1"/>
  <c r="AN76" i="107"/>
  <c r="AO76" i="107" s="1"/>
  <c r="P76" i="107"/>
  <c r="BA74" i="132"/>
  <c r="BB74" i="132" s="1"/>
  <c r="AQ74" i="132"/>
  <c r="AR74" i="132" s="1"/>
  <c r="AH74" i="132"/>
  <c r="AI74" i="132" s="1"/>
  <c r="M74" i="132"/>
  <c r="BG74" i="132"/>
  <c r="BH74" i="132" s="1"/>
  <c r="R74" i="132"/>
  <c r="T74" i="132" s="1"/>
  <c r="AY74" i="132"/>
  <c r="AV74" i="132"/>
  <c r="AW74" i="132" s="1"/>
  <c r="Y74" i="132"/>
  <c r="Z74" i="132" s="1"/>
  <c r="AN74" i="132"/>
  <c r="AO74" i="132" s="1"/>
  <c r="BQ74" i="132"/>
  <c r="BR74" i="132" s="1"/>
  <c r="AE74" i="132"/>
  <c r="AF74" i="132" s="1"/>
  <c r="P74" i="132"/>
  <c r="V74" i="132"/>
  <c r="W74" i="132" s="1"/>
  <c r="AB74" i="132"/>
  <c r="AC74" i="132" s="1"/>
  <c r="AK74" i="132"/>
  <c r="AL74" i="132" s="1"/>
  <c r="O74" i="132"/>
  <c r="BD74" i="132"/>
  <c r="BE74" i="132" s="1"/>
  <c r="AT74" i="132"/>
  <c r="BL74" i="132"/>
  <c r="K75" i="132"/>
  <c r="BN74" i="132"/>
  <c r="BO74" i="132" s="1"/>
  <c r="AK74" i="99"/>
  <c r="AL74" i="99" s="1"/>
  <c r="BG74" i="99"/>
  <c r="BH74" i="99" s="1"/>
  <c r="AN74" i="99"/>
  <c r="AO74" i="99" s="1"/>
  <c r="BA74" i="99"/>
  <c r="BB74" i="99" s="1"/>
  <c r="BJ74" i="99"/>
  <c r="BL74" i="99" s="1"/>
  <c r="AV74" i="99"/>
  <c r="AW74" i="99" s="1"/>
  <c r="AE74" i="99"/>
  <c r="AF74" i="99" s="1"/>
  <c r="AH74" i="99"/>
  <c r="AI74" i="99" s="1"/>
  <c r="P74" i="99"/>
  <c r="BN74" i="99"/>
  <c r="BO74" i="99" s="1"/>
  <c r="AT74" i="99"/>
  <c r="O74" i="99"/>
  <c r="K75" i="99"/>
  <c r="AQ74" i="99"/>
  <c r="AR74" i="99" s="1"/>
  <c r="BK74" i="99"/>
  <c r="BQ74" i="99"/>
  <c r="BR74" i="99" s="1"/>
  <c r="V74" i="99"/>
  <c r="W74" i="99" s="1"/>
  <c r="Y74" i="99"/>
  <c r="Z74" i="99" s="1"/>
  <c r="M74" i="99"/>
  <c r="R74" i="99"/>
  <c r="T74" i="99" s="1"/>
  <c r="BD74" i="99"/>
  <c r="BE74" i="99" s="1"/>
  <c r="AY74" i="99"/>
  <c r="AB74" i="99"/>
  <c r="AC74" i="99" s="1"/>
  <c r="BG107" i="161"/>
  <c r="BH107" i="161" s="1"/>
  <c r="BA107" i="161"/>
  <c r="BB107" i="161" s="1"/>
  <c r="BR107" i="161"/>
  <c r="AV107" i="161"/>
  <c r="AW107" i="161" s="1"/>
  <c r="P107" i="161"/>
  <c r="BD107" i="161"/>
  <c r="BE107" i="161" s="1"/>
  <c r="AT107" i="161"/>
  <c r="AN107" i="161"/>
  <c r="AO107" i="161" s="1"/>
  <c r="AH107" i="161"/>
  <c r="AI107" i="161" s="1"/>
  <c r="AB107" i="161"/>
  <c r="AC107" i="161" s="1"/>
  <c r="V107" i="161"/>
  <c r="W107" i="161" s="1"/>
  <c r="O107" i="161"/>
  <c r="AY107" i="161"/>
  <c r="AE107" i="161"/>
  <c r="AF107" i="161" s="1"/>
  <c r="Y107" i="161"/>
  <c r="Z107" i="161" s="1"/>
  <c r="AQ107" i="161"/>
  <c r="AR107" i="161" s="1"/>
  <c r="R107" i="161"/>
  <c r="T107" i="161" s="1"/>
  <c r="AK107" i="161"/>
  <c r="AL107" i="161" s="1"/>
  <c r="BK107" i="161"/>
  <c r="BJ107" i="161"/>
  <c r="BL107" i="161" s="1"/>
  <c r="BN107" i="161"/>
  <c r="BO107" i="161" s="1"/>
  <c r="M107" i="161"/>
  <c r="I109" i="161"/>
  <c r="K108" i="161"/>
  <c r="BQ108" i="161" s="1"/>
  <c r="K78" i="156"/>
  <c r="AY78" i="156" s="1"/>
  <c r="I79" i="156"/>
  <c r="BQ77" i="156"/>
  <c r="BR77" i="156" s="1"/>
  <c r="BA77" i="156"/>
  <c r="BB77" i="156" s="1"/>
  <c r="AQ77" i="156"/>
  <c r="AR77" i="156" s="1"/>
  <c r="R77" i="156"/>
  <c r="T77" i="156" s="1"/>
  <c r="O77" i="156"/>
  <c r="BG77" i="156"/>
  <c r="BH77" i="156" s="1"/>
  <c r="AK77" i="156"/>
  <c r="AL77" i="156" s="1"/>
  <c r="V77" i="156"/>
  <c r="W77" i="156" s="1"/>
  <c r="P77" i="156"/>
  <c r="Y77" i="156"/>
  <c r="Z77" i="156" s="1"/>
  <c r="AB77" i="156"/>
  <c r="AC77" i="156" s="1"/>
  <c r="AV77" i="156"/>
  <c r="AW77" i="156" s="1"/>
  <c r="AE77" i="156"/>
  <c r="AF77" i="156" s="1"/>
  <c r="M77" i="156"/>
  <c r="AH77" i="156"/>
  <c r="AI77" i="156" s="1"/>
  <c r="BN77" i="156"/>
  <c r="BO77" i="156" s="1"/>
  <c r="BD77" i="156"/>
  <c r="BE77" i="156" s="1"/>
  <c r="AN77" i="156"/>
  <c r="AO77" i="156" s="1"/>
  <c r="BL77" i="156"/>
  <c r="I79" i="106"/>
  <c r="BK72" i="112"/>
  <c r="P72" i="112"/>
  <c r="AE72" i="112"/>
  <c r="AF72" i="112" s="1"/>
  <c r="AH72" i="112"/>
  <c r="AI72" i="112" s="1"/>
  <c r="BJ72" i="112"/>
  <c r="BL72" i="112" s="1"/>
  <c r="AK72" i="112"/>
  <c r="AL72" i="112" s="1"/>
  <c r="BN72" i="112"/>
  <c r="BO72" i="112" s="1"/>
  <c r="K73" i="112"/>
  <c r="BG72" i="112"/>
  <c r="BH72" i="112" s="1"/>
  <c r="AY72" i="112"/>
  <c r="O72" i="112"/>
  <c r="BD72" i="112"/>
  <c r="BE72" i="112" s="1"/>
  <c r="V72" i="112"/>
  <c r="W72" i="112" s="1"/>
  <c r="Y72" i="112"/>
  <c r="Z72" i="112" s="1"/>
  <c r="AQ72" i="112"/>
  <c r="AR72" i="112" s="1"/>
  <c r="R72" i="112"/>
  <c r="T72" i="112" s="1"/>
  <c r="AV72" i="112"/>
  <c r="AW72" i="112" s="1"/>
  <c r="BA72" i="112"/>
  <c r="BB72" i="112" s="1"/>
  <c r="M72" i="112"/>
  <c r="BQ72" i="112"/>
  <c r="BR72" i="112" s="1"/>
  <c r="AN72" i="112"/>
  <c r="AO72" i="112" s="1"/>
  <c r="AT72" i="112"/>
  <c r="AB72" i="112"/>
  <c r="AC72" i="112" s="1"/>
  <c r="AH75" i="133"/>
  <c r="AI75" i="133" s="1"/>
  <c r="AK75" i="133"/>
  <c r="AL75" i="133" s="1"/>
  <c r="AQ75" i="133"/>
  <c r="AR75" i="133" s="1"/>
  <c r="M75" i="133"/>
  <c r="V75" i="133"/>
  <c r="W75" i="133" s="1"/>
  <c r="P75" i="133"/>
  <c r="BQ75" i="133"/>
  <c r="BR75" i="133" s="1"/>
  <c r="BA75" i="133"/>
  <c r="BB75" i="133" s="1"/>
  <c r="BG75" i="133"/>
  <c r="BH75" i="133" s="1"/>
  <c r="R75" i="133"/>
  <c r="T75" i="133" s="1"/>
  <c r="Y75" i="133"/>
  <c r="Z75" i="133" s="1"/>
  <c r="BN75" i="133"/>
  <c r="BO75" i="133" s="1"/>
  <c r="AT75" i="133"/>
  <c r="AN75" i="133"/>
  <c r="AO75" i="133" s="1"/>
  <c r="O75" i="133"/>
  <c r="BD75" i="133"/>
  <c r="BE75" i="133" s="1"/>
  <c r="BL75" i="133"/>
  <c r="AV75" i="133"/>
  <c r="AW75" i="133" s="1"/>
  <c r="AB75" i="133"/>
  <c r="AC75" i="133" s="1"/>
  <c r="AE75" i="133"/>
  <c r="AF75" i="133" s="1"/>
  <c r="AY75" i="133"/>
  <c r="K76" i="133"/>
  <c r="AH73" i="129"/>
  <c r="AI73" i="129" s="1"/>
  <c r="BA73" i="129"/>
  <c r="BB73" i="129" s="1"/>
  <c r="V73" i="129"/>
  <c r="W73" i="129" s="1"/>
  <c r="BD73" i="129"/>
  <c r="BE73" i="129" s="1"/>
  <c r="AQ73" i="129"/>
  <c r="AR73" i="129" s="1"/>
  <c r="AV73" i="129"/>
  <c r="AW73" i="129" s="1"/>
  <c r="AB73" i="129"/>
  <c r="AC73" i="129" s="1"/>
  <c r="P73" i="129"/>
  <c r="BQ73" i="129"/>
  <c r="BR73" i="129" s="1"/>
  <c r="R73" i="129"/>
  <c r="T73" i="129" s="1"/>
  <c r="M73" i="129"/>
  <c r="AY73" i="129"/>
  <c r="Y73" i="129"/>
  <c r="Z73" i="129" s="1"/>
  <c r="AT73" i="129"/>
  <c r="K74" i="129"/>
  <c r="AK73" i="129"/>
  <c r="AL73" i="129" s="1"/>
  <c r="BG73" i="129"/>
  <c r="BH73" i="129" s="1"/>
  <c r="AE73" i="129"/>
  <c r="AF73" i="129" s="1"/>
  <c r="BN73" i="129"/>
  <c r="BO73" i="129" s="1"/>
  <c r="AN73" i="129"/>
  <c r="AO73" i="129" s="1"/>
  <c r="O73" i="129"/>
  <c r="BL73" i="129"/>
  <c r="BJ72" i="106"/>
  <c r="BL72" i="106" s="1"/>
  <c r="R72" i="106"/>
  <c r="T72" i="106" s="1"/>
  <c r="BQ72" i="106"/>
  <c r="BR72" i="106" s="1"/>
  <c r="AQ72" i="106"/>
  <c r="AR72" i="106" s="1"/>
  <c r="BK72" i="106"/>
  <c r="P72" i="106"/>
  <c r="BG72" i="106"/>
  <c r="BH72" i="106" s="1"/>
  <c r="O72" i="106"/>
  <c r="AK72" i="106"/>
  <c r="AL72" i="106" s="1"/>
  <c r="Y72" i="106"/>
  <c r="Z72" i="106" s="1"/>
  <c r="AN72" i="106"/>
  <c r="AO72" i="106" s="1"/>
  <c r="AT72" i="106"/>
  <c r="AE72" i="106"/>
  <c r="AF72" i="106" s="1"/>
  <c r="BD72" i="106"/>
  <c r="BE72" i="106" s="1"/>
  <c r="AY72" i="106"/>
  <c r="BN72" i="106"/>
  <c r="BO72" i="106" s="1"/>
  <c r="BA72" i="106"/>
  <c r="BB72" i="106" s="1"/>
  <c r="V72" i="106"/>
  <c r="W72" i="106" s="1"/>
  <c r="M72" i="106"/>
  <c r="AH72" i="106"/>
  <c r="AI72" i="106" s="1"/>
  <c r="AV72" i="106"/>
  <c r="AW72" i="106" s="1"/>
  <c r="AB72" i="106"/>
  <c r="AC72" i="106" s="1"/>
  <c r="K73" i="106"/>
  <c r="BN72" i="104"/>
  <c r="BO72" i="104" s="1"/>
  <c r="O72" i="104"/>
  <c r="BQ72" i="104"/>
  <c r="BR72" i="104" s="1"/>
  <c r="BD72" i="104"/>
  <c r="BE72" i="104" s="1"/>
  <c r="BA72" i="104"/>
  <c r="BB72" i="104" s="1"/>
  <c r="AK72" i="104"/>
  <c r="AL72" i="104" s="1"/>
  <c r="R72" i="104"/>
  <c r="T72" i="104" s="1"/>
  <c r="AQ72" i="104"/>
  <c r="AR72" i="104" s="1"/>
  <c r="V72" i="104"/>
  <c r="W72" i="104" s="1"/>
  <c r="P72" i="104"/>
  <c r="BG72" i="104"/>
  <c r="BH72" i="104" s="1"/>
  <c r="BJ72" i="104"/>
  <c r="BL72" i="104" s="1"/>
  <c r="AY72" i="104"/>
  <c r="M72" i="104"/>
  <c r="AE72" i="104"/>
  <c r="AF72" i="104" s="1"/>
  <c r="AB72" i="104"/>
  <c r="AC72" i="104" s="1"/>
  <c r="AH72" i="104"/>
  <c r="AI72" i="104" s="1"/>
  <c r="K73" i="104"/>
  <c r="BK72" i="104"/>
  <c r="Y72" i="104"/>
  <c r="Z72" i="104" s="1"/>
  <c r="AV72" i="104"/>
  <c r="AW72" i="104" s="1"/>
  <c r="AT72" i="104"/>
  <c r="AN72" i="104"/>
  <c r="AO72" i="104" s="1"/>
  <c r="M71" i="95"/>
  <c r="BG71" i="95"/>
  <c r="BH71" i="95" s="1"/>
  <c r="BA71" i="95"/>
  <c r="BB71" i="95" s="1"/>
  <c r="R71" i="95"/>
  <c r="T71" i="95" s="1"/>
  <c r="BN71" i="95"/>
  <c r="BO71" i="95" s="1"/>
  <c r="AK71" i="95"/>
  <c r="AL71" i="95" s="1"/>
  <c r="AH71" i="95"/>
  <c r="AI71" i="95" s="1"/>
  <c r="BD71" i="95"/>
  <c r="BE71" i="95" s="1"/>
  <c r="BL71" i="95"/>
  <c r="Y71" i="95"/>
  <c r="Z71" i="95" s="1"/>
  <c r="P71" i="95"/>
  <c r="K72" i="95"/>
  <c r="BQ71" i="95"/>
  <c r="BR71" i="95" s="1"/>
  <c r="V71" i="95"/>
  <c r="W71" i="95" s="1"/>
  <c r="AB71" i="95"/>
  <c r="AC71" i="95" s="1"/>
  <c r="AN71" i="95"/>
  <c r="AO71" i="95" s="1"/>
  <c r="AT71" i="95"/>
  <c r="AV71" i="95"/>
  <c r="AW71" i="95" s="1"/>
  <c r="AE71" i="95"/>
  <c r="AF71" i="95" s="1"/>
  <c r="O71" i="95"/>
  <c r="AQ71" i="95"/>
  <c r="AR71" i="95" s="1"/>
  <c r="K74" i="130"/>
  <c r="BL73" i="130"/>
  <c r="M73" i="130"/>
  <c r="BN73" i="130"/>
  <c r="BO73" i="130" s="1"/>
  <c r="O73" i="130"/>
  <c r="AV73" i="130"/>
  <c r="AW73" i="130" s="1"/>
  <c r="BA73" i="130"/>
  <c r="BB73" i="130" s="1"/>
  <c r="AB73" i="130"/>
  <c r="AC73" i="130" s="1"/>
  <c r="AE73" i="130"/>
  <c r="AF73" i="130" s="1"/>
  <c r="AH73" i="130"/>
  <c r="AI73" i="130" s="1"/>
  <c r="AT73" i="130"/>
  <c r="BG73" i="130"/>
  <c r="BH73" i="130" s="1"/>
  <c r="BQ73" i="130"/>
  <c r="BR73" i="130" s="1"/>
  <c r="V73" i="130"/>
  <c r="W73" i="130" s="1"/>
  <c r="Y73" i="130"/>
  <c r="Z73" i="130" s="1"/>
  <c r="AN73" i="130"/>
  <c r="AO73" i="130" s="1"/>
  <c r="AY73" i="130"/>
  <c r="AQ73" i="130"/>
  <c r="AR73" i="130" s="1"/>
  <c r="P73" i="130"/>
  <c r="R73" i="130"/>
  <c r="T73" i="130" s="1"/>
  <c r="AK73" i="130"/>
  <c r="AL73" i="130" s="1"/>
  <c r="BD73" i="130"/>
  <c r="BE73" i="130" s="1"/>
  <c r="AT16" i="155"/>
  <c r="AT45" i="155"/>
  <c r="AT20" i="155"/>
  <c r="AT43" i="155"/>
  <c r="AT52" i="155"/>
  <c r="AT40" i="155"/>
  <c r="AT32" i="155"/>
  <c r="AT31" i="155"/>
  <c r="AT48" i="155"/>
  <c r="AT24" i="155"/>
  <c r="AT36" i="155"/>
  <c r="AT44" i="155"/>
  <c r="AT18" i="155"/>
  <c r="AT54" i="155"/>
  <c r="AT33" i="155"/>
  <c r="AT39" i="155"/>
  <c r="AT47" i="155"/>
  <c r="AT17" i="155"/>
  <c r="AT21" i="155"/>
  <c r="AT25" i="155"/>
  <c r="AT38" i="155"/>
  <c r="AT19" i="155"/>
  <c r="AT29" i="155"/>
  <c r="AT49" i="155"/>
  <c r="AT22" i="155"/>
  <c r="AT41" i="155"/>
  <c r="AT46" i="155"/>
  <c r="AT37" i="155"/>
  <c r="AT35" i="155"/>
  <c r="AT30" i="155"/>
  <c r="AT34" i="155"/>
  <c r="AT27" i="155"/>
  <c r="AT51" i="155"/>
  <c r="AT23" i="155"/>
  <c r="AT53" i="155"/>
  <c r="AT42" i="155"/>
  <c r="AT50" i="155"/>
  <c r="AT28" i="155"/>
  <c r="AT26" i="155"/>
  <c r="AT25" i="151"/>
  <c r="AT28" i="151"/>
  <c r="AT27" i="151"/>
  <c r="AT26" i="151"/>
  <c r="AT30" i="151"/>
  <c r="AT29" i="151"/>
  <c r="AT31" i="151"/>
  <c r="AT32" i="151"/>
  <c r="AT33" i="151"/>
  <c r="AT34" i="151"/>
  <c r="AT35" i="151"/>
  <c r="AT37" i="151"/>
  <c r="AT36" i="151"/>
  <c r="AT38" i="151"/>
  <c r="AT40" i="151"/>
  <c r="AT41" i="151"/>
  <c r="AT39" i="151"/>
  <c r="AT42" i="151"/>
  <c r="AT43" i="151"/>
  <c r="AT45" i="151"/>
  <c r="AT44" i="151"/>
  <c r="AT46" i="151"/>
  <c r="AT48" i="151"/>
  <c r="AT47" i="151"/>
  <c r="AT49" i="151"/>
  <c r="AT50" i="151"/>
  <c r="AT51" i="151"/>
  <c r="AT53" i="151"/>
  <c r="AT52" i="151"/>
  <c r="AT54" i="151"/>
  <c r="K79" i="155"/>
  <c r="I80" i="155"/>
  <c r="O78" i="155"/>
  <c r="V78" i="155"/>
  <c r="W78" i="155" s="1"/>
  <c r="AB78" i="155"/>
  <c r="AC78" i="155" s="1"/>
  <c r="AH78" i="155"/>
  <c r="AI78" i="155" s="1"/>
  <c r="AN78" i="155"/>
  <c r="AO78" i="155" s="1"/>
  <c r="BA78" i="155"/>
  <c r="BB78" i="155" s="1"/>
  <c r="BG78" i="155"/>
  <c r="BH78" i="155" s="1"/>
  <c r="P78" i="155"/>
  <c r="AV78" i="155"/>
  <c r="AW78" i="155" s="1"/>
  <c r="BN78" i="155"/>
  <c r="BO78" i="155" s="1"/>
  <c r="R78" i="155"/>
  <c r="T78" i="155" s="1"/>
  <c r="Y78" i="155"/>
  <c r="Z78" i="155" s="1"/>
  <c r="AE78" i="155"/>
  <c r="AF78" i="155" s="1"/>
  <c r="AK78" i="155"/>
  <c r="AL78" i="155" s="1"/>
  <c r="AQ78" i="155"/>
  <c r="AR78" i="155" s="1"/>
  <c r="BD78" i="155"/>
  <c r="BE78" i="155" s="1"/>
  <c r="M78" i="155"/>
  <c r="BQ78" i="155"/>
  <c r="BR78" i="155" s="1"/>
  <c r="BL78" i="155"/>
  <c r="BD24" i="149"/>
  <c r="BE24" i="149" s="1"/>
  <c r="AV24" i="149"/>
  <c r="AW24" i="149" s="1"/>
  <c r="AT43" i="153"/>
  <c r="AT34" i="153"/>
  <c r="AT39" i="152"/>
  <c r="AT46" i="152"/>
  <c r="AT49" i="152"/>
  <c r="AT32" i="152"/>
  <c r="AT45" i="153"/>
  <c r="AT34" i="152"/>
  <c r="AT53" i="153"/>
  <c r="AT52" i="153"/>
  <c r="AT54" i="152"/>
  <c r="AT38" i="153"/>
  <c r="AT37" i="153"/>
  <c r="AT48" i="152"/>
  <c r="AT43" i="152"/>
  <c r="AT51" i="153"/>
  <c r="AT32" i="153"/>
  <c r="AT45" i="152"/>
  <c r="AT36" i="153"/>
  <c r="AT42" i="152"/>
  <c r="AT52" i="152"/>
  <c r="AT31" i="152"/>
  <c r="AT54" i="153"/>
  <c r="AT42" i="153"/>
  <c r="AT33" i="153"/>
  <c r="AT48" i="153"/>
  <c r="AT41" i="152"/>
  <c r="AT47" i="153"/>
  <c r="AT35" i="152"/>
  <c r="AT44" i="153"/>
  <c r="AT38" i="152"/>
  <c r="AT37" i="152"/>
  <c r="AT51" i="152"/>
  <c r="AT41" i="153"/>
  <c r="AT40" i="153"/>
  <c r="AT30" i="152"/>
  <c r="AT47" i="152"/>
  <c r="AT30" i="153"/>
  <c r="AT39" i="153"/>
  <c r="AT49" i="153"/>
  <c r="AT35" i="153"/>
  <c r="AT40" i="152"/>
  <c r="AT44" i="152"/>
  <c r="AT50" i="152"/>
  <c r="AT36" i="152"/>
  <c r="AT46" i="153"/>
  <c r="AT53" i="152"/>
  <c r="AT33" i="152"/>
  <c r="AT31" i="153"/>
  <c r="AT50" i="153"/>
  <c r="AT33" i="130"/>
  <c r="AT42" i="130"/>
  <c r="AT41" i="136"/>
  <c r="AT44" i="136"/>
  <c r="AT44" i="130"/>
  <c r="I83" i="153"/>
  <c r="M78" i="153"/>
  <c r="BQ78" i="153"/>
  <c r="BR78" i="153" s="1"/>
  <c r="O78" i="153"/>
  <c r="V78" i="153"/>
  <c r="W78" i="153" s="1"/>
  <c r="AB78" i="153"/>
  <c r="AC78" i="153" s="1"/>
  <c r="AH78" i="153"/>
  <c r="AI78" i="153" s="1"/>
  <c r="AN78" i="153"/>
  <c r="AO78" i="153" s="1"/>
  <c r="BA78" i="153"/>
  <c r="BB78" i="153" s="1"/>
  <c r="BG78" i="153"/>
  <c r="BH78" i="153" s="1"/>
  <c r="P78" i="153"/>
  <c r="AV78" i="153"/>
  <c r="AW78" i="153" s="1"/>
  <c r="BN78" i="153"/>
  <c r="BO78" i="153" s="1"/>
  <c r="AK78" i="153"/>
  <c r="AL78" i="153" s="1"/>
  <c r="R78" i="153"/>
  <c r="T78" i="153" s="1"/>
  <c r="AQ78" i="153"/>
  <c r="AR78" i="153" s="1"/>
  <c r="Y78" i="153"/>
  <c r="Z78" i="153" s="1"/>
  <c r="AE78" i="153"/>
  <c r="AF78" i="153" s="1"/>
  <c r="BD78" i="153"/>
  <c r="BE78" i="153" s="1"/>
  <c r="BL78" i="153"/>
  <c r="K79" i="153"/>
  <c r="I87" i="152"/>
  <c r="P78" i="152"/>
  <c r="AV78" i="152"/>
  <c r="AW78" i="152" s="1"/>
  <c r="BN78" i="152"/>
  <c r="BO78" i="152" s="1"/>
  <c r="R78" i="152"/>
  <c r="T78" i="152" s="1"/>
  <c r="Y78" i="152"/>
  <c r="Z78" i="152" s="1"/>
  <c r="AE78" i="152"/>
  <c r="AF78" i="152" s="1"/>
  <c r="AK78" i="152"/>
  <c r="AL78" i="152" s="1"/>
  <c r="AQ78" i="152"/>
  <c r="AR78" i="152" s="1"/>
  <c r="BD78" i="152"/>
  <c r="BE78" i="152" s="1"/>
  <c r="V78" i="152"/>
  <c r="W78" i="152" s="1"/>
  <c r="AH78" i="152"/>
  <c r="AI78" i="152" s="1"/>
  <c r="BG78" i="152"/>
  <c r="BH78" i="152" s="1"/>
  <c r="BQ78" i="152"/>
  <c r="BR78" i="152" s="1"/>
  <c r="M78" i="152"/>
  <c r="O78" i="152"/>
  <c r="AB78" i="152"/>
  <c r="AC78" i="152" s="1"/>
  <c r="AN78" i="152"/>
  <c r="AO78" i="152" s="1"/>
  <c r="BA78" i="152"/>
  <c r="BB78" i="152" s="1"/>
  <c r="BL78" i="152"/>
  <c r="K79" i="152"/>
  <c r="I78" i="151"/>
  <c r="K77" i="151"/>
  <c r="BD76" i="151"/>
  <c r="BE76" i="151" s="1"/>
  <c r="AQ76" i="151"/>
  <c r="AR76" i="151" s="1"/>
  <c r="AK76" i="151"/>
  <c r="AL76" i="151" s="1"/>
  <c r="AE76" i="151"/>
  <c r="AF76" i="151" s="1"/>
  <c r="Y76" i="151"/>
  <c r="Z76" i="151" s="1"/>
  <c r="R76" i="151"/>
  <c r="T76" i="151" s="1"/>
  <c r="BG76" i="151"/>
  <c r="BH76" i="151" s="1"/>
  <c r="BA76" i="151"/>
  <c r="BB76" i="151" s="1"/>
  <c r="AT76" i="151"/>
  <c r="AN76" i="151"/>
  <c r="AO76" i="151" s="1"/>
  <c r="AH76" i="151"/>
  <c r="AI76" i="151" s="1"/>
  <c r="AB76" i="151"/>
  <c r="AC76" i="151" s="1"/>
  <c r="V76" i="151"/>
  <c r="W76" i="151" s="1"/>
  <c r="O76" i="151"/>
  <c r="P76" i="151"/>
  <c r="AV76" i="151"/>
  <c r="AW76" i="151" s="1"/>
  <c r="AY76" i="151"/>
  <c r="BQ76" i="151"/>
  <c r="BR76" i="151" s="1"/>
  <c r="M76" i="151"/>
  <c r="BN76" i="151"/>
  <c r="BO76" i="151" s="1"/>
  <c r="BL76" i="151"/>
  <c r="BG75" i="150"/>
  <c r="BH75" i="150" s="1"/>
  <c r="BA75" i="150"/>
  <c r="BB75" i="150" s="1"/>
  <c r="AT75" i="150"/>
  <c r="AN75" i="150"/>
  <c r="AO75" i="150" s="1"/>
  <c r="AH75" i="150"/>
  <c r="AI75" i="150" s="1"/>
  <c r="AB75" i="150"/>
  <c r="AC75" i="150" s="1"/>
  <c r="V75" i="150"/>
  <c r="W75" i="150" s="1"/>
  <c r="O75" i="150"/>
  <c r="BQ75" i="150"/>
  <c r="BR75" i="150" s="1"/>
  <c r="AY75" i="150"/>
  <c r="BD75" i="150"/>
  <c r="BE75" i="150" s="1"/>
  <c r="AQ75" i="150"/>
  <c r="AR75" i="150" s="1"/>
  <c r="AK75" i="150"/>
  <c r="AL75" i="150" s="1"/>
  <c r="AE75" i="150"/>
  <c r="AF75" i="150" s="1"/>
  <c r="Y75" i="150"/>
  <c r="Z75" i="150" s="1"/>
  <c r="R75" i="150"/>
  <c r="T75" i="150" s="1"/>
  <c r="P75" i="150"/>
  <c r="AV75" i="150"/>
  <c r="AW75" i="150" s="1"/>
  <c r="M75" i="150"/>
  <c r="BN75" i="150"/>
  <c r="BO75" i="150" s="1"/>
  <c r="BL75" i="150"/>
  <c r="K76" i="150"/>
  <c r="I79" i="150"/>
  <c r="BG77" i="149"/>
  <c r="BH77" i="149" s="1"/>
  <c r="BA77" i="149"/>
  <c r="BB77" i="149" s="1"/>
  <c r="AN77" i="149"/>
  <c r="AO77" i="149" s="1"/>
  <c r="AH77" i="149"/>
  <c r="AI77" i="149" s="1"/>
  <c r="AB77" i="149"/>
  <c r="AC77" i="149" s="1"/>
  <c r="V77" i="149"/>
  <c r="W77" i="149" s="1"/>
  <c r="O77" i="149"/>
  <c r="BQ77" i="149"/>
  <c r="BR77" i="149" s="1"/>
  <c r="AY77" i="149"/>
  <c r="BD77" i="149"/>
  <c r="BE77" i="149" s="1"/>
  <c r="AQ77" i="149"/>
  <c r="AR77" i="149" s="1"/>
  <c r="AK77" i="149"/>
  <c r="AL77" i="149" s="1"/>
  <c r="AE77" i="149"/>
  <c r="AF77" i="149" s="1"/>
  <c r="Y77" i="149"/>
  <c r="Z77" i="149" s="1"/>
  <c r="R77" i="149"/>
  <c r="T77" i="149" s="1"/>
  <c r="AV77" i="149"/>
  <c r="AW77" i="149" s="1"/>
  <c r="P77" i="149"/>
  <c r="BN77" i="149"/>
  <c r="BO77" i="149" s="1"/>
  <c r="M77" i="149"/>
  <c r="BL77" i="149"/>
  <c r="I79" i="149"/>
  <c r="K78" i="149"/>
  <c r="AT78" i="149" s="1"/>
  <c r="BG76" i="147"/>
  <c r="BH76" i="147" s="1"/>
  <c r="AY76" i="147"/>
  <c r="BQ76" i="147"/>
  <c r="BR76" i="147" s="1"/>
  <c r="AV76" i="147"/>
  <c r="AW76" i="147" s="1"/>
  <c r="P76" i="147"/>
  <c r="BA76" i="147"/>
  <c r="BB76" i="147" s="1"/>
  <c r="AN76" i="147"/>
  <c r="AO76" i="147" s="1"/>
  <c r="AB76" i="147"/>
  <c r="AC76" i="147" s="1"/>
  <c r="O76" i="147"/>
  <c r="AK76" i="147"/>
  <c r="AL76" i="147" s="1"/>
  <c r="Y76" i="147"/>
  <c r="Z76" i="147" s="1"/>
  <c r="AH76" i="147"/>
  <c r="AI76" i="147" s="1"/>
  <c r="BD76" i="147"/>
  <c r="BE76" i="147" s="1"/>
  <c r="AE76" i="147"/>
  <c r="AF76" i="147" s="1"/>
  <c r="AT76" i="147"/>
  <c r="V76" i="147"/>
  <c r="W76" i="147" s="1"/>
  <c r="AQ76" i="147"/>
  <c r="AR76" i="147" s="1"/>
  <c r="R76" i="147"/>
  <c r="T76" i="147" s="1"/>
  <c r="BN76" i="147"/>
  <c r="BO76" i="147" s="1"/>
  <c r="BJ76" i="147"/>
  <c r="BL76" i="147" s="1"/>
  <c r="BK76" i="147"/>
  <c r="M76" i="147"/>
  <c r="I78" i="147"/>
  <c r="K77" i="147"/>
  <c r="K76" i="146"/>
  <c r="I77" i="146"/>
  <c r="BD75" i="146"/>
  <c r="BE75" i="146" s="1"/>
  <c r="AQ75" i="146"/>
  <c r="AR75" i="146" s="1"/>
  <c r="AK75" i="146"/>
  <c r="AL75" i="146" s="1"/>
  <c r="AE75" i="146"/>
  <c r="AF75" i="146" s="1"/>
  <c r="Y75" i="146"/>
  <c r="Z75" i="146" s="1"/>
  <c r="R75" i="146"/>
  <c r="T75" i="146" s="1"/>
  <c r="AV75" i="146"/>
  <c r="AW75" i="146" s="1"/>
  <c r="P75" i="146"/>
  <c r="BG75" i="146"/>
  <c r="BH75" i="146" s="1"/>
  <c r="BA75" i="146"/>
  <c r="BB75" i="146" s="1"/>
  <c r="AT75" i="146"/>
  <c r="AN75" i="146"/>
  <c r="AO75" i="146" s="1"/>
  <c r="AH75" i="146"/>
  <c r="AI75" i="146" s="1"/>
  <c r="AB75" i="146"/>
  <c r="AC75" i="146" s="1"/>
  <c r="V75" i="146"/>
  <c r="W75" i="146" s="1"/>
  <c r="O75" i="146"/>
  <c r="AY75" i="146"/>
  <c r="BQ75" i="146"/>
  <c r="BR75" i="146" s="1"/>
  <c r="BK75" i="146"/>
  <c r="BJ75" i="146"/>
  <c r="BL75" i="146" s="1"/>
  <c r="BN75" i="146"/>
  <c r="BO75" i="146" s="1"/>
  <c r="M75" i="146"/>
  <c r="BN71" i="17"/>
  <c r="BO71" i="17" s="1"/>
  <c r="BL71" i="17"/>
  <c r="M71" i="17"/>
  <c r="AQ71" i="17"/>
  <c r="AR71" i="17" s="1"/>
  <c r="BD71" i="17"/>
  <c r="BE71" i="17" s="1"/>
  <c r="BA71" i="17"/>
  <c r="BB71" i="17" s="1"/>
  <c r="AE71" i="17"/>
  <c r="AF71" i="17" s="1"/>
  <c r="Y71" i="17"/>
  <c r="Z71" i="17" s="1"/>
  <c r="AN71" i="17"/>
  <c r="AO71" i="17" s="1"/>
  <c r="P71" i="17"/>
  <c r="AY71" i="17"/>
  <c r="AT71" i="17"/>
  <c r="AB71" i="17"/>
  <c r="AC71" i="17" s="1"/>
  <c r="V71" i="17"/>
  <c r="W71" i="17" s="1"/>
  <c r="O71" i="17"/>
  <c r="AK71" i="17"/>
  <c r="AL71" i="17" s="1"/>
  <c r="BG71" i="17"/>
  <c r="BH71" i="17" s="1"/>
  <c r="AH71" i="17"/>
  <c r="AI71" i="17" s="1"/>
  <c r="AV71" i="17"/>
  <c r="AW71" i="17" s="1"/>
  <c r="R71" i="17"/>
  <c r="T71" i="17" s="1"/>
  <c r="BQ71" i="17"/>
  <c r="BR71" i="17" s="1"/>
  <c r="I73" i="17"/>
  <c r="K72" i="17"/>
  <c r="K74" i="96"/>
  <c r="I75" i="96"/>
  <c r="I77" i="15"/>
  <c r="BN73" i="63"/>
  <c r="BO73" i="63" s="1"/>
  <c r="M73" i="63"/>
  <c r="BL73" i="63"/>
  <c r="V73" i="63"/>
  <c r="W73" i="63" s="1"/>
  <c r="AQ73" i="63"/>
  <c r="AR73" i="63" s="1"/>
  <c r="BA73" i="63"/>
  <c r="BB73" i="63" s="1"/>
  <c r="AY73" i="63"/>
  <c r="BD73" i="63"/>
  <c r="BE73" i="63" s="1"/>
  <c r="AT73" i="63"/>
  <c r="P73" i="63"/>
  <c r="AK73" i="63"/>
  <c r="AL73" i="63" s="1"/>
  <c r="BG73" i="63"/>
  <c r="BH73" i="63" s="1"/>
  <c r="R73" i="63"/>
  <c r="T73" i="63" s="1"/>
  <c r="AE73" i="63"/>
  <c r="AF73" i="63" s="1"/>
  <c r="BQ73" i="63"/>
  <c r="BR73" i="63" s="1"/>
  <c r="AV73" i="63"/>
  <c r="AW73" i="63" s="1"/>
  <c r="Y73" i="63"/>
  <c r="Z73" i="63" s="1"/>
  <c r="AB73" i="63"/>
  <c r="AC73" i="63" s="1"/>
  <c r="AH73" i="63"/>
  <c r="AI73" i="63" s="1"/>
  <c r="AN73" i="63"/>
  <c r="AO73" i="63" s="1"/>
  <c r="O73" i="63"/>
  <c r="K74" i="63"/>
  <c r="I76" i="135"/>
  <c r="K75" i="135"/>
  <c r="I78" i="63"/>
  <c r="K72" i="66"/>
  <c r="I73" i="66"/>
  <c r="M75" i="136"/>
  <c r="BN75" i="136"/>
  <c r="BO75" i="136" s="1"/>
  <c r="BL75" i="136"/>
  <c r="AY75" i="136"/>
  <c r="O75" i="136"/>
  <c r="AK75" i="136"/>
  <c r="AL75" i="136" s="1"/>
  <c r="AE75" i="136"/>
  <c r="AF75" i="136" s="1"/>
  <c r="AH75" i="136"/>
  <c r="AI75" i="136" s="1"/>
  <c r="BQ75" i="136"/>
  <c r="BR75" i="136" s="1"/>
  <c r="BG75" i="136"/>
  <c r="BH75" i="136" s="1"/>
  <c r="AB75" i="136"/>
  <c r="AC75" i="136" s="1"/>
  <c r="BD75" i="136"/>
  <c r="BE75" i="136" s="1"/>
  <c r="AN75" i="136"/>
  <c r="AO75" i="136" s="1"/>
  <c r="P75" i="136"/>
  <c r="AT75" i="136"/>
  <c r="Y75" i="136"/>
  <c r="Z75" i="136" s="1"/>
  <c r="BA75" i="136"/>
  <c r="BB75" i="136" s="1"/>
  <c r="V75" i="136"/>
  <c r="W75" i="136" s="1"/>
  <c r="AQ75" i="136"/>
  <c r="AR75" i="136" s="1"/>
  <c r="AV75" i="136"/>
  <c r="AW75" i="136" s="1"/>
  <c r="R75" i="136"/>
  <c r="T75" i="136" s="1"/>
  <c r="K76" i="136"/>
  <c r="I75" i="110"/>
  <c r="K74" i="110"/>
  <c r="M73" i="126"/>
  <c r="BK73" i="126"/>
  <c r="BJ73" i="126"/>
  <c r="BL73" i="126" s="1"/>
  <c r="BN73" i="126"/>
  <c r="BO73" i="126" s="1"/>
  <c r="P73" i="126"/>
  <c r="BA73" i="126"/>
  <c r="BB73" i="126" s="1"/>
  <c r="AE73" i="126"/>
  <c r="AF73" i="126" s="1"/>
  <c r="BD73" i="126"/>
  <c r="BE73" i="126" s="1"/>
  <c r="AK73" i="126"/>
  <c r="AL73" i="126" s="1"/>
  <c r="AN73" i="126"/>
  <c r="AO73" i="126" s="1"/>
  <c r="BG73" i="126"/>
  <c r="BH73" i="126" s="1"/>
  <c r="BQ73" i="126"/>
  <c r="BR73" i="126" s="1"/>
  <c r="AY73" i="126"/>
  <c r="AQ73" i="126"/>
  <c r="AR73" i="126" s="1"/>
  <c r="V73" i="126"/>
  <c r="W73" i="126" s="1"/>
  <c r="R73" i="126"/>
  <c r="T73" i="126" s="1"/>
  <c r="AB73" i="126"/>
  <c r="AC73" i="126" s="1"/>
  <c r="O73" i="126"/>
  <c r="AV73" i="126"/>
  <c r="AW73" i="126" s="1"/>
  <c r="Y73" i="126"/>
  <c r="Z73" i="126" s="1"/>
  <c r="AH73" i="126"/>
  <c r="AI73" i="126" s="1"/>
  <c r="AT73" i="126"/>
  <c r="K74" i="126"/>
  <c r="BN72" i="15"/>
  <c r="BO72" i="15" s="1"/>
  <c r="BL72" i="15"/>
  <c r="M72" i="15"/>
  <c r="BQ72" i="15"/>
  <c r="BR72" i="15" s="1"/>
  <c r="BG72" i="15"/>
  <c r="BH72" i="15" s="1"/>
  <c r="AQ72" i="15"/>
  <c r="AR72" i="15" s="1"/>
  <c r="AN72" i="15"/>
  <c r="AO72" i="15" s="1"/>
  <c r="AK72" i="15"/>
  <c r="AL72" i="15" s="1"/>
  <c r="P72" i="15"/>
  <c r="Y72" i="15"/>
  <c r="Z72" i="15" s="1"/>
  <c r="BD72" i="15"/>
  <c r="BE72" i="15" s="1"/>
  <c r="R72" i="15"/>
  <c r="T72" i="15" s="1"/>
  <c r="AE72" i="15"/>
  <c r="AF72" i="15" s="1"/>
  <c r="AV72" i="15"/>
  <c r="AW72" i="15" s="1"/>
  <c r="AT72" i="15"/>
  <c r="O72" i="15"/>
  <c r="AY72" i="15"/>
  <c r="V72" i="15"/>
  <c r="W72" i="15" s="1"/>
  <c r="BA72" i="15"/>
  <c r="BB72" i="15" s="1"/>
  <c r="AH72" i="15"/>
  <c r="AI72" i="15" s="1"/>
  <c r="AB72" i="15"/>
  <c r="AC72" i="15" s="1"/>
  <c r="K73" i="15"/>
  <c r="BJ75" i="105"/>
  <c r="BL75" i="105" s="1"/>
  <c r="BK75" i="105"/>
  <c r="M75" i="105"/>
  <c r="BN75" i="105"/>
  <c r="BO75" i="105" s="1"/>
  <c r="BG75" i="105"/>
  <c r="BH75" i="105" s="1"/>
  <c r="AK75" i="105"/>
  <c r="AL75" i="105" s="1"/>
  <c r="AB75" i="105"/>
  <c r="AC75" i="105" s="1"/>
  <c r="BA75" i="105"/>
  <c r="BB75" i="105" s="1"/>
  <c r="AQ75" i="105"/>
  <c r="AR75" i="105" s="1"/>
  <c r="AY75" i="105"/>
  <c r="BQ75" i="105"/>
  <c r="BR75" i="105" s="1"/>
  <c r="V75" i="105"/>
  <c r="W75" i="105" s="1"/>
  <c r="O75" i="105"/>
  <c r="P75" i="105"/>
  <c r="BD75" i="105"/>
  <c r="BE75" i="105" s="1"/>
  <c r="R75" i="105"/>
  <c r="T75" i="105" s="1"/>
  <c r="AE75" i="105"/>
  <c r="AF75" i="105" s="1"/>
  <c r="AN75" i="105"/>
  <c r="AO75" i="105" s="1"/>
  <c r="Y75" i="105"/>
  <c r="Z75" i="105" s="1"/>
  <c r="AV75" i="105"/>
  <c r="AW75" i="105" s="1"/>
  <c r="AH75" i="105"/>
  <c r="AI75" i="105" s="1"/>
  <c r="AT75" i="105"/>
  <c r="K76" i="105"/>
  <c r="V73" i="96"/>
  <c r="W73" i="96" s="1"/>
  <c r="BL73" i="96"/>
  <c r="AK73" i="96"/>
  <c r="AL73" i="96" s="1"/>
  <c r="O73" i="96"/>
  <c r="AQ73" i="96"/>
  <c r="AR73" i="96" s="1"/>
  <c r="BN73" i="96"/>
  <c r="BO73" i="96" s="1"/>
  <c r="BQ73" i="96"/>
  <c r="BR73" i="96" s="1"/>
  <c r="M73" i="96"/>
  <c r="AN73" i="96"/>
  <c r="AO73" i="96" s="1"/>
  <c r="R73" i="96"/>
  <c r="T73" i="96" s="1"/>
  <c r="BA73" i="96"/>
  <c r="BB73" i="96" s="1"/>
  <c r="BG73" i="96"/>
  <c r="BH73" i="96" s="1"/>
  <c r="AE73" i="96"/>
  <c r="AF73" i="96" s="1"/>
  <c r="AV73" i="96"/>
  <c r="AW73" i="96" s="1"/>
  <c r="BD73" i="96"/>
  <c r="BE73" i="96" s="1"/>
  <c r="AB73" i="96"/>
  <c r="AC73" i="96" s="1"/>
  <c r="AH73" i="96"/>
  <c r="AI73" i="96" s="1"/>
  <c r="P73" i="96"/>
  <c r="AT73" i="96"/>
  <c r="Y73" i="96"/>
  <c r="Z73" i="96" s="1"/>
  <c r="I78" i="126"/>
  <c r="BK73" i="114"/>
  <c r="M73" i="114"/>
  <c r="BJ73" i="114"/>
  <c r="BL73" i="114" s="1"/>
  <c r="BN73" i="114"/>
  <c r="BO73" i="114" s="1"/>
  <c r="O73" i="114"/>
  <c r="P73" i="114"/>
  <c r="AK73" i="114"/>
  <c r="AL73" i="114" s="1"/>
  <c r="AQ73" i="114"/>
  <c r="AR73" i="114" s="1"/>
  <c r="BA73" i="114"/>
  <c r="BB73" i="114" s="1"/>
  <c r="BQ73" i="114"/>
  <c r="BR73" i="114" s="1"/>
  <c r="AB73" i="114"/>
  <c r="AC73" i="114" s="1"/>
  <c r="AE73" i="114"/>
  <c r="AF73" i="114" s="1"/>
  <c r="V73" i="114"/>
  <c r="W73" i="114" s="1"/>
  <c r="R73" i="114"/>
  <c r="T73" i="114" s="1"/>
  <c r="AV73" i="114"/>
  <c r="AW73" i="114" s="1"/>
  <c r="AT73" i="114"/>
  <c r="AH73" i="114"/>
  <c r="AI73" i="114" s="1"/>
  <c r="BD73" i="114"/>
  <c r="BE73" i="114" s="1"/>
  <c r="BG73" i="114"/>
  <c r="BH73" i="114" s="1"/>
  <c r="AY73" i="114"/>
  <c r="Y73" i="114"/>
  <c r="Z73" i="114" s="1"/>
  <c r="AN73" i="114"/>
  <c r="AO73" i="114" s="1"/>
  <c r="K74" i="114"/>
  <c r="I79" i="114"/>
  <c r="BD71" i="66"/>
  <c r="BE71" i="66" s="1"/>
  <c r="BQ71" i="66"/>
  <c r="BR71" i="66" s="1"/>
  <c r="AV71" i="66"/>
  <c r="AW71" i="66" s="1"/>
  <c r="BG71" i="66"/>
  <c r="BH71" i="66" s="1"/>
  <c r="R71" i="66"/>
  <c r="T71" i="66" s="1"/>
  <c r="O71" i="66"/>
  <c r="Y71" i="66"/>
  <c r="Z71" i="66" s="1"/>
  <c r="BA71" i="66"/>
  <c r="BB71" i="66" s="1"/>
  <c r="AB71" i="66"/>
  <c r="AC71" i="66" s="1"/>
  <c r="BN71" i="66"/>
  <c r="BO71" i="66" s="1"/>
  <c r="M71" i="66"/>
  <c r="AQ71" i="66"/>
  <c r="AR71" i="66" s="1"/>
  <c r="AY71" i="66"/>
  <c r="P71" i="66"/>
  <c r="AT71" i="66"/>
  <c r="AE71" i="66"/>
  <c r="AF71" i="66" s="1"/>
  <c r="AK71" i="66"/>
  <c r="AL71" i="66" s="1"/>
  <c r="AN71" i="66"/>
  <c r="AO71" i="66" s="1"/>
  <c r="V71" i="66"/>
  <c r="W71" i="66" s="1"/>
  <c r="AH71" i="66"/>
  <c r="AI71" i="66" s="1"/>
  <c r="BL71" i="66"/>
  <c r="BN77" i="124"/>
  <c r="BO77" i="124" s="1"/>
  <c r="M77" i="124"/>
  <c r="BK77" i="124"/>
  <c r="BJ77" i="124"/>
  <c r="BL77" i="124" s="1"/>
  <c r="K78" i="124"/>
  <c r="AV77" i="124"/>
  <c r="AW77" i="124" s="1"/>
  <c r="BA77" i="124"/>
  <c r="BB77" i="124" s="1"/>
  <c r="AE77" i="124"/>
  <c r="AF77" i="124" s="1"/>
  <c r="AK77" i="124"/>
  <c r="AL77" i="124" s="1"/>
  <c r="R77" i="124"/>
  <c r="T77" i="124" s="1"/>
  <c r="P77" i="124"/>
  <c r="BD77" i="124"/>
  <c r="BE77" i="124" s="1"/>
  <c r="AY77" i="124"/>
  <c r="O77" i="124"/>
  <c r="AT77" i="124"/>
  <c r="AQ77" i="124"/>
  <c r="AR77" i="124" s="1"/>
  <c r="AB77" i="124"/>
  <c r="AC77" i="124" s="1"/>
  <c r="BQ77" i="124"/>
  <c r="BR77" i="124" s="1"/>
  <c r="BG77" i="124"/>
  <c r="BH77" i="124" s="1"/>
  <c r="Y77" i="124"/>
  <c r="Z77" i="124" s="1"/>
  <c r="AH77" i="124"/>
  <c r="AI77" i="124" s="1"/>
  <c r="AN77" i="124"/>
  <c r="AO77" i="124" s="1"/>
  <c r="V77" i="124"/>
  <c r="W77" i="124" s="1"/>
  <c r="M73" i="115"/>
  <c r="BK73" i="115"/>
  <c r="BN73" i="115"/>
  <c r="BO73" i="115" s="1"/>
  <c r="BJ73" i="115"/>
  <c r="BL73" i="115" s="1"/>
  <c r="P73" i="115"/>
  <c r="AV73" i="115"/>
  <c r="AW73" i="115" s="1"/>
  <c r="BQ73" i="115"/>
  <c r="BR73" i="115" s="1"/>
  <c r="O73" i="115"/>
  <c r="BG73" i="115"/>
  <c r="BH73" i="115" s="1"/>
  <c r="BD73" i="115"/>
  <c r="BE73" i="115" s="1"/>
  <c r="Y73" i="115"/>
  <c r="Z73" i="115" s="1"/>
  <c r="BA73" i="115"/>
  <c r="BB73" i="115" s="1"/>
  <c r="AN73" i="115"/>
  <c r="AO73" i="115" s="1"/>
  <c r="AQ73" i="115"/>
  <c r="AR73" i="115" s="1"/>
  <c r="AT73" i="115"/>
  <c r="R73" i="115"/>
  <c r="T73" i="115" s="1"/>
  <c r="AB73" i="115"/>
  <c r="AC73" i="115" s="1"/>
  <c r="AH73" i="115"/>
  <c r="AI73" i="115" s="1"/>
  <c r="AK73" i="115"/>
  <c r="AL73" i="115" s="1"/>
  <c r="V73" i="115"/>
  <c r="W73" i="115" s="1"/>
  <c r="AY73" i="115"/>
  <c r="AE73" i="115"/>
  <c r="AF73" i="115" s="1"/>
  <c r="M72" i="101"/>
  <c r="R72" i="101"/>
  <c r="T72" i="101" s="1"/>
  <c r="AH72" i="101"/>
  <c r="AI72" i="101" s="1"/>
  <c r="AN72" i="101"/>
  <c r="AO72" i="101" s="1"/>
  <c r="P72" i="101"/>
  <c r="AT72" i="101"/>
  <c r="AQ72" i="101"/>
  <c r="AR72" i="101" s="1"/>
  <c r="AY72" i="101"/>
  <c r="AK72" i="101"/>
  <c r="AL72" i="101" s="1"/>
  <c r="AB72" i="101"/>
  <c r="AC72" i="101" s="1"/>
  <c r="O72" i="101"/>
  <c r="AE72" i="101"/>
  <c r="AF72" i="101" s="1"/>
  <c r="V72" i="101"/>
  <c r="W72" i="101" s="1"/>
  <c r="BQ72" i="101"/>
  <c r="BR72" i="101" s="1"/>
  <c r="BA72" i="101"/>
  <c r="BB72" i="101" s="1"/>
  <c r="BD72" i="101"/>
  <c r="BE72" i="101" s="1"/>
  <c r="AV72" i="101"/>
  <c r="AW72" i="101" s="1"/>
  <c r="BG72" i="101"/>
  <c r="BH72" i="101" s="1"/>
  <c r="Y72" i="101"/>
  <c r="Z72" i="101" s="1"/>
  <c r="R71" i="120"/>
  <c r="T71" i="120" s="1"/>
  <c r="K72" i="120"/>
  <c r="AB71" i="120"/>
  <c r="AC71" i="120" s="1"/>
  <c r="AE71" i="120"/>
  <c r="AF71" i="120" s="1"/>
  <c r="V71" i="120"/>
  <c r="W71" i="120" s="1"/>
  <c r="AK71" i="120"/>
  <c r="AL71" i="120" s="1"/>
  <c r="BD71" i="120"/>
  <c r="BE71" i="120" s="1"/>
  <c r="AV71" i="120"/>
  <c r="AW71" i="120" s="1"/>
  <c r="P71" i="120"/>
  <c r="BG71" i="120"/>
  <c r="BH71" i="120" s="1"/>
  <c r="M71" i="120"/>
  <c r="O71" i="120"/>
  <c r="AN71" i="120"/>
  <c r="AO71" i="120" s="1"/>
  <c r="AH71" i="120"/>
  <c r="AI71" i="120" s="1"/>
  <c r="Y71" i="120"/>
  <c r="Z71" i="120" s="1"/>
  <c r="AY71" i="120"/>
  <c r="BA71" i="120"/>
  <c r="BB71" i="120" s="1"/>
  <c r="AQ71" i="120"/>
  <c r="AR71" i="120" s="1"/>
  <c r="BQ71" i="120"/>
  <c r="BR71" i="120" s="1"/>
  <c r="AT71" i="120"/>
  <c r="BN71" i="120"/>
  <c r="BO71" i="120" s="1"/>
  <c r="I82" i="95"/>
  <c r="K72" i="13"/>
  <c r="I73" i="13"/>
  <c r="M72" i="118"/>
  <c r="K73" i="118"/>
  <c r="BN72" i="118"/>
  <c r="BO72" i="118" s="1"/>
  <c r="R72" i="118"/>
  <c r="T72" i="118" s="1"/>
  <c r="BQ72" i="118"/>
  <c r="BR72" i="118" s="1"/>
  <c r="Y72" i="118"/>
  <c r="Z72" i="118" s="1"/>
  <c r="P72" i="118"/>
  <c r="AT72" i="118"/>
  <c r="AY72" i="118"/>
  <c r="AH72" i="118"/>
  <c r="AI72" i="118" s="1"/>
  <c r="O72" i="118"/>
  <c r="AB72" i="118"/>
  <c r="AC72" i="118" s="1"/>
  <c r="AV72" i="118"/>
  <c r="AW72" i="118" s="1"/>
  <c r="AQ72" i="118"/>
  <c r="AR72" i="118" s="1"/>
  <c r="BD72" i="118"/>
  <c r="BE72" i="118" s="1"/>
  <c r="V72" i="118"/>
  <c r="W72" i="118" s="1"/>
  <c r="AE72" i="118"/>
  <c r="AF72" i="118" s="1"/>
  <c r="BG72" i="118"/>
  <c r="BH72" i="118" s="1"/>
  <c r="BA72" i="118"/>
  <c r="BB72" i="118" s="1"/>
  <c r="AK72" i="118"/>
  <c r="AL72" i="118" s="1"/>
  <c r="AN72" i="118"/>
  <c r="AO72" i="118" s="1"/>
  <c r="I75" i="115"/>
  <c r="K74" i="115"/>
  <c r="I74" i="101"/>
  <c r="K73" i="101"/>
  <c r="BD74" i="64"/>
  <c r="BE74" i="64" s="1"/>
  <c r="R74" i="64"/>
  <c r="T74" i="64" s="1"/>
  <c r="BA74" i="64"/>
  <c r="BB74" i="64" s="1"/>
  <c r="AV74" i="64"/>
  <c r="AW74" i="64" s="1"/>
  <c r="O74" i="64"/>
  <c r="V74" i="64"/>
  <c r="W74" i="64" s="1"/>
  <c r="BQ74" i="64"/>
  <c r="BR74" i="64" s="1"/>
  <c r="P74" i="64"/>
  <c r="AK74" i="64"/>
  <c r="AL74" i="64" s="1"/>
  <c r="AT74" i="64"/>
  <c r="AE74" i="64"/>
  <c r="AF74" i="64" s="1"/>
  <c r="Y74" i="64"/>
  <c r="Z74" i="64" s="1"/>
  <c r="AB74" i="64"/>
  <c r="AC74" i="64" s="1"/>
  <c r="BG74" i="64"/>
  <c r="BH74" i="64" s="1"/>
  <c r="M74" i="64"/>
  <c r="AQ74" i="64"/>
  <c r="AR74" i="64" s="1"/>
  <c r="AN74" i="64"/>
  <c r="AO74" i="64" s="1"/>
  <c r="AH74" i="64"/>
  <c r="AI74" i="64" s="1"/>
  <c r="AY74" i="64"/>
  <c r="BL74" i="64"/>
  <c r="BN74" i="64"/>
  <c r="BO74" i="64" s="1"/>
  <c r="K75" i="64"/>
  <c r="BN73" i="98"/>
  <c r="BO73" i="98" s="1"/>
  <c r="M73" i="98"/>
  <c r="BK73" i="98"/>
  <c r="BJ73" i="98"/>
  <c r="BL73" i="98" s="1"/>
  <c r="K74" i="98"/>
  <c r="AV73" i="98"/>
  <c r="AW73" i="98" s="1"/>
  <c r="AQ73" i="98"/>
  <c r="AR73" i="98" s="1"/>
  <c r="AH73" i="98"/>
  <c r="AI73" i="98" s="1"/>
  <c r="AK73" i="98"/>
  <c r="AL73" i="98" s="1"/>
  <c r="AT73" i="98"/>
  <c r="P73" i="98"/>
  <c r="BD73" i="98"/>
  <c r="BE73" i="98" s="1"/>
  <c r="AE73" i="98"/>
  <c r="AF73" i="98" s="1"/>
  <c r="O73" i="98"/>
  <c r="R73" i="98"/>
  <c r="T73" i="98" s="1"/>
  <c r="BA73" i="98"/>
  <c r="BB73" i="98" s="1"/>
  <c r="BQ73" i="98"/>
  <c r="BR73" i="98" s="1"/>
  <c r="AB73" i="98"/>
  <c r="AC73" i="98" s="1"/>
  <c r="AN73" i="98"/>
  <c r="AO73" i="98" s="1"/>
  <c r="BG73" i="98"/>
  <c r="BH73" i="98" s="1"/>
  <c r="AY73" i="98"/>
  <c r="Y73" i="98"/>
  <c r="Z73" i="98" s="1"/>
  <c r="V73" i="98"/>
  <c r="W73" i="98" s="1"/>
  <c r="I79" i="64"/>
  <c r="M74" i="135"/>
  <c r="V74" i="135"/>
  <c r="W74" i="135" s="1"/>
  <c r="P74" i="135"/>
  <c r="AT74" i="135"/>
  <c r="BD74" i="135"/>
  <c r="BE74" i="135" s="1"/>
  <c r="AH74" i="135"/>
  <c r="AI74" i="135" s="1"/>
  <c r="BA74" i="135"/>
  <c r="BB74" i="135" s="1"/>
  <c r="AN74" i="135"/>
  <c r="AO74" i="135" s="1"/>
  <c r="BG74" i="135"/>
  <c r="BH74" i="135" s="1"/>
  <c r="R74" i="135"/>
  <c r="T74" i="135" s="1"/>
  <c r="AY74" i="135"/>
  <c r="BQ74" i="135"/>
  <c r="BR74" i="135" s="1"/>
  <c r="AB74" i="135"/>
  <c r="AC74" i="135" s="1"/>
  <c r="Y74" i="135"/>
  <c r="Z74" i="135" s="1"/>
  <c r="BN74" i="135"/>
  <c r="BO74" i="135" s="1"/>
  <c r="O74" i="135"/>
  <c r="AE74" i="135"/>
  <c r="AF74" i="135" s="1"/>
  <c r="AV74" i="135"/>
  <c r="AW74" i="135" s="1"/>
  <c r="AQ74" i="135"/>
  <c r="AR74" i="135" s="1"/>
  <c r="AK74" i="135"/>
  <c r="AL74" i="135" s="1"/>
  <c r="BL74" i="135"/>
  <c r="I77" i="104"/>
  <c r="BN71" i="13"/>
  <c r="BO71" i="13" s="1"/>
  <c r="M71" i="13"/>
  <c r="BD71" i="13"/>
  <c r="BE71" i="13" s="1"/>
  <c r="AT71" i="13"/>
  <c r="P71" i="13"/>
  <c r="AH71" i="13"/>
  <c r="AI71" i="13" s="1"/>
  <c r="AE71" i="13"/>
  <c r="AF71" i="13" s="1"/>
  <c r="R71" i="13"/>
  <c r="T71" i="13" s="1"/>
  <c r="AK71" i="13"/>
  <c r="AL71" i="13" s="1"/>
  <c r="AN71" i="13"/>
  <c r="AO71" i="13" s="1"/>
  <c r="V71" i="13"/>
  <c r="W71" i="13" s="1"/>
  <c r="Y71" i="13"/>
  <c r="Z71" i="13" s="1"/>
  <c r="BA71" i="13"/>
  <c r="BB71" i="13" s="1"/>
  <c r="AQ71" i="13"/>
  <c r="AR71" i="13" s="1"/>
  <c r="AB71" i="13"/>
  <c r="AC71" i="13" s="1"/>
  <c r="BL71" i="13"/>
  <c r="O71" i="13"/>
  <c r="BQ71" i="13"/>
  <c r="BR71" i="13" s="1"/>
  <c r="AY71" i="13"/>
  <c r="AV71" i="13"/>
  <c r="AW71" i="13" s="1"/>
  <c r="BG71" i="13"/>
  <c r="BH71" i="13" s="1"/>
  <c r="I80" i="132"/>
  <c r="M73" i="110"/>
  <c r="BJ73" i="110"/>
  <c r="BL73" i="110" s="1"/>
  <c r="BK73" i="110"/>
  <c r="BN73" i="110"/>
  <c r="BO73" i="110" s="1"/>
  <c r="AH73" i="110"/>
  <c r="AI73" i="110" s="1"/>
  <c r="P73" i="110"/>
  <c r="AV73" i="110"/>
  <c r="AW73" i="110" s="1"/>
  <c r="Y73" i="110"/>
  <c r="Z73" i="110" s="1"/>
  <c r="BA73" i="110"/>
  <c r="BB73" i="110" s="1"/>
  <c r="AK73" i="110"/>
  <c r="AL73" i="110" s="1"/>
  <c r="AB73" i="110"/>
  <c r="AC73" i="110" s="1"/>
  <c r="AQ73" i="110"/>
  <c r="AR73" i="110" s="1"/>
  <c r="AE73" i="110"/>
  <c r="AF73" i="110" s="1"/>
  <c r="BD73" i="110"/>
  <c r="BE73" i="110" s="1"/>
  <c r="BG73" i="110"/>
  <c r="BH73" i="110" s="1"/>
  <c r="AY73" i="110"/>
  <c r="AT73" i="110"/>
  <c r="O73" i="110"/>
  <c r="BQ73" i="110"/>
  <c r="BR73" i="110" s="1"/>
  <c r="R73" i="110"/>
  <c r="T73" i="110" s="1"/>
  <c r="V73" i="110"/>
  <c r="W73" i="110" s="1"/>
  <c r="AN73" i="110"/>
  <c r="AO73" i="110" s="1"/>
  <c r="I79" i="136"/>
  <c r="I88" i="133"/>
  <c r="I80" i="105"/>
  <c r="M75" i="99" l="1"/>
  <c r="BG75" i="99"/>
  <c r="BH75" i="99" s="1"/>
  <c r="AB75" i="99"/>
  <c r="AC75" i="99" s="1"/>
  <c r="O75" i="99"/>
  <c r="AN75" i="99"/>
  <c r="AO75" i="99" s="1"/>
  <c r="AH75" i="99"/>
  <c r="AI75" i="99" s="1"/>
  <c r="BD75" i="99"/>
  <c r="BE75" i="99" s="1"/>
  <c r="BJ75" i="99"/>
  <c r="BL75" i="99" s="1"/>
  <c r="P75" i="99"/>
  <c r="BQ75" i="99"/>
  <c r="BR75" i="99" s="1"/>
  <c r="BK75" i="99"/>
  <c r="AK75" i="99"/>
  <c r="AL75" i="99" s="1"/>
  <c r="BN75" i="99"/>
  <c r="BO75" i="99" s="1"/>
  <c r="AQ75" i="99"/>
  <c r="AR75" i="99" s="1"/>
  <c r="Y75" i="99"/>
  <c r="Z75" i="99" s="1"/>
  <c r="R75" i="99"/>
  <c r="T75" i="99" s="1"/>
  <c r="V75" i="99"/>
  <c r="W75" i="99" s="1"/>
  <c r="AV75" i="99"/>
  <c r="AW75" i="99" s="1"/>
  <c r="AT75" i="99"/>
  <c r="BA75" i="99"/>
  <c r="BB75" i="99" s="1"/>
  <c r="K76" i="99"/>
  <c r="AY75" i="99"/>
  <c r="AE75" i="99"/>
  <c r="AF75" i="99" s="1"/>
  <c r="AY75" i="132"/>
  <c r="AE75" i="132"/>
  <c r="AF75" i="132" s="1"/>
  <c r="Y75" i="132"/>
  <c r="Z75" i="132" s="1"/>
  <c r="AH75" i="132"/>
  <c r="AI75" i="132" s="1"/>
  <c r="AN75" i="132"/>
  <c r="AO75" i="132" s="1"/>
  <c r="BG75" i="132"/>
  <c r="BH75" i="132" s="1"/>
  <c r="AQ75" i="132"/>
  <c r="AR75" i="132" s="1"/>
  <c r="AT75" i="132"/>
  <c r="BQ75" i="132"/>
  <c r="BR75" i="132" s="1"/>
  <c r="O75" i="132"/>
  <c r="R75" i="132"/>
  <c r="T75" i="132" s="1"/>
  <c r="BN75" i="132"/>
  <c r="BO75" i="132" s="1"/>
  <c r="BL75" i="132"/>
  <c r="BA75" i="132"/>
  <c r="BB75" i="132" s="1"/>
  <c r="AK75" i="132"/>
  <c r="AL75" i="132" s="1"/>
  <c r="AV75" i="132"/>
  <c r="AW75" i="132" s="1"/>
  <c r="K76" i="132"/>
  <c r="V75" i="132"/>
  <c r="W75" i="132" s="1"/>
  <c r="AB75" i="132"/>
  <c r="AC75" i="132" s="1"/>
  <c r="BD75" i="132"/>
  <c r="BE75" i="132" s="1"/>
  <c r="P75" i="132"/>
  <c r="M75" i="132"/>
  <c r="BK77" i="107"/>
  <c r="Y77" i="107"/>
  <c r="Z77" i="107" s="1"/>
  <c r="AE77" i="107"/>
  <c r="AF77" i="107" s="1"/>
  <c r="O77" i="107"/>
  <c r="AN77" i="107"/>
  <c r="AO77" i="107" s="1"/>
  <c r="AK77" i="107"/>
  <c r="AL77" i="107" s="1"/>
  <c r="BJ77" i="107"/>
  <c r="BL77" i="107" s="1"/>
  <c r="R77" i="107"/>
  <c r="T77" i="107" s="1"/>
  <c r="BA77" i="107"/>
  <c r="BB77" i="107" s="1"/>
  <c r="BG77" i="107"/>
  <c r="BH77" i="107" s="1"/>
  <c r="AQ77" i="107"/>
  <c r="AR77" i="107" s="1"/>
  <c r="M77" i="107"/>
  <c r="BQ77" i="107"/>
  <c r="BR77" i="107" s="1"/>
  <c r="P77" i="107"/>
  <c r="AV77" i="107"/>
  <c r="AW77" i="107" s="1"/>
  <c r="AY77" i="107"/>
  <c r="BN77" i="107"/>
  <c r="BO77" i="107" s="1"/>
  <c r="AT77" i="107"/>
  <c r="AH77" i="107"/>
  <c r="AI77" i="107" s="1"/>
  <c r="AB77" i="107"/>
  <c r="AC77" i="107" s="1"/>
  <c r="BD77" i="107"/>
  <c r="BE77" i="107" s="1"/>
  <c r="V77" i="107"/>
  <c r="W77" i="107" s="1"/>
  <c r="I79" i="107"/>
  <c r="K78" i="107"/>
  <c r="AV108" i="161"/>
  <c r="AW108" i="161" s="1"/>
  <c r="P108" i="161"/>
  <c r="BG108" i="161"/>
  <c r="BH108" i="161" s="1"/>
  <c r="BA108" i="161"/>
  <c r="BB108" i="161" s="1"/>
  <c r="AT108" i="161"/>
  <c r="AN108" i="161"/>
  <c r="AO108" i="161" s="1"/>
  <c r="AH108" i="161"/>
  <c r="AI108" i="161" s="1"/>
  <c r="AB108" i="161"/>
  <c r="AC108" i="161" s="1"/>
  <c r="V108" i="161"/>
  <c r="W108" i="161" s="1"/>
  <c r="O108" i="161"/>
  <c r="BR108" i="161"/>
  <c r="BD108" i="161"/>
  <c r="BE108" i="161" s="1"/>
  <c r="AQ108" i="161"/>
  <c r="AR108" i="161" s="1"/>
  <c r="AE108" i="161"/>
  <c r="AF108" i="161" s="1"/>
  <c r="R108" i="161"/>
  <c r="T108" i="161" s="1"/>
  <c r="AY108" i="161"/>
  <c r="AK108" i="161"/>
  <c r="AL108" i="161" s="1"/>
  <c r="Y108" i="161"/>
  <c r="Z108" i="161" s="1"/>
  <c r="BN108" i="161"/>
  <c r="BO108" i="161" s="1"/>
  <c r="BJ108" i="161"/>
  <c r="BL108" i="161" s="1"/>
  <c r="M108" i="161"/>
  <c r="BK108" i="161"/>
  <c r="I110" i="161"/>
  <c r="K109" i="161"/>
  <c r="BQ109" i="161" s="1"/>
  <c r="M73" i="104"/>
  <c r="P73" i="104"/>
  <c r="AV73" i="104"/>
  <c r="AW73" i="104" s="1"/>
  <c r="AQ73" i="104"/>
  <c r="AR73" i="104" s="1"/>
  <c r="AK73" i="104"/>
  <c r="AL73" i="104" s="1"/>
  <c r="AH73" i="104"/>
  <c r="AI73" i="104" s="1"/>
  <c r="V73" i="104"/>
  <c r="W73" i="104" s="1"/>
  <c r="BK73" i="104"/>
  <c r="BA73" i="104"/>
  <c r="BB73" i="104" s="1"/>
  <c r="AT73" i="104"/>
  <c r="Y73" i="104"/>
  <c r="Z73" i="104" s="1"/>
  <c r="BN73" i="104"/>
  <c r="BO73" i="104" s="1"/>
  <c r="BG73" i="104"/>
  <c r="BH73" i="104" s="1"/>
  <c r="R73" i="104"/>
  <c r="T73" i="104" s="1"/>
  <c r="AN73" i="104"/>
  <c r="AO73" i="104" s="1"/>
  <c r="BD73" i="104"/>
  <c r="BE73" i="104" s="1"/>
  <c r="K74" i="104"/>
  <c r="BQ73" i="104"/>
  <c r="BR73" i="104" s="1"/>
  <c r="BJ73" i="104"/>
  <c r="BL73" i="104" s="1"/>
  <c r="AE73" i="104"/>
  <c r="AF73" i="104" s="1"/>
  <c r="AB73" i="104"/>
  <c r="AC73" i="104" s="1"/>
  <c r="O73" i="104"/>
  <c r="AY73" i="104"/>
  <c r="BN73" i="106"/>
  <c r="BO73" i="106" s="1"/>
  <c r="AE73" i="106"/>
  <c r="AF73" i="106" s="1"/>
  <c r="BA73" i="106"/>
  <c r="BB73" i="106" s="1"/>
  <c r="Y73" i="106"/>
  <c r="Z73" i="106" s="1"/>
  <c r="BK73" i="106"/>
  <c r="BQ73" i="106"/>
  <c r="BR73" i="106" s="1"/>
  <c r="BD73" i="106"/>
  <c r="BE73" i="106" s="1"/>
  <c r="P73" i="106"/>
  <c r="BJ73" i="106"/>
  <c r="BL73" i="106" s="1"/>
  <c r="AB73" i="106"/>
  <c r="AC73" i="106" s="1"/>
  <c r="V73" i="106"/>
  <c r="W73" i="106" s="1"/>
  <c r="R73" i="106"/>
  <c r="T73" i="106" s="1"/>
  <c r="AQ73" i="106"/>
  <c r="AR73" i="106" s="1"/>
  <c r="AY73" i="106"/>
  <c r="AH73" i="106"/>
  <c r="AI73" i="106" s="1"/>
  <c r="BG73" i="106"/>
  <c r="BH73" i="106" s="1"/>
  <c r="AN73" i="106"/>
  <c r="AO73" i="106" s="1"/>
  <c r="AK73" i="106"/>
  <c r="AL73" i="106" s="1"/>
  <c r="M73" i="106"/>
  <c r="AT73" i="106"/>
  <c r="O73" i="106"/>
  <c r="AV73" i="106"/>
  <c r="AW73" i="106" s="1"/>
  <c r="K74" i="106"/>
  <c r="AE74" i="129"/>
  <c r="AF74" i="129" s="1"/>
  <c r="AB74" i="129"/>
  <c r="AC74" i="129" s="1"/>
  <c r="BD74" i="129"/>
  <c r="BE74" i="129" s="1"/>
  <c r="R74" i="129"/>
  <c r="T74" i="129" s="1"/>
  <c r="O74" i="129"/>
  <c r="AT74" i="129"/>
  <c r="K75" i="129"/>
  <c r="AH74" i="129"/>
  <c r="AI74" i="129" s="1"/>
  <c r="BQ74" i="129"/>
  <c r="BR74" i="129" s="1"/>
  <c r="AV74" i="129"/>
  <c r="AW74" i="129" s="1"/>
  <c r="M74" i="129"/>
  <c r="Y74" i="129"/>
  <c r="Z74" i="129" s="1"/>
  <c r="AK74" i="129"/>
  <c r="AL74" i="129" s="1"/>
  <c r="AY74" i="129"/>
  <c r="BN74" i="129"/>
  <c r="BO74" i="129" s="1"/>
  <c r="P74" i="129"/>
  <c r="AQ74" i="129"/>
  <c r="AR74" i="129" s="1"/>
  <c r="BG74" i="129"/>
  <c r="BH74" i="129" s="1"/>
  <c r="AN74" i="129"/>
  <c r="AO74" i="129" s="1"/>
  <c r="V74" i="129"/>
  <c r="W74" i="129" s="1"/>
  <c r="BA74" i="129"/>
  <c r="BB74" i="129" s="1"/>
  <c r="BL74" i="129"/>
  <c r="BK73" i="112"/>
  <c r="AQ73" i="112"/>
  <c r="AR73" i="112" s="1"/>
  <c r="BG73" i="112"/>
  <c r="BH73" i="112" s="1"/>
  <c r="AY73" i="112"/>
  <c r="R73" i="112"/>
  <c r="T73" i="112" s="1"/>
  <c r="AK73" i="112"/>
  <c r="AL73" i="112" s="1"/>
  <c r="BA73" i="112"/>
  <c r="BB73" i="112" s="1"/>
  <c r="AH73" i="112"/>
  <c r="AI73" i="112" s="1"/>
  <c r="AT73" i="112"/>
  <c r="BJ73" i="112"/>
  <c r="BL73" i="112" s="1"/>
  <c r="AE73" i="112"/>
  <c r="AF73" i="112" s="1"/>
  <c r="O73" i="112"/>
  <c r="AB73" i="112"/>
  <c r="AC73" i="112" s="1"/>
  <c r="M73" i="112"/>
  <c r="BQ73" i="112"/>
  <c r="BR73" i="112" s="1"/>
  <c r="Y73" i="112"/>
  <c r="Z73" i="112" s="1"/>
  <c r="AN73" i="112"/>
  <c r="AO73" i="112" s="1"/>
  <c r="K74" i="112"/>
  <c r="BD73" i="112"/>
  <c r="BE73" i="112" s="1"/>
  <c r="P73" i="112"/>
  <c r="V73" i="112"/>
  <c r="W73" i="112" s="1"/>
  <c r="BN73" i="112"/>
  <c r="BO73" i="112" s="1"/>
  <c r="AV73" i="112"/>
  <c r="AW73" i="112" s="1"/>
  <c r="I80" i="106"/>
  <c r="BL72" i="95"/>
  <c r="Y72" i="95"/>
  <c r="Z72" i="95" s="1"/>
  <c r="V72" i="95"/>
  <c r="W72" i="95" s="1"/>
  <c r="K73" i="95"/>
  <c r="AV72" i="95"/>
  <c r="AW72" i="95" s="1"/>
  <c r="AT72" i="95"/>
  <c r="BG72" i="95"/>
  <c r="BH72" i="95" s="1"/>
  <c r="P72" i="95"/>
  <c r="BQ72" i="95"/>
  <c r="BR72" i="95" s="1"/>
  <c r="BD72" i="95"/>
  <c r="BE72" i="95" s="1"/>
  <c r="AN72" i="95"/>
  <c r="AO72" i="95" s="1"/>
  <c r="AH72" i="95"/>
  <c r="AI72" i="95" s="1"/>
  <c r="AK72" i="95"/>
  <c r="AL72" i="95" s="1"/>
  <c r="M72" i="95"/>
  <c r="AQ72" i="95"/>
  <c r="AR72" i="95" s="1"/>
  <c r="AE72" i="95"/>
  <c r="AF72" i="95" s="1"/>
  <c r="R72" i="95"/>
  <c r="T72" i="95" s="1"/>
  <c r="BN72" i="95"/>
  <c r="BO72" i="95" s="1"/>
  <c r="AB72" i="95"/>
  <c r="AC72" i="95" s="1"/>
  <c r="BA72" i="95"/>
  <c r="BB72" i="95" s="1"/>
  <c r="O72" i="95"/>
  <c r="K79" i="156"/>
  <c r="AY79" i="156" s="1"/>
  <c r="I80" i="156"/>
  <c r="AY76" i="133"/>
  <c r="O76" i="133"/>
  <c r="AB76" i="133"/>
  <c r="AC76" i="133" s="1"/>
  <c r="M76" i="133"/>
  <c r="BD76" i="133"/>
  <c r="BE76" i="133" s="1"/>
  <c r="Y76" i="133"/>
  <c r="Z76" i="133" s="1"/>
  <c r="AE76" i="133"/>
  <c r="AF76" i="133" s="1"/>
  <c r="BL76" i="133"/>
  <c r="BQ76" i="133"/>
  <c r="BR76" i="133" s="1"/>
  <c r="V76" i="133"/>
  <c r="W76" i="133" s="1"/>
  <c r="BA76" i="133"/>
  <c r="BB76" i="133" s="1"/>
  <c r="AT76" i="133"/>
  <c r="BN76" i="133"/>
  <c r="BO76" i="133" s="1"/>
  <c r="AK76" i="133"/>
  <c r="AL76" i="133" s="1"/>
  <c r="P76" i="133"/>
  <c r="R76" i="133"/>
  <c r="T76" i="133" s="1"/>
  <c r="AV76" i="133"/>
  <c r="AW76" i="133" s="1"/>
  <c r="AQ76" i="133"/>
  <c r="AR76" i="133" s="1"/>
  <c r="K77" i="133"/>
  <c r="AH76" i="133"/>
  <c r="AI76" i="133" s="1"/>
  <c r="AN76" i="133"/>
  <c r="AO76" i="133" s="1"/>
  <c r="BG76" i="133"/>
  <c r="BH76" i="133" s="1"/>
  <c r="AE78" i="156"/>
  <c r="AF78" i="156" s="1"/>
  <c r="BQ78" i="156"/>
  <c r="BR78" i="156" s="1"/>
  <c r="BA78" i="156"/>
  <c r="BB78" i="156" s="1"/>
  <c r="V78" i="156"/>
  <c r="W78" i="156" s="1"/>
  <c r="P78" i="156"/>
  <c r="AK78" i="156"/>
  <c r="AL78" i="156" s="1"/>
  <c r="O78" i="156"/>
  <c r="BG78" i="156"/>
  <c r="BH78" i="156" s="1"/>
  <c r="AQ78" i="156"/>
  <c r="AR78" i="156" s="1"/>
  <c r="AV78" i="156"/>
  <c r="AW78" i="156" s="1"/>
  <c r="BD78" i="156"/>
  <c r="BE78" i="156" s="1"/>
  <c r="AB78" i="156"/>
  <c r="AC78" i="156" s="1"/>
  <c r="R78" i="156"/>
  <c r="T78" i="156" s="1"/>
  <c r="M78" i="156"/>
  <c r="AH78" i="156"/>
  <c r="AI78" i="156" s="1"/>
  <c r="BN78" i="156"/>
  <c r="BO78" i="156" s="1"/>
  <c r="Y78" i="156"/>
  <c r="Z78" i="156" s="1"/>
  <c r="AN78" i="156"/>
  <c r="AO78" i="156" s="1"/>
  <c r="BL78" i="156"/>
  <c r="BL74" i="130"/>
  <c r="K75" i="130"/>
  <c r="BN74" i="130"/>
  <c r="BO74" i="130" s="1"/>
  <c r="M74" i="130"/>
  <c r="AH74" i="130"/>
  <c r="AI74" i="130" s="1"/>
  <c r="AN74" i="130"/>
  <c r="AO74" i="130" s="1"/>
  <c r="AE74" i="130"/>
  <c r="AF74" i="130" s="1"/>
  <c r="O74" i="130"/>
  <c r="Y74" i="130"/>
  <c r="Z74" i="130" s="1"/>
  <c r="AY74" i="130"/>
  <c r="BA74" i="130"/>
  <c r="BB74" i="130" s="1"/>
  <c r="BD74" i="130"/>
  <c r="BE74" i="130" s="1"/>
  <c r="AV74" i="130"/>
  <c r="AW74" i="130" s="1"/>
  <c r="BG74" i="130"/>
  <c r="BH74" i="130" s="1"/>
  <c r="V74" i="130"/>
  <c r="W74" i="130" s="1"/>
  <c r="AB74" i="130"/>
  <c r="AC74" i="130" s="1"/>
  <c r="AT74" i="130"/>
  <c r="R74" i="130"/>
  <c r="T74" i="130" s="1"/>
  <c r="BQ74" i="130"/>
  <c r="BR74" i="130" s="1"/>
  <c r="AQ74" i="130"/>
  <c r="AR74" i="130" s="1"/>
  <c r="AK74" i="130"/>
  <c r="AL74" i="130" s="1"/>
  <c r="P74" i="130"/>
  <c r="BD53" i="151"/>
  <c r="BE53" i="151" s="1"/>
  <c r="AV53" i="151"/>
  <c r="AW53" i="151" s="1"/>
  <c r="BD47" i="151"/>
  <c r="BE47" i="151" s="1"/>
  <c r="AV47" i="151"/>
  <c r="AW47" i="151" s="1"/>
  <c r="BD45" i="151"/>
  <c r="BE45" i="151" s="1"/>
  <c r="AV45" i="151"/>
  <c r="AW45" i="151" s="1"/>
  <c r="AV41" i="151"/>
  <c r="AW41" i="151" s="1"/>
  <c r="BD41" i="151"/>
  <c r="BE41" i="151" s="1"/>
  <c r="AV37" i="151"/>
  <c r="AW37" i="151" s="1"/>
  <c r="BD37" i="151"/>
  <c r="BE37" i="151" s="1"/>
  <c r="AV32" i="151"/>
  <c r="AW32" i="151" s="1"/>
  <c r="BD32" i="151"/>
  <c r="BE32" i="151" s="1"/>
  <c r="AV26" i="151"/>
  <c r="AW26" i="151" s="1"/>
  <c r="BD26" i="151"/>
  <c r="BE26" i="151" s="1"/>
  <c r="AV26" i="155"/>
  <c r="AW26" i="155" s="1"/>
  <c r="BD26" i="155"/>
  <c r="BE26" i="155" s="1"/>
  <c r="AV53" i="155"/>
  <c r="AW53" i="155" s="1"/>
  <c r="BD53" i="155"/>
  <c r="BE53" i="155" s="1"/>
  <c r="BD34" i="155"/>
  <c r="BE34" i="155" s="1"/>
  <c r="AV34" i="155"/>
  <c r="AW34" i="155" s="1"/>
  <c r="BD46" i="155"/>
  <c r="BE46" i="155" s="1"/>
  <c r="AV46" i="155"/>
  <c r="AW46" i="155" s="1"/>
  <c r="BD29" i="155"/>
  <c r="BE29" i="155" s="1"/>
  <c r="AV29" i="155"/>
  <c r="AW29" i="155" s="1"/>
  <c r="AV21" i="155"/>
  <c r="AW21" i="155" s="1"/>
  <c r="BD21" i="155"/>
  <c r="BE21" i="155" s="1"/>
  <c r="AV33" i="155"/>
  <c r="AW33" i="155" s="1"/>
  <c r="BD33" i="155"/>
  <c r="BE33" i="155" s="1"/>
  <c r="BD36" i="155"/>
  <c r="BE36" i="155" s="1"/>
  <c r="AV36" i="155"/>
  <c r="AW36" i="155" s="1"/>
  <c r="BD32" i="155"/>
  <c r="BE32" i="155" s="1"/>
  <c r="AV32" i="155"/>
  <c r="AW32" i="155" s="1"/>
  <c r="AV20" i="155"/>
  <c r="AW20" i="155" s="1"/>
  <c r="BD20" i="155"/>
  <c r="BE20" i="155" s="1"/>
  <c r="AV51" i="151"/>
  <c r="AW51" i="151" s="1"/>
  <c r="BD51" i="151"/>
  <c r="BE51" i="151" s="1"/>
  <c r="AV48" i="151"/>
  <c r="AW48" i="151" s="1"/>
  <c r="BD48" i="151"/>
  <c r="BE48" i="151" s="1"/>
  <c r="AV43" i="151"/>
  <c r="AW43" i="151" s="1"/>
  <c r="BD43" i="151"/>
  <c r="BE43" i="151" s="1"/>
  <c r="BD40" i="151"/>
  <c r="BE40" i="151" s="1"/>
  <c r="AV40" i="151"/>
  <c r="AW40" i="151" s="1"/>
  <c r="AV35" i="151"/>
  <c r="AW35" i="151" s="1"/>
  <c r="BD35" i="151"/>
  <c r="BE35" i="151" s="1"/>
  <c r="AV31" i="151"/>
  <c r="AW31" i="151" s="1"/>
  <c r="BD31" i="151"/>
  <c r="BE31" i="151" s="1"/>
  <c r="BD27" i="151"/>
  <c r="BE27" i="151" s="1"/>
  <c r="AV27" i="151"/>
  <c r="AW27" i="151" s="1"/>
  <c r="BD28" i="155"/>
  <c r="BE28" i="155" s="1"/>
  <c r="AV28" i="155"/>
  <c r="AW28" i="155" s="1"/>
  <c r="BD23" i="155"/>
  <c r="BE23" i="155" s="1"/>
  <c r="AV23" i="155"/>
  <c r="AW23" i="155" s="1"/>
  <c r="BD30" i="155"/>
  <c r="BE30" i="155" s="1"/>
  <c r="AV30" i="155"/>
  <c r="AW30" i="155" s="1"/>
  <c r="AV41" i="155"/>
  <c r="AW41" i="155" s="1"/>
  <c r="BD41" i="155"/>
  <c r="BE41" i="155" s="1"/>
  <c r="BD19" i="155"/>
  <c r="BE19" i="155" s="1"/>
  <c r="AV19" i="155"/>
  <c r="AW19" i="155" s="1"/>
  <c r="BD17" i="155"/>
  <c r="BE17" i="155" s="1"/>
  <c r="AV17" i="155"/>
  <c r="AW17" i="155" s="1"/>
  <c r="AV54" i="155"/>
  <c r="AW54" i="155" s="1"/>
  <c r="BD54" i="155"/>
  <c r="BE54" i="155" s="1"/>
  <c r="BD24" i="155"/>
  <c r="BE24" i="155" s="1"/>
  <c r="AV24" i="155"/>
  <c r="AW24" i="155" s="1"/>
  <c r="BD40" i="155"/>
  <c r="BE40" i="155" s="1"/>
  <c r="AV40" i="155"/>
  <c r="AW40" i="155" s="1"/>
  <c r="AV15" i="155"/>
  <c r="AW15" i="155" s="1"/>
  <c r="BD15" i="155"/>
  <c r="BE15" i="155" s="1"/>
  <c r="BD54" i="151"/>
  <c r="BE54" i="151" s="1"/>
  <c r="AV54" i="151"/>
  <c r="AW54" i="151" s="1"/>
  <c r="AV50" i="151"/>
  <c r="AW50" i="151" s="1"/>
  <c r="BD50" i="151"/>
  <c r="BE50" i="151" s="1"/>
  <c r="BD46" i="151"/>
  <c r="BE46" i="151" s="1"/>
  <c r="AV46" i="151"/>
  <c r="AW46" i="151" s="1"/>
  <c r="BD42" i="151"/>
  <c r="BE42" i="151" s="1"/>
  <c r="AV42" i="151"/>
  <c r="AW42" i="151" s="1"/>
  <c r="AV38" i="151"/>
  <c r="AW38" i="151" s="1"/>
  <c r="BD38" i="151"/>
  <c r="BE38" i="151" s="1"/>
  <c r="BD34" i="151"/>
  <c r="BE34" i="151" s="1"/>
  <c r="AV34" i="151"/>
  <c r="AW34" i="151" s="1"/>
  <c r="BD29" i="151"/>
  <c r="BE29" i="151" s="1"/>
  <c r="AV29" i="151"/>
  <c r="AW29" i="151" s="1"/>
  <c r="AV28" i="151"/>
  <c r="AW28" i="151" s="1"/>
  <c r="BD28" i="151"/>
  <c r="BE28" i="151" s="1"/>
  <c r="BD50" i="155"/>
  <c r="BE50" i="155" s="1"/>
  <c r="AV50" i="155"/>
  <c r="AW50" i="155" s="1"/>
  <c r="BD51" i="155"/>
  <c r="BE51" i="155" s="1"/>
  <c r="AV51" i="155"/>
  <c r="AW51" i="155" s="1"/>
  <c r="AV35" i="155"/>
  <c r="AW35" i="155" s="1"/>
  <c r="BD35" i="155"/>
  <c r="BE35" i="155" s="1"/>
  <c r="BD22" i="155"/>
  <c r="BE22" i="155" s="1"/>
  <c r="AV22" i="155"/>
  <c r="AW22" i="155" s="1"/>
  <c r="AV38" i="155"/>
  <c r="AW38" i="155" s="1"/>
  <c r="BD38" i="155"/>
  <c r="BE38" i="155" s="1"/>
  <c r="AV47" i="155"/>
  <c r="AW47" i="155" s="1"/>
  <c r="BD47" i="155"/>
  <c r="BE47" i="155" s="1"/>
  <c r="AV18" i="155"/>
  <c r="AW18" i="155" s="1"/>
  <c r="BD18" i="155"/>
  <c r="BE18" i="155" s="1"/>
  <c r="BD48" i="155"/>
  <c r="BE48" i="155" s="1"/>
  <c r="AV48" i="155"/>
  <c r="AW48" i="155" s="1"/>
  <c r="AV52" i="155"/>
  <c r="AW52" i="155" s="1"/>
  <c r="BD52" i="155"/>
  <c r="BE52" i="155" s="1"/>
  <c r="AV45" i="155"/>
  <c r="AW45" i="155" s="1"/>
  <c r="BD45" i="155"/>
  <c r="BE45" i="155" s="1"/>
  <c r="AV52" i="151"/>
  <c r="AW52" i="151" s="1"/>
  <c r="BD52" i="151"/>
  <c r="BE52" i="151" s="1"/>
  <c r="AV49" i="151"/>
  <c r="AW49" i="151" s="1"/>
  <c r="BD49" i="151"/>
  <c r="BE49" i="151" s="1"/>
  <c r="AV44" i="151"/>
  <c r="AW44" i="151" s="1"/>
  <c r="BD44" i="151"/>
  <c r="BE44" i="151" s="1"/>
  <c r="BD39" i="151"/>
  <c r="BE39" i="151" s="1"/>
  <c r="AV39" i="151"/>
  <c r="AW39" i="151" s="1"/>
  <c r="AV36" i="151"/>
  <c r="AW36" i="151" s="1"/>
  <c r="BD36" i="151"/>
  <c r="BE36" i="151" s="1"/>
  <c r="BD33" i="151"/>
  <c r="BE33" i="151" s="1"/>
  <c r="AV33" i="151"/>
  <c r="AW33" i="151" s="1"/>
  <c r="AV30" i="151"/>
  <c r="AW30" i="151" s="1"/>
  <c r="BD30" i="151"/>
  <c r="BE30" i="151" s="1"/>
  <c r="BD25" i="151"/>
  <c r="BE25" i="151" s="1"/>
  <c r="AV25" i="151"/>
  <c r="AW25" i="151" s="1"/>
  <c r="BD42" i="155"/>
  <c r="BE42" i="155" s="1"/>
  <c r="AV42" i="155"/>
  <c r="AW42" i="155" s="1"/>
  <c r="BD27" i="155"/>
  <c r="BE27" i="155" s="1"/>
  <c r="AV27" i="155"/>
  <c r="AW27" i="155" s="1"/>
  <c r="AV37" i="155"/>
  <c r="AW37" i="155" s="1"/>
  <c r="BD37" i="155"/>
  <c r="BE37" i="155" s="1"/>
  <c r="BD49" i="155"/>
  <c r="BE49" i="155" s="1"/>
  <c r="AV49" i="155"/>
  <c r="AW49" i="155" s="1"/>
  <c r="BD25" i="155"/>
  <c r="BE25" i="155" s="1"/>
  <c r="AV25" i="155"/>
  <c r="AW25" i="155" s="1"/>
  <c r="AV39" i="155"/>
  <c r="AW39" i="155" s="1"/>
  <c r="BD39" i="155"/>
  <c r="BE39" i="155" s="1"/>
  <c r="AV44" i="155"/>
  <c r="AW44" i="155" s="1"/>
  <c r="BD44" i="155"/>
  <c r="BE44" i="155" s="1"/>
  <c r="BD31" i="155"/>
  <c r="BE31" i="155" s="1"/>
  <c r="AV31" i="155"/>
  <c r="AW31" i="155" s="1"/>
  <c r="BD43" i="155"/>
  <c r="BE43" i="155" s="1"/>
  <c r="AV43" i="155"/>
  <c r="AW43" i="155" s="1"/>
  <c r="BD16" i="155"/>
  <c r="BE16" i="155" s="1"/>
  <c r="AV16" i="155"/>
  <c r="AW16" i="155" s="1"/>
  <c r="K80" i="155"/>
  <c r="I81" i="155"/>
  <c r="M79" i="155"/>
  <c r="BQ79" i="155"/>
  <c r="BR79" i="155" s="1"/>
  <c r="O79" i="155"/>
  <c r="V79" i="155"/>
  <c r="W79" i="155" s="1"/>
  <c r="AB79" i="155"/>
  <c r="AC79" i="155" s="1"/>
  <c r="AH79" i="155"/>
  <c r="AI79" i="155" s="1"/>
  <c r="AN79" i="155"/>
  <c r="AO79" i="155" s="1"/>
  <c r="BA79" i="155"/>
  <c r="BB79" i="155" s="1"/>
  <c r="BG79" i="155"/>
  <c r="BH79" i="155" s="1"/>
  <c r="P79" i="155"/>
  <c r="AV79" i="155"/>
  <c r="AW79" i="155" s="1"/>
  <c r="BN79" i="155"/>
  <c r="BO79" i="155" s="1"/>
  <c r="R79" i="155"/>
  <c r="T79" i="155" s="1"/>
  <c r="Y79" i="155"/>
  <c r="Z79" i="155" s="1"/>
  <c r="AE79" i="155"/>
  <c r="AF79" i="155" s="1"/>
  <c r="AK79" i="155"/>
  <c r="AL79" i="155" s="1"/>
  <c r="AQ79" i="155"/>
  <c r="AR79" i="155" s="1"/>
  <c r="BD79" i="155"/>
  <c r="BE79" i="155" s="1"/>
  <c r="BL79" i="155"/>
  <c r="AV51" i="149"/>
  <c r="AW51" i="149" s="1"/>
  <c r="BD51" i="149"/>
  <c r="BE51" i="149" s="1"/>
  <c r="AV46" i="149"/>
  <c r="AW46" i="149" s="1"/>
  <c r="BD46" i="149"/>
  <c r="BE46" i="149" s="1"/>
  <c r="BD44" i="136"/>
  <c r="BE44" i="136" s="1"/>
  <c r="AV44" i="136"/>
  <c r="AW44" i="136" s="1"/>
  <c r="BD42" i="149"/>
  <c r="BE42" i="149" s="1"/>
  <c r="AV42" i="149"/>
  <c r="AW42" i="149" s="1"/>
  <c r="AV41" i="149"/>
  <c r="AW41" i="149" s="1"/>
  <c r="BD41" i="149"/>
  <c r="BE41" i="149" s="1"/>
  <c r="AV34" i="149"/>
  <c r="AW34" i="149" s="1"/>
  <c r="BD34" i="149"/>
  <c r="BE34" i="149" s="1"/>
  <c r="AV32" i="149"/>
  <c r="AW32" i="149" s="1"/>
  <c r="BD32" i="149"/>
  <c r="BE32" i="149" s="1"/>
  <c r="BD53" i="152"/>
  <c r="BE53" i="152" s="1"/>
  <c r="AV53" i="152"/>
  <c r="AW53" i="152" s="1"/>
  <c r="BD44" i="152"/>
  <c r="BE44" i="152" s="1"/>
  <c r="AV44" i="152"/>
  <c r="AW44" i="152" s="1"/>
  <c r="BD39" i="153"/>
  <c r="BE39" i="153" s="1"/>
  <c r="AV39" i="153"/>
  <c r="AW39" i="153" s="1"/>
  <c r="BD40" i="153"/>
  <c r="BE40" i="153" s="1"/>
  <c r="AV40" i="153"/>
  <c r="AW40" i="153" s="1"/>
  <c r="AV30" i="149"/>
  <c r="AW30" i="149" s="1"/>
  <c r="BD30" i="149"/>
  <c r="BE30" i="149" s="1"/>
  <c r="AV47" i="153"/>
  <c r="AW47" i="153" s="1"/>
  <c r="BD47" i="153"/>
  <c r="BE47" i="153" s="1"/>
  <c r="BD42" i="153"/>
  <c r="BE42" i="153" s="1"/>
  <c r="AV42" i="153"/>
  <c r="AW42" i="153" s="1"/>
  <c r="BD42" i="152"/>
  <c r="BE42" i="152" s="1"/>
  <c r="AV42" i="152"/>
  <c r="AW42" i="152" s="1"/>
  <c r="AV51" i="153"/>
  <c r="AW51" i="153" s="1"/>
  <c r="BD51" i="153"/>
  <c r="BE51" i="153" s="1"/>
  <c r="BD38" i="153"/>
  <c r="BE38" i="153" s="1"/>
  <c r="AV38" i="153"/>
  <c r="AW38" i="153" s="1"/>
  <c r="BD34" i="152"/>
  <c r="BE34" i="152" s="1"/>
  <c r="AV34" i="152"/>
  <c r="AW34" i="152" s="1"/>
  <c r="AV46" i="152"/>
  <c r="AW46" i="152" s="1"/>
  <c r="BD46" i="152"/>
  <c r="BE46" i="152" s="1"/>
  <c r="AV31" i="149"/>
  <c r="AW31" i="149" s="1"/>
  <c r="BD31" i="149"/>
  <c r="BE31" i="149" s="1"/>
  <c r="AV26" i="149"/>
  <c r="AW26" i="149" s="1"/>
  <c r="BD26" i="149"/>
  <c r="BE26" i="149" s="1"/>
  <c r="BD54" i="149"/>
  <c r="BE54" i="149" s="1"/>
  <c r="AV54" i="149"/>
  <c r="AW54" i="149" s="1"/>
  <c r="AV50" i="149"/>
  <c r="AW50" i="149" s="1"/>
  <c r="BD50" i="149"/>
  <c r="BE50" i="149" s="1"/>
  <c r="AV45" i="149"/>
  <c r="AW45" i="149" s="1"/>
  <c r="BD45" i="149"/>
  <c r="BE45" i="149" s="1"/>
  <c r="BD43" i="149"/>
  <c r="BE43" i="149" s="1"/>
  <c r="AV43" i="149"/>
  <c r="AW43" i="149" s="1"/>
  <c r="AV44" i="149"/>
  <c r="AW44" i="149" s="1"/>
  <c r="BD44" i="149"/>
  <c r="BE44" i="149" s="1"/>
  <c r="AV36" i="149"/>
  <c r="AW36" i="149" s="1"/>
  <c r="BD36" i="149"/>
  <c r="BE36" i="149" s="1"/>
  <c r="AV37" i="149"/>
  <c r="AW37" i="149" s="1"/>
  <c r="BD37" i="149"/>
  <c r="BE37" i="149" s="1"/>
  <c r="BD50" i="153"/>
  <c r="BE50" i="153" s="1"/>
  <c r="AV50" i="153"/>
  <c r="AW50" i="153" s="1"/>
  <c r="BD46" i="153"/>
  <c r="BE46" i="153" s="1"/>
  <c r="AV46" i="153"/>
  <c r="AW46" i="153" s="1"/>
  <c r="BD40" i="152"/>
  <c r="BE40" i="152" s="1"/>
  <c r="AV40" i="152"/>
  <c r="AW40" i="152" s="1"/>
  <c r="AV30" i="153"/>
  <c r="AW30" i="153" s="1"/>
  <c r="BD30" i="153"/>
  <c r="BE30" i="153" s="1"/>
  <c r="BD41" i="153"/>
  <c r="BE41" i="153" s="1"/>
  <c r="AV41" i="153"/>
  <c r="AW41" i="153" s="1"/>
  <c r="BD38" i="152"/>
  <c r="BE38" i="152" s="1"/>
  <c r="AV38" i="152"/>
  <c r="AW38" i="152" s="1"/>
  <c r="BD41" i="152"/>
  <c r="BE41" i="152" s="1"/>
  <c r="AV41" i="152"/>
  <c r="AW41" i="152" s="1"/>
  <c r="BD54" i="153"/>
  <c r="BE54" i="153" s="1"/>
  <c r="AV54" i="153"/>
  <c r="AW54" i="153" s="1"/>
  <c r="BD36" i="153"/>
  <c r="BE36" i="153" s="1"/>
  <c r="AV36" i="153"/>
  <c r="AW36" i="153" s="1"/>
  <c r="AV43" i="152"/>
  <c r="AW43" i="152" s="1"/>
  <c r="BD43" i="152"/>
  <c r="BE43" i="152" s="1"/>
  <c r="BD54" i="152"/>
  <c r="BE54" i="152" s="1"/>
  <c r="AV54" i="152"/>
  <c r="AW54" i="152" s="1"/>
  <c r="BD45" i="153"/>
  <c r="BE45" i="153" s="1"/>
  <c r="AV45" i="153"/>
  <c r="AW45" i="153" s="1"/>
  <c r="AV39" i="152"/>
  <c r="AW39" i="152" s="1"/>
  <c r="BD39" i="152"/>
  <c r="BE39" i="152" s="1"/>
  <c r="BD29" i="149"/>
  <c r="BE29" i="149" s="1"/>
  <c r="AV29" i="149"/>
  <c r="AW29" i="149" s="1"/>
  <c r="AV25" i="149"/>
  <c r="AW25" i="149" s="1"/>
  <c r="BD25" i="149"/>
  <c r="BE25" i="149" s="1"/>
  <c r="BD53" i="149"/>
  <c r="BE53" i="149" s="1"/>
  <c r="AV53" i="149"/>
  <c r="AW53" i="149" s="1"/>
  <c r="BD49" i="149"/>
  <c r="BE49" i="149" s="1"/>
  <c r="AV49" i="149"/>
  <c r="AW49" i="149" s="1"/>
  <c r="AV44" i="130"/>
  <c r="AW44" i="130" s="1"/>
  <c r="BD44" i="130"/>
  <c r="BE44" i="130" s="1"/>
  <c r="AV41" i="136"/>
  <c r="AW41" i="136" s="1"/>
  <c r="BD41" i="136"/>
  <c r="BE41" i="136" s="1"/>
  <c r="AV38" i="149"/>
  <c r="AW38" i="149" s="1"/>
  <c r="BD38" i="149"/>
  <c r="BE38" i="149" s="1"/>
  <c r="AV39" i="149"/>
  <c r="AW39" i="149" s="1"/>
  <c r="BD39" i="149"/>
  <c r="BE39" i="149" s="1"/>
  <c r="AV33" i="149"/>
  <c r="AW33" i="149" s="1"/>
  <c r="BD33" i="149"/>
  <c r="BE33" i="149" s="1"/>
  <c r="BD31" i="153"/>
  <c r="BE31" i="153" s="1"/>
  <c r="AV31" i="153"/>
  <c r="AW31" i="153" s="1"/>
  <c r="BD36" i="152"/>
  <c r="BE36" i="152" s="1"/>
  <c r="AV36" i="152"/>
  <c r="AW36" i="152" s="1"/>
  <c r="AV35" i="153"/>
  <c r="AW35" i="153" s="1"/>
  <c r="BD35" i="153"/>
  <c r="BE35" i="153" s="1"/>
  <c r="BD47" i="152"/>
  <c r="BE47" i="152" s="1"/>
  <c r="AV47" i="152"/>
  <c r="AW47" i="152" s="1"/>
  <c r="BD51" i="152"/>
  <c r="BE51" i="152" s="1"/>
  <c r="AV51" i="152"/>
  <c r="AW51" i="152" s="1"/>
  <c r="AV44" i="153"/>
  <c r="AW44" i="153" s="1"/>
  <c r="BD44" i="153"/>
  <c r="BE44" i="153" s="1"/>
  <c r="AV48" i="153"/>
  <c r="AW48" i="153" s="1"/>
  <c r="BD48" i="153"/>
  <c r="BE48" i="153" s="1"/>
  <c r="AV31" i="152"/>
  <c r="AW31" i="152" s="1"/>
  <c r="BD31" i="152"/>
  <c r="BE31" i="152" s="1"/>
  <c r="AV45" i="152"/>
  <c r="AW45" i="152" s="1"/>
  <c r="BD45" i="152"/>
  <c r="BE45" i="152" s="1"/>
  <c r="BD48" i="152"/>
  <c r="BE48" i="152" s="1"/>
  <c r="AV48" i="152"/>
  <c r="AW48" i="152" s="1"/>
  <c r="BD52" i="153"/>
  <c r="BE52" i="153" s="1"/>
  <c r="AV52" i="153"/>
  <c r="AW52" i="153" s="1"/>
  <c r="AV32" i="152"/>
  <c r="AW32" i="152" s="1"/>
  <c r="BD32" i="152"/>
  <c r="BE32" i="152" s="1"/>
  <c r="BD34" i="153"/>
  <c r="BE34" i="153" s="1"/>
  <c r="AV34" i="153"/>
  <c r="AW34" i="153" s="1"/>
  <c r="AV27" i="149"/>
  <c r="AW27" i="149" s="1"/>
  <c r="BD27" i="149"/>
  <c r="BE27" i="149" s="1"/>
  <c r="BD52" i="149"/>
  <c r="BE52" i="149" s="1"/>
  <c r="AV52" i="149"/>
  <c r="AW52" i="149" s="1"/>
  <c r="AV48" i="149"/>
  <c r="AW48" i="149" s="1"/>
  <c r="BD48" i="149"/>
  <c r="BE48" i="149" s="1"/>
  <c r="AV47" i="149"/>
  <c r="AW47" i="149" s="1"/>
  <c r="BD47" i="149"/>
  <c r="BE47" i="149" s="1"/>
  <c r="BD42" i="130"/>
  <c r="BE42" i="130" s="1"/>
  <c r="AV42" i="130"/>
  <c r="AW42" i="130" s="1"/>
  <c r="AV40" i="149"/>
  <c r="AW40" i="149" s="1"/>
  <c r="BD40" i="149"/>
  <c r="BE40" i="149" s="1"/>
  <c r="BD33" i="130"/>
  <c r="BE33" i="130" s="1"/>
  <c r="AV33" i="130"/>
  <c r="AW33" i="130" s="1"/>
  <c r="AV35" i="149"/>
  <c r="AW35" i="149" s="1"/>
  <c r="BD35" i="149"/>
  <c r="BE35" i="149" s="1"/>
  <c r="BD33" i="152"/>
  <c r="BE33" i="152" s="1"/>
  <c r="AV33" i="152"/>
  <c r="AW33" i="152" s="1"/>
  <c r="BD50" i="152"/>
  <c r="BE50" i="152" s="1"/>
  <c r="AV50" i="152"/>
  <c r="AW50" i="152" s="1"/>
  <c r="AV49" i="153"/>
  <c r="AW49" i="153" s="1"/>
  <c r="BD49" i="153"/>
  <c r="BE49" i="153" s="1"/>
  <c r="AV30" i="152"/>
  <c r="AW30" i="152" s="1"/>
  <c r="BD30" i="152"/>
  <c r="BE30" i="152" s="1"/>
  <c r="AV37" i="152"/>
  <c r="AW37" i="152" s="1"/>
  <c r="BD37" i="152"/>
  <c r="BE37" i="152" s="1"/>
  <c r="AV35" i="152"/>
  <c r="AW35" i="152" s="1"/>
  <c r="BD35" i="152"/>
  <c r="BE35" i="152" s="1"/>
  <c r="BD33" i="153"/>
  <c r="BE33" i="153" s="1"/>
  <c r="AV33" i="153"/>
  <c r="AW33" i="153" s="1"/>
  <c r="AV52" i="152"/>
  <c r="AW52" i="152" s="1"/>
  <c r="BD52" i="152"/>
  <c r="BE52" i="152" s="1"/>
  <c r="BD32" i="153"/>
  <c r="BE32" i="153" s="1"/>
  <c r="AV32" i="153"/>
  <c r="AW32" i="153" s="1"/>
  <c r="BD37" i="153"/>
  <c r="BE37" i="153" s="1"/>
  <c r="AV37" i="153"/>
  <c r="AW37" i="153" s="1"/>
  <c r="BD53" i="153"/>
  <c r="BE53" i="153" s="1"/>
  <c r="AV53" i="153"/>
  <c r="AW53" i="153" s="1"/>
  <c r="BD49" i="152"/>
  <c r="BE49" i="152" s="1"/>
  <c r="AV49" i="152"/>
  <c r="AW49" i="152" s="1"/>
  <c r="AV43" i="153"/>
  <c r="AW43" i="153" s="1"/>
  <c r="BD43" i="153"/>
  <c r="BE43" i="153" s="1"/>
  <c r="BD28" i="149"/>
  <c r="BE28" i="149" s="1"/>
  <c r="AV28" i="149"/>
  <c r="AW28" i="149" s="1"/>
  <c r="R79" i="153"/>
  <c r="T79" i="153" s="1"/>
  <c r="Y79" i="153"/>
  <c r="Z79" i="153" s="1"/>
  <c r="AE79" i="153"/>
  <c r="AF79" i="153" s="1"/>
  <c r="AK79" i="153"/>
  <c r="AL79" i="153" s="1"/>
  <c r="AQ79" i="153"/>
  <c r="AR79" i="153" s="1"/>
  <c r="BD79" i="153"/>
  <c r="BE79" i="153" s="1"/>
  <c r="M79" i="153"/>
  <c r="BQ79" i="153"/>
  <c r="BR79" i="153" s="1"/>
  <c r="O79" i="153"/>
  <c r="V79" i="153"/>
  <c r="W79" i="153" s="1"/>
  <c r="AB79" i="153"/>
  <c r="AC79" i="153" s="1"/>
  <c r="AH79" i="153"/>
  <c r="AI79" i="153" s="1"/>
  <c r="AN79" i="153"/>
  <c r="AO79" i="153" s="1"/>
  <c r="BA79" i="153"/>
  <c r="BB79" i="153" s="1"/>
  <c r="BG79" i="153"/>
  <c r="BH79" i="153" s="1"/>
  <c r="BL79" i="153"/>
  <c r="P79" i="153"/>
  <c r="AV79" i="153"/>
  <c r="AW79" i="153" s="1"/>
  <c r="BN79" i="153"/>
  <c r="BO79" i="153" s="1"/>
  <c r="K80" i="153"/>
  <c r="I84" i="153"/>
  <c r="O79" i="152"/>
  <c r="V79" i="152"/>
  <c r="W79" i="152" s="1"/>
  <c r="AB79" i="152"/>
  <c r="AC79" i="152" s="1"/>
  <c r="AH79" i="152"/>
  <c r="AI79" i="152" s="1"/>
  <c r="AN79" i="152"/>
  <c r="AO79" i="152" s="1"/>
  <c r="BA79" i="152"/>
  <c r="BB79" i="152" s="1"/>
  <c r="BG79" i="152"/>
  <c r="BH79" i="152" s="1"/>
  <c r="P79" i="152"/>
  <c r="AV79" i="152"/>
  <c r="AW79" i="152" s="1"/>
  <c r="BN79" i="152"/>
  <c r="BO79" i="152" s="1"/>
  <c r="R79" i="152"/>
  <c r="T79" i="152" s="1"/>
  <c r="AE79" i="152"/>
  <c r="AF79" i="152" s="1"/>
  <c r="AQ79" i="152"/>
  <c r="AR79" i="152" s="1"/>
  <c r="BD79" i="152"/>
  <c r="BE79" i="152" s="1"/>
  <c r="BQ79" i="152"/>
  <c r="BR79" i="152" s="1"/>
  <c r="Y79" i="152"/>
  <c r="Z79" i="152" s="1"/>
  <c r="AK79" i="152"/>
  <c r="AL79" i="152" s="1"/>
  <c r="M79" i="152"/>
  <c r="BL79" i="152"/>
  <c r="K80" i="152"/>
  <c r="I88" i="152"/>
  <c r="BD77" i="151"/>
  <c r="BE77" i="151" s="1"/>
  <c r="AQ77" i="151"/>
  <c r="AR77" i="151" s="1"/>
  <c r="AK77" i="151"/>
  <c r="AL77" i="151" s="1"/>
  <c r="AE77" i="151"/>
  <c r="AF77" i="151" s="1"/>
  <c r="Y77" i="151"/>
  <c r="Z77" i="151" s="1"/>
  <c r="R77" i="151"/>
  <c r="T77" i="151" s="1"/>
  <c r="BG77" i="151"/>
  <c r="BH77" i="151" s="1"/>
  <c r="BA77" i="151"/>
  <c r="BB77" i="151" s="1"/>
  <c r="AT77" i="151"/>
  <c r="AN77" i="151"/>
  <c r="AO77" i="151" s="1"/>
  <c r="AH77" i="151"/>
  <c r="AI77" i="151" s="1"/>
  <c r="AB77" i="151"/>
  <c r="AC77" i="151" s="1"/>
  <c r="V77" i="151"/>
  <c r="W77" i="151" s="1"/>
  <c r="O77" i="151"/>
  <c r="P77" i="151"/>
  <c r="AV77" i="151"/>
  <c r="AW77" i="151" s="1"/>
  <c r="AY77" i="151"/>
  <c r="BQ77" i="151"/>
  <c r="BR77" i="151" s="1"/>
  <c r="M77" i="151"/>
  <c r="BN77" i="151"/>
  <c r="BO77" i="151" s="1"/>
  <c r="BL77" i="151"/>
  <c r="I79" i="151"/>
  <c r="K78" i="151"/>
  <c r="I80" i="150"/>
  <c r="BG76" i="150"/>
  <c r="BH76" i="150" s="1"/>
  <c r="BA76" i="150"/>
  <c r="BB76" i="150" s="1"/>
  <c r="AT76" i="150"/>
  <c r="AN76" i="150"/>
  <c r="AO76" i="150" s="1"/>
  <c r="AH76" i="150"/>
  <c r="AI76" i="150" s="1"/>
  <c r="AB76" i="150"/>
  <c r="AC76" i="150" s="1"/>
  <c r="V76" i="150"/>
  <c r="W76" i="150" s="1"/>
  <c r="O76" i="150"/>
  <c r="BQ76" i="150"/>
  <c r="BR76" i="150" s="1"/>
  <c r="AY76" i="150"/>
  <c r="BD76" i="150"/>
  <c r="BE76" i="150" s="1"/>
  <c r="AQ76" i="150"/>
  <c r="AR76" i="150" s="1"/>
  <c r="AK76" i="150"/>
  <c r="AL76" i="150" s="1"/>
  <c r="AE76" i="150"/>
  <c r="AF76" i="150" s="1"/>
  <c r="Y76" i="150"/>
  <c r="Z76" i="150" s="1"/>
  <c r="R76" i="150"/>
  <c r="T76" i="150" s="1"/>
  <c r="AV76" i="150"/>
  <c r="AW76" i="150" s="1"/>
  <c r="P76" i="150"/>
  <c r="BN76" i="150"/>
  <c r="BO76" i="150" s="1"/>
  <c r="M76" i="150"/>
  <c r="BL76" i="150"/>
  <c r="K77" i="150"/>
  <c r="BQ78" i="149"/>
  <c r="BR78" i="149" s="1"/>
  <c r="AY78" i="149"/>
  <c r="BD78" i="149"/>
  <c r="BE78" i="149" s="1"/>
  <c r="AQ78" i="149"/>
  <c r="AR78" i="149" s="1"/>
  <c r="AK78" i="149"/>
  <c r="AL78" i="149" s="1"/>
  <c r="AE78" i="149"/>
  <c r="AF78" i="149" s="1"/>
  <c r="Y78" i="149"/>
  <c r="Z78" i="149" s="1"/>
  <c r="R78" i="149"/>
  <c r="T78" i="149" s="1"/>
  <c r="AV78" i="149"/>
  <c r="AW78" i="149" s="1"/>
  <c r="P78" i="149"/>
  <c r="AN78" i="149"/>
  <c r="AO78" i="149" s="1"/>
  <c r="O78" i="149"/>
  <c r="BG78" i="149"/>
  <c r="BH78" i="149" s="1"/>
  <c r="AH78" i="149"/>
  <c r="AI78" i="149" s="1"/>
  <c r="BA78" i="149"/>
  <c r="BB78" i="149" s="1"/>
  <c r="AB78" i="149"/>
  <c r="AC78" i="149" s="1"/>
  <c r="V78" i="149"/>
  <c r="W78" i="149" s="1"/>
  <c r="M78" i="149"/>
  <c r="BN78" i="149"/>
  <c r="BO78" i="149" s="1"/>
  <c r="BL78" i="149"/>
  <c r="I80" i="149"/>
  <c r="K79" i="149"/>
  <c r="AT79" i="149" s="1"/>
  <c r="AV77" i="147"/>
  <c r="AW77" i="147" s="1"/>
  <c r="P77" i="147"/>
  <c r="BG77" i="147"/>
  <c r="BH77" i="147" s="1"/>
  <c r="BA77" i="147"/>
  <c r="BB77" i="147" s="1"/>
  <c r="AT77" i="147"/>
  <c r="AN77" i="147"/>
  <c r="AO77" i="147" s="1"/>
  <c r="AH77" i="147"/>
  <c r="AI77" i="147" s="1"/>
  <c r="AB77" i="147"/>
  <c r="AC77" i="147" s="1"/>
  <c r="V77" i="147"/>
  <c r="W77" i="147" s="1"/>
  <c r="O77" i="147"/>
  <c r="AY77" i="147"/>
  <c r="BQ77" i="147"/>
  <c r="BR77" i="147" s="1"/>
  <c r="BD77" i="147"/>
  <c r="BE77" i="147" s="1"/>
  <c r="AE77" i="147"/>
  <c r="AF77" i="147" s="1"/>
  <c r="Y77" i="147"/>
  <c r="Z77" i="147" s="1"/>
  <c r="AQ77" i="147"/>
  <c r="AR77" i="147" s="1"/>
  <c r="AK77" i="147"/>
  <c r="AL77" i="147" s="1"/>
  <c r="R77" i="147"/>
  <c r="T77" i="147" s="1"/>
  <c r="BK77" i="147"/>
  <c r="M77" i="147"/>
  <c r="BN77" i="147"/>
  <c r="BO77" i="147" s="1"/>
  <c r="BJ77" i="147"/>
  <c r="BL77" i="147" s="1"/>
  <c r="I79" i="147"/>
  <c r="K78" i="147"/>
  <c r="I78" i="146"/>
  <c r="K77" i="146"/>
  <c r="BD76" i="146"/>
  <c r="BE76" i="146" s="1"/>
  <c r="AQ76" i="146"/>
  <c r="AR76" i="146" s="1"/>
  <c r="AK76" i="146"/>
  <c r="AL76" i="146" s="1"/>
  <c r="AE76" i="146"/>
  <c r="AF76" i="146" s="1"/>
  <c r="Y76" i="146"/>
  <c r="Z76" i="146" s="1"/>
  <c r="R76" i="146"/>
  <c r="T76" i="146" s="1"/>
  <c r="AV76" i="146"/>
  <c r="AW76" i="146" s="1"/>
  <c r="P76" i="146"/>
  <c r="BG76" i="146"/>
  <c r="BH76" i="146" s="1"/>
  <c r="BA76" i="146"/>
  <c r="BB76" i="146" s="1"/>
  <c r="AT76" i="146"/>
  <c r="AN76" i="146"/>
  <c r="AO76" i="146" s="1"/>
  <c r="AH76" i="146"/>
  <c r="AI76" i="146" s="1"/>
  <c r="AB76" i="146"/>
  <c r="AC76" i="146" s="1"/>
  <c r="V76" i="146"/>
  <c r="W76" i="146" s="1"/>
  <c r="O76" i="146"/>
  <c r="BQ76" i="146"/>
  <c r="BR76" i="146" s="1"/>
  <c r="AY76" i="146"/>
  <c r="BJ76" i="146"/>
  <c r="BL76" i="146" s="1"/>
  <c r="BN76" i="146"/>
  <c r="BO76" i="146" s="1"/>
  <c r="BK76" i="146"/>
  <c r="M76" i="146"/>
  <c r="I81" i="105"/>
  <c r="I80" i="136"/>
  <c r="I81" i="132"/>
  <c r="I80" i="64"/>
  <c r="I76" i="115"/>
  <c r="K75" i="115"/>
  <c r="M73" i="118"/>
  <c r="K74" i="118"/>
  <c r="BN73" i="118"/>
  <c r="BO73" i="118" s="1"/>
  <c r="O73" i="118"/>
  <c r="AT73" i="118"/>
  <c r="V73" i="118"/>
  <c r="W73" i="118" s="1"/>
  <c r="AN73" i="118"/>
  <c r="AO73" i="118" s="1"/>
  <c r="AQ73" i="118"/>
  <c r="AR73" i="118" s="1"/>
  <c r="P73" i="118"/>
  <c r="BA73" i="118"/>
  <c r="BB73" i="118" s="1"/>
  <c r="R73" i="118"/>
  <c r="T73" i="118" s="1"/>
  <c r="Y73" i="118"/>
  <c r="Z73" i="118" s="1"/>
  <c r="AK73" i="118"/>
  <c r="AL73" i="118" s="1"/>
  <c r="AV73" i="118"/>
  <c r="AW73" i="118" s="1"/>
  <c r="AH73" i="118"/>
  <c r="AI73" i="118" s="1"/>
  <c r="BG73" i="118"/>
  <c r="BH73" i="118" s="1"/>
  <c r="AY73" i="118"/>
  <c r="AB73" i="118"/>
  <c r="AC73" i="118" s="1"/>
  <c r="AE73" i="118"/>
  <c r="AF73" i="118" s="1"/>
  <c r="BD73" i="118"/>
  <c r="BE73" i="118" s="1"/>
  <c r="BQ73" i="118"/>
  <c r="BR73" i="118" s="1"/>
  <c r="AK72" i="120"/>
  <c r="AL72" i="120" s="1"/>
  <c r="AE72" i="120"/>
  <c r="AF72" i="120" s="1"/>
  <c r="V72" i="120"/>
  <c r="W72" i="120" s="1"/>
  <c r="O72" i="120"/>
  <c r="AN72" i="120"/>
  <c r="AO72" i="120" s="1"/>
  <c r="M72" i="120"/>
  <c r="P72" i="120"/>
  <c r="BG72" i="120"/>
  <c r="BH72" i="120" s="1"/>
  <c r="BA72" i="120"/>
  <c r="BB72" i="120" s="1"/>
  <c r="AQ72" i="120"/>
  <c r="AR72" i="120" s="1"/>
  <c r="AY72" i="120"/>
  <c r="AH72" i="120"/>
  <c r="AI72" i="120" s="1"/>
  <c r="Y72" i="120"/>
  <c r="Z72" i="120" s="1"/>
  <c r="AB72" i="120"/>
  <c r="AC72" i="120" s="1"/>
  <c r="AT72" i="120"/>
  <c r="R72" i="120"/>
  <c r="T72" i="120" s="1"/>
  <c r="K73" i="120"/>
  <c r="BQ72" i="120"/>
  <c r="BR72" i="120" s="1"/>
  <c r="BD72" i="120"/>
  <c r="BE72" i="120" s="1"/>
  <c r="AV72" i="120"/>
  <c r="AW72" i="120" s="1"/>
  <c r="BN72" i="120"/>
  <c r="BO72" i="120" s="1"/>
  <c r="M76" i="105"/>
  <c r="BN76" i="105"/>
  <c r="BO76" i="105" s="1"/>
  <c r="BJ76" i="105"/>
  <c r="BL76" i="105" s="1"/>
  <c r="BK76" i="105"/>
  <c r="AQ76" i="105"/>
  <c r="AR76" i="105" s="1"/>
  <c r="AH76" i="105"/>
  <c r="AI76" i="105" s="1"/>
  <c r="V76" i="105"/>
  <c r="W76" i="105" s="1"/>
  <c r="P76" i="105"/>
  <c r="O76" i="105"/>
  <c r="AT76" i="105"/>
  <c r="BG76" i="105"/>
  <c r="BH76" i="105" s="1"/>
  <c r="BD76" i="105"/>
  <c r="BE76" i="105" s="1"/>
  <c r="AB76" i="105"/>
  <c r="AC76" i="105" s="1"/>
  <c r="AN76" i="105"/>
  <c r="AO76" i="105" s="1"/>
  <c r="AE76" i="105"/>
  <c r="AF76" i="105" s="1"/>
  <c r="Y76" i="105"/>
  <c r="Z76" i="105" s="1"/>
  <c r="AK76" i="105"/>
  <c r="AL76" i="105" s="1"/>
  <c r="BQ76" i="105"/>
  <c r="BR76" i="105" s="1"/>
  <c r="AY76" i="105"/>
  <c r="BA76" i="105"/>
  <c r="BB76" i="105" s="1"/>
  <c r="AV76" i="105"/>
  <c r="AW76" i="105" s="1"/>
  <c r="R76" i="105"/>
  <c r="T76" i="105" s="1"/>
  <c r="K77" i="105"/>
  <c r="BN76" i="136"/>
  <c r="BO76" i="136" s="1"/>
  <c r="M76" i="136"/>
  <c r="BA76" i="136"/>
  <c r="BB76" i="136" s="1"/>
  <c r="R76" i="136"/>
  <c r="T76" i="136" s="1"/>
  <c r="BL76" i="136"/>
  <c r="AV76" i="136"/>
  <c r="AW76" i="136" s="1"/>
  <c r="P76" i="136"/>
  <c r="AY76" i="136"/>
  <c r="BG76" i="136"/>
  <c r="BH76" i="136" s="1"/>
  <c r="Y76" i="136"/>
  <c r="Z76" i="136" s="1"/>
  <c r="O76" i="136"/>
  <c r="AH76" i="136"/>
  <c r="AI76" i="136" s="1"/>
  <c r="AB76" i="136"/>
  <c r="AC76" i="136" s="1"/>
  <c r="AN76" i="136"/>
  <c r="AO76" i="136" s="1"/>
  <c r="AT76" i="136"/>
  <c r="BQ76" i="136"/>
  <c r="BR76" i="136" s="1"/>
  <c r="AK76" i="136"/>
  <c r="AL76" i="136" s="1"/>
  <c r="AQ76" i="136"/>
  <c r="AR76" i="136" s="1"/>
  <c r="AE76" i="136"/>
  <c r="AF76" i="136" s="1"/>
  <c r="BD76" i="136"/>
  <c r="BE76" i="136" s="1"/>
  <c r="V76" i="136"/>
  <c r="W76" i="136" s="1"/>
  <c r="K77" i="136"/>
  <c r="M74" i="63"/>
  <c r="BN74" i="63"/>
  <c r="BO74" i="63" s="1"/>
  <c r="AK74" i="63"/>
  <c r="AL74" i="63" s="1"/>
  <c r="BG74" i="63"/>
  <c r="BH74" i="63" s="1"/>
  <c r="Y74" i="63"/>
  <c r="Z74" i="63" s="1"/>
  <c r="AB74" i="63"/>
  <c r="AC74" i="63" s="1"/>
  <c r="BD74" i="63"/>
  <c r="BE74" i="63" s="1"/>
  <c r="V74" i="63"/>
  <c r="W74" i="63" s="1"/>
  <c r="AN74" i="63"/>
  <c r="AO74" i="63" s="1"/>
  <c r="BA74" i="63"/>
  <c r="BB74" i="63" s="1"/>
  <c r="AE74" i="63"/>
  <c r="AF74" i="63" s="1"/>
  <c r="AH74" i="63"/>
  <c r="AI74" i="63" s="1"/>
  <c r="BQ74" i="63"/>
  <c r="BR74" i="63" s="1"/>
  <c r="AV74" i="63"/>
  <c r="AW74" i="63" s="1"/>
  <c r="P74" i="63"/>
  <c r="AT74" i="63"/>
  <c r="AQ74" i="63"/>
  <c r="AR74" i="63" s="1"/>
  <c r="R74" i="63"/>
  <c r="T74" i="63" s="1"/>
  <c r="AY74" i="63"/>
  <c r="O74" i="63"/>
  <c r="BL74" i="63"/>
  <c r="K75" i="63"/>
  <c r="BN74" i="96"/>
  <c r="BO74" i="96" s="1"/>
  <c r="AK74" i="96"/>
  <c r="AL74" i="96" s="1"/>
  <c r="M74" i="96"/>
  <c r="AT74" i="96"/>
  <c r="AQ74" i="96"/>
  <c r="AR74" i="96" s="1"/>
  <c r="BA74" i="96"/>
  <c r="BB74" i="96" s="1"/>
  <c r="BQ74" i="96"/>
  <c r="BR74" i="96" s="1"/>
  <c r="P74" i="96"/>
  <c r="AN74" i="96"/>
  <c r="AO74" i="96" s="1"/>
  <c r="Y74" i="96"/>
  <c r="Z74" i="96" s="1"/>
  <c r="AE74" i="96"/>
  <c r="AF74" i="96" s="1"/>
  <c r="AB74" i="96"/>
  <c r="AC74" i="96" s="1"/>
  <c r="AH74" i="96"/>
  <c r="AI74" i="96" s="1"/>
  <c r="O74" i="96"/>
  <c r="BD74" i="96"/>
  <c r="BE74" i="96" s="1"/>
  <c r="V74" i="96"/>
  <c r="W74" i="96" s="1"/>
  <c r="BL74" i="96"/>
  <c r="BG74" i="96"/>
  <c r="BH74" i="96" s="1"/>
  <c r="R74" i="96"/>
  <c r="T74" i="96" s="1"/>
  <c r="AV74" i="96"/>
  <c r="AW74" i="96" s="1"/>
  <c r="M73" i="101"/>
  <c r="AT73" i="101"/>
  <c r="AK73" i="101"/>
  <c r="AL73" i="101" s="1"/>
  <c r="BA73" i="101"/>
  <c r="BB73" i="101" s="1"/>
  <c r="V73" i="101"/>
  <c r="W73" i="101" s="1"/>
  <c r="AB73" i="101"/>
  <c r="AC73" i="101" s="1"/>
  <c r="BG73" i="101"/>
  <c r="BH73" i="101" s="1"/>
  <c r="AV73" i="101"/>
  <c r="AW73" i="101" s="1"/>
  <c r="Y73" i="101"/>
  <c r="Z73" i="101" s="1"/>
  <c r="R73" i="101"/>
  <c r="T73" i="101" s="1"/>
  <c r="BD73" i="101"/>
  <c r="BE73" i="101" s="1"/>
  <c r="AQ73" i="101"/>
  <c r="AR73" i="101" s="1"/>
  <c r="AY73" i="101"/>
  <c r="AH73" i="101"/>
  <c r="AI73" i="101" s="1"/>
  <c r="O73" i="101"/>
  <c r="P73" i="101"/>
  <c r="BQ73" i="101"/>
  <c r="BR73" i="101" s="1"/>
  <c r="AN73" i="101"/>
  <c r="AO73" i="101" s="1"/>
  <c r="AE73" i="101"/>
  <c r="AF73" i="101" s="1"/>
  <c r="I83" i="95"/>
  <c r="I79" i="63"/>
  <c r="BN72" i="17"/>
  <c r="BO72" i="17" s="1"/>
  <c r="BL72" i="17"/>
  <c r="M72" i="17"/>
  <c r="AY72" i="17"/>
  <c r="AB72" i="17"/>
  <c r="AC72" i="17" s="1"/>
  <c r="BA72" i="17"/>
  <c r="BB72" i="17" s="1"/>
  <c r="AV72" i="17"/>
  <c r="AW72" i="17" s="1"/>
  <c r="AH72" i="17"/>
  <c r="AI72" i="17" s="1"/>
  <c r="BD72" i="17"/>
  <c r="BE72" i="17" s="1"/>
  <c r="AT72" i="17"/>
  <c r="AE72" i="17"/>
  <c r="AF72" i="17" s="1"/>
  <c r="BG72" i="17"/>
  <c r="BH72" i="17" s="1"/>
  <c r="BQ72" i="17"/>
  <c r="BR72" i="17" s="1"/>
  <c r="Y72" i="17"/>
  <c r="Z72" i="17" s="1"/>
  <c r="AK72" i="17"/>
  <c r="AL72" i="17" s="1"/>
  <c r="AN72" i="17"/>
  <c r="AO72" i="17" s="1"/>
  <c r="V72" i="17"/>
  <c r="W72" i="17" s="1"/>
  <c r="AQ72" i="17"/>
  <c r="AR72" i="17" s="1"/>
  <c r="R72" i="17"/>
  <c r="T72" i="17" s="1"/>
  <c r="P72" i="17"/>
  <c r="O72" i="17"/>
  <c r="I89" i="133"/>
  <c r="I78" i="104"/>
  <c r="BK74" i="98"/>
  <c r="BJ74" i="98"/>
  <c r="BL74" i="98" s="1"/>
  <c r="BN74" i="98"/>
  <c r="BO74" i="98" s="1"/>
  <c r="P74" i="98"/>
  <c r="M74" i="98"/>
  <c r="K75" i="98"/>
  <c r="AN74" i="98"/>
  <c r="AO74" i="98" s="1"/>
  <c r="AE74" i="98"/>
  <c r="AF74" i="98" s="1"/>
  <c r="AV74" i="98"/>
  <c r="AW74" i="98" s="1"/>
  <c r="BD74" i="98"/>
  <c r="BE74" i="98" s="1"/>
  <c r="AH74" i="98"/>
  <c r="AI74" i="98" s="1"/>
  <c r="Y74" i="98"/>
  <c r="Z74" i="98" s="1"/>
  <c r="AQ74" i="98"/>
  <c r="AR74" i="98" s="1"/>
  <c r="AT74" i="98"/>
  <c r="AB74" i="98"/>
  <c r="AC74" i="98" s="1"/>
  <c r="AK74" i="98"/>
  <c r="AL74" i="98" s="1"/>
  <c r="O74" i="98"/>
  <c r="V74" i="98"/>
  <c r="W74" i="98" s="1"/>
  <c r="BQ74" i="98"/>
  <c r="BR74" i="98" s="1"/>
  <c r="BG74" i="98"/>
  <c r="BH74" i="98" s="1"/>
  <c r="AY74" i="98"/>
  <c r="R74" i="98"/>
  <c r="T74" i="98" s="1"/>
  <c r="BA74" i="98"/>
  <c r="BB74" i="98" s="1"/>
  <c r="I75" i="101"/>
  <c r="K74" i="101"/>
  <c r="I74" i="13"/>
  <c r="K73" i="13"/>
  <c r="I80" i="114"/>
  <c r="M74" i="110"/>
  <c r="BN74" i="110"/>
  <c r="BO74" i="110" s="1"/>
  <c r="BK74" i="110"/>
  <c r="BJ74" i="110"/>
  <c r="BL74" i="110" s="1"/>
  <c r="AN74" i="110"/>
  <c r="AO74" i="110" s="1"/>
  <c r="BQ74" i="110"/>
  <c r="BR74" i="110" s="1"/>
  <c r="Y74" i="110"/>
  <c r="Z74" i="110" s="1"/>
  <c r="V74" i="110"/>
  <c r="W74" i="110" s="1"/>
  <c r="BD74" i="110"/>
  <c r="BE74" i="110" s="1"/>
  <c r="BG74" i="110"/>
  <c r="BH74" i="110" s="1"/>
  <c r="O74" i="110"/>
  <c r="AH74" i="110"/>
  <c r="AI74" i="110" s="1"/>
  <c r="AB74" i="110"/>
  <c r="AC74" i="110" s="1"/>
  <c r="AV74" i="110"/>
  <c r="AW74" i="110" s="1"/>
  <c r="AY74" i="110"/>
  <c r="P74" i="110"/>
  <c r="AE74" i="110"/>
  <c r="AF74" i="110" s="1"/>
  <c r="BA74" i="110"/>
  <c r="BB74" i="110" s="1"/>
  <c r="AK74" i="110"/>
  <c r="AL74" i="110" s="1"/>
  <c r="AT74" i="110"/>
  <c r="R74" i="110"/>
  <c r="T74" i="110" s="1"/>
  <c r="AQ74" i="110"/>
  <c r="AR74" i="110" s="1"/>
  <c r="K73" i="66"/>
  <c r="I74" i="66"/>
  <c r="M75" i="135"/>
  <c r="AH75" i="135"/>
  <c r="AI75" i="135" s="1"/>
  <c r="AT75" i="135"/>
  <c r="V75" i="135"/>
  <c r="W75" i="135" s="1"/>
  <c r="AQ75" i="135"/>
  <c r="AR75" i="135" s="1"/>
  <c r="P75" i="135"/>
  <c r="BA75" i="135"/>
  <c r="BB75" i="135" s="1"/>
  <c r="BQ75" i="135"/>
  <c r="BR75" i="135" s="1"/>
  <c r="BG75" i="135"/>
  <c r="BH75" i="135" s="1"/>
  <c r="AB75" i="135"/>
  <c r="AC75" i="135" s="1"/>
  <c r="AN75" i="135"/>
  <c r="AO75" i="135" s="1"/>
  <c r="AY75" i="135"/>
  <c r="AE75" i="135"/>
  <c r="AF75" i="135" s="1"/>
  <c r="Y75" i="135"/>
  <c r="Z75" i="135" s="1"/>
  <c r="O75" i="135"/>
  <c r="BD75" i="135"/>
  <c r="BE75" i="135" s="1"/>
  <c r="R75" i="135"/>
  <c r="T75" i="135" s="1"/>
  <c r="AV75" i="135"/>
  <c r="AW75" i="135" s="1"/>
  <c r="BN75" i="135"/>
  <c r="BO75" i="135" s="1"/>
  <c r="AK75" i="135"/>
  <c r="AL75" i="135" s="1"/>
  <c r="BL75" i="135"/>
  <c r="I78" i="15"/>
  <c r="I74" i="17"/>
  <c r="K73" i="17"/>
  <c r="AV75" i="64"/>
  <c r="AW75" i="64" s="1"/>
  <c r="AQ75" i="64"/>
  <c r="AR75" i="64" s="1"/>
  <c r="BG75" i="64"/>
  <c r="BH75" i="64" s="1"/>
  <c r="AY75" i="64"/>
  <c r="AB75" i="64"/>
  <c r="AC75" i="64" s="1"/>
  <c r="M75" i="64"/>
  <c r="BA75" i="64"/>
  <c r="BB75" i="64" s="1"/>
  <c r="P75" i="64"/>
  <c r="Y75" i="64"/>
  <c r="Z75" i="64" s="1"/>
  <c r="AT75" i="64"/>
  <c r="AH75" i="64"/>
  <c r="AI75" i="64" s="1"/>
  <c r="BD75" i="64"/>
  <c r="BE75" i="64" s="1"/>
  <c r="AE75" i="64"/>
  <c r="AF75" i="64" s="1"/>
  <c r="V75" i="64"/>
  <c r="W75" i="64" s="1"/>
  <c r="BQ75" i="64"/>
  <c r="BR75" i="64" s="1"/>
  <c r="O75" i="64"/>
  <c r="AK75" i="64"/>
  <c r="AL75" i="64" s="1"/>
  <c r="AN75" i="64"/>
  <c r="AO75" i="64" s="1"/>
  <c r="R75" i="64"/>
  <c r="T75" i="64" s="1"/>
  <c r="BN75" i="64"/>
  <c r="BO75" i="64" s="1"/>
  <c r="BL75" i="64"/>
  <c r="K76" i="64"/>
  <c r="M74" i="115"/>
  <c r="BN74" i="115"/>
  <c r="BO74" i="115" s="1"/>
  <c r="BJ74" i="115"/>
  <c r="BL74" i="115" s="1"/>
  <c r="BK74" i="115"/>
  <c r="AB74" i="115"/>
  <c r="AC74" i="115" s="1"/>
  <c r="AT74" i="115"/>
  <c r="AH74" i="115"/>
  <c r="AI74" i="115" s="1"/>
  <c r="Y74" i="115"/>
  <c r="Z74" i="115" s="1"/>
  <c r="AE74" i="115"/>
  <c r="AF74" i="115" s="1"/>
  <c r="AV74" i="115"/>
  <c r="AW74" i="115" s="1"/>
  <c r="AY74" i="115"/>
  <c r="AK74" i="115"/>
  <c r="AL74" i="115" s="1"/>
  <c r="P74" i="115"/>
  <c r="O74" i="115"/>
  <c r="BQ74" i="115"/>
  <c r="BR74" i="115" s="1"/>
  <c r="R74" i="115"/>
  <c r="T74" i="115" s="1"/>
  <c r="BD74" i="115"/>
  <c r="BE74" i="115" s="1"/>
  <c r="BA74" i="115"/>
  <c r="BB74" i="115" s="1"/>
  <c r="BG74" i="115"/>
  <c r="BH74" i="115" s="1"/>
  <c r="AN74" i="115"/>
  <c r="AO74" i="115" s="1"/>
  <c r="V74" i="115"/>
  <c r="W74" i="115" s="1"/>
  <c r="AQ74" i="115"/>
  <c r="AR74" i="115" s="1"/>
  <c r="M72" i="13"/>
  <c r="BN72" i="13"/>
  <c r="BO72" i="13" s="1"/>
  <c r="BL72" i="13"/>
  <c r="AH72" i="13"/>
  <c r="AI72" i="13" s="1"/>
  <c r="BQ72" i="13"/>
  <c r="BR72" i="13" s="1"/>
  <c r="O72" i="13"/>
  <c r="Y72" i="13"/>
  <c r="Z72" i="13" s="1"/>
  <c r="AT72" i="13"/>
  <c r="AY72" i="13"/>
  <c r="BD72" i="13"/>
  <c r="BE72" i="13" s="1"/>
  <c r="P72" i="13"/>
  <c r="AK72" i="13"/>
  <c r="AL72" i="13" s="1"/>
  <c r="AN72" i="13"/>
  <c r="AO72" i="13" s="1"/>
  <c r="AV72" i="13"/>
  <c r="AW72" i="13" s="1"/>
  <c r="BA72" i="13"/>
  <c r="BB72" i="13" s="1"/>
  <c r="V72" i="13"/>
  <c r="W72" i="13" s="1"/>
  <c r="AQ72" i="13"/>
  <c r="AR72" i="13" s="1"/>
  <c r="AB72" i="13"/>
  <c r="AC72" i="13" s="1"/>
  <c r="BG72" i="13"/>
  <c r="BH72" i="13" s="1"/>
  <c r="AE72" i="13"/>
  <c r="AF72" i="13" s="1"/>
  <c r="R72" i="13"/>
  <c r="T72" i="13" s="1"/>
  <c r="BJ78" i="124"/>
  <c r="BL78" i="124" s="1"/>
  <c r="K79" i="124"/>
  <c r="BN78" i="124"/>
  <c r="BO78" i="124" s="1"/>
  <c r="M78" i="124"/>
  <c r="BK78" i="124"/>
  <c r="AN78" i="124"/>
  <c r="AO78" i="124" s="1"/>
  <c r="AH78" i="124"/>
  <c r="AI78" i="124" s="1"/>
  <c r="AQ78" i="124"/>
  <c r="AR78" i="124" s="1"/>
  <c r="AT78" i="124"/>
  <c r="AY78" i="124"/>
  <c r="BQ78" i="124"/>
  <c r="BR78" i="124" s="1"/>
  <c r="AK78" i="124"/>
  <c r="AL78" i="124" s="1"/>
  <c r="BA78" i="124"/>
  <c r="BB78" i="124" s="1"/>
  <c r="AE78" i="124"/>
  <c r="AF78" i="124" s="1"/>
  <c r="BG78" i="124"/>
  <c r="BH78" i="124" s="1"/>
  <c r="AB78" i="124"/>
  <c r="AC78" i="124" s="1"/>
  <c r="V78" i="124"/>
  <c r="W78" i="124" s="1"/>
  <c r="BD78" i="124"/>
  <c r="BE78" i="124" s="1"/>
  <c r="O78" i="124"/>
  <c r="P78" i="124"/>
  <c r="AV78" i="124"/>
  <c r="AW78" i="124" s="1"/>
  <c r="Y78" i="124"/>
  <c r="Z78" i="124" s="1"/>
  <c r="R78" i="124"/>
  <c r="T78" i="124" s="1"/>
  <c r="M74" i="114"/>
  <c r="BN74" i="114"/>
  <c r="BO74" i="114" s="1"/>
  <c r="BJ74" i="114"/>
  <c r="BL74" i="114" s="1"/>
  <c r="BK74" i="114"/>
  <c r="AY74" i="114"/>
  <c r="BD74" i="114"/>
  <c r="BE74" i="114" s="1"/>
  <c r="AB74" i="114"/>
  <c r="AC74" i="114" s="1"/>
  <c r="P74" i="114"/>
  <c r="AH74" i="114"/>
  <c r="AI74" i="114" s="1"/>
  <c r="Y74" i="114"/>
  <c r="Z74" i="114" s="1"/>
  <c r="BG74" i="114"/>
  <c r="BH74" i="114" s="1"/>
  <c r="BQ74" i="114"/>
  <c r="BR74" i="114" s="1"/>
  <c r="AQ74" i="114"/>
  <c r="AR74" i="114" s="1"/>
  <c r="AK74" i="114"/>
  <c r="AL74" i="114" s="1"/>
  <c r="AN74" i="114"/>
  <c r="AO74" i="114" s="1"/>
  <c r="AT74" i="114"/>
  <c r="AV74" i="114"/>
  <c r="AW74" i="114" s="1"/>
  <c r="R74" i="114"/>
  <c r="T74" i="114" s="1"/>
  <c r="O74" i="114"/>
  <c r="AE74" i="114"/>
  <c r="AF74" i="114" s="1"/>
  <c r="BA74" i="114"/>
  <c r="BB74" i="114" s="1"/>
  <c r="V74" i="114"/>
  <c r="W74" i="114" s="1"/>
  <c r="K75" i="114"/>
  <c r="I79" i="126"/>
  <c r="BL73" i="15"/>
  <c r="BN73" i="15"/>
  <c r="BO73" i="15" s="1"/>
  <c r="BG73" i="15"/>
  <c r="BH73" i="15" s="1"/>
  <c r="V73" i="15"/>
  <c r="W73" i="15" s="1"/>
  <c r="AQ73" i="15"/>
  <c r="AR73" i="15" s="1"/>
  <c r="AH73" i="15"/>
  <c r="AI73" i="15" s="1"/>
  <c r="O73" i="15"/>
  <c r="AE73" i="15"/>
  <c r="AF73" i="15" s="1"/>
  <c r="AN73" i="15"/>
  <c r="AO73" i="15" s="1"/>
  <c r="BQ73" i="15"/>
  <c r="BR73" i="15" s="1"/>
  <c r="AT73" i="15"/>
  <c r="Y73" i="15"/>
  <c r="Z73" i="15" s="1"/>
  <c r="BA73" i="15"/>
  <c r="BB73" i="15" s="1"/>
  <c r="P73" i="15"/>
  <c r="AK73" i="15"/>
  <c r="AL73" i="15" s="1"/>
  <c r="M73" i="15"/>
  <c r="BD73" i="15"/>
  <c r="BE73" i="15" s="1"/>
  <c r="AY73" i="15"/>
  <c r="R73" i="15"/>
  <c r="T73" i="15" s="1"/>
  <c r="AB73" i="15"/>
  <c r="AC73" i="15" s="1"/>
  <c r="AV73" i="15"/>
  <c r="AW73" i="15" s="1"/>
  <c r="K74" i="15"/>
  <c r="M74" i="126"/>
  <c r="BN74" i="126"/>
  <c r="BO74" i="126" s="1"/>
  <c r="BK74" i="126"/>
  <c r="BJ74" i="126"/>
  <c r="BL74" i="126" s="1"/>
  <c r="AV74" i="126"/>
  <c r="AW74" i="126" s="1"/>
  <c r="R74" i="126"/>
  <c r="T74" i="126" s="1"/>
  <c r="BD74" i="126"/>
  <c r="BE74" i="126" s="1"/>
  <c r="BA74" i="126"/>
  <c r="BB74" i="126" s="1"/>
  <c r="AB74" i="126"/>
  <c r="AC74" i="126" s="1"/>
  <c r="AE74" i="126"/>
  <c r="AF74" i="126" s="1"/>
  <c r="AT74" i="126"/>
  <c r="BG74" i="126"/>
  <c r="BH74" i="126" s="1"/>
  <c r="AK74" i="126"/>
  <c r="AL74" i="126" s="1"/>
  <c r="O74" i="126"/>
  <c r="P74" i="126"/>
  <c r="BQ74" i="126"/>
  <c r="BR74" i="126" s="1"/>
  <c r="AQ74" i="126"/>
  <c r="AR74" i="126" s="1"/>
  <c r="V74" i="126"/>
  <c r="W74" i="126" s="1"/>
  <c r="AH74" i="126"/>
  <c r="AI74" i="126" s="1"/>
  <c r="Y74" i="126"/>
  <c r="Z74" i="126" s="1"/>
  <c r="AN74" i="126"/>
  <c r="AO74" i="126" s="1"/>
  <c r="AY74" i="126"/>
  <c r="K75" i="126"/>
  <c r="I76" i="110"/>
  <c r="K75" i="110"/>
  <c r="BA72" i="66"/>
  <c r="BB72" i="66" s="1"/>
  <c r="BG72" i="66"/>
  <c r="BH72" i="66" s="1"/>
  <c r="O72" i="66"/>
  <c r="BD72" i="66"/>
  <c r="BE72" i="66" s="1"/>
  <c r="AT72" i="66"/>
  <c r="V72" i="66"/>
  <c r="W72" i="66" s="1"/>
  <c r="M72" i="66"/>
  <c r="R72" i="66"/>
  <c r="T72" i="66" s="1"/>
  <c r="Y72" i="66"/>
  <c r="Z72" i="66" s="1"/>
  <c r="AH72" i="66"/>
  <c r="AI72" i="66" s="1"/>
  <c r="AK72" i="66"/>
  <c r="AL72" i="66" s="1"/>
  <c r="AE72" i="66"/>
  <c r="AF72" i="66" s="1"/>
  <c r="AV72" i="66"/>
  <c r="AW72" i="66" s="1"/>
  <c r="P72" i="66"/>
  <c r="BQ72" i="66"/>
  <c r="BR72" i="66" s="1"/>
  <c r="AY72" i="66"/>
  <c r="AQ72" i="66"/>
  <c r="AR72" i="66" s="1"/>
  <c r="AB72" i="66"/>
  <c r="AC72" i="66" s="1"/>
  <c r="BN72" i="66"/>
  <c r="BO72" i="66" s="1"/>
  <c r="AN72" i="66"/>
  <c r="AO72" i="66" s="1"/>
  <c r="BL72" i="66"/>
  <c r="I77" i="135"/>
  <c r="K76" i="135"/>
  <c r="I76" i="96"/>
  <c r="K75" i="96"/>
  <c r="O76" i="132" l="1"/>
  <c r="BG76" i="132"/>
  <c r="BH76" i="132" s="1"/>
  <c r="R76" i="132"/>
  <c r="T76" i="132" s="1"/>
  <c r="BN76" i="132"/>
  <c r="BO76" i="132" s="1"/>
  <c r="AH76" i="132"/>
  <c r="AI76" i="132" s="1"/>
  <c r="Y76" i="132"/>
  <c r="Z76" i="132" s="1"/>
  <c r="BL76" i="132"/>
  <c r="K77" i="132"/>
  <c r="AE76" i="132"/>
  <c r="AF76" i="132" s="1"/>
  <c r="AB76" i="132"/>
  <c r="AC76" i="132" s="1"/>
  <c r="AK76" i="132"/>
  <c r="AL76" i="132" s="1"/>
  <c r="AN76" i="132"/>
  <c r="AO76" i="132" s="1"/>
  <c r="BA76" i="132"/>
  <c r="BB76" i="132" s="1"/>
  <c r="AT76" i="132"/>
  <c r="AV76" i="132"/>
  <c r="AW76" i="132" s="1"/>
  <c r="M76" i="132"/>
  <c r="V76" i="132"/>
  <c r="W76" i="132" s="1"/>
  <c r="AY76" i="132"/>
  <c r="BQ76" i="132"/>
  <c r="BR76" i="132" s="1"/>
  <c r="BD76" i="132"/>
  <c r="BE76" i="132" s="1"/>
  <c r="P76" i="132"/>
  <c r="AQ76" i="132"/>
  <c r="AR76" i="132" s="1"/>
  <c r="BJ78" i="107"/>
  <c r="BL78" i="107" s="1"/>
  <c r="BQ78" i="107"/>
  <c r="BR78" i="107" s="1"/>
  <c r="AT78" i="107"/>
  <c r="AV78" i="107"/>
  <c r="AW78" i="107" s="1"/>
  <c r="M78" i="107"/>
  <c r="AK78" i="107"/>
  <c r="AL78" i="107" s="1"/>
  <c r="V78" i="107"/>
  <c r="W78" i="107" s="1"/>
  <c r="AQ78" i="107"/>
  <c r="AR78" i="107" s="1"/>
  <c r="AY78" i="107"/>
  <c r="R78" i="107"/>
  <c r="T78" i="107" s="1"/>
  <c r="BK78" i="107"/>
  <c r="AB78" i="107"/>
  <c r="AC78" i="107" s="1"/>
  <c r="O78" i="107"/>
  <c r="AH78" i="107"/>
  <c r="AI78" i="107" s="1"/>
  <c r="BA78" i="107"/>
  <c r="BB78" i="107" s="1"/>
  <c r="BN78" i="107"/>
  <c r="BO78" i="107" s="1"/>
  <c r="P78" i="107"/>
  <c r="AE78" i="107"/>
  <c r="AF78" i="107" s="1"/>
  <c r="BG78" i="107"/>
  <c r="BH78" i="107" s="1"/>
  <c r="AN78" i="107"/>
  <c r="AO78" i="107" s="1"/>
  <c r="BD78" i="107"/>
  <c r="BE78" i="107" s="1"/>
  <c r="Y78" i="107"/>
  <c r="Z78" i="107" s="1"/>
  <c r="M76" i="99"/>
  <c r="BN76" i="99"/>
  <c r="BO76" i="99" s="1"/>
  <c r="AB76" i="99"/>
  <c r="AC76" i="99" s="1"/>
  <c r="AH76" i="99"/>
  <c r="AI76" i="99" s="1"/>
  <c r="O76" i="99"/>
  <c r="P76" i="99"/>
  <c r="AQ76" i="99"/>
  <c r="AR76" i="99" s="1"/>
  <c r="AY76" i="99"/>
  <c r="V76" i="99"/>
  <c r="W76" i="99" s="1"/>
  <c r="BJ76" i="99"/>
  <c r="BL76" i="99" s="1"/>
  <c r="BQ76" i="99"/>
  <c r="BR76" i="99" s="1"/>
  <c r="BA76" i="99"/>
  <c r="BB76" i="99" s="1"/>
  <c r="AE76" i="99"/>
  <c r="AF76" i="99" s="1"/>
  <c r="AT76" i="99"/>
  <c r="BK76" i="99"/>
  <c r="R76" i="99"/>
  <c r="T76" i="99" s="1"/>
  <c r="AN76" i="99"/>
  <c r="AO76" i="99" s="1"/>
  <c r="AV76" i="99"/>
  <c r="AW76" i="99" s="1"/>
  <c r="BG76" i="99"/>
  <c r="BH76" i="99" s="1"/>
  <c r="AK76" i="99"/>
  <c r="AL76" i="99" s="1"/>
  <c r="K77" i="99"/>
  <c r="BD76" i="99"/>
  <c r="BE76" i="99" s="1"/>
  <c r="Y76" i="99"/>
  <c r="Z76" i="99" s="1"/>
  <c r="I80" i="107"/>
  <c r="K79" i="107"/>
  <c r="AV109" i="161"/>
  <c r="AW109" i="161" s="1"/>
  <c r="P109" i="161"/>
  <c r="BG109" i="161"/>
  <c r="BH109" i="161" s="1"/>
  <c r="BA109" i="161"/>
  <c r="BB109" i="161" s="1"/>
  <c r="AT109" i="161"/>
  <c r="AN109" i="161"/>
  <c r="AO109" i="161" s="1"/>
  <c r="AH109" i="161"/>
  <c r="AI109" i="161" s="1"/>
  <c r="AB109" i="161"/>
  <c r="AC109" i="161" s="1"/>
  <c r="V109" i="161"/>
  <c r="W109" i="161" s="1"/>
  <c r="O109" i="161"/>
  <c r="BR109" i="161"/>
  <c r="BD109" i="161"/>
  <c r="BE109" i="161" s="1"/>
  <c r="AQ109" i="161"/>
  <c r="AR109" i="161" s="1"/>
  <c r="AE109" i="161"/>
  <c r="AF109" i="161" s="1"/>
  <c r="R109" i="161"/>
  <c r="T109" i="161" s="1"/>
  <c r="AY109" i="161"/>
  <c r="AK109" i="161"/>
  <c r="AL109" i="161" s="1"/>
  <c r="Y109" i="161"/>
  <c r="Z109" i="161" s="1"/>
  <c r="BN109" i="161"/>
  <c r="BO109" i="161" s="1"/>
  <c r="BJ109" i="161"/>
  <c r="BL109" i="161" s="1"/>
  <c r="M109" i="161"/>
  <c r="BK109" i="161"/>
  <c r="I111" i="161"/>
  <c r="K110" i="161"/>
  <c r="BQ110" i="161" s="1"/>
  <c r="AV79" i="156"/>
  <c r="AW79" i="156" s="1"/>
  <c r="AQ79" i="156"/>
  <c r="AR79" i="156" s="1"/>
  <c r="O79" i="156"/>
  <c r="BG79" i="156"/>
  <c r="BH79" i="156" s="1"/>
  <c r="BN79" i="156"/>
  <c r="BO79" i="156" s="1"/>
  <c r="BD79" i="156"/>
  <c r="BE79" i="156" s="1"/>
  <c r="AN79" i="156"/>
  <c r="AO79" i="156" s="1"/>
  <c r="BQ79" i="156"/>
  <c r="BR79" i="156" s="1"/>
  <c r="R79" i="156"/>
  <c r="T79" i="156" s="1"/>
  <c r="M79" i="156"/>
  <c r="AB79" i="156"/>
  <c r="AC79" i="156" s="1"/>
  <c r="AE79" i="156"/>
  <c r="AF79" i="156" s="1"/>
  <c r="BL79" i="156"/>
  <c r="P79" i="156"/>
  <c r="AK79" i="156"/>
  <c r="AL79" i="156" s="1"/>
  <c r="V79" i="156"/>
  <c r="W79" i="156" s="1"/>
  <c r="AH79" i="156"/>
  <c r="AI79" i="156" s="1"/>
  <c r="Y79" i="156"/>
  <c r="Z79" i="156" s="1"/>
  <c r="BA79" i="156"/>
  <c r="BB79" i="156" s="1"/>
  <c r="K76" i="129"/>
  <c r="AN75" i="129"/>
  <c r="AO75" i="129" s="1"/>
  <c r="BA75" i="129"/>
  <c r="BB75" i="129" s="1"/>
  <c r="AQ75" i="129"/>
  <c r="AR75" i="129" s="1"/>
  <c r="BN75" i="129"/>
  <c r="BO75" i="129" s="1"/>
  <c r="O75" i="129"/>
  <c r="P75" i="129"/>
  <c r="R75" i="129"/>
  <c r="T75" i="129" s="1"/>
  <c r="AE75" i="129"/>
  <c r="AF75" i="129" s="1"/>
  <c r="BQ75" i="129"/>
  <c r="BR75" i="129" s="1"/>
  <c r="AH75" i="129"/>
  <c r="AI75" i="129" s="1"/>
  <c r="BL75" i="129"/>
  <c r="BD75" i="129"/>
  <c r="BE75" i="129" s="1"/>
  <c r="Y75" i="129"/>
  <c r="Z75" i="129" s="1"/>
  <c r="AT75" i="129"/>
  <c r="AK75" i="129"/>
  <c r="AL75" i="129" s="1"/>
  <c r="AY75" i="129"/>
  <c r="AB75" i="129"/>
  <c r="AC75" i="129" s="1"/>
  <c r="V75" i="129"/>
  <c r="W75" i="129" s="1"/>
  <c r="M75" i="129"/>
  <c r="BG75" i="129"/>
  <c r="BH75" i="129" s="1"/>
  <c r="AV75" i="129"/>
  <c r="AW75" i="129" s="1"/>
  <c r="AV74" i="104"/>
  <c r="AW74" i="104" s="1"/>
  <c r="BA74" i="104"/>
  <c r="BB74" i="104" s="1"/>
  <c r="AH74" i="104"/>
  <c r="AI74" i="104" s="1"/>
  <c r="V74" i="104"/>
  <c r="W74" i="104" s="1"/>
  <c r="AT74" i="104"/>
  <c r="O74" i="104"/>
  <c r="AN74" i="104"/>
  <c r="AO74" i="104" s="1"/>
  <c r="AQ74" i="104"/>
  <c r="AR74" i="104" s="1"/>
  <c r="AK74" i="104"/>
  <c r="AL74" i="104" s="1"/>
  <c r="BJ74" i="104"/>
  <c r="BL74" i="104" s="1"/>
  <c r="AE74" i="104"/>
  <c r="AF74" i="104" s="1"/>
  <c r="BK74" i="104"/>
  <c r="K75" i="104"/>
  <c r="M74" i="104"/>
  <c r="Y74" i="104"/>
  <c r="Z74" i="104" s="1"/>
  <c r="R74" i="104"/>
  <c r="T74" i="104" s="1"/>
  <c r="BQ74" i="104"/>
  <c r="BR74" i="104" s="1"/>
  <c r="BN74" i="104"/>
  <c r="BO74" i="104" s="1"/>
  <c r="AB74" i="104"/>
  <c r="AC74" i="104" s="1"/>
  <c r="BD74" i="104"/>
  <c r="BE74" i="104" s="1"/>
  <c r="AY74" i="104"/>
  <c r="BG74" i="104"/>
  <c r="BH74" i="104" s="1"/>
  <c r="P74" i="104"/>
  <c r="AB74" i="106"/>
  <c r="AC74" i="106" s="1"/>
  <c r="P74" i="106"/>
  <c r="BA74" i="106"/>
  <c r="BB74" i="106" s="1"/>
  <c r="M74" i="106"/>
  <c r="AT74" i="106"/>
  <c r="AN74" i="106"/>
  <c r="AO74" i="106" s="1"/>
  <c r="O74" i="106"/>
  <c r="BD74" i="106"/>
  <c r="BE74" i="106" s="1"/>
  <c r="BQ74" i="106"/>
  <c r="BR74" i="106" s="1"/>
  <c r="AY74" i="106"/>
  <c r="BN74" i="106"/>
  <c r="BO74" i="106" s="1"/>
  <c r="R74" i="106"/>
  <c r="T74" i="106" s="1"/>
  <c r="AE74" i="106"/>
  <c r="AF74" i="106" s="1"/>
  <c r="AQ74" i="106"/>
  <c r="AR74" i="106" s="1"/>
  <c r="BK74" i="106"/>
  <c r="AH74" i="106"/>
  <c r="AI74" i="106" s="1"/>
  <c r="V74" i="106"/>
  <c r="W74" i="106" s="1"/>
  <c r="BG74" i="106"/>
  <c r="BH74" i="106" s="1"/>
  <c r="BJ74" i="106"/>
  <c r="BL74" i="106" s="1"/>
  <c r="AK74" i="106"/>
  <c r="AL74" i="106" s="1"/>
  <c r="AV74" i="106"/>
  <c r="AW74" i="106" s="1"/>
  <c r="Y74" i="106"/>
  <c r="Z74" i="106" s="1"/>
  <c r="K75" i="106"/>
  <c r="I81" i="106"/>
  <c r="BK74" i="112"/>
  <c r="R74" i="112"/>
  <c r="T74" i="112" s="1"/>
  <c r="AV74" i="112"/>
  <c r="AW74" i="112" s="1"/>
  <c r="BG74" i="112"/>
  <c r="BH74" i="112" s="1"/>
  <c r="AB74" i="112"/>
  <c r="AC74" i="112" s="1"/>
  <c r="O74" i="112"/>
  <c r="BQ74" i="112"/>
  <c r="BR74" i="112" s="1"/>
  <c r="K75" i="112"/>
  <c r="BA74" i="112"/>
  <c r="BB74" i="112" s="1"/>
  <c r="AT74" i="112"/>
  <c r="P74" i="112"/>
  <c r="BJ74" i="112"/>
  <c r="BL74" i="112" s="1"/>
  <c r="M74" i="112"/>
  <c r="V74" i="112"/>
  <c r="W74" i="112" s="1"/>
  <c r="AE74" i="112"/>
  <c r="AF74" i="112" s="1"/>
  <c r="AH74" i="112"/>
  <c r="AI74" i="112" s="1"/>
  <c r="AK74" i="112"/>
  <c r="AL74" i="112" s="1"/>
  <c r="Y74" i="112"/>
  <c r="Z74" i="112" s="1"/>
  <c r="BD74" i="112"/>
  <c r="BE74" i="112" s="1"/>
  <c r="AN74" i="112"/>
  <c r="AO74" i="112" s="1"/>
  <c r="AY74" i="112"/>
  <c r="BN74" i="112"/>
  <c r="BO74" i="112" s="1"/>
  <c r="AQ74" i="112"/>
  <c r="AR74" i="112" s="1"/>
  <c r="I81" i="156"/>
  <c r="K80" i="156"/>
  <c r="AY80" i="156" s="1"/>
  <c r="R77" i="133"/>
  <c r="T77" i="133" s="1"/>
  <c r="AT77" i="133"/>
  <c r="V77" i="133"/>
  <c r="W77" i="133" s="1"/>
  <c r="K78" i="133"/>
  <c r="BQ77" i="133"/>
  <c r="BR77" i="133" s="1"/>
  <c r="Y77" i="133"/>
  <c r="Z77" i="133" s="1"/>
  <c r="AH77" i="133"/>
  <c r="AI77" i="133" s="1"/>
  <c r="BD77" i="133"/>
  <c r="BE77" i="133" s="1"/>
  <c r="AN77" i="133"/>
  <c r="AO77" i="133" s="1"/>
  <c r="AV77" i="133"/>
  <c r="AW77" i="133" s="1"/>
  <c r="BG77" i="133"/>
  <c r="BH77" i="133" s="1"/>
  <c r="AY77" i="133"/>
  <c r="AK77" i="133"/>
  <c r="AL77" i="133" s="1"/>
  <c r="BL77" i="133"/>
  <c r="AQ77" i="133"/>
  <c r="AR77" i="133" s="1"/>
  <c r="M77" i="133"/>
  <c r="AB77" i="133"/>
  <c r="AC77" i="133" s="1"/>
  <c r="AE77" i="133"/>
  <c r="AF77" i="133" s="1"/>
  <c r="BN77" i="133"/>
  <c r="BO77" i="133" s="1"/>
  <c r="P77" i="133"/>
  <c r="BA77" i="133"/>
  <c r="BB77" i="133" s="1"/>
  <c r="O77" i="133"/>
  <c r="M73" i="95"/>
  <c r="R73" i="95"/>
  <c r="T73" i="95" s="1"/>
  <c r="BQ73" i="95"/>
  <c r="BR73" i="95" s="1"/>
  <c r="Y73" i="95"/>
  <c r="Z73" i="95" s="1"/>
  <c r="BN73" i="95"/>
  <c r="BO73" i="95" s="1"/>
  <c r="BG73" i="95"/>
  <c r="BH73" i="95" s="1"/>
  <c r="V73" i="95"/>
  <c r="W73" i="95" s="1"/>
  <c r="AK73" i="95"/>
  <c r="AL73" i="95" s="1"/>
  <c r="BL73" i="95"/>
  <c r="AQ73" i="95"/>
  <c r="AR73" i="95" s="1"/>
  <c r="BA73" i="95"/>
  <c r="BB73" i="95" s="1"/>
  <c r="K74" i="95"/>
  <c r="AV73" i="95"/>
  <c r="AW73" i="95" s="1"/>
  <c r="P73" i="95"/>
  <c r="AN73" i="95"/>
  <c r="AO73" i="95" s="1"/>
  <c r="AE73" i="95"/>
  <c r="AF73" i="95" s="1"/>
  <c r="BD73" i="95"/>
  <c r="BE73" i="95" s="1"/>
  <c r="AT73" i="95"/>
  <c r="O73" i="95"/>
  <c r="AH73" i="95"/>
  <c r="AI73" i="95" s="1"/>
  <c r="AB73" i="95"/>
  <c r="AC73" i="95" s="1"/>
  <c r="BL75" i="130"/>
  <c r="K76" i="130"/>
  <c r="BN75" i="130"/>
  <c r="BO75" i="130" s="1"/>
  <c r="M75" i="130"/>
  <c r="AH75" i="130"/>
  <c r="AI75" i="130" s="1"/>
  <c r="AT75" i="130"/>
  <c r="AQ75" i="130"/>
  <c r="AR75" i="130" s="1"/>
  <c r="AV75" i="130"/>
  <c r="AW75" i="130" s="1"/>
  <c r="BD75" i="130"/>
  <c r="BE75" i="130" s="1"/>
  <c r="BA75" i="130"/>
  <c r="BB75" i="130" s="1"/>
  <c r="AE75" i="130"/>
  <c r="AF75" i="130" s="1"/>
  <c r="P75" i="130"/>
  <c r="AN75" i="130"/>
  <c r="AO75" i="130" s="1"/>
  <c r="V75" i="130"/>
  <c r="W75" i="130" s="1"/>
  <c r="AY75" i="130"/>
  <c r="AK75" i="130"/>
  <c r="AL75" i="130" s="1"/>
  <c r="R75" i="130"/>
  <c r="T75" i="130" s="1"/>
  <c r="BG75" i="130"/>
  <c r="BH75" i="130" s="1"/>
  <c r="BQ75" i="130"/>
  <c r="BR75" i="130" s="1"/>
  <c r="AB75" i="130"/>
  <c r="AC75" i="130" s="1"/>
  <c r="O75" i="130"/>
  <c r="Y75" i="130"/>
  <c r="Z75" i="130" s="1"/>
  <c r="I82" i="155"/>
  <c r="K81" i="155"/>
  <c r="R80" i="155"/>
  <c r="T80" i="155" s="1"/>
  <c r="Y80" i="155"/>
  <c r="Z80" i="155" s="1"/>
  <c r="AE80" i="155"/>
  <c r="AF80" i="155" s="1"/>
  <c r="AK80" i="155"/>
  <c r="AL80" i="155" s="1"/>
  <c r="AQ80" i="155"/>
  <c r="AR80" i="155" s="1"/>
  <c r="BD80" i="155"/>
  <c r="BE80" i="155" s="1"/>
  <c r="M80" i="155"/>
  <c r="BQ80" i="155"/>
  <c r="BR80" i="155" s="1"/>
  <c r="O80" i="155"/>
  <c r="V80" i="155"/>
  <c r="W80" i="155" s="1"/>
  <c r="AB80" i="155"/>
  <c r="AC80" i="155" s="1"/>
  <c r="AH80" i="155"/>
  <c r="AI80" i="155" s="1"/>
  <c r="AN80" i="155"/>
  <c r="AO80" i="155" s="1"/>
  <c r="BA80" i="155"/>
  <c r="BB80" i="155" s="1"/>
  <c r="BG80" i="155"/>
  <c r="BH80" i="155" s="1"/>
  <c r="BL80" i="155"/>
  <c r="P80" i="155"/>
  <c r="AV80" i="155"/>
  <c r="AW80" i="155" s="1"/>
  <c r="BN80" i="155"/>
  <c r="BO80" i="155" s="1"/>
  <c r="I85" i="153"/>
  <c r="P80" i="153"/>
  <c r="AV80" i="153"/>
  <c r="AW80" i="153" s="1"/>
  <c r="BN80" i="153"/>
  <c r="BO80" i="153" s="1"/>
  <c r="R80" i="153"/>
  <c r="T80" i="153" s="1"/>
  <c r="Y80" i="153"/>
  <c r="Z80" i="153" s="1"/>
  <c r="AE80" i="153"/>
  <c r="AF80" i="153" s="1"/>
  <c r="AK80" i="153"/>
  <c r="AL80" i="153" s="1"/>
  <c r="AQ80" i="153"/>
  <c r="AR80" i="153" s="1"/>
  <c r="BD80" i="153"/>
  <c r="BE80" i="153" s="1"/>
  <c r="M80" i="153"/>
  <c r="BQ80" i="153"/>
  <c r="BR80" i="153" s="1"/>
  <c r="O80" i="153"/>
  <c r="AN80" i="153"/>
  <c r="AO80" i="153" s="1"/>
  <c r="V80" i="153"/>
  <c r="W80" i="153" s="1"/>
  <c r="AB80" i="153"/>
  <c r="AC80" i="153" s="1"/>
  <c r="BA80" i="153"/>
  <c r="BB80" i="153" s="1"/>
  <c r="BL80" i="153"/>
  <c r="AH80" i="153"/>
  <c r="AI80" i="153" s="1"/>
  <c r="BG80" i="153"/>
  <c r="BH80" i="153" s="1"/>
  <c r="K81" i="153"/>
  <c r="I89" i="152"/>
  <c r="M80" i="152"/>
  <c r="BQ80" i="152"/>
  <c r="BR80" i="152" s="1"/>
  <c r="O80" i="152"/>
  <c r="V80" i="152"/>
  <c r="W80" i="152" s="1"/>
  <c r="AB80" i="152"/>
  <c r="AC80" i="152" s="1"/>
  <c r="AH80" i="152"/>
  <c r="AI80" i="152" s="1"/>
  <c r="AN80" i="152"/>
  <c r="AO80" i="152" s="1"/>
  <c r="BA80" i="152"/>
  <c r="BB80" i="152" s="1"/>
  <c r="BG80" i="152"/>
  <c r="BH80" i="152" s="1"/>
  <c r="P80" i="152"/>
  <c r="R80" i="152"/>
  <c r="T80" i="152" s="1"/>
  <c r="AE80" i="152"/>
  <c r="AF80" i="152" s="1"/>
  <c r="AQ80" i="152"/>
  <c r="AR80" i="152" s="1"/>
  <c r="BD80" i="152"/>
  <c r="BE80" i="152" s="1"/>
  <c r="BN80" i="152"/>
  <c r="BO80" i="152" s="1"/>
  <c r="AV80" i="152"/>
  <c r="AW80" i="152" s="1"/>
  <c r="Y80" i="152"/>
  <c r="Z80" i="152" s="1"/>
  <c r="AK80" i="152"/>
  <c r="AL80" i="152" s="1"/>
  <c r="BL80" i="152"/>
  <c r="K81" i="152"/>
  <c r="AV78" i="151"/>
  <c r="AW78" i="151" s="1"/>
  <c r="P78" i="151"/>
  <c r="BQ78" i="151"/>
  <c r="BR78" i="151" s="1"/>
  <c r="AY78" i="151"/>
  <c r="BA78" i="151"/>
  <c r="BB78" i="151" s="1"/>
  <c r="AN78" i="151"/>
  <c r="AO78" i="151" s="1"/>
  <c r="AB78" i="151"/>
  <c r="AC78" i="151" s="1"/>
  <c r="O78" i="151"/>
  <c r="BG78" i="151"/>
  <c r="BH78" i="151" s="1"/>
  <c r="AT78" i="151"/>
  <c r="AH78" i="151"/>
  <c r="AI78" i="151" s="1"/>
  <c r="V78" i="151"/>
  <c r="W78" i="151" s="1"/>
  <c r="Y78" i="151"/>
  <c r="Z78" i="151" s="1"/>
  <c r="AQ78" i="151"/>
  <c r="AR78" i="151" s="1"/>
  <c r="R78" i="151"/>
  <c r="T78" i="151" s="1"/>
  <c r="AK78" i="151"/>
  <c r="AL78" i="151" s="1"/>
  <c r="BD78" i="151"/>
  <c r="BE78" i="151" s="1"/>
  <c r="AE78" i="151"/>
  <c r="AF78" i="151" s="1"/>
  <c r="M78" i="151"/>
  <c r="BN78" i="151"/>
  <c r="BO78" i="151" s="1"/>
  <c r="BL78" i="151"/>
  <c r="I80" i="151"/>
  <c r="K79" i="151"/>
  <c r="BG77" i="150"/>
  <c r="BH77" i="150" s="1"/>
  <c r="BA77" i="150"/>
  <c r="BB77" i="150" s="1"/>
  <c r="AT77" i="150"/>
  <c r="AN77" i="150"/>
  <c r="AO77" i="150" s="1"/>
  <c r="AH77" i="150"/>
  <c r="AI77" i="150" s="1"/>
  <c r="AB77" i="150"/>
  <c r="AC77" i="150" s="1"/>
  <c r="V77" i="150"/>
  <c r="W77" i="150" s="1"/>
  <c r="O77" i="150"/>
  <c r="BQ77" i="150"/>
  <c r="BR77" i="150" s="1"/>
  <c r="AY77" i="150"/>
  <c r="BD77" i="150"/>
  <c r="BE77" i="150" s="1"/>
  <c r="AQ77" i="150"/>
  <c r="AR77" i="150" s="1"/>
  <c r="AK77" i="150"/>
  <c r="AL77" i="150" s="1"/>
  <c r="AE77" i="150"/>
  <c r="AF77" i="150" s="1"/>
  <c r="Y77" i="150"/>
  <c r="Z77" i="150" s="1"/>
  <c r="R77" i="150"/>
  <c r="T77" i="150" s="1"/>
  <c r="P77" i="150"/>
  <c r="AV77" i="150"/>
  <c r="AW77" i="150" s="1"/>
  <c r="BN77" i="150"/>
  <c r="BO77" i="150" s="1"/>
  <c r="M77" i="150"/>
  <c r="BL77" i="150"/>
  <c r="K78" i="150"/>
  <c r="I81" i="150"/>
  <c r="BD79" i="149"/>
  <c r="BE79" i="149" s="1"/>
  <c r="AQ79" i="149"/>
  <c r="AR79" i="149" s="1"/>
  <c r="AK79" i="149"/>
  <c r="AL79" i="149" s="1"/>
  <c r="AE79" i="149"/>
  <c r="AF79" i="149" s="1"/>
  <c r="Y79" i="149"/>
  <c r="Z79" i="149" s="1"/>
  <c r="R79" i="149"/>
  <c r="T79" i="149" s="1"/>
  <c r="AV79" i="149"/>
  <c r="AW79" i="149" s="1"/>
  <c r="P79" i="149"/>
  <c r="BG79" i="149"/>
  <c r="BH79" i="149" s="1"/>
  <c r="BA79" i="149"/>
  <c r="BB79" i="149" s="1"/>
  <c r="AN79" i="149"/>
  <c r="AO79" i="149" s="1"/>
  <c r="AH79" i="149"/>
  <c r="AI79" i="149" s="1"/>
  <c r="AB79" i="149"/>
  <c r="AC79" i="149" s="1"/>
  <c r="V79" i="149"/>
  <c r="W79" i="149" s="1"/>
  <c r="O79" i="149"/>
  <c r="AY79" i="149"/>
  <c r="BQ79" i="149"/>
  <c r="BR79" i="149" s="1"/>
  <c r="M79" i="149"/>
  <c r="BN79" i="149"/>
  <c r="BO79" i="149" s="1"/>
  <c r="BL79" i="149"/>
  <c r="K80" i="149"/>
  <c r="AT80" i="149" s="1"/>
  <c r="I81" i="149"/>
  <c r="BG78" i="147"/>
  <c r="BH78" i="147" s="1"/>
  <c r="BA78" i="147"/>
  <c r="BB78" i="147" s="1"/>
  <c r="AT78" i="147"/>
  <c r="AN78" i="147"/>
  <c r="AO78" i="147" s="1"/>
  <c r="AH78" i="147"/>
  <c r="AI78" i="147" s="1"/>
  <c r="AB78" i="147"/>
  <c r="AC78" i="147" s="1"/>
  <c r="V78" i="147"/>
  <c r="W78" i="147" s="1"/>
  <c r="O78" i="147"/>
  <c r="BQ78" i="147"/>
  <c r="BR78" i="147" s="1"/>
  <c r="AY78" i="147"/>
  <c r="AK78" i="147"/>
  <c r="AL78" i="147" s="1"/>
  <c r="Y78" i="147"/>
  <c r="Z78" i="147" s="1"/>
  <c r="BD78" i="147"/>
  <c r="BE78" i="147" s="1"/>
  <c r="AQ78" i="147"/>
  <c r="AR78" i="147" s="1"/>
  <c r="AE78" i="147"/>
  <c r="AF78" i="147" s="1"/>
  <c r="R78" i="147"/>
  <c r="T78" i="147" s="1"/>
  <c r="P78" i="147"/>
  <c r="AV78" i="147"/>
  <c r="AW78" i="147" s="1"/>
  <c r="M78" i="147"/>
  <c r="BN78" i="147"/>
  <c r="BO78" i="147" s="1"/>
  <c r="BK78" i="147"/>
  <c r="BJ78" i="147"/>
  <c r="BL78" i="147" s="1"/>
  <c r="I80" i="147"/>
  <c r="K79" i="147"/>
  <c r="BD77" i="146"/>
  <c r="BE77" i="146" s="1"/>
  <c r="AQ77" i="146"/>
  <c r="AR77" i="146" s="1"/>
  <c r="AK77" i="146"/>
  <c r="AL77" i="146" s="1"/>
  <c r="AE77" i="146"/>
  <c r="AF77" i="146" s="1"/>
  <c r="Y77" i="146"/>
  <c r="Z77" i="146" s="1"/>
  <c r="R77" i="146"/>
  <c r="T77" i="146" s="1"/>
  <c r="AV77" i="146"/>
  <c r="AW77" i="146" s="1"/>
  <c r="P77" i="146"/>
  <c r="BG77" i="146"/>
  <c r="BH77" i="146" s="1"/>
  <c r="BA77" i="146"/>
  <c r="BB77" i="146" s="1"/>
  <c r="AT77" i="146"/>
  <c r="AN77" i="146"/>
  <c r="AO77" i="146" s="1"/>
  <c r="AH77" i="146"/>
  <c r="AI77" i="146" s="1"/>
  <c r="AB77" i="146"/>
  <c r="AC77" i="146" s="1"/>
  <c r="V77" i="146"/>
  <c r="W77" i="146" s="1"/>
  <c r="O77" i="146"/>
  <c r="AY77" i="146"/>
  <c r="BQ77" i="146"/>
  <c r="BR77" i="146" s="1"/>
  <c r="M77" i="146"/>
  <c r="BJ77" i="146"/>
  <c r="BL77" i="146" s="1"/>
  <c r="BN77" i="146"/>
  <c r="BO77" i="146" s="1"/>
  <c r="BK77" i="146"/>
  <c r="K78" i="146"/>
  <c r="I79" i="146"/>
  <c r="K76" i="96"/>
  <c r="I77" i="96"/>
  <c r="M75" i="110"/>
  <c r="BN75" i="110"/>
  <c r="BO75" i="110" s="1"/>
  <c r="BJ75" i="110"/>
  <c r="BL75" i="110" s="1"/>
  <c r="BK75" i="110"/>
  <c r="AV75" i="110"/>
  <c r="AW75" i="110" s="1"/>
  <c r="AT75" i="110"/>
  <c r="O75" i="110"/>
  <c r="AQ75" i="110"/>
  <c r="AR75" i="110" s="1"/>
  <c r="Y75" i="110"/>
  <c r="Z75" i="110" s="1"/>
  <c r="R75" i="110"/>
  <c r="T75" i="110" s="1"/>
  <c r="AN75" i="110"/>
  <c r="AO75" i="110" s="1"/>
  <c r="BG75" i="110"/>
  <c r="BH75" i="110" s="1"/>
  <c r="P75" i="110"/>
  <c r="AK75" i="110"/>
  <c r="AL75" i="110" s="1"/>
  <c r="BQ75" i="110"/>
  <c r="BR75" i="110" s="1"/>
  <c r="AB75" i="110"/>
  <c r="AC75" i="110" s="1"/>
  <c r="AE75" i="110"/>
  <c r="AF75" i="110" s="1"/>
  <c r="AY75" i="110"/>
  <c r="V75" i="110"/>
  <c r="W75" i="110" s="1"/>
  <c r="BA75" i="110"/>
  <c r="BB75" i="110" s="1"/>
  <c r="AH75" i="110"/>
  <c r="AI75" i="110" s="1"/>
  <c r="BD75" i="110"/>
  <c r="BE75" i="110" s="1"/>
  <c r="I80" i="126"/>
  <c r="M74" i="101"/>
  <c r="R74" i="101"/>
  <c r="T74" i="101" s="1"/>
  <c r="V74" i="101"/>
  <c r="W74" i="101" s="1"/>
  <c r="AB74" i="101"/>
  <c r="AC74" i="101" s="1"/>
  <c r="BD74" i="101"/>
  <c r="BE74" i="101" s="1"/>
  <c r="BA74" i="101"/>
  <c r="BB74" i="101" s="1"/>
  <c r="O74" i="101"/>
  <c r="BG74" i="101"/>
  <c r="BH74" i="101" s="1"/>
  <c r="AN74" i="101"/>
  <c r="AO74" i="101" s="1"/>
  <c r="AK74" i="101"/>
  <c r="AL74" i="101" s="1"/>
  <c r="Y74" i="101"/>
  <c r="Z74" i="101" s="1"/>
  <c r="AT74" i="101"/>
  <c r="AE74" i="101"/>
  <c r="AF74" i="101" s="1"/>
  <c r="AY74" i="101"/>
  <c r="P74" i="101"/>
  <c r="BQ74" i="101"/>
  <c r="BR74" i="101" s="1"/>
  <c r="AV74" i="101"/>
  <c r="AW74" i="101" s="1"/>
  <c r="AH74" i="101"/>
  <c r="AI74" i="101" s="1"/>
  <c r="AQ74" i="101"/>
  <c r="AR74" i="101" s="1"/>
  <c r="M75" i="63"/>
  <c r="BN75" i="63"/>
  <c r="BO75" i="63" s="1"/>
  <c r="BL75" i="63"/>
  <c r="BQ75" i="63"/>
  <c r="BR75" i="63" s="1"/>
  <c r="AH75" i="63"/>
  <c r="AI75" i="63" s="1"/>
  <c r="BG75" i="63"/>
  <c r="BH75" i="63" s="1"/>
  <c r="P75" i="63"/>
  <c r="AT75" i="63"/>
  <c r="BA75" i="63"/>
  <c r="BB75" i="63" s="1"/>
  <c r="AV75" i="63"/>
  <c r="AW75" i="63" s="1"/>
  <c r="AQ75" i="63"/>
  <c r="AR75" i="63" s="1"/>
  <c r="V75" i="63"/>
  <c r="W75" i="63" s="1"/>
  <c r="BD75" i="63"/>
  <c r="BE75" i="63" s="1"/>
  <c r="AY75" i="63"/>
  <c r="O75" i="63"/>
  <c r="AN75" i="63"/>
  <c r="AO75" i="63" s="1"/>
  <c r="R75" i="63"/>
  <c r="T75" i="63" s="1"/>
  <c r="AB75" i="63"/>
  <c r="AC75" i="63" s="1"/>
  <c r="Y75" i="63"/>
  <c r="Z75" i="63" s="1"/>
  <c r="AE75" i="63"/>
  <c r="AF75" i="63" s="1"/>
  <c r="AK75" i="63"/>
  <c r="AL75" i="63" s="1"/>
  <c r="K76" i="63"/>
  <c r="BN77" i="105"/>
  <c r="BO77" i="105" s="1"/>
  <c r="BJ77" i="105"/>
  <c r="BL77" i="105" s="1"/>
  <c r="M77" i="105"/>
  <c r="BK77" i="105"/>
  <c r="P77" i="105"/>
  <c r="AN77" i="105"/>
  <c r="AO77" i="105" s="1"/>
  <c r="BG77" i="105"/>
  <c r="BH77" i="105" s="1"/>
  <c r="AK77" i="105"/>
  <c r="AL77" i="105" s="1"/>
  <c r="AE77" i="105"/>
  <c r="AF77" i="105" s="1"/>
  <c r="AV77" i="105"/>
  <c r="AW77" i="105" s="1"/>
  <c r="Y77" i="105"/>
  <c r="Z77" i="105" s="1"/>
  <c r="O77" i="105"/>
  <c r="BQ77" i="105"/>
  <c r="BR77" i="105" s="1"/>
  <c r="AY77" i="105"/>
  <c r="BA77" i="105"/>
  <c r="BB77" i="105" s="1"/>
  <c r="AQ77" i="105"/>
  <c r="AR77" i="105" s="1"/>
  <c r="R77" i="105"/>
  <c r="T77" i="105" s="1"/>
  <c r="AH77" i="105"/>
  <c r="AI77" i="105" s="1"/>
  <c r="AB77" i="105"/>
  <c r="AC77" i="105" s="1"/>
  <c r="BD77" i="105"/>
  <c r="BE77" i="105" s="1"/>
  <c r="AT77" i="105"/>
  <c r="V77" i="105"/>
  <c r="W77" i="105" s="1"/>
  <c r="K78" i="105"/>
  <c r="V73" i="120"/>
  <c r="W73" i="120" s="1"/>
  <c r="AE73" i="120"/>
  <c r="AF73" i="120" s="1"/>
  <c r="R73" i="120"/>
  <c r="T73" i="120" s="1"/>
  <c r="BG73" i="120"/>
  <c r="BH73" i="120" s="1"/>
  <c r="AY73" i="120"/>
  <c r="AN73" i="120"/>
  <c r="AO73" i="120" s="1"/>
  <c r="O73" i="120"/>
  <c r="AH73" i="120"/>
  <c r="AI73" i="120" s="1"/>
  <c r="Y73" i="120"/>
  <c r="Z73" i="120" s="1"/>
  <c r="AT73" i="120"/>
  <c r="BQ73" i="120"/>
  <c r="BR73" i="120" s="1"/>
  <c r="AB73" i="120"/>
  <c r="AC73" i="120" s="1"/>
  <c r="P73" i="120"/>
  <c r="M73" i="120"/>
  <c r="BA73" i="120"/>
  <c r="BB73" i="120" s="1"/>
  <c r="AV73" i="120"/>
  <c r="AW73" i="120" s="1"/>
  <c r="BD73" i="120"/>
  <c r="BE73" i="120" s="1"/>
  <c r="AQ73" i="120"/>
  <c r="AR73" i="120" s="1"/>
  <c r="K74" i="120"/>
  <c r="AK73" i="120"/>
  <c r="AL73" i="120" s="1"/>
  <c r="BN73" i="120"/>
  <c r="BO73" i="120" s="1"/>
  <c r="M74" i="118"/>
  <c r="K75" i="118"/>
  <c r="BN74" i="118"/>
  <c r="BO74" i="118" s="1"/>
  <c r="AK74" i="118"/>
  <c r="AL74" i="118" s="1"/>
  <c r="AQ74" i="118"/>
  <c r="AR74" i="118" s="1"/>
  <c r="P74" i="118"/>
  <c r="BQ74" i="118"/>
  <c r="BR74" i="118" s="1"/>
  <c r="Y74" i="118"/>
  <c r="Z74" i="118" s="1"/>
  <c r="BD74" i="118"/>
  <c r="BE74" i="118" s="1"/>
  <c r="AB74" i="118"/>
  <c r="AC74" i="118" s="1"/>
  <c r="BA74" i="118"/>
  <c r="BB74" i="118" s="1"/>
  <c r="AT74" i="118"/>
  <c r="AV74" i="118"/>
  <c r="AW74" i="118" s="1"/>
  <c r="V74" i="118"/>
  <c r="W74" i="118" s="1"/>
  <c r="AN74" i="118"/>
  <c r="AO74" i="118" s="1"/>
  <c r="O74" i="118"/>
  <c r="AE74" i="118"/>
  <c r="AF74" i="118" s="1"/>
  <c r="AH74" i="118"/>
  <c r="AI74" i="118" s="1"/>
  <c r="R74" i="118"/>
  <c r="T74" i="118" s="1"/>
  <c r="BG74" i="118"/>
  <c r="BH74" i="118" s="1"/>
  <c r="AY74" i="118"/>
  <c r="I81" i="64"/>
  <c r="M76" i="135"/>
  <c r="O76" i="135"/>
  <c r="BA76" i="135"/>
  <c r="BB76" i="135" s="1"/>
  <c r="AH76" i="135"/>
  <c r="AI76" i="135" s="1"/>
  <c r="BQ76" i="135"/>
  <c r="BR76" i="135" s="1"/>
  <c r="AB76" i="135"/>
  <c r="AC76" i="135" s="1"/>
  <c r="R76" i="135"/>
  <c r="T76" i="135" s="1"/>
  <c r="AN76" i="135"/>
  <c r="AO76" i="135" s="1"/>
  <c r="AE76" i="135"/>
  <c r="AF76" i="135" s="1"/>
  <c r="BD76" i="135"/>
  <c r="BE76" i="135" s="1"/>
  <c r="AK76" i="135"/>
  <c r="AL76" i="135" s="1"/>
  <c r="AV76" i="135"/>
  <c r="AW76" i="135" s="1"/>
  <c r="Y76" i="135"/>
  <c r="Z76" i="135" s="1"/>
  <c r="P76" i="135"/>
  <c r="AY76" i="135"/>
  <c r="V76" i="135"/>
  <c r="W76" i="135" s="1"/>
  <c r="AT76" i="135"/>
  <c r="BG76" i="135"/>
  <c r="BH76" i="135" s="1"/>
  <c r="AQ76" i="135"/>
  <c r="AR76" i="135" s="1"/>
  <c r="BN76" i="135"/>
  <c r="BO76" i="135" s="1"/>
  <c r="BL76" i="135"/>
  <c r="I77" i="110"/>
  <c r="K76" i="110"/>
  <c r="BN74" i="15"/>
  <c r="BO74" i="15" s="1"/>
  <c r="BL74" i="15"/>
  <c r="BA74" i="15"/>
  <c r="BB74" i="15" s="1"/>
  <c r="BQ74" i="15"/>
  <c r="BR74" i="15" s="1"/>
  <c r="AV74" i="15"/>
  <c r="AW74" i="15" s="1"/>
  <c r="AE74" i="15"/>
  <c r="AF74" i="15" s="1"/>
  <c r="AY74" i="15"/>
  <c r="P74" i="15"/>
  <c r="O74" i="15"/>
  <c r="BG74" i="15"/>
  <c r="BH74" i="15" s="1"/>
  <c r="M74" i="15"/>
  <c r="V74" i="15"/>
  <c r="W74" i="15" s="1"/>
  <c r="R74" i="15"/>
  <c r="T74" i="15" s="1"/>
  <c r="AH74" i="15"/>
  <c r="AI74" i="15" s="1"/>
  <c r="AB74" i="15"/>
  <c r="AC74" i="15" s="1"/>
  <c r="AN74" i="15"/>
  <c r="AO74" i="15" s="1"/>
  <c r="AT74" i="15"/>
  <c r="AQ74" i="15"/>
  <c r="AR74" i="15" s="1"/>
  <c r="AK74" i="15"/>
  <c r="AL74" i="15" s="1"/>
  <c r="BD74" i="15"/>
  <c r="BE74" i="15" s="1"/>
  <c r="Y74" i="15"/>
  <c r="Z74" i="15" s="1"/>
  <c r="K75" i="15"/>
  <c r="M75" i="114"/>
  <c r="BK75" i="114"/>
  <c r="BN75" i="114"/>
  <c r="BO75" i="114" s="1"/>
  <c r="BJ75" i="114"/>
  <c r="BL75" i="114" s="1"/>
  <c r="R75" i="114"/>
  <c r="T75" i="114" s="1"/>
  <c r="AT75" i="114"/>
  <c r="AV75" i="114"/>
  <c r="AW75" i="114" s="1"/>
  <c r="BD75" i="114"/>
  <c r="BE75" i="114" s="1"/>
  <c r="AY75" i="114"/>
  <c r="V75" i="114"/>
  <c r="W75" i="114" s="1"/>
  <c r="BA75" i="114"/>
  <c r="BB75" i="114" s="1"/>
  <c r="O75" i="114"/>
  <c r="AB75" i="114"/>
  <c r="AC75" i="114" s="1"/>
  <c r="AH75" i="114"/>
  <c r="AI75" i="114" s="1"/>
  <c r="P75" i="114"/>
  <c r="Y75" i="114"/>
  <c r="Z75" i="114" s="1"/>
  <c r="AQ75" i="114"/>
  <c r="AR75" i="114" s="1"/>
  <c r="AN75" i="114"/>
  <c r="AO75" i="114" s="1"/>
  <c r="BQ75" i="114"/>
  <c r="BR75" i="114" s="1"/>
  <c r="BG75" i="114"/>
  <c r="BH75" i="114" s="1"/>
  <c r="AE75" i="114"/>
  <c r="AF75" i="114" s="1"/>
  <c r="AK75" i="114"/>
  <c r="AL75" i="114" s="1"/>
  <c r="K76" i="114"/>
  <c r="BJ79" i="124"/>
  <c r="BL79" i="124" s="1"/>
  <c r="BN79" i="124"/>
  <c r="BO79" i="124" s="1"/>
  <c r="K80" i="124"/>
  <c r="M79" i="124"/>
  <c r="BK79" i="124"/>
  <c r="R79" i="124"/>
  <c r="T79" i="124" s="1"/>
  <c r="AY79" i="124"/>
  <c r="BG79" i="124"/>
  <c r="BH79" i="124" s="1"/>
  <c r="AQ79" i="124"/>
  <c r="AR79" i="124" s="1"/>
  <c r="V79" i="124"/>
  <c r="W79" i="124" s="1"/>
  <c r="AV79" i="124"/>
  <c r="AW79" i="124" s="1"/>
  <c r="AK79" i="124"/>
  <c r="AL79" i="124" s="1"/>
  <c r="BD79" i="124"/>
  <c r="BE79" i="124" s="1"/>
  <c r="AT79" i="124"/>
  <c r="P79" i="124"/>
  <c r="AH79" i="124"/>
  <c r="AI79" i="124" s="1"/>
  <c r="AB79" i="124"/>
  <c r="AC79" i="124" s="1"/>
  <c r="BA79" i="124"/>
  <c r="BB79" i="124" s="1"/>
  <c r="BQ79" i="124"/>
  <c r="BR79" i="124" s="1"/>
  <c r="Y79" i="124"/>
  <c r="Z79" i="124" s="1"/>
  <c r="AN79" i="124"/>
  <c r="AO79" i="124" s="1"/>
  <c r="O79" i="124"/>
  <c r="AE79" i="124"/>
  <c r="AF79" i="124" s="1"/>
  <c r="I79" i="15"/>
  <c r="I75" i="66"/>
  <c r="K74" i="66"/>
  <c r="I76" i="101"/>
  <c r="K75" i="101"/>
  <c r="I79" i="104"/>
  <c r="I84" i="95"/>
  <c r="I81" i="136"/>
  <c r="I82" i="105"/>
  <c r="I78" i="135"/>
  <c r="K77" i="135"/>
  <c r="M75" i="126"/>
  <c r="BN75" i="126"/>
  <c r="BO75" i="126" s="1"/>
  <c r="BK75" i="126"/>
  <c r="BJ75" i="126"/>
  <c r="BL75" i="126" s="1"/>
  <c r="AY75" i="126"/>
  <c r="R75" i="126"/>
  <c r="T75" i="126" s="1"/>
  <c r="AE75" i="126"/>
  <c r="AF75" i="126" s="1"/>
  <c r="AN75" i="126"/>
  <c r="AO75" i="126" s="1"/>
  <c r="AB75" i="126"/>
  <c r="AC75" i="126" s="1"/>
  <c r="AK75" i="126"/>
  <c r="AL75" i="126" s="1"/>
  <c r="O75" i="126"/>
  <c r="Y75" i="126"/>
  <c r="Z75" i="126" s="1"/>
  <c r="AH75" i="126"/>
  <c r="AI75" i="126" s="1"/>
  <c r="AQ75" i="126"/>
  <c r="AR75" i="126" s="1"/>
  <c r="BD75" i="126"/>
  <c r="BE75" i="126" s="1"/>
  <c r="AV75" i="126"/>
  <c r="AW75" i="126" s="1"/>
  <c r="P75" i="126"/>
  <c r="BG75" i="126"/>
  <c r="BH75" i="126" s="1"/>
  <c r="V75" i="126"/>
  <c r="W75" i="126" s="1"/>
  <c r="BA75" i="126"/>
  <c r="BB75" i="126" s="1"/>
  <c r="AT75" i="126"/>
  <c r="BQ75" i="126"/>
  <c r="BR75" i="126" s="1"/>
  <c r="K76" i="126"/>
  <c r="AY76" i="64"/>
  <c r="BG76" i="64"/>
  <c r="BH76" i="64" s="1"/>
  <c r="AE76" i="64"/>
  <c r="AF76" i="64" s="1"/>
  <c r="R76" i="64"/>
  <c r="T76" i="64" s="1"/>
  <c r="AT76" i="64"/>
  <c r="AQ76" i="64"/>
  <c r="AR76" i="64" s="1"/>
  <c r="AK76" i="64"/>
  <c r="AL76" i="64" s="1"/>
  <c r="BA76" i="64"/>
  <c r="BB76" i="64" s="1"/>
  <c r="O76" i="64"/>
  <c r="AH76" i="64"/>
  <c r="AI76" i="64" s="1"/>
  <c r="AB76" i="64"/>
  <c r="AC76" i="64" s="1"/>
  <c r="AN76" i="64"/>
  <c r="AO76" i="64" s="1"/>
  <c r="V76" i="64"/>
  <c r="W76" i="64" s="1"/>
  <c r="BQ76" i="64"/>
  <c r="BR76" i="64" s="1"/>
  <c r="M76" i="64"/>
  <c r="BD76" i="64"/>
  <c r="BE76" i="64" s="1"/>
  <c r="P76" i="64"/>
  <c r="Y76" i="64"/>
  <c r="Z76" i="64" s="1"/>
  <c r="AV76" i="64"/>
  <c r="AW76" i="64" s="1"/>
  <c r="BL76" i="64"/>
  <c r="BN76" i="64"/>
  <c r="BO76" i="64" s="1"/>
  <c r="K77" i="64"/>
  <c r="M73" i="17"/>
  <c r="BN73" i="17"/>
  <c r="BO73" i="17" s="1"/>
  <c r="BL73" i="17"/>
  <c r="AK73" i="17"/>
  <c r="AL73" i="17" s="1"/>
  <c r="BQ73" i="17"/>
  <c r="BR73" i="17" s="1"/>
  <c r="BA73" i="17"/>
  <c r="BB73" i="17" s="1"/>
  <c r="AB73" i="17"/>
  <c r="AC73" i="17" s="1"/>
  <c r="AV73" i="17"/>
  <c r="AW73" i="17" s="1"/>
  <c r="AN73" i="17"/>
  <c r="AO73" i="17" s="1"/>
  <c r="AE73" i="17"/>
  <c r="AF73" i="17" s="1"/>
  <c r="AH73" i="17"/>
  <c r="AI73" i="17" s="1"/>
  <c r="AY73" i="17"/>
  <c r="AT73" i="17"/>
  <c r="V73" i="17"/>
  <c r="W73" i="17" s="1"/>
  <c r="BG73" i="17"/>
  <c r="BH73" i="17" s="1"/>
  <c r="O73" i="17"/>
  <c r="BD73" i="17"/>
  <c r="BE73" i="17" s="1"/>
  <c r="R73" i="17"/>
  <c r="T73" i="17" s="1"/>
  <c r="AQ73" i="17"/>
  <c r="AR73" i="17" s="1"/>
  <c r="P73" i="17"/>
  <c r="Y73" i="17"/>
  <c r="Z73" i="17" s="1"/>
  <c r="AV73" i="66"/>
  <c r="AW73" i="66" s="1"/>
  <c r="R73" i="66"/>
  <c r="T73" i="66" s="1"/>
  <c r="BA73" i="66"/>
  <c r="BB73" i="66" s="1"/>
  <c r="Y73" i="66"/>
  <c r="Z73" i="66" s="1"/>
  <c r="AT73" i="66"/>
  <c r="AK73" i="66"/>
  <c r="AL73" i="66" s="1"/>
  <c r="BG73" i="66"/>
  <c r="BH73" i="66" s="1"/>
  <c r="M73" i="66"/>
  <c r="AB73" i="66"/>
  <c r="AC73" i="66" s="1"/>
  <c r="AH73" i="66"/>
  <c r="AI73" i="66" s="1"/>
  <c r="BQ73" i="66"/>
  <c r="BR73" i="66" s="1"/>
  <c r="AY73" i="66"/>
  <c r="O73" i="66"/>
  <c r="P73" i="66"/>
  <c r="AN73" i="66"/>
  <c r="AO73" i="66" s="1"/>
  <c r="AE73" i="66"/>
  <c r="AF73" i="66" s="1"/>
  <c r="AQ73" i="66"/>
  <c r="AR73" i="66" s="1"/>
  <c r="V73" i="66"/>
  <c r="W73" i="66" s="1"/>
  <c r="BD73" i="66"/>
  <c r="BE73" i="66" s="1"/>
  <c r="BN73" i="66"/>
  <c r="BO73" i="66" s="1"/>
  <c r="BL73" i="66"/>
  <c r="I81" i="114"/>
  <c r="BL73" i="13"/>
  <c r="BN73" i="13"/>
  <c r="BO73" i="13" s="1"/>
  <c r="M73" i="13"/>
  <c r="BQ73" i="13"/>
  <c r="BR73" i="13" s="1"/>
  <c r="O73" i="13"/>
  <c r="AQ73" i="13"/>
  <c r="AR73" i="13" s="1"/>
  <c r="BG73" i="13"/>
  <c r="BH73" i="13" s="1"/>
  <c r="P73" i="13"/>
  <c r="V73" i="13"/>
  <c r="W73" i="13" s="1"/>
  <c r="R73" i="13"/>
  <c r="T73" i="13" s="1"/>
  <c r="AB73" i="13"/>
  <c r="AC73" i="13" s="1"/>
  <c r="AY73" i="13"/>
  <c r="AN73" i="13"/>
  <c r="AO73" i="13" s="1"/>
  <c r="BA73" i="13"/>
  <c r="BB73" i="13" s="1"/>
  <c r="AV73" i="13"/>
  <c r="AW73" i="13" s="1"/>
  <c r="Y73" i="13"/>
  <c r="Z73" i="13" s="1"/>
  <c r="AE73" i="13"/>
  <c r="AF73" i="13" s="1"/>
  <c r="AK73" i="13"/>
  <c r="AL73" i="13" s="1"/>
  <c r="AH73" i="13"/>
  <c r="AI73" i="13" s="1"/>
  <c r="BD73" i="13"/>
  <c r="BE73" i="13" s="1"/>
  <c r="AT73" i="13"/>
  <c r="I80" i="63"/>
  <c r="M77" i="136"/>
  <c r="BN77" i="136"/>
  <c r="BO77" i="136" s="1"/>
  <c r="BL77" i="136"/>
  <c r="Y77" i="136"/>
  <c r="Z77" i="136" s="1"/>
  <c r="BA77" i="136"/>
  <c r="BB77" i="136" s="1"/>
  <c r="O77" i="136"/>
  <c r="AY77" i="136"/>
  <c r="R77" i="136"/>
  <c r="T77" i="136" s="1"/>
  <c r="AQ77" i="136"/>
  <c r="AR77" i="136" s="1"/>
  <c r="AH77" i="136"/>
  <c r="AI77" i="136" s="1"/>
  <c r="BD77" i="136"/>
  <c r="BE77" i="136" s="1"/>
  <c r="AV77" i="136"/>
  <c r="AW77" i="136" s="1"/>
  <c r="AT77" i="136"/>
  <c r="BQ77" i="136"/>
  <c r="BR77" i="136" s="1"/>
  <c r="AB77" i="136"/>
  <c r="AC77" i="136" s="1"/>
  <c r="V77" i="136"/>
  <c r="W77" i="136" s="1"/>
  <c r="P77" i="136"/>
  <c r="AN77" i="136"/>
  <c r="AO77" i="136" s="1"/>
  <c r="AE77" i="136"/>
  <c r="AF77" i="136" s="1"/>
  <c r="AK77" i="136"/>
  <c r="AL77" i="136" s="1"/>
  <c r="BG77" i="136"/>
  <c r="BH77" i="136" s="1"/>
  <c r="K78" i="136"/>
  <c r="M75" i="115"/>
  <c r="BJ75" i="115"/>
  <c r="BL75" i="115" s="1"/>
  <c r="BN75" i="115"/>
  <c r="BO75" i="115" s="1"/>
  <c r="BK75" i="115"/>
  <c r="AB75" i="115"/>
  <c r="AC75" i="115" s="1"/>
  <c r="AH75" i="115"/>
  <c r="AI75" i="115" s="1"/>
  <c r="AT75" i="115"/>
  <c r="BD75" i="115"/>
  <c r="BE75" i="115" s="1"/>
  <c r="R75" i="115"/>
  <c r="T75" i="115" s="1"/>
  <c r="BG75" i="115"/>
  <c r="BH75" i="115" s="1"/>
  <c r="AY75" i="115"/>
  <c r="O75" i="115"/>
  <c r="AV75" i="115"/>
  <c r="AW75" i="115" s="1"/>
  <c r="AK75" i="115"/>
  <c r="AL75" i="115" s="1"/>
  <c r="BQ75" i="115"/>
  <c r="BR75" i="115" s="1"/>
  <c r="AE75" i="115"/>
  <c r="AF75" i="115" s="1"/>
  <c r="P75" i="115"/>
  <c r="AQ75" i="115"/>
  <c r="AR75" i="115" s="1"/>
  <c r="V75" i="115"/>
  <c r="W75" i="115" s="1"/>
  <c r="Y75" i="115"/>
  <c r="Z75" i="115" s="1"/>
  <c r="AN75" i="115"/>
  <c r="AO75" i="115" s="1"/>
  <c r="BA75" i="115"/>
  <c r="BB75" i="115" s="1"/>
  <c r="Y75" i="96"/>
  <c r="Z75" i="96" s="1"/>
  <c r="BG75" i="96"/>
  <c r="BH75" i="96" s="1"/>
  <c r="AV75" i="96"/>
  <c r="AW75" i="96" s="1"/>
  <c r="AQ75" i="96"/>
  <c r="AR75" i="96" s="1"/>
  <c r="BN75" i="96"/>
  <c r="BO75" i="96" s="1"/>
  <c r="AE75" i="96"/>
  <c r="AF75" i="96" s="1"/>
  <c r="M75" i="96"/>
  <c r="BQ75" i="96"/>
  <c r="BR75" i="96" s="1"/>
  <c r="AB75" i="96"/>
  <c r="AC75" i="96" s="1"/>
  <c r="AT75" i="96"/>
  <c r="O75" i="96"/>
  <c r="AK75" i="96"/>
  <c r="AL75" i="96" s="1"/>
  <c r="V75" i="96"/>
  <c r="W75" i="96" s="1"/>
  <c r="BD75" i="96"/>
  <c r="BE75" i="96" s="1"/>
  <c r="AN75" i="96"/>
  <c r="AO75" i="96" s="1"/>
  <c r="BA75" i="96"/>
  <c r="BB75" i="96" s="1"/>
  <c r="P75" i="96"/>
  <c r="AH75" i="96"/>
  <c r="AI75" i="96" s="1"/>
  <c r="R75" i="96"/>
  <c r="T75" i="96" s="1"/>
  <c r="BL75" i="96"/>
  <c r="I75" i="17"/>
  <c r="K74" i="17"/>
  <c r="I75" i="13"/>
  <c r="K74" i="13"/>
  <c r="BN75" i="98"/>
  <c r="BO75" i="98" s="1"/>
  <c r="BK75" i="98"/>
  <c r="K76" i="98"/>
  <c r="M75" i="98"/>
  <c r="BJ75" i="98"/>
  <c r="BL75" i="98" s="1"/>
  <c r="O75" i="98"/>
  <c r="AQ75" i="98"/>
  <c r="AR75" i="98" s="1"/>
  <c r="AE75" i="98"/>
  <c r="AF75" i="98" s="1"/>
  <c r="AY75" i="98"/>
  <c r="P75" i="98"/>
  <c r="AK75" i="98"/>
  <c r="AL75" i="98" s="1"/>
  <c r="AV75" i="98"/>
  <c r="AW75" i="98" s="1"/>
  <c r="AN75" i="98"/>
  <c r="AO75" i="98" s="1"/>
  <c r="AT75" i="98"/>
  <c r="BD75" i="98"/>
  <c r="BE75" i="98" s="1"/>
  <c r="R75" i="98"/>
  <c r="T75" i="98" s="1"/>
  <c r="BA75" i="98"/>
  <c r="BB75" i="98" s="1"/>
  <c r="BQ75" i="98"/>
  <c r="BR75" i="98" s="1"/>
  <c r="AB75" i="98"/>
  <c r="AC75" i="98" s="1"/>
  <c r="BG75" i="98"/>
  <c r="BH75" i="98" s="1"/>
  <c r="AH75" i="98"/>
  <c r="AI75" i="98" s="1"/>
  <c r="Y75" i="98"/>
  <c r="Z75" i="98" s="1"/>
  <c r="V75" i="98"/>
  <c r="W75" i="98" s="1"/>
  <c r="I90" i="133"/>
  <c r="I77" i="115"/>
  <c r="K76" i="115"/>
  <c r="I82" i="132"/>
  <c r="AN77" i="99" l="1"/>
  <c r="AO77" i="99" s="1"/>
  <c r="BK77" i="99"/>
  <c r="BQ77" i="99"/>
  <c r="BR77" i="99" s="1"/>
  <c r="AQ77" i="99"/>
  <c r="AR77" i="99" s="1"/>
  <c r="BA77" i="99"/>
  <c r="BB77" i="99" s="1"/>
  <c r="BG77" i="99"/>
  <c r="BH77" i="99" s="1"/>
  <c r="AY77" i="99"/>
  <c r="K78" i="99"/>
  <c r="AH77" i="99"/>
  <c r="AI77" i="99" s="1"/>
  <c r="BJ77" i="99"/>
  <c r="BL77" i="99" s="1"/>
  <c r="AK77" i="99"/>
  <c r="AL77" i="99" s="1"/>
  <c r="AB77" i="99"/>
  <c r="AC77" i="99" s="1"/>
  <c r="AE77" i="99"/>
  <c r="AF77" i="99" s="1"/>
  <c r="O77" i="99"/>
  <c r="M77" i="99"/>
  <c r="AV77" i="99"/>
  <c r="AW77" i="99" s="1"/>
  <c r="P77" i="99"/>
  <c r="R77" i="99"/>
  <c r="T77" i="99" s="1"/>
  <c r="BN77" i="99"/>
  <c r="BO77" i="99" s="1"/>
  <c r="V77" i="99"/>
  <c r="W77" i="99" s="1"/>
  <c r="AT77" i="99"/>
  <c r="BD77" i="99"/>
  <c r="BE77" i="99" s="1"/>
  <c r="Y77" i="99"/>
  <c r="Z77" i="99" s="1"/>
  <c r="AH79" i="107"/>
  <c r="AI79" i="107" s="1"/>
  <c r="BA79" i="107"/>
  <c r="BB79" i="107" s="1"/>
  <c r="AT79" i="107"/>
  <c r="AE79" i="107"/>
  <c r="AF79" i="107" s="1"/>
  <c r="BK79" i="107"/>
  <c r="AB79" i="107"/>
  <c r="AC79" i="107" s="1"/>
  <c r="BQ79" i="107"/>
  <c r="BR79" i="107" s="1"/>
  <c r="R79" i="107"/>
  <c r="T79" i="107" s="1"/>
  <c r="M79" i="107"/>
  <c r="BJ79" i="107"/>
  <c r="BL79" i="107" s="1"/>
  <c r="AV79" i="107"/>
  <c r="AW79" i="107" s="1"/>
  <c r="V79" i="107"/>
  <c r="W79" i="107" s="1"/>
  <c r="BD79" i="107"/>
  <c r="BE79" i="107" s="1"/>
  <c r="Y79" i="107"/>
  <c r="Z79" i="107" s="1"/>
  <c r="BG79" i="107"/>
  <c r="BH79" i="107" s="1"/>
  <c r="AN79" i="107"/>
  <c r="AO79" i="107" s="1"/>
  <c r="AY79" i="107"/>
  <c r="AQ79" i="107"/>
  <c r="AR79" i="107" s="1"/>
  <c r="AK79" i="107"/>
  <c r="AL79" i="107" s="1"/>
  <c r="BN79" i="107"/>
  <c r="BO79" i="107" s="1"/>
  <c r="P79" i="107"/>
  <c r="O79" i="107"/>
  <c r="I81" i="107"/>
  <c r="K80" i="107"/>
  <c r="O77" i="132"/>
  <c r="AK77" i="132"/>
  <c r="AL77" i="132" s="1"/>
  <c r="AB77" i="132"/>
  <c r="AC77" i="132" s="1"/>
  <c r="K78" i="132"/>
  <c r="BN77" i="132"/>
  <c r="BO77" i="132" s="1"/>
  <c r="AT77" i="132"/>
  <c r="BA77" i="132"/>
  <c r="BB77" i="132" s="1"/>
  <c r="BD77" i="132"/>
  <c r="BE77" i="132" s="1"/>
  <c r="V77" i="132"/>
  <c r="W77" i="132" s="1"/>
  <c r="M77" i="132"/>
  <c r="BG77" i="132"/>
  <c r="BH77" i="132" s="1"/>
  <c r="R77" i="132"/>
  <c r="T77" i="132" s="1"/>
  <c r="AE77" i="132"/>
  <c r="AF77" i="132" s="1"/>
  <c r="BL77" i="132"/>
  <c r="AQ77" i="132"/>
  <c r="AR77" i="132" s="1"/>
  <c r="AH77" i="132"/>
  <c r="AI77" i="132" s="1"/>
  <c r="Y77" i="132"/>
  <c r="Z77" i="132" s="1"/>
  <c r="AN77" i="132"/>
  <c r="AO77" i="132" s="1"/>
  <c r="BQ77" i="132"/>
  <c r="BR77" i="132" s="1"/>
  <c r="AV77" i="132"/>
  <c r="AW77" i="132" s="1"/>
  <c r="P77" i="132"/>
  <c r="AY77" i="132"/>
  <c r="AV110" i="161"/>
  <c r="AW110" i="161" s="1"/>
  <c r="P110" i="161"/>
  <c r="BG110" i="161"/>
  <c r="BH110" i="161" s="1"/>
  <c r="BA110" i="161"/>
  <c r="BB110" i="161" s="1"/>
  <c r="AT110" i="161"/>
  <c r="AN110" i="161"/>
  <c r="AO110" i="161" s="1"/>
  <c r="AH110" i="161"/>
  <c r="AI110" i="161" s="1"/>
  <c r="AB110" i="161"/>
  <c r="AC110" i="161" s="1"/>
  <c r="V110" i="161"/>
  <c r="W110" i="161" s="1"/>
  <c r="O110" i="161"/>
  <c r="BR110" i="161"/>
  <c r="BD110" i="161"/>
  <c r="BE110" i="161" s="1"/>
  <c r="AQ110" i="161"/>
  <c r="AR110" i="161" s="1"/>
  <c r="AE110" i="161"/>
  <c r="AF110" i="161" s="1"/>
  <c r="R110" i="161"/>
  <c r="T110" i="161" s="1"/>
  <c r="AY110" i="161"/>
  <c r="Y110" i="161"/>
  <c r="Z110" i="161" s="1"/>
  <c r="AK110" i="161"/>
  <c r="AL110" i="161" s="1"/>
  <c r="BN110" i="161"/>
  <c r="BO110" i="161" s="1"/>
  <c r="M110" i="161"/>
  <c r="BK110" i="161"/>
  <c r="BJ110" i="161"/>
  <c r="BL110" i="161" s="1"/>
  <c r="I112" i="161"/>
  <c r="K111" i="161"/>
  <c r="BQ111" i="161" s="1"/>
  <c r="M75" i="112"/>
  <c r="AT75" i="112"/>
  <c r="AN75" i="112"/>
  <c r="AO75" i="112" s="1"/>
  <c r="BQ75" i="112"/>
  <c r="BR75" i="112" s="1"/>
  <c r="BK75" i="112"/>
  <c r="Y75" i="112"/>
  <c r="Z75" i="112" s="1"/>
  <c r="AY75" i="112"/>
  <c r="AH75" i="112"/>
  <c r="AI75" i="112" s="1"/>
  <c r="V75" i="112"/>
  <c r="W75" i="112" s="1"/>
  <c r="AK75" i="112"/>
  <c r="AL75" i="112" s="1"/>
  <c r="O75" i="112"/>
  <c r="P75" i="112"/>
  <c r="AE75" i="112"/>
  <c r="AF75" i="112" s="1"/>
  <c r="BJ75" i="112"/>
  <c r="BL75" i="112" s="1"/>
  <c r="AQ75" i="112"/>
  <c r="AR75" i="112" s="1"/>
  <c r="BN75" i="112"/>
  <c r="BO75" i="112" s="1"/>
  <c r="AB75" i="112"/>
  <c r="AC75" i="112" s="1"/>
  <c r="AV75" i="112"/>
  <c r="AW75" i="112" s="1"/>
  <c r="BD75" i="112"/>
  <c r="BE75" i="112" s="1"/>
  <c r="K76" i="112"/>
  <c r="BG75" i="112"/>
  <c r="BH75" i="112" s="1"/>
  <c r="R75" i="112"/>
  <c r="T75" i="112" s="1"/>
  <c r="BA75" i="112"/>
  <c r="BB75" i="112" s="1"/>
  <c r="AN75" i="106"/>
  <c r="AO75" i="106" s="1"/>
  <c r="BA75" i="106"/>
  <c r="BB75" i="106" s="1"/>
  <c r="AB75" i="106"/>
  <c r="AC75" i="106" s="1"/>
  <c r="M75" i="106"/>
  <c r="V75" i="106"/>
  <c r="W75" i="106" s="1"/>
  <c r="AH75" i="106"/>
  <c r="AI75" i="106" s="1"/>
  <c r="P75" i="106"/>
  <c r="BN75" i="106"/>
  <c r="BO75" i="106" s="1"/>
  <c r="Y75" i="106"/>
  <c r="Z75" i="106" s="1"/>
  <c r="BQ75" i="106"/>
  <c r="BR75" i="106" s="1"/>
  <c r="AK75" i="106"/>
  <c r="AL75" i="106" s="1"/>
  <c r="BK75" i="106"/>
  <c r="O75" i="106"/>
  <c r="BG75" i="106"/>
  <c r="BH75" i="106" s="1"/>
  <c r="BD75" i="106"/>
  <c r="BE75" i="106" s="1"/>
  <c r="BJ75" i="106"/>
  <c r="BL75" i="106" s="1"/>
  <c r="AQ75" i="106"/>
  <c r="AR75" i="106" s="1"/>
  <c r="AV75" i="106"/>
  <c r="AW75" i="106" s="1"/>
  <c r="R75" i="106"/>
  <c r="T75" i="106" s="1"/>
  <c r="AE75" i="106"/>
  <c r="AF75" i="106" s="1"/>
  <c r="AT75" i="106"/>
  <c r="AY75" i="106"/>
  <c r="K76" i="106"/>
  <c r="AB80" i="156"/>
  <c r="AC80" i="156" s="1"/>
  <c r="P80" i="156"/>
  <c r="AK80" i="156"/>
  <c r="AL80" i="156" s="1"/>
  <c r="AE80" i="156"/>
  <c r="AF80" i="156" s="1"/>
  <c r="AH80" i="156"/>
  <c r="AI80" i="156" s="1"/>
  <c r="AV80" i="156"/>
  <c r="AW80" i="156" s="1"/>
  <c r="AQ80" i="156"/>
  <c r="AR80" i="156" s="1"/>
  <c r="BQ80" i="156"/>
  <c r="BR80" i="156" s="1"/>
  <c r="AN80" i="156"/>
  <c r="AO80" i="156" s="1"/>
  <c r="BN80" i="156"/>
  <c r="BO80" i="156" s="1"/>
  <c r="BD80" i="156"/>
  <c r="BE80" i="156" s="1"/>
  <c r="BA80" i="156"/>
  <c r="BB80" i="156" s="1"/>
  <c r="R80" i="156"/>
  <c r="T80" i="156" s="1"/>
  <c r="M80" i="156"/>
  <c r="V80" i="156"/>
  <c r="W80" i="156" s="1"/>
  <c r="O80" i="156"/>
  <c r="BG80" i="156"/>
  <c r="BH80" i="156" s="1"/>
  <c r="Y80" i="156"/>
  <c r="Z80" i="156" s="1"/>
  <c r="BL80" i="156"/>
  <c r="BL74" i="95"/>
  <c r="AH74" i="95"/>
  <c r="AI74" i="95" s="1"/>
  <c r="R74" i="95"/>
  <c r="T74" i="95" s="1"/>
  <c r="K75" i="95"/>
  <c r="AE74" i="95"/>
  <c r="AF74" i="95" s="1"/>
  <c r="BN74" i="95"/>
  <c r="BO74" i="95" s="1"/>
  <c r="BG74" i="95"/>
  <c r="BH74" i="95" s="1"/>
  <c r="O74" i="95"/>
  <c r="P74" i="95"/>
  <c r="AB74" i="95"/>
  <c r="AC74" i="95" s="1"/>
  <c r="AK74" i="95"/>
  <c r="AL74" i="95" s="1"/>
  <c r="BQ74" i="95"/>
  <c r="BR74" i="95" s="1"/>
  <c r="V74" i="95"/>
  <c r="W74" i="95" s="1"/>
  <c r="Y74" i="95"/>
  <c r="Z74" i="95" s="1"/>
  <c r="BD74" i="95"/>
  <c r="BE74" i="95" s="1"/>
  <c r="M74" i="95"/>
  <c r="AV74" i="95"/>
  <c r="AW74" i="95" s="1"/>
  <c r="BA74" i="95"/>
  <c r="BB74" i="95" s="1"/>
  <c r="AQ74" i="95"/>
  <c r="AR74" i="95" s="1"/>
  <c r="AN74" i="95"/>
  <c r="AO74" i="95" s="1"/>
  <c r="AT74" i="95"/>
  <c r="M78" i="133"/>
  <c r="BA78" i="133"/>
  <c r="BB78" i="133" s="1"/>
  <c r="AB78" i="133"/>
  <c r="AC78" i="133" s="1"/>
  <c r="AK78" i="133"/>
  <c r="AL78" i="133" s="1"/>
  <c r="BL78" i="133"/>
  <c r="BG78" i="133"/>
  <c r="BH78" i="133" s="1"/>
  <c r="R78" i="133"/>
  <c r="T78" i="133" s="1"/>
  <c r="BQ78" i="133"/>
  <c r="BR78" i="133" s="1"/>
  <c r="O78" i="133"/>
  <c r="AQ78" i="133"/>
  <c r="AR78" i="133" s="1"/>
  <c r="P78" i="133"/>
  <c r="V78" i="133"/>
  <c r="W78" i="133" s="1"/>
  <c r="AV78" i="133"/>
  <c r="AW78" i="133" s="1"/>
  <c r="AE78" i="133"/>
  <c r="AF78" i="133" s="1"/>
  <c r="AN78" i="133"/>
  <c r="AO78" i="133" s="1"/>
  <c r="AT78" i="133"/>
  <c r="K79" i="133"/>
  <c r="AH78" i="133"/>
  <c r="AI78" i="133" s="1"/>
  <c r="BD78" i="133"/>
  <c r="BE78" i="133" s="1"/>
  <c r="Y78" i="133"/>
  <c r="Z78" i="133" s="1"/>
  <c r="BN78" i="133"/>
  <c r="BO78" i="133" s="1"/>
  <c r="AY78" i="133"/>
  <c r="I82" i="106"/>
  <c r="K77" i="129"/>
  <c r="Y76" i="129"/>
  <c r="Z76" i="129" s="1"/>
  <c r="AN76" i="129"/>
  <c r="AO76" i="129" s="1"/>
  <c r="BA76" i="129"/>
  <c r="BB76" i="129" s="1"/>
  <c r="AB76" i="129"/>
  <c r="AC76" i="129" s="1"/>
  <c r="O76" i="129"/>
  <c r="M76" i="129"/>
  <c r="AE76" i="129"/>
  <c r="AF76" i="129" s="1"/>
  <c r="AK76" i="129"/>
  <c r="AL76" i="129" s="1"/>
  <c r="AH76" i="129"/>
  <c r="AI76" i="129" s="1"/>
  <c r="BN76" i="129"/>
  <c r="BO76" i="129" s="1"/>
  <c r="BG76" i="129"/>
  <c r="BH76" i="129" s="1"/>
  <c r="P76" i="129"/>
  <c r="BD76" i="129"/>
  <c r="BE76" i="129" s="1"/>
  <c r="R76" i="129"/>
  <c r="T76" i="129" s="1"/>
  <c r="V76" i="129"/>
  <c r="W76" i="129" s="1"/>
  <c r="AQ76" i="129"/>
  <c r="AR76" i="129" s="1"/>
  <c r="AY76" i="129"/>
  <c r="BQ76" i="129"/>
  <c r="BR76" i="129" s="1"/>
  <c r="BL76" i="129"/>
  <c r="AT76" i="129"/>
  <c r="AV76" i="129"/>
  <c r="AW76" i="129" s="1"/>
  <c r="I82" i="156"/>
  <c r="K81" i="156"/>
  <c r="AY81" i="156" s="1"/>
  <c r="BN75" i="104"/>
  <c r="BO75" i="104" s="1"/>
  <c r="AV75" i="104"/>
  <c r="AW75" i="104" s="1"/>
  <c r="BG75" i="104"/>
  <c r="BH75" i="104" s="1"/>
  <c r="AY75" i="104"/>
  <c r="K76" i="104"/>
  <c r="AQ75" i="104"/>
  <c r="AR75" i="104" s="1"/>
  <c r="Y75" i="104"/>
  <c r="Z75" i="104" s="1"/>
  <c r="BK75" i="104"/>
  <c r="V75" i="104"/>
  <c r="W75" i="104" s="1"/>
  <c r="R75" i="104"/>
  <c r="T75" i="104" s="1"/>
  <c r="AN75" i="104"/>
  <c r="AO75" i="104" s="1"/>
  <c r="AB75" i="104"/>
  <c r="AC75" i="104" s="1"/>
  <c r="BQ75" i="104"/>
  <c r="BR75" i="104" s="1"/>
  <c r="AH75" i="104"/>
  <c r="AI75" i="104" s="1"/>
  <c r="BA75" i="104"/>
  <c r="BB75" i="104" s="1"/>
  <c r="O75" i="104"/>
  <c r="AT75" i="104"/>
  <c r="AK75" i="104"/>
  <c r="AL75" i="104" s="1"/>
  <c r="P75" i="104"/>
  <c r="BJ75" i="104"/>
  <c r="BL75" i="104" s="1"/>
  <c r="M75" i="104"/>
  <c r="BD75" i="104"/>
  <c r="BE75" i="104" s="1"/>
  <c r="AE75" i="104"/>
  <c r="AF75" i="104" s="1"/>
  <c r="BN76" i="130"/>
  <c r="BO76" i="130" s="1"/>
  <c r="K77" i="130"/>
  <c r="M76" i="130"/>
  <c r="BL76" i="130"/>
  <c r="AY76" i="130"/>
  <c r="BG76" i="130"/>
  <c r="BH76" i="130" s="1"/>
  <c r="P76" i="130"/>
  <c r="V76" i="130"/>
  <c r="W76" i="130" s="1"/>
  <c r="BA76" i="130"/>
  <c r="BB76" i="130" s="1"/>
  <c r="O76" i="130"/>
  <c r="BD76" i="130"/>
  <c r="BE76" i="130" s="1"/>
  <c r="AQ76" i="130"/>
  <c r="AR76" i="130" s="1"/>
  <c r="Y76" i="130"/>
  <c r="Z76" i="130" s="1"/>
  <c r="AV76" i="130"/>
  <c r="AW76" i="130" s="1"/>
  <c r="AH76" i="130"/>
  <c r="AI76" i="130" s="1"/>
  <c r="AT76" i="130"/>
  <c r="AB76" i="130"/>
  <c r="AC76" i="130" s="1"/>
  <c r="AN76" i="130"/>
  <c r="AO76" i="130" s="1"/>
  <c r="AK76" i="130"/>
  <c r="AL76" i="130" s="1"/>
  <c r="AE76" i="130"/>
  <c r="AF76" i="130" s="1"/>
  <c r="R76" i="130"/>
  <c r="T76" i="130" s="1"/>
  <c r="BQ76" i="130"/>
  <c r="BR76" i="130" s="1"/>
  <c r="P81" i="155"/>
  <c r="AV81" i="155"/>
  <c r="AW81" i="155" s="1"/>
  <c r="BN81" i="155"/>
  <c r="BO81" i="155" s="1"/>
  <c r="R81" i="155"/>
  <c r="T81" i="155" s="1"/>
  <c r="Y81" i="155"/>
  <c r="Z81" i="155" s="1"/>
  <c r="AE81" i="155"/>
  <c r="AF81" i="155" s="1"/>
  <c r="AK81" i="155"/>
  <c r="AL81" i="155" s="1"/>
  <c r="AQ81" i="155"/>
  <c r="AR81" i="155" s="1"/>
  <c r="BD81" i="155"/>
  <c r="BE81" i="155" s="1"/>
  <c r="M81" i="155"/>
  <c r="BQ81" i="155"/>
  <c r="BR81" i="155" s="1"/>
  <c r="O81" i="155"/>
  <c r="V81" i="155"/>
  <c r="W81" i="155" s="1"/>
  <c r="AB81" i="155"/>
  <c r="AC81" i="155" s="1"/>
  <c r="AH81" i="155"/>
  <c r="AI81" i="155" s="1"/>
  <c r="AN81" i="155"/>
  <c r="AO81" i="155" s="1"/>
  <c r="BA81" i="155"/>
  <c r="BB81" i="155" s="1"/>
  <c r="BG81" i="155"/>
  <c r="BH81" i="155" s="1"/>
  <c r="BL81" i="155"/>
  <c r="K82" i="155"/>
  <c r="I83" i="155"/>
  <c r="O81" i="153"/>
  <c r="V81" i="153"/>
  <c r="W81" i="153" s="1"/>
  <c r="AB81" i="153"/>
  <c r="AC81" i="153" s="1"/>
  <c r="AH81" i="153"/>
  <c r="AI81" i="153" s="1"/>
  <c r="AN81" i="153"/>
  <c r="AO81" i="153" s="1"/>
  <c r="BA81" i="153"/>
  <c r="BB81" i="153" s="1"/>
  <c r="BG81" i="153"/>
  <c r="BH81" i="153" s="1"/>
  <c r="P81" i="153"/>
  <c r="AV81" i="153"/>
  <c r="AW81" i="153" s="1"/>
  <c r="BN81" i="153"/>
  <c r="BO81" i="153" s="1"/>
  <c r="R81" i="153"/>
  <c r="T81" i="153" s="1"/>
  <c r="Y81" i="153"/>
  <c r="Z81" i="153" s="1"/>
  <c r="AE81" i="153"/>
  <c r="AF81" i="153" s="1"/>
  <c r="AK81" i="153"/>
  <c r="AL81" i="153" s="1"/>
  <c r="AQ81" i="153"/>
  <c r="AR81" i="153" s="1"/>
  <c r="BD81" i="153"/>
  <c r="BE81" i="153" s="1"/>
  <c r="M81" i="153"/>
  <c r="BQ81" i="153"/>
  <c r="BR81" i="153" s="1"/>
  <c r="BL81" i="153"/>
  <c r="K82" i="153"/>
  <c r="I86" i="153"/>
  <c r="R81" i="152"/>
  <c r="T81" i="152" s="1"/>
  <c r="Y81" i="152"/>
  <c r="Z81" i="152" s="1"/>
  <c r="AE81" i="152"/>
  <c r="AF81" i="152" s="1"/>
  <c r="AK81" i="152"/>
  <c r="AL81" i="152" s="1"/>
  <c r="AQ81" i="152"/>
  <c r="AR81" i="152" s="1"/>
  <c r="BD81" i="152"/>
  <c r="BE81" i="152" s="1"/>
  <c r="M81" i="152"/>
  <c r="BQ81" i="152"/>
  <c r="BR81" i="152" s="1"/>
  <c r="AV81" i="152"/>
  <c r="AW81" i="152" s="1"/>
  <c r="BN81" i="152"/>
  <c r="BO81" i="152" s="1"/>
  <c r="O81" i="152"/>
  <c r="AB81" i="152"/>
  <c r="AC81" i="152" s="1"/>
  <c r="AN81" i="152"/>
  <c r="AO81" i="152" s="1"/>
  <c r="BA81" i="152"/>
  <c r="BB81" i="152" s="1"/>
  <c r="P81" i="152"/>
  <c r="V81" i="152"/>
  <c r="W81" i="152" s="1"/>
  <c r="AH81" i="152"/>
  <c r="AI81" i="152" s="1"/>
  <c r="BG81" i="152"/>
  <c r="BH81" i="152" s="1"/>
  <c r="BL81" i="152"/>
  <c r="K82" i="152"/>
  <c r="I90" i="152"/>
  <c r="BG79" i="151"/>
  <c r="BH79" i="151" s="1"/>
  <c r="BA79" i="151"/>
  <c r="BB79" i="151" s="1"/>
  <c r="AT79" i="151"/>
  <c r="AN79" i="151"/>
  <c r="AO79" i="151" s="1"/>
  <c r="AH79" i="151"/>
  <c r="AI79" i="151" s="1"/>
  <c r="AB79" i="151"/>
  <c r="AC79" i="151" s="1"/>
  <c r="V79" i="151"/>
  <c r="W79" i="151" s="1"/>
  <c r="O79" i="151"/>
  <c r="BD79" i="151"/>
  <c r="BE79" i="151" s="1"/>
  <c r="AQ79" i="151"/>
  <c r="AR79" i="151" s="1"/>
  <c r="AK79" i="151"/>
  <c r="AL79" i="151" s="1"/>
  <c r="AE79" i="151"/>
  <c r="AF79" i="151" s="1"/>
  <c r="Y79" i="151"/>
  <c r="Z79" i="151" s="1"/>
  <c r="R79" i="151"/>
  <c r="T79" i="151" s="1"/>
  <c r="AY79" i="151"/>
  <c r="BQ79" i="151"/>
  <c r="BR79" i="151" s="1"/>
  <c r="AV79" i="151"/>
  <c r="AW79" i="151" s="1"/>
  <c r="P79" i="151"/>
  <c r="BN79" i="151"/>
  <c r="BO79" i="151" s="1"/>
  <c r="M79" i="151"/>
  <c r="BL79" i="151"/>
  <c r="I81" i="151"/>
  <c r="K80" i="151"/>
  <c r="I82" i="150"/>
  <c r="BQ78" i="150"/>
  <c r="BR78" i="150" s="1"/>
  <c r="AY78" i="150"/>
  <c r="BD78" i="150"/>
  <c r="BE78" i="150" s="1"/>
  <c r="AQ78" i="150"/>
  <c r="AR78" i="150" s="1"/>
  <c r="AK78" i="150"/>
  <c r="AL78" i="150" s="1"/>
  <c r="AE78" i="150"/>
  <c r="AF78" i="150" s="1"/>
  <c r="Y78" i="150"/>
  <c r="Z78" i="150" s="1"/>
  <c r="R78" i="150"/>
  <c r="T78" i="150" s="1"/>
  <c r="AV78" i="150"/>
  <c r="AW78" i="150" s="1"/>
  <c r="P78" i="150"/>
  <c r="BA78" i="150"/>
  <c r="BB78" i="150" s="1"/>
  <c r="AB78" i="150"/>
  <c r="AC78" i="150" s="1"/>
  <c r="AT78" i="150"/>
  <c r="V78" i="150"/>
  <c r="W78" i="150" s="1"/>
  <c r="AN78" i="150"/>
  <c r="AO78" i="150" s="1"/>
  <c r="AH78" i="150"/>
  <c r="AI78" i="150" s="1"/>
  <c r="O78" i="150"/>
  <c r="BG78" i="150"/>
  <c r="BH78" i="150" s="1"/>
  <c r="M78" i="150"/>
  <c r="BN78" i="150"/>
  <c r="BO78" i="150" s="1"/>
  <c r="BL78" i="150"/>
  <c r="K79" i="150"/>
  <c r="K81" i="149"/>
  <c r="AT81" i="149" s="1"/>
  <c r="I82" i="149"/>
  <c r="AV80" i="149"/>
  <c r="AW80" i="149" s="1"/>
  <c r="P80" i="149"/>
  <c r="BG80" i="149"/>
  <c r="BH80" i="149" s="1"/>
  <c r="BA80" i="149"/>
  <c r="BB80" i="149" s="1"/>
  <c r="AN80" i="149"/>
  <c r="AO80" i="149" s="1"/>
  <c r="AH80" i="149"/>
  <c r="AI80" i="149" s="1"/>
  <c r="AB80" i="149"/>
  <c r="AC80" i="149" s="1"/>
  <c r="V80" i="149"/>
  <c r="W80" i="149" s="1"/>
  <c r="O80" i="149"/>
  <c r="BQ80" i="149"/>
  <c r="BR80" i="149" s="1"/>
  <c r="AY80" i="149"/>
  <c r="AK80" i="149"/>
  <c r="AL80" i="149" s="1"/>
  <c r="BD80" i="149"/>
  <c r="BE80" i="149" s="1"/>
  <c r="AE80" i="149"/>
  <c r="AF80" i="149" s="1"/>
  <c r="Y80" i="149"/>
  <c r="Z80" i="149" s="1"/>
  <c r="AQ80" i="149"/>
  <c r="AR80" i="149" s="1"/>
  <c r="R80" i="149"/>
  <c r="T80" i="149" s="1"/>
  <c r="M80" i="149"/>
  <c r="BN80" i="149"/>
  <c r="BO80" i="149" s="1"/>
  <c r="BL80" i="149"/>
  <c r="BQ79" i="147"/>
  <c r="BR79" i="147" s="1"/>
  <c r="AY79" i="147"/>
  <c r="BD79" i="147"/>
  <c r="BE79" i="147" s="1"/>
  <c r="AQ79" i="147"/>
  <c r="AR79" i="147" s="1"/>
  <c r="AK79" i="147"/>
  <c r="AL79" i="147" s="1"/>
  <c r="AE79" i="147"/>
  <c r="AF79" i="147" s="1"/>
  <c r="Y79" i="147"/>
  <c r="Z79" i="147" s="1"/>
  <c r="R79" i="147"/>
  <c r="T79" i="147" s="1"/>
  <c r="AV79" i="147"/>
  <c r="AW79" i="147" s="1"/>
  <c r="P79" i="147"/>
  <c r="BA79" i="147"/>
  <c r="BB79" i="147" s="1"/>
  <c r="AB79" i="147"/>
  <c r="AC79" i="147" s="1"/>
  <c r="AT79" i="147"/>
  <c r="V79" i="147"/>
  <c r="W79" i="147" s="1"/>
  <c r="O79" i="147"/>
  <c r="BG79" i="147"/>
  <c r="BH79" i="147" s="1"/>
  <c r="AN79" i="147"/>
  <c r="AO79" i="147" s="1"/>
  <c r="AH79" i="147"/>
  <c r="AI79" i="147" s="1"/>
  <c r="BJ79" i="147"/>
  <c r="BL79" i="147" s="1"/>
  <c r="BK79" i="147"/>
  <c r="BN79" i="147"/>
  <c r="BO79" i="147" s="1"/>
  <c r="M79" i="147"/>
  <c r="I81" i="147"/>
  <c r="K80" i="147"/>
  <c r="I80" i="146"/>
  <c r="K79" i="146"/>
  <c r="AV78" i="146"/>
  <c r="AW78" i="146" s="1"/>
  <c r="P78" i="146"/>
  <c r="BG78" i="146"/>
  <c r="BH78" i="146" s="1"/>
  <c r="BA78" i="146"/>
  <c r="BB78" i="146" s="1"/>
  <c r="AT78" i="146"/>
  <c r="AN78" i="146"/>
  <c r="AO78" i="146" s="1"/>
  <c r="AH78" i="146"/>
  <c r="AI78" i="146" s="1"/>
  <c r="AB78" i="146"/>
  <c r="AC78" i="146" s="1"/>
  <c r="V78" i="146"/>
  <c r="W78" i="146" s="1"/>
  <c r="O78" i="146"/>
  <c r="BQ78" i="146"/>
  <c r="BR78" i="146" s="1"/>
  <c r="AY78" i="146"/>
  <c r="AQ78" i="146"/>
  <c r="AR78" i="146" s="1"/>
  <c r="R78" i="146"/>
  <c r="T78" i="146" s="1"/>
  <c r="AK78" i="146"/>
  <c r="AL78" i="146" s="1"/>
  <c r="BD78" i="146"/>
  <c r="BE78" i="146" s="1"/>
  <c r="AE78" i="146"/>
  <c r="AF78" i="146" s="1"/>
  <c r="Y78" i="146"/>
  <c r="Z78" i="146" s="1"/>
  <c r="BJ78" i="146"/>
  <c r="BL78" i="146" s="1"/>
  <c r="M78" i="146"/>
  <c r="BK78" i="146"/>
  <c r="BN78" i="146"/>
  <c r="BO78" i="146" s="1"/>
  <c r="I78" i="115"/>
  <c r="K77" i="115"/>
  <c r="BL74" i="17"/>
  <c r="BN74" i="17"/>
  <c r="BO74" i="17" s="1"/>
  <c r="M74" i="17"/>
  <c r="AB74" i="17"/>
  <c r="AC74" i="17" s="1"/>
  <c r="AY74" i="17"/>
  <c r="Y74" i="17"/>
  <c r="Z74" i="17" s="1"/>
  <c r="R74" i="17"/>
  <c r="T74" i="17" s="1"/>
  <c r="BD74" i="17"/>
  <c r="BE74" i="17" s="1"/>
  <c r="AV74" i="17"/>
  <c r="AW74" i="17" s="1"/>
  <c r="V74" i="17"/>
  <c r="W74" i="17" s="1"/>
  <c r="BA74" i="17"/>
  <c r="BB74" i="17" s="1"/>
  <c r="AE74" i="17"/>
  <c r="AF74" i="17" s="1"/>
  <c r="BQ74" i="17"/>
  <c r="BR74" i="17" s="1"/>
  <c r="AK74" i="17"/>
  <c r="AL74" i="17" s="1"/>
  <c r="BG74" i="17"/>
  <c r="BH74" i="17" s="1"/>
  <c r="AN74" i="17"/>
  <c r="AO74" i="17" s="1"/>
  <c r="P74" i="17"/>
  <c r="AH74" i="17"/>
  <c r="AI74" i="17" s="1"/>
  <c r="O74" i="17"/>
  <c r="AQ74" i="17"/>
  <c r="AR74" i="17" s="1"/>
  <c r="AT74" i="17"/>
  <c r="M77" i="135"/>
  <c r="AN77" i="135"/>
  <c r="AO77" i="135" s="1"/>
  <c r="AQ77" i="135"/>
  <c r="AR77" i="135" s="1"/>
  <c r="BG77" i="135"/>
  <c r="BH77" i="135" s="1"/>
  <c r="AH77" i="135"/>
  <c r="AI77" i="135" s="1"/>
  <c r="Y77" i="135"/>
  <c r="Z77" i="135" s="1"/>
  <c r="V77" i="135"/>
  <c r="W77" i="135" s="1"/>
  <c r="BQ77" i="135"/>
  <c r="BR77" i="135" s="1"/>
  <c r="AV77" i="135"/>
  <c r="AW77" i="135" s="1"/>
  <c r="P77" i="135"/>
  <c r="AE77" i="135"/>
  <c r="AF77" i="135" s="1"/>
  <c r="BA77" i="135"/>
  <c r="BB77" i="135" s="1"/>
  <c r="AT77" i="135"/>
  <c r="AK77" i="135"/>
  <c r="AL77" i="135" s="1"/>
  <c r="AB77" i="135"/>
  <c r="AC77" i="135" s="1"/>
  <c r="AY77" i="135"/>
  <c r="R77" i="135"/>
  <c r="T77" i="135" s="1"/>
  <c r="O77" i="135"/>
  <c r="BD77" i="135"/>
  <c r="BE77" i="135" s="1"/>
  <c r="BN77" i="135"/>
  <c r="BO77" i="135" s="1"/>
  <c r="BL77" i="135"/>
  <c r="I77" i="101"/>
  <c r="K76" i="101"/>
  <c r="BA74" i="66"/>
  <c r="BB74" i="66" s="1"/>
  <c r="BQ74" i="66"/>
  <c r="BR74" i="66" s="1"/>
  <c r="AN74" i="66"/>
  <c r="AO74" i="66" s="1"/>
  <c r="M74" i="66"/>
  <c r="Y74" i="66"/>
  <c r="Z74" i="66" s="1"/>
  <c r="R74" i="66"/>
  <c r="T74" i="66" s="1"/>
  <c r="V74" i="66"/>
  <c r="W74" i="66" s="1"/>
  <c r="BG74" i="66"/>
  <c r="BH74" i="66" s="1"/>
  <c r="AQ74" i="66"/>
  <c r="AR74" i="66" s="1"/>
  <c r="BN74" i="66"/>
  <c r="BO74" i="66" s="1"/>
  <c r="AY74" i="66"/>
  <c r="AE74" i="66"/>
  <c r="AF74" i="66" s="1"/>
  <c r="O74" i="66"/>
  <c r="P74" i="66"/>
  <c r="AT74" i="66"/>
  <c r="AH74" i="66"/>
  <c r="AI74" i="66" s="1"/>
  <c r="AK74" i="66"/>
  <c r="AL74" i="66" s="1"/>
  <c r="AV74" i="66"/>
  <c r="AW74" i="66" s="1"/>
  <c r="AB74" i="66"/>
  <c r="AC74" i="66" s="1"/>
  <c r="BD74" i="66"/>
  <c r="BE74" i="66" s="1"/>
  <c r="BL74" i="66"/>
  <c r="K81" i="124"/>
  <c r="M80" i="124"/>
  <c r="BN80" i="124"/>
  <c r="BO80" i="124" s="1"/>
  <c r="BJ80" i="124"/>
  <c r="BL80" i="124" s="1"/>
  <c r="BK80" i="124"/>
  <c r="R80" i="124"/>
  <c r="T80" i="124" s="1"/>
  <c r="O80" i="124"/>
  <c r="P80" i="124"/>
  <c r="AQ80" i="124"/>
  <c r="AR80" i="124" s="1"/>
  <c r="AT80" i="124"/>
  <c r="AH80" i="124"/>
  <c r="AI80" i="124" s="1"/>
  <c r="BA80" i="124"/>
  <c r="BB80" i="124" s="1"/>
  <c r="AN80" i="124"/>
  <c r="AO80" i="124" s="1"/>
  <c r="BD80" i="124"/>
  <c r="BE80" i="124" s="1"/>
  <c r="AK80" i="124"/>
  <c r="AL80" i="124" s="1"/>
  <c r="V80" i="124"/>
  <c r="W80" i="124" s="1"/>
  <c r="BQ80" i="124"/>
  <c r="BR80" i="124" s="1"/>
  <c r="BG80" i="124"/>
  <c r="BH80" i="124" s="1"/>
  <c r="AV80" i="124"/>
  <c r="AW80" i="124" s="1"/>
  <c r="AE80" i="124"/>
  <c r="AF80" i="124" s="1"/>
  <c r="AB80" i="124"/>
  <c r="AC80" i="124" s="1"/>
  <c r="Y80" i="124"/>
  <c r="Z80" i="124" s="1"/>
  <c r="AY80" i="124"/>
  <c r="BN76" i="110"/>
  <c r="BO76" i="110" s="1"/>
  <c r="BK76" i="110"/>
  <c r="M76" i="110"/>
  <c r="BJ76" i="110"/>
  <c r="BL76" i="110" s="1"/>
  <c r="BD76" i="110"/>
  <c r="BE76" i="110" s="1"/>
  <c r="AQ76" i="110"/>
  <c r="AR76" i="110" s="1"/>
  <c r="AY76" i="110"/>
  <c r="R76" i="110"/>
  <c r="T76" i="110" s="1"/>
  <c r="AT76" i="110"/>
  <c r="BA76" i="110"/>
  <c r="BB76" i="110" s="1"/>
  <c r="AB76" i="110"/>
  <c r="AC76" i="110" s="1"/>
  <c r="P76" i="110"/>
  <c r="BQ76" i="110"/>
  <c r="BR76" i="110" s="1"/>
  <c r="AE76" i="110"/>
  <c r="AF76" i="110" s="1"/>
  <c r="AH76" i="110"/>
  <c r="AI76" i="110" s="1"/>
  <c r="V76" i="110"/>
  <c r="W76" i="110" s="1"/>
  <c r="Y76" i="110"/>
  <c r="Z76" i="110" s="1"/>
  <c r="AV76" i="110"/>
  <c r="AW76" i="110" s="1"/>
  <c r="BG76" i="110"/>
  <c r="BH76" i="110" s="1"/>
  <c r="O76" i="110"/>
  <c r="AN76" i="110"/>
  <c r="AO76" i="110" s="1"/>
  <c r="AK76" i="110"/>
  <c r="AL76" i="110" s="1"/>
  <c r="AY75" i="118"/>
  <c r="M75" i="118"/>
  <c r="K76" i="118"/>
  <c r="BN75" i="118"/>
  <c r="BO75" i="118" s="1"/>
  <c r="BA75" i="118"/>
  <c r="BB75" i="118" s="1"/>
  <c r="AQ75" i="118"/>
  <c r="AR75" i="118" s="1"/>
  <c r="AH75" i="118"/>
  <c r="AI75" i="118" s="1"/>
  <c r="V75" i="118"/>
  <c r="W75" i="118" s="1"/>
  <c r="AE75" i="118"/>
  <c r="AF75" i="118" s="1"/>
  <c r="P75" i="118"/>
  <c r="Y75" i="118"/>
  <c r="Z75" i="118" s="1"/>
  <c r="AB75" i="118"/>
  <c r="AC75" i="118" s="1"/>
  <c r="BQ75" i="118"/>
  <c r="BR75" i="118" s="1"/>
  <c r="BG75" i="118"/>
  <c r="BH75" i="118" s="1"/>
  <c r="AV75" i="118"/>
  <c r="AW75" i="118" s="1"/>
  <c r="AT75" i="118"/>
  <c r="AN75" i="118"/>
  <c r="AO75" i="118" s="1"/>
  <c r="BD75" i="118"/>
  <c r="BE75" i="118" s="1"/>
  <c r="AK75" i="118"/>
  <c r="AL75" i="118" s="1"/>
  <c r="R75" i="118"/>
  <c r="T75" i="118" s="1"/>
  <c r="O75" i="118"/>
  <c r="BQ74" i="120"/>
  <c r="BR74" i="120" s="1"/>
  <c r="O74" i="120"/>
  <c r="M74" i="120"/>
  <c r="Y74" i="120"/>
  <c r="Z74" i="120" s="1"/>
  <c r="AN74" i="120"/>
  <c r="AO74" i="120" s="1"/>
  <c r="AV74" i="120"/>
  <c r="AW74" i="120" s="1"/>
  <c r="BD74" i="120"/>
  <c r="BE74" i="120" s="1"/>
  <c r="BA74" i="120"/>
  <c r="BB74" i="120" s="1"/>
  <c r="AY74" i="120"/>
  <c r="BG74" i="120"/>
  <c r="BH74" i="120" s="1"/>
  <c r="AH74" i="120"/>
  <c r="AI74" i="120" s="1"/>
  <c r="AK74" i="120"/>
  <c r="AL74" i="120" s="1"/>
  <c r="AE74" i="120"/>
  <c r="AF74" i="120" s="1"/>
  <c r="AQ74" i="120"/>
  <c r="AR74" i="120" s="1"/>
  <c r="V74" i="120"/>
  <c r="W74" i="120" s="1"/>
  <c r="R74" i="120"/>
  <c r="T74" i="120" s="1"/>
  <c r="P74" i="120"/>
  <c r="K75" i="120"/>
  <c r="AB74" i="120"/>
  <c r="AC74" i="120" s="1"/>
  <c r="AT74" i="120"/>
  <c r="BN74" i="120"/>
  <c r="BO74" i="120" s="1"/>
  <c r="I83" i="132"/>
  <c r="I76" i="17"/>
  <c r="K75" i="17"/>
  <c r="M76" i="126"/>
  <c r="BJ76" i="126"/>
  <c r="BL76" i="126" s="1"/>
  <c r="BK76" i="126"/>
  <c r="BN76" i="126"/>
  <c r="BO76" i="126" s="1"/>
  <c r="AK76" i="126"/>
  <c r="AL76" i="126" s="1"/>
  <c r="BD76" i="126"/>
  <c r="BE76" i="126" s="1"/>
  <c r="O76" i="126"/>
  <c r="AT76" i="126"/>
  <c r="AV76" i="126"/>
  <c r="AW76" i="126" s="1"/>
  <c r="AE76" i="126"/>
  <c r="AF76" i="126" s="1"/>
  <c r="AY76" i="126"/>
  <c r="AB76" i="126"/>
  <c r="AC76" i="126" s="1"/>
  <c r="BA76" i="126"/>
  <c r="BB76" i="126" s="1"/>
  <c r="V76" i="126"/>
  <c r="W76" i="126" s="1"/>
  <c r="BQ76" i="126"/>
  <c r="BR76" i="126" s="1"/>
  <c r="BG76" i="126"/>
  <c r="BH76" i="126" s="1"/>
  <c r="AH76" i="126"/>
  <c r="AI76" i="126" s="1"/>
  <c r="P76" i="126"/>
  <c r="R76" i="126"/>
  <c r="T76" i="126" s="1"/>
  <c r="AN76" i="126"/>
  <c r="AO76" i="126" s="1"/>
  <c r="Y76" i="126"/>
  <c r="Z76" i="126" s="1"/>
  <c r="AQ76" i="126"/>
  <c r="AR76" i="126" s="1"/>
  <c r="K77" i="126"/>
  <c r="I79" i="135"/>
  <c r="K78" i="135"/>
  <c r="I82" i="136"/>
  <c r="I76" i="66"/>
  <c r="K75" i="66"/>
  <c r="I78" i="110"/>
  <c r="K77" i="110"/>
  <c r="BN74" i="13"/>
  <c r="BO74" i="13" s="1"/>
  <c r="M74" i="13"/>
  <c r="BL74" i="13"/>
  <c r="V74" i="13"/>
  <c r="W74" i="13" s="1"/>
  <c r="O74" i="13"/>
  <c r="AT74" i="13"/>
  <c r="AV74" i="13"/>
  <c r="AW74" i="13" s="1"/>
  <c r="Y74" i="13"/>
  <c r="Z74" i="13" s="1"/>
  <c r="AH74" i="13"/>
  <c r="AI74" i="13" s="1"/>
  <c r="P74" i="13"/>
  <c r="BA74" i="13"/>
  <c r="BB74" i="13" s="1"/>
  <c r="AB74" i="13"/>
  <c r="AC74" i="13" s="1"/>
  <c r="BG74" i="13"/>
  <c r="BH74" i="13" s="1"/>
  <c r="R74" i="13"/>
  <c r="T74" i="13" s="1"/>
  <c r="AE74" i="13"/>
  <c r="AF74" i="13" s="1"/>
  <c r="AQ74" i="13"/>
  <c r="AR74" i="13" s="1"/>
  <c r="AK74" i="13"/>
  <c r="AL74" i="13" s="1"/>
  <c r="AN74" i="13"/>
  <c r="AO74" i="13" s="1"/>
  <c r="AY74" i="13"/>
  <c r="BQ74" i="13"/>
  <c r="BR74" i="13" s="1"/>
  <c r="BD74" i="13"/>
  <c r="BE74" i="13" s="1"/>
  <c r="M78" i="136"/>
  <c r="BN78" i="136"/>
  <c r="BO78" i="136" s="1"/>
  <c r="BL78" i="136"/>
  <c r="AE78" i="136"/>
  <c r="AF78" i="136" s="1"/>
  <c r="AH78" i="136"/>
  <c r="AI78" i="136" s="1"/>
  <c r="Y78" i="136"/>
  <c r="Z78" i="136" s="1"/>
  <c r="AV78" i="136"/>
  <c r="AW78" i="136" s="1"/>
  <c r="BA78" i="136"/>
  <c r="BB78" i="136" s="1"/>
  <c r="AT78" i="136"/>
  <c r="BD78" i="136"/>
  <c r="BE78" i="136" s="1"/>
  <c r="V78" i="136"/>
  <c r="W78" i="136" s="1"/>
  <c r="BQ78" i="136"/>
  <c r="BR78" i="136" s="1"/>
  <c r="R78" i="136"/>
  <c r="T78" i="136" s="1"/>
  <c r="AQ78" i="136"/>
  <c r="AR78" i="136" s="1"/>
  <c r="AY78" i="136"/>
  <c r="AN78" i="136"/>
  <c r="AO78" i="136" s="1"/>
  <c r="P78" i="136"/>
  <c r="O78" i="136"/>
  <c r="AB78" i="136"/>
  <c r="AC78" i="136" s="1"/>
  <c r="BG78" i="136"/>
  <c r="BH78" i="136" s="1"/>
  <c r="AK78" i="136"/>
  <c r="AL78" i="136" s="1"/>
  <c r="K79" i="136"/>
  <c r="I82" i="114"/>
  <c r="I85" i="95"/>
  <c r="I80" i="104"/>
  <c r="BL75" i="15"/>
  <c r="BN75" i="15"/>
  <c r="BO75" i="15" s="1"/>
  <c r="M75" i="15"/>
  <c r="BG75" i="15"/>
  <c r="BH75" i="15" s="1"/>
  <c r="BD75" i="15"/>
  <c r="BE75" i="15" s="1"/>
  <c r="AY75" i="15"/>
  <c r="R75" i="15"/>
  <c r="T75" i="15" s="1"/>
  <c r="AH75" i="15"/>
  <c r="AI75" i="15" s="1"/>
  <c r="AN75" i="15"/>
  <c r="AO75" i="15" s="1"/>
  <c r="AB75" i="15"/>
  <c r="AC75" i="15" s="1"/>
  <c r="AE75" i="15"/>
  <c r="AF75" i="15" s="1"/>
  <c r="V75" i="15"/>
  <c r="W75" i="15" s="1"/>
  <c r="AK75" i="15"/>
  <c r="AL75" i="15" s="1"/>
  <c r="O75" i="15"/>
  <c r="BQ75" i="15"/>
  <c r="BR75" i="15" s="1"/>
  <c r="AQ75" i="15"/>
  <c r="AR75" i="15" s="1"/>
  <c r="Y75" i="15"/>
  <c r="Z75" i="15" s="1"/>
  <c r="AV75" i="15"/>
  <c r="AW75" i="15" s="1"/>
  <c r="AT75" i="15"/>
  <c r="P75" i="15"/>
  <c r="BA75" i="15"/>
  <c r="BB75" i="15" s="1"/>
  <c r="K76" i="15"/>
  <c r="M76" i="63"/>
  <c r="BN76" i="63"/>
  <c r="BO76" i="63" s="1"/>
  <c r="V76" i="63"/>
  <c r="W76" i="63" s="1"/>
  <c r="AT76" i="63"/>
  <c r="BQ76" i="63"/>
  <c r="BR76" i="63" s="1"/>
  <c r="R76" i="63"/>
  <c r="T76" i="63" s="1"/>
  <c r="BG76" i="63"/>
  <c r="BH76" i="63" s="1"/>
  <c r="P76" i="63"/>
  <c r="Y76" i="63"/>
  <c r="Z76" i="63" s="1"/>
  <c r="AH76" i="63"/>
  <c r="AI76" i="63" s="1"/>
  <c r="AE76" i="63"/>
  <c r="AF76" i="63" s="1"/>
  <c r="AY76" i="63"/>
  <c r="AN76" i="63"/>
  <c r="AO76" i="63" s="1"/>
  <c r="O76" i="63"/>
  <c r="AK76" i="63"/>
  <c r="AL76" i="63" s="1"/>
  <c r="AQ76" i="63"/>
  <c r="AR76" i="63" s="1"/>
  <c r="BD76" i="63"/>
  <c r="BE76" i="63" s="1"/>
  <c r="AB76" i="63"/>
  <c r="AC76" i="63" s="1"/>
  <c r="BA76" i="63"/>
  <c r="BB76" i="63" s="1"/>
  <c r="AV76" i="63"/>
  <c r="AW76" i="63" s="1"/>
  <c r="BL76" i="63"/>
  <c r="K77" i="63"/>
  <c r="I81" i="126"/>
  <c r="K77" i="96"/>
  <c r="I78" i="96"/>
  <c r="M76" i="115"/>
  <c r="BK76" i="115"/>
  <c r="BJ76" i="115"/>
  <c r="BL76" i="115" s="1"/>
  <c r="BN76" i="115"/>
  <c r="BO76" i="115" s="1"/>
  <c r="R76" i="115"/>
  <c r="T76" i="115" s="1"/>
  <c r="AT76" i="115"/>
  <c r="BQ76" i="115"/>
  <c r="BR76" i="115" s="1"/>
  <c r="AE76" i="115"/>
  <c r="AF76" i="115" s="1"/>
  <c r="P76" i="115"/>
  <c r="AB76" i="115"/>
  <c r="AC76" i="115" s="1"/>
  <c r="BD76" i="115"/>
  <c r="BE76" i="115" s="1"/>
  <c r="AQ76" i="115"/>
  <c r="AR76" i="115" s="1"/>
  <c r="AK76" i="115"/>
  <c r="AL76" i="115" s="1"/>
  <c r="AY76" i="115"/>
  <c r="Y76" i="115"/>
  <c r="Z76" i="115" s="1"/>
  <c r="O76" i="115"/>
  <c r="AN76" i="115"/>
  <c r="AO76" i="115" s="1"/>
  <c r="V76" i="115"/>
  <c r="W76" i="115" s="1"/>
  <c r="AH76" i="115"/>
  <c r="AI76" i="115" s="1"/>
  <c r="BG76" i="115"/>
  <c r="BH76" i="115" s="1"/>
  <c r="BA76" i="115"/>
  <c r="BB76" i="115" s="1"/>
  <c r="AV76" i="115"/>
  <c r="AW76" i="115" s="1"/>
  <c r="I91" i="133"/>
  <c r="BJ76" i="98"/>
  <c r="BL76" i="98" s="1"/>
  <c r="K77" i="98"/>
  <c r="BN76" i="98"/>
  <c r="BO76" i="98" s="1"/>
  <c r="BK76" i="98"/>
  <c r="M76" i="98"/>
  <c r="AE76" i="98"/>
  <c r="AF76" i="98" s="1"/>
  <c r="O76" i="98"/>
  <c r="Y76" i="98"/>
  <c r="Z76" i="98" s="1"/>
  <c r="AT76" i="98"/>
  <c r="P76" i="98"/>
  <c r="BD76" i="98"/>
  <c r="BE76" i="98" s="1"/>
  <c r="V76" i="98"/>
  <c r="W76" i="98" s="1"/>
  <c r="BQ76" i="98"/>
  <c r="BR76" i="98" s="1"/>
  <c r="BG76" i="98"/>
  <c r="BH76" i="98" s="1"/>
  <c r="AN76" i="98"/>
  <c r="AO76" i="98" s="1"/>
  <c r="AY76" i="98"/>
  <c r="AK76" i="98"/>
  <c r="AL76" i="98" s="1"/>
  <c r="AQ76" i="98"/>
  <c r="AR76" i="98" s="1"/>
  <c r="BA76" i="98"/>
  <c r="BB76" i="98" s="1"/>
  <c r="AH76" i="98"/>
  <c r="AI76" i="98" s="1"/>
  <c r="AB76" i="98"/>
  <c r="AC76" i="98" s="1"/>
  <c r="AV76" i="98"/>
  <c r="AW76" i="98" s="1"/>
  <c r="R76" i="98"/>
  <c r="T76" i="98" s="1"/>
  <c r="K75" i="13"/>
  <c r="I76" i="13"/>
  <c r="I81" i="63"/>
  <c r="BD77" i="64"/>
  <c r="BE77" i="64" s="1"/>
  <c r="AN77" i="64"/>
  <c r="AO77" i="64" s="1"/>
  <c r="P77" i="64"/>
  <c r="O77" i="64"/>
  <c r="AB77" i="64"/>
  <c r="AC77" i="64" s="1"/>
  <c r="Y77" i="64"/>
  <c r="Z77" i="64" s="1"/>
  <c r="V77" i="64"/>
  <c r="W77" i="64" s="1"/>
  <c r="AV77" i="64"/>
  <c r="AW77" i="64" s="1"/>
  <c r="AH77" i="64"/>
  <c r="AI77" i="64" s="1"/>
  <c r="AT77" i="64"/>
  <c r="BQ77" i="64"/>
  <c r="BR77" i="64" s="1"/>
  <c r="M77" i="64"/>
  <c r="AK77" i="64"/>
  <c r="AL77" i="64" s="1"/>
  <c r="BA77" i="64"/>
  <c r="BB77" i="64" s="1"/>
  <c r="AE77" i="64"/>
  <c r="AF77" i="64" s="1"/>
  <c r="R77" i="64"/>
  <c r="T77" i="64" s="1"/>
  <c r="AY77" i="64"/>
  <c r="AQ77" i="64"/>
  <c r="AR77" i="64" s="1"/>
  <c r="BG77" i="64"/>
  <c r="BH77" i="64" s="1"/>
  <c r="BN77" i="64"/>
  <c r="BO77" i="64" s="1"/>
  <c r="BL77" i="64"/>
  <c r="K78" i="64"/>
  <c r="I83" i="105"/>
  <c r="M75" i="101"/>
  <c r="BG75" i="101"/>
  <c r="BH75" i="101" s="1"/>
  <c r="AQ75" i="101"/>
  <c r="AR75" i="101" s="1"/>
  <c r="BQ75" i="101"/>
  <c r="BR75" i="101" s="1"/>
  <c r="BA75" i="101"/>
  <c r="BB75" i="101" s="1"/>
  <c r="AV75" i="101"/>
  <c r="AW75" i="101" s="1"/>
  <c r="AK75" i="101"/>
  <c r="AL75" i="101" s="1"/>
  <c r="R75" i="101"/>
  <c r="T75" i="101" s="1"/>
  <c r="AH75" i="101"/>
  <c r="AI75" i="101" s="1"/>
  <c r="BD75" i="101"/>
  <c r="BE75" i="101" s="1"/>
  <c r="AE75" i="101"/>
  <c r="AF75" i="101" s="1"/>
  <c r="Y75" i="101"/>
  <c r="Z75" i="101" s="1"/>
  <c r="V75" i="101"/>
  <c r="W75" i="101" s="1"/>
  <c r="AY75" i="101"/>
  <c r="AB75" i="101"/>
  <c r="AC75" i="101" s="1"/>
  <c r="AN75" i="101"/>
  <c r="AO75" i="101" s="1"/>
  <c r="P75" i="101"/>
  <c r="O75" i="101"/>
  <c r="AT75" i="101"/>
  <c r="I80" i="15"/>
  <c r="M76" i="114"/>
  <c r="BN76" i="114"/>
  <c r="BO76" i="114" s="1"/>
  <c r="BK76" i="114"/>
  <c r="BJ76" i="114"/>
  <c r="BL76" i="114" s="1"/>
  <c r="O76" i="114"/>
  <c r="AY76" i="114"/>
  <c r="AV76" i="114"/>
  <c r="AW76" i="114" s="1"/>
  <c r="Y76" i="114"/>
  <c r="Z76" i="114" s="1"/>
  <c r="BG76" i="114"/>
  <c r="BH76" i="114" s="1"/>
  <c r="BA76" i="114"/>
  <c r="BB76" i="114" s="1"/>
  <c r="AT76" i="114"/>
  <c r="BQ76" i="114"/>
  <c r="BR76" i="114" s="1"/>
  <c r="AQ76" i="114"/>
  <c r="AR76" i="114" s="1"/>
  <c r="AH76" i="114"/>
  <c r="AI76" i="114" s="1"/>
  <c r="V76" i="114"/>
  <c r="W76" i="114" s="1"/>
  <c r="AK76" i="114"/>
  <c r="AL76" i="114" s="1"/>
  <c r="P76" i="114"/>
  <c r="AN76" i="114"/>
  <c r="AO76" i="114" s="1"/>
  <c r="AE76" i="114"/>
  <c r="AF76" i="114" s="1"/>
  <c r="R76" i="114"/>
  <c r="T76" i="114" s="1"/>
  <c r="BD76" i="114"/>
  <c r="BE76" i="114" s="1"/>
  <c r="AB76" i="114"/>
  <c r="AC76" i="114" s="1"/>
  <c r="K77" i="114"/>
  <c r="I82" i="64"/>
  <c r="BJ78" i="105"/>
  <c r="BL78" i="105" s="1"/>
  <c r="M78" i="105"/>
  <c r="BK78" i="105"/>
  <c r="BN78" i="105"/>
  <c r="BO78" i="105" s="1"/>
  <c r="AE78" i="105"/>
  <c r="AF78" i="105" s="1"/>
  <c r="V78" i="105"/>
  <c r="W78" i="105" s="1"/>
  <c r="P78" i="105"/>
  <c r="AY78" i="105"/>
  <c r="AK78" i="105"/>
  <c r="AL78" i="105" s="1"/>
  <c r="O78" i="105"/>
  <c r="BQ78" i="105"/>
  <c r="BR78" i="105" s="1"/>
  <c r="Y78" i="105"/>
  <c r="Z78" i="105" s="1"/>
  <c r="R78" i="105"/>
  <c r="T78" i="105" s="1"/>
  <c r="AQ78" i="105"/>
  <c r="AR78" i="105" s="1"/>
  <c r="AN78" i="105"/>
  <c r="AO78" i="105" s="1"/>
  <c r="AH78" i="105"/>
  <c r="AI78" i="105" s="1"/>
  <c r="AB78" i="105"/>
  <c r="AC78" i="105" s="1"/>
  <c r="AV78" i="105"/>
  <c r="AW78" i="105" s="1"/>
  <c r="BA78" i="105"/>
  <c r="BB78" i="105" s="1"/>
  <c r="AT78" i="105"/>
  <c r="BD78" i="105"/>
  <c r="BE78" i="105" s="1"/>
  <c r="BG78" i="105"/>
  <c r="BH78" i="105" s="1"/>
  <c r="K79" i="105"/>
  <c r="M76" i="96"/>
  <c r="BD76" i="96"/>
  <c r="BE76" i="96" s="1"/>
  <c r="P76" i="96"/>
  <c r="AH76" i="96"/>
  <c r="AI76" i="96" s="1"/>
  <c r="AT76" i="96"/>
  <c r="AV76" i="96"/>
  <c r="AW76" i="96" s="1"/>
  <c r="AK76" i="96"/>
  <c r="AL76" i="96" s="1"/>
  <c r="O76" i="96"/>
  <c r="R76" i="96"/>
  <c r="T76" i="96" s="1"/>
  <c r="AN76" i="96"/>
  <c r="AO76" i="96" s="1"/>
  <c r="BG76" i="96"/>
  <c r="BH76" i="96" s="1"/>
  <c r="V76" i="96"/>
  <c r="W76" i="96" s="1"/>
  <c r="Y76" i="96"/>
  <c r="Z76" i="96" s="1"/>
  <c r="AE76" i="96"/>
  <c r="AF76" i="96" s="1"/>
  <c r="BQ76" i="96"/>
  <c r="BR76" i="96" s="1"/>
  <c r="BA76" i="96"/>
  <c r="BB76" i="96" s="1"/>
  <c r="AQ76" i="96"/>
  <c r="AR76" i="96" s="1"/>
  <c r="AB76" i="96"/>
  <c r="AC76" i="96" s="1"/>
  <c r="BN76" i="96"/>
  <c r="BO76" i="96" s="1"/>
  <c r="BL76" i="96"/>
  <c r="O80" i="107" l="1"/>
  <c r="BG80" i="107"/>
  <c r="BH80" i="107" s="1"/>
  <c r="AH80" i="107"/>
  <c r="AI80" i="107" s="1"/>
  <c r="AQ80" i="107"/>
  <c r="AR80" i="107" s="1"/>
  <c r="V80" i="107"/>
  <c r="W80" i="107" s="1"/>
  <c r="M80" i="107"/>
  <c r="AT80" i="107"/>
  <c r="BN80" i="107"/>
  <c r="BO80" i="107" s="1"/>
  <c r="AV80" i="107"/>
  <c r="AW80" i="107" s="1"/>
  <c r="BD80" i="107"/>
  <c r="BE80" i="107" s="1"/>
  <c r="P80" i="107"/>
  <c r="BQ80" i="107"/>
  <c r="BR80" i="107" s="1"/>
  <c r="BJ80" i="107"/>
  <c r="BL80" i="107" s="1"/>
  <c r="R80" i="107"/>
  <c r="T80" i="107" s="1"/>
  <c r="AK80" i="107"/>
  <c r="AL80" i="107" s="1"/>
  <c r="AB80" i="107"/>
  <c r="AC80" i="107" s="1"/>
  <c r="AY80" i="107"/>
  <c r="BA80" i="107"/>
  <c r="BB80" i="107" s="1"/>
  <c r="AN80" i="107"/>
  <c r="AO80" i="107" s="1"/>
  <c r="Y80" i="107"/>
  <c r="Z80" i="107" s="1"/>
  <c r="BK80" i="107"/>
  <c r="AE80" i="107"/>
  <c r="AF80" i="107" s="1"/>
  <c r="I82" i="107"/>
  <c r="K81" i="107"/>
  <c r="AK78" i="132"/>
  <c r="AL78" i="132" s="1"/>
  <c r="AQ78" i="132"/>
  <c r="AR78" i="132" s="1"/>
  <c r="M78" i="132"/>
  <c r="BA78" i="132"/>
  <c r="BB78" i="132" s="1"/>
  <c r="AY78" i="132"/>
  <c r="AN78" i="132"/>
  <c r="AO78" i="132" s="1"/>
  <c r="BG78" i="132"/>
  <c r="BH78" i="132" s="1"/>
  <c r="R78" i="132"/>
  <c r="T78" i="132" s="1"/>
  <c r="AV78" i="132"/>
  <c r="AW78" i="132" s="1"/>
  <c r="O78" i="132"/>
  <c r="AE78" i="132"/>
  <c r="AF78" i="132" s="1"/>
  <c r="Y78" i="132"/>
  <c r="Z78" i="132" s="1"/>
  <c r="BD78" i="132"/>
  <c r="BE78" i="132" s="1"/>
  <c r="P78" i="132"/>
  <c r="AT78" i="132"/>
  <c r="AB78" i="132"/>
  <c r="AC78" i="132" s="1"/>
  <c r="K79" i="132"/>
  <c r="BQ78" i="132"/>
  <c r="BR78" i="132" s="1"/>
  <c r="V78" i="132"/>
  <c r="W78" i="132" s="1"/>
  <c r="BN78" i="132"/>
  <c r="BO78" i="132" s="1"/>
  <c r="BL78" i="132"/>
  <c r="AH78" i="132"/>
  <c r="AI78" i="132" s="1"/>
  <c r="BK78" i="99"/>
  <c r="R78" i="99"/>
  <c r="T78" i="99" s="1"/>
  <c r="AH78" i="99"/>
  <c r="AI78" i="99" s="1"/>
  <c r="K79" i="99"/>
  <c r="P78" i="99"/>
  <c r="BN78" i="99"/>
  <c r="BO78" i="99" s="1"/>
  <c r="AN78" i="99"/>
  <c r="AO78" i="99" s="1"/>
  <c r="BG78" i="99"/>
  <c r="BH78" i="99" s="1"/>
  <c r="O78" i="99"/>
  <c r="M78" i="99"/>
  <c r="BD78" i="99"/>
  <c r="BE78" i="99" s="1"/>
  <c r="AB78" i="99"/>
  <c r="AC78" i="99" s="1"/>
  <c r="AY78" i="99"/>
  <c r="AV78" i="99"/>
  <c r="AW78" i="99" s="1"/>
  <c r="BJ78" i="99"/>
  <c r="BL78" i="99" s="1"/>
  <c r="BA78" i="99"/>
  <c r="BB78" i="99" s="1"/>
  <c r="V78" i="99"/>
  <c r="W78" i="99" s="1"/>
  <c r="Y78" i="99"/>
  <c r="Z78" i="99" s="1"/>
  <c r="AQ78" i="99"/>
  <c r="AR78" i="99" s="1"/>
  <c r="AE78" i="99"/>
  <c r="AF78" i="99" s="1"/>
  <c r="AT78" i="99"/>
  <c r="AK78" i="99"/>
  <c r="AL78" i="99" s="1"/>
  <c r="BQ78" i="99"/>
  <c r="BR78" i="99" s="1"/>
  <c r="BG111" i="161"/>
  <c r="BH111" i="161" s="1"/>
  <c r="BA111" i="161"/>
  <c r="BB111" i="161" s="1"/>
  <c r="AT111" i="161"/>
  <c r="AN111" i="161"/>
  <c r="AO111" i="161" s="1"/>
  <c r="AH111" i="161"/>
  <c r="AI111" i="161" s="1"/>
  <c r="AB111" i="161"/>
  <c r="AC111" i="161" s="1"/>
  <c r="V111" i="161"/>
  <c r="W111" i="161" s="1"/>
  <c r="O111" i="161"/>
  <c r="BR111" i="161"/>
  <c r="AY111" i="161"/>
  <c r="BD111" i="161"/>
  <c r="BE111" i="161" s="1"/>
  <c r="AQ111" i="161"/>
  <c r="AR111" i="161" s="1"/>
  <c r="AE111" i="161"/>
  <c r="AF111" i="161" s="1"/>
  <c r="R111" i="161"/>
  <c r="T111" i="161" s="1"/>
  <c r="P111" i="161"/>
  <c r="AK111" i="161"/>
  <c r="AL111" i="161" s="1"/>
  <c r="Y111" i="161"/>
  <c r="Z111" i="161" s="1"/>
  <c r="AV111" i="161"/>
  <c r="AW111" i="161" s="1"/>
  <c r="BJ111" i="161"/>
  <c r="BL111" i="161" s="1"/>
  <c r="BN111" i="161"/>
  <c r="BO111" i="161" s="1"/>
  <c r="BK111" i="161"/>
  <c r="M111" i="161"/>
  <c r="K112" i="161"/>
  <c r="BQ112" i="161" s="1"/>
  <c r="I113" i="161"/>
  <c r="BK76" i="104"/>
  <c r="BG76" i="104"/>
  <c r="BH76" i="104" s="1"/>
  <c r="AE76" i="104"/>
  <c r="AF76" i="104" s="1"/>
  <c r="AH76" i="104"/>
  <c r="AI76" i="104" s="1"/>
  <c r="M76" i="104"/>
  <c r="BA76" i="104"/>
  <c r="BB76" i="104" s="1"/>
  <c r="AT76" i="104"/>
  <c r="AN76" i="104"/>
  <c r="AO76" i="104" s="1"/>
  <c r="V76" i="104"/>
  <c r="W76" i="104" s="1"/>
  <c r="Y76" i="104"/>
  <c r="Z76" i="104" s="1"/>
  <c r="O76" i="104"/>
  <c r="R76" i="104"/>
  <c r="T76" i="104" s="1"/>
  <c r="BJ76" i="104"/>
  <c r="BL76" i="104" s="1"/>
  <c r="BD76" i="104"/>
  <c r="BE76" i="104" s="1"/>
  <c r="AB76" i="104"/>
  <c r="AC76" i="104" s="1"/>
  <c r="AK76" i="104"/>
  <c r="AL76" i="104" s="1"/>
  <c r="AQ76" i="104"/>
  <c r="AR76" i="104" s="1"/>
  <c r="BQ76" i="104"/>
  <c r="BR76" i="104" s="1"/>
  <c r="BN76" i="104"/>
  <c r="BO76" i="104" s="1"/>
  <c r="AY76" i="104"/>
  <c r="AV76" i="104"/>
  <c r="AW76" i="104" s="1"/>
  <c r="K77" i="104"/>
  <c r="P76" i="104"/>
  <c r="M81" i="156"/>
  <c r="AH81" i="156"/>
  <c r="AI81" i="156" s="1"/>
  <c r="BN81" i="156"/>
  <c r="BO81" i="156" s="1"/>
  <c r="AK81" i="156"/>
  <c r="AL81" i="156" s="1"/>
  <c r="AN81" i="156"/>
  <c r="AO81" i="156" s="1"/>
  <c r="Y81" i="156"/>
  <c r="Z81" i="156" s="1"/>
  <c r="BL81" i="156"/>
  <c r="O81" i="156"/>
  <c r="AE81" i="156"/>
  <c r="AF81" i="156" s="1"/>
  <c r="BQ81" i="156"/>
  <c r="BR81" i="156" s="1"/>
  <c r="BA81" i="156"/>
  <c r="BB81" i="156" s="1"/>
  <c r="AQ81" i="156"/>
  <c r="AR81" i="156" s="1"/>
  <c r="V81" i="156"/>
  <c r="W81" i="156" s="1"/>
  <c r="P81" i="156"/>
  <c r="BD81" i="156"/>
  <c r="BE81" i="156" s="1"/>
  <c r="AB81" i="156"/>
  <c r="AC81" i="156" s="1"/>
  <c r="AV81" i="156"/>
  <c r="AW81" i="156" s="1"/>
  <c r="R81" i="156"/>
  <c r="T81" i="156" s="1"/>
  <c r="BG81" i="156"/>
  <c r="BH81" i="156" s="1"/>
  <c r="I83" i="156"/>
  <c r="K82" i="156"/>
  <c r="AY82" i="156" s="1"/>
  <c r="BN77" i="129"/>
  <c r="BO77" i="129" s="1"/>
  <c r="O77" i="129"/>
  <c r="AV77" i="129"/>
  <c r="AW77" i="129" s="1"/>
  <c r="AE77" i="129"/>
  <c r="AF77" i="129" s="1"/>
  <c r="AQ77" i="129"/>
  <c r="AR77" i="129" s="1"/>
  <c r="Y77" i="129"/>
  <c r="Z77" i="129" s="1"/>
  <c r="BQ77" i="129"/>
  <c r="BR77" i="129" s="1"/>
  <c r="AN77" i="129"/>
  <c r="AO77" i="129" s="1"/>
  <c r="AY77" i="129"/>
  <c r="AH77" i="129"/>
  <c r="AI77" i="129" s="1"/>
  <c r="P77" i="129"/>
  <c r="BL77" i="129"/>
  <c r="AK77" i="129"/>
  <c r="AL77" i="129" s="1"/>
  <c r="BG77" i="129"/>
  <c r="BH77" i="129" s="1"/>
  <c r="K78" i="129"/>
  <c r="V77" i="129"/>
  <c r="W77" i="129" s="1"/>
  <c r="R77" i="129"/>
  <c r="T77" i="129" s="1"/>
  <c r="BD77" i="129"/>
  <c r="BE77" i="129" s="1"/>
  <c r="M77" i="129"/>
  <c r="BA77" i="129"/>
  <c r="BB77" i="129" s="1"/>
  <c r="AT77" i="129"/>
  <c r="AB77" i="129"/>
  <c r="AC77" i="129" s="1"/>
  <c r="BN75" i="95"/>
  <c r="BO75" i="95" s="1"/>
  <c r="V75" i="95"/>
  <c r="W75" i="95" s="1"/>
  <c r="BG75" i="95"/>
  <c r="BH75" i="95" s="1"/>
  <c r="Y75" i="95"/>
  <c r="Z75" i="95" s="1"/>
  <c r="BQ75" i="95"/>
  <c r="BR75" i="95" s="1"/>
  <c r="K76" i="95"/>
  <c r="AE75" i="95"/>
  <c r="AF75" i="95" s="1"/>
  <c r="M75" i="95"/>
  <c r="AN75" i="95"/>
  <c r="AO75" i="95" s="1"/>
  <c r="BD75" i="95"/>
  <c r="BE75" i="95" s="1"/>
  <c r="BA75" i="95"/>
  <c r="BB75" i="95" s="1"/>
  <c r="BL75" i="95"/>
  <c r="P75" i="95"/>
  <c r="O75" i="95"/>
  <c r="AT75" i="95"/>
  <c r="AK75" i="95"/>
  <c r="AL75" i="95" s="1"/>
  <c r="AV75" i="95"/>
  <c r="AW75" i="95" s="1"/>
  <c r="AB75" i="95"/>
  <c r="AC75" i="95" s="1"/>
  <c r="R75" i="95"/>
  <c r="T75" i="95" s="1"/>
  <c r="AH75" i="95"/>
  <c r="AI75" i="95" s="1"/>
  <c r="AQ75" i="95"/>
  <c r="AR75" i="95" s="1"/>
  <c r="BQ76" i="106"/>
  <c r="BR76" i="106" s="1"/>
  <c r="AK76" i="106"/>
  <c r="AL76" i="106" s="1"/>
  <c r="AT76" i="106"/>
  <c r="BN76" i="106"/>
  <c r="BO76" i="106" s="1"/>
  <c r="P76" i="106"/>
  <c r="BD76" i="106"/>
  <c r="BE76" i="106" s="1"/>
  <c r="BG76" i="106"/>
  <c r="BH76" i="106" s="1"/>
  <c r="BK76" i="106"/>
  <c r="AV76" i="106"/>
  <c r="AW76" i="106" s="1"/>
  <c r="R76" i="106"/>
  <c r="T76" i="106" s="1"/>
  <c r="O76" i="106"/>
  <c r="BJ76" i="106"/>
  <c r="BL76" i="106" s="1"/>
  <c r="BA76" i="106"/>
  <c r="BB76" i="106" s="1"/>
  <c r="V76" i="106"/>
  <c r="W76" i="106" s="1"/>
  <c r="AN76" i="106"/>
  <c r="AO76" i="106" s="1"/>
  <c r="AY76" i="106"/>
  <c r="AH76" i="106"/>
  <c r="AI76" i="106" s="1"/>
  <c r="AB76" i="106"/>
  <c r="AC76" i="106" s="1"/>
  <c r="M76" i="106"/>
  <c r="AE76" i="106"/>
  <c r="AF76" i="106" s="1"/>
  <c r="AQ76" i="106"/>
  <c r="AR76" i="106" s="1"/>
  <c r="Y76" i="106"/>
  <c r="Z76" i="106" s="1"/>
  <c r="K77" i="106"/>
  <c r="I83" i="106"/>
  <c r="M79" i="133"/>
  <c r="BG79" i="133"/>
  <c r="BH79" i="133" s="1"/>
  <c r="AH79" i="133"/>
  <c r="AI79" i="133" s="1"/>
  <c r="AV79" i="133"/>
  <c r="AW79" i="133" s="1"/>
  <c r="AN79" i="133"/>
  <c r="AO79" i="133" s="1"/>
  <c r="O79" i="133"/>
  <c r="R79" i="133"/>
  <c r="T79" i="133" s="1"/>
  <c r="K80" i="133"/>
  <c r="AT79" i="133"/>
  <c r="AE79" i="133"/>
  <c r="AF79" i="133" s="1"/>
  <c r="AQ79" i="133"/>
  <c r="AR79" i="133" s="1"/>
  <c r="BQ79" i="133"/>
  <c r="BR79" i="133" s="1"/>
  <c r="AY79" i="133"/>
  <c r="BL79" i="133"/>
  <c r="P79" i="133"/>
  <c r="AK79" i="133"/>
  <c r="AL79" i="133" s="1"/>
  <c r="BD79" i="133"/>
  <c r="BE79" i="133" s="1"/>
  <c r="V79" i="133"/>
  <c r="W79" i="133" s="1"/>
  <c r="BN79" i="133"/>
  <c r="BO79" i="133" s="1"/>
  <c r="AB79" i="133"/>
  <c r="AC79" i="133" s="1"/>
  <c r="Y79" i="133"/>
  <c r="Z79" i="133" s="1"/>
  <c r="BA79" i="133"/>
  <c r="BB79" i="133" s="1"/>
  <c r="BK76" i="112"/>
  <c r="AB76" i="112"/>
  <c r="AC76" i="112" s="1"/>
  <c r="AV76" i="112"/>
  <c r="AW76" i="112" s="1"/>
  <c r="AE76" i="112"/>
  <c r="AF76" i="112" s="1"/>
  <c r="BG76" i="112"/>
  <c r="BH76" i="112" s="1"/>
  <c r="AQ76" i="112"/>
  <c r="AR76" i="112" s="1"/>
  <c r="AY76" i="112"/>
  <c r="AT76" i="112"/>
  <c r="M76" i="112"/>
  <c r="Y76" i="112"/>
  <c r="Z76" i="112" s="1"/>
  <c r="BN76" i="112"/>
  <c r="BO76" i="112" s="1"/>
  <c r="AH76" i="112"/>
  <c r="AI76" i="112" s="1"/>
  <c r="BD76" i="112"/>
  <c r="BE76" i="112" s="1"/>
  <c r="BQ76" i="112"/>
  <c r="BR76" i="112" s="1"/>
  <c r="K77" i="112"/>
  <c r="AN76" i="112"/>
  <c r="AO76" i="112" s="1"/>
  <c r="P76" i="112"/>
  <c r="AK76" i="112"/>
  <c r="AL76" i="112" s="1"/>
  <c r="R76" i="112"/>
  <c r="T76" i="112" s="1"/>
  <c r="BJ76" i="112"/>
  <c r="BL76" i="112" s="1"/>
  <c r="BA76" i="112"/>
  <c r="BB76" i="112" s="1"/>
  <c r="V76" i="112"/>
  <c r="W76" i="112" s="1"/>
  <c r="O76" i="112"/>
  <c r="BN77" i="130"/>
  <c r="BO77" i="130" s="1"/>
  <c r="M77" i="130"/>
  <c r="K78" i="130"/>
  <c r="BL77" i="130"/>
  <c r="AB77" i="130"/>
  <c r="AC77" i="130" s="1"/>
  <c r="AQ77" i="130"/>
  <c r="AR77" i="130" s="1"/>
  <c r="AV77" i="130"/>
  <c r="AW77" i="130" s="1"/>
  <c r="R77" i="130"/>
  <c r="T77" i="130" s="1"/>
  <c r="O77" i="130"/>
  <c r="AN77" i="130"/>
  <c r="AO77" i="130" s="1"/>
  <c r="AY77" i="130"/>
  <c r="BD77" i="130"/>
  <c r="BE77" i="130" s="1"/>
  <c r="P77" i="130"/>
  <c r="AH77" i="130"/>
  <c r="AI77" i="130" s="1"/>
  <c r="AT77" i="130"/>
  <c r="Y77" i="130"/>
  <c r="Z77" i="130" s="1"/>
  <c r="V77" i="130"/>
  <c r="W77" i="130" s="1"/>
  <c r="BG77" i="130"/>
  <c r="BH77" i="130" s="1"/>
  <c r="BQ77" i="130"/>
  <c r="BR77" i="130" s="1"/>
  <c r="AK77" i="130"/>
  <c r="AL77" i="130" s="1"/>
  <c r="BA77" i="130"/>
  <c r="BB77" i="130" s="1"/>
  <c r="AE77" i="130"/>
  <c r="AF77" i="130" s="1"/>
  <c r="I84" i="155"/>
  <c r="K83" i="155"/>
  <c r="P82" i="155"/>
  <c r="AV82" i="155"/>
  <c r="AW82" i="155" s="1"/>
  <c r="BN82" i="155"/>
  <c r="BO82" i="155" s="1"/>
  <c r="R82" i="155"/>
  <c r="T82" i="155" s="1"/>
  <c r="Y82" i="155"/>
  <c r="Z82" i="155" s="1"/>
  <c r="AE82" i="155"/>
  <c r="AF82" i="155" s="1"/>
  <c r="AK82" i="155"/>
  <c r="AL82" i="155" s="1"/>
  <c r="AQ82" i="155"/>
  <c r="AR82" i="155" s="1"/>
  <c r="BD82" i="155"/>
  <c r="BE82" i="155" s="1"/>
  <c r="M82" i="155"/>
  <c r="BQ82" i="155"/>
  <c r="BR82" i="155" s="1"/>
  <c r="O82" i="155"/>
  <c r="V82" i="155"/>
  <c r="W82" i="155" s="1"/>
  <c r="AB82" i="155"/>
  <c r="AC82" i="155" s="1"/>
  <c r="AH82" i="155"/>
  <c r="AI82" i="155" s="1"/>
  <c r="AN82" i="155"/>
  <c r="AO82" i="155" s="1"/>
  <c r="BA82" i="155"/>
  <c r="BB82" i="155" s="1"/>
  <c r="BG82" i="155"/>
  <c r="BH82" i="155" s="1"/>
  <c r="BL82" i="155"/>
  <c r="I87" i="153"/>
  <c r="O82" i="153"/>
  <c r="V82" i="153"/>
  <c r="W82" i="153" s="1"/>
  <c r="AB82" i="153"/>
  <c r="AC82" i="153" s="1"/>
  <c r="AH82" i="153"/>
  <c r="AI82" i="153" s="1"/>
  <c r="AN82" i="153"/>
  <c r="AO82" i="153" s="1"/>
  <c r="BA82" i="153"/>
  <c r="BB82" i="153" s="1"/>
  <c r="BG82" i="153"/>
  <c r="BH82" i="153" s="1"/>
  <c r="P82" i="153"/>
  <c r="AV82" i="153"/>
  <c r="AW82" i="153" s="1"/>
  <c r="BN82" i="153"/>
  <c r="BO82" i="153" s="1"/>
  <c r="R82" i="153"/>
  <c r="T82" i="153" s="1"/>
  <c r="Y82" i="153"/>
  <c r="Z82" i="153" s="1"/>
  <c r="AE82" i="153"/>
  <c r="AF82" i="153" s="1"/>
  <c r="AK82" i="153"/>
  <c r="AL82" i="153" s="1"/>
  <c r="AQ82" i="153"/>
  <c r="AR82" i="153" s="1"/>
  <c r="BD82" i="153"/>
  <c r="BE82" i="153" s="1"/>
  <c r="BQ82" i="153"/>
  <c r="BR82" i="153" s="1"/>
  <c r="M82" i="153"/>
  <c r="BL82" i="153"/>
  <c r="K83" i="153"/>
  <c r="I91" i="152"/>
  <c r="R82" i="152"/>
  <c r="T82" i="152" s="1"/>
  <c r="Y82" i="152"/>
  <c r="Z82" i="152" s="1"/>
  <c r="AE82" i="152"/>
  <c r="AF82" i="152" s="1"/>
  <c r="AK82" i="152"/>
  <c r="AL82" i="152" s="1"/>
  <c r="AQ82" i="152"/>
  <c r="AR82" i="152" s="1"/>
  <c r="BD82" i="152"/>
  <c r="BE82" i="152" s="1"/>
  <c r="M82" i="152"/>
  <c r="BQ82" i="152"/>
  <c r="BR82" i="152" s="1"/>
  <c r="P82" i="152"/>
  <c r="V82" i="152"/>
  <c r="W82" i="152" s="1"/>
  <c r="AH82" i="152"/>
  <c r="AI82" i="152" s="1"/>
  <c r="BG82" i="152"/>
  <c r="BH82" i="152" s="1"/>
  <c r="BL82" i="152"/>
  <c r="AV82" i="152"/>
  <c r="AW82" i="152" s="1"/>
  <c r="BN82" i="152"/>
  <c r="BO82" i="152" s="1"/>
  <c r="O82" i="152"/>
  <c r="AB82" i="152"/>
  <c r="AC82" i="152" s="1"/>
  <c r="AN82" i="152"/>
  <c r="AO82" i="152" s="1"/>
  <c r="BA82" i="152"/>
  <c r="BB82" i="152" s="1"/>
  <c r="K83" i="152"/>
  <c r="BQ80" i="151"/>
  <c r="BR80" i="151" s="1"/>
  <c r="AY80" i="151"/>
  <c r="AV80" i="151"/>
  <c r="AW80" i="151" s="1"/>
  <c r="P80" i="151"/>
  <c r="AK80" i="151"/>
  <c r="AL80" i="151" s="1"/>
  <c r="Y80" i="151"/>
  <c r="Z80" i="151" s="1"/>
  <c r="BD80" i="151"/>
  <c r="BE80" i="151" s="1"/>
  <c r="AQ80" i="151"/>
  <c r="AR80" i="151" s="1"/>
  <c r="AE80" i="151"/>
  <c r="AF80" i="151" s="1"/>
  <c r="R80" i="151"/>
  <c r="T80" i="151" s="1"/>
  <c r="AT80" i="151"/>
  <c r="V80" i="151"/>
  <c r="W80" i="151" s="1"/>
  <c r="AN80" i="151"/>
  <c r="AO80" i="151" s="1"/>
  <c r="O80" i="151"/>
  <c r="BG80" i="151"/>
  <c r="BH80" i="151" s="1"/>
  <c r="AH80" i="151"/>
  <c r="AI80" i="151" s="1"/>
  <c r="BA80" i="151"/>
  <c r="BB80" i="151" s="1"/>
  <c r="AB80" i="151"/>
  <c r="AC80" i="151" s="1"/>
  <c r="BN80" i="151"/>
  <c r="BO80" i="151" s="1"/>
  <c r="M80" i="151"/>
  <c r="BL80" i="151"/>
  <c r="K81" i="151"/>
  <c r="I82" i="151"/>
  <c r="BD79" i="150"/>
  <c r="BE79" i="150" s="1"/>
  <c r="AQ79" i="150"/>
  <c r="AR79" i="150" s="1"/>
  <c r="AK79" i="150"/>
  <c r="AL79" i="150" s="1"/>
  <c r="AE79" i="150"/>
  <c r="AF79" i="150" s="1"/>
  <c r="Y79" i="150"/>
  <c r="Z79" i="150" s="1"/>
  <c r="R79" i="150"/>
  <c r="T79" i="150" s="1"/>
  <c r="AV79" i="150"/>
  <c r="AW79" i="150" s="1"/>
  <c r="P79" i="150"/>
  <c r="BG79" i="150"/>
  <c r="BH79" i="150" s="1"/>
  <c r="BA79" i="150"/>
  <c r="BB79" i="150" s="1"/>
  <c r="AT79" i="150"/>
  <c r="AN79" i="150"/>
  <c r="AO79" i="150" s="1"/>
  <c r="AH79" i="150"/>
  <c r="AI79" i="150" s="1"/>
  <c r="AB79" i="150"/>
  <c r="AC79" i="150" s="1"/>
  <c r="V79" i="150"/>
  <c r="W79" i="150" s="1"/>
  <c r="O79" i="150"/>
  <c r="BQ79" i="150"/>
  <c r="BR79" i="150" s="1"/>
  <c r="AY79" i="150"/>
  <c r="BN79" i="150"/>
  <c r="BO79" i="150" s="1"/>
  <c r="M79" i="150"/>
  <c r="BL79" i="150"/>
  <c r="K80" i="150"/>
  <c r="I83" i="150"/>
  <c r="I83" i="149"/>
  <c r="K82" i="149"/>
  <c r="AT82" i="149" s="1"/>
  <c r="BG81" i="149"/>
  <c r="BH81" i="149" s="1"/>
  <c r="BA81" i="149"/>
  <c r="BB81" i="149" s="1"/>
  <c r="AN81" i="149"/>
  <c r="AO81" i="149" s="1"/>
  <c r="AH81" i="149"/>
  <c r="AI81" i="149" s="1"/>
  <c r="AB81" i="149"/>
  <c r="AC81" i="149" s="1"/>
  <c r="V81" i="149"/>
  <c r="W81" i="149" s="1"/>
  <c r="O81" i="149"/>
  <c r="BQ81" i="149"/>
  <c r="BR81" i="149" s="1"/>
  <c r="AY81" i="149"/>
  <c r="BD81" i="149"/>
  <c r="BE81" i="149" s="1"/>
  <c r="AQ81" i="149"/>
  <c r="AR81" i="149" s="1"/>
  <c r="AK81" i="149"/>
  <c r="AL81" i="149" s="1"/>
  <c r="AE81" i="149"/>
  <c r="AF81" i="149" s="1"/>
  <c r="Y81" i="149"/>
  <c r="Z81" i="149" s="1"/>
  <c r="R81" i="149"/>
  <c r="T81" i="149" s="1"/>
  <c r="AV81" i="149"/>
  <c r="AW81" i="149" s="1"/>
  <c r="P81" i="149"/>
  <c r="BN81" i="149"/>
  <c r="BO81" i="149" s="1"/>
  <c r="M81" i="149"/>
  <c r="BL81" i="149"/>
  <c r="BD80" i="147"/>
  <c r="BE80" i="147" s="1"/>
  <c r="AQ80" i="147"/>
  <c r="AR80" i="147" s="1"/>
  <c r="AK80" i="147"/>
  <c r="AL80" i="147" s="1"/>
  <c r="AE80" i="147"/>
  <c r="AF80" i="147" s="1"/>
  <c r="Y80" i="147"/>
  <c r="Z80" i="147" s="1"/>
  <c r="R80" i="147"/>
  <c r="T80" i="147" s="1"/>
  <c r="AV80" i="147"/>
  <c r="AW80" i="147" s="1"/>
  <c r="P80" i="147"/>
  <c r="BG80" i="147"/>
  <c r="BH80" i="147" s="1"/>
  <c r="AT80" i="147"/>
  <c r="AH80" i="147"/>
  <c r="AI80" i="147" s="1"/>
  <c r="V80" i="147"/>
  <c r="W80" i="147" s="1"/>
  <c r="BA80" i="147"/>
  <c r="BB80" i="147" s="1"/>
  <c r="AN80" i="147"/>
  <c r="AO80" i="147" s="1"/>
  <c r="AB80" i="147"/>
  <c r="AC80" i="147" s="1"/>
  <c r="O80" i="147"/>
  <c r="AY80" i="147"/>
  <c r="BQ80" i="147"/>
  <c r="BR80" i="147" s="1"/>
  <c r="BN80" i="147"/>
  <c r="BO80" i="147" s="1"/>
  <c r="BK80" i="147"/>
  <c r="BJ80" i="147"/>
  <c r="BL80" i="147" s="1"/>
  <c r="M80" i="147"/>
  <c r="I82" i="147"/>
  <c r="K81" i="147"/>
  <c r="BG79" i="146"/>
  <c r="BH79" i="146" s="1"/>
  <c r="BA79" i="146"/>
  <c r="BB79" i="146" s="1"/>
  <c r="AT79" i="146"/>
  <c r="AN79" i="146"/>
  <c r="AO79" i="146" s="1"/>
  <c r="AH79" i="146"/>
  <c r="AI79" i="146" s="1"/>
  <c r="AB79" i="146"/>
  <c r="AC79" i="146" s="1"/>
  <c r="V79" i="146"/>
  <c r="W79" i="146" s="1"/>
  <c r="O79" i="146"/>
  <c r="BQ79" i="146"/>
  <c r="BR79" i="146" s="1"/>
  <c r="AY79" i="146"/>
  <c r="BD79" i="146"/>
  <c r="BE79" i="146" s="1"/>
  <c r="AQ79" i="146"/>
  <c r="AR79" i="146" s="1"/>
  <c r="AK79" i="146"/>
  <c r="AL79" i="146" s="1"/>
  <c r="AE79" i="146"/>
  <c r="AF79" i="146" s="1"/>
  <c r="Y79" i="146"/>
  <c r="Z79" i="146" s="1"/>
  <c r="R79" i="146"/>
  <c r="T79" i="146" s="1"/>
  <c r="AV79" i="146"/>
  <c r="AW79" i="146" s="1"/>
  <c r="P79" i="146"/>
  <c r="BN79" i="146"/>
  <c r="BO79" i="146" s="1"/>
  <c r="BK79" i="146"/>
  <c r="BJ79" i="146"/>
  <c r="BL79" i="146" s="1"/>
  <c r="M79" i="146"/>
  <c r="I81" i="146"/>
  <c r="K80" i="146"/>
  <c r="I83" i="64"/>
  <c r="BQ78" i="64"/>
  <c r="BR78" i="64" s="1"/>
  <c r="AQ78" i="64"/>
  <c r="AR78" i="64" s="1"/>
  <c r="AE78" i="64"/>
  <c r="AF78" i="64" s="1"/>
  <c r="R78" i="64"/>
  <c r="T78" i="64" s="1"/>
  <c r="AT78" i="64"/>
  <c r="AH78" i="64"/>
  <c r="AI78" i="64" s="1"/>
  <c r="AY78" i="64"/>
  <c r="M78" i="64"/>
  <c r="V78" i="64"/>
  <c r="W78" i="64" s="1"/>
  <c r="BA78" i="64"/>
  <c r="BB78" i="64" s="1"/>
  <c r="AV78" i="64"/>
  <c r="AW78" i="64" s="1"/>
  <c r="AN78" i="64"/>
  <c r="AO78" i="64" s="1"/>
  <c r="O78" i="64"/>
  <c r="BG78" i="64"/>
  <c r="BH78" i="64" s="1"/>
  <c r="P78" i="64"/>
  <c r="AK78" i="64"/>
  <c r="AL78" i="64" s="1"/>
  <c r="Y78" i="64"/>
  <c r="Z78" i="64" s="1"/>
  <c r="AB78" i="64"/>
  <c r="AC78" i="64" s="1"/>
  <c r="BD78" i="64"/>
  <c r="BE78" i="64" s="1"/>
  <c r="BN78" i="64"/>
  <c r="BO78" i="64" s="1"/>
  <c r="BL78" i="64"/>
  <c r="K79" i="64"/>
  <c r="P77" i="98"/>
  <c r="M77" i="98"/>
  <c r="BN77" i="98"/>
  <c r="BO77" i="98" s="1"/>
  <c r="K78" i="98"/>
  <c r="BA77" i="98"/>
  <c r="BB77" i="98" s="1"/>
  <c r="BJ77" i="98"/>
  <c r="BL77" i="98" s="1"/>
  <c r="BK77" i="98"/>
  <c r="R77" i="98"/>
  <c r="T77" i="98" s="1"/>
  <c r="BQ77" i="98"/>
  <c r="BR77" i="98" s="1"/>
  <c r="O77" i="98"/>
  <c r="AN77" i="98"/>
  <c r="AO77" i="98" s="1"/>
  <c r="BG77" i="98"/>
  <c r="BH77" i="98" s="1"/>
  <c r="BD77" i="98"/>
  <c r="BE77" i="98" s="1"/>
  <c r="AV77" i="98"/>
  <c r="AW77" i="98" s="1"/>
  <c r="AB77" i="98"/>
  <c r="AC77" i="98" s="1"/>
  <c r="V77" i="98"/>
  <c r="W77" i="98" s="1"/>
  <c r="Y77" i="98"/>
  <c r="Z77" i="98" s="1"/>
  <c r="AQ77" i="98"/>
  <c r="AR77" i="98" s="1"/>
  <c r="AH77" i="98"/>
  <c r="AI77" i="98" s="1"/>
  <c r="AE77" i="98"/>
  <c r="AF77" i="98" s="1"/>
  <c r="AT77" i="98"/>
  <c r="AY77" i="98"/>
  <c r="AK77" i="98"/>
  <c r="AL77" i="98" s="1"/>
  <c r="I82" i="126"/>
  <c r="BN76" i="15"/>
  <c r="BO76" i="15" s="1"/>
  <c r="BL76" i="15"/>
  <c r="M76" i="15"/>
  <c r="AY76" i="15"/>
  <c r="V76" i="15"/>
  <c r="W76" i="15" s="1"/>
  <c r="AV76" i="15"/>
  <c r="AW76" i="15" s="1"/>
  <c r="AB76" i="15"/>
  <c r="AC76" i="15" s="1"/>
  <c r="BD76" i="15"/>
  <c r="BE76" i="15" s="1"/>
  <c r="P76" i="15"/>
  <c r="BQ76" i="15"/>
  <c r="BR76" i="15" s="1"/>
  <c r="Y76" i="15"/>
  <c r="Z76" i="15" s="1"/>
  <c r="AT76" i="15"/>
  <c r="O76" i="15"/>
  <c r="R76" i="15"/>
  <c r="T76" i="15" s="1"/>
  <c r="AE76" i="15"/>
  <c r="AF76" i="15" s="1"/>
  <c r="BA76" i="15"/>
  <c r="BB76" i="15" s="1"/>
  <c r="AK76" i="15"/>
  <c r="AL76" i="15" s="1"/>
  <c r="BG76" i="15"/>
  <c r="BH76" i="15" s="1"/>
  <c r="AH76" i="15"/>
  <c r="AI76" i="15" s="1"/>
  <c r="AQ76" i="15"/>
  <c r="AR76" i="15" s="1"/>
  <c r="AN76" i="15"/>
  <c r="AO76" i="15" s="1"/>
  <c r="K77" i="15"/>
  <c r="M79" i="136"/>
  <c r="BN79" i="136"/>
  <c r="BO79" i="136" s="1"/>
  <c r="BL79" i="136"/>
  <c r="AV79" i="136"/>
  <c r="AW79" i="136" s="1"/>
  <c r="AQ79" i="136"/>
  <c r="AR79" i="136" s="1"/>
  <c r="AH79" i="136"/>
  <c r="AI79" i="136" s="1"/>
  <c r="P79" i="136"/>
  <c r="AN79" i="136"/>
  <c r="AO79" i="136" s="1"/>
  <c r="BQ79" i="136"/>
  <c r="BR79" i="136" s="1"/>
  <c r="Y79" i="136"/>
  <c r="Z79" i="136" s="1"/>
  <c r="BD79" i="136"/>
  <c r="BE79" i="136" s="1"/>
  <c r="BA79" i="136"/>
  <c r="BB79" i="136" s="1"/>
  <c r="AB79" i="136"/>
  <c r="AC79" i="136" s="1"/>
  <c r="AY79" i="136"/>
  <c r="AE79" i="136"/>
  <c r="AF79" i="136" s="1"/>
  <c r="BG79" i="136"/>
  <c r="BH79" i="136" s="1"/>
  <c r="AK79" i="136"/>
  <c r="AL79" i="136" s="1"/>
  <c r="R79" i="136"/>
  <c r="T79" i="136" s="1"/>
  <c r="O79" i="136"/>
  <c r="V79" i="136"/>
  <c r="W79" i="136" s="1"/>
  <c r="AT79" i="136"/>
  <c r="K80" i="136"/>
  <c r="I79" i="110"/>
  <c r="K78" i="110"/>
  <c r="I80" i="135"/>
  <c r="K79" i="135"/>
  <c r="BN75" i="17"/>
  <c r="BO75" i="17" s="1"/>
  <c r="M75" i="17"/>
  <c r="BL75" i="17"/>
  <c r="AH75" i="17"/>
  <c r="AI75" i="17" s="1"/>
  <c r="Y75" i="17"/>
  <c r="Z75" i="17" s="1"/>
  <c r="BQ75" i="17"/>
  <c r="BR75" i="17" s="1"/>
  <c r="AB75" i="17"/>
  <c r="AC75" i="17" s="1"/>
  <c r="BD75" i="17"/>
  <c r="BE75" i="17" s="1"/>
  <c r="V75" i="17"/>
  <c r="W75" i="17" s="1"/>
  <c r="AK75" i="17"/>
  <c r="AL75" i="17" s="1"/>
  <c r="AE75" i="17"/>
  <c r="AF75" i="17" s="1"/>
  <c r="AN75" i="17"/>
  <c r="AO75" i="17" s="1"/>
  <c r="AY75" i="17"/>
  <c r="AV75" i="17"/>
  <c r="AW75" i="17" s="1"/>
  <c r="AT75" i="17"/>
  <c r="AQ75" i="17"/>
  <c r="AR75" i="17" s="1"/>
  <c r="BG75" i="17"/>
  <c r="BH75" i="17" s="1"/>
  <c r="P75" i="17"/>
  <c r="BA75" i="17"/>
  <c r="BB75" i="17" s="1"/>
  <c r="O75" i="17"/>
  <c r="R75" i="17"/>
  <c r="T75" i="17" s="1"/>
  <c r="M76" i="101"/>
  <c r="BA76" i="101"/>
  <c r="BB76" i="101" s="1"/>
  <c r="R76" i="101"/>
  <c r="T76" i="101" s="1"/>
  <c r="AT76" i="101"/>
  <c r="AK76" i="101"/>
  <c r="AL76" i="101" s="1"/>
  <c r="BD76" i="101"/>
  <c r="BE76" i="101" s="1"/>
  <c r="AV76" i="101"/>
  <c r="AW76" i="101" s="1"/>
  <c r="AB76" i="101"/>
  <c r="AC76" i="101" s="1"/>
  <c r="AH76" i="101"/>
  <c r="AI76" i="101" s="1"/>
  <c r="P76" i="101"/>
  <c r="AQ76" i="101"/>
  <c r="AR76" i="101" s="1"/>
  <c r="AY76" i="101"/>
  <c r="Y76" i="101"/>
  <c r="Z76" i="101" s="1"/>
  <c r="BQ76" i="101"/>
  <c r="BR76" i="101" s="1"/>
  <c r="AN76" i="101"/>
  <c r="AO76" i="101" s="1"/>
  <c r="V76" i="101"/>
  <c r="W76" i="101" s="1"/>
  <c r="BG76" i="101"/>
  <c r="BH76" i="101" s="1"/>
  <c r="AE76" i="101"/>
  <c r="AF76" i="101" s="1"/>
  <c r="O76" i="101"/>
  <c r="BJ79" i="105"/>
  <c r="BL79" i="105" s="1"/>
  <c r="M79" i="105"/>
  <c r="BK79" i="105"/>
  <c r="BN79" i="105"/>
  <c r="BO79" i="105" s="1"/>
  <c r="AK79" i="105"/>
  <c r="AL79" i="105" s="1"/>
  <c r="AB79" i="105"/>
  <c r="AC79" i="105" s="1"/>
  <c r="AT79" i="105"/>
  <c r="Y79" i="105"/>
  <c r="Z79" i="105" s="1"/>
  <c r="V79" i="105"/>
  <c r="W79" i="105" s="1"/>
  <c r="BG79" i="105"/>
  <c r="BH79" i="105" s="1"/>
  <c r="AN79" i="105"/>
  <c r="AO79" i="105" s="1"/>
  <c r="BD79" i="105"/>
  <c r="BE79" i="105" s="1"/>
  <c r="AE79" i="105"/>
  <c r="AF79" i="105" s="1"/>
  <c r="BQ79" i="105"/>
  <c r="BR79" i="105" s="1"/>
  <c r="P79" i="105"/>
  <c r="AH79" i="105"/>
  <c r="AI79" i="105" s="1"/>
  <c r="AV79" i="105"/>
  <c r="AW79" i="105" s="1"/>
  <c r="AQ79" i="105"/>
  <c r="AR79" i="105" s="1"/>
  <c r="O79" i="105"/>
  <c r="BA79" i="105"/>
  <c r="BB79" i="105" s="1"/>
  <c r="R79" i="105"/>
  <c r="T79" i="105" s="1"/>
  <c r="AY79" i="105"/>
  <c r="K80" i="105"/>
  <c r="I82" i="63"/>
  <c r="I77" i="13"/>
  <c r="K76" i="13"/>
  <c r="I86" i="95"/>
  <c r="AE75" i="66"/>
  <c r="AF75" i="66" s="1"/>
  <c r="O75" i="66"/>
  <c r="P75" i="66"/>
  <c r="AY75" i="66"/>
  <c r="AT75" i="66"/>
  <c r="Y75" i="66"/>
  <c r="Z75" i="66" s="1"/>
  <c r="AQ75" i="66"/>
  <c r="AR75" i="66" s="1"/>
  <c r="R75" i="66"/>
  <c r="T75" i="66" s="1"/>
  <c r="V75" i="66"/>
  <c r="W75" i="66" s="1"/>
  <c r="BN75" i="66"/>
  <c r="BO75" i="66" s="1"/>
  <c r="AN75" i="66"/>
  <c r="AO75" i="66" s="1"/>
  <c r="BG75" i="66"/>
  <c r="BH75" i="66" s="1"/>
  <c r="AH75" i="66"/>
  <c r="AI75" i="66" s="1"/>
  <c r="AK75" i="66"/>
  <c r="AL75" i="66" s="1"/>
  <c r="AV75" i="66"/>
  <c r="AW75" i="66" s="1"/>
  <c r="BQ75" i="66"/>
  <c r="BR75" i="66" s="1"/>
  <c r="AB75" i="66"/>
  <c r="AC75" i="66" s="1"/>
  <c r="BD75" i="66"/>
  <c r="BE75" i="66" s="1"/>
  <c r="BA75" i="66"/>
  <c r="BB75" i="66" s="1"/>
  <c r="M75" i="66"/>
  <c r="BL75" i="66"/>
  <c r="I83" i="136"/>
  <c r="M77" i="126"/>
  <c r="BK77" i="126"/>
  <c r="BN77" i="126"/>
  <c r="BO77" i="126" s="1"/>
  <c r="BJ77" i="126"/>
  <c r="BL77" i="126" s="1"/>
  <c r="AK77" i="126"/>
  <c r="AL77" i="126" s="1"/>
  <c r="BA77" i="126"/>
  <c r="BB77" i="126" s="1"/>
  <c r="BG77" i="126"/>
  <c r="BH77" i="126" s="1"/>
  <c r="BD77" i="126"/>
  <c r="BE77" i="126" s="1"/>
  <c r="BQ77" i="126"/>
  <c r="BR77" i="126" s="1"/>
  <c r="Y77" i="126"/>
  <c r="Z77" i="126" s="1"/>
  <c r="R77" i="126"/>
  <c r="T77" i="126" s="1"/>
  <c r="V77" i="126"/>
  <c r="W77" i="126" s="1"/>
  <c r="AB77" i="126"/>
  <c r="AC77" i="126" s="1"/>
  <c r="AT77" i="126"/>
  <c r="P77" i="126"/>
  <c r="AH77" i="126"/>
  <c r="AI77" i="126" s="1"/>
  <c r="AE77" i="126"/>
  <c r="AF77" i="126" s="1"/>
  <c r="AQ77" i="126"/>
  <c r="AR77" i="126" s="1"/>
  <c r="AN77" i="126"/>
  <c r="AO77" i="126" s="1"/>
  <c r="AV77" i="126"/>
  <c r="AW77" i="126" s="1"/>
  <c r="AY77" i="126"/>
  <c r="O77" i="126"/>
  <c r="K78" i="126"/>
  <c r="I77" i="17"/>
  <c r="K76" i="17"/>
  <c r="I78" i="101"/>
  <c r="K77" i="101"/>
  <c r="BJ77" i="114"/>
  <c r="BL77" i="114" s="1"/>
  <c r="BN77" i="114"/>
  <c r="BO77" i="114" s="1"/>
  <c r="BK77" i="114"/>
  <c r="M77" i="114"/>
  <c r="O77" i="114"/>
  <c r="R77" i="114"/>
  <c r="T77" i="114" s="1"/>
  <c r="BQ77" i="114"/>
  <c r="BR77" i="114" s="1"/>
  <c r="AE77" i="114"/>
  <c r="AF77" i="114" s="1"/>
  <c r="Y77" i="114"/>
  <c r="Z77" i="114" s="1"/>
  <c r="BD77" i="114"/>
  <c r="BE77" i="114" s="1"/>
  <c r="AK77" i="114"/>
  <c r="AL77" i="114" s="1"/>
  <c r="AB77" i="114"/>
  <c r="AC77" i="114" s="1"/>
  <c r="V77" i="114"/>
  <c r="W77" i="114" s="1"/>
  <c r="AT77" i="114"/>
  <c r="BG77" i="114"/>
  <c r="BH77" i="114" s="1"/>
  <c r="P77" i="114"/>
  <c r="AQ77" i="114"/>
  <c r="AR77" i="114" s="1"/>
  <c r="AV77" i="114"/>
  <c r="AW77" i="114" s="1"/>
  <c r="AH77" i="114"/>
  <c r="AI77" i="114" s="1"/>
  <c r="BA77" i="114"/>
  <c r="BB77" i="114" s="1"/>
  <c r="AY77" i="114"/>
  <c r="AN77" i="114"/>
  <c r="AO77" i="114" s="1"/>
  <c r="K78" i="114"/>
  <c r="I81" i="15"/>
  <c r="BL75" i="13"/>
  <c r="BN75" i="13"/>
  <c r="BO75" i="13" s="1"/>
  <c r="M75" i="13"/>
  <c r="R75" i="13"/>
  <c r="T75" i="13" s="1"/>
  <c r="AK75" i="13"/>
  <c r="AL75" i="13" s="1"/>
  <c r="AB75" i="13"/>
  <c r="AC75" i="13" s="1"/>
  <c r="BA75" i="13"/>
  <c r="BB75" i="13" s="1"/>
  <c r="AY75" i="13"/>
  <c r="BD75" i="13"/>
  <c r="BE75" i="13" s="1"/>
  <c r="P75" i="13"/>
  <c r="AV75" i="13"/>
  <c r="AW75" i="13" s="1"/>
  <c r="O75" i="13"/>
  <c r="BQ75" i="13"/>
  <c r="BR75" i="13" s="1"/>
  <c r="BG75" i="13"/>
  <c r="BH75" i="13" s="1"/>
  <c r="AN75" i="13"/>
  <c r="AO75" i="13" s="1"/>
  <c r="Y75" i="13"/>
  <c r="Z75" i="13" s="1"/>
  <c r="AQ75" i="13"/>
  <c r="AR75" i="13" s="1"/>
  <c r="AH75" i="13"/>
  <c r="AI75" i="13" s="1"/>
  <c r="AT75" i="13"/>
  <c r="AE75" i="13"/>
  <c r="AF75" i="13" s="1"/>
  <c r="V75" i="13"/>
  <c r="W75" i="13" s="1"/>
  <c r="I92" i="133"/>
  <c r="I79" i="96"/>
  <c r="K78" i="96"/>
  <c r="BN77" i="63"/>
  <c r="BO77" i="63" s="1"/>
  <c r="M77" i="63"/>
  <c r="BL77" i="63"/>
  <c r="BG77" i="63"/>
  <c r="BH77" i="63" s="1"/>
  <c r="BA77" i="63"/>
  <c r="BB77" i="63" s="1"/>
  <c r="O77" i="63"/>
  <c r="AE77" i="63"/>
  <c r="AF77" i="63" s="1"/>
  <c r="BD77" i="63"/>
  <c r="BE77" i="63" s="1"/>
  <c r="V77" i="63"/>
  <c r="W77" i="63" s="1"/>
  <c r="AH77" i="63"/>
  <c r="AI77" i="63" s="1"/>
  <c r="AB77" i="63"/>
  <c r="AC77" i="63" s="1"/>
  <c r="AV77" i="63"/>
  <c r="AW77" i="63" s="1"/>
  <c r="Y77" i="63"/>
  <c r="Z77" i="63" s="1"/>
  <c r="R77" i="63"/>
  <c r="T77" i="63" s="1"/>
  <c r="AK77" i="63"/>
  <c r="AL77" i="63" s="1"/>
  <c r="AN77" i="63"/>
  <c r="AO77" i="63" s="1"/>
  <c r="AY77" i="63"/>
  <c r="BQ77" i="63"/>
  <c r="BR77" i="63" s="1"/>
  <c r="P77" i="63"/>
  <c r="AQ77" i="63"/>
  <c r="AR77" i="63" s="1"/>
  <c r="AT77" i="63"/>
  <c r="K78" i="63"/>
  <c r="I77" i="66"/>
  <c r="K76" i="66"/>
  <c r="M81" i="124"/>
  <c r="BK81" i="124"/>
  <c r="BJ81" i="124"/>
  <c r="BL81" i="124" s="1"/>
  <c r="K82" i="124"/>
  <c r="BN81" i="124"/>
  <c r="BO81" i="124" s="1"/>
  <c r="BD81" i="124"/>
  <c r="BE81" i="124" s="1"/>
  <c r="AE81" i="124"/>
  <c r="AF81" i="124" s="1"/>
  <c r="BA81" i="124"/>
  <c r="BB81" i="124" s="1"/>
  <c r="P81" i="124"/>
  <c r="AV81" i="124"/>
  <c r="AW81" i="124" s="1"/>
  <c r="AB81" i="124"/>
  <c r="AC81" i="124" s="1"/>
  <c r="AQ81" i="124"/>
  <c r="AR81" i="124" s="1"/>
  <c r="O81" i="124"/>
  <c r="BG81" i="124"/>
  <c r="BH81" i="124" s="1"/>
  <c r="AK81" i="124"/>
  <c r="AL81" i="124" s="1"/>
  <c r="AN81" i="124"/>
  <c r="AO81" i="124" s="1"/>
  <c r="V81" i="124"/>
  <c r="W81" i="124" s="1"/>
  <c r="AT81" i="124"/>
  <c r="R81" i="124"/>
  <c r="T81" i="124" s="1"/>
  <c r="AY81" i="124"/>
  <c r="AH81" i="124"/>
  <c r="AI81" i="124" s="1"/>
  <c r="Y81" i="124"/>
  <c r="Z81" i="124" s="1"/>
  <c r="BQ81" i="124"/>
  <c r="BR81" i="124" s="1"/>
  <c r="M77" i="115"/>
  <c r="BN77" i="115"/>
  <c r="BO77" i="115" s="1"/>
  <c r="BK77" i="115"/>
  <c r="BJ77" i="115"/>
  <c r="BL77" i="115" s="1"/>
  <c r="AQ77" i="115"/>
  <c r="AR77" i="115" s="1"/>
  <c r="AB77" i="115"/>
  <c r="AC77" i="115" s="1"/>
  <c r="BA77" i="115"/>
  <c r="BB77" i="115" s="1"/>
  <c r="AK77" i="115"/>
  <c r="AL77" i="115" s="1"/>
  <c r="O77" i="115"/>
  <c r="BQ77" i="115"/>
  <c r="BR77" i="115" s="1"/>
  <c r="AV77" i="115"/>
  <c r="AW77" i="115" s="1"/>
  <c r="BG77" i="115"/>
  <c r="BH77" i="115" s="1"/>
  <c r="P77" i="115"/>
  <c r="V77" i="115"/>
  <c r="W77" i="115" s="1"/>
  <c r="AT77" i="115"/>
  <c r="AY77" i="115"/>
  <c r="BD77" i="115"/>
  <c r="BE77" i="115" s="1"/>
  <c r="AH77" i="115"/>
  <c r="AI77" i="115" s="1"/>
  <c r="R77" i="115"/>
  <c r="T77" i="115" s="1"/>
  <c r="AE77" i="115"/>
  <c r="AF77" i="115" s="1"/>
  <c r="Y77" i="115"/>
  <c r="Z77" i="115" s="1"/>
  <c r="AN77" i="115"/>
  <c r="AO77" i="115" s="1"/>
  <c r="I84" i="105"/>
  <c r="AB77" i="96"/>
  <c r="AC77" i="96" s="1"/>
  <c r="AK77" i="96"/>
  <c r="AL77" i="96" s="1"/>
  <c r="BL77" i="96"/>
  <c r="O77" i="96"/>
  <c r="AN77" i="96"/>
  <c r="AO77" i="96" s="1"/>
  <c r="AE77" i="96"/>
  <c r="AF77" i="96" s="1"/>
  <c r="BA77" i="96"/>
  <c r="BB77" i="96" s="1"/>
  <c r="AQ77" i="96"/>
  <c r="AR77" i="96" s="1"/>
  <c r="Y77" i="96"/>
  <c r="Z77" i="96" s="1"/>
  <c r="M77" i="96"/>
  <c r="AH77" i="96"/>
  <c r="AI77" i="96" s="1"/>
  <c r="R77" i="96"/>
  <c r="T77" i="96" s="1"/>
  <c r="BQ77" i="96"/>
  <c r="BR77" i="96" s="1"/>
  <c r="AV77" i="96"/>
  <c r="AW77" i="96" s="1"/>
  <c r="BN77" i="96"/>
  <c r="BO77" i="96" s="1"/>
  <c r="P77" i="96"/>
  <c r="V77" i="96"/>
  <c r="W77" i="96" s="1"/>
  <c r="BD77" i="96"/>
  <c r="BE77" i="96" s="1"/>
  <c r="BG77" i="96"/>
  <c r="BH77" i="96" s="1"/>
  <c r="AT77" i="96"/>
  <c r="I81" i="104"/>
  <c r="I83" i="114"/>
  <c r="M77" i="110"/>
  <c r="BJ77" i="110"/>
  <c r="BL77" i="110" s="1"/>
  <c r="BN77" i="110"/>
  <c r="BO77" i="110" s="1"/>
  <c r="BK77" i="110"/>
  <c r="O77" i="110"/>
  <c r="AH77" i="110"/>
  <c r="AI77" i="110" s="1"/>
  <c r="AT77" i="110"/>
  <c r="Y77" i="110"/>
  <c r="Z77" i="110" s="1"/>
  <c r="P77" i="110"/>
  <c r="AQ77" i="110"/>
  <c r="AR77" i="110" s="1"/>
  <c r="BG77" i="110"/>
  <c r="BH77" i="110" s="1"/>
  <c r="BA77" i="110"/>
  <c r="BB77" i="110" s="1"/>
  <c r="AV77" i="110"/>
  <c r="AW77" i="110" s="1"/>
  <c r="AN77" i="110"/>
  <c r="AO77" i="110" s="1"/>
  <c r="AE77" i="110"/>
  <c r="AF77" i="110" s="1"/>
  <c r="V77" i="110"/>
  <c r="W77" i="110" s="1"/>
  <c r="AK77" i="110"/>
  <c r="AL77" i="110" s="1"/>
  <c r="BQ77" i="110"/>
  <c r="BR77" i="110" s="1"/>
  <c r="AY77" i="110"/>
  <c r="BD77" i="110"/>
  <c r="BE77" i="110" s="1"/>
  <c r="AB77" i="110"/>
  <c r="AC77" i="110" s="1"/>
  <c r="R77" i="110"/>
  <c r="T77" i="110" s="1"/>
  <c r="M78" i="135"/>
  <c r="AE78" i="135"/>
  <c r="AF78" i="135" s="1"/>
  <c r="V78" i="135"/>
  <c r="W78" i="135" s="1"/>
  <c r="AQ78" i="135"/>
  <c r="AR78" i="135" s="1"/>
  <c r="P78" i="135"/>
  <c r="O78" i="135"/>
  <c r="BG78" i="135"/>
  <c r="BH78" i="135" s="1"/>
  <c r="AB78" i="135"/>
  <c r="AC78" i="135" s="1"/>
  <c r="R78" i="135"/>
  <c r="T78" i="135" s="1"/>
  <c r="AT78" i="135"/>
  <c r="AH78" i="135"/>
  <c r="AI78" i="135" s="1"/>
  <c r="Y78" i="135"/>
  <c r="Z78" i="135" s="1"/>
  <c r="AV78" i="135"/>
  <c r="AW78" i="135" s="1"/>
  <c r="AY78" i="135"/>
  <c r="AK78" i="135"/>
  <c r="AL78" i="135" s="1"/>
  <c r="BN78" i="135"/>
  <c r="BO78" i="135" s="1"/>
  <c r="AN78" i="135"/>
  <c r="AO78" i="135" s="1"/>
  <c r="BA78" i="135"/>
  <c r="BB78" i="135" s="1"/>
  <c r="BL78" i="135"/>
  <c r="BQ78" i="135"/>
  <c r="BR78" i="135" s="1"/>
  <c r="BD78" i="135"/>
  <c r="BE78" i="135" s="1"/>
  <c r="I84" i="132"/>
  <c r="BG75" i="120"/>
  <c r="BH75" i="120" s="1"/>
  <c r="BD75" i="120"/>
  <c r="BE75" i="120" s="1"/>
  <c r="K76" i="120"/>
  <c r="V75" i="120"/>
  <c r="W75" i="120" s="1"/>
  <c r="AH75" i="120"/>
  <c r="AI75" i="120" s="1"/>
  <c r="AQ75" i="120"/>
  <c r="AR75" i="120" s="1"/>
  <c r="AN75" i="120"/>
  <c r="AO75" i="120" s="1"/>
  <c r="AY75" i="120"/>
  <c r="AB75" i="120"/>
  <c r="AC75" i="120" s="1"/>
  <c r="R75" i="120"/>
  <c r="T75" i="120" s="1"/>
  <c r="AE75" i="120"/>
  <c r="AF75" i="120" s="1"/>
  <c r="Y75" i="120"/>
  <c r="Z75" i="120" s="1"/>
  <c r="BA75" i="120"/>
  <c r="BB75" i="120" s="1"/>
  <c r="BQ75" i="120"/>
  <c r="BR75" i="120" s="1"/>
  <c r="O75" i="120"/>
  <c r="P75" i="120"/>
  <c r="M75" i="120"/>
  <c r="AK75" i="120"/>
  <c r="AL75" i="120" s="1"/>
  <c r="AV75" i="120"/>
  <c r="AW75" i="120" s="1"/>
  <c r="AT75" i="120"/>
  <c r="BN75" i="120"/>
  <c r="BO75" i="120" s="1"/>
  <c r="M76" i="118"/>
  <c r="K77" i="118"/>
  <c r="BN76" i="118"/>
  <c r="BO76" i="118" s="1"/>
  <c r="Y76" i="118"/>
  <c r="Z76" i="118" s="1"/>
  <c r="AH76" i="118"/>
  <c r="AI76" i="118" s="1"/>
  <c r="P76" i="118"/>
  <c r="R76" i="118"/>
  <c r="T76" i="118" s="1"/>
  <c r="AT76" i="118"/>
  <c r="V76" i="118"/>
  <c r="W76" i="118" s="1"/>
  <c r="BQ76" i="118"/>
  <c r="BR76" i="118" s="1"/>
  <c r="O76" i="118"/>
  <c r="AV76" i="118"/>
  <c r="AW76" i="118" s="1"/>
  <c r="BD76" i="118"/>
  <c r="BE76" i="118" s="1"/>
  <c r="BA76" i="118"/>
  <c r="BB76" i="118" s="1"/>
  <c r="AK76" i="118"/>
  <c r="AL76" i="118" s="1"/>
  <c r="AE76" i="118"/>
  <c r="AF76" i="118" s="1"/>
  <c r="AN76" i="118"/>
  <c r="AO76" i="118" s="1"/>
  <c r="BG76" i="118"/>
  <c r="BH76" i="118" s="1"/>
  <c r="AQ76" i="118"/>
  <c r="AR76" i="118" s="1"/>
  <c r="AB76" i="118"/>
  <c r="AC76" i="118" s="1"/>
  <c r="AY76" i="118"/>
  <c r="I79" i="115"/>
  <c r="K78" i="115"/>
  <c r="Y79" i="132" l="1"/>
  <c r="Z79" i="132" s="1"/>
  <c r="AT79" i="132"/>
  <c r="BD79" i="132"/>
  <c r="BE79" i="132" s="1"/>
  <c r="K80" i="132"/>
  <c r="BQ79" i="132"/>
  <c r="BR79" i="132" s="1"/>
  <c r="V79" i="132"/>
  <c r="W79" i="132" s="1"/>
  <c r="AN79" i="132"/>
  <c r="AO79" i="132" s="1"/>
  <c r="M79" i="132"/>
  <c r="BG79" i="132"/>
  <c r="BH79" i="132" s="1"/>
  <c r="R79" i="132"/>
  <c r="T79" i="132" s="1"/>
  <c r="AK79" i="132"/>
  <c r="AL79" i="132" s="1"/>
  <c r="BL79" i="132"/>
  <c r="BN79" i="132"/>
  <c r="BO79" i="132" s="1"/>
  <c r="AE79" i="132"/>
  <c r="AF79" i="132" s="1"/>
  <c r="AV79" i="132"/>
  <c r="AW79" i="132" s="1"/>
  <c r="AY79" i="132"/>
  <c r="O79" i="132"/>
  <c r="AH79" i="132"/>
  <c r="AI79" i="132" s="1"/>
  <c r="P79" i="132"/>
  <c r="BA79" i="132"/>
  <c r="BB79" i="132" s="1"/>
  <c r="AQ79" i="132"/>
  <c r="AR79" i="132" s="1"/>
  <c r="AB79" i="132"/>
  <c r="AC79" i="132" s="1"/>
  <c r="M81" i="107"/>
  <c r="BG81" i="107"/>
  <c r="BH81" i="107" s="1"/>
  <c r="AB81" i="107"/>
  <c r="AC81" i="107" s="1"/>
  <c r="BQ81" i="107"/>
  <c r="BR81" i="107" s="1"/>
  <c r="BD81" i="107"/>
  <c r="BE81" i="107" s="1"/>
  <c r="V81" i="107"/>
  <c r="W81" i="107" s="1"/>
  <c r="BN81" i="107"/>
  <c r="BO81" i="107" s="1"/>
  <c r="AE81" i="107"/>
  <c r="AF81" i="107" s="1"/>
  <c r="AQ81" i="107"/>
  <c r="AR81" i="107" s="1"/>
  <c r="BK81" i="107"/>
  <c r="AH81" i="107"/>
  <c r="AI81" i="107" s="1"/>
  <c r="BA81" i="107"/>
  <c r="BB81" i="107" s="1"/>
  <c r="R81" i="107"/>
  <c r="T81" i="107" s="1"/>
  <c r="AT81" i="107"/>
  <c r="BJ81" i="107"/>
  <c r="BL81" i="107" s="1"/>
  <c r="Y81" i="107"/>
  <c r="Z81" i="107" s="1"/>
  <c r="AV81" i="107"/>
  <c r="AW81" i="107" s="1"/>
  <c r="AN81" i="107"/>
  <c r="AO81" i="107" s="1"/>
  <c r="P81" i="107"/>
  <c r="AY81" i="107"/>
  <c r="O81" i="107"/>
  <c r="AK81" i="107"/>
  <c r="AL81" i="107" s="1"/>
  <c r="O79" i="99"/>
  <c r="BK79" i="99"/>
  <c r="AK79" i="99"/>
  <c r="AL79" i="99" s="1"/>
  <c r="K80" i="99"/>
  <c r="M79" i="99"/>
  <c r="BD79" i="99"/>
  <c r="BE79" i="99" s="1"/>
  <c r="BJ79" i="99"/>
  <c r="BL79" i="99" s="1"/>
  <c r="P79" i="99"/>
  <c r="BN79" i="99"/>
  <c r="BO79" i="99" s="1"/>
  <c r="Y79" i="99"/>
  <c r="Z79" i="99" s="1"/>
  <c r="AV79" i="99"/>
  <c r="AW79" i="99" s="1"/>
  <c r="BG79" i="99"/>
  <c r="BH79" i="99" s="1"/>
  <c r="AY79" i="99"/>
  <c r="AN79" i="99"/>
  <c r="AO79" i="99" s="1"/>
  <c r="AE79" i="99"/>
  <c r="AF79" i="99" s="1"/>
  <c r="AQ79" i="99"/>
  <c r="AR79" i="99" s="1"/>
  <c r="AB79" i="99"/>
  <c r="AC79" i="99" s="1"/>
  <c r="R79" i="99"/>
  <c r="T79" i="99" s="1"/>
  <c r="BQ79" i="99"/>
  <c r="BR79" i="99" s="1"/>
  <c r="V79" i="99"/>
  <c r="W79" i="99" s="1"/>
  <c r="AT79" i="99"/>
  <c r="AH79" i="99"/>
  <c r="AI79" i="99" s="1"/>
  <c r="BA79" i="99"/>
  <c r="BB79" i="99" s="1"/>
  <c r="I83" i="107"/>
  <c r="K82" i="107"/>
  <c r="BR112" i="161"/>
  <c r="AY112" i="161"/>
  <c r="BD112" i="161"/>
  <c r="BE112" i="161" s="1"/>
  <c r="AQ112" i="161"/>
  <c r="AR112" i="161" s="1"/>
  <c r="AK112" i="161"/>
  <c r="AL112" i="161" s="1"/>
  <c r="AE112" i="161"/>
  <c r="AF112" i="161" s="1"/>
  <c r="Y112" i="161"/>
  <c r="Z112" i="161" s="1"/>
  <c r="R112" i="161"/>
  <c r="T112" i="161" s="1"/>
  <c r="P112" i="161"/>
  <c r="BA112" i="161"/>
  <c r="BB112" i="161" s="1"/>
  <c r="AN112" i="161"/>
  <c r="AO112" i="161" s="1"/>
  <c r="AB112" i="161"/>
  <c r="AC112" i="161" s="1"/>
  <c r="O112" i="161"/>
  <c r="AV112" i="161"/>
  <c r="AW112" i="161" s="1"/>
  <c r="AT112" i="161"/>
  <c r="AH112" i="161"/>
  <c r="AI112" i="161" s="1"/>
  <c r="V112" i="161"/>
  <c r="W112" i="161" s="1"/>
  <c r="BG112" i="161"/>
  <c r="BH112" i="161" s="1"/>
  <c r="BJ112" i="161"/>
  <c r="BL112" i="161" s="1"/>
  <c r="M112" i="161"/>
  <c r="BK112" i="161"/>
  <c r="BN112" i="161"/>
  <c r="BO112" i="161" s="1"/>
  <c r="K113" i="161"/>
  <c r="BQ113" i="161" s="1"/>
  <c r="I114" i="161"/>
  <c r="I84" i="106"/>
  <c r="BN77" i="106"/>
  <c r="BO77" i="106" s="1"/>
  <c r="BG77" i="106"/>
  <c r="BH77" i="106" s="1"/>
  <c r="AV77" i="106"/>
  <c r="AW77" i="106" s="1"/>
  <c r="AH77" i="106"/>
  <c r="AI77" i="106" s="1"/>
  <c r="BA77" i="106"/>
  <c r="BB77" i="106" s="1"/>
  <c r="AB77" i="106"/>
  <c r="AC77" i="106" s="1"/>
  <c r="AT77" i="106"/>
  <c r="M77" i="106"/>
  <c r="AN77" i="106"/>
  <c r="AO77" i="106" s="1"/>
  <c r="P77" i="106"/>
  <c r="BQ77" i="106"/>
  <c r="BR77" i="106" s="1"/>
  <c r="AQ77" i="106"/>
  <c r="AR77" i="106" s="1"/>
  <c r="O77" i="106"/>
  <c r="V77" i="106"/>
  <c r="W77" i="106" s="1"/>
  <c r="BK77" i="106"/>
  <c r="AK77" i="106"/>
  <c r="AL77" i="106" s="1"/>
  <c r="AY77" i="106"/>
  <c r="R77" i="106"/>
  <c r="T77" i="106" s="1"/>
  <c r="BJ77" i="106"/>
  <c r="BL77" i="106" s="1"/>
  <c r="Y77" i="106"/>
  <c r="Z77" i="106" s="1"/>
  <c r="AE77" i="106"/>
  <c r="AF77" i="106" s="1"/>
  <c r="BD77" i="106"/>
  <c r="BE77" i="106" s="1"/>
  <c r="K78" i="106"/>
  <c r="M82" i="156"/>
  <c r="AH82" i="156"/>
  <c r="AI82" i="156" s="1"/>
  <c r="BN82" i="156"/>
  <c r="BO82" i="156" s="1"/>
  <c r="AQ82" i="156"/>
  <c r="AR82" i="156" s="1"/>
  <c r="AN82" i="156"/>
  <c r="AO82" i="156" s="1"/>
  <c r="AE82" i="156"/>
  <c r="AF82" i="156" s="1"/>
  <c r="BL82" i="156"/>
  <c r="BQ82" i="156"/>
  <c r="BR82" i="156" s="1"/>
  <c r="BA82" i="156"/>
  <c r="BB82" i="156" s="1"/>
  <c r="BD82" i="156"/>
  <c r="BE82" i="156" s="1"/>
  <c r="O82" i="156"/>
  <c r="BG82" i="156"/>
  <c r="BH82" i="156" s="1"/>
  <c r="AK82" i="156"/>
  <c r="AL82" i="156" s="1"/>
  <c r="V82" i="156"/>
  <c r="W82" i="156" s="1"/>
  <c r="P82" i="156"/>
  <c r="Y82" i="156"/>
  <c r="Z82" i="156" s="1"/>
  <c r="AB82" i="156"/>
  <c r="AC82" i="156" s="1"/>
  <c r="AV82" i="156"/>
  <c r="AW82" i="156" s="1"/>
  <c r="R82" i="156"/>
  <c r="T82" i="156" s="1"/>
  <c r="K83" i="156"/>
  <c r="AY83" i="156" s="1"/>
  <c r="I84" i="156"/>
  <c r="M77" i="104"/>
  <c r="AB77" i="104"/>
  <c r="AC77" i="104" s="1"/>
  <c r="AY77" i="104"/>
  <c r="BA77" i="104"/>
  <c r="BB77" i="104" s="1"/>
  <c r="AE77" i="104"/>
  <c r="AF77" i="104" s="1"/>
  <c r="BN77" i="104"/>
  <c r="BO77" i="104" s="1"/>
  <c r="AK77" i="104"/>
  <c r="AL77" i="104" s="1"/>
  <c r="BG77" i="104"/>
  <c r="BH77" i="104" s="1"/>
  <c r="Y77" i="104"/>
  <c r="Z77" i="104" s="1"/>
  <c r="V77" i="104"/>
  <c r="W77" i="104" s="1"/>
  <c r="BK77" i="104"/>
  <c r="AT77" i="104"/>
  <c r="O77" i="104"/>
  <c r="AH77" i="104"/>
  <c r="AI77" i="104" s="1"/>
  <c r="AN77" i="104"/>
  <c r="AO77" i="104" s="1"/>
  <c r="AQ77" i="104"/>
  <c r="AR77" i="104" s="1"/>
  <c r="BD77" i="104"/>
  <c r="BE77" i="104" s="1"/>
  <c r="R77" i="104"/>
  <c r="T77" i="104" s="1"/>
  <c r="AV77" i="104"/>
  <c r="AW77" i="104" s="1"/>
  <c r="P77" i="104"/>
  <c r="BQ77" i="104"/>
  <c r="BR77" i="104" s="1"/>
  <c r="K78" i="104"/>
  <c r="BJ77" i="104"/>
  <c r="BL77" i="104" s="1"/>
  <c r="M80" i="133"/>
  <c r="Y80" i="133"/>
  <c r="Z80" i="133" s="1"/>
  <c r="V80" i="133"/>
  <c r="W80" i="133" s="1"/>
  <c r="K81" i="133"/>
  <c r="P80" i="133"/>
  <c r="AE80" i="133"/>
  <c r="AF80" i="133" s="1"/>
  <c r="AQ80" i="133"/>
  <c r="AR80" i="133" s="1"/>
  <c r="AN80" i="133"/>
  <c r="AO80" i="133" s="1"/>
  <c r="BG80" i="133"/>
  <c r="BH80" i="133" s="1"/>
  <c r="AV80" i="133"/>
  <c r="AW80" i="133" s="1"/>
  <c r="BN80" i="133"/>
  <c r="BO80" i="133" s="1"/>
  <c r="BQ80" i="133"/>
  <c r="BR80" i="133" s="1"/>
  <c r="O80" i="133"/>
  <c r="AB80" i="133"/>
  <c r="AC80" i="133" s="1"/>
  <c r="BL80" i="133"/>
  <c r="AH80" i="133"/>
  <c r="AI80" i="133" s="1"/>
  <c r="AK80" i="133"/>
  <c r="AL80" i="133" s="1"/>
  <c r="R80" i="133"/>
  <c r="T80" i="133" s="1"/>
  <c r="AT80" i="133"/>
  <c r="AY80" i="133"/>
  <c r="BD80" i="133"/>
  <c r="BE80" i="133" s="1"/>
  <c r="BA80" i="133"/>
  <c r="BB80" i="133" s="1"/>
  <c r="BL76" i="95"/>
  <c r="P76" i="95"/>
  <c r="R76" i="95"/>
  <c r="T76" i="95" s="1"/>
  <c r="K77" i="95"/>
  <c r="M76" i="95"/>
  <c r="AT76" i="95"/>
  <c r="AV76" i="95"/>
  <c r="AW76" i="95" s="1"/>
  <c r="BN76" i="95"/>
  <c r="BO76" i="95" s="1"/>
  <c r="AB76" i="95"/>
  <c r="AC76" i="95" s="1"/>
  <c r="Y76" i="95"/>
  <c r="Z76" i="95" s="1"/>
  <c r="AQ76" i="95"/>
  <c r="AR76" i="95" s="1"/>
  <c r="BG76" i="95"/>
  <c r="BH76" i="95" s="1"/>
  <c r="BA76" i="95"/>
  <c r="BB76" i="95" s="1"/>
  <c r="AK76" i="95"/>
  <c r="AL76" i="95" s="1"/>
  <c r="AE76" i="95"/>
  <c r="AF76" i="95" s="1"/>
  <c r="BQ76" i="95"/>
  <c r="BR76" i="95" s="1"/>
  <c r="V76" i="95"/>
  <c r="W76" i="95" s="1"/>
  <c r="AH76" i="95"/>
  <c r="AI76" i="95" s="1"/>
  <c r="O76" i="95"/>
  <c r="BD76" i="95"/>
  <c r="BE76" i="95" s="1"/>
  <c r="AN76" i="95"/>
  <c r="AO76" i="95" s="1"/>
  <c r="BJ77" i="112"/>
  <c r="BL77" i="112" s="1"/>
  <c r="AB77" i="112"/>
  <c r="AC77" i="112" s="1"/>
  <c r="AH77" i="112"/>
  <c r="AI77" i="112" s="1"/>
  <c r="AV77" i="112"/>
  <c r="AW77" i="112" s="1"/>
  <c r="BN77" i="112"/>
  <c r="BO77" i="112" s="1"/>
  <c r="R77" i="112"/>
  <c r="T77" i="112" s="1"/>
  <c r="BD77" i="112"/>
  <c r="BE77" i="112" s="1"/>
  <c r="BQ77" i="112"/>
  <c r="BR77" i="112" s="1"/>
  <c r="M77" i="112"/>
  <c r="BK77" i="112"/>
  <c r="BG77" i="112"/>
  <c r="BH77" i="112" s="1"/>
  <c r="BA77" i="112"/>
  <c r="BB77" i="112" s="1"/>
  <c r="AY77" i="112"/>
  <c r="AQ77" i="112"/>
  <c r="AR77" i="112" s="1"/>
  <c r="AN77" i="112"/>
  <c r="AO77" i="112" s="1"/>
  <c r="V77" i="112"/>
  <c r="W77" i="112" s="1"/>
  <c r="K78" i="112"/>
  <c r="P77" i="112"/>
  <c r="Y77" i="112"/>
  <c r="Z77" i="112" s="1"/>
  <c r="AT77" i="112"/>
  <c r="O77" i="112"/>
  <c r="AK77" i="112"/>
  <c r="AL77" i="112" s="1"/>
  <c r="AE77" i="112"/>
  <c r="AF77" i="112" s="1"/>
  <c r="AB78" i="129"/>
  <c r="AC78" i="129" s="1"/>
  <c r="AE78" i="129"/>
  <c r="AF78" i="129" s="1"/>
  <c r="BD78" i="129"/>
  <c r="BE78" i="129" s="1"/>
  <c r="BL78" i="129"/>
  <c r="P78" i="129"/>
  <c r="BA78" i="129"/>
  <c r="BB78" i="129" s="1"/>
  <c r="R78" i="129"/>
  <c r="T78" i="129" s="1"/>
  <c r="AV78" i="129"/>
  <c r="AW78" i="129" s="1"/>
  <c r="M78" i="129"/>
  <c r="BQ78" i="129"/>
  <c r="BR78" i="129" s="1"/>
  <c r="V78" i="129"/>
  <c r="W78" i="129" s="1"/>
  <c r="K79" i="129"/>
  <c r="AT78" i="129"/>
  <c r="AQ78" i="129"/>
  <c r="AR78" i="129" s="1"/>
  <c r="AN78" i="129"/>
  <c r="AO78" i="129" s="1"/>
  <c r="AY78" i="129"/>
  <c r="AK78" i="129"/>
  <c r="AL78" i="129" s="1"/>
  <c r="O78" i="129"/>
  <c r="AH78" i="129"/>
  <c r="AI78" i="129" s="1"/>
  <c r="BG78" i="129"/>
  <c r="BH78" i="129" s="1"/>
  <c r="Y78" i="129"/>
  <c r="Z78" i="129" s="1"/>
  <c r="BN78" i="129"/>
  <c r="BO78" i="129" s="1"/>
  <c r="BL78" i="130"/>
  <c r="M78" i="130"/>
  <c r="BN78" i="130"/>
  <c r="BO78" i="130" s="1"/>
  <c r="K79" i="130"/>
  <c r="AV78" i="130"/>
  <c r="AW78" i="130" s="1"/>
  <c r="BG78" i="130"/>
  <c r="BH78" i="130" s="1"/>
  <c r="AK78" i="130"/>
  <c r="AL78" i="130" s="1"/>
  <c r="AN78" i="130"/>
  <c r="AO78" i="130" s="1"/>
  <c r="V78" i="130"/>
  <c r="W78" i="130" s="1"/>
  <c r="AB78" i="130"/>
  <c r="AC78" i="130" s="1"/>
  <c r="O78" i="130"/>
  <c r="BD78" i="130"/>
  <c r="BE78" i="130" s="1"/>
  <c r="R78" i="130"/>
  <c r="T78" i="130" s="1"/>
  <c r="BQ78" i="130"/>
  <c r="BR78" i="130" s="1"/>
  <c r="AY78" i="130"/>
  <c r="AH78" i="130"/>
  <c r="AI78" i="130" s="1"/>
  <c r="AT78" i="130"/>
  <c r="P78" i="130"/>
  <c r="Y78" i="130"/>
  <c r="Z78" i="130" s="1"/>
  <c r="BA78" i="130"/>
  <c r="BB78" i="130" s="1"/>
  <c r="AE78" i="130"/>
  <c r="AF78" i="130" s="1"/>
  <c r="AQ78" i="130"/>
  <c r="AR78" i="130" s="1"/>
  <c r="O83" i="155"/>
  <c r="V83" i="155"/>
  <c r="W83" i="155" s="1"/>
  <c r="AB83" i="155"/>
  <c r="AC83" i="155" s="1"/>
  <c r="AH83" i="155"/>
  <c r="AI83" i="155" s="1"/>
  <c r="AN83" i="155"/>
  <c r="AO83" i="155" s="1"/>
  <c r="BA83" i="155"/>
  <c r="BB83" i="155" s="1"/>
  <c r="BG83" i="155"/>
  <c r="BH83" i="155" s="1"/>
  <c r="P83" i="155"/>
  <c r="AV83" i="155"/>
  <c r="AW83" i="155" s="1"/>
  <c r="BN83" i="155"/>
  <c r="BO83" i="155" s="1"/>
  <c r="R83" i="155"/>
  <c r="T83" i="155" s="1"/>
  <c r="Y83" i="155"/>
  <c r="Z83" i="155" s="1"/>
  <c r="AE83" i="155"/>
  <c r="AF83" i="155" s="1"/>
  <c r="AK83" i="155"/>
  <c r="AL83" i="155" s="1"/>
  <c r="AQ83" i="155"/>
  <c r="AR83" i="155" s="1"/>
  <c r="BD83" i="155"/>
  <c r="BE83" i="155" s="1"/>
  <c r="M83" i="155"/>
  <c r="BQ83" i="155"/>
  <c r="BR83" i="155" s="1"/>
  <c r="BL83" i="155"/>
  <c r="I85" i="155"/>
  <c r="K84" i="155"/>
  <c r="M83" i="153"/>
  <c r="BQ83" i="153"/>
  <c r="BR83" i="153" s="1"/>
  <c r="O83" i="153"/>
  <c r="V83" i="153"/>
  <c r="W83" i="153" s="1"/>
  <c r="AB83" i="153"/>
  <c r="AC83" i="153" s="1"/>
  <c r="AH83" i="153"/>
  <c r="AI83" i="153" s="1"/>
  <c r="AN83" i="153"/>
  <c r="AO83" i="153" s="1"/>
  <c r="BA83" i="153"/>
  <c r="BB83" i="153" s="1"/>
  <c r="BG83" i="153"/>
  <c r="BH83" i="153" s="1"/>
  <c r="P83" i="153"/>
  <c r="AV83" i="153"/>
  <c r="AW83" i="153" s="1"/>
  <c r="BN83" i="153"/>
  <c r="BO83" i="153" s="1"/>
  <c r="Y83" i="153"/>
  <c r="Z83" i="153" s="1"/>
  <c r="AE83" i="153"/>
  <c r="AF83" i="153" s="1"/>
  <c r="BD83" i="153"/>
  <c r="BE83" i="153" s="1"/>
  <c r="AK83" i="153"/>
  <c r="AL83" i="153" s="1"/>
  <c r="R83" i="153"/>
  <c r="T83" i="153" s="1"/>
  <c r="AQ83" i="153"/>
  <c r="AR83" i="153" s="1"/>
  <c r="BL83" i="153"/>
  <c r="K84" i="153"/>
  <c r="I88" i="153"/>
  <c r="P83" i="152"/>
  <c r="AV83" i="152"/>
  <c r="AW83" i="152" s="1"/>
  <c r="BN83" i="152"/>
  <c r="BO83" i="152" s="1"/>
  <c r="R83" i="152"/>
  <c r="T83" i="152" s="1"/>
  <c r="Y83" i="152"/>
  <c r="Z83" i="152" s="1"/>
  <c r="AE83" i="152"/>
  <c r="AF83" i="152" s="1"/>
  <c r="AK83" i="152"/>
  <c r="AL83" i="152" s="1"/>
  <c r="AQ83" i="152"/>
  <c r="AR83" i="152" s="1"/>
  <c r="BD83" i="152"/>
  <c r="BE83" i="152" s="1"/>
  <c r="V83" i="152"/>
  <c r="W83" i="152" s="1"/>
  <c r="AH83" i="152"/>
  <c r="AI83" i="152" s="1"/>
  <c r="BG83" i="152"/>
  <c r="BH83" i="152" s="1"/>
  <c r="BQ83" i="152"/>
  <c r="BR83" i="152" s="1"/>
  <c r="M83" i="152"/>
  <c r="O83" i="152"/>
  <c r="AB83" i="152"/>
  <c r="AC83" i="152" s="1"/>
  <c r="AN83" i="152"/>
  <c r="AO83" i="152" s="1"/>
  <c r="BA83" i="152"/>
  <c r="BB83" i="152" s="1"/>
  <c r="BL83" i="152"/>
  <c r="K84" i="152"/>
  <c r="I92" i="152"/>
  <c r="I83" i="151"/>
  <c r="K82" i="151"/>
  <c r="BQ81" i="151"/>
  <c r="BR81" i="151" s="1"/>
  <c r="AY81" i="151"/>
  <c r="BD81" i="151"/>
  <c r="BE81" i="151" s="1"/>
  <c r="AQ81" i="151"/>
  <c r="AR81" i="151" s="1"/>
  <c r="AK81" i="151"/>
  <c r="AL81" i="151" s="1"/>
  <c r="AE81" i="151"/>
  <c r="AF81" i="151" s="1"/>
  <c r="Y81" i="151"/>
  <c r="Z81" i="151" s="1"/>
  <c r="R81" i="151"/>
  <c r="T81" i="151" s="1"/>
  <c r="BG81" i="151"/>
  <c r="BH81" i="151" s="1"/>
  <c r="BA81" i="151"/>
  <c r="BB81" i="151" s="1"/>
  <c r="AT81" i="151"/>
  <c r="AN81" i="151"/>
  <c r="AO81" i="151" s="1"/>
  <c r="AH81" i="151"/>
  <c r="AI81" i="151" s="1"/>
  <c r="AB81" i="151"/>
  <c r="AC81" i="151" s="1"/>
  <c r="V81" i="151"/>
  <c r="W81" i="151" s="1"/>
  <c r="O81" i="151"/>
  <c r="AV81" i="151"/>
  <c r="AW81" i="151" s="1"/>
  <c r="P81" i="151"/>
  <c r="M81" i="151"/>
  <c r="BN81" i="151"/>
  <c r="BO81" i="151" s="1"/>
  <c r="BL81" i="151"/>
  <c r="I84" i="150"/>
  <c r="AV80" i="150"/>
  <c r="AW80" i="150" s="1"/>
  <c r="P80" i="150"/>
  <c r="BG80" i="150"/>
  <c r="BH80" i="150" s="1"/>
  <c r="BA80" i="150"/>
  <c r="BB80" i="150" s="1"/>
  <c r="AT80" i="150"/>
  <c r="AN80" i="150"/>
  <c r="AO80" i="150" s="1"/>
  <c r="AH80" i="150"/>
  <c r="AI80" i="150" s="1"/>
  <c r="AB80" i="150"/>
  <c r="AC80" i="150" s="1"/>
  <c r="V80" i="150"/>
  <c r="W80" i="150" s="1"/>
  <c r="O80" i="150"/>
  <c r="BQ80" i="150"/>
  <c r="BR80" i="150" s="1"/>
  <c r="AY80" i="150"/>
  <c r="Y80" i="150"/>
  <c r="Z80" i="150" s="1"/>
  <c r="AQ80" i="150"/>
  <c r="AR80" i="150" s="1"/>
  <c r="R80" i="150"/>
  <c r="T80" i="150" s="1"/>
  <c r="BD80" i="150"/>
  <c r="BE80" i="150" s="1"/>
  <c r="AK80" i="150"/>
  <c r="AL80" i="150" s="1"/>
  <c r="AE80" i="150"/>
  <c r="AF80" i="150" s="1"/>
  <c r="M80" i="150"/>
  <c r="BN80" i="150"/>
  <c r="BO80" i="150" s="1"/>
  <c r="BL80" i="150"/>
  <c r="K81" i="150"/>
  <c r="BG82" i="149"/>
  <c r="BH82" i="149" s="1"/>
  <c r="BA82" i="149"/>
  <c r="BB82" i="149" s="1"/>
  <c r="AN82" i="149"/>
  <c r="AO82" i="149" s="1"/>
  <c r="AH82" i="149"/>
  <c r="AI82" i="149" s="1"/>
  <c r="AB82" i="149"/>
  <c r="AC82" i="149" s="1"/>
  <c r="V82" i="149"/>
  <c r="W82" i="149" s="1"/>
  <c r="O82" i="149"/>
  <c r="BQ82" i="149"/>
  <c r="BR82" i="149" s="1"/>
  <c r="AY82" i="149"/>
  <c r="BD82" i="149"/>
  <c r="BE82" i="149" s="1"/>
  <c r="AQ82" i="149"/>
  <c r="AR82" i="149" s="1"/>
  <c r="AK82" i="149"/>
  <c r="AL82" i="149" s="1"/>
  <c r="AE82" i="149"/>
  <c r="AF82" i="149" s="1"/>
  <c r="Y82" i="149"/>
  <c r="Z82" i="149" s="1"/>
  <c r="R82" i="149"/>
  <c r="T82" i="149" s="1"/>
  <c r="AV82" i="149"/>
  <c r="AW82" i="149" s="1"/>
  <c r="P82" i="149"/>
  <c r="M82" i="149"/>
  <c r="BN82" i="149"/>
  <c r="BO82" i="149" s="1"/>
  <c r="BL82" i="149"/>
  <c r="K83" i="149"/>
  <c r="AT83" i="149" s="1"/>
  <c r="I84" i="149"/>
  <c r="AV81" i="147"/>
  <c r="AW81" i="147" s="1"/>
  <c r="P81" i="147"/>
  <c r="BG81" i="147"/>
  <c r="BH81" i="147" s="1"/>
  <c r="BA81" i="147"/>
  <c r="BB81" i="147" s="1"/>
  <c r="AT81" i="147"/>
  <c r="AN81" i="147"/>
  <c r="AO81" i="147" s="1"/>
  <c r="AH81" i="147"/>
  <c r="AI81" i="147" s="1"/>
  <c r="AB81" i="147"/>
  <c r="AC81" i="147" s="1"/>
  <c r="V81" i="147"/>
  <c r="W81" i="147" s="1"/>
  <c r="O81" i="147"/>
  <c r="BQ81" i="147"/>
  <c r="BR81" i="147" s="1"/>
  <c r="BD81" i="147"/>
  <c r="BE81" i="147" s="1"/>
  <c r="AQ81" i="147"/>
  <c r="AR81" i="147" s="1"/>
  <c r="AE81" i="147"/>
  <c r="AF81" i="147" s="1"/>
  <c r="AY81" i="147"/>
  <c r="Y81" i="147"/>
  <c r="Z81" i="147" s="1"/>
  <c r="R81" i="147"/>
  <c r="T81" i="147" s="1"/>
  <c r="AK81" i="147"/>
  <c r="AL81" i="147" s="1"/>
  <c r="BN81" i="147"/>
  <c r="BO81" i="147" s="1"/>
  <c r="BK81" i="147"/>
  <c r="M81" i="147"/>
  <c r="BJ81" i="147"/>
  <c r="BL81" i="147" s="1"/>
  <c r="K82" i="147"/>
  <c r="I83" i="147"/>
  <c r="K81" i="146"/>
  <c r="I82" i="146"/>
  <c r="BQ80" i="146"/>
  <c r="BR80" i="146" s="1"/>
  <c r="AY80" i="146"/>
  <c r="BD80" i="146"/>
  <c r="BE80" i="146" s="1"/>
  <c r="AQ80" i="146"/>
  <c r="AR80" i="146" s="1"/>
  <c r="AK80" i="146"/>
  <c r="AL80" i="146" s="1"/>
  <c r="AE80" i="146"/>
  <c r="AF80" i="146" s="1"/>
  <c r="Y80" i="146"/>
  <c r="Z80" i="146" s="1"/>
  <c r="R80" i="146"/>
  <c r="T80" i="146" s="1"/>
  <c r="AV80" i="146"/>
  <c r="AW80" i="146" s="1"/>
  <c r="P80" i="146"/>
  <c r="AN80" i="146"/>
  <c r="AO80" i="146" s="1"/>
  <c r="O80" i="146"/>
  <c r="BG80" i="146"/>
  <c r="BH80" i="146" s="1"/>
  <c r="AH80" i="146"/>
  <c r="AI80" i="146" s="1"/>
  <c r="BA80" i="146"/>
  <c r="BB80" i="146" s="1"/>
  <c r="AB80" i="146"/>
  <c r="AC80" i="146" s="1"/>
  <c r="AT80" i="146"/>
  <c r="V80" i="146"/>
  <c r="W80" i="146" s="1"/>
  <c r="M80" i="146"/>
  <c r="BK80" i="146"/>
  <c r="BJ80" i="146"/>
  <c r="BL80" i="146" s="1"/>
  <c r="BN80" i="146"/>
  <c r="BO80" i="146" s="1"/>
  <c r="I85" i="132"/>
  <c r="I82" i="104"/>
  <c r="AQ78" i="96"/>
  <c r="AR78" i="96" s="1"/>
  <c r="BQ78" i="96"/>
  <c r="BR78" i="96" s="1"/>
  <c r="BD78" i="96"/>
  <c r="BE78" i="96" s="1"/>
  <c r="Y78" i="96"/>
  <c r="Z78" i="96" s="1"/>
  <c r="P78" i="96"/>
  <c r="AV78" i="96"/>
  <c r="AW78" i="96" s="1"/>
  <c r="M78" i="96"/>
  <c r="AE78" i="96"/>
  <c r="AF78" i="96" s="1"/>
  <c r="AK78" i="96"/>
  <c r="AL78" i="96" s="1"/>
  <c r="O78" i="96"/>
  <c r="R78" i="96"/>
  <c r="T78" i="96" s="1"/>
  <c r="AB78" i="96"/>
  <c r="AC78" i="96" s="1"/>
  <c r="BA78" i="96"/>
  <c r="BB78" i="96" s="1"/>
  <c r="AH78" i="96"/>
  <c r="AI78" i="96" s="1"/>
  <c r="AN78" i="96"/>
  <c r="AO78" i="96" s="1"/>
  <c r="BG78" i="96"/>
  <c r="BH78" i="96" s="1"/>
  <c r="BL78" i="96"/>
  <c r="V78" i="96"/>
  <c r="W78" i="96" s="1"/>
  <c r="BN78" i="96"/>
  <c r="BO78" i="96" s="1"/>
  <c r="AT78" i="96"/>
  <c r="M77" i="101"/>
  <c r="V77" i="101"/>
  <c r="W77" i="101" s="1"/>
  <c r="AK77" i="101"/>
  <c r="AL77" i="101" s="1"/>
  <c r="AT77" i="101"/>
  <c r="BQ77" i="101"/>
  <c r="BR77" i="101" s="1"/>
  <c r="AH77" i="101"/>
  <c r="AI77" i="101" s="1"/>
  <c r="AV77" i="101"/>
  <c r="AW77" i="101" s="1"/>
  <c r="AE77" i="101"/>
  <c r="AF77" i="101" s="1"/>
  <c r="AY77" i="101"/>
  <c r="AB77" i="101"/>
  <c r="AC77" i="101" s="1"/>
  <c r="O77" i="101"/>
  <c r="BG77" i="101"/>
  <c r="BH77" i="101" s="1"/>
  <c r="P77" i="101"/>
  <c r="Y77" i="101"/>
  <c r="Z77" i="101" s="1"/>
  <c r="R77" i="101"/>
  <c r="T77" i="101" s="1"/>
  <c r="BD77" i="101"/>
  <c r="BE77" i="101" s="1"/>
  <c r="AQ77" i="101"/>
  <c r="AR77" i="101" s="1"/>
  <c r="AN77" i="101"/>
  <c r="AO77" i="101" s="1"/>
  <c r="BA77" i="101"/>
  <c r="BB77" i="101" s="1"/>
  <c r="I78" i="13"/>
  <c r="K77" i="13"/>
  <c r="M78" i="110"/>
  <c r="BJ78" i="110"/>
  <c r="BL78" i="110" s="1"/>
  <c r="BK78" i="110"/>
  <c r="BN78" i="110"/>
  <c r="BO78" i="110" s="1"/>
  <c r="AB78" i="110"/>
  <c r="AC78" i="110" s="1"/>
  <c r="V78" i="110"/>
  <c r="W78" i="110" s="1"/>
  <c r="BD78" i="110"/>
  <c r="BE78" i="110" s="1"/>
  <c r="AT78" i="110"/>
  <c r="O78" i="110"/>
  <c r="BQ78" i="110"/>
  <c r="BR78" i="110" s="1"/>
  <c r="Y78" i="110"/>
  <c r="Z78" i="110" s="1"/>
  <c r="R78" i="110"/>
  <c r="T78" i="110" s="1"/>
  <c r="P78" i="110"/>
  <c r="AE78" i="110"/>
  <c r="AF78" i="110" s="1"/>
  <c r="AN78" i="110"/>
  <c r="AO78" i="110" s="1"/>
  <c r="AH78" i="110"/>
  <c r="AI78" i="110" s="1"/>
  <c r="BG78" i="110"/>
  <c r="BH78" i="110" s="1"/>
  <c r="AV78" i="110"/>
  <c r="AW78" i="110" s="1"/>
  <c r="AY78" i="110"/>
  <c r="BA78" i="110"/>
  <c r="BB78" i="110" s="1"/>
  <c r="AK78" i="110"/>
  <c r="AL78" i="110" s="1"/>
  <c r="AQ78" i="110"/>
  <c r="AR78" i="110" s="1"/>
  <c r="BN77" i="15"/>
  <c r="BO77" i="15" s="1"/>
  <c r="BL77" i="15"/>
  <c r="M77" i="15"/>
  <c r="AE77" i="15"/>
  <c r="AF77" i="15" s="1"/>
  <c r="Y77" i="15"/>
  <c r="Z77" i="15" s="1"/>
  <c r="AQ77" i="15"/>
  <c r="AR77" i="15" s="1"/>
  <c r="AY77" i="15"/>
  <c r="BG77" i="15"/>
  <c r="BH77" i="15" s="1"/>
  <c r="P77" i="15"/>
  <c r="AK77" i="15"/>
  <c r="AL77" i="15" s="1"/>
  <c r="AT77" i="15"/>
  <c r="R77" i="15"/>
  <c r="T77" i="15" s="1"/>
  <c r="AV77" i="15"/>
  <c r="AW77" i="15" s="1"/>
  <c r="BQ77" i="15"/>
  <c r="BR77" i="15" s="1"/>
  <c r="O77" i="15"/>
  <c r="AB77" i="15"/>
  <c r="AC77" i="15" s="1"/>
  <c r="AH77" i="15"/>
  <c r="AI77" i="15" s="1"/>
  <c r="V77" i="15"/>
  <c r="W77" i="15" s="1"/>
  <c r="BD77" i="15"/>
  <c r="BE77" i="15" s="1"/>
  <c r="AN77" i="15"/>
  <c r="AO77" i="15" s="1"/>
  <c r="BA77" i="15"/>
  <c r="BB77" i="15" s="1"/>
  <c r="K78" i="15"/>
  <c r="BA79" i="64"/>
  <c r="BB79" i="64" s="1"/>
  <c r="P79" i="64"/>
  <c r="M79" i="64"/>
  <c r="V79" i="64"/>
  <c r="W79" i="64" s="1"/>
  <c r="BQ79" i="64"/>
  <c r="BR79" i="64" s="1"/>
  <c r="BG79" i="64"/>
  <c r="BH79" i="64" s="1"/>
  <c r="AY79" i="64"/>
  <c r="AN79" i="64"/>
  <c r="AO79" i="64" s="1"/>
  <c r="BD79" i="64"/>
  <c r="BE79" i="64" s="1"/>
  <c r="AB79" i="64"/>
  <c r="AC79" i="64" s="1"/>
  <c r="R79" i="64"/>
  <c r="T79" i="64" s="1"/>
  <c r="AE79" i="64"/>
  <c r="AF79" i="64" s="1"/>
  <c r="AQ79" i="64"/>
  <c r="AR79" i="64" s="1"/>
  <c r="Y79" i="64"/>
  <c r="Z79" i="64" s="1"/>
  <c r="AT79" i="64"/>
  <c r="O79" i="64"/>
  <c r="AK79" i="64"/>
  <c r="AL79" i="64" s="1"/>
  <c r="AV79" i="64"/>
  <c r="AW79" i="64" s="1"/>
  <c r="AH79" i="64"/>
  <c r="AI79" i="64" s="1"/>
  <c r="BN79" i="64"/>
  <c r="BO79" i="64" s="1"/>
  <c r="BL79" i="64"/>
  <c r="K80" i="64"/>
  <c r="M78" i="115"/>
  <c r="BN78" i="115"/>
  <c r="BO78" i="115" s="1"/>
  <c r="BJ78" i="115"/>
  <c r="BL78" i="115" s="1"/>
  <c r="BK78" i="115"/>
  <c r="AH78" i="115"/>
  <c r="AI78" i="115" s="1"/>
  <c r="BQ78" i="115"/>
  <c r="BR78" i="115" s="1"/>
  <c r="AK78" i="115"/>
  <c r="AL78" i="115" s="1"/>
  <c r="Y78" i="115"/>
  <c r="Z78" i="115" s="1"/>
  <c r="AQ78" i="115"/>
  <c r="AR78" i="115" s="1"/>
  <c r="R78" i="115"/>
  <c r="T78" i="115" s="1"/>
  <c r="O78" i="115"/>
  <c r="BG78" i="115"/>
  <c r="BH78" i="115" s="1"/>
  <c r="AY78" i="115"/>
  <c r="BD78" i="115"/>
  <c r="BE78" i="115" s="1"/>
  <c r="AE78" i="115"/>
  <c r="AF78" i="115" s="1"/>
  <c r="AT78" i="115"/>
  <c r="AB78" i="115"/>
  <c r="AC78" i="115" s="1"/>
  <c r="BA78" i="115"/>
  <c r="BB78" i="115" s="1"/>
  <c r="AN78" i="115"/>
  <c r="AO78" i="115" s="1"/>
  <c r="P78" i="115"/>
  <c r="V78" i="115"/>
  <c r="W78" i="115" s="1"/>
  <c r="AV78" i="115"/>
  <c r="AW78" i="115" s="1"/>
  <c r="K79" i="96"/>
  <c r="I80" i="96"/>
  <c r="I79" i="101"/>
  <c r="K78" i="101"/>
  <c r="BL76" i="17"/>
  <c r="BN76" i="17"/>
  <c r="BO76" i="17" s="1"/>
  <c r="Y76" i="17"/>
  <c r="Z76" i="17" s="1"/>
  <c r="BA76" i="17"/>
  <c r="BB76" i="17" s="1"/>
  <c r="V76" i="17"/>
  <c r="W76" i="17" s="1"/>
  <c r="AQ76" i="17"/>
  <c r="AR76" i="17" s="1"/>
  <c r="M76" i="17"/>
  <c r="AY76" i="17"/>
  <c r="AB76" i="17"/>
  <c r="AC76" i="17" s="1"/>
  <c r="AH76" i="17"/>
  <c r="AI76" i="17" s="1"/>
  <c r="AN76" i="17"/>
  <c r="AO76" i="17" s="1"/>
  <c r="AV76" i="17"/>
  <c r="AW76" i="17" s="1"/>
  <c r="BG76" i="17"/>
  <c r="BH76" i="17" s="1"/>
  <c r="O76" i="17"/>
  <c r="R76" i="17"/>
  <c r="T76" i="17" s="1"/>
  <c r="BQ76" i="17"/>
  <c r="BR76" i="17" s="1"/>
  <c r="AE76" i="17"/>
  <c r="AF76" i="17" s="1"/>
  <c r="AT76" i="17"/>
  <c r="AK76" i="17"/>
  <c r="AL76" i="17" s="1"/>
  <c r="BD76" i="17"/>
  <c r="BE76" i="17" s="1"/>
  <c r="P76" i="17"/>
  <c r="I87" i="95"/>
  <c r="I80" i="110"/>
  <c r="K79" i="110"/>
  <c r="I80" i="115"/>
  <c r="K79" i="115"/>
  <c r="M77" i="118"/>
  <c r="K78" i="118"/>
  <c r="BN77" i="118"/>
  <c r="BO77" i="118" s="1"/>
  <c r="BG77" i="118"/>
  <c r="BH77" i="118" s="1"/>
  <c r="BA77" i="118"/>
  <c r="BB77" i="118" s="1"/>
  <c r="AT77" i="118"/>
  <c r="P77" i="118"/>
  <c r="AY77" i="118"/>
  <c r="AQ77" i="118"/>
  <c r="AR77" i="118" s="1"/>
  <c r="V77" i="118"/>
  <c r="W77" i="118" s="1"/>
  <c r="R77" i="118"/>
  <c r="T77" i="118" s="1"/>
  <c r="AN77" i="118"/>
  <c r="AO77" i="118" s="1"/>
  <c r="AB77" i="118"/>
  <c r="AC77" i="118" s="1"/>
  <c r="AV77" i="118"/>
  <c r="AW77" i="118" s="1"/>
  <c r="AK77" i="118"/>
  <c r="AL77" i="118" s="1"/>
  <c r="AE77" i="118"/>
  <c r="AF77" i="118" s="1"/>
  <c r="AH77" i="118"/>
  <c r="AI77" i="118" s="1"/>
  <c r="O77" i="118"/>
  <c r="BQ77" i="118"/>
  <c r="BR77" i="118" s="1"/>
  <c r="Y77" i="118"/>
  <c r="Z77" i="118" s="1"/>
  <c r="BD77" i="118"/>
  <c r="BE77" i="118" s="1"/>
  <c r="AE76" i="120"/>
  <c r="AF76" i="120" s="1"/>
  <c r="AH76" i="120"/>
  <c r="AI76" i="120" s="1"/>
  <c r="K77" i="120"/>
  <c r="V76" i="120"/>
  <c r="W76" i="120" s="1"/>
  <c r="Y76" i="120"/>
  <c r="Z76" i="120" s="1"/>
  <c r="O76" i="120"/>
  <c r="AK76" i="120"/>
  <c r="AL76" i="120" s="1"/>
  <c r="AB76" i="120"/>
  <c r="AC76" i="120" s="1"/>
  <c r="AN76" i="120"/>
  <c r="AO76" i="120" s="1"/>
  <c r="R76" i="120"/>
  <c r="T76" i="120" s="1"/>
  <c r="P76" i="120"/>
  <c r="M76" i="120"/>
  <c r="BQ76" i="120"/>
  <c r="BR76" i="120" s="1"/>
  <c r="BG76" i="120"/>
  <c r="BH76" i="120" s="1"/>
  <c r="AT76" i="120"/>
  <c r="BD76" i="120"/>
  <c r="BE76" i="120" s="1"/>
  <c r="BA76" i="120"/>
  <c r="BB76" i="120" s="1"/>
  <c r="AY76" i="120"/>
  <c r="AV76" i="120"/>
  <c r="AW76" i="120" s="1"/>
  <c r="AQ76" i="120"/>
  <c r="AR76" i="120" s="1"/>
  <c r="BN76" i="120"/>
  <c r="BO76" i="120" s="1"/>
  <c r="I84" i="114"/>
  <c r="I85" i="105"/>
  <c r="BJ82" i="124"/>
  <c r="BL82" i="124" s="1"/>
  <c r="K83" i="124"/>
  <c r="BN82" i="124"/>
  <c r="BO82" i="124" s="1"/>
  <c r="M82" i="124"/>
  <c r="BK82" i="124"/>
  <c r="P82" i="124"/>
  <c r="V82" i="124"/>
  <c r="W82" i="124" s="1"/>
  <c r="AN82" i="124"/>
  <c r="AO82" i="124" s="1"/>
  <c r="O82" i="124"/>
  <c r="BG82" i="124"/>
  <c r="BH82" i="124" s="1"/>
  <c r="AB82" i="124"/>
  <c r="AC82" i="124" s="1"/>
  <c r="BA82" i="124"/>
  <c r="BB82" i="124" s="1"/>
  <c r="BD82" i="124"/>
  <c r="BE82" i="124" s="1"/>
  <c r="BQ82" i="124"/>
  <c r="BR82" i="124" s="1"/>
  <c r="Y82" i="124"/>
  <c r="Z82" i="124" s="1"/>
  <c r="AK82" i="124"/>
  <c r="AL82" i="124" s="1"/>
  <c r="AV82" i="124"/>
  <c r="AW82" i="124" s="1"/>
  <c r="AY82" i="124"/>
  <c r="R82" i="124"/>
  <c r="T82" i="124" s="1"/>
  <c r="AT82" i="124"/>
  <c r="AH82" i="124"/>
  <c r="AI82" i="124" s="1"/>
  <c r="AE82" i="124"/>
  <c r="AF82" i="124" s="1"/>
  <c r="AQ82" i="124"/>
  <c r="AR82" i="124" s="1"/>
  <c r="AN76" i="66"/>
  <c r="AO76" i="66" s="1"/>
  <c r="BA76" i="66"/>
  <c r="BB76" i="66" s="1"/>
  <c r="AY76" i="66"/>
  <c r="V76" i="66"/>
  <c r="W76" i="66" s="1"/>
  <c r="M76" i="66"/>
  <c r="BQ76" i="66"/>
  <c r="BR76" i="66" s="1"/>
  <c r="P76" i="66"/>
  <c r="BN76" i="66"/>
  <c r="BO76" i="66" s="1"/>
  <c r="R76" i="66"/>
  <c r="T76" i="66" s="1"/>
  <c r="AT76" i="66"/>
  <c r="AQ76" i="66"/>
  <c r="AR76" i="66" s="1"/>
  <c r="AV76" i="66"/>
  <c r="AW76" i="66" s="1"/>
  <c r="O76" i="66"/>
  <c r="AH76" i="66"/>
  <c r="AI76" i="66" s="1"/>
  <c r="AK76" i="66"/>
  <c r="AL76" i="66" s="1"/>
  <c r="AB76" i="66"/>
  <c r="AC76" i="66" s="1"/>
  <c r="AE76" i="66"/>
  <c r="AF76" i="66" s="1"/>
  <c r="Y76" i="66"/>
  <c r="Z76" i="66" s="1"/>
  <c r="BD76" i="66"/>
  <c r="BE76" i="66" s="1"/>
  <c r="BG76" i="66"/>
  <c r="BH76" i="66" s="1"/>
  <c r="BL76" i="66"/>
  <c r="M78" i="63"/>
  <c r="BN78" i="63"/>
  <c r="BO78" i="63" s="1"/>
  <c r="P78" i="63"/>
  <c r="AV78" i="63"/>
  <c r="AW78" i="63" s="1"/>
  <c r="AH78" i="63"/>
  <c r="AI78" i="63" s="1"/>
  <c r="Y78" i="63"/>
  <c r="Z78" i="63" s="1"/>
  <c r="BG78" i="63"/>
  <c r="BH78" i="63" s="1"/>
  <c r="AN78" i="63"/>
  <c r="AO78" i="63" s="1"/>
  <c r="V78" i="63"/>
  <c r="W78" i="63" s="1"/>
  <c r="AE78" i="63"/>
  <c r="AF78" i="63" s="1"/>
  <c r="BA78" i="63"/>
  <c r="BB78" i="63" s="1"/>
  <c r="AK78" i="63"/>
  <c r="AL78" i="63" s="1"/>
  <c r="R78" i="63"/>
  <c r="T78" i="63" s="1"/>
  <c r="O78" i="63"/>
  <c r="AY78" i="63"/>
  <c r="AT78" i="63"/>
  <c r="AB78" i="63"/>
  <c r="AC78" i="63" s="1"/>
  <c r="AQ78" i="63"/>
  <c r="AR78" i="63" s="1"/>
  <c r="BD78" i="63"/>
  <c r="BE78" i="63" s="1"/>
  <c r="BQ78" i="63"/>
  <c r="BR78" i="63" s="1"/>
  <c r="BL78" i="63"/>
  <c r="K79" i="63"/>
  <c r="I82" i="15"/>
  <c r="I78" i="17"/>
  <c r="K77" i="17"/>
  <c r="I83" i="63"/>
  <c r="M79" i="135"/>
  <c r="AE79" i="135"/>
  <c r="AF79" i="135" s="1"/>
  <c r="AT79" i="135"/>
  <c r="BD79" i="135"/>
  <c r="BE79" i="135" s="1"/>
  <c r="AK79" i="135"/>
  <c r="AL79" i="135" s="1"/>
  <c r="O79" i="135"/>
  <c r="P79" i="135"/>
  <c r="AN79" i="135"/>
  <c r="AO79" i="135" s="1"/>
  <c r="AY79" i="135"/>
  <c r="V79" i="135"/>
  <c r="W79" i="135" s="1"/>
  <c r="AH79" i="135"/>
  <c r="AI79" i="135" s="1"/>
  <c r="R79" i="135"/>
  <c r="T79" i="135" s="1"/>
  <c r="BG79" i="135"/>
  <c r="BH79" i="135" s="1"/>
  <c r="AV79" i="135"/>
  <c r="AW79" i="135" s="1"/>
  <c r="BA79" i="135"/>
  <c r="BB79" i="135" s="1"/>
  <c r="BQ79" i="135"/>
  <c r="BR79" i="135" s="1"/>
  <c r="AB79" i="135"/>
  <c r="AC79" i="135" s="1"/>
  <c r="AQ79" i="135"/>
  <c r="AR79" i="135" s="1"/>
  <c r="BN79" i="135"/>
  <c r="BO79" i="135" s="1"/>
  <c r="Y79" i="135"/>
  <c r="Z79" i="135" s="1"/>
  <c r="BL79" i="135"/>
  <c r="M80" i="136"/>
  <c r="BN80" i="136"/>
  <c r="BO80" i="136" s="1"/>
  <c r="BL80" i="136"/>
  <c r="O80" i="136"/>
  <c r="AE80" i="136"/>
  <c r="AF80" i="136" s="1"/>
  <c r="BD80" i="136"/>
  <c r="BE80" i="136" s="1"/>
  <c r="AK80" i="136"/>
  <c r="AL80" i="136" s="1"/>
  <c r="R80" i="136"/>
  <c r="T80" i="136" s="1"/>
  <c r="BA80" i="136"/>
  <c r="BB80" i="136" s="1"/>
  <c r="AQ80" i="136"/>
  <c r="AR80" i="136" s="1"/>
  <c r="AY80" i="136"/>
  <c r="V80" i="136"/>
  <c r="W80" i="136" s="1"/>
  <c r="AT80" i="136"/>
  <c r="AH80" i="136"/>
  <c r="AI80" i="136" s="1"/>
  <c r="BG80" i="136"/>
  <c r="BH80" i="136" s="1"/>
  <c r="P80" i="136"/>
  <c r="AN80" i="136"/>
  <c r="AO80" i="136" s="1"/>
  <c r="BQ80" i="136"/>
  <c r="BR80" i="136" s="1"/>
  <c r="AB80" i="136"/>
  <c r="AC80" i="136" s="1"/>
  <c r="Y80" i="136"/>
  <c r="Z80" i="136" s="1"/>
  <c r="AV80" i="136"/>
  <c r="AW80" i="136" s="1"/>
  <c r="K81" i="136"/>
  <c r="I84" i="64"/>
  <c r="K77" i="66"/>
  <c r="I78" i="66"/>
  <c r="I93" i="133"/>
  <c r="M78" i="114"/>
  <c r="BK78" i="114"/>
  <c r="BN78" i="114"/>
  <c r="BO78" i="114" s="1"/>
  <c r="BJ78" i="114"/>
  <c r="BL78" i="114" s="1"/>
  <c r="AN78" i="114"/>
  <c r="AO78" i="114" s="1"/>
  <c r="AH78" i="114"/>
  <c r="AI78" i="114" s="1"/>
  <c r="V78" i="114"/>
  <c r="W78" i="114" s="1"/>
  <c r="AQ78" i="114"/>
  <c r="AR78" i="114" s="1"/>
  <c r="AE78" i="114"/>
  <c r="AF78" i="114" s="1"/>
  <c r="BA78" i="114"/>
  <c r="BB78" i="114" s="1"/>
  <c r="BG78" i="114"/>
  <c r="BH78" i="114" s="1"/>
  <c r="AY78" i="114"/>
  <c r="AV78" i="114"/>
  <c r="AW78" i="114" s="1"/>
  <c r="O78" i="114"/>
  <c r="BD78" i="114"/>
  <c r="BE78" i="114" s="1"/>
  <c r="BQ78" i="114"/>
  <c r="BR78" i="114" s="1"/>
  <c r="R78" i="114"/>
  <c r="T78" i="114" s="1"/>
  <c r="Y78" i="114"/>
  <c r="Z78" i="114" s="1"/>
  <c r="AK78" i="114"/>
  <c r="AL78" i="114" s="1"/>
  <c r="AT78" i="114"/>
  <c r="P78" i="114"/>
  <c r="AB78" i="114"/>
  <c r="AC78" i="114" s="1"/>
  <c r="K79" i="114"/>
  <c r="M78" i="126"/>
  <c r="BJ78" i="126"/>
  <c r="BL78" i="126" s="1"/>
  <c r="BN78" i="126"/>
  <c r="BO78" i="126" s="1"/>
  <c r="BK78" i="126"/>
  <c r="V78" i="126"/>
  <c r="W78" i="126" s="1"/>
  <c r="BA78" i="126"/>
  <c r="BB78" i="126" s="1"/>
  <c r="AN78" i="126"/>
  <c r="AO78" i="126" s="1"/>
  <c r="AV78" i="126"/>
  <c r="AW78" i="126" s="1"/>
  <c r="AQ78" i="126"/>
  <c r="AR78" i="126" s="1"/>
  <c r="BQ78" i="126"/>
  <c r="BR78" i="126" s="1"/>
  <c r="AB78" i="126"/>
  <c r="AC78" i="126" s="1"/>
  <c r="AY78" i="126"/>
  <c r="BG78" i="126"/>
  <c r="BH78" i="126" s="1"/>
  <c r="BD78" i="126"/>
  <c r="BE78" i="126" s="1"/>
  <c r="R78" i="126"/>
  <c r="T78" i="126" s="1"/>
  <c r="Y78" i="126"/>
  <c r="Z78" i="126" s="1"/>
  <c r="P78" i="126"/>
  <c r="O78" i="126"/>
  <c r="AE78" i="126"/>
  <c r="AF78" i="126" s="1"/>
  <c r="AK78" i="126"/>
  <c r="AL78" i="126" s="1"/>
  <c r="AT78" i="126"/>
  <c r="AH78" i="126"/>
  <c r="AI78" i="126" s="1"/>
  <c r="K79" i="126"/>
  <c r="I84" i="136"/>
  <c r="BN76" i="13"/>
  <c r="BO76" i="13" s="1"/>
  <c r="BL76" i="13"/>
  <c r="M76" i="13"/>
  <c r="AN76" i="13"/>
  <c r="AO76" i="13" s="1"/>
  <c r="AQ76" i="13"/>
  <c r="AR76" i="13" s="1"/>
  <c r="O76" i="13"/>
  <c r="BQ76" i="13"/>
  <c r="BR76" i="13" s="1"/>
  <c r="AH76" i="13"/>
  <c r="AI76" i="13" s="1"/>
  <c r="AE76" i="13"/>
  <c r="AF76" i="13" s="1"/>
  <c r="AK76" i="13"/>
  <c r="AL76" i="13" s="1"/>
  <c r="AY76" i="13"/>
  <c r="R76" i="13"/>
  <c r="T76" i="13" s="1"/>
  <c r="Y76" i="13"/>
  <c r="Z76" i="13" s="1"/>
  <c r="BD76" i="13"/>
  <c r="BE76" i="13" s="1"/>
  <c r="P76" i="13"/>
  <c r="AB76" i="13"/>
  <c r="AC76" i="13" s="1"/>
  <c r="BA76" i="13"/>
  <c r="BB76" i="13" s="1"/>
  <c r="AV76" i="13"/>
  <c r="AW76" i="13" s="1"/>
  <c r="AT76" i="13"/>
  <c r="BG76" i="13"/>
  <c r="BH76" i="13" s="1"/>
  <c r="V76" i="13"/>
  <c r="W76" i="13" s="1"/>
  <c r="M80" i="105"/>
  <c r="BN80" i="105"/>
  <c r="BO80" i="105" s="1"/>
  <c r="BK80" i="105"/>
  <c r="BJ80" i="105"/>
  <c r="BL80" i="105" s="1"/>
  <c r="AT80" i="105"/>
  <c r="AK80" i="105"/>
  <c r="AL80" i="105" s="1"/>
  <c r="AV80" i="105"/>
  <c r="AW80" i="105" s="1"/>
  <c r="O80" i="105"/>
  <c r="AH80" i="105"/>
  <c r="AI80" i="105" s="1"/>
  <c r="AQ80" i="105"/>
  <c r="AR80" i="105" s="1"/>
  <c r="AY80" i="105"/>
  <c r="Y80" i="105"/>
  <c r="Z80" i="105" s="1"/>
  <c r="AN80" i="105"/>
  <c r="AO80" i="105" s="1"/>
  <c r="BG80" i="105"/>
  <c r="BH80" i="105" s="1"/>
  <c r="P80" i="105"/>
  <c r="AB80" i="105"/>
  <c r="AC80" i="105" s="1"/>
  <c r="V80" i="105"/>
  <c r="W80" i="105" s="1"/>
  <c r="BQ80" i="105"/>
  <c r="BR80" i="105" s="1"/>
  <c r="R80" i="105"/>
  <c r="T80" i="105" s="1"/>
  <c r="BD80" i="105"/>
  <c r="BE80" i="105" s="1"/>
  <c r="AE80" i="105"/>
  <c r="AF80" i="105" s="1"/>
  <c r="BA80" i="105"/>
  <c r="BB80" i="105" s="1"/>
  <c r="K81" i="105"/>
  <c r="I81" i="135"/>
  <c r="K80" i="135"/>
  <c r="I83" i="126"/>
  <c r="BN78" i="98"/>
  <c r="BO78" i="98" s="1"/>
  <c r="BK78" i="98"/>
  <c r="K79" i="98"/>
  <c r="BJ78" i="98"/>
  <c r="BL78" i="98" s="1"/>
  <c r="M78" i="98"/>
  <c r="AT78" i="98"/>
  <c r="AH78" i="98"/>
  <c r="AI78" i="98" s="1"/>
  <c r="Y78" i="98"/>
  <c r="Z78" i="98" s="1"/>
  <c r="BQ78" i="98"/>
  <c r="BR78" i="98" s="1"/>
  <c r="R78" i="98"/>
  <c r="T78" i="98" s="1"/>
  <c r="BD78" i="98"/>
  <c r="BE78" i="98" s="1"/>
  <c r="V78" i="98"/>
  <c r="W78" i="98" s="1"/>
  <c r="AQ78" i="98"/>
  <c r="AR78" i="98" s="1"/>
  <c r="AY78" i="98"/>
  <c r="AV78" i="98"/>
  <c r="AW78" i="98" s="1"/>
  <c r="BA78" i="98"/>
  <c r="BB78" i="98" s="1"/>
  <c r="P78" i="98"/>
  <c r="BG78" i="98"/>
  <c r="BH78" i="98" s="1"/>
  <c r="AE78" i="98"/>
  <c r="AF78" i="98" s="1"/>
  <c r="AN78" i="98"/>
  <c r="AO78" i="98" s="1"/>
  <c r="O78" i="98"/>
  <c r="AK78" i="98"/>
  <c r="AL78" i="98" s="1"/>
  <c r="AB78" i="98"/>
  <c r="AC78" i="98" s="1"/>
  <c r="P82" i="107" l="1"/>
  <c r="AQ82" i="107"/>
  <c r="AR82" i="107" s="1"/>
  <c r="BD82" i="107"/>
  <c r="BE82" i="107" s="1"/>
  <c r="V82" i="107"/>
  <c r="W82" i="107" s="1"/>
  <c r="BN82" i="107"/>
  <c r="BO82" i="107" s="1"/>
  <c r="Y82" i="107"/>
  <c r="Z82" i="107" s="1"/>
  <c r="AV82" i="107"/>
  <c r="AW82" i="107" s="1"/>
  <c r="BJ82" i="107"/>
  <c r="BL82" i="107" s="1"/>
  <c r="BG82" i="107"/>
  <c r="BH82" i="107" s="1"/>
  <c r="AH82" i="107"/>
  <c r="AI82" i="107" s="1"/>
  <c r="BA82" i="107"/>
  <c r="BB82" i="107" s="1"/>
  <c r="BQ82" i="107"/>
  <c r="BR82" i="107" s="1"/>
  <c r="AT82" i="107"/>
  <c r="AY82" i="107"/>
  <c r="AK82" i="107"/>
  <c r="AL82" i="107" s="1"/>
  <c r="M82" i="107"/>
  <c r="AB82" i="107"/>
  <c r="AC82" i="107" s="1"/>
  <c r="BK82" i="107"/>
  <c r="O82" i="107"/>
  <c r="AN82" i="107"/>
  <c r="AO82" i="107" s="1"/>
  <c r="R82" i="107"/>
  <c r="T82" i="107" s="1"/>
  <c r="AE82" i="107"/>
  <c r="AF82" i="107" s="1"/>
  <c r="AH80" i="99"/>
  <c r="AI80" i="99" s="1"/>
  <c r="BJ80" i="99"/>
  <c r="BL80" i="99" s="1"/>
  <c r="AN80" i="99"/>
  <c r="AO80" i="99" s="1"/>
  <c r="V80" i="99"/>
  <c r="W80" i="99" s="1"/>
  <c r="M80" i="99"/>
  <c r="BA80" i="99"/>
  <c r="BB80" i="99" s="1"/>
  <c r="O80" i="99"/>
  <c r="BQ80" i="99"/>
  <c r="BR80" i="99" s="1"/>
  <c r="AT80" i="99"/>
  <c r="AQ80" i="99"/>
  <c r="AR80" i="99" s="1"/>
  <c r="R80" i="99"/>
  <c r="T80" i="99" s="1"/>
  <c r="AK80" i="99"/>
  <c r="AL80" i="99" s="1"/>
  <c r="BN80" i="99"/>
  <c r="BO80" i="99" s="1"/>
  <c r="AE80" i="99"/>
  <c r="AF80" i="99" s="1"/>
  <c r="AB80" i="99"/>
  <c r="AC80" i="99" s="1"/>
  <c r="BK80" i="99"/>
  <c r="Y80" i="99"/>
  <c r="Z80" i="99" s="1"/>
  <c r="K81" i="99"/>
  <c r="AV80" i="99"/>
  <c r="AW80" i="99" s="1"/>
  <c r="P80" i="99"/>
  <c r="BG80" i="99"/>
  <c r="BH80" i="99" s="1"/>
  <c r="AY80" i="99"/>
  <c r="BD80" i="99"/>
  <c r="BE80" i="99" s="1"/>
  <c r="P80" i="132"/>
  <c r="BL80" i="132"/>
  <c r="M80" i="132"/>
  <c r="K81" i="132"/>
  <c r="AV80" i="132"/>
  <c r="AW80" i="132" s="1"/>
  <c r="AT80" i="132"/>
  <c r="AK80" i="132"/>
  <c r="AL80" i="132" s="1"/>
  <c r="AQ80" i="132"/>
  <c r="AR80" i="132" s="1"/>
  <c r="AH80" i="132"/>
  <c r="AI80" i="132" s="1"/>
  <c r="BA80" i="132"/>
  <c r="BB80" i="132" s="1"/>
  <c r="BQ80" i="132"/>
  <c r="BR80" i="132" s="1"/>
  <c r="BD80" i="132"/>
  <c r="BE80" i="132" s="1"/>
  <c r="AB80" i="132"/>
  <c r="AC80" i="132" s="1"/>
  <c r="O80" i="132"/>
  <c r="BG80" i="132"/>
  <c r="BH80" i="132" s="1"/>
  <c r="R80" i="132"/>
  <c r="T80" i="132" s="1"/>
  <c r="AE80" i="132"/>
  <c r="AF80" i="132" s="1"/>
  <c r="V80" i="132"/>
  <c r="W80" i="132" s="1"/>
  <c r="Y80" i="132"/>
  <c r="Z80" i="132" s="1"/>
  <c r="AN80" i="132"/>
  <c r="AO80" i="132" s="1"/>
  <c r="AY80" i="132"/>
  <c r="BN80" i="132"/>
  <c r="BO80" i="132" s="1"/>
  <c r="I84" i="107"/>
  <c r="K83" i="107"/>
  <c r="K114" i="161"/>
  <c r="BQ114" i="161" s="1"/>
  <c r="BR114" i="161" s="1"/>
  <c r="BR113" i="161"/>
  <c r="AY113" i="161"/>
  <c r="BD113" i="161"/>
  <c r="BE113" i="161" s="1"/>
  <c r="AQ113" i="161"/>
  <c r="AR113" i="161" s="1"/>
  <c r="AK113" i="161"/>
  <c r="AL113" i="161" s="1"/>
  <c r="AE113" i="161"/>
  <c r="AF113" i="161" s="1"/>
  <c r="Y113" i="161"/>
  <c r="Z113" i="161" s="1"/>
  <c r="R113" i="161"/>
  <c r="T113" i="161" s="1"/>
  <c r="P113" i="161"/>
  <c r="BA113" i="161"/>
  <c r="BB113" i="161" s="1"/>
  <c r="AN113" i="161"/>
  <c r="AO113" i="161" s="1"/>
  <c r="AB113" i="161"/>
  <c r="AC113" i="161" s="1"/>
  <c r="O113" i="161"/>
  <c r="AV113" i="161"/>
  <c r="AW113" i="161" s="1"/>
  <c r="AH113" i="161"/>
  <c r="AI113" i="161" s="1"/>
  <c r="V113" i="161"/>
  <c r="W113" i="161" s="1"/>
  <c r="BG113" i="161"/>
  <c r="BH113" i="161" s="1"/>
  <c r="AT113" i="161"/>
  <c r="BJ113" i="161"/>
  <c r="BL113" i="161" s="1"/>
  <c r="M113" i="161"/>
  <c r="BK113" i="161"/>
  <c r="BN113" i="161"/>
  <c r="BO113" i="161" s="1"/>
  <c r="AY114" i="161"/>
  <c r="BD114" i="161"/>
  <c r="BE114" i="161" s="1"/>
  <c r="AQ114" i="161"/>
  <c r="AR114" i="161" s="1"/>
  <c r="R114" i="161"/>
  <c r="T114" i="161" s="1"/>
  <c r="P114" i="161"/>
  <c r="BA114" i="161"/>
  <c r="BB114" i="161" s="1"/>
  <c r="BB116" i="161" s="1"/>
  <c r="AV114" i="161"/>
  <c r="AW114" i="161" s="1"/>
  <c r="V114" i="161"/>
  <c r="W114" i="161" s="1"/>
  <c r="BG114" i="161"/>
  <c r="BH114" i="161" s="1"/>
  <c r="BH116" i="161" s="1"/>
  <c r="M114" i="161"/>
  <c r="BK114" i="161"/>
  <c r="BK116" i="161" s="1"/>
  <c r="BN114" i="161"/>
  <c r="BO114" i="161" s="1"/>
  <c r="M79" i="129"/>
  <c r="O79" i="129"/>
  <c r="AQ79" i="129"/>
  <c r="AR79" i="129" s="1"/>
  <c r="AY79" i="129"/>
  <c r="K80" i="129"/>
  <c r="R79" i="129"/>
  <c r="T79" i="129" s="1"/>
  <c r="BG79" i="129"/>
  <c r="BH79" i="129" s="1"/>
  <c r="AV79" i="129"/>
  <c r="AW79" i="129" s="1"/>
  <c r="AH79" i="129"/>
  <c r="AI79" i="129" s="1"/>
  <c r="AB79" i="129"/>
  <c r="AC79" i="129" s="1"/>
  <c r="BQ79" i="129"/>
  <c r="BR79" i="129" s="1"/>
  <c r="AE79" i="129"/>
  <c r="AF79" i="129" s="1"/>
  <c r="BA79" i="129"/>
  <c r="BB79" i="129" s="1"/>
  <c r="BL79" i="129"/>
  <c r="AT79" i="129"/>
  <c r="BN79" i="129"/>
  <c r="BO79" i="129" s="1"/>
  <c r="AK79" i="129"/>
  <c r="AL79" i="129" s="1"/>
  <c r="BD79" i="129"/>
  <c r="BE79" i="129" s="1"/>
  <c r="AN79" i="129"/>
  <c r="AO79" i="129" s="1"/>
  <c r="P79" i="129"/>
  <c r="V79" i="129"/>
  <c r="W79" i="129" s="1"/>
  <c r="Y79" i="129"/>
  <c r="Z79" i="129" s="1"/>
  <c r="BJ78" i="112"/>
  <c r="BL78" i="112" s="1"/>
  <c r="AQ78" i="112"/>
  <c r="AR78" i="112" s="1"/>
  <c r="AN78" i="112"/>
  <c r="AO78" i="112" s="1"/>
  <c r="P78" i="112"/>
  <c r="K79" i="112"/>
  <c r="AH78" i="112"/>
  <c r="AI78" i="112" s="1"/>
  <c r="AT78" i="112"/>
  <c r="AK78" i="112"/>
  <c r="AL78" i="112" s="1"/>
  <c r="BN78" i="112"/>
  <c r="BO78" i="112" s="1"/>
  <c r="R78" i="112"/>
  <c r="T78" i="112" s="1"/>
  <c r="BA78" i="112"/>
  <c r="BB78" i="112" s="1"/>
  <c r="BQ78" i="112"/>
  <c r="BR78" i="112" s="1"/>
  <c r="O78" i="112"/>
  <c r="V78" i="112"/>
  <c r="W78" i="112" s="1"/>
  <c r="AY78" i="112"/>
  <c r="BK78" i="112"/>
  <c r="BG78" i="112"/>
  <c r="BH78" i="112" s="1"/>
  <c r="Y78" i="112"/>
  <c r="Z78" i="112" s="1"/>
  <c r="AE78" i="112"/>
  <c r="AF78" i="112" s="1"/>
  <c r="M78" i="112"/>
  <c r="AB78" i="112"/>
  <c r="AC78" i="112" s="1"/>
  <c r="BD78" i="112"/>
  <c r="BE78" i="112" s="1"/>
  <c r="AV78" i="112"/>
  <c r="AW78" i="112" s="1"/>
  <c r="AQ83" i="156"/>
  <c r="AR83" i="156" s="1"/>
  <c r="V83" i="156"/>
  <c r="W83" i="156" s="1"/>
  <c r="P83" i="156"/>
  <c r="BD83" i="156"/>
  <c r="BE83" i="156" s="1"/>
  <c r="AB83" i="156"/>
  <c r="AC83" i="156" s="1"/>
  <c r="BN83" i="156"/>
  <c r="BO83" i="156" s="1"/>
  <c r="R83" i="156"/>
  <c r="T83" i="156" s="1"/>
  <c r="M83" i="156"/>
  <c r="AH83" i="156"/>
  <c r="AI83" i="156" s="1"/>
  <c r="AV83" i="156"/>
  <c r="AW83" i="156" s="1"/>
  <c r="Y83" i="156"/>
  <c r="Z83" i="156" s="1"/>
  <c r="AN83" i="156"/>
  <c r="AO83" i="156" s="1"/>
  <c r="BL83" i="156"/>
  <c r="AE83" i="156"/>
  <c r="AF83" i="156" s="1"/>
  <c r="BQ83" i="156"/>
  <c r="BR83" i="156" s="1"/>
  <c r="BA83" i="156"/>
  <c r="BB83" i="156" s="1"/>
  <c r="AK83" i="156"/>
  <c r="AL83" i="156" s="1"/>
  <c r="O83" i="156"/>
  <c r="BG83" i="156"/>
  <c r="BH83" i="156" s="1"/>
  <c r="BJ78" i="104"/>
  <c r="BL78" i="104" s="1"/>
  <c r="AH78" i="104"/>
  <c r="AI78" i="104" s="1"/>
  <c r="AN78" i="104"/>
  <c r="AO78" i="104" s="1"/>
  <c r="V78" i="104"/>
  <c r="W78" i="104" s="1"/>
  <c r="AB78" i="104"/>
  <c r="AC78" i="104" s="1"/>
  <c r="AK78" i="104"/>
  <c r="AL78" i="104" s="1"/>
  <c r="P78" i="104"/>
  <c r="Y78" i="104"/>
  <c r="Z78" i="104" s="1"/>
  <c r="BD78" i="104"/>
  <c r="BE78" i="104" s="1"/>
  <c r="BQ78" i="104"/>
  <c r="BR78" i="104" s="1"/>
  <c r="AT78" i="104"/>
  <c r="K79" i="104"/>
  <c r="M78" i="104"/>
  <c r="BG78" i="104"/>
  <c r="BH78" i="104" s="1"/>
  <c r="BK78" i="104"/>
  <c r="AE78" i="104"/>
  <c r="AF78" i="104" s="1"/>
  <c r="AQ78" i="104"/>
  <c r="AR78" i="104" s="1"/>
  <c r="BA78" i="104"/>
  <c r="BB78" i="104" s="1"/>
  <c r="BN78" i="104"/>
  <c r="BO78" i="104" s="1"/>
  <c r="AY78" i="104"/>
  <c r="O78" i="104"/>
  <c r="R78" i="104"/>
  <c r="T78" i="104" s="1"/>
  <c r="AV78" i="104"/>
  <c r="AW78" i="104" s="1"/>
  <c r="AQ81" i="133"/>
  <c r="AR81" i="133" s="1"/>
  <c r="M81" i="133"/>
  <c r="AH81" i="133"/>
  <c r="AI81" i="133" s="1"/>
  <c r="AY81" i="133"/>
  <c r="AT81" i="133"/>
  <c r="BL81" i="133"/>
  <c r="AN81" i="133"/>
  <c r="AO81" i="133" s="1"/>
  <c r="Y81" i="133"/>
  <c r="Z81" i="133" s="1"/>
  <c r="AK81" i="133"/>
  <c r="AL81" i="133" s="1"/>
  <c r="V81" i="133"/>
  <c r="W81" i="133" s="1"/>
  <c r="K82" i="133"/>
  <c r="O81" i="133"/>
  <c r="BN81" i="133"/>
  <c r="BO81" i="133" s="1"/>
  <c r="BD81" i="133"/>
  <c r="BE81" i="133" s="1"/>
  <c r="AE81" i="133"/>
  <c r="AF81" i="133" s="1"/>
  <c r="BG81" i="133"/>
  <c r="BH81" i="133" s="1"/>
  <c r="BA81" i="133"/>
  <c r="BB81" i="133" s="1"/>
  <c r="AB81" i="133"/>
  <c r="AC81" i="133" s="1"/>
  <c r="BQ81" i="133"/>
  <c r="BR81" i="133" s="1"/>
  <c r="R81" i="133"/>
  <c r="T81" i="133" s="1"/>
  <c r="AV81" i="133"/>
  <c r="AW81" i="133" s="1"/>
  <c r="P81" i="133"/>
  <c r="AQ78" i="106"/>
  <c r="AR78" i="106" s="1"/>
  <c r="AN78" i="106"/>
  <c r="AO78" i="106" s="1"/>
  <c r="AB78" i="106"/>
  <c r="AC78" i="106" s="1"/>
  <c r="BJ78" i="106"/>
  <c r="BL78" i="106" s="1"/>
  <c r="BA78" i="106"/>
  <c r="BB78" i="106" s="1"/>
  <c r="O78" i="106"/>
  <c r="AT78" i="106"/>
  <c r="BN78" i="106"/>
  <c r="BO78" i="106" s="1"/>
  <c r="AH78" i="106"/>
  <c r="AI78" i="106" s="1"/>
  <c r="AY78" i="106"/>
  <c r="BG78" i="106"/>
  <c r="BH78" i="106" s="1"/>
  <c r="BK78" i="106"/>
  <c r="P78" i="106"/>
  <c r="Y78" i="106"/>
  <c r="Z78" i="106" s="1"/>
  <c r="R78" i="106"/>
  <c r="T78" i="106" s="1"/>
  <c r="BD78" i="106"/>
  <c r="BE78" i="106" s="1"/>
  <c r="AV78" i="106"/>
  <c r="AW78" i="106" s="1"/>
  <c r="V78" i="106"/>
  <c r="W78" i="106" s="1"/>
  <c r="M78" i="106"/>
  <c r="BQ78" i="106"/>
  <c r="BR78" i="106" s="1"/>
  <c r="AE78" i="106"/>
  <c r="AF78" i="106" s="1"/>
  <c r="AK78" i="106"/>
  <c r="AL78" i="106" s="1"/>
  <c r="K79" i="106"/>
  <c r="M77" i="95"/>
  <c r="Y77" i="95"/>
  <c r="Z77" i="95" s="1"/>
  <c r="AB77" i="95"/>
  <c r="AC77" i="95" s="1"/>
  <c r="AN77" i="95"/>
  <c r="AO77" i="95" s="1"/>
  <c r="V77" i="95"/>
  <c r="W77" i="95" s="1"/>
  <c r="BN77" i="95"/>
  <c r="BO77" i="95" s="1"/>
  <c r="AH77" i="95"/>
  <c r="AI77" i="95" s="1"/>
  <c r="P77" i="95"/>
  <c r="BD77" i="95"/>
  <c r="BE77" i="95" s="1"/>
  <c r="BQ77" i="95"/>
  <c r="BR77" i="95" s="1"/>
  <c r="BG77" i="95"/>
  <c r="BH77" i="95" s="1"/>
  <c r="BL77" i="95"/>
  <c r="AV77" i="95"/>
  <c r="AW77" i="95" s="1"/>
  <c r="AK77" i="95"/>
  <c r="AL77" i="95" s="1"/>
  <c r="K78" i="95"/>
  <c r="O77" i="95"/>
  <c r="AT77" i="95"/>
  <c r="BA77" i="95"/>
  <c r="BB77" i="95" s="1"/>
  <c r="R77" i="95"/>
  <c r="T77" i="95" s="1"/>
  <c r="AQ77" i="95"/>
  <c r="AR77" i="95" s="1"/>
  <c r="AE77" i="95"/>
  <c r="AF77" i="95" s="1"/>
  <c r="K84" i="156"/>
  <c r="AY84" i="156" s="1"/>
  <c r="I85" i="156"/>
  <c r="I85" i="106"/>
  <c r="M79" i="130"/>
  <c r="BN79" i="130"/>
  <c r="BO79" i="130" s="1"/>
  <c r="K80" i="130"/>
  <c r="BL79" i="130"/>
  <c r="R79" i="130"/>
  <c r="T79" i="130" s="1"/>
  <c r="AH79" i="130"/>
  <c r="AI79" i="130" s="1"/>
  <c r="AT79" i="130"/>
  <c r="AN79" i="130"/>
  <c r="AO79" i="130" s="1"/>
  <c r="Y79" i="130"/>
  <c r="Z79" i="130" s="1"/>
  <c r="BA79" i="130"/>
  <c r="BB79" i="130" s="1"/>
  <c r="AE79" i="130"/>
  <c r="AF79" i="130" s="1"/>
  <c r="AQ79" i="130"/>
  <c r="AR79" i="130" s="1"/>
  <c r="BD79" i="130"/>
  <c r="BE79" i="130" s="1"/>
  <c r="BQ79" i="130"/>
  <c r="BR79" i="130" s="1"/>
  <c r="V79" i="130"/>
  <c r="W79" i="130" s="1"/>
  <c r="P79" i="130"/>
  <c r="O79" i="130"/>
  <c r="AY79" i="130"/>
  <c r="AK79" i="130"/>
  <c r="AL79" i="130" s="1"/>
  <c r="BG79" i="130"/>
  <c r="BH79" i="130" s="1"/>
  <c r="AV79" i="130"/>
  <c r="AW79" i="130" s="1"/>
  <c r="AB79" i="130"/>
  <c r="AC79" i="130" s="1"/>
  <c r="O84" i="155"/>
  <c r="V84" i="155"/>
  <c r="W84" i="155" s="1"/>
  <c r="AB84" i="155"/>
  <c r="AC84" i="155" s="1"/>
  <c r="AH84" i="155"/>
  <c r="AI84" i="155" s="1"/>
  <c r="AN84" i="155"/>
  <c r="AO84" i="155" s="1"/>
  <c r="BA84" i="155"/>
  <c r="BB84" i="155" s="1"/>
  <c r="BG84" i="155"/>
  <c r="BH84" i="155" s="1"/>
  <c r="P84" i="155"/>
  <c r="AV84" i="155"/>
  <c r="AW84" i="155" s="1"/>
  <c r="BN84" i="155"/>
  <c r="BO84" i="155" s="1"/>
  <c r="R84" i="155"/>
  <c r="T84" i="155" s="1"/>
  <c r="Y84" i="155"/>
  <c r="Z84" i="155" s="1"/>
  <c r="AE84" i="155"/>
  <c r="AF84" i="155" s="1"/>
  <c r="AK84" i="155"/>
  <c r="AL84" i="155" s="1"/>
  <c r="AQ84" i="155"/>
  <c r="AR84" i="155" s="1"/>
  <c r="BD84" i="155"/>
  <c r="BE84" i="155" s="1"/>
  <c r="M84" i="155"/>
  <c r="BQ84" i="155"/>
  <c r="BR84" i="155" s="1"/>
  <c r="BL84" i="155"/>
  <c r="I86" i="155"/>
  <c r="K85" i="155"/>
  <c r="I89" i="153"/>
  <c r="M84" i="153"/>
  <c r="BQ84" i="153"/>
  <c r="BR84" i="153" s="1"/>
  <c r="O84" i="153"/>
  <c r="V84" i="153"/>
  <c r="W84" i="153" s="1"/>
  <c r="AB84" i="153"/>
  <c r="AC84" i="153" s="1"/>
  <c r="AH84" i="153"/>
  <c r="AI84" i="153" s="1"/>
  <c r="AN84" i="153"/>
  <c r="AO84" i="153" s="1"/>
  <c r="BA84" i="153"/>
  <c r="BB84" i="153" s="1"/>
  <c r="BG84" i="153"/>
  <c r="BH84" i="153" s="1"/>
  <c r="P84" i="153"/>
  <c r="AV84" i="153"/>
  <c r="AW84" i="153" s="1"/>
  <c r="BN84" i="153"/>
  <c r="BO84" i="153" s="1"/>
  <c r="AE84" i="153"/>
  <c r="AF84" i="153" s="1"/>
  <c r="BD84" i="153"/>
  <c r="BE84" i="153" s="1"/>
  <c r="AK84" i="153"/>
  <c r="AL84" i="153" s="1"/>
  <c r="R84" i="153"/>
  <c r="T84" i="153" s="1"/>
  <c r="AQ84" i="153"/>
  <c r="AR84" i="153" s="1"/>
  <c r="Y84" i="153"/>
  <c r="Z84" i="153" s="1"/>
  <c r="BL84" i="153"/>
  <c r="K85" i="153"/>
  <c r="I93" i="152"/>
  <c r="P84" i="152"/>
  <c r="AV84" i="152"/>
  <c r="AW84" i="152" s="1"/>
  <c r="BN84" i="152"/>
  <c r="BO84" i="152" s="1"/>
  <c r="R84" i="152"/>
  <c r="T84" i="152" s="1"/>
  <c r="Y84" i="152"/>
  <c r="Z84" i="152" s="1"/>
  <c r="AE84" i="152"/>
  <c r="AF84" i="152" s="1"/>
  <c r="AK84" i="152"/>
  <c r="AL84" i="152" s="1"/>
  <c r="AQ84" i="152"/>
  <c r="AR84" i="152" s="1"/>
  <c r="BD84" i="152"/>
  <c r="BE84" i="152" s="1"/>
  <c r="BL84" i="152"/>
  <c r="V84" i="152"/>
  <c r="W84" i="152" s="1"/>
  <c r="AH84" i="152"/>
  <c r="AI84" i="152" s="1"/>
  <c r="BG84" i="152"/>
  <c r="BH84" i="152" s="1"/>
  <c r="BQ84" i="152"/>
  <c r="BR84" i="152" s="1"/>
  <c r="M84" i="152"/>
  <c r="O84" i="152"/>
  <c r="AB84" i="152"/>
  <c r="AC84" i="152" s="1"/>
  <c r="AN84" i="152"/>
  <c r="AO84" i="152" s="1"/>
  <c r="BA84" i="152"/>
  <c r="BB84" i="152" s="1"/>
  <c r="K85" i="152"/>
  <c r="BG82" i="151"/>
  <c r="BH82" i="151" s="1"/>
  <c r="BA82" i="151"/>
  <c r="BB82" i="151" s="1"/>
  <c r="AT82" i="151"/>
  <c r="AN82" i="151"/>
  <c r="AO82" i="151" s="1"/>
  <c r="AH82" i="151"/>
  <c r="AI82" i="151" s="1"/>
  <c r="AB82" i="151"/>
  <c r="AC82" i="151" s="1"/>
  <c r="AY82" i="151"/>
  <c r="AQ82" i="151"/>
  <c r="AR82" i="151" s="1"/>
  <c r="Y82" i="151"/>
  <c r="Z82" i="151" s="1"/>
  <c r="R82" i="151"/>
  <c r="T82" i="151" s="1"/>
  <c r="BQ82" i="151"/>
  <c r="BR82" i="151" s="1"/>
  <c r="AK82" i="151"/>
  <c r="AL82" i="151" s="1"/>
  <c r="V82" i="151"/>
  <c r="W82" i="151" s="1"/>
  <c r="O82" i="151"/>
  <c r="BD82" i="151"/>
  <c r="BE82" i="151" s="1"/>
  <c r="AE82" i="151"/>
  <c r="AF82" i="151" s="1"/>
  <c r="P82" i="151"/>
  <c r="AV82" i="151"/>
  <c r="AW82" i="151" s="1"/>
  <c r="M82" i="151"/>
  <c r="BN82" i="151"/>
  <c r="BO82" i="151" s="1"/>
  <c r="BL82" i="151"/>
  <c r="I84" i="151"/>
  <c r="K83" i="151"/>
  <c r="BG81" i="150"/>
  <c r="BH81" i="150" s="1"/>
  <c r="BA81" i="150"/>
  <c r="BB81" i="150" s="1"/>
  <c r="AT81" i="150"/>
  <c r="AN81" i="150"/>
  <c r="AO81" i="150" s="1"/>
  <c r="AH81" i="150"/>
  <c r="AI81" i="150" s="1"/>
  <c r="AB81" i="150"/>
  <c r="AC81" i="150" s="1"/>
  <c r="V81" i="150"/>
  <c r="W81" i="150" s="1"/>
  <c r="O81" i="150"/>
  <c r="BQ81" i="150"/>
  <c r="BR81" i="150" s="1"/>
  <c r="AY81" i="150"/>
  <c r="BD81" i="150"/>
  <c r="BE81" i="150" s="1"/>
  <c r="AQ81" i="150"/>
  <c r="AR81" i="150" s="1"/>
  <c r="AK81" i="150"/>
  <c r="AL81" i="150" s="1"/>
  <c r="AE81" i="150"/>
  <c r="AF81" i="150" s="1"/>
  <c r="Y81" i="150"/>
  <c r="Z81" i="150" s="1"/>
  <c r="R81" i="150"/>
  <c r="T81" i="150" s="1"/>
  <c r="AV81" i="150"/>
  <c r="AW81" i="150" s="1"/>
  <c r="P81" i="150"/>
  <c r="BN81" i="150"/>
  <c r="BO81" i="150" s="1"/>
  <c r="M81" i="150"/>
  <c r="BL81" i="150"/>
  <c r="K82" i="150"/>
  <c r="I85" i="150"/>
  <c r="I85" i="149"/>
  <c r="K84" i="149"/>
  <c r="AT84" i="149" s="1"/>
  <c r="BQ83" i="149"/>
  <c r="BR83" i="149" s="1"/>
  <c r="AY83" i="149"/>
  <c r="BD83" i="149"/>
  <c r="BE83" i="149" s="1"/>
  <c r="AQ83" i="149"/>
  <c r="AR83" i="149" s="1"/>
  <c r="AK83" i="149"/>
  <c r="AL83" i="149" s="1"/>
  <c r="AE83" i="149"/>
  <c r="AF83" i="149" s="1"/>
  <c r="Y83" i="149"/>
  <c r="Z83" i="149" s="1"/>
  <c r="R83" i="149"/>
  <c r="T83" i="149" s="1"/>
  <c r="AV83" i="149"/>
  <c r="AW83" i="149" s="1"/>
  <c r="P83" i="149"/>
  <c r="V83" i="149"/>
  <c r="W83" i="149" s="1"/>
  <c r="AN83" i="149"/>
  <c r="AO83" i="149" s="1"/>
  <c r="O83" i="149"/>
  <c r="BG83" i="149"/>
  <c r="BH83" i="149" s="1"/>
  <c r="AH83" i="149"/>
  <c r="AI83" i="149" s="1"/>
  <c r="BA83" i="149"/>
  <c r="BB83" i="149" s="1"/>
  <c r="AB83" i="149"/>
  <c r="AC83" i="149" s="1"/>
  <c r="BN83" i="149"/>
  <c r="BO83" i="149" s="1"/>
  <c r="M83" i="149"/>
  <c r="BL83" i="149"/>
  <c r="K83" i="147"/>
  <c r="I84" i="147"/>
  <c r="AV82" i="147"/>
  <c r="AW82" i="147" s="1"/>
  <c r="P82" i="147"/>
  <c r="BG82" i="147"/>
  <c r="BH82" i="147" s="1"/>
  <c r="BA82" i="147"/>
  <c r="BB82" i="147" s="1"/>
  <c r="AT82" i="147"/>
  <c r="AN82" i="147"/>
  <c r="AO82" i="147" s="1"/>
  <c r="AH82" i="147"/>
  <c r="AI82" i="147" s="1"/>
  <c r="AB82" i="147"/>
  <c r="AC82" i="147" s="1"/>
  <c r="V82" i="147"/>
  <c r="W82" i="147" s="1"/>
  <c r="O82" i="147"/>
  <c r="BQ82" i="147"/>
  <c r="BR82" i="147" s="1"/>
  <c r="BD82" i="147"/>
  <c r="BE82" i="147" s="1"/>
  <c r="AQ82" i="147"/>
  <c r="AR82" i="147" s="1"/>
  <c r="AE82" i="147"/>
  <c r="AF82" i="147" s="1"/>
  <c r="R82" i="147"/>
  <c r="T82" i="147" s="1"/>
  <c r="AY82" i="147"/>
  <c r="AK82" i="147"/>
  <c r="AL82" i="147" s="1"/>
  <c r="Y82" i="147"/>
  <c r="Z82" i="147" s="1"/>
  <c r="BK82" i="147"/>
  <c r="M82" i="147"/>
  <c r="BN82" i="147"/>
  <c r="BO82" i="147" s="1"/>
  <c r="BJ82" i="147"/>
  <c r="BL82" i="147" s="1"/>
  <c r="K82" i="146"/>
  <c r="I83" i="146"/>
  <c r="BD81" i="146"/>
  <c r="BE81" i="146" s="1"/>
  <c r="AQ81" i="146"/>
  <c r="AR81" i="146" s="1"/>
  <c r="AK81" i="146"/>
  <c r="AL81" i="146" s="1"/>
  <c r="AE81" i="146"/>
  <c r="AF81" i="146" s="1"/>
  <c r="Y81" i="146"/>
  <c r="Z81" i="146" s="1"/>
  <c r="R81" i="146"/>
  <c r="T81" i="146" s="1"/>
  <c r="AV81" i="146"/>
  <c r="AW81" i="146" s="1"/>
  <c r="P81" i="146"/>
  <c r="BG81" i="146"/>
  <c r="BH81" i="146" s="1"/>
  <c r="BA81" i="146"/>
  <c r="BB81" i="146" s="1"/>
  <c r="AT81" i="146"/>
  <c r="AN81" i="146"/>
  <c r="AO81" i="146" s="1"/>
  <c r="AH81" i="146"/>
  <c r="AI81" i="146" s="1"/>
  <c r="AB81" i="146"/>
  <c r="AC81" i="146" s="1"/>
  <c r="V81" i="146"/>
  <c r="W81" i="146" s="1"/>
  <c r="O81" i="146"/>
  <c r="AY81" i="146"/>
  <c r="BQ81" i="146"/>
  <c r="BR81" i="146" s="1"/>
  <c r="BJ81" i="146"/>
  <c r="BL81" i="146" s="1"/>
  <c r="BN81" i="146"/>
  <c r="BO81" i="146" s="1"/>
  <c r="M81" i="146"/>
  <c r="BK81" i="146"/>
  <c r="K80" i="98"/>
  <c r="M79" i="98"/>
  <c r="BJ79" i="98"/>
  <c r="BL79" i="98" s="1"/>
  <c r="BN79" i="98"/>
  <c r="BO79" i="98" s="1"/>
  <c r="R79" i="98"/>
  <c r="T79" i="98" s="1"/>
  <c r="BK79" i="98"/>
  <c r="BG79" i="98"/>
  <c r="BH79" i="98" s="1"/>
  <c r="V79" i="98"/>
  <c r="W79" i="98" s="1"/>
  <c r="AY79" i="98"/>
  <c r="AQ79" i="98"/>
  <c r="AR79" i="98" s="1"/>
  <c r="AK79" i="98"/>
  <c r="AL79" i="98" s="1"/>
  <c r="AE79" i="98"/>
  <c r="AF79" i="98" s="1"/>
  <c r="P79" i="98"/>
  <c r="AT79" i="98"/>
  <c r="AN79" i="98"/>
  <c r="AO79" i="98" s="1"/>
  <c r="O79" i="98"/>
  <c r="AB79" i="98"/>
  <c r="AC79" i="98" s="1"/>
  <c r="BD79" i="98"/>
  <c r="BE79" i="98" s="1"/>
  <c r="BQ79" i="98"/>
  <c r="BR79" i="98" s="1"/>
  <c r="AH79" i="98"/>
  <c r="AI79" i="98" s="1"/>
  <c r="BA79" i="98"/>
  <c r="BB79" i="98" s="1"/>
  <c r="AV79" i="98"/>
  <c r="AW79" i="98" s="1"/>
  <c r="Y79" i="98"/>
  <c r="Z79" i="98" s="1"/>
  <c r="I85" i="64"/>
  <c r="I79" i="17"/>
  <c r="K78" i="17"/>
  <c r="BN79" i="63"/>
  <c r="BO79" i="63" s="1"/>
  <c r="M79" i="63"/>
  <c r="O79" i="63"/>
  <c r="Y79" i="63"/>
  <c r="Z79" i="63" s="1"/>
  <c r="P79" i="63"/>
  <c r="BL79" i="63"/>
  <c r="AB79" i="63"/>
  <c r="AC79" i="63" s="1"/>
  <c r="AV79" i="63"/>
  <c r="AW79" i="63" s="1"/>
  <c r="V79" i="63"/>
  <c r="W79" i="63" s="1"/>
  <c r="BA79" i="63"/>
  <c r="BB79" i="63" s="1"/>
  <c r="AH79" i="63"/>
  <c r="AI79" i="63" s="1"/>
  <c r="AY79" i="63"/>
  <c r="AN79" i="63"/>
  <c r="AO79" i="63" s="1"/>
  <c r="BD79" i="63"/>
  <c r="BE79" i="63" s="1"/>
  <c r="AK79" i="63"/>
  <c r="AL79" i="63" s="1"/>
  <c r="AQ79" i="63"/>
  <c r="AR79" i="63" s="1"/>
  <c r="BG79" i="63"/>
  <c r="BH79" i="63" s="1"/>
  <c r="BQ79" i="63"/>
  <c r="BR79" i="63" s="1"/>
  <c r="AE79" i="63"/>
  <c r="AF79" i="63" s="1"/>
  <c r="AT79" i="63"/>
  <c r="R79" i="63"/>
  <c r="T79" i="63" s="1"/>
  <c r="K80" i="63"/>
  <c r="I86" i="105"/>
  <c r="M78" i="118"/>
  <c r="K79" i="118"/>
  <c r="BN78" i="118"/>
  <c r="BO78" i="118" s="1"/>
  <c r="AQ78" i="118"/>
  <c r="AR78" i="118" s="1"/>
  <c r="AH78" i="118"/>
  <c r="AI78" i="118" s="1"/>
  <c r="AY78" i="118"/>
  <c r="Y78" i="118"/>
  <c r="Z78" i="118" s="1"/>
  <c r="AT78" i="118"/>
  <c r="AK78" i="118"/>
  <c r="AL78" i="118" s="1"/>
  <c r="AN78" i="118"/>
  <c r="AO78" i="118" s="1"/>
  <c r="P78" i="118"/>
  <c r="BD78" i="118"/>
  <c r="BE78" i="118" s="1"/>
  <c r="BG78" i="118"/>
  <c r="BH78" i="118" s="1"/>
  <c r="AV78" i="118"/>
  <c r="AW78" i="118" s="1"/>
  <c r="AE78" i="118"/>
  <c r="AF78" i="118" s="1"/>
  <c r="AB78" i="118"/>
  <c r="AC78" i="118" s="1"/>
  <c r="O78" i="118"/>
  <c r="V78" i="118"/>
  <c r="W78" i="118" s="1"/>
  <c r="R78" i="118"/>
  <c r="T78" i="118" s="1"/>
  <c r="BQ78" i="118"/>
  <c r="BR78" i="118" s="1"/>
  <c r="BA78" i="118"/>
  <c r="BB78" i="118" s="1"/>
  <c r="M79" i="115"/>
  <c r="BK79" i="115"/>
  <c r="BN79" i="115"/>
  <c r="BO79" i="115" s="1"/>
  <c r="BJ79" i="115"/>
  <c r="BL79" i="115" s="1"/>
  <c r="AY79" i="115"/>
  <c r="BG79" i="115"/>
  <c r="BH79" i="115" s="1"/>
  <c r="BQ79" i="115"/>
  <c r="BR79" i="115" s="1"/>
  <c r="O79" i="115"/>
  <c r="AN79" i="115"/>
  <c r="AO79" i="115" s="1"/>
  <c r="AB79" i="115"/>
  <c r="AC79" i="115" s="1"/>
  <c r="V79" i="115"/>
  <c r="W79" i="115" s="1"/>
  <c r="BD79" i="115"/>
  <c r="BE79" i="115" s="1"/>
  <c r="Y79" i="115"/>
  <c r="Z79" i="115" s="1"/>
  <c r="BA79" i="115"/>
  <c r="BB79" i="115" s="1"/>
  <c r="AQ79" i="115"/>
  <c r="AR79" i="115" s="1"/>
  <c r="P79" i="115"/>
  <c r="AH79" i="115"/>
  <c r="AI79" i="115" s="1"/>
  <c r="AV79" i="115"/>
  <c r="AW79" i="115" s="1"/>
  <c r="AE79" i="115"/>
  <c r="AF79" i="115" s="1"/>
  <c r="AT79" i="115"/>
  <c r="R79" i="115"/>
  <c r="T79" i="115" s="1"/>
  <c r="AK79" i="115"/>
  <c r="AL79" i="115" s="1"/>
  <c r="I81" i="110"/>
  <c r="K80" i="110"/>
  <c r="M78" i="101"/>
  <c r="AQ78" i="101"/>
  <c r="AR78" i="101" s="1"/>
  <c r="BQ78" i="101"/>
  <c r="BR78" i="101" s="1"/>
  <c r="AT78" i="101"/>
  <c r="AY78" i="101"/>
  <c r="BD78" i="101"/>
  <c r="BE78" i="101" s="1"/>
  <c r="AE78" i="101"/>
  <c r="AF78" i="101" s="1"/>
  <c r="BG78" i="101"/>
  <c r="BH78" i="101" s="1"/>
  <c r="AN78" i="101"/>
  <c r="AO78" i="101" s="1"/>
  <c r="AK78" i="101"/>
  <c r="AL78" i="101" s="1"/>
  <c r="AB78" i="101"/>
  <c r="AC78" i="101" s="1"/>
  <c r="R78" i="101"/>
  <c r="T78" i="101" s="1"/>
  <c r="O78" i="101"/>
  <c r="Y78" i="101"/>
  <c r="Z78" i="101" s="1"/>
  <c r="BA78" i="101"/>
  <c r="BB78" i="101" s="1"/>
  <c r="P78" i="101"/>
  <c r="V78" i="101"/>
  <c r="W78" i="101" s="1"/>
  <c r="AV78" i="101"/>
  <c r="AW78" i="101" s="1"/>
  <c r="AH78" i="101"/>
  <c r="AI78" i="101" s="1"/>
  <c r="BL78" i="15"/>
  <c r="BN78" i="15"/>
  <c r="BO78" i="15" s="1"/>
  <c r="M78" i="15"/>
  <c r="P78" i="15"/>
  <c r="AY78" i="15"/>
  <c r="BG78" i="15"/>
  <c r="BH78" i="15" s="1"/>
  <c r="AN78" i="15"/>
  <c r="AO78" i="15" s="1"/>
  <c r="Y78" i="15"/>
  <c r="Z78" i="15" s="1"/>
  <c r="AE78" i="15"/>
  <c r="AF78" i="15" s="1"/>
  <c r="O78" i="15"/>
  <c r="BA78" i="15"/>
  <c r="BB78" i="15" s="1"/>
  <c r="AT78" i="15"/>
  <c r="V78" i="15"/>
  <c r="W78" i="15" s="1"/>
  <c r="BD78" i="15"/>
  <c r="BE78" i="15" s="1"/>
  <c r="AB78" i="15"/>
  <c r="AC78" i="15" s="1"/>
  <c r="BQ78" i="15"/>
  <c r="BR78" i="15" s="1"/>
  <c r="AK78" i="15"/>
  <c r="AL78" i="15" s="1"/>
  <c r="AQ78" i="15"/>
  <c r="AR78" i="15" s="1"/>
  <c r="AV78" i="15"/>
  <c r="AW78" i="15" s="1"/>
  <c r="AH78" i="15"/>
  <c r="AI78" i="15" s="1"/>
  <c r="R78" i="15"/>
  <c r="T78" i="15" s="1"/>
  <c r="K79" i="15"/>
  <c r="I84" i="126"/>
  <c r="M80" i="135"/>
  <c r="AT80" i="135"/>
  <c r="BQ80" i="135"/>
  <c r="BR80" i="135" s="1"/>
  <c r="BG80" i="135"/>
  <c r="BH80" i="135" s="1"/>
  <c r="Y80" i="135"/>
  <c r="Z80" i="135" s="1"/>
  <c r="AE80" i="135"/>
  <c r="AF80" i="135" s="1"/>
  <c r="V80" i="135"/>
  <c r="W80" i="135" s="1"/>
  <c r="AV80" i="135"/>
  <c r="AW80" i="135" s="1"/>
  <c r="AK80" i="135"/>
  <c r="AL80" i="135" s="1"/>
  <c r="AN80" i="135"/>
  <c r="AO80" i="135" s="1"/>
  <c r="AY80" i="135"/>
  <c r="AH80" i="135"/>
  <c r="AI80" i="135" s="1"/>
  <c r="P80" i="135"/>
  <c r="O80" i="135"/>
  <c r="BD80" i="135"/>
  <c r="BE80" i="135" s="1"/>
  <c r="BA80" i="135"/>
  <c r="BB80" i="135" s="1"/>
  <c r="R80" i="135"/>
  <c r="T80" i="135" s="1"/>
  <c r="AQ80" i="135"/>
  <c r="AR80" i="135" s="1"/>
  <c r="AB80" i="135"/>
  <c r="AC80" i="135" s="1"/>
  <c r="BN80" i="135"/>
  <c r="BO80" i="135" s="1"/>
  <c r="BL80" i="135"/>
  <c r="M79" i="114"/>
  <c r="BK79" i="114"/>
  <c r="BN79" i="114"/>
  <c r="BO79" i="114" s="1"/>
  <c r="BJ79" i="114"/>
  <c r="BL79" i="114" s="1"/>
  <c r="BA79" i="114"/>
  <c r="BB79" i="114" s="1"/>
  <c r="AB79" i="114"/>
  <c r="AC79" i="114" s="1"/>
  <c r="BQ79" i="114"/>
  <c r="BR79" i="114" s="1"/>
  <c r="AT79" i="114"/>
  <c r="AK79" i="114"/>
  <c r="AL79" i="114" s="1"/>
  <c r="AQ79" i="114"/>
  <c r="AR79" i="114" s="1"/>
  <c r="AV79" i="114"/>
  <c r="AW79" i="114" s="1"/>
  <c r="AH79" i="114"/>
  <c r="AI79" i="114" s="1"/>
  <c r="BG79" i="114"/>
  <c r="BH79" i="114" s="1"/>
  <c r="R79" i="114"/>
  <c r="T79" i="114" s="1"/>
  <c r="P79" i="114"/>
  <c r="AE79" i="114"/>
  <c r="AF79" i="114" s="1"/>
  <c r="O79" i="114"/>
  <c r="Y79" i="114"/>
  <c r="Z79" i="114" s="1"/>
  <c r="AN79" i="114"/>
  <c r="AO79" i="114" s="1"/>
  <c r="BD79" i="114"/>
  <c r="BE79" i="114" s="1"/>
  <c r="AY79" i="114"/>
  <c r="V79" i="114"/>
  <c r="W79" i="114" s="1"/>
  <c r="K80" i="114"/>
  <c r="I94" i="133"/>
  <c r="BK83" i="124"/>
  <c r="M83" i="124"/>
  <c r="BN83" i="124"/>
  <c r="BO83" i="124" s="1"/>
  <c r="BJ83" i="124"/>
  <c r="BL83" i="124" s="1"/>
  <c r="K84" i="124"/>
  <c r="BD83" i="124"/>
  <c r="BE83" i="124" s="1"/>
  <c r="AK83" i="124"/>
  <c r="AL83" i="124" s="1"/>
  <c r="AH83" i="124"/>
  <c r="AI83" i="124" s="1"/>
  <c r="AN83" i="124"/>
  <c r="AO83" i="124" s="1"/>
  <c r="AY83" i="124"/>
  <c r="V83" i="124"/>
  <c r="W83" i="124" s="1"/>
  <c r="AE83" i="124"/>
  <c r="AF83" i="124" s="1"/>
  <c r="O83" i="124"/>
  <c r="P83" i="124"/>
  <c r="BQ83" i="124"/>
  <c r="BR83" i="124" s="1"/>
  <c r="BG83" i="124"/>
  <c r="BH83" i="124" s="1"/>
  <c r="BA83" i="124"/>
  <c r="BB83" i="124" s="1"/>
  <c r="R83" i="124"/>
  <c r="T83" i="124" s="1"/>
  <c r="AB83" i="124"/>
  <c r="AC83" i="124" s="1"/>
  <c r="AT83" i="124"/>
  <c r="Y83" i="124"/>
  <c r="Z83" i="124" s="1"/>
  <c r="AQ83" i="124"/>
  <c r="AR83" i="124" s="1"/>
  <c r="AV83" i="124"/>
  <c r="AW83" i="124" s="1"/>
  <c r="I81" i="115"/>
  <c r="K80" i="115"/>
  <c r="I88" i="95"/>
  <c r="I80" i="101"/>
  <c r="K79" i="101"/>
  <c r="M79" i="126"/>
  <c r="BN79" i="126"/>
  <c r="BO79" i="126" s="1"/>
  <c r="BJ79" i="126"/>
  <c r="BL79" i="126" s="1"/>
  <c r="BK79" i="126"/>
  <c r="AK79" i="126"/>
  <c r="AL79" i="126" s="1"/>
  <c r="AH79" i="126"/>
  <c r="AI79" i="126" s="1"/>
  <c r="Y79" i="126"/>
  <c r="Z79" i="126" s="1"/>
  <c r="R79" i="126"/>
  <c r="T79" i="126" s="1"/>
  <c r="BD79" i="126"/>
  <c r="BE79" i="126" s="1"/>
  <c r="BG79" i="126"/>
  <c r="BH79" i="126" s="1"/>
  <c r="P79" i="126"/>
  <c r="AT79" i="126"/>
  <c r="AE79" i="126"/>
  <c r="AF79" i="126" s="1"/>
  <c r="AN79" i="126"/>
  <c r="AO79" i="126" s="1"/>
  <c r="AV79" i="126"/>
  <c r="AW79" i="126" s="1"/>
  <c r="AY79" i="126"/>
  <c r="V79" i="126"/>
  <c r="W79" i="126" s="1"/>
  <c r="BA79" i="126"/>
  <c r="BB79" i="126" s="1"/>
  <c r="AQ79" i="126"/>
  <c r="AR79" i="126" s="1"/>
  <c r="AB79" i="126"/>
  <c r="AC79" i="126" s="1"/>
  <c r="O79" i="126"/>
  <c r="BQ79" i="126"/>
  <c r="BR79" i="126" s="1"/>
  <c r="K80" i="126"/>
  <c r="I82" i="135"/>
  <c r="K81" i="135"/>
  <c r="BJ81" i="105"/>
  <c r="BL81" i="105" s="1"/>
  <c r="BK81" i="105"/>
  <c r="M81" i="105"/>
  <c r="BN81" i="105"/>
  <c r="BO81" i="105" s="1"/>
  <c r="P81" i="105"/>
  <c r="AE81" i="105"/>
  <c r="AF81" i="105" s="1"/>
  <c r="AH81" i="105"/>
  <c r="AI81" i="105" s="1"/>
  <c r="AV81" i="105"/>
  <c r="AW81" i="105" s="1"/>
  <c r="BD81" i="105"/>
  <c r="BE81" i="105" s="1"/>
  <c r="R81" i="105"/>
  <c r="T81" i="105" s="1"/>
  <c r="Y81" i="105"/>
  <c r="Z81" i="105" s="1"/>
  <c r="O81" i="105"/>
  <c r="BA81" i="105"/>
  <c r="BB81" i="105" s="1"/>
  <c r="AB81" i="105"/>
  <c r="AC81" i="105" s="1"/>
  <c r="AK81" i="105"/>
  <c r="AL81" i="105" s="1"/>
  <c r="AQ81" i="105"/>
  <c r="AR81" i="105" s="1"/>
  <c r="AY81" i="105"/>
  <c r="AN81" i="105"/>
  <c r="AO81" i="105" s="1"/>
  <c r="V81" i="105"/>
  <c r="W81" i="105" s="1"/>
  <c r="AT81" i="105"/>
  <c r="BQ81" i="105"/>
  <c r="BR81" i="105" s="1"/>
  <c r="BG81" i="105"/>
  <c r="BH81" i="105" s="1"/>
  <c r="K82" i="105"/>
  <c r="I85" i="136"/>
  <c r="I79" i="66"/>
  <c r="K78" i="66"/>
  <c r="M81" i="136"/>
  <c r="BN81" i="136"/>
  <c r="BO81" i="136" s="1"/>
  <c r="BL81" i="136"/>
  <c r="Y81" i="136"/>
  <c r="Z81" i="136" s="1"/>
  <c r="BA81" i="136"/>
  <c r="BB81" i="136" s="1"/>
  <c r="AT81" i="136"/>
  <c r="AH81" i="136"/>
  <c r="AI81" i="136" s="1"/>
  <c r="BD81" i="136"/>
  <c r="BE81" i="136" s="1"/>
  <c r="R81" i="136"/>
  <c r="T81" i="136" s="1"/>
  <c r="AQ81" i="136"/>
  <c r="AR81" i="136" s="1"/>
  <c r="O81" i="136"/>
  <c r="AB81" i="136"/>
  <c r="AC81" i="136" s="1"/>
  <c r="AN81" i="136"/>
  <c r="AO81" i="136" s="1"/>
  <c r="V81" i="136"/>
  <c r="W81" i="136" s="1"/>
  <c r="AV81" i="136"/>
  <c r="AW81" i="136" s="1"/>
  <c r="P81" i="136"/>
  <c r="AY81" i="136"/>
  <c r="BG81" i="136"/>
  <c r="BH81" i="136" s="1"/>
  <c r="AK81" i="136"/>
  <c r="AL81" i="136" s="1"/>
  <c r="BQ81" i="136"/>
  <c r="BR81" i="136" s="1"/>
  <c r="AE81" i="136"/>
  <c r="AF81" i="136" s="1"/>
  <c r="K82" i="136"/>
  <c r="I84" i="63"/>
  <c r="I85" i="114"/>
  <c r="BA77" i="120"/>
  <c r="BB77" i="120" s="1"/>
  <c r="AV77" i="120"/>
  <c r="AW77" i="120" s="1"/>
  <c r="AE77" i="120"/>
  <c r="AF77" i="120" s="1"/>
  <c r="BD77" i="120"/>
  <c r="BE77" i="120" s="1"/>
  <c r="O77" i="120"/>
  <c r="AN77" i="120"/>
  <c r="AO77" i="120" s="1"/>
  <c r="AB77" i="120"/>
  <c r="AC77" i="120" s="1"/>
  <c r="Y77" i="120"/>
  <c r="Z77" i="120" s="1"/>
  <c r="AQ77" i="120"/>
  <c r="AR77" i="120" s="1"/>
  <c r="AY77" i="120"/>
  <c r="V77" i="120"/>
  <c r="W77" i="120" s="1"/>
  <c r="BG77" i="120"/>
  <c r="BH77" i="120" s="1"/>
  <c r="AT77" i="120"/>
  <c r="BQ77" i="120"/>
  <c r="BR77" i="120" s="1"/>
  <c r="M77" i="120"/>
  <c r="P77" i="120"/>
  <c r="AK77" i="120"/>
  <c r="AL77" i="120" s="1"/>
  <c r="R77" i="120"/>
  <c r="T77" i="120" s="1"/>
  <c r="K78" i="120"/>
  <c r="AH77" i="120"/>
  <c r="AI77" i="120" s="1"/>
  <c r="BN77" i="120"/>
  <c r="BO77" i="120" s="1"/>
  <c r="K80" i="96"/>
  <c r="I81" i="96"/>
  <c r="M80" i="64"/>
  <c r="AN80" i="64"/>
  <c r="AO80" i="64" s="1"/>
  <c r="AH80" i="64"/>
  <c r="AI80" i="64" s="1"/>
  <c r="R80" i="64"/>
  <c r="T80" i="64" s="1"/>
  <c r="AY80" i="64"/>
  <c r="Y80" i="64"/>
  <c r="Z80" i="64" s="1"/>
  <c r="AV80" i="64"/>
  <c r="AW80" i="64" s="1"/>
  <c r="AQ80" i="64"/>
  <c r="AR80" i="64" s="1"/>
  <c r="O80" i="64"/>
  <c r="AE80" i="64"/>
  <c r="AF80" i="64" s="1"/>
  <c r="AB80" i="64"/>
  <c r="AC80" i="64" s="1"/>
  <c r="AK80" i="64"/>
  <c r="AL80" i="64" s="1"/>
  <c r="BQ80" i="64"/>
  <c r="BR80" i="64" s="1"/>
  <c r="P80" i="64"/>
  <c r="BA80" i="64"/>
  <c r="BB80" i="64" s="1"/>
  <c r="V80" i="64"/>
  <c r="W80" i="64" s="1"/>
  <c r="BD80" i="64"/>
  <c r="BE80" i="64" s="1"/>
  <c r="BG80" i="64"/>
  <c r="BH80" i="64" s="1"/>
  <c r="AT80" i="64"/>
  <c r="BN80" i="64"/>
  <c r="BO80" i="64" s="1"/>
  <c r="BL80" i="64"/>
  <c r="K81" i="64"/>
  <c r="M77" i="13"/>
  <c r="BN77" i="13"/>
  <c r="BO77" i="13" s="1"/>
  <c r="BL77" i="13"/>
  <c r="AH77" i="13"/>
  <c r="AI77" i="13" s="1"/>
  <c r="AN77" i="13"/>
  <c r="AO77" i="13" s="1"/>
  <c r="O77" i="13"/>
  <c r="AT77" i="13"/>
  <c r="AB77" i="13"/>
  <c r="AC77" i="13" s="1"/>
  <c r="AQ77" i="13"/>
  <c r="AR77" i="13" s="1"/>
  <c r="AV77" i="13"/>
  <c r="AW77" i="13" s="1"/>
  <c r="V77" i="13"/>
  <c r="W77" i="13" s="1"/>
  <c r="BQ77" i="13"/>
  <c r="BR77" i="13" s="1"/>
  <c r="BD77" i="13"/>
  <c r="BE77" i="13" s="1"/>
  <c r="BA77" i="13"/>
  <c r="BB77" i="13" s="1"/>
  <c r="AE77" i="13"/>
  <c r="AF77" i="13" s="1"/>
  <c r="P77" i="13"/>
  <c r="R77" i="13"/>
  <c r="T77" i="13" s="1"/>
  <c r="AY77" i="13"/>
  <c r="BG77" i="13"/>
  <c r="BH77" i="13" s="1"/>
  <c r="Y77" i="13"/>
  <c r="Z77" i="13" s="1"/>
  <c r="AK77" i="13"/>
  <c r="AL77" i="13" s="1"/>
  <c r="O77" i="66"/>
  <c r="V77" i="66"/>
  <c r="W77" i="66" s="1"/>
  <c r="AQ77" i="66"/>
  <c r="AR77" i="66" s="1"/>
  <c r="AB77" i="66"/>
  <c r="AC77" i="66" s="1"/>
  <c r="R77" i="66"/>
  <c r="T77" i="66" s="1"/>
  <c r="Y77" i="66"/>
  <c r="Z77" i="66" s="1"/>
  <c r="BD77" i="66"/>
  <c r="BE77" i="66" s="1"/>
  <c r="BG77" i="66"/>
  <c r="BH77" i="66" s="1"/>
  <c r="AN77" i="66"/>
  <c r="AO77" i="66" s="1"/>
  <c r="BA77" i="66"/>
  <c r="BB77" i="66" s="1"/>
  <c r="AY77" i="66"/>
  <c r="AE77" i="66"/>
  <c r="AF77" i="66" s="1"/>
  <c r="M77" i="66"/>
  <c r="BQ77" i="66"/>
  <c r="BR77" i="66" s="1"/>
  <c r="P77" i="66"/>
  <c r="BN77" i="66"/>
  <c r="BO77" i="66" s="1"/>
  <c r="AV77" i="66"/>
  <c r="AW77" i="66" s="1"/>
  <c r="AH77" i="66"/>
  <c r="AI77" i="66" s="1"/>
  <c r="AK77" i="66"/>
  <c r="AL77" i="66" s="1"/>
  <c r="AT77" i="66"/>
  <c r="BL77" i="66"/>
  <c r="BN77" i="17"/>
  <c r="BO77" i="17" s="1"/>
  <c r="BL77" i="17"/>
  <c r="M77" i="17"/>
  <c r="Y77" i="17"/>
  <c r="Z77" i="17" s="1"/>
  <c r="BA77" i="17"/>
  <c r="BB77" i="17" s="1"/>
  <c r="AQ77" i="17"/>
  <c r="AR77" i="17" s="1"/>
  <c r="AE77" i="17"/>
  <c r="AF77" i="17" s="1"/>
  <c r="AH77" i="17"/>
  <c r="AI77" i="17" s="1"/>
  <c r="AT77" i="17"/>
  <c r="V77" i="17"/>
  <c r="W77" i="17" s="1"/>
  <c r="AY77" i="17"/>
  <c r="O77" i="17"/>
  <c r="AK77" i="17"/>
  <c r="AL77" i="17" s="1"/>
  <c r="BG77" i="17"/>
  <c r="BH77" i="17" s="1"/>
  <c r="BQ77" i="17"/>
  <c r="BR77" i="17" s="1"/>
  <c r="BD77" i="17"/>
  <c r="BE77" i="17" s="1"/>
  <c r="R77" i="17"/>
  <c r="T77" i="17" s="1"/>
  <c r="AV77" i="17"/>
  <c r="AW77" i="17" s="1"/>
  <c r="P77" i="17"/>
  <c r="AB77" i="17"/>
  <c r="AC77" i="17" s="1"/>
  <c r="AN77" i="17"/>
  <c r="AO77" i="17" s="1"/>
  <c r="I83" i="15"/>
  <c r="BK79" i="110"/>
  <c r="M79" i="110"/>
  <c r="BN79" i="110"/>
  <c r="BO79" i="110" s="1"/>
  <c r="BJ79" i="110"/>
  <c r="BL79" i="110" s="1"/>
  <c r="BD79" i="110"/>
  <c r="BE79" i="110" s="1"/>
  <c r="R79" i="110"/>
  <c r="T79" i="110" s="1"/>
  <c r="AN79" i="110"/>
  <c r="AO79" i="110" s="1"/>
  <c r="BA79" i="110"/>
  <c r="BB79" i="110" s="1"/>
  <c r="AB79" i="110"/>
  <c r="AC79" i="110" s="1"/>
  <c r="Y79" i="110"/>
  <c r="Z79" i="110" s="1"/>
  <c r="AK79" i="110"/>
  <c r="AL79" i="110" s="1"/>
  <c r="AT79" i="110"/>
  <c r="BG79" i="110"/>
  <c r="BH79" i="110" s="1"/>
  <c r="V79" i="110"/>
  <c r="W79" i="110" s="1"/>
  <c r="AY79" i="110"/>
  <c r="AE79" i="110"/>
  <c r="AF79" i="110" s="1"/>
  <c r="BQ79" i="110"/>
  <c r="BR79" i="110" s="1"/>
  <c r="AQ79" i="110"/>
  <c r="AR79" i="110" s="1"/>
  <c r="AV79" i="110"/>
  <c r="AW79" i="110" s="1"/>
  <c r="O79" i="110"/>
  <c r="AH79" i="110"/>
  <c r="AI79" i="110" s="1"/>
  <c r="P79" i="110"/>
  <c r="AE79" i="96"/>
  <c r="AF79" i="96" s="1"/>
  <c r="P79" i="96"/>
  <c r="BG79" i="96"/>
  <c r="BH79" i="96" s="1"/>
  <c r="BQ79" i="96"/>
  <c r="BR79" i="96" s="1"/>
  <c r="R79" i="96"/>
  <c r="T79" i="96" s="1"/>
  <c r="BN79" i="96"/>
  <c r="BO79" i="96" s="1"/>
  <c r="AQ79" i="96"/>
  <c r="AR79" i="96" s="1"/>
  <c r="M79" i="96"/>
  <c r="BD79" i="96"/>
  <c r="BE79" i="96" s="1"/>
  <c r="V79" i="96"/>
  <c r="W79" i="96" s="1"/>
  <c r="O79" i="96"/>
  <c r="AV79" i="96"/>
  <c r="AW79" i="96" s="1"/>
  <c r="AB79" i="96"/>
  <c r="AC79" i="96" s="1"/>
  <c r="AT79" i="96"/>
  <c r="Y79" i="96"/>
  <c r="Z79" i="96" s="1"/>
  <c r="AH79" i="96"/>
  <c r="AI79" i="96" s="1"/>
  <c r="BA79" i="96"/>
  <c r="BB79" i="96" s="1"/>
  <c r="AK79" i="96"/>
  <c r="AL79" i="96" s="1"/>
  <c r="AN79" i="96"/>
  <c r="AO79" i="96" s="1"/>
  <c r="BL79" i="96"/>
  <c r="I79" i="13"/>
  <c r="K78" i="13"/>
  <c r="I83" i="104"/>
  <c r="I86" i="132"/>
  <c r="AW117" i="161"/>
  <c r="AR117" i="161"/>
  <c r="BE117" i="161"/>
  <c r="BB117" i="161"/>
  <c r="BK117" i="161"/>
  <c r="BR117" i="161"/>
  <c r="BH117" i="161"/>
  <c r="BO117" i="161"/>
  <c r="BR116" i="161" l="1"/>
  <c r="BJ114" i="161"/>
  <c r="BL114" i="161" s="1"/>
  <c r="O114" i="161"/>
  <c r="Y114" i="161"/>
  <c r="Z114" i="161" s="1"/>
  <c r="Y83" i="107"/>
  <c r="Z83" i="107" s="1"/>
  <c r="V83" i="107"/>
  <c r="W83" i="107" s="1"/>
  <c r="AQ83" i="107"/>
  <c r="AR83" i="107" s="1"/>
  <c r="M83" i="107"/>
  <c r="P83" i="107"/>
  <c r="AY83" i="107"/>
  <c r="AV83" i="107"/>
  <c r="AW83" i="107" s="1"/>
  <c r="AK83" i="107"/>
  <c r="AL83" i="107" s="1"/>
  <c r="BG83" i="107"/>
  <c r="BH83" i="107" s="1"/>
  <c r="BK83" i="107"/>
  <c r="AT83" i="107"/>
  <c r="BQ83" i="107"/>
  <c r="BR83" i="107" s="1"/>
  <c r="R83" i="107"/>
  <c r="T83" i="107" s="1"/>
  <c r="BA83" i="107"/>
  <c r="BB83" i="107" s="1"/>
  <c r="BD83" i="107"/>
  <c r="BE83" i="107" s="1"/>
  <c r="BN83" i="107"/>
  <c r="BO83" i="107" s="1"/>
  <c r="O83" i="107"/>
  <c r="AE83" i="107"/>
  <c r="AF83" i="107" s="1"/>
  <c r="AB83" i="107"/>
  <c r="AC83" i="107" s="1"/>
  <c r="BJ83" i="107"/>
  <c r="BL83" i="107" s="1"/>
  <c r="AN83" i="107"/>
  <c r="AO83" i="107" s="1"/>
  <c r="AH83" i="107"/>
  <c r="AI83" i="107" s="1"/>
  <c r="AW116" i="161"/>
  <c r="AT81" i="99"/>
  <c r="BA81" i="99"/>
  <c r="BB81" i="99" s="1"/>
  <c r="Y81" i="99"/>
  <c r="Z81" i="99" s="1"/>
  <c r="M81" i="99"/>
  <c r="BJ81" i="99"/>
  <c r="BL81" i="99" s="1"/>
  <c r="R81" i="99"/>
  <c r="T81" i="99" s="1"/>
  <c r="AN81" i="99"/>
  <c r="AO81" i="99" s="1"/>
  <c r="AK81" i="99"/>
  <c r="AL81" i="99" s="1"/>
  <c r="BN81" i="99"/>
  <c r="BO81" i="99" s="1"/>
  <c r="O81" i="99"/>
  <c r="AB81" i="99"/>
  <c r="AC81" i="99" s="1"/>
  <c r="P81" i="99"/>
  <c r="AV81" i="99"/>
  <c r="AW81" i="99" s="1"/>
  <c r="BK81" i="99"/>
  <c r="AE81" i="99"/>
  <c r="AF81" i="99" s="1"/>
  <c r="AH81" i="99"/>
  <c r="AI81" i="99" s="1"/>
  <c r="V81" i="99"/>
  <c r="W81" i="99" s="1"/>
  <c r="BG81" i="99"/>
  <c r="BH81" i="99" s="1"/>
  <c r="BD81" i="99"/>
  <c r="BE81" i="99" s="1"/>
  <c r="AQ81" i="99"/>
  <c r="AR81" i="99" s="1"/>
  <c r="AY81" i="99"/>
  <c r="BQ81" i="99"/>
  <c r="BR81" i="99" s="1"/>
  <c r="K82" i="99"/>
  <c r="AH114" i="161"/>
  <c r="AI114" i="161" s="1"/>
  <c r="AB114" i="161"/>
  <c r="AC114" i="161" s="1"/>
  <c r="AE114" i="161"/>
  <c r="AF114" i="161" s="1"/>
  <c r="I85" i="107"/>
  <c r="K84" i="107"/>
  <c r="AT114" i="161"/>
  <c r="AN114" i="161"/>
  <c r="AO114" i="161" s="1"/>
  <c r="AK114" i="161"/>
  <c r="AL114" i="161" s="1"/>
  <c r="P81" i="132"/>
  <c r="O81" i="132"/>
  <c r="AY81" i="132"/>
  <c r="R81" i="132"/>
  <c r="T81" i="132" s="1"/>
  <c r="BA81" i="132"/>
  <c r="BB81" i="132" s="1"/>
  <c r="AQ81" i="132"/>
  <c r="AR81" i="132" s="1"/>
  <c r="AH81" i="132"/>
  <c r="AI81" i="132" s="1"/>
  <c r="Y81" i="132"/>
  <c r="Z81" i="132" s="1"/>
  <c r="BG81" i="132"/>
  <c r="BH81" i="132" s="1"/>
  <c r="AB81" i="132"/>
  <c r="AC81" i="132" s="1"/>
  <c r="AK81" i="132"/>
  <c r="AL81" i="132" s="1"/>
  <c r="K82" i="132"/>
  <c r="AT81" i="132"/>
  <c r="AN81" i="132"/>
  <c r="AO81" i="132" s="1"/>
  <c r="BQ81" i="132"/>
  <c r="BR81" i="132" s="1"/>
  <c r="BN81" i="132"/>
  <c r="BO81" i="132" s="1"/>
  <c r="BL81" i="132"/>
  <c r="BD81" i="132"/>
  <c r="BE81" i="132" s="1"/>
  <c r="AV81" i="132"/>
  <c r="AW81" i="132" s="1"/>
  <c r="AE81" i="132"/>
  <c r="AF81" i="132" s="1"/>
  <c r="V81" i="132"/>
  <c r="W81" i="132" s="1"/>
  <c r="M81" i="132"/>
  <c r="BL116" i="161"/>
  <c r="BN16" i="161" s="1"/>
  <c r="BO16" i="161" s="1"/>
  <c r="BE116" i="161"/>
  <c r="F112" i="161" s="1"/>
  <c r="F108" i="161" s="1"/>
  <c r="F97" i="161"/>
  <c r="F93" i="161" s="1"/>
  <c r="AO116" i="161"/>
  <c r="F90" i="161" s="1"/>
  <c r="F104" i="161"/>
  <c r="F100" i="161" s="1"/>
  <c r="F113" i="161"/>
  <c r="BN21" i="161"/>
  <c r="BO21" i="161" s="1"/>
  <c r="BN27" i="161"/>
  <c r="BO27" i="161" s="1"/>
  <c r="BN28" i="161"/>
  <c r="BO28" i="161" s="1"/>
  <c r="BN29" i="161"/>
  <c r="BO29" i="161" s="1"/>
  <c r="BN33" i="161"/>
  <c r="BO33" i="161" s="1"/>
  <c r="BN34" i="161"/>
  <c r="BO34" i="161" s="1"/>
  <c r="F79" i="161"/>
  <c r="AR116" i="161"/>
  <c r="F91" i="161" s="1"/>
  <c r="I86" i="106"/>
  <c r="BN79" i="104"/>
  <c r="BO79" i="104" s="1"/>
  <c r="AB79" i="104"/>
  <c r="AC79" i="104" s="1"/>
  <c r="AY79" i="104"/>
  <c r="BD79" i="104"/>
  <c r="BE79" i="104" s="1"/>
  <c r="BJ79" i="104"/>
  <c r="BL79" i="104" s="1"/>
  <c r="AE79" i="104"/>
  <c r="AF79" i="104" s="1"/>
  <c r="R79" i="104"/>
  <c r="T79" i="104" s="1"/>
  <c r="AV79" i="104"/>
  <c r="AW79" i="104" s="1"/>
  <c r="M79" i="104"/>
  <c r="AN79" i="104"/>
  <c r="AO79" i="104" s="1"/>
  <c r="BA79" i="104"/>
  <c r="BB79" i="104" s="1"/>
  <c r="AT79" i="104"/>
  <c r="BK79" i="104"/>
  <c r="O79" i="104"/>
  <c r="AQ79" i="104"/>
  <c r="AR79" i="104" s="1"/>
  <c r="Y79" i="104"/>
  <c r="Z79" i="104" s="1"/>
  <c r="AK79" i="104"/>
  <c r="AL79" i="104" s="1"/>
  <c r="AH79" i="104"/>
  <c r="AI79" i="104" s="1"/>
  <c r="V79" i="104"/>
  <c r="W79" i="104" s="1"/>
  <c r="K80" i="104"/>
  <c r="BQ79" i="104"/>
  <c r="BR79" i="104" s="1"/>
  <c r="BG79" i="104"/>
  <c r="BH79" i="104" s="1"/>
  <c r="P79" i="104"/>
  <c r="BQ80" i="129"/>
  <c r="BR80" i="129" s="1"/>
  <c r="O80" i="129"/>
  <c r="AB80" i="129"/>
  <c r="AC80" i="129" s="1"/>
  <c r="AH80" i="129"/>
  <c r="AI80" i="129" s="1"/>
  <c r="V80" i="129"/>
  <c r="W80" i="129" s="1"/>
  <c r="Y80" i="129"/>
  <c r="Z80" i="129" s="1"/>
  <c r="AN80" i="129"/>
  <c r="AO80" i="129" s="1"/>
  <c r="AT80" i="129"/>
  <c r="BN80" i="129"/>
  <c r="BO80" i="129" s="1"/>
  <c r="AE80" i="129"/>
  <c r="AF80" i="129" s="1"/>
  <c r="BA80" i="129"/>
  <c r="BB80" i="129" s="1"/>
  <c r="AY80" i="129"/>
  <c r="M80" i="129"/>
  <c r="K81" i="129"/>
  <c r="BG80" i="129"/>
  <c r="BH80" i="129" s="1"/>
  <c r="BD80" i="129"/>
  <c r="BE80" i="129" s="1"/>
  <c r="P80" i="129"/>
  <c r="AQ80" i="129"/>
  <c r="AR80" i="129" s="1"/>
  <c r="AK80" i="129"/>
  <c r="AL80" i="129" s="1"/>
  <c r="AV80" i="129"/>
  <c r="AW80" i="129" s="1"/>
  <c r="BL80" i="129"/>
  <c r="R80" i="129"/>
  <c r="T80" i="129" s="1"/>
  <c r="K85" i="156"/>
  <c r="AY85" i="156" s="1"/>
  <c r="I86" i="156"/>
  <c r="AQ84" i="156"/>
  <c r="AR84" i="156" s="1"/>
  <c r="V84" i="156"/>
  <c r="W84" i="156" s="1"/>
  <c r="BN84" i="156"/>
  <c r="BO84" i="156" s="1"/>
  <c r="BD84" i="156"/>
  <c r="BE84" i="156" s="1"/>
  <c r="AB84" i="156"/>
  <c r="AC84" i="156" s="1"/>
  <c r="P84" i="156"/>
  <c r="R84" i="156"/>
  <c r="T84" i="156" s="1"/>
  <c r="M84" i="156"/>
  <c r="AH84" i="156"/>
  <c r="AI84" i="156" s="1"/>
  <c r="AV84" i="156"/>
  <c r="AW84" i="156" s="1"/>
  <c r="Y84" i="156"/>
  <c r="Z84" i="156" s="1"/>
  <c r="AN84" i="156"/>
  <c r="AO84" i="156" s="1"/>
  <c r="BL84" i="156"/>
  <c r="AE84" i="156"/>
  <c r="AF84" i="156" s="1"/>
  <c r="BQ84" i="156"/>
  <c r="BR84" i="156" s="1"/>
  <c r="BA84" i="156"/>
  <c r="BB84" i="156" s="1"/>
  <c r="AK84" i="156"/>
  <c r="AL84" i="156" s="1"/>
  <c r="O84" i="156"/>
  <c r="BG84" i="156"/>
  <c r="BH84" i="156" s="1"/>
  <c r="V79" i="106"/>
  <c r="W79" i="106" s="1"/>
  <c r="AQ79" i="106"/>
  <c r="AR79" i="106" s="1"/>
  <c r="AH79" i="106"/>
  <c r="AI79" i="106" s="1"/>
  <c r="BK79" i="106"/>
  <c r="R79" i="106"/>
  <c r="T79" i="106" s="1"/>
  <c r="AV79" i="106"/>
  <c r="AW79" i="106" s="1"/>
  <c r="AY79" i="106"/>
  <c r="M79" i="106"/>
  <c r="AN79" i="106"/>
  <c r="AO79" i="106" s="1"/>
  <c r="P79" i="106"/>
  <c r="BD79" i="106"/>
  <c r="BE79" i="106" s="1"/>
  <c r="Y79" i="106"/>
  <c r="Z79" i="106" s="1"/>
  <c r="BQ79" i="106"/>
  <c r="BR79" i="106" s="1"/>
  <c r="O79" i="106"/>
  <c r="BJ79" i="106"/>
  <c r="BL79" i="106" s="1"/>
  <c r="AK79" i="106"/>
  <c r="AL79" i="106" s="1"/>
  <c r="AE79" i="106"/>
  <c r="AF79" i="106" s="1"/>
  <c r="AB79" i="106"/>
  <c r="AC79" i="106" s="1"/>
  <c r="BN79" i="106"/>
  <c r="BO79" i="106" s="1"/>
  <c r="BG79" i="106"/>
  <c r="BH79" i="106" s="1"/>
  <c r="AT79" i="106"/>
  <c r="BA79" i="106"/>
  <c r="BB79" i="106" s="1"/>
  <c r="K80" i="106"/>
  <c r="M82" i="133"/>
  <c r="P82" i="133"/>
  <c r="AY82" i="133"/>
  <c r="AE82" i="133"/>
  <c r="AF82" i="133" s="1"/>
  <c r="BN82" i="133"/>
  <c r="BO82" i="133" s="1"/>
  <c r="BQ82" i="133"/>
  <c r="BR82" i="133" s="1"/>
  <c r="AK82" i="133"/>
  <c r="AL82" i="133" s="1"/>
  <c r="BG82" i="133"/>
  <c r="BH82" i="133" s="1"/>
  <c r="BA82" i="133"/>
  <c r="BB82" i="133" s="1"/>
  <c r="AT82" i="133"/>
  <c r="AB82" i="133"/>
  <c r="AC82" i="133" s="1"/>
  <c r="K83" i="133"/>
  <c r="BD82" i="133"/>
  <c r="BE82" i="133" s="1"/>
  <c r="Y82" i="133"/>
  <c r="Z82" i="133" s="1"/>
  <c r="V82" i="133"/>
  <c r="W82" i="133" s="1"/>
  <c r="AV82" i="133"/>
  <c r="AW82" i="133" s="1"/>
  <c r="AH82" i="133"/>
  <c r="AI82" i="133" s="1"/>
  <c r="AQ82" i="133"/>
  <c r="AR82" i="133" s="1"/>
  <c r="BL82" i="133"/>
  <c r="O82" i="133"/>
  <c r="R82" i="133"/>
  <c r="T82" i="133" s="1"/>
  <c r="AN82" i="133"/>
  <c r="AO82" i="133" s="1"/>
  <c r="BJ79" i="112"/>
  <c r="BL79" i="112" s="1"/>
  <c r="AE79" i="112"/>
  <c r="AF79" i="112" s="1"/>
  <c r="AK79" i="112"/>
  <c r="AL79" i="112" s="1"/>
  <c r="BD79" i="112"/>
  <c r="BE79" i="112" s="1"/>
  <c r="K80" i="112"/>
  <c r="O79" i="112"/>
  <c r="AB79" i="112"/>
  <c r="AC79" i="112" s="1"/>
  <c r="AN79" i="112"/>
  <c r="AO79" i="112" s="1"/>
  <c r="BN79" i="112"/>
  <c r="BO79" i="112" s="1"/>
  <c r="BG79" i="112"/>
  <c r="BH79" i="112" s="1"/>
  <c r="AQ79" i="112"/>
  <c r="AR79" i="112" s="1"/>
  <c r="R79" i="112"/>
  <c r="T79" i="112" s="1"/>
  <c r="P79" i="112"/>
  <c r="AT79" i="112"/>
  <c r="AV79" i="112"/>
  <c r="AW79" i="112" s="1"/>
  <c r="M79" i="112"/>
  <c r="BQ79" i="112"/>
  <c r="BR79" i="112" s="1"/>
  <c r="Y79" i="112"/>
  <c r="Z79" i="112" s="1"/>
  <c r="V79" i="112"/>
  <c r="W79" i="112" s="1"/>
  <c r="BK79" i="112"/>
  <c r="AH79" i="112"/>
  <c r="AI79" i="112" s="1"/>
  <c r="BA79" i="112"/>
  <c r="BB79" i="112" s="1"/>
  <c r="AY79" i="112"/>
  <c r="BL78" i="95"/>
  <c r="AB78" i="95"/>
  <c r="AC78" i="95" s="1"/>
  <c r="R78" i="95"/>
  <c r="T78" i="95" s="1"/>
  <c r="K79" i="95"/>
  <c r="BQ78" i="95"/>
  <c r="BR78" i="95" s="1"/>
  <c r="BD78" i="95"/>
  <c r="BE78" i="95" s="1"/>
  <c r="BG78" i="95"/>
  <c r="BH78" i="95" s="1"/>
  <c r="AN78" i="95"/>
  <c r="AO78" i="95" s="1"/>
  <c r="P78" i="95"/>
  <c r="AT78" i="95"/>
  <c r="O78" i="95"/>
  <c r="BA78" i="95"/>
  <c r="BB78" i="95" s="1"/>
  <c r="M78" i="95"/>
  <c r="AQ78" i="95"/>
  <c r="AR78" i="95" s="1"/>
  <c r="AE78" i="95"/>
  <c r="AF78" i="95" s="1"/>
  <c r="Y78" i="95"/>
  <c r="Z78" i="95" s="1"/>
  <c r="BN78" i="95"/>
  <c r="BO78" i="95" s="1"/>
  <c r="AV78" i="95"/>
  <c r="AW78" i="95" s="1"/>
  <c r="AK78" i="95"/>
  <c r="AL78" i="95" s="1"/>
  <c r="AH78" i="95"/>
  <c r="AI78" i="95" s="1"/>
  <c r="V78" i="95"/>
  <c r="W78" i="95" s="1"/>
  <c r="M80" i="130"/>
  <c r="BN80" i="130"/>
  <c r="BO80" i="130" s="1"/>
  <c r="K81" i="130"/>
  <c r="BL80" i="130"/>
  <c r="AQ80" i="130"/>
  <c r="AR80" i="130" s="1"/>
  <c r="P80" i="130"/>
  <c r="AK80" i="130"/>
  <c r="AL80" i="130" s="1"/>
  <c r="AN80" i="130"/>
  <c r="AO80" i="130" s="1"/>
  <c r="AT80" i="130"/>
  <c r="Y80" i="130"/>
  <c r="Z80" i="130" s="1"/>
  <c r="AY80" i="130"/>
  <c r="BD80" i="130"/>
  <c r="BE80" i="130" s="1"/>
  <c r="AB80" i="130"/>
  <c r="AC80" i="130" s="1"/>
  <c r="V80" i="130"/>
  <c r="W80" i="130" s="1"/>
  <c r="BA80" i="130"/>
  <c r="BB80" i="130" s="1"/>
  <c r="BG80" i="130"/>
  <c r="BH80" i="130" s="1"/>
  <c r="AE80" i="130"/>
  <c r="AF80" i="130" s="1"/>
  <c r="R80" i="130"/>
  <c r="T80" i="130" s="1"/>
  <c r="BQ80" i="130"/>
  <c r="BR80" i="130" s="1"/>
  <c r="AV80" i="130"/>
  <c r="AW80" i="130" s="1"/>
  <c r="AH80" i="130"/>
  <c r="AI80" i="130" s="1"/>
  <c r="O80" i="130"/>
  <c r="O85" i="155"/>
  <c r="V85" i="155"/>
  <c r="W85" i="155" s="1"/>
  <c r="AB85" i="155"/>
  <c r="AC85" i="155" s="1"/>
  <c r="AH85" i="155"/>
  <c r="AI85" i="155" s="1"/>
  <c r="AN85" i="155"/>
  <c r="AO85" i="155" s="1"/>
  <c r="BA85" i="155"/>
  <c r="BB85" i="155" s="1"/>
  <c r="BG85" i="155"/>
  <c r="BH85" i="155" s="1"/>
  <c r="P85" i="155"/>
  <c r="AV85" i="155"/>
  <c r="AW85" i="155" s="1"/>
  <c r="BN85" i="155"/>
  <c r="BO85" i="155" s="1"/>
  <c r="R85" i="155"/>
  <c r="T85" i="155" s="1"/>
  <c r="Y85" i="155"/>
  <c r="Z85" i="155" s="1"/>
  <c r="AE85" i="155"/>
  <c r="AF85" i="155" s="1"/>
  <c r="AK85" i="155"/>
  <c r="AL85" i="155" s="1"/>
  <c r="AQ85" i="155"/>
  <c r="AR85" i="155" s="1"/>
  <c r="BD85" i="155"/>
  <c r="BE85" i="155" s="1"/>
  <c r="M85" i="155"/>
  <c r="BQ85" i="155"/>
  <c r="BR85" i="155" s="1"/>
  <c r="BL85" i="155"/>
  <c r="K86" i="155"/>
  <c r="I87" i="155"/>
  <c r="M85" i="153"/>
  <c r="BQ85" i="153"/>
  <c r="BR85" i="153" s="1"/>
  <c r="O85" i="153"/>
  <c r="V85" i="153"/>
  <c r="W85" i="153" s="1"/>
  <c r="AB85" i="153"/>
  <c r="AC85" i="153" s="1"/>
  <c r="AH85" i="153"/>
  <c r="AI85" i="153" s="1"/>
  <c r="AN85" i="153"/>
  <c r="AO85" i="153" s="1"/>
  <c r="BA85" i="153"/>
  <c r="BB85" i="153" s="1"/>
  <c r="BG85" i="153"/>
  <c r="BH85" i="153" s="1"/>
  <c r="P85" i="153"/>
  <c r="AV85" i="153"/>
  <c r="AW85" i="153" s="1"/>
  <c r="BN85" i="153"/>
  <c r="BO85" i="153" s="1"/>
  <c r="AK85" i="153"/>
  <c r="AL85" i="153" s="1"/>
  <c r="R85" i="153"/>
  <c r="T85" i="153" s="1"/>
  <c r="AQ85" i="153"/>
  <c r="AR85" i="153" s="1"/>
  <c r="Y85" i="153"/>
  <c r="Z85" i="153" s="1"/>
  <c r="AE85" i="153"/>
  <c r="AF85" i="153" s="1"/>
  <c r="BD85" i="153"/>
  <c r="BE85" i="153" s="1"/>
  <c r="BL85" i="153"/>
  <c r="K86" i="153"/>
  <c r="I90" i="153"/>
  <c r="P85" i="152"/>
  <c r="AV85" i="152"/>
  <c r="AW85" i="152" s="1"/>
  <c r="BN85" i="152"/>
  <c r="BO85" i="152" s="1"/>
  <c r="R85" i="152"/>
  <c r="T85" i="152" s="1"/>
  <c r="Y85" i="152"/>
  <c r="Z85" i="152" s="1"/>
  <c r="AE85" i="152"/>
  <c r="AF85" i="152" s="1"/>
  <c r="AK85" i="152"/>
  <c r="AL85" i="152" s="1"/>
  <c r="AQ85" i="152"/>
  <c r="AR85" i="152" s="1"/>
  <c r="BD85" i="152"/>
  <c r="BE85" i="152" s="1"/>
  <c r="O85" i="152"/>
  <c r="AB85" i="152"/>
  <c r="AC85" i="152" s="1"/>
  <c r="AN85" i="152"/>
  <c r="AO85" i="152" s="1"/>
  <c r="BA85" i="152"/>
  <c r="BB85" i="152" s="1"/>
  <c r="BL85" i="152"/>
  <c r="V85" i="152"/>
  <c r="W85" i="152" s="1"/>
  <c r="AH85" i="152"/>
  <c r="AI85" i="152" s="1"/>
  <c r="BG85" i="152"/>
  <c r="BH85" i="152" s="1"/>
  <c r="BQ85" i="152"/>
  <c r="BR85" i="152" s="1"/>
  <c r="M85" i="152"/>
  <c r="K86" i="152"/>
  <c r="I94" i="152"/>
  <c r="BQ83" i="151"/>
  <c r="BR83" i="151" s="1"/>
  <c r="AY83" i="151"/>
  <c r="AV83" i="151"/>
  <c r="AW83" i="151" s="1"/>
  <c r="BA83" i="151"/>
  <c r="BB83" i="151" s="1"/>
  <c r="AN83" i="151"/>
  <c r="AO83" i="151" s="1"/>
  <c r="V83" i="151"/>
  <c r="W83" i="151" s="1"/>
  <c r="AK83" i="151"/>
  <c r="AL83" i="151" s="1"/>
  <c r="AB83" i="151"/>
  <c r="AC83" i="151" s="1"/>
  <c r="R83" i="151"/>
  <c r="T83" i="151" s="1"/>
  <c r="BG83" i="151"/>
  <c r="BH83" i="151" s="1"/>
  <c r="AT83" i="151"/>
  <c r="AH83" i="151"/>
  <c r="AI83" i="151" s="1"/>
  <c r="Y83" i="151"/>
  <c r="Z83" i="151" s="1"/>
  <c r="P83" i="151"/>
  <c r="BD83" i="151"/>
  <c r="BE83" i="151" s="1"/>
  <c r="AQ83" i="151"/>
  <c r="AR83" i="151" s="1"/>
  <c r="AE83" i="151"/>
  <c r="AF83" i="151" s="1"/>
  <c r="O83" i="151"/>
  <c r="M83" i="151"/>
  <c r="BN83" i="151"/>
  <c r="BO83" i="151" s="1"/>
  <c r="BL83" i="151"/>
  <c r="I85" i="151"/>
  <c r="K84" i="151"/>
  <c r="BQ82" i="150"/>
  <c r="BR82" i="150" s="1"/>
  <c r="AY82" i="150"/>
  <c r="AV82" i="150"/>
  <c r="AW82" i="150" s="1"/>
  <c r="BD82" i="150"/>
  <c r="BE82" i="150" s="1"/>
  <c r="AQ82" i="150"/>
  <c r="AR82" i="150" s="1"/>
  <c r="AE82" i="150"/>
  <c r="AF82" i="150" s="1"/>
  <c r="O82" i="150"/>
  <c r="BA82" i="150"/>
  <c r="BB82" i="150" s="1"/>
  <c r="AN82" i="150"/>
  <c r="AO82" i="150" s="1"/>
  <c r="V82" i="150"/>
  <c r="W82" i="150" s="1"/>
  <c r="AK82" i="150"/>
  <c r="AL82" i="150" s="1"/>
  <c r="AB82" i="150"/>
  <c r="AC82" i="150" s="1"/>
  <c r="R82" i="150"/>
  <c r="T82" i="150" s="1"/>
  <c r="Y82" i="150"/>
  <c r="Z82" i="150" s="1"/>
  <c r="BG82" i="150"/>
  <c r="BH82" i="150" s="1"/>
  <c r="P82" i="150"/>
  <c r="AT82" i="150"/>
  <c r="AH82" i="150"/>
  <c r="AI82" i="150" s="1"/>
  <c r="M82" i="150"/>
  <c r="BN82" i="150"/>
  <c r="BO82" i="150" s="1"/>
  <c r="BL82" i="150"/>
  <c r="K83" i="150"/>
  <c r="I86" i="150"/>
  <c r="BQ84" i="149"/>
  <c r="BR84" i="149" s="1"/>
  <c r="AY84" i="149"/>
  <c r="BD84" i="149"/>
  <c r="BE84" i="149" s="1"/>
  <c r="AV84" i="149"/>
  <c r="AW84" i="149" s="1"/>
  <c r="AN84" i="149"/>
  <c r="AO84" i="149" s="1"/>
  <c r="AK84" i="149"/>
  <c r="AL84" i="149" s="1"/>
  <c r="AE84" i="149"/>
  <c r="AF84" i="149" s="1"/>
  <c r="Y84" i="149"/>
  <c r="Z84" i="149" s="1"/>
  <c r="R84" i="149"/>
  <c r="T84" i="149" s="1"/>
  <c r="BA84" i="149"/>
  <c r="BB84" i="149" s="1"/>
  <c r="AQ84" i="149"/>
  <c r="AR84" i="149" s="1"/>
  <c r="P84" i="149"/>
  <c r="AH84" i="149"/>
  <c r="AI84" i="149" s="1"/>
  <c r="BG84" i="149"/>
  <c r="BH84" i="149" s="1"/>
  <c r="AB84" i="149"/>
  <c r="AC84" i="149" s="1"/>
  <c r="V84" i="149"/>
  <c r="W84" i="149" s="1"/>
  <c r="O84" i="149"/>
  <c r="BN84" i="149"/>
  <c r="BO84" i="149" s="1"/>
  <c r="M84" i="149"/>
  <c r="BL84" i="149"/>
  <c r="I86" i="149"/>
  <c r="K85" i="149"/>
  <c r="AT85" i="149" s="1"/>
  <c r="K84" i="147"/>
  <c r="I85" i="147"/>
  <c r="BG83" i="147"/>
  <c r="BH83" i="147" s="1"/>
  <c r="BA83" i="147"/>
  <c r="BB83" i="147" s="1"/>
  <c r="AT83" i="147"/>
  <c r="AN83" i="147"/>
  <c r="AO83" i="147" s="1"/>
  <c r="AH83" i="147"/>
  <c r="AI83" i="147" s="1"/>
  <c r="AB83" i="147"/>
  <c r="AC83" i="147" s="1"/>
  <c r="V83" i="147"/>
  <c r="W83" i="147" s="1"/>
  <c r="O83" i="147"/>
  <c r="BQ83" i="147"/>
  <c r="BR83" i="147" s="1"/>
  <c r="AY83" i="147"/>
  <c r="BD83" i="147"/>
  <c r="BE83" i="147" s="1"/>
  <c r="AQ83" i="147"/>
  <c r="AR83" i="147" s="1"/>
  <c r="AE83" i="147"/>
  <c r="AF83" i="147" s="1"/>
  <c r="R83" i="147"/>
  <c r="T83" i="147" s="1"/>
  <c r="P83" i="147"/>
  <c r="AK83" i="147"/>
  <c r="AL83" i="147" s="1"/>
  <c r="Y83" i="147"/>
  <c r="Z83" i="147" s="1"/>
  <c r="AV83" i="147"/>
  <c r="AW83" i="147" s="1"/>
  <c r="BN83" i="147"/>
  <c r="BO83" i="147" s="1"/>
  <c r="BK83" i="147"/>
  <c r="BJ83" i="147"/>
  <c r="BL83" i="147" s="1"/>
  <c r="M83" i="147"/>
  <c r="K83" i="146"/>
  <c r="I84" i="146"/>
  <c r="BQ82" i="146"/>
  <c r="BR82" i="146" s="1"/>
  <c r="BD82" i="146"/>
  <c r="BE82" i="146" s="1"/>
  <c r="AQ82" i="146"/>
  <c r="AR82" i="146" s="1"/>
  <c r="AK82" i="146"/>
  <c r="AL82" i="146" s="1"/>
  <c r="AE82" i="146"/>
  <c r="AF82" i="146" s="1"/>
  <c r="Y82" i="146"/>
  <c r="Z82" i="146" s="1"/>
  <c r="R82" i="146"/>
  <c r="T82" i="146" s="1"/>
  <c r="AV82" i="146"/>
  <c r="AW82" i="146" s="1"/>
  <c r="P82" i="146"/>
  <c r="BG82" i="146"/>
  <c r="BH82" i="146" s="1"/>
  <c r="BA82" i="146"/>
  <c r="BB82" i="146" s="1"/>
  <c r="AT82" i="146"/>
  <c r="AN82" i="146"/>
  <c r="AO82" i="146" s="1"/>
  <c r="AH82" i="146"/>
  <c r="AI82" i="146" s="1"/>
  <c r="AB82" i="146"/>
  <c r="AC82" i="146" s="1"/>
  <c r="V82" i="146"/>
  <c r="W82" i="146" s="1"/>
  <c r="O82" i="146"/>
  <c r="AY82" i="146"/>
  <c r="BN82" i="146"/>
  <c r="BO82" i="146" s="1"/>
  <c r="BK82" i="146"/>
  <c r="M82" i="146"/>
  <c r="BJ82" i="146"/>
  <c r="BL82" i="146" s="1"/>
  <c r="I85" i="126"/>
  <c r="BJ80" i="110"/>
  <c r="BL80" i="110" s="1"/>
  <c r="M80" i="110"/>
  <c r="BK80" i="110"/>
  <c r="BN80" i="110"/>
  <c r="BO80" i="110" s="1"/>
  <c r="R80" i="110"/>
  <c r="T80" i="110" s="1"/>
  <c r="AB80" i="110"/>
  <c r="AC80" i="110" s="1"/>
  <c r="Y80" i="110"/>
  <c r="Z80" i="110" s="1"/>
  <c r="AH80" i="110"/>
  <c r="AI80" i="110" s="1"/>
  <c r="BD80" i="110"/>
  <c r="BE80" i="110" s="1"/>
  <c r="AE80" i="110"/>
  <c r="AF80" i="110" s="1"/>
  <c r="O80" i="110"/>
  <c r="AT80" i="110"/>
  <c r="AQ80" i="110"/>
  <c r="AR80" i="110" s="1"/>
  <c r="AY80" i="110"/>
  <c r="P80" i="110"/>
  <c r="AN80" i="110"/>
  <c r="AO80" i="110" s="1"/>
  <c r="BQ80" i="110"/>
  <c r="BR80" i="110" s="1"/>
  <c r="AV80" i="110"/>
  <c r="AW80" i="110" s="1"/>
  <c r="BA80" i="110"/>
  <c r="BB80" i="110" s="1"/>
  <c r="V80" i="110"/>
  <c r="W80" i="110" s="1"/>
  <c r="BG80" i="110"/>
  <c r="BH80" i="110" s="1"/>
  <c r="AK80" i="110"/>
  <c r="AL80" i="110" s="1"/>
  <c r="I87" i="132"/>
  <c r="I80" i="13"/>
  <c r="K79" i="13"/>
  <c r="I82" i="96"/>
  <c r="K81" i="96"/>
  <c r="I85" i="63"/>
  <c r="AV78" i="66"/>
  <c r="AW78" i="66" s="1"/>
  <c r="AH78" i="66"/>
  <c r="AI78" i="66" s="1"/>
  <c r="AK78" i="66"/>
  <c r="AL78" i="66" s="1"/>
  <c r="O78" i="66"/>
  <c r="AT78" i="66"/>
  <c r="V78" i="66"/>
  <c r="W78" i="66" s="1"/>
  <c r="AQ78" i="66"/>
  <c r="AR78" i="66" s="1"/>
  <c r="AB78" i="66"/>
  <c r="AC78" i="66" s="1"/>
  <c r="R78" i="66"/>
  <c r="T78" i="66" s="1"/>
  <c r="Y78" i="66"/>
  <c r="Z78" i="66" s="1"/>
  <c r="BD78" i="66"/>
  <c r="BE78" i="66" s="1"/>
  <c r="BG78" i="66"/>
  <c r="BH78" i="66" s="1"/>
  <c r="AN78" i="66"/>
  <c r="AO78" i="66" s="1"/>
  <c r="BA78" i="66"/>
  <c r="BB78" i="66" s="1"/>
  <c r="AY78" i="66"/>
  <c r="AE78" i="66"/>
  <c r="AF78" i="66" s="1"/>
  <c r="M78" i="66"/>
  <c r="BQ78" i="66"/>
  <c r="BR78" i="66" s="1"/>
  <c r="P78" i="66"/>
  <c r="BN78" i="66"/>
  <c r="BO78" i="66" s="1"/>
  <c r="BL78" i="66"/>
  <c r="BJ82" i="105"/>
  <c r="BL82" i="105" s="1"/>
  <c r="BK82" i="105"/>
  <c r="M82" i="105"/>
  <c r="BN82" i="105"/>
  <c r="BO82" i="105" s="1"/>
  <c r="BD82" i="105"/>
  <c r="BE82" i="105" s="1"/>
  <c r="P82" i="105"/>
  <c r="AK82" i="105"/>
  <c r="AL82" i="105" s="1"/>
  <c r="BG82" i="105"/>
  <c r="BH82" i="105" s="1"/>
  <c r="R82" i="105"/>
  <c r="T82" i="105" s="1"/>
  <c r="AT82" i="105"/>
  <c r="AV82" i="105"/>
  <c r="AW82" i="105" s="1"/>
  <c r="AY82" i="105"/>
  <c r="AE82" i="105"/>
  <c r="AF82" i="105" s="1"/>
  <c r="AQ82" i="105"/>
  <c r="AR82" i="105" s="1"/>
  <c r="BQ82" i="105"/>
  <c r="BR82" i="105" s="1"/>
  <c r="O82" i="105"/>
  <c r="Y82" i="105"/>
  <c r="Z82" i="105" s="1"/>
  <c r="AB82" i="105"/>
  <c r="AC82" i="105" s="1"/>
  <c r="AN82" i="105"/>
  <c r="AO82" i="105" s="1"/>
  <c r="BA82" i="105"/>
  <c r="BB82" i="105" s="1"/>
  <c r="AH82" i="105"/>
  <c r="AI82" i="105" s="1"/>
  <c r="V82" i="105"/>
  <c r="W82" i="105" s="1"/>
  <c r="K83" i="105"/>
  <c r="K82" i="135"/>
  <c r="I83" i="135"/>
  <c r="M80" i="115"/>
  <c r="BN80" i="115"/>
  <c r="BO80" i="115" s="1"/>
  <c r="BK80" i="115"/>
  <c r="BJ80" i="115"/>
  <c r="BL80" i="115" s="1"/>
  <c r="P80" i="115"/>
  <c r="AH80" i="115"/>
  <c r="AI80" i="115" s="1"/>
  <c r="AK80" i="115"/>
  <c r="AL80" i="115" s="1"/>
  <c r="AN80" i="115"/>
  <c r="AO80" i="115" s="1"/>
  <c r="Y80" i="115"/>
  <c r="Z80" i="115" s="1"/>
  <c r="AB80" i="115"/>
  <c r="AC80" i="115" s="1"/>
  <c r="AT80" i="115"/>
  <c r="AV80" i="115"/>
  <c r="AW80" i="115" s="1"/>
  <c r="AE80" i="115"/>
  <c r="AF80" i="115" s="1"/>
  <c r="BA80" i="115"/>
  <c r="BB80" i="115" s="1"/>
  <c r="BG80" i="115"/>
  <c r="BH80" i="115" s="1"/>
  <c r="R80" i="115"/>
  <c r="T80" i="115" s="1"/>
  <c r="AY80" i="115"/>
  <c r="V80" i="115"/>
  <c r="W80" i="115" s="1"/>
  <c r="O80" i="115"/>
  <c r="BQ80" i="115"/>
  <c r="BR80" i="115" s="1"/>
  <c r="BD80" i="115"/>
  <c r="BE80" i="115" s="1"/>
  <c r="AQ80" i="115"/>
  <c r="AR80" i="115" s="1"/>
  <c r="BN84" i="124"/>
  <c r="BO84" i="124" s="1"/>
  <c r="M84" i="124"/>
  <c r="BK84" i="124"/>
  <c r="BJ84" i="124"/>
  <c r="BL84" i="124" s="1"/>
  <c r="K85" i="124"/>
  <c r="AB84" i="124"/>
  <c r="AC84" i="124" s="1"/>
  <c r="BA84" i="124"/>
  <c r="BB84" i="124" s="1"/>
  <c r="P84" i="124"/>
  <c r="O84" i="124"/>
  <c r="AT84" i="124"/>
  <c r="BG84" i="124"/>
  <c r="BH84" i="124" s="1"/>
  <c r="AQ84" i="124"/>
  <c r="AR84" i="124" s="1"/>
  <c r="AE84" i="124"/>
  <c r="AF84" i="124" s="1"/>
  <c r="AH84" i="124"/>
  <c r="AI84" i="124" s="1"/>
  <c r="R84" i="124"/>
  <c r="T84" i="124" s="1"/>
  <c r="BD84" i="124"/>
  <c r="BE84" i="124" s="1"/>
  <c r="V84" i="124"/>
  <c r="W84" i="124" s="1"/>
  <c r="Y84" i="124"/>
  <c r="Z84" i="124" s="1"/>
  <c r="BQ84" i="124"/>
  <c r="BR84" i="124" s="1"/>
  <c r="AY84" i="124"/>
  <c r="AV84" i="124"/>
  <c r="AW84" i="124" s="1"/>
  <c r="AN84" i="124"/>
  <c r="AO84" i="124" s="1"/>
  <c r="AK84" i="124"/>
  <c r="AL84" i="124" s="1"/>
  <c r="I82" i="110"/>
  <c r="K81" i="110"/>
  <c r="BL78" i="17"/>
  <c r="BN78" i="17"/>
  <c r="BO78" i="17" s="1"/>
  <c r="M78" i="17"/>
  <c r="AV78" i="17"/>
  <c r="AW78" i="17" s="1"/>
  <c r="AQ78" i="17"/>
  <c r="AR78" i="17" s="1"/>
  <c r="AT78" i="17"/>
  <c r="P78" i="17"/>
  <c r="Y78" i="17"/>
  <c r="Z78" i="17" s="1"/>
  <c r="BA78" i="17"/>
  <c r="BB78" i="17" s="1"/>
  <c r="BQ78" i="17"/>
  <c r="BR78" i="17" s="1"/>
  <c r="AB78" i="17"/>
  <c r="AC78" i="17" s="1"/>
  <c r="V78" i="17"/>
  <c r="W78" i="17" s="1"/>
  <c r="R78" i="17"/>
  <c r="T78" i="17" s="1"/>
  <c r="AH78" i="17"/>
  <c r="AI78" i="17" s="1"/>
  <c r="AE78" i="17"/>
  <c r="AF78" i="17" s="1"/>
  <c r="AY78" i="17"/>
  <c r="BG78" i="17"/>
  <c r="BH78" i="17" s="1"/>
  <c r="BD78" i="17"/>
  <c r="BE78" i="17" s="1"/>
  <c r="AK78" i="17"/>
  <c r="AL78" i="17" s="1"/>
  <c r="O78" i="17"/>
  <c r="AN78" i="17"/>
  <c r="AO78" i="17" s="1"/>
  <c r="I84" i="15"/>
  <c r="I84" i="104"/>
  <c r="V80" i="96"/>
  <c r="W80" i="96" s="1"/>
  <c r="BQ80" i="96"/>
  <c r="BR80" i="96" s="1"/>
  <c r="O80" i="96"/>
  <c r="AQ80" i="96"/>
  <c r="AR80" i="96" s="1"/>
  <c r="AT80" i="96"/>
  <c r="BN80" i="96"/>
  <c r="BO80" i="96" s="1"/>
  <c r="M80" i="96"/>
  <c r="AB80" i="96"/>
  <c r="AC80" i="96" s="1"/>
  <c r="Y80" i="96"/>
  <c r="Z80" i="96" s="1"/>
  <c r="BG80" i="96"/>
  <c r="BH80" i="96" s="1"/>
  <c r="R80" i="96"/>
  <c r="T80" i="96" s="1"/>
  <c r="AE80" i="96"/>
  <c r="AF80" i="96" s="1"/>
  <c r="P80" i="96"/>
  <c r="AH80" i="96"/>
  <c r="AI80" i="96" s="1"/>
  <c r="AK80" i="96"/>
  <c r="AL80" i="96" s="1"/>
  <c r="BA80" i="96"/>
  <c r="BB80" i="96" s="1"/>
  <c r="AV80" i="96"/>
  <c r="AW80" i="96" s="1"/>
  <c r="BD80" i="96"/>
  <c r="BE80" i="96" s="1"/>
  <c r="AN80" i="96"/>
  <c r="AO80" i="96" s="1"/>
  <c r="BL80" i="96"/>
  <c r="K79" i="66"/>
  <c r="I80" i="66"/>
  <c r="M80" i="126"/>
  <c r="BK80" i="126"/>
  <c r="BJ80" i="126"/>
  <c r="BL80" i="126" s="1"/>
  <c r="BN80" i="126"/>
  <c r="BO80" i="126" s="1"/>
  <c r="V80" i="126"/>
  <c r="W80" i="126" s="1"/>
  <c r="R80" i="126"/>
  <c r="T80" i="126" s="1"/>
  <c r="AV80" i="126"/>
  <c r="AW80" i="126" s="1"/>
  <c r="AB80" i="126"/>
  <c r="AC80" i="126" s="1"/>
  <c r="AH80" i="126"/>
  <c r="AI80" i="126" s="1"/>
  <c r="P80" i="126"/>
  <c r="BD80" i="126"/>
  <c r="BE80" i="126" s="1"/>
  <c r="O80" i="126"/>
  <c r="AE80" i="126"/>
  <c r="AF80" i="126" s="1"/>
  <c r="AN80" i="126"/>
  <c r="AO80" i="126" s="1"/>
  <c r="BG80" i="126"/>
  <c r="BH80" i="126" s="1"/>
  <c r="BA80" i="126"/>
  <c r="BB80" i="126" s="1"/>
  <c r="Y80" i="126"/>
  <c r="Z80" i="126" s="1"/>
  <c r="AQ80" i="126"/>
  <c r="AR80" i="126" s="1"/>
  <c r="AY80" i="126"/>
  <c r="BQ80" i="126"/>
  <c r="BR80" i="126" s="1"/>
  <c r="AK80" i="126"/>
  <c r="AL80" i="126" s="1"/>
  <c r="AT80" i="126"/>
  <c r="K81" i="126"/>
  <c r="I89" i="95"/>
  <c r="I82" i="115"/>
  <c r="K81" i="115"/>
  <c r="I95" i="133"/>
  <c r="I87" i="105"/>
  <c r="I80" i="17"/>
  <c r="K79" i="17"/>
  <c r="M81" i="135"/>
  <c r="AH81" i="135"/>
  <c r="AI81" i="135" s="1"/>
  <c r="AN81" i="135"/>
  <c r="AO81" i="135" s="1"/>
  <c r="BD81" i="135"/>
  <c r="BE81" i="135" s="1"/>
  <c r="AE81" i="135"/>
  <c r="AF81" i="135" s="1"/>
  <c r="BQ81" i="135"/>
  <c r="BR81" i="135" s="1"/>
  <c r="V81" i="135"/>
  <c r="W81" i="135" s="1"/>
  <c r="AQ81" i="135"/>
  <c r="AR81" i="135" s="1"/>
  <c r="AT81" i="135"/>
  <c r="BG81" i="135"/>
  <c r="BH81" i="135" s="1"/>
  <c r="AB81" i="135"/>
  <c r="AC81" i="135" s="1"/>
  <c r="BA81" i="135"/>
  <c r="BB81" i="135" s="1"/>
  <c r="AK81" i="135"/>
  <c r="AL81" i="135" s="1"/>
  <c r="AV81" i="135"/>
  <c r="AW81" i="135" s="1"/>
  <c r="AY81" i="135"/>
  <c r="Y81" i="135"/>
  <c r="Z81" i="135" s="1"/>
  <c r="O81" i="135"/>
  <c r="BN81" i="135"/>
  <c r="BO81" i="135" s="1"/>
  <c r="R81" i="135"/>
  <c r="T81" i="135" s="1"/>
  <c r="P81" i="135"/>
  <c r="BL81" i="135"/>
  <c r="I81" i="101"/>
  <c r="K80" i="101"/>
  <c r="BN78" i="13"/>
  <c r="BO78" i="13" s="1"/>
  <c r="BL78" i="13"/>
  <c r="M78" i="13"/>
  <c r="AQ78" i="13"/>
  <c r="AR78" i="13" s="1"/>
  <c r="AN78" i="13"/>
  <c r="AO78" i="13" s="1"/>
  <c r="Y78" i="13"/>
  <c r="Z78" i="13" s="1"/>
  <c r="P78" i="13"/>
  <c r="V78" i="13"/>
  <c r="W78" i="13" s="1"/>
  <c r="BA78" i="13"/>
  <c r="BB78" i="13" s="1"/>
  <c r="O78" i="13"/>
  <c r="AY78" i="13"/>
  <c r="AE78" i="13"/>
  <c r="AF78" i="13" s="1"/>
  <c r="BD78" i="13"/>
  <c r="BE78" i="13" s="1"/>
  <c r="AV78" i="13"/>
  <c r="AW78" i="13" s="1"/>
  <c r="AT78" i="13"/>
  <c r="AH78" i="13"/>
  <c r="AI78" i="13" s="1"/>
  <c r="AK78" i="13"/>
  <c r="AL78" i="13" s="1"/>
  <c r="R78" i="13"/>
  <c r="T78" i="13" s="1"/>
  <c r="BG78" i="13"/>
  <c r="BH78" i="13" s="1"/>
  <c r="BQ78" i="13"/>
  <c r="BR78" i="13" s="1"/>
  <c r="AB78" i="13"/>
  <c r="AC78" i="13" s="1"/>
  <c r="V81" i="64"/>
  <c r="W81" i="64" s="1"/>
  <c r="AN81" i="64"/>
  <c r="AO81" i="64" s="1"/>
  <c r="BA81" i="64"/>
  <c r="BB81" i="64" s="1"/>
  <c r="BQ81" i="64"/>
  <c r="BR81" i="64" s="1"/>
  <c r="AE81" i="64"/>
  <c r="AF81" i="64" s="1"/>
  <c r="BD81" i="64"/>
  <c r="BE81" i="64" s="1"/>
  <c r="AV81" i="64"/>
  <c r="AW81" i="64" s="1"/>
  <c r="O81" i="64"/>
  <c r="AH81" i="64"/>
  <c r="AI81" i="64" s="1"/>
  <c r="M81" i="64"/>
  <c r="AK81" i="64"/>
  <c r="AL81" i="64" s="1"/>
  <c r="AB81" i="64"/>
  <c r="AC81" i="64" s="1"/>
  <c r="AQ81" i="64"/>
  <c r="AR81" i="64" s="1"/>
  <c r="BG81" i="64"/>
  <c r="BH81" i="64" s="1"/>
  <c r="AT81" i="64"/>
  <c r="Y81" i="64"/>
  <c r="Z81" i="64" s="1"/>
  <c r="AY81" i="64"/>
  <c r="P81" i="64"/>
  <c r="R81" i="64"/>
  <c r="T81" i="64" s="1"/>
  <c r="BN81" i="64"/>
  <c r="BO81" i="64" s="1"/>
  <c r="BL81" i="64"/>
  <c r="K82" i="64"/>
  <c r="O78" i="120"/>
  <c r="V78" i="120"/>
  <c r="W78" i="120" s="1"/>
  <c r="Y78" i="120"/>
  <c r="Z78" i="120" s="1"/>
  <c r="AQ78" i="120"/>
  <c r="AR78" i="120" s="1"/>
  <c r="AY78" i="120"/>
  <c r="AN78" i="120"/>
  <c r="AO78" i="120" s="1"/>
  <c r="BQ78" i="120"/>
  <c r="BR78" i="120" s="1"/>
  <c r="K79" i="120"/>
  <c r="M78" i="120"/>
  <c r="AB78" i="120"/>
  <c r="AC78" i="120" s="1"/>
  <c r="R78" i="120"/>
  <c r="T78" i="120" s="1"/>
  <c r="AV78" i="120"/>
  <c r="AW78" i="120" s="1"/>
  <c r="AE78" i="120"/>
  <c r="AF78" i="120" s="1"/>
  <c r="BD78" i="120"/>
  <c r="BE78" i="120" s="1"/>
  <c r="AT78" i="120"/>
  <c r="AH78" i="120"/>
  <c r="AI78" i="120" s="1"/>
  <c r="BA78" i="120"/>
  <c r="BB78" i="120" s="1"/>
  <c r="P78" i="120"/>
  <c r="BG78" i="120"/>
  <c r="BH78" i="120" s="1"/>
  <c r="AK78" i="120"/>
  <c r="AL78" i="120" s="1"/>
  <c r="BN78" i="120"/>
  <c r="BO78" i="120" s="1"/>
  <c r="I86" i="114"/>
  <c r="M82" i="136"/>
  <c r="BN82" i="136"/>
  <c r="BO82" i="136" s="1"/>
  <c r="BL82" i="136"/>
  <c r="BD82" i="136"/>
  <c r="BE82" i="136" s="1"/>
  <c r="AY82" i="136"/>
  <c r="AV82" i="136"/>
  <c r="AW82" i="136" s="1"/>
  <c r="R82" i="136"/>
  <c r="T82" i="136" s="1"/>
  <c r="V82" i="136"/>
  <c r="W82" i="136" s="1"/>
  <c r="AT82" i="136"/>
  <c r="Y82" i="136"/>
  <c r="Z82" i="136" s="1"/>
  <c r="AN82" i="136"/>
  <c r="AO82" i="136" s="1"/>
  <c r="AK82" i="136"/>
  <c r="AL82" i="136" s="1"/>
  <c r="BQ82" i="136"/>
  <c r="BR82" i="136" s="1"/>
  <c r="BG82" i="136"/>
  <c r="BH82" i="136" s="1"/>
  <c r="AB82" i="136"/>
  <c r="AC82" i="136" s="1"/>
  <c r="P82" i="136"/>
  <c r="O82" i="136"/>
  <c r="AH82" i="136"/>
  <c r="AI82" i="136" s="1"/>
  <c r="BA82" i="136"/>
  <c r="BB82" i="136" s="1"/>
  <c r="AE82" i="136"/>
  <c r="AF82" i="136" s="1"/>
  <c r="AQ82" i="136"/>
  <c r="AR82" i="136" s="1"/>
  <c r="K83" i="136"/>
  <c r="I86" i="136"/>
  <c r="M79" i="101"/>
  <c r="P79" i="101"/>
  <c r="Y79" i="101"/>
  <c r="Z79" i="101" s="1"/>
  <c r="O79" i="101"/>
  <c r="AQ79" i="101"/>
  <c r="AR79" i="101" s="1"/>
  <c r="BA79" i="101"/>
  <c r="BB79" i="101" s="1"/>
  <c r="V79" i="101"/>
  <c r="W79" i="101" s="1"/>
  <c r="R79" i="101"/>
  <c r="T79" i="101" s="1"/>
  <c r="AE79" i="101"/>
  <c r="AF79" i="101" s="1"/>
  <c r="AB79" i="101"/>
  <c r="AC79" i="101" s="1"/>
  <c r="BG79" i="101"/>
  <c r="BH79" i="101" s="1"/>
  <c r="AN79" i="101"/>
  <c r="AO79" i="101" s="1"/>
  <c r="BQ79" i="101"/>
  <c r="BR79" i="101" s="1"/>
  <c r="AH79" i="101"/>
  <c r="AI79" i="101" s="1"/>
  <c r="BD79" i="101"/>
  <c r="BE79" i="101" s="1"/>
  <c r="AY79" i="101"/>
  <c r="AT79" i="101"/>
  <c r="AK79" i="101"/>
  <c r="AL79" i="101" s="1"/>
  <c r="AV79" i="101"/>
  <c r="AW79" i="101" s="1"/>
  <c r="M80" i="114"/>
  <c r="BK80" i="114"/>
  <c r="BN80" i="114"/>
  <c r="BO80" i="114" s="1"/>
  <c r="BJ80" i="114"/>
  <c r="BL80" i="114" s="1"/>
  <c r="AQ80" i="114"/>
  <c r="AR80" i="114" s="1"/>
  <c r="BQ80" i="114"/>
  <c r="BR80" i="114" s="1"/>
  <c r="AB80" i="114"/>
  <c r="AC80" i="114" s="1"/>
  <c r="AT80" i="114"/>
  <c r="BA80" i="114"/>
  <c r="BB80" i="114" s="1"/>
  <c r="O80" i="114"/>
  <c r="BD80" i="114"/>
  <c r="BE80" i="114" s="1"/>
  <c r="AH80" i="114"/>
  <c r="AI80" i="114" s="1"/>
  <c r="Y80" i="114"/>
  <c r="Z80" i="114" s="1"/>
  <c r="AV80" i="114"/>
  <c r="AW80" i="114" s="1"/>
  <c r="AN80" i="114"/>
  <c r="AO80" i="114" s="1"/>
  <c r="R80" i="114"/>
  <c r="T80" i="114" s="1"/>
  <c r="V80" i="114"/>
  <c r="W80" i="114" s="1"/>
  <c r="P80" i="114"/>
  <c r="BG80" i="114"/>
  <c r="BH80" i="114" s="1"/>
  <c r="AY80" i="114"/>
  <c r="AK80" i="114"/>
  <c r="AL80" i="114" s="1"/>
  <c r="AE80" i="114"/>
  <c r="AF80" i="114" s="1"/>
  <c r="K81" i="114"/>
  <c r="BN79" i="15"/>
  <c r="BO79" i="15" s="1"/>
  <c r="M79" i="15"/>
  <c r="BL79" i="15"/>
  <c r="AH79" i="15"/>
  <c r="AI79" i="15" s="1"/>
  <c r="BG79" i="15"/>
  <c r="BH79" i="15" s="1"/>
  <c r="AQ79" i="15"/>
  <c r="AR79" i="15" s="1"/>
  <c r="BQ79" i="15"/>
  <c r="BR79" i="15" s="1"/>
  <c r="P79" i="15"/>
  <c r="AK79" i="15"/>
  <c r="AL79" i="15" s="1"/>
  <c r="AN79" i="15"/>
  <c r="AO79" i="15" s="1"/>
  <c r="AT79" i="15"/>
  <c r="AB79" i="15"/>
  <c r="AC79" i="15" s="1"/>
  <c r="Y79" i="15"/>
  <c r="Z79" i="15" s="1"/>
  <c r="BA79" i="15"/>
  <c r="BB79" i="15" s="1"/>
  <c r="R79" i="15"/>
  <c r="T79" i="15" s="1"/>
  <c r="O79" i="15"/>
  <c r="AE79" i="15"/>
  <c r="AF79" i="15" s="1"/>
  <c r="BD79" i="15"/>
  <c r="BE79" i="15" s="1"/>
  <c r="V79" i="15"/>
  <c r="W79" i="15" s="1"/>
  <c r="AV79" i="15"/>
  <c r="AW79" i="15" s="1"/>
  <c r="AY79" i="15"/>
  <c r="K80" i="15"/>
  <c r="M79" i="118"/>
  <c r="K80" i="118"/>
  <c r="BN79" i="118"/>
  <c r="BO79" i="118" s="1"/>
  <c r="BQ79" i="118"/>
  <c r="BR79" i="118" s="1"/>
  <c r="AN79" i="118"/>
  <c r="AO79" i="118" s="1"/>
  <c r="O79" i="118"/>
  <c r="AQ79" i="118"/>
  <c r="AR79" i="118" s="1"/>
  <c r="AK79" i="118"/>
  <c r="AL79" i="118" s="1"/>
  <c r="BD79" i="118"/>
  <c r="BE79" i="118" s="1"/>
  <c r="P79" i="118"/>
  <c r="V79" i="118"/>
  <c r="W79" i="118" s="1"/>
  <c r="AB79" i="118"/>
  <c r="AC79" i="118" s="1"/>
  <c r="AV79" i="118"/>
  <c r="AW79" i="118" s="1"/>
  <c r="AT79" i="118"/>
  <c r="BA79" i="118"/>
  <c r="BB79" i="118" s="1"/>
  <c r="BG79" i="118"/>
  <c r="BH79" i="118" s="1"/>
  <c r="R79" i="118"/>
  <c r="T79" i="118" s="1"/>
  <c r="AY79" i="118"/>
  <c r="AH79" i="118"/>
  <c r="AI79" i="118" s="1"/>
  <c r="Y79" i="118"/>
  <c r="Z79" i="118" s="1"/>
  <c r="AE79" i="118"/>
  <c r="AF79" i="118" s="1"/>
  <c r="M80" i="63"/>
  <c r="BN80" i="63"/>
  <c r="BO80" i="63" s="1"/>
  <c r="AE80" i="63"/>
  <c r="AF80" i="63" s="1"/>
  <c r="AV80" i="63"/>
  <c r="AW80" i="63" s="1"/>
  <c r="BA80" i="63"/>
  <c r="BB80" i="63" s="1"/>
  <c r="AB80" i="63"/>
  <c r="AC80" i="63" s="1"/>
  <c r="V80" i="63"/>
  <c r="W80" i="63" s="1"/>
  <c r="BQ80" i="63"/>
  <c r="BR80" i="63" s="1"/>
  <c r="AT80" i="63"/>
  <c r="P80" i="63"/>
  <c r="BD80" i="63"/>
  <c r="BE80" i="63" s="1"/>
  <c r="AK80" i="63"/>
  <c r="AL80" i="63" s="1"/>
  <c r="AH80" i="63"/>
  <c r="AI80" i="63" s="1"/>
  <c r="O80" i="63"/>
  <c r="Y80" i="63"/>
  <c r="Z80" i="63" s="1"/>
  <c r="BG80" i="63"/>
  <c r="BH80" i="63" s="1"/>
  <c r="AY80" i="63"/>
  <c r="AN80" i="63"/>
  <c r="AO80" i="63" s="1"/>
  <c r="AQ80" i="63"/>
  <c r="AR80" i="63" s="1"/>
  <c r="R80" i="63"/>
  <c r="T80" i="63" s="1"/>
  <c r="BL80" i="63"/>
  <c r="K81" i="63"/>
  <c r="I86" i="64"/>
  <c r="M80" i="98"/>
  <c r="BJ80" i="98"/>
  <c r="BL80" i="98" s="1"/>
  <c r="BN80" i="98"/>
  <c r="BO80" i="98" s="1"/>
  <c r="BK80" i="98"/>
  <c r="K81" i="98"/>
  <c r="AY80" i="98"/>
  <c r="BQ80" i="98"/>
  <c r="BR80" i="98" s="1"/>
  <c r="P80" i="98"/>
  <c r="AH80" i="98"/>
  <c r="AI80" i="98" s="1"/>
  <c r="AB80" i="98"/>
  <c r="AC80" i="98" s="1"/>
  <c r="BG80" i="98"/>
  <c r="BH80" i="98" s="1"/>
  <c r="Y80" i="98"/>
  <c r="Z80" i="98" s="1"/>
  <c r="AT80" i="98"/>
  <c r="V80" i="98"/>
  <c r="W80" i="98" s="1"/>
  <c r="O80" i="98"/>
  <c r="R80" i="98"/>
  <c r="T80" i="98" s="1"/>
  <c r="BD80" i="98"/>
  <c r="BE80" i="98" s="1"/>
  <c r="AQ80" i="98"/>
  <c r="AR80" i="98" s="1"/>
  <c r="AE80" i="98"/>
  <c r="AF80" i="98" s="1"/>
  <c r="AN80" i="98"/>
  <c r="AO80" i="98" s="1"/>
  <c r="AV80" i="98"/>
  <c r="AW80" i="98" s="1"/>
  <c r="BA80" i="98"/>
  <c r="BB80" i="98" s="1"/>
  <c r="AK80" i="98"/>
  <c r="AL80" i="98" s="1"/>
  <c r="AI117" i="161"/>
  <c r="AL117" i="161"/>
  <c r="AO117" i="161"/>
  <c r="AF117" i="161"/>
  <c r="BL117" i="161"/>
  <c r="Z117" i="161"/>
  <c r="AC117" i="161"/>
  <c r="AL116" i="161" l="1"/>
  <c r="F89" i="161" s="1"/>
  <c r="BN32" i="161"/>
  <c r="BO32" i="161" s="1"/>
  <c r="BN26" i="161"/>
  <c r="BO26" i="161" s="1"/>
  <c r="BQ82" i="132"/>
  <c r="BR82" i="132" s="1"/>
  <c r="V82" i="132"/>
  <c r="W82" i="132" s="1"/>
  <c r="BN82" i="132"/>
  <c r="BO82" i="132" s="1"/>
  <c r="K83" i="132"/>
  <c r="M82" i="132"/>
  <c r="BD82" i="132"/>
  <c r="BE82" i="132" s="1"/>
  <c r="AE82" i="132"/>
  <c r="AF82" i="132" s="1"/>
  <c r="AK82" i="132"/>
  <c r="AL82" i="132" s="1"/>
  <c r="AH82" i="132"/>
  <c r="AI82" i="132" s="1"/>
  <c r="BA82" i="132"/>
  <c r="BB82" i="132" s="1"/>
  <c r="AN82" i="132"/>
  <c r="AO82" i="132" s="1"/>
  <c r="BG82" i="132"/>
  <c r="BH82" i="132" s="1"/>
  <c r="R82" i="132"/>
  <c r="T82" i="132" s="1"/>
  <c r="AV82" i="132"/>
  <c r="AW82" i="132" s="1"/>
  <c r="O82" i="132"/>
  <c r="AT82" i="132"/>
  <c r="AB82" i="132"/>
  <c r="AC82" i="132" s="1"/>
  <c r="AQ82" i="132"/>
  <c r="AR82" i="132" s="1"/>
  <c r="AY82" i="132"/>
  <c r="BL82" i="132"/>
  <c r="Y82" i="132"/>
  <c r="Z82" i="132" s="1"/>
  <c r="P82" i="132"/>
  <c r="BN31" i="161"/>
  <c r="BO31" i="161" s="1"/>
  <c r="BN25" i="161"/>
  <c r="BO25" i="161" s="1"/>
  <c r="Z116" i="161"/>
  <c r="F80" i="161" s="1"/>
  <c r="AI116" i="161"/>
  <c r="F88" i="161" s="1"/>
  <c r="F84" i="161" s="1"/>
  <c r="BJ84" i="107"/>
  <c r="BL84" i="107" s="1"/>
  <c r="BA84" i="107"/>
  <c r="BB84" i="107" s="1"/>
  <c r="AT84" i="107"/>
  <c r="AN84" i="107"/>
  <c r="AO84" i="107" s="1"/>
  <c r="BN84" i="107"/>
  <c r="BO84" i="107" s="1"/>
  <c r="Y84" i="107"/>
  <c r="Z84" i="107" s="1"/>
  <c r="AY84" i="107"/>
  <c r="AK84" i="107"/>
  <c r="AL84" i="107" s="1"/>
  <c r="AV84" i="107"/>
  <c r="AW84" i="107" s="1"/>
  <c r="BD84" i="107"/>
  <c r="BE84" i="107" s="1"/>
  <c r="AB84" i="107"/>
  <c r="AC84" i="107" s="1"/>
  <c r="BQ84" i="107"/>
  <c r="BR84" i="107" s="1"/>
  <c r="AH84" i="107"/>
  <c r="AI84" i="107" s="1"/>
  <c r="O84" i="107"/>
  <c r="BK84" i="107"/>
  <c r="R84" i="107"/>
  <c r="T84" i="107" s="1"/>
  <c r="P84" i="107"/>
  <c r="M84" i="107"/>
  <c r="AE84" i="107"/>
  <c r="AF84" i="107" s="1"/>
  <c r="AQ84" i="107"/>
  <c r="AR84" i="107" s="1"/>
  <c r="BG84" i="107"/>
  <c r="BH84" i="107" s="1"/>
  <c r="V84" i="107"/>
  <c r="W84" i="107" s="1"/>
  <c r="I86" i="107"/>
  <c r="K85" i="107"/>
  <c r="AF116" i="161"/>
  <c r="F81" i="161" s="1"/>
  <c r="AC116" i="161"/>
  <c r="F82" i="161" s="1"/>
  <c r="BN30" i="161"/>
  <c r="BO30" i="161" s="1"/>
  <c r="BN24" i="161"/>
  <c r="BO24" i="161" s="1"/>
  <c r="M82" i="99"/>
  <c r="P82" i="99"/>
  <c r="Y82" i="99"/>
  <c r="Z82" i="99" s="1"/>
  <c r="AE82" i="99"/>
  <c r="AF82" i="99" s="1"/>
  <c r="AN82" i="99"/>
  <c r="AO82" i="99" s="1"/>
  <c r="K83" i="99"/>
  <c r="BK82" i="99"/>
  <c r="BA82" i="99"/>
  <c r="BB82" i="99" s="1"/>
  <c r="BD82" i="99"/>
  <c r="BE82" i="99" s="1"/>
  <c r="O82" i="99"/>
  <c r="BN82" i="99"/>
  <c r="BO82" i="99" s="1"/>
  <c r="AK82" i="99"/>
  <c r="AL82" i="99" s="1"/>
  <c r="AH82" i="99"/>
  <c r="AI82" i="99" s="1"/>
  <c r="AB82" i="99"/>
  <c r="AC82" i="99" s="1"/>
  <c r="BJ82" i="99"/>
  <c r="BL82" i="99" s="1"/>
  <c r="V82" i="99"/>
  <c r="W82" i="99" s="1"/>
  <c r="AV82" i="99"/>
  <c r="AW82" i="99" s="1"/>
  <c r="BG82" i="99"/>
  <c r="BH82" i="99" s="1"/>
  <c r="AQ82" i="99"/>
  <c r="AR82" i="99" s="1"/>
  <c r="AT82" i="99"/>
  <c r="R82" i="99"/>
  <c r="T82" i="99" s="1"/>
  <c r="BQ82" i="99"/>
  <c r="BR82" i="99" s="1"/>
  <c r="AY82" i="99"/>
  <c r="BN20" i="161"/>
  <c r="BO20" i="161" s="1"/>
  <c r="BN19" i="161"/>
  <c r="BO19" i="161" s="1"/>
  <c r="BN22" i="161"/>
  <c r="BO22" i="161" s="1"/>
  <c r="BN17" i="161"/>
  <c r="BO17" i="161" s="1"/>
  <c r="BN15" i="161"/>
  <c r="BO15" i="161" s="1"/>
  <c r="BN23" i="161"/>
  <c r="BO23" i="161" s="1"/>
  <c r="BN18" i="161"/>
  <c r="BO18" i="161" s="1"/>
  <c r="M83" i="133"/>
  <c r="AV83" i="133"/>
  <c r="AW83" i="133" s="1"/>
  <c r="AE83" i="133"/>
  <c r="AF83" i="133" s="1"/>
  <c r="BQ83" i="133"/>
  <c r="BR83" i="133" s="1"/>
  <c r="BN83" i="133"/>
  <c r="BO83" i="133" s="1"/>
  <c r="AH83" i="133"/>
  <c r="AI83" i="133" s="1"/>
  <c r="BG83" i="133"/>
  <c r="BH83" i="133" s="1"/>
  <c r="Y83" i="133"/>
  <c r="Z83" i="133" s="1"/>
  <c r="AY83" i="133"/>
  <c r="BD83" i="133"/>
  <c r="BE83" i="133" s="1"/>
  <c r="O83" i="133"/>
  <c r="K84" i="133"/>
  <c r="BA83" i="133"/>
  <c r="BB83" i="133" s="1"/>
  <c r="AQ83" i="133"/>
  <c r="AR83" i="133" s="1"/>
  <c r="AN83" i="133"/>
  <c r="AO83" i="133" s="1"/>
  <c r="AT83" i="133"/>
  <c r="AB83" i="133"/>
  <c r="AC83" i="133" s="1"/>
  <c r="AK83" i="133"/>
  <c r="AL83" i="133" s="1"/>
  <c r="BL83" i="133"/>
  <c r="P83" i="133"/>
  <c r="R83" i="133"/>
  <c r="T83" i="133" s="1"/>
  <c r="V83" i="133"/>
  <c r="W83" i="133" s="1"/>
  <c r="M80" i="106"/>
  <c r="BQ80" i="106"/>
  <c r="BR80" i="106" s="1"/>
  <c r="AN80" i="106"/>
  <c r="AO80" i="106" s="1"/>
  <c r="P80" i="106"/>
  <c r="O80" i="106"/>
  <c r="AV80" i="106"/>
  <c r="AW80" i="106" s="1"/>
  <c r="AT80" i="106"/>
  <c r="BK80" i="106"/>
  <c r="AK80" i="106"/>
  <c r="AL80" i="106" s="1"/>
  <c r="BA80" i="106"/>
  <c r="BB80" i="106" s="1"/>
  <c r="AQ80" i="106"/>
  <c r="AR80" i="106" s="1"/>
  <c r="BN80" i="106"/>
  <c r="BO80" i="106" s="1"/>
  <c r="AH80" i="106"/>
  <c r="AI80" i="106" s="1"/>
  <c r="AE80" i="106"/>
  <c r="AF80" i="106" s="1"/>
  <c r="R80" i="106"/>
  <c r="T80" i="106" s="1"/>
  <c r="BJ80" i="106"/>
  <c r="BL80" i="106" s="1"/>
  <c r="BD80" i="106"/>
  <c r="BE80" i="106" s="1"/>
  <c r="AB80" i="106"/>
  <c r="AC80" i="106" s="1"/>
  <c r="BG80" i="106"/>
  <c r="BH80" i="106" s="1"/>
  <c r="Y80" i="106"/>
  <c r="Z80" i="106" s="1"/>
  <c r="V80" i="106"/>
  <c r="W80" i="106" s="1"/>
  <c r="AY80" i="106"/>
  <c r="K81" i="106"/>
  <c r="AK80" i="104"/>
  <c r="AL80" i="104" s="1"/>
  <c r="V80" i="104"/>
  <c r="W80" i="104" s="1"/>
  <c r="AH80" i="104"/>
  <c r="AI80" i="104" s="1"/>
  <c r="M80" i="104"/>
  <c r="AE80" i="104"/>
  <c r="AF80" i="104" s="1"/>
  <c r="BD80" i="104"/>
  <c r="BE80" i="104" s="1"/>
  <c r="AN80" i="104"/>
  <c r="AO80" i="104" s="1"/>
  <c r="BN80" i="104"/>
  <c r="BO80" i="104" s="1"/>
  <c r="P80" i="104"/>
  <c r="AB80" i="104"/>
  <c r="AC80" i="104" s="1"/>
  <c r="AT80" i="104"/>
  <c r="BJ80" i="104"/>
  <c r="BL80" i="104" s="1"/>
  <c r="AQ80" i="104"/>
  <c r="AR80" i="104" s="1"/>
  <c r="BG80" i="104"/>
  <c r="BH80" i="104" s="1"/>
  <c r="AV80" i="104"/>
  <c r="AW80" i="104" s="1"/>
  <c r="K81" i="104"/>
  <c r="BK80" i="104"/>
  <c r="R80" i="104"/>
  <c r="T80" i="104" s="1"/>
  <c r="AY80" i="104"/>
  <c r="BA80" i="104"/>
  <c r="BB80" i="104" s="1"/>
  <c r="BQ80" i="104"/>
  <c r="BR80" i="104" s="1"/>
  <c r="O80" i="104"/>
  <c r="Y80" i="104"/>
  <c r="Z80" i="104" s="1"/>
  <c r="BL81" i="129"/>
  <c r="O81" i="129"/>
  <c r="BA81" i="129"/>
  <c r="BB81" i="129" s="1"/>
  <c r="BD81" i="129"/>
  <c r="BE81" i="129" s="1"/>
  <c r="K82" i="129"/>
  <c r="AT81" i="129"/>
  <c r="AQ81" i="129"/>
  <c r="AR81" i="129" s="1"/>
  <c r="AY81" i="129"/>
  <c r="AH81" i="129"/>
  <c r="AI81" i="129" s="1"/>
  <c r="BG81" i="129"/>
  <c r="BH81" i="129" s="1"/>
  <c r="V81" i="129"/>
  <c r="W81" i="129" s="1"/>
  <c r="AK81" i="129"/>
  <c r="AL81" i="129" s="1"/>
  <c r="AB81" i="129"/>
  <c r="AC81" i="129" s="1"/>
  <c r="AV81" i="129"/>
  <c r="AW81" i="129" s="1"/>
  <c r="M81" i="129"/>
  <c r="AN81" i="129"/>
  <c r="AO81" i="129" s="1"/>
  <c r="AE81" i="129"/>
  <c r="AF81" i="129" s="1"/>
  <c r="R81" i="129"/>
  <c r="T81" i="129" s="1"/>
  <c r="BN81" i="129"/>
  <c r="BO81" i="129" s="1"/>
  <c r="P81" i="129"/>
  <c r="Y81" i="129"/>
  <c r="Z81" i="129" s="1"/>
  <c r="BQ81" i="129"/>
  <c r="BR81" i="129" s="1"/>
  <c r="BN80" i="112"/>
  <c r="BO80" i="112" s="1"/>
  <c r="Y80" i="112"/>
  <c r="Z80" i="112" s="1"/>
  <c r="AQ80" i="112"/>
  <c r="AR80" i="112" s="1"/>
  <c r="BG80" i="112"/>
  <c r="BH80" i="112" s="1"/>
  <c r="M80" i="112"/>
  <c r="V80" i="112"/>
  <c r="W80" i="112" s="1"/>
  <c r="O80" i="112"/>
  <c r="AB80" i="112"/>
  <c r="AC80" i="112" s="1"/>
  <c r="BJ80" i="112"/>
  <c r="BL80" i="112" s="1"/>
  <c r="R80" i="112"/>
  <c r="T80" i="112" s="1"/>
  <c r="BQ80" i="112"/>
  <c r="BR80" i="112" s="1"/>
  <c r="AH80" i="112"/>
  <c r="AI80" i="112" s="1"/>
  <c r="K81" i="112"/>
  <c r="AY80" i="112"/>
  <c r="P80" i="112"/>
  <c r="BD80" i="112"/>
  <c r="BE80" i="112" s="1"/>
  <c r="BK80" i="112"/>
  <c r="BA80" i="112"/>
  <c r="BB80" i="112" s="1"/>
  <c r="AT80" i="112"/>
  <c r="AN80" i="112"/>
  <c r="AO80" i="112" s="1"/>
  <c r="AK80" i="112"/>
  <c r="AL80" i="112" s="1"/>
  <c r="AV80" i="112"/>
  <c r="AW80" i="112" s="1"/>
  <c r="AE80" i="112"/>
  <c r="AF80" i="112" s="1"/>
  <c r="K86" i="156"/>
  <c r="AY86" i="156" s="1"/>
  <c r="I87" i="156"/>
  <c r="AQ85" i="156"/>
  <c r="AR85" i="156" s="1"/>
  <c r="V85" i="156"/>
  <c r="W85" i="156" s="1"/>
  <c r="BN85" i="156"/>
  <c r="BO85" i="156" s="1"/>
  <c r="BD85" i="156"/>
  <c r="BE85" i="156" s="1"/>
  <c r="AB85" i="156"/>
  <c r="AC85" i="156" s="1"/>
  <c r="P85" i="156"/>
  <c r="R85" i="156"/>
  <c r="T85" i="156" s="1"/>
  <c r="M85" i="156"/>
  <c r="AH85" i="156"/>
  <c r="AI85" i="156" s="1"/>
  <c r="AV85" i="156"/>
  <c r="AW85" i="156" s="1"/>
  <c r="Y85" i="156"/>
  <c r="Z85" i="156" s="1"/>
  <c r="AN85" i="156"/>
  <c r="AO85" i="156" s="1"/>
  <c r="BL85" i="156"/>
  <c r="AE85" i="156"/>
  <c r="AF85" i="156" s="1"/>
  <c r="BQ85" i="156"/>
  <c r="BR85" i="156" s="1"/>
  <c r="BA85" i="156"/>
  <c r="BB85" i="156" s="1"/>
  <c r="AK85" i="156"/>
  <c r="AL85" i="156" s="1"/>
  <c r="O85" i="156"/>
  <c r="BG85" i="156"/>
  <c r="BH85" i="156" s="1"/>
  <c r="M79" i="95"/>
  <c r="BG79" i="95"/>
  <c r="BH79" i="95" s="1"/>
  <c r="AQ79" i="95"/>
  <c r="AR79" i="95" s="1"/>
  <c r="O79" i="95"/>
  <c r="BN79" i="95"/>
  <c r="BO79" i="95" s="1"/>
  <c r="R79" i="95"/>
  <c r="T79" i="95" s="1"/>
  <c r="P79" i="95"/>
  <c r="BA79" i="95"/>
  <c r="BB79" i="95" s="1"/>
  <c r="AK79" i="95"/>
  <c r="AL79" i="95" s="1"/>
  <c r="BQ79" i="95"/>
  <c r="BR79" i="95" s="1"/>
  <c r="AB79" i="95"/>
  <c r="AC79" i="95" s="1"/>
  <c r="K80" i="95"/>
  <c r="AH79" i="95"/>
  <c r="AI79" i="95" s="1"/>
  <c r="BD79" i="95"/>
  <c r="BE79" i="95" s="1"/>
  <c r="AT79" i="95"/>
  <c r="AE79" i="95"/>
  <c r="AF79" i="95" s="1"/>
  <c r="AN79" i="95"/>
  <c r="AO79" i="95" s="1"/>
  <c r="BL79" i="95"/>
  <c r="Y79" i="95"/>
  <c r="Z79" i="95" s="1"/>
  <c r="V79" i="95"/>
  <c r="W79" i="95" s="1"/>
  <c r="AV79" i="95"/>
  <c r="AW79" i="95" s="1"/>
  <c r="I87" i="106"/>
  <c r="M81" i="130"/>
  <c r="K82" i="130"/>
  <c r="BL81" i="130"/>
  <c r="BN81" i="130"/>
  <c r="BO81" i="130" s="1"/>
  <c r="BG81" i="130"/>
  <c r="BH81" i="130" s="1"/>
  <c r="BA81" i="130"/>
  <c r="BB81" i="130" s="1"/>
  <c r="R81" i="130"/>
  <c r="T81" i="130" s="1"/>
  <c r="AY81" i="130"/>
  <c r="AK81" i="130"/>
  <c r="AL81" i="130" s="1"/>
  <c r="Y81" i="130"/>
  <c r="Z81" i="130" s="1"/>
  <c r="BQ81" i="130"/>
  <c r="BR81" i="130" s="1"/>
  <c r="P81" i="130"/>
  <c r="AT81" i="130"/>
  <c r="BD81" i="130"/>
  <c r="BE81" i="130" s="1"/>
  <c r="V81" i="130"/>
  <c r="W81" i="130" s="1"/>
  <c r="AB81" i="130"/>
  <c r="AC81" i="130" s="1"/>
  <c r="O81" i="130"/>
  <c r="AE81" i="130"/>
  <c r="AF81" i="130" s="1"/>
  <c r="AQ81" i="130"/>
  <c r="AR81" i="130" s="1"/>
  <c r="AN81" i="130"/>
  <c r="AO81" i="130" s="1"/>
  <c r="AH81" i="130"/>
  <c r="AI81" i="130" s="1"/>
  <c r="AV81" i="130"/>
  <c r="AW81" i="130" s="1"/>
  <c r="I88" i="155"/>
  <c r="K87" i="155"/>
  <c r="O86" i="155"/>
  <c r="V86" i="155"/>
  <c r="W86" i="155" s="1"/>
  <c r="AB86" i="155"/>
  <c r="AC86" i="155" s="1"/>
  <c r="AH86" i="155"/>
  <c r="AI86" i="155" s="1"/>
  <c r="AN86" i="155"/>
  <c r="AO86" i="155" s="1"/>
  <c r="BA86" i="155"/>
  <c r="BB86" i="155" s="1"/>
  <c r="BG86" i="155"/>
  <c r="BH86" i="155" s="1"/>
  <c r="P86" i="155"/>
  <c r="AV86" i="155"/>
  <c r="AW86" i="155" s="1"/>
  <c r="BN86" i="155"/>
  <c r="BO86" i="155" s="1"/>
  <c r="R86" i="155"/>
  <c r="T86" i="155" s="1"/>
  <c r="Y86" i="155"/>
  <c r="Z86" i="155" s="1"/>
  <c r="AE86" i="155"/>
  <c r="AF86" i="155" s="1"/>
  <c r="AK86" i="155"/>
  <c r="AL86" i="155" s="1"/>
  <c r="AQ86" i="155"/>
  <c r="AR86" i="155" s="1"/>
  <c r="BD86" i="155"/>
  <c r="BE86" i="155" s="1"/>
  <c r="M86" i="155"/>
  <c r="BQ86" i="155"/>
  <c r="BR86" i="155" s="1"/>
  <c r="BL86" i="155"/>
  <c r="I91" i="153"/>
  <c r="M86" i="153"/>
  <c r="BQ86" i="153"/>
  <c r="BR86" i="153" s="1"/>
  <c r="O86" i="153"/>
  <c r="V86" i="153"/>
  <c r="W86" i="153" s="1"/>
  <c r="AB86" i="153"/>
  <c r="AC86" i="153" s="1"/>
  <c r="AH86" i="153"/>
  <c r="AI86" i="153" s="1"/>
  <c r="AN86" i="153"/>
  <c r="AO86" i="153" s="1"/>
  <c r="BA86" i="153"/>
  <c r="BB86" i="153" s="1"/>
  <c r="BG86" i="153"/>
  <c r="BH86" i="153" s="1"/>
  <c r="P86" i="153"/>
  <c r="AV86" i="153"/>
  <c r="AW86" i="153" s="1"/>
  <c r="BN86" i="153"/>
  <c r="BO86" i="153" s="1"/>
  <c r="R86" i="153"/>
  <c r="T86" i="153" s="1"/>
  <c r="AQ86" i="153"/>
  <c r="AR86" i="153" s="1"/>
  <c r="Y86" i="153"/>
  <c r="Z86" i="153" s="1"/>
  <c r="AE86" i="153"/>
  <c r="AF86" i="153" s="1"/>
  <c r="BD86" i="153"/>
  <c r="BE86" i="153" s="1"/>
  <c r="AK86" i="153"/>
  <c r="AL86" i="153" s="1"/>
  <c r="BL86" i="153"/>
  <c r="K87" i="153"/>
  <c r="I95" i="152"/>
  <c r="P86" i="152"/>
  <c r="AV86" i="152"/>
  <c r="AW86" i="152" s="1"/>
  <c r="BN86" i="152"/>
  <c r="BO86" i="152" s="1"/>
  <c r="R86" i="152"/>
  <c r="T86" i="152" s="1"/>
  <c r="Y86" i="152"/>
  <c r="Z86" i="152" s="1"/>
  <c r="AE86" i="152"/>
  <c r="AF86" i="152" s="1"/>
  <c r="AK86" i="152"/>
  <c r="AL86" i="152" s="1"/>
  <c r="AQ86" i="152"/>
  <c r="AR86" i="152" s="1"/>
  <c r="BD86" i="152"/>
  <c r="BE86" i="152" s="1"/>
  <c r="M86" i="152"/>
  <c r="O86" i="152"/>
  <c r="AB86" i="152"/>
  <c r="AC86" i="152" s="1"/>
  <c r="AN86" i="152"/>
  <c r="AO86" i="152" s="1"/>
  <c r="BA86" i="152"/>
  <c r="BB86" i="152" s="1"/>
  <c r="BL86" i="152"/>
  <c r="V86" i="152"/>
  <c r="W86" i="152" s="1"/>
  <c r="AH86" i="152"/>
  <c r="AI86" i="152" s="1"/>
  <c r="BG86" i="152"/>
  <c r="BH86" i="152" s="1"/>
  <c r="BQ86" i="152"/>
  <c r="BR86" i="152" s="1"/>
  <c r="K87" i="152"/>
  <c r="BQ84" i="151"/>
  <c r="BR84" i="151" s="1"/>
  <c r="AY84" i="151"/>
  <c r="AV84" i="151"/>
  <c r="AW84" i="151" s="1"/>
  <c r="P84" i="151"/>
  <c r="BA84" i="151"/>
  <c r="BB84" i="151" s="1"/>
  <c r="AN84" i="151"/>
  <c r="AO84" i="151" s="1"/>
  <c r="AB84" i="151"/>
  <c r="AC84" i="151" s="1"/>
  <c r="O84" i="151"/>
  <c r="AK84" i="151"/>
  <c r="AL84" i="151" s="1"/>
  <c r="Y84" i="151"/>
  <c r="Z84" i="151" s="1"/>
  <c r="BG84" i="151"/>
  <c r="BH84" i="151" s="1"/>
  <c r="AT84" i="151"/>
  <c r="AH84" i="151"/>
  <c r="AI84" i="151" s="1"/>
  <c r="V84" i="151"/>
  <c r="W84" i="151" s="1"/>
  <c r="BD84" i="151"/>
  <c r="BE84" i="151" s="1"/>
  <c r="AQ84" i="151"/>
  <c r="AR84" i="151" s="1"/>
  <c r="AE84" i="151"/>
  <c r="AF84" i="151" s="1"/>
  <c r="R84" i="151"/>
  <c r="T84" i="151" s="1"/>
  <c r="M84" i="151"/>
  <c r="BN84" i="151"/>
  <c r="BO84" i="151" s="1"/>
  <c r="BL84" i="151"/>
  <c r="I86" i="151"/>
  <c r="K85" i="151"/>
  <c r="I87" i="150"/>
  <c r="BD83" i="150"/>
  <c r="BE83" i="150" s="1"/>
  <c r="AQ83" i="150"/>
  <c r="AR83" i="150" s="1"/>
  <c r="AK83" i="150"/>
  <c r="AL83" i="150" s="1"/>
  <c r="AE83" i="150"/>
  <c r="AF83" i="150" s="1"/>
  <c r="Y83" i="150"/>
  <c r="Z83" i="150" s="1"/>
  <c r="R83" i="150"/>
  <c r="T83" i="150" s="1"/>
  <c r="AV83" i="150"/>
  <c r="AW83" i="150" s="1"/>
  <c r="BG83" i="150"/>
  <c r="BH83" i="150" s="1"/>
  <c r="BA83" i="150"/>
  <c r="BB83" i="150" s="1"/>
  <c r="AT83" i="150"/>
  <c r="AN83" i="150"/>
  <c r="AO83" i="150" s="1"/>
  <c r="AH83" i="150"/>
  <c r="AI83" i="150" s="1"/>
  <c r="AB83" i="150"/>
  <c r="AC83" i="150" s="1"/>
  <c r="V83" i="150"/>
  <c r="W83" i="150" s="1"/>
  <c r="O83" i="150"/>
  <c r="P83" i="150"/>
  <c r="AY83" i="150"/>
  <c r="BQ83" i="150"/>
  <c r="BR83" i="150" s="1"/>
  <c r="BN83" i="150"/>
  <c r="BO83" i="150" s="1"/>
  <c r="M83" i="150"/>
  <c r="BL83" i="150"/>
  <c r="K84" i="150"/>
  <c r="BQ85" i="149"/>
  <c r="BR85" i="149" s="1"/>
  <c r="AY85" i="149"/>
  <c r="BA85" i="149"/>
  <c r="BB85" i="149" s="1"/>
  <c r="AQ85" i="149"/>
  <c r="AR85" i="149" s="1"/>
  <c r="AB85" i="149"/>
  <c r="AC85" i="149" s="1"/>
  <c r="R85" i="149"/>
  <c r="T85" i="149" s="1"/>
  <c r="BG85" i="149"/>
  <c r="BH85" i="149" s="1"/>
  <c r="AH85" i="149"/>
  <c r="AI85" i="149" s="1"/>
  <c r="Y85" i="149"/>
  <c r="Z85" i="149" s="1"/>
  <c r="P85" i="149"/>
  <c r="BD85" i="149"/>
  <c r="BE85" i="149" s="1"/>
  <c r="AV85" i="149"/>
  <c r="AW85" i="149" s="1"/>
  <c r="AN85" i="149"/>
  <c r="AO85" i="149" s="1"/>
  <c r="AE85" i="149"/>
  <c r="AF85" i="149" s="1"/>
  <c r="O85" i="149"/>
  <c r="AK85" i="149"/>
  <c r="AL85" i="149" s="1"/>
  <c r="V85" i="149"/>
  <c r="W85" i="149" s="1"/>
  <c r="M85" i="149"/>
  <c r="BN85" i="149"/>
  <c r="BO85" i="149" s="1"/>
  <c r="BL85" i="149"/>
  <c r="I87" i="149"/>
  <c r="K86" i="149"/>
  <c r="AT86" i="149" s="1"/>
  <c r="I86" i="147"/>
  <c r="K85" i="147"/>
  <c r="BG84" i="147"/>
  <c r="BH84" i="147" s="1"/>
  <c r="BA84" i="147"/>
  <c r="BB84" i="147" s="1"/>
  <c r="AT84" i="147"/>
  <c r="AN84" i="147"/>
  <c r="AO84" i="147" s="1"/>
  <c r="AH84" i="147"/>
  <c r="AI84" i="147" s="1"/>
  <c r="AB84" i="147"/>
  <c r="AC84" i="147" s="1"/>
  <c r="V84" i="147"/>
  <c r="W84" i="147" s="1"/>
  <c r="O84" i="147"/>
  <c r="BQ84" i="147"/>
  <c r="BR84" i="147" s="1"/>
  <c r="AY84" i="147"/>
  <c r="BD84" i="147"/>
  <c r="BE84" i="147" s="1"/>
  <c r="AQ84" i="147"/>
  <c r="AR84" i="147" s="1"/>
  <c r="AE84" i="147"/>
  <c r="AF84" i="147" s="1"/>
  <c r="R84" i="147"/>
  <c r="T84" i="147" s="1"/>
  <c r="P84" i="147"/>
  <c r="AK84" i="147"/>
  <c r="AL84" i="147" s="1"/>
  <c r="Y84" i="147"/>
  <c r="Z84" i="147" s="1"/>
  <c r="AV84" i="147"/>
  <c r="AW84" i="147" s="1"/>
  <c r="BK84" i="147"/>
  <c r="BJ84" i="147"/>
  <c r="BL84" i="147" s="1"/>
  <c r="M84" i="147"/>
  <c r="BN84" i="147"/>
  <c r="BO84" i="147" s="1"/>
  <c r="K84" i="146"/>
  <c r="I85" i="146"/>
  <c r="BG83" i="146"/>
  <c r="BH83" i="146" s="1"/>
  <c r="BA83" i="146"/>
  <c r="BB83" i="146" s="1"/>
  <c r="AT83" i="146"/>
  <c r="AN83" i="146"/>
  <c r="AO83" i="146" s="1"/>
  <c r="AH83" i="146"/>
  <c r="AI83" i="146" s="1"/>
  <c r="AB83" i="146"/>
  <c r="AC83" i="146" s="1"/>
  <c r="V83" i="146"/>
  <c r="W83" i="146" s="1"/>
  <c r="O83" i="146"/>
  <c r="BD83" i="146"/>
  <c r="BE83" i="146" s="1"/>
  <c r="AQ83" i="146"/>
  <c r="AR83" i="146" s="1"/>
  <c r="AK83" i="146"/>
  <c r="AL83" i="146" s="1"/>
  <c r="AE83" i="146"/>
  <c r="AF83" i="146" s="1"/>
  <c r="Y83" i="146"/>
  <c r="Z83" i="146" s="1"/>
  <c r="R83" i="146"/>
  <c r="T83" i="146" s="1"/>
  <c r="P83" i="146"/>
  <c r="AY83" i="146"/>
  <c r="AV83" i="146"/>
  <c r="AW83" i="146" s="1"/>
  <c r="BQ83" i="146"/>
  <c r="BR83" i="146" s="1"/>
  <c r="BJ83" i="146"/>
  <c r="BL83" i="146" s="1"/>
  <c r="M83" i="146"/>
  <c r="BN83" i="146"/>
  <c r="BO83" i="146" s="1"/>
  <c r="BK83" i="146"/>
  <c r="M81" i="63"/>
  <c r="BN81" i="63"/>
  <c r="BO81" i="63" s="1"/>
  <c r="BL81" i="63"/>
  <c r="P81" i="63"/>
  <c r="AE81" i="63"/>
  <c r="AF81" i="63" s="1"/>
  <c r="BD81" i="63"/>
  <c r="BE81" i="63" s="1"/>
  <c r="AV81" i="63"/>
  <c r="AW81" i="63" s="1"/>
  <c r="AH81" i="63"/>
  <c r="AI81" i="63" s="1"/>
  <c r="AQ81" i="63"/>
  <c r="AR81" i="63" s="1"/>
  <c r="BA81" i="63"/>
  <c r="BB81" i="63" s="1"/>
  <c r="Y81" i="63"/>
  <c r="Z81" i="63" s="1"/>
  <c r="AN81" i="63"/>
  <c r="AO81" i="63" s="1"/>
  <c r="BG81" i="63"/>
  <c r="BH81" i="63" s="1"/>
  <c r="AB81" i="63"/>
  <c r="AC81" i="63" s="1"/>
  <c r="BQ81" i="63"/>
  <c r="BR81" i="63" s="1"/>
  <c r="R81" i="63"/>
  <c r="T81" i="63" s="1"/>
  <c r="AK81" i="63"/>
  <c r="AL81" i="63" s="1"/>
  <c r="AT81" i="63"/>
  <c r="O81" i="63"/>
  <c r="V81" i="63"/>
  <c r="W81" i="63" s="1"/>
  <c r="AY81" i="63"/>
  <c r="K82" i="63"/>
  <c r="AK79" i="120"/>
  <c r="AL79" i="120" s="1"/>
  <c r="AV79" i="120"/>
  <c r="AW79" i="120" s="1"/>
  <c r="BG79" i="120"/>
  <c r="BH79" i="120" s="1"/>
  <c r="BD79" i="120"/>
  <c r="BE79" i="120" s="1"/>
  <c r="K80" i="120"/>
  <c r="V79" i="120"/>
  <c r="W79" i="120" s="1"/>
  <c r="AH79" i="120"/>
  <c r="AI79" i="120" s="1"/>
  <c r="AQ79" i="120"/>
  <c r="AR79" i="120" s="1"/>
  <c r="AN79" i="120"/>
  <c r="AO79" i="120" s="1"/>
  <c r="AT79" i="120"/>
  <c r="AY79" i="120"/>
  <c r="AB79" i="120"/>
  <c r="AC79" i="120" s="1"/>
  <c r="R79" i="120"/>
  <c r="T79" i="120" s="1"/>
  <c r="AE79" i="120"/>
  <c r="AF79" i="120" s="1"/>
  <c r="Y79" i="120"/>
  <c r="Z79" i="120" s="1"/>
  <c r="BA79" i="120"/>
  <c r="BB79" i="120" s="1"/>
  <c r="BQ79" i="120"/>
  <c r="BR79" i="120" s="1"/>
  <c r="O79" i="120"/>
  <c r="P79" i="120"/>
  <c r="M79" i="120"/>
  <c r="BN79" i="120"/>
  <c r="BO79" i="120" s="1"/>
  <c r="M80" i="101"/>
  <c r="R80" i="101"/>
  <c r="T80" i="101" s="1"/>
  <c r="AT80" i="101"/>
  <c r="AK80" i="101"/>
  <c r="AL80" i="101" s="1"/>
  <c r="AB80" i="101"/>
  <c r="AC80" i="101" s="1"/>
  <c r="P80" i="101"/>
  <c r="Y80" i="101"/>
  <c r="Z80" i="101" s="1"/>
  <c r="BA80" i="101"/>
  <c r="BB80" i="101" s="1"/>
  <c r="AQ80" i="101"/>
  <c r="AR80" i="101" s="1"/>
  <c r="O80" i="101"/>
  <c r="V80" i="101"/>
  <c r="W80" i="101" s="1"/>
  <c r="AV80" i="101"/>
  <c r="AW80" i="101" s="1"/>
  <c r="AH80" i="101"/>
  <c r="AI80" i="101" s="1"/>
  <c r="BG80" i="101"/>
  <c r="BH80" i="101" s="1"/>
  <c r="AN80" i="101"/>
  <c r="AO80" i="101" s="1"/>
  <c r="BQ80" i="101"/>
  <c r="BR80" i="101" s="1"/>
  <c r="AY80" i="101"/>
  <c r="BD80" i="101"/>
  <c r="BE80" i="101" s="1"/>
  <c r="AE80" i="101"/>
  <c r="AF80" i="101" s="1"/>
  <c r="I81" i="17"/>
  <c r="K80" i="17"/>
  <c r="I83" i="115"/>
  <c r="K82" i="115"/>
  <c r="I85" i="104"/>
  <c r="I84" i="135"/>
  <c r="K83" i="135"/>
  <c r="O81" i="96"/>
  <c r="BQ81" i="96"/>
  <c r="BR81" i="96" s="1"/>
  <c r="BA81" i="96"/>
  <c r="BB81" i="96" s="1"/>
  <c r="AV81" i="96"/>
  <c r="AW81" i="96" s="1"/>
  <c r="M81" i="96"/>
  <c r="AB81" i="96"/>
  <c r="AC81" i="96" s="1"/>
  <c r="AH81" i="96"/>
  <c r="AI81" i="96" s="1"/>
  <c r="AQ81" i="96"/>
  <c r="AR81" i="96" s="1"/>
  <c r="P81" i="96"/>
  <c r="AT81" i="96"/>
  <c r="BL81" i="96"/>
  <c r="AE81" i="96"/>
  <c r="AF81" i="96" s="1"/>
  <c r="BN81" i="96"/>
  <c r="BO81" i="96" s="1"/>
  <c r="R81" i="96"/>
  <c r="T81" i="96" s="1"/>
  <c r="AN81" i="96"/>
  <c r="AO81" i="96" s="1"/>
  <c r="BG81" i="96"/>
  <c r="BH81" i="96" s="1"/>
  <c r="AK81" i="96"/>
  <c r="AL81" i="96" s="1"/>
  <c r="BD81" i="96"/>
  <c r="BE81" i="96" s="1"/>
  <c r="Y81" i="96"/>
  <c r="Z81" i="96" s="1"/>
  <c r="V81" i="96"/>
  <c r="W81" i="96" s="1"/>
  <c r="I81" i="13"/>
  <c r="K80" i="13"/>
  <c r="BN81" i="98"/>
  <c r="BO81" i="98" s="1"/>
  <c r="BK81" i="98"/>
  <c r="AT81" i="98"/>
  <c r="M81" i="98"/>
  <c r="K82" i="98"/>
  <c r="BJ81" i="98"/>
  <c r="BL81" i="98" s="1"/>
  <c r="AV81" i="98"/>
  <c r="AW81" i="98" s="1"/>
  <c r="BA81" i="98"/>
  <c r="BB81" i="98" s="1"/>
  <c r="AK81" i="98"/>
  <c r="AL81" i="98" s="1"/>
  <c r="AH81" i="98"/>
  <c r="AI81" i="98" s="1"/>
  <c r="R81" i="98"/>
  <c r="T81" i="98" s="1"/>
  <c r="O81" i="98"/>
  <c r="AB81" i="98"/>
  <c r="AC81" i="98" s="1"/>
  <c r="AQ81" i="98"/>
  <c r="AR81" i="98" s="1"/>
  <c r="P81" i="98"/>
  <c r="BG81" i="98"/>
  <c r="BH81" i="98" s="1"/>
  <c r="Y81" i="98"/>
  <c r="Z81" i="98" s="1"/>
  <c r="V81" i="98"/>
  <c r="W81" i="98" s="1"/>
  <c r="AY81" i="98"/>
  <c r="AE81" i="98"/>
  <c r="AF81" i="98" s="1"/>
  <c r="BD81" i="98"/>
  <c r="BE81" i="98" s="1"/>
  <c r="AN81" i="98"/>
  <c r="AO81" i="98" s="1"/>
  <c r="BQ81" i="98"/>
  <c r="BR81" i="98" s="1"/>
  <c r="K81" i="118"/>
  <c r="M80" i="118"/>
  <c r="BN80" i="118"/>
  <c r="BO80" i="118" s="1"/>
  <c r="AB80" i="118"/>
  <c r="AC80" i="118" s="1"/>
  <c r="BA80" i="118"/>
  <c r="BB80" i="118" s="1"/>
  <c r="AK80" i="118"/>
  <c r="AL80" i="118" s="1"/>
  <c r="AT80" i="118"/>
  <c r="BG80" i="118"/>
  <c r="BH80" i="118" s="1"/>
  <c r="R80" i="118"/>
  <c r="T80" i="118" s="1"/>
  <c r="AY80" i="118"/>
  <c r="BQ80" i="118"/>
  <c r="BR80" i="118" s="1"/>
  <c r="AQ80" i="118"/>
  <c r="AR80" i="118" s="1"/>
  <c r="V80" i="118"/>
  <c r="W80" i="118" s="1"/>
  <c r="AE80" i="118"/>
  <c r="AF80" i="118" s="1"/>
  <c r="BD80" i="118"/>
  <c r="BE80" i="118" s="1"/>
  <c r="Y80" i="118"/>
  <c r="Z80" i="118" s="1"/>
  <c r="AH80" i="118"/>
  <c r="AI80" i="118" s="1"/>
  <c r="AV80" i="118"/>
  <c r="AW80" i="118" s="1"/>
  <c r="O80" i="118"/>
  <c r="P80" i="118"/>
  <c r="AN80" i="118"/>
  <c r="AO80" i="118" s="1"/>
  <c r="BN81" i="114"/>
  <c r="BO81" i="114" s="1"/>
  <c r="BK81" i="114"/>
  <c r="M81" i="114"/>
  <c r="BJ81" i="114"/>
  <c r="BL81" i="114" s="1"/>
  <c r="P81" i="114"/>
  <c r="AB81" i="114"/>
  <c r="AC81" i="114" s="1"/>
  <c r="V81" i="114"/>
  <c r="W81" i="114" s="1"/>
  <c r="BD81" i="114"/>
  <c r="BE81" i="114" s="1"/>
  <c r="AE81" i="114"/>
  <c r="AF81" i="114" s="1"/>
  <c r="AV81" i="114"/>
  <c r="AW81" i="114" s="1"/>
  <c r="AN81" i="114"/>
  <c r="AO81" i="114" s="1"/>
  <c r="O81" i="114"/>
  <c r="AY81" i="114"/>
  <c r="AQ81" i="114"/>
  <c r="AR81" i="114" s="1"/>
  <c r="BA81" i="114"/>
  <c r="BB81" i="114" s="1"/>
  <c r="AT81" i="114"/>
  <c r="Y81" i="114"/>
  <c r="Z81" i="114" s="1"/>
  <c r="AK81" i="114"/>
  <c r="AL81" i="114" s="1"/>
  <c r="AH81" i="114"/>
  <c r="AI81" i="114" s="1"/>
  <c r="R81" i="114"/>
  <c r="T81" i="114" s="1"/>
  <c r="BQ81" i="114"/>
  <c r="BR81" i="114" s="1"/>
  <c r="BG81" i="114"/>
  <c r="BH81" i="114" s="1"/>
  <c r="K82" i="114"/>
  <c r="I87" i="114"/>
  <c r="I82" i="101"/>
  <c r="K81" i="101"/>
  <c r="I88" i="105"/>
  <c r="BK81" i="110"/>
  <c r="M81" i="110"/>
  <c r="BN81" i="110"/>
  <c r="BO81" i="110" s="1"/>
  <c r="BJ81" i="110"/>
  <c r="BL81" i="110" s="1"/>
  <c r="R81" i="110"/>
  <c r="T81" i="110" s="1"/>
  <c r="AT81" i="110"/>
  <c r="Y81" i="110"/>
  <c r="Z81" i="110" s="1"/>
  <c r="BQ81" i="110"/>
  <c r="BR81" i="110" s="1"/>
  <c r="AN81" i="110"/>
  <c r="AO81" i="110" s="1"/>
  <c r="AV81" i="110"/>
  <c r="AW81" i="110" s="1"/>
  <c r="BD81" i="110"/>
  <c r="BE81" i="110" s="1"/>
  <c r="V81" i="110"/>
  <c r="W81" i="110" s="1"/>
  <c r="O81" i="110"/>
  <c r="P81" i="110"/>
  <c r="AB81" i="110"/>
  <c r="AC81" i="110" s="1"/>
  <c r="BA81" i="110"/>
  <c r="BB81" i="110" s="1"/>
  <c r="AE81" i="110"/>
  <c r="AF81" i="110" s="1"/>
  <c r="AK81" i="110"/>
  <c r="AL81" i="110" s="1"/>
  <c r="AY81" i="110"/>
  <c r="AQ81" i="110"/>
  <c r="AR81" i="110" s="1"/>
  <c r="AH81" i="110"/>
  <c r="AI81" i="110" s="1"/>
  <c r="BG81" i="110"/>
  <c r="BH81" i="110" s="1"/>
  <c r="M82" i="135"/>
  <c r="BN82" i="135"/>
  <c r="BO82" i="135" s="1"/>
  <c r="AE82" i="135"/>
  <c r="AF82" i="135" s="1"/>
  <c r="AH82" i="135"/>
  <c r="AI82" i="135" s="1"/>
  <c r="BD82" i="135"/>
  <c r="BE82" i="135" s="1"/>
  <c r="BA82" i="135"/>
  <c r="BB82" i="135" s="1"/>
  <c r="AV82" i="135"/>
  <c r="AW82" i="135" s="1"/>
  <c r="AY82" i="135"/>
  <c r="V82" i="135"/>
  <c r="W82" i="135" s="1"/>
  <c r="AB82" i="135"/>
  <c r="AC82" i="135" s="1"/>
  <c r="O82" i="135"/>
  <c r="AT82" i="135"/>
  <c r="BG82" i="135"/>
  <c r="BH82" i="135" s="1"/>
  <c r="Y82" i="135"/>
  <c r="Z82" i="135" s="1"/>
  <c r="BQ82" i="135"/>
  <c r="BR82" i="135" s="1"/>
  <c r="R82" i="135"/>
  <c r="T82" i="135" s="1"/>
  <c r="AN82" i="135"/>
  <c r="AO82" i="135" s="1"/>
  <c r="AQ82" i="135"/>
  <c r="AR82" i="135" s="1"/>
  <c r="P82" i="135"/>
  <c r="AK82" i="135"/>
  <c r="AL82" i="135" s="1"/>
  <c r="BL82" i="135"/>
  <c r="K82" i="96"/>
  <c r="I83" i="96"/>
  <c r="I87" i="136"/>
  <c r="AN82" i="64"/>
  <c r="AO82" i="64" s="1"/>
  <c r="AV82" i="64"/>
  <c r="AW82" i="64" s="1"/>
  <c r="AQ82" i="64"/>
  <c r="AR82" i="64" s="1"/>
  <c r="R82" i="64"/>
  <c r="T82" i="64" s="1"/>
  <c r="BQ82" i="64"/>
  <c r="BR82" i="64" s="1"/>
  <c r="Y82" i="64"/>
  <c r="Z82" i="64" s="1"/>
  <c r="P82" i="64"/>
  <c r="BA82" i="64"/>
  <c r="BB82" i="64" s="1"/>
  <c r="M82" i="64"/>
  <c r="O82" i="64"/>
  <c r="BG82" i="64"/>
  <c r="BH82" i="64" s="1"/>
  <c r="AB82" i="64"/>
  <c r="AC82" i="64" s="1"/>
  <c r="BD82" i="64"/>
  <c r="BE82" i="64" s="1"/>
  <c r="V82" i="64"/>
  <c r="W82" i="64" s="1"/>
  <c r="AT82" i="64"/>
  <c r="AE82" i="64"/>
  <c r="AF82" i="64" s="1"/>
  <c r="AY82" i="64"/>
  <c r="AK82" i="64"/>
  <c r="AL82" i="64" s="1"/>
  <c r="AH82" i="64"/>
  <c r="AI82" i="64" s="1"/>
  <c r="BL82" i="64"/>
  <c r="BN82" i="64"/>
  <c r="BO82" i="64" s="1"/>
  <c r="K83" i="64"/>
  <c r="I96" i="133"/>
  <c r="I90" i="95"/>
  <c r="K80" i="66"/>
  <c r="I81" i="66"/>
  <c r="I85" i="15"/>
  <c r="K82" i="110"/>
  <c r="I83" i="110"/>
  <c r="BJ83" i="105"/>
  <c r="BL83" i="105" s="1"/>
  <c r="BK83" i="105"/>
  <c r="M83" i="105"/>
  <c r="BN83" i="105"/>
  <c r="BO83" i="105" s="1"/>
  <c r="BA83" i="105"/>
  <c r="BB83" i="105" s="1"/>
  <c r="AV83" i="105"/>
  <c r="AW83" i="105" s="1"/>
  <c r="O83" i="105"/>
  <c r="AH83" i="105"/>
  <c r="AI83" i="105" s="1"/>
  <c r="AB83" i="105"/>
  <c r="AC83" i="105" s="1"/>
  <c r="BD83" i="105"/>
  <c r="BE83" i="105" s="1"/>
  <c r="R83" i="105"/>
  <c r="T83" i="105" s="1"/>
  <c r="BG83" i="105"/>
  <c r="BH83" i="105" s="1"/>
  <c r="AT83" i="105"/>
  <c r="AN83" i="105"/>
  <c r="AO83" i="105" s="1"/>
  <c r="AE83" i="105"/>
  <c r="AF83" i="105" s="1"/>
  <c r="AQ83" i="105"/>
  <c r="AR83" i="105" s="1"/>
  <c r="AY83" i="105"/>
  <c r="Y83" i="105"/>
  <c r="Z83" i="105" s="1"/>
  <c r="AK83" i="105"/>
  <c r="AL83" i="105" s="1"/>
  <c r="P83" i="105"/>
  <c r="V83" i="105"/>
  <c r="W83" i="105" s="1"/>
  <c r="BQ83" i="105"/>
  <c r="BR83" i="105" s="1"/>
  <c r="K84" i="105"/>
  <c r="I88" i="132"/>
  <c r="I87" i="64"/>
  <c r="BN80" i="15"/>
  <c r="BO80" i="15" s="1"/>
  <c r="BL80" i="15"/>
  <c r="M80" i="15"/>
  <c r="AH80" i="15"/>
  <c r="AI80" i="15" s="1"/>
  <c r="AE80" i="15"/>
  <c r="AF80" i="15" s="1"/>
  <c r="AY80" i="15"/>
  <c r="BA80" i="15"/>
  <c r="BB80" i="15" s="1"/>
  <c r="R80" i="15"/>
  <c r="T80" i="15" s="1"/>
  <c r="AV80" i="15"/>
  <c r="AW80" i="15" s="1"/>
  <c r="Y80" i="15"/>
  <c r="Z80" i="15" s="1"/>
  <c r="V80" i="15"/>
  <c r="W80" i="15" s="1"/>
  <c r="AQ80" i="15"/>
  <c r="AR80" i="15" s="1"/>
  <c r="BQ80" i="15"/>
  <c r="BR80" i="15" s="1"/>
  <c r="AT80" i="15"/>
  <c r="BG80" i="15"/>
  <c r="BH80" i="15" s="1"/>
  <c r="O80" i="15"/>
  <c r="P80" i="15"/>
  <c r="AK80" i="15"/>
  <c r="AL80" i="15" s="1"/>
  <c r="BD80" i="15"/>
  <c r="BE80" i="15" s="1"/>
  <c r="AB80" i="15"/>
  <c r="AC80" i="15" s="1"/>
  <c r="AN80" i="15"/>
  <c r="AO80" i="15" s="1"/>
  <c r="K81" i="15"/>
  <c r="M83" i="136"/>
  <c r="BN83" i="136"/>
  <c r="BO83" i="136" s="1"/>
  <c r="BL83" i="136"/>
  <c r="AE83" i="136"/>
  <c r="AF83" i="136" s="1"/>
  <c r="R83" i="136"/>
  <c r="T83" i="136" s="1"/>
  <c r="V83" i="136"/>
  <c r="W83" i="136" s="1"/>
  <c r="O83" i="136"/>
  <c r="AY83" i="136"/>
  <c r="AV83" i="136"/>
  <c r="AW83" i="136" s="1"/>
  <c r="BD83" i="136"/>
  <c r="BE83" i="136" s="1"/>
  <c r="AT83" i="136"/>
  <c r="AN83" i="136"/>
  <c r="AO83" i="136" s="1"/>
  <c r="BQ83" i="136"/>
  <c r="BR83" i="136" s="1"/>
  <c r="BA83" i="136"/>
  <c r="BB83" i="136" s="1"/>
  <c r="AK83" i="136"/>
  <c r="AL83" i="136" s="1"/>
  <c r="P83" i="136"/>
  <c r="BG83" i="136"/>
  <c r="BH83" i="136" s="1"/>
  <c r="Y83" i="136"/>
  <c r="Z83" i="136" s="1"/>
  <c r="AQ83" i="136"/>
  <c r="AR83" i="136" s="1"/>
  <c r="AB83" i="136"/>
  <c r="AC83" i="136" s="1"/>
  <c r="AH83" i="136"/>
  <c r="AI83" i="136" s="1"/>
  <c r="K84" i="136"/>
  <c r="BN79" i="17"/>
  <c r="BO79" i="17" s="1"/>
  <c r="BL79" i="17"/>
  <c r="M79" i="17"/>
  <c r="AK79" i="17"/>
  <c r="AL79" i="17" s="1"/>
  <c r="O79" i="17"/>
  <c r="AQ79" i="17"/>
  <c r="AR79" i="17" s="1"/>
  <c r="BG79" i="17"/>
  <c r="BH79" i="17" s="1"/>
  <c r="P79" i="17"/>
  <c r="AB79" i="17"/>
  <c r="AC79" i="17" s="1"/>
  <c r="AV79" i="17"/>
  <c r="AW79" i="17" s="1"/>
  <c r="BD79" i="17"/>
  <c r="BE79" i="17" s="1"/>
  <c r="AT79" i="17"/>
  <c r="AH79" i="17"/>
  <c r="AI79" i="17" s="1"/>
  <c r="Y79" i="17"/>
  <c r="Z79" i="17" s="1"/>
  <c r="AE79" i="17"/>
  <c r="AF79" i="17" s="1"/>
  <c r="BA79" i="17"/>
  <c r="BB79" i="17" s="1"/>
  <c r="AY79" i="17"/>
  <c r="V79" i="17"/>
  <c r="W79" i="17" s="1"/>
  <c r="AN79" i="17"/>
  <c r="AO79" i="17" s="1"/>
  <c r="BQ79" i="17"/>
  <c r="BR79" i="17" s="1"/>
  <c r="R79" i="17"/>
  <c r="T79" i="17" s="1"/>
  <c r="M81" i="115"/>
  <c r="BK81" i="115"/>
  <c r="BJ81" i="115"/>
  <c r="BL81" i="115" s="1"/>
  <c r="BN81" i="115"/>
  <c r="BO81" i="115" s="1"/>
  <c r="BD81" i="115"/>
  <c r="BE81" i="115" s="1"/>
  <c r="AK81" i="115"/>
  <c r="AL81" i="115" s="1"/>
  <c r="AE81" i="115"/>
  <c r="AF81" i="115" s="1"/>
  <c r="AH81" i="115"/>
  <c r="AI81" i="115" s="1"/>
  <c r="R81" i="115"/>
  <c r="T81" i="115" s="1"/>
  <c r="AT81" i="115"/>
  <c r="O81" i="115"/>
  <c r="AQ81" i="115"/>
  <c r="AR81" i="115" s="1"/>
  <c r="BQ81" i="115"/>
  <c r="BR81" i="115" s="1"/>
  <c r="AV81" i="115"/>
  <c r="AW81" i="115" s="1"/>
  <c r="AY81" i="115"/>
  <c r="AB81" i="115"/>
  <c r="AC81" i="115" s="1"/>
  <c r="Y81" i="115"/>
  <c r="Z81" i="115" s="1"/>
  <c r="BG81" i="115"/>
  <c r="BH81" i="115" s="1"/>
  <c r="BA81" i="115"/>
  <c r="BB81" i="115" s="1"/>
  <c r="AN81" i="115"/>
  <c r="AO81" i="115" s="1"/>
  <c r="V81" i="115"/>
  <c r="W81" i="115" s="1"/>
  <c r="P81" i="115"/>
  <c r="M81" i="126"/>
  <c r="BN81" i="126"/>
  <c r="BO81" i="126" s="1"/>
  <c r="BK81" i="126"/>
  <c r="BJ81" i="126"/>
  <c r="BL81" i="126" s="1"/>
  <c r="AV81" i="126"/>
  <c r="AW81" i="126" s="1"/>
  <c r="BG81" i="126"/>
  <c r="BH81" i="126" s="1"/>
  <c r="AT81" i="126"/>
  <c r="BQ81" i="126"/>
  <c r="BR81" i="126" s="1"/>
  <c r="AQ81" i="126"/>
  <c r="AR81" i="126" s="1"/>
  <c r="R81" i="126"/>
  <c r="T81" i="126" s="1"/>
  <c r="AY81" i="126"/>
  <c r="Y81" i="126"/>
  <c r="Z81" i="126" s="1"/>
  <c r="AE81" i="126"/>
  <c r="AF81" i="126" s="1"/>
  <c r="O81" i="126"/>
  <c r="AN81" i="126"/>
  <c r="AO81" i="126" s="1"/>
  <c r="BA81" i="126"/>
  <c r="BB81" i="126" s="1"/>
  <c r="AH81" i="126"/>
  <c r="AI81" i="126" s="1"/>
  <c r="V81" i="126"/>
  <c r="W81" i="126" s="1"/>
  <c r="BD81" i="126"/>
  <c r="BE81" i="126" s="1"/>
  <c r="AK81" i="126"/>
  <c r="AL81" i="126" s="1"/>
  <c r="AB81" i="126"/>
  <c r="AC81" i="126" s="1"/>
  <c r="P81" i="126"/>
  <c r="K82" i="126"/>
  <c r="BQ79" i="66"/>
  <c r="BR79" i="66" s="1"/>
  <c r="P79" i="66"/>
  <c r="BN79" i="66"/>
  <c r="BO79" i="66" s="1"/>
  <c r="R79" i="66"/>
  <c r="T79" i="66" s="1"/>
  <c r="AT79" i="66"/>
  <c r="AQ79" i="66"/>
  <c r="AR79" i="66" s="1"/>
  <c r="AV79" i="66"/>
  <c r="AW79" i="66" s="1"/>
  <c r="O79" i="66"/>
  <c r="AH79" i="66"/>
  <c r="AI79" i="66" s="1"/>
  <c r="AK79" i="66"/>
  <c r="AL79" i="66" s="1"/>
  <c r="AB79" i="66"/>
  <c r="AC79" i="66" s="1"/>
  <c r="AE79" i="66"/>
  <c r="AF79" i="66" s="1"/>
  <c r="Y79" i="66"/>
  <c r="Z79" i="66" s="1"/>
  <c r="BD79" i="66"/>
  <c r="BE79" i="66" s="1"/>
  <c r="BG79" i="66"/>
  <c r="BH79" i="66" s="1"/>
  <c r="AN79" i="66"/>
  <c r="AO79" i="66" s="1"/>
  <c r="BA79" i="66"/>
  <c r="BB79" i="66" s="1"/>
  <c r="AY79" i="66"/>
  <c r="V79" i="66"/>
  <c r="W79" i="66" s="1"/>
  <c r="M79" i="66"/>
  <c r="BL79" i="66"/>
  <c r="BJ85" i="124"/>
  <c r="BL85" i="124" s="1"/>
  <c r="K86" i="124"/>
  <c r="BN85" i="124"/>
  <c r="BO85" i="124" s="1"/>
  <c r="M85" i="124"/>
  <c r="BK85" i="124"/>
  <c r="AK85" i="124"/>
  <c r="AL85" i="124" s="1"/>
  <c r="AB85" i="124"/>
  <c r="AC85" i="124" s="1"/>
  <c r="AQ85" i="124"/>
  <c r="AR85" i="124" s="1"/>
  <c r="O85" i="124"/>
  <c r="Y85" i="124"/>
  <c r="Z85" i="124" s="1"/>
  <c r="AN85" i="124"/>
  <c r="AO85" i="124" s="1"/>
  <c r="AV85" i="124"/>
  <c r="AW85" i="124" s="1"/>
  <c r="R85" i="124"/>
  <c r="T85" i="124" s="1"/>
  <c r="P85" i="124"/>
  <c r="AH85" i="124"/>
  <c r="AI85" i="124" s="1"/>
  <c r="BQ85" i="124"/>
  <c r="BR85" i="124" s="1"/>
  <c r="AY85" i="124"/>
  <c r="BG85" i="124"/>
  <c r="BH85" i="124" s="1"/>
  <c r="AE85" i="124"/>
  <c r="AF85" i="124" s="1"/>
  <c r="BA85" i="124"/>
  <c r="BB85" i="124" s="1"/>
  <c r="V85" i="124"/>
  <c r="W85" i="124" s="1"/>
  <c r="BD85" i="124"/>
  <c r="BE85" i="124" s="1"/>
  <c r="AT85" i="124"/>
  <c r="I86" i="63"/>
  <c r="M79" i="13"/>
  <c r="BL79" i="13"/>
  <c r="BN79" i="13"/>
  <c r="BO79" i="13" s="1"/>
  <c r="BG79" i="13"/>
  <c r="BH79" i="13" s="1"/>
  <c r="AT79" i="13"/>
  <c r="BD79" i="13"/>
  <c r="BE79" i="13" s="1"/>
  <c r="O79" i="13"/>
  <c r="AH79" i="13"/>
  <c r="AI79" i="13" s="1"/>
  <c r="AQ79" i="13"/>
  <c r="AR79" i="13" s="1"/>
  <c r="AV79" i="13"/>
  <c r="AW79" i="13" s="1"/>
  <c r="P79" i="13"/>
  <c r="V79" i="13"/>
  <c r="W79" i="13" s="1"/>
  <c r="AY79" i="13"/>
  <c r="Y79" i="13"/>
  <c r="Z79" i="13" s="1"/>
  <c r="BA79" i="13"/>
  <c r="BB79" i="13" s="1"/>
  <c r="R79" i="13"/>
  <c r="T79" i="13" s="1"/>
  <c r="AB79" i="13"/>
  <c r="AC79" i="13" s="1"/>
  <c r="AN79" i="13"/>
  <c r="AO79" i="13" s="1"/>
  <c r="AE79" i="13"/>
  <c r="AF79" i="13" s="1"/>
  <c r="BQ79" i="13"/>
  <c r="BR79" i="13" s="1"/>
  <c r="AK79" i="13"/>
  <c r="AL79" i="13" s="1"/>
  <c r="I86" i="126"/>
  <c r="F75" i="161" l="1"/>
  <c r="BJ85" i="107"/>
  <c r="BL85" i="107" s="1"/>
  <c r="V85" i="107"/>
  <c r="W85" i="107" s="1"/>
  <c r="O85" i="107"/>
  <c r="AQ85" i="107"/>
  <c r="AR85" i="107" s="1"/>
  <c r="BN85" i="107"/>
  <c r="BO85" i="107" s="1"/>
  <c r="AK85" i="107"/>
  <c r="AL85" i="107" s="1"/>
  <c r="AE85" i="107"/>
  <c r="AF85" i="107" s="1"/>
  <c r="R85" i="107"/>
  <c r="T85" i="107" s="1"/>
  <c r="BA85" i="107"/>
  <c r="BB85" i="107" s="1"/>
  <c r="BD85" i="107"/>
  <c r="BE85" i="107" s="1"/>
  <c r="AN85" i="107"/>
  <c r="AO85" i="107" s="1"/>
  <c r="Y85" i="107"/>
  <c r="Z85" i="107" s="1"/>
  <c r="AT85" i="107"/>
  <c r="P85" i="107"/>
  <c r="BK85" i="107"/>
  <c r="BG85" i="107"/>
  <c r="BH85" i="107" s="1"/>
  <c r="AH85" i="107"/>
  <c r="AI85" i="107" s="1"/>
  <c r="M85" i="107"/>
  <c r="BQ85" i="107"/>
  <c r="BR85" i="107" s="1"/>
  <c r="AV85" i="107"/>
  <c r="AW85" i="107" s="1"/>
  <c r="AB85" i="107"/>
  <c r="AC85" i="107" s="1"/>
  <c r="AY85" i="107"/>
  <c r="I87" i="107"/>
  <c r="K86" i="107"/>
  <c r="BG83" i="99"/>
  <c r="BH83" i="99" s="1"/>
  <c r="AV83" i="99"/>
  <c r="AW83" i="99" s="1"/>
  <c r="AT83" i="99"/>
  <c r="BA83" i="99"/>
  <c r="BB83" i="99" s="1"/>
  <c r="BN83" i="99"/>
  <c r="BO83" i="99" s="1"/>
  <c r="AK83" i="99"/>
  <c r="AL83" i="99" s="1"/>
  <c r="AH83" i="99"/>
  <c r="AI83" i="99" s="1"/>
  <c r="BD83" i="99"/>
  <c r="BE83" i="99" s="1"/>
  <c r="BQ83" i="99"/>
  <c r="BR83" i="99" s="1"/>
  <c r="AQ83" i="99"/>
  <c r="AR83" i="99" s="1"/>
  <c r="AN83" i="99"/>
  <c r="AO83" i="99" s="1"/>
  <c r="O83" i="99"/>
  <c r="P83" i="99"/>
  <c r="K84" i="99"/>
  <c r="M83" i="99"/>
  <c r="AE83" i="99"/>
  <c r="AF83" i="99" s="1"/>
  <c r="BK83" i="99"/>
  <c r="AY83" i="99"/>
  <c r="V83" i="99"/>
  <c r="W83" i="99" s="1"/>
  <c r="Y83" i="99"/>
  <c r="Z83" i="99" s="1"/>
  <c r="R83" i="99"/>
  <c r="T83" i="99" s="1"/>
  <c r="AB83" i="99"/>
  <c r="AC83" i="99" s="1"/>
  <c r="BJ83" i="99"/>
  <c r="BL83" i="99" s="1"/>
  <c r="BQ83" i="132"/>
  <c r="BR83" i="132" s="1"/>
  <c r="V83" i="132"/>
  <c r="W83" i="132" s="1"/>
  <c r="Y83" i="132"/>
  <c r="Z83" i="132" s="1"/>
  <c r="O83" i="132"/>
  <c r="M83" i="132"/>
  <c r="BN83" i="132"/>
  <c r="BO83" i="132" s="1"/>
  <c r="AK83" i="132"/>
  <c r="AL83" i="132" s="1"/>
  <c r="K84" i="132"/>
  <c r="P83" i="132"/>
  <c r="AY83" i="132"/>
  <c r="AE83" i="132"/>
  <c r="AF83" i="132" s="1"/>
  <c r="BG83" i="132"/>
  <c r="BH83" i="132" s="1"/>
  <c r="AH83" i="132"/>
  <c r="AI83" i="132" s="1"/>
  <c r="AN83" i="132"/>
  <c r="AO83" i="132" s="1"/>
  <c r="AQ83" i="132"/>
  <c r="AR83" i="132" s="1"/>
  <c r="AT83" i="132"/>
  <c r="R83" i="132"/>
  <c r="T83" i="132" s="1"/>
  <c r="BL83" i="132"/>
  <c r="BA83" i="132"/>
  <c r="BB83" i="132" s="1"/>
  <c r="AV83" i="132"/>
  <c r="AW83" i="132" s="1"/>
  <c r="AB83" i="132"/>
  <c r="AC83" i="132" s="1"/>
  <c r="BD83" i="132"/>
  <c r="BE83" i="132" s="1"/>
  <c r="BO116" i="161"/>
  <c r="F71" i="161" s="1"/>
  <c r="F70" i="161"/>
  <c r="O84" i="133"/>
  <c r="Y84" i="133"/>
  <c r="Z84" i="133" s="1"/>
  <c r="V84" i="133"/>
  <c r="W84" i="133" s="1"/>
  <c r="K85" i="133"/>
  <c r="BA84" i="133"/>
  <c r="BB84" i="133" s="1"/>
  <c r="AH84" i="133"/>
  <c r="AI84" i="133" s="1"/>
  <c r="BD84" i="133"/>
  <c r="BE84" i="133" s="1"/>
  <c r="P84" i="133"/>
  <c r="BQ84" i="133"/>
  <c r="BR84" i="133" s="1"/>
  <c r="AK84" i="133"/>
  <c r="AL84" i="133" s="1"/>
  <c r="M84" i="133"/>
  <c r="AB84" i="133"/>
  <c r="AC84" i="133" s="1"/>
  <c r="BG84" i="133"/>
  <c r="BH84" i="133" s="1"/>
  <c r="AN84" i="133"/>
  <c r="AO84" i="133" s="1"/>
  <c r="BN84" i="133"/>
  <c r="BO84" i="133" s="1"/>
  <c r="AV84" i="133"/>
  <c r="AW84" i="133" s="1"/>
  <c r="AT84" i="133"/>
  <c r="AY84" i="133"/>
  <c r="BL84" i="133"/>
  <c r="AQ84" i="133"/>
  <c r="AR84" i="133" s="1"/>
  <c r="R84" i="133"/>
  <c r="T84" i="133" s="1"/>
  <c r="AE84" i="133"/>
  <c r="AF84" i="133" s="1"/>
  <c r="I88" i="106"/>
  <c r="K87" i="156"/>
  <c r="AY87" i="156" s="1"/>
  <c r="I88" i="156"/>
  <c r="K82" i="112"/>
  <c r="AV81" i="112"/>
  <c r="AW81" i="112" s="1"/>
  <c r="BD81" i="112"/>
  <c r="BE81" i="112" s="1"/>
  <c r="AN81" i="112"/>
  <c r="AO81" i="112" s="1"/>
  <c r="AE81" i="112"/>
  <c r="AF81" i="112" s="1"/>
  <c r="P81" i="112"/>
  <c r="BA81" i="112"/>
  <c r="BB81" i="112" s="1"/>
  <c r="BJ81" i="112"/>
  <c r="BL81" i="112" s="1"/>
  <c r="AK81" i="112"/>
  <c r="AL81" i="112" s="1"/>
  <c r="BG81" i="112"/>
  <c r="BH81" i="112" s="1"/>
  <c r="AB81" i="112"/>
  <c r="AC81" i="112" s="1"/>
  <c r="BK81" i="112"/>
  <c r="R81" i="112"/>
  <c r="T81" i="112" s="1"/>
  <c r="AQ81" i="112"/>
  <c r="AR81" i="112" s="1"/>
  <c r="AY81" i="112"/>
  <c r="M81" i="112"/>
  <c r="BQ81" i="112"/>
  <c r="BR81" i="112" s="1"/>
  <c r="O81" i="112"/>
  <c r="V81" i="112"/>
  <c r="W81" i="112" s="1"/>
  <c r="BN81" i="112"/>
  <c r="BO81" i="112" s="1"/>
  <c r="AH81" i="112"/>
  <c r="AI81" i="112" s="1"/>
  <c r="AT81" i="112"/>
  <c r="Y81" i="112"/>
  <c r="Z81" i="112" s="1"/>
  <c r="AQ86" i="156"/>
  <c r="AR86" i="156" s="1"/>
  <c r="V86" i="156"/>
  <c r="W86" i="156" s="1"/>
  <c r="P86" i="156"/>
  <c r="BD86" i="156"/>
  <c r="BE86" i="156" s="1"/>
  <c r="AB86" i="156"/>
  <c r="AC86" i="156" s="1"/>
  <c r="BN86" i="156"/>
  <c r="BO86" i="156" s="1"/>
  <c r="R86" i="156"/>
  <c r="T86" i="156" s="1"/>
  <c r="M86" i="156"/>
  <c r="AH86" i="156"/>
  <c r="AI86" i="156" s="1"/>
  <c r="AV86" i="156"/>
  <c r="AW86" i="156" s="1"/>
  <c r="Y86" i="156"/>
  <c r="Z86" i="156" s="1"/>
  <c r="AN86" i="156"/>
  <c r="AO86" i="156" s="1"/>
  <c r="BL86" i="156"/>
  <c r="AE86" i="156"/>
  <c r="AF86" i="156" s="1"/>
  <c r="BQ86" i="156"/>
  <c r="BR86" i="156" s="1"/>
  <c r="BA86" i="156"/>
  <c r="BB86" i="156" s="1"/>
  <c r="AK86" i="156"/>
  <c r="AL86" i="156" s="1"/>
  <c r="O86" i="156"/>
  <c r="BG86" i="156"/>
  <c r="BH86" i="156" s="1"/>
  <c r="K83" i="129"/>
  <c r="AT82" i="129"/>
  <c r="AN82" i="129"/>
  <c r="AO82" i="129" s="1"/>
  <c r="AH82" i="129"/>
  <c r="AI82" i="129" s="1"/>
  <c r="BN82" i="129"/>
  <c r="BO82" i="129" s="1"/>
  <c r="AY82" i="129"/>
  <c r="AK82" i="129"/>
  <c r="AL82" i="129" s="1"/>
  <c r="AQ82" i="129"/>
  <c r="AR82" i="129" s="1"/>
  <c r="M82" i="129"/>
  <c r="BA82" i="129"/>
  <c r="BB82" i="129" s="1"/>
  <c r="O82" i="129"/>
  <c r="AB82" i="129"/>
  <c r="AC82" i="129" s="1"/>
  <c r="BG82" i="129"/>
  <c r="BH82" i="129" s="1"/>
  <c r="R82" i="129"/>
  <c r="T82" i="129" s="1"/>
  <c r="V82" i="129"/>
  <c r="W82" i="129" s="1"/>
  <c r="BL82" i="129"/>
  <c r="BD82" i="129"/>
  <c r="BE82" i="129" s="1"/>
  <c r="BQ82" i="129"/>
  <c r="BR82" i="129" s="1"/>
  <c r="AV82" i="129"/>
  <c r="AW82" i="129" s="1"/>
  <c r="Y82" i="129"/>
  <c r="Z82" i="129" s="1"/>
  <c r="AE82" i="129"/>
  <c r="AF82" i="129" s="1"/>
  <c r="P82" i="129"/>
  <c r="BJ81" i="106"/>
  <c r="BL81" i="106" s="1"/>
  <c r="AQ81" i="106"/>
  <c r="AR81" i="106" s="1"/>
  <c r="BD81" i="106"/>
  <c r="BE81" i="106" s="1"/>
  <c r="BG81" i="106"/>
  <c r="BH81" i="106" s="1"/>
  <c r="AN81" i="106"/>
  <c r="AO81" i="106" s="1"/>
  <c r="BA81" i="106"/>
  <c r="BB81" i="106" s="1"/>
  <c r="BQ81" i="106"/>
  <c r="BR81" i="106" s="1"/>
  <c r="R81" i="106"/>
  <c r="T81" i="106" s="1"/>
  <c r="O81" i="106"/>
  <c r="Y81" i="106"/>
  <c r="Z81" i="106" s="1"/>
  <c r="M81" i="106"/>
  <c r="AB81" i="106"/>
  <c r="AC81" i="106" s="1"/>
  <c r="AE81" i="106"/>
  <c r="AF81" i="106" s="1"/>
  <c r="AY81" i="106"/>
  <c r="BN81" i="106"/>
  <c r="BO81" i="106" s="1"/>
  <c r="AK81" i="106"/>
  <c r="AL81" i="106" s="1"/>
  <c r="P81" i="106"/>
  <c r="AH81" i="106"/>
  <c r="AI81" i="106" s="1"/>
  <c r="BK81" i="106"/>
  <c r="AV81" i="106"/>
  <c r="AW81" i="106" s="1"/>
  <c r="V81" i="106"/>
  <c r="W81" i="106" s="1"/>
  <c r="AT81" i="106"/>
  <c r="K82" i="106"/>
  <c r="BL80" i="95"/>
  <c r="Y80" i="95"/>
  <c r="Z80" i="95" s="1"/>
  <c r="AN80" i="95"/>
  <c r="AO80" i="95" s="1"/>
  <c r="K81" i="95"/>
  <c r="P80" i="95"/>
  <c r="AK80" i="95"/>
  <c r="AL80" i="95" s="1"/>
  <c r="BG80" i="95"/>
  <c r="BH80" i="95" s="1"/>
  <c r="R80" i="95"/>
  <c r="T80" i="95" s="1"/>
  <c r="BQ80" i="95"/>
  <c r="BR80" i="95" s="1"/>
  <c r="AE80" i="95"/>
  <c r="AF80" i="95" s="1"/>
  <c r="V80" i="95"/>
  <c r="W80" i="95" s="1"/>
  <c r="AB80" i="95"/>
  <c r="AC80" i="95" s="1"/>
  <c r="AQ80" i="95"/>
  <c r="AR80" i="95" s="1"/>
  <c r="M80" i="95"/>
  <c r="BA80" i="95"/>
  <c r="BB80" i="95" s="1"/>
  <c r="AT80" i="95"/>
  <c r="AV80" i="95"/>
  <c r="AW80" i="95" s="1"/>
  <c r="BN80" i="95"/>
  <c r="BO80" i="95" s="1"/>
  <c r="O80" i="95"/>
  <c r="AH80" i="95"/>
  <c r="AI80" i="95" s="1"/>
  <c r="BD80" i="95"/>
  <c r="BE80" i="95" s="1"/>
  <c r="M81" i="104"/>
  <c r="AE81" i="104"/>
  <c r="AF81" i="104" s="1"/>
  <c r="Y81" i="104"/>
  <c r="Z81" i="104" s="1"/>
  <c r="P81" i="104"/>
  <c r="BN81" i="104"/>
  <c r="BO81" i="104" s="1"/>
  <c r="BQ81" i="104"/>
  <c r="BR81" i="104" s="1"/>
  <c r="R81" i="104"/>
  <c r="T81" i="104" s="1"/>
  <c r="BD81" i="104"/>
  <c r="BE81" i="104" s="1"/>
  <c r="K82" i="104"/>
  <c r="BK81" i="104"/>
  <c r="V81" i="104"/>
  <c r="W81" i="104" s="1"/>
  <c r="AK81" i="104"/>
  <c r="AL81" i="104" s="1"/>
  <c r="AT81" i="104"/>
  <c r="AH81" i="104"/>
  <c r="AI81" i="104" s="1"/>
  <c r="BG81" i="104"/>
  <c r="BH81" i="104" s="1"/>
  <c r="AQ81" i="104"/>
  <c r="AR81" i="104" s="1"/>
  <c r="AN81" i="104"/>
  <c r="AO81" i="104" s="1"/>
  <c r="AY81" i="104"/>
  <c r="O81" i="104"/>
  <c r="BJ81" i="104"/>
  <c r="BL81" i="104" s="1"/>
  <c r="BA81" i="104"/>
  <c r="BB81" i="104" s="1"/>
  <c r="AV81" i="104"/>
  <c r="AW81" i="104" s="1"/>
  <c r="AB81" i="104"/>
  <c r="AC81" i="104" s="1"/>
  <c r="M82" i="130"/>
  <c r="BN82" i="130"/>
  <c r="BO82" i="130" s="1"/>
  <c r="K83" i="130"/>
  <c r="V82" i="130"/>
  <c r="W82" i="130" s="1"/>
  <c r="AH82" i="130"/>
  <c r="AI82" i="130" s="1"/>
  <c r="AY82" i="130"/>
  <c r="BL82" i="130"/>
  <c r="BQ82" i="130"/>
  <c r="BR82" i="130" s="1"/>
  <c r="BG82" i="130"/>
  <c r="BH82" i="130" s="1"/>
  <c r="AE82" i="130"/>
  <c r="AF82" i="130" s="1"/>
  <c r="P82" i="130"/>
  <c r="AN82" i="130"/>
  <c r="AO82" i="130" s="1"/>
  <c r="R82" i="130"/>
  <c r="T82" i="130" s="1"/>
  <c r="AB82" i="130"/>
  <c r="AC82" i="130" s="1"/>
  <c r="AQ82" i="130"/>
  <c r="AR82" i="130" s="1"/>
  <c r="BD82" i="130"/>
  <c r="BE82" i="130" s="1"/>
  <c r="AT82" i="130"/>
  <c r="BA82" i="130"/>
  <c r="BB82" i="130" s="1"/>
  <c r="AK82" i="130"/>
  <c r="AL82" i="130" s="1"/>
  <c r="AV82" i="130"/>
  <c r="AW82" i="130" s="1"/>
  <c r="Y82" i="130"/>
  <c r="Z82" i="130" s="1"/>
  <c r="O82" i="130"/>
  <c r="M87" i="155"/>
  <c r="BQ87" i="155"/>
  <c r="BR87" i="155" s="1"/>
  <c r="O87" i="155"/>
  <c r="V87" i="155"/>
  <c r="W87" i="155" s="1"/>
  <c r="AB87" i="155"/>
  <c r="AC87" i="155" s="1"/>
  <c r="AH87" i="155"/>
  <c r="AI87" i="155" s="1"/>
  <c r="AN87" i="155"/>
  <c r="AO87" i="155" s="1"/>
  <c r="BA87" i="155"/>
  <c r="BB87" i="155" s="1"/>
  <c r="BG87" i="155"/>
  <c r="BH87" i="155" s="1"/>
  <c r="P87" i="155"/>
  <c r="R87" i="155"/>
  <c r="T87" i="155" s="1"/>
  <c r="AE87" i="155"/>
  <c r="AF87" i="155" s="1"/>
  <c r="AQ87" i="155"/>
  <c r="AR87" i="155" s="1"/>
  <c r="BD87" i="155"/>
  <c r="BE87" i="155" s="1"/>
  <c r="BN87" i="155"/>
  <c r="BO87" i="155" s="1"/>
  <c r="AV87" i="155"/>
  <c r="AW87" i="155" s="1"/>
  <c r="Y87" i="155"/>
  <c r="Z87" i="155" s="1"/>
  <c r="AK87" i="155"/>
  <c r="AL87" i="155" s="1"/>
  <c r="BL87" i="155"/>
  <c r="K88" i="155"/>
  <c r="I89" i="155"/>
  <c r="R87" i="153"/>
  <c r="T87" i="153" s="1"/>
  <c r="Y87" i="153"/>
  <c r="Z87" i="153" s="1"/>
  <c r="AE87" i="153"/>
  <c r="AF87" i="153" s="1"/>
  <c r="AK87" i="153"/>
  <c r="AL87" i="153" s="1"/>
  <c r="AQ87" i="153"/>
  <c r="AR87" i="153" s="1"/>
  <c r="BD87" i="153"/>
  <c r="BE87" i="153" s="1"/>
  <c r="M87" i="153"/>
  <c r="BQ87" i="153"/>
  <c r="BR87" i="153" s="1"/>
  <c r="O87" i="153"/>
  <c r="V87" i="153"/>
  <c r="W87" i="153" s="1"/>
  <c r="AB87" i="153"/>
  <c r="AC87" i="153" s="1"/>
  <c r="AH87" i="153"/>
  <c r="AI87" i="153" s="1"/>
  <c r="AN87" i="153"/>
  <c r="AO87" i="153" s="1"/>
  <c r="BA87" i="153"/>
  <c r="BB87" i="153" s="1"/>
  <c r="BG87" i="153"/>
  <c r="BH87" i="153" s="1"/>
  <c r="AV87" i="153"/>
  <c r="AW87" i="153" s="1"/>
  <c r="BN87" i="153"/>
  <c r="BO87" i="153" s="1"/>
  <c r="P87" i="153"/>
  <c r="BL87" i="153"/>
  <c r="K88" i="153"/>
  <c r="I92" i="153"/>
  <c r="O87" i="152"/>
  <c r="V87" i="152"/>
  <c r="W87" i="152" s="1"/>
  <c r="AB87" i="152"/>
  <c r="AC87" i="152" s="1"/>
  <c r="AH87" i="152"/>
  <c r="AI87" i="152" s="1"/>
  <c r="AN87" i="152"/>
  <c r="AO87" i="152" s="1"/>
  <c r="BA87" i="152"/>
  <c r="BB87" i="152" s="1"/>
  <c r="BG87" i="152"/>
  <c r="BH87" i="152" s="1"/>
  <c r="P87" i="152"/>
  <c r="AV87" i="152"/>
  <c r="AW87" i="152" s="1"/>
  <c r="BN87" i="152"/>
  <c r="BO87" i="152" s="1"/>
  <c r="Y87" i="152"/>
  <c r="Z87" i="152" s="1"/>
  <c r="AK87" i="152"/>
  <c r="AL87" i="152" s="1"/>
  <c r="M87" i="152"/>
  <c r="BQ87" i="152"/>
  <c r="BR87" i="152" s="1"/>
  <c r="R87" i="152"/>
  <c r="T87" i="152" s="1"/>
  <c r="AE87" i="152"/>
  <c r="AF87" i="152" s="1"/>
  <c r="AQ87" i="152"/>
  <c r="AR87" i="152" s="1"/>
  <c r="BD87" i="152"/>
  <c r="BE87" i="152" s="1"/>
  <c r="BL87" i="152"/>
  <c r="K88" i="152"/>
  <c r="I96" i="152"/>
  <c r="BQ85" i="151"/>
  <c r="BR85" i="151" s="1"/>
  <c r="AY85" i="151"/>
  <c r="AV85" i="151"/>
  <c r="AW85" i="151" s="1"/>
  <c r="P85" i="151"/>
  <c r="BA85" i="151"/>
  <c r="BB85" i="151" s="1"/>
  <c r="AN85" i="151"/>
  <c r="AO85" i="151" s="1"/>
  <c r="AB85" i="151"/>
  <c r="AC85" i="151" s="1"/>
  <c r="O85" i="151"/>
  <c r="AK85" i="151"/>
  <c r="AL85" i="151" s="1"/>
  <c r="Y85" i="151"/>
  <c r="Z85" i="151" s="1"/>
  <c r="BG85" i="151"/>
  <c r="BH85" i="151" s="1"/>
  <c r="AT85" i="151"/>
  <c r="AH85" i="151"/>
  <c r="AI85" i="151" s="1"/>
  <c r="V85" i="151"/>
  <c r="W85" i="151" s="1"/>
  <c r="BD85" i="151"/>
  <c r="BE85" i="151" s="1"/>
  <c r="AQ85" i="151"/>
  <c r="AR85" i="151" s="1"/>
  <c r="AE85" i="151"/>
  <c r="AF85" i="151" s="1"/>
  <c r="R85" i="151"/>
  <c r="T85" i="151" s="1"/>
  <c r="BN85" i="151"/>
  <c r="BO85" i="151" s="1"/>
  <c r="M85" i="151"/>
  <c r="BL85" i="151"/>
  <c r="I87" i="151"/>
  <c r="K86" i="151"/>
  <c r="BD84" i="150"/>
  <c r="BE84" i="150" s="1"/>
  <c r="AQ84" i="150"/>
  <c r="AR84" i="150" s="1"/>
  <c r="AK84" i="150"/>
  <c r="AL84" i="150" s="1"/>
  <c r="AE84" i="150"/>
  <c r="AF84" i="150" s="1"/>
  <c r="Y84" i="150"/>
  <c r="Z84" i="150" s="1"/>
  <c r="R84" i="150"/>
  <c r="T84" i="150" s="1"/>
  <c r="AV84" i="150"/>
  <c r="AW84" i="150" s="1"/>
  <c r="P84" i="150"/>
  <c r="BG84" i="150"/>
  <c r="BH84" i="150" s="1"/>
  <c r="BA84" i="150"/>
  <c r="BB84" i="150" s="1"/>
  <c r="AT84" i="150"/>
  <c r="AN84" i="150"/>
  <c r="AO84" i="150" s="1"/>
  <c r="AH84" i="150"/>
  <c r="AI84" i="150" s="1"/>
  <c r="AB84" i="150"/>
  <c r="AC84" i="150" s="1"/>
  <c r="V84" i="150"/>
  <c r="W84" i="150" s="1"/>
  <c r="O84" i="150"/>
  <c r="AY84" i="150"/>
  <c r="BQ84" i="150"/>
  <c r="BR84" i="150" s="1"/>
  <c r="BN84" i="150"/>
  <c r="BO84" i="150" s="1"/>
  <c r="M84" i="150"/>
  <c r="BL84" i="150"/>
  <c r="K85" i="150"/>
  <c r="I88" i="150"/>
  <c r="AV86" i="149"/>
  <c r="AW86" i="149" s="1"/>
  <c r="BQ86" i="149"/>
  <c r="BR86" i="149" s="1"/>
  <c r="AY86" i="149"/>
  <c r="BA86" i="149"/>
  <c r="BB86" i="149" s="1"/>
  <c r="AN86" i="149"/>
  <c r="AO86" i="149" s="1"/>
  <c r="AE86" i="149"/>
  <c r="AF86" i="149" s="1"/>
  <c r="O86" i="149"/>
  <c r="AK86" i="149"/>
  <c r="AL86" i="149" s="1"/>
  <c r="V86" i="149"/>
  <c r="W86" i="149" s="1"/>
  <c r="BG86" i="149"/>
  <c r="BH86" i="149" s="1"/>
  <c r="AB86" i="149"/>
  <c r="AC86" i="149" s="1"/>
  <c r="R86" i="149"/>
  <c r="T86" i="149" s="1"/>
  <c r="AQ86" i="149"/>
  <c r="AR86" i="149" s="1"/>
  <c r="AH86" i="149"/>
  <c r="AI86" i="149" s="1"/>
  <c r="Y86" i="149"/>
  <c r="Z86" i="149" s="1"/>
  <c r="BD86" i="149"/>
  <c r="BE86" i="149" s="1"/>
  <c r="P86" i="149"/>
  <c r="BN86" i="149"/>
  <c r="BO86" i="149" s="1"/>
  <c r="M86" i="149"/>
  <c r="BL86" i="149"/>
  <c r="I88" i="149"/>
  <c r="K87" i="149"/>
  <c r="AT87" i="149" s="1"/>
  <c r="AV85" i="147"/>
  <c r="AW85" i="147" s="1"/>
  <c r="P85" i="147"/>
  <c r="AN85" i="147"/>
  <c r="AO85" i="147" s="1"/>
  <c r="Y85" i="147"/>
  <c r="Z85" i="147" s="1"/>
  <c r="O85" i="147"/>
  <c r="BD85" i="147"/>
  <c r="BE85" i="147" s="1"/>
  <c r="AT85" i="147"/>
  <c r="AE85" i="147"/>
  <c r="AF85" i="147" s="1"/>
  <c r="V85" i="147"/>
  <c r="W85" i="147" s="1"/>
  <c r="BQ85" i="147"/>
  <c r="BR85" i="147" s="1"/>
  <c r="BA85" i="147"/>
  <c r="BB85" i="147" s="1"/>
  <c r="AK85" i="147"/>
  <c r="AL85" i="147" s="1"/>
  <c r="AY85" i="147"/>
  <c r="AH85" i="147"/>
  <c r="AI85" i="147" s="1"/>
  <c r="R85" i="147"/>
  <c r="T85" i="147" s="1"/>
  <c r="AB85" i="147"/>
  <c r="AC85" i="147" s="1"/>
  <c r="BG85" i="147"/>
  <c r="BH85" i="147" s="1"/>
  <c r="AQ85" i="147"/>
  <c r="AR85" i="147" s="1"/>
  <c r="BN85" i="147"/>
  <c r="BO85" i="147" s="1"/>
  <c r="BK85" i="147"/>
  <c r="BJ85" i="147"/>
  <c r="BL85" i="147" s="1"/>
  <c r="M85" i="147"/>
  <c r="I87" i="147"/>
  <c r="K86" i="147"/>
  <c r="K85" i="146"/>
  <c r="I86" i="146"/>
  <c r="BG84" i="146"/>
  <c r="BH84" i="146" s="1"/>
  <c r="BA84" i="146"/>
  <c r="BB84" i="146" s="1"/>
  <c r="AT84" i="146"/>
  <c r="AN84" i="146"/>
  <c r="AO84" i="146" s="1"/>
  <c r="AH84" i="146"/>
  <c r="AI84" i="146" s="1"/>
  <c r="AB84" i="146"/>
  <c r="AC84" i="146" s="1"/>
  <c r="V84" i="146"/>
  <c r="W84" i="146" s="1"/>
  <c r="O84" i="146"/>
  <c r="BD84" i="146"/>
  <c r="BE84" i="146" s="1"/>
  <c r="AQ84" i="146"/>
  <c r="AR84" i="146" s="1"/>
  <c r="AK84" i="146"/>
  <c r="AL84" i="146" s="1"/>
  <c r="AE84" i="146"/>
  <c r="AF84" i="146" s="1"/>
  <c r="Y84" i="146"/>
  <c r="Z84" i="146" s="1"/>
  <c r="R84" i="146"/>
  <c r="T84" i="146" s="1"/>
  <c r="P84" i="146"/>
  <c r="AY84" i="146"/>
  <c r="AV84" i="146"/>
  <c r="AW84" i="146" s="1"/>
  <c r="BQ84" i="146"/>
  <c r="BR84" i="146" s="1"/>
  <c r="M84" i="146"/>
  <c r="BJ84" i="146"/>
  <c r="BL84" i="146" s="1"/>
  <c r="BN84" i="146"/>
  <c r="BO84" i="146" s="1"/>
  <c r="BK84" i="146"/>
  <c r="I87" i="126"/>
  <c r="M82" i="126"/>
  <c r="BJ82" i="126"/>
  <c r="BL82" i="126" s="1"/>
  <c r="BK82" i="126"/>
  <c r="BN82" i="126"/>
  <c r="BO82" i="126" s="1"/>
  <c r="AE82" i="126"/>
  <c r="AF82" i="126" s="1"/>
  <c r="P82" i="126"/>
  <c r="BA82" i="126"/>
  <c r="BB82" i="126" s="1"/>
  <c r="AH82" i="126"/>
  <c r="AI82" i="126" s="1"/>
  <c r="AB82" i="126"/>
  <c r="AC82" i="126" s="1"/>
  <c r="Y82" i="126"/>
  <c r="Z82" i="126" s="1"/>
  <c r="R82" i="126"/>
  <c r="T82" i="126" s="1"/>
  <c r="BG82" i="126"/>
  <c r="BH82" i="126" s="1"/>
  <c r="AQ82" i="126"/>
  <c r="AR82" i="126" s="1"/>
  <c r="AT82" i="126"/>
  <c r="AK82" i="126"/>
  <c r="AL82" i="126" s="1"/>
  <c r="BQ82" i="126"/>
  <c r="BR82" i="126" s="1"/>
  <c r="AV82" i="126"/>
  <c r="AW82" i="126" s="1"/>
  <c r="AN82" i="126"/>
  <c r="AO82" i="126" s="1"/>
  <c r="V82" i="126"/>
  <c r="W82" i="126" s="1"/>
  <c r="O82" i="126"/>
  <c r="BD82" i="126"/>
  <c r="BE82" i="126" s="1"/>
  <c r="AY82" i="126"/>
  <c r="K83" i="126"/>
  <c r="M84" i="136"/>
  <c r="BN84" i="136"/>
  <c r="BO84" i="136" s="1"/>
  <c r="BL84" i="136"/>
  <c r="AK84" i="136"/>
  <c r="AL84" i="136" s="1"/>
  <c r="BD84" i="136"/>
  <c r="BE84" i="136" s="1"/>
  <c r="AB84" i="136"/>
  <c r="AC84" i="136" s="1"/>
  <c r="BA84" i="136"/>
  <c r="BB84" i="136" s="1"/>
  <c r="AQ84" i="136"/>
  <c r="AR84" i="136" s="1"/>
  <c r="AE84" i="136"/>
  <c r="AF84" i="136" s="1"/>
  <c r="V84" i="136"/>
  <c r="W84" i="136" s="1"/>
  <c r="R84" i="136"/>
  <c r="T84" i="136" s="1"/>
  <c r="AT84" i="136"/>
  <c r="BG84" i="136"/>
  <c r="BH84" i="136" s="1"/>
  <c r="AV84" i="136"/>
  <c r="AW84" i="136" s="1"/>
  <c r="AN84" i="136"/>
  <c r="AO84" i="136" s="1"/>
  <c r="BQ84" i="136"/>
  <c r="BR84" i="136" s="1"/>
  <c r="Y84" i="136"/>
  <c r="Z84" i="136" s="1"/>
  <c r="P84" i="136"/>
  <c r="O84" i="136"/>
  <c r="AY84" i="136"/>
  <c r="AH84" i="136"/>
  <c r="AI84" i="136" s="1"/>
  <c r="K85" i="136"/>
  <c r="BN81" i="15"/>
  <c r="BO81" i="15" s="1"/>
  <c r="BL81" i="15"/>
  <c r="M81" i="15"/>
  <c r="V81" i="15"/>
  <c r="W81" i="15" s="1"/>
  <c r="BQ81" i="15"/>
  <c r="BR81" i="15" s="1"/>
  <c r="BG81" i="15"/>
  <c r="BH81" i="15" s="1"/>
  <c r="R81" i="15"/>
  <c r="T81" i="15" s="1"/>
  <c r="BA81" i="15"/>
  <c r="BB81" i="15" s="1"/>
  <c r="AE81" i="15"/>
  <c r="AF81" i="15" s="1"/>
  <c r="Y81" i="15"/>
  <c r="Z81" i="15" s="1"/>
  <c r="AN81" i="15"/>
  <c r="AO81" i="15" s="1"/>
  <c r="AK81" i="15"/>
  <c r="AL81" i="15" s="1"/>
  <c r="AH81" i="15"/>
  <c r="AI81" i="15" s="1"/>
  <c r="AT81" i="15"/>
  <c r="AQ81" i="15"/>
  <c r="AR81" i="15" s="1"/>
  <c r="O81" i="15"/>
  <c r="BD81" i="15"/>
  <c r="BE81" i="15" s="1"/>
  <c r="AB81" i="15"/>
  <c r="AC81" i="15" s="1"/>
  <c r="P81" i="15"/>
  <c r="AY81" i="15"/>
  <c r="AV81" i="15"/>
  <c r="AW81" i="15" s="1"/>
  <c r="K82" i="15"/>
  <c r="I89" i="132"/>
  <c r="BJ84" i="105"/>
  <c r="BL84" i="105" s="1"/>
  <c r="M84" i="105"/>
  <c r="BN84" i="105"/>
  <c r="BO84" i="105" s="1"/>
  <c r="BK84" i="105"/>
  <c r="AE84" i="105"/>
  <c r="AF84" i="105" s="1"/>
  <c r="R84" i="105"/>
  <c r="T84" i="105" s="1"/>
  <c r="BD84" i="105"/>
  <c r="BE84" i="105" s="1"/>
  <c r="AB84" i="105"/>
  <c r="AC84" i="105" s="1"/>
  <c r="AH84" i="105"/>
  <c r="AI84" i="105" s="1"/>
  <c r="O84" i="105"/>
  <c r="BA84" i="105"/>
  <c r="BB84" i="105" s="1"/>
  <c r="AK84" i="105"/>
  <c r="AL84" i="105" s="1"/>
  <c r="AN84" i="105"/>
  <c r="AO84" i="105" s="1"/>
  <c r="AV84" i="105"/>
  <c r="AW84" i="105" s="1"/>
  <c r="V84" i="105"/>
  <c r="W84" i="105" s="1"/>
  <c r="AT84" i="105"/>
  <c r="AY84" i="105"/>
  <c r="P84" i="105"/>
  <c r="BQ84" i="105"/>
  <c r="BR84" i="105" s="1"/>
  <c r="Y84" i="105"/>
  <c r="Z84" i="105" s="1"/>
  <c r="BG84" i="105"/>
  <c r="BH84" i="105" s="1"/>
  <c r="AQ84" i="105"/>
  <c r="AR84" i="105" s="1"/>
  <c r="K85" i="105"/>
  <c r="BK82" i="110"/>
  <c r="M82" i="110"/>
  <c r="BJ82" i="110"/>
  <c r="BL82" i="110" s="1"/>
  <c r="BN82" i="110"/>
  <c r="BO82" i="110" s="1"/>
  <c r="AK82" i="110"/>
  <c r="AL82" i="110" s="1"/>
  <c r="AY82" i="110"/>
  <c r="AH82" i="110"/>
  <c r="AI82" i="110" s="1"/>
  <c r="V82" i="110"/>
  <c r="W82" i="110" s="1"/>
  <c r="AE82" i="110"/>
  <c r="AF82" i="110" s="1"/>
  <c r="AN82" i="110"/>
  <c r="AO82" i="110" s="1"/>
  <c r="AT82" i="110"/>
  <c r="P82" i="110"/>
  <c r="AB82" i="110"/>
  <c r="AC82" i="110" s="1"/>
  <c r="BA82" i="110"/>
  <c r="BB82" i="110" s="1"/>
  <c r="BG82" i="110"/>
  <c r="BH82" i="110" s="1"/>
  <c r="BD82" i="110"/>
  <c r="BE82" i="110" s="1"/>
  <c r="AQ82" i="110"/>
  <c r="AR82" i="110" s="1"/>
  <c r="AV82" i="110"/>
  <c r="AW82" i="110" s="1"/>
  <c r="Y82" i="110"/>
  <c r="Z82" i="110" s="1"/>
  <c r="R82" i="110"/>
  <c r="T82" i="110" s="1"/>
  <c r="BQ82" i="110"/>
  <c r="BR82" i="110" s="1"/>
  <c r="O82" i="110"/>
  <c r="M80" i="66"/>
  <c r="BQ80" i="66"/>
  <c r="BR80" i="66" s="1"/>
  <c r="AK80" i="66"/>
  <c r="AL80" i="66" s="1"/>
  <c r="AH80" i="66"/>
  <c r="AI80" i="66" s="1"/>
  <c r="AV80" i="66"/>
  <c r="AW80" i="66" s="1"/>
  <c r="AT80" i="66"/>
  <c r="AY80" i="66"/>
  <c r="V80" i="66"/>
  <c r="W80" i="66" s="1"/>
  <c r="O80" i="66"/>
  <c r="AB80" i="66"/>
  <c r="AC80" i="66" s="1"/>
  <c r="BA80" i="66"/>
  <c r="BB80" i="66" s="1"/>
  <c r="AN80" i="66"/>
  <c r="AO80" i="66" s="1"/>
  <c r="R80" i="66"/>
  <c r="T80" i="66" s="1"/>
  <c r="AQ80" i="66"/>
  <c r="AR80" i="66" s="1"/>
  <c r="BL80" i="66"/>
  <c r="P80" i="66"/>
  <c r="BD80" i="66"/>
  <c r="BE80" i="66" s="1"/>
  <c r="Y80" i="66"/>
  <c r="Z80" i="66" s="1"/>
  <c r="AE80" i="66"/>
  <c r="AF80" i="66" s="1"/>
  <c r="BN80" i="66"/>
  <c r="BO80" i="66" s="1"/>
  <c r="BG80" i="66"/>
  <c r="BH80" i="66" s="1"/>
  <c r="I97" i="133"/>
  <c r="I88" i="136"/>
  <c r="K83" i="96"/>
  <c r="I84" i="96"/>
  <c r="M81" i="101"/>
  <c r="BA81" i="101"/>
  <c r="BB81" i="101" s="1"/>
  <c r="AB81" i="101"/>
  <c r="AC81" i="101" s="1"/>
  <c r="AE81" i="101"/>
  <c r="AF81" i="101" s="1"/>
  <c r="BG81" i="101"/>
  <c r="BH81" i="101" s="1"/>
  <c r="P81" i="101"/>
  <c r="AT81" i="101"/>
  <c r="Y81" i="101"/>
  <c r="Z81" i="101" s="1"/>
  <c r="AV81" i="101"/>
  <c r="AW81" i="101" s="1"/>
  <c r="BD81" i="101"/>
  <c r="BE81" i="101" s="1"/>
  <c r="AQ81" i="101"/>
  <c r="AR81" i="101" s="1"/>
  <c r="V81" i="101"/>
  <c r="W81" i="101" s="1"/>
  <c r="O81" i="101"/>
  <c r="AY81" i="101"/>
  <c r="AN81" i="101"/>
  <c r="AO81" i="101" s="1"/>
  <c r="BQ81" i="101"/>
  <c r="BR81" i="101" s="1"/>
  <c r="AH81" i="101"/>
  <c r="AI81" i="101" s="1"/>
  <c r="R81" i="101"/>
  <c r="T81" i="101" s="1"/>
  <c r="AK81" i="101"/>
  <c r="AL81" i="101" s="1"/>
  <c r="K81" i="13"/>
  <c r="I82" i="13"/>
  <c r="M82" i="115"/>
  <c r="BK82" i="115"/>
  <c r="BN82" i="115"/>
  <c r="BO82" i="115" s="1"/>
  <c r="BJ82" i="115"/>
  <c r="BL82" i="115" s="1"/>
  <c r="BG82" i="115"/>
  <c r="BH82" i="115" s="1"/>
  <c r="AQ82" i="115"/>
  <c r="AR82" i="115" s="1"/>
  <c r="BA82" i="115"/>
  <c r="BB82" i="115" s="1"/>
  <c r="Y82" i="115"/>
  <c r="Z82" i="115" s="1"/>
  <c r="P82" i="115"/>
  <c r="BD82" i="115"/>
  <c r="BE82" i="115" s="1"/>
  <c r="AN82" i="115"/>
  <c r="AO82" i="115" s="1"/>
  <c r="BQ82" i="115"/>
  <c r="BR82" i="115" s="1"/>
  <c r="AT82" i="115"/>
  <c r="AK82" i="115"/>
  <c r="AL82" i="115" s="1"/>
  <c r="AV82" i="115"/>
  <c r="AW82" i="115" s="1"/>
  <c r="V82" i="115"/>
  <c r="W82" i="115" s="1"/>
  <c r="AY82" i="115"/>
  <c r="R82" i="115"/>
  <c r="T82" i="115" s="1"/>
  <c r="AH82" i="115"/>
  <c r="AI82" i="115" s="1"/>
  <c r="AB82" i="115"/>
  <c r="AC82" i="115" s="1"/>
  <c r="AE82" i="115"/>
  <c r="AF82" i="115" s="1"/>
  <c r="O82" i="115"/>
  <c r="M83" i="64"/>
  <c r="AQ83" i="64"/>
  <c r="AR83" i="64" s="1"/>
  <c r="AE83" i="64"/>
  <c r="AF83" i="64" s="1"/>
  <c r="AB83" i="64"/>
  <c r="AC83" i="64" s="1"/>
  <c r="BG83" i="64"/>
  <c r="BH83" i="64" s="1"/>
  <c r="V83" i="64"/>
  <c r="W83" i="64" s="1"/>
  <c r="Y83" i="64"/>
  <c r="Z83" i="64" s="1"/>
  <c r="BQ83" i="64"/>
  <c r="BR83" i="64" s="1"/>
  <c r="P83" i="64"/>
  <c r="O83" i="64"/>
  <c r="BD83" i="64"/>
  <c r="BE83" i="64" s="1"/>
  <c r="BA83" i="64"/>
  <c r="BB83" i="64" s="1"/>
  <c r="R83" i="64"/>
  <c r="T83" i="64" s="1"/>
  <c r="AK83" i="64"/>
  <c r="AL83" i="64" s="1"/>
  <c r="AT83" i="64"/>
  <c r="AH83" i="64"/>
  <c r="AI83" i="64" s="1"/>
  <c r="AV83" i="64"/>
  <c r="AW83" i="64" s="1"/>
  <c r="AY83" i="64"/>
  <c r="AN83" i="64"/>
  <c r="AO83" i="64" s="1"/>
  <c r="BN83" i="64"/>
  <c r="BO83" i="64" s="1"/>
  <c r="BL83" i="64"/>
  <c r="K84" i="64"/>
  <c r="BQ82" i="96"/>
  <c r="BR82" i="96" s="1"/>
  <c r="BD82" i="96"/>
  <c r="BE82" i="96" s="1"/>
  <c r="V82" i="96"/>
  <c r="W82" i="96" s="1"/>
  <c r="R82" i="96"/>
  <c r="T82" i="96" s="1"/>
  <c r="BN82" i="96"/>
  <c r="BO82" i="96" s="1"/>
  <c r="BG82" i="96"/>
  <c r="BH82" i="96" s="1"/>
  <c r="AH82" i="96"/>
  <c r="AI82" i="96" s="1"/>
  <c r="Y82" i="96"/>
  <c r="Z82" i="96" s="1"/>
  <c r="P82" i="96"/>
  <c r="AT82" i="96"/>
  <c r="O82" i="96"/>
  <c r="AB82" i="96"/>
  <c r="AC82" i="96" s="1"/>
  <c r="AV82" i="96"/>
  <c r="AW82" i="96" s="1"/>
  <c r="M82" i="96"/>
  <c r="AN82" i="96"/>
  <c r="AO82" i="96" s="1"/>
  <c r="AK82" i="96"/>
  <c r="AL82" i="96" s="1"/>
  <c r="AE82" i="96"/>
  <c r="AF82" i="96" s="1"/>
  <c r="BL82" i="96"/>
  <c r="AQ82" i="96"/>
  <c r="AR82" i="96" s="1"/>
  <c r="BA82" i="96"/>
  <c r="BB82" i="96" s="1"/>
  <c r="I83" i="101"/>
  <c r="K82" i="101"/>
  <c r="K83" i="98"/>
  <c r="BK82" i="98"/>
  <c r="M82" i="98"/>
  <c r="BN82" i="98"/>
  <c r="BO82" i="98" s="1"/>
  <c r="BJ82" i="98"/>
  <c r="BL82" i="98" s="1"/>
  <c r="O82" i="98"/>
  <c r="BA82" i="98"/>
  <c r="BB82" i="98" s="1"/>
  <c r="AE82" i="98"/>
  <c r="AF82" i="98" s="1"/>
  <c r="Y82" i="98"/>
  <c r="Z82" i="98" s="1"/>
  <c r="AH82" i="98"/>
  <c r="AI82" i="98" s="1"/>
  <c r="AY82" i="98"/>
  <c r="P82" i="98"/>
  <c r="BD82" i="98"/>
  <c r="BE82" i="98" s="1"/>
  <c r="BG82" i="98"/>
  <c r="BH82" i="98" s="1"/>
  <c r="R82" i="98"/>
  <c r="T82" i="98" s="1"/>
  <c r="AB82" i="98"/>
  <c r="AC82" i="98" s="1"/>
  <c r="AT82" i="98"/>
  <c r="AN82" i="98"/>
  <c r="AO82" i="98" s="1"/>
  <c r="AK82" i="98"/>
  <c r="AL82" i="98" s="1"/>
  <c r="AV82" i="98"/>
  <c r="AW82" i="98" s="1"/>
  <c r="V82" i="98"/>
  <c r="W82" i="98" s="1"/>
  <c r="BQ82" i="98"/>
  <c r="BR82" i="98" s="1"/>
  <c r="AQ82" i="98"/>
  <c r="AR82" i="98" s="1"/>
  <c r="M83" i="135"/>
  <c r="R83" i="135"/>
  <c r="T83" i="135" s="1"/>
  <c r="V83" i="135"/>
  <c r="W83" i="135" s="1"/>
  <c r="AY83" i="135"/>
  <c r="BQ83" i="135"/>
  <c r="BR83" i="135" s="1"/>
  <c r="AB83" i="135"/>
  <c r="AC83" i="135" s="1"/>
  <c r="AK83" i="135"/>
  <c r="AL83" i="135" s="1"/>
  <c r="AE83" i="135"/>
  <c r="AF83" i="135" s="1"/>
  <c r="AV83" i="135"/>
  <c r="AW83" i="135" s="1"/>
  <c r="BD83" i="135"/>
  <c r="BE83" i="135" s="1"/>
  <c r="AT83" i="135"/>
  <c r="AQ83" i="135"/>
  <c r="AR83" i="135" s="1"/>
  <c r="O83" i="135"/>
  <c r="Y83" i="135"/>
  <c r="Z83" i="135" s="1"/>
  <c r="BA83" i="135"/>
  <c r="BB83" i="135" s="1"/>
  <c r="P83" i="135"/>
  <c r="AH83" i="135"/>
  <c r="AI83" i="135" s="1"/>
  <c r="BG83" i="135"/>
  <c r="BH83" i="135" s="1"/>
  <c r="AN83" i="135"/>
  <c r="AO83" i="135" s="1"/>
  <c r="BN83" i="135"/>
  <c r="BO83" i="135" s="1"/>
  <c r="BL83" i="135"/>
  <c r="I84" i="115"/>
  <c r="K83" i="115"/>
  <c r="R80" i="120"/>
  <c r="T80" i="120" s="1"/>
  <c r="AV80" i="120"/>
  <c r="AW80" i="120" s="1"/>
  <c r="AE80" i="120"/>
  <c r="AF80" i="120" s="1"/>
  <c r="BD80" i="120"/>
  <c r="BE80" i="120" s="1"/>
  <c r="AT80" i="120"/>
  <c r="AH80" i="120"/>
  <c r="AI80" i="120" s="1"/>
  <c r="BA80" i="120"/>
  <c r="BB80" i="120" s="1"/>
  <c r="P80" i="120"/>
  <c r="BG80" i="120"/>
  <c r="BH80" i="120" s="1"/>
  <c r="AK80" i="120"/>
  <c r="AL80" i="120" s="1"/>
  <c r="O80" i="120"/>
  <c r="V80" i="120"/>
  <c r="W80" i="120" s="1"/>
  <c r="Y80" i="120"/>
  <c r="Z80" i="120" s="1"/>
  <c r="AQ80" i="120"/>
  <c r="AR80" i="120" s="1"/>
  <c r="AY80" i="120"/>
  <c r="AN80" i="120"/>
  <c r="AO80" i="120" s="1"/>
  <c r="BQ80" i="120"/>
  <c r="BR80" i="120" s="1"/>
  <c r="K81" i="120"/>
  <c r="M80" i="120"/>
  <c r="AB80" i="120"/>
  <c r="AC80" i="120" s="1"/>
  <c r="BN80" i="120"/>
  <c r="BO80" i="120" s="1"/>
  <c r="I87" i="63"/>
  <c r="I86" i="15"/>
  <c r="I91" i="95"/>
  <c r="I88" i="114"/>
  <c r="K82" i="118"/>
  <c r="M81" i="118"/>
  <c r="BN81" i="118"/>
  <c r="BO81" i="118" s="1"/>
  <c r="AB81" i="118"/>
  <c r="AC81" i="118" s="1"/>
  <c r="V81" i="118"/>
  <c r="W81" i="118" s="1"/>
  <c r="BD81" i="118"/>
  <c r="BE81" i="118" s="1"/>
  <c r="BA81" i="118"/>
  <c r="BB81" i="118" s="1"/>
  <c r="P81" i="118"/>
  <c r="AK81" i="118"/>
  <c r="AL81" i="118" s="1"/>
  <c r="AY81" i="118"/>
  <c r="AE81" i="118"/>
  <c r="AF81" i="118" s="1"/>
  <c r="Y81" i="118"/>
  <c r="Z81" i="118" s="1"/>
  <c r="R81" i="118"/>
  <c r="T81" i="118" s="1"/>
  <c r="AN81" i="118"/>
  <c r="AO81" i="118" s="1"/>
  <c r="BQ81" i="118"/>
  <c r="BR81" i="118" s="1"/>
  <c r="AV81" i="118"/>
  <c r="AW81" i="118" s="1"/>
  <c r="O81" i="118"/>
  <c r="AQ81" i="118"/>
  <c r="AR81" i="118" s="1"/>
  <c r="AT81" i="118"/>
  <c r="BG81" i="118"/>
  <c r="BH81" i="118" s="1"/>
  <c r="AH81" i="118"/>
  <c r="AI81" i="118" s="1"/>
  <c r="I85" i="135"/>
  <c r="K84" i="135"/>
  <c r="I86" i="104"/>
  <c r="BN80" i="17"/>
  <c r="BO80" i="17" s="1"/>
  <c r="M80" i="17"/>
  <c r="BL80" i="17"/>
  <c r="AK80" i="17"/>
  <c r="AL80" i="17" s="1"/>
  <c r="AB80" i="17"/>
  <c r="AC80" i="17" s="1"/>
  <c r="BG80" i="17"/>
  <c r="BH80" i="17" s="1"/>
  <c r="Y80" i="17"/>
  <c r="Z80" i="17" s="1"/>
  <c r="P80" i="17"/>
  <c r="AV80" i="17"/>
  <c r="AW80" i="17" s="1"/>
  <c r="BA80" i="17"/>
  <c r="BB80" i="17" s="1"/>
  <c r="AY80" i="17"/>
  <c r="AN80" i="17"/>
  <c r="AO80" i="17" s="1"/>
  <c r="AE80" i="17"/>
  <c r="AF80" i="17" s="1"/>
  <c r="O80" i="17"/>
  <c r="AH80" i="17"/>
  <c r="AI80" i="17" s="1"/>
  <c r="BD80" i="17"/>
  <c r="BE80" i="17" s="1"/>
  <c r="AT80" i="17"/>
  <c r="V80" i="17"/>
  <c r="W80" i="17" s="1"/>
  <c r="AQ80" i="17"/>
  <c r="AR80" i="17" s="1"/>
  <c r="BQ80" i="17"/>
  <c r="BR80" i="17" s="1"/>
  <c r="R80" i="17"/>
  <c r="T80" i="17" s="1"/>
  <c r="BN82" i="63"/>
  <c r="BO82" i="63" s="1"/>
  <c r="M82" i="63"/>
  <c r="P82" i="63"/>
  <c r="V82" i="63"/>
  <c r="W82" i="63" s="1"/>
  <c r="BG82" i="63"/>
  <c r="BH82" i="63" s="1"/>
  <c r="AT82" i="63"/>
  <c r="AE82" i="63"/>
  <c r="AF82" i="63" s="1"/>
  <c r="AH82" i="63"/>
  <c r="AI82" i="63" s="1"/>
  <c r="Y82" i="63"/>
  <c r="Z82" i="63" s="1"/>
  <c r="BD82" i="63"/>
  <c r="BE82" i="63" s="1"/>
  <c r="AN82" i="63"/>
  <c r="AO82" i="63" s="1"/>
  <c r="AQ82" i="63"/>
  <c r="AR82" i="63" s="1"/>
  <c r="AB82" i="63"/>
  <c r="AC82" i="63" s="1"/>
  <c r="AY82" i="63"/>
  <c r="BQ82" i="63"/>
  <c r="BR82" i="63" s="1"/>
  <c r="O82" i="63"/>
  <c r="AK82" i="63"/>
  <c r="AL82" i="63" s="1"/>
  <c r="BA82" i="63"/>
  <c r="BB82" i="63" s="1"/>
  <c r="R82" i="63"/>
  <c r="T82" i="63" s="1"/>
  <c r="BL82" i="63"/>
  <c r="AV82" i="63"/>
  <c r="AW82" i="63" s="1"/>
  <c r="K83" i="63"/>
  <c r="BN86" i="124"/>
  <c r="BO86" i="124" s="1"/>
  <c r="M86" i="124"/>
  <c r="BK86" i="124"/>
  <c r="BJ86" i="124"/>
  <c r="BL86" i="124" s="1"/>
  <c r="K87" i="124"/>
  <c r="AQ86" i="124"/>
  <c r="AR86" i="124" s="1"/>
  <c r="Y86" i="124"/>
  <c r="Z86" i="124" s="1"/>
  <c r="P86" i="124"/>
  <c r="V86" i="124"/>
  <c r="W86" i="124" s="1"/>
  <c r="O86" i="124"/>
  <c r="AE86" i="124"/>
  <c r="AF86" i="124" s="1"/>
  <c r="AV86" i="124"/>
  <c r="AW86" i="124" s="1"/>
  <c r="AH86" i="124"/>
  <c r="AI86" i="124" s="1"/>
  <c r="AY86" i="124"/>
  <c r="BA86" i="124"/>
  <c r="BB86" i="124" s="1"/>
  <c r="AN86" i="124"/>
  <c r="AO86" i="124" s="1"/>
  <c r="BD86" i="124"/>
  <c r="BE86" i="124" s="1"/>
  <c r="AT86" i="124"/>
  <c r="R86" i="124"/>
  <c r="T86" i="124" s="1"/>
  <c r="AK86" i="124"/>
  <c r="AL86" i="124" s="1"/>
  <c r="BQ86" i="124"/>
  <c r="BR86" i="124" s="1"/>
  <c r="BG86" i="124"/>
  <c r="BH86" i="124" s="1"/>
  <c r="AB86" i="124"/>
  <c r="AC86" i="124" s="1"/>
  <c r="I88" i="64"/>
  <c r="I84" i="110"/>
  <c r="K83" i="110"/>
  <c r="K81" i="66"/>
  <c r="I82" i="66"/>
  <c r="I89" i="105"/>
  <c r="BK82" i="114"/>
  <c r="BJ82" i="114"/>
  <c r="BL82" i="114" s="1"/>
  <c r="M82" i="114"/>
  <c r="BN82" i="114"/>
  <c r="BO82" i="114" s="1"/>
  <c r="R82" i="114"/>
  <c r="T82" i="114" s="1"/>
  <c r="BG82" i="114"/>
  <c r="BH82" i="114" s="1"/>
  <c r="AY82" i="114"/>
  <c r="V82" i="114"/>
  <c r="W82" i="114" s="1"/>
  <c r="AH82" i="114"/>
  <c r="AI82" i="114" s="1"/>
  <c r="AN82" i="114"/>
  <c r="AO82" i="114" s="1"/>
  <c r="BD82" i="114"/>
  <c r="BE82" i="114" s="1"/>
  <c r="AT82" i="114"/>
  <c r="AE82" i="114"/>
  <c r="AF82" i="114" s="1"/>
  <c r="AK82" i="114"/>
  <c r="AL82" i="114" s="1"/>
  <c r="AV82" i="114"/>
  <c r="AW82" i="114" s="1"/>
  <c r="AQ82" i="114"/>
  <c r="AR82" i="114" s="1"/>
  <c r="Y82" i="114"/>
  <c r="Z82" i="114" s="1"/>
  <c r="O82" i="114"/>
  <c r="BQ82" i="114"/>
  <c r="BR82" i="114" s="1"/>
  <c r="AB82" i="114"/>
  <c r="AC82" i="114" s="1"/>
  <c r="P82" i="114"/>
  <c r="BA82" i="114"/>
  <c r="BB82" i="114" s="1"/>
  <c r="K83" i="114"/>
  <c r="M80" i="13"/>
  <c r="BN80" i="13"/>
  <c r="BO80" i="13" s="1"/>
  <c r="BL80" i="13"/>
  <c r="BQ80" i="13"/>
  <c r="BR80" i="13" s="1"/>
  <c r="AK80" i="13"/>
  <c r="AL80" i="13" s="1"/>
  <c r="AE80" i="13"/>
  <c r="AF80" i="13" s="1"/>
  <c r="R80" i="13"/>
  <c r="T80" i="13" s="1"/>
  <c r="AT80" i="13"/>
  <c r="AH80" i="13"/>
  <c r="AI80" i="13" s="1"/>
  <c r="AY80" i="13"/>
  <c r="V80" i="13"/>
  <c r="W80" i="13" s="1"/>
  <c r="AQ80" i="13"/>
  <c r="AR80" i="13" s="1"/>
  <c r="AB80" i="13"/>
  <c r="AC80" i="13" s="1"/>
  <c r="BG80" i="13"/>
  <c r="BH80" i="13" s="1"/>
  <c r="Y80" i="13"/>
  <c r="Z80" i="13" s="1"/>
  <c r="AN80" i="13"/>
  <c r="AO80" i="13" s="1"/>
  <c r="AV80" i="13"/>
  <c r="AW80" i="13" s="1"/>
  <c r="P80" i="13"/>
  <c r="BD80" i="13"/>
  <c r="BE80" i="13" s="1"/>
  <c r="BA80" i="13"/>
  <c r="BB80" i="13" s="1"/>
  <c r="O80" i="13"/>
  <c r="I82" i="17"/>
  <c r="K81" i="17"/>
  <c r="BK86" i="107" l="1"/>
  <c r="BQ86" i="107"/>
  <c r="BR86" i="107" s="1"/>
  <c r="AV86" i="107"/>
  <c r="AW86" i="107" s="1"/>
  <c r="BG86" i="107"/>
  <c r="BH86" i="107" s="1"/>
  <c r="AN86" i="107"/>
  <c r="AO86" i="107" s="1"/>
  <c r="BN86" i="107"/>
  <c r="BO86" i="107" s="1"/>
  <c r="AK86" i="107"/>
  <c r="AL86" i="107" s="1"/>
  <c r="V86" i="107"/>
  <c r="W86" i="107" s="1"/>
  <c r="R86" i="107"/>
  <c r="T86" i="107" s="1"/>
  <c r="BD86" i="107"/>
  <c r="BE86" i="107" s="1"/>
  <c r="AH86" i="107"/>
  <c r="AI86" i="107" s="1"/>
  <c r="M86" i="107"/>
  <c r="AQ86" i="107"/>
  <c r="AR86" i="107" s="1"/>
  <c r="AT86" i="107"/>
  <c r="AY86" i="107"/>
  <c r="AB86" i="107"/>
  <c r="AC86" i="107" s="1"/>
  <c r="BJ86" i="107"/>
  <c r="BL86" i="107" s="1"/>
  <c r="O86" i="107"/>
  <c r="P86" i="107"/>
  <c r="AE86" i="107"/>
  <c r="AF86" i="107" s="1"/>
  <c r="Y86" i="107"/>
  <c r="Z86" i="107" s="1"/>
  <c r="BA86" i="107"/>
  <c r="BB86" i="107" s="1"/>
  <c r="V84" i="99"/>
  <c r="W84" i="99" s="1"/>
  <c r="Y84" i="99"/>
  <c r="Z84" i="99" s="1"/>
  <c r="BA84" i="99"/>
  <c r="BB84" i="99" s="1"/>
  <c r="BG84" i="99"/>
  <c r="BH84" i="99" s="1"/>
  <c r="AQ84" i="99"/>
  <c r="AR84" i="99" s="1"/>
  <c r="AK84" i="99"/>
  <c r="AL84" i="99" s="1"/>
  <c r="AT84" i="99"/>
  <c r="AN84" i="99"/>
  <c r="AO84" i="99" s="1"/>
  <c r="AB84" i="99"/>
  <c r="AC84" i="99" s="1"/>
  <c r="AH84" i="99"/>
  <c r="AI84" i="99" s="1"/>
  <c r="BJ84" i="99"/>
  <c r="BL84" i="99" s="1"/>
  <c r="O84" i="99"/>
  <c r="BN84" i="99"/>
  <c r="BO84" i="99" s="1"/>
  <c r="BD84" i="99"/>
  <c r="BE84" i="99" s="1"/>
  <c r="P84" i="99"/>
  <c r="AE84" i="99"/>
  <c r="AF84" i="99" s="1"/>
  <c r="K85" i="99"/>
  <c r="AV84" i="99"/>
  <c r="AW84" i="99" s="1"/>
  <c r="M84" i="99"/>
  <c r="BK84" i="99"/>
  <c r="AY84" i="99"/>
  <c r="BQ84" i="99"/>
  <c r="BR84" i="99" s="1"/>
  <c r="R84" i="99"/>
  <c r="T84" i="99" s="1"/>
  <c r="I88" i="107"/>
  <c r="K87" i="107"/>
  <c r="V84" i="132"/>
  <c r="W84" i="132" s="1"/>
  <c r="P84" i="132"/>
  <c r="BL84" i="132"/>
  <c r="K85" i="132"/>
  <c r="R84" i="132"/>
  <c r="T84" i="132" s="1"/>
  <c r="AV84" i="132"/>
  <c r="AW84" i="132" s="1"/>
  <c r="AB84" i="132"/>
  <c r="AC84" i="132" s="1"/>
  <c r="AK84" i="132"/>
  <c r="AL84" i="132" s="1"/>
  <c r="AH84" i="132"/>
  <c r="AI84" i="132" s="1"/>
  <c r="BG84" i="132"/>
  <c r="BH84" i="132" s="1"/>
  <c r="M84" i="132"/>
  <c r="BD84" i="132"/>
  <c r="BE84" i="132" s="1"/>
  <c r="AY84" i="132"/>
  <c r="BN84" i="132"/>
  <c r="BO84" i="132" s="1"/>
  <c r="AT84" i="132"/>
  <c r="AQ84" i="132"/>
  <c r="AR84" i="132" s="1"/>
  <c r="BQ84" i="132"/>
  <c r="BR84" i="132" s="1"/>
  <c r="BA84" i="132"/>
  <c r="BB84" i="132" s="1"/>
  <c r="AE84" i="132"/>
  <c r="AF84" i="132" s="1"/>
  <c r="Y84" i="132"/>
  <c r="Z84" i="132" s="1"/>
  <c r="AN84" i="132"/>
  <c r="AO84" i="132" s="1"/>
  <c r="O84" i="132"/>
  <c r="I89" i="106"/>
  <c r="BN82" i="104"/>
  <c r="BO82" i="104" s="1"/>
  <c r="AK82" i="104"/>
  <c r="AL82" i="104" s="1"/>
  <c r="AN82" i="104"/>
  <c r="AO82" i="104" s="1"/>
  <c r="AQ82" i="104"/>
  <c r="AR82" i="104" s="1"/>
  <c r="K83" i="104"/>
  <c r="BK82" i="104"/>
  <c r="O82" i="104"/>
  <c r="P82" i="104"/>
  <c r="BG82" i="104"/>
  <c r="BH82" i="104" s="1"/>
  <c r="M82" i="104"/>
  <c r="V82" i="104"/>
  <c r="W82" i="104" s="1"/>
  <c r="Y82" i="104"/>
  <c r="Z82" i="104" s="1"/>
  <c r="AE82" i="104"/>
  <c r="AF82" i="104" s="1"/>
  <c r="BJ82" i="104"/>
  <c r="BL82" i="104" s="1"/>
  <c r="AT82" i="104"/>
  <c r="BD82" i="104"/>
  <c r="BE82" i="104" s="1"/>
  <c r="AB82" i="104"/>
  <c r="AC82" i="104" s="1"/>
  <c r="AV82" i="104"/>
  <c r="AW82" i="104" s="1"/>
  <c r="BQ82" i="104"/>
  <c r="BR82" i="104" s="1"/>
  <c r="AH82" i="104"/>
  <c r="AI82" i="104" s="1"/>
  <c r="BA82" i="104"/>
  <c r="BB82" i="104" s="1"/>
  <c r="AY82" i="104"/>
  <c r="R82" i="104"/>
  <c r="T82" i="104" s="1"/>
  <c r="BK82" i="106"/>
  <c r="AK82" i="106"/>
  <c r="AL82" i="106" s="1"/>
  <c r="BG82" i="106"/>
  <c r="BH82" i="106" s="1"/>
  <c r="R82" i="106"/>
  <c r="T82" i="106" s="1"/>
  <c r="BJ82" i="106"/>
  <c r="BL82" i="106" s="1"/>
  <c r="P82" i="106"/>
  <c r="AB82" i="106"/>
  <c r="AC82" i="106" s="1"/>
  <c r="AT82" i="106"/>
  <c r="AN82" i="106"/>
  <c r="AO82" i="106" s="1"/>
  <c r="BA82" i="106"/>
  <c r="BB82" i="106" s="1"/>
  <c r="AV82" i="106"/>
  <c r="AW82" i="106" s="1"/>
  <c r="BQ82" i="106"/>
  <c r="BR82" i="106" s="1"/>
  <c r="BD82" i="106"/>
  <c r="BE82" i="106" s="1"/>
  <c r="AY82" i="106"/>
  <c r="M82" i="106"/>
  <c r="AH82" i="106"/>
  <c r="AI82" i="106" s="1"/>
  <c r="V82" i="106"/>
  <c r="W82" i="106" s="1"/>
  <c r="AE82" i="106"/>
  <c r="AF82" i="106" s="1"/>
  <c r="BN82" i="106"/>
  <c r="BO82" i="106" s="1"/>
  <c r="O82" i="106"/>
  <c r="Y82" i="106"/>
  <c r="Z82" i="106" s="1"/>
  <c r="AQ82" i="106"/>
  <c r="AR82" i="106" s="1"/>
  <c r="K83" i="106"/>
  <c r="M85" i="133"/>
  <c r="AY85" i="133"/>
  <c r="AE85" i="133"/>
  <c r="AF85" i="133" s="1"/>
  <c r="AK85" i="133"/>
  <c r="AL85" i="133" s="1"/>
  <c r="AH85" i="133"/>
  <c r="AI85" i="133" s="1"/>
  <c r="BN85" i="133"/>
  <c r="BO85" i="133" s="1"/>
  <c r="BA85" i="133"/>
  <c r="BB85" i="133" s="1"/>
  <c r="AQ85" i="133"/>
  <c r="AR85" i="133" s="1"/>
  <c r="P85" i="133"/>
  <c r="BD85" i="133"/>
  <c r="BE85" i="133" s="1"/>
  <c r="AB85" i="133"/>
  <c r="AC85" i="133" s="1"/>
  <c r="O85" i="133"/>
  <c r="V85" i="133"/>
  <c r="W85" i="133" s="1"/>
  <c r="K86" i="133"/>
  <c r="BL85" i="133"/>
  <c r="AT85" i="133"/>
  <c r="BG85" i="133"/>
  <c r="BH85" i="133" s="1"/>
  <c r="R85" i="133"/>
  <c r="T85" i="133" s="1"/>
  <c r="BQ85" i="133"/>
  <c r="BR85" i="133" s="1"/>
  <c r="Y85" i="133"/>
  <c r="Z85" i="133" s="1"/>
  <c r="AN85" i="133"/>
  <c r="AO85" i="133" s="1"/>
  <c r="AV85" i="133"/>
  <c r="AW85" i="133" s="1"/>
  <c r="M82" i="112"/>
  <c r="AV82" i="112"/>
  <c r="AW82" i="112" s="1"/>
  <c r="BD82" i="112"/>
  <c r="BE82" i="112" s="1"/>
  <c r="BQ82" i="112"/>
  <c r="BR82" i="112" s="1"/>
  <c r="O82" i="112"/>
  <c r="BJ82" i="112"/>
  <c r="BL82" i="112" s="1"/>
  <c r="BG82" i="112"/>
  <c r="BH82" i="112" s="1"/>
  <c r="AN82" i="112"/>
  <c r="AO82" i="112" s="1"/>
  <c r="Y82" i="112"/>
  <c r="Z82" i="112" s="1"/>
  <c r="V82" i="112"/>
  <c r="W82" i="112" s="1"/>
  <c r="BN82" i="112"/>
  <c r="BO82" i="112" s="1"/>
  <c r="AK82" i="112"/>
  <c r="AL82" i="112" s="1"/>
  <c r="AE82" i="112"/>
  <c r="AF82" i="112" s="1"/>
  <c r="AT82" i="112"/>
  <c r="AQ82" i="112"/>
  <c r="AR82" i="112" s="1"/>
  <c r="K83" i="112"/>
  <c r="AH82" i="112"/>
  <c r="AI82" i="112" s="1"/>
  <c r="AY82" i="112"/>
  <c r="BA82" i="112"/>
  <c r="BB82" i="112" s="1"/>
  <c r="BK82" i="112"/>
  <c r="P82" i="112"/>
  <c r="AB82" i="112"/>
  <c r="AC82" i="112" s="1"/>
  <c r="R82" i="112"/>
  <c r="T82" i="112" s="1"/>
  <c r="M81" i="95"/>
  <c r="V81" i="95"/>
  <c r="W81" i="95" s="1"/>
  <c r="BA81" i="95"/>
  <c r="BB81" i="95" s="1"/>
  <c r="BD81" i="95"/>
  <c r="BE81" i="95" s="1"/>
  <c r="BN81" i="95"/>
  <c r="BO81" i="95" s="1"/>
  <c r="AV81" i="95"/>
  <c r="AW81" i="95" s="1"/>
  <c r="AH81" i="95"/>
  <c r="AI81" i="95" s="1"/>
  <c r="AQ81" i="95"/>
  <c r="AR81" i="95" s="1"/>
  <c r="BL81" i="95"/>
  <c r="O81" i="95"/>
  <c r="R81" i="95"/>
  <c r="T81" i="95" s="1"/>
  <c r="K82" i="95"/>
  <c r="BG81" i="95"/>
  <c r="BH81" i="95" s="1"/>
  <c r="AT81" i="95"/>
  <c r="P81" i="95"/>
  <c r="BQ81" i="95"/>
  <c r="BR81" i="95" s="1"/>
  <c r="AE81" i="95"/>
  <c r="AF81" i="95" s="1"/>
  <c r="AK81" i="95"/>
  <c r="AL81" i="95" s="1"/>
  <c r="AB81" i="95"/>
  <c r="AC81" i="95" s="1"/>
  <c r="Y81" i="95"/>
  <c r="Z81" i="95" s="1"/>
  <c r="AN81" i="95"/>
  <c r="AO81" i="95" s="1"/>
  <c r="AN83" i="129"/>
  <c r="AO83" i="129" s="1"/>
  <c r="BQ83" i="129"/>
  <c r="BR83" i="129" s="1"/>
  <c r="AT83" i="129"/>
  <c r="BL83" i="129"/>
  <c r="O83" i="129"/>
  <c r="Y83" i="129"/>
  <c r="Z83" i="129" s="1"/>
  <c r="AH83" i="129"/>
  <c r="AI83" i="129" s="1"/>
  <c r="BG83" i="129"/>
  <c r="BH83" i="129" s="1"/>
  <c r="AQ83" i="129"/>
  <c r="AR83" i="129" s="1"/>
  <c r="BD83" i="129"/>
  <c r="BE83" i="129" s="1"/>
  <c r="K84" i="129"/>
  <c r="AY83" i="129"/>
  <c r="V83" i="129"/>
  <c r="W83" i="129" s="1"/>
  <c r="AV83" i="129"/>
  <c r="AW83" i="129" s="1"/>
  <c r="M83" i="129"/>
  <c r="BA83" i="129"/>
  <c r="BB83" i="129" s="1"/>
  <c r="P83" i="129"/>
  <c r="AB83" i="129"/>
  <c r="AC83" i="129" s="1"/>
  <c r="BN83" i="129"/>
  <c r="BO83" i="129" s="1"/>
  <c r="AK83" i="129"/>
  <c r="AL83" i="129" s="1"/>
  <c r="AE83" i="129"/>
  <c r="AF83" i="129" s="1"/>
  <c r="R83" i="129"/>
  <c r="T83" i="129" s="1"/>
  <c r="K88" i="156"/>
  <c r="AY88" i="156" s="1"/>
  <c r="I89" i="156"/>
  <c r="Y87" i="156"/>
  <c r="Z87" i="156" s="1"/>
  <c r="O87" i="156"/>
  <c r="AE87" i="156"/>
  <c r="AF87" i="156" s="1"/>
  <c r="BQ87" i="156"/>
  <c r="BR87" i="156" s="1"/>
  <c r="AN87" i="156"/>
  <c r="AO87" i="156" s="1"/>
  <c r="P87" i="156"/>
  <c r="AK87" i="156"/>
  <c r="AL87" i="156" s="1"/>
  <c r="AH87" i="156"/>
  <c r="AI87" i="156" s="1"/>
  <c r="BA87" i="156"/>
  <c r="BB87" i="156" s="1"/>
  <c r="R87" i="156"/>
  <c r="T87" i="156" s="1"/>
  <c r="BL87" i="156"/>
  <c r="AV87" i="156"/>
  <c r="AW87" i="156" s="1"/>
  <c r="AQ87" i="156"/>
  <c r="AR87" i="156" s="1"/>
  <c r="BG87" i="156"/>
  <c r="BH87" i="156" s="1"/>
  <c r="V87" i="156"/>
  <c r="W87" i="156" s="1"/>
  <c r="BN87" i="156"/>
  <c r="BO87" i="156" s="1"/>
  <c r="BD87" i="156"/>
  <c r="BE87" i="156" s="1"/>
  <c r="AB87" i="156"/>
  <c r="AC87" i="156" s="1"/>
  <c r="M87" i="156"/>
  <c r="BL83" i="130"/>
  <c r="K84" i="130"/>
  <c r="BN83" i="130"/>
  <c r="BO83" i="130" s="1"/>
  <c r="M83" i="130"/>
  <c r="AQ83" i="130"/>
  <c r="AR83" i="130" s="1"/>
  <c r="Y83" i="130"/>
  <c r="Z83" i="130" s="1"/>
  <c r="AT83" i="130"/>
  <c r="BQ83" i="130"/>
  <c r="BR83" i="130" s="1"/>
  <c r="AH83" i="130"/>
  <c r="AI83" i="130" s="1"/>
  <c r="P83" i="130"/>
  <c r="AN83" i="130"/>
  <c r="AO83" i="130" s="1"/>
  <c r="AK83" i="130"/>
  <c r="AL83" i="130" s="1"/>
  <c r="BA83" i="130"/>
  <c r="BB83" i="130" s="1"/>
  <c r="AY83" i="130"/>
  <c r="O83" i="130"/>
  <c r="R83" i="130"/>
  <c r="T83" i="130" s="1"/>
  <c r="AE83" i="130"/>
  <c r="AF83" i="130" s="1"/>
  <c r="AV83" i="130"/>
  <c r="AW83" i="130" s="1"/>
  <c r="V83" i="130"/>
  <c r="W83" i="130" s="1"/>
  <c r="BD83" i="130"/>
  <c r="BE83" i="130" s="1"/>
  <c r="AB83" i="130"/>
  <c r="AC83" i="130" s="1"/>
  <c r="BG83" i="130"/>
  <c r="BH83" i="130" s="1"/>
  <c r="K89" i="155"/>
  <c r="I90" i="155"/>
  <c r="R88" i="155"/>
  <c r="T88" i="155" s="1"/>
  <c r="Y88" i="155"/>
  <c r="Z88" i="155" s="1"/>
  <c r="AE88" i="155"/>
  <c r="AF88" i="155" s="1"/>
  <c r="AK88" i="155"/>
  <c r="AL88" i="155" s="1"/>
  <c r="AQ88" i="155"/>
  <c r="AR88" i="155" s="1"/>
  <c r="BD88" i="155"/>
  <c r="BE88" i="155" s="1"/>
  <c r="M88" i="155"/>
  <c r="AV88" i="155"/>
  <c r="AW88" i="155" s="1"/>
  <c r="BN88" i="155"/>
  <c r="BO88" i="155" s="1"/>
  <c r="O88" i="155"/>
  <c r="AB88" i="155"/>
  <c r="AC88" i="155" s="1"/>
  <c r="AN88" i="155"/>
  <c r="AO88" i="155" s="1"/>
  <c r="BA88" i="155"/>
  <c r="BB88" i="155" s="1"/>
  <c r="P88" i="155"/>
  <c r="BQ88" i="155"/>
  <c r="BR88" i="155" s="1"/>
  <c r="V88" i="155"/>
  <c r="W88" i="155" s="1"/>
  <c r="AH88" i="155"/>
  <c r="AI88" i="155" s="1"/>
  <c r="BG88" i="155"/>
  <c r="BH88" i="155" s="1"/>
  <c r="BL88" i="155"/>
  <c r="I93" i="153"/>
  <c r="P88" i="153"/>
  <c r="AV88" i="153"/>
  <c r="AW88" i="153" s="1"/>
  <c r="BN88" i="153"/>
  <c r="BO88" i="153" s="1"/>
  <c r="R88" i="153"/>
  <c r="T88" i="153" s="1"/>
  <c r="Y88" i="153"/>
  <c r="Z88" i="153" s="1"/>
  <c r="AE88" i="153"/>
  <c r="AF88" i="153" s="1"/>
  <c r="AK88" i="153"/>
  <c r="AL88" i="153" s="1"/>
  <c r="AQ88" i="153"/>
  <c r="AR88" i="153" s="1"/>
  <c r="BD88" i="153"/>
  <c r="BE88" i="153" s="1"/>
  <c r="M88" i="153"/>
  <c r="BQ88" i="153"/>
  <c r="BR88" i="153" s="1"/>
  <c r="V88" i="153"/>
  <c r="W88" i="153" s="1"/>
  <c r="AB88" i="153"/>
  <c r="AC88" i="153" s="1"/>
  <c r="BA88" i="153"/>
  <c r="BB88" i="153" s="1"/>
  <c r="BL88" i="153"/>
  <c r="AH88" i="153"/>
  <c r="AI88" i="153" s="1"/>
  <c r="BG88" i="153"/>
  <c r="BH88" i="153" s="1"/>
  <c r="O88" i="153"/>
  <c r="AN88" i="153"/>
  <c r="AO88" i="153" s="1"/>
  <c r="K89" i="153"/>
  <c r="I97" i="152"/>
  <c r="M88" i="152"/>
  <c r="BQ88" i="152"/>
  <c r="BR88" i="152" s="1"/>
  <c r="R88" i="152"/>
  <c r="T88" i="152" s="1"/>
  <c r="AB88" i="152"/>
  <c r="AC88" i="152" s="1"/>
  <c r="AQ88" i="152"/>
  <c r="AR88" i="152" s="1"/>
  <c r="BA88" i="152"/>
  <c r="BB88" i="152" s="1"/>
  <c r="BN88" i="152"/>
  <c r="BO88" i="152" s="1"/>
  <c r="V88" i="152"/>
  <c r="W88" i="152" s="1"/>
  <c r="AK88" i="152"/>
  <c r="AL88" i="152" s="1"/>
  <c r="O88" i="152"/>
  <c r="AE88" i="152"/>
  <c r="AF88" i="152" s="1"/>
  <c r="AN88" i="152"/>
  <c r="AO88" i="152" s="1"/>
  <c r="AV88" i="152"/>
  <c r="AW88" i="152" s="1"/>
  <c r="BD88" i="152"/>
  <c r="BE88" i="152" s="1"/>
  <c r="P88" i="152"/>
  <c r="Y88" i="152"/>
  <c r="Z88" i="152" s="1"/>
  <c r="AH88" i="152"/>
  <c r="AI88" i="152" s="1"/>
  <c r="BG88" i="152"/>
  <c r="BH88" i="152" s="1"/>
  <c r="BL88" i="152"/>
  <c r="K89" i="152"/>
  <c r="BQ86" i="151"/>
  <c r="BR86" i="151" s="1"/>
  <c r="AY86" i="151"/>
  <c r="AV86" i="151"/>
  <c r="AW86" i="151" s="1"/>
  <c r="P86" i="151"/>
  <c r="BA86" i="151"/>
  <c r="BB86" i="151" s="1"/>
  <c r="AN86" i="151"/>
  <c r="AO86" i="151" s="1"/>
  <c r="AB86" i="151"/>
  <c r="AC86" i="151" s="1"/>
  <c r="O86" i="151"/>
  <c r="AK86" i="151"/>
  <c r="AL86" i="151" s="1"/>
  <c r="Y86" i="151"/>
  <c r="Z86" i="151" s="1"/>
  <c r="BG86" i="151"/>
  <c r="BH86" i="151" s="1"/>
  <c r="AT86" i="151"/>
  <c r="AH86" i="151"/>
  <c r="AI86" i="151" s="1"/>
  <c r="V86" i="151"/>
  <c r="W86" i="151" s="1"/>
  <c r="BD86" i="151"/>
  <c r="BE86" i="151" s="1"/>
  <c r="AQ86" i="151"/>
  <c r="AR86" i="151" s="1"/>
  <c r="AE86" i="151"/>
  <c r="AF86" i="151" s="1"/>
  <c r="R86" i="151"/>
  <c r="T86" i="151" s="1"/>
  <c r="M86" i="151"/>
  <c r="BN86" i="151"/>
  <c r="BO86" i="151" s="1"/>
  <c r="BL86" i="151"/>
  <c r="I88" i="151"/>
  <c r="K87" i="151"/>
  <c r="BD85" i="150"/>
  <c r="BE85" i="150" s="1"/>
  <c r="AQ85" i="150"/>
  <c r="AR85" i="150" s="1"/>
  <c r="AK85" i="150"/>
  <c r="AL85" i="150" s="1"/>
  <c r="AE85" i="150"/>
  <c r="AF85" i="150" s="1"/>
  <c r="Y85" i="150"/>
  <c r="Z85" i="150" s="1"/>
  <c r="R85" i="150"/>
  <c r="T85" i="150" s="1"/>
  <c r="AV85" i="150"/>
  <c r="AW85" i="150" s="1"/>
  <c r="P85" i="150"/>
  <c r="BG85" i="150"/>
  <c r="BH85" i="150" s="1"/>
  <c r="BA85" i="150"/>
  <c r="BB85" i="150" s="1"/>
  <c r="AT85" i="150"/>
  <c r="AN85" i="150"/>
  <c r="AO85" i="150" s="1"/>
  <c r="AH85" i="150"/>
  <c r="AI85" i="150" s="1"/>
  <c r="AB85" i="150"/>
  <c r="AC85" i="150" s="1"/>
  <c r="V85" i="150"/>
  <c r="W85" i="150" s="1"/>
  <c r="O85" i="150"/>
  <c r="AY85" i="150"/>
  <c r="BQ85" i="150"/>
  <c r="BR85" i="150" s="1"/>
  <c r="M85" i="150"/>
  <c r="BN85" i="150"/>
  <c r="BO85" i="150" s="1"/>
  <c r="BL85" i="150"/>
  <c r="K86" i="150"/>
  <c r="I89" i="150"/>
  <c r="BG87" i="149"/>
  <c r="BH87" i="149" s="1"/>
  <c r="BA87" i="149"/>
  <c r="BB87" i="149" s="1"/>
  <c r="AN87" i="149"/>
  <c r="AO87" i="149" s="1"/>
  <c r="AH87" i="149"/>
  <c r="AI87" i="149" s="1"/>
  <c r="AB87" i="149"/>
  <c r="AC87" i="149" s="1"/>
  <c r="V87" i="149"/>
  <c r="W87" i="149" s="1"/>
  <c r="O87" i="149"/>
  <c r="BD87" i="149"/>
  <c r="BE87" i="149" s="1"/>
  <c r="AQ87" i="149"/>
  <c r="AR87" i="149" s="1"/>
  <c r="AK87" i="149"/>
  <c r="AL87" i="149" s="1"/>
  <c r="AE87" i="149"/>
  <c r="AF87" i="149" s="1"/>
  <c r="Y87" i="149"/>
  <c r="Z87" i="149" s="1"/>
  <c r="R87" i="149"/>
  <c r="T87" i="149" s="1"/>
  <c r="AY87" i="149"/>
  <c r="AV87" i="149"/>
  <c r="AW87" i="149" s="1"/>
  <c r="BQ87" i="149"/>
  <c r="BR87" i="149" s="1"/>
  <c r="P87" i="149"/>
  <c r="BN87" i="149"/>
  <c r="BO87" i="149" s="1"/>
  <c r="M87" i="149"/>
  <c r="BL87" i="149"/>
  <c r="I89" i="149"/>
  <c r="K88" i="149"/>
  <c r="AT88" i="149" s="1"/>
  <c r="BD86" i="147"/>
  <c r="BE86" i="147" s="1"/>
  <c r="AQ86" i="147"/>
  <c r="AR86" i="147" s="1"/>
  <c r="AK86" i="147"/>
  <c r="AL86" i="147" s="1"/>
  <c r="AE86" i="147"/>
  <c r="AF86" i="147" s="1"/>
  <c r="Y86" i="147"/>
  <c r="Z86" i="147" s="1"/>
  <c r="R86" i="147"/>
  <c r="T86" i="147" s="1"/>
  <c r="AV86" i="147"/>
  <c r="AW86" i="147" s="1"/>
  <c r="P86" i="147"/>
  <c r="AY86" i="147"/>
  <c r="BG86" i="147"/>
  <c r="BH86" i="147" s="1"/>
  <c r="AT86" i="147"/>
  <c r="AH86" i="147"/>
  <c r="AI86" i="147" s="1"/>
  <c r="V86" i="147"/>
  <c r="W86" i="147" s="1"/>
  <c r="BA86" i="147"/>
  <c r="BB86" i="147" s="1"/>
  <c r="AB86" i="147"/>
  <c r="AC86" i="147" s="1"/>
  <c r="BQ86" i="147"/>
  <c r="BR86" i="147" s="1"/>
  <c r="AN86" i="147"/>
  <c r="AO86" i="147" s="1"/>
  <c r="O86" i="147"/>
  <c r="BJ86" i="147"/>
  <c r="BL86" i="147" s="1"/>
  <c r="BK86" i="147"/>
  <c r="M86" i="147"/>
  <c r="BN86" i="147"/>
  <c r="BO86" i="147" s="1"/>
  <c r="I88" i="147"/>
  <c r="K87" i="147"/>
  <c r="I87" i="146"/>
  <c r="K86" i="146"/>
  <c r="BG85" i="146"/>
  <c r="BH85" i="146" s="1"/>
  <c r="BA85" i="146"/>
  <c r="BB85" i="146" s="1"/>
  <c r="AT85" i="146"/>
  <c r="AN85" i="146"/>
  <c r="AO85" i="146" s="1"/>
  <c r="AH85" i="146"/>
  <c r="AI85" i="146" s="1"/>
  <c r="AB85" i="146"/>
  <c r="AC85" i="146" s="1"/>
  <c r="V85" i="146"/>
  <c r="W85" i="146" s="1"/>
  <c r="O85" i="146"/>
  <c r="BD85" i="146"/>
  <c r="BE85" i="146" s="1"/>
  <c r="AQ85" i="146"/>
  <c r="AR85" i="146" s="1"/>
  <c r="AK85" i="146"/>
  <c r="AL85" i="146" s="1"/>
  <c r="AE85" i="146"/>
  <c r="AF85" i="146" s="1"/>
  <c r="Y85" i="146"/>
  <c r="Z85" i="146" s="1"/>
  <c r="R85" i="146"/>
  <c r="T85" i="146" s="1"/>
  <c r="P85" i="146"/>
  <c r="AY85" i="146"/>
  <c r="AV85" i="146"/>
  <c r="AW85" i="146" s="1"/>
  <c r="BQ85" i="146"/>
  <c r="BR85" i="146" s="1"/>
  <c r="BN85" i="146"/>
  <c r="BO85" i="146" s="1"/>
  <c r="BK85" i="146"/>
  <c r="BJ85" i="146"/>
  <c r="BL85" i="146" s="1"/>
  <c r="M85" i="146"/>
  <c r="BN83" i="114"/>
  <c r="BO83" i="114" s="1"/>
  <c r="BK83" i="114"/>
  <c r="BJ83" i="114"/>
  <c r="BL83" i="114" s="1"/>
  <c r="M83" i="114"/>
  <c r="AV83" i="114"/>
  <c r="AW83" i="114" s="1"/>
  <c r="O83" i="114"/>
  <c r="AK83" i="114"/>
  <c r="AL83" i="114" s="1"/>
  <c r="R83" i="114"/>
  <c r="T83" i="114" s="1"/>
  <c r="AT83" i="114"/>
  <c r="AQ83" i="114"/>
  <c r="AR83" i="114" s="1"/>
  <c r="Y83" i="114"/>
  <c r="Z83" i="114" s="1"/>
  <c r="AY83" i="114"/>
  <c r="V83" i="114"/>
  <c r="W83" i="114" s="1"/>
  <c r="AN83" i="114"/>
  <c r="AO83" i="114" s="1"/>
  <c r="AH83" i="114"/>
  <c r="AI83" i="114" s="1"/>
  <c r="AE83" i="114"/>
  <c r="AF83" i="114" s="1"/>
  <c r="BG83" i="114"/>
  <c r="BH83" i="114" s="1"/>
  <c r="BD83" i="114"/>
  <c r="BE83" i="114" s="1"/>
  <c r="BA83" i="114"/>
  <c r="BB83" i="114" s="1"/>
  <c r="BQ83" i="114"/>
  <c r="BR83" i="114" s="1"/>
  <c r="P83" i="114"/>
  <c r="AB83" i="114"/>
  <c r="AC83" i="114" s="1"/>
  <c r="K84" i="114"/>
  <c r="I85" i="110"/>
  <c r="K84" i="110"/>
  <c r="I89" i="64"/>
  <c r="M87" i="124"/>
  <c r="BK87" i="124"/>
  <c r="BJ87" i="124"/>
  <c r="BL87" i="124" s="1"/>
  <c r="BN87" i="124"/>
  <c r="BO87" i="124" s="1"/>
  <c r="K88" i="124"/>
  <c r="BQ87" i="124"/>
  <c r="BR87" i="124" s="1"/>
  <c r="P87" i="124"/>
  <c r="AY87" i="124"/>
  <c r="BD87" i="124"/>
  <c r="BE87" i="124" s="1"/>
  <c r="AQ87" i="124"/>
  <c r="AR87" i="124" s="1"/>
  <c r="R87" i="124"/>
  <c r="T87" i="124" s="1"/>
  <c r="BA87" i="124"/>
  <c r="BB87" i="124" s="1"/>
  <c r="AH87" i="124"/>
  <c r="AI87" i="124" s="1"/>
  <c r="AV87" i="124"/>
  <c r="AW87" i="124" s="1"/>
  <c r="AN87" i="124"/>
  <c r="AO87" i="124" s="1"/>
  <c r="AB87" i="124"/>
  <c r="AC87" i="124" s="1"/>
  <c r="Y87" i="124"/>
  <c r="Z87" i="124" s="1"/>
  <c r="AE87" i="124"/>
  <c r="AF87" i="124" s="1"/>
  <c r="V87" i="124"/>
  <c r="W87" i="124" s="1"/>
  <c r="AK87" i="124"/>
  <c r="AL87" i="124" s="1"/>
  <c r="BG87" i="124"/>
  <c r="BH87" i="124" s="1"/>
  <c r="O87" i="124"/>
  <c r="AT87" i="124"/>
  <c r="M82" i="118"/>
  <c r="K83" i="118"/>
  <c r="BN82" i="118"/>
  <c r="BO82" i="118" s="1"/>
  <c r="AV82" i="118"/>
  <c r="AW82" i="118" s="1"/>
  <c r="BA82" i="118"/>
  <c r="BB82" i="118" s="1"/>
  <c r="O82" i="118"/>
  <c r="AT82" i="118"/>
  <c r="Y82" i="118"/>
  <c r="Z82" i="118" s="1"/>
  <c r="AH82" i="118"/>
  <c r="AI82" i="118" s="1"/>
  <c r="BG82" i="118"/>
  <c r="BH82" i="118" s="1"/>
  <c r="AE82" i="118"/>
  <c r="AF82" i="118" s="1"/>
  <c r="BQ82" i="118"/>
  <c r="BR82" i="118" s="1"/>
  <c r="AN82" i="118"/>
  <c r="AO82" i="118" s="1"/>
  <c r="AY82" i="118"/>
  <c r="R82" i="118"/>
  <c r="T82" i="118" s="1"/>
  <c r="V82" i="118"/>
  <c r="W82" i="118" s="1"/>
  <c r="AB82" i="118"/>
  <c r="AC82" i="118" s="1"/>
  <c r="AQ82" i="118"/>
  <c r="AR82" i="118" s="1"/>
  <c r="AK82" i="118"/>
  <c r="AL82" i="118" s="1"/>
  <c r="BD82" i="118"/>
  <c r="BE82" i="118" s="1"/>
  <c r="P82" i="118"/>
  <c r="I85" i="115"/>
  <c r="K84" i="115"/>
  <c r="AE83" i="96"/>
  <c r="AF83" i="96" s="1"/>
  <c r="AQ83" i="96"/>
  <c r="AR83" i="96" s="1"/>
  <c r="BN83" i="96"/>
  <c r="BO83" i="96" s="1"/>
  <c r="BG83" i="96"/>
  <c r="BH83" i="96" s="1"/>
  <c r="AB83" i="96"/>
  <c r="AC83" i="96" s="1"/>
  <c r="V83" i="96"/>
  <c r="W83" i="96" s="1"/>
  <c r="Y83" i="96"/>
  <c r="Z83" i="96" s="1"/>
  <c r="BD83" i="96"/>
  <c r="BE83" i="96" s="1"/>
  <c r="O83" i="96"/>
  <c r="AT83" i="96"/>
  <c r="AK83" i="96"/>
  <c r="AL83" i="96" s="1"/>
  <c r="AV83" i="96"/>
  <c r="AW83" i="96" s="1"/>
  <c r="BA83" i="96"/>
  <c r="BB83" i="96" s="1"/>
  <c r="BQ83" i="96"/>
  <c r="BR83" i="96" s="1"/>
  <c r="AN83" i="96"/>
  <c r="AO83" i="96" s="1"/>
  <c r="M83" i="96"/>
  <c r="P83" i="96"/>
  <c r="R83" i="96"/>
  <c r="T83" i="96" s="1"/>
  <c r="AH83" i="96"/>
  <c r="AI83" i="96" s="1"/>
  <c r="BL83" i="96"/>
  <c r="I98" i="133"/>
  <c r="BK85" i="105"/>
  <c r="BN85" i="105"/>
  <c r="BO85" i="105" s="1"/>
  <c r="BJ85" i="105"/>
  <c r="BL85" i="105" s="1"/>
  <c r="M85" i="105"/>
  <c r="O85" i="105"/>
  <c r="AK85" i="105"/>
  <c r="AL85" i="105" s="1"/>
  <c r="Y85" i="105"/>
  <c r="Z85" i="105" s="1"/>
  <c r="AY85" i="105"/>
  <c r="V85" i="105"/>
  <c r="W85" i="105" s="1"/>
  <c r="R85" i="105"/>
  <c r="T85" i="105" s="1"/>
  <c r="AQ85" i="105"/>
  <c r="AR85" i="105" s="1"/>
  <c r="AT85" i="105"/>
  <c r="BA85" i="105"/>
  <c r="BB85" i="105" s="1"/>
  <c r="BG85" i="105"/>
  <c r="BH85" i="105" s="1"/>
  <c r="BQ85" i="105"/>
  <c r="BR85" i="105" s="1"/>
  <c r="P85" i="105"/>
  <c r="AB85" i="105"/>
  <c r="AC85" i="105" s="1"/>
  <c r="AE85" i="105"/>
  <c r="AF85" i="105" s="1"/>
  <c r="AN85" i="105"/>
  <c r="AO85" i="105" s="1"/>
  <c r="AH85" i="105"/>
  <c r="AI85" i="105" s="1"/>
  <c r="AV85" i="105"/>
  <c r="AW85" i="105" s="1"/>
  <c r="BD85" i="105"/>
  <c r="BE85" i="105" s="1"/>
  <c r="K86" i="105"/>
  <c r="I90" i="132"/>
  <c r="BN81" i="17"/>
  <c r="BO81" i="17" s="1"/>
  <c r="BL81" i="17"/>
  <c r="M81" i="17"/>
  <c r="AY81" i="17"/>
  <c r="AN81" i="17"/>
  <c r="AO81" i="17" s="1"/>
  <c r="AT81" i="17"/>
  <c r="AE81" i="17"/>
  <c r="AF81" i="17" s="1"/>
  <c r="AH81" i="17"/>
  <c r="AI81" i="17" s="1"/>
  <c r="Y81" i="17"/>
  <c r="Z81" i="17" s="1"/>
  <c r="V81" i="17"/>
  <c r="W81" i="17" s="1"/>
  <c r="BG81" i="17"/>
  <c r="BH81" i="17" s="1"/>
  <c r="AB81" i="17"/>
  <c r="AC81" i="17" s="1"/>
  <c r="R81" i="17"/>
  <c r="T81" i="17" s="1"/>
  <c r="AQ81" i="17"/>
  <c r="AR81" i="17" s="1"/>
  <c r="P81" i="17"/>
  <c r="AV81" i="17"/>
  <c r="AW81" i="17" s="1"/>
  <c r="BQ81" i="17"/>
  <c r="BR81" i="17" s="1"/>
  <c r="BA81" i="17"/>
  <c r="BB81" i="17" s="1"/>
  <c r="O81" i="17"/>
  <c r="AK81" i="17"/>
  <c r="AL81" i="17" s="1"/>
  <c r="BD81" i="17"/>
  <c r="BE81" i="17" s="1"/>
  <c r="K82" i="66"/>
  <c r="I83" i="66"/>
  <c r="BN83" i="63"/>
  <c r="BO83" i="63" s="1"/>
  <c r="M83" i="63"/>
  <c r="BL83" i="63"/>
  <c r="P83" i="63"/>
  <c r="AV83" i="63"/>
  <c r="AW83" i="63" s="1"/>
  <c r="AN83" i="63"/>
  <c r="AO83" i="63" s="1"/>
  <c r="Y83" i="63"/>
  <c r="Z83" i="63" s="1"/>
  <c r="AE83" i="63"/>
  <c r="AF83" i="63" s="1"/>
  <c r="AH83" i="63"/>
  <c r="AI83" i="63" s="1"/>
  <c r="V83" i="63"/>
  <c r="W83" i="63" s="1"/>
  <c r="AK83" i="63"/>
  <c r="AL83" i="63" s="1"/>
  <c r="R83" i="63"/>
  <c r="T83" i="63" s="1"/>
  <c r="AB83" i="63"/>
  <c r="AC83" i="63" s="1"/>
  <c r="BA83" i="63"/>
  <c r="BB83" i="63" s="1"/>
  <c r="BD83" i="63"/>
  <c r="BE83" i="63" s="1"/>
  <c r="O83" i="63"/>
  <c r="BG83" i="63"/>
  <c r="BH83" i="63" s="1"/>
  <c r="AY83" i="63"/>
  <c r="BQ83" i="63"/>
  <c r="BR83" i="63" s="1"/>
  <c r="AT83" i="63"/>
  <c r="AQ83" i="63"/>
  <c r="AR83" i="63" s="1"/>
  <c r="K84" i="63"/>
  <c r="I87" i="104"/>
  <c r="I89" i="114"/>
  <c r="I87" i="15"/>
  <c r="I88" i="63"/>
  <c r="K82" i="120"/>
  <c r="V81" i="120"/>
  <c r="W81" i="120" s="1"/>
  <c r="R81" i="120"/>
  <c r="T81" i="120" s="1"/>
  <c r="AQ81" i="120"/>
  <c r="AR81" i="120" s="1"/>
  <c r="AN81" i="120"/>
  <c r="AO81" i="120" s="1"/>
  <c r="AY81" i="120"/>
  <c r="BQ81" i="120"/>
  <c r="BR81" i="120" s="1"/>
  <c r="O81" i="120"/>
  <c r="AE81" i="120"/>
  <c r="AF81" i="120" s="1"/>
  <c r="Y81" i="120"/>
  <c r="Z81" i="120" s="1"/>
  <c r="BA81" i="120"/>
  <c r="BB81" i="120" s="1"/>
  <c r="AV81" i="120"/>
  <c r="AW81" i="120" s="1"/>
  <c r="AB81" i="120"/>
  <c r="AC81" i="120" s="1"/>
  <c r="P81" i="120"/>
  <c r="M81" i="120"/>
  <c r="AK81" i="120"/>
  <c r="AL81" i="120" s="1"/>
  <c r="AH81" i="120"/>
  <c r="AI81" i="120" s="1"/>
  <c r="BG81" i="120"/>
  <c r="BH81" i="120" s="1"/>
  <c r="BD81" i="120"/>
  <c r="BE81" i="120" s="1"/>
  <c r="AT81" i="120"/>
  <c r="BN81" i="120"/>
  <c r="BO81" i="120" s="1"/>
  <c r="I89" i="136"/>
  <c r="M82" i="15"/>
  <c r="BN82" i="15"/>
  <c r="BO82" i="15" s="1"/>
  <c r="BL82" i="15"/>
  <c r="AY82" i="15"/>
  <c r="BQ82" i="15"/>
  <c r="BR82" i="15" s="1"/>
  <c r="AH82" i="15"/>
  <c r="AI82" i="15" s="1"/>
  <c r="AQ82" i="15"/>
  <c r="AR82" i="15" s="1"/>
  <c r="R82" i="15"/>
  <c r="T82" i="15" s="1"/>
  <c r="P82" i="15"/>
  <c r="AK82" i="15"/>
  <c r="AL82" i="15" s="1"/>
  <c r="Y82" i="15"/>
  <c r="Z82" i="15" s="1"/>
  <c r="BA82" i="15"/>
  <c r="BB82" i="15" s="1"/>
  <c r="AE82" i="15"/>
  <c r="AF82" i="15" s="1"/>
  <c r="AV82" i="15"/>
  <c r="AW82" i="15" s="1"/>
  <c r="O82" i="15"/>
  <c r="BD82" i="15"/>
  <c r="BE82" i="15" s="1"/>
  <c r="AN82" i="15"/>
  <c r="AO82" i="15" s="1"/>
  <c r="AT82" i="15"/>
  <c r="V82" i="15"/>
  <c r="W82" i="15" s="1"/>
  <c r="AB82" i="15"/>
  <c r="AC82" i="15" s="1"/>
  <c r="BG82" i="15"/>
  <c r="BH82" i="15" s="1"/>
  <c r="K83" i="15"/>
  <c r="M83" i="126"/>
  <c r="BJ83" i="126"/>
  <c r="BL83" i="126" s="1"/>
  <c r="BK83" i="126"/>
  <c r="BN83" i="126"/>
  <c r="BO83" i="126" s="1"/>
  <c r="AY83" i="126"/>
  <c r="P83" i="126"/>
  <c r="AT83" i="126"/>
  <c r="AN83" i="126"/>
  <c r="AO83" i="126" s="1"/>
  <c r="AH83" i="126"/>
  <c r="AI83" i="126" s="1"/>
  <c r="AB83" i="126"/>
  <c r="AC83" i="126" s="1"/>
  <c r="O83" i="126"/>
  <c r="AK83" i="126"/>
  <c r="AL83" i="126" s="1"/>
  <c r="AQ83" i="126"/>
  <c r="AR83" i="126" s="1"/>
  <c r="AE83" i="126"/>
  <c r="AF83" i="126" s="1"/>
  <c r="BA83" i="126"/>
  <c r="BB83" i="126" s="1"/>
  <c r="AV83" i="126"/>
  <c r="AW83" i="126" s="1"/>
  <c r="Y83" i="126"/>
  <c r="Z83" i="126" s="1"/>
  <c r="V83" i="126"/>
  <c r="W83" i="126" s="1"/>
  <c r="BD83" i="126"/>
  <c r="BE83" i="126" s="1"/>
  <c r="BG83" i="126"/>
  <c r="BH83" i="126" s="1"/>
  <c r="BQ83" i="126"/>
  <c r="BR83" i="126" s="1"/>
  <c r="R83" i="126"/>
  <c r="T83" i="126" s="1"/>
  <c r="K84" i="126"/>
  <c r="I83" i="17"/>
  <c r="K82" i="17"/>
  <c r="V81" i="66"/>
  <c r="W81" i="66" s="1"/>
  <c r="O81" i="66"/>
  <c r="BD81" i="66"/>
  <c r="BE81" i="66" s="1"/>
  <c r="BA81" i="66"/>
  <c r="BB81" i="66" s="1"/>
  <c r="AY81" i="66"/>
  <c r="R81" i="66"/>
  <c r="T81" i="66" s="1"/>
  <c r="BN81" i="66"/>
  <c r="BO81" i="66" s="1"/>
  <c r="M81" i="66"/>
  <c r="P81" i="66"/>
  <c r="AN81" i="66"/>
  <c r="AO81" i="66" s="1"/>
  <c r="AK81" i="66"/>
  <c r="AL81" i="66" s="1"/>
  <c r="AQ81" i="66"/>
  <c r="AR81" i="66" s="1"/>
  <c r="AV81" i="66"/>
  <c r="AW81" i="66" s="1"/>
  <c r="AB81" i="66"/>
  <c r="AC81" i="66" s="1"/>
  <c r="BQ81" i="66"/>
  <c r="BR81" i="66" s="1"/>
  <c r="BG81" i="66"/>
  <c r="BH81" i="66" s="1"/>
  <c r="AH81" i="66"/>
  <c r="AI81" i="66" s="1"/>
  <c r="AE81" i="66"/>
  <c r="AF81" i="66" s="1"/>
  <c r="Y81" i="66"/>
  <c r="Z81" i="66" s="1"/>
  <c r="AT81" i="66"/>
  <c r="BL81" i="66"/>
  <c r="M84" i="135"/>
  <c r="AH84" i="135"/>
  <c r="AI84" i="135" s="1"/>
  <c r="BD84" i="135"/>
  <c r="BE84" i="135" s="1"/>
  <c r="Y84" i="135"/>
  <c r="Z84" i="135" s="1"/>
  <c r="AE84" i="135"/>
  <c r="AF84" i="135" s="1"/>
  <c r="AV84" i="135"/>
  <c r="AW84" i="135" s="1"/>
  <c r="AT84" i="135"/>
  <c r="AY84" i="135"/>
  <c r="AN84" i="135"/>
  <c r="AO84" i="135" s="1"/>
  <c r="BA84" i="135"/>
  <c r="BB84" i="135" s="1"/>
  <c r="AQ84" i="135"/>
  <c r="AR84" i="135" s="1"/>
  <c r="R84" i="135"/>
  <c r="T84" i="135" s="1"/>
  <c r="AK84" i="135"/>
  <c r="AL84" i="135" s="1"/>
  <c r="V84" i="135"/>
  <c r="W84" i="135" s="1"/>
  <c r="BN84" i="135"/>
  <c r="BO84" i="135" s="1"/>
  <c r="P84" i="135"/>
  <c r="BG84" i="135"/>
  <c r="BH84" i="135" s="1"/>
  <c r="BQ84" i="135"/>
  <c r="BR84" i="135" s="1"/>
  <c r="AB84" i="135"/>
  <c r="AC84" i="135" s="1"/>
  <c r="O84" i="135"/>
  <c r="BL84" i="135"/>
  <c r="M83" i="98"/>
  <c r="BN83" i="98"/>
  <c r="BO83" i="98" s="1"/>
  <c r="BJ83" i="98"/>
  <c r="BL83" i="98" s="1"/>
  <c r="BK83" i="98"/>
  <c r="AQ83" i="98"/>
  <c r="AR83" i="98" s="1"/>
  <c r="K84" i="98"/>
  <c r="AV83" i="98"/>
  <c r="AW83" i="98" s="1"/>
  <c r="O83" i="98"/>
  <c r="AH83" i="98"/>
  <c r="AI83" i="98" s="1"/>
  <c r="BD83" i="98"/>
  <c r="BE83" i="98" s="1"/>
  <c r="BQ83" i="98"/>
  <c r="BR83" i="98" s="1"/>
  <c r="AY83" i="98"/>
  <c r="AB83" i="98"/>
  <c r="AC83" i="98" s="1"/>
  <c r="P83" i="98"/>
  <c r="V83" i="98"/>
  <c r="W83" i="98" s="1"/>
  <c r="AT83" i="98"/>
  <c r="AN83" i="98"/>
  <c r="AO83" i="98" s="1"/>
  <c r="AE83" i="98"/>
  <c r="AF83" i="98" s="1"/>
  <c r="R83" i="98"/>
  <c r="T83" i="98" s="1"/>
  <c r="BA83" i="98"/>
  <c r="BB83" i="98" s="1"/>
  <c r="AK83" i="98"/>
  <c r="AL83" i="98" s="1"/>
  <c r="Y83" i="98"/>
  <c r="Z83" i="98" s="1"/>
  <c r="BG83" i="98"/>
  <c r="BH83" i="98" s="1"/>
  <c r="M82" i="101"/>
  <c r="AE82" i="101"/>
  <c r="AF82" i="101" s="1"/>
  <c r="BG82" i="101"/>
  <c r="BH82" i="101" s="1"/>
  <c r="AQ82" i="101"/>
  <c r="AR82" i="101" s="1"/>
  <c r="AK82" i="101"/>
  <c r="AL82" i="101" s="1"/>
  <c r="AV82" i="101"/>
  <c r="AW82" i="101" s="1"/>
  <c r="AT82" i="101"/>
  <c r="BD82" i="101"/>
  <c r="BE82" i="101" s="1"/>
  <c r="AN82" i="101"/>
  <c r="AO82" i="101" s="1"/>
  <c r="AB82" i="101"/>
  <c r="AC82" i="101" s="1"/>
  <c r="R82" i="101"/>
  <c r="T82" i="101" s="1"/>
  <c r="O82" i="101"/>
  <c r="V82" i="101"/>
  <c r="W82" i="101" s="1"/>
  <c r="Y82" i="101"/>
  <c r="Z82" i="101" s="1"/>
  <c r="AH82" i="101"/>
  <c r="AI82" i="101" s="1"/>
  <c r="P82" i="101"/>
  <c r="BQ82" i="101"/>
  <c r="BR82" i="101" s="1"/>
  <c r="AY82" i="101"/>
  <c r="BA82" i="101"/>
  <c r="BB82" i="101" s="1"/>
  <c r="I83" i="13"/>
  <c r="K82" i="13"/>
  <c r="I90" i="105"/>
  <c r="BK83" i="110"/>
  <c r="M83" i="110"/>
  <c r="BJ83" i="110"/>
  <c r="BL83" i="110" s="1"/>
  <c r="BN83" i="110"/>
  <c r="BO83" i="110" s="1"/>
  <c r="P83" i="110"/>
  <c r="BA83" i="110"/>
  <c r="BB83" i="110" s="1"/>
  <c r="AH83" i="110"/>
  <c r="AI83" i="110" s="1"/>
  <c r="O83" i="110"/>
  <c r="AQ83" i="110"/>
  <c r="AR83" i="110" s="1"/>
  <c r="AT83" i="110"/>
  <c r="Y83" i="110"/>
  <c r="Z83" i="110" s="1"/>
  <c r="AN83" i="110"/>
  <c r="AO83" i="110" s="1"/>
  <c r="AE83" i="110"/>
  <c r="AF83" i="110" s="1"/>
  <c r="AY83" i="110"/>
  <c r="R83" i="110"/>
  <c r="T83" i="110" s="1"/>
  <c r="AB83" i="110"/>
  <c r="AC83" i="110" s="1"/>
  <c r="BD83" i="110"/>
  <c r="BE83" i="110" s="1"/>
  <c r="BG83" i="110"/>
  <c r="BH83" i="110" s="1"/>
  <c r="AK83" i="110"/>
  <c r="AL83" i="110" s="1"/>
  <c r="BQ83" i="110"/>
  <c r="BR83" i="110" s="1"/>
  <c r="AV83" i="110"/>
  <c r="AW83" i="110" s="1"/>
  <c r="V83" i="110"/>
  <c r="W83" i="110" s="1"/>
  <c r="I86" i="135"/>
  <c r="K85" i="135"/>
  <c r="I92" i="95"/>
  <c r="M83" i="115"/>
  <c r="BK83" i="115"/>
  <c r="BJ83" i="115"/>
  <c r="BL83" i="115" s="1"/>
  <c r="BN83" i="115"/>
  <c r="BO83" i="115" s="1"/>
  <c r="BD83" i="115"/>
  <c r="BE83" i="115" s="1"/>
  <c r="AV83" i="115"/>
  <c r="AW83" i="115" s="1"/>
  <c r="P83" i="115"/>
  <c r="AT83" i="115"/>
  <c r="AE83" i="115"/>
  <c r="AF83" i="115" s="1"/>
  <c r="AB83" i="115"/>
  <c r="AC83" i="115" s="1"/>
  <c r="V83" i="115"/>
  <c r="W83" i="115" s="1"/>
  <c r="AN83" i="115"/>
  <c r="AO83" i="115" s="1"/>
  <c r="BQ83" i="115"/>
  <c r="BR83" i="115" s="1"/>
  <c r="AH83" i="115"/>
  <c r="AI83" i="115" s="1"/>
  <c r="AQ83" i="115"/>
  <c r="AR83" i="115" s="1"/>
  <c r="O83" i="115"/>
  <c r="Y83" i="115"/>
  <c r="Z83" i="115" s="1"/>
  <c r="BG83" i="115"/>
  <c r="BH83" i="115" s="1"/>
  <c r="R83" i="115"/>
  <c r="T83" i="115" s="1"/>
  <c r="AK83" i="115"/>
  <c r="AL83" i="115" s="1"/>
  <c r="BA83" i="115"/>
  <c r="BB83" i="115" s="1"/>
  <c r="AY83" i="115"/>
  <c r="I84" i="101"/>
  <c r="K83" i="101"/>
  <c r="Y84" i="64"/>
  <c r="Z84" i="64" s="1"/>
  <c r="M84" i="64"/>
  <c r="AY84" i="64"/>
  <c r="AB84" i="64"/>
  <c r="AC84" i="64" s="1"/>
  <c r="P84" i="64"/>
  <c r="O84" i="64"/>
  <c r="AE84" i="64"/>
  <c r="AF84" i="64" s="1"/>
  <c r="BD84" i="64"/>
  <c r="BE84" i="64" s="1"/>
  <c r="BA84" i="64"/>
  <c r="BB84" i="64" s="1"/>
  <c r="AT84" i="64"/>
  <c r="AN84" i="64"/>
  <c r="AO84" i="64" s="1"/>
  <c r="BQ84" i="64"/>
  <c r="BR84" i="64" s="1"/>
  <c r="BG84" i="64"/>
  <c r="BH84" i="64" s="1"/>
  <c r="AK84" i="64"/>
  <c r="AL84" i="64" s="1"/>
  <c r="AH84" i="64"/>
  <c r="AI84" i="64" s="1"/>
  <c r="R84" i="64"/>
  <c r="T84" i="64" s="1"/>
  <c r="AV84" i="64"/>
  <c r="AW84" i="64" s="1"/>
  <c r="AQ84" i="64"/>
  <c r="AR84" i="64" s="1"/>
  <c r="V84" i="64"/>
  <c r="W84" i="64" s="1"/>
  <c r="BN84" i="64"/>
  <c r="BO84" i="64" s="1"/>
  <c r="BL84" i="64"/>
  <c r="K85" i="64"/>
  <c r="BN81" i="13"/>
  <c r="BO81" i="13" s="1"/>
  <c r="M81" i="13"/>
  <c r="BL81" i="13"/>
  <c r="Y81" i="13"/>
  <c r="Z81" i="13" s="1"/>
  <c r="BD81" i="13"/>
  <c r="BE81" i="13" s="1"/>
  <c r="AH81" i="13"/>
  <c r="AI81" i="13" s="1"/>
  <c r="AV81" i="13"/>
  <c r="AW81" i="13" s="1"/>
  <c r="AQ81" i="13"/>
  <c r="AR81" i="13" s="1"/>
  <c r="V81" i="13"/>
  <c r="W81" i="13" s="1"/>
  <c r="AE81" i="13"/>
  <c r="AF81" i="13" s="1"/>
  <c r="AY81" i="13"/>
  <c r="AB81" i="13"/>
  <c r="AC81" i="13" s="1"/>
  <c r="R81" i="13"/>
  <c r="T81" i="13" s="1"/>
  <c r="P81" i="13"/>
  <c r="AT81" i="13"/>
  <c r="AN81" i="13"/>
  <c r="AO81" i="13" s="1"/>
  <c r="AK81" i="13"/>
  <c r="AL81" i="13" s="1"/>
  <c r="BA81" i="13"/>
  <c r="BB81" i="13" s="1"/>
  <c r="O81" i="13"/>
  <c r="BG81" i="13"/>
  <c r="BH81" i="13" s="1"/>
  <c r="BQ81" i="13"/>
  <c r="BR81" i="13" s="1"/>
  <c r="K84" i="96"/>
  <c r="I85" i="96"/>
  <c r="M85" i="136"/>
  <c r="BN85" i="136"/>
  <c r="BO85" i="136" s="1"/>
  <c r="BL85" i="136"/>
  <c r="BD85" i="136"/>
  <c r="BE85" i="136" s="1"/>
  <c r="AN85" i="136"/>
  <c r="AO85" i="136" s="1"/>
  <c r="BQ85" i="136"/>
  <c r="BR85" i="136" s="1"/>
  <c r="P85" i="136"/>
  <c r="AQ85" i="136"/>
  <c r="AR85" i="136" s="1"/>
  <c r="O85" i="136"/>
  <c r="AB85" i="136"/>
  <c r="AC85" i="136" s="1"/>
  <c r="V85" i="136"/>
  <c r="W85" i="136" s="1"/>
  <c r="AV85" i="136"/>
  <c r="AW85" i="136" s="1"/>
  <c r="AH85" i="136"/>
  <c r="AI85" i="136" s="1"/>
  <c r="BG85" i="136"/>
  <c r="BH85" i="136" s="1"/>
  <c r="AK85" i="136"/>
  <c r="AL85" i="136" s="1"/>
  <c r="BA85" i="136"/>
  <c r="BB85" i="136" s="1"/>
  <c r="AE85" i="136"/>
  <c r="AF85" i="136" s="1"/>
  <c r="AY85" i="136"/>
  <c r="Y85" i="136"/>
  <c r="Z85" i="136" s="1"/>
  <c r="R85" i="136"/>
  <c r="T85" i="136" s="1"/>
  <c r="AT85" i="136"/>
  <c r="K86" i="136"/>
  <c r="I88" i="126"/>
  <c r="BK87" i="107" l="1"/>
  <c r="AB87" i="107"/>
  <c r="AC87" i="107" s="1"/>
  <c r="BD87" i="107"/>
  <c r="BE87" i="107" s="1"/>
  <c r="BG87" i="107"/>
  <c r="BH87" i="107" s="1"/>
  <c r="M87" i="107"/>
  <c r="Y87" i="107"/>
  <c r="Z87" i="107" s="1"/>
  <c r="AQ87" i="107"/>
  <c r="AR87" i="107" s="1"/>
  <c r="BJ87" i="107"/>
  <c r="BL87" i="107" s="1"/>
  <c r="AY87" i="107"/>
  <c r="AH87" i="107"/>
  <c r="AI87" i="107" s="1"/>
  <c r="V87" i="107"/>
  <c r="W87" i="107" s="1"/>
  <c r="BN87" i="107"/>
  <c r="BO87" i="107" s="1"/>
  <c r="AK87" i="107"/>
  <c r="AL87" i="107" s="1"/>
  <c r="BQ87" i="107"/>
  <c r="BR87" i="107" s="1"/>
  <c r="AE87" i="107"/>
  <c r="AF87" i="107" s="1"/>
  <c r="AT87" i="107"/>
  <c r="R87" i="107"/>
  <c r="T87" i="107" s="1"/>
  <c r="O87" i="107"/>
  <c r="AN87" i="107"/>
  <c r="AO87" i="107" s="1"/>
  <c r="P87" i="107"/>
  <c r="BA87" i="107"/>
  <c r="BB87" i="107" s="1"/>
  <c r="AV87" i="107"/>
  <c r="AW87" i="107" s="1"/>
  <c r="I89" i="107"/>
  <c r="K88" i="107"/>
  <c r="O85" i="132"/>
  <c r="AY85" i="132"/>
  <c r="R85" i="132"/>
  <c r="T85" i="132" s="1"/>
  <c r="BN85" i="132"/>
  <c r="BO85" i="132" s="1"/>
  <c r="AV85" i="132"/>
  <c r="AW85" i="132" s="1"/>
  <c r="BQ85" i="132"/>
  <c r="BR85" i="132" s="1"/>
  <c r="BD85" i="132"/>
  <c r="BE85" i="132" s="1"/>
  <c r="P85" i="132"/>
  <c r="BG85" i="132"/>
  <c r="BH85" i="132" s="1"/>
  <c r="AE85" i="132"/>
  <c r="AF85" i="132" s="1"/>
  <c r="AH85" i="132"/>
  <c r="AI85" i="132" s="1"/>
  <c r="Y85" i="132"/>
  <c r="Z85" i="132" s="1"/>
  <c r="BA85" i="132"/>
  <c r="BB85" i="132" s="1"/>
  <c r="BL85" i="132"/>
  <c r="K86" i="132"/>
  <c r="AT85" i="132"/>
  <c r="V85" i="132"/>
  <c r="W85" i="132" s="1"/>
  <c r="AK85" i="132"/>
  <c r="AL85" i="132" s="1"/>
  <c r="AB85" i="132"/>
  <c r="AC85" i="132" s="1"/>
  <c r="AN85" i="132"/>
  <c r="AO85" i="132" s="1"/>
  <c r="M85" i="132"/>
  <c r="AQ85" i="132"/>
  <c r="AR85" i="132" s="1"/>
  <c r="M85" i="99"/>
  <c r="AN85" i="99"/>
  <c r="AO85" i="99" s="1"/>
  <c r="BN85" i="99"/>
  <c r="BO85" i="99" s="1"/>
  <c r="AV85" i="99"/>
  <c r="AW85" i="99" s="1"/>
  <c r="BK85" i="99"/>
  <c r="V85" i="99"/>
  <c r="W85" i="99" s="1"/>
  <c r="BD85" i="99"/>
  <c r="BE85" i="99" s="1"/>
  <c r="BA85" i="99"/>
  <c r="BB85" i="99" s="1"/>
  <c r="BG85" i="99"/>
  <c r="BH85" i="99" s="1"/>
  <c r="AE85" i="99"/>
  <c r="AF85" i="99" s="1"/>
  <c r="BQ85" i="99"/>
  <c r="BR85" i="99" s="1"/>
  <c r="AK85" i="99"/>
  <c r="AL85" i="99" s="1"/>
  <c r="Y85" i="99"/>
  <c r="Z85" i="99" s="1"/>
  <c r="AH85" i="99"/>
  <c r="AI85" i="99" s="1"/>
  <c r="K86" i="99"/>
  <c r="P85" i="99"/>
  <c r="BJ85" i="99"/>
  <c r="BL85" i="99" s="1"/>
  <c r="R85" i="99"/>
  <c r="T85" i="99" s="1"/>
  <c r="AY85" i="99"/>
  <c r="AB85" i="99"/>
  <c r="AC85" i="99" s="1"/>
  <c r="AQ85" i="99"/>
  <c r="AR85" i="99" s="1"/>
  <c r="O85" i="99"/>
  <c r="AT85" i="99"/>
  <c r="BL82" i="95"/>
  <c r="BD82" i="95"/>
  <c r="BE82" i="95" s="1"/>
  <c r="P82" i="95"/>
  <c r="K83" i="95"/>
  <c r="AQ82" i="95"/>
  <c r="AR82" i="95" s="1"/>
  <c r="BA82" i="95"/>
  <c r="BB82" i="95" s="1"/>
  <c r="BG82" i="95"/>
  <c r="BH82" i="95" s="1"/>
  <c r="AN82" i="95"/>
  <c r="AO82" i="95" s="1"/>
  <c r="AK82" i="95"/>
  <c r="AL82" i="95" s="1"/>
  <c r="V82" i="95"/>
  <c r="W82" i="95" s="1"/>
  <c r="AE82" i="95"/>
  <c r="AF82" i="95" s="1"/>
  <c r="AV82" i="95"/>
  <c r="AW82" i="95" s="1"/>
  <c r="O82" i="95"/>
  <c r="M82" i="95"/>
  <c r="AB82" i="95"/>
  <c r="AC82" i="95" s="1"/>
  <c r="BQ82" i="95"/>
  <c r="BR82" i="95" s="1"/>
  <c r="AT82" i="95"/>
  <c r="BN82" i="95"/>
  <c r="BO82" i="95" s="1"/>
  <c r="AH82" i="95"/>
  <c r="AI82" i="95" s="1"/>
  <c r="R82" i="95"/>
  <c r="T82" i="95" s="1"/>
  <c r="Y82" i="95"/>
  <c r="Z82" i="95" s="1"/>
  <c r="K84" i="112"/>
  <c r="BG83" i="112"/>
  <c r="BH83" i="112" s="1"/>
  <c r="P83" i="112"/>
  <c r="AH83" i="112"/>
  <c r="AI83" i="112" s="1"/>
  <c r="AE83" i="112"/>
  <c r="AF83" i="112" s="1"/>
  <c r="AQ83" i="112"/>
  <c r="AR83" i="112" s="1"/>
  <c r="Y83" i="112"/>
  <c r="Z83" i="112" s="1"/>
  <c r="R83" i="112"/>
  <c r="T83" i="112" s="1"/>
  <c r="AK83" i="112"/>
  <c r="AL83" i="112" s="1"/>
  <c r="M83" i="112"/>
  <c r="AV83" i="112"/>
  <c r="AW83" i="112" s="1"/>
  <c r="AN83" i="112"/>
  <c r="AO83" i="112" s="1"/>
  <c r="BA83" i="112"/>
  <c r="BB83" i="112" s="1"/>
  <c r="BJ83" i="112"/>
  <c r="BL83" i="112" s="1"/>
  <c r="AT83" i="112"/>
  <c r="BN83" i="112"/>
  <c r="BO83" i="112" s="1"/>
  <c r="V83" i="112"/>
  <c r="W83" i="112" s="1"/>
  <c r="BD83" i="112"/>
  <c r="BE83" i="112" s="1"/>
  <c r="O83" i="112"/>
  <c r="BK83" i="112"/>
  <c r="AB83" i="112"/>
  <c r="AC83" i="112" s="1"/>
  <c r="BQ83" i="112"/>
  <c r="BR83" i="112" s="1"/>
  <c r="AY83" i="112"/>
  <c r="M86" i="133"/>
  <c r="BA86" i="133"/>
  <c r="BB86" i="133" s="1"/>
  <c r="AT86" i="133"/>
  <c r="BQ86" i="133"/>
  <c r="BR86" i="133" s="1"/>
  <c r="BN86" i="133"/>
  <c r="BO86" i="133" s="1"/>
  <c r="V86" i="133"/>
  <c r="W86" i="133" s="1"/>
  <c r="R86" i="133"/>
  <c r="T86" i="133" s="1"/>
  <c r="AK86" i="133"/>
  <c r="AL86" i="133" s="1"/>
  <c r="BL86" i="133"/>
  <c r="AY86" i="133"/>
  <c r="AB86" i="133"/>
  <c r="AC86" i="133" s="1"/>
  <c r="AN86" i="133"/>
  <c r="AO86" i="133" s="1"/>
  <c r="BG86" i="133"/>
  <c r="BH86" i="133" s="1"/>
  <c r="AE86" i="133"/>
  <c r="AF86" i="133" s="1"/>
  <c r="K87" i="133"/>
  <c r="AQ86" i="133"/>
  <c r="AR86" i="133" s="1"/>
  <c r="P86" i="133"/>
  <c r="AH86" i="133"/>
  <c r="AI86" i="133" s="1"/>
  <c r="Y86" i="133"/>
  <c r="Z86" i="133" s="1"/>
  <c r="O86" i="133"/>
  <c r="AV86" i="133"/>
  <c r="AW86" i="133" s="1"/>
  <c r="BD86" i="133"/>
  <c r="BE86" i="133" s="1"/>
  <c r="BN83" i="104"/>
  <c r="BO83" i="104" s="1"/>
  <c r="BA83" i="104"/>
  <c r="BB83" i="104" s="1"/>
  <c r="AN83" i="104"/>
  <c r="AO83" i="104" s="1"/>
  <c r="AQ83" i="104"/>
  <c r="AR83" i="104" s="1"/>
  <c r="AE83" i="104"/>
  <c r="AF83" i="104" s="1"/>
  <c r="M83" i="104"/>
  <c r="Y83" i="104"/>
  <c r="Z83" i="104" s="1"/>
  <c r="BD83" i="104"/>
  <c r="BE83" i="104" s="1"/>
  <c r="P83" i="104"/>
  <c r="BK83" i="104"/>
  <c r="V83" i="104"/>
  <c r="W83" i="104" s="1"/>
  <c r="AB83" i="104"/>
  <c r="AC83" i="104" s="1"/>
  <c r="BQ83" i="104"/>
  <c r="BR83" i="104" s="1"/>
  <c r="R83" i="104"/>
  <c r="T83" i="104" s="1"/>
  <c r="K84" i="104"/>
  <c r="AK83" i="104"/>
  <c r="AL83" i="104" s="1"/>
  <c r="AV83" i="104"/>
  <c r="AW83" i="104" s="1"/>
  <c r="O83" i="104"/>
  <c r="BJ83" i="104"/>
  <c r="BL83" i="104" s="1"/>
  <c r="AY83" i="104"/>
  <c r="AT83" i="104"/>
  <c r="BG83" i="104"/>
  <c r="BH83" i="104" s="1"/>
  <c r="AH83" i="104"/>
  <c r="AI83" i="104" s="1"/>
  <c r="I90" i="106"/>
  <c r="K89" i="156"/>
  <c r="AY89" i="156" s="1"/>
  <c r="I90" i="156"/>
  <c r="M83" i="106"/>
  <c r="AQ83" i="106"/>
  <c r="AR83" i="106" s="1"/>
  <c r="BD83" i="106"/>
  <c r="BE83" i="106" s="1"/>
  <c r="V83" i="106"/>
  <c r="W83" i="106" s="1"/>
  <c r="O83" i="106"/>
  <c r="AH83" i="106"/>
  <c r="AI83" i="106" s="1"/>
  <c r="AV83" i="106"/>
  <c r="AW83" i="106" s="1"/>
  <c r="BN83" i="106"/>
  <c r="BO83" i="106" s="1"/>
  <c r="AK83" i="106"/>
  <c r="AL83" i="106" s="1"/>
  <c r="BA83" i="106"/>
  <c r="BB83" i="106" s="1"/>
  <c r="AY83" i="106"/>
  <c r="BK83" i="106"/>
  <c r="BQ83" i="106"/>
  <c r="BR83" i="106" s="1"/>
  <c r="AB83" i="106"/>
  <c r="AC83" i="106" s="1"/>
  <c r="BG83" i="106"/>
  <c r="BH83" i="106" s="1"/>
  <c r="BJ83" i="106"/>
  <c r="BL83" i="106" s="1"/>
  <c r="AE83" i="106"/>
  <c r="AF83" i="106" s="1"/>
  <c r="Y83" i="106"/>
  <c r="Z83" i="106" s="1"/>
  <c r="R83" i="106"/>
  <c r="T83" i="106" s="1"/>
  <c r="AN83" i="106"/>
  <c r="AO83" i="106" s="1"/>
  <c r="P83" i="106"/>
  <c r="AT83" i="106"/>
  <c r="K84" i="106"/>
  <c r="AN88" i="156"/>
  <c r="AO88" i="156" s="1"/>
  <c r="BN88" i="156"/>
  <c r="BO88" i="156" s="1"/>
  <c r="BD88" i="156"/>
  <c r="BE88" i="156" s="1"/>
  <c r="AQ88" i="156"/>
  <c r="AR88" i="156" s="1"/>
  <c r="BA88" i="156"/>
  <c r="BB88" i="156" s="1"/>
  <c r="R88" i="156"/>
  <c r="T88" i="156" s="1"/>
  <c r="BQ88" i="156"/>
  <c r="BR88" i="156" s="1"/>
  <c r="AH88" i="156"/>
  <c r="AI88" i="156" s="1"/>
  <c r="AV88" i="156"/>
  <c r="AW88" i="156" s="1"/>
  <c r="O88" i="156"/>
  <c r="BG88" i="156"/>
  <c r="BH88" i="156" s="1"/>
  <c r="Y88" i="156"/>
  <c r="Z88" i="156" s="1"/>
  <c r="M88" i="156"/>
  <c r="V88" i="156"/>
  <c r="W88" i="156" s="1"/>
  <c r="BL88" i="156"/>
  <c r="AE88" i="156"/>
  <c r="AF88" i="156" s="1"/>
  <c r="AB88" i="156"/>
  <c r="AC88" i="156" s="1"/>
  <c r="P88" i="156"/>
  <c r="AK88" i="156"/>
  <c r="AL88" i="156" s="1"/>
  <c r="M84" i="129"/>
  <c r="AK84" i="129"/>
  <c r="AL84" i="129" s="1"/>
  <c r="AH84" i="129"/>
  <c r="AI84" i="129" s="1"/>
  <c r="BA84" i="129"/>
  <c r="BB84" i="129" s="1"/>
  <c r="BG84" i="129"/>
  <c r="BH84" i="129" s="1"/>
  <c r="AE84" i="129"/>
  <c r="AF84" i="129" s="1"/>
  <c r="AN84" i="129"/>
  <c r="AO84" i="129" s="1"/>
  <c r="BL84" i="129"/>
  <c r="O84" i="129"/>
  <c r="AV84" i="129"/>
  <c r="AW84" i="129" s="1"/>
  <c r="R84" i="129"/>
  <c r="T84" i="129" s="1"/>
  <c r="P84" i="129"/>
  <c r="BQ84" i="129"/>
  <c r="BR84" i="129" s="1"/>
  <c r="AT84" i="129"/>
  <c r="BN84" i="129"/>
  <c r="BO84" i="129" s="1"/>
  <c r="AY84" i="129"/>
  <c r="AQ84" i="129"/>
  <c r="AR84" i="129" s="1"/>
  <c r="AB84" i="129"/>
  <c r="AC84" i="129" s="1"/>
  <c r="K85" i="129"/>
  <c r="V84" i="129"/>
  <c r="W84" i="129" s="1"/>
  <c r="BD84" i="129"/>
  <c r="BE84" i="129" s="1"/>
  <c r="Y84" i="129"/>
  <c r="Z84" i="129" s="1"/>
  <c r="K85" i="130"/>
  <c r="M84" i="130"/>
  <c r="BN84" i="130"/>
  <c r="BO84" i="130" s="1"/>
  <c r="BL84" i="130"/>
  <c r="AV84" i="130"/>
  <c r="AW84" i="130" s="1"/>
  <c r="Y84" i="130"/>
  <c r="Z84" i="130" s="1"/>
  <c r="R84" i="130"/>
  <c r="T84" i="130" s="1"/>
  <c r="AT84" i="130"/>
  <c r="AQ84" i="130"/>
  <c r="AR84" i="130" s="1"/>
  <c r="BQ84" i="130"/>
  <c r="BR84" i="130" s="1"/>
  <c r="AB84" i="130"/>
  <c r="AC84" i="130" s="1"/>
  <c r="O84" i="130"/>
  <c r="V84" i="130"/>
  <c r="W84" i="130" s="1"/>
  <c r="P84" i="130"/>
  <c r="AN84" i="130"/>
  <c r="AO84" i="130" s="1"/>
  <c r="AH84" i="130"/>
  <c r="AI84" i="130" s="1"/>
  <c r="BG84" i="130"/>
  <c r="BH84" i="130" s="1"/>
  <c r="BA84" i="130"/>
  <c r="BB84" i="130" s="1"/>
  <c r="AE84" i="130"/>
  <c r="AF84" i="130" s="1"/>
  <c r="AK84" i="130"/>
  <c r="AL84" i="130" s="1"/>
  <c r="AY84" i="130"/>
  <c r="BD84" i="130"/>
  <c r="BE84" i="130" s="1"/>
  <c r="I91" i="155"/>
  <c r="K90" i="155"/>
  <c r="O89" i="155"/>
  <c r="V89" i="155"/>
  <c r="W89" i="155" s="1"/>
  <c r="AB89" i="155"/>
  <c r="AC89" i="155" s="1"/>
  <c r="AH89" i="155"/>
  <c r="AI89" i="155" s="1"/>
  <c r="AN89" i="155"/>
  <c r="AO89" i="155" s="1"/>
  <c r="BA89" i="155"/>
  <c r="BB89" i="155" s="1"/>
  <c r="BG89" i="155"/>
  <c r="BH89" i="155" s="1"/>
  <c r="BL89" i="155"/>
  <c r="P89" i="155"/>
  <c r="AV89" i="155"/>
  <c r="AW89" i="155" s="1"/>
  <c r="BN89" i="155"/>
  <c r="BO89" i="155" s="1"/>
  <c r="R89" i="155"/>
  <c r="T89" i="155" s="1"/>
  <c r="Y89" i="155"/>
  <c r="Z89" i="155" s="1"/>
  <c r="AE89" i="155"/>
  <c r="AF89" i="155" s="1"/>
  <c r="AK89" i="155"/>
  <c r="AL89" i="155" s="1"/>
  <c r="AQ89" i="155"/>
  <c r="AR89" i="155" s="1"/>
  <c r="BD89" i="155"/>
  <c r="BE89" i="155" s="1"/>
  <c r="M89" i="155"/>
  <c r="BQ89" i="155"/>
  <c r="BR89" i="155" s="1"/>
  <c r="O89" i="153"/>
  <c r="V89" i="153"/>
  <c r="W89" i="153" s="1"/>
  <c r="AB89" i="153"/>
  <c r="AC89" i="153" s="1"/>
  <c r="AH89" i="153"/>
  <c r="AI89" i="153" s="1"/>
  <c r="AN89" i="153"/>
  <c r="AO89" i="153" s="1"/>
  <c r="BA89" i="153"/>
  <c r="BB89" i="153" s="1"/>
  <c r="BG89" i="153"/>
  <c r="BH89" i="153" s="1"/>
  <c r="P89" i="153"/>
  <c r="AV89" i="153"/>
  <c r="AW89" i="153" s="1"/>
  <c r="BN89" i="153"/>
  <c r="BO89" i="153" s="1"/>
  <c r="R89" i="153"/>
  <c r="T89" i="153" s="1"/>
  <c r="Y89" i="153"/>
  <c r="Z89" i="153" s="1"/>
  <c r="AE89" i="153"/>
  <c r="AF89" i="153" s="1"/>
  <c r="AK89" i="153"/>
  <c r="AL89" i="153" s="1"/>
  <c r="AQ89" i="153"/>
  <c r="AR89" i="153" s="1"/>
  <c r="BD89" i="153"/>
  <c r="BE89" i="153" s="1"/>
  <c r="BQ89" i="153"/>
  <c r="BR89" i="153" s="1"/>
  <c r="M89" i="153"/>
  <c r="BL89" i="153"/>
  <c r="K90" i="153"/>
  <c r="I94" i="153"/>
  <c r="R89" i="152"/>
  <c r="T89" i="152" s="1"/>
  <c r="Y89" i="152"/>
  <c r="Z89" i="152" s="1"/>
  <c r="AE89" i="152"/>
  <c r="AF89" i="152" s="1"/>
  <c r="AB89" i="152"/>
  <c r="AC89" i="152" s="1"/>
  <c r="AV89" i="152"/>
  <c r="AW89" i="152" s="1"/>
  <c r="BN89" i="152"/>
  <c r="BO89" i="152" s="1"/>
  <c r="M89" i="152"/>
  <c r="V89" i="152"/>
  <c r="W89" i="152" s="1"/>
  <c r="AK89" i="152"/>
  <c r="AL89" i="152" s="1"/>
  <c r="AQ89" i="152"/>
  <c r="AR89" i="152" s="1"/>
  <c r="BD89" i="152"/>
  <c r="BE89" i="152" s="1"/>
  <c r="O89" i="152"/>
  <c r="BQ89" i="152"/>
  <c r="BR89" i="152" s="1"/>
  <c r="P89" i="152"/>
  <c r="AH89" i="152"/>
  <c r="AI89" i="152" s="1"/>
  <c r="AN89" i="152"/>
  <c r="AO89" i="152" s="1"/>
  <c r="BA89" i="152"/>
  <c r="BB89" i="152" s="1"/>
  <c r="BG89" i="152"/>
  <c r="BH89" i="152" s="1"/>
  <c r="BL89" i="152"/>
  <c r="K90" i="152"/>
  <c r="I98" i="152"/>
  <c r="BD87" i="151"/>
  <c r="BE87" i="151" s="1"/>
  <c r="AQ87" i="151"/>
  <c r="AR87" i="151" s="1"/>
  <c r="AK87" i="151"/>
  <c r="AL87" i="151" s="1"/>
  <c r="AE87" i="151"/>
  <c r="AF87" i="151" s="1"/>
  <c r="Y87" i="151"/>
  <c r="Z87" i="151" s="1"/>
  <c r="R87" i="151"/>
  <c r="T87" i="151" s="1"/>
  <c r="BG87" i="151"/>
  <c r="BH87" i="151" s="1"/>
  <c r="BA87" i="151"/>
  <c r="BB87" i="151" s="1"/>
  <c r="AT87" i="151"/>
  <c r="AN87" i="151"/>
  <c r="AO87" i="151" s="1"/>
  <c r="AH87" i="151"/>
  <c r="AI87" i="151" s="1"/>
  <c r="AB87" i="151"/>
  <c r="AC87" i="151" s="1"/>
  <c r="V87" i="151"/>
  <c r="W87" i="151" s="1"/>
  <c r="O87" i="151"/>
  <c r="P87" i="151"/>
  <c r="AV87" i="151"/>
  <c r="AW87" i="151" s="1"/>
  <c r="BQ87" i="151"/>
  <c r="BR87" i="151" s="1"/>
  <c r="AY87" i="151"/>
  <c r="M87" i="151"/>
  <c r="BN87" i="151"/>
  <c r="BO87" i="151" s="1"/>
  <c r="BL87" i="151"/>
  <c r="I89" i="151"/>
  <c r="K88" i="151"/>
  <c r="I90" i="150"/>
  <c r="BD86" i="150"/>
  <c r="BE86" i="150" s="1"/>
  <c r="AQ86" i="150"/>
  <c r="AR86" i="150" s="1"/>
  <c r="AK86" i="150"/>
  <c r="AL86" i="150" s="1"/>
  <c r="AE86" i="150"/>
  <c r="AF86" i="150" s="1"/>
  <c r="Y86" i="150"/>
  <c r="Z86" i="150" s="1"/>
  <c r="R86" i="150"/>
  <c r="T86" i="150" s="1"/>
  <c r="AV86" i="150"/>
  <c r="AW86" i="150" s="1"/>
  <c r="P86" i="150"/>
  <c r="BG86" i="150"/>
  <c r="BH86" i="150" s="1"/>
  <c r="BA86" i="150"/>
  <c r="BB86" i="150" s="1"/>
  <c r="AT86" i="150"/>
  <c r="AN86" i="150"/>
  <c r="AO86" i="150" s="1"/>
  <c r="AH86" i="150"/>
  <c r="AI86" i="150" s="1"/>
  <c r="AB86" i="150"/>
  <c r="AC86" i="150" s="1"/>
  <c r="V86" i="150"/>
  <c r="W86" i="150" s="1"/>
  <c r="O86" i="150"/>
  <c r="AY86" i="150"/>
  <c r="BQ86" i="150"/>
  <c r="BR86" i="150" s="1"/>
  <c r="BN86" i="150"/>
  <c r="BO86" i="150" s="1"/>
  <c r="M86" i="150"/>
  <c r="BL86" i="150"/>
  <c r="K87" i="150"/>
  <c r="BQ88" i="149"/>
  <c r="BR88" i="149" s="1"/>
  <c r="AY88" i="149"/>
  <c r="AV88" i="149"/>
  <c r="AW88" i="149" s="1"/>
  <c r="P88" i="149"/>
  <c r="AK88" i="149"/>
  <c r="AL88" i="149" s="1"/>
  <c r="Y88" i="149"/>
  <c r="Z88" i="149" s="1"/>
  <c r="BG88" i="149"/>
  <c r="BH88" i="149" s="1"/>
  <c r="AH88" i="149"/>
  <c r="AI88" i="149" s="1"/>
  <c r="V88" i="149"/>
  <c r="W88" i="149" s="1"/>
  <c r="BD88" i="149"/>
  <c r="BE88" i="149" s="1"/>
  <c r="AQ88" i="149"/>
  <c r="AR88" i="149" s="1"/>
  <c r="AE88" i="149"/>
  <c r="AF88" i="149" s="1"/>
  <c r="R88" i="149"/>
  <c r="T88" i="149" s="1"/>
  <c r="O88" i="149"/>
  <c r="BA88" i="149"/>
  <c r="BB88" i="149" s="1"/>
  <c r="AN88" i="149"/>
  <c r="AO88" i="149" s="1"/>
  <c r="AB88" i="149"/>
  <c r="AC88" i="149" s="1"/>
  <c r="M88" i="149"/>
  <c r="BN88" i="149"/>
  <c r="BO88" i="149" s="1"/>
  <c r="BL88" i="149"/>
  <c r="I90" i="149"/>
  <c r="K89" i="149"/>
  <c r="AT89" i="149" s="1"/>
  <c r="AV87" i="147"/>
  <c r="AW87" i="147" s="1"/>
  <c r="P87" i="147"/>
  <c r="BG87" i="147"/>
  <c r="BH87" i="147" s="1"/>
  <c r="BA87" i="147"/>
  <c r="BB87" i="147" s="1"/>
  <c r="AT87" i="147"/>
  <c r="AN87" i="147"/>
  <c r="AO87" i="147" s="1"/>
  <c r="AH87" i="147"/>
  <c r="AI87" i="147" s="1"/>
  <c r="AB87" i="147"/>
  <c r="AC87" i="147" s="1"/>
  <c r="V87" i="147"/>
  <c r="W87" i="147" s="1"/>
  <c r="O87" i="147"/>
  <c r="AK87" i="147"/>
  <c r="AL87" i="147" s="1"/>
  <c r="Y87" i="147"/>
  <c r="Z87" i="147" s="1"/>
  <c r="BQ87" i="147"/>
  <c r="BR87" i="147" s="1"/>
  <c r="AQ87" i="147"/>
  <c r="AR87" i="147" s="1"/>
  <c r="R87" i="147"/>
  <c r="T87" i="147" s="1"/>
  <c r="BD87" i="147"/>
  <c r="BE87" i="147" s="1"/>
  <c r="AE87" i="147"/>
  <c r="AF87" i="147" s="1"/>
  <c r="AY87" i="147"/>
  <c r="BN87" i="147"/>
  <c r="BO87" i="147" s="1"/>
  <c r="BJ87" i="147"/>
  <c r="BL87" i="147" s="1"/>
  <c r="BK87" i="147"/>
  <c r="M87" i="147"/>
  <c r="I89" i="147"/>
  <c r="K88" i="147"/>
  <c r="BG86" i="146"/>
  <c r="BH86" i="146" s="1"/>
  <c r="BA86" i="146"/>
  <c r="BB86" i="146" s="1"/>
  <c r="AT86" i="146"/>
  <c r="AN86" i="146"/>
  <c r="AO86" i="146" s="1"/>
  <c r="AH86" i="146"/>
  <c r="AI86" i="146" s="1"/>
  <c r="AB86" i="146"/>
  <c r="AC86" i="146" s="1"/>
  <c r="V86" i="146"/>
  <c r="W86" i="146" s="1"/>
  <c r="O86" i="146"/>
  <c r="BQ86" i="146"/>
  <c r="BR86" i="146" s="1"/>
  <c r="BD86" i="146"/>
  <c r="BE86" i="146" s="1"/>
  <c r="AQ86" i="146"/>
  <c r="AR86" i="146" s="1"/>
  <c r="AK86" i="146"/>
  <c r="AL86" i="146" s="1"/>
  <c r="AE86" i="146"/>
  <c r="AF86" i="146" s="1"/>
  <c r="Y86" i="146"/>
  <c r="Z86" i="146" s="1"/>
  <c r="R86" i="146"/>
  <c r="T86" i="146" s="1"/>
  <c r="P86" i="146"/>
  <c r="AY86" i="146"/>
  <c r="AV86" i="146"/>
  <c r="AW86" i="146" s="1"/>
  <c r="BJ86" i="146"/>
  <c r="BL86" i="146" s="1"/>
  <c r="BN86" i="146"/>
  <c r="BO86" i="146" s="1"/>
  <c r="M86" i="146"/>
  <c r="BK86" i="146"/>
  <c r="I88" i="146"/>
  <c r="K87" i="146"/>
  <c r="I89" i="126"/>
  <c r="BD84" i="96"/>
  <c r="BE84" i="96" s="1"/>
  <c r="Y84" i="96"/>
  <c r="Z84" i="96" s="1"/>
  <c r="P84" i="96"/>
  <c r="AK84" i="96"/>
  <c r="AL84" i="96" s="1"/>
  <c r="AT84" i="96"/>
  <c r="AB84" i="96"/>
  <c r="AC84" i="96" s="1"/>
  <c r="AV84" i="96"/>
  <c r="AW84" i="96" s="1"/>
  <c r="BN84" i="96"/>
  <c r="BO84" i="96" s="1"/>
  <c r="BQ84" i="96"/>
  <c r="BR84" i="96" s="1"/>
  <c r="AN84" i="96"/>
  <c r="AO84" i="96" s="1"/>
  <c r="AH84" i="96"/>
  <c r="AI84" i="96" s="1"/>
  <c r="AQ84" i="96"/>
  <c r="AR84" i="96" s="1"/>
  <c r="M84" i="96"/>
  <c r="BG84" i="96"/>
  <c r="BH84" i="96" s="1"/>
  <c r="AE84" i="96"/>
  <c r="AF84" i="96" s="1"/>
  <c r="V84" i="96"/>
  <c r="W84" i="96" s="1"/>
  <c r="R84" i="96"/>
  <c r="T84" i="96" s="1"/>
  <c r="BA84" i="96"/>
  <c r="BB84" i="96" s="1"/>
  <c r="O84" i="96"/>
  <c r="BL84" i="96"/>
  <c r="I85" i="101"/>
  <c r="K84" i="101"/>
  <c r="I93" i="95"/>
  <c r="K83" i="13"/>
  <c r="I84" i="13"/>
  <c r="BN82" i="17"/>
  <c r="BO82" i="17" s="1"/>
  <c r="BL82" i="17"/>
  <c r="AE82" i="17"/>
  <c r="AF82" i="17" s="1"/>
  <c r="Y82" i="17"/>
  <c r="Z82" i="17" s="1"/>
  <c r="AN82" i="17"/>
  <c r="AO82" i="17" s="1"/>
  <c r="R82" i="17"/>
  <c r="T82" i="17" s="1"/>
  <c r="V82" i="17"/>
  <c r="W82" i="17" s="1"/>
  <c r="AT82" i="17"/>
  <c r="AK82" i="17"/>
  <c r="AL82" i="17" s="1"/>
  <c r="P82" i="17"/>
  <c r="M82" i="17"/>
  <c r="AV82" i="17"/>
  <c r="AW82" i="17" s="1"/>
  <c r="BQ82" i="17"/>
  <c r="BR82" i="17" s="1"/>
  <c r="AB82" i="17"/>
  <c r="AC82" i="17" s="1"/>
  <c r="AH82" i="17"/>
  <c r="AI82" i="17" s="1"/>
  <c r="AQ82" i="17"/>
  <c r="AR82" i="17" s="1"/>
  <c r="BG82" i="17"/>
  <c r="BH82" i="17" s="1"/>
  <c r="BA82" i="17"/>
  <c r="BB82" i="17" s="1"/>
  <c r="BD82" i="17"/>
  <c r="BE82" i="17" s="1"/>
  <c r="AY82" i="17"/>
  <c r="O82" i="17"/>
  <c r="M84" i="126"/>
  <c r="BK84" i="126"/>
  <c r="BJ84" i="126"/>
  <c r="BL84" i="126" s="1"/>
  <c r="BN84" i="126"/>
  <c r="BO84" i="126" s="1"/>
  <c r="BD84" i="126"/>
  <c r="BE84" i="126" s="1"/>
  <c r="BG84" i="126"/>
  <c r="BH84" i="126" s="1"/>
  <c r="AB84" i="126"/>
  <c r="AC84" i="126" s="1"/>
  <c r="AQ84" i="126"/>
  <c r="AR84" i="126" s="1"/>
  <c r="AT84" i="126"/>
  <c r="Y84" i="126"/>
  <c r="Z84" i="126" s="1"/>
  <c r="AE84" i="126"/>
  <c r="AF84" i="126" s="1"/>
  <c r="AH84" i="126"/>
  <c r="AI84" i="126" s="1"/>
  <c r="P84" i="126"/>
  <c r="BQ84" i="126"/>
  <c r="BR84" i="126" s="1"/>
  <c r="AV84" i="126"/>
  <c r="AW84" i="126" s="1"/>
  <c r="AK84" i="126"/>
  <c r="AL84" i="126" s="1"/>
  <c r="R84" i="126"/>
  <c r="T84" i="126" s="1"/>
  <c r="BA84" i="126"/>
  <c r="BB84" i="126" s="1"/>
  <c r="AN84" i="126"/>
  <c r="AO84" i="126" s="1"/>
  <c r="V84" i="126"/>
  <c r="W84" i="126" s="1"/>
  <c r="O84" i="126"/>
  <c r="AY84" i="126"/>
  <c r="K85" i="126"/>
  <c r="I88" i="15"/>
  <c r="K83" i="66"/>
  <c r="I84" i="66"/>
  <c r="I91" i="132"/>
  <c r="I90" i="64"/>
  <c r="BN84" i="114"/>
  <c r="BO84" i="114" s="1"/>
  <c r="M84" i="114"/>
  <c r="BJ84" i="114"/>
  <c r="BL84" i="114" s="1"/>
  <c r="BK84" i="114"/>
  <c r="AN84" i="114"/>
  <c r="AO84" i="114" s="1"/>
  <c r="AY84" i="114"/>
  <c r="AQ84" i="114"/>
  <c r="AR84" i="114" s="1"/>
  <c r="AH84" i="114"/>
  <c r="AI84" i="114" s="1"/>
  <c r="BQ84" i="114"/>
  <c r="BR84" i="114" s="1"/>
  <c r="AE84" i="114"/>
  <c r="AF84" i="114" s="1"/>
  <c r="BA84" i="114"/>
  <c r="BB84" i="114" s="1"/>
  <c r="V84" i="114"/>
  <c r="W84" i="114" s="1"/>
  <c r="BG84" i="114"/>
  <c r="BH84" i="114" s="1"/>
  <c r="AK84" i="114"/>
  <c r="AL84" i="114" s="1"/>
  <c r="AB84" i="114"/>
  <c r="AC84" i="114" s="1"/>
  <c r="AT84" i="114"/>
  <c r="AV84" i="114"/>
  <c r="AW84" i="114" s="1"/>
  <c r="O84" i="114"/>
  <c r="Y84" i="114"/>
  <c r="Z84" i="114" s="1"/>
  <c r="R84" i="114"/>
  <c r="T84" i="114" s="1"/>
  <c r="P84" i="114"/>
  <c r="BD84" i="114"/>
  <c r="BE84" i="114" s="1"/>
  <c r="K85" i="114"/>
  <c r="BL86" i="136"/>
  <c r="M86" i="136"/>
  <c r="BN86" i="136"/>
  <c r="BO86" i="136" s="1"/>
  <c r="Y86" i="136"/>
  <c r="Z86" i="136" s="1"/>
  <c r="AY86" i="136"/>
  <c r="O86" i="136"/>
  <c r="V86" i="136"/>
  <c r="W86" i="136" s="1"/>
  <c r="BA86" i="136"/>
  <c r="BB86" i="136" s="1"/>
  <c r="R86" i="136"/>
  <c r="T86" i="136" s="1"/>
  <c r="AQ86" i="136"/>
  <c r="AR86" i="136" s="1"/>
  <c r="BD86" i="136"/>
  <c r="BE86" i="136" s="1"/>
  <c r="AK86" i="136"/>
  <c r="AL86" i="136" s="1"/>
  <c r="AV86" i="136"/>
  <c r="AW86" i="136" s="1"/>
  <c r="AH86" i="136"/>
  <c r="AI86" i="136" s="1"/>
  <c r="BQ86" i="136"/>
  <c r="BR86" i="136" s="1"/>
  <c r="AB86" i="136"/>
  <c r="AC86" i="136" s="1"/>
  <c r="BG86" i="136"/>
  <c r="BH86" i="136" s="1"/>
  <c r="P86" i="136"/>
  <c r="AN86" i="136"/>
  <c r="AO86" i="136" s="1"/>
  <c r="AT86" i="136"/>
  <c r="AE86" i="136"/>
  <c r="AF86" i="136" s="1"/>
  <c r="K87" i="136"/>
  <c r="AN85" i="64"/>
  <c r="AO85" i="64" s="1"/>
  <c r="AB85" i="64"/>
  <c r="AC85" i="64" s="1"/>
  <c r="O85" i="64"/>
  <c r="AQ85" i="64"/>
  <c r="AR85" i="64" s="1"/>
  <c r="AK85" i="64"/>
  <c r="AL85" i="64" s="1"/>
  <c r="AH85" i="64"/>
  <c r="AI85" i="64" s="1"/>
  <c r="P85" i="64"/>
  <c r="R85" i="64"/>
  <c r="T85" i="64" s="1"/>
  <c r="BQ85" i="64"/>
  <c r="BR85" i="64" s="1"/>
  <c r="BG85" i="64"/>
  <c r="BH85" i="64" s="1"/>
  <c r="BD85" i="64"/>
  <c r="BE85" i="64" s="1"/>
  <c r="AE85" i="64"/>
  <c r="AF85" i="64" s="1"/>
  <c r="AV85" i="64"/>
  <c r="AW85" i="64" s="1"/>
  <c r="AY85" i="64"/>
  <c r="M85" i="64"/>
  <c r="Y85" i="64"/>
  <c r="Z85" i="64" s="1"/>
  <c r="BA85" i="64"/>
  <c r="BB85" i="64" s="1"/>
  <c r="V85" i="64"/>
  <c r="W85" i="64" s="1"/>
  <c r="AT85" i="64"/>
  <c r="BL85" i="64"/>
  <c r="BN85" i="64"/>
  <c r="BO85" i="64" s="1"/>
  <c r="K86" i="64"/>
  <c r="BN84" i="98"/>
  <c r="BO84" i="98" s="1"/>
  <c r="BK84" i="98"/>
  <c r="R84" i="98"/>
  <c r="T84" i="98" s="1"/>
  <c r="BJ84" i="98"/>
  <c r="BL84" i="98" s="1"/>
  <c r="K85" i="98"/>
  <c r="M84" i="98"/>
  <c r="BA84" i="98"/>
  <c r="BB84" i="98" s="1"/>
  <c r="V84" i="98"/>
  <c r="W84" i="98" s="1"/>
  <c r="AN84" i="98"/>
  <c r="AO84" i="98" s="1"/>
  <c r="AE84" i="98"/>
  <c r="AF84" i="98" s="1"/>
  <c r="AV84" i="98"/>
  <c r="AW84" i="98" s="1"/>
  <c r="AY84" i="98"/>
  <c r="BQ84" i="98"/>
  <c r="BR84" i="98" s="1"/>
  <c r="AH84" i="98"/>
  <c r="AI84" i="98" s="1"/>
  <c r="BD84" i="98"/>
  <c r="BE84" i="98" s="1"/>
  <c r="Y84" i="98"/>
  <c r="Z84" i="98" s="1"/>
  <c r="BG84" i="98"/>
  <c r="BH84" i="98" s="1"/>
  <c r="AQ84" i="98"/>
  <c r="AR84" i="98" s="1"/>
  <c r="P84" i="98"/>
  <c r="AT84" i="98"/>
  <c r="O84" i="98"/>
  <c r="AB84" i="98"/>
  <c r="AC84" i="98" s="1"/>
  <c r="AK84" i="98"/>
  <c r="AL84" i="98" s="1"/>
  <c r="I84" i="17"/>
  <c r="K83" i="17"/>
  <c r="AK82" i="120"/>
  <c r="AL82" i="120" s="1"/>
  <c r="AH82" i="120"/>
  <c r="AI82" i="120" s="1"/>
  <c r="AQ82" i="120"/>
  <c r="AR82" i="120" s="1"/>
  <c r="AN82" i="120"/>
  <c r="AO82" i="120" s="1"/>
  <c r="AB82" i="120"/>
  <c r="AC82" i="120" s="1"/>
  <c r="V82" i="120"/>
  <c r="W82" i="120" s="1"/>
  <c r="R82" i="120"/>
  <c r="T82" i="120" s="1"/>
  <c r="AE82" i="120"/>
  <c r="AF82" i="120" s="1"/>
  <c r="Y82" i="120"/>
  <c r="Z82" i="120" s="1"/>
  <c r="AT82" i="120"/>
  <c r="AY82" i="120"/>
  <c r="BQ82" i="120"/>
  <c r="BR82" i="120" s="1"/>
  <c r="O82" i="120"/>
  <c r="P82" i="120"/>
  <c r="M82" i="120"/>
  <c r="BA82" i="120"/>
  <c r="BB82" i="120" s="1"/>
  <c r="AV82" i="120"/>
  <c r="AW82" i="120" s="1"/>
  <c r="BG82" i="120"/>
  <c r="BH82" i="120" s="1"/>
  <c r="BD82" i="120"/>
  <c r="BE82" i="120" s="1"/>
  <c r="K83" i="120"/>
  <c r="BN82" i="120"/>
  <c r="BO82" i="120" s="1"/>
  <c r="I88" i="104"/>
  <c r="BA82" i="66"/>
  <c r="BB82" i="66" s="1"/>
  <c r="AY82" i="66"/>
  <c r="AV82" i="66"/>
  <c r="AW82" i="66" s="1"/>
  <c r="BN82" i="66"/>
  <c r="BO82" i="66" s="1"/>
  <c r="M82" i="66"/>
  <c r="P82" i="66"/>
  <c r="AN82" i="66"/>
  <c r="AO82" i="66" s="1"/>
  <c r="AQ82" i="66"/>
  <c r="AR82" i="66" s="1"/>
  <c r="AH82" i="66"/>
  <c r="AI82" i="66" s="1"/>
  <c r="AT82" i="66"/>
  <c r="AK82" i="66"/>
  <c r="AL82" i="66" s="1"/>
  <c r="AB82" i="66"/>
  <c r="AC82" i="66" s="1"/>
  <c r="BQ82" i="66"/>
  <c r="BR82" i="66" s="1"/>
  <c r="BG82" i="66"/>
  <c r="BH82" i="66" s="1"/>
  <c r="V82" i="66"/>
  <c r="W82" i="66" s="1"/>
  <c r="R82" i="66"/>
  <c r="T82" i="66" s="1"/>
  <c r="Y82" i="66"/>
  <c r="Z82" i="66" s="1"/>
  <c r="AE82" i="66"/>
  <c r="AF82" i="66" s="1"/>
  <c r="O82" i="66"/>
  <c r="BD82" i="66"/>
  <c r="BE82" i="66" s="1"/>
  <c r="BL82" i="66"/>
  <c r="BN86" i="105"/>
  <c r="BO86" i="105" s="1"/>
  <c r="BJ86" i="105"/>
  <c r="BL86" i="105" s="1"/>
  <c r="M86" i="105"/>
  <c r="BK86" i="105"/>
  <c r="AK86" i="105"/>
  <c r="AL86" i="105" s="1"/>
  <c r="AN86" i="105"/>
  <c r="AO86" i="105" s="1"/>
  <c r="AQ86" i="105"/>
  <c r="AR86" i="105" s="1"/>
  <c r="BA86" i="105"/>
  <c r="BB86" i="105" s="1"/>
  <c r="AE86" i="105"/>
  <c r="AF86" i="105" s="1"/>
  <c r="AT86" i="105"/>
  <c r="R86" i="105"/>
  <c r="T86" i="105" s="1"/>
  <c r="Y86" i="105"/>
  <c r="Z86" i="105" s="1"/>
  <c r="BG86" i="105"/>
  <c r="BH86" i="105" s="1"/>
  <c r="O86" i="105"/>
  <c r="AB86" i="105"/>
  <c r="AC86" i="105" s="1"/>
  <c r="AV86" i="105"/>
  <c r="AW86" i="105" s="1"/>
  <c r="BD86" i="105"/>
  <c r="BE86" i="105" s="1"/>
  <c r="AH86" i="105"/>
  <c r="AI86" i="105" s="1"/>
  <c r="AY86" i="105"/>
  <c r="BQ86" i="105"/>
  <c r="BR86" i="105" s="1"/>
  <c r="P86" i="105"/>
  <c r="V86" i="105"/>
  <c r="W86" i="105" s="1"/>
  <c r="K87" i="105"/>
  <c r="I99" i="133"/>
  <c r="M84" i="115"/>
  <c r="BN84" i="115"/>
  <c r="BO84" i="115" s="1"/>
  <c r="BJ84" i="115"/>
  <c r="BL84" i="115" s="1"/>
  <c r="BK84" i="115"/>
  <c r="AK84" i="115"/>
  <c r="AL84" i="115" s="1"/>
  <c r="AV84" i="115"/>
  <c r="AW84" i="115" s="1"/>
  <c r="AN84" i="115"/>
  <c r="AO84" i="115" s="1"/>
  <c r="Y84" i="115"/>
  <c r="Z84" i="115" s="1"/>
  <c r="BG84" i="115"/>
  <c r="BH84" i="115" s="1"/>
  <c r="AY84" i="115"/>
  <c r="AT84" i="115"/>
  <c r="O84" i="115"/>
  <c r="BD84" i="115"/>
  <c r="BE84" i="115" s="1"/>
  <c r="AH84" i="115"/>
  <c r="AI84" i="115" s="1"/>
  <c r="AB84" i="115"/>
  <c r="AC84" i="115" s="1"/>
  <c r="AE84" i="115"/>
  <c r="AF84" i="115" s="1"/>
  <c r="BQ84" i="115"/>
  <c r="BR84" i="115" s="1"/>
  <c r="R84" i="115"/>
  <c r="T84" i="115" s="1"/>
  <c r="P84" i="115"/>
  <c r="V84" i="115"/>
  <c r="W84" i="115" s="1"/>
  <c r="AQ84" i="115"/>
  <c r="AR84" i="115" s="1"/>
  <c r="BA84" i="115"/>
  <c r="BB84" i="115" s="1"/>
  <c r="M83" i="118"/>
  <c r="K84" i="118"/>
  <c r="BN83" i="118"/>
  <c r="BO83" i="118" s="1"/>
  <c r="BG83" i="118"/>
  <c r="BH83" i="118" s="1"/>
  <c r="AK83" i="118"/>
  <c r="AL83" i="118" s="1"/>
  <c r="AH83" i="118"/>
  <c r="AI83" i="118" s="1"/>
  <c r="BA83" i="118"/>
  <c r="BB83" i="118" s="1"/>
  <c r="BQ83" i="118"/>
  <c r="BR83" i="118" s="1"/>
  <c r="AT83" i="118"/>
  <c r="V83" i="118"/>
  <c r="W83" i="118" s="1"/>
  <c r="AV83" i="118"/>
  <c r="AW83" i="118" s="1"/>
  <c r="R83" i="118"/>
  <c r="T83" i="118" s="1"/>
  <c r="AB83" i="118"/>
  <c r="AC83" i="118" s="1"/>
  <c r="AQ83" i="118"/>
  <c r="AR83" i="118" s="1"/>
  <c r="P83" i="118"/>
  <c r="AE83" i="118"/>
  <c r="AF83" i="118" s="1"/>
  <c r="O83" i="118"/>
  <c r="AN83" i="118"/>
  <c r="AO83" i="118" s="1"/>
  <c r="AY83" i="118"/>
  <c r="BD83" i="118"/>
  <c r="BE83" i="118" s="1"/>
  <c r="Y83" i="118"/>
  <c r="Z83" i="118" s="1"/>
  <c r="M85" i="135"/>
  <c r="Y85" i="135"/>
  <c r="Z85" i="135" s="1"/>
  <c r="P85" i="135"/>
  <c r="AH85" i="135"/>
  <c r="AI85" i="135" s="1"/>
  <c r="AT85" i="135"/>
  <c r="V85" i="135"/>
  <c r="W85" i="135" s="1"/>
  <c r="BD85" i="135"/>
  <c r="BE85" i="135" s="1"/>
  <c r="AB85" i="135"/>
  <c r="AC85" i="135" s="1"/>
  <c r="AY85" i="135"/>
  <c r="AK85" i="135"/>
  <c r="AL85" i="135" s="1"/>
  <c r="BG85" i="135"/>
  <c r="BH85" i="135" s="1"/>
  <c r="AE85" i="135"/>
  <c r="AF85" i="135" s="1"/>
  <c r="AQ85" i="135"/>
  <c r="AR85" i="135" s="1"/>
  <c r="AN85" i="135"/>
  <c r="AO85" i="135" s="1"/>
  <c r="BQ85" i="135"/>
  <c r="BR85" i="135" s="1"/>
  <c r="R85" i="135"/>
  <c r="T85" i="135" s="1"/>
  <c r="AV85" i="135"/>
  <c r="AW85" i="135" s="1"/>
  <c r="O85" i="135"/>
  <c r="BA85" i="135"/>
  <c r="BB85" i="135" s="1"/>
  <c r="BN85" i="135"/>
  <c r="BO85" i="135" s="1"/>
  <c r="BL85" i="135"/>
  <c r="I91" i="105"/>
  <c r="I90" i="136"/>
  <c r="M84" i="63"/>
  <c r="BN84" i="63"/>
  <c r="BO84" i="63" s="1"/>
  <c r="AQ84" i="63"/>
  <c r="AR84" i="63" s="1"/>
  <c r="P84" i="63"/>
  <c r="AB84" i="63"/>
  <c r="AC84" i="63" s="1"/>
  <c r="AT84" i="63"/>
  <c r="BD84" i="63"/>
  <c r="BE84" i="63" s="1"/>
  <c r="O84" i="63"/>
  <c r="BA84" i="63"/>
  <c r="BB84" i="63" s="1"/>
  <c r="AE84" i="63"/>
  <c r="AF84" i="63" s="1"/>
  <c r="AY84" i="63"/>
  <c r="V84" i="63"/>
  <c r="W84" i="63" s="1"/>
  <c r="AV84" i="63"/>
  <c r="AW84" i="63" s="1"/>
  <c r="R84" i="63"/>
  <c r="T84" i="63" s="1"/>
  <c r="AH84" i="63"/>
  <c r="AI84" i="63" s="1"/>
  <c r="AK84" i="63"/>
  <c r="AL84" i="63" s="1"/>
  <c r="BQ84" i="63"/>
  <c r="BR84" i="63" s="1"/>
  <c r="Y84" i="63"/>
  <c r="Z84" i="63" s="1"/>
  <c r="BG84" i="63"/>
  <c r="BH84" i="63" s="1"/>
  <c r="AN84" i="63"/>
  <c r="AO84" i="63" s="1"/>
  <c r="BL84" i="63"/>
  <c r="K85" i="63"/>
  <c r="I86" i="115"/>
  <c r="K85" i="115"/>
  <c r="BN84" i="110"/>
  <c r="BO84" i="110" s="1"/>
  <c r="BK84" i="110"/>
  <c r="M84" i="110"/>
  <c r="BJ84" i="110"/>
  <c r="BL84" i="110" s="1"/>
  <c r="AH84" i="110"/>
  <c r="AI84" i="110" s="1"/>
  <c r="AB84" i="110"/>
  <c r="AC84" i="110" s="1"/>
  <c r="R84" i="110"/>
  <c r="T84" i="110" s="1"/>
  <c r="AE84" i="110"/>
  <c r="AF84" i="110" s="1"/>
  <c r="AK84" i="110"/>
  <c r="AL84" i="110" s="1"/>
  <c r="AT84" i="110"/>
  <c r="AV84" i="110"/>
  <c r="AW84" i="110" s="1"/>
  <c r="V84" i="110"/>
  <c r="W84" i="110" s="1"/>
  <c r="BQ84" i="110"/>
  <c r="BR84" i="110" s="1"/>
  <c r="BG84" i="110"/>
  <c r="BH84" i="110" s="1"/>
  <c r="AY84" i="110"/>
  <c r="Y84" i="110"/>
  <c r="Z84" i="110" s="1"/>
  <c r="O84" i="110"/>
  <c r="BA84" i="110"/>
  <c r="BB84" i="110" s="1"/>
  <c r="AN84" i="110"/>
  <c r="AO84" i="110" s="1"/>
  <c r="P84" i="110"/>
  <c r="AQ84" i="110"/>
  <c r="AR84" i="110" s="1"/>
  <c r="BD84" i="110"/>
  <c r="BE84" i="110" s="1"/>
  <c r="I86" i="96"/>
  <c r="K85" i="96"/>
  <c r="M83" i="101"/>
  <c r="AY83" i="101"/>
  <c r="BD83" i="101"/>
  <c r="BE83" i="101" s="1"/>
  <c r="AE83" i="101"/>
  <c r="AF83" i="101" s="1"/>
  <c r="BQ83" i="101"/>
  <c r="BR83" i="101" s="1"/>
  <c r="P83" i="101"/>
  <c r="BG83" i="101"/>
  <c r="BH83" i="101" s="1"/>
  <c r="O83" i="101"/>
  <c r="Y83" i="101"/>
  <c r="Z83" i="101" s="1"/>
  <c r="AH83" i="101"/>
  <c r="AI83" i="101" s="1"/>
  <c r="AK83" i="101"/>
  <c r="AL83" i="101" s="1"/>
  <c r="V83" i="101"/>
  <c r="W83" i="101" s="1"/>
  <c r="AT83" i="101"/>
  <c r="AV83" i="101"/>
  <c r="AW83" i="101" s="1"/>
  <c r="AB83" i="101"/>
  <c r="AC83" i="101" s="1"/>
  <c r="AN83" i="101"/>
  <c r="AO83" i="101" s="1"/>
  <c r="R83" i="101"/>
  <c r="T83" i="101" s="1"/>
  <c r="AQ83" i="101"/>
  <c r="AR83" i="101" s="1"/>
  <c r="BA83" i="101"/>
  <c r="BB83" i="101" s="1"/>
  <c r="I87" i="135"/>
  <c r="K86" i="135"/>
  <c r="M82" i="13"/>
  <c r="BN82" i="13"/>
  <c r="BO82" i="13" s="1"/>
  <c r="BL82" i="13"/>
  <c r="R82" i="13"/>
  <c r="T82" i="13" s="1"/>
  <c r="BA82" i="13"/>
  <c r="BB82" i="13" s="1"/>
  <c r="AT82" i="13"/>
  <c r="P82" i="13"/>
  <c r="AH82" i="13"/>
  <c r="AI82" i="13" s="1"/>
  <c r="Y82" i="13"/>
  <c r="Z82" i="13" s="1"/>
  <c r="AY82" i="13"/>
  <c r="AK82" i="13"/>
  <c r="AL82" i="13" s="1"/>
  <c r="AB82" i="13"/>
  <c r="AC82" i="13" s="1"/>
  <c r="AV82" i="13"/>
  <c r="AW82" i="13" s="1"/>
  <c r="BG82" i="13"/>
  <c r="BH82" i="13" s="1"/>
  <c r="AE82" i="13"/>
  <c r="AF82" i="13" s="1"/>
  <c r="BQ82" i="13"/>
  <c r="BR82" i="13" s="1"/>
  <c r="V82" i="13"/>
  <c r="W82" i="13" s="1"/>
  <c r="O82" i="13"/>
  <c r="BD82" i="13"/>
  <c r="BE82" i="13" s="1"/>
  <c r="AQ82" i="13"/>
  <c r="AR82" i="13" s="1"/>
  <c r="AN82" i="13"/>
  <c r="AO82" i="13" s="1"/>
  <c r="BL83" i="15"/>
  <c r="M83" i="15"/>
  <c r="BN83" i="15"/>
  <c r="BO83" i="15" s="1"/>
  <c r="P83" i="15"/>
  <c r="AK83" i="15"/>
  <c r="AL83" i="15" s="1"/>
  <c r="AV83" i="15"/>
  <c r="AW83" i="15" s="1"/>
  <c r="BA83" i="15"/>
  <c r="BB83" i="15" s="1"/>
  <c r="AT83" i="15"/>
  <c r="R83" i="15"/>
  <c r="T83" i="15" s="1"/>
  <c r="V83" i="15"/>
  <c r="W83" i="15" s="1"/>
  <c r="AE83" i="15"/>
  <c r="AF83" i="15" s="1"/>
  <c r="AY83" i="15"/>
  <c r="AH83" i="15"/>
  <c r="AI83" i="15" s="1"/>
  <c r="BG83" i="15"/>
  <c r="BH83" i="15" s="1"/>
  <c r="BQ83" i="15"/>
  <c r="BR83" i="15" s="1"/>
  <c r="AQ83" i="15"/>
  <c r="AR83" i="15" s="1"/>
  <c r="AN83" i="15"/>
  <c r="AO83" i="15" s="1"/>
  <c r="AB83" i="15"/>
  <c r="AC83" i="15" s="1"/>
  <c r="Y83" i="15"/>
  <c r="Z83" i="15" s="1"/>
  <c r="BD83" i="15"/>
  <c r="BE83" i="15" s="1"/>
  <c r="O83" i="15"/>
  <c r="K84" i="15"/>
  <c r="I89" i="63"/>
  <c r="I90" i="114"/>
  <c r="BN88" i="124"/>
  <c r="BO88" i="124" s="1"/>
  <c r="BJ88" i="124"/>
  <c r="BL88" i="124" s="1"/>
  <c r="BK88" i="124"/>
  <c r="K89" i="124"/>
  <c r="M88" i="124"/>
  <c r="AN88" i="124"/>
  <c r="AO88" i="124" s="1"/>
  <c r="O88" i="124"/>
  <c r="BA88" i="124"/>
  <c r="BB88" i="124" s="1"/>
  <c r="Y88" i="124"/>
  <c r="Z88" i="124" s="1"/>
  <c r="AH88" i="124"/>
  <c r="AI88" i="124" s="1"/>
  <c r="AE88" i="124"/>
  <c r="AF88" i="124" s="1"/>
  <c r="BQ88" i="124"/>
  <c r="BR88" i="124" s="1"/>
  <c r="BD88" i="124"/>
  <c r="BE88" i="124" s="1"/>
  <c r="V88" i="124"/>
  <c r="W88" i="124" s="1"/>
  <c r="AT88" i="124"/>
  <c r="AY88" i="124"/>
  <c r="R88" i="124"/>
  <c r="T88" i="124" s="1"/>
  <c r="AQ88" i="124"/>
  <c r="AR88" i="124" s="1"/>
  <c r="AV88" i="124"/>
  <c r="AW88" i="124" s="1"/>
  <c r="BG88" i="124"/>
  <c r="BH88" i="124" s="1"/>
  <c r="AB88" i="124"/>
  <c r="AC88" i="124" s="1"/>
  <c r="P88" i="124"/>
  <c r="AK88" i="124"/>
  <c r="AL88" i="124" s="1"/>
  <c r="I86" i="110"/>
  <c r="K85" i="110"/>
  <c r="M88" i="107" l="1"/>
  <c r="BD88" i="107"/>
  <c r="BE88" i="107" s="1"/>
  <c r="O88" i="107"/>
  <c r="AE88" i="107"/>
  <c r="AF88" i="107" s="1"/>
  <c r="AK88" i="107"/>
  <c r="AL88" i="107" s="1"/>
  <c r="AV88" i="107"/>
  <c r="AW88" i="107" s="1"/>
  <c r="BN88" i="107"/>
  <c r="BO88" i="107" s="1"/>
  <c r="P88" i="107"/>
  <c r="AT88" i="107"/>
  <c r="AY88" i="107"/>
  <c r="AN88" i="107"/>
  <c r="AO88" i="107" s="1"/>
  <c r="Y88" i="107"/>
  <c r="Z88" i="107" s="1"/>
  <c r="BQ88" i="107"/>
  <c r="BR88" i="107" s="1"/>
  <c r="BK88" i="107"/>
  <c r="AH88" i="107"/>
  <c r="AI88" i="107" s="1"/>
  <c r="BA88" i="107"/>
  <c r="BB88" i="107" s="1"/>
  <c r="V88" i="107"/>
  <c r="W88" i="107" s="1"/>
  <c r="AB88" i="107"/>
  <c r="AC88" i="107" s="1"/>
  <c r="BG88" i="107"/>
  <c r="BH88" i="107" s="1"/>
  <c r="R88" i="107"/>
  <c r="T88" i="107" s="1"/>
  <c r="BJ88" i="107"/>
  <c r="BL88" i="107" s="1"/>
  <c r="AQ88" i="107"/>
  <c r="AR88" i="107" s="1"/>
  <c r="Y86" i="132"/>
  <c r="Z86" i="132" s="1"/>
  <c r="AN86" i="132"/>
  <c r="AO86" i="132" s="1"/>
  <c r="BQ86" i="132"/>
  <c r="BR86" i="132" s="1"/>
  <c r="AB86" i="132"/>
  <c r="AC86" i="132" s="1"/>
  <c r="AH86" i="132"/>
  <c r="AI86" i="132" s="1"/>
  <c r="AV86" i="132"/>
  <c r="AW86" i="132" s="1"/>
  <c r="R86" i="132"/>
  <c r="T86" i="132" s="1"/>
  <c r="P86" i="132"/>
  <c r="V86" i="132"/>
  <c r="W86" i="132" s="1"/>
  <c r="AK86" i="132"/>
  <c r="AL86" i="132" s="1"/>
  <c r="BL86" i="132"/>
  <c r="O86" i="132"/>
  <c r="AY86" i="132"/>
  <c r="BD86" i="132"/>
  <c r="BE86" i="132" s="1"/>
  <c r="AT86" i="132"/>
  <c r="M86" i="132"/>
  <c r="K87" i="132"/>
  <c r="BN86" i="132"/>
  <c r="BO86" i="132" s="1"/>
  <c r="BA86" i="132"/>
  <c r="BB86" i="132" s="1"/>
  <c r="AQ86" i="132"/>
  <c r="AR86" i="132" s="1"/>
  <c r="BG86" i="132"/>
  <c r="BH86" i="132" s="1"/>
  <c r="AE86" i="132"/>
  <c r="AF86" i="132" s="1"/>
  <c r="I90" i="107"/>
  <c r="K89" i="107"/>
  <c r="M86" i="99"/>
  <c r="V86" i="99"/>
  <c r="W86" i="99" s="1"/>
  <c r="Y86" i="99"/>
  <c r="Z86" i="99" s="1"/>
  <c r="AN86" i="99"/>
  <c r="AO86" i="99" s="1"/>
  <c r="BK86" i="99"/>
  <c r="AB86" i="99"/>
  <c r="AC86" i="99" s="1"/>
  <c r="AV86" i="99"/>
  <c r="AW86" i="99" s="1"/>
  <c r="R86" i="99"/>
  <c r="T86" i="99" s="1"/>
  <c r="BD86" i="99"/>
  <c r="BE86" i="99" s="1"/>
  <c r="BN86" i="99"/>
  <c r="BO86" i="99" s="1"/>
  <c r="O86" i="99"/>
  <c r="BQ86" i="99"/>
  <c r="BR86" i="99" s="1"/>
  <c r="P86" i="99"/>
  <c r="BG86" i="99"/>
  <c r="BH86" i="99" s="1"/>
  <c r="K87" i="99"/>
  <c r="AQ86" i="99"/>
  <c r="AR86" i="99" s="1"/>
  <c r="BJ86" i="99"/>
  <c r="BL86" i="99" s="1"/>
  <c r="AK86" i="99"/>
  <c r="AL86" i="99" s="1"/>
  <c r="AY86" i="99"/>
  <c r="BA86" i="99"/>
  <c r="BB86" i="99" s="1"/>
  <c r="AH86" i="99"/>
  <c r="AI86" i="99" s="1"/>
  <c r="AE86" i="99"/>
  <c r="AF86" i="99" s="1"/>
  <c r="AT86" i="99"/>
  <c r="I91" i="106"/>
  <c r="BL87" i="133"/>
  <c r="AH87" i="133"/>
  <c r="AI87" i="133" s="1"/>
  <c r="BD87" i="133"/>
  <c r="BE87" i="133" s="1"/>
  <c r="K88" i="133"/>
  <c r="M87" i="133"/>
  <c r="AB87" i="133"/>
  <c r="AC87" i="133" s="1"/>
  <c r="Y87" i="133"/>
  <c r="Z87" i="133" s="1"/>
  <c r="AQ87" i="133"/>
  <c r="AR87" i="133" s="1"/>
  <c r="BA87" i="133"/>
  <c r="BB87" i="133" s="1"/>
  <c r="O87" i="133"/>
  <c r="AV87" i="133"/>
  <c r="AW87" i="133" s="1"/>
  <c r="AY87" i="133"/>
  <c r="BQ87" i="133"/>
  <c r="BR87" i="133" s="1"/>
  <c r="P87" i="133"/>
  <c r="AT87" i="133"/>
  <c r="BN87" i="133"/>
  <c r="BO87" i="133" s="1"/>
  <c r="AE87" i="133"/>
  <c r="AF87" i="133" s="1"/>
  <c r="AK87" i="133"/>
  <c r="AL87" i="133" s="1"/>
  <c r="R87" i="133"/>
  <c r="T87" i="133" s="1"/>
  <c r="AN87" i="133"/>
  <c r="AO87" i="133" s="1"/>
  <c r="V87" i="133"/>
  <c r="W87" i="133" s="1"/>
  <c r="BG87" i="133"/>
  <c r="BH87" i="133" s="1"/>
  <c r="BN84" i="112"/>
  <c r="BO84" i="112" s="1"/>
  <c r="R84" i="112"/>
  <c r="T84" i="112" s="1"/>
  <c r="AQ84" i="112"/>
  <c r="AR84" i="112" s="1"/>
  <c r="AK84" i="112"/>
  <c r="AL84" i="112" s="1"/>
  <c r="AN84" i="112"/>
  <c r="AO84" i="112" s="1"/>
  <c r="K85" i="112"/>
  <c r="O84" i="112"/>
  <c r="AB84" i="112"/>
  <c r="AC84" i="112" s="1"/>
  <c r="BA84" i="112"/>
  <c r="BB84" i="112" s="1"/>
  <c r="BQ84" i="112"/>
  <c r="BR84" i="112" s="1"/>
  <c r="M84" i="112"/>
  <c r="AY84" i="112"/>
  <c r="Y84" i="112"/>
  <c r="Z84" i="112" s="1"/>
  <c r="V84" i="112"/>
  <c r="W84" i="112" s="1"/>
  <c r="AE84" i="112"/>
  <c r="AF84" i="112" s="1"/>
  <c r="BG84" i="112"/>
  <c r="BH84" i="112" s="1"/>
  <c r="BK84" i="112"/>
  <c r="P84" i="112"/>
  <c r="AH84" i="112"/>
  <c r="AI84" i="112" s="1"/>
  <c r="AT84" i="112"/>
  <c r="BJ84" i="112"/>
  <c r="BL84" i="112" s="1"/>
  <c r="BD84" i="112"/>
  <c r="BE84" i="112" s="1"/>
  <c r="AV84" i="112"/>
  <c r="AW84" i="112" s="1"/>
  <c r="M83" i="95"/>
  <c r="AQ83" i="95"/>
  <c r="AR83" i="95" s="1"/>
  <c r="AN83" i="95"/>
  <c r="AO83" i="95" s="1"/>
  <c r="R83" i="95"/>
  <c r="T83" i="95" s="1"/>
  <c r="BN83" i="95"/>
  <c r="BO83" i="95" s="1"/>
  <c r="BD83" i="95"/>
  <c r="BE83" i="95" s="1"/>
  <c r="Y83" i="95"/>
  <c r="Z83" i="95" s="1"/>
  <c r="BA83" i="95"/>
  <c r="BB83" i="95" s="1"/>
  <c r="BL83" i="95"/>
  <c r="O83" i="95"/>
  <c r="AE83" i="95"/>
  <c r="AF83" i="95" s="1"/>
  <c r="K84" i="95"/>
  <c r="V83" i="95"/>
  <c r="W83" i="95" s="1"/>
  <c r="P83" i="95"/>
  <c r="AV83" i="95"/>
  <c r="AW83" i="95" s="1"/>
  <c r="AH83" i="95"/>
  <c r="AI83" i="95" s="1"/>
  <c r="AB83" i="95"/>
  <c r="AC83" i="95" s="1"/>
  <c r="BG83" i="95"/>
  <c r="BH83" i="95" s="1"/>
  <c r="AT83" i="95"/>
  <c r="BQ83" i="95"/>
  <c r="BR83" i="95" s="1"/>
  <c r="AK83" i="95"/>
  <c r="AL83" i="95" s="1"/>
  <c r="K90" i="156"/>
  <c r="AY90" i="156" s="1"/>
  <c r="I91" i="156"/>
  <c r="BK84" i="104"/>
  <c r="AV84" i="104"/>
  <c r="AW84" i="104" s="1"/>
  <c r="BG84" i="104"/>
  <c r="BH84" i="104" s="1"/>
  <c r="O84" i="104"/>
  <c r="AB84" i="104"/>
  <c r="AC84" i="104" s="1"/>
  <c r="BD84" i="104"/>
  <c r="BE84" i="104" s="1"/>
  <c r="AE84" i="104"/>
  <c r="AF84" i="104" s="1"/>
  <c r="P84" i="104"/>
  <c r="Y84" i="104"/>
  <c r="Z84" i="104" s="1"/>
  <c r="R84" i="104"/>
  <c r="T84" i="104" s="1"/>
  <c r="AT84" i="104"/>
  <c r="M84" i="104"/>
  <c r="AN84" i="104"/>
  <c r="AO84" i="104" s="1"/>
  <c r="AQ84" i="104"/>
  <c r="AR84" i="104" s="1"/>
  <c r="BN84" i="104"/>
  <c r="BO84" i="104" s="1"/>
  <c r="AH84" i="104"/>
  <c r="AI84" i="104" s="1"/>
  <c r="BQ84" i="104"/>
  <c r="BR84" i="104" s="1"/>
  <c r="BA84" i="104"/>
  <c r="BB84" i="104" s="1"/>
  <c r="BJ84" i="104"/>
  <c r="BL84" i="104" s="1"/>
  <c r="AK84" i="104"/>
  <c r="AL84" i="104" s="1"/>
  <c r="AY84" i="104"/>
  <c r="V84" i="104"/>
  <c r="W84" i="104" s="1"/>
  <c r="K85" i="104"/>
  <c r="BA84" i="106"/>
  <c r="BB84" i="106" s="1"/>
  <c r="AY84" i="106"/>
  <c r="R84" i="106"/>
  <c r="T84" i="106" s="1"/>
  <c r="M84" i="106"/>
  <c r="AT84" i="106"/>
  <c r="AE84" i="106"/>
  <c r="AF84" i="106" s="1"/>
  <c r="BQ84" i="106"/>
  <c r="BR84" i="106" s="1"/>
  <c r="BJ84" i="106"/>
  <c r="BL84" i="106" s="1"/>
  <c r="AN84" i="106"/>
  <c r="AO84" i="106" s="1"/>
  <c r="AB84" i="106"/>
  <c r="AC84" i="106" s="1"/>
  <c r="P84" i="106"/>
  <c r="BN84" i="106"/>
  <c r="BO84" i="106" s="1"/>
  <c r="O84" i="106"/>
  <c r="Y84" i="106"/>
  <c r="Z84" i="106" s="1"/>
  <c r="AK84" i="106"/>
  <c r="AL84" i="106" s="1"/>
  <c r="BK84" i="106"/>
  <c r="AH84" i="106"/>
  <c r="AI84" i="106" s="1"/>
  <c r="AV84" i="106"/>
  <c r="AW84" i="106" s="1"/>
  <c r="BG84" i="106"/>
  <c r="BH84" i="106" s="1"/>
  <c r="V84" i="106"/>
  <c r="W84" i="106" s="1"/>
  <c r="BD84" i="106"/>
  <c r="BE84" i="106" s="1"/>
  <c r="AQ84" i="106"/>
  <c r="AR84" i="106" s="1"/>
  <c r="K85" i="106"/>
  <c r="V89" i="156"/>
  <c r="W89" i="156" s="1"/>
  <c r="P89" i="156"/>
  <c r="AQ89" i="156"/>
  <c r="AR89" i="156" s="1"/>
  <c r="O89" i="156"/>
  <c r="BG89" i="156"/>
  <c r="BH89" i="156" s="1"/>
  <c r="AB89" i="156"/>
  <c r="AC89" i="156" s="1"/>
  <c r="AV89" i="156"/>
  <c r="AW89" i="156" s="1"/>
  <c r="AE89" i="156"/>
  <c r="AF89" i="156" s="1"/>
  <c r="R89" i="156"/>
  <c r="T89" i="156" s="1"/>
  <c r="M89" i="156"/>
  <c r="AH89" i="156"/>
  <c r="AI89" i="156" s="1"/>
  <c r="BN89" i="156"/>
  <c r="BO89" i="156" s="1"/>
  <c r="Y89" i="156"/>
  <c r="Z89" i="156" s="1"/>
  <c r="AN89" i="156"/>
  <c r="AO89" i="156" s="1"/>
  <c r="AK89" i="156"/>
  <c r="AL89" i="156" s="1"/>
  <c r="BL89" i="156"/>
  <c r="BQ89" i="156"/>
  <c r="BR89" i="156" s="1"/>
  <c r="BA89" i="156"/>
  <c r="BB89" i="156" s="1"/>
  <c r="BD89" i="156"/>
  <c r="BE89" i="156" s="1"/>
  <c r="M85" i="129"/>
  <c r="R85" i="129"/>
  <c r="T85" i="129" s="1"/>
  <c r="BA85" i="129"/>
  <c r="BB85" i="129" s="1"/>
  <c r="BQ85" i="129"/>
  <c r="BR85" i="129" s="1"/>
  <c r="BN85" i="129"/>
  <c r="BO85" i="129" s="1"/>
  <c r="AT85" i="129"/>
  <c r="AH85" i="129"/>
  <c r="AI85" i="129" s="1"/>
  <c r="AE85" i="129"/>
  <c r="AF85" i="129" s="1"/>
  <c r="P85" i="129"/>
  <c r="AY85" i="129"/>
  <c r="V85" i="129"/>
  <c r="W85" i="129" s="1"/>
  <c r="BL85" i="129"/>
  <c r="Y85" i="129"/>
  <c r="Z85" i="129" s="1"/>
  <c r="O85" i="129"/>
  <c r="AV85" i="129"/>
  <c r="AW85" i="129" s="1"/>
  <c r="AB85" i="129"/>
  <c r="AC85" i="129" s="1"/>
  <c r="AQ85" i="129"/>
  <c r="AR85" i="129" s="1"/>
  <c r="BG85" i="129"/>
  <c r="BH85" i="129" s="1"/>
  <c r="K86" i="129"/>
  <c r="BD85" i="129"/>
  <c r="BE85" i="129" s="1"/>
  <c r="AK85" i="129"/>
  <c r="AL85" i="129" s="1"/>
  <c r="AN85" i="129"/>
  <c r="AO85" i="129" s="1"/>
  <c r="M85" i="130"/>
  <c r="K86" i="130"/>
  <c r="BL85" i="130"/>
  <c r="BN85" i="130"/>
  <c r="BO85" i="130" s="1"/>
  <c r="AE85" i="130"/>
  <c r="AF85" i="130" s="1"/>
  <c r="P85" i="130"/>
  <c r="AB85" i="130"/>
  <c r="AC85" i="130" s="1"/>
  <c r="BG85" i="130"/>
  <c r="BH85" i="130" s="1"/>
  <c r="AT85" i="130"/>
  <c r="AQ85" i="130"/>
  <c r="AR85" i="130" s="1"/>
  <c r="AY85" i="130"/>
  <c r="BQ85" i="130"/>
  <c r="BR85" i="130" s="1"/>
  <c r="R85" i="130"/>
  <c r="T85" i="130" s="1"/>
  <c r="AN85" i="130"/>
  <c r="AO85" i="130" s="1"/>
  <c r="V85" i="130"/>
  <c r="W85" i="130" s="1"/>
  <c r="AH85" i="130"/>
  <c r="AI85" i="130" s="1"/>
  <c r="Y85" i="130"/>
  <c r="Z85" i="130" s="1"/>
  <c r="AK85" i="130"/>
  <c r="AL85" i="130" s="1"/>
  <c r="BA85" i="130"/>
  <c r="BB85" i="130" s="1"/>
  <c r="O85" i="130"/>
  <c r="BD85" i="130"/>
  <c r="BE85" i="130" s="1"/>
  <c r="AV85" i="130"/>
  <c r="AW85" i="130" s="1"/>
  <c r="M90" i="155"/>
  <c r="BQ90" i="155"/>
  <c r="BR90" i="155" s="1"/>
  <c r="O90" i="155"/>
  <c r="V90" i="155"/>
  <c r="W90" i="155" s="1"/>
  <c r="AB90" i="155"/>
  <c r="AC90" i="155" s="1"/>
  <c r="AH90" i="155"/>
  <c r="AI90" i="155" s="1"/>
  <c r="AN90" i="155"/>
  <c r="AO90" i="155" s="1"/>
  <c r="BA90" i="155"/>
  <c r="BB90" i="155" s="1"/>
  <c r="BG90" i="155"/>
  <c r="BH90" i="155" s="1"/>
  <c r="BL90" i="155"/>
  <c r="P90" i="155"/>
  <c r="AV90" i="155"/>
  <c r="AW90" i="155" s="1"/>
  <c r="BN90" i="155"/>
  <c r="BO90" i="155" s="1"/>
  <c r="R90" i="155"/>
  <c r="T90" i="155" s="1"/>
  <c r="Y90" i="155"/>
  <c r="Z90" i="155" s="1"/>
  <c r="AE90" i="155"/>
  <c r="AF90" i="155" s="1"/>
  <c r="AK90" i="155"/>
  <c r="AL90" i="155" s="1"/>
  <c r="AQ90" i="155"/>
  <c r="AR90" i="155" s="1"/>
  <c r="BD90" i="155"/>
  <c r="BE90" i="155" s="1"/>
  <c r="K91" i="155"/>
  <c r="I92" i="155"/>
  <c r="I95" i="153"/>
  <c r="M90" i="153"/>
  <c r="BQ90" i="153"/>
  <c r="BR90" i="153" s="1"/>
  <c r="O90" i="153"/>
  <c r="V90" i="153"/>
  <c r="W90" i="153" s="1"/>
  <c r="AB90" i="153"/>
  <c r="AC90" i="153" s="1"/>
  <c r="AH90" i="153"/>
  <c r="AI90" i="153" s="1"/>
  <c r="AN90" i="153"/>
  <c r="AO90" i="153" s="1"/>
  <c r="BA90" i="153"/>
  <c r="BB90" i="153" s="1"/>
  <c r="BG90" i="153"/>
  <c r="BH90" i="153" s="1"/>
  <c r="P90" i="153"/>
  <c r="AV90" i="153"/>
  <c r="AW90" i="153" s="1"/>
  <c r="BN90" i="153"/>
  <c r="BO90" i="153" s="1"/>
  <c r="Y90" i="153"/>
  <c r="Z90" i="153" s="1"/>
  <c r="AE90" i="153"/>
  <c r="AF90" i="153" s="1"/>
  <c r="BD90" i="153"/>
  <c r="BE90" i="153" s="1"/>
  <c r="AK90" i="153"/>
  <c r="AL90" i="153" s="1"/>
  <c r="R90" i="153"/>
  <c r="T90" i="153" s="1"/>
  <c r="AQ90" i="153"/>
  <c r="AR90" i="153" s="1"/>
  <c r="BL90" i="153"/>
  <c r="K91" i="153"/>
  <c r="I99" i="152"/>
  <c r="O90" i="152"/>
  <c r="V90" i="152"/>
  <c r="W90" i="152" s="1"/>
  <c r="AB90" i="152"/>
  <c r="AC90" i="152" s="1"/>
  <c r="AH90" i="152"/>
  <c r="AI90" i="152" s="1"/>
  <c r="AN90" i="152"/>
  <c r="AO90" i="152" s="1"/>
  <c r="BA90" i="152"/>
  <c r="BB90" i="152" s="1"/>
  <c r="BG90" i="152"/>
  <c r="BH90" i="152" s="1"/>
  <c r="P90" i="152"/>
  <c r="AV90" i="152"/>
  <c r="AW90" i="152" s="1"/>
  <c r="BN90" i="152"/>
  <c r="BO90" i="152" s="1"/>
  <c r="R90" i="152"/>
  <c r="T90" i="152" s="1"/>
  <c r="Y90" i="152"/>
  <c r="Z90" i="152" s="1"/>
  <c r="AE90" i="152"/>
  <c r="AF90" i="152" s="1"/>
  <c r="AK90" i="152"/>
  <c r="AL90" i="152" s="1"/>
  <c r="AQ90" i="152"/>
  <c r="AR90" i="152" s="1"/>
  <c r="BD90" i="152"/>
  <c r="BE90" i="152" s="1"/>
  <c r="M90" i="152"/>
  <c r="BQ90" i="152"/>
  <c r="BR90" i="152" s="1"/>
  <c r="BL90" i="152"/>
  <c r="K91" i="152"/>
  <c r="AV88" i="151"/>
  <c r="AW88" i="151" s="1"/>
  <c r="P88" i="151"/>
  <c r="BQ88" i="151"/>
  <c r="BR88" i="151" s="1"/>
  <c r="AY88" i="151"/>
  <c r="BA88" i="151"/>
  <c r="BB88" i="151" s="1"/>
  <c r="AN88" i="151"/>
  <c r="AO88" i="151" s="1"/>
  <c r="AB88" i="151"/>
  <c r="AC88" i="151" s="1"/>
  <c r="O88" i="151"/>
  <c r="BG88" i="151"/>
  <c r="BH88" i="151" s="1"/>
  <c r="AT88" i="151"/>
  <c r="AH88" i="151"/>
  <c r="AI88" i="151" s="1"/>
  <c r="V88" i="151"/>
  <c r="W88" i="151" s="1"/>
  <c r="BD88" i="151"/>
  <c r="BE88" i="151" s="1"/>
  <c r="AE88" i="151"/>
  <c r="AF88" i="151" s="1"/>
  <c r="Y88" i="151"/>
  <c r="Z88" i="151" s="1"/>
  <c r="AQ88" i="151"/>
  <c r="AR88" i="151" s="1"/>
  <c r="R88" i="151"/>
  <c r="T88" i="151" s="1"/>
  <c r="AK88" i="151"/>
  <c r="AL88" i="151" s="1"/>
  <c r="M88" i="151"/>
  <c r="BN88" i="151"/>
  <c r="BO88" i="151" s="1"/>
  <c r="BL88" i="151"/>
  <c r="I90" i="151"/>
  <c r="K89" i="151"/>
  <c r="AV87" i="150"/>
  <c r="AW87" i="150" s="1"/>
  <c r="P87" i="150"/>
  <c r="BG87" i="150"/>
  <c r="BH87" i="150" s="1"/>
  <c r="BA87" i="150"/>
  <c r="BB87" i="150" s="1"/>
  <c r="AT87" i="150"/>
  <c r="AN87" i="150"/>
  <c r="AO87" i="150" s="1"/>
  <c r="AH87" i="150"/>
  <c r="AI87" i="150" s="1"/>
  <c r="AB87" i="150"/>
  <c r="AC87" i="150" s="1"/>
  <c r="V87" i="150"/>
  <c r="W87" i="150" s="1"/>
  <c r="O87" i="150"/>
  <c r="BQ87" i="150"/>
  <c r="BR87" i="150" s="1"/>
  <c r="AY87" i="150"/>
  <c r="AK87" i="150"/>
  <c r="AL87" i="150" s="1"/>
  <c r="BD87" i="150"/>
  <c r="BE87" i="150" s="1"/>
  <c r="AE87" i="150"/>
  <c r="AF87" i="150" s="1"/>
  <c r="Y87" i="150"/>
  <c r="Z87" i="150" s="1"/>
  <c r="AQ87" i="150"/>
  <c r="AR87" i="150" s="1"/>
  <c r="R87" i="150"/>
  <c r="T87" i="150" s="1"/>
  <c r="BN87" i="150"/>
  <c r="BO87" i="150" s="1"/>
  <c r="M87" i="150"/>
  <c r="BL87" i="150"/>
  <c r="K88" i="150"/>
  <c r="I91" i="150"/>
  <c r="BD89" i="149"/>
  <c r="BE89" i="149" s="1"/>
  <c r="AQ89" i="149"/>
  <c r="AR89" i="149" s="1"/>
  <c r="AK89" i="149"/>
  <c r="AL89" i="149" s="1"/>
  <c r="AE89" i="149"/>
  <c r="AF89" i="149" s="1"/>
  <c r="Y89" i="149"/>
  <c r="Z89" i="149" s="1"/>
  <c r="R89" i="149"/>
  <c r="T89" i="149" s="1"/>
  <c r="BG89" i="149"/>
  <c r="BH89" i="149" s="1"/>
  <c r="BA89" i="149"/>
  <c r="BB89" i="149" s="1"/>
  <c r="AN89" i="149"/>
  <c r="AO89" i="149" s="1"/>
  <c r="AH89" i="149"/>
  <c r="AI89" i="149" s="1"/>
  <c r="AB89" i="149"/>
  <c r="AC89" i="149" s="1"/>
  <c r="V89" i="149"/>
  <c r="W89" i="149" s="1"/>
  <c r="O89" i="149"/>
  <c r="AV89" i="149"/>
  <c r="AW89" i="149" s="1"/>
  <c r="BQ89" i="149"/>
  <c r="BR89" i="149" s="1"/>
  <c r="P89" i="149"/>
  <c r="AY89" i="149"/>
  <c r="BN89" i="149"/>
  <c r="BO89" i="149" s="1"/>
  <c r="M89" i="149"/>
  <c r="BL89" i="149"/>
  <c r="I91" i="149"/>
  <c r="K90" i="149"/>
  <c r="AT90" i="149" s="1"/>
  <c r="BG88" i="147"/>
  <c r="BH88" i="147" s="1"/>
  <c r="BA88" i="147"/>
  <c r="BB88" i="147" s="1"/>
  <c r="AT88" i="147"/>
  <c r="AN88" i="147"/>
  <c r="AO88" i="147" s="1"/>
  <c r="AH88" i="147"/>
  <c r="AI88" i="147" s="1"/>
  <c r="AB88" i="147"/>
  <c r="AC88" i="147" s="1"/>
  <c r="V88" i="147"/>
  <c r="W88" i="147" s="1"/>
  <c r="O88" i="147"/>
  <c r="BQ88" i="147"/>
  <c r="BR88" i="147" s="1"/>
  <c r="AY88" i="147"/>
  <c r="AV88" i="147"/>
  <c r="AW88" i="147" s="1"/>
  <c r="BD88" i="147"/>
  <c r="BE88" i="147" s="1"/>
  <c r="AQ88" i="147"/>
  <c r="AR88" i="147" s="1"/>
  <c r="AE88" i="147"/>
  <c r="AF88" i="147" s="1"/>
  <c r="R88" i="147"/>
  <c r="T88" i="147" s="1"/>
  <c r="Y88" i="147"/>
  <c r="Z88" i="147" s="1"/>
  <c r="P88" i="147"/>
  <c r="AK88" i="147"/>
  <c r="AL88" i="147" s="1"/>
  <c r="BN88" i="147"/>
  <c r="BO88" i="147" s="1"/>
  <c r="M88" i="147"/>
  <c r="BJ88" i="147"/>
  <c r="BL88" i="147" s="1"/>
  <c r="BK88" i="147"/>
  <c r="I90" i="147"/>
  <c r="K89" i="147"/>
  <c r="BQ87" i="146"/>
  <c r="BR87" i="146" s="1"/>
  <c r="AY87" i="146"/>
  <c r="BD87" i="146"/>
  <c r="BE87" i="146" s="1"/>
  <c r="AQ87" i="146"/>
  <c r="AR87" i="146" s="1"/>
  <c r="AK87" i="146"/>
  <c r="AL87" i="146" s="1"/>
  <c r="AE87" i="146"/>
  <c r="AF87" i="146" s="1"/>
  <c r="Y87" i="146"/>
  <c r="Z87" i="146" s="1"/>
  <c r="R87" i="146"/>
  <c r="T87" i="146" s="1"/>
  <c r="AV87" i="146"/>
  <c r="AW87" i="146" s="1"/>
  <c r="P87" i="146"/>
  <c r="BA87" i="146"/>
  <c r="BB87" i="146" s="1"/>
  <c r="AB87" i="146"/>
  <c r="AC87" i="146" s="1"/>
  <c r="AT87" i="146"/>
  <c r="V87" i="146"/>
  <c r="W87" i="146" s="1"/>
  <c r="AN87" i="146"/>
  <c r="AO87" i="146" s="1"/>
  <c r="O87" i="146"/>
  <c r="BG87" i="146"/>
  <c r="BH87" i="146" s="1"/>
  <c r="AH87" i="146"/>
  <c r="AI87" i="146" s="1"/>
  <c r="BN87" i="146"/>
  <c r="BO87" i="146" s="1"/>
  <c r="BK87" i="146"/>
  <c r="M87" i="146"/>
  <c r="BJ87" i="146"/>
  <c r="BL87" i="146" s="1"/>
  <c r="I89" i="146"/>
  <c r="K88" i="146"/>
  <c r="BN89" i="124"/>
  <c r="BO89" i="124" s="1"/>
  <c r="M89" i="124"/>
  <c r="BK89" i="124"/>
  <c r="BJ89" i="124"/>
  <c r="BL89" i="124" s="1"/>
  <c r="K90" i="124"/>
  <c r="O89" i="124"/>
  <c r="AV89" i="124"/>
  <c r="AW89" i="124" s="1"/>
  <c r="AQ89" i="124"/>
  <c r="AR89" i="124" s="1"/>
  <c r="AK89" i="124"/>
  <c r="AL89" i="124" s="1"/>
  <c r="BQ89" i="124"/>
  <c r="BR89" i="124" s="1"/>
  <c r="BA89" i="124"/>
  <c r="BB89" i="124" s="1"/>
  <c r="V89" i="124"/>
  <c r="W89" i="124" s="1"/>
  <c r="AH89" i="124"/>
  <c r="AI89" i="124" s="1"/>
  <c r="AE89" i="124"/>
  <c r="AF89" i="124" s="1"/>
  <c r="AY89" i="124"/>
  <c r="BD89" i="124"/>
  <c r="BE89" i="124" s="1"/>
  <c r="AN89" i="124"/>
  <c r="AO89" i="124" s="1"/>
  <c r="AB89" i="124"/>
  <c r="AC89" i="124" s="1"/>
  <c r="P89" i="124"/>
  <c r="R89" i="124"/>
  <c r="T89" i="124" s="1"/>
  <c r="Y89" i="124"/>
  <c r="Z89" i="124" s="1"/>
  <c r="AT89" i="124"/>
  <c r="BG89" i="124"/>
  <c r="BH89" i="124" s="1"/>
  <c r="I91" i="114"/>
  <c r="M86" i="135"/>
  <c r="BG86" i="135"/>
  <c r="BH86" i="135" s="1"/>
  <c r="O86" i="135"/>
  <c r="BQ86" i="135"/>
  <c r="BR86" i="135" s="1"/>
  <c r="AV86" i="135"/>
  <c r="AW86" i="135" s="1"/>
  <c r="AB86" i="135"/>
  <c r="AC86" i="135" s="1"/>
  <c r="AE86" i="135"/>
  <c r="AF86" i="135" s="1"/>
  <c r="P86" i="135"/>
  <c r="AQ86" i="135"/>
  <c r="AR86" i="135" s="1"/>
  <c r="V86" i="135"/>
  <c r="W86" i="135" s="1"/>
  <c r="Y86" i="135"/>
  <c r="Z86" i="135" s="1"/>
  <c r="BD86" i="135"/>
  <c r="BE86" i="135" s="1"/>
  <c r="BA86" i="135"/>
  <c r="BB86" i="135" s="1"/>
  <c r="AK86" i="135"/>
  <c r="AL86" i="135" s="1"/>
  <c r="AN86" i="135"/>
  <c r="AO86" i="135" s="1"/>
  <c r="AH86" i="135"/>
  <c r="AI86" i="135" s="1"/>
  <c r="R86" i="135"/>
  <c r="T86" i="135" s="1"/>
  <c r="AY86" i="135"/>
  <c r="BN86" i="135"/>
  <c r="BO86" i="135" s="1"/>
  <c r="AT86" i="135"/>
  <c r="BL86" i="135"/>
  <c r="AV85" i="96"/>
  <c r="AW85" i="96" s="1"/>
  <c r="BN85" i="96"/>
  <c r="BO85" i="96" s="1"/>
  <c r="AK85" i="96"/>
  <c r="AL85" i="96" s="1"/>
  <c r="BD85" i="96"/>
  <c r="BE85" i="96" s="1"/>
  <c r="AQ85" i="96"/>
  <c r="AR85" i="96" s="1"/>
  <c r="P85" i="96"/>
  <c r="M85" i="96"/>
  <c r="BQ85" i="96"/>
  <c r="BR85" i="96" s="1"/>
  <c r="AB85" i="96"/>
  <c r="AC85" i="96" s="1"/>
  <c r="AT85" i="96"/>
  <c r="R85" i="96"/>
  <c r="T85" i="96" s="1"/>
  <c r="BG85" i="96"/>
  <c r="BH85" i="96" s="1"/>
  <c r="AH85" i="96"/>
  <c r="AI85" i="96" s="1"/>
  <c r="BL85" i="96"/>
  <c r="AN85" i="96"/>
  <c r="AO85" i="96" s="1"/>
  <c r="Y85" i="96"/>
  <c r="Z85" i="96" s="1"/>
  <c r="V85" i="96"/>
  <c r="W85" i="96" s="1"/>
  <c r="O85" i="96"/>
  <c r="AE85" i="96"/>
  <c r="AF85" i="96" s="1"/>
  <c r="BA85" i="96"/>
  <c r="BB85" i="96" s="1"/>
  <c r="M85" i="115"/>
  <c r="BK85" i="115"/>
  <c r="BN85" i="115"/>
  <c r="BO85" i="115" s="1"/>
  <c r="BJ85" i="115"/>
  <c r="BL85" i="115" s="1"/>
  <c r="V85" i="115"/>
  <c r="W85" i="115" s="1"/>
  <c r="P85" i="115"/>
  <c r="BD85" i="115"/>
  <c r="BE85" i="115" s="1"/>
  <c r="AV85" i="115"/>
  <c r="AW85" i="115" s="1"/>
  <c r="AB85" i="115"/>
  <c r="AC85" i="115" s="1"/>
  <c r="AN85" i="115"/>
  <c r="AO85" i="115" s="1"/>
  <c r="AE85" i="115"/>
  <c r="AF85" i="115" s="1"/>
  <c r="AT85" i="115"/>
  <c r="BA85" i="115"/>
  <c r="BB85" i="115" s="1"/>
  <c r="BQ85" i="115"/>
  <c r="BR85" i="115" s="1"/>
  <c r="Y85" i="115"/>
  <c r="Z85" i="115" s="1"/>
  <c r="AH85" i="115"/>
  <c r="AI85" i="115" s="1"/>
  <c r="R85" i="115"/>
  <c r="T85" i="115" s="1"/>
  <c r="O85" i="115"/>
  <c r="AY85" i="115"/>
  <c r="BG85" i="115"/>
  <c r="BH85" i="115" s="1"/>
  <c r="AQ85" i="115"/>
  <c r="AR85" i="115" s="1"/>
  <c r="AK85" i="115"/>
  <c r="AL85" i="115" s="1"/>
  <c r="I91" i="136"/>
  <c r="BN87" i="105"/>
  <c r="BO87" i="105" s="1"/>
  <c r="BJ87" i="105"/>
  <c r="BL87" i="105" s="1"/>
  <c r="M87" i="105"/>
  <c r="BK87" i="105"/>
  <c r="AV87" i="105"/>
  <c r="AW87" i="105" s="1"/>
  <c r="AQ87" i="105"/>
  <c r="AR87" i="105" s="1"/>
  <c r="P87" i="105"/>
  <c r="AB87" i="105"/>
  <c r="AC87" i="105" s="1"/>
  <c r="AT87" i="105"/>
  <c r="V87" i="105"/>
  <c r="W87" i="105" s="1"/>
  <c r="AE87" i="105"/>
  <c r="AF87" i="105" s="1"/>
  <c r="R87" i="105"/>
  <c r="T87" i="105" s="1"/>
  <c r="BA87" i="105"/>
  <c r="BB87" i="105" s="1"/>
  <c r="BG87" i="105"/>
  <c r="BH87" i="105" s="1"/>
  <c r="AY87" i="105"/>
  <c r="Y87" i="105"/>
  <c r="Z87" i="105" s="1"/>
  <c r="AH87" i="105"/>
  <c r="AI87" i="105" s="1"/>
  <c r="AK87" i="105"/>
  <c r="AL87" i="105" s="1"/>
  <c r="BD87" i="105"/>
  <c r="BE87" i="105" s="1"/>
  <c r="O87" i="105"/>
  <c r="BQ87" i="105"/>
  <c r="BR87" i="105" s="1"/>
  <c r="AN87" i="105"/>
  <c r="AO87" i="105" s="1"/>
  <c r="K88" i="105"/>
  <c r="M85" i="98"/>
  <c r="BK85" i="98"/>
  <c r="BJ85" i="98"/>
  <c r="BL85" i="98" s="1"/>
  <c r="BN85" i="98"/>
  <c r="BO85" i="98" s="1"/>
  <c r="K86" i="98"/>
  <c r="AK85" i="98"/>
  <c r="AL85" i="98" s="1"/>
  <c r="AE85" i="98"/>
  <c r="AF85" i="98" s="1"/>
  <c r="Y85" i="98"/>
  <c r="Z85" i="98" s="1"/>
  <c r="AH85" i="98"/>
  <c r="AI85" i="98" s="1"/>
  <c r="AV85" i="98"/>
  <c r="AW85" i="98" s="1"/>
  <c r="AN85" i="98"/>
  <c r="AO85" i="98" s="1"/>
  <c r="O85" i="98"/>
  <c r="AQ85" i="98"/>
  <c r="AR85" i="98" s="1"/>
  <c r="BA85" i="98"/>
  <c r="BB85" i="98" s="1"/>
  <c r="R85" i="98"/>
  <c r="T85" i="98" s="1"/>
  <c r="V85" i="98"/>
  <c r="W85" i="98" s="1"/>
  <c r="P85" i="98"/>
  <c r="AB85" i="98"/>
  <c r="AC85" i="98" s="1"/>
  <c r="BQ85" i="98"/>
  <c r="BR85" i="98" s="1"/>
  <c r="AY85" i="98"/>
  <c r="BG85" i="98"/>
  <c r="BH85" i="98" s="1"/>
  <c r="BD85" i="98"/>
  <c r="BE85" i="98" s="1"/>
  <c r="AT85" i="98"/>
  <c r="I85" i="66"/>
  <c r="K84" i="66"/>
  <c r="M85" i="126"/>
  <c r="BN85" i="126"/>
  <c r="BO85" i="126" s="1"/>
  <c r="BJ85" i="126"/>
  <c r="BL85" i="126" s="1"/>
  <c r="BK85" i="126"/>
  <c r="O85" i="126"/>
  <c r="AN85" i="126"/>
  <c r="AO85" i="126" s="1"/>
  <c r="BG85" i="126"/>
  <c r="BH85" i="126" s="1"/>
  <c r="BD85" i="126"/>
  <c r="BE85" i="126" s="1"/>
  <c r="AK85" i="126"/>
  <c r="AL85" i="126" s="1"/>
  <c r="P85" i="126"/>
  <c r="V85" i="126"/>
  <c r="W85" i="126" s="1"/>
  <c r="BQ85" i="126"/>
  <c r="BR85" i="126" s="1"/>
  <c r="AQ85" i="126"/>
  <c r="AR85" i="126" s="1"/>
  <c r="AV85" i="126"/>
  <c r="AW85" i="126" s="1"/>
  <c r="Y85" i="126"/>
  <c r="Z85" i="126" s="1"/>
  <c r="R85" i="126"/>
  <c r="T85" i="126" s="1"/>
  <c r="AH85" i="126"/>
  <c r="AI85" i="126" s="1"/>
  <c r="AB85" i="126"/>
  <c r="AC85" i="126" s="1"/>
  <c r="AY85" i="126"/>
  <c r="BA85" i="126"/>
  <c r="BB85" i="126" s="1"/>
  <c r="AT85" i="126"/>
  <c r="AE85" i="126"/>
  <c r="AF85" i="126" s="1"/>
  <c r="K86" i="126"/>
  <c r="K84" i="13"/>
  <c r="I85" i="13"/>
  <c r="I94" i="95"/>
  <c r="M84" i="101"/>
  <c r="BA84" i="101"/>
  <c r="BB84" i="101" s="1"/>
  <c r="V84" i="101"/>
  <c r="W84" i="101" s="1"/>
  <c r="AE84" i="101"/>
  <c r="AF84" i="101" s="1"/>
  <c r="P84" i="101"/>
  <c r="BG84" i="101"/>
  <c r="BH84" i="101" s="1"/>
  <c r="AY84" i="101"/>
  <c r="BQ84" i="101"/>
  <c r="BR84" i="101" s="1"/>
  <c r="AH84" i="101"/>
  <c r="AI84" i="101" s="1"/>
  <c r="AT84" i="101"/>
  <c r="AQ84" i="101"/>
  <c r="AR84" i="101" s="1"/>
  <c r="AK84" i="101"/>
  <c r="AL84" i="101" s="1"/>
  <c r="AV84" i="101"/>
  <c r="AW84" i="101" s="1"/>
  <c r="O84" i="101"/>
  <c r="BD84" i="101"/>
  <c r="BE84" i="101" s="1"/>
  <c r="AN84" i="101"/>
  <c r="AO84" i="101" s="1"/>
  <c r="Y84" i="101"/>
  <c r="Z84" i="101" s="1"/>
  <c r="R84" i="101"/>
  <c r="T84" i="101" s="1"/>
  <c r="AB84" i="101"/>
  <c r="AC84" i="101" s="1"/>
  <c r="I87" i="110"/>
  <c r="K86" i="110"/>
  <c r="BN84" i="15"/>
  <c r="BO84" i="15" s="1"/>
  <c r="M84" i="15"/>
  <c r="BL84" i="15"/>
  <c r="AQ84" i="15"/>
  <c r="AR84" i="15" s="1"/>
  <c r="O84" i="15"/>
  <c r="BD84" i="15"/>
  <c r="BE84" i="15" s="1"/>
  <c r="P84" i="15"/>
  <c r="V84" i="15"/>
  <c r="W84" i="15" s="1"/>
  <c r="AH84" i="15"/>
  <c r="AI84" i="15" s="1"/>
  <c r="AK84" i="15"/>
  <c r="AL84" i="15" s="1"/>
  <c r="AT84" i="15"/>
  <c r="R84" i="15"/>
  <c r="T84" i="15" s="1"/>
  <c r="BQ84" i="15"/>
  <c r="BR84" i="15" s="1"/>
  <c r="AE84" i="15"/>
  <c r="AF84" i="15" s="1"/>
  <c r="BA84" i="15"/>
  <c r="BB84" i="15" s="1"/>
  <c r="AN84" i="15"/>
  <c r="AO84" i="15" s="1"/>
  <c r="BG84" i="15"/>
  <c r="BH84" i="15" s="1"/>
  <c r="Y84" i="15"/>
  <c r="Z84" i="15" s="1"/>
  <c r="AB84" i="15"/>
  <c r="AC84" i="15" s="1"/>
  <c r="AY84" i="15"/>
  <c r="AV84" i="15"/>
  <c r="AW84" i="15" s="1"/>
  <c r="K85" i="15"/>
  <c r="I88" i="135"/>
  <c r="K87" i="135"/>
  <c r="K86" i="96"/>
  <c r="I87" i="96"/>
  <c r="I87" i="115"/>
  <c r="K86" i="115"/>
  <c r="BN85" i="63"/>
  <c r="BO85" i="63" s="1"/>
  <c r="M85" i="63"/>
  <c r="BL85" i="63"/>
  <c r="AK85" i="63"/>
  <c r="AL85" i="63" s="1"/>
  <c r="AQ85" i="63"/>
  <c r="AR85" i="63" s="1"/>
  <c r="AN85" i="63"/>
  <c r="AO85" i="63" s="1"/>
  <c r="P85" i="63"/>
  <c r="BA85" i="63"/>
  <c r="BB85" i="63" s="1"/>
  <c r="R85" i="63"/>
  <c r="T85" i="63" s="1"/>
  <c r="O85" i="63"/>
  <c r="AH85" i="63"/>
  <c r="AI85" i="63" s="1"/>
  <c r="BQ85" i="63"/>
  <c r="BR85" i="63" s="1"/>
  <c r="AB85" i="63"/>
  <c r="AC85" i="63" s="1"/>
  <c r="AY85" i="63"/>
  <c r="BG85" i="63"/>
  <c r="BH85" i="63" s="1"/>
  <c r="Y85" i="63"/>
  <c r="Z85" i="63" s="1"/>
  <c r="V85" i="63"/>
  <c r="W85" i="63" s="1"/>
  <c r="AT85" i="63"/>
  <c r="AE85" i="63"/>
  <c r="AF85" i="63" s="1"/>
  <c r="BD85" i="63"/>
  <c r="BE85" i="63" s="1"/>
  <c r="AV85" i="63"/>
  <c r="AW85" i="63" s="1"/>
  <c r="K86" i="63"/>
  <c r="I89" i="104"/>
  <c r="BN83" i="17"/>
  <c r="BO83" i="17" s="1"/>
  <c r="BL83" i="17"/>
  <c r="Y83" i="17"/>
  <c r="Z83" i="17" s="1"/>
  <c r="AT83" i="17"/>
  <c r="R83" i="17"/>
  <c r="T83" i="17" s="1"/>
  <c r="BG83" i="17"/>
  <c r="BH83" i="17" s="1"/>
  <c r="M83" i="17"/>
  <c r="AY83" i="17"/>
  <c r="AE83" i="17"/>
  <c r="AF83" i="17" s="1"/>
  <c r="BQ83" i="17"/>
  <c r="BR83" i="17" s="1"/>
  <c r="V83" i="17"/>
  <c r="W83" i="17" s="1"/>
  <c r="AK83" i="17"/>
  <c r="AL83" i="17" s="1"/>
  <c r="AV83" i="17"/>
  <c r="AW83" i="17" s="1"/>
  <c r="O83" i="17"/>
  <c r="AN83" i="17"/>
  <c r="AO83" i="17" s="1"/>
  <c r="AB83" i="17"/>
  <c r="AC83" i="17" s="1"/>
  <c r="P83" i="17"/>
  <c r="BA83" i="17"/>
  <c r="BB83" i="17" s="1"/>
  <c r="AQ83" i="17"/>
  <c r="AR83" i="17" s="1"/>
  <c r="BD83" i="17"/>
  <c r="BE83" i="17" s="1"/>
  <c r="AH83" i="17"/>
  <c r="AI83" i="17" s="1"/>
  <c r="M87" i="136"/>
  <c r="BN87" i="136"/>
  <c r="BO87" i="136" s="1"/>
  <c r="BL87" i="136"/>
  <c r="V87" i="136"/>
  <c r="W87" i="136" s="1"/>
  <c r="AN87" i="136"/>
  <c r="AO87" i="136" s="1"/>
  <c r="AT87" i="136"/>
  <c r="AE87" i="136"/>
  <c r="AF87" i="136" s="1"/>
  <c r="AV87" i="136"/>
  <c r="AW87" i="136" s="1"/>
  <c r="O87" i="136"/>
  <c r="AH87" i="136"/>
  <c r="AI87" i="136" s="1"/>
  <c r="P87" i="136"/>
  <c r="BA87" i="136"/>
  <c r="BB87" i="136" s="1"/>
  <c r="R87" i="136"/>
  <c r="T87" i="136" s="1"/>
  <c r="BG87" i="136"/>
  <c r="BH87" i="136" s="1"/>
  <c r="AQ87" i="136"/>
  <c r="AR87" i="136" s="1"/>
  <c r="BD87" i="136"/>
  <c r="BE87" i="136" s="1"/>
  <c r="Y87" i="136"/>
  <c r="Z87" i="136" s="1"/>
  <c r="AY87" i="136"/>
  <c r="BQ87" i="136"/>
  <c r="BR87" i="136" s="1"/>
  <c r="AK87" i="136"/>
  <c r="AL87" i="136" s="1"/>
  <c r="AB87" i="136"/>
  <c r="AC87" i="136" s="1"/>
  <c r="K88" i="136"/>
  <c r="AN83" i="66"/>
  <c r="AO83" i="66" s="1"/>
  <c r="AQ83" i="66"/>
  <c r="AR83" i="66" s="1"/>
  <c r="V83" i="66"/>
  <c r="W83" i="66" s="1"/>
  <c r="AK83" i="66"/>
  <c r="AL83" i="66" s="1"/>
  <c r="AB83" i="66"/>
  <c r="AC83" i="66" s="1"/>
  <c r="BQ83" i="66"/>
  <c r="BR83" i="66" s="1"/>
  <c r="BG83" i="66"/>
  <c r="BH83" i="66" s="1"/>
  <c r="BD83" i="66"/>
  <c r="BE83" i="66" s="1"/>
  <c r="R83" i="66"/>
  <c r="T83" i="66" s="1"/>
  <c r="AT83" i="66"/>
  <c r="Y83" i="66"/>
  <c r="Z83" i="66" s="1"/>
  <c r="AE83" i="66"/>
  <c r="AF83" i="66" s="1"/>
  <c r="O83" i="66"/>
  <c r="M83" i="66"/>
  <c r="BA83" i="66"/>
  <c r="BB83" i="66" s="1"/>
  <c r="AY83" i="66"/>
  <c r="AV83" i="66"/>
  <c r="AW83" i="66" s="1"/>
  <c r="AH83" i="66"/>
  <c r="AI83" i="66" s="1"/>
  <c r="BN83" i="66"/>
  <c r="BO83" i="66" s="1"/>
  <c r="P83" i="66"/>
  <c r="BL83" i="66"/>
  <c r="I89" i="15"/>
  <c r="M83" i="13"/>
  <c r="BL83" i="13"/>
  <c r="BN83" i="13"/>
  <c r="BO83" i="13" s="1"/>
  <c r="AK83" i="13"/>
  <c r="AL83" i="13" s="1"/>
  <c r="AN83" i="13"/>
  <c r="AO83" i="13" s="1"/>
  <c r="AT83" i="13"/>
  <c r="AE83" i="13"/>
  <c r="AF83" i="13" s="1"/>
  <c r="Y83" i="13"/>
  <c r="Z83" i="13" s="1"/>
  <c r="AB83" i="13"/>
  <c r="AC83" i="13" s="1"/>
  <c r="P83" i="13"/>
  <c r="BD83" i="13"/>
  <c r="BE83" i="13" s="1"/>
  <c r="AQ83" i="13"/>
  <c r="AR83" i="13" s="1"/>
  <c r="R83" i="13"/>
  <c r="T83" i="13" s="1"/>
  <c r="V83" i="13"/>
  <c r="W83" i="13" s="1"/>
  <c r="BQ83" i="13"/>
  <c r="BR83" i="13" s="1"/>
  <c r="O83" i="13"/>
  <c r="BG83" i="13"/>
  <c r="BH83" i="13" s="1"/>
  <c r="AV83" i="13"/>
  <c r="AW83" i="13" s="1"/>
  <c r="AY83" i="13"/>
  <c r="AH83" i="13"/>
  <c r="AI83" i="13" s="1"/>
  <c r="BA83" i="13"/>
  <c r="BB83" i="13" s="1"/>
  <c r="I86" i="101"/>
  <c r="K85" i="101"/>
  <c r="I90" i="63"/>
  <c r="I92" i="105"/>
  <c r="M84" i="118"/>
  <c r="K85" i="118"/>
  <c r="BN84" i="118"/>
  <c r="BO84" i="118" s="1"/>
  <c r="AE84" i="118"/>
  <c r="AF84" i="118" s="1"/>
  <c r="AN84" i="118"/>
  <c r="AO84" i="118" s="1"/>
  <c r="O84" i="118"/>
  <c r="BD84" i="118"/>
  <c r="BE84" i="118" s="1"/>
  <c r="AT84" i="118"/>
  <c r="AQ84" i="118"/>
  <c r="AR84" i="118" s="1"/>
  <c r="Y84" i="118"/>
  <c r="Z84" i="118" s="1"/>
  <c r="AB84" i="118"/>
  <c r="AC84" i="118" s="1"/>
  <c r="R84" i="118"/>
  <c r="T84" i="118" s="1"/>
  <c r="AK84" i="118"/>
  <c r="AL84" i="118" s="1"/>
  <c r="V84" i="118"/>
  <c r="W84" i="118" s="1"/>
  <c r="AY84" i="118"/>
  <c r="AH84" i="118"/>
  <c r="AI84" i="118" s="1"/>
  <c r="P84" i="118"/>
  <c r="BG84" i="118"/>
  <c r="BH84" i="118" s="1"/>
  <c r="BA84" i="118"/>
  <c r="BB84" i="118" s="1"/>
  <c r="AV84" i="118"/>
  <c r="AW84" i="118" s="1"/>
  <c r="BQ84" i="118"/>
  <c r="BR84" i="118" s="1"/>
  <c r="I85" i="17"/>
  <c r="K84" i="17"/>
  <c r="BK85" i="110"/>
  <c r="BN85" i="110"/>
  <c r="BO85" i="110" s="1"/>
  <c r="M85" i="110"/>
  <c r="BJ85" i="110"/>
  <c r="BL85" i="110" s="1"/>
  <c r="BG85" i="110"/>
  <c r="BH85" i="110" s="1"/>
  <c r="BQ85" i="110"/>
  <c r="BR85" i="110" s="1"/>
  <c r="Y85" i="110"/>
  <c r="Z85" i="110" s="1"/>
  <c r="AK85" i="110"/>
  <c r="AL85" i="110" s="1"/>
  <c r="O85" i="110"/>
  <c r="AN85" i="110"/>
  <c r="AO85" i="110" s="1"/>
  <c r="AH85" i="110"/>
  <c r="AI85" i="110" s="1"/>
  <c r="AQ85" i="110"/>
  <c r="AR85" i="110" s="1"/>
  <c r="AY85" i="110"/>
  <c r="AT85" i="110"/>
  <c r="AE85" i="110"/>
  <c r="AF85" i="110" s="1"/>
  <c r="BA85" i="110"/>
  <c r="BB85" i="110" s="1"/>
  <c r="AB85" i="110"/>
  <c r="AC85" i="110" s="1"/>
  <c r="P85" i="110"/>
  <c r="AV85" i="110"/>
  <c r="AW85" i="110" s="1"/>
  <c r="V85" i="110"/>
  <c r="W85" i="110" s="1"/>
  <c r="BD85" i="110"/>
  <c r="BE85" i="110" s="1"/>
  <c r="R85" i="110"/>
  <c r="T85" i="110" s="1"/>
  <c r="I100" i="133"/>
  <c r="AN83" i="120"/>
  <c r="AO83" i="120" s="1"/>
  <c r="AY83" i="120"/>
  <c r="AB83" i="120"/>
  <c r="AC83" i="120" s="1"/>
  <c r="R83" i="120"/>
  <c r="T83" i="120" s="1"/>
  <c r="AE83" i="120"/>
  <c r="AF83" i="120" s="1"/>
  <c r="Y83" i="120"/>
  <c r="Z83" i="120" s="1"/>
  <c r="BA83" i="120"/>
  <c r="BB83" i="120" s="1"/>
  <c r="BQ83" i="120"/>
  <c r="BR83" i="120" s="1"/>
  <c r="O83" i="120"/>
  <c r="P83" i="120"/>
  <c r="M83" i="120"/>
  <c r="AK83" i="120"/>
  <c r="AL83" i="120" s="1"/>
  <c r="AV83" i="120"/>
  <c r="AW83" i="120" s="1"/>
  <c r="BG83" i="120"/>
  <c r="BH83" i="120" s="1"/>
  <c r="AT83" i="120"/>
  <c r="BD83" i="120"/>
  <c r="BE83" i="120" s="1"/>
  <c r="K84" i="120"/>
  <c r="V83" i="120"/>
  <c r="W83" i="120" s="1"/>
  <c r="AH83" i="120"/>
  <c r="AI83" i="120" s="1"/>
  <c r="AQ83" i="120"/>
  <c r="AR83" i="120" s="1"/>
  <c r="BN83" i="120"/>
  <c r="BO83" i="120" s="1"/>
  <c r="AY86" i="64"/>
  <c r="O86" i="64"/>
  <c r="AV86" i="64"/>
  <c r="AW86" i="64" s="1"/>
  <c r="AB86" i="64"/>
  <c r="AC86" i="64" s="1"/>
  <c r="P86" i="64"/>
  <c r="R86" i="64"/>
  <c r="T86" i="64" s="1"/>
  <c r="AE86" i="64"/>
  <c r="AF86" i="64" s="1"/>
  <c r="AQ86" i="64"/>
  <c r="AR86" i="64" s="1"/>
  <c r="AK86" i="64"/>
  <c r="AL86" i="64" s="1"/>
  <c r="AT86" i="64"/>
  <c r="BA86" i="64"/>
  <c r="BB86" i="64" s="1"/>
  <c r="BD86" i="64"/>
  <c r="BE86" i="64" s="1"/>
  <c r="AH86" i="64"/>
  <c r="AI86" i="64" s="1"/>
  <c r="BQ86" i="64"/>
  <c r="BR86" i="64" s="1"/>
  <c r="M86" i="64"/>
  <c r="AN86" i="64"/>
  <c r="AO86" i="64" s="1"/>
  <c r="V86" i="64"/>
  <c r="W86" i="64" s="1"/>
  <c r="BG86" i="64"/>
  <c r="BH86" i="64" s="1"/>
  <c r="Y86" i="64"/>
  <c r="Z86" i="64" s="1"/>
  <c r="BN86" i="64"/>
  <c r="BO86" i="64" s="1"/>
  <c r="BL86" i="64"/>
  <c r="K87" i="64"/>
  <c r="BJ85" i="114"/>
  <c r="BL85" i="114" s="1"/>
  <c r="BK85" i="114"/>
  <c r="BN85" i="114"/>
  <c r="BO85" i="114" s="1"/>
  <c r="M85" i="114"/>
  <c r="BG85" i="114"/>
  <c r="BH85" i="114" s="1"/>
  <c r="AN85" i="114"/>
  <c r="AO85" i="114" s="1"/>
  <c r="O85" i="114"/>
  <c r="AK85" i="114"/>
  <c r="AL85" i="114" s="1"/>
  <c r="AH85" i="114"/>
  <c r="AI85" i="114" s="1"/>
  <c r="AB85" i="114"/>
  <c r="AC85" i="114" s="1"/>
  <c r="BD85" i="114"/>
  <c r="BE85" i="114" s="1"/>
  <c r="BQ85" i="114"/>
  <c r="BR85" i="114" s="1"/>
  <c r="P85" i="114"/>
  <c r="V85" i="114"/>
  <c r="W85" i="114" s="1"/>
  <c r="Y85" i="114"/>
  <c r="Z85" i="114" s="1"/>
  <c r="AY85" i="114"/>
  <c r="BA85" i="114"/>
  <c r="BB85" i="114" s="1"/>
  <c r="AQ85" i="114"/>
  <c r="AR85" i="114" s="1"/>
  <c r="AE85" i="114"/>
  <c r="AF85" i="114" s="1"/>
  <c r="AV85" i="114"/>
  <c r="AW85" i="114" s="1"/>
  <c r="R85" i="114"/>
  <c r="T85" i="114" s="1"/>
  <c r="AT85" i="114"/>
  <c r="K86" i="114"/>
  <c r="I91" i="64"/>
  <c r="I92" i="132"/>
  <c r="I90" i="126"/>
  <c r="M89" i="107" l="1"/>
  <c r="AQ89" i="107"/>
  <c r="AR89" i="107" s="1"/>
  <c r="P89" i="107"/>
  <c r="AV89" i="107"/>
  <c r="AW89" i="107" s="1"/>
  <c r="AN89" i="107"/>
  <c r="AO89" i="107" s="1"/>
  <c r="AE89" i="107"/>
  <c r="AF89" i="107" s="1"/>
  <c r="V89" i="107"/>
  <c r="W89" i="107" s="1"/>
  <c r="BK89" i="107"/>
  <c r="Y89" i="107"/>
  <c r="Z89" i="107" s="1"/>
  <c r="AK89" i="107"/>
  <c r="AL89" i="107" s="1"/>
  <c r="AH89" i="107"/>
  <c r="AI89" i="107" s="1"/>
  <c r="R89" i="107"/>
  <c r="T89" i="107" s="1"/>
  <c r="BA89" i="107"/>
  <c r="BB89" i="107" s="1"/>
  <c r="BJ89" i="107"/>
  <c r="BL89" i="107" s="1"/>
  <c r="BG89" i="107"/>
  <c r="BH89" i="107" s="1"/>
  <c r="AY89" i="107"/>
  <c r="AT89" i="107"/>
  <c r="BQ89" i="107"/>
  <c r="BR89" i="107" s="1"/>
  <c r="O89" i="107"/>
  <c r="BN89" i="107"/>
  <c r="BO89" i="107" s="1"/>
  <c r="BD89" i="107"/>
  <c r="BE89" i="107" s="1"/>
  <c r="AB89" i="107"/>
  <c r="AC89" i="107" s="1"/>
  <c r="I91" i="107"/>
  <c r="K90" i="107"/>
  <c r="AY87" i="132"/>
  <c r="Y87" i="132"/>
  <c r="Z87" i="132" s="1"/>
  <c r="BD87" i="132"/>
  <c r="BE87" i="132" s="1"/>
  <c r="BQ87" i="132"/>
  <c r="BR87" i="132" s="1"/>
  <c r="BN87" i="132"/>
  <c r="BO87" i="132" s="1"/>
  <c r="BL87" i="132"/>
  <c r="AB87" i="132"/>
  <c r="AC87" i="132" s="1"/>
  <c r="BG87" i="132"/>
  <c r="BH87" i="132" s="1"/>
  <c r="O87" i="132"/>
  <c r="AH87" i="132"/>
  <c r="AI87" i="132" s="1"/>
  <c r="M87" i="132"/>
  <c r="AN87" i="132"/>
  <c r="AO87" i="132" s="1"/>
  <c r="AV87" i="132"/>
  <c r="AW87" i="132" s="1"/>
  <c r="V87" i="132"/>
  <c r="W87" i="132" s="1"/>
  <c r="BA87" i="132"/>
  <c r="BB87" i="132" s="1"/>
  <c r="AQ87" i="132"/>
  <c r="AR87" i="132" s="1"/>
  <c r="AE87" i="132"/>
  <c r="AF87" i="132" s="1"/>
  <c r="P87" i="132"/>
  <c r="AT87" i="132"/>
  <c r="K88" i="132"/>
  <c r="AK87" i="132"/>
  <c r="AL87" i="132" s="1"/>
  <c r="R87" i="132"/>
  <c r="T87" i="132" s="1"/>
  <c r="BA87" i="99"/>
  <c r="BB87" i="99" s="1"/>
  <c r="P87" i="99"/>
  <c r="AQ87" i="99"/>
  <c r="AR87" i="99" s="1"/>
  <c r="AB87" i="99"/>
  <c r="AC87" i="99" s="1"/>
  <c r="BN87" i="99"/>
  <c r="BO87" i="99" s="1"/>
  <c r="R87" i="99"/>
  <c r="T87" i="99" s="1"/>
  <c r="AE87" i="99"/>
  <c r="AF87" i="99" s="1"/>
  <c r="O87" i="99"/>
  <c r="M87" i="99"/>
  <c r="AV87" i="99"/>
  <c r="AW87" i="99" s="1"/>
  <c r="BG87" i="99"/>
  <c r="BH87" i="99" s="1"/>
  <c r="AK87" i="99"/>
  <c r="AL87" i="99" s="1"/>
  <c r="BJ87" i="99"/>
  <c r="BL87" i="99" s="1"/>
  <c r="BQ87" i="99"/>
  <c r="BR87" i="99" s="1"/>
  <c r="AN87" i="99"/>
  <c r="AO87" i="99" s="1"/>
  <c r="BD87" i="99"/>
  <c r="BE87" i="99" s="1"/>
  <c r="BK87" i="99"/>
  <c r="AY87" i="99"/>
  <c r="V87" i="99"/>
  <c r="W87" i="99" s="1"/>
  <c r="AT87" i="99"/>
  <c r="AH87" i="99"/>
  <c r="AI87" i="99" s="1"/>
  <c r="Y87" i="99"/>
  <c r="Z87" i="99" s="1"/>
  <c r="K88" i="99"/>
  <c r="BK85" i="106"/>
  <c r="AN85" i="106"/>
  <c r="AO85" i="106" s="1"/>
  <c r="P85" i="106"/>
  <c r="O85" i="106"/>
  <c r="BJ85" i="106"/>
  <c r="BL85" i="106" s="1"/>
  <c r="BD85" i="106"/>
  <c r="BE85" i="106" s="1"/>
  <c r="AK85" i="106"/>
  <c r="AL85" i="106" s="1"/>
  <c r="AV85" i="106"/>
  <c r="AW85" i="106" s="1"/>
  <c r="BN85" i="106"/>
  <c r="BO85" i="106" s="1"/>
  <c r="AE85" i="106"/>
  <c r="AF85" i="106" s="1"/>
  <c r="BG85" i="106"/>
  <c r="BH85" i="106" s="1"/>
  <c r="BA85" i="106"/>
  <c r="BB85" i="106" s="1"/>
  <c r="AY85" i="106"/>
  <c r="AH85" i="106"/>
  <c r="AI85" i="106" s="1"/>
  <c r="AT85" i="106"/>
  <c r="AQ85" i="106"/>
  <c r="AR85" i="106" s="1"/>
  <c r="Y85" i="106"/>
  <c r="Z85" i="106" s="1"/>
  <c r="R85" i="106"/>
  <c r="T85" i="106" s="1"/>
  <c r="M85" i="106"/>
  <c r="BQ85" i="106"/>
  <c r="BR85" i="106" s="1"/>
  <c r="V85" i="106"/>
  <c r="W85" i="106" s="1"/>
  <c r="AB85" i="106"/>
  <c r="AC85" i="106" s="1"/>
  <c r="K86" i="106"/>
  <c r="M85" i="112"/>
  <c r="BD85" i="112"/>
  <c r="BE85" i="112" s="1"/>
  <c r="Y85" i="112"/>
  <c r="Z85" i="112" s="1"/>
  <c r="AQ85" i="112"/>
  <c r="AR85" i="112" s="1"/>
  <c r="AE85" i="112"/>
  <c r="AF85" i="112" s="1"/>
  <c r="AK85" i="112"/>
  <c r="AL85" i="112" s="1"/>
  <c r="AV85" i="112"/>
  <c r="AW85" i="112" s="1"/>
  <c r="AY85" i="112"/>
  <c r="BG85" i="112"/>
  <c r="BH85" i="112" s="1"/>
  <c r="K86" i="112"/>
  <c r="BJ85" i="112"/>
  <c r="BL85" i="112" s="1"/>
  <c r="BK85" i="112"/>
  <c r="AB85" i="112"/>
  <c r="AC85" i="112" s="1"/>
  <c r="BA85" i="112"/>
  <c r="BB85" i="112" s="1"/>
  <c r="P85" i="112"/>
  <c r="AH85" i="112"/>
  <c r="AI85" i="112" s="1"/>
  <c r="V85" i="112"/>
  <c r="W85" i="112" s="1"/>
  <c r="O85" i="112"/>
  <c r="AT85" i="112"/>
  <c r="BN85" i="112"/>
  <c r="BO85" i="112" s="1"/>
  <c r="R85" i="112"/>
  <c r="T85" i="112" s="1"/>
  <c r="BQ85" i="112"/>
  <c r="BR85" i="112" s="1"/>
  <c r="AN85" i="112"/>
  <c r="AO85" i="112" s="1"/>
  <c r="AE88" i="133"/>
  <c r="AF88" i="133" s="1"/>
  <c r="BA88" i="133"/>
  <c r="BB88" i="133" s="1"/>
  <c r="BG88" i="133"/>
  <c r="BH88" i="133" s="1"/>
  <c r="K89" i="133"/>
  <c r="M88" i="133"/>
  <c r="V88" i="133"/>
  <c r="W88" i="133" s="1"/>
  <c r="AT88" i="133"/>
  <c r="AK88" i="133"/>
  <c r="AL88" i="133" s="1"/>
  <c r="R88" i="133"/>
  <c r="T88" i="133" s="1"/>
  <c r="P88" i="133"/>
  <c r="BD88" i="133"/>
  <c r="BE88" i="133" s="1"/>
  <c r="AB88" i="133"/>
  <c r="AC88" i="133" s="1"/>
  <c r="BQ88" i="133"/>
  <c r="BR88" i="133" s="1"/>
  <c r="Y88" i="133"/>
  <c r="Z88" i="133" s="1"/>
  <c r="AN88" i="133"/>
  <c r="AO88" i="133" s="1"/>
  <c r="AY88" i="133"/>
  <c r="AH88" i="133"/>
  <c r="AI88" i="133" s="1"/>
  <c r="BN88" i="133"/>
  <c r="BO88" i="133" s="1"/>
  <c r="O88" i="133"/>
  <c r="AQ88" i="133"/>
  <c r="AR88" i="133" s="1"/>
  <c r="AV88" i="133"/>
  <c r="AW88" i="133" s="1"/>
  <c r="BL88" i="133"/>
  <c r="BN86" i="129"/>
  <c r="BO86" i="129" s="1"/>
  <c r="AQ86" i="129"/>
  <c r="AR86" i="129" s="1"/>
  <c r="BG86" i="129"/>
  <c r="BH86" i="129" s="1"/>
  <c r="AV86" i="129"/>
  <c r="AW86" i="129" s="1"/>
  <c r="AN86" i="129"/>
  <c r="AO86" i="129" s="1"/>
  <c r="AT86" i="129"/>
  <c r="BD86" i="129"/>
  <c r="BE86" i="129" s="1"/>
  <c r="K87" i="129"/>
  <c r="AE86" i="129"/>
  <c r="AF86" i="129" s="1"/>
  <c r="R86" i="129"/>
  <c r="T86" i="129" s="1"/>
  <c r="BA86" i="129"/>
  <c r="BB86" i="129" s="1"/>
  <c r="AK86" i="129"/>
  <c r="AL86" i="129" s="1"/>
  <c r="BL86" i="129"/>
  <c r="M86" i="129"/>
  <c r="AH86" i="129"/>
  <c r="AI86" i="129" s="1"/>
  <c r="O86" i="129"/>
  <c r="V86" i="129"/>
  <c r="W86" i="129" s="1"/>
  <c r="AY86" i="129"/>
  <c r="AB86" i="129"/>
  <c r="AC86" i="129" s="1"/>
  <c r="P86" i="129"/>
  <c r="BQ86" i="129"/>
  <c r="BR86" i="129" s="1"/>
  <c r="Y86" i="129"/>
  <c r="Z86" i="129" s="1"/>
  <c r="BL84" i="95"/>
  <c r="BA84" i="95"/>
  <c r="BB84" i="95" s="1"/>
  <c r="R84" i="95"/>
  <c r="T84" i="95" s="1"/>
  <c r="K85" i="95"/>
  <c r="BN84" i="95"/>
  <c r="BO84" i="95" s="1"/>
  <c r="V84" i="95"/>
  <c r="W84" i="95" s="1"/>
  <c r="AK84" i="95"/>
  <c r="AL84" i="95" s="1"/>
  <c r="AT84" i="95"/>
  <c r="AQ84" i="95"/>
  <c r="AR84" i="95" s="1"/>
  <c r="BG84" i="95"/>
  <c r="BH84" i="95" s="1"/>
  <c r="BD84" i="95"/>
  <c r="BE84" i="95" s="1"/>
  <c r="AB84" i="95"/>
  <c r="AC84" i="95" s="1"/>
  <c r="Y84" i="95"/>
  <c r="Z84" i="95" s="1"/>
  <c r="AN84" i="95"/>
  <c r="AO84" i="95" s="1"/>
  <c r="AE84" i="95"/>
  <c r="AF84" i="95" s="1"/>
  <c r="BQ84" i="95"/>
  <c r="BR84" i="95" s="1"/>
  <c r="M84" i="95"/>
  <c r="P84" i="95"/>
  <c r="AV84" i="95"/>
  <c r="AW84" i="95" s="1"/>
  <c r="O84" i="95"/>
  <c r="AH84" i="95"/>
  <c r="AI84" i="95" s="1"/>
  <c r="I92" i="106"/>
  <c r="K91" i="156"/>
  <c r="AY91" i="156" s="1"/>
  <c r="I92" i="156"/>
  <c r="BQ85" i="104"/>
  <c r="BR85" i="104" s="1"/>
  <c r="AN85" i="104"/>
  <c r="AO85" i="104" s="1"/>
  <c r="O85" i="104"/>
  <c r="AB85" i="104"/>
  <c r="AC85" i="104" s="1"/>
  <c r="BD85" i="104"/>
  <c r="BE85" i="104" s="1"/>
  <c r="R85" i="104"/>
  <c r="T85" i="104" s="1"/>
  <c r="M85" i="104"/>
  <c r="BG85" i="104"/>
  <c r="BH85" i="104" s="1"/>
  <c r="AQ85" i="104"/>
  <c r="AR85" i="104" s="1"/>
  <c r="AE85" i="104"/>
  <c r="AF85" i="104" s="1"/>
  <c r="AH85" i="104"/>
  <c r="AI85" i="104" s="1"/>
  <c r="BN85" i="104"/>
  <c r="BO85" i="104" s="1"/>
  <c r="AK85" i="104"/>
  <c r="AL85" i="104" s="1"/>
  <c r="AV85" i="104"/>
  <c r="AW85" i="104" s="1"/>
  <c r="P85" i="104"/>
  <c r="K86" i="104"/>
  <c r="AY85" i="104"/>
  <c r="AT85" i="104"/>
  <c r="BK85" i="104"/>
  <c r="V85" i="104"/>
  <c r="W85" i="104" s="1"/>
  <c r="BA85" i="104"/>
  <c r="BB85" i="104" s="1"/>
  <c r="Y85" i="104"/>
  <c r="Z85" i="104" s="1"/>
  <c r="BJ85" i="104"/>
  <c r="BL85" i="104" s="1"/>
  <c r="AQ90" i="156"/>
  <c r="AR90" i="156" s="1"/>
  <c r="V90" i="156"/>
  <c r="W90" i="156" s="1"/>
  <c r="P90" i="156"/>
  <c r="Y90" i="156"/>
  <c r="Z90" i="156" s="1"/>
  <c r="BL90" i="156"/>
  <c r="BD90" i="156"/>
  <c r="BE90" i="156" s="1"/>
  <c r="AB90" i="156"/>
  <c r="AC90" i="156" s="1"/>
  <c r="AV90" i="156"/>
  <c r="AW90" i="156" s="1"/>
  <c r="AN90" i="156"/>
  <c r="AO90" i="156" s="1"/>
  <c r="R90" i="156"/>
  <c r="T90" i="156" s="1"/>
  <c r="M90" i="156"/>
  <c r="AH90" i="156"/>
  <c r="AI90" i="156" s="1"/>
  <c r="BN90" i="156"/>
  <c r="BO90" i="156" s="1"/>
  <c r="AE90" i="156"/>
  <c r="AF90" i="156" s="1"/>
  <c r="BQ90" i="156"/>
  <c r="BR90" i="156" s="1"/>
  <c r="BA90" i="156"/>
  <c r="BB90" i="156" s="1"/>
  <c r="AK90" i="156"/>
  <c r="AL90" i="156" s="1"/>
  <c r="O90" i="156"/>
  <c r="BG90" i="156"/>
  <c r="BH90" i="156" s="1"/>
  <c r="BL86" i="130"/>
  <c r="BN86" i="130"/>
  <c r="BO86" i="130" s="1"/>
  <c r="K87" i="130"/>
  <c r="M86" i="130"/>
  <c r="P86" i="130"/>
  <c r="AQ86" i="130"/>
  <c r="AR86" i="130" s="1"/>
  <c r="Y86" i="130"/>
  <c r="Z86" i="130" s="1"/>
  <c r="BD86" i="130"/>
  <c r="BE86" i="130" s="1"/>
  <c r="AN86" i="130"/>
  <c r="AO86" i="130" s="1"/>
  <c r="O86" i="130"/>
  <c r="V86" i="130"/>
  <c r="W86" i="130" s="1"/>
  <c r="AT86" i="130"/>
  <c r="BA86" i="130"/>
  <c r="BB86" i="130" s="1"/>
  <c r="AV86" i="130"/>
  <c r="AW86" i="130" s="1"/>
  <c r="AE86" i="130"/>
  <c r="AF86" i="130" s="1"/>
  <c r="AK86" i="130"/>
  <c r="AL86" i="130" s="1"/>
  <c r="BG86" i="130"/>
  <c r="BH86" i="130" s="1"/>
  <c r="R86" i="130"/>
  <c r="T86" i="130" s="1"/>
  <c r="BQ86" i="130"/>
  <c r="BR86" i="130" s="1"/>
  <c r="AB86" i="130"/>
  <c r="AC86" i="130" s="1"/>
  <c r="AY86" i="130"/>
  <c r="AH86" i="130"/>
  <c r="AI86" i="130" s="1"/>
  <c r="K92" i="155"/>
  <c r="I93" i="155"/>
  <c r="M91" i="155"/>
  <c r="BQ91" i="155"/>
  <c r="BR91" i="155" s="1"/>
  <c r="O91" i="155"/>
  <c r="V91" i="155"/>
  <c r="W91" i="155" s="1"/>
  <c r="AB91" i="155"/>
  <c r="AC91" i="155" s="1"/>
  <c r="AH91" i="155"/>
  <c r="AI91" i="155" s="1"/>
  <c r="AN91" i="155"/>
  <c r="AO91" i="155" s="1"/>
  <c r="BA91" i="155"/>
  <c r="BB91" i="155" s="1"/>
  <c r="BG91" i="155"/>
  <c r="BH91" i="155" s="1"/>
  <c r="BL91" i="155"/>
  <c r="P91" i="155"/>
  <c r="AV91" i="155"/>
  <c r="AW91" i="155" s="1"/>
  <c r="BN91" i="155"/>
  <c r="BO91" i="155" s="1"/>
  <c r="R91" i="155"/>
  <c r="T91" i="155" s="1"/>
  <c r="Y91" i="155"/>
  <c r="Z91" i="155" s="1"/>
  <c r="AE91" i="155"/>
  <c r="AF91" i="155" s="1"/>
  <c r="AK91" i="155"/>
  <c r="AL91" i="155" s="1"/>
  <c r="AQ91" i="155"/>
  <c r="AR91" i="155" s="1"/>
  <c r="BD91" i="155"/>
  <c r="BE91" i="155" s="1"/>
  <c r="M91" i="153"/>
  <c r="BQ91" i="153"/>
  <c r="BR91" i="153" s="1"/>
  <c r="O91" i="153"/>
  <c r="V91" i="153"/>
  <c r="W91" i="153" s="1"/>
  <c r="AB91" i="153"/>
  <c r="AC91" i="153" s="1"/>
  <c r="AH91" i="153"/>
  <c r="AI91" i="153" s="1"/>
  <c r="AN91" i="153"/>
  <c r="AO91" i="153" s="1"/>
  <c r="BA91" i="153"/>
  <c r="BB91" i="153" s="1"/>
  <c r="BG91" i="153"/>
  <c r="BH91" i="153" s="1"/>
  <c r="P91" i="153"/>
  <c r="AV91" i="153"/>
  <c r="AW91" i="153" s="1"/>
  <c r="BN91" i="153"/>
  <c r="BO91" i="153" s="1"/>
  <c r="AE91" i="153"/>
  <c r="AF91" i="153" s="1"/>
  <c r="BD91" i="153"/>
  <c r="BE91" i="153" s="1"/>
  <c r="AK91" i="153"/>
  <c r="AL91" i="153" s="1"/>
  <c r="R91" i="153"/>
  <c r="T91" i="153" s="1"/>
  <c r="AQ91" i="153"/>
  <c r="AR91" i="153" s="1"/>
  <c r="Y91" i="153"/>
  <c r="Z91" i="153" s="1"/>
  <c r="BL91" i="153"/>
  <c r="K92" i="153"/>
  <c r="I96" i="153"/>
  <c r="O91" i="152"/>
  <c r="V91" i="152"/>
  <c r="W91" i="152" s="1"/>
  <c r="AB91" i="152"/>
  <c r="AC91" i="152" s="1"/>
  <c r="AH91" i="152"/>
  <c r="AI91" i="152" s="1"/>
  <c r="AN91" i="152"/>
  <c r="AO91" i="152" s="1"/>
  <c r="BA91" i="152"/>
  <c r="BB91" i="152" s="1"/>
  <c r="BG91" i="152"/>
  <c r="BH91" i="152" s="1"/>
  <c r="P91" i="152"/>
  <c r="AV91" i="152"/>
  <c r="AW91" i="152" s="1"/>
  <c r="BN91" i="152"/>
  <c r="BO91" i="152" s="1"/>
  <c r="R91" i="152"/>
  <c r="T91" i="152" s="1"/>
  <c r="Y91" i="152"/>
  <c r="Z91" i="152" s="1"/>
  <c r="AE91" i="152"/>
  <c r="AF91" i="152" s="1"/>
  <c r="AK91" i="152"/>
  <c r="AL91" i="152" s="1"/>
  <c r="AQ91" i="152"/>
  <c r="AR91" i="152" s="1"/>
  <c r="BD91" i="152"/>
  <c r="BE91" i="152" s="1"/>
  <c r="M91" i="152"/>
  <c r="BQ91" i="152"/>
  <c r="BR91" i="152" s="1"/>
  <c r="BL91" i="152"/>
  <c r="K92" i="152"/>
  <c r="I100" i="152"/>
  <c r="BG89" i="151"/>
  <c r="BH89" i="151" s="1"/>
  <c r="BA89" i="151"/>
  <c r="BB89" i="151" s="1"/>
  <c r="AT89" i="151"/>
  <c r="AN89" i="151"/>
  <c r="AO89" i="151" s="1"/>
  <c r="AH89" i="151"/>
  <c r="AI89" i="151" s="1"/>
  <c r="AB89" i="151"/>
  <c r="AC89" i="151" s="1"/>
  <c r="V89" i="151"/>
  <c r="W89" i="151" s="1"/>
  <c r="O89" i="151"/>
  <c r="BQ89" i="151"/>
  <c r="BR89" i="151" s="1"/>
  <c r="AY89" i="151"/>
  <c r="BD89" i="151"/>
  <c r="BE89" i="151" s="1"/>
  <c r="AQ89" i="151"/>
  <c r="AR89" i="151" s="1"/>
  <c r="AK89" i="151"/>
  <c r="AL89" i="151" s="1"/>
  <c r="AE89" i="151"/>
  <c r="AF89" i="151" s="1"/>
  <c r="Y89" i="151"/>
  <c r="Z89" i="151" s="1"/>
  <c r="R89" i="151"/>
  <c r="T89" i="151" s="1"/>
  <c r="AV89" i="151"/>
  <c r="AW89" i="151" s="1"/>
  <c r="P89" i="151"/>
  <c r="M89" i="151"/>
  <c r="BN89" i="151"/>
  <c r="BO89" i="151" s="1"/>
  <c r="BL89" i="151"/>
  <c r="K90" i="151"/>
  <c r="I91" i="151"/>
  <c r="I92" i="150"/>
  <c r="BG88" i="150"/>
  <c r="BH88" i="150" s="1"/>
  <c r="BA88" i="150"/>
  <c r="BB88" i="150" s="1"/>
  <c r="AT88" i="150"/>
  <c r="AN88" i="150"/>
  <c r="AO88" i="150" s="1"/>
  <c r="AH88" i="150"/>
  <c r="AI88" i="150" s="1"/>
  <c r="AB88" i="150"/>
  <c r="AC88" i="150" s="1"/>
  <c r="V88" i="150"/>
  <c r="W88" i="150" s="1"/>
  <c r="O88" i="150"/>
  <c r="BQ88" i="150"/>
  <c r="BR88" i="150" s="1"/>
  <c r="AY88" i="150"/>
  <c r="BD88" i="150"/>
  <c r="BE88" i="150" s="1"/>
  <c r="AQ88" i="150"/>
  <c r="AR88" i="150" s="1"/>
  <c r="AK88" i="150"/>
  <c r="AL88" i="150" s="1"/>
  <c r="AE88" i="150"/>
  <c r="AF88" i="150" s="1"/>
  <c r="Y88" i="150"/>
  <c r="Z88" i="150" s="1"/>
  <c r="R88" i="150"/>
  <c r="T88" i="150" s="1"/>
  <c r="AV88" i="150"/>
  <c r="AW88" i="150" s="1"/>
  <c r="P88" i="150"/>
  <c r="BN88" i="150"/>
  <c r="BO88" i="150" s="1"/>
  <c r="M88" i="150"/>
  <c r="BL88" i="150"/>
  <c r="K89" i="150"/>
  <c r="AV90" i="149"/>
  <c r="AW90" i="149" s="1"/>
  <c r="P90" i="149"/>
  <c r="BQ90" i="149"/>
  <c r="BR90" i="149" s="1"/>
  <c r="AY90" i="149"/>
  <c r="BG90" i="149"/>
  <c r="BH90" i="149" s="1"/>
  <c r="AH90" i="149"/>
  <c r="AI90" i="149" s="1"/>
  <c r="V90" i="149"/>
  <c r="W90" i="149" s="1"/>
  <c r="BD90" i="149"/>
  <c r="BE90" i="149" s="1"/>
  <c r="AQ90" i="149"/>
  <c r="AR90" i="149" s="1"/>
  <c r="AE90" i="149"/>
  <c r="AF90" i="149" s="1"/>
  <c r="R90" i="149"/>
  <c r="T90" i="149" s="1"/>
  <c r="BA90" i="149"/>
  <c r="BB90" i="149" s="1"/>
  <c r="AN90" i="149"/>
  <c r="AO90" i="149" s="1"/>
  <c r="AB90" i="149"/>
  <c r="AC90" i="149" s="1"/>
  <c r="O90" i="149"/>
  <c r="AK90" i="149"/>
  <c r="AL90" i="149" s="1"/>
  <c r="Y90" i="149"/>
  <c r="Z90" i="149" s="1"/>
  <c r="BN90" i="149"/>
  <c r="BO90" i="149" s="1"/>
  <c r="M90" i="149"/>
  <c r="BL90" i="149"/>
  <c r="I92" i="149"/>
  <c r="K91" i="149"/>
  <c r="AT91" i="149" s="1"/>
  <c r="BQ89" i="147"/>
  <c r="BR89" i="147" s="1"/>
  <c r="AY89" i="147"/>
  <c r="BD89" i="147"/>
  <c r="BE89" i="147" s="1"/>
  <c r="AQ89" i="147"/>
  <c r="AR89" i="147" s="1"/>
  <c r="AK89" i="147"/>
  <c r="AL89" i="147" s="1"/>
  <c r="AE89" i="147"/>
  <c r="AF89" i="147" s="1"/>
  <c r="Y89" i="147"/>
  <c r="Z89" i="147" s="1"/>
  <c r="R89" i="147"/>
  <c r="T89" i="147" s="1"/>
  <c r="BG89" i="147"/>
  <c r="BH89" i="147" s="1"/>
  <c r="AT89" i="147"/>
  <c r="AH89" i="147"/>
  <c r="AI89" i="147" s="1"/>
  <c r="V89" i="147"/>
  <c r="W89" i="147" s="1"/>
  <c r="P89" i="147"/>
  <c r="AN89" i="147"/>
  <c r="AO89" i="147" s="1"/>
  <c r="O89" i="147"/>
  <c r="BA89" i="147"/>
  <c r="BB89" i="147" s="1"/>
  <c r="AB89" i="147"/>
  <c r="AC89" i="147" s="1"/>
  <c r="AV89" i="147"/>
  <c r="AW89" i="147" s="1"/>
  <c r="BK89" i="147"/>
  <c r="BN89" i="147"/>
  <c r="BO89" i="147" s="1"/>
  <c r="M89" i="147"/>
  <c r="BJ89" i="147"/>
  <c r="BL89" i="147" s="1"/>
  <c r="K90" i="147"/>
  <c r="I91" i="147"/>
  <c r="BD88" i="146"/>
  <c r="BE88" i="146" s="1"/>
  <c r="AQ88" i="146"/>
  <c r="AR88" i="146" s="1"/>
  <c r="AK88" i="146"/>
  <c r="AL88" i="146" s="1"/>
  <c r="AE88" i="146"/>
  <c r="AF88" i="146" s="1"/>
  <c r="Y88" i="146"/>
  <c r="Z88" i="146" s="1"/>
  <c r="R88" i="146"/>
  <c r="T88" i="146" s="1"/>
  <c r="AV88" i="146"/>
  <c r="AW88" i="146" s="1"/>
  <c r="P88" i="146"/>
  <c r="BG88" i="146"/>
  <c r="BH88" i="146" s="1"/>
  <c r="BA88" i="146"/>
  <c r="BB88" i="146" s="1"/>
  <c r="AT88" i="146"/>
  <c r="AN88" i="146"/>
  <c r="AO88" i="146" s="1"/>
  <c r="AH88" i="146"/>
  <c r="AI88" i="146" s="1"/>
  <c r="AB88" i="146"/>
  <c r="AC88" i="146" s="1"/>
  <c r="V88" i="146"/>
  <c r="W88" i="146" s="1"/>
  <c r="O88" i="146"/>
  <c r="AY88" i="146"/>
  <c r="BQ88" i="146"/>
  <c r="BR88" i="146" s="1"/>
  <c r="BJ88" i="146"/>
  <c r="BL88" i="146" s="1"/>
  <c r="BN88" i="146"/>
  <c r="BO88" i="146" s="1"/>
  <c r="BK88" i="146"/>
  <c r="M88" i="146"/>
  <c r="I90" i="146"/>
  <c r="K89" i="146"/>
  <c r="I92" i="64"/>
  <c r="BL84" i="17"/>
  <c r="BN84" i="17"/>
  <c r="BO84" i="17" s="1"/>
  <c r="M84" i="17"/>
  <c r="AY84" i="17"/>
  <c r="AQ84" i="17"/>
  <c r="AR84" i="17" s="1"/>
  <c r="AE84" i="17"/>
  <c r="AF84" i="17" s="1"/>
  <c r="O84" i="17"/>
  <c r="BD84" i="17"/>
  <c r="BE84" i="17" s="1"/>
  <c r="BG84" i="17"/>
  <c r="BH84" i="17" s="1"/>
  <c r="BQ84" i="17"/>
  <c r="BR84" i="17" s="1"/>
  <c r="P84" i="17"/>
  <c r="AV84" i="17"/>
  <c r="AW84" i="17" s="1"/>
  <c r="AB84" i="17"/>
  <c r="AC84" i="17" s="1"/>
  <c r="R84" i="17"/>
  <c r="T84" i="17" s="1"/>
  <c r="AN84" i="17"/>
  <c r="AO84" i="17" s="1"/>
  <c r="AT84" i="17"/>
  <c r="Y84" i="17"/>
  <c r="Z84" i="17" s="1"/>
  <c r="V84" i="17"/>
  <c r="W84" i="17" s="1"/>
  <c r="AH84" i="17"/>
  <c r="AI84" i="17" s="1"/>
  <c r="BA84" i="17"/>
  <c r="BB84" i="17" s="1"/>
  <c r="AK84" i="17"/>
  <c r="AL84" i="17" s="1"/>
  <c r="M85" i="101"/>
  <c r="Y85" i="101"/>
  <c r="Z85" i="101" s="1"/>
  <c r="V85" i="101"/>
  <c r="W85" i="101" s="1"/>
  <c r="AK85" i="101"/>
  <c r="AL85" i="101" s="1"/>
  <c r="AB85" i="101"/>
  <c r="AC85" i="101" s="1"/>
  <c r="AN85" i="101"/>
  <c r="AO85" i="101" s="1"/>
  <c r="AH85" i="101"/>
  <c r="AI85" i="101" s="1"/>
  <c r="AY85" i="101"/>
  <c r="AV85" i="101"/>
  <c r="AW85" i="101" s="1"/>
  <c r="BA85" i="101"/>
  <c r="BB85" i="101" s="1"/>
  <c r="AT85" i="101"/>
  <c r="BQ85" i="101"/>
  <c r="BR85" i="101" s="1"/>
  <c r="R85" i="101"/>
  <c r="T85" i="101" s="1"/>
  <c r="O85" i="101"/>
  <c r="BD85" i="101"/>
  <c r="BE85" i="101" s="1"/>
  <c r="AE85" i="101"/>
  <c r="AF85" i="101" s="1"/>
  <c r="P85" i="101"/>
  <c r="BG85" i="101"/>
  <c r="BH85" i="101" s="1"/>
  <c r="AQ85" i="101"/>
  <c r="AR85" i="101" s="1"/>
  <c r="I88" i="115"/>
  <c r="K87" i="115"/>
  <c r="I89" i="135"/>
  <c r="K88" i="135"/>
  <c r="I88" i="110"/>
  <c r="K87" i="110"/>
  <c r="I95" i="95"/>
  <c r="M86" i="126"/>
  <c r="BN86" i="126"/>
  <c r="BO86" i="126" s="1"/>
  <c r="BK86" i="126"/>
  <c r="BJ86" i="126"/>
  <c r="BL86" i="126" s="1"/>
  <c r="AV86" i="126"/>
  <c r="AW86" i="126" s="1"/>
  <c r="AE86" i="126"/>
  <c r="AF86" i="126" s="1"/>
  <c r="O86" i="126"/>
  <c r="AT86" i="126"/>
  <c r="AY86" i="126"/>
  <c r="BG86" i="126"/>
  <c r="BH86" i="126" s="1"/>
  <c r="AN86" i="126"/>
  <c r="AO86" i="126" s="1"/>
  <c r="P86" i="126"/>
  <c r="BD86" i="126"/>
  <c r="BE86" i="126" s="1"/>
  <c r="AQ86" i="126"/>
  <c r="AR86" i="126" s="1"/>
  <c r="R86" i="126"/>
  <c r="T86" i="126" s="1"/>
  <c r="BA86" i="126"/>
  <c r="BB86" i="126" s="1"/>
  <c r="V86" i="126"/>
  <c r="W86" i="126" s="1"/>
  <c r="AH86" i="126"/>
  <c r="AI86" i="126" s="1"/>
  <c r="AB86" i="126"/>
  <c r="AC86" i="126" s="1"/>
  <c r="AK86" i="126"/>
  <c r="AL86" i="126" s="1"/>
  <c r="BQ86" i="126"/>
  <c r="BR86" i="126" s="1"/>
  <c r="Y86" i="126"/>
  <c r="Z86" i="126" s="1"/>
  <c r="K87" i="126"/>
  <c r="I86" i="66"/>
  <c r="K85" i="66"/>
  <c r="M88" i="105"/>
  <c r="BN88" i="105"/>
  <c r="BO88" i="105" s="1"/>
  <c r="BK88" i="105"/>
  <c r="BJ88" i="105"/>
  <c r="BL88" i="105" s="1"/>
  <c r="BQ88" i="105"/>
  <c r="BR88" i="105" s="1"/>
  <c r="AH88" i="105"/>
  <c r="AI88" i="105" s="1"/>
  <c r="BA88" i="105"/>
  <c r="BB88" i="105" s="1"/>
  <c r="V88" i="105"/>
  <c r="W88" i="105" s="1"/>
  <c r="AN88" i="105"/>
  <c r="AO88" i="105" s="1"/>
  <c r="AK88" i="105"/>
  <c r="AL88" i="105" s="1"/>
  <c r="AT88" i="105"/>
  <c r="AQ88" i="105"/>
  <c r="AR88" i="105" s="1"/>
  <c r="O88" i="105"/>
  <c r="R88" i="105"/>
  <c r="T88" i="105" s="1"/>
  <c r="Y88" i="105"/>
  <c r="Z88" i="105" s="1"/>
  <c r="AE88" i="105"/>
  <c r="AF88" i="105" s="1"/>
  <c r="AV88" i="105"/>
  <c r="AW88" i="105" s="1"/>
  <c r="BD88" i="105"/>
  <c r="BE88" i="105" s="1"/>
  <c r="AB88" i="105"/>
  <c r="AC88" i="105" s="1"/>
  <c r="AY88" i="105"/>
  <c r="BG88" i="105"/>
  <c r="BH88" i="105" s="1"/>
  <c r="P88" i="105"/>
  <c r="K89" i="105"/>
  <c r="P87" i="64"/>
  <c r="V87" i="64"/>
  <c r="W87" i="64" s="1"/>
  <c r="M87" i="64"/>
  <c r="AN87" i="64"/>
  <c r="AO87" i="64" s="1"/>
  <c r="AK87" i="64"/>
  <c r="AL87" i="64" s="1"/>
  <c r="AY87" i="64"/>
  <c r="O87" i="64"/>
  <c r="Y87" i="64"/>
  <c r="Z87" i="64" s="1"/>
  <c r="AH87" i="64"/>
  <c r="AI87" i="64" s="1"/>
  <c r="BQ87" i="64"/>
  <c r="BR87" i="64" s="1"/>
  <c r="R87" i="64"/>
  <c r="T87" i="64" s="1"/>
  <c r="AE87" i="64"/>
  <c r="AF87" i="64" s="1"/>
  <c r="AB87" i="64"/>
  <c r="AC87" i="64" s="1"/>
  <c r="BG87" i="64"/>
  <c r="BH87" i="64" s="1"/>
  <c r="AT87" i="64"/>
  <c r="BA87" i="64"/>
  <c r="BB87" i="64" s="1"/>
  <c r="BD87" i="64"/>
  <c r="BE87" i="64" s="1"/>
  <c r="AQ87" i="64"/>
  <c r="AR87" i="64" s="1"/>
  <c r="AV87" i="64"/>
  <c r="AW87" i="64" s="1"/>
  <c r="BN87" i="64"/>
  <c r="BO87" i="64" s="1"/>
  <c r="BL87" i="64"/>
  <c r="K88" i="64"/>
  <c r="I101" i="133"/>
  <c r="I86" i="17"/>
  <c r="K85" i="17"/>
  <c r="I87" i="101"/>
  <c r="K86" i="101"/>
  <c r="BN86" i="63"/>
  <c r="BO86" i="63" s="1"/>
  <c r="M86" i="63"/>
  <c r="AE86" i="63"/>
  <c r="AF86" i="63" s="1"/>
  <c r="P86" i="63"/>
  <c r="AY86" i="63"/>
  <c r="BD86" i="63"/>
  <c r="BE86" i="63" s="1"/>
  <c r="AQ86" i="63"/>
  <c r="AR86" i="63" s="1"/>
  <c r="AH86" i="63"/>
  <c r="AI86" i="63" s="1"/>
  <c r="AK86" i="63"/>
  <c r="AL86" i="63" s="1"/>
  <c r="BG86" i="63"/>
  <c r="BH86" i="63" s="1"/>
  <c r="BQ86" i="63"/>
  <c r="BR86" i="63" s="1"/>
  <c r="AV86" i="63"/>
  <c r="AW86" i="63" s="1"/>
  <c r="O86" i="63"/>
  <c r="Y86" i="63"/>
  <c r="Z86" i="63" s="1"/>
  <c r="R86" i="63"/>
  <c r="T86" i="63" s="1"/>
  <c r="AN86" i="63"/>
  <c r="AO86" i="63" s="1"/>
  <c r="BA86" i="63"/>
  <c r="BB86" i="63" s="1"/>
  <c r="V86" i="63"/>
  <c r="W86" i="63" s="1"/>
  <c r="AB86" i="63"/>
  <c r="AC86" i="63" s="1"/>
  <c r="AT86" i="63"/>
  <c r="BL86" i="63"/>
  <c r="K87" i="63"/>
  <c r="I88" i="96"/>
  <c r="K87" i="96"/>
  <c r="BL85" i="15"/>
  <c r="BN85" i="15"/>
  <c r="BO85" i="15" s="1"/>
  <c r="BD85" i="15"/>
  <c r="BE85" i="15" s="1"/>
  <c r="M85" i="15"/>
  <c r="BQ85" i="15"/>
  <c r="BR85" i="15" s="1"/>
  <c r="AK85" i="15"/>
  <c r="AL85" i="15" s="1"/>
  <c r="Y85" i="15"/>
  <c r="Z85" i="15" s="1"/>
  <c r="AE85" i="15"/>
  <c r="AF85" i="15" s="1"/>
  <c r="AN85" i="15"/>
  <c r="AO85" i="15" s="1"/>
  <c r="AY85" i="15"/>
  <c r="AQ85" i="15"/>
  <c r="AR85" i="15" s="1"/>
  <c r="O85" i="15"/>
  <c r="AV85" i="15"/>
  <c r="AW85" i="15" s="1"/>
  <c r="P85" i="15"/>
  <c r="BG85" i="15"/>
  <c r="BH85" i="15" s="1"/>
  <c r="V85" i="15"/>
  <c r="W85" i="15" s="1"/>
  <c r="BA85" i="15"/>
  <c r="BB85" i="15" s="1"/>
  <c r="R85" i="15"/>
  <c r="T85" i="15" s="1"/>
  <c r="AH85" i="15"/>
  <c r="AI85" i="15" s="1"/>
  <c r="AT85" i="15"/>
  <c r="AB85" i="15"/>
  <c r="AC85" i="15" s="1"/>
  <c r="K86" i="15"/>
  <c r="K87" i="98"/>
  <c r="BN86" i="98"/>
  <c r="BO86" i="98" s="1"/>
  <c r="BJ86" i="98"/>
  <c r="BL86" i="98" s="1"/>
  <c r="M86" i="98"/>
  <c r="AE86" i="98"/>
  <c r="AF86" i="98" s="1"/>
  <c r="P86" i="98"/>
  <c r="BK86" i="98"/>
  <c r="BA86" i="98"/>
  <c r="BB86" i="98" s="1"/>
  <c r="Y86" i="98"/>
  <c r="Z86" i="98" s="1"/>
  <c r="V86" i="98"/>
  <c r="W86" i="98" s="1"/>
  <c r="O86" i="98"/>
  <c r="AQ86" i="98"/>
  <c r="AR86" i="98" s="1"/>
  <c r="BQ86" i="98"/>
  <c r="BR86" i="98" s="1"/>
  <c r="AB86" i="98"/>
  <c r="AC86" i="98" s="1"/>
  <c r="R86" i="98"/>
  <c r="T86" i="98" s="1"/>
  <c r="BG86" i="98"/>
  <c r="BH86" i="98" s="1"/>
  <c r="AT86" i="98"/>
  <c r="AH86" i="98"/>
  <c r="AI86" i="98" s="1"/>
  <c r="BD86" i="98"/>
  <c r="BE86" i="98" s="1"/>
  <c r="AV86" i="98"/>
  <c r="AW86" i="98" s="1"/>
  <c r="AY86" i="98"/>
  <c r="AN86" i="98"/>
  <c r="AO86" i="98" s="1"/>
  <c r="AK86" i="98"/>
  <c r="AL86" i="98" s="1"/>
  <c r="I92" i="114"/>
  <c r="BJ86" i="114"/>
  <c r="BL86" i="114" s="1"/>
  <c r="M86" i="114"/>
  <c r="BK86" i="114"/>
  <c r="BN86" i="114"/>
  <c r="BO86" i="114" s="1"/>
  <c r="AE86" i="114"/>
  <c r="AF86" i="114" s="1"/>
  <c r="BA86" i="114"/>
  <c r="BB86" i="114" s="1"/>
  <c r="R86" i="114"/>
  <c r="T86" i="114" s="1"/>
  <c r="V86" i="114"/>
  <c r="W86" i="114" s="1"/>
  <c r="AK86" i="114"/>
  <c r="AL86" i="114" s="1"/>
  <c r="AB86" i="114"/>
  <c r="AC86" i="114" s="1"/>
  <c r="O86" i="114"/>
  <c r="BD86" i="114"/>
  <c r="BE86" i="114" s="1"/>
  <c r="AY86" i="114"/>
  <c r="Y86" i="114"/>
  <c r="Z86" i="114" s="1"/>
  <c r="AT86" i="114"/>
  <c r="BG86" i="114"/>
  <c r="BH86" i="114" s="1"/>
  <c r="AV86" i="114"/>
  <c r="AW86" i="114" s="1"/>
  <c r="BQ86" i="114"/>
  <c r="BR86" i="114" s="1"/>
  <c r="AN86" i="114"/>
  <c r="AO86" i="114" s="1"/>
  <c r="AH86" i="114"/>
  <c r="AI86" i="114" s="1"/>
  <c r="P86" i="114"/>
  <c r="AQ86" i="114"/>
  <c r="AR86" i="114" s="1"/>
  <c r="K87" i="114"/>
  <c r="I93" i="105"/>
  <c r="I91" i="63"/>
  <c r="M88" i="136"/>
  <c r="BN88" i="136"/>
  <c r="BO88" i="136" s="1"/>
  <c r="BL88" i="136"/>
  <c r="AQ88" i="136"/>
  <c r="AR88" i="136" s="1"/>
  <c r="AT88" i="136"/>
  <c r="BG88" i="136"/>
  <c r="BH88" i="136" s="1"/>
  <c r="AB88" i="136"/>
  <c r="AC88" i="136" s="1"/>
  <c r="AY88" i="136"/>
  <c r="AK88" i="136"/>
  <c r="AL88" i="136" s="1"/>
  <c r="R88" i="136"/>
  <c r="T88" i="136" s="1"/>
  <c r="O88" i="136"/>
  <c r="AH88" i="136"/>
  <c r="AI88" i="136" s="1"/>
  <c r="AV88" i="136"/>
  <c r="AW88" i="136" s="1"/>
  <c r="P88" i="136"/>
  <c r="BD88" i="136"/>
  <c r="BE88" i="136" s="1"/>
  <c r="BQ88" i="136"/>
  <c r="BR88" i="136" s="1"/>
  <c r="AE88" i="136"/>
  <c r="AF88" i="136" s="1"/>
  <c r="AN88" i="136"/>
  <c r="AO88" i="136" s="1"/>
  <c r="V88" i="136"/>
  <c r="W88" i="136" s="1"/>
  <c r="BA88" i="136"/>
  <c r="BB88" i="136" s="1"/>
  <c r="Y88" i="136"/>
  <c r="Z88" i="136" s="1"/>
  <c r="K89" i="136"/>
  <c r="BN86" i="96"/>
  <c r="BO86" i="96" s="1"/>
  <c r="AK86" i="96"/>
  <c r="AL86" i="96" s="1"/>
  <c r="AB86" i="96"/>
  <c r="AC86" i="96" s="1"/>
  <c r="AE86" i="96"/>
  <c r="AF86" i="96" s="1"/>
  <c r="AN86" i="96"/>
  <c r="AO86" i="96" s="1"/>
  <c r="V86" i="96"/>
  <c r="W86" i="96" s="1"/>
  <c r="O86" i="96"/>
  <c r="BL86" i="96"/>
  <c r="M86" i="96"/>
  <c r="AT86" i="96"/>
  <c r="BQ86" i="96"/>
  <c r="BR86" i="96" s="1"/>
  <c r="AQ86" i="96"/>
  <c r="AR86" i="96" s="1"/>
  <c r="AV86" i="96"/>
  <c r="AW86" i="96" s="1"/>
  <c r="BD86" i="96"/>
  <c r="BE86" i="96" s="1"/>
  <c r="BA86" i="96"/>
  <c r="BB86" i="96" s="1"/>
  <c r="AH86" i="96"/>
  <c r="AI86" i="96" s="1"/>
  <c r="R86" i="96"/>
  <c r="T86" i="96" s="1"/>
  <c r="P86" i="96"/>
  <c r="BG86" i="96"/>
  <c r="BH86" i="96" s="1"/>
  <c r="Y86" i="96"/>
  <c r="Z86" i="96" s="1"/>
  <c r="K85" i="13"/>
  <c r="I86" i="13"/>
  <c r="I91" i="126"/>
  <c r="I93" i="132"/>
  <c r="BQ84" i="120"/>
  <c r="BR84" i="120" s="1"/>
  <c r="K85" i="120"/>
  <c r="M84" i="120"/>
  <c r="AB84" i="120"/>
  <c r="AC84" i="120" s="1"/>
  <c r="R84" i="120"/>
  <c r="T84" i="120" s="1"/>
  <c r="AV84" i="120"/>
  <c r="AW84" i="120" s="1"/>
  <c r="AE84" i="120"/>
  <c r="AF84" i="120" s="1"/>
  <c r="BD84" i="120"/>
  <c r="BE84" i="120" s="1"/>
  <c r="AH84" i="120"/>
  <c r="AI84" i="120" s="1"/>
  <c r="BA84" i="120"/>
  <c r="BB84" i="120" s="1"/>
  <c r="P84" i="120"/>
  <c r="BG84" i="120"/>
  <c r="BH84" i="120" s="1"/>
  <c r="AK84" i="120"/>
  <c r="AL84" i="120" s="1"/>
  <c r="O84" i="120"/>
  <c r="V84" i="120"/>
  <c r="W84" i="120" s="1"/>
  <c r="Y84" i="120"/>
  <c r="Z84" i="120" s="1"/>
  <c r="AQ84" i="120"/>
  <c r="AR84" i="120" s="1"/>
  <c r="AY84" i="120"/>
  <c r="AN84" i="120"/>
  <c r="AO84" i="120" s="1"/>
  <c r="AT84" i="120"/>
  <c r="BN84" i="120"/>
  <c r="BO84" i="120" s="1"/>
  <c r="K86" i="118"/>
  <c r="M85" i="118"/>
  <c r="BN85" i="118"/>
  <c r="BO85" i="118" s="1"/>
  <c r="O85" i="118"/>
  <c r="BG85" i="118"/>
  <c r="BH85" i="118" s="1"/>
  <c r="AQ85" i="118"/>
  <c r="AR85" i="118" s="1"/>
  <c r="R85" i="118"/>
  <c r="T85" i="118" s="1"/>
  <c r="AN85" i="118"/>
  <c r="AO85" i="118" s="1"/>
  <c r="P85" i="118"/>
  <c r="Y85" i="118"/>
  <c r="Z85" i="118" s="1"/>
  <c r="AT85" i="118"/>
  <c r="V85" i="118"/>
  <c r="W85" i="118" s="1"/>
  <c r="AB85" i="118"/>
  <c r="AC85" i="118" s="1"/>
  <c r="AY85" i="118"/>
  <c r="BA85" i="118"/>
  <c r="BB85" i="118" s="1"/>
  <c r="AK85" i="118"/>
  <c r="AL85" i="118" s="1"/>
  <c r="BQ85" i="118"/>
  <c r="BR85" i="118" s="1"/>
  <c r="AV85" i="118"/>
  <c r="AW85" i="118" s="1"/>
  <c r="AH85" i="118"/>
  <c r="AI85" i="118" s="1"/>
  <c r="BD85" i="118"/>
  <c r="BE85" i="118" s="1"/>
  <c r="AE85" i="118"/>
  <c r="AF85" i="118" s="1"/>
  <c r="I90" i="15"/>
  <c r="I90" i="104"/>
  <c r="M86" i="115"/>
  <c r="BJ86" i="115"/>
  <c r="BL86" i="115" s="1"/>
  <c r="BK86" i="115"/>
  <c r="BN86" i="115"/>
  <c r="BO86" i="115" s="1"/>
  <c r="BD86" i="115"/>
  <c r="BE86" i="115" s="1"/>
  <c r="BG86" i="115"/>
  <c r="BH86" i="115" s="1"/>
  <c r="AQ86" i="115"/>
  <c r="AR86" i="115" s="1"/>
  <c r="R86" i="115"/>
  <c r="T86" i="115" s="1"/>
  <c r="O86" i="115"/>
  <c r="AK86" i="115"/>
  <c r="AL86" i="115" s="1"/>
  <c r="AY86" i="115"/>
  <c r="AH86" i="115"/>
  <c r="AI86" i="115" s="1"/>
  <c r="AT86" i="115"/>
  <c r="AV86" i="115"/>
  <c r="AW86" i="115" s="1"/>
  <c r="BA86" i="115"/>
  <c r="BB86" i="115" s="1"/>
  <c r="AN86" i="115"/>
  <c r="AO86" i="115" s="1"/>
  <c r="AB86" i="115"/>
  <c r="AC86" i="115" s="1"/>
  <c r="AE86" i="115"/>
  <c r="AF86" i="115" s="1"/>
  <c r="P86" i="115"/>
  <c r="V86" i="115"/>
  <c r="W86" i="115" s="1"/>
  <c r="Y86" i="115"/>
  <c r="Z86" i="115" s="1"/>
  <c r="BQ86" i="115"/>
  <c r="BR86" i="115" s="1"/>
  <c r="M87" i="135"/>
  <c r="Y87" i="135"/>
  <c r="Z87" i="135" s="1"/>
  <c r="AV87" i="135"/>
  <c r="AW87" i="135" s="1"/>
  <c r="O87" i="135"/>
  <c r="R87" i="135"/>
  <c r="T87" i="135" s="1"/>
  <c r="AH87" i="135"/>
  <c r="AI87" i="135" s="1"/>
  <c r="AQ87" i="135"/>
  <c r="AR87" i="135" s="1"/>
  <c r="AN87" i="135"/>
  <c r="AO87" i="135" s="1"/>
  <c r="BD87" i="135"/>
  <c r="BE87" i="135" s="1"/>
  <c r="AK87" i="135"/>
  <c r="AL87" i="135" s="1"/>
  <c r="P87" i="135"/>
  <c r="AE87" i="135"/>
  <c r="AF87" i="135" s="1"/>
  <c r="V87" i="135"/>
  <c r="W87" i="135" s="1"/>
  <c r="BQ87" i="135"/>
  <c r="BR87" i="135" s="1"/>
  <c r="AT87" i="135"/>
  <c r="AB87" i="135"/>
  <c r="AC87" i="135" s="1"/>
  <c r="AY87" i="135"/>
  <c r="BA87" i="135"/>
  <c r="BB87" i="135" s="1"/>
  <c r="BG87" i="135"/>
  <c r="BH87" i="135" s="1"/>
  <c r="BN87" i="135"/>
  <c r="BO87" i="135" s="1"/>
  <c r="BL87" i="135"/>
  <c r="M86" i="110"/>
  <c r="BK86" i="110"/>
  <c r="BJ86" i="110"/>
  <c r="BL86" i="110" s="1"/>
  <c r="BN86" i="110"/>
  <c r="BO86" i="110" s="1"/>
  <c r="AE86" i="110"/>
  <c r="AF86" i="110" s="1"/>
  <c r="V86" i="110"/>
  <c r="W86" i="110" s="1"/>
  <c r="AT86" i="110"/>
  <c r="AH86" i="110"/>
  <c r="AI86" i="110" s="1"/>
  <c r="AK86" i="110"/>
  <c r="AL86" i="110" s="1"/>
  <c r="AV86" i="110"/>
  <c r="AW86" i="110" s="1"/>
  <c r="AQ86" i="110"/>
  <c r="AR86" i="110" s="1"/>
  <c r="AY86" i="110"/>
  <c r="BQ86" i="110"/>
  <c r="BR86" i="110" s="1"/>
  <c r="P86" i="110"/>
  <c r="AN86" i="110"/>
  <c r="AO86" i="110" s="1"/>
  <c r="BG86" i="110"/>
  <c r="BH86" i="110" s="1"/>
  <c r="O86" i="110"/>
  <c r="BA86" i="110"/>
  <c r="BB86" i="110" s="1"/>
  <c r="AB86" i="110"/>
  <c r="AC86" i="110" s="1"/>
  <c r="R86" i="110"/>
  <c r="T86" i="110" s="1"/>
  <c r="BD86" i="110"/>
  <c r="BE86" i="110" s="1"/>
  <c r="Y86" i="110"/>
  <c r="Z86" i="110" s="1"/>
  <c r="M84" i="13"/>
  <c r="BN84" i="13"/>
  <c r="BO84" i="13" s="1"/>
  <c r="BL84" i="13"/>
  <c r="AK84" i="13"/>
  <c r="AL84" i="13" s="1"/>
  <c r="Y84" i="13"/>
  <c r="Z84" i="13" s="1"/>
  <c r="AY84" i="13"/>
  <c r="R84" i="13"/>
  <c r="T84" i="13" s="1"/>
  <c r="AV84" i="13"/>
  <c r="AW84" i="13" s="1"/>
  <c r="AT84" i="13"/>
  <c r="BD84" i="13"/>
  <c r="BE84" i="13" s="1"/>
  <c r="V84" i="13"/>
  <c r="W84" i="13" s="1"/>
  <c r="BQ84" i="13"/>
  <c r="BR84" i="13" s="1"/>
  <c r="BG84" i="13"/>
  <c r="BH84" i="13" s="1"/>
  <c r="AN84" i="13"/>
  <c r="AO84" i="13" s="1"/>
  <c r="P84" i="13"/>
  <c r="AB84" i="13"/>
  <c r="AC84" i="13" s="1"/>
  <c r="AH84" i="13"/>
  <c r="AI84" i="13" s="1"/>
  <c r="AE84" i="13"/>
  <c r="AF84" i="13" s="1"/>
  <c r="BA84" i="13"/>
  <c r="BB84" i="13" s="1"/>
  <c r="O84" i="13"/>
  <c r="AQ84" i="13"/>
  <c r="AR84" i="13" s="1"/>
  <c r="AY84" i="66"/>
  <c r="BG84" i="66"/>
  <c r="BH84" i="66" s="1"/>
  <c r="AH84" i="66"/>
  <c r="AI84" i="66" s="1"/>
  <c r="R84" i="66"/>
  <c r="T84" i="66" s="1"/>
  <c r="AV84" i="66"/>
  <c r="AW84" i="66" s="1"/>
  <c r="AN84" i="66"/>
  <c r="AO84" i="66" s="1"/>
  <c r="O84" i="66"/>
  <c r="V84" i="66"/>
  <c r="W84" i="66" s="1"/>
  <c r="BA84" i="66"/>
  <c r="BB84" i="66" s="1"/>
  <c r="BN84" i="66"/>
  <c r="BO84" i="66" s="1"/>
  <c r="BQ84" i="66"/>
  <c r="BR84" i="66" s="1"/>
  <c r="AK84" i="66"/>
  <c r="AL84" i="66" s="1"/>
  <c r="BD84" i="66"/>
  <c r="BE84" i="66" s="1"/>
  <c r="P84" i="66"/>
  <c r="AT84" i="66"/>
  <c r="Y84" i="66"/>
  <c r="Z84" i="66" s="1"/>
  <c r="AQ84" i="66"/>
  <c r="AR84" i="66" s="1"/>
  <c r="AB84" i="66"/>
  <c r="AC84" i="66" s="1"/>
  <c r="M84" i="66"/>
  <c r="AE84" i="66"/>
  <c r="AF84" i="66" s="1"/>
  <c r="BL84" i="66"/>
  <c r="I92" i="136"/>
  <c r="BJ90" i="124"/>
  <c r="BL90" i="124" s="1"/>
  <c r="BK90" i="124"/>
  <c r="K91" i="124"/>
  <c r="M90" i="124"/>
  <c r="BN90" i="124"/>
  <c r="BO90" i="124" s="1"/>
  <c r="O90" i="124"/>
  <c r="AH90" i="124"/>
  <c r="AI90" i="124" s="1"/>
  <c r="P90" i="124"/>
  <c r="AN90" i="124"/>
  <c r="AO90" i="124" s="1"/>
  <c r="AB90" i="124"/>
  <c r="AC90" i="124" s="1"/>
  <c r="R90" i="124"/>
  <c r="T90" i="124" s="1"/>
  <c r="AT90" i="124"/>
  <c r="BA90" i="124"/>
  <c r="BB90" i="124" s="1"/>
  <c r="AQ90" i="124"/>
  <c r="AR90" i="124" s="1"/>
  <c r="AY90" i="124"/>
  <c r="BG90" i="124"/>
  <c r="BH90" i="124" s="1"/>
  <c r="V90" i="124"/>
  <c r="W90" i="124" s="1"/>
  <c r="BQ90" i="124"/>
  <c r="BR90" i="124" s="1"/>
  <c r="AE90" i="124"/>
  <c r="AF90" i="124" s="1"/>
  <c r="BD90" i="124"/>
  <c r="BE90" i="124" s="1"/>
  <c r="AV90" i="124"/>
  <c r="AW90" i="124" s="1"/>
  <c r="Y90" i="124"/>
  <c r="Z90" i="124" s="1"/>
  <c r="AK90" i="124"/>
  <c r="AL90" i="124" s="1"/>
  <c r="M90" i="107" l="1"/>
  <c r="O90" i="107"/>
  <c r="AY90" i="107"/>
  <c r="Y90" i="107"/>
  <c r="Z90" i="107" s="1"/>
  <c r="R90" i="107"/>
  <c r="T90" i="107" s="1"/>
  <c r="AH90" i="107"/>
  <c r="AI90" i="107" s="1"/>
  <c r="BN90" i="107"/>
  <c r="BO90" i="107" s="1"/>
  <c r="AK90" i="107"/>
  <c r="AL90" i="107" s="1"/>
  <c r="AN90" i="107"/>
  <c r="AO90" i="107" s="1"/>
  <c r="AB90" i="107"/>
  <c r="AC90" i="107" s="1"/>
  <c r="BJ90" i="107"/>
  <c r="BL90" i="107" s="1"/>
  <c r="AE90" i="107"/>
  <c r="AF90" i="107" s="1"/>
  <c r="P90" i="107"/>
  <c r="BQ90" i="107"/>
  <c r="BR90" i="107" s="1"/>
  <c r="BK90" i="107"/>
  <c r="BD90" i="107"/>
  <c r="BE90" i="107" s="1"/>
  <c r="AT90" i="107"/>
  <c r="AQ90" i="107"/>
  <c r="AR90" i="107" s="1"/>
  <c r="V90" i="107"/>
  <c r="W90" i="107" s="1"/>
  <c r="BA90" i="107"/>
  <c r="BB90" i="107" s="1"/>
  <c r="AV90" i="107"/>
  <c r="AW90" i="107" s="1"/>
  <c r="BG90" i="107"/>
  <c r="BH90" i="107" s="1"/>
  <c r="AV88" i="99"/>
  <c r="AW88" i="99" s="1"/>
  <c r="BN88" i="99"/>
  <c r="BO88" i="99" s="1"/>
  <c r="AH88" i="99"/>
  <c r="AI88" i="99" s="1"/>
  <c r="BA88" i="99"/>
  <c r="BB88" i="99" s="1"/>
  <c r="M88" i="99"/>
  <c r="BJ88" i="99"/>
  <c r="BL88" i="99" s="1"/>
  <c r="AE88" i="99"/>
  <c r="AF88" i="99" s="1"/>
  <c r="R88" i="99"/>
  <c r="T88" i="99" s="1"/>
  <c r="V88" i="99"/>
  <c r="W88" i="99" s="1"/>
  <c r="BD88" i="99"/>
  <c r="BE88" i="99" s="1"/>
  <c r="AB88" i="99"/>
  <c r="AC88" i="99" s="1"/>
  <c r="BK88" i="99"/>
  <c r="AQ88" i="99"/>
  <c r="AR88" i="99" s="1"/>
  <c r="K89" i="99"/>
  <c r="AN88" i="99"/>
  <c r="AO88" i="99" s="1"/>
  <c r="AT88" i="99"/>
  <c r="AY88" i="99"/>
  <c r="BG88" i="99"/>
  <c r="BH88" i="99" s="1"/>
  <c r="BQ88" i="99"/>
  <c r="BR88" i="99" s="1"/>
  <c r="P88" i="99"/>
  <c r="O88" i="99"/>
  <c r="AK88" i="99"/>
  <c r="AL88" i="99" s="1"/>
  <c r="Y88" i="99"/>
  <c r="Z88" i="99" s="1"/>
  <c r="BL88" i="132"/>
  <c r="BQ88" i="132"/>
  <c r="BR88" i="132" s="1"/>
  <c r="BD88" i="132"/>
  <c r="BE88" i="132" s="1"/>
  <c r="M88" i="132"/>
  <c r="AB88" i="132"/>
  <c r="AC88" i="132" s="1"/>
  <c r="R88" i="132"/>
  <c r="T88" i="132" s="1"/>
  <c r="K89" i="132"/>
  <c r="AN88" i="132"/>
  <c r="AO88" i="132" s="1"/>
  <c r="AE88" i="132"/>
  <c r="AF88" i="132" s="1"/>
  <c r="V88" i="132"/>
  <c r="W88" i="132" s="1"/>
  <c r="P88" i="132"/>
  <c r="BA88" i="132"/>
  <c r="BB88" i="132" s="1"/>
  <c r="BG88" i="132"/>
  <c r="BH88" i="132" s="1"/>
  <c r="AY88" i="132"/>
  <c r="AK88" i="132"/>
  <c r="AL88" i="132" s="1"/>
  <c r="AV88" i="132"/>
  <c r="AW88" i="132" s="1"/>
  <c r="O88" i="132"/>
  <c r="AQ88" i="132"/>
  <c r="AR88" i="132" s="1"/>
  <c r="AH88" i="132"/>
  <c r="AI88" i="132" s="1"/>
  <c r="AT88" i="132"/>
  <c r="Y88" i="132"/>
  <c r="Z88" i="132" s="1"/>
  <c r="BN88" i="132"/>
  <c r="BO88" i="132" s="1"/>
  <c r="I92" i="107"/>
  <c r="K91" i="107"/>
  <c r="I93" i="156"/>
  <c r="K92" i="156"/>
  <c r="AY92" i="156" s="1"/>
  <c r="Y86" i="112"/>
  <c r="Z86" i="112" s="1"/>
  <c r="BD86" i="112"/>
  <c r="BE86" i="112" s="1"/>
  <c r="V86" i="112"/>
  <c r="W86" i="112" s="1"/>
  <c r="K87" i="112"/>
  <c r="AV86" i="112"/>
  <c r="AW86" i="112" s="1"/>
  <c r="AY86" i="112"/>
  <c r="P86" i="112"/>
  <c r="BG86" i="112"/>
  <c r="BH86" i="112" s="1"/>
  <c r="M86" i="112"/>
  <c r="AQ86" i="112"/>
  <c r="AR86" i="112" s="1"/>
  <c r="AN86" i="112"/>
  <c r="AO86" i="112" s="1"/>
  <c r="AT86" i="112"/>
  <c r="BK86" i="112"/>
  <c r="BN86" i="112"/>
  <c r="BO86" i="112" s="1"/>
  <c r="AB86" i="112"/>
  <c r="AC86" i="112" s="1"/>
  <c r="AE86" i="112"/>
  <c r="AF86" i="112" s="1"/>
  <c r="BA86" i="112"/>
  <c r="BB86" i="112" s="1"/>
  <c r="BQ86" i="112"/>
  <c r="BR86" i="112" s="1"/>
  <c r="BJ86" i="112"/>
  <c r="BL86" i="112" s="1"/>
  <c r="AH86" i="112"/>
  <c r="AI86" i="112" s="1"/>
  <c r="O86" i="112"/>
  <c r="R86" i="112"/>
  <c r="T86" i="112" s="1"/>
  <c r="AK86" i="112"/>
  <c r="AL86" i="112" s="1"/>
  <c r="BJ86" i="106"/>
  <c r="BL86" i="106" s="1"/>
  <c r="AV86" i="106"/>
  <c r="AW86" i="106" s="1"/>
  <c r="BD86" i="106"/>
  <c r="BE86" i="106" s="1"/>
  <c r="R86" i="106"/>
  <c r="T86" i="106" s="1"/>
  <c r="BK86" i="106"/>
  <c r="BA86" i="106"/>
  <c r="BB86" i="106" s="1"/>
  <c r="P86" i="106"/>
  <c r="AQ86" i="106"/>
  <c r="AR86" i="106" s="1"/>
  <c r="O86" i="106"/>
  <c r="BG86" i="106"/>
  <c r="BH86" i="106" s="1"/>
  <c r="V86" i="106"/>
  <c r="W86" i="106" s="1"/>
  <c r="AN86" i="106"/>
  <c r="AO86" i="106" s="1"/>
  <c r="AB86" i="106"/>
  <c r="AC86" i="106" s="1"/>
  <c r="AY86" i="106"/>
  <c r="M86" i="106"/>
  <c r="Y86" i="106"/>
  <c r="Z86" i="106" s="1"/>
  <c r="BQ86" i="106"/>
  <c r="BR86" i="106" s="1"/>
  <c r="AE86" i="106"/>
  <c r="AF86" i="106" s="1"/>
  <c r="BN86" i="106"/>
  <c r="BO86" i="106" s="1"/>
  <c r="AK86" i="106"/>
  <c r="AL86" i="106" s="1"/>
  <c r="AH86" i="106"/>
  <c r="AI86" i="106" s="1"/>
  <c r="AT86" i="106"/>
  <c r="K87" i="106"/>
  <c r="AQ91" i="156"/>
  <c r="AR91" i="156" s="1"/>
  <c r="V91" i="156"/>
  <c r="W91" i="156" s="1"/>
  <c r="P91" i="156"/>
  <c r="BD91" i="156"/>
  <c r="BE91" i="156" s="1"/>
  <c r="AB91" i="156"/>
  <c r="AC91" i="156" s="1"/>
  <c r="AV91" i="156"/>
  <c r="AW91" i="156" s="1"/>
  <c r="R91" i="156"/>
  <c r="T91" i="156" s="1"/>
  <c r="M91" i="156"/>
  <c r="AH91" i="156"/>
  <c r="AI91" i="156" s="1"/>
  <c r="BN91" i="156"/>
  <c r="BO91" i="156" s="1"/>
  <c r="AK91" i="156"/>
  <c r="AL91" i="156" s="1"/>
  <c r="O91" i="156"/>
  <c r="BG91" i="156"/>
  <c r="BH91" i="156" s="1"/>
  <c r="Y91" i="156"/>
  <c r="Z91" i="156" s="1"/>
  <c r="AN91" i="156"/>
  <c r="AO91" i="156" s="1"/>
  <c r="BL91" i="156"/>
  <c r="AE91" i="156"/>
  <c r="AF91" i="156" s="1"/>
  <c r="BQ91" i="156"/>
  <c r="BR91" i="156" s="1"/>
  <c r="BA91" i="156"/>
  <c r="BB91" i="156" s="1"/>
  <c r="BL89" i="133"/>
  <c r="AK89" i="133"/>
  <c r="AL89" i="133" s="1"/>
  <c r="AY89" i="133"/>
  <c r="AQ89" i="133"/>
  <c r="AR89" i="133" s="1"/>
  <c r="AB89" i="133"/>
  <c r="AC89" i="133" s="1"/>
  <c r="M89" i="133"/>
  <c r="AN89" i="133"/>
  <c r="AO89" i="133" s="1"/>
  <c r="AE89" i="133"/>
  <c r="AF89" i="133" s="1"/>
  <c r="O89" i="133"/>
  <c r="BD89" i="133"/>
  <c r="BE89" i="133" s="1"/>
  <c r="BN89" i="133"/>
  <c r="BO89" i="133" s="1"/>
  <c r="AT89" i="133"/>
  <c r="V89" i="133"/>
  <c r="W89" i="133" s="1"/>
  <c r="BA89" i="133"/>
  <c r="BB89" i="133" s="1"/>
  <c r="R89" i="133"/>
  <c r="T89" i="133" s="1"/>
  <c r="P89" i="133"/>
  <c r="BQ89" i="133"/>
  <c r="BR89" i="133" s="1"/>
  <c r="K90" i="133"/>
  <c r="BG89" i="133"/>
  <c r="BH89" i="133" s="1"/>
  <c r="Y89" i="133"/>
  <c r="Z89" i="133" s="1"/>
  <c r="AH89" i="133"/>
  <c r="AI89" i="133" s="1"/>
  <c r="AV89" i="133"/>
  <c r="AW89" i="133" s="1"/>
  <c r="AT86" i="104"/>
  <c r="BD86" i="104"/>
  <c r="BE86" i="104" s="1"/>
  <c r="AK86" i="104"/>
  <c r="AL86" i="104" s="1"/>
  <c r="AN86" i="104"/>
  <c r="AO86" i="104" s="1"/>
  <c r="BK86" i="104"/>
  <c r="R86" i="104"/>
  <c r="T86" i="104" s="1"/>
  <c r="BQ86" i="104"/>
  <c r="BR86" i="104" s="1"/>
  <c r="V86" i="104"/>
  <c r="W86" i="104" s="1"/>
  <c r="BJ86" i="104"/>
  <c r="BL86" i="104" s="1"/>
  <c r="AY86" i="104"/>
  <c r="K87" i="104"/>
  <c r="M86" i="104"/>
  <c r="BG86" i="104"/>
  <c r="BH86" i="104" s="1"/>
  <c r="BA86" i="104"/>
  <c r="BB86" i="104" s="1"/>
  <c r="AB86" i="104"/>
  <c r="AC86" i="104" s="1"/>
  <c r="AE86" i="104"/>
  <c r="AF86" i="104" s="1"/>
  <c r="BN86" i="104"/>
  <c r="BO86" i="104" s="1"/>
  <c r="AV86" i="104"/>
  <c r="AW86" i="104" s="1"/>
  <c r="O86" i="104"/>
  <c r="P86" i="104"/>
  <c r="Y86" i="104"/>
  <c r="Z86" i="104" s="1"/>
  <c r="AQ86" i="104"/>
  <c r="AR86" i="104" s="1"/>
  <c r="AH86" i="104"/>
  <c r="AI86" i="104" s="1"/>
  <c r="I93" i="106"/>
  <c r="M85" i="95"/>
  <c r="AE85" i="95"/>
  <c r="AF85" i="95" s="1"/>
  <c r="BD85" i="95"/>
  <c r="BE85" i="95" s="1"/>
  <c r="BQ85" i="95"/>
  <c r="BR85" i="95" s="1"/>
  <c r="BN85" i="95"/>
  <c r="BO85" i="95" s="1"/>
  <c r="AB85" i="95"/>
  <c r="AC85" i="95" s="1"/>
  <c r="AV85" i="95"/>
  <c r="AW85" i="95" s="1"/>
  <c r="R85" i="95"/>
  <c r="T85" i="95" s="1"/>
  <c r="AH85" i="95"/>
  <c r="AI85" i="95" s="1"/>
  <c r="AK85" i="95"/>
  <c r="AL85" i="95" s="1"/>
  <c r="O85" i="95"/>
  <c r="P85" i="95"/>
  <c r="K86" i="95"/>
  <c r="V85" i="95"/>
  <c r="W85" i="95" s="1"/>
  <c r="AQ85" i="95"/>
  <c r="AR85" i="95" s="1"/>
  <c r="BL85" i="95"/>
  <c r="AT85" i="95"/>
  <c r="AN85" i="95"/>
  <c r="AO85" i="95" s="1"/>
  <c r="BA85" i="95"/>
  <c r="BB85" i="95" s="1"/>
  <c r="Y85" i="95"/>
  <c r="Z85" i="95" s="1"/>
  <c r="BG85" i="95"/>
  <c r="BH85" i="95" s="1"/>
  <c r="BN87" i="129"/>
  <c r="BO87" i="129" s="1"/>
  <c r="O87" i="129"/>
  <c r="AQ87" i="129"/>
  <c r="AR87" i="129" s="1"/>
  <c r="AN87" i="129"/>
  <c r="AO87" i="129" s="1"/>
  <c r="M87" i="129"/>
  <c r="P87" i="129"/>
  <c r="AV87" i="129"/>
  <c r="AW87" i="129" s="1"/>
  <c r="AK87" i="129"/>
  <c r="AL87" i="129" s="1"/>
  <c r="K88" i="129"/>
  <c r="BG87" i="129"/>
  <c r="BH87" i="129" s="1"/>
  <c r="R87" i="129"/>
  <c r="T87" i="129" s="1"/>
  <c r="BQ87" i="129"/>
  <c r="BR87" i="129" s="1"/>
  <c r="V87" i="129"/>
  <c r="W87" i="129" s="1"/>
  <c r="BL87" i="129"/>
  <c r="AT87" i="129"/>
  <c r="Y87" i="129"/>
  <c r="Z87" i="129" s="1"/>
  <c r="BA87" i="129"/>
  <c r="BB87" i="129" s="1"/>
  <c r="AY87" i="129"/>
  <c r="AB87" i="129"/>
  <c r="AC87" i="129" s="1"/>
  <c r="AE87" i="129"/>
  <c r="AF87" i="129" s="1"/>
  <c r="AH87" i="129"/>
  <c r="AI87" i="129" s="1"/>
  <c r="BD87" i="129"/>
  <c r="BE87" i="129" s="1"/>
  <c r="K88" i="130"/>
  <c r="BN87" i="130"/>
  <c r="BO87" i="130" s="1"/>
  <c r="M87" i="130"/>
  <c r="BL87" i="130"/>
  <c r="BQ87" i="130"/>
  <c r="BR87" i="130" s="1"/>
  <c r="AV87" i="130"/>
  <c r="AW87" i="130" s="1"/>
  <c r="AK87" i="130"/>
  <c r="AL87" i="130" s="1"/>
  <c r="AE87" i="130"/>
  <c r="AF87" i="130" s="1"/>
  <c r="AH87" i="130"/>
  <c r="AI87" i="130" s="1"/>
  <c r="BG87" i="130"/>
  <c r="BH87" i="130" s="1"/>
  <c r="AQ87" i="130"/>
  <c r="AR87" i="130" s="1"/>
  <c r="AY87" i="130"/>
  <c r="R87" i="130"/>
  <c r="T87" i="130" s="1"/>
  <c r="AB87" i="130"/>
  <c r="AC87" i="130" s="1"/>
  <c r="Y87" i="130"/>
  <c r="Z87" i="130" s="1"/>
  <c r="AT87" i="130"/>
  <c r="BD87" i="130"/>
  <c r="BE87" i="130" s="1"/>
  <c r="V87" i="130"/>
  <c r="W87" i="130" s="1"/>
  <c r="O87" i="130"/>
  <c r="BA87" i="130"/>
  <c r="BB87" i="130" s="1"/>
  <c r="P87" i="130"/>
  <c r="AN87" i="130"/>
  <c r="AO87" i="130" s="1"/>
  <c r="R92" i="155"/>
  <c r="T92" i="155" s="1"/>
  <c r="Y92" i="155"/>
  <c r="Z92" i="155" s="1"/>
  <c r="AE92" i="155"/>
  <c r="AF92" i="155" s="1"/>
  <c r="AK92" i="155"/>
  <c r="AL92" i="155" s="1"/>
  <c r="AQ92" i="155"/>
  <c r="AR92" i="155" s="1"/>
  <c r="BD92" i="155"/>
  <c r="BE92" i="155" s="1"/>
  <c r="M92" i="155"/>
  <c r="BQ92" i="155"/>
  <c r="BR92" i="155" s="1"/>
  <c r="O92" i="155"/>
  <c r="V92" i="155"/>
  <c r="W92" i="155" s="1"/>
  <c r="AB92" i="155"/>
  <c r="AC92" i="155" s="1"/>
  <c r="AH92" i="155"/>
  <c r="AI92" i="155" s="1"/>
  <c r="AN92" i="155"/>
  <c r="AO92" i="155" s="1"/>
  <c r="BA92" i="155"/>
  <c r="BB92" i="155" s="1"/>
  <c r="BG92" i="155"/>
  <c r="BH92" i="155" s="1"/>
  <c r="P92" i="155"/>
  <c r="AV92" i="155"/>
  <c r="AW92" i="155" s="1"/>
  <c r="BN92" i="155"/>
  <c r="BO92" i="155" s="1"/>
  <c r="BL92" i="155"/>
  <c r="K93" i="155"/>
  <c r="I94" i="155"/>
  <c r="I97" i="153"/>
  <c r="R92" i="153"/>
  <c r="T92" i="153" s="1"/>
  <c r="Y92" i="153"/>
  <c r="Z92" i="153" s="1"/>
  <c r="AE92" i="153"/>
  <c r="AF92" i="153" s="1"/>
  <c r="AK92" i="153"/>
  <c r="AL92" i="153" s="1"/>
  <c r="AQ92" i="153"/>
  <c r="AR92" i="153" s="1"/>
  <c r="BD92" i="153"/>
  <c r="BE92" i="153" s="1"/>
  <c r="M92" i="153"/>
  <c r="BQ92" i="153"/>
  <c r="BR92" i="153" s="1"/>
  <c r="O92" i="153"/>
  <c r="V92" i="153"/>
  <c r="W92" i="153" s="1"/>
  <c r="AB92" i="153"/>
  <c r="AC92" i="153" s="1"/>
  <c r="AH92" i="153"/>
  <c r="AI92" i="153" s="1"/>
  <c r="AN92" i="153"/>
  <c r="AO92" i="153" s="1"/>
  <c r="BA92" i="153"/>
  <c r="BB92" i="153" s="1"/>
  <c r="BG92" i="153"/>
  <c r="BH92" i="153" s="1"/>
  <c r="BL92" i="153"/>
  <c r="P92" i="153"/>
  <c r="AV92" i="153"/>
  <c r="AW92" i="153" s="1"/>
  <c r="BN92" i="153"/>
  <c r="BO92" i="153" s="1"/>
  <c r="K93" i="153"/>
  <c r="I101" i="152"/>
  <c r="M92" i="152"/>
  <c r="BQ92" i="152"/>
  <c r="BR92" i="152" s="1"/>
  <c r="O92" i="152"/>
  <c r="V92" i="152"/>
  <c r="W92" i="152" s="1"/>
  <c r="AB92" i="152"/>
  <c r="AC92" i="152" s="1"/>
  <c r="AH92" i="152"/>
  <c r="AI92" i="152" s="1"/>
  <c r="AN92" i="152"/>
  <c r="AO92" i="152" s="1"/>
  <c r="BA92" i="152"/>
  <c r="BB92" i="152" s="1"/>
  <c r="BG92" i="152"/>
  <c r="BH92" i="152" s="1"/>
  <c r="P92" i="152"/>
  <c r="AV92" i="152"/>
  <c r="AW92" i="152" s="1"/>
  <c r="BN92" i="152"/>
  <c r="BO92" i="152" s="1"/>
  <c r="R92" i="152"/>
  <c r="T92" i="152" s="1"/>
  <c r="Y92" i="152"/>
  <c r="Z92" i="152" s="1"/>
  <c r="AE92" i="152"/>
  <c r="AF92" i="152" s="1"/>
  <c r="AK92" i="152"/>
  <c r="AL92" i="152" s="1"/>
  <c r="AQ92" i="152"/>
  <c r="AR92" i="152" s="1"/>
  <c r="BD92" i="152"/>
  <c r="BE92" i="152" s="1"/>
  <c r="BL92" i="152"/>
  <c r="K93" i="152"/>
  <c r="I92" i="151"/>
  <c r="K91" i="151"/>
  <c r="BQ90" i="151"/>
  <c r="BR90" i="151" s="1"/>
  <c r="AY90" i="151"/>
  <c r="BD90" i="151"/>
  <c r="BE90" i="151" s="1"/>
  <c r="AQ90" i="151"/>
  <c r="AR90" i="151" s="1"/>
  <c r="AK90" i="151"/>
  <c r="AL90" i="151" s="1"/>
  <c r="AE90" i="151"/>
  <c r="AF90" i="151" s="1"/>
  <c r="Y90" i="151"/>
  <c r="Z90" i="151" s="1"/>
  <c r="R90" i="151"/>
  <c r="T90" i="151" s="1"/>
  <c r="AV90" i="151"/>
  <c r="AW90" i="151" s="1"/>
  <c r="P90" i="151"/>
  <c r="AT90" i="151"/>
  <c r="V90" i="151"/>
  <c r="W90" i="151" s="1"/>
  <c r="BG90" i="151"/>
  <c r="BH90" i="151" s="1"/>
  <c r="AH90" i="151"/>
  <c r="AI90" i="151" s="1"/>
  <c r="AB90" i="151"/>
  <c r="AC90" i="151" s="1"/>
  <c r="O90" i="151"/>
  <c r="BA90" i="151"/>
  <c r="BB90" i="151" s="1"/>
  <c r="AN90" i="151"/>
  <c r="AO90" i="151" s="1"/>
  <c r="BN90" i="151"/>
  <c r="BO90" i="151" s="1"/>
  <c r="M90" i="151"/>
  <c r="BL90" i="151"/>
  <c r="BQ89" i="150"/>
  <c r="BR89" i="150" s="1"/>
  <c r="AY89" i="150"/>
  <c r="BD89" i="150"/>
  <c r="BE89" i="150" s="1"/>
  <c r="AQ89" i="150"/>
  <c r="AR89" i="150" s="1"/>
  <c r="AK89" i="150"/>
  <c r="AL89" i="150" s="1"/>
  <c r="AE89" i="150"/>
  <c r="AF89" i="150" s="1"/>
  <c r="Y89" i="150"/>
  <c r="Z89" i="150" s="1"/>
  <c r="R89" i="150"/>
  <c r="T89" i="150" s="1"/>
  <c r="AV89" i="150"/>
  <c r="AW89" i="150" s="1"/>
  <c r="P89" i="150"/>
  <c r="BG89" i="150"/>
  <c r="BH89" i="150" s="1"/>
  <c r="AH89" i="150"/>
  <c r="AI89" i="150" s="1"/>
  <c r="BA89" i="150"/>
  <c r="BB89" i="150" s="1"/>
  <c r="AB89" i="150"/>
  <c r="AC89" i="150" s="1"/>
  <c r="AT89" i="150"/>
  <c r="V89" i="150"/>
  <c r="W89" i="150" s="1"/>
  <c r="O89" i="150"/>
  <c r="AN89" i="150"/>
  <c r="AO89" i="150" s="1"/>
  <c r="M89" i="150"/>
  <c r="BN89" i="150"/>
  <c r="BO89" i="150" s="1"/>
  <c r="BL89" i="150"/>
  <c r="K90" i="150"/>
  <c r="I93" i="150"/>
  <c r="AV91" i="149"/>
  <c r="AW91" i="149" s="1"/>
  <c r="P91" i="149"/>
  <c r="BQ91" i="149"/>
  <c r="BR91" i="149" s="1"/>
  <c r="AY91" i="149"/>
  <c r="BG91" i="149"/>
  <c r="BH91" i="149" s="1"/>
  <c r="AH91" i="149"/>
  <c r="AI91" i="149" s="1"/>
  <c r="V91" i="149"/>
  <c r="W91" i="149" s="1"/>
  <c r="BD91" i="149"/>
  <c r="BE91" i="149" s="1"/>
  <c r="AQ91" i="149"/>
  <c r="AR91" i="149" s="1"/>
  <c r="AE91" i="149"/>
  <c r="AF91" i="149" s="1"/>
  <c r="R91" i="149"/>
  <c r="T91" i="149" s="1"/>
  <c r="BA91" i="149"/>
  <c r="BB91" i="149" s="1"/>
  <c r="AN91" i="149"/>
  <c r="AO91" i="149" s="1"/>
  <c r="AB91" i="149"/>
  <c r="AC91" i="149" s="1"/>
  <c r="O91" i="149"/>
  <c r="Y91" i="149"/>
  <c r="Z91" i="149" s="1"/>
  <c r="AK91" i="149"/>
  <c r="AL91" i="149" s="1"/>
  <c r="BN91" i="149"/>
  <c r="BO91" i="149" s="1"/>
  <c r="M91" i="149"/>
  <c r="BL91" i="149"/>
  <c r="K92" i="149"/>
  <c r="AT92" i="149" s="1"/>
  <c r="I93" i="149"/>
  <c r="I92" i="147"/>
  <c r="K91" i="147"/>
  <c r="BD90" i="147"/>
  <c r="BE90" i="147" s="1"/>
  <c r="AQ90" i="147"/>
  <c r="AR90" i="147" s="1"/>
  <c r="AK90" i="147"/>
  <c r="AL90" i="147" s="1"/>
  <c r="AE90" i="147"/>
  <c r="AF90" i="147" s="1"/>
  <c r="Y90" i="147"/>
  <c r="Z90" i="147" s="1"/>
  <c r="R90" i="147"/>
  <c r="T90" i="147" s="1"/>
  <c r="AV90" i="147"/>
  <c r="AW90" i="147" s="1"/>
  <c r="P90" i="147"/>
  <c r="BQ90" i="147"/>
  <c r="BR90" i="147" s="1"/>
  <c r="BA90" i="147"/>
  <c r="BB90" i="147" s="1"/>
  <c r="AN90" i="147"/>
  <c r="AO90" i="147" s="1"/>
  <c r="AB90" i="147"/>
  <c r="AC90" i="147" s="1"/>
  <c r="O90" i="147"/>
  <c r="AY90" i="147"/>
  <c r="AT90" i="147"/>
  <c r="V90" i="147"/>
  <c r="W90" i="147" s="1"/>
  <c r="BG90" i="147"/>
  <c r="BH90" i="147" s="1"/>
  <c r="AH90" i="147"/>
  <c r="AI90" i="147" s="1"/>
  <c r="BN90" i="147"/>
  <c r="BO90" i="147" s="1"/>
  <c r="BJ90" i="147"/>
  <c r="BL90" i="147" s="1"/>
  <c r="BK90" i="147"/>
  <c r="M90" i="147"/>
  <c r="AV89" i="146"/>
  <c r="AW89" i="146" s="1"/>
  <c r="P89" i="146"/>
  <c r="BG89" i="146"/>
  <c r="BH89" i="146" s="1"/>
  <c r="BA89" i="146"/>
  <c r="BB89" i="146" s="1"/>
  <c r="AT89" i="146"/>
  <c r="AN89" i="146"/>
  <c r="AO89" i="146" s="1"/>
  <c r="AH89" i="146"/>
  <c r="AI89" i="146" s="1"/>
  <c r="AB89" i="146"/>
  <c r="AC89" i="146" s="1"/>
  <c r="V89" i="146"/>
  <c r="W89" i="146" s="1"/>
  <c r="O89" i="146"/>
  <c r="BQ89" i="146"/>
  <c r="BR89" i="146" s="1"/>
  <c r="AY89" i="146"/>
  <c r="Y89" i="146"/>
  <c r="Z89" i="146" s="1"/>
  <c r="AQ89" i="146"/>
  <c r="AR89" i="146" s="1"/>
  <c r="R89" i="146"/>
  <c r="T89" i="146" s="1"/>
  <c r="AK89" i="146"/>
  <c r="AL89" i="146" s="1"/>
  <c r="BD89" i="146"/>
  <c r="BE89" i="146" s="1"/>
  <c r="AE89" i="146"/>
  <c r="AF89" i="146" s="1"/>
  <c r="BN89" i="146"/>
  <c r="BO89" i="146" s="1"/>
  <c r="BJ89" i="146"/>
  <c r="BL89" i="146" s="1"/>
  <c r="M89" i="146"/>
  <c r="BK89" i="146"/>
  <c r="K90" i="146"/>
  <c r="I91" i="146"/>
  <c r="I92" i="126"/>
  <c r="I92" i="63"/>
  <c r="I93" i="114"/>
  <c r="M87" i="98"/>
  <c r="BK87" i="98"/>
  <c r="R87" i="98"/>
  <c r="T87" i="98" s="1"/>
  <c r="K88" i="98"/>
  <c r="BN87" i="98"/>
  <c r="BO87" i="98" s="1"/>
  <c r="BJ87" i="98"/>
  <c r="BL87" i="98" s="1"/>
  <c r="AE87" i="98"/>
  <c r="AF87" i="98" s="1"/>
  <c r="BA87" i="98"/>
  <c r="BB87" i="98" s="1"/>
  <c r="Y87" i="98"/>
  <c r="Z87" i="98" s="1"/>
  <c r="BG87" i="98"/>
  <c r="BH87" i="98" s="1"/>
  <c r="AH87" i="98"/>
  <c r="AI87" i="98" s="1"/>
  <c r="BQ87" i="98"/>
  <c r="BR87" i="98" s="1"/>
  <c r="O87" i="98"/>
  <c r="AB87" i="98"/>
  <c r="AC87" i="98" s="1"/>
  <c r="AT87" i="98"/>
  <c r="P87" i="98"/>
  <c r="AY87" i="98"/>
  <c r="BD87" i="98"/>
  <c r="BE87" i="98" s="1"/>
  <c r="AQ87" i="98"/>
  <c r="AR87" i="98" s="1"/>
  <c r="AV87" i="98"/>
  <c r="AW87" i="98" s="1"/>
  <c r="V87" i="98"/>
  <c r="W87" i="98" s="1"/>
  <c r="AK87" i="98"/>
  <c r="AL87" i="98" s="1"/>
  <c r="AN87" i="98"/>
  <c r="AO87" i="98" s="1"/>
  <c r="K86" i="17"/>
  <c r="I87" i="17"/>
  <c r="AV88" i="64"/>
  <c r="AW88" i="64" s="1"/>
  <c r="AN88" i="64"/>
  <c r="AO88" i="64" s="1"/>
  <c r="P88" i="64"/>
  <c r="M88" i="64"/>
  <c r="V88" i="64"/>
  <c r="W88" i="64" s="1"/>
  <c r="AB88" i="64"/>
  <c r="AC88" i="64" s="1"/>
  <c r="AK88" i="64"/>
  <c r="AL88" i="64" s="1"/>
  <c r="O88" i="64"/>
  <c r="AQ88" i="64"/>
  <c r="AR88" i="64" s="1"/>
  <c r="AT88" i="64"/>
  <c r="AH88" i="64"/>
  <c r="AI88" i="64" s="1"/>
  <c r="BQ88" i="64"/>
  <c r="BR88" i="64" s="1"/>
  <c r="R88" i="64"/>
  <c r="T88" i="64" s="1"/>
  <c r="AE88" i="64"/>
  <c r="AF88" i="64" s="1"/>
  <c r="Y88" i="64"/>
  <c r="Z88" i="64" s="1"/>
  <c r="BG88" i="64"/>
  <c r="BH88" i="64" s="1"/>
  <c r="AY88" i="64"/>
  <c r="BA88" i="64"/>
  <c r="BB88" i="64" s="1"/>
  <c r="BD88" i="64"/>
  <c r="BE88" i="64" s="1"/>
  <c r="BL88" i="64"/>
  <c r="BN88" i="64"/>
  <c r="BO88" i="64" s="1"/>
  <c r="K89" i="64"/>
  <c r="BN87" i="126"/>
  <c r="BO87" i="126" s="1"/>
  <c r="BJ87" i="126"/>
  <c r="BL87" i="126" s="1"/>
  <c r="M87" i="126"/>
  <c r="BK87" i="126"/>
  <c r="AE87" i="126"/>
  <c r="AF87" i="126" s="1"/>
  <c r="R87" i="126"/>
  <c r="T87" i="126" s="1"/>
  <c r="V87" i="126"/>
  <c r="W87" i="126" s="1"/>
  <c r="AY87" i="126"/>
  <c r="O87" i="126"/>
  <c r="AB87" i="126"/>
  <c r="AC87" i="126" s="1"/>
  <c r="AK87" i="126"/>
  <c r="AL87" i="126" s="1"/>
  <c r="BG87" i="126"/>
  <c r="BH87" i="126" s="1"/>
  <c r="AN87" i="126"/>
  <c r="AO87" i="126" s="1"/>
  <c r="AQ87" i="126"/>
  <c r="AR87" i="126" s="1"/>
  <c r="Y87" i="126"/>
  <c r="Z87" i="126" s="1"/>
  <c r="AV87" i="126"/>
  <c r="AW87" i="126" s="1"/>
  <c r="AH87" i="126"/>
  <c r="AI87" i="126" s="1"/>
  <c r="BD87" i="126"/>
  <c r="BE87" i="126" s="1"/>
  <c r="P87" i="126"/>
  <c r="BA87" i="126"/>
  <c r="BB87" i="126" s="1"/>
  <c r="AT87" i="126"/>
  <c r="BQ87" i="126"/>
  <c r="BR87" i="126" s="1"/>
  <c r="K88" i="126"/>
  <c r="I96" i="95"/>
  <c r="K89" i="135"/>
  <c r="I90" i="135"/>
  <c r="I93" i="64"/>
  <c r="I91" i="104"/>
  <c r="I94" i="132"/>
  <c r="I87" i="13"/>
  <c r="K86" i="13"/>
  <c r="M89" i="136"/>
  <c r="BN89" i="136"/>
  <c r="BO89" i="136" s="1"/>
  <c r="BL89" i="136"/>
  <c r="BA89" i="136"/>
  <c r="BB89" i="136" s="1"/>
  <c r="AT89" i="136"/>
  <c r="V89" i="136"/>
  <c r="W89" i="136" s="1"/>
  <c r="BG89" i="136"/>
  <c r="BH89" i="136" s="1"/>
  <c r="R89" i="136"/>
  <c r="T89" i="136" s="1"/>
  <c r="AQ89" i="136"/>
  <c r="AR89" i="136" s="1"/>
  <c r="O89" i="136"/>
  <c r="AB89" i="136"/>
  <c r="AC89" i="136" s="1"/>
  <c r="AV89" i="136"/>
  <c r="AW89" i="136" s="1"/>
  <c r="Y89" i="136"/>
  <c r="Z89" i="136" s="1"/>
  <c r="BQ89" i="136"/>
  <c r="BR89" i="136" s="1"/>
  <c r="AE89" i="136"/>
  <c r="AF89" i="136" s="1"/>
  <c r="BD89" i="136"/>
  <c r="BE89" i="136" s="1"/>
  <c r="AH89" i="136"/>
  <c r="AI89" i="136" s="1"/>
  <c r="AK89" i="136"/>
  <c r="AL89" i="136" s="1"/>
  <c r="P89" i="136"/>
  <c r="AN89" i="136"/>
  <c r="AO89" i="136" s="1"/>
  <c r="AY89" i="136"/>
  <c r="K90" i="136"/>
  <c r="AQ87" i="96"/>
  <c r="AR87" i="96" s="1"/>
  <c r="R87" i="96"/>
  <c r="T87" i="96" s="1"/>
  <c r="BG87" i="96"/>
  <c r="BH87" i="96" s="1"/>
  <c r="AH87" i="96"/>
  <c r="AI87" i="96" s="1"/>
  <c r="BN87" i="96"/>
  <c r="BO87" i="96" s="1"/>
  <c r="Y87" i="96"/>
  <c r="Z87" i="96" s="1"/>
  <c r="V87" i="96"/>
  <c r="W87" i="96" s="1"/>
  <c r="O87" i="96"/>
  <c r="AE87" i="96"/>
  <c r="AF87" i="96" s="1"/>
  <c r="AT87" i="96"/>
  <c r="AV87" i="96"/>
  <c r="AW87" i="96" s="1"/>
  <c r="M87" i="96"/>
  <c r="AK87" i="96"/>
  <c r="AL87" i="96" s="1"/>
  <c r="BD87" i="96"/>
  <c r="BE87" i="96" s="1"/>
  <c r="AN87" i="96"/>
  <c r="AO87" i="96" s="1"/>
  <c r="P87" i="96"/>
  <c r="AB87" i="96"/>
  <c r="AC87" i="96" s="1"/>
  <c r="BQ87" i="96"/>
  <c r="BR87" i="96" s="1"/>
  <c r="BA87" i="96"/>
  <c r="BB87" i="96" s="1"/>
  <c r="BL87" i="96"/>
  <c r="M86" i="101"/>
  <c r="BG86" i="101"/>
  <c r="BH86" i="101" s="1"/>
  <c r="AQ86" i="101"/>
  <c r="AR86" i="101" s="1"/>
  <c r="Y86" i="101"/>
  <c r="Z86" i="101" s="1"/>
  <c r="AT86" i="101"/>
  <c r="O86" i="101"/>
  <c r="BD86" i="101"/>
  <c r="BE86" i="101" s="1"/>
  <c r="AN86" i="101"/>
  <c r="AO86" i="101" s="1"/>
  <c r="V86" i="101"/>
  <c r="W86" i="101" s="1"/>
  <c r="AY86" i="101"/>
  <c r="AK86" i="101"/>
  <c r="AL86" i="101" s="1"/>
  <c r="P86" i="101"/>
  <c r="AB86" i="101"/>
  <c r="AC86" i="101" s="1"/>
  <c r="BA86" i="101"/>
  <c r="BB86" i="101" s="1"/>
  <c r="AH86" i="101"/>
  <c r="AI86" i="101" s="1"/>
  <c r="AV86" i="101"/>
  <c r="AW86" i="101" s="1"/>
  <c r="R86" i="101"/>
  <c r="T86" i="101" s="1"/>
  <c r="AE86" i="101"/>
  <c r="AF86" i="101" s="1"/>
  <c r="BQ86" i="101"/>
  <c r="BR86" i="101" s="1"/>
  <c r="M87" i="110"/>
  <c r="BK87" i="110"/>
  <c r="BN87" i="110"/>
  <c r="BO87" i="110" s="1"/>
  <c r="BJ87" i="110"/>
  <c r="BL87" i="110" s="1"/>
  <c r="AV87" i="110"/>
  <c r="AW87" i="110" s="1"/>
  <c r="AN87" i="110"/>
  <c r="AO87" i="110" s="1"/>
  <c r="V87" i="110"/>
  <c r="W87" i="110" s="1"/>
  <c r="P87" i="110"/>
  <c r="BQ87" i="110"/>
  <c r="BR87" i="110" s="1"/>
  <c r="AY87" i="110"/>
  <c r="Y87" i="110"/>
  <c r="Z87" i="110" s="1"/>
  <c r="R87" i="110"/>
  <c r="T87" i="110" s="1"/>
  <c r="BA87" i="110"/>
  <c r="BB87" i="110" s="1"/>
  <c r="AH87" i="110"/>
  <c r="AI87" i="110" s="1"/>
  <c r="AT87" i="110"/>
  <c r="AQ87" i="110"/>
  <c r="AR87" i="110" s="1"/>
  <c r="AK87" i="110"/>
  <c r="AL87" i="110" s="1"/>
  <c r="BG87" i="110"/>
  <c r="BH87" i="110" s="1"/>
  <c r="O87" i="110"/>
  <c r="AB87" i="110"/>
  <c r="AC87" i="110" s="1"/>
  <c r="AE87" i="110"/>
  <c r="AF87" i="110" s="1"/>
  <c r="BD87" i="110"/>
  <c r="BE87" i="110" s="1"/>
  <c r="BN87" i="115"/>
  <c r="BO87" i="115" s="1"/>
  <c r="M87" i="115"/>
  <c r="BJ87" i="115"/>
  <c r="BL87" i="115" s="1"/>
  <c r="BK87" i="115"/>
  <c r="P87" i="115"/>
  <c r="BD87" i="115"/>
  <c r="BE87" i="115" s="1"/>
  <c r="AN87" i="115"/>
  <c r="AO87" i="115" s="1"/>
  <c r="BA87" i="115"/>
  <c r="BB87" i="115" s="1"/>
  <c r="AK87" i="115"/>
  <c r="AL87" i="115" s="1"/>
  <c r="AB87" i="115"/>
  <c r="AC87" i="115" s="1"/>
  <c r="BQ87" i="115"/>
  <c r="BR87" i="115" s="1"/>
  <c r="AV87" i="115"/>
  <c r="AW87" i="115" s="1"/>
  <c r="AH87" i="115"/>
  <c r="AI87" i="115" s="1"/>
  <c r="V87" i="115"/>
  <c r="W87" i="115" s="1"/>
  <c r="O87" i="115"/>
  <c r="AE87" i="115"/>
  <c r="AF87" i="115" s="1"/>
  <c r="BG87" i="115"/>
  <c r="BH87" i="115" s="1"/>
  <c r="AT87" i="115"/>
  <c r="AQ87" i="115"/>
  <c r="AR87" i="115" s="1"/>
  <c r="R87" i="115"/>
  <c r="T87" i="115" s="1"/>
  <c r="AY87" i="115"/>
  <c r="Y87" i="115"/>
  <c r="Z87" i="115" s="1"/>
  <c r="M85" i="13"/>
  <c r="BL85" i="13"/>
  <c r="BN85" i="13"/>
  <c r="BO85" i="13" s="1"/>
  <c r="AN85" i="13"/>
  <c r="AO85" i="13" s="1"/>
  <c r="AY85" i="13"/>
  <c r="BD85" i="13"/>
  <c r="BE85" i="13" s="1"/>
  <c r="BA85" i="13"/>
  <c r="BB85" i="13" s="1"/>
  <c r="R85" i="13"/>
  <c r="T85" i="13" s="1"/>
  <c r="AH85" i="13"/>
  <c r="AI85" i="13" s="1"/>
  <c r="AK85" i="13"/>
  <c r="AL85" i="13" s="1"/>
  <c r="AV85" i="13"/>
  <c r="AW85" i="13" s="1"/>
  <c r="AB85" i="13"/>
  <c r="AC85" i="13" s="1"/>
  <c r="BG85" i="13"/>
  <c r="BH85" i="13" s="1"/>
  <c r="O85" i="13"/>
  <c r="AE85" i="13"/>
  <c r="AF85" i="13" s="1"/>
  <c r="AQ85" i="13"/>
  <c r="AR85" i="13" s="1"/>
  <c r="BQ85" i="13"/>
  <c r="BR85" i="13" s="1"/>
  <c r="AT85" i="13"/>
  <c r="V85" i="13"/>
  <c r="W85" i="13" s="1"/>
  <c r="Y85" i="13"/>
  <c r="Z85" i="13" s="1"/>
  <c r="P85" i="13"/>
  <c r="I94" i="105"/>
  <c r="M87" i="114"/>
  <c r="BJ87" i="114"/>
  <c r="BL87" i="114" s="1"/>
  <c r="BN87" i="114"/>
  <c r="BO87" i="114" s="1"/>
  <c r="BK87" i="114"/>
  <c r="R87" i="114"/>
  <c r="T87" i="114" s="1"/>
  <c r="BA87" i="114"/>
  <c r="BB87" i="114" s="1"/>
  <c r="AY87" i="114"/>
  <c r="BQ87" i="114"/>
  <c r="BR87" i="114" s="1"/>
  <c r="AQ87" i="114"/>
  <c r="AR87" i="114" s="1"/>
  <c r="AE87" i="114"/>
  <c r="AF87" i="114" s="1"/>
  <c r="AB87" i="114"/>
  <c r="AC87" i="114" s="1"/>
  <c r="BD87" i="114"/>
  <c r="BE87" i="114" s="1"/>
  <c r="AT87" i="114"/>
  <c r="O87" i="114"/>
  <c r="AK87" i="114"/>
  <c r="AL87" i="114" s="1"/>
  <c r="Y87" i="114"/>
  <c r="Z87" i="114" s="1"/>
  <c r="AH87" i="114"/>
  <c r="AI87" i="114" s="1"/>
  <c r="V87" i="114"/>
  <c r="W87" i="114" s="1"/>
  <c r="AV87" i="114"/>
  <c r="AW87" i="114" s="1"/>
  <c r="BG87" i="114"/>
  <c r="BH87" i="114" s="1"/>
  <c r="AN87" i="114"/>
  <c r="AO87" i="114" s="1"/>
  <c r="P87" i="114"/>
  <c r="K88" i="114"/>
  <c r="I89" i="96"/>
  <c r="K88" i="96"/>
  <c r="I88" i="101"/>
  <c r="K87" i="101"/>
  <c r="AQ85" i="66"/>
  <c r="AR85" i="66" s="1"/>
  <c r="M85" i="66"/>
  <c r="AB85" i="66"/>
  <c r="AC85" i="66" s="1"/>
  <c r="BQ85" i="66"/>
  <c r="BR85" i="66" s="1"/>
  <c r="BG85" i="66"/>
  <c r="BH85" i="66" s="1"/>
  <c r="AH85" i="66"/>
  <c r="AI85" i="66" s="1"/>
  <c r="AE85" i="66"/>
  <c r="AF85" i="66" s="1"/>
  <c r="Y85" i="66"/>
  <c r="Z85" i="66" s="1"/>
  <c r="AV85" i="66"/>
  <c r="AW85" i="66" s="1"/>
  <c r="O85" i="66"/>
  <c r="BD85" i="66"/>
  <c r="BE85" i="66" s="1"/>
  <c r="BA85" i="66"/>
  <c r="BB85" i="66" s="1"/>
  <c r="AY85" i="66"/>
  <c r="R85" i="66"/>
  <c r="T85" i="66" s="1"/>
  <c r="BN85" i="66"/>
  <c r="BO85" i="66" s="1"/>
  <c r="V85" i="66"/>
  <c r="W85" i="66" s="1"/>
  <c r="P85" i="66"/>
  <c r="AN85" i="66"/>
  <c r="AO85" i="66" s="1"/>
  <c r="AK85" i="66"/>
  <c r="AL85" i="66" s="1"/>
  <c r="AT85" i="66"/>
  <c r="BL85" i="66"/>
  <c r="I89" i="110"/>
  <c r="K88" i="110"/>
  <c r="I89" i="115"/>
  <c r="K88" i="115"/>
  <c r="BK91" i="124"/>
  <c r="M91" i="124"/>
  <c r="BN91" i="124"/>
  <c r="BO91" i="124" s="1"/>
  <c r="BJ91" i="124"/>
  <c r="BL91" i="124" s="1"/>
  <c r="K92" i="124"/>
  <c r="Y91" i="124"/>
  <c r="Z91" i="124" s="1"/>
  <c r="BG91" i="124"/>
  <c r="BH91" i="124" s="1"/>
  <c r="AY91" i="124"/>
  <c r="AH91" i="124"/>
  <c r="AI91" i="124" s="1"/>
  <c r="AK91" i="124"/>
  <c r="AL91" i="124" s="1"/>
  <c r="R91" i="124"/>
  <c r="T91" i="124" s="1"/>
  <c r="BA91" i="124"/>
  <c r="BB91" i="124" s="1"/>
  <c r="O91" i="124"/>
  <c r="AT91" i="124"/>
  <c r="V91" i="124"/>
  <c r="W91" i="124" s="1"/>
  <c r="AN91" i="124"/>
  <c r="AO91" i="124" s="1"/>
  <c r="BD91" i="124"/>
  <c r="BE91" i="124" s="1"/>
  <c r="AQ91" i="124"/>
  <c r="AR91" i="124" s="1"/>
  <c r="AB91" i="124"/>
  <c r="AC91" i="124" s="1"/>
  <c r="AE91" i="124"/>
  <c r="AF91" i="124" s="1"/>
  <c r="AV91" i="124"/>
  <c r="AW91" i="124" s="1"/>
  <c r="BQ91" i="124"/>
  <c r="BR91" i="124" s="1"/>
  <c r="P91" i="124"/>
  <c r="I93" i="136"/>
  <c r="I91" i="15"/>
  <c r="M86" i="118"/>
  <c r="K87" i="118"/>
  <c r="BN86" i="118"/>
  <c r="BO86" i="118" s="1"/>
  <c r="AT86" i="118"/>
  <c r="BQ86" i="118"/>
  <c r="BR86" i="118" s="1"/>
  <c r="V86" i="118"/>
  <c r="W86" i="118" s="1"/>
  <c r="P86" i="118"/>
  <c r="AB86" i="118"/>
  <c r="AC86" i="118" s="1"/>
  <c r="R86" i="118"/>
  <c r="T86" i="118" s="1"/>
  <c r="BG86" i="118"/>
  <c r="BH86" i="118" s="1"/>
  <c r="AV86" i="118"/>
  <c r="AW86" i="118" s="1"/>
  <c r="AY86" i="118"/>
  <c r="AE86" i="118"/>
  <c r="AF86" i="118" s="1"/>
  <c r="BD86" i="118"/>
  <c r="BE86" i="118" s="1"/>
  <c r="Y86" i="118"/>
  <c r="Z86" i="118" s="1"/>
  <c r="AQ86" i="118"/>
  <c r="AR86" i="118" s="1"/>
  <c r="AN86" i="118"/>
  <c r="AO86" i="118" s="1"/>
  <c r="O86" i="118"/>
  <c r="BA86" i="118"/>
  <c r="BB86" i="118" s="1"/>
  <c r="AK86" i="118"/>
  <c r="AL86" i="118" s="1"/>
  <c r="AH86" i="118"/>
  <c r="AI86" i="118" s="1"/>
  <c r="AK85" i="120"/>
  <c r="AL85" i="120" s="1"/>
  <c r="AV85" i="120"/>
  <c r="AW85" i="120" s="1"/>
  <c r="BG85" i="120"/>
  <c r="BH85" i="120" s="1"/>
  <c r="BD85" i="120"/>
  <c r="BE85" i="120" s="1"/>
  <c r="K86" i="120"/>
  <c r="V85" i="120"/>
  <c r="W85" i="120" s="1"/>
  <c r="AH85" i="120"/>
  <c r="AI85" i="120" s="1"/>
  <c r="AQ85" i="120"/>
  <c r="AR85" i="120" s="1"/>
  <c r="AN85" i="120"/>
  <c r="AO85" i="120" s="1"/>
  <c r="AT85" i="120"/>
  <c r="AY85" i="120"/>
  <c r="AB85" i="120"/>
  <c r="AC85" i="120" s="1"/>
  <c r="R85" i="120"/>
  <c r="T85" i="120" s="1"/>
  <c r="AE85" i="120"/>
  <c r="AF85" i="120" s="1"/>
  <c r="Y85" i="120"/>
  <c r="Z85" i="120" s="1"/>
  <c r="BA85" i="120"/>
  <c r="BB85" i="120" s="1"/>
  <c r="BQ85" i="120"/>
  <c r="BR85" i="120" s="1"/>
  <c r="O85" i="120"/>
  <c r="P85" i="120"/>
  <c r="M85" i="120"/>
  <c r="BN85" i="120"/>
  <c r="BO85" i="120" s="1"/>
  <c r="BL86" i="15"/>
  <c r="BN86" i="15"/>
  <c r="BO86" i="15" s="1"/>
  <c r="BG86" i="15"/>
  <c r="BH86" i="15" s="1"/>
  <c r="M86" i="15"/>
  <c r="V86" i="15"/>
  <c r="W86" i="15" s="1"/>
  <c r="BQ86" i="15"/>
  <c r="BR86" i="15" s="1"/>
  <c r="AQ86" i="15"/>
  <c r="AR86" i="15" s="1"/>
  <c r="AN86" i="15"/>
  <c r="AO86" i="15" s="1"/>
  <c r="P86" i="15"/>
  <c r="AH86" i="15"/>
  <c r="AI86" i="15" s="1"/>
  <c r="AE86" i="15"/>
  <c r="AF86" i="15" s="1"/>
  <c r="BA86" i="15"/>
  <c r="BB86" i="15" s="1"/>
  <c r="BD86" i="15"/>
  <c r="BE86" i="15" s="1"/>
  <c r="AV86" i="15"/>
  <c r="AW86" i="15" s="1"/>
  <c r="AB86" i="15"/>
  <c r="AC86" i="15" s="1"/>
  <c r="R86" i="15"/>
  <c r="T86" i="15" s="1"/>
  <c r="AK86" i="15"/>
  <c r="AL86" i="15" s="1"/>
  <c r="O86" i="15"/>
  <c r="AY86" i="15"/>
  <c r="AT86" i="15"/>
  <c r="Y86" i="15"/>
  <c r="Z86" i="15" s="1"/>
  <c r="K87" i="15"/>
  <c r="M87" i="63"/>
  <c r="BN87" i="63"/>
  <c r="BO87" i="63" s="1"/>
  <c r="AV87" i="63"/>
  <c r="AW87" i="63" s="1"/>
  <c r="AH87" i="63"/>
  <c r="AI87" i="63" s="1"/>
  <c r="AN87" i="63"/>
  <c r="AO87" i="63" s="1"/>
  <c r="BL87" i="63"/>
  <c r="R87" i="63"/>
  <c r="T87" i="63" s="1"/>
  <c r="O87" i="63"/>
  <c r="AT87" i="63"/>
  <c r="P87" i="63"/>
  <c r="V87" i="63"/>
  <c r="W87" i="63" s="1"/>
  <c r="BG87" i="63"/>
  <c r="BH87" i="63" s="1"/>
  <c r="AB87" i="63"/>
  <c r="AC87" i="63" s="1"/>
  <c r="BD87" i="63"/>
  <c r="BE87" i="63" s="1"/>
  <c r="AK87" i="63"/>
  <c r="AL87" i="63" s="1"/>
  <c r="AY87" i="63"/>
  <c r="AQ87" i="63"/>
  <c r="AR87" i="63" s="1"/>
  <c r="BQ87" i="63"/>
  <c r="BR87" i="63" s="1"/>
  <c r="Y87" i="63"/>
  <c r="Z87" i="63" s="1"/>
  <c r="AE87" i="63"/>
  <c r="AF87" i="63" s="1"/>
  <c r="BA87" i="63"/>
  <c r="BB87" i="63" s="1"/>
  <c r="K88" i="63"/>
  <c r="BN85" i="17"/>
  <c r="BO85" i="17" s="1"/>
  <c r="M85" i="17"/>
  <c r="BL85" i="17"/>
  <c r="AK85" i="17"/>
  <c r="AL85" i="17" s="1"/>
  <c r="Y85" i="17"/>
  <c r="Z85" i="17" s="1"/>
  <c r="O85" i="17"/>
  <c r="P85" i="17"/>
  <c r="AV85" i="17"/>
  <c r="AW85" i="17" s="1"/>
  <c r="AE85" i="17"/>
  <c r="AF85" i="17" s="1"/>
  <c r="AN85" i="17"/>
  <c r="AO85" i="17" s="1"/>
  <c r="BQ85" i="17"/>
  <c r="BR85" i="17" s="1"/>
  <c r="AY85" i="17"/>
  <c r="R85" i="17"/>
  <c r="T85" i="17" s="1"/>
  <c r="AT85" i="17"/>
  <c r="V85" i="17"/>
  <c r="W85" i="17" s="1"/>
  <c r="BG85" i="17"/>
  <c r="BH85" i="17" s="1"/>
  <c r="AB85" i="17"/>
  <c r="AC85" i="17" s="1"/>
  <c r="AH85" i="17"/>
  <c r="AI85" i="17" s="1"/>
  <c r="AQ85" i="17"/>
  <c r="AR85" i="17" s="1"/>
  <c r="BA85" i="17"/>
  <c r="BB85" i="17" s="1"/>
  <c r="BD85" i="17"/>
  <c r="BE85" i="17" s="1"/>
  <c r="I102" i="133"/>
  <c r="BK89" i="105"/>
  <c r="M89" i="105"/>
  <c r="BN89" i="105"/>
  <c r="BO89" i="105" s="1"/>
  <c r="BJ89" i="105"/>
  <c r="BL89" i="105" s="1"/>
  <c r="AY89" i="105"/>
  <c r="AK89" i="105"/>
  <c r="AL89" i="105" s="1"/>
  <c r="AN89" i="105"/>
  <c r="AO89" i="105" s="1"/>
  <c r="AV89" i="105"/>
  <c r="AW89" i="105" s="1"/>
  <c r="V89" i="105"/>
  <c r="W89" i="105" s="1"/>
  <c r="O89" i="105"/>
  <c r="BG89" i="105"/>
  <c r="BH89" i="105" s="1"/>
  <c r="P89" i="105"/>
  <c r="AB89" i="105"/>
  <c r="AC89" i="105" s="1"/>
  <c r="BA89" i="105"/>
  <c r="BB89" i="105" s="1"/>
  <c r="AH89" i="105"/>
  <c r="AI89" i="105" s="1"/>
  <c r="AT89" i="105"/>
  <c r="AQ89" i="105"/>
  <c r="AR89" i="105" s="1"/>
  <c r="Y89" i="105"/>
  <c r="Z89" i="105" s="1"/>
  <c r="BQ89" i="105"/>
  <c r="BR89" i="105" s="1"/>
  <c r="BD89" i="105"/>
  <c r="BE89" i="105" s="1"/>
  <c r="R89" i="105"/>
  <c r="T89" i="105" s="1"/>
  <c r="AE89" i="105"/>
  <c r="AF89" i="105" s="1"/>
  <c r="K90" i="105"/>
  <c r="I87" i="66"/>
  <c r="K86" i="66"/>
  <c r="M88" i="135"/>
  <c r="R88" i="135"/>
  <c r="T88" i="135" s="1"/>
  <c r="BG88" i="135"/>
  <c r="BH88" i="135" s="1"/>
  <c r="O88" i="135"/>
  <c r="AY88" i="135"/>
  <c r="BD88" i="135"/>
  <c r="BE88" i="135" s="1"/>
  <c r="V88" i="135"/>
  <c r="W88" i="135" s="1"/>
  <c r="AH88" i="135"/>
  <c r="AI88" i="135" s="1"/>
  <c r="AV88" i="135"/>
  <c r="AW88" i="135" s="1"/>
  <c r="BQ88" i="135"/>
  <c r="BR88" i="135" s="1"/>
  <c r="AB88" i="135"/>
  <c r="AC88" i="135" s="1"/>
  <c r="AK88" i="135"/>
  <c r="AL88" i="135" s="1"/>
  <c r="AQ88" i="135"/>
  <c r="AR88" i="135" s="1"/>
  <c r="AT88" i="135"/>
  <c r="BN88" i="135"/>
  <c r="BO88" i="135" s="1"/>
  <c r="Y88" i="135"/>
  <c r="Z88" i="135" s="1"/>
  <c r="BA88" i="135"/>
  <c r="BB88" i="135" s="1"/>
  <c r="P88" i="135"/>
  <c r="AE88" i="135"/>
  <c r="AF88" i="135" s="1"/>
  <c r="AN88" i="135"/>
  <c r="AO88" i="135" s="1"/>
  <c r="BL88" i="135"/>
  <c r="O89" i="99" l="1"/>
  <c r="AH89" i="99"/>
  <c r="AI89" i="99" s="1"/>
  <c r="BJ89" i="99"/>
  <c r="BL89" i="99" s="1"/>
  <c r="AY89" i="99"/>
  <c r="M89" i="99"/>
  <c r="AV89" i="99"/>
  <c r="AW89" i="99" s="1"/>
  <c r="V89" i="99"/>
  <c r="W89" i="99" s="1"/>
  <c r="BA89" i="99"/>
  <c r="BB89" i="99" s="1"/>
  <c r="BN89" i="99"/>
  <c r="BO89" i="99" s="1"/>
  <c r="AE89" i="99"/>
  <c r="AF89" i="99" s="1"/>
  <c r="AB89" i="99"/>
  <c r="AC89" i="99" s="1"/>
  <c r="AK89" i="99"/>
  <c r="AL89" i="99" s="1"/>
  <c r="K90" i="99"/>
  <c r="BG89" i="99"/>
  <c r="BH89" i="99" s="1"/>
  <c r="Y89" i="99"/>
  <c r="Z89" i="99" s="1"/>
  <c r="R89" i="99"/>
  <c r="T89" i="99" s="1"/>
  <c r="AN89" i="99"/>
  <c r="AO89" i="99" s="1"/>
  <c r="AT89" i="99"/>
  <c r="BK89" i="99"/>
  <c r="P89" i="99"/>
  <c r="BD89" i="99"/>
  <c r="BE89" i="99" s="1"/>
  <c r="BQ89" i="99"/>
  <c r="BR89" i="99" s="1"/>
  <c r="AQ89" i="99"/>
  <c r="AR89" i="99" s="1"/>
  <c r="AT89" i="132"/>
  <c r="BD89" i="132"/>
  <c r="BE89" i="132" s="1"/>
  <c r="P89" i="132"/>
  <c r="BN89" i="132"/>
  <c r="BO89" i="132" s="1"/>
  <c r="R89" i="132"/>
  <c r="T89" i="132" s="1"/>
  <c r="M89" i="132"/>
  <c r="BQ89" i="132"/>
  <c r="BR89" i="132" s="1"/>
  <c r="V89" i="132"/>
  <c r="W89" i="132" s="1"/>
  <c r="Y89" i="132"/>
  <c r="Z89" i="132" s="1"/>
  <c r="O89" i="132"/>
  <c r="AY89" i="132"/>
  <c r="AQ89" i="132"/>
  <c r="AR89" i="132" s="1"/>
  <c r="BL89" i="132"/>
  <c r="AK89" i="132"/>
  <c r="AL89" i="132" s="1"/>
  <c r="AN89" i="132"/>
  <c r="AO89" i="132" s="1"/>
  <c r="AE89" i="132"/>
  <c r="AF89" i="132" s="1"/>
  <c r="BG89" i="132"/>
  <c r="BH89" i="132" s="1"/>
  <c r="AH89" i="132"/>
  <c r="AI89" i="132" s="1"/>
  <c r="BA89" i="132"/>
  <c r="BB89" i="132" s="1"/>
  <c r="K90" i="132"/>
  <c r="AB89" i="132"/>
  <c r="AC89" i="132" s="1"/>
  <c r="AV89" i="132"/>
  <c r="AW89" i="132" s="1"/>
  <c r="M91" i="107"/>
  <c r="BQ91" i="107"/>
  <c r="BR91" i="107" s="1"/>
  <c r="P91" i="107"/>
  <c r="AH91" i="107"/>
  <c r="AI91" i="107" s="1"/>
  <c r="Y91" i="107"/>
  <c r="Z91" i="107" s="1"/>
  <c r="R91" i="107"/>
  <c r="T91" i="107" s="1"/>
  <c r="BN91" i="107"/>
  <c r="BO91" i="107" s="1"/>
  <c r="AK91" i="107"/>
  <c r="AL91" i="107" s="1"/>
  <c r="AV91" i="107"/>
  <c r="AW91" i="107" s="1"/>
  <c r="AB91" i="107"/>
  <c r="AC91" i="107" s="1"/>
  <c r="AY91" i="107"/>
  <c r="BG91" i="107"/>
  <c r="BH91" i="107" s="1"/>
  <c r="BJ91" i="107"/>
  <c r="BL91" i="107" s="1"/>
  <c r="BD91" i="107"/>
  <c r="BE91" i="107" s="1"/>
  <c r="BK91" i="107"/>
  <c r="AN91" i="107"/>
  <c r="AO91" i="107" s="1"/>
  <c r="BA91" i="107"/>
  <c r="BB91" i="107" s="1"/>
  <c r="O91" i="107"/>
  <c r="AQ91" i="107"/>
  <c r="AR91" i="107" s="1"/>
  <c r="AE91" i="107"/>
  <c r="AF91" i="107" s="1"/>
  <c r="V91" i="107"/>
  <c r="W91" i="107" s="1"/>
  <c r="AT91" i="107"/>
  <c r="I93" i="107"/>
  <c r="K92" i="107"/>
  <c r="BN86" i="95"/>
  <c r="BO86" i="95" s="1"/>
  <c r="BA86" i="95"/>
  <c r="BB86" i="95" s="1"/>
  <c r="AN86" i="95"/>
  <c r="AO86" i="95" s="1"/>
  <c r="K87" i="95"/>
  <c r="V86" i="95"/>
  <c r="W86" i="95" s="1"/>
  <c r="AQ86" i="95"/>
  <c r="AR86" i="95" s="1"/>
  <c r="AT86" i="95"/>
  <c r="AV86" i="95"/>
  <c r="AW86" i="95" s="1"/>
  <c r="AE86" i="95"/>
  <c r="AF86" i="95" s="1"/>
  <c r="AB86" i="95"/>
  <c r="AC86" i="95" s="1"/>
  <c r="BG86" i="95"/>
  <c r="BH86" i="95" s="1"/>
  <c r="BL86" i="95"/>
  <c r="R86" i="95"/>
  <c r="T86" i="95" s="1"/>
  <c r="Y86" i="95"/>
  <c r="Z86" i="95" s="1"/>
  <c r="BD86" i="95"/>
  <c r="BE86" i="95" s="1"/>
  <c r="AK86" i="95"/>
  <c r="AL86" i="95" s="1"/>
  <c r="P86" i="95"/>
  <c r="M86" i="95"/>
  <c r="AH86" i="95"/>
  <c r="AI86" i="95" s="1"/>
  <c r="O86" i="95"/>
  <c r="BQ86" i="95"/>
  <c r="BR86" i="95" s="1"/>
  <c r="AH90" i="133"/>
  <c r="AI90" i="133" s="1"/>
  <c r="Y90" i="133"/>
  <c r="Z90" i="133" s="1"/>
  <c r="BG90" i="133"/>
  <c r="BH90" i="133" s="1"/>
  <c r="K91" i="133"/>
  <c r="P90" i="133"/>
  <c r="AY90" i="133"/>
  <c r="AN90" i="133"/>
  <c r="AO90" i="133" s="1"/>
  <c r="V90" i="133"/>
  <c r="W90" i="133" s="1"/>
  <c r="BQ90" i="133"/>
  <c r="BR90" i="133" s="1"/>
  <c r="BD90" i="133"/>
  <c r="BE90" i="133" s="1"/>
  <c r="BL90" i="133"/>
  <c r="R90" i="133"/>
  <c r="T90" i="133" s="1"/>
  <c r="AE90" i="133"/>
  <c r="AF90" i="133" s="1"/>
  <c r="BA90" i="133"/>
  <c r="BB90" i="133" s="1"/>
  <c r="M90" i="133"/>
  <c r="AV90" i="133"/>
  <c r="AW90" i="133" s="1"/>
  <c r="AT90" i="133"/>
  <c r="AB90" i="133"/>
  <c r="AC90" i="133" s="1"/>
  <c r="BN90" i="133"/>
  <c r="BO90" i="133" s="1"/>
  <c r="O90" i="133"/>
  <c r="AK90" i="133"/>
  <c r="AL90" i="133" s="1"/>
  <c r="AQ90" i="133"/>
  <c r="AR90" i="133" s="1"/>
  <c r="P92" i="156"/>
  <c r="AK92" i="156"/>
  <c r="AL92" i="156" s="1"/>
  <c r="O92" i="156"/>
  <c r="BA92" i="156"/>
  <c r="BB92" i="156" s="1"/>
  <c r="AV92" i="156"/>
  <c r="AW92" i="156" s="1"/>
  <c r="AQ92" i="156"/>
  <c r="AR92" i="156" s="1"/>
  <c r="AN92" i="156"/>
  <c r="AO92" i="156" s="1"/>
  <c r="BL92" i="156"/>
  <c r="BN92" i="156"/>
  <c r="BO92" i="156" s="1"/>
  <c r="BD92" i="156"/>
  <c r="BE92" i="156" s="1"/>
  <c r="AH92" i="156"/>
  <c r="AI92" i="156" s="1"/>
  <c r="R92" i="156"/>
  <c r="T92" i="156" s="1"/>
  <c r="M92" i="156"/>
  <c r="BG92" i="156"/>
  <c r="BH92" i="156" s="1"/>
  <c r="Y92" i="156"/>
  <c r="Z92" i="156" s="1"/>
  <c r="V92" i="156"/>
  <c r="W92" i="156" s="1"/>
  <c r="AE92" i="156"/>
  <c r="AF92" i="156" s="1"/>
  <c r="BQ92" i="156"/>
  <c r="BR92" i="156" s="1"/>
  <c r="AB92" i="156"/>
  <c r="AC92" i="156" s="1"/>
  <c r="AK88" i="129"/>
  <c r="AL88" i="129" s="1"/>
  <c r="AB88" i="129"/>
  <c r="AC88" i="129" s="1"/>
  <c r="AY88" i="129"/>
  <c r="BL88" i="129"/>
  <c r="AN88" i="129"/>
  <c r="AO88" i="129" s="1"/>
  <c r="AQ88" i="129"/>
  <c r="AR88" i="129" s="1"/>
  <c r="AV88" i="129"/>
  <c r="AW88" i="129" s="1"/>
  <c r="R88" i="129"/>
  <c r="T88" i="129" s="1"/>
  <c r="M88" i="129"/>
  <c r="AE88" i="129"/>
  <c r="AF88" i="129" s="1"/>
  <c r="O88" i="129"/>
  <c r="BG88" i="129"/>
  <c r="BH88" i="129" s="1"/>
  <c r="AH88" i="129"/>
  <c r="AI88" i="129" s="1"/>
  <c r="Y88" i="129"/>
  <c r="Z88" i="129" s="1"/>
  <c r="BN88" i="129"/>
  <c r="BO88" i="129" s="1"/>
  <c r="P88" i="129"/>
  <c r="BD88" i="129"/>
  <c r="BE88" i="129" s="1"/>
  <c r="BQ88" i="129"/>
  <c r="BR88" i="129" s="1"/>
  <c r="K89" i="129"/>
  <c r="V88" i="129"/>
  <c r="W88" i="129" s="1"/>
  <c r="AT88" i="129"/>
  <c r="BA88" i="129"/>
  <c r="BB88" i="129" s="1"/>
  <c r="I94" i="156"/>
  <c r="K93" i="156"/>
  <c r="AY93" i="156" s="1"/>
  <c r="I94" i="106"/>
  <c r="BN87" i="106"/>
  <c r="BO87" i="106" s="1"/>
  <c r="AN87" i="106"/>
  <c r="AO87" i="106" s="1"/>
  <c r="AK87" i="106"/>
  <c r="AL87" i="106" s="1"/>
  <c r="BQ87" i="106"/>
  <c r="BR87" i="106" s="1"/>
  <c r="AT87" i="106"/>
  <c r="BG87" i="106"/>
  <c r="BH87" i="106" s="1"/>
  <c r="P87" i="106"/>
  <c r="AY87" i="106"/>
  <c r="AV87" i="106"/>
  <c r="AW87" i="106" s="1"/>
  <c r="AE87" i="106"/>
  <c r="AF87" i="106" s="1"/>
  <c r="M87" i="106"/>
  <c r="BA87" i="106"/>
  <c r="BB87" i="106" s="1"/>
  <c r="Y87" i="106"/>
  <c r="Z87" i="106" s="1"/>
  <c r="R87" i="106"/>
  <c r="T87" i="106" s="1"/>
  <c r="BJ87" i="106"/>
  <c r="BL87" i="106" s="1"/>
  <c r="AB87" i="106"/>
  <c r="AC87" i="106" s="1"/>
  <c r="BD87" i="106"/>
  <c r="BE87" i="106" s="1"/>
  <c r="AQ87" i="106"/>
  <c r="AR87" i="106" s="1"/>
  <c r="BK87" i="106"/>
  <c r="O87" i="106"/>
  <c r="AH87" i="106"/>
  <c r="AI87" i="106" s="1"/>
  <c r="V87" i="106"/>
  <c r="W87" i="106" s="1"/>
  <c r="K88" i="106"/>
  <c r="K88" i="112"/>
  <c r="P87" i="112"/>
  <c r="BA87" i="112"/>
  <c r="BB87" i="112" s="1"/>
  <c r="AK87" i="112"/>
  <c r="AL87" i="112" s="1"/>
  <c r="BK87" i="112"/>
  <c r="AE87" i="112"/>
  <c r="AF87" i="112" s="1"/>
  <c r="BG87" i="112"/>
  <c r="BH87" i="112" s="1"/>
  <c r="R87" i="112"/>
  <c r="T87" i="112" s="1"/>
  <c r="BJ87" i="112"/>
  <c r="BL87" i="112" s="1"/>
  <c r="AN87" i="112"/>
  <c r="AO87" i="112" s="1"/>
  <c r="AV87" i="112"/>
  <c r="AW87" i="112" s="1"/>
  <c r="AY87" i="112"/>
  <c r="Y87" i="112"/>
  <c r="Z87" i="112" s="1"/>
  <c r="BQ87" i="112"/>
  <c r="BR87" i="112" s="1"/>
  <c r="AQ87" i="112"/>
  <c r="AR87" i="112" s="1"/>
  <c r="M87" i="112"/>
  <c r="AH87" i="112"/>
  <c r="AI87" i="112" s="1"/>
  <c r="O87" i="112"/>
  <c r="BD87" i="112"/>
  <c r="BE87" i="112" s="1"/>
  <c r="BN87" i="112"/>
  <c r="BO87" i="112" s="1"/>
  <c r="V87" i="112"/>
  <c r="W87" i="112" s="1"/>
  <c r="AT87" i="112"/>
  <c r="AB87" i="112"/>
  <c r="AC87" i="112" s="1"/>
  <c r="R87" i="104"/>
  <c r="T87" i="104" s="1"/>
  <c r="AE87" i="104"/>
  <c r="AF87" i="104" s="1"/>
  <c r="BQ87" i="104"/>
  <c r="BR87" i="104" s="1"/>
  <c r="BJ87" i="104"/>
  <c r="BL87" i="104" s="1"/>
  <c r="BD87" i="104"/>
  <c r="BE87" i="104" s="1"/>
  <c r="P87" i="104"/>
  <c r="AQ87" i="104"/>
  <c r="AR87" i="104" s="1"/>
  <c r="BA87" i="104"/>
  <c r="BB87" i="104" s="1"/>
  <c r="BG87" i="104"/>
  <c r="BH87" i="104" s="1"/>
  <c r="M87" i="104"/>
  <c r="Y87" i="104"/>
  <c r="Z87" i="104" s="1"/>
  <c r="V87" i="104"/>
  <c r="W87" i="104" s="1"/>
  <c r="AT87" i="104"/>
  <c r="BK87" i="104"/>
  <c r="AK87" i="104"/>
  <c r="AL87" i="104" s="1"/>
  <c r="AH87" i="104"/>
  <c r="AI87" i="104" s="1"/>
  <c r="AV87" i="104"/>
  <c r="AW87" i="104" s="1"/>
  <c r="K88" i="104"/>
  <c r="AB87" i="104"/>
  <c r="AC87" i="104" s="1"/>
  <c r="BN87" i="104"/>
  <c r="BO87" i="104" s="1"/>
  <c r="O87" i="104"/>
  <c r="AN87" i="104"/>
  <c r="AO87" i="104" s="1"/>
  <c r="AY87" i="104"/>
  <c r="M88" i="130"/>
  <c r="BN88" i="130"/>
  <c r="BO88" i="130" s="1"/>
  <c r="K89" i="130"/>
  <c r="BL88" i="130"/>
  <c r="AK88" i="130"/>
  <c r="AL88" i="130" s="1"/>
  <c r="AE88" i="130"/>
  <c r="AF88" i="130" s="1"/>
  <c r="P88" i="130"/>
  <c r="Y88" i="130"/>
  <c r="Z88" i="130" s="1"/>
  <c r="AY88" i="130"/>
  <c r="BG88" i="130"/>
  <c r="BH88" i="130" s="1"/>
  <c r="AB88" i="130"/>
  <c r="AC88" i="130" s="1"/>
  <c r="AQ88" i="130"/>
  <c r="AR88" i="130" s="1"/>
  <c r="BA88" i="130"/>
  <c r="BB88" i="130" s="1"/>
  <c r="V88" i="130"/>
  <c r="W88" i="130" s="1"/>
  <c r="AT88" i="130"/>
  <c r="BD88" i="130"/>
  <c r="BE88" i="130" s="1"/>
  <c r="BQ88" i="130"/>
  <c r="BR88" i="130" s="1"/>
  <c r="AV88" i="130"/>
  <c r="AW88" i="130" s="1"/>
  <c r="AH88" i="130"/>
  <c r="AI88" i="130" s="1"/>
  <c r="R88" i="130"/>
  <c r="T88" i="130" s="1"/>
  <c r="O88" i="130"/>
  <c r="AN88" i="130"/>
  <c r="AO88" i="130" s="1"/>
  <c r="K94" i="155"/>
  <c r="I95" i="155"/>
  <c r="R93" i="155"/>
  <c r="T93" i="155" s="1"/>
  <c r="Y93" i="155"/>
  <c r="Z93" i="155" s="1"/>
  <c r="AE93" i="155"/>
  <c r="AF93" i="155" s="1"/>
  <c r="AK93" i="155"/>
  <c r="AL93" i="155" s="1"/>
  <c r="AQ93" i="155"/>
  <c r="AR93" i="155" s="1"/>
  <c r="BD93" i="155"/>
  <c r="BE93" i="155" s="1"/>
  <c r="M93" i="155"/>
  <c r="BQ93" i="155"/>
  <c r="BR93" i="155" s="1"/>
  <c r="O93" i="155"/>
  <c r="V93" i="155"/>
  <c r="W93" i="155" s="1"/>
  <c r="AB93" i="155"/>
  <c r="AC93" i="155" s="1"/>
  <c r="AH93" i="155"/>
  <c r="AI93" i="155" s="1"/>
  <c r="AN93" i="155"/>
  <c r="AO93" i="155" s="1"/>
  <c r="BA93" i="155"/>
  <c r="BB93" i="155" s="1"/>
  <c r="BG93" i="155"/>
  <c r="BH93" i="155" s="1"/>
  <c r="P93" i="155"/>
  <c r="AV93" i="155"/>
  <c r="AW93" i="155" s="1"/>
  <c r="BN93" i="155"/>
  <c r="BO93" i="155" s="1"/>
  <c r="BL93" i="155"/>
  <c r="R93" i="153"/>
  <c r="T93" i="153" s="1"/>
  <c r="Y93" i="153"/>
  <c r="Z93" i="153" s="1"/>
  <c r="AE93" i="153"/>
  <c r="AF93" i="153" s="1"/>
  <c r="AK93" i="153"/>
  <c r="AL93" i="153" s="1"/>
  <c r="AQ93" i="153"/>
  <c r="AR93" i="153" s="1"/>
  <c r="BD93" i="153"/>
  <c r="BE93" i="153" s="1"/>
  <c r="M93" i="153"/>
  <c r="BQ93" i="153"/>
  <c r="BR93" i="153" s="1"/>
  <c r="O93" i="153"/>
  <c r="V93" i="153"/>
  <c r="W93" i="153" s="1"/>
  <c r="AB93" i="153"/>
  <c r="AC93" i="153" s="1"/>
  <c r="AH93" i="153"/>
  <c r="AI93" i="153" s="1"/>
  <c r="AN93" i="153"/>
  <c r="AO93" i="153" s="1"/>
  <c r="BA93" i="153"/>
  <c r="BB93" i="153" s="1"/>
  <c r="BG93" i="153"/>
  <c r="BH93" i="153" s="1"/>
  <c r="P93" i="153"/>
  <c r="AV93" i="153"/>
  <c r="AW93" i="153" s="1"/>
  <c r="BN93" i="153"/>
  <c r="BO93" i="153" s="1"/>
  <c r="BL93" i="153"/>
  <c r="K94" i="153"/>
  <c r="I98" i="153"/>
  <c r="M93" i="152"/>
  <c r="BQ93" i="152"/>
  <c r="BR93" i="152" s="1"/>
  <c r="O93" i="152"/>
  <c r="V93" i="152"/>
  <c r="W93" i="152" s="1"/>
  <c r="AB93" i="152"/>
  <c r="AC93" i="152" s="1"/>
  <c r="AH93" i="152"/>
  <c r="AI93" i="152" s="1"/>
  <c r="AN93" i="152"/>
  <c r="AO93" i="152" s="1"/>
  <c r="BA93" i="152"/>
  <c r="BB93" i="152" s="1"/>
  <c r="BG93" i="152"/>
  <c r="BH93" i="152" s="1"/>
  <c r="P93" i="152"/>
  <c r="AV93" i="152"/>
  <c r="AW93" i="152" s="1"/>
  <c r="BN93" i="152"/>
  <c r="BO93" i="152" s="1"/>
  <c r="R93" i="152"/>
  <c r="T93" i="152" s="1"/>
  <c r="Y93" i="152"/>
  <c r="Z93" i="152" s="1"/>
  <c r="AE93" i="152"/>
  <c r="AF93" i="152" s="1"/>
  <c r="AK93" i="152"/>
  <c r="AL93" i="152" s="1"/>
  <c r="AQ93" i="152"/>
  <c r="AR93" i="152" s="1"/>
  <c r="BD93" i="152"/>
  <c r="BE93" i="152" s="1"/>
  <c r="BL93" i="152"/>
  <c r="K94" i="152"/>
  <c r="I102" i="152"/>
  <c r="BQ91" i="151"/>
  <c r="BR91" i="151" s="1"/>
  <c r="AY91" i="151"/>
  <c r="BD91" i="151"/>
  <c r="BE91" i="151" s="1"/>
  <c r="AQ91" i="151"/>
  <c r="AR91" i="151" s="1"/>
  <c r="AK91" i="151"/>
  <c r="AL91" i="151" s="1"/>
  <c r="AE91" i="151"/>
  <c r="AF91" i="151" s="1"/>
  <c r="Y91" i="151"/>
  <c r="Z91" i="151" s="1"/>
  <c r="R91" i="151"/>
  <c r="T91" i="151" s="1"/>
  <c r="AV91" i="151"/>
  <c r="AW91" i="151" s="1"/>
  <c r="P91" i="151"/>
  <c r="BG91" i="151"/>
  <c r="BH91" i="151" s="1"/>
  <c r="AH91" i="151"/>
  <c r="AI91" i="151" s="1"/>
  <c r="AT91" i="151"/>
  <c r="V91" i="151"/>
  <c r="W91" i="151" s="1"/>
  <c r="O91" i="151"/>
  <c r="BA91" i="151"/>
  <c r="BB91" i="151" s="1"/>
  <c r="AN91" i="151"/>
  <c r="AO91" i="151" s="1"/>
  <c r="AB91" i="151"/>
  <c r="AC91" i="151" s="1"/>
  <c r="BN91" i="151"/>
  <c r="BO91" i="151" s="1"/>
  <c r="M91" i="151"/>
  <c r="BL91" i="151"/>
  <c r="K92" i="151"/>
  <c r="I93" i="151"/>
  <c r="I94" i="150"/>
  <c r="BD90" i="150"/>
  <c r="BE90" i="150" s="1"/>
  <c r="AQ90" i="150"/>
  <c r="AR90" i="150" s="1"/>
  <c r="AK90" i="150"/>
  <c r="AL90" i="150" s="1"/>
  <c r="AE90" i="150"/>
  <c r="AF90" i="150" s="1"/>
  <c r="Y90" i="150"/>
  <c r="Z90" i="150" s="1"/>
  <c r="R90" i="150"/>
  <c r="T90" i="150" s="1"/>
  <c r="AV90" i="150"/>
  <c r="AW90" i="150" s="1"/>
  <c r="P90" i="150"/>
  <c r="BG90" i="150"/>
  <c r="BH90" i="150" s="1"/>
  <c r="BA90" i="150"/>
  <c r="BB90" i="150" s="1"/>
  <c r="AT90" i="150"/>
  <c r="AN90" i="150"/>
  <c r="AO90" i="150" s="1"/>
  <c r="AH90" i="150"/>
  <c r="AI90" i="150" s="1"/>
  <c r="AB90" i="150"/>
  <c r="AC90" i="150" s="1"/>
  <c r="V90" i="150"/>
  <c r="W90" i="150" s="1"/>
  <c r="O90" i="150"/>
  <c r="BQ90" i="150"/>
  <c r="BR90" i="150" s="1"/>
  <c r="AY90" i="150"/>
  <c r="BN90" i="150"/>
  <c r="BO90" i="150" s="1"/>
  <c r="M90" i="150"/>
  <c r="BL90" i="150"/>
  <c r="K91" i="150"/>
  <c r="K93" i="149"/>
  <c r="AT93" i="149" s="1"/>
  <c r="I94" i="149"/>
  <c r="BG92" i="149"/>
  <c r="BH92" i="149" s="1"/>
  <c r="BA92" i="149"/>
  <c r="BB92" i="149" s="1"/>
  <c r="AN92" i="149"/>
  <c r="AO92" i="149" s="1"/>
  <c r="AH92" i="149"/>
  <c r="AI92" i="149" s="1"/>
  <c r="AB92" i="149"/>
  <c r="AC92" i="149" s="1"/>
  <c r="V92" i="149"/>
  <c r="W92" i="149" s="1"/>
  <c r="O92" i="149"/>
  <c r="BD92" i="149"/>
  <c r="BE92" i="149" s="1"/>
  <c r="AQ92" i="149"/>
  <c r="AR92" i="149" s="1"/>
  <c r="AK92" i="149"/>
  <c r="AL92" i="149" s="1"/>
  <c r="AE92" i="149"/>
  <c r="AF92" i="149" s="1"/>
  <c r="Y92" i="149"/>
  <c r="Z92" i="149" s="1"/>
  <c r="R92" i="149"/>
  <c r="T92" i="149" s="1"/>
  <c r="BQ92" i="149"/>
  <c r="BR92" i="149" s="1"/>
  <c r="P92" i="149"/>
  <c r="AY92" i="149"/>
  <c r="AV92" i="149"/>
  <c r="AW92" i="149" s="1"/>
  <c r="BN92" i="149"/>
  <c r="BO92" i="149" s="1"/>
  <c r="M92" i="149"/>
  <c r="BL92" i="149"/>
  <c r="BD91" i="147"/>
  <c r="BE91" i="147" s="1"/>
  <c r="AQ91" i="147"/>
  <c r="AR91" i="147" s="1"/>
  <c r="AK91" i="147"/>
  <c r="AL91" i="147" s="1"/>
  <c r="AE91" i="147"/>
  <c r="AF91" i="147" s="1"/>
  <c r="Y91" i="147"/>
  <c r="Z91" i="147" s="1"/>
  <c r="R91" i="147"/>
  <c r="T91" i="147" s="1"/>
  <c r="AV91" i="147"/>
  <c r="AW91" i="147" s="1"/>
  <c r="P91" i="147"/>
  <c r="BQ91" i="147"/>
  <c r="BR91" i="147" s="1"/>
  <c r="BA91" i="147"/>
  <c r="BB91" i="147" s="1"/>
  <c r="AN91" i="147"/>
  <c r="AO91" i="147" s="1"/>
  <c r="AB91" i="147"/>
  <c r="AC91" i="147" s="1"/>
  <c r="O91" i="147"/>
  <c r="BG91" i="147"/>
  <c r="BH91" i="147" s="1"/>
  <c r="AH91" i="147"/>
  <c r="AI91" i="147" s="1"/>
  <c r="AY91" i="147"/>
  <c r="V91" i="147"/>
  <c r="W91" i="147" s="1"/>
  <c r="AT91" i="147"/>
  <c r="M91" i="147"/>
  <c r="BJ91" i="147"/>
  <c r="BL91" i="147" s="1"/>
  <c r="BK91" i="147"/>
  <c r="BN91" i="147"/>
  <c r="BO91" i="147" s="1"/>
  <c r="I93" i="147"/>
  <c r="K92" i="147"/>
  <c r="I92" i="146"/>
  <c r="K91" i="146"/>
  <c r="BG90" i="146"/>
  <c r="BH90" i="146" s="1"/>
  <c r="BA90" i="146"/>
  <c r="BB90" i="146" s="1"/>
  <c r="AT90" i="146"/>
  <c r="AN90" i="146"/>
  <c r="AO90" i="146" s="1"/>
  <c r="AH90" i="146"/>
  <c r="AI90" i="146" s="1"/>
  <c r="AB90" i="146"/>
  <c r="AC90" i="146" s="1"/>
  <c r="V90" i="146"/>
  <c r="W90" i="146" s="1"/>
  <c r="O90" i="146"/>
  <c r="BQ90" i="146"/>
  <c r="BR90" i="146" s="1"/>
  <c r="AY90" i="146"/>
  <c r="BD90" i="146"/>
  <c r="BE90" i="146" s="1"/>
  <c r="AQ90" i="146"/>
  <c r="AR90" i="146" s="1"/>
  <c r="AK90" i="146"/>
  <c r="AL90" i="146" s="1"/>
  <c r="AE90" i="146"/>
  <c r="AF90" i="146" s="1"/>
  <c r="Y90" i="146"/>
  <c r="Z90" i="146" s="1"/>
  <c r="R90" i="146"/>
  <c r="T90" i="146" s="1"/>
  <c r="AV90" i="146"/>
  <c r="AW90" i="146" s="1"/>
  <c r="P90" i="146"/>
  <c r="BK90" i="146"/>
  <c r="M90" i="146"/>
  <c r="BJ90" i="146"/>
  <c r="BL90" i="146" s="1"/>
  <c r="BN90" i="146"/>
  <c r="BO90" i="146" s="1"/>
  <c r="BN87" i="15"/>
  <c r="BO87" i="15" s="1"/>
  <c r="P87" i="15"/>
  <c r="AN87" i="15"/>
  <c r="AO87" i="15" s="1"/>
  <c r="AQ87" i="15"/>
  <c r="AR87" i="15" s="1"/>
  <c r="AY87" i="15"/>
  <c r="BD87" i="15"/>
  <c r="BE87" i="15" s="1"/>
  <c r="R87" i="15"/>
  <c r="T87" i="15" s="1"/>
  <c r="BG87" i="15"/>
  <c r="BH87" i="15" s="1"/>
  <c r="BA87" i="15"/>
  <c r="BB87" i="15" s="1"/>
  <c r="O87" i="15"/>
  <c r="BQ87" i="15"/>
  <c r="BR87" i="15" s="1"/>
  <c r="AV87" i="15"/>
  <c r="AW87" i="15" s="1"/>
  <c r="AE87" i="15"/>
  <c r="AF87" i="15" s="1"/>
  <c r="AK87" i="15"/>
  <c r="AL87" i="15" s="1"/>
  <c r="AT87" i="15"/>
  <c r="BL87" i="15"/>
  <c r="M87" i="15"/>
  <c r="AH87" i="15"/>
  <c r="AI87" i="15" s="1"/>
  <c r="AB87" i="15"/>
  <c r="AC87" i="15" s="1"/>
  <c r="Y87" i="15"/>
  <c r="Z87" i="15" s="1"/>
  <c r="V87" i="15"/>
  <c r="W87" i="15" s="1"/>
  <c r="K88" i="15"/>
  <c r="Y86" i="120"/>
  <c r="Z86" i="120" s="1"/>
  <c r="AQ86" i="120"/>
  <c r="AR86" i="120" s="1"/>
  <c r="AN86" i="120"/>
  <c r="AO86" i="120" s="1"/>
  <c r="BQ86" i="120"/>
  <c r="BR86" i="120" s="1"/>
  <c r="AB86" i="120"/>
  <c r="AC86" i="120" s="1"/>
  <c r="K87" i="120"/>
  <c r="M86" i="120"/>
  <c r="R86" i="120"/>
  <c r="T86" i="120" s="1"/>
  <c r="AV86" i="120"/>
  <c r="AW86" i="120" s="1"/>
  <c r="BD86" i="120"/>
  <c r="BE86" i="120" s="1"/>
  <c r="AE86" i="120"/>
  <c r="AF86" i="120" s="1"/>
  <c r="AH86" i="120"/>
  <c r="AI86" i="120" s="1"/>
  <c r="BA86" i="120"/>
  <c r="BB86" i="120" s="1"/>
  <c r="P86" i="120"/>
  <c r="AK86" i="120"/>
  <c r="AL86" i="120" s="1"/>
  <c r="BG86" i="120"/>
  <c r="BH86" i="120" s="1"/>
  <c r="O86" i="120"/>
  <c r="V86" i="120"/>
  <c r="W86" i="120" s="1"/>
  <c r="AY86" i="120"/>
  <c r="AT86" i="120"/>
  <c r="BN86" i="120"/>
  <c r="BO86" i="120" s="1"/>
  <c r="K88" i="118"/>
  <c r="M87" i="118"/>
  <c r="BN87" i="118"/>
  <c r="BO87" i="118" s="1"/>
  <c r="AQ87" i="118"/>
  <c r="AR87" i="118" s="1"/>
  <c r="AN87" i="118"/>
  <c r="AO87" i="118" s="1"/>
  <c r="Y87" i="118"/>
  <c r="Z87" i="118" s="1"/>
  <c r="BG87" i="118"/>
  <c r="BH87" i="118" s="1"/>
  <c r="AB87" i="118"/>
  <c r="AC87" i="118" s="1"/>
  <c r="AE87" i="118"/>
  <c r="AF87" i="118" s="1"/>
  <c r="BD87" i="118"/>
  <c r="BE87" i="118" s="1"/>
  <c r="AK87" i="118"/>
  <c r="AL87" i="118" s="1"/>
  <c r="P87" i="118"/>
  <c r="O87" i="118"/>
  <c r="AT87" i="118"/>
  <c r="BA87" i="118"/>
  <c r="BB87" i="118" s="1"/>
  <c r="AY87" i="118"/>
  <c r="AV87" i="118"/>
  <c r="AW87" i="118" s="1"/>
  <c r="AH87" i="118"/>
  <c r="AI87" i="118" s="1"/>
  <c r="R87" i="118"/>
  <c r="T87" i="118" s="1"/>
  <c r="BQ87" i="118"/>
  <c r="BR87" i="118" s="1"/>
  <c r="V87" i="118"/>
  <c r="W87" i="118" s="1"/>
  <c r="BN92" i="124"/>
  <c r="BO92" i="124" s="1"/>
  <c r="BJ92" i="124"/>
  <c r="BL92" i="124" s="1"/>
  <c r="BK92" i="124"/>
  <c r="K93" i="124"/>
  <c r="M92" i="124"/>
  <c r="AB92" i="124"/>
  <c r="AC92" i="124" s="1"/>
  <c r="Y92" i="124"/>
  <c r="Z92" i="124" s="1"/>
  <c r="AQ92" i="124"/>
  <c r="AR92" i="124" s="1"/>
  <c r="AY92" i="124"/>
  <c r="P92" i="124"/>
  <c r="BG92" i="124"/>
  <c r="BH92" i="124" s="1"/>
  <c r="AE92" i="124"/>
  <c r="AF92" i="124" s="1"/>
  <c r="AK92" i="124"/>
  <c r="AL92" i="124" s="1"/>
  <c r="BQ92" i="124"/>
  <c r="BR92" i="124" s="1"/>
  <c r="BA92" i="124"/>
  <c r="BB92" i="124" s="1"/>
  <c r="AV92" i="124"/>
  <c r="AW92" i="124" s="1"/>
  <c r="R92" i="124"/>
  <c r="T92" i="124" s="1"/>
  <c r="AN92" i="124"/>
  <c r="AO92" i="124" s="1"/>
  <c r="O92" i="124"/>
  <c r="BD92" i="124"/>
  <c r="BE92" i="124" s="1"/>
  <c r="V92" i="124"/>
  <c r="W92" i="124" s="1"/>
  <c r="AT92" i="124"/>
  <c r="AH92" i="124"/>
  <c r="AI92" i="124" s="1"/>
  <c r="K89" i="96"/>
  <c r="I90" i="96"/>
  <c r="K87" i="13"/>
  <c r="I88" i="13"/>
  <c r="I94" i="114"/>
  <c r="I88" i="66"/>
  <c r="K87" i="66"/>
  <c r="I94" i="136"/>
  <c r="BJ88" i="110"/>
  <c r="BL88" i="110" s="1"/>
  <c r="M88" i="110"/>
  <c r="BK88" i="110"/>
  <c r="BN88" i="110"/>
  <c r="BO88" i="110" s="1"/>
  <c r="V88" i="110"/>
  <c r="W88" i="110" s="1"/>
  <c r="AK88" i="110"/>
  <c r="AL88" i="110" s="1"/>
  <c r="AV88" i="110"/>
  <c r="AW88" i="110" s="1"/>
  <c r="AT88" i="110"/>
  <c r="AY88" i="110"/>
  <c r="BA88" i="110"/>
  <c r="BB88" i="110" s="1"/>
  <c r="Y88" i="110"/>
  <c r="Z88" i="110" s="1"/>
  <c r="R88" i="110"/>
  <c r="T88" i="110" s="1"/>
  <c r="AQ88" i="110"/>
  <c r="AR88" i="110" s="1"/>
  <c r="AB88" i="110"/>
  <c r="AC88" i="110" s="1"/>
  <c r="BG88" i="110"/>
  <c r="BH88" i="110" s="1"/>
  <c r="AE88" i="110"/>
  <c r="AF88" i="110" s="1"/>
  <c r="O88" i="110"/>
  <c r="P88" i="110"/>
  <c r="AN88" i="110"/>
  <c r="AO88" i="110" s="1"/>
  <c r="BQ88" i="110"/>
  <c r="BR88" i="110" s="1"/>
  <c r="BD88" i="110"/>
  <c r="BE88" i="110" s="1"/>
  <c r="AH88" i="110"/>
  <c r="AI88" i="110" s="1"/>
  <c r="M87" i="101"/>
  <c r="Y87" i="101"/>
  <c r="Z87" i="101" s="1"/>
  <c r="BA87" i="101"/>
  <c r="BB87" i="101" s="1"/>
  <c r="V87" i="101"/>
  <c r="W87" i="101" s="1"/>
  <c r="AB87" i="101"/>
  <c r="AC87" i="101" s="1"/>
  <c r="AY87" i="101"/>
  <c r="AT87" i="101"/>
  <c r="AK87" i="101"/>
  <c r="AL87" i="101" s="1"/>
  <c r="P87" i="101"/>
  <c r="AH87" i="101"/>
  <c r="AI87" i="101" s="1"/>
  <c r="R87" i="101"/>
  <c r="T87" i="101" s="1"/>
  <c r="BD87" i="101"/>
  <c r="BE87" i="101" s="1"/>
  <c r="O87" i="101"/>
  <c r="BQ87" i="101"/>
  <c r="BR87" i="101" s="1"/>
  <c r="AV87" i="101"/>
  <c r="AW87" i="101" s="1"/>
  <c r="AE87" i="101"/>
  <c r="AF87" i="101" s="1"/>
  <c r="AN87" i="101"/>
  <c r="AO87" i="101" s="1"/>
  <c r="BG87" i="101"/>
  <c r="BH87" i="101" s="1"/>
  <c r="AQ87" i="101"/>
  <c r="AR87" i="101" s="1"/>
  <c r="BN88" i="114"/>
  <c r="BO88" i="114" s="1"/>
  <c r="BK88" i="114"/>
  <c r="M88" i="114"/>
  <c r="BJ88" i="114"/>
  <c r="BL88" i="114" s="1"/>
  <c r="V88" i="114"/>
  <c r="W88" i="114" s="1"/>
  <c r="AK88" i="114"/>
  <c r="AL88" i="114" s="1"/>
  <c r="AV88" i="114"/>
  <c r="AW88" i="114" s="1"/>
  <c r="AH88" i="114"/>
  <c r="AI88" i="114" s="1"/>
  <c r="R88" i="114"/>
  <c r="T88" i="114" s="1"/>
  <c r="AY88" i="114"/>
  <c r="AE88" i="114"/>
  <c r="AF88" i="114" s="1"/>
  <c r="Y88" i="114"/>
  <c r="Z88" i="114" s="1"/>
  <c r="O88" i="114"/>
  <c r="BD88" i="114"/>
  <c r="BE88" i="114" s="1"/>
  <c r="P88" i="114"/>
  <c r="AN88" i="114"/>
  <c r="AO88" i="114" s="1"/>
  <c r="BA88" i="114"/>
  <c r="BB88" i="114" s="1"/>
  <c r="BQ88" i="114"/>
  <c r="BR88" i="114" s="1"/>
  <c r="AT88" i="114"/>
  <c r="AQ88" i="114"/>
  <c r="AR88" i="114" s="1"/>
  <c r="BG88" i="114"/>
  <c r="BH88" i="114" s="1"/>
  <c r="AB88" i="114"/>
  <c r="AC88" i="114" s="1"/>
  <c r="K89" i="114"/>
  <c r="I95" i="105"/>
  <c r="M90" i="136"/>
  <c r="BN90" i="136"/>
  <c r="BO90" i="136" s="1"/>
  <c r="BL90" i="136"/>
  <c r="BA90" i="136"/>
  <c r="BB90" i="136" s="1"/>
  <c r="AK90" i="136"/>
  <c r="AL90" i="136" s="1"/>
  <c r="AN90" i="136"/>
  <c r="AO90" i="136" s="1"/>
  <c r="AE90" i="136"/>
  <c r="AF90" i="136" s="1"/>
  <c r="R90" i="136"/>
  <c r="T90" i="136" s="1"/>
  <c r="AQ90" i="136"/>
  <c r="AR90" i="136" s="1"/>
  <c r="O90" i="136"/>
  <c r="Y90" i="136"/>
  <c r="Z90" i="136" s="1"/>
  <c r="BD90" i="136"/>
  <c r="BE90" i="136" s="1"/>
  <c r="AV90" i="136"/>
  <c r="AW90" i="136" s="1"/>
  <c r="AH90" i="136"/>
  <c r="AI90" i="136" s="1"/>
  <c r="AT90" i="136"/>
  <c r="BQ90" i="136"/>
  <c r="BR90" i="136" s="1"/>
  <c r="AB90" i="136"/>
  <c r="AC90" i="136" s="1"/>
  <c r="V90" i="136"/>
  <c r="W90" i="136" s="1"/>
  <c r="P90" i="136"/>
  <c r="AY90" i="136"/>
  <c r="BG90" i="136"/>
  <c r="BH90" i="136" s="1"/>
  <c r="K91" i="136"/>
  <c r="K90" i="135"/>
  <c r="I91" i="135"/>
  <c r="M88" i="126"/>
  <c r="BN88" i="126"/>
  <c r="BO88" i="126" s="1"/>
  <c r="BK88" i="126"/>
  <c r="BJ88" i="126"/>
  <c r="BL88" i="126" s="1"/>
  <c r="BQ88" i="126"/>
  <c r="BR88" i="126" s="1"/>
  <c r="V88" i="126"/>
  <c r="W88" i="126" s="1"/>
  <c r="AV88" i="126"/>
  <c r="AW88" i="126" s="1"/>
  <c r="BA88" i="126"/>
  <c r="BB88" i="126" s="1"/>
  <c r="Y88" i="126"/>
  <c r="Z88" i="126" s="1"/>
  <c r="AH88" i="126"/>
  <c r="AI88" i="126" s="1"/>
  <c r="R88" i="126"/>
  <c r="T88" i="126" s="1"/>
  <c r="O88" i="126"/>
  <c r="AT88" i="126"/>
  <c r="AK88" i="126"/>
  <c r="AL88" i="126" s="1"/>
  <c r="BG88" i="126"/>
  <c r="BH88" i="126" s="1"/>
  <c r="BD88" i="126"/>
  <c r="BE88" i="126" s="1"/>
  <c r="AQ88" i="126"/>
  <c r="AR88" i="126" s="1"/>
  <c r="AB88" i="126"/>
  <c r="AC88" i="126" s="1"/>
  <c r="P88" i="126"/>
  <c r="AY88" i="126"/>
  <c r="AN88" i="126"/>
  <c r="AO88" i="126" s="1"/>
  <c r="AE88" i="126"/>
  <c r="AF88" i="126" s="1"/>
  <c r="K89" i="126"/>
  <c r="I94" i="64"/>
  <c r="AH89" i="64"/>
  <c r="AI89" i="64" s="1"/>
  <c r="BQ89" i="64"/>
  <c r="BR89" i="64" s="1"/>
  <c r="R89" i="64"/>
  <c r="T89" i="64" s="1"/>
  <c r="AE89" i="64"/>
  <c r="AF89" i="64" s="1"/>
  <c r="AQ89" i="64"/>
  <c r="AR89" i="64" s="1"/>
  <c r="BG89" i="64"/>
  <c r="BH89" i="64" s="1"/>
  <c r="AB89" i="64"/>
  <c r="AC89" i="64" s="1"/>
  <c r="BA89" i="64"/>
  <c r="BB89" i="64" s="1"/>
  <c r="BD89" i="64"/>
  <c r="BE89" i="64" s="1"/>
  <c r="AN89" i="64"/>
  <c r="AO89" i="64" s="1"/>
  <c r="AV89" i="64"/>
  <c r="AW89" i="64" s="1"/>
  <c r="P89" i="64"/>
  <c r="V89" i="64"/>
  <c r="W89" i="64" s="1"/>
  <c r="M89" i="64"/>
  <c r="AT89" i="64"/>
  <c r="AK89" i="64"/>
  <c r="AL89" i="64" s="1"/>
  <c r="AY89" i="64"/>
  <c r="O89" i="64"/>
  <c r="Y89" i="64"/>
  <c r="Z89" i="64" s="1"/>
  <c r="BN89" i="64"/>
  <c r="BO89" i="64" s="1"/>
  <c r="BL89" i="64"/>
  <c r="K90" i="64"/>
  <c r="I93" i="126"/>
  <c r="BK90" i="105"/>
  <c r="M90" i="105"/>
  <c r="BN90" i="105"/>
  <c r="BO90" i="105" s="1"/>
  <c r="BJ90" i="105"/>
  <c r="BL90" i="105" s="1"/>
  <c r="O90" i="105"/>
  <c r="AV90" i="105"/>
  <c r="AW90" i="105" s="1"/>
  <c r="R90" i="105"/>
  <c r="T90" i="105" s="1"/>
  <c r="AQ90" i="105"/>
  <c r="AR90" i="105" s="1"/>
  <c r="BD90" i="105"/>
  <c r="BE90" i="105" s="1"/>
  <c r="AH90" i="105"/>
  <c r="AI90" i="105" s="1"/>
  <c r="BG90" i="105"/>
  <c r="BH90" i="105" s="1"/>
  <c r="BQ90" i="105"/>
  <c r="BR90" i="105" s="1"/>
  <c r="AT90" i="105"/>
  <c r="AN90" i="105"/>
  <c r="AO90" i="105" s="1"/>
  <c r="AY90" i="105"/>
  <c r="Y90" i="105"/>
  <c r="Z90" i="105" s="1"/>
  <c r="V90" i="105"/>
  <c r="W90" i="105" s="1"/>
  <c r="AE90" i="105"/>
  <c r="AF90" i="105" s="1"/>
  <c r="AK90" i="105"/>
  <c r="AL90" i="105" s="1"/>
  <c r="AB90" i="105"/>
  <c r="AC90" i="105" s="1"/>
  <c r="BA90" i="105"/>
  <c r="BB90" i="105" s="1"/>
  <c r="P90" i="105"/>
  <c r="K91" i="105"/>
  <c r="K89" i="110"/>
  <c r="I90" i="110"/>
  <c r="I89" i="101"/>
  <c r="K88" i="101"/>
  <c r="I95" i="132"/>
  <c r="I92" i="104"/>
  <c r="M89" i="135"/>
  <c r="AN89" i="135"/>
  <c r="AO89" i="135" s="1"/>
  <c r="O89" i="135"/>
  <c r="AT89" i="135"/>
  <c r="AY89" i="135"/>
  <c r="AQ89" i="135"/>
  <c r="AR89" i="135" s="1"/>
  <c r="BD89" i="135"/>
  <c r="BE89" i="135" s="1"/>
  <c r="BQ89" i="135"/>
  <c r="BR89" i="135" s="1"/>
  <c r="AH89" i="135"/>
  <c r="AI89" i="135" s="1"/>
  <c r="R89" i="135"/>
  <c r="T89" i="135" s="1"/>
  <c r="Y89" i="135"/>
  <c r="Z89" i="135" s="1"/>
  <c r="P89" i="135"/>
  <c r="AK89" i="135"/>
  <c r="AL89" i="135" s="1"/>
  <c r="BA89" i="135"/>
  <c r="BB89" i="135" s="1"/>
  <c r="AB89" i="135"/>
  <c r="AC89" i="135" s="1"/>
  <c r="BG89" i="135"/>
  <c r="BH89" i="135" s="1"/>
  <c r="BN89" i="135"/>
  <c r="BO89" i="135" s="1"/>
  <c r="AV89" i="135"/>
  <c r="AW89" i="135" s="1"/>
  <c r="V89" i="135"/>
  <c r="W89" i="135" s="1"/>
  <c r="BL89" i="135"/>
  <c r="AE89" i="135"/>
  <c r="AF89" i="135" s="1"/>
  <c r="I88" i="17"/>
  <c r="K87" i="17"/>
  <c r="I93" i="63"/>
  <c r="Y86" i="66"/>
  <c r="Z86" i="66" s="1"/>
  <c r="O86" i="66"/>
  <c r="AB86" i="66"/>
  <c r="AC86" i="66" s="1"/>
  <c r="M86" i="66"/>
  <c r="AK86" i="66"/>
  <c r="AL86" i="66" s="1"/>
  <c r="AY86" i="66"/>
  <c r="AV86" i="66"/>
  <c r="AW86" i="66" s="1"/>
  <c r="AQ86" i="66"/>
  <c r="AR86" i="66" s="1"/>
  <c r="P86" i="66"/>
  <c r="BG86" i="66"/>
  <c r="BH86" i="66" s="1"/>
  <c r="AN86" i="66"/>
  <c r="AO86" i="66" s="1"/>
  <c r="AE86" i="66"/>
  <c r="AF86" i="66" s="1"/>
  <c r="AH86" i="66"/>
  <c r="AI86" i="66" s="1"/>
  <c r="V86" i="66"/>
  <c r="W86" i="66" s="1"/>
  <c r="BN86" i="66"/>
  <c r="BO86" i="66" s="1"/>
  <c r="BQ86" i="66"/>
  <c r="BR86" i="66" s="1"/>
  <c r="BA86" i="66"/>
  <c r="BB86" i="66" s="1"/>
  <c r="BD86" i="66"/>
  <c r="BE86" i="66" s="1"/>
  <c r="R86" i="66"/>
  <c r="T86" i="66" s="1"/>
  <c r="AT86" i="66"/>
  <c r="BL86" i="66"/>
  <c r="I103" i="133"/>
  <c r="I90" i="115"/>
  <c r="K89" i="115"/>
  <c r="M88" i="63"/>
  <c r="BN88" i="63"/>
  <c r="BO88" i="63" s="1"/>
  <c r="BD88" i="63"/>
  <c r="BE88" i="63" s="1"/>
  <c r="AN88" i="63"/>
  <c r="AO88" i="63" s="1"/>
  <c r="AV88" i="63"/>
  <c r="AW88" i="63" s="1"/>
  <c r="AK88" i="63"/>
  <c r="AL88" i="63" s="1"/>
  <c r="AY88" i="63"/>
  <c r="BA88" i="63"/>
  <c r="BB88" i="63" s="1"/>
  <c r="Y88" i="63"/>
  <c r="Z88" i="63" s="1"/>
  <c r="AE88" i="63"/>
  <c r="AF88" i="63" s="1"/>
  <c r="BG88" i="63"/>
  <c r="BH88" i="63" s="1"/>
  <c r="AQ88" i="63"/>
  <c r="AR88" i="63" s="1"/>
  <c r="AB88" i="63"/>
  <c r="AC88" i="63" s="1"/>
  <c r="V88" i="63"/>
  <c r="W88" i="63" s="1"/>
  <c r="P88" i="63"/>
  <c r="R88" i="63"/>
  <c r="T88" i="63" s="1"/>
  <c r="AT88" i="63"/>
  <c r="O88" i="63"/>
  <c r="AH88" i="63"/>
  <c r="AI88" i="63" s="1"/>
  <c r="BQ88" i="63"/>
  <c r="BR88" i="63" s="1"/>
  <c r="BL88" i="63"/>
  <c r="K89" i="63"/>
  <c r="I92" i="15"/>
  <c r="M88" i="115"/>
  <c r="BN88" i="115"/>
  <c r="BO88" i="115" s="1"/>
  <c r="BJ88" i="115"/>
  <c r="BL88" i="115" s="1"/>
  <c r="BK88" i="115"/>
  <c r="BG88" i="115"/>
  <c r="BH88" i="115" s="1"/>
  <c r="BQ88" i="115"/>
  <c r="BR88" i="115" s="1"/>
  <c r="AB88" i="115"/>
  <c r="AC88" i="115" s="1"/>
  <c r="BA88" i="115"/>
  <c r="BB88" i="115" s="1"/>
  <c r="AT88" i="115"/>
  <c r="BD88" i="115"/>
  <c r="BE88" i="115" s="1"/>
  <c r="AK88" i="115"/>
  <c r="AL88" i="115" s="1"/>
  <c r="AQ88" i="115"/>
  <c r="AR88" i="115" s="1"/>
  <c r="O88" i="115"/>
  <c r="AN88" i="115"/>
  <c r="AO88" i="115" s="1"/>
  <c r="AY88" i="115"/>
  <c r="AV88" i="115"/>
  <c r="AW88" i="115" s="1"/>
  <c r="Y88" i="115"/>
  <c r="Z88" i="115" s="1"/>
  <c r="P88" i="115"/>
  <c r="V88" i="115"/>
  <c r="W88" i="115" s="1"/>
  <c r="R88" i="115"/>
  <c r="T88" i="115" s="1"/>
  <c r="AH88" i="115"/>
  <c r="AI88" i="115" s="1"/>
  <c r="AE88" i="115"/>
  <c r="AF88" i="115" s="1"/>
  <c r="AE88" i="96"/>
  <c r="AF88" i="96" s="1"/>
  <c r="O88" i="96"/>
  <c r="AQ88" i="96"/>
  <c r="AR88" i="96" s="1"/>
  <c r="Y88" i="96"/>
  <c r="Z88" i="96" s="1"/>
  <c r="AN88" i="96"/>
  <c r="AO88" i="96" s="1"/>
  <c r="V88" i="96"/>
  <c r="W88" i="96" s="1"/>
  <c r="AB88" i="96"/>
  <c r="AC88" i="96" s="1"/>
  <c r="R88" i="96"/>
  <c r="T88" i="96" s="1"/>
  <c r="BN88" i="96"/>
  <c r="BO88" i="96" s="1"/>
  <c r="AT88" i="96"/>
  <c r="AV88" i="96"/>
  <c r="AW88" i="96" s="1"/>
  <c r="BD88" i="96"/>
  <c r="BE88" i="96" s="1"/>
  <c r="BQ88" i="96"/>
  <c r="BR88" i="96" s="1"/>
  <c r="P88" i="96"/>
  <c r="BG88" i="96"/>
  <c r="BH88" i="96" s="1"/>
  <c r="AK88" i="96"/>
  <c r="AL88" i="96" s="1"/>
  <c r="AH88" i="96"/>
  <c r="AI88" i="96" s="1"/>
  <c r="BA88" i="96"/>
  <c r="BB88" i="96" s="1"/>
  <c r="M88" i="96"/>
  <c r="BL88" i="96"/>
  <c r="BL86" i="13"/>
  <c r="BN86" i="13"/>
  <c r="BO86" i="13" s="1"/>
  <c r="M86" i="13"/>
  <c r="Y86" i="13"/>
  <c r="Z86" i="13" s="1"/>
  <c r="R86" i="13"/>
  <c r="T86" i="13" s="1"/>
  <c r="AN86" i="13"/>
  <c r="AO86" i="13" s="1"/>
  <c r="BA86" i="13"/>
  <c r="BB86" i="13" s="1"/>
  <c r="AV86" i="13"/>
  <c r="AW86" i="13" s="1"/>
  <c r="AK86" i="13"/>
  <c r="AL86" i="13" s="1"/>
  <c r="BD86" i="13"/>
  <c r="BE86" i="13" s="1"/>
  <c r="AB86" i="13"/>
  <c r="AC86" i="13" s="1"/>
  <c r="BQ86" i="13"/>
  <c r="BR86" i="13" s="1"/>
  <c r="V86" i="13"/>
  <c r="W86" i="13" s="1"/>
  <c r="O86" i="13"/>
  <c r="BG86" i="13"/>
  <c r="BH86" i="13" s="1"/>
  <c r="AT86" i="13"/>
  <c r="AQ86" i="13"/>
  <c r="AR86" i="13" s="1"/>
  <c r="AY86" i="13"/>
  <c r="AH86" i="13"/>
  <c r="AI86" i="13" s="1"/>
  <c r="AE86" i="13"/>
  <c r="AF86" i="13" s="1"/>
  <c r="P86" i="13"/>
  <c r="I97" i="95"/>
  <c r="BL86" i="17"/>
  <c r="BN86" i="17"/>
  <c r="BO86" i="17" s="1"/>
  <c r="M86" i="17"/>
  <c r="R86" i="17"/>
  <c r="T86" i="17" s="1"/>
  <c r="AN86" i="17"/>
  <c r="AO86" i="17" s="1"/>
  <c r="AT86" i="17"/>
  <c r="AE86" i="17"/>
  <c r="AF86" i="17" s="1"/>
  <c r="P86" i="17"/>
  <c r="BG86" i="17"/>
  <c r="BH86" i="17" s="1"/>
  <c r="AY86" i="17"/>
  <c r="BA86" i="17"/>
  <c r="BB86" i="17" s="1"/>
  <c r="Y86" i="17"/>
  <c r="Z86" i="17" s="1"/>
  <c r="AK86" i="17"/>
  <c r="AL86" i="17" s="1"/>
  <c r="AH86" i="17"/>
  <c r="AI86" i="17" s="1"/>
  <c r="AB86" i="17"/>
  <c r="AC86" i="17" s="1"/>
  <c r="BD86" i="17"/>
  <c r="BE86" i="17" s="1"/>
  <c r="BQ86" i="17"/>
  <c r="BR86" i="17" s="1"/>
  <c r="AV86" i="17"/>
  <c r="AW86" i="17" s="1"/>
  <c r="V86" i="17"/>
  <c r="W86" i="17" s="1"/>
  <c r="AQ86" i="17"/>
  <c r="AR86" i="17" s="1"/>
  <c r="O86" i="17"/>
  <c r="BN88" i="98"/>
  <c r="BO88" i="98" s="1"/>
  <c r="M88" i="98"/>
  <c r="AY88" i="98"/>
  <c r="AB88" i="98"/>
  <c r="AC88" i="98" s="1"/>
  <c r="K89" i="98"/>
  <c r="BK88" i="98"/>
  <c r="AQ88" i="98"/>
  <c r="AR88" i="98" s="1"/>
  <c r="BJ88" i="98"/>
  <c r="BL88" i="98" s="1"/>
  <c r="AH88" i="98"/>
  <c r="AI88" i="98" s="1"/>
  <c r="O88" i="98"/>
  <c r="P88" i="98"/>
  <c r="V88" i="98"/>
  <c r="W88" i="98" s="1"/>
  <c r="AT88" i="98"/>
  <c r="BA88" i="98"/>
  <c r="BB88" i="98" s="1"/>
  <c r="AE88" i="98"/>
  <c r="AF88" i="98" s="1"/>
  <c r="BG88" i="98"/>
  <c r="BH88" i="98" s="1"/>
  <c r="AN88" i="98"/>
  <c r="AO88" i="98" s="1"/>
  <c r="AV88" i="98"/>
  <c r="AW88" i="98" s="1"/>
  <c r="BD88" i="98"/>
  <c r="BE88" i="98" s="1"/>
  <c r="AK88" i="98"/>
  <c r="AL88" i="98" s="1"/>
  <c r="BQ88" i="98"/>
  <c r="BR88" i="98" s="1"/>
  <c r="Y88" i="98"/>
  <c r="Z88" i="98" s="1"/>
  <c r="R88" i="98"/>
  <c r="T88" i="98" s="1"/>
  <c r="BJ92" i="107" l="1"/>
  <c r="BL92" i="107" s="1"/>
  <c r="O92" i="107"/>
  <c r="AV92" i="107"/>
  <c r="AW92" i="107" s="1"/>
  <c r="BA92" i="107"/>
  <c r="BB92" i="107" s="1"/>
  <c r="AK92" i="107"/>
  <c r="AL92" i="107" s="1"/>
  <c r="BG92" i="107"/>
  <c r="BH92" i="107" s="1"/>
  <c r="M92" i="107"/>
  <c r="AQ92" i="107"/>
  <c r="AR92" i="107" s="1"/>
  <c r="AB92" i="107"/>
  <c r="AC92" i="107" s="1"/>
  <c r="V92" i="107"/>
  <c r="W92" i="107" s="1"/>
  <c r="AN92" i="107"/>
  <c r="AO92" i="107" s="1"/>
  <c r="BQ92" i="107"/>
  <c r="BR92" i="107" s="1"/>
  <c r="AT92" i="107"/>
  <c r="BN92" i="107"/>
  <c r="BO92" i="107" s="1"/>
  <c r="R92" i="107"/>
  <c r="T92" i="107" s="1"/>
  <c r="P92" i="107"/>
  <c r="AE92" i="107"/>
  <c r="AF92" i="107" s="1"/>
  <c r="BK92" i="107"/>
  <c r="AH92" i="107"/>
  <c r="AI92" i="107" s="1"/>
  <c r="AY92" i="107"/>
  <c r="BD92" i="107"/>
  <c r="BE92" i="107" s="1"/>
  <c r="Y92" i="107"/>
  <c r="Z92" i="107" s="1"/>
  <c r="I94" i="107"/>
  <c r="K93" i="107"/>
  <c r="BL90" i="132"/>
  <c r="AV90" i="132"/>
  <c r="AW90" i="132" s="1"/>
  <c r="AY90" i="132"/>
  <c r="O90" i="132"/>
  <c r="AN90" i="132"/>
  <c r="AO90" i="132" s="1"/>
  <c r="BD90" i="132"/>
  <c r="BE90" i="132" s="1"/>
  <c r="P90" i="132"/>
  <c r="BA90" i="132"/>
  <c r="BB90" i="132" s="1"/>
  <c r="AQ90" i="132"/>
  <c r="AR90" i="132" s="1"/>
  <c r="M90" i="132"/>
  <c r="AT90" i="132"/>
  <c r="BQ90" i="132"/>
  <c r="BR90" i="132" s="1"/>
  <c r="V90" i="132"/>
  <c r="W90" i="132" s="1"/>
  <c r="BG90" i="132"/>
  <c r="BH90" i="132" s="1"/>
  <c r="R90" i="132"/>
  <c r="T90" i="132" s="1"/>
  <c r="AB90" i="132"/>
  <c r="AC90" i="132" s="1"/>
  <c r="Y90" i="132"/>
  <c r="Z90" i="132" s="1"/>
  <c r="K91" i="132"/>
  <c r="BN90" i="132"/>
  <c r="BO90" i="132" s="1"/>
  <c r="AE90" i="132"/>
  <c r="AF90" i="132" s="1"/>
  <c r="AK90" i="132"/>
  <c r="AL90" i="132" s="1"/>
  <c r="AH90" i="132"/>
  <c r="AI90" i="132" s="1"/>
  <c r="M90" i="99"/>
  <c r="AH90" i="99"/>
  <c r="AI90" i="99" s="1"/>
  <c r="BD90" i="99"/>
  <c r="BE90" i="99" s="1"/>
  <c r="AV90" i="99"/>
  <c r="AW90" i="99" s="1"/>
  <c r="AK90" i="99"/>
  <c r="AL90" i="99" s="1"/>
  <c r="AB90" i="99"/>
  <c r="AC90" i="99" s="1"/>
  <c r="BQ90" i="99"/>
  <c r="BR90" i="99" s="1"/>
  <c r="BA90" i="99"/>
  <c r="BB90" i="99" s="1"/>
  <c r="O90" i="99"/>
  <c r="AY90" i="99"/>
  <c r="BG90" i="99"/>
  <c r="BH90" i="99" s="1"/>
  <c r="BK90" i="99"/>
  <c r="Y90" i="99"/>
  <c r="Z90" i="99" s="1"/>
  <c r="BJ90" i="99"/>
  <c r="BL90" i="99" s="1"/>
  <c r="V90" i="99"/>
  <c r="W90" i="99" s="1"/>
  <c r="AT90" i="99"/>
  <c r="AN90" i="99"/>
  <c r="AO90" i="99" s="1"/>
  <c r="R90" i="99"/>
  <c r="T90" i="99" s="1"/>
  <c r="BN90" i="99"/>
  <c r="BO90" i="99" s="1"/>
  <c r="AE90" i="99"/>
  <c r="AF90" i="99" s="1"/>
  <c r="K91" i="99"/>
  <c r="AQ90" i="99"/>
  <c r="AR90" i="99" s="1"/>
  <c r="P90" i="99"/>
  <c r="BN88" i="104"/>
  <c r="BO88" i="104" s="1"/>
  <c r="AE88" i="104"/>
  <c r="AF88" i="104" s="1"/>
  <c r="R88" i="104"/>
  <c r="T88" i="104" s="1"/>
  <c r="AK88" i="104"/>
  <c r="AL88" i="104" s="1"/>
  <c r="K89" i="104"/>
  <c r="AY88" i="104"/>
  <c r="BD88" i="104"/>
  <c r="BE88" i="104" s="1"/>
  <c r="AN88" i="104"/>
  <c r="AO88" i="104" s="1"/>
  <c r="BQ88" i="104"/>
  <c r="BR88" i="104" s="1"/>
  <c r="V88" i="104"/>
  <c r="W88" i="104" s="1"/>
  <c r="AT88" i="104"/>
  <c r="BK88" i="104"/>
  <c r="O88" i="104"/>
  <c r="AQ88" i="104"/>
  <c r="AR88" i="104" s="1"/>
  <c r="P88" i="104"/>
  <c r="M88" i="104"/>
  <c r="AB88" i="104"/>
  <c r="AC88" i="104" s="1"/>
  <c r="Y88" i="104"/>
  <c r="Z88" i="104" s="1"/>
  <c r="BG88" i="104"/>
  <c r="BH88" i="104" s="1"/>
  <c r="BJ88" i="104"/>
  <c r="BL88" i="104" s="1"/>
  <c r="AH88" i="104"/>
  <c r="AI88" i="104" s="1"/>
  <c r="AV88" i="104"/>
  <c r="AW88" i="104" s="1"/>
  <c r="BA88" i="104"/>
  <c r="BB88" i="104" s="1"/>
  <c r="O88" i="112"/>
  <c r="AH88" i="112"/>
  <c r="AI88" i="112" s="1"/>
  <c r="BD88" i="112"/>
  <c r="BE88" i="112" s="1"/>
  <c r="AT88" i="112"/>
  <c r="Y88" i="112"/>
  <c r="Z88" i="112" s="1"/>
  <c r="AY88" i="112"/>
  <c r="K89" i="112"/>
  <c r="BJ88" i="112"/>
  <c r="BL88" i="112" s="1"/>
  <c r="AV88" i="112"/>
  <c r="AW88" i="112" s="1"/>
  <c r="V88" i="112"/>
  <c r="W88" i="112" s="1"/>
  <c r="BG88" i="112"/>
  <c r="BH88" i="112" s="1"/>
  <c r="BK88" i="112"/>
  <c r="BQ88" i="112"/>
  <c r="BR88" i="112" s="1"/>
  <c r="AK88" i="112"/>
  <c r="AL88" i="112" s="1"/>
  <c r="P88" i="112"/>
  <c r="M88" i="112"/>
  <c r="R88" i="112"/>
  <c r="T88" i="112" s="1"/>
  <c r="BA88" i="112"/>
  <c r="BB88" i="112" s="1"/>
  <c r="AE88" i="112"/>
  <c r="AF88" i="112" s="1"/>
  <c r="BN88" i="112"/>
  <c r="BO88" i="112" s="1"/>
  <c r="AN88" i="112"/>
  <c r="AO88" i="112" s="1"/>
  <c r="AB88" i="112"/>
  <c r="AC88" i="112" s="1"/>
  <c r="AQ88" i="112"/>
  <c r="AR88" i="112" s="1"/>
  <c r="BN88" i="106"/>
  <c r="BO88" i="106" s="1"/>
  <c r="AH88" i="106"/>
  <c r="AI88" i="106" s="1"/>
  <c r="AV88" i="106"/>
  <c r="AW88" i="106" s="1"/>
  <c r="BA88" i="106"/>
  <c r="BB88" i="106" s="1"/>
  <c r="AQ88" i="106"/>
  <c r="AR88" i="106" s="1"/>
  <c r="M88" i="106"/>
  <c r="AE88" i="106"/>
  <c r="AF88" i="106" s="1"/>
  <c r="Y88" i="106"/>
  <c r="Z88" i="106" s="1"/>
  <c r="AT88" i="106"/>
  <c r="BD88" i="106"/>
  <c r="BE88" i="106" s="1"/>
  <c r="AK88" i="106"/>
  <c r="AL88" i="106" s="1"/>
  <c r="AB88" i="106"/>
  <c r="AC88" i="106" s="1"/>
  <c r="R88" i="106"/>
  <c r="T88" i="106" s="1"/>
  <c r="BJ88" i="106"/>
  <c r="BL88" i="106" s="1"/>
  <c r="O88" i="106"/>
  <c r="AY88" i="106"/>
  <c r="P88" i="106"/>
  <c r="BG88" i="106"/>
  <c r="BH88" i="106" s="1"/>
  <c r="BK88" i="106"/>
  <c r="BQ88" i="106"/>
  <c r="BR88" i="106" s="1"/>
  <c r="V88" i="106"/>
  <c r="W88" i="106" s="1"/>
  <c r="AN88" i="106"/>
  <c r="AO88" i="106" s="1"/>
  <c r="K89" i="106"/>
  <c r="I95" i="106"/>
  <c r="BG89" i="129"/>
  <c r="BH89" i="129" s="1"/>
  <c r="AB89" i="129"/>
  <c r="AC89" i="129" s="1"/>
  <c r="BL89" i="129"/>
  <c r="AQ89" i="129"/>
  <c r="AR89" i="129" s="1"/>
  <c r="BN89" i="129"/>
  <c r="BO89" i="129" s="1"/>
  <c r="AV89" i="129"/>
  <c r="AW89" i="129" s="1"/>
  <c r="BD89" i="129"/>
  <c r="BE89" i="129" s="1"/>
  <c r="AE89" i="129"/>
  <c r="AF89" i="129" s="1"/>
  <c r="K90" i="129"/>
  <c r="AK89" i="129"/>
  <c r="AL89" i="129" s="1"/>
  <c r="BQ89" i="129"/>
  <c r="BR89" i="129" s="1"/>
  <c r="M89" i="129"/>
  <c r="AT89" i="129"/>
  <c r="AH89" i="129"/>
  <c r="AI89" i="129" s="1"/>
  <c r="Y89" i="129"/>
  <c r="Z89" i="129" s="1"/>
  <c r="P89" i="129"/>
  <c r="AN89" i="129"/>
  <c r="AO89" i="129" s="1"/>
  <c r="O89" i="129"/>
  <c r="BA89" i="129"/>
  <c r="BB89" i="129" s="1"/>
  <c r="R89" i="129"/>
  <c r="T89" i="129" s="1"/>
  <c r="AY89" i="129"/>
  <c r="V89" i="129"/>
  <c r="W89" i="129" s="1"/>
  <c r="M87" i="95"/>
  <c r="AN87" i="95"/>
  <c r="AO87" i="95" s="1"/>
  <c r="BG87" i="95"/>
  <c r="BH87" i="95" s="1"/>
  <c r="P87" i="95"/>
  <c r="Y87" i="95"/>
  <c r="Z87" i="95" s="1"/>
  <c r="BN87" i="95"/>
  <c r="BO87" i="95" s="1"/>
  <c r="O87" i="95"/>
  <c r="R87" i="95"/>
  <c r="T87" i="95" s="1"/>
  <c r="AH87" i="95"/>
  <c r="AI87" i="95" s="1"/>
  <c r="AQ87" i="95"/>
  <c r="AR87" i="95" s="1"/>
  <c r="BQ87" i="95"/>
  <c r="BR87" i="95" s="1"/>
  <c r="V87" i="95"/>
  <c r="W87" i="95" s="1"/>
  <c r="AB87" i="95"/>
  <c r="AC87" i="95" s="1"/>
  <c r="BA87" i="95"/>
  <c r="BB87" i="95" s="1"/>
  <c r="K88" i="95"/>
  <c r="AE87" i="95"/>
  <c r="AF87" i="95" s="1"/>
  <c r="BL87" i="95"/>
  <c r="AV87" i="95"/>
  <c r="AW87" i="95" s="1"/>
  <c r="AK87" i="95"/>
  <c r="AL87" i="95" s="1"/>
  <c r="BD87" i="95"/>
  <c r="BE87" i="95" s="1"/>
  <c r="AT87" i="95"/>
  <c r="P93" i="156"/>
  <c r="AK93" i="156"/>
  <c r="AL93" i="156" s="1"/>
  <c r="O93" i="156"/>
  <c r="BL93" i="156"/>
  <c r="AV93" i="156"/>
  <c r="AW93" i="156" s="1"/>
  <c r="AQ93" i="156"/>
  <c r="AR93" i="156" s="1"/>
  <c r="AN93" i="156"/>
  <c r="AO93" i="156" s="1"/>
  <c r="BG93" i="156"/>
  <c r="BH93" i="156" s="1"/>
  <c r="BN93" i="156"/>
  <c r="BO93" i="156" s="1"/>
  <c r="BD93" i="156"/>
  <c r="BE93" i="156" s="1"/>
  <c r="AH93" i="156"/>
  <c r="AI93" i="156" s="1"/>
  <c r="R93" i="156"/>
  <c r="T93" i="156" s="1"/>
  <c r="M93" i="156"/>
  <c r="V93" i="156"/>
  <c r="W93" i="156" s="1"/>
  <c r="Y93" i="156"/>
  <c r="Z93" i="156" s="1"/>
  <c r="AB93" i="156"/>
  <c r="AC93" i="156" s="1"/>
  <c r="AE93" i="156"/>
  <c r="AF93" i="156" s="1"/>
  <c r="BQ93" i="156"/>
  <c r="BR93" i="156" s="1"/>
  <c r="BA93" i="156"/>
  <c r="BB93" i="156" s="1"/>
  <c r="I95" i="156"/>
  <c r="K94" i="156"/>
  <c r="AY94" i="156" s="1"/>
  <c r="AK91" i="133"/>
  <c r="AL91" i="133" s="1"/>
  <c r="BQ91" i="133"/>
  <c r="BR91" i="133" s="1"/>
  <c r="P91" i="133"/>
  <c r="Y91" i="133"/>
  <c r="Z91" i="133" s="1"/>
  <c r="BN91" i="133"/>
  <c r="BO91" i="133" s="1"/>
  <c r="V91" i="133"/>
  <c r="W91" i="133" s="1"/>
  <c r="AE91" i="133"/>
  <c r="AF91" i="133" s="1"/>
  <c r="AN91" i="133"/>
  <c r="AO91" i="133" s="1"/>
  <c r="BL91" i="133"/>
  <c r="AT91" i="133"/>
  <c r="AH91" i="133"/>
  <c r="AI91" i="133" s="1"/>
  <c r="BA91" i="133"/>
  <c r="BB91" i="133" s="1"/>
  <c r="M91" i="133"/>
  <c r="BD91" i="133"/>
  <c r="BE91" i="133" s="1"/>
  <c r="AB91" i="133"/>
  <c r="AC91" i="133" s="1"/>
  <c r="AY91" i="133"/>
  <c r="AQ91" i="133"/>
  <c r="AR91" i="133" s="1"/>
  <c r="R91" i="133"/>
  <c r="T91" i="133" s="1"/>
  <c r="AV91" i="133"/>
  <c r="AW91" i="133" s="1"/>
  <c r="K92" i="133"/>
  <c r="O91" i="133"/>
  <c r="BG91" i="133"/>
  <c r="BH91" i="133" s="1"/>
  <c r="K90" i="130"/>
  <c r="M89" i="130"/>
  <c r="BL89" i="130"/>
  <c r="BN89" i="130"/>
  <c r="BO89" i="130" s="1"/>
  <c r="AY89" i="130"/>
  <c r="BG89" i="130"/>
  <c r="BH89" i="130" s="1"/>
  <c r="AV89" i="130"/>
  <c r="AW89" i="130" s="1"/>
  <c r="P89" i="130"/>
  <c r="AB89" i="130"/>
  <c r="AC89" i="130" s="1"/>
  <c r="AH89" i="130"/>
  <c r="AI89" i="130" s="1"/>
  <c r="AN89" i="130"/>
  <c r="AO89" i="130" s="1"/>
  <c r="AE89" i="130"/>
  <c r="AF89" i="130" s="1"/>
  <c r="AK89" i="130"/>
  <c r="AL89" i="130" s="1"/>
  <c r="BQ89" i="130"/>
  <c r="BR89" i="130" s="1"/>
  <c r="BD89" i="130"/>
  <c r="BE89" i="130" s="1"/>
  <c r="AT89" i="130"/>
  <c r="R89" i="130"/>
  <c r="T89" i="130" s="1"/>
  <c r="O89" i="130"/>
  <c r="V89" i="130"/>
  <c r="W89" i="130" s="1"/>
  <c r="BA89" i="130"/>
  <c r="BB89" i="130" s="1"/>
  <c r="AQ89" i="130"/>
  <c r="AR89" i="130" s="1"/>
  <c r="Y89" i="130"/>
  <c r="Z89" i="130" s="1"/>
  <c r="R94" i="155"/>
  <c r="T94" i="155" s="1"/>
  <c r="Y94" i="155"/>
  <c r="Z94" i="155" s="1"/>
  <c r="AE94" i="155"/>
  <c r="AF94" i="155" s="1"/>
  <c r="AK94" i="155"/>
  <c r="AL94" i="155" s="1"/>
  <c r="AQ94" i="155"/>
  <c r="AR94" i="155" s="1"/>
  <c r="BD94" i="155"/>
  <c r="BE94" i="155" s="1"/>
  <c r="M94" i="155"/>
  <c r="BQ94" i="155"/>
  <c r="BR94" i="155" s="1"/>
  <c r="O94" i="155"/>
  <c r="V94" i="155"/>
  <c r="W94" i="155" s="1"/>
  <c r="AB94" i="155"/>
  <c r="AC94" i="155" s="1"/>
  <c r="AH94" i="155"/>
  <c r="AI94" i="155" s="1"/>
  <c r="AN94" i="155"/>
  <c r="AO94" i="155" s="1"/>
  <c r="BA94" i="155"/>
  <c r="BB94" i="155" s="1"/>
  <c r="BG94" i="155"/>
  <c r="BH94" i="155" s="1"/>
  <c r="P94" i="155"/>
  <c r="AV94" i="155"/>
  <c r="AW94" i="155" s="1"/>
  <c r="BN94" i="155"/>
  <c r="BO94" i="155" s="1"/>
  <c r="BL94" i="155"/>
  <c r="K95" i="155"/>
  <c r="I96" i="155"/>
  <c r="I99" i="153"/>
  <c r="R94" i="153"/>
  <c r="T94" i="153" s="1"/>
  <c r="Y94" i="153"/>
  <c r="Z94" i="153" s="1"/>
  <c r="AE94" i="153"/>
  <c r="AF94" i="153" s="1"/>
  <c r="AK94" i="153"/>
  <c r="AL94" i="153" s="1"/>
  <c r="AQ94" i="153"/>
  <c r="AR94" i="153" s="1"/>
  <c r="BD94" i="153"/>
  <c r="BE94" i="153" s="1"/>
  <c r="M94" i="153"/>
  <c r="BQ94" i="153"/>
  <c r="BR94" i="153" s="1"/>
  <c r="O94" i="153"/>
  <c r="V94" i="153"/>
  <c r="W94" i="153" s="1"/>
  <c r="AB94" i="153"/>
  <c r="AC94" i="153" s="1"/>
  <c r="AH94" i="153"/>
  <c r="AI94" i="153" s="1"/>
  <c r="AN94" i="153"/>
  <c r="AO94" i="153" s="1"/>
  <c r="BA94" i="153"/>
  <c r="BB94" i="153" s="1"/>
  <c r="BG94" i="153"/>
  <c r="BH94" i="153" s="1"/>
  <c r="P94" i="153"/>
  <c r="AV94" i="153"/>
  <c r="AW94" i="153" s="1"/>
  <c r="BN94" i="153"/>
  <c r="BO94" i="153" s="1"/>
  <c r="BL94" i="153"/>
  <c r="K95" i="153"/>
  <c r="I103" i="152"/>
  <c r="M94" i="152"/>
  <c r="BQ94" i="152"/>
  <c r="BR94" i="152" s="1"/>
  <c r="O94" i="152"/>
  <c r="V94" i="152"/>
  <c r="W94" i="152" s="1"/>
  <c r="AB94" i="152"/>
  <c r="AC94" i="152" s="1"/>
  <c r="AH94" i="152"/>
  <c r="AI94" i="152" s="1"/>
  <c r="AN94" i="152"/>
  <c r="AO94" i="152" s="1"/>
  <c r="BA94" i="152"/>
  <c r="BB94" i="152" s="1"/>
  <c r="BG94" i="152"/>
  <c r="BH94" i="152" s="1"/>
  <c r="P94" i="152"/>
  <c r="AV94" i="152"/>
  <c r="AW94" i="152" s="1"/>
  <c r="BN94" i="152"/>
  <c r="BO94" i="152" s="1"/>
  <c r="R94" i="152"/>
  <c r="T94" i="152" s="1"/>
  <c r="Y94" i="152"/>
  <c r="Z94" i="152" s="1"/>
  <c r="AE94" i="152"/>
  <c r="AF94" i="152" s="1"/>
  <c r="AK94" i="152"/>
  <c r="AL94" i="152" s="1"/>
  <c r="AQ94" i="152"/>
  <c r="AR94" i="152" s="1"/>
  <c r="BD94" i="152"/>
  <c r="BE94" i="152" s="1"/>
  <c r="BL94" i="152"/>
  <c r="K95" i="152"/>
  <c r="K93" i="151"/>
  <c r="I94" i="151"/>
  <c r="BD92" i="151"/>
  <c r="BE92" i="151" s="1"/>
  <c r="AQ92" i="151"/>
  <c r="AR92" i="151" s="1"/>
  <c r="AK92" i="151"/>
  <c r="AL92" i="151" s="1"/>
  <c r="AE92" i="151"/>
  <c r="AF92" i="151" s="1"/>
  <c r="Y92" i="151"/>
  <c r="Z92" i="151" s="1"/>
  <c r="R92" i="151"/>
  <c r="T92" i="151" s="1"/>
  <c r="AV92" i="151"/>
  <c r="AW92" i="151" s="1"/>
  <c r="P92" i="151"/>
  <c r="BG92" i="151"/>
  <c r="BH92" i="151" s="1"/>
  <c r="BA92" i="151"/>
  <c r="BB92" i="151" s="1"/>
  <c r="AT92" i="151"/>
  <c r="AN92" i="151"/>
  <c r="AO92" i="151" s="1"/>
  <c r="AH92" i="151"/>
  <c r="AI92" i="151" s="1"/>
  <c r="AB92" i="151"/>
  <c r="AC92" i="151" s="1"/>
  <c r="V92" i="151"/>
  <c r="W92" i="151" s="1"/>
  <c r="O92" i="151"/>
  <c r="BQ92" i="151"/>
  <c r="BR92" i="151" s="1"/>
  <c r="AY92" i="151"/>
  <c r="M92" i="151"/>
  <c r="BN92" i="151"/>
  <c r="BO92" i="151" s="1"/>
  <c r="BL92" i="151"/>
  <c r="BD91" i="150"/>
  <c r="BE91" i="150" s="1"/>
  <c r="AQ91" i="150"/>
  <c r="AR91" i="150" s="1"/>
  <c r="AK91" i="150"/>
  <c r="AL91" i="150" s="1"/>
  <c r="AE91" i="150"/>
  <c r="AF91" i="150" s="1"/>
  <c r="Y91" i="150"/>
  <c r="Z91" i="150" s="1"/>
  <c r="R91" i="150"/>
  <c r="T91" i="150" s="1"/>
  <c r="AV91" i="150"/>
  <c r="AW91" i="150" s="1"/>
  <c r="P91" i="150"/>
  <c r="BG91" i="150"/>
  <c r="BH91" i="150" s="1"/>
  <c r="BA91" i="150"/>
  <c r="BB91" i="150" s="1"/>
  <c r="AT91" i="150"/>
  <c r="AN91" i="150"/>
  <c r="AO91" i="150" s="1"/>
  <c r="AH91" i="150"/>
  <c r="AI91" i="150" s="1"/>
  <c r="AB91" i="150"/>
  <c r="AC91" i="150" s="1"/>
  <c r="V91" i="150"/>
  <c r="W91" i="150" s="1"/>
  <c r="O91" i="150"/>
  <c r="AY91" i="150"/>
  <c r="BQ91" i="150"/>
  <c r="BR91" i="150" s="1"/>
  <c r="BN91" i="150"/>
  <c r="BO91" i="150" s="1"/>
  <c r="M91" i="150"/>
  <c r="BL91" i="150"/>
  <c r="K92" i="150"/>
  <c r="I95" i="150"/>
  <c r="K94" i="149"/>
  <c r="I95" i="149"/>
  <c r="BG93" i="149"/>
  <c r="BH93" i="149" s="1"/>
  <c r="BA93" i="149"/>
  <c r="BB93" i="149" s="1"/>
  <c r="AN93" i="149"/>
  <c r="AO93" i="149" s="1"/>
  <c r="AH93" i="149"/>
  <c r="AI93" i="149" s="1"/>
  <c r="AB93" i="149"/>
  <c r="AC93" i="149" s="1"/>
  <c r="V93" i="149"/>
  <c r="W93" i="149" s="1"/>
  <c r="O93" i="149"/>
  <c r="BQ93" i="149"/>
  <c r="BR93" i="149" s="1"/>
  <c r="AY93" i="149"/>
  <c r="BD93" i="149"/>
  <c r="BE93" i="149" s="1"/>
  <c r="AQ93" i="149"/>
  <c r="AR93" i="149" s="1"/>
  <c r="AK93" i="149"/>
  <c r="AL93" i="149" s="1"/>
  <c r="AE93" i="149"/>
  <c r="AF93" i="149" s="1"/>
  <c r="Y93" i="149"/>
  <c r="Z93" i="149" s="1"/>
  <c r="R93" i="149"/>
  <c r="T93" i="149" s="1"/>
  <c r="P93" i="149"/>
  <c r="AV93" i="149"/>
  <c r="AW93" i="149" s="1"/>
  <c r="BN93" i="149"/>
  <c r="BO93" i="149" s="1"/>
  <c r="M93" i="149"/>
  <c r="BL93" i="149"/>
  <c r="AV92" i="147"/>
  <c r="AW92" i="147" s="1"/>
  <c r="P92" i="147"/>
  <c r="BG92" i="147"/>
  <c r="BH92" i="147" s="1"/>
  <c r="BA92" i="147"/>
  <c r="BB92" i="147" s="1"/>
  <c r="AT92" i="147"/>
  <c r="AN92" i="147"/>
  <c r="AO92" i="147" s="1"/>
  <c r="AH92" i="147"/>
  <c r="AI92" i="147" s="1"/>
  <c r="AB92" i="147"/>
  <c r="AC92" i="147" s="1"/>
  <c r="V92" i="147"/>
  <c r="W92" i="147" s="1"/>
  <c r="O92" i="147"/>
  <c r="BD92" i="147"/>
  <c r="BE92" i="147" s="1"/>
  <c r="AQ92" i="147"/>
  <c r="AR92" i="147" s="1"/>
  <c r="AE92" i="147"/>
  <c r="AF92" i="147" s="1"/>
  <c r="R92" i="147"/>
  <c r="T92" i="147" s="1"/>
  <c r="AY92" i="147"/>
  <c r="Y92" i="147"/>
  <c r="Z92" i="147" s="1"/>
  <c r="BQ92" i="147"/>
  <c r="BR92" i="147" s="1"/>
  <c r="AK92" i="147"/>
  <c r="AL92" i="147" s="1"/>
  <c r="M92" i="147"/>
  <c r="BN92" i="147"/>
  <c r="BO92" i="147" s="1"/>
  <c r="BJ92" i="147"/>
  <c r="BL92" i="147" s="1"/>
  <c r="BK92" i="147"/>
  <c r="I94" i="147"/>
  <c r="K93" i="147"/>
  <c r="BG91" i="146"/>
  <c r="BH91" i="146" s="1"/>
  <c r="BA91" i="146"/>
  <c r="BB91" i="146" s="1"/>
  <c r="AT91" i="146"/>
  <c r="AN91" i="146"/>
  <c r="AO91" i="146" s="1"/>
  <c r="AH91" i="146"/>
  <c r="AI91" i="146" s="1"/>
  <c r="AB91" i="146"/>
  <c r="AC91" i="146" s="1"/>
  <c r="V91" i="146"/>
  <c r="W91" i="146" s="1"/>
  <c r="O91" i="146"/>
  <c r="BQ91" i="146"/>
  <c r="BR91" i="146" s="1"/>
  <c r="AY91" i="146"/>
  <c r="BD91" i="146"/>
  <c r="BE91" i="146" s="1"/>
  <c r="AQ91" i="146"/>
  <c r="AR91" i="146" s="1"/>
  <c r="AK91" i="146"/>
  <c r="AL91" i="146" s="1"/>
  <c r="AE91" i="146"/>
  <c r="AF91" i="146" s="1"/>
  <c r="Y91" i="146"/>
  <c r="Z91" i="146" s="1"/>
  <c r="R91" i="146"/>
  <c r="T91" i="146" s="1"/>
  <c r="AV91" i="146"/>
  <c r="AW91" i="146" s="1"/>
  <c r="P91" i="146"/>
  <c r="BK91" i="146"/>
  <c r="M91" i="146"/>
  <c r="BJ91" i="146"/>
  <c r="BL91" i="146" s="1"/>
  <c r="BN91" i="146"/>
  <c r="BO91" i="146" s="1"/>
  <c r="K92" i="146"/>
  <c r="I93" i="146"/>
  <c r="BJ89" i="98"/>
  <c r="BL89" i="98" s="1"/>
  <c r="BK89" i="98"/>
  <c r="P89" i="98"/>
  <c r="AK89" i="98"/>
  <c r="AL89" i="98" s="1"/>
  <c r="M89" i="98"/>
  <c r="K90" i="98"/>
  <c r="AH89" i="98"/>
  <c r="AI89" i="98" s="1"/>
  <c r="BN89" i="98"/>
  <c r="BO89" i="98" s="1"/>
  <c r="O89" i="98"/>
  <c r="BD89" i="98"/>
  <c r="BE89" i="98" s="1"/>
  <c r="AN89" i="98"/>
  <c r="AO89" i="98" s="1"/>
  <c r="AE89" i="98"/>
  <c r="AF89" i="98" s="1"/>
  <c r="V89" i="98"/>
  <c r="W89" i="98" s="1"/>
  <c r="BQ89" i="98"/>
  <c r="BR89" i="98" s="1"/>
  <c r="AT89" i="98"/>
  <c r="BA89" i="98"/>
  <c r="BB89" i="98" s="1"/>
  <c r="Y89" i="98"/>
  <c r="Z89" i="98" s="1"/>
  <c r="R89" i="98"/>
  <c r="T89" i="98" s="1"/>
  <c r="AY89" i="98"/>
  <c r="AV89" i="98"/>
  <c r="AW89" i="98" s="1"/>
  <c r="AQ89" i="98"/>
  <c r="AR89" i="98" s="1"/>
  <c r="AB89" i="98"/>
  <c r="AC89" i="98" s="1"/>
  <c r="BG89" i="98"/>
  <c r="BH89" i="98" s="1"/>
  <c r="M89" i="63"/>
  <c r="BN89" i="63"/>
  <c r="BO89" i="63" s="1"/>
  <c r="AV89" i="63"/>
  <c r="AW89" i="63" s="1"/>
  <c r="BL89" i="63"/>
  <c r="AN89" i="63"/>
  <c r="AO89" i="63" s="1"/>
  <c r="P89" i="63"/>
  <c r="O89" i="63"/>
  <c r="AB89" i="63"/>
  <c r="AC89" i="63" s="1"/>
  <c r="AT89" i="63"/>
  <c r="R89" i="63"/>
  <c r="T89" i="63" s="1"/>
  <c r="AQ89" i="63"/>
  <c r="AR89" i="63" s="1"/>
  <c r="AE89" i="63"/>
  <c r="AF89" i="63" s="1"/>
  <c r="BG89" i="63"/>
  <c r="BH89" i="63" s="1"/>
  <c r="AH89" i="63"/>
  <c r="AI89" i="63" s="1"/>
  <c r="Y89" i="63"/>
  <c r="Z89" i="63" s="1"/>
  <c r="BD89" i="63"/>
  <c r="BE89" i="63" s="1"/>
  <c r="AY89" i="63"/>
  <c r="AK89" i="63"/>
  <c r="AL89" i="63" s="1"/>
  <c r="BA89" i="63"/>
  <c r="BB89" i="63" s="1"/>
  <c r="BQ89" i="63"/>
  <c r="BR89" i="63" s="1"/>
  <c r="V89" i="63"/>
  <c r="W89" i="63" s="1"/>
  <c r="K90" i="63"/>
  <c r="I104" i="133"/>
  <c r="M88" i="101"/>
  <c r="Y88" i="101"/>
  <c r="Z88" i="101" s="1"/>
  <c r="AE88" i="101"/>
  <c r="AF88" i="101" s="1"/>
  <c r="AY88" i="101"/>
  <c r="BQ88" i="101"/>
  <c r="BR88" i="101" s="1"/>
  <c r="AV88" i="101"/>
  <c r="AW88" i="101" s="1"/>
  <c r="AT88" i="101"/>
  <c r="BG88" i="101"/>
  <c r="BH88" i="101" s="1"/>
  <c r="P88" i="101"/>
  <c r="AQ88" i="101"/>
  <c r="AR88" i="101" s="1"/>
  <c r="AB88" i="101"/>
  <c r="AC88" i="101" s="1"/>
  <c r="O88" i="101"/>
  <c r="BD88" i="101"/>
  <c r="BE88" i="101" s="1"/>
  <c r="AN88" i="101"/>
  <c r="AO88" i="101" s="1"/>
  <c r="V88" i="101"/>
  <c r="W88" i="101" s="1"/>
  <c r="R88" i="101"/>
  <c r="T88" i="101" s="1"/>
  <c r="AK88" i="101"/>
  <c r="AL88" i="101" s="1"/>
  <c r="BA88" i="101"/>
  <c r="BB88" i="101" s="1"/>
  <c r="AH88" i="101"/>
  <c r="AI88" i="101" s="1"/>
  <c r="BG90" i="64"/>
  <c r="BH90" i="64" s="1"/>
  <c r="AY90" i="64"/>
  <c r="R90" i="64"/>
  <c r="T90" i="64" s="1"/>
  <c r="AE90" i="64"/>
  <c r="AF90" i="64" s="1"/>
  <c r="Y90" i="64"/>
  <c r="Z90" i="64" s="1"/>
  <c r="AN90" i="64"/>
  <c r="AO90" i="64" s="1"/>
  <c r="AB90" i="64"/>
  <c r="AC90" i="64" s="1"/>
  <c r="BA90" i="64"/>
  <c r="BB90" i="64" s="1"/>
  <c r="BD90" i="64"/>
  <c r="BE90" i="64" s="1"/>
  <c r="AV90" i="64"/>
  <c r="AW90" i="64" s="1"/>
  <c r="AK90" i="64"/>
  <c r="AL90" i="64" s="1"/>
  <c r="P90" i="64"/>
  <c r="M90" i="64"/>
  <c r="V90" i="64"/>
  <c r="W90" i="64" s="1"/>
  <c r="AH90" i="64"/>
  <c r="AI90" i="64" s="1"/>
  <c r="BQ90" i="64"/>
  <c r="BR90" i="64" s="1"/>
  <c r="O90" i="64"/>
  <c r="AQ90" i="64"/>
  <c r="AR90" i="64" s="1"/>
  <c r="AT90" i="64"/>
  <c r="BL90" i="64"/>
  <c r="BN90" i="64"/>
  <c r="BO90" i="64" s="1"/>
  <c r="K91" i="64"/>
  <c r="M89" i="126"/>
  <c r="BK89" i="126"/>
  <c r="BN89" i="126"/>
  <c r="BO89" i="126" s="1"/>
  <c r="BJ89" i="126"/>
  <c r="BL89" i="126" s="1"/>
  <c r="AB89" i="126"/>
  <c r="AC89" i="126" s="1"/>
  <c r="AV89" i="126"/>
  <c r="AW89" i="126" s="1"/>
  <c r="AT89" i="126"/>
  <c r="AQ89" i="126"/>
  <c r="AR89" i="126" s="1"/>
  <c r="AE89" i="126"/>
  <c r="AF89" i="126" s="1"/>
  <c r="BG89" i="126"/>
  <c r="BH89" i="126" s="1"/>
  <c r="AY89" i="126"/>
  <c r="R89" i="126"/>
  <c r="T89" i="126" s="1"/>
  <c r="BA89" i="126"/>
  <c r="BB89" i="126" s="1"/>
  <c r="Y89" i="126"/>
  <c r="Z89" i="126" s="1"/>
  <c r="P89" i="126"/>
  <c r="AH89" i="126"/>
  <c r="AI89" i="126" s="1"/>
  <c r="O89" i="126"/>
  <c r="BQ89" i="126"/>
  <c r="BR89" i="126" s="1"/>
  <c r="AK89" i="126"/>
  <c r="AL89" i="126" s="1"/>
  <c r="BD89" i="126"/>
  <c r="BE89" i="126" s="1"/>
  <c r="AN89" i="126"/>
  <c r="AO89" i="126" s="1"/>
  <c r="V89" i="126"/>
  <c r="W89" i="126" s="1"/>
  <c r="K90" i="126"/>
  <c r="M90" i="135"/>
  <c r="BA90" i="135"/>
  <c r="BB90" i="135" s="1"/>
  <c r="AK90" i="135"/>
  <c r="AL90" i="135" s="1"/>
  <c r="P90" i="135"/>
  <c r="R90" i="135"/>
  <c r="T90" i="135" s="1"/>
  <c r="BD90" i="135"/>
  <c r="BE90" i="135" s="1"/>
  <c r="AE90" i="135"/>
  <c r="AF90" i="135" s="1"/>
  <c r="AB90" i="135"/>
  <c r="AC90" i="135" s="1"/>
  <c r="O90" i="135"/>
  <c r="AT90" i="135"/>
  <c r="AV90" i="135"/>
  <c r="AW90" i="135" s="1"/>
  <c r="BQ90" i="135"/>
  <c r="BR90" i="135" s="1"/>
  <c r="V90" i="135"/>
  <c r="W90" i="135" s="1"/>
  <c r="Y90" i="135"/>
  <c r="Z90" i="135" s="1"/>
  <c r="AY90" i="135"/>
  <c r="AN90" i="135"/>
  <c r="AO90" i="135" s="1"/>
  <c r="AQ90" i="135"/>
  <c r="AR90" i="135" s="1"/>
  <c r="BG90" i="135"/>
  <c r="BH90" i="135" s="1"/>
  <c r="BN90" i="135"/>
  <c r="BO90" i="135" s="1"/>
  <c r="AH90" i="135"/>
  <c r="AI90" i="135" s="1"/>
  <c r="BL90" i="135"/>
  <c r="BJ89" i="114"/>
  <c r="BL89" i="114" s="1"/>
  <c r="BK89" i="114"/>
  <c r="BN89" i="114"/>
  <c r="BO89" i="114" s="1"/>
  <c r="M89" i="114"/>
  <c r="AH89" i="114"/>
  <c r="AI89" i="114" s="1"/>
  <c r="Y89" i="114"/>
  <c r="Z89" i="114" s="1"/>
  <c r="AE89" i="114"/>
  <c r="AF89" i="114" s="1"/>
  <c r="P89" i="114"/>
  <c r="AT89" i="114"/>
  <c r="BA89" i="114"/>
  <c r="BB89" i="114" s="1"/>
  <c r="AQ89" i="114"/>
  <c r="AR89" i="114" s="1"/>
  <c r="AN89" i="114"/>
  <c r="AO89" i="114" s="1"/>
  <c r="AB89" i="114"/>
  <c r="AC89" i="114" s="1"/>
  <c r="AK89" i="114"/>
  <c r="AL89" i="114" s="1"/>
  <c r="BG89" i="114"/>
  <c r="BH89" i="114" s="1"/>
  <c r="V89" i="114"/>
  <c r="W89" i="114" s="1"/>
  <c r="BQ89" i="114"/>
  <c r="BR89" i="114" s="1"/>
  <c r="BD89" i="114"/>
  <c r="BE89" i="114" s="1"/>
  <c r="AY89" i="114"/>
  <c r="O89" i="114"/>
  <c r="AV89" i="114"/>
  <c r="AW89" i="114" s="1"/>
  <c r="R89" i="114"/>
  <c r="T89" i="114" s="1"/>
  <c r="K90" i="114"/>
  <c r="I95" i="114"/>
  <c r="M89" i="96"/>
  <c r="P89" i="96"/>
  <c r="R89" i="96"/>
  <c r="T89" i="96" s="1"/>
  <c r="AH89" i="96"/>
  <c r="AI89" i="96" s="1"/>
  <c r="AN89" i="96"/>
  <c r="AO89" i="96" s="1"/>
  <c r="AE89" i="96"/>
  <c r="AF89" i="96" s="1"/>
  <c r="AQ89" i="96"/>
  <c r="AR89" i="96" s="1"/>
  <c r="BN89" i="96"/>
  <c r="BO89" i="96" s="1"/>
  <c r="BG89" i="96"/>
  <c r="BH89" i="96" s="1"/>
  <c r="AB89" i="96"/>
  <c r="AC89" i="96" s="1"/>
  <c r="V89" i="96"/>
  <c r="W89" i="96" s="1"/>
  <c r="Y89" i="96"/>
  <c r="Z89" i="96" s="1"/>
  <c r="BD89" i="96"/>
  <c r="BE89" i="96" s="1"/>
  <c r="O89" i="96"/>
  <c r="BL89" i="96"/>
  <c r="AK89" i="96"/>
  <c r="AL89" i="96" s="1"/>
  <c r="AV89" i="96"/>
  <c r="AW89" i="96" s="1"/>
  <c r="BA89" i="96"/>
  <c r="BB89" i="96" s="1"/>
  <c r="BQ89" i="96"/>
  <c r="BR89" i="96" s="1"/>
  <c r="AT89" i="96"/>
  <c r="M93" i="124"/>
  <c r="BK93" i="124"/>
  <c r="BJ93" i="124"/>
  <c r="BL93" i="124" s="1"/>
  <c r="K94" i="124"/>
  <c r="BN93" i="124"/>
  <c r="BO93" i="124" s="1"/>
  <c r="BG93" i="124"/>
  <c r="BH93" i="124" s="1"/>
  <c r="AE93" i="124"/>
  <c r="AF93" i="124" s="1"/>
  <c r="AT93" i="124"/>
  <c r="BQ93" i="124"/>
  <c r="BR93" i="124" s="1"/>
  <c r="V93" i="124"/>
  <c r="W93" i="124" s="1"/>
  <c r="AV93" i="124"/>
  <c r="AW93" i="124" s="1"/>
  <c r="AK93" i="124"/>
  <c r="AL93" i="124" s="1"/>
  <c r="AB93" i="124"/>
  <c r="AC93" i="124" s="1"/>
  <c r="P93" i="124"/>
  <c r="O93" i="124"/>
  <c r="BD93" i="124"/>
  <c r="BE93" i="124" s="1"/>
  <c r="BA93" i="124"/>
  <c r="BB93" i="124" s="1"/>
  <c r="AQ93" i="124"/>
  <c r="AR93" i="124" s="1"/>
  <c r="R93" i="124"/>
  <c r="T93" i="124" s="1"/>
  <c r="AY93" i="124"/>
  <c r="Y93" i="124"/>
  <c r="Z93" i="124" s="1"/>
  <c r="AH93" i="124"/>
  <c r="AI93" i="124" s="1"/>
  <c r="AN93" i="124"/>
  <c r="AO93" i="124" s="1"/>
  <c r="M88" i="118"/>
  <c r="K89" i="118"/>
  <c r="BN88" i="118"/>
  <c r="BO88" i="118" s="1"/>
  <c r="BQ88" i="118"/>
  <c r="BR88" i="118" s="1"/>
  <c r="AV88" i="118"/>
  <c r="AW88" i="118" s="1"/>
  <c r="AN88" i="118"/>
  <c r="AO88" i="118" s="1"/>
  <c r="R88" i="118"/>
  <c r="T88" i="118" s="1"/>
  <c r="O88" i="118"/>
  <c r="BG88" i="118"/>
  <c r="BH88" i="118" s="1"/>
  <c r="AK88" i="118"/>
  <c r="AL88" i="118" s="1"/>
  <c r="AT88" i="118"/>
  <c r="Y88" i="118"/>
  <c r="Z88" i="118" s="1"/>
  <c r="P88" i="118"/>
  <c r="BD88" i="118"/>
  <c r="BE88" i="118" s="1"/>
  <c r="AH88" i="118"/>
  <c r="AI88" i="118" s="1"/>
  <c r="AE88" i="118"/>
  <c r="AF88" i="118" s="1"/>
  <c r="V88" i="118"/>
  <c r="W88" i="118" s="1"/>
  <c r="AY88" i="118"/>
  <c r="BA88" i="118"/>
  <c r="BB88" i="118" s="1"/>
  <c r="AB88" i="118"/>
  <c r="AC88" i="118" s="1"/>
  <c r="AQ88" i="118"/>
  <c r="AR88" i="118" s="1"/>
  <c r="AN87" i="120"/>
  <c r="AO87" i="120" s="1"/>
  <c r="AB87" i="120"/>
  <c r="AC87" i="120" s="1"/>
  <c r="Y87" i="120"/>
  <c r="Z87" i="120" s="1"/>
  <c r="AQ87" i="120"/>
  <c r="AR87" i="120" s="1"/>
  <c r="AY87" i="120"/>
  <c r="BA87" i="120"/>
  <c r="BB87" i="120" s="1"/>
  <c r="AV87" i="120"/>
  <c r="AW87" i="120" s="1"/>
  <c r="AE87" i="120"/>
  <c r="AF87" i="120" s="1"/>
  <c r="BD87" i="120"/>
  <c r="BE87" i="120" s="1"/>
  <c r="O87" i="120"/>
  <c r="V87" i="120"/>
  <c r="W87" i="120" s="1"/>
  <c r="P87" i="120"/>
  <c r="BG87" i="120"/>
  <c r="BH87" i="120" s="1"/>
  <c r="AK87" i="120"/>
  <c r="AL87" i="120" s="1"/>
  <c r="AT87" i="120"/>
  <c r="BQ87" i="120"/>
  <c r="BR87" i="120" s="1"/>
  <c r="K88" i="120"/>
  <c r="M87" i="120"/>
  <c r="R87" i="120"/>
  <c r="T87" i="120" s="1"/>
  <c r="AH87" i="120"/>
  <c r="AI87" i="120" s="1"/>
  <c r="BN87" i="120"/>
  <c r="BO87" i="120" s="1"/>
  <c r="BK89" i="115"/>
  <c r="M89" i="115"/>
  <c r="BN89" i="115"/>
  <c r="BO89" i="115" s="1"/>
  <c r="BJ89" i="115"/>
  <c r="BL89" i="115" s="1"/>
  <c r="AY89" i="115"/>
  <c r="AN89" i="115"/>
  <c r="AO89" i="115" s="1"/>
  <c r="BQ89" i="115"/>
  <c r="BR89" i="115" s="1"/>
  <c r="AT89" i="115"/>
  <c r="BG89" i="115"/>
  <c r="BH89" i="115" s="1"/>
  <c r="V89" i="115"/>
  <c r="W89" i="115" s="1"/>
  <c r="AB89" i="115"/>
  <c r="AC89" i="115" s="1"/>
  <c r="R89" i="115"/>
  <c r="T89" i="115" s="1"/>
  <c r="AV89" i="115"/>
  <c r="AW89" i="115" s="1"/>
  <c r="BD89" i="115"/>
  <c r="BE89" i="115" s="1"/>
  <c r="AK89" i="115"/>
  <c r="AL89" i="115" s="1"/>
  <c r="AH89" i="115"/>
  <c r="AI89" i="115" s="1"/>
  <c r="AE89" i="115"/>
  <c r="AF89" i="115" s="1"/>
  <c r="O89" i="115"/>
  <c r="AQ89" i="115"/>
  <c r="AR89" i="115" s="1"/>
  <c r="BA89" i="115"/>
  <c r="BB89" i="115" s="1"/>
  <c r="Y89" i="115"/>
  <c r="Z89" i="115" s="1"/>
  <c r="P89" i="115"/>
  <c r="I94" i="63"/>
  <c r="I90" i="101"/>
  <c r="K89" i="101"/>
  <c r="AQ87" i="66"/>
  <c r="AR87" i="66" s="1"/>
  <c r="R87" i="66"/>
  <c r="T87" i="66" s="1"/>
  <c r="Y87" i="66"/>
  <c r="Z87" i="66" s="1"/>
  <c r="AV87" i="66"/>
  <c r="AW87" i="66" s="1"/>
  <c r="BN87" i="66"/>
  <c r="BO87" i="66" s="1"/>
  <c r="AH87" i="66"/>
  <c r="AI87" i="66" s="1"/>
  <c r="AK87" i="66"/>
  <c r="AL87" i="66" s="1"/>
  <c r="AY87" i="66"/>
  <c r="AE87" i="66"/>
  <c r="AF87" i="66" s="1"/>
  <c r="AT87" i="66"/>
  <c r="O87" i="66"/>
  <c r="BD87" i="66"/>
  <c r="BE87" i="66" s="1"/>
  <c r="BG87" i="66"/>
  <c r="BH87" i="66" s="1"/>
  <c r="AN87" i="66"/>
  <c r="AO87" i="66" s="1"/>
  <c r="BA87" i="66"/>
  <c r="BB87" i="66" s="1"/>
  <c r="AB87" i="66"/>
  <c r="AC87" i="66" s="1"/>
  <c r="V87" i="66"/>
  <c r="W87" i="66" s="1"/>
  <c r="P87" i="66"/>
  <c r="BQ87" i="66"/>
  <c r="BR87" i="66" s="1"/>
  <c r="M87" i="66"/>
  <c r="BL87" i="66"/>
  <c r="I89" i="13"/>
  <c r="K88" i="13"/>
  <c r="I98" i="95"/>
  <c r="I91" i="115"/>
  <c r="K90" i="115"/>
  <c r="BN87" i="17"/>
  <c r="BO87" i="17" s="1"/>
  <c r="BL87" i="17"/>
  <c r="M87" i="17"/>
  <c r="AN87" i="17"/>
  <c r="AO87" i="17" s="1"/>
  <c r="BA87" i="17"/>
  <c r="BB87" i="17" s="1"/>
  <c r="AV87" i="17"/>
  <c r="AW87" i="17" s="1"/>
  <c r="Y87" i="17"/>
  <c r="Z87" i="17" s="1"/>
  <c r="AK87" i="17"/>
  <c r="AL87" i="17" s="1"/>
  <c r="BG87" i="17"/>
  <c r="BH87" i="17" s="1"/>
  <c r="R87" i="17"/>
  <c r="T87" i="17" s="1"/>
  <c r="O87" i="17"/>
  <c r="AT87" i="17"/>
  <c r="AY87" i="17"/>
  <c r="AE87" i="17"/>
  <c r="AF87" i="17" s="1"/>
  <c r="BQ87" i="17"/>
  <c r="BR87" i="17" s="1"/>
  <c r="AH87" i="17"/>
  <c r="AI87" i="17" s="1"/>
  <c r="BD87" i="17"/>
  <c r="BE87" i="17" s="1"/>
  <c r="P87" i="17"/>
  <c r="AB87" i="17"/>
  <c r="AC87" i="17" s="1"/>
  <c r="V87" i="17"/>
  <c r="W87" i="17" s="1"/>
  <c r="AQ87" i="17"/>
  <c r="AR87" i="17" s="1"/>
  <c r="I93" i="104"/>
  <c r="I91" i="110"/>
  <c r="K90" i="110"/>
  <c r="I95" i="64"/>
  <c r="I95" i="136"/>
  <c r="I89" i="66"/>
  <c r="K88" i="66"/>
  <c r="BN87" i="13"/>
  <c r="BO87" i="13" s="1"/>
  <c r="M87" i="13"/>
  <c r="BL87" i="13"/>
  <c r="BD87" i="13"/>
  <c r="BE87" i="13" s="1"/>
  <c r="AE87" i="13"/>
  <c r="AF87" i="13" s="1"/>
  <c r="AN87" i="13"/>
  <c r="AO87" i="13" s="1"/>
  <c r="R87" i="13"/>
  <c r="T87" i="13" s="1"/>
  <c r="AB87" i="13"/>
  <c r="AC87" i="13" s="1"/>
  <c r="AK87" i="13"/>
  <c r="AL87" i="13" s="1"/>
  <c r="V87" i="13"/>
  <c r="W87" i="13" s="1"/>
  <c r="AH87" i="13"/>
  <c r="AI87" i="13" s="1"/>
  <c r="BA87" i="13"/>
  <c r="BB87" i="13" s="1"/>
  <c r="O87" i="13"/>
  <c r="Y87" i="13"/>
  <c r="Z87" i="13" s="1"/>
  <c r="AQ87" i="13"/>
  <c r="AR87" i="13" s="1"/>
  <c r="AY87" i="13"/>
  <c r="AT87" i="13"/>
  <c r="P87" i="13"/>
  <c r="AV87" i="13"/>
  <c r="AW87" i="13" s="1"/>
  <c r="BQ87" i="13"/>
  <c r="BR87" i="13" s="1"/>
  <c r="BG87" i="13"/>
  <c r="BH87" i="13" s="1"/>
  <c r="BL88" i="15"/>
  <c r="BN88" i="15"/>
  <c r="BO88" i="15" s="1"/>
  <c r="M88" i="15"/>
  <c r="AH88" i="15"/>
  <c r="AI88" i="15" s="1"/>
  <c r="AK88" i="15"/>
  <c r="AL88" i="15" s="1"/>
  <c r="P88" i="15"/>
  <c r="BG88" i="15"/>
  <c r="BH88" i="15" s="1"/>
  <c r="AV88" i="15"/>
  <c r="AW88" i="15" s="1"/>
  <c r="Y88" i="15"/>
  <c r="Z88" i="15" s="1"/>
  <c r="AE88" i="15"/>
  <c r="AF88" i="15" s="1"/>
  <c r="AN88" i="15"/>
  <c r="AO88" i="15" s="1"/>
  <c r="AY88" i="15"/>
  <c r="BD88" i="15"/>
  <c r="BE88" i="15" s="1"/>
  <c r="V88" i="15"/>
  <c r="W88" i="15" s="1"/>
  <c r="AB88" i="15"/>
  <c r="AC88" i="15" s="1"/>
  <c r="BA88" i="15"/>
  <c r="BB88" i="15" s="1"/>
  <c r="R88" i="15"/>
  <c r="T88" i="15" s="1"/>
  <c r="AQ88" i="15"/>
  <c r="AR88" i="15" s="1"/>
  <c r="AT88" i="15"/>
  <c r="O88" i="15"/>
  <c r="BQ88" i="15"/>
  <c r="BR88" i="15" s="1"/>
  <c r="K89" i="15"/>
  <c r="I93" i="15"/>
  <c r="I89" i="17"/>
  <c r="K88" i="17"/>
  <c r="I96" i="132"/>
  <c r="M89" i="110"/>
  <c r="BN89" i="110"/>
  <c r="BO89" i="110" s="1"/>
  <c r="BJ89" i="110"/>
  <c r="BL89" i="110" s="1"/>
  <c r="BK89" i="110"/>
  <c r="V89" i="110"/>
  <c r="W89" i="110" s="1"/>
  <c r="O89" i="110"/>
  <c r="AY89" i="110"/>
  <c r="Y89" i="110"/>
  <c r="Z89" i="110" s="1"/>
  <c r="AN89" i="110"/>
  <c r="AO89" i="110" s="1"/>
  <c r="AH89" i="110"/>
  <c r="AI89" i="110" s="1"/>
  <c r="BD89" i="110"/>
  <c r="BE89" i="110" s="1"/>
  <c r="BA89" i="110"/>
  <c r="BB89" i="110" s="1"/>
  <c r="P89" i="110"/>
  <c r="BG89" i="110"/>
  <c r="BH89" i="110" s="1"/>
  <c r="AB89" i="110"/>
  <c r="AC89" i="110" s="1"/>
  <c r="AK89" i="110"/>
  <c r="AL89" i="110" s="1"/>
  <c r="AV89" i="110"/>
  <c r="AW89" i="110" s="1"/>
  <c r="R89" i="110"/>
  <c r="T89" i="110" s="1"/>
  <c r="AE89" i="110"/>
  <c r="AF89" i="110" s="1"/>
  <c r="AQ89" i="110"/>
  <c r="AR89" i="110" s="1"/>
  <c r="BQ89" i="110"/>
  <c r="BR89" i="110" s="1"/>
  <c r="AT89" i="110"/>
  <c r="BK91" i="105"/>
  <c r="M91" i="105"/>
  <c r="BN91" i="105"/>
  <c r="BO91" i="105" s="1"/>
  <c r="BJ91" i="105"/>
  <c r="BL91" i="105" s="1"/>
  <c r="Y91" i="105"/>
  <c r="Z91" i="105" s="1"/>
  <c r="AQ91" i="105"/>
  <c r="AR91" i="105" s="1"/>
  <c r="AY91" i="105"/>
  <c r="AT91" i="105"/>
  <c r="AK91" i="105"/>
  <c r="AL91" i="105" s="1"/>
  <c r="P91" i="105"/>
  <c r="BQ91" i="105"/>
  <c r="BR91" i="105" s="1"/>
  <c r="AV91" i="105"/>
  <c r="AW91" i="105" s="1"/>
  <c r="BA91" i="105"/>
  <c r="BB91" i="105" s="1"/>
  <c r="O91" i="105"/>
  <c r="AN91" i="105"/>
  <c r="AO91" i="105" s="1"/>
  <c r="AB91" i="105"/>
  <c r="AC91" i="105" s="1"/>
  <c r="AE91" i="105"/>
  <c r="AF91" i="105" s="1"/>
  <c r="BD91" i="105"/>
  <c r="BE91" i="105" s="1"/>
  <c r="AH91" i="105"/>
  <c r="AI91" i="105" s="1"/>
  <c r="BG91" i="105"/>
  <c r="BH91" i="105" s="1"/>
  <c r="R91" i="105"/>
  <c r="T91" i="105" s="1"/>
  <c r="V91" i="105"/>
  <c r="W91" i="105" s="1"/>
  <c r="K92" i="105"/>
  <c r="I94" i="126"/>
  <c r="I92" i="135"/>
  <c r="K91" i="135"/>
  <c r="BN91" i="136"/>
  <c r="BO91" i="136" s="1"/>
  <c r="M91" i="136"/>
  <c r="BL91" i="136"/>
  <c r="AE91" i="136"/>
  <c r="AF91" i="136" s="1"/>
  <c r="P91" i="136"/>
  <c r="AQ91" i="136"/>
  <c r="AR91" i="136" s="1"/>
  <c r="AH91" i="136"/>
  <c r="AI91" i="136" s="1"/>
  <c r="AV91" i="136"/>
  <c r="AW91" i="136" s="1"/>
  <c r="BA91" i="136"/>
  <c r="BB91" i="136" s="1"/>
  <c r="BD91" i="136"/>
  <c r="BE91" i="136" s="1"/>
  <c r="BQ91" i="136"/>
  <c r="BR91" i="136" s="1"/>
  <c r="Y91" i="136"/>
  <c r="Z91" i="136" s="1"/>
  <c r="R91" i="136"/>
  <c r="T91" i="136" s="1"/>
  <c r="AN91" i="136"/>
  <c r="AO91" i="136" s="1"/>
  <c r="V91" i="136"/>
  <c r="W91" i="136" s="1"/>
  <c r="AK91" i="136"/>
  <c r="AL91" i="136" s="1"/>
  <c r="AY91" i="136"/>
  <c r="AT91" i="136"/>
  <c r="O91" i="136"/>
  <c r="AB91" i="136"/>
  <c r="AC91" i="136" s="1"/>
  <c r="BG91" i="136"/>
  <c r="BH91" i="136" s="1"/>
  <c r="K92" i="136"/>
  <c r="I96" i="105"/>
  <c r="I91" i="96"/>
  <c r="K90" i="96"/>
  <c r="BK93" i="107" l="1"/>
  <c r="BG93" i="107"/>
  <c r="BH93" i="107" s="1"/>
  <c r="BQ93" i="107"/>
  <c r="BR93" i="107" s="1"/>
  <c r="AN93" i="107"/>
  <c r="AO93" i="107" s="1"/>
  <c r="M93" i="107"/>
  <c r="BD93" i="107"/>
  <c r="BE93" i="107" s="1"/>
  <c r="AB93" i="107"/>
  <c r="AC93" i="107" s="1"/>
  <c r="R93" i="107"/>
  <c r="T93" i="107" s="1"/>
  <c r="AH93" i="107"/>
  <c r="AI93" i="107" s="1"/>
  <c r="BA93" i="107"/>
  <c r="BB93" i="107" s="1"/>
  <c r="AE93" i="107"/>
  <c r="AF93" i="107" s="1"/>
  <c r="AY93" i="107"/>
  <c r="Y93" i="107"/>
  <c r="Z93" i="107" s="1"/>
  <c r="O93" i="107"/>
  <c r="BJ93" i="107"/>
  <c r="BL93" i="107" s="1"/>
  <c r="AV93" i="107"/>
  <c r="AW93" i="107" s="1"/>
  <c r="AT93" i="107"/>
  <c r="V93" i="107"/>
  <c r="W93" i="107" s="1"/>
  <c r="AQ93" i="107"/>
  <c r="AR93" i="107" s="1"/>
  <c r="BN93" i="107"/>
  <c r="BO93" i="107" s="1"/>
  <c r="P93" i="107"/>
  <c r="AK93" i="107"/>
  <c r="AL93" i="107" s="1"/>
  <c r="BQ91" i="132"/>
  <c r="BR91" i="132" s="1"/>
  <c r="AY91" i="132"/>
  <c r="O91" i="132"/>
  <c r="AT91" i="132"/>
  <c r="AN91" i="132"/>
  <c r="AO91" i="132" s="1"/>
  <c r="AE91" i="132"/>
  <c r="AF91" i="132" s="1"/>
  <c r="AV91" i="132"/>
  <c r="AW91" i="132" s="1"/>
  <c r="R91" i="132"/>
  <c r="T91" i="132" s="1"/>
  <c r="AB91" i="132"/>
  <c r="AC91" i="132" s="1"/>
  <c r="K92" i="132"/>
  <c r="BN91" i="132"/>
  <c r="BO91" i="132" s="1"/>
  <c r="BG91" i="132"/>
  <c r="BH91" i="132" s="1"/>
  <c r="P91" i="132"/>
  <c r="AK91" i="132"/>
  <c r="AL91" i="132" s="1"/>
  <c r="BL91" i="132"/>
  <c r="BD91" i="132"/>
  <c r="BE91" i="132" s="1"/>
  <c r="BA91" i="132"/>
  <c r="BB91" i="132" s="1"/>
  <c r="AQ91" i="132"/>
  <c r="AR91" i="132" s="1"/>
  <c r="V91" i="132"/>
  <c r="W91" i="132" s="1"/>
  <c r="M91" i="132"/>
  <c r="Y91" i="132"/>
  <c r="Z91" i="132" s="1"/>
  <c r="AH91" i="132"/>
  <c r="AI91" i="132" s="1"/>
  <c r="I95" i="107"/>
  <c r="K94" i="107"/>
  <c r="AQ91" i="99"/>
  <c r="AR91" i="99" s="1"/>
  <c r="BN91" i="99"/>
  <c r="BO91" i="99" s="1"/>
  <c r="O91" i="99"/>
  <c r="P91" i="99"/>
  <c r="AV91" i="99"/>
  <c r="AW91" i="99" s="1"/>
  <c r="K92" i="99"/>
  <c r="BK91" i="99"/>
  <c r="BA91" i="99"/>
  <c r="BB91" i="99" s="1"/>
  <c r="R91" i="99"/>
  <c r="T91" i="99" s="1"/>
  <c r="AY91" i="99"/>
  <c r="Y91" i="99"/>
  <c r="Z91" i="99" s="1"/>
  <c r="BG91" i="99"/>
  <c r="BH91" i="99" s="1"/>
  <c r="AT91" i="99"/>
  <c r="BD91" i="99"/>
  <c r="BE91" i="99" s="1"/>
  <c r="BQ91" i="99"/>
  <c r="BR91" i="99" s="1"/>
  <c r="AH91" i="99"/>
  <c r="AI91" i="99" s="1"/>
  <c r="AB91" i="99"/>
  <c r="AC91" i="99" s="1"/>
  <c r="AE91" i="99"/>
  <c r="AF91" i="99" s="1"/>
  <c r="AK91" i="99"/>
  <c r="AL91" i="99" s="1"/>
  <c r="M91" i="99"/>
  <c r="BJ91" i="99"/>
  <c r="BL91" i="99" s="1"/>
  <c r="AN91" i="99"/>
  <c r="AO91" i="99" s="1"/>
  <c r="V91" i="99"/>
  <c r="W91" i="99" s="1"/>
  <c r="BA90" i="129"/>
  <c r="BB90" i="129" s="1"/>
  <c r="AB90" i="129"/>
  <c r="AC90" i="129" s="1"/>
  <c r="Y90" i="129"/>
  <c r="Z90" i="129" s="1"/>
  <c r="BL90" i="129"/>
  <c r="AY90" i="129"/>
  <c r="BG90" i="129"/>
  <c r="BH90" i="129" s="1"/>
  <c r="P90" i="129"/>
  <c r="AE90" i="129"/>
  <c r="AF90" i="129" s="1"/>
  <c r="O90" i="129"/>
  <c r="AH90" i="129"/>
  <c r="AI90" i="129" s="1"/>
  <c r="BQ90" i="129"/>
  <c r="BR90" i="129" s="1"/>
  <c r="AK90" i="129"/>
  <c r="AL90" i="129" s="1"/>
  <c r="BD90" i="129"/>
  <c r="BE90" i="129" s="1"/>
  <c r="K91" i="129"/>
  <c r="R90" i="129"/>
  <c r="T90" i="129" s="1"/>
  <c r="AV90" i="129"/>
  <c r="AW90" i="129" s="1"/>
  <c r="AQ90" i="129"/>
  <c r="AR90" i="129" s="1"/>
  <c r="BN90" i="129"/>
  <c r="BO90" i="129" s="1"/>
  <c r="AN90" i="129"/>
  <c r="AO90" i="129" s="1"/>
  <c r="V90" i="129"/>
  <c r="W90" i="129" s="1"/>
  <c r="AT90" i="129"/>
  <c r="M90" i="129"/>
  <c r="BD92" i="133"/>
  <c r="BE92" i="133" s="1"/>
  <c r="BA92" i="133"/>
  <c r="BB92" i="133" s="1"/>
  <c r="AK92" i="133"/>
  <c r="AL92" i="133" s="1"/>
  <c r="BG92" i="133"/>
  <c r="BH92" i="133" s="1"/>
  <c r="Y92" i="133"/>
  <c r="Z92" i="133" s="1"/>
  <c r="AT92" i="133"/>
  <c r="M92" i="133"/>
  <c r="AE92" i="133"/>
  <c r="AF92" i="133" s="1"/>
  <c r="V92" i="133"/>
  <c r="W92" i="133" s="1"/>
  <c r="AV92" i="133"/>
  <c r="AW92" i="133" s="1"/>
  <c r="BN92" i="133"/>
  <c r="BO92" i="133" s="1"/>
  <c r="O92" i="133"/>
  <c r="P92" i="133"/>
  <c r="AQ92" i="133"/>
  <c r="AR92" i="133" s="1"/>
  <c r="BL92" i="133"/>
  <c r="AN92" i="133"/>
  <c r="AO92" i="133" s="1"/>
  <c r="BQ92" i="133"/>
  <c r="BR92" i="133" s="1"/>
  <c r="AB92" i="133"/>
  <c r="AC92" i="133" s="1"/>
  <c r="R92" i="133"/>
  <c r="T92" i="133" s="1"/>
  <c r="AY92" i="133"/>
  <c r="AH92" i="133"/>
  <c r="AI92" i="133" s="1"/>
  <c r="K93" i="133"/>
  <c r="BL88" i="95"/>
  <c r="AH88" i="95"/>
  <c r="AI88" i="95" s="1"/>
  <c r="V88" i="95"/>
  <c r="W88" i="95" s="1"/>
  <c r="K89" i="95"/>
  <c r="AK88" i="95"/>
  <c r="AL88" i="95" s="1"/>
  <c r="BA88" i="95"/>
  <c r="BB88" i="95" s="1"/>
  <c r="AT88" i="95"/>
  <c r="AB88" i="95"/>
  <c r="AC88" i="95" s="1"/>
  <c r="Y88" i="95"/>
  <c r="Z88" i="95" s="1"/>
  <c r="BG88" i="95"/>
  <c r="BH88" i="95" s="1"/>
  <c r="O88" i="95"/>
  <c r="AQ88" i="95"/>
  <c r="AR88" i="95" s="1"/>
  <c r="BD88" i="95"/>
  <c r="BE88" i="95" s="1"/>
  <c r="R88" i="95"/>
  <c r="T88" i="95" s="1"/>
  <c r="BQ88" i="95"/>
  <c r="BR88" i="95" s="1"/>
  <c r="BN88" i="95"/>
  <c r="BO88" i="95" s="1"/>
  <c r="M88" i="95"/>
  <c r="AE88" i="95"/>
  <c r="AF88" i="95" s="1"/>
  <c r="AN88" i="95"/>
  <c r="AO88" i="95" s="1"/>
  <c r="P88" i="95"/>
  <c r="AV88" i="95"/>
  <c r="AW88" i="95" s="1"/>
  <c r="BJ89" i="112"/>
  <c r="BL89" i="112" s="1"/>
  <c r="BD89" i="112"/>
  <c r="BE89" i="112" s="1"/>
  <c r="BA89" i="112"/>
  <c r="BB89" i="112" s="1"/>
  <c r="AH89" i="112"/>
  <c r="AI89" i="112" s="1"/>
  <c r="M89" i="112"/>
  <c r="AT89" i="112"/>
  <c r="AQ89" i="112"/>
  <c r="AR89" i="112" s="1"/>
  <c r="AV89" i="112"/>
  <c r="AW89" i="112" s="1"/>
  <c r="BN89" i="112"/>
  <c r="BO89" i="112" s="1"/>
  <c r="P89" i="112"/>
  <c r="BG89" i="112"/>
  <c r="BH89" i="112" s="1"/>
  <c r="AB89" i="112"/>
  <c r="AC89" i="112" s="1"/>
  <c r="V89" i="112"/>
  <c r="W89" i="112" s="1"/>
  <c r="AY89" i="112"/>
  <c r="AN89" i="112"/>
  <c r="AO89" i="112" s="1"/>
  <c r="K90" i="112"/>
  <c r="R89" i="112"/>
  <c r="T89" i="112" s="1"/>
  <c r="O89" i="112"/>
  <c r="AE89" i="112"/>
  <c r="AF89" i="112" s="1"/>
  <c r="BK89" i="112"/>
  <c r="Y89" i="112"/>
  <c r="Z89" i="112" s="1"/>
  <c r="AK89" i="112"/>
  <c r="AL89" i="112" s="1"/>
  <c r="BQ89" i="112"/>
  <c r="BR89" i="112" s="1"/>
  <c r="BN89" i="104"/>
  <c r="BO89" i="104" s="1"/>
  <c r="AN89" i="104"/>
  <c r="AO89" i="104" s="1"/>
  <c r="BG89" i="104"/>
  <c r="BH89" i="104" s="1"/>
  <c r="O89" i="104"/>
  <c r="BK89" i="104"/>
  <c r="V89" i="104"/>
  <c r="W89" i="104" s="1"/>
  <c r="AH89" i="104"/>
  <c r="AI89" i="104" s="1"/>
  <c r="AB89" i="104"/>
  <c r="AC89" i="104" s="1"/>
  <c r="BQ89" i="104"/>
  <c r="BR89" i="104" s="1"/>
  <c r="Y89" i="104"/>
  <c r="Z89" i="104" s="1"/>
  <c r="BD89" i="104"/>
  <c r="BE89" i="104" s="1"/>
  <c r="AT89" i="104"/>
  <c r="R89" i="104"/>
  <c r="T89" i="104" s="1"/>
  <c r="AK89" i="104"/>
  <c r="AL89" i="104" s="1"/>
  <c r="BJ89" i="104"/>
  <c r="BL89" i="104" s="1"/>
  <c r="AQ89" i="104"/>
  <c r="AR89" i="104" s="1"/>
  <c r="P89" i="104"/>
  <c r="AY89" i="104"/>
  <c r="M89" i="104"/>
  <c r="BA89" i="104"/>
  <c r="BB89" i="104" s="1"/>
  <c r="AV89" i="104"/>
  <c r="AW89" i="104" s="1"/>
  <c r="AE89" i="104"/>
  <c r="AF89" i="104" s="1"/>
  <c r="K90" i="104"/>
  <c r="P94" i="156"/>
  <c r="AK94" i="156"/>
  <c r="AL94" i="156" s="1"/>
  <c r="O94" i="156"/>
  <c r="BA94" i="156"/>
  <c r="BB94" i="156" s="1"/>
  <c r="AV94" i="156"/>
  <c r="AW94" i="156" s="1"/>
  <c r="AQ94" i="156"/>
  <c r="AR94" i="156" s="1"/>
  <c r="AN94" i="156"/>
  <c r="AO94" i="156" s="1"/>
  <c r="BL94" i="156"/>
  <c r="BN94" i="156"/>
  <c r="BO94" i="156" s="1"/>
  <c r="BD94" i="156"/>
  <c r="BE94" i="156" s="1"/>
  <c r="AH94" i="156"/>
  <c r="AI94" i="156" s="1"/>
  <c r="R94" i="156"/>
  <c r="T94" i="156" s="1"/>
  <c r="M94" i="156"/>
  <c r="BG94" i="156"/>
  <c r="BH94" i="156" s="1"/>
  <c r="Y94" i="156"/>
  <c r="Z94" i="156" s="1"/>
  <c r="V94" i="156"/>
  <c r="W94" i="156" s="1"/>
  <c r="AE94" i="156"/>
  <c r="AF94" i="156" s="1"/>
  <c r="BQ94" i="156"/>
  <c r="BR94" i="156" s="1"/>
  <c r="AB94" i="156"/>
  <c r="AC94" i="156" s="1"/>
  <c r="I96" i="106"/>
  <c r="K95" i="156"/>
  <c r="AY95" i="156" s="1"/>
  <c r="I96" i="156"/>
  <c r="O89" i="106"/>
  <c r="M89" i="106"/>
  <c r="V89" i="106"/>
  <c r="W89" i="106" s="1"/>
  <c r="AY89" i="106"/>
  <c r="BD89" i="106"/>
  <c r="BE89" i="106" s="1"/>
  <c r="BN89" i="106"/>
  <c r="BO89" i="106" s="1"/>
  <c r="AK89" i="106"/>
  <c r="AL89" i="106" s="1"/>
  <c r="AV89" i="106"/>
  <c r="AW89" i="106" s="1"/>
  <c r="AB89" i="106"/>
  <c r="AC89" i="106" s="1"/>
  <c r="BK89" i="106"/>
  <c r="R89" i="106"/>
  <c r="T89" i="106" s="1"/>
  <c r="AH89" i="106"/>
  <c r="AI89" i="106" s="1"/>
  <c r="AQ89" i="106"/>
  <c r="AR89" i="106" s="1"/>
  <c r="P89" i="106"/>
  <c r="BG89" i="106"/>
  <c r="BH89" i="106" s="1"/>
  <c r="AN89" i="106"/>
  <c r="AO89" i="106" s="1"/>
  <c r="BJ89" i="106"/>
  <c r="BL89" i="106" s="1"/>
  <c r="Y89" i="106"/>
  <c r="Z89" i="106" s="1"/>
  <c r="BQ89" i="106"/>
  <c r="BR89" i="106" s="1"/>
  <c r="BA89" i="106"/>
  <c r="BB89" i="106" s="1"/>
  <c r="AT89" i="106"/>
  <c r="AE89" i="106"/>
  <c r="AF89" i="106" s="1"/>
  <c r="K90" i="106"/>
  <c r="M90" i="130"/>
  <c r="BL90" i="130"/>
  <c r="BN90" i="130"/>
  <c r="BO90" i="130" s="1"/>
  <c r="K91" i="130"/>
  <c r="AQ90" i="130"/>
  <c r="AR90" i="130" s="1"/>
  <c r="AN90" i="130"/>
  <c r="AO90" i="130" s="1"/>
  <c r="R90" i="130"/>
  <c r="T90" i="130" s="1"/>
  <c r="AY90" i="130"/>
  <c r="BQ90" i="130"/>
  <c r="BR90" i="130" s="1"/>
  <c r="AV90" i="130"/>
  <c r="AW90" i="130" s="1"/>
  <c r="Y90" i="130"/>
  <c r="Z90" i="130" s="1"/>
  <c r="P90" i="130"/>
  <c r="AH90" i="130"/>
  <c r="AI90" i="130" s="1"/>
  <c r="O90" i="130"/>
  <c r="AB90" i="130"/>
  <c r="AC90" i="130" s="1"/>
  <c r="BA90" i="130"/>
  <c r="BB90" i="130" s="1"/>
  <c r="BD90" i="130"/>
  <c r="BE90" i="130" s="1"/>
  <c r="AT90" i="130"/>
  <c r="AE90" i="130"/>
  <c r="AF90" i="130" s="1"/>
  <c r="V90" i="130"/>
  <c r="W90" i="130" s="1"/>
  <c r="AK90" i="130"/>
  <c r="AL90" i="130" s="1"/>
  <c r="BG90" i="130"/>
  <c r="BH90" i="130" s="1"/>
  <c r="K96" i="155"/>
  <c r="I97" i="155"/>
  <c r="R95" i="155"/>
  <c r="T95" i="155" s="1"/>
  <c r="Y95" i="155"/>
  <c r="Z95" i="155" s="1"/>
  <c r="AE95" i="155"/>
  <c r="AF95" i="155" s="1"/>
  <c r="AK95" i="155"/>
  <c r="AL95" i="155" s="1"/>
  <c r="AQ95" i="155"/>
  <c r="AR95" i="155" s="1"/>
  <c r="BD95" i="155"/>
  <c r="BE95" i="155" s="1"/>
  <c r="M95" i="155"/>
  <c r="BQ95" i="155"/>
  <c r="BR95" i="155" s="1"/>
  <c r="O95" i="155"/>
  <c r="V95" i="155"/>
  <c r="W95" i="155" s="1"/>
  <c r="AB95" i="155"/>
  <c r="AC95" i="155" s="1"/>
  <c r="AH95" i="155"/>
  <c r="AI95" i="155" s="1"/>
  <c r="AN95" i="155"/>
  <c r="AO95" i="155" s="1"/>
  <c r="BA95" i="155"/>
  <c r="BB95" i="155" s="1"/>
  <c r="BG95" i="155"/>
  <c r="BH95" i="155" s="1"/>
  <c r="P95" i="155"/>
  <c r="AV95" i="155"/>
  <c r="AW95" i="155" s="1"/>
  <c r="BN95" i="155"/>
  <c r="BO95" i="155" s="1"/>
  <c r="BL95" i="155"/>
  <c r="R95" i="153"/>
  <c r="T95" i="153" s="1"/>
  <c r="Y95" i="153"/>
  <c r="Z95" i="153" s="1"/>
  <c r="AE95" i="153"/>
  <c r="AF95" i="153" s="1"/>
  <c r="AK95" i="153"/>
  <c r="AL95" i="153" s="1"/>
  <c r="AQ95" i="153"/>
  <c r="AR95" i="153" s="1"/>
  <c r="BD95" i="153"/>
  <c r="BE95" i="153" s="1"/>
  <c r="M95" i="153"/>
  <c r="BQ95" i="153"/>
  <c r="BR95" i="153" s="1"/>
  <c r="O95" i="153"/>
  <c r="V95" i="153"/>
  <c r="W95" i="153" s="1"/>
  <c r="AB95" i="153"/>
  <c r="AC95" i="153" s="1"/>
  <c r="AH95" i="153"/>
  <c r="AI95" i="153" s="1"/>
  <c r="AN95" i="153"/>
  <c r="AO95" i="153" s="1"/>
  <c r="BA95" i="153"/>
  <c r="BB95" i="153" s="1"/>
  <c r="BG95" i="153"/>
  <c r="BH95" i="153" s="1"/>
  <c r="P95" i="153"/>
  <c r="AV95" i="153"/>
  <c r="AW95" i="153" s="1"/>
  <c r="BN95" i="153"/>
  <c r="BO95" i="153" s="1"/>
  <c r="BL95" i="153"/>
  <c r="K96" i="153"/>
  <c r="I100" i="153"/>
  <c r="M95" i="152"/>
  <c r="BQ95" i="152"/>
  <c r="BR95" i="152" s="1"/>
  <c r="O95" i="152"/>
  <c r="V95" i="152"/>
  <c r="W95" i="152" s="1"/>
  <c r="AB95" i="152"/>
  <c r="AC95" i="152" s="1"/>
  <c r="AH95" i="152"/>
  <c r="AI95" i="152" s="1"/>
  <c r="AN95" i="152"/>
  <c r="AO95" i="152" s="1"/>
  <c r="BA95" i="152"/>
  <c r="BB95" i="152" s="1"/>
  <c r="BG95" i="152"/>
  <c r="BH95" i="152" s="1"/>
  <c r="P95" i="152"/>
  <c r="AV95" i="152"/>
  <c r="AW95" i="152" s="1"/>
  <c r="BN95" i="152"/>
  <c r="BO95" i="152" s="1"/>
  <c r="R95" i="152"/>
  <c r="T95" i="152" s="1"/>
  <c r="Y95" i="152"/>
  <c r="Z95" i="152" s="1"/>
  <c r="AE95" i="152"/>
  <c r="AF95" i="152" s="1"/>
  <c r="AK95" i="152"/>
  <c r="AL95" i="152" s="1"/>
  <c r="AQ95" i="152"/>
  <c r="AR95" i="152" s="1"/>
  <c r="BD95" i="152"/>
  <c r="BE95" i="152" s="1"/>
  <c r="BL95" i="152"/>
  <c r="K96" i="152"/>
  <c r="I104" i="152"/>
  <c r="K94" i="151"/>
  <c r="I95" i="151"/>
  <c r="BD93" i="151"/>
  <c r="BE93" i="151" s="1"/>
  <c r="AQ93" i="151"/>
  <c r="AR93" i="151" s="1"/>
  <c r="AK93" i="151"/>
  <c r="AL93" i="151" s="1"/>
  <c r="AE93" i="151"/>
  <c r="AF93" i="151" s="1"/>
  <c r="Y93" i="151"/>
  <c r="Z93" i="151" s="1"/>
  <c r="R93" i="151"/>
  <c r="T93" i="151" s="1"/>
  <c r="AV93" i="151"/>
  <c r="AW93" i="151" s="1"/>
  <c r="P93" i="151"/>
  <c r="BG93" i="151"/>
  <c r="BH93" i="151" s="1"/>
  <c r="BA93" i="151"/>
  <c r="BB93" i="151" s="1"/>
  <c r="AT93" i="151"/>
  <c r="AN93" i="151"/>
  <c r="AO93" i="151" s="1"/>
  <c r="AH93" i="151"/>
  <c r="AI93" i="151" s="1"/>
  <c r="AB93" i="151"/>
  <c r="AC93" i="151" s="1"/>
  <c r="V93" i="151"/>
  <c r="W93" i="151" s="1"/>
  <c r="O93" i="151"/>
  <c r="BQ93" i="151"/>
  <c r="BR93" i="151" s="1"/>
  <c r="AY93" i="151"/>
  <c r="BN93" i="151"/>
  <c r="BO93" i="151" s="1"/>
  <c r="M93" i="151"/>
  <c r="BL93" i="151"/>
  <c r="I96" i="150"/>
  <c r="AV92" i="150"/>
  <c r="AW92" i="150" s="1"/>
  <c r="P92" i="150"/>
  <c r="BG92" i="150"/>
  <c r="BH92" i="150" s="1"/>
  <c r="BA92" i="150"/>
  <c r="BB92" i="150" s="1"/>
  <c r="AT92" i="150"/>
  <c r="AN92" i="150"/>
  <c r="AO92" i="150" s="1"/>
  <c r="AH92" i="150"/>
  <c r="AI92" i="150" s="1"/>
  <c r="AB92" i="150"/>
  <c r="AC92" i="150" s="1"/>
  <c r="V92" i="150"/>
  <c r="W92" i="150" s="1"/>
  <c r="O92" i="150"/>
  <c r="BQ92" i="150"/>
  <c r="BR92" i="150" s="1"/>
  <c r="AY92" i="150"/>
  <c r="AQ92" i="150"/>
  <c r="AR92" i="150" s="1"/>
  <c r="R92" i="150"/>
  <c r="T92" i="150" s="1"/>
  <c r="AK92" i="150"/>
  <c r="AL92" i="150" s="1"/>
  <c r="BD92" i="150"/>
  <c r="BE92" i="150" s="1"/>
  <c r="AE92" i="150"/>
  <c r="AF92" i="150" s="1"/>
  <c r="Y92" i="150"/>
  <c r="Z92" i="150" s="1"/>
  <c r="BN92" i="150"/>
  <c r="BO92" i="150" s="1"/>
  <c r="M92" i="150"/>
  <c r="BL92" i="150"/>
  <c r="K93" i="150"/>
  <c r="I96" i="149"/>
  <c r="K95" i="149"/>
  <c r="BG94" i="149"/>
  <c r="BH94" i="149" s="1"/>
  <c r="BA94" i="149"/>
  <c r="BB94" i="149" s="1"/>
  <c r="AT94" i="149"/>
  <c r="AN94" i="149"/>
  <c r="AO94" i="149" s="1"/>
  <c r="AH94" i="149"/>
  <c r="AI94" i="149" s="1"/>
  <c r="AB94" i="149"/>
  <c r="AC94" i="149" s="1"/>
  <c r="V94" i="149"/>
  <c r="W94" i="149" s="1"/>
  <c r="O94" i="149"/>
  <c r="BQ94" i="149"/>
  <c r="BR94" i="149" s="1"/>
  <c r="AY94" i="149"/>
  <c r="BD94" i="149"/>
  <c r="BE94" i="149" s="1"/>
  <c r="AQ94" i="149"/>
  <c r="AR94" i="149" s="1"/>
  <c r="AK94" i="149"/>
  <c r="AL94" i="149" s="1"/>
  <c r="AE94" i="149"/>
  <c r="AF94" i="149" s="1"/>
  <c r="Y94" i="149"/>
  <c r="Z94" i="149" s="1"/>
  <c r="R94" i="149"/>
  <c r="T94" i="149" s="1"/>
  <c r="AV94" i="149"/>
  <c r="AW94" i="149" s="1"/>
  <c r="P94" i="149"/>
  <c r="M94" i="149"/>
  <c r="BN94" i="149"/>
  <c r="BO94" i="149" s="1"/>
  <c r="BL94" i="149"/>
  <c r="AV93" i="147"/>
  <c r="AW93" i="147" s="1"/>
  <c r="P93" i="147"/>
  <c r="BG93" i="147"/>
  <c r="BH93" i="147" s="1"/>
  <c r="BA93" i="147"/>
  <c r="BB93" i="147" s="1"/>
  <c r="AT93" i="147"/>
  <c r="AN93" i="147"/>
  <c r="AO93" i="147" s="1"/>
  <c r="AH93" i="147"/>
  <c r="AI93" i="147" s="1"/>
  <c r="AB93" i="147"/>
  <c r="AC93" i="147" s="1"/>
  <c r="V93" i="147"/>
  <c r="W93" i="147" s="1"/>
  <c r="O93" i="147"/>
  <c r="BD93" i="147"/>
  <c r="BE93" i="147" s="1"/>
  <c r="AQ93" i="147"/>
  <c r="AR93" i="147" s="1"/>
  <c r="AE93" i="147"/>
  <c r="AF93" i="147" s="1"/>
  <c r="R93" i="147"/>
  <c r="T93" i="147" s="1"/>
  <c r="AY93" i="147"/>
  <c r="AK93" i="147"/>
  <c r="AL93" i="147" s="1"/>
  <c r="Y93" i="147"/>
  <c r="Z93" i="147" s="1"/>
  <c r="BQ93" i="147"/>
  <c r="BR93" i="147" s="1"/>
  <c r="BN93" i="147"/>
  <c r="BO93" i="147" s="1"/>
  <c r="BJ93" i="147"/>
  <c r="BL93" i="147" s="1"/>
  <c r="BK93" i="147"/>
  <c r="M93" i="147"/>
  <c r="I95" i="147"/>
  <c r="K94" i="147"/>
  <c r="K93" i="146"/>
  <c r="I94" i="146"/>
  <c r="BQ92" i="146"/>
  <c r="BR92" i="146" s="1"/>
  <c r="AY92" i="146"/>
  <c r="BD92" i="146"/>
  <c r="BE92" i="146" s="1"/>
  <c r="AQ92" i="146"/>
  <c r="AR92" i="146" s="1"/>
  <c r="AK92" i="146"/>
  <c r="AL92" i="146" s="1"/>
  <c r="AE92" i="146"/>
  <c r="AF92" i="146" s="1"/>
  <c r="Y92" i="146"/>
  <c r="Z92" i="146" s="1"/>
  <c r="R92" i="146"/>
  <c r="T92" i="146" s="1"/>
  <c r="AV92" i="146"/>
  <c r="AW92" i="146" s="1"/>
  <c r="P92" i="146"/>
  <c r="BG92" i="146"/>
  <c r="BH92" i="146" s="1"/>
  <c r="AH92" i="146"/>
  <c r="AI92" i="146" s="1"/>
  <c r="BA92" i="146"/>
  <c r="BB92" i="146" s="1"/>
  <c r="AB92" i="146"/>
  <c r="AC92" i="146" s="1"/>
  <c r="AT92" i="146"/>
  <c r="V92" i="146"/>
  <c r="W92" i="146" s="1"/>
  <c r="AN92" i="146"/>
  <c r="AO92" i="146" s="1"/>
  <c r="O92" i="146"/>
  <c r="BN92" i="146"/>
  <c r="BO92" i="146" s="1"/>
  <c r="BJ92" i="146"/>
  <c r="BL92" i="146" s="1"/>
  <c r="M92" i="146"/>
  <c r="BK92" i="146"/>
  <c r="AQ90" i="96"/>
  <c r="AR90" i="96" s="1"/>
  <c r="AV90" i="96"/>
  <c r="AW90" i="96" s="1"/>
  <c r="BL90" i="96"/>
  <c r="BA90" i="96"/>
  <c r="BB90" i="96" s="1"/>
  <c r="V90" i="96"/>
  <c r="W90" i="96" s="1"/>
  <c r="R90" i="96"/>
  <c r="T90" i="96" s="1"/>
  <c r="P90" i="96"/>
  <c r="BG90" i="96"/>
  <c r="BH90" i="96" s="1"/>
  <c r="Y90" i="96"/>
  <c r="Z90" i="96" s="1"/>
  <c r="BN90" i="96"/>
  <c r="BO90" i="96" s="1"/>
  <c r="AK90" i="96"/>
  <c r="AL90" i="96" s="1"/>
  <c r="BD90" i="96"/>
  <c r="BE90" i="96" s="1"/>
  <c r="AE90" i="96"/>
  <c r="AF90" i="96" s="1"/>
  <c r="BQ90" i="96"/>
  <c r="BR90" i="96" s="1"/>
  <c r="AT90" i="96"/>
  <c r="O90" i="96"/>
  <c r="AB90" i="96"/>
  <c r="AC90" i="96" s="1"/>
  <c r="M90" i="96"/>
  <c r="AH90" i="96"/>
  <c r="AI90" i="96" s="1"/>
  <c r="AN90" i="96"/>
  <c r="AO90" i="96" s="1"/>
  <c r="BN92" i="136"/>
  <c r="BO92" i="136" s="1"/>
  <c r="M92" i="136"/>
  <c r="BL92" i="136"/>
  <c r="R92" i="136"/>
  <c r="T92" i="136" s="1"/>
  <c r="AB92" i="136"/>
  <c r="AC92" i="136" s="1"/>
  <c r="AH92" i="136"/>
  <c r="AI92" i="136" s="1"/>
  <c r="AT92" i="136"/>
  <c r="BG92" i="136"/>
  <c r="BH92" i="136" s="1"/>
  <c r="AK92" i="136"/>
  <c r="AL92" i="136" s="1"/>
  <c r="P92" i="136"/>
  <c r="AQ92" i="136"/>
  <c r="AR92" i="136" s="1"/>
  <c r="BQ92" i="136"/>
  <c r="BR92" i="136" s="1"/>
  <c r="Y92" i="136"/>
  <c r="Z92" i="136" s="1"/>
  <c r="AN92" i="136"/>
  <c r="AO92" i="136" s="1"/>
  <c r="AE92" i="136"/>
  <c r="AF92" i="136" s="1"/>
  <c r="BD92" i="136"/>
  <c r="BE92" i="136" s="1"/>
  <c r="O92" i="136"/>
  <c r="AY92" i="136"/>
  <c r="V92" i="136"/>
  <c r="W92" i="136" s="1"/>
  <c r="AV92" i="136"/>
  <c r="AW92" i="136" s="1"/>
  <c r="BA92" i="136"/>
  <c r="BB92" i="136" s="1"/>
  <c r="K93" i="136"/>
  <c r="I96" i="136"/>
  <c r="I92" i="110"/>
  <c r="K91" i="110"/>
  <c r="I94" i="104"/>
  <c r="M89" i="101"/>
  <c r="AQ89" i="101"/>
  <c r="AR89" i="101" s="1"/>
  <c r="AE89" i="101"/>
  <c r="AF89" i="101" s="1"/>
  <c r="V89" i="101"/>
  <c r="W89" i="101" s="1"/>
  <c r="BQ89" i="101"/>
  <c r="BR89" i="101" s="1"/>
  <c r="BD89" i="101"/>
  <c r="BE89" i="101" s="1"/>
  <c r="Y89" i="101"/>
  <c r="Z89" i="101" s="1"/>
  <c r="AH89" i="101"/>
  <c r="AI89" i="101" s="1"/>
  <c r="AY89" i="101"/>
  <c r="R89" i="101"/>
  <c r="T89" i="101" s="1"/>
  <c r="AT89" i="101"/>
  <c r="O89" i="101"/>
  <c r="AN89" i="101"/>
  <c r="AO89" i="101" s="1"/>
  <c r="BA89" i="101"/>
  <c r="BB89" i="101" s="1"/>
  <c r="BG89" i="101"/>
  <c r="BH89" i="101" s="1"/>
  <c r="AV89" i="101"/>
  <c r="AW89" i="101" s="1"/>
  <c r="AB89" i="101"/>
  <c r="AC89" i="101" s="1"/>
  <c r="P89" i="101"/>
  <c r="AK89" i="101"/>
  <c r="AL89" i="101" s="1"/>
  <c r="BA88" i="120"/>
  <c r="BB88" i="120" s="1"/>
  <c r="BQ88" i="120"/>
  <c r="BR88" i="120" s="1"/>
  <c r="O88" i="120"/>
  <c r="P88" i="120"/>
  <c r="M88" i="120"/>
  <c r="AK88" i="120"/>
  <c r="AL88" i="120" s="1"/>
  <c r="AV88" i="120"/>
  <c r="AW88" i="120" s="1"/>
  <c r="BG88" i="120"/>
  <c r="BH88" i="120" s="1"/>
  <c r="BD88" i="120"/>
  <c r="BE88" i="120" s="1"/>
  <c r="K89" i="120"/>
  <c r="V88" i="120"/>
  <c r="W88" i="120" s="1"/>
  <c r="AH88" i="120"/>
  <c r="AI88" i="120" s="1"/>
  <c r="AQ88" i="120"/>
  <c r="AR88" i="120" s="1"/>
  <c r="AN88" i="120"/>
  <c r="AO88" i="120" s="1"/>
  <c r="AT88" i="120"/>
  <c r="AY88" i="120"/>
  <c r="AB88" i="120"/>
  <c r="AC88" i="120" s="1"/>
  <c r="R88" i="120"/>
  <c r="T88" i="120" s="1"/>
  <c r="AE88" i="120"/>
  <c r="AF88" i="120" s="1"/>
  <c r="Y88" i="120"/>
  <c r="Z88" i="120" s="1"/>
  <c r="BN88" i="120"/>
  <c r="BO88" i="120" s="1"/>
  <c r="K90" i="118"/>
  <c r="M89" i="118"/>
  <c r="BN89" i="118"/>
  <c r="BO89" i="118" s="1"/>
  <c r="BA89" i="118"/>
  <c r="BB89" i="118" s="1"/>
  <c r="AK89" i="118"/>
  <c r="AL89" i="118" s="1"/>
  <c r="O89" i="118"/>
  <c r="P89" i="118"/>
  <c r="AY89" i="118"/>
  <c r="Y89" i="118"/>
  <c r="Z89" i="118" s="1"/>
  <c r="BQ89" i="118"/>
  <c r="BR89" i="118" s="1"/>
  <c r="V89" i="118"/>
  <c r="W89" i="118" s="1"/>
  <c r="AT89" i="118"/>
  <c r="R89" i="118"/>
  <c r="T89" i="118" s="1"/>
  <c r="AE89" i="118"/>
  <c r="AF89" i="118" s="1"/>
  <c r="BG89" i="118"/>
  <c r="BH89" i="118" s="1"/>
  <c r="AV89" i="118"/>
  <c r="AW89" i="118" s="1"/>
  <c r="AN89" i="118"/>
  <c r="AO89" i="118" s="1"/>
  <c r="BD89" i="118"/>
  <c r="BE89" i="118" s="1"/>
  <c r="AH89" i="118"/>
  <c r="AI89" i="118" s="1"/>
  <c r="AQ89" i="118"/>
  <c r="AR89" i="118" s="1"/>
  <c r="AB89" i="118"/>
  <c r="AC89" i="118" s="1"/>
  <c r="I92" i="96"/>
  <c r="K91" i="96"/>
  <c r="I95" i="126"/>
  <c r="M88" i="17"/>
  <c r="BN88" i="17"/>
  <c r="BO88" i="17" s="1"/>
  <c r="BL88" i="17"/>
  <c r="R88" i="17"/>
  <c r="T88" i="17" s="1"/>
  <c r="BG88" i="17"/>
  <c r="BH88" i="17" s="1"/>
  <c r="P88" i="17"/>
  <c r="BD88" i="17"/>
  <c r="BE88" i="17" s="1"/>
  <c r="AQ88" i="17"/>
  <c r="AR88" i="17" s="1"/>
  <c r="AH88" i="17"/>
  <c r="AI88" i="17" s="1"/>
  <c r="O88" i="17"/>
  <c r="AE88" i="17"/>
  <c r="AF88" i="17" s="1"/>
  <c r="AK88" i="17"/>
  <c r="AL88" i="17" s="1"/>
  <c r="BQ88" i="17"/>
  <c r="BR88" i="17" s="1"/>
  <c r="BA88" i="17"/>
  <c r="BB88" i="17" s="1"/>
  <c r="AV88" i="17"/>
  <c r="AW88" i="17" s="1"/>
  <c r="AT88" i="17"/>
  <c r="V88" i="17"/>
  <c r="W88" i="17" s="1"/>
  <c r="Y88" i="17"/>
  <c r="Z88" i="17" s="1"/>
  <c r="AB88" i="17"/>
  <c r="AC88" i="17" s="1"/>
  <c r="AY88" i="17"/>
  <c r="AN88" i="17"/>
  <c r="AO88" i="17" s="1"/>
  <c r="I99" i="95"/>
  <c r="I91" i="101"/>
  <c r="K90" i="101"/>
  <c r="I95" i="63"/>
  <c r="M94" i="124"/>
  <c r="BK94" i="124"/>
  <c r="BJ94" i="124"/>
  <c r="BL94" i="124" s="1"/>
  <c r="K95" i="124"/>
  <c r="BN94" i="124"/>
  <c r="BO94" i="124" s="1"/>
  <c r="P94" i="124"/>
  <c r="AQ94" i="124"/>
  <c r="AR94" i="124" s="1"/>
  <c r="Y94" i="124"/>
  <c r="Z94" i="124" s="1"/>
  <c r="BG94" i="124"/>
  <c r="BH94" i="124" s="1"/>
  <c r="O94" i="124"/>
  <c r="AN94" i="124"/>
  <c r="AO94" i="124" s="1"/>
  <c r="AV94" i="124"/>
  <c r="AW94" i="124" s="1"/>
  <c r="BQ94" i="124"/>
  <c r="BR94" i="124" s="1"/>
  <c r="AH94" i="124"/>
  <c r="AI94" i="124" s="1"/>
  <c r="V94" i="124"/>
  <c r="W94" i="124" s="1"/>
  <c r="BD94" i="124"/>
  <c r="BE94" i="124" s="1"/>
  <c r="AE94" i="124"/>
  <c r="AF94" i="124" s="1"/>
  <c r="AT94" i="124"/>
  <c r="BA94" i="124"/>
  <c r="BB94" i="124" s="1"/>
  <c r="AK94" i="124"/>
  <c r="AL94" i="124" s="1"/>
  <c r="AY94" i="124"/>
  <c r="R94" i="124"/>
  <c r="T94" i="124" s="1"/>
  <c r="AB94" i="124"/>
  <c r="AC94" i="124" s="1"/>
  <c r="BN90" i="114"/>
  <c r="BO90" i="114" s="1"/>
  <c r="BJ90" i="114"/>
  <c r="BL90" i="114" s="1"/>
  <c r="M90" i="114"/>
  <c r="BK90" i="114"/>
  <c r="AK90" i="114"/>
  <c r="AL90" i="114" s="1"/>
  <c r="AN90" i="114"/>
  <c r="AO90" i="114" s="1"/>
  <c r="BQ90" i="114"/>
  <c r="BR90" i="114" s="1"/>
  <c r="AH90" i="114"/>
  <c r="AI90" i="114" s="1"/>
  <c r="BD90" i="114"/>
  <c r="BE90" i="114" s="1"/>
  <c r="AB90" i="114"/>
  <c r="AC90" i="114" s="1"/>
  <c r="BG90" i="114"/>
  <c r="BH90" i="114" s="1"/>
  <c r="AT90" i="114"/>
  <c r="AE90" i="114"/>
  <c r="AF90" i="114" s="1"/>
  <c r="AY90" i="114"/>
  <c r="P90" i="114"/>
  <c r="Y90" i="114"/>
  <c r="Z90" i="114" s="1"/>
  <c r="BA90" i="114"/>
  <c r="BB90" i="114" s="1"/>
  <c r="V90" i="114"/>
  <c r="W90" i="114" s="1"/>
  <c r="AV90" i="114"/>
  <c r="AW90" i="114" s="1"/>
  <c r="O90" i="114"/>
  <c r="AQ90" i="114"/>
  <c r="AR90" i="114" s="1"/>
  <c r="R90" i="114"/>
  <c r="T90" i="114" s="1"/>
  <c r="K91" i="114"/>
  <c r="AK91" i="64"/>
  <c r="AL91" i="64" s="1"/>
  <c r="P91" i="64"/>
  <c r="AE91" i="64"/>
  <c r="AF91" i="64" s="1"/>
  <c r="AH91" i="64"/>
  <c r="AI91" i="64" s="1"/>
  <c r="AQ91" i="64"/>
  <c r="AR91" i="64" s="1"/>
  <c r="BQ91" i="64"/>
  <c r="BR91" i="64" s="1"/>
  <c r="AY91" i="64"/>
  <c r="BD91" i="64"/>
  <c r="BE91" i="64" s="1"/>
  <c r="BG91" i="64"/>
  <c r="BH91" i="64" s="1"/>
  <c r="AN91" i="64"/>
  <c r="AO91" i="64" s="1"/>
  <c r="R91" i="64"/>
  <c r="T91" i="64" s="1"/>
  <c r="V91" i="64"/>
  <c r="W91" i="64" s="1"/>
  <c r="M91" i="64"/>
  <c r="AB91" i="64"/>
  <c r="AC91" i="64" s="1"/>
  <c r="AV91" i="64"/>
  <c r="AW91" i="64" s="1"/>
  <c r="BA91" i="64"/>
  <c r="BB91" i="64" s="1"/>
  <c r="O91" i="64"/>
  <c r="Y91" i="64"/>
  <c r="Z91" i="64" s="1"/>
  <c r="AT91" i="64"/>
  <c r="BN91" i="64"/>
  <c r="BO91" i="64" s="1"/>
  <c r="BL91" i="64"/>
  <c r="K92" i="64"/>
  <c r="M91" i="135"/>
  <c r="AH91" i="135"/>
  <c r="AI91" i="135" s="1"/>
  <c r="BQ91" i="135"/>
  <c r="BR91" i="135" s="1"/>
  <c r="AE91" i="135"/>
  <c r="AF91" i="135" s="1"/>
  <c r="AV91" i="135"/>
  <c r="AW91" i="135" s="1"/>
  <c r="V91" i="135"/>
  <c r="W91" i="135" s="1"/>
  <c r="AT91" i="135"/>
  <c r="O91" i="135"/>
  <c r="AY91" i="135"/>
  <c r="R91" i="135"/>
  <c r="T91" i="135" s="1"/>
  <c r="BD91" i="135"/>
  <c r="BE91" i="135" s="1"/>
  <c r="AN91" i="135"/>
  <c r="AO91" i="135" s="1"/>
  <c r="AK91" i="135"/>
  <c r="AL91" i="135" s="1"/>
  <c r="BA91" i="135"/>
  <c r="BB91" i="135" s="1"/>
  <c r="Y91" i="135"/>
  <c r="Z91" i="135" s="1"/>
  <c r="AB91" i="135"/>
  <c r="AC91" i="135" s="1"/>
  <c r="BG91" i="135"/>
  <c r="BH91" i="135" s="1"/>
  <c r="BN91" i="135"/>
  <c r="BO91" i="135" s="1"/>
  <c r="AQ91" i="135"/>
  <c r="AR91" i="135" s="1"/>
  <c r="P91" i="135"/>
  <c r="BL91" i="135"/>
  <c r="BK92" i="105"/>
  <c r="BJ92" i="105"/>
  <c r="BL92" i="105" s="1"/>
  <c r="M92" i="105"/>
  <c r="BN92" i="105"/>
  <c r="BO92" i="105" s="1"/>
  <c r="BD92" i="105"/>
  <c r="BE92" i="105" s="1"/>
  <c r="AT92" i="105"/>
  <c r="P92" i="105"/>
  <c r="BA92" i="105"/>
  <c r="BB92" i="105" s="1"/>
  <c r="V92" i="105"/>
  <c r="W92" i="105" s="1"/>
  <c r="Y92" i="105"/>
  <c r="Z92" i="105" s="1"/>
  <c r="AE92" i="105"/>
  <c r="AF92" i="105" s="1"/>
  <c r="AV92" i="105"/>
  <c r="AW92" i="105" s="1"/>
  <c r="AQ92" i="105"/>
  <c r="AR92" i="105" s="1"/>
  <c r="BQ92" i="105"/>
  <c r="BR92" i="105" s="1"/>
  <c r="BG92" i="105"/>
  <c r="BH92" i="105" s="1"/>
  <c r="AY92" i="105"/>
  <c r="AH92" i="105"/>
  <c r="AI92" i="105" s="1"/>
  <c r="AN92" i="105"/>
  <c r="AO92" i="105" s="1"/>
  <c r="AB92" i="105"/>
  <c r="AC92" i="105" s="1"/>
  <c r="AK92" i="105"/>
  <c r="AL92" i="105" s="1"/>
  <c r="R92" i="105"/>
  <c r="T92" i="105" s="1"/>
  <c r="O92" i="105"/>
  <c r="K93" i="105"/>
  <c r="I90" i="17"/>
  <c r="K89" i="17"/>
  <c r="I94" i="15"/>
  <c r="O88" i="66"/>
  <c r="BD88" i="66"/>
  <c r="BE88" i="66" s="1"/>
  <c r="BG88" i="66"/>
  <c r="BH88" i="66" s="1"/>
  <c r="AY88" i="66"/>
  <c r="R88" i="66"/>
  <c r="T88" i="66" s="1"/>
  <c r="AB88" i="66"/>
  <c r="AC88" i="66" s="1"/>
  <c r="AE88" i="66"/>
  <c r="AF88" i="66" s="1"/>
  <c r="P88" i="66"/>
  <c r="AN88" i="66"/>
  <c r="AO88" i="66" s="1"/>
  <c r="BA88" i="66"/>
  <c r="BB88" i="66" s="1"/>
  <c r="AH88" i="66"/>
  <c r="AI88" i="66" s="1"/>
  <c r="AV88" i="66"/>
  <c r="AW88" i="66" s="1"/>
  <c r="BN88" i="66"/>
  <c r="BO88" i="66" s="1"/>
  <c r="BQ88" i="66"/>
  <c r="BR88" i="66" s="1"/>
  <c r="M88" i="66"/>
  <c r="V88" i="66"/>
  <c r="W88" i="66" s="1"/>
  <c r="AQ88" i="66"/>
  <c r="AR88" i="66" s="1"/>
  <c r="Y88" i="66"/>
  <c r="Z88" i="66" s="1"/>
  <c r="AK88" i="66"/>
  <c r="AL88" i="66" s="1"/>
  <c r="AT88" i="66"/>
  <c r="BL88" i="66"/>
  <c r="M90" i="115"/>
  <c r="BJ90" i="115"/>
  <c r="BL90" i="115" s="1"/>
  <c r="BK90" i="115"/>
  <c r="BN90" i="115"/>
  <c r="BO90" i="115" s="1"/>
  <c r="AB90" i="115"/>
  <c r="AC90" i="115" s="1"/>
  <c r="AV90" i="115"/>
  <c r="AW90" i="115" s="1"/>
  <c r="BA90" i="115"/>
  <c r="BB90" i="115" s="1"/>
  <c r="AN90" i="115"/>
  <c r="AO90" i="115" s="1"/>
  <c r="AE90" i="115"/>
  <c r="AF90" i="115" s="1"/>
  <c r="AT90" i="115"/>
  <c r="P90" i="115"/>
  <c r="V90" i="115"/>
  <c r="W90" i="115" s="1"/>
  <c r="AQ90" i="115"/>
  <c r="AR90" i="115" s="1"/>
  <c r="BQ90" i="115"/>
  <c r="BR90" i="115" s="1"/>
  <c r="BD90" i="115"/>
  <c r="BE90" i="115" s="1"/>
  <c r="BG90" i="115"/>
  <c r="BH90" i="115" s="1"/>
  <c r="Y90" i="115"/>
  <c r="Z90" i="115" s="1"/>
  <c r="R90" i="115"/>
  <c r="T90" i="115" s="1"/>
  <c r="AH90" i="115"/>
  <c r="AI90" i="115" s="1"/>
  <c r="O90" i="115"/>
  <c r="AK90" i="115"/>
  <c r="AL90" i="115" s="1"/>
  <c r="AY90" i="115"/>
  <c r="M88" i="13"/>
  <c r="BN88" i="13"/>
  <c r="BO88" i="13" s="1"/>
  <c r="BL88" i="13"/>
  <c r="AT88" i="13"/>
  <c r="V88" i="13"/>
  <c r="W88" i="13" s="1"/>
  <c r="AV88" i="13"/>
  <c r="AW88" i="13" s="1"/>
  <c r="BD88" i="13"/>
  <c r="BE88" i="13" s="1"/>
  <c r="AE88" i="13"/>
  <c r="AF88" i="13" s="1"/>
  <c r="BQ88" i="13"/>
  <c r="BR88" i="13" s="1"/>
  <c r="AH88" i="13"/>
  <c r="AI88" i="13" s="1"/>
  <c r="BG88" i="13"/>
  <c r="BH88" i="13" s="1"/>
  <c r="AB88" i="13"/>
  <c r="AC88" i="13" s="1"/>
  <c r="AQ88" i="13"/>
  <c r="AR88" i="13" s="1"/>
  <c r="AN88" i="13"/>
  <c r="AO88" i="13" s="1"/>
  <c r="O88" i="13"/>
  <c r="R88" i="13"/>
  <c r="T88" i="13" s="1"/>
  <c r="Y88" i="13"/>
  <c r="Z88" i="13" s="1"/>
  <c r="AK88" i="13"/>
  <c r="AL88" i="13" s="1"/>
  <c r="AY88" i="13"/>
  <c r="P88" i="13"/>
  <c r="BA88" i="13"/>
  <c r="BB88" i="13" s="1"/>
  <c r="I96" i="114"/>
  <c r="P90" i="126"/>
  <c r="M90" i="126"/>
  <c r="BJ90" i="126"/>
  <c r="BL90" i="126" s="1"/>
  <c r="BK90" i="126"/>
  <c r="BN90" i="126"/>
  <c r="BO90" i="126" s="1"/>
  <c r="BQ90" i="126"/>
  <c r="BR90" i="126" s="1"/>
  <c r="AT90" i="126"/>
  <c r="AV90" i="126"/>
  <c r="AW90" i="126" s="1"/>
  <c r="R90" i="126"/>
  <c r="T90" i="126" s="1"/>
  <c r="BA90" i="126"/>
  <c r="BB90" i="126" s="1"/>
  <c r="AY90" i="126"/>
  <c r="AN90" i="126"/>
  <c r="AO90" i="126" s="1"/>
  <c r="AQ90" i="126"/>
  <c r="AR90" i="126" s="1"/>
  <c r="AB90" i="126"/>
  <c r="AC90" i="126" s="1"/>
  <c r="AH90" i="126"/>
  <c r="AI90" i="126" s="1"/>
  <c r="O90" i="126"/>
  <c r="AE90" i="126"/>
  <c r="AF90" i="126" s="1"/>
  <c r="Y90" i="126"/>
  <c r="Z90" i="126" s="1"/>
  <c r="V90" i="126"/>
  <c r="W90" i="126" s="1"/>
  <c r="AK90" i="126"/>
  <c r="AL90" i="126" s="1"/>
  <c r="BG90" i="126"/>
  <c r="BH90" i="126" s="1"/>
  <c r="BD90" i="126"/>
  <c r="BE90" i="126" s="1"/>
  <c r="K91" i="126"/>
  <c r="Y90" i="98"/>
  <c r="Z90" i="98" s="1"/>
  <c r="AK90" i="98"/>
  <c r="AL90" i="98" s="1"/>
  <c r="AN90" i="98"/>
  <c r="AO90" i="98" s="1"/>
  <c r="K91" i="98"/>
  <c r="BK90" i="98"/>
  <c r="BQ90" i="98"/>
  <c r="BR90" i="98" s="1"/>
  <c r="BG90" i="98"/>
  <c r="BH90" i="98" s="1"/>
  <c r="BJ90" i="98"/>
  <c r="BL90" i="98" s="1"/>
  <c r="BN90" i="98"/>
  <c r="BO90" i="98" s="1"/>
  <c r="M90" i="98"/>
  <c r="AY90" i="98"/>
  <c r="P90" i="98"/>
  <c r="BD90" i="98"/>
  <c r="BE90" i="98" s="1"/>
  <c r="AH90" i="98"/>
  <c r="AI90" i="98" s="1"/>
  <c r="AQ90" i="98"/>
  <c r="AR90" i="98" s="1"/>
  <c r="AT90" i="98"/>
  <c r="R90" i="98"/>
  <c r="T90" i="98" s="1"/>
  <c r="AB90" i="98"/>
  <c r="AC90" i="98" s="1"/>
  <c r="O90" i="98"/>
  <c r="V90" i="98"/>
  <c r="W90" i="98" s="1"/>
  <c r="AV90" i="98"/>
  <c r="AW90" i="98" s="1"/>
  <c r="BA90" i="98"/>
  <c r="BB90" i="98" s="1"/>
  <c r="AE90" i="98"/>
  <c r="AF90" i="98" s="1"/>
  <c r="I97" i="105"/>
  <c r="I93" i="135"/>
  <c r="K92" i="135"/>
  <c r="I97" i="132"/>
  <c r="BL89" i="15"/>
  <c r="BN89" i="15"/>
  <c r="BO89" i="15" s="1"/>
  <c r="M89" i="15"/>
  <c r="AN89" i="15"/>
  <c r="AO89" i="15" s="1"/>
  <c r="BQ89" i="15"/>
  <c r="BR89" i="15" s="1"/>
  <c r="BD89" i="15"/>
  <c r="BE89" i="15" s="1"/>
  <c r="AQ89" i="15"/>
  <c r="AR89" i="15" s="1"/>
  <c r="AV89" i="15"/>
  <c r="AW89" i="15" s="1"/>
  <c r="V89" i="15"/>
  <c r="W89" i="15" s="1"/>
  <c r="AT89" i="15"/>
  <c r="BA89" i="15"/>
  <c r="BB89" i="15" s="1"/>
  <c r="BG89" i="15"/>
  <c r="BH89" i="15" s="1"/>
  <c r="R89" i="15"/>
  <c r="T89" i="15" s="1"/>
  <c r="P89" i="15"/>
  <c r="AK89" i="15"/>
  <c r="AL89" i="15" s="1"/>
  <c r="AB89" i="15"/>
  <c r="AC89" i="15" s="1"/>
  <c r="AY89" i="15"/>
  <c r="O89" i="15"/>
  <c r="AH89" i="15"/>
  <c r="AI89" i="15" s="1"/>
  <c r="Y89" i="15"/>
  <c r="Z89" i="15" s="1"/>
  <c r="AE89" i="15"/>
  <c r="AF89" i="15" s="1"/>
  <c r="K90" i="15"/>
  <c r="K89" i="66"/>
  <c r="I90" i="66"/>
  <c r="I96" i="64"/>
  <c r="BN90" i="110"/>
  <c r="BO90" i="110" s="1"/>
  <c r="M90" i="110"/>
  <c r="BJ90" i="110"/>
  <c r="BL90" i="110" s="1"/>
  <c r="BK90" i="110"/>
  <c r="AY90" i="110"/>
  <c r="R90" i="110"/>
  <c r="T90" i="110" s="1"/>
  <c r="Y90" i="110"/>
  <c r="Z90" i="110" s="1"/>
  <c r="BQ90" i="110"/>
  <c r="BR90" i="110" s="1"/>
  <c r="AV90" i="110"/>
  <c r="AW90" i="110" s="1"/>
  <c r="AN90" i="110"/>
  <c r="AO90" i="110" s="1"/>
  <c r="AB90" i="110"/>
  <c r="AC90" i="110" s="1"/>
  <c r="V90" i="110"/>
  <c r="W90" i="110" s="1"/>
  <c r="AQ90" i="110"/>
  <c r="AR90" i="110" s="1"/>
  <c r="AK90" i="110"/>
  <c r="AL90" i="110" s="1"/>
  <c r="AT90" i="110"/>
  <c r="P90" i="110"/>
  <c r="BD90" i="110"/>
  <c r="BE90" i="110" s="1"/>
  <c r="AH90" i="110"/>
  <c r="AI90" i="110" s="1"/>
  <c r="O90" i="110"/>
  <c r="BA90" i="110"/>
  <c r="BB90" i="110" s="1"/>
  <c r="AE90" i="110"/>
  <c r="AF90" i="110" s="1"/>
  <c r="BG90" i="110"/>
  <c r="BH90" i="110" s="1"/>
  <c r="I92" i="115"/>
  <c r="K91" i="115"/>
  <c r="K89" i="13"/>
  <c r="I90" i="13"/>
  <c r="I105" i="133"/>
  <c r="BL90" i="63"/>
  <c r="M90" i="63"/>
  <c r="BN90" i="63"/>
  <c r="BO90" i="63" s="1"/>
  <c r="AT90" i="63"/>
  <c r="AY90" i="63"/>
  <c r="AE90" i="63"/>
  <c r="AF90" i="63" s="1"/>
  <c r="O90" i="63"/>
  <c r="AB90" i="63"/>
  <c r="AC90" i="63" s="1"/>
  <c r="BD90" i="63"/>
  <c r="BE90" i="63" s="1"/>
  <c r="R90" i="63"/>
  <c r="T90" i="63" s="1"/>
  <c r="BQ90" i="63"/>
  <c r="BR90" i="63" s="1"/>
  <c r="V90" i="63"/>
  <c r="W90" i="63" s="1"/>
  <c r="AK90" i="63"/>
  <c r="AL90" i="63" s="1"/>
  <c r="BA90" i="63"/>
  <c r="BB90" i="63" s="1"/>
  <c r="AV90" i="63"/>
  <c r="AW90" i="63" s="1"/>
  <c r="BG90" i="63"/>
  <c r="BH90" i="63" s="1"/>
  <c r="AH90" i="63"/>
  <c r="AI90" i="63" s="1"/>
  <c r="P90" i="63"/>
  <c r="Y90" i="63"/>
  <c r="Z90" i="63" s="1"/>
  <c r="AN90" i="63"/>
  <c r="AO90" i="63" s="1"/>
  <c r="AQ90" i="63"/>
  <c r="AR90" i="63" s="1"/>
  <c r="K91" i="63"/>
  <c r="I96" i="107" l="1"/>
  <c r="K95" i="107"/>
  <c r="O92" i="99"/>
  <c r="BQ92" i="99"/>
  <c r="BR92" i="99" s="1"/>
  <c r="AT92" i="99"/>
  <c r="AE92" i="99"/>
  <c r="AF92" i="99" s="1"/>
  <c r="BJ92" i="99"/>
  <c r="BL92" i="99" s="1"/>
  <c r="BG92" i="99"/>
  <c r="BH92" i="99" s="1"/>
  <c r="AQ92" i="99"/>
  <c r="AR92" i="99" s="1"/>
  <c r="AH92" i="99"/>
  <c r="AI92" i="99" s="1"/>
  <c r="V92" i="99"/>
  <c r="W92" i="99" s="1"/>
  <c r="R92" i="99"/>
  <c r="T92" i="99" s="1"/>
  <c r="AY92" i="99"/>
  <c r="BD92" i="99"/>
  <c r="BE92" i="99" s="1"/>
  <c r="BK92" i="99"/>
  <c r="AV92" i="99"/>
  <c r="AW92" i="99" s="1"/>
  <c r="AB92" i="99"/>
  <c r="AC92" i="99" s="1"/>
  <c r="AN92" i="99"/>
  <c r="AO92" i="99" s="1"/>
  <c r="K93" i="99"/>
  <c r="AK92" i="99"/>
  <c r="AL92" i="99" s="1"/>
  <c r="BA92" i="99"/>
  <c r="BB92" i="99" s="1"/>
  <c r="P92" i="99"/>
  <c r="M92" i="99"/>
  <c r="BN92" i="99"/>
  <c r="BO92" i="99" s="1"/>
  <c r="Y92" i="99"/>
  <c r="Z92" i="99" s="1"/>
  <c r="BQ92" i="132"/>
  <c r="BR92" i="132" s="1"/>
  <c r="BD92" i="132"/>
  <c r="BE92" i="132" s="1"/>
  <c r="P92" i="132"/>
  <c r="BA92" i="132"/>
  <c r="BB92" i="132" s="1"/>
  <c r="AH92" i="132"/>
  <c r="AI92" i="132" s="1"/>
  <c r="BL92" i="132"/>
  <c r="AB92" i="132"/>
  <c r="AC92" i="132" s="1"/>
  <c r="AK92" i="132"/>
  <c r="AL92" i="132" s="1"/>
  <c r="AN92" i="132"/>
  <c r="AO92" i="132" s="1"/>
  <c r="AT92" i="132"/>
  <c r="AY92" i="132"/>
  <c r="AE92" i="132"/>
  <c r="AF92" i="132" s="1"/>
  <c r="V92" i="132"/>
  <c r="W92" i="132" s="1"/>
  <c r="BG92" i="132"/>
  <c r="BH92" i="132" s="1"/>
  <c r="R92" i="132"/>
  <c r="T92" i="132" s="1"/>
  <c r="AQ92" i="132"/>
  <c r="AR92" i="132" s="1"/>
  <c r="K93" i="132"/>
  <c r="AV92" i="132"/>
  <c r="AW92" i="132" s="1"/>
  <c r="O92" i="132"/>
  <c r="M92" i="132"/>
  <c r="Y92" i="132"/>
  <c r="Z92" i="132" s="1"/>
  <c r="BN92" i="132"/>
  <c r="BO92" i="132" s="1"/>
  <c r="AK94" i="107"/>
  <c r="AL94" i="107" s="1"/>
  <c r="BQ94" i="107"/>
  <c r="BR94" i="107" s="1"/>
  <c r="AN94" i="107"/>
  <c r="AO94" i="107" s="1"/>
  <c r="AE94" i="107"/>
  <c r="AF94" i="107" s="1"/>
  <c r="R94" i="107"/>
  <c r="T94" i="107" s="1"/>
  <c r="BJ94" i="107"/>
  <c r="BL94" i="107" s="1"/>
  <c r="V94" i="107"/>
  <c r="W94" i="107" s="1"/>
  <c r="O94" i="107"/>
  <c r="AH94" i="107"/>
  <c r="AI94" i="107" s="1"/>
  <c r="BK94" i="107"/>
  <c r="BA94" i="107"/>
  <c r="BB94" i="107" s="1"/>
  <c r="AB94" i="107"/>
  <c r="AC94" i="107" s="1"/>
  <c r="P94" i="107"/>
  <c r="M94" i="107"/>
  <c r="BN94" i="107"/>
  <c r="BO94" i="107" s="1"/>
  <c r="BG94" i="107"/>
  <c r="BH94" i="107" s="1"/>
  <c r="AQ94" i="107"/>
  <c r="AR94" i="107" s="1"/>
  <c r="AY94" i="107"/>
  <c r="BD94" i="107"/>
  <c r="BE94" i="107" s="1"/>
  <c r="AT94" i="107"/>
  <c r="Y94" i="107"/>
  <c r="Z94" i="107" s="1"/>
  <c r="AV94" i="107"/>
  <c r="AW94" i="107" s="1"/>
  <c r="BJ90" i="106"/>
  <c r="BL90" i="106" s="1"/>
  <c r="BA90" i="106"/>
  <c r="BB90" i="106" s="1"/>
  <c r="AN90" i="106"/>
  <c r="AO90" i="106" s="1"/>
  <c r="BQ90" i="106"/>
  <c r="BR90" i="106" s="1"/>
  <c r="M90" i="106"/>
  <c r="AQ90" i="106"/>
  <c r="AR90" i="106" s="1"/>
  <c r="AT90" i="106"/>
  <c r="BG90" i="106"/>
  <c r="BH90" i="106" s="1"/>
  <c r="BK90" i="106"/>
  <c r="V90" i="106"/>
  <c r="W90" i="106" s="1"/>
  <c r="AK90" i="106"/>
  <c r="AL90" i="106" s="1"/>
  <c r="AH90" i="106"/>
  <c r="AI90" i="106" s="1"/>
  <c r="O90" i="106"/>
  <c r="BN90" i="106"/>
  <c r="BO90" i="106" s="1"/>
  <c r="AB90" i="106"/>
  <c r="AC90" i="106" s="1"/>
  <c r="BD90" i="106"/>
  <c r="BE90" i="106" s="1"/>
  <c r="AE90" i="106"/>
  <c r="AF90" i="106" s="1"/>
  <c r="Y90" i="106"/>
  <c r="Z90" i="106" s="1"/>
  <c r="R90" i="106"/>
  <c r="T90" i="106" s="1"/>
  <c r="P90" i="106"/>
  <c r="AY90" i="106"/>
  <c r="AV90" i="106"/>
  <c r="AW90" i="106" s="1"/>
  <c r="K91" i="106"/>
  <c r="R95" i="156"/>
  <c r="T95" i="156" s="1"/>
  <c r="M95" i="156"/>
  <c r="V95" i="156"/>
  <c r="W95" i="156" s="1"/>
  <c r="Y95" i="156"/>
  <c r="Z95" i="156" s="1"/>
  <c r="AH95" i="156"/>
  <c r="AI95" i="156" s="1"/>
  <c r="AE95" i="156"/>
  <c r="AF95" i="156" s="1"/>
  <c r="BQ95" i="156"/>
  <c r="BR95" i="156" s="1"/>
  <c r="AB95" i="156"/>
  <c r="AC95" i="156" s="1"/>
  <c r="P95" i="156"/>
  <c r="AK95" i="156"/>
  <c r="AL95" i="156" s="1"/>
  <c r="O95" i="156"/>
  <c r="BA95" i="156"/>
  <c r="BB95" i="156" s="1"/>
  <c r="AV95" i="156"/>
  <c r="AW95" i="156" s="1"/>
  <c r="AQ95" i="156"/>
  <c r="AR95" i="156" s="1"/>
  <c r="AN95" i="156"/>
  <c r="AO95" i="156" s="1"/>
  <c r="BL95" i="156"/>
  <c r="BN95" i="156"/>
  <c r="BO95" i="156" s="1"/>
  <c r="BD95" i="156"/>
  <c r="BE95" i="156" s="1"/>
  <c r="BG95" i="156"/>
  <c r="BH95" i="156" s="1"/>
  <c r="M89" i="95"/>
  <c r="AT89" i="95"/>
  <c r="BG89" i="95"/>
  <c r="BH89" i="95" s="1"/>
  <c r="BQ89" i="95"/>
  <c r="BR89" i="95" s="1"/>
  <c r="BN89" i="95"/>
  <c r="BO89" i="95" s="1"/>
  <c r="AH89" i="95"/>
  <c r="AI89" i="95" s="1"/>
  <c r="R89" i="95"/>
  <c r="T89" i="95" s="1"/>
  <c r="AE89" i="95"/>
  <c r="AF89" i="95" s="1"/>
  <c r="BL89" i="95"/>
  <c r="V89" i="95"/>
  <c r="W89" i="95" s="1"/>
  <c r="AN89" i="95"/>
  <c r="AO89" i="95" s="1"/>
  <c r="K90" i="95"/>
  <c r="BD89" i="95"/>
  <c r="BE89" i="95" s="1"/>
  <c r="AV89" i="95"/>
  <c r="AW89" i="95" s="1"/>
  <c r="AK89" i="95"/>
  <c r="AL89" i="95" s="1"/>
  <c r="BA89" i="95"/>
  <c r="BB89" i="95" s="1"/>
  <c r="P89" i="95"/>
  <c r="AB89" i="95"/>
  <c r="AC89" i="95" s="1"/>
  <c r="AQ89" i="95"/>
  <c r="AR89" i="95" s="1"/>
  <c r="O89" i="95"/>
  <c r="Y89" i="95"/>
  <c r="Z89" i="95" s="1"/>
  <c r="M90" i="104"/>
  <c r="AB90" i="104"/>
  <c r="AC90" i="104" s="1"/>
  <c r="AN90" i="104"/>
  <c r="AO90" i="104" s="1"/>
  <c r="AY90" i="104"/>
  <c r="BK90" i="104"/>
  <c r="BD90" i="104"/>
  <c r="BE90" i="104" s="1"/>
  <c r="V90" i="104"/>
  <c r="W90" i="104" s="1"/>
  <c r="O90" i="104"/>
  <c r="BJ90" i="104"/>
  <c r="BL90" i="104" s="1"/>
  <c r="BG90" i="104"/>
  <c r="BH90" i="104" s="1"/>
  <c r="R90" i="104"/>
  <c r="T90" i="104" s="1"/>
  <c r="Y90" i="104"/>
  <c r="Z90" i="104" s="1"/>
  <c r="K91" i="104"/>
  <c r="BN90" i="104"/>
  <c r="BO90" i="104" s="1"/>
  <c r="AK90" i="104"/>
  <c r="AL90" i="104" s="1"/>
  <c r="P90" i="104"/>
  <c r="BQ90" i="104"/>
  <c r="BR90" i="104" s="1"/>
  <c r="AQ90" i="104"/>
  <c r="AR90" i="104" s="1"/>
  <c r="AV90" i="104"/>
  <c r="AW90" i="104" s="1"/>
  <c r="AE90" i="104"/>
  <c r="AF90" i="104" s="1"/>
  <c r="AH90" i="104"/>
  <c r="AI90" i="104" s="1"/>
  <c r="BA90" i="104"/>
  <c r="BB90" i="104" s="1"/>
  <c r="AT90" i="104"/>
  <c r="I97" i="106"/>
  <c r="R90" i="112"/>
  <c r="T90" i="112" s="1"/>
  <c r="BD90" i="112"/>
  <c r="BE90" i="112" s="1"/>
  <c r="O90" i="112"/>
  <c r="M90" i="112"/>
  <c r="P90" i="112"/>
  <c r="AT90" i="112"/>
  <c r="BQ90" i="112"/>
  <c r="BR90" i="112" s="1"/>
  <c r="BN90" i="112"/>
  <c r="BO90" i="112" s="1"/>
  <c r="V90" i="112"/>
  <c r="W90" i="112" s="1"/>
  <c r="AK90" i="112"/>
  <c r="AL90" i="112" s="1"/>
  <c r="AE90" i="112"/>
  <c r="AF90" i="112" s="1"/>
  <c r="K91" i="112"/>
  <c r="AH90" i="112"/>
  <c r="AI90" i="112" s="1"/>
  <c r="AQ90" i="112"/>
  <c r="AR90" i="112" s="1"/>
  <c r="AY90" i="112"/>
  <c r="BJ90" i="112"/>
  <c r="BL90" i="112" s="1"/>
  <c r="AN90" i="112"/>
  <c r="AO90" i="112" s="1"/>
  <c r="BG90" i="112"/>
  <c r="BH90" i="112" s="1"/>
  <c r="AB90" i="112"/>
  <c r="AC90" i="112" s="1"/>
  <c r="BK90" i="112"/>
  <c r="BA90" i="112"/>
  <c r="BB90" i="112" s="1"/>
  <c r="Y90" i="112"/>
  <c r="Z90" i="112" s="1"/>
  <c r="AV90" i="112"/>
  <c r="AW90" i="112" s="1"/>
  <c r="BL93" i="133"/>
  <c r="R93" i="133"/>
  <c r="T93" i="133" s="1"/>
  <c r="BQ93" i="133"/>
  <c r="BR93" i="133" s="1"/>
  <c r="O93" i="133"/>
  <c r="M93" i="133"/>
  <c r="BG93" i="133"/>
  <c r="BH93" i="133" s="1"/>
  <c r="BA93" i="133"/>
  <c r="BB93" i="133" s="1"/>
  <c r="AT93" i="133"/>
  <c r="BN93" i="133"/>
  <c r="BO93" i="133" s="1"/>
  <c r="AH93" i="133"/>
  <c r="AI93" i="133" s="1"/>
  <c r="AQ93" i="133"/>
  <c r="AR93" i="133" s="1"/>
  <c r="V93" i="133"/>
  <c r="W93" i="133" s="1"/>
  <c r="AE93" i="133"/>
  <c r="AF93" i="133" s="1"/>
  <c r="AV93" i="133"/>
  <c r="AW93" i="133" s="1"/>
  <c r="BD93" i="133"/>
  <c r="BE93" i="133" s="1"/>
  <c r="K94" i="133"/>
  <c r="AK93" i="133"/>
  <c r="AL93" i="133" s="1"/>
  <c r="AN93" i="133"/>
  <c r="AO93" i="133" s="1"/>
  <c r="Y93" i="133"/>
  <c r="Z93" i="133" s="1"/>
  <c r="AY93" i="133"/>
  <c r="AB93" i="133"/>
  <c r="AC93" i="133" s="1"/>
  <c r="P93" i="133"/>
  <c r="M91" i="129"/>
  <c r="AE91" i="129"/>
  <c r="AF91" i="129" s="1"/>
  <c r="R91" i="129"/>
  <c r="T91" i="129" s="1"/>
  <c r="BD91" i="129"/>
  <c r="BE91" i="129" s="1"/>
  <c r="BG91" i="129"/>
  <c r="BH91" i="129" s="1"/>
  <c r="AK91" i="129"/>
  <c r="AL91" i="129" s="1"/>
  <c r="BA91" i="129"/>
  <c r="BB91" i="129" s="1"/>
  <c r="BL91" i="129"/>
  <c r="V91" i="129"/>
  <c r="W91" i="129" s="1"/>
  <c r="Y91" i="129"/>
  <c r="Z91" i="129" s="1"/>
  <c r="AB91" i="129"/>
  <c r="AC91" i="129" s="1"/>
  <c r="BQ91" i="129"/>
  <c r="BR91" i="129" s="1"/>
  <c r="AY91" i="129"/>
  <c r="AQ91" i="129"/>
  <c r="AR91" i="129" s="1"/>
  <c r="BN91" i="129"/>
  <c r="BO91" i="129" s="1"/>
  <c r="P91" i="129"/>
  <c r="AH91" i="129"/>
  <c r="AI91" i="129" s="1"/>
  <c r="AV91" i="129"/>
  <c r="AW91" i="129" s="1"/>
  <c r="K92" i="129"/>
  <c r="AN91" i="129"/>
  <c r="AO91" i="129" s="1"/>
  <c r="AT91" i="129"/>
  <c r="O91" i="129"/>
  <c r="K96" i="156"/>
  <c r="AY96" i="156" s="1"/>
  <c r="I97" i="156"/>
  <c r="BL91" i="130"/>
  <c r="M91" i="130"/>
  <c r="BN91" i="130"/>
  <c r="BO91" i="130" s="1"/>
  <c r="K92" i="130"/>
  <c r="AQ91" i="130"/>
  <c r="AR91" i="130" s="1"/>
  <c r="P91" i="130"/>
  <c r="BA91" i="130"/>
  <c r="BB91" i="130" s="1"/>
  <c r="BG91" i="130"/>
  <c r="BH91" i="130" s="1"/>
  <c r="O91" i="130"/>
  <c r="AN91" i="130"/>
  <c r="AO91" i="130" s="1"/>
  <c r="AT91" i="130"/>
  <c r="Y91" i="130"/>
  <c r="Z91" i="130" s="1"/>
  <c r="AV91" i="130"/>
  <c r="AW91" i="130" s="1"/>
  <c r="BD91" i="130"/>
  <c r="BE91" i="130" s="1"/>
  <c r="AB91" i="130"/>
  <c r="AC91" i="130" s="1"/>
  <c r="V91" i="130"/>
  <c r="W91" i="130" s="1"/>
  <c r="AK91" i="130"/>
  <c r="AL91" i="130" s="1"/>
  <c r="AH91" i="130"/>
  <c r="AI91" i="130" s="1"/>
  <c r="AE91" i="130"/>
  <c r="AF91" i="130" s="1"/>
  <c r="R91" i="130"/>
  <c r="T91" i="130" s="1"/>
  <c r="BQ91" i="130"/>
  <c r="BR91" i="130" s="1"/>
  <c r="AY91" i="130"/>
  <c r="I98" i="155"/>
  <c r="K97" i="155"/>
  <c r="P96" i="155"/>
  <c r="AV96" i="155"/>
  <c r="AW96" i="155" s="1"/>
  <c r="BN96" i="155"/>
  <c r="BO96" i="155" s="1"/>
  <c r="R96" i="155"/>
  <c r="T96" i="155" s="1"/>
  <c r="Y96" i="155"/>
  <c r="Z96" i="155" s="1"/>
  <c r="AE96" i="155"/>
  <c r="AF96" i="155" s="1"/>
  <c r="AK96" i="155"/>
  <c r="AL96" i="155" s="1"/>
  <c r="AQ96" i="155"/>
  <c r="AR96" i="155" s="1"/>
  <c r="BD96" i="155"/>
  <c r="BE96" i="155" s="1"/>
  <c r="M96" i="155"/>
  <c r="BQ96" i="155"/>
  <c r="BR96" i="155" s="1"/>
  <c r="O96" i="155"/>
  <c r="V96" i="155"/>
  <c r="W96" i="155" s="1"/>
  <c r="AB96" i="155"/>
  <c r="AC96" i="155" s="1"/>
  <c r="AH96" i="155"/>
  <c r="AI96" i="155" s="1"/>
  <c r="AN96" i="155"/>
  <c r="AO96" i="155" s="1"/>
  <c r="BA96" i="155"/>
  <c r="BB96" i="155" s="1"/>
  <c r="BG96" i="155"/>
  <c r="BH96" i="155" s="1"/>
  <c r="BL96" i="155"/>
  <c r="I101" i="153"/>
  <c r="P96" i="153"/>
  <c r="AV96" i="153"/>
  <c r="AW96" i="153" s="1"/>
  <c r="BN96" i="153"/>
  <c r="BO96" i="153" s="1"/>
  <c r="R96" i="153"/>
  <c r="T96" i="153" s="1"/>
  <c r="Y96" i="153"/>
  <c r="Z96" i="153" s="1"/>
  <c r="AE96" i="153"/>
  <c r="AF96" i="153" s="1"/>
  <c r="AK96" i="153"/>
  <c r="AL96" i="153" s="1"/>
  <c r="AQ96" i="153"/>
  <c r="AR96" i="153" s="1"/>
  <c r="BD96" i="153"/>
  <c r="BE96" i="153" s="1"/>
  <c r="M96" i="153"/>
  <c r="BQ96" i="153"/>
  <c r="BR96" i="153" s="1"/>
  <c r="AH96" i="153"/>
  <c r="AI96" i="153" s="1"/>
  <c r="BG96" i="153"/>
  <c r="BH96" i="153" s="1"/>
  <c r="O96" i="153"/>
  <c r="AN96" i="153"/>
  <c r="AO96" i="153" s="1"/>
  <c r="V96" i="153"/>
  <c r="W96" i="153" s="1"/>
  <c r="AB96" i="153"/>
  <c r="AC96" i="153" s="1"/>
  <c r="BA96" i="153"/>
  <c r="BB96" i="153" s="1"/>
  <c r="BL96" i="153"/>
  <c r="K97" i="153"/>
  <c r="I105" i="152"/>
  <c r="R96" i="152"/>
  <c r="T96" i="152" s="1"/>
  <c r="Y96" i="152"/>
  <c r="Z96" i="152" s="1"/>
  <c r="AE96" i="152"/>
  <c r="AF96" i="152" s="1"/>
  <c r="AK96" i="152"/>
  <c r="AL96" i="152" s="1"/>
  <c r="AQ96" i="152"/>
  <c r="AR96" i="152" s="1"/>
  <c r="BD96" i="152"/>
  <c r="BE96" i="152" s="1"/>
  <c r="M96" i="152"/>
  <c r="BQ96" i="152"/>
  <c r="BR96" i="152" s="1"/>
  <c r="O96" i="152"/>
  <c r="V96" i="152"/>
  <c r="W96" i="152" s="1"/>
  <c r="AB96" i="152"/>
  <c r="AC96" i="152" s="1"/>
  <c r="AH96" i="152"/>
  <c r="AI96" i="152" s="1"/>
  <c r="AN96" i="152"/>
  <c r="AO96" i="152" s="1"/>
  <c r="BA96" i="152"/>
  <c r="BB96" i="152" s="1"/>
  <c r="BG96" i="152"/>
  <c r="BH96" i="152" s="1"/>
  <c r="BL96" i="152"/>
  <c r="P96" i="152"/>
  <c r="AV96" i="152"/>
  <c r="AW96" i="152" s="1"/>
  <c r="BN96" i="152"/>
  <c r="BO96" i="152" s="1"/>
  <c r="K97" i="152"/>
  <c r="I96" i="151"/>
  <c r="K95" i="151"/>
  <c r="BD94" i="151"/>
  <c r="BE94" i="151" s="1"/>
  <c r="AQ94" i="151"/>
  <c r="AR94" i="151" s="1"/>
  <c r="AK94" i="151"/>
  <c r="AL94" i="151" s="1"/>
  <c r="AE94" i="151"/>
  <c r="AF94" i="151" s="1"/>
  <c r="Y94" i="151"/>
  <c r="Z94" i="151" s="1"/>
  <c r="R94" i="151"/>
  <c r="T94" i="151" s="1"/>
  <c r="AV94" i="151"/>
  <c r="AW94" i="151" s="1"/>
  <c r="P94" i="151"/>
  <c r="BG94" i="151"/>
  <c r="BH94" i="151" s="1"/>
  <c r="BA94" i="151"/>
  <c r="BB94" i="151" s="1"/>
  <c r="AT94" i="151"/>
  <c r="AN94" i="151"/>
  <c r="AO94" i="151" s="1"/>
  <c r="AH94" i="151"/>
  <c r="AI94" i="151" s="1"/>
  <c r="AB94" i="151"/>
  <c r="AC94" i="151" s="1"/>
  <c r="V94" i="151"/>
  <c r="W94" i="151" s="1"/>
  <c r="O94" i="151"/>
  <c r="BQ94" i="151"/>
  <c r="BR94" i="151" s="1"/>
  <c r="AY94" i="151"/>
  <c r="M94" i="151"/>
  <c r="BN94" i="151"/>
  <c r="BO94" i="151" s="1"/>
  <c r="BL94" i="151"/>
  <c r="AV93" i="150"/>
  <c r="AW93" i="150" s="1"/>
  <c r="P93" i="150"/>
  <c r="BG93" i="150"/>
  <c r="BH93" i="150" s="1"/>
  <c r="BA93" i="150"/>
  <c r="BB93" i="150" s="1"/>
  <c r="AT93" i="150"/>
  <c r="AN93" i="150"/>
  <c r="AO93" i="150" s="1"/>
  <c r="AH93" i="150"/>
  <c r="AI93" i="150" s="1"/>
  <c r="AB93" i="150"/>
  <c r="AC93" i="150" s="1"/>
  <c r="V93" i="150"/>
  <c r="W93" i="150" s="1"/>
  <c r="O93" i="150"/>
  <c r="BQ93" i="150"/>
  <c r="BR93" i="150" s="1"/>
  <c r="AY93" i="150"/>
  <c r="BD93" i="150"/>
  <c r="BE93" i="150" s="1"/>
  <c r="AE93" i="150"/>
  <c r="AF93" i="150" s="1"/>
  <c r="Y93" i="150"/>
  <c r="Z93" i="150" s="1"/>
  <c r="AQ93" i="150"/>
  <c r="AR93" i="150" s="1"/>
  <c r="R93" i="150"/>
  <c r="T93" i="150" s="1"/>
  <c r="AK93" i="150"/>
  <c r="AL93" i="150" s="1"/>
  <c r="M93" i="150"/>
  <c r="BN93" i="150"/>
  <c r="BO93" i="150" s="1"/>
  <c r="BL93" i="150"/>
  <c r="K94" i="150"/>
  <c r="I97" i="150"/>
  <c r="BG95" i="149"/>
  <c r="BH95" i="149" s="1"/>
  <c r="BA95" i="149"/>
  <c r="BB95" i="149" s="1"/>
  <c r="AT95" i="149"/>
  <c r="AN95" i="149"/>
  <c r="AO95" i="149" s="1"/>
  <c r="AH95" i="149"/>
  <c r="AI95" i="149" s="1"/>
  <c r="AB95" i="149"/>
  <c r="AC95" i="149" s="1"/>
  <c r="V95" i="149"/>
  <c r="W95" i="149" s="1"/>
  <c r="O95" i="149"/>
  <c r="BQ95" i="149"/>
  <c r="BR95" i="149" s="1"/>
  <c r="AY95" i="149"/>
  <c r="BD95" i="149"/>
  <c r="BE95" i="149" s="1"/>
  <c r="AQ95" i="149"/>
  <c r="AR95" i="149" s="1"/>
  <c r="AK95" i="149"/>
  <c r="AL95" i="149" s="1"/>
  <c r="AE95" i="149"/>
  <c r="AF95" i="149" s="1"/>
  <c r="Y95" i="149"/>
  <c r="Z95" i="149" s="1"/>
  <c r="R95" i="149"/>
  <c r="T95" i="149" s="1"/>
  <c r="P95" i="149"/>
  <c r="AV95" i="149"/>
  <c r="AW95" i="149" s="1"/>
  <c r="M95" i="149"/>
  <c r="BN95" i="149"/>
  <c r="BO95" i="149" s="1"/>
  <c r="BL95" i="149"/>
  <c r="I97" i="149"/>
  <c r="K96" i="149"/>
  <c r="AV94" i="147"/>
  <c r="AW94" i="147" s="1"/>
  <c r="P94" i="147"/>
  <c r="BG94" i="147"/>
  <c r="BH94" i="147" s="1"/>
  <c r="BA94" i="147"/>
  <c r="BB94" i="147" s="1"/>
  <c r="AT94" i="147"/>
  <c r="AN94" i="147"/>
  <c r="AO94" i="147" s="1"/>
  <c r="AH94" i="147"/>
  <c r="AI94" i="147" s="1"/>
  <c r="AB94" i="147"/>
  <c r="AC94" i="147" s="1"/>
  <c r="V94" i="147"/>
  <c r="W94" i="147" s="1"/>
  <c r="O94" i="147"/>
  <c r="BD94" i="147"/>
  <c r="BE94" i="147" s="1"/>
  <c r="AQ94" i="147"/>
  <c r="AR94" i="147" s="1"/>
  <c r="AE94" i="147"/>
  <c r="AF94" i="147" s="1"/>
  <c r="R94" i="147"/>
  <c r="T94" i="147" s="1"/>
  <c r="AY94" i="147"/>
  <c r="Y94" i="147"/>
  <c r="Z94" i="147" s="1"/>
  <c r="BQ94" i="147"/>
  <c r="BR94" i="147" s="1"/>
  <c r="AK94" i="147"/>
  <c r="AL94" i="147" s="1"/>
  <c r="BK94" i="147"/>
  <c r="BJ94" i="147"/>
  <c r="BL94" i="147" s="1"/>
  <c r="M94" i="147"/>
  <c r="BN94" i="147"/>
  <c r="BO94" i="147" s="1"/>
  <c r="K95" i="147"/>
  <c r="I96" i="147"/>
  <c r="K94" i="146"/>
  <c r="I95" i="146"/>
  <c r="BQ93" i="146"/>
  <c r="BR93" i="146" s="1"/>
  <c r="AY93" i="146"/>
  <c r="BD93" i="146"/>
  <c r="BE93" i="146" s="1"/>
  <c r="AQ93" i="146"/>
  <c r="AR93" i="146" s="1"/>
  <c r="AK93" i="146"/>
  <c r="AL93" i="146" s="1"/>
  <c r="AE93" i="146"/>
  <c r="AF93" i="146" s="1"/>
  <c r="Y93" i="146"/>
  <c r="Z93" i="146" s="1"/>
  <c r="R93" i="146"/>
  <c r="T93" i="146" s="1"/>
  <c r="AV93" i="146"/>
  <c r="AW93" i="146" s="1"/>
  <c r="P93" i="146"/>
  <c r="AT93" i="146"/>
  <c r="V93" i="146"/>
  <c r="W93" i="146" s="1"/>
  <c r="AN93" i="146"/>
  <c r="AO93" i="146" s="1"/>
  <c r="O93" i="146"/>
  <c r="BG93" i="146"/>
  <c r="BH93" i="146" s="1"/>
  <c r="AH93" i="146"/>
  <c r="AI93" i="146" s="1"/>
  <c r="BA93" i="146"/>
  <c r="BB93" i="146" s="1"/>
  <c r="AB93" i="146"/>
  <c r="AC93" i="146" s="1"/>
  <c r="M93" i="146"/>
  <c r="BN93" i="146"/>
  <c r="BO93" i="146" s="1"/>
  <c r="BK93" i="146"/>
  <c r="BJ93" i="146"/>
  <c r="BL93" i="146" s="1"/>
  <c r="M91" i="63"/>
  <c r="BN91" i="63"/>
  <c r="BO91" i="63" s="1"/>
  <c r="BL91" i="63"/>
  <c r="BA91" i="63"/>
  <c r="BB91" i="63" s="1"/>
  <c r="AV91" i="63"/>
  <c r="AW91" i="63" s="1"/>
  <c r="AK91" i="63"/>
  <c r="AL91" i="63" s="1"/>
  <c r="BQ91" i="63"/>
  <c r="BR91" i="63" s="1"/>
  <c r="R91" i="63"/>
  <c r="T91" i="63" s="1"/>
  <c r="BD91" i="63"/>
  <c r="BE91" i="63" s="1"/>
  <c r="AN91" i="63"/>
  <c r="AO91" i="63" s="1"/>
  <c r="AT91" i="63"/>
  <c r="P91" i="63"/>
  <c r="V91" i="63"/>
  <c r="W91" i="63" s="1"/>
  <c r="AH91" i="63"/>
  <c r="AI91" i="63" s="1"/>
  <c r="AB91" i="63"/>
  <c r="AC91" i="63" s="1"/>
  <c r="AY91" i="63"/>
  <c r="BG91" i="63"/>
  <c r="BH91" i="63" s="1"/>
  <c r="AQ91" i="63"/>
  <c r="AR91" i="63" s="1"/>
  <c r="O91" i="63"/>
  <c r="Y91" i="63"/>
  <c r="Z91" i="63" s="1"/>
  <c r="AE91" i="63"/>
  <c r="AF91" i="63" s="1"/>
  <c r="K92" i="63"/>
  <c r="M91" i="115"/>
  <c r="BJ91" i="115"/>
  <c r="BL91" i="115" s="1"/>
  <c r="BN91" i="115"/>
  <c r="BO91" i="115" s="1"/>
  <c r="BK91" i="115"/>
  <c r="BQ91" i="115"/>
  <c r="BR91" i="115" s="1"/>
  <c r="BA91" i="115"/>
  <c r="BB91" i="115" s="1"/>
  <c r="AK91" i="115"/>
  <c r="AL91" i="115" s="1"/>
  <c r="AB91" i="115"/>
  <c r="AC91" i="115" s="1"/>
  <c r="P91" i="115"/>
  <c r="R91" i="115"/>
  <c r="T91" i="115" s="1"/>
  <c r="AV91" i="115"/>
  <c r="AW91" i="115" s="1"/>
  <c r="AT91" i="115"/>
  <c r="AH91" i="115"/>
  <c r="AI91" i="115" s="1"/>
  <c r="Y91" i="115"/>
  <c r="Z91" i="115" s="1"/>
  <c r="BG91" i="115"/>
  <c r="BH91" i="115" s="1"/>
  <c r="O91" i="115"/>
  <c r="AQ91" i="115"/>
  <c r="AR91" i="115" s="1"/>
  <c r="V91" i="115"/>
  <c r="W91" i="115" s="1"/>
  <c r="AY91" i="115"/>
  <c r="BD91" i="115"/>
  <c r="BE91" i="115" s="1"/>
  <c r="AN91" i="115"/>
  <c r="AO91" i="115" s="1"/>
  <c r="AE91" i="115"/>
  <c r="AF91" i="115" s="1"/>
  <c r="V89" i="66"/>
  <c r="W89" i="66" s="1"/>
  <c r="AQ89" i="66"/>
  <c r="AR89" i="66" s="1"/>
  <c r="Y89" i="66"/>
  <c r="Z89" i="66" s="1"/>
  <c r="AK89" i="66"/>
  <c r="AL89" i="66" s="1"/>
  <c r="AT89" i="66"/>
  <c r="O89" i="66"/>
  <c r="BD89" i="66"/>
  <c r="BE89" i="66" s="1"/>
  <c r="BG89" i="66"/>
  <c r="BH89" i="66" s="1"/>
  <c r="AY89" i="66"/>
  <c r="R89" i="66"/>
  <c r="T89" i="66" s="1"/>
  <c r="AB89" i="66"/>
  <c r="AC89" i="66" s="1"/>
  <c r="AE89" i="66"/>
  <c r="AF89" i="66" s="1"/>
  <c r="P89" i="66"/>
  <c r="AN89" i="66"/>
  <c r="AO89" i="66" s="1"/>
  <c r="BA89" i="66"/>
  <c r="BB89" i="66" s="1"/>
  <c r="AH89" i="66"/>
  <c r="AI89" i="66" s="1"/>
  <c r="AV89" i="66"/>
  <c r="AW89" i="66" s="1"/>
  <c r="BN89" i="66"/>
  <c r="BO89" i="66" s="1"/>
  <c r="BQ89" i="66"/>
  <c r="BR89" i="66" s="1"/>
  <c r="M89" i="66"/>
  <c r="BL89" i="66"/>
  <c r="M92" i="135"/>
  <c r="O92" i="135"/>
  <c r="BQ92" i="135"/>
  <c r="BR92" i="135" s="1"/>
  <c r="AT92" i="135"/>
  <c r="AB92" i="135"/>
  <c r="AC92" i="135" s="1"/>
  <c r="AN92" i="135"/>
  <c r="AO92" i="135" s="1"/>
  <c r="BD92" i="135"/>
  <c r="BE92" i="135" s="1"/>
  <c r="AH92" i="135"/>
  <c r="AI92" i="135" s="1"/>
  <c r="R92" i="135"/>
  <c r="T92" i="135" s="1"/>
  <c r="P92" i="135"/>
  <c r="AY92" i="135"/>
  <c r="AQ92" i="135"/>
  <c r="AR92" i="135" s="1"/>
  <c r="BA92" i="135"/>
  <c r="BB92" i="135" s="1"/>
  <c r="Y92" i="135"/>
  <c r="Z92" i="135" s="1"/>
  <c r="AE92" i="135"/>
  <c r="AF92" i="135" s="1"/>
  <c r="AV92" i="135"/>
  <c r="AW92" i="135" s="1"/>
  <c r="AK92" i="135"/>
  <c r="AL92" i="135" s="1"/>
  <c r="BG92" i="135"/>
  <c r="BH92" i="135" s="1"/>
  <c r="V92" i="135"/>
  <c r="W92" i="135" s="1"/>
  <c r="BN92" i="135"/>
  <c r="BO92" i="135" s="1"/>
  <c r="BL92" i="135"/>
  <c r="BN89" i="17"/>
  <c r="BO89" i="17" s="1"/>
  <c r="M89" i="17"/>
  <c r="BL89" i="17"/>
  <c r="AT89" i="17"/>
  <c r="AV89" i="17"/>
  <c r="AW89" i="17" s="1"/>
  <c r="AE89" i="17"/>
  <c r="AF89" i="17" s="1"/>
  <c r="O89" i="17"/>
  <c r="BD89" i="17"/>
  <c r="BE89" i="17" s="1"/>
  <c r="AN89" i="17"/>
  <c r="AO89" i="17" s="1"/>
  <c r="BG89" i="17"/>
  <c r="BH89" i="17" s="1"/>
  <c r="Y89" i="17"/>
  <c r="Z89" i="17" s="1"/>
  <c r="AY89" i="17"/>
  <c r="V89" i="17"/>
  <c r="W89" i="17" s="1"/>
  <c r="R89" i="17"/>
  <c r="T89" i="17" s="1"/>
  <c r="AQ89" i="17"/>
  <c r="AR89" i="17" s="1"/>
  <c r="BA89" i="17"/>
  <c r="BB89" i="17" s="1"/>
  <c r="AB89" i="17"/>
  <c r="AC89" i="17" s="1"/>
  <c r="AK89" i="17"/>
  <c r="AL89" i="17" s="1"/>
  <c r="BQ89" i="17"/>
  <c r="BR89" i="17" s="1"/>
  <c r="AH89" i="17"/>
  <c r="AI89" i="17" s="1"/>
  <c r="P89" i="17"/>
  <c r="I92" i="101"/>
  <c r="K91" i="101"/>
  <c r="BQ90" i="118"/>
  <c r="BR90" i="118" s="1"/>
  <c r="M90" i="118"/>
  <c r="K91" i="118"/>
  <c r="BN90" i="118"/>
  <c r="BO90" i="118" s="1"/>
  <c r="AH90" i="118"/>
  <c r="AI90" i="118" s="1"/>
  <c r="O90" i="118"/>
  <c r="BD90" i="118"/>
  <c r="BE90" i="118" s="1"/>
  <c r="BG90" i="118"/>
  <c r="BH90" i="118" s="1"/>
  <c r="AN90" i="118"/>
  <c r="AO90" i="118" s="1"/>
  <c r="AV90" i="118"/>
  <c r="AW90" i="118" s="1"/>
  <c r="BA90" i="118"/>
  <c r="BB90" i="118" s="1"/>
  <c r="AT90" i="118"/>
  <c r="AK90" i="118"/>
  <c r="AL90" i="118" s="1"/>
  <c r="Y90" i="118"/>
  <c r="Z90" i="118" s="1"/>
  <c r="P90" i="118"/>
  <c r="V90" i="118"/>
  <c r="W90" i="118" s="1"/>
  <c r="R90" i="118"/>
  <c r="T90" i="118" s="1"/>
  <c r="AY90" i="118"/>
  <c r="AE90" i="118"/>
  <c r="AF90" i="118" s="1"/>
  <c r="AQ90" i="118"/>
  <c r="AR90" i="118" s="1"/>
  <c r="AB90" i="118"/>
  <c r="AC90" i="118" s="1"/>
  <c r="AY89" i="120"/>
  <c r="R89" i="120"/>
  <c r="T89" i="120" s="1"/>
  <c r="BQ89" i="120"/>
  <c r="BR89" i="120" s="1"/>
  <c r="K90" i="120"/>
  <c r="M89" i="120"/>
  <c r="AH89" i="120"/>
  <c r="AI89" i="120" s="1"/>
  <c r="BA89" i="120"/>
  <c r="BB89" i="120" s="1"/>
  <c r="AV89" i="120"/>
  <c r="AW89" i="120" s="1"/>
  <c r="AE89" i="120"/>
  <c r="AF89" i="120" s="1"/>
  <c r="AT89" i="120"/>
  <c r="BD89" i="120"/>
  <c r="BE89" i="120" s="1"/>
  <c r="O89" i="120"/>
  <c r="V89" i="120"/>
  <c r="W89" i="120" s="1"/>
  <c r="P89" i="120"/>
  <c r="BG89" i="120"/>
  <c r="BH89" i="120" s="1"/>
  <c r="AK89" i="120"/>
  <c r="AL89" i="120" s="1"/>
  <c r="AN89" i="120"/>
  <c r="AO89" i="120" s="1"/>
  <c r="AB89" i="120"/>
  <c r="AC89" i="120" s="1"/>
  <c r="Y89" i="120"/>
  <c r="Z89" i="120" s="1"/>
  <c r="AQ89" i="120"/>
  <c r="AR89" i="120" s="1"/>
  <c r="BN89" i="120"/>
  <c r="BO89" i="120" s="1"/>
  <c r="I97" i="136"/>
  <c r="I93" i="115"/>
  <c r="K92" i="115"/>
  <c r="I97" i="64"/>
  <c r="BN90" i="15"/>
  <c r="BO90" i="15" s="1"/>
  <c r="M90" i="15"/>
  <c r="Y90" i="15"/>
  <c r="Z90" i="15" s="1"/>
  <c r="BD90" i="15"/>
  <c r="BE90" i="15" s="1"/>
  <c r="P90" i="15"/>
  <c r="BL90" i="15"/>
  <c r="BG90" i="15"/>
  <c r="BH90" i="15" s="1"/>
  <c r="AV90" i="15"/>
  <c r="AW90" i="15" s="1"/>
  <c r="BA90" i="15"/>
  <c r="BB90" i="15" s="1"/>
  <c r="AN90" i="15"/>
  <c r="AO90" i="15" s="1"/>
  <c r="AK90" i="15"/>
  <c r="AL90" i="15" s="1"/>
  <c r="AH90" i="15"/>
  <c r="AI90" i="15" s="1"/>
  <c r="AE90" i="15"/>
  <c r="AF90" i="15" s="1"/>
  <c r="O90" i="15"/>
  <c r="BQ90" i="15"/>
  <c r="BR90" i="15" s="1"/>
  <c r="AQ90" i="15"/>
  <c r="AR90" i="15" s="1"/>
  <c r="AY90" i="15"/>
  <c r="R90" i="15"/>
  <c r="T90" i="15" s="1"/>
  <c r="AB90" i="15"/>
  <c r="AC90" i="15" s="1"/>
  <c r="AT90" i="15"/>
  <c r="V90" i="15"/>
  <c r="W90" i="15" s="1"/>
  <c r="K91" i="15"/>
  <c r="K93" i="135"/>
  <c r="I94" i="135"/>
  <c r="I91" i="17"/>
  <c r="K90" i="17"/>
  <c r="AQ92" i="64"/>
  <c r="AR92" i="64" s="1"/>
  <c r="Y92" i="64"/>
  <c r="Z92" i="64" s="1"/>
  <c r="AN92" i="64"/>
  <c r="AO92" i="64" s="1"/>
  <c r="P92" i="64"/>
  <c r="R92" i="64"/>
  <c r="T92" i="64" s="1"/>
  <c r="AE92" i="64"/>
  <c r="AF92" i="64" s="1"/>
  <c r="AV92" i="64"/>
  <c r="AW92" i="64" s="1"/>
  <c r="AK92" i="64"/>
  <c r="AL92" i="64" s="1"/>
  <c r="O92" i="64"/>
  <c r="BA92" i="64"/>
  <c r="BB92" i="64" s="1"/>
  <c r="BD92" i="64"/>
  <c r="BE92" i="64" s="1"/>
  <c r="AH92" i="64"/>
  <c r="AI92" i="64" s="1"/>
  <c r="BQ92" i="64"/>
  <c r="BR92" i="64" s="1"/>
  <c r="AB92" i="64"/>
  <c r="AC92" i="64" s="1"/>
  <c r="M92" i="64"/>
  <c r="V92" i="64"/>
  <c r="W92" i="64" s="1"/>
  <c r="BG92" i="64"/>
  <c r="BH92" i="64" s="1"/>
  <c r="AY92" i="64"/>
  <c r="AT92" i="64"/>
  <c r="BN92" i="64"/>
  <c r="BO92" i="64" s="1"/>
  <c r="BL92" i="64"/>
  <c r="K93" i="64"/>
  <c r="BJ95" i="124"/>
  <c r="BL95" i="124" s="1"/>
  <c r="K96" i="124"/>
  <c r="BK95" i="124"/>
  <c r="M95" i="124"/>
  <c r="BN95" i="124"/>
  <c r="BO95" i="124" s="1"/>
  <c r="AH95" i="124"/>
  <c r="AI95" i="124" s="1"/>
  <c r="O95" i="124"/>
  <c r="AV95" i="124"/>
  <c r="AW95" i="124" s="1"/>
  <c r="R95" i="124"/>
  <c r="T95" i="124" s="1"/>
  <c r="BG95" i="124"/>
  <c r="BH95" i="124" s="1"/>
  <c r="AT95" i="124"/>
  <c r="BD95" i="124"/>
  <c r="BE95" i="124" s="1"/>
  <c r="V95" i="124"/>
  <c r="W95" i="124" s="1"/>
  <c r="AN95" i="124"/>
  <c r="AO95" i="124" s="1"/>
  <c r="P95" i="124"/>
  <c r="AY95" i="124"/>
  <c r="AE95" i="124"/>
  <c r="AF95" i="124" s="1"/>
  <c r="AK95" i="124"/>
  <c r="AL95" i="124" s="1"/>
  <c r="BA95" i="124"/>
  <c r="BB95" i="124" s="1"/>
  <c r="AQ95" i="124"/>
  <c r="AR95" i="124" s="1"/>
  <c r="BQ95" i="124"/>
  <c r="BR95" i="124" s="1"/>
  <c r="AB95" i="124"/>
  <c r="AC95" i="124" s="1"/>
  <c r="Y95" i="124"/>
  <c r="Z95" i="124" s="1"/>
  <c r="I100" i="95"/>
  <c r="I96" i="126"/>
  <c r="I91" i="13"/>
  <c r="K90" i="13"/>
  <c r="I97" i="114"/>
  <c r="BK93" i="105"/>
  <c r="BN93" i="105"/>
  <c r="BO93" i="105" s="1"/>
  <c r="BJ93" i="105"/>
  <c r="BL93" i="105" s="1"/>
  <c r="M93" i="105"/>
  <c r="AB93" i="105"/>
  <c r="AC93" i="105" s="1"/>
  <c r="AQ93" i="105"/>
  <c r="AR93" i="105" s="1"/>
  <c r="P93" i="105"/>
  <c r="V93" i="105"/>
  <c r="W93" i="105" s="1"/>
  <c r="AT93" i="105"/>
  <c r="BA93" i="105"/>
  <c r="BB93" i="105" s="1"/>
  <c r="Y93" i="105"/>
  <c r="Z93" i="105" s="1"/>
  <c r="AV93" i="105"/>
  <c r="AW93" i="105" s="1"/>
  <c r="BG93" i="105"/>
  <c r="BH93" i="105" s="1"/>
  <c r="BQ93" i="105"/>
  <c r="BR93" i="105" s="1"/>
  <c r="AH93" i="105"/>
  <c r="AI93" i="105" s="1"/>
  <c r="AY93" i="105"/>
  <c r="AN93" i="105"/>
  <c r="AO93" i="105" s="1"/>
  <c r="BD93" i="105"/>
  <c r="BE93" i="105" s="1"/>
  <c r="O93" i="105"/>
  <c r="AK93" i="105"/>
  <c r="AL93" i="105" s="1"/>
  <c r="R93" i="105"/>
  <c r="T93" i="105" s="1"/>
  <c r="AE93" i="105"/>
  <c r="AF93" i="105" s="1"/>
  <c r="K94" i="105"/>
  <c r="I96" i="63"/>
  <c r="AB91" i="96"/>
  <c r="AC91" i="96" s="1"/>
  <c r="BQ91" i="96"/>
  <c r="BR91" i="96" s="1"/>
  <c r="BA91" i="96"/>
  <c r="BB91" i="96" s="1"/>
  <c r="AV91" i="96"/>
  <c r="AW91" i="96" s="1"/>
  <c r="R91" i="96"/>
  <c r="T91" i="96" s="1"/>
  <c r="BG91" i="96"/>
  <c r="BH91" i="96" s="1"/>
  <c r="AH91" i="96"/>
  <c r="AI91" i="96" s="1"/>
  <c r="BN91" i="96"/>
  <c r="BO91" i="96" s="1"/>
  <c r="P91" i="96"/>
  <c r="V91" i="96"/>
  <c r="W91" i="96" s="1"/>
  <c r="O91" i="96"/>
  <c r="AE91" i="96"/>
  <c r="AF91" i="96" s="1"/>
  <c r="AQ91" i="96"/>
  <c r="AR91" i="96" s="1"/>
  <c r="AT91" i="96"/>
  <c r="M91" i="96"/>
  <c r="AK91" i="96"/>
  <c r="AL91" i="96" s="1"/>
  <c r="BD91" i="96"/>
  <c r="BE91" i="96" s="1"/>
  <c r="Y91" i="96"/>
  <c r="Z91" i="96" s="1"/>
  <c r="AN91" i="96"/>
  <c r="AO91" i="96" s="1"/>
  <c r="BL91" i="96"/>
  <c r="I95" i="104"/>
  <c r="M91" i="110"/>
  <c r="BJ91" i="110"/>
  <c r="BL91" i="110" s="1"/>
  <c r="BK91" i="110"/>
  <c r="BN91" i="110"/>
  <c r="BO91" i="110" s="1"/>
  <c r="P91" i="110"/>
  <c r="AB91" i="110"/>
  <c r="AC91" i="110" s="1"/>
  <c r="BA91" i="110"/>
  <c r="BB91" i="110" s="1"/>
  <c r="BD91" i="110"/>
  <c r="BE91" i="110" s="1"/>
  <c r="AQ91" i="110"/>
  <c r="AR91" i="110" s="1"/>
  <c r="V91" i="110"/>
  <c r="W91" i="110" s="1"/>
  <c r="AT91" i="110"/>
  <c r="Y91" i="110"/>
  <c r="Z91" i="110" s="1"/>
  <c r="AV91" i="110"/>
  <c r="AW91" i="110" s="1"/>
  <c r="O91" i="110"/>
  <c r="BQ91" i="110"/>
  <c r="BR91" i="110" s="1"/>
  <c r="R91" i="110"/>
  <c r="T91" i="110" s="1"/>
  <c r="AN91" i="110"/>
  <c r="AO91" i="110" s="1"/>
  <c r="AK91" i="110"/>
  <c r="AL91" i="110" s="1"/>
  <c r="BG91" i="110"/>
  <c r="BH91" i="110" s="1"/>
  <c r="AH91" i="110"/>
  <c r="AI91" i="110" s="1"/>
  <c r="AY91" i="110"/>
  <c r="AE91" i="110"/>
  <c r="AF91" i="110" s="1"/>
  <c r="M93" i="136"/>
  <c r="BN93" i="136"/>
  <c r="BO93" i="136" s="1"/>
  <c r="BL93" i="136"/>
  <c r="AE93" i="136"/>
  <c r="AF93" i="136" s="1"/>
  <c r="AQ93" i="136"/>
  <c r="AR93" i="136" s="1"/>
  <c r="V93" i="136"/>
  <c r="W93" i="136" s="1"/>
  <c r="AV93" i="136"/>
  <c r="AW93" i="136" s="1"/>
  <c r="R93" i="136"/>
  <c r="T93" i="136" s="1"/>
  <c r="BD93" i="136"/>
  <c r="BE93" i="136" s="1"/>
  <c r="O93" i="136"/>
  <c r="AK93" i="136"/>
  <c r="AL93" i="136" s="1"/>
  <c r="BG93" i="136"/>
  <c r="BH93" i="136" s="1"/>
  <c r="AB93" i="136"/>
  <c r="AC93" i="136" s="1"/>
  <c r="BA93" i="136"/>
  <c r="BB93" i="136" s="1"/>
  <c r="AN93" i="136"/>
  <c r="AO93" i="136" s="1"/>
  <c r="AH93" i="136"/>
  <c r="AI93" i="136" s="1"/>
  <c r="Y93" i="136"/>
  <c r="Z93" i="136" s="1"/>
  <c r="P93" i="136"/>
  <c r="AT93" i="136"/>
  <c r="AY93" i="136"/>
  <c r="BQ93" i="136"/>
  <c r="BR93" i="136" s="1"/>
  <c r="K94" i="136"/>
  <c r="I106" i="133"/>
  <c r="BN89" i="13"/>
  <c r="BO89" i="13" s="1"/>
  <c r="M89" i="13"/>
  <c r="BL89" i="13"/>
  <c r="Y89" i="13"/>
  <c r="Z89" i="13" s="1"/>
  <c r="AK89" i="13"/>
  <c r="AL89" i="13" s="1"/>
  <c r="AE89" i="13"/>
  <c r="AF89" i="13" s="1"/>
  <c r="P89" i="13"/>
  <c r="AT89" i="13"/>
  <c r="R89" i="13"/>
  <c r="T89" i="13" s="1"/>
  <c r="AV89" i="13"/>
  <c r="AW89" i="13" s="1"/>
  <c r="AB89" i="13"/>
  <c r="AC89" i="13" s="1"/>
  <c r="AN89" i="13"/>
  <c r="AO89" i="13" s="1"/>
  <c r="O89" i="13"/>
  <c r="BD89" i="13"/>
  <c r="BE89" i="13" s="1"/>
  <c r="BA89" i="13"/>
  <c r="BB89" i="13" s="1"/>
  <c r="AQ89" i="13"/>
  <c r="AR89" i="13" s="1"/>
  <c r="AH89" i="13"/>
  <c r="AI89" i="13" s="1"/>
  <c r="AY89" i="13"/>
  <c r="BG89" i="13"/>
  <c r="BH89" i="13" s="1"/>
  <c r="V89" i="13"/>
  <c r="W89" i="13" s="1"/>
  <c r="BQ89" i="13"/>
  <c r="BR89" i="13" s="1"/>
  <c r="I91" i="66"/>
  <c r="K90" i="66"/>
  <c r="I98" i="132"/>
  <c r="I98" i="105"/>
  <c r="BJ91" i="98"/>
  <c r="BL91" i="98" s="1"/>
  <c r="AY91" i="98"/>
  <c r="M91" i="98"/>
  <c r="BN91" i="98"/>
  <c r="BO91" i="98" s="1"/>
  <c r="BK91" i="98"/>
  <c r="AQ91" i="98"/>
  <c r="AR91" i="98" s="1"/>
  <c r="K92" i="98"/>
  <c r="BQ91" i="98"/>
  <c r="BR91" i="98" s="1"/>
  <c r="AN91" i="98"/>
  <c r="AO91" i="98" s="1"/>
  <c r="AV91" i="98"/>
  <c r="AW91" i="98" s="1"/>
  <c r="P91" i="98"/>
  <c r="BG91" i="98"/>
  <c r="BH91" i="98" s="1"/>
  <c r="AB91" i="98"/>
  <c r="AC91" i="98" s="1"/>
  <c r="O91" i="98"/>
  <c r="BD91" i="98"/>
  <c r="BE91" i="98" s="1"/>
  <c r="AE91" i="98"/>
  <c r="AF91" i="98" s="1"/>
  <c r="AK91" i="98"/>
  <c r="AL91" i="98" s="1"/>
  <c r="V91" i="98"/>
  <c r="W91" i="98" s="1"/>
  <c r="AT91" i="98"/>
  <c r="BA91" i="98"/>
  <c r="BB91" i="98" s="1"/>
  <c r="AH91" i="98"/>
  <c r="AI91" i="98" s="1"/>
  <c r="Y91" i="98"/>
  <c r="Z91" i="98" s="1"/>
  <c r="R91" i="98"/>
  <c r="T91" i="98" s="1"/>
  <c r="AH91" i="126"/>
  <c r="AI91" i="126" s="1"/>
  <c r="M91" i="126"/>
  <c r="BK91" i="126"/>
  <c r="BJ91" i="126"/>
  <c r="BL91" i="126" s="1"/>
  <c r="BN91" i="126"/>
  <c r="BO91" i="126" s="1"/>
  <c r="R91" i="126"/>
  <c r="T91" i="126" s="1"/>
  <c r="Y91" i="126"/>
  <c r="Z91" i="126" s="1"/>
  <c r="V91" i="126"/>
  <c r="W91" i="126" s="1"/>
  <c r="AT91" i="126"/>
  <c r="AK91" i="126"/>
  <c r="AL91" i="126" s="1"/>
  <c r="P91" i="126"/>
  <c r="O91" i="126"/>
  <c r="AQ91" i="126"/>
  <c r="AR91" i="126" s="1"/>
  <c r="AE91" i="126"/>
  <c r="AF91" i="126" s="1"/>
  <c r="BG91" i="126"/>
  <c r="BH91" i="126" s="1"/>
  <c r="BQ91" i="126"/>
  <c r="BR91" i="126" s="1"/>
  <c r="AV91" i="126"/>
  <c r="AW91" i="126" s="1"/>
  <c r="AY91" i="126"/>
  <c r="BD91" i="126"/>
  <c r="BE91" i="126" s="1"/>
  <c r="AB91" i="126"/>
  <c r="AC91" i="126" s="1"/>
  <c r="BA91" i="126"/>
  <c r="BB91" i="126" s="1"/>
  <c r="AN91" i="126"/>
  <c r="AO91" i="126" s="1"/>
  <c r="K92" i="126"/>
  <c r="I95" i="15"/>
  <c r="BJ91" i="114"/>
  <c r="BL91" i="114" s="1"/>
  <c r="BN91" i="114"/>
  <c r="BO91" i="114" s="1"/>
  <c r="BK91" i="114"/>
  <c r="M91" i="114"/>
  <c r="BA91" i="114"/>
  <c r="BB91" i="114" s="1"/>
  <c r="V91" i="114"/>
  <c r="W91" i="114" s="1"/>
  <c r="AV91" i="114"/>
  <c r="AW91" i="114" s="1"/>
  <c r="BD91" i="114"/>
  <c r="BE91" i="114" s="1"/>
  <c r="AE91" i="114"/>
  <c r="AF91" i="114" s="1"/>
  <c r="Y91" i="114"/>
  <c r="Z91" i="114" s="1"/>
  <c r="P91" i="114"/>
  <c r="BG91" i="114"/>
  <c r="BH91" i="114" s="1"/>
  <c r="BQ91" i="114"/>
  <c r="BR91" i="114" s="1"/>
  <c r="AQ91" i="114"/>
  <c r="AR91" i="114" s="1"/>
  <c r="AT91" i="114"/>
  <c r="AN91" i="114"/>
  <c r="AO91" i="114" s="1"/>
  <c r="AH91" i="114"/>
  <c r="AI91" i="114" s="1"/>
  <c r="O91" i="114"/>
  <c r="AK91" i="114"/>
  <c r="AL91" i="114" s="1"/>
  <c r="R91" i="114"/>
  <c r="T91" i="114" s="1"/>
  <c r="AY91" i="114"/>
  <c r="AB91" i="114"/>
  <c r="AC91" i="114" s="1"/>
  <c r="K92" i="114"/>
  <c r="M90" i="101"/>
  <c r="BQ90" i="101"/>
  <c r="BR90" i="101" s="1"/>
  <c r="AV90" i="101"/>
  <c r="AW90" i="101" s="1"/>
  <c r="BD90" i="101"/>
  <c r="BE90" i="101" s="1"/>
  <c r="P90" i="101"/>
  <c r="AQ90" i="101"/>
  <c r="AR90" i="101" s="1"/>
  <c r="AB90" i="101"/>
  <c r="AC90" i="101" s="1"/>
  <c r="O90" i="101"/>
  <c r="R90" i="101"/>
  <c r="T90" i="101" s="1"/>
  <c r="AK90" i="101"/>
  <c r="AL90" i="101" s="1"/>
  <c r="AN90" i="101"/>
  <c r="AO90" i="101" s="1"/>
  <c r="Y90" i="101"/>
  <c r="Z90" i="101" s="1"/>
  <c r="AE90" i="101"/>
  <c r="AF90" i="101" s="1"/>
  <c r="AY90" i="101"/>
  <c r="AT90" i="101"/>
  <c r="BA90" i="101"/>
  <c r="BB90" i="101" s="1"/>
  <c r="V90" i="101"/>
  <c r="W90" i="101" s="1"/>
  <c r="AH90" i="101"/>
  <c r="AI90" i="101" s="1"/>
  <c r="BG90" i="101"/>
  <c r="BH90" i="101" s="1"/>
  <c r="K92" i="96"/>
  <c r="I93" i="96"/>
  <c r="I93" i="110"/>
  <c r="K92" i="110"/>
  <c r="BN93" i="132" l="1"/>
  <c r="BO93" i="132" s="1"/>
  <c r="AT93" i="132"/>
  <c r="BQ93" i="132"/>
  <c r="BR93" i="132" s="1"/>
  <c r="BL93" i="132"/>
  <c r="AH93" i="132"/>
  <c r="AI93" i="132" s="1"/>
  <c r="AB93" i="132"/>
  <c r="AC93" i="132" s="1"/>
  <c r="AY93" i="132"/>
  <c r="M93" i="132"/>
  <c r="AE93" i="132"/>
  <c r="AF93" i="132" s="1"/>
  <c r="V93" i="132"/>
  <c r="W93" i="132" s="1"/>
  <c r="P93" i="132"/>
  <c r="AQ93" i="132"/>
  <c r="AR93" i="132" s="1"/>
  <c r="AK93" i="132"/>
  <c r="AL93" i="132" s="1"/>
  <c r="BD93" i="132"/>
  <c r="BE93" i="132" s="1"/>
  <c r="AV93" i="132"/>
  <c r="AW93" i="132" s="1"/>
  <c r="AN93" i="132"/>
  <c r="AO93" i="132" s="1"/>
  <c r="BG93" i="132"/>
  <c r="BH93" i="132" s="1"/>
  <c r="O93" i="132"/>
  <c r="Y93" i="132"/>
  <c r="Z93" i="132" s="1"/>
  <c r="BA93" i="132"/>
  <c r="BB93" i="132" s="1"/>
  <c r="R93" i="132"/>
  <c r="T93" i="132" s="1"/>
  <c r="K94" i="132"/>
  <c r="Y95" i="107"/>
  <c r="Z95" i="107" s="1"/>
  <c r="P95" i="107"/>
  <c r="BA95" i="107"/>
  <c r="BB95" i="107" s="1"/>
  <c r="O95" i="107"/>
  <c r="AE95" i="107"/>
  <c r="AF95" i="107" s="1"/>
  <c r="V95" i="107"/>
  <c r="W95" i="107" s="1"/>
  <c r="BK95" i="107"/>
  <c r="BJ95" i="107"/>
  <c r="BL95" i="107" s="1"/>
  <c r="R95" i="107"/>
  <c r="T95" i="107" s="1"/>
  <c r="AQ95" i="107"/>
  <c r="AR95" i="107" s="1"/>
  <c r="AB95" i="107"/>
  <c r="AC95" i="107" s="1"/>
  <c r="AT95" i="107"/>
  <c r="AH95" i="107"/>
  <c r="AI95" i="107" s="1"/>
  <c r="BG95" i="107"/>
  <c r="BH95" i="107" s="1"/>
  <c r="M95" i="107"/>
  <c r="AN95" i="107"/>
  <c r="AO95" i="107" s="1"/>
  <c r="AV95" i="107"/>
  <c r="AW95" i="107" s="1"/>
  <c r="BQ95" i="107"/>
  <c r="BR95" i="107" s="1"/>
  <c r="BN95" i="107"/>
  <c r="BO95" i="107" s="1"/>
  <c r="BD95" i="107"/>
  <c r="BE95" i="107" s="1"/>
  <c r="AK95" i="107"/>
  <c r="AL95" i="107" s="1"/>
  <c r="AY95" i="107"/>
  <c r="AV93" i="99"/>
  <c r="AW93" i="99" s="1"/>
  <c r="BK93" i="99"/>
  <c r="Y93" i="99"/>
  <c r="Z93" i="99" s="1"/>
  <c r="AH93" i="99"/>
  <c r="AI93" i="99" s="1"/>
  <c r="K94" i="99"/>
  <c r="M93" i="99"/>
  <c r="AN93" i="99"/>
  <c r="AO93" i="99" s="1"/>
  <c r="P93" i="99"/>
  <c r="AK93" i="99"/>
  <c r="AL93" i="99" s="1"/>
  <c r="AB93" i="99"/>
  <c r="AC93" i="99" s="1"/>
  <c r="AE93" i="99"/>
  <c r="AF93" i="99" s="1"/>
  <c r="AT93" i="99"/>
  <c r="BN93" i="99"/>
  <c r="BO93" i="99" s="1"/>
  <c r="V93" i="99"/>
  <c r="W93" i="99" s="1"/>
  <c r="BA93" i="99"/>
  <c r="BB93" i="99" s="1"/>
  <c r="R93" i="99"/>
  <c r="T93" i="99" s="1"/>
  <c r="AY93" i="99"/>
  <c r="AQ93" i="99"/>
  <c r="AR93" i="99" s="1"/>
  <c r="O93" i="99"/>
  <c r="BD93" i="99"/>
  <c r="BE93" i="99" s="1"/>
  <c r="BG93" i="99"/>
  <c r="BH93" i="99" s="1"/>
  <c r="BQ93" i="99"/>
  <c r="BR93" i="99" s="1"/>
  <c r="BJ93" i="99"/>
  <c r="BL93" i="99" s="1"/>
  <c r="I97" i="107"/>
  <c r="K96" i="107"/>
  <c r="I98" i="106"/>
  <c r="O92" i="129"/>
  <c r="P92" i="129"/>
  <c r="Y92" i="129"/>
  <c r="Z92" i="129" s="1"/>
  <c r="K93" i="129"/>
  <c r="AE92" i="129"/>
  <c r="AF92" i="129" s="1"/>
  <c r="AB92" i="129"/>
  <c r="AC92" i="129" s="1"/>
  <c r="AQ92" i="129"/>
  <c r="AR92" i="129" s="1"/>
  <c r="M92" i="129"/>
  <c r="BD92" i="129"/>
  <c r="BE92" i="129" s="1"/>
  <c r="AH92" i="129"/>
  <c r="AI92" i="129" s="1"/>
  <c r="V92" i="129"/>
  <c r="W92" i="129" s="1"/>
  <c r="BN92" i="129"/>
  <c r="BO92" i="129" s="1"/>
  <c r="AY92" i="129"/>
  <c r="AN92" i="129"/>
  <c r="AO92" i="129" s="1"/>
  <c r="AV92" i="129"/>
  <c r="AW92" i="129" s="1"/>
  <c r="R92" i="129"/>
  <c r="T92" i="129" s="1"/>
  <c r="AT92" i="129"/>
  <c r="BQ92" i="129"/>
  <c r="BR92" i="129" s="1"/>
  <c r="BL92" i="129"/>
  <c r="BA92" i="129"/>
  <c r="BB92" i="129" s="1"/>
  <c r="BG92" i="129"/>
  <c r="BH92" i="129" s="1"/>
  <c r="AK92" i="129"/>
  <c r="AL92" i="129" s="1"/>
  <c r="BJ91" i="106"/>
  <c r="BL91" i="106" s="1"/>
  <c r="R91" i="106"/>
  <c r="T91" i="106" s="1"/>
  <c r="AE91" i="106"/>
  <c r="AF91" i="106" s="1"/>
  <c r="BQ91" i="106"/>
  <c r="BR91" i="106" s="1"/>
  <c r="BK91" i="106"/>
  <c r="AK91" i="106"/>
  <c r="AL91" i="106" s="1"/>
  <c r="Y91" i="106"/>
  <c r="Z91" i="106" s="1"/>
  <c r="O91" i="106"/>
  <c r="BN91" i="106"/>
  <c r="BO91" i="106" s="1"/>
  <c r="AH91" i="106"/>
  <c r="AI91" i="106" s="1"/>
  <c r="BA91" i="106"/>
  <c r="BB91" i="106" s="1"/>
  <c r="AY91" i="106"/>
  <c r="AV91" i="106"/>
  <c r="AW91" i="106" s="1"/>
  <c r="AT91" i="106"/>
  <c r="AQ91" i="106"/>
  <c r="AR91" i="106" s="1"/>
  <c r="M91" i="106"/>
  <c r="V91" i="106"/>
  <c r="W91" i="106" s="1"/>
  <c r="P91" i="106"/>
  <c r="BD91" i="106"/>
  <c r="BE91" i="106" s="1"/>
  <c r="BG91" i="106"/>
  <c r="BH91" i="106" s="1"/>
  <c r="AN91" i="106"/>
  <c r="AO91" i="106" s="1"/>
  <c r="AB91" i="106"/>
  <c r="AC91" i="106" s="1"/>
  <c r="K92" i="106"/>
  <c r="I98" i="156"/>
  <c r="K97" i="156"/>
  <c r="AY97" i="156" s="1"/>
  <c r="AK94" i="133"/>
  <c r="AL94" i="133" s="1"/>
  <c r="AT94" i="133"/>
  <c r="AY94" i="133"/>
  <c r="K95" i="133"/>
  <c r="V94" i="133"/>
  <c r="W94" i="133" s="1"/>
  <c r="BG94" i="133"/>
  <c r="BH94" i="133" s="1"/>
  <c r="P94" i="133"/>
  <c r="AV94" i="133"/>
  <c r="AW94" i="133" s="1"/>
  <c r="AB94" i="133"/>
  <c r="AC94" i="133" s="1"/>
  <c r="BQ94" i="133"/>
  <c r="BR94" i="133" s="1"/>
  <c r="M94" i="133"/>
  <c r="AQ94" i="133"/>
  <c r="AR94" i="133" s="1"/>
  <c r="AE94" i="133"/>
  <c r="AF94" i="133" s="1"/>
  <c r="BA94" i="133"/>
  <c r="BB94" i="133" s="1"/>
  <c r="BN94" i="133"/>
  <c r="BO94" i="133" s="1"/>
  <c r="Y94" i="133"/>
  <c r="Z94" i="133" s="1"/>
  <c r="O94" i="133"/>
  <c r="AN94" i="133"/>
  <c r="AO94" i="133" s="1"/>
  <c r="BL94" i="133"/>
  <c r="R94" i="133"/>
  <c r="T94" i="133" s="1"/>
  <c r="AH94" i="133"/>
  <c r="AI94" i="133" s="1"/>
  <c r="BD94" i="133"/>
  <c r="BE94" i="133" s="1"/>
  <c r="R96" i="156"/>
  <c r="T96" i="156" s="1"/>
  <c r="M96" i="156"/>
  <c r="AH96" i="156"/>
  <c r="AI96" i="156" s="1"/>
  <c r="BN96" i="156"/>
  <c r="BO96" i="156" s="1"/>
  <c r="Y96" i="156"/>
  <c r="Z96" i="156" s="1"/>
  <c r="AN96" i="156"/>
  <c r="AO96" i="156" s="1"/>
  <c r="AE96" i="156"/>
  <c r="AF96" i="156" s="1"/>
  <c r="AV96" i="156"/>
  <c r="AW96" i="156" s="1"/>
  <c r="BG96" i="156"/>
  <c r="BH96" i="156" s="1"/>
  <c r="AK96" i="156"/>
  <c r="AL96" i="156" s="1"/>
  <c r="V96" i="156"/>
  <c r="W96" i="156" s="1"/>
  <c r="BL96" i="156"/>
  <c r="AQ96" i="156"/>
  <c r="AR96" i="156" s="1"/>
  <c r="BQ96" i="156"/>
  <c r="BR96" i="156" s="1"/>
  <c r="AB96" i="156"/>
  <c r="AC96" i="156" s="1"/>
  <c r="P96" i="156"/>
  <c r="BD96" i="156"/>
  <c r="BE96" i="156" s="1"/>
  <c r="O96" i="156"/>
  <c r="BA96" i="156"/>
  <c r="BB96" i="156" s="1"/>
  <c r="BL90" i="95"/>
  <c r="AV90" i="95"/>
  <c r="AW90" i="95" s="1"/>
  <c r="AH90" i="95"/>
  <c r="AI90" i="95" s="1"/>
  <c r="K91" i="95"/>
  <c r="R90" i="95"/>
  <c r="T90" i="95" s="1"/>
  <c r="BA90" i="95"/>
  <c r="BB90" i="95" s="1"/>
  <c r="V90" i="95"/>
  <c r="W90" i="95" s="1"/>
  <c r="Y90" i="95"/>
  <c r="Z90" i="95" s="1"/>
  <c r="AN90" i="95"/>
  <c r="AO90" i="95" s="1"/>
  <c r="AK90" i="95"/>
  <c r="AL90" i="95" s="1"/>
  <c r="P90" i="95"/>
  <c r="BD90" i="95"/>
  <c r="BE90" i="95" s="1"/>
  <c r="BQ90" i="95"/>
  <c r="BR90" i="95" s="1"/>
  <c r="M90" i="95"/>
  <c r="AQ90" i="95"/>
  <c r="AR90" i="95" s="1"/>
  <c r="BG90" i="95"/>
  <c r="BH90" i="95" s="1"/>
  <c r="AB90" i="95"/>
  <c r="AC90" i="95" s="1"/>
  <c r="BN90" i="95"/>
  <c r="BO90" i="95" s="1"/>
  <c r="AT90" i="95"/>
  <c r="O90" i="95"/>
  <c r="AE90" i="95"/>
  <c r="AF90" i="95" s="1"/>
  <c r="AB91" i="112"/>
  <c r="AC91" i="112" s="1"/>
  <c r="AY91" i="112"/>
  <c r="AT91" i="112"/>
  <c r="BK91" i="112"/>
  <c r="P91" i="112"/>
  <c r="AH91" i="112"/>
  <c r="AI91" i="112" s="1"/>
  <c r="R91" i="112"/>
  <c r="T91" i="112" s="1"/>
  <c r="M91" i="112"/>
  <c r="AV91" i="112"/>
  <c r="AW91" i="112" s="1"/>
  <c r="BQ91" i="112"/>
  <c r="BR91" i="112" s="1"/>
  <c r="V91" i="112"/>
  <c r="W91" i="112" s="1"/>
  <c r="BN91" i="112"/>
  <c r="BO91" i="112" s="1"/>
  <c r="BG91" i="112"/>
  <c r="BH91" i="112" s="1"/>
  <c r="Y91" i="112"/>
  <c r="Z91" i="112" s="1"/>
  <c r="AN91" i="112"/>
  <c r="AO91" i="112" s="1"/>
  <c r="BJ91" i="112"/>
  <c r="BL91" i="112" s="1"/>
  <c r="BD91" i="112"/>
  <c r="BE91" i="112" s="1"/>
  <c r="O91" i="112"/>
  <c r="AK91" i="112"/>
  <c r="AL91" i="112" s="1"/>
  <c r="K92" i="112"/>
  <c r="BA91" i="112"/>
  <c r="BB91" i="112" s="1"/>
  <c r="AQ91" i="112"/>
  <c r="AR91" i="112" s="1"/>
  <c r="AE91" i="112"/>
  <c r="AF91" i="112" s="1"/>
  <c r="AE91" i="104"/>
  <c r="AF91" i="104" s="1"/>
  <c r="AH91" i="104"/>
  <c r="AI91" i="104" s="1"/>
  <c r="BG91" i="104"/>
  <c r="BH91" i="104" s="1"/>
  <c r="K92" i="104"/>
  <c r="BK91" i="104"/>
  <c r="AQ91" i="104"/>
  <c r="AR91" i="104" s="1"/>
  <c r="BQ91" i="104"/>
  <c r="BR91" i="104" s="1"/>
  <c r="Y91" i="104"/>
  <c r="Z91" i="104" s="1"/>
  <c r="BN91" i="104"/>
  <c r="BO91" i="104" s="1"/>
  <c r="BD91" i="104"/>
  <c r="BE91" i="104" s="1"/>
  <c r="AV91" i="104"/>
  <c r="AW91" i="104" s="1"/>
  <c r="AY91" i="104"/>
  <c r="BJ91" i="104"/>
  <c r="BL91" i="104" s="1"/>
  <c r="V91" i="104"/>
  <c r="W91" i="104" s="1"/>
  <c r="P91" i="104"/>
  <c r="AB91" i="104"/>
  <c r="AC91" i="104" s="1"/>
  <c r="M91" i="104"/>
  <c r="AK91" i="104"/>
  <c r="AL91" i="104" s="1"/>
  <c r="BA91" i="104"/>
  <c r="BB91" i="104" s="1"/>
  <c r="AT91" i="104"/>
  <c r="O91" i="104"/>
  <c r="R91" i="104"/>
  <c r="T91" i="104" s="1"/>
  <c r="AN91" i="104"/>
  <c r="AO91" i="104" s="1"/>
  <c r="K93" i="130"/>
  <c r="BL92" i="130"/>
  <c r="M92" i="130"/>
  <c r="BN92" i="130"/>
  <c r="BO92" i="130" s="1"/>
  <c r="AE92" i="130"/>
  <c r="AF92" i="130" s="1"/>
  <c r="AB92" i="130"/>
  <c r="AC92" i="130" s="1"/>
  <c r="BD92" i="130"/>
  <c r="BE92" i="130" s="1"/>
  <c r="AQ92" i="130"/>
  <c r="AR92" i="130" s="1"/>
  <c r="Y92" i="130"/>
  <c r="Z92" i="130" s="1"/>
  <c r="AY92" i="130"/>
  <c r="R92" i="130"/>
  <c r="T92" i="130" s="1"/>
  <c r="AT92" i="130"/>
  <c r="AN92" i="130"/>
  <c r="AO92" i="130" s="1"/>
  <c r="AK92" i="130"/>
  <c r="AL92" i="130" s="1"/>
  <c r="O92" i="130"/>
  <c r="P92" i="130"/>
  <c r="V92" i="130"/>
  <c r="W92" i="130" s="1"/>
  <c r="AH92" i="130"/>
  <c r="AI92" i="130" s="1"/>
  <c r="BG92" i="130"/>
  <c r="BH92" i="130" s="1"/>
  <c r="BQ92" i="130"/>
  <c r="BR92" i="130" s="1"/>
  <c r="BA92" i="130"/>
  <c r="BB92" i="130" s="1"/>
  <c r="AV92" i="130"/>
  <c r="AW92" i="130" s="1"/>
  <c r="O97" i="155"/>
  <c r="V97" i="155"/>
  <c r="W97" i="155" s="1"/>
  <c r="AB97" i="155"/>
  <c r="AC97" i="155" s="1"/>
  <c r="AH97" i="155"/>
  <c r="AI97" i="155" s="1"/>
  <c r="AN97" i="155"/>
  <c r="AO97" i="155" s="1"/>
  <c r="BA97" i="155"/>
  <c r="BB97" i="155" s="1"/>
  <c r="BG97" i="155"/>
  <c r="BH97" i="155" s="1"/>
  <c r="BL97" i="155"/>
  <c r="P97" i="155"/>
  <c r="AV97" i="155"/>
  <c r="AW97" i="155" s="1"/>
  <c r="BN97" i="155"/>
  <c r="BO97" i="155" s="1"/>
  <c r="R97" i="155"/>
  <c r="T97" i="155" s="1"/>
  <c r="Y97" i="155"/>
  <c r="Z97" i="155" s="1"/>
  <c r="AE97" i="155"/>
  <c r="AF97" i="155" s="1"/>
  <c r="AK97" i="155"/>
  <c r="AL97" i="155" s="1"/>
  <c r="AQ97" i="155"/>
  <c r="AR97" i="155" s="1"/>
  <c r="BD97" i="155"/>
  <c r="BE97" i="155" s="1"/>
  <c r="M97" i="155"/>
  <c r="BQ97" i="155"/>
  <c r="BR97" i="155" s="1"/>
  <c r="K98" i="155"/>
  <c r="I99" i="155"/>
  <c r="O97" i="153"/>
  <c r="V97" i="153"/>
  <c r="W97" i="153" s="1"/>
  <c r="AB97" i="153"/>
  <c r="AC97" i="153" s="1"/>
  <c r="AH97" i="153"/>
  <c r="AI97" i="153" s="1"/>
  <c r="AN97" i="153"/>
  <c r="AO97" i="153" s="1"/>
  <c r="BA97" i="153"/>
  <c r="BB97" i="153" s="1"/>
  <c r="BG97" i="153"/>
  <c r="BH97" i="153" s="1"/>
  <c r="BL97" i="153"/>
  <c r="P97" i="153"/>
  <c r="AV97" i="153"/>
  <c r="AW97" i="153" s="1"/>
  <c r="BN97" i="153"/>
  <c r="BO97" i="153" s="1"/>
  <c r="R97" i="153"/>
  <c r="T97" i="153" s="1"/>
  <c r="Y97" i="153"/>
  <c r="Z97" i="153" s="1"/>
  <c r="AE97" i="153"/>
  <c r="AF97" i="153" s="1"/>
  <c r="AK97" i="153"/>
  <c r="AL97" i="153" s="1"/>
  <c r="AQ97" i="153"/>
  <c r="AR97" i="153" s="1"/>
  <c r="BD97" i="153"/>
  <c r="BE97" i="153" s="1"/>
  <c r="BQ97" i="153"/>
  <c r="BR97" i="153" s="1"/>
  <c r="M97" i="153"/>
  <c r="K98" i="153"/>
  <c r="I102" i="153"/>
  <c r="P97" i="152"/>
  <c r="AV97" i="152"/>
  <c r="AW97" i="152" s="1"/>
  <c r="BN97" i="152"/>
  <c r="BO97" i="152" s="1"/>
  <c r="R97" i="152"/>
  <c r="T97" i="152" s="1"/>
  <c r="Y97" i="152"/>
  <c r="Z97" i="152" s="1"/>
  <c r="AE97" i="152"/>
  <c r="AF97" i="152" s="1"/>
  <c r="AK97" i="152"/>
  <c r="AL97" i="152" s="1"/>
  <c r="AQ97" i="152"/>
  <c r="AR97" i="152" s="1"/>
  <c r="BD97" i="152"/>
  <c r="BE97" i="152" s="1"/>
  <c r="M97" i="152"/>
  <c r="BQ97" i="152"/>
  <c r="BR97" i="152" s="1"/>
  <c r="O97" i="152"/>
  <c r="V97" i="152"/>
  <c r="W97" i="152" s="1"/>
  <c r="AB97" i="152"/>
  <c r="AC97" i="152" s="1"/>
  <c r="AH97" i="152"/>
  <c r="AI97" i="152" s="1"/>
  <c r="AN97" i="152"/>
  <c r="AO97" i="152" s="1"/>
  <c r="BA97" i="152"/>
  <c r="BB97" i="152" s="1"/>
  <c r="BG97" i="152"/>
  <c r="BH97" i="152" s="1"/>
  <c r="BL97" i="152"/>
  <c r="K98" i="152"/>
  <c r="I106" i="152"/>
  <c r="BD95" i="151"/>
  <c r="BE95" i="151" s="1"/>
  <c r="AQ95" i="151"/>
  <c r="AR95" i="151" s="1"/>
  <c r="AK95" i="151"/>
  <c r="AL95" i="151" s="1"/>
  <c r="AE95" i="151"/>
  <c r="AF95" i="151" s="1"/>
  <c r="Y95" i="151"/>
  <c r="Z95" i="151" s="1"/>
  <c r="R95" i="151"/>
  <c r="T95" i="151" s="1"/>
  <c r="AV95" i="151"/>
  <c r="AW95" i="151" s="1"/>
  <c r="P95" i="151"/>
  <c r="BG95" i="151"/>
  <c r="BH95" i="151" s="1"/>
  <c r="BA95" i="151"/>
  <c r="BB95" i="151" s="1"/>
  <c r="AT95" i="151"/>
  <c r="AN95" i="151"/>
  <c r="AO95" i="151" s="1"/>
  <c r="AH95" i="151"/>
  <c r="AI95" i="151" s="1"/>
  <c r="AB95" i="151"/>
  <c r="AC95" i="151" s="1"/>
  <c r="V95" i="151"/>
  <c r="W95" i="151" s="1"/>
  <c r="O95" i="151"/>
  <c r="BQ95" i="151"/>
  <c r="BR95" i="151" s="1"/>
  <c r="AY95" i="151"/>
  <c r="BN95" i="151"/>
  <c r="BO95" i="151" s="1"/>
  <c r="M95" i="151"/>
  <c r="BL95" i="151"/>
  <c r="I97" i="151"/>
  <c r="K96" i="151"/>
  <c r="I98" i="150"/>
  <c r="AV94" i="150"/>
  <c r="AW94" i="150" s="1"/>
  <c r="P94" i="150"/>
  <c r="BG94" i="150"/>
  <c r="BH94" i="150" s="1"/>
  <c r="BA94" i="150"/>
  <c r="BB94" i="150" s="1"/>
  <c r="AT94" i="150"/>
  <c r="AN94" i="150"/>
  <c r="AO94" i="150" s="1"/>
  <c r="AH94" i="150"/>
  <c r="AI94" i="150" s="1"/>
  <c r="AB94" i="150"/>
  <c r="AC94" i="150" s="1"/>
  <c r="V94" i="150"/>
  <c r="W94" i="150" s="1"/>
  <c r="O94" i="150"/>
  <c r="BQ94" i="150"/>
  <c r="BR94" i="150" s="1"/>
  <c r="AY94" i="150"/>
  <c r="AQ94" i="150"/>
  <c r="AR94" i="150" s="1"/>
  <c r="R94" i="150"/>
  <c r="T94" i="150" s="1"/>
  <c r="AK94" i="150"/>
  <c r="AL94" i="150" s="1"/>
  <c r="BD94" i="150"/>
  <c r="BE94" i="150" s="1"/>
  <c r="AE94" i="150"/>
  <c r="AF94" i="150" s="1"/>
  <c r="Y94" i="150"/>
  <c r="Z94" i="150" s="1"/>
  <c r="BN94" i="150"/>
  <c r="BO94" i="150" s="1"/>
  <c r="M94" i="150"/>
  <c r="BL94" i="150"/>
  <c r="K95" i="150"/>
  <c r="BG96" i="149"/>
  <c r="BH96" i="149" s="1"/>
  <c r="BA96" i="149"/>
  <c r="BB96" i="149" s="1"/>
  <c r="AT96" i="149"/>
  <c r="AN96" i="149"/>
  <c r="AO96" i="149" s="1"/>
  <c r="AH96" i="149"/>
  <c r="AI96" i="149" s="1"/>
  <c r="AB96" i="149"/>
  <c r="AC96" i="149" s="1"/>
  <c r="V96" i="149"/>
  <c r="W96" i="149" s="1"/>
  <c r="O96" i="149"/>
  <c r="BQ96" i="149"/>
  <c r="BR96" i="149" s="1"/>
  <c r="AY96" i="149"/>
  <c r="BD96" i="149"/>
  <c r="BE96" i="149" s="1"/>
  <c r="AQ96" i="149"/>
  <c r="AR96" i="149" s="1"/>
  <c r="AK96" i="149"/>
  <c r="AL96" i="149" s="1"/>
  <c r="AE96" i="149"/>
  <c r="AF96" i="149" s="1"/>
  <c r="Y96" i="149"/>
  <c r="Z96" i="149" s="1"/>
  <c r="R96" i="149"/>
  <c r="T96" i="149" s="1"/>
  <c r="AV96" i="149"/>
  <c r="AW96" i="149" s="1"/>
  <c r="P96" i="149"/>
  <c r="M96" i="149"/>
  <c r="BN96" i="149"/>
  <c r="BO96" i="149" s="1"/>
  <c r="BL96" i="149"/>
  <c r="K97" i="149"/>
  <c r="I98" i="149"/>
  <c r="I97" i="147"/>
  <c r="K96" i="147"/>
  <c r="AV95" i="147"/>
  <c r="AW95" i="147" s="1"/>
  <c r="P95" i="147"/>
  <c r="BG95" i="147"/>
  <c r="BH95" i="147" s="1"/>
  <c r="BA95" i="147"/>
  <c r="BB95" i="147" s="1"/>
  <c r="AT95" i="147"/>
  <c r="AN95" i="147"/>
  <c r="AO95" i="147" s="1"/>
  <c r="AH95" i="147"/>
  <c r="AI95" i="147" s="1"/>
  <c r="AB95" i="147"/>
  <c r="AC95" i="147" s="1"/>
  <c r="V95" i="147"/>
  <c r="W95" i="147" s="1"/>
  <c r="O95" i="147"/>
  <c r="BD95" i="147"/>
  <c r="BE95" i="147" s="1"/>
  <c r="AQ95" i="147"/>
  <c r="AR95" i="147" s="1"/>
  <c r="AE95" i="147"/>
  <c r="AF95" i="147" s="1"/>
  <c r="R95" i="147"/>
  <c r="T95" i="147" s="1"/>
  <c r="AY95" i="147"/>
  <c r="AK95" i="147"/>
  <c r="AL95" i="147" s="1"/>
  <c r="Y95" i="147"/>
  <c r="Z95" i="147" s="1"/>
  <c r="BQ95" i="147"/>
  <c r="BR95" i="147" s="1"/>
  <c r="BK95" i="147"/>
  <c r="BJ95" i="147"/>
  <c r="BL95" i="147" s="1"/>
  <c r="M95" i="147"/>
  <c r="BN95" i="147"/>
  <c r="BO95" i="147" s="1"/>
  <c r="I96" i="146"/>
  <c r="K95" i="146"/>
  <c r="BQ94" i="146"/>
  <c r="BR94" i="146" s="1"/>
  <c r="AY94" i="146"/>
  <c r="BD94" i="146"/>
  <c r="BE94" i="146" s="1"/>
  <c r="AQ94" i="146"/>
  <c r="AR94" i="146" s="1"/>
  <c r="AK94" i="146"/>
  <c r="AL94" i="146" s="1"/>
  <c r="AE94" i="146"/>
  <c r="AF94" i="146" s="1"/>
  <c r="Y94" i="146"/>
  <c r="Z94" i="146" s="1"/>
  <c r="R94" i="146"/>
  <c r="T94" i="146" s="1"/>
  <c r="AV94" i="146"/>
  <c r="AW94" i="146" s="1"/>
  <c r="P94" i="146"/>
  <c r="BG94" i="146"/>
  <c r="BH94" i="146" s="1"/>
  <c r="AH94" i="146"/>
  <c r="AI94" i="146" s="1"/>
  <c r="BA94" i="146"/>
  <c r="BB94" i="146" s="1"/>
  <c r="AB94" i="146"/>
  <c r="AC94" i="146" s="1"/>
  <c r="AT94" i="146"/>
  <c r="V94" i="146"/>
  <c r="W94" i="146" s="1"/>
  <c r="AN94" i="146"/>
  <c r="AO94" i="146" s="1"/>
  <c r="O94" i="146"/>
  <c r="M94" i="146"/>
  <c r="BK94" i="146"/>
  <c r="BJ94" i="146"/>
  <c r="BL94" i="146" s="1"/>
  <c r="BN94" i="146"/>
  <c r="BO94" i="146" s="1"/>
  <c r="P92" i="96"/>
  <c r="AE92" i="96"/>
  <c r="AF92" i="96" s="1"/>
  <c r="BQ92" i="96"/>
  <c r="BR92" i="96" s="1"/>
  <c r="AQ92" i="96"/>
  <c r="AR92" i="96" s="1"/>
  <c r="AT92" i="96"/>
  <c r="AB92" i="96"/>
  <c r="AC92" i="96" s="1"/>
  <c r="M92" i="96"/>
  <c r="AH92" i="96"/>
  <c r="AI92" i="96" s="1"/>
  <c r="R92" i="96"/>
  <c r="T92" i="96" s="1"/>
  <c r="AN92" i="96"/>
  <c r="AO92" i="96" s="1"/>
  <c r="BD92" i="96"/>
  <c r="BE92" i="96" s="1"/>
  <c r="BA92" i="96"/>
  <c r="BB92" i="96" s="1"/>
  <c r="BN92" i="96"/>
  <c r="BO92" i="96" s="1"/>
  <c r="AK92" i="96"/>
  <c r="AL92" i="96" s="1"/>
  <c r="AV92" i="96"/>
  <c r="AW92" i="96" s="1"/>
  <c r="BG92" i="96"/>
  <c r="BH92" i="96" s="1"/>
  <c r="Y92" i="96"/>
  <c r="Z92" i="96" s="1"/>
  <c r="V92" i="96"/>
  <c r="W92" i="96" s="1"/>
  <c r="O92" i="96"/>
  <c r="BL92" i="96"/>
  <c r="M92" i="114"/>
  <c r="BN92" i="114"/>
  <c r="BO92" i="114" s="1"/>
  <c r="BJ92" i="114"/>
  <c r="BL92" i="114" s="1"/>
  <c r="BK92" i="114"/>
  <c r="AQ92" i="114"/>
  <c r="AR92" i="114" s="1"/>
  <c r="BG92" i="114"/>
  <c r="BH92" i="114" s="1"/>
  <c r="Y92" i="114"/>
  <c r="Z92" i="114" s="1"/>
  <c r="AK92" i="114"/>
  <c r="AL92" i="114" s="1"/>
  <c r="AE92" i="114"/>
  <c r="AF92" i="114" s="1"/>
  <c r="O92" i="114"/>
  <c r="BA92" i="114"/>
  <c r="BB92" i="114" s="1"/>
  <c r="AB92" i="114"/>
  <c r="AC92" i="114" s="1"/>
  <c r="BD92" i="114"/>
  <c r="BE92" i="114" s="1"/>
  <c r="AY92" i="114"/>
  <c r="V92" i="114"/>
  <c r="W92" i="114" s="1"/>
  <c r="AN92" i="114"/>
  <c r="AO92" i="114" s="1"/>
  <c r="AH92" i="114"/>
  <c r="AI92" i="114" s="1"/>
  <c r="BQ92" i="114"/>
  <c r="BR92" i="114" s="1"/>
  <c r="P92" i="114"/>
  <c r="AV92" i="114"/>
  <c r="AW92" i="114" s="1"/>
  <c r="R92" i="114"/>
  <c r="T92" i="114" s="1"/>
  <c r="AT92" i="114"/>
  <c r="K93" i="114"/>
  <c r="I96" i="15"/>
  <c r="M90" i="13"/>
  <c r="BL90" i="13"/>
  <c r="BN90" i="13"/>
  <c r="BO90" i="13" s="1"/>
  <c r="AK90" i="13"/>
  <c r="AL90" i="13" s="1"/>
  <c r="BD90" i="13"/>
  <c r="BE90" i="13" s="1"/>
  <c r="AY90" i="13"/>
  <c r="AB90" i="13"/>
  <c r="AC90" i="13" s="1"/>
  <c r="BG90" i="13"/>
  <c r="BH90" i="13" s="1"/>
  <c r="AT90" i="13"/>
  <c r="P90" i="13"/>
  <c r="R90" i="13"/>
  <c r="T90" i="13" s="1"/>
  <c r="BQ90" i="13"/>
  <c r="BR90" i="13" s="1"/>
  <c r="AH90" i="13"/>
  <c r="AI90" i="13" s="1"/>
  <c r="AQ90" i="13"/>
  <c r="AR90" i="13" s="1"/>
  <c r="AV90" i="13"/>
  <c r="AW90" i="13" s="1"/>
  <c r="BA90" i="13"/>
  <c r="BB90" i="13" s="1"/>
  <c r="AE90" i="13"/>
  <c r="AF90" i="13" s="1"/>
  <c r="V90" i="13"/>
  <c r="W90" i="13" s="1"/>
  <c r="Y90" i="13"/>
  <c r="Z90" i="13" s="1"/>
  <c r="AN90" i="13"/>
  <c r="AO90" i="13" s="1"/>
  <c r="O90" i="13"/>
  <c r="I97" i="126"/>
  <c r="BJ96" i="124"/>
  <c r="BL96" i="124" s="1"/>
  <c r="K97" i="124"/>
  <c r="BN96" i="124"/>
  <c r="BO96" i="124" s="1"/>
  <c r="M96" i="124"/>
  <c r="BK96" i="124"/>
  <c r="AN96" i="124"/>
  <c r="AO96" i="124" s="1"/>
  <c r="AQ96" i="124"/>
  <c r="AR96" i="124" s="1"/>
  <c r="AH96" i="124"/>
  <c r="AI96" i="124" s="1"/>
  <c r="Y96" i="124"/>
  <c r="Z96" i="124" s="1"/>
  <c r="BD96" i="124"/>
  <c r="BE96" i="124" s="1"/>
  <c r="AV96" i="124"/>
  <c r="AW96" i="124" s="1"/>
  <c r="V96" i="124"/>
  <c r="W96" i="124" s="1"/>
  <c r="AY96" i="124"/>
  <c r="BA96" i="124"/>
  <c r="BB96" i="124" s="1"/>
  <c r="P96" i="124"/>
  <c r="AT96" i="124"/>
  <c r="BG96" i="124"/>
  <c r="BH96" i="124" s="1"/>
  <c r="AE96" i="124"/>
  <c r="AF96" i="124" s="1"/>
  <c r="O96" i="124"/>
  <c r="AB96" i="124"/>
  <c r="AC96" i="124" s="1"/>
  <c r="BQ96" i="124"/>
  <c r="BR96" i="124" s="1"/>
  <c r="AK96" i="124"/>
  <c r="AL96" i="124" s="1"/>
  <c r="R96" i="124"/>
  <c r="T96" i="124" s="1"/>
  <c r="BN90" i="17"/>
  <c r="BO90" i="17" s="1"/>
  <c r="AK90" i="17"/>
  <c r="AL90" i="17" s="1"/>
  <c r="R90" i="17"/>
  <c r="T90" i="17" s="1"/>
  <c r="P90" i="17"/>
  <c r="AT90" i="17"/>
  <c r="BL90" i="17"/>
  <c r="M90" i="17"/>
  <c r="V90" i="17"/>
  <c r="W90" i="17" s="1"/>
  <c r="BG90" i="17"/>
  <c r="BH90" i="17" s="1"/>
  <c r="BQ90" i="17"/>
  <c r="BR90" i="17" s="1"/>
  <c r="AE90" i="17"/>
  <c r="AF90" i="17" s="1"/>
  <c r="AV90" i="17"/>
  <c r="AW90" i="17" s="1"/>
  <c r="BD90" i="17"/>
  <c r="BE90" i="17" s="1"/>
  <c r="AB90" i="17"/>
  <c r="AC90" i="17" s="1"/>
  <c r="BA90" i="17"/>
  <c r="BB90" i="17" s="1"/>
  <c r="AQ90" i="17"/>
  <c r="AR90" i="17" s="1"/>
  <c r="AY90" i="17"/>
  <c r="O90" i="17"/>
  <c r="AN90" i="17"/>
  <c r="AO90" i="17" s="1"/>
  <c r="Y90" i="17"/>
  <c r="Z90" i="17" s="1"/>
  <c r="AH90" i="17"/>
  <c r="AI90" i="17" s="1"/>
  <c r="I95" i="135"/>
  <c r="K94" i="135"/>
  <c r="I98" i="64"/>
  <c r="I98" i="136"/>
  <c r="M91" i="101"/>
  <c r="BA91" i="101"/>
  <c r="BB91" i="101" s="1"/>
  <c r="V91" i="101"/>
  <c r="W91" i="101" s="1"/>
  <c r="AY91" i="101"/>
  <c r="O91" i="101"/>
  <c r="AH91" i="101"/>
  <c r="AI91" i="101" s="1"/>
  <c r="R91" i="101"/>
  <c r="T91" i="101" s="1"/>
  <c r="AK91" i="101"/>
  <c r="AL91" i="101" s="1"/>
  <c r="BQ91" i="101"/>
  <c r="BR91" i="101" s="1"/>
  <c r="BG91" i="101"/>
  <c r="BH91" i="101" s="1"/>
  <c r="AV91" i="101"/>
  <c r="AW91" i="101" s="1"/>
  <c r="AQ91" i="101"/>
  <c r="AR91" i="101" s="1"/>
  <c r="AE91" i="101"/>
  <c r="AF91" i="101" s="1"/>
  <c r="P91" i="101"/>
  <c r="AT91" i="101"/>
  <c r="AB91" i="101"/>
  <c r="AC91" i="101" s="1"/>
  <c r="BD91" i="101"/>
  <c r="BE91" i="101" s="1"/>
  <c r="Y91" i="101"/>
  <c r="Z91" i="101" s="1"/>
  <c r="AN91" i="101"/>
  <c r="AO91" i="101" s="1"/>
  <c r="V92" i="98"/>
  <c r="W92" i="98" s="1"/>
  <c r="BD92" i="98"/>
  <c r="BE92" i="98" s="1"/>
  <c r="Y92" i="98"/>
  <c r="Z92" i="98" s="1"/>
  <c r="BK92" i="98"/>
  <c r="O92" i="98"/>
  <c r="K93" i="98"/>
  <c r="AE92" i="98"/>
  <c r="AF92" i="98" s="1"/>
  <c r="BN92" i="98"/>
  <c r="BO92" i="98" s="1"/>
  <c r="BJ92" i="98"/>
  <c r="BL92" i="98" s="1"/>
  <c r="M92" i="98"/>
  <c r="AN92" i="98"/>
  <c r="AO92" i="98" s="1"/>
  <c r="AB92" i="98"/>
  <c r="AC92" i="98" s="1"/>
  <c r="AY92" i="98"/>
  <c r="P92" i="98"/>
  <c r="BQ92" i="98"/>
  <c r="BR92" i="98" s="1"/>
  <c r="R92" i="98"/>
  <c r="T92" i="98" s="1"/>
  <c r="AH92" i="98"/>
  <c r="AI92" i="98" s="1"/>
  <c r="BG92" i="98"/>
  <c r="BH92" i="98" s="1"/>
  <c r="AV92" i="98"/>
  <c r="AW92" i="98" s="1"/>
  <c r="AT92" i="98"/>
  <c r="AQ92" i="98"/>
  <c r="AR92" i="98" s="1"/>
  <c r="BA92" i="98"/>
  <c r="BB92" i="98" s="1"/>
  <c r="AK92" i="98"/>
  <c r="AL92" i="98" s="1"/>
  <c r="I99" i="105"/>
  <c r="BD90" i="66"/>
  <c r="BE90" i="66" s="1"/>
  <c r="AE90" i="66"/>
  <c r="AF90" i="66" s="1"/>
  <c r="AB90" i="66"/>
  <c r="AC90" i="66" s="1"/>
  <c r="O90" i="66"/>
  <c r="P90" i="66"/>
  <c r="M90" i="66"/>
  <c r="AV90" i="66"/>
  <c r="AW90" i="66" s="1"/>
  <c r="AN90" i="66"/>
  <c r="AO90" i="66" s="1"/>
  <c r="AK90" i="66"/>
  <c r="AL90" i="66" s="1"/>
  <c r="BN90" i="66"/>
  <c r="BO90" i="66" s="1"/>
  <c r="Y90" i="66"/>
  <c r="Z90" i="66" s="1"/>
  <c r="AQ90" i="66"/>
  <c r="AR90" i="66" s="1"/>
  <c r="BQ90" i="66"/>
  <c r="BR90" i="66" s="1"/>
  <c r="R90" i="66"/>
  <c r="T90" i="66" s="1"/>
  <c r="AT90" i="66"/>
  <c r="V90" i="66"/>
  <c r="W90" i="66" s="1"/>
  <c r="AY90" i="66"/>
  <c r="BG90" i="66"/>
  <c r="BH90" i="66" s="1"/>
  <c r="AH90" i="66"/>
  <c r="AI90" i="66" s="1"/>
  <c r="BA90" i="66"/>
  <c r="BB90" i="66" s="1"/>
  <c r="BL90" i="66"/>
  <c r="I107" i="133"/>
  <c r="I96" i="104"/>
  <c r="I97" i="63"/>
  <c r="BN94" i="105"/>
  <c r="BO94" i="105" s="1"/>
  <c r="BJ94" i="105"/>
  <c r="BL94" i="105" s="1"/>
  <c r="M94" i="105"/>
  <c r="BK94" i="105"/>
  <c r="BG94" i="105"/>
  <c r="BH94" i="105" s="1"/>
  <c r="AE94" i="105"/>
  <c r="AF94" i="105" s="1"/>
  <c r="AK94" i="105"/>
  <c r="AL94" i="105" s="1"/>
  <c r="AV94" i="105"/>
  <c r="AW94" i="105" s="1"/>
  <c r="AN94" i="105"/>
  <c r="AO94" i="105" s="1"/>
  <c r="AY94" i="105"/>
  <c r="Y94" i="105"/>
  <c r="Z94" i="105" s="1"/>
  <c r="BA94" i="105"/>
  <c r="BB94" i="105" s="1"/>
  <c r="BD94" i="105"/>
  <c r="BE94" i="105" s="1"/>
  <c r="AH94" i="105"/>
  <c r="AI94" i="105" s="1"/>
  <c r="AT94" i="105"/>
  <c r="P94" i="105"/>
  <c r="BQ94" i="105"/>
  <c r="BR94" i="105" s="1"/>
  <c r="AB94" i="105"/>
  <c r="AC94" i="105" s="1"/>
  <c r="V94" i="105"/>
  <c r="W94" i="105" s="1"/>
  <c r="AQ94" i="105"/>
  <c r="AR94" i="105" s="1"/>
  <c r="O94" i="105"/>
  <c r="R94" i="105"/>
  <c r="T94" i="105" s="1"/>
  <c r="K95" i="105"/>
  <c r="I92" i="13"/>
  <c r="K91" i="13"/>
  <c r="I92" i="17"/>
  <c r="K91" i="17"/>
  <c r="M93" i="135"/>
  <c r="AT93" i="135"/>
  <c r="Y93" i="135"/>
  <c r="Z93" i="135" s="1"/>
  <c r="AK93" i="135"/>
  <c r="AL93" i="135" s="1"/>
  <c r="BQ93" i="135"/>
  <c r="BR93" i="135" s="1"/>
  <c r="BG93" i="135"/>
  <c r="BH93" i="135" s="1"/>
  <c r="AH93" i="135"/>
  <c r="AI93" i="135" s="1"/>
  <c r="AV93" i="135"/>
  <c r="AW93" i="135" s="1"/>
  <c r="V93" i="135"/>
  <c r="W93" i="135" s="1"/>
  <c r="O93" i="135"/>
  <c r="AQ93" i="135"/>
  <c r="AR93" i="135" s="1"/>
  <c r="BD93" i="135"/>
  <c r="BE93" i="135" s="1"/>
  <c r="AE93" i="135"/>
  <c r="AF93" i="135" s="1"/>
  <c r="AN93" i="135"/>
  <c r="AO93" i="135" s="1"/>
  <c r="AB93" i="135"/>
  <c r="AC93" i="135" s="1"/>
  <c r="R93" i="135"/>
  <c r="T93" i="135" s="1"/>
  <c r="P93" i="135"/>
  <c r="AY93" i="135"/>
  <c r="BA93" i="135"/>
  <c r="BB93" i="135" s="1"/>
  <c r="BN93" i="135"/>
  <c r="BO93" i="135" s="1"/>
  <c r="BL93" i="135"/>
  <c r="K92" i="118"/>
  <c r="BQ91" i="118"/>
  <c r="BR91" i="118" s="1"/>
  <c r="M91" i="118"/>
  <c r="BN91" i="118"/>
  <c r="BO91" i="118" s="1"/>
  <c r="AK91" i="118"/>
  <c r="AL91" i="118" s="1"/>
  <c r="O91" i="118"/>
  <c r="P91" i="118"/>
  <c r="AE91" i="118"/>
  <c r="AF91" i="118" s="1"/>
  <c r="V91" i="118"/>
  <c r="W91" i="118" s="1"/>
  <c r="AT91" i="118"/>
  <c r="AY91" i="118"/>
  <c r="AH91" i="118"/>
  <c r="AI91" i="118" s="1"/>
  <c r="AV91" i="118"/>
  <c r="AW91" i="118" s="1"/>
  <c r="AN91" i="118"/>
  <c r="AO91" i="118" s="1"/>
  <c r="R91" i="118"/>
  <c r="T91" i="118" s="1"/>
  <c r="BD91" i="118"/>
  <c r="BE91" i="118" s="1"/>
  <c r="BG91" i="118"/>
  <c r="BH91" i="118" s="1"/>
  <c r="BA91" i="118"/>
  <c r="BB91" i="118" s="1"/>
  <c r="AQ91" i="118"/>
  <c r="AR91" i="118" s="1"/>
  <c r="AB91" i="118"/>
  <c r="AC91" i="118" s="1"/>
  <c r="Y91" i="118"/>
  <c r="Z91" i="118" s="1"/>
  <c r="I93" i="101"/>
  <c r="K92" i="101"/>
  <c r="BJ92" i="110"/>
  <c r="BL92" i="110" s="1"/>
  <c r="M92" i="110"/>
  <c r="BN92" i="110"/>
  <c r="BO92" i="110" s="1"/>
  <c r="BK92" i="110"/>
  <c r="BQ92" i="110"/>
  <c r="BR92" i="110" s="1"/>
  <c r="AN92" i="110"/>
  <c r="AO92" i="110" s="1"/>
  <c r="AB92" i="110"/>
  <c r="AC92" i="110" s="1"/>
  <c r="BG92" i="110"/>
  <c r="BH92" i="110" s="1"/>
  <c r="V92" i="110"/>
  <c r="W92" i="110" s="1"/>
  <c r="AH92" i="110"/>
  <c r="AI92" i="110" s="1"/>
  <c r="O92" i="110"/>
  <c r="AE92" i="110"/>
  <c r="AF92" i="110" s="1"/>
  <c r="AV92" i="110"/>
  <c r="AW92" i="110" s="1"/>
  <c r="AT92" i="110"/>
  <c r="AQ92" i="110"/>
  <c r="AR92" i="110" s="1"/>
  <c r="P92" i="110"/>
  <c r="R92" i="110"/>
  <c r="T92" i="110" s="1"/>
  <c r="BD92" i="110"/>
  <c r="BE92" i="110" s="1"/>
  <c r="BA92" i="110"/>
  <c r="BB92" i="110" s="1"/>
  <c r="Y92" i="110"/>
  <c r="Z92" i="110" s="1"/>
  <c r="AY92" i="110"/>
  <c r="AK92" i="110"/>
  <c r="AL92" i="110" s="1"/>
  <c r="I94" i="110"/>
  <c r="K93" i="110"/>
  <c r="P92" i="126"/>
  <c r="M92" i="126"/>
  <c r="BK92" i="126"/>
  <c r="BN92" i="126"/>
  <c r="BO92" i="126" s="1"/>
  <c r="BJ92" i="126"/>
  <c r="BL92" i="126" s="1"/>
  <c r="BD92" i="126"/>
  <c r="BE92" i="126" s="1"/>
  <c r="AY92" i="126"/>
  <c r="O92" i="126"/>
  <c r="AK92" i="126"/>
  <c r="AL92" i="126" s="1"/>
  <c r="V92" i="126"/>
  <c r="W92" i="126" s="1"/>
  <c r="BQ92" i="126"/>
  <c r="BR92" i="126" s="1"/>
  <c r="BA92" i="126"/>
  <c r="BB92" i="126" s="1"/>
  <c r="AB92" i="126"/>
  <c r="AC92" i="126" s="1"/>
  <c r="AH92" i="126"/>
  <c r="AI92" i="126" s="1"/>
  <c r="R92" i="126"/>
  <c r="T92" i="126" s="1"/>
  <c r="AE92" i="126"/>
  <c r="AF92" i="126" s="1"/>
  <c r="Y92" i="126"/>
  <c r="Z92" i="126" s="1"/>
  <c r="AV92" i="126"/>
  <c r="AW92" i="126" s="1"/>
  <c r="AT92" i="126"/>
  <c r="BG92" i="126"/>
  <c r="BH92" i="126" s="1"/>
  <c r="AQ92" i="126"/>
  <c r="AR92" i="126" s="1"/>
  <c r="AN92" i="126"/>
  <c r="AO92" i="126" s="1"/>
  <c r="K93" i="126"/>
  <c r="K91" i="66"/>
  <c r="I92" i="66"/>
  <c r="M94" i="136"/>
  <c r="BN94" i="136"/>
  <c r="BO94" i="136" s="1"/>
  <c r="V94" i="136"/>
  <c r="W94" i="136" s="1"/>
  <c r="BL94" i="136"/>
  <c r="AQ94" i="136"/>
  <c r="AR94" i="136" s="1"/>
  <c r="AY94" i="136"/>
  <c r="BD94" i="136"/>
  <c r="BE94" i="136" s="1"/>
  <c r="BQ94" i="136"/>
  <c r="BR94" i="136" s="1"/>
  <c r="AV94" i="136"/>
  <c r="AW94" i="136" s="1"/>
  <c r="P94" i="136"/>
  <c r="AN94" i="136"/>
  <c r="AO94" i="136" s="1"/>
  <c r="R94" i="136"/>
  <c r="T94" i="136" s="1"/>
  <c r="AE94" i="136"/>
  <c r="AF94" i="136" s="1"/>
  <c r="O94" i="136"/>
  <c r="AB94" i="136"/>
  <c r="AC94" i="136" s="1"/>
  <c r="BG94" i="136"/>
  <c r="BH94" i="136" s="1"/>
  <c r="AK94" i="136"/>
  <c r="AL94" i="136" s="1"/>
  <c r="AT94" i="136"/>
  <c r="AH94" i="136"/>
  <c r="AI94" i="136" s="1"/>
  <c r="Y94" i="136"/>
  <c r="Z94" i="136" s="1"/>
  <c r="BA94" i="136"/>
  <c r="BB94" i="136" s="1"/>
  <c r="K95" i="136"/>
  <c r="I101" i="95"/>
  <c r="AH93" i="64"/>
  <c r="AI93" i="64" s="1"/>
  <c r="Y93" i="64"/>
  <c r="Z93" i="64" s="1"/>
  <c r="V93" i="64"/>
  <c r="W93" i="64" s="1"/>
  <c r="AB93" i="64"/>
  <c r="AC93" i="64" s="1"/>
  <c r="AE93" i="64"/>
  <c r="AF93" i="64" s="1"/>
  <c r="BD93" i="64"/>
  <c r="BE93" i="64" s="1"/>
  <c r="P93" i="64"/>
  <c r="AQ93" i="64"/>
  <c r="AR93" i="64" s="1"/>
  <c r="O93" i="64"/>
  <c r="BA93" i="64"/>
  <c r="BB93" i="64" s="1"/>
  <c r="R93" i="64"/>
  <c r="T93" i="64" s="1"/>
  <c r="AK93" i="64"/>
  <c r="AL93" i="64" s="1"/>
  <c r="BQ93" i="64"/>
  <c r="BR93" i="64" s="1"/>
  <c r="AV93" i="64"/>
  <c r="AW93" i="64" s="1"/>
  <c r="M93" i="64"/>
  <c r="AY93" i="64"/>
  <c r="BG93" i="64"/>
  <c r="BH93" i="64" s="1"/>
  <c r="AN93" i="64"/>
  <c r="AO93" i="64" s="1"/>
  <c r="AT93" i="64"/>
  <c r="BL93" i="64"/>
  <c r="BN93" i="64"/>
  <c r="BO93" i="64" s="1"/>
  <c r="K94" i="64"/>
  <c r="BL91" i="15"/>
  <c r="BN91" i="15"/>
  <c r="BO91" i="15" s="1"/>
  <c r="M91" i="15"/>
  <c r="BD91" i="15"/>
  <c r="BE91" i="15" s="1"/>
  <c r="AH91" i="15"/>
  <c r="AI91" i="15" s="1"/>
  <c r="AQ91" i="15"/>
  <c r="AR91" i="15" s="1"/>
  <c r="P91" i="15"/>
  <c r="AY91" i="15"/>
  <c r="BQ91" i="15"/>
  <c r="BR91" i="15" s="1"/>
  <c r="BA91" i="15"/>
  <c r="BB91" i="15" s="1"/>
  <c r="AE91" i="15"/>
  <c r="AF91" i="15" s="1"/>
  <c r="AV91" i="15"/>
  <c r="AW91" i="15" s="1"/>
  <c r="V91" i="15"/>
  <c r="W91" i="15" s="1"/>
  <c r="O91" i="15"/>
  <c r="Y91" i="15"/>
  <c r="Z91" i="15" s="1"/>
  <c r="R91" i="15"/>
  <c r="T91" i="15" s="1"/>
  <c r="AT91" i="15"/>
  <c r="BG91" i="15"/>
  <c r="BH91" i="15" s="1"/>
  <c r="AN91" i="15"/>
  <c r="AO91" i="15" s="1"/>
  <c r="AK91" i="15"/>
  <c r="AL91" i="15" s="1"/>
  <c r="AB91" i="15"/>
  <c r="AC91" i="15" s="1"/>
  <c r="K92" i="15"/>
  <c r="BN92" i="115"/>
  <c r="BO92" i="115" s="1"/>
  <c r="M92" i="115"/>
  <c r="BJ92" i="115"/>
  <c r="BL92" i="115" s="1"/>
  <c r="BK92" i="115"/>
  <c r="P92" i="115"/>
  <c r="R92" i="115"/>
  <c r="T92" i="115" s="1"/>
  <c r="AT92" i="115"/>
  <c r="BA92" i="115"/>
  <c r="BB92" i="115" s="1"/>
  <c r="AK92" i="115"/>
  <c r="AL92" i="115" s="1"/>
  <c r="AQ92" i="115"/>
  <c r="AR92" i="115" s="1"/>
  <c r="AE92" i="115"/>
  <c r="AF92" i="115" s="1"/>
  <c r="AB92" i="115"/>
  <c r="AC92" i="115" s="1"/>
  <c r="BQ92" i="115"/>
  <c r="BR92" i="115" s="1"/>
  <c r="AN92" i="115"/>
  <c r="AO92" i="115" s="1"/>
  <c r="AY92" i="115"/>
  <c r="Y92" i="115"/>
  <c r="Z92" i="115" s="1"/>
  <c r="BD92" i="115"/>
  <c r="BE92" i="115" s="1"/>
  <c r="AV92" i="115"/>
  <c r="AW92" i="115" s="1"/>
  <c r="V92" i="115"/>
  <c r="W92" i="115" s="1"/>
  <c r="AH92" i="115"/>
  <c r="AI92" i="115" s="1"/>
  <c r="BG92" i="115"/>
  <c r="BH92" i="115" s="1"/>
  <c r="O92" i="115"/>
  <c r="M92" i="63"/>
  <c r="BN92" i="63"/>
  <c r="BO92" i="63" s="1"/>
  <c r="AV92" i="63"/>
  <c r="AW92" i="63" s="1"/>
  <c r="AY92" i="63"/>
  <c r="AT92" i="63"/>
  <c r="AB92" i="63"/>
  <c r="AC92" i="63" s="1"/>
  <c r="AN92" i="63"/>
  <c r="AO92" i="63" s="1"/>
  <c r="AQ92" i="63"/>
  <c r="AR92" i="63" s="1"/>
  <c r="AK92" i="63"/>
  <c r="AL92" i="63" s="1"/>
  <c r="BD92" i="63"/>
  <c r="BE92" i="63" s="1"/>
  <c r="BA92" i="63"/>
  <c r="BB92" i="63" s="1"/>
  <c r="BG92" i="63"/>
  <c r="BH92" i="63" s="1"/>
  <c r="Y92" i="63"/>
  <c r="Z92" i="63" s="1"/>
  <c r="P92" i="63"/>
  <c r="O92" i="63"/>
  <c r="AE92" i="63"/>
  <c r="AF92" i="63" s="1"/>
  <c r="R92" i="63"/>
  <c r="T92" i="63" s="1"/>
  <c r="AH92" i="63"/>
  <c r="AI92" i="63" s="1"/>
  <c r="V92" i="63"/>
  <c r="W92" i="63" s="1"/>
  <c r="BQ92" i="63"/>
  <c r="BR92" i="63" s="1"/>
  <c r="BL92" i="63"/>
  <c r="K93" i="63"/>
  <c r="I94" i="96"/>
  <c r="K93" i="96"/>
  <c r="I99" i="132"/>
  <c r="I98" i="114"/>
  <c r="I94" i="115"/>
  <c r="K93" i="115"/>
  <c r="BA90" i="120"/>
  <c r="BB90" i="120" s="1"/>
  <c r="P90" i="120"/>
  <c r="AB90" i="120"/>
  <c r="AC90" i="120" s="1"/>
  <c r="BD90" i="120"/>
  <c r="BE90" i="120" s="1"/>
  <c r="O90" i="120"/>
  <c r="V90" i="120"/>
  <c r="W90" i="120" s="1"/>
  <c r="Y90" i="120"/>
  <c r="Z90" i="120" s="1"/>
  <c r="BG90" i="120"/>
  <c r="BH90" i="120" s="1"/>
  <c r="AK90" i="120"/>
  <c r="AL90" i="120" s="1"/>
  <c r="AN90" i="120"/>
  <c r="AO90" i="120" s="1"/>
  <c r="BQ90" i="120"/>
  <c r="BR90" i="120" s="1"/>
  <c r="K91" i="120"/>
  <c r="AQ90" i="120"/>
  <c r="AR90" i="120" s="1"/>
  <c r="AY90" i="120"/>
  <c r="R90" i="120"/>
  <c r="T90" i="120" s="1"/>
  <c r="AV90" i="120"/>
  <c r="AW90" i="120" s="1"/>
  <c r="AE90" i="120"/>
  <c r="AF90" i="120" s="1"/>
  <c r="M90" i="120"/>
  <c r="AH90" i="120"/>
  <c r="AI90" i="120" s="1"/>
  <c r="AT90" i="120"/>
  <c r="BN90" i="120"/>
  <c r="BO90" i="120" s="1"/>
  <c r="BD96" i="107" l="1"/>
  <c r="BE96" i="107" s="1"/>
  <c r="AB96" i="107"/>
  <c r="AC96" i="107" s="1"/>
  <c r="AT96" i="107"/>
  <c r="AE96" i="107"/>
  <c r="AF96" i="107" s="1"/>
  <c r="AY96" i="107"/>
  <c r="M96" i="107"/>
  <c r="AK96" i="107"/>
  <c r="AL96" i="107" s="1"/>
  <c r="O96" i="107"/>
  <c r="BG96" i="107"/>
  <c r="BH96" i="107" s="1"/>
  <c r="BK96" i="107"/>
  <c r="AQ96" i="107"/>
  <c r="AR96" i="107" s="1"/>
  <c r="P96" i="107"/>
  <c r="BA96" i="107"/>
  <c r="BB96" i="107" s="1"/>
  <c r="BJ96" i="107"/>
  <c r="BL96" i="107" s="1"/>
  <c r="AN96" i="107"/>
  <c r="AO96" i="107" s="1"/>
  <c r="AH96" i="107"/>
  <c r="AI96" i="107" s="1"/>
  <c r="BN96" i="107"/>
  <c r="BO96" i="107" s="1"/>
  <c r="AV96" i="107"/>
  <c r="AW96" i="107" s="1"/>
  <c r="V96" i="107"/>
  <c r="W96" i="107" s="1"/>
  <c r="R96" i="107"/>
  <c r="T96" i="107" s="1"/>
  <c r="Y96" i="107"/>
  <c r="Z96" i="107" s="1"/>
  <c r="BQ96" i="107"/>
  <c r="BR96" i="107" s="1"/>
  <c r="I98" i="107"/>
  <c r="K97" i="107"/>
  <c r="O94" i="132"/>
  <c r="AK94" i="132"/>
  <c r="AL94" i="132" s="1"/>
  <c r="AQ94" i="132"/>
  <c r="AR94" i="132" s="1"/>
  <c r="K95" i="132"/>
  <c r="P94" i="132"/>
  <c r="V94" i="132"/>
  <c r="W94" i="132" s="1"/>
  <c r="AB94" i="132"/>
  <c r="AC94" i="132" s="1"/>
  <c r="AT94" i="132"/>
  <c r="BA94" i="132"/>
  <c r="BB94" i="132" s="1"/>
  <c r="AY94" i="132"/>
  <c r="M94" i="132"/>
  <c r="BN94" i="132"/>
  <c r="BO94" i="132" s="1"/>
  <c r="BG94" i="132"/>
  <c r="BH94" i="132" s="1"/>
  <c r="R94" i="132"/>
  <c r="T94" i="132" s="1"/>
  <c r="AV94" i="132"/>
  <c r="AW94" i="132" s="1"/>
  <c r="AH94" i="132"/>
  <c r="AI94" i="132" s="1"/>
  <c r="Y94" i="132"/>
  <c r="Z94" i="132" s="1"/>
  <c r="BD94" i="132"/>
  <c r="BE94" i="132" s="1"/>
  <c r="BQ94" i="132"/>
  <c r="BR94" i="132" s="1"/>
  <c r="AN94" i="132"/>
  <c r="AO94" i="132" s="1"/>
  <c r="AE94" i="132"/>
  <c r="AF94" i="132" s="1"/>
  <c r="BL94" i="132"/>
  <c r="AY94" i="99"/>
  <c r="BQ94" i="99"/>
  <c r="BR94" i="99" s="1"/>
  <c r="AH94" i="99"/>
  <c r="AI94" i="99" s="1"/>
  <c r="AV94" i="99"/>
  <c r="AW94" i="99" s="1"/>
  <c r="P94" i="99"/>
  <c r="BG94" i="99"/>
  <c r="BH94" i="99" s="1"/>
  <c r="AB94" i="99"/>
  <c r="AC94" i="99" s="1"/>
  <c r="AE94" i="99"/>
  <c r="AF94" i="99" s="1"/>
  <c r="Y94" i="99"/>
  <c r="Z94" i="99" s="1"/>
  <c r="AN94" i="99"/>
  <c r="AO94" i="99" s="1"/>
  <c r="R94" i="99"/>
  <c r="T94" i="99" s="1"/>
  <c r="BD94" i="99"/>
  <c r="BE94" i="99" s="1"/>
  <c r="BA94" i="99"/>
  <c r="BB94" i="99" s="1"/>
  <c r="BK94" i="99"/>
  <c r="M94" i="99"/>
  <c r="BN94" i="99"/>
  <c r="BO94" i="99" s="1"/>
  <c r="AK94" i="99"/>
  <c r="AL94" i="99" s="1"/>
  <c r="O94" i="99"/>
  <c r="BJ94" i="99"/>
  <c r="BL94" i="99" s="1"/>
  <c r="AT94" i="99"/>
  <c r="K95" i="99"/>
  <c r="V94" i="99"/>
  <c r="W94" i="99" s="1"/>
  <c r="AQ94" i="99"/>
  <c r="AR94" i="99" s="1"/>
  <c r="K93" i="104"/>
  <c r="AQ92" i="104"/>
  <c r="AR92" i="104" s="1"/>
  <c r="AT92" i="104"/>
  <c r="AH92" i="104"/>
  <c r="AI92" i="104" s="1"/>
  <c r="AB92" i="104"/>
  <c r="AC92" i="104" s="1"/>
  <c r="BQ92" i="104"/>
  <c r="BR92" i="104" s="1"/>
  <c r="BG92" i="104"/>
  <c r="BH92" i="104" s="1"/>
  <c r="BJ92" i="104"/>
  <c r="BL92" i="104" s="1"/>
  <c r="AK92" i="104"/>
  <c r="AL92" i="104" s="1"/>
  <c r="V92" i="104"/>
  <c r="W92" i="104" s="1"/>
  <c r="AE92" i="104"/>
  <c r="AF92" i="104" s="1"/>
  <c r="BN92" i="104"/>
  <c r="BO92" i="104" s="1"/>
  <c r="BA92" i="104"/>
  <c r="BB92" i="104" s="1"/>
  <c r="AY92" i="104"/>
  <c r="P92" i="104"/>
  <c r="M92" i="104"/>
  <c r="R92" i="104"/>
  <c r="T92" i="104" s="1"/>
  <c r="BD92" i="104"/>
  <c r="BE92" i="104" s="1"/>
  <c r="AN92" i="104"/>
  <c r="AO92" i="104" s="1"/>
  <c r="BK92" i="104"/>
  <c r="O92" i="104"/>
  <c r="AV92" i="104"/>
  <c r="AW92" i="104" s="1"/>
  <c r="Y92" i="104"/>
  <c r="Z92" i="104" s="1"/>
  <c r="O97" i="156"/>
  <c r="AH97" i="156"/>
  <c r="AI97" i="156" s="1"/>
  <c r="AB97" i="156"/>
  <c r="AC97" i="156" s="1"/>
  <c r="Y97" i="156"/>
  <c r="Z97" i="156" s="1"/>
  <c r="AQ97" i="156"/>
  <c r="AR97" i="156" s="1"/>
  <c r="AK97" i="156"/>
  <c r="AL97" i="156" s="1"/>
  <c r="AN97" i="156"/>
  <c r="AO97" i="156" s="1"/>
  <c r="BA97" i="156"/>
  <c r="BB97" i="156" s="1"/>
  <c r="P97" i="156"/>
  <c r="V97" i="156"/>
  <c r="W97" i="156" s="1"/>
  <c r="BG97" i="156"/>
  <c r="BH97" i="156" s="1"/>
  <c r="BQ97" i="156"/>
  <c r="BR97" i="156" s="1"/>
  <c r="AV97" i="156"/>
  <c r="AW97" i="156" s="1"/>
  <c r="AE97" i="156"/>
  <c r="AF97" i="156" s="1"/>
  <c r="M97" i="156"/>
  <c r="BL97" i="156"/>
  <c r="BN97" i="156"/>
  <c r="BO97" i="156" s="1"/>
  <c r="R97" i="156"/>
  <c r="T97" i="156" s="1"/>
  <c r="BD97" i="156"/>
  <c r="BE97" i="156" s="1"/>
  <c r="K93" i="112"/>
  <c r="P92" i="112"/>
  <c r="AT92" i="112"/>
  <c r="AH92" i="112"/>
  <c r="AI92" i="112" s="1"/>
  <c r="BK92" i="112"/>
  <c r="AN92" i="112"/>
  <c r="AO92" i="112" s="1"/>
  <c r="BA92" i="112"/>
  <c r="BB92" i="112" s="1"/>
  <c r="O92" i="112"/>
  <c r="BN92" i="112"/>
  <c r="BO92" i="112" s="1"/>
  <c r="BD92" i="112"/>
  <c r="BE92" i="112" s="1"/>
  <c r="BG92" i="112"/>
  <c r="BH92" i="112" s="1"/>
  <c r="AB92" i="112"/>
  <c r="AC92" i="112" s="1"/>
  <c r="BJ92" i="112"/>
  <c r="BL92" i="112" s="1"/>
  <c r="AK92" i="112"/>
  <c r="AL92" i="112" s="1"/>
  <c r="Y92" i="112"/>
  <c r="Z92" i="112" s="1"/>
  <c r="BQ92" i="112"/>
  <c r="BR92" i="112" s="1"/>
  <c r="M92" i="112"/>
  <c r="AE92" i="112"/>
  <c r="AF92" i="112" s="1"/>
  <c r="AQ92" i="112"/>
  <c r="AR92" i="112" s="1"/>
  <c r="AY92" i="112"/>
  <c r="V92" i="112"/>
  <c r="W92" i="112" s="1"/>
  <c r="AV92" i="112"/>
  <c r="AW92" i="112" s="1"/>
  <c r="R92" i="112"/>
  <c r="T92" i="112" s="1"/>
  <c r="I99" i="156"/>
  <c r="K98" i="156"/>
  <c r="AY98" i="156" s="1"/>
  <c r="BN95" i="133"/>
  <c r="BO95" i="133" s="1"/>
  <c r="AH95" i="133"/>
  <c r="AI95" i="133" s="1"/>
  <c r="R95" i="133"/>
  <c r="T95" i="133" s="1"/>
  <c r="BA95" i="133"/>
  <c r="BB95" i="133" s="1"/>
  <c r="AV95" i="133"/>
  <c r="AW95" i="133" s="1"/>
  <c r="AE95" i="133"/>
  <c r="AF95" i="133" s="1"/>
  <c r="P95" i="133"/>
  <c r="K96" i="133"/>
  <c r="AK95" i="133"/>
  <c r="AL95" i="133" s="1"/>
  <c r="BQ95" i="133"/>
  <c r="BR95" i="133" s="1"/>
  <c r="AT95" i="133"/>
  <c r="AB95" i="133"/>
  <c r="AC95" i="133" s="1"/>
  <c r="V95" i="133"/>
  <c r="W95" i="133" s="1"/>
  <c r="AN95" i="133"/>
  <c r="AO95" i="133" s="1"/>
  <c r="BL95" i="133"/>
  <c r="Y95" i="133"/>
  <c r="Z95" i="133" s="1"/>
  <c r="BD95" i="133"/>
  <c r="BE95" i="133" s="1"/>
  <c r="BG95" i="133"/>
  <c r="BH95" i="133" s="1"/>
  <c r="M95" i="133"/>
  <c r="AQ95" i="133"/>
  <c r="AR95" i="133" s="1"/>
  <c r="O95" i="133"/>
  <c r="AY95" i="133"/>
  <c r="AK93" i="129"/>
  <c r="AL93" i="129" s="1"/>
  <c r="AQ93" i="129"/>
  <c r="AR93" i="129" s="1"/>
  <c r="V93" i="129"/>
  <c r="W93" i="129" s="1"/>
  <c r="BL93" i="129"/>
  <c r="Y93" i="129"/>
  <c r="Z93" i="129" s="1"/>
  <c r="AT93" i="129"/>
  <c r="AV93" i="129"/>
  <c r="AW93" i="129" s="1"/>
  <c r="O93" i="129"/>
  <c r="BG93" i="129"/>
  <c r="BH93" i="129" s="1"/>
  <c r="BQ93" i="129"/>
  <c r="BR93" i="129" s="1"/>
  <c r="BN93" i="129"/>
  <c r="BO93" i="129" s="1"/>
  <c r="R93" i="129"/>
  <c r="T93" i="129" s="1"/>
  <c r="AH93" i="129"/>
  <c r="AI93" i="129" s="1"/>
  <c r="AE93" i="129"/>
  <c r="AF93" i="129" s="1"/>
  <c r="M93" i="129"/>
  <c r="P93" i="129"/>
  <c r="AN93" i="129"/>
  <c r="AO93" i="129" s="1"/>
  <c r="AY93" i="129"/>
  <c r="K94" i="129"/>
  <c r="BA93" i="129"/>
  <c r="BB93" i="129" s="1"/>
  <c r="BD93" i="129"/>
  <c r="BE93" i="129" s="1"/>
  <c r="AB93" i="129"/>
  <c r="AC93" i="129" s="1"/>
  <c r="BN92" i="106"/>
  <c r="BO92" i="106" s="1"/>
  <c r="BD92" i="106"/>
  <c r="BE92" i="106" s="1"/>
  <c r="BQ92" i="106"/>
  <c r="BR92" i="106" s="1"/>
  <c r="AK92" i="106"/>
  <c r="AL92" i="106" s="1"/>
  <c r="BK92" i="106"/>
  <c r="AH92" i="106"/>
  <c r="AI92" i="106" s="1"/>
  <c r="V92" i="106"/>
  <c r="W92" i="106" s="1"/>
  <c r="AN92" i="106"/>
  <c r="AO92" i="106" s="1"/>
  <c r="BA92" i="106"/>
  <c r="BB92" i="106" s="1"/>
  <c r="AE92" i="106"/>
  <c r="AF92" i="106" s="1"/>
  <c r="AQ92" i="106"/>
  <c r="AR92" i="106" s="1"/>
  <c r="M92" i="106"/>
  <c r="BG92" i="106"/>
  <c r="BH92" i="106" s="1"/>
  <c r="AY92" i="106"/>
  <c r="AB92" i="106"/>
  <c r="AC92" i="106" s="1"/>
  <c r="Y92" i="106"/>
  <c r="Z92" i="106" s="1"/>
  <c r="P92" i="106"/>
  <c r="AV92" i="106"/>
  <c r="AW92" i="106" s="1"/>
  <c r="BJ92" i="106"/>
  <c r="BL92" i="106" s="1"/>
  <c r="O92" i="106"/>
  <c r="AT92" i="106"/>
  <c r="R92" i="106"/>
  <c r="T92" i="106" s="1"/>
  <c r="K93" i="106"/>
  <c r="M91" i="95"/>
  <c r="BD91" i="95"/>
  <c r="BE91" i="95" s="1"/>
  <c r="AK91" i="95"/>
  <c r="AL91" i="95" s="1"/>
  <c r="AB91" i="95"/>
  <c r="AC91" i="95" s="1"/>
  <c r="BN91" i="95"/>
  <c r="BO91" i="95" s="1"/>
  <c r="BL91" i="95"/>
  <c r="BG91" i="95"/>
  <c r="BH91" i="95" s="1"/>
  <c r="BQ91" i="95"/>
  <c r="BR91" i="95" s="1"/>
  <c r="V91" i="95"/>
  <c r="W91" i="95" s="1"/>
  <c r="O91" i="95"/>
  <c r="AE91" i="95"/>
  <c r="AF91" i="95" s="1"/>
  <c r="K92" i="95"/>
  <c r="AQ91" i="95"/>
  <c r="AR91" i="95" s="1"/>
  <c r="AV91" i="95"/>
  <c r="AW91" i="95" s="1"/>
  <c r="P91" i="95"/>
  <c r="R91" i="95"/>
  <c r="T91" i="95" s="1"/>
  <c r="AN91" i="95"/>
  <c r="AO91" i="95" s="1"/>
  <c r="AT91" i="95"/>
  <c r="AH91" i="95"/>
  <c r="AI91" i="95" s="1"/>
  <c r="BA91" i="95"/>
  <c r="BB91" i="95" s="1"/>
  <c r="Y91" i="95"/>
  <c r="Z91" i="95" s="1"/>
  <c r="I99" i="106"/>
  <c r="K94" i="130"/>
  <c r="BN93" i="130"/>
  <c r="BO93" i="130" s="1"/>
  <c r="BL93" i="130"/>
  <c r="M93" i="130"/>
  <c r="BA93" i="130"/>
  <c r="BB93" i="130" s="1"/>
  <c r="V93" i="130"/>
  <c r="W93" i="130" s="1"/>
  <c r="R93" i="130"/>
  <c r="T93" i="130" s="1"/>
  <c r="BQ93" i="130"/>
  <c r="BR93" i="130" s="1"/>
  <c r="AH93" i="130"/>
  <c r="AI93" i="130" s="1"/>
  <c r="BD93" i="130"/>
  <c r="BE93" i="130" s="1"/>
  <c r="AB93" i="130"/>
  <c r="AC93" i="130" s="1"/>
  <c r="Y93" i="130"/>
  <c r="Z93" i="130" s="1"/>
  <c r="O93" i="130"/>
  <c r="BG93" i="130"/>
  <c r="BH93" i="130" s="1"/>
  <c r="AK93" i="130"/>
  <c r="AL93" i="130" s="1"/>
  <c r="AQ93" i="130"/>
  <c r="AR93" i="130" s="1"/>
  <c r="AV93" i="130"/>
  <c r="AW93" i="130" s="1"/>
  <c r="AE93" i="130"/>
  <c r="AF93" i="130" s="1"/>
  <c r="P93" i="130"/>
  <c r="AN93" i="130"/>
  <c r="AO93" i="130" s="1"/>
  <c r="AY93" i="130"/>
  <c r="AT93" i="130"/>
  <c r="I100" i="155"/>
  <c r="K99" i="155"/>
  <c r="O98" i="155"/>
  <c r="V98" i="155"/>
  <c r="W98" i="155" s="1"/>
  <c r="AB98" i="155"/>
  <c r="AC98" i="155" s="1"/>
  <c r="AH98" i="155"/>
  <c r="AI98" i="155" s="1"/>
  <c r="AN98" i="155"/>
  <c r="AO98" i="155" s="1"/>
  <c r="BA98" i="155"/>
  <c r="BB98" i="155" s="1"/>
  <c r="BG98" i="155"/>
  <c r="BH98" i="155" s="1"/>
  <c r="BL98" i="155"/>
  <c r="P98" i="155"/>
  <c r="AV98" i="155"/>
  <c r="AW98" i="155" s="1"/>
  <c r="BN98" i="155"/>
  <c r="BO98" i="155" s="1"/>
  <c r="R98" i="155"/>
  <c r="T98" i="155" s="1"/>
  <c r="Y98" i="155"/>
  <c r="Z98" i="155" s="1"/>
  <c r="AE98" i="155"/>
  <c r="AF98" i="155" s="1"/>
  <c r="AK98" i="155"/>
  <c r="AL98" i="155" s="1"/>
  <c r="AQ98" i="155"/>
  <c r="AR98" i="155" s="1"/>
  <c r="BD98" i="155"/>
  <c r="BE98" i="155" s="1"/>
  <c r="M98" i="155"/>
  <c r="BQ98" i="155"/>
  <c r="BR98" i="155" s="1"/>
  <c r="I103" i="153"/>
  <c r="O98" i="153"/>
  <c r="V98" i="153"/>
  <c r="W98" i="153" s="1"/>
  <c r="AB98" i="153"/>
  <c r="AC98" i="153" s="1"/>
  <c r="AH98" i="153"/>
  <c r="AI98" i="153" s="1"/>
  <c r="AN98" i="153"/>
  <c r="AO98" i="153" s="1"/>
  <c r="BA98" i="153"/>
  <c r="BB98" i="153" s="1"/>
  <c r="BG98" i="153"/>
  <c r="BH98" i="153" s="1"/>
  <c r="BL98" i="153"/>
  <c r="P98" i="153"/>
  <c r="AV98" i="153"/>
  <c r="AW98" i="153" s="1"/>
  <c r="BN98" i="153"/>
  <c r="BO98" i="153" s="1"/>
  <c r="R98" i="153"/>
  <c r="T98" i="153" s="1"/>
  <c r="Y98" i="153"/>
  <c r="Z98" i="153" s="1"/>
  <c r="AE98" i="153"/>
  <c r="AF98" i="153" s="1"/>
  <c r="AK98" i="153"/>
  <c r="AL98" i="153" s="1"/>
  <c r="AQ98" i="153"/>
  <c r="AR98" i="153" s="1"/>
  <c r="BD98" i="153"/>
  <c r="BE98" i="153" s="1"/>
  <c r="M98" i="153"/>
  <c r="BQ98" i="153"/>
  <c r="BR98" i="153" s="1"/>
  <c r="K99" i="153"/>
  <c r="I107" i="152"/>
  <c r="P98" i="152"/>
  <c r="AV98" i="152"/>
  <c r="AW98" i="152" s="1"/>
  <c r="BN98" i="152"/>
  <c r="BO98" i="152" s="1"/>
  <c r="R98" i="152"/>
  <c r="T98" i="152" s="1"/>
  <c r="Y98" i="152"/>
  <c r="Z98" i="152" s="1"/>
  <c r="AE98" i="152"/>
  <c r="AF98" i="152" s="1"/>
  <c r="AK98" i="152"/>
  <c r="AL98" i="152" s="1"/>
  <c r="AQ98" i="152"/>
  <c r="AR98" i="152" s="1"/>
  <c r="BD98" i="152"/>
  <c r="BE98" i="152" s="1"/>
  <c r="M98" i="152"/>
  <c r="BQ98" i="152"/>
  <c r="BR98" i="152" s="1"/>
  <c r="V98" i="152"/>
  <c r="W98" i="152" s="1"/>
  <c r="AB98" i="152"/>
  <c r="AC98" i="152" s="1"/>
  <c r="BA98" i="152"/>
  <c r="BB98" i="152" s="1"/>
  <c r="BL98" i="152"/>
  <c r="AH98" i="152"/>
  <c r="AI98" i="152" s="1"/>
  <c r="BG98" i="152"/>
  <c r="BH98" i="152" s="1"/>
  <c r="O98" i="152"/>
  <c r="AN98" i="152"/>
  <c r="AO98" i="152" s="1"/>
  <c r="K99" i="152"/>
  <c r="AV96" i="151"/>
  <c r="AW96" i="151" s="1"/>
  <c r="P96" i="151"/>
  <c r="BG96" i="151"/>
  <c r="BH96" i="151" s="1"/>
  <c r="BA96" i="151"/>
  <c r="BB96" i="151" s="1"/>
  <c r="AT96" i="151"/>
  <c r="AN96" i="151"/>
  <c r="AO96" i="151" s="1"/>
  <c r="AH96" i="151"/>
  <c r="AI96" i="151" s="1"/>
  <c r="AB96" i="151"/>
  <c r="AC96" i="151" s="1"/>
  <c r="V96" i="151"/>
  <c r="W96" i="151" s="1"/>
  <c r="O96" i="151"/>
  <c r="BQ96" i="151"/>
  <c r="BR96" i="151" s="1"/>
  <c r="AY96" i="151"/>
  <c r="AQ96" i="151"/>
  <c r="AR96" i="151" s="1"/>
  <c r="R96" i="151"/>
  <c r="T96" i="151" s="1"/>
  <c r="BD96" i="151"/>
  <c r="BE96" i="151" s="1"/>
  <c r="AE96" i="151"/>
  <c r="AF96" i="151" s="1"/>
  <c r="AK96" i="151"/>
  <c r="AL96" i="151" s="1"/>
  <c r="Y96" i="151"/>
  <c r="Z96" i="151" s="1"/>
  <c r="BN96" i="151"/>
  <c r="BO96" i="151" s="1"/>
  <c r="M96" i="151"/>
  <c r="BL96" i="151"/>
  <c r="K97" i="151"/>
  <c r="I98" i="151"/>
  <c r="AV95" i="150"/>
  <c r="AW95" i="150" s="1"/>
  <c r="P95" i="150"/>
  <c r="BG95" i="150"/>
  <c r="BH95" i="150" s="1"/>
  <c r="BA95" i="150"/>
  <c r="BB95" i="150" s="1"/>
  <c r="AT95" i="150"/>
  <c r="AN95" i="150"/>
  <c r="AO95" i="150" s="1"/>
  <c r="AH95" i="150"/>
  <c r="AI95" i="150" s="1"/>
  <c r="AB95" i="150"/>
  <c r="AC95" i="150" s="1"/>
  <c r="V95" i="150"/>
  <c r="W95" i="150" s="1"/>
  <c r="O95" i="150"/>
  <c r="BQ95" i="150"/>
  <c r="BR95" i="150" s="1"/>
  <c r="AY95" i="150"/>
  <c r="BD95" i="150"/>
  <c r="BE95" i="150" s="1"/>
  <c r="AE95" i="150"/>
  <c r="AF95" i="150" s="1"/>
  <c r="Y95" i="150"/>
  <c r="Z95" i="150" s="1"/>
  <c r="AQ95" i="150"/>
  <c r="AR95" i="150" s="1"/>
  <c r="R95" i="150"/>
  <c r="T95" i="150" s="1"/>
  <c r="AK95" i="150"/>
  <c r="AL95" i="150" s="1"/>
  <c r="BN95" i="150"/>
  <c r="BO95" i="150" s="1"/>
  <c r="M95" i="150"/>
  <c r="BL95" i="150"/>
  <c r="K96" i="150"/>
  <c r="I99" i="150"/>
  <c r="I99" i="149"/>
  <c r="K98" i="149"/>
  <c r="BD97" i="149"/>
  <c r="BE97" i="149" s="1"/>
  <c r="AQ97" i="149"/>
  <c r="AR97" i="149" s="1"/>
  <c r="AK97" i="149"/>
  <c r="AL97" i="149" s="1"/>
  <c r="AE97" i="149"/>
  <c r="AF97" i="149" s="1"/>
  <c r="Y97" i="149"/>
  <c r="Z97" i="149" s="1"/>
  <c r="R97" i="149"/>
  <c r="T97" i="149" s="1"/>
  <c r="AV97" i="149"/>
  <c r="AW97" i="149" s="1"/>
  <c r="AY97" i="149"/>
  <c r="O97" i="149"/>
  <c r="BG97" i="149"/>
  <c r="BH97" i="149" s="1"/>
  <c r="AT97" i="149"/>
  <c r="AH97" i="149"/>
  <c r="AI97" i="149" s="1"/>
  <c r="V97" i="149"/>
  <c r="W97" i="149" s="1"/>
  <c r="BQ97" i="149"/>
  <c r="BR97" i="149" s="1"/>
  <c r="BA97" i="149"/>
  <c r="BB97" i="149" s="1"/>
  <c r="AN97" i="149"/>
  <c r="AO97" i="149" s="1"/>
  <c r="AB97" i="149"/>
  <c r="AC97" i="149" s="1"/>
  <c r="P97" i="149"/>
  <c r="M97" i="149"/>
  <c r="BN97" i="149"/>
  <c r="BO97" i="149" s="1"/>
  <c r="BL97" i="149"/>
  <c r="BQ96" i="147"/>
  <c r="BR96" i="147" s="1"/>
  <c r="AY96" i="147"/>
  <c r="BD96" i="147"/>
  <c r="BE96" i="147" s="1"/>
  <c r="AV96" i="147"/>
  <c r="AW96" i="147" s="1"/>
  <c r="AN96" i="147"/>
  <c r="AO96" i="147" s="1"/>
  <c r="AE96" i="147"/>
  <c r="AF96" i="147" s="1"/>
  <c r="O96" i="147"/>
  <c r="AT96" i="147"/>
  <c r="AK96" i="147"/>
  <c r="AL96" i="147" s="1"/>
  <c r="V96" i="147"/>
  <c r="W96" i="147" s="1"/>
  <c r="AH96" i="147"/>
  <c r="AI96" i="147" s="1"/>
  <c r="P96" i="147"/>
  <c r="AQ96" i="147"/>
  <c r="AR96" i="147" s="1"/>
  <c r="AB96" i="147"/>
  <c r="AC96" i="147" s="1"/>
  <c r="BG96" i="147"/>
  <c r="BH96" i="147" s="1"/>
  <c r="Y96" i="147"/>
  <c r="Z96" i="147" s="1"/>
  <c r="BA96" i="147"/>
  <c r="BB96" i="147" s="1"/>
  <c r="R96" i="147"/>
  <c r="T96" i="147" s="1"/>
  <c r="BN96" i="147"/>
  <c r="BO96" i="147" s="1"/>
  <c r="BK96" i="147"/>
  <c r="BJ96" i="147"/>
  <c r="BL96" i="147" s="1"/>
  <c r="M96" i="147"/>
  <c r="K97" i="147"/>
  <c r="I98" i="147"/>
  <c r="BQ95" i="146"/>
  <c r="BR95" i="146" s="1"/>
  <c r="AY95" i="146"/>
  <c r="BD95" i="146"/>
  <c r="BE95" i="146" s="1"/>
  <c r="AQ95" i="146"/>
  <c r="AR95" i="146" s="1"/>
  <c r="AK95" i="146"/>
  <c r="AL95" i="146" s="1"/>
  <c r="AE95" i="146"/>
  <c r="AF95" i="146" s="1"/>
  <c r="Y95" i="146"/>
  <c r="Z95" i="146" s="1"/>
  <c r="R95" i="146"/>
  <c r="T95" i="146" s="1"/>
  <c r="AV95" i="146"/>
  <c r="AW95" i="146" s="1"/>
  <c r="P95" i="146"/>
  <c r="AT95" i="146"/>
  <c r="V95" i="146"/>
  <c r="W95" i="146" s="1"/>
  <c r="AN95" i="146"/>
  <c r="AO95" i="146" s="1"/>
  <c r="O95" i="146"/>
  <c r="BG95" i="146"/>
  <c r="BH95" i="146" s="1"/>
  <c r="AH95" i="146"/>
  <c r="AI95" i="146" s="1"/>
  <c r="BA95" i="146"/>
  <c r="BB95" i="146" s="1"/>
  <c r="AB95" i="146"/>
  <c r="AC95" i="146" s="1"/>
  <c r="BK95" i="146"/>
  <c r="BJ95" i="146"/>
  <c r="BL95" i="146" s="1"/>
  <c r="BN95" i="146"/>
  <c r="BO95" i="146" s="1"/>
  <c r="M95" i="146"/>
  <c r="I97" i="146"/>
  <c r="K96" i="146"/>
  <c r="M93" i="115"/>
  <c r="BK93" i="115"/>
  <c r="BJ93" i="115"/>
  <c r="BL93" i="115" s="1"/>
  <c r="BN93" i="115"/>
  <c r="BO93" i="115" s="1"/>
  <c r="AV93" i="115"/>
  <c r="AW93" i="115" s="1"/>
  <c r="BG93" i="115"/>
  <c r="BH93" i="115" s="1"/>
  <c r="AB93" i="115"/>
  <c r="AC93" i="115" s="1"/>
  <c r="AE93" i="115"/>
  <c r="AF93" i="115" s="1"/>
  <c r="AY93" i="115"/>
  <c r="Y93" i="115"/>
  <c r="Z93" i="115" s="1"/>
  <c r="BD93" i="115"/>
  <c r="BE93" i="115" s="1"/>
  <c r="AK93" i="115"/>
  <c r="AL93" i="115" s="1"/>
  <c r="V93" i="115"/>
  <c r="W93" i="115" s="1"/>
  <c r="AH93" i="115"/>
  <c r="AI93" i="115" s="1"/>
  <c r="AT93" i="115"/>
  <c r="O93" i="115"/>
  <c r="AN93" i="115"/>
  <c r="AO93" i="115" s="1"/>
  <c r="P93" i="115"/>
  <c r="R93" i="115"/>
  <c r="T93" i="115" s="1"/>
  <c r="BQ93" i="115"/>
  <c r="BR93" i="115" s="1"/>
  <c r="AQ93" i="115"/>
  <c r="AR93" i="115" s="1"/>
  <c r="BA93" i="115"/>
  <c r="BB93" i="115" s="1"/>
  <c r="I102" i="95"/>
  <c r="BN95" i="136"/>
  <c r="BO95" i="136" s="1"/>
  <c r="M95" i="136"/>
  <c r="BL95" i="136"/>
  <c r="V95" i="136"/>
  <c r="W95" i="136" s="1"/>
  <c r="BA95" i="136"/>
  <c r="BB95" i="136" s="1"/>
  <c r="AQ95" i="136"/>
  <c r="AR95" i="136" s="1"/>
  <c r="AN95" i="136"/>
  <c r="AO95" i="136" s="1"/>
  <c r="Y95" i="136"/>
  <c r="Z95" i="136" s="1"/>
  <c r="AV95" i="136"/>
  <c r="AW95" i="136" s="1"/>
  <c r="AY95" i="136"/>
  <c r="BQ95" i="136"/>
  <c r="BR95" i="136" s="1"/>
  <c r="R95" i="136"/>
  <c r="T95" i="136" s="1"/>
  <c r="BD95" i="136"/>
  <c r="BE95" i="136" s="1"/>
  <c r="P95" i="136"/>
  <c r="AE95" i="136"/>
  <c r="AF95" i="136" s="1"/>
  <c r="AK95" i="136"/>
  <c r="AL95" i="136" s="1"/>
  <c r="AT95" i="136"/>
  <c r="AB95" i="136"/>
  <c r="AC95" i="136" s="1"/>
  <c r="AH95" i="136"/>
  <c r="AI95" i="136" s="1"/>
  <c r="BG95" i="136"/>
  <c r="BH95" i="136" s="1"/>
  <c r="O95" i="136"/>
  <c r="K96" i="136"/>
  <c r="BN93" i="126"/>
  <c r="BO93" i="126" s="1"/>
  <c r="M93" i="126"/>
  <c r="AK93" i="126"/>
  <c r="AL93" i="126" s="1"/>
  <c r="BK93" i="126"/>
  <c r="BJ93" i="126"/>
  <c r="BL93" i="126" s="1"/>
  <c r="V93" i="126"/>
  <c r="W93" i="126" s="1"/>
  <c r="R93" i="126"/>
  <c r="T93" i="126" s="1"/>
  <c r="BA93" i="126"/>
  <c r="BB93" i="126" s="1"/>
  <c r="AH93" i="126"/>
  <c r="AI93" i="126" s="1"/>
  <c r="AQ93" i="126"/>
  <c r="AR93" i="126" s="1"/>
  <c r="AE93" i="126"/>
  <c r="AF93" i="126" s="1"/>
  <c r="O93" i="126"/>
  <c r="AV93" i="126"/>
  <c r="AW93" i="126" s="1"/>
  <c r="AN93" i="126"/>
  <c r="AO93" i="126" s="1"/>
  <c r="AB93" i="126"/>
  <c r="AC93" i="126" s="1"/>
  <c r="P93" i="126"/>
  <c r="AY93" i="126"/>
  <c r="BQ93" i="126"/>
  <c r="BR93" i="126" s="1"/>
  <c r="Y93" i="126"/>
  <c r="Z93" i="126" s="1"/>
  <c r="BG93" i="126"/>
  <c r="BH93" i="126" s="1"/>
  <c r="BD93" i="126"/>
  <c r="BE93" i="126" s="1"/>
  <c r="AT93" i="126"/>
  <c r="K94" i="126"/>
  <c r="BK93" i="110"/>
  <c r="M93" i="110"/>
  <c r="BN93" i="110"/>
  <c r="BO93" i="110" s="1"/>
  <c r="BJ93" i="110"/>
  <c r="BL93" i="110" s="1"/>
  <c r="BG93" i="110"/>
  <c r="BH93" i="110" s="1"/>
  <c r="AB93" i="110"/>
  <c r="AC93" i="110" s="1"/>
  <c r="O93" i="110"/>
  <c r="AE93" i="110"/>
  <c r="AF93" i="110" s="1"/>
  <c r="BA93" i="110"/>
  <c r="BB93" i="110" s="1"/>
  <c r="BD93" i="110"/>
  <c r="BE93" i="110" s="1"/>
  <c r="R93" i="110"/>
  <c r="T93" i="110" s="1"/>
  <c r="AN93" i="110"/>
  <c r="AO93" i="110" s="1"/>
  <c r="BQ93" i="110"/>
  <c r="BR93" i="110" s="1"/>
  <c r="AH93" i="110"/>
  <c r="AI93" i="110" s="1"/>
  <c r="Y93" i="110"/>
  <c r="Z93" i="110" s="1"/>
  <c r="AK93" i="110"/>
  <c r="AL93" i="110" s="1"/>
  <c r="AQ93" i="110"/>
  <c r="AR93" i="110" s="1"/>
  <c r="AT93" i="110"/>
  <c r="AY93" i="110"/>
  <c r="V93" i="110"/>
  <c r="W93" i="110" s="1"/>
  <c r="P93" i="110"/>
  <c r="AV93" i="110"/>
  <c r="AW93" i="110" s="1"/>
  <c r="I93" i="17"/>
  <c r="K92" i="17"/>
  <c r="I100" i="105"/>
  <c r="I96" i="135"/>
  <c r="K95" i="135"/>
  <c r="I97" i="15"/>
  <c r="I95" i="115"/>
  <c r="K94" i="115"/>
  <c r="I99" i="114"/>
  <c r="AK93" i="96"/>
  <c r="AL93" i="96" s="1"/>
  <c r="BD93" i="96"/>
  <c r="BE93" i="96" s="1"/>
  <c r="Y93" i="96"/>
  <c r="Z93" i="96" s="1"/>
  <c r="V93" i="96"/>
  <c r="W93" i="96" s="1"/>
  <c r="O93" i="96"/>
  <c r="BQ93" i="96"/>
  <c r="BR93" i="96" s="1"/>
  <c r="BA93" i="96"/>
  <c r="BB93" i="96" s="1"/>
  <c r="AV93" i="96"/>
  <c r="AW93" i="96" s="1"/>
  <c r="M93" i="96"/>
  <c r="AB93" i="96"/>
  <c r="AC93" i="96" s="1"/>
  <c r="AH93" i="96"/>
  <c r="AI93" i="96" s="1"/>
  <c r="AQ93" i="96"/>
  <c r="AR93" i="96" s="1"/>
  <c r="P93" i="96"/>
  <c r="BN93" i="96"/>
  <c r="BO93" i="96" s="1"/>
  <c r="AT93" i="96"/>
  <c r="AE93" i="96"/>
  <c r="AF93" i="96" s="1"/>
  <c r="BL93" i="96"/>
  <c r="R93" i="96"/>
  <c r="T93" i="96" s="1"/>
  <c r="BG93" i="96"/>
  <c r="BH93" i="96" s="1"/>
  <c r="AN93" i="96"/>
  <c r="AO93" i="96" s="1"/>
  <c r="R94" i="64"/>
  <c r="T94" i="64" s="1"/>
  <c r="AQ94" i="64"/>
  <c r="AR94" i="64" s="1"/>
  <c r="AB94" i="64"/>
  <c r="AC94" i="64" s="1"/>
  <c r="AN94" i="64"/>
  <c r="AO94" i="64" s="1"/>
  <c r="AT94" i="64"/>
  <c r="AK94" i="64"/>
  <c r="AL94" i="64" s="1"/>
  <c r="BQ94" i="64"/>
  <c r="BR94" i="64" s="1"/>
  <c r="AE94" i="64"/>
  <c r="AF94" i="64" s="1"/>
  <c r="AH94" i="64"/>
  <c r="AI94" i="64" s="1"/>
  <c r="P94" i="64"/>
  <c r="BG94" i="64"/>
  <c r="BH94" i="64" s="1"/>
  <c r="AY94" i="64"/>
  <c r="BA94" i="64"/>
  <c r="BB94" i="64" s="1"/>
  <c r="BD94" i="64"/>
  <c r="BE94" i="64" s="1"/>
  <c r="AV94" i="64"/>
  <c r="AW94" i="64" s="1"/>
  <c r="Y94" i="64"/>
  <c r="Z94" i="64" s="1"/>
  <c r="O94" i="64"/>
  <c r="M94" i="64"/>
  <c r="V94" i="64"/>
  <c r="W94" i="64" s="1"/>
  <c r="BN94" i="64"/>
  <c r="BO94" i="64" s="1"/>
  <c r="BL94" i="64"/>
  <c r="K95" i="64"/>
  <c r="I95" i="110"/>
  <c r="K94" i="110"/>
  <c r="M92" i="101"/>
  <c r="AK92" i="101"/>
  <c r="AL92" i="101" s="1"/>
  <c r="P92" i="101"/>
  <c r="AT92" i="101"/>
  <c r="AB92" i="101"/>
  <c r="AC92" i="101" s="1"/>
  <c r="O92" i="101"/>
  <c r="BG92" i="101"/>
  <c r="BH92" i="101" s="1"/>
  <c r="AE92" i="101"/>
  <c r="AF92" i="101" s="1"/>
  <c r="AQ92" i="101"/>
  <c r="AR92" i="101" s="1"/>
  <c r="Y92" i="101"/>
  <c r="Z92" i="101" s="1"/>
  <c r="R92" i="101"/>
  <c r="T92" i="101" s="1"/>
  <c r="AY92" i="101"/>
  <c r="BD92" i="101"/>
  <c r="BE92" i="101" s="1"/>
  <c r="AN92" i="101"/>
  <c r="AO92" i="101" s="1"/>
  <c r="V92" i="101"/>
  <c r="W92" i="101" s="1"/>
  <c r="BA92" i="101"/>
  <c r="BB92" i="101" s="1"/>
  <c r="BQ92" i="101"/>
  <c r="BR92" i="101" s="1"/>
  <c r="AH92" i="101"/>
  <c r="AI92" i="101" s="1"/>
  <c r="AV92" i="101"/>
  <c r="AW92" i="101" s="1"/>
  <c r="M91" i="13"/>
  <c r="BN91" i="13"/>
  <c r="BO91" i="13" s="1"/>
  <c r="BL91" i="13"/>
  <c r="O91" i="13"/>
  <c r="V91" i="13"/>
  <c r="W91" i="13" s="1"/>
  <c r="AT91" i="13"/>
  <c r="BQ91" i="13"/>
  <c r="BR91" i="13" s="1"/>
  <c r="BG91" i="13"/>
  <c r="BH91" i="13" s="1"/>
  <c r="Y91" i="13"/>
  <c r="Z91" i="13" s="1"/>
  <c r="BD91" i="13"/>
  <c r="BE91" i="13" s="1"/>
  <c r="AE91" i="13"/>
  <c r="AF91" i="13" s="1"/>
  <c r="AB91" i="13"/>
  <c r="AC91" i="13" s="1"/>
  <c r="AQ91" i="13"/>
  <c r="AR91" i="13" s="1"/>
  <c r="AK91" i="13"/>
  <c r="AL91" i="13" s="1"/>
  <c r="BA91" i="13"/>
  <c r="BB91" i="13" s="1"/>
  <c r="P91" i="13"/>
  <c r="AH91" i="13"/>
  <c r="AI91" i="13" s="1"/>
  <c r="AV91" i="13"/>
  <c r="AW91" i="13" s="1"/>
  <c r="AN91" i="13"/>
  <c r="AO91" i="13" s="1"/>
  <c r="AY91" i="13"/>
  <c r="R91" i="13"/>
  <c r="T91" i="13" s="1"/>
  <c r="M95" i="105"/>
  <c r="BK95" i="105"/>
  <c r="BN95" i="105"/>
  <c r="BO95" i="105" s="1"/>
  <c r="BJ95" i="105"/>
  <c r="BL95" i="105" s="1"/>
  <c r="Y95" i="105"/>
  <c r="Z95" i="105" s="1"/>
  <c r="AK95" i="105"/>
  <c r="AL95" i="105" s="1"/>
  <c r="AT95" i="105"/>
  <c r="AV95" i="105"/>
  <c r="AW95" i="105" s="1"/>
  <c r="P95" i="105"/>
  <c r="AY95" i="105"/>
  <c r="AQ95" i="105"/>
  <c r="AR95" i="105" s="1"/>
  <c r="R95" i="105"/>
  <c r="T95" i="105" s="1"/>
  <c r="BD95" i="105"/>
  <c r="BE95" i="105" s="1"/>
  <c r="BQ95" i="105"/>
  <c r="BR95" i="105" s="1"/>
  <c r="AE95" i="105"/>
  <c r="AF95" i="105" s="1"/>
  <c r="V95" i="105"/>
  <c r="W95" i="105" s="1"/>
  <c r="BG95" i="105"/>
  <c r="BH95" i="105" s="1"/>
  <c r="AB95" i="105"/>
  <c r="AC95" i="105" s="1"/>
  <c r="BA95" i="105"/>
  <c r="BB95" i="105" s="1"/>
  <c r="AN95" i="105"/>
  <c r="AO95" i="105" s="1"/>
  <c r="AH95" i="105"/>
  <c r="AI95" i="105" s="1"/>
  <c r="O95" i="105"/>
  <c r="K96" i="105"/>
  <c r="I98" i="63"/>
  <c r="I108" i="133"/>
  <c r="BJ93" i="114"/>
  <c r="BL93" i="114" s="1"/>
  <c r="M93" i="114"/>
  <c r="BN93" i="114"/>
  <c r="BO93" i="114" s="1"/>
  <c r="BK93" i="114"/>
  <c r="AY93" i="114"/>
  <c r="AH93" i="114"/>
  <c r="AI93" i="114" s="1"/>
  <c r="AE93" i="114"/>
  <c r="AF93" i="114" s="1"/>
  <c r="AT93" i="114"/>
  <c r="BA93" i="114"/>
  <c r="BB93" i="114" s="1"/>
  <c r="AK93" i="114"/>
  <c r="AL93" i="114" s="1"/>
  <c r="AV93" i="114"/>
  <c r="AW93" i="114" s="1"/>
  <c r="Y93" i="114"/>
  <c r="Z93" i="114" s="1"/>
  <c r="AB93" i="114"/>
  <c r="AC93" i="114" s="1"/>
  <c r="AN93" i="114"/>
  <c r="AO93" i="114" s="1"/>
  <c r="P93" i="114"/>
  <c r="V93" i="114"/>
  <c r="W93" i="114" s="1"/>
  <c r="BD93" i="114"/>
  <c r="BE93" i="114" s="1"/>
  <c r="BG93" i="114"/>
  <c r="BH93" i="114" s="1"/>
  <c r="BQ93" i="114"/>
  <c r="BR93" i="114" s="1"/>
  <c r="O93" i="114"/>
  <c r="AQ93" i="114"/>
  <c r="AR93" i="114" s="1"/>
  <c r="R93" i="114"/>
  <c r="T93" i="114" s="1"/>
  <c r="K94" i="114"/>
  <c r="I95" i="96"/>
  <c r="K94" i="96"/>
  <c r="I93" i="66"/>
  <c r="K92" i="66"/>
  <c r="I94" i="101"/>
  <c r="K93" i="101"/>
  <c r="I93" i="13"/>
  <c r="K92" i="13"/>
  <c r="BN93" i="98"/>
  <c r="BO93" i="98" s="1"/>
  <c r="BA93" i="98"/>
  <c r="BB93" i="98" s="1"/>
  <c r="BG93" i="98"/>
  <c r="BH93" i="98" s="1"/>
  <c r="K94" i="98"/>
  <c r="AV93" i="98"/>
  <c r="AW93" i="98" s="1"/>
  <c r="BD93" i="98"/>
  <c r="BE93" i="98" s="1"/>
  <c r="BJ93" i="98"/>
  <c r="BL93" i="98" s="1"/>
  <c r="AB93" i="98"/>
  <c r="AC93" i="98" s="1"/>
  <c r="M93" i="98"/>
  <c r="BK93" i="98"/>
  <c r="AH93" i="98"/>
  <c r="AI93" i="98" s="1"/>
  <c r="V93" i="98"/>
  <c r="W93" i="98" s="1"/>
  <c r="BQ93" i="98"/>
  <c r="BR93" i="98" s="1"/>
  <c r="AQ93" i="98"/>
  <c r="AR93" i="98" s="1"/>
  <c r="AE93" i="98"/>
  <c r="AF93" i="98" s="1"/>
  <c r="R93" i="98"/>
  <c r="T93" i="98" s="1"/>
  <c r="AY93" i="98"/>
  <c r="AN93" i="98"/>
  <c r="AO93" i="98" s="1"/>
  <c r="Y93" i="98"/>
  <c r="Z93" i="98" s="1"/>
  <c r="AT93" i="98"/>
  <c r="O93" i="98"/>
  <c r="P93" i="98"/>
  <c r="AK93" i="98"/>
  <c r="AL93" i="98" s="1"/>
  <c r="I99" i="64"/>
  <c r="I98" i="126"/>
  <c r="BQ91" i="120"/>
  <c r="BR91" i="120" s="1"/>
  <c r="K92" i="120"/>
  <c r="M91" i="120"/>
  <c r="AH91" i="120"/>
  <c r="AI91" i="120" s="1"/>
  <c r="BA91" i="120"/>
  <c r="BB91" i="120" s="1"/>
  <c r="AV91" i="120"/>
  <c r="AW91" i="120" s="1"/>
  <c r="AE91" i="120"/>
  <c r="AF91" i="120" s="1"/>
  <c r="BD91" i="120"/>
  <c r="BE91" i="120" s="1"/>
  <c r="O91" i="120"/>
  <c r="V91" i="120"/>
  <c r="W91" i="120" s="1"/>
  <c r="P91" i="120"/>
  <c r="BG91" i="120"/>
  <c r="BH91" i="120" s="1"/>
  <c r="AK91" i="120"/>
  <c r="AL91" i="120" s="1"/>
  <c r="AN91" i="120"/>
  <c r="AO91" i="120" s="1"/>
  <c r="AB91" i="120"/>
  <c r="AC91" i="120" s="1"/>
  <c r="Y91" i="120"/>
  <c r="Z91" i="120" s="1"/>
  <c r="AQ91" i="120"/>
  <c r="AR91" i="120" s="1"/>
  <c r="AY91" i="120"/>
  <c r="R91" i="120"/>
  <c r="T91" i="120" s="1"/>
  <c r="AT91" i="120"/>
  <c r="BN91" i="120"/>
  <c r="BO91" i="120" s="1"/>
  <c r="I100" i="132"/>
  <c r="M93" i="63"/>
  <c r="BN93" i="63"/>
  <c r="BO93" i="63" s="1"/>
  <c r="BL93" i="63"/>
  <c r="AQ93" i="63"/>
  <c r="AR93" i="63" s="1"/>
  <c r="R93" i="63"/>
  <c r="T93" i="63" s="1"/>
  <c r="BQ93" i="63"/>
  <c r="BR93" i="63" s="1"/>
  <c r="V93" i="63"/>
  <c r="W93" i="63" s="1"/>
  <c r="AN93" i="63"/>
  <c r="AO93" i="63" s="1"/>
  <c r="AV93" i="63"/>
  <c r="AW93" i="63" s="1"/>
  <c r="AK93" i="63"/>
  <c r="AL93" i="63" s="1"/>
  <c r="Y93" i="63"/>
  <c r="Z93" i="63" s="1"/>
  <c r="AB93" i="63"/>
  <c r="AC93" i="63" s="1"/>
  <c r="AT93" i="63"/>
  <c r="AY93" i="63"/>
  <c r="AE93" i="63"/>
  <c r="AF93" i="63" s="1"/>
  <c r="BD93" i="63"/>
  <c r="BE93" i="63" s="1"/>
  <c r="P93" i="63"/>
  <c r="BA93" i="63"/>
  <c r="BB93" i="63" s="1"/>
  <c r="BG93" i="63"/>
  <c r="BH93" i="63" s="1"/>
  <c r="AH93" i="63"/>
  <c r="AI93" i="63" s="1"/>
  <c r="O93" i="63"/>
  <c r="K94" i="63"/>
  <c r="BN92" i="15"/>
  <c r="BO92" i="15" s="1"/>
  <c r="BL92" i="15"/>
  <c r="AQ92" i="15"/>
  <c r="AR92" i="15" s="1"/>
  <c r="AV92" i="15"/>
  <c r="AW92" i="15" s="1"/>
  <c r="AE92" i="15"/>
  <c r="AF92" i="15" s="1"/>
  <c r="P92" i="15"/>
  <c r="AH92" i="15"/>
  <c r="AI92" i="15" s="1"/>
  <c r="AY92" i="15"/>
  <c r="BD92" i="15"/>
  <c r="BE92" i="15" s="1"/>
  <c r="AB92" i="15"/>
  <c r="AC92" i="15" s="1"/>
  <c r="M92" i="15"/>
  <c r="O92" i="15"/>
  <c r="R92" i="15"/>
  <c r="T92" i="15" s="1"/>
  <c r="AK92" i="15"/>
  <c r="AL92" i="15" s="1"/>
  <c r="BQ92" i="15"/>
  <c r="BR92" i="15" s="1"/>
  <c r="BA92" i="15"/>
  <c r="BB92" i="15" s="1"/>
  <c r="V92" i="15"/>
  <c r="W92" i="15" s="1"/>
  <c r="Y92" i="15"/>
  <c r="Z92" i="15" s="1"/>
  <c r="AN92" i="15"/>
  <c r="AO92" i="15" s="1"/>
  <c r="AT92" i="15"/>
  <c r="BG92" i="15"/>
  <c r="BH92" i="15" s="1"/>
  <c r="K93" i="15"/>
  <c r="BQ91" i="66"/>
  <c r="BR91" i="66" s="1"/>
  <c r="P91" i="66"/>
  <c r="AH91" i="66"/>
  <c r="AI91" i="66" s="1"/>
  <c r="AK91" i="66"/>
  <c r="AL91" i="66" s="1"/>
  <c r="AQ91" i="66"/>
  <c r="AR91" i="66" s="1"/>
  <c r="AV91" i="66"/>
  <c r="AW91" i="66" s="1"/>
  <c r="O91" i="66"/>
  <c r="BD91" i="66"/>
  <c r="BE91" i="66" s="1"/>
  <c r="BG91" i="66"/>
  <c r="BH91" i="66" s="1"/>
  <c r="AB91" i="66"/>
  <c r="AC91" i="66" s="1"/>
  <c r="AE91" i="66"/>
  <c r="AF91" i="66" s="1"/>
  <c r="Y91" i="66"/>
  <c r="Z91" i="66" s="1"/>
  <c r="V91" i="66"/>
  <c r="W91" i="66" s="1"/>
  <c r="M91" i="66"/>
  <c r="AT91" i="66"/>
  <c r="AN91" i="66"/>
  <c r="AO91" i="66" s="1"/>
  <c r="BA91" i="66"/>
  <c r="BB91" i="66" s="1"/>
  <c r="AY91" i="66"/>
  <c r="R91" i="66"/>
  <c r="T91" i="66" s="1"/>
  <c r="BN91" i="66"/>
  <c r="BO91" i="66" s="1"/>
  <c r="BL91" i="66"/>
  <c r="M92" i="118"/>
  <c r="K93" i="118"/>
  <c r="BN92" i="118"/>
  <c r="BO92" i="118" s="1"/>
  <c r="AB92" i="118"/>
  <c r="AC92" i="118" s="1"/>
  <c r="AN92" i="118"/>
  <c r="AO92" i="118" s="1"/>
  <c r="AY92" i="118"/>
  <c r="BG92" i="118"/>
  <c r="BH92" i="118" s="1"/>
  <c r="BQ92" i="118"/>
  <c r="BR92" i="118" s="1"/>
  <c r="AV92" i="118"/>
  <c r="AW92" i="118" s="1"/>
  <c r="BD92" i="118"/>
  <c r="BE92" i="118" s="1"/>
  <c r="AK92" i="118"/>
  <c r="AL92" i="118" s="1"/>
  <c r="AQ92" i="118"/>
  <c r="AR92" i="118" s="1"/>
  <c r="AT92" i="118"/>
  <c r="Y92" i="118"/>
  <c r="Z92" i="118" s="1"/>
  <c r="BA92" i="118"/>
  <c r="BB92" i="118" s="1"/>
  <c r="AH92" i="118"/>
  <c r="AI92" i="118" s="1"/>
  <c r="V92" i="118"/>
  <c r="W92" i="118" s="1"/>
  <c r="O92" i="118"/>
  <c r="R92" i="118"/>
  <c r="T92" i="118" s="1"/>
  <c r="P92" i="118"/>
  <c r="AE92" i="118"/>
  <c r="AF92" i="118" s="1"/>
  <c r="BN91" i="17"/>
  <c r="BO91" i="17" s="1"/>
  <c r="BL91" i="17"/>
  <c r="AV91" i="17"/>
  <c r="AW91" i="17" s="1"/>
  <c r="AN91" i="17"/>
  <c r="AO91" i="17" s="1"/>
  <c r="M91" i="17"/>
  <c r="V91" i="17"/>
  <c r="W91" i="17" s="1"/>
  <c r="BD91" i="17"/>
  <c r="BE91" i="17" s="1"/>
  <c r="BQ91" i="17"/>
  <c r="BR91" i="17" s="1"/>
  <c r="AK91" i="17"/>
  <c r="AL91" i="17" s="1"/>
  <c r="AH91" i="17"/>
  <c r="AI91" i="17" s="1"/>
  <c r="Y91" i="17"/>
  <c r="Z91" i="17" s="1"/>
  <c r="AY91" i="17"/>
  <c r="BA91" i="17"/>
  <c r="BB91" i="17" s="1"/>
  <c r="AE91" i="17"/>
  <c r="AF91" i="17" s="1"/>
  <c r="P91" i="17"/>
  <c r="AT91" i="17"/>
  <c r="BG91" i="17"/>
  <c r="BH91" i="17" s="1"/>
  <c r="O91" i="17"/>
  <c r="R91" i="17"/>
  <c r="T91" i="17" s="1"/>
  <c r="AQ91" i="17"/>
  <c r="AR91" i="17" s="1"/>
  <c r="AB91" i="17"/>
  <c r="AC91" i="17" s="1"/>
  <c r="I97" i="104"/>
  <c r="I99" i="136"/>
  <c r="M94" i="135"/>
  <c r="AN94" i="135"/>
  <c r="AO94" i="135" s="1"/>
  <c r="O94" i="135"/>
  <c r="AQ94" i="135"/>
  <c r="AR94" i="135" s="1"/>
  <c r="P94" i="135"/>
  <c r="AV94" i="135"/>
  <c r="AW94" i="135" s="1"/>
  <c r="R94" i="135"/>
  <c r="T94" i="135" s="1"/>
  <c r="BG94" i="135"/>
  <c r="BH94" i="135" s="1"/>
  <c r="AH94" i="135"/>
  <c r="AI94" i="135" s="1"/>
  <c r="AT94" i="135"/>
  <c r="Y94" i="135"/>
  <c r="Z94" i="135" s="1"/>
  <c r="BA94" i="135"/>
  <c r="BB94" i="135" s="1"/>
  <c r="AY94" i="135"/>
  <c r="V94" i="135"/>
  <c r="W94" i="135" s="1"/>
  <c r="AE94" i="135"/>
  <c r="AF94" i="135" s="1"/>
  <c r="AK94" i="135"/>
  <c r="AL94" i="135" s="1"/>
  <c r="BD94" i="135"/>
  <c r="BE94" i="135" s="1"/>
  <c r="AB94" i="135"/>
  <c r="AC94" i="135" s="1"/>
  <c r="BQ94" i="135"/>
  <c r="BR94" i="135" s="1"/>
  <c r="BN94" i="135"/>
  <c r="BO94" i="135" s="1"/>
  <c r="BL94" i="135"/>
  <c r="BJ97" i="124"/>
  <c r="BL97" i="124" s="1"/>
  <c r="K98" i="124"/>
  <c r="BN97" i="124"/>
  <c r="BO97" i="124" s="1"/>
  <c r="M97" i="124"/>
  <c r="BK97" i="124"/>
  <c r="AN97" i="124"/>
  <c r="AO97" i="124" s="1"/>
  <c r="AV97" i="124"/>
  <c r="AW97" i="124" s="1"/>
  <c r="AB97" i="124"/>
  <c r="AC97" i="124" s="1"/>
  <c r="AH97" i="124"/>
  <c r="AI97" i="124" s="1"/>
  <c r="AQ97" i="124"/>
  <c r="AR97" i="124" s="1"/>
  <c r="BD97" i="124"/>
  <c r="BE97" i="124" s="1"/>
  <c r="BQ97" i="124"/>
  <c r="BR97" i="124" s="1"/>
  <c r="AT97" i="124"/>
  <c r="Y97" i="124"/>
  <c r="Z97" i="124" s="1"/>
  <c r="P97" i="124"/>
  <c r="V97" i="124"/>
  <c r="W97" i="124" s="1"/>
  <c r="AE97" i="124"/>
  <c r="AF97" i="124" s="1"/>
  <c r="AY97" i="124"/>
  <c r="BA97" i="124"/>
  <c r="BB97" i="124" s="1"/>
  <c r="O97" i="124"/>
  <c r="R97" i="124"/>
  <c r="T97" i="124" s="1"/>
  <c r="AK97" i="124"/>
  <c r="AL97" i="124" s="1"/>
  <c r="BG97" i="124"/>
  <c r="BH97" i="124" s="1"/>
  <c r="I99" i="107" l="1"/>
  <c r="K98" i="107"/>
  <c r="AQ95" i="132"/>
  <c r="AR95" i="132" s="1"/>
  <c r="BQ95" i="132"/>
  <c r="BR95" i="132" s="1"/>
  <c r="BD95" i="132"/>
  <c r="BE95" i="132" s="1"/>
  <c r="P95" i="132"/>
  <c r="M95" i="132"/>
  <c r="BA95" i="132"/>
  <c r="BB95" i="132" s="1"/>
  <c r="BN95" i="132"/>
  <c r="BO95" i="132" s="1"/>
  <c r="R95" i="132"/>
  <c r="T95" i="132" s="1"/>
  <c r="AY95" i="132"/>
  <c r="AE95" i="132"/>
  <c r="AF95" i="132" s="1"/>
  <c r="V95" i="132"/>
  <c r="W95" i="132" s="1"/>
  <c r="AB95" i="132"/>
  <c r="AC95" i="132" s="1"/>
  <c r="K96" i="132"/>
  <c r="AV95" i="132"/>
  <c r="AW95" i="132" s="1"/>
  <c r="AN95" i="132"/>
  <c r="AO95" i="132" s="1"/>
  <c r="O95" i="132"/>
  <c r="AK95" i="132"/>
  <c r="AL95" i="132" s="1"/>
  <c r="BL95" i="132"/>
  <c r="AT95" i="132"/>
  <c r="BG95" i="132"/>
  <c r="BH95" i="132" s="1"/>
  <c r="AH95" i="132"/>
  <c r="AI95" i="132" s="1"/>
  <c r="Y95" i="132"/>
  <c r="Z95" i="132" s="1"/>
  <c r="BK97" i="107"/>
  <c r="O97" i="107"/>
  <c r="AB97" i="107"/>
  <c r="AC97" i="107" s="1"/>
  <c r="AE97" i="107"/>
  <c r="AF97" i="107" s="1"/>
  <c r="R97" i="107"/>
  <c r="T97" i="107" s="1"/>
  <c r="BN97" i="107"/>
  <c r="BO97" i="107" s="1"/>
  <c r="BQ97" i="107"/>
  <c r="BR97" i="107" s="1"/>
  <c r="P97" i="107"/>
  <c r="BJ97" i="107"/>
  <c r="BL97" i="107" s="1"/>
  <c r="AK97" i="107"/>
  <c r="AL97" i="107" s="1"/>
  <c r="AH97" i="107"/>
  <c r="AI97" i="107" s="1"/>
  <c r="BA97" i="107"/>
  <c r="BB97" i="107" s="1"/>
  <c r="AQ97" i="107"/>
  <c r="AR97" i="107" s="1"/>
  <c r="AY97" i="107"/>
  <c r="M97" i="107"/>
  <c r="BD97" i="107"/>
  <c r="BE97" i="107" s="1"/>
  <c r="Y97" i="107"/>
  <c r="Z97" i="107" s="1"/>
  <c r="V97" i="107"/>
  <c r="W97" i="107" s="1"/>
  <c r="AT97" i="107"/>
  <c r="AV97" i="107"/>
  <c r="AW97" i="107" s="1"/>
  <c r="AN97" i="107"/>
  <c r="AO97" i="107" s="1"/>
  <c r="BG97" i="107"/>
  <c r="BH97" i="107" s="1"/>
  <c r="M95" i="99"/>
  <c r="BK95" i="99"/>
  <c r="BD95" i="99"/>
  <c r="BE95" i="99" s="1"/>
  <c r="AY95" i="99"/>
  <c r="AN95" i="99"/>
  <c r="AO95" i="99" s="1"/>
  <c r="AB95" i="99"/>
  <c r="AC95" i="99" s="1"/>
  <c r="BA95" i="99"/>
  <c r="BB95" i="99" s="1"/>
  <c r="P95" i="99"/>
  <c r="K96" i="99"/>
  <c r="R95" i="99"/>
  <c r="T95" i="99" s="1"/>
  <c r="Y95" i="99"/>
  <c r="Z95" i="99" s="1"/>
  <c r="BQ95" i="99"/>
  <c r="BR95" i="99" s="1"/>
  <c r="BN95" i="99"/>
  <c r="BO95" i="99" s="1"/>
  <c r="BG95" i="99"/>
  <c r="BH95" i="99" s="1"/>
  <c r="AH95" i="99"/>
  <c r="AI95" i="99" s="1"/>
  <c r="AK95" i="99"/>
  <c r="AL95" i="99" s="1"/>
  <c r="AT95" i="99"/>
  <c r="AQ95" i="99"/>
  <c r="AR95" i="99" s="1"/>
  <c r="BJ95" i="99"/>
  <c r="BL95" i="99" s="1"/>
  <c r="V95" i="99"/>
  <c r="W95" i="99" s="1"/>
  <c r="AE95" i="99"/>
  <c r="AF95" i="99" s="1"/>
  <c r="AV95" i="99"/>
  <c r="AW95" i="99" s="1"/>
  <c r="O95" i="99"/>
  <c r="AV94" i="129"/>
  <c r="AW94" i="129" s="1"/>
  <c r="BQ94" i="129"/>
  <c r="BR94" i="129" s="1"/>
  <c r="AT94" i="129"/>
  <c r="AQ94" i="129"/>
  <c r="AR94" i="129" s="1"/>
  <c r="BG94" i="129"/>
  <c r="BH94" i="129" s="1"/>
  <c r="AH94" i="129"/>
  <c r="AI94" i="129" s="1"/>
  <c r="M94" i="129"/>
  <c r="R94" i="129"/>
  <c r="T94" i="129" s="1"/>
  <c r="AN94" i="129"/>
  <c r="AO94" i="129" s="1"/>
  <c r="AK94" i="129"/>
  <c r="AL94" i="129" s="1"/>
  <c r="K95" i="129"/>
  <c r="V94" i="129"/>
  <c r="W94" i="129" s="1"/>
  <c r="Y94" i="129"/>
  <c r="Z94" i="129" s="1"/>
  <c r="AY94" i="129"/>
  <c r="BN94" i="129"/>
  <c r="BO94" i="129" s="1"/>
  <c r="P94" i="129"/>
  <c r="BD94" i="129"/>
  <c r="BE94" i="129" s="1"/>
  <c r="AE94" i="129"/>
  <c r="AF94" i="129" s="1"/>
  <c r="O94" i="129"/>
  <c r="AB94" i="129"/>
  <c r="AC94" i="129" s="1"/>
  <c r="BA94" i="129"/>
  <c r="BB94" i="129" s="1"/>
  <c r="BL94" i="129"/>
  <c r="R98" i="156"/>
  <c r="T98" i="156" s="1"/>
  <c r="O98" i="156"/>
  <c r="Y98" i="156"/>
  <c r="Z98" i="156" s="1"/>
  <c r="V98" i="156"/>
  <c r="W98" i="156" s="1"/>
  <c r="BQ98" i="156"/>
  <c r="BR98" i="156" s="1"/>
  <c r="AE98" i="156"/>
  <c r="AF98" i="156" s="1"/>
  <c r="AN98" i="156"/>
  <c r="AO98" i="156" s="1"/>
  <c r="AB98" i="156"/>
  <c r="AC98" i="156" s="1"/>
  <c r="P98" i="156"/>
  <c r="AK98" i="156"/>
  <c r="AL98" i="156" s="1"/>
  <c r="BA98" i="156"/>
  <c r="BB98" i="156" s="1"/>
  <c r="AH98" i="156"/>
  <c r="AI98" i="156" s="1"/>
  <c r="AV98" i="156"/>
  <c r="AW98" i="156" s="1"/>
  <c r="AQ98" i="156"/>
  <c r="AR98" i="156" s="1"/>
  <c r="BL98" i="156"/>
  <c r="BG98" i="156"/>
  <c r="BH98" i="156" s="1"/>
  <c r="BN98" i="156"/>
  <c r="BO98" i="156" s="1"/>
  <c r="BD98" i="156"/>
  <c r="BE98" i="156" s="1"/>
  <c r="M98" i="156"/>
  <c r="BK93" i="112"/>
  <c r="P93" i="112"/>
  <c r="AH93" i="112"/>
  <c r="AI93" i="112" s="1"/>
  <c r="Y93" i="112"/>
  <c r="Z93" i="112" s="1"/>
  <c r="AB93" i="112"/>
  <c r="AC93" i="112" s="1"/>
  <c r="AK93" i="112"/>
  <c r="AL93" i="112" s="1"/>
  <c r="AN93" i="112"/>
  <c r="AO93" i="112" s="1"/>
  <c r="K94" i="112"/>
  <c r="R93" i="112"/>
  <c r="T93" i="112" s="1"/>
  <c r="BQ93" i="112"/>
  <c r="BR93" i="112" s="1"/>
  <c r="O93" i="112"/>
  <c r="BJ93" i="112"/>
  <c r="BL93" i="112" s="1"/>
  <c r="AY93" i="112"/>
  <c r="AQ93" i="112"/>
  <c r="AR93" i="112" s="1"/>
  <c r="BG93" i="112"/>
  <c r="BH93" i="112" s="1"/>
  <c r="M93" i="112"/>
  <c r="AE93" i="112"/>
  <c r="AF93" i="112" s="1"/>
  <c r="BA93" i="112"/>
  <c r="BB93" i="112" s="1"/>
  <c r="AT93" i="112"/>
  <c r="BN93" i="112"/>
  <c r="BO93" i="112" s="1"/>
  <c r="AV93" i="112"/>
  <c r="AW93" i="112" s="1"/>
  <c r="V93" i="112"/>
  <c r="W93" i="112" s="1"/>
  <c r="BD93" i="112"/>
  <c r="BE93" i="112" s="1"/>
  <c r="P92" i="95"/>
  <c r="BG92" i="95"/>
  <c r="BH92" i="95" s="1"/>
  <c r="O92" i="95"/>
  <c r="K93" i="95"/>
  <c r="AV92" i="95"/>
  <c r="AW92" i="95" s="1"/>
  <c r="AN92" i="95"/>
  <c r="AO92" i="95" s="1"/>
  <c r="AB92" i="95"/>
  <c r="AC92" i="95" s="1"/>
  <c r="BA92" i="95"/>
  <c r="BB92" i="95" s="1"/>
  <c r="AK92" i="95"/>
  <c r="AL92" i="95" s="1"/>
  <c r="Y92" i="95"/>
  <c r="Z92" i="95" s="1"/>
  <c r="R92" i="95"/>
  <c r="T92" i="95" s="1"/>
  <c r="AE92" i="95"/>
  <c r="AF92" i="95" s="1"/>
  <c r="BD92" i="95"/>
  <c r="BE92" i="95" s="1"/>
  <c r="M92" i="95"/>
  <c r="BL92" i="95"/>
  <c r="BQ92" i="95"/>
  <c r="BR92" i="95" s="1"/>
  <c r="AQ92" i="95"/>
  <c r="AR92" i="95" s="1"/>
  <c r="BN92" i="95"/>
  <c r="BO92" i="95" s="1"/>
  <c r="AT92" i="95"/>
  <c r="AH92" i="95"/>
  <c r="AI92" i="95" s="1"/>
  <c r="V92" i="95"/>
  <c r="W92" i="95" s="1"/>
  <c r="I100" i="156"/>
  <c r="K99" i="156"/>
  <c r="AY99" i="156" s="1"/>
  <c r="I100" i="106"/>
  <c r="BJ93" i="106"/>
  <c r="BL93" i="106" s="1"/>
  <c r="BQ93" i="106"/>
  <c r="BR93" i="106" s="1"/>
  <c r="P93" i="106"/>
  <c r="R93" i="106"/>
  <c r="T93" i="106" s="1"/>
  <c r="M93" i="106"/>
  <c r="AV93" i="106"/>
  <c r="AW93" i="106" s="1"/>
  <c r="BD93" i="106"/>
  <c r="BE93" i="106" s="1"/>
  <c r="BG93" i="106"/>
  <c r="BH93" i="106" s="1"/>
  <c r="AK93" i="106"/>
  <c r="AL93" i="106" s="1"/>
  <c r="AN93" i="106"/>
  <c r="AO93" i="106" s="1"/>
  <c r="AE93" i="106"/>
  <c r="AF93" i="106" s="1"/>
  <c r="BN93" i="106"/>
  <c r="BO93" i="106" s="1"/>
  <c r="AH93" i="106"/>
  <c r="AI93" i="106" s="1"/>
  <c r="O93" i="106"/>
  <c r="AT93" i="106"/>
  <c r="BA93" i="106"/>
  <c r="BB93" i="106" s="1"/>
  <c r="Y93" i="106"/>
  <c r="Z93" i="106" s="1"/>
  <c r="AY93" i="106"/>
  <c r="BK93" i="106"/>
  <c r="AB93" i="106"/>
  <c r="AC93" i="106" s="1"/>
  <c r="V93" i="106"/>
  <c r="W93" i="106" s="1"/>
  <c r="AQ93" i="106"/>
  <c r="AR93" i="106" s="1"/>
  <c r="K94" i="106"/>
  <c r="BL96" i="133"/>
  <c r="BQ96" i="133"/>
  <c r="BR96" i="133" s="1"/>
  <c r="AY96" i="133"/>
  <c r="K97" i="133"/>
  <c r="BA96" i="133"/>
  <c r="BB96" i="133" s="1"/>
  <c r="AT96" i="133"/>
  <c r="P96" i="133"/>
  <c r="AH96" i="133"/>
  <c r="AI96" i="133" s="1"/>
  <c r="AV96" i="133"/>
  <c r="AW96" i="133" s="1"/>
  <c r="AE96" i="133"/>
  <c r="AF96" i="133" s="1"/>
  <c r="AK96" i="133"/>
  <c r="AL96" i="133" s="1"/>
  <c r="AB96" i="133"/>
  <c r="AC96" i="133" s="1"/>
  <c r="V96" i="133"/>
  <c r="W96" i="133" s="1"/>
  <c r="Y96" i="133"/>
  <c r="Z96" i="133" s="1"/>
  <c r="M96" i="133"/>
  <c r="AN96" i="133"/>
  <c r="AO96" i="133" s="1"/>
  <c r="O96" i="133"/>
  <c r="R96" i="133"/>
  <c r="T96" i="133" s="1"/>
  <c r="BN96" i="133"/>
  <c r="BO96" i="133" s="1"/>
  <c r="BG96" i="133"/>
  <c r="BH96" i="133" s="1"/>
  <c r="BD96" i="133"/>
  <c r="BE96" i="133" s="1"/>
  <c r="AQ96" i="133"/>
  <c r="AR96" i="133" s="1"/>
  <c r="M93" i="104"/>
  <c r="Y93" i="104"/>
  <c r="Z93" i="104" s="1"/>
  <c r="AH93" i="104"/>
  <c r="AI93" i="104" s="1"/>
  <c r="AK93" i="104"/>
  <c r="AL93" i="104" s="1"/>
  <c r="K94" i="104"/>
  <c r="AT93" i="104"/>
  <c r="AN93" i="104"/>
  <c r="AO93" i="104" s="1"/>
  <c r="O93" i="104"/>
  <c r="AQ93" i="104"/>
  <c r="AR93" i="104" s="1"/>
  <c r="R93" i="104"/>
  <c r="T93" i="104" s="1"/>
  <c r="BA93" i="104"/>
  <c r="BB93" i="104" s="1"/>
  <c r="BK93" i="104"/>
  <c r="AE93" i="104"/>
  <c r="AF93" i="104" s="1"/>
  <c r="AY93" i="104"/>
  <c r="BD93" i="104"/>
  <c r="BE93" i="104" s="1"/>
  <c r="BN93" i="104"/>
  <c r="BO93" i="104" s="1"/>
  <c r="BQ93" i="104"/>
  <c r="BR93" i="104" s="1"/>
  <c r="P93" i="104"/>
  <c r="AV93" i="104"/>
  <c r="AW93" i="104" s="1"/>
  <c r="BJ93" i="104"/>
  <c r="BL93" i="104" s="1"/>
  <c r="V93" i="104"/>
  <c r="W93" i="104" s="1"/>
  <c r="BG93" i="104"/>
  <c r="BH93" i="104" s="1"/>
  <c r="AB93" i="104"/>
  <c r="AC93" i="104" s="1"/>
  <c r="K95" i="130"/>
  <c r="M94" i="130"/>
  <c r="BN94" i="130"/>
  <c r="BO94" i="130" s="1"/>
  <c r="BL94" i="130"/>
  <c r="V94" i="130"/>
  <c r="W94" i="130" s="1"/>
  <c r="AK94" i="130"/>
  <c r="AL94" i="130" s="1"/>
  <c r="BA94" i="130"/>
  <c r="BB94" i="130" s="1"/>
  <c r="AH94" i="130"/>
  <c r="AI94" i="130" s="1"/>
  <c r="BQ94" i="130"/>
  <c r="BR94" i="130" s="1"/>
  <c r="AY94" i="130"/>
  <c r="AB94" i="130"/>
  <c r="AC94" i="130" s="1"/>
  <c r="P94" i="130"/>
  <c r="AN94" i="130"/>
  <c r="AO94" i="130" s="1"/>
  <c r="AV94" i="130"/>
  <c r="AW94" i="130" s="1"/>
  <c r="AE94" i="130"/>
  <c r="AF94" i="130" s="1"/>
  <c r="Y94" i="130"/>
  <c r="Z94" i="130" s="1"/>
  <c r="BG94" i="130"/>
  <c r="BH94" i="130" s="1"/>
  <c r="O94" i="130"/>
  <c r="AQ94" i="130"/>
  <c r="AR94" i="130" s="1"/>
  <c r="BD94" i="130"/>
  <c r="BE94" i="130" s="1"/>
  <c r="AT94" i="130"/>
  <c r="R94" i="130"/>
  <c r="T94" i="130" s="1"/>
  <c r="M99" i="155"/>
  <c r="BQ99" i="155"/>
  <c r="BR99" i="155" s="1"/>
  <c r="O99" i="155"/>
  <c r="V99" i="155"/>
  <c r="W99" i="155" s="1"/>
  <c r="AB99" i="155"/>
  <c r="AC99" i="155" s="1"/>
  <c r="AH99" i="155"/>
  <c r="AI99" i="155" s="1"/>
  <c r="AN99" i="155"/>
  <c r="AO99" i="155" s="1"/>
  <c r="BA99" i="155"/>
  <c r="BB99" i="155" s="1"/>
  <c r="BG99" i="155"/>
  <c r="BH99" i="155" s="1"/>
  <c r="BL99" i="155"/>
  <c r="P99" i="155"/>
  <c r="AV99" i="155"/>
  <c r="AW99" i="155" s="1"/>
  <c r="BN99" i="155"/>
  <c r="BO99" i="155" s="1"/>
  <c r="R99" i="155"/>
  <c r="T99" i="155" s="1"/>
  <c r="Y99" i="155"/>
  <c r="Z99" i="155" s="1"/>
  <c r="AE99" i="155"/>
  <c r="AF99" i="155" s="1"/>
  <c r="AK99" i="155"/>
  <c r="AL99" i="155" s="1"/>
  <c r="AQ99" i="155"/>
  <c r="AR99" i="155" s="1"/>
  <c r="BD99" i="155"/>
  <c r="BE99" i="155" s="1"/>
  <c r="I101" i="155"/>
  <c r="K100" i="155"/>
  <c r="M99" i="153"/>
  <c r="BQ99" i="153"/>
  <c r="BR99" i="153" s="1"/>
  <c r="O99" i="153"/>
  <c r="V99" i="153"/>
  <c r="W99" i="153" s="1"/>
  <c r="AB99" i="153"/>
  <c r="AC99" i="153" s="1"/>
  <c r="AH99" i="153"/>
  <c r="AI99" i="153" s="1"/>
  <c r="AN99" i="153"/>
  <c r="AO99" i="153" s="1"/>
  <c r="BA99" i="153"/>
  <c r="BB99" i="153" s="1"/>
  <c r="BG99" i="153"/>
  <c r="BH99" i="153" s="1"/>
  <c r="P99" i="153"/>
  <c r="AV99" i="153"/>
  <c r="AW99" i="153" s="1"/>
  <c r="BN99" i="153"/>
  <c r="BO99" i="153" s="1"/>
  <c r="AK99" i="153"/>
  <c r="AL99" i="153" s="1"/>
  <c r="R99" i="153"/>
  <c r="T99" i="153" s="1"/>
  <c r="AQ99" i="153"/>
  <c r="AR99" i="153" s="1"/>
  <c r="Y99" i="153"/>
  <c r="Z99" i="153" s="1"/>
  <c r="AE99" i="153"/>
  <c r="AF99" i="153" s="1"/>
  <c r="BD99" i="153"/>
  <c r="BE99" i="153" s="1"/>
  <c r="BL99" i="153"/>
  <c r="K100" i="153"/>
  <c r="I104" i="153"/>
  <c r="O99" i="152"/>
  <c r="V99" i="152"/>
  <c r="W99" i="152" s="1"/>
  <c r="AB99" i="152"/>
  <c r="AC99" i="152" s="1"/>
  <c r="AH99" i="152"/>
  <c r="AI99" i="152" s="1"/>
  <c r="AN99" i="152"/>
  <c r="AO99" i="152" s="1"/>
  <c r="BA99" i="152"/>
  <c r="BB99" i="152" s="1"/>
  <c r="BG99" i="152"/>
  <c r="BH99" i="152" s="1"/>
  <c r="P99" i="152"/>
  <c r="AV99" i="152"/>
  <c r="AW99" i="152" s="1"/>
  <c r="BN99" i="152"/>
  <c r="BO99" i="152" s="1"/>
  <c r="R99" i="152"/>
  <c r="T99" i="152" s="1"/>
  <c r="Y99" i="152"/>
  <c r="Z99" i="152" s="1"/>
  <c r="AE99" i="152"/>
  <c r="AF99" i="152" s="1"/>
  <c r="AK99" i="152"/>
  <c r="AL99" i="152" s="1"/>
  <c r="AQ99" i="152"/>
  <c r="AR99" i="152" s="1"/>
  <c r="BD99" i="152"/>
  <c r="BE99" i="152" s="1"/>
  <c r="BQ99" i="152"/>
  <c r="BR99" i="152" s="1"/>
  <c r="M99" i="152"/>
  <c r="BL99" i="152"/>
  <c r="K100" i="152"/>
  <c r="I108" i="152"/>
  <c r="I99" i="151"/>
  <c r="K98" i="151"/>
  <c r="BG97" i="151"/>
  <c r="BH97" i="151" s="1"/>
  <c r="BA97" i="151"/>
  <c r="BB97" i="151" s="1"/>
  <c r="AT97" i="151"/>
  <c r="AN97" i="151"/>
  <c r="AO97" i="151" s="1"/>
  <c r="AH97" i="151"/>
  <c r="AI97" i="151" s="1"/>
  <c r="AB97" i="151"/>
  <c r="AC97" i="151" s="1"/>
  <c r="V97" i="151"/>
  <c r="W97" i="151" s="1"/>
  <c r="O97" i="151"/>
  <c r="BQ97" i="151"/>
  <c r="BR97" i="151" s="1"/>
  <c r="AY97" i="151"/>
  <c r="BD97" i="151"/>
  <c r="BE97" i="151" s="1"/>
  <c r="AQ97" i="151"/>
  <c r="AR97" i="151" s="1"/>
  <c r="AK97" i="151"/>
  <c r="AL97" i="151" s="1"/>
  <c r="AE97" i="151"/>
  <c r="AF97" i="151" s="1"/>
  <c r="Y97" i="151"/>
  <c r="Z97" i="151" s="1"/>
  <c r="R97" i="151"/>
  <c r="T97" i="151" s="1"/>
  <c r="AV97" i="151"/>
  <c r="AW97" i="151" s="1"/>
  <c r="P97" i="151"/>
  <c r="M97" i="151"/>
  <c r="BN97" i="151"/>
  <c r="BO97" i="151" s="1"/>
  <c r="BL97" i="151"/>
  <c r="I100" i="150"/>
  <c r="BG96" i="150"/>
  <c r="BH96" i="150" s="1"/>
  <c r="BQ96" i="150"/>
  <c r="BR96" i="150" s="1"/>
  <c r="BA96" i="150"/>
  <c r="BB96" i="150" s="1"/>
  <c r="AT96" i="150"/>
  <c r="AN96" i="150"/>
  <c r="AO96" i="150" s="1"/>
  <c r="AH96" i="150"/>
  <c r="AI96" i="150" s="1"/>
  <c r="AB96" i="150"/>
  <c r="AC96" i="150" s="1"/>
  <c r="V96" i="150"/>
  <c r="W96" i="150" s="1"/>
  <c r="O96" i="150"/>
  <c r="AY96" i="150"/>
  <c r="BD96" i="150"/>
  <c r="BE96" i="150" s="1"/>
  <c r="AQ96" i="150"/>
  <c r="AR96" i="150" s="1"/>
  <c r="AK96" i="150"/>
  <c r="AL96" i="150" s="1"/>
  <c r="AE96" i="150"/>
  <c r="AF96" i="150" s="1"/>
  <c r="Y96" i="150"/>
  <c r="Z96" i="150" s="1"/>
  <c r="R96" i="150"/>
  <c r="T96" i="150" s="1"/>
  <c r="P96" i="150"/>
  <c r="AV96" i="150"/>
  <c r="AW96" i="150" s="1"/>
  <c r="BN96" i="150"/>
  <c r="BO96" i="150" s="1"/>
  <c r="M96" i="150"/>
  <c r="BL96" i="150"/>
  <c r="K97" i="150"/>
  <c r="BD98" i="149"/>
  <c r="BE98" i="149" s="1"/>
  <c r="AQ98" i="149"/>
  <c r="AR98" i="149" s="1"/>
  <c r="AK98" i="149"/>
  <c r="AL98" i="149" s="1"/>
  <c r="AE98" i="149"/>
  <c r="AF98" i="149" s="1"/>
  <c r="Y98" i="149"/>
  <c r="Z98" i="149" s="1"/>
  <c r="R98" i="149"/>
  <c r="T98" i="149" s="1"/>
  <c r="AV98" i="149"/>
  <c r="AW98" i="149" s="1"/>
  <c r="P98" i="149"/>
  <c r="AY98" i="149"/>
  <c r="BG98" i="149"/>
  <c r="BH98" i="149" s="1"/>
  <c r="AT98" i="149"/>
  <c r="AH98" i="149"/>
  <c r="AI98" i="149" s="1"/>
  <c r="V98" i="149"/>
  <c r="W98" i="149" s="1"/>
  <c r="BQ98" i="149"/>
  <c r="BR98" i="149" s="1"/>
  <c r="BA98" i="149"/>
  <c r="BB98" i="149" s="1"/>
  <c r="AN98" i="149"/>
  <c r="AO98" i="149" s="1"/>
  <c r="AB98" i="149"/>
  <c r="AC98" i="149" s="1"/>
  <c r="O98" i="149"/>
  <c r="BN98" i="149"/>
  <c r="BO98" i="149" s="1"/>
  <c r="M98" i="149"/>
  <c r="BL98" i="149"/>
  <c r="I100" i="149"/>
  <c r="K99" i="149"/>
  <c r="I99" i="147"/>
  <c r="K98" i="147"/>
  <c r="BD97" i="147"/>
  <c r="BE97" i="147" s="1"/>
  <c r="AQ97" i="147"/>
  <c r="AR97" i="147" s="1"/>
  <c r="AK97" i="147"/>
  <c r="AL97" i="147" s="1"/>
  <c r="AE97" i="147"/>
  <c r="AF97" i="147" s="1"/>
  <c r="Y97" i="147"/>
  <c r="Z97" i="147" s="1"/>
  <c r="R97" i="147"/>
  <c r="T97" i="147" s="1"/>
  <c r="BG97" i="147"/>
  <c r="BH97" i="147" s="1"/>
  <c r="AY97" i="147"/>
  <c r="AH97" i="147"/>
  <c r="AI97" i="147" s="1"/>
  <c r="P97" i="147"/>
  <c r="AV97" i="147"/>
  <c r="AW97" i="147" s="1"/>
  <c r="AN97" i="147"/>
  <c r="AO97" i="147" s="1"/>
  <c r="O97" i="147"/>
  <c r="AT97" i="147"/>
  <c r="AB97" i="147"/>
  <c r="AC97" i="147" s="1"/>
  <c r="V97" i="147"/>
  <c r="W97" i="147" s="1"/>
  <c r="BA97" i="147"/>
  <c r="BB97" i="147" s="1"/>
  <c r="BQ97" i="147"/>
  <c r="BR97" i="147" s="1"/>
  <c r="BJ97" i="147"/>
  <c r="BL97" i="147" s="1"/>
  <c r="BN97" i="147"/>
  <c r="BO97" i="147" s="1"/>
  <c r="M97" i="147"/>
  <c r="BK97" i="147"/>
  <c r="BD96" i="146"/>
  <c r="BE96" i="146" s="1"/>
  <c r="AQ96" i="146"/>
  <c r="AR96" i="146" s="1"/>
  <c r="AK96" i="146"/>
  <c r="AL96" i="146" s="1"/>
  <c r="AE96" i="146"/>
  <c r="AF96" i="146" s="1"/>
  <c r="Y96" i="146"/>
  <c r="Z96" i="146" s="1"/>
  <c r="R96" i="146"/>
  <c r="T96" i="146" s="1"/>
  <c r="AV96" i="146"/>
  <c r="AW96" i="146" s="1"/>
  <c r="P96" i="146"/>
  <c r="BG96" i="146"/>
  <c r="BH96" i="146" s="1"/>
  <c r="BA96" i="146"/>
  <c r="BB96" i="146" s="1"/>
  <c r="AT96" i="146"/>
  <c r="AN96" i="146"/>
  <c r="AO96" i="146" s="1"/>
  <c r="AH96" i="146"/>
  <c r="AI96" i="146" s="1"/>
  <c r="AB96" i="146"/>
  <c r="AC96" i="146" s="1"/>
  <c r="V96" i="146"/>
  <c r="W96" i="146" s="1"/>
  <c r="O96" i="146"/>
  <c r="AY96" i="146"/>
  <c r="BQ96" i="146"/>
  <c r="BR96" i="146" s="1"/>
  <c r="BJ96" i="146"/>
  <c r="BL96" i="146" s="1"/>
  <c r="M96" i="146"/>
  <c r="BN96" i="146"/>
  <c r="BO96" i="146" s="1"/>
  <c r="BK96" i="146"/>
  <c r="I98" i="146"/>
  <c r="K97" i="146"/>
  <c r="M93" i="118"/>
  <c r="O93" i="118"/>
  <c r="K94" i="118"/>
  <c r="BN93" i="118"/>
  <c r="BO93" i="118" s="1"/>
  <c r="V93" i="118"/>
  <c r="W93" i="118" s="1"/>
  <c r="AN93" i="118"/>
  <c r="AO93" i="118" s="1"/>
  <c r="Y93" i="118"/>
  <c r="Z93" i="118" s="1"/>
  <c r="BA93" i="118"/>
  <c r="BB93" i="118" s="1"/>
  <c r="AV93" i="118"/>
  <c r="AW93" i="118" s="1"/>
  <c r="AB93" i="118"/>
  <c r="AC93" i="118" s="1"/>
  <c r="AE93" i="118"/>
  <c r="AF93" i="118" s="1"/>
  <c r="BQ93" i="118"/>
  <c r="BR93" i="118" s="1"/>
  <c r="AQ93" i="118"/>
  <c r="AR93" i="118" s="1"/>
  <c r="P93" i="118"/>
  <c r="AY93" i="118"/>
  <c r="BG93" i="118"/>
  <c r="BH93" i="118" s="1"/>
  <c r="AK93" i="118"/>
  <c r="AL93" i="118" s="1"/>
  <c r="AT93" i="118"/>
  <c r="R93" i="118"/>
  <c r="T93" i="118" s="1"/>
  <c r="BD93" i="118"/>
  <c r="BE93" i="118" s="1"/>
  <c r="AH93" i="118"/>
  <c r="AI93" i="118" s="1"/>
  <c r="BN94" i="63"/>
  <c r="BO94" i="63" s="1"/>
  <c r="M94" i="63"/>
  <c r="AY94" i="63"/>
  <c r="BG94" i="63"/>
  <c r="BH94" i="63" s="1"/>
  <c r="AE94" i="63"/>
  <c r="AF94" i="63" s="1"/>
  <c r="Y94" i="63"/>
  <c r="Z94" i="63" s="1"/>
  <c r="O94" i="63"/>
  <c r="V94" i="63"/>
  <c r="W94" i="63" s="1"/>
  <c r="AQ94" i="63"/>
  <c r="AR94" i="63" s="1"/>
  <c r="AN94" i="63"/>
  <c r="AO94" i="63" s="1"/>
  <c r="BD94" i="63"/>
  <c r="BE94" i="63" s="1"/>
  <c r="BQ94" i="63"/>
  <c r="BR94" i="63" s="1"/>
  <c r="AT94" i="63"/>
  <c r="P94" i="63"/>
  <c r="R94" i="63"/>
  <c r="T94" i="63" s="1"/>
  <c r="AB94" i="63"/>
  <c r="AC94" i="63" s="1"/>
  <c r="AK94" i="63"/>
  <c r="AL94" i="63" s="1"/>
  <c r="AH94" i="63"/>
  <c r="AI94" i="63" s="1"/>
  <c r="AV94" i="63"/>
  <c r="AW94" i="63" s="1"/>
  <c r="BA94" i="63"/>
  <c r="BB94" i="63" s="1"/>
  <c r="BL94" i="63"/>
  <c r="K95" i="63"/>
  <c r="I99" i="126"/>
  <c r="I95" i="101"/>
  <c r="K94" i="101"/>
  <c r="BG94" i="96"/>
  <c r="BH94" i="96" s="1"/>
  <c r="AK94" i="96"/>
  <c r="AL94" i="96" s="1"/>
  <c r="BN94" i="96"/>
  <c r="BO94" i="96" s="1"/>
  <c r="BA94" i="96"/>
  <c r="BB94" i="96" s="1"/>
  <c r="AT94" i="96"/>
  <c r="M94" i="96"/>
  <c r="AE94" i="96"/>
  <c r="AF94" i="96" s="1"/>
  <c r="O94" i="96"/>
  <c r="AQ94" i="96"/>
  <c r="AR94" i="96" s="1"/>
  <c r="Y94" i="96"/>
  <c r="Z94" i="96" s="1"/>
  <c r="AB94" i="96"/>
  <c r="AC94" i="96" s="1"/>
  <c r="V94" i="96"/>
  <c r="W94" i="96" s="1"/>
  <c r="BD94" i="96"/>
  <c r="BE94" i="96" s="1"/>
  <c r="R94" i="96"/>
  <c r="T94" i="96" s="1"/>
  <c r="P94" i="96"/>
  <c r="BL94" i="96"/>
  <c r="AV94" i="96"/>
  <c r="AW94" i="96" s="1"/>
  <c r="AH94" i="96"/>
  <c r="AI94" i="96" s="1"/>
  <c r="BQ94" i="96"/>
  <c r="BR94" i="96" s="1"/>
  <c r="AN94" i="96"/>
  <c r="AO94" i="96" s="1"/>
  <c r="BN94" i="114"/>
  <c r="BO94" i="114" s="1"/>
  <c r="M94" i="114"/>
  <c r="BK94" i="114"/>
  <c r="BJ94" i="114"/>
  <c r="BL94" i="114" s="1"/>
  <c r="Y94" i="114"/>
  <c r="Z94" i="114" s="1"/>
  <c r="AT94" i="114"/>
  <c r="AQ94" i="114"/>
  <c r="AR94" i="114" s="1"/>
  <c r="AY94" i="114"/>
  <c r="AV94" i="114"/>
  <c r="AW94" i="114" s="1"/>
  <c r="BD94" i="114"/>
  <c r="BE94" i="114" s="1"/>
  <c r="BG94" i="114"/>
  <c r="BH94" i="114" s="1"/>
  <c r="AN94" i="114"/>
  <c r="AO94" i="114" s="1"/>
  <c r="AB94" i="114"/>
  <c r="AC94" i="114" s="1"/>
  <c r="O94" i="114"/>
  <c r="BA94" i="114"/>
  <c r="BB94" i="114" s="1"/>
  <c r="R94" i="114"/>
  <c r="T94" i="114" s="1"/>
  <c r="AH94" i="114"/>
  <c r="AI94" i="114" s="1"/>
  <c r="AK94" i="114"/>
  <c r="AL94" i="114" s="1"/>
  <c r="V94" i="114"/>
  <c r="W94" i="114" s="1"/>
  <c r="AE94" i="114"/>
  <c r="AF94" i="114" s="1"/>
  <c r="P94" i="114"/>
  <c r="BQ94" i="114"/>
  <c r="BR94" i="114" s="1"/>
  <c r="K95" i="114"/>
  <c r="I109" i="133"/>
  <c r="R95" i="64"/>
  <c r="T95" i="64" s="1"/>
  <c r="BQ95" i="64"/>
  <c r="BR95" i="64" s="1"/>
  <c r="AK95" i="64"/>
  <c r="AL95" i="64" s="1"/>
  <c r="M95" i="64"/>
  <c r="AE95" i="64"/>
  <c r="AF95" i="64" s="1"/>
  <c r="AH95" i="64"/>
  <c r="AI95" i="64" s="1"/>
  <c r="AB95" i="64"/>
  <c r="AC95" i="64" s="1"/>
  <c r="AY95" i="64"/>
  <c r="BD95" i="64"/>
  <c r="BE95" i="64" s="1"/>
  <c r="AQ95" i="64"/>
  <c r="AR95" i="64" s="1"/>
  <c r="AV95" i="64"/>
  <c r="AW95" i="64" s="1"/>
  <c r="BG95" i="64"/>
  <c r="BH95" i="64" s="1"/>
  <c r="Y95" i="64"/>
  <c r="Z95" i="64" s="1"/>
  <c r="BA95" i="64"/>
  <c r="BB95" i="64" s="1"/>
  <c r="AT95" i="64"/>
  <c r="P95" i="64"/>
  <c r="V95" i="64"/>
  <c r="W95" i="64" s="1"/>
  <c r="AN95" i="64"/>
  <c r="AO95" i="64" s="1"/>
  <c r="O95" i="64"/>
  <c r="BN95" i="64"/>
  <c r="BO95" i="64" s="1"/>
  <c r="BL95" i="64"/>
  <c r="K96" i="64"/>
  <c r="M94" i="115"/>
  <c r="BN94" i="115"/>
  <c r="BO94" i="115" s="1"/>
  <c r="BJ94" i="115"/>
  <c r="BL94" i="115" s="1"/>
  <c r="BK94" i="115"/>
  <c r="AQ94" i="115"/>
  <c r="AR94" i="115" s="1"/>
  <c r="AV94" i="115"/>
  <c r="AW94" i="115" s="1"/>
  <c r="V94" i="115"/>
  <c r="W94" i="115" s="1"/>
  <c r="AB94" i="115"/>
  <c r="AC94" i="115" s="1"/>
  <c r="AK94" i="115"/>
  <c r="AL94" i="115" s="1"/>
  <c r="AY94" i="115"/>
  <c r="BD94" i="115"/>
  <c r="BE94" i="115" s="1"/>
  <c r="O94" i="115"/>
  <c r="P94" i="115"/>
  <c r="BG94" i="115"/>
  <c r="BH94" i="115" s="1"/>
  <c r="BQ94" i="115"/>
  <c r="BR94" i="115" s="1"/>
  <c r="AT94" i="115"/>
  <c r="AE94" i="115"/>
  <c r="AF94" i="115" s="1"/>
  <c r="AH94" i="115"/>
  <c r="AI94" i="115" s="1"/>
  <c r="R94" i="115"/>
  <c r="T94" i="115" s="1"/>
  <c r="BA94" i="115"/>
  <c r="BB94" i="115" s="1"/>
  <c r="AN94" i="115"/>
  <c r="AO94" i="115" s="1"/>
  <c r="Y94" i="115"/>
  <c r="Z94" i="115" s="1"/>
  <c r="M95" i="135"/>
  <c r="V95" i="135"/>
  <c r="W95" i="135" s="1"/>
  <c r="BD95" i="135"/>
  <c r="BE95" i="135" s="1"/>
  <c r="P95" i="135"/>
  <c r="Y95" i="135"/>
  <c r="Z95" i="135" s="1"/>
  <c r="BA95" i="135"/>
  <c r="BB95" i="135" s="1"/>
  <c r="AK95" i="135"/>
  <c r="AL95" i="135" s="1"/>
  <c r="AY95" i="135"/>
  <c r="R95" i="135"/>
  <c r="T95" i="135" s="1"/>
  <c r="AT95" i="135"/>
  <c r="AE95" i="135"/>
  <c r="AF95" i="135" s="1"/>
  <c r="AH95" i="135"/>
  <c r="AI95" i="135" s="1"/>
  <c r="AQ95" i="135"/>
  <c r="AR95" i="135" s="1"/>
  <c r="AB95" i="135"/>
  <c r="AC95" i="135" s="1"/>
  <c r="BQ95" i="135"/>
  <c r="BR95" i="135" s="1"/>
  <c r="O95" i="135"/>
  <c r="AV95" i="135"/>
  <c r="AW95" i="135" s="1"/>
  <c r="AN95" i="135"/>
  <c r="AO95" i="135" s="1"/>
  <c r="BG95" i="135"/>
  <c r="BH95" i="135" s="1"/>
  <c r="BN95" i="135"/>
  <c r="BO95" i="135" s="1"/>
  <c r="BL95" i="135"/>
  <c r="I98" i="104"/>
  <c r="BL92" i="13"/>
  <c r="M92" i="13"/>
  <c r="BN92" i="13"/>
  <c r="BO92" i="13" s="1"/>
  <c r="AN92" i="13"/>
  <c r="AO92" i="13" s="1"/>
  <c r="AQ92" i="13"/>
  <c r="AR92" i="13" s="1"/>
  <c r="AE92" i="13"/>
  <c r="AF92" i="13" s="1"/>
  <c r="O92" i="13"/>
  <c r="AY92" i="13"/>
  <c r="AH92" i="13"/>
  <c r="AI92" i="13" s="1"/>
  <c r="AT92" i="13"/>
  <c r="AV92" i="13"/>
  <c r="AW92" i="13" s="1"/>
  <c r="BD92" i="13"/>
  <c r="BE92" i="13" s="1"/>
  <c r="Y92" i="13"/>
  <c r="Z92" i="13" s="1"/>
  <c r="AB92" i="13"/>
  <c r="AC92" i="13" s="1"/>
  <c r="P92" i="13"/>
  <c r="V92" i="13"/>
  <c r="W92" i="13" s="1"/>
  <c r="AK92" i="13"/>
  <c r="AL92" i="13" s="1"/>
  <c r="BA92" i="13"/>
  <c r="BB92" i="13" s="1"/>
  <c r="BQ92" i="13"/>
  <c r="BR92" i="13" s="1"/>
  <c r="BG92" i="13"/>
  <c r="BH92" i="13" s="1"/>
  <c r="R92" i="13"/>
  <c r="T92" i="13" s="1"/>
  <c r="K95" i="96"/>
  <c r="I96" i="96"/>
  <c r="I96" i="115"/>
  <c r="K95" i="115"/>
  <c r="I97" i="135"/>
  <c r="K96" i="135"/>
  <c r="M96" i="136"/>
  <c r="BN96" i="136"/>
  <c r="BO96" i="136" s="1"/>
  <c r="BL96" i="136"/>
  <c r="BD96" i="136"/>
  <c r="BE96" i="136" s="1"/>
  <c r="AY96" i="136"/>
  <c r="AB96" i="136"/>
  <c r="AC96" i="136" s="1"/>
  <c r="BA96" i="136"/>
  <c r="BB96" i="136" s="1"/>
  <c r="R96" i="136"/>
  <c r="T96" i="136" s="1"/>
  <c r="P96" i="136"/>
  <c r="AH96" i="136"/>
  <c r="AI96" i="136" s="1"/>
  <c r="BQ96" i="136"/>
  <c r="BR96" i="136" s="1"/>
  <c r="AV96" i="136"/>
  <c r="AW96" i="136" s="1"/>
  <c r="AQ96" i="136"/>
  <c r="AR96" i="136" s="1"/>
  <c r="AK96" i="136"/>
  <c r="AL96" i="136" s="1"/>
  <c r="AE96" i="136"/>
  <c r="AF96" i="136" s="1"/>
  <c r="V96" i="136"/>
  <c r="W96" i="136" s="1"/>
  <c r="BG96" i="136"/>
  <c r="BH96" i="136" s="1"/>
  <c r="AN96" i="136"/>
  <c r="AO96" i="136" s="1"/>
  <c r="O96" i="136"/>
  <c r="Y96" i="136"/>
  <c r="Z96" i="136" s="1"/>
  <c r="AT96" i="136"/>
  <c r="K97" i="136"/>
  <c r="I100" i="136"/>
  <c r="BN93" i="15"/>
  <c r="BO93" i="15" s="1"/>
  <c r="BL93" i="15"/>
  <c r="M93" i="15"/>
  <c r="AY93" i="15"/>
  <c r="AV93" i="15"/>
  <c r="AW93" i="15" s="1"/>
  <c r="AE93" i="15"/>
  <c r="AF93" i="15" s="1"/>
  <c r="AB93" i="15"/>
  <c r="AC93" i="15" s="1"/>
  <c r="BD93" i="15"/>
  <c r="BE93" i="15" s="1"/>
  <c r="O93" i="15"/>
  <c r="V93" i="15"/>
  <c r="W93" i="15" s="1"/>
  <c r="AQ93" i="15"/>
  <c r="AR93" i="15" s="1"/>
  <c r="AN93" i="15"/>
  <c r="AO93" i="15" s="1"/>
  <c r="P93" i="15"/>
  <c r="AT93" i="15"/>
  <c r="BA93" i="15"/>
  <c r="BB93" i="15" s="1"/>
  <c r="Y93" i="15"/>
  <c r="Z93" i="15" s="1"/>
  <c r="AH93" i="15"/>
  <c r="AI93" i="15" s="1"/>
  <c r="BQ93" i="15"/>
  <c r="BR93" i="15" s="1"/>
  <c r="R93" i="15"/>
  <c r="T93" i="15" s="1"/>
  <c r="AK93" i="15"/>
  <c r="AL93" i="15" s="1"/>
  <c r="BG93" i="15"/>
  <c r="BH93" i="15" s="1"/>
  <c r="K94" i="15"/>
  <c r="I101" i="132"/>
  <c r="AH92" i="120"/>
  <c r="AI92" i="120" s="1"/>
  <c r="BA92" i="120"/>
  <c r="BB92" i="120" s="1"/>
  <c r="P92" i="120"/>
  <c r="AB92" i="120"/>
  <c r="AC92" i="120" s="1"/>
  <c r="BD92" i="120"/>
  <c r="BE92" i="120" s="1"/>
  <c r="O92" i="120"/>
  <c r="V92" i="120"/>
  <c r="W92" i="120" s="1"/>
  <c r="Y92" i="120"/>
  <c r="Z92" i="120" s="1"/>
  <c r="BG92" i="120"/>
  <c r="BH92" i="120" s="1"/>
  <c r="AK92" i="120"/>
  <c r="AL92" i="120" s="1"/>
  <c r="AN92" i="120"/>
  <c r="AO92" i="120" s="1"/>
  <c r="BQ92" i="120"/>
  <c r="BR92" i="120" s="1"/>
  <c r="K93" i="120"/>
  <c r="AQ92" i="120"/>
  <c r="AR92" i="120" s="1"/>
  <c r="AY92" i="120"/>
  <c r="R92" i="120"/>
  <c r="T92" i="120" s="1"/>
  <c r="AV92" i="120"/>
  <c r="AW92" i="120" s="1"/>
  <c r="AE92" i="120"/>
  <c r="AF92" i="120" s="1"/>
  <c r="M92" i="120"/>
  <c r="AT92" i="120"/>
  <c r="BN92" i="120"/>
  <c r="BO92" i="120" s="1"/>
  <c r="I100" i="64"/>
  <c r="I94" i="13"/>
  <c r="K93" i="13"/>
  <c r="BD92" i="66"/>
  <c r="BE92" i="66" s="1"/>
  <c r="BG92" i="66"/>
  <c r="BH92" i="66" s="1"/>
  <c r="AN92" i="66"/>
  <c r="AO92" i="66" s="1"/>
  <c r="BA92" i="66"/>
  <c r="BB92" i="66" s="1"/>
  <c r="AY92" i="66"/>
  <c r="V92" i="66"/>
  <c r="W92" i="66" s="1"/>
  <c r="M92" i="66"/>
  <c r="BQ92" i="66"/>
  <c r="BR92" i="66" s="1"/>
  <c r="P92" i="66"/>
  <c r="BN92" i="66"/>
  <c r="BO92" i="66" s="1"/>
  <c r="R92" i="66"/>
  <c r="T92" i="66" s="1"/>
  <c r="AQ92" i="66"/>
  <c r="AR92" i="66" s="1"/>
  <c r="AV92" i="66"/>
  <c r="AW92" i="66" s="1"/>
  <c r="O92" i="66"/>
  <c r="AT92" i="66"/>
  <c r="AH92" i="66"/>
  <c r="AI92" i="66" s="1"/>
  <c r="AK92" i="66"/>
  <c r="AL92" i="66" s="1"/>
  <c r="AB92" i="66"/>
  <c r="AC92" i="66" s="1"/>
  <c r="AE92" i="66"/>
  <c r="AF92" i="66" s="1"/>
  <c r="Y92" i="66"/>
  <c r="Z92" i="66" s="1"/>
  <c r="BL92" i="66"/>
  <c r="I99" i="63"/>
  <c r="BJ94" i="110"/>
  <c r="BL94" i="110" s="1"/>
  <c r="M94" i="110"/>
  <c r="BN94" i="110"/>
  <c r="BO94" i="110" s="1"/>
  <c r="BK94" i="110"/>
  <c r="O94" i="110"/>
  <c r="BD94" i="110"/>
  <c r="BE94" i="110" s="1"/>
  <c r="Y94" i="110"/>
  <c r="Z94" i="110" s="1"/>
  <c r="R94" i="110"/>
  <c r="T94" i="110" s="1"/>
  <c r="P94" i="110"/>
  <c r="BA94" i="110"/>
  <c r="BB94" i="110" s="1"/>
  <c r="AY94" i="110"/>
  <c r="AK94" i="110"/>
  <c r="AL94" i="110" s="1"/>
  <c r="BG94" i="110"/>
  <c r="BH94" i="110" s="1"/>
  <c r="AV94" i="110"/>
  <c r="AW94" i="110" s="1"/>
  <c r="AB94" i="110"/>
  <c r="AC94" i="110" s="1"/>
  <c r="AE94" i="110"/>
  <c r="AF94" i="110" s="1"/>
  <c r="BQ94" i="110"/>
  <c r="BR94" i="110" s="1"/>
  <c r="AT94" i="110"/>
  <c r="AN94" i="110"/>
  <c r="AO94" i="110" s="1"/>
  <c r="V94" i="110"/>
  <c r="W94" i="110" s="1"/>
  <c r="AH94" i="110"/>
  <c r="AI94" i="110" s="1"/>
  <c r="AQ94" i="110"/>
  <c r="AR94" i="110" s="1"/>
  <c r="I98" i="15"/>
  <c r="BN92" i="17"/>
  <c r="BO92" i="17" s="1"/>
  <c r="M92" i="17"/>
  <c r="BL92" i="17"/>
  <c r="P92" i="17"/>
  <c r="BQ92" i="17"/>
  <c r="BR92" i="17" s="1"/>
  <c r="O92" i="17"/>
  <c r="AH92" i="17"/>
  <c r="AI92" i="17" s="1"/>
  <c r="AK92" i="17"/>
  <c r="AL92" i="17" s="1"/>
  <c r="AN92" i="17"/>
  <c r="AO92" i="17" s="1"/>
  <c r="AV92" i="17"/>
  <c r="AW92" i="17" s="1"/>
  <c r="BD92" i="17"/>
  <c r="BE92" i="17" s="1"/>
  <c r="Y92" i="17"/>
  <c r="Z92" i="17" s="1"/>
  <c r="R92" i="17"/>
  <c r="T92" i="17" s="1"/>
  <c r="BA92" i="17"/>
  <c r="BB92" i="17" s="1"/>
  <c r="AY92" i="17"/>
  <c r="AT92" i="17"/>
  <c r="AE92" i="17"/>
  <c r="AF92" i="17" s="1"/>
  <c r="BG92" i="17"/>
  <c r="BH92" i="17" s="1"/>
  <c r="AB92" i="17"/>
  <c r="AC92" i="17" s="1"/>
  <c r="V92" i="17"/>
  <c r="W92" i="17" s="1"/>
  <c r="AQ92" i="17"/>
  <c r="AR92" i="17" s="1"/>
  <c r="M94" i="126"/>
  <c r="BK94" i="126"/>
  <c r="BJ94" i="126"/>
  <c r="BL94" i="126" s="1"/>
  <c r="BN94" i="126"/>
  <c r="BO94" i="126" s="1"/>
  <c r="AB94" i="126"/>
  <c r="AC94" i="126" s="1"/>
  <c r="R94" i="126"/>
  <c r="T94" i="126" s="1"/>
  <c r="AE94" i="126"/>
  <c r="AF94" i="126" s="1"/>
  <c r="BD94" i="126"/>
  <c r="BE94" i="126" s="1"/>
  <c r="AN94" i="126"/>
  <c r="AO94" i="126" s="1"/>
  <c r="BA94" i="126"/>
  <c r="BB94" i="126" s="1"/>
  <c r="Y94" i="126"/>
  <c r="Z94" i="126" s="1"/>
  <c r="O94" i="126"/>
  <c r="AK94" i="126"/>
  <c r="AL94" i="126" s="1"/>
  <c r="AQ94" i="126"/>
  <c r="AR94" i="126" s="1"/>
  <c r="AH94" i="126"/>
  <c r="AI94" i="126" s="1"/>
  <c r="AV94" i="126"/>
  <c r="AW94" i="126" s="1"/>
  <c r="AY94" i="126"/>
  <c r="V94" i="126"/>
  <c r="W94" i="126" s="1"/>
  <c r="BQ94" i="126"/>
  <c r="BR94" i="126" s="1"/>
  <c r="P94" i="126"/>
  <c r="AT94" i="126"/>
  <c r="BG94" i="126"/>
  <c r="BH94" i="126" s="1"/>
  <c r="K95" i="126"/>
  <c r="BN98" i="124"/>
  <c r="BO98" i="124" s="1"/>
  <c r="M98" i="124"/>
  <c r="BK98" i="124"/>
  <c r="BJ98" i="124"/>
  <c r="BL98" i="124" s="1"/>
  <c r="K99" i="124"/>
  <c r="AE98" i="124"/>
  <c r="AF98" i="124" s="1"/>
  <c r="P98" i="124"/>
  <c r="AH98" i="124"/>
  <c r="AI98" i="124" s="1"/>
  <c r="R98" i="124"/>
  <c r="T98" i="124" s="1"/>
  <c r="BG98" i="124"/>
  <c r="BH98" i="124" s="1"/>
  <c r="O98" i="124"/>
  <c r="BQ98" i="124"/>
  <c r="BR98" i="124" s="1"/>
  <c r="AV98" i="124"/>
  <c r="AW98" i="124" s="1"/>
  <c r="BD98" i="124"/>
  <c r="BE98" i="124" s="1"/>
  <c r="AT98" i="124"/>
  <c r="BA98" i="124"/>
  <c r="BB98" i="124" s="1"/>
  <c r="AN98" i="124"/>
  <c r="AO98" i="124" s="1"/>
  <c r="AK98" i="124"/>
  <c r="AL98" i="124" s="1"/>
  <c r="V98" i="124"/>
  <c r="W98" i="124" s="1"/>
  <c r="AQ98" i="124"/>
  <c r="AR98" i="124" s="1"/>
  <c r="AY98" i="124"/>
  <c r="Y98" i="124"/>
  <c r="Z98" i="124" s="1"/>
  <c r="AB98" i="124"/>
  <c r="AC98" i="124" s="1"/>
  <c r="K95" i="98"/>
  <c r="BD94" i="98"/>
  <c r="BE94" i="98" s="1"/>
  <c r="R94" i="98"/>
  <c r="T94" i="98" s="1"/>
  <c r="BK94" i="98"/>
  <c r="BJ94" i="98"/>
  <c r="BL94" i="98" s="1"/>
  <c r="AV94" i="98"/>
  <c r="AW94" i="98" s="1"/>
  <c r="AE94" i="98"/>
  <c r="AF94" i="98" s="1"/>
  <c r="BN94" i="98"/>
  <c r="BO94" i="98" s="1"/>
  <c r="M94" i="98"/>
  <c r="AH94" i="98"/>
  <c r="AI94" i="98" s="1"/>
  <c r="O94" i="98"/>
  <c r="AY94" i="98"/>
  <c r="AT94" i="98"/>
  <c r="Y94" i="98"/>
  <c r="Z94" i="98" s="1"/>
  <c r="BA94" i="98"/>
  <c r="BB94" i="98" s="1"/>
  <c r="AB94" i="98"/>
  <c r="AC94" i="98" s="1"/>
  <c r="BG94" i="98"/>
  <c r="BH94" i="98" s="1"/>
  <c r="P94" i="98"/>
  <c r="V94" i="98"/>
  <c r="W94" i="98" s="1"/>
  <c r="AN94" i="98"/>
  <c r="AO94" i="98" s="1"/>
  <c r="AK94" i="98"/>
  <c r="AL94" i="98" s="1"/>
  <c r="AQ94" i="98"/>
  <c r="AR94" i="98" s="1"/>
  <c r="BQ94" i="98"/>
  <c r="BR94" i="98" s="1"/>
  <c r="M93" i="101"/>
  <c r="O93" i="101"/>
  <c r="AE93" i="101"/>
  <c r="AF93" i="101" s="1"/>
  <c r="AH93" i="101"/>
  <c r="AI93" i="101" s="1"/>
  <c r="AY93" i="101"/>
  <c r="AV93" i="101"/>
  <c r="AW93" i="101" s="1"/>
  <c r="AB93" i="101"/>
  <c r="AC93" i="101" s="1"/>
  <c r="Y93" i="101"/>
  <c r="Z93" i="101" s="1"/>
  <c r="AT93" i="101"/>
  <c r="AQ93" i="101"/>
  <c r="AR93" i="101" s="1"/>
  <c r="AN93" i="101"/>
  <c r="AO93" i="101" s="1"/>
  <c r="P93" i="101"/>
  <c r="AK93" i="101"/>
  <c r="AL93" i="101" s="1"/>
  <c r="BG93" i="101"/>
  <c r="BH93" i="101" s="1"/>
  <c r="BD93" i="101"/>
  <c r="BE93" i="101" s="1"/>
  <c r="BA93" i="101"/>
  <c r="BB93" i="101" s="1"/>
  <c r="V93" i="101"/>
  <c r="W93" i="101" s="1"/>
  <c r="BQ93" i="101"/>
  <c r="BR93" i="101" s="1"/>
  <c r="R93" i="101"/>
  <c r="T93" i="101" s="1"/>
  <c r="K93" i="66"/>
  <c r="I94" i="66"/>
  <c r="BJ96" i="105"/>
  <c r="BL96" i="105" s="1"/>
  <c r="M96" i="105"/>
  <c r="BN96" i="105"/>
  <c r="BO96" i="105" s="1"/>
  <c r="BK96" i="105"/>
  <c r="AT96" i="105"/>
  <c r="AN96" i="105"/>
  <c r="AO96" i="105" s="1"/>
  <c r="AV96" i="105"/>
  <c r="AW96" i="105" s="1"/>
  <c r="AK96" i="105"/>
  <c r="AL96" i="105" s="1"/>
  <c r="AQ96" i="105"/>
  <c r="AR96" i="105" s="1"/>
  <c r="BD96" i="105"/>
  <c r="BE96" i="105" s="1"/>
  <c r="BG96" i="105"/>
  <c r="BH96" i="105" s="1"/>
  <c r="R96" i="105"/>
  <c r="T96" i="105" s="1"/>
  <c r="V96" i="105"/>
  <c r="W96" i="105" s="1"/>
  <c r="AB96" i="105"/>
  <c r="AC96" i="105" s="1"/>
  <c r="AH96" i="105"/>
  <c r="AI96" i="105" s="1"/>
  <c r="BA96" i="105"/>
  <c r="BB96" i="105" s="1"/>
  <c r="AY96" i="105"/>
  <c r="BQ96" i="105"/>
  <c r="BR96" i="105" s="1"/>
  <c r="P96" i="105"/>
  <c r="O96" i="105"/>
  <c r="AE96" i="105"/>
  <c r="AF96" i="105" s="1"/>
  <c r="Y96" i="105"/>
  <c r="Z96" i="105" s="1"/>
  <c r="K97" i="105"/>
  <c r="I96" i="110"/>
  <c r="K95" i="110"/>
  <c r="I100" i="114"/>
  <c r="I101" i="105"/>
  <c r="I94" i="17"/>
  <c r="K93" i="17"/>
  <c r="I103" i="95"/>
  <c r="BQ96" i="132" l="1"/>
  <c r="BR96" i="132" s="1"/>
  <c r="BD96" i="132"/>
  <c r="BE96" i="132" s="1"/>
  <c r="P96" i="132"/>
  <c r="AE96" i="132"/>
  <c r="AF96" i="132" s="1"/>
  <c r="V96" i="132"/>
  <c r="W96" i="132" s="1"/>
  <c r="AQ96" i="132"/>
  <c r="AR96" i="132" s="1"/>
  <c r="AT96" i="132"/>
  <c r="AN96" i="132"/>
  <c r="AO96" i="132" s="1"/>
  <c r="O96" i="132"/>
  <c r="BG96" i="132"/>
  <c r="BH96" i="132" s="1"/>
  <c r="BA96" i="132"/>
  <c r="BB96" i="132" s="1"/>
  <c r="M96" i="132"/>
  <c r="AB96" i="132"/>
  <c r="AC96" i="132" s="1"/>
  <c r="BL96" i="132"/>
  <c r="AY96" i="132"/>
  <c r="AV96" i="132"/>
  <c r="AW96" i="132" s="1"/>
  <c r="AH96" i="132"/>
  <c r="AI96" i="132" s="1"/>
  <c r="Y96" i="132"/>
  <c r="Z96" i="132" s="1"/>
  <c r="R96" i="132"/>
  <c r="T96" i="132" s="1"/>
  <c r="BN96" i="132"/>
  <c r="BO96" i="132" s="1"/>
  <c r="AK96" i="132"/>
  <c r="AL96" i="132" s="1"/>
  <c r="K97" i="132"/>
  <c r="AH98" i="107"/>
  <c r="AI98" i="107" s="1"/>
  <c r="V98" i="107"/>
  <c r="W98" i="107" s="1"/>
  <c r="AB98" i="107"/>
  <c r="AC98" i="107" s="1"/>
  <c r="BQ98" i="107"/>
  <c r="BR98" i="107" s="1"/>
  <c r="AQ98" i="107"/>
  <c r="AR98" i="107" s="1"/>
  <c r="P98" i="107"/>
  <c r="Y98" i="107"/>
  <c r="Z98" i="107" s="1"/>
  <c r="BG98" i="107"/>
  <c r="BH98" i="107" s="1"/>
  <c r="AN98" i="107"/>
  <c r="AO98" i="107" s="1"/>
  <c r="BA98" i="107"/>
  <c r="BB98" i="107" s="1"/>
  <c r="BJ98" i="107"/>
  <c r="BL98" i="107" s="1"/>
  <c r="BK98" i="107"/>
  <c r="BD98" i="107"/>
  <c r="BE98" i="107" s="1"/>
  <c r="AK98" i="107"/>
  <c r="AL98" i="107" s="1"/>
  <c r="AY98" i="107"/>
  <c r="AE98" i="107"/>
  <c r="AF98" i="107" s="1"/>
  <c r="M98" i="107"/>
  <c r="AV98" i="107"/>
  <c r="AW98" i="107" s="1"/>
  <c r="R98" i="107"/>
  <c r="T98" i="107" s="1"/>
  <c r="O98" i="107"/>
  <c r="BN98" i="107"/>
  <c r="BO98" i="107" s="1"/>
  <c r="AT98" i="107"/>
  <c r="R96" i="99"/>
  <c r="T96" i="99" s="1"/>
  <c r="AK96" i="99"/>
  <c r="AL96" i="99" s="1"/>
  <c r="V96" i="99"/>
  <c r="W96" i="99" s="1"/>
  <c r="AB96" i="99"/>
  <c r="AC96" i="99" s="1"/>
  <c r="AT96" i="99"/>
  <c r="BJ96" i="99"/>
  <c r="BL96" i="99" s="1"/>
  <c r="AE96" i="99"/>
  <c r="AF96" i="99" s="1"/>
  <c r="AN96" i="99"/>
  <c r="AO96" i="99" s="1"/>
  <c r="BK96" i="99"/>
  <c r="M96" i="99"/>
  <c r="O96" i="99"/>
  <c r="BQ96" i="99"/>
  <c r="BR96" i="99" s="1"/>
  <c r="BG96" i="99"/>
  <c r="BH96" i="99" s="1"/>
  <c r="BD96" i="99"/>
  <c r="BE96" i="99" s="1"/>
  <c r="BN96" i="99"/>
  <c r="BO96" i="99" s="1"/>
  <c r="AV96" i="99"/>
  <c r="AW96" i="99" s="1"/>
  <c r="Y96" i="99"/>
  <c r="Z96" i="99" s="1"/>
  <c r="P96" i="99"/>
  <c r="K97" i="99"/>
  <c r="BA96" i="99"/>
  <c r="BB96" i="99" s="1"/>
  <c r="AQ96" i="99"/>
  <c r="AR96" i="99" s="1"/>
  <c r="AY96" i="99"/>
  <c r="AH96" i="99"/>
  <c r="AI96" i="99" s="1"/>
  <c r="I100" i="107"/>
  <c r="K99" i="107"/>
  <c r="I101" i="156"/>
  <c r="K100" i="156"/>
  <c r="AY100" i="156" s="1"/>
  <c r="AE95" i="129"/>
  <c r="AF95" i="129" s="1"/>
  <c r="P95" i="129"/>
  <c r="BD95" i="129"/>
  <c r="BE95" i="129" s="1"/>
  <c r="BN95" i="129"/>
  <c r="BO95" i="129" s="1"/>
  <c r="BA95" i="129"/>
  <c r="BB95" i="129" s="1"/>
  <c r="AQ95" i="129"/>
  <c r="AR95" i="129" s="1"/>
  <c r="O95" i="129"/>
  <c r="M95" i="129"/>
  <c r="AT95" i="129"/>
  <c r="AK95" i="129"/>
  <c r="AL95" i="129" s="1"/>
  <c r="AB95" i="129"/>
  <c r="AC95" i="129" s="1"/>
  <c r="K96" i="129"/>
  <c r="AH95" i="129"/>
  <c r="AI95" i="129" s="1"/>
  <c r="AN95" i="129"/>
  <c r="AO95" i="129" s="1"/>
  <c r="R95" i="129"/>
  <c r="T95" i="129" s="1"/>
  <c r="BG95" i="129"/>
  <c r="BH95" i="129" s="1"/>
  <c r="BQ95" i="129"/>
  <c r="BR95" i="129" s="1"/>
  <c r="AV95" i="129"/>
  <c r="AW95" i="129" s="1"/>
  <c r="BL95" i="129"/>
  <c r="AY95" i="129"/>
  <c r="Y95" i="129"/>
  <c r="Z95" i="129" s="1"/>
  <c r="V95" i="129"/>
  <c r="W95" i="129" s="1"/>
  <c r="M93" i="95"/>
  <c r="R93" i="95"/>
  <c r="T93" i="95" s="1"/>
  <c r="AN93" i="95"/>
  <c r="AO93" i="95" s="1"/>
  <c r="BD93" i="95"/>
  <c r="BE93" i="95" s="1"/>
  <c r="BN93" i="95"/>
  <c r="BO93" i="95" s="1"/>
  <c r="AB93" i="95"/>
  <c r="AC93" i="95" s="1"/>
  <c r="AE93" i="95"/>
  <c r="AF93" i="95" s="1"/>
  <c r="BQ93" i="95"/>
  <c r="BR93" i="95" s="1"/>
  <c r="V93" i="95"/>
  <c r="W93" i="95" s="1"/>
  <c r="Y93" i="95"/>
  <c r="Z93" i="95" s="1"/>
  <c r="AT93" i="95"/>
  <c r="K94" i="95"/>
  <c r="BL93" i="95"/>
  <c r="P93" i="95"/>
  <c r="AH93" i="95"/>
  <c r="AI93" i="95" s="1"/>
  <c r="BA93" i="95"/>
  <c r="BB93" i="95" s="1"/>
  <c r="AV93" i="95"/>
  <c r="AW93" i="95" s="1"/>
  <c r="AK93" i="95"/>
  <c r="AL93" i="95" s="1"/>
  <c r="AQ93" i="95"/>
  <c r="AR93" i="95" s="1"/>
  <c r="BG93" i="95"/>
  <c r="BH93" i="95" s="1"/>
  <c r="O93" i="95"/>
  <c r="K95" i="104"/>
  <c r="Y94" i="104"/>
  <c r="Z94" i="104" s="1"/>
  <c r="AB94" i="104"/>
  <c r="AC94" i="104" s="1"/>
  <c r="AT94" i="104"/>
  <c r="BK94" i="104"/>
  <c r="O94" i="104"/>
  <c r="BQ94" i="104"/>
  <c r="BR94" i="104" s="1"/>
  <c r="AH94" i="104"/>
  <c r="AI94" i="104" s="1"/>
  <c r="BJ94" i="104"/>
  <c r="BL94" i="104" s="1"/>
  <c r="AN94" i="104"/>
  <c r="AO94" i="104" s="1"/>
  <c r="R94" i="104"/>
  <c r="T94" i="104" s="1"/>
  <c r="P94" i="104"/>
  <c r="BN94" i="104"/>
  <c r="BO94" i="104" s="1"/>
  <c r="AY94" i="104"/>
  <c r="AK94" i="104"/>
  <c r="AL94" i="104" s="1"/>
  <c r="BA94" i="104"/>
  <c r="BB94" i="104" s="1"/>
  <c r="M94" i="104"/>
  <c r="AQ94" i="104"/>
  <c r="AR94" i="104" s="1"/>
  <c r="AE94" i="104"/>
  <c r="AF94" i="104" s="1"/>
  <c r="AV94" i="104"/>
  <c r="AW94" i="104" s="1"/>
  <c r="BG94" i="104"/>
  <c r="BH94" i="104" s="1"/>
  <c r="BD94" i="104"/>
  <c r="BE94" i="104" s="1"/>
  <c r="V94" i="104"/>
  <c r="W94" i="104" s="1"/>
  <c r="AY94" i="106"/>
  <c r="AT94" i="106"/>
  <c r="P94" i="106"/>
  <c r="M94" i="106"/>
  <c r="Y94" i="106"/>
  <c r="Z94" i="106" s="1"/>
  <c r="AN94" i="106"/>
  <c r="AO94" i="106" s="1"/>
  <c r="AV94" i="106"/>
  <c r="AW94" i="106" s="1"/>
  <c r="AH94" i="106"/>
  <c r="AI94" i="106" s="1"/>
  <c r="BK94" i="106"/>
  <c r="BQ94" i="106"/>
  <c r="BR94" i="106" s="1"/>
  <c r="V94" i="106"/>
  <c r="W94" i="106" s="1"/>
  <c r="AE94" i="106"/>
  <c r="AF94" i="106" s="1"/>
  <c r="R94" i="106"/>
  <c r="T94" i="106" s="1"/>
  <c r="BJ94" i="106"/>
  <c r="BL94" i="106" s="1"/>
  <c r="BD94" i="106"/>
  <c r="BE94" i="106" s="1"/>
  <c r="O94" i="106"/>
  <c r="AB94" i="106"/>
  <c r="AC94" i="106" s="1"/>
  <c r="BN94" i="106"/>
  <c r="BO94" i="106" s="1"/>
  <c r="AK94" i="106"/>
  <c r="AL94" i="106" s="1"/>
  <c r="BA94" i="106"/>
  <c r="BB94" i="106" s="1"/>
  <c r="BG94" i="106"/>
  <c r="BH94" i="106" s="1"/>
  <c r="AQ94" i="106"/>
  <c r="AR94" i="106" s="1"/>
  <c r="K95" i="106"/>
  <c r="I101" i="106"/>
  <c r="M94" i="112"/>
  <c r="AH94" i="112"/>
  <c r="AI94" i="112" s="1"/>
  <c r="R94" i="112"/>
  <c r="T94" i="112" s="1"/>
  <c r="BD94" i="112"/>
  <c r="BE94" i="112" s="1"/>
  <c r="AQ94" i="112"/>
  <c r="AR94" i="112" s="1"/>
  <c r="BA94" i="112"/>
  <c r="BB94" i="112" s="1"/>
  <c r="Y94" i="112"/>
  <c r="Z94" i="112" s="1"/>
  <c r="K95" i="112"/>
  <c r="AE94" i="112"/>
  <c r="AF94" i="112" s="1"/>
  <c r="AT94" i="112"/>
  <c r="AY94" i="112"/>
  <c r="BN94" i="112"/>
  <c r="BO94" i="112" s="1"/>
  <c r="AN94" i="112"/>
  <c r="AO94" i="112" s="1"/>
  <c r="BG94" i="112"/>
  <c r="BH94" i="112" s="1"/>
  <c r="V94" i="112"/>
  <c r="W94" i="112" s="1"/>
  <c r="BJ94" i="112"/>
  <c r="BL94" i="112" s="1"/>
  <c r="AB94" i="112"/>
  <c r="AC94" i="112" s="1"/>
  <c r="AK94" i="112"/>
  <c r="AL94" i="112" s="1"/>
  <c r="P94" i="112"/>
  <c r="BK94" i="112"/>
  <c r="AV94" i="112"/>
  <c r="AW94" i="112" s="1"/>
  <c r="BQ94" i="112"/>
  <c r="BR94" i="112" s="1"/>
  <c r="O94" i="112"/>
  <c r="AQ97" i="133"/>
  <c r="AR97" i="133" s="1"/>
  <c r="V97" i="133"/>
  <c r="W97" i="133" s="1"/>
  <c r="AV97" i="133"/>
  <c r="AW97" i="133" s="1"/>
  <c r="BA97" i="133"/>
  <c r="BB97" i="133" s="1"/>
  <c r="P97" i="133"/>
  <c r="AE97" i="133"/>
  <c r="AF97" i="133" s="1"/>
  <c r="BL97" i="133"/>
  <c r="AK97" i="133"/>
  <c r="AL97" i="133" s="1"/>
  <c r="Y97" i="133"/>
  <c r="Z97" i="133" s="1"/>
  <c r="O97" i="133"/>
  <c r="M97" i="133"/>
  <c r="BD97" i="133"/>
  <c r="BE97" i="133" s="1"/>
  <c r="AY97" i="133"/>
  <c r="AT97" i="133"/>
  <c r="BN97" i="133"/>
  <c r="BO97" i="133" s="1"/>
  <c r="AN97" i="133"/>
  <c r="AO97" i="133" s="1"/>
  <c r="R97" i="133"/>
  <c r="T97" i="133" s="1"/>
  <c r="BG97" i="133"/>
  <c r="BH97" i="133" s="1"/>
  <c r="BQ97" i="133"/>
  <c r="BR97" i="133" s="1"/>
  <c r="AH97" i="133"/>
  <c r="AI97" i="133" s="1"/>
  <c r="AB97" i="133"/>
  <c r="AC97" i="133" s="1"/>
  <c r="K98" i="133"/>
  <c r="AH99" i="156"/>
  <c r="AI99" i="156" s="1"/>
  <c r="BN99" i="156"/>
  <c r="BO99" i="156" s="1"/>
  <c r="AQ99" i="156"/>
  <c r="AR99" i="156" s="1"/>
  <c r="AN99" i="156"/>
  <c r="AO99" i="156" s="1"/>
  <c r="M99" i="156"/>
  <c r="BD99" i="156"/>
  <c r="BE99" i="156" s="1"/>
  <c r="BA99" i="156"/>
  <c r="BB99" i="156" s="1"/>
  <c r="R99" i="156"/>
  <c r="T99" i="156" s="1"/>
  <c r="O99" i="156"/>
  <c r="BG99" i="156"/>
  <c r="BH99" i="156" s="1"/>
  <c r="Y99" i="156"/>
  <c r="Z99" i="156" s="1"/>
  <c r="BQ99" i="156"/>
  <c r="BR99" i="156" s="1"/>
  <c r="V99" i="156"/>
  <c r="W99" i="156" s="1"/>
  <c r="P99" i="156"/>
  <c r="AE99" i="156"/>
  <c r="AF99" i="156" s="1"/>
  <c r="BL99" i="156"/>
  <c r="AB99" i="156"/>
  <c r="AC99" i="156" s="1"/>
  <c r="AV99" i="156"/>
  <c r="AW99" i="156" s="1"/>
  <c r="AK99" i="156"/>
  <c r="AL99" i="156" s="1"/>
  <c r="BN95" i="130"/>
  <c r="BO95" i="130" s="1"/>
  <c r="M95" i="130"/>
  <c r="K96" i="130"/>
  <c r="BL95" i="130"/>
  <c r="AE95" i="130"/>
  <c r="AF95" i="130" s="1"/>
  <c r="Y95" i="130"/>
  <c r="Z95" i="130" s="1"/>
  <c r="BD95" i="130"/>
  <c r="BE95" i="130" s="1"/>
  <c r="AQ95" i="130"/>
  <c r="AR95" i="130" s="1"/>
  <c r="AT95" i="130"/>
  <c r="V95" i="130"/>
  <c r="W95" i="130" s="1"/>
  <c r="BG95" i="130"/>
  <c r="BH95" i="130" s="1"/>
  <c r="AH95" i="130"/>
  <c r="AI95" i="130" s="1"/>
  <c r="AN95" i="130"/>
  <c r="AO95" i="130" s="1"/>
  <c r="BA95" i="130"/>
  <c r="BB95" i="130" s="1"/>
  <c r="AK95" i="130"/>
  <c r="AL95" i="130" s="1"/>
  <c r="BQ95" i="130"/>
  <c r="BR95" i="130" s="1"/>
  <c r="AV95" i="130"/>
  <c r="AW95" i="130" s="1"/>
  <c r="AY95" i="130"/>
  <c r="O95" i="130"/>
  <c r="P95" i="130"/>
  <c r="AB95" i="130"/>
  <c r="AC95" i="130" s="1"/>
  <c r="R95" i="130"/>
  <c r="T95" i="130" s="1"/>
  <c r="M100" i="155"/>
  <c r="BQ100" i="155"/>
  <c r="BR100" i="155" s="1"/>
  <c r="O100" i="155"/>
  <c r="V100" i="155"/>
  <c r="W100" i="155" s="1"/>
  <c r="AB100" i="155"/>
  <c r="AC100" i="155" s="1"/>
  <c r="AH100" i="155"/>
  <c r="AI100" i="155" s="1"/>
  <c r="AN100" i="155"/>
  <c r="AO100" i="155" s="1"/>
  <c r="BA100" i="155"/>
  <c r="BB100" i="155" s="1"/>
  <c r="BG100" i="155"/>
  <c r="BH100" i="155" s="1"/>
  <c r="BL100" i="155"/>
  <c r="P100" i="155"/>
  <c r="AV100" i="155"/>
  <c r="AW100" i="155" s="1"/>
  <c r="BN100" i="155"/>
  <c r="BO100" i="155" s="1"/>
  <c r="R100" i="155"/>
  <c r="T100" i="155" s="1"/>
  <c r="Y100" i="155"/>
  <c r="Z100" i="155" s="1"/>
  <c r="AE100" i="155"/>
  <c r="AF100" i="155" s="1"/>
  <c r="AK100" i="155"/>
  <c r="AL100" i="155" s="1"/>
  <c r="AQ100" i="155"/>
  <c r="AR100" i="155" s="1"/>
  <c r="BD100" i="155"/>
  <c r="BE100" i="155" s="1"/>
  <c r="I102" i="155"/>
  <c r="K101" i="155"/>
  <c r="I105" i="153"/>
  <c r="M100" i="153"/>
  <c r="O100" i="153"/>
  <c r="V100" i="153"/>
  <c r="W100" i="153" s="1"/>
  <c r="AB100" i="153"/>
  <c r="AC100" i="153" s="1"/>
  <c r="AH100" i="153"/>
  <c r="AI100" i="153" s="1"/>
  <c r="AN100" i="153"/>
  <c r="AO100" i="153" s="1"/>
  <c r="BA100" i="153"/>
  <c r="BB100" i="153" s="1"/>
  <c r="BG100" i="153"/>
  <c r="BH100" i="153" s="1"/>
  <c r="P100" i="153"/>
  <c r="AV100" i="153"/>
  <c r="AW100" i="153" s="1"/>
  <c r="BN100" i="153"/>
  <c r="BO100" i="153" s="1"/>
  <c r="R100" i="153"/>
  <c r="T100" i="153" s="1"/>
  <c r="AQ100" i="153"/>
  <c r="AR100" i="153" s="1"/>
  <c r="Y100" i="153"/>
  <c r="Z100" i="153" s="1"/>
  <c r="AE100" i="153"/>
  <c r="AF100" i="153" s="1"/>
  <c r="BD100" i="153"/>
  <c r="BE100" i="153" s="1"/>
  <c r="BQ100" i="153"/>
  <c r="BR100" i="153" s="1"/>
  <c r="AK100" i="153"/>
  <c r="AL100" i="153" s="1"/>
  <c r="BL100" i="153"/>
  <c r="K101" i="153"/>
  <c r="I109" i="152"/>
  <c r="O100" i="152"/>
  <c r="V100" i="152"/>
  <c r="W100" i="152" s="1"/>
  <c r="AB100" i="152"/>
  <c r="AC100" i="152" s="1"/>
  <c r="AH100" i="152"/>
  <c r="AI100" i="152" s="1"/>
  <c r="AN100" i="152"/>
  <c r="AO100" i="152" s="1"/>
  <c r="BA100" i="152"/>
  <c r="BB100" i="152" s="1"/>
  <c r="BG100" i="152"/>
  <c r="BH100" i="152" s="1"/>
  <c r="P100" i="152"/>
  <c r="AV100" i="152"/>
  <c r="AW100" i="152" s="1"/>
  <c r="BN100" i="152"/>
  <c r="BO100" i="152" s="1"/>
  <c r="M100" i="152"/>
  <c r="R100" i="152"/>
  <c r="T100" i="152" s="1"/>
  <c r="AE100" i="152"/>
  <c r="AF100" i="152" s="1"/>
  <c r="AQ100" i="152"/>
  <c r="AR100" i="152" s="1"/>
  <c r="BD100" i="152"/>
  <c r="BE100" i="152" s="1"/>
  <c r="BQ100" i="152"/>
  <c r="BR100" i="152" s="1"/>
  <c r="Y100" i="152"/>
  <c r="Z100" i="152" s="1"/>
  <c r="AK100" i="152"/>
  <c r="AL100" i="152" s="1"/>
  <c r="BL100" i="152"/>
  <c r="K101" i="152"/>
  <c r="BG98" i="151"/>
  <c r="BH98" i="151" s="1"/>
  <c r="BA98" i="151"/>
  <c r="BB98" i="151" s="1"/>
  <c r="AT98" i="151"/>
  <c r="AN98" i="151"/>
  <c r="AO98" i="151" s="1"/>
  <c r="AH98" i="151"/>
  <c r="AI98" i="151" s="1"/>
  <c r="AB98" i="151"/>
  <c r="AC98" i="151" s="1"/>
  <c r="V98" i="151"/>
  <c r="W98" i="151" s="1"/>
  <c r="O98" i="151"/>
  <c r="BQ98" i="151"/>
  <c r="BR98" i="151" s="1"/>
  <c r="AY98" i="151"/>
  <c r="BD98" i="151"/>
  <c r="BE98" i="151" s="1"/>
  <c r="AQ98" i="151"/>
  <c r="AR98" i="151" s="1"/>
  <c r="AK98" i="151"/>
  <c r="AL98" i="151" s="1"/>
  <c r="AE98" i="151"/>
  <c r="AF98" i="151" s="1"/>
  <c r="Y98" i="151"/>
  <c r="Z98" i="151" s="1"/>
  <c r="R98" i="151"/>
  <c r="T98" i="151" s="1"/>
  <c r="AV98" i="151"/>
  <c r="AW98" i="151" s="1"/>
  <c r="P98" i="151"/>
  <c r="M98" i="151"/>
  <c r="BN98" i="151"/>
  <c r="BO98" i="151" s="1"/>
  <c r="BL98" i="151"/>
  <c r="K99" i="151"/>
  <c r="I100" i="151"/>
  <c r="BQ97" i="150"/>
  <c r="BR97" i="150" s="1"/>
  <c r="AY97" i="150"/>
  <c r="BD97" i="150"/>
  <c r="BE97" i="150" s="1"/>
  <c r="AQ97" i="150"/>
  <c r="AR97" i="150" s="1"/>
  <c r="AK97" i="150"/>
  <c r="AL97" i="150" s="1"/>
  <c r="AE97" i="150"/>
  <c r="AF97" i="150" s="1"/>
  <c r="Y97" i="150"/>
  <c r="Z97" i="150" s="1"/>
  <c r="R97" i="150"/>
  <c r="T97" i="150" s="1"/>
  <c r="AV97" i="150"/>
  <c r="AW97" i="150" s="1"/>
  <c r="P97" i="150"/>
  <c r="AT97" i="150"/>
  <c r="V97" i="150"/>
  <c r="W97" i="150" s="1"/>
  <c r="AN97" i="150"/>
  <c r="AO97" i="150" s="1"/>
  <c r="O97" i="150"/>
  <c r="BG97" i="150"/>
  <c r="BH97" i="150" s="1"/>
  <c r="AH97" i="150"/>
  <c r="AI97" i="150" s="1"/>
  <c r="BA97" i="150"/>
  <c r="BB97" i="150" s="1"/>
  <c r="AB97" i="150"/>
  <c r="AC97" i="150" s="1"/>
  <c r="BN97" i="150"/>
  <c r="BO97" i="150" s="1"/>
  <c r="M97" i="150"/>
  <c r="BL97" i="150"/>
  <c r="K98" i="150"/>
  <c r="I101" i="150"/>
  <c r="BQ99" i="149"/>
  <c r="BR99" i="149" s="1"/>
  <c r="AY99" i="149"/>
  <c r="AT99" i="149"/>
  <c r="AK99" i="149"/>
  <c r="AL99" i="149" s="1"/>
  <c r="P99" i="149"/>
  <c r="BA99" i="149"/>
  <c r="BB99" i="149" s="1"/>
  <c r="AQ99" i="149"/>
  <c r="AR99" i="149" s="1"/>
  <c r="AB99" i="149"/>
  <c r="AC99" i="149" s="1"/>
  <c r="V99" i="149"/>
  <c r="W99" i="149" s="1"/>
  <c r="O99" i="149"/>
  <c r="BD99" i="149"/>
  <c r="BE99" i="149" s="1"/>
  <c r="AN99" i="149"/>
  <c r="AO99" i="149" s="1"/>
  <c r="Y99" i="149"/>
  <c r="Z99" i="149" s="1"/>
  <c r="AH99" i="149"/>
  <c r="AI99" i="149" s="1"/>
  <c r="AV99" i="149"/>
  <c r="AW99" i="149" s="1"/>
  <c r="AE99" i="149"/>
  <c r="AF99" i="149" s="1"/>
  <c r="R99" i="149"/>
  <c r="T99" i="149" s="1"/>
  <c r="BG99" i="149"/>
  <c r="BH99" i="149" s="1"/>
  <c r="M99" i="149"/>
  <c r="BN99" i="149"/>
  <c r="BO99" i="149" s="1"/>
  <c r="BL99" i="149"/>
  <c r="I101" i="149"/>
  <c r="K100" i="149"/>
  <c r="BD98" i="147"/>
  <c r="BE98" i="147" s="1"/>
  <c r="AQ98" i="147"/>
  <c r="AR98" i="147" s="1"/>
  <c r="AK98" i="147"/>
  <c r="AL98" i="147" s="1"/>
  <c r="AE98" i="147"/>
  <c r="AF98" i="147" s="1"/>
  <c r="Y98" i="147"/>
  <c r="Z98" i="147" s="1"/>
  <c r="R98" i="147"/>
  <c r="T98" i="147" s="1"/>
  <c r="AT98" i="147"/>
  <c r="V98" i="147"/>
  <c r="W98" i="147" s="1"/>
  <c r="BQ98" i="147"/>
  <c r="BR98" i="147" s="1"/>
  <c r="BA98" i="147"/>
  <c r="BB98" i="147" s="1"/>
  <c r="AB98" i="147"/>
  <c r="AC98" i="147" s="1"/>
  <c r="AY98" i="147"/>
  <c r="AH98" i="147"/>
  <c r="AI98" i="147" s="1"/>
  <c r="P98" i="147"/>
  <c r="AV98" i="147"/>
  <c r="AW98" i="147" s="1"/>
  <c r="O98" i="147"/>
  <c r="BG98" i="147"/>
  <c r="BH98" i="147" s="1"/>
  <c r="AN98" i="147"/>
  <c r="AO98" i="147" s="1"/>
  <c r="BJ98" i="147"/>
  <c r="BL98" i="147" s="1"/>
  <c r="BK98" i="147"/>
  <c r="BN98" i="147"/>
  <c r="BO98" i="147" s="1"/>
  <c r="M98" i="147"/>
  <c r="I100" i="147"/>
  <c r="K99" i="147"/>
  <c r="BQ97" i="146"/>
  <c r="BR97" i="146" s="1"/>
  <c r="AY97" i="146"/>
  <c r="AV97" i="146"/>
  <c r="AW97" i="146" s="1"/>
  <c r="AK97" i="146"/>
  <c r="AL97" i="146" s="1"/>
  <c r="Y97" i="146"/>
  <c r="Z97" i="146" s="1"/>
  <c r="P97" i="146"/>
  <c r="BG97" i="146"/>
  <c r="BH97" i="146" s="1"/>
  <c r="AT97" i="146"/>
  <c r="AH97" i="146"/>
  <c r="AI97" i="146" s="1"/>
  <c r="V97" i="146"/>
  <c r="W97" i="146" s="1"/>
  <c r="O97" i="146"/>
  <c r="BD97" i="146"/>
  <c r="BE97" i="146" s="1"/>
  <c r="AQ97" i="146"/>
  <c r="AR97" i="146" s="1"/>
  <c r="AE97" i="146"/>
  <c r="AF97" i="146" s="1"/>
  <c r="BA97" i="146"/>
  <c r="BB97" i="146" s="1"/>
  <c r="AN97" i="146"/>
  <c r="AO97" i="146" s="1"/>
  <c r="AB97" i="146"/>
  <c r="AC97" i="146" s="1"/>
  <c r="R97" i="146"/>
  <c r="T97" i="146" s="1"/>
  <c r="M97" i="146"/>
  <c r="BK97" i="146"/>
  <c r="BJ97" i="146"/>
  <c r="BL97" i="146" s="1"/>
  <c r="BN97" i="146"/>
  <c r="BO97" i="146" s="1"/>
  <c r="I99" i="146"/>
  <c r="K98" i="146"/>
  <c r="I104" i="95"/>
  <c r="M97" i="105"/>
  <c r="BN97" i="105"/>
  <c r="BO97" i="105" s="1"/>
  <c r="BJ97" i="105"/>
  <c r="BL97" i="105" s="1"/>
  <c r="BK97" i="105"/>
  <c r="AN97" i="105"/>
  <c r="AO97" i="105" s="1"/>
  <c r="BQ97" i="105"/>
  <c r="BR97" i="105" s="1"/>
  <c r="O97" i="105"/>
  <c r="BD97" i="105"/>
  <c r="BE97" i="105" s="1"/>
  <c r="AB97" i="105"/>
  <c r="AC97" i="105" s="1"/>
  <c r="R97" i="105"/>
  <c r="T97" i="105" s="1"/>
  <c r="AK97" i="105"/>
  <c r="AL97" i="105" s="1"/>
  <c r="AE97" i="105"/>
  <c r="AF97" i="105" s="1"/>
  <c r="Y97" i="105"/>
  <c r="Z97" i="105" s="1"/>
  <c r="AQ97" i="105"/>
  <c r="AR97" i="105" s="1"/>
  <c r="BG97" i="105"/>
  <c r="BH97" i="105" s="1"/>
  <c r="AH97" i="105"/>
  <c r="AI97" i="105" s="1"/>
  <c r="BA97" i="105"/>
  <c r="BB97" i="105" s="1"/>
  <c r="P97" i="105"/>
  <c r="AT97" i="105"/>
  <c r="V97" i="105"/>
  <c r="W97" i="105" s="1"/>
  <c r="AY97" i="105"/>
  <c r="AV97" i="105"/>
  <c r="AW97" i="105" s="1"/>
  <c r="K98" i="105"/>
  <c r="AV93" i="66"/>
  <c r="AW93" i="66" s="1"/>
  <c r="AH93" i="66"/>
  <c r="AI93" i="66" s="1"/>
  <c r="AK93" i="66"/>
  <c r="AL93" i="66" s="1"/>
  <c r="O93" i="66"/>
  <c r="AT93" i="66"/>
  <c r="V93" i="66"/>
  <c r="W93" i="66" s="1"/>
  <c r="AQ93" i="66"/>
  <c r="AR93" i="66" s="1"/>
  <c r="AB93" i="66"/>
  <c r="AC93" i="66" s="1"/>
  <c r="R93" i="66"/>
  <c r="T93" i="66" s="1"/>
  <c r="Y93" i="66"/>
  <c r="Z93" i="66" s="1"/>
  <c r="BD93" i="66"/>
  <c r="BE93" i="66" s="1"/>
  <c r="BG93" i="66"/>
  <c r="BH93" i="66" s="1"/>
  <c r="AN93" i="66"/>
  <c r="AO93" i="66" s="1"/>
  <c r="BA93" i="66"/>
  <c r="BB93" i="66" s="1"/>
  <c r="AY93" i="66"/>
  <c r="AE93" i="66"/>
  <c r="AF93" i="66" s="1"/>
  <c r="M93" i="66"/>
  <c r="BQ93" i="66"/>
  <c r="BR93" i="66" s="1"/>
  <c r="P93" i="66"/>
  <c r="BN93" i="66"/>
  <c r="BO93" i="66" s="1"/>
  <c r="BL93" i="66"/>
  <c r="I100" i="63"/>
  <c r="I102" i="132"/>
  <c r="I101" i="136"/>
  <c r="I98" i="135"/>
  <c r="K97" i="135"/>
  <c r="BD95" i="96"/>
  <c r="BE95" i="96" s="1"/>
  <c r="Y95" i="96"/>
  <c r="Z95" i="96" s="1"/>
  <c r="V95" i="96"/>
  <c r="W95" i="96" s="1"/>
  <c r="O95" i="96"/>
  <c r="AT95" i="96"/>
  <c r="BA95" i="96"/>
  <c r="BB95" i="96" s="1"/>
  <c r="AV95" i="96"/>
  <c r="AW95" i="96" s="1"/>
  <c r="M95" i="96"/>
  <c r="AK95" i="96"/>
  <c r="AL95" i="96" s="1"/>
  <c r="AN95" i="96"/>
  <c r="AO95" i="96" s="1"/>
  <c r="BN95" i="96"/>
  <c r="BO95" i="96" s="1"/>
  <c r="P95" i="96"/>
  <c r="AB95" i="96"/>
  <c r="AC95" i="96" s="1"/>
  <c r="BQ95" i="96"/>
  <c r="BR95" i="96" s="1"/>
  <c r="AE95" i="96"/>
  <c r="AF95" i="96" s="1"/>
  <c r="AQ95" i="96"/>
  <c r="AR95" i="96" s="1"/>
  <c r="R95" i="96"/>
  <c r="T95" i="96" s="1"/>
  <c r="BG95" i="96"/>
  <c r="BH95" i="96" s="1"/>
  <c r="AH95" i="96"/>
  <c r="AI95" i="96" s="1"/>
  <c r="BL95" i="96"/>
  <c r="I100" i="126"/>
  <c r="I101" i="114"/>
  <c r="I101" i="64"/>
  <c r="BL94" i="15"/>
  <c r="M94" i="15"/>
  <c r="BN94" i="15"/>
  <c r="BO94" i="15" s="1"/>
  <c r="AE94" i="15"/>
  <c r="AF94" i="15" s="1"/>
  <c r="AV94" i="15"/>
  <c r="AW94" i="15" s="1"/>
  <c r="AY94" i="15"/>
  <c r="BA94" i="15"/>
  <c r="BB94" i="15" s="1"/>
  <c r="AQ94" i="15"/>
  <c r="AR94" i="15" s="1"/>
  <c r="AB94" i="15"/>
  <c r="AC94" i="15" s="1"/>
  <c r="BD94" i="15"/>
  <c r="BE94" i="15" s="1"/>
  <c r="R94" i="15"/>
  <c r="T94" i="15" s="1"/>
  <c r="P94" i="15"/>
  <c r="V94" i="15"/>
  <c r="W94" i="15" s="1"/>
  <c r="BG94" i="15"/>
  <c r="BH94" i="15" s="1"/>
  <c r="AK94" i="15"/>
  <c r="AL94" i="15" s="1"/>
  <c r="BQ94" i="15"/>
  <c r="BR94" i="15" s="1"/>
  <c r="AH94" i="15"/>
  <c r="AI94" i="15" s="1"/>
  <c r="Y94" i="15"/>
  <c r="Z94" i="15" s="1"/>
  <c r="AT94" i="15"/>
  <c r="AN94" i="15"/>
  <c r="AO94" i="15" s="1"/>
  <c r="O94" i="15"/>
  <c r="K95" i="15"/>
  <c r="BN97" i="136"/>
  <c r="BO97" i="136" s="1"/>
  <c r="M97" i="136"/>
  <c r="BL97" i="136"/>
  <c r="BQ97" i="136"/>
  <c r="BR97" i="136" s="1"/>
  <c r="AV97" i="136"/>
  <c r="AW97" i="136" s="1"/>
  <c r="BD97" i="136"/>
  <c r="BE97" i="136" s="1"/>
  <c r="AH97" i="136"/>
  <c r="AI97" i="136" s="1"/>
  <c r="O97" i="136"/>
  <c r="BG97" i="136"/>
  <c r="BH97" i="136" s="1"/>
  <c r="V97" i="136"/>
  <c r="W97" i="136" s="1"/>
  <c r="R97" i="136"/>
  <c r="T97" i="136" s="1"/>
  <c r="AY97" i="136"/>
  <c r="AT97" i="136"/>
  <c r="P97" i="136"/>
  <c r="Y97" i="136"/>
  <c r="Z97" i="136" s="1"/>
  <c r="AK97" i="136"/>
  <c r="AL97" i="136" s="1"/>
  <c r="AQ97" i="136"/>
  <c r="AR97" i="136" s="1"/>
  <c r="BA97" i="136"/>
  <c r="BB97" i="136" s="1"/>
  <c r="AE97" i="136"/>
  <c r="AF97" i="136" s="1"/>
  <c r="AN97" i="136"/>
  <c r="AO97" i="136" s="1"/>
  <c r="AB97" i="136"/>
  <c r="AC97" i="136" s="1"/>
  <c r="K98" i="136"/>
  <c r="M95" i="115"/>
  <c r="O95" i="115"/>
  <c r="BK95" i="115"/>
  <c r="BJ95" i="115"/>
  <c r="BL95" i="115" s="1"/>
  <c r="BN95" i="115"/>
  <c r="BO95" i="115" s="1"/>
  <c r="AK95" i="115"/>
  <c r="AL95" i="115" s="1"/>
  <c r="AE95" i="115"/>
  <c r="AF95" i="115" s="1"/>
  <c r="V95" i="115"/>
  <c r="W95" i="115" s="1"/>
  <c r="AN95" i="115"/>
  <c r="AO95" i="115" s="1"/>
  <c r="AY95" i="115"/>
  <c r="BD95" i="115"/>
  <c r="BE95" i="115" s="1"/>
  <c r="AT95" i="115"/>
  <c r="AV95" i="115"/>
  <c r="AW95" i="115" s="1"/>
  <c r="AB95" i="115"/>
  <c r="AC95" i="115" s="1"/>
  <c r="R95" i="115"/>
  <c r="T95" i="115" s="1"/>
  <c r="BA95" i="115"/>
  <c r="BB95" i="115" s="1"/>
  <c r="AH95" i="115"/>
  <c r="AI95" i="115" s="1"/>
  <c r="AQ95" i="115"/>
  <c r="AR95" i="115" s="1"/>
  <c r="P95" i="115"/>
  <c r="Y95" i="115"/>
  <c r="Z95" i="115" s="1"/>
  <c r="BG95" i="115"/>
  <c r="BH95" i="115" s="1"/>
  <c r="BQ95" i="115"/>
  <c r="BR95" i="115" s="1"/>
  <c r="BN93" i="17"/>
  <c r="BO93" i="17" s="1"/>
  <c r="R93" i="17"/>
  <c r="T93" i="17" s="1"/>
  <c r="BA93" i="17"/>
  <c r="BB93" i="17" s="1"/>
  <c r="BD93" i="17"/>
  <c r="BE93" i="17" s="1"/>
  <c r="M93" i="17"/>
  <c r="AT93" i="17"/>
  <c r="Y93" i="17"/>
  <c r="Z93" i="17" s="1"/>
  <c r="BL93" i="17"/>
  <c r="AY93" i="17"/>
  <c r="BQ93" i="17"/>
  <c r="BR93" i="17" s="1"/>
  <c r="AK93" i="17"/>
  <c r="AL93" i="17" s="1"/>
  <c r="AN93" i="17"/>
  <c r="AO93" i="17" s="1"/>
  <c r="AB93" i="17"/>
  <c r="AC93" i="17" s="1"/>
  <c r="P93" i="17"/>
  <c r="AH93" i="17"/>
  <c r="AI93" i="17" s="1"/>
  <c r="AE93" i="17"/>
  <c r="AF93" i="17" s="1"/>
  <c r="AV93" i="17"/>
  <c r="AW93" i="17" s="1"/>
  <c r="AQ93" i="17"/>
  <c r="AR93" i="17" s="1"/>
  <c r="O93" i="17"/>
  <c r="V93" i="17"/>
  <c r="W93" i="17" s="1"/>
  <c r="BG93" i="17"/>
  <c r="BH93" i="17" s="1"/>
  <c r="I102" i="105"/>
  <c r="M95" i="110"/>
  <c r="BK95" i="110"/>
  <c r="BN95" i="110"/>
  <c r="BO95" i="110" s="1"/>
  <c r="BJ95" i="110"/>
  <c r="BL95" i="110" s="1"/>
  <c r="P95" i="110"/>
  <c r="AQ95" i="110"/>
  <c r="AR95" i="110" s="1"/>
  <c r="AT95" i="110"/>
  <c r="AH95" i="110"/>
  <c r="AI95" i="110" s="1"/>
  <c r="AN95" i="110"/>
  <c r="AO95" i="110" s="1"/>
  <c r="BQ95" i="110"/>
  <c r="BR95" i="110" s="1"/>
  <c r="AB95" i="110"/>
  <c r="AC95" i="110" s="1"/>
  <c r="AE95" i="110"/>
  <c r="AF95" i="110" s="1"/>
  <c r="BG95" i="110"/>
  <c r="BH95" i="110" s="1"/>
  <c r="V95" i="110"/>
  <c r="W95" i="110" s="1"/>
  <c r="AV95" i="110"/>
  <c r="AW95" i="110" s="1"/>
  <c r="R95" i="110"/>
  <c r="T95" i="110" s="1"/>
  <c r="BA95" i="110"/>
  <c r="BB95" i="110" s="1"/>
  <c r="O95" i="110"/>
  <c r="AK95" i="110"/>
  <c r="AL95" i="110" s="1"/>
  <c r="BD95" i="110"/>
  <c r="BE95" i="110" s="1"/>
  <c r="Y95" i="110"/>
  <c r="Z95" i="110" s="1"/>
  <c r="AY95" i="110"/>
  <c r="K96" i="98"/>
  <c r="BA95" i="98"/>
  <c r="BB95" i="98" s="1"/>
  <c r="BG95" i="98"/>
  <c r="BH95" i="98" s="1"/>
  <c r="BJ95" i="98"/>
  <c r="BL95" i="98" s="1"/>
  <c r="AV95" i="98"/>
  <c r="AW95" i="98" s="1"/>
  <c r="BD95" i="98"/>
  <c r="BE95" i="98" s="1"/>
  <c r="AB95" i="98"/>
  <c r="AC95" i="98" s="1"/>
  <c r="M95" i="98"/>
  <c r="BK95" i="98"/>
  <c r="BN95" i="98"/>
  <c r="BO95" i="98" s="1"/>
  <c r="AN95" i="98"/>
  <c r="AO95" i="98" s="1"/>
  <c r="Y95" i="98"/>
  <c r="Z95" i="98" s="1"/>
  <c r="O95" i="98"/>
  <c r="V95" i="98"/>
  <c r="W95" i="98" s="1"/>
  <c r="P95" i="98"/>
  <c r="AK95" i="98"/>
  <c r="AL95" i="98" s="1"/>
  <c r="R95" i="98"/>
  <c r="T95" i="98" s="1"/>
  <c r="BQ95" i="98"/>
  <c r="BR95" i="98" s="1"/>
  <c r="AT95" i="98"/>
  <c r="AY95" i="98"/>
  <c r="AQ95" i="98"/>
  <c r="AR95" i="98" s="1"/>
  <c r="AE95" i="98"/>
  <c r="AF95" i="98" s="1"/>
  <c r="AH95" i="98"/>
  <c r="AI95" i="98" s="1"/>
  <c r="M93" i="13"/>
  <c r="BN93" i="13"/>
  <c r="BO93" i="13" s="1"/>
  <c r="BG93" i="13"/>
  <c r="BH93" i="13" s="1"/>
  <c r="AV93" i="13"/>
  <c r="AW93" i="13" s="1"/>
  <c r="BA93" i="13"/>
  <c r="BB93" i="13" s="1"/>
  <c r="O93" i="13"/>
  <c r="BQ93" i="13"/>
  <c r="BR93" i="13" s="1"/>
  <c r="AY93" i="13"/>
  <c r="R93" i="13"/>
  <c r="T93" i="13" s="1"/>
  <c r="V93" i="13"/>
  <c r="W93" i="13" s="1"/>
  <c r="AN93" i="13"/>
  <c r="AO93" i="13" s="1"/>
  <c r="AB93" i="13"/>
  <c r="AC93" i="13" s="1"/>
  <c r="BL93" i="13"/>
  <c r="BD93" i="13"/>
  <c r="BE93" i="13" s="1"/>
  <c r="AH93" i="13"/>
  <c r="AI93" i="13" s="1"/>
  <c r="AK93" i="13"/>
  <c r="AL93" i="13" s="1"/>
  <c r="Y93" i="13"/>
  <c r="Z93" i="13" s="1"/>
  <c r="AT93" i="13"/>
  <c r="P93" i="13"/>
  <c r="AE93" i="13"/>
  <c r="AF93" i="13" s="1"/>
  <c r="AQ93" i="13"/>
  <c r="AR93" i="13" s="1"/>
  <c r="K94" i="120"/>
  <c r="M93" i="120"/>
  <c r="AH93" i="120"/>
  <c r="AI93" i="120" s="1"/>
  <c r="BA93" i="120"/>
  <c r="BB93" i="120" s="1"/>
  <c r="AV93" i="120"/>
  <c r="AW93" i="120" s="1"/>
  <c r="AE93" i="120"/>
  <c r="AF93" i="120" s="1"/>
  <c r="BD93" i="120"/>
  <c r="BE93" i="120" s="1"/>
  <c r="O93" i="120"/>
  <c r="V93" i="120"/>
  <c r="W93" i="120" s="1"/>
  <c r="P93" i="120"/>
  <c r="BG93" i="120"/>
  <c r="BH93" i="120" s="1"/>
  <c r="AK93" i="120"/>
  <c r="AL93" i="120" s="1"/>
  <c r="AN93" i="120"/>
  <c r="AO93" i="120" s="1"/>
  <c r="AB93" i="120"/>
  <c r="AC93" i="120" s="1"/>
  <c r="Y93" i="120"/>
  <c r="Z93" i="120" s="1"/>
  <c r="AQ93" i="120"/>
  <c r="AR93" i="120" s="1"/>
  <c r="AY93" i="120"/>
  <c r="R93" i="120"/>
  <c r="T93" i="120" s="1"/>
  <c r="BQ93" i="120"/>
  <c r="BR93" i="120" s="1"/>
  <c r="AT93" i="120"/>
  <c r="BN93" i="120"/>
  <c r="BO93" i="120" s="1"/>
  <c r="I97" i="115"/>
  <c r="K96" i="115"/>
  <c r="I110" i="133"/>
  <c r="M94" i="101"/>
  <c r="BQ94" i="101"/>
  <c r="BR94" i="101" s="1"/>
  <c r="AQ94" i="101"/>
  <c r="AR94" i="101" s="1"/>
  <c r="AH94" i="101"/>
  <c r="AI94" i="101" s="1"/>
  <c r="O94" i="101"/>
  <c r="AK94" i="101"/>
  <c r="AL94" i="101" s="1"/>
  <c r="BA94" i="101"/>
  <c r="BB94" i="101" s="1"/>
  <c r="AV94" i="101"/>
  <c r="AW94" i="101" s="1"/>
  <c r="R94" i="101"/>
  <c r="T94" i="101" s="1"/>
  <c r="AY94" i="101"/>
  <c r="AN94" i="101"/>
  <c r="AO94" i="101" s="1"/>
  <c r="Y94" i="101"/>
  <c r="Z94" i="101" s="1"/>
  <c r="AE94" i="101"/>
  <c r="AF94" i="101" s="1"/>
  <c r="BG94" i="101"/>
  <c r="BH94" i="101" s="1"/>
  <c r="P94" i="101"/>
  <c r="V94" i="101"/>
  <c r="W94" i="101" s="1"/>
  <c r="BD94" i="101"/>
  <c r="BE94" i="101" s="1"/>
  <c r="AT94" i="101"/>
  <c r="AB94" i="101"/>
  <c r="AC94" i="101" s="1"/>
  <c r="I95" i="17"/>
  <c r="K94" i="17"/>
  <c r="I97" i="110"/>
  <c r="K96" i="110"/>
  <c r="K94" i="66"/>
  <c r="I95" i="66"/>
  <c r="BK99" i="124"/>
  <c r="M99" i="124"/>
  <c r="BN99" i="124"/>
  <c r="BO99" i="124" s="1"/>
  <c r="BJ99" i="124"/>
  <c r="BL99" i="124" s="1"/>
  <c r="K100" i="124"/>
  <c r="AK99" i="124"/>
  <c r="AL99" i="124" s="1"/>
  <c r="P99" i="124"/>
  <c r="AT99" i="124"/>
  <c r="AV99" i="124"/>
  <c r="AW99" i="124" s="1"/>
  <c r="Y99" i="124"/>
  <c r="Z99" i="124" s="1"/>
  <c r="AH99" i="124"/>
  <c r="AI99" i="124" s="1"/>
  <c r="BA99" i="124"/>
  <c r="BB99" i="124" s="1"/>
  <c r="AQ99" i="124"/>
  <c r="AR99" i="124" s="1"/>
  <c r="R99" i="124"/>
  <c r="T99" i="124" s="1"/>
  <c r="BQ99" i="124"/>
  <c r="BR99" i="124" s="1"/>
  <c r="V99" i="124"/>
  <c r="W99" i="124" s="1"/>
  <c r="AN99" i="124"/>
  <c r="AO99" i="124" s="1"/>
  <c r="AY99" i="124"/>
  <c r="BG99" i="124"/>
  <c r="BH99" i="124" s="1"/>
  <c r="AE99" i="124"/>
  <c r="AF99" i="124" s="1"/>
  <c r="AB99" i="124"/>
  <c r="AC99" i="124" s="1"/>
  <c r="BD99" i="124"/>
  <c r="BE99" i="124" s="1"/>
  <c r="O99" i="124"/>
  <c r="R95" i="126"/>
  <c r="T95" i="126" s="1"/>
  <c r="M95" i="126"/>
  <c r="BN95" i="126"/>
  <c r="BO95" i="126" s="1"/>
  <c r="BJ95" i="126"/>
  <c r="BL95" i="126" s="1"/>
  <c r="BK95" i="126"/>
  <c r="AQ95" i="126"/>
  <c r="AR95" i="126" s="1"/>
  <c r="AV95" i="126"/>
  <c r="AW95" i="126" s="1"/>
  <c r="AT95" i="126"/>
  <c r="O95" i="126"/>
  <c r="AY95" i="126"/>
  <c r="AB95" i="126"/>
  <c r="AC95" i="126" s="1"/>
  <c r="BA95" i="126"/>
  <c r="BB95" i="126" s="1"/>
  <c r="BQ95" i="126"/>
  <c r="BR95" i="126" s="1"/>
  <c r="AH95" i="126"/>
  <c r="AI95" i="126" s="1"/>
  <c r="V95" i="126"/>
  <c r="W95" i="126" s="1"/>
  <c r="BD95" i="126"/>
  <c r="BE95" i="126" s="1"/>
  <c r="BG95" i="126"/>
  <c r="BH95" i="126" s="1"/>
  <c r="AN95" i="126"/>
  <c r="AO95" i="126" s="1"/>
  <c r="P95" i="126"/>
  <c r="Y95" i="126"/>
  <c r="Z95" i="126" s="1"/>
  <c r="AE95" i="126"/>
  <c r="AF95" i="126" s="1"/>
  <c r="AK95" i="126"/>
  <c r="AL95" i="126" s="1"/>
  <c r="K96" i="126"/>
  <c r="I99" i="15"/>
  <c r="K94" i="13"/>
  <c r="I95" i="13"/>
  <c r="M96" i="135"/>
  <c r="BQ96" i="135"/>
  <c r="BR96" i="135" s="1"/>
  <c r="AB96" i="135"/>
  <c r="AC96" i="135" s="1"/>
  <c r="AE96" i="135"/>
  <c r="AF96" i="135" s="1"/>
  <c r="O96" i="135"/>
  <c r="AQ96" i="135"/>
  <c r="AR96" i="135" s="1"/>
  <c r="R96" i="135"/>
  <c r="T96" i="135" s="1"/>
  <c r="AT96" i="135"/>
  <c r="BD96" i="135"/>
  <c r="BE96" i="135" s="1"/>
  <c r="BG96" i="135"/>
  <c r="BH96" i="135" s="1"/>
  <c r="AH96" i="135"/>
  <c r="AI96" i="135" s="1"/>
  <c r="Y96" i="135"/>
  <c r="Z96" i="135" s="1"/>
  <c r="BA96" i="135"/>
  <c r="BB96" i="135" s="1"/>
  <c r="P96" i="135"/>
  <c r="AY96" i="135"/>
  <c r="AV96" i="135"/>
  <c r="AW96" i="135" s="1"/>
  <c r="AK96" i="135"/>
  <c r="AL96" i="135" s="1"/>
  <c r="V96" i="135"/>
  <c r="W96" i="135" s="1"/>
  <c r="AN96" i="135"/>
  <c r="AO96" i="135" s="1"/>
  <c r="BN96" i="135"/>
  <c r="BO96" i="135" s="1"/>
  <c r="BL96" i="135"/>
  <c r="I97" i="96"/>
  <c r="K96" i="96"/>
  <c r="I99" i="104"/>
  <c r="O96" i="64"/>
  <c r="BN96" i="64"/>
  <c r="BO96" i="64" s="1"/>
  <c r="R96" i="64"/>
  <c r="T96" i="64" s="1"/>
  <c r="BD96" i="64"/>
  <c r="BE96" i="64" s="1"/>
  <c r="P96" i="64"/>
  <c r="AK96" i="64"/>
  <c r="AL96" i="64" s="1"/>
  <c r="AQ96" i="64"/>
  <c r="AR96" i="64" s="1"/>
  <c r="BA96" i="64"/>
  <c r="BB96" i="64" s="1"/>
  <c r="V96" i="64"/>
  <c r="W96" i="64" s="1"/>
  <c r="AT96" i="64"/>
  <c r="AH96" i="64"/>
  <c r="AI96" i="64" s="1"/>
  <c r="BQ96" i="64"/>
  <c r="BR96" i="64" s="1"/>
  <c r="M96" i="64"/>
  <c r="AV96" i="64"/>
  <c r="AW96" i="64" s="1"/>
  <c r="AB96" i="64"/>
  <c r="AC96" i="64" s="1"/>
  <c r="BG96" i="64"/>
  <c r="BH96" i="64" s="1"/>
  <c r="AY96" i="64"/>
  <c r="Y96" i="64"/>
  <c r="Z96" i="64" s="1"/>
  <c r="AE96" i="64"/>
  <c r="AF96" i="64" s="1"/>
  <c r="AN96" i="64"/>
  <c r="AO96" i="64" s="1"/>
  <c r="BL96" i="64"/>
  <c r="K97" i="64"/>
  <c r="BN95" i="114"/>
  <c r="BO95" i="114" s="1"/>
  <c r="M95" i="114"/>
  <c r="BK95" i="114"/>
  <c r="BJ95" i="114"/>
  <c r="BL95" i="114" s="1"/>
  <c r="AT95" i="114"/>
  <c r="AN95" i="114"/>
  <c r="AO95" i="114" s="1"/>
  <c r="AK95" i="114"/>
  <c r="AL95" i="114" s="1"/>
  <c r="AB95" i="114"/>
  <c r="AC95" i="114" s="1"/>
  <c r="AY95" i="114"/>
  <c r="BA95" i="114"/>
  <c r="BB95" i="114" s="1"/>
  <c r="BQ95" i="114"/>
  <c r="BR95" i="114" s="1"/>
  <c r="AV95" i="114"/>
  <c r="AW95" i="114" s="1"/>
  <c r="R95" i="114"/>
  <c r="T95" i="114" s="1"/>
  <c r="BD95" i="114"/>
  <c r="BE95" i="114" s="1"/>
  <c r="BG95" i="114"/>
  <c r="BH95" i="114" s="1"/>
  <c r="AQ95" i="114"/>
  <c r="AR95" i="114" s="1"/>
  <c r="Y95" i="114"/>
  <c r="Z95" i="114" s="1"/>
  <c r="AH95" i="114"/>
  <c r="AI95" i="114" s="1"/>
  <c r="O95" i="114"/>
  <c r="V95" i="114"/>
  <c r="W95" i="114" s="1"/>
  <c r="P95" i="114"/>
  <c r="AE95" i="114"/>
  <c r="AF95" i="114" s="1"/>
  <c r="K96" i="114"/>
  <c r="I96" i="101"/>
  <c r="K95" i="101"/>
  <c r="M95" i="63"/>
  <c r="BN95" i="63"/>
  <c r="BO95" i="63" s="1"/>
  <c r="AE95" i="63"/>
  <c r="AF95" i="63" s="1"/>
  <c r="AY95" i="63"/>
  <c r="AN95" i="63"/>
  <c r="AO95" i="63" s="1"/>
  <c r="O95" i="63"/>
  <c r="AH95" i="63"/>
  <c r="AI95" i="63" s="1"/>
  <c r="AT95" i="63"/>
  <c r="BL95" i="63"/>
  <c r="R95" i="63"/>
  <c r="T95" i="63" s="1"/>
  <c r="AV95" i="63"/>
  <c r="AW95" i="63" s="1"/>
  <c r="AB95" i="63"/>
  <c r="AC95" i="63" s="1"/>
  <c r="BD95" i="63"/>
  <c r="BE95" i="63" s="1"/>
  <c r="V95" i="63"/>
  <c r="W95" i="63" s="1"/>
  <c r="BG95" i="63"/>
  <c r="BH95" i="63" s="1"/>
  <c r="AQ95" i="63"/>
  <c r="AR95" i="63" s="1"/>
  <c r="AK95" i="63"/>
  <c r="AL95" i="63" s="1"/>
  <c r="Y95" i="63"/>
  <c r="Z95" i="63" s="1"/>
  <c r="BQ95" i="63"/>
  <c r="BR95" i="63" s="1"/>
  <c r="BA95" i="63"/>
  <c r="BB95" i="63" s="1"/>
  <c r="P95" i="63"/>
  <c r="K96" i="63"/>
  <c r="BA94" i="118"/>
  <c r="BB94" i="118" s="1"/>
  <c r="M94" i="118"/>
  <c r="K95" i="118"/>
  <c r="BN94" i="118"/>
  <c r="BO94" i="118" s="1"/>
  <c r="BQ94" i="118"/>
  <c r="BR94" i="118" s="1"/>
  <c r="AB94" i="118"/>
  <c r="AC94" i="118" s="1"/>
  <c r="R94" i="118"/>
  <c r="T94" i="118" s="1"/>
  <c r="P94" i="118"/>
  <c r="AT94" i="118"/>
  <c r="BG94" i="118"/>
  <c r="BH94" i="118" s="1"/>
  <c r="V94" i="118"/>
  <c r="W94" i="118" s="1"/>
  <c r="BD94" i="118"/>
  <c r="BE94" i="118" s="1"/>
  <c r="AE94" i="118"/>
  <c r="AF94" i="118" s="1"/>
  <c r="O94" i="118"/>
  <c r="AH94" i="118"/>
  <c r="AI94" i="118" s="1"/>
  <c r="AK94" i="118"/>
  <c r="AL94" i="118" s="1"/>
  <c r="Y94" i="118"/>
  <c r="Z94" i="118" s="1"/>
  <c r="AQ94" i="118"/>
  <c r="AR94" i="118" s="1"/>
  <c r="AV94" i="118"/>
  <c r="AW94" i="118" s="1"/>
  <c r="AN94" i="118"/>
  <c r="AO94" i="118" s="1"/>
  <c r="AY94" i="118"/>
  <c r="BD97" i="132" l="1"/>
  <c r="BE97" i="132" s="1"/>
  <c r="AN97" i="132"/>
  <c r="AO97" i="132" s="1"/>
  <c r="P97" i="132"/>
  <c r="BN97" i="132"/>
  <c r="BO97" i="132" s="1"/>
  <c r="BA97" i="132"/>
  <c r="BB97" i="132" s="1"/>
  <c r="AQ97" i="132"/>
  <c r="AR97" i="132" s="1"/>
  <c r="AY97" i="132"/>
  <c r="M97" i="132"/>
  <c r="AV97" i="132"/>
  <c r="AW97" i="132" s="1"/>
  <c r="AE97" i="132"/>
  <c r="AF97" i="132" s="1"/>
  <c r="BL97" i="132"/>
  <c r="O97" i="132"/>
  <c r="K98" i="132"/>
  <c r="Y97" i="132"/>
  <c r="Z97" i="132" s="1"/>
  <c r="V97" i="132"/>
  <c r="W97" i="132" s="1"/>
  <c r="AB97" i="132"/>
  <c r="AC97" i="132" s="1"/>
  <c r="AK97" i="132"/>
  <c r="AL97" i="132" s="1"/>
  <c r="AH97" i="132"/>
  <c r="AI97" i="132" s="1"/>
  <c r="BG97" i="132"/>
  <c r="BH97" i="132" s="1"/>
  <c r="R97" i="132"/>
  <c r="T97" i="132" s="1"/>
  <c r="BQ97" i="132"/>
  <c r="BR97" i="132" s="1"/>
  <c r="AT97" i="132"/>
  <c r="AE99" i="107"/>
  <c r="AF99" i="107" s="1"/>
  <c r="BQ99" i="107"/>
  <c r="BR99" i="107" s="1"/>
  <c r="Y99" i="107"/>
  <c r="Z99" i="107" s="1"/>
  <c r="O99" i="107"/>
  <c r="BD99" i="107"/>
  <c r="BE99" i="107" s="1"/>
  <c r="BJ99" i="107"/>
  <c r="BL99" i="107" s="1"/>
  <c r="V99" i="107"/>
  <c r="W99" i="107" s="1"/>
  <c r="BN99" i="107"/>
  <c r="BO99" i="107" s="1"/>
  <c r="BG99" i="107"/>
  <c r="BH99" i="107" s="1"/>
  <c r="AT99" i="107"/>
  <c r="AB99" i="107"/>
  <c r="AC99" i="107" s="1"/>
  <c r="AN99" i="107"/>
  <c r="AO99" i="107" s="1"/>
  <c r="BK99" i="107"/>
  <c r="P99" i="107"/>
  <c r="AY99" i="107"/>
  <c r="BA99" i="107"/>
  <c r="BB99" i="107" s="1"/>
  <c r="AH99" i="107"/>
  <c r="AI99" i="107" s="1"/>
  <c r="AV99" i="107"/>
  <c r="AW99" i="107" s="1"/>
  <c r="AK99" i="107"/>
  <c r="AL99" i="107" s="1"/>
  <c r="M99" i="107"/>
  <c r="R99" i="107"/>
  <c r="T99" i="107" s="1"/>
  <c r="AQ99" i="107"/>
  <c r="AR99" i="107" s="1"/>
  <c r="M97" i="99"/>
  <c r="BN97" i="99"/>
  <c r="BO97" i="99" s="1"/>
  <c r="V97" i="99"/>
  <c r="W97" i="99" s="1"/>
  <c r="AQ97" i="99"/>
  <c r="AR97" i="99" s="1"/>
  <c r="BA97" i="99"/>
  <c r="BB97" i="99" s="1"/>
  <c r="P97" i="99"/>
  <c r="K98" i="99"/>
  <c r="AK97" i="99"/>
  <c r="AL97" i="99" s="1"/>
  <c r="AH97" i="99"/>
  <c r="AI97" i="99" s="1"/>
  <c r="BD97" i="99"/>
  <c r="BE97" i="99" s="1"/>
  <c r="AT97" i="99"/>
  <c r="AB97" i="99"/>
  <c r="AC97" i="99" s="1"/>
  <c r="AV97" i="99"/>
  <c r="AW97" i="99" s="1"/>
  <c r="BG97" i="99"/>
  <c r="BH97" i="99" s="1"/>
  <c r="R97" i="99"/>
  <c r="T97" i="99" s="1"/>
  <c r="Y97" i="99"/>
  <c r="Z97" i="99" s="1"/>
  <c r="BJ97" i="99"/>
  <c r="BL97" i="99" s="1"/>
  <c r="BK97" i="99"/>
  <c r="AN97" i="99"/>
  <c r="AO97" i="99" s="1"/>
  <c r="O97" i="99"/>
  <c r="BQ97" i="99"/>
  <c r="BR97" i="99" s="1"/>
  <c r="AY97" i="99"/>
  <c r="AE97" i="99"/>
  <c r="AF97" i="99" s="1"/>
  <c r="I101" i="107"/>
  <c r="K100" i="107"/>
  <c r="M95" i="112"/>
  <c r="V95" i="112"/>
  <c r="W95" i="112" s="1"/>
  <c r="AE95" i="112"/>
  <c r="AF95" i="112" s="1"/>
  <c r="AY95" i="112"/>
  <c r="K96" i="112"/>
  <c r="BG95" i="112"/>
  <c r="BH95" i="112" s="1"/>
  <c r="AQ95" i="112"/>
  <c r="AR95" i="112" s="1"/>
  <c r="Y95" i="112"/>
  <c r="Z95" i="112" s="1"/>
  <c r="BJ95" i="112"/>
  <c r="BL95" i="112" s="1"/>
  <c r="AH95" i="112"/>
  <c r="AI95" i="112" s="1"/>
  <c r="O95" i="112"/>
  <c r="AN95" i="112"/>
  <c r="AO95" i="112" s="1"/>
  <c r="BN95" i="112"/>
  <c r="BO95" i="112" s="1"/>
  <c r="AB95" i="112"/>
  <c r="AC95" i="112" s="1"/>
  <c r="BQ95" i="112"/>
  <c r="BR95" i="112" s="1"/>
  <c r="R95" i="112"/>
  <c r="T95" i="112" s="1"/>
  <c r="BK95" i="112"/>
  <c r="AK95" i="112"/>
  <c r="AL95" i="112" s="1"/>
  <c r="AT95" i="112"/>
  <c r="BA95" i="112"/>
  <c r="BB95" i="112" s="1"/>
  <c r="P95" i="112"/>
  <c r="BD95" i="112"/>
  <c r="BE95" i="112" s="1"/>
  <c r="AV95" i="112"/>
  <c r="AW95" i="112" s="1"/>
  <c r="K97" i="129"/>
  <c r="AV96" i="129"/>
  <c r="AW96" i="129" s="1"/>
  <c r="AH96" i="129"/>
  <c r="AI96" i="129" s="1"/>
  <c r="AT96" i="129"/>
  <c r="AB96" i="129"/>
  <c r="AC96" i="129" s="1"/>
  <c r="BG96" i="129"/>
  <c r="BH96" i="129" s="1"/>
  <c r="AN96" i="129"/>
  <c r="AO96" i="129" s="1"/>
  <c r="BL96" i="129"/>
  <c r="BQ96" i="129"/>
  <c r="BR96" i="129" s="1"/>
  <c r="AK96" i="129"/>
  <c r="AL96" i="129" s="1"/>
  <c r="R96" i="129"/>
  <c r="T96" i="129" s="1"/>
  <c r="V96" i="129"/>
  <c r="W96" i="129" s="1"/>
  <c r="AY96" i="129"/>
  <c r="Y96" i="129"/>
  <c r="Z96" i="129" s="1"/>
  <c r="BN96" i="129"/>
  <c r="BO96" i="129" s="1"/>
  <c r="AE96" i="129"/>
  <c r="AF96" i="129" s="1"/>
  <c r="BA96" i="129"/>
  <c r="BB96" i="129" s="1"/>
  <c r="AQ96" i="129"/>
  <c r="AR96" i="129" s="1"/>
  <c r="M96" i="129"/>
  <c r="P96" i="129"/>
  <c r="O96" i="129"/>
  <c r="BD96" i="129"/>
  <c r="BE96" i="129" s="1"/>
  <c r="AH100" i="156"/>
  <c r="AI100" i="156" s="1"/>
  <c r="BN100" i="156"/>
  <c r="BO100" i="156" s="1"/>
  <c r="AK100" i="156"/>
  <c r="AL100" i="156" s="1"/>
  <c r="AN100" i="156"/>
  <c r="AO100" i="156" s="1"/>
  <c r="M100" i="156"/>
  <c r="AQ100" i="156"/>
  <c r="AR100" i="156" s="1"/>
  <c r="BA100" i="156"/>
  <c r="BB100" i="156" s="1"/>
  <c r="BD100" i="156"/>
  <c r="BE100" i="156" s="1"/>
  <c r="O100" i="156"/>
  <c r="BG100" i="156"/>
  <c r="BH100" i="156" s="1"/>
  <c r="R100" i="156"/>
  <c r="T100" i="156" s="1"/>
  <c r="BQ100" i="156"/>
  <c r="BR100" i="156" s="1"/>
  <c r="V100" i="156"/>
  <c r="W100" i="156" s="1"/>
  <c r="P100" i="156"/>
  <c r="Y100" i="156"/>
  <c r="Z100" i="156" s="1"/>
  <c r="BL100" i="156"/>
  <c r="AB100" i="156"/>
  <c r="AC100" i="156" s="1"/>
  <c r="AV100" i="156"/>
  <c r="AW100" i="156" s="1"/>
  <c r="AE100" i="156"/>
  <c r="AF100" i="156" s="1"/>
  <c r="BN95" i="104"/>
  <c r="BO95" i="104" s="1"/>
  <c r="AV95" i="104"/>
  <c r="AW95" i="104" s="1"/>
  <c r="P95" i="104"/>
  <c r="AB95" i="104"/>
  <c r="AC95" i="104" s="1"/>
  <c r="M95" i="104"/>
  <c r="AN95" i="104"/>
  <c r="AO95" i="104" s="1"/>
  <c r="BG95" i="104"/>
  <c r="BH95" i="104" s="1"/>
  <c r="V95" i="104"/>
  <c r="W95" i="104" s="1"/>
  <c r="BJ95" i="104"/>
  <c r="BL95" i="104" s="1"/>
  <c r="O95" i="104"/>
  <c r="AE95" i="104"/>
  <c r="AF95" i="104" s="1"/>
  <c r="R95" i="104"/>
  <c r="T95" i="104" s="1"/>
  <c r="BK95" i="104"/>
  <c r="BD95" i="104"/>
  <c r="BE95" i="104" s="1"/>
  <c r="AT95" i="104"/>
  <c r="Y95" i="104"/>
  <c r="Z95" i="104" s="1"/>
  <c r="K96" i="104"/>
  <c r="AK95" i="104"/>
  <c r="AL95" i="104" s="1"/>
  <c r="BA95" i="104"/>
  <c r="BB95" i="104" s="1"/>
  <c r="BQ95" i="104"/>
  <c r="BR95" i="104" s="1"/>
  <c r="AQ95" i="104"/>
  <c r="AR95" i="104" s="1"/>
  <c r="AH95" i="104"/>
  <c r="AI95" i="104" s="1"/>
  <c r="AY95" i="104"/>
  <c r="K101" i="156"/>
  <c r="AY101" i="156" s="1"/>
  <c r="I102" i="156"/>
  <c r="I102" i="106"/>
  <c r="BL98" i="133"/>
  <c r="BQ98" i="133"/>
  <c r="BR98" i="133" s="1"/>
  <c r="BD98" i="133"/>
  <c r="BE98" i="133" s="1"/>
  <c r="AB98" i="133"/>
  <c r="AC98" i="133" s="1"/>
  <c r="M98" i="133"/>
  <c r="BG98" i="133"/>
  <c r="BH98" i="133" s="1"/>
  <c r="AN98" i="133"/>
  <c r="AO98" i="133" s="1"/>
  <c r="AH98" i="133"/>
  <c r="AI98" i="133" s="1"/>
  <c r="AY98" i="133"/>
  <c r="BA98" i="133"/>
  <c r="BB98" i="133" s="1"/>
  <c r="P98" i="133"/>
  <c r="K99" i="133"/>
  <c r="AT98" i="133"/>
  <c r="AQ98" i="133"/>
  <c r="AR98" i="133" s="1"/>
  <c r="AK98" i="133"/>
  <c r="AL98" i="133" s="1"/>
  <c r="O98" i="133"/>
  <c r="Y98" i="133"/>
  <c r="Z98" i="133" s="1"/>
  <c r="AV98" i="133"/>
  <c r="AW98" i="133" s="1"/>
  <c r="BN98" i="133"/>
  <c r="BO98" i="133" s="1"/>
  <c r="AE98" i="133"/>
  <c r="AF98" i="133" s="1"/>
  <c r="V98" i="133"/>
  <c r="W98" i="133" s="1"/>
  <c r="R98" i="133"/>
  <c r="T98" i="133" s="1"/>
  <c r="BN95" i="106"/>
  <c r="BO95" i="106" s="1"/>
  <c r="AY95" i="106"/>
  <c r="BD95" i="106"/>
  <c r="BE95" i="106" s="1"/>
  <c r="AK95" i="106"/>
  <c r="AL95" i="106" s="1"/>
  <c r="AN95" i="106"/>
  <c r="AO95" i="106" s="1"/>
  <c r="AQ95" i="106"/>
  <c r="AR95" i="106" s="1"/>
  <c r="BJ95" i="106"/>
  <c r="BL95" i="106" s="1"/>
  <c r="BG95" i="106"/>
  <c r="BH95" i="106" s="1"/>
  <c r="AB95" i="106"/>
  <c r="AC95" i="106" s="1"/>
  <c r="BQ95" i="106"/>
  <c r="BR95" i="106" s="1"/>
  <c r="BK95" i="106"/>
  <c r="AE95" i="106"/>
  <c r="AF95" i="106" s="1"/>
  <c r="AH95" i="106"/>
  <c r="AI95" i="106" s="1"/>
  <c r="P95" i="106"/>
  <c r="V95" i="106"/>
  <c r="W95" i="106" s="1"/>
  <c r="R95" i="106"/>
  <c r="T95" i="106" s="1"/>
  <c r="AT95" i="106"/>
  <c r="AV95" i="106"/>
  <c r="AW95" i="106" s="1"/>
  <c r="Y95" i="106"/>
  <c r="Z95" i="106" s="1"/>
  <c r="O95" i="106"/>
  <c r="M95" i="106"/>
  <c r="BA95" i="106"/>
  <c r="BB95" i="106" s="1"/>
  <c r="K96" i="106"/>
  <c r="BL94" i="95"/>
  <c r="AK94" i="95"/>
  <c r="AL94" i="95" s="1"/>
  <c r="AE94" i="95"/>
  <c r="AF94" i="95" s="1"/>
  <c r="K95" i="95"/>
  <c r="AB94" i="95"/>
  <c r="AC94" i="95" s="1"/>
  <c r="BQ94" i="95"/>
  <c r="BR94" i="95" s="1"/>
  <c r="R94" i="95"/>
  <c r="T94" i="95" s="1"/>
  <c r="P94" i="95"/>
  <c r="BD94" i="95"/>
  <c r="BE94" i="95" s="1"/>
  <c r="Y94" i="95"/>
  <c r="Z94" i="95" s="1"/>
  <c r="AV94" i="95"/>
  <c r="AW94" i="95" s="1"/>
  <c r="V94" i="95"/>
  <c r="W94" i="95" s="1"/>
  <c r="AT94" i="95"/>
  <c r="BN94" i="95"/>
  <c r="BO94" i="95" s="1"/>
  <c r="AQ94" i="95"/>
  <c r="AR94" i="95" s="1"/>
  <c r="AN94" i="95"/>
  <c r="AO94" i="95" s="1"/>
  <c r="AH94" i="95"/>
  <c r="AI94" i="95" s="1"/>
  <c r="M94" i="95"/>
  <c r="BG94" i="95"/>
  <c r="BH94" i="95" s="1"/>
  <c r="O94" i="95"/>
  <c r="BA94" i="95"/>
  <c r="BB94" i="95" s="1"/>
  <c r="K97" i="130"/>
  <c r="BN96" i="130"/>
  <c r="BO96" i="130" s="1"/>
  <c r="M96" i="130"/>
  <c r="BL96" i="130"/>
  <c r="Y96" i="130"/>
  <c r="Z96" i="130" s="1"/>
  <c r="R96" i="130"/>
  <c r="T96" i="130" s="1"/>
  <c r="AK96" i="130"/>
  <c r="AL96" i="130" s="1"/>
  <c r="AB96" i="130"/>
  <c r="AC96" i="130" s="1"/>
  <c r="V96" i="130"/>
  <c r="W96" i="130" s="1"/>
  <c r="AV96" i="130"/>
  <c r="AW96" i="130" s="1"/>
  <c r="AY96" i="130"/>
  <c r="AQ96" i="130"/>
  <c r="AR96" i="130" s="1"/>
  <c r="BA96" i="130"/>
  <c r="BB96" i="130" s="1"/>
  <c r="AE96" i="130"/>
  <c r="AF96" i="130" s="1"/>
  <c r="BD96" i="130"/>
  <c r="BE96" i="130" s="1"/>
  <c r="AN96" i="130"/>
  <c r="AO96" i="130" s="1"/>
  <c r="O96" i="130"/>
  <c r="BG96" i="130"/>
  <c r="BH96" i="130" s="1"/>
  <c r="AT96" i="130"/>
  <c r="P96" i="130"/>
  <c r="BQ96" i="130"/>
  <c r="BR96" i="130" s="1"/>
  <c r="AH96" i="130"/>
  <c r="AI96" i="130" s="1"/>
  <c r="M101" i="155"/>
  <c r="BQ101" i="155"/>
  <c r="BR101" i="155" s="1"/>
  <c r="O101" i="155"/>
  <c r="V101" i="155"/>
  <c r="W101" i="155" s="1"/>
  <c r="AB101" i="155"/>
  <c r="AC101" i="155" s="1"/>
  <c r="AH101" i="155"/>
  <c r="AI101" i="155" s="1"/>
  <c r="AN101" i="155"/>
  <c r="AO101" i="155" s="1"/>
  <c r="BA101" i="155"/>
  <c r="BB101" i="155" s="1"/>
  <c r="BG101" i="155"/>
  <c r="BH101" i="155" s="1"/>
  <c r="BL101" i="155"/>
  <c r="P101" i="155"/>
  <c r="AV101" i="155"/>
  <c r="AW101" i="155" s="1"/>
  <c r="BN101" i="155"/>
  <c r="BO101" i="155" s="1"/>
  <c r="R101" i="155"/>
  <c r="T101" i="155" s="1"/>
  <c r="Y101" i="155"/>
  <c r="Z101" i="155" s="1"/>
  <c r="AE101" i="155"/>
  <c r="AF101" i="155" s="1"/>
  <c r="AK101" i="155"/>
  <c r="AL101" i="155" s="1"/>
  <c r="AQ101" i="155"/>
  <c r="AR101" i="155" s="1"/>
  <c r="BD101" i="155"/>
  <c r="BE101" i="155" s="1"/>
  <c r="K102" i="155"/>
  <c r="I103" i="155"/>
  <c r="O101" i="153"/>
  <c r="V101" i="153"/>
  <c r="W101" i="153" s="1"/>
  <c r="AB101" i="153"/>
  <c r="AC101" i="153" s="1"/>
  <c r="AH101" i="153"/>
  <c r="AI101" i="153" s="1"/>
  <c r="AN101" i="153"/>
  <c r="AO101" i="153" s="1"/>
  <c r="BA101" i="153"/>
  <c r="BB101" i="153" s="1"/>
  <c r="BG101" i="153"/>
  <c r="BH101" i="153" s="1"/>
  <c r="P101" i="153"/>
  <c r="AV101" i="153"/>
  <c r="AW101" i="153" s="1"/>
  <c r="BN101" i="153"/>
  <c r="BO101" i="153" s="1"/>
  <c r="M101" i="153"/>
  <c r="R101" i="153"/>
  <c r="T101" i="153" s="1"/>
  <c r="AE101" i="153"/>
  <c r="AF101" i="153" s="1"/>
  <c r="AQ101" i="153"/>
  <c r="AR101" i="153" s="1"/>
  <c r="BD101" i="153"/>
  <c r="BE101" i="153" s="1"/>
  <c r="BQ101" i="153"/>
  <c r="BR101" i="153" s="1"/>
  <c r="Y101" i="153"/>
  <c r="Z101" i="153" s="1"/>
  <c r="AK101" i="153"/>
  <c r="AL101" i="153" s="1"/>
  <c r="BL101" i="153"/>
  <c r="K102" i="153"/>
  <c r="I106" i="153"/>
  <c r="O101" i="152"/>
  <c r="V101" i="152"/>
  <c r="W101" i="152" s="1"/>
  <c r="AB101" i="152"/>
  <c r="AC101" i="152" s="1"/>
  <c r="AH101" i="152"/>
  <c r="AI101" i="152" s="1"/>
  <c r="AN101" i="152"/>
  <c r="AO101" i="152" s="1"/>
  <c r="BA101" i="152"/>
  <c r="BB101" i="152" s="1"/>
  <c r="BG101" i="152"/>
  <c r="BH101" i="152" s="1"/>
  <c r="P101" i="152"/>
  <c r="AV101" i="152"/>
  <c r="AW101" i="152" s="1"/>
  <c r="BN101" i="152"/>
  <c r="BO101" i="152" s="1"/>
  <c r="M101" i="152"/>
  <c r="R101" i="152"/>
  <c r="T101" i="152" s="1"/>
  <c r="AE101" i="152"/>
  <c r="AF101" i="152" s="1"/>
  <c r="AQ101" i="152"/>
  <c r="AR101" i="152" s="1"/>
  <c r="BD101" i="152"/>
  <c r="BE101" i="152" s="1"/>
  <c r="BQ101" i="152"/>
  <c r="BR101" i="152" s="1"/>
  <c r="Y101" i="152"/>
  <c r="Z101" i="152" s="1"/>
  <c r="AK101" i="152"/>
  <c r="AL101" i="152" s="1"/>
  <c r="BL101" i="152"/>
  <c r="K102" i="152"/>
  <c r="I110" i="152"/>
  <c r="K100" i="151"/>
  <c r="I101" i="151"/>
  <c r="BQ99" i="151"/>
  <c r="BR99" i="151" s="1"/>
  <c r="AY99" i="151"/>
  <c r="BD99" i="151"/>
  <c r="BE99" i="151" s="1"/>
  <c r="AQ99" i="151"/>
  <c r="AR99" i="151" s="1"/>
  <c r="AK99" i="151"/>
  <c r="AL99" i="151" s="1"/>
  <c r="AE99" i="151"/>
  <c r="AF99" i="151" s="1"/>
  <c r="Y99" i="151"/>
  <c r="Z99" i="151" s="1"/>
  <c r="R99" i="151"/>
  <c r="T99" i="151" s="1"/>
  <c r="AV99" i="151"/>
  <c r="AW99" i="151" s="1"/>
  <c r="P99" i="151"/>
  <c r="AT99" i="151"/>
  <c r="V99" i="151"/>
  <c r="W99" i="151" s="1"/>
  <c r="BG99" i="151"/>
  <c r="BH99" i="151" s="1"/>
  <c r="AH99" i="151"/>
  <c r="AI99" i="151" s="1"/>
  <c r="BA99" i="151"/>
  <c r="BB99" i="151" s="1"/>
  <c r="AN99" i="151"/>
  <c r="AO99" i="151" s="1"/>
  <c r="AB99" i="151"/>
  <c r="AC99" i="151" s="1"/>
  <c r="O99" i="151"/>
  <c r="M99" i="151"/>
  <c r="BN99" i="151"/>
  <c r="BO99" i="151" s="1"/>
  <c r="BL99" i="151"/>
  <c r="I102" i="150"/>
  <c r="BQ98" i="150"/>
  <c r="BR98" i="150" s="1"/>
  <c r="AY98" i="150"/>
  <c r="BD98" i="150"/>
  <c r="BE98" i="150" s="1"/>
  <c r="AQ98" i="150"/>
  <c r="AR98" i="150" s="1"/>
  <c r="AK98" i="150"/>
  <c r="AL98" i="150" s="1"/>
  <c r="AE98" i="150"/>
  <c r="AF98" i="150" s="1"/>
  <c r="Y98" i="150"/>
  <c r="Z98" i="150" s="1"/>
  <c r="R98" i="150"/>
  <c r="T98" i="150" s="1"/>
  <c r="AV98" i="150"/>
  <c r="AW98" i="150" s="1"/>
  <c r="P98" i="150"/>
  <c r="BG98" i="150"/>
  <c r="BH98" i="150" s="1"/>
  <c r="AH98" i="150"/>
  <c r="AI98" i="150" s="1"/>
  <c r="BA98" i="150"/>
  <c r="BB98" i="150" s="1"/>
  <c r="AB98" i="150"/>
  <c r="AC98" i="150" s="1"/>
  <c r="AT98" i="150"/>
  <c r="V98" i="150"/>
  <c r="W98" i="150" s="1"/>
  <c r="AN98" i="150"/>
  <c r="AO98" i="150" s="1"/>
  <c r="O98" i="150"/>
  <c r="BN98" i="150"/>
  <c r="BO98" i="150" s="1"/>
  <c r="M98" i="150"/>
  <c r="BL98" i="150"/>
  <c r="K99" i="150"/>
  <c r="BQ100" i="149"/>
  <c r="BR100" i="149" s="1"/>
  <c r="AY100" i="149"/>
  <c r="BG100" i="149"/>
  <c r="BH100" i="149" s="1"/>
  <c r="AH100" i="149"/>
  <c r="AI100" i="149" s="1"/>
  <c r="Y100" i="149"/>
  <c r="Z100" i="149" s="1"/>
  <c r="P100" i="149"/>
  <c r="BD100" i="149"/>
  <c r="BE100" i="149" s="1"/>
  <c r="AV100" i="149"/>
  <c r="AW100" i="149" s="1"/>
  <c r="AN100" i="149"/>
  <c r="AO100" i="149" s="1"/>
  <c r="AE100" i="149"/>
  <c r="AF100" i="149" s="1"/>
  <c r="O100" i="149"/>
  <c r="AQ100" i="149"/>
  <c r="AR100" i="149" s="1"/>
  <c r="AB100" i="149"/>
  <c r="AC100" i="149" s="1"/>
  <c r="AK100" i="149"/>
  <c r="AL100" i="149" s="1"/>
  <c r="V100" i="149"/>
  <c r="W100" i="149" s="1"/>
  <c r="BA100" i="149"/>
  <c r="BB100" i="149" s="1"/>
  <c r="R100" i="149"/>
  <c r="T100" i="149" s="1"/>
  <c r="AT100" i="149"/>
  <c r="BN100" i="149"/>
  <c r="BO100" i="149" s="1"/>
  <c r="M100" i="149"/>
  <c r="BL100" i="149"/>
  <c r="K101" i="149"/>
  <c r="I102" i="149"/>
  <c r="AV99" i="147"/>
  <c r="AW99" i="147" s="1"/>
  <c r="P99" i="147"/>
  <c r="AN99" i="147"/>
  <c r="AO99" i="147" s="1"/>
  <c r="Y99" i="147"/>
  <c r="Z99" i="147" s="1"/>
  <c r="O99" i="147"/>
  <c r="BD99" i="147"/>
  <c r="BE99" i="147" s="1"/>
  <c r="AT99" i="147"/>
  <c r="AE99" i="147"/>
  <c r="AF99" i="147" s="1"/>
  <c r="V99" i="147"/>
  <c r="W99" i="147" s="1"/>
  <c r="BQ99" i="147"/>
  <c r="BR99" i="147" s="1"/>
  <c r="BA99" i="147"/>
  <c r="BB99" i="147" s="1"/>
  <c r="AK99" i="147"/>
  <c r="AL99" i="147" s="1"/>
  <c r="AY99" i="147"/>
  <c r="AH99" i="147"/>
  <c r="AI99" i="147" s="1"/>
  <c r="R99" i="147"/>
  <c r="T99" i="147" s="1"/>
  <c r="AB99" i="147"/>
  <c r="AC99" i="147" s="1"/>
  <c r="BG99" i="147"/>
  <c r="BH99" i="147" s="1"/>
  <c r="AQ99" i="147"/>
  <c r="AR99" i="147" s="1"/>
  <c r="BK99" i="147"/>
  <c r="M99" i="147"/>
  <c r="BN99" i="147"/>
  <c r="BO99" i="147" s="1"/>
  <c r="BJ99" i="147"/>
  <c r="BL99" i="147" s="1"/>
  <c r="I101" i="147"/>
  <c r="K100" i="147"/>
  <c r="BQ98" i="146"/>
  <c r="BR98" i="146" s="1"/>
  <c r="AY98" i="146"/>
  <c r="BD98" i="146"/>
  <c r="BE98" i="146" s="1"/>
  <c r="AV98" i="146"/>
  <c r="AW98" i="146" s="1"/>
  <c r="P98" i="146"/>
  <c r="BA98" i="146"/>
  <c r="BB98" i="146" s="1"/>
  <c r="AK98" i="146"/>
  <c r="AL98" i="146" s="1"/>
  <c r="Y98" i="146"/>
  <c r="Z98" i="146" s="1"/>
  <c r="AT98" i="146"/>
  <c r="AH98" i="146"/>
  <c r="AI98" i="146" s="1"/>
  <c r="V98" i="146"/>
  <c r="W98" i="146" s="1"/>
  <c r="AQ98" i="146"/>
  <c r="AR98" i="146" s="1"/>
  <c r="AE98" i="146"/>
  <c r="AF98" i="146" s="1"/>
  <c r="R98" i="146"/>
  <c r="T98" i="146" s="1"/>
  <c r="AN98" i="146"/>
  <c r="AO98" i="146" s="1"/>
  <c r="AB98" i="146"/>
  <c r="AC98" i="146" s="1"/>
  <c r="O98" i="146"/>
  <c r="BG98" i="146"/>
  <c r="BH98" i="146" s="1"/>
  <c r="BK98" i="146"/>
  <c r="BJ98" i="146"/>
  <c r="BL98" i="146" s="1"/>
  <c r="M98" i="146"/>
  <c r="BN98" i="146"/>
  <c r="BO98" i="146" s="1"/>
  <c r="K99" i="146"/>
  <c r="I100" i="146"/>
  <c r="M95" i="118"/>
  <c r="K96" i="118"/>
  <c r="BN95" i="118"/>
  <c r="BO95" i="118" s="1"/>
  <c r="O95" i="118"/>
  <c r="AV95" i="118"/>
  <c r="AW95" i="118" s="1"/>
  <c r="AN95" i="118"/>
  <c r="AO95" i="118" s="1"/>
  <c r="V95" i="118"/>
  <c r="W95" i="118" s="1"/>
  <c r="AQ95" i="118"/>
  <c r="AR95" i="118" s="1"/>
  <c r="BA95" i="118"/>
  <c r="BB95" i="118" s="1"/>
  <c r="P95" i="118"/>
  <c r="Y95" i="118"/>
  <c r="Z95" i="118" s="1"/>
  <c r="R95" i="118"/>
  <c r="T95" i="118" s="1"/>
  <c r="BQ95" i="118"/>
  <c r="BR95" i="118" s="1"/>
  <c r="BD95" i="118"/>
  <c r="BE95" i="118" s="1"/>
  <c r="AH95" i="118"/>
  <c r="AI95" i="118" s="1"/>
  <c r="BG95" i="118"/>
  <c r="BH95" i="118" s="1"/>
  <c r="AY95" i="118"/>
  <c r="AE95" i="118"/>
  <c r="AF95" i="118" s="1"/>
  <c r="AT95" i="118"/>
  <c r="AK95" i="118"/>
  <c r="AL95" i="118" s="1"/>
  <c r="AB95" i="118"/>
  <c r="AC95" i="118" s="1"/>
  <c r="I97" i="101"/>
  <c r="K96" i="101"/>
  <c r="Y97" i="64"/>
  <c r="Z97" i="64" s="1"/>
  <c r="AE97" i="64"/>
  <c r="AF97" i="64" s="1"/>
  <c r="P97" i="64"/>
  <c r="BD97" i="64"/>
  <c r="BE97" i="64" s="1"/>
  <c r="BG97" i="64"/>
  <c r="BH97" i="64" s="1"/>
  <c r="AQ97" i="64"/>
  <c r="AR97" i="64" s="1"/>
  <c r="BA97" i="64"/>
  <c r="BB97" i="64" s="1"/>
  <c r="AB97" i="64"/>
  <c r="AC97" i="64" s="1"/>
  <c r="V97" i="64"/>
  <c r="W97" i="64" s="1"/>
  <c r="AV97" i="64"/>
  <c r="AW97" i="64" s="1"/>
  <c r="BQ97" i="64"/>
  <c r="BR97" i="64" s="1"/>
  <c r="M97" i="64"/>
  <c r="AN97" i="64"/>
  <c r="AO97" i="64" s="1"/>
  <c r="R97" i="64"/>
  <c r="T97" i="64" s="1"/>
  <c r="AT97" i="64"/>
  <c r="AY97" i="64"/>
  <c r="O97" i="64"/>
  <c r="AH97" i="64"/>
  <c r="AI97" i="64" s="1"/>
  <c r="AK97" i="64"/>
  <c r="AL97" i="64" s="1"/>
  <c r="BN97" i="64"/>
  <c r="BO97" i="64" s="1"/>
  <c r="BL97" i="64"/>
  <c r="K98" i="64"/>
  <c r="I100" i="15"/>
  <c r="I98" i="110"/>
  <c r="K97" i="110"/>
  <c r="BN98" i="136"/>
  <c r="BO98" i="136" s="1"/>
  <c r="M98" i="136"/>
  <c r="O98" i="136"/>
  <c r="BL98" i="136"/>
  <c r="AT98" i="136"/>
  <c r="BD98" i="136"/>
  <c r="BE98" i="136" s="1"/>
  <c r="P98" i="136"/>
  <c r="AE98" i="136"/>
  <c r="AF98" i="136" s="1"/>
  <c r="AK98" i="136"/>
  <c r="AL98" i="136" s="1"/>
  <c r="BG98" i="136"/>
  <c r="BH98" i="136" s="1"/>
  <c r="AQ98" i="136"/>
  <c r="AR98" i="136" s="1"/>
  <c r="AH98" i="136"/>
  <c r="AI98" i="136" s="1"/>
  <c r="AV98" i="136"/>
  <c r="AW98" i="136" s="1"/>
  <c r="AY98" i="136"/>
  <c r="AN98" i="136"/>
  <c r="AO98" i="136" s="1"/>
  <c r="AB98" i="136"/>
  <c r="AC98" i="136" s="1"/>
  <c r="R98" i="136"/>
  <c r="T98" i="136" s="1"/>
  <c r="Y98" i="136"/>
  <c r="Z98" i="136" s="1"/>
  <c r="V98" i="136"/>
  <c r="W98" i="136" s="1"/>
  <c r="BA98" i="136"/>
  <c r="BB98" i="136" s="1"/>
  <c r="BQ98" i="136"/>
  <c r="BR98" i="136" s="1"/>
  <c r="K99" i="136"/>
  <c r="I99" i="135"/>
  <c r="K98" i="135"/>
  <c r="I103" i="132"/>
  <c r="BK96" i="114"/>
  <c r="M96" i="114"/>
  <c r="BN96" i="114"/>
  <c r="BO96" i="114" s="1"/>
  <c r="BJ96" i="114"/>
  <c r="BL96" i="114" s="1"/>
  <c r="R96" i="114"/>
  <c r="T96" i="114" s="1"/>
  <c r="AV96" i="114"/>
  <c r="AW96" i="114" s="1"/>
  <c r="AT96" i="114"/>
  <c r="AH96" i="114"/>
  <c r="AI96" i="114" s="1"/>
  <c r="O96" i="114"/>
  <c r="BG96" i="114"/>
  <c r="BH96" i="114" s="1"/>
  <c r="AY96" i="114"/>
  <c r="BA96" i="114"/>
  <c r="BB96" i="114" s="1"/>
  <c r="BD96" i="114"/>
  <c r="BE96" i="114" s="1"/>
  <c r="AK96" i="114"/>
  <c r="AL96" i="114" s="1"/>
  <c r="AQ96" i="114"/>
  <c r="AR96" i="114" s="1"/>
  <c r="BQ96" i="114"/>
  <c r="BR96" i="114" s="1"/>
  <c r="V96" i="114"/>
  <c r="W96" i="114" s="1"/>
  <c r="P96" i="114"/>
  <c r="AN96" i="114"/>
  <c r="AO96" i="114" s="1"/>
  <c r="AB96" i="114"/>
  <c r="AC96" i="114" s="1"/>
  <c r="Y96" i="114"/>
  <c r="Z96" i="114" s="1"/>
  <c r="AE96" i="114"/>
  <c r="AF96" i="114" s="1"/>
  <c r="K97" i="114"/>
  <c r="I96" i="13"/>
  <c r="K95" i="13"/>
  <c r="M96" i="126"/>
  <c r="BK96" i="126"/>
  <c r="BJ96" i="126"/>
  <c r="BL96" i="126" s="1"/>
  <c r="BN96" i="126"/>
  <c r="BO96" i="126" s="1"/>
  <c r="BA96" i="126"/>
  <c r="BB96" i="126" s="1"/>
  <c r="AK96" i="126"/>
  <c r="AL96" i="126" s="1"/>
  <c r="R96" i="126"/>
  <c r="T96" i="126" s="1"/>
  <c r="V96" i="126"/>
  <c r="W96" i="126" s="1"/>
  <c r="AV96" i="126"/>
  <c r="AW96" i="126" s="1"/>
  <c r="BG96" i="126"/>
  <c r="BH96" i="126" s="1"/>
  <c r="AH96" i="126"/>
  <c r="AI96" i="126" s="1"/>
  <c r="AQ96" i="126"/>
  <c r="AR96" i="126" s="1"/>
  <c r="BQ96" i="126"/>
  <c r="BR96" i="126" s="1"/>
  <c r="AE96" i="126"/>
  <c r="AF96" i="126" s="1"/>
  <c r="O96" i="126"/>
  <c r="P96" i="126"/>
  <c r="AB96" i="126"/>
  <c r="AC96" i="126" s="1"/>
  <c r="AN96" i="126"/>
  <c r="AO96" i="126" s="1"/>
  <c r="Y96" i="126"/>
  <c r="Z96" i="126" s="1"/>
  <c r="AY96" i="126"/>
  <c r="BD96" i="126"/>
  <c r="BE96" i="126" s="1"/>
  <c r="AT96" i="126"/>
  <c r="K97" i="126"/>
  <c r="I96" i="66"/>
  <c r="K95" i="66"/>
  <c r="BL94" i="17"/>
  <c r="BN94" i="17"/>
  <c r="BO94" i="17" s="1"/>
  <c r="M94" i="17"/>
  <c r="AN94" i="17"/>
  <c r="AO94" i="17" s="1"/>
  <c r="BG94" i="17"/>
  <c r="BH94" i="17" s="1"/>
  <c r="O94" i="17"/>
  <c r="BD94" i="17"/>
  <c r="BE94" i="17" s="1"/>
  <c r="AQ94" i="17"/>
  <c r="AR94" i="17" s="1"/>
  <c r="P94" i="17"/>
  <c r="AV94" i="17"/>
  <c r="AW94" i="17" s="1"/>
  <c r="AY94" i="17"/>
  <c r="R94" i="17"/>
  <c r="T94" i="17" s="1"/>
  <c r="BQ94" i="17"/>
  <c r="BR94" i="17" s="1"/>
  <c r="V94" i="17"/>
  <c r="W94" i="17" s="1"/>
  <c r="AH94" i="17"/>
  <c r="AI94" i="17" s="1"/>
  <c r="Y94" i="17"/>
  <c r="Z94" i="17" s="1"/>
  <c r="BA94" i="17"/>
  <c r="BB94" i="17" s="1"/>
  <c r="AB94" i="17"/>
  <c r="AC94" i="17" s="1"/>
  <c r="AK94" i="17"/>
  <c r="AL94" i="17" s="1"/>
  <c r="AE94" i="17"/>
  <c r="AF94" i="17" s="1"/>
  <c r="AT94" i="17"/>
  <c r="M96" i="115"/>
  <c r="BN96" i="115"/>
  <c r="BO96" i="115" s="1"/>
  <c r="BJ96" i="115"/>
  <c r="BL96" i="115" s="1"/>
  <c r="BK96" i="115"/>
  <c r="AK96" i="115"/>
  <c r="AL96" i="115" s="1"/>
  <c r="AE96" i="115"/>
  <c r="AF96" i="115" s="1"/>
  <c r="P96" i="115"/>
  <c r="BG96" i="115"/>
  <c r="BH96" i="115" s="1"/>
  <c r="AT96" i="115"/>
  <c r="BD96" i="115"/>
  <c r="BE96" i="115" s="1"/>
  <c r="O96" i="115"/>
  <c r="AB96" i="115"/>
  <c r="AC96" i="115" s="1"/>
  <c r="AH96" i="115"/>
  <c r="AI96" i="115" s="1"/>
  <c r="BA96" i="115"/>
  <c r="BB96" i="115" s="1"/>
  <c r="AV96" i="115"/>
  <c r="AW96" i="115" s="1"/>
  <c r="AN96" i="115"/>
  <c r="AO96" i="115" s="1"/>
  <c r="Y96" i="115"/>
  <c r="Z96" i="115" s="1"/>
  <c r="AY96" i="115"/>
  <c r="BQ96" i="115"/>
  <c r="BR96" i="115" s="1"/>
  <c r="AQ96" i="115"/>
  <c r="AR96" i="115" s="1"/>
  <c r="V96" i="115"/>
  <c r="W96" i="115" s="1"/>
  <c r="R96" i="115"/>
  <c r="T96" i="115" s="1"/>
  <c r="I102" i="64"/>
  <c r="I102" i="136"/>
  <c r="I101" i="63"/>
  <c r="AV96" i="96"/>
  <c r="AW96" i="96" s="1"/>
  <c r="BD96" i="96"/>
  <c r="BE96" i="96" s="1"/>
  <c r="BQ96" i="96"/>
  <c r="BR96" i="96" s="1"/>
  <c r="P96" i="96"/>
  <c r="BG96" i="96"/>
  <c r="BH96" i="96" s="1"/>
  <c r="AK96" i="96"/>
  <c r="AL96" i="96" s="1"/>
  <c r="AH96" i="96"/>
  <c r="AI96" i="96" s="1"/>
  <c r="BA96" i="96"/>
  <c r="BB96" i="96" s="1"/>
  <c r="M96" i="96"/>
  <c r="AE96" i="96"/>
  <c r="AF96" i="96" s="1"/>
  <c r="O96" i="96"/>
  <c r="AQ96" i="96"/>
  <c r="AR96" i="96" s="1"/>
  <c r="Y96" i="96"/>
  <c r="Z96" i="96" s="1"/>
  <c r="AN96" i="96"/>
  <c r="AO96" i="96" s="1"/>
  <c r="V96" i="96"/>
  <c r="W96" i="96" s="1"/>
  <c r="AB96" i="96"/>
  <c r="AC96" i="96" s="1"/>
  <c r="R96" i="96"/>
  <c r="T96" i="96" s="1"/>
  <c r="BN96" i="96"/>
  <c r="BO96" i="96" s="1"/>
  <c r="AT96" i="96"/>
  <c r="BL96" i="96"/>
  <c r="BL94" i="13"/>
  <c r="BN94" i="13"/>
  <c r="BO94" i="13" s="1"/>
  <c r="M94" i="13"/>
  <c r="AV94" i="13"/>
  <c r="AW94" i="13" s="1"/>
  <c r="AE94" i="13"/>
  <c r="AF94" i="13" s="1"/>
  <c r="BA94" i="13"/>
  <c r="BB94" i="13" s="1"/>
  <c r="AB94" i="13"/>
  <c r="AC94" i="13" s="1"/>
  <c r="AK94" i="13"/>
  <c r="AL94" i="13" s="1"/>
  <c r="Y94" i="13"/>
  <c r="Z94" i="13" s="1"/>
  <c r="AY94" i="13"/>
  <c r="AN94" i="13"/>
  <c r="AO94" i="13" s="1"/>
  <c r="AT94" i="13"/>
  <c r="BQ94" i="13"/>
  <c r="BR94" i="13" s="1"/>
  <c r="V94" i="13"/>
  <c r="W94" i="13" s="1"/>
  <c r="P94" i="13"/>
  <c r="AQ94" i="13"/>
  <c r="AR94" i="13" s="1"/>
  <c r="R94" i="13"/>
  <c r="T94" i="13" s="1"/>
  <c r="AH94" i="13"/>
  <c r="AI94" i="13" s="1"/>
  <c r="BD94" i="13"/>
  <c r="BE94" i="13" s="1"/>
  <c r="BG94" i="13"/>
  <c r="BH94" i="13" s="1"/>
  <c r="O94" i="13"/>
  <c r="M100" i="124"/>
  <c r="BK100" i="124"/>
  <c r="BJ100" i="124"/>
  <c r="BL100" i="124" s="1"/>
  <c r="K101" i="124"/>
  <c r="BN100" i="124"/>
  <c r="BO100" i="124" s="1"/>
  <c r="BG100" i="124"/>
  <c r="BH100" i="124" s="1"/>
  <c r="AH100" i="124"/>
  <c r="AI100" i="124" s="1"/>
  <c r="AV100" i="124"/>
  <c r="AW100" i="124" s="1"/>
  <c r="AT100" i="124"/>
  <c r="Y100" i="124"/>
  <c r="Z100" i="124" s="1"/>
  <c r="AB100" i="124"/>
  <c r="AC100" i="124" s="1"/>
  <c r="R100" i="124"/>
  <c r="T100" i="124" s="1"/>
  <c r="AK100" i="124"/>
  <c r="AL100" i="124" s="1"/>
  <c r="V100" i="124"/>
  <c r="W100" i="124" s="1"/>
  <c r="BA100" i="124"/>
  <c r="BB100" i="124" s="1"/>
  <c r="P100" i="124"/>
  <c r="AQ100" i="124"/>
  <c r="AR100" i="124" s="1"/>
  <c r="O100" i="124"/>
  <c r="BQ100" i="124"/>
  <c r="BR100" i="124" s="1"/>
  <c r="BD100" i="124"/>
  <c r="BE100" i="124" s="1"/>
  <c r="AY100" i="124"/>
  <c r="AE100" i="124"/>
  <c r="AF100" i="124" s="1"/>
  <c r="AN100" i="124"/>
  <c r="AO100" i="124" s="1"/>
  <c r="V94" i="66"/>
  <c r="W94" i="66" s="1"/>
  <c r="AQ94" i="66"/>
  <c r="AR94" i="66" s="1"/>
  <c r="AB94" i="66"/>
  <c r="AC94" i="66" s="1"/>
  <c r="R94" i="66"/>
  <c r="T94" i="66" s="1"/>
  <c r="Y94" i="66"/>
  <c r="Z94" i="66" s="1"/>
  <c r="BD94" i="66"/>
  <c r="BE94" i="66" s="1"/>
  <c r="BG94" i="66"/>
  <c r="BH94" i="66" s="1"/>
  <c r="AN94" i="66"/>
  <c r="AO94" i="66" s="1"/>
  <c r="BA94" i="66"/>
  <c r="BB94" i="66" s="1"/>
  <c r="AY94" i="66"/>
  <c r="AE94" i="66"/>
  <c r="AF94" i="66" s="1"/>
  <c r="M94" i="66"/>
  <c r="BQ94" i="66"/>
  <c r="BR94" i="66" s="1"/>
  <c r="P94" i="66"/>
  <c r="BN94" i="66"/>
  <c r="BO94" i="66" s="1"/>
  <c r="AV94" i="66"/>
  <c r="AW94" i="66" s="1"/>
  <c r="AH94" i="66"/>
  <c r="AI94" i="66" s="1"/>
  <c r="AK94" i="66"/>
  <c r="AL94" i="66" s="1"/>
  <c r="O94" i="66"/>
  <c r="AT94" i="66"/>
  <c r="BL94" i="66"/>
  <c r="I96" i="17"/>
  <c r="K95" i="17"/>
  <c r="I111" i="133"/>
  <c r="I98" i="115"/>
  <c r="K97" i="115"/>
  <c r="BN95" i="15"/>
  <c r="BO95" i="15" s="1"/>
  <c r="BL95" i="15"/>
  <c r="AB95" i="15"/>
  <c r="AC95" i="15" s="1"/>
  <c r="M95" i="15"/>
  <c r="R95" i="15"/>
  <c r="T95" i="15" s="1"/>
  <c r="AQ95" i="15"/>
  <c r="AR95" i="15" s="1"/>
  <c r="AT95" i="15"/>
  <c r="AH95" i="15"/>
  <c r="AI95" i="15" s="1"/>
  <c r="Y95" i="15"/>
  <c r="Z95" i="15" s="1"/>
  <c r="BA95" i="15"/>
  <c r="BB95" i="15" s="1"/>
  <c r="V95" i="15"/>
  <c r="W95" i="15" s="1"/>
  <c r="O95" i="15"/>
  <c r="BD95" i="15"/>
  <c r="BE95" i="15" s="1"/>
  <c r="BQ95" i="15"/>
  <c r="BR95" i="15" s="1"/>
  <c r="AK95" i="15"/>
  <c r="AL95" i="15" s="1"/>
  <c r="BG95" i="15"/>
  <c r="BH95" i="15" s="1"/>
  <c r="P95" i="15"/>
  <c r="AV95" i="15"/>
  <c r="AW95" i="15" s="1"/>
  <c r="AN95" i="15"/>
  <c r="AO95" i="15" s="1"/>
  <c r="AY95" i="15"/>
  <c r="AE95" i="15"/>
  <c r="AF95" i="15" s="1"/>
  <c r="K96" i="15"/>
  <c r="I105" i="95"/>
  <c r="M96" i="63"/>
  <c r="BN96" i="63"/>
  <c r="BO96" i="63" s="1"/>
  <c r="R96" i="63"/>
  <c r="T96" i="63" s="1"/>
  <c r="O96" i="63"/>
  <c r="AY96" i="63"/>
  <c r="AT96" i="63"/>
  <c r="AB96" i="63"/>
  <c r="AC96" i="63" s="1"/>
  <c r="AH96" i="63"/>
  <c r="AI96" i="63" s="1"/>
  <c r="AK96" i="63"/>
  <c r="AL96" i="63" s="1"/>
  <c r="BA96" i="63"/>
  <c r="BB96" i="63" s="1"/>
  <c r="AE96" i="63"/>
  <c r="AF96" i="63" s="1"/>
  <c r="V96" i="63"/>
  <c r="W96" i="63" s="1"/>
  <c r="AN96" i="63"/>
  <c r="AO96" i="63" s="1"/>
  <c r="AQ96" i="63"/>
  <c r="AR96" i="63" s="1"/>
  <c r="P96" i="63"/>
  <c r="BQ96" i="63"/>
  <c r="BR96" i="63" s="1"/>
  <c r="BG96" i="63"/>
  <c r="BH96" i="63" s="1"/>
  <c r="BD96" i="63"/>
  <c r="BE96" i="63" s="1"/>
  <c r="Y96" i="63"/>
  <c r="Z96" i="63" s="1"/>
  <c r="AV96" i="63"/>
  <c r="AW96" i="63" s="1"/>
  <c r="BL96" i="63"/>
  <c r="K97" i="63"/>
  <c r="M95" i="101"/>
  <c r="V95" i="101"/>
  <c r="W95" i="101" s="1"/>
  <c r="AT95" i="101"/>
  <c r="R95" i="101"/>
  <c r="T95" i="101" s="1"/>
  <c r="BD95" i="101"/>
  <c r="BE95" i="101" s="1"/>
  <c r="Y95" i="101"/>
  <c r="Z95" i="101" s="1"/>
  <c r="AH95" i="101"/>
  <c r="AI95" i="101" s="1"/>
  <c r="AV95" i="101"/>
  <c r="AW95" i="101" s="1"/>
  <c r="O95" i="101"/>
  <c r="AN95" i="101"/>
  <c r="AO95" i="101" s="1"/>
  <c r="BQ95" i="101"/>
  <c r="BR95" i="101" s="1"/>
  <c r="AK95" i="101"/>
  <c r="AL95" i="101" s="1"/>
  <c r="AB95" i="101"/>
  <c r="AC95" i="101" s="1"/>
  <c r="BA95" i="101"/>
  <c r="BB95" i="101" s="1"/>
  <c r="BG95" i="101"/>
  <c r="BH95" i="101" s="1"/>
  <c r="AY95" i="101"/>
  <c r="AQ95" i="101"/>
  <c r="AR95" i="101" s="1"/>
  <c r="AE95" i="101"/>
  <c r="AF95" i="101" s="1"/>
  <c r="P95" i="101"/>
  <c r="I100" i="104"/>
  <c r="I98" i="96"/>
  <c r="K97" i="96"/>
  <c r="M96" i="110"/>
  <c r="BN96" i="110"/>
  <c r="BO96" i="110" s="1"/>
  <c r="BK96" i="110"/>
  <c r="BJ96" i="110"/>
  <c r="BL96" i="110" s="1"/>
  <c r="P96" i="110"/>
  <c r="AH96" i="110"/>
  <c r="AI96" i="110" s="1"/>
  <c r="AE96" i="110"/>
  <c r="AF96" i="110" s="1"/>
  <c r="AY96" i="110"/>
  <c r="R96" i="110"/>
  <c r="T96" i="110" s="1"/>
  <c r="Y96" i="110"/>
  <c r="Z96" i="110" s="1"/>
  <c r="AB96" i="110"/>
  <c r="AC96" i="110" s="1"/>
  <c r="AK96" i="110"/>
  <c r="AL96" i="110" s="1"/>
  <c r="BQ96" i="110"/>
  <c r="BR96" i="110" s="1"/>
  <c r="AV96" i="110"/>
  <c r="AW96" i="110" s="1"/>
  <c r="AT96" i="110"/>
  <c r="AQ96" i="110"/>
  <c r="AR96" i="110" s="1"/>
  <c r="AN96" i="110"/>
  <c r="AO96" i="110" s="1"/>
  <c r="BD96" i="110"/>
  <c r="BE96" i="110" s="1"/>
  <c r="O96" i="110"/>
  <c r="BA96" i="110"/>
  <c r="BB96" i="110" s="1"/>
  <c r="BG96" i="110"/>
  <c r="BH96" i="110" s="1"/>
  <c r="V96" i="110"/>
  <c r="W96" i="110" s="1"/>
  <c r="K95" i="120"/>
  <c r="M94" i="120"/>
  <c r="AY94" i="120"/>
  <c r="BA94" i="120"/>
  <c r="BB94" i="120" s="1"/>
  <c r="AV94" i="120"/>
  <c r="AW94" i="120" s="1"/>
  <c r="AE94" i="120"/>
  <c r="AF94" i="120" s="1"/>
  <c r="Y94" i="120"/>
  <c r="Z94" i="120" s="1"/>
  <c r="AH94" i="120"/>
  <c r="AI94" i="120" s="1"/>
  <c r="V94" i="120"/>
  <c r="W94" i="120" s="1"/>
  <c r="P94" i="120"/>
  <c r="BG94" i="120"/>
  <c r="BH94" i="120" s="1"/>
  <c r="BD94" i="120"/>
  <c r="BE94" i="120" s="1"/>
  <c r="AN94" i="120"/>
  <c r="AO94" i="120" s="1"/>
  <c r="AB94" i="120"/>
  <c r="AC94" i="120" s="1"/>
  <c r="O94" i="120"/>
  <c r="AQ94" i="120"/>
  <c r="AR94" i="120" s="1"/>
  <c r="AK94" i="120"/>
  <c r="AL94" i="120" s="1"/>
  <c r="R94" i="120"/>
  <c r="T94" i="120" s="1"/>
  <c r="BQ94" i="120"/>
  <c r="BR94" i="120" s="1"/>
  <c r="AT94" i="120"/>
  <c r="BN94" i="120"/>
  <c r="BO94" i="120" s="1"/>
  <c r="BQ96" i="98"/>
  <c r="BR96" i="98" s="1"/>
  <c r="BK96" i="98"/>
  <c r="BJ96" i="98"/>
  <c r="BL96" i="98" s="1"/>
  <c r="BN96" i="98"/>
  <c r="BO96" i="98" s="1"/>
  <c r="BG96" i="98"/>
  <c r="BH96" i="98" s="1"/>
  <c r="Y96" i="98"/>
  <c r="Z96" i="98" s="1"/>
  <c r="M96" i="98"/>
  <c r="O96" i="98"/>
  <c r="AN96" i="98"/>
  <c r="AO96" i="98" s="1"/>
  <c r="K97" i="98"/>
  <c r="AK96" i="98"/>
  <c r="AL96" i="98" s="1"/>
  <c r="R96" i="98"/>
  <c r="T96" i="98" s="1"/>
  <c r="AB96" i="98"/>
  <c r="AC96" i="98" s="1"/>
  <c r="BA96" i="98"/>
  <c r="BB96" i="98" s="1"/>
  <c r="V96" i="98"/>
  <c r="W96" i="98" s="1"/>
  <c r="AV96" i="98"/>
  <c r="AW96" i="98" s="1"/>
  <c r="P96" i="98"/>
  <c r="AE96" i="98"/>
  <c r="AF96" i="98" s="1"/>
  <c r="AQ96" i="98"/>
  <c r="AR96" i="98" s="1"/>
  <c r="AT96" i="98"/>
  <c r="BD96" i="98"/>
  <c r="BE96" i="98" s="1"/>
  <c r="AH96" i="98"/>
  <c r="AI96" i="98" s="1"/>
  <c r="AY96" i="98"/>
  <c r="I103" i="105"/>
  <c r="I102" i="114"/>
  <c r="I101" i="126"/>
  <c r="M97" i="135"/>
  <c r="BQ97" i="135"/>
  <c r="BR97" i="135" s="1"/>
  <c r="BG97" i="135"/>
  <c r="BH97" i="135" s="1"/>
  <c r="AB97" i="135"/>
  <c r="AC97" i="135" s="1"/>
  <c r="AN97" i="135"/>
  <c r="AO97" i="135" s="1"/>
  <c r="Y97" i="135"/>
  <c r="Z97" i="135" s="1"/>
  <c r="R97" i="135"/>
  <c r="T97" i="135" s="1"/>
  <c r="V97" i="135"/>
  <c r="W97" i="135" s="1"/>
  <c r="P97" i="135"/>
  <c r="AQ97" i="135"/>
  <c r="AR97" i="135" s="1"/>
  <c r="O97" i="135"/>
  <c r="BD97" i="135"/>
  <c r="BE97" i="135" s="1"/>
  <c r="BA97" i="135"/>
  <c r="BB97" i="135" s="1"/>
  <c r="AH97" i="135"/>
  <c r="AI97" i="135" s="1"/>
  <c r="AY97" i="135"/>
  <c r="AT97" i="135"/>
  <c r="AK97" i="135"/>
  <c r="AL97" i="135" s="1"/>
  <c r="BN97" i="135"/>
  <c r="BO97" i="135" s="1"/>
  <c r="AV97" i="135"/>
  <c r="AW97" i="135" s="1"/>
  <c r="AE97" i="135"/>
  <c r="AF97" i="135" s="1"/>
  <c r="BL97" i="135"/>
  <c r="BJ98" i="105"/>
  <c r="BL98" i="105" s="1"/>
  <c r="BK98" i="105"/>
  <c r="M98" i="105"/>
  <c r="BN98" i="105"/>
  <c r="BO98" i="105" s="1"/>
  <c r="AV98" i="105"/>
  <c r="AW98" i="105" s="1"/>
  <c r="AH98" i="105"/>
  <c r="AI98" i="105" s="1"/>
  <c r="BA98" i="105"/>
  <c r="BB98" i="105" s="1"/>
  <c r="AB98" i="105"/>
  <c r="AC98" i="105" s="1"/>
  <c r="Y98" i="105"/>
  <c r="Z98" i="105" s="1"/>
  <c r="AQ98" i="105"/>
  <c r="AR98" i="105" s="1"/>
  <c r="BG98" i="105"/>
  <c r="BH98" i="105" s="1"/>
  <c r="R98" i="105"/>
  <c r="T98" i="105" s="1"/>
  <c r="V98" i="105"/>
  <c r="W98" i="105" s="1"/>
  <c r="AK98" i="105"/>
  <c r="AL98" i="105" s="1"/>
  <c r="AY98" i="105"/>
  <c r="AE98" i="105"/>
  <c r="AF98" i="105" s="1"/>
  <c r="AN98" i="105"/>
  <c r="AO98" i="105" s="1"/>
  <c r="P98" i="105"/>
  <c r="AT98" i="105"/>
  <c r="BD98" i="105"/>
  <c r="BE98" i="105" s="1"/>
  <c r="BQ98" i="105"/>
  <c r="BR98" i="105" s="1"/>
  <c r="O98" i="105"/>
  <c r="K99" i="105"/>
  <c r="M100" i="107" l="1"/>
  <c r="R100" i="107"/>
  <c r="T100" i="107" s="1"/>
  <c r="AQ100" i="107"/>
  <c r="AR100" i="107" s="1"/>
  <c r="AN100" i="107"/>
  <c r="AO100" i="107" s="1"/>
  <c r="O100" i="107"/>
  <c r="BN100" i="107"/>
  <c r="BO100" i="107" s="1"/>
  <c r="P100" i="107"/>
  <c r="BD100" i="107"/>
  <c r="BE100" i="107" s="1"/>
  <c r="V100" i="107"/>
  <c r="W100" i="107" s="1"/>
  <c r="AT100" i="107"/>
  <c r="BK100" i="107"/>
  <c r="AE100" i="107"/>
  <c r="AF100" i="107" s="1"/>
  <c r="BA100" i="107"/>
  <c r="BB100" i="107" s="1"/>
  <c r="AH100" i="107"/>
  <c r="AI100" i="107" s="1"/>
  <c r="AK100" i="107"/>
  <c r="AL100" i="107" s="1"/>
  <c r="AY100" i="107"/>
  <c r="BQ100" i="107"/>
  <c r="BR100" i="107" s="1"/>
  <c r="BG100" i="107"/>
  <c r="BH100" i="107" s="1"/>
  <c r="AB100" i="107"/>
  <c r="AC100" i="107" s="1"/>
  <c r="Y100" i="107"/>
  <c r="Z100" i="107" s="1"/>
  <c r="BJ100" i="107"/>
  <c r="BL100" i="107" s="1"/>
  <c r="AV100" i="107"/>
  <c r="AW100" i="107" s="1"/>
  <c r="BD98" i="99"/>
  <c r="BE98" i="99" s="1"/>
  <c r="Y98" i="99"/>
  <c r="Z98" i="99" s="1"/>
  <c r="AK98" i="99"/>
  <c r="AL98" i="99" s="1"/>
  <c r="AB98" i="99"/>
  <c r="AC98" i="99" s="1"/>
  <c r="O98" i="99"/>
  <c r="AH98" i="99"/>
  <c r="AI98" i="99" s="1"/>
  <c r="AQ98" i="99"/>
  <c r="AR98" i="99" s="1"/>
  <c r="BG98" i="99"/>
  <c r="BH98" i="99" s="1"/>
  <c r="V98" i="99"/>
  <c r="W98" i="99" s="1"/>
  <c r="BJ98" i="99"/>
  <c r="BL98" i="99" s="1"/>
  <c r="M98" i="99"/>
  <c r="BK98" i="99"/>
  <c r="AN98" i="99"/>
  <c r="AO98" i="99" s="1"/>
  <c r="AE98" i="99"/>
  <c r="AF98" i="99" s="1"/>
  <c r="AY98" i="99"/>
  <c r="P98" i="99"/>
  <c r="BN98" i="99"/>
  <c r="BO98" i="99" s="1"/>
  <c r="AV98" i="99"/>
  <c r="AW98" i="99" s="1"/>
  <c r="AT98" i="99"/>
  <c r="K99" i="99"/>
  <c r="BA98" i="99"/>
  <c r="BB98" i="99" s="1"/>
  <c r="BQ98" i="99"/>
  <c r="BR98" i="99" s="1"/>
  <c r="R98" i="99"/>
  <c r="T98" i="99" s="1"/>
  <c r="I102" i="107"/>
  <c r="K101" i="107"/>
  <c r="M98" i="132"/>
  <c r="BD98" i="132"/>
  <c r="BE98" i="132" s="1"/>
  <c r="Y98" i="132"/>
  <c r="Z98" i="132" s="1"/>
  <c r="BQ98" i="132"/>
  <c r="BR98" i="132" s="1"/>
  <c r="AK98" i="132"/>
  <c r="AL98" i="132" s="1"/>
  <c r="V98" i="132"/>
  <c r="W98" i="132" s="1"/>
  <c r="BG98" i="132"/>
  <c r="BH98" i="132" s="1"/>
  <c r="AQ98" i="132"/>
  <c r="AR98" i="132" s="1"/>
  <c r="BL98" i="132"/>
  <c r="AV98" i="132"/>
  <c r="AW98" i="132" s="1"/>
  <c r="AH98" i="132"/>
  <c r="AI98" i="132" s="1"/>
  <c r="K99" i="132"/>
  <c r="AT98" i="132"/>
  <c r="AY98" i="132"/>
  <c r="AB98" i="132"/>
  <c r="AC98" i="132" s="1"/>
  <c r="O98" i="132"/>
  <c r="P98" i="132"/>
  <c r="AE98" i="132"/>
  <c r="AF98" i="132" s="1"/>
  <c r="BA98" i="132"/>
  <c r="BB98" i="132" s="1"/>
  <c r="R98" i="132"/>
  <c r="T98" i="132" s="1"/>
  <c r="BN98" i="132"/>
  <c r="BO98" i="132" s="1"/>
  <c r="AN98" i="132"/>
  <c r="AO98" i="132" s="1"/>
  <c r="BN99" i="133"/>
  <c r="BO99" i="133" s="1"/>
  <c r="AK99" i="133"/>
  <c r="AL99" i="133" s="1"/>
  <c r="AN99" i="133"/>
  <c r="AO99" i="133" s="1"/>
  <c r="AQ99" i="133"/>
  <c r="AR99" i="133" s="1"/>
  <c r="P99" i="133"/>
  <c r="AT99" i="133"/>
  <c r="K100" i="133"/>
  <c r="AH99" i="133"/>
  <c r="AI99" i="133" s="1"/>
  <c r="O99" i="133"/>
  <c r="Y99" i="133"/>
  <c r="Z99" i="133" s="1"/>
  <c r="BD99" i="133"/>
  <c r="BE99" i="133" s="1"/>
  <c r="AE99" i="133"/>
  <c r="AF99" i="133" s="1"/>
  <c r="BA99" i="133"/>
  <c r="BB99" i="133" s="1"/>
  <c r="BL99" i="133"/>
  <c r="AV99" i="133"/>
  <c r="AW99" i="133" s="1"/>
  <c r="BG99" i="133"/>
  <c r="BH99" i="133" s="1"/>
  <c r="AY99" i="133"/>
  <c r="M99" i="133"/>
  <c r="V99" i="133"/>
  <c r="W99" i="133" s="1"/>
  <c r="BQ99" i="133"/>
  <c r="BR99" i="133" s="1"/>
  <c r="R99" i="133"/>
  <c r="T99" i="133" s="1"/>
  <c r="AB99" i="133"/>
  <c r="AC99" i="133" s="1"/>
  <c r="BK96" i="112"/>
  <c r="AH96" i="112"/>
  <c r="AI96" i="112" s="1"/>
  <c r="AB96" i="112"/>
  <c r="AC96" i="112" s="1"/>
  <c r="AE96" i="112"/>
  <c r="AF96" i="112" s="1"/>
  <c r="M96" i="112"/>
  <c r="AV96" i="112"/>
  <c r="AW96" i="112" s="1"/>
  <c r="BD96" i="112"/>
  <c r="BE96" i="112" s="1"/>
  <c r="AN96" i="112"/>
  <c r="AO96" i="112" s="1"/>
  <c r="BN96" i="112"/>
  <c r="BO96" i="112" s="1"/>
  <c r="O96" i="112"/>
  <c r="R96" i="112"/>
  <c r="T96" i="112" s="1"/>
  <c r="AT96" i="112"/>
  <c r="BJ96" i="112"/>
  <c r="BL96" i="112" s="1"/>
  <c r="Y96" i="112"/>
  <c r="Z96" i="112" s="1"/>
  <c r="BG96" i="112"/>
  <c r="BH96" i="112" s="1"/>
  <c r="P96" i="112"/>
  <c r="K97" i="112"/>
  <c r="BA96" i="112"/>
  <c r="BB96" i="112" s="1"/>
  <c r="V96" i="112"/>
  <c r="W96" i="112" s="1"/>
  <c r="AY96" i="112"/>
  <c r="AQ96" i="112"/>
  <c r="AR96" i="112" s="1"/>
  <c r="AK96" i="112"/>
  <c r="AL96" i="112" s="1"/>
  <c r="BQ96" i="112"/>
  <c r="BR96" i="112" s="1"/>
  <c r="K102" i="156"/>
  <c r="AY102" i="156" s="1"/>
  <c r="I103" i="156"/>
  <c r="M96" i="106"/>
  <c r="AY96" i="106"/>
  <c r="BG96" i="106"/>
  <c r="BH96" i="106" s="1"/>
  <c r="R96" i="106"/>
  <c r="T96" i="106" s="1"/>
  <c r="AT96" i="106"/>
  <c r="BA96" i="106"/>
  <c r="BB96" i="106" s="1"/>
  <c r="AE96" i="106"/>
  <c r="AF96" i="106" s="1"/>
  <c r="AK96" i="106"/>
  <c r="AL96" i="106" s="1"/>
  <c r="BJ96" i="106"/>
  <c r="BL96" i="106" s="1"/>
  <c r="BQ96" i="106"/>
  <c r="BR96" i="106" s="1"/>
  <c r="O96" i="106"/>
  <c r="BN96" i="106"/>
  <c r="BO96" i="106" s="1"/>
  <c r="AQ96" i="106"/>
  <c r="AR96" i="106" s="1"/>
  <c r="Y96" i="106"/>
  <c r="Z96" i="106" s="1"/>
  <c r="AB96" i="106"/>
  <c r="AC96" i="106" s="1"/>
  <c r="V96" i="106"/>
  <c r="W96" i="106" s="1"/>
  <c r="P96" i="106"/>
  <c r="AH96" i="106"/>
  <c r="AI96" i="106" s="1"/>
  <c r="BK96" i="106"/>
  <c r="AV96" i="106"/>
  <c r="AW96" i="106" s="1"/>
  <c r="AN96" i="106"/>
  <c r="AO96" i="106" s="1"/>
  <c r="BD96" i="106"/>
  <c r="BE96" i="106" s="1"/>
  <c r="K97" i="106"/>
  <c r="V101" i="156"/>
  <c r="W101" i="156" s="1"/>
  <c r="M101" i="156"/>
  <c r="Y101" i="156"/>
  <c r="Z101" i="156" s="1"/>
  <c r="BL101" i="156"/>
  <c r="AB101" i="156"/>
  <c r="AC101" i="156" s="1"/>
  <c r="P101" i="156"/>
  <c r="AE101" i="156"/>
  <c r="AF101" i="156" s="1"/>
  <c r="AH101" i="156"/>
  <c r="AI101" i="156" s="1"/>
  <c r="AV101" i="156"/>
  <c r="AW101" i="156" s="1"/>
  <c r="AK101" i="156"/>
  <c r="AL101" i="156" s="1"/>
  <c r="AN101" i="156"/>
  <c r="AO101" i="156" s="1"/>
  <c r="BN101" i="156"/>
  <c r="BO101" i="156" s="1"/>
  <c r="AQ101" i="156"/>
  <c r="AR101" i="156" s="1"/>
  <c r="BA101" i="156"/>
  <c r="BB101" i="156" s="1"/>
  <c r="BQ101" i="156"/>
  <c r="BR101" i="156" s="1"/>
  <c r="BD101" i="156"/>
  <c r="BE101" i="156" s="1"/>
  <c r="O101" i="156"/>
  <c r="BG101" i="156"/>
  <c r="BH101" i="156" s="1"/>
  <c r="R101" i="156"/>
  <c r="T101" i="156" s="1"/>
  <c r="AN95" i="95"/>
  <c r="AO95" i="95" s="1"/>
  <c r="P95" i="95"/>
  <c r="AV95" i="95"/>
  <c r="AW95" i="95" s="1"/>
  <c r="AK95" i="95"/>
  <c r="AL95" i="95" s="1"/>
  <c r="O95" i="95"/>
  <c r="AH95" i="95"/>
  <c r="AI95" i="95" s="1"/>
  <c r="M95" i="95"/>
  <c r="V95" i="95"/>
  <c r="W95" i="95" s="1"/>
  <c r="BG95" i="95"/>
  <c r="BH95" i="95" s="1"/>
  <c r="BA95" i="95"/>
  <c r="BB95" i="95" s="1"/>
  <c r="BN95" i="95"/>
  <c r="BO95" i="95" s="1"/>
  <c r="AB95" i="95"/>
  <c r="AC95" i="95" s="1"/>
  <c r="AT95" i="95"/>
  <c r="AQ95" i="95"/>
  <c r="AR95" i="95" s="1"/>
  <c r="BL95" i="95"/>
  <c r="AE95" i="95"/>
  <c r="AF95" i="95" s="1"/>
  <c r="BD95" i="95"/>
  <c r="BE95" i="95" s="1"/>
  <c r="K96" i="95"/>
  <c r="R95" i="95"/>
  <c r="T95" i="95" s="1"/>
  <c r="BQ95" i="95"/>
  <c r="BR95" i="95" s="1"/>
  <c r="Y95" i="95"/>
  <c r="Z95" i="95" s="1"/>
  <c r="I103" i="106"/>
  <c r="BN97" i="129"/>
  <c r="BO97" i="129" s="1"/>
  <c r="BD97" i="129"/>
  <c r="BE97" i="129" s="1"/>
  <c r="AK97" i="129"/>
  <c r="AL97" i="129" s="1"/>
  <c r="R97" i="129"/>
  <c r="T97" i="129" s="1"/>
  <c r="BL97" i="129"/>
  <c r="BG97" i="129"/>
  <c r="BH97" i="129" s="1"/>
  <c r="AT97" i="129"/>
  <c r="AH97" i="129"/>
  <c r="AI97" i="129" s="1"/>
  <c r="K98" i="129"/>
  <c r="O97" i="129"/>
  <c r="AV97" i="129"/>
  <c r="AW97" i="129" s="1"/>
  <c r="AN97" i="129"/>
  <c r="AO97" i="129" s="1"/>
  <c r="Y97" i="129"/>
  <c r="Z97" i="129" s="1"/>
  <c r="AQ97" i="129"/>
  <c r="AR97" i="129" s="1"/>
  <c r="AE97" i="129"/>
  <c r="AF97" i="129" s="1"/>
  <c r="AB97" i="129"/>
  <c r="AC97" i="129" s="1"/>
  <c r="V97" i="129"/>
  <c r="W97" i="129" s="1"/>
  <c r="BA97" i="129"/>
  <c r="BB97" i="129" s="1"/>
  <c r="M97" i="129"/>
  <c r="P97" i="129"/>
  <c r="AY97" i="129"/>
  <c r="BQ97" i="129"/>
  <c r="BR97" i="129" s="1"/>
  <c r="P96" i="104"/>
  <c r="AE96" i="104"/>
  <c r="AF96" i="104" s="1"/>
  <c r="R96" i="104"/>
  <c r="T96" i="104" s="1"/>
  <c r="AQ96" i="104"/>
  <c r="AR96" i="104" s="1"/>
  <c r="AK96" i="104"/>
  <c r="AL96" i="104" s="1"/>
  <c r="V96" i="104"/>
  <c r="W96" i="104" s="1"/>
  <c r="M96" i="104"/>
  <c r="BD96" i="104"/>
  <c r="BE96" i="104" s="1"/>
  <c r="AB96" i="104"/>
  <c r="AC96" i="104" s="1"/>
  <c r="AT96" i="104"/>
  <c r="BK96" i="104"/>
  <c r="BA96" i="104"/>
  <c r="BB96" i="104" s="1"/>
  <c r="AV96" i="104"/>
  <c r="AW96" i="104" s="1"/>
  <c r="BQ96" i="104"/>
  <c r="BR96" i="104" s="1"/>
  <c r="BJ96" i="104"/>
  <c r="BL96" i="104" s="1"/>
  <c r="BG96" i="104"/>
  <c r="BH96" i="104" s="1"/>
  <c r="AN96" i="104"/>
  <c r="AO96" i="104" s="1"/>
  <c r="O96" i="104"/>
  <c r="BN96" i="104"/>
  <c r="BO96" i="104" s="1"/>
  <c r="Y96" i="104"/>
  <c r="Z96" i="104" s="1"/>
  <c r="AY96" i="104"/>
  <c r="AH96" i="104"/>
  <c r="AI96" i="104" s="1"/>
  <c r="K97" i="104"/>
  <c r="BN97" i="130"/>
  <c r="BO97" i="130" s="1"/>
  <c r="BL97" i="130"/>
  <c r="K98" i="130"/>
  <c r="M97" i="130"/>
  <c r="AY97" i="130"/>
  <c r="BQ97" i="130"/>
  <c r="BR97" i="130" s="1"/>
  <c r="AV97" i="130"/>
  <c r="AW97" i="130" s="1"/>
  <c r="R97" i="130"/>
  <c r="T97" i="130" s="1"/>
  <c r="AE97" i="130"/>
  <c r="AF97" i="130" s="1"/>
  <c r="AQ97" i="130"/>
  <c r="AR97" i="130" s="1"/>
  <c r="BA97" i="130"/>
  <c r="BB97" i="130" s="1"/>
  <c r="BD97" i="130"/>
  <c r="BE97" i="130" s="1"/>
  <c r="BG97" i="130"/>
  <c r="BH97" i="130" s="1"/>
  <c r="AT97" i="130"/>
  <c r="V97" i="130"/>
  <c r="W97" i="130" s="1"/>
  <c r="O97" i="130"/>
  <c r="P97" i="130"/>
  <c r="AB97" i="130"/>
  <c r="AC97" i="130" s="1"/>
  <c r="AH97" i="130"/>
  <c r="AI97" i="130" s="1"/>
  <c r="AK97" i="130"/>
  <c r="AL97" i="130" s="1"/>
  <c r="Y97" i="130"/>
  <c r="Z97" i="130" s="1"/>
  <c r="AN97" i="130"/>
  <c r="AO97" i="130" s="1"/>
  <c r="K103" i="155"/>
  <c r="I104" i="155"/>
  <c r="M102" i="155"/>
  <c r="BQ102" i="155"/>
  <c r="BR102" i="155" s="1"/>
  <c r="O102" i="155"/>
  <c r="V102" i="155"/>
  <c r="W102" i="155" s="1"/>
  <c r="AB102" i="155"/>
  <c r="AC102" i="155" s="1"/>
  <c r="AH102" i="155"/>
  <c r="AI102" i="155" s="1"/>
  <c r="AN102" i="155"/>
  <c r="AO102" i="155" s="1"/>
  <c r="BA102" i="155"/>
  <c r="BB102" i="155" s="1"/>
  <c r="BG102" i="155"/>
  <c r="BH102" i="155" s="1"/>
  <c r="BL102" i="155"/>
  <c r="P102" i="155"/>
  <c r="AV102" i="155"/>
  <c r="AW102" i="155" s="1"/>
  <c r="BN102" i="155"/>
  <c r="BO102" i="155" s="1"/>
  <c r="R102" i="155"/>
  <c r="T102" i="155" s="1"/>
  <c r="Y102" i="155"/>
  <c r="Z102" i="155" s="1"/>
  <c r="AE102" i="155"/>
  <c r="AF102" i="155" s="1"/>
  <c r="AK102" i="155"/>
  <c r="AL102" i="155" s="1"/>
  <c r="AQ102" i="155"/>
  <c r="AR102" i="155" s="1"/>
  <c r="BD102" i="155"/>
  <c r="BE102" i="155" s="1"/>
  <c r="I107" i="153"/>
  <c r="O102" i="153"/>
  <c r="V102" i="153"/>
  <c r="W102" i="153" s="1"/>
  <c r="AB102" i="153"/>
  <c r="AC102" i="153" s="1"/>
  <c r="P102" i="153"/>
  <c r="AV102" i="153"/>
  <c r="AW102" i="153" s="1"/>
  <c r="BN102" i="153"/>
  <c r="BO102" i="153" s="1"/>
  <c r="M102" i="153"/>
  <c r="AK102" i="153"/>
  <c r="AL102" i="153" s="1"/>
  <c r="BA102" i="153"/>
  <c r="BB102" i="153" s="1"/>
  <c r="BQ102" i="153"/>
  <c r="BR102" i="153" s="1"/>
  <c r="R102" i="153"/>
  <c r="T102" i="153" s="1"/>
  <c r="AE102" i="153"/>
  <c r="AF102" i="153" s="1"/>
  <c r="BD102" i="153"/>
  <c r="BE102" i="153" s="1"/>
  <c r="AN102" i="153"/>
  <c r="AO102" i="153" s="1"/>
  <c r="AH102" i="153"/>
  <c r="AI102" i="153" s="1"/>
  <c r="AQ102" i="153"/>
  <c r="AR102" i="153" s="1"/>
  <c r="Y102" i="153"/>
  <c r="Z102" i="153" s="1"/>
  <c r="BG102" i="153"/>
  <c r="BH102" i="153" s="1"/>
  <c r="BL102" i="153"/>
  <c r="K103" i="153"/>
  <c r="I111" i="152"/>
  <c r="O102" i="152"/>
  <c r="V102" i="152"/>
  <c r="W102" i="152" s="1"/>
  <c r="AB102" i="152"/>
  <c r="AC102" i="152" s="1"/>
  <c r="AH102" i="152"/>
  <c r="AI102" i="152" s="1"/>
  <c r="AN102" i="152"/>
  <c r="AO102" i="152" s="1"/>
  <c r="BA102" i="152"/>
  <c r="BB102" i="152" s="1"/>
  <c r="BG102" i="152"/>
  <c r="BH102" i="152" s="1"/>
  <c r="P102" i="152"/>
  <c r="AV102" i="152"/>
  <c r="AW102" i="152" s="1"/>
  <c r="BN102" i="152"/>
  <c r="BO102" i="152" s="1"/>
  <c r="M102" i="152"/>
  <c r="R102" i="152"/>
  <c r="T102" i="152" s="1"/>
  <c r="AE102" i="152"/>
  <c r="AF102" i="152" s="1"/>
  <c r="AQ102" i="152"/>
  <c r="AR102" i="152" s="1"/>
  <c r="BD102" i="152"/>
  <c r="BE102" i="152" s="1"/>
  <c r="BQ102" i="152"/>
  <c r="BR102" i="152" s="1"/>
  <c r="Y102" i="152"/>
  <c r="Z102" i="152" s="1"/>
  <c r="AK102" i="152"/>
  <c r="AL102" i="152" s="1"/>
  <c r="BL102" i="152"/>
  <c r="K103" i="152"/>
  <c r="I102" i="151"/>
  <c r="K101" i="151"/>
  <c r="BQ100" i="151"/>
  <c r="BR100" i="151" s="1"/>
  <c r="AY100" i="151"/>
  <c r="BD100" i="151"/>
  <c r="BE100" i="151" s="1"/>
  <c r="AQ100" i="151"/>
  <c r="AR100" i="151" s="1"/>
  <c r="AK100" i="151"/>
  <c r="AL100" i="151" s="1"/>
  <c r="AE100" i="151"/>
  <c r="AF100" i="151" s="1"/>
  <c r="Y100" i="151"/>
  <c r="Z100" i="151" s="1"/>
  <c r="R100" i="151"/>
  <c r="T100" i="151" s="1"/>
  <c r="AV100" i="151"/>
  <c r="AW100" i="151" s="1"/>
  <c r="P100" i="151"/>
  <c r="BG100" i="151"/>
  <c r="BH100" i="151" s="1"/>
  <c r="AH100" i="151"/>
  <c r="AI100" i="151" s="1"/>
  <c r="AT100" i="151"/>
  <c r="V100" i="151"/>
  <c r="W100" i="151" s="1"/>
  <c r="AN100" i="151"/>
  <c r="AO100" i="151" s="1"/>
  <c r="AB100" i="151"/>
  <c r="AC100" i="151" s="1"/>
  <c r="O100" i="151"/>
  <c r="BA100" i="151"/>
  <c r="BB100" i="151" s="1"/>
  <c r="M100" i="151"/>
  <c r="BN100" i="151"/>
  <c r="BO100" i="151" s="1"/>
  <c r="BL100" i="151"/>
  <c r="BD99" i="150"/>
  <c r="BE99" i="150" s="1"/>
  <c r="AQ99" i="150"/>
  <c r="AR99" i="150" s="1"/>
  <c r="AK99" i="150"/>
  <c r="AL99" i="150" s="1"/>
  <c r="AE99" i="150"/>
  <c r="AF99" i="150" s="1"/>
  <c r="Y99" i="150"/>
  <c r="Z99" i="150" s="1"/>
  <c r="R99" i="150"/>
  <c r="T99" i="150" s="1"/>
  <c r="AV99" i="150"/>
  <c r="AW99" i="150" s="1"/>
  <c r="P99" i="150"/>
  <c r="BG99" i="150"/>
  <c r="BH99" i="150" s="1"/>
  <c r="BA99" i="150"/>
  <c r="BB99" i="150" s="1"/>
  <c r="AT99" i="150"/>
  <c r="AN99" i="150"/>
  <c r="AO99" i="150" s="1"/>
  <c r="AH99" i="150"/>
  <c r="AI99" i="150" s="1"/>
  <c r="AB99" i="150"/>
  <c r="AC99" i="150" s="1"/>
  <c r="V99" i="150"/>
  <c r="W99" i="150" s="1"/>
  <c r="O99" i="150"/>
  <c r="BQ99" i="150"/>
  <c r="BR99" i="150" s="1"/>
  <c r="AY99" i="150"/>
  <c r="BN99" i="150"/>
  <c r="BO99" i="150" s="1"/>
  <c r="M99" i="150"/>
  <c r="BL99" i="150"/>
  <c r="K100" i="150"/>
  <c r="I103" i="150"/>
  <c r="K102" i="149"/>
  <c r="I103" i="149"/>
  <c r="BQ101" i="149"/>
  <c r="BR101" i="149" s="1"/>
  <c r="AY101" i="149"/>
  <c r="AT101" i="149"/>
  <c r="AK101" i="149"/>
  <c r="AL101" i="149" s="1"/>
  <c r="V101" i="149"/>
  <c r="W101" i="149" s="1"/>
  <c r="BA101" i="149"/>
  <c r="BB101" i="149" s="1"/>
  <c r="AQ101" i="149"/>
  <c r="AR101" i="149" s="1"/>
  <c r="AB101" i="149"/>
  <c r="AC101" i="149" s="1"/>
  <c r="R101" i="149"/>
  <c r="T101" i="149" s="1"/>
  <c r="AV101" i="149"/>
  <c r="AW101" i="149" s="1"/>
  <c r="AE101" i="149"/>
  <c r="AF101" i="149" s="1"/>
  <c r="O101" i="149"/>
  <c r="BG101" i="149"/>
  <c r="BH101" i="149" s="1"/>
  <c r="Y101" i="149"/>
  <c r="Z101" i="149" s="1"/>
  <c r="BD101" i="149"/>
  <c r="BE101" i="149" s="1"/>
  <c r="AN101" i="149"/>
  <c r="AO101" i="149" s="1"/>
  <c r="AH101" i="149"/>
  <c r="AI101" i="149" s="1"/>
  <c r="P101" i="149"/>
  <c r="M101" i="149"/>
  <c r="BN101" i="149"/>
  <c r="BO101" i="149" s="1"/>
  <c r="BL101" i="149"/>
  <c r="AV100" i="147"/>
  <c r="AW100" i="147" s="1"/>
  <c r="P100" i="147"/>
  <c r="BQ100" i="147"/>
  <c r="BR100" i="147" s="1"/>
  <c r="BA100" i="147"/>
  <c r="BB100" i="147" s="1"/>
  <c r="AK100" i="147"/>
  <c r="AL100" i="147" s="1"/>
  <c r="AB100" i="147"/>
  <c r="AC100" i="147" s="1"/>
  <c r="BG100" i="147"/>
  <c r="BH100" i="147" s="1"/>
  <c r="AY100" i="147"/>
  <c r="AQ100" i="147"/>
  <c r="AR100" i="147" s="1"/>
  <c r="AH100" i="147"/>
  <c r="AI100" i="147" s="1"/>
  <c r="R100" i="147"/>
  <c r="T100" i="147" s="1"/>
  <c r="AN100" i="147"/>
  <c r="AO100" i="147" s="1"/>
  <c r="Y100" i="147"/>
  <c r="Z100" i="147" s="1"/>
  <c r="BD100" i="147"/>
  <c r="BE100" i="147" s="1"/>
  <c r="V100" i="147"/>
  <c r="W100" i="147" s="1"/>
  <c r="AE100" i="147"/>
  <c r="AF100" i="147" s="1"/>
  <c r="O100" i="147"/>
  <c r="AT100" i="147"/>
  <c r="M100" i="147"/>
  <c r="BK100" i="147"/>
  <c r="BN100" i="147"/>
  <c r="BO100" i="147" s="1"/>
  <c r="BJ100" i="147"/>
  <c r="BL100" i="147" s="1"/>
  <c r="I102" i="147"/>
  <c r="K101" i="147"/>
  <c r="K100" i="146"/>
  <c r="I101" i="146"/>
  <c r="BD99" i="146"/>
  <c r="BE99" i="146" s="1"/>
  <c r="AQ99" i="146"/>
  <c r="AR99" i="146" s="1"/>
  <c r="AK99" i="146"/>
  <c r="AL99" i="146" s="1"/>
  <c r="AE99" i="146"/>
  <c r="AF99" i="146" s="1"/>
  <c r="Y99" i="146"/>
  <c r="Z99" i="146" s="1"/>
  <c r="R99" i="146"/>
  <c r="T99" i="146" s="1"/>
  <c r="AV99" i="146"/>
  <c r="AW99" i="146" s="1"/>
  <c r="P99" i="146"/>
  <c r="BG99" i="146"/>
  <c r="BH99" i="146" s="1"/>
  <c r="BA99" i="146"/>
  <c r="BB99" i="146" s="1"/>
  <c r="AT99" i="146"/>
  <c r="AN99" i="146"/>
  <c r="AO99" i="146" s="1"/>
  <c r="AH99" i="146"/>
  <c r="AI99" i="146" s="1"/>
  <c r="AB99" i="146"/>
  <c r="AC99" i="146" s="1"/>
  <c r="V99" i="146"/>
  <c r="W99" i="146" s="1"/>
  <c r="O99" i="146"/>
  <c r="AY99" i="146"/>
  <c r="BQ99" i="146"/>
  <c r="BR99" i="146" s="1"/>
  <c r="BN99" i="146"/>
  <c r="BO99" i="146" s="1"/>
  <c r="BK99" i="146"/>
  <c r="M99" i="146"/>
  <c r="BJ99" i="146"/>
  <c r="BL99" i="146" s="1"/>
  <c r="Y97" i="96"/>
  <c r="Z97" i="96" s="1"/>
  <c r="AB97" i="96"/>
  <c r="AC97" i="96" s="1"/>
  <c r="BG97" i="96"/>
  <c r="BH97" i="96" s="1"/>
  <c r="AE97" i="96"/>
  <c r="AF97" i="96" s="1"/>
  <c r="AN97" i="96"/>
  <c r="AO97" i="96" s="1"/>
  <c r="AK97" i="96"/>
  <c r="AL97" i="96" s="1"/>
  <c r="AV97" i="96"/>
  <c r="AW97" i="96" s="1"/>
  <c r="BL97" i="96"/>
  <c r="O97" i="96"/>
  <c r="V97" i="96"/>
  <c r="W97" i="96" s="1"/>
  <c r="M97" i="96"/>
  <c r="P97" i="96"/>
  <c r="BA97" i="96"/>
  <c r="BB97" i="96" s="1"/>
  <c r="BQ97" i="96"/>
  <c r="BR97" i="96" s="1"/>
  <c r="BN97" i="96"/>
  <c r="BO97" i="96" s="1"/>
  <c r="AQ97" i="96"/>
  <c r="AR97" i="96" s="1"/>
  <c r="BD97" i="96"/>
  <c r="BE97" i="96" s="1"/>
  <c r="R97" i="96"/>
  <c r="T97" i="96" s="1"/>
  <c r="AH97" i="96"/>
  <c r="AI97" i="96" s="1"/>
  <c r="AT97" i="96"/>
  <c r="I106" i="95"/>
  <c r="I99" i="115"/>
  <c r="K98" i="115"/>
  <c r="I112" i="133"/>
  <c r="BN97" i="114"/>
  <c r="BO97" i="114" s="1"/>
  <c r="M97" i="114"/>
  <c r="BJ97" i="114"/>
  <c r="BL97" i="114" s="1"/>
  <c r="BK97" i="114"/>
  <c r="AY97" i="114"/>
  <c r="BA97" i="114"/>
  <c r="BB97" i="114" s="1"/>
  <c r="BG97" i="114"/>
  <c r="BH97" i="114" s="1"/>
  <c r="Y97" i="114"/>
  <c r="Z97" i="114" s="1"/>
  <c r="AV97" i="114"/>
  <c r="AW97" i="114" s="1"/>
  <c r="AB97" i="114"/>
  <c r="AC97" i="114" s="1"/>
  <c r="V97" i="114"/>
  <c r="W97" i="114" s="1"/>
  <c r="AH97" i="114"/>
  <c r="AI97" i="114" s="1"/>
  <c r="AK97" i="114"/>
  <c r="AL97" i="114" s="1"/>
  <c r="R97" i="114"/>
  <c r="T97" i="114" s="1"/>
  <c r="P97" i="114"/>
  <c r="O97" i="114"/>
  <c r="BD97" i="114"/>
  <c r="BE97" i="114" s="1"/>
  <c r="AT97" i="114"/>
  <c r="AE97" i="114"/>
  <c r="AF97" i="114" s="1"/>
  <c r="BQ97" i="114"/>
  <c r="BR97" i="114" s="1"/>
  <c r="AN97" i="114"/>
  <c r="AO97" i="114" s="1"/>
  <c r="AQ97" i="114"/>
  <c r="AR97" i="114" s="1"/>
  <c r="K98" i="114"/>
  <c r="BN98" i="135"/>
  <c r="BO98" i="135" s="1"/>
  <c r="M98" i="135"/>
  <c r="Y98" i="135"/>
  <c r="Z98" i="135" s="1"/>
  <c r="AN98" i="135"/>
  <c r="AO98" i="135" s="1"/>
  <c r="BQ98" i="135"/>
  <c r="BR98" i="135" s="1"/>
  <c r="AY98" i="135"/>
  <c r="P98" i="135"/>
  <c r="BA98" i="135"/>
  <c r="BB98" i="135" s="1"/>
  <c r="R98" i="135"/>
  <c r="T98" i="135" s="1"/>
  <c r="AV98" i="135"/>
  <c r="AW98" i="135" s="1"/>
  <c r="AB98" i="135"/>
  <c r="AC98" i="135" s="1"/>
  <c r="AE98" i="135"/>
  <c r="AF98" i="135" s="1"/>
  <c r="AT98" i="135"/>
  <c r="O98" i="135"/>
  <c r="V98" i="135"/>
  <c r="W98" i="135" s="1"/>
  <c r="AQ98" i="135"/>
  <c r="AR98" i="135" s="1"/>
  <c r="AK98" i="135"/>
  <c r="AL98" i="135" s="1"/>
  <c r="BG98" i="135"/>
  <c r="BH98" i="135" s="1"/>
  <c r="BD98" i="135"/>
  <c r="BE98" i="135" s="1"/>
  <c r="AH98" i="135"/>
  <c r="AI98" i="135" s="1"/>
  <c r="BL98" i="135"/>
  <c r="I101" i="15"/>
  <c r="I102" i="126"/>
  <c r="I104" i="105"/>
  <c r="O95" i="120"/>
  <c r="P95" i="120"/>
  <c r="M95" i="120"/>
  <c r="BA95" i="120"/>
  <c r="BB95" i="120" s="1"/>
  <c r="AV95" i="120"/>
  <c r="AW95" i="120" s="1"/>
  <c r="BG95" i="120"/>
  <c r="BH95" i="120" s="1"/>
  <c r="BD95" i="120"/>
  <c r="BE95" i="120" s="1"/>
  <c r="K96" i="120"/>
  <c r="AK95" i="120"/>
  <c r="AL95" i="120" s="1"/>
  <c r="AH95" i="120"/>
  <c r="AI95" i="120" s="1"/>
  <c r="AQ95" i="120"/>
  <c r="AR95" i="120" s="1"/>
  <c r="AN95" i="120"/>
  <c r="AO95" i="120" s="1"/>
  <c r="AB95" i="120"/>
  <c r="AC95" i="120" s="1"/>
  <c r="V95" i="120"/>
  <c r="W95" i="120" s="1"/>
  <c r="R95" i="120"/>
  <c r="T95" i="120" s="1"/>
  <c r="AE95" i="120"/>
  <c r="AF95" i="120" s="1"/>
  <c r="Y95" i="120"/>
  <c r="Z95" i="120" s="1"/>
  <c r="AY95" i="120"/>
  <c r="BQ95" i="120"/>
  <c r="BR95" i="120" s="1"/>
  <c r="AT95" i="120"/>
  <c r="BN95" i="120"/>
  <c r="BO95" i="120" s="1"/>
  <c r="K98" i="96"/>
  <c r="I99" i="96"/>
  <c r="BL96" i="15"/>
  <c r="M96" i="15"/>
  <c r="BN96" i="15"/>
  <c r="BO96" i="15" s="1"/>
  <c r="AV96" i="15"/>
  <c r="AW96" i="15" s="1"/>
  <c r="AE96" i="15"/>
  <c r="AF96" i="15" s="1"/>
  <c r="BD96" i="15"/>
  <c r="BE96" i="15" s="1"/>
  <c r="AK96" i="15"/>
  <c r="AL96" i="15" s="1"/>
  <c r="BQ96" i="15"/>
  <c r="BR96" i="15" s="1"/>
  <c r="Y96" i="15"/>
  <c r="Z96" i="15" s="1"/>
  <c r="BG96" i="15"/>
  <c r="BH96" i="15" s="1"/>
  <c r="O96" i="15"/>
  <c r="AT96" i="15"/>
  <c r="R96" i="15"/>
  <c r="T96" i="15" s="1"/>
  <c r="AB96" i="15"/>
  <c r="AC96" i="15" s="1"/>
  <c r="AQ96" i="15"/>
  <c r="AR96" i="15" s="1"/>
  <c r="AH96" i="15"/>
  <c r="AI96" i="15" s="1"/>
  <c r="BA96" i="15"/>
  <c r="BB96" i="15" s="1"/>
  <c r="P96" i="15"/>
  <c r="V96" i="15"/>
  <c r="W96" i="15" s="1"/>
  <c r="AY96" i="15"/>
  <c r="AN96" i="15"/>
  <c r="AO96" i="15" s="1"/>
  <c r="K97" i="15"/>
  <c r="BN95" i="17"/>
  <c r="BO95" i="17" s="1"/>
  <c r="BL95" i="17"/>
  <c r="M95" i="17"/>
  <c r="BQ95" i="17"/>
  <c r="BR95" i="17" s="1"/>
  <c r="AK95" i="17"/>
  <c r="AL95" i="17" s="1"/>
  <c r="AV95" i="17"/>
  <c r="AW95" i="17" s="1"/>
  <c r="AN95" i="17"/>
  <c r="AO95" i="17" s="1"/>
  <c r="BD95" i="17"/>
  <c r="BE95" i="17" s="1"/>
  <c r="AQ95" i="17"/>
  <c r="AR95" i="17" s="1"/>
  <c r="AY95" i="17"/>
  <c r="BA95" i="17"/>
  <c r="BB95" i="17" s="1"/>
  <c r="AT95" i="17"/>
  <c r="AH95" i="17"/>
  <c r="AI95" i="17" s="1"/>
  <c r="P95" i="17"/>
  <c r="AE95" i="17"/>
  <c r="AF95" i="17" s="1"/>
  <c r="R95" i="17"/>
  <c r="T95" i="17" s="1"/>
  <c r="Y95" i="17"/>
  <c r="Z95" i="17" s="1"/>
  <c r="O95" i="17"/>
  <c r="BG95" i="17"/>
  <c r="BH95" i="17" s="1"/>
  <c r="V95" i="17"/>
  <c r="W95" i="17" s="1"/>
  <c r="AB95" i="17"/>
  <c r="AC95" i="17" s="1"/>
  <c r="I103" i="136"/>
  <c r="AH95" i="66"/>
  <c r="AI95" i="66" s="1"/>
  <c r="AK95" i="66"/>
  <c r="AL95" i="66" s="1"/>
  <c r="AQ95" i="66"/>
  <c r="AR95" i="66" s="1"/>
  <c r="AV95" i="66"/>
  <c r="AW95" i="66" s="1"/>
  <c r="O95" i="66"/>
  <c r="BD95" i="66"/>
  <c r="BE95" i="66" s="1"/>
  <c r="BG95" i="66"/>
  <c r="BH95" i="66" s="1"/>
  <c r="AB95" i="66"/>
  <c r="AC95" i="66" s="1"/>
  <c r="AE95" i="66"/>
  <c r="AF95" i="66" s="1"/>
  <c r="Y95" i="66"/>
  <c r="Z95" i="66" s="1"/>
  <c r="V95" i="66"/>
  <c r="W95" i="66" s="1"/>
  <c r="M95" i="66"/>
  <c r="AN95" i="66"/>
  <c r="AO95" i="66" s="1"/>
  <c r="BA95" i="66"/>
  <c r="BB95" i="66" s="1"/>
  <c r="AY95" i="66"/>
  <c r="R95" i="66"/>
  <c r="T95" i="66" s="1"/>
  <c r="BN95" i="66"/>
  <c r="BO95" i="66" s="1"/>
  <c r="BQ95" i="66"/>
  <c r="BR95" i="66" s="1"/>
  <c r="P95" i="66"/>
  <c r="AT95" i="66"/>
  <c r="BL95" i="66"/>
  <c r="I100" i="135"/>
  <c r="K99" i="135"/>
  <c r="BK97" i="110"/>
  <c r="BJ97" i="110"/>
  <c r="BL97" i="110" s="1"/>
  <c r="M97" i="110"/>
  <c r="BN97" i="110"/>
  <c r="BO97" i="110" s="1"/>
  <c r="AK97" i="110"/>
  <c r="AL97" i="110" s="1"/>
  <c r="AQ97" i="110"/>
  <c r="AR97" i="110" s="1"/>
  <c r="AV97" i="110"/>
  <c r="AW97" i="110" s="1"/>
  <c r="O97" i="110"/>
  <c r="AY97" i="110"/>
  <c r="AE97" i="110"/>
  <c r="AF97" i="110" s="1"/>
  <c r="P97" i="110"/>
  <c r="AT97" i="110"/>
  <c r="BD97" i="110"/>
  <c r="BE97" i="110" s="1"/>
  <c r="AB97" i="110"/>
  <c r="AC97" i="110" s="1"/>
  <c r="AH97" i="110"/>
  <c r="AI97" i="110" s="1"/>
  <c r="Y97" i="110"/>
  <c r="Z97" i="110" s="1"/>
  <c r="AN97" i="110"/>
  <c r="AO97" i="110" s="1"/>
  <c r="V97" i="110"/>
  <c r="W97" i="110" s="1"/>
  <c r="BQ97" i="110"/>
  <c r="BR97" i="110" s="1"/>
  <c r="BG97" i="110"/>
  <c r="BH97" i="110" s="1"/>
  <c r="R97" i="110"/>
  <c r="T97" i="110" s="1"/>
  <c r="BA97" i="110"/>
  <c r="BB97" i="110" s="1"/>
  <c r="M96" i="101"/>
  <c r="BD96" i="101"/>
  <c r="BE96" i="101" s="1"/>
  <c r="P96" i="101"/>
  <c r="AT96" i="101"/>
  <c r="BQ96" i="101"/>
  <c r="BR96" i="101" s="1"/>
  <c r="AH96" i="101"/>
  <c r="AI96" i="101" s="1"/>
  <c r="R96" i="101"/>
  <c r="T96" i="101" s="1"/>
  <c r="AB96" i="101"/>
  <c r="AC96" i="101" s="1"/>
  <c r="AQ96" i="101"/>
  <c r="AR96" i="101" s="1"/>
  <c r="AK96" i="101"/>
  <c r="AL96" i="101" s="1"/>
  <c r="O96" i="101"/>
  <c r="AE96" i="101"/>
  <c r="AF96" i="101" s="1"/>
  <c r="AY96" i="101"/>
  <c r="AN96" i="101"/>
  <c r="AO96" i="101" s="1"/>
  <c r="Y96" i="101"/>
  <c r="Z96" i="101" s="1"/>
  <c r="BG96" i="101"/>
  <c r="BH96" i="101" s="1"/>
  <c r="BA96" i="101"/>
  <c r="BB96" i="101" s="1"/>
  <c r="V96" i="101"/>
  <c r="W96" i="101" s="1"/>
  <c r="AV96" i="101"/>
  <c r="AW96" i="101" s="1"/>
  <c r="M99" i="105"/>
  <c r="BN99" i="105"/>
  <c r="BO99" i="105" s="1"/>
  <c r="BJ99" i="105"/>
  <c r="BL99" i="105" s="1"/>
  <c r="BK99" i="105"/>
  <c r="AN99" i="105"/>
  <c r="AO99" i="105" s="1"/>
  <c r="AH99" i="105"/>
  <c r="AI99" i="105" s="1"/>
  <c r="BG99" i="105"/>
  <c r="BH99" i="105" s="1"/>
  <c r="BA99" i="105"/>
  <c r="BB99" i="105" s="1"/>
  <c r="P99" i="105"/>
  <c r="AK99" i="105"/>
  <c r="AL99" i="105" s="1"/>
  <c r="BQ99" i="105"/>
  <c r="BR99" i="105" s="1"/>
  <c r="O99" i="105"/>
  <c r="AY99" i="105"/>
  <c r="V99" i="105"/>
  <c r="W99" i="105" s="1"/>
  <c r="AV99" i="105"/>
  <c r="AW99" i="105" s="1"/>
  <c r="AT99" i="105"/>
  <c r="AE99" i="105"/>
  <c r="AF99" i="105" s="1"/>
  <c r="AB99" i="105"/>
  <c r="AC99" i="105" s="1"/>
  <c r="BD99" i="105"/>
  <c r="BE99" i="105" s="1"/>
  <c r="R99" i="105"/>
  <c r="T99" i="105" s="1"/>
  <c r="AQ99" i="105"/>
  <c r="AR99" i="105" s="1"/>
  <c r="Y99" i="105"/>
  <c r="Z99" i="105" s="1"/>
  <c r="K100" i="105"/>
  <c r="I103" i="114"/>
  <c r="M97" i="63"/>
  <c r="BN97" i="63"/>
  <c r="BO97" i="63" s="1"/>
  <c r="BG97" i="63"/>
  <c r="BH97" i="63" s="1"/>
  <c r="Y97" i="63"/>
  <c r="Z97" i="63" s="1"/>
  <c r="V97" i="63"/>
  <c r="W97" i="63" s="1"/>
  <c r="BA97" i="63"/>
  <c r="BB97" i="63" s="1"/>
  <c r="O97" i="63"/>
  <c r="AN97" i="63"/>
  <c r="AO97" i="63" s="1"/>
  <c r="AH97" i="63"/>
  <c r="AI97" i="63" s="1"/>
  <c r="AT97" i="63"/>
  <c r="AB97" i="63"/>
  <c r="AC97" i="63" s="1"/>
  <c r="R97" i="63"/>
  <c r="T97" i="63" s="1"/>
  <c r="BL97" i="63"/>
  <c r="AY97" i="63"/>
  <c r="P97" i="63"/>
  <c r="BQ97" i="63"/>
  <c r="BR97" i="63" s="1"/>
  <c r="AK97" i="63"/>
  <c r="AL97" i="63" s="1"/>
  <c r="BD97" i="63"/>
  <c r="BE97" i="63" s="1"/>
  <c r="AV97" i="63"/>
  <c r="AW97" i="63" s="1"/>
  <c r="AQ97" i="63"/>
  <c r="AR97" i="63" s="1"/>
  <c r="AE97" i="63"/>
  <c r="AF97" i="63" s="1"/>
  <c r="K98" i="63"/>
  <c r="I97" i="17"/>
  <c r="K96" i="17"/>
  <c r="I102" i="63"/>
  <c r="I103" i="64"/>
  <c r="K96" i="66"/>
  <c r="I97" i="66"/>
  <c r="BL95" i="13"/>
  <c r="M95" i="13"/>
  <c r="BN95" i="13"/>
  <c r="BO95" i="13" s="1"/>
  <c r="Y95" i="13"/>
  <c r="Z95" i="13" s="1"/>
  <c r="BD95" i="13"/>
  <c r="BE95" i="13" s="1"/>
  <c r="AK95" i="13"/>
  <c r="AL95" i="13" s="1"/>
  <c r="AN95" i="13"/>
  <c r="AO95" i="13" s="1"/>
  <c r="AQ95" i="13"/>
  <c r="AR95" i="13" s="1"/>
  <c r="O95" i="13"/>
  <c r="BA95" i="13"/>
  <c r="BB95" i="13" s="1"/>
  <c r="P95" i="13"/>
  <c r="R95" i="13"/>
  <c r="T95" i="13" s="1"/>
  <c r="AE95" i="13"/>
  <c r="AF95" i="13" s="1"/>
  <c r="AY95" i="13"/>
  <c r="AT95" i="13"/>
  <c r="AB95" i="13"/>
  <c r="AC95" i="13" s="1"/>
  <c r="AH95" i="13"/>
  <c r="AI95" i="13" s="1"/>
  <c r="AV95" i="13"/>
  <c r="AW95" i="13" s="1"/>
  <c r="V95" i="13"/>
  <c r="W95" i="13" s="1"/>
  <c r="BQ95" i="13"/>
  <c r="BR95" i="13" s="1"/>
  <c r="BG95" i="13"/>
  <c r="BH95" i="13" s="1"/>
  <c r="I104" i="132"/>
  <c r="BN99" i="136"/>
  <c r="BO99" i="136" s="1"/>
  <c r="M99" i="136"/>
  <c r="BL99" i="136"/>
  <c r="P99" i="136"/>
  <c r="AT99" i="136"/>
  <c r="O99" i="136"/>
  <c r="BD99" i="136"/>
  <c r="BE99" i="136" s="1"/>
  <c r="AE99" i="136"/>
  <c r="AF99" i="136" s="1"/>
  <c r="AB99" i="136"/>
  <c r="AC99" i="136" s="1"/>
  <c r="BA99" i="136"/>
  <c r="BB99" i="136" s="1"/>
  <c r="Y99" i="136"/>
  <c r="Z99" i="136" s="1"/>
  <c r="AV99" i="136"/>
  <c r="AW99" i="136" s="1"/>
  <c r="BG99" i="136"/>
  <c r="BH99" i="136" s="1"/>
  <c r="V99" i="136"/>
  <c r="W99" i="136" s="1"/>
  <c r="AY99" i="136"/>
  <c r="BQ99" i="136"/>
  <c r="BR99" i="136" s="1"/>
  <c r="AK99" i="136"/>
  <c r="AL99" i="136" s="1"/>
  <c r="AH99" i="136"/>
  <c r="AI99" i="136" s="1"/>
  <c r="AN99" i="136"/>
  <c r="AO99" i="136" s="1"/>
  <c r="AQ99" i="136"/>
  <c r="AR99" i="136" s="1"/>
  <c r="R99" i="136"/>
  <c r="T99" i="136" s="1"/>
  <c r="K100" i="136"/>
  <c r="I99" i="110"/>
  <c r="K98" i="110"/>
  <c r="I98" i="101"/>
  <c r="K97" i="101"/>
  <c r="M96" i="118"/>
  <c r="K97" i="118"/>
  <c r="BN96" i="118"/>
  <c r="BO96" i="118" s="1"/>
  <c r="R96" i="118"/>
  <c r="T96" i="118" s="1"/>
  <c r="BA96" i="118"/>
  <c r="BB96" i="118" s="1"/>
  <c r="AT96" i="118"/>
  <c r="AK96" i="118"/>
  <c r="AL96" i="118" s="1"/>
  <c r="BQ96" i="118"/>
  <c r="BR96" i="118" s="1"/>
  <c r="AQ96" i="118"/>
  <c r="AR96" i="118" s="1"/>
  <c r="O96" i="118"/>
  <c r="P96" i="118"/>
  <c r="V96" i="118"/>
  <c r="W96" i="118" s="1"/>
  <c r="AH96" i="118"/>
  <c r="AI96" i="118" s="1"/>
  <c r="AV96" i="118"/>
  <c r="AW96" i="118" s="1"/>
  <c r="AY96" i="118"/>
  <c r="AE96" i="118"/>
  <c r="AF96" i="118" s="1"/>
  <c r="AB96" i="118"/>
  <c r="AC96" i="118" s="1"/>
  <c r="Y96" i="118"/>
  <c r="Z96" i="118" s="1"/>
  <c r="BD96" i="118"/>
  <c r="BE96" i="118" s="1"/>
  <c r="BG96" i="118"/>
  <c r="BH96" i="118" s="1"/>
  <c r="AN96" i="118"/>
  <c r="AO96" i="118" s="1"/>
  <c r="K98" i="98"/>
  <c r="AY97" i="98"/>
  <c r="AN97" i="98"/>
  <c r="AO97" i="98" s="1"/>
  <c r="BN97" i="98"/>
  <c r="BO97" i="98" s="1"/>
  <c r="BJ97" i="98"/>
  <c r="BL97" i="98" s="1"/>
  <c r="M97" i="98"/>
  <c r="BK97" i="98"/>
  <c r="BQ97" i="98"/>
  <c r="BR97" i="98" s="1"/>
  <c r="AQ97" i="98"/>
  <c r="AR97" i="98" s="1"/>
  <c r="AE97" i="98"/>
  <c r="AF97" i="98" s="1"/>
  <c r="AK97" i="98"/>
  <c r="AL97" i="98" s="1"/>
  <c r="V97" i="98"/>
  <c r="W97" i="98" s="1"/>
  <c r="AT97" i="98"/>
  <c r="BA97" i="98"/>
  <c r="BB97" i="98" s="1"/>
  <c r="Y97" i="98"/>
  <c r="Z97" i="98" s="1"/>
  <c r="AH97" i="98"/>
  <c r="AI97" i="98" s="1"/>
  <c r="R97" i="98"/>
  <c r="T97" i="98" s="1"/>
  <c r="AV97" i="98"/>
  <c r="AW97" i="98" s="1"/>
  <c r="P97" i="98"/>
  <c r="BG97" i="98"/>
  <c r="BH97" i="98" s="1"/>
  <c r="AB97" i="98"/>
  <c r="AC97" i="98" s="1"/>
  <c r="O97" i="98"/>
  <c r="BD97" i="98"/>
  <c r="BE97" i="98" s="1"/>
  <c r="I101" i="104"/>
  <c r="M97" i="115"/>
  <c r="BK97" i="115"/>
  <c r="BN97" i="115"/>
  <c r="BO97" i="115" s="1"/>
  <c r="BJ97" i="115"/>
  <c r="BL97" i="115" s="1"/>
  <c r="BD97" i="115"/>
  <c r="BE97" i="115" s="1"/>
  <c r="AH97" i="115"/>
  <c r="AI97" i="115" s="1"/>
  <c r="AK97" i="115"/>
  <c r="AL97" i="115" s="1"/>
  <c r="AQ97" i="115"/>
  <c r="AR97" i="115" s="1"/>
  <c r="AT97" i="115"/>
  <c r="BA97" i="115"/>
  <c r="BB97" i="115" s="1"/>
  <c r="AV97" i="115"/>
  <c r="AW97" i="115" s="1"/>
  <c r="AN97" i="115"/>
  <c r="AO97" i="115" s="1"/>
  <c r="Y97" i="115"/>
  <c r="Z97" i="115" s="1"/>
  <c r="R97" i="115"/>
  <c r="T97" i="115" s="1"/>
  <c r="AE97" i="115"/>
  <c r="AF97" i="115" s="1"/>
  <c r="BG97" i="115"/>
  <c r="BH97" i="115" s="1"/>
  <c r="O97" i="115"/>
  <c r="V97" i="115"/>
  <c r="W97" i="115" s="1"/>
  <c r="AY97" i="115"/>
  <c r="AB97" i="115"/>
  <c r="AC97" i="115" s="1"/>
  <c r="P97" i="115"/>
  <c r="BQ97" i="115"/>
  <c r="BR97" i="115" s="1"/>
  <c r="M101" i="124"/>
  <c r="BK101" i="124"/>
  <c r="BJ101" i="124"/>
  <c r="BL101" i="124" s="1"/>
  <c r="K102" i="124"/>
  <c r="BN101" i="124"/>
  <c r="BO101" i="124" s="1"/>
  <c r="AK101" i="124"/>
  <c r="AL101" i="124" s="1"/>
  <c r="AN101" i="124"/>
  <c r="AO101" i="124" s="1"/>
  <c r="O101" i="124"/>
  <c r="AY101" i="124"/>
  <c r="AV101" i="124"/>
  <c r="AW101" i="124" s="1"/>
  <c r="AB101" i="124"/>
  <c r="AC101" i="124" s="1"/>
  <c r="BA101" i="124"/>
  <c r="BB101" i="124" s="1"/>
  <c r="AE101" i="124"/>
  <c r="AF101" i="124" s="1"/>
  <c r="BQ101" i="124"/>
  <c r="BR101" i="124" s="1"/>
  <c r="AQ101" i="124"/>
  <c r="AR101" i="124" s="1"/>
  <c r="R101" i="124"/>
  <c r="T101" i="124" s="1"/>
  <c r="P101" i="124"/>
  <c r="Y101" i="124"/>
  <c r="Z101" i="124" s="1"/>
  <c r="BG101" i="124"/>
  <c r="BH101" i="124" s="1"/>
  <c r="BD101" i="124"/>
  <c r="BE101" i="124" s="1"/>
  <c r="AH101" i="124"/>
  <c r="AI101" i="124" s="1"/>
  <c r="AT101" i="124"/>
  <c r="V101" i="124"/>
  <c r="W101" i="124" s="1"/>
  <c r="M97" i="126"/>
  <c r="BK97" i="126"/>
  <c r="BJ97" i="126"/>
  <c r="BL97" i="126" s="1"/>
  <c r="BN97" i="126"/>
  <c r="BO97" i="126" s="1"/>
  <c r="AQ97" i="126"/>
  <c r="AR97" i="126" s="1"/>
  <c r="BQ97" i="126"/>
  <c r="BR97" i="126" s="1"/>
  <c r="AT97" i="126"/>
  <c r="AN97" i="126"/>
  <c r="AO97" i="126" s="1"/>
  <c r="R97" i="126"/>
  <c r="T97" i="126" s="1"/>
  <c r="AK97" i="126"/>
  <c r="AL97" i="126" s="1"/>
  <c r="V97" i="126"/>
  <c r="W97" i="126" s="1"/>
  <c r="P97" i="126"/>
  <c r="AY97" i="126"/>
  <c r="AE97" i="126"/>
  <c r="AF97" i="126" s="1"/>
  <c r="BD97" i="126"/>
  <c r="BE97" i="126" s="1"/>
  <c r="O97" i="126"/>
  <c r="BG97" i="126"/>
  <c r="BH97" i="126" s="1"/>
  <c r="AH97" i="126"/>
  <c r="AI97" i="126" s="1"/>
  <c r="BA97" i="126"/>
  <c r="BB97" i="126" s="1"/>
  <c r="AB97" i="126"/>
  <c r="AC97" i="126" s="1"/>
  <c r="Y97" i="126"/>
  <c r="Z97" i="126" s="1"/>
  <c r="AV97" i="126"/>
  <c r="AW97" i="126" s="1"/>
  <c r="K98" i="126"/>
  <c r="I97" i="13"/>
  <c r="K96" i="13"/>
  <c r="AY98" i="64"/>
  <c r="AN98" i="64"/>
  <c r="AO98" i="64" s="1"/>
  <c r="O98" i="64"/>
  <c r="R98" i="64"/>
  <c r="T98" i="64" s="1"/>
  <c r="AT98" i="64"/>
  <c r="BG98" i="64"/>
  <c r="BH98" i="64" s="1"/>
  <c r="AB98" i="64"/>
  <c r="AC98" i="64" s="1"/>
  <c r="M98" i="64"/>
  <c r="AE98" i="64"/>
  <c r="AF98" i="64" s="1"/>
  <c r="AH98" i="64"/>
  <c r="AI98" i="64" s="1"/>
  <c r="V98" i="64"/>
  <c r="W98" i="64" s="1"/>
  <c r="BQ98" i="64"/>
  <c r="BR98" i="64" s="1"/>
  <c r="BN98" i="64"/>
  <c r="BO98" i="64" s="1"/>
  <c r="AQ98" i="64"/>
  <c r="AR98" i="64" s="1"/>
  <c r="AV98" i="64"/>
  <c r="AW98" i="64" s="1"/>
  <c r="AK98" i="64"/>
  <c r="AL98" i="64" s="1"/>
  <c r="Y98" i="64"/>
  <c r="Z98" i="64" s="1"/>
  <c r="BA98" i="64"/>
  <c r="BB98" i="64" s="1"/>
  <c r="BD98" i="64"/>
  <c r="BE98" i="64" s="1"/>
  <c r="P98" i="64"/>
  <c r="BL98" i="64"/>
  <c r="K99" i="64"/>
  <c r="AQ101" i="107" l="1"/>
  <c r="AR101" i="107" s="1"/>
  <c r="R101" i="107"/>
  <c r="T101" i="107" s="1"/>
  <c r="BQ101" i="107"/>
  <c r="BR101" i="107" s="1"/>
  <c r="AK101" i="107"/>
  <c r="AL101" i="107" s="1"/>
  <c r="BN101" i="107"/>
  <c r="BO101" i="107" s="1"/>
  <c r="Y101" i="107"/>
  <c r="Z101" i="107" s="1"/>
  <c r="AT101" i="107"/>
  <c r="BJ101" i="107"/>
  <c r="BL101" i="107" s="1"/>
  <c r="BD101" i="107"/>
  <c r="BE101" i="107" s="1"/>
  <c r="AN101" i="107"/>
  <c r="AO101" i="107" s="1"/>
  <c r="P101" i="107"/>
  <c r="AB101" i="107"/>
  <c r="AC101" i="107" s="1"/>
  <c r="BK101" i="107"/>
  <c r="AH101" i="107"/>
  <c r="AI101" i="107" s="1"/>
  <c r="M101" i="107"/>
  <c r="AE101" i="107"/>
  <c r="AF101" i="107" s="1"/>
  <c r="V101" i="107"/>
  <c r="W101" i="107" s="1"/>
  <c r="O101" i="107"/>
  <c r="AY101" i="107"/>
  <c r="BG101" i="107"/>
  <c r="BH101" i="107" s="1"/>
  <c r="AV101" i="107"/>
  <c r="AW101" i="107" s="1"/>
  <c r="BA101" i="107"/>
  <c r="BB101" i="107" s="1"/>
  <c r="I103" i="107"/>
  <c r="K102" i="107"/>
  <c r="M99" i="99"/>
  <c r="BK99" i="99"/>
  <c r="BD99" i="99"/>
  <c r="BE99" i="99" s="1"/>
  <c r="AQ99" i="99"/>
  <c r="AR99" i="99" s="1"/>
  <c r="BA99" i="99"/>
  <c r="BB99" i="99" s="1"/>
  <c r="R99" i="99"/>
  <c r="T99" i="99" s="1"/>
  <c r="AN99" i="99"/>
  <c r="AO99" i="99" s="1"/>
  <c r="AH99" i="99"/>
  <c r="AI99" i="99" s="1"/>
  <c r="BQ99" i="99"/>
  <c r="BR99" i="99" s="1"/>
  <c r="AB99" i="99"/>
  <c r="AC99" i="99" s="1"/>
  <c r="AE99" i="99"/>
  <c r="AF99" i="99" s="1"/>
  <c r="BN99" i="99"/>
  <c r="BO99" i="99" s="1"/>
  <c r="AK99" i="99"/>
  <c r="AL99" i="99" s="1"/>
  <c r="K100" i="99"/>
  <c r="BJ99" i="99"/>
  <c r="BL99" i="99" s="1"/>
  <c r="BG99" i="99"/>
  <c r="BH99" i="99" s="1"/>
  <c r="AV99" i="99"/>
  <c r="AW99" i="99" s="1"/>
  <c r="AY99" i="99"/>
  <c r="O99" i="99"/>
  <c r="Y99" i="99"/>
  <c r="Z99" i="99" s="1"/>
  <c r="P99" i="99"/>
  <c r="AT99" i="99"/>
  <c r="V99" i="99"/>
  <c r="W99" i="99" s="1"/>
  <c r="R99" i="132"/>
  <c r="T99" i="132" s="1"/>
  <c r="AN99" i="132"/>
  <c r="AO99" i="132" s="1"/>
  <c r="V99" i="132"/>
  <c r="W99" i="132" s="1"/>
  <c r="BN99" i="132"/>
  <c r="BO99" i="132" s="1"/>
  <c r="BQ99" i="132"/>
  <c r="BR99" i="132" s="1"/>
  <c r="BA99" i="132"/>
  <c r="BB99" i="132" s="1"/>
  <c r="AB99" i="132"/>
  <c r="AC99" i="132" s="1"/>
  <c r="BG99" i="132"/>
  <c r="BH99" i="132" s="1"/>
  <c r="BD99" i="132"/>
  <c r="BE99" i="132" s="1"/>
  <c r="Y99" i="132"/>
  <c r="Z99" i="132" s="1"/>
  <c r="AK99" i="132"/>
  <c r="AL99" i="132" s="1"/>
  <c r="BL99" i="132"/>
  <c r="P99" i="132"/>
  <c r="AQ99" i="132"/>
  <c r="AR99" i="132" s="1"/>
  <c r="AT99" i="132"/>
  <c r="AV99" i="132"/>
  <c r="AW99" i="132" s="1"/>
  <c r="K100" i="132"/>
  <c r="O99" i="132"/>
  <c r="AH99" i="132"/>
  <c r="AI99" i="132" s="1"/>
  <c r="AY99" i="132"/>
  <c r="AE99" i="132"/>
  <c r="AF99" i="132" s="1"/>
  <c r="M99" i="132"/>
  <c r="BJ97" i="104"/>
  <c r="BL97" i="104" s="1"/>
  <c r="AE97" i="104"/>
  <c r="AF97" i="104" s="1"/>
  <c r="AT97" i="104"/>
  <c r="BG97" i="104"/>
  <c r="BH97" i="104" s="1"/>
  <c r="BN97" i="104"/>
  <c r="BO97" i="104" s="1"/>
  <c r="AY97" i="104"/>
  <c r="BA97" i="104"/>
  <c r="BB97" i="104" s="1"/>
  <c r="Y97" i="104"/>
  <c r="Z97" i="104" s="1"/>
  <c r="BK97" i="104"/>
  <c r="P97" i="104"/>
  <c r="V97" i="104"/>
  <c r="W97" i="104" s="1"/>
  <c r="AQ97" i="104"/>
  <c r="AR97" i="104" s="1"/>
  <c r="M97" i="104"/>
  <c r="AH97" i="104"/>
  <c r="AI97" i="104" s="1"/>
  <c r="AN97" i="104"/>
  <c r="AO97" i="104" s="1"/>
  <c r="AV97" i="104"/>
  <c r="AW97" i="104" s="1"/>
  <c r="K98" i="104"/>
  <c r="BD97" i="104"/>
  <c r="BE97" i="104" s="1"/>
  <c r="O97" i="104"/>
  <c r="R97" i="104"/>
  <c r="T97" i="104" s="1"/>
  <c r="AK97" i="104"/>
  <c r="AL97" i="104" s="1"/>
  <c r="AB97" i="104"/>
  <c r="AC97" i="104" s="1"/>
  <c r="BQ97" i="104"/>
  <c r="BR97" i="104" s="1"/>
  <c r="I104" i="106"/>
  <c r="K103" i="156"/>
  <c r="AY103" i="156" s="1"/>
  <c r="I104" i="156"/>
  <c r="K98" i="112"/>
  <c r="AB97" i="112"/>
  <c r="AC97" i="112" s="1"/>
  <c r="Y97" i="112"/>
  <c r="Z97" i="112" s="1"/>
  <c r="AH97" i="112"/>
  <c r="AI97" i="112" s="1"/>
  <c r="BJ97" i="112"/>
  <c r="BL97" i="112" s="1"/>
  <c r="AE97" i="112"/>
  <c r="AF97" i="112" s="1"/>
  <c r="V97" i="112"/>
  <c r="W97" i="112" s="1"/>
  <c r="BD97" i="112"/>
  <c r="BE97" i="112" s="1"/>
  <c r="BK97" i="112"/>
  <c r="AN97" i="112"/>
  <c r="AO97" i="112" s="1"/>
  <c r="AV97" i="112"/>
  <c r="AW97" i="112" s="1"/>
  <c r="AK97" i="112"/>
  <c r="AL97" i="112" s="1"/>
  <c r="AY97" i="112"/>
  <c r="R97" i="112"/>
  <c r="T97" i="112" s="1"/>
  <c r="BQ97" i="112"/>
  <c r="BR97" i="112" s="1"/>
  <c r="M97" i="112"/>
  <c r="AQ97" i="112"/>
  <c r="AR97" i="112" s="1"/>
  <c r="P97" i="112"/>
  <c r="AT97" i="112"/>
  <c r="BN97" i="112"/>
  <c r="BO97" i="112" s="1"/>
  <c r="BA97" i="112"/>
  <c r="BB97" i="112" s="1"/>
  <c r="BG97" i="112"/>
  <c r="BH97" i="112" s="1"/>
  <c r="O97" i="112"/>
  <c r="AE98" i="129"/>
  <c r="AF98" i="129" s="1"/>
  <c r="AH98" i="129"/>
  <c r="AI98" i="129" s="1"/>
  <c r="AN98" i="129"/>
  <c r="AO98" i="129" s="1"/>
  <c r="BN98" i="129"/>
  <c r="BO98" i="129" s="1"/>
  <c r="BQ98" i="129"/>
  <c r="BR98" i="129" s="1"/>
  <c r="AB98" i="129"/>
  <c r="AC98" i="129" s="1"/>
  <c r="O98" i="129"/>
  <c r="M98" i="129"/>
  <c r="K99" i="129"/>
  <c r="P98" i="129"/>
  <c r="V98" i="129"/>
  <c r="W98" i="129" s="1"/>
  <c r="Y98" i="129"/>
  <c r="Z98" i="129" s="1"/>
  <c r="R98" i="129"/>
  <c r="T98" i="129" s="1"/>
  <c r="AK98" i="129"/>
  <c r="AL98" i="129" s="1"/>
  <c r="AQ98" i="129"/>
  <c r="AR98" i="129" s="1"/>
  <c r="BG98" i="129"/>
  <c r="BH98" i="129" s="1"/>
  <c r="BD98" i="129"/>
  <c r="BE98" i="129" s="1"/>
  <c r="AT98" i="129"/>
  <c r="BL98" i="129"/>
  <c r="AY98" i="129"/>
  <c r="BA98" i="129"/>
  <c r="BB98" i="129" s="1"/>
  <c r="AV98" i="129"/>
  <c r="AW98" i="129" s="1"/>
  <c r="AQ97" i="106"/>
  <c r="AR97" i="106" s="1"/>
  <c r="P97" i="106"/>
  <c r="AE97" i="106"/>
  <c r="AF97" i="106" s="1"/>
  <c r="AB97" i="106"/>
  <c r="AC97" i="106" s="1"/>
  <c r="BQ97" i="106"/>
  <c r="BR97" i="106" s="1"/>
  <c r="BN97" i="106"/>
  <c r="BO97" i="106" s="1"/>
  <c r="BA97" i="106"/>
  <c r="BB97" i="106" s="1"/>
  <c r="O97" i="106"/>
  <c r="V97" i="106"/>
  <c r="W97" i="106" s="1"/>
  <c r="Y97" i="106"/>
  <c r="Z97" i="106" s="1"/>
  <c r="M97" i="106"/>
  <c r="BG97" i="106"/>
  <c r="BH97" i="106" s="1"/>
  <c r="AV97" i="106"/>
  <c r="AW97" i="106" s="1"/>
  <c r="AT97" i="106"/>
  <c r="BK97" i="106"/>
  <c r="AN97" i="106"/>
  <c r="AO97" i="106" s="1"/>
  <c r="R97" i="106"/>
  <c r="T97" i="106" s="1"/>
  <c r="AH97" i="106"/>
  <c r="AI97" i="106" s="1"/>
  <c r="BJ97" i="106"/>
  <c r="BL97" i="106" s="1"/>
  <c r="AK97" i="106"/>
  <c r="AL97" i="106" s="1"/>
  <c r="AY97" i="106"/>
  <c r="BD97" i="106"/>
  <c r="BE97" i="106" s="1"/>
  <c r="K98" i="106"/>
  <c r="O102" i="156"/>
  <c r="BG102" i="156"/>
  <c r="BH102" i="156" s="1"/>
  <c r="BQ102" i="156"/>
  <c r="BR102" i="156" s="1"/>
  <c r="BD102" i="156"/>
  <c r="BE102" i="156" s="1"/>
  <c r="V102" i="156"/>
  <c r="W102" i="156" s="1"/>
  <c r="M102" i="156"/>
  <c r="R102" i="156"/>
  <c r="T102" i="156" s="1"/>
  <c r="BL102" i="156"/>
  <c r="AB102" i="156"/>
  <c r="AC102" i="156" s="1"/>
  <c r="Y102" i="156"/>
  <c r="Z102" i="156" s="1"/>
  <c r="AH102" i="156"/>
  <c r="AI102" i="156" s="1"/>
  <c r="P102" i="156"/>
  <c r="AE102" i="156"/>
  <c r="AF102" i="156" s="1"/>
  <c r="AN102" i="156"/>
  <c r="AO102" i="156" s="1"/>
  <c r="AV102" i="156"/>
  <c r="AW102" i="156" s="1"/>
  <c r="AK102" i="156"/>
  <c r="AL102" i="156" s="1"/>
  <c r="BA102" i="156"/>
  <c r="BB102" i="156" s="1"/>
  <c r="BN102" i="156"/>
  <c r="BO102" i="156" s="1"/>
  <c r="AQ102" i="156"/>
  <c r="AR102" i="156" s="1"/>
  <c r="BA96" i="95"/>
  <c r="BB96" i="95" s="1"/>
  <c r="AH96" i="95"/>
  <c r="AI96" i="95" s="1"/>
  <c r="AK96" i="95"/>
  <c r="AL96" i="95" s="1"/>
  <c r="M96" i="95"/>
  <c r="AE96" i="95"/>
  <c r="AF96" i="95" s="1"/>
  <c r="V96" i="95"/>
  <c r="W96" i="95" s="1"/>
  <c r="AV96" i="95"/>
  <c r="AW96" i="95" s="1"/>
  <c r="BN96" i="95"/>
  <c r="BO96" i="95" s="1"/>
  <c r="AB96" i="95"/>
  <c r="AC96" i="95" s="1"/>
  <c r="AT96" i="95"/>
  <c r="BD96" i="95"/>
  <c r="BE96" i="95" s="1"/>
  <c r="BL96" i="95"/>
  <c r="BG96" i="95"/>
  <c r="BH96" i="95" s="1"/>
  <c r="O96" i="95"/>
  <c r="K97" i="95"/>
  <c r="AN96" i="95"/>
  <c r="AO96" i="95" s="1"/>
  <c r="R96" i="95"/>
  <c r="T96" i="95" s="1"/>
  <c r="Y96" i="95"/>
  <c r="Z96" i="95" s="1"/>
  <c r="P96" i="95"/>
  <c r="BQ96" i="95"/>
  <c r="BR96" i="95" s="1"/>
  <c r="AQ96" i="95"/>
  <c r="AR96" i="95" s="1"/>
  <c r="M100" i="133"/>
  <c r="AB100" i="133"/>
  <c r="AC100" i="133" s="1"/>
  <c r="P100" i="133"/>
  <c r="O100" i="133"/>
  <c r="BL100" i="133"/>
  <c r="AT100" i="133"/>
  <c r="AQ100" i="133"/>
  <c r="AR100" i="133" s="1"/>
  <c r="Y100" i="133"/>
  <c r="Z100" i="133" s="1"/>
  <c r="AY100" i="133"/>
  <c r="V100" i="133"/>
  <c r="W100" i="133" s="1"/>
  <c r="BD100" i="133"/>
  <c r="BE100" i="133" s="1"/>
  <c r="K101" i="133"/>
  <c r="AV100" i="133"/>
  <c r="AW100" i="133" s="1"/>
  <c r="AH100" i="133"/>
  <c r="AI100" i="133" s="1"/>
  <c r="BA100" i="133"/>
  <c r="BB100" i="133" s="1"/>
  <c r="R100" i="133"/>
  <c r="T100" i="133" s="1"/>
  <c r="AN100" i="133"/>
  <c r="AO100" i="133" s="1"/>
  <c r="AK100" i="133"/>
  <c r="AL100" i="133" s="1"/>
  <c r="BN100" i="133"/>
  <c r="BO100" i="133" s="1"/>
  <c r="BG100" i="133"/>
  <c r="BH100" i="133" s="1"/>
  <c r="AE100" i="133"/>
  <c r="AF100" i="133" s="1"/>
  <c r="BQ100" i="133"/>
  <c r="BR100" i="133" s="1"/>
  <c r="K99" i="130"/>
  <c r="M98" i="130"/>
  <c r="BN98" i="130"/>
  <c r="BO98" i="130" s="1"/>
  <c r="BL98" i="130"/>
  <c r="BD98" i="130"/>
  <c r="BE98" i="130" s="1"/>
  <c r="BG98" i="130"/>
  <c r="BH98" i="130" s="1"/>
  <c r="AT98" i="130"/>
  <c r="V98" i="130"/>
  <c r="W98" i="130" s="1"/>
  <c r="AH98" i="130"/>
  <c r="AI98" i="130" s="1"/>
  <c r="AB98" i="130"/>
  <c r="AC98" i="130" s="1"/>
  <c r="AY98" i="130"/>
  <c r="AK98" i="130"/>
  <c r="AL98" i="130" s="1"/>
  <c r="AN98" i="130"/>
  <c r="AO98" i="130" s="1"/>
  <c r="AE98" i="130"/>
  <c r="AF98" i="130" s="1"/>
  <c r="P98" i="130"/>
  <c r="O98" i="130"/>
  <c r="BQ98" i="130"/>
  <c r="BR98" i="130" s="1"/>
  <c r="AV98" i="130"/>
  <c r="AW98" i="130" s="1"/>
  <c r="R98" i="130"/>
  <c r="T98" i="130" s="1"/>
  <c r="AQ98" i="130"/>
  <c r="AR98" i="130" s="1"/>
  <c r="Y98" i="130"/>
  <c r="Z98" i="130" s="1"/>
  <c r="BA98" i="130"/>
  <c r="BB98" i="130" s="1"/>
  <c r="K104" i="155"/>
  <c r="I105" i="155"/>
  <c r="R103" i="155"/>
  <c r="T103" i="155" s="1"/>
  <c r="Y103" i="155"/>
  <c r="Z103" i="155" s="1"/>
  <c r="AE103" i="155"/>
  <c r="AF103" i="155" s="1"/>
  <c r="AK103" i="155"/>
  <c r="AL103" i="155" s="1"/>
  <c r="AQ103" i="155"/>
  <c r="AR103" i="155" s="1"/>
  <c r="BD103" i="155"/>
  <c r="BE103" i="155" s="1"/>
  <c r="M103" i="155"/>
  <c r="BQ103" i="155"/>
  <c r="BR103" i="155" s="1"/>
  <c r="O103" i="155"/>
  <c r="V103" i="155"/>
  <c r="W103" i="155" s="1"/>
  <c r="AB103" i="155"/>
  <c r="AC103" i="155" s="1"/>
  <c r="AH103" i="155"/>
  <c r="AI103" i="155" s="1"/>
  <c r="AN103" i="155"/>
  <c r="AO103" i="155" s="1"/>
  <c r="BA103" i="155"/>
  <c r="BB103" i="155" s="1"/>
  <c r="BG103" i="155"/>
  <c r="BH103" i="155" s="1"/>
  <c r="P103" i="155"/>
  <c r="AV103" i="155"/>
  <c r="AW103" i="155" s="1"/>
  <c r="BN103" i="155"/>
  <c r="BO103" i="155" s="1"/>
  <c r="BL103" i="155"/>
  <c r="O103" i="153"/>
  <c r="V103" i="153"/>
  <c r="W103" i="153" s="1"/>
  <c r="AB103" i="153"/>
  <c r="AC103" i="153" s="1"/>
  <c r="AH103" i="153"/>
  <c r="AI103" i="153" s="1"/>
  <c r="AN103" i="153"/>
  <c r="AO103" i="153" s="1"/>
  <c r="M103" i="153"/>
  <c r="AE103" i="153"/>
  <c r="AF103" i="153" s="1"/>
  <c r="AV103" i="153"/>
  <c r="AW103" i="153" s="1"/>
  <c r="BN103" i="153"/>
  <c r="BO103" i="153" s="1"/>
  <c r="P103" i="153"/>
  <c r="Y103" i="153"/>
  <c r="Z103" i="153" s="1"/>
  <c r="BD103" i="153"/>
  <c r="BE103" i="153" s="1"/>
  <c r="R103" i="153"/>
  <c r="T103" i="153" s="1"/>
  <c r="AQ103" i="153"/>
  <c r="AR103" i="153" s="1"/>
  <c r="BQ103" i="153"/>
  <c r="BR103" i="153" s="1"/>
  <c r="BA103" i="153"/>
  <c r="BB103" i="153" s="1"/>
  <c r="BL103" i="153"/>
  <c r="BG103" i="153"/>
  <c r="BH103" i="153" s="1"/>
  <c r="AK103" i="153"/>
  <c r="AL103" i="153" s="1"/>
  <c r="K104" i="153"/>
  <c r="I108" i="153"/>
  <c r="M103" i="152"/>
  <c r="BQ103" i="152"/>
  <c r="BR103" i="152" s="1"/>
  <c r="O103" i="152"/>
  <c r="V103" i="152"/>
  <c r="W103" i="152" s="1"/>
  <c r="AB103" i="152"/>
  <c r="AC103" i="152" s="1"/>
  <c r="AH103" i="152"/>
  <c r="AI103" i="152" s="1"/>
  <c r="AN103" i="152"/>
  <c r="AO103" i="152" s="1"/>
  <c r="BA103" i="152"/>
  <c r="BB103" i="152" s="1"/>
  <c r="BG103" i="152"/>
  <c r="BH103" i="152" s="1"/>
  <c r="Y103" i="152"/>
  <c r="Z103" i="152" s="1"/>
  <c r="AK103" i="152"/>
  <c r="AL103" i="152" s="1"/>
  <c r="P103" i="152"/>
  <c r="R103" i="152"/>
  <c r="T103" i="152" s="1"/>
  <c r="AE103" i="152"/>
  <c r="AF103" i="152" s="1"/>
  <c r="AQ103" i="152"/>
  <c r="AR103" i="152" s="1"/>
  <c r="BD103" i="152"/>
  <c r="BE103" i="152" s="1"/>
  <c r="BN103" i="152"/>
  <c r="BO103" i="152" s="1"/>
  <c r="AV103" i="152"/>
  <c r="AW103" i="152" s="1"/>
  <c r="BL103" i="152"/>
  <c r="K104" i="152"/>
  <c r="I112" i="152"/>
  <c r="AV101" i="151"/>
  <c r="AW101" i="151" s="1"/>
  <c r="BQ101" i="151"/>
  <c r="BR101" i="151" s="1"/>
  <c r="AY101" i="151"/>
  <c r="BA101" i="151"/>
  <c r="BB101" i="151" s="1"/>
  <c r="AH101" i="151"/>
  <c r="AI101" i="151" s="1"/>
  <c r="AN101" i="151"/>
  <c r="AO101" i="151" s="1"/>
  <c r="AE101" i="151"/>
  <c r="AF101" i="151" s="1"/>
  <c r="Y101" i="151"/>
  <c r="Z101" i="151" s="1"/>
  <c r="R101" i="151"/>
  <c r="T101" i="151" s="1"/>
  <c r="BG101" i="151"/>
  <c r="BH101" i="151" s="1"/>
  <c r="AT101" i="151"/>
  <c r="AK101" i="151"/>
  <c r="AL101" i="151" s="1"/>
  <c r="P101" i="151"/>
  <c r="BD101" i="151"/>
  <c r="BE101" i="151" s="1"/>
  <c r="V101" i="151"/>
  <c r="W101" i="151" s="1"/>
  <c r="AB101" i="151"/>
  <c r="AC101" i="151" s="1"/>
  <c r="O101" i="151"/>
  <c r="AQ101" i="151"/>
  <c r="AR101" i="151" s="1"/>
  <c r="BN101" i="151"/>
  <c r="BO101" i="151" s="1"/>
  <c r="M101" i="151"/>
  <c r="BL101" i="151"/>
  <c r="I103" i="151"/>
  <c r="K102" i="151"/>
  <c r="I104" i="150"/>
  <c r="BD100" i="150"/>
  <c r="BE100" i="150" s="1"/>
  <c r="AQ100" i="150"/>
  <c r="AR100" i="150" s="1"/>
  <c r="AK100" i="150"/>
  <c r="AL100" i="150" s="1"/>
  <c r="AE100" i="150"/>
  <c r="AF100" i="150" s="1"/>
  <c r="Y100" i="150"/>
  <c r="Z100" i="150" s="1"/>
  <c r="R100" i="150"/>
  <c r="T100" i="150" s="1"/>
  <c r="AV100" i="150"/>
  <c r="AW100" i="150" s="1"/>
  <c r="P100" i="150"/>
  <c r="BG100" i="150"/>
  <c r="BH100" i="150" s="1"/>
  <c r="BA100" i="150"/>
  <c r="BB100" i="150" s="1"/>
  <c r="AT100" i="150"/>
  <c r="AN100" i="150"/>
  <c r="AO100" i="150" s="1"/>
  <c r="AH100" i="150"/>
  <c r="AI100" i="150" s="1"/>
  <c r="AB100" i="150"/>
  <c r="AC100" i="150" s="1"/>
  <c r="V100" i="150"/>
  <c r="W100" i="150" s="1"/>
  <c r="O100" i="150"/>
  <c r="AY100" i="150"/>
  <c r="BQ100" i="150"/>
  <c r="BR100" i="150" s="1"/>
  <c r="BN100" i="150"/>
  <c r="BO100" i="150" s="1"/>
  <c r="M100" i="150"/>
  <c r="BL100" i="150"/>
  <c r="K101" i="150"/>
  <c r="I104" i="149"/>
  <c r="K103" i="149"/>
  <c r="BQ102" i="149"/>
  <c r="BR102" i="149" s="1"/>
  <c r="AY102" i="149"/>
  <c r="AV102" i="149"/>
  <c r="AW102" i="149" s="1"/>
  <c r="BG102" i="149"/>
  <c r="BH102" i="149" s="1"/>
  <c r="AT102" i="149"/>
  <c r="AH102" i="149"/>
  <c r="AI102" i="149" s="1"/>
  <c r="Y102" i="149"/>
  <c r="Z102" i="149" s="1"/>
  <c r="P102" i="149"/>
  <c r="BD102" i="149"/>
  <c r="BE102" i="149" s="1"/>
  <c r="AQ102" i="149"/>
  <c r="AR102" i="149" s="1"/>
  <c r="AE102" i="149"/>
  <c r="AF102" i="149" s="1"/>
  <c r="O102" i="149"/>
  <c r="AK102" i="149"/>
  <c r="AL102" i="149" s="1"/>
  <c r="R102" i="149"/>
  <c r="T102" i="149" s="1"/>
  <c r="BA102" i="149"/>
  <c r="BB102" i="149" s="1"/>
  <c r="AB102" i="149"/>
  <c r="AC102" i="149" s="1"/>
  <c r="AN102" i="149"/>
  <c r="AO102" i="149" s="1"/>
  <c r="V102" i="149"/>
  <c r="W102" i="149" s="1"/>
  <c r="M102" i="149"/>
  <c r="BN102" i="149"/>
  <c r="BO102" i="149" s="1"/>
  <c r="BL102" i="149"/>
  <c r="AV101" i="147"/>
  <c r="AW101" i="147" s="1"/>
  <c r="P101" i="147"/>
  <c r="AN101" i="147"/>
  <c r="AO101" i="147" s="1"/>
  <c r="Y101" i="147"/>
  <c r="Z101" i="147" s="1"/>
  <c r="O101" i="147"/>
  <c r="BD101" i="147"/>
  <c r="BE101" i="147" s="1"/>
  <c r="AT101" i="147"/>
  <c r="AE101" i="147"/>
  <c r="AF101" i="147" s="1"/>
  <c r="V101" i="147"/>
  <c r="W101" i="147" s="1"/>
  <c r="AB101" i="147"/>
  <c r="AC101" i="147" s="1"/>
  <c r="BG101" i="147"/>
  <c r="BH101" i="147" s="1"/>
  <c r="AQ101" i="147"/>
  <c r="AR101" i="147" s="1"/>
  <c r="BQ101" i="147"/>
  <c r="BR101" i="147" s="1"/>
  <c r="AK101" i="147"/>
  <c r="AL101" i="147" s="1"/>
  <c r="AH101" i="147"/>
  <c r="AI101" i="147" s="1"/>
  <c r="BA101" i="147"/>
  <c r="BB101" i="147" s="1"/>
  <c r="AY101" i="147"/>
  <c r="R101" i="147"/>
  <c r="T101" i="147" s="1"/>
  <c r="BK101" i="147"/>
  <c r="BN101" i="147"/>
  <c r="BO101" i="147" s="1"/>
  <c r="BJ101" i="147"/>
  <c r="BL101" i="147" s="1"/>
  <c r="M101" i="147"/>
  <c r="K102" i="147"/>
  <c r="I103" i="147"/>
  <c r="K101" i="146"/>
  <c r="I102" i="146"/>
  <c r="BD100" i="146"/>
  <c r="BE100" i="146" s="1"/>
  <c r="AQ100" i="146"/>
  <c r="AR100" i="146" s="1"/>
  <c r="AK100" i="146"/>
  <c r="AL100" i="146" s="1"/>
  <c r="AE100" i="146"/>
  <c r="AF100" i="146" s="1"/>
  <c r="Y100" i="146"/>
  <c r="Z100" i="146" s="1"/>
  <c r="R100" i="146"/>
  <c r="T100" i="146" s="1"/>
  <c r="AV100" i="146"/>
  <c r="AW100" i="146" s="1"/>
  <c r="P100" i="146"/>
  <c r="BG100" i="146"/>
  <c r="BH100" i="146" s="1"/>
  <c r="BA100" i="146"/>
  <c r="BB100" i="146" s="1"/>
  <c r="AT100" i="146"/>
  <c r="AN100" i="146"/>
  <c r="AO100" i="146" s="1"/>
  <c r="AH100" i="146"/>
  <c r="AI100" i="146" s="1"/>
  <c r="AB100" i="146"/>
  <c r="AC100" i="146" s="1"/>
  <c r="V100" i="146"/>
  <c r="W100" i="146" s="1"/>
  <c r="O100" i="146"/>
  <c r="AY100" i="146"/>
  <c r="BQ100" i="146"/>
  <c r="BR100" i="146" s="1"/>
  <c r="BK100" i="146"/>
  <c r="M100" i="146"/>
  <c r="BJ100" i="146"/>
  <c r="BL100" i="146" s="1"/>
  <c r="BN100" i="146"/>
  <c r="BO100" i="146" s="1"/>
  <c r="M97" i="101"/>
  <c r="V97" i="101"/>
  <c r="W97" i="101" s="1"/>
  <c r="BG97" i="101"/>
  <c r="BH97" i="101" s="1"/>
  <c r="O97" i="101"/>
  <c r="BA97" i="101"/>
  <c r="BB97" i="101" s="1"/>
  <c r="AK97" i="101"/>
  <c r="AL97" i="101" s="1"/>
  <c r="AV97" i="101"/>
  <c r="AW97" i="101" s="1"/>
  <c r="AB97" i="101"/>
  <c r="AC97" i="101" s="1"/>
  <c r="AE97" i="101"/>
  <c r="AF97" i="101" s="1"/>
  <c r="P97" i="101"/>
  <c r="AY97" i="101"/>
  <c r="AQ97" i="101"/>
  <c r="AR97" i="101" s="1"/>
  <c r="Y97" i="101"/>
  <c r="Z97" i="101" s="1"/>
  <c r="AH97" i="101"/>
  <c r="AI97" i="101" s="1"/>
  <c r="AT97" i="101"/>
  <c r="BQ97" i="101"/>
  <c r="BR97" i="101" s="1"/>
  <c r="R97" i="101"/>
  <c r="T97" i="101" s="1"/>
  <c r="BD97" i="101"/>
  <c r="BE97" i="101" s="1"/>
  <c r="AN97" i="101"/>
  <c r="AO97" i="101" s="1"/>
  <c r="M100" i="136"/>
  <c r="BN100" i="136"/>
  <c r="BO100" i="136" s="1"/>
  <c r="BQ100" i="136"/>
  <c r="BR100" i="136" s="1"/>
  <c r="R100" i="136"/>
  <c r="T100" i="136" s="1"/>
  <c r="BL100" i="136"/>
  <c r="O100" i="136"/>
  <c r="V100" i="136"/>
  <c r="W100" i="136" s="1"/>
  <c r="P100" i="136"/>
  <c r="BA100" i="136"/>
  <c r="BB100" i="136" s="1"/>
  <c r="Y100" i="136"/>
  <c r="Z100" i="136" s="1"/>
  <c r="AE100" i="136"/>
  <c r="AF100" i="136" s="1"/>
  <c r="AB100" i="136"/>
  <c r="AC100" i="136" s="1"/>
  <c r="AK100" i="136"/>
  <c r="AL100" i="136" s="1"/>
  <c r="BD100" i="136"/>
  <c r="BE100" i="136" s="1"/>
  <c r="AH100" i="136"/>
  <c r="AI100" i="136" s="1"/>
  <c r="AV100" i="136"/>
  <c r="AW100" i="136" s="1"/>
  <c r="BG100" i="136"/>
  <c r="BH100" i="136" s="1"/>
  <c r="AQ100" i="136"/>
  <c r="AR100" i="136" s="1"/>
  <c r="AT100" i="136"/>
  <c r="AY100" i="136"/>
  <c r="AN100" i="136"/>
  <c r="AO100" i="136" s="1"/>
  <c r="K101" i="136"/>
  <c r="I104" i="136"/>
  <c r="BD96" i="120"/>
  <c r="BE96" i="120" s="1"/>
  <c r="O96" i="120"/>
  <c r="V96" i="120"/>
  <c r="W96" i="120" s="1"/>
  <c r="Y96" i="120"/>
  <c r="Z96" i="120" s="1"/>
  <c r="AT96" i="120"/>
  <c r="BG96" i="120"/>
  <c r="BH96" i="120" s="1"/>
  <c r="AK96" i="120"/>
  <c r="AL96" i="120" s="1"/>
  <c r="AN96" i="120"/>
  <c r="AO96" i="120" s="1"/>
  <c r="BQ96" i="120"/>
  <c r="BR96" i="120" s="1"/>
  <c r="K97" i="120"/>
  <c r="AQ96" i="120"/>
  <c r="AR96" i="120" s="1"/>
  <c r="AY96" i="120"/>
  <c r="R96" i="120"/>
  <c r="T96" i="120" s="1"/>
  <c r="AV96" i="120"/>
  <c r="AW96" i="120" s="1"/>
  <c r="AE96" i="120"/>
  <c r="AF96" i="120" s="1"/>
  <c r="M96" i="120"/>
  <c r="AH96" i="120"/>
  <c r="AI96" i="120" s="1"/>
  <c r="BA96" i="120"/>
  <c r="BB96" i="120" s="1"/>
  <c r="P96" i="120"/>
  <c r="AB96" i="120"/>
  <c r="AC96" i="120" s="1"/>
  <c r="BN96" i="120"/>
  <c r="BO96" i="120" s="1"/>
  <c r="M96" i="13"/>
  <c r="BN96" i="13"/>
  <c r="BO96" i="13" s="1"/>
  <c r="BL96" i="13"/>
  <c r="BG96" i="13"/>
  <c r="BH96" i="13" s="1"/>
  <c r="BQ96" i="13"/>
  <c r="BR96" i="13" s="1"/>
  <c r="AB96" i="13"/>
  <c r="AC96" i="13" s="1"/>
  <c r="AV96" i="13"/>
  <c r="AW96" i="13" s="1"/>
  <c r="BD96" i="13"/>
  <c r="BE96" i="13" s="1"/>
  <c r="AY96" i="13"/>
  <c r="AH96" i="13"/>
  <c r="AI96" i="13" s="1"/>
  <c r="P96" i="13"/>
  <c r="AE96" i="13"/>
  <c r="AF96" i="13" s="1"/>
  <c r="O96" i="13"/>
  <c r="Y96" i="13"/>
  <c r="Z96" i="13" s="1"/>
  <c r="AT96" i="13"/>
  <c r="V96" i="13"/>
  <c r="W96" i="13" s="1"/>
  <c r="BA96" i="13"/>
  <c r="BB96" i="13" s="1"/>
  <c r="R96" i="13"/>
  <c r="T96" i="13" s="1"/>
  <c r="AQ96" i="13"/>
  <c r="AR96" i="13" s="1"/>
  <c r="AN96" i="13"/>
  <c r="AO96" i="13" s="1"/>
  <c r="AK96" i="13"/>
  <c r="AL96" i="13" s="1"/>
  <c r="M102" i="124"/>
  <c r="BK102" i="124"/>
  <c r="BJ102" i="124"/>
  <c r="BL102" i="124" s="1"/>
  <c r="K103" i="124"/>
  <c r="BN102" i="124"/>
  <c r="BO102" i="124" s="1"/>
  <c r="BQ102" i="124"/>
  <c r="BR102" i="124" s="1"/>
  <c r="BG102" i="124"/>
  <c r="BH102" i="124" s="1"/>
  <c r="BD102" i="124"/>
  <c r="BE102" i="124" s="1"/>
  <c r="AY102" i="124"/>
  <c r="BA102" i="124"/>
  <c r="BB102" i="124" s="1"/>
  <c r="AQ102" i="124"/>
  <c r="AR102" i="124" s="1"/>
  <c r="Y102" i="124"/>
  <c r="Z102" i="124" s="1"/>
  <c r="AT102" i="124"/>
  <c r="V102" i="124"/>
  <c r="W102" i="124" s="1"/>
  <c r="AN102" i="124"/>
  <c r="AO102" i="124" s="1"/>
  <c r="AK102" i="124"/>
  <c r="AL102" i="124" s="1"/>
  <c r="R102" i="124"/>
  <c r="T102" i="124" s="1"/>
  <c r="O102" i="124"/>
  <c r="AH102" i="124"/>
  <c r="AI102" i="124" s="1"/>
  <c r="P102" i="124"/>
  <c r="AV102" i="124"/>
  <c r="AW102" i="124" s="1"/>
  <c r="AE102" i="124"/>
  <c r="AF102" i="124" s="1"/>
  <c r="AB102" i="124"/>
  <c r="AC102" i="124" s="1"/>
  <c r="AE98" i="98"/>
  <c r="AF98" i="98" s="1"/>
  <c r="BN98" i="98"/>
  <c r="BO98" i="98" s="1"/>
  <c r="M98" i="98"/>
  <c r="AH98" i="98"/>
  <c r="AI98" i="98" s="1"/>
  <c r="K99" i="98"/>
  <c r="BD98" i="98"/>
  <c r="BE98" i="98" s="1"/>
  <c r="R98" i="98"/>
  <c r="T98" i="98" s="1"/>
  <c r="BK98" i="98"/>
  <c r="BJ98" i="98"/>
  <c r="BL98" i="98" s="1"/>
  <c r="AV98" i="98"/>
  <c r="AW98" i="98" s="1"/>
  <c r="O98" i="98"/>
  <c r="AY98" i="98"/>
  <c r="BA98" i="98"/>
  <c r="BB98" i="98" s="1"/>
  <c r="AB98" i="98"/>
  <c r="AC98" i="98" s="1"/>
  <c r="AN98" i="98"/>
  <c r="AO98" i="98" s="1"/>
  <c r="BG98" i="98"/>
  <c r="BH98" i="98" s="1"/>
  <c r="P98" i="98"/>
  <c r="V98" i="98"/>
  <c r="W98" i="98" s="1"/>
  <c r="BQ98" i="98"/>
  <c r="BR98" i="98" s="1"/>
  <c r="AT98" i="98"/>
  <c r="AK98" i="98"/>
  <c r="AL98" i="98" s="1"/>
  <c r="AQ98" i="98"/>
  <c r="AR98" i="98" s="1"/>
  <c r="Y98" i="98"/>
  <c r="Z98" i="98" s="1"/>
  <c r="I99" i="101"/>
  <c r="K98" i="101"/>
  <c r="K97" i="66"/>
  <c r="I98" i="66"/>
  <c r="I104" i="114"/>
  <c r="I100" i="96"/>
  <c r="K99" i="96"/>
  <c r="I105" i="105"/>
  <c r="P98" i="115"/>
  <c r="M98" i="115"/>
  <c r="BK98" i="115"/>
  <c r="BN98" i="115"/>
  <c r="BO98" i="115" s="1"/>
  <c r="BJ98" i="115"/>
  <c r="BL98" i="115" s="1"/>
  <c r="BQ98" i="115"/>
  <c r="BR98" i="115" s="1"/>
  <c r="AB98" i="115"/>
  <c r="AC98" i="115" s="1"/>
  <c r="AH98" i="115"/>
  <c r="AI98" i="115" s="1"/>
  <c r="R98" i="115"/>
  <c r="T98" i="115" s="1"/>
  <c r="AY98" i="115"/>
  <c r="AQ98" i="115"/>
  <c r="AR98" i="115" s="1"/>
  <c r="O98" i="115"/>
  <c r="Y98" i="115"/>
  <c r="Z98" i="115" s="1"/>
  <c r="AN98" i="115"/>
  <c r="AO98" i="115" s="1"/>
  <c r="AT98" i="115"/>
  <c r="BA98" i="115"/>
  <c r="BB98" i="115" s="1"/>
  <c r="BG98" i="115"/>
  <c r="BH98" i="115" s="1"/>
  <c r="V98" i="115"/>
  <c r="W98" i="115" s="1"/>
  <c r="AV98" i="115"/>
  <c r="AW98" i="115" s="1"/>
  <c r="BD98" i="115"/>
  <c r="BE98" i="115" s="1"/>
  <c r="AK98" i="115"/>
  <c r="AL98" i="115" s="1"/>
  <c r="AE98" i="115"/>
  <c r="AF98" i="115" s="1"/>
  <c r="I102" i="104"/>
  <c r="I98" i="17"/>
  <c r="K97" i="17"/>
  <c r="I102" i="15"/>
  <c r="AY99" i="64"/>
  <c r="AV99" i="64"/>
  <c r="AW99" i="64" s="1"/>
  <c r="AN99" i="64"/>
  <c r="AO99" i="64" s="1"/>
  <c r="BQ99" i="64"/>
  <c r="BR99" i="64" s="1"/>
  <c r="AH99" i="64"/>
  <c r="AI99" i="64" s="1"/>
  <c r="AE99" i="64"/>
  <c r="AF99" i="64" s="1"/>
  <c r="R99" i="64"/>
  <c r="T99" i="64" s="1"/>
  <c r="AB99" i="64"/>
  <c r="AC99" i="64" s="1"/>
  <c r="V99" i="64"/>
  <c r="W99" i="64" s="1"/>
  <c r="BG99" i="64"/>
  <c r="BH99" i="64" s="1"/>
  <c r="BD99" i="64"/>
  <c r="BE99" i="64" s="1"/>
  <c r="BA99" i="64"/>
  <c r="BB99" i="64" s="1"/>
  <c r="O99" i="64"/>
  <c r="M99" i="64"/>
  <c r="AQ99" i="64"/>
  <c r="AR99" i="64" s="1"/>
  <c r="Y99" i="64"/>
  <c r="Z99" i="64" s="1"/>
  <c r="P99" i="64"/>
  <c r="AK99" i="64"/>
  <c r="AL99" i="64" s="1"/>
  <c r="AT99" i="64"/>
  <c r="BN99" i="64"/>
  <c r="BO99" i="64" s="1"/>
  <c r="BL99" i="64"/>
  <c r="K100" i="64"/>
  <c r="K97" i="13"/>
  <c r="I98" i="13"/>
  <c r="K98" i="118"/>
  <c r="R97" i="118"/>
  <c r="T97" i="118" s="1"/>
  <c r="M97" i="118"/>
  <c r="BN97" i="118"/>
  <c r="BO97" i="118" s="1"/>
  <c r="AN97" i="118"/>
  <c r="AO97" i="118" s="1"/>
  <c r="BQ97" i="118"/>
  <c r="BR97" i="118" s="1"/>
  <c r="AV97" i="118"/>
  <c r="AW97" i="118" s="1"/>
  <c r="AE97" i="118"/>
  <c r="AF97" i="118" s="1"/>
  <c r="Y97" i="118"/>
  <c r="Z97" i="118" s="1"/>
  <c r="AK97" i="118"/>
  <c r="AL97" i="118" s="1"/>
  <c r="AT97" i="118"/>
  <c r="V97" i="118"/>
  <c r="W97" i="118" s="1"/>
  <c r="AB97" i="118"/>
  <c r="AC97" i="118" s="1"/>
  <c r="AH97" i="118"/>
  <c r="AI97" i="118" s="1"/>
  <c r="BA97" i="118"/>
  <c r="BB97" i="118" s="1"/>
  <c r="P97" i="118"/>
  <c r="AY97" i="118"/>
  <c r="BD97" i="118"/>
  <c r="BE97" i="118" s="1"/>
  <c r="BG97" i="118"/>
  <c r="BH97" i="118" s="1"/>
  <c r="AQ97" i="118"/>
  <c r="AR97" i="118" s="1"/>
  <c r="O97" i="118"/>
  <c r="M98" i="110"/>
  <c r="BK98" i="110"/>
  <c r="BJ98" i="110"/>
  <c r="BL98" i="110" s="1"/>
  <c r="BN98" i="110"/>
  <c r="BO98" i="110" s="1"/>
  <c r="BQ98" i="110"/>
  <c r="BR98" i="110" s="1"/>
  <c r="P98" i="110"/>
  <c r="AE98" i="110"/>
  <c r="AF98" i="110" s="1"/>
  <c r="AY98" i="110"/>
  <c r="AV98" i="110"/>
  <c r="AW98" i="110" s="1"/>
  <c r="AH98" i="110"/>
  <c r="AI98" i="110" s="1"/>
  <c r="BD98" i="110"/>
  <c r="BE98" i="110" s="1"/>
  <c r="AN98" i="110"/>
  <c r="AO98" i="110" s="1"/>
  <c r="R98" i="110"/>
  <c r="T98" i="110" s="1"/>
  <c r="O98" i="110"/>
  <c r="BA98" i="110"/>
  <c r="BB98" i="110" s="1"/>
  <c r="AB98" i="110"/>
  <c r="AC98" i="110" s="1"/>
  <c r="Y98" i="110"/>
  <c r="Z98" i="110" s="1"/>
  <c r="BG98" i="110"/>
  <c r="BH98" i="110" s="1"/>
  <c r="V98" i="110"/>
  <c r="W98" i="110" s="1"/>
  <c r="AQ98" i="110"/>
  <c r="AR98" i="110" s="1"/>
  <c r="AT98" i="110"/>
  <c r="AK98" i="110"/>
  <c r="AL98" i="110" s="1"/>
  <c r="M96" i="66"/>
  <c r="BQ96" i="66"/>
  <c r="BR96" i="66" s="1"/>
  <c r="AK96" i="66"/>
  <c r="AL96" i="66" s="1"/>
  <c r="AH96" i="66"/>
  <c r="AI96" i="66" s="1"/>
  <c r="AE96" i="66"/>
  <c r="AF96" i="66" s="1"/>
  <c r="Y96" i="66"/>
  <c r="Z96" i="66" s="1"/>
  <c r="BN96" i="66"/>
  <c r="BO96" i="66" s="1"/>
  <c r="BG96" i="66"/>
  <c r="BH96" i="66" s="1"/>
  <c r="BD96" i="66"/>
  <c r="BE96" i="66" s="1"/>
  <c r="BA96" i="66"/>
  <c r="BB96" i="66" s="1"/>
  <c r="AY96" i="66"/>
  <c r="V96" i="66"/>
  <c r="W96" i="66" s="1"/>
  <c r="O96" i="66"/>
  <c r="AB96" i="66"/>
  <c r="AC96" i="66" s="1"/>
  <c r="P96" i="66"/>
  <c r="AN96" i="66"/>
  <c r="AO96" i="66" s="1"/>
  <c r="R96" i="66"/>
  <c r="T96" i="66" s="1"/>
  <c r="AQ96" i="66"/>
  <c r="AR96" i="66" s="1"/>
  <c r="AV96" i="66"/>
  <c r="AW96" i="66" s="1"/>
  <c r="AT96" i="66"/>
  <c r="BL96" i="66"/>
  <c r="I103" i="63"/>
  <c r="BK100" i="105"/>
  <c r="BJ100" i="105"/>
  <c r="BL100" i="105" s="1"/>
  <c r="Y100" i="105"/>
  <c r="Z100" i="105" s="1"/>
  <c r="AT100" i="105"/>
  <c r="BQ100" i="105"/>
  <c r="BR100" i="105" s="1"/>
  <c r="O100" i="105"/>
  <c r="M100" i="105"/>
  <c r="AQ100" i="105"/>
  <c r="AR100" i="105" s="1"/>
  <c r="AV100" i="105"/>
  <c r="AW100" i="105" s="1"/>
  <c r="AH100" i="105"/>
  <c r="AI100" i="105" s="1"/>
  <c r="BN100" i="105"/>
  <c r="BO100" i="105" s="1"/>
  <c r="BA100" i="105"/>
  <c r="BB100" i="105" s="1"/>
  <c r="BD100" i="105"/>
  <c r="BE100" i="105" s="1"/>
  <c r="AK100" i="105"/>
  <c r="AL100" i="105" s="1"/>
  <c r="AB100" i="105"/>
  <c r="AC100" i="105" s="1"/>
  <c r="BG100" i="105"/>
  <c r="BH100" i="105" s="1"/>
  <c r="R100" i="105"/>
  <c r="T100" i="105" s="1"/>
  <c r="AY100" i="105"/>
  <c r="P100" i="105"/>
  <c r="AN100" i="105"/>
  <c r="AO100" i="105" s="1"/>
  <c r="V100" i="105"/>
  <c r="W100" i="105" s="1"/>
  <c r="AE100" i="105"/>
  <c r="AF100" i="105" s="1"/>
  <c r="K101" i="105"/>
  <c r="M99" i="135"/>
  <c r="Y99" i="135"/>
  <c r="Z99" i="135" s="1"/>
  <c r="BQ99" i="135"/>
  <c r="BR99" i="135" s="1"/>
  <c r="BA99" i="135"/>
  <c r="BB99" i="135" s="1"/>
  <c r="AT99" i="135"/>
  <c r="AY99" i="135"/>
  <c r="AK99" i="135"/>
  <c r="AL99" i="135" s="1"/>
  <c r="AV99" i="135"/>
  <c r="AW99" i="135" s="1"/>
  <c r="AN99" i="135"/>
  <c r="AO99" i="135" s="1"/>
  <c r="BG99" i="135"/>
  <c r="BH99" i="135" s="1"/>
  <c r="AQ99" i="135"/>
  <c r="AR99" i="135" s="1"/>
  <c r="AE99" i="135"/>
  <c r="AF99" i="135" s="1"/>
  <c r="V99" i="135"/>
  <c r="W99" i="135" s="1"/>
  <c r="P99" i="135"/>
  <c r="AB99" i="135"/>
  <c r="AC99" i="135" s="1"/>
  <c r="R99" i="135"/>
  <c r="T99" i="135" s="1"/>
  <c r="AH99" i="135"/>
  <c r="AI99" i="135" s="1"/>
  <c r="BD99" i="135"/>
  <c r="BE99" i="135" s="1"/>
  <c r="O99" i="135"/>
  <c r="BN99" i="135"/>
  <c r="BO99" i="135" s="1"/>
  <c r="BL99" i="135"/>
  <c r="O98" i="96"/>
  <c r="R98" i="96"/>
  <c r="T98" i="96" s="1"/>
  <c r="BA98" i="96"/>
  <c r="BB98" i="96" s="1"/>
  <c r="BG98" i="96"/>
  <c r="BH98" i="96" s="1"/>
  <c r="AT98" i="96"/>
  <c r="BD98" i="96"/>
  <c r="BE98" i="96" s="1"/>
  <c r="AB98" i="96"/>
  <c r="AC98" i="96" s="1"/>
  <c r="Y98" i="96"/>
  <c r="Z98" i="96" s="1"/>
  <c r="AE98" i="96"/>
  <c r="AF98" i="96" s="1"/>
  <c r="AN98" i="96"/>
  <c r="AO98" i="96" s="1"/>
  <c r="AV98" i="96"/>
  <c r="AW98" i="96" s="1"/>
  <c r="AH98" i="96"/>
  <c r="AI98" i="96" s="1"/>
  <c r="BL98" i="96"/>
  <c r="P98" i="96"/>
  <c r="V98" i="96"/>
  <c r="W98" i="96" s="1"/>
  <c r="AK98" i="96"/>
  <c r="AL98" i="96" s="1"/>
  <c r="AQ98" i="96"/>
  <c r="AR98" i="96" s="1"/>
  <c r="BQ98" i="96"/>
  <c r="BR98" i="96" s="1"/>
  <c r="M98" i="96"/>
  <c r="BN98" i="96"/>
  <c r="BO98" i="96" s="1"/>
  <c r="BK98" i="114"/>
  <c r="BN98" i="114"/>
  <c r="BO98" i="114" s="1"/>
  <c r="M98" i="114"/>
  <c r="BJ98" i="114"/>
  <c r="BL98" i="114" s="1"/>
  <c r="AY98" i="114"/>
  <c r="Y98" i="114"/>
  <c r="Z98" i="114" s="1"/>
  <c r="R98" i="114"/>
  <c r="T98" i="114" s="1"/>
  <c r="AQ98" i="114"/>
  <c r="AR98" i="114" s="1"/>
  <c r="AN98" i="114"/>
  <c r="AO98" i="114" s="1"/>
  <c r="BG98" i="114"/>
  <c r="BH98" i="114" s="1"/>
  <c r="AV98" i="114"/>
  <c r="AW98" i="114" s="1"/>
  <c r="O98" i="114"/>
  <c r="AE98" i="114"/>
  <c r="AF98" i="114" s="1"/>
  <c r="BQ98" i="114"/>
  <c r="BR98" i="114" s="1"/>
  <c r="AK98" i="114"/>
  <c r="AL98" i="114" s="1"/>
  <c r="BA98" i="114"/>
  <c r="BB98" i="114" s="1"/>
  <c r="AT98" i="114"/>
  <c r="BD98" i="114"/>
  <c r="BE98" i="114" s="1"/>
  <c r="AH98" i="114"/>
  <c r="AI98" i="114" s="1"/>
  <c r="AB98" i="114"/>
  <c r="AC98" i="114" s="1"/>
  <c r="P98" i="114"/>
  <c r="V98" i="114"/>
  <c r="W98" i="114" s="1"/>
  <c r="K99" i="114"/>
  <c r="I100" i="115"/>
  <c r="K99" i="115"/>
  <c r="I104" i="64"/>
  <c r="M98" i="63"/>
  <c r="BN98" i="63"/>
  <c r="BO98" i="63" s="1"/>
  <c r="AV98" i="63"/>
  <c r="AW98" i="63" s="1"/>
  <c r="R98" i="63"/>
  <c r="T98" i="63" s="1"/>
  <c r="AE98" i="63"/>
  <c r="AF98" i="63" s="1"/>
  <c r="Y98" i="63"/>
  <c r="Z98" i="63" s="1"/>
  <c r="AK98" i="63"/>
  <c r="AL98" i="63" s="1"/>
  <c r="O98" i="63"/>
  <c r="AT98" i="63"/>
  <c r="V98" i="63"/>
  <c r="W98" i="63" s="1"/>
  <c r="AN98" i="63"/>
  <c r="AO98" i="63" s="1"/>
  <c r="BD98" i="63"/>
  <c r="BE98" i="63" s="1"/>
  <c r="P98" i="63"/>
  <c r="AB98" i="63"/>
  <c r="AC98" i="63" s="1"/>
  <c r="AH98" i="63"/>
  <c r="AI98" i="63" s="1"/>
  <c r="AY98" i="63"/>
  <c r="AQ98" i="63"/>
  <c r="AR98" i="63" s="1"/>
  <c r="BG98" i="63"/>
  <c r="BH98" i="63" s="1"/>
  <c r="BA98" i="63"/>
  <c r="BB98" i="63" s="1"/>
  <c r="BL98" i="63"/>
  <c r="BQ98" i="63"/>
  <c r="BR98" i="63" s="1"/>
  <c r="K99" i="63"/>
  <c r="I113" i="133"/>
  <c r="M98" i="126"/>
  <c r="O98" i="126"/>
  <c r="BK98" i="126"/>
  <c r="BJ98" i="126"/>
  <c r="BL98" i="126" s="1"/>
  <c r="BN98" i="126"/>
  <c r="BO98" i="126" s="1"/>
  <c r="AE98" i="126"/>
  <c r="AF98" i="126" s="1"/>
  <c r="Y98" i="126"/>
  <c r="Z98" i="126" s="1"/>
  <c r="AT98" i="126"/>
  <c r="BD98" i="126"/>
  <c r="BE98" i="126" s="1"/>
  <c r="AN98" i="126"/>
  <c r="AO98" i="126" s="1"/>
  <c r="P98" i="126"/>
  <c r="BA98" i="126"/>
  <c r="BB98" i="126" s="1"/>
  <c r="AY98" i="126"/>
  <c r="AB98" i="126"/>
  <c r="AC98" i="126" s="1"/>
  <c r="AK98" i="126"/>
  <c r="AL98" i="126" s="1"/>
  <c r="AH98" i="126"/>
  <c r="AI98" i="126" s="1"/>
  <c r="BQ98" i="126"/>
  <c r="BR98" i="126" s="1"/>
  <c r="AQ98" i="126"/>
  <c r="AR98" i="126" s="1"/>
  <c r="V98" i="126"/>
  <c r="W98" i="126" s="1"/>
  <c r="R98" i="126"/>
  <c r="T98" i="126" s="1"/>
  <c r="AV98" i="126"/>
  <c r="AW98" i="126" s="1"/>
  <c r="BG98" i="126"/>
  <c r="BH98" i="126" s="1"/>
  <c r="K99" i="126"/>
  <c r="K99" i="110"/>
  <c r="I100" i="110"/>
  <c r="I105" i="132"/>
  <c r="BN96" i="17"/>
  <c r="BO96" i="17" s="1"/>
  <c r="BL96" i="17"/>
  <c r="BQ96" i="17"/>
  <c r="BR96" i="17" s="1"/>
  <c r="AT96" i="17"/>
  <c r="BG96" i="17"/>
  <c r="BH96" i="17" s="1"/>
  <c r="AV96" i="17"/>
  <c r="AW96" i="17" s="1"/>
  <c r="Y96" i="17"/>
  <c r="Z96" i="17" s="1"/>
  <c r="AQ96" i="17"/>
  <c r="AR96" i="17" s="1"/>
  <c r="R96" i="17"/>
  <c r="T96" i="17" s="1"/>
  <c r="BD96" i="17"/>
  <c r="BE96" i="17" s="1"/>
  <c r="P96" i="17"/>
  <c r="BA96" i="17"/>
  <c r="BB96" i="17" s="1"/>
  <c r="AK96" i="17"/>
  <c r="AL96" i="17" s="1"/>
  <c r="AE96" i="17"/>
  <c r="AF96" i="17" s="1"/>
  <c r="AB96" i="17"/>
  <c r="AC96" i="17" s="1"/>
  <c r="AN96" i="17"/>
  <c r="AO96" i="17" s="1"/>
  <c r="M96" i="17"/>
  <c r="O96" i="17"/>
  <c r="AH96" i="17"/>
  <c r="AI96" i="17" s="1"/>
  <c r="AY96" i="17"/>
  <c r="V96" i="17"/>
  <c r="W96" i="17" s="1"/>
  <c r="I101" i="135"/>
  <c r="K100" i="135"/>
  <c r="M97" i="15"/>
  <c r="BN97" i="15"/>
  <c r="BO97" i="15" s="1"/>
  <c r="BL97" i="15"/>
  <c r="AV97" i="15"/>
  <c r="AW97" i="15" s="1"/>
  <c r="O97" i="15"/>
  <c r="V97" i="15"/>
  <c r="W97" i="15" s="1"/>
  <c r="Y97" i="15"/>
  <c r="Z97" i="15" s="1"/>
  <c r="AQ97" i="15"/>
  <c r="AR97" i="15" s="1"/>
  <c r="AH97" i="15"/>
  <c r="AI97" i="15" s="1"/>
  <c r="BG97" i="15"/>
  <c r="BH97" i="15" s="1"/>
  <c r="BA97" i="15"/>
  <c r="BB97" i="15" s="1"/>
  <c r="R97" i="15"/>
  <c r="T97" i="15" s="1"/>
  <c r="BQ97" i="15"/>
  <c r="BR97" i="15" s="1"/>
  <c r="AE97" i="15"/>
  <c r="AF97" i="15" s="1"/>
  <c r="AK97" i="15"/>
  <c r="AL97" i="15" s="1"/>
  <c r="AY97" i="15"/>
  <c r="AT97" i="15"/>
  <c r="AN97" i="15"/>
  <c r="AO97" i="15" s="1"/>
  <c r="AB97" i="15"/>
  <c r="AC97" i="15" s="1"/>
  <c r="BD97" i="15"/>
  <c r="BE97" i="15" s="1"/>
  <c r="P97" i="15"/>
  <c r="K98" i="15"/>
  <c r="I103" i="126"/>
  <c r="I107" i="95"/>
  <c r="BN100" i="132" l="1"/>
  <c r="BO100" i="132" s="1"/>
  <c r="BD100" i="132"/>
  <c r="BE100" i="132" s="1"/>
  <c r="AN100" i="132"/>
  <c r="AO100" i="132" s="1"/>
  <c r="AH100" i="132"/>
  <c r="AI100" i="132" s="1"/>
  <c r="AT100" i="132"/>
  <c r="M100" i="132"/>
  <c r="AY100" i="132"/>
  <c r="AK100" i="132"/>
  <c r="AL100" i="132" s="1"/>
  <c r="BA100" i="132"/>
  <c r="BB100" i="132" s="1"/>
  <c r="AE100" i="132"/>
  <c r="AF100" i="132" s="1"/>
  <c r="K101" i="132"/>
  <c r="P100" i="132"/>
  <c r="BG100" i="132"/>
  <c r="BH100" i="132" s="1"/>
  <c r="O100" i="132"/>
  <c r="BQ100" i="132"/>
  <c r="BR100" i="132" s="1"/>
  <c r="AV100" i="132"/>
  <c r="AW100" i="132" s="1"/>
  <c r="BL100" i="132"/>
  <c r="R100" i="132"/>
  <c r="T100" i="132" s="1"/>
  <c r="AB100" i="132"/>
  <c r="AC100" i="132" s="1"/>
  <c r="Y100" i="132"/>
  <c r="Z100" i="132" s="1"/>
  <c r="AQ100" i="132"/>
  <c r="AR100" i="132" s="1"/>
  <c r="V100" i="132"/>
  <c r="W100" i="132" s="1"/>
  <c r="BA102" i="107"/>
  <c r="BB102" i="107" s="1"/>
  <c r="AY102" i="107"/>
  <c r="R102" i="107"/>
  <c r="T102" i="107" s="1"/>
  <c r="BN102" i="107"/>
  <c r="BO102" i="107" s="1"/>
  <c r="Y102" i="107"/>
  <c r="Z102" i="107" s="1"/>
  <c r="BJ102" i="107"/>
  <c r="BL102" i="107" s="1"/>
  <c r="AN102" i="107"/>
  <c r="AO102" i="107" s="1"/>
  <c r="AE102" i="107"/>
  <c r="AF102" i="107" s="1"/>
  <c r="BQ102" i="107"/>
  <c r="BR102" i="107" s="1"/>
  <c r="M102" i="107"/>
  <c r="O102" i="107"/>
  <c r="AB102" i="107"/>
  <c r="AC102" i="107" s="1"/>
  <c r="BG102" i="107"/>
  <c r="BH102" i="107" s="1"/>
  <c r="P102" i="107"/>
  <c r="BD102" i="107"/>
  <c r="BE102" i="107" s="1"/>
  <c r="AT102" i="107"/>
  <c r="V102" i="107"/>
  <c r="W102" i="107" s="1"/>
  <c r="AV102" i="107"/>
  <c r="AW102" i="107" s="1"/>
  <c r="BK102" i="107"/>
  <c r="AK102" i="107"/>
  <c r="AL102" i="107" s="1"/>
  <c r="AH102" i="107"/>
  <c r="AI102" i="107" s="1"/>
  <c r="AQ102" i="107"/>
  <c r="AR102" i="107" s="1"/>
  <c r="I104" i="107"/>
  <c r="K103" i="107"/>
  <c r="BN100" i="99"/>
  <c r="BO100" i="99" s="1"/>
  <c r="AQ100" i="99"/>
  <c r="AR100" i="99" s="1"/>
  <c r="Y100" i="99"/>
  <c r="Z100" i="99" s="1"/>
  <c r="AY100" i="99"/>
  <c r="AE100" i="99"/>
  <c r="AF100" i="99" s="1"/>
  <c r="BG100" i="99"/>
  <c r="BH100" i="99" s="1"/>
  <c r="K101" i="99"/>
  <c r="BK100" i="99"/>
  <c r="BJ100" i="99"/>
  <c r="BL100" i="99" s="1"/>
  <c r="AT100" i="99"/>
  <c r="AB100" i="99"/>
  <c r="AC100" i="99" s="1"/>
  <c r="M100" i="99"/>
  <c r="AH100" i="99"/>
  <c r="AI100" i="99" s="1"/>
  <c r="O100" i="99"/>
  <c r="AV100" i="99"/>
  <c r="AW100" i="99" s="1"/>
  <c r="P100" i="99"/>
  <c r="R100" i="99"/>
  <c r="T100" i="99" s="1"/>
  <c r="V100" i="99"/>
  <c r="W100" i="99" s="1"/>
  <c r="BD100" i="99"/>
  <c r="BE100" i="99" s="1"/>
  <c r="AN100" i="99"/>
  <c r="AO100" i="99" s="1"/>
  <c r="BQ100" i="99"/>
  <c r="BR100" i="99" s="1"/>
  <c r="BA100" i="99"/>
  <c r="BB100" i="99" s="1"/>
  <c r="AK100" i="99"/>
  <c r="AL100" i="99" s="1"/>
  <c r="K104" i="156"/>
  <c r="AY104" i="156" s="1"/>
  <c r="I105" i="156"/>
  <c r="AQ98" i="104"/>
  <c r="AR98" i="104" s="1"/>
  <c r="AN98" i="104"/>
  <c r="AO98" i="104" s="1"/>
  <c r="BG98" i="104"/>
  <c r="BH98" i="104" s="1"/>
  <c r="BA98" i="104"/>
  <c r="BB98" i="104" s="1"/>
  <c r="O98" i="104"/>
  <c r="V98" i="104"/>
  <c r="W98" i="104" s="1"/>
  <c r="BJ98" i="104"/>
  <c r="BL98" i="104" s="1"/>
  <c r="BQ98" i="104"/>
  <c r="BR98" i="104" s="1"/>
  <c r="AB98" i="104"/>
  <c r="AC98" i="104" s="1"/>
  <c r="AH98" i="104"/>
  <c r="AI98" i="104" s="1"/>
  <c r="BK98" i="104"/>
  <c r="P98" i="104"/>
  <c r="AT98" i="104"/>
  <c r="AY98" i="104"/>
  <c r="K99" i="104"/>
  <c r="M98" i="104"/>
  <c r="AK98" i="104"/>
  <c r="AL98" i="104" s="1"/>
  <c r="BD98" i="104"/>
  <c r="BE98" i="104" s="1"/>
  <c r="AV98" i="104"/>
  <c r="AW98" i="104" s="1"/>
  <c r="BN98" i="104"/>
  <c r="BO98" i="104" s="1"/>
  <c r="Y98" i="104"/>
  <c r="Z98" i="104" s="1"/>
  <c r="AE98" i="104"/>
  <c r="AF98" i="104" s="1"/>
  <c r="R98" i="104"/>
  <c r="T98" i="104" s="1"/>
  <c r="BL101" i="133"/>
  <c r="AY101" i="133"/>
  <c r="AV101" i="133"/>
  <c r="AW101" i="133" s="1"/>
  <c r="BA101" i="133"/>
  <c r="BB101" i="133" s="1"/>
  <c r="M101" i="133"/>
  <c r="R101" i="133"/>
  <c r="T101" i="133" s="1"/>
  <c r="P101" i="133"/>
  <c r="AH101" i="133"/>
  <c r="AI101" i="133" s="1"/>
  <c r="BG101" i="133"/>
  <c r="BH101" i="133" s="1"/>
  <c r="BD101" i="133"/>
  <c r="BE101" i="133" s="1"/>
  <c r="BQ101" i="133"/>
  <c r="BR101" i="133" s="1"/>
  <c r="K102" i="133"/>
  <c r="AT101" i="133"/>
  <c r="AN101" i="133"/>
  <c r="AO101" i="133" s="1"/>
  <c r="AK101" i="133"/>
  <c r="AL101" i="133" s="1"/>
  <c r="O101" i="133"/>
  <c r="AQ101" i="133"/>
  <c r="AR101" i="133" s="1"/>
  <c r="V101" i="133"/>
  <c r="W101" i="133" s="1"/>
  <c r="BN101" i="133"/>
  <c r="BO101" i="133" s="1"/>
  <c r="AE101" i="133"/>
  <c r="AF101" i="133" s="1"/>
  <c r="Y101" i="133"/>
  <c r="Z101" i="133" s="1"/>
  <c r="AB101" i="133"/>
  <c r="AC101" i="133" s="1"/>
  <c r="BQ103" i="156"/>
  <c r="BR103" i="156" s="1"/>
  <c r="BA103" i="156"/>
  <c r="BB103" i="156" s="1"/>
  <c r="AV103" i="156"/>
  <c r="AW103" i="156" s="1"/>
  <c r="O103" i="156"/>
  <c r="BG103" i="156"/>
  <c r="BH103" i="156" s="1"/>
  <c r="BN103" i="156"/>
  <c r="BO103" i="156" s="1"/>
  <c r="V103" i="156"/>
  <c r="W103" i="156" s="1"/>
  <c r="R103" i="156"/>
  <c r="T103" i="156" s="1"/>
  <c r="Y103" i="156"/>
  <c r="Z103" i="156" s="1"/>
  <c r="AB103" i="156"/>
  <c r="AC103" i="156" s="1"/>
  <c r="AE103" i="156"/>
  <c r="AF103" i="156" s="1"/>
  <c r="AK103" i="156"/>
  <c r="AL103" i="156" s="1"/>
  <c r="M103" i="156"/>
  <c r="AH103" i="156"/>
  <c r="AI103" i="156" s="1"/>
  <c r="AQ103" i="156"/>
  <c r="AR103" i="156" s="1"/>
  <c r="BD103" i="156"/>
  <c r="BE103" i="156" s="1"/>
  <c r="AN103" i="156"/>
  <c r="AO103" i="156" s="1"/>
  <c r="P103" i="156"/>
  <c r="BL103" i="156"/>
  <c r="I105" i="106"/>
  <c r="AB97" i="95"/>
  <c r="AC97" i="95" s="1"/>
  <c r="AV97" i="95"/>
  <c r="AW97" i="95" s="1"/>
  <c r="Y97" i="95"/>
  <c r="Z97" i="95" s="1"/>
  <c r="AQ97" i="95"/>
  <c r="AR97" i="95" s="1"/>
  <c r="BD97" i="95"/>
  <c r="BE97" i="95" s="1"/>
  <c r="BQ97" i="95"/>
  <c r="BR97" i="95" s="1"/>
  <c r="M97" i="95"/>
  <c r="R97" i="95"/>
  <c r="T97" i="95" s="1"/>
  <c r="AT97" i="95"/>
  <c r="AN97" i="95"/>
  <c r="AO97" i="95" s="1"/>
  <c r="BN97" i="95"/>
  <c r="BO97" i="95" s="1"/>
  <c r="BL97" i="95"/>
  <c r="BG97" i="95"/>
  <c r="BH97" i="95" s="1"/>
  <c r="AE97" i="95"/>
  <c r="AF97" i="95" s="1"/>
  <c r="AH97" i="95"/>
  <c r="AI97" i="95" s="1"/>
  <c r="AK97" i="95"/>
  <c r="AL97" i="95" s="1"/>
  <c r="P97" i="95"/>
  <c r="K98" i="95"/>
  <c r="V97" i="95"/>
  <c r="W97" i="95" s="1"/>
  <c r="O97" i="95"/>
  <c r="BA97" i="95"/>
  <c r="BB97" i="95" s="1"/>
  <c r="BN98" i="106"/>
  <c r="BO98" i="106" s="1"/>
  <c r="AV98" i="106"/>
  <c r="AW98" i="106" s="1"/>
  <c r="P98" i="106"/>
  <c r="BG98" i="106"/>
  <c r="BH98" i="106" s="1"/>
  <c r="AY98" i="106"/>
  <c r="R98" i="106"/>
  <c r="T98" i="106" s="1"/>
  <c r="AK98" i="106"/>
  <c r="AL98" i="106" s="1"/>
  <c r="BA98" i="106"/>
  <c r="BB98" i="106" s="1"/>
  <c r="BD98" i="106"/>
  <c r="BE98" i="106" s="1"/>
  <c r="BQ98" i="106"/>
  <c r="BR98" i="106" s="1"/>
  <c r="BJ98" i="106"/>
  <c r="BL98" i="106" s="1"/>
  <c r="AB98" i="106"/>
  <c r="AC98" i="106" s="1"/>
  <c r="AT98" i="106"/>
  <c r="M98" i="106"/>
  <c r="AQ98" i="106"/>
  <c r="AR98" i="106" s="1"/>
  <c r="V98" i="106"/>
  <c r="W98" i="106" s="1"/>
  <c r="Y98" i="106"/>
  <c r="Z98" i="106" s="1"/>
  <c r="AN98" i="106"/>
  <c r="AO98" i="106" s="1"/>
  <c r="AE98" i="106"/>
  <c r="AF98" i="106" s="1"/>
  <c r="BK98" i="106"/>
  <c r="AH98" i="106"/>
  <c r="AI98" i="106" s="1"/>
  <c r="O98" i="106"/>
  <c r="K99" i="106"/>
  <c r="BN99" i="129"/>
  <c r="BO99" i="129" s="1"/>
  <c r="O99" i="129"/>
  <c r="AT99" i="129"/>
  <c r="AB99" i="129"/>
  <c r="AC99" i="129" s="1"/>
  <c r="V99" i="129"/>
  <c r="W99" i="129" s="1"/>
  <c r="AH99" i="129"/>
  <c r="AI99" i="129" s="1"/>
  <c r="BA99" i="129"/>
  <c r="BB99" i="129" s="1"/>
  <c r="BL99" i="129"/>
  <c r="BG99" i="129"/>
  <c r="BH99" i="129" s="1"/>
  <c r="BQ99" i="129"/>
  <c r="BR99" i="129" s="1"/>
  <c r="AQ99" i="129"/>
  <c r="AR99" i="129" s="1"/>
  <c r="AN99" i="129"/>
  <c r="AO99" i="129" s="1"/>
  <c r="P99" i="129"/>
  <c r="AV99" i="129"/>
  <c r="AW99" i="129" s="1"/>
  <c r="M99" i="129"/>
  <c r="R99" i="129"/>
  <c r="T99" i="129" s="1"/>
  <c r="AK99" i="129"/>
  <c r="AL99" i="129" s="1"/>
  <c r="AY99" i="129"/>
  <c r="K100" i="129"/>
  <c r="BD99" i="129"/>
  <c r="BE99" i="129" s="1"/>
  <c r="AE99" i="129"/>
  <c r="AF99" i="129" s="1"/>
  <c r="Y99" i="129"/>
  <c r="Z99" i="129" s="1"/>
  <c r="BK98" i="112"/>
  <c r="AY98" i="112"/>
  <c r="R98" i="112"/>
  <c r="T98" i="112" s="1"/>
  <c r="AV98" i="112"/>
  <c r="AW98" i="112" s="1"/>
  <c r="K99" i="112"/>
  <c r="AE98" i="112"/>
  <c r="AF98" i="112" s="1"/>
  <c r="BA98" i="112"/>
  <c r="BB98" i="112" s="1"/>
  <c r="BG98" i="112"/>
  <c r="BH98" i="112" s="1"/>
  <c r="BN98" i="112"/>
  <c r="BO98" i="112" s="1"/>
  <c r="BQ98" i="112"/>
  <c r="BR98" i="112" s="1"/>
  <c r="AH98" i="112"/>
  <c r="AI98" i="112" s="1"/>
  <c r="AB98" i="112"/>
  <c r="AC98" i="112" s="1"/>
  <c r="AT98" i="112"/>
  <c r="BD98" i="112"/>
  <c r="BE98" i="112" s="1"/>
  <c r="O98" i="112"/>
  <c r="BJ98" i="112"/>
  <c r="BL98" i="112" s="1"/>
  <c r="AN98" i="112"/>
  <c r="AO98" i="112" s="1"/>
  <c r="P98" i="112"/>
  <c r="Y98" i="112"/>
  <c r="Z98" i="112" s="1"/>
  <c r="M98" i="112"/>
  <c r="V98" i="112"/>
  <c r="W98" i="112" s="1"/>
  <c r="AQ98" i="112"/>
  <c r="AR98" i="112" s="1"/>
  <c r="AK98" i="112"/>
  <c r="AL98" i="112" s="1"/>
  <c r="BL99" i="130"/>
  <c r="K100" i="130"/>
  <c r="BN99" i="130"/>
  <c r="BO99" i="130" s="1"/>
  <c r="M99" i="130"/>
  <c r="BD99" i="130"/>
  <c r="BE99" i="130" s="1"/>
  <c r="P99" i="130"/>
  <c r="AB99" i="130"/>
  <c r="AC99" i="130" s="1"/>
  <c r="AV99" i="130"/>
  <c r="AW99" i="130" s="1"/>
  <c r="BG99" i="130"/>
  <c r="BH99" i="130" s="1"/>
  <c r="AQ99" i="130"/>
  <c r="AR99" i="130" s="1"/>
  <c r="V99" i="130"/>
  <c r="W99" i="130" s="1"/>
  <c r="Y99" i="130"/>
  <c r="Z99" i="130" s="1"/>
  <c r="AN99" i="130"/>
  <c r="AO99" i="130" s="1"/>
  <c r="AH99" i="130"/>
  <c r="AI99" i="130" s="1"/>
  <c r="AY99" i="130"/>
  <c r="AK99" i="130"/>
  <c r="AL99" i="130" s="1"/>
  <c r="BA99" i="130"/>
  <c r="BB99" i="130" s="1"/>
  <c r="BQ99" i="130"/>
  <c r="BR99" i="130" s="1"/>
  <c r="R99" i="130"/>
  <c r="T99" i="130" s="1"/>
  <c r="O99" i="130"/>
  <c r="AT99" i="130"/>
  <c r="AE99" i="130"/>
  <c r="AF99" i="130" s="1"/>
  <c r="K105" i="155"/>
  <c r="I106" i="155"/>
  <c r="P104" i="155"/>
  <c r="AV104" i="155"/>
  <c r="AW104" i="155" s="1"/>
  <c r="BN104" i="155"/>
  <c r="BO104" i="155" s="1"/>
  <c r="R104" i="155"/>
  <c r="T104" i="155" s="1"/>
  <c r="Y104" i="155"/>
  <c r="Z104" i="155" s="1"/>
  <c r="AE104" i="155"/>
  <c r="AF104" i="155" s="1"/>
  <c r="AK104" i="155"/>
  <c r="AL104" i="155" s="1"/>
  <c r="AQ104" i="155"/>
  <c r="AR104" i="155" s="1"/>
  <c r="BD104" i="155"/>
  <c r="BE104" i="155" s="1"/>
  <c r="M104" i="155"/>
  <c r="BQ104" i="155"/>
  <c r="BR104" i="155" s="1"/>
  <c r="O104" i="155"/>
  <c r="V104" i="155"/>
  <c r="W104" i="155" s="1"/>
  <c r="AB104" i="155"/>
  <c r="AC104" i="155" s="1"/>
  <c r="AH104" i="155"/>
  <c r="AI104" i="155" s="1"/>
  <c r="AN104" i="155"/>
  <c r="AO104" i="155" s="1"/>
  <c r="BA104" i="155"/>
  <c r="BB104" i="155" s="1"/>
  <c r="BG104" i="155"/>
  <c r="BH104" i="155" s="1"/>
  <c r="BL104" i="155"/>
  <c r="I109" i="153"/>
  <c r="O104" i="153"/>
  <c r="V104" i="153"/>
  <c r="W104" i="153" s="1"/>
  <c r="AB104" i="153"/>
  <c r="AC104" i="153" s="1"/>
  <c r="AH104" i="153"/>
  <c r="AI104" i="153" s="1"/>
  <c r="AN104" i="153"/>
  <c r="AO104" i="153" s="1"/>
  <c r="BA104" i="153"/>
  <c r="BB104" i="153" s="1"/>
  <c r="BG104" i="153"/>
  <c r="BH104" i="153" s="1"/>
  <c r="BL104" i="153"/>
  <c r="P104" i="153"/>
  <c r="AV104" i="153"/>
  <c r="AW104" i="153" s="1"/>
  <c r="BN104" i="153"/>
  <c r="BO104" i="153" s="1"/>
  <c r="R104" i="153"/>
  <c r="T104" i="153" s="1"/>
  <c r="Y104" i="153"/>
  <c r="Z104" i="153" s="1"/>
  <c r="AE104" i="153"/>
  <c r="AF104" i="153" s="1"/>
  <c r="AK104" i="153"/>
  <c r="AL104" i="153" s="1"/>
  <c r="AQ104" i="153"/>
  <c r="AR104" i="153" s="1"/>
  <c r="BD104" i="153"/>
  <c r="BE104" i="153" s="1"/>
  <c r="BQ104" i="153"/>
  <c r="BR104" i="153" s="1"/>
  <c r="M104" i="153"/>
  <c r="K105" i="153"/>
  <c r="I113" i="152"/>
  <c r="R104" i="152"/>
  <c r="T104" i="152" s="1"/>
  <c r="Y104" i="152"/>
  <c r="Z104" i="152" s="1"/>
  <c r="AE104" i="152"/>
  <c r="AF104" i="152" s="1"/>
  <c r="AK104" i="152"/>
  <c r="AL104" i="152" s="1"/>
  <c r="AQ104" i="152"/>
  <c r="AR104" i="152" s="1"/>
  <c r="BD104" i="152"/>
  <c r="BE104" i="152" s="1"/>
  <c r="M104" i="152"/>
  <c r="V104" i="152"/>
  <c r="W104" i="152" s="1"/>
  <c r="AH104" i="152"/>
  <c r="AI104" i="152" s="1"/>
  <c r="BG104" i="152"/>
  <c r="BH104" i="152" s="1"/>
  <c r="BL104" i="152"/>
  <c r="AV104" i="152"/>
  <c r="AW104" i="152" s="1"/>
  <c r="BN104" i="152"/>
  <c r="BO104" i="152" s="1"/>
  <c r="O104" i="152"/>
  <c r="AB104" i="152"/>
  <c r="AC104" i="152" s="1"/>
  <c r="AN104" i="152"/>
  <c r="AO104" i="152" s="1"/>
  <c r="BA104" i="152"/>
  <c r="BB104" i="152" s="1"/>
  <c r="BQ104" i="152"/>
  <c r="BR104" i="152" s="1"/>
  <c r="P104" i="152"/>
  <c r="K105" i="152"/>
  <c r="AV102" i="151"/>
  <c r="AW102" i="151" s="1"/>
  <c r="P102" i="151"/>
  <c r="BG102" i="151"/>
  <c r="BH102" i="151" s="1"/>
  <c r="BA102" i="151"/>
  <c r="BB102" i="151" s="1"/>
  <c r="AT102" i="151"/>
  <c r="AN102" i="151"/>
  <c r="AO102" i="151" s="1"/>
  <c r="AH102" i="151"/>
  <c r="AI102" i="151" s="1"/>
  <c r="AB102" i="151"/>
  <c r="AC102" i="151" s="1"/>
  <c r="V102" i="151"/>
  <c r="W102" i="151" s="1"/>
  <c r="O102" i="151"/>
  <c r="BQ102" i="151"/>
  <c r="BR102" i="151" s="1"/>
  <c r="AY102" i="151"/>
  <c r="BD102" i="151"/>
  <c r="BE102" i="151" s="1"/>
  <c r="AE102" i="151"/>
  <c r="AF102" i="151" s="1"/>
  <c r="Y102" i="151"/>
  <c r="Z102" i="151" s="1"/>
  <c r="AQ102" i="151"/>
  <c r="AR102" i="151" s="1"/>
  <c r="R102" i="151"/>
  <c r="T102" i="151" s="1"/>
  <c r="AK102" i="151"/>
  <c r="AL102" i="151" s="1"/>
  <c r="M102" i="151"/>
  <c r="BN102" i="151"/>
  <c r="BO102" i="151" s="1"/>
  <c r="BL102" i="151"/>
  <c r="I104" i="151"/>
  <c r="K103" i="151"/>
  <c r="BD101" i="150"/>
  <c r="BE101" i="150" s="1"/>
  <c r="AQ101" i="150"/>
  <c r="AR101" i="150" s="1"/>
  <c r="AK101" i="150"/>
  <c r="AL101" i="150" s="1"/>
  <c r="AE101" i="150"/>
  <c r="AF101" i="150" s="1"/>
  <c r="Y101" i="150"/>
  <c r="Z101" i="150" s="1"/>
  <c r="R101" i="150"/>
  <c r="T101" i="150" s="1"/>
  <c r="AV101" i="150"/>
  <c r="AW101" i="150" s="1"/>
  <c r="P101" i="150"/>
  <c r="BG101" i="150"/>
  <c r="BH101" i="150" s="1"/>
  <c r="BA101" i="150"/>
  <c r="BB101" i="150" s="1"/>
  <c r="AT101" i="150"/>
  <c r="AN101" i="150"/>
  <c r="AO101" i="150" s="1"/>
  <c r="AH101" i="150"/>
  <c r="AI101" i="150" s="1"/>
  <c r="AB101" i="150"/>
  <c r="AC101" i="150" s="1"/>
  <c r="V101" i="150"/>
  <c r="W101" i="150" s="1"/>
  <c r="O101" i="150"/>
  <c r="BQ101" i="150"/>
  <c r="BR101" i="150" s="1"/>
  <c r="AY101" i="150"/>
  <c r="BN101" i="150"/>
  <c r="BO101" i="150" s="1"/>
  <c r="M101" i="150"/>
  <c r="BL101" i="150"/>
  <c r="K102" i="150"/>
  <c r="I105" i="150"/>
  <c r="BD103" i="149"/>
  <c r="BE103" i="149" s="1"/>
  <c r="AQ103" i="149"/>
  <c r="AR103" i="149" s="1"/>
  <c r="AK103" i="149"/>
  <c r="AL103" i="149" s="1"/>
  <c r="AE103" i="149"/>
  <c r="AF103" i="149" s="1"/>
  <c r="Y103" i="149"/>
  <c r="Z103" i="149" s="1"/>
  <c r="R103" i="149"/>
  <c r="T103" i="149" s="1"/>
  <c r="BG103" i="149"/>
  <c r="BH103" i="149" s="1"/>
  <c r="BA103" i="149"/>
  <c r="BB103" i="149" s="1"/>
  <c r="AT103" i="149"/>
  <c r="AN103" i="149"/>
  <c r="AO103" i="149" s="1"/>
  <c r="AH103" i="149"/>
  <c r="AI103" i="149" s="1"/>
  <c r="AB103" i="149"/>
  <c r="AC103" i="149" s="1"/>
  <c r="V103" i="149"/>
  <c r="W103" i="149" s="1"/>
  <c r="O103" i="149"/>
  <c r="BQ103" i="149"/>
  <c r="BR103" i="149" s="1"/>
  <c r="P103" i="149"/>
  <c r="AV103" i="149"/>
  <c r="AW103" i="149" s="1"/>
  <c r="AY103" i="149"/>
  <c r="M103" i="149"/>
  <c r="BN103" i="149"/>
  <c r="BO103" i="149" s="1"/>
  <c r="BL103" i="149"/>
  <c r="I105" i="149"/>
  <c r="K104" i="149"/>
  <c r="I104" i="147"/>
  <c r="K103" i="147"/>
  <c r="AV102" i="147"/>
  <c r="AW102" i="147" s="1"/>
  <c r="P102" i="147"/>
  <c r="BG102" i="147"/>
  <c r="BH102" i="147" s="1"/>
  <c r="BA102" i="147"/>
  <c r="BB102" i="147" s="1"/>
  <c r="AT102" i="147"/>
  <c r="AN102" i="147"/>
  <c r="AO102" i="147" s="1"/>
  <c r="AH102" i="147"/>
  <c r="AI102" i="147" s="1"/>
  <c r="AY102" i="147"/>
  <c r="AB102" i="147"/>
  <c r="AC102" i="147" s="1"/>
  <c r="AK102" i="147"/>
  <c r="AL102" i="147" s="1"/>
  <c r="R102" i="147"/>
  <c r="T102" i="147" s="1"/>
  <c r="O102" i="147"/>
  <c r="BD102" i="147"/>
  <c r="BE102" i="147" s="1"/>
  <c r="AE102" i="147"/>
  <c r="AF102" i="147" s="1"/>
  <c r="AQ102" i="147"/>
  <c r="AR102" i="147" s="1"/>
  <c r="BQ102" i="147"/>
  <c r="BR102" i="147" s="1"/>
  <c r="Y102" i="147"/>
  <c r="Z102" i="147" s="1"/>
  <c r="V102" i="147"/>
  <c r="W102" i="147" s="1"/>
  <c r="BN102" i="147"/>
  <c r="BO102" i="147" s="1"/>
  <c r="M102" i="147"/>
  <c r="BK102" i="147"/>
  <c r="BJ102" i="147"/>
  <c r="BL102" i="147" s="1"/>
  <c r="I103" i="146"/>
  <c r="K102" i="146"/>
  <c r="BD101" i="146"/>
  <c r="BE101" i="146" s="1"/>
  <c r="AQ101" i="146"/>
  <c r="AR101" i="146" s="1"/>
  <c r="AK101" i="146"/>
  <c r="AL101" i="146" s="1"/>
  <c r="AE101" i="146"/>
  <c r="AF101" i="146" s="1"/>
  <c r="Y101" i="146"/>
  <c r="Z101" i="146" s="1"/>
  <c r="R101" i="146"/>
  <c r="T101" i="146" s="1"/>
  <c r="AV101" i="146"/>
  <c r="AW101" i="146" s="1"/>
  <c r="P101" i="146"/>
  <c r="BG101" i="146"/>
  <c r="BH101" i="146" s="1"/>
  <c r="BA101" i="146"/>
  <c r="BB101" i="146" s="1"/>
  <c r="AT101" i="146"/>
  <c r="AN101" i="146"/>
  <c r="AO101" i="146" s="1"/>
  <c r="AH101" i="146"/>
  <c r="AI101" i="146" s="1"/>
  <c r="AB101" i="146"/>
  <c r="AC101" i="146" s="1"/>
  <c r="V101" i="146"/>
  <c r="W101" i="146" s="1"/>
  <c r="O101" i="146"/>
  <c r="AY101" i="146"/>
  <c r="BQ101" i="146"/>
  <c r="BR101" i="146" s="1"/>
  <c r="BK101" i="146"/>
  <c r="M101" i="146"/>
  <c r="BJ101" i="146"/>
  <c r="BL101" i="146" s="1"/>
  <c r="BN101" i="146"/>
  <c r="BO101" i="146" s="1"/>
  <c r="M100" i="135"/>
  <c r="Y100" i="135"/>
  <c r="Z100" i="135" s="1"/>
  <c r="AK100" i="135"/>
  <c r="AL100" i="135" s="1"/>
  <c r="BQ100" i="135"/>
  <c r="BR100" i="135" s="1"/>
  <c r="P100" i="135"/>
  <c r="AV100" i="135"/>
  <c r="AW100" i="135" s="1"/>
  <c r="BG100" i="135"/>
  <c r="BH100" i="135" s="1"/>
  <c r="O100" i="135"/>
  <c r="AN100" i="135"/>
  <c r="AO100" i="135" s="1"/>
  <c r="AH100" i="135"/>
  <c r="AI100" i="135" s="1"/>
  <c r="BD100" i="135"/>
  <c r="BE100" i="135" s="1"/>
  <c r="AB100" i="135"/>
  <c r="AC100" i="135" s="1"/>
  <c r="AT100" i="135"/>
  <c r="R100" i="135"/>
  <c r="T100" i="135" s="1"/>
  <c r="AY100" i="135"/>
  <c r="V100" i="135"/>
  <c r="W100" i="135" s="1"/>
  <c r="AQ100" i="135"/>
  <c r="AR100" i="135" s="1"/>
  <c r="BA100" i="135"/>
  <c r="BB100" i="135" s="1"/>
  <c r="AE100" i="135"/>
  <c r="AF100" i="135" s="1"/>
  <c r="BN100" i="135"/>
  <c r="BO100" i="135" s="1"/>
  <c r="BL100" i="135"/>
  <c r="M99" i="115"/>
  <c r="BN99" i="115"/>
  <c r="BO99" i="115" s="1"/>
  <c r="BK99" i="115"/>
  <c r="BJ99" i="115"/>
  <c r="BL99" i="115" s="1"/>
  <c r="BQ99" i="115"/>
  <c r="BR99" i="115" s="1"/>
  <c r="AV99" i="115"/>
  <c r="AW99" i="115" s="1"/>
  <c r="BD99" i="115"/>
  <c r="BE99" i="115" s="1"/>
  <c r="O99" i="115"/>
  <c r="BG99" i="115"/>
  <c r="BH99" i="115" s="1"/>
  <c r="Y99" i="115"/>
  <c r="Z99" i="115" s="1"/>
  <c r="AH99" i="115"/>
  <c r="AI99" i="115" s="1"/>
  <c r="AE99" i="115"/>
  <c r="AF99" i="115" s="1"/>
  <c r="AY99" i="115"/>
  <c r="P99" i="115"/>
  <c r="AK99" i="115"/>
  <c r="AL99" i="115" s="1"/>
  <c r="AB99" i="115"/>
  <c r="AC99" i="115" s="1"/>
  <c r="AN99" i="115"/>
  <c r="AO99" i="115" s="1"/>
  <c r="V99" i="115"/>
  <c r="W99" i="115" s="1"/>
  <c r="R99" i="115"/>
  <c r="T99" i="115" s="1"/>
  <c r="AQ99" i="115"/>
  <c r="AR99" i="115" s="1"/>
  <c r="AT99" i="115"/>
  <c r="BA99" i="115"/>
  <c r="BB99" i="115" s="1"/>
  <c r="BN101" i="105"/>
  <c r="BO101" i="105" s="1"/>
  <c r="BJ101" i="105"/>
  <c r="BL101" i="105" s="1"/>
  <c r="V101" i="105"/>
  <c r="W101" i="105" s="1"/>
  <c r="P101" i="105"/>
  <c r="BG101" i="105"/>
  <c r="BH101" i="105" s="1"/>
  <c r="AK101" i="105"/>
  <c r="AL101" i="105" s="1"/>
  <c r="O101" i="105"/>
  <c r="M101" i="105"/>
  <c r="BD101" i="105"/>
  <c r="BE101" i="105" s="1"/>
  <c r="AB101" i="105"/>
  <c r="AC101" i="105" s="1"/>
  <c r="AV101" i="105"/>
  <c r="AW101" i="105" s="1"/>
  <c r="AT101" i="105"/>
  <c r="AY101" i="105"/>
  <c r="BK101" i="105"/>
  <c r="AH101" i="105"/>
  <c r="AI101" i="105" s="1"/>
  <c r="Y101" i="105"/>
  <c r="Z101" i="105" s="1"/>
  <c r="R101" i="105"/>
  <c r="T101" i="105" s="1"/>
  <c r="AE101" i="105"/>
  <c r="AF101" i="105" s="1"/>
  <c r="AN101" i="105"/>
  <c r="AO101" i="105" s="1"/>
  <c r="BA101" i="105"/>
  <c r="BB101" i="105" s="1"/>
  <c r="AQ101" i="105"/>
  <c r="AR101" i="105" s="1"/>
  <c r="BQ101" i="105"/>
  <c r="BR101" i="105" s="1"/>
  <c r="K102" i="105"/>
  <c r="M98" i="118"/>
  <c r="K99" i="118"/>
  <c r="BN98" i="118"/>
  <c r="BO98" i="118" s="1"/>
  <c r="O98" i="118"/>
  <c r="AY98" i="118"/>
  <c r="AK98" i="118"/>
  <c r="AL98" i="118" s="1"/>
  <c r="AB98" i="118"/>
  <c r="AC98" i="118" s="1"/>
  <c r="BD98" i="118"/>
  <c r="BE98" i="118" s="1"/>
  <c r="V98" i="118"/>
  <c r="W98" i="118" s="1"/>
  <c r="AQ98" i="118"/>
  <c r="AR98" i="118" s="1"/>
  <c r="BA98" i="118"/>
  <c r="BB98" i="118" s="1"/>
  <c r="AT98" i="118"/>
  <c r="AE98" i="118"/>
  <c r="AF98" i="118" s="1"/>
  <c r="AH98" i="118"/>
  <c r="AI98" i="118" s="1"/>
  <c r="AN98" i="118"/>
  <c r="AO98" i="118" s="1"/>
  <c r="AV98" i="118"/>
  <c r="AW98" i="118" s="1"/>
  <c r="R98" i="118"/>
  <c r="T98" i="118" s="1"/>
  <c r="P98" i="118"/>
  <c r="BG98" i="118"/>
  <c r="BH98" i="118" s="1"/>
  <c r="BQ98" i="118"/>
  <c r="BR98" i="118" s="1"/>
  <c r="Y98" i="118"/>
  <c r="Z98" i="118" s="1"/>
  <c r="I99" i="13"/>
  <c r="K98" i="13"/>
  <c r="I103" i="15"/>
  <c r="I103" i="104"/>
  <c r="I101" i="96"/>
  <c r="K100" i="96"/>
  <c r="M98" i="101"/>
  <c r="BG98" i="101"/>
  <c r="BH98" i="101" s="1"/>
  <c r="AN98" i="101"/>
  <c r="AO98" i="101" s="1"/>
  <c r="AY98" i="101"/>
  <c r="BA98" i="101"/>
  <c r="BB98" i="101" s="1"/>
  <c r="V98" i="101"/>
  <c r="W98" i="101" s="1"/>
  <c r="O98" i="101"/>
  <c r="AQ98" i="101"/>
  <c r="AR98" i="101" s="1"/>
  <c r="BD98" i="101"/>
  <c r="BE98" i="101" s="1"/>
  <c r="BQ98" i="101"/>
  <c r="BR98" i="101" s="1"/>
  <c r="AK98" i="101"/>
  <c r="AL98" i="101" s="1"/>
  <c r="AB98" i="101"/>
  <c r="AC98" i="101" s="1"/>
  <c r="AH98" i="101"/>
  <c r="AI98" i="101" s="1"/>
  <c r="P98" i="101"/>
  <c r="Y98" i="101"/>
  <c r="Z98" i="101" s="1"/>
  <c r="AV98" i="101"/>
  <c r="AW98" i="101" s="1"/>
  <c r="AE98" i="101"/>
  <c r="AF98" i="101" s="1"/>
  <c r="AT98" i="101"/>
  <c r="R98" i="101"/>
  <c r="T98" i="101" s="1"/>
  <c r="P99" i="98"/>
  <c r="K100" i="98"/>
  <c r="AK99" i="98"/>
  <c r="AL99" i="98" s="1"/>
  <c r="M99" i="98"/>
  <c r="BN99" i="98"/>
  <c r="BO99" i="98" s="1"/>
  <c r="AH99" i="98"/>
  <c r="AI99" i="98" s="1"/>
  <c r="BJ99" i="98"/>
  <c r="BL99" i="98" s="1"/>
  <c r="BK99" i="98"/>
  <c r="R99" i="98"/>
  <c r="T99" i="98" s="1"/>
  <c r="BQ99" i="98"/>
  <c r="BR99" i="98" s="1"/>
  <c r="BA99" i="98"/>
  <c r="BB99" i="98" s="1"/>
  <c r="Y99" i="98"/>
  <c r="Z99" i="98" s="1"/>
  <c r="BG99" i="98"/>
  <c r="BH99" i="98" s="1"/>
  <c r="AY99" i="98"/>
  <c r="AV99" i="98"/>
  <c r="AW99" i="98" s="1"/>
  <c r="O99" i="98"/>
  <c r="BD99" i="98"/>
  <c r="BE99" i="98" s="1"/>
  <c r="AQ99" i="98"/>
  <c r="AR99" i="98" s="1"/>
  <c r="AB99" i="98"/>
  <c r="AC99" i="98" s="1"/>
  <c r="AN99" i="98"/>
  <c r="AO99" i="98" s="1"/>
  <c r="AT99" i="98"/>
  <c r="AE99" i="98"/>
  <c r="AF99" i="98" s="1"/>
  <c r="V99" i="98"/>
  <c r="W99" i="98" s="1"/>
  <c r="I104" i="126"/>
  <c r="K101" i="135"/>
  <c r="I102" i="135"/>
  <c r="I101" i="110"/>
  <c r="K100" i="110"/>
  <c r="M99" i="126"/>
  <c r="BJ99" i="126"/>
  <c r="BL99" i="126" s="1"/>
  <c r="BN99" i="126"/>
  <c r="BO99" i="126" s="1"/>
  <c r="BK99" i="126"/>
  <c r="BQ99" i="126"/>
  <c r="BR99" i="126" s="1"/>
  <c r="BA99" i="126"/>
  <c r="BB99" i="126" s="1"/>
  <c r="AN99" i="126"/>
  <c r="AO99" i="126" s="1"/>
  <c r="Y99" i="126"/>
  <c r="Z99" i="126" s="1"/>
  <c r="AE99" i="126"/>
  <c r="AF99" i="126" s="1"/>
  <c r="P99" i="126"/>
  <c r="AB99" i="126"/>
  <c r="AC99" i="126" s="1"/>
  <c r="AQ99" i="126"/>
  <c r="AR99" i="126" s="1"/>
  <c r="R99" i="126"/>
  <c r="T99" i="126" s="1"/>
  <c r="AY99" i="126"/>
  <c r="BD99" i="126"/>
  <c r="BE99" i="126" s="1"/>
  <c r="V99" i="126"/>
  <c r="W99" i="126" s="1"/>
  <c r="AK99" i="126"/>
  <c r="AL99" i="126" s="1"/>
  <c r="AH99" i="126"/>
  <c r="AI99" i="126" s="1"/>
  <c r="O99" i="126"/>
  <c r="AT99" i="126"/>
  <c r="BG99" i="126"/>
  <c r="BH99" i="126" s="1"/>
  <c r="AV99" i="126"/>
  <c r="AW99" i="126" s="1"/>
  <c r="K100" i="126"/>
  <c r="I114" i="133"/>
  <c r="M99" i="63"/>
  <c r="BN99" i="63"/>
  <c r="BO99" i="63" s="1"/>
  <c r="BL99" i="63"/>
  <c r="AY99" i="63"/>
  <c r="AV99" i="63"/>
  <c r="AW99" i="63" s="1"/>
  <c r="P99" i="63"/>
  <c r="BQ99" i="63"/>
  <c r="BR99" i="63" s="1"/>
  <c r="AK99" i="63"/>
  <c r="AL99" i="63" s="1"/>
  <c r="BG99" i="63"/>
  <c r="BH99" i="63" s="1"/>
  <c r="AN99" i="63"/>
  <c r="AO99" i="63" s="1"/>
  <c r="BD99" i="63"/>
  <c r="BE99" i="63" s="1"/>
  <c r="AE99" i="63"/>
  <c r="AF99" i="63" s="1"/>
  <c r="AT99" i="63"/>
  <c r="O99" i="63"/>
  <c r="V99" i="63"/>
  <c r="W99" i="63" s="1"/>
  <c r="BA99" i="63"/>
  <c r="BB99" i="63" s="1"/>
  <c r="Y99" i="63"/>
  <c r="Z99" i="63" s="1"/>
  <c r="AQ99" i="63"/>
  <c r="AR99" i="63" s="1"/>
  <c r="R99" i="63"/>
  <c r="T99" i="63" s="1"/>
  <c r="AH99" i="63"/>
  <c r="AI99" i="63" s="1"/>
  <c r="AB99" i="63"/>
  <c r="AC99" i="63" s="1"/>
  <c r="K100" i="63"/>
  <c r="I101" i="115"/>
  <c r="K100" i="115"/>
  <c r="M97" i="13"/>
  <c r="BL97" i="13"/>
  <c r="BN97" i="13"/>
  <c r="BO97" i="13" s="1"/>
  <c r="BG97" i="13"/>
  <c r="BH97" i="13" s="1"/>
  <c r="BA97" i="13"/>
  <c r="BB97" i="13" s="1"/>
  <c r="AQ97" i="13"/>
  <c r="AR97" i="13" s="1"/>
  <c r="AN97" i="13"/>
  <c r="AO97" i="13" s="1"/>
  <c r="BD97" i="13"/>
  <c r="BE97" i="13" s="1"/>
  <c r="AH97" i="13"/>
  <c r="AI97" i="13" s="1"/>
  <c r="O97" i="13"/>
  <c r="AB97" i="13"/>
  <c r="AC97" i="13" s="1"/>
  <c r="R97" i="13"/>
  <c r="T97" i="13" s="1"/>
  <c r="AY97" i="13"/>
  <c r="AV97" i="13"/>
  <c r="AW97" i="13" s="1"/>
  <c r="BQ97" i="13"/>
  <c r="BR97" i="13" s="1"/>
  <c r="AE97" i="13"/>
  <c r="AF97" i="13" s="1"/>
  <c r="Y97" i="13"/>
  <c r="Z97" i="13" s="1"/>
  <c r="AT97" i="13"/>
  <c r="V97" i="13"/>
  <c r="W97" i="13" s="1"/>
  <c r="AK97" i="13"/>
  <c r="AL97" i="13" s="1"/>
  <c r="P97" i="13"/>
  <c r="BN97" i="17"/>
  <c r="BO97" i="17" s="1"/>
  <c r="M97" i="17"/>
  <c r="BD97" i="17"/>
  <c r="BE97" i="17" s="1"/>
  <c r="AN97" i="17"/>
  <c r="AO97" i="17" s="1"/>
  <c r="AQ97" i="17"/>
  <c r="AR97" i="17" s="1"/>
  <c r="R97" i="17"/>
  <c r="T97" i="17" s="1"/>
  <c r="Y97" i="17"/>
  <c r="Z97" i="17" s="1"/>
  <c r="BQ97" i="17"/>
  <c r="BR97" i="17" s="1"/>
  <c r="BL97" i="17"/>
  <c r="AY97" i="17"/>
  <c r="AK97" i="17"/>
  <c r="AL97" i="17" s="1"/>
  <c r="BA97" i="17"/>
  <c r="BB97" i="17" s="1"/>
  <c r="V97" i="17"/>
  <c r="W97" i="17" s="1"/>
  <c r="AE97" i="17"/>
  <c r="AF97" i="17" s="1"/>
  <c r="AT97" i="17"/>
  <c r="AV97" i="17"/>
  <c r="AW97" i="17" s="1"/>
  <c r="BG97" i="17"/>
  <c r="BH97" i="17" s="1"/>
  <c r="O97" i="17"/>
  <c r="AH97" i="17"/>
  <c r="AI97" i="17" s="1"/>
  <c r="AB97" i="17"/>
  <c r="AC97" i="17" s="1"/>
  <c r="P97" i="17"/>
  <c r="I100" i="101"/>
  <c r="K99" i="101"/>
  <c r="I108" i="95"/>
  <c r="BN98" i="15"/>
  <c r="BO98" i="15" s="1"/>
  <c r="V98" i="15"/>
  <c r="W98" i="15" s="1"/>
  <c r="AB98" i="15"/>
  <c r="AC98" i="15" s="1"/>
  <c r="AY98" i="15"/>
  <c r="M98" i="15"/>
  <c r="P98" i="15"/>
  <c r="AQ98" i="15"/>
  <c r="AR98" i="15" s="1"/>
  <c r="BL98" i="15"/>
  <c r="AK98" i="15"/>
  <c r="AL98" i="15" s="1"/>
  <c r="BQ98" i="15"/>
  <c r="BR98" i="15" s="1"/>
  <c r="AT98" i="15"/>
  <c r="O98" i="15"/>
  <c r="BG98" i="15"/>
  <c r="BH98" i="15" s="1"/>
  <c r="BD98" i="15"/>
  <c r="BE98" i="15" s="1"/>
  <c r="AH98" i="15"/>
  <c r="AI98" i="15" s="1"/>
  <c r="Y98" i="15"/>
  <c r="Z98" i="15" s="1"/>
  <c r="BA98" i="15"/>
  <c r="BB98" i="15" s="1"/>
  <c r="R98" i="15"/>
  <c r="T98" i="15" s="1"/>
  <c r="AN98" i="15"/>
  <c r="AO98" i="15" s="1"/>
  <c r="AE98" i="15"/>
  <c r="AF98" i="15" s="1"/>
  <c r="AV98" i="15"/>
  <c r="AW98" i="15" s="1"/>
  <c r="K99" i="15"/>
  <c r="BK99" i="110"/>
  <c r="M99" i="110"/>
  <c r="BN99" i="110"/>
  <c r="BO99" i="110" s="1"/>
  <c r="BJ99" i="110"/>
  <c r="BL99" i="110" s="1"/>
  <c r="P99" i="110"/>
  <c r="AB99" i="110"/>
  <c r="AC99" i="110" s="1"/>
  <c r="BQ99" i="110"/>
  <c r="BR99" i="110" s="1"/>
  <c r="Y99" i="110"/>
  <c r="Z99" i="110" s="1"/>
  <c r="R99" i="110"/>
  <c r="T99" i="110" s="1"/>
  <c r="V99" i="110"/>
  <c r="W99" i="110" s="1"/>
  <c r="AH99" i="110"/>
  <c r="AI99" i="110" s="1"/>
  <c r="BA99" i="110"/>
  <c r="BB99" i="110" s="1"/>
  <c r="AK99" i="110"/>
  <c r="AL99" i="110" s="1"/>
  <c r="AE99" i="110"/>
  <c r="AF99" i="110" s="1"/>
  <c r="BD99" i="110"/>
  <c r="BE99" i="110" s="1"/>
  <c r="BG99" i="110"/>
  <c r="BH99" i="110" s="1"/>
  <c r="AY99" i="110"/>
  <c r="AQ99" i="110"/>
  <c r="AR99" i="110" s="1"/>
  <c r="O99" i="110"/>
  <c r="AN99" i="110"/>
  <c r="AO99" i="110" s="1"/>
  <c r="AT99" i="110"/>
  <c r="AV99" i="110"/>
  <c r="AW99" i="110" s="1"/>
  <c r="I105" i="64"/>
  <c r="M99" i="114"/>
  <c r="BN99" i="114"/>
  <c r="BO99" i="114" s="1"/>
  <c r="BJ99" i="114"/>
  <c r="BL99" i="114" s="1"/>
  <c r="BK99" i="114"/>
  <c r="BD99" i="114"/>
  <c r="BE99" i="114" s="1"/>
  <c r="AT99" i="114"/>
  <c r="AY99" i="114"/>
  <c r="BG99" i="114"/>
  <c r="BH99" i="114" s="1"/>
  <c r="O99" i="114"/>
  <c r="AK99" i="114"/>
  <c r="AL99" i="114" s="1"/>
  <c r="AB99" i="114"/>
  <c r="AC99" i="114" s="1"/>
  <c r="R99" i="114"/>
  <c r="T99" i="114" s="1"/>
  <c r="Y99" i="114"/>
  <c r="Z99" i="114" s="1"/>
  <c r="V99" i="114"/>
  <c r="W99" i="114" s="1"/>
  <c r="P99" i="114"/>
  <c r="BA99" i="114"/>
  <c r="BB99" i="114" s="1"/>
  <c r="AE99" i="114"/>
  <c r="AF99" i="114" s="1"/>
  <c r="AH99" i="114"/>
  <c r="AI99" i="114" s="1"/>
  <c r="AN99" i="114"/>
  <c r="AO99" i="114" s="1"/>
  <c r="BQ99" i="114"/>
  <c r="BR99" i="114" s="1"/>
  <c r="AQ99" i="114"/>
  <c r="AR99" i="114" s="1"/>
  <c r="AV99" i="114"/>
  <c r="AW99" i="114" s="1"/>
  <c r="K100" i="114"/>
  <c r="AE100" i="64"/>
  <c r="AF100" i="64" s="1"/>
  <c r="BD100" i="64"/>
  <c r="BE100" i="64" s="1"/>
  <c r="R100" i="64"/>
  <c r="T100" i="64" s="1"/>
  <c r="V100" i="64"/>
  <c r="W100" i="64" s="1"/>
  <c r="AV100" i="64"/>
  <c r="AW100" i="64" s="1"/>
  <c r="BA100" i="64"/>
  <c r="BB100" i="64" s="1"/>
  <c r="AB100" i="64"/>
  <c r="AC100" i="64" s="1"/>
  <c r="AY100" i="64"/>
  <c r="AQ100" i="64"/>
  <c r="AR100" i="64" s="1"/>
  <c r="AT100" i="64"/>
  <c r="M100" i="64"/>
  <c r="Y100" i="64"/>
  <c r="Z100" i="64" s="1"/>
  <c r="AK100" i="64"/>
  <c r="AL100" i="64" s="1"/>
  <c r="BQ100" i="64"/>
  <c r="BR100" i="64" s="1"/>
  <c r="AN100" i="64"/>
  <c r="AO100" i="64" s="1"/>
  <c r="AH100" i="64"/>
  <c r="AI100" i="64" s="1"/>
  <c r="P100" i="64"/>
  <c r="BG100" i="64"/>
  <c r="BH100" i="64" s="1"/>
  <c r="O100" i="64"/>
  <c r="BN100" i="64"/>
  <c r="BO100" i="64" s="1"/>
  <c r="BL100" i="64"/>
  <c r="K101" i="64"/>
  <c r="I99" i="17"/>
  <c r="K98" i="17"/>
  <c r="I106" i="105"/>
  <c r="K98" i="66"/>
  <c r="I99" i="66"/>
  <c r="BK103" i="124"/>
  <c r="M103" i="124"/>
  <c r="BN103" i="124"/>
  <c r="BO103" i="124" s="1"/>
  <c r="BJ103" i="124"/>
  <c r="BL103" i="124" s="1"/>
  <c r="K104" i="124"/>
  <c r="AH103" i="124"/>
  <c r="AI103" i="124" s="1"/>
  <c r="AE103" i="124"/>
  <c r="AF103" i="124" s="1"/>
  <c r="Y103" i="124"/>
  <c r="Z103" i="124" s="1"/>
  <c r="AY103" i="124"/>
  <c r="R103" i="124"/>
  <c r="T103" i="124" s="1"/>
  <c r="V103" i="124"/>
  <c r="W103" i="124" s="1"/>
  <c r="BA103" i="124"/>
  <c r="BB103" i="124" s="1"/>
  <c r="AN103" i="124"/>
  <c r="AO103" i="124" s="1"/>
  <c r="AB103" i="124"/>
  <c r="AC103" i="124" s="1"/>
  <c r="BQ103" i="124"/>
  <c r="BR103" i="124" s="1"/>
  <c r="AK103" i="124"/>
  <c r="AL103" i="124" s="1"/>
  <c r="O103" i="124"/>
  <c r="BD103" i="124"/>
  <c r="BE103" i="124" s="1"/>
  <c r="AQ103" i="124"/>
  <c r="AR103" i="124" s="1"/>
  <c r="P103" i="124"/>
  <c r="BG103" i="124"/>
  <c r="BH103" i="124" s="1"/>
  <c r="AV103" i="124"/>
  <c r="AW103" i="124" s="1"/>
  <c r="AT103" i="124"/>
  <c r="I105" i="136"/>
  <c r="I106" i="132"/>
  <c r="I104" i="63"/>
  <c r="AH99" i="96"/>
  <c r="AI99" i="96" s="1"/>
  <c r="M99" i="96"/>
  <c r="AV99" i="96"/>
  <c r="AW99" i="96" s="1"/>
  <c r="R99" i="96"/>
  <c r="T99" i="96" s="1"/>
  <c r="AT99" i="96"/>
  <c r="AE99" i="96"/>
  <c r="AF99" i="96" s="1"/>
  <c r="AQ99" i="96"/>
  <c r="AR99" i="96" s="1"/>
  <c r="P99" i="96"/>
  <c r="BG99" i="96"/>
  <c r="BH99" i="96" s="1"/>
  <c r="AN99" i="96"/>
  <c r="AO99" i="96" s="1"/>
  <c r="V99" i="96"/>
  <c r="W99" i="96" s="1"/>
  <c r="AB99" i="96"/>
  <c r="AC99" i="96" s="1"/>
  <c r="BD99" i="96"/>
  <c r="BE99" i="96" s="1"/>
  <c r="O99" i="96"/>
  <c r="BQ99" i="96"/>
  <c r="BR99" i="96" s="1"/>
  <c r="AK99" i="96"/>
  <c r="AL99" i="96" s="1"/>
  <c r="Y99" i="96"/>
  <c r="Z99" i="96" s="1"/>
  <c r="BA99" i="96"/>
  <c r="BB99" i="96" s="1"/>
  <c r="BN99" i="96"/>
  <c r="BO99" i="96" s="1"/>
  <c r="BL99" i="96"/>
  <c r="I105" i="114"/>
  <c r="P97" i="66"/>
  <c r="BG97" i="66"/>
  <c r="BH97" i="66" s="1"/>
  <c r="AN97" i="66"/>
  <c r="AO97" i="66" s="1"/>
  <c r="R97" i="66"/>
  <c r="T97" i="66" s="1"/>
  <c r="V97" i="66"/>
  <c r="W97" i="66" s="1"/>
  <c r="AE97" i="66"/>
  <c r="AF97" i="66" s="1"/>
  <c r="BN97" i="66"/>
  <c r="BO97" i="66" s="1"/>
  <c r="BQ97" i="66"/>
  <c r="BR97" i="66" s="1"/>
  <c r="BA97" i="66"/>
  <c r="BB97" i="66" s="1"/>
  <c r="BD97" i="66"/>
  <c r="BE97" i="66" s="1"/>
  <c r="AV97" i="66"/>
  <c r="AW97" i="66" s="1"/>
  <c r="Y97" i="66"/>
  <c r="Z97" i="66" s="1"/>
  <c r="O97" i="66"/>
  <c r="AB97" i="66"/>
  <c r="AC97" i="66" s="1"/>
  <c r="M97" i="66"/>
  <c r="AQ97" i="66"/>
  <c r="AR97" i="66" s="1"/>
  <c r="AY97" i="66"/>
  <c r="AK97" i="66"/>
  <c r="AL97" i="66" s="1"/>
  <c r="AH97" i="66"/>
  <c r="AI97" i="66" s="1"/>
  <c r="AT97" i="66"/>
  <c r="BL97" i="66"/>
  <c r="BG97" i="120"/>
  <c r="BH97" i="120" s="1"/>
  <c r="AK97" i="120"/>
  <c r="AL97" i="120" s="1"/>
  <c r="O97" i="120"/>
  <c r="V97" i="120"/>
  <c r="W97" i="120" s="1"/>
  <c r="Y97" i="120"/>
  <c r="Z97" i="120" s="1"/>
  <c r="AQ97" i="120"/>
  <c r="AR97" i="120" s="1"/>
  <c r="AB97" i="120"/>
  <c r="AC97" i="120" s="1"/>
  <c r="AN97" i="120"/>
  <c r="AO97" i="120" s="1"/>
  <c r="BQ97" i="120"/>
  <c r="BR97" i="120" s="1"/>
  <c r="K98" i="120"/>
  <c r="M97" i="120"/>
  <c r="AY97" i="120"/>
  <c r="R97" i="120"/>
  <c r="T97" i="120" s="1"/>
  <c r="AV97" i="120"/>
  <c r="AW97" i="120" s="1"/>
  <c r="AT97" i="120"/>
  <c r="AE97" i="120"/>
  <c r="AF97" i="120" s="1"/>
  <c r="BD97" i="120"/>
  <c r="BE97" i="120" s="1"/>
  <c r="AH97" i="120"/>
  <c r="AI97" i="120" s="1"/>
  <c r="BA97" i="120"/>
  <c r="BB97" i="120" s="1"/>
  <c r="P97" i="120"/>
  <c r="BN97" i="120"/>
  <c r="BO97" i="120" s="1"/>
  <c r="BN101" i="136"/>
  <c r="BO101" i="136" s="1"/>
  <c r="M101" i="136"/>
  <c r="BL101" i="136"/>
  <c r="BD101" i="136"/>
  <c r="BE101" i="136" s="1"/>
  <c r="AE101" i="136"/>
  <c r="AF101" i="136" s="1"/>
  <c r="R101" i="136"/>
  <c r="T101" i="136" s="1"/>
  <c r="Y101" i="136"/>
  <c r="Z101" i="136" s="1"/>
  <c r="AH101" i="136"/>
  <c r="AI101" i="136" s="1"/>
  <c r="AB101" i="136"/>
  <c r="AC101" i="136" s="1"/>
  <c r="V101" i="136"/>
  <c r="W101" i="136" s="1"/>
  <c r="BA101" i="136"/>
  <c r="BB101" i="136" s="1"/>
  <c r="AY101" i="136"/>
  <c r="O101" i="136"/>
  <c r="P101" i="136"/>
  <c r="AT101" i="136"/>
  <c r="AK101" i="136"/>
  <c r="AL101" i="136" s="1"/>
  <c r="BG101" i="136"/>
  <c r="BH101" i="136" s="1"/>
  <c r="AQ101" i="136"/>
  <c r="AR101" i="136" s="1"/>
  <c r="AN101" i="136"/>
  <c r="AO101" i="136" s="1"/>
  <c r="BQ101" i="136"/>
  <c r="BR101" i="136" s="1"/>
  <c r="AV101" i="136"/>
  <c r="AW101" i="136" s="1"/>
  <c r="K102" i="136"/>
  <c r="AE103" i="107" l="1"/>
  <c r="AF103" i="107" s="1"/>
  <c r="V103" i="107"/>
  <c r="W103" i="107" s="1"/>
  <c r="BG103" i="107"/>
  <c r="BH103" i="107" s="1"/>
  <c r="AH103" i="107"/>
  <c r="AI103" i="107" s="1"/>
  <c r="BN103" i="107"/>
  <c r="BO103" i="107" s="1"/>
  <c r="BQ103" i="107"/>
  <c r="BR103" i="107" s="1"/>
  <c r="AV103" i="107"/>
  <c r="AW103" i="107" s="1"/>
  <c r="BJ103" i="107"/>
  <c r="BL103" i="107" s="1"/>
  <c r="BA103" i="107"/>
  <c r="BB103" i="107" s="1"/>
  <c r="Y103" i="107"/>
  <c r="Z103" i="107" s="1"/>
  <c r="AT103" i="107"/>
  <c r="M103" i="107"/>
  <c r="AB103" i="107"/>
  <c r="AC103" i="107" s="1"/>
  <c r="AK103" i="107"/>
  <c r="AL103" i="107" s="1"/>
  <c r="AN103" i="107"/>
  <c r="AO103" i="107" s="1"/>
  <c r="P103" i="107"/>
  <c r="R103" i="107"/>
  <c r="T103" i="107" s="1"/>
  <c r="O103" i="107"/>
  <c r="AQ103" i="107"/>
  <c r="AR103" i="107" s="1"/>
  <c r="BD103" i="107"/>
  <c r="BE103" i="107" s="1"/>
  <c r="AY103" i="107"/>
  <c r="BK103" i="107"/>
  <c r="I105" i="107"/>
  <c r="K104" i="107"/>
  <c r="BK101" i="99"/>
  <c r="AV101" i="99"/>
  <c r="AW101" i="99" s="1"/>
  <c r="BG101" i="99"/>
  <c r="BH101" i="99" s="1"/>
  <c r="R101" i="99"/>
  <c r="T101" i="99" s="1"/>
  <c r="AY101" i="99"/>
  <c r="V101" i="99"/>
  <c r="W101" i="99" s="1"/>
  <c r="AK101" i="99"/>
  <c r="AL101" i="99" s="1"/>
  <c r="M101" i="99"/>
  <c r="Y101" i="99"/>
  <c r="Z101" i="99" s="1"/>
  <c r="BN101" i="99"/>
  <c r="BO101" i="99" s="1"/>
  <c r="BQ101" i="99"/>
  <c r="BR101" i="99" s="1"/>
  <c r="P101" i="99"/>
  <c r="K102" i="99"/>
  <c r="BA101" i="99"/>
  <c r="BB101" i="99" s="1"/>
  <c r="AE101" i="99"/>
  <c r="AF101" i="99" s="1"/>
  <c r="AH101" i="99"/>
  <c r="AI101" i="99" s="1"/>
  <c r="O101" i="99"/>
  <c r="AN101" i="99"/>
  <c r="AO101" i="99" s="1"/>
  <c r="AQ101" i="99"/>
  <c r="AR101" i="99" s="1"/>
  <c r="BJ101" i="99"/>
  <c r="BL101" i="99" s="1"/>
  <c r="BD101" i="99"/>
  <c r="BE101" i="99" s="1"/>
  <c r="AT101" i="99"/>
  <c r="AB101" i="99"/>
  <c r="AC101" i="99" s="1"/>
  <c r="M101" i="132"/>
  <c r="AK101" i="132"/>
  <c r="AL101" i="132" s="1"/>
  <c r="BN101" i="132"/>
  <c r="BO101" i="132" s="1"/>
  <c r="AN101" i="132"/>
  <c r="AO101" i="132" s="1"/>
  <c r="R101" i="132"/>
  <c r="T101" i="132" s="1"/>
  <c r="BQ101" i="132"/>
  <c r="BR101" i="132" s="1"/>
  <c r="AV101" i="132"/>
  <c r="AW101" i="132" s="1"/>
  <c r="AE101" i="132"/>
  <c r="AF101" i="132" s="1"/>
  <c r="AT101" i="132"/>
  <c r="AH101" i="132"/>
  <c r="AI101" i="132" s="1"/>
  <c r="AB101" i="132"/>
  <c r="AC101" i="132" s="1"/>
  <c r="BL101" i="132"/>
  <c r="AQ101" i="132"/>
  <c r="AR101" i="132" s="1"/>
  <c r="Y101" i="132"/>
  <c r="Z101" i="132" s="1"/>
  <c r="AY101" i="132"/>
  <c r="BG101" i="132"/>
  <c r="BH101" i="132" s="1"/>
  <c r="V101" i="132"/>
  <c r="W101" i="132" s="1"/>
  <c r="BA101" i="132"/>
  <c r="BB101" i="132" s="1"/>
  <c r="K102" i="132"/>
  <c r="O101" i="132"/>
  <c r="P101" i="132"/>
  <c r="BD101" i="132"/>
  <c r="BE101" i="132" s="1"/>
  <c r="Y99" i="106"/>
  <c r="Z99" i="106" s="1"/>
  <c r="V99" i="106"/>
  <c r="W99" i="106" s="1"/>
  <c r="BG99" i="106"/>
  <c r="BH99" i="106" s="1"/>
  <c r="BN99" i="106"/>
  <c r="BO99" i="106" s="1"/>
  <c r="O99" i="106"/>
  <c r="BQ99" i="106"/>
  <c r="BR99" i="106" s="1"/>
  <c r="AV99" i="106"/>
  <c r="AW99" i="106" s="1"/>
  <c r="BJ99" i="106"/>
  <c r="BL99" i="106" s="1"/>
  <c r="AY99" i="106"/>
  <c r="AT99" i="106"/>
  <c r="BK99" i="106"/>
  <c r="P99" i="106"/>
  <c r="AH99" i="106"/>
  <c r="AI99" i="106" s="1"/>
  <c r="M99" i="106"/>
  <c r="BD99" i="106"/>
  <c r="BE99" i="106" s="1"/>
  <c r="BA99" i="106"/>
  <c r="BB99" i="106" s="1"/>
  <c r="AB99" i="106"/>
  <c r="AC99" i="106" s="1"/>
  <c r="R99" i="106"/>
  <c r="T99" i="106" s="1"/>
  <c r="AE99" i="106"/>
  <c r="AF99" i="106" s="1"/>
  <c r="AQ99" i="106"/>
  <c r="AR99" i="106" s="1"/>
  <c r="AK99" i="106"/>
  <c r="AL99" i="106" s="1"/>
  <c r="AN99" i="106"/>
  <c r="AO99" i="106" s="1"/>
  <c r="K100" i="106"/>
  <c r="AT99" i="104"/>
  <c r="Y99" i="104"/>
  <c r="Z99" i="104" s="1"/>
  <c r="AH99" i="104"/>
  <c r="AI99" i="104" s="1"/>
  <c r="K100" i="104"/>
  <c r="AE99" i="104"/>
  <c r="AF99" i="104" s="1"/>
  <c r="BD99" i="104"/>
  <c r="BE99" i="104" s="1"/>
  <c r="P99" i="104"/>
  <c r="BK99" i="104"/>
  <c r="BG99" i="104"/>
  <c r="BH99" i="104" s="1"/>
  <c r="AK99" i="104"/>
  <c r="AL99" i="104" s="1"/>
  <c r="AQ99" i="104"/>
  <c r="AR99" i="104" s="1"/>
  <c r="BJ99" i="104"/>
  <c r="BL99" i="104" s="1"/>
  <c r="AV99" i="104"/>
  <c r="AW99" i="104" s="1"/>
  <c r="O99" i="104"/>
  <c r="R99" i="104"/>
  <c r="T99" i="104" s="1"/>
  <c r="M99" i="104"/>
  <c r="AY99" i="104"/>
  <c r="AN99" i="104"/>
  <c r="AO99" i="104" s="1"/>
  <c r="V99" i="104"/>
  <c r="W99" i="104" s="1"/>
  <c r="BN99" i="104"/>
  <c r="BO99" i="104" s="1"/>
  <c r="AB99" i="104"/>
  <c r="AC99" i="104" s="1"/>
  <c r="BA99" i="104"/>
  <c r="BB99" i="104" s="1"/>
  <c r="BQ99" i="104"/>
  <c r="BR99" i="104" s="1"/>
  <c r="O98" i="95"/>
  <c r="AV98" i="95"/>
  <c r="AW98" i="95" s="1"/>
  <c r="AN98" i="95"/>
  <c r="AO98" i="95" s="1"/>
  <c r="R98" i="95"/>
  <c r="T98" i="95" s="1"/>
  <c r="V98" i="95"/>
  <c r="W98" i="95" s="1"/>
  <c r="BA98" i="95"/>
  <c r="BB98" i="95" s="1"/>
  <c r="BN98" i="95"/>
  <c r="BO98" i="95" s="1"/>
  <c r="BQ98" i="95"/>
  <c r="BR98" i="95" s="1"/>
  <c r="AT98" i="95"/>
  <c r="AE98" i="95"/>
  <c r="AF98" i="95" s="1"/>
  <c r="M98" i="95"/>
  <c r="AH98" i="95"/>
  <c r="AI98" i="95" s="1"/>
  <c r="AK98" i="95"/>
  <c r="AL98" i="95" s="1"/>
  <c r="BD98" i="95"/>
  <c r="BE98" i="95" s="1"/>
  <c r="BL98" i="95"/>
  <c r="AQ98" i="95"/>
  <c r="AR98" i="95" s="1"/>
  <c r="Y98" i="95"/>
  <c r="Z98" i="95" s="1"/>
  <c r="K99" i="95"/>
  <c r="BG98" i="95"/>
  <c r="BH98" i="95" s="1"/>
  <c r="AB98" i="95"/>
  <c r="AC98" i="95" s="1"/>
  <c r="P98" i="95"/>
  <c r="I106" i="106"/>
  <c r="K105" i="156"/>
  <c r="AY105" i="156" s="1"/>
  <c r="I106" i="156"/>
  <c r="BG102" i="133"/>
  <c r="BH102" i="133" s="1"/>
  <c r="Y102" i="133"/>
  <c r="Z102" i="133" s="1"/>
  <c r="BA102" i="133"/>
  <c r="BB102" i="133" s="1"/>
  <c r="AY102" i="133"/>
  <c r="P102" i="133"/>
  <c r="O102" i="133"/>
  <c r="AE102" i="133"/>
  <c r="AF102" i="133" s="1"/>
  <c r="BL102" i="133"/>
  <c r="BD102" i="133"/>
  <c r="BE102" i="133" s="1"/>
  <c r="AH102" i="133"/>
  <c r="AI102" i="133" s="1"/>
  <c r="AQ102" i="133"/>
  <c r="AR102" i="133" s="1"/>
  <c r="M102" i="133"/>
  <c r="AT102" i="133"/>
  <c r="BQ102" i="133"/>
  <c r="BR102" i="133" s="1"/>
  <c r="AV102" i="133"/>
  <c r="AW102" i="133" s="1"/>
  <c r="BN102" i="133"/>
  <c r="BO102" i="133" s="1"/>
  <c r="AB102" i="133"/>
  <c r="AC102" i="133" s="1"/>
  <c r="V102" i="133"/>
  <c r="W102" i="133" s="1"/>
  <c r="K103" i="133"/>
  <c r="R102" i="133"/>
  <c r="T102" i="133" s="1"/>
  <c r="AN102" i="133"/>
  <c r="AO102" i="133" s="1"/>
  <c r="AK102" i="133"/>
  <c r="AL102" i="133" s="1"/>
  <c r="R104" i="156"/>
  <c r="T104" i="156" s="1"/>
  <c r="M104" i="156"/>
  <c r="AH104" i="156"/>
  <c r="AI104" i="156" s="1"/>
  <c r="BN104" i="156"/>
  <c r="BO104" i="156" s="1"/>
  <c r="Y104" i="156"/>
  <c r="Z104" i="156" s="1"/>
  <c r="AN104" i="156"/>
  <c r="AO104" i="156" s="1"/>
  <c r="AV104" i="156"/>
  <c r="AW104" i="156" s="1"/>
  <c r="AE104" i="156"/>
  <c r="AF104" i="156" s="1"/>
  <c r="BQ104" i="156"/>
  <c r="BR104" i="156" s="1"/>
  <c r="BA104" i="156"/>
  <c r="BB104" i="156" s="1"/>
  <c r="AK104" i="156"/>
  <c r="AL104" i="156" s="1"/>
  <c r="O104" i="156"/>
  <c r="BG104" i="156"/>
  <c r="BH104" i="156" s="1"/>
  <c r="AQ104" i="156"/>
  <c r="AR104" i="156" s="1"/>
  <c r="V104" i="156"/>
  <c r="W104" i="156" s="1"/>
  <c r="BL104" i="156"/>
  <c r="BD104" i="156"/>
  <c r="BE104" i="156" s="1"/>
  <c r="AB104" i="156"/>
  <c r="AC104" i="156" s="1"/>
  <c r="P104" i="156"/>
  <c r="M99" i="112"/>
  <c r="AE99" i="112"/>
  <c r="AF99" i="112" s="1"/>
  <c r="AH99" i="112"/>
  <c r="AI99" i="112" s="1"/>
  <c r="AY99" i="112"/>
  <c r="BJ99" i="112"/>
  <c r="BL99" i="112" s="1"/>
  <c r="O99" i="112"/>
  <c r="R99" i="112"/>
  <c r="T99" i="112" s="1"/>
  <c r="AQ99" i="112"/>
  <c r="AR99" i="112" s="1"/>
  <c r="K100" i="112"/>
  <c r="BA99" i="112"/>
  <c r="BB99" i="112" s="1"/>
  <c r="BD99" i="112"/>
  <c r="BE99" i="112" s="1"/>
  <c r="Y99" i="112"/>
  <c r="Z99" i="112" s="1"/>
  <c r="BK99" i="112"/>
  <c r="AT99" i="112"/>
  <c r="AV99" i="112"/>
  <c r="AW99" i="112" s="1"/>
  <c r="AN99" i="112"/>
  <c r="AO99" i="112" s="1"/>
  <c r="BN99" i="112"/>
  <c r="BO99" i="112" s="1"/>
  <c r="BQ99" i="112"/>
  <c r="BR99" i="112" s="1"/>
  <c r="P99" i="112"/>
  <c r="AK99" i="112"/>
  <c r="AL99" i="112" s="1"/>
  <c r="AB99" i="112"/>
  <c r="AC99" i="112" s="1"/>
  <c r="V99" i="112"/>
  <c r="W99" i="112" s="1"/>
  <c r="BG99" i="112"/>
  <c r="BH99" i="112" s="1"/>
  <c r="M100" i="129"/>
  <c r="BA100" i="129"/>
  <c r="BB100" i="129" s="1"/>
  <c r="AT100" i="129"/>
  <c r="O100" i="129"/>
  <c r="K101" i="129"/>
  <c r="AV100" i="129"/>
  <c r="AW100" i="129" s="1"/>
  <c r="AH100" i="129"/>
  <c r="AI100" i="129" s="1"/>
  <c r="AE100" i="129"/>
  <c r="AF100" i="129" s="1"/>
  <c r="BN100" i="129"/>
  <c r="BO100" i="129" s="1"/>
  <c r="P100" i="129"/>
  <c r="AB100" i="129"/>
  <c r="AC100" i="129" s="1"/>
  <c r="BQ100" i="129"/>
  <c r="BR100" i="129" s="1"/>
  <c r="BG100" i="129"/>
  <c r="BH100" i="129" s="1"/>
  <c r="R100" i="129"/>
  <c r="T100" i="129" s="1"/>
  <c r="AK100" i="129"/>
  <c r="AL100" i="129" s="1"/>
  <c r="BL100" i="129"/>
  <c r="BD100" i="129"/>
  <c r="BE100" i="129" s="1"/>
  <c r="AY100" i="129"/>
  <c r="Y100" i="129"/>
  <c r="Z100" i="129" s="1"/>
  <c r="AN100" i="129"/>
  <c r="AO100" i="129" s="1"/>
  <c r="V100" i="129"/>
  <c r="W100" i="129" s="1"/>
  <c r="AQ100" i="129"/>
  <c r="AR100" i="129" s="1"/>
  <c r="M100" i="130"/>
  <c r="BL100" i="130"/>
  <c r="K101" i="130"/>
  <c r="BN100" i="130"/>
  <c r="BO100" i="130" s="1"/>
  <c r="Y100" i="130"/>
  <c r="Z100" i="130" s="1"/>
  <c r="AH100" i="130"/>
  <c r="AI100" i="130" s="1"/>
  <c r="AB100" i="130"/>
  <c r="AC100" i="130" s="1"/>
  <c r="V100" i="130"/>
  <c r="W100" i="130" s="1"/>
  <c r="AT100" i="130"/>
  <c r="AE100" i="130"/>
  <c r="AF100" i="130" s="1"/>
  <c r="R100" i="130"/>
  <c r="T100" i="130" s="1"/>
  <c r="P100" i="130"/>
  <c r="BQ100" i="130"/>
  <c r="BR100" i="130" s="1"/>
  <c r="BA100" i="130"/>
  <c r="BB100" i="130" s="1"/>
  <c r="AV100" i="130"/>
  <c r="AW100" i="130" s="1"/>
  <c r="BG100" i="130"/>
  <c r="BH100" i="130" s="1"/>
  <c r="AN100" i="130"/>
  <c r="AO100" i="130" s="1"/>
  <c r="AK100" i="130"/>
  <c r="AL100" i="130" s="1"/>
  <c r="O100" i="130"/>
  <c r="BD100" i="130"/>
  <c r="BE100" i="130" s="1"/>
  <c r="AY100" i="130"/>
  <c r="AQ100" i="130"/>
  <c r="AR100" i="130" s="1"/>
  <c r="K106" i="155"/>
  <c r="I107" i="155"/>
  <c r="O105" i="155"/>
  <c r="V105" i="155"/>
  <c r="W105" i="155" s="1"/>
  <c r="AB105" i="155"/>
  <c r="AC105" i="155" s="1"/>
  <c r="AH105" i="155"/>
  <c r="AI105" i="155" s="1"/>
  <c r="AN105" i="155"/>
  <c r="AO105" i="155" s="1"/>
  <c r="BA105" i="155"/>
  <c r="BB105" i="155" s="1"/>
  <c r="BG105" i="155"/>
  <c r="BH105" i="155" s="1"/>
  <c r="BL105" i="155"/>
  <c r="P105" i="155"/>
  <c r="AV105" i="155"/>
  <c r="AW105" i="155" s="1"/>
  <c r="BN105" i="155"/>
  <c r="BO105" i="155" s="1"/>
  <c r="R105" i="155"/>
  <c r="T105" i="155" s="1"/>
  <c r="Y105" i="155"/>
  <c r="Z105" i="155" s="1"/>
  <c r="AE105" i="155"/>
  <c r="AF105" i="155" s="1"/>
  <c r="AK105" i="155"/>
  <c r="AL105" i="155" s="1"/>
  <c r="AQ105" i="155"/>
  <c r="AR105" i="155" s="1"/>
  <c r="BD105" i="155"/>
  <c r="BE105" i="155" s="1"/>
  <c r="M105" i="155"/>
  <c r="BQ105" i="155"/>
  <c r="BR105" i="155" s="1"/>
  <c r="M105" i="153"/>
  <c r="BQ105" i="153"/>
  <c r="BR105" i="153" s="1"/>
  <c r="O105" i="153"/>
  <c r="V105" i="153"/>
  <c r="W105" i="153" s="1"/>
  <c r="AB105" i="153"/>
  <c r="AC105" i="153" s="1"/>
  <c r="AH105" i="153"/>
  <c r="AI105" i="153" s="1"/>
  <c r="AN105" i="153"/>
  <c r="AO105" i="153" s="1"/>
  <c r="BA105" i="153"/>
  <c r="BB105" i="153" s="1"/>
  <c r="BG105" i="153"/>
  <c r="BH105" i="153" s="1"/>
  <c r="P105" i="153"/>
  <c r="AV105" i="153"/>
  <c r="AW105" i="153" s="1"/>
  <c r="BN105" i="153"/>
  <c r="BO105" i="153" s="1"/>
  <c r="R105" i="153"/>
  <c r="T105" i="153" s="1"/>
  <c r="AQ105" i="153"/>
  <c r="AR105" i="153" s="1"/>
  <c r="Y105" i="153"/>
  <c r="Z105" i="153" s="1"/>
  <c r="AE105" i="153"/>
  <c r="AF105" i="153" s="1"/>
  <c r="BD105" i="153"/>
  <c r="BE105" i="153" s="1"/>
  <c r="AK105" i="153"/>
  <c r="AL105" i="153" s="1"/>
  <c r="BL105" i="153"/>
  <c r="K106" i="153"/>
  <c r="I110" i="153"/>
  <c r="P105" i="152"/>
  <c r="AV105" i="152"/>
  <c r="AW105" i="152" s="1"/>
  <c r="BN105" i="152"/>
  <c r="BO105" i="152" s="1"/>
  <c r="R105" i="152"/>
  <c r="T105" i="152" s="1"/>
  <c r="Y105" i="152"/>
  <c r="Z105" i="152" s="1"/>
  <c r="AE105" i="152"/>
  <c r="AF105" i="152" s="1"/>
  <c r="AK105" i="152"/>
  <c r="AL105" i="152" s="1"/>
  <c r="AQ105" i="152"/>
  <c r="AR105" i="152" s="1"/>
  <c r="BD105" i="152"/>
  <c r="BE105" i="152" s="1"/>
  <c r="M105" i="152"/>
  <c r="BQ105" i="152"/>
  <c r="BR105" i="152" s="1"/>
  <c r="O105" i="152"/>
  <c r="V105" i="152"/>
  <c r="W105" i="152" s="1"/>
  <c r="AB105" i="152"/>
  <c r="AC105" i="152" s="1"/>
  <c r="AH105" i="152"/>
  <c r="AI105" i="152" s="1"/>
  <c r="AN105" i="152"/>
  <c r="AO105" i="152" s="1"/>
  <c r="BA105" i="152"/>
  <c r="BB105" i="152" s="1"/>
  <c r="BG105" i="152"/>
  <c r="BH105" i="152" s="1"/>
  <c r="BL105" i="152"/>
  <c r="K106" i="152"/>
  <c r="I114" i="152"/>
  <c r="BG103" i="151"/>
  <c r="BH103" i="151" s="1"/>
  <c r="BA103" i="151"/>
  <c r="BB103" i="151" s="1"/>
  <c r="AT103" i="151"/>
  <c r="AN103" i="151"/>
  <c r="AO103" i="151" s="1"/>
  <c r="AH103" i="151"/>
  <c r="AI103" i="151" s="1"/>
  <c r="AB103" i="151"/>
  <c r="AC103" i="151" s="1"/>
  <c r="V103" i="151"/>
  <c r="W103" i="151" s="1"/>
  <c r="O103" i="151"/>
  <c r="BQ103" i="151"/>
  <c r="BR103" i="151" s="1"/>
  <c r="AY103" i="151"/>
  <c r="BD103" i="151"/>
  <c r="BE103" i="151" s="1"/>
  <c r="AQ103" i="151"/>
  <c r="AR103" i="151" s="1"/>
  <c r="AK103" i="151"/>
  <c r="AL103" i="151" s="1"/>
  <c r="AE103" i="151"/>
  <c r="AF103" i="151" s="1"/>
  <c r="Y103" i="151"/>
  <c r="Z103" i="151" s="1"/>
  <c r="R103" i="151"/>
  <c r="T103" i="151" s="1"/>
  <c r="P103" i="151"/>
  <c r="AV103" i="151"/>
  <c r="AW103" i="151" s="1"/>
  <c r="M103" i="151"/>
  <c r="BN103" i="151"/>
  <c r="BO103" i="151" s="1"/>
  <c r="BL103" i="151"/>
  <c r="I105" i="151"/>
  <c r="K104" i="151"/>
  <c r="I106" i="150"/>
  <c r="BD102" i="150"/>
  <c r="BE102" i="150" s="1"/>
  <c r="AQ102" i="150"/>
  <c r="AR102" i="150" s="1"/>
  <c r="AK102" i="150"/>
  <c r="AL102" i="150" s="1"/>
  <c r="AE102" i="150"/>
  <c r="AF102" i="150" s="1"/>
  <c r="Y102" i="150"/>
  <c r="Z102" i="150" s="1"/>
  <c r="R102" i="150"/>
  <c r="T102" i="150" s="1"/>
  <c r="BQ102" i="150"/>
  <c r="BR102" i="150" s="1"/>
  <c r="AV102" i="150"/>
  <c r="AW102" i="150" s="1"/>
  <c r="P102" i="150"/>
  <c r="BG102" i="150"/>
  <c r="BH102" i="150" s="1"/>
  <c r="BA102" i="150"/>
  <c r="BB102" i="150" s="1"/>
  <c r="AT102" i="150"/>
  <c r="AN102" i="150"/>
  <c r="AO102" i="150" s="1"/>
  <c r="AH102" i="150"/>
  <c r="AI102" i="150" s="1"/>
  <c r="AB102" i="150"/>
  <c r="AC102" i="150" s="1"/>
  <c r="V102" i="150"/>
  <c r="W102" i="150" s="1"/>
  <c r="O102" i="150"/>
  <c r="AY102" i="150"/>
  <c r="BN102" i="150"/>
  <c r="BO102" i="150" s="1"/>
  <c r="M102" i="150"/>
  <c r="BL102" i="150"/>
  <c r="K103" i="150"/>
  <c r="BD104" i="149"/>
  <c r="BE104" i="149" s="1"/>
  <c r="AQ104" i="149"/>
  <c r="AR104" i="149" s="1"/>
  <c r="AK104" i="149"/>
  <c r="AL104" i="149" s="1"/>
  <c r="AE104" i="149"/>
  <c r="AF104" i="149" s="1"/>
  <c r="AT104" i="149"/>
  <c r="P104" i="149"/>
  <c r="BG104" i="149"/>
  <c r="BH104" i="149" s="1"/>
  <c r="AY104" i="149"/>
  <c r="AH104" i="149"/>
  <c r="AI104" i="149" s="1"/>
  <c r="AV104" i="149"/>
  <c r="AW104" i="149" s="1"/>
  <c r="R104" i="149"/>
  <c r="T104" i="149" s="1"/>
  <c r="AB104" i="149"/>
  <c r="AC104" i="149" s="1"/>
  <c r="O104" i="149"/>
  <c r="BQ104" i="149"/>
  <c r="BR104" i="149" s="1"/>
  <c r="Y104" i="149"/>
  <c r="Z104" i="149" s="1"/>
  <c r="BA104" i="149"/>
  <c r="BB104" i="149" s="1"/>
  <c r="V104" i="149"/>
  <c r="W104" i="149" s="1"/>
  <c r="AN104" i="149"/>
  <c r="AO104" i="149" s="1"/>
  <c r="BN104" i="149"/>
  <c r="BO104" i="149" s="1"/>
  <c r="M104" i="149"/>
  <c r="BL104" i="149"/>
  <c r="I106" i="149"/>
  <c r="K105" i="149"/>
  <c r="BD103" i="147"/>
  <c r="BE103" i="147" s="1"/>
  <c r="AQ103" i="147"/>
  <c r="AR103" i="147" s="1"/>
  <c r="BG103" i="147"/>
  <c r="BH103" i="147" s="1"/>
  <c r="BA103" i="147"/>
  <c r="BB103" i="147" s="1"/>
  <c r="AT103" i="147"/>
  <c r="AN103" i="147"/>
  <c r="AO103" i="147" s="1"/>
  <c r="AH103" i="147"/>
  <c r="AI103" i="147" s="1"/>
  <c r="AB103" i="147"/>
  <c r="AC103" i="147" s="1"/>
  <c r="V103" i="147"/>
  <c r="W103" i="147" s="1"/>
  <c r="O103" i="147"/>
  <c r="AY103" i="147"/>
  <c r="AK103" i="147"/>
  <c r="AL103" i="147" s="1"/>
  <c r="Y103" i="147"/>
  <c r="Z103" i="147" s="1"/>
  <c r="AV103" i="147"/>
  <c r="AW103" i="147" s="1"/>
  <c r="R103" i="147"/>
  <c r="T103" i="147" s="1"/>
  <c r="P103" i="147"/>
  <c r="AE103" i="147"/>
  <c r="AF103" i="147" s="1"/>
  <c r="BQ103" i="147"/>
  <c r="BR103" i="147" s="1"/>
  <c r="BJ103" i="147"/>
  <c r="BL103" i="147" s="1"/>
  <c r="BK103" i="147"/>
  <c r="M103" i="147"/>
  <c r="BN103" i="147"/>
  <c r="BO103" i="147" s="1"/>
  <c r="K104" i="147"/>
  <c r="I105" i="147"/>
  <c r="BD102" i="146"/>
  <c r="BE102" i="146" s="1"/>
  <c r="AQ102" i="146"/>
  <c r="AR102" i="146" s="1"/>
  <c r="AK102" i="146"/>
  <c r="AL102" i="146" s="1"/>
  <c r="AE102" i="146"/>
  <c r="AF102" i="146" s="1"/>
  <c r="Y102" i="146"/>
  <c r="Z102" i="146" s="1"/>
  <c r="R102" i="146"/>
  <c r="T102" i="146" s="1"/>
  <c r="AV102" i="146"/>
  <c r="AW102" i="146" s="1"/>
  <c r="P102" i="146"/>
  <c r="BG102" i="146"/>
  <c r="BH102" i="146" s="1"/>
  <c r="BA102" i="146"/>
  <c r="BB102" i="146" s="1"/>
  <c r="AT102" i="146"/>
  <c r="AN102" i="146"/>
  <c r="AO102" i="146" s="1"/>
  <c r="AH102" i="146"/>
  <c r="AI102" i="146" s="1"/>
  <c r="AB102" i="146"/>
  <c r="AC102" i="146" s="1"/>
  <c r="V102" i="146"/>
  <c r="W102" i="146" s="1"/>
  <c r="O102" i="146"/>
  <c r="AY102" i="146"/>
  <c r="BQ102" i="146"/>
  <c r="BR102" i="146" s="1"/>
  <c r="BJ102" i="146"/>
  <c r="BL102" i="146" s="1"/>
  <c r="BN102" i="146"/>
  <c r="BO102" i="146" s="1"/>
  <c r="BK102" i="146"/>
  <c r="M102" i="146"/>
  <c r="I104" i="146"/>
  <c r="K103" i="146"/>
  <c r="I106" i="136"/>
  <c r="BN104" i="124"/>
  <c r="BO104" i="124" s="1"/>
  <c r="BJ104" i="124"/>
  <c r="BL104" i="124" s="1"/>
  <c r="BK104" i="124"/>
  <c r="K105" i="124"/>
  <c r="M104" i="124"/>
  <c r="AV104" i="124"/>
  <c r="AW104" i="124" s="1"/>
  <c r="Y104" i="124"/>
  <c r="Z104" i="124" s="1"/>
  <c r="V104" i="124"/>
  <c r="W104" i="124" s="1"/>
  <c r="AQ104" i="124"/>
  <c r="AR104" i="124" s="1"/>
  <c r="AY104" i="124"/>
  <c r="O104" i="124"/>
  <c r="BA104" i="124"/>
  <c r="BB104" i="124" s="1"/>
  <c r="BQ104" i="124"/>
  <c r="BR104" i="124" s="1"/>
  <c r="AB104" i="124"/>
  <c r="AC104" i="124" s="1"/>
  <c r="R104" i="124"/>
  <c r="T104" i="124" s="1"/>
  <c r="AT104" i="124"/>
  <c r="BG104" i="124"/>
  <c r="BH104" i="124" s="1"/>
  <c r="AH104" i="124"/>
  <c r="AI104" i="124" s="1"/>
  <c r="P104" i="124"/>
  <c r="AN104" i="124"/>
  <c r="AO104" i="124" s="1"/>
  <c r="AE104" i="124"/>
  <c r="AF104" i="124" s="1"/>
  <c r="BD104" i="124"/>
  <c r="BE104" i="124" s="1"/>
  <c r="AK104" i="124"/>
  <c r="AL104" i="124" s="1"/>
  <c r="I107" i="105"/>
  <c r="M99" i="101"/>
  <c r="AT99" i="101"/>
  <c r="AK99" i="101"/>
  <c r="AL99" i="101" s="1"/>
  <c r="BD99" i="101"/>
  <c r="BE99" i="101" s="1"/>
  <c r="O99" i="101"/>
  <c r="AE99" i="101"/>
  <c r="AF99" i="101" s="1"/>
  <c r="AQ99" i="101"/>
  <c r="AR99" i="101" s="1"/>
  <c r="P99" i="101"/>
  <c r="V99" i="101"/>
  <c r="W99" i="101" s="1"/>
  <c r="AB99" i="101"/>
  <c r="AC99" i="101" s="1"/>
  <c r="Y99" i="101"/>
  <c r="Z99" i="101" s="1"/>
  <c r="AH99" i="101"/>
  <c r="AI99" i="101" s="1"/>
  <c r="AY99" i="101"/>
  <c r="AN99" i="101"/>
  <c r="AO99" i="101" s="1"/>
  <c r="BQ99" i="101"/>
  <c r="BR99" i="101" s="1"/>
  <c r="R99" i="101"/>
  <c r="T99" i="101" s="1"/>
  <c r="BA99" i="101"/>
  <c r="BB99" i="101" s="1"/>
  <c r="BG99" i="101"/>
  <c r="BH99" i="101" s="1"/>
  <c r="AV99" i="101"/>
  <c r="AW99" i="101" s="1"/>
  <c r="BJ100" i="115"/>
  <c r="BL100" i="115" s="1"/>
  <c r="M100" i="115"/>
  <c r="BK100" i="115"/>
  <c r="BN100" i="115"/>
  <c r="BO100" i="115" s="1"/>
  <c r="O100" i="115"/>
  <c r="AB100" i="115"/>
  <c r="AC100" i="115" s="1"/>
  <c r="BG100" i="115"/>
  <c r="BH100" i="115" s="1"/>
  <c r="AH100" i="115"/>
  <c r="AI100" i="115" s="1"/>
  <c r="AV100" i="115"/>
  <c r="AW100" i="115" s="1"/>
  <c r="BA100" i="115"/>
  <c r="BB100" i="115" s="1"/>
  <c r="V100" i="115"/>
  <c r="W100" i="115" s="1"/>
  <c r="AN100" i="115"/>
  <c r="AO100" i="115" s="1"/>
  <c r="AQ100" i="115"/>
  <c r="AR100" i="115" s="1"/>
  <c r="AT100" i="115"/>
  <c r="R100" i="115"/>
  <c r="T100" i="115" s="1"/>
  <c r="P100" i="115"/>
  <c r="BQ100" i="115"/>
  <c r="BR100" i="115" s="1"/>
  <c r="AK100" i="115"/>
  <c r="AL100" i="115" s="1"/>
  <c r="AY100" i="115"/>
  <c r="BD100" i="115"/>
  <c r="BE100" i="115" s="1"/>
  <c r="Y100" i="115"/>
  <c r="Z100" i="115" s="1"/>
  <c r="AE100" i="115"/>
  <c r="AF100" i="115" s="1"/>
  <c r="M101" i="135"/>
  <c r="BN101" i="135"/>
  <c r="BO101" i="135" s="1"/>
  <c r="AT101" i="135"/>
  <c r="AV101" i="135"/>
  <c r="AW101" i="135" s="1"/>
  <c r="AE101" i="135"/>
  <c r="AF101" i="135" s="1"/>
  <c r="AB101" i="135"/>
  <c r="AC101" i="135" s="1"/>
  <c r="BD101" i="135"/>
  <c r="BE101" i="135" s="1"/>
  <c r="Y101" i="135"/>
  <c r="Z101" i="135" s="1"/>
  <c r="AY101" i="135"/>
  <c r="AQ101" i="135"/>
  <c r="AR101" i="135" s="1"/>
  <c r="AK101" i="135"/>
  <c r="AL101" i="135" s="1"/>
  <c r="O101" i="135"/>
  <c r="BG101" i="135"/>
  <c r="BH101" i="135" s="1"/>
  <c r="V101" i="135"/>
  <c r="W101" i="135" s="1"/>
  <c r="BA101" i="135"/>
  <c r="BB101" i="135" s="1"/>
  <c r="AN101" i="135"/>
  <c r="AO101" i="135" s="1"/>
  <c r="AH101" i="135"/>
  <c r="AI101" i="135" s="1"/>
  <c r="BQ101" i="135"/>
  <c r="BR101" i="135" s="1"/>
  <c r="R101" i="135"/>
  <c r="T101" i="135" s="1"/>
  <c r="P101" i="135"/>
  <c r="BL101" i="135"/>
  <c r="M100" i="98"/>
  <c r="O100" i="98"/>
  <c r="K101" i="98"/>
  <c r="AK100" i="98"/>
  <c r="AL100" i="98" s="1"/>
  <c r="BA100" i="98"/>
  <c r="BB100" i="98" s="1"/>
  <c r="BK100" i="98"/>
  <c r="BJ100" i="98"/>
  <c r="BL100" i="98" s="1"/>
  <c r="P100" i="98"/>
  <c r="BG100" i="98"/>
  <c r="BH100" i="98" s="1"/>
  <c r="BN100" i="98"/>
  <c r="BO100" i="98" s="1"/>
  <c r="AQ100" i="98"/>
  <c r="AR100" i="98" s="1"/>
  <c r="AT100" i="98"/>
  <c r="AN100" i="98"/>
  <c r="AO100" i="98" s="1"/>
  <c r="AH100" i="98"/>
  <c r="AI100" i="98" s="1"/>
  <c r="AY100" i="98"/>
  <c r="BQ100" i="98"/>
  <c r="BR100" i="98" s="1"/>
  <c r="R100" i="98"/>
  <c r="T100" i="98" s="1"/>
  <c r="AB100" i="98"/>
  <c r="AC100" i="98" s="1"/>
  <c r="Y100" i="98"/>
  <c r="Z100" i="98" s="1"/>
  <c r="AE100" i="98"/>
  <c r="AF100" i="98" s="1"/>
  <c r="AV100" i="98"/>
  <c r="AW100" i="98" s="1"/>
  <c r="V100" i="98"/>
  <c r="W100" i="98" s="1"/>
  <c r="BD100" i="98"/>
  <c r="BE100" i="98" s="1"/>
  <c r="I104" i="104"/>
  <c r="K99" i="13"/>
  <c r="I100" i="13"/>
  <c r="K100" i="118"/>
  <c r="BG99" i="118"/>
  <c r="BH99" i="118" s="1"/>
  <c r="M99" i="118"/>
  <c r="BN99" i="118"/>
  <c r="BO99" i="118" s="1"/>
  <c r="AQ99" i="118"/>
  <c r="AR99" i="118" s="1"/>
  <c r="AT99" i="118"/>
  <c r="Y99" i="118"/>
  <c r="Z99" i="118" s="1"/>
  <c r="AH99" i="118"/>
  <c r="AI99" i="118" s="1"/>
  <c r="AB99" i="118"/>
  <c r="AC99" i="118" s="1"/>
  <c r="P99" i="118"/>
  <c r="AK99" i="118"/>
  <c r="AL99" i="118" s="1"/>
  <c r="AN99" i="118"/>
  <c r="AO99" i="118" s="1"/>
  <c r="R99" i="118"/>
  <c r="T99" i="118" s="1"/>
  <c r="BD99" i="118"/>
  <c r="BE99" i="118" s="1"/>
  <c r="V99" i="118"/>
  <c r="W99" i="118" s="1"/>
  <c r="AY99" i="118"/>
  <c r="BQ99" i="118"/>
  <c r="BR99" i="118" s="1"/>
  <c r="AV99" i="118"/>
  <c r="AW99" i="118" s="1"/>
  <c r="O99" i="118"/>
  <c r="BA99" i="118"/>
  <c r="BB99" i="118" s="1"/>
  <c r="AE99" i="118"/>
  <c r="AF99" i="118" s="1"/>
  <c r="I106" i="114"/>
  <c r="K99" i="66"/>
  <c r="I100" i="66"/>
  <c r="BN98" i="17"/>
  <c r="BO98" i="17" s="1"/>
  <c r="BL98" i="17"/>
  <c r="V98" i="17"/>
  <c r="W98" i="17" s="1"/>
  <c r="R98" i="17"/>
  <c r="T98" i="17" s="1"/>
  <c r="BQ98" i="17"/>
  <c r="BR98" i="17" s="1"/>
  <c r="AT98" i="17"/>
  <c r="AK98" i="17"/>
  <c r="AL98" i="17" s="1"/>
  <c r="BG98" i="17"/>
  <c r="BH98" i="17" s="1"/>
  <c r="BD98" i="17"/>
  <c r="BE98" i="17" s="1"/>
  <c r="O98" i="17"/>
  <c r="BA98" i="17"/>
  <c r="BB98" i="17" s="1"/>
  <c r="AE98" i="17"/>
  <c r="AF98" i="17" s="1"/>
  <c r="AN98" i="17"/>
  <c r="AO98" i="17" s="1"/>
  <c r="AQ98" i="17"/>
  <c r="AR98" i="17" s="1"/>
  <c r="AH98" i="17"/>
  <c r="AI98" i="17" s="1"/>
  <c r="AB98" i="17"/>
  <c r="AC98" i="17" s="1"/>
  <c r="M98" i="17"/>
  <c r="AY98" i="17"/>
  <c r="AV98" i="17"/>
  <c r="AW98" i="17" s="1"/>
  <c r="P98" i="17"/>
  <c r="Y98" i="17"/>
  <c r="Z98" i="17" s="1"/>
  <c r="M100" i="114"/>
  <c r="BJ100" i="114"/>
  <c r="BL100" i="114" s="1"/>
  <c r="BN100" i="114"/>
  <c r="BO100" i="114" s="1"/>
  <c r="BK100" i="114"/>
  <c r="BD100" i="114"/>
  <c r="BE100" i="114" s="1"/>
  <c r="Y100" i="114"/>
  <c r="Z100" i="114" s="1"/>
  <c r="AB100" i="114"/>
  <c r="AC100" i="114" s="1"/>
  <c r="R100" i="114"/>
  <c r="T100" i="114" s="1"/>
  <c r="O100" i="114"/>
  <c r="BA100" i="114"/>
  <c r="BB100" i="114" s="1"/>
  <c r="AT100" i="114"/>
  <c r="BG100" i="114"/>
  <c r="BH100" i="114" s="1"/>
  <c r="AH100" i="114"/>
  <c r="AI100" i="114" s="1"/>
  <c r="AQ100" i="114"/>
  <c r="AR100" i="114" s="1"/>
  <c r="AV100" i="114"/>
  <c r="AW100" i="114" s="1"/>
  <c r="P100" i="114"/>
  <c r="AY100" i="114"/>
  <c r="AK100" i="114"/>
  <c r="AL100" i="114" s="1"/>
  <c r="AN100" i="114"/>
  <c r="AO100" i="114" s="1"/>
  <c r="AE100" i="114"/>
  <c r="AF100" i="114" s="1"/>
  <c r="V100" i="114"/>
  <c r="W100" i="114" s="1"/>
  <c r="BQ100" i="114"/>
  <c r="BR100" i="114" s="1"/>
  <c r="K101" i="114"/>
  <c r="I106" i="64"/>
  <c r="I101" i="101"/>
  <c r="K100" i="101"/>
  <c r="I102" i="115"/>
  <c r="K101" i="115"/>
  <c r="BK100" i="110"/>
  <c r="BJ100" i="110"/>
  <c r="BL100" i="110" s="1"/>
  <c r="M100" i="110"/>
  <c r="BN100" i="110"/>
  <c r="BO100" i="110" s="1"/>
  <c r="AN100" i="110"/>
  <c r="AO100" i="110" s="1"/>
  <c r="BQ100" i="110"/>
  <c r="BR100" i="110" s="1"/>
  <c r="BD100" i="110"/>
  <c r="BE100" i="110" s="1"/>
  <c r="AB100" i="110"/>
  <c r="AC100" i="110" s="1"/>
  <c r="AH100" i="110"/>
  <c r="AI100" i="110" s="1"/>
  <c r="BG100" i="110"/>
  <c r="BH100" i="110" s="1"/>
  <c r="Y100" i="110"/>
  <c r="Z100" i="110" s="1"/>
  <c r="R100" i="110"/>
  <c r="T100" i="110" s="1"/>
  <c r="BA100" i="110"/>
  <c r="BB100" i="110" s="1"/>
  <c r="AE100" i="110"/>
  <c r="AF100" i="110" s="1"/>
  <c r="AT100" i="110"/>
  <c r="P100" i="110"/>
  <c r="AV100" i="110"/>
  <c r="AW100" i="110" s="1"/>
  <c r="O100" i="110"/>
  <c r="AQ100" i="110"/>
  <c r="AR100" i="110" s="1"/>
  <c r="AY100" i="110"/>
  <c r="AK100" i="110"/>
  <c r="AL100" i="110" s="1"/>
  <c r="V100" i="110"/>
  <c r="W100" i="110" s="1"/>
  <c r="Y100" i="96"/>
  <c r="Z100" i="96" s="1"/>
  <c r="AE100" i="96"/>
  <c r="AF100" i="96" s="1"/>
  <c r="AK100" i="96"/>
  <c r="AL100" i="96" s="1"/>
  <c r="AQ100" i="96"/>
  <c r="AR100" i="96" s="1"/>
  <c r="AT100" i="96"/>
  <c r="P100" i="96"/>
  <c r="V100" i="96"/>
  <c r="W100" i="96" s="1"/>
  <c r="O100" i="96"/>
  <c r="R100" i="96"/>
  <c r="T100" i="96" s="1"/>
  <c r="AN100" i="96"/>
  <c r="AO100" i="96" s="1"/>
  <c r="M100" i="96"/>
  <c r="AV100" i="96"/>
  <c r="AW100" i="96" s="1"/>
  <c r="BD100" i="96"/>
  <c r="BE100" i="96" s="1"/>
  <c r="BQ100" i="96"/>
  <c r="BR100" i="96" s="1"/>
  <c r="BA100" i="96"/>
  <c r="BB100" i="96" s="1"/>
  <c r="BG100" i="96"/>
  <c r="BH100" i="96" s="1"/>
  <c r="BN100" i="96"/>
  <c r="BO100" i="96" s="1"/>
  <c r="AH100" i="96"/>
  <c r="AI100" i="96" s="1"/>
  <c r="AB100" i="96"/>
  <c r="AC100" i="96" s="1"/>
  <c r="BL100" i="96"/>
  <c r="BN102" i="136"/>
  <c r="BO102" i="136" s="1"/>
  <c r="M102" i="136"/>
  <c r="BD102" i="136"/>
  <c r="BE102" i="136" s="1"/>
  <c r="BG102" i="136"/>
  <c r="BH102" i="136" s="1"/>
  <c r="BL102" i="136"/>
  <c r="V102" i="136"/>
  <c r="W102" i="136" s="1"/>
  <c r="Y102" i="136"/>
  <c r="Z102" i="136" s="1"/>
  <c r="AN102" i="136"/>
  <c r="AO102" i="136" s="1"/>
  <c r="AQ102" i="136"/>
  <c r="AR102" i="136" s="1"/>
  <c r="AH102" i="136"/>
  <c r="AI102" i="136" s="1"/>
  <c r="O102" i="136"/>
  <c r="AK102" i="136"/>
  <c r="AL102" i="136" s="1"/>
  <c r="BQ102" i="136"/>
  <c r="BR102" i="136" s="1"/>
  <c r="R102" i="136"/>
  <c r="T102" i="136" s="1"/>
  <c r="AT102" i="136"/>
  <c r="BA102" i="136"/>
  <c r="BB102" i="136" s="1"/>
  <c r="AE102" i="136"/>
  <c r="AF102" i="136" s="1"/>
  <c r="AV102" i="136"/>
  <c r="AW102" i="136" s="1"/>
  <c r="P102" i="136"/>
  <c r="AB102" i="136"/>
  <c r="AC102" i="136" s="1"/>
  <c r="AY102" i="136"/>
  <c r="K103" i="136"/>
  <c r="I105" i="63"/>
  <c r="I107" i="132"/>
  <c r="BN98" i="66"/>
  <c r="BO98" i="66" s="1"/>
  <c r="BQ98" i="66"/>
  <c r="BR98" i="66" s="1"/>
  <c r="M98" i="66"/>
  <c r="AH98" i="66"/>
  <c r="AI98" i="66" s="1"/>
  <c r="AK98" i="66"/>
  <c r="AL98" i="66" s="1"/>
  <c r="Y98" i="66"/>
  <c r="Z98" i="66" s="1"/>
  <c r="AV98" i="66"/>
  <c r="AW98" i="66" s="1"/>
  <c r="O98" i="66"/>
  <c r="BD98" i="66"/>
  <c r="BE98" i="66" s="1"/>
  <c r="BG98" i="66"/>
  <c r="BH98" i="66" s="1"/>
  <c r="AY98" i="66"/>
  <c r="AE98" i="66"/>
  <c r="AF98" i="66" s="1"/>
  <c r="AB98" i="66"/>
  <c r="AC98" i="66" s="1"/>
  <c r="V98" i="66"/>
  <c r="W98" i="66" s="1"/>
  <c r="AT98" i="66"/>
  <c r="P98" i="66"/>
  <c r="AN98" i="66"/>
  <c r="AO98" i="66" s="1"/>
  <c r="BA98" i="66"/>
  <c r="BB98" i="66" s="1"/>
  <c r="AQ98" i="66"/>
  <c r="AR98" i="66" s="1"/>
  <c r="R98" i="66"/>
  <c r="T98" i="66" s="1"/>
  <c r="BL98" i="66"/>
  <c r="I100" i="17"/>
  <c r="K99" i="17"/>
  <c r="I109" i="95"/>
  <c r="BQ100" i="63"/>
  <c r="BR100" i="63" s="1"/>
  <c r="AY100" i="63"/>
  <c r="AQ100" i="63"/>
  <c r="AR100" i="63" s="1"/>
  <c r="BA100" i="63"/>
  <c r="BB100" i="63" s="1"/>
  <c r="AK100" i="63"/>
  <c r="AL100" i="63" s="1"/>
  <c r="P100" i="63"/>
  <c r="M100" i="63"/>
  <c r="AT100" i="63"/>
  <c r="AE100" i="63"/>
  <c r="AF100" i="63" s="1"/>
  <c r="AV100" i="63"/>
  <c r="AW100" i="63" s="1"/>
  <c r="V100" i="63"/>
  <c r="W100" i="63" s="1"/>
  <c r="AB100" i="63"/>
  <c r="AC100" i="63" s="1"/>
  <c r="BN100" i="63"/>
  <c r="BO100" i="63" s="1"/>
  <c r="BD100" i="63"/>
  <c r="BE100" i="63" s="1"/>
  <c r="O100" i="63"/>
  <c r="BG100" i="63"/>
  <c r="BH100" i="63" s="1"/>
  <c r="AH100" i="63"/>
  <c r="AI100" i="63" s="1"/>
  <c r="Y100" i="63"/>
  <c r="Z100" i="63" s="1"/>
  <c r="R100" i="63"/>
  <c r="T100" i="63" s="1"/>
  <c r="AN100" i="63"/>
  <c r="AO100" i="63" s="1"/>
  <c r="BL100" i="63"/>
  <c r="K101" i="63"/>
  <c r="M100" i="126"/>
  <c r="BJ100" i="126"/>
  <c r="BL100" i="126" s="1"/>
  <c r="BK100" i="126"/>
  <c r="BN100" i="126"/>
  <c r="BO100" i="126" s="1"/>
  <c r="BQ100" i="126"/>
  <c r="BR100" i="126" s="1"/>
  <c r="AE100" i="126"/>
  <c r="AF100" i="126" s="1"/>
  <c r="AT100" i="126"/>
  <c r="BG100" i="126"/>
  <c r="BH100" i="126" s="1"/>
  <c r="P100" i="126"/>
  <c r="V100" i="126"/>
  <c r="W100" i="126" s="1"/>
  <c r="AQ100" i="126"/>
  <c r="AR100" i="126" s="1"/>
  <c r="O100" i="126"/>
  <c r="Y100" i="126"/>
  <c r="Z100" i="126" s="1"/>
  <c r="AB100" i="126"/>
  <c r="AC100" i="126" s="1"/>
  <c r="AK100" i="126"/>
  <c r="AL100" i="126" s="1"/>
  <c r="AN100" i="126"/>
  <c r="AO100" i="126" s="1"/>
  <c r="BA100" i="126"/>
  <c r="BB100" i="126" s="1"/>
  <c r="R100" i="126"/>
  <c r="T100" i="126" s="1"/>
  <c r="AY100" i="126"/>
  <c r="AV100" i="126"/>
  <c r="AW100" i="126" s="1"/>
  <c r="BD100" i="126"/>
  <c r="BE100" i="126" s="1"/>
  <c r="AH100" i="126"/>
  <c r="AI100" i="126" s="1"/>
  <c r="K101" i="126"/>
  <c r="K101" i="110"/>
  <c r="I102" i="110"/>
  <c r="I105" i="126"/>
  <c r="K101" i="96"/>
  <c r="I102" i="96"/>
  <c r="I104" i="15"/>
  <c r="M102" i="105"/>
  <c r="BK102" i="105"/>
  <c r="BQ102" i="105"/>
  <c r="BR102" i="105" s="1"/>
  <c r="AV102" i="105"/>
  <c r="AW102" i="105" s="1"/>
  <c r="R102" i="105"/>
  <c r="T102" i="105" s="1"/>
  <c r="BN102" i="105"/>
  <c r="BO102" i="105" s="1"/>
  <c r="V102" i="105"/>
  <c r="W102" i="105" s="1"/>
  <c r="AN102" i="105"/>
  <c r="AO102" i="105" s="1"/>
  <c r="BG102" i="105"/>
  <c r="BH102" i="105" s="1"/>
  <c r="AB102" i="105"/>
  <c r="AC102" i="105" s="1"/>
  <c r="AE102" i="105"/>
  <c r="AF102" i="105" s="1"/>
  <c r="BJ102" i="105"/>
  <c r="BL102" i="105" s="1"/>
  <c r="AY102" i="105"/>
  <c r="O102" i="105"/>
  <c r="BD102" i="105"/>
  <c r="BE102" i="105" s="1"/>
  <c r="AT102" i="105"/>
  <c r="AK102" i="105"/>
  <c r="AL102" i="105" s="1"/>
  <c r="Y102" i="105"/>
  <c r="Z102" i="105" s="1"/>
  <c r="AH102" i="105"/>
  <c r="AI102" i="105" s="1"/>
  <c r="P102" i="105"/>
  <c r="BA102" i="105"/>
  <c r="BB102" i="105" s="1"/>
  <c r="AQ102" i="105"/>
  <c r="AR102" i="105" s="1"/>
  <c r="K103" i="105"/>
  <c r="AE98" i="120"/>
  <c r="AF98" i="120" s="1"/>
  <c r="M98" i="120"/>
  <c r="AH98" i="120"/>
  <c r="AI98" i="120" s="1"/>
  <c r="BA98" i="120"/>
  <c r="BB98" i="120" s="1"/>
  <c r="P98" i="120"/>
  <c r="AB98" i="120"/>
  <c r="AC98" i="120" s="1"/>
  <c r="BD98" i="120"/>
  <c r="BE98" i="120" s="1"/>
  <c r="O98" i="120"/>
  <c r="V98" i="120"/>
  <c r="W98" i="120" s="1"/>
  <c r="AT98" i="120"/>
  <c r="Y98" i="120"/>
  <c r="Z98" i="120" s="1"/>
  <c r="BG98" i="120"/>
  <c r="BH98" i="120" s="1"/>
  <c r="AK98" i="120"/>
  <c r="AL98" i="120" s="1"/>
  <c r="AN98" i="120"/>
  <c r="AO98" i="120" s="1"/>
  <c r="BQ98" i="120"/>
  <c r="BR98" i="120" s="1"/>
  <c r="K99" i="120"/>
  <c r="AQ98" i="120"/>
  <c r="AR98" i="120" s="1"/>
  <c r="AY98" i="120"/>
  <c r="R98" i="120"/>
  <c r="T98" i="120" s="1"/>
  <c r="AV98" i="120"/>
  <c r="AW98" i="120" s="1"/>
  <c r="BN98" i="120"/>
  <c r="BO98" i="120" s="1"/>
  <c r="BQ101" i="64"/>
  <c r="BR101" i="64" s="1"/>
  <c r="M101" i="64"/>
  <c r="AH101" i="64"/>
  <c r="AI101" i="64" s="1"/>
  <c r="AK101" i="64"/>
  <c r="AL101" i="64" s="1"/>
  <c r="AT101" i="64"/>
  <c r="AY101" i="64"/>
  <c r="O101" i="64"/>
  <c r="BD101" i="64"/>
  <c r="BE101" i="64" s="1"/>
  <c r="BG101" i="64"/>
  <c r="BH101" i="64" s="1"/>
  <c r="Y101" i="64"/>
  <c r="Z101" i="64" s="1"/>
  <c r="AE101" i="64"/>
  <c r="AF101" i="64" s="1"/>
  <c r="P101" i="64"/>
  <c r="V101" i="64"/>
  <c r="W101" i="64" s="1"/>
  <c r="AB101" i="64"/>
  <c r="AC101" i="64" s="1"/>
  <c r="AQ101" i="64"/>
  <c r="AR101" i="64" s="1"/>
  <c r="BA101" i="64"/>
  <c r="BB101" i="64" s="1"/>
  <c r="AN101" i="64"/>
  <c r="AO101" i="64" s="1"/>
  <c r="R101" i="64"/>
  <c r="T101" i="64" s="1"/>
  <c r="AV101" i="64"/>
  <c r="AW101" i="64" s="1"/>
  <c r="BN101" i="64"/>
  <c r="BO101" i="64" s="1"/>
  <c r="BL101" i="64"/>
  <c r="K102" i="64"/>
  <c r="BL99" i="15"/>
  <c r="BN99" i="15"/>
  <c r="BO99" i="15" s="1"/>
  <c r="AE99" i="15"/>
  <c r="AF99" i="15" s="1"/>
  <c r="BA99" i="15"/>
  <c r="BB99" i="15" s="1"/>
  <c r="AK99" i="15"/>
  <c r="AL99" i="15" s="1"/>
  <c r="O99" i="15"/>
  <c r="AQ99" i="15"/>
  <c r="AR99" i="15" s="1"/>
  <c r="BQ99" i="15"/>
  <c r="BR99" i="15" s="1"/>
  <c r="R99" i="15"/>
  <c r="T99" i="15" s="1"/>
  <c r="P99" i="15"/>
  <c r="M99" i="15"/>
  <c r="AY99" i="15"/>
  <c r="Y99" i="15"/>
  <c r="Z99" i="15" s="1"/>
  <c r="BG99" i="15"/>
  <c r="BH99" i="15" s="1"/>
  <c r="BD99" i="15"/>
  <c r="BE99" i="15" s="1"/>
  <c r="AH99" i="15"/>
  <c r="AI99" i="15" s="1"/>
  <c r="AN99" i="15"/>
  <c r="AO99" i="15" s="1"/>
  <c r="AV99" i="15"/>
  <c r="AW99" i="15" s="1"/>
  <c r="AB99" i="15"/>
  <c r="AC99" i="15" s="1"/>
  <c r="V99" i="15"/>
  <c r="W99" i="15" s="1"/>
  <c r="AT99" i="15"/>
  <c r="K100" i="15"/>
  <c r="I103" i="135"/>
  <c r="K102" i="135"/>
  <c r="BN98" i="13"/>
  <c r="BO98" i="13" s="1"/>
  <c r="M98" i="13"/>
  <c r="V98" i="13"/>
  <c r="W98" i="13" s="1"/>
  <c r="BG98" i="13"/>
  <c r="BH98" i="13" s="1"/>
  <c r="BL98" i="13"/>
  <c r="BQ98" i="13"/>
  <c r="BR98" i="13" s="1"/>
  <c r="R98" i="13"/>
  <c r="T98" i="13" s="1"/>
  <c r="AE98" i="13"/>
  <c r="AF98" i="13" s="1"/>
  <c r="BA98" i="13"/>
  <c r="BB98" i="13" s="1"/>
  <c r="P98" i="13"/>
  <c r="AT98" i="13"/>
  <c r="O98" i="13"/>
  <c r="AY98" i="13"/>
  <c r="AN98" i="13"/>
  <c r="AO98" i="13" s="1"/>
  <c r="AK98" i="13"/>
  <c r="AL98" i="13" s="1"/>
  <c r="BD98" i="13"/>
  <c r="BE98" i="13" s="1"/>
  <c r="AV98" i="13"/>
  <c r="AW98" i="13" s="1"/>
  <c r="AQ98" i="13"/>
  <c r="AR98" i="13" s="1"/>
  <c r="AB98" i="13"/>
  <c r="AC98" i="13" s="1"/>
  <c r="Y98" i="13"/>
  <c r="Z98" i="13" s="1"/>
  <c r="AH98" i="13"/>
  <c r="AI98" i="13" s="1"/>
  <c r="I106" i="107" l="1"/>
  <c r="K105" i="107"/>
  <c r="AQ102" i="132"/>
  <c r="AR102" i="132" s="1"/>
  <c r="BQ102" i="132"/>
  <c r="BR102" i="132" s="1"/>
  <c r="AH102" i="132"/>
  <c r="AI102" i="132" s="1"/>
  <c r="AT102" i="132"/>
  <c r="AK102" i="132"/>
  <c r="AL102" i="132" s="1"/>
  <c r="AE102" i="132"/>
  <c r="AF102" i="132" s="1"/>
  <c r="Y102" i="132"/>
  <c r="Z102" i="132" s="1"/>
  <c r="O102" i="132"/>
  <c r="BA102" i="132"/>
  <c r="BB102" i="132" s="1"/>
  <c r="M102" i="132"/>
  <c r="BL102" i="132"/>
  <c r="AB102" i="132"/>
  <c r="AC102" i="132" s="1"/>
  <c r="AY102" i="132"/>
  <c r="AV102" i="132"/>
  <c r="AW102" i="132" s="1"/>
  <c r="P102" i="132"/>
  <c r="BN102" i="132"/>
  <c r="BO102" i="132" s="1"/>
  <c r="BG102" i="132"/>
  <c r="BH102" i="132" s="1"/>
  <c r="K103" i="132"/>
  <c r="V102" i="132"/>
  <c r="W102" i="132" s="1"/>
  <c r="BD102" i="132"/>
  <c r="BE102" i="132" s="1"/>
  <c r="R102" i="132"/>
  <c r="T102" i="132" s="1"/>
  <c r="AN102" i="132"/>
  <c r="AO102" i="132" s="1"/>
  <c r="BJ104" i="107"/>
  <c r="BL104" i="107" s="1"/>
  <c r="BQ104" i="107"/>
  <c r="BR104" i="107" s="1"/>
  <c r="AH104" i="107"/>
  <c r="AI104" i="107" s="1"/>
  <c r="AT104" i="107"/>
  <c r="Y104" i="107"/>
  <c r="Z104" i="107" s="1"/>
  <c r="P104" i="107"/>
  <c r="AB104" i="107"/>
  <c r="AC104" i="107" s="1"/>
  <c r="M104" i="107"/>
  <c r="R104" i="107"/>
  <c r="T104" i="107" s="1"/>
  <c r="AK104" i="107"/>
  <c r="AL104" i="107" s="1"/>
  <c r="AV104" i="107"/>
  <c r="AW104" i="107" s="1"/>
  <c r="BK104" i="107"/>
  <c r="AE104" i="107"/>
  <c r="AF104" i="107" s="1"/>
  <c r="AQ104" i="107"/>
  <c r="AR104" i="107" s="1"/>
  <c r="BN104" i="107"/>
  <c r="BO104" i="107" s="1"/>
  <c r="AN104" i="107"/>
  <c r="AO104" i="107" s="1"/>
  <c r="O104" i="107"/>
  <c r="BD104" i="107"/>
  <c r="BE104" i="107" s="1"/>
  <c r="V104" i="107"/>
  <c r="W104" i="107" s="1"/>
  <c r="AY104" i="107"/>
  <c r="BG104" i="107"/>
  <c r="BH104" i="107" s="1"/>
  <c r="BA104" i="107"/>
  <c r="BB104" i="107" s="1"/>
  <c r="BJ102" i="99"/>
  <c r="BL102" i="99" s="1"/>
  <c r="AB102" i="99"/>
  <c r="AC102" i="99" s="1"/>
  <c r="AY102" i="99"/>
  <c r="K103" i="99"/>
  <c r="BG102" i="99"/>
  <c r="BH102" i="99" s="1"/>
  <c r="AN102" i="99"/>
  <c r="AO102" i="99" s="1"/>
  <c r="AV102" i="99"/>
  <c r="AW102" i="99" s="1"/>
  <c r="BA102" i="99"/>
  <c r="BB102" i="99" s="1"/>
  <c r="AE102" i="99"/>
  <c r="AF102" i="99" s="1"/>
  <c r="P102" i="99"/>
  <c r="V102" i="99"/>
  <c r="W102" i="99" s="1"/>
  <c r="BN102" i="99"/>
  <c r="BO102" i="99" s="1"/>
  <c r="BD102" i="99"/>
  <c r="BE102" i="99" s="1"/>
  <c r="BK102" i="99"/>
  <c r="AK102" i="99"/>
  <c r="AL102" i="99" s="1"/>
  <c r="M102" i="99"/>
  <c r="R102" i="99"/>
  <c r="T102" i="99" s="1"/>
  <c r="AT102" i="99"/>
  <c r="O102" i="99"/>
  <c r="AH102" i="99"/>
  <c r="AI102" i="99" s="1"/>
  <c r="AQ102" i="99"/>
  <c r="AR102" i="99" s="1"/>
  <c r="BQ102" i="99"/>
  <c r="BR102" i="99" s="1"/>
  <c r="Y102" i="99"/>
  <c r="Z102" i="99" s="1"/>
  <c r="P105" i="156"/>
  <c r="AK105" i="156"/>
  <c r="AL105" i="156" s="1"/>
  <c r="AH105" i="156"/>
  <c r="AI105" i="156" s="1"/>
  <c r="AN105" i="156"/>
  <c r="AO105" i="156" s="1"/>
  <c r="AV105" i="156"/>
  <c r="AW105" i="156" s="1"/>
  <c r="AQ105" i="156"/>
  <c r="AR105" i="156" s="1"/>
  <c r="BG105" i="156"/>
  <c r="BH105" i="156" s="1"/>
  <c r="V105" i="156"/>
  <c r="W105" i="156" s="1"/>
  <c r="BN105" i="156"/>
  <c r="BO105" i="156" s="1"/>
  <c r="BD105" i="156"/>
  <c r="BE105" i="156" s="1"/>
  <c r="AB105" i="156"/>
  <c r="AC105" i="156" s="1"/>
  <c r="R105" i="156"/>
  <c r="T105" i="156" s="1"/>
  <c r="M105" i="156"/>
  <c r="BA105" i="156"/>
  <c r="BB105" i="156" s="1"/>
  <c r="Y105" i="156"/>
  <c r="Z105" i="156" s="1"/>
  <c r="BL105" i="156"/>
  <c r="AE105" i="156"/>
  <c r="AF105" i="156" s="1"/>
  <c r="BQ105" i="156"/>
  <c r="BR105" i="156" s="1"/>
  <c r="O105" i="156"/>
  <c r="BL103" i="133"/>
  <c r="BA103" i="133"/>
  <c r="BB103" i="133" s="1"/>
  <c r="R103" i="133"/>
  <c r="T103" i="133" s="1"/>
  <c r="AH103" i="133"/>
  <c r="AI103" i="133" s="1"/>
  <c r="M103" i="133"/>
  <c r="AE103" i="133"/>
  <c r="AF103" i="133" s="1"/>
  <c r="AB103" i="133"/>
  <c r="AC103" i="133" s="1"/>
  <c r="AK103" i="133"/>
  <c r="AL103" i="133" s="1"/>
  <c r="BN103" i="133"/>
  <c r="BO103" i="133" s="1"/>
  <c r="O103" i="133"/>
  <c r="AT103" i="133"/>
  <c r="BQ103" i="133"/>
  <c r="BR103" i="133" s="1"/>
  <c r="AV103" i="133"/>
  <c r="AW103" i="133" s="1"/>
  <c r="V103" i="133"/>
  <c r="W103" i="133" s="1"/>
  <c r="Y103" i="133"/>
  <c r="Z103" i="133" s="1"/>
  <c r="K104" i="133"/>
  <c r="BG103" i="133"/>
  <c r="BH103" i="133" s="1"/>
  <c r="AY103" i="133"/>
  <c r="P103" i="133"/>
  <c r="AN103" i="133"/>
  <c r="AO103" i="133" s="1"/>
  <c r="BD103" i="133"/>
  <c r="BE103" i="133" s="1"/>
  <c r="AQ103" i="133"/>
  <c r="AR103" i="133" s="1"/>
  <c r="BN100" i="106"/>
  <c r="BO100" i="106" s="1"/>
  <c r="BG100" i="106"/>
  <c r="BH100" i="106" s="1"/>
  <c r="AT100" i="106"/>
  <c r="AY100" i="106"/>
  <c r="AK100" i="106"/>
  <c r="AL100" i="106" s="1"/>
  <c r="AB100" i="106"/>
  <c r="AC100" i="106" s="1"/>
  <c r="Y100" i="106"/>
  <c r="Z100" i="106" s="1"/>
  <c r="BD100" i="106"/>
  <c r="BE100" i="106" s="1"/>
  <c r="M100" i="106"/>
  <c r="V100" i="106"/>
  <c r="W100" i="106" s="1"/>
  <c r="AQ100" i="106"/>
  <c r="AR100" i="106" s="1"/>
  <c r="P100" i="106"/>
  <c r="BK100" i="106"/>
  <c r="BJ100" i="106"/>
  <c r="BL100" i="106" s="1"/>
  <c r="AN100" i="106"/>
  <c r="AO100" i="106" s="1"/>
  <c r="AE100" i="106"/>
  <c r="AF100" i="106" s="1"/>
  <c r="O100" i="106"/>
  <c r="R100" i="106"/>
  <c r="T100" i="106" s="1"/>
  <c r="AV100" i="106"/>
  <c r="AW100" i="106" s="1"/>
  <c r="AH100" i="106"/>
  <c r="AI100" i="106" s="1"/>
  <c r="BQ100" i="106"/>
  <c r="BR100" i="106" s="1"/>
  <c r="BA100" i="106"/>
  <c r="BB100" i="106" s="1"/>
  <c r="K101" i="106"/>
  <c r="I107" i="106"/>
  <c r="BL99" i="95"/>
  <c r="V99" i="95"/>
  <c r="W99" i="95" s="1"/>
  <c r="AH99" i="95"/>
  <c r="AI99" i="95" s="1"/>
  <c r="AK99" i="95"/>
  <c r="AL99" i="95" s="1"/>
  <c r="O99" i="95"/>
  <c r="BA99" i="95"/>
  <c r="BB99" i="95" s="1"/>
  <c r="AQ99" i="95"/>
  <c r="AR99" i="95" s="1"/>
  <c r="AE99" i="95"/>
  <c r="AF99" i="95" s="1"/>
  <c r="R99" i="95"/>
  <c r="T99" i="95" s="1"/>
  <c r="BN99" i="95"/>
  <c r="BO99" i="95" s="1"/>
  <c r="AT99" i="95"/>
  <c r="BD99" i="95"/>
  <c r="BE99" i="95" s="1"/>
  <c r="AN99" i="95"/>
  <c r="AO99" i="95" s="1"/>
  <c r="M99" i="95"/>
  <c r="AV99" i="95"/>
  <c r="AW99" i="95" s="1"/>
  <c r="BG99" i="95"/>
  <c r="BH99" i="95" s="1"/>
  <c r="P99" i="95"/>
  <c r="AB99" i="95"/>
  <c r="AC99" i="95" s="1"/>
  <c r="BQ99" i="95"/>
  <c r="BR99" i="95" s="1"/>
  <c r="Y99" i="95"/>
  <c r="Z99" i="95" s="1"/>
  <c r="K100" i="95"/>
  <c r="K101" i="104"/>
  <c r="BG100" i="104"/>
  <c r="BH100" i="104" s="1"/>
  <c r="AK100" i="104"/>
  <c r="AL100" i="104" s="1"/>
  <c r="AY100" i="104"/>
  <c r="AT100" i="104"/>
  <c r="AQ100" i="104"/>
  <c r="AR100" i="104" s="1"/>
  <c r="BQ100" i="104"/>
  <c r="BR100" i="104" s="1"/>
  <c r="BN100" i="104"/>
  <c r="BO100" i="104" s="1"/>
  <c r="AV100" i="104"/>
  <c r="AW100" i="104" s="1"/>
  <c r="V100" i="104"/>
  <c r="W100" i="104" s="1"/>
  <c r="P100" i="104"/>
  <c r="BJ100" i="104"/>
  <c r="BL100" i="104" s="1"/>
  <c r="AE100" i="104"/>
  <c r="AF100" i="104" s="1"/>
  <c r="AH100" i="104"/>
  <c r="AI100" i="104" s="1"/>
  <c r="BA100" i="104"/>
  <c r="BB100" i="104" s="1"/>
  <c r="M100" i="104"/>
  <c r="BD100" i="104"/>
  <c r="BE100" i="104" s="1"/>
  <c r="AB100" i="104"/>
  <c r="AC100" i="104" s="1"/>
  <c r="O100" i="104"/>
  <c r="BK100" i="104"/>
  <c r="Y100" i="104"/>
  <c r="Z100" i="104" s="1"/>
  <c r="AN100" i="104"/>
  <c r="AO100" i="104" s="1"/>
  <c r="R100" i="104"/>
  <c r="T100" i="104" s="1"/>
  <c r="BN101" i="129"/>
  <c r="BO101" i="129" s="1"/>
  <c r="P101" i="129"/>
  <c r="Y101" i="129"/>
  <c r="Z101" i="129" s="1"/>
  <c r="AN101" i="129"/>
  <c r="AO101" i="129" s="1"/>
  <c r="K102" i="129"/>
  <c r="AK101" i="129"/>
  <c r="AL101" i="129" s="1"/>
  <c r="BG101" i="129"/>
  <c r="BH101" i="129" s="1"/>
  <c r="AQ101" i="129"/>
  <c r="AR101" i="129" s="1"/>
  <c r="M101" i="129"/>
  <c r="BD101" i="129"/>
  <c r="BE101" i="129" s="1"/>
  <c r="AE101" i="129"/>
  <c r="AF101" i="129" s="1"/>
  <c r="O101" i="129"/>
  <c r="BA101" i="129"/>
  <c r="BB101" i="129" s="1"/>
  <c r="AH101" i="129"/>
  <c r="AI101" i="129" s="1"/>
  <c r="AY101" i="129"/>
  <c r="BL101" i="129"/>
  <c r="AB101" i="129"/>
  <c r="AC101" i="129" s="1"/>
  <c r="R101" i="129"/>
  <c r="T101" i="129" s="1"/>
  <c r="BQ101" i="129"/>
  <c r="BR101" i="129" s="1"/>
  <c r="V101" i="129"/>
  <c r="W101" i="129" s="1"/>
  <c r="AT101" i="129"/>
  <c r="AV101" i="129"/>
  <c r="AW101" i="129" s="1"/>
  <c r="BK100" i="112"/>
  <c r="BG100" i="112"/>
  <c r="BH100" i="112" s="1"/>
  <c r="AT100" i="112"/>
  <c r="AH100" i="112"/>
  <c r="AI100" i="112" s="1"/>
  <c r="AE100" i="112"/>
  <c r="AF100" i="112" s="1"/>
  <c r="Y100" i="112"/>
  <c r="Z100" i="112" s="1"/>
  <c r="O100" i="112"/>
  <c r="M100" i="112"/>
  <c r="AN100" i="112"/>
  <c r="AO100" i="112" s="1"/>
  <c r="AQ100" i="112"/>
  <c r="AR100" i="112" s="1"/>
  <c r="AB100" i="112"/>
  <c r="AC100" i="112" s="1"/>
  <c r="BJ100" i="112"/>
  <c r="BL100" i="112" s="1"/>
  <c r="P100" i="112"/>
  <c r="AY100" i="112"/>
  <c r="V100" i="112"/>
  <c r="W100" i="112" s="1"/>
  <c r="K101" i="112"/>
  <c r="BD100" i="112"/>
  <c r="BE100" i="112" s="1"/>
  <c r="BQ100" i="112"/>
  <c r="BR100" i="112" s="1"/>
  <c r="R100" i="112"/>
  <c r="T100" i="112" s="1"/>
  <c r="BN100" i="112"/>
  <c r="BO100" i="112" s="1"/>
  <c r="AK100" i="112"/>
  <c r="AL100" i="112" s="1"/>
  <c r="AV100" i="112"/>
  <c r="AW100" i="112" s="1"/>
  <c r="BA100" i="112"/>
  <c r="BB100" i="112" s="1"/>
  <c r="K106" i="156"/>
  <c r="AY106" i="156" s="1"/>
  <c r="I107" i="156"/>
  <c r="BN101" i="130"/>
  <c r="BO101" i="130" s="1"/>
  <c r="BL101" i="130"/>
  <c r="K102" i="130"/>
  <c r="M101" i="130"/>
  <c r="AQ101" i="130"/>
  <c r="AR101" i="130" s="1"/>
  <c r="AY101" i="130"/>
  <c r="AH101" i="130"/>
  <c r="AI101" i="130" s="1"/>
  <c r="AB101" i="130"/>
  <c r="AC101" i="130" s="1"/>
  <c r="AN101" i="130"/>
  <c r="AO101" i="130" s="1"/>
  <c r="V101" i="130"/>
  <c r="W101" i="130" s="1"/>
  <c r="BA101" i="130"/>
  <c r="BB101" i="130" s="1"/>
  <c r="O101" i="130"/>
  <c r="P101" i="130"/>
  <c r="AK101" i="130"/>
  <c r="AL101" i="130" s="1"/>
  <c r="BQ101" i="130"/>
  <c r="BR101" i="130" s="1"/>
  <c r="AE101" i="130"/>
  <c r="AF101" i="130" s="1"/>
  <c r="Y101" i="130"/>
  <c r="Z101" i="130" s="1"/>
  <c r="BD101" i="130"/>
  <c r="BE101" i="130" s="1"/>
  <c r="AV101" i="130"/>
  <c r="AW101" i="130" s="1"/>
  <c r="AT101" i="130"/>
  <c r="BG101" i="130"/>
  <c r="BH101" i="130" s="1"/>
  <c r="R101" i="130"/>
  <c r="T101" i="130" s="1"/>
  <c r="K107" i="155"/>
  <c r="I108" i="155"/>
  <c r="M106" i="155"/>
  <c r="BQ106" i="155"/>
  <c r="BR106" i="155" s="1"/>
  <c r="O106" i="155"/>
  <c r="V106" i="155"/>
  <c r="W106" i="155" s="1"/>
  <c r="AB106" i="155"/>
  <c r="AC106" i="155" s="1"/>
  <c r="AH106" i="155"/>
  <c r="AI106" i="155" s="1"/>
  <c r="AN106" i="155"/>
  <c r="AO106" i="155" s="1"/>
  <c r="BA106" i="155"/>
  <c r="BB106" i="155" s="1"/>
  <c r="BG106" i="155"/>
  <c r="BH106" i="155" s="1"/>
  <c r="BL106" i="155"/>
  <c r="P106" i="155"/>
  <c r="AV106" i="155"/>
  <c r="AW106" i="155" s="1"/>
  <c r="BN106" i="155"/>
  <c r="BO106" i="155" s="1"/>
  <c r="R106" i="155"/>
  <c r="T106" i="155" s="1"/>
  <c r="Y106" i="155"/>
  <c r="Z106" i="155" s="1"/>
  <c r="AE106" i="155"/>
  <c r="AF106" i="155" s="1"/>
  <c r="AK106" i="155"/>
  <c r="AL106" i="155" s="1"/>
  <c r="AQ106" i="155"/>
  <c r="AR106" i="155" s="1"/>
  <c r="BD106" i="155"/>
  <c r="BE106" i="155" s="1"/>
  <c r="I111" i="153"/>
  <c r="R106" i="153"/>
  <c r="T106" i="153" s="1"/>
  <c r="Y106" i="153"/>
  <c r="Z106" i="153" s="1"/>
  <c r="AE106" i="153"/>
  <c r="AF106" i="153" s="1"/>
  <c r="AK106" i="153"/>
  <c r="AL106" i="153" s="1"/>
  <c r="AQ106" i="153"/>
  <c r="AR106" i="153" s="1"/>
  <c r="BD106" i="153"/>
  <c r="BE106" i="153" s="1"/>
  <c r="M106" i="153"/>
  <c r="BQ106" i="153"/>
  <c r="BR106" i="153" s="1"/>
  <c r="O106" i="153"/>
  <c r="V106" i="153"/>
  <c r="W106" i="153" s="1"/>
  <c r="AB106" i="153"/>
  <c r="AC106" i="153" s="1"/>
  <c r="AH106" i="153"/>
  <c r="AI106" i="153" s="1"/>
  <c r="AN106" i="153"/>
  <c r="AO106" i="153" s="1"/>
  <c r="BA106" i="153"/>
  <c r="BB106" i="153" s="1"/>
  <c r="BG106" i="153"/>
  <c r="BH106" i="153" s="1"/>
  <c r="AV106" i="153"/>
  <c r="AW106" i="153" s="1"/>
  <c r="BN106" i="153"/>
  <c r="BO106" i="153" s="1"/>
  <c r="P106" i="153"/>
  <c r="BL106" i="153"/>
  <c r="K107" i="153"/>
  <c r="P106" i="152"/>
  <c r="AV106" i="152"/>
  <c r="AW106" i="152" s="1"/>
  <c r="BN106" i="152"/>
  <c r="BO106" i="152" s="1"/>
  <c r="R106" i="152"/>
  <c r="T106" i="152" s="1"/>
  <c r="Y106" i="152"/>
  <c r="Z106" i="152" s="1"/>
  <c r="AE106" i="152"/>
  <c r="AF106" i="152" s="1"/>
  <c r="AK106" i="152"/>
  <c r="AL106" i="152" s="1"/>
  <c r="AQ106" i="152"/>
  <c r="AR106" i="152" s="1"/>
  <c r="BD106" i="152"/>
  <c r="BE106" i="152" s="1"/>
  <c r="M106" i="152"/>
  <c r="BQ106" i="152"/>
  <c r="BR106" i="152" s="1"/>
  <c r="O106" i="152"/>
  <c r="V106" i="152"/>
  <c r="W106" i="152" s="1"/>
  <c r="AB106" i="152"/>
  <c r="AC106" i="152" s="1"/>
  <c r="AH106" i="152"/>
  <c r="AI106" i="152" s="1"/>
  <c r="AN106" i="152"/>
  <c r="AO106" i="152" s="1"/>
  <c r="BA106" i="152"/>
  <c r="BB106" i="152" s="1"/>
  <c r="BG106" i="152"/>
  <c r="BH106" i="152" s="1"/>
  <c r="BL106" i="152"/>
  <c r="K107" i="152"/>
  <c r="BQ104" i="151"/>
  <c r="BR104" i="151" s="1"/>
  <c r="AY104" i="151"/>
  <c r="BD104" i="151"/>
  <c r="BE104" i="151" s="1"/>
  <c r="AQ104" i="151"/>
  <c r="AR104" i="151" s="1"/>
  <c r="AK104" i="151"/>
  <c r="AL104" i="151" s="1"/>
  <c r="AE104" i="151"/>
  <c r="AF104" i="151" s="1"/>
  <c r="Y104" i="151"/>
  <c r="Z104" i="151" s="1"/>
  <c r="R104" i="151"/>
  <c r="T104" i="151" s="1"/>
  <c r="AV104" i="151"/>
  <c r="AW104" i="151" s="1"/>
  <c r="P104" i="151"/>
  <c r="BA104" i="151"/>
  <c r="BB104" i="151" s="1"/>
  <c r="AB104" i="151"/>
  <c r="AC104" i="151" s="1"/>
  <c r="AT104" i="151"/>
  <c r="V104" i="151"/>
  <c r="W104" i="151" s="1"/>
  <c r="AN104" i="151"/>
  <c r="AO104" i="151" s="1"/>
  <c r="O104" i="151"/>
  <c r="BG104" i="151"/>
  <c r="BH104" i="151" s="1"/>
  <c r="AH104" i="151"/>
  <c r="AI104" i="151" s="1"/>
  <c r="M104" i="151"/>
  <c r="BN104" i="151"/>
  <c r="BO104" i="151" s="1"/>
  <c r="BL104" i="151"/>
  <c r="I106" i="151"/>
  <c r="K105" i="151"/>
  <c r="BD103" i="150"/>
  <c r="BE103" i="150" s="1"/>
  <c r="AQ103" i="150"/>
  <c r="AR103" i="150" s="1"/>
  <c r="AK103" i="150"/>
  <c r="AL103" i="150" s="1"/>
  <c r="AE103" i="150"/>
  <c r="AF103" i="150" s="1"/>
  <c r="Y103" i="150"/>
  <c r="Z103" i="150" s="1"/>
  <c r="R103" i="150"/>
  <c r="T103" i="150" s="1"/>
  <c r="BG103" i="150"/>
  <c r="BH103" i="150" s="1"/>
  <c r="BA103" i="150"/>
  <c r="BB103" i="150" s="1"/>
  <c r="AT103" i="150"/>
  <c r="AN103" i="150"/>
  <c r="AO103" i="150" s="1"/>
  <c r="AH103" i="150"/>
  <c r="AI103" i="150" s="1"/>
  <c r="AB103" i="150"/>
  <c r="AC103" i="150" s="1"/>
  <c r="V103" i="150"/>
  <c r="W103" i="150" s="1"/>
  <c r="O103" i="150"/>
  <c r="BQ103" i="150"/>
  <c r="BR103" i="150" s="1"/>
  <c r="P103" i="150"/>
  <c r="AY103" i="150"/>
  <c r="AV103" i="150"/>
  <c r="AW103" i="150" s="1"/>
  <c r="BN103" i="150"/>
  <c r="BO103" i="150" s="1"/>
  <c r="M103" i="150"/>
  <c r="BL103" i="150"/>
  <c r="K104" i="150"/>
  <c r="I107" i="150"/>
  <c r="AV105" i="149"/>
  <c r="AW105" i="149" s="1"/>
  <c r="P105" i="149"/>
  <c r="AN105" i="149"/>
  <c r="AO105" i="149" s="1"/>
  <c r="Y105" i="149"/>
  <c r="Z105" i="149" s="1"/>
  <c r="O105" i="149"/>
  <c r="BQ105" i="149"/>
  <c r="BR105" i="149" s="1"/>
  <c r="BA105" i="149"/>
  <c r="BB105" i="149" s="1"/>
  <c r="AK105" i="149"/>
  <c r="AL105" i="149" s="1"/>
  <c r="AB105" i="149"/>
  <c r="AC105" i="149" s="1"/>
  <c r="AY105" i="149"/>
  <c r="AH105" i="149"/>
  <c r="AI105" i="149" s="1"/>
  <c r="R105" i="149"/>
  <c r="T105" i="149" s="1"/>
  <c r="AT105" i="149"/>
  <c r="AE105" i="149"/>
  <c r="AF105" i="149" s="1"/>
  <c r="BG105" i="149"/>
  <c r="BH105" i="149" s="1"/>
  <c r="BD105" i="149"/>
  <c r="BE105" i="149" s="1"/>
  <c r="V105" i="149"/>
  <c r="W105" i="149" s="1"/>
  <c r="AQ105" i="149"/>
  <c r="AR105" i="149" s="1"/>
  <c r="BN105" i="149"/>
  <c r="BO105" i="149" s="1"/>
  <c r="M105" i="149"/>
  <c r="BL105" i="149"/>
  <c r="K106" i="149"/>
  <c r="I107" i="149"/>
  <c r="K105" i="147"/>
  <c r="I106" i="147"/>
  <c r="AV104" i="147"/>
  <c r="AW104" i="147" s="1"/>
  <c r="P104" i="147"/>
  <c r="BG104" i="147"/>
  <c r="BH104" i="147" s="1"/>
  <c r="BA104" i="147"/>
  <c r="BB104" i="147" s="1"/>
  <c r="AT104" i="147"/>
  <c r="AN104" i="147"/>
  <c r="AO104" i="147" s="1"/>
  <c r="AH104" i="147"/>
  <c r="AI104" i="147" s="1"/>
  <c r="AB104" i="147"/>
  <c r="AC104" i="147" s="1"/>
  <c r="V104" i="147"/>
  <c r="W104" i="147" s="1"/>
  <c r="O104" i="147"/>
  <c r="BQ104" i="147"/>
  <c r="BR104" i="147" s="1"/>
  <c r="AY104" i="147"/>
  <c r="AQ104" i="147"/>
  <c r="AR104" i="147" s="1"/>
  <c r="R104" i="147"/>
  <c r="T104" i="147" s="1"/>
  <c r="AK104" i="147"/>
  <c r="AL104" i="147" s="1"/>
  <c r="AE104" i="147"/>
  <c r="AF104" i="147" s="1"/>
  <c r="Y104" i="147"/>
  <c r="Z104" i="147" s="1"/>
  <c r="BD104" i="147"/>
  <c r="BE104" i="147" s="1"/>
  <c r="BK104" i="147"/>
  <c r="M104" i="147"/>
  <c r="BN104" i="147"/>
  <c r="BO104" i="147" s="1"/>
  <c r="BJ104" i="147"/>
  <c r="BL104" i="147" s="1"/>
  <c r="BQ103" i="146"/>
  <c r="BR103" i="146" s="1"/>
  <c r="AY103" i="146"/>
  <c r="BD103" i="146"/>
  <c r="BE103" i="146" s="1"/>
  <c r="AQ103" i="146"/>
  <c r="AR103" i="146" s="1"/>
  <c r="AK103" i="146"/>
  <c r="AL103" i="146" s="1"/>
  <c r="AE103" i="146"/>
  <c r="AF103" i="146" s="1"/>
  <c r="Y103" i="146"/>
  <c r="Z103" i="146" s="1"/>
  <c r="BA103" i="146"/>
  <c r="BB103" i="146" s="1"/>
  <c r="AN103" i="146"/>
  <c r="AO103" i="146" s="1"/>
  <c r="P103" i="146"/>
  <c r="AV103" i="146"/>
  <c r="AW103" i="146" s="1"/>
  <c r="V103" i="146"/>
  <c r="W103" i="146" s="1"/>
  <c r="O103" i="146"/>
  <c r="BG103" i="146"/>
  <c r="BH103" i="146" s="1"/>
  <c r="AT103" i="146"/>
  <c r="AB103" i="146"/>
  <c r="AC103" i="146" s="1"/>
  <c r="AH103" i="146"/>
  <c r="AI103" i="146" s="1"/>
  <c r="R103" i="146"/>
  <c r="T103" i="146" s="1"/>
  <c r="BK103" i="146"/>
  <c r="BJ103" i="146"/>
  <c r="BL103" i="146" s="1"/>
  <c r="BN103" i="146"/>
  <c r="BO103" i="146" s="1"/>
  <c r="M103" i="146"/>
  <c r="I105" i="146"/>
  <c r="K104" i="146"/>
  <c r="M101" i="126"/>
  <c r="BK101" i="126"/>
  <c r="BJ101" i="126"/>
  <c r="BL101" i="126" s="1"/>
  <c r="BN101" i="126"/>
  <c r="BO101" i="126" s="1"/>
  <c r="P101" i="126"/>
  <c r="V101" i="126"/>
  <c r="W101" i="126" s="1"/>
  <c r="O101" i="126"/>
  <c r="AY101" i="126"/>
  <c r="AV101" i="126"/>
  <c r="AW101" i="126" s="1"/>
  <c r="AN101" i="126"/>
  <c r="AO101" i="126" s="1"/>
  <c r="AE101" i="126"/>
  <c r="AF101" i="126" s="1"/>
  <c r="Y101" i="126"/>
  <c r="Z101" i="126" s="1"/>
  <c r="BD101" i="126"/>
  <c r="BE101" i="126" s="1"/>
  <c r="AK101" i="126"/>
  <c r="AL101" i="126" s="1"/>
  <c r="AH101" i="126"/>
  <c r="AI101" i="126" s="1"/>
  <c r="R101" i="126"/>
  <c r="T101" i="126" s="1"/>
  <c r="AB101" i="126"/>
  <c r="AC101" i="126" s="1"/>
  <c r="BG101" i="126"/>
  <c r="BH101" i="126" s="1"/>
  <c r="AQ101" i="126"/>
  <c r="AR101" i="126" s="1"/>
  <c r="BQ101" i="126"/>
  <c r="BR101" i="126" s="1"/>
  <c r="AT101" i="126"/>
  <c r="BA101" i="126"/>
  <c r="BB101" i="126" s="1"/>
  <c r="K102" i="126"/>
  <c r="I101" i="17"/>
  <c r="K100" i="17"/>
  <c r="BN101" i="115"/>
  <c r="BO101" i="115" s="1"/>
  <c r="AV101" i="115"/>
  <c r="AW101" i="115" s="1"/>
  <c r="M101" i="115"/>
  <c r="BK101" i="115"/>
  <c r="BJ101" i="115"/>
  <c r="BL101" i="115" s="1"/>
  <c r="P101" i="115"/>
  <c r="BA101" i="115"/>
  <c r="BB101" i="115" s="1"/>
  <c r="AK101" i="115"/>
  <c r="AL101" i="115" s="1"/>
  <c r="AT101" i="115"/>
  <c r="Y101" i="115"/>
  <c r="Z101" i="115" s="1"/>
  <c r="AH101" i="115"/>
  <c r="AI101" i="115" s="1"/>
  <c r="AY101" i="115"/>
  <c r="AQ101" i="115"/>
  <c r="AR101" i="115" s="1"/>
  <c r="R101" i="115"/>
  <c r="T101" i="115" s="1"/>
  <c r="O101" i="115"/>
  <c r="BQ101" i="115"/>
  <c r="BR101" i="115" s="1"/>
  <c r="BG101" i="115"/>
  <c r="BH101" i="115" s="1"/>
  <c r="AB101" i="115"/>
  <c r="AC101" i="115" s="1"/>
  <c r="BD101" i="115"/>
  <c r="BE101" i="115" s="1"/>
  <c r="AN101" i="115"/>
  <c r="AO101" i="115" s="1"/>
  <c r="V101" i="115"/>
  <c r="W101" i="115" s="1"/>
  <c r="AE101" i="115"/>
  <c r="AF101" i="115" s="1"/>
  <c r="AE100" i="118"/>
  <c r="AF100" i="118" s="1"/>
  <c r="M100" i="118"/>
  <c r="K101" i="118"/>
  <c r="BN100" i="118"/>
  <c r="BO100" i="118" s="1"/>
  <c r="AN100" i="118"/>
  <c r="AO100" i="118" s="1"/>
  <c r="AV100" i="118"/>
  <c r="AW100" i="118" s="1"/>
  <c r="BD100" i="118"/>
  <c r="BE100" i="118" s="1"/>
  <c r="AK100" i="118"/>
  <c r="AL100" i="118" s="1"/>
  <c r="O100" i="118"/>
  <c r="BG100" i="118"/>
  <c r="BH100" i="118" s="1"/>
  <c r="AH100" i="118"/>
  <c r="AI100" i="118" s="1"/>
  <c r="BQ100" i="118"/>
  <c r="BR100" i="118" s="1"/>
  <c r="P100" i="118"/>
  <c r="Y100" i="118"/>
  <c r="Z100" i="118" s="1"/>
  <c r="AT100" i="118"/>
  <c r="AQ100" i="118"/>
  <c r="AR100" i="118" s="1"/>
  <c r="V100" i="118"/>
  <c r="W100" i="118" s="1"/>
  <c r="BA100" i="118"/>
  <c r="BB100" i="118" s="1"/>
  <c r="AY100" i="118"/>
  <c r="R100" i="118"/>
  <c r="T100" i="118" s="1"/>
  <c r="AB100" i="118"/>
  <c r="AC100" i="118" s="1"/>
  <c r="I105" i="104"/>
  <c r="BN100" i="15"/>
  <c r="BO100" i="15" s="1"/>
  <c r="BL100" i="15"/>
  <c r="AE100" i="15"/>
  <c r="AF100" i="15" s="1"/>
  <c r="AH100" i="15"/>
  <c r="AI100" i="15" s="1"/>
  <c r="AQ100" i="15"/>
  <c r="AR100" i="15" s="1"/>
  <c r="AK100" i="15"/>
  <c r="AL100" i="15" s="1"/>
  <c r="BA100" i="15"/>
  <c r="BB100" i="15" s="1"/>
  <c r="AY100" i="15"/>
  <c r="AN100" i="15"/>
  <c r="AO100" i="15" s="1"/>
  <c r="O100" i="15"/>
  <c r="P100" i="15"/>
  <c r="Y100" i="15"/>
  <c r="Z100" i="15" s="1"/>
  <c r="AT100" i="15"/>
  <c r="AB100" i="15"/>
  <c r="AC100" i="15" s="1"/>
  <c r="BD100" i="15"/>
  <c r="BE100" i="15" s="1"/>
  <c r="M100" i="15"/>
  <c r="AV100" i="15"/>
  <c r="AW100" i="15" s="1"/>
  <c r="BQ100" i="15"/>
  <c r="BR100" i="15" s="1"/>
  <c r="BG100" i="15"/>
  <c r="BH100" i="15" s="1"/>
  <c r="V100" i="15"/>
  <c r="W100" i="15" s="1"/>
  <c r="R100" i="15"/>
  <c r="T100" i="15" s="1"/>
  <c r="K101" i="15"/>
  <c r="AN102" i="64"/>
  <c r="AO102" i="64" s="1"/>
  <c r="AK102" i="64"/>
  <c r="AL102" i="64" s="1"/>
  <c r="R102" i="64"/>
  <c r="T102" i="64" s="1"/>
  <c r="O102" i="64"/>
  <c r="P102" i="64"/>
  <c r="M102" i="64"/>
  <c r="AY102" i="64"/>
  <c r="AH102" i="64"/>
  <c r="AI102" i="64" s="1"/>
  <c r="AE102" i="64"/>
  <c r="AF102" i="64" s="1"/>
  <c r="BQ102" i="64"/>
  <c r="BR102" i="64" s="1"/>
  <c r="BG102" i="64"/>
  <c r="BH102" i="64" s="1"/>
  <c r="AB102" i="64"/>
  <c r="AC102" i="64" s="1"/>
  <c r="AV102" i="64"/>
  <c r="AW102" i="64" s="1"/>
  <c r="AQ102" i="64"/>
  <c r="AR102" i="64" s="1"/>
  <c r="Y102" i="64"/>
  <c r="Z102" i="64" s="1"/>
  <c r="V102" i="64"/>
  <c r="W102" i="64" s="1"/>
  <c r="BD102" i="64"/>
  <c r="BE102" i="64" s="1"/>
  <c r="BA102" i="64"/>
  <c r="BB102" i="64" s="1"/>
  <c r="AT102" i="64"/>
  <c r="BN102" i="64"/>
  <c r="BO102" i="64" s="1"/>
  <c r="BL102" i="64"/>
  <c r="K103" i="64"/>
  <c r="AB99" i="120"/>
  <c r="AC99" i="120" s="1"/>
  <c r="R99" i="120"/>
  <c r="T99" i="120" s="1"/>
  <c r="AV99" i="120"/>
  <c r="AW99" i="120" s="1"/>
  <c r="AE99" i="120"/>
  <c r="AF99" i="120" s="1"/>
  <c r="AT99" i="120"/>
  <c r="BD99" i="120"/>
  <c r="BE99" i="120" s="1"/>
  <c r="AH99" i="120"/>
  <c r="AI99" i="120" s="1"/>
  <c r="BA99" i="120"/>
  <c r="BB99" i="120" s="1"/>
  <c r="P99" i="120"/>
  <c r="BG99" i="120"/>
  <c r="BH99" i="120" s="1"/>
  <c r="AK99" i="120"/>
  <c r="AL99" i="120" s="1"/>
  <c r="O99" i="120"/>
  <c r="V99" i="120"/>
  <c r="W99" i="120" s="1"/>
  <c r="Y99" i="120"/>
  <c r="Z99" i="120" s="1"/>
  <c r="AQ99" i="120"/>
  <c r="AR99" i="120" s="1"/>
  <c r="AY99" i="120"/>
  <c r="AN99" i="120"/>
  <c r="AO99" i="120" s="1"/>
  <c r="BQ99" i="120"/>
  <c r="BR99" i="120" s="1"/>
  <c r="K100" i="120"/>
  <c r="M99" i="120"/>
  <c r="BN99" i="120"/>
  <c r="BO99" i="120" s="1"/>
  <c r="BN103" i="105"/>
  <c r="BO103" i="105" s="1"/>
  <c r="BJ103" i="105"/>
  <c r="BL103" i="105" s="1"/>
  <c r="AH103" i="105"/>
  <c r="AI103" i="105" s="1"/>
  <c r="AT103" i="105"/>
  <c r="R103" i="105"/>
  <c r="T103" i="105" s="1"/>
  <c r="BA103" i="105"/>
  <c r="BB103" i="105" s="1"/>
  <c r="O103" i="105"/>
  <c r="AQ103" i="105"/>
  <c r="AR103" i="105" s="1"/>
  <c r="Y103" i="105"/>
  <c r="Z103" i="105" s="1"/>
  <c r="V103" i="105"/>
  <c r="W103" i="105" s="1"/>
  <c r="BD103" i="105"/>
  <c r="BE103" i="105" s="1"/>
  <c r="M103" i="105"/>
  <c r="BK103" i="105"/>
  <c r="P103" i="105"/>
  <c r="AN103" i="105"/>
  <c r="AO103" i="105" s="1"/>
  <c r="AE103" i="105"/>
  <c r="AF103" i="105" s="1"/>
  <c r="AK103" i="105"/>
  <c r="AL103" i="105" s="1"/>
  <c r="BG103" i="105"/>
  <c r="BH103" i="105" s="1"/>
  <c r="BQ103" i="105"/>
  <c r="BR103" i="105" s="1"/>
  <c r="AV103" i="105"/>
  <c r="AW103" i="105" s="1"/>
  <c r="AY103" i="105"/>
  <c r="AB103" i="105"/>
  <c r="AC103" i="105" s="1"/>
  <c r="K104" i="105"/>
  <c r="I105" i="15"/>
  <c r="I106" i="126"/>
  <c r="I106" i="63"/>
  <c r="I103" i="115"/>
  <c r="K102" i="115"/>
  <c r="I107" i="64"/>
  <c r="K100" i="13"/>
  <c r="I101" i="13"/>
  <c r="Y101" i="98"/>
  <c r="Z101" i="98" s="1"/>
  <c r="K102" i="98"/>
  <c r="R101" i="98"/>
  <c r="T101" i="98" s="1"/>
  <c r="M101" i="98"/>
  <c r="O101" i="98"/>
  <c r="BN101" i="98"/>
  <c r="BO101" i="98" s="1"/>
  <c r="BJ101" i="98"/>
  <c r="BL101" i="98" s="1"/>
  <c r="BK101" i="98"/>
  <c r="AB101" i="98"/>
  <c r="AC101" i="98" s="1"/>
  <c r="V101" i="98"/>
  <c r="W101" i="98" s="1"/>
  <c r="AY101" i="98"/>
  <c r="BD101" i="98"/>
  <c r="BE101" i="98" s="1"/>
  <c r="AN101" i="98"/>
  <c r="AO101" i="98" s="1"/>
  <c r="BG101" i="98"/>
  <c r="BH101" i="98" s="1"/>
  <c r="BA101" i="98"/>
  <c r="BB101" i="98" s="1"/>
  <c r="AK101" i="98"/>
  <c r="AL101" i="98" s="1"/>
  <c r="P101" i="98"/>
  <c r="AV101" i="98"/>
  <c r="AW101" i="98" s="1"/>
  <c r="AH101" i="98"/>
  <c r="AI101" i="98" s="1"/>
  <c r="BQ101" i="98"/>
  <c r="BR101" i="98" s="1"/>
  <c r="AQ101" i="98"/>
  <c r="AR101" i="98" s="1"/>
  <c r="AE101" i="98"/>
  <c r="AF101" i="98" s="1"/>
  <c r="AT101" i="98"/>
  <c r="BN102" i="135"/>
  <c r="BO102" i="135" s="1"/>
  <c r="M102" i="135"/>
  <c r="V102" i="135"/>
  <c r="W102" i="135" s="1"/>
  <c r="BG102" i="135"/>
  <c r="BH102" i="135" s="1"/>
  <c r="BD102" i="135"/>
  <c r="BE102" i="135" s="1"/>
  <c r="BQ102" i="135"/>
  <c r="BR102" i="135" s="1"/>
  <c r="O102" i="135"/>
  <c r="AT102" i="135"/>
  <c r="AQ102" i="135"/>
  <c r="AR102" i="135" s="1"/>
  <c r="AB102" i="135"/>
  <c r="AC102" i="135" s="1"/>
  <c r="AV102" i="135"/>
  <c r="AW102" i="135" s="1"/>
  <c r="AE102" i="135"/>
  <c r="AF102" i="135" s="1"/>
  <c r="P102" i="135"/>
  <c r="BA102" i="135"/>
  <c r="BB102" i="135" s="1"/>
  <c r="AN102" i="135"/>
  <c r="AO102" i="135" s="1"/>
  <c r="AY102" i="135"/>
  <c r="AH102" i="135"/>
  <c r="AI102" i="135" s="1"/>
  <c r="R102" i="135"/>
  <c r="T102" i="135" s="1"/>
  <c r="Y102" i="135"/>
  <c r="Z102" i="135" s="1"/>
  <c r="AK102" i="135"/>
  <c r="AL102" i="135" s="1"/>
  <c r="BL102" i="135"/>
  <c r="I103" i="96"/>
  <c r="K102" i="96"/>
  <c r="I103" i="110"/>
  <c r="K102" i="110"/>
  <c r="I110" i="95"/>
  <c r="I108" i="132"/>
  <c r="M100" i="101"/>
  <c r="O100" i="101"/>
  <c r="AE100" i="101"/>
  <c r="AF100" i="101" s="1"/>
  <c r="AT100" i="101"/>
  <c r="R100" i="101"/>
  <c r="T100" i="101" s="1"/>
  <c r="AB100" i="101"/>
  <c r="AC100" i="101" s="1"/>
  <c r="AQ100" i="101"/>
  <c r="AR100" i="101" s="1"/>
  <c r="AK100" i="101"/>
  <c r="AL100" i="101" s="1"/>
  <c r="AV100" i="101"/>
  <c r="AW100" i="101" s="1"/>
  <c r="AY100" i="101"/>
  <c r="AN100" i="101"/>
  <c r="AO100" i="101" s="1"/>
  <c r="Y100" i="101"/>
  <c r="Z100" i="101" s="1"/>
  <c r="BG100" i="101"/>
  <c r="BH100" i="101" s="1"/>
  <c r="P100" i="101"/>
  <c r="BA100" i="101"/>
  <c r="BB100" i="101" s="1"/>
  <c r="V100" i="101"/>
  <c r="W100" i="101" s="1"/>
  <c r="BD100" i="101"/>
  <c r="BE100" i="101" s="1"/>
  <c r="BQ100" i="101"/>
  <c r="BR100" i="101" s="1"/>
  <c r="AH100" i="101"/>
  <c r="AI100" i="101" s="1"/>
  <c r="BN101" i="114"/>
  <c r="BO101" i="114" s="1"/>
  <c r="M101" i="114"/>
  <c r="BJ101" i="114"/>
  <c r="BL101" i="114" s="1"/>
  <c r="BK101" i="114"/>
  <c r="BG101" i="114"/>
  <c r="BH101" i="114" s="1"/>
  <c r="AQ101" i="114"/>
  <c r="AR101" i="114" s="1"/>
  <c r="BQ101" i="114"/>
  <c r="BR101" i="114" s="1"/>
  <c r="AT101" i="114"/>
  <c r="P101" i="114"/>
  <c r="AN101" i="114"/>
  <c r="AO101" i="114" s="1"/>
  <c r="O101" i="114"/>
  <c r="BD101" i="114"/>
  <c r="BE101" i="114" s="1"/>
  <c r="AH101" i="114"/>
  <c r="AI101" i="114" s="1"/>
  <c r="BA101" i="114"/>
  <c r="BB101" i="114" s="1"/>
  <c r="AE101" i="114"/>
  <c r="AF101" i="114" s="1"/>
  <c r="V101" i="114"/>
  <c r="W101" i="114" s="1"/>
  <c r="AY101" i="114"/>
  <c r="R101" i="114"/>
  <c r="T101" i="114" s="1"/>
  <c r="AK101" i="114"/>
  <c r="AL101" i="114" s="1"/>
  <c r="Y101" i="114"/>
  <c r="Z101" i="114" s="1"/>
  <c r="AV101" i="114"/>
  <c r="AW101" i="114" s="1"/>
  <c r="AB101" i="114"/>
  <c r="AC101" i="114" s="1"/>
  <c r="K102" i="114"/>
  <c r="K100" i="66"/>
  <c r="I101" i="66"/>
  <c r="M99" i="13"/>
  <c r="BL99" i="13"/>
  <c r="BN99" i="13"/>
  <c r="BO99" i="13" s="1"/>
  <c r="AY99" i="13"/>
  <c r="O99" i="13"/>
  <c r="AQ99" i="13"/>
  <c r="AR99" i="13" s="1"/>
  <c r="V99" i="13"/>
  <c r="W99" i="13" s="1"/>
  <c r="AN99" i="13"/>
  <c r="AO99" i="13" s="1"/>
  <c r="AT99" i="13"/>
  <c r="AK99" i="13"/>
  <c r="AL99" i="13" s="1"/>
  <c r="R99" i="13"/>
  <c r="T99" i="13" s="1"/>
  <c r="AB99" i="13"/>
  <c r="AC99" i="13" s="1"/>
  <c r="BQ99" i="13"/>
  <c r="BR99" i="13" s="1"/>
  <c r="AV99" i="13"/>
  <c r="AW99" i="13" s="1"/>
  <c r="Y99" i="13"/>
  <c r="Z99" i="13" s="1"/>
  <c r="BD99" i="13"/>
  <c r="BE99" i="13" s="1"/>
  <c r="AE99" i="13"/>
  <c r="AF99" i="13" s="1"/>
  <c r="BG99" i="13"/>
  <c r="BH99" i="13" s="1"/>
  <c r="AH99" i="13"/>
  <c r="AI99" i="13" s="1"/>
  <c r="P99" i="13"/>
  <c r="BA99" i="13"/>
  <c r="BB99" i="13" s="1"/>
  <c r="I108" i="105"/>
  <c r="M105" i="124"/>
  <c r="BK105" i="124"/>
  <c r="BJ105" i="124"/>
  <c r="BL105" i="124" s="1"/>
  <c r="K106" i="124"/>
  <c r="BN105" i="124"/>
  <c r="BO105" i="124" s="1"/>
  <c r="R105" i="124"/>
  <c r="T105" i="124" s="1"/>
  <c r="AY105" i="124"/>
  <c r="Y105" i="124"/>
  <c r="Z105" i="124" s="1"/>
  <c r="AH105" i="124"/>
  <c r="AI105" i="124" s="1"/>
  <c r="V105" i="124"/>
  <c r="W105" i="124" s="1"/>
  <c r="AB105" i="124"/>
  <c r="AC105" i="124" s="1"/>
  <c r="P105" i="124"/>
  <c r="AK105" i="124"/>
  <c r="AL105" i="124" s="1"/>
  <c r="O105" i="124"/>
  <c r="BD105" i="124"/>
  <c r="BE105" i="124" s="1"/>
  <c r="AQ105" i="124"/>
  <c r="AR105" i="124" s="1"/>
  <c r="AN105" i="124"/>
  <c r="AO105" i="124" s="1"/>
  <c r="AT105" i="124"/>
  <c r="BG105" i="124"/>
  <c r="BH105" i="124" s="1"/>
  <c r="AE105" i="124"/>
  <c r="AF105" i="124" s="1"/>
  <c r="BQ105" i="124"/>
  <c r="BR105" i="124" s="1"/>
  <c r="AV105" i="124"/>
  <c r="AW105" i="124" s="1"/>
  <c r="BA105" i="124"/>
  <c r="BB105" i="124" s="1"/>
  <c r="I104" i="135"/>
  <c r="K103" i="135"/>
  <c r="BQ101" i="96"/>
  <c r="BR101" i="96" s="1"/>
  <c r="BN101" i="96"/>
  <c r="BO101" i="96" s="1"/>
  <c r="Y101" i="96"/>
  <c r="Z101" i="96" s="1"/>
  <c r="AB101" i="96"/>
  <c r="AC101" i="96" s="1"/>
  <c r="BG101" i="96"/>
  <c r="BH101" i="96" s="1"/>
  <c r="AH101" i="96"/>
  <c r="AI101" i="96" s="1"/>
  <c r="AK101" i="96"/>
  <c r="AL101" i="96" s="1"/>
  <c r="AV101" i="96"/>
  <c r="AW101" i="96" s="1"/>
  <c r="BL101" i="96"/>
  <c r="O101" i="96"/>
  <c r="AE101" i="96"/>
  <c r="AF101" i="96" s="1"/>
  <c r="M101" i="96"/>
  <c r="P101" i="96"/>
  <c r="BA101" i="96"/>
  <c r="BB101" i="96" s="1"/>
  <c r="AT101" i="96"/>
  <c r="V101" i="96"/>
  <c r="W101" i="96" s="1"/>
  <c r="AQ101" i="96"/>
  <c r="AR101" i="96" s="1"/>
  <c r="BD101" i="96"/>
  <c r="BE101" i="96" s="1"/>
  <c r="R101" i="96"/>
  <c r="T101" i="96" s="1"/>
  <c r="AN101" i="96"/>
  <c r="AO101" i="96" s="1"/>
  <c r="BJ101" i="110"/>
  <c r="BL101" i="110" s="1"/>
  <c r="M101" i="110"/>
  <c r="BN101" i="110"/>
  <c r="BO101" i="110" s="1"/>
  <c r="BK101" i="110"/>
  <c r="AY101" i="110"/>
  <c r="AH101" i="110"/>
  <c r="AI101" i="110" s="1"/>
  <c r="O101" i="110"/>
  <c r="BD101" i="110"/>
  <c r="BE101" i="110" s="1"/>
  <c r="BG101" i="110"/>
  <c r="BH101" i="110" s="1"/>
  <c r="AB101" i="110"/>
  <c r="AC101" i="110" s="1"/>
  <c r="AQ101" i="110"/>
  <c r="AR101" i="110" s="1"/>
  <c r="AT101" i="110"/>
  <c r="BQ101" i="110"/>
  <c r="BR101" i="110" s="1"/>
  <c r="V101" i="110"/>
  <c r="W101" i="110" s="1"/>
  <c r="BA101" i="110"/>
  <c r="BB101" i="110" s="1"/>
  <c r="P101" i="110"/>
  <c r="AE101" i="110"/>
  <c r="AF101" i="110" s="1"/>
  <c r="AN101" i="110"/>
  <c r="AO101" i="110" s="1"/>
  <c r="AK101" i="110"/>
  <c r="AL101" i="110" s="1"/>
  <c r="AV101" i="110"/>
  <c r="AW101" i="110" s="1"/>
  <c r="Y101" i="110"/>
  <c r="Z101" i="110" s="1"/>
  <c r="R101" i="110"/>
  <c r="T101" i="110" s="1"/>
  <c r="M101" i="63"/>
  <c r="BL101" i="63"/>
  <c r="AT101" i="63"/>
  <c r="BD101" i="63"/>
  <c r="BE101" i="63" s="1"/>
  <c r="AK101" i="63"/>
  <c r="AL101" i="63" s="1"/>
  <c r="AB101" i="63"/>
  <c r="AC101" i="63" s="1"/>
  <c r="BN101" i="63"/>
  <c r="BO101" i="63" s="1"/>
  <c r="Y101" i="63"/>
  <c r="Z101" i="63" s="1"/>
  <c r="V101" i="63"/>
  <c r="W101" i="63" s="1"/>
  <c r="AE101" i="63"/>
  <c r="AF101" i="63" s="1"/>
  <c r="BA101" i="63"/>
  <c r="BB101" i="63" s="1"/>
  <c r="AH101" i="63"/>
  <c r="AI101" i="63" s="1"/>
  <c r="R101" i="63"/>
  <c r="T101" i="63" s="1"/>
  <c r="BQ101" i="63"/>
  <c r="BR101" i="63" s="1"/>
  <c r="AQ101" i="63"/>
  <c r="AR101" i="63" s="1"/>
  <c r="BG101" i="63"/>
  <c r="BH101" i="63" s="1"/>
  <c r="P101" i="63"/>
  <c r="AY101" i="63"/>
  <c r="AN101" i="63"/>
  <c r="AO101" i="63" s="1"/>
  <c r="O101" i="63"/>
  <c r="AV101" i="63"/>
  <c r="AW101" i="63" s="1"/>
  <c r="K102" i="63"/>
  <c r="M99" i="17"/>
  <c r="BN99" i="17"/>
  <c r="BO99" i="17" s="1"/>
  <c r="BL99" i="17"/>
  <c r="AB99" i="17"/>
  <c r="AC99" i="17" s="1"/>
  <c r="AQ99" i="17"/>
  <c r="AR99" i="17" s="1"/>
  <c r="AE99" i="17"/>
  <c r="AF99" i="17" s="1"/>
  <c r="AN99" i="17"/>
  <c r="AO99" i="17" s="1"/>
  <c r="AT99" i="17"/>
  <c r="R99" i="17"/>
  <c r="T99" i="17" s="1"/>
  <c r="O99" i="17"/>
  <c r="P99" i="17"/>
  <c r="Y99" i="17"/>
  <c r="Z99" i="17" s="1"/>
  <c r="V99" i="17"/>
  <c r="W99" i="17" s="1"/>
  <c r="AH99" i="17"/>
  <c r="AI99" i="17" s="1"/>
  <c r="AK99" i="17"/>
  <c r="AL99" i="17" s="1"/>
  <c r="AV99" i="17"/>
  <c r="AW99" i="17" s="1"/>
  <c r="BQ99" i="17"/>
  <c r="BR99" i="17" s="1"/>
  <c r="BD99" i="17"/>
  <c r="BE99" i="17" s="1"/>
  <c r="AY99" i="17"/>
  <c r="BA99" i="17"/>
  <c r="BB99" i="17" s="1"/>
  <c r="BG99" i="17"/>
  <c r="BH99" i="17" s="1"/>
  <c r="M103" i="136"/>
  <c r="BL103" i="136"/>
  <c r="BN103" i="136"/>
  <c r="BO103" i="136" s="1"/>
  <c r="AQ103" i="136"/>
  <c r="AR103" i="136" s="1"/>
  <c r="P103" i="136"/>
  <c r="AY103" i="136"/>
  <c r="AN103" i="136"/>
  <c r="AO103" i="136" s="1"/>
  <c r="O103" i="136"/>
  <c r="R103" i="136"/>
  <c r="T103" i="136" s="1"/>
  <c r="AB103" i="136"/>
  <c r="AC103" i="136" s="1"/>
  <c r="BG103" i="136"/>
  <c r="BH103" i="136" s="1"/>
  <c r="BA103" i="136"/>
  <c r="BB103" i="136" s="1"/>
  <c r="AT103" i="136"/>
  <c r="BD103" i="136"/>
  <c r="BE103" i="136" s="1"/>
  <c r="AH103" i="136"/>
  <c r="AI103" i="136" s="1"/>
  <c r="BQ103" i="136"/>
  <c r="BR103" i="136" s="1"/>
  <c r="AK103" i="136"/>
  <c r="AL103" i="136" s="1"/>
  <c r="AE103" i="136"/>
  <c r="AF103" i="136" s="1"/>
  <c r="V103" i="136"/>
  <c r="W103" i="136" s="1"/>
  <c r="AV103" i="136"/>
  <c r="AW103" i="136" s="1"/>
  <c r="Y103" i="136"/>
  <c r="Z103" i="136" s="1"/>
  <c r="K104" i="136"/>
  <c r="I102" i="101"/>
  <c r="K101" i="101"/>
  <c r="Y99" i="66"/>
  <c r="Z99" i="66" s="1"/>
  <c r="AV99" i="66"/>
  <c r="AW99" i="66" s="1"/>
  <c r="BN99" i="66"/>
  <c r="BO99" i="66" s="1"/>
  <c r="AH99" i="66"/>
  <c r="AI99" i="66" s="1"/>
  <c r="AK99" i="66"/>
  <c r="AL99" i="66" s="1"/>
  <c r="AY99" i="66"/>
  <c r="AE99" i="66"/>
  <c r="AF99" i="66" s="1"/>
  <c r="O99" i="66"/>
  <c r="BD99" i="66"/>
  <c r="BE99" i="66" s="1"/>
  <c r="BG99" i="66"/>
  <c r="BH99" i="66" s="1"/>
  <c r="AN99" i="66"/>
  <c r="AO99" i="66" s="1"/>
  <c r="BA99" i="66"/>
  <c r="BB99" i="66" s="1"/>
  <c r="AB99" i="66"/>
  <c r="AC99" i="66" s="1"/>
  <c r="V99" i="66"/>
  <c r="W99" i="66" s="1"/>
  <c r="P99" i="66"/>
  <c r="BQ99" i="66"/>
  <c r="BR99" i="66" s="1"/>
  <c r="M99" i="66"/>
  <c r="AQ99" i="66"/>
  <c r="AR99" i="66" s="1"/>
  <c r="R99" i="66"/>
  <c r="T99" i="66" s="1"/>
  <c r="AT99" i="66"/>
  <c r="BL99" i="66"/>
  <c r="I107" i="114"/>
  <c r="I107" i="136"/>
  <c r="Y103" i="99" l="1"/>
  <c r="Z103" i="99" s="1"/>
  <c r="AK103" i="99"/>
  <c r="AL103" i="99" s="1"/>
  <c r="V103" i="99"/>
  <c r="W103" i="99" s="1"/>
  <c r="BQ103" i="99"/>
  <c r="BR103" i="99" s="1"/>
  <c r="BJ103" i="99"/>
  <c r="BL103" i="99" s="1"/>
  <c r="BA103" i="99"/>
  <c r="BB103" i="99" s="1"/>
  <c r="O103" i="99"/>
  <c r="BK103" i="99"/>
  <c r="AB103" i="99"/>
  <c r="AC103" i="99" s="1"/>
  <c r="AT103" i="99"/>
  <c r="K104" i="99"/>
  <c r="AQ103" i="99"/>
  <c r="AR103" i="99" s="1"/>
  <c r="AY103" i="99"/>
  <c r="BG103" i="99"/>
  <c r="BH103" i="99" s="1"/>
  <c r="P103" i="99"/>
  <c r="BN103" i="99"/>
  <c r="BO103" i="99" s="1"/>
  <c r="AV103" i="99"/>
  <c r="AW103" i="99" s="1"/>
  <c r="AH103" i="99"/>
  <c r="AI103" i="99" s="1"/>
  <c r="M103" i="99"/>
  <c r="AE103" i="99"/>
  <c r="AF103" i="99" s="1"/>
  <c r="R103" i="99"/>
  <c r="T103" i="99" s="1"/>
  <c r="AN103" i="99"/>
  <c r="AO103" i="99" s="1"/>
  <c r="BD103" i="99"/>
  <c r="BE103" i="99" s="1"/>
  <c r="V103" i="132"/>
  <c r="W103" i="132" s="1"/>
  <c r="BG103" i="132"/>
  <c r="BH103" i="132" s="1"/>
  <c r="O103" i="132"/>
  <c r="BL103" i="132"/>
  <c r="AQ103" i="132"/>
  <c r="AR103" i="132" s="1"/>
  <c r="AN103" i="132"/>
  <c r="AO103" i="132" s="1"/>
  <c r="AB103" i="132"/>
  <c r="AC103" i="132" s="1"/>
  <c r="BN103" i="132"/>
  <c r="BO103" i="132" s="1"/>
  <c r="P103" i="132"/>
  <c r="AH103" i="132"/>
  <c r="AI103" i="132" s="1"/>
  <c r="BA103" i="132"/>
  <c r="BB103" i="132" s="1"/>
  <c r="AT103" i="132"/>
  <c r="BD103" i="132"/>
  <c r="BE103" i="132" s="1"/>
  <c r="AY103" i="132"/>
  <c r="Y103" i="132"/>
  <c r="Z103" i="132" s="1"/>
  <c r="AV103" i="132"/>
  <c r="AW103" i="132" s="1"/>
  <c r="AE103" i="132"/>
  <c r="AF103" i="132" s="1"/>
  <c r="AK103" i="132"/>
  <c r="AL103" i="132" s="1"/>
  <c r="BQ103" i="132"/>
  <c r="BR103" i="132" s="1"/>
  <c r="R103" i="132"/>
  <c r="T103" i="132" s="1"/>
  <c r="K104" i="132"/>
  <c r="M103" i="132"/>
  <c r="M105" i="107"/>
  <c r="AN105" i="107"/>
  <c r="AO105" i="107" s="1"/>
  <c r="AQ105" i="107"/>
  <c r="AR105" i="107" s="1"/>
  <c r="AT105" i="107"/>
  <c r="BJ105" i="107"/>
  <c r="BL105" i="107" s="1"/>
  <c r="V105" i="107"/>
  <c r="W105" i="107" s="1"/>
  <c r="BQ105" i="107"/>
  <c r="BR105" i="107" s="1"/>
  <c r="AE105" i="107"/>
  <c r="AF105" i="107" s="1"/>
  <c r="BK105" i="107"/>
  <c r="BG105" i="107"/>
  <c r="BH105" i="107" s="1"/>
  <c r="Y105" i="107"/>
  <c r="Z105" i="107" s="1"/>
  <c r="AY105" i="107"/>
  <c r="AH105" i="107"/>
  <c r="AI105" i="107" s="1"/>
  <c r="AV105" i="107"/>
  <c r="AW105" i="107" s="1"/>
  <c r="AK105" i="107"/>
  <c r="AL105" i="107" s="1"/>
  <c r="BA105" i="107"/>
  <c r="BB105" i="107" s="1"/>
  <c r="O105" i="107"/>
  <c r="BD105" i="107"/>
  <c r="BE105" i="107" s="1"/>
  <c r="R105" i="107"/>
  <c r="T105" i="107" s="1"/>
  <c r="P105" i="107"/>
  <c r="BN105" i="107"/>
  <c r="BO105" i="107" s="1"/>
  <c r="AB105" i="107"/>
  <c r="AC105" i="107" s="1"/>
  <c r="I107" i="107"/>
  <c r="K106" i="107"/>
  <c r="I108" i="156"/>
  <c r="K107" i="156"/>
  <c r="AY107" i="156" s="1"/>
  <c r="I108" i="106"/>
  <c r="BL104" i="133"/>
  <c r="AQ104" i="133"/>
  <c r="AR104" i="133" s="1"/>
  <c r="BQ104" i="133"/>
  <c r="BR104" i="133" s="1"/>
  <c r="R104" i="133"/>
  <c r="T104" i="133" s="1"/>
  <c r="M104" i="133"/>
  <c r="AT104" i="133"/>
  <c r="V104" i="133"/>
  <c r="W104" i="133" s="1"/>
  <c r="AB104" i="133"/>
  <c r="AC104" i="133" s="1"/>
  <c r="BN104" i="133"/>
  <c r="BO104" i="133" s="1"/>
  <c r="P104" i="133"/>
  <c r="AE104" i="133"/>
  <c r="AF104" i="133" s="1"/>
  <c r="AY104" i="133"/>
  <c r="AV104" i="133"/>
  <c r="AW104" i="133" s="1"/>
  <c r="O104" i="133"/>
  <c r="Y104" i="133"/>
  <c r="Z104" i="133" s="1"/>
  <c r="K105" i="133"/>
  <c r="AH104" i="133"/>
  <c r="AI104" i="133" s="1"/>
  <c r="AN104" i="133"/>
  <c r="AO104" i="133" s="1"/>
  <c r="BA104" i="133"/>
  <c r="BB104" i="133" s="1"/>
  <c r="BG104" i="133"/>
  <c r="BH104" i="133" s="1"/>
  <c r="AK104" i="133"/>
  <c r="AL104" i="133" s="1"/>
  <c r="BD104" i="133"/>
  <c r="BE104" i="133" s="1"/>
  <c r="AB106" i="156"/>
  <c r="AC106" i="156" s="1"/>
  <c r="AV106" i="156"/>
  <c r="AW106" i="156" s="1"/>
  <c r="AQ106" i="156"/>
  <c r="AR106" i="156" s="1"/>
  <c r="AH106" i="156"/>
  <c r="AI106" i="156" s="1"/>
  <c r="BN106" i="156"/>
  <c r="BO106" i="156" s="1"/>
  <c r="BD106" i="156"/>
  <c r="BE106" i="156" s="1"/>
  <c r="AN106" i="156"/>
  <c r="AO106" i="156" s="1"/>
  <c r="R106" i="156"/>
  <c r="T106" i="156" s="1"/>
  <c r="BA106" i="156"/>
  <c r="BB106" i="156" s="1"/>
  <c r="Y106" i="156"/>
  <c r="Z106" i="156" s="1"/>
  <c r="M106" i="156"/>
  <c r="O106" i="156"/>
  <c r="BG106" i="156"/>
  <c r="BH106" i="156" s="1"/>
  <c r="AE106" i="156"/>
  <c r="AF106" i="156" s="1"/>
  <c r="BQ106" i="156"/>
  <c r="BR106" i="156" s="1"/>
  <c r="V106" i="156"/>
  <c r="W106" i="156" s="1"/>
  <c r="P106" i="156"/>
  <c r="AK106" i="156"/>
  <c r="AL106" i="156" s="1"/>
  <c r="BL106" i="156"/>
  <c r="AH101" i="106"/>
  <c r="AI101" i="106" s="1"/>
  <c r="AB101" i="106"/>
  <c r="AC101" i="106" s="1"/>
  <c r="AK101" i="106"/>
  <c r="AL101" i="106" s="1"/>
  <c r="M101" i="106"/>
  <c r="Y101" i="106"/>
  <c r="Z101" i="106" s="1"/>
  <c r="BD101" i="106"/>
  <c r="BE101" i="106" s="1"/>
  <c r="AT101" i="106"/>
  <c r="BN101" i="106"/>
  <c r="BO101" i="106" s="1"/>
  <c r="V101" i="106"/>
  <c r="W101" i="106" s="1"/>
  <c r="BG101" i="106"/>
  <c r="BH101" i="106" s="1"/>
  <c r="O101" i="106"/>
  <c r="BK101" i="106"/>
  <c r="BA101" i="106"/>
  <c r="BB101" i="106" s="1"/>
  <c r="BQ101" i="106"/>
  <c r="BR101" i="106" s="1"/>
  <c r="P101" i="106"/>
  <c r="BJ101" i="106"/>
  <c r="BL101" i="106" s="1"/>
  <c r="AQ101" i="106"/>
  <c r="AR101" i="106" s="1"/>
  <c r="AY101" i="106"/>
  <c r="R101" i="106"/>
  <c r="T101" i="106" s="1"/>
  <c r="AE101" i="106"/>
  <c r="AF101" i="106" s="1"/>
  <c r="AV101" i="106"/>
  <c r="AW101" i="106" s="1"/>
  <c r="AN101" i="106"/>
  <c r="AO101" i="106" s="1"/>
  <c r="K102" i="106"/>
  <c r="M102" i="129"/>
  <c r="AT102" i="129"/>
  <c r="BG102" i="129"/>
  <c r="BH102" i="129" s="1"/>
  <c r="AB102" i="129"/>
  <c r="AC102" i="129" s="1"/>
  <c r="BD102" i="129"/>
  <c r="BE102" i="129" s="1"/>
  <c r="AQ102" i="129"/>
  <c r="AR102" i="129" s="1"/>
  <c r="P102" i="129"/>
  <c r="BL102" i="129"/>
  <c r="AN102" i="129"/>
  <c r="AO102" i="129" s="1"/>
  <c r="AK102" i="129"/>
  <c r="AL102" i="129" s="1"/>
  <c r="AE102" i="129"/>
  <c r="AF102" i="129" s="1"/>
  <c r="AH102" i="129"/>
  <c r="AI102" i="129" s="1"/>
  <c r="Y102" i="129"/>
  <c r="Z102" i="129" s="1"/>
  <c r="BA102" i="129"/>
  <c r="BB102" i="129" s="1"/>
  <c r="K103" i="129"/>
  <c r="AV102" i="129"/>
  <c r="AW102" i="129" s="1"/>
  <c r="AY102" i="129"/>
  <c r="V102" i="129"/>
  <c r="W102" i="129" s="1"/>
  <c r="BN102" i="129"/>
  <c r="BO102" i="129" s="1"/>
  <c r="R102" i="129"/>
  <c r="T102" i="129" s="1"/>
  <c r="O102" i="129"/>
  <c r="BQ102" i="129"/>
  <c r="BR102" i="129" s="1"/>
  <c r="BN100" i="95"/>
  <c r="BO100" i="95" s="1"/>
  <c r="BA100" i="95"/>
  <c r="BB100" i="95" s="1"/>
  <c r="AH100" i="95"/>
  <c r="AI100" i="95" s="1"/>
  <c r="AQ100" i="95"/>
  <c r="AR100" i="95" s="1"/>
  <c r="R100" i="95"/>
  <c r="T100" i="95" s="1"/>
  <c r="BD100" i="95"/>
  <c r="BE100" i="95" s="1"/>
  <c r="AT100" i="95"/>
  <c r="K101" i="95"/>
  <c r="AE100" i="95"/>
  <c r="AF100" i="95" s="1"/>
  <c r="P100" i="95"/>
  <c r="AK100" i="95"/>
  <c r="AL100" i="95" s="1"/>
  <c r="BQ100" i="95"/>
  <c r="BR100" i="95" s="1"/>
  <c r="O100" i="95"/>
  <c r="AB100" i="95"/>
  <c r="AC100" i="95" s="1"/>
  <c r="AV100" i="95"/>
  <c r="AW100" i="95" s="1"/>
  <c r="AN100" i="95"/>
  <c r="AO100" i="95" s="1"/>
  <c r="Y100" i="95"/>
  <c r="Z100" i="95" s="1"/>
  <c r="M100" i="95"/>
  <c r="V100" i="95"/>
  <c r="W100" i="95" s="1"/>
  <c r="BL100" i="95"/>
  <c r="BG100" i="95"/>
  <c r="BH100" i="95" s="1"/>
  <c r="K102" i="112"/>
  <c r="AY101" i="112"/>
  <c r="V101" i="112"/>
  <c r="W101" i="112" s="1"/>
  <c r="BA101" i="112"/>
  <c r="BB101" i="112" s="1"/>
  <c r="BK101" i="112"/>
  <c r="R101" i="112"/>
  <c r="T101" i="112" s="1"/>
  <c r="AV101" i="112"/>
  <c r="AW101" i="112" s="1"/>
  <c r="BQ101" i="112"/>
  <c r="BR101" i="112" s="1"/>
  <c r="AH101" i="112"/>
  <c r="AI101" i="112" s="1"/>
  <c r="BD101" i="112"/>
  <c r="BE101" i="112" s="1"/>
  <c r="AT101" i="112"/>
  <c r="BJ101" i="112"/>
  <c r="BL101" i="112" s="1"/>
  <c r="AK101" i="112"/>
  <c r="AL101" i="112" s="1"/>
  <c r="P101" i="112"/>
  <c r="AN101" i="112"/>
  <c r="AO101" i="112" s="1"/>
  <c r="M101" i="112"/>
  <c r="AQ101" i="112"/>
  <c r="AR101" i="112" s="1"/>
  <c r="AB101" i="112"/>
  <c r="AC101" i="112" s="1"/>
  <c r="BG101" i="112"/>
  <c r="BH101" i="112" s="1"/>
  <c r="BN101" i="112"/>
  <c r="BO101" i="112" s="1"/>
  <c r="O101" i="112"/>
  <c r="AE101" i="112"/>
  <c r="AF101" i="112" s="1"/>
  <c r="Y101" i="112"/>
  <c r="Z101" i="112" s="1"/>
  <c r="V101" i="104"/>
  <c r="W101" i="104" s="1"/>
  <c r="AV101" i="104"/>
  <c r="AW101" i="104" s="1"/>
  <c r="AY101" i="104"/>
  <c r="BN101" i="104"/>
  <c r="BO101" i="104" s="1"/>
  <c r="BQ101" i="104"/>
  <c r="BR101" i="104" s="1"/>
  <c r="BG101" i="104"/>
  <c r="BH101" i="104" s="1"/>
  <c r="AH101" i="104"/>
  <c r="AI101" i="104" s="1"/>
  <c r="BJ101" i="104"/>
  <c r="BL101" i="104" s="1"/>
  <c r="BA101" i="104"/>
  <c r="BB101" i="104" s="1"/>
  <c r="P101" i="104"/>
  <c r="R101" i="104"/>
  <c r="T101" i="104" s="1"/>
  <c r="K102" i="104"/>
  <c r="M101" i="104"/>
  <c r="Y101" i="104"/>
  <c r="Z101" i="104" s="1"/>
  <c r="AB101" i="104"/>
  <c r="AC101" i="104" s="1"/>
  <c r="BD101" i="104"/>
  <c r="BE101" i="104" s="1"/>
  <c r="BK101" i="104"/>
  <c r="AT101" i="104"/>
  <c r="AN101" i="104"/>
  <c r="AO101" i="104" s="1"/>
  <c r="O101" i="104"/>
  <c r="AE101" i="104"/>
  <c r="AF101" i="104" s="1"/>
  <c r="AQ101" i="104"/>
  <c r="AR101" i="104" s="1"/>
  <c r="AK101" i="104"/>
  <c r="AL101" i="104" s="1"/>
  <c r="BN102" i="130"/>
  <c r="BO102" i="130" s="1"/>
  <c r="BL102" i="130"/>
  <c r="K103" i="130"/>
  <c r="M102" i="130"/>
  <c r="AE102" i="130"/>
  <c r="AF102" i="130" s="1"/>
  <c r="AH102" i="130"/>
  <c r="AI102" i="130" s="1"/>
  <c r="R102" i="130"/>
  <c r="T102" i="130" s="1"/>
  <c r="BG102" i="130"/>
  <c r="BH102" i="130" s="1"/>
  <c r="AB102" i="130"/>
  <c r="AC102" i="130" s="1"/>
  <c r="P102" i="130"/>
  <c r="BQ102" i="130"/>
  <c r="BR102" i="130" s="1"/>
  <c r="V102" i="130"/>
  <c r="W102" i="130" s="1"/>
  <c r="AK102" i="130"/>
  <c r="AL102" i="130" s="1"/>
  <c r="BA102" i="130"/>
  <c r="BB102" i="130" s="1"/>
  <c r="AQ102" i="130"/>
  <c r="AR102" i="130" s="1"/>
  <c r="Y102" i="130"/>
  <c r="Z102" i="130" s="1"/>
  <c r="AY102" i="130"/>
  <c r="BD102" i="130"/>
  <c r="BE102" i="130" s="1"/>
  <c r="AT102" i="130"/>
  <c r="AN102" i="130"/>
  <c r="AO102" i="130" s="1"/>
  <c r="AV102" i="130"/>
  <c r="AW102" i="130" s="1"/>
  <c r="O102" i="130"/>
  <c r="K108" i="155"/>
  <c r="I109" i="155"/>
  <c r="R107" i="155"/>
  <c r="T107" i="155" s="1"/>
  <c r="Y107" i="155"/>
  <c r="Z107" i="155" s="1"/>
  <c r="AE107" i="155"/>
  <c r="AF107" i="155" s="1"/>
  <c r="AK107" i="155"/>
  <c r="AL107" i="155" s="1"/>
  <c r="AQ107" i="155"/>
  <c r="AR107" i="155" s="1"/>
  <c r="BD107" i="155"/>
  <c r="BE107" i="155" s="1"/>
  <c r="M107" i="155"/>
  <c r="BQ107" i="155"/>
  <c r="BR107" i="155" s="1"/>
  <c r="O107" i="155"/>
  <c r="V107" i="155"/>
  <c r="W107" i="155" s="1"/>
  <c r="AB107" i="155"/>
  <c r="AC107" i="155" s="1"/>
  <c r="AH107" i="155"/>
  <c r="AI107" i="155" s="1"/>
  <c r="AN107" i="155"/>
  <c r="AO107" i="155" s="1"/>
  <c r="BA107" i="155"/>
  <c r="BB107" i="155" s="1"/>
  <c r="BG107" i="155"/>
  <c r="BH107" i="155" s="1"/>
  <c r="P107" i="155"/>
  <c r="AV107" i="155"/>
  <c r="AW107" i="155" s="1"/>
  <c r="BN107" i="155"/>
  <c r="BO107" i="155" s="1"/>
  <c r="BL107" i="155"/>
  <c r="P107" i="153"/>
  <c r="AV107" i="153"/>
  <c r="AW107" i="153" s="1"/>
  <c r="BN107" i="153"/>
  <c r="BO107" i="153" s="1"/>
  <c r="R107" i="153"/>
  <c r="T107" i="153" s="1"/>
  <c r="Y107" i="153"/>
  <c r="Z107" i="153" s="1"/>
  <c r="AE107" i="153"/>
  <c r="AF107" i="153" s="1"/>
  <c r="AK107" i="153"/>
  <c r="AL107" i="153" s="1"/>
  <c r="AQ107" i="153"/>
  <c r="AR107" i="153" s="1"/>
  <c r="BD107" i="153"/>
  <c r="BE107" i="153" s="1"/>
  <c r="M107" i="153"/>
  <c r="BQ107" i="153"/>
  <c r="BR107" i="153" s="1"/>
  <c r="V107" i="153"/>
  <c r="W107" i="153" s="1"/>
  <c r="AB107" i="153"/>
  <c r="AC107" i="153" s="1"/>
  <c r="BA107" i="153"/>
  <c r="BB107" i="153" s="1"/>
  <c r="BL107" i="153"/>
  <c r="AH107" i="153"/>
  <c r="AI107" i="153" s="1"/>
  <c r="BG107" i="153"/>
  <c r="BH107" i="153" s="1"/>
  <c r="O107" i="153"/>
  <c r="AN107" i="153"/>
  <c r="AO107" i="153" s="1"/>
  <c r="K108" i="153"/>
  <c r="I112" i="153"/>
  <c r="O107" i="152"/>
  <c r="V107" i="152"/>
  <c r="W107" i="152" s="1"/>
  <c r="AB107" i="152"/>
  <c r="AC107" i="152" s="1"/>
  <c r="AH107" i="152"/>
  <c r="AI107" i="152" s="1"/>
  <c r="AN107" i="152"/>
  <c r="AO107" i="152" s="1"/>
  <c r="BA107" i="152"/>
  <c r="BB107" i="152" s="1"/>
  <c r="BG107" i="152"/>
  <c r="BH107" i="152" s="1"/>
  <c r="BL107" i="152"/>
  <c r="P107" i="152"/>
  <c r="AV107" i="152"/>
  <c r="AW107" i="152" s="1"/>
  <c r="BN107" i="152"/>
  <c r="BO107" i="152" s="1"/>
  <c r="R107" i="152"/>
  <c r="T107" i="152" s="1"/>
  <c r="Y107" i="152"/>
  <c r="Z107" i="152" s="1"/>
  <c r="AE107" i="152"/>
  <c r="AF107" i="152" s="1"/>
  <c r="AK107" i="152"/>
  <c r="AL107" i="152" s="1"/>
  <c r="AQ107" i="152"/>
  <c r="AR107" i="152" s="1"/>
  <c r="BD107" i="152"/>
  <c r="BE107" i="152" s="1"/>
  <c r="M107" i="152"/>
  <c r="BQ107" i="152"/>
  <c r="BR107" i="152" s="1"/>
  <c r="K108" i="152"/>
  <c r="BD105" i="151"/>
  <c r="BE105" i="151" s="1"/>
  <c r="AQ105" i="151"/>
  <c r="AR105" i="151" s="1"/>
  <c r="AK105" i="151"/>
  <c r="AL105" i="151" s="1"/>
  <c r="AE105" i="151"/>
  <c r="AF105" i="151" s="1"/>
  <c r="Y105" i="151"/>
  <c r="Z105" i="151" s="1"/>
  <c r="R105" i="151"/>
  <c r="T105" i="151" s="1"/>
  <c r="AV105" i="151"/>
  <c r="AW105" i="151" s="1"/>
  <c r="P105" i="151"/>
  <c r="BQ105" i="151"/>
  <c r="BR105" i="151" s="1"/>
  <c r="BA105" i="151"/>
  <c r="BB105" i="151" s="1"/>
  <c r="AT105" i="151"/>
  <c r="AN105" i="151"/>
  <c r="AO105" i="151" s="1"/>
  <c r="AH105" i="151"/>
  <c r="AI105" i="151" s="1"/>
  <c r="AB105" i="151"/>
  <c r="AC105" i="151" s="1"/>
  <c r="V105" i="151"/>
  <c r="W105" i="151" s="1"/>
  <c r="O105" i="151"/>
  <c r="BG105" i="151"/>
  <c r="BH105" i="151" s="1"/>
  <c r="AY105" i="151"/>
  <c r="BN105" i="151"/>
  <c r="BO105" i="151" s="1"/>
  <c r="M105" i="151"/>
  <c r="BL105" i="151"/>
  <c r="I107" i="151"/>
  <c r="K106" i="151"/>
  <c r="I108" i="150"/>
  <c r="AV104" i="150"/>
  <c r="AW104" i="150" s="1"/>
  <c r="P104" i="150"/>
  <c r="BG104" i="150"/>
  <c r="BH104" i="150" s="1"/>
  <c r="BA104" i="150"/>
  <c r="BB104" i="150" s="1"/>
  <c r="AT104" i="150"/>
  <c r="AN104" i="150"/>
  <c r="AO104" i="150" s="1"/>
  <c r="AH104" i="150"/>
  <c r="AI104" i="150" s="1"/>
  <c r="AB104" i="150"/>
  <c r="AC104" i="150" s="1"/>
  <c r="V104" i="150"/>
  <c r="W104" i="150" s="1"/>
  <c r="O104" i="150"/>
  <c r="BQ104" i="150"/>
  <c r="BR104" i="150" s="1"/>
  <c r="AY104" i="150"/>
  <c r="BD104" i="150"/>
  <c r="BE104" i="150" s="1"/>
  <c r="AE104" i="150"/>
  <c r="AF104" i="150" s="1"/>
  <c r="Y104" i="150"/>
  <c r="Z104" i="150" s="1"/>
  <c r="AQ104" i="150"/>
  <c r="AR104" i="150" s="1"/>
  <c r="R104" i="150"/>
  <c r="T104" i="150" s="1"/>
  <c r="AK104" i="150"/>
  <c r="AL104" i="150" s="1"/>
  <c r="M104" i="150"/>
  <c r="BN104" i="150"/>
  <c r="BO104" i="150" s="1"/>
  <c r="BL104" i="150"/>
  <c r="K105" i="150"/>
  <c r="I108" i="149"/>
  <c r="K107" i="149"/>
  <c r="AV106" i="149"/>
  <c r="AW106" i="149" s="1"/>
  <c r="P106" i="149"/>
  <c r="BQ106" i="149"/>
  <c r="BR106" i="149" s="1"/>
  <c r="BA106" i="149"/>
  <c r="BB106" i="149" s="1"/>
  <c r="AK106" i="149"/>
  <c r="AL106" i="149" s="1"/>
  <c r="AB106" i="149"/>
  <c r="AC106" i="149" s="1"/>
  <c r="AN106" i="149"/>
  <c r="AO106" i="149" s="1"/>
  <c r="Y106" i="149"/>
  <c r="Z106" i="149" s="1"/>
  <c r="O106" i="149"/>
  <c r="BD106" i="149"/>
  <c r="BE106" i="149" s="1"/>
  <c r="V106" i="149"/>
  <c r="W106" i="149" s="1"/>
  <c r="AY106" i="149"/>
  <c r="AH106" i="149"/>
  <c r="AI106" i="149" s="1"/>
  <c r="R106" i="149"/>
  <c r="T106" i="149" s="1"/>
  <c r="AQ106" i="149"/>
  <c r="AR106" i="149" s="1"/>
  <c r="AE106" i="149"/>
  <c r="AF106" i="149" s="1"/>
  <c r="BG106" i="149"/>
  <c r="BH106" i="149" s="1"/>
  <c r="AT106" i="149"/>
  <c r="M106" i="149"/>
  <c r="BN106" i="149"/>
  <c r="BO106" i="149" s="1"/>
  <c r="BL106" i="149"/>
  <c r="I107" i="147"/>
  <c r="K106" i="147"/>
  <c r="BG105" i="147"/>
  <c r="BH105" i="147" s="1"/>
  <c r="BA105" i="147"/>
  <c r="BB105" i="147" s="1"/>
  <c r="AT105" i="147"/>
  <c r="AN105" i="147"/>
  <c r="AO105" i="147" s="1"/>
  <c r="AH105" i="147"/>
  <c r="AI105" i="147" s="1"/>
  <c r="AB105" i="147"/>
  <c r="AC105" i="147" s="1"/>
  <c r="V105" i="147"/>
  <c r="W105" i="147" s="1"/>
  <c r="O105" i="147"/>
  <c r="BQ105" i="147"/>
  <c r="BR105" i="147" s="1"/>
  <c r="AY105" i="147"/>
  <c r="BD105" i="147"/>
  <c r="BE105" i="147" s="1"/>
  <c r="AQ105" i="147"/>
  <c r="AR105" i="147" s="1"/>
  <c r="AK105" i="147"/>
  <c r="AL105" i="147" s="1"/>
  <c r="AE105" i="147"/>
  <c r="AF105" i="147" s="1"/>
  <c r="Y105" i="147"/>
  <c r="Z105" i="147" s="1"/>
  <c r="R105" i="147"/>
  <c r="T105" i="147" s="1"/>
  <c r="AV105" i="147"/>
  <c r="AW105" i="147" s="1"/>
  <c r="P105" i="147"/>
  <c r="BJ105" i="147"/>
  <c r="BL105" i="147" s="1"/>
  <c r="M105" i="147"/>
  <c r="BN105" i="147"/>
  <c r="BO105" i="147" s="1"/>
  <c r="BK105" i="147"/>
  <c r="BQ104" i="146"/>
  <c r="BR104" i="146" s="1"/>
  <c r="AY104" i="146"/>
  <c r="BD104" i="146"/>
  <c r="BE104" i="146" s="1"/>
  <c r="AQ104" i="146"/>
  <c r="AR104" i="146" s="1"/>
  <c r="AK104" i="146"/>
  <c r="AL104" i="146" s="1"/>
  <c r="AE104" i="146"/>
  <c r="AF104" i="146" s="1"/>
  <c r="Y104" i="146"/>
  <c r="Z104" i="146" s="1"/>
  <c r="R104" i="146"/>
  <c r="T104" i="146" s="1"/>
  <c r="AV104" i="146"/>
  <c r="AW104" i="146" s="1"/>
  <c r="P104" i="146"/>
  <c r="AT104" i="146"/>
  <c r="AN104" i="146"/>
  <c r="AO104" i="146" s="1"/>
  <c r="V104" i="146"/>
  <c r="W104" i="146" s="1"/>
  <c r="BG104" i="146"/>
  <c r="BH104" i="146" s="1"/>
  <c r="AH104" i="146"/>
  <c r="AI104" i="146" s="1"/>
  <c r="O104" i="146"/>
  <c r="BA104" i="146"/>
  <c r="BB104" i="146" s="1"/>
  <c r="AB104" i="146"/>
  <c r="AC104" i="146" s="1"/>
  <c r="M104" i="146"/>
  <c r="BK104" i="146"/>
  <c r="BJ104" i="146"/>
  <c r="BL104" i="146" s="1"/>
  <c r="BN104" i="146"/>
  <c r="BO104" i="146" s="1"/>
  <c r="K105" i="146"/>
  <c r="I106" i="146"/>
  <c r="I108" i="114"/>
  <c r="K104" i="135"/>
  <c r="I105" i="135"/>
  <c r="K101" i="66"/>
  <c r="I102" i="66"/>
  <c r="I109" i="132"/>
  <c r="BJ102" i="110"/>
  <c r="BL102" i="110" s="1"/>
  <c r="M102" i="110"/>
  <c r="BN102" i="110"/>
  <c r="BO102" i="110" s="1"/>
  <c r="BK102" i="110"/>
  <c r="AH102" i="110"/>
  <c r="AI102" i="110" s="1"/>
  <c r="Y102" i="110"/>
  <c r="Z102" i="110" s="1"/>
  <c r="AT102" i="110"/>
  <c r="AE102" i="110"/>
  <c r="AF102" i="110" s="1"/>
  <c r="O102" i="110"/>
  <c r="AB102" i="110"/>
  <c r="AC102" i="110" s="1"/>
  <c r="AQ102" i="110"/>
  <c r="AR102" i="110" s="1"/>
  <c r="AV102" i="110"/>
  <c r="AW102" i="110" s="1"/>
  <c r="BG102" i="110"/>
  <c r="BH102" i="110" s="1"/>
  <c r="V102" i="110"/>
  <c r="W102" i="110" s="1"/>
  <c r="AK102" i="110"/>
  <c r="AL102" i="110" s="1"/>
  <c r="BA102" i="110"/>
  <c r="BB102" i="110" s="1"/>
  <c r="BD102" i="110"/>
  <c r="BE102" i="110" s="1"/>
  <c r="AY102" i="110"/>
  <c r="AN102" i="110"/>
  <c r="AO102" i="110" s="1"/>
  <c r="P102" i="110"/>
  <c r="R102" i="110"/>
  <c r="T102" i="110" s="1"/>
  <c r="BQ102" i="110"/>
  <c r="BR102" i="110" s="1"/>
  <c r="I108" i="64"/>
  <c r="I107" i="63"/>
  <c r="I106" i="104"/>
  <c r="BJ102" i="126"/>
  <c r="BL102" i="126" s="1"/>
  <c r="BQ102" i="126"/>
  <c r="BR102" i="126" s="1"/>
  <c r="M102" i="126"/>
  <c r="BK102" i="126"/>
  <c r="BN102" i="126"/>
  <c r="BO102" i="126" s="1"/>
  <c r="Y102" i="126"/>
  <c r="Z102" i="126" s="1"/>
  <c r="AV102" i="126"/>
  <c r="AW102" i="126" s="1"/>
  <c r="AK102" i="126"/>
  <c r="AL102" i="126" s="1"/>
  <c r="BG102" i="126"/>
  <c r="BH102" i="126" s="1"/>
  <c r="AQ102" i="126"/>
  <c r="AR102" i="126" s="1"/>
  <c r="AT102" i="126"/>
  <c r="AN102" i="126"/>
  <c r="AO102" i="126" s="1"/>
  <c r="R102" i="126"/>
  <c r="T102" i="126" s="1"/>
  <c r="BA102" i="126"/>
  <c r="BB102" i="126" s="1"/>
  <c r="AY102" i="126"/>
  <c r="P102" i="126"/>
  <c r="AE102" i="126"/>
  <c r="AF102" i="126" s="1"/>
  <c r="AB102" i="126"/>
  <c r="AC102" i="126" s="1"/>
  <c r="O102" i="126"/>
  <c r="BD102" i="126"/>
  <c r="BE102" i="126" s="1"/>
  <c r="AH102" i="126"/>
  <c r="AI102" i="126" s="1"/>
  <c r="V102" i="126"/>
  <c r="W102" i="126" s="1"/>
  <c r="K103" i="126"/>
  <c r="I108" i="136"/>
  <c r="M101" i="101"/>
  <c r="V101" i="101"/>
  <c r="W101" i="101" s="1"/>
  <c r="AH101" i="101"/>
  <c r="AI101" i="101" s="1"/>
  <c r="P101" i="101"/>
  <c r="BQ101" i="101"/>
  <c r="BR101" i="101" s="1"/>
  <c r="BD101" i="101"/>
  <c r="BE101" i="101" s="1"/>
  <c r="Y101" i="101"/>
  <c r="Z101" i="101" s="1"/>
  <c r="BG101" i="101"/>
  <c r="BH101" i="101" s="1"/>
  <c r="O101" i="101"/>
  <c r="AT101" i="101"/>
  <c r="BA101" i="101"/>
  <c r="BB101" i="101" s="1"/>
  <c r="AN101" i="101"/>
  <c r="AO101" i="101" s="1"/>
  <c r="AK101" i="101"/>
  <c r="AL101" i="101" s="1"/>
  <c r="AV101" i="101"/>
  <c r="AW101" i="101" s="1"/>
  <c r="AB101" i="101"/>
  <c r="AC101" i="101" s="1"/>
  <c r="R101" i="101"/>
  <c r="T101" i="101" s="1"/>
  <c r="AY101" i="101"/>
  <c r="AQ101" i="101"/>
  <c r="AR101" i="101" s="1"/>
  <c r="AE101" i="101"/>
  <c r="AF101" i="101" s="1"/>
  <c r="M102" i="63"/>
  <c r="BN102" i="63"/>
  <c r="BO102" i="63" s="1"/>
  <c r="P102" i="63"/>
  <c r="AH102" i="63"/>
  <c r="AI102" i="63" s="1"/>
  <c r="AN102" i="63"/>
  <c r="AO102" i="63" s="1"/>
  <c r="BA102" i="63"/>
  <c r="BB102" i="63" s="1"/>
  <c r="AB102" i="63"/>
  <c r="AC102" i="63" s="1"/>
  <c r="AY102" i="63"/>
  <c r="BD102" i="63"/>
  <c r="BE102" i="63" s="1"/>
  <c r="R102" i="63"/>
  <c r="T102" i="63" s="1"/>
  <c r="AE102" i="63"/>
  <c r="AF102" i="63" s="1"/>
  <c r="BG102" i="63"/>
  <c r="BH102" i="63" s="1"/>
  <c r="AV102" i="63"/>
  <c r="AW102" i="63" s="1"/>
  <c r="V102" i="63"/>
  <c r="W102" i="63" s="1"/>
  <c r="AQ102" i="63"/>
  <c r="AR102" i="63" s="1"/>
  <c r="Y102" i="63"/>
  <c r="Z102" i="63" s="1"/>
  <c r="AT102" i="63"/>
  <c r="BQ102" i="63"/>
  <c r="BR102" i="63" s="1"/>
  <c r="O102" i="63"/>
  <c r="AK102" i="63"/>
  <c r="AL102" i="63" s="1"/>
  <c r="BL102" i="63"/>
  <c r="K103" i="63"/>
  <c r="AN100" i="66"/>
  <c r="AO100" i="66" s="1"/>
  <c r="BA100" i="66"/>
  <c r="BB100" i="66" s="1"/>
  <c r="AH100" i="66"/>
  <c r="AI100" i="66" s="1"/>
  <c r="AV100" i="66"/>
  <c r="AW100" i="66" s="1"/>
  <c r="BN100" i="66"/>
  <c r="BO100" i="66" s="1"/>
  <c r="BQ100" i="66"/>
  <c r="BR100" i="66" s="1"/>
  <c r="M100" i="66"/>
  <c r="V100" i="66"/>
  <c r="W100" i="66" s="1"/>
  <c r="AQ100" i="66"/>
  <c r="AR100" i="66" s="1"/>
  <c r="AT100" i="66"/>
  <c r="Y100" i="66"/>
  <c r="Z100" i="66" s="1"/>
  <c r="AK100" i="66"/>
  <c r="AL100" i="66" s="1"/>
  <c r="O100" i="66"/>
  <c r="BD100" i="66"/>
  <c r="BE100" i="66" s="1"/>
  <c r="BG100" i="66"/>
  <c r="BH100" i="66" s="1"/>
  <c r="AY100" i="66"/>
  <c r="R100" i="66"/>
  <c r="T100" i="66" s="1"/>
  <c r="AB100" i="66"/>
  <c r="AC100" i="66" s="1"/>
  <c r="AE100" i="66"/>
  <c r="AF100" i="66" s="1"/>
  <c r="P100" i="66"/>
  <c r="BL100" i="66"/>
  <c r="I104" i="110"/>
  <c r="K103" i="110"/>
  <c r="K101" i="13"/>
  <c r="I102" i="13"/>
  <c r="M102" i="115"/>
  <c r="BN102" i="115"/>
  <c r="BO102" i="115" s="1"/>
  <c r="BJ102" i="115"/>
  <c r="BL102" i="115" s="1"/>
  <c r="BK102" i="115"/>
  <c r="AY102" i="115"/>
  <c r="AB102" i="115"/>
  <c r="AC102" i="115" s="1"/>
  <c r="R102" i="115"/>
  <c r="T102" i="115" s="1"/>
  <c r="P102" i="115"/>
  <c r="O102" i="115"/>
  <c r="AV102" i="115"/>
  <c r="AW102" i="115" s="1"/>
  <c r="AN102" i="115"/>
  <c r="AO102" i="115" s="1"/>
  <c r="BQ102" i="115"/>
  <c r="BR102" i="115" s="1"/>
  <c r="AQ102" i="115"/>
  <c r="AR102" i="115" s="1"/>
  <c r="Y102" i="115"/>
  <c r="Z102" i="115" s="1"/>
  <c r="V102" i="115"/>
  <c r="W102" i="115" s="1"/>
  <c r="AE102" i="115"/>
  <c r="AF102" i="115" s="1"/>
  <c r="AT102" i="115"/>
  <c r="BG102" i="115"/>
  <c r="BH102" i="115" s="1"/>
  <c r="AH102" i="115"/>
  <c r="AI102" i="115" s="1"/>
  <c r="BD102" i="115"/>
  <c r="BE102" i="115" s="1"/>
  <c r="AK102" i="115"/>
  <c r="AL102" i="115" s="1"/>
  <c r="BA102" i="115"/>
  <c r="BB102" i="115" s="1"/>
  <c r="BJ104" i="105"/>
  <c r="BL104" i="105" s="1"/>
  <c r="BD104" i="105"/>
  <c r="BE104" i="105" s="1"/>
  <c r="P104" i="105"/>
  <c r="BG104" i="105"/>
  <c r="BH104" i="105" s="1"/>
  <c r="AH104" i="105"/>
  <c r="AI104" i="105" s="1"/>
  <c r="M104" i="105"/>
  <c r="BN104" i="105"/>
  <c r="BO104" i="105" s="1"/>
  <c r="Y104" i="105"/>
  <c r="Z104" i="105" s="1"/>
  <c r="AV104" i="105"/>
  <c r="AW104" i="105" s="1"/>
  <c r="AT104" i="105"/>
  <c r="AY104" i="105"/>
  <c r="O104" i="105"/>
  <c r="BK104" i="105"/>
  <c r="BA104" i="105"/>
  <c r="BB104" i="105" s="1"/>
  <c r="R104" i="105"/>
  <c r="T104" i="105" s="1"/>
  <c r="AB104" i="105"/>
  <c r="AC104" i="105" s="1"/>
  <c r="AN104" i="105"/>
  <c r="AO104" i="105" s="1"/>
  <c r="AE104" i="105"/>
  <c r="AF104" i="105" s="1"/>
  <c r="AQ104" i="105"/>
  <c r="AR104" i="105" s="1"/>
  <c r="BQ104" i="105"/>
  <c r="BR104" i="105" s="1"/>
  <c r="AK104" i="105"/>
  <c r="AL104" i="105" s="1"/>
  <c r="V104" i="105"/>
  <c r="W104" i="105" s="1"/>
  <c r="K105" i="105"/>
  <c r="AK103" i="64"/>
  <c r="AL103" i="64" s="1"/>
  <c r="BA103" i="64"/>
  <c r="BB103" i="64" s="1"/>
  <c r="AE103" i="64"/>
  <c r="AF103" i="64" s="1"/>
  <c r="BG103" i="64"/>
  <c r="BH103" i="64" s="1"/>
  <c r="P103" i="64"/>
  <c r="BQ103" i="64"/>
  <c r="BR103" i="64" s="1"/>
  <c r="AV103" i="64"/>
  <c r="AW103" i="64" s="1"/>
  <c r="BD103" i="64"/>
  <c r="BE103" i="64" s="1"/>
  <c r="O103" i="64"/>
  <c r="AQ103" i="64"/>
  <c r="AR103" i="64" s="1"/>
  <c r="AY103" i="64"/>
  <c r="Y103" i="64"/>
  <c r="Z103" i="64" s="1"/>
  <c r="V103" i="64"/>
  <c r="W103" i="64" s="1"/>
  <c r="AB103" i="64"/>
  <c r="AC103" i="64" s="1"/>
  <c r="M103" i="64"/>
  <c r="R103" i="64"/>
  <c r="T103" i="64" s="1"/>
  <c r="AN103" i="64"/>
  <c r="AO103" i="64" s="1"/>
  <c r="AH103" i="64"/>
  <c r="AI103" i="64" s="1"/>
  <c r="AT103" i="64"/>
  <c r="BN103" i="64"/>
  <c r="BO103" i="64" s="1"/>
  <c r="BL103" i="64"/>
  <c r="K104" i="64"/>
  <c r="I103" i="101"/>
  <c r="K102" i="101"/>
  <c r="K107" i="124"/>
  <c r="M106" i="124"/>
  <c r="BN106" i="124"/>
  <c r="BO106" i="124" s="1"/>
  <c r="BJ106" i="124"/>
  <c r="BL106" i="124" s="1"/>
  <c r="BK106" i="124"/>
  <c r="AE106" i="124"/>
  <c r="AF106" i="124" s="1"/>
  <c r="AV106" i="124"/>
  <c r="AW106" i="124" s="1"/>
  <c r="Y106" i="124"/>
  <c r="Z106" i="124" s="1"/>
  <c r="BA106" i="124"/>
  <c r="BB106" i="124" s="1"/>
  <c r="AY106" i="124"/>
  <c r="BG106" i="124"/>
  <c r="BH106" i="124" s="1"/>
  <c r="BQ106" i="124"/>
  <c r="BR106" i="124" s="1"/>
  <c r="P106" i="124"/>
  <c r="AB106" i="124"/>
  <c r="AC106" i="124" s="1"/>
  <c r="O106" i="124"/>
  <c r="AH106" i="124"/>
  <c r="AI106" i="124" s="1"/>
  <c r="V106" i="124"/>
  <c r="W106" i="124" s="1"/>
  <c r="R106" i="124"/>
  <c r="T106" i="124" s="1"/>
  <c r="AN106" i="124"/>
  <c r="AO106" i="124" s="1"/>
  <c r="AK106" i="124"/>
  <c r="AL106" i="124" s="1"/>
  <c r="AT106" i="124"/>
  <c r="BD106" i="124"/>
  <c r="BE106" i="124" s="1"/>
  <c r="AQ106" i="124"/>
  <c r="AR106" i="124" s="1"/>
  <c r="M102" i="114"/>
  <c r="BJ102" i="114"/>
  <c r="BL102" i="114" s="1"/>
  <c r="BK102" i="114"/>
  <c r="BN102" i="114"/>
  <c r="BO102" i="114" s="1"/>
  <c r="P102" i="114"/>
  <c r="AN102" i="114"/>
  <c r="AO102" i="114" s="1"/>
  <c r="AH102" i="114"/>
  <c r="AI102" i="114" s="1"/>
  <c r="AB102" i="114"/>
  <c r="AC102" i="114" s="1"/>
  <c r="AE102" i="114"/>
  <c r="AF102" i="114" s="1"/>
  <c r="BQ102" i="114"/>
  <c r="BR102" i="114" s="1"/>
  <c r="Y102" i="114"/>
  <c r="Z102" i="114" s="1"/>
  <c r="R102" i="114"/>
  <c r="T102" i="114" s="1"/>
  <c r="BA102" i="114"/>
  <c r="BB102" i="114" s="1"/>
  <c r="V102" i="114"/>
  <c r="W102" i="114" s="1"/>
  <c r="BD102" i="114"/>
  <c r="BE102" i="114" s="1"/>
  <c r="BG102" i="114"/>
  <c r="BH102" i="114" s="1"/>
  <c r="AV102" i="114"/>
  <c r="AW102" i="114" s="1"/>
  <c r="AQ102" i="114"/>
  <c r="AR102" i="114" s="1"/>
  <c r="AT102" i="114"/>
  <c r="AY102" i="114"/>
  <c r="AK102" i="114"/>
  <c r="AL102" i="114" s="1"/>
  <c r="O102" i="114"/>
  <c r="K103" i="114"/>
  <c r="BQ102" i="96"/>
  <c r="BR102" i="96" s="1"/>
  <c r="M102" i="96"/>
  <c r="BN102" i="96"/>
  <c r="BO102" i="96" s="1"/>
  <c r="BD102" i="96"/>
  <c r="BE102" i="96" s="1"/>
  <c r="AB102" i="96"/>
  <c r="AC102" i="96" s="1"/>
  <c r="BA102" i="96"/>
  <c r="BB102" i="96" s="1"/>
  <c r="BG102" i="96"/>
  <c r="BH102" i="96" s="1"/>
  <c r="AV102" i="96"/>
  <c r="AW102" i="96" s="1"/>
  <c r="AH102" i="96"/>
  <c r="AI102" i="96" s="1"/>
  <c r="BL102" i="96"/>
  <c r="Y102" i="96"/>
  <c r="Z102" i="96" s="1"/>
  <c r="AE102" i="96"/>
  <c r="AF102" i="96" s="1"/>
  <c r="AK102" i="96"/>
  <c r="AL102" i="96" s="1"/>
  <c r="AQ102" i="96"/>
  <c r="AR102" i="96" s="1"/>
  <c r="AN102" i="96"/>
  <c r="AO102" i="96" s="1"/>
  <c r="P102" i="96"/>
  <c r="V102" i="96"/>
  <c r="W102" i="96" s="1"/>
  <c r="O102" i="96"/>
  <c r="R102" i="96"/>
  <c r="T102" i="96" s="1"/>
  <c r="AT102" i="96"/>
  <c r="M100" i="13"/>
  <c r="BN100" i="13"/>
  <c r="BO100" i="13" s="1"/>
  <c r="BL100" i="13"/>
  <c r="P100" i="13"/>
  <c r="V100" i="13"/>
  <c r="W100" i="13" s="1"/>
  <c r="BD100" i="13"/>
  <c r="BE100" i="13" s="1"/>
  <c r="AK100" i="13"/>
  <c r="AL100" i="13" s="1"/>
  <c r="AB100" i="13"/>
  <c r="AC100" i="13" s="1"/>
  <c r="BQ100" i="13"/>
  <c r="BR100" i="13" s="1"/>
  <c r="AH100" i="13"/>
  <c r="AI100" i="13" s="1"/>
  <c r="Y100" i="13"/>
  <c r="Z100" i="13" s="1"/>
  <c r="AV100" i="13"/>
  <c r="AW100" i="13" s="1"/>
  <c r="AE100" i="13"/>
  <c r="AF100" i="13" s="1"/>
  <c r="AQ100" i="13"/>
  <c r="AR100" i="13" s="1"/>
  <c r="BG100" i="13"/>
  <c r="BH100" i="13" s="1"/>
  <c r="R100" i="13"/>
  <c r="T100" i="13" s="1"/>
  <c r="AY100" i="13"/>
  <c r="BA100" i="13"/>
  <c r="BB100" i="13" s="1"/>
  <c r="O100" i="13"/>
  <c r="AN100" i="13"/>
  <c r="AO100" i="13" s="1"/>
  <c r="AT100" i="13"/>
  <c r="I104" i="115"/>
  <c r="K103" i="115"/>
  <c r="I107" i="126"/>
  <c r="BQ100" i="120"/>
  <c r="BR100" i="120" s="1"/>
  <c r="O100" i="120"/>
  <c r="P100" i="120"/>
  <c r="M100" i="120"/>
  <c r="AK100" i="120"/>
  <c r="AL100" i="120" s="1"/>
  <c r="AV100" i="120"/>
  <c r="AW100" i="120" s="1"/>
  <c r="BG100" i="120"/>
  <c r="BH100" i="120" s="1"/>
  <c r="BD100" i="120"/>
  <c r="BE100" i="120" s="1"/>
  <c r="K101" i="120"/>
  <c r="V100" i="120"/>
  <c r="W100" i="120" s="1"/>
  <c r="AH100" i="120"/>
  <c r="AI100" i="120" s="1"/>
  <c r="AQ100" i="120"/>
  <c r="AR100" i="120" s="1"/>
  <c r="AN100" i="120"/>
  <c r="AO100" i="120" s="1"/>
  <c r="AY100" i="120"/>
  <c r="AB100" i="120"/>
  <c r="AC100" i="120" s="1"/>
  <c r="R100" i="120"/>
  <c r="T100" i="120" s="1"/>
  <c r="AE100" i="120"/>
  <c r="AF100" i="120" s="1"/>
  <c r="Y100" i="120"/>
  <c r="Z100" i="120" s="1"/>
  <c r="BA100" i="120"/>
  <c r="BB100" i="120" s="1"/>
  <c r="AT100" i="120"/>
  <c r="BN100" i="120"/>
  <c r="BO100" i="120" s="1"/>
  <c r="BN100" i="17"/>
  <c r="BO100" i="17" s="1"/>
  <c r="BL100" i="17"/>
  <c r="M100" i="17"/>
  <c r="AK100" i="17"/>
  <c r="AL100" i="17" s="1"/>
  <c r="AB100" i="17"/>
  <c r="AC100" i="17" s="1"/>
  <c r="V100" i="17"/>
  <c r="W100" i="17" s="1"/>
  <c r="BA100" i="17"/>
  <c r="BB100" i="17" s="1"/>
  <c r="AV100" i="17"/>
  <c r="AW100" i="17" s="1"/>
  <c r="BG100" i="17"/>
  <c r="BH100" i="17" s="1"/>
  <c r="AH100" i="17"/>
  <c r="AI100" i="17" s="1"/>
  <c r="P100" i="17"/>
  <c r="AE100" i="17"/>
  <c r="AF100" i="17" s="1"/>
  <c r="BQ100" i="17"/>
  <c r="BR100" i="17" s="1"/>
  <c r="AY100" i="17"/>
  <c r="Y100" i="17"/>
  <c r="Z100" i="17" s="1"/>
  <c r="AN100" i="17"/>
  <c r="AO100" i="17" s="1"/>
  <c r="BD100" i="17"/>
  <c r="BE100" i="17" s="1"/>
  <c r="AQ100" i="17"/>
  <c r="AR100" i="17" s="1"/>
  <c r="O100" i="17"/>
  <c r="AT100" i="17"/>
  <c r="R100" i="17"/>
  <c r="T100" i="17" s="1"/>
  <c r="M104" i="136"/>
  <c r="BN104" i="136"/>
  <c r="BO104" i="136" s="1"/>
  <c r="BL104" i="136"/>
  <c r="AQ104" i="136"/>
  <c r="AR104" i="136" s="1"/>
  <c r="V104" i="136"/>
  <c r="W104" i="136" s="1"/>
  <c r="AN104" i="136"/>
  <c r="AO104" i="136" s="1"/>
  <c r="AH104" i="136"/>
  <c r="AI104" i="136" s="1"/>
  <c r="AB104" i="136"/>
  <c r="AC104" i="136" s="1"/>
  <c r="BQ104" i="136"/>
  <c r="BR104" i="136" s="1"/>
  <c r="AV104" i="136"/>
  <c r="AW104" i="136" s="1"/>
  <c r="AY104" i="136"/>
  <c r="AT104" i="136"/>
  <c r="BA104" i="136"/>
  <c r="BB104" i="136" s="1"/>
  <c r="Y104" i="136"/>
  <c r="Z104" i="136" s="1"/>
  <c r="O104" i="136"/>
  <c r="P104" i="136"/>
  <c r="BD104" i="136"/>
  <c r="BE104" i="136" s="1"/>
  <c r="AE104" i="136"/>
  <c r="AF104" i="136" s="1"/>
  <c r="R104" i="136"/>
  <c r="T104" i="136" s="1"/>
  <c r="AK104" i="136"/>
  <c r="AL104" i="136" s="1"/>
  <c r="BG104" i="136"/>
  <c r="BH104" i="136" s="1"/>
  <c r="K105" i="136"/>
  <c r="M103" i="135"/>
  <c r="BN103" i="135"/>
  <c r="BO103" i="135" s="1"/>
  <c r="Y103" i="135"/>
  <c r="Z103" i="135" s="1"/>
  <c r="BA103" i="135"/>
  <c r="BB103" i="135" s="1"/>
  <c r="V103" i="135"/>
  <c r="W103" i="135" s="1"/>
  <c r="AQ103" i="135"/>
  <c r="AR103" i="135" s="1"/>
  <c r="AN103" i="135"/>
  <c r="AO103" i="135" s="1"/>
  <c r="O103" i="135"/>
  <c r="AV103" i="135"/>
  <c r="AW103" i="135" s="1"/>
  <c r="AK103" i="135"/>
  <c r="AL103" i="135" s="1"/>
  <c r="P103" i="135"/>
  <c r="AB103" i="135"/>
  <c r="AC103" i="135" s="1"/>
  <c r="BQ103" i="135"/>
  <c r="BR103" i="135" s="1"/>
  <c r="R103" i="135"/>
  <c r="T103" i="135" s="1"/>
  <c r="AY103" i="135"/>
  <c r="BG103" i="135"/>
  <c r="BH103" i="135" s="1"/>
  <c r="AE103" i="135"/>
  <c r="AF103" i="135" s="1"/>
  <c r="AT103" i="135"/>
  <c r="AH103" i="135"/>
  <c r="AI103" i="135" s="1"/>
  <c r="BD103" i="135"/>
  <c r="BE103" i="135" s="1"/>
  <c r="BL103" i="135"/>
  <c r="I109" i="105"/>
  <c r="I111" i="95"/>
  <c r="K103" i="96"/>
  <c r="I104" i="96"/>
  <c r="K103" i="98"/>
  <c r="BG102" i="98"/>
  <c r="BH102" i="98" s="1"/>
  <c r="AK102" i="98"/>
  <c r="AL102" i="98" s="1"/>
  <c r="AB102" i="98"/>
  <c r="AC102" i="98" s="1"/>
  <c r="AN102" i="98"/>
  <c r="AO102" i="98" s="1"/>
  <c r="BN102" i="98"/>
  <c r="BO102" i="98" s="1"/>
  <c r="AQ102" i="98"/>
  <c r="AR102" i="98" s="1"/>
  <c r="AY102" i="98"/>
  <c r="BJ102" i="98"/>
  <c r="BL102" i="98" s="1"/>
  <c r="BQ102" i="98"/>
  <c r="BR102" i="98" s="1"/>
  <c r="BK102" i="98"/>
  <c r="M102" i="98"/>
  <c r="AH102" i="98"/>
  <c r="AI102" i="98" s="1"/>
  <c r="Y102" i="98"/>
  <c r="Z102" i="98" s="1"/>
  <c r="AE102" i="98"/>
  <c r="AF102" i="98" s="1"/>
  <c r="BD102" i="98"/>
  <c r="BE102" i="98" s="1"/>
  <c r="O102" i="98"/>
  <c r="AT102" i="98"/>
  <c r="AV102" i="98"/>
  <c r="AW102" i="98" s="1"/>
  <c r="V102" i="98"/>
  <c r="W102" i="98" s="1"/>
  <c r="R102" i="98"/>
  <c r="T102" i="98" s="1"/>
  <c r="P102" i="98"/>
  <c r="BA102" i="98"/>
  <c r="BB102" i="98" s="1"/>
  <c r="I106" i="15"/>
  <c r="BN101" i="15"/>
  <c r="BO101" i="15" s="1"/>
  <c r="BL101" i="15"/>
  <c r="AY101" i="15"/>
  <c r="AQ101" i="15"/>
  <c r="AR101" i="15" s="1"/>
  <c r="Y101" i="15"/>
  <c r="Z101" i="15" s="1"/>
  <c r="V101" i="15"/>
  <c r="W101" i="15" s="1"/>
  <c r="AV101" i="15"/>
  <c r="AW101" i="15" s="1"/>
  <c r="M101" i="15"/>
  <c r="BG101" i="15"/>
  <c r="BH101" i="15" s="1"/>
  <c r="O101" i="15"/>
  <c r="AK101" i="15"/>
  <c r="AL101" i="15" s="1"/>
  <c r="AB101" i="15"/>
  <c r="AC101" i="15" s="1"/>
  <c r="AH101" i="15"/>
  <c r="AI101" i="15" s="1"/>
  <c r="P101" i="15"/>
  <c r="BD101" i="15"/>
  <c r="BE101" i="15" s="1"/>
  <c r="AN101" i="15"/>
  <c r="AO101" i="15" s="1"/>
  <c r="BA101" i="15"/>
  <c r="BB101" i="15" s="1"/>
  <c r="BQ101" i="15"/>
  <c r="BR101" i="15" s="1"/>
  <c r="AE101" i="15"/>
  <c r="AF101" i="15" s="1"/>
  <c r="R101" i="15"/>
  <c r="T101" i="15" s="1"/>
  <c r="AT101" i="15"/>
  <c r="K102" i="15"/>
  <c r="M101" i="118"/>
  <c r="AB101" i="118"/>
  <c r="AC101" i="118" s="1"/>
  <c r="K102" i="118"/>
  <c r="BN101" i="118"/>
  <c r="BO101" i="118" s="1"/>
  <c r="AQ101" i="118"/>
  <c r="AR101" i="118" s="1"/>
  <c r="R101" i="118"/>
  <c r="T101" i="118" s="1"/>
  <c r="BG101" i="118"/>
  <c r="BH101" i="118" s="1"/>
  <c r="AE101" i="118"/>
  <c r="AF101" i="118" s="1"/>
  <c r="BA101" i="118"/>
  <c r="BB101" i="118" s="1"/>
  <c r="AV101" i="118"/>
  <c r="AW101" i="118" s="1"/>
  <c r="AT101" i="118"/>
  <c r="BQ101" i="118"/>
  <c r="BR101" i="118" s="1"/>
  <c r="V101" i="118"/>
  <c r="W101" i="118" s="1"/>
  <c r="O101" i="118"/>
  <c r="BD101" i="118"/>
  <c r="BE101" i="118" s="1"/>
  <c r="AN101" i="118"/>
  <c r="AO101" i="118" s="1"/>
  <c r="AK101" i="118"/>
  <c r="AL101" i="118" s="1"/>
  <c r="P101" i="118"/>
  <c r="AY101" i="118"/>
  <c r="Y101" i="118"/>
  <c r="Z101" i="118" s="1"/>
  <c r="AH101" i="118"/>
  <c r="AI101" i="118" s="1"/>
  <c r="I102" i="17"/>
  <c r="K101" i="17"/>
  <c r="BN106" i="107" l="1"/>
  <c r="BO106" i="107" s="1"/>
  <c r="AH106" i="107"/>
  <c r="AI106" i="107" s="1"/>
  <c r="AE106" i="107"/>
  <c r="AF106" i="107" s="1"/>
  <c r="AQ106" i="107"/>
  <c r="AR106" i="107" s="1"/>
  <c r="BJ106" i="107"/>
  <c r="BL106" i="107" s="1"/>
  <c r="AV106" i="107"/>
  <c r="AW106" i="107" s="1"/>
  <c r="AT106" i="107"/>
  <c r="P106" i="107"/>
  <c r="BQ106" i="107"/>
  <c r="BR106" i="107" s="1"/>
  <c r="BK106" i="107"/>
  <c r="R106" i="107"/>
  <c r="T106" i="107" s="1"/>
  <c r="O106" i="107"/>
  <c r="M106" i="107"/>
  <c r="AB106" i="107"/>
  <c r="AC106" i="107" s="1"/>
  <c r="AY106" i="107"/>
  <c r="AK106" i="107"/>
  <c r="AL106" i="107" s="1"/>
  <c r="V106" i="107"/>
  <c r="W106" i="107" s="1"/>
  <c r="BA106" i="107"/>
  <c r="BB106" i="107" s="1"/>
  <c r="AN106" i="107"/>
  <c r="AO106" i="107" s="1"/>
  <c r="BG106" i="107"/>
  <c r="BH106" i="107" s="1"/>
  <c r="BD106" i="107"/>
  <c r="BE106" i="107" s="1"/>
  <c r="Y106" i="107"/>
  <c r="Z106" i="107" s="1"/>
  <c r="M104" i="99"/>
  <c r="AY104" i="99"/>
  <c r="AQ104" i="99"/>
  <c r="AR104" i="99" s="1"/>
  <c r="BD104" i="99"/>
  <c r="BE104" i="99" s="1"/>
  <c r="R104" i="99"/>
  <c r="T104" i="99" s="1"/>
  <c r="AN104" i="99"/>
  <c r="AO104" i="99" s="1"/>
  <c r="BQ104" i="99"/>
  <c r="BR104" i="99" s="1"/>
  <c r="AK104" i="99"/>
  <c r="AL104" i="99" s="1"/>
  <c r="AB104" i="99"/>
  <c r="AC104" i="99" s="1"/>
  <c r="BK104" i="99"/>
  <c r="P104" i="99"/>
  <c r="AV104" i="99"/>
  <c r="AW104" i="99" s="1"/>
  <c r="Y104" i="99"/>
  <c r="Z104" i="99" s="1"/>
  <c r="K105" i="99"/>
  <c r="AE104" i="99"/>
  <c r="AF104" i="99" s="1"/>
  <c r="V104" i="99"/>
  <c r="W104" i="99" s="1"/>
  <c r="BN104" i="99"/>
  <c r="BO104" i="99" s="1"/>
  <c r="AT104" i="99"/>
  <c r="O104" i="99"/>
  <c r="BA104" i="99"/>
  <c r="BB104" i="99" s="1"/>
  <c r="BJ104" i="99"/>
  <c r="BL104" i="99" s="1"/>
  <c r="AH104" i="99"/>
  <c r="AI104" i="99" s="1"/>
  <c r="BG104" i="99"/>
  <c r="BH104" i="99" s="1"/>
  <c r="I108" i="107"/>
  <c r="K107" i="107"/>
  <c r="BA104" i="132"/>
  <c r="BB104" i="132" s="1"/>
  <c r="AE104" i="132"/>
  <c r="AF104" i="132" s="1"/>
  <c r="BG104" i="132"/>
  <c r="BH104" i="132" s="1"/>
  <c r="K105" i="132"/>
  <c r="O104" i="132"/>
  <c r="AQ104" i="132"/>
  <c r="AR104" i="132" s="1"/>
  <c r="AT104" i="132"/>
  <c r="AN104" i="132"/>
  <c r="AO104" i="132" s="1"/>
  <c r="AH104" i="132"/>
  <c r="AI104" i="132" s="1"/>
  <c r="BL104" i="132"/>
  <c r="AV104" i="132"/>
  <c r="AW104" i="132" s="1"/>
  <c r="BN104" i="132"/>
  <c r="BO104" i="132" s="1"/>
  <c r="BD104" i="132"/>
  <c r="BE104" i="132" s="1"/>
  <c r="M104" i="132"/>
  <c r="BQ104" i="132"/>
  <c r="BR104" i="132" s="1"/>
  <c r="V104" i="132"/>
  <c r="W104" i="132" s="1"/>
  <c r="AB104" i="132"/>
  <c r="AC104" i="132" s="1"/>
  <c r="AY104" i="132"/>
  <c r="AK104" i="132"/>
  <c r="AL104" i="132" s="1"/>
  <c r="Y104" i="132"/>
  <c r="Z104" i="132" s="1"/>
  <c r="R104" i="132"/>
  <c r="T104" i="132" s="1"/>
  <c r="P104" i="132"/>
  <c r="AH102" i="106"/>
  <c r="AI102" i="106" s="1"/>
  <c r="BQ102" i="106"/>
  <c r="BR102" i="106" s="1"/>
  <c r="BA102" i="106"/>
  <c r="BB102" i="106" s="1"/>
  <c r="BK102" i="106"/>
  <c r="V102" i="106"/>
  <c r="W102" i="106" s="1"/>
  <c r="AV102" i="106"/>
  <c r="AW102" i="106" s="1"/>
  <c r="AB102" i="106"/>
  <c r="AC102" i="106" s="1"/>
  <c r="M102" i="106"/>
  <c r="AQ102" i="106"/>
  <c r="AR102" i="106" s="1"/>
  <c r="R102" i="106"/>
  <c r="T102" i="106" s="1"/>
  <c r="AE102" i="106"/>
  <c r="AF102" i="106" s="1"/>
  <c r="Y102" i="106"/>
  <c r="Z102" i="106" s="1"/>
  <c r="BG102" i="106"/>
  <c r="BH102" i="106" s="1"/>
  <c r="AK102" i="106"/>
  <c r="AL102" i="106" s="1"/>
  <c r="BJ102" i="106"/>
  <c r="BL102" i="106" s="1"/>
  <c r="AY102" i="106"/>
  <c r="P102" i="106"/>
  <c r="AN102" i="106"/>
  <c r="AO102" i="106" s="1"/>
  <c r="BN102" i="106"/>
  <c r="BO102" i="106" s="1"/>
  <c r="BD102" i="106"/>
  <c r="BE102" i="106" s="1"/>
  <c r="AT102" i="106"/>
  <c r="O102" i="106"/>
  <c r="K103" i="106"/>
  <c r="AY103" i="129"/>
  <c r="AE103" i="129"/>
  <c r="AF103" i="129" s="1"/>
  <c r="BD103" i="129"/>
  <c r="BE103" i="129" s="1"/>
  <c r="BN103" i="129"/>
  <c r="BO103" i="129" s="1"/>
  <c r="BG103" i="129"/>
  <c r="BH103" i="129" s="1"/>
  <c r="V103" i="129"/>
  <c r="W103" i="129" s="1"/>
  <c r="R103" i="129"/>
  <c r="T103" i="129" s="1"/>
  <c r="M103" i="129"/>
  <c r="O103" i="129"/>
  <c r="AT103" i="129"/>
  <c r="AB103" i="129"/>
  <c r="AC103" i="129" s="1"/>
  <c r="K104" i="129"/>
  <c r="AH103" i="129"/>
  <c r="AI103" i="129" s="1"/>
  <c r="BA103" i="129"/>
  <c r="BB103" i="129" s="1"/>
  <c r="P103" i="129"/>
  <c r="Y103" i="129"/>
  <c r="Z103" i="129" s="1"/>
  <c r="BQ103" i="129"/>
  <c r="BR103" i="129" s="1"/>
  <c r="AQ103" i="129"/>
  <c r="AR103" i="129" s="1"/>
  <c r="BL103" i="129"/>
  <c r="AN103" i="129"/>
  <c r="AO103" i="129" s="1"/>
  <c r="AK103" i="129"/>
  <c r="AL103" i="129" s="1"/>
  <c r="AV103" i="129"/>
  <c r="AW103" i="129" s="1"/>
  <c r="BJ102" i="112"/>
  <c r="BL102" i="112" s="1"/>
  <c r="AK102" i="112"/>
  <c r="AL102" i="112" s="1"/>
  <c r="AY102" i="112"/>
  <c r="AV102" i="112"/>
  <c r="AW102" i="112" s="1"/>
  <c r="K103" i="112"/>
  <c r="V102" i="112"/>
  <c r="W102" i="112" s="1"/>
  <c r="BG102" i="112"/>
  <c r="BH102" i="112" s="1"/>
  <c r="P102" i="112"/>
  <c r="AT102" i="112"/>
  <c r="R102" i="112"/>
  <c r="T102" i="112" s="1"/>
  <c r="AQ102" i="112"/>
  <c r="AR102" i="112" s="1"/>
  <c r="AB102" i="112"/>
  <c r="AC102" i="112" s="1"/>
  <c r="AH102" i="112"/>
  <c r="AI102" i="112" s="1"/>
  <c r="O102" i="112"/>
  <c r="AE102" i="112"/>
  <c r="AF102" i="112" s="1"/>
  <c r="M102" i="112"/>
  <c r="Y102" i="112"/>
  <c r="Z102" i="112" s="1"/>
  <c r="BQ102" i="112"/>
  <c r="BR102" i="112" s="1"/>
  <c r="BA102" i="112"/>
  <c r="BB102" i="112" s="1"/>
  <c r="BK102" i="112"/>
  <c r="AN102" i="112"/>
  <c r="AO102" i="112" s="1"/>
  <c r="BN102" i="112"/>
  <c r="BO102" i="112" s="1"/>
  <c r="BD102" i="112"/>
  <c r="BE102" i="112" s="1"/>
  <c r="I109" i="106"/>
  <c r="BA105" i="133"/>
  <c r="BB105" i="133" s="1"/>
  <c r="AH105" i="133"/>
  <c r="AI105" i="133" s="1"/>
  <c r="BD105" i="133"/>
  <c r="BE105" i="133" s="1"/>
  <c r="AV105" i="133"/>
  <c r="AW105" i="133" s="1"/>
  <c r="AT105" i="133"/>
  <c r="Y105" i="133"/>
  <c r="Z105" i="133" s="1"/>
  <c r="BL105" i="133"/>
  <c r="R105" i="133"/>
  <c r="T105" i="133" s="1"/>
  <c r="AK105" i="133"/>
  <c r="AL105" i="133" s="1"/>
  <c r="AE105" i="133"/>
  <c r="AF105" i="133" s="1"/>
  <c r="M105" i="133"/>
  <c r="P105" i="133"/>
  <c r="BG105" i="133"/>
  <c r="BH105" i="133" s="1"/>
  <c r="O105" i="133"/>
  <c r="BN105" i="133"/>
  <c r="BO105" i="133" s="1"/>
  <c r="AB105" i="133"/>
  <c r="AC105" i="133" s="1"/>
  <c r="AY105" i="133"/>
  <c r="AQ105" i="133"/>
  <c r="AR105" i="133" s="1"/>
  <c r="BQ105" i="133"/>
  <c r="BR105" i="133" s="1"/>
  <c r="AN105" i="133"/>
  <c r="AO105" i="133" s="1"/>
  <c r="V105" i="133"/>
  <c r="W105" i="133" s="1"/>
  <c r="K106" i="133"/>
  <c r="AB107" i="156"/>
  <c r="AC107" i="156" s="1"/>
  <c r="AV107" i="156"/>
  <c r="AW107" i="156" s="1"/>
  <c r="Y107" i="156"/>
  <c r="Z107" i="156" s="1"/>
  <c r="M107" i="156"/>
  <c r="AH107" i="156"/>
  <c r="AI107" i="156" s="1"/>
  <c r="BN107" i="156"/>
  <c r="BO107" i="156" s="1"/>
  <c r="BD107" i="156"/>
  <c r="BE107" i="156" s="1"/>
  <c r="AN107" i="156"/>
  <c r="AO107" i="156" s="1"/>
  <c r="AK107" i="156"/>
  <c r="AL107" i="156" s="1"/>
  <c r="BL107" i="156"/>
  <c r="BQ107" i="156"/>
  <c r="BR107" i="156" s="1"/>
  <c r="BA107" i="156"/>
  <c r="BB107" i="156" s="1"/>
  <c r="R107" i="156"/>
  <c r="T107" i="156" s="1"/>
  <c r="O107" i="156"/>
  <c r="BG107" i="156"/>
  <c r="BH107" i="156" s="1"/>
  <c r="AQ107" i="156"/>
  <c r="AR107" i="156" s="1"/>
  <c r="V107" i="156"/>
  <c r="W107" i="156" s="1"/>
  <c r="P107" i="156"/>
  <c r="AE107" i="156"/>
  <c r="AF107" i="156" s="1"/>
  <c r="M102" i="104"/>
  <c r="AB102" i="104"/>
  <c r="AC102" i="104" s="1"/>
  <c r="AV102" i="104"/>
  <c r="AW102" i="104" s="1"/>
  <c r="Y102" i="104"/>
  <c r="Z102" i="104" s="1"/>
  <c r="K103" i="104"/>
  <c r="BJ102" i="104"/>
  <c r="BL102" i="104" s="1"/>
  <c r="R102" i="104"/>
  <c r="T102" i="104" s="1"/>
  <c r="AN102" i="104"/>
  <c r="AO102" i="104" s="1"/>
  <c r="BQ102" i="104"/>
  <c r="BR102" i="104" s="1"/>
  <c r="BD102" i="104"/>
  <c r="BE102" i="104" s="1"/>
  <c r="AY102" i="104"/>
  <c r="V102" i="104"/>
  <c r="W102" i="104" s="1"/>
  <c r="O102" i="104"/>
  <c r="BA102" i="104"/>
  <c r="BB102" i="104" s="1"/>
  <c r="AQ102" i="104"/>
  <c r="AR102" i="104" s="1"/>
  <c r="BK102" i="104"/>
  <c r="AE102" i="104"/>
  <c r="AF102" i="104" s="1"/>
  <c r="BG102" i="104"/>
  <c r="BH102" i="104" s="1"/>
  <c r="BN102" i="104"/>
  <c r="BO102" i="104" s="1"/>
  <c r="AT102" i="104"/>
  <c r="AK102" i="104"/>
  <c r="AL102" i="104" s="1"/>
  <c r="P102" i="104"/>
  <c r="AH102" i="104"/>
  <c r="AI102" i="104" s="1"/>
  <c r="BG101" i="95"/>
  <c r="BH101" i="95" s="1"/>
  <c r="AH101" i="95"/>
  <c r="AI101" i="95" s="1"/>
  <c r="AT101" i="95"/>
  <c r="O101" i="95"/>
  <c r="AV101" i="95"/>
  <c r="AW101" i="95" s="1"/>
  <c r="BD101" i="95"/>
  <c r="BE101" i="95" s="1"/>
  <c r="Y101" i="95"/>
  <c r="Z101" i="95" s="1"/>
  <c r="AN101" i="95"/>
  <c r="AO101" i="95" s="1"/>
  <c r="AB101" i="95"/>
  <c r="AC101" i="95" s="1"/>
  <c r="M101" i="95"/>
  <c r="V101" i="95"/>
  <c r="W101" i="95" s="1"/>
  <c r="R101" i="95"/>
  <c r="T101" i="95" s="1"/>
  <c r="P101" i="95"/>
  <c r="BN101" i="95"/>
  <c r="BO101" i="95" s="1"/>
  <c r="AQ101" i="95"/>
  <c r="AR101" i="95" s="1"/>
  <c r="AK101" i="95"/>
  <c r="AL101" i="95" s="1"/>
  <c r="BA101" i="95"/>
  <c r="BB101" i="95" s="1"/>
  <c r="BL101" i="95"/>
  <c r="BQ101" i="95"/>
  <c r="BR101" i="95" s="1"/>
  <c r="AE101" i="95"/>
  <c r="AF101" i="95" s="1"/>
  <c r="K102" i="95"/>
  <c r="I109" i="156"/>
  <c r="K108" i="156"/>
  <c r="AY108" i="156" s="1"/>
  <c r="BN103" i="130"/>
  <c r="BO103" i="130" s="1"/>
  <c r="M103" i="130"/>
  <c r="K104" i="130"/>
  <c r="P103" i="130"/>
  <c r="O103" i="130"/>
  <c r="Y103" i="130"/>
  <c r="Z103" i="130" s="1"/>
  <c r="AT103" i="130"/>
  <c r="BL103" i="130"/>
  <c r="AQ103" i="130"/>
  <c r="AR103" i="130" s="1"/>
  <c r="V103" i="130"/>
  <c r="W103" i="130" s="1"/>
  <c r="BG103" i="130"/>
  <c r="BH103" i="130" s="1"/>
  <c r="AN103" i="130"/>
  <c r="AO103" i="130" s="1"/>
  <c r="BQ103" i="130"/>
  <c r="BR103" i="130" s="1"/>
  <c r="AH103" i="130"/>
  <c r="AI103" i="130" s="1"/>
  <c r="AV103" i="130"/>
  <c r="AW103" i="130" s="1"/>
  <c r="AE103" i="130"/>
  <c r="AF103" i="130" s="1"/>
  <c r="AK103" i="130"/>
  <c r="AL103" i="130" s="1"/>
  <c r="R103" i="130"/>
  <c r="T103" i="130" s="1"/>
  <c r="BA103" i="130"/>
  <c r="BB103" i="130" s="1"/>
  <c r="AB103" i="130"/>
  <c r="AC103" i="130" s="1"/>
  <c r="AY103" i="130"/>
  <c r="BD103" i="130"/>
  <c r="BE103" i="130" s="1"/>
  <c r="K109" i="155"/>
  <c r="I110" i="155"/>
  <c r="R108" i="155"/>
  <c r="T108" i="155" s="1"/>
  <c r="Y108" i="155"/>
  <c r="Z108" i="155" s="1"/>
  <c r="AE108" i="155"/>
  <c r="AF108" i="155" s="1"/>
  <c r="AK108" i="155"/>
  <c r="AL108" i="155" s="1"/>
  <c r="AQ108" i="155"/>
  <c r="AR108" i="155" s="1"/>
  <c r="BD108" i="155"/>
  <c r="BE108" i="155" s="1"/>
  <c r="M108" i="155"/>
  <c r="BQ108" i="155"/>
  <c r="BR108" i="155" s="1"/>
  <c r="O108" i="155"/>
  <c r="V108" i="155"/>
  <c r="W108" i="155" s="1"/>
  <c r="AB108" i="155"/>
  <c r="AC108" i="155" s="1"/>
  <c r="AH108" i="155"/>
  <c r="AI108" i="155" s="1"/>
  <c r="AN108" i="155"/>
  <c r="AO108" i="155" s="1"/>
  <c r="BA108" i="155"/>
  <c r="BB108" i="155" s="1"/>
  <c r="BG108" i="155"/>
  <c r="BH108" i="155" s="1"/>
  <c r="P108" i="155"/>
  <c r="AV108" i="155"/>
  <c r="AW108" i="155" s="1"/>
  <c r="BN108" i="155"/>
  <c r="BO108" i="155" s="1"/>
  <c r="BL108" i="155"/>
  <c r="I113" i="153"/>
  <c r="P108" i="153"/>
  <c r="AV108" i="153"/>
  <c r="AW108" i="153" s="1"/>
  <c r="BN108" i="153"/>
  <c r="BO108" i="153" s="1"/>
  <c r="R108" i="153"/>
  <c r="T108" i="153" s="1"/>
  <c r="Y108" i="153"/>
  <c r="Z108" i="153" s="1"/>
  <c r="AE108" i="153"/>
  <c r="AF108" i="153" s="1"/>
  <c r="AK108" i="153"/>
  <c r="AL108" i="153" s="1"/>
  <c r="AQ108" i="153"/>
  <c r="AR108" i="153" s="1"/>
  <c r="BD108" i="153"/>
  <c r="BE108" i="153" s="1"/>
  <c r="M108" i="153"/>
  <c r="BQ108" i="153"/>
  <c r="BR108" i="153" s="1"/>
  <c r="V108" i="153"/>
  <c r="W108" i="153" s="1"/>
  <c r="AB108" i="153"/>
  <c r="AC108" i="153" s="1"/>
  <c r="BA108" i="153"/>
  <c r="BB108" i="153" s="1"/>
  <c r="BL108" i="153"/>
  <c r="AH108" i="153"/>
  <c r="AI108" i="153" s="1"/>
  <c r="BG108" i="153"/>
  <c r="BH108" i="153" s="1"/>
  <c r="O108" i="153"/>
  <c r="AN108" i="153"/>
  <c r="AO108" i="153" s="1"/>
  <c r="K109" i="153"/>
  <c r="O108" i="152"/>
  <c r="V108" i="152"/>
  <c r="W108" i="152" s="1"/>
  <c r="AB108" i="152"/>
  <c r="AC108" i="152" s="1"/>
  <c r="AH108" i="152"/>
  <c r="AI108" i="152" s="1"/>
  <c r="AN108" i="152"/>
  <c r="AO108" i="152" s="1"/>
  <c r="BA108" i="152"/>
  <c r="BB108" i="152" s="1"/>
  <c r="BG108" i="152"/>
  <c r="BH108" i="152" s="1"/>
  <c r="BL108" i="152"/>
  <c r="P108" i="152"/>
  <c r="AV108" i="152"/>
  <c r="AW108" i="152" s="1"/>
  <c r="BN108" i="152"/>
  <c r="BO108" i="152" s="1"/>
  <c r="R108" i="152"/>
  <c r="T108" i="152" s="1"/>
  <c r="Y108" i="152"/>
  <c r="Z108" i="152" s="1"/>
  <c r="AE108" i="152"/>
  <c r="AF108" i="152" s="1"/>
  <c r="AK108" i="152"/>
  <c r="AL108" i="152" s="1"/>
  <c r="AQ108" i="152"/>
  <c r="AR108" i="152" s="1"/>
  <c r="BD108" i="152"/>
  <c r="BE108" i="152" s="1"/>
  <c r="M108" i="152"/>
  <c r="BQ108" i="152"/>
  <c r="BR108" i="152" s="1"/>
  <c r="K109" i="152"/>
  <c r="BD106" i="151"/>
  <c r="BE106" i="151" s="1"/>
  <c r="AQ106" i="151"/>
  <c r="AR106" i="151" s="1"/>
  <c r="AK106" i="151"/>
  <c r="AL106" i="151" s="1"/>
  <c r="AE106" i="151"/>
  <c r="AF106" i="151" s="1"/>
  <c r="Y106" i="151"/>
  <c r="Z106" i="151" s="1"/>
  <c r="R106" i="151"/>
  <c r="T106" i="151" s="1"/>
  <c r="BQ106" i="151"/>
  <c r="BR106" i="151" s="1"/>
  <c r="BA106" i="151"/>
  <c r="BB106" i="151" s="1"/>
  <c r="AB106" i="151"/>
  <c r="AC106" i="151" s="1"/>
  <c r="BG106" i="151"/>
  <c r="BH106" i="151" s="1"/>
  <c r="AY106" i="151"/>
  <c r="AH106" i="151"/>
  <c r="AI106" i="151" s="1"/>
  <c r="P106" i="151"/>
  <c r="AV106" i="151"/>
  <c r="AW106" i="151" s="1"/>
  <c r="AN106" i="151"/>
  <c r="AO106" i="151" s="1"/>
  <c r="O106" i="151"/>
  <c r="V106" i="151"/>
  <c r="W106" i="151" s="1"/>
  <c r="AT106" i="151"/>
  <c r="BN106" i="151"/>
  <c r="BO106" i="151" s="1"/>
  <c r="M106" i="151"/>
  <c r="BL106" i="151"/>
  <c r="I108" i="151"/>
  <c r="K107" i="151"/>
  <c r="BG105" i="150"/>
  <c r="BH105" i="150" s="1"/>
  <c r="BA105" i="150"/>
  <c r="BB105" i="150" s="1"/>
  <c r="AT105" i="150"/>
  <c r="AN105" i="150"/>
  <c r="AO105" i="150" s="1"/>
  <c r="AH105" i="150"/>
  <c r="AI105" i="150" s="1"/>
  <c r="AB105" i="150"/>
  <c r="AC105" i="150" s="1"/>
  <c r="V105" i="150"/>
  <c r="W105" i="150" s="1"/>
  <c r="O105" i="150"/>
  <c r="BQ105" i="150"/>
  <c r="BR105" i="150" s="1"/>
  <c r="AY105" i="150"/>
  <c r="BD105" i="150"/>
  <c r="BE105" i="150" s="1"/>
  <c r="AQ105" i="150"/>
  <c r="AR105" i="150" s="1"/>
  <c r="AK105" i="150"/>
  <c r="AL105" i="150" s="1"/>
  <c r="AE105" i="150"/>
  <c r="AF105" i="150" s="1"/>
  <c r="Y105" i="150"/>
  <c r="Z105" i="150" s="1"/>
  <c r="R105" i="150"/>
  <c r="T105" i="150" s="1"/>
  <c r="AV105" i="150"/>
  <c r="AW105" i="150" s="1"/>
  <c r="P105" i="150"/>
  <c r="BN105" i="150"/>
  <c r="BO105" i="150" s="1"/>
  <c r="M105" i="150"/>
  <c r="BL105" i="150"/>
  <c r="K106" i="150"/>
  <c r="I109" i="150"/>
  <c r="BQ107" i="149"/>
  <c r="BR107" i="149" s="1"/>
  <c r="BA107" i="149"/>
  <c r="BB107" i="149" s="1"/>
  <c r="AT107" i="149"/>
  <c r="AN107" i="149"/>
  <c r="AO107" i="149" s="1"/>
  <c r="AH107" i="149"/>
  <c r="AI107" i="149" s="1"/>
  <c r="AB107" i="149"/>
  <c r="AC107" i="149" s="1"/>
  <c r="V107" i="149"/>
  <c r="W107" i="149" s="1"/>
  <c r="O107" i="149"/>
  <c r="AV107" i="149"/>
  <c r="AW107" i="149" s="1"/>
  <c r="AE107" i="149"/>
  <c r="AF107" i="149" s="1"/>
  <c r="AY107" i="149"/>
  <c r="AQ107" i="149"/>
  <c r="AR107" i="149" s="1"/>
  <c r="R107" i="149"/>
  <c r="T107" i="149" s="1"/>
  <c r="BG107" i="149"/>
  <c r="BH107" i="149" s="1"/>
  <c r="Y107" i="149"/>
  <c r="Z107" i="149" s="1"/>
  <c r="BD107" i="149"/>
  <c r="BE107" i="149" s="1"/>
  <c r="AK107" i="149"/>
  <c r="AL107" i="149" s="1"/>
  <c r="P107" i="149"/>
  <c r="M107" i="149"/>
  <c r="BN107" i="149"/>
  <c r="BO107" i="149" s="1"/>
  <c r="BL107" i="149"/>
  <c r="I109" i="149"/>
  <c r="K108" i="149"/>
  <c r="BG106" i="147"/>
  <c r="BH106" i="147" s="1"/>
  <c r="BA106" i="147"/>
  <c r="BB106" i="147" s="1"/>
  <c r="AT106" i="147"/>
  <c r="AN106" i="147"/>
  <c r="AO106" i="147" s="1"/>
  <c r="AH106" i="147"/>
  <c r="AI106" i="147" s="1"/>
  <c r="AB106" i="147"/>
  <c r="AC106" i="147" s="1"/>
  <c r="V106" i="147"/>
  <c r="W106" i="147" s="1"/>
  <c r="O106" i="147"/>
  <c r="BQ106" i="147"/>
  <c r="BR106" i="147" s="1"/>
  <c r="AY106" i="147"/>
  <c r="BD106" i="147"/>
  <c r="BE106" i="147" s="1"/>
  <c r="AQ106" i="147"/>
  <c r="AR106" i="147" s="1"/>
  <c r="AK106" i="147"/>
  <c r="AL106" i="147" s="1"/>
  <c r="AE106" i="147"/>
  <c r="AF106" i="147" s="1"/>
  <c r="Y106" i="147"/>
  <c r="Z106" i="147" s="1"/>
  <c r="R106" i="147"/>
  <c r="T106" i="147" s="1"/>
  <c r="P106" i="147"/>
  <c r="AV106" i="147"/>
  <c r="AW106" i="147" s="1"/>
  <c r="BK106" i="147"/>
  <c r="BN106" i="147"/>
  <c r="BO106" i="147" s="1"/>
  <c r="BJ106" i="147"/>
  <c r="BL106" i="147" s="1"/>
  <c r="M106" i="147"/>
  <c r="K107" i="147"/>
  <c r="I108" i="147"/>
  <c r="I107" i="146"/>
  <c r="K106" i="146"/>
  <c r="BD105" i="146"/>
  <c r="BE105" i="146" s="1"/>
  <c r="AQ105" i="146"/>
  <c r="AR105" i="146" s="1"/>
  <c r="AK105" i="146"/>
  <c r="AL105" i="146" s="1"/>
  <c r="AE105" i="146"/>
  <c r="AF105" i="146" s="1"/>
  <c r="Y105" i="146"/>
  <c r="Z105" i="146" s="1"/>
  <c r="R105" i="146"/>
  <c r="T105" i="146" s="1"/>
  <c r="AV105" i="146"/>
  <c r="AW105" i="146" s="1"/>
  <c r="P105" i="146"/>
  <c r="BG105" i="146"/>
  <c r="BH105" i="146" s="1"/>
  <c r="BA105" i="146"/>
  <c r="BB105" i="146" s="1"/>
  <c r="AT105" i="146"/>
  <c r="AN105" i="146"/>
  <c r="AO105" i="146" s="1"/>
  <c r="AH105" i="146"/>
  <c r="AI105" i="146" s="1"/>
  <c r="AB105" i="146"/>
  <c r="AC105" i="146" s="1"/>
  <c r="V105" i="146"/>
  <c r="W105" i="146" s="1"/>
  <c r="O105" i="146"/>
  <c r="AY105" i="146"/>
  <c r="BQ105" i="146"/>
  <c r="BR105" i="146" s="1"/>
  <c r="BJ105" i="146"/>
  <c r="BL105" i="146" s="1"/>
  <c r="BN105" i="146"/>
  <c r="BO105" i="146" s="1"/>
  <c r="BK105" i="146"/>
  <c r="M105" i="146"/>
  <c r="BL102" i="15"/>
  <c r="BN102" i="15"/>
  <c r="BO102" i="15" s="1"/>
  <c r="M102" i="15"/>
  <c r="AB102" i="15"/>
  <c r="AC102" i="15" s="1"/>
  <c r="Y102" i="15"/>
  <c r="Z102" i="15" s="1"/>
  <c r="R102" i="15"/>
  <c r="T102" i="15" s="1"/>
  <c r="AQ102" i="15"/>
  <c r="AR102" i="15" s="1"/>
  <c r="BA102" i="15"/>
  <c r="BB102" i="15" s="1"/>
  <c r="BD102" i="15"/>
  <c r="BE102" i="15" s="1"/>
  <c r="BG102" i="15"/>
  <c r="BH102" i="15" s="1"/>
  <c r="AK102" i="15"/>
  <c r="AL102" i="15" s="1"/>
  <c r="AH102" i="15"/>
  <c r="AI102" i="15" s="1"/>
  <c r="AV102" i="15"/>
  <c r="AW102" i="15" s="1"/>
  <c r="O102" i="15"/>
  <c r="P102" i="15"/>
  <c r="AE102" i="15"/>
  <c r="AF102" i="15" s="1"/>
  <c r="AY102" i="15"/>
  <c r="BQ102" i="15"/>
  <c r="BR102" i="15" s="1"/>
  <c r="AN102" i="15"/>
  <c r="AO102" i="15" s="1"/>
  <c r="AT102" i="15"/>
  <c r="V102" i="15"/>
  <c r="W102" i="15" s="1"/>
  <c r="K103" i="15"/>
  <c r="M105" i="136"/>
  <c r="BL105" i="136"/>
  <c r="BN105" i="136"/>
  <c r="BO105" i="136" s="1"/>
  <c r="AH105" i="136"/>
  <c r="AI105" i="136" s="1"/>
  <c r="Y105" i="136"/>
  <c r="Z105" i="136" s="1"/>
  <c r="R105" i="136"/>
  <c r="T105" i="136" s="1"/>
  <c r="AE105" i="136"/>
  <c r="AF105" i="136" s="1"/>
  <c r="AN105" i="136"/>
  <c r="AO105" i="136" s="1"/>
  <c r="V105" i="136"/>
  <c r="W105" i="136" s="1"/>
  <c r="AV105" i="136"/>
  <c r="AW105" i="136" s="1"/>
  <c r="AB105" i="136"/>
  <c r="AC105" i="136" s="1"/>
  <c r="P105" i="136"/>
  <c r="BA105" i="136"/>
  <c r="BB105" i="136" s="1"/>
  <c r="AY105" i="136"/>
  <c r="O105" i="136"/>
  <c r="BG105" i="136"/>
  <c r="BH105" i="136" s="1"/>
  <c r="BD105" i="136"/>
  <c r="BE105" i="136" s="1"/>
  <c r="AK105" i="136"/>
  <c r="AL105" i="136" s="1"/>
  <c r="BQ105" i="136"/>
  <c r="BR105" i="136" s="1"/>
  <c r="AQ105" i="136"/>
  <c r="AR105" i="136" s="1"/>
  <c r="AT105" i="136"/>
  <c r="K106" i="136"/>
  <c r="BG101" i="120"/>
  <c r="BH101" i="120" s="1"/>
  <c r="AK101" i="120"/>
  <c r="AL101" i="120" s="1"/>
  <c r="O101" i="120"/>
  <c r="V101" i="120"/>
  <c r="W101" i="120" s="1"/>
  <c r="AT101" i="120"/>
  <c r="Y101" i="120"/>
  <c r="Z101" i="120" s="1"/>
  <c r="AQ101" i="120"/>
  <c r="AR101" i="120" s="1"/>
  <c r="AY101" i="120"/>
  <c r="AN101" i="120"/>
  <c r="AO101" i="120" s="1"/>
  <c r="BQ101" i="120"/>
  <c r="BR101" i="120" s="1"/>
  <c r="K102" i="120"/>
  <c r="M101" i="120"/>
  <c r="AB101" i="120"/>
  <c r="AC101" i="120" s="1"/>
  <c r="R101" i="120"/>
  <c r="T101" i="120" s="1"/>
  <c r="AV101" i="120"/>
  <c r="AW101" i="120" s="1"/>
  <c r="AE101" i="120"/>
  <c r="AF101" i="120" s="1"/>
  <c r="BD101" i="120"/>
  <c r="BE101" i="120" s="1"/>
  <c r="AH101" i="120"/>
  <c r="AI101" i="120" s="1"/>
  <c r="BA101" i="120"/>
  <c r="BB101" i="120" s="1"/>
  <c r="P101" i="120"/>
  <c r="BN101" i="120"/>
  <c r="BO101" i="120" s="1"/>
  <c r="I105" i="115"/>
  <c r="K104" i="115"/>
  <c r="M102" i="101"/>
  <c r="BA102" i="101"/>
  <c r="BB102" i="101" s="1"/>
  <c r="Y102" i="101"/>
  <c r="Z102" i="101" s="1"/>
  <c r="AB102" i="101"/>
  <c r="AC102" i="101" s="1"/>
  <c r="AN102" i="101"/>
  <c r="AO102" i="101" s="1"/>
  <c r="BQ102" i="101"/>
  <c r="BR102" i="101" s="1"/>
  <c r="V102" i="101"/>
  <c r="W102" i="101" s="1"/>
  <c r="AE102" i="101"/>
  <c r="AF102" i="101" s="1"/>
  <c r="AY102" i="101"/>
  <c r="AH102" i="101"/>
  <c r="AI102" i="101" s="1"/>
  <c r="BG102" i="101"/>
  <c r="BH102" i="101" s="1"/>
  <c r="P102" i="101"/>
  <c r="AV102" i="101"/>
  <c r="AW102" i="101" s="1"/>
  <c r="O102" i="101"/>
  <c r="AT102" i="101"/>
  <c r="BD102" i="101"/>
  <c r="BE102" i="101" s="1"/>
  <c r="AQ102" i="101"/>
  <c r="AR102" i="101" s="1"/>
  <c r="R102" i="101"/>
  <c r="T102" i="101" s="1"/>
  <c r="AK102" i="101"/>
  <c r="AL102" i="101" s="1"/>
  <c r="BK105" i="105"/>
  <c r="BQ105" i="105"/>
  <c r="BR105" i="105" s="1"/>
  <c r="AE105" i="105"/>
  <c r="AF105" i="105" s="1"/>
  <c r="AY105" i="105"/>
  <c r="V105" i="105"/>
  <c r="W105" i="105" s="1"/>
  <c r="BG105" i="105"/>
  <c r="BH105" i="105" s="1"/>
  <c r="AQ105" i="105"/>
  <c r="AR105" i="105" s="1"/>
  <c r="AH105" i="105"/>
  <c r="AI105" i="105" s="1"/>
  <c r="M105" i="105"/>
  <c r="BN105" i="105"/>
  <c r="BO105" i="105" s="1"/>
  <c r="AV105" i="105"/>
  <c r="AW105" i="105" s="1"/>
  <c r="AB105" i="105"/>
  <c r="AC105" i="105" s="1"/>
  <c r="AT105" i="105"/>
  <c r="P105" i="105"/>
  <c r="BJ105" i="105"/>
  <c r="BL105" i="105" s="1"/>
  <c r="BA105" i="105"/>
  <c r="BB105" i="105" s="1"/>
  <c r="R105" i="105"/>
  <c r="T105" i="105" s="1"/>
  <c r="O105" i="105"/>
  <c r="AN105" i="105"/>
  <c r="AO105" i="105" s="1"/>
  <c r="BD105" i="105"/>
  <c r="BE105" i="105" s="1"/>
  <c r="Y105" i="105"/>
  <c r="Z105" i="105" s="1"/>
  <c r="AK105" i="105"/>
  <c r="AL105" i="105" s="1"/>
  <c r="K106" i="105"/>
  <c r="M103" i="126"/>
  <c r="BK103" i="126"/>
  <c r="BN103" i="126"/>
  <c r="BO103" i="126" s="1"/>
  <c r="BJ103" i="126"/>
  <c r="BL103" i="126" s="1"/>
  <c r="BA103" i="126"/>
  <c r="BB103" i="126" s="1"/>
  <c r="BD103" i="126"/>
  <c r="BE103" i="126" s="1"/>
  <c r="O103" i="126"/>
  <c r="AT103" i="126"/>
  <c r="AK103" i="126"/>
  <c r="AL103" i="126" s="1"/>
  <c r="AB103" i="126"/>
  <c r="AC103" i="126" s="1"/>
  <c r="AN103" i="126"/>
  <c r="AO103" i="126" s="1"/>
  <c r="AH103" i="126"/>
  <c r="AI103" i="126" s="1"/>
  <c r="R103" i="126"/>
  <c r="T103" i="126" s="1"/>
  <c r="AE103" i="126"/>
  <c r="AF103" i="126" s="1"/>
  <c r="Y103" i="126"/>
  <c r="Z103" i="126" s="1"/>
  <c r="P103" i="126"/>
  <c r="AV103" i="126"/>
  <c r="AW103" i="126" s="1"/>
  <c r="BG103" i="126"/>
  <c r="BH103" i="126" s="1"/>
  <c r="V103" i="126"/>
  <c r="W103" i="126" s="1"/>
  <c r="BQ103" i="126"/>
  <c r="BR103" i="126" s="1"/>
  <c r="AY103" i="126"/>
  <c r="AQ103" i="126"/>
  <c r="AR103" i="126" s="1"/>
  <c r="K104" i="126"/>
  <c r="I108" i="63"/>
  <c r="I110" i="132"/>
  <c r="I106" i="135"/>
  <c r="K105" i="135"/>
  <c r="BN101" i="17"/>
  <c r="BO101" i="17" s="1"/>
  <c r="M101" i="17"/>
  <c r="AK101" i="17"/>
  <c r="AL101" i="17" s="1"/>
  <c r="AV101" i="17"/>
  <c r="AW101" i="17" s="1"/>
  <c r="Y101" i="17"/>
  <c r="Z101" i="17" s="1"/>
  <c r="BL101" i="17"/>
  <c r="BD101" i="17"/>
  <c r="BE101" i="17" s="1"/>
  <c r="AH101" i="17"/>
  <c r="AI101" i="17" s="1"/>
  <c r="AT101" i="17"/>
  <c r="AE101" i="17"/>
  <c r="AF101" i="17" s="1"/>
  <c r="AN101" i="17"/>
  <c r="AO101" i="17" s="1"/>
  <c r="AY101" i="17"/>
  <c r="V101" i="17"/>
  <c r="W101" i="17" s="1"/>
  <c r="AQ101" i="17"/>
  <c r="AR101" i="17" s="1"/>
  <c r="P101" i="17"/>
  <c r="BQ101" i="17"/>
  <c r="BR101" i="17" s="1"/>
  <c r="BG101" i="17"/>
  <c r="BH101" i="17" s="1"/>
  <c r="BA101" i="17"/>
  <c r="BB101" i="17" s="1"/>
  <c r="O101" i="17"/>
  <c r="AB101" i="17"/>
  <c r="AC101" i="17" s="1"/>
  <c r="R101" i="17"/>
  <c r="T101" i="17" s="1"/>
  <c r="I112" i="95"/>
  <c r="I104" i="101"/>
  <c r="K103" i="101"/>
  <c r="K102" i="13"/>
  <c r="I103" i="13"/>
  <c r="BK103" i="110"/>
  <c r="BN103" i="110"/>
  <c r="BO103" i="110" s="1"/>
  <c r="BJ103" i="110"/>
  <c r="BL103" i="110" s="1"/>
  <c r="M103" i="110"/>
  <c r="AE103" i="110"/>
  <c r="AF103" i="110" s="1"/>
  <c r="P103" i="110"/>
  <c r="BD103" i="110"/>
  <c r="BE103" i="110" s="1"/>
  <c r="Y103" i="110"/>
  <c r="Z103" i="110" s="1"/>
  <c r="AN103" i="110"/>
  <c r="AO103" i="110" s="1"/>
  <c r="AB103" i="110"/>
  <c r="AC103" i="110" s="1"/>
  <c r="BA103" i="110"/>
  <c r="BB103" i="110" s="1"/>
  <c r="AK103" i="110"/>
  <c r="AL103" i="110" s="1"/>
  <c r="O103" i="110"/>
  <c r="R103" i="110"/>
  <c r="T103" i="110" s="1"/>
  <c r="V103" i="110"/>
  <c r="W103" i="110" s="1"/>
  <c r="AH103" i="110"/>
  <c r="AI103" i="110" s="1"/>
  <c r="BQ103" i="110"/>
  <c r="BR103" i="110" s="1"/>
  <c r="AV103" i="110"/>
  <c r="AW103" i="110" s="1"/>
  <c r="AT103" i="110"/>
  <c r="BG103" i="110"/>
  <c r="BH103" i="110" s="1"/>
  <c r="AQ103" i="110"/>
  <c r="AR103" i="110" s="1"/>
  <c r="AY103" i="110"/>
  <c r="M104" i="135"/>
  <c r="AQ104" i="135"/>
  <c r="AR104" i="135" s="1"/>
  <c r="BD104" i="135"/>
  <c r="BE104" i="135" s="1"/>
  <c r="AN104" i="135"/>
  <c r="AO104" i="135" s="1"/>
  <c r="Y104" i="135"/>
  <c r="Z104" i="135" s="1"/>
  <c r="BN104" i="135"/>
  <c r="BO104" i="135" s="1"/>
  <c r="V104" i="135"/>
  <c r="W104" i="135" s="1"/>
  <c r="AT104" i="135"/>
  <c r="AH104" i="135"/>
  <c r="AI104" i="135" s="1"/>
  <c r="R104" i="135"/>
  <c r="T104" i="135" s="1"/>
  <c r="AY104" i="135"/>
  <c r="O104" i="135"/>
  <c r="AK104" i="135"/>
  <c r="AL104" i="135" s="1"/>
  <c r="P104" i="135"/>
  <c r="AV104" i="135"/>
  <c r="AW104" i="135" s="1"/>
  <c r="BG104" i="135"/>
  <c r="BH104" i="135" s="1"/>
  <c r="BQ104" i="135"/>
  <c r="BR104" i="135" s="1"/>
  <c r="AE104" i="135"/>
  <c r="AF104" i="135" s="1"/>
  <c r="AB104" i="135"/>
  <c r="AC104" i="135" s="1"/>
  <c r="BA104" i="135"/>
  <c r="BB104" i="135" s="1"/>
  <c r="BL104" i="135"/>
  <c r="I103" i="17"/>
  <c r="K102" i="17"/>
  <c r="BQ103" i="98"/>
  <c r="BR103" i="98" s="1"/>
  <c r="AY103" i="98"/>
  <c r="AE103" i="98"/>
  <c r="AF103" i="98" s="1"/>
  <c r="Y103" i="98"/>
  <c r="Z103" i="98" s="1"/>
  <c r="BK103" i="98"/>
  <c r="AT103" i="98"/>
  <c r="BA103" i="98"/>
  <c r="BB103" i="98" s="1"/>
  <c r="AV103" i="98"/>
  <c r="AW103" i="98" s="1"/>
  <c r="AB103" i="98"/>
  <c r="AC103" i="98" s="1"/>
  <c r="P103" i="98"/>
  <c r="M103" i="98"/>
  <c r="BN103" i="98"/>
  <c r="BO103" i="98" s="1"/>
  <c r="AK103" i="98"/>
  <c r="AL103" i="98" s="1"/>
  <c r="AH103" i="98"/>
  <c r="AI103" i="98" s="1"/>
  <c r="BG103" i="98"/>
  <c r="BH103" i="98" s="1"/>
  <c r="BD103" i="98"/>
  <c r="BE103" i="98" s="1"/>
  <c r="K104" i="98"/>
  <c r="BJ103" i="98"/>
  <c r="BL103" i="98" s="1"/>
  <c r="V103" i="98"/>
  <c r="W103" i="98" s="1"/>
  <c r="R103" i="98"/>
  <c r="T103" i="98" s="1"/>
  <c r="AQ103" i="98"/>
  <c r="AR103" i="98" s="1"/>
  <c r="AN103" i="98"/>
  <c r="AO103" i="98" s="1"/>
  <c r="O103" i="98"/>
  <c r="I105" i="96"/>
  <c r="K104" i="96"/>
  <c r="I110" i="105"/>
  <c r="I108" i="126"/>
  <c r="BJ103" i="114"/>
  <c r="BL103" i="114" s="1"/>
  <c r="BN103" i="114"/>
  <c r="BO103" i="114" s="1"/>
  <c r="M103" i="114"/>
  <c r="BK103" i="114"/>
  <c r="AB103" i="114"/>
  <c r="AC103" i="114" s="1"/>
  <c r="BD103" i="114"/>
  <c r="BE103" i="114" s="1"/>
  <c r="AY103" i="114"/>
  <c r="P103" i="114"/>
  <c r="R103" i="114"/>
  <c r="T103" i="114" s="1"/>
  <c r="AK103" i="114"/>
  <c r="AL103" i="114" s="1"/>
  <c r="AQ103" i="114"/>
  <c r="AR103" i="114" s="1"/>
  <c r="AH103" i="114"/>
  <c r="AI103" i="114" s="1"/>
  <c r="BQ103" i="114"/>
  <c r="BR103" i="114" s="1"/>
  <c r="AE103" i="114"/>
  <c r="AF103" i="114" s="1"/>
  <c r="BA103" i="114"/>
  <c r="BB103" i="114" s="1"/>
  <c r="O103" i="114"/>
  <c r="Y103" i="114"/>
  <c r="Z103" i="114" s="1"/>
  <c r="V103" i="114"/>
  <c r="W103" i="114" s="1"/>
  <c r="AV103" i="114"/>
  <c r="AW103" i="114" s="1"/>
  <c r="AN103" i="114"/>
  <c r="AO103" i="114" s="1"/>
  <c r="AT103" i="114"/>
  <c r="BG103" i="114"/>
  <c r="BH103" i="114" s="1"/>
  <c r="K104" i="114"/>
  <c r="V104" i="64"/>
  <c r="W104" i="64" s="1"/>
  <c r="AK104" i="64"/>
  <c r="AL104" i="64" s="1"/>
  <c r="AB104" i="64"/>
  <c r="AC104" i="64" s="1"/>
  <c r="AN104" i="64"/>
  <c r="AO104" i="64" s="1"/>
  <c r="P104" i="64"/>
  <c r="AQ104" i="64"/>
  <c r="AR104" i="64" s="1"/>
  <c r="BG104" i="64"/>
  <c r="BH104" i="64" s="1"/>
  <c r="O104" i="64"/>
  <c r="AE104" i="64"/>
  <c r="AF104" i="64" s="1"/>
  <c r="BD104" i="64"/>
  <c r="BE104" i="64" s="1"/>
  <c r="R104" i="64"/>
  <c r="T104" i="64" s="1"/>
  <c r="AV104" i="64"/>
  <c r="AW104" i="64" s="1"/>
  <c r="AH104" i="64"/>
  <c r="AI104" i="64" s="1"/>
  <c r="BA104" i="64"/>
  <c r="BB104" i="64" s="1"/>
  <c r="AT104" i="64"/>
  <c r="AY104" i="64"/>
  <c r="BQ104" i="64"/>
  <c r="BR104" i="64" s="1"/>
  <c r="M104" i="64"/>
  <c r="Y104" i="64"/>
  <c r="Z104" i="64" s="1"/>
  <c r="BN104" i="64"/>
  <c r="BO104" i="64" s="1"/>
  <c r="BL104" i="64"/>
  <c r="K105" i="64"/>
  <c r="BL101" i="13"/>
  <c r="BN101" i="13"/>
  <c r="BO101" i="13" s="1"/>
  <c r="M101" i="13"/>
  <c r="Y101" i="13"/>
  <c r="Z101" i="13" s="1"/>
  <c r="AK101" i="13"/>
  <c r="AL101" i="13" s="1"/>
  <c r="AE101" i="13"/>
  <c r="AF101" i="13" s="1"/>
  <c r="R101" i="13"/>
  <c r="T101" i="13" s="1"/>
  <c r="AT101" i="13"/>
  <c r="BG101" i="13"/>
  <c r="BH101" i="13" s="1"/>
  <c r="O101" i="13"/>
  <c r="AN101" i="13"/>
  <c r="AO101" i="13" s="1"/>
  <c r="P101" i="13"/>
  <c r="AB101" i="13"/>
  <c r="AC101" i="13" s="1"/>
  <c r="BD101" i="13"/>
  <c r="BE101" i="13" s="1"/>
  <c r="AQ101" i="13"/>
  <c r="AR101" i="13" s="1"/>
  <c r="AV101" i="13"/>
  <c r="AW101" i="13" s="1"/>
  <c r="AH101" i="13"/>
  <c r="AI101" i="13" s="1"/>
  <c r="BQ101" i="13"/>
  <c r="BR101" i="13" s="1"/>
  <c r="AY101" i="13"/>
  <c r="BA101" i="13"/>
  <c r="BB101" i="13" s="1"/>
  <c r="V101" i="13"/>
  <c r="W101" i="13" s="1"/>
  <c r="I105" i="110"/>
  <c r="K104" i="110"/>
  <c r="K102" i="66"/>
  <c r="I103" i="66"/>
  <c r="AK102" i="118"/>
  <c r="AL102" i="118" s="1"/>
  <c r="M102" i="118"/>
  <c r="K103" i="118"/>
  <c r="BN102" i="118"/>
  <c r="BO102" i="118" s="1"/>
  <c r="AB102" i="118"/>
  <c r="AC102" i="118" s="1"/>
  <c r="BA102" i="118"/>
  <c r="BB102" i="118" s="1"/>
  <c r="AY102" i="118"/>
  <c r="Y102" i="118"/>
  <c r="Z102" i="118" s="1"/>
  <c r="BD102" i="118"/>
  <c r="BE102" i="118" s="1"/>
  <c r="P102" i="118"/>
  <c r="AE102" i="118"/>
  <c r="AF102" i="118" s="1"/>
  <c r="AN102" i="118"/>
  <c r="AO102" i="118" s="1"/>
  <c r="AT102" i="118"/>
  <c r="BG102" i="118"/>
  <c r="BH102" i="118" s="1"/>
  <c r="O102" i="118"/>
  <c r="R102" i="118"/>
  <c r="T102" i="118" s="1"/>
  <c r="AQ102" i="118"/>
  <c r="AR102" i="118" s="1"/>
  <c r="AH102" i="118"/>
  <c r="AI102" i="118" s="1"/>
  <c r="AV102" i="118"/>
  <c r="AW102" i="118" s="1"/>
  <c r="BQ102" i="118"/>
  <c r="BR102" i="118" s="1"/>
  <c r="V102" i="118"/>
  <c r="W102" i="118" s="1"/>
  <c r="I107" i="15"/>
  <c r="BQ103" i="96"/>
  <c r="BR103" i="96" s="1"/>
  <c r="M103" i="96"/>
  <c r="V103" i="96"/>
  <c r="W103" i="96" s="1"/>
  <c r="BD103" i="96"/>
  <c r="BE103" i="96" s="1"/>
  <c r="AN103" i="96"/>
  <c r="AO103" i="96" s="1"/>
  <c r="BA103" i="96"/>
  <c r="BB103" i="96" s="1"/>
  <c r="AB103" i="96"/>
  <c r="AC103" i="96" s="1"/>
  <c r="AV103" i="96"/>
  <c r="AW103" i="96" s="1"/>
  <c r="AH103" i="96"/>
  <c r="AI103" i="96" s="1"/>
  <c r="AQ103" i="96"/>
  <c r="AR103" i="96" s="1"/>
  <c r="Y103" i="96"/>
  <c r="Z103" i="96" s="1"/>
  <c r="BG103" i="96"/>
  <c r="BH103" i="96" s="1"/>
  <c r="AK103" i="96"/>
  <c r="AL103" i="96" s="1"/>
  <c r="BN103" i="96"/>
  <c r="BO103" i="96" s="1"/>
  <c r="R103" i="96"/>
  <c r="T103" i="96" s="1"/>
  <c r="P103" i="96"/>
  <c r="AE103" i="96"/>
  <c r="AF103" i="96" s="1"/>
  <c r="O103" i="96"/>
  <c r="AT103" i="96"/>
  <c r="BL103" i="96"/>
  <c r="M103" i="115"/>
  <c r="BJ103" i="115"/>
  <c r="BL103" i="115" s="1"/>
  <c r="BK103" i="115"/>
  <c r="BN103" i="115"/>
  <c r="BO103" i="115" s="1"/>
  <c r="AB103" i="115"/>
  <c r="AC103" i="115" s="1"/>
  <c r="V103" i="115"/>
  <c r="W103" i="115" s="1"/>
  <c r="AQ103" i="115"/>
  <c r="AR103" i="115" s="1"/>
  <c r="R103" i="115"/>
  <c r="T103" i="115" s="1"/>
  <c r="AV103" i="115"/>
  <c r="AW103" i="115" s="1"/>
  <c r="BG103" i="115"/>
  <c r="BH103" i="115" s="1"/>
  <c r="AH103" i="115"/>
  <c r="AI103" i="115" s="1"/>
  <c r="Y103" i="115"/>
  <c r="Z103" i="115" s="1"/>
  <c r="AT103" i="115"/>
  <c r="O103" i="115"/>
  <c r="AN103" i="115"/>
  <c r="AO103" i="115" s="1"/>
  <c r="BA103" i="115"/>
  <c r="BB103" i="115" s="1"/>
  <c r="AK103" i="115"/>
  <c r="AL103" i="115" s="1"/>
  <c r="BD103" i="115"/>
  <c r="BE103" i="115" s="1"/>
  <c r="AE103" i="115"/>
  <c r="AF103" i="115" s="1"/>
  <c r="AY103" i="115"/>
  <c r="BQ103" i="115"/>
  <c r="BR103" i="115" s="1"/>
  <c r="P103" i="115"/>
  <c r="K108" i="124"/>
  <c r="M107" i="124"/>
  <c r="BK107" i="124"/>
  <c r="BJ107" i="124"/>
  <c r="BL107" i="124" s="1"/>
  <c r="BN107" i="124"/>
  <c r="BO107" i="124" s="1"/>
  <c r="AH107" i="124"/>
  <c r="AI107" i="124" s="1"/>
  <c r="BG107" i="124"/>
  <c r="BH107" i="124" s="1"/>
  <c r="V107" i="124"/>
  <c r="W107" i="124" s="1"/>
  <c r="P107" i="124"/>
  <c r="AE107" i="124"/>
  <c r="AF107" i="124" s="1"/>
  <c r="AQ107" i="124"/>
  <c r="AR107" i="124" s="1"/>
  <c r="BQ107" i="124"/>
  <c r="BR107" i="124" s="1"/>
  <c r="AB107" i="124"/>
  <c r="AC107" i="124" s="1"/>
  <c r="AN107" i="124"/>
  <c r="AO107" i="124" s="1"/>
  <c r="O107" i="124"/>
  <c r="AY107" i="124"/>
  <c r="R107" i="124"/>
  <c r="T107" i="124" s="1"/>
  <c r="BD107" i="124"/>
  <c r="BE107" i="124" s="1"/>
  <c r="AK107" i="124"/>
  <c r="AL107" i="124" s="1"/>
  <c r="AV107" i="124"/>
  <c r="AW107" i="124" s="1"/>
  <c r="AT107" i="124"/>
  <c r="Y107" i="124"/>
  <c r="Z107" i="124" s="1"/>
  <c r="BA107" i="124"/>
  <c r="BB107" i="124" s="1"/>
  <c r="M103" i="63"/>
  <c r="BN103" i="63"/>
  <c r="BO103" i="63" s="1"/>
  <c r="V103" i="63"/>
  <c r="W103" i="63" s="1"/>
  <c r="P103" i="63"/>
  <c r="AT103" i="63"/>
  <c r="BQ103" i="63"/>
  <c r="BR103" i="63" s="1"/>
  <c r="AY103" i="63"/>
  <c r="BG103" i="63"/>
  <c r="BH103" i="63" s="1"/>
  <c r="BA103" i="63"/>
  <c r="BB103" i="63" s="1"/>
  <c r="AE103" i="63"/>
  <c r="AF103" i="63" s="1"/>
  <c r="AN103" i="63"/>
  <c r="AO103" i="63" s="1"/>
  <c r="BL103" i="63"/>
  <c r="R103" i="63"/>
  <c r="T103" i="63" s="1"/>
  <c r="O103" i="63"/>
  <c r="BD103" i="63"/>
  <c r="BE103" i="63" s="1"/>
  <c r="AQ103" i="63"/>
  <c r="AR103" i="63" s="1"/>
  <c r="AV103" i="63"/>
  <c r="AW103" i="63" s="1"/>
  <c r="AK103" i="63"/>
  <c r="AL103" i="63" s="1"/>
  <c r="AB103" i="63"/>
  <c r="AC103" i="63" s="1"/>
  <c r="AH103" i="63"/>
  <c r="AI103" i="63" s="1"/>
  <c r="Y103" i="63"/>
  <c r="Z103" i="63" s="1"/>
  <c r="K104" i="63"/>
  <c r="I109" i="136"/>
  <c r="I107" i="104"/>
  <c r="I109" i="64"/>
  <c r="AH101" i="66"/>
  <c r="AI101" i="66" s="1"/>
  <c r="BA101" i="66"/>
  <c r="BB101" i="66" s="1"/>
  <c r="BD101" i="66"/>
  <c r="BE101" i="66" s="1"/>
  <c r="AE101" i="66"/>
  <c r="AF101" i="66" s="1"/>
  <c r="AB101" i="66"/>
  <c r="AC101" i="66" s="1"/>
  <c r="O101" i="66"/>
  <c r="P101" i="66"/>
  <c r="M101" i="66"/>
  <c r="AV101" i="66"/>
  <c r="AW101" i="66" s="1"/>
  <c r="AT101" i="66"/>
  <c r="AN101" i="66"/>
  <c r="AO101" i="66" s="1"/>
  <c r="AK101" i="66"/>
  <c r="AL101" i="66" s="1"/>
  <c r="BN101" i="66"/>
  <c r="BO101" i="66" s="1"/>
  <c r="Y101" i="66"/>
  <c r="Z101" i="66" s="1"/>
  <c r="AQ101" i="66"/>
  <c r="AR101" i="66" s="1"/>
  <c r="BQ101" i="66"/>
  <c r="BR101" i="66" s="1"/>
  <c r="R101" i="66"/>
  <c r="T101" i="66" s="1"/>
  <c r="V101" i="66"/>
  <c r="W101" i="66" s="1"/>
  <c r="AY101" i="66"/>
  <c r="BG101" i="66"/>
  <c r="BH101" i="66" s="1"/>
  <c r="BL101" i="66"/>
  <c r="I109" i="114"/>
  <c r="BN107" i="107" l="1"/>
  <c r="BO107" i="107" s="1"/>
  <c r="BD107" i="107"/>
  <c r="BE107" i="107" s="1"/>
  <c r="BG107" i="107"/>
  <c r="BH107" i="107" s="1"/>
  <c r="BA107" i="107"/>
  <c r="BB107" i="107" s="1"/>
  <c r="AN107" i="107"/>
  <c r="AO107" i="107" s="1"/>
  <c r="R107" i="107"/>
  <c r="T107" i="107" s="1"/>
  <c r="BQ107" i="107"/>
  <c r="BR107" i="107" s="1"/>
  <c r="BK107" i="107"/>
  <c r="AY107" i="107"/>
  <c r="AH107" i="107"/>
  <c r="AI107" i="107" s="1"/>
  <c r="P107" i="107"/>
  <c r="O107" i="107"/>
  <c r="AK107" i="107"/>
  <c r="AL107" i="107" s="1"/>
  <c r="Y107" i="107"/>
  <c r="Z107" i="107" s="1"/>
  <c r="AV107" i="107"/>
  <c r="AW107" i="107" s="1"/>
  <c r="AQ107" i="107"/>
  <c r="AR107" i="107" s="1"/>
  <c r="AT107" i="107"/>
  <c r="BJ107" i="107"/>
  <c r="BL107" i="107" s="1"/>
  <c r="AB107" i="107"/>
  <c r="AC107" i="107" s="1"/>
  <c r="M107" i="107"/>
  <c r="V107" i="107"/>
  <c r="W107" i="107" s="1"/>
  <c r="AE107" i="107"/>
  <c r="AF107" i="107" s="1"/>
  <c r="AY105" i="132"/>
  <c r="AB105" i="132"/>
  <c r="AC105" i="132" s="1"/>
  <c r="BL105" i="132"/>
  <c r="BA105" i="132"/>
  <c r="BB105" i="132" s="1"/>
  <c r="M105" i="132"/>
  <c r="O105" i="132"/>
  <c r="R105" i="132"/>
  <c r="T105" i="132" s="1"/>
  <c r="BQ105" i="132"/>
  <c r="BR105" i="132" s="1"/>
  <c r="AV105" i="132"/>
  <c r="AW105" i="132" s="1"/>
  <c r="AE105" i="132"/>
  <c r="AF105" i="132" s="1"/>
  <c r="AK105" i="132"/>
  <c r="AL105" i="132" s="1"/>
  <c r="AQ105" i="132"/>
  <c r="AR105" i="132" s="1"/>
  <c r="BD105" i="132"/>
  <c r="BE105" i="132" s="1"/>
  <c r="V105" i="132"/>
  <c r="W105" i="132" s="1"/>
  <c r="AH105" i="132"/>
  <c r="AI105" i="132" s="1"/>
  <c r="P105" i="132"/>
  <c r="AT105" i="132"/>
  <c r="K106" i="132"/>
  <c r="BG105" i="132"/>
  <c r="BH105" i="132" s="1"/>
  <c r="Y105" i="132"/>
  <c r="Z105" i="132" s="1"/>
  <c r="BN105" i="132"/>
  <c r="BO105" i="132" s="1"/>
  <c r="AN105" i="132"/>
  <c r="AO105" i="132" s="1"/>
  <c r="I109" i="107"/>
  <c r="K108" i="107"/>
  <c r="BJ105" i="99"/>
  <c r="BL105" i="99" s="1"/>
  <c r="O105" i="99"/>
  <c r="R105" i="99"/>
  <c r="T105" i="99" s="1"/>
  <c r="AQ105" i="99"/>
  <c r="AR105" i="99" s="1"/>
  <c r="BA105" i="99"/>
  <c r="BB105" i="99" s="1"/>
  <c r="AV105" i="99"/>
  <c r="AW105" i="99" s="1"/>
  <c r="BG105" i="99"/>
  <c r="BH105" i="99" s="1"/>
  <c r="M105" i="99"/>
  <c r="AN105" i="99"/>
  <c r="AO105" i="99" s="1"/>
  <c r="P105" i="99"/>
  <c r="Y105" i="99"/>
  <c r="Z105" i="99" s="1"/>
  <c r="AB105" i="99"/>
  <c r="AC105" i="99" s="1"/>
  <c r="BN105" i="99"/>
  <c r="BO105" i="99" s="1"/>
  <c r="AK105" i="99"/>
  <c r="AL105" i="99" s="1"/>
  <c r="BK105" i="99"/>
  <c r="BQ105" i="99"/>
  <c r="BR105" i="99" s="1"/>
  <c r="AT105" i="99"/>
  <c r="AY105" i="99"/>
  <c r="V105" i="99"/>
  <c r="W105" i="99" s="1"/>
  <c r="AH105" i="99"/>
  <c r="AI105" i="99" s="1"/>
  <c r="BD105" i="99"/>
  <c r="BE105" i="99" s="1"/>
  <c r="AE105" i="99"/>
  <c r="AF105" i="99" s="1"/>
  <c r="K106" i="99"/>
  <c r="AB108" i="156"/>
  <c r="AC108" i="156" s="1"/>
  <c r="AV108" i="156"/>
  <c r="AW108" i="156" s="1"/>
  <c r="AE108" i="156"/>
  <c r="AF108" i="156" s="1"/>
  <c r="M108" i="156"/>
  <c r="AH108" i="156"/>
  <c r="AI108" i="156" s="1"/>
  <c r="BN108" i="156"/>
  <c r="BO108" i="156" s="1"/>
  <c r="BD108" i="156"/>
  <c r="BE108" i="156" s="1"/>
  <c r="AN108" i="156"/>
  <c r="AO108" i="156" s="1"/>
  <c r="R108" i="156"/>
  <c r="T108" i="156" s="1"/>
  <c r="BL108" i="156"/>
  <c r="BQ108" i="156"/>
  <c r="BR108" i="156" s="1"/>
  <c r="BA108" i="156"/>
  <c r="BB108" i="156" s="1"/>
  <c r="AQ108" i="156"/>
  <c r="AR108" i="156" s="1"/>
  <c r="O108" i="156"/>
  <c r="BG108" i="156"/>
  <c r="BH108" i="156" s="1"/>
  <c r="Y108" i="156"/>
  <c r="Z108" i="156" s="1"/>
  <c r="V108" i="156"/>
  <c r="W108" i="156" s="1"/>
  <c r="P108" i="156"/>
  <c r="AK108" i="156"/>
  <c r="AL108" i="156" s="1"/>
  <c r="I110" i="156"/>
  <c r="K109" i="156"/>
  <c r="AY109" i="156" s="1"/>
  <c r="BN103" i="104"/>
  <c r="BO103" i="104" s="1"/>
  <c r="AY103" i="104"/>
  <c r="AH103" i="104"/>
  <c r="AI103" i="104" s="1"/>
  <c r="AT103" i="104"/>
  <c r="BK103" i="104"/>
  <c r="AQ103" i="104"/>
  <c r="AR103" i="104" s="1"/>
  <c r="K104" i="104"/>
  <c r="P103" i="104"/>
  <c r="Y103" i="104"/>
  <c r="Z103" i="104" s="1"/>
  <c r="BD103" i="104"/>
  <c r="BE103" i="104" s="1"/>
  <c r="AK103" i="104"/>
  <c r="AL103" i="104" s="1"/>
  <c r="AN103" i="104"/>
  <c r="AO103" i="104" s="1"/>
  <c r="BJ103" i="104"/>
  <c r="BL103" i="104" s="1"/>
  <c r="O103" i="104"/>
  <c r="AB103" i="104"/>
  <c r="AC103" i="104" s="1"/>
  <c r="BA103" i="104"/>
  <c r="BB103" i="104" s="1"/>
  <c r="AV103" i="104"/>
  <c r="AW103" i="104" s="1"/>
  <c r="M103" i="104"/>
  <c r="AE103" i="104"/>
  <c r="AF103" i="104" s="1"/>
  <c r="BQ103" i="104"/>
  <c r="BR103" i="104" s="1"/>
  <c r="R103" i="104"/>
  <c r="T103" i="104" s="1"/>
  <c r="V103" i="104"/>
  <c r="W103" i="104" s="1"/>
  <c r="BG103" i="104"/>
  <c r="BH103" i="104" s="1"/>
  <c r="I110" i="106"/>
  <c r="M106" i="133"/>
  <c r="R106" i="133"/>
  <c r="T106" i="133" s="1"/>
  <c r="AV106" i="133"/>
  <c r="AW106" i="133" s="1"/>
  <c r="AT106" i="133"/>
  <c r="AY106" i="133"/>
  <c r="O106" i="133"/>
  <c r="AQ106" i="133"/>
  <c r="AR106" i="133" s="1"/>
  <c r="K107" i="133"/>
  <c r="AB106" i="133"/>
  <c r="AC106" i="133" s="1"/>
  <c r="BA106" i="133"/>
  <c r="BB106" i="133" s="1"/>
  <c r="P106" i="133"/>
  <c r="BQ106" i="133"/>
  <c r="BR106" i="133" s="1"/>
  <c r="AE106" i="133"/>
  <c r="AF106" i="133" s="1"/>
  <c r="AN106" i="133"/>
  <c r="AO106" i="133" s="1"/>
  <c r="BN106" i="133"/>
  <c r="BO106" i="133" s="1"/>
  <c r="V106" i="133"/>
  <c r="W106" i="133" s="1"/>
  <c r="Y106" i="133"/>
  <c r="Z106" i="133" s="1"/>
  <c r="BD106" i="133"/>
  <c r="BE106" i="133" s="1"/>
  <c r="BL106" i="133"/>
  <c r="AH106" i="133"/>
  <c r="AI106" i="133" s="1"/>
  <c r="BG106" i="133"/>
  <c r="BH106" i="133" s="1"/>
  <c r="AK106" i="133"/>
  <c r="AL106" i="133" s="1"/>
  <c r="BK103" i="112"/>
  <c r="K104" i="112"/>
  <c r="M103" i="112"/>
  <c r="O103" i="112"/>
  <c r="AN103" i="112"/>
  <c r="AO103" i="112" s="1"/>
  <c r="P103" i="112"/>
  <c r="BN103" i="112"/>
  <c r="BO103" i="112" s="1"/>
  <c r="BA103" i="112"/>
  <c r="BB103" i="112" s="1"/>
  <c r="R103" i="112"/>
  <c r="T103" i="112" s="1"/>
  <c r="AT103" i="112"/>
  <c r="AH103" i="112"/>
  <c r="AI103" i="112" s="1"/>
  <c r="V103" i="112"/>
  <c r="W103" i="112" s="1"/>
  <c r="BG103" i="112"/>
  <c r="BH103" i="112" s="1"/>
  <c r="BD103" i="112"/>
  <c r="BE103" i="112" s="1"/>
  <c r="AB103" i="112"/>
  <c r="AC103" i="112" s="1"/>
  <c r="BQ103" i="112"/>
  <c r="BR103" i="112" s="1"/>
  <c r="AE103" i="112"/>
  <c r="AF103" i="112" s="1"/>
  <c r="AK103" i="112"/>
  <c r="AL103" i="112" s="1"/>
  <c r="AY103" i="112"/>
  <c r="BJ103" i="112"/>
  <c r="BL103" i="112" s="1"/>
  <c r="AV103" i="112"/>
  <c r="AW103" i="112" s="1"/>
  <c r="Y103" i="112"/>
  <c r="Z103" i="112" s="1"/>
  <c r="AQ103" i="112"/>
  <c r="AR103" i="112" s="1"/>
  <c r="BA102" i="95"/>
  <c r="BB102" i="95" s="1"/>
  <c r="R102" i="95"/>
  <c r="T102" i="95" s="1"/>
  <c r="Y102" i="95"/>
  <c r="Z102" i="95" s="1"/>
  <c r="M102" i="95"/>
  <c r="AB102" i="95"/>
  <c r="AC102" i="95" s="1"/>
  <c r="O102" i="95"/>
  <c r="V102" i="95"/>
  <c r="W102" i="95" s="1"/>
  <c r="BN102" i="95"/>
  <c r="BO102" i="95" s="1"/>
  <c r="AV102" i="95"/>
  <c r="AW102" i="95" s="1"/>
  <c r="BD102" i="95"/>
  <c r="BE102" i="95" s="1"/>
  <c r="AQ102" i="95"/>
  <c r="AR102" i="95" s="1"/>
  <c r="BL102" i="95"/>
  <c r="P102" i="95"/>
  <c r="AH102" i="95"/>
  <c r="AI102" i="95" s="1"/>
  <c r="K103" i="95"/>
  <c r="BG102" i="95"/>
  <c r="BH102" i="95" s="1"/>
  <c r="AE102" i="95"/>
  <c r="AF102" i="95" s="1"/>
  <c r="AK102" i="95"/>
  <c r="AL102" i="95" s="1"/>
  <c r="AN102" i="95"/>
  <c r="AO102" i="95" s="1"/>
  <c r="BQ102" i="95"/>
  <c r="BR102" i="95" s="1"/>
  <c r="AT102" i="95"/>
  <c r="M104" i="129"/>
  <c r="P104" i="129"/>
  <c r="BG104" i="129"/>
  <c r="BH104" i="129" s="1"/>
  <c r="O104" i="129"/>
  <c r="K105" i="129"/>
  <c r="AB104" i="129"/>
  <c r="AC104" i="129" s="1"/>
  <c r="Y104" i="129"/>
  <c r="Z104" i="129" s="1"/>
  <c r="AY104" i="129"/>
  <c r="BN104" i="129"/>
  <c r="BO104" i="129" s="1"/>
  <c r="V104" i="129"/>
  <c r="W104" i="129" s="1"/>
  <c r="AQ104" i="129"/>
  <c r="AR104" i="129" s="1"/>
  <c r="BD104" i="129"/>
  <c r="BE104" i="129" s="1"/>
  <c r="BQ104" i="129"/>
  <c r="BR104" i="129" s="1"/>
  <c r="AT104" i="129"/>
  <c r="BA104" i="129"/>
  <c r="BB104" i="129" s="1"/>
  <c r="BL104" i="129"/>
  <c r="R104" i="129"/>
  <c r="T104" i="129" s="1"/>
  <c r="AH104" i="129"/>
  <c r="AI104" i="129" s="1"/>
  <c r="AE104" i="129"/>
  <c r="AF104" i="129" s="1"/>
  <c r="AK104" i="129"/>
  <c r="AL104" i="129" s="1"/>
  <c r="AV104" i="129"/>
  <c r="AW104" i="129" s="1"/>
  <c r="AN104" i="129"/>
  <c r="AO104" i="129" s="1"/>
  <c r="BK103" i="106"/>
  <c r="AV103" i="106"/>
  <c r="AW103" i="106" s="1"/>
  <c r="AN103" i="106"/>
  <c r="AO103" i="106" s="1"/>
  <c r="AT103" i="106"/>
  <c r="M103" i="106"/>
  <c r="AK103" i="106"/>
  <c r="AL103" i="106" s="1"/>
  <c r="AE103" i="106"/>
  <c r="AF103" i="106" s="1"/>
  <c r="BD103" i="106"/>
  <c r="BE103" i="106" s="1"/>
  <c r="O103" i="106"/>
  <c r="AQ103" i="106"/>
  <c r="AR103" i="106" s="1"/>
  <c r="AH103" i="106"/>
  <c r="AI103" i="106" s="1"/>
  <c r="BJ103" i="106"/>
  <c r="BL103" i="106" s="1"/>
  <c r="P103" i="106"/>
  <c r="Y103" i="106"/>
  <c r="Z103" i="106" s="1"/>
  <c r="AB103" i="106"/>
  <c r="AC103" i="106" s="1"/>
  <c r="BN103" i="106"/>
  <c r="BO103" i="106" s="1"/>
  <c r="R103" i="106"/>
  <c r="T103" i="106" s="1"/>
  <c r="V103" i="106"/>
  <c r="W103" i="106" s="1"/>
  <c r="AY103" i="106"/>
  <c r="BQ103" i="106"/>
  <c r="BR103" i="106" s="1"/>
  <c r="BG103" i="106"/>
  <c r="BH103" i="106" s="1"/>
  <c r="BA103" i="106"/>
  <c r="BB103" i="106" s="1"/>
  <c r="K104" i="106"/>
  <c r="BN104" i="130"/>
  <c r="BO104" i="130" s="1"/>
  <c r="M104" i="130"/>
  <c r="BL104" i="130"/>
  <c r="K105" i="130"/>
  <c r="R104" i="130"/>
  <c r="T104" i="130" s="1"/>
  <c r="BG104" i="130"/>
  <c r="BH104" i="130" s="1"/>
  <c r="BA104" i="130"/>
  <c r="BB104" i="130" s="1"/>
  <c r="AB104" i="130"/>
  <c r="AC104" i="130" s="1"/>
  <c r="BD104" i="130"/>
  <c r="BE104" i="130" s="1"/>
  <c r="AV104" i="130"/>
  <c r="AW104" i="130" s="1"/>
  <c r="AN104" i="130"/>
  <c r="AO104" i="130" s="1"/>
  <c r="AT104" i="130"/>
  <c r="P104" i="130"/>
  <c r="O104" i="130"/>
  <c r="Y104" i="130"/>
  <c r="Z104" i="130" s="1"/>
  <c r="AY104" i="130"/>
  <c r="AQ104" i="130"/>
  <c r="AR104" i="130" s="1"/>
  <c r="AH104" i="130"/>
  <c r="AI104" i="130" s="1"/>
  <c r="AE104" i="130"/>
  <c r="AF104" i="130" s="1"/>
  <c r="V104" i="130"/>
  <c r="W104" i="130" s="1"/>
  <c r="BQ104" i="130"/>
  <c r="BR104" i="130" s="1"/>
  <c r="AK104" i="130"/>
  <c r="AL104" i="130" s="1"/>
  <c r="K110" i="155"/>
  <c r="I111" i="155"/>
  <c r="R109" i="155"/>
  <c r="T109" i="155" s="1"/>
  <c r="Y109" i="155"/>
  <c r="Z109" i="155" s="1"/>
  <c r="AE109" i="155"/>
  <c r="AF109" i="155" s="1"/>
  <c r="AK109" i="155"/>
  <c r="AL109" i="155" s="1"/>
  <c r="AQ109" i="155"/>
  <c r="AR109" i="155" s="1"/>
  <c r="BD109" i="155"/>
  <c r="BE109" i="155" s="1"/>
  <c r="M109" i="155"/>
  <c r="BQ109" i="155"/>
  <c r="BR109" i="155" s="1"/>
  <c r="O109" i="155"/>
  <c r="V109" i="155"/>
  <c r="W109" i="155" s="1"/>
  <c r="AB109" i="155"/>
  <c r="AC109" i="155" s="1"/>
  <c r="AH109" i="155"/>
  <c r="AI109" i="155" s="1"/>
  <c r="AN109" i="155"/>
  <c r="AO109" i="155" s="1"/>
  <c r="BA109" i="155"/>
  <c r="BB109" i="155" s="1"/>
  <c r="BG109" i="155"/>
  <c r="BH109" i="155" s="1"/>
  <c r="P109" i="155"/>
  <c r="AV109" i="155"/>
  <c r="AW109" i="155" s="1"/>
  <c r="BN109" i="155"/>
  <c r="BO109" i="155" s="1"/>
  <c r="BL109" i="155"/>
  <c r="P109" i="153"/>
  <c r="AV109" i="153"/>
  <c r="AW109" i="153" s="1"/>
  <c r="BN109" i="153"/>
  <c r="BO109" i="153" s="1"/>
  <c r="R109" i="153"/>
  <c r="T109" i="153" s="1"/>
  <c r="Y109" i="153"/>
  <c r="Z109" i="153" s="1"/>
  <c r="AE109" i="153"/>
  <c r="AF109" i="153" s="1"/>
  <c r="AK109" i="153"/>
  <c r="AL109" i="153" s="1"/>
  <c r="AQ109" i="153"/>
  <c r="AR109" i="153" s="1"/>
  <c r="BD109" i="153"/>
  <c r="BE109" i="153" s="1"/>
  <c r="M109" i="153"/>
  <c r="BQ109" i="153"/>
  <c r="BR109" i="153" s="1"/>
  <c r="V109" i="153"/>
  <c r="W109" i="153" s="1"/>
  <c r="AB109" i="153"/>
  <c r="AC109" i="153" s="1"/>
  <c r="BA109" i="153"/>
  <c r="BB109" i="153" s="1"/>
  <c r="BL109" i="153"/>
  <c r="AH109" i="153"/>
  <c r="AI109" i="153" s="1"/>
  <c r="BG109" i="153"/>
  <c r="BH109" i="153" s="1"/>
  <c r="O109" i="153"/>
  <c r="AN109" i="153"/>
  <c r="AO109" i="153" s="1"/>
  <c r="K110" i="153"/>
  <c r="I114" i="153"/>
  <c r="O109" i="152"/>
  <c r="V109" i="152"/>
  <c r="W109" i="152" s="1"/>
  <c r="AB109" i="152"/>
  <c r="AC109" i="152" s="1"/>
  <c r="AH109" i="152"/>
  <c r="AI109" i="152" s="1"/>
  <c r="AN109" i="152"/>
  <c r="AO109" i="152" s="1"/>
  <c r="BA109" i="152"/>
  <c r="BB109" i="152" s="1"/>
  <c r="BG109" i="152"/>
  <c r="BH109" i="152" s="1"/>
  <c r="BL109" i="152"/>
  <c r="P109" i="152"/>
  <c r="AV109" i="152"/>
  <c r="AW109" i="152" s="1"/>
  <c r="BN109" i="152"/>
  <c r="BO109" i="152" s="1"/>
  <c r="R109" i="152"/>
  <c r="T109" i="152" s="1"/>
  <c r="Y109" i="152"/>
  <c r="Z109" i="152" s="1"/>
  <c r="AE109" i="152"/>
  <c r="AF109" i="152" s="1"/>
  <c r="AK109" i="152"/>
  <c r="AL109" i="152" s="1"/>
  <c r="AQ109" i="152"/>
  <c r="AR109" i="152" s="1"/>
  <c r="BD109" i="152"/>
  <c r="BE109" i="152" s="1"/>
  <c r="M109" i="152"/>
  <c r="BQ109" i="152"/>
  <c r="BR109" i="152" s="1"/>
  <c r="K110" i="152"/>
  <c r="BG107" i="151"/>
  <c r="BH107" i="151" s="1"/>
  <c r="BA107" i="151"/>
  <c r="BB107" i="151" s="1"/>
  <c r="BD107" i="151"/>
  <c r="BE107" i="151" s="1"/>
  <c r="AV107" i="151"/>
  <c r="AW107" i="151" s="1"/>
  <c r="P107" i="151"/>
  <c r="AT107" i="151"/>
  <c r="AE107" i="151"/>
  <c r="AF107" i="151" s="1"/>
  <c r="V107" i="151"/>
  <c r="W107" i="151" s="1"/>
  <c r="AK107" i="151"/>
  <c r="AL107" i="151" s="1"/>
  <c r="AB107" i="151"/>
  <c r="AC107" i="151" s="1"/>
  <c r="AY107" i="151"/>
  <c r="AQ107" i="151"/>
  <c r="AR107" i="151" s="1"/>
  <c r="AH107" i="151"/>
  <c r="AI107" i="151" s="1"/>
  <c r="R107" i="151"/>
  <c r="T107" i="151" s="1"/>
  <c r="BQ107" i="151"/>
  <c r="BR107" i="151" s="1"/>
  <c r="Y107" i="151"/>
  <c r="Z107" i="151" s="1"/>
  <c r="O107" i="151"/>
  <c r="AN107" i="151"/>
  <c r="AO107" i="151" s="1"/>
  <c r="M107" i="151"/>
  <c r="BN107" i="151"/>
  <c r="BO107" i="151" s="1"/>
  <c r="BL107" i="151"/>
  <c r="I109" i="151"/>
  <c r="K108" i="151"/>
  <c r="I110" i="150"/>
  <c r="BG106" i="150"/>
  <c r="BH106" i="150" s="1"/>
  <c r="BA106" i="150"/>
  <c r="BB106" i="150" s="1"/>
  <c r="AT106" i="150"/>
  <c r="AN106" i="150"/>
  <c r="AO106" i="150" s="1"/>
  <c r="AH106" i="150"/>
  <c r="AI106" i="150" s="1"/>
  <c r="AB106" i="150"/>
  <c r="AC106" i="150" s="1"/>
  <c r="V106" i="150"/>
  <c r="W106" i="150" s="1"/>
  <c r="O106" i="150"/>
  <c r="BQ106" i="150"/>
  <c r="BR106" i="150" s="1"/>
  <c r="AY106" i="150"/>
  <c r="BD106" i="150"/>
  <c r="BE106" i="150" s="1"/>
  <c r="AQ106" i="150"/>
  <c r="AR106" i="150" s="1"/>
  <c r="AK106" i="150"/>
  <c r="AL106" i="150" s="1"/>
  <c r="AE106" i="150"/>
  <c r="AF106" i="150" s="1"/>
  <c r="Y106" i="150"/>
  <c r="Z106" i="150" s="1"/>
  <c r="R106" i="150"/>
  <c r="T106" i="150" s="1"/>
  <c r="AV106" i="150"/>
  <c r="AW106" i="150" s="1"/>
  <c r="P106" i="150"/>
  <c r="BN106" i="150"/>
  <c r="BO106" i="150" s="1"/>
  <c r="M106" i="150"/>
  <c r="BL106" i="150"/>
  <c r="K107" i="150"/>
  <c r="AV108" i="149"/>
  <c r="AW108" i="149" s="1"/>
  <c r="P108" i="149"/>
  <c r="AN108" i="149"/>
  <c r="AO108" i="149" s="1"/>
  <c r="Y108" i="149"/>
  <c r="Z108" i="149" s="1"/>
  <c r="O108" i="149"/>
  <c r="AY108" i="149"/>
  <c r="AB108" i="149"/>
  <c r="AC108" i="149" s="1"/>
  <c r="R108" i="149"/>
  <c r="T108" i="149" s="1"/>
  <c r="BD108" i="149"/>
  <c r="BE108" i="149" s="1"/>
  <c r="AH108" i="149"/>
  <c r="AI108" i="149" s="1"/>
  <c r="V108" i="149"/>
  <c r="W108" i="149" s="1"/>
  <c r="AQ108" i="149"/>
  <c r="AR108" i="149" s="1"/>
  <c r="BG108" i="149"/>
  <c r="BH108" i="149" s="1"/>
  <c r="AK108" i="149"/>
  <c r="AL108" i="149" s="1"/>
  <c r="BQ108" i="149"/>
  <c r="BR108" i="149" s="1"/>
  <c r="BA108" i="149"/>
  <c r="BB108" i="149" s="1"/>
  <c r="AT108" i="149"/>
  <c r="AE108" i="149"/>
  <c r="AF108" i="149" s="1"/>
  <c r="M108" i="149"/>
  <c r="BN108" i="149"/>
  <c r="BO108" i="149" s="1"/>
  <c r="BL108" i="149"/>
  <c r="I110" i="149"/>
  <c r="K109" i="149"/>
  <c r="I109" i="147"/>
  <c r="K108" i="147"/>
  <c r="BG107" i="147"/>
  <c r="BH107" i="147" s="1"/>
  <c r="BA107" i="147"/>
  <c r="BB107" i="147" s="1"/>
  <c r="BQ107" i="147"/>
  <c r="BR107" i="147" s="1"/>
  <c r="AT107" i="147"/>
  <c r="AN107" i="147"/>
  <c r="AO107" i="147" s="1"/>
  <c r="AH107" i="147"/>
  <c r="AI107" i="147" s="1"/>
  <c r="AB107" i="147"/>
  <c r="AC107" i="147" s="1"/>
  <c r="V107" i="147"/>
  <c r="W107" i="147" s="1"/>
  <c r="O107" i="147"/>
  <c r="AY107" i="147"/>
  <c r="AQ107" i="147"/>
  <c r="AR107" i="147" s="1"/>
  <c r="AK107" i="147"/>
  <c r="AL107" i="147" s="1"/>
  <c r="AE107" i="147"/>
  <c r="AF107" i="147" s="1"/>
  <c r="Y107" i="147"/>
  <c r="Z107" i="147" s="1"/>
  <c r="R107" i="147"/>
  <c r="T107" i="147" s="1"/>
  <c r="BD107" i="147"/>
  <c r="BE107" i="147" s="1"/>
  <c r="AV107" i="147"/>
  <c r="AW107" i="147" s="1"/>
  <c r="P107" i="147"/>
  <c r="BN107" i="147"/>
  <c r="BO107" i="147" s="1"/>
  <c r="BJ107" i="147"/>
  <c r="BL107" i="147" s="1"/>
  <c r="BK107" i="147"/>
  <c r="M107" i="147"/>
  <c r="BD106" i="146"/>
  <c r="BE106" i="146" s="1"/>
  <c r="AQ106" i="146"/>
  <c r="AR106" i="146" s="1"/>
  <c r="AK106" i="146"/>
  <c r="AL106" i="146" s="1"/>
  <c r="AE106" i="146"/>
  <c r="AF106" i="146" s="1"/>
  <c r="Y106" i="146"/>
  <c r="Z106" i="146" s="1"/>
  <c r="R106" i="146"/>
  <c r="T106" i="146" s="1"/>
  <c r="AV106" i="146"/>
  <c r="AW106" i="146" s="1"/>
  <c r="P106" i="146"/>
  <c r="BG106" i="146"/>
  <c r="BH106" i="146" s="1"/>
  <c r="BA106" i="146"/>
  <c r="BB106" i="146" s="1"/>
  <c r="AT106" i="146"/>
  <c r="AN106" i="146"/>
  <c r="AO106" i="146" s="1"/>
  <c r="AH106" i="146"/>
  <c r="AI106" i="146" s="1"/>
  <c r="AB106" i="146"/>
  <c r="AC106" i="146" s="1"/>
  <c r="V106" i="146"/>
  <c r="W106" i="146" s="1"/>
  <c r="O106" i="146"/>
  <c r="BQ106" i="146"/>
  <c r="BR106" i="146" s="1"/>
  <c r="AY106" i="146"/>
  <c r="M106" i="146"/>
  <c r="BJ106" i="146"/>
  <c r="BL106" i="146" s="1"/>
  <c r="BN106" i="146"/>
  <c r="BO106" i="146" s="1"/>
  <c r="BK106" i="146"/>
  <c r="I108" i="146"/>
  <c r="K107" i="146"/>
  <c r="I110" i="114"/>
  <c r="K103" i="66"/>
  <c r="I104" i="66"/>
  <c r="R105" i="135"/>
  <c r="T105" i="135" s="1"/>
  <c r="AN105" i="135"/>
  <c r="AO105" i="135" s="1"/>
  <c r="V105" i="135"/>
  <c r="W105" i="135" s="1"/>
  <c r="AK105" i="135"/>
  <c r="AL105" i="135" s="1"/>
  <c r="BA105" i="135"/>
  <c r="BB105" i="135" s="1"/>
  <c r="Y105" i="135"/>
  <c r="Z105" i="135" s="1"/>
  <c r="P105" i="135"/>
  <c r="O105" i="135"/>
  <c r="AH105" i="135"/>
  <c r="AI105" i="135" s="1"/>
  <c r="AV105" i="135"/>
  <c r="AW105" i="135" s="1"/>
  <c r="M105" i="135"/>
  <c r="AE105" i="135"/>
  <c r="AF105" i="135" s="1"/>
  <c r="BG105" i="135"/>
  <c r="BH105" i="135" s="1"/>
  <c r="BQ105" i="135"/>
  <c r="BR105" i="135" s="1"/>
  <c r="AT105" i="135"/>
  <c r="AB105" i="135"/>
  <c r="AC105" i="135" s="1"/>
  <c r="AY105" i="135"/>
  <c r="BD105" i="135"/>
  <c r="BE105" i="135" s="1"/>
  <c r="AQ105" i="135"/>
  <c r="AR105" i="135" s="1"/>
  <c r="BN105" i="135"/>
  <c r="BO105" i="135" s="1"/>
  <c r="BL105" i="135"/>
  <c r="M106" i="136"/>
  <c r="BN106" i="136"/>
  <c r="BO106" i="136" s="1"/>
  <c r="AE106" i="136"/>
  <c r="AF106" i="136" s="1"/>
  <c r="BL106" i="136"/>
  <c r="AK106" i="136"/>
  <c r="AL106" i="136" s="1"/>
  <c r="BQ106" i="136"/>
  <c r="BR106" i="136" s="1"/>
  <c r="O106" i="136"/>
  <c r="AY106" i="136"/>
  <c r="BD106" i="136"/>
  <c r="BE106" i="136" s="1"/>
  <c r="BA106" i="136"/>
  <c r="BB106" i="136" s="1"/>
  <c r="AT106" i="136"/>
  <c r="BG106" i="136"/>
  <c r="BH106" i="136" s="1"/>
  <c r="AQ106" i="136"/>
  <c r="AR106" i="136" s="1"/>
  <c r="P106" i="136"/>
  <c r="AN106" i="136"/>
  <c r="AO106" i="136" s="1"/>
  <c r="Y106" i="136"/>
  <c r="Z106" i="136" s="1"/>
  <c r="AB106" i="136"/>
  <c r="AC106" i="136" s="1"/>
  <c r="AH106" i="136"/>
  <c r="AI106" i="136" s="1"/>
  <c r="AV106" i="136"/>
  <c r="AW106" i="136" s="1"/>
  <c r="V106" i="136"/>
  <c r="W106" i="136" s="1"/>
  <c r="R106" i="136"/>
  <c r="T106" i="136" s="1"/>
  <c r="K107" i="136"/>
  <c r="V105" i="64"/>
  <c r="W105" i="64" s="1"/>
  <c r="AV105" i="64"/>
  <c r="AW105" i="64" s="1"/>
  <c r="BQ105" i="64"/>
  <c r="BR105" i="64" s="1"/>
  <c r="BN105" i="64"/>
  <c r="BO105" i="64" s="1"/>
  <c r="AB105" i="64"/>
  <c r="AC105" i="64" s="1"/>
  <c r="AQ105" i="64"/>
  <c r="AR105" i="64" s="1"/>
  <c r="BG105" i="64"/>
  <c r="BH105" i="64" s="1"/>
  <c r="AH105" i="64"/>
  <c r="AI105" i="64" s="1"/>
  <c r="Y105" i="64"/>
  <c r="Z105" i="64" s="1"/>
  <c r="AT105" i="64"/>
  <c r="AK105" i="64"/>
  <c r="AL105" i="64" s="1"/>
  <c r="AN105" i="64"/>
  <c r="AO105" i="64" s="1"/>
  <c r="AE105" i="64"/>
  <c r="AF105" i="64" s="1"/>
  <c r="R105" i="64"/>
  <c r="T105" i="64" s="1"/>
  <c r="M105" i="64"/>
  <c r="BD105" i="64"/>
  <c r="BE105" i="64" s="1"/>
  <c r="O105" i="64"/>
  <c r="P105" i="64"/>
  <c r="AY105" i="64"/>
  <c r="BA105" i="64"/>
  <c r="BB105" i="64" s="1"/>
  <c r="BL105" i="64"/>
  <c r="K106" i="64"/>
  <c r="AK102" i="66"/>
  <c r="AL102" i="66" s="1"/>
  <c r="O102" i="66"/>
  <c r="V102" i="66"/>
  <c r="W102" i="66" s="1"/>
  <c r="AQ102" i="66"/>
  <c r="AR102" i="66" s="1"/>
  <c r="AB102" i="66"/>
  <c r="AC102" i="66" s="1"/>
  <c r="R102" i="66"/>
  <c r="T102" i="66" s="1"/>
  <c r="Y102" i="66"/>
  <c r="Z102" i="66" s="1"/>
  <c r="BD102" i="66"/>
  <c r="BE102" i="66" s="1"/>
  <c r="BG102" i="66"/>
  <c r="BH102" i="66" s="1"/>
  <c r="AT102" i="66"/>
  <c r="AN102" i="66"/>
  <c r="AO102" i="66" s="1"/>
  <c r="BA102" i="66"/>
  <c r="BB102" i="66" s="1"/>
  <c r="AY102" i="66"/>
  <c r="AE102" i="66"/>
  <c r="AF102" i="66" s="1"/>
  <c r="M102" i="66"/>
  <c r="BQ102" i="66"/>
  <c r="BR102" i="66" s="1"/>
  <c r="P102" i="66"/>
  <c r="BN102" i="66"/>
  <c r="BO102" i="66" s="1"/>
  <c r="AV102" i="66"/>
  <c r="AW102" i="66" s="1"/>
  <c r="AH102" i="66"/>
  <c r="AI102" i="66" s="1"/>
  <c r="BL102" i="66"/>
  <c r="BN104" i="110"/>
  <c r="BO104" i="110" s="1"/>
  <c r="BK104" i="110"/>
  <c r="BJ104" i="110"/>
  <c r="BL104" i="110" s="1"/>
  <c r="M104" i="110"/>
  <c r="BD104" i="110"/>
  <c r="BE104" i="110" s="1"/>
  <c r="AV104" i="110"/>
  <c r="AW104" i="110" s="1"/>
  <c r="AQ104" i="110"/>
  <c r="AR104" i="110" s="1"/>
  <c r="AH104" i="110"/>
  <c r="AI104" i="110" s="1"/>
  <c r="AN104" i="110"/>
  <c r="AO104" i="110" s="1"/>
  <c r="BQ104" i="110"/>
  <c r="BR104" i="110" s="1"/>
  <c r="AY104" i="110"/>
  <c r="AK104" i="110"/>
  <c r="AL104" i="110" s="1"/>
  <c r="Y104" i="110"/>
  <c r="Z104" i="110" s="1"/>
  <c r="BA104" i="110"/>
  <c r="BB104" i="110" s="1"/>
  <c r="AB104" i="110"/>
  <c r="AC104" i="110" s="1"/>
  <c r="BG104" i="110"/>
  <c r="BH104" i="110" s="1"/>
  <c r="R104" i="110"/>
  <c r="T104" i="110" s="1"/>
  <c r="O104" i="110"/>
  <c r="AE104" i="110"/>
  <c r="AF104" i="110" s="1"/>
  <c r="V104" i="110"/>
  <c r="W104" i="110" s="1"/>
  <c r="P104" i="110"/>
  <c r="AT104" i="110"/>
  <c r="I111" i="105"/>
  <c r="AE104" i="98"/>
  <c r="AF104" i="98" s="1"/>
  <c r="BD104" i="98"/>
  <c r="BE104" i="98" s="1"/>
  <c r="O104" i="98"/>
  <c r="R104" i="98"/>
  <c r="T104" i="98" s="1"/>
  <c r="AV104" i="98"/>
  <c r="AW104" i="98" s="1"/>
  <c r="Y104" i="98"/>
  <c r="Z104" i="98" s="1"/>
  <c r="BG104" i="98"/>
  <c r="BH104" i="98" s="1"/>
  <c r="AK104" i="98"/>
  <c r="AL104" i="98" s="1"/>
  <c r="AB104" i="98"/>
  <c r="AC104" i="98" s="1"/>
  <c r="BA104" i="98"/>
  <c r="BB104" i="98" s="1"/>
  <c r="P104" i="98"/>
  <c r="K105" i="98"/>
  <c r="AQ104" i="98"/>
  <c r="AR104" i="98" s="1"/>
  <c r="AY104" i="98"/>
  <c r="BK104" i="98"/>
  <c r="V104" i="98"/>
  <c r="W104" i="98" s="1"/>
  <c r="BJ104" i="98"/>
  <c r="BL104" i="98" s="1"/>
  <c r="BN104" i="98"/>
  <c r="BO104" i="98" s="1"/>
  <c r="M104" i="98"/>
  <c r="AH104" i="98"/>
  <c r="AI104" i="98" s="1"/>
  <c r="AN104" i="98"/>
  <c r="AO104" i="98" s="1"/>
  <c r="BQ104" i="98"/>
  <c r="BR104" i="98" s="1"/>
  <c r="AT104" i="98"/>
  <c r="I104" i="13"/>
  <c r="K103" i="13"/>
  <c r="I113" i="95"/>
  <c r="I107" i="135"/>
  <c r="K106" i="135"/>
  <c r="I109" i="63"/>
  <c r="M104" i="115"/>
  <c r="BK104" i="115"/>
  <c r="BJ104" i="115"/>
  <c r="BL104" i="115" s="1"/>
  <c r="BN104" i="115"/>
  <c r="BO104" i="115" s="1"/>
  <c r="BD104" i="115"/>
  <c r="BE104" i="115" s="1"/>
  <c r="AY104" i="115"/>
  <c r="AH104" i="115"/>
  <c r="AI104" i="115" s="1"/>
  <c r="O104" i="115"/>
  <c r="BQ104" i="115"/>
  <c r="BR104" i="115" s="1"/>
  <c r="R104" i="115"/>
  <c r="T104" i="115" s="1"/>
  <c r="Y104" i="115"/>
  <c r="Z104" i="115" s="1"/>
  <c r="V104" i="115"/>
  <c r="W104" i="115" s="1"/>
  <c r="AK104" i="115"/>
  <c r="AL104" i="115" s="1"/>
  <c r="AV104" i="115"/>
  <c r="AW104" i="115" s="1"/>
  <c r="AB104" i="115"/>
  <c r="AC104" i="115" s="1"/>
  <c r="BG104" i="115"/>
  <c r="BH104" i="115" s="1"/>
  <c r="AN104" i="115"/>
  <c r="AO104" i="115" s="1"/>
  <c r="AQ104" i="115"/>
  <c r="AR104" i="115" s="1"/>
  <c r="P104" i="115"/>
  <c r="BA104" i="115"/>
  <c r="BB104" i="115" s="1"/>
  <c r="AT104" i="115"/>
  <c r="AE104" i="115"/>
  <c r="AF104" i="115" s="1"/>
  <c r="AQ102" i="120"/>
  <c r="AR102" i="120" s="1"/>
  <c r="AN102" i="120"/>
  <c r="AO102" i="120" s="1"/>
  <c r="AY102" i="120"/>
  <c r="AB102" i="120"/>
  <c r="AC102" i="120" s="1"/>
  <c r="R102" i="120"/>
  <c r="T102" i="120" s="1"/>
  <c r="AE102" i="120"/>
  <c r="AF102" i="120" s="1"/>
  <c r="Y102" i="120"/>
  <c r="Z102" i="120" s="1"/>
  <c r="BA102" i="120"/>
  <c r="BB102" i="120" s="1"/>
  <c r="BQ102" i="120"/>
  <c r="BR102" i="120" s="1"/>
  <c r="O102" i="120"/>
  <c r="P102" i="120"/>
  <c r="M102" i="120"/>
  <c r="AK102" i="120"/>
  <c r="AL102" i="120" s="1"/>
  <c r="AV102" i="120"/>
  <c r="AW102" i="120" s="1"/>
  <c r="AT102" i="120"/>
  <c r="BG102" i="120"/>
  <c r="BH102" i="120" s="1"/>
  <c r="BD102" i="120"/>
  <c r="BE102" i="120" s="1"/>
  <c r="K103" i="120"/>
  <c r="V102" i="120"/>
  <c r="W102" i="120" s="1"/>
  <c r="AH102" i="120"/>
  <c r="AI102" i="120" s="1"/>
  <c r="BN102" i="120"/>
  <c r="BO102" i="120" s="1"/>
  <c r="BN103" i="15"/>
  <c r="BO103" i="15" s="1"/>
  <c r="AY103" i="15"/>
  <c r="V103" i="15"/>
  <c r="W103" i="15" s="1"/>
  <c r="AV103" i="15"/>
  <c r="AW103" i="15" s="1"/>
  <c r="AH103" i="15"/>
  <c r="AI103" i="15" s="1"/>
  <c r="BQ103" i="15"/>
  <c r="BR103" i="15" s="1"/>
  <c r="BG103" i="15"/>
  <c r="BH103" i="15" s="1"/>
  <c r="BL103" i="15"/>
  <c r="O103" i="15"/>
  <c r="Y103" i="15"/>
  <c r="Z103" i="15" s="1"/>
  <c r="AT103" i="15"/>
  <c r="BD103" i="15"/>
  <c r="BE103" i="15" s="1"/>
  <c r="M103" i="15"/>
  <c r="AE103" i="15"/>
  <c r="AF103" i="15" s="1"/>
  <c r="R103" i="15"/>
  <c r="T103" i="15" s="1"/>
  <c r="AN103" i="15"/>
  <c r="AO103" i="15" s="1"/>
  <c r="AK103" i="15"/>
  <c r="AL103" i="15" s="1"/>
  <c r="AB103" i="15"/>
  <c r="AC103" i="15" s="1"/>
  <c r="P103" i="15"/>
  <c r="BA103" i="15"/>
  <c r="BB103" i="15" s="1"/>
  <c r="AQ103" i="15"/>
  <c r="AR103" i="15" s="1"/>
  <c r="K104" i="15"/>
  <c r="BJ108" i="124"/>
  <c r="BL108" i="124" s="1"/>
  <c r="K109" i="124"/>
  <c r="BN108" i="124"/>
  <c r="BO108" i="124" s="1"/>
  <c r="M108" i="124"/>
  <c r="BK108" i="124"/>
  <c r="V108" i="124"/>
  <c r="W108" i="124" s="1"/>
  <c r="R108" i="124"/>
  <c r="T108" i="124" s="1"/>
  <c r="Y108" i="124"/>
  <c r="Z108" i="124" s="1"/>
  <c r="AE108" i="124"/>
  <c r="AF108" i="124" s="1"/>
  <c r="BQ108" i="124"/>
  <c r="BR108" i="124" s="1"/>
  <c r="BA108" i="124"/>
  <c r="BB108" i="124" s="1"/>
  <c r="AT108" i="124"/>
  <c r="AN108" i="124"/>
  <c r="AO108" i="124" s="1"/>
  <c r="O108" i="124"/>
  <c r="BD108" i="124"/>
  <c r="BE108" i="124" s="1"/>
  <c r="AQ108" i="124"/>
  <c r="AR108" i="124" s="1"/>
  <c r="AB108" i="124"/>
  <c r="AC108" i="124" s="1"/>
  <c r="BG108" i="124"/>
  <c r="BH108" i="124" s="1"/>
  <c r="AH108" i="124"/>
  <c r="AI108" i="124" s="1"/>
  <c r="P108" i="124"/>
  <c r="AV108" i="124"/>
  <c r="AW108" i="124" s="1"/>
  <c r="AY108" i="124"/>
  <c r="AK108" i="124"/>
  <c r="AL108" i="124" s="1"/>
  <c r="I105" i="101"/>
  <c r="K104" i="101"/>
  <c r="I108" i="104"/>
  <c r="I106" i="110"/>
  <c r="K105" i="110"/>
  <c r="BN104" i="114"/>
  <c r="BO104" i="114" s="1"/>
  <c r="M104" i="114"/>
  <c r="BJ104" i="114"/>
  <c r="BL104" i="114" s="1"/>
  <c r="BK104" i="114"/>
  <c r="AT104" i="114"/>
  <c r="BQ104" i="114"/>
  <c r="BR104" i="114" s="1"/>
  <c r="BA104" i="114"/>
  <c r="BB104" i="114" s="1"/>
  <c r="AQ104" i="114"/>
  <c r="AR104" i="114" s="1"/>
  <c r="AE104" i="114"/>
  <c r="AF104" i="114" s="1"/>
  <c r="AV104" i="114"/>
  <c r="AW104" i="114" s="1"/>
  <c r="V104" i="114"/>
  <c r="W104" i="114" s="1"/>
  <c r="AN104" i="114"/>
  <c r="AO104" i="114" s="1"/>
  <c r="AY104" i="114"/>
  <c r="AB104" i="114"/>
  <c r="AC104" i="114" s="1"/>
  <c r="BG104" i="114"/>
  <c r="BH104" i="114" s="1"/>
  <c r="P104" i="114"/>
  <c r="AH104" i="114"/>
  <c r="AI104" i="114" s="1"/>
  <c r="R104" i="114"/>
  <c r="T104" i="114" s="1"/>
  <c r="BD104" i="114"/>
  <c r="BE104" i="114" s="1"/>
  <c r="AK104" i="114"/>
  <c r="AL104" i="114" s="1"/>
  <c r="Y104" i="114"/>
  <c r="Z104" i="114" s="1"/>
  <c r="O104" i="114"/>
  <c r="K105" i="114"/>
  <c r="I109" i="126"/>
  <c r="BA104" i="96"/>
  <c r="BB104" i="96" s="1"/>
  <c r="BQ104" i="96"/>
  <c r="BR104" i="96" s="1"/>
  <c r="BN104" i="96"/>
  <c r="BO104" i="96" s="1"/>
  <c r="Y104" i="96"/>
  <c r="Z104" i="96" s="1"/>
  <c r="AB104" i="96"/>
  <c r="AC104" i="96" s="1"/>
  <c r="R104" i="96"/>
  <c r="T104" i="96" s="1"/>
  <c r="AH104" i="96"/>
  <c r="AI104" i="96" s="1"/>
  <c r="AK104" i="96"/>
  <c r="AL104" i="96" s="1"/>
  <c r="AV104" i="96"/>
  <c r="AW104" i="96" s="1"/>
  <c r="AN104" i="96"/>
  <c r="AO104" i="96" s="1"/>
  <c r="BG104" i="96"/>
  <c r="BH104" i="96" s="1"/>
  <c r="AE104" i="96"/>
  <c r="AF104" i="96" s="1"/>
  <c r="M104" i="96"/>
  <c r="P104" i="96"/>
  <c r="AT104" i="96"/>
  <c r="O104" i="96"/>
  <c r="V104" i="96"/>
  <c r="W104" i="96" s="1"/>
  <c r="AQ104" i="96"/>
  <c r="AR104" i="96" s="1"/>
  <c r="BD104" i="96"/>
  <c r="BE104" i="96" s="1"/>
  <c r="BL104" i="96"/>
  <c r="BL102" i="17"/>
  <c r="M102" i="17"/>
  <c r="BN102" i="17"/>
  <c r="BO102" i="17" s="1"/>
  <c r="AV102" i="17"/>
  <c r="AW102" i="17" s="1"/>
  <c r="Y102" i="17"/>
  <c r="Z102" i="17" s="1"/>
  <c r="AH102" i="17"/>
  <c r="AI102" i="17" s="1"/>
  <c r="O102" i="17"/>
  <c r="V102" i="17"/>
  <c r="W102" i="17" s="1"/>
  <c r="BD102" i="17"/>
  <c r="BE102" i="17" s="1"/>
  <c r="AY102" i="17"/>
  <c r="BQ102" i="17"/>
  <c r="BR102" i="17" s="1"/>
  <c r="BG102" i="17"/>
  <c r="BH102" i="17" s="1"/>
  <c r="AN102" i="17"/>
  <c r="AO102" i="17" s="1"/>
  <c r="AT102" i="17"/>
  <c r="AB102" i="17"/>
  <c r="AC102" i="17" s="1"/>
  <c r="R102" i="17"/>
  <c r="T102" i="17" s="1"/>
  <c r="P102" i="17"/>
  <c r="AQ102" i="17"/>
  <c r="AR102" i="17" s="1"/>
  <c r="AK102" i="17"/>
  <c r="AL102" i="17" s="1"/>
  <c r="BA102" i="17"/>
  <c r="BB102" i="17" s="1"/>
  <c r="AE102" i="17"/>
  <c r="AF102" i="17" s="1"/>
  <c r="BN102" i="13"/>
  <c r="BO102" i="13" s="1"/>
  <c r="M102" i="13"/>
  <c r="BL102" i="13"/>
  <c r="AN102" i="13"/>
  <c r="AO102" i="13" s="1"/>
  <c r="AK102" i="13"/>
  <c r="AL102" i="13" s="1"/>
  <c r="AE102" i="13"/>
  <c r="AF102" i="13" s="1"/>
  <c r="AV102" i="13"/>
  <c r="AW102" i="13" s="1"/>
  <c r="P102" i="13"/>
  <c r="BQ102" i="13"/>
  <c r="BR102" i="13" s="1"/>
  <c r="AH102" i="13"/>
  <c r="AI102" i="13" s="1"/>
  <c r="BD102" i="13"/>
  <c r="BE102" i="13" s="1"/>
  <c r="AY102" i="13"/>
  <c r="Y102" i="13"/>
  <c r="Z102" i="13" s="1"/>
  <c r="BG102" i="13"/>
  <c r="BH102" i="13" s="1"/>
  <c r="AB102" i="13"/>
  <c r="AC102" i="13" s="1"/>
  <c r="R102" i="13"/>
  <c r="T102" i="13" s="1"/>
  <c r="V102" i="13"/>
  <c r="W102" i="13" s="1"/>
  <c r="O102" i="13"/>
  <c r="AT102" i="13"/>
  <c r="AQ102" i="13"/>
  <c r="AR102" i="13" s="1"/>
  <c r="BA102" i="13"/>
  <c r="BB102" i="13" s="1"/>
  <c r="M104" i="126"/>
  <c r="BK104" i="126"/>
  <c r="BN104" i="126"/>
  <c r="BO104" i="126" s="1"/>
  <c r="BJ104" i="126"/>
  <c r="BL104" i="126" s="1"/>
  <c r="AK104" i="126"/>
  <c r="AL104" i="126" s="1"/>
  <c r="R104" i="126"/>
  <c r="T104" i="126" s="1"/>
  <c r="AY104" i="126"/>
  <c r="AE104" i="126"/>
  <c r="AF104" i="126" s="1"/>
  <c r="AH104" i="126"/>
  <c r="AI104" i="126" s="1"/>
  <c r="AB104" i="126"/>
  <c r="AC104" i="126" s="1"/>
  <c r="P104" i="126"/>
  <c r="BD104" i="126"/>
  <c r="BE104" i="126" s="1"/>
  <c r="BQ104" i="126"/>
  <c r="BR104" i="126" s="1"/>
  <c r="AQ104" i="126"/>
  <c r="AR104" i="126" s="1"/>
  <c r="BA104" i="126"/>
  <c r="BB104" i="126" s="1"/>
  <c r="V104" i="126"/>
  <c r="W104" i="126" s="1"/>
  <c r="BG104" i="126"/>
  <c r="BH104" i="126" s="1"/>
  <c r="O104" i="126"/>
  <c r="AN104" i="126"/>
  <c r="AO104" i="126" s="1"/>
  <c r="AT104" i="126"/>
  <c r="Y104" i="126"/>
  <c r="Z104" i="126" s="1"/>
  <c r="AV104" i="126"/>
  <c r="AW104" i="126" s="1"/>
  <c r="K105" i="126"/>
  <c r="I106" i="115"/>
  <c r="K105" i="115"/>
  <c r="M104" i="63"/>
  <c r="AV104" i="63"/>
  <c r="AW104" i="63" s="1"/>
  <c r="P104" i="63"/>
  <c r="V104" i="63"/>
  <c r="W104" i="63" s="1"/>
  <c r="O104" i="63"/>
  <c r="AE104" i="63"/>
  <c r="AF104" i="63" s="1"/>
  <c r="Y104" i="63"/>
  <c r="Z104" i="63" s="1"/>
  <c r="AY104" i="63"/>
  <c r="AN104" i="63"/>
  <c r="AO104" i="63" s="1"/>
  <c r="R104" i="63"/>
  <c r="T104" i="63" s="1"/>
  <c r="AH104" i="63"/>
  <c r="AI104" i="63" s="1"/>
  <c r="BQ104" i="63"/>
  <c r="BR104" i="63" s="1"/>
  <c r="BN104" i="63"/>
  <c r="BO104" i="63" s="1"/>
  <c r="AK104" i="63"/>
  <c r="AL104" i="63" s="1"/>
  <c r="BG104" i="63"/>
  <c r="BH104" i="63" s="1"/>
  <c r="AQ104" i="63"/>
  <c r="AR104" i="63" s="1"/>
  <c r="AB104" i="63"/>
  <c r="AC104" i="63" s="1"/>
  <c r="AT104" i="63"/>
  <c r="BA104" i="63"/>
  <c r="BB104" i="63" s="1"/>
  <c r="BD104" i="63"/>
  <c r="BE104" i="63" s="1"/>
  <c r="BL104" i="63"/>
  <c r="K105" i="63"/>
  <c r="I110" i="64"/>
  <c r="I110" i="136"/>
  <c r="I108" i="15"/>
  <c r="K104" i="118"/>
  <c r="BG103" i="118"/>
  <c r="BH103" i="118" s="1"/>
  <c r="M103" i="118"/>
  <c r="BN103" i="118"/>
  <c r="BO103" i="118" s="1"/>
  <c r="Y103" i="118"/>
  <c r="Z103" i="118" s="1"/>
  <c r="AN103" i="118"/>
  <c r="AO103" i="118" s="1"/>
  <c r="AQ103" i="118"/>
  <c r="AR103" i="118" s="1"/>
  <c r="BQ103" i="118"/>
  <c r="BR103" i="118" s="1"/>
  <c r="AY103" i="118"/>
  <c r="BD103" i="118"/>
  <c r="BE103" i="118" s="1"/>
  <c r="AE103" i="118"/>
  <c r="AF103" i="118" s="1"/>
  <c r="AT103" i="118"/>
  <c r="AV103" i="118"/>
  <c r="AW103" i="118" s="1"/>
  <c r="BA103" i="118"/>
  <c r="BB103" i="118" s="1"/>
  <c r="O103" i="118"/>
  <c r="P103" i="118"/>
  <c r="V103" i="118"/>
  <c r="W103" i="118" s="1"/>
  <c r="R103" i="118"/>
  <c r="T103" i="118" s="1"/>
  <c r="AH103" i="118"/>
  <c r="AI103" i="118" s="1"/>
  <c r="AB103" i="118"/>
  <c r="AC103" i="118" s="1"/>
  <c r="AK103" i="118"/>
  <c r="AL103" i="118" s="1"/>
  <c r="I106" i="96"/>
  <c r="K105" i="96"/>
  <c r="I104" i="17"/>
  <c r="K103" i="17"/>
  <c r="M103" i="101"/>
  <c r="AE103" i="101"/>
  <c r="AF103" i="101" s="1"/>
  <c r="AH103" i="101"/>
  <c r="AI103" i="101" s="1"/>
  <c r="Y103" i="101"/>
  <c r="Z103" i="101" s="1"/>
  <c r="AN103" i="101"/>
  <c r="AO103" i="101" s="1"/>
  <c r="V103" i="101"/>
  <c r="W103" i="101" s="1"/>
  <c r="R103" i="101"/>
  <c r="T103" i="101" s="1"/>
  <c r="AY103" i="101"/>
  <c r="AB103" i="101"/>
  <c r="AC103" i="101" s="1"/>
  <c r="AT103" i="101"/>
  <c r="BQ103" i="101"/>
  <c r="BR103" i="101" s="1"/>
  <c r="AV103" i="101"/>
  <c r="AW103" i="101" s="1"/>
  <c r="BG103" i="101"/>
  <c r="BH103" i="101" s="1"/>
  <c r="AQ103" i="101"/>
  <c r="AR103" i="101" s="1"/>
  <c r="P103" i="101"/>
  <c r="O103" i="101"/>
  <c r="AK103" i="101"/>
  <c r="AL103" i="101" s="1"/>
  <c r="BA103" i="101"/>
  <c r="BB103" i="101" s="1"/>
  <c r="BD103" i="101"/>
  <c r="BE103" i="101" s="1"/>
  <c r="I111" i="132"/>
  <c r="BK106" i="105"/>
  <c r="M106" i="105"/>
  <c r="BN106" i="105"/>
  <c r="BO106" i="105" s="1"/>
  <c r="AY106" i="105"/>
  <c r="BG106" i="105"/>
  <c r="BH106" i="105" s="1"/>
  <c r="AQ106" i="105"/>
  <c r="AR106" i="105" s="1"/>
  <c r="O106" i="105"/>
  <c r="BJ106" i="105"/>
  <c r="BL106" i="105" s="1"/>
  <c r="BD106" i="105"/>
  <c r="BE106" i="105" s="1"/>
  <c r="AB106" i="105"/>
  <c r="AC106" i="105" s="1"/>
  <c r="P106" i="105"/>
  <c r="AE106" i="105"/>
  <c r="AF106" i="105" s="1"/>
  <c r="BA106" i="105"/>
  <c r="BB106" i="105" s="1"/>
  <c r="BQ106" i="105"/>
  <c r="BR106" i="105" s="1"/>
  <c r="AV106" i="105"/>
  <c r="AW106" i="105" s="1"/>
  <c r="AT106" i="105"/>
  <c r="AN106" i="105"/>
  <c r="AO106" i="105" s="1"/>
  <c r="Y106" i="105"/>
  <c r="Z106" i="105" s="1"/>
  <c r="AK106" i="105"/>
  <c r="AL106" i="105" s="1"/>
  <c r="R106" i="105"/>
  <c r="T106" i="105" s="1"/>
  <c r="V106" i="105"/>
  <c r="W106" i="105" s="1"/>
  <c r="AH106" i="105"/>
  <c r="AI106" i="105" s="1"/>
  <c r="K107" i="105"/>
  <c r="V106" i="99" l="1"/>
  <c r="W106" i="99" s="1"/>
  <c r="AT106" i="99"/>
  <c r="AN106" i="99"/>
  <c r="AO106" i="99" s="1"/>
  <c r="AE106" i="99"/>
  <c r="AF106" i="99" s="1"/>
  <c r="BK106" i="99"/>
  <c r="BQ106" i="99"/>
  <c r="BR106" i="99" s="1"/>
  <c r="BD106" i="99"/>
  <c r="BE106" i="99" s="1"/>
  <c r="BA106" i="99"/>
  <c r="BB106" i="99" s="1"/>
  <c r="Y106" i="99"/>
  <c r="Z106" i="99" s="1"/>
  <c r="P106" i="99"/>
  <c r="BG106" i="99"/>
  <c r="BH106" i="99" s="1"/>
  <c r="R106" i="99"/>
  <c r="T106" i="99" s="1"/>
  <c r="K107" i="99"/>
  <c r="M106" i="99"/>
  <c r="AV106" i="99"/>
  <c r="AW106" i="99" s="1"/>
  <c r="AK106" i="99"/>
  <c r="AL106" i="99" s="1"/>
  <c r="AQ106" i="99"/>
  <c r="AR106" i="99" s="1"/>
  <c r="BN106" i="99"/>
  <c r="BO106" i="99" s="1"/>
  <c r="O106" i="99"/>
  <c r="AY106" i="99"/>
  <c r="AH106" i="99"/>
  <c r="AI106" i="99" s="1"/>
  <c r="BJ106" i="99"/>
  <c r="BL106" i="99" s="1"/>
  <c r="AB106" i="99"/>
  <c r="AC106" i="99" s="1"/>
  <c r="I110" i="107"/>
  <c r="K109" i="107"/>
  <c r="BJ108" i="107"/>
  <c r="BL108" i="107" s="1"/>
  <c r="AN108" i="107"/>
  <c r="AO108" i="107" s="1"/>
  <c r="O108" i="107"/>
  <c r="AT108" i="107"/>
  <c r="AQ108" i="107"/>
  <c r="AR108" i="107" s="1"/>
  <c r="BK108" i="107"/>
  <c r="P108" i="107"/>
  <c r="AV108" i="107"/>
  <c r="AW108" i="107" s="1"/>
  <c r="M108" i="107"/>
  <c r="AY108" i="107"/>
  <c r="Y108" i="107"/>
  <c r="Z108" i="107" s="1"/>
  <c r="AB108" i="107"/>
  <c r="AC108" i="107" s="1"/>
  <c r="AH108" i="107"/>
  <c r="AI108" i="107" s="1"/>
  <c r="BD108" i="107"/>
  <c r="BE108" i="107" s="1"/>
  <c r="BA108" i="107"/>
  <c r="BB108" i="107" s="1"/>
  <c r="AK108" i="107"/>
  <c r="AL108" i="107" s="1"/>
  <c r="BN108" i="107"/>
  <c r="BO108" i="107" s="1"/>
  <c r="BG108" i="107"/>
  <c r="BH108" i="107" s="1"/>
  <c r="V108" i="107"/>
  <c r="W108" i="107" s="1"/>
  <c r="AE108" i="107"/>
  <c r="AF108" i="107" s="1"/>
  <c r="R108" i="107"/>
  <c r="T108" i="107" s="1"/>
  <c r="BQ108" i="107"/>
  <c r="BR108" i="107" s="1"/>
  <c r="BQ106" i="132"/>
  <c r="BR106" i="132" s="1"/>
  <c r="AH106" i="132"/>
  <c r="AI106" i="132" s="1"/>
  <c r="BD106" i="132"/>
  <c r="BE106" i="132" s="1"/>
  <c r="AN106" i="132"/>
  <c r="AO106" i="132" s="1"/>
  <c r="V106" i="132"/>
  <c r="W106" i="132" s="1"/>
  <c r="O106" i="132"/>
  <c r="K107" i="132"/>
  <c r="R106" i="132"/>
  <c r="T106" i="132" s="1"/>
  <c r="BA106" i="132"/>
  <c r="BB106" i="132" s="1"/>
  <c r="M106" i="132"/>
  <c r="AQ106" i="132"/>
  <c r="AR106" i="132" s="1"/>
  <c r="Y106" i="132"/>
  <c r="Z106" i="132" s="1"/>
  <c r="AB106" i="132"/>
  <c r="AC106" i="132" s="1"/>
  <c r="AE106" i="132"/>
  <c r="AF106" i="132" s="1"/>
  <c r="AV106" i="132"/>
  <c r="AW106" i="132" s="1"/>
  <c r="AK106" i="132"/>
  <c r="AL106" i="132" s="1"/>
  <c r="BN106" i="132"/>
  <c r="BO106" i="132" s="1"/>
  <c r="BG106" i="132"/>
  <c r="BH106" i="132" s="1"/>
  <c r="BL106" i="132"/>
  <c r="AT106" i="132"/>
  <c r="AY106" i="132"/>
  <c r="P106" i="132"/>
  <c r="AH105" i="129"/>
  <c r="AI105" i="129" s="1"/>
  <c r="AN105" i="129"/>
  <c r="AO105" i="129" s="1"/>
  <c r="AE105" i="129"/>
  <c r="AF105" i="129" s="1"/>
  <c r="BL105" i="129"/>
  <c r="O105" i="129"/>
  <c r="AB105" i="129"/>
  <c r="AC105" i="129" s="1"/>
  <c r="BA105" i="129"/>
  <c r="BB105" i="129" s="1"/>
  <c r="AQ105" i="129"/>
  <c r="AR105" i="129" s="1"/>
  <c r="BG105" i="129"/>
  <c r="BH105" i="129" s="1"/>
  <c r="P105" i="129"/>
  <c r="M105" i="129"/>
  <c r="Y105" i="129"/>
  <c r="Z105" i="129" s="1"/>
  <c r="BQ105" i="129"/>
  <c r="BR105" i="129" s="1"/>
  <c r="V105" i="129"/>
  <c r="W105" i="129" s="1"/>
  <c r="BN105" i="129"/>
  <c r="BO105" i="129" s="1"/>
  <c r="AV105" i="129"/>
  <c r="AW105" i="129" s="1"/>
  <c r="AY105" i="129"/>
  <c r="AT105" i="129"/>
  <c r="K106" i="129"/>
  <c r="AK105" i="129"/>
  <c r="AL105" i="129" s="1"/>
  <c r="BD105" i="129"/>
  <c r="BE105" i="129" s="1"/>
  <c r="R105" i="129"/>
  <c r="T105" i="129" s="1"/>
  <c r="BG103" i="95"/>
  <c r="BH103" i="95" s="1"/>
  <c r="O103" i="95"/>
  <c r="Y103" i="95"/>
  <c r="Z103" i="95" s="1"/>
  <c r="M103" i="95"/>
  <c r="AQ103" i="95"/>
  <c r="AR103" i="95" s="1"/>
  <c r="BQ103" i="95"/>
  <c r="BR103" i="95" s="1"/>
  <c r="AV103" i="95"/>
  <c r="AW103" i="95" s="1"/>
  <c r="BN103" i="95"/>
  <c r="BO103" i="95" s="1"/>
  <c r="AB103" i="95"/>
  <c r="AC103" i="95" s="1"/>
  <c r="AH103" i="95"/>
  <c r="AI103" i="95" s="1"/>
  <c r="P103" i="95"/>
  <c r="BL103" i="95"/>
  <c r="BD103" i="95"/>
  <c r="BE103" i="95" s="1"/>
  <c r="V103" i="95"/>
  <c r="W103" i="95" s="1"/>
  <c r="K104" i="95"/>
  <c r="AE103" i="95"/>
  <c r="AF103" i="95" s="1"/>
  <c r="BA103" i="95"/>
  <c r="BB103" i="95" s="1"/>
  <c r="AT103" i="95"/>
  <c r="AN103" i="95"/>
  <c r="AO103" i="95" s="1"/>
  <c r="R103" i="95"/>
  <c r="T103" i="95" s="1"/>
  <c r="AK103" i="95"/>
  <c r="AL103" i="95" s="1"/>
  <c r="AE104" i="112"/>
  <c r="AF104" i="112" s="1"/>
  <c r="AV104" i="112"/>
  <c r="AW104" i="112" s="1"/>
  <c r="K105" i="112"/>
  <c r="Y104" i="112"/>
  <c r="Z104" i="112" s="1"/>
  <c r="BA104" i="112"/>
  <c r="BB104" i="112" s="1"/>
  <c r="AQ104" i="112"/>
  <c r="AR104" i="112" s="1"/>
  <c r="BJ104" i="112"/>
  <c r="BL104" i="112" s="1"/>
  <c r="AK104" i="112"/>
  <c r="AL104" i="112" s="1"/>
  <c r="AH104" i="112"/>
  <c r="AI104" i="112" s="1"/>
  <c r="P104" i="112"/>
  <c r="BG104" i="112"/>
  <c r="BH104" i="112" s="1"/>
  <c r="BK104" i="112"/>
  <c r="R104" i="112"/>
  <c r="T104" i="112" s="1"/>
  <c r="V104" i="112"/>
  <c r="W104" i="112" s="1"/>
  <c r="AY104" i="112"/>
  <c r="M104" i="112"/>
  <c r="BN104" i="112"/>
  <c r="BO104" i="112" s="1"/>
  <c r="BQ104" i="112"/>
  <c r="BR104" i="112" s="1"/>
  <c r="BD104" i="112"/>
  <c r="BE104" i="112" s="1"/>
  <c r="O104" i="112"/>
  <c r="AB104" i="112"/>
  <c r="AC104" i="112" s="1"/>
  <c r="AT104" i="112"/>
  <c r="AN104" i="112"/>
  <c r="AO104" i="112" s="1"/>
  <c r="AH104" i="104"/>
  <c r="AI104" i="104" s="1"/>
  <c r="AE104" i="104"/>
  <c r="AF104" i="104" s="1"/>
  <c r="V104" i="104"/>
  <c r="W104" i="104" s="1"/>
  <c r="AQ104" i="104"/>
  <c r="AR104" i="104" s="1"/>
  <c r="BG104" i="104"/>
  <c r="BH104" i="104" s="1"/>
  <c r="BA104" i="104"/>
  <c r="BB104" i="104" s="1"/>
  <c r="BJ104" i="104"/>
  <c r="BL104" i="104" s="1"/>
  <c r="BD104" i="104"/>
  <c r="BE104" i="104" s="1"/>
  <c r="P104" i="104"/>
  <c r="AT104" i="104"/>
  <c r="BK104" i="104"/>
  <c r="AV104" i="104"/>
  <c r="AW104" i="104" s="1"/>
  <c r="AB104" i="104"/>
  <c r="AC104" i="104" s="1"/>
  <c r="Y104" i="104"/>
  <c r="Z104" i="104" s="1"/>
  <c r="BN104" i="104"/>
  <c r="BO104" i="104" s="1"/>
  <c r="AN104" i="104"/>
  <c r="AO104" i="104" s="1"/>
  <c r="R104" i="104"/>
  <c r="T104" i="104" s="1"/>
  <c r="BQ104" i="104"/>
  <c r="BR104" i="104" s="1"/>
  <c r="K105" i="104"/>
  <c r="M104" i="104"/>
  <c r="O104" i="104"/>
  <c r="AK104" i="104"/>
  <c r="AL104" i="104" s="1"/>
  <c r="AY104" i="104"/>
  <c r="AK104" i="106"/>
  <c r="AL104" i="106" s="1"/>
  <c r="AY104" i="106"/>
  <c r="AH104" i="106"/>
  <c r="AI104" i="106" s="1"/>
  <c r="BA104" i="106"/>
  <c r="BB104" i="106" s="1"/>
  <c r="P104" i="106"/>
  <c r="Y104" i="106"/>
  <c r="Z104" i="106" s="1"/>
  <c r="BK104" i="106"/>
  <c r="AQ104" i="106"/>
  <c r="AR104" i="106" s="1"/>
  <c r="R104" i="106"/>
  <c r="T104" i="106" s="1"/>
  <c r="AT104" i="106"/>
  <c r="M104" i="106"/>
  <c r="AB104" i="106"/>
  <c r="AC104" i="106" s="1"/>
  <c r="O104" i="106"/>
  <c r="AV104" i="106"/>
  <c r="AW104" i="106" s="1"/>
  <c r="BJ104" i="106"/>
  <c r="BL104" i="106" s="1"/>
  <c r="BD104" i="106"/>
  <c r="BE104" i="106" s="1"/>
  <c r="BG104" i="106"/>
  <c r="BH104" i="106" s="1"/>
  <c r="AN104" i="106"/>
  <c r="AO104" i="106" s="1"/>
  <c r="BN104" i="106"/>
  <c r="BO104" i="106" s="1"/>
  <c r="BQ104" i="106"/>
  <c r="BR104" i="106" s="1"/>
  <c r="V104" i="106"/>
  <c r="W104" i="106" s="1"/>
  <c r="AE104" i="106"/>
  <c r="AF104" i="106" s="1"/>
  <c r="K105" i="106"/>
  <c r="I111" i="106"/>
  <c r="AB109" i="156"/>
  <c r="AC109" i="156" s="1"/>
  <c r="AV109" i="156"/>
  <c r="AW109" i="156" s="1"/>
  <c r="AQ109" i="156"/>
  <c r="AR109" i="156" s="1"/>
  <c r="M109" i="156"/>
  <c r="AH109" i="156"/>
  <c r="AI109" i="156" s="1"/>
  <c r="BN109" i="156"/>
  <c r="BO109" i="156" s="1"/>
  <c r="AK109" i="156"/>
  <c r="AL109" i="156" s="1"/>
  <c r="AN109" i="156"/>
  <c r="AO109" i="156" s="1"/>
  <c r="Y109" i="156"/>
  <c r="Z109" i="156" s="1"/>
  <c r="BL109" i="156"/>
  <c r="BQ109" i="156"/>
  <c r="BR109" i="156" s="1"/>
  <c r="BA109" i="156"/>
  <c r="BB109" i="156" s="1"/>
  <c r="AE109" i="156"/>
  <c r="AF109" i="156" s="1"/>
  <c r="O109" i="156"/>
  <c r="BG109" i="156"/>
  <c r="BH109" i="156" s="1"/>
  <c r="BD109" i="156"/>
  <c r="BE109" i="156" s="1"/>
  <c r="V109" i="156"/>
  <c r="W109" i="156" s="1"/>
  <c r="P109" i="156"/>
  <c r="R109" i="156"/>
  <c r="T109" i="156" s="1"/>
  <c r="I111" i="156"/>
  <c r="K110" i="156"/>
  <c r="AY110" i="156" s="1"/>
  <c r="AN107" i="133"/>
  <c r="AO107" i="133" s="1"/>
  <c r="AB107" i="133"/>
  <c r="AC107" i="133" s="1"/>
  <c r="V107" i="133"/>
  <c r="W107" i="133" s="1"/>
  <c r="M107" i="133"/>
  <c r="BQ107" i="133"/>
  <c r="BR107" i="133" s="1"/>
  <c r="P107" i="133"/>
  <c r="AH107" i="133"/>
  <c r="AI107" i="133" s="1"/>
  <c r="BD107" i="133"/>
  <c r="BE107" i="133" s="1"/>
  <c r="AV107" i="133"/>
  <c r="AW107" i="133" s="1"/>
  <c r="Y107" i="133"/>
  <c r="Z107" i="133" s="1"/>
  <c r="AT107" i="133"/>
  <c r="BN107" i="133"/>
  <c r="BO107" i="133" s="1"/>
  <c r="AE107" i="133"/>
  <c r="AF107" i="133" s="1"/>
  <c r="O107" i="133"/>
  <c r="BG107" i="133"/>
  <c r="BH107" i="133" s="1"/>
  <c r="BL107" i="133"/>
  <c r="R107" i="133"/>
  <c r="T107" i="133" s="1"/>
  <c r="AY107" i="133"/>
  <c r="K108" i="133"/>
  <c r="AQ107" i="133"/>
  <c r="AR107" i="133" s="1"/>
  <c r="AK107" i="133"/>
  <c r="AL107" i="133" s="1"/>
  <c r="BA107" i="133"/>
  <c r="BB107" i="133" s="1"/>
  <c r="BL105" i="130"/>
  <c r="K106" i="130"/>
  <c r="M105" i="130"/>
  <c r="BN105" i="130"/>
  <c r="BO105" i="130" s="1"/>
  <c r="AK105" i="130"/>
  <c r="AL105" i="130" s="1"/>
  <c r="AQ105" i="130"/>
  <c r="AR105" i="130" s="1"/>
  <c r="AY105" i="130"/>
  <c r="BD105" i="130"/>
  <c r="BE105" i="130" s="1"/>
  <c r="AN105" i="130"/>
  <c r="AO105" i="130" s="1"/>
  <c r="V105" i="130"/>
  <c r="W105" i="130" s="1"/>
  <c r="BA105" i="130"/>
  <c r="BB105" i="130" s="1"/>
  <c r="AH105" i="130"/>
  <c r="AI105" i="130" s="1"/>
  <c r="AV105" i="130"/>
  <c r="AW105" i="130" s="1"/>
  <c r="R105" i="130"/>
  <c r="T105" i="130" s="1"/>
  <c r="O105" i="130"/>
  <c r="P105" i="130"/>
  <c r="AB105" i="130"/>
  <c r="AC105" i="130" s="1"/>
  <c r="BG105" i="130"/>
  <c r="BH105" i="130" s="1"/>
  <c r="AT105" i="130"/>
  <c r="AE105" i="130"/>
  <c r="AF105" i="130" s="1"/>
  <c r="Y105" i="130"/>
  <c r="Z105" i="130" s="1"/>
  <c r="BQ105" i="130"/>
  <c r="BR105" i="130" s="1"/>
  <c r="K111" i="155"/>
  <c r="I112" i="155"/>
  <c r="R110" i="155"/>
  <c r="T110" i="155" s="1"/>
  <c r="Y110" i="155"/>
  <c r="Z110" i="155" s="1"/>
  <c r="AE110" i="155"/>
  <c r="AF110" i="155" s="1"/>
  <c r="AK110" i="155"/>
  <c r="AL110" i="155" s="1"/>
  <c r="AQ110" i="155"/>
  <c r="AR110" i="155" s="1"/>
  <c r="BD110" i="155"/>
  <c r="BE110" i="155" s="1"/>
  <c r="M110" i="155"/>
  <c r="BQ110" i="155"/>
  <c r="BR110" i="155" s="1"/>
  <c r="O110" i="155"/>
  <c r="V110" i="155"/>
  <c r="W110" i="155" s="1"/>
  <c r="AB110" i="155"/>
  <c r="AC110" i="155" s="1"/>
  <c r="AH110" i="155"/>
  <c r="AI110" i="155" s="1"/>
  <c r="AN110" i="155"/>
  <c r="AO110" i="155" s="1"/>
  <c r="BA110" i="155"/>
  <c r="BB110" i="155" s="1"/>
  <c r="BG110" i="155"/>
  <c r="BH110" i="155" s="1"/>
  <c r="P110" i="155"/>
  <c r="AV110" i="155"/>
  <c r="AW110" i="155" s="1"/>
  <c r="BN110" i="155"/>
  <c r="BO110" i="155" s="1"/>
  <c r="BL110" i="155"/>
  <c r="P110" i="153"/>
  <c r="AV110" i="153"/>
  <c r="AW110" i="153" s="1"/>
  <c r="BN110" i="153"/>
  <c r="BO110" i="153" s="1"/>
  <c r="R110" i="153"/>
  <c r="T110" i="153" s="1"/>
  <c r="Y110" i="153"/>
  <c r="Z110" i="153" s="1"/>
  <c r="AE110" i="153"/>
  <c r="AF110" i="153" s="1"/>
  <c r="AK110" i="153"/>
  <c r="AL110" i="153" s="1"/>
  <c r="AQ110" i="153"/>
  <c r="AR110" i="153" s="1"/>
  <c r="BD110" i="153"/>
  <c r="BE110" i="153" s="1"/>
  <c r="M110" i="153"/>
  <c r="BQ110" i="153"/>
  <c r="BR110" i="153" s="1"/>
  <c r="V110" i="153"/>
  <c r="W110" i="153" s="1"/>
  <c r="AB110" i="153"/>
  <c r="AC110" i="153" s="1"/>
  <c r="BA110" i="153"/>
  <c r="BB110" i="153" s="1"/>
  <c r="BL110" i="153"/>
  <c r="AH110" i="153"/>
  <c r="AI110" i="153" s="1"/>
  <c r="BG110" i="153"/>
  <c r="BH110" i="153" s="1"/>
  <c r="O110" i="153"/>
  <c r="AN110" i="153"/>
  <c r="AO110" i="153" s="1"/>
  <c r="K111" i="153"/>
  <c r="O110" i="152"/>
  <c r="V110" i="152"/>
  <c r="W110" i="152" s="1"/>
  <c r="AB110" i="152"/>
  <c r="AC110" i="152" s="1"/>
  <c r="AH110" i="152"/>
  <c r="AI110" i="152" s="1"/>
  <c r="AN110" i="152"/>
  <c r="AO110" i="152" s="1"/>
  <c r="BA110" i="152"/>
  <c r="BB110" i="152" s="1"/>
  <c r="BG110" i="152"/>
  <c r="BH110" i="152" s="1"/>
  <c r="BL110" i="152"/>
  <c r="P110" i="152"/>
  <c r="AV110" i="152"/>
  <c r="AW110" i="152" s="1"/>
  <c r="BN110" i="152"/>
  <c r="BO110" i="152" s="1"/>
  <c r="R110" i="152"/>
  <c r="T110" i="152" s="1"/>
  <c r="Y110" i="152"/>
  <c r="Z110" i="152" s="1"/>
  <c r="AE110" i="152"/>
  <c r="AF110" i="152" s="1"/>
  <c r="AK110" i="152"/>
  <c r="AL110" i="152" s="1"/>
  <c r="AQ110" i="152"/>
  <c r="AR110" i="152" s="1"/>
  <c r="BD110" i="152"/>
  <c r="BE110" i="152" s="1"/>
  <c r="M110" i="152"/>
  <c r="BQ110" i="152"/>
  <c r="BR110" i="152" s="1"/>
  <c r="K111" i="152"/>
  <c r="BG108" i="151"/>
  <c r="BH108" i="151" s="1"/>
  <c r="BA108" i="151"/>
  <c r="BB108" i="151" s="1"/>
  <c r="AT108" i="151"/>
  <c r="AN108" i="151"/>
  <c r="AO108" i="151" s="1"/>
  <c r="AH108" i="151"/>
  <c r="AI108" i="151" s="1"/>
  <c r="AB108" i="151"/>
  <c r="AC108" i="151" s="1"/>
  <c r="V108" i="151"/>
  <c r="W108" i="151" s="1"/>
  <c r="O108" i="151"/>
  <c r="AY108" i="151"/>
  <c r="AQ108" i="151"/>
  <c r="AR108" i="151" s="1"/>
  <c r="R108" i="151"/>
  <c r="T108" i="151" s="1"/>
  <c r="BD108" i="151"/>
  <c r="BE108" i="151" s="1"/>
  <c r="AV108" i="151"/>
  <c r="AW108" i="151" s="1"/>
  <c r="AE108" i="151"/>
  <c r="AF108" i="151" s="1"/>
  <c r="P108" i="151"/>
  <c r="Y108" i="151"/>
  <c r="Z108" i="151" s="1"/>
  <c r="BQ108" i="151"/>
  <c r="BR108" i="151" s="1"/>
  <c r="AK108" i="151"/>
  <c r="AL108" i="151" s="1"/>
  <c r="M108" i="151"/>
  <c r="BN108" i="151"/>
  <c r="BO108" i="151" s="1"/>
  <c r="BL108" i="151"/>
  <c r="I110" i="151"/>
  <c r="K109" i="151"/>
  <c r="BG107" i="150"/>
  <c r="BH107" i="150" s="1"/>
  <c r="BA107" i="150"/>
  <c r="BB107" i="150" s="1"/>
  <c r="AY107" i="150"/>
  <c r="AQ107" i="150"/>
  <c r="AR107" i="150" s="1"/>
  <c r="AK107" i="150"/>
  <c r="AL107" i="150" s="1"/>
  <c r="AE107" i="150"/>
  <c r="AF107" i="150" s="1"/>
  <c r="Y107" i="150"/>
  <c r="Z107" i="150" s="1"/>
  <c r="R107" i="150"/>
  <c r="T107" i="150" s="1"/>
  <c r="BD107" i="150"/>
  <c r="BE107" i="150" s="1"/>
  <c r="AV107" i="150"/>
  <c r="AW107" i="150" s="1"/>
  <c r="P107" i="150"/>
  <c r="AH107" i="150"/>
  <c r="AI107" i="150" s="1"/>
  <c r="AB107" i="150"/>
  <c r="AC107" i="150" s="1"/>
  <c r="AT107" i="150"/>
  <c r="V107" i="150"/>
  <c r="W107" i="150" s="1"/>
  <c r="BQ107" i="150"/>
  <c r="BR107" i="150" s="1"/>
  <c r="AN107" i="150"/>
  <c r="AO107" i="150" s="1"/>
  <c r="O107" i="150"/>
  <c r="BN107" i="150"/>
  <c r="BO107" i="150" s="1"/>
  <c r="M107" i="150"/>
  <c r="BL107" i="150"/>
  <c r="K108" i="150"/>
  <c r="I111" i="150"/>
  <c r="AV109" i="149"/>
  <c r="AW109" i="149" s="1"/>
  <c r="P109" i="149"/>
  <c r="BQ109" i="149"/>
  <c r="BR109" i="149" s="1"/>
  <c r="BA109" i="149"/>
  <c r="BB109" i="149" s="1"/>
  <c r="AK109" i="149"/>
  <c r="AL109" i="149" s="1"/>
  <c r="AB109" i="149"/>
  <c r="AC109" i="149" s="1"/>
  <c r="BD109" i="149"/>
  <c r="BE109" i="149" s="1"/>
  <c r="AQ109" i="149"/>
  <c r="AR109" i="149" s="1"/>
  <c r="V109" i="149"/>
  <c r="W109" i="149" s="1"/>
  <c r="BG109" i="149"/>
  <c r="BH109" i="149" s="1"/>
  <c r="O109" i="149"/>
  <c r="AT109" i="149"/>
  <c r="Y109" i="149"/>
  <c r="Z109" i="149" s="1"/>
  <c r="AN109" i="149"/>
  <c r="AO109" i="149" s="1"/>
  <c r="R109" i="149"/>
  <c r="T109" i="149" s="1"/>
  <c r="AY109" i="149"/>
  <c r="AH109" i="149"/>
  <c r="AI109" i="149" s="1"/>
  <c r="AE109" i="149"/>
  <c r="AF109" i="149" s="1"/>
  <c r="BN109" i="149"/>
  <c r="BO109" i="149" s="1"/>
  <c r="M109" i="149"/>
  <c r="BL109" i="149"/>
  <c r="I111" i="149"/>
  <c r="K110" i="149"/>
  <c r="AV108" i="147"/>
  <c r="AW108" i="147" s="1"/>
  <c r="BG108" i="147"/>
  <c r="BH108" i="147" s="1"/>
  <c r="BA108" i="147"/>
  <c r="BB108" i="147" s="1"/>
  <c r="AT108" i="147"/>
  <c r="AN108" i="147"/>
  <c r="AO108" i="147" s="1"/>
  <c r="AH108" i="147"/>
  <c r="AI108" i="147" s="1"/>
  <c r="AB108" i="147"/>
  <c r="AC108" i="147" s="1"/>
  <c r="V108" i="147"/>
  <c r="W108" i="147" s="1"/>
  <c r="O108" i="147"/>
  <c r="AY108" i="147"/>
  <c r="P108" i="147"/>
  <c r="AK108" i="147"/>
  <c r="AL108" i="147" s="1"/>
  <c r="Y108" i="147"/>
  <c r="Z108" i="147" s="1"/>
  <c r="BQ108" i="147"/>
  <c r="BR108" i="147" s="1"/>
  <c r="BD108" i="147"/>
  <c r="BE108" i="147" s="1"/>
  <c r="AQ108" i="147"/>
  <c r="AR108" i="147" s="1"/>
  <c r="AE108" i="147"/>
  <c r="AF108" i="147" s="1"/>
  <c r="R108" i="147"/>
  <c r="T108" i="147" s="1"/>
  <c r="BK108" i="147"/>
  <c r="M108" i="147"/>
  <c r="BJ108" i="147"/>
  <c r="BL108" i="147" s="1"/>
  <c r="BN108" i="147"/>
  <c r="BO108" i="147" s="1"/>
  <c r="I110" i="147"/>
  <c r="K109" i="147"/>
  <c r="BG107" i="146"/>
  <c r="BH107" i="146" s="1"/>
  <c r="BA107" i="146"/>
  <c r="BB107" i="146" s="1"/>
  <c r="BD107" i="146"/>
  <c r="BE107" i="146" s="1"/>
  <c r="AV107" i="146"/>
  <c r="AW107" i="146" s="1"/>
  <c r="P107" i="146"/>
  <c r="BQ107" i="146"/>
  <c r="BR107" i="146" s="1"/>
  <c r="AT107" i="146"/>
  <c r="AN107" i="146"/>
  <c r="AO107" i="146" s="1"/>
  <c r="AH107" i="146"/>
  <c r="AI107" i="146" s="1"/>
  <c r="AB107" i="146"/>
  <c r="AC107" i="146" s="1"/>
  <c r="V107" i="146"/>
  <c r="W107" i="146" s="1"/>
  <c r="O107" i="146"/>
  <c r="AY107" i="146"/>
  <c r="AE107" i="146"/>
  <c r="AF107" i="146" s="1"/>
  <c r="Y107" i="146"/>
  <c r="Z107" i="146" s="1"/>
  <c r="AQ107" i="146"/>
  <c r="AR107" i="146" s="1"/>
  <c r="R107" i="146"/>
  <c r="T107" i="146" s="1"/>
  <c r="AK107" i="146"/>
  <c r="AL107" i="146" s="1"/>
  <c r="BN107" i="146"/>
  <c r="BO107" i="146" s="1"/>
  <c r="BK107" i="146"/>
  <c r="BJ107" i="146"/>
  <c r="BL107" i="146" s="1"/>
  <c r="M107" i="146"/>
  <c r="I109" i="146"/>
  <c r="K108" i="146"/>
  <c r="BJ107" i="105"/>
  <c r="BL107" i="105" s="1"/>
  <c r="AV107" i="105"/>
  <c r="AW107" i="105" s="1"/>
  <c r="AB107" i="105"/>
  <c r="AC107" i="105" s="1"/>
  <c r="BQ107" i="105"/>
  <c r="BR107" i="105" s="1"/>
  <c r="BK107" i="105"/>
  <c r="Y107" i="105"/>
  <c r="Z107" i="105" s="1"/>
  <c r="P107" i="105"/>
  <c r="R107" i="105"/>
  <c r="T107" i="105" s="1"/>
  <c r="O107" i="105"/>
  <c r="AT107" i="105"/>
  <c r="M107" i="105"/>
  <c r="BN107" i="105"/>
  <c r="BO107" i="105" s="1"/>
  <c r="AH107" i="105"/>
  <c r="AI107" i="105" s="1"/>
  <c r="AK107" i="105"/>
  <c r="AL107" i="105" s="1"/>
  <c r="AN107" i="105"/>
  <c r="AO107" i="105" s="1"/>
  <c r="AQ107" i="105"/>
  <c r="AR107" i="105" s="1"/>
  <c r="V107" i="105"/>
  <c r="W107" i="105" s="1"/>
  <c r="AE107" i="105"/>
  <c r="AF107" i="105" s="1"/>
  <c r="BA107" i="105"/>
  <c r="BB107" i="105" s="1"/>
  <c r="BG107" i="105"/>
  <c r="BH107" i="105" s="1"/>
  <c r="BD107" i="105"/>
  <c r="BE107" i="105" s="1"/>
  <c r="AY107" i="105"/>
  <c r="K108" i="105"/>
  <c r="BN103" i="17"/>
  <c r="BO103" i="17" s="1"/>
  <c r="BL103" i="17"/>
  <c r="AE103" i="17"/>
  <c r="AF103" i="17" s="1"/>
  <c r="AH103" i="17"/>
  <c r="AI103" i="17" s="1"/>
  <c r="AQ103" i="17"/>
  <c r="AR103" i="17" s="1"/>
  <c r="BQ103" i="17"/>
  <c r="BR103" i="17" s="1"/>
  <c r="Y103" i="17"/>
  <c r="Z103" i="17" s="1"/>
  <c r="O103" i="17"/>
  <c r="M103" i="17"/>
  <c r="AB103" i="17"/>
  <c r="AC103" i="17" s="1"/>
  <c r="AV103" i="17"/>
  <c r="AW103" i="17" s="1"/>
  <c r="AT103" i="17"/>
  <c r="BA103" i="17"/>
  <c r="BB103" i="17" s="1"/>
  <c r="AN103" i="17"/>
  <c r="AO103" i="17" s="1"/>
  <c r="BD103" i="17"/>
  <c r="BE103" i="17" s="1"/>
  <c r="AY103" i="17"/>
  <c r="V103" i="17"/>
  <c r="W103" i="17" s="1"/>
  <c r="R103" i="17"/>
  <c r="T103" i="17" s="1"/>
  <c r="BG103" i="17"/>
  <c r="BH103" i="17" s="1"/>
  <c r="AK103" i="17"/>
  <c r="AL103" i="17" s="1"/>
  <c r="P103" i="17"/>
  <c r="I109" i="15"/>
  <c r="M105" i="115"/>
  <c r="BJ105" i="115"/>
  <c r="BL105" i="115" s="1"/>
  <c r="BN105" i="115"/>
  <c r="BO105" i="115" s="1"/>
  <c r="BK105" i="115"/>
  <c r="P105" i="115"/>
  <c r="AQ105" i="115"/>
  <c r="AR105" i="115" s="1"/>
  <c r="AN105" i="115"/>
  <c r="AO105" i="115" s="1"/>
  <c r="AY105" i="115"/>
  <c r="BA105" i="115"/>
  <c r="BB105" i="115" s="1"/>
  <c r="BD105" i="115"/>
  <c r="BE105" i="115" s="1"/>
  <c r="AB105" i="115"/>
  <c r="AC105" i="115" s="1"/>
  <c r="R105" i="115"/>
  <c r="T105" i="115" s="1"/>
  <c r="O105" i="115"/>
  <c r="BQ105" i="115"/>
  <c r="BR105" i="115" s="1"/>
  <c r="AV105" i="115"/>
  <c r="AW105" i="115" s="1"/>
  <c r="AK105" i="115"/>
  <c r="AL105" i="115" s="1"/>
  <c r="BG105" i="115"/>
  <c r="BH105" i="115" s="1"/>
  <c r="AT105" i="115"/>
  <c r="AE105" i="115"/>
  <c r="AF105" i="115" s="1"/>
  <c r="AH105" i="115"/>
  <c r="AI105" i="115" s="1"/>
  <c r="Y105" i="115"/>
  <c r="Z105" i="115" s="1"/>
  <c r="V105" i="115"/>
  <c r="W105" i="115" s="1"/>
  <c r="M105" i="126"/>
  <c r="BK105" i="126"/>
  <c r="BJ105" i="126"/>
  <c r="BL105" i="126" s="1"/>
  <c r="BN105" i="126"/>
  <c r="BO105" i="126" s="1"/>
  <c r="BD105" i="126"/>
  <c r="BE105" i="126" s="1"/>
  <c r="P105" i="126"/>
  <c r="AB105" i="126"/>
  <c r="AC105" i="126" s="1"/>
  <c r="AN105" i="126"/>
  <c r="AO105" i="126" s="1"/>
  <c r="V105" i="126"/>
  <c r="W105" i="126" s="1"/>
  <c r="AE105" i="126"/>
  <c r="AF105" i="126" s="1"/>
  <c r="AK105" i="126"/>
  <c r="AL105" i="126" s="1"/>
  <c r="O105" i="126"/>
  <c r="R105" i="126"/>
  <c r="T105" i="126" s="1"/>
  <c r="Y105" i="126"/>
  <c r="Z105" i="126" s="1"/>
  <c r="AH105" i="126"/>
  <c r="AI105" i="126" s="1"/>
  <c r="AQ105" i="126"/>
  <c r="AR105" i="126" s="1"/>
  <c r="AY105" i="126"/>
  <c r="BA105" i="126"/>
  <c r="BB105" i="126" s="1"/>
  <c r="BG105" i="126"/>
  <c r="BH105" i="126" s="1"/>
  <c r="AT105" i="126"/>
  <c r="BQ105" i="126"/>
  <c r="BR105" i="126" s="1"/>
  <c r="AV105" i="126"/>
  <c r="AW105" i="126" s="1"/>
  <c r="K106" i="126"/>
  <c r="BJ105" i="114"/>
  <c r="BL105" i="114" s="1"/>
  <c r="BN105" i="114"/>
  <c r="BO105" i="114" s="1"/>
  <c r="BK105" i="114"/>
  <c r="M105" i="114"/>
  <c r="AY105" i="114"/>
  <c r="AQ105" i="114"/>
  <c r="AR105" i="114" s="1"/>
  <c r="BQ105" i="114"/>
  <c r="BR105" i="114" s="1"/>
  <c r="P105" i="114"/>
  <c r="Y105" i="114"/>
  <c r="Z105" i="114" s="1"/>
  <c r="R105" i="114"/>
  <c r="T105" i="114" s="1"/>
  <c r="AK105" i="114"/>
  <c r="AL105" i="114" s="1"/>
  <c r="AV105" i="114"/>
  <c r="AW105" i="114" s="1"/>
  <c r="AB105" i="114"/>
  <c r="AC105" i="114" s="1"/>
  <c r="BA105" i="114"/>
  <c r="BB105" i="114" s="1"/>
  <c r="BD105" i="114"/>
  <c r="BE105" i="114" s="1"/>
  <c r="V105" i="114"/>
  <c r="W105" i="114" s="1"/>
  <c r="O105" i="114"/>
  <c r="AE105" i="114"/>
  <c r="AF105" i="114" s="1"/>
  <c r="AT105" i="114"/>
  <c r="AN105" i="114"/>
  <c r="AO105" i="114" s="1"/>
  <c r="AH105" i="114"/>
  <c r="AI105" i="114" s="1"/>
  <c r="BG105" i="114"/>
  <c r="BH105" i="114" s="1"/>
  <c r="K106" i="114"/>
  <c r="I107" i="110"/>
  <c r="K106" i="110"/>
  <c r="I106" i="101"/>
  <c r="K105" i="101"/>
  <c r="BL104" i="15"/>
  <c r="BN104" i="15"/>
  <c r="BO104" i="15" s="1"/>
  <c r="M104" i="15"/>
  <c r="AK104" i="15"/>
  <c r="AL104" i="15" s="1"/>
  <c r="AE104" i="15"/>
  <c r="AF104" i="15" s="1"/>
  <c r="AT104" i="15"/>
  <c r="BA104" i="15"/>
  <c r="BB104" i="15" s="1"/>
  <c r="V104" i="15"/>
  <c r="W104" i="15" s="1"/>
  <c r="AV104" i="15"/>
  <c r="AW104" i="15" s="1"/>
  <c r="AQ104" i="15"/>
  <c r="AR104" i="15" s="1"/>
  <c r="Y104" i="15"/>
  <c r="Z104" i="15" s="1"/>
  <c r="AY104" i="15"/>
  <c r="P104" i="15"/>
  <c r="AB104" i="15"/>
  <c r="AC104" i="15" s="1"/>
  <c r="R104" i="15"/>
  <c r="T104" i="15" s="1"/>
  <c r="BG104" i="15"/>
  <c r="BH104" i="15" s="1"/>
  <c r="BQ104" i="15"/>
  <c r="BR104" i="15" s="1"/>
  <c r="AN104" i="15"/>
  <c r="AO104" i="15" s="1"/>
  <c r="BD104" i="15"/>
  <c r="BE104" i="15" s="1"/>
  <c r="AH104" i="15"/>
  <c r="AI104" i="15" s="1"/>
  <c r="O104" i="15"/>
  <c r="K105" i="15"/>
  <c r="I110" i="63"/>
  <c r="I114" i="95"/>
  <c r="BQ105" i="98"/>
  <c r="BR105" i="98" s="1"/>
  <c r="AY105" i="98"/>
  <c r="AQ105" i="98"/>
  <c r="AR105" i="98" s="1"/>
  <c r="AN105" i="98"/>
  <c r="AO105" i="98" s="1"/>
  <c r="K106" i="98"/>
  <c r="AT105" i="98"/>
  <c r="BA105" i="98"/>
  <c r="BB105" i="98" s="1"/>
  <c r="AV105" i="98"/>
  <c r="AW105" i="98" s="1"/>
  <c r="AB105" i="98"/>
  <c r="AC105" i="98" s="1"/>
  <c r="AE105" i="98"/>
  <c r="AF105" i="98" s="1"/>
  <c r="Y105" i="98"/>
  <c r="Z105" i="98" s="1"/>
  <c r="O105" i="98"/>
  <c r="AK105" i="98"/>
  <c r="AL105" i="98" s="1"/>
  <c r="AH105" i="98"/>
  <c r="AI105" i="98" s="1"/>
  <c r="BK105" i="98"/>
  <c r="P105" i="98"/>
  <c r="M105" i="98"/>
  <c r="BJ105" i="98"/>
  <c r="BL105" i="98" s="1"/>
  <c r="V105" i="98"/>
  <c r="W105" i="98" s="1"/>
  <c r="R105" i="98"/>
  <c r="T105" i="98" s="1"/>
  <c r="BG105" i="98"/>
  <c r="BH105" i="98" s="1"/>
  <c r="BD105" i="98"/>
  <c r="BE105" i="98" s="1"/>
  <c r="BN105" i="98"/>
  <c r="BO105" i="98" s="1"/>
  <c r="I112" i="105"/>
  <c r="I105" i="66"/>
  <c r="K104" i="66"/>
  <c r="I105" i="17"/>
  <c r="K104" i="17"/>
  <c r="BL105" i="96"/>
  <c r="AE105" i="96"/>
  <c r="AF105" i="96" s="1"/>
  <c r="BN105" i="96"/>
  <c r="BO105" i="96" s="1"/>
  <c r="R105" i="96"/>
  <c r="T105" i="96" s="1"/>
  <c r="AN105" i="96"/>
  <c r="AO105" i="96" s="1"/>
  <c r="BG105" i="96"/>
  <c r="BH105" i="96" s="1"/>
  <c r="AK105" i="96"/>
  <c r="AL105" i="96" s="1"/>
  <c r="BD105" i="96"/>
  <c r="BE105" i="96" s="1"/>
  <c r="Y105" i="96"/>
  <c r="Z105" i="96" s="1"/>
  <c r="V105" i="96"/>
  <c r="W105" i="96" s="1"/>
  <c r="O105" i="96"/>
  <c r="BQ105" i="96"/>
  <c r="BR105" i="96" s="1"/>
  <c r="BA105" i="96"/>
  <c r="BB105" i="96" s="1"/>
  <c r="AV105" i="96"/>
  <c r="AW105" i="96" s="1"/>
  <c r="M105" i="96"/>
  <c r="AB105" i="96"/>
  <c r="AC105" i="96" s="1"/>
  <c r="AH105" i="96"/>
  <c r="AI105" i="96" s="1"/>
  <c r="AQ105" i="96"/>
  <c r="AR105" i="96" s="1"/>
  <c r="P105" i="96"/>
  <c r="AT105" i="96"/>
  <c r="I111" i="136"/>
  <c r="I107" i="115"/>
  <c r="K106" i="115"/>
  <c r="I109" i="104"/>
  <c r="Y103" i="120"/>
  <c r="Z103" i="120" s="1"/>
  <c r="AQ103" i="120"/>
  <c r="AR103" i="120" s="1"/>
  <c r="AY103" i="120"/>
  <c r="AN103" i="120"/>
  <c r="AO103" i="120" s="1"/>
  <c r="AT103" i="120"/>
  <c r="BQ103" i="120"/>
  <c r="BR103" i="120" s="1"/>
  <c r="K104" i="120"/>
  <c r="M103" i="120"/>
  <c r="AB103" i="120"/>
  <c r="AC103" i="120" s="1"/>
  <c r="R103" i="120"/>
  <c r="T103" i="120" s="1"/>
  <c r="AV103" i="120"/>
  <c r="AW103" i="120" s="1"/>
  <c r="AE103" i="120"/>
  <c r="AF103" i="120" s="1"/>
  <c r="BD103" i="120"/>
  <c r="BE103" i="120" s="1"/>
  <c r="AH103" i="120"/>
  <c r="AI103" i="120" s="1"/>
  <c r="BA103" i="120"/>
  <c r="BB103" i="120" s="1"/>
  <c r="P103" i="120"/>
  <c r="BG103" i="120"/>
  <c r="BH103" i="120" s="1"/>
  <c r="AK103" i="120"/>
  <c r="AL103" i="120" s="1"/>
  <c r="O103" i="120"/>
  <c r="V103" i="120"/>
  <c r="W103" i="120" s="1"/>
  <c r="BN103" i="120"/>
  <c r="BO103" i="120" s="1"/>
  <c r="M106" i="135"/>
  <c r="AN106" i="135"/>
  <c r="AO106" i="135" s="1"/>
  <c r="BQ106" i="135"/>
  <c r="BR106" i="135" s="1"/>
  <c r="AT106" i="135"/>
  <c r="O106" i="135"/>
  <c r="AH106" i="135"/>
  <c r="AI106" i="135" s="1"/>
  <c r="AK106" i="135"/>
  <c r="AL106" i="135" s="1"/>
  <c r="Y106" i="135"/>
  <c r="Z106" i="135" s="1"/>
  <c r="BA106" i="135"/>
  <c r="BB106" i="135" s="1"/>
  <c r="P106" i="135"/>
  <c r="AB106" i="135"/>
  <c r="AC106" i="135" s="1"/>
  <c r="AE106" i="135"/>
  <c r="AF106" i="135" s="1"/>
  <c r="BG106" i="135"/>
  <c r="BH106" i="135" s="1"/>
  <c r="V106" i="135"/>
  <c r="W106" i="135" s="1"/>
  <c r="BD106" i="135"/>
  <c r="BE106" i="135" s="1"/>
  <c r="AQ106" i="135"/>
  <c r="AR106" i="135" s="1"/>
  <c r="AV106" i="135"/>
  <c r="AW106" i="135" s="1"/>
  <c r="AY106" i="135"/>
  <c r="R106" i="135"/>
  <c r="T106" i="135" s="1"/>
  <c r="BN106" i="135"/>
  <c r="BO106" i="135" s="1"/>
  <c r="BL106" i="135"/>
  <c r="BN103" i="13"/>
  <c r="BO103" i="13" s="1"/>
  <c r="M103" i="13"/>
  <c r="BL103" i="13"/>
  <c r="BD103" i="13"/>
  <c r="BE103" i="13" s="1"/>
  <c r="AK103" i="13"/>
  <c r="AL103" i="13" s="1"/>
  <c r="O103" i="13"/>
  <c r="AY103" i="13"/>
  <c r="AT103" i="13"/>
  <c r="P103" i="13"/>
  <c r="AE103" i="13"/>
  <c r="AF103" i="13" s="1"/>
  <c r="AH103" i="13"/>
  <c r="AI103" i="13" s="1"/>
  <c r="Y103" i="13"/>
  <c r="Z103" i="13" s="1"/>
  <c r="R103" i="13"/>
  <c r="T103" i="13" s="1"/>
  <c r="AN103" i="13"/>
  <c r="AO103" i="13" s="1"/>
  <c r="AB103" i="13"/>
  <c r="AC103" i="13" s="1"/>
  <c r="BA103" i="13"/>
  <c r="BB103" i="13" s="1"/>
  <c r="BQ103" i="13"/>
  <c r="BR103" i="13" s="1"/>
  <c r="AV103" i="13"/>
  <c r="AW103" i="13" s="1"/>
  <c r="BG103" i="13"/>
  <c r="BH103" i="13" s="1"/>
  <c r="V103" i="13"/>
  <c r="W103" i="13" s="1"/>
  <c r="AQ103" i="13"/>
  <c r="AR103" i="13" s="1"/>
  <c r="M107" i="136"/>
  <c r="BN107" i="136"/>
  <c r="BO107" i="136" s="1"/>
  <c r="BL107" i="136"/>
  <c r="O107" i="136"/>
  <c r="BQ107" i="136"/>
  <c r="BR107" i="136" s="1"/>
  <c r="V107" i="136"/>
  <c r="W107" i="136" s="1"/>
  <c r="AQ107" i="136"/>
  <c r="AR107" i="136" s="1"/>
  <c r="AN107" i="136"/>
  <c r="AO107" i="136" s="1"/>
  <c r="AE107" i="136"/>
  <c r="AF107" i="136" s="1"/>
  <c r="AY107" i="136"/>
  <c r="BA107" i="136"/>
  <c r="BB107" i="136" s="1"/>
  <c r="Y107" i="136"/>
  <c r="Z107" i="136" s="1"/>
  <c r="BG107" i="136"/>
  <c r="BH107" i="136" s="1"/>
  <c r="P107" i="136"/>
  <c r="AV107" i="136"/>
  <c r="AW107" i="136" s="1"/>
  <c r="AT107" i="136"/>
  <c r="AH107" i="136"/>
  <c r="AI107" i="136" s="1"/>
  <c r="R107" i="136"/>
  <c r="T107" i="136" s="1"/>
  <c r="AK107" i="136"/>
  <c r="AL107" i="136" s="1"/>
  <c r="BD107" i="136"/>
  <c r="BE107" i="136" s="1"/>
  <c r="AB107" i="136"/>
  <c r="AC107" i="136" s="1"/>
  <c r="K108" i="136"/>
  <c r="V103" i="66"/>
  <c r="W103" i="66" s="1"/>
  <c r="R103" i="66"/>
  <c r="T103" i="66" s="1"/>
  <c r="Y103" i="66"/>
  <c r="Z103" i="66" s="1"/>
  <c r="AE103" i="66"/>
  <c r="AF103" i="66" s="1"/>
  <c r="O103" i="66"/>
  <c r="BD103" i="66"/>
  <c r="BE103" i="66" s="1"/>
  <c r="BA103" i="66"/>
  <c r="BB103" i="66" s="1"/>
  <c r="AY103" i="66"/>
  <c r="AV103" i="66"/>
  <c r="AW103" i="66" s="1"/>
  <c r="BN103" i="66"/>
  <c r="BO103" i="66" s="1"/>
  <c r="BL103" i="66"/>
  <c r="AB103" i="66"/>
  <c r="AC103" i="66" s="1"/>
  <c r="P103" i="66"/>
  <c r="AN103" i="66"/>
  <c r="AO103" i="66" s="1"/>
  <c r="AQ103" i="66"/>
  <c r="AR103" i="66" s="1"/>
  <c r="AT103" i="66"/>
  <c r="AH103" i="66"/>
  <c r="AI103" i="66" s="1"/>
  <c r="AK103" i="66"/>
  <c r="AL103" i="66" s="1"/>
  <c r="M103" i="66"/>
  <c r="BQ103" i="66"/>
  <c r="BR103" i="66" s="1"/>
  <c r="BG103" i="66"/>
  <c r="BH103" i="66" s="1"/>
  <c r="I107" i="96"/>
  <c r="K106" i="96"/>
  <c r="M104" i="118"/>
  <c r="AQ104" i="118"/>
  <c r="AR104" i="118" s="1"/>
  <c r="K105" i="118"/>
  <c r="BN104" i="118"/>
  <c r="BO104" i="118" s="1"/>
  <c r="AT104" i="118"/>
  <c r="AN104" i="118"/>
  <c r="AO104" i="118" s="1"/>
  <c r="BQ104" i="118"/>
  <c r="BR104" i="118" s="1"/>
  <c r="R104" i="118"/>
  <c r="T104" i="118" s="1"/>
  <c r="O104" i="118"/>
  <c r="AV104" i="118"/>
  <c r="AW104" i="118" s="1"/>
  <c r="AB104" i="118"/>
  <c r="AC104" i="118" s="1"/>
  <c r="AK104" i="118"/>
  <c r="AL104" i="118" s="1"/>
  <c r="AE104" i="118"/>
  <c r="AF104" i="118" s="1"/>
  <c r="BG104" i="118"/>
  <c r="BH104" i="118" s="1"/>
  <c r="AH104" i="118"/>
  <c r="AI104" i="118" s="1"/>
  <c r="Y104" i="118"/>
  <c r="Z104" i="118" s="1"/>
  <c r="AY104" i="118"/>
  <c r="V104" i="118"/>
  <c r="W104" i="118" s="1"/>
  <c r="BD104" i="118"/>
  <c r="BE104" i="118" s="1"/>
  <c r="P104" i="118"/>
  <c r="BA104" i="118"/>
  <c r="BB104" i="118" s="1"/>
  <c r="BG105" i="63"/>
  <c r="BH105" i="63" s="1"/>
  <c r="BA105" i="63"/>
  <c r="BB105" i="63" s="1"/>
  <c r="Y105" i="63"/>
  <c r="Z105" i="63" s="1"/>
  <c r="BD105" i="63"/>
  <c r="BE105" i="63" s="1"/>
  <c r="R105" i="63"/>
  <c r="T105" i="63" s="1"/>
  <c r="M105" i="63"/>
  <c r="AT105" i="63"/>
  <c r="AH105" i="63"/>
  <c r="AI105" i="63" s="1"/>
  <c r="AQ105" i="63"/>
  <c r="AR105" i="63" s="1"/>
  <c r="O105" i="63"/>
  <c r="BN105" i="63"/>
  <c r="BO105" i="63" s="1"/>
  <c r="BL105" i="63"/>
  <c r="BQ105" i="63"/>
  <c r="BR105" i="63" s="1"/>
  <c r="P105" i="63"/>
  <c r="AV105" i="63"/>
  <c r="AW105" i="63" s="1"/>
  <c r="AK105" i="63"/>
  <c r="AL105" i="63" s="1"/>
  <c r="AE105" i="63"/>
  <c r="AF105" i="63" s="1"/>
  <c r="V105" i="63"/>
  <c r="W105" i="63" s="1"/>
  <c r="AY105" i="63"/>
  <c r="AB105" i="63"/>
  <c r="AC105" i="63" s="1"/>
  <c r="AN105" i="63"/>
  <c r="AO105" i="63" s="1"/>
  <c r="K106" i="63"/>
  <c r="BJ109" i="124"/>
  <c r="BL109" i="124" s="1"/>
  <c r="BK109" i="124"/>
  <c r="K110" i="124"/>
  <c r="M109" i="124"/>
  <c r="BN109" i="124"/>
  <c r="BO109" i="124" s="1"/>
  <c r="AT109" i="124"/>
  <c r="AK109" i="124"/>
  <c r="AL109" i="124" s="1"/>
  <c r="AQ109" i="124"/>
  <c r="AR109" i="124" s="1"/>
  <c r="BA109" i="124"/>
  <c r="BB109" i="124" s="1"/>
  <c r="AN109" i="124"/>
  <c r="AO109" i="124" s="1"/>
  <c r="R109" i="124"/>
  <c r="T109" i="124" s="1"/>
  <c r="AY109" i="124"/>
  <c r="AE109" i="124"/>
  <c r="AF109" i="124" s="1"/>
  <c r="AH109" i="124"/>
  <c r="AI109" i="124" s="1"/>
  <c r="V109" i="124"/>
  <c r="W109" i="124" s="1"/>
  <c r="AB109" i="124"/>
  <c r="AC109" i="124" s="1"/>
  <c r="BG109" i="124"/>
  <c r="BH109" i="124" s="1"/>
  <c r="BQ109" i="124"/>
  <c r="BR109" i="124" s="1"/>
  <c r="O109" i="124"/>
  <c r="BD109" i="124"/>
  <c r="BE109" i="124" s="1"/>
  <c r="Y109" i="124"/>
  <c r="Z109" i="124" s="1"/>
  <c r="AV109" i="124"/>
  <c r="AW109" i="124" s="1"/>
  <c r="P109" i="124"/>
  <c r="I108" i="135"/>
  <c r="K107" i="135"/>
  <c r="K104" i="13"/>
  <c r="I105" i="13"/>
  <c r="I112" i="132"/>
  <c r="I111" i="64"/>
  <c r="I110" i="126"/>
  <c r="M105" i="110"/>
  <c r="BN105" i="110"/>
  <c r="BO105" i="110" s="1"/>
  <c r="BK105" i="110"/>
  <c r="BJ105" i="110"/>
  <c r="BL105" i="110" s="1"/>
  <c r="AE105" i="110"/>
  <c r="AF105" i="110" s="1"/>
  <c r="BA105" i="110"/>
  <c r="BB105" i="110" s="1"/>
  <c r="AV105" i="110"/>
  <c r="AW105" i="110" s="1"/>
  <c r="AT105" i="110"/>
  <c r="AK105" i="110"/>
  <c r="AL105" i="110" s="1"/>
  <c r="BQ105" i="110"/>
  <c r="BR105" i="110" s="1"/>
  <c r="V105" i="110"/>
  <c r="W105" i="110" s="1"/>
  <c r="R105" i="110"/>
  <c r="T105" i="110" s="1"/>
  <c r="AY105" i="110"/>
  <c r="AH105" i="110"/>
  <c r="AI105" i="110" s="1"/>
  <c r="BD105" i="110"/>
  <c r="BE105" i="110" s="1"/>
  <c r="AB105" i="110"/>
  <c r="AC105" i="110" s="1"/>
  <c r="AQ105" i="110"/>
  <c r="AR105" i="110" s="1"/>
  <c r="O105" i="110"/>
  <c r="BG105" i="110"/>
  <c r="BH105" i="110" s="1"/>
  <c r="Y105" i="110"/>
  <c r="Z105" i="110" s="1"/>
  <c r="P105" i="110"/>
  <c r="AN105" i="110"/>
  <c r="AO105" i="110" s="1"/>
  <c r="M104" i="101"/>
  <c r="BQ104" i="101"/>
  <c r="BR104" i="101" s="1"/>
  <c r="Y104" i="101"/>
  <c r="Z104" i="101" s="1"/>
  <c r="AK104" i="101"/>
  <c r="AL104" i="101" s="1"/>
  <c r="V104" i="101"/>
  <c r="W104" i="101" s="1"/>
  <c r="BD104" i="101"/>
  <c r="BE104" i="101" s="1"/>
  <c r="AQ104" i="101"/>
  <c r="AR104" i="101" s="1"/>
  <c r="AH104" i="101"/>
  <c r="AI104" i="101" s="1"/>
  <c r="R104" i="101"/>
  <c r="T104" i="101" s="1"/>
  <c r="AB104" i="101"/>
  <c r="AC104" i="101" s="1"/>
  <c r="BA104" i="101"/>
  <c r="BB104" i="101" s="1"/>
  <c r="AN104" i="101"/>
  <c r="AO104" i="101" s="1"/>
  <c r="AV104" i="101"/>
  <c r="AW104" i="101" s="1"/>
  <c r="AE104" i="101"/>
  <c r="AF104" i="101" s="1"/>
  <c r="AY104" i="101"/>
  <c r="AT104" i="101"/>
  <c r="O104" i="101"/>
  <c r="BG104" i="101"/>
  <c r="BH104" i="101" s="1"/>
  <c r="P104" i="101"/>
  <c r="AQ106" i="64"/>
  <c r="AR106" i="64" s="1"/>
  <c r="BA106" i="64"/>
  <c r="BB106" i="64" s="1"/>
  <c r="AN106" i="64"/>
  <c r="AO106" i="64" s="1"/>
  <c r="R106" i="64"/>
  <c r="T106" i="64" s="1"/>
  <c r="O106" i="64"/>
  <c r="BQ106" i="64"/>
  <c r="BR106" i="64" s="1"/>
  <c r="M106" i="64"/>
  <c r="AH106" i="64"/>
  <c r="AI106" i="64" s="1"/>
  <c r="AK106" i="64"/>
  <c r="AL106" i="64" s="1"/>
  <c r="AB106" i="64"/>
  <c r="AC106" i="64" s="1"/>
  <c r="AY106" i="64"/>
  <c r="P106" i="64"/>
  <c r="BD106" i="64"/>
  <c r="BE106" i="64" s="1"/>
  <c r="BG106" i="64"/>
  <c r="BH106" i="64" s="1"/>
  <c r="Y106" i="64"/>
  <c r="Z106" i="64" s="1"/>
  <c r="AE106" i="64"/>
  <c r="AF106" i="64" s="1"/>
  <c r="AV106" i="64"/>
  <c r="AW106" i="64" s="1"/>
  <c r="V106" i="64"/>
  <c r="W106" i="64" s="1"/>
  <c r="AT106" i="64"/>
  <c r="BL106" i="64"/>
  <c r="BN106" i="64"/>
  <c r="BO106" i="64" s="1"/>
  <c r="K107" i="64"/>
  <c r="I111" i="114"/>
  <c r="I111" i="107" l="1"/>
  <c r="K110" i="107"/>
  <c r="O107" i="132"/>
  <c r="BA107" i="132"/>
  <c r="BB107" i="132" s="1"/>
  <c r="AT107" i="132"/>
  <c r="BL107" i="132"/>
  <c r="AK107" i="132"/>
  <c r="AL107" i="132" s="1"/>
  <c r="BD107" i="132"/>
  <c r="BE107" i="132" s="1"/>
  <c r="Y107" i="132"/>
  <c r="Z107" i="132" s="1"/>
  <c r="AE107" i="132"/>
  <c r="AF107" i="132" s="1"/>
  <c r="R107" i="132"/>
  <c r="T107" i="132" s="1"/>
  <c r="P107" i="132"/>
  <c r="M107" i="132"/>
  <c r="AY107" i="132"/>
  <c r="K108" i="132"/>
  <c r="BN107" i="132"/>
  <c r="BO107" i="132" s="1"/>
  <c r="AQ107" i="132"/>
  <c r="AR107" i="132" s="1"/>
  <c r="AH107" i="132"/>
  <c r="AI107" i="132" s="1"/>
  <c r="AB107" i="132"/>
  <c r="AC107" i="132" s="1"/>
  <c r="V107" i="132"/>
  <c r="W107" i="132" s="1"/>
  <c r="BG107" i="132"/>
  <c r="BH107" i="132" s="1"/>
  <c r="AN107" i="132"/>
  <c r="AO107" i="132" s="1"/>
  <c r="AV107" i="132"/>
  <c r="AW107" i="132" s="1"/>
  <c r="BQ107" i="132"/>
  <c r="BR107" i="132" s="1"/>
  <c r="BN109" i="107"/>
  <c r="BO109" i="107" s="1"/>
  <c r="AY109" i="107"/>
  <c r="R109" i="107"/>
  <c r="T109" i="107" s="1"/>
  <c r="BG109" i="107"/>
  <c r="BH109" i="107" s="1"/>
  <c r="AK109" i="107"/>
  <c r="AL109" i="107" s="1"/>
  <c r="BJ109" i="107"/>
  <c r="BL109" i="107" s="1"/>
  <c r="BQ109" i="107"/>
  <c r="BR109" i="107" s="1"/>
  <c r="AN109" i="107"/>
  <c r="AO109" i="107" s="1"/>
  <c r="V109" i="107"/>
  <c r="W109" i="107" s="1"/>
  <c r="AH109" i="107"/>
  <c r="AI109" i="107" s="1"/>
  <c r="AE109" i="107"/>
  <c r="AF109" i="107" s="1"/>
  <c r="BA109" i="107"/>
  <c r="BB109" i="107" s="1"/>
  <c r="AB109" i="107"/>
  <c r="AC109" i="107" s="1"/>
  <c r="M109" i="107"/>
  <c r="AQ109" i="107"/>
  <c r="AR109" i="107" s="1"/>
  <c r="BK109" i="107"/>
  <c r="P109" i="107"/>
  <c r="Y109" i="107"/>
  <c r="Z109" i="107" s="1"/>
  <c r="O109" i="107"/>
  <c r="AV109" i="107"/>
  <c r="AW109" i="107" s="1"/>
  <c r="AT109" i="107"/>
  <c r="BD109" i="107"/>
  <c r="BE109" i="107" s="1"/>
  <c r="P107" i="99"/>
  <c r="AV107" i="99"/>
  <c r="AW107" i="99" s="1"/>
  <c r="O107" i="99"/>
  <c r="AB107" i="99"/>
  <c r="AC107" i="99" s="1"/>
  <c r="AY107" i="99"/>
  <c r="BQ107" i="99"/>
  <c r="BR107" i="99" s="1"/>
  <c r="AK107" i="99"/>
  <c r="AL107" i="99" s="1"/>
  <c r="BK107" i="99"/>
  <c r="AE107" i="99"/>
  <c r="AF107" i="99" s="1"/>
  <c r="AT107" i="99"/>
  <c r="AQ107" i="99"/>
  <c r="AR107" i="99" s="1"/>
  <c r="AH107" i="99"/>
  <c r="AI107" i="99" s="1"/>
  <c r="BA107" i="99"/>
  <c r="BB107" i="99" s="1"/>
  <c r="Y107" i="99"/>
  <c r="Z107" i="99" s="1"/>
  <c r="BN107" i="99"/>
  <c r="BO107" i="99" s="1"/>
  <c r="K108" i="99"/>
  <c r="BG107" i="99"/>
  <c r="BH107" i="99" s="1"/>
  <c r="M107" i="99"/>
  <c r="BD107" i="99"/>
  <c r="BE107" i="99" s="1"/>
  <c r="V107" i="99"/>
  <c r="W107" i="99" s="1"/>
  <c r="R107" i="99"/>
  <c r="T107" i="99" s="1"/>
  <c r="BJ107" i="99"/>
  <c r="BL107" i="99" s="1"/>
  <c r="AN107" i="99"/>
  <c r="AO107" i="99" s="1"/>
  <c r="BJ105" i="104"/>
  <c r="BL105" i="104" s="1"/>
  <c r="AN105" i="104"/>
  <c r="AO105" i="104" s="1"/>
  <c r="Y105" i="104"/>
  <c r="Z105" i="104" s="1"/>
  <c r="O105" i="104"/>
  <c r="BK105" i="104"/>
  <c r="R105" i="104"/>
  <c r="T105" i="104" s="1"/>
  <c r="AY105" i="104"/>
  <c r="P105" i="104"/>
  <c r="BN105" i="104"/>
  <c r="BO105" i="104" s="1"/>
  <c r="AB105" i="104"/>
  <c r="AC105" i="104" s="1"/>
  <c r="V105" i="104"/>
  <c r="W105" i="104" s="1"/>
  <c r="AV105" i="104"/>
  <c r="AW105" i="104" s="1"/>
  <c r="AK105" i="104"/>
  <c r="AL105" i="104" s="1"/>
  <c r="BQ105" i="104"/>
  <c r="BR105" i="104" s="1"/>
  <c r="BG105" i="104"/>
  <c r="BH105" i="104" s="1"/>
  <c r="K106" i="104"/>
  <c r="BA105" i="104"/>
  <c r="BB105" i="104" s="1"/>
  <c r="AH105" i="104"/>
  <c r="AI105" i="104" s="1"/>
  <c r="AQ105" i="104"/>
  <c r="AR105" i="104" s="1"/>
  <c r="M105" i="104"/>
  <c r="AE105" i="104"/>
  <c r="AF105" i="104" s="1"/>
  <c r="BD105" i="104"/>
  <c r="BE105" i="104" s="1"/>
  <c r="AT105" i="104"/>
  <c r="BL104" i="95"/>
  <c r="BQ104" i="95"/>
  <c r="BR104" i="95" s="1"/>
  <c r="AV104" i="95"/>
  <c r="AW104" i="95" s="1"/>
  <c r="K105" i="95"/>
  <c r="AH104" i="95"/>
  <c r="AI104" i="95" s="1"/>
  <c r="BA104" i="95"/>
  <c r="BB104" i="95" s="1"/>
  <c r="P104" i="95"/>
  <c r="AK104" i="95"/>
  <c r="AL104" i="95" s="1"/>
  <c r="AQ104" i="95"/>
  <c r="AR104" i="95" s="1"/>
  <c r="O104" i="95"/>
  <c r="BD104" i="95"/>
  <c r="BE104" i="95" s="1"/>
  <c r="R104" i="95"/>
  <c r="T104" i="95" s="1"/>
  <c r="AT104" i="95"/>
  <c r="M104" i="95"/>
  <c r="BG104" i="95"/>
  <c r="BH104" i="95" s="1"/>
  <c r="AN104" i="95"/>
  <c r="AO104" i="95" s="1"/>
  <c r="AE104" i="95"/>
  <c r="AF104" i="95" s="1"/>
  <c r="BN104" i="95"/>
  <c r="BO104" i="95" s="1"/>
  <c r="Y104" i="95"/>
  <c r="Z104" i="95" s="1"/>
  <c r="V104" i="95"/>
  <c r="W104" i="95" s="1"/>
  <c r="AB104" i="95"/>
  <c r="AC104" i="95" s="1"/>
  <c r="M108" i="133"/>
  <c r="AH108" i="133"/>
  <c r="AI108" i="133" s="1"/>
  <c r="AN108" i="133"/>
  <c r="AO108" i="133" s="1"/>
  <c r="BD108" i="133"/>
  <c r="BE108" i="133" s="1"/>
  <c r="AQ108" i="133"/>
  <c r="AR108" i="133" s="1"/>
  <c r="O108" i="133"/>
  <c r="AK108" i="133"/>
  <c r="AL108" i="133" s="1"/>
  <c r="AT108" i="133"/>
  <c r="BL108" i="133"/>
  <c r="Y108" i="133"/>
  <c r="Z108" i="133" s="1"/>
  <c r="R108" i="133"/>
  <c r="T108" i="133" s="1"/>
  <c r="K109" i="133"/>
  <c r="BG108" i="133"/>
  <c r="BH108" i="133" s="1"/>
  <c r="BQ108" i="133"/>
  <c r="BR108" i="133" s="1"/>
  <c r="AY108" i="133"/>
  <c r="AB108" i="133"/>
  <c r="AC108" i="133" s="1"/>
  <c r="AE108" i="133"/>
  <c r="AF108" i="133" s="1"/>
  <c r="V108" i="133"/>
  <c r="W108" i="133" s="1"/>
  <c r="BN108" i="133"/>
  <c r="BO108" i="133" s="1"/>
  <c r="AV108" i="133"/>
  <c r="AW108" i="133" s="1"/>
  <c r="P108" i="133"/>
  <c r="BA108" i="133"/>
  <c r="BB108" i="133" s="1"/>
  <c r="I112" i="106"/>
  <c r="BG106" i="129"/>
  <c r="BH106" i="129" s="1"/>
  <c r="BA106" i="129"/>
  <c r="BB106" i="129" s="1"/>
  <c r="Y106" i="129"/>
  <c r="Z106" i="129" s="1"/>
  <c r="M106" i="129"/>
  <c r="BD106" i="129"/>
  <c r="BE106" i="129" s="1"/>
  <c r="AB106" i="129"/>
  <c r="AC106" i="129" s="1"/>
  <c r="AN106" i="129"/>
  <c r="AO106" i="129" s="1"/>
  <c r="BN106" i="129"/>
  <c r="BO106" i="129" s="1"/>
  <c r="AT106" i="129"/>
  <c r="AH106" i="129"/>
  <c r="AI106" i="129" s="1"/>
  <c r="O106" i="129"/>
  <c r="K107" i="129"/>
  <c r="AY106" i="129"/>
  <c r="AK106" i="129"/>
  <c r="AL106" i="129" s="1"/>
  <c r="R106" i="129"/>
  <c r="T106" i="129" s="1"/>
  <c r="AQ106" i="129"/>
  <c r="AR106" i="129" s="1"/>
  <c r="P106" i="129"/>
  <c r="AV106" i="129"/>
  <c r="AW106" i="129" s="1"/>
  <c r="BL106" i="129"/>
  <c r="V106" i="129"/>
  <c r="W106" i="129" s="1"/>
  <c r="BQ106" i="129"/>
  <c r="BR106" i="129" s="1"/>
  <c r="AE106" i="129"/>
  <c r="AF106" i="129" s="1"/>
  <c r="AB110" i="156"/>
  <c r="AC110" i="156" s="1"/>
  <c r="AV110" i="156"/>
  <c r="AW110" i="156" s="1"/>
  <c r="R110" i="156"/>
  <c r="T110" i="156" s="1"/>
  <c r="M110" i="156"/>
  <c r="AH110" i="156"/>
  <c r="AI110" i="156" s="1"/>
  <c r="BN110" i="156"/>
  <c r="BO110" i="156" s="1"/>
  <c r="AQ110" i="156"/>
  <c r="AR110" i="156" s="1"/>
  <c r="AN110" i="156"/>
  <c r="AO110" i="156" s="1"/>
  <c r="AE110" i="156"/>
  <c r="AF110" i="156" s="1"/>
  <c r="BL110" i="156"/>
  <c r="BQ110" i="156"/>
  <c r="BR110" i="156" s="1"/>
  <c r="BA110" i="156"/>
  <c r="BB110" i="156" s="1"/>
  <c r="BD110" i="156"/>
  <c r="BE110" i="156" s="1"/>
  <c r="O110" i="156"/>
  <c r="BG110" i="156"/>
  <c r="BH110" i="156" s="1"/>
  <c r="AK110" i="156"/>
  <c r="AL110" i="156" s="1"/>
  <c r="V110" i="156"/>
  <c r="W110" i="156" s="1"/>
  <c r="P110" i="156"/>
  <c r="Y110" i="156"/>
  <c r="Z110" i="156" s="1"/>
  <c r="AK105" i="106"/>
  <c r="AL105" i="106" s="1"/>
  <c r="V105" i="106"/>
  <c r="W105" i="106" s="1"/>
  <c r="P105" i="106"/>
  <c r="R105" i="106"/>
  <c r="T105" i="106" s="1"/>
  <c r="AQ105" i="106"/>
  <c r="AR105" i="106" s="1"/>
  <c r="AY105" i="106"/>
  <c r="M105" i="106"/>
  <c r="BA105" i="106"/>
  <c r="BB105" i="106" s="1"/>
  <c r="Y105" i="106"/>
  <c r="Z105" i="106" s="1"/>
  <c r="AH105" i="106"/>
  <c r="AI105" i="106" s="1"/>
  <c r="BJ105" i="106"/>
  <c r="BL105" i="106" s="1"/>
  <c r="O105" i="106"/>
  <c r="AT105" i="106"/>
  <c r="BD105" i="106"/>
  <c r="BE105" i="106" s="1"/>
  <c r="BN105" i="106"/>
  <c r="BO105" i="106" s="1"/>
  <c r="BQ105" i="106"/>
  <c r="BR105" i="106" s="1"/>
  <c r="AE105" i="106"/>
  <c r="AF105" i="106" s="1"/>
  <c r="AN105" i="106"/>
  <c r="AO105" i="106" s="1"/>
  <c r="BK105" i="106"/>
  <c r="AV105" i="106"/>
  <c r="AW105" i="106" s="1"/>
  <c r="BG105" i="106"/>
  <c r="BH105" i="106" s="1"/>
  <c r="AB105" i="106"/>
  <c r="AC105" i="106" s="1"/>
  <c r="K106" i="106"/>
  <c r="AH105" i="112"/>
  <c r="AI105" i="112" s="1"/>
  <c r="AV105" i="112"/>
  <c r="AW105" i="112" s="1"/>
  <c r="O105" i="112"/>
  <c r="V105" i="112"/>
  <c r="W105" i="112" s="1"/>
  <c r="AK105" i="112"/>
  <c r="AL105" i="112" s="1"/>
  <c r="Y105" i="112"/>
  <c r="Z105" i="112" s="1"/>
  <c r="AE105" i="112"/>
  <c r="AF105" i="112" s="1"/>
  <c r="BK105" i="112"/>
  <c r="AQ105" i="112"/>
  <c r="AR105" i="112" s="1"/>
  <c r="K106" i="112"/>
  <c r="AN105" i="112"/>
  <c r="AO105" i="112" s="1"/>
  <c r="BN105" i="112"/>
  <c r="BO105" i="112" s="1"/>
  <c r="M105" i="112"/>
  <c r="R105" i="112"/>
  <c r="T105" i="112" s="1"/>
  <c r="AY105" i="112"/>
  <c r="BQ105" i="112"/>
  <c r="BR105" i="112" s="1"/>
  <c r="BJ105" i="112"/>
  <c r="BL105" i="112" s="1"/>
  <c r="P105" i="112"/>
  <c r="AB105" i="112"/>
  <c r="AC105" i="112" s="1"/>
  <c r="BA105" i="112"/>
  <c r="BB105" i="112" s="1"/>
  <c r="AT105" i="112"/>
  <c r="BG105" i="112"/>
  <c r="BH105" i="112" s="1"/>
  <c r="BD105" i="112"/>
  <c r="BE105" i="112" s="1"/>
  <c r="K111" i="156"/>
  <c r="AY111" i="156" s="1"/>
  <c r="I112" i="156"/>
  <c r="K107" i="130"/>
  <c r="M106" i="130"/>
  <c r="BN106" i="130"/>
  <c r="BO106" i="130" s="1"/>
  <c r="BL106" i="130"/>
  <c r="O106" i="130"/>
  <c r="Y106" i="130"/>
  <c r="Z106" i="130" s="1"/>
  <c r="AH106" i="130"/>
  <c r="AI106" i="130" s="1"/>
  <c r="R106" i="130"/>
  <c r="T106" i="130" s="1"/>
  <c r="BA106" i="130"/>
  <c r="BB106" i="130" s="1"/>
  <c r="AT106" i="130"/>
  <c r="BQ106" i="130"/>
  <c r="BR106" i="130" s="1"/>
  <c r="AV106" i="130"/>
  <c r="AW106" i="130" s="1"/>
  <c r="V106" i="130"/>
  <c r="W106" i="130" s="1"/>
  <c r="AY106" i="130"/>
  <c r="AE106" i="130"/>
  <c r="AF106" i="130" s="1"/>
  <c r="AK106" i="130"/>
  <c r="AL106" i="130" s="1"/>
  <c r="BG106" i="130"/>
  <c r="BH106" i="130" s="1"/>
  <c r="AQ106" i="130"/>
  <c r="AR106" i="130" s="1"/>
  <c r="P106" i="130"/>
  <c r="BD106" i="130"/>
  <c r="BE106" i="130" s="1"/>
  <c r="AN106" i="130"/>
  <c r="AO106" i="130" s="1"/>
  <c r="AB106" i="130"/>
  <c r="AC106" i="130" s="1"/>
  <c r="I113" i="155"/>
  <c r="K112" i="155"/>
  <c r="P111" i="155"/>
  <c r="AV111" i="155"/>
  <c r="AW111" i="155" s="1"/>
  <c r="BN111" i="155"/>
  <c r="BO111" i="155" s="1"/>
  <c r="R111" i="155"/>
  <c r="T111" i="155" s="1"/>
  <c r="Y111" i="155"/>
  <c r="Z111" i="155" s="1"/>
  <c r="AE111" i="155"/>
  <c r="AF111" i="155" s="1"/>
  <c r="AK111" i="155"/>
  <c r="AL111" i="155" s="1"/>
  <c r="AQ111" i="155"/>
  <c r="AR111" i="155" s="1"/>
  <c r="BD111" i="155"/>
  <c r="BE111" i="155" s="1"/>
  <c r="M111" i="155"/>
  <c r="BQ111" i="155"/>
  <c r="BR111" i="155" s="1"/>
  <c r="O111" i="155"/>
  <c r="V111" i="155"/>
  <c r="W111" i="155" s="1"/>
  <c r="AB111" i="155"/>
  <c r="AC111" i="155" s="1"/>
  <c r="AH111" i="155"/>
  <c r="AI111" i="155" s="1"/>
  <c r="AN111" i="155"/>
  <c r="AO111" i="155" s="1"/>
  <c r="BA111" i="155"/>
  <c r="BB111" i="155" s="1"/>
  <c r="BG111" i="155"/>
  <c r="BH111" i="155" s="1"/>
  <c r="BL111" i="155"/>
  <c r="O111" i="153"/>
  <c r="V111" i="153"/>
  <c r="W111" i="153" s="1"/>
  <c r="AB111" i="153"/>
  <c r="AC111" i="153" s="1"/>
  <c r="AH111" i="153"/>
  <c r="AI111" i="153" s="1"/>
  <c r="AN111" i="153"/>
  <c r="AO111" i="153" s="1"/>
  <c r="BA111" i="153"/>
  <c r="BB111" i="153" s="1"/>
  <c r="BG111" i="153"/>
  <c r="BH111" i="153" s="1"/>
  <c r="P111" i="153"/>
  <c r="AV111" i="153"/>
  <c r="AW111" i="153" s="1"/>
  <c r="BN111" i="153"/>
  <c r="BO111" i="153" s="1"/>
  <c r="R111" i="153"/>
  <c r="T111" i="153" s="1"/>
  <c r="Y111" i="153"/>
  <c r="Z111" i="153" s="1"/>
  <c r="AE111" i="153"/>
  <c r="AF111" i="153" s="1"/>
  <c r="AK111" i="153"/>
  <c r="AL111" i="153" s="1"/>
  <c r="AQ111" i="153"/>
  <c r="AR111" i="153" s="1"/>
  <c r="BD111" i="153"/>
  <c r="BE111" i="153" s="1"/>
  <c r="BQ111" i="153"/>
  <c r="BR111" i="153" s="1"/>
  <c r="M111" i="153"/>
  <c r="BL111" i="153"/>
  <c r="K112" i="153"/>
  <c r="M111" i="152"/>
  <c r="BQ111" i="152"/>
  <c r="BR111" i="152" s="1"/>
  <c r="O111" i="152"/>
  <c r="V111" i="152"/>
  <c r="W111" i="152" s="1"/>
  <c r="AB111" i="152"/>
  <c r="AC111" i="152" s="1"/>
  <c r="AH111" i="152"/>
  <c r="AI111" i="152" s="1"/>
  <c r="AN111" i="152"/>
  <c r="AO111" i="152" s="1"/>
  <c r="BA111" i="152"/>
  <c r="BB111" i="152" s="1"/>
  <c r="BG111" i="152"/>
  <c r="BH111" i="152" s="1"/>
  <c r="P111" i="152"/>
  <c r="AV111" i="152"/>
  <c r="AW111" i="152" s="1"/>
  <c r="BN111" i="152"/>
  <c r="BO111" i="152" s="1"/>
  <c r="R111" i="152"/>
  <c r="T111" i="152" s="1"/>
  <c r="Y111" i="152"/>
  <c r="Z111" i="152" s="1"/>
  <c r="AE111" i="152"/>
  <c r="AF111" i="152" s="1"/>
  <c r="AK111" i="152"/>
  <c r="AL111" i="152" s="1"/>
  <c r="AQ111" i="152"/>
  <c r="AR111" i="152" s="1"/>
  <c r="BD111" i="152"/>
  <c r="BE111" i="152" s="1"/>
  <c r="BL111" i="152"/>
  <c r="K112" i="152"/>
  <c r="BG109" i="151"/>
  <c r="BH109" i="151" s="1"/>
  <c r="BA109" i="151"/>
  <c r="BB109" i="151" s="1"/>
  <c r="AT109" i="151"/>
  <c r="AN109" i="151"/>
  <c r="AO109" i="151" s="1"/>
  <c r="AH109" i="151"/>
  <c r="AI109" i="151" s="1"/>
  <c r="AB109" i="151"/>
  <c r="AC109" i="151" s="1"/>
  <c r="V109" i="151"/>
  <c r="W109" i="151" s="1"/>
  <c r="O109" i="151"/>
  <c r="BD109" i="151"/>
  <c r="BE109" i="151" s="1"/>
  <c r="AV109" i="151"/>
  <c r="AW109" i="151" s="1"/>
  <c r="AE109" i="151"/>
  <c r="AF109" i="151" s="1"/>
  <c r="AY109" i="151"/>
  <c r="AQ109" i="151"/>
  <c r="AR109" i="151" s="1"/>
  <c r="R109" i="151"/>
  <c r="T109" i="151" s="1"/>
  <c r="P109" i="151"/>
  <c r="Y109" i="151"/>
  <c r="Z109" i="151" s="1"/>
  <c r="BQ109" i="151"/>
  <c r="BR109" i="151" s="1"/>
  <c r="AK109" i="151"/>
  <c r="AL109" i="151" s="1"/>
  <c r="M109" i="151"/>
  <c r="BN109" i="151"/>
  <c r="BO109" i="151" s="1"/>
  <c r="BL109" i="151"/>
  <c r="K110" i="151"/>
  <c r="I111" i="151"/>
  <c r="I112" i="150"/>
  <c r="AV108" i="150"/>
  <c r="AW108" i="150" s="1"/>
  <c r="P108" i="150"/>
  <c r="BG108" i="150"/>
  <c r="BH108" i="150" s="1"/>
  <c r="BA108" i="150"/>
  <c r="BB108" i="150" s="1"/>
  <c r="AT108" i="150"/>
  <c r="AN108" i="150"/>
  <c r="AO108" i="150" s="1"/>
  <c r="AH108" i="150"/>
  <c r="AI108" i="150" s="1"/>
  <c r="AB108" i="150"/>
  <c r="AC108" i="150" s="1"/>
  <c r="V108" i="150"/>
  <c r="W108" i="150" s="1"/>
  <c r="O108" i="150"/>
  <c r="AY108" i="150"/>
  <c r="AK108" i="150"/>
  <c r="AL108" i="150" s="1"/>
  <c r="Y108" i="150"/>
  <c r="Z108" i="150" s="1"/>
  <c r="BQ108" i="150"/>
  <c r="BR108" i="150" s="1"/>
  <c r="AQ108" i="150"/>
  <c r="AR108" i="150" s="1"/>
  <c r="AE108" i="150"/>
  <c r="AF108" i="150" s="1"/>
  <c r="R108" i="150"/>
  <c r="T108" i="150" s="1"/>
  <c r="BD108" i="150"/>
  <c r="BE108" i="150" s="1"/>
  <c r="BN108" i="150"/>
  <c r="BO108" i="150" s="1"/>
  <c r="M108" i="150"/>
  <c r="BL108" i="150"/>
  <c r="K109" i="150"/>
  <c r="AV110" i="149"/>
  <c r="AW110" i="149" s="1"/>
  <c r="P110" i="149"/>
  <c r="AN110" i="149"/>
  <c r="AO110" i="149" s="1"/>
  <c r="Y110" i="149"/>
  <c r="Z110" i="149" s="1"/>
  <c r="O110" i="149"/>
  <c r="BQ110" i="149"/>
  <c r="BR110" i="149" s="1"/>
  <c r="BG110" i="149"/>
  <c r="BH110" i="149" s="1"/>
  <c r="AT110" i="149"/>
  <c r="AK110" i="149"/>
  <c r="AL110" i="149" s="1"/>
  <c r="BA110" i="149"/>
  <c r="BB110" i="149" s="1"/>
  <c r="AQ110" i="149"/>
  <c r="AR110" i="149" s="1"/>
  <c r="AE110" i="149"/>
  <c r="AF110" i="149" s="1"/>
  <c r="AY110" i="149"/>
  <c r="AB110" i="149"/>
  <c r="AC110" i="149" s="1"/>
  <c r="V110" i="149"/>
  <c r="W110" i="149" s="1"/>
  <c r="AH110" i="149"/>
  <c r="AI110" i="149" s="1"/>
  <c r="R110" i="149"/>
  <c r="T110" i="149" s="1"/>
  <c r="BD110" i="149"/>
  <c r="BE110" i="149" s="1"/>
  <c r="M110" i="149"/>
  <c r="BN110" i="149"/>
  <c r="BO110" i="149" s="1"/>
  <c r="BL110" i="149"/>
  <c r="I112" i="149"/>
  <c r="K111" i="149"/>
  <c r="AV109" i="147"/>
  <c r="AW109" i="147" s="1"/>
  <c r="P109" i="147"/>
  <c r="BG109" i="147"/>
  <c r="BH109" i="147" s="1"/>
  <c r="BA109" i="147"/>
  <c r="BB109" i="147" s="1"/>
  <c r="AT109" i="147"/>
  <c r="AN109" i="147"/>
  <c r="AO109" i="147" s="1"/>
  <c r="AH109" i="147"/>
  <c r="AI109" i="147" s="1"/>
  <c r="AB109" i="147"/>
  <c r="AC109" i="147" s="1"/>
  <c r="V109" i="147"/>
  <c r="W109" i="147" s="1"/>
  <c r="O109" i="147"/>
  <c r="AY109" i="147"/>
  <c r="AK109" i="147"/>
  <c r="AL109" i="147" s="1"/>
  <c r="Y109" i="147"/>
  <c r="Z109" i="147" s="1"/>
  <c r="BQ109" i="147"/>
  <c r="BR109" i="147" s="1"/>
  <c r="BD109" i="147"/>
  <c r="BE109" i="147" s="1"/>
  <c r="AQ109" i="147"/>
  <c r="AR109" i="147" s="1"/>
  <c r="AE109" i="147"/>
  <c r="AF109" i="147" s="1"/>
  <c r="R109" i="147"/>
  <c r="T109" i="147" s="1"/>
  <c r="BK109" i="147"/>
  <c r="M109" i="147"/>
  <c r="BJ109" i="147"/>
  <c r="BL109" i="147" s="1"/>
  <c r="BN109" i="147"/>
  <c r="BO109" i="147" s="1"/>
  <c r="I111" i="147"/>
  <c r="K110" i="147"/>
  <c r="AV108" i="146"/>
  <c r="AW108" i="146" s="1"/>
  <c r="BG108" i="146"/>
  <c r="BH108" i="146" s="1"/>
  <c r="BA108" i="146"/>
  <c r="BB108" i="146" s="1"/>
  <c r="AT108" i="146"/>
  <c r="AN108" i="146"/>
  <c r="AO108" i="146" s="1"/>
  <c r="AH108" i="146"/>
  <c r="AI108" i="146" s="1"/>
  <c r="AB108" i="146"/>
  <c r="AC108" i="146" s="1"/>
  <c r="V108" i="146"/>
  <c r="W108" i="146" s="1"/>
  <c r="O108" i="146"/>
  <c r="AK108" i="146"/>
  <c r="AL108" i="146" s="1"/>
  <c r="R108" i="146"/>
  <c r="T108" i="146" s="1"/>
  <c r="BQ108" i="146"/>
  <c r="BR108" i="146" s="1"/>
  <c r="Y108" i="146"/>
  <c r="Z108" i="146" s="1"/>
  <c r="P108" i="146"/>
  <c r="BD108" i="146"/>
  <c r="BE108" i="146" s="1"/>
  <c r="AQ108" i="146"/>
  <c r="AR108" i="146" s="1"/>
  <c r="AE108" i="146"/>
  <c r="AF108" i="146" s="1"/>
  <c r="AY108" i="146"/>
  <c r="BN108" i="146"/>
  <c r="BO108" i="146" s="1"/>
  <c r="BJ108" i="146"/>
  <c r="BL108" i="146" s="1"/>
  <c r="M108" i="146"/>
  <c r="BK108" i="146"/>
  <c r="I110" i="146"/>
  <c r="K109" i="146"/>
  <c r="M104" i="13"/>
  <c r="BN104" i="13"/>
  <c r="BO104" i="13" s="1"/>
  <c r="BL104" i="13"/>
  <c r="Y104" i="13"/>
  <c r="Z104" i="13" s="1"/>
  <c r="AQ104" i="13"/>
  <c r="AR104" i="13" s="1"/>
  <c r="V104" i="13"/>
  <c r="W104" i="13" s="1"/>
  <c r="AK104" i="13"/>
  <c r="AL104" i="13" s="1"/>
  <c r="AH104" i="13"/>
  <c r="AI104" i="13" s="1"/>
  <c r="R104" i="13"/>
  <c r="T104" i="13" s="1"/>
  <c r="O104" i="13"/>
  <c r="AT104" i="13"/>
  <c r="BD104" i="13"/>
  <c r="BE104" i="13" s="1"/>
  <c r="AY104" i="13"/>
  <c r="AE104" i="13"/>
  <c r="AF104" i="13" s="1"/>
  <c r="AV104" i="13"/>
  <c r="AW104" i="13" s="1"/>
  <c r="BG104" i="13"/>
  <c r="BH104" i="13" s="1"/>
  <c r="AN104" i="13"/>
  <c r="AO104" i="13" s="1"/>
  <c r="BQ104" i="13"/>
  <c r="BR104" i="13" s="1"/>
  <c r="AB104" i="13"/>
  <c r="AC104" i="13" s="1"/>
  <c r="BA104" i="13"/>
  <c r="BB104" i="13" s="1"/>
  <c r="P104" i="13"/>
  <c r="M108" i="136"/>
  <c r="BN108" i="136"/>
  <c r="BO108" i="136" s="1"/>
  <c r="AE108" i="136"/>
  <c r="AF108" i="136" s="1"/>
  <c r="AQ108" i="136"/>
  <c r="AR108" i="136" s="1"/>
  <c r="AH108" i="136"/>
  <c r="AI108" i="136" s="1"/>
  <c r="AN108" i="136"/>
  <c r="AO108" i="136" s="1"/>
  <c r="BL108" i="136"/>
  <c r="Y108" i="136"/>
  <c r="Z108" i="136" s="1"/>
  <c r="V108" i="136"/>
  <c r="W108" i="136" s="1"/>
  <c r="AK108" i="136"/>
  <c r="AL108" i="136" s="1"/>
  <c r="BG108" i="136"/>
  <c r="BH108" i="136" s="1"/>
  <c r="O108" i="136"/>
  <c r="BQ108" i="136"/>
  <c r="BR108" i="136" s="1"/>
  <c r="AY108" i="136"/>
  <c r="R108" i="136"/>
  <c r="T108" i="136" s="1"/>
  <c r="BA108" i="136"/>
  <c r="BB108" i="136" s="1"/>
  <c r="AV108" i="136"/>
  <c r="AW108" i="136" s="1"/>
  <c r="AB108" i="136"/>
  <c r="AC108" i="136" s="1"/>
  <c r="P108" i="136"/>
  <c r="BD108" i="136"/>
  <c r="BE108" i="136" s="1"/>
  <c r="AT108" i="136"/>
  <c r="K109" i="136"/>
  <c r="BN104" i="17"/>
  <c r="BO104" i="17" s="1"/>
  <c r="BL104" i="17"/>
  <c r="Y104" i="17"/>
  <c r="Z104" i="17" s="1"/>
  <c r="V104" i="17"/>
  <c r="W104" i="17" s="1"/>
  <c r="AE104" i="17"/>
  <c r="AF104" i="17" s="1"/>
  <c r="AT104" i="17"/>
  <c r="AB104" i="17"/>
  <c r="AC104" i="17" s="1"/>
  <c r="BA104" i="17"/>
  <c r="BB104" i="17" s="1"/>
  <c r="AQ104" i="17"/>
  <c r="AR104" i="17" s="1"/>
  <c r="BD104" i="17"/>
  <c r="BE104" i="17" s="1"/>
  <c r="P104" i="17"/>
  <c r="AN104" i="17"/>
  <c r="AO104" i="17" s="1"/>
  <c r="AV104" i="17"/>
  <c r="AW104" i="17" s="1"/>
  <c r="AK104" i="17"/>
  <c r="AL104" i="17" s="1"/>
  <c r="BG104" i="17"/>
  <c r="BH104" i="17" s="1"/>
  <c r="R104" i="17"/>
  <c r="T104" i="17" s="1"/>
  <c r="M104" i="17"/>
  <c r="O104" i="17"/>
  <c r="AH104" i="17"/>
  <c r="AI104" i="17" s="1"/>
  <c r="AY104" i="17"/>
  <c r="BQ104" i="17"/>
  <c r="BR104" i="17" s="1"/>
  <c r="I113" i="105"/>
  <c r="BN106" i="98"/>
  <c r="BO106" i="98" s="1"/>
  <c r="AQ106" i="98"/>
  <c r="AR106" i="98" s="1"/>
  <c r="AY106" i="98"/>
  <c r="BJ106" i="98"/>
  <c r="BL106" i="98" s="1"/>
  <c r="BA106" i="98"/>
  <c r="BB106" i="98" s="1"/>
  <c r="P106" i="98"/>
  <c r="BK106" i="98"/>
  <c r="M106" i="98"/>
  <c r="AH106" i="98"/>
  <c r="AI106" i="98" s="1"/>
  <c r="V106" i="98"/>
  <c r="W106" i="98" s="1"/>
  <c r="AT106" i="98"/>
  <c r="Y106" i="98"/>
  <c r="Z106" i="98" s="1"/>
  <c r="AE106" i="98"/>
  <c r="AF106" i="98" s="1"/>
  <c r="BD106" i="98"/>
  <c r="BE106" i="98" s="1"/>
  <c r="O106" i="98"/>
  <c r="AN106" i="98"/>
  <c r="AO106" i="98" s="1"/>
  <c r="BQ106" i="98"/>
  <c r="BR106" i="98" s="1"/>
  <c r="K107" i="98"/>
  <c r="BG106" i="98"/>
  <c r="BH106" i="98" s="1"/>
  <c r="AK106" i="98"/>
  <c r="AL106" i="98" s="1"/>
  <c r="AB106" i="98"/>
  <c r="AC106" i="98" s="1"/>
  <c r="R106" i="98"/>
  <c r="T106" i="98" s="1"/>
  <c r="AV106" i="98"/>
  <c r="AW106" i="98" s="1"/>
  <c r="I111" i="63"/>
  <c r="I107" i="101"/>
  <c r="K106" i="101"/>
  <c r="I110" i="15"/>
  <c r="M108" i="105"/>
  <c r="BN108" i="105"/>
  <c r="BO108" i="105" s="1"/>
  <c r="R108" i="105"/>
  <c r="T108" i="105" s="1"/>
  <c r="AB108" i="105"/>
  <c r="AC108" i="105" s="1"/>
  <c r="BQ108" i="105"/>
  <c r="BR108" i="105" s="1"/>
  <c r="AY108" i="105"/>
  <c r="AV108" i="105"/>
  <c r="AW108" i="105" s="1"/>
  <c r="BK108" i="105"/>
  <c r="AQ108" i="105"/>
  <c r="AR108" i="105" s="1"/>
  <c r="AN108" i="105"/>
  <c r="AO108" i="105" s="1"/>
  <c r="AH108" i="105"/>
  <c r="AI108" i="105" s="1"/>
  <c r="P108" i="105"/>
  <c r="BJ108" i="105"/>
  <c r="BL108" i="105" s="1"/>
  <c r="V108" i="105"/>
  <c r="W108" i="105" s="1"/>
  <c r="AK108" i="105"/>
  <c r="AL108" i="105" s="1"/>
  <c r="BG108" i="105"/>
  <c r="BH108" i="105" s="1"/>
  <c r="AT108" i="105"/>
  <c r="BD108" i="105"/>
  <c r="BE108" i="105" s="1"/>
  <c r="O108" i="105"/>
  <c r="BA108" i="105"/>
  <c r="BB108" i="105" s="1"/>
  <c r="Y108" i="105"/>
  <c r="Z108" i="105" s="1"/>
  <c r="AE108" i="105"/>
  <c r="AF108" i="105" s="1"/>
  <c r="K109" i="105"/>
  <c r="I112" i="114"/>
  <c r="M107" i="135"/>
  <c r="P107" i="135"/>
  <c r="AB107" i="135"/>
  <c r="AC107" i="135" s="1"/>
  <c r="AY107" i="135"/>
  <c r="AH107" i="135"/>
  <c r="AI107" i="135" s="1"/>
  <c r="BD107" i="135"/>
  <c r="BE107" i="135" s="1"/>
  <c r="AQ107" i="135"/>
  <c r="AR107" i="135" s="1"/>
  <c r="V107" i="135"/>
  <c r="W107" i="135" s="1"/>
  <c r="Y107" i="135"/>
  <c r="Z107" i="135" s="1"/>
  <c r="R107" i="135"/>
  <c r="T107" i="135" s="1"/>
  <c r="AK107" i="135"/>
  <c r="AL107" i="135" s="1"/>
  <c r="AN107" i="135"/>
  <c r="AO107" i="135" s="1"/>
  <c r="BA107" i="135"/>
  <c r="BB107" i="135" s="1"/>
  <c r="BG107" i="135"/>
  <c r="BH107" i="135" s="1"/>
  <c r="AV107" i="135"/>
  <c r="AW107" i="135" s="1"/>
  <c r="O107" i="135"/>
  <c r="AE107" i="135"/>
  <c r="AF107" i="135" s="1"/>
  <c r="BQ107" i="135"/>
  <c r="BR107" i="135" s="1"/>
  <c r="AT107" i="135"/>
  <c r="BN107" i="135"/>
  <c r="BO107" i="135" s="1"/>
  <c r="BL107" i="135"/>
  <c r="BG106" i="96"/>
  <c r="BH106" i="96" s="1"/>
  <c r="AK106" i="96"/>
  <c r="AL106" i="96" s="1"/>
  <c r="BN106" i="96"/>
  <c r="BO106" i="96" s="1"/>
  <c r="BA106" i="96"/>
  <c r="BB106" i="96" s="1"/>
  <c r="AB106" i="96"/>
  <c r="AC106" i="96" s="1"/>
  <c r="AE106" i="96"/>
  <c r="AF106" i="96" s="1"/>
  <c r="O106" i="96"/>
  <c r="AQ106" i="96"/>
  <c r="AR106" i="96" s="1"/>
  <c r="Y106" i="96"/>
  <c r="Z106" i="96" s="1"/>
  <c r="BL106" i="96"/>
  <c r="V106" i="96"/>
  <c r="W106" i="96" s="1"/>
  <c r="BD106" i="96"/>
  <c r="BE106" i="96" s="1"/>
  <c r="R106" i="96"/>
  <c r="T106" i="96" s="1"/>
  <c r="P106" i="96"/>
  <c r="AT106" i="96"/>
  <c r="AV106" i="96"/>
  <c r="AW106" i="96" s="1"/>
  <c r="AH106" i="96"/>
  <c r="AI106" i="96" s="1"/>
  <c r="BQ106" i="96"/>
  <c r="BR106" i="96" s="1"/>
  <c r="M106" i="96"/>
  <c r="AN106" i="96"/>
  <c r="AO106" i="96" s="1"/>
  <c r="I110" i="104"/>
  <c r="I106" i="17"/>
  <c r="K105" i="17"/>
  <c r="BN105" i="15"/>
  <c r="BO105" i="15" s="1"/>
  <c r="BL105" i="15"/>
  <c r="M105" i="15"/>
  <c r="AB105" i="15"/>
  <c r="AC105" i="15" s="1"/>
  <c r="AV105" i="15"/>
  <c r="AW105" i="15" s="1"/>
  <c r="AK105" i="15"/>
  <c r="AL105" i="15" s="1"/>
  <c r="AH105" i="15"/>
  <c r="AI105" i="15" s="1"/>
  <c r="BD105" i="15"/>
  <c r="BE105" i="15" s="1"/>
  <c r="BQ105" i="15"/>
  <c r="BR105" i="15" s="1"/>
  <c r="R105" i="15"/>
  <c r="T105" i="15" s="1"/>
  <c r="Y105" i="15"/>
  <c r="Z105" i="15" s="1"/>
  <c r="AN105" i="15"/>
  <c r="AO105" i="15" s="1"/>
  <c r="AY105" i="15"/>
  <c r="BG105" i="15"/>
  <c r="BH105" i="15" s="1"/>
  <c r="O105" i="15"/>
  <c r="AT105" i="15"/>
  <c r="BA105" i="15"/>
  <c r="BB105" i="15" s="1"/>
  <c r="P105" i="15"/>
  <c r="V105" i="15"/>
  <c r="W105" i="15" s="1"/>
  <c r="AQ105" i="15"/>
  <c r="AR105" i="15" s="1"/>
  <c r="AE105" i="15"/>
  <c r="AF105" i="15" s="1"/>
  <c r="K106" i="15"/>
  <c r="BJ106" i="110"/>
  <c r="BL106" i="110" s="1"/>
  <c r="BN106" i="110"/>
  <c r="BO106" i="110" s="1"/>
  <c r="M106" i="110"/>
  <c r="BK106" i="110"/>
  <c r="AY106" i="110"/>
  <c r="R106" i="110"/>
  <c r="T106" i="110" s="1"/>
  <c r="BD106" i="110"/>
  <c r="BE106" i="110" s="1"/>
  <c r="AT106" i="110"/>
  <c r="AV106" i="110"/>
  <c r="AW106" i="110" s="1"/>
  <c r="BG106" i="110"/>
  <c r="BH106" i="110" s="1"/>
  <c r="AH106" i="110"/>
  <c r="AI106" i="110" s="1"/>
  <c r="AN106" i="110"/>
  <c r="AO106" i="110" s="1"/>
  <c r="BQ106" i="110"/>
  <c r="BR106" i="110" s="1"/>
  <c r="AE106" i="110"/>
  <c r="AF106" i="110" s="1"/>
  <c r="BA106" i="110"/>
  <c r="BB106" i="110" s="1"/>
  <c r="AB106" i="110"/>
  <c r="AC106" i="110" s="1"/>
  <c r="V106" i="110"/>
  <c r="W106" i="110" s="1"/>
  <c r="AK106" i="110"/>
  <c r="AL106" i="110" s="1"/>
  <c r="O106" i="110"/>
  <c r="AQ106" i="110"/>
  <c r="AR106" i="110" s="1"/>
  <c r="P106" i="110"/>
  <c r="Y106" i="110"/>
  <c r="Z106" i="110" s="1"/>
  <c r="AK107" i="64"/>
  <c r="AL107" i="64" s="1"/>
  <c r="BQ107" i="64"/>
  <c r="BR107" i="64" s="1"/>
  <c r="AB107" i="64"/>
  <c r="AC107" i="64" s="1"/>
  <c r="AH107" i="64"/>
  <c r="AI107" i="64" s="1"/>
  <c r="AT107" i="64"/>
  <c r="BG107" i="64"/>
  <c r="BH107" i="64" s="1"/>
  <c r="AN107" i="64"/>
  <c r="AO107" i="64" s="1"/>
  <c r="AE107" i="64"/>
  <c r="AF107" i="64" s="1"/>
  <c r="BD107" i="64"/>
  <c r="BE107" i="64" s="1"/>
  <c r="Y107" i="64"/>
  <c r="Z107" i="64" s="1"/>
  <c r="V107" i="64"/>
  <c r="W107" i="64" s="1"/>
  <c r="O107" i="64"/>
  <c r="BA107" i="64"/>
  <c r="BB107" i="64" s="1"/>
  <c r="R107" i="64"/>
  <c r="T107" i="64" s="1"/>
  <c r="P107" i="64"/>
  <c r="AQ107" i="64"/>
  <c r="AR107" i="64" s="1"/>
  <c r="AV107" i="64"/>
  <c r="AW107" i="64" s="1"/>
  <c r="M107" i="64"/>
  <c r="AY107" i="64"/>
  <c r="BN107" i="64"/>
  <c r="BO107" i="64" s="1"/>
  <c r="BL107" i="64"/>
  <c r="K108" i="64"/>
  <c r="I111" i="126"/>
  <c r="I112" i="64"/>
  <c r="I113" i="132"/>
  <c r="I109" i="135"/>
  <c r="K108" i="135"/>
  <c r="AV106" i="63"/>
  <c r="AW106" i="63" s="1"/>
  <c r="AN106" i="63"/>
  <c r="AO106" i="63" s="1"/>
  <c r="O106" i="63"/>
  <c r="BQ106" i="63"/>
  <c r="BR106" i="63" s="1"/>
  <c r="M106" i="63"/>
  <c r="AT106" i="63"/>
  <c r="AY106" i="63"/>
  <c r="AE106" i="63"/>
  <c r="AF106" i="63" s="1"/>
  <c r="BD106" i="63"/>
  <c r="BE106" i="63" s="1"/>
  <c r="BN106" i="63"/>
  <c r="BO106" i="63" s="1"/>
  <c r="P106" i="63"/>
  <c r="AH106" i="63"/>
  <c r="AI106" i="63" s="1"/>
  <c r="BA106" i="63"/>
  <c r="BB106" i="63" s="1"/>
  <c r="AQ106" i="63"/>
  <c r="AR106" i="63" s="1"/>
  <c r="BG106" i="63"/>
  <c r="BH106" i="63" s="1"/>
  <c r="AK106" i="63"/>
  <c r="AL106" i="63" s="1"/>
  <c r="AB106" i="63"/>
  <c r="AC106" i="63" s="1"/>
  <c r="R106" i="63"/>
  <c r="T106" i="63" s="1"/>
  <c r="V106" i="63"/>
  <c r="W106" i="63" s="1"/>
  <c r="Y106" i="63"/>
  <c r="Z106" i="63" s="1"/>
  <c r="BL106" i="63"/>
  <c r="K107" i="63"/>
  <c r="M105" i="118"/>
  <c r="V105" i="118"/>
  <c r="W105" i="118" s="1"/>
  <c r="K106" i="118"/>
  <c r="AE105" i="118"/>
  <c r="AF105" i="118" s="1"/>
  <c r="BN105" i="118"/>
  <c r="BO105" i="118" s="1"/>
  <c r="BA105" i="118"/>
  <c r="BB105" i="118" s="1"/>
  <c r="AT105" i="118"/>
  <c r="AV105" i="118"/>
  <c r="AW105" i="118" s="1"/>
  <c r="AH105" i="118"/>
  <c r="AI105" i="118" s="1"/>
  <c r="BD105" i="118"/>
  <c r="BE105" i="118" s="1"/>
  <c r="R105" i="118"/>
  <c r="T105" i="118" s="1"/>
  <c r="BG105" i="118"/>
  <c r="BH105" i="118" s="1"/>
  <c r="AK105" i="118"/>
  <c r="AL105" i="118" s="1"/>
  <c r="AY105" i="118"/>
  <c r="P105" i="118"/>
  <c r="O105" i="118"/>
  <c r="AB105" i="118"/>
  <c r="AC105" i="118" s="1"/>
  <c r="BQ105" i="118"/>
  <c r="BR105" i="118" s="1"/>
  <c r="Y105" i="118"/>
  <c r="Z105" i="118" s="1"/>
  <c r="AQ105" i="118"/>
  <c r="AR105" i="118" s="1"/>
  <c r="AN105" i="118"/>
  <c r="AO105" i="118" s="1"/>
  <c r="I108" i="96"/>
  <c r="K107" i="96"/>
  <c r="V104" i="120"/>
  <c r="W104" i="120" s="1"/>
  <c r="R104" i="120"/>
  <c r="T104" i="120" s="1"/>
  <c r="AE104" i="120"/>
  <c r="AF104" i="120" s="1"/>
  <c r="Y104" i="120"/>
  <c r="Z104" i="120" s="1"/>
  <c r="AT104" i="120"/>
  <c r="AY104" i="120"/>
  <c r="BQ104" i="120"/>
  <c r="BR104" i="120" s="1"/>
  <c r="O104" i="120"/>
  <c r="P104" i="120"/>
  <c r="M104" i="120"/>
  <c r="BA104" i="120"/>
  <c r="BB104" i="120" s="1"/>
  <c r="AV104" i="120"/>
  <c r="AW104" i="120" s="1"/>
  <c r="BG104" i="120"/>
  <c r="BH104" i="120" s="1"/>
  <c r="BD104" i="120"/>
  <c r="BE104" i="120" s="1"/>
  <c r="K105" i="120"/>
  <c r="AK104" i="120"/>
  <c r="AL104" i="120" s="1"/>
  <c r="AH104" i="120"/>
  <c r="AI104" i="120" s="1"/>
  <c r="AQ104" i="120"/>
  <c r="AR104" i="120" s="1"/>
  <c r="AN104" i="120"/>
  <c r="AO104" i="120" s="1"/>
  <c r="AB104" i="120"/>
  <c r="AC104" i="120" s="1"/>
  <c r="BN104" i="120"/>
  <c r="BO104" i="120" s="1"/>
  <c r="M106" i="115"/>
  <c r="BK106" i="115"/>
  <c r="BN106" i="115"/>
  <c r="BO106" i="115" s="1"/>
  <c r="BJ106" i="115"/>
  <c r="BL106" i="115" s="1"/>
  <c r="AY106" i="115"/>
  <c r="R106" i="115"/>
  <c r="T106" i="115" s="1"/>
  <c r="BD106" i="115"/>
  <c r="BE106" i="115" s="1"/>
  <c r="AE106" i="115"/>
  <c r="AF106" i="115" s="1"/>
  <c r="AB106" i="115"/>
  <c r="AC106" i="115" s="1"/>
  <c r="BQ106" i="115"/>
  <c r="BR106" i="115" s="1"/>
  <c r="O106" i="115"/>
  <c r="AT106" i="115"/>
  <c r="V106" i="115"/>
  <c r="W106" i="115" s="1"/>
  <c r="Y106" i="115"/>
  <c r="Z106" i="115" s="1"/>
  <c r="BA106" i="115"/>
  <c r="BB106" i="115" s="1"/>
  <c r="AK106" i="115"/>
  <c r="AL106" i="115" s="1"/>
  <c r="AN106" i="115"/>
  <c r="AO106" i="115" s="1"/>
  <c r="AQ106" i="115"/>
  <c r="AR106" i="115" s="1"/>
  <c r="AH106" i="115"/>
  <c r="AI106" i="115" s="1"/>
  <c r="AV106" i="115"/>
  <c r="AW106" i="115" s="1"/>
  <c r="BG106" i="115"/>
  <c r="BH106" i="115" s="1"/>
  <c r="P106" i="115"/>
  <c r="I112" i="136"/>
  <c r="BD104" i="66"/>
  <c r="BE104" i="66" s="1"/>
  <c r="BA104" i="66"/>
  <c r="BB104" i="66" s="1"/>
  <c r="AY104" i="66"/>
  <c r="M104" i="66"/>
  <c r="AB104" i="66"/>
  <c r="AC104" i="66" s="1"/>
  <c r="AE104" i="66"/>
  <c r="AF104" i="66" s="1"/>
  <c r="P104" i="66"/>
  <c r="AN104" i="66"/>
  <c r="AO104" i="66" s="1"/>
  <c r="AQ104" i="66"/>
  <c r="AR104" i="66" s="1"/>
  <c r="AT104" i="66"/>
  <c r="AH104" i="66"/>
  <c r="AI104" i="66" s="1"/>
  <c r="AV104" i="66"/>
  <c r="AW104" i="66" s="1"/>
  <c r="BN104" i="66"/>
  <c r="BO104" i="66" s="1"/>
  <c r="BQ104" i="66"/>
  <c r="BR104" i="66" s="1"/>
  <c r="BG104" i="66"/>
  <c r="BH104" i="66" s="1"/>
  <c r="V104" i="66"/>
  <c r="W104" i="66" s="1"/>
  <c r="R104" i="66"/>
  <c r="T104" i="66" s="1"/>
  <c r="Y104" i="66"/>
  <c r="Z104" i="66" s="1"/>
  <c r="AK104" i="66"/>
  <c r="AL104" i="66" s="1"/>
  <c r="O104" i="66"/>
  <c r="BL104" i="66"/>
  <c r="I108" i="110"/>
  <c r="K107" i="110"/>
  <c r="M106" i="126"/>
  <c r="BJ106" i="126"/>
  <c r="BL106" i="126" s="1"/>
  <c r="BK106" i="126"/>
  <c r="BN106" i="126"/>
  <c r="BO106" i="126" s="1"/>
  <c r="AB106" i="126"/>
  <c r="AC106" i="126" s="1"/>
  <c r="O106" i="126"/>
  <c r="AK106" i="126"/>
  <c r="AL106" i="126" s="1"/>
  <c r="P106" i="126"/>
  <c r="AQ106" i="126"/>
  <c r="AR106" i="126" s="1"/>
  <c r="AH106" i="126"/>
  <c r="AI106" i="126" s="1"/>
  <c r="AT106" i="126"/>
  <c r="Y106" i="126"/>
  <c r="Z106" i="126" s="1"/>
  <c r="BD106" i="126"/>
  <c r="BE106" i="126" s="1"/>
  <c r="AE106" i="126"/>
  <c r="AF106" i="126" s="1"/>
  <c r="BQ106" i="126"/>
  <c r="BR106" i="126" s="1"/>
  <c r="AY106" i="126"/>
  <c r="BA106" i="126"/>
  <c r="BB106" i="126" s="1"/>
  <c r="AN106" i="126"/>
  <c r="AO106" i="126" s="1"/>
  <c r="R106" i="126"/>
  <c r="T106" i="126" s="1"/>
  <c r="BG106" i="126"/>
  <c r="BH106" i="126" s="1"/>
  <c r="AV106" i="126"/>
  <c r="AW106" i="126" s="1"/>
  <c r="V106" i="126"/>
  <c r="W106" i="126" s="1"/>
  <c r="K107" i="126"/>
  <c r="K105" i="13"/>
  <c r="I106" i="13"/>
  <c r="M110" i="124"/>
  <c r="BN110" i="124"/>
  <c r="BO110" i="124" s="1"/>
  <c r="BJ110" i="124"/>
  <c r="BL110" i="124" s="1"/>
  <c r="BK110" i="124"/>
  <c r="K111" i="124"/>
  <c r="AE110" i="124"/>
  <c r="AF110" i="124" s="1"/>
  <c r="AT110" i="124"/>
  <c r="AN110" i="124"/>
  <c r="AO110" i="124" s="1"/>
  <c r="AH110" i="124"/>
  <c r="AI110" i="124" s="1"/>
  <c r="AK110" i="124"/>
  <c r="AL110" i="124" s="1"/>
  <c r="R110" i="124"/>
  <c r="T110" i="124" s="1"/>
  <c r="BG110" i="124"/>
  <c r="BH110" i="124" s="1"/>
  <c r="AQ110" i="124"/>
  <c r="AR110" i="124" s="1"/>
  <c r="P110" i="124"/>
  <c r="AB110" i="124"/>
  <c r="AC110" i="124" s="1"/>
  <c r="BD110" i="124"/>
  <c r="BE110" i="124" s="1"/>
  <c r="Y110" i="124"/>
  <c r="Z110" i="124" s="1"/>
  <c r="AY110" i="124"/>
  <c r="O110" i="124"/>
  <c r="BA110" i="124"/>
  <c r="BB110" i="124" s="1"/>
  <c r="V110" i="124"/>
  <c r="W110" i="124" s="1"/>
  <c r="BQ110" i="124"/>
  <c r="BR110" i="124" s="1"/>
  <c r="AV110" i="124"/>
  <c r="AW110" i="124" s="1"/>
  <c r="I108" i="115"/>
  <c r="K107" i="115"/>
  <c r="K105" i="66"/>
  <c r="I106" i="66"/>
  <c r="M105" i="101"/>
  <c r="AY105" i="101"/>
  <c r="R105" i="101"/>
  <c r="T105" i="101" s="1"/>
  <c r="AT105" i="101"/>
  <c r="AQ105" i="101"/>
  <c r="AR105" i="101" s="1"/>
  <c r="AV105" i="101"/>
  <c r="AW105" i="101" s="1"/>
  <c r="BD105" i="101"/>
  <c r="BE105" i="101" s="1"/>
  <c r="Y105" i="101"/>
  <c r="Z105" i="101" s="1"/>
  <c r="P105" i="101"/>
  <c r="AH105" i="101"/>
  <c r="AI105" i="101" s="1"/>
  <c r="O105" i="101"/>
  <c r="BQ105" i="101"/>
  <c r="BR105" i="101" s="1"/>
  <c r="AB105" i="101"/>
  <c r="AC105" i="101" s="1"/>
  <c r="AN105" i="101"/>
  <c r="AO105" i="101" s="1"/>
  <c r="BG105" i="101"/>
  <c r="BH105" i="101" s="1"/>
  <c r="AE105" i="101"/>
  <c r="AF105" i="101" s="1"/>
  <c r="BA105" i="101"/>
  <c r="BB105" i="101" s="1"/>
  <c r="V105" i="101"/>
  <c r="W105" i="101" s="1"/>
  <c r="AK105" i="101"/>
  <c r="AL105" i="101" s="1"/>
  <c r="BJ106" i="114"/>
  <c r="BL106" i="114" s="1"/>
  <c r="BK106" i="114"/>
  <c r="M106" i="114"/>
  <c r="BN106" i="114"/>
  <c r="BO106" i="114" s="1"/>
  <c r="AH106" i="114"/>
  <c r="AI106" i="114" s="1"/>
  <c r="AQ106" i="114"/>
  <c r="AR106" i="114" s="1"/>
  <c r="AN106" i="114"/>
  <c r="AO106" i="114" s="1"/>
  <c r="Y106" i="114"/>
  <c r="Z106" i="114" s="1"/>
  <c r="BA106" i="114"/>
  <c r="BB106" i="114" s="1"/>
  <c r="AY106" i="114"/>
  <c r="V106" i="114"/>
  <c r="W106" i="114" s="1"/>
  <c r="O106" i="114"/>
  <c r="BG106" i="114"/>
  <c r="BH106" i="114" s="1"/>
  <c r="AV106" i="114"/>
  <c r="AW106" i="114" s="1"/>
  <c r="P106" i="114"/>
  <c r="AK106" i="114"/>
  <c r="AL106" i="114" s="1"/>
  <c r="BQ106" i="114"/>
  <c r="BR106" i="114" s="1"/>
  <c r="BD106" i="114"/>
  <c r="BE106" i="114" s="1"/>
  <c r="AT106" i="114"/>
  <c r="AE106" i="114"/>
  <c r="AF106" i="114" s="1"/>
  <c r="AB106" i="114"/>
  <c r="AC106" i="114" s="1"/>
  <c r="R106" i="114"/>
  <c r="T106" i="114" s="1"/>
  <c r="K107" i="114"/>
  <c r="Y108" i="132" l="1"/>
  <c r="Z108" i="132" s="1"/>
  <c r="O108" i="132"/>
  <c r="BQ108" i="132"/>
  <c r="BR108" i="132" s="1"/>
  <c r="K109" i="132"/>
  <c r="AH108" i="132"/>
  <c r="AI108" i="132" s="1"/>
  <c r="AQ108" i="132"/>
  <c r="AR108" i="132" s="1"/>
  <c r="AE108" i="132"/>
  <c r="AF108" i="132" s="1"/>
  <c r="AN108" i="132"/>
  <c r="AO108" i="132" s="1"/>
  <c r="AY108" i="132"/>
  <c r="V108" i="132"/>
  <c r="W108" i="132" s="1"/>
  <c r="R108" i="132"/>
  <c r="T108" i="132" s="1"/>
  <c r="M108" i="132"/>
  <c r="P108" i="132"/>
  <c r="BA108" i="132"/>
  <c r="BB108" i="132" s="1"/>
  <c r="BG108" i="132"/>
  <c r="BH108" i="132" s="1"/>
  <c r="BD108" i="132"/>
  <c r="BE108" i="132" s="1"/>
  <c r="AK108" i="132"/>
  <c r="AL108" i="132" s="1"/>
  <c r="BL108" i="132"/>
  <c r="AB108" i="132"/>
  <c r="AC108" i="132" s="1"/>
  <c r="AV108" i="132"/>
  <c r="AW108" i="132" s="1"/>
  <c r="BN108" i="132"/>
  <c r="BO108" i="132" s="1"/>
  <c r="AT108" i="132"/>
  <c r="M108" i="99"/>
  <c r="BG108" i="99"/>
  <c r="BH108" i="99" s="1"/>
  <c r="AB108" i="99"/>
  <c r="AC108" i="99" s="1"/>
  <c r="AH108" i="99"/>
  <c r="AI108" i="99" s="1"/>
  <c r="P108" i="99"/>
  <c r="K109" i="99"/>
  <c r="BJ108" i="99"/>
  <c r="BL108" i="99" s="1"/>
  <c r="BA108" i="99"/>
  <c r="BB108" i="99" s="1"/>
  <c r="AY108" i="99"/>
  <c r="AN108" i="99"/>
  <c r="AO108" i="99" s="1"/>
  <c r="BQ108" i="99"/>
  <c r="BR108" i="99" s="1"/>
  <c r="O108" i="99"/>
  <c r="BK108" i="99"/>
  <c r="R108" i="99"/>
  <c r="T108" i="99" s="1"/>
  <c r="AT108" i="99"/>
  <c r="AQ108" i="99"/>
  <c r="AR108" i="99" s="1"/>
  <c r="BN108" i="99"/>
  <c r="BO108" i="99" s="1"/>
  <c r="AV108" i="99"/>
  <c r="AW108" i="99" s="1"/>
  <c r="AE108" i="99"/>
  <c r="AF108" i="99" s="1"/>
  <c r="AK108" i="99"/>
  <c r="AL108" i="99" s="1"/>
  <c r="Y108" i="99"/>
  <c r="Z108" i="99" s="1"/>
  <c r="BD108" i="99"/>
  <c r="BE108" i="99" s="1"/>
  <c r="V108" i="99"/>
  <c r="W108" i="99" s="1"/>
  <c r="BK110" i="107"/>
  <c r="AV110" i="107"/>
  <c r="AW110" i="107" s="1"/>
  <c r="AQ110" i="107"/>
  <c r="AR110" i="107" s="1"/>
  <c r="AB110" i="107"/>
  <c r="AC110" i="107" s="1"/>
  <c r="AT110" i="107"/>
  <c r="AY110" i="107"/>
  <c r="V110" i="107"/>
  <c r="W110" i="107" s="1"/>
  <c r="O110" i="107"/>
  <c r="AH110" i="107"/>
  <c r="AI110" i="107" s="1"/>
  <c r="BA110" i="107"/>
  <c r="BB110" i="107" s="1"/>
  <c r="AE110" i="107"/>
  <c r="AF110" i="107" s="1"/>
  <c r="BN110" i="107"/>
  <c r="BO110" i="107" s="1"/>
  <c r="BG110" i="107"/>
  <c r="BH110" i="107" s="1"/>
  <c r="R110" i="107"/>
  <c r="T110" i="107" s="1"/>
  <c r="BD110" i="107"/>
  <c r="BE110" i="107" s="1"/>
  <c r="Y110" i="107"/>
  <c r="Z110" i="107" s="1"/>
  <c r="P110" i="107"/>
  <c r="BQ110" i="107"/>
  <c r="BR110" i="107" s="1"/>
  <c r="AK110" i="107"/>
  <c r="AL110" i="107" s="1"/>
  <c r="AN110" i="107"/>
  <c r="AO110" i="107" s="1"/>
  <c r="M110" i="107"/>
  <c r="BJ110" i="107"/>
  <c r="BL110" i="107" s="1"/>
  <c r="I112" i="107"/>
  <c r="K111" i="107"/>
  <c r="Y106" i="112"/>
  <c r="Z106" i="112" s="1"/>
  <c r="AN106" i="112"/>
  <c r="AO106" i="112" s="1"/>
  <c r="AT106" i="112"/>
  <c r="P106" i="112"/>
  <c r="AH106" i="112"/>
  <c r="AI106" i="112" s="1"/>
  <c r="BG106" i="112"/>
  <c r="BH106" i="112" s="1"/>
  <c r="AV106" i="112"/>
  <c r="AW106" i="112" s="1"/>
  <c r="AE106" i="112"/>
  <c r="AF106" i="112" s="1"/>
  <c r="AK106" i="112"/>
  <c r="AL106" i="112" s="1"/>
  <c r="BA106" i="112"/>
  <c r="BB106" i="112" s="1"/>
  <c r="AY106" i="112"/>
  <c r="BD106" i="112"/>
  <c r="BE106" i="112" s="1"/>
  <c r="M106" i="112"/>
  <c r="BN106" i="112"/>
  <c r="BO106" i="112" s="1"/>
  <c r="O106" i="112"/>
  <c r="AB106" i="112"/>
  <c r="AC106" i="112" s="1"/>
  <c r="K107" i="112"/>
  <c r="BK106" i="112"/>
  <c r="AQ106" i="112"/>
  <c r="AR106" i="112" s="1"/>
  <c r="BJ106" i="112"/>
  <c r="BL106" i="112" s="1"/>
  <c r="BQ106" i="112"/>
  <c r="BR106" i="112" s="1"/>
  <c r="R106" i="112"/>
  <c r="T106" i="112" s="1"/>
  <c r="V106" i="112"/>
  <c r="W106" i="112" s="1"/>
  <c r="I113" i="156"/>
  <c r="K112" i="156"/>
  <c r="AY112" i="156" s="1"/>
  <c r="BJ106" i="104"/>
  <c r="BL106" i="104" s="1"/>
  <c r="AQ106" i="104"/>
  <c r="AR106" i="104" s="1"/>
  <c r="AY106" i="104"/>
  <c r="Y106" i="104"/>
  <c r="Z106" i="104" s="1"/>
  <c r="BN106" i="104"/>
  <c r="BO106" i="104" s="1"/>
  <c r="AT106" i="104"/>
  <c r="AV106" i="104"/>
  <c r="AW106" i="104" s="1"/>
  <c r="P106" i="104"/>
  <c r="M106" i="104"/>
  <c r="R106" i="104"/>
  <c r="T106" i="104" s="1"/>
  <c r="O106" i="104"/>
  <c r="V106" i="104"/>
  <c r="W106" i="104" s="1"/>
  <c r="BK106" i="104"/>
  <c r="BG106" i="104"/>
  <c r="BH106" i="104" s="1"/>
  <c r="BD106" i="104"/>
  <c r="BE106" i="104" s="1"/>
  <c r="AB106" i="104"/>
  <c r="AC106" i="104" s="1"/>
  <c r="K107" i="104"/>
  <c r="AH106" i="104"/>
  <c r="AI106" i="104" s="1"/>
  <c r="AK106" i="104"/>
  <c r="AL106" i="104" s="1"/>
  <c r="AN106" i="104"/>
  <c r="AO106" i="104" s="1"/>
  <c r="BQ106" i="104"/>
  <c r="BR106" i="104" s="1"/>
  <c r="BA106" i="104"/>
  <c r="BB106" i="104" s="1"/>
  <c r="AE106" i="104"/>
  <c r="AF106" i="104" s="1"/>
  <c r="AK111" i="156"/>
  <c r="AL111" i="156" s="1"/>
  <c r="O111" i="156"/>
  <c r="BG111" i="156"/>
  <c r="BH111" i="156" s="1"/>
  <c r="AQ111" i="156"/>
  <c r="AR111" i="156" s="1"/>
  <c r="V111" i="156"/>
  <c r="W111" i="156" s="1"/>
  <c r="P111" i="156"/>
  <c r="BD111" i="156"/>
  <c r="BE111" i="156" s="1"/>
  <c r="AB111" i="156"/>
  <c r="AC111" i="156" s="1"/>
  <c r="BN111" i="156"/>
  <c r="BO111" i="156" s="1"/>
  <c r="R111" i="156"/>
  <c r="T111" i="156" s="1"/>
  <c r="M111" i="156"/>
  <c r="AH111" i="156"/>
  <c r="AI111" i="156" s="1"/>
  <c r="AV111" i="156"/>
  <c r="AW111" i="156" s="1"/>
  <c r="Y111" i="156"/>
  <c r="Z111" i="156" s="1"/>
  <c r="AN111" i="156"/>
  <c r="AO111" i="156" s="1"/>
  <c r="BL111" i="156"/>
  <c r="AE111" i="156"/>
  <c r="AF111" i="156" s="1"/>
  <c r="BQ111" i="156"/>
  <c r="BR111" i="156" s="1"/>
  <c r="BA111" i="156"/>
  <c r="BB111" i="156" s="1"/>
  <c r="M105" i="95"/>
  <c r="BA105" i="95"/>
  <c r="BB105" i="95" s="1"/>
  <c r="P105" i="95"/>
  <c r="O105" i="95"/>
  <c r="BN105" i="95"/>
  <c r="BO105" i="95" s="1"/>
  <c r="AB105" i="95"/>
  <c r="AC105" i="95" s="1"/>
  <c r="AT105" i="95"/>
  <c r="BD105" i="95"/>
  <c r="BE105" i="95" s="1"/>
  <c r="AV105" i="95"/>
  <c r="AW105" i="95" s="1"/>
  <c r="BG105" i="95"/>
  <c r="BH105" i="95" s="1"/>
  <c r="AQ105" i="95"/>
  <c r="AR105" i="95" s="1"/>
  <c r="K106" i="95"/>
  <c r="AN105" i="95"/>
  <c r="AO105" i="95" s="1"/>
  <c r="R105" i="95"/>
  <c r="T105" i="95" s="1"/>
  <c r="AE105" i="95"/>
  <c r="AF105" i="95" s="1"/>
  <c r="AH105" i="95"/>
  <c r="AI105" i="95" s="1"/>
  <c r="BQ105" i="95"/>
  <c r="BR105" i="95" s="1"/>
  <c r="V105" i="95"/>
  <c r="W105" i="95" s="1"/>
  <c r="BL105" i="95"/>
  <c r="AK105" i="95"/>
  <c r="AL105" i="95" s="1"/>
  <c r="Y105" i="95"/>
  <c r="Z105" i="95" s="1"/>
  <c r="BQ107" i="129"/>
  <c r="BR107" i="129" s="1"/>
  <c r="AE107" i="129"/>
  <c r="AF107" i="129" s="1"/>
  <c r="O107" i="129"/>
  <c r="BL107" i="129"/>
  <c r="AV107" i="129"/>
  <c r="AW107" i="129" s="1"/>
  <c r="M107" i="129"/>
  <c r="AB107" i="129"/>
  <c r="AC107" i="129" s="1"/>
  <c r="V107" i="129"/>
  <c r="W107" i="129" s="1"/>
  <c r="BD107" i="129"/>
  <c r="BE107" i="129" s="1"/>
  <c r="Y107" i="129"/>
  <c r="Z107" i="129" s="1"/>
  <c r="BA107" i="129"/>
  <c r="BB107" i="129" s="1"/>
  <c r="AQ107" i="129"/>
  <c r="AR107" i="129" s="1"/>
  <c r="AK107" i="129"/>
  <c r="AL107" i="129" s="1"/>
  <c r="K108" i="129"/>
  <c r="P107" i="129"/>
  <c r="R107" i="129"/>
  <c r="T107" i="129" s="1"/>
  <c r="AT107" i="129"/>
  <c r="BN107" i="129"/>
  <c r="BO107" i="129" s="1"/>
  <c r="AN107" i="129"/>
  <c r="AO107" i="129" s="1"/>
  <c r="BG107" i="129"/>
  <c r="BH107" i="129" s="1"/>
  <c r="AH107" i="129"/>
  <c r="AI107" i="129" s="1"/>
  <c r="AY107" i="129"/>
  <c r="BL109" i="133"/>
  <c r="AY109" i="133"/>
  <c r="AT109" i="133"/>
  <c r="AN109" i="133"/>
  <c r="AO109" i="133" s="1"/>
  <c r="M109" i="133"/>
  <c r="R109" i="133"/>
  <c r="T109" i="133" s="1"/>
  <c r="P109" i="133"/>
  <c r="V109" i="133"/>
  <c r="W109" i="133" s="1"/>
  <c r="AB109" i="133"/>
  <c r="AC109" i="133" s="1"/>
  <c r="O109" i="133"/>
  <c r="BA109" i="133"/>
  <c r="BB109" i="133" s="1"/>
  <c r="K110" i="133"/>
  <c r="BQ109" i="133"/>
  <c r="BR109" i="133" s="1"/>
  <c r="AE109" i="133"/>
  <c r="AF109" i="133" s="1"/>
  <c r="AH109" i="133"/>
  <c r="AI109" i="133" s="1"/>
  <c r="AQ109" i="133"/>
  <c r="AR109" i="133" s="1"/>
  <c r="AV109" i="133"/>
  <c r="AW109" i="133" s="1"/>
  <c r="AK109" i="133"/>
  <c r="AL109" i="133" s="1"/>
  <c r="BN109" i="133"/>
  <c r="BO109" i="133" s="1"/>
  <c r="Y109" i="133"/>
  <c r="Z109" i="133" s="1"/>
  <c r="BG109" i="133"/>
  <c r="BH109" i="133" s="1"/>
  <c r="BD109" i="133"/>
  <c r="BE109" i="133" s="1"/>
  <c r="BK106" i="106"/>
  <c r="BA106" i="106"/>
  <c r="BB106" i="106" s="1"/>
  <c r="AV106" i="106"/>
  <c r="AW106" i="106" s="1"/>
  <c r="AY106" i="106"/>
  <c r="V106" i="106"/>
  <c r="W106" i="106" s="1"/>
  <c r="BQ106" i="106"/>
  <c r="BR106" i="106" s="1"/>
  <c r="BJ106" i="106"/>
  <c r="BL106" i="106" s="1"/>
  <c r="P106" i="106"/>
  <c r="AT106" i="106"/>
  <c r="AH106" i="106"/>
  <c r="AI106" i="106" s="1"/>
  <c r="BD106" i="106"/>
  <c r="BE106" i="106" s="1"/>
  <c r="R106" i="106"/>
  <c r="T106" i="106" s="1"/>
  <c r="BN106" i="106"/>
  <c r="BO106" i="106" s="1"/>
  <c r="AK106" i="106"/>
  <c r="AL106" i="106" s="1"/>
  <c r="AQ106" i="106"/>
  <c r="AR106" i="106" s="1"/>
  <c r="O106" i="106"/>
  <c r="M106" i="106"/>
  <c r="AN106" i="106"/>
  <c r="AO106" i="106" s="1"/>
  <c r="BG106" i="106"/>
  <c r="BH106" i="106" s="1"/>
  <c r="AB106" i="106"/>
  <c r="AC106" i="106" s="1"/>
  <c r="Y106" i="106"/>
  <c r="Z106" i="106" s="1"/>
  <c r="AE106" i="106"/>
  <c r="AF106" i="106" s="1"/>
  <c r="K107" i="106"/>
  <c r="I113" i="106"/>
  <c r="BL107" i="130"/>
  <c r="K108" i="130"/>
  <c r="BN107" i="130"/>
  <c r="BO107" i="130" s="1"/>
  <c r="M107" i="130"/>
  <c r="R107" i="130"/>
  <c r="T107" i="130" s="1"/>
  <c r="O107" i="130"/>
  <c r="P107" i="130"/>
  <c r="V107" i="130"/>
  <c r="W107" i="130" s="1"/>
  <c r="Y107" i="130"/>
  <c r="Z107" i="130" s="1"/>
  <c r="AE107" i="130"/>
  <c r="AF107" i="130" s="1"/>
  <c r="AQ107" i="130"/>
  <c r="AR107" i="130" s="1"/>
  <c r="AH107" i="130"/>
  <c r="AI107" i="130" s="1"/>
  <c r="BD107" i="130"/>
  <c r="BE107" i="130" s="1"/>
  <c r="BG107" i="130"/>
  <c r="BH107" i="130" s="1"/>
  <c r="AN107" i="130"/>
  <c r="AO107" i="130" s="1"/>
  <c r="BQ107" i="130"/>
  <c r="BR107" i="130" s="1"/>
  <c r="AV107" i="130"/>
  <c r="AW107" i="130" s="1"/>
  <c r="AY107" i="130"/>
  <c r="AK107" i="130"/>
  <c r="AL107" i="130" s="1"/>
  <c r="AT107" i="130"/>
  <c r="BA107" i="130"/>
  <c r="BB107" i="130" s="1"/>
  <c r="AB107" i="130"/>
  <c r="AC107" i="130" s="1"/>
  <c r="O112" i="155"/>
  <c r="V112" i="155"/>
  <c r="W112" i="155" s="1"/>
  <c r="AB112" i="155"/>
  <c r="AC112" i="155" s="1"/>
  <c r="AH112" i="155"/>
  <c r="AI112" i="155" s="1"/>
  <c r="AN112" i="155"/>
  <c r="AO112" i="155" s="1"/>
  <c r="BA112" i="155"/>
  <c r="BB112" i="155" s="1"/>
  <c r="BG112" i="155"/>
  <c r="BH112" i="155" s="1"/>
  <c r="BL112" i="155"/>
  <c r="P112" i="155"/>
  <c r="AV112" i="155"/>
  <c r="AW112" i="155" s="1"/>
  <c r="BN112" i="155"/>
  <c r="BO112" i="155" s="1"/>
  <c r="R112" i="155"/>
  <c r="T112" i="155" s="1"/>
  <c r="Y112" i="155"/>
  <c r="Z112" i="155" s="1"/>
  <c r="AE112" i="155"/>
  <c r="AF112" i="155" s="1"/>
  <c r="AK112" i="155"/>
  <c r="AL112" i="155" s="1"/>
  <c r="AQ112" i="155"/>
  <c r="AR112" i="155" s="1"/>
  <c r="BD112" i="155"/>
  <c r="BE112" i="155" s="1"/>
  <c r="M112" i="155"/>
  <c r="BQ112" i="155"/>
  <c r="BR112" i="155" s="1"/>
  <c r="I114" i="155"/>
  <c r="K113" i="155"/>
  <c r="M112" i="153"/>
  <c r="BQ112" i="153"/>
  <c r="BR112" i="153" s="1"/>
  <c r="O112" i="153"/>
  <c r="V112" i="153"/>
  <c r="W112" i="153" s="1"/>
  <c r="AB112" i="153"/>
  <c r="AC112" i="153" s="1"/>
  <c r="AH112" i="153"/>
  <c r="AI112" i="153" s="1"/>
  <c r="AN112" i="153"/>
  <c r="AO112" i="153" s="1"/>
  <c r="BA112" i="153"/>
  <c r="BB112" i="153" s="1"/>
  <c r="BG112" i="153"/>
  <c r="BH112" i="153" s="1"/>
  <c r="P112" i="153"/>
  <c r="AV112" i="153"/>
  <c r="AW112" i="153" s="1"/>
  <c r="BN112" i="153"/>
  <c r="BO112" i="153" s="1"/>
  <c r="Y112" i="153"/>
  <c r="Z112" i="153" s="1"/>
  <c r="AE112" i="153"/>
  <c r="AF112" i="153" s="1"/>
  <c r="BD112" i="153"/>
  <c r="BE112" i="153" s="1"/>
  <c r="AK112" i="153"/>
  <c r="AL112" i="153" s="1"/>
  <c r="R112" i="153"/>
  <c r="T112" i="153" s="1"/>
  <c r="AQ112" i="153"/>
  <c r="AR112" i="153" s="1"/>
  <c r="BL112" i="153"/>
  <c r="K113" i="153"/>
  <c r="R112" i="152"/>
  <c r="T112" i="152" s="1"/>
  <c r="Y112" i="152"/>
  <c r="Z112" i="152" s="1"/>
  <c r="AE112" i="152"/>
  <c r="AF112" i="152" s="1"/>
  <c r="AK112" i="152"/>
  <c r="AL112" i="152" s="1"/>
  <c r="AQ112" i="152"/>
  <c r="AR112" i="152" s="1"/>
  <c r="BD112" i="152"/>
  <c r="BE112" i="152" s="1"/>
  <c r="M112" i="152"/>
  <c r="BQ112" i="152"/>
  <c r="BR112" i="152" s="1"/>
  <c r="O112" i="152"/>
  <c r="V112" i="152"/>
  <c r="W112" i="152" s="1"/>
  <c r="AB112" i="152"/>
  <c r="AC112" i="152" s="1"/>
  <c r="AH112" i="152"/>
  <c r="AI112" i="152" s="1"/>
  <c r="AN112" i="152"/>
  <c r="AO112" i="152" s="1"/>
  <c r="BA112" i="152"/>
  <c r="BB112" i="152" s="1"/>
  <c r="BG112" i="152"/>
  <c r="BH112" i="152" s="1"/>
  <c r="P112" i="152"/>
  <c r="AV112" i="152"/>
  <c r="AW112" i="152" s="1"/>
  <c r="BN112" i="152"/>
  <c r="BO112" i="152" s="1"/>
  <c r="BL112" i="152"/>
  <c r="K113" i="152"/>
  <c r="K111" i="151"/>
  <c r="I112" i="151"/>
  <c r="BG110" i="151"/>
  <c r="BH110" i="151" s="1"/>
  <c r="BA110" i="151"/>
  <c r="BB110" i="151" s="1"/>
  <c r="AT110" i="151"/>
  <c r="AN110" i="151"/>
  <c r="AO110" i="151" s="1"/>
  <c r="AH110" i="151"/>
  <c r="AI110" i="151" s="1"/>
  <c r="AB110" i="151"/>
  <c r="AC110" i="151" s="1"/>
  <c r="V110" i="151"/>
  <c r="W110" i="151" s="1"/>
  <c r="O110" i="151"/>
  <c r="AY110" i="151"/>
  <c r="AQ110" i="151"/>
  <c r="AR110" i="151" s="1"/>
  <c r="R110" i="151"/>
  <c r="T110" i="151" s="1"/>
  <c r="BD110" i="151"/>
  <c r="BE110" i="151" s="1"/>
  <c r="AV110" i="151"/>
  <c r="AW110" i="151" s="1"/>
  <c r="AE110" i="151"/>
  <c r="AF110" i="151" s="1"/>
  <c r="BQ110" i="151"/>
  <c r="BR110" i="151" s="1"/>
  <c r="AK110" i="151"/>
  <c r="AL110" i="151" s="1"/>
  <c r="P110" i="151"/>
  <c r="Y110" i="151"/>
  <c r="Z110" i="151" s="1"/>
  <c r="BN110" i="151"/>
  <c r="BO110" i="151" s="1"/>
  <c r="M110" i="151"/>
  <c r="BL110" i="151"/>
  <c r="AV109" i="150"/>
  <c r="AW109" i="150" s="1"/>
  <c r="P109" i="150"/>
  <c r="BG109" i="150"/>
  <c r="BH109" i="150" s="1"/>
  <c r="BA109" i="150"/>
  <c r="BB109" i="150" s="1"/>
  <c r="AT109" i="150"/>
  <c r="AN109" i="150"/>
  <c r="AO109" i="150" s="1"/>
  <c r="AH109" i="150"/>
  <c r="AI109" i="150" s="1"/>
  <c r="AB109" i="150"/>
  <c r="AC109" i="150" s="1"/>
  <c r="V109" i="150"/>
  <c r="W109" i="150" s="1"/>
  <c r="O109" i="150"/>
  <c r="AY109" i="150"/>
  <c r="AK109" i="150"/>
  <c r="AL109" i="150" s="1"/>
  <c r="Y109" i="150"/>
  <c r="Z109" i="150" s="1"/>
  <c r="BQ109" i="150"/>
  <c r="BR109" i="150" s="1"/>
  <c r="AE109" i="150"/>
  <c r="AF109" i="150" s="1"/>
  <c r="R109" i="150"/>
  <c r="T109" i="150" s="1"/>
  <c r="BD109" i="150"/>
  <c r="BE109" i="150" s="1"/>
  <c r="AQ109" i="150"/>
  <c r="AR109" i="150" s="1"/>
  <c r="M109" i="150"/>
  <c r="BN109" i="150"/>
  <c r="BO109" i="150" s="1"/>
  <c r="BL109" i="150"/>
  <c r="K110" i="150"/>
  <c r="I113" i="150"/>
  <c r="AV111" i="149"/>
  <c r="AW111" i="149" s="1"/>
  <c r="BG111" i="149"/>
  <c r="BH111" i="149" s="1"/>
  <c r="BA111" i="149"/>
  <c r="BB111" i="149" s="1"/>
  <c r="AT111" i="149"/>
  <c r="AN111" i="149"/>
  <c r="AO111" i="149" s="1"/>
  <c r="AH111" i="149"/>
  <c r="AI111" i="149" s="1"/>
  <c r="AB111" i="149"/>
  <c r="AC111" i="149" s="1"/>
  <c r="V111" i="149"/>
  <c r="W111" i="149" s="1"/>
  <c r="O111" i="149"/>
  <c r="BQ111" i="149"/>
  <c r="BR111" i="149" s="1"/>
  <c r="R111" i="149"/>
  <c r="T111" i="149" s="1"/>
  <c r="BD111" i="149"/>
  <c r="BE111" i="149" s="1"/>
  <c r="P111" i="149"/>
  <c r="AE111" i="149"/>
  <c r="AF111" i="149" s="1"/>
  <c r="AY111" i="149"/>
  <c r="Y111" i="149"/>
  <c r="Z111" i="149" s="1"/>
  <c r="AQ111" i="149"/>
  <c r="AR111" i="149" s="1"/>
  <c r="AK111" i="149"/>
  <c r="AL111" i="149" s="1"/>
  <c r="BN111" i="149"/>
  <c r="BO111" i="149" s="1"/>
  <c r="M111" i="149"/>
  <c r="BL111" i="149"/>
  <c r="I113" i="149"/>
  <c r="K112" i="149"/>
  <c r="AV110" i="147"/>
  <c r="AW110" i="147" s="1"/>
  <c r="P110" i="147"/>
  <c r="BG110" i="147"/>
  <c r="BH110" i="147" s="1"/>
  <c r="BA110" i="147"/>
  <c r="BB110" i="147" s="1"/>
  <c r="AT110" i="147"/>
  <c r="AN110" i="147"/>
  <c r="AO110" i="147" s="1"/>
  <c r="AH110" i="147"/>
  <c r="AI110" i="147" s="1"/>
  <c r="AB110" i="147"/>
  <c r="AC110" i="147" s="1"/>
  <c r="V110" i="147"/>
  <c r="W110" i="147" s="1"/>
  <c r="O110" i="147"/>
  <c r="AY110" i="147"/>
  <c r="AK110" i="147"/>
  <c r="AL110" i="147" s="1"/>
  <c r="Y110" i="147"/>
  <c r="Z110" i="147" s="1"/>
  <c r="BQ110" i="147"/>
  <c r="BR110" i="147" s="1"/>
  <c r="BD110" i="147"/>
  <c r="BE110" i="147" s="1"/>
  <c r="AQ110" i="147"/>
  <c r="AR110" i="147" s="1"/>
  <c r="AE110" i="147"/>
  <c r="AF110" i="147" s="1"/>
  <c r="R110" i="147"/>
  <c r="T110" i="147" s="1"/>
  <c r="BJ110" i="147"/>
  <c r="BL110" i="147" s="1"/>
  <c r="BN110" i="147"/>
  <c r="BO110" i="147" s="1"/>
  <c r="BK110" i="147"/>
  <c r="M110" i="147"/>
  <c r="I112" i="147"/>
  <c r="K111" i="147"/>
  <c r="AV109" i="146"/>
  <c r="AW109" i="146" s="1"/>
  <c r="P109" i="146"/>
  <c r="BG109" i="146"/>
  <c r="BH109" i="146" s="1"/>
  <c r="BA109" i="146"/>
  <c r="BB109" i="146" s="1"/>
  <c r="AT109" i="146"/>
  <c r="AN109" i="146"/>
  <c r="AO109" i="146" s="1"/>
  <c r="AH109" i="146"/>
  <c r="AI109" i="146" s="1"/>
  <c r="AB109" i="146"/>
  <c r="AC109" i="146" s="1"/>
  <c r="V109" i="146"/>
  <c r="W109" i="146" s="1"/>
  <c r="O109" i="146"/>
  <c r="AK109" i="146"/>
  <c r="AL109" i="146" s="1"/>
  <c r="Y109" i="146"/>
  <c r="Z109" i="146" s="1"/>
  <c r="BQ109" i="146"/>
  <c r="BR109" i="146" s="1"/>
  <c r="BD109" i="146"/>
  <c r="BE109" i="146" s="1"/>
  <c r="AQ109" i="146"/>
  <c r="AR109" i="146" s="1"/>
  <c r="AE109" i="146"/>
  <c r="AF109" i="146" s="1"/>
  <c r="R109" i="146"/>
  <c r="T109" i="146" s="1"/>
  <c r="AY109" i="146"/>
  <c r="BN109" i="146"/>
  <c r="BO109" i="146" s="1"/>
  <c r="BJ109" i="146"/>
  <c r="BL109" i="146" s="1"/>
  <c r="BK109" i="146"/>
  <c r="M109" i="146"/>
  <c r="I111" i="146"/>
  <c r="K110" i="146"/>
  <c r="BG105" i="66"/>
  <c r="BH105" i="66" s="1"/>
  <c r="AH105" i="66"/>
  <c r="AI105" i="66" s="1"/>
  <c r="BA105" i="66"/>
  <c r="BB105" i="66" s="1"/>
  <c r="BD105" i="66"/>
  <c r="BE105" i="66" s="1"/>
  <c r="AT105" i="66"/>
  <c r="AE105" i="66"/>
  <c r="AF105" i="66" s="1"/>
  <c r="AB105" i="66"/>
  <c r="AC105" i="66" s="1"/>
  <c r="O105" i="66"/>
  <c r="P105" i="66"/>
  <c r="M105" i="66"/>
  <c r="AV105" i="66"/>
  <c r="AW105" i="66" s="1"/>
  <c r="AN105" i="66"/>
  <c r="AO105" i="66" s="1"/>
  <c r="AK105" i="66"/>
  <c r="AL105" i="66" s="1"/>
  <c r="BN105" i="66"/>
  <c r="BO105" i="66" s="1"/>
  <c r="Y105" i="66"/>
  <c r="Z105" i="66" s="1"/>
  <c r="AQ105" i="66"/>
  <c r="AR105" i="66" s="1"/>
  <c r="BQ105" i="66"/>
  <c r="BR105" i="66" s="1"/>
  <c r="R105" i="66"/>
  <c r="T105" i="66" s="1"/>
  <c r="V105" i="66"/>
  <c r="W105" i="66" s="1"/>
  <c r="AY105" i="66"/>
  <c r="BL105" i="66"/>
  <c r="K106" i="13"/>
  <c r="I107" i="13"/>
  <c r="I110" i="135"/>
  <c r="K109" i="135"/>
  <c r="I114" i="132"/>
  <c r="K106" i="17"/>
  <c r="I107" i="17"/>
  <c r="BJ109" i="105"/>
  <c r="BL109" i="105" s="1"/>
  <c r="M109" i="105"/>
  <c r="AB109" i="105"/>
  <c r="AC109" i="105" s="1"/>
  <c r="AK109" i="105"/>
  <c r="AL109" i="105" s="1"/>
  <c r="BD109" i="105"/>
  <c r="BE109" i="105" s="1"/>
  <c r="Y109" i="105"/>
  <c r="Z109" i="105" s="1"/>
  <c r="BK109" i="105"/>
  <c r="O109" i="105"/>
  <c r="AY109" i="105"/>
  <c r="V109" i="105"/>
  <c r="W109" i="105" s="1"/>
  <c r="BQ109" i="105"/>
  <c r="BR109" i="105" s="1"/>
  <c r="BN109" i="105"/>
  <c r="BO109" i="105" s="1"/>
  <c r="AQ109" i="105"/>
  <c r="AR109" i="105" s="1"/>
  <c r="AN109" i="105"/>
  <c r="AO109" i="105" s="1"/>
  <c r="AV109" i="105"/>
  <c r="AW109" i="105" s="1"/>
  <c r="AT109" i="105"/>
  <c r="AH109" i="105"/>
  <c r="AI109" i="105" s="1"/>
  <c r="R109" i="105"/>
  <c r="T109" i="105" s="1"/>
  <c r="BA109" i="105"/>
  <c r="BB109" i="105" s="1"/>
  <c r="AE109" i="105"/>
  <c r="AF109" i="105" s="1"/>
  <c r="P109" i="105"/>
  <c r="BG109" i="105"/>
  <c r="BH109" i="105" s="1"/>
  <c r="K110" i="105"/>
  <c r="I111" i="15"/>
  <c r="BN107" i="114"/>
  <c r="BO107" i="114" s="1"/>
  <c r="BK107" i="114"/>
  <c r="M107" i="114"/>
  <c r="BJ107" i="114"/>
  <c r="BL107" i="114" s="1"/>
  <c r="AN107" i="114"/>
  <c r="AO107" i="114" s="1"/>
  <c r="BQ107" i="114"/>
  <c r="BR107" i="114" s="1"/>
  <c r="AE107" i="114"/>
  <c r="AF107" i="114" s="1"/>
  <c r="AT107" i="114"/>
  <c r="BA107" i="114"/>
  <c r="BB107" i="114" s="1"/>
  <c r="AB107" i="114"/>
  <c r="AC107" i="114" s="1"/>
  <c r="AV107" i="114"/>
  <c r="AW107" i="114" s="1"/>
  <c r="O107" i="114"/>
  <c r="R107" i="114"/>
  <c r="T107" i="114" s="1"/>
  <c r="AY107" i="114"/>
  <c r="P107" i="114"/>
  <c r="AK107" i="114"/>
  <c r="AL107" i="114" s="1"/>
  <c r="AQ107" i="114"/>
  <c r="AR107" i="114" s="1"/>
  <c r="Y107" i="114"/>
  <c r="Z107" i="114" s="1"/>
  <c r="AH107" i="114"/>
  <c r="AI107" i="114" s="1"/>
  <c r="BG107" i="114"/>
  <c r="BH107" i="114" s="1"/>
  <c r="BD107" i="114"/>
  <c r="BE107" i="114" s="1"/>
  <c r="V107" i="114"/>
  <c r="W107" i="114" s="1"/>
  <c r="K108" i="114"/>
  <c r="BK107" i="115"/>
  <c r="BN107" i="115"/>
  <c r="BO107" i="115" s="1"/>
  <c r="BG107" i="115"/>
  <c r="BH107" i="115" s="1"/>
  <c r="M107" i="115"/>
  <c r="BJ107" i="115"/>
  <c r="BL107" i="115" s="1"/>
  <c r="BD107" i="115"/>
  <c r="BE107" i="115" s="1"/>
  <c r="AN107" i="115"/>
  <c r="AO107" i="115" s="1"/>
  <c r="V107" i="115"/>
  <c r="W107" i="115" s="1"/>
  <c r="AY107" i="115"/>
  <c r="BQ107" i="115"/>
  <c r="BR107" i="115" s="1"/>
  <c r="BA107" i="115"/>
  <c r="BB107" i="115" s="1"/>
  <c r="AB107" i="115"/>
  <c r="AC107" i="115" s="1"/>
  <c r="R107" i="115"/>
  <c r="T107" i="115" s="1"/>
  <c r="AV107" i="115"/>
  <c r="AW107" i="115" s="1"/>
  <c r="O107" i="115"/>
  <c r="AK107" i="115"/>
  <c r="AL107" i="115" s="1"/>
  <c r="AE107" i="115"/>
  <c r="AF107" i="115" s="1"/>
  <c r="AT107" i="115"/>
  <c r="AQ107" i="115"/>
  <c r="AR107" i="115" s="1"/>
  <c r="AH107" i="115"/>
  <c r="AI107" i="115" s="1"/>
  <c r="Y107" i="115"/>
  <c r="Z107" i="115" s="1"/>
  <c r="P107" i="115"/>
  <c r="BN105" i="13"/>
  <c r="BO105" i="13" s="1"/>
  <c r="M105" i="13"/>
  <c r="BL105" i="13"/>
  <c r="AE105" i="13"/>
  <c r="AF105" i="13" s="1"/>
  <c r="BD105" i="13"/>
  <c r="BE105" i="13" s="1"/>
  <c r="AT105" i="13"/>
  <c r="O105" i="13"/>
  <c r="Y105" i="13"/>
  <c r="Z105" i="13" s="1"/>
  <c r="AB105" i="13"/>
  <c r="AC105" i="13" s="1"/>
  <c r="AK105" i="13"/>
  <c r="AL105" i="13" s="1"/>
  <c r="BA105" i="13"/>
  <c r="BB105" i="13" s="1"/>
  <c r="P105" i="13"/>
  <c r="AN105" i="13"/>
  <c r="AO105" i="13" s="1"/>
  <c r="BQ105" i="13"/>
  <c r="BR105" i="13" s="1"/>
  <c r="R105" i="13"/>
  <c r="T105" i="13" s="1"/>
  <c r="AY105" i="13"/>
  <c r="AQ105" i="13"/>
  <c r="AR105" i="13" s="1"/>
  <c r="BG105" i="13"/>
  <c r="BH105" i="13" s="1"/>
  <c r="AV105" i="13"/>
  <c r="AW105" i="13" s="1"/>
  <c r="AH105" i="13"/>
  <c r="AI105" i="13" s="1"/>
  <c r="V105" i="13"/>
  <c r="W105" i="13" s="1"/>
  <c r="M107" i="63"/>
  <c r="BN107" i="63"/>
  <c r="BO107" i="63" s="1"/>
  <c r="BL107" i="63"/>
  <c r="BG107" i="63"/>
  <c r="BH107" i="63" s="1"/>
  <c r="Y107" i="63"/>
  <c r="Z107" i="63" s="1"/>
  <c r="R107" i="63"/>
  <c r="T107" i="63" s="1"/>
  <c r="BA107" i="63"/>
  <c r="BB107" i="63" s="1"/>
  <c r="AN107" i="63"/>
  <c r="AO107" i="63" s="1"/>
  <c r="AV107" i="63"/>
  <c r="AW107" i="63" s="1"/>
  <c r="P107" i="63"/>
  <c r="O107" i="63"/>
  <c r="AQ107" i="63"/>
  <c r="AR107" i="63" s="1"/>
  <c r="BD107" i="63"/>
  <c r="BE107" i="63" s="1"/>
  <c r="AB107" i="63"/>
  <c r="AC107" i="63" s="1"/>
  <c r="V107" i="63"/>
  <c r="W107" i="63" s="1"/>
  <c r="BQ107" i="63"/>
  <c r="BR107" i="63" s="1"/>
  <c r="AT107" i="63"/>
  <c r="AH107" i="63"/>
  <c r="AI107" i="63" s="1"/>
  <c r="AY107" i="63"/>
  <c r="AK107" i="63"/>
  <c r="AL107" i="63" s="1"/>
  <c r="AE107" i="63"/>
  <c r="AF107" i="63" s="1"/>
  <c r="K108" i="63"/>
  <c r="I112" i="126"/>
  <c r="BN106" i="15"/>
  <c r="BO106" i="15" s="1"/>
  <c r="BL106" i="15"/>
  <c r="P106" i="15"/>
  <c r="BA106" i="15"/>
  <c r="BB106" i="15" s="1"/>
  <c r="BG106" i="15"/>
  <c r="BH106" i="15" s="1"/>
  <c r="AB106" i="15"/>
  <c r="AC106" i="15" s="1"/>
  <c r="V106" i="15"/>
  <c r="W106" i="15" s="1"/>
  <c r="M106" i="15"/>
  <c r="R106" i="15"/>
  <c r="T106" i="15" s="1"/>
  <c r="AK106" i="15"/>
  <c r="AL106" i="15" s="1"/>
  <c r="AT106" i="15"/>
  <c r="AV106" i="15"/>
  <c r="AW106" i="15" s="1"/>
  <c r="AN106" i="15"/>
  <c r="AO106" i="15" s="1"/>
  <c r="AQ106" i="15"/>
  <c r="AR106" i="15" s="1"/>
  <c r="AH106" i="15"/>
  <c r="AI106" i="15" s="1"/>
  <c r="BD106" i="15"/>
  <c r="BE106" i="15" s="1"/>
  <c r="O106" i="15"/>
  <c r="AY106" i="15"/>
  <c r="BQ106" i="15"/>
  <c r="BR106" i="15" s="1"/>
  <c r="AE106" i="15"/>
  <c r="AF106" i="15" s="1"/>
  <c r="Y106" i="15"/>
  <c r="Z106" i="15" s="1"/>
  <c r="K107" i="15"/>
  <c r="M106" i="101"/>
  <c r="Y106" i="101"/>
  <c r="Z106" i="101" s="1"/>
  <c r="BQ106" i="101"/>
  <c r="BR106" i="101" s="1"/>
  <c r="AB106" i="101"/>
  <c r="AC106" i="101" s="1"/>
  <c r="V106" i="101"/>
  <c r="W106" i="101" s="1"/>
  <c r="AH106" i="101"/>
  <c r="AI106" i="101" s="1"/>
  <c r="AK106" i="101"/>
  <c r="AL106" i="101" s="1"/>
  <c r="P106" i="101"/>
  <c r="AT106" i="101"/>
  <c r="AV106" i="101"/>
  <c r="AW106" i="101" s="1"/>
  <c r="AE106" i="101"/>
  <c r="AF106" i="101" s="1"/>
  <c r="AY106" i="101"/>
  <c r="AQ106" i="101"/>
  <c r="AR106" i="101" s="1"/>
  <c r="O106" i="101"/>
  <c r="BG106" i="101"/>
  <c r="BH106" i="101" s="1"/>
  <c r="AN106" i="101"/>
  <c r="AO106" i="101" s="1"/>
  <c r="R106" i="101"/>
  <c r="T106" i="101" s="1"/>
  <c r="BD106" i="101"/>
  <c r="BE106" i="101" s="1"/>
  <c r="BA106" i="101"/>
  <c r="BB106" i="101" s="1"/>
  <c r="I114" i="105"/>
  <c r="M109" i="136"/>
  <c r="BN109" i="136"/>
  <c r="BO109" i="136" s="1"/>
  <c r="BL109" i="136"/>
  <c r="AE109" i="136"/>
  <c r="AF109" i="136" s="1"/>
  <c r="Y109" i="136"/>
  <c r="Z109" i="136" s="1"/>
  <c r="BD109" i="136"/>
  <c r="BE109" i="136" s="1"/>
  <c r="AY109" i="136"/>
  <c r="P109" i="136"/>
  <c r="AK109" i="136"/>
  <c r="AL109" i="136" s="1"/>
  <c r="BG109" i="136"/>
  <c r="BH109" i="136" s="1"/>
  <c r="V109" i="136"/>
  <c r="W109" i="136" s="1"/>
  <c r="R109" i="136"/>
  <c r="T109" i="136" s="1"/>
  <c r="AN109" i="136"/>
  <c r="AO109" i="136" s="1"/>
  <c r="AH109" i="136"/>
  <c r="AI109" i="136" s="1"/>
  <c r="AV109" i="136"/>
  <c r="AW109" i="136" s="1"/>
  <c r="AB109" i="136"/>
  <c r="AC109" i="136" s="1"/>
  <c r="AQ109" i="136"/>
  <c r="AR109" i="136" s="1"/>
  <c r="BA109" i="136"/>
  <c r="BB109" i="136" s="1"/>
  <c r="AT109" i="136"/>
  <c r="BQ109" i="136"/>
  <c r="BR109" i="136" s="1"/>
  <c r="O109" i="136"/>
  <c r="K110" i="136"/>
  <c r="I109" i="115"/>
  <c r="K108" i="115"/>
  <c r="M107" i="110"/>
  <c r="BN107" i="110"/>
  <c r="BO107" i="110" s="1"/>
  <c r="BJ107" i="110"/>
  <c r="BL107" i="110" s="1"/>
  <c r="BK107" i="110"/>
  <c r="AE107" i="110"/>
  <c r="AF107" i="110" s="1"/>
  <c r="BD107" i="110"/>
  <c r="BE107" i="110" s="1"/>
  <c r="AB107" i="110"/>
  <c r="AC107" i="110" s="1"/>
  <c r="AV107" i="110"/>
  <c r="AW107" i="110" s="1"/>
  <c r="AT107" i="110"/>
  <c r="AY107" i="110"/>
  <c r="BQ107" i="110"/>
  <c r="BR107" i="110" s="1"/>
  <c r="O107" i="110"/>
  <c r="Y107" i="110"/>
  <c r="Z107" i="110" s="1"/>
  <c r="R107" i="110"/>
  <c r="T107" i="110" s="1"/>
  <c r="AH107" i="110"/>
  <c r="AI107" i="110" s="1"/>
  <c r="BA107" i="110"/>
  <c r="BB107" i="110" s="1"/>
  <c r="AQ107" i="110"/>
  <c r="AR107" i="110" s="1"/>
  <c r="AN107" i="110"/>
  <c r="AO107" i="110" s="1"/>
  <c r="BG107" i="110"/>
  <c r="BH107" i="110" s="1"/>
  <c r="V107" i="110"/>
  <c r="W107" i="110" s="1"/>
  <c r="P107" i="110"/>
  <c r="AK107" i="110"/>
  <c r="AL107" i="110" s="1"/>
  <c r="I113" i="136"/>
  <c r="AE107" i="96"/>
  <c r="AF107" i="96" s="1"/>
  <c r="AQ107" i="96"/>
  <c r="AR107" i="96" s="1"/>
  <c r="R107" i="96"/>
  <c r="T107" i="96" s="1"/>
  <c r="BG107" i="96"/>
  <c r="BH107" i="96" s="1"/>
  <c r="AK107" i="96"/>
  <c r="AL107" i="96" s="1"/>
  <c r="BD107" i="96"/>
  <c r="BE107" i="96" s="1"/>
  <c r="Y107" i="96"/>
  <c r="Z107" i="96" s="1"/>
  <c r="V107" i="96"/>
  <c r="W107" i="96" s="1"/>
  <c r="O107" i="96"/>
  <c r="BQ107" i="96"/>
  <c r="BR107" i="96" s="1"/>
  <c r="AB107" i="96"/>
  <c r="AC107" i="96" s="1"/>
  <c r="AV107" i="96"/>
  <c r="AW107" i="96" s="1"/>
  <c r="BN107" i="96"/>
  <c r="BO107" i="96" s="1"/>
  <c r="AT107" i="96"/>
  <c r="AH107" i="96"/>
  <c r="AI107" i="96" s="1"/>
  <c r="BA107" i="96"/>
  <c r="BB107" i="96" s="1"/>
  <c r="P107" i="96"/>
  <c r="M107" i="96"/>
  <c r="AN107" i="96"/>
  <c r="AO107" i="96" s="1"/>
  <c r="BL107" i="96"/>
  <c r="Y106" i="118"/>
  <c r="Z106" i="118" s="1"/>
  <c r="M106" i="118"/>
  <c r="K107" i="118"/>
  <c r="BN106" i="118"/>
  <c r="BO106" i="118" s="1"/>
  <c r="AV106" i="118"/>
  <c r="AW106" i="118" s="1"/>
  <c r="BQ106" i="118"/>
  <c r="BR106" i="118" s="1"/>
  <c r="AB106" i="118"/>
  <c r="AC106" i="118" s="1"/>
  <c r="O106" i="118"/>
  <c r="V106" i="118"/>
  <c r="W106" i="118" s="1"/>
  <c r="AE106" i="118"/>
  <c r="AF106" i="118" s="1"/>
  <c r="AQ106" i="118"/>
  <c r="AR106" i="118" s="1"/>
  <c r="BG106" i="118"/>
  <c r="BH106" i="118" s="1"/>
  <c r="AY106" i="118"/>
  <c r="AN106" i="118"/>
  <c r="AO106" i="118" s="1"/>
  <c r="BD106" i="118"/>
  <c r="BE106" i="118" s="1"/>
  <c r="AH106" i="118"/>
  <c r="AI106" i="118" s="1"/>
  <c r="AT106" i="118"/>
  <c r="AK106" i="118"/>
  <c r="AL106" i="118" s="1"/>
  <c r="R106" i="118"/>
  <c r="T106" i="118" s="1"/>
  <c r="BA106" i="118"/>
  <c r="BB106" i="118" s="1"/>
  <c r="P106" i="118"/>
  <c r="I113" i="64"/>
  <c r="BG108" i="64"/>
  <c r="BH108" i="64" s="1"/>
  <c r="BQ108" i="64"/>
  <c r="BR108" i="64" s="1"/>
  <c r="R108" i="64"/>
  <c r="T108" i="64" s="1"/>
  <c r="AE108" i="64"/>
  <c r="AF108" i="64" s="1"/>
  <c r="O108" i="64"/>
  <c r="AQ108" i="64"/>
  <c r="AR108" i="64" s="1"/>
  <c r="V108" i="64"/>
  <c r="W108" i="64" s="1"/>
  <c r="BA108" i="64"/>
  <c r="BB108" i="64" s="1"/>
  <c r="BD108" i="64"/>
  <c r="BE108" i="64" s="1"/>
  <c r="AT108" i="64"/>
  <c r="AY108" i="64"/>
  <c r="M108" i="64"/>
  <c r="P108" i="64"/>
  <c r="Y108" i="64"/>
  <c r="Z108" i="64" s="1"/>
  <c r="AH108" i="64"/>
  <c r="AI108" i="64" s="1"/>
  <c r="AK108" i="64"/>
  <c r="AL108" i="64" s="1"/>
  <c r="AB108" i="64"/>
  <c r="AC108" i="64" s="1"/>
  <c r="AN108" i="64"/>
  <c r="AO108" i="64" s="1"/>
  <c r="AV108" i="64"/>
  <c r="AW108" i="64" s="1"/>
  <c r="BL108" i="64"/>
  <c r="BN108" i="64"/>
  <c r="BO108" i="64" s="1"/>
  <c r="K109" i="64"/>
  <c r="I111" i="104"/>
  <c r="I108" i="101"/>
  <c r="K107" i="101"/>
  <c r="BQ107" i="98"/>
  <c r="BR107" i="98" s="1"/>
  <c r="AY107" i="98"/>
  <c r="AQ107" i="98"/>
  <c r="AR107" i="98" s="1"/>
  <c r="AN107" i="98"/>
  <c r="AO107" i="98" s="1"/>
  <c r="AT107" i="98"/>
  <c r="K108" i="98"/>
  <c r="BA107" i="98"/>
  <c r="BB107" i="98" s="1"/>
  <c r="AV107" i="98"/>
  <c r="AW107" i="98" s="1"/>
  <c r="AB107" i="98"/>
  <c r="AC107" i="98" s="1"/>
  <c r="AE107" i="98"/>
  <c r="AF107" i="98" s="1"/>
  <c r="Y107" i="98"/>
  <c r="Z107" i="98" s="1"/>
  <c r="O107" i="98"/>
  <c r="AK107" i="98"/>
  <c r="AL107" i="98" s="1"/>
  <c r="AH107" i="98"/>
  <c r="AI107" i="98" s="1"/>
  <c r="BK107" i="98"/>
  <c r="P107" i="98"/>
  <c r="M107" i="98"/>
  <c r="BJ107" i="98"/>
  <c r="BL107" i="98" s="1"/>
  <c r="V107" i="98"/>
  <c r="W107" i="98" s="1"/>
  <c r="R107" i="98"/>
  <c r="T107" i="98" s="1"/>
  <c r="BG107" i="98"/>
  <c r="BH107" i="98" s="1"/>
  <c r="BD107" i="98"/>
  <c r="BE107" i="98" s="1"/>
  <c r="BN107" i="98"/>
  <c r="BO107" i="98" s="1"/>
  <c r="K106" i="66"/>
  <c r="I107" i="66"/>
  <c r="M111" i="124"/>
  <c r="BN111" i="124"/>
  <c r="BO111" i="124" s="1"/>
  <c r="BJ111" i="124"/>
  <c r="BL111" i="124" s="1"/>
  <c r="K112" i="124"/>
  <c r="BK111" i="124"/>
  <c r="AK111" i="124"/>
  <c r="AL111" i="124" s="1"/>
  <c r="AV111" i="124"/>
  <c r="AW111" i="124" s="1"/>
  <c r="AQ111" i="124"/>
  <c r="AR111" i="124" s="1"/>
  <c r="AY111" i="124"/>
  <c r="BA111" i="124"/>
  <c r="BB111" i="124" s="1"/>
  <c r="AB111" i="124"/>
  <c r="AC111" i="124" s="1"/>
  <c r="BG111" i="124"/>
  <c r="BH111" i="124" s="1"/>
  <c r="AT111" i="124"/>
  <c r="R111" i="124"/>
  <c r="T111" i="124" s="1"/>
  <c r="AH111" i="124"/>
  <c r="AI111" i="124" s="1"/>
  <c r="BQ111" i="124"/>
  <c r="BR111" i="124" s="1"/>
  <c r="Y111" i="124"/>
  <c r="Z111" i="124" s="1"/>
  <c r="P111" i="124"/>
  <c r="AN111" i="124"/>
  <c r="AO111" i="124" s="1"/>
  <c r="AE111" i="124"/>
  <c r="AF111" i="124" s="1"/>
  <c r="V111" i="124"/>
  <c r="W111" i="124" s="1"/>
  <c r="BD111" i="124"/>
  <c r="BE111" i="124" s="1"/>
  <c r="O111" i="124"/>
  <c r="M107" i="126"/>
  <c r="BJ107" i="126"/>
  <c r="BL107" i="126" s="1"/>
  <c r="BK107" i="126"/>
  <c r="BN107" i="126"/>
  <c r="BO107" i="126" s="1"/>
  <c r="Y107" i="126"/>
  <c r="Z107" i="126" s="1"/>
  <c r="AN107" i="126"/>
  <c r="AO107" i="126" s="1"/>
  <c r="AV107" i="126"/>
  <c r="AW107" i="126" s="1"/>
  <c r="BA107" i="126"/>
  <c r="BB107" i="126" s="1"/>
  <c r="AQ107" i="126"/>
  <c r="AR107" i="126" s="1"/>
  <c r="V107" i="126"/>
  <c r="W107" i="126" s="1"/>
  <c r="AY107" i="126"/>
  <c r="BQ107" i="126"/>
  <c r="BR107" i="126" s="1"/>
  <c r="AH107" i="126"/>
  <c r="AI107" i="126" s="1"/>
  <c r="AB107" i="126"/>
  <c r="AC107" i="126" s="1"/>
  <c r="AT107" i="126"/>
  <c r="BD107" i="126"/>
  <c r="BE107" i="126" s="1"/>
  <c r="R107" i="126"/>
  <c r="T107" i="126" s="1"/>
  <c r="O107" i="126"/>
  <c r="BG107" i="126"/>
  <c r="BH107" i="126" s="1"/>
  <c r="AK107" i="126"/>
  <c r="AL107" i="126" s="1"/>
  <c r="P107" i="126"/>
  <c r="AE107" i="126"/>
  <c r="AF107" i="126" s="1"/>
  <c r="K108" i="126"/>
  <c r="I109" i="110"/>
  <c r="K108" i="110"/>
  <c r="BD105" i="120"/>
  <c r="BE105" i="120" s="1"/>
  <c r="O105" i="120"/>
  <c r="V105" i="120"/>
  <c r="W105" i="120" s="1"/>
  <c r="P105" i="120"/>
  <c r="BG105" i="120"/>
  <c r="BH105" i="120" s="1"/>
  <c r="AK105" i="120"/>
  <c r="AL105" i="120" s="1"/>
  <c r="AN105" i="120"/>
  <c r="AO105" i="120" s="1"/>
  <c r="AB105" i="120"/>
  <c r="AC105" i="120" s="1"/>
  <c r="Y105" i="120"/>
  <c r="Z105" i="120" s="1"/>
  <c r="AQ105" i="120"/>
  <c r="AR105" i="120" s="1"/>
  <c r="AY105" i="120"/>
  <c r="R105" i="120"/>
  <c r="T105" i="120" s="1"/>
  <c r="BQ105" i="120"/>
  <c r="BR105" i="120" s="1"/>
  <c r="K106" i="120"/>
  <c r="M105" i="120"/>
  <c r="AH105" i="120"/>
  <c r="AI105" i="120" s="1"/>
  <c r="BA105" i="120"/>
  <c r="BB105" i="120" s="1"/>
  <c r="AV105" i="120"/>
  <c r="AW105" i="120" s="1"/>
  <c r="AE105" i="120"/>
  <c r="AF105" i="120" s="1"/>
  <c r="AT105" i="120"/>
  <c r="BN105" i="120"/>
  <c r="BO105" i="120" s="1"/>
  <c r="I109" i="96"/>
  <c r="K108" i="96"/>
  <c r="AV108" i="135"/>
  <c r="AW108" i="135" s="1"/>
  <c r="P108" i="135"/>
  <c r="BQ108" i="135"/>
  <c r="BR108" i="135" s="1"/>
  <c r="AK108" i="135"/>
  <c r="AL108" i="135" s="1"/>
  <c r="Y108" i="135"/>
  <c r="Z108" i="135" s="1"/>
  <c r="M108" i="135"/>
  <c r="BG108" i="135"/>
  <c r="BH108" i="135" s="1"/>
  <c r="AQ108" i="135"/>
  <c r="AR108" i="135" s="1"/>
  <c r="BD108" i="135"/>
  <c r="BE108" i="135" s="1"/>
  <c r="AN108" i="135"/>
  <c r="AO108" i="135" s="1"/>
  <c r="AB108" i="135"/>
  <c r="AC108" i="135" s="1"/>
  <c r="AT108" i="135"/>
  <c r="AE108" i="135"/>
  <c r="AF108" i="135" s="1"/>
  <c r="AY108" i="135"/>
  <c r="AH108" i="135"/>
  <c r="AI108" i="135" s="1"/>
  <c r="V108" i="135"/>
  <c r="W108" i="135" s="1"/>
  <c r="BA108" i="135"/>
  <c r="BB108" i="135" s="1"/>
  <c r="R108" i="135"/>
  <c r="T108" i="135" s="1"/>
  <c r="BN108" i="135"/>
  <c r="BO108" i="135" s="1"/>
  <c r="O108" i="135"/>
  <c r="BL108" i="135"/>
  <c r="BN105" i="17"/>
  <c r="BO105" i="17" s="1"/>
  <c r="AE105" i="17"/>
  <c r="AF105" i="17" s="1"/>
  <c r="Y105" i="17"/>
  <c r="Z105" i="17" s="1"/>
  <c r="AK105" i="17"/>
  <c r="AL105" i="17" s="1"/>
  <c r="AN105" i="17"/>
  <c r="AO105" i="17" s="1"/>
  <c r="AH105" i="17"/>
  <c r="AI105" i="17" s="1"/>
  <c r="AV105" i="17"/>
  <c r="AW105" i="17" s="1"/>
  <c r="M105" i="17"/>
  <c r="AB105" i="17"/>
  <c r="AC105" i="17" s="1"/>
  <c r="AT105" i="17"/>
  <c r="BG105" i="17"/>
  <c r="BH105" i="17" s="1"/>
  <c r="R105" i="17"/>
  <c r="T105" i="17" s="1"/>
  <c r="V105" i="17"/>
  <c r="W105" i="17" s="1"/>
  <c r="P105" i="17"/>
  <c r="AY105" i="17"/>
  <c r="BA105" i="17"/>
  <c r="BB105" i="17" s="1"/>
  <c r="O105" i="17"/>
  <c r="BL105" i="17"/>
  <c r="BQ105" i="17"/>
  <c r="BR105" i="17" s="1"/>
  <c r="AQ105" i="17"/>
  <c r="AR105" i="17" s="1"/>
  <c r="BD105" i="17"/>
  <c r="BE105" i="17" s="1"/>
  <c r="I113" i="114"/>
  <c r="I112" i="63"/>
  <c r="BK109" i="99" l="1"/>
  <c r="BQ109" i="99"/>
  <c r="BR109" i="99" s="1"/>
  <c r="AV109" i="99"/>
  <c r="AW109" i="99" s="1"/>
  <c r="K110" i="99"/>
  <c r="AE109" i="99"/>
  <c r="AF109" i="99" s="1"/>
  <c r="AQ109" i="99"/>
  <c r="AR109" i="99" s="1"/>
  <c r="BN109" i="99"/>
  <c r="BO109" i="99" s="1"/>
  <c r="AK109" i="99"/>
  <c r="AL109" i="99" s="1"/>
  <c r="O109" i="99"/>
  <c r="AN109" i="99"/>
  <c r="AO109" i="99" s="1"/>
  <c r="BD109" i="99"/>
  <c r="BE109" i="99" s="1"/>
  <c r="Y109" i="99"/>
  <c r="Z109" i="99" s="1"/>
  <c r="P109" i="99"/>
  <c r="AB109" i="99"/>
  <c r="AC109" i="99" s="1"/>
  <c r="M109" i="99"/>
  <c r="BJ109" i="99"/>
  <c r="BL109" i="99" s="1"/>
  <c r="R109" i="99"/>
  <c r="T109" i="99" s="1"/>
  <c r="AT109" i="99"/>
  <c r="AY109" i="99"/>
  <c r="AH109" i="99"/>
  <c r="AI109" i="99" s="1"/>
  <c r="BG109" i="99"/>
  <c r="BH109" i="99" s="1"/>
  <c r="BA109" i="99"/>
  <c r="BB109" i="99" s="1"/>
  <c r="V109" i="99"/>
  <c r="W109" i="99" s="1"/>
  <c r="Y109" i="132"/>
  <c r="Z109" i="132" s="1"/>
  <c r="O109" i="132"/>
  <c r="AB109" i="132"/>
  <c r="AC109" i="132" s="1"/>
  <c r="BL109" i="132"/>
  <c r="BN109" i="132"/>
  <c r="BO109" i="132" s="1"/>
  <c r="M109" i="132"/>
  <c r="AQ109" i="132"/>
  <c r="AR109" i="132" s="1"/>
  <c r="V109" i="132"/>
  <c r="W109" i="132" s="1"/>
  <c r="AH109" i="132"/>
  <c r="AI109" i="132" s="1"/>
  <c r="R109" i="132"/>
  <c r="T109" i="132" s="1"/>
  <c r="AV109" i="132"/>
  <c r="AW109" i="132" s="1"/>
  <c r="AT109" i="132"/>
  <c r="AK109" i="132"/>
  <c r="AL109" i="132" s="1"/>
  <c r="K110" i="132"/>
  <c r="BD109" i="132"/>
  <c r="BE109" i="132" s="1"/>
  <c r="AN109" i="132"/>
  <c r="AO109" i="132" s="1"/>
  <c r="BA109" i="132"/>
  <c r="BB109" i="132" s="1"/>
  <c r="AE109" i="132"/>
  <c r="AF109" i="132" s="1"/>
  <c r="P109" i="132"/>
  <c r="BQ109" i="132"/>
  <c r="BR109" i="132" s="1"/>
  <c r="BG109" i="132"/>
  <c r="BH109" i="132" s="1"/>
  <c r="AY109" i="132"/>
  <c r="BN111" i="107"/>
  <c r="BO111" i="107" s="1"/>
  <c r="R111" i="107"/>
  <c r="T111" i="107" s="1"/>
  <c r="P111" i="107"/>
  <c r="AN111" i="107"/>
  <c r="AO111" i="107" s="1"/>
  <c r="AQ111" i="107"/>
  <c r="AR111" i="107" s="1"/>
  <c r="AY111" i="107"/>
  <c r="Y111" i="107"/>
  <c r="Z111" i="107" s="1"/>
  <c r="AH111" i="107"/>
  <c r="AI111" i="107" s="1"/>
  <c r="AE111" i="107"/>
  <c r="AF111" i="107" s="1"/>
  <c r="AK111" i="107"/>
  <c r="AL111" i="107" s="1"/>
  <c r="BQ111" i="107"/>
  <c r="BR111" i="107" s="1"/>
  <c r="AB111" i="107"/>
  <c r="AC111" i="107" s="1"/>
  <c r="BJ111" i="107"/>
  <c r="BL111" i="107" s="1"/>
  <c r="BG111" i="107"/>
  <c r="BH111" i="107" s="1"/>
  <c r="V111" i="107"/>
  <c r="W111" i="107" s="1"/>
  <c r="BK111" i="107"/>
  <c r="BA111" i="107"/>
  <c r="BB111" i="107" s="1"/>
  <c r="BD111" i="107"/>
  <c r="BE111" i="107" s="1"/>
  <c r="O111" i="107"/>
  <c r="AV111" i="107"/>
  <c r="AW111" i="107" s="1"/>
  <c r="M111" i="107"/>
  <c r="AT111" i="107"/>
  <c r="I113" i="107"/>
  <c r="K112" i="107"/>
  <c r="BL106" i="95"/>
  <c r="AH106" i="95"/>
  <c r="AI106" i="95" s="1"/>
  <c r="P106" i="95"/>
  <c r="K107" i="95"/>
  <c r="BA106" i="95"/>
  <c r="BB106" i="95" s="1"/>
  <c r="V106" i="95"/>
  <c r="W106" i="95" s="1"/>
  <c r="AT106" i="95"/>
  <c r="O106" i="95"/>
  <c r="R106" i="95"/>
  <c r="T106" i="95" s="1"/>
  <c r="BG106" i="95"/>
  <c r="BH106" i="95" s="1"/>
  <c r="AQ106" i="95"/>
  <c r="AR106" i="95" s="1"/>
  <c r="Y106" i="95"/>
  <c r="Z106" i="95" s="1"/>
  <c r="AK106" i="95"/>
  <c r="AL106" i="95" s="1"/>
  <c r="BN106" i="95"/>
  <c r="BO106" i="95" s="1"/>
  <c r="AV106" i="95"/>
  <c r="AW106" i="95" s="1"/>
  <c r="AE106" i="95"/>
  <c r="AF106" i="95" s="1"/>
  <c r="BD106" i="95"/>
  <c r="BE106" i="95" s="1"/>
  <c r="M106" i="95"/>
  <c r="AN106" i="95"/>
  <c r="AO106" i="95" s="1"/>
  <c r="BQ106" i="95"/>
  <c r="BR106" i="95" s="1"/>
  <c r="AB106" i="95"/>
  <c r="AC106" i="95" s="1"/>
  <c r="I114" i="106"/>
  <c r="K109" i="129"/>
  <c r="BG108" i="129"/>
  <c r="BH108" i="129" s="1"/>
  <c r="O108" i="129"/>
  <c r="AH108" i="129"/>
  <c r="AI108" i="129" s="1"/>
  <c r="BN108" i="129"/>
  <c r="BO108" i="129" s="1"/>
  <c r="AV108" i="129"/>
  <c r="AW108" i="129" s="1"/>
  <c r="AQ108" i="129"/>
  <c r="AR108" i="129" s="1"/>
  <c r="BA108" i="129"/>
  <c r="BB108" i="129" s="1"/>
  <c r="AK108" i="129"/>
  <c r="AL108" i="129" s="1"/>
  <c r="Y108" i="129"/>
  <c r="Z108" i="129" s="1"/>
  <c r="AN108" i="129"/>
  <c r="AO108" i="129" s="1"/>
  <c r="BL108" i="129"/>
  <c r="AT108" i="129"/>
  <c r="AY108" i="129"/>
  <c r="AE108" i="129"/>
  <c r="AF108" i="129" s="1"/>
  <c r="P108" i="129"/>
  <c r="AB108" i="129"/>
  <c r="AC108" i="129" s="1"/>
  <c r="R108" i="129"/>
  <c r="T108" i="129" s="1"/>
  <c r="M108" i="129"/>
  <c r="BQ108" i="129"/>
  <c r="BR108" i="129" s="1"/>
  <c r="BD108" i="129"/>
  <c r="BE108" i="129" s="1"/>
  <c r="V108" i="129"/>
  <c r="W108" i="129" s="1"/>
  <c r="AE112" i="156"/>
  <c r="AF112" i="156" s="1"/>
  <c r="BQ112" i="156"/>
  <c r="BR112" i="156" s="1"/>
  <c r="V112" i="156"/>
  <c r="W112" i="156" s="1"/>
  <c r="P112" i="156"/>
  <c r="AK112" i="156"/>
  <c r="AL112" i="156" s="1"/>
  <c r="AH112" i="156"/>
  <c r="AI112" i="156" s="1"/>
  <c r="AB112" i="156"/>
  <c r="AC112" i="156" s="1"/>
  <c r="AV112" i="156"/>
  <c r="AW112" i="156" s="1"/>
  <c r="AQ112" i="156"/>
  <c r="AR112" i="156" s="1"/>
  <c r="BG112" i="156"/>
  <c r="BH112" i="156" s="1"/>
  <c r="BL112" i="156"/>
  <c r="BN112" i="156"/>
  <c r="BO112" i="156" s="1"/>
  <c r="BD112" i="156"/>
  <c r="BE112" i="156" s="1"/>
  <c r="O112" i="156"/>
  <c r="R112" i="156"/>
  <c r="T112" i="156" s="1"/>
  <c r="M112" i="156"/>
  <c r="AN112" i="156"/>
  <c r="AO112" i="156" s="1"/>
  <c r="Y112" i="156"/>
  <c r="Z112" i="156" s="1"/>
  <c r="BA112" i="156"/>
  <c r="BB112" i="156" s="1"/>
  <c r="BJ107" i="106"/>
  <c r="BL107" i="106" s="1"/>
  <c r="V107" i="106"/>
  <c r="W107" i="106" s="1"/>
  <c r="BG107" i="106"/>
  <c r="BH107" i="106" s="1"/>
  <c r="AH107" i="106"/>
  <c r="AI107" i="106" s="1"/>
  <c r="Y107" i="106"/>
  <c r="Z107" i="106" s="1"/>
  <c r="R107" i="106"/>
  <c r="T107" i="106" s="1"/>
  <c r="AB107" i="106"/>
  <c r="AC107" i="106" s="1"/>
  <c r="AK107" i="106"/>
  <c r="AL107" i="106" s="1"/>
  <c r="M107" i="106"/>
  <c r="BQ107" i="106"/>
  <c r="BR107" i="106" s="1"/>
  <c r="BD107" i="106"/>
  <c r="BE107" i="106" s="1"/>
  <c r="O107" i="106"/>
  <c r="AV107" i="106"/>
  <c r="AW107" i="106" s="1"/>
  <c r="AN107" i="106"/>
  <c r="AO107" i="106" s="1"/>
  <c r="BN107" i="106"/>
  <c r="BO107" i="106" s="1"/>
  <c r="P107" i="106"/>
  <c r="AT107" i="106"/>
  <c r="BA107" i="106"/>
  <c r="BB107" i="106" s="1"/>
  <c r="BK107" i="106"/>
  <c r="AQ107" i="106"/>
  <c r="AR107" i="106" s="1"/>
  <c r="AE107" i="106"/>
  <c r="AF107" i="106" s="1"/>
  <c r="AY107" i="106"/>
  <c r="K108" i="106"/>
  <c r="BJ107" i="104"/>
  <c r="BL107" i="104" s="1"/>
  <c r="O107" i="104"/>
  <c r="Y107" i="104"/>
  <c r="Z107" i="104" s="1"/>
  <c r="AK107" i="104"/>
  <c r="AL107" i="104" s="1"/>
  <c r="M107" i="104"/>
  <c r="BA107" i="104"/>
  <c r="BB107" i="104" s="1"/>
  <c r="AY107" i="104"/>
  <c r="AH107" i="104"/>
  <c r="AI107" i="104" s="1"/>
  <c r="BK107" i="104"/>
  <c r="AT107" i="104"/>
  <c r="AE107" i="104"/>
  <c r="AF107" i="104" s="1"/>
  <c r="AB107" i="104"/>
  <c r="AC107" i="104" s="1"/>
  <c r="K108" i="104"/>
  <c r="BN107" i="104"/>
  <c r="BO107" i="104" s="1"/>
  <c r="BQ107" i="104"/>
  <c r="BR107" i="104" s="1"/>
  <c r="BG107" i="104"/>
  <c r="BH107" i="104" s="1"/>
  <c r="V107" i="104"/>
  <c r="W107" i="104" s="1"/>
  <c r="AV107" i="104"/>
  <c r="AW107" i="104" s="1"/>
  <c r="AN107" i="104"/>
  <c r="AO107" i="104" s="1"/>
  <c r="AQ107" i="104"/>
  <c r="AR107" i="104" s="1"/>
  <c r="R107" i="104"/>
  <c r="T107" i="104" s="1"/>
  <c r="P107" i="104"/>
  <c r="BD107" i="104"/>
  <c r="BE107" i="104" s="1"/>
  <c r="I114" i="156"/>
  <c r="K113" i="156"/>
  <c r="AY113" i="156" s="1"/>
  <c r="BK107" i="112"/>
  <c r="M107" i="112"/>
  <c r="K108" i="112"/>
  <c r="Y107" i="112"/>
  <c r="Z107" i="112" s="1"/>
  <c r="BJ107" i="112"/>
  <c r="BL107" i="112" s="1"/>
  <c r="AE107" i="112"/>
  <c r="AF107" i="112" s="1"/>
  <c r="BN107" i="112"/>
  <c r="BO107" i="112" s="1"/>
  <c r="AT107" i="112"/>
  <c r="BG107" i="112"/>
  <c r="BH107" i="112" s="1"/>
  <c r="BD107" i="112"/>
  <c r="BE107" i="112" s="1"/>
  <c r="V107" i="112"/>
  <c r="W107" i="112" s="1"/>
  <c r="R107" i="112"/>
  <c r="T107" i="112" s="1"/>
  <c r="AQ107" i="112"/>
  <c r="AR107" i="112" s="1"/>
  <c r="AN107" i="112"/>
  <c r="AO107" i="112" s="1"/>
  <c r="BQ107" i="112"/>
  <c r="BR107" i="112" s="1"/>
  <c r="AK107" i="112"/>
  <c r="AL107" i="112" s="1"/>
  <c r="AH107" i="112"/>
  <c r="AI107" i="112" s="1"/>
  <c r="O107" i="112"/>
  <c r="BA107" i="112"/>
  <c r="BB107" i="112" s="1"/>
  <c r="AV107" i="112"/>
  <c r="AW107" i="112" s="1"/>
  <c r="P107" i="112"/>
  <c r="AY107" i="112"/>
  <c r="AB107" i="112"/>
  <c r="AC107" i="112" s="1"/>
  <c r="M110" i="133"/>
  <c r="BA110" i="133"/>
  <c r="BB110" i="133" s="1"/>
  <c r="Y110" i="133"/>
  <c r="Z110" i="133" s="1"/>
  <c r="K111" i="133"/>
  <c r="V110" i="133"/>
  <c r="W110" i="133" s="1"/>
  <c r="AB110" i="133"/>
  <c r="AC110" i="133" s="1"/>
  <c r="AV110" i="133"/>
  <c r="AW110" i="133" s="1"/>
  <c r="P110" i="133"/>
  <c r="AK110" i="133"/>
  <c r="AL110" i="133" s="1"/>
  <c r="AY110" i="133"/>
  <c r="BN110" i="133"/>
  <c r="BO110" i="133" s="1"/>
  <c r="O110" i="133"/>
  <c r="R110" i="133"/>
  <c r="T110" i="133" s="1"/>
  <c r="BG110" i="133"/>
  <c r="BH110" i="133" s="1"/>
  <c r="AQ110" i="133"/>
  <c r="AR110" i="133" s="1"/>
  <c r="BD110" i="133"/>
  <c r="BE110" i="133" s="1"/>
  <c r="AH110" i="133"/>
  <c r="AI110" i="133" s="1"/>
  <c r="BQ110" i="133"/>
  <c r="BR110" i="133" s="1"/>
  <c r="BL110" i="133"/>
  <c r="AE110" i="133"/>
  <c r="AF110" i="133" s="1"/>
  <c r="AT110" i="133"/>
  <c r="AN110" i="133"/>
  <c r="AO110" i="133" s="1"/>
  <c r="K114" i="155"/>
  <c r="BL108" i="130"/>
  <c r="K109" i="130"/>
  <c r="BN108" i="130"/>
  <c r="BO108" i="130" s="1"/>
  <c r="M108" i="130"/>
  <c r="BG108" i="130"/>
  <c r="BH108" i="130" s="1"/>
  <c r="P108" i="130"/>
  <c r="Y108" i="130"/>
  <c r="Z108" i="130" s="1"/>
  <c r="AT108" i="130"/>
  <c r="BD108" i="130"/>
  <c r="BE108" i="130" s="1"/>
  <c r="AQ108" i="130"/>
  <c r="AR108" i="130" s="1"/>
  <c r="V108" i="130"/>
  <c r="W108" i="130" s="1"/>
  <c r="AV108" i="130"/>
  <c r="AW108" i="130" s="1"/>
  <c r="AN108" i="130"/>
  <c r="AO108" i="130" s="1"/>
  <c r="BQ108" i="130"/>
  <c r="BR108" i="130" s="1"/>
  <c r="BA108" i="130"/>
  <c r="BB108" i="130" s="1"/>
  <c r="O108" i="130"/>
  <c r="AY108" i="130"/>
  <c r="AB108" i="130"/>
  <c r="AC108" i="130" s="1"/>
  <c r="AH108" i="130"/>
  <c r="AI108" i="130" s="1"/>
  <c r="R108" i="130"/>
  <c r="T108" i="130" s="1"/>
  <c r="AE108" i="130"/>
  <c r="AF108" i="130" s="1"/>
  <c r="AK108" i="130"/>
  <c r="AL108" i="130" s="1"/>
  <c r="O113" i="155"/>
  <c r="V113" i="155"/>
  <c r="W113" i="155" s="1"/>
  <c r="AB113" i="155"/>
  <c r="AC113" i="155" s="1"/>
  <c r="AH113" i="155"/>
  <c r="AI113" i="155" s="1"/>
  <c r="AN113" i="155"/>
  <c r="AO113" i="155" s="1"/>
  <c r="BA113" i="155"/>
  <c r="BB113" i="155" s="1"/>
  <c r="BG113" i="155"/>
  <c r="BH113" i="155" s="1"/>
  <c r="BL113" i="155"/>
  <c r="P113" i="155"/>
  <c r="AV113" i="155"/>
  <c r="AW113" i="155" s="1"/>
  <c r="BN113" i="155"/>
  <c r="BO113" i="155" s="1"/>
  <c r="R113" i="155"/>
  <c r="T113" i="155" s="1"/>
  <c r="Y113" i="155"/>
  <c r="Z113" i="155" s="1"/>
  <c r="AE113" i="155"/>
  <c r="AF113" i="155" s="1"/>
  <c r="AK113" i="155"/>
  <c r="AL113" i="155" s="1"/>
  <c r="AQ113" i="155"/>
  <c r="AR113" i="155" s="1"/>
  <c r="BD113" i="155"/>
  <c r="BE113" i="155" s="1"/>
  <c r="M113" i="155"/>
  <c r="BQ113" i="155"/>
  <c r="BR113" i="155" s="1"/>
  <c r="O114" i="155"/>
  <c r="V114" i="155"/>
  <c r="W114" i="155" s="1"/>
  <c r="AB114" i="155"/>
  <c r="AC114" i="155" s="1"/>
  <c r="AH114" i="155"/>
  <c r="AI114" i="155" s="1"/>
  <c r="AN114" i="155"/>
  <c r="AO114" i="155" s="1"/>
  <c r="BA114" i="155"/>
  <c r="BB114" i="155" s="1"/>
  <c r="BG114" i="155"/>
  <c r="BH114" i="155" s="1"/>
  <c r="BL114" i="155"/>
  <c r="P114" i="155"/>
  <c r="AV114" i="155"/>
  <c r="AW114" i="155" s="1"/>
  <c r="BN114" i="155"/>
  <c r="BO114" i="155" s="1"/>
  <c r="R114" i="155"/>
  <c r="T114" i="155" s="1"/>
  <c r="Y114" i="155"/>
  <c r="Z114" i="155" s="1"/>
  <c r="AE114" i="155"/>
  <c r="AF114" i="155" s="1"/>
  <c r="AK114" i="155"/>
  <c r="AL114" i="155" s="1"/>
  <c r="AQ114" i="155"/>
  <c r="AR114" i="155" s="1"/>
  <c r="BD114" i="155"/>
  <c r="BE114" i="155" s="1"/>
  <c r="M114" i="155"/>
  <c r="BQ114" i="155"/>
  <c r="BR114" i="155" s="1"/>
  <c r="M113" i="153"/>
  <c r="BQ113" i="153"/>
  <c r="BR113" i="153" s="1"/>
  <c r="O113" i="153"/>
  <c r="V113" i="153"/>
  <c r="W113" i="153" s="1"/>
  <c r="AB113" i="153"/>
  <c r="AC113" i="153" s="1"/>
  <c r="AH113" i="153"/>
  <c r="AI113" i="153" s="1"/>
  <c r="AN113" i="153"/>
  <c r="AO113" i="153" s="1"/>
  <c r="BA113" i="153"/>
  <c r="BB113" i="153" s="1"/>
  <c r="BG113" i="153"/>
  <c r="BH113" i="153" s="1"/>
  <c r="P113" i="153"/>
  <c r="AV113" i="153"/>
  <c r="AW113" i="153" s="1"/>
  <c r="BN113" i="153"/>
  <c r="BO113" i="153" s="1"/>
  <c r="AE113" i="153"/>
  <c r="AF113" i="153" s="1"/>
  <c r="BD113" i="153"/>
  <c r="BE113" i="153" s="1"/>
  <c r="AK113" i="153"/>
  <c r="AL113" i="153" s="1"/>
  <c r="R113" i="153"/>
  <c r="T113" i="153" s="1"/>
  <c r="AQ113" i="153"/>
  <c r="AR113" i="153" s="1"/>
  <c r="Y113" i="153"/>
  <c r="Z113" i="153" s="1"/>
  <c r="BL113" i="153"/>
  <c r="K114" i="153"/>
  <c r="R113" i="152"/>
  <c r="T113" i="152" s="1"/>
  <c r="Y113" i="152"/>
  <c r="Z113" i="152" s="1"/>
  <c r="AE113" i="152"/>
  <c r="AF113" i="152" s="1"/>
  <c r="AK113" i="152"/>
  <c r="AL113" i="152" s="1"/>
  <c r="AQ113" i="152"/>
  <c r="AR113" i="152" s="1"/>
  <c r="BD113" i="152"/>
  <c r="BE113" i="152" s="1"/>
  <c r="M113" i="152"/>
  <c r="BQ113" i="152"/>
  <c r="BR113" i="152" s="1"/>
  <c r="O113" i="152"/>
  <c r="V113" i="152"/>
  <c r="W113" i="152" s="1"/>
  <c r="AB113" i="152"/>
  <c r="AC113" i="152" s="1"/>
  <c r="AH113" i="152"/>
  <c r="AI113" i="152" s="1"/>
  <c r="AN113" i="152"/>
  <c r="AO113" i="152" s="1"/>
  <c r="BA113" i="152"/>
  <c r="BB113" i="152" s="1"/>
  <c r="BG113" i="152"/>
  <c r="BH113" i="152" s="1"/>
  <c r="P113" i="152"/>
  <c r="AV113" i="152"/>
  <c r="AW113" i="152" s="1"/>
  <c r="BN113" i="152"/>
  <c r="BO113" i="152" s="1"/>
  <c r="BL113" i="152"/>
  <c r="K114" i="152"/>
  <c r="AT114" i="152" s="1"/>
  <c r="K112" i="151"/>
  <c r="I113" i="151"/>
  <c r="BQ111" i="151"/>
  <c r="BR111" i="151" s="1"/>
  <c r="AY111" i="151"/>
  <c r="AT111" i="151"/>
  <c r="AK111" i="151"/>
  <c r="AL111" i="151" s="1"/>
  <c r="V111" i="151"/>
  <c r="W111" i="151" s="1"/>
  <c r="BG111" i="151"/>
  <c r="BH111" i="151" s="1"/>
  <c r="AH111" i="151"/>
  <c r="AI111" i="151" s="1"/>
  <c r="Y111" i="151"/>
  <c r="Z111" i="151" s="1"/>
  <c r="P111" i="151"/>
  <c r="BD111" i="151"/>
  <c r="BE111" i="151" s="1"/>
  <c r="AN111" i="151"/>
  <c r="AO111" i="151" s="1"/>
  <c r="BA111" i="151"/>
  <c r="BB111" i="151" s="1"/>
  <c r="R111" i="151"/>
  <c r="T111" i="151" s="1"/>
  <c r="AV111" i="151"/>
  <c r="AW111" i="151" s="1"/>
  <c r="AE111" i="151"/>
  <c r="AF111" i="151" s="1"/>
  <c r="O111" i="151"/>
  <c r="AQ111" i="151"/>
  <c r="AR111" i="151" s="1"/>
  <c r="AB111" i="151"/>
  <c r="AC111" i="151" s="1"/>
  <c r="M111" i="151"/>
  <c r="BN111" i="151"/>
  <c r="BO111" i="151" s="1"/>
  <c r="BL111" i="151"/>
  <c r="I114" i="150"/>
  <c r="AV110" i="150"/>
  <c r="AW110" i="150" s="1"/>
  <c r="P110" i="150"/>
  <c r="BG110" i="150"/>
  <c r="BH110" i="150" s="1"/>
  <c r="BA110" i="150"/>
  <c r="BB110" i="150" s="1"/>
  <c r="AT110" i="150"/>
  <c r="AN110" i="150"/>
  <c r="AO110" i="150" s="1"/>
  <c r="AH110" i="150"/>
  <c r="AI110" i="150" s="1"/>
  <c r="AB110" i="150"/>
  <c r="AC110" i="150" s="1"/>
  <c r="V110" i="150"/>
  <c r="W110" i="150" s="1"/>
  <c r="O110" i="150"/>
  <c r="AY110" i="150"/>
  <c r="AK110" i="150"/>
  <c r="AL110" i="150" s="1"/>
  <c r="Y110" i="150"/>
  <c r="Z110" i="150" s="1"/>
  <c r="BQ110" i="150"/>
  <c r="BR110" i="150" s="1"/>
  <c r="R110" i="150"/>
  <c r="T110" i="150" s="1"/>
  <c r="BD110" i="150"/>
  <c r="BE110" i="150" s="1"/>
  <c r="AQ110" i="150"/>
  <c r="AR110" i="150" s="1"/>
  <c r="AE110" i="150"/>
  <c r="AF110" i="150" s="1"/>
  <c r="BN110" i="150"/>
  <c r="BO110" i="150" s="1"/>
  <c r="M110" i="150"/>
  <c r="BL110" i="150"/>
  <c r="K111" i="150"/>
  <c r="BG112" i="149"/>
  <c r="BH112" i="149" s="1"/>
  <c r="BA112" i="149"/>
  <c r="BB112" i="149" s="1"/>
  <c r="AT112" i="149"/>
  <c r="AN112" i="149"/>
  <c r="AO112" i="149" s="1"/>
  <c r="AH112" i="149"/>
  <c r="AI112" i="149" s="1"/>
  <c r="AB112" i="149"/>
  <c r="AC112" i="149" s="1"/>
  <c r="V112" i="149"/>
  <c r="W112" i="149" s="1"/>
  <c r="O112" i="149"/>
  <c r="BQ112" i="149"/>
  <c r="BR112" i="149" s="1"/>
  <c r="AY112" i="149"/>
  <c r="BD112" i="149"/>
  <c r="BE112" i="149" s="1"/>
  <c r="AQ112" i="149"/>
  <c r="AR112" i="149" s="1"/>
  <c r="AE112" i="149"/>
  <c r="AF112" i="149" s="1"/>
  <c r="R112" i="149"/>
  <c r="T112" i="149" s="1"/>
  <c r="Y112" i="149"/>
  <c r="Z112" i="149" s="1"/>
  <c r="P112" i="149"/>
  <c r="AV112" i="149"/>
  <c r="AW112" i="149" s="1"/>
  <c r="AK112" i="149"/>
  <c r="AL112" i="149" s="1"/>
  <c r="M112" i="149"/>
  <c r="BN112" i="149"/>
  <c r="BO112" i="149" s="1"/>
  <c r="BL112" i="149"/>
  <c r="K113" i="149"/>
  <c r="I114" i="149"/>
  <c r="BG111" i="147"/>
  <c r="BH111" i="147" s="1"/>
  <c r="BA111" i="147"/>
  <c r="BB111" i="147" s="1"/>
  <c r="AT111" i="147"/>
  <c r="AN111" i="147"/>
  <c r="AO111" i="147" s="1"/>
  <c r="AH111" i="147"/>
  <c r="AI111" i="147" s="1"/>
  <c r="AB111" i="147"/>
  <c r="AC111" i="147" s="1"/>
  <c r="V111" i="147"/>
  <c r="W111" i="147" s="1"/>
  <c r="O111" i="147"/>
  <c r="BQ111" i="147"/>
  <c r="BR111" i="147" s="1"/>
  <c r="AY111" i="147"/>
  <c r="AK111" i="147"/>
  <c r="AL111" i="147" s="1"/>
  <c r="Y111" i="147"/>
  <c r="Z111" i="147" s="1"/>
  <c r="AV111" i="147"/>
  <c r="AW111" i="147" s="1"/>
  <c r="BD111" i="147"/>
  <c r="BE111" i="147" s="1"/>
  <c r="AQ111" i="147"/>
  <c r="AR111" i="147" s="1"/>
  <c r="AE111" i="147"/>
  <c r="AF111" i="147" s="1"/>
  <c r="R111" i="147"/>
  <c r="T111" i="147" s="1"/>
  <c r="P111" i="147"/>
  <c r="BN111" i="147"/>
  <c r="BO111" i="147" s="1"/>
  <c r="BJ111" i="147"/>
  <c r="BL111" i="147" s="1"/>
  <c r="M111" i="147"/>
  <c r="BK111" i="147"/>
  <c r="K112" i="147"/>
  <c r="I113" i="147"/>
  <c r="AV110" i="146"/>
  <c r="AW110" i="146" s="1"/>
  <c r="P110" i="146"/>
  <c r="BG110" i="146"/>
  <c r="BH110" i="146" s="1"/>
  <c r="BA110" i="146"/>
  <c r="BB110" i="146" s="1"/>
  <c r="AT110" i="146"/>
  <c r="AN110" i="146"/>
  <c r="AO110" i="146" s="1"/>
  <c r="AH110" i="146"/>
  <c r="AI110" i="146" s="1"/>
  <c r="AB110" i="146"/>
  <c r="AC110" i="146" s="1"/>
  <c r="V110" i="146"/>
  <c r="W110" i="146" s="1"/>
  <c r="O110" i="146"/>
  <c r="AK110" i="146"/>
  <c r="AL110" i="146" s="1"/>
  <c r="Y110" i="146"/>
  <c r="Z110" i="146" s="1"/>
  <c r="BQ110" i="146"/>
  <c r="BR110" i="146" s="1"/>
  <c r="BD110" i="146"/>
  <c r="BE110" i="146" s="1"/>
  <c r="AQ110" i="146"/>
  <c r="AR110" i="146" s="1"/>
  <c r="AE110" i="146"/>
  <c r="AF110" i="146" s="1"/>
  <c r="R110" i="146"/>
  <c r="T110" i="146" s="1"/>
  <c r="AY110" i="146"/>
  <c r="BK110" i="146"/>
  <c r="M110" i="146"/>
  <c r="BN110" i="146"/>
  <c r="BO110" i="146" s="1"/>
  <c r="BJ110" i="146"/>
  <c r="BL110" i="146" s="1"/>
  <c r="I112" i="146"/>
  <c r="K111" i="146"/>
  <c r="I109" i="101"/>
  <c r="K108" i="101"/>
  <c r="M107" i="118"/>
  <c r="BD107" i="118"/>
  <c r="BE107" i="118" s="1"/>
  <c r="K108" i="118"/>
  <c r="BN107" i="118"/>
  <c r="BO107" i="118" s="1"/>
  <c r="P107" i="118"/>
  <c r="O107" i="118"/>
  <c r="AH107" i="118"/>
  <c r="AI107" i="118" s="1"/>
  <c r="AY107" i="118"/>
  <c r="AQ107" i="118"/>
  <c r="AR107" i="118" s="1"/>
  <c r="BG107" i="118"/>
  <c r="BH107" i="118" s="1"/>
  <c r="AE107" i="118"/>
  <c r="AF107" i="118" s="1"/>
  <c r="Y107" i="118"/>
  <c r="Z107" i="118" s="1"/>
  <c r="AV107" i="118"/>
  <c r="AW107" i="118" s="1"/>
  <c r="AB107" i="118"/>
  <c r="AC107" i="118" s="1"/>
  <c r="BQ107" i="118"/>
  <c r="BR107" i="118" s="1"/>
  <c r="V107" i="118"/>
  <c r="W107" i="118" s="1"/>
  <c r="AT107" i="118"/>
  <c r="BA107" i="118"/>
  <c r="BB107" i="118" s="1"/>
  <c r="R107" i="118"/>
  <c r="T107" i="118" s="1"/>
  <c r="AN107" i="118"/>
  <c r="AO107" i="118" s="1"/>
  <c r="AK107" i="118"/>
  <c r="AL107" i="118" s="1"/>
  <c r="I112" i="15"/>
  <c r="M106" i="13"/>
  <c r="BN106" i="13"/>
  <c r="BO106" i="13" s="1"/>
  <c r="BL106" i="13"/>
  <c r="V106" i="13"/>
  <c r="W106" i="13" s="1"/>
  <c r="BQ106" i="13"/>
  <c r="BR106" i="13" s="1"/>
  <c r="BA106" i="13"/>
  <c r="BB106" i="13" s="1"/>
  <c r="O106" i="13"/>
  <c r="AK106" i="13"/>
  <c r="AL106" i="13" s="1"/>
  <c r="AV106" i="13"/>
  <c r="AW106" i="13" s="1"/>
  <c r="BD106" i="13"/>
  <c r="BE106" i="13" s="1"/>
  <c r="BG106" i="13"/>
  <c r="BH106" i="13" s="1"/>
  <c r="AE106" i="13"/>
  <c r="AF106" i="13" s="1"/>
  <c r="AN106" i="13"/>
  <c r="AO106" i="13" s="1"/>
  <c r="P106" i="13"/>
  <c r="AY106" i="13"/>
  <c r="AH106" i="13"/>
  <c r="AI106" i="13" s="1"/>
  <c r="AQ106" i="13"/>
  <c r="AR106" i="13" s="1"/>
  <c r="Y106" i="13"/>
  <c r="Z106" i="13" s="1"/>
  <c r="AB106" i="13"/>
  <c r="AC106" i="13" s="1"/>
  <c r="R106" i="13"/>
  <c r="T106" i="13" s="1"/>
  <c r="AT106" i="13"/>
  <c r="I113" i="63"/>
  <c r="BK108" i="110"/>
  <c r="BJ108" i="110"/>
  <c r="BL108" i="110" s="1"/>
  <c r="M108" i="110"/>
  <c r="BN108" i="110"/>
  <c r="BO108" i="110" s="1"/>
  <c r="AV108" i="110"/>
  <c r="AW108" i="110" s="1"/>
  <c r="O108" i="110"/>
  <c r="AN108" i="110"/>
  <c r="AO108" i="110" s="1"/>
  <c r="AT108" i="110"/>
  <c r="R108" i="110"/>
  <c r="T108" i="110" s="1"/>
  <c r="BA108" i="110"/>
  <c r="BB108" i="110" s="1"/>
  <c r="AB108" i="110"/>
  <c r="AC108" i="110" s="1"/>
  <c r="AQ108" i="110"/>
  <c r="AR108" i="110" s="1"/>
  <c r="BQ108" i="110"/>
  <c r="BR108" i="110" s="1"/>
  <c r="AY108" i="110"/>
  <c r="BG108" i="110"/>
  <c r="BH108" i="110" s="1"/>
  <c r="AH108" i="110"/>
  <c r="AI108" i="110" s="1"/>
  <c r="V108" i="110"/>
  <c r="W108" i="110" s="1"/>
  <c r="P108" i="110"/>
  <c r="AK108" i="110"/>
  <c r="AL108" i="110" s="1"/>
  <c r="AE108" i="110"/>
  <c r="AF108" i="110" s="1"/>
  <c r="BD108" i="110"/>
  <c r="BE108" i="110" s="1"/>
  <c r="Y108" i="110"/>
  <c r="Z108" i="110" s="1"/>
  <c r="BN112" i="124"/>
  <c r="BO112" i="124" s="1"/>
  <c r="M112" i="124"/>
  <c r="BK112" i="124"/>
  <c r="BJ112" i="124"/>
  <c r="BL112" i="124" s="1"/>
  <c r="K113" i="124"/>
  <c r="Y112" i="124"/>
  <c r="Z112" i="124" s="1"/>
  <c r="AH112" i="124"/>
  <c r="AI112" i="124" s="1"/>
  <c r="AV112" i="124"/>
  <c r="AW112" i="124" s="1"/>
  <c r="P112" i="124"/>
  <c r="AE112" i="124"/>
  <c r="AF112" i="124" s="1"/>
  <c r="BG112" i="124"/>
  <c r="BH112" i="124" s="1"/>
  <c r="BQ112" i="124"/>
  <c r="BR112" i="124" s="1"/>
  <c r="O112" i="124"/>
  <c r="V112" i="124"/>
  <c r="W112" i="124" s="1"/>
  <c r="BA112" i="124"/>
  <c r="BB112" i="124" s="1"/>
  <c r="AT112" i="124"/>
  <c r="BD112" i="124"/>
  <c r="BE112" i="124" s="1"/>
  <c r="AN112" i="124"/>
  <c r="AO112" i="124" s="1"/>
  <c r="AB112" i="124"/>
  <c r="AC112" i="124" s="1"/>
  <c r="R112" i="124"/>
  <c r="T112" i="124" s="1"/>
  <c r="AY112" i="124"/>
  <c r="AK112" i="124"/>
  <c r="AL112" i="124" s="1"/>
  <c r="AQ112" i="124"/>
  <c r="AR112" i="124" s="1"/>
  <c r="I108" i="66"/>
  <c r="K107" i="66"/>
  <c r="AB108" i="98"/>
  <c r="AC108" i="98" s="1"/>
  <c r="BA108" i="98"/>
  <c r="BB108" i="98" s="1"/>
  <c r="P108" i="98"/>
  <c r="AQ108" i="98"/>
  <c r="AR108" i="98" s="1"/>
  <c r="AY108" i="98"/>
  <c r="BN108" i="98"/>
  <c r="BO108" i="98" s="1"/>
  <c r="V108" i="98"/>
  <c r="W108" i="98" s="1"/>
  <c r="Y108" i="98"/>
  <c r="Z108" i="98" s="1"/>
  <c r="BK108" i="98"/>
  <c r="M108" i="98"/>
  <c r="AT108" i="98"/>
  <c r="AH108" i="98"/>
  <c r="AI108" i="98" s="1"/>
  <c r="AN108" i="98"/>
  <c r="AO108" i="98" s="1"/>
  <c r="BQ108" i="98"/>
  <c r="BR108" i="98" s="1"/>
  <c r="K109" i="98"/>
  <c r="AE108" i="98"/>
  <c r="AF108" i="98" s="1"/>
  <c r="BD108" i="98"/>
  <c r="BE108" i="98" s="1"/>
  <c r="O108" i="98"/>
  <c r="R108" i="98"/>
  <c r="T108" i="98" s="1"/>
  <c r="AV108" i="98"/>
  <c r="AW108" i="98" s="1"/>
  <c r="BJ108" i="98"/>
  <c r="BL108" i="98" s="1"/>
  <c r="BG108" i="98"/>
  <c r="BH108" i="98" s="1"/>
  <c r="AK108" i="98"/>
  <c r="AL108" i="98" s="1"/>
  <c r="I114" i="64"/>
  <c r="M108" i="114"/>
  <c r="BJ108" i="114"/>
  <c r="BL108" i="114" s="1"/>
  <c r="BK108" i="114"/>
  <c r="BN108" i="114"/>
  <c r="BO108" i="114" s="1"/>
  <c r="BA108" i="114"/>
  <c r="BB108" i="114" s="1"/>
  <c r="Y108" i="114"/>
  <c r="Z108" i="114" s="1"/>
  <c r="AN108" i="114"/>
  <c r="AO108" i="114" s="1"/>
  <c r="BD108" i="114"/>
  <c r="BE108" i="114" s="1"/>
  <c r="P108" i="114"/>
  <c r="V108" i="114"/>
  <c r="W108" i="114" s="1"/>
  <c r="AH108" i="114"/>
  <c r="AI108" i="114" s="1"/>
  <c r="R108" i="114"/>
  <c r="T108" i="114" s="1"/>
  <c r="AV108" i="114"/>
  <c r="AW108" i="114" s="1"/>
  <c r="BG108" i="114"/>
  <c r="BH108" i="114" s="1"/>
  <c r="AE108" i="114"/>
  <c r="AF108" i="114" s="1"/>
  <c r="BQ108" i="114"/>
  <c r="BR108" i="114" s="1"/>
  <c r="O108" i="114"/>
  <c r="AT108" i="114"/>
  <c r="AK108" i="114"/>
  <c r="AL108" i="114" s="1"/>
  <c r="AY108" i="114"/>
  <c r="AB108" i="114"/>
  <c r="AC108" i="114" s="1"/>
  <c r="AQ108" i="114"/>
  <c r="AR108" i="114" s="1"/>
  <c r="K109" i="114"/>
  <c r="M110" i="105"/>
  <c r="BK110" i="105"/>
  <c r="AQ110" i="105"/>
  <c r="AR110" i="105" s="1"/>
  <c r="AH110" i="105"/>
  <c r="AI110" i="105" s="1"/>
  <c r="BA110" i="105"/>
  <c r="BB110" i="105" s="1"/>
  <c r="AB110" i="105"/>
  <c r="AC110" i="105" s="1"/>
  <c r="BN110" i="105"/>
  <c r="BO110" i="105" s="1"/>
  <c r="O110" i="105"/>
  <c r="R110" i="105"/>
  <c r="T110" i="105" s="1"/>
  <c r="V110" i="105"/>
  <c r="W110" i="105" s="1"/>
  <c r="P110" i="105"/>
  <c r="AE110" i="105"/>
  <c r="AF110" i="105" s="1"/>
  <c r="BJ110" i="105"/>
  <c r="BL110" i="105" s="1"/>
  <c r="AY110" i="105"/>
  <c r="AK110" i="105"/>
  <c r="AL110" i="105" s="1"/>
  <c r="BD110" i="105"/>
  <c r="BE110" i="105" s="1"/>
  <c r="BG110" i="105"/>
  <c r="BH110" i="105" s="1"/>
  <c r="AV110" i="105"/>
  <c r="AW110" i="105" s="1"/>
  <c r="Y110" i="105"/>
  <c r="Z110" i="105" s="1"/>
  <c r="BQ110" i="105"/>
  <c r="BR110" i="105" s="1"/>
  <c r="AT110" i="105"/>
  <c r="AN110" i="105"/>
  <c r="AO110" i="105" s="1"/>
  <c r="K111" i="105"/>
  <c r="BN109" i="135"/>
  <c r="BO109" i="135" s="1"/>
  <c r="AE109" i="135"/>
  <c r="AF109" i="135" s="1"/>
  <c r="R109" i="135"/>
  <c r="T109" i="135" s="1"/>
  <c r="AN109" i="135"/>
  <c r="AO109" i="135" s="1"/>
  <c r="AV109" i="135"/>
  <c r="AW109" i="135" s="1"/>
  <c r="AY109" i="135"/>
  <c r="BG109" i="135"/>
  <c r="BH109" i="135" s="1"/>
  <c r="P109" i="135"/>
  <c r="BQ109" i="135"/>
  <c r="BR109" i="135" s="1"/>
  <c r="M109" i="135"/>
  <c r="AB109" i="135"/>
  <c r="AC109" i="135" s="1"/>
  <c r="BD109" i="135"/>
  <c r="BE109" i="135" s="1"/>
  <c r="AT109" i="135"/>
  <c r="V109" i="135"/>
  <c r="W109" i="135" s="1"/>
  <c r="AH109" i="135"/>
  <c r="AI109" i="135" s="1"/>
  <c r="AQ109" i="135"/>
  <c r="AR109" i="135" s="1"/>
  <c r="BA109" i="135"/>
  <c r="BB109" i="135" s="1"/>
  <c r="O109" i="135"/>
  <c r="AK109" i="135"/>
  <c r="AL109" i="135" s="1"/>
  <c r="Y109" i="135"/>
  <c r="Z109" i="135" s="1"/>
  <c r="BL109" i="135"/>
  <c r="Y108" i="96"/>
  <c r="Z108" i="96" s="1"/>
  <c r="V108" i="96"/>
  <c r="W108" i="96" s="1"/>
  <c r="O108" i="96"/>
  <c r="BD108" i="96"/>
  <c r="BE108" i="96" s="1"/>
  <c r="AT108" i="96"/>
  <c r="AB108" i="96"/>
  <c r="AC108" i="96" s="1"/>
  <c r="AQ108" i="96"/>
  <c r="AR108" i="96" s="1"/>
  <c r="BN108" i="96"/>
  <c r="BO108" i="96" s="1"/>
  <c r="BG108" i="96"/>
  <c r="BH108" i="96" s="1"/>
  <c r="AN108" i="96"/>
  <c r="AO108" i="96" s="1"/>
  <c r="BQ108" i="96"/>
  <c r="BR108" i="96" s="1"/>
  <c r="R108" i="96"/>
  <c r="T108" i="96" s="1"/>
  <c r="AV108" i="96"/>
  <c r="AW108" i="96" s="1"/>
  <c r="AE108" i="96"/>
  <c r="AF108" i="96" s="1"/>
  <c r="BA108" i="96"/>
  <c r="BB108" i="96" s="1"/>
  <c r="AH108" i="96"/>
  <c r="AI108" i="96" s="1"/>
  <c r="AK108" i="96"/>
  <c r="AL108" i="96" s="1"/>
  <c r="P108" i="96"/>
  <c r="M108" i="96"/>
  <c r="BL108" i="96"/>
  <c r="K109" i="110"/>
  <c r="I110" i="110"/>
  <c r="AV106" i="66"/>
  <c r="AW106" i="66" s="1"/>
  <c r="AH106" i="66"/>
  <c r="AI106" i="66" s="1"/>
  <c r="AK106" i="66"/>
  <c r="AL106" i="66" s="1"/>
  <c r="O106" i="66"/>
  <c r="AT106" i="66"/>
  <c r="V106" i="66"/>
  <c r="W106" i="66" s="1"/>
  <c r="AQ106" i="66"/>
  <c r="AR106" i="66" s="1"/>
  <c r="AB106" i="66"/>
  <c r="AC106" i="66" s="1"/>
  <c r="R106" i="66"/>
  <c r="T106" i="66" s="1"/>
  <c r="Y106" i="66"/>
  <c r="Z106" i="66" s="1"/>
  <c r="BD106" i="66"/>
  <c r="BE106" i="66" s="1"/>
  <c r="BG106" i="66"/>
  <c r="BH106" i="66" s="1"/>
  <c r="AN106" i="66"/>
  <c r="AO106" i="66" s="1"/>
  <c r="BA106" i="66"/>
  <c r="BB106" i="66" s="1"/>
  <c r="AY106" i="66"/>
  <c r="AE106" i="66"/>
  <c r="AF106" i="66" s="1"/>
  <c r="M106" i="66"/>
  <c r="BQ106" i="66"/>
  <c r="BR106" i="66" s="1"/>
  <c r="P106" i="66"/>
  <c r="BN106" i="66"/>
  <c r="BO106" i="66" s="1"/>
  <c r="BL106" i="66"/>
  <c r="I112" i="104"/>
  <c r="AK109" i="64"/>
  <c r="AL109" i="64" s="1"/>
  <c r="BA109" i="64"/>
  <c r="BB109" i="64" s="1"/>
  <c r="AE109" i="64"/>
  <c r="AF109" i="64" s="1"/>
  <c r="BG109" i="64"/>
  <c r="BH109" i="64" s="1"/>
  <c r="AT109" i="64"/>
  <c r="BD109" i="64"/>
  <c r="BE109" i="64" s="1"/>
  <c r="O109" i="64"/>
  <c r="P109" i="64"/>
  <c r="Y109" i="64"/>
  <c r="Z109" i="64" s="1"/>
  <c r="R109" i="64"/>
  <c r="T109" i="64" s="1"/>
  <c r="V109" i="64"/>
  <c r="W109" i="64" s="1"/>
  <c r="AV109" i="64"/>
  <c r="AW109" i="64" s="1"/>
  <c r="BQ109" i="64"/>
  <c r="BR109" i="64" s="1"/>
  <c r="M109" i="64"/>
  <c r="AY109" i="64"/>
  <c r="AQ109" i="64"/>
  <c r="AR109" i="64" s="1"/>
  <c r="AN109" i="64"/>
  <c r="AO109" i="64" s="1"/>
  <c r="AH109" i="64"/>
  <c r="AI109" i="64" s="1"/>
  <c r="AB109" i="64"/>
  <c r="AC109" i="64" s="1"/>
  <c r="BN109" i="64"/>
  <c r="BO109" i="64" s="1"/>
  <c r="BL109" i="64"/>
  <c r="K110" i="64"/>
  <c r="M108" i="115"/>
  <c r="BJ108" i="115"/>
  <c r="BL108" i="115" s="1"/>
  <c r="BN108" i="115"/>
  <c r="BO108" i="115" s="1"/>
  <c r="BK108" i="115"/>
  <c r="AY108" i="115"/>
  <c r="AE108" i="115"/>
  <c r="AF108" i="115" s="1"/>
  <c r="P108" i="115"/>
  <c r="R108" i="115"/>
  <c r="T108" i="115" s="1"/>
  <c r="AV108" i="115"/>
  <c r="AW108" i="115" s="1"/>
  <c r="AH108" i="115"/>
  <c r="AI108" i="115" s="1"/>
  <c r="AB108" i="115"/>
  <c r="AC108" i="115" s="1"/>
  <c r="AK108" i="115"/>
  <c r="AL108" i="115" s="1"/>
  <c r="AT108" i="115"/>
  <c r="AN108" i="115"/>
  <c r="AO108" i="115" s="1"/>
  <c r="BD108" i="115"/>
  <c r="BE108" i="115" s="1"/>
  <c r="Y108" i="115"/>
  <c r="Z108" i="115" s="1"/>
  <c r="BQ108" i="115"/>
  <c r="BR108" i="115" s="1"/>
  <c r="AQ108" i="115"/>
  <c r="AR108" i="115" s="1"/>
  <c r="V108" i="115"/>
  <c r="W108" i="115" s="1"/>
  <c r="O108" i="115"/>
  <c r="BG108" i="115"/>
  <c r="BH108" i="115" s="1"/>
  <c r="BA108" i="115"/>
  <c r="BB108" i="115" s="1"/>
  <c r="BN110" i="136"/>
  <c r="BO110" i="136" s="1"/>
  <c r="M110" i="136"/>
  <c r="Y110" i="136"/>
  <c r="Z110" i="136" s="1"/>
  <c r="R110" i="136"/>
  <c r="T110" i="136" s="1"/>
  <c r="BQ110" i="136"/>
  <c r="BR110" i="136" s="1"/>
  <c r="BL110" i="136"/>
  <c r="AH110" i="136"/>
  <c r="AI110" i="136" s="1"/>
  <c r="AB110" i="136"/>
  <c r="AC110" i="136" s="1"/>
  <c r="O110" i="136"/>
  <c r="BG110" i="136"/>
  <c r="BH110" i="136" s="1"/>
  <c r="P110" i="136"/>
  <c r="BA110" i="136"/>
  <c r="BB110" i="136" s="1"/>
  <c r="AN110" i="136"/>
  <c r="AO110" i="136" s="1"/>
  <c r="AQ110" i="136"/>
  <c r="AR110" i="136" s="1"/>
  <c r="AY110" i="136"/>
  <c r="V110" i="136"/>
  <c r="W110" i="136" s="1"/>
  <c r="AV110" i="136"/>
  <c r="AW110" i="136" s="1"/>
  <c r="AK110" i="136"/>
  <c r="AL110" i="136" s="1"/>
  <c r="BD110" i="136"/>
  <c r="BE110" i="136" s="1"/>
  <c r="AT110" i="136"/>
  <c r="AE110" i="136"/>
  <c r="AF110" i="136" s="1"/>
  <c r="K111" i="136"/>
  <c r="I113" i="126"/>
  <c r="K107" i="17"/>
  <c r="I108" i="17"/>
  <c r="I111" i="135"/>
  <c r="K110" i="135"/>
  <c r="I114" i="114"/>
  <c r="I110" i="96"/>
  <c r="K109" i="96"/>
  <c r="AB106" i="120"/>
  <c r="AC106" i="120" s="1"/>
  <c r="V106" i="120"/>
  <c r="W106" i="120" s="1"/>
  <c r="R106" i="120"/>
  <c r="T106" i="120" s="1"/>
  <c r="AE106" i="120"/>
  <c r="AF106" i="120" s="1"/>
  <c r="Y106" i="120"/>
  <c r="Z106" i="120" s="1"/>
  <c r="AY106" i="120"/>
  <c r="BQ106" i="120"/>
  <c r="BR106" i="120" s="1"/>
  <c r="O106" i="120"/>
  <c r="P106" i="120"/>
  <c r="M106" i="120"/>
  <c r="BA106" i="120"/>
  <c r="BB106" i="120" s="1"/>
  <c r="AV106" i="120"/>
  <c r="AW106" i="120" s="1"/>
  <c r="BG106" i="120"/>
  <c r="BH106" i="120" s="1"/>
  <c r="BD106" i="120"/>
  <c r="BE106" i="120" s="1"/>
  <c r="AT106" i="120"/>
  <c r="K107" i="120"/>
  <c r="AK106" i="120"/>
  <c r="AL106" i="120" s="1"/>
  <c r="AH106" i="120"/>
  <c r="AI106" i="120" s="1"/>
  <c r="AQ106" i="120"/>
  <c r="AR106" i="120" s="1"/>
  <c r="AN106" i="120"/>
  <c r="AO106" i="120" s="1"/>
  <c r="BN106" i="120"/>
  <c r="BO106" i="120" s="1"/>
  <c r="M108" i="126"/>
  <c r="BN108" i="126"/>
  <c r="BO108" i="126" s="1"/>
  <c r="BK108" i="126"/>
  <c r="BJ108" i="126"/>
  <c r="BL108" i="126" s="1"/>
  <c r="V108" i="126"/>
  <c r="W108" i="126" s="1"/>
  <c r="AY108" i="126"/>
  <c r="Y108" i="126"/>
  <c r="Z108" i="126" s="1"/>
  <c r="AN108" i="126"/>
  <c r="AO108" i="126" s="1"/>
  <c r="BG108" i="126"/>
  <c r="BH108" i="126" s="1"/>
  <c r="R108" i="126"/>
  <c r="T108" i="126" s="1"/>
  <c r="AQ108" i="126"/>
  <c r="AR108" i="126" s="1"/>
  <c r="AE108" i="126"/>
  <c r="AF108" i="126" s="1"/>
  <c r="BQ108" i="126"/>
  <c r="BR108" i="126" s="1"/>
  <c r="AV108" i="126"/>
  <c r="AW108" i="126" s="1"/>
  <c r="P108" i="126"/>
  <c r="AB108" i="126"/>
  <c r="AC108" i="126" s="1"/>
  <c r="AK108" i="126"/>
  <c r="AL108" i="126" s="1"/>
  <c r="BA108" i="126"/>
  <c r="BB108" i="126" s="1"/>
  <c r="AT108" i="126"/>
  <c r="AH108" i="126"/>
  <c r="AI108" i="126" s="1"/>
  <c r="BD108" i="126"/>
  <c r="BE108" i="126" s="1"/>
  <c r="O108" i="126"/>
  <c r="K109" i="126"/>
  <c r="M107" i="101"/>
  <c r="AY107" i="101"/>
  <c r="AT107" i="101"/>
  <c r="R107" i="101"/>
  <c r="T107" i="101" s="1"/>
  <c r="AQ107" i="101"/>
  <c r="AR107" i="101" s="1"/>
  <c r="AV107" i="101"/>
  <c r="AW107" i="101" s="1"/>
  <c r="BD107" i="101"/>
  <c r="BE107" i="101" s="1"/>
  <c r="Y107" i="101"/>
  <c r="Z107" i="101" s="1"/>
  <c r="P107" i="101"/>
  <c r="BG107" i="101"/>
  <c r="BH107" i="101" s="1"/>
  <c r="O107" i="101"/>
  <c r="V107" i="101"/>
  <c r="W107" i="101" s="1"/>
  <c r="AB107" i="101"/>
  <c r="AC107" i="101" s="1"/>
  <c r="AK107" i="101"/>
  <c r="AL107" i="101" s="1"/>
  <c r="AN107" i="101"/>
  <c r="AO107" i="101" s="1"/>
  <c r="AH107" i="101"/>
  <c r="AI107" i="101" s="1"/>
  <c r="AE107" i="101"/>
  <c r="AF107" i="101" s="1"/>
  <c r="BA107" i="101"/>
  <c r="BB107" i="101" s="1"/>
  <c r="BQ107" i="101"/>
  <c r="BR107" i="101" s="1"/>
  <c r="I114" i="136"/>
  <c r="I110" i="115"/>
  <c r="K109" i="115"/>
  <c r="BL107" i="15"/>
  <c r="BN107" i="15"/>
  <c r="BO107" i="15" s="1"/>
  <c r="M107" i="15"/>
  <c r="AB107" i="15"/>
  <c r="AC107" i="15" s="1"/>
  <c r="AQ107" i="15"/>
  <c r="AR107" i="15" s="1"/>
  <c r="V107" i="15"/>
  <c r="W107" i="15" s="1"/>
  <c r="AT107" i="15"/>
  <c r="O107" i="15"/>
  <c r="AN107" i="15"/>
  <c r="AO107" i="15" s="1"/>
  <c r="AV107" i="15"/>
  <c r="AW107" i="15" s="1"/>
  <c r="Y107" i="15"/>
  <c r="Z107" i="15" s="1"/>
  <c r="AY107" i="15"/>
  <c r="P107" i="15"/>
  <c r="AH107" i="15"/>
  <c r="AI107" i="15" s="1"/>
  <c r="BQ107" i="15"/>
  <c r="BR107" i="15" s="1"/>
  <c r="BG107" i="15"/>
  <c r="BH107" i="15" s="1"/>
  <c r="AE107" i="15"/>
  <c r="AF107" i="15" s="1"/>
  <c r="BD107" i="15"/>
  <c r="BE107" i="15" s="1"/>
  <c r="R107" i="15"/>
  <c r="T107" i="15" s="1"/>
  <c r="BA107" i="15"/>
  <c r="BB107" i="15" s="1"/>
  <c r="AK107" i="15"/>
  <c r="AL107" i="15" s="1"/>
  <c r="K108" i="15"/>
  <c r="AN108" i="63"/>
  <c r="AO108" i="63" s="1"/>
  <c r="BA108" i="63"/>
  <c r="BB108" i="63" s="1"/>
  <c r="AE108" i="63"/>
  <c r="AF108" i="63" s="1"/>
  <c r="BN108" i="63"/>
  <c r="BO108" i="63" s="1"/>
  <c r="R108" i="63"/>
  <c r="T108" i="63" s="1"/>
  <c r="AH108" i="63"/>
  <c r="AI108" i="63" s="1"/>
  <c r="BD108" i="63"/>
  <c r="BE108" i="63" s="1"/>
  <c r="AB108" i="63"/>
  <c r="AC108" i="63" s="1"/>
  <c r="BQ108" i="63"/>
  <c r="BR108" i="63" s="1"/>
  <c r="M108" i="63"/>
  <c r="Y108" i="63"/>
  <c r="Z108" i="63" s="1"/>
  <c r="V108" i="63"/>
  <c r="W108" i="63" s="1"/>
  <c r="O108" i="63"/>
  <c r="BG108" i="63"/>
  <c r="BH108" i="63" s="1"/>
  <c r="AY108" i="63"/>
  <c r="AT108" i="63"/>
  <c r="AV108" i="63"/>
  <c r="AW108" i="63" s="1"/>
  <c r="AK108" i="63"/>
  <c r="AL108" i="63" s="1"/>
  <c r="P108" i="63"/>
  <c r="AQ108" i="63"/>
  <c r="AR108" i="63" s="1"/>
  <c r="BL108" i="63"/>
  <c r="K109" i="63"/>
  <c r="BL106" i="17"/>
  <c r="BN106" i="17"/>
  <c r="BO106" i="17" s="1"/>
  <c r="BG106" i="17"/>
  <c r="BH106" i="17" s="1"/>
  <c r="AQ106" i="17"/>
  <c r="AR106" i="17" s="1"/>
  <c r="P106" i="17"/>
  <c r="AT106" i="17"/>
  <c r="M106" i="17"/>
  <c r="Y106" i="17"/>
  <c r="Z106" i="17" s="1"/>
  <c r="AH106" i="17"/>
  <c r="AI106" i="17" s="1"/>
  <c r="BD106" i="17"/>
  <c r="BE106" i="17" s="1"/>
  <c r="AB106" i="17"/>
  <c r="AC106" i="17" s="1"/>
  <c r="O106" i="17"/>
  <c r="AK106" i="17"/>
  <c r="AL106" i="17" s="1"/>
  <c r="V106" i="17"/>
  <c r="W106" i="17" s="1"/>
  <c r="BA106" i="17"/>
  <c r="BB106" i="17" s="1"/>
  <c r="R106" i="17"/>
  <c r="T106" i="17" s="1"/>
  <c r="AY106" i="17"/>
  <c r="AV106" i="17"/>
  <c r="AW106" i="17" s="1"/>
  <c r="AN106" i="17"/>
  <c r="AO106" i="17" s="1"/>
  <c r="AE106" i="17"/>
  <c r="AF106" i="17" s="1"/>
  <c r="BQ106" i="17"/>
  <c r="BR106" i="17" s="1"/>
  <c r="I108" i="13"/>
  <c r="K107" i="13"/>
  <c r="K114" i="156" l="1"/>
  <c r="R110" i="99"/>
  <c r="T110" i="99" s="1"/>
  <c r="BG110" i="99"/>
  <c r="BH110" i="99" s="1"/>
  <c r="AN110" i="99"/>
  <c r="AO110" i="99" s="1"/>
  <c r="Y110" i="99"/>
  <c r="Z110" i="99" s="1"/>
  <c r="BD110" i="99"/>
  <c r="BE110" i="99" s="1"/>
  <c r="BQ110" i="99"/>
  <c r="BR110" i="99" s="1"/>
  <c r="M110" i="99"/>
  <c r="BN110" i="99"/>
  <c r="BO110" i="99" s="1"/>
  <c r="V110" i="99"/>
  <c r="W110" i="99" s="1"/>
  <c r="P110" i="99"/>
  <c r="BA110" i="99"/>
  <c r="BB110" i="99" s="1"/>
  <c r="AE110" i="99"/>
  <c r="AF110" i="99" s="1"/>
  <c r="AK110" i="99"/>
  <c r="AL110" i="99" s="1"/>
  <c r="AQ110" i="99"/>
  <c r="AR110" i="99" s="1"/>
  <c r="BJ110" i="99"/>
  <c r="BL110" i="99" s="1"/>
  <c r="O110" i="99"/>
  <c r="AT110" i="99"/>
  <c r="AH110" i="99"/>
  <c r="AI110" i="99" s="1"/>
  <c r="BK110" i="99"/>
  <c r="K111" i="99"/>
  <c r="AY110" i="99"/>
  <c r="AB110" i="99"/>
  <c r="AC110" i="99" s="1"/>
  <c r="AV110" i="99"/>
  <c r="AW110" i="99" s="1"/>
  <c r="I114" i="107"/>
  <c r="K113" i="107"/>
  <c r="M112" i="107"/>
  <c r="AV112" i="107"/>
  <c r="AW112" i="107" s="1"/>
  <c r="P112" i="107"/>
  <c r="AN112" i="107"/>
  <c r="AO112" i="107" s="1"/>
  <c r="BD112" i="107"/>
  <c r="BE112" i="107" s="1"/>
  <c r="AH112" i="107"/>
  <c r="AI112" i="107" s="1"/>
  <c r="BN112" i="107"/>
  <c r="BO112" i="107" s="1"/>
  <c r="AQ112" i="107"/>
  <c r="AR112" i="107" s="1"/>
  <c r="AY112" i="107"/>
  <c r="O112" i="107"/>
  <c r="BJ112" i="107"/>
  <c r="BL112" i="107" s="1"/>
  <c r="AE112" i="107"/>
  <c r="AF112" i="107" s="1"/>
  <c r="BK112" i="107"/>
  <c r="AK112" i="107"/>
  <c r="AL112" i="107" s="1"/>
  <c r="V112" i="107"/>
  <c r="W112" i="107" s="1"/>
  <c r="R112" i="107"/>
  <c r="T112" i="107" s="1"/>
  <c r="BA112" i="107"/>
  <c r="BB112" i="107" s="1"/>
  <c r="BQ112" i="107"/>
  <c r="BR112" i="107" s="1"/>
  <c r="AT112" i="107"/>
  <c r="Y112" i="107"/>
  <c r="Z112" i="107" s="1"/>
  <c r="AB112" i="107"/>
  <c r="AC112" i="107" s="1"/>
  <c r="BG112" i="107"/>
  <c r="BH112" i="107" s="1"/>
  <c r="AK110" i="132"/>
  <c r="AL110" i="132" s="1"/>
  <c r="P110" i="132"/>
  <c r="BA110" i="132"/>
  <c r="BB110" i="132" s="1"/>
  <c r="BL110" i="132"/>
  <c r="O110" i="132"/>
  <c r="AE110" i="132"/>
  <c r="AF110" i="132" s="1"/>
  <c r="AB110" i="132"/>
  <c r="AC110" i="132" s="1"/>
  <c r="BN110" i="132"/>
  <c r="BO110" i="132" s="1"/>
  <c r="AQ110" i="132"/>
  <c r="AR110" i="132" s="1"/>
  <c r="K111" i="132"/>
  <c r="AV110" i="132"/>
  <c r="AW110" i="132" s="1"/>
  <c r="R110" i="132"/>
  <c r="T110" i="132" s="1"/>
  <c r="AN110" i="132"/>
  <c r="AO110" i="132" s="1"/>
  <c r="V110" i="132"/>
  <c r="W110" i="132" s="1"/>
  <c r="M110" i="132"/>
  <c r="BG110" i="132"/>
  <c r="BH110" i="132" s="1"/>
  <c r="BQ110" i="132"/>
  <c r="BR110" i="132" s="1"/>
  <c r="AH110" i="132"/>
  <c r="AI110" i="132" s="1"/>
  <c r="BD110" i="132"/>
  <c r="BE110" i="132" s="1"/>
  <c r="Y110" i="132"/>
  <c r="Z110" i="132" s="1"/>
  <c r="AY110" i="132"/>
  <c r="AT110" i="132"/>
  <c r="AW116" i="155"/>
  <c r="M111" i="133"/>
  <c r="AN111" i="133"/>
  <c r="AO111" i="133" s="1"/>
  <c r="AT111" i="133"/>
  <c r="AQ111" i="133"/>
  <c r="AR111" i="133" s="1"/>
  <c r="BN111" i="133"/>
  <c r="BO111" i="133" s="1"/>
  <c r="Y111" i="133"/>
  <c r="Z111" i="133" s="1"/>
  <c r="BQ111" i="133"/>
  <c r="BR111" i="133" s="1"/>
  <c r="BA111" i="133"/>
  <c r="BB111" i="133" s="1"/>
  <c r="BL111" i="133"/>
  <c r="AB111" i="133"/>
  <c r="AC111" i="133" s="1"/>
  <c r="O111" i="133"/>
  <c r="K112" i="133"/>
  <c r="AV111" i="133"/>
  <c r="AW111" i="133" s="1"/>
  <c r="AY111" i="133"/>
  <c r="BD111" i="133"/>
  <c r="BE111" i="133" s="1"/>
  <c r="AE111" i="133"/>
  <c r="AF111" i="133" s="1"/>
  <c r="AK111" i="133"/>
  <c r="AL111" i="133" s="1"/>
  <c r="AH111" i="133"/>
  <c r="AI111" i="133" s="1"/>
  <c r="V111" i="133"/>
  <c r="W111" i="133" s="1"/>
  <c r="P111" i="133"/>
  <c r="BG111" i="133"/>
  <c r="BH111" i="133" s="1"/>
  <c r="R111" i="133"/>
  <c r="T111" i="133" s="1"/>
  <c r="AH109" i="129"/>
  <c r="AI109" i="129" s="1"/>
  <c r="BG109" i="129"/>
  <c r="BH109" i="129" s="1"/>
  <c r="AN109" i="129"/>
  <c r="AO109" i="129" s="1"/>
  <c r="BL109" i="129"/>
  <c r="AK109" i="129"/>
  <c r="AL109" i="129" s="1"/>
  <c r="BD109" i="129"/>
  <c r="BE109" i="129" s="1"/>
  <c r="AE109" i="129"/>
  <c r="AF109" i="129" s="1"/>
  <c r="AY109" i="129"/>
  <c r="AQ109" i="129"/>
  <c r="AR109" i="129" s="1"/>
  <c r="AV109" i="129"/>
  <c r="AW109" i="129" s="1"/>
  <c r="BN109" i="129"/>
  <c r="BO109" i="129" s="1"/>
  <c r="V109" i="129"/>
  <c r="W109" i="129" s="1"/>
  <c r="Y109" i="129"/>
  <c r="Z109" i="129" s="1"/>
  <c r="AB109" i="129"/>
  <c r="AC109" i="129" s="1"/>
  <c r="K110" i="129"/>
  <c r="BA109" i="129"/>
  <c r="BB109" i="129" s="1"/>
  <c r="O109" i="129"/>
  <c r="AT109" i="129"/>
  <c r="M109" i="129"/>
  <c r="R109" i="129"/>
  <c r="T109" i="129" s="1"/>
  <c r="BQ109" i="129"/>
  <c r="BR109" i="129" s="1"/>
  <c r="P109" i="129"/>
  <c r="AE113" i="156"/>
  <c r="AF113" i="156" s="1"/>
  <c r="BQ113" i="156"/>
  <c r="BR113" i="156" s="1"/>
  <c r="V113" i="156"/>
  <c r="W113" i="156" s="1"/>
  <c r="P113" i="156"/>
  <c r="AK113" i="156"/>
  <c r="AL113" i="156" s="1"/>
  <c r="AH113" i="156"/>
  <c r="AI113" i="156" s="1"/>
  <c r="BA113" i="156"/>
  <c r="BB113" i="156" s="1"/>
  <c r="AV113" i="156"/>
  <c r="AW113" i="156" s="1"/>
  <c r="AQ113" i="156"/>
  <c r="AR113" i="156" s="1"/>
  <c r="BG113" i="156"/>
  <c r="BH113" i="156" s="1"/>
  <c r="BL113" i="156"/>
  <c r="BN113" i="156"/>
  <c r="BO113" i="156" s="1"/>
  <c r="BD113" i="156"/>
  <c r="BE113" i="156" s="1"/>
  <c r="O113" i="156"/>
  <c r="R113" i="156"/>
  <c r="T113" i="156" s="1"/>
  <c r="M113" i="156"/>
  <c r="AN113" i="156"/>
  <c r="AO113" i="156" s="1"/>
  <c r="Y113" i="156"/>
  <c r="Z113" i="156" s="1"/>
  <c r="AB113" i="156"/>
  <c r="AC113" i="156" s="1"/>
  <c r="AK108" i="104"/>
  <c r="AL108" i="104" s="1"/>
  <c r="AB108" i="104"/>
  <c r="AC108" i="104" s="1"/>
  <c r="AN108" i="104"/>
  <c r="AO108" i="104" s="1"/>
  <c r="K109" i="104"/>
  <c r="BN108" i="104"/>
  <c r="BO108" i="104" s="1"/>
  <c r="AY108" i="104"/>
  <c r="Y108" i="104"/>
  <c r="Z108" i="104" s="1"/>
  <c r="BG108" i="104"/>
  <c r="BH108" i="104" s="1"/>
  <c r="M108" i="104"/>
  <c r="R108" i="104"/>
  <c r="T108" i="104" s="1"/>
  <c r="BQ108" i="104"/>
  <c r="BR108" i="104" s="1"/>
  <c r="AQ108" i="104"/>
  <c r="AR108" i="104" s="1"/>
  <c r="BK108" i="104"/>
  <c r="O108" i="104"/>
  <c r="V108" i="104"/>
  <c r="W108" i="104" s="1"/>
  <c r="AE108" i="104"/>
  <c r="AF108" i="104" s="1"/>
  <c r="BJ108" i="104"/>
  <c r="BL108" i="104" s="1"/>
  <c r="BA108" i="104"/>
  <c r="BB108" i="104" s="1"/>
  <c r="AH108" i="104"/>
  <c r="AI108" i="104" s="1"/>
  <c r="P108" i="104"/>
  <c r="BD108" i="104"/>
  <c r="BE108" i="104" s="1"/>
  <c r="AT108" i="104"/>
  <c r="AV108" i="104"/>
  <c r="AW108" i="104" s="1"/>
  <c r="AT108" i="112"/>
  <c r="K109" i="112"/>
  <c r="AH108" i="112"/>
  <c r="AI108" i="112" s="1"/>
  <c r="BD108" i="112"/>
  <c r="BE108" i="112" s="1"/>
  <c r="R108" i="112"/>
  <c r="T108" i="112" s="1"/>
  <c r="AB108" i="112"/>
  <c r="AC108" i="112" s="1"/>
  <c r="AQ108" i="112"/>
  <c r="AR108" i="112" s="1"/>
  <c r="AY108" i="112"/>
  <c r="BG108" i="112"/>
  <c r="BH108" i="112" s="1"/>
  <c r="AK108" i="112"/>
  <c r="AL108" i="112" s="1"/>
  <c r="P108" i="112"/>
  <c r="BK108" i="112"/>
  <c r="O108" i="112"/>
  <c r="BA108" i="112"/>
  <c r="BB108" i="112" s="1"/>
  <c r="AV108" i="112"/>
  <c r="AW108" i="112" s="1"/>
  <c r="M108" i="112"/>
  <c r="V108" i="112"/>
  <c r="W108" i="112" s="1"/>
  <c r="Y108" i="112"/>
  <c r="Z108" i="112" s="1"/>
  <c r="AE108" i="112"/>
  <c r="AF108" i="112" s="1"/>
  <c r="BN108" i="112"/>
  <c r="BO108" i="112" s="1"/>
  <c r="BJ108" i="112"/>
  <c r="BL108" i="112" s="1"/>
  <c r="AN108" i="112"/>
  <c r="AO108" i="112" s="1"/>
  <c r="BQ108" i="112"/>
  <c r="BR108" i="112" s="1"/>
  <c r="V108" i="106"/>
  <c r="W108" i="106" s="1"/>
  <c r="AQ108" i="106"/>
  <c r="AR108" i="106" s="1"/>
  <c r="BA108" i="106"/>
  <c r="BB108" i="106" s="1"/>
  <c r="BN108" i="106"/>
  <c r="BO108" i="106" s="1"/>
  <c r="AT108" i="106"/>
  <c r="M108" i="106"/>
  <c r="BQ108" i="106"/>
  <c r="BR108" i="106" s="1"/>
  <c r="BD108" i="106"/>
  <c r="BE108" i="106" s="1"/>
  <c r="AN108" i="106"/>
  <c r="AO108" i="106" s="1"/>
  <c r="Y108" i="106"/>
  <c r="Z108" i="106" s="1"/>
  <c r="BK108" i="106"/>
  <c r="AB108" i="106"/>
  <c r="AC108" i="106" s="1"/>
  <c r="AE108" i="106"/>
  <c r="AF108" i="106" s="1"/>
  <c r="R108" i="106"/>
  <c r="T108" i="106" s="1"/>
  <c r="BG108" i="106"/>
  <c r="BH108" i="106" s="1"/>
  <c r="BJ108" i="106"/>
  <c r="BL108" i="106" s="1"/>
  <c r="AH108" i="106"/>
  <c r="AI108" i="106" s="1"/>
  <c r="AK108" i="106"/>
  <c r="AL108" i="106" s="1"/>
  <c r="AV108" i="106"/>
  <c r="AW108" i="106" s="1"/>
  <c r="P108" i="106"/>
  <c r="O108" i="106"/>
  <c r="AY108" i="106"/>
  <c r="K109" i="106"/>
  <c r="M107" i="95"/>
  <c r="AN107" i="95"/>
  <c r="AO107" i="95" s="1"/>
  <c r="AT107" i="95"/>
  <c r="BQ107" i="95"/>
  <c r="BR107" i="95" s="1"/>
  <c r="BN107" i="95"/>
  <c r="BO107" i="95" s="1"/>
  <c r="V107" i="95"/>
  <c r="W107" i="95" s="1"/>
  <c r="Y107" i="95"/>
  <c r="Z107" i="95" s="1"/>
  <c r="BG107" i="95"/>
  <c r="BH107" i="95" s="1"/>
  <c r="BL107" i="95"/>
  <c r="AV107" i="95"/>
  <c r="AW107" i="95" s="1"/>
  <c r="P107" i="95"/>
  <c r="K108" i="95"/>
  <c r="BD107" i="95"/>
  <c r="BE107" i="95" s="1"/>
  <c r="AH107" i="95"/>
  <c r="AI107" i="95" s="1"/>
  <c r="BA107" i="95"/>
  <c r="BB107" i="95" s="1"/>
  <c r="AE107" i="95"/>
  <c r="AF107" i="95" s="1"/>
  <c r="AB107" i="95"/>
  <c r="AC107" i="95" s="1"/>
  <c r="AK107" i="95"/>
  <c r="AL107" i="95" s="1"/>
  <c r="R107" i="95"/>
  <c r="T107" i="95" s="1"/>
  <c r="AQ107" i="95"/>
  <c r="AR107" i="95" s="1"/>
  <c r="O107" i="95"/>
  <c r="AT114" i="153"/>
  <c r="AY114" i="153"/>
  <c r="BL109" i="130"/>
  <c r="K110" i="130"/>
  <c r="M109" i="130"/>
  <c r="BN109" i="130"/>
  <c r="BO109" i="130" s="1"/>
  <c r="V109" i="130"/>
  <c r="W109" i="130" s="1"/>
  <c r="AB109" i="130"/>
  <c r="AC109" i="130" s="1"/>
  <c r="BA109" i="130"/>
  <c r="BB109" i="130" s="1"/>
  <c r="Y109" i="130"/>
  <c r="Z109" i="130" s="1"/>
  <c r="AN109" i="130"/>
  <c r="AO109" i="130" s="1"/>
  <c r="O109" i="130"/>
  <c r="AK109" i="130"/>
  <c r="AL109" i="130" s="1"/>
  <c r="BD109" i="130"/>
  <c r="BE109" i="130" s="1"/>
  <c r="AT109" i="130"/>
  <c r="R109" i="130"/>
  <c r="T109" i="130" s="1"/>
  <c r="BQ109" i="130"/>
  <c r="BR109" i="130" s="1"/>
  <c r="AV109" i="130"/>
  <c r="AW109" i="130" s="1"/>
  <c r="AE109" i="130"/>
  <c r="AF109" i="130" s="1"/>
  <c r="AH109" i="130"/>
  <c r="AI109" i="130" s="1"/>
  <c r="BG109" i="130"/>
  <c r="BH109" i="130" s="1"/>
  <c r="AY109" i="130"/>
  <c r="AQ109" i="130"/>
  <c r="AR109" i="130" s="1"/>
  <c r="P109" i="130"/>
  <c r="BE116" i="155"/>
  <c r="BR116" i="155"/>
  <c r="F78" i="155" s="1"/>
  <c r="AR116" i="155"/>
  <c r="BL116" i="155"/>
  <c r="AO116" i="155"/>
  <c r="AF116" i="155"/>
  <c r="BB116" i="155"/>
  <c r="AC116" i="155"/>
  <c r="Z116" i="155"/>
  <c r="AL116" i="155"/>
  <c r="BO116" i="155"/>
  <c r="BH116" i="155"/>
  <c r="AI116" i="155"/>
  <c r="F87" i="155" s="1"/>
  <c r="M114" i="153"/>
  <c r="BQ114" i="153"/>
  <c r="BR114" i="153" s="1"/>
  <c r="BR116" i="153" s="1"/>
  <c r="F78" i="153" s="1"/>
  <c r="O114" i="153"/>
  <c r="V114" i="153"/>
  <c r="W114" i="153" s="1"/>
  <c r="AB114" i="153"/>
  <c r="AC114" i="153" s="1"/>
  <c r="AC116" i="153" s="1"/>
  <c r="AH114" i="153"/>
  <c r="AI114" i="153" s="1"/>
  <c r="AI116" i="153" s="1"/>
  <c r="AN114" i="153"/>
  <c r="AO114" i="153" s="1"/>
  <c r="AO116" i="153" s="1"/>
  <c r="BA114" i="153"/>
  <c r="BB114" i="153" s="1"/>
  <c r="BB116" i="153" s="1"/>
  <c r="F103" i="153" s="1"/>
  <c r="BG114" i="153"/>
  <c r="BH114" i="153" s="1"/>
  <c r="BH116" i="153" s="1"/>
  <c r="P114" i="153"/>
  <c r="AV114" i="153"/>
  <c r="AW114" i="153" s="1"/>
  <c r="AW116" i="153" s="1"/>
  <c r="BN114" i="153"/>
  <c r="BO114" i="153" s="1"/>
  <c r="BO116" i="153" s="1"/>
  <c r="AK114" i="153"/>
  <c r="AL114" i="153" s="1"/>
  <c r="AL116" i="153" s="1"/>
  <c r="R114" i="153"/>
  <c r="T114" i="153" s="1"/>
  <c r="AQ114" i="153"/>
  <c r="AR114" i="153" s="1"/>
  <c r="AR116" i="153" s="1"/>
  <c r="Y114" i="153"/>
  <c r="Z114" i="153" s="1"/>
  <c r="Z116" i="153" s="1"/>
  <c r="AE114" i="153"/>
  <c r="AF114" i="153" s="1"/>
  <c r="AF116" i="153" s="1"/>
  <c r="BD114" i="153"/>
  <c r="BE114" i="153" s="1"/>
  <c r="BE116" i="153" s="1"/>
  <c r="BL114" i="153"/>
  <c r="BL116" i="153" s="1"/>
  <c r="R114" i="152"/>
  <c r="T114" i="152" s="1"/>
  <c r="Y114" i="152"/>
  <c r="Z114" i="152" s="1"/>
  <c r="Z116" i="152" s="1"/>
  <c r="AE114" i="152"/>
  <c r="AF114" i="152" s="1"/>
  <c r="AF116" i="152" s="1"/>
  <c r="AK114" i="152"/>
  <c r="AL114" i="152" s="1"/>
  <c r="AL116" i="152" s="1"/>
  <c r="AQ114" i="152"/>
  <c r="AR114" i="152" s="1"/>
  <c r="AR116" i="152" s="1"/>
  <c r="BD114" i="152"/>
  <c r="BE114" i="152" s="1"/>
  <c r="BE116" i="152" s="1"/>
  <c r="M114" i="152"/>
  <c r="BQ114" i="152"/>
  <c r="BR114" i="152" s="1"/>
  <c r="BR116" i="152" s="1"/>
  <c r="F78" i="152" s="1"/>
  <c r="O114" i="152"/>
  <c r="V114" i="152"/>
  <c r="W114" i="152" s="1"/>
  <c r="AB114" i="152"/>
  <c r="AC114" i="152" s="1"/>
  <c r="AC116" i="152" s="1"/>
  <c r="AH114" i="152"/>
  <c r="AI114" i="152" s="1"/>
  <c r="AI116" i="152" s="1"/>
  <c r="AN114" i="152"/>
  <c r="AO114" i="152" s="1"/>
  <c r="AO116" i="152" s="1"/>
  <c r="BA114" i="152"/>
  <c r="BB114" i="152" s="1"/>
  <c r="BB116" i="152" s="1"/>
  <c r="BG114" i="152"/>
  <c r="BH114" i="152" s="1"/>
  <c r="BH116" i="152" s="1"/>
  <c r="P114" i="152"/>
  <c r="AV114" i="152"/>
  <c r="AW114" i="152" s="1"/>
  <c r="AW116" i="152" s="1"/>
  <c r="BN114" i="152"/>
  <c r="BO114" i="152" s="1"/>
  <c r="BO116" i="152" s="1"/>
  <c r="BL114" i="152"/>
  <c r="BL116" i="152" s="1"/>
  <c r="K113" i="151"/>
  <c r="I114" i="151"/>
  <c r="BD112" i="151"/>
  <c r="BE112" i="151" s="1"/>
  <c r="AQ112" i="151"/>
  <c r="AR112" i="151" s="1"/>
  <c r="AK112" i="151"/>
  <c r="AL112" i="151" s="1"/>
  <c r="AE112" i="151"/>
  <c r="AF112" i="151" s="1"/>
  <c r="Y112" i="151"/>
  <c r="Z112" i="151" s="1"/>
  <c r="R112" i="151"/>
  <c r="T112" i="151" s="1"/>
  <c r="AV112" i="151"/>
  <c r="AW112" i="151" s="1"/>
  <c r="AN112" i="151"/>
  <c r="AO112" i="151" s="1"/>
  <c r="O112" i="151"/>
  <c r="BQ112" i="151"/>
  <c r="BR112" i="151" s="1"/>
  <c r="BA112" i="151"/>
  <c r="BB112" i="151" s="1"/>
  <c r="AB112" i="151"/>
  <c r="AC112" i="151" s="1"/>
  <c r="BG112" i="151"/>
  <c r="BH112" i="151" s="1"/>
  <c r="V112" i="151"/>
  <c r="W112" i="151" s="1"/>
  <c r="AY112" i="151"/>
  <c r="AH112" i="151"/>
  <c r="AI112" i="151" s="1"/>
  <c r="P112" i="151"/>
  <c r="AT112" i="151"/>
  <c r="BN112" i="151"/>
  <c r="BO112" i="151" s="1"/>
  <c r="M112" i="151"/>
  <c r="BL112" i="151"/>
  <c r="BG111" i="150"/>
  <c r="BH111" i="150" s="1"/>
  <c r="BA111" i="150"/>
  <c r="BB111" i="150" s="1"/>
  <c r="AT111" i="150"/>
  <c r="AN111" i="150"/>
  <c r="AO111" i="150" s="1"/>
  <c r="AH111" i="150"/>
  <c r="AI111" i="150" s="1"/>
  <c r="AB111" i="150"/>
  <c r="AC111" i="150" s="1"/>
  <c r="V111" i="150"/>
  <c r="W111" i="150" s="1"/>
  <c r="O111" i="150"/>
  <c r="BQ111" i="150"/>
  <c r="BR111" i="150" s="1"/>
  <c r="AY111" i="150"/>
  <c r="AK111" i="150"/>
  <c r="AL111" i="150" s="1"/>
  <c r="Y111" i="150"/>
  <c r="Z111" i="150" s="1"/>
  <c r="AV111" i="150"/>
  <c r="AW111" i="150" s="1"/>
  <c r="BD111" i="150"/>
  <c r="BE111" i="150" s="1"/>
  <c r="AQ111" i="150"/>
  <c r="AR111" i="150" s="1"/>
  <c r="AE111" i="150"/>
  <c r="AF111" i="150" s="1"/>
  <c r="R111" i="150"/>
  <c r="T111" i="150" s="1"/>
  <c r="P111" i="150"/>
  <c r="BN111" i="150"/>
  <c r="BO111" i="150" s="1"/>
  <c r="M111" i="150"/>
  <c r="BL111" i="150"/>
  <c r="K112" i="150"/>
  <c r="K114" i="149"/>
  <c r="BG113" i="149"/>
  <c r="BH113" i="149" s="1"/>
  <c r="BA113" i="149"/>
  <c r="BB113" i="149" s="1"/>
  <c r="AT113" i="149"/>
  <c r="AN113" i="149"/>
  <c r="AO113" i="149" s="1"/>
  <c r="AH113" i="149"/>
  <c r="AI113" i="149" s="1"/>
  <c r="AB113" i="149"/>
  <c r="AC113" i="149" s="1"/>
  <c r="V113" i="149"/>
  <c r="W113" i="149" s="1"/>
  <c r="O113" i="149"/>
  <c r="BQ113" i="149"/>
  <c r="BR113" i="149" s="1"/>
  <c r="AY113" i="149"/>
  <c r="BD113" i="149"/>
  <c r="BE113" i="149" s="1"/>
  <c r="AQ113" i="149"/>
  <c r="AR113" i="149" s="1"/>
  <c r="AE113" i="149"/>
  <c r="AF113" i="149" s="1"/>
  <c r="R113" i="149"/>
  <c r="T113" i="149" s="1"/>
  <c r="AV113" i="149"/>
  <c r="AW113" i="149" s="1"/>
  <c r="AK113" i="149"/>
  <c r="AL113" i="149" s="1"/>
  <c r="Y113" i="149"/>
  <c r="Z113" i="149" s="1"/>
  <c r="P113" i="149"/>
  <c r="M113" i="149"/>
  <c r="BN113" i="149"/>
  <c r="BO113" i="149" s="1"/>
  <c r="BL113" i="149"/>
  <c r="K113" i="147"/>
  <c r="I114" i="147"/>
  <c r="BQ112" i="147"/>
  <c r="BR112" i="147" s="1"/>
  <c r="AY112" i="147"/>
  <c r="BD112" i="147"/>
  <c r="BE112" i="147" s="1"/>
  <c r="AQ112" i="147"/>
  <c r="AR112" i="147" s="1"/>
  <c r="AK112" i="147"/>
  <c r="AL112" i="147" s="1"/>
  <c r="AE112" i="147"/>
  <c r="AF112" i="147" s="1"/>
  <c r="Y112" i="147"/>
  <c r="Z112" i="147" s="1"/>
  <c r="R112" i="147"/>
  <c r="T112" i="147" s="1"/>
  <c r="AV112" i="147"/>
  <c r="AW112" i="147" s="1"/>
  <c r="BG112" i="147"/>
  <c r="BH112" i="147" s="1"/>
  <c r="AT112" i="147"/>
  <c r="AH112" i="147"/>
  <c r="AI112" i="147" s="1"/>
  <c r="V112" i="147"/>
  <c r="W112" i="147" s="1"/>
  <c r="P112" i="147"/>
  <c r="BA112" i="147"/>
  <c r="BB112" i="147" s="1"/>
  <c r="AN112" i="147"/>
  <c r="AO112" i="147" s="1"/>
  <c r="AB112" i="147"/>
  <c r="AC112" i="147" s="1"/>
  <c r="O112" i="147"/>
  <c r="BK112" i="147"/>
  <c r="BN112" i="147"/>
  <c r="BO112" i="147" s="1"/>
  <c r="M112" i="147"/>
  <c r="BJ112" i="147"/>
  <c r="BL112" i="147" s="1"/>
  <c r="BG111" i="146"/>
  <c r="BH111" i="146" s="1"/>
  <c r="BA111" i="146"/>
  <c r="BB111" i="146" s="1"/>
  <c r="AT111" i="146"/>
  <c r="AN111" i="146"/>
  <c r="AO111" i="146" s="1"/>
  <c r="AH111" i="146"/>
  <c r="AI111" i="146" s="1"/>
  <c r="AB111" i="146"/>
  <c r="AC111" i="146" s="1"/>
  <c r="V111" i="146"/>
  <c r="W111" i="146" s="1"/>
  <c r="O111" i="146"/>
  <c r="BQ111" i="146"/>
  <c r="BR111" i="146" s="1"/>
  <c r="AY111" i="146"/>
  <c r="AV111" i="146"/>
  <c r="AW111" i="146" s="1"/>
  <c r="BD111" i="146"/>
  <c r="BE111" i="146" s="1"/>
  <c r="AQ111" i="146"/>
  <c r="AR111" i="146" s="1"/>
  <c r="AE111" i="146"/>
  <c r="AF111" i="146" s="1"/>
  <c r="R111" i="146"/>
  <c r="T111" i="146" s="1"/>
  <c r="P111" i="146"/>
  <c r="AK111" i="146"/>
  <c r="AL111" i="146" s="1"/>
  <c r="Y111" i="146"/>
  <c r="Z111" i="146" s="1"/>
  <c r="BN111" i="146"/>
  <c r="BO111" i="146" s="1"/>
  <c r="M111" i="146"/>
  <c r="BK111" i="146"/>
  <c r="BJ111" i="146"/>
  <c r="BL111" i="146" s="1"/>
  <c r="K112" i="146"/>
  <c r="I113" i="146"/>
  <c r="M107" i="13"/>
  <c r="BL107" i="13"/>
  <c r="BN107" i="13"/>
  <c r="BO107" i="13" s="1"/>
  <c r="BA107" i="13"/>
  <c r="BB107" i="13" s="1"/>
  <c r="AE107" i="13"/>
  <c r="AF107" i="13" s="1"/>
  <c r="AK107" i="13"/>
  <c r="AL107" i="13" s="1"/>
  <c r="O107" i="13"/>
  <c r="BQ107" i="13"/>
  <c r="BR107" i="13" s="1"/>
  <c r="BD107" i="13"/>
  <c r="BE107" i="13" s="1"/>
  <c r="V107" i="13"/>
  <c r="W107" i="13" s="1"/>
  <c r="AV107" i="13"/>
  <c r="AW107" i="13" s="1"/>
  <c r="BG107" i="13"/>
  <c r="BH107" i="13" s="1"/>
  <c r="AY107" i="13"/>
  <c r="P107" i="13"/>
  <c r="Y107" i="13"/>
  <c r="Z107" i="13" s="1"/>
  <c r="AN107" i="13"/>
  <c r="AO107" i="13" s="1"/>
  <c r="AT107" i="13"/>
  <c r="AH107" i="13"/>
  <c r="AI107" i="13" s="1"/>
  <c r="AQ107" i="13"/>
  <c r="AR107" i="13" s="1"/>
  <c r="AB107" i="13"/>
  <c r="AC107" i="13" s="1"/>
  <c r="R107" i="13"/>
  <c r="T107" i="13" s="1"/>
  <c r="BL108" i="15"/>
  <c r="BN108" i="15"/>
  <c r="BO108" i="15" s="1"/>
  <c r="M108" i="15"/>
  <c r="BG108" i="15"/>
  <c r="BH108" i="15" s="1"/>
  <c r="AH108" i="15"/>
  <c r="AI108" i="15" s="1"/>
  <c r="AQ108" i="15"/>
  <c r="AR108" i="15" s="1"/>
  <c r="AY108" i="15"/>
  <c r="AK108" i="15"/>
  <c r="AL108" i="15" s="1"/>
  <c r="O108" i="15"/>
  <c r="AT108" i="15"/>
  <c r="P108" i="15"/>
  <c r="V108" i="15"/>
  <c r="W108" i="15" s="1"/>
  <c r="AE108" i="15"/>
  <c r="AF108" i="15" s="1"/>
  <c r="BQ108" i="15"/>
  <c r="BR108" i="15" s="1"/>
  <c r="AB108" i="15"/>
  <c r="AC108" i="15" s="1"/>
  <c r="BD108" i="15"/>
  <c r="BE108" i="15" s="1"/>
  <c r="AV108" i="15"/>
  <c r="AW108" i="15" s="1"/>
  <c r="AN108" i="15"/>
  <c r="AO108" i="15" s="1"/>
  <c r="Y108" i="15"/>
  <c r="Z108" i="15" s="1"/>
  <c r="R108" i="15"/>
  <c r="T108" i="15" s="1"/>
  <c r="BA108" i="15"/>
  <c r="BB108" i="15" s="1"/>
  <c r="K109" i="15"/>
  <c r="M109" i="126"/>
  <c r="BN109" i="126"/>
  <c r="BO109" i="126" s="1"/>
  <c r="BJ109" i="126"/>
  <c r="BL109" i="126" s="1"/>
  <c r="BK109" i="126"/>
  <c r="AB109" i="126"/>
  <c r="AC109" i="126" s="1"/>
  <c r="AY109" i="126"/>
  <c r="P109" i="126"/>
  <c r="R109" i="126"/>
  <c r="T109" i="126" s="1"/>
  <c r="AK109" i="126"/>
  <c r="AL109" i="126" s="1"/>
  <c r="AE109" i="126"/>
  <c r="AF109" i="126" s="1"/>
  <c r="BQ109" i="126"/>
  <c r="BR109" i="126" s="1"/>
  <c r="BG109" i="126"/>
  <c r="BH109" i="126" s="1"/>
  <c r="V109" i="126"/>
  <c r="W109" i="126" s="1"/>
  <c r="AT109" i="126"/>
  <c r="AN109" i="126"/>
  <c r="AO109" i="126" s="1"/>
  <c r="AH109" i="126"/>
  <c r="AI109" i="126" s="1"/>
  <c r="Y109" i="126"/>
  <c r="Z109" i="126" s="1"/>
  <c r="O109" i="126"/>
  <c r="AQ109" i="126"/>
  <c r="AR109" i="126" s="1"/>
  <c r="BA109" i="126"/>
  <c r="BB109" i="126" s="1"/>
  <c r="BD109" i="126"/>
  <c r="BE109" i="126" s="1"/>
  <c r="AV109" i="126"/>
  <c r="AW109" i="126" s="1"/>
  <c r="K110" i="126"/>
  <c r="BD107" i="120"/>
  <c r="BE107" i="120" s="1"/>
  <c r="O107" i="120"/>
  <c r="V107" i="120"/>
  <c r="W107" i="120" s="1"/>
  <c r="P107" i="120"/>
  <c r="BG107" i="120"/>
  <c r="BH107" i="120" s="1"/>
  <c r="AK107" i="120"/>
  <c r="AL107" i="120" s="1"/>
  <c r="AN107" i="120"/>
  <c r="AO107" i="120" s="1"/>
  <c r="AB107" i="120"/>
  <c r="AC107" i="120" s="1"/>
  <c r="Y107" i="120"/>
  <c r="Z107" i="120" s="1"/>
  <c r="AQ107" i="120"/>
  <c r="AR107" i="120" s="1"/>
  <c r="AY107" i="120"/>
  <c r="R107" i="120"/>
  <c r="T107" i="120" s="1"/>
  <c r="BQ107" i="120"/>
  <c r="BR107" i="120" s="1"/>
  <c r="K108" i="120"/>
  <c r="M107" i="120"/>
  <c r="AH107" i="120"/>
  <c r="AI107" i="120" s="1"/>
  <c r="BA107" i="120"/>
  <c r="BB107" i="120" s="1"/>
  <c r="AV107" i="120"/>
  <c r="AW107" i="120" s="1"/>
  <c r="AE107" i="120"/>
  <c r="AF107" i="120" s="1"/>
  <c r="AT107" i="120"/>
  <c r="BN107" i="120"/>
  <c r="BO107" i="120" s="1"/>
  <c r="AQ109" i="96"/>
  <c r="AR109" i="96" s="1"/>
  <c r="BN109" i="96"/>
  <c r="BO109" i="96" s="1"/>
  <c r="AB109" i="96"/>
  <c r="AC109" i="96" s="1"/>
  <c r="BQ109" i="96"/>
  <c r="BR109" i="96" s="1"/>
  <c r="BA109" i="96"/>
  <c r="BB109" i="96" s="1"/>
  <c r="Y109" i="96"/>
  <c r="Z109" i="96" s="1"/>
  <c r="R109" i="96"/>
  <c r="T109" i="96" s="1"/>
  <c r="BG109" i="96"/>
  <c r="BH109" i="96" s="1"/>
  <c r="AH109" i="96"/>
  <c r="AI109" i="96" s="1"/>
  <c r="BL109" i="96"/>
  <c r="AV109" i="96"/>
  <c r="AW109" i="96" s="1"/>
  <c r="V109" i="96"/>
  <c r="W109" i="96" s="1"/>
  <c r="O109" i="96"/>
  <c r="AE109" i="96"/>
  <c r="AF109" i="96" s="1"/>
  <c r="AT109" i="96"/>
  <c r="P109" i="96"/>
  <c r="M109" i="96"/>
  <c r="AK109" i="96"/>
  <c r="AL109" i="96" s="1"/>
  <c r="BD109" i="96"/>
  <c r="BE109" i="96" s="1"/>
  <c r="AN109" i="96"/>
  <c r="AO109" i="96" s="1"/>
  <c r="BN110" i="135"/>
  <c r="BO110" i="135" s="1"/>
  <c r="O110" i="135"/>
  <c r="AE110" i="135"/>
  <c r="AF110" i="135" s="1"/>
  <c r="Y110" i="135"/>
  <c r="Z110" i="135" s="1"/>
  <c r="AB110" i="135"/>
  <c r="AC110" i="135" s="1"/>
  <c r="AH110" i="135"/>
  <c r="AI110" i="135" s="1"/>
  <c r="R110" i="135"/>
  <c r="T110" i="135" s="1"/>
  <c r="AK110" i="135"/>
  <c r="AL110" i="135" s="1"/>
  <c r="BQ110" i="135"/>
  <c r="BR110" i="135" s="1"/>
  <c r="V110" i="135"/>
  <c r="W110" i="135" s="1"/>
  <c r="M110" i="135"/>
  <c r="AV110" i="135"/>
  <c r="AW110" i="135" s="1"/>
  <c r="BD110" i="135"/>
  <c r="BE110" i="135" s="1"/>
  <c r="AT110" i="135"/>
  <c r="P110" i="135"/>
  <c r="BG110" i="135"/>
  <c r="BH110" i="135" s="1"/>
  <c r="AN110" i="135"/>
  <c r="AO110" i="135" s="1"/>
  <c r="AQ110" i="135"/>
  <c r="AR110" i="135" s="1"/>
  <c r="AY110" i="135"/>
  <c r="BA110" i="135"/>
  <c r="BB110" i="135" s="1"/>
  <c r="BL110" i="135"/>
  <c r="M109" i="114"/>
  <c r="BJ109" i="114"/>
  <c r="BL109" i="114" s="1"/>
  <c r="BK109" i="114"/>
  <c r="BN109" i="114"/>
  <c r="BO109" i="114" s="1"/>
  <c r="AT109" i="114"/>
  <c r="AY109" i="114"/>
  <c r="AH109" i="114"/>
  <c r="AI109" i="114" s="1"/>
  <c r="Y109" i="114"/>
  <c r="Z109" i="114" s="1"/>
  <c r="AE109" i="114"/>
  <c r="AF109" i="114" s="1"/>
  <c r="BA109" i="114"/>
  <c r="BB109" i="114" s="1"/>
  <c r="AK109" i="114"/>
  <c r="AL109" i="114" s="1"/>
  <c r="AV109" i="114"/>
  <c r="AW109" i="114" s="1"/>
  <c r="O109" i="114"/>
  <c r="BD109" i="114"/>
  <c r="BE109" i="114" s="1"/>
  <c r="V109" i="114"/>
  <c r="W109" i="114" s="1"/>
  <c r="P109" i="114"/>
  <c r="BG109" i="114"/>
  <c r="BH109" i="114" s="1"/>
  <c r="AN109" i="114"/>
  <c r="AO109" i="114" s="1"/>
  <c r="R109" i="114"/>
  <c r="T109" i="114" s="1"/>
  <c r="BQ109" i="114"/>
  <c r="BR109" i="114" s="1"/>
  <c r="AB109" i="114"/>
  <c r="AC109" i="114" s="1"/>
  <c r="AQ109" i="114"/>
  <c r="AR109" i="114" s="1"/>
  <c r="K110" i="114"/>
  <c r="I110" i="101"/>
  <c r="K109" i="101"/>
  <c r="K108" i="13"/>
  <c r="I109" i="13"/>
  <c r="I111" i="96"/>
  <c r="K110" i="96"/>
  <c r="I112" i="135"/>
  <c r="K111" i="135"/>
  <c r="I114" i="126"/>
  <c r="I113" i="104"/>
  <c r="I111" i="110"/>
  <c r="K110" i="110"/>
  <c r="BJ111" i="105"/>
  <c r="BL111" i="105" s="1"/>
  <c r="AN111" i="105"/>
  <c r="AO111" i="105" s="1"/>
  <c r="O111" i="105"/>
  <c r="AH111" i="105"/>
  <c r="AI111" i="105" s="1"/>
  <c r="BQ111" i="105"/>
  <c r="BR111" i="105" s="1"/>
  <c r="M111" i="105"/>
  <c r="BK111" i="105"/>
  <c r="AQ111" i="105"/>
  <c r="AR111" i="105" s="1"/>
  <c r="BA111" i="105"/>
  <c r="BB111" i="105" s="1"/>
  <c r="BD111" i="105"/>
  <c r="BE111" i="105" s="1"/>
  <c r="R111" i="105"/>
  <c r="T111" i="105" s="1"/>
  <c r="AV111" i="105"/>
  <c r="AW111" i="105" s="1"/>
  <c r="BN111" i="105"/>
  <c r="BO111" i="105" s="1"/>
  <c r="P111" i="105"/>
  <c r="BG111" i="105"/>
  <c r="BH111" i="105" s="1"/>
  <c r="V111" i="105"/>
  <c r="W111" i="105" s="1"/>
  <c r="AT111" i="105"/>
  <c r="AK111" i="105"/>
  <c r="AL111" i="105" s="1"/>
  <c r="AY111" i="105"/>
  <c r="AB111" i="105"/>
  <c r="AC111" i="105" s="1"/>
  <c r="Y111" i="105"/>
  <c r="Z111" i="105" s="1"/>
  <c r="AE111" i="105"/>
  <c r="AF111" i="105" s="1"/>
  <c r="K112" i="105"/>
  <c r="AN107" i="66"/>
  <c r="AO107" i="66" s="1"/>
  <c r="BA107" i="66"/>
  <c r="BB107" i="66" s="1"/>
  <c r="AY107" i="66"/>
  <c r="R107" i="66"/>
  <c r="T107" i="66" s="1"/>
  <c r="BN107" i="66"/>
  <c r="BO107" i="66" s="1"/>
  <c r="BQ107" i="66"/>
  <c r="BR107" i="66" s="1"/>
  <c r="P107" i="66"/>
  <c r="AH107" i="66"/>
  <c r="AI107" i="66" s="1"/>
  <c r="AK107" i="66"/>
  <c r="AL107" i="66" s="1"/>
  <c r="AT107" i="66"/>
  <c r="AQ107" i="66"/>
  <c r="AR107" i="66" s="1"/>
  <c r="AV107" i="66"/>
  <c r="AW107" i="66" s="1"/>
  <c r="O107" i="66"/>
  <c r="BD107" i="66"/>
  <c r="BE107" i="66" s="1"/>
  <c r="BG107" i="66"/>
  <c r="BH107" i="66" s="1"/>
  <c r="AB107" i="66"/>
  <c r="AC107" i="66" s="1"/>
  <c r="AE107" i="66"/>
  <c r="AF107" i="66" s="1"/>
  <c r="Y107" i="66"/>
  <c r="Z107" i="66" s="1"/>
  <c r="V107" i="66"/>
  <c r="W107" i="66" s="1"/>
  <c r="M107" i="66"/>
  <c r="BL107" i="66"/>
  <c r="BJ113" i="124"/>
  <c r="BL113" i="124" s="1"/>
  <c r="K114" i="124"/>
  <c r="BN113" i="124"/>
  <c r="BO113" i="124" s="1"/>
  <c r="M113" i="124"/>
  <c r="BK113" i="124"/>
  <c r="BA113" i="124"/>
  <c r="BB113" i="124" s="1"/>
  <c r="AV113" i="124"/>
  <c r="AW113" i="124" s="1"/>
  <c r="AQ113" i="124"/>
  <c r="AR113" i="124" s="1"/>
  <c r="AK113" i="124"/>
  <c r="AL113" i="124" s="1"/>
  <c r="P113" i="124"/>
  <c r="AE113" i="124"/>
  <c r="AF113" i="124" s="1"/>
  <c r="V113" i="124"/>
  <c r="W113" i="124" s="1"/>
  <c r="AB113" i="124"/>
  <c r="AC113" i="124" s="1"/>
  <c r="Y113" i="124"/>
  <c r="Z113" i="124" s="1"/>
  <c r="O113" i="124"/>
  <c r="BQ113" i="124"/>
  <c r="BR113" i="124" s="1"/>
  <c r="R113" i="124"/>
  <c r="T113" i="124" s="1"/>
  <c r="AN113" i="124"/>
  <c r="AO113" i="124" s="1"/>
  <c r="BG113" i="124"/>
  <c r="BH113" i="124" s="1"/>
  <c r="AT113" i="124"/>
  <c r="AH113" i="124"/>
  <c r="AI113" i="124" s="1"/>
  <c r="AY113" i="124"/>
  <c r="BD113" i="124"/>
  <c r="BE113" i="124" s="1"/>
  <c r="I114" i="63"/>
  <c r="AN108" i="118"/>
  <c r="AO108" i="118" s="1"/>
  <c r="M108" i="118"/>
  <c r="AY108" i="118"/>
  <c r="K109" i="118"/>
  <c r="BN108" i="118"/>
  <c r="BO108" i="118" s="1"/>
  <c r="BG108" i="118"/>
  <c r="BH108" i="118" s="1"/>
  <c r="P108" i="118"/>
  <c r="AE108" i="118"/>
  <c r="AF108" i="118" s="1"/>
  <c r="V108" i="118"/>
  <c r="W108" i="118" s="1"/>
  <c r="BD108" i="118"/>
  <c r="BE108" i="118" s="1"/>
  <c r="O108" i="118"/>
  <c r="Y108" i="118"/>
  <c r="Z108" i="118" s="1"/>
  <c r="AQ108" i="118"/>
  <c r="AR108" i="118" s="1"/>
  <c r="AT108" i="118"/>
  <c r="R108" i="118"/>
  <c r="T108" i="118" s="1"/>
  <c r="AK108" i="118"/>
  <c r="AL108" i="118" s="1"/>
  <c r="BA108" i="118"/>
  <c r="BB108" i="118" s="1"/>
  <c r="BQ108" i="118"/>
  <c r="BR108" i="118" s="1"/>
  <c r="AB108" i="118"/>
  <c r="AC108" i="118" s="1"/>
  <c r="AH108" i="118"/>
  <c r="AI108" i="118" s="1"/>
  <c r="AV108" i="118"/>
  <c r="AW108" i="118" s="1"/>
  <c r="BL109" i="63"/>
  <c r="AN109" i="63"/>
  <c r="AO109" i="63" s="1"/>
  <c r="V109" i="63"/>
  <c r="W109" i="63" s="1"/>
  <c r="BQ109" i="63"/>
  <c r="BR109" i="63" s="1"/>
  <c r="BG109" i="63"/>
  <c r="BH109" i="63" s="1"/>
  <c r="AQ109" i="63"/>
  <c r="AR109" i="63" s="1"/>
  <c r="BN109" i="63"/>
  <c r="BO109" i="63" s="1"/>
  <c r="AB109" i="63"/>
  <c r="AC109" i="63" s="1"/>
  <c r="AT109" i="63"/>
  <c r="BD109" i="63"/>
  <c r="BE109" i="63" s="1"/>
  <c r="P109" i="63"/>
  <c r="M109" i="63"/>
  <c r="Y109" i="63"/>
  <c r="Z109" i="63" s="1"/>
  <c r="AE109" i="63"/>
  <c r="AF109" i="63" s="1"/>
  <c r="AK109" i="63"/>
  <c r="AL109" i="63" s="1"/>
  <c r="R109" i="63"/>
  <c r="T109" i="63" s="1"/>
  <c r="AV109" i="63"/>
  <c r="AW109" i="63" s="1"/>
  <c r="O109" i="63"/>
  <c r="AY109" i="63"/>
  <c r="BA109" i="63"/>
  <c r="BB109" i="63" s="1"/>
  <c r="AH109" i="63"/>
  <c r="AI109" i="63" s="1"/>
  <c r="K110" i="63"/>
  <c r="M109" i="115"/>
  <c r="AV109" i="115"/>
  <c r="AW109" i="115" s="1"/>
  <c r="BK109" i="115"/>
  <c r="BJ109" i="115"/>
  <c r="BL109" i="115" s="1"/>
  <c r="BN109" i="115"/>
  <c r="BO109" i="115" s="1"/>
  <c r="AK109" i="115"/>
  <c r="AL109" i="115" s="1"/>
  <c r="R109" i="115"/>
  <c r="T109" i="115" s="1"/>
  <c r="BD109" i="115"/>
  <c r="BE109" i="115" s="1"/>
  <c r="O109" i="115"/>
  <c r="AQ109" i="115"/>
  <c r="AR109" i="115" s="1"/>
  <c r="AH109" i="115"/>
  <c r="AI109" i="115" s="1"/>
  <c r="P109" i="115"/>
  <c r="Y109" i="115"/>
  <c r="Z109" i="115" s="1"/>
  <c r="BA109" i="115"/>
  <c r="BB109" i="115" s="1"/>
  <c r="AE109" i="115"/>
  <c r="AF109" i="115" s="1"/>
  <c r="AB109" i="115"/>
  <c r="AC109" i="115" s="1"/>
  <c r="AY109" i="115"/>
  <c r="AN109" i="115"/>
  <c r="AO109" i="115" s="1"/>
  <c r="V109" i="115"/>
  <c r="W109" i="115" s="1"/>
  <c r="BG109" i="115"/>
  <c r="BH109" i="115" s="1"/>
  <c r="BQ109" i="115"/>
  <c r="BR109" i="115" s="1"/>
  <c r="AT109" i="115"/>
  <c r="I109" i="17"/>
  <c r="K108" i="17"/>
  <c r="M111" i="136"/>
  <c r="BL111" i="136"/>
  <c r="BN111" i="136"/>
  <c r="BO111" i="136" s="1"/>
  <c r="BD111" i="136"/>
  <c r="BE111" i="136" s="1"/>
  <c r="Y111" i="136"/>
  <c r="Z111" i="136" s="1"/>
  <c r="AE111" i="136"/>
  <c r="AF111" i="136" s="1"/>
  <c r="AT111" i="136"/>
  <c r="AY111" i="136"/>
  <c r="BQ111" i="136"/>
  <c r="BR111" i="136" s="1"/>
  <c r="BA111" i="136"/>
  <c r="BB111" i="136" s="1"/>
  <c r="R111" i="136"/>
  <c r="T111" i="136" s="1"/>
  <c r="V111" i="136"/>
  <c r="W111" i="136" s="1"/>
  <c r="AQ111" i="136"/>
  <c r="AR111" i="136" s="1"/>
  <c r="AV111" i="136"/>
  <c r="AW111" i="136" s="1"/>
  <c r="P111" i="136"/>
  <c r="AH111" i="136"/>
  <c r="AI111" i="136" s="1"/>
  <c r="O111" i="136"/>
  <c r="AN111" i="136"/>
  <c r="AO111" i="136" s="1"/>
  <c r="BG111" i="136"/>
  <c r="BH111" i="136" s="1"/>
  <c r="AB111" i="136"/>
  <c r="AC111" i="136" s="1"/>
  <c r="AK111" i="136"/>
  <c r="AL111" i="136" s="1"/>
  <c r="K112" i="136"/>
  <c r="R110" i="64"/>
  <c r="T110" i="64" s="1"/>
  <c r="AQ110" i="64"/>
  <c r="AR110" i="64" s="1"/>
  <c r="AY110" i="64"/>
  <c r="AN110" i="64"/>
  <c r="AO110" i="64" s="1"/>
  <c r="AT110" i="64"/>
  <c r="P110" i="64"/>
  <c r="AK110" i="64"/>
  <c r="AL110" i="64" s="1"/>
  <c r="BQ110" i="64"/>
  <c r="BR110" i="64" s="1"/>
  <c r="AE110" i="64"/>
  <c r="AF110" i="64" s="1"/>
  <c r="AH110" i="64"/>
  <c r="AI110" i="64" s="1"/>
  <c r="AV110" i="64"/>
  <c r="AW110" i="64" s="1"/>
  <c r="BG110" i="64"/>
  <c r="BH110" i="64" s="1"/>
  <c r="BN110" i="64"/>
  <c r="BO110" i="64" s="1"/>
  <c r="BA110" i="64"/>
  <c r="BB110" i="64" s="1"/>
  <c r="BD110" i="64"/>
  <c r="BE110" i="64" s="1"/>
  <c r="V110" i="64"/>
  <c r="W110" i="64" s="1"/>
  <c r="Y110" i="64"/>
  <c r="Z110" i="64" s="1"/>
  <c r="O110" i="64"/>
  <c r="M110" i="64"/>
  <c r="AB110" i="64"/>
  <c r="AC110" i="64" s="1"/>
  <c r="BL110" i="64"/>
  <c r="K111" i="64"/>
  <c r="BK109" i="110"/>
  <c r="BJ109" i="110"/>
  <c r="BL109" i="110" s="1"/>
  <c r="M109" i="110"/>
  <c r="BN109" i="110"/>
  <c r="BO109" i="110" s="1"/>
  <c r="AH109" i="110"/>
  <c r="AI109" i="110" s="1"/>
  <c r="BA109" i="110"/>
  <c r="BB109" i="110" s="1"/>
  <c r="P109" i="110"/>
  <c r="AN109" i="110"/>
  <c r="AO109" i="110" s="1"/>
  <c r="BG109" i="110"/>
  <c r="BH109" i="110" s="1"/>
  <c r="V109" i="110"/>
  <c r="W109" i="110" s="1"/>
  <c r="AV109" i="110"/>
  <c r="AW109" i="110" s="1"/>
  <c r="AT109" i="110"/>
  <c r="AE109" i="110"/>
  <c r="AF109" i="110" s="1"/>
  <c r="BD109" i="110"/>
  <c r="BE109" i="110" s="1"/>
  <c r="AB109" i="110"/>
  <c r="AC109" i="110" s="1"/>
  <c r="R109" i="110"/>
  <c r="T109" i="110" s="1"/>
  <c r="AY109" i="110"/>
  <c r="AK109" i="110"/>
  <c r="AL109" i="110" s="1"/>
  <c r="BQ109" i="110"/>
  <c r="BR109" i="110" s="1"/>
  <c r="Y109" i="110"/>
  <c r="Z109" i="110" s="1"/>
  <c r="AQ109" i="110"/>
  <c r="AR109" i="110" s="1"/>
  <c r="O109" i="110"/>
  <c r="V109" i="98"/>
  <c r="W109" i="98" s="1"/>
  <c r="R109" i="98"/>
  <c r="T109" i="98" s="1"/>
  <c r="BG109" i="98"/>
  <c r="BH109" i="98" s="1"/>
  <c r="BD109" i="98"/>
  <c r="BE109" i="98" s="1"/>
  <c r="BN109" i="98"/>
  <c r="BO109" i="98" s="1"/>
  <c r="BQ109" i="98"/>
  <c r="BR109" i="98" s="1"/>
  <c r="AY109" i="98"/>
  <c r="AQ109" i="98"/>
  <c r="AR109" i="98" s="1"/>
  <c r="AN109" i="98"/>
  <c r="AO109" i="98" s="1"/>
  <c r="K110" i="98"/>
  <c r="AT109" i="98"/>
  <c r="BA109" i="98"/>
  <c r="BB109" i="98" s="1"/>
  <c r="AV109" i="98"/>
  <c r="AW109" i="98" s="1"/>
  <c r="AB109" i="98"/>
  <c r="AC109" i="98" s="1"/>
  <c r="AE109" i="98"/>
  <c r="AF109" i="98" s="1"/>
  <c r="Y109" i="98"/>
  <c r="Z109" i="98" s="1"/>
  <c r="O109" i="98"/>
  <c r="AK109" i="98"/>
  <c r="AL109" i="98" s="1"/>
  <c r="AH109" i="98"/>
  <c r="AI109" i="98" s="1"/>
  <c r="BK109" i="98"/>
  <c r="P109" i="98"/>
  <c r="M109" i="98"/>
  <c r="BJ109" i="98"/>
  <c r="BL109" i="98" s="1"/>
  <c r="K108" i="66"/>
  <c r="I109" i="66"/>
  <c r="I113" i="15"/>
  <c r="I111" i="115"/>
  <c r="K110" i="115"/>
  <c r="BN107" i="17"/>
  <c r="BO107" i="17" s="1"/>
  <c r="BL107" i="17"/>
  <c r="AN107" i="17"/>
  <c r="AO107" i="17" s="1"/>
  <c r="AH107" i="17"/>
  <c r="AI107" i="17" s="1"/>
  <c r="AT107" i="17"/>
  <c r="V107" i="17"/>
  <c r="W107" i="17" s="1"/>
  <c r="BQ107" i="17"/>
  <c r="BR107" i="17" s="1"/>
  <c r="P107" i="17"/>
  <c r="BD107" i="17"/>
  <c r="BE107" i="17" s="1"/>
  <c r="AK107" i="17"/>
  <c r="AL107" i="17" s="1"/>
  <c r="O107" i="17"/>
  <c r="AB107" i="17"/>
  <c r="AC107" i="17" s="1"/>
  <c r="R107" i="17"/>
  <c r="T107" i="17" s="1"/>
  <c r="AV107" i="17"/>
  <c r="AW107" i="17" s="1"/>
  <c r="AY107" i="17"/>
  <c r="BG107" i="17"/>
  <c r="BH107" i="17" s="1"/>
  <c r="BA107" i="17"/>
  <c r="BB107" i="17" s="1"/>
  <c r="AE107" i="17"/>
  <c r="AF107" i="17" s="1"/>
  <c r="AQ107" i="17"/>
  <c r="AR107" i="17" s="1"/>
  <c r="M107" i="17"/>
  <c r="Y107" i="17"/>
  <c r="Z107" i="17" s="1"/>
  <c r="M108" i="101"/>
  <c r="AV108" i="101"/>
  <c r="AW108" i="101" s="1"/>
  <c r="AK108" i="101"/>
  <c r="AL108" i="101" s="1"/>
  <c r="BD108" i="101"/>
  <c r="BE108" i="101" s="1"/>
  <c r="BG108" i="101"/>
  <c r="BH108" i="101" s="1"/>
  <c r="P108" i="101"/>
  <c r="BQ108" i="101"/>
  <c r="BR108" i="101" s="1"/>
  <c r="AN108" i="101"/>
  <c r="AO108" i="101" s="1"/>
  <c r="AT108" i="101"/>
  <c r="V108" i="101"/>
  <c r="W108" i="101" s="1"/>
  <c r="AQ108" i="101"/>
  <c r="AR108" i="101" s="1"/>
  <c r="AB108" i="101"/>
  <c r="AC108" i="101" s="1"/>
  <c r="R108" i="101"/>
  <c r="T108" i="101" s="1"/>
  <c r="BA108" i="101"/>
  <c r="BB108" i="101" s="1"/>
  <c r="O108" i="101"/>
  <c r="Y108" i="101"/>
  <c r="Z108" i="101" s="1"/>
  <c r="AE108" i="101"/>
  <c r="AF108" i="101" s="1"/>
  <c r="AY108" i="101"/>
  <c r="AH108" i="101"/>
  <c r="AI108" i="101" s="1"/>
  <c r="F88" i="153" l="1"/>
  <c r="F80" i="153"/>
  <c r="AE111" i="132"/>
  <c r="AF111" i="132" s="1"/>
  <c r="P111" i="132"/>
  <c r="M111" i="132"/>
  <c r="BG111" i="132"/>
  <c r="BH111" i="132" s="1"/>
  <c r="BD111" i="132"/>
  <c r="BE111" i="132" s="1"/>
  <c r="AB111" i="132"/>
  <c r="AC111" i="132" s="1"/>
  <c r="BL111" i="132"/>
  <c r="BA111" i="132"/>
  <c r="BB111" i="132" s="1"/>
  <c r="R111" i="132"/>
  <c r="T111" i="132" s="1"/>
  <c r="AK111" i="132"/>
  <c r="AL111" i="132" s="1"/>
  <c r="V111" i="132"/>
  <c r="W111" i="132" s="1"/>
  <c r="BN111" i="132"/>
  <c r="BO111" i="132" s="1"/>
  <c r="AN111" i="132"/>
  <c r="AO111" i="132" s="1"/>
  <c r="BQ111" i="132"/>
  <c r="BR111" i="132" s="1"/>
  <c r="O111" i="132"/>
  <c r="AQ111" i="132"/>
  <c r="AR111" i="132" s="1"/>
  <c r="Y111" i="132"/>
  <c r="Z111" i="132" s="1"/>
  <c r="AV111" i="132"/>
  <c r="AW111" i="132" s="1"/>
  <c r="K112" i="132"/>
  <c r="AT111" i="132"/>
  <c r="AH111" i="132"/>
  <c r="AI111" i="132" s="1"/>
  <c r="AY111" i="132"/>
  <c r="BK111" i="99"/>
  <c r="AB111" i="99"/>
  <c r="AC111" i="99" s="1"/>
  <c r="AT111" i="99"/>
  <c r="AQ111" i="99"/>
  <c r="AR111" i="99" s="1"/>
  <c r="BN111" i="99"/>
  <c r="BO111" i="99" s="1"/>
  <c r="AV111" i="99"/>
  <c r="AW111" i="99" s="1"/>
  <c r="AY111" i="99"/>
  <c r="M111" i="99"/>
  <c r="R111" i="99"/>
  <c r="T111" i="99" s="1"/>
  <c r="P111" i="99"/>
  <c r="BA111" i="99"/>
  <c r="BB111" i="99" s="1"/>
  <c r="Y111" i="99"/>
  <c r="Z111" i="99" s="1"/>
  <c r="BD111" i="99"/>
  <c r="BE111" i="99" s="1"/>
  <c r="AE111" i="99"/>
  <c r="AF111" i="99" s="1"/>
  <c r="BQ111" i="99"/>
  <c r="BR111" i="99" s="1"/>
  <c r="AN111" i="99"/>
  <c r="AO111" i="99" s="1"/>
  <c r="O111" i="99"/>
  <c r="K112" i="99"/>
  <c r="BJ111" i="99"/>
  <c r="BL111" i="99" s="1"/>
  <c r="AK111" i="99"/>
  <c r="AL111" i="99" s="1"/>
  <c r="BG111" i="99"/>
  <c r="BH111" i="99" s="1"/>
  <c r="AH111" i="99"/>
  <c r="AI111" i="99" s="1"/>
  <c r="V111" i="99"/>
  <c r="W111" i="99" s="1"/>
  <c r="AE113" i="107"/>
  <c r="AF113" i="107" s="1"/>
  <c r="AQ113" i="107"/>
  <c r="AR113" i="107" s="1"/>
  <c r="AT113" i="107"/>
  <c r="AY113" i="107"/>
  <c r="O113" i="107"/>
  <c r="BK113" i="107"/>
  <c r="BA113" i="107"/>
  <c r="BB113" i="107" s="1"/>
  <c r="AK113" i="107"/>
  <c r="AL113" i="107" s="1"/>
  <c r="BG113" i="107"/>
  <c r="BH113" i="107" s="1"/>
  <c r="BJ113" i="107"/>
  <c r="BL113" i="107" s="1"/>
  <c r="P113" i="107"/>
  <c r="BD113" i="107"/>
  <c r="BE113" i="107" s="1"/>
  <c r="AH113" i="107"/>
  <c r="AI113" i="107" s="1"/>
  <c r="M113" i="107"/>
  <c r="V113" i="107"/>
  <c r="W113" i="107" s="1"/>
  <c r="Y113" i="107"/>
  <c r="Z113" i="107" s="1"/>
  <c r="AN113" i="107"/>
  <c r="AO113" i="107" s="1"/>
  <c r="R113" i="107"/>
  <c r="T113" i="107" s="1"/>
  <c r="BQ113" i="107"/>
  <c r="BR113" i="107" s="1"/>
  <c r="AV113" i="107"/>
  <c r="AW113" i="107" s="1"/>
  <c r="BN113" i="107"/>
  <c r="BO113" i="107" s="1"/>
  <c r="AB113" i="107"/>
  <c r="AC113" i="107" s="1"/>
  <c r="K114" i="107"/>
  <c r="AY114" i="156"/>
  <c r="Y114" i="156"/>
  <c r="Z114" i="156" s="1"/>
  <c r="Z116" i="156" s="1"/>
  <c r="BQ114" i="156"/>
  <c r="BR114" i="156" s="1"/>
  <c r="BR116" i="156" s="1"/>
  <c r="F78" i="156" s="1"/>
  <c r="BA114" i="156"/>
  <c r="BB114" i="156" s="1"/>
  <c r="BB116" i="156" s="1"/>
  <c r="F103" i="156" s="1"/>
  <c r="F99" i="156" s="1"/>
  <c r="BL114" i="156"/>
  <c r="BL116" i="156" s="1"/>
  <c r="BN114" i="156"/>
  <c r="BO114" i="156" s="1"/>
  <c r="BO116" i="156" s="1"/>
  <c r="AE114" i="156"/>
  <c r="AF114" i="156" s="1"/>
  <c r="AF116" i="156" s="1"/>
  <c r="AH114" i="156"/>
  <c r="AI114" i="156" s="1"/>
  <c r="AI116" i="156" s="1"/>
  <c r="F87" i="156" s="1"/>
  <c r="V114" i="156"/>
  <c r="W114" i="156" s="1"/>
  <c r="P114" i="156"/>
  <c r="AK114" i="156"/>
  <c r="AL114" i="156" s="1"/>
  <c r="AL116" i="156" s="1"/>
  <c r="BG114" i="156"/>
  <c r="BH114" i="156" s="1"/>
  <c r="BH116" i="156" s="1"/>
  <c r="F112" i="156" s="1"/>
  <c r="BD114" i="156"/>
  <c r="BE114" i="156" s="1"/>
  <c r="BE116" i="156" s="1"/>
  <c r="F111" i="156" s="1"/>
  <c r="AV114" i="156"/>
  <c r="AW114" i="156" s="1"/>
  <c r="AW116" i="156" s="1"/>
  <c r="F96" i="156" s="1"/>
  <c r="F92" i="156" s="1"/>
  <c r="AQ114" i="156"/>
  <c r="AR114" i="156" s="1"/>
  <c r="AR116" i="156" s="1"/>
  <c r="F90" i="156" s="1"/>
  <c r="O114" i="156"/>
  <c r="AN114" i="156"/>
  <c r="AO114" i="156" s="1"/>
  <c r="AO116" i="156" s="1"/>
  <c r="F89" i="156" s="1"/>
  <c r="R114" i="156"/>
  <c r="T114" i="156" s="1"/>
  <c r="M114" i="156"/>
  <c r="AB114" i="156"/>
  <c r="AC114" i="156" s="1"/>
  <c r="AC116" i="156" s="1"/>
  <c r="F81" i="156" s="1"/>
  <c r="F81" i="155"/>
  <c r="F103" i="155"/>
  <c r="F99" i="155" s="1"/>
  <c r="K114" i="151"/>
  <c r="P109" i="112"/>
  <c r="BJ109" i="112"/>
  <c r="BL109" i="112" s="1"/>
  <c r="R109" i="112"/>
  <c r="T109" i="112" s="1"/>
  <c r="AK109" i="112"/>
  <c r="AL109" i="112" s="1"/>
  <c r="BG109" i="112"/>
  <c r="BH109" i="112" s="1"/>
  <c r="AQ109" i="112"/>
  <c r="AR109" i="112" s="1"/>
  <c r="AY109" i="112"/>
  <c r="AV109" i="112"/>
  <c r="AW109" i="112" s="1"/>
  <c r="AT109" i="112"/>
  <c r="V109" i="112"/>
  <c r="W109" i="112" s="1"/>
  <c r="BA109" i="112"/>
  <c r="BB109" i="112" s="1"/>
  <c r="M109" i="112"/>
  <c r="AB109" i="112"/>
  <c r="AC109" i="112" s="1"/>
  <c r="BD109" i="112"/>
  <c r="BE109" i="112" s="1"/>
  <c r="AH109" i="112"/>
  <c r="AI109" i="112" s="1"/>
  <c r="K110" i="112"/>
  <c r="O109" i="112"/>
  <c r="AN109" i="112"/>
  <c r="AO109" i="112" s="1"/>
  <c r="AE109" i="112"/>
  <c r="AF109" i="112" s="1"/>
  <c r="Y109" i="112"/>
  <c r="Z109" i="112" s="1"/>
  <c r="BN109" i="112"/>
  <c r="BO109" i="112" s="1"/>
  <c r="BK109" i="112"/>
  <c r="BQ109" i="112"/>
  <c r="BR109" i="112" s="1"/>
  <c r="F112" i="153"/>
  <c r="AK109" i="104"/>
  <c r="AL109" i="104" s="1"/>
  <c r="AE109" i="104"/>
  <c r="AF109" i="104" s="1"/>
  <c r="BG109" i="104"/>
  <c r="BH109" i="104" s="1"/>
  <c r="BN109" i="104"/>
  <c r="BO109" i="104" s="1"/>
  <c r="AN109" i="104"/>
  <c r="AO109" i="104" s="1"/>
  <c r="AV109" i="104"/>
  <c r="AW109" i="104" s="1"/>
  <c r="O109" i="104"/>
  <c r="BJ109" i="104"/>
  <c r="BL109" i="104" s="1"/>
  <c r="BQ109" i="104"/>
  <c r="BR109" i="104" s="1"/>
  <c r="AQ109" i="104"/>
  <c r="AR109" i="104" s="1"/>
  <c r="P109" i="104"/>
  <c r="M109" i="104"/>
  <c r="BA109" i="104"/>
  <c r="BB109" i="104" s="1"/>
  <c r="AT109" i="104"/>
  <c r="AY109" i="104"/>
  <c r="K110" i="104"/>
  <c r="BK109" i="104"/>
  <c r="AB109" i="104"/>
  <c r="AC109" i="104" s="1"/>
  <c r="AH109" i="104"/>
  <c r="AI109" i="104" s="1"/>
  <c r="R109" i="104"/>
  <c r="T109" i="104" s="1"/>
  <c r="V109" i="104"/>
  <c r="W109" i="104" s="1"/>
  <c r="Y109" i="104"/>
  <c r="Z109" i="104" s="1"/>
  <c r="BD109" i="104"/>
  <c r="BE109" i="104" s="1"/>
  <c r="AB108" i="95"/>
  <c r="AC108" i="95" s="1"/>
  <c r="BQ108" i="95"/>
  <c r="BR108" i="95" s="1"/>
  <c r="Y108" i="95"/>
  <c r="Z108" i="95" s="1"/>
  <c r="K109" i="95"/>
  <c r="BL108" i="95"/>
  <c r="AH108" i="95"/>
  <c r="AI108" i="95" s="1"/>
  <c r="AN108" i="95"/>
  <c r="AO108" i="95" s="1"/>
  <c r="BG108" i="95"/>
  <c r="BH108" i="95" s="1"/>
  <c r="AQ108" i="95"/>
  <c r="AR108" i="95" s="1"/>
  <c r="BD108" i="95"/>
  <c r="BE108" i="95" s="1"/>
  <c r="AV108" i="95"/>
  <c r="AW108" i="95" s="1"/>
  <c r="O108" i="95"/>
  <c r="AT108" i="95"/>
  <c r="M108" i="95"/>
  <c r="V108" i="95"/>
  <c r="W108" i="95" s="1"/>
  <c r="AE108" i="95"/>
  <c r="AF108" i="95" s="1"/>
  <c r="R108" i="95"/>
  <c r="T108" i="95" s="1"/>
  <c r="BN108" i="95"/>
  <c r="BO108" i="95" s="1"/>
  <c r="AK108" i="95"/>
  <c r="AL108" i="95" s="1"/>
  <c r="BA108" i="95"/>
  <c r="BB108" i="95" s="1"/>
  <c r="P108" i="95"/>
  <c r="F87" i="153"/>
  <c r="BG109" i="106"/>
  <c r="BH109" i="106" s="1"/>
  <c r="AT109" i="106"/>
  <c r="AV109" i="106"/>
  <c r="AW109" i="106" s="1"/>
  <c r="M109" i="106"/>
  <c r="AB109" i="106"/>
  <c r="AC109" i="106" s="1"/>
  <c r="AE109" i="106"/>
  <c r="AF109" i="106" s="1"/>
  <c r="R109" i="106"/>
  <c r="T109" i="106" s="1"/>
  <c r="P109" i="106"/>
  <c r="BA109" i="106"/>
  <c r="BB109" i="106" s="1"/>
  <c r="BN109" i="106"/>
  <c r="BO109" i="106" s="1"/>
  <c r="O109" i="106"/>
  <c r="Y109" i="106"/>
  <c r="Z109" i="106" s="1"/>
  <c r="AK109" i="106"/>
  <c r="AL109" i="106" s="1"/>
  <c r="BJ109" i="106"/>
  <c r="BL109" i="106" s="1"/>
  <c r="AY109" i="106"/>
  <c r="AN109" i="106"/>
  <c r="AO109" i="106" s="1"/>
  <c r="BQ109" i="106"/>
  <c r="BR109" i="106" s="1"/>
  <c r="AQ109" i="106"/>
  <c r="AR109" i="106" s="1"/>
  <c r="BK109" i="106"/>
  <c r="BD109" i="106"/>
  <c r="BE109" i="106" s="1"/>
  <c r="AH109" i="106"/>
  <c r="AI109" i="106" s="1"/>
  <c r="V109" i="106"/>
  <c r="W109" i="106" s="1"/>
  <c r="K110" i="106"/>
  <c r="K111" i="129"/>
  <c r="BN110" i="129"/>
  <c r="BO110" i="129" s="1"/>
  <c r="BD110" i="129"/>
  <c r="BE110" i="129" s="1"/>
  <c r="AY110" i="129"/>
  <c r="BG110" i="129"/>
  <c r="BH110" i="129" s="1"/>
  <c r="AH110" i="129"/>
  <c r="AI110" i="129" s="1"/>
  <c r="AE110" i="129"/>
  <c r="AF110" i="129" s="1"/>
  <c r="P110" i="129"/>
  <c r="R110" i="129"/>
  <c r="T110" i="129" s="1"/>
  <c r="AN110" i="129"/>
  <c r="AO110" i="129" s="1"/>
  <c r="Y110" i="129"/>
  <c r="Z110" i="129" s="1"/>
  <c r="BL110" i="129"/>
  <c r="AB110" i="129"/>
  <c r="AC110" i="129" s="1"/>
  <c r="BA110" i="129"/>
  <c r="BB110" i="129" s="1"/>
  <c r="AQ110" i="129"/>
  <c r="AR110" i="129" s="1"/>
  <c r="AK110" i="129"/>
  <c r="AL110" i="129" s="1"/>
  <c r="AV110" i="129"/>
  <c r="AW110" i="129" s="1"/>
  <c r="AT110" i="129"/>
  <c r="M110" i="129"/>
  <c r="BQ110" i="129"/>
  <c r="BR110" i="129" s="1"/>
  <c r="O110" i="129"/>
  <c r="V110" i="129"/>
  <c r="W110" i="129" s="1"/>
  <c r="AQ112" i="133"/>
  <c r="AR112" i="133" s="1"/>
  <c r="AT112" i="133"/>
  <c r="P112" i="133"/>
  <c r="AH112" i="133"/>
  <c r="AI112" i="133" s="1"/>
  <c r="AV112" i="133"/>
  <c r="AW112" i="133" s="1"/>
  <c r="V112" i="133"/>
  <c r="W112" i="133" s="1"/>
  <c r="BN112" i="133"/>
  <c r="BO112" i="133" s="1"/>
  <c r="Y112" i="133"/>
  <c r="Z112" i="133" s="1"/>
  <c r="BD112" i="133"/>
  <c r="BE112" i="133" s="1"/>
  <c r="AE112" i="133"/>
  <c r="AF112" i="133" s="1"/>
  <c r="BL112" i="133"/>
  <c r="AB112" i="133"/>
  <c r="AC112" i="133" s="1"/>
  <c r="BQ112" i="133"/>
  <c r="BR112" i="133" s="1"/>
  <c r="BG112" i="133"/>
  <c r="BH112" i="133" s="1"/>
  <c r="O112" i="133"/>
  <c r="BA112" i="133"/>
  <c r="BB112" i="133" s="1"/>
  <c r="R112" i="133"/>
  <c r="T112" i="133" s="1"/>
  <c r="AK112" i="133"/>
  <c r="AL112" i="133" s="1"/>
  <c r="M112" i="133"/>
  <c r="AY112" i="133"/>
  <c r="AN112" i="133"/>
  <c r="AO112" i="133" s="1"/>
  <c r="K113" i="133"/>
  <c r="F96" i="155"/>
  <c r="F92" i="155" s="1"/>
  <c r="F111" i="155"/>
  <c r="BN110" i="130"/>
  <c r="BO110" i="130" s="1"/>
  <c r="BL110" i="130"/>
  <c r="K111" i="130"/>
  <c r="M110" i="130"/>
  <c r="AH110" i="130"/>
  <c r="AI110" i="130" s="1"/>
  <c r="R110" i="130"/>
  <c r="T110" i="130" s="1"/>
  <c r="AQ110" i="130"/>
  <c r="AR110" i="130" s="1"/>
  <c r="AT110" i="130"/>
  <c r="BA110" i="130"/>
  <c r="BB110" i="130" s="1"/>
  <c r="BD110" i="130"/>
  <c r="BE110" i="130" s="1"/>
  <c r="BG110" i="130"/>
  <c r="BH110" i="130" s="1"/>
  <c r="BQ110" i="130"/>
  <c r="BR110" i="130" s="1"/>
  <c r="V110" i="130"/>
  <c r="W110" i="130" s="1"/>
  <c r="AB110" i="130"/>
  <c r="AC110" i="130" s="1"/>
  <c r="AK110" i="130"/>
  <c r="AL110" i="130" s="1"/>
  <c r="AY110" i="130"/>
  <c r="Y110" i="130"/>
  <c r="Z110" i="130" s="1"/>
  <c r="AE110" i="130"/>
  <c r="AF110" i="130" s="1"/>
  <c r="P110" i="130"/>
  <c r="AN110" i="130"/>
  <c r="AO110" i="130" s="1"/>
  <c r="AV110" i="130"/>
  <c r="AW110" i="130" s="1"/>
  <c r="O110" i="130"/>
  <c r="F88" i="155"/>
  <c r="F80" i="155"/>
  <c r="F90" i="155"/>
  <c r="F112" i="155"/>
  <c r="F79" i="155"/>
  <c r="F111" i="153"/>
  <c r="F107" i="153" s="1"/>
  <c r="F89" i="155"/>
  <c r="F112" i="152"/>
  <c r="F87" i="152"/>
  <c r="F79" i="153"/>
  <c r="F90" i="153"/>
  <c r="F96" i="153"/>
  <c r="F92" i="153" s="1"/>
  <c r="F96" i="152"/>
  <c r="F92" i="152" s="1"/>
  <c r="F89" i="153"/>
  <c r="F81" i="153"/>
  <c r="F103" i="152"/>
  <c r="F99" i="152" s="1"/>
  <c r="F89" i="152"/>
  <c r="F81" i="152"/>
  <c r="F88" i="152"/>
  <c r="F80" i="152"/>
  <c r="F111" i="152"/>
  <c r="F79" i="152"/>
  <c r="F90" i="152"/>
  <c r="BD114" i="151"/>
  <c r="BE114" i="151" s="1"/>
  <c r="AQ114" i="151"/>
  <c r="AR114" i="151" s="1"/>
  <c r="AK114" i="151"/>
  <c r="AL114" i="151" s="1"/>
  <c r="AE114" i="151"/>
  <c r="AF114" i="151" s="1"/>
  <c r="Y114" i="151"/>
  <c r="Z114" i="151" s="1"/>
  <c r="R114" i="151"/>
  <c r="T114" i="151" s="1"/>
  <c r="AV114" i="151"/>
  <c r="AW114" i="151" s="1"/>
  <c r="AN114" i="151"/>
  <c r="AO114" i="151" s="1"/>
  <c r="O114" i="151"/>
  <c r="BQ114" i="151"/>
  <c r="BR114" i="151" s="1"/>
  <c r="BA114" i="151"/>
  <c r="BB114" i="151" s="1"/>
  <c r="AB114" i="151"/>
  <c r="AC114" i="151" s="1"/>
  <c r="AY114" i="151"/>
  <c r="AH114" i="151"/>
  <c r="AI114" i="151" s="1"/>
  <c r="P114" i="151"/>
  <c r="AT114" i="151"/>
  <c r="BG114" i="151"/>
  <c r="BH114" i="151" s="1"/>
  <c r="V114" i="151"/>
  <c r="W114" i="151" s="1"/>
  <c r="BN114" i="151"/>
  <c r="BO114" i="151" s="1"/>
  <c r="M114" i="151"/>
  <c r="BL114" i="151"/>
  <c r="BD113" i="151"/>
  <c r="BE113" i="151" s="1"/>
  <c r="AQ113" i="151"/>
  <c r="AR113" i="151" s="1"/>
  <c r="AK113" i="151"/>
  <c r="AL113" i="151" s="1"/>
  <c r="AE113" i="151"/>
  <c r="AF113" i="151" s="1"/>
  <c r="Y113" i="151"/>
  <c r="Z113" i="151" s="1"/>
  <c r="R113" i="151"/>
  <c r="T113" i="151" s="1"/>
  <c r="BQ113" i="151"/>
  <c r="BR113" i="151" s="1"/>
  <c r="BA113" i="151"/>
  <c r="BB113" i="151" s="1"/>
  <c r="AB113" i="151"/>
  <c r="AC113" i="151" s="1"/>
  <c r="AV113" i="151"/>
  <c r="AW113" i="151" s="1"/>
  <c r="AN113" i="151"/>
  <c r="AO113" i="151" s="1"/>
  <c r="O113" i="151"/>
  <c r="AT113" i="151"/>
  <c r="BG113" i="151"/>
  <c r="BH113" i="151" s="1"/>
  <c r="V113" i="151"/>
  <c r="W113" i="151" s="1"/>
  <c r="P113" i="151"/>
  <c r="AY113" i="151"/>
  <c r="AH113" i="151"/>
  <c r="AI113" i="151" s="1"/>
  <c r="BN113" i="151"/>
  <c r="BO113" i="151" s="1"/>
  <c r="M113" i="151"/>
  <c r="BL113" i="151"/>
  <c r="BQ112" i="150"/>
  <c r="BR112" i="150" s="1"/>
  <c r="AY112" i="150"/>
  <c r="BD112" i="150"/>
  <c r="BE112" i="150" s="1"/>
  <c r="AQ112" i="150"/>
  <c r="AR112" i="150" s="1"/>
  <c r="AK112" i="150"/>
  <c r="AL112" i="150" s="1"/>
  <c r="AE112" i="150"/>
  <c r="AF112" i="150" s="1"/>
  <c r="Y112" i="150"/>
  <c r="Z112" i="150" s="1"/>
  <c r="R112" i="150"/>
  <c r="T112" i="150" s="1"/>
  <c r="AV112" i="150"/>
  <c r="AW112" i="150" s="1"/>
  <c r="BG112" i="150"/>
  <c r="BH112" i="150" s="1"/>
  <c r="AT112" i="150"/>
  <c r="AH112" i="150"/>
  <c r="AI112" i="150" s="1"/>
  <c r="V112" i="150"/>
  <c r="W112" i="150" s="1"/>
  <c r="P112" i="150"/>
  <c r="AN112" i="150"/>
  <c r="AO112" i="150" s="1"/>
  <c r="AB112" i="150"/>
  <c r="AC112" i="150" s="1"/>
  <c r="O112" i="150"/>
  <c r="BA112" i="150"/>
  <c r="BB112" i="150" s="1"/>
  <c r="M112" i="150"/>
  <c r="BN112" i="150"/>
  <c r="BO112" i="150" s="1"/>
  <c r="BL112" i="150"/>
  <c r="K113" i="150"/>
  <c r="BG114" i="149"/>
  <c r="BH114" i="149" s="1"/>
  <c r="BH116" i="149" s="1"/>
  <c r="BA114" i="149"/>
  <c r="BB114" i="149" s="1"/>
  <c r="BB116" i="149" s="1"/>
  <c r="AT114" i="149"/>
  <c r="AN114" i="149"/>
  <c r="AO114" i="149" s="1"/>
  <c r="AO116" i="149" s="1"/>
  <c r="AH114" i="149"/>
  <c r="AI114" i="149" s="1"/>
  <c r="AI116" i="149" s="1"/>
  <c r="AB114" i="149"/>
  <c r="AC114" i="149" s="1"/>
  <c r="AC116" i="149" s="1"/>
  <c r="V114" i="149"/>
  <c r="W114" i="149" s="1"/>
  <c r="O114" i="149"/>
  <c r="BQ114" i="149"/>
  <c r="BR114" i="149" s="1"/>
  <c r="BR116" i="149" s="1"/>
  <c r="F78" i="149" s="1"/>
  <c r="AY114" i="149"/>
  <c r="BD114" i="149"/>
  <c r="BE114" i="149" s="1"/>
  <c r="BE116" i="149" s="1"/>
  <c r="AQ114" i="149"/>
  <c r="AR114" i="149" s="1"/>
  <c r="AR116" i="149" s="1"/>
  <c r="AE114" i="149"/>
  <c r="AF114" i="149" s="1"/>
  <c r="AF116" i="149" s="1"/>
  <c r="R114" i="149"/>
  <c r="T114" i="149" s="1"/>
  <c r="P114" i="149"/>
  <c r="Y114" i="149"/>
  <c r="Z114" i="149" s="1"/>
  <c r="Z116" i="149" s="1"/>
  <c r="AK114" i="149"/>
  <c r="AL114" i="149" s="1"/>
  <c r="AL116" i="149" s="1"/>
  <c r="AV114" i="149"/>
  <c r="AW114" i="149" s="1"/>
  <c r="AW116" i="149" s="1"/>
  <c r="F96" i="149" s="1"/>
  <c r="BN114" i="149"/>
  <c r="BO114" i="149" s="1"/>
  <c r="BO116" i="149" s="1"/>
  <c r="M114" i="149"/>
  <c r="BL114" i="149"/>
  <c r="BL116" i="149" s="1"/>
  <c r="K114" i="147"/>
  <c r="BQ113" i="147"/>
  <c r="BR113" i="147" s="1"/>
  <c r="AY113" i="147"/>
  <c r="BD113" i="147"/>
  <c r="BE113" i="147" s="1"/>
  <c r="AQ113" i="147"/>
  <c r="AR113" i="147" s="1"/>
  <c r="AK113" i="147"/>
  <c r="AL113" i="147" s="1"/>
  <c r="AE113" i="147"/>
  <c r="AF113" i="147" s="1"/>
  <c r="Y113" i="147"/>
  <c r="Z113" i="147" s="1"/>
  <c r="R113" i="147"/>
  <c r="T113" i="147" s="1"/>
  <c r="AV113" i="147"/>
  <c r="AW113" i="147" s="1"/>
  <c r="BG113" i="147"/>
  <c r="BH113" i="147" s="1"/>
  <c r="AT113" i="147"/>
  <c r="AH113" i="147"/>
  <c r="AI113" i="147" s="1"/>
  <c r="V113" i="147"/>
  <c r="W113" i="147" s="1"/>
  <c r="P113" i="147"/>
  <c r="BA113" i="147"/>
  <c r="BB113" i="147" s="1"/>
  <c r="AN113" i="147"/>
  <c r="AO113" i="147" s="1"/>
  <c r="AB113" i="147"/>
  <c r="AC113" i="147" s="1"/>
  <c r="O113" i="147"/>
  <c r="M113" i="147"/>
  <c r="BJ113" i="147"/>
  <c r="BL113" i="147" s="1"/>
  <c r="BK113" i="147"/>
  <c r="BN113" i="147"/>
  <c r="BO113" i="147" s="1"/>
  <c r="K113" i="146"/>
  <c r="I114" i="146"/>
  <c r="BQ112" i="146"/>
  <c r="BR112" i="146" s="1"/>
  <c r="AY112" i="146"/>
  <c r="BD112" i="146"/>
  <c r="BE112" i="146" s="1"/>
  <c r="AQ112" i="146"/>
  <c r="AR112" i="146" s="1"/>
  <c r="AK112" i="146"/>
  <c r="AL112" i="146" s="1"/>
  <c r="AE112" i="146"/>
  <c r="AF112" i="146" s="1"/>
  <c r="Y112" i="146"/>
  <c r="Z112" i="146" s="1"/>
  <c r="R112" i="146"/>
  <c r="T112" i="146" s="1"/>
  <c r="BG112" i="146"/>
  <c r="BH112" i="146" s="1"/>
  <c r="AT112" i="146"/>
  <c r="AH112" i="146"/>
  <c r="AI112" i="146" s="1"/>
  <c r="V112" i="146"/>
  <c r="W112" i="146" s="1"/>
  <c r="P112" i="146"/>
  <c r="BA112" i="146"/>
  <c r="BB112" i="146" s="1"/>
  <c r="AN112" i="146"/>
  <c r="AO112" i="146" s="1"/>
  <c r="AB112" i="146"/>
  <c r="AC112" i="146" s="1"/>
  <c r="O112" i="146"/>
  <c r="AV112" i="146"/>
  <c r="AW112" i="146" s="1"/>
  <c r="BJ112" i="146"/>
  <c r="BL112" i="146" s="1"/>
  <c r="BN112" i="146"/>
  <c r="BO112" i="146" s="1"/>
  <c r="M112" i="146"/>
  <c r="BK112" i="146"/>
  <c r="M110" i="115"/>
  <c r="BK110" i="115"/>
  <c r="BJ110" i="115"/>
  <c r="BL110" i="115" s="1"/>
  <c r="BN110" i="115"/>
  <c r="BO110" i="115" s="1"/>
  <c r="BQ110" i="115"/>
  <c r="BR110" i="115" s="1"/>
  <c r="O110" i="115"/>
  <c r="P110" i="115"/>
  <c r="Y110" i="115"/>
  <c r="Z110" i="115" s="1"/>
  <c r="AT110" i="115"/>
  <c r="AE110" i="115"/>
  <c r="AF110" i="115" s="1"/>
  <c r="V110" i="115"/>
  <c r="W110" i="115" s="1"/>
  <c r="AY110" i="115"/>
  <c r="BD110" i="115"/>
  <c r="BE110" i="115" s="1"/>
  <c r="AQ110" i="115"/>
  <c r="AR110" i="115" s="1"/>
  <c r="AV110" i="115"/>
  <c r="AW110" i="115" s="1"/>
  <c r="AN110" i="115"/>
  <c r="AO110" i="115" s="1"/>
  <c r="AH110" i="115"/>
  <c r="AI110" i="115" s="1"/>
  <c r="R110" i="115"/>
  <c r="T110" i="115" s="1"/>
  <c r="BA110" i="115"/>
  <c r="BB110" i="115" s="1"/>
  <c r="AK110" i="115"/>
  <c r="AL110" i="115" s="1"/>
  <c r="AB110" i="115"/>
  <c r="AC110" i="115" s="1"/>
  <c r="BG110" i="115"/>
  <c r="BH110" i="115" s="1"/>
  <c r="I114" i="15"/>
  <c r="BL108" i="17"/>
  <c r="BN108" i="17"/>
  <c r="BO108" i="17" s="1"/>
  <c r="AT108" i="17"/>
  <c r="BG108" i="17"/>
  <c r="BH108" i="17" s="1"/>
  <c r="AN108" i="17"/>
  <c r="AO108" i="17" s="1"/>
  <c r="R108" i="17"/>
  <c r="T108" i="17" s="1"/>
  <c r="P108" i="17"/>
  <c r="BD108" i="17"/>
  <c r="BE108" i="17" s="1"/>
  <c r="AE108" i="17"/>
  <c r="AF108" i="17" s="1"/>
  <c r="BQ108" i="17"/>
  <c r="BR108" i="17" s="1"/>
  <c r="AV108" i="17"/>
  <c r="AW108" i="17" s="1"/>
  <c r="AY108" i="17"/>
  <c r="AQ108" i="17"/>
  <c r="AR108" i="17" s="1"/>
  <c r="AK108" i="17"/>
  <c r="AL108" i="17" s="1"/>
  <c r="AH108" i="17"/>
  <c r="AI108" i="17" s="1"/>
  <c r="AB108" i="17"/>
  <c r="AC108" i="17" s="1"/>
  <c r="BA108" i="17"/>
  <c r="BB108" i="17" s="1"/>
  <c r="V108" i="17"/>
  <c r="W108" i="17" s="1"/>
  <c r="O108" i="17"/>
  <c r="M108" i="17"/>
  <c r="Y108" i="17"/>
  <c r="Z108" i="17" s="1"/>
  <c r="BN111" i="135"/>
  <c r="BO111" i="135" s="1"/>
  <c r="M111" i="135"/>
  <c r="BD111" i="135"/>
  <c r="BE111" i="135" s="1"/>
  <c r="AY111" i="135"/>
  <c r="P111" i="135"/>
  <c r="BA111" i="135"/>
  <c r="BB111" i="135" s="1"/>
  <c r="V111" i="135"/>
  <c r="W111" i="135" s="1"/>
  <c r="BG111" i="135"/>
  <c r="BH111" i="135" s="1"/>
  <c r="AH111" i="135"/>
  <c r="AI111" i="135" s="1"/>
  <c r="AQ111" i="135"/>
  <c r="AR111" i="135" s="1"/>
  <c r="BQ111" i="135"/>
  <c r="BR111" i="135" s="1"/>
  <c r="AT111" i="135"/>
  <c r="R111" i="135"/>
  <c r="T111" i="135" s="1"/>
  <c r="AN111" i="135"/>
  <c r="AO111" i="135" s="1"/>
  <c r="AB111" i="135"/>
  <c r="AC111" i="135" s="1"/>
  <c r="AV111" i="135"/>
  <c r="AW111" i="135" s="1"/>
  <c r="AE111" i="135"/>
  <c r="AF111" i="135" s="1"/>
  <c r="O111" i="135"/>
  <c r="Y111" i="135"/>
  <c r="Z111" i="135" s="1"/>
  <c r="AK111" i="135"/>
  <c r="AL111" i="135" s="1"/>
  <c r="BL111" i="135"/>
  <c r="K109" i="13"/>
  <c r="I110" i="13"/>
  <c r="I112" i="115"/>
  <c r="K111" i="115"/>
  <c r="I110" i="66"/>
  <c r="K109" i="66"/>
  <c r="I110" i="17"/>
  <c r="K109" i="17"/>
  <c r="BN114" i="124"/>
  <c r="BO114" i="124" s="1"/>
  <c r="BJ114" i="124"/>
  <c r="BL114" i="124" s="1"/>
  <c r="BK114" i="124"/>
  <c r="M114" i="124"/>
  <c r="BD114" i="124"/>
  <c r="BE114" i="124" s="1"/>
  <c r="P114" i="124"/>
  <c r="AB114" i="124"/>
  <c r="AC114" i="124" s="1"/>
  <c r="R114" i="124"/>
  <c r="T114" i="124" s="1"/>
  <c r="AH114" i="124"/>
  <c r="AI114" i="124" s="1"/>
  <c r="AQ114" i="124"/>
  <c r="AR114" i="124" s="1"/>
  <c r="AE114" i="124"/>
  <c r="AF114" i="124" s="1"/>
  <c r="BQ114" i="124"/>
  <c r="BR114" i="124" s="1"/>
  <c r="V114" i="124"/>
  <c r="W114" i="124" s="1"/>
  <c r="AV114" i="124"/>
  <c r="AW114" i="124" s="1"/>
  <c r="O114" i="124"/>
  <c r="Y114" i="124"/>
  <c r="Z114" i="124" s="1"/>
  <c r="BA114" i="124"/>
  <c r="BB114" i="124" s="1"/>
  <c r="AY114" i="124"/>
  <c r="AT114" i="124"/>
  <c r="AK114" i="124"/>
  <c r="AL114" i="124" s="1"/>
  <c r="AN114" i="124"/>
  <c r="AO114" i="124" s="1"/>
  <c r="BG114" i="124"/>
  <c r="BH114" i="124" s="1"/>
  <c r="I114" i="104"/>
  <c r="I113" i="135"/>
  <c r="K112" i="135"/>
  <c r="M108" i="13"/>
  <c r="BN108" i="13"/>
  <c r="BO108" i="13" s="1"/>
  <c r="P108" i="13"/>
  <c r="V108" i="13"/>
  <c r="W108" i="13" s="1"/>
  <c r="Y108" i="13"/>
  <c r="Z108" i="13" s="1"/>
  <c r="AE108" i="13"/>
  <c r="AF108" i="13" s="1"/>
  <c r="BA108" i="13"/>
  <c r="BB108" i="13" s="1"/>
  <c r="AQ108" i="13"/>
  <c r="AR108" i="13" s="1"/>
  <c r="AB108" i="13"/>
  <c r="AC108" i="13" s="1"/>
  <c r="AY108" i="13"/>
  <c r="AN108" i="13"/>
  <c r="AO108" i="13" s="1"/>
  <c r="BL108" i="13"/>
  <c r="BQ108" i="13"/>
  <c r="BR108" i="13" s="1"/>
  <c r="AH108" i="13"/>
  <c r="AI108" i="13" s="1"/>
  <c r="R108" i="13"/>
  <c r="T108" i="13" s="1"/>
  <c r="AK108" i="13"/>
  <c r="AL108" i="13" s="1"/>
  <c r="BG108" i="13"/>
  <c r="BH108" i="13" s="1"/>
  <c r="AV108" i="13"/>
  <c r="AW108" i="13" s="1"/>
  <c r="BD108" i="13"/>
  <c r="BE108" i="13" s="1"/>
  <c r="O108" i="13"/>
  <c r="AT108" i="13"/>
  <c r="BL109" i="15"/>
  <c r="BN109" i="15"/>
  <c r="BO109" i="15" s="1"/>
  <c r="AN109" i="15"/>
  <c r="AO109" i="15" s="1"/>
  <c r="BG109" i="15"/>
  <c r="BH109" i="15" s="1"/>
  <c r="AK109" i="15"/>
  <c r="AL109" i="15" s="1"/>
  <c r="AV109" i="15"/>
  <c r="AW109" i="15" s="1"/>
  <c r="AH109" i="15"/>
  <c r="AI109" i="15" s="1"/>
  <c r="AQ109" i="15"/>
  <c r="AR109" i="15" s="1"/>
  <c r="BA109" i="15"/>
  <c r="BB109" i="15" s="1"/>
  <c r="BQ109" i="15"/>
  <c r="BR109" i="15" s="1"/>
  <c r="AB109" i="15"/>
  <c r="AC109" i="15" s="1"/>
  <c r="AE109" i="15"/>
  <c r="AF109" i="15" s="1"/>
  <c r="O109" i="15"/>
  <c r="BD109" i="15"/>
  <c r="BE109" i="15" s="1"/>
  <c r="Y109" i="15"/>
  <c r="Z109" i="15" s="1"/>
  <c r="M109" i="15"/>
  <c r="R109" i="15"/>
  <c r="T109" i="15" s="1"/>
  <c r="AT109" i="15"/>
  <c r="AY109" i="15"/>
  <c r="P109" i="15"/>
  <c r="V109" i="15"/>
  <c r="W109" i="15" s="1"/>
  <c r="K110" i="15"/>
  <c r="BD110" i="98"/>
  <c r="BE110" i="98" s="1"/>
  <c r="M110" i="98"/>
  <c r="AV110" i="98"/>
  <c r="AW110" i="98" s="1"/>
  <c r="AN110" i="98"/>
  <c r="AO110" i="98" s="1"/>
  <c r="O110" i="98"/>
  <c r="AK110" i="98"/>
  <c r="AL110" i="98" s="1"/>
  <c r="AE110" i="98"/>
  <c r="AF110" i="98" s="1"/>
  <c r="AY110" i="98"/>
  <c r="P110" i="98"/>
  <c r="R110" i="98"/>
  <c r="T110" i="98" s="1"/>
  <c r="BN110" i="98"/>
  <c r="BO110" i="98" s="1"/>
  <c r="K111" i="98"/>
  <c r="BG110" i="98"/>
  <c r="BH110" i="98" s="1"/>
  <c r="AH110" i="98"/>
  <c r="AI110" i="98" s="1"/>
  <c r="AB110" i="98"/>
  <c r="AC110" i="98" s="1"/>
  <c r="BA110" i="98"/>
  <c r="BB110" i="98" s="1"/>
  <c r="AT110" i="98"/>
  <c r="Y110" i="98"/>
  <c r="Z110" i="98" s="1"/>
  <c r="BJ110" i="98"/>
  <c r="BL110" i="98" s="1"/>
  <c r="AQ110" i="98"/>
  <c r="AR110" i="98" s="1"/>
  <c r="BQ110" i="98"/>
  <c r="BR110" i="98" s="1"/>
  <c r="BK110" i="98"/>
  <c r="V110" i="98"/>
  <c r="W110" i="98" s="1"/>
  <c r="AH111" i="64"/>
  <c r="AI111" i="64" s="1"/>
  <c r="AK111" i="64"/>
  <c r="AL111" i="64" s="1"/>
  <c r="BG111" i="64"/>
  <c r="BH111" i="64" s="1"/>
  <c r="AN111" i="64"/>
  <c r="AO111" i="64" s="1"/>
  <c r="AT111" i="64"/>
  <c r="BD111" i="64"/>
  <c r="BE111" i="64" s="1"/>
  <c r="Y111" i="64"/>
  <c r="Z111" i="64" s="1"/>
  <c r="V111" i="64"/>
  <c r="W111" i="64" s="1"/>
  <c r="AE111" i="64"/>
  <c r="AF111" i="64" s="1"/>
  <c r="BA111" i="64"/>
  <c r="BB111" i="64" s="1"/>
  <c r="R111" i="64"/>
  <c r="T111" i="64" s="1"/>
  <c r="P111" i="64"/>
  <c r="AQ111" i="64"/>
  <c r="AR111" i="64" s="1"/>
  <c r="AB111" i="64"/>
  <c r="AC111" i="64" s="1"/>
  <c r="M111" i="64"/>
  <c r="AY111" i="64"/>
  <c r="O111" i="64"/>
  <c r="BQ111" i="64"/>
  <c r="BR111" i="64" s="1"/>
  <c r="AV111" i="64"/>
  <c r="AW111" i="64" s="1"/>
  <c r="BN111" i="64"/>
  <c r="BO111" i="64" s="1"/>
  <c r="BL111" i="64"/>
  <c r="K112" i="64"/>
  <c r="BN110" i="63"/>
  <c r="BO110" i="63" s="1"/>
  <c r="M110" i="63"/>
  <c r="AH110" i="63"/>
  <c r="AI110" i="63" s="1"/>
  <c r="AB110" i="63"/>
  <c r="AC110" i="63" s="1"/>
  <c r="BQ110" i="63"/>
  <c r="BR110" i="63" s="1"/>
  <c r="R110" i="63"/>
  <c r="T110" i="63" s="1"/>
  <c r="O110" i="63"/>
  <c r="AE110" i="63"/>
  <c r="AF110" i="63" s="1"/>
  <c r="BG110" i="63"/>
  <c r="BH110" i="63" s="1"/>
  <c r="AY110" i="63"/>
  <c r="BA110" i="63"/>
  <c r="BB110" i="63" s="1"/>
  <c r="BD110" i="63"/>
  <c r="BE110" i="63" s="1"/>
  <c r="V110" i="63"/>
  <c r="W110" i="63" s="1"/>
  <c r="AN110" i="63"/>
  <c r="AO110" i="63" s="1"/>
  <c r="AT110" i="63"/>
  <c r="AQ110" i="63"/>
  <c r="AR110" i="63" s="1"/>
  <c r="Y110" i="63"/>
  <c r="Z110" i="63" s="1"/>
  <c r="AV110" i="63"/>
  <c r="AW110" i="63" s="1"/>
  <c r="P110" i="63"/>
  <c r="AK110" i="63"/>
  <c r="AL110" i="63" s="1"/>
  <c r="BL110" i="63"/>
  <c r="K111" i="63"/>
  <c r="AQ108" i="120"/>
  <c r="AR108" i="120" s="1"/>
  <c r="AN108" i="120"/>
  <c r="AO108" i="120" s="1"/>
  <c r="AB108" i="120"/>
  <c r="AC108" i="120" s="1"/>
  <c r="V108" i="120"/>
  <c r="W108" i="120" s="1"/>
  <c r="R108" i="120"/>
  <c r="T108" i="120" s="1"/>
  <c r="AE108" i="120"/>
  <c r="AF108" i="120" s="1"/>
  <c r="Y108" i="120"/>
  <c r="Z108" i="120" s="1"/>
  <c r="AY108" i="120"/>
  <c r="BQ108" i="120"/>
  <c r="BR108" i="120" s="1"/>
  <c r="AT108" i="120"/>
  <c r="O108" i="120"/>
  <c r="P108" i="120"/>
  <c r="M108" i="120"/>
  <c r="BA108" i="120"/>
  <c r="BB108" i="120" s="1"/>
  <c r="AV108" i="120"/>
  <c r="AW108" i="120" s="1"/>
  <c r="BG108" i="120"/>
  <c r="BH108" i="120" s="1"/>
  <c r="BD108" i="120"/>
  <c r="BE108" i="120" s="1"/>
  <c r="K109" i="120"/>
  <c r="AK108" i="120"/>
  <c r="AL108" i="120" s="1"/>
  <c r="AH108" i="120"/>
  <c r="AI108" i="120" s="1"/>
  <c r="BN108" i="120"/>
  <c r="BO108" i="120" s="1"/>
  <c r="O108" i="66"/>
  <c r="AH108" i="66"/>
  <c r="AI108" i="66" s="1"/>
  <c r="AK108" i="66"/>
  <c r="AL108" i="66" s="1"/>
  <c r="AB108" i="66"/>
  <c r="AC108" i="66" s="1"/>
  <c r="AE108" i="66"/>
  <c r="AF108" i="66" s="1"/>
  <c r="Y108" i="66"/>
  <c r="Z108" i="66" s="1"/>
  <c r="BD108" i="66"/>
  <c r="BE108" i="66" s="1"/>
  <c r="BG108" i="66"/>
  <c r="BH108" i="66" s="1"/>
  <c r="AN108" i="66"/>
  <c r="AO108" i="66" s="1"/>
  <c r="BA108" i="66"/>
  <c r="BB108" i="66" s="1"/>
  <c r="AY108" i="66"/>
  <c r="V108" i="66"/>
  <c r="W108" i="66" s="1"/>
  <c r="M108" i="66"/>
  <c r="BQ108" i="66"/>
  <c r="BR108" i="66" s="1"/>
  <c r="P108" i="66"/>
  <c r="BN108" i="66"/>
  <c r="BO108" i="66" s="1"/>
  <c r="R108" i="66"/>
  <c r="T108" i="66" s="1"/>
  <c r="AQ108" i="66"/>
  <c r="AR108" i="66" s="1"/>
  <c r="AV108" i="66"/>
  <c r="AW108" i="66" s="1"/>
  <c r="AT108" i="66"/>
  <c r="BL108" i="66"/>
  <c r="M112" i="136"/>
  <c r="BL112" i="136"/>
  <c r="BN112" i="136"/>
  <c r="BO112" i="136" s="1"/>
  <c r="AV112" i="136"/>
  <c r="AW112" i="136" s="1"/>
  <c r="BD112" i="136"/>
  <c r="BE112" i="136" s="1"/>
  <c r="BA112" i="136"/>
  <c r="BB112" i="136" s="1"/>
  <c r="AQ112" i="136"/>
  <c r="AR112" i="136" s="1"/>
  <c r="BG112" i="136"/>
  <c r="BH112" i="136" s="1"/>
  <c r="Y112" i="136"/>
  <c r="Z112" i="136" s="1"/>
  <c r="AT112" i="136"/>
  <c r="AN112" i="136"/>
  <c r="AO112" i="136" s="1"/>
  <c r="AY112" i="136"/>
  <c r="AE112" i="136"/>
  <c r="AF112" i="136" s="1"/>
  <c r="AB112" i="136"/>
  <c r="AC112" i="136" s="1"/>
  <c r="BQ112" i="136"/>
  <c r="BR112" i="136" s="1"/>
  <c r="AH112" i="136"/>
  <c r="AI112" i="136" s="1"/>
  <c r="V112" i="136"/>
  <c r="W112" i="136" s="1"/>
  <c r="P112" i="136"/>
  <c r="R112" i="136"/>
  <c r="T112" i="136" s="1"/>
  <c r="O112" i="136"/>
  <c r="AK112" i="136"/>
  <c r="AL112" i="136" s="1"/>
  <c r="K113" i="136"/>
  <c r="M109" i="118"/>
  <c r="BD109" i="118"/>
  <c r="BE109" i="118" s="1"/>
  <c r="K110" i="118"/>
  <c r="BN109" i="118"/>
  <c r="BO109" i="118" s="1"/>
  <c r="AT109" i="118"/>
  <c r="AV109" i="118"/>
  <c r="AW109" i="118" s="1"/>
  <c r="BG109" i="118"/>
  <c r="BH109" i="118" s="1"/>
  <c r="AE109" i="118"/>
  <c r="AF109" i="118" s="1"/>
  <c r="P109" i="118"/>
  <c r="BA109" i="118"/>
  <c r="BB109" i="118" s="1"/>
  <c r="R109" i="118"/>
  <c r="T109" i="118" s="1"/>
  <c r="AB109" i="118"/>
  <c r="AC109" i="118" s="1"/>
  <c r="BQ109" i="118"/>
  <c r="BR109" i="118" s="1"/>
  <c r="V109" i="118"/>
  <c r="W109" i="118" s="1"/>
  <c r="Y109" i="118"/>
  <c r="Z109" i="118" s="1"/>
  <c r="O109" i="118"/>
  <c r="AN109" i="118"/>
  <c r="AO109" i="118" s="1"/>
  <c r="AK109" i="118"/>
  <c r="AL109" i="118" s="1"/>
  <c r="AQ109" i="118"/>
  <c r="AR109" i="118" s="1"/>
  <c r="AH109" i="118"/>
  <c r="AI109" i="118" s="1"/>
  <c r="AY109" i="118"/>
  <c r="BN110" i="110"/>
  <c r="BO110" i="110" s="1"/>
  <c r="BK110" i="110"/>
  <c r="BJ110" i="110"/>
  <c r="BL110" i="110" s="1"/>
  <c r="M110" i="110"/>
  <c r="P110" i="110"/>
  <c r="AK110" i="110"/>
  <c r="AL110" i="110" s="1"/>
  <c r="AE110" i="110"/>
  <c r="AF110" i="110" s="1"/>
  <c r="BD110" i="110"/>
  <c r="BE110" i="110" s="1"/>
  <c r="AY110" i="110"/>
  <c r="O110" i="110"/>
  <c r="AN110" i="110"/>
  <c r="AO110" i="110" s="1"/>
  <c r="AT110" i="110"/>
  <c r="AV110" i="110"/>
  <c r="AW110" i="110" s="1"/>
  <c r="R110" i="110"/>
  <c r="T110" i="110" s="1"/>
  <c r="BA110" i="110"/>
  <c r="BB110" i="110" s="1"/>
  <c r="AB110" i="110"/>
  <c r="AC110" i="110" s="1"/>
  <c r="AQ110" i="110"/>
  <c r="AR110" i="110" s="1"/>
  <c r="Y110" i="110"/>
  <c r="Z110" i="110" s="1"/>
  <c r="BQ110" i="110"/>
  <c r="BR110" i="110" s="1"/>
  <c r="AH110" i="110"/>
  <c r="AI110" i="110" s="1"/>
  <c r="BG110" i="110"/>
  <c r="BH110" i="110" s="1"/>
  <c r="V110" i="110"/>
  <c r="W110" i="110" s="1"/>
  <c r="AQ110" i="96"/>
  <c r="AR110" i="96" s="1"/>
  <c r="Y110" i="96"/>
  <c r="Z110" i="96" s="1"/>
  <c r="BG110" i="96"/>
  <c r="BH110" i="96" s="1"/>
  <c r="AK110" i="96"/>
  <c r="AL110" i="96" s="1"/>
  <c r="BD110" i="96"/>
  <c r="BE110" i="96" s="1"/>
  <c r="R110" i="96"/>
  <c r="T110" i="96" s="1"/>
  <c r="BN110" i="96"/>
  <c r="BO110" i="96" s="1"/>
  <c r="AE110" i="96"/>
  <c r="AF110" i="96" s="1"/>
  <c r="O110" i="96"/>
  <c r="AH110" i="96"/>
  <c r="AI110" i="96" s="1"/>
  <c r="BQ110" i="96"/>
  <c r="BR110" i="96" s="1"/>
  <c r="P110" i="96"/>
  <c r="V110" i="96"/>
  <c r="W110" i="96" s="1"/>
  <c r="AB110" i="96"/>
  <c r="AC110" i="96" s="1"/>
  <c r="AN110" i="96"/>
  <c r="AO110" i="96" s="1"/>
  <c r="BA110" i="96"/>
  <c r="BB110" i="96" s="1"/>
  <c r="M110" i="96"/>
  <c r="AV110" i="96"/>
  <c r="AW110" i="96" s="1"/>
  <c r="BL110" i="96"/>
  <c r="AT110" i="96"/>
  <c r="M109" i="101"/>
  <c r="AT109" i="101"/>
  <c r="BQ109" i="101"/>
  <c r="BR109" i="101" s="1"/>
  <c r="BG109" i="101"/>
  <c r="BH109" i="101" s="1"/>
  <c r="AY109" i="101"/>
  <c r="AK109" i="101"/>
  <c r="AL109" i="101" s="1"/>
  <c r="O109" i="101"/>
  <c r="BA109" i="101"/>
  <c r="BB109" i="101" s="1"/>
  <c r="AH109" i="101"/>
  <c r="AI109" i="101" s="1"/>
  <c r="R109" i="101"/>
  <c r="T109" i="101" s="1"/>
  <c r="AB109" i="101"/>
  <c r="AC109" i="101" s="1"/>
  <c r="P109" i="101"/>
  <c r="AQ109" i="101"/>
  <c r="AR109" i="101" s="1"/>
  <c r="AV109" i="101"/>
  <c r="AW109" i="101" s="1"/>
  <c r="Y109" i="101"/>
  <c r="Z109" i="101" s="1"/>
  <c r="AE109" i="101"/>
  <c r="AF109" i="101" s="1"/>
  <c r="BD109" i="101"/>
  <c r="BE109" i="101" s="1"/>
  <c r="AN109" i="101"/>
  <c r="AO109" i="101" s="1"/>
  <c r="V109" i="101"/>
  <c r="W109" i="101" s="1"/>
  <c r="M110" i="114"/>
  <c r="BN110" i="114"/>
  <c r="BO110" i="114" s="1"/>
  <c r="BK110" i="114"/>
  <c r="BJ110" i="114"/>
  <c r="BL110" i="114" s="1"/>
  <c r="AQ110" i="114"/>
  <c r="AR110" i="114" s="1"/>
  <c r="AV110" i="114"/>
  <c r="AW110" i="114" s="1"/>
  <c r="AN110" i="114"/>
  <c r="AO110" i="114" s="1"/>
  <c r="O110" i="114"/>
  <c r="BA110" i="114"/>
  <c r="BB110" i="114" s="1"/>
  <c r="BD110" i="114"/>
  <c r="BE110" i="114" s="1"/>
  <c r="BG110" i="114"/>
  <c r="BH110" i="114" s="1"/>
  <c r="AB110" i="114"/>
  <c r="AC110" i="114" s="1"/>
  <c r="P110" i="114"/>
  <c r="V110" i="114"/>
  <c r="W110" i="114" s="1"/>
  <c r="AK110" i="114"/>
  <c r="AL110" i="114" s="1"/>
  <c r="Y110" i="114"/>
  <c r="Z110" i="114" s="1"/>
  <c r="AE110" i="114"/>
  <c r="AF110" i="114" s="1"/>
  <c r="AH110" i="114"/>
  <c r="AI110" i="114" s="1"/>
  <c r="R110" i="114"/>
  <c r="T110" i="114" s="1"/>
  <c r="AT110" i="114"/>
  <c r="AY110" i="114"/>
  <c r="BQ110" i="114"/>
  <c r="BR110" i="114" s="1"/>
  <c r="K111" i="114"/>
  <c r="M110" i="126"/>
  <c r="BK110" i="126"/>
  <c r="BJ110" i="126"/>
  <c r="BL110" i="126" s="1"/>
  <c r="BN110" i="126"/>
  <c r="BO110" i="126" s="1"/>
  <c r="AV110" i="126"/>
  <c r="AW110" i="126" s="1"/>
  <c r="AH110" i="126"/>
  <c r="AI110" i="126" s="1"/>
  <c r="BG110" i="126"/>
  <c r="BH110" i="126" s="1"/>
  <c r="Y110" i="126"/>
  <c r="Z110" i="126" s="1"/>
  <c r="BQ110" i="126"/>
  <c r="BR110" i="126" s="1"/>
  <c r="BA110" i="126"/>
  <c r="BB110" i="126" s="1"/>
  <c r="AK110" i="126"/>
  <c r="AL110" i="126" s="1"/>
  <c r="AY110" i="126"/>
  <c r="BD110" i="126"/>
  <c r="BE110" i="126" s="1"/>
  <c r="AN110" i="126"/>
  <c r="AO110" i="126" s="1"/>
  <c r="R110" i="126"/>
  <c r="T110" i="126" s="1"/>
  <c r="AQ110" i="126"/>
  <c r="AR110" i="126" s="1"/>
  <c r="AE110" i="126"/>
  <c r="AF110" i="126" s="1"/>
  <c r="P110" i="126"/>
  <c r="AT110" i="126"/>
  <c r="V110" i="126"/>
  <c r="W110" i="126" s="1"/>
  <c r="O110" i="126"/>
  <c r="AB110" i="126"/>
  <c r="AC110" i="126" s="1"/>
  <c r="K111" i="126"/>
  <c r="BK112" i="105"/>
  <c r="BJ112" i="105"/>
  <c r="BL112" i="105" s="1"/>
  <c r="AE112" i="105"/>
  <c r="AF112" i="105" s="1"/>
  <c r="P112" i="105"/>
  <c r="BQ112" i="105"/>
  <c r="BR112" i="105" s="1"/>
  <c r="BD112" i="105"/>
  <c r="BE112" i="105" s="1"/>
  <c r="AT112" i="105"/>
  <c r="R112" i="105"/>
  <c r="T112" i="105" s="1"/>
  <c r="AH112" i="105"/>
  <c r="AI112" i="105" s="1"/>
  <c r="AN112" i="105"/>
  <c r="AO112" i="105" s="1"/>
  <c r="O112" i="105"/>
  <c r="AY112" i="105"/>
  <c r="M112" i="105"/>
  <c r="BN112" i="105"/>
  <c r="BO112" i="105" s="1"/>
  <c r="BG112" i="105"/>
  <c r="BH112" i="105" s="1"/>
  <c r="Y112" i="105"/>
  <c r="Z112" i="105" s="1"/>
  <c r="BA112" i="105"/>
  <c r="BB112" i="105" s="1"/>
  <c r="AK112" i="105"/>
  <c r="AL112" i="105" s="1"/>
  <c r="AQ112" i="105"/>
  <c r="AR112" i="105" s="1"/>
  <c r="AB112" i="105"/>
  <c r="AC112" i="105" s="1"/>
  <c r="AV112" i="105"/>
  <c r="AW112" i="105" s="1"/>
  <c r="V112" i="105"/>
  <c r="W112" i="105" s="1"/>
  <c r="K113" i="105"/>
  <c r="I112" i="110"/>
  <c r="K111" i="110"/>
  <c r="I112" i="96"/>
  <c r="K111" i="96"/>
  <c r="I111" i="101"/>
  <c r="K110" i="101"/>
  <c r="BE117" i="124"/>
  <c r="AL117" i="124"/>
  <c r="BO117" i="124"/>
  <c r="AI117" i="124"/>
  <c r="BB117" i="124"/>
  <c r="U28" i="10"/>
  <c r="V28" i="10"/>
  <c r="AO117" i="124"/>
  <c r="Z117" i="124"/>
  <c r="BR117" i="124"/>
  <c r="F79" i="156" l="1"/>
  <c r="F80" i="156"/>
  <c r="F88" i="156"/>
  <c r="BN114" i="107"/>
  <c r="BO114" i="107" s="1"/>
  <c r="Y114" i="107"/>
  <c r="Z114" i="107" s="1"/>
  <c r="Z116" i="107" s="1"/>
  <c r="AQ114" i="107"/>
  <c r="AR114" i="107" s="1"/>
  <c r="M114" i="107"/>
  <c r="AV114" i="107"/>
  <c r="AW114" i="107" s="1"/>
  <c r="AK114" i="107"/>
  <c r="AL114" i="107" s="1"/>
  <c r="BQ114" i="107"/>
  <c r="BR114" i="107" s="1"/>
  <c r="O114" i="107"/>
  <c r="BA114" i="107"/>
  <c r="BB114" i="107" s="1"/>
  <c r="BJ114" i="107"/>
  <c r="BL114" i="107" s="1"/>
  <c r="BL116" i="107" s="1"/>
  <c r="AY114" i="107"/>
  <c r="R114" i="107"/>
  <c r="T114" i="107" s="1"/>
  <c r="AT114" i="107"/>
  <c r="BK114" i="107"/>
  <c r="AN114" i="107"/>
  <c r="AO114" i="107" s="1"/>
  <c r="BG114" i="107"/>
  <c r="BH114" i="107" s="1"/>
  <c r="V114" i="107"/>
  <c r="W114" i="107" s="1"/>
  <c r="BD114" i="107"/>
  <c r="BE114" i="107" s="1"/>
  <c r="AB114" i="107"/>
  <c r="AC114" i="107" s="1"/>
  <c r="P114" i="107"/>
  <c r="AH114" i="107"/>
  <c r="AI114" i="107" s="1"/>
  <c r="AE114" i="107"/>
  <c r="AF114" i="107" s="1"/>
  <c r="R112" i="132"/>
  <c r="T112" i="132" s="1"/>
  <c r="BQ112" i="132"/>
  <c r="BR112" i="132" s="1"/>
  <c r="AB112" i="132"/>
  <c r="AC112" i="132" s="1"/>
  <c r="BN112" i="132"/>
  <c r="BO112" i="132" s="1"/>
  <c r="BL112" i="132"/>
  <c r="BG112" i="132"/>
  <c r="BH112" i="132" s="1"/>
  <c r="AK112" i="132"/>
  <c r="AL112" i="132" s="1"/>
  <c r="Y112" i="132"/>
  <c r="Z112" i="132" s="1"/>
  <c r="M112" i="132"/>
  <c r="AE112" i="132"/>
  <c r="AF112" i="132" s="1"/>
  <c r="AT112" i="132"/>
  <c r="AQ112" i="132"/>
  <c r="AR112" i="132" s="1"/>
  <c r="AY112" i="132"/>
  <c r="AV112" i="132"/>
  <c r="AW112" i="132" s="1"/>
  <c r="BA112" i="132"/>
  <c r="BB112" i="132" s="1"/>
  <c r="P112" i="132"/>
  <c r="BD112" i="132"/>
  <c r="BE112" i="132" s="1"/>
  <c r="K113" i="132"/>
  <c r="V112" i="132"/>
  <c r="W112" i="132" s="1"/>
  <c r="O112" i="132"/>
  <c r="AN112" i="132"/>
  <c r="AO112" i="132" s="1"/>
  <c r="AH112" i="132"/>
  <c r="AI112" i="132" s="1"/>
  <c r="AK112" i="99"/>
  <c r="AL112" i="99" s="1"/>
  <c r="O112" i="99"/>
  <c r="R112" i="99"/>
  <c r="T112" i="99" s="1"/>
  <c r="AT112" i="99"/>
  <c r="BD112" i="99"/>
  <c r="BE112" i="99" s="1"/>
  <c r="V112" i="99"/>
  <c r="W112" i="99" s="1"/>
  <c r="P112" i="99"/>
  <c r="BQ112" i="99"/>
  <c r="BR112" i="99" s="1"/>
  <c r="AY112" i="99"/>
  <c r="BN112" i="99"/>
  <c r="BO112" i="99" s="1"/>
  <c r="BA112" i="99"/>
  <c r="BB112" i="99" s="1"/>
  <c r="Y112" i="99"/>
  <c r="Z112" i="99" s="1"/>
  <c r="BG112" i="99"/>
  <c r="BH112" i="99" s="1"/>
  <c r="AE112" i="99"/>
  <c r="AF112" i="99" s="1"/>
  <c r="M112" i="99"/>
  <c r="AN112" i="99"/>
  <c r="AO112" i="99" s="1"/>
  <c r="AH112" i="99"/>
  <c r="AI112" i="99" s="1"/>
  <c r="BJ112" i="99"/>
  <c r="BL112" i="99" s="1"/>
  <c r="AB112" i="99"/>
  <c r="AC112" i="99" s="1"/>
  <c r="AQ112" i="99"/>
  <c r="AR112" i="99" s="1"/>
  <c r="K113" i="99"/>
  <c r="BK112" i="99"/>
  <c r="AV112" i="99"/>
  <c r="AW112" i="99" s="1"/>
  <c r="F74" i="156"/>
  <c r="F83" i="156"/>
  <c r="F107" i="156"/>
  <c r="BK110" i="112"/>
  <c r="AE110" i="112"/>
  <c r="AF110" i="112" s="1"/>
  <c r="AY110" i="112"/>
  <c r="AK110" i="112"/>
  <c r="AL110" i="112" s="1"/>
  <c r="BD110" i="112"/>
  <c r="BE110" i="112" s="1"/>
  <c r="BA110" i="112"/>
  <c r="BB110" i="112" s="1"/>
  <c r="BG110" i="112"/>
  <c r="BH110" i="112" s="1"/>
  <c r="AB110" i="112"/>
  <c r="AC110" i="112" s="1"/>
  <c r="AN110" i="112"/>
  <c r="AO110" i="112" s="1"/>
  <c r="V110" i="112"/>
  <c r="W110" i="112" s="1"/>
  <c r="P110" i="112"/>
  <c r="K111" i="112"/>
  <c r="AH110" i="112"/>
  <c r="AI110" i="112" s="1"/>
  <c r="AQ110" i="112"/>
  <c r="AR110" i="112" s="1"/>
  <c r="O110" i="112"/>
  <c r="BN110" i="112"/>
  <c r="BO110" i="112" s="1"/>
  <c r="R110" i="112"/>
  <c r="T110" i="112" s="1"/>
  <c r="M110" i="112"/>
  <c r="BQ110" i="112"/>
  <c r="BR110" i="112" s="1"/>
  <c r="BJ110" i="112"/>
  <c r="BL110" i="112" s="1"/>
  <c r="AV110" i="112"/>
  <c r="AW110" i="112" s="1"/>
  <c r="Y110" i="112"/>
  <c r="Z110" i="112" s="1"/>
  <c r="AT110" i="112"/>
  <c r="M113" i="133"/>
  <c r="BQ113" i="133"/>
  <c r="BR113" i="133" s="1"/>
  <c r="AE113" i="133"/>
  <c r="AF113" i="133" s="1"/>
  <c r="BG113" i="133"/>
  <c r="BH113" i="133" s="1"/>
  <c r="AQ113" i="133"/>
  <c r="AR113" i="133" s="1"/>
  <c r="AB113" i="133"/>
  <c r="AC113" i="133" s="1"/>
  <c r="BN113" i="133"/>
  <c r="BO113" i="133" s="1"/>
  <c r="R113" i="133"/>
  <c r="T113" i="133" s="1"/>
  <c r="BD113" i="133"/>
  <c r="BE113" i="133" s="1"/>
  <c r="AV113" i="133"/>
  <c r="AW113" i="133" s="1"/>
  <c r="V113" i="133"/>
  <c r="W113" i="133" s="1"/>
  <c r="P113" i="133"/>
  <c r="AN113" i="133"/>
  <c r="AO113" i="133" s="1"/>
  <c r="O113" i="133"/>
  <c r="BA113" i="133"/>
  <c r="BB113" i="133" s="1"/>
  <c r="AT113" i="133"/>
  <c r="Y113" i="133"/>
  <c r="Z113" i="133" s="1"/>
  <c r="AK113" i="133"/>
  <c r="AL113" i="133" s="1"/>
  <c r="BL113" i="133"/>
  <c r="AH113" i="133"/>
  <c r="AI113" i="133" s="1"/>
  <c r="AY113" i="133"/>
  <c r="K114" i="133"/>
  <c r="BA111" i="129"/>
  <c r="BB111" i="129" s="1"/>
  <c r="Y111" i="129"/>
  <c r="Z111" i="129" s="1"/>
  <c r="AE111" i="129"/>
  <c r="AF111" i="129" s="1"/>
  <c r="AB111" i="129"/>
  <c r="AC111" i="129" s="1"/>
  <c r="BG111" i="129"/>
  <c r="BH111" i="129" s="1"/>
  <c r="AK111" i="129"/>
  <c r="AL111" i="129" s="1"/>
  <c r="V111" i="129"/>
  <c r="W111" i="129" s="1"/>
  <c r="AT111" i="129"/>
  <c r="BD111" i="129"/>
  <c r="BE111" i="129" s="1"/>
  <c r="AQ111" i="129"/>
  <c r="AR111" i="129" s="1"/>
  <c r="R111" i="129"/>
  <c r="T111" i="129" s="1"/>
  <c r="BL111" i="129"/>
  <c r="M111" i="129"/>
  <c r="BN111" i="129"/>
  <c r="BO111" i="129" s="1"/>
  <c r="BQ111" i="129"/>
  <c r="BR111" i="129" s="1"/>
  <c r="O111" i="129"/>
  <c r="AH111" i="129"/>
  <c r="AI111" i="129" s="1"/>
  <c r="AY111" i="129"/>
  <c r="K112" i="129"/>
  <c r="AV111" i="129"/>
  <c r="AW111" i="129" s="1"/>
  <c r="AN111" i="129"/>
  <c r="AO111" i="129" s="1"/>
  <c r="P111" i="129"/>
  <c r="BN109" i="95"/>
  <c r="BO109" i="95" s="1"/>
  <c r="V109" i="95"/>
  <c r="W109" i="95" s="1"/>
  <c r="AT109" i="95"/>
  <c r="BD109" i="95"/>
  <c r="BE109" i="95" s="1"/>
  <c r="M109" i="95"/>
  <c r="AQ109" i="95"/>
  <c r="AR109" i="95" s="1"/>
  <c r="BG109" i="95"/>
  <c r="BH109" i="95" s="1"/>
  <c r="R109" i="95"/>
  <c r="T109" i="95" s="1"/>
  <c r="AE109" i="95"/>
  <c r="AF109" i="95" s="1"/>
  <c r="BA109" i="95"/>
  <c r="BB109" i="95" s="1"/>
  <c r="BQ109" i="95"/>
  <c r="BR109" i="95" s="1"/>
  <c r="K110" i="95"/>
  <c r="Y109" i="95"/>
  <c r="Z109" i="95" s="1"/>
  <c r="BL109" i="95"/>
  <c r="AV109" i="95"/>
  <c r="AW109" i="95" s="1"/>
  <c r="AB109" i="95"/>
  <c r="AC109" i="95" s="1"/>
  <c r="AK109" i="95"/>
  <c r="AL109" i="95" s="1"/>
  <c r="AN109" i="95"/>
  <c r="AO109" i="95" s="1"/>
  <c r="O109" i="95"/>
  <c r="AH109" i="95"/>
  <c r="AI109" i="95" s="1"/>
  <c r="P109" i="95"/>
  <c r="AN110" i="106"/>
  <c r="AO110" i="106" s="1"/>
  <c r="AK110" i="106"/>
  <c r="AL110" i="106" s="1"/>
  <c r="AV110" i="106"/>
  <c r="AW110" i="106" s="1"/>
  <c r="BN110" i="106"/>
  <c r="BO110" i="106" s="1"/>
  <c r="O110" i="106"/>
  <c r="AB110" i="106"/>
  <c r="AC110" i="106" s="1"/>
  <c r="P110" i="106"/>
  <c r="AY110" i="106"/>
  <c r="BQ110" i="106"/>
  <c r="BR110" i="106" s="1"/>
  <c r="M110" i="106"/>
  <c r="AQ110" i="106"/>
  <c r="AR110" i="106" s="1"/>
  <c r="BD110" i="106"/>
  <c r="BE110" i="106" s="1"/>
  <c r="AT110" i="106"/>
  <c r="BJ110" i="106"/>
  <c r="BL110" i="106" s="1"/>
  <c r="Y110" i="106"/>
  <c r="Z110" i="106" s="1"/>
  <c r="BA110" i="106"/>
  <c r="BB110" i="106" s="1"/>
  <c r="R110" i="106"/>
  <c r="T110" i="106" s="1"/>
  <c r="BK110" i="106"/>
  <c r="AH110" i="106"/>
  <c r="AI110" i="106" s="1"/>
  <c r="BG110" i="106"/>
  <c r="BH110" i="106" s="1"/>
  <c r="AE110" i="106"/>
  <c r="AF110" i="106" s="1"/>
  <c r="V110" i="106"/>
  <c r="W110" i="106" s="1"/>
  <c r="K111" i="106"/>
  <c r="BN110" i="104"/>
  <c r="BO110" i="104" s="1"/>
  <c r="AY110" i="104"/>
  <c r="Y110" i="104"/>
  <c r="Z110" i="104" s="1"/>
  <c r="R110" i="104"/>
  <c r="T110" i="104" s="1"/>
  <c r="M110" i="104"/>
  <c r="P110" i="104"/>
  <c r="AQ110" i="104"/>
  <c r="AR110" i="104" s="1"/>
  <c r="AB110" i="104"/>
  <c r="AC110" i="104" s="1"/>
  <c r="K111" i="104"/>
  <c r="BJ110" i="104"/>
  <c r="BL110" i="104" s="1"/>
  <c r="BD110" i="104"/>
  <c r="BE110" i="104" s="1"/>
  <c r="AT110" i="104"/>
  <c r="BA110" i="104"/>
  <c r="BB110" i="104" s="1"/>
  <c r="BK110" i="104"/>
  <c r="AK110" i="104"/>
  <c r="AL110" i="104" s="1"/>
  <c r="AV110" i="104"/>
  <c r="AW110" i="104" s="1"/>
  <c r="AE110" i="104"/>
  <c r="AF110" i="104" s="1"/>
  <c r="O110" i="104"/>
  <c r="V110" i="104"/>
  <c r="W110" i="104" s="1"/>
  <c r="AN110" i="104"/>
  <c r="AO110" i="104" s="1"/>
  <c r="BQ110" i="104"/>
  <c r="BR110" i="104" s="1"/>
  <c r="BG110" i="104"/>
  <c r="BH110" i="104" s="1"/>
  <c r="AH110" i="104"/>
  <c r="AI110" i="104" s="1"/>
  <c r="F107" i="155"/>
  <c r="F74" i="155"/>
  <c r="BL111" i="130"/>
  <c r="K112" i="130"/>
  <c r="BN111" i="130"/>
  <c r="BO111" i="130" s="1"/>
  <c r="M111" i="130"/>
  <c r="P111" i="130"/>
  <c r="V111" i="130"/>
  <c r="W111" i="130" s="1"/>
  <c r="BQ111" i="130"/>
  <c r="BR111" i="130" s="1"/>
  <c r="AV111" i="130"/>
  <c r="AW111" i="130" s="1"/>
  <c r="O111" i="130"/>
  <c r="AQ111" i="130"/>
  <c r="AR111" i="130" s="1"/>
  <c r="AB111" i="130"/>
  <c r="AC111" i="130" s="1"/>
  <c r="BD111" i="130"/>
  <c r="BE111" i="130" s="1"/>
  <c r="AE111" i="130"/>
  <c r="AF111" i="130" s="1"/>
  <c r="AY111" i="130"/>
  <c r="Y111" i="130"/>
  <c r="Z111" i="130" s="1"/>
  <c r="AK111" i="130"/>
  <c r="AL111" i="130" s="1"/>
  <c r="BG111" i="130"/>
  <c r="BH111" i="130" s="1"/>
  <c r="AH111" i="130"/>
  <c r="AI111" i="130" s="1"/>
  <c r="R111" i="130"/>
  <c r="T111" i="130" s="1"/>
  <c r="AN111" i="130"/>
  <c r="AO111" i="130" s="1"/>
  <c r="AT111" i="130"/>
  <c r="BA111" i="130"/>
  <c r="BB111" i="130" s="1"/>
  <c r="F83" i="155"/>
  <c r="F99" i="153"/>
  <c r="F107" i="152"/>
  <c r="F83" i="153"/>
  <c r="F74" i="153"/>
  <c r="F88" i="149"/>
  <c r="F80" i="149"/>
  <c r="F83" i="152"/>
  <c r="F74" i="152"/>
  <c r="AC116" i="151"/>
  <c r="AO116" i="151"/>
  <c r="AF116" i="151"/>
  <c r="BO116" i="151"/>
  <c r="BB116" i="151"/>
  <c r="AW116" i="151"/>
  <c r="AL116" i="151"/>
  <c r="AI116" i="151"/>
  <c r="BR116" i="151"/>
  <c r="F78" i="151" s="1"/>
  <c r="AR116" i="151"/>
  <c r="BL116" i="151"/>
  <c r="BH116" i="151"/>
  <c r="Z116" i="151"/>
  <c r="BE116" i="151"/>
  <c r="BQ113" i="150"/>
  <c r="BR113" i="150" s="1"/>
  <c r="AY113" i="150"/>
  <c r="BD113" i="150"/>
  <c r="BE113" i="150" s="1"/>
  <c r="AQ113" i="150"/>
  <c r="AR113" i="150" s="1"/>
  <c r="AK113" i="150"/>
  <c r="AL113" i="150" s="1"/>
  <c r="AE113" i="150"/>
  <c r="AF113" i="150" s="1"/>
  <c r="Y113" i="150"/>
  <c r="Z113" i="150" s="1"/>
  <c r="R113" i="150"/>
  <c r="T113" i="150" s="1"/>
  <c r="AV113" i="150"/>
  <c r="AW113" i="150" s="1"/>
  <c r="BG113" i="150"/>
  <c r="BH113" i="150" s="1"/>
  <c r="AT113" i="150"/>
  <c r="AH113" i="150"/>
  <c r="AI113" i="150" s="1"/>
  <c r="V113" i="150"/>
  <c r="W113" i="150" s="1"/>
  <c r="P113" i="150"/>
  <c r="AB113" i="150"/>
  <c r="AC113" i="150" s="1"/>
  <c r="O113" i="150"/>
  <c r="BA113" i="150"/>
  <c r="BB113" i="150" s="1"/>
  <c r="AN113" i="150"/>
  <c r="AO113" i="150" s="1"/>
  <c r="M113" i="150"/>
  <c r="BN113" i="150"/>
  <c r="BO113" i="150" s="1"/>
  <c r="BL113" i="150"/>
  <c r="K114" i="150"/>
  <c r="F79" i="149"/>
  <c r="F92" i="149"/>
  <c r="F90" i="149"/>
  <c r="F89" i="149"/>
  <c r="F111" i="149"/>
  <c r="F81" i="149"/>
  <c r="F103" i="149"/>
  <c r="F99" i="149" s="1"/>
  <c r="F87" i="149"/>
  <c r="F112" i="149"/>
  <c r="BQ114" i="147"/>
  <c r="BR114" i="147" s="1"/>
  <c r="AY114" i="147"/>
  <c r="BD114" i="147"/>
  <c r="BE114" i="147" s="1"/>
  <c r="AQ114" i="147"/>
  <c r="AR114" i="147" s="1"/>
  <c r="AK114" i="147"/>
  <c r="AL114" i="147" s="1"/>
  <c r="AE114" i="147"/>
  <c r="AF114" i="147" s="1"/>
  <c r="Y114" i="147"/>
  <c r="Z114" i="147" s="1"/>
  <c r="R114" i="147"/>
  <c r="T114" i="147" s="1"/>
  <c r="AV114" i="147"/>
  <c r="AW114" i="147" s="1"/>
  <c r="BG114" i="147"/>
  <c r="BH114" i="147" s="1"/>
  <c r="AT114" i="147"/>
  <c r="AH114" i="147"/>
  <c r="AI114" i="147" s="1"/>
  <c r="V114" i="147"/>
  <c r="W114" i="147" s="1"/>
  <c r="P114" i="147"/>
  <c r="BA114" i="147"/>
  <c r="BB114" i="147" s="1"/>
  <c r="AN114" i="147"/>
  <c r="AO114" i="147" s="1"/>
  <c r="AB114" i="147"/>
  <c r="AC114" i="147" s="1"/>
  <c r="O114" i="147"/>
  <c r="BJ114" i="147"/>
  <c r="BL114" i="147" s="1"/>
  <c r="BK114" i="147"/>
  <c r="BN114" i="147"/>
  <c r="BO114" i="147" s="1"/>
  <c r="M114" i="147"/>
  <c r="K114" i="146"/>
  <c r="BQ113" i="146"/>
  <c r="BR113" i="146" s="1"/>
  <c r="AY113" i="146"/>
  <c r="BD113" i="146"/>
  <c r="BE113" i="146" s="1"/>
  <c r="AQ113" i="146"/>
  <c r="AR113" i="146" s="1"/>
  <c r="AK113" i="146"/>
  <c r="AL113" i="146" s="1"/>
  <c r="AE113" i="146"/>
  <c r="AF113" i="146" s="1"/>
  <c r="Y113" i="146"/>
  <c r="Z113" i="146" s="1"/>
  <c r="R113" i="146"/>
  <c r="T113" i="146" s="1"/>
  <c r="BG113" i="146"/>
  <c r="BH113" i="146" s="1"/>
  <c r="AT113" i="146"/>
  <c r="AH113" i="146"/>
  <c r="AI113" i="146" s="1"/>
  <c r="V113" i="146"/>
  <c r="W113" i="146" s="1"/>
  <c r="P113" i="146"/>
  <c r="BA113" i="146"/>
  <c r="BB113" i="146" s="1"/>
  <c r="AN113" i="146"/>
  <c r="AO113" i="146" s="1"/>
  <c r="AB113" i="146"/>
  <c r="AC113" i="146" s="1"/>
  <c r="O113" i="146"/>
  <c r="AV113" i="146"/>
  <c r="AW113" i="146" s="1"/>
  <c r="BN113" i="146"/>
  <c r="BO113" i="146" s="1"/>
  <c r="BK113" i="146"/>
  <c r="BJ113" i="146"/>
  <c r="BL113" i="146" s="1"/>
  <c r="M113" i="146"/>
  <c r="AO117" i="107"/>
  <c r="BK117" i="147"/>
  <c r="AI117" i="107"/>
  <c r="AC117" i="147"/>
  <c r="AR117" i="107"/>
  <c r="T28" i="10"/>
  <c r="AC117" i="107"/>
  <c r="BB117" i="107"/>
  <c r="BL117" i="124"/>
  <c r="U34" i="10"/>
  <c r="BB117" i="147"/>
  <c r="BO117" i="147"/>
  <c r="BR117" i="147"/>
  <c r="V34" i="10"/>
  <c r="W28" i="10"/>
  <c r="BO117" i="107"/>
  <c r="AF117" i="147"/>
  <c r="BK117" i="124"/>
  <c r="AF117" i="124"/>
  <c r="AL117" i="107"/>
  <c r="Z117" i="107"/>
  <c r="AL117" i="147"/>
  <c r="Z117" i="147"/>
  <c r="BH117" i="147"/>
  <c r="BE117" i="107"/>
  <c r="AC117" i="124"/>
  <c r="BH117" i="107"/>
  <c r="AW117" i="124"/>
  <c r="BK117" i="107"/>
  <c r="AF117" i="107"/>
  <c r="BL117" i="147"/>
  <c r="BL117" i="107"/>
  <c r="AW117" i="107"/>
  <c r="AI117" i="147"/>
  <c r="BH117" i="124"/>
  <c r="BR117" i="107"/>
  <c r="AR117" i="147"/>
  <c r="BE117" i="147"/>
  <c r="S28" i="10"/>
  <c r="AW117" i="147"/>
  <c r="AO117" i="147"/>
  <c r="AR117" i="124"/>
  <c r="BS116" i="149" l="1"/>
  <c r="F70" i="156"/>
  <c r="AO116" i="107"/>
  <c r="BR116" i="107"/>
  <c r="AR116" i="107"/>
  <c r="BK116" i="107"/>
  <c r="BN31" i="107" s="1"/>
  <c r="BO31" i="107" s="1"/>
  <c r="F79" i="151"/>
  <c r="BK113" i="99"/>
  <c r="R113" i="99"/>
  <c r="T113" i="99" s="1"/>
  <c r="AV113" i="99"/>
  <c r="AW113" i="99" s="1"/>
  <c r="AK113" i="99"/>
  <c r="AL113" i="99" s="1"/>
  <c r="BA113" i="99"/>
  <c r="BB113" i="99" s="1"/>
  <c r="V113" i="99"/>
  <c r="W113" i="99" s="1"/>
  <c r="AY113" i="99"/>
  <c r="BQ113" i="99"/>
  <c r="BR113" i="99" s="1"/>
  <c r="BJ113" i="99"/>
  <c r="BL113" i="99" s="1"/>
  <c r="BG113" i="99"/>
  <c r="BH113" i="99" s="1"/>
  <c r="O113" i="99"/>
  <c r="AN113" i="99"/>
  <c r="AO113" i="99" s="1"/>
  <c r="AB113" i="99"/>
  <c r="AC113" i="99" s="1"/>
  <c r="BN113" i="99"/>
  <c r="BO113" i="99" s="1"/>
  <c r="AE113" i="99"/>
  <c r="AF113" i="99" s="1"/>
  <c r="BD113" i="99"/>
  <c r="BE113" i="99" s="1"/>
  <c r="AQ113" i="99"/>
  <c r="AR113" i="99" s="1"/>
  <c r="K114" i="99"/>
  <c r="AT114" i="99" s="1"/>
  <c r="M113" i="99"/>
  <c r="P113" i="99"/>
  <c r="AH113" i="99"/>
  <c r="AI113" i="99" s="1"/>
  <c r="Y113" i="99"/>
  <c r="Z113" i="99" s="1"/>
  <c r="AT113" i="99"/>
  <c r="BE116" i="107"/>
  <c r="AL116" i="107"/>
  <c r="F88" i="107" s="1"/>
  <c r="AI116" i="107"/>
  <c r="F87" i="107" s="1"/>
  <c r="AW116" i="107"/>
  <c r="F96" i="107" s="1"/>
  <c r="F92" i="107" s="1"/>
  <c r="AC116" i="107"/>
  <c r="F81" i="107" s="1"/>
  <c r="BB116" i="107"/>
  <c r="F103" i="107" s="1"/>
  <c r="F99" i="107" s="1"/>
  <c r="BQ113" i="132"/>
  <c r="BR113" i="132" s="1"/>
  <c r="AT113" i="132"/>
  <c r="Y113" i="132"/>
  <c r="Z113" i="132" s="1"/>
  <c r="AQ113" i="132"/>
  <c r="AR113" i="132" s="1"/>
  <c r="O113" i="132"/>
  <c r="AY113" i="132"/>
  <c r="BL113" i="132"/>
  <c r="K114" i="132"/>
  <c r="AT114" i="132" s="1"/>
  <c r="BG113" i="132"/>
  <c r="BH113" i="132" s="1"/>
  <c r="M113" i="132"/>
  <c r="AK113" i="132"/>
  <c r="AL113" i="132" s="1"/>
  <c r="BN113" i="132"/>
  <c r="BO113" i="132" s="1"/>
  <c r="BA113" i="132"/>
  <c r="BB113" i="132" s="1"/>
  <c r="R113" i="132"/>
  <c r="T113" i="132" s="1"/>
  <c r="P113" i="132"/>
  <c r="BD113" i="132"/>
  <c r="BE113" i="132" s="1"/>
  <c r="AN113" i="132"/>
  <c r="AO113" i="132" s="1"/>
  <c r="V113" i="132"/>
  <c r="W113" i="132" s="1"/>
  <c r="AB113" i="132"/>
  <c r="AC113" i="132" s="1"/>
  <c r="AH113" i="132"/>
  <c r="AI113" i="132" s="1"/>
  <c r="AV113" i="132"/>
  <c r="AW113" i="132" s="1"/>
  <c r="AE113" i="132"/>
  <c r="AF113" i="132" s="1"/>
  <c r="AF116" i="107"/>
  <c r="BH116" i="107"/>
  <c r="F112" i="107" s="1"/>
  <c r="F69" i="156"/>
  <c r="F69" i="155"/>
  <c r="BA111" i="112"/>
  <c r="BB111" i="112" s="1"/>
  <c r="BQ111" i="112"/>
  <c r="BR111" i="112" s="1"/>
  <c r="AN111" i="112"/>
  <c r="AO111" i="112" s="1"/>
  <c r="BD111" i="112"/>
  <c r="BE111" i="112" s="1"/>
  <c r="AQ111" i="112"/>
  <c r="AR111" i="112" s="1"/>
  <c r="AH111" i="112"/>
  <c r="AI111" i="112" s="1"/>
  <c r="O111" i="112"/>
  <c r="AB111" i="112"/>
  <c r="AC111" i="112" s="1"/>
  <c r="AV111" i="112"/>
  <c r="AW111" i="112" s="1"/>
  <c r="AY111" i="112"/>
  <c r="AK111" i="112"/>
  <c r="AL111" i="112" s="1"/>
  <c r="M111" i="112"/>
  <c r="K112" i="112"/>
  <c r="BJ111" i="112"/>
  <c r="BL111" i="112" s="1"/>
  <c r="AT111" i="112"/>
  <c r="BN111" i="112"/>
  <c r="BO111" i="112" s="1"/>
  <c r="BK111" i="112"/>
  <c r="P111" i="112"/>
  <c r="AE111" i="112"/>
  <c r="AF111" i="112" s="1"/>
  <c r="V111" i="112"/>
  <c r="W111" i="112" s="1"/>
  <c r="Y111" i="112"/>
  <c r="Z111" i="112" s="1"/>
  <c r="R111" i="112"/>
  <c r="T111" i="112" s="1"/>
  <c r="BG111" i="112"/>
  <c r="BH111" i="112" s="1"/>
  <c r="BL110" i="95"/>
  <c r="AV110" i="95"/>
  <c r="AW110" i="95" s="1"/>
  <c r="BG110" i="95"/>
  <c r="BH110" i="95" s="1"/>
  <c r="K111" i="95"/>
  <c r="AN110" i="95"/>
  <c r="AO110" i="95" s="1"/>
  <c r="AK110" i="95"/>
  <c r="AL110" i="95" s="1"/>
  <c r="P110" i="95"/>
  <c r="BA110" i="95"/>
  <c r="BB110" i="95" s="1"/>
  <c r="BD110" i="95"/>
  <c r="BE110" i="95" s="1"/>
  <c r="Y110" i="95"/>
  <c r="Z110" i="95" s="1"/>
  <c r="AQ110" i="95"/>
  <c r="AR110" i="95" s="1"/>
  <c r="R110" i="95"/>
  <c r="T110" i="95" s="1"/>
  <c r="AB110" i="95"/>
  <c r="AC110" i="95" s="1"/>
  <c r="BN110" i="95"/>
  <c r="BO110" i="95" s="1"/>
  <c r="BQ110" i="95"/>
  <c r="BR110" i="95" s="1"/>
  <c r="V110" i="95"/>
  <c r="W110" i="95" s="1"/>
  <c r="O110" i="95"/>
  <c r="M110" i="95"/>
  <c r="AE110" i="95"/>
  <c r="AF110" i="95" s="1"/>
  <c r="AH110" i="95"/>
  <c r="AI110" i="95" s="1"/>
  <c r="AT110" i="95"/>
  <c r="BN114" i="133"/>
  <c r="BO114" i="133" s="1"/>
  <c r="BO116" i="133" s="1"/>
  <c r="BQ114" i="133"/>
  <c r="BR114" i="133" s="1"/>
  <c r="BR116" i="133" s="1"/>
  <c r="F78" i="133" s="1"/>
  <c r="O114" i="133"/>
  <c r="V114" i="133"/>
  <c r="W114" i="133" s="1"/>
  <c r="AB114" i="133"/>
  <c r="AC114" i="133" s="1"/>
  <c r="AC116" i="133" s="1"/>
  <c r="BD114" i="133"/>
  <c r="BE114" i="133" s="1"/>
  <c r="BE116" i="133" s="1"/>
  <c r="M114" i="133"/>
  <c r="AV114" i="133"/>
  <c r="AW114" i="133" s="1"/>
  <c r="AW116" i="133" s="1"/>
  <c r="F96" i="133" s="1"/>
  <c r="F92" i="133" s="1"/>
  <c r="BG114" i="133"/>
  <c r="BH114" i="133" s="1"/>
  <c r="BH116" i="133" s="1"/>
  <c r="Y114" i="133"/>
  <c r="Z114" i="133" s="1"/>
  <c r="Z116" i="133" s="1"/>
  <c r="BL114" i="133"/>
  <c r="BL116" i="133" s="1"/>
  <c r="AH114" i="133"/>
  <c r="AI114" i="133" s="1"/>
  <c r="AI116" i="133" s="1"/>
  <c r="AE114" i="133"/>
  <c r="AF114" i="133" s="1"/>
  <c r="AF116" i="133" s="1"/>
  <c r="BA114" i="133"/>
  <c r="BB114" i="133" s="1"/>
  <c r="BB116" i="133" s="1"/>
  <c r="F103" i="133" s="1"/>
  <c r="F99" i="133" s="1"/>
  <c r="R114" i="133"/>
  <c r="T114" i="133" s="1"/>
  <c r="AT114" i="133"/>
  <c r="AQ114" i="133"/>
  <c r="AR114" i="133" s="1"/>
  <c r="AR116" i="133" s="1"/>
  <c r="AK114" i="133"/>
  <c r="AL114" i="133" s="1"/>
  <c r="AL116" i="133" s="1"/>
  <c r="AN114" i="133"/>
  <c r="AO114" i="133" s="1"/>
  <c r="AO116" i="133" s="1"/>
  <c r="P114" i="133"/>
  <c r="AY114" i="133"/>
  <c r="BN111" i="104"/>
  <c r="BO111" i="104" s="1"/>
  <c r="AY111" i="104"/>
  <c r="AH111" i="104"/>
  <c r="AI111" i="104" s="1"/>
  <c r="AQ111" i="104"/>
  <c r="AR111" i="104" s="1"/>
  <c r="BK111" i="104"/>
  <c r="AB111" i="104"/>
  <c r="AC111" i="104" s="1"/>
  <c r="AK111" i="104"/>
  <c r="AL111" i="104" s="1"/>
  <c r="AN111" i="104"/>
  <c r="AO111" i="104" s="1"/>
  <c r="M111" i="104"/>
  <c r="BA111" i="104"/>
  <c r="BB111" i="104" s="1"/>
  <c r="AE111" i="104"/>
  <c r="AF111" i="104" s="1"/>
  <c r="P111" i="104"/>
  <c r="BJ111" i="104"/>
  <c r="BL111" i="104" s="1"/>
  <c r="BG111" i="104"/>
  <c r="BH111" i="104" s="1"/>
  <c r="AT111" i="104"/>
  <c r="AV111" i="104"/>
  <c r="AW111" i="104" s="1"/>
  <c r="BD111" i="104"/>
  <c r="BE111" i="104" s="1"/>
  <c r="BQ111" i="104"/>
  <c r="BR111" i="104" s="1"/>
  <c r="O111" i="104"/>
  <c r="K112" i="104"/>
  <c r="Y111" i="104"/>
  <c r="Z111" i="104" s="1"/>
  <c r="R111" i="104"/>
  <c r="T111" i="104" s="1"/>
  <c r="V111" i="104"/>
  <c r="W111" i="104" s="1"/>
  <c r="K113" i="129"/>
  <c r="AQ112" i="129"/>
  <c r="AR112" i="129" s="1"/>
  <c r="V112" i="129"/>
  <c r="W112" i="129" s="1"/>
  <c r="BQ112" i="129"/>
  <c r="BR112" i="129" s="1"/>
  <c r="BG112" i="129"/>
  <c r="BH112" i="129" s="1"/>
  <c r="AB112" i="129"/>
  <c r="AC112" i="129" s="1"/>
  <c r="AK112" i="129"/>
  <c r="AL112" i="129" s="1"/>
  <c r="AN112" i="129"/>
  <c r="AO112" i="129" s="1"/>
  <c r="BD112" i="129"/>
  <c r="BE112" i="129" s="1"/>
  <c r="BN112" i="129"/>
  <c r="BO112" i="129" s="1"/>
  <c r="AH112" i="129"/>
  <c r="AI112" i="129" s="1"/>
  <c r="BL112" i="129"/>
  <c r="Y112" i="129"/>
  <c r="Z112" i="129" s="1"/>
  <c r="AV112" i="129"/>
  <c r="AW112" i="129" s="1"/>
  <c r="R112" i="129"/>
  <c r="T112" i="129" s="1"/>
  <c r="BA112" i="129"/>
  <c r="BB112" i="129" s="1"/>
  <c r="AE112" i="129"/>
  <c r="AF112" i="129" s="1"/>
  <c r="P112" i="129"/>
  <c r="M112" i="129"/>
  <c r="AT112" i="129"/>
  <c r="O112" i="129"/>
  <c r="AY112" i="129"/>
  <c r="AN111" i="106"/>
  <c r="AO111" i="106" s="1"/>
  <c r="AH111" i="106"/>
  <c r="AI111" i="106" s="1"/>
  <c r="AY111" i="106"/>
  <c r="V111" i="106"/>
  <c r="W111" i="106" s="1"/>
  <c r="O111" i="106"/>
  <c r="AE111" i="106"/>
  <c r="AF111" i="106" s="1"/>
  <c r="BK111" i="106"/>
  <c r="AK111" i="106"/>
  <c r="AL111" i="106" s="1"/>
  <c r="AQ111" i="106"/>
  <c r="AR111" i="106" s="1"/>
  <c r="P111" i="106"/>
  <c r="M111" i="106"/>
  <c r="Y111" i="106"/>
  <c r="Z111" i="106" s="1"/>
  <c r="AT111" i="106"/>
  <c r="R111" i="106"/>
  <c r="T111" i="106" s="1"/>
  <c r="BN111" i="106"/>
  <c r="BO111" i="106" s="1"/>
  <c r="BG111" i="106"/>
  <c r="BH111" i="106" s="1"/>
  <c r="AV111" i="106"/>
  <c r="AW111" i="106" s="1"/>
  <c r="BD111" i="106"/>
  <c r="BE111" i="106" s="1"/>
  <c r="BJ111" i="106"/>
  <c r="BL111" i="106" s="1"/>
  <c r="BQ111" i="106"/>
  <c r="BR111" i="106" s="1"/>
  <c r="BA111" i="106"/>
  <c r="BB111" i="106" s="1"/>
  <c r="AB111" i="106"/>
  <c r="AC111" i="106" s="1"/>
  <c r="K112" i="106"/>
  <c r="BL112" i="130"/>
  <c r="K113" i="130"/>
  <c r="BN112" i="130"/>
  <c r="BO112" i="130" s="1"/>
  <c r="M112" i="130"/>
  <c r="BA112" i="130"/>
  <c r="BB112" i="130" s="1"/>
  <c r="BD112" i="130"/>
  <c r="BE112" i="130" s="1"/>
  <c r="AQ112" i="130"/>
  <c r="AR112" i="130" s="1"/>
  <c r="V112" i="130"/>
  <c r="W112" i="130" s="1"/>
  <c r="AK112" i="130"/>
  <c r="AL112" i="130" s="1"/>
  <c r="AH112" i="130"/>
  <c r="AI112" i="130" s="1"/>
  <c r="O112" i="130"/>
  <c r="BQ112" i="130"/>
  <c r="BR112" i="130" s="1"/>
  <c r="R112" i="130"/>
  <c r="T112" i="130" s="1"/>
  <c r="AV112" i="130"/>
  <c r="AW112" i="130" s="1"/>
  <c r="AT112" i="130"/>
  <c r="Y112" i="130"/>
  <c r="Z112" i="130" s="1"/>
  <c r="AE112" i="130"/>
  <c r="AF112" i="130" s="1"/>
  <c r="AY112" i="130"/>
  <c r="BG112" i="130"/>
  <c r="BH112" i="130" s="1"/>
  <c r="P112" i="130"/>
  <c r="AB112" i="130"/>
  <c r="AC112" i="130" s="1"/>
  <c r="AN112" i="130"/>
  <c r="AO112" i="130" s="1"/>
  <c r="F70" i="155"/>
  <c r="F70" i="153"/>
  <c r="F69" i="153"/>
  <c r="F70" i="152"/>
  <c r="D117" i="154" s="1"/>
  <c r="D112" i="154" s="1"/>
  <c r="F69" i="152"/>
  <c r="F111" i="151"/>
  <c r="F90" i="151"/>
  <c r="F83" i="149"/>
  <c r="F112" i="151"/>
  <c r="F87" i="151"/>
  <c r="F96" i="151"/>
  <c r="F92" i="151" s="1"/>
  <c r="F88" i="151"/>
  <c r="F89" i="151"/>
  <c r="F80" i="151"/>
  <c r="F103" i="151"/>
  <c r="F99" i="151" s="1"/>
  <c r="F81" i="151"/>
  <c r="BG114" i="150"/>
  <c r="BH114" i="150" s="1"/>
  <c r="BH116" i="150" s="1"/>
  <c r="BA114" i="150"/>
  <c r="BB114" i="150" s="1"/>
  <c r="BB116" i="150" s="1"/>
  <c r="AT114" i="150"/>
  <c r="AN114" i="150"/>
  <c r="AO114" i="150" s="1"/>
  <c r="AO116" i="150" s="1"/>
  <c r="AH114" i="150"/>
  <c r="AI114" i="150" s="1"/>
  <c r="AI116" i="150" s="1"/>
  <c r="AB114" i="150"/>
  <c r="AC114" i="150" s="1"/>
  <c r="AC116" i="150" s="1"/>
  <c r="BQ114" i="150"/>
  <c r="BR114" i="150" s="1"/>
  <c r="BR116" i="150" s="1"/>
  <c r="F78" i="150" s="1"/>
  <c r="AY114" i="150"/>
  <c r="BD114" i="150"/>
  <c r="BE114" i="150" s="1"/>
  <c r="BE116" i="150" s="1"/>
  <c r="AQ114" i="150"/>
  <c r="AR114" i="150" s="1"/>
  <c r="AR116" i="150" s="1"/>
  <c r="AK114" i="150"/>
  <c r="AL114" i="150" s="1"/>
  <c r="AL116" i="150" s="1"/>
  <c r="AE114" i="150"/>
  <c r="AF114" i="150" s="1"/>
  <c r="AF116" i="150" s="1"/>
  <c r="Y114" i="150"/>
  <c r="Z114" i="150" s="1"/>
  <c r="Z116" i="150" s="1"/>
  <c r="R114" i="150"/>
  <c r="T114" i="150" s="1"/>
  <c r="AV114" i="150"/>
  <c r="AW114" i="150" s="1"/>
  <c r="AW116" i="150" s="1"/>
  <c r="V114" i="150"/>
  <c r="W114" i="150" s="1"/>
  <c r="P114" i="150"/>
  <c r="O114" i="150"/>
  <c r="BN114" i="150"/>
  <c r="BO114" i="150" s="1"/>
  <c r="BO116" i="150" s="1"/>
  <c r="M114" i="150"/>
  <c r="BL114" i="150"/>
  <c r="BL116" i="150" s="1"/>
  <c r="F74" i="149"/>
  <c r="F107" i="149"/>
  <c r="AC116" i="147"/>
  <c r="AW116" i="147"/>
  <c r="AL116" i="147"/>
  <c r="BK116" i="147"/>
  <c r="AO116" i="147"/>
  <c r="AI116" i="147"/>
  <c r="AR116" i="147"/>
  <c r="BE116" i="147"/>
  <c r="BL116" i="147"/>
  <c r="BB116" i="147"/>
  <c r="Z116" i="147"/>
  <c r="BH116" i="147"/>
  <c r="AF116" i="147"/>
  <c r="BR116" i="147"/>
  <c r="BQ114" i="146"/>
  <c r="BR114" i="146" s="1"/>
  <c r="AY114" i="146"/>
  <c r="BD114" i="146"/>
  <c r="BE114" i="146" s="1"/>
  <c r="AQ114" i="146"/>
  <c r="AR114" i="146" s="1"/>
  <c r="AK114" i="146"/>
  <c r="AL114" i="146" s="1"/>
  <c r="AE114" i="146"/>
  <c r="AF114" i="146" s="1"/>
  <c r="Y114" i="146"/>
  <c r="Z114" i="146" s="1"/>
  <c r="R114" i="146"/>
  <c r="T114" i="146" s="1"/>
  <c r="BG114" i="146"/>
  <c r="BH114" i="146" s="1"/>
  <c r="AT114" i="146"/>
  <c r="AH114" i="146"/>
  <c r="AI114" i="146" s="1"/>
  <c r="V114" i="146"/>
  <c r="W114" i="146" s="1"/>
  <c r="P114" i="146"/>
  <c r="BA114" i="146"/>
  <c r="BB114" i="146" s="1"/>
  <c r="AN114" i="146"/>
  <c r="AO114" i="146" s="1"/>
  <c r="AB114" i="146"/>
  <c r="AC114" i="146" s="1"/>
  <c r="O114" i="146"/>
  <c r="AV114" i="146"/>
  <c r="AW114" i="146" s="1"/>
  <c r="BK114" i="146"/>
  <c r="M114" i="146"/>
  <c r="BN114" i="146"/>
  <c r="BO114" i="146" s="1"/>
  <c r="BJ114" i="146"/>
  <c r="BL114" i="146" s="1"/>
  <c r="F79" i="107"/>
  <c r="K112" i="96"/>
  <c r="I113" i="96"/>
  <c r="BK113" i="105"/>
  <c r="BD113" i="105"/>
  <c r="BE113" i="105" s="1"/>
  <c r="Y113" i="105"/>
  <c r="Z113" i="105" s="1"/>
  <c r="AH113" i="105"/>
  <c r="AI113" i="105" s="1"/>
  <c r="AB113" i="105"/>
  <c r="AC113" i="105" s="1"/>
  <c r="M113" i="105"/>
  <c r="BN113" i="105"/>
  <c r="BO113" i="105" s="1"/>
  <c r="BG113" i="105"/>
  <c r="BH113" i="105" s="1"/>
  <c r="AQ113" i="105"/>
  <c r="AR113" i="105" s="1"/>
  <c r="AY113" i="105"/>
  <c r="AT113" i="105"/>
  <c r="BQ113" i="105"/>
  <c r="BR113" i="105" s="1"/>
  <c r="P113" i="105"/>
  <c r="BJ113" i="105"/>
  <c r="BL113" i="105" s="1"/>
  <c r="R113" i="105"/>
  <c r="T113" i="105" s="1"/>
  <c r="V113" i="105"/>
  <c r="W113" i="105" s="1"/>
  <c r="AK113" i="105"/>
  <c r="AL113" i="105" s="1"/>
  <c r="AN113" i="105"/>
  <c r="AO113" i="105" s="1"/>
  <c r="O113" i="105"/>
  <c r="BA113" i="105"/>
  <c r="BB113" i="105" s="1"/>
  <c r="AE113" i="105"/>
  <c r="AF113" i="105" s="1"/>
  <c r="AV113" i="105"/>
  <c r="AW113" i="105" s="1"/>
  <c r="K114" i="105"/>
  <c r="M111" i="126"/>
  <c r="BK111" i="126"/>
  <c r="BJ111" i="126"/>
  <c r="BL111" i="126" s="1"/>
  <c r="BN111" i="126"/>
  <c r="BO111" i="126" s="1"/>
  <c r="P111" i="126"/>
  <c r="AQ111" i="126"/>
  <c r="AR111" i="126" s="1"/>
  <c r="AE111" i="126"/>
  <c r="AF111" i="126" s="1"/>
  <c r="BQ111" i="126"/>
  <c r="BR111" i="126" s="1"/>
  <c r="V111" i="126"/>
  <c r="W111" i="126" s="1"/>
  <c r="AV111" i="126"/>
  <c r="AW111" i="126" s="1"/>
  <c r="AK111" i="126"/>
  <c r="AL111" i="126" s="1"/>
  <c r="AT111" i="126"/>
  <c r="R111" i="126"/>
  <c r="T111" i="126" s="1"/>
  <c r="Y111" i="126"/>
  <c r="Z111" i="126" s="1"/>
  <c r="AY111" i="126"/>
  <c r="BA111" i="126"/>
  <c r="BB111" i="126" s="1"/>
  <c r="AB111" i="126"/>
  <c r="AC111" i="126" s="1"/>
  <c r="BD111" i="126"/>
  <c r="BE111" i="126" s="1"/>
  <c r="O111" i="126"/>
  <c r="AN111" i="126"/>
  <c r="AO111" i="126" s="1"/>
  <c r="BG111" i="126"/>
  <c r="BH111" i="126" s="1"/>
  <c r="AH111" i="126"/>
  <c r="AI111" i="126" s="1"/>
  <c r="K112" i="126"/>
  <c r="M111" i="114"/>
  <c r="BN111" i="114"/>
  <c r="BO111" i="114" s="1"/>
  <c r="BK111" i="114"/>
  <c r="BJ111" i="114"/>
  <c r="BL111" i="114" s="1"/>
  <c r="BA111" i="114"/>
  <c r="BB111" i="114" s="1"/>
  <c r="Y111" i="114"/>
  <c r="Z111" i="114" s="1"/>
  <c r="BG111" i="114"/>
  <c r="BH111" i="114" s="1"/>
  <c r="AH111" i="114"/>
  <c r="AI111" i="114" s="1"/>
  <c r="AK111" i="114"/>
  <c r="AL111" i="114" s="1"/>
  <c r="BD111" i="114"/>
  <c r="BE111" i="114" s="1"/>
  <c r="AT111" i="114"/>
  <c r="AV111" i="114"/>
  <c r="AW111" i="114" s="1"/>
  <c r="BQ111" i="114"/>
  <c r="BR111" i="114" s="1"/>
  <c r="AB111" i="114"/>
  <c r="AC111" i="114" s="1"/>
  <c r="AN111" i="114"/>
  <c r="AO111" i="114" s="1"/>
  <c r="P111" i="114"/>
  <c r="R111" i="114"/>
  <c r="T111" i="114" s="1"/>
  <c r="O111" i="114"/>
  <c r="AY111" i="114"/>
  <c r="AQ111" i="114"/>
  <c r="AR111" i="114" s="1"/>
  <c r="AE111" i="114"/>
  <c r="AF111" i="114" s="1"/>
  <c r="V111" i="114"/>
  <c r="W111" i="114" s="1"/>
  <c r="K112" i="114"/>
  <c r="AH110" i="118"/>
  <c r="AI110" i="118" s="1"/>
  <c r="M110" i="118"/>
  <c r="K111" i="118"/>
  <c r="BN110" i="118"/>
  <c r="BO110" i="118" s="1"/>
  <c r="AN110" i="118"/>
  <c r="AO110" i="118" s="1"/>
  <c r="AK110" i="118"/>
  <c r="AL110" i="118" s="1"/>
  <c r="BD110" i="118"/>
  <c r="BE110" i="118" s="1"/>
  <c r="AQ110" i="118"/>
  <c r="AR110" i="118" s="1"/>
  <c r="Y110" i="118"/>
  <c r="Z110" i="118" s="1"/>
  <c r="BG110" i="118"/>
  <c r="BH110" i="118" s="1"/>
  <c r="BA110" i="118"/>
  <c r="BB110" i="118" s="1"/>
  <c r="O110" i="118"/>
  <c r="V110" i="118"/>
  <c r="W110" i="118" s="1"/>
  <c r="P110" i="118"/>
  <c r="AV110" i="118"/>
  <c r="AW110" i="118" s="1"/>
  <c r="AY110" i="118"/>
  <c r="R110" i="118"/>
  <c r="T110" i="118" s="1"/>
  <c r="AT110" i="118"/>
  <c r="AE110" i="118"/>
  <c r="AF110" i="118" s="1"/>
  <c r="BQ110" i="118"/>
  <c r="BR110" i="118" s="1"/>
  <c r="AB110" i="118"/>
  <c r="AC110" i="118" s="1"/>
  <c r="K113" i="135"/>
  <c r="I114" i="135"/>
  <c r="AF116" i="124"/>
  <c r="AC116" i="124"/>
  <c r="BK116" i="124"/>
  <c r="I111" i="17"/>
  <c r="K110" i="17"/>
  <c r="F80" i="107"/>
  <c r="F78" i="107"/>
  <c r="K110" i="13"/>
  <c r="I111" i="13"/>
  <c r="M110" i="101"/>
  <c r="BA110" i="101"/>
  <c r="BB110" i="101" s="1"/>
  <c r="V110" i="101"/>
  <c r="W110" i="101" s="1"/>
  <c r="BQ110" i="101"/>
  <c r="BR110" i="101" s="1"/>
  <c r="AB110" i="101"/>
  <c r="AC110" i="101" s="1"/>
  <c r="Y110" i="101"/>
  <c r="Z110" i="101" s="1"/>
  <c r="AV110" i="101"/>
  <c r="AW110" i="101" s="1"/>
  <c r="AE110" i="101"/>
  <c r="AF110" i="101" s="1"/>
  <c r="AQ110" i="101"/>
  <c r="AR110" i="101" s="1"/>
  <c r="O110" i="101"/>
  <c r="BG110" i="101"/>
  <c r="BH110" i="101" s="1"/>
  <c r="AN110" i="101"/>
  <c r="AO110" i="101" s="1"/>
  <c r="BD110" i="101"/>
  <c r="BE110" i="101" s="1"/>
  <c r="AY110" i="101"/>
  <c r="AT110" i="101"/>
  <c r="AH110" i="101"/>
  <c r="AI110" i="101" s="1"/>
  <c r="R110" i="101"/>
  <c r="T110" i="101" s="1"/>
  <c r="AK110" i="101"/>
  <c r="AL110" i="101" s="1"/>
  <c r="P110" i="101"/>
  <c r="BN114" i="99"/>
  <c r="BO114" i="99" s="1"/>
  <c r="AE114" i="99"/>
  <c r="AF114" i="99" s="1"/>
  <c r="BQ114" i="99"/>
  <c r="BR114" i="99" s="1"/>
  <c r="AH114" i="99"/>
  <c r="AI114" i="99" s="1"/>
  <c r="BD114" i="99"/>
  <c r="BE114" i="99" s="1"/>
  <c r="V114" i="99"/>
  <c r="W114" i="99" s="1"/>
  <c r="P114" i="99"/>
  <c r="AE109" i="120"/>
  <c r="AF109" i="120" s="1"/>
  <c r="BD109" i="120"/>
  <c r="BE109" i="120" s="1"/>
  <c r="O109" i="120"/>
  <c r="V109" i="120"/>
  <c r="W109" i="120" s="1"/>
  <c r="P109" i="120"/>
  <c r="BG109" i="120"/>
  <c r="BH109" i="120" s="1"/>
  <c r="AK109" i="120"/>
  <c r="AL109" i="120" s="1"/>
  <c r="AN109" i="120"/>
  <c r="AO109" i="120" s="1"/>
  <c r="AB109" i="120"/>
  <c r="AC109" i="120" s="1"/>
  <c r="Y109" i="120"/>
  <c r="Z109" i="120" s="1"/>
  <c r="AQ109" i="120"/>
  <c r="AR109" i="120" s="1"/>
  <c r="AY109" i="120"/>
  <c r="R109" i="120"/>
  <c r="T109" i="120" s="1"/>
  <c r="BQ109" i="120"/>
  <c r="BR109" i="120" s="1"/>
  <c r="AT109" i="120"/>
  <c r="K110" i="120"/>
  <c r="M109" i="120"/>
  <c r="AH109" i="120"/>
  <c r="AI109" i="120" s="1"/>
  <c r="BA109" i="120"/>
  <c r="BB109" i="120" s="1"/>
  <c r="AV109" i="120"/>
  <c r="AW109" i="120" s="1"/>
  <c r="BN109" i="120"/>
  <c r="BO109" i="120" s="1"/>
  <c r="BD112" i="64"/>
  <c r="BE112" i="64" s="1"/>
  <c r="AB112" i="64"/>
  <c r="AC112" i="64" s="1"/>
  <c r="AY112" i="64"/>
  <c r="M112" i="64"/>
  <c r="AN112" i="64"/>
  <c r="AO112" i="64" s="1"/>
  <c r="Y112" i="64"/>
  <c r="Z112" i="64" s="1"/>
  <c r="AH112" i="64"/>
  <c r="AI112" i="64" s="1"/>
  <c r="AK112" i="64"/>
  <c r="AL112" i="64" s="1"/>
  <c r="R112" i="64"/>
  <c r="T112" i="64" s="1"/>
  <c r="AT112" i="64"/>
  <c r="AV112" i="64"/>
  <c r="AW112" i="64" s="1"/>
  <c r="BG112" i="64"/>
  <c r="BH112" i="64" s="1"/>
  <c r="BQ112" i="64"/>
  <c r="BR112" i="64" s="1"/>
  <c r="BA112" i="64"/>
  <c r="BB112" i="64" s="1"/>
  <c r="AE112" i="64"/>
  <c r="AF112" i="64" s="1"/>
  <c r="O112" i="64"/>
  <c r="AQ112" i="64"/>
  <c r="AR112" i="64" s="1"/>
  <c r="V112" i="64"/>
  <c r="W112" i="64" s="1"/>
  <c r="P112" i="64"/>
  <c r="BN112" i="64"/>
  <c r="BO112" i="64" s="1"/>
  <c r="BL112" i="64"/>
  <c r="K113" i="64"/>
  <c r="BL110" i="15"/>
  <c r="BN110" i="15"/>
  <c r="BO110" i="15" s="1"/>
  <c r="AE110" i="15"/>
  <c r="AF110" i="15" s="1"/>
  <c r="O110" i="15"/>
  <c r="AQ110" i="15"/>
  <c r="AR110" i="15" s="1"/>
  <c r="M110" i="15"/>
  <c r="AH110" i="15"/>
  <c r="AI110" i="15" s="1"/>
  <c r="AB110" i="15"/>
  <c r="AC110" i="15" s="1"/>
  <c r="P110" i="15"/>
  <c r="AN110" i="15"/>
  <c r="AO110" i="15" s="1"/>
  <c r="R110" i="15"/>
  <c r="T110" i="15" s="1"/>
  <c r="BG110" i="15"/>
  <c r="BH110" i="15" s="1"/>
  <c r="BQ110" i="15"/>
  <c r="BR110" i="15" s="1"/>
  <c r="BA110" i="15"/>
  <c r="BB110" i="15" s="1"/>
  <c r="AV110" i="15"/>
  <c r="AW110" i="15" s="1"/>
  <c r="AK110" i="15"/>
  <c r="AL110" i="15" s="1"/>
  <c r="AY110" i="15"/>
  <c r="V110" i="15"/>
  <c r="W110" i="15" s="1"/>
  <c r="BD110" i="15"/>
  <c r="BE110" i="15" s="1"/>
  <c r="Y110" i="15"/>
  <c r="Z110" i="15" s="1"/>
  <c r="AT110" i="15"/>
  <c r="K111" i="15"/>
  <c r="BH116" i="124"/>
  <c r="AW116" i="124"/>
  <c r="AR116" i="124"/>
  <c r="BL116" i="124"/>
  <c r="Y109" i="66"/>
  <c r="Z109" i="66" s="1"/>
  <c r="BN109" i="66"/>
  <c r="BO109" i="66" s="1"/>
  <c r="BG109" i="66"/>
  <c r="BH109" i="66" s="1"/>
  <c r="BD109" i="66"/>
  <c r="BE109" i="66" s="1"/>
  <c r="BA109" i="66"/>
  <c r="BB109" i="66" s="1"/>
  <c r="AY109" i="66"/>
  <c r="V109" i="66"/>
  <c r="W109" i="66" s="1"/>
  <c r="O109" i="66"/>
  <c r="AB109" i="66"/>
  <c r="AC109" i="66" s="1"/>
  <c r="P109" i="66"/>
  <c r="AN109" i="66"/>
  <c r="AO109" i="66" s="1"/>
  <c r="R109" i="66"/>
  <c r="T109" i="66" s="1"/>
  <c r="AQ109" i="66"/>
  <c r="AR109" i="66" s="1"/>
  <c r="AV109" i="66"/>
  <c r="AW109" i="66" s="1"/>
  <c r="AT109" i="66"/>
  <c r="M109" i="66"/>
  <c r="BQ109" i="66"/>
  <c r="BR109" i="66" s="1"/>
  <c r="AK109" i="66"/>
  <c r="AL109" i="66" s="1"/>
  <c r="AH109" i="66"/>
  <c r="AI109" i="66" s="1"/>
  <c r="AE109" i="66"/>
  <c r="AF109" i="66" s="1"/>
  <c r="BL109" i="66"/>
  <c r="BN109" i="13"/>
  <c r="BO109" i="13" s="1"/>
  <c r="M109" i="13"/>
  <c r="BL109" i="13"/>
  <c r="V109" i="13"/>
  <c r="W109" i="13" s="1"/>
  <c r="AT109" i="13"/>
  <c r="AN109" i="13"/>
  <c r="AO109" i="13" s="1"/>
  <c r="BD109" i="13"/>
  <c r="BE109" i="13" s="1"/>
  <c r="BG109" i="13"/>
  <c r="BH109" i="13" s="1"/>
  <c r="AK109" i="13"/>
  <c r="AL109" i="13" s="1"/>
  <c r="AH109" i="13"/>
  <c r="AI109" i="13" s="1"/>
  <c r="BA109" i="13"/>
  <c r="BB109" i="13" s="1"/>
  <c r="AV109" i="13"/>
  <c r="AW109" i="13" s="1"/>
  <c r="P109" i="13"/>
  <c r="AY109" i="13"/>
  <c r="Y109" i="13"/>
  <c r="Z109" i="13" s="1"/>
  <c r="AB109" i="13"/>
  <c r="AC109" i="13" s="1"/>
  <c r="BQ109" i="13"/>
  <c r="BR109" i="13" s="1"/>
  <c r="AQ109" i="13"/>
  <c r="AR109" i="13" s="1"/>
  <c r="R109" i="13"/>
  <c r="T109" i="13" s="1"/>
  <c r="AE109" i="13"/>
  <c r="AF109" i="13" s="1"/>
  <c r="O109" i="13"/>
  <c r="I112" i="101"/>
  <c r="K111" i="101"/>
  <c r="BK111" i="110"/>
  <c r="BN111" i="110"/>
  <c r="BO111" i="110" s="1"/>
  <c r="BJ111" i="110"/>
  <c r="BL111" i="110" s="1"/>
  <c r="M111" i="110"/>
  <c r="BA111" i="110"/>
  <c r="BB111" i="110" s="1"/>
  <c r="AB111" i="110"/>
  <c r="AC111" i="110" s="1"/>
  <c r="AQ111" i="110"/>
  <c r="AR111" i="110" s="1"/>
  <c r="AT111" i="110"/>
  <c r="AY111" i="110"/>
  <c r="BG111" i="110"/>
  <c r="BH111" i="110" s="1"/>
  <c r="O111" i="110"/>
  <c r="V111" i="110"/>
  <c r="W111" i="110" s="1"/>
  <c r="P111" i="110"/>
  <c r="AV111" i="110"/>
  <c r="AW111" i="110" s="1"/>
  <c r="BQ111" i="110"/>
  <c r="BR111" i="110" s="1"/>
  <c r="BD111" i="110"/>
  <c r="BE111" i="110" s="1"/>
  <c r="R111" i="110"/>
  <c r="T111" i="110" s="1"/>
  <c r="AN111" i="110"/>
  <c r="AO111" i="110" s="1"/>
  <c r="AK111" i="110"/>
  <c r="AL111" i="110" s="1"/>
  <c r="AH111" i="110"/>
  <c r="AI111" i="110" s="1"/>
  <c r="Y111" i="110"/>
  <c r="Z111" i="110" s="1"/>
  <c r="AE111" i="110"/>
  <c r="AF111" i="110" s="1"/>
  <c r="BL113" i="130"/>
  <c r="M113" i="130"/>
  <c r="K114" i="130"/>
  <c r="BN113" i="130"/>
  <c r="BO113" i="130" s="1"/>
  <c r="V113" i="130"/>
  <c r="W113" i="130" s="1"/>
  <c r="AK113" i="130"/>
  <c r="AL113" i="130" s="1"/>
  <c r="AQ113" i="130"/>
  <c r="AR113" i="130" s="1"/>
  <c r="AV113" i="130"/>
  <c r="AW113" i="130" s="1"/>
  <c r="Y113" i="130"/>
  <c r="Z113" i="130" s="1"/>
  <c r="P113" i="130"/>
  <c r="BD113" i="130"/>
  <c r="BE113" i="130" s="1"/>
  <c r="BQ113" i="130"/>
  <c r="BR113" i="130" s="1"/>
  <c r="AT113" i="130"/>
  <c r="BA113" i="130"/>
  <c r="BB113" i="130" s="1"/>
  <c r="BG113" i="130"/>
  <c r="BH113" i="130" s="1"/>
  <c r="AH113" i="130"/>
  <c r="AI113" i="130" s="1"/>
  <c r="O113" i="130"/>
  <c r="AN113" i="130"/>
  <c r="AO113" i="130" s="1"/>
  <c r="AB113" i="130"/>
  <c r="AC113" i="130" s="1"/>
  <c r="R113" i="130"/>
  <c r="T113" i="130" s="1"/>
  <c r="AY113" i="130"/>
  <c r="AE113" i="130"/>
  <c r="AF113" i="130" s="1"/>
  <c r="BK111" i="98"/>
  <c r="R111" i="98"/>
  <c r="T111" i="98" s="1"/>
  <c r="P111" i="98"/>
  <c r="M111" i="98"/>
  <c r="AY111" i="98"/>
  <c r="BQ111" i="98"/>
  <c r="BR111" i="98" s="1"/>
  <c r="BG111" i="98"/>
  <c r="BH111" i="98" s="1"/>
  <c r="BN111" i="98"/>
  <c r="BO111" i="98" s="1"/>
  <c r="BD111" i="98"/>
  <c r="BE111" i="98" s="1"/>
  <c r="BA111" i="98"/>
  <c r="BB111" i="98" s="1"/>
  <c r="AT111" i="98"/>
  <c r="O111" i="98"/>
  <c r="AV111" i="98"/>
  <c r="AW111" i="98" s="1"/>
  <c r="AQ111" i="98"/>
  <c r="AR111" i="98" s="1"/>
  <c r="K112" i="98"/>
  <c r="AN111" i="98"/>
  <c r="AO111" i="98" s="1"/>
  <c r="AK111" i="98"/>
  <c r="AL111" i="98" s="1"/>
  <c r="AB111" i="98"/>
  <c r="AC111" i="98" s="1"/>
  <c r="AH111" i="98"/>
  <c r="AI111" i="98" s="1"/>
  <c r="AE111" i="98"/>
  <c r="AF111" i="98" s="1"/>
  <c r="BJ111" i="98"/>
  <c r="BL111" i="98" s="1"/>
  <c r="Y111" i="98"/>
  <c r="Z111" i="98" s="1"/>
  <c r="V111" i="98"/>
  <c r="W111" i="98" s="1"/>
  <c r="AO116" i="124"/>
  <c r="BB116" i="124"/>
  <c r="AI116" i="124"/>
  <c r="BE116" i="124"/>
  <c r="K110" i="66"/>
  <c r="I111" i="66"/>
  <c r="BN18" i="107"/>
  <c r="BO18" i="107" s="1"/>
  <c r="M111" i="115"/>
  <c r="BN111" i="115"/>
  <c r="BO111" i="115" s="1"/>
  <c r="BJ111" i="115"/>
  <c r="BL111" i="115" s="1"/>
  <c r="BK111" i="115"/>
  <c r="AH111" i="115"/>
  <c r="AI111" i="115" s="1"/>
  <c r="AY111" i="115"/>
  <c r="P111" i="115"/>
  <c r="O111" i="115"/>
  <c r="AB111" i="115"/>
  <c r="AC111" i="115" s="1"/>
  <c r="Y111" i="115"/>
  <c r="Z111" i="115" s="1"/>
  <c r="AT111" i="115"/>
  <c r="AV111" i="115"/>
  <c r="AW111" i="115" s="1"/>
  <c r="BD111" i="115"/>
  <c r="BE111" i="115" s="1"/>
  <c r="R111" i="115"/>
  <c r="T111" i="115" s="1"/>
  <c r="BA111" i="115"/>
  <c r="BB111" i="115" s="1"/>
  <c r="V111" i="115"/>
  <c r="W111" i="115" s="1"/>
  <c r="AN111" i="115"/>
  <c r="AO111" i="115" s="1"/>
  <c r="AQ111" i="115"/>
  <c r="AR111" i="115" s="1"/>
  <c r="BQ111" i="115"/>
  <c r="BR111" i="115" s="1"/>
  <c r="BG111" i="115"/>
  <c r="BH111" i="115" s="1"/>
  <c r="AE111" i="115"/>
  <c r="AF111" i="115" s="1"/>
  <c r="AK111" i="115"/>
  <c r="AL111" i="115" s="1"/>
  <c r="BD111" i="96"/>
  <c r="BE111" i="96" s="1"/>
  <c r="BG111" i="96"/>
  <c r="BH111" i="96" s="1"/>
  <c r="AE111" i="96"/>
  <c r="AF111" i="96" s="1"/>
  <c r="M111" i="96"/>
  <c r="Y111" i="96"/>
  <c r="Z111" i="96" s="1"/>
  <c r="AB111" i="96"/>
  <c r="AC111" i="96" s="1"/>
  <c r="O111" i="96"/>
  <c r="V111" i="96"/>
  <c r="W111" i="96" s="1"/>
  <c r="AQ111" i="96"/>
  <c r="AR111" i="96" s="1"/>
  <c r="AV111" i="96"/>
  <c r="AW111" i="96" s="1"/>
  <c r="BA111" i="96"/>
  <c r="BB111" i="96" s="1"/>
  <c r="BQ111" i="96"/>
  <c r="BR111" i="96" s="1"/>
  <c r="BN111" i="96"/>
  <c r="BO111" i="96" s="1"/>
  <c r="AT111" i="96"/>
  <c r="P111" i="96"/>
  <c r="R111" i="96"/>
  <c r="T111" i="96" s="1"/>
  <c r="AH111" i="96"/>
  <c r="AI111" i="96" s="1"/>
  <c r="AK111" i="96"/>
  <c r="AL111" i="96" s="1"/>
  <c r="AN111" i="96"/>
  <c r="AO111" i="96" s="1"/>
  <c r="BL111" i="96"/>
  <c r="K112" i="110"/>
  <c r="I113" i="110"/>
  <c r="O114" i="132"/>
  <c r="BA114" i="132"/>
  <c r="BB114" i="132" s="1"/>
  <c r="BN114" i="132"/>
  <c r="BO114" i="132" s="1"/>
  <c r="M113" i="136"/>
  <c r="BN113" i="136"/>
  <c r="BO113" i="136" s="1"/>
  <c r="BL113" i="136"/>
  <c r="AT113" i="136"/>
  <c r="AH113" i="136"/>
  <c r="AI113" i="136" s="1"/>
  <c r="BQ113" i="136"/>
  <c r="BR113" i="136" s="1"/>
  <c r="AB113" i="136"/>
  <c r="AC113" i="136" s="1"/>
  <c r="V113" i="136"/>
  <c r="W113" i="136" s="1"/>
  <c r="Y113" i="136"/>
  <c r="Z113" i="136" s="1"/>
  <c r="AE113" i="136"/>
  <c r="AF113" i="136" s="1"/>
  <c r="AN113" i="136"/>
  <c r="AO113" i="136" s="1"/>
  <c r="P113" i="136"/>
  <c r="AY113" i="136"/>
  <c r="BD113" i="136"/>
  <c r="BE113" i="136" s="1"/>
  <c r="AQ113" i="136"/>
  <c r="AR113" i="136" s="1"/>
  <c r="BG113" i="136"/>
  <c r="BH113" i="136" s="1"/>
  <c r="AK113" i="136"/>
  <c r="AL113" i="136" s="1"/>
  <c r="O113" i="136"/>
  <c r="BA113" i="136"/>
  <c r="BB113" i="136" s="1"/>
  <c r="R113" i="136"/>
  <c r="T113" i="136" s="1"/>
  <c r="AV113" i="136"/>
  <c r="AW113" i="136" s="1"/>
  <c r="K114" i="136"/>
  <c r="BN111" i="63"/>
  <c r="BO111" i="63" s="1"/>
  <c r="AN111" i="63"/>
  <c r="AO111" i="63" s="1"/>
  <c r="BQ111" i="63"/>
  <c r="BR111" i="63" s="1"/>
  <c r="BG111" i="63"/>
  <c r="BH111" i="63" s="1"/>
  <c r="O111" i="63"/>
  <c r="AB111" i="63"/>
  <c r="AC111" i="63" s="1"/>
  <c r="AT111" i="63"/>
  <c r="BD111" i="63"/>
  <c r="BE111" i="63" s="1"/>
  <c r="AQ111" i="63"/>
  <c r="AR111" i="63" s="1"/>
  <c r="M111" i="63"/>
  <c r="BL111" i="63"/>
  <c r="BA111" i="63"/>
  <c r="BB111" i="63" s="1"/>
  <c r="Y111" i="63"/>
  <c r="Z111" i="63" s="1"/>
  <c r="AE111" i="63"/>
  <c r="AF111" i="63" s="1"/>
  <c r="P111" i="63"/>
  <c r="V111" i="63"/>
  <c r="W111" i="63" s="1"/>
  <c r="AV111" i="63"/>
  <c r="AW111" i="63" s="1"/>
  <c r="AH111" i="63"/>
  <c r="AI111" i="63" s="1"/>
  <c r="AY111" i="63"/>
  <c r="AK111" i="63"/>
  <c r="AL111" i="63" s="1"/>
  <c r="R111" i="63"/>
  <c r="T111" i="63" s="1"/>
  <c r="K112" i="63"/>
  <c r="M112" i="135"/>
  <c r="AQ112" i="135"/>
  <c r="AR112" i="135" s="1"/>
  <c r="BD112" i="135"/>
  <c r="BE112" i="135" s="1"/>
  <c r="BA112" i="135"/>
  <c r="BB112" i="135" s="1"/>
  <c r="BQ112" i="135"/>
  <c r="BR112" i="135" s="1"/>
  <c r="R112" i="135"/>
  <c r="T112" i="135" s="1"/>
  <c r="AV112" i="135"/>
  <c r="AW112" i="135" s="1"/>
  <c r="AK112" i="135"/>
  <c r="AL112" i="135" s="1"/>
  <c r="AH112" i="135"/>
  <c r="AI112" i="135" s="1"/>
  <c r="AT112" i="135"/>
  <c r="P112" i="135"/>
  <c r="AY112" i="135"/>
  <c r="Y112" i="135"/>
  <c r="Z112" i="135" s="1"/>
  <c r="AE112" i="135"/>
  <c r="AF112" i="135" s="1"/>
  <c r="BG112" i="135"/>
  <c r="BH112" i="135" s="1"/>
  <c r="V112" i="135"/>
  <c r="W112" i="135" s="1"/>
  <c r="AB112" i="135"/>
  <c r="AC112" i="135" s="1"/>
  <c r="AN112" i="135"/>
  <c r="AO112" i="135" s="1"/>
  <c r="O112" i="135"/>
  <c r="BN112" i="135"/>
  <c r="BO112" i="135" s="1"/>
  <c r="BL112" i="135"/>
  <c r="AL116" i="124"/>
  <c r="Z116" i="124"/>
  <c r="BR116" i="124"/>
  <c r="BN109" i="17"/>
  <c r="BO109" i="17" s="1"/>
  <c r="BL109" i="17"/>
  <c r="AH109" i="17"/>
  <c r="AI109" i="17" s="1"/>
  <c r="P109" i="17"/>
  <c r="AQ109" i="17"/>
  <c r="AR109" i="17" s="1"/>
  <c r="AV109" i="17"/>
  <c r="AW109" i="17" s="1"/>
  <c r="AB109" i="17"/>
  <c r="AC109" i="17" s="1"/>
  <c r="AK109" i="17"/>
  <c r="AL109" i="17" s="1"/>
  <c r="BA109" i="17"/>
  <c r="BB109" i="17" s="1"/>
  <c r="BQ109" i="17"/>
  <c r="BR109" i="17" s="1"/>
  <c r="BD109" i="17"/>
  <c r="BE109" i="17" s="1"/>
  <c r="R109" i="17"/>
  <c r="T109" i="17" s="1"/>
  <c r="M109" i="17"/>
  <c r="AY109" i="17"/>
  <c r="AT109" i="17"/>
  <c r="BG109" i="17"/>
  <c r="BH109" i="17" s="1"/>
  <c r="Y109" i="17"/>
  <c r="Z109" i="17" s="1"/>
  <c r="AE109" i="17"/>
  <c r="AF109" i="17" s="1"/>
  <c r="V109" i="17"/>
  <c r="W109" i="17" s="1"/>
  <c r="AN109" i="17"/>
  <c r="AO109" i="17" s="1"/>
  <c r="O109" i="17"/>
  <c r="I113" i="115"/>
  <c r="K112" i="115"/>
  <c r="K113" i="112"/>
  <c r="BK112" i="112"/>
  <c r="P112" i="112"/>
  <c r="AY112" i="112"/>
  <c r="Y112" i="112"/>
  <c r="Z112" i="112" s="1"/>
  <c r="AE112" i="112"/>
  <c r="AF112" i="112" s="1"/>
  <c r="V112" i="112"/>
  <c r="W112" i="112" s="1"/>
  <c r="BN112" i="112"/>
  <c r="BO112" i="112" s="1"/>
  <c r="O112" i="112"/>
  <c r="AN112" i="112"/>
  <c r="AO112" i="112" s="1"/>
  <c r="BA112" i="112"/>
  <c r="BB112" i="112" s="1"/>
  <c r="AH112" i="112"/>
  <c r="AI112" i="112" s="1"/>
  <c r="M112" i="112"/>
  <c r="BJ112" i="112"/>
  <c r="BL112" i="112" s="1"/>
  <c r="BQ112" i="112"/>
  <c r="BR112" i="112" s="1"/>
  <c r="AK112" i="112"/>
  <c r="AL112" i="112" s="1"/>
  <c r="R112" i="112"/>
  <c r="T112" i="112" s="1"/>
  <c r="AB112" i="112"/>
  <c r="AC112" i="112" s="1"/>
  <c r="BG112" i="112"/>
  <c r="BH112" i="112" s="1"/>
  <c r="AT112" i="112"/>
  <c r="BD112" i="112"/>
  <c r="BE112" i="112" s="1"/>
  <c r="AQ112" i="112"/>
  <c r="AR112" i="112" s="1"/>
  <c r="AV112" i="112"/>
  <c r="AW112" i="112" s="1"/>
  <c r="V33" i="10"/>
  <c r="AI117" i="146"/>
  <c r="BR117" i="99"/>
  <c r="R28" i="10"/>
  <c r="BO117" i="99"/>
  <c r="Z117" i="146"/>
  <c r="U19" i="10"/>
  <c r="U27" i="10"/>
  <c r="AF117" i="146"/>
  <c r="AR117" i="146"/>
  <c r="V27" i="10"/>
  <c r="BE117" i="99"/>
  <c r="AF117" i="99"/>
  <c r="BL117" i="146"/>
  <c r="AL117" i="146"/>
  <c r="BR117" i="146"/>
  <c r="AI117" i="99"/>
  <c r="T34" i="10"/>
  <c r="BO117" i="146"/>
  <c r="BB117" i="146"/>
  <c r="S34" i="10"/>
  <c r="Q28" i="10"/>
  <c r="AW117" i="146"/>
  <c r="BH117" i="146"/>
  <c r="BK117" i="146"/>
  <c r="V19" i="10"/>
  <c r="AO117" i="146"/>
  <c r="U33" i="10"/>
  <c r="W34" i="10"/>
  <c r="AC117" i="146"/>
  <c r="BE117" i="146"/>
  <c r="F90" i="107" l="1"/>
  <c r="F88" i="133"/>
  <c r="F111" i="133"/>
  <c r="F90" i="133"/>
  <c r="F89" i="133"/>
  <c r="F83" i="133" s="1"/>
  <c r="F80" i="133"/>
  <c r="F87" i="133"/>
  <c r="F112" i="133"/>
  <c r="F111" i="107"/>
  <c r="F107" i="133"/>
  <c r="F107" i="107"/>
  <c r="BN27" i="107"/>
  <c r="BO27" i="107" s="1"/>
  <c r="BN20" i="107"/>
  <c r="BO20" i="107" s="1"/>
  <c r="BN17" i="107"/>
  <c r="BO17" i="107" s="1"/>
  <c r="BS116" i="151"/>
  <c r="BN33" i="107"/>
  <c r="BO33" i="107" s="1"/>
  <c r="BN30" i="107"/>
  <c r="BO30" i="107" s="1"/>
  <c r="BN25" i="107"/>
  <c r="BO25" i="107" s="1"/>
  <c r="BN34" i="107"/>
  <c r="BO34" i="107" s="1"/>
  <c r="BN32" i="107"/>
  <c r="BO32" i="107" s="1"/>
  <c r="BN28" i="107"/>
  <c r="BO28" i="107" s="1"/>
  <c r="BN26" i="107"/>
  <c r="BO26" i="107" s="1"/>
  <c r="BO116" i="132"/>
  <c r="BB116" i="132"/>
  <c r="BN22" i="107"/>
  <c r="BO22" i="107" s="1"/>
  <c r="BN21" i="107"/>
  <c r="BO21" i="107" s="1"/>
  <c r="BN16" i="107"/>
  <c r="BO16" i="107" s="1"/>
  <c r="BN24" i="107"/>
  <c r="BO24" i="107" s="1"/>
  <c r="BN19" i="107"/>
  <c r="BO19" i="107" s="1"/>
  <c r="BN29" i="107"/>
  <c r="BO29" i="107" s="1"/>
  <c r="BN23" i="107"/>
  <c r="BO23" i="107" s="1"/>
  <c r="BN15" i="107"/>
  <c r="BO15" i="107" s="1"/>
  <c r="BD114" i="132"/>
  <c r="BE114" i="132" s="1"/>
  <c r="BE116" i="132" s="1"/>
  <c r="AY114" i="132"/>
  <c r="AN114" i="132"/>
  <c r="AO114" i="132" s="1"/>
  <c r="AO116" i="132" s="1"/>
  <c r="AQ114" i="132"/>
  <c r="AR114" i="132" s="1"/>
  <c r="AR116" i="132" s="1"/>
  <c r="BG114" i="132"/>
  <c r="BH114" i="132" s="1"/>
  <c r="BH116" i="132" s="1"/>
  <c r="BA114" i="99"/>
  <c r="BB114" i="99" s="1"/>
  <c r="AK114" i="99"/>
  <c r="AL114" i="99" s="1"/>
  <c r="AV114" i="99"/>
  <c r="AW114" i="99" s="1"/>
  <c r="BK114" i="99"/>
  <c r="BK116" i="99" s="1"/>
  <c r="AB114" i="132"/>
  <c r="AC114" i="132" s="1"/>
  <c r="AC116" i="132" s="1"/>
  <c r="O114" i="99"/>
  <c r="AY114" i="99"/>
  <c r="BG114" i="99"/>
  <c r="BH114" i="99" s="1"/>
  <c r="BJ114" i="99"/>
  <c r="BL114" i="99" s="1"/>
  <c r="P114" i="132"/>
  <c r="AK114" i="132"/>
  <c r="AL114" i="132" s="1"/>
  <c r="AL116" i="132" s="1"/>
  <c r="AE114" i="132"/>
  <c r="AF114" i="132" s="1"/>
  <c r="AF116" i="132" s="1"/>
  <c r="M114" i="132"/>
  <c r="BL114" i="132"/>
  <c r="BL116" i="132" s="1"/>
  <c r="AN114" i="99"/>
  <c r="AO114" i="99" s="1"/>
  <c r="AO116" i="99" s="1"/>
  <c r="R114" i="99"/>
  <c r="T114" i="99" s="1"/>
  <c r="Y114" i="99"/>
  <c r="Z114" i="99" s="1"/>
  <c r="Z116" i="99" s="1"/>
  <c r="M114" i="99"/>
  <c r="AH114" i="132"/>
  <c r="AI114" i="132" s="1"/>
  <c r="AI116" i="132" s="1"/>
  <c r="V114" i="132"/>
  <c r="W114" i="132" s="1"/>
  <c r="AV114" i="132"/>
  <c r="AW114" i="132" s="1"/>
  <c r="AW116" i="132" s="1"/>
  <c r="BQ114" i="132"/>
  <c r="BR114" i="132" s="1"/>
  <c r="BR116" i="132" s="1"/>
  <c r="F78" i="132" s="1"/>
  <c r="Y114" i="132"/>
  <c r="Z114" i="132" s="1"/>
  <c r="Z116" i="132" s="1"/>
  <c r="R114" i="132"/>
  <c r="T114" i="132" s="1"/>
  <c r="AB114" i="99"/>
  <c r="AC114" i="99" s="1"/>
  <c r="AQ114" i="99"/>
  <c r="AR114" i="99" s="1"/>
  <c r="AR116" i="99" s="1"/>
  <c r="F89" i="107"/>
  <c r="F83" i="107" s="1"/>
  <c r="F87" i="124"/>
  <c r="D115" i="154"/>
  <c r="D113" i="154"/>
  <c r="D114" i="154" s="1"/>
  <c r="BA111" i="95"/>
  <c r="BB111" i="95" s="1"/>
  <c r="AQ111" i="95"/>
  <c r="AR111" i="95" s="1"/>
  <c r="O111" i="95"/>
  <c r="M111" i="95"/>
  <c r="P111" i="95"/>
  <c r="BQ111" i="95"/>
  <c r="BR111" i="95" s="1"/>
  <c r="V111" i="95"/>
  <c r="W111" i="95" s="1"/>
  <c r="BN111" i="95"/>
  <c r="BO111" i="95" s="1"/>
  <c r="R111" i="95"/>
  <c r="T111" i="95" s="1"/>
  <c r="AV111" i="95"/>
  <c r="AW111" i="95" s="1"/>
  <c r="BG111" i="95"/>
  <c r="BH111" i="95" s="1"/>
  <c r="BL111" i="95"/>
  <c r="AN111" i="95"/>
  <c r="AO111" i="95" s="1"/>
  <c r="BD111" i="95"/>
  <c r="BE111" i="95" s="1"/>
  <c r="K112" i="95"/>
  <c r="AH111" i="95"/>
  <c r="AI111" i="95" s="1"/>
  <c r="AK111" i="95"/>
  <c r="AL111" i="95" s="1"/>
  <c r="AB111" i="95"/>
  <c r="AC111" i="95" s="1"/>
  <c r="AT111" i="95"/>
  <c r="Y111" i="95"/>
  <c r="Z111" i="95" s="1"/>
  <c r="AE111" i="95"/>
  <c r="AF111" i="95" s="1"/>
  <c r="BK112" i="106"/>
  <c r="AQ112" i="106"/>
  <c r="AR112" i="106" s="1"/>
  <c r="Y112" i="106"/>
  <c r="Z112" i="106" s="1"/>
  <c r="BG112" i="106"/>
  <c r="BH112" i="106" s="1"/>
  <c r="M112" i="106"/>
  <c r="AH112" i="106"/>
  <c r="AI112" i="106" s="1"/>
  <c r="BA112" i="106"/>
  <c r="BB112" i="106" s="1"/>
  <c r="O112" i="106"/>
  <c r="BJ112" i="106"/>
  <c r="BL112" i="106" s="1"/>
  <c r="V112" i="106"/>
  <c r="W112" i="106" s="1"/>
  <c r="AN112" i="106"/>
  <c r="AO112" i="106" s="1"/>
  <c r="AT112" i="106"/>
  <c r="BD112" i="106"/>
  <c r="BE112" i="106" s="1"/>
  <c r="AE112" i="106"/>
  <c r="AF112" i="106" s="1"/>
  <c r="BQ112" i="106"/>
  <c r="BR112" i="106" s="1"/>
  <c r="AK112" i="106"/>
  <c r="AL112" i="106" s="1"/>
  <c r="P112" i="106"/>
  <c r="AV112" i="106"/>
  <c r="AW112" i="106" s="1"/>
  <c r="BN112" i="106"/>
  <c r="BO112" i="106" s="1"/>
  <c r="AB112" i="106"/>
  <c r="AC112" i="106" s="1"/>
  <c r="R112" i="106"/>
  <c r="T112" i="106" s="1"/>
  <c r="AY112" i="106"/>
  <c r="K113" i="106"/>
  <c r="AY112" i="104"/>
  <c r="O112" i="104"/>
  <c r="V112" i="104"/>
  <c r="W112" i="104" s="1"/>
  <c r="BK112" i="104"/>
  <c r="AE112" i="104"/>
  <c r="AF112" i="104" s="1"/>
  <c r="AT112" i="104"/>
  <c r="BD112" i="104"/>
  <c r="BE112" i="104" s="1"/>
  <c r="M112" i="104"/>
  <c r="AN112" i="104"/>
  <c r="AO112" i="104" s="1"/>
  <c r="BG112" i="104"/>
  <c r="BH112" i="104" s="1"/>
  <c r="R112" i="104"/>
  <c r="T112" i="104" s="1"/>
  <c r="BN112" i="104"/>
  <c r="BO112" i="104" s="1"/>
  <c r="BQ112" i="104"/>
  <c r="BR112" i="104" s="1"/>
  <c r="AQ112" i="104"/>
  <c r="AR112" i="104" s="1"/>
  <c r="AB112" i="104"/>
  <c r="AC112" i="104" s="1"/>
  <c r="K113" i="104"/>
  <c r="BJ112" i="104"/>
  <c r="BL112" i="104" s="1"/>
  <c r="AK112" i="104"/>
  <c r="AL112" i="104" s="1"/>
  <c r="AH112" i="104"/>
  <c r="AI112" i="104" s="1"/>
  <c r="P112" i="104"/>
  <c r="Y112" i="104"/>
  <c r="Z112" i="104" s="1"/>
  <c r="BA112" i="104"/>
  <c r="BB112" i="104" s="1"/>
  <c r="AV112" i="104"/>
  <c r="AW112" i="104" s="1"/>
  <c r="F81" i="133"/>
  <c r="F79" i="133"/>
  <c r="K114" i="135"/>
  <c r="BN114" i="135" s="1"/>
  <c r="BO114" i="135" s="1"/>
  <c r="O113" i="129"/>
  <c r="AB113" i="129"/>
  <c r="AC113" i="129" s="1"/>
  <c r="BQ113" i="129"/>
  <c r="BR113" i="129" s="1"/>
  <c r="BL113" i="129"/>
  <c r="AT113" i="129"/>
  <c r="K114" i="129"/>
  <c r="R113" i="129"/>
  <c r="T113" i="129" s="1"/>
  <c r="BG113" i="129"/>
  <c r="BH113" i="129" s="1"/>
  <c r="BD113" i="129"/>
  <c r="BE113" i="129" s="1"/>
  <c r="AN113" i="129"/>
  <c r="AO113" i="129" s="1"/>
  <c r="BN113" i="129"/>
  <c r="BO113" i="129" s="1"/>
  <c r="AY113" i="129"/>
  <c r="AE113" i="129"/>
  <c r="AF113" i="129" s="1"/>
  <c r="P113" i="129"/>
  <c r="M113" i="129"/>
  <c r="AK113" i="129"/>
  <c r="AL113" i="129" s="1"/>
  <c r="V113" i="129"/>
  <c r="W113" i="129" s="1"/>
  <c r="Y113" i="129"/>
  <c r="Z113" i="129" s="1"/>
  <c r="AV113" i="129"/>
  <c r="AW113" i="129" s="1"/>
  <c r="AQ113" i="129"/>
  <c r="AR113" i="129" s="1"/>
  <c r="BA113" i="129"/>
  <c r="BB113" i="129" s="1"/>
  <c r="AH113" i="129"/>
  <c r="AI113" i="129" s="1"/>
  <c r="F87" i="150"/>
  <c r="X28" i="10"/>
  <c r="F96" i="150"/>
  <c r="F92" i="150" s="1"/>
  <c r="F88" i="150"/>
  <c r="F79" i="150"/>
  <c r="F111" i="150"/>
  <c r="F107" i="151"/>
  <c r="F112" i="150"/>
  <c r="F83" i="151"/>
  <c r="F74" i="107"/>
  <c r="F74" i="151"/>
  <c r="F69" i="149"/>
  <c r="F80" i="150"/>
  <c r="F89" i="150"/>
  <c r="F90" i="150"/>
  <c r="F81" i="150"/>
  <c r="F103" i="150"/>
  <c r="F99" i="150" s="1"/>
  <c r="F70" i="149"/>
  <c r="F79" i="147"/>
  <c r="F90" i="147"/>
  <c r="F80" i="147"/>
  <c r="F89" i="147"/>
  <c r="F112" i="147"/>
  <c r="F111" i="147"/>
  <c r="BN15" i="147"/>
  <c r="BO15" i="147" s="1"/>
  <c r="BN16" i="147"/>
  <c r="BO16" i="147" s="1"/>
  <c r="BN17" i="147"/>
  <c r="BO17" i="147" s="1"/>
  <c r="BN18" i="147"/>
  <c r="BO18" i="147" s="1"/>
  <c r="BN19" i="147"/>
  <c r="BO19" i="147" s="1"/>
  <c r="BN20" i="147"/>
  <c r="BO20" i="147" s="1"/>
  <c r="BN21" i="147"/>
  <c r="BO21" i="147" s="1"/>
  <c r="BN22" i="147"/>
  <c r="BO22" i="147" s="1"/>
  <c r="BN23" i="147"/>
  <c r="BO23" i="147" s="1"/>
  <c r="BN24" i="147"/>
  <c r="BO24" i="147" s="1"/>
  <c r="BN25" i="147"/>
  <c r="BO25" i="147" s="1"/>
  <c r="BN26" i="147"/>
  <c r="BO26" i="147" s="1"/>
  <c r="BN27" i="147"/>
  <c r="BO27" i="147" s="1"/>
  <c r="BN28" i="147"/>
  <c r="BO28" i="147" s="1"/>
  <c r="BN29" i="147"/>
  <c r="BO29" i="147" s="1"/>
  <c r="BN30" i="147"/>
  <c r="BO30" i="147" s="1"/>
  <c r="BN31" i="147"/>
  <c r="BO31" i="147" s="1"/>
  <c r="BN32" i="147"/>
  <c r="BO32" i="147" s="1"/>
  <c r="BN33" i="147"/>
  <c r="BO33" i="147" s="1"/>
  <c r="BN34" i="147"/>
  <c r="BO34" i="147" s="1"/>
  <c r="F88" i="147"/>
  <c r="F78" i="147"/>
  <c r="F103" i="147"/>
  <c r="F99" i="147" s="1"/>
  <c r="F87" i="147"/>
  <c r="F96" i="147"/>
  <c r="F92" i="147" s="1"/>
  <c r="F81" i="147"/>
  <c r="AC116" i="146"/>
  <c r="AR116" i="146"/>
  <c r="BK116" i="146"/>
  <c r="AO116" i="146"/>
  <c r="AI116" i="146"/>
  <c r="Z116" i="146"/>
  <c r="BE116" i="146"/>
  <c r="BL116" i="146"/>
  <c r="AW116" i="146"/>
  <c r="BB116" i="146"/>
  <c r="AF116" i="146"/>
  <c r="BH116" i="146"/>
  <c r="AL116" i="146"/>
  <c r="BR116" i="146"/>
  <c r="F79" i="124"/>
  <c r="F81" i="124"/>
  <c r="F80" i="124"/>
  <c r="F111" i="124"/>
  <c r="BN114" i="136"/>
  <c r="BO114" i="136" s="1"/>
  <c r="BO116" i="136" s="1"/>
  <c r="M114" i="136"/>
  <c r="AE114" i="136"/>
  <c r="AF114" i="136" s="1"/>
  <c r="AF116" i="136" s="1"/>
  <c r="BL114" i="136"/>
  <c r="BL116" i="136" s="1"/>
  <c r="R114" i="136"/>
  <c r="T114" i="136" s="1"/>
  <c r="AT114" i="136"/>
  <c r="O114" i="136"/>
  <c r="P114" i="136"/>
  <c r="AN114" i="136"/>
  <c r="AO114" i="136" s="1"/>
  <c r="AO116" i="136" s="1"/>
  <c r="AQ114" i="136"/>
  <c r="AR114" i="136" s="1"/>
  <c r="AR116" i="136" s="1"/>
  <c r="Y114" i="136"/>
  <c r="Z114" i="136" s="1"/>
  <c r="Z116" i="136" s="1"/>
  <c r="BD114" i="136"/>
  <c r="BE114" i="136" s="1"/>
  <c r="BE116" i="136" s="1"/>
  <c r="BG114" i="136"/>
  <c r="BH114" i="136" s="1"/>
  <c r="BH116" i="136" s="1"/>
  <c r="BA114" i="136"/>
  <c r="BB114" i="136" s="1"/>
  <c r="BB116" i="136" s="1"/>
  <c r="V114" i="136"/>
  <c r="W114" i="136" s="1"/>
  <c r="AB114" i="136"/>
  <c r="AC114" i="136" s="1"/>
  <c r="AC116" i="136" s="1"/>
  <c r="BQ114" i="136"/>
  <c r="BR114" i="136" s="1"/>
  <c r="BR116" i="136" s="1"/>
  <c r="F78" i="136" s="1"/>
  <c r="AH114" i="136"/>
  <c r="AI114" i="136" s="1"/>
  <c r="AI116" i="136" s="1"/>
  <c r="AY114" i="136"/>
  <c r="AK114" i="136"/>
  <c r="AL114" i="136" s="1"/>
  <c r="AL116" i="136" s="1"/>
  <c r="AV114" i="136"/>
  <c r="AW114" i="136" s="1"/>
  <c r="AW116" i="136" s="1"/>
  <c r="BL114" i="130"/>
  <c r="BL116" i="130" s="1"/>
  <c r="BN114" i="130"/>
  <c r="BO114" i="130" s="1"/>
  <c r="BO116" i="130" s="1"/>
  <c r="M114" i="130"/>
  <c r="AE114" i="130"/>
  <c r="AF114" i="130" s="1"/>
  <c r="AF116" i="130" s="1"/>
  <c r="R114" i="130"/>
  <c r="T114" i="130" s="1"/>
  <c r="Y114" i="130"/>
  <c r="Z114" i="130" s="1"/>
  <c r="Z116" i="130" s="1"/>
  <c r="AB114" i="130"/>
  <c r="AC114" i="130" s="1"/>
  <c r="AC116" i="130" s="1"/>
  <c r="P114" i="130"/>
  <c r="AT114" i="130"/>
  <c r="AH114" i="130"/>
  <c r="AI114" i="130" s="1"/>
  <c r="AI116" i="130" s="1"/>
  <c r="BA114" i="130"/>
  <c r="BB114" i="130" s="1"/>
  <c r="BB116" i="130" s="1"/>
  <c r="O114" i="130"/>
  <c r="BD114" i="130"/>
  <c r="BE114" i="130" s="1"/>
  <c r="BE116" i="130" s="1"/>
  <c r="AV114" i="130"/>
  <c r="AW114" i="130" s="1"/>
  <c r="AW116" i="130" s="1"/>
  <c r="AN114" i="130"/>
  <c r="AO114" i="130" s="1"/>
  <c r="AO116" i="130" s="1"/>
  <c r="AY114" i="130"/>
  <c r="BQ114" i="130"/>
  <c r="BR114" i="130" s="1"/>
  <c r="BR116" i="130" s="1"/>
  <c r="F78" i="130" s="1"/>
  <c r="V114" i="130"/>
  <c r="W114" i="130" s="1"/>
  <c r="AK114" i="130"/>
  <c r="AL114" i="130" s="1"/>
  <c r="AL116" i="130" s="1"/>
  <c r="BG114" i="130"/>
  <c r="BH114" i="130" s="1"/>
  <c r="BH116" i="130" s="1"/>
  <c r="AQ114" i="130"/>
  <c r="AR114" i="130" s="1"/>
  <c r="AR116" i="130" s="1"/>
  <c r="M111" i="101"/>
  <c r="O111" i="101"/>
  <c r="R111" i="101"/>
  <c r="T111" i="101" s="1"/>
  <c r="AK111" i="101"/>
  <c r="AL111" i="101" s="1"/>
  <c r="AQ111" i="101"/>
  <c r="AR111" i="101" s="1"/>
  <c r="P111" i="101"/>
  <c r="V111" i="101"/>
  <c r="W111" i="101" s="1"/>
  <c r="AY111" i="101"/>
  <c r="AN111" i="101"/>
  <c r="AO111" i="101" s="1"/>
  <c r="AH111" i="101"/>
  <c r="AI111" i="101" s="1"/>
  <c r="BG111" i="101"/>
  <c r="BH111" i="101" s="1"/>
  <c r="AE111" i="101"/>
  <c r="AF111" i="101" s="1"/>
  <c r="BA111" i="101"/>
  <c r="BB111" i="101" s="1"/>
  <c r="AV111" i="101"/>
  <c r="AW111" i="101" s="1"/>
  <c r="BD111" i="101"/>
  <c r="BE111" i="101" s="1"/>
  <c r="AT111" i="101"/>
  <c r="BQ111" i="101"/>
  <c r="BR111" i="101" s="1"/>
  <c r="Y111" i="101"/>
  <c r="Z111" i="101" s="1"/>
  <c r="AB111" i="101"/>
  <c r="AC111" i="101" s="1"/>
  <c r="P113" i="64"/>
  <c r="BG113" i="64"/>
  <c r="BH113" i="64" s="1"/>
  <c r="AY113" i="64"/>
  <c r="AQ113" i="64"/>
  <c r="AR113" i="64" s="1"/>
  <c r="AT113" i="64"/>
  <c r="BQ113" i="64"/>
  <c r="BR113" i="64" s="1"/>
  <c r="Y113" i="64"/>
  <c r="Z113" i="64" s="1"/>
  <c r="AK113" i="64"/>
  <c r="AL113" i="64" s="1"/>
  <c r="BA113" i="64"/>
  <c r="BB113" i="64" s="1"/>
  <c r="AN113" i="64"/>
  <c r="AO113" i="64" s="1"/>
  <c r="AH113" i="64"/>
  <c r="AI113" i="64" s="1"/>
  <c r="M113" i="64"/>
  <c r="BD113" i="64"/>
  <c r="BE113" i="64" s="1"/>
  <c r="O113" i="64"/>
  <c r="AE113" i="64"/>
  <c r="AF113" i="64" s="1"/>
  <c r="AB113" i="64"/>
  <c r="AC113" i="64" s="1"/>
  <c r="R113" i="64"/>
  <c r="T113" i="64" s="1"/>
  <c r="V113" i="64"/>
  <c r="W113" i="64" s="1"/>
  <c r="AV113" i="64"/>
  <c r="AW113" i="64" s="1"/>
  <c r="BN113" i="64"/>
  <c r="BO113" i="64" s="1"/>
  <c r="BL113" i="64"/>
  <c r="K114" i="64"/>
  <c r="AI116" i="99"/>
  <c r="BK112" i="126"/>
  <c r="BJ112" i="126"/>
  <c r="BL112" i="126" s="1"/>
  <c r="M112" i="126"/>
  <c r="BN112" i="126"/>
  <c r="BO112" i="126" s="1"/>
  <c r="BG112" i="126"/>
  <c r="BH112" i="126" s="1"/>
  <c r="AQ112" i="126"/>
  <c r="AR112" i="126" s="1"/>
  <c r="O112" i="126"/>
  <c r="Y112" i="126"/>
  <c r="Z112" i="126" s="1"/>
  <c r="AN112" i="126"/>
  <c r="AO112" i="126" s="1"/>
  <c r="AH112" i="126"/>
  <c r="AI112" i="126" s="1"/>
  <c r="AK112" i="126"/>
  <c r="AL112" i="126" s="1"/>
  <c r="P112" i="126"/>
  <c r="AB112" i="126"/>
  <c r="AC112" i="126" s="1"/>
  <c r="BA112" i="126"/>
  <c r="BB112" i="126" s="1"/>
  <c r="AY112" i="126"/>
  <c r="AE112" i="126"/>
  <c r="AF112" i="126" s="1"/>
  <c r="AT112" i="126"/>
  <c r="BQ112" i="126"/>
  <c r="BR112" i="126" s="1"/>
  <c r="V112" i="126"/>
  <c r="W112" i="126" s="1"/>
  <c r="AV112" i="126"/>
  <c r="AW112" i="126" s="1"/>
  <c r="BD112" i="126"/>
  <c r="BE112" i="126" s="1"/>
  <c r="R112" i="126"/>
  <c r="T112" i="126" s="1"/>
  <c r="K113" i="126"/>
  <c r="BK113" i="112"/>
  <c r="K114" i="112"/>
  <c r="O113" i="112"/>
  <c r="R113" i="112"/>
  <c r="T113" i="112" s="1"/>
  <c r="Y113" i="112"/>
  <c r="Z113" i="112" s="1"/>
  <c r="AV113" i="112"/>
  <c r="AW113" i="112" s="1"/>
  <c r="BQ113" i="112"/>
  <c r="BR113" i="112" s="1"/>
  <c r="BN113" i="112"/>
  <c r="BO113" i="112" s="1"/>
  <c r="BD113" i="112"/>
  <c r="BE113" i="112" s="1"/>
  <c r="V113" i="112"/>
  <c r="W113" i="112" s="1"/>
  <c r="BA113" i="112"/>
  <c r="BB113" i="112" s="1"/>
  <c r="AY113" i="112"/>
  <c r="M113" i="112"/>
  <c r="BJ113" i="112"/>
  <c r="BL113" i="112" s="1"/>
  <c r="AQ113" i="112"/>
  <c r="AR113" i="112" s="1"/>
  <c r="AN113" i="112"/>
  <c r="AO113" i="112" s="1"/>
  <c r="AH113" i="112"/>
  <c r="AI113" i="112" s="1"/>
  <c r="AB113" i="112"/>
  <c r="AC113" i="112" s="1"/>
  <c r="AT113" i="112"/>
  <c r="BG113" i="112"/>
  <c r="BH113" i="112" s="1"/>
  <c r="AK113" i="112"/>
  <c r="AL113" i="112" s="1"/>
  <c r="P113" i="112"/>
  <c r="AE113" i="112"/>
  <c r="AF113" i="112" s="1"/>
  <c r="I113" i="101"/>
  <c r="K112" i="101"/>
  <c r="AC116" i="99"/>
  <c r="BR116" i="99"/>
  <c r="BK112" i="115"/>
  <c r="M112" i="115"/>
  <c r="BN112" i="115"/>
  <c r="BO112" i="115" s="1"/>
  <c r="BJ112" i="115"/>
  <c r="BL112" i="115" s="1"/>
  <c r="BG112" i="115"/>
  <c r="BH112" i="115" s="1"/>
  <c r="AH112" i="115"/>
  <c r="AI112" i="115" s="1"/>
  <c r="R112" i="115"/>
  <c r="T112" i="115" s="1"/>
  <c r="BQ112" i="115"/>
  <c r="BR112" i="115" s="1"/>
  <c r="BD112" i="115"/>
  <c r="BE112" i="115" s="1"/>
  <c r="AT112" i="115"/>
  <c r="AN112" i="115"/>
  <c r="AO112" i="115" s="1"/>
  <c r="AQ112" i="115"/>
  <c r="AR112" i="115" s="1"/>
  <c r="AE112" i="115"/>
  <c r="AF112" i="115" s="1"/>
  <c r="V112" i="115"/>
  <c r="W112" i="115" s="1"/>
  <c r="AY112" i="115"/>
  <c r="Y112" i="115"/>
  <c r="Z112" i="115" s="1"/>
  <c r="AK112" i="115"/>
  <c r="AL112" i="115" s="1"/>
  <c r="AV112" i="115"/>
  <c r="AW112" i="115" s="1"/>
  <c r="AB112" i="115"/>
  <c r="AC112" i="115" s="1"/>
  <c r="BA112" i="115"/>
  <c r="BB112" i="115" s="1"/>
  <c r="P112" i="115"/>
  <c r="O112" i="115"/>
  <c r="F78" i="124"/>
  <c r="I114" i="110"/>
  <c r="K113" i="110"/>
  <c r="K111" i="66"/>
  <c r="I112" i="66"/>
  <c r="F103" i="124"/>
  <c r="F99" i="124" s="1"/>
  <c r="BA112" i="98"/>
  <c r="BB112" i="98" s="1"/>
  <c r="P112" i="98"/>
  <c r="BG112" i="98"/>
  <c r="BH112" i="98" s="1"/>
  <c r="AK112" i="98"/>
  <c r="AL112" i="98" s="1"/>
  <c r="AH112" i="98"/>
  <c r="AI112" i="98" s="1"/>
  <c r="V112" i="98"/>
  <c r="W112" i="98" s="1"/>
  <c r="AE112" i="98"/>
  <c r="AF112" i="98" s="1"/>
  <c r="Y112" i="98"/>
  <c r="Z112" i="98" s="1"/>
  <c r="AQ112" i="98"/>
  <c r="AR112" i="98" s="1"/>
  <c r="AN112" i="98"/>
  <c r="AO112" i="98" s="1"/>
  <c r="O112" i="98"/>
  <c r="BQ112" i="98"/>
  <c r="BR112" i="98" s="1"/>
  <c r="AY112" i="98"/>
  <c r="K113" i="98"/>
  <c r="M112" i="98"/>
  <c r="R112" i="98"/>
  <c r="T112" i="98" s="1"/>
  <c r="BK112" i="98"/>
  <c r="AV112" i="98"/>
  <c r="AW112" i="98" s="1"/>
  <c r="BJ112" i="98"/>
  <c r="BL112" i="98" s="1"/>
  <c r="AB112" i="98"/>
  <c r="AC112" i="98" s="1"/>
  <c r="BD112" i="98"/>
  <c r="BE112" i="98" s="1"/>
  <c r="BN112" i="98"/>
  <c r="BO112" i="98" s="1"/>
  <c r="AT112" i="98"/>
  <c r="F96" i="124"/>
  <c r="F92" i="124" s="1"/>
  <c r="BN111" i="15"/>
  <c r="BO111" i="15" s="1"/>
  <c r="V111" i="15"/>
  <c r="W111" i="15" s="1"/>
  <c r="BQ111" i="15"/>
  <c r="BR111" i="15" s="1"/>
  <c r="AK111" i="15"/>
  <c r="AL111" i="15" s="1"/>
  <c r="O111" i="15"/>
  <c r="AH111" i="15"/>
  <c r="AI111" i="15" s="1"/>
  <c r="AV111" i="15"/>
  <c r="AW111" i="15" s="1"/>
  <c r="AY111" i="15"/>
  <c r="P111" i="15"/>
  <c r="Y111" i="15"/>
  <c r="Z111" i="15" s="1"/>
  <c r="BL111" i="15"/>
  <c r="M111" i="15"/>
  <c r="BG111" i="15"/>
  <c r="BH111" i="15" s="1"/>
  <c r="BD111" i="15"/>
  <c r="BE111" i="15" s="1"/>
  <c r="AE111" i="15"/>
  <c r="AF111" i="15" s="1"/>
  <c r="AN111" i="15"/>
  <c r="AO111" i="15" s="1"/>
  <c r="R111" i="15"/>
  <c r="T111" i="15" s="1"/>
  <c r="BA111" i="15"/>
  <c r="BB111" i="15" s="1"/>
  <c r="AB111" i="15"/>
  <c r="AC111" i="15" s="1"/>
  <c r="AT111" i="15"/>
  <c r="AQ111" i="15"/>
  <c r="AR111" i="15" s="1"/>
  <c r="K112" i="15"/>
  <c r="BB116" i="99"/>
  <c r="F103" i="99" s="1"/>
  <c r="F99" i="99" s="1"/>
  <c r="AW116" i="99"/>
  <c r="AF116" i="99"/>
  <c r="I112" i="17"/>
  <c r="K111" i="17"/>
  <c r="BA111" i="118"/>
  <c r="BB111" i="118" s="1"/>
  <c r="K112" i="118"/>
  <c r="M111" i="118"/>
  <c r="BN111" i="118"/>
  <c r="BO111" i="118" s="1"/>
  <c r="O111" i="118"/>
  <c r="AB111" i="118"/>
  <c r="AC111" i="118" s="1"/>
  <c r="BQ111" i="118"/>
  <c r="BR111" i="118" s="1"/>
  <c r="AK111" i="118"/>
  <c r="AL111" i="118" s="1"/>
  <c r="BD111" i="118"/>
  <c r="BE111" i="118" s="1"/>
  <c r="AQ111" i="118"/>
  <c r="AR111" i="118" s="1"/>
  <c r="AN111" i="118"/>
  <c r="AO111" i="118" s="1"/>
  <c r="AY111" i="118"/>
  <c r="AT111" i="118"/>
  <c r="AV111" i="118"/>
  <c r="AW111" i="118" s="1"/>
  <c r="AH111" i="118"/>
  <c r="AI111" i="118" s="1"/>
  <c r="AE111" i="118"/>
  <c r="AF111" i="118" s="1"/>
  <c r="P111" i="118"/>
  <c r="R111" i="118"/>
  <c r="T111" i="118" s="1"/>
  <c r="BG111" i="118"/>
  <c r="BH111" i="118" s="1"/>
  <c r="V111" i="118"/>
  <c r="W111" i="118" s="1"/>
  <c r="Y111" i="118"/>
  <c r="Z111" i="118" s="1"/>
  <c r="K113" i="96"/>
  <c r="I114" i="96"/>
  <c r="BN112" i="63"/>
  <c r="BO112" i="63" s="1"/>
  <c r="M112" i="63"/>
  <c r="AK112" i="63"/>
  <c r="AL112" i="63" s="1"/>
  <c r="V112" i="63"/>
  <c r="W112" i="63" s="1"/>
  <c r="BQ112" i="63"/>
  <c r="BR112" i="63" s="1"/>
  <c r="AY112" i="63"/>
  <c r="AE112" i="63"/>
  <c r="AF112" i="63" s="1"/>
  <c r="AB112" i="63"/>
  <c r="AC112" i="63" s="1"/>
  <c r="AN112" i="63"/>
  <c r="AO112" i="63" s="1"/>
  <c r="O112" i="63"/>
  <c r="AT112" i="63"/>
  <c r="P112" i="63"/>
  <c r="AH112" i="63"/>
  <c r="AI112" i="63" s="1"/>
  <c r="BA112" i="63"/>
  <c r="BB112" i="63" s="1"/>
  <c r="BD112" i="63"/>
  <c r="BE112" i="63" s="1"/>
  <c r="AV112" i="63"/>
  <c r="AW112" i="63" s="1"/>
  <c r="R112" i="63"/>
  <c r="T112" i="63" s="1"/>
  <c r="AQ112" i="63"/>
  <c r="AR112" i="63" s="1"/>
  <c r="BG112" i="63"/>
  <c r="BH112" i="63" s="1"/>
  <c r="Y112" i="63"/>
  <c r="Z112" i="63" s="1"/>
  <c r="BL112" i="63"/>
  <c r="K113" i="63"/>
  <c r="AL116" i="99"/>
  <c r="K111" i="13"/>
  <c r="I112" i="13"/>
  <c r="AH114" i="135"/>
  <c r="AI114" i="135" s="1"/>
  <c r="AB114" i="135"/>
  <c r="AC114" i="135" s="1"/>
  <c r="AT114" i="135"/>
  <c r="AV114" i="135"/>
  <c r="AW114" i="135" s="1"/>
  <c r="AK114" i="135"/>
  <c r="AL114" i="135" s="1"/>
  <c r="BQ114" i="135"/>
  <c r="BR114" i="135" s="1"/>
  <c r="BL116" i="99"/>
  <c r="BL110" i="13"/>
  <c r="M110" i="13"/>
  <c r="BN110" i="13"/>
  <c r="BO110" i="13" s="1"/>
  <c r="AH110" i="13"/>
  <c r="AI110" i="13" s="1"/>
  <c r="BQ110" i="13"/>
  <c r="BR110" i="13" s="1"/>
  <c r="AE110" i="13"/>
  <c r="AF110" i="13" s="1"/>
  <c r="O110" i="13"/>
  <c r="BG110" i="13"/>
  <c r="BH110" i="13" s="1"/>
  <c r="AQ110" i="13"/>
  <c r="AR110" i="13" s="1"/>
  <c r="BA110" i="13"/>
  <c r="BB110" i="13" s="1"/>
  <c r="P110" i="13"/>
  <c r="AY110" i="13"/>
  <c r="AN110" i="13"/>
  <c r="AO110" i="13" s="1"/>
  <c r="BD110" i="13"/>
  <c r="BE110" i="13" s="1"/>
  <c r="R110" i="13"/>
  <c r="T110" i="13" s="1"/>
  <c r="AT110" i="13"/>
  <c r="V110" i="13"/>
  <c r="W110" i="13" s="1"/>
  <c r="AK110" i="13"/>
  <c r="AL110" i="13" s="1"/>
  <c r="AV110" i="13"/>
  <c r="AW110" i="13" s="1"/>
  <c r="AB110" i="13"/>
  <c r="AC110" i="13" s="1"/>
  <c r="Y110" i="13"/>
  <c r="Z110" i="13" s="1"/>
  <c r="BL110" i="17"/>
  <c r="BN110" i="17"/>
  <c r="BO110" i="17" s="1"/>
  <c r="M110" i="17"/>
  <c r="AY110" i="17"/>
  <c r="AV110" i="17"/>
  <c r="AW110" i="17" s="1"/>
  <c r="BA110" i="17"/>
  <c r="BB110" i="17" s="1"/>
  <c r="AE110" i="17"/>
  <c r="AF110" i="17" s="1"/>
  <c r="AT110" i="17"/>
  <c r="O110" i="17"/>
  <c r="V110" i="17"/>
  <c r="W110" i="17" s="1"/>
  <c r="AB110" i="17"/>
  <c r="AC110" i="17" s="1"/>
  <c r="BQ110" i="17"/>
  <c r="BR110" i="17" s="1"/>
  <c r="AQ110" i="17"/>
  <c r="AR110" i="17" s="1"/>
  <c r="Y110" i="17"/>
  <c r="Z110" i="17" s="1"/>
  <c r="P110" i="17"/>
  <c r="AN110" i="17"/>
  <c r="AO110" i="17" s="1"/>
  <c r="BD110" i="17"/>
  <c r="BE110" i="17" s="1"/>
  <c r="AH110" i="17"/>
  <c r="AI110" i="17" s="1"/>
  <c r="AK110" i="17"/>
  <c r="AL110" i="17" s="1"/>
  <c r="BG110" i="17"/>
  <c r="BH110" i="17" s="1"/>
  <c r="R110" i="17"/>
  <c r="T110" i="17" s="1"/>
  <c r="M113" i="135"/>
  <c r="BN113" i="135"/>
  <c r="BO113" i="135" s="1"/>
  <c r="AK113" i="135"/>
  <c r="AL113" i="135" s="1"/>
  <c r="BD113" i="135"/>
  <c r="BE113" i="135" s="1"/>
  <c r="P113" i="135"/>
  <c r="AT113" i="135"/>
  <c r="AB113" i="135"/>
  <c r="AC113" i="135" s="1"/>
  <c r="BA113" i="135"/>
  <c r="BB113" i="135" s="1"/>
  <c r="AN113" i="135"/>
  <c r="AO113" i="135" s="1"/>
  <c r="O113" i="135"/>
  <c r="Y113" i="135"/>
  <c r="Z113" i="135" s="1"/>
  <c r="AH113" i="135"/>
  <c r="AI113" i="135" s="1"/>
  <c r="V113" i="135"/>
  <c r="W113" i="135" s="1"/>
  <c r="R113" i="135"/>
  <c r="T113" i="135" s="1"/>
  <c r="BG113" i="135"/>
  <c r="BH113" i="135" s="1"/>
  <c r="AQ113" i="135"/>
  <c r="AR113" i="135" s="1"/>
  <c r="AY113" i="135"/>
  <c r="AE113" i="135"/>
  <c r="AF113" i="135" s="1"/>
  <c r="AV113" i="135"/>
  <c r="AW113" i="135" s="1"/>
  <c r="BQ113" i="135"/>
  <c r="BR113" i="135" s="1"/>
  <c r="BL113" i="135"/>
  <c r="BN112" i="114"/>
  <c r="BO112" i="114" s="1"/>
  <c r="BJ112" i="114"/>
  <c r="BL112" i="114" s="1"/>
  <c r="M112" i="114"/>
  <c r="BK112" i="114"/>
  <c r="AH112" i="114"/>
  <c r="AI112" i="114" s="1"/>
  <c r="V112" i="114"/>
  <c r="W112" i="114" s="1"/>
  <c r="P112" i="114"/>
  <c r="AN112" i="114"/>
  <c r="AO112" i="114" s="1"/>
  <c r="Y112" i="114"/>
  <c r="Z112" i="114" s="1"/>
  <c r="AT112" i="114"/>
  <c r="AQ112" i="114"/>
  <c r="AR112" i="114" s="1"/>
  <c r="AK112" i="114"/>
  <c r="AL112" i="114" s="1"/>
  <c r="AY112" i="114"/>
  <c r="BA112" i="114"/>
  <c r="BB112" i="114" s="1"/>
  <c r="AV112" i="114"/>
  <c r="AW112" i="114" s="1"/>
  <c r="R112" i="114"/>
  <c r="T112" i="114" s="1"/>
  <c r="BQ112" i="114"/>
  <c r="BR112" i="114" s="1"/>
  <c r="BD112" i="114"/>
  <c r="BE112" i="114" s="1"/>
  <c r="AE112" i="114"/>
  <c r="AF112" i="114" s="1"/>
  <c r="BG112" i="114"/>
  <c r="BH112" i="114" s="1"/>
  <c r="O112" i="114"/>
  <c r="AB112" i="114"/>
  <c r="AC112" i="114" s="1"/>
  <c r="K113" i="114"/>
  <c r="I114" i="115"/>
  <c r="K113" i="115"/>
  <c r="F89" i="132"/>
  <c r="BN112" i="110"/>
  <c r="BO112" i="110" s="1"/>
  <c r="BK112" i="110"/>
  <c r="BJ112" i="110"/>
  <c r="BL112" i="110" s="1"/>
  <c r="M112" i="110"/>
  <c r="AH112" i="110"/>
  <c r="AI112" i="110" s="1"/>
  <c r="Y112" i="110"/>
  <c r="Z112" i="110" s="1"/>
  <c r="AY112" i="110"/>
  <c r="BG112" i="110"/>
  <c r="BH112" i="110" s="1"/>
  <c r="BA112" i="110"/>
  <c r="BB112" i="110" s="1"/>
  <c r="AB112" i="110"/>
  <c r="AC112" i="110" s="1"/>
  <c r="AQ112" i="110"/>
  <c r="AR112" i="110" s="1"/>
  <c r="AT112" i="110"/>
  <c r="AV112" i="110"/>
  <c r="AW112" i="110" s="1"/>
  <c r="O112" i="110"/>
  <c r="V112" i="110"/>
  <c r="W112" i="110" s="1"/>
  <c r="P112" i="110"/>
  <c r="R112" i="110"/>
  <c r="T112" i="110" s="1"/>
  <c r="AK112" i="110"/>
  <c r="AL112" i="110" s="1"/>
  <c r="AE112" i="110"/>
  <c r="AF112" i="110" s="1"/>
  <c r="BQ112" i="110"/>
  <c r="BR112" i="110" s="1"/>
  <c r="BD112" i="110"/>
  <c r="BE112" i="110" s="1"/>
  <c r="AN112" i="110"/>
  <c r="AO112" i="110" s="1"/>
  <c r="AK110" i="66"/>
  <c r="AL110" i="66" s="1"/>
  <c r="AH110" i="66"/>
  <c r="AI110" i="66" s="1"/>
  <c r="AQ110" i="66"/>
  <c r="AR110" i="66" s="1"/>
  <c r="BN110" i="66"/>
  <c r="BO110" i="66" s="1"/>
  <c r="BQ110" i="66"/>
  <c r="BR110" i="66" s="1"/>
  <c r="R110" i="66"/>
  <c r="T110" i="66" s="1"/>
  <c r="V110" i="66"/>
  <c r="W110" i="66" s="1"/>
  <c r="AE110" i="66"/>
  <c r="AF110" i="66" s="1"/>
  <c r="Y110" i="66"/>
  <c r="Z110" i="66" s="1"/>
  <c r="BA110" i="66"/>
  <c r="BB110" i="66" s="1"/>
  <c r="O110" i="66"/>
  <c r="BD110" i="66"/>
  <c r="BE110" i="66" s="1"/>
  <c r="AV110" i="66"/>
  <c r="AW110" i="66" s="1"/>
  <c r="AY110" i="66"/>
  <c r="M110" i="66"/>
  <c r="AB110" i="66"/>
  <c r="AC110" i="66" s="1"/>
  <c r="BG110" i="66"/>
  <c r="BH110" i="66" s="1"/>
  <c r="P110" i="66"/>
  <c r="AN110" i="66"/>
  <c r="AO110" i="66" s="1"/>
  <c r="AT110" i="66"/>
  <c r="BL110" i="66"/>
  <c r="F112" i="124"/>
  <c r="BG110" i="120"/>
  <c r="BH110" i="120" s="1"/>
  <c r="BD110" i="120"/>
  <c r="BE110" i="120" s="1"/>
  <c r="K111" i="120"/>
  <c r="AK110" i="120"/>
  <c r="AL110" i="120" s="1"/>
  <c r="AH110" i="120"/>
  <c r="AI110" i="120" s="1"/>
  <c r="AQ110" i="120"/>
  <c r="AR110" i="120" s="1"/>
  <c r="AN110" i="120"/>
  <c r="AO110" i="120" s="1"/>
  <c r="AB110" i="120"/>
  <c r="AC110" i="120" s="1"/>
  <c r="V110" i="120"/>
  <c r="W110" i="120" s="1"/>
  <c r="R110" i="120"/>
  <c r="T110" i="120" s="1"/>
  <c r="AE110" i="120"/>
  <c r="AF110" i="120" s="1"/>
  <c r="Y110" i="120"/>
  <c r="Z110" i="120" s="1"/>
  <c r="AY110" i="120"/>
  <c r="BQ110" i="120"/>
  <c r="BR110" i="120" s="1"/>
  <c r="O110" i="120"/>
  <c r="P110" i="120"/>
  <c r="M110" i="120"/>
  <c r="BA110" i="120"/>
  <c r="BB110" i="120" s="1"/>
  <c r="AV110" i="120"/>
  <c r="AW110" i="120" s="1"/>
  <c r="AT110" i="120"/>
  <c r="BN110" i="120"/>
  <c r="BO110" i="120" s="1"/>
  <c r="BE116" i="99"/>
  <c r="BH116" i="99"/>
  <c r="BN21" i="118"/>
  <c r="BO21" i="118" s="1"/>
  <c r="BN15" i="118"/>
  <c r="BO15" i="118" s="1"/>
  <c r="BN22" i="118"/>
  <c r="BO22" i="118" s="1"/>
  <c r="BN16" i="124"/>
  <c r="BO16" i="124" s="1"/>
  <c r="BN30" i="124"/>
  <c r="BO30" i="124" s="1"/>
  <c r="BN31" i="118"/>
  <c r="BO31" i="118" s="1"/>
  <c r="BN20" i="124"/>
  <c r="BO20" i="124" s="1"/>
  <c r="BN28" i="118"/>
  <c r="BO28" i="118" s="1"/>
  <c r="BN30" i="118"/>
  <c r="BO30" i="118" s="1"/>
  <c r="BN31" i="124"/>
  <c r="BO31" i="124" s="1"/>
  <c r="BN32" i="118"/>
  <c r="BO32" i="118" s="1"/>
  <c r="BN24" i="124"/>
  <c r="BO24" i="124" s="1"/>
  <c r="BN27" i="118"/>
  <c r="BO27" i="118" s="1"/>
  <c r="BN23" i="124"/>
  <c r="BO23" i="124" s="1"/>
  <c r="BN24" i="118"/>
  <c r="BO24" i="118" s="1"/>
  <c r="BN22" i="124"/>
  <c r="BO22" i="124" s="1"/>
  <c r="BN23" i="118"/>
  <c r="BO23" i="118" s="1"/>
  <c r="BN33" i="124"/>
  <c r="BO33" i="124" s="1"/>
  <c r="BN19" i="124"/>
  <c r="BO19" i="124" s="1"/>
  <c r="BN19" i="118"/>
  <c r="BO19" i="118" s="1"/>
  <c r="BN21" i="124"/>
  <c r="BO21" i="124" s="1"/>
  <c r="BN32" i="124"/>
  <c r="BO32" i="124" s="1"/>
  <c r="BN34" i="118"/>
  <c r="BO34" i="118" s="1"/>
  <c r="BN29" i="124"/>
  <c r="BO29" i="124" s="1"/>
  <c r="BN28" i="124"/>
  <c r="BO28" i="124" s="1"/>
  <c r="BN33" i="118"/>
  <c r="BO33" i="118" s="1"/>
  <c r="BN17" i="124"/>
  <c r="BO17" i="124" s="1"/>
  <c r="BN15" i="124"/>
  <c r="BO15" i="124" s="1"/>
  <c r="BN18" i="124"/>
  <c r="BO18" i="124" s="1"/>
  <c r="BN26" i="118"/>
  <c r="BO26" i="118" s="1"/>
  <c r="BN26" i="124"/>
  <c r="BO26" i="124" s="1"/>
  <c r="BN25" i="124"/>
  <c r="BO25" i="124" s="1"/>
  <c r="BN16" i="118"/>
  <c r="BO16" i="118" s="1"/>
  <c r="BN25" i="118"/>
  <c r="BO25" i="118" s="1"/>
  <c r="BN27" i="124"/>
  <c r="BO27" i="124" s="1"/>
  <c r="BN18" i="118"/>
  <c r="BO18" i="118" s="1"/>
  <c r="BN29" i="118"/>
  <c r="BO29" i="118" s="1"/>
  <c r="BN20" i="118"/>
  <c r="BO20" i="118" s="1"/>
  <c r="BN17" i="118"/>
  <c r="BO17" i="118" s="1"/>
  <c r="BN34" i="124"/>
  <c r="BO34" i="124" s="1"/>
  <c r="M114" i="105"/>
  <c r="BN114" i="105"/>
  <c r="BO114" i="105" s="1"/>
  <c r="BJ114" i="105"/>
  <c r="BL114" i="105" s="1"/>
  <c r="AB114" i="105"/>
  <c r="AC114" i="105" s="1"/>
  <c r="AN114" i="105"/>
  <c r="AO114" i="105" s="1"/>
  <c r="AQ114" i="105"/>
  <c r="AR114" i="105" s="1"/>
  <c r="AK114" i="105"/>
  <c r="AL114" i="105" s="1"/>
  <c r="O114" i="105"/>
  <c r="BA114" i="105"/>
  <c r="BB114" i="105" s="1"/>
  <c r="P114" i="105"/>
  <c r="BG114" i="105"/>
  <c r="BH114" i="105" s="1"/>
  <c r="AH114" i="105"/>
  <c r="AI114" i="105" s="1"/>
  <c r="BK114" i="105"/>
  <c r="AV114" i="105"/>
  <c r="AW114" i="105" s="1"/>
  <c r="AY114" i="105"/>
  <c r="R114" i="105"/>
  <c r="T114" i="105" s="1"/>
  <c r="Y114" i="105"/>
  <c r="Z114" i="105" s="1"/>
  <c r="AT114" i="105"/>
  <c r="BQ114" i="105"/>
  <c r="BR114" i="105" s="1"/>
  <c r="V114" i="105"/>
  <c r="W114" i="105" s="1"/>
  <c r="AE114" i="105"/>
  <c r="AF114" i="105" s="1"/>
  <c r="BD114" i="105"/>
  <c r="BE114" i="105" s="1"/>
  <c r="Y112" i="96"/>
  <c r="Z112" i="96" s="1"/>
  <c r="BD112" i="96"/>
  <c r="BE112" i="96" s="1"/>
  <c r="AK112" i="96"/>
  <c r="AL112" i="96" s="1"/>
  <c r="BA112" i="96"/>
  <c r="BB112" i="96" s="1"/>
  <c r="AN112" i="96"/>
  <c r="AO112" i="96" s="1"/>
  <c r="BG112" i="96"/>
  <c r="BH112" i="96" s="1"/>
  <c r="AQ112" i="96"/>
  <c r="AR112" i="96" s="1"/>
  <c r="O112" i="96"/>
  <c r="V112" i="96"/>
  <c r="W112" i="96" s="1"/>
  <c r="AT112" i="96"/>
  <c r="AV112" i="96"/>
  <c r="AW112" i="96" s="1"/>
  <c r="R112" i="96"/>
  <c r="T112" i="96" s="1"/>
  <c r="BQ112" i="96"/>
  <c r="BR112" i="96" s="1"/>
  <c r="AE112" i="96"/>
  <c r="AF112" i="96" s="1"/>
  <c r="M112" i="96"/>
  <c r="P112" i="96"/>
  <c r="BN112" i="96"/>
  <c r="BO112" i="96" s="1"/>
  <c r="AH112" i="96"/>
  <c r="AI112" i="96" s="1"/>
  <c r="AB112" i="96"/>
  <c r="AC112" i="96" s="1"/>
  <c r="BL112" i="96"/>
  <c r="T19" i="10"/>
  <c r="AW117" i="105"/>
  <c r="U32" i="10"/>
  <c r="T33" i="10"/>
  <c r="AC117" i="105"/>
  <c r="AO117" i="105"/>
  <c r="N24" i="10"/>
  <c r="BH117" i="105"/>
  <c r="AF117" i="105"/>
  <c r="S19" i="10"/>
  <c r="BO117" i="105"/>
  <c r="BE117" i="105"/>
  <c r="Z117" i="99"/>
  <c r="AR117" i="105"/>
  <c r="BR117" i="105"/>
  <c r="BB117" i="105"/>
  <c r="AW117" i="99"/>
  <c r="V32" i="10"/>
  <c r="W31" i="10"/>
  <c r="Z117" i="105"/>
  <c r="V30" i="10"/>
  <c r="AO117" i="99"/>
  <c r="AI117" i="105"/>
  <c r="W19" i="10"/>
  <c r="W33" i="10"/>
  <c r="R34" i="10"/>
  <c r="Q34" i="10"/>
  <c r="AC117" i="99"/>
  <c r="AL117" i="99"/>
  <c r="T27" i="10"/>
  <c r="U30" i="10"/>
  <c r="S33" i="10"/>
  <c r="AL117" i="105"/>
  <c r="AR117" i="99"/>
  <c r="BL117" i="105"/>
  <c r="BB117" i="99"/>
  <c r="BK117" i="99"/>
  <c r="V31" i="10"/>
  <c r="W27" i="10"/>
  <c r="M24" i="10"/>
  <c r="BK117" i="105"/>
  <c r="BH117" i="99"/>
  <c r="BL117" i="99"/>
  <c r="U31" i="10"/>
  <c r="V16" i="10"/>
  <c r="F103" i="132" l="1"/>
  <c r="F99" i="132" s="1"/>
  <c r="F79" i="132"/>
  <c r="F88" i="132"/>
  <c r="F81" i="132"/>
  <c r="F96" i="132"/>
  <c r="F92" i="132" s="1"/>
  <c r="F87" i="132"/>
  <c r="F80" i="132"/>
  <c r="F90" i="132"/>
  <c r="F90" i="99"/>
  <c r="F111" i="132"/>
  <c r="F112" i="132"/>
  <c r="BO116" i="107"/>
  <c r="F74" i="132"/>
  <c r="BD114" i="135"/>
  <c r="BE114" i="135" s="1"/>
  <c r="AN114" i="135"/>
  <c r="AO114" i="135" s="1"/>
  <c r="V114" i="135"/>
  <c r="W114" i="135" s="1"/>
  <c r="F96" i="136"/>
  <c r="F92" i="136" s="1"/>
  <c r="F74" i="133"/>
  <c r="F70" i="133" s="1"/>
  <c r="AQ114" i="135"/>
  <c r="AR114" i="135" s="1"/>
  <c r="AR116" i="135" s="1"/>
  <c r="P114" i="135"/>
  <c r="BG114" i="135"/>
  <c r="BH114" i="135" s="1"/>
  <c r="AE114" i="135"/>
  <c r="AF114" i="135" s="1"/>
  <c r="M114" i="135"/>
  <c r="F69" i="107"/>
  <c r="BL114" i="135"/>
  <c r="R114" i="135"/>
  <c r="T114" i="135" s="1"/>
  <c r="O114" i="135"/>
  <c r="Y114" i="135"/>
  <c r="Z114" i="135" s="1"/>
  <c r="Z116" i="135" s="1"/>
  <c r="AY114" i="135"/>
  <c r="BA114" i="135"/>
  <c r="BB114" i="135" s="1"/>
  <c r="BB116" i="135" s="1"/>
  <c r="M114" i="129"/>
  <c r="BA114" i="129"/>
  <c r="BB114" i="129" s="1"/>
  <c r="BB116" i="129" s="1"/>
  <c r="AH114" i="129"/>
  <c r="AI114" i="129" s="1"/>
  <c r="AI116" i="129" s="1"/>
  <c r="BL114" i="129"/>
  <c r="BL116" i="129" s="1"/>
  <c r="R114" i="129"/>
  <c r="T114" i="129" s="1"/>
  <c r="BN114" i="129"/>
  <c r="BO114" i="129" s="1"/>
  <c r="BO116" i="129" s="1"/>
  <c r="V114" i="129"/>
  <c r="W114" i="129" s="1"/>
  <c r="AN114" i="129"/>
  <c r="AO114" i="129" s="1"/>
  <c r="AO116" i="129" s="1"/>
  <c r="BD114" i="129"/>
  <c r="BE114" i="129" s="1"/>
  <c r="BE116" i="129" s="1"/>
  <c r="AQ114" i="129"/>
  <c r="AR114" i="129" s="1"/>
  <c r="AR116" i="129" s="1"/>
  <c r="AB114" i="129"/>
  <c r="AC114" i="129" s="1"/>
  <c r="AC116" i="129" s="1"/>
  <c r="Y114" i="129"/>
  <c r="Z114" i="129" s="1"/>
  <c r="Z116" i="129" s="1"/>
  <c r="O114" i="129"/>
  <c r="AE114" i="129"/>
  <c r="AF114" i="129" s="1"/>
  <c r="AF116" i="129" s="1"/>
  <c r="BG114" i="129"/>
  <c r="BH114" i="129" s="1"/>
  <c r="BH116" i="129" s="1"/>
  <c r="BQ114" i="129"/>
  <c r="BR114" i="129" s="1"/>
  <c r="BR116" i="129" s="1"/>
  <c r="F78" i="129" s="1"/>
  <c r="AK114" i="129"/>
  <c r="AL114" i="129" s="1"/>
  <c r="AL116" i="129" s="1"/>
  <c r="P114" i="129"/>
  <c r="AY114" i="129"/>
  <c r="AV114" i="129"/>
  <c r="AW114" i="129" s="1"/>
  <c r="AW116" i="129" s="1"/>
  <c r="AT114" i="129"/>
  <c r="AK113" i="106"/>
  <c r="AL113" i="106" s="1"/>
  <c r="R113" i="106"/>
  <c r="T113" i="106" s="1"/>
  <c r="AN113" i="106"/>
  <c r="AO113" i="106" s="1"/>
  <c r="BN113" i="106"/>
  <c r="BO113" i="106" s="1"/>
  <c r="AQ113" i="106"/>
  <c r="AR113" i="106" s="1"/>
  <c r="BD113" i="106"/>
  <c r="BE113" i="106" s="1"/>
  <c r="P113" i="106"/>
  <c r="BQ113" i="106"/>
  <c r="BR113" i="106" s="1"/>
  <c r="BG113" i="106"/>
  <c r="BH113" i="106" s="1"/>
  <c r="AB113" i="106"/>
  <c r="AC113" i="106" s="1"/>
  <c r="M113" i="106"/>
  <c r="O113" i="106"/>
  <c r="Y113" i="106"/>
  <c r="Z113" i="106" s="1"/>
  <c r="BA113" i="106"/>
  <c r="BB113" i="106" s="1"/>
  <c r="BK113" i="106"/>
  <c r="AT113" i="106"/>
  <c r="V113" i="106"/>
  <c r="W113" i="106" s="1"/>
  <c r="AY113" i="106"/>
  <c r="BJ113" i="106"/>
  <c r="BL113" i="106" s="1"/>
  <c r="AV113" i="106"/>
  <c r="AW113" i="106" s="1"/>
  <c r="AH113" i="106"/>
  <c r="AI113" i="106" s="1"/>
  <c r="AE113" i="106"/>
  <c r="AF113" i="106" s="1"/>
  <c r="K114" i="106"/>
  <c r="M112" i="95"/>
  <c r="O112" i="95"/>
  <c r="Y112" i="95"/>
  <c r="Z112" i="95" s="1"/>
  <c r="BQ112" i="95"/>
  <c r="BR112" i="95" s="1"/>
  <c r="BL112" i="95"/>
  <c r="AN112" i="95"/>
  <c r="AO112" i="95" s="1"/>
  <c r="AT112" i="95"/>
  <c r="K113" i="95"/>
  <c r="AB112" i="95"/>
  <c r="AC112" i="95" s="1"/>
  <c r="AE112" i="95"/>
  <c r="AF112" i="95" s="1"/>
  <c r="AK112" i="95"/>
  <c r="AL112" i="95" s="1"/>
  <c r="AH112" i="95"/>
  <c r="AI112" i="95" s="1"/>
  <c r="AV112" i="95"/>
  <c r="AW112" i="95" s="1"/>
  <c r="P112" i="95"/>
  <c r="R112" i="95"/>
  <c r="T112" i="95" s="1"/>
  <c r="BA112" i="95"/>
  <c r="BB112" i="95" s="1"/>
  <c r="V112" i="95"/>
  <c r="W112" i="95" s="1"/>
  <c r="BN112" i="95"/>
  <c r="BO112" i="95" s="1"/>
  <c r="AQ112" i="95"/>
  <c r="AR112" i="95" s="1"/>
  <c r="BG112" i="95"/>
  <c r="BH112" i="95" s="1"/>
  <c r="BD112" i="95"/>
  <c r="BE112" i="95" s="1"/>
  <c r="F90" i="130"/>
  <c r="K114" i="104"/>
  <c r="M113" i="104"/>
  <c r="BG113" i="104"/>
  <c r="BH113" i="104" s="1"/>
  <c r="V113" i="104"/>
  <c r="W113" i="104" s="1"/>
  <c r="AV113" i="104"/>
  <c r="AW113" i="104" s="1"/>
  <c r="BJ113" i="104"/>
  <c r="BL113" i="104" s="1"/>
  <c r="AQ113" i="104"/>
  <c r="AR113" i="104" s="1"/>
  <c r="AY113" i="104"/>
  <c r="BQ113" i="104"/>
  <c r="BR113" i="104" s="1"/>
  <c r="BN113" i="104"/>
  <c r="BO113" i="104" s="1"/>
  <c r="P113" i="104"/>
  <c r="AB113" i="104"/>
  <c r="AC113" i="104" s="1"/>
  <c r="R113" i="104"/>
  <c r="T113" i="104" s="1"/>
  <c r="Y113" i="104"/>
  <c r="Z113" i="104" s="1"/>
  <c r="BD113" i="104"/>
  <c r="BE113" i="104" s="1"/>
  <c r="BA113" i="104"/>
  <c r="BB113" i="104" s="1"/>
  <c r="AH113" i="104"/>
  <c r="AI113" i="104" s="1"/>
  <c r="AN113" i="104"/>
  <c r="AO113" i="104" s="1"/>
  <c r="AT113" i="104"/>
  <c r="BK113" i="104"/>
  <c r="O113" i="104"/>
  <c r="AK113" i="104"/>
  <c r="AL113" i="104" s="1"/>
  <c r="AE113" i="104"/>
  <c r="AF113" i="104" s="1"/>
  <c r="F107" i="132"/>
  <c r="F111" i="99"/>
  <c r="F107" i="124"/>
  <c r="F107" i="150"/>
  <c r="F83" i="124"/>
  <c r="F70" i="151"/>
  <c r="F70" i="107"/>
  <c r="F69" i="151"/>
  <c r="F83" i="150"/>
  <c r="F74" i="124"/>
  <c r="F79" i="99"/>
  <c r="F112" i="99"/>
  <c r="F88" i="99"/>
  <c r="F74" i="150"/>
  <c r="F88" i="130"/>
  <c r="F89" i="130"/>
  <c r="X34" i="10"/>
  <c r="F80" i="99"/>
  <c r="F96" i="130"/>
  <c r="F92" i="130" s="1"/>
  <c r="F83" i="147"/>
  <c r="BO116" i="147"/>
  <c r="F107" i="147"/>
  <c r="F74" i="147"/>
  <c r="F88" i="146"/>
  <c r="F112" i="146"/>
  <c r="F89" i="146"/>
  <c r="F80" i="146"/>
  <c r="F111" i="146"/>
  <c r="BN15" i="146"/>
  <c r="BO15" i="146" s="1"/>
  <c r="BN17" i="146"/>
  <c r="BO17" i="146" s="1"/>
  <c r="BN16" i="146"/>
  <c r="BO16" i="146" s="1"/>
  <c r="BN18" i="146"/>
  <c r="BO18" i="146" s="1"/>
  <c r="BN19" i="146"/>
  <c r="BO19" i="146" s="1"/>
  <c r="BN20" i="146"/>
  <c r="BO20" i="146" s="1"/>
  <c r="BN22" i="146"/>
  <c r="BO22" i="146" s="1"/>
  <c r="BN21" i="146"/>
  <c r="BO21" i="146" s="1"/>
  <c r="BN23" i="146"/>
  <c r="BO23" i="146" s="1"/>
  <c r="BN24" i="146"/>
  <c r="BO24" i="146" s="1"/>
  <c r="BN25" i="146"/>
  <c r="BO25" i="146" s="1"/>
  <c r="BN27" i="146"/>
  <c r="BO27" i="146" s="1"/>
  <c r="BN26" i="146"/>
  <c r="BO26" i="146" s="1"/>
  <c r="BN28" i="146"/>
  <c r="BO28" i="146" s="1"/>
  <c r="BN29" i="146"/>
  <c r="BO29" i="146" s="1"/>
  <c r="BN30" i="146"/>
  <c r="BO30" i="146" s="1"/>
  <c r="BN31" i="146"/>
  <c r="BO31" i="146" s="1"/>
  <c r="BN32" i="146"/>
  <c r="BO32" i="146" s="1"/>
  <c r="BN33" i="146"/>
  <c r="BO33" i="146" s="1"/>
  <c r="BN34" i="146"/>
  <c r="BO34" i="146" s="1"/>
  <c r="F78" i="146"/>
  <c r="F103" i="146"/>
  <c r="F99" i="146" s="1"/>
  <c r="F79" i="146"/>
  <c r="F90" i="146"/>
  <c r="F96" i="146"/>
  <c r="F92" i="146" s="1"/>
  <c r="F87" i="146"/>
  <c r="F81" i="146"/>
  <c r="F87" i="130"/>
  <c r="F79" i="130"/>
  <c r="AF116" i="105"/>
  <c r="Z116" i="105"/>
  <c r="BK116" i="105"/>
  <c r="BB116" i="105"/>
  <c r="AO116" i="105"/>
  <c r="BO116" i="124"/>
  <c r="M113" i="114"/>
  <c r="BN113" i="114"/>
  <c r="BO113" i="114" s="1"/>
  <c r="BK113" i="114"/>
  <c r="BJ113" i="114"/>
  <c r="BL113" i="114" s="1"/>
  <c r="BA113" i="114"/>
  <c r="BB113" i="114" s="1"/>
  <c r="R113" i="114"/>
  <c r="T113" i="114" s="1"/>
  <c r="P113" i="114"/>
  <c r="AK113" i="114"/>
  <c r="AL113" i="114" s="1"/>
  <c r="AV113" i="114"/>
  <c r="AW113" i="114" s="1"/>
  <c r="Y113" i="114"/>
  <c r="Z113" i="114" s="1"/>
  <c r="BG113" i="114"/>
  <c r="BH113" i="114" s="1"/>
  <c r="BQ113" i="114"/>
  <c r="BR113" i="114" s="1"/>
  <c r="AQ113" i="114"/>
  <c r="AR113" i="114" s="1"/>
  <c r="AY113" i="114"/>
  <c r="BD113" i="114"/>
  <c r="BE113" i="114" s="1"/>
  <c r="O113" i="114"/>
  <c r="AN113" i="114"/>
  <c r="AO113" i="114" s="1"/>
  <c r="AH113" i="114"/>
  <c r="AI113" i="114" s="1"/>
  <c r="AB113" i="114"/>
  <c r="AC113" i="114" s="1"/>
  <c r="V113" i="114"/>
  <c r="W113" i="114" s="1"/>
  <c r="AE113" i="114"/>
  <c r="AF113" i="114" s="1"/>
  <c r="AT113" i="114"/>
  <c r="K114" i="114"/>
  <c r="BL111" i="13"/>
  <c r="BN111" i="13"/>
  <c r="BO111" i="13" s="1"/>
  <c r="M111" i="13"/>
  <c r="R111" i="13"/>
  <c r="T111" i="13" s="1"/>
  <c r="Y111" i="13"/>
  <c r="Z111" i="13" s="1"/>
  <c r="AN111" i="13"/>
  <c r="AO111" i="13" s="1"/>
  <c r="P111" i="13"/>
  <c r="AH111" i="13"/>
  <c r="AI111" i="13" s="1"/>
  <c r="BA111" i="13"/>
  <c r="BB111" i="13" s="1"/>
  <c r="V111" i="13"/>
  <c r="W111" i="13" s="1"/>
  <c r="AB111" i="13"/>
  <c r="AC111" i="13" s="1"/>
  <c r="BD111" i="13"/>
  <c r="BE111" i="13" s="1"/>
  <c r="O111" i="13"/>
  <c r="AE111" i="13"/>
  <c r="AF111" i="13" s="1"/>
  <c r="AY111" i="13"/>
  <c r="AQ111" i="13"/>
  <c r="AR111" i="13" s="1"/>
  <c r="AT111" i="13"/>
  <c r="BG111" i="13"/>
  <c r="BH111" i="13" s="1"/>
  <c r="AV111" i="13"/>
  <c r="AW111" i="13" s="1"/>
  <c r="BQ111" i="13"/>
  <c r="BR111" i="13" s="1"/>
  <c r="AK111" i="13"/>
  <c r="AL111" i="13" s="1"/>
  <c r="AK113" i="96"/>
  <c r="AL113" i="96" s="1"/>
  <c r="P113" i="96"/>
  <c r="BG113" i="96"/>
  <c r="BH113" i="96" s="1"/>
  <c r="Y113" i="96"/>
  <c r="Z113" i="96" s="1"/>
  <c r="AN113" i="96"/>
  <c r="AO113" i="96" s="1"/>
  <c r="V113" i="96"/>
  <c r="W113" i="96" s="1"/>
  <c r="O113" i="96"/>
  <c r="AB113" i="96"/>
  <c r="AC113" i="96" s="1"/>
  <c r="AE113" i="96"/>
  <c r="AF113" i="96" s="1"/>
  <c r="BQ113" i="96"/>
  <c r="BR113" i="96" s="1"/>
  <c r="AQ113" i="96"/>
  <c r="AR113" i="96" s="1"/>
  <c r="AT113" i="96"/>
  <c r="BL113" i="96"/>
  <c r="M113" i="96"/>
  <c r="AH113" i="96"/>
  <c r="AI113" i="96" s="1"/>
  <c r="R113" i="96"/>
  <c r="T113" i="96" s="1"/>
  <c r="AV113" i="96"/>
  <c r="AW113" i="96" s="1"/>
  <c r="BD113" i="96"/>
  <c r="BE113" i="96" s="1"/>
  <c r="BA113" i="96"/>
  <c r="BB113" i="96" s="1"/>
  <c r="BN113" i="96"/>
  <c r="BO113" i="96" s="1"/>
  <c r="M112" i="118"/>
  <c r="V112" i="118"/>
  <c r="W112" i="118" s="1"/>
  <c r="K113" i="118"/>
  <c r="BN112" i="118"/>
  <c r="BO112" i="118" s="1"/>
  <c r="AB112" i="118"/>
  <c r="AC112" i="118" s="1"/>
  <c r="AH112" i="118"/>
  <c r="AI112" i="118" s="1"/>
  <c r="BG112" i="118"/>
  <c r="BH112" i="118" s="1"/>
  <c r="BQ112" i="118"/>
  <c r="BR112" i="118" s="1"/>
  <c r="R112" i="118"/>
  <c r="T112" i="118" s="1"/>
  <c r="AK112" i="118"/>
  <c r="AL112" i="118" s="1"/>
  <c r="AV112" i="118"/>
  <c r="AW112" i="118" s="1"/>
  <c r="AY112" i="118"/>
  <c r="BD112" i="118"/>
  <c r="BE112" i="118" s="1"/>
  <c r="BA112" i="118"/>
  <c r="BB112" i="118" s="1"/>
  <c r="P112" i="118"/>
  <c r="AN112" i="118"/>
  <c r="AO112" i="118" s="1"/>
  <c r="AE112" i="118"/>
  <c r="AF112" i="118" s="1"/>
  <c r="AQ112" i="118"/>
  <c r="AR112" i="118" s="1"/>
  <c r="AT112" i="118"/>
  <c r="Y112" i="118"/>
  <c r="Z112" i="118" s="1"/>
  <c r="O112" i="118"/>
  <c r="BN111" i="17"/>
  <c r="BO111" i="17" s="1"/>
  <c r="M111" i="17"/>
  <c r="BL111" i="17"/>
  <c r="BA111" i="17"/>
  <c r="BB111" i="17" s="1"/>
  <c r="AH111" i="17"/>
  <c r="AI111" i="17" s="1"/>
  <c r="AY111" i="17"/>
  <c r="Y111" i="17"/>
  <c r="Z111" i="17" s="1"/>
  <c r="AT111" i="17"/>
  <c r="AK111" i="17"/>
  <c r="AL111" i="17" s="1"/>
  <c r="P111" i="17"/>
  <c r="O111" i="17"/>
  <c r="AQ111" i="17"/>
  <c r="AR111" i="17" s="1"/>
  <c r="AV111" i="17"/>
  <c r="AW111" i="17" s="1"/>
  <c r="BQ111" i="17"/>
  <c r="BR111" i="17" s="1"/>
  <c r="AE111" i="17"/>
  <c r="AF111" i="17" s="1"/>
  <c r="V111" i="17"/>
  <c r="W111" i="17" s="1"/>
  <c r="R111" i="17"/>
  <c r="T111" i="17" s="1"/>
  <c r="BD111" i="17"/>
  <c r="BE111" i="17" s="1"/>
  <c r="AN111" i="17"/>
  <c r="AO111" i="17" s="1"/>
  <c r="BG111" i="17"/>
  <c r="BH111" i="17" s="1"/>
  <c r="AB111" i="17"/>
  <c r="AC111" i="17" s="1"/>
  <c r="BJ113" i="110"/>
  <c r="BL113" i="110" s="1"/>
  <c r="M113" i="110"/>
  <c r="BN113" i="110"/>
  <c r="BO113" i="110" s="1"/>
  <c r="BK113" i="110"/>
  <c r="BD113" i="110"/>
  <c r="BE113" i="110" s="1"/>
  <c r="Y113" i="110"/>
  <c r="Z113" i="110" s="1"/>
  <c r="AY113" i="110"/>
  <c r="R113" i="110"/>
  <c r="T113" i="110" s="1"/>
  <c r="BQ113" i="110"/>
  <c r="BR113" i="110" s="1"/>
  <c r="AN113" i="110"/>
  <c r="AO113" i="110" s="1"/>
  <c r="AT113" i="110"/>
  <c r="AV113" i="110"/>
  <c r="AW113" i="110" s="1"/>
  <c r="BA113" i="110"/>
  <c r="BB113" i="110" s="1"/>
  <c r="AB113" i="110"/>
  <c r="AC113" i="110" s="1"/>
  <c r="AQ113" i="110"/>
  <c r="AR113" i="110" s="1"/>
  <c r="AH113" i="110"/>
  <c r="AI113" i="110" s="1"/>
  <c r="O113" i="110"/>
  <c r="BG113" i="110"/>
  <c r="BH113" i="110" s="1"/>
  <c r="AK113" i="110"/>
  <c r="AL113" i="110" s="1"/>
  <c r="AE113" i="110"/>
  <c r="AF113" i="110" s="1"/>
  <c r="V113" i="110"/>
  <c r="W113" i="110" s="1"/>
  <c r="P113" i="110"/>
  <c r="F83" i="132"/>
  <c r="M112" i="101"/>
  <c r="AE112" i="101"/>
  <c r="AF112" i="101" s="1"/>
  <c r="AH112" i="101"/>
  <c r="AI112" i="101" s="1"/>
  <c r="BG112" i="101"/>
  <c r="BH112" i="101" s="1"/>
  <c r="BD112" i="101"/>
  <c r="BE112" i="101" s="1"/>
  <c r="R112" i="101"/>
  <c r="T112" i="101" s="1"/>
  <c r="AT112" i="101"/>
  <c r="Y112" i="101"/>
  <c r="Z112" i="101" s="1"/>
  <c r="BA112" i="101"/>
  <c r="BB112" i="101" s="1"/>
  <c r="P112" i="101"/>
  <c r="O112" i="101"/>
  <c r="V112" i="101"/>
  <c r="W112" i="101" s="1"/>
  <c r="AV112" i="101"/>
  <c r="AW112" i="101" s="1"/>
  <c r="AQ112" i="101"/>
  <c r="AR112" i="101" s="1"/>
  <c r="BQ112" i="101"/>
  <c r="BR112" i="101" s="1"/>
  <c r="AY112" i="101"/>
  <c r="AN112" i="101"/>
  <c r="AO112" i="101" s="1"/>
  <c r="AK112" i="101"/>
  <c r="AL112" i="101" s="1"/>
  <c r="AB112" i="101"/>
  <c r="AC112" i="101" s="1"/>
  <c r="BN114" i="112"/>
  <c r="BO114" i="112" s="1"/>
  <c r="BK114" i="112"/>
  <c r="BJ114" i="112"/>
  <c r="BL114" i="112" s="1"/>
  <c r="AB114" i="112"/>
  <c r="AC114" i="112" s="1"/>
  <c r="AV114" i="112"/>
  <c r="AW114" i="112" s="1"/>
  <c r="V114" i="112"/>
  <c r="W114" i="112" s="1"/>
  <c r="P114" i="112"/>
  <c r="AE114" i="112"/>
  <c r="AF114" i="112" s="1"/>
  <c r="BQ114" i="112"/>
  <c r="BR114" i="112" s="1"/>
  <c r="O114" i="112"/>
  <c r="Y114" i="112"/>
  <c r="Z114" i="112" s="1"/>
  <c r="M114" i="112"/>
  <c r="BD114" i="112"/>
  <c r="BE114" i="112" s="1"/>
  <c r="AK114" i="112"/>
  <c r="AL114" i="112" s="1"/>
  <c r="BA114" i="112"/>
  <c r="BB114" i="112" s="1"/>
  <c r="R114" i="112"/>
  <c r="T114" i="112" s="1"/>
  <c r="AY114" i="112"/>
  <c r="AQ114" i="112"/>
  <c r="AR114" i="112" s="1"/>
  <c r="BG114" i="112"/>
  <c r="BH114" i="112" s="1"/>
  <c r="AT114" i="112"/>
  <c r="AH114" i="112"/>
  <c r="AI114" i="112" s="1"/>
  <c r="AN114" i="112"/>
  <c r="AO114" i="112" s="1"/>
  <c r="AN114" i="64"/>
  <c r="AO114" i="64" s="1"/>
  <c r="AO116" i="64" s="1"/>
  <c r="AV114" i="64"/>
  <c r="AW114" i="64" s="1"/>
  <c r="AW116" i="64" s="1"/>
  <c r="P114" i="64"/>
  <c r="Y114" i="64"/>
  <c r="Z114" i="64" s="1"/>
  <c r="Z116" i="64" s="1"/>
  <c r="AQ114" i="64"/>
  <c r="AR114" i="64" s="1"/>
  <c r="AR116" i="64" s="1"/>
  <c r="AE114" i="64"/>
  <c r="AF114" i="64" s="1"/>
  <c r="AF116" i="64" s="1"/>
  <c r="AH114" i="64"/>
  <c r="AI114" i="64" s="1"/>
  <c r="AI116" i="64" s="1"/>
  <c r="O114" i="64"/>
  <c r="R114" i="64"/>
  <c r="T114" i="64" s="1"/>
  <c r="AY114" i="64"/>
  <c r="BL114" i="64"/>
  <c r="BL116" i="64" s="1"/>
  <c r="BD114" i="64"/>
  <c r="BE114" i="64" s="1"/>
  <c r="BE116" i="64" s="1"/>
  <c r="BG114" i="64"/>
  <c r="BH114" i="64" s="1"/>
  <c r="BH116" i="64" s="1"/>
  <c r="AK114" i="64"/>
  <c r="AL114" i="64" s="1"/>
  <c r="AL116" i="64" s="1"/>
  <c r="BA114" i="64"/>
  <c r="BB114" i="64" s="1"/>
  <c r="BB116" i="64" s="1"/>
  <c r="AT114" i="64"/>
  <c r="AB114" i="64"/>
  <c r="AC114" i="64" s="1"/>
  <c r="AC116" i="64" s="1"/>
  <c r="V114" i="64"/>
  <c r="W114" i="64" s="1"/>
  <c r="BQ114" i="64"/>
  <c r="BR114" i="64" s="1"/>
  <c r="BR116" i="64" s="1"/>
  <c r="F78" i="64" s="1"/>
  <c r="M114" i="64"/>
  <c r="BN114" i="64"/>
  <c r="BO114" i="64" s="1"/>
  <c r="BO116" i="64" s="1"/>
  <c r="F112" i="130"/>
  <c r="F80" i="130"/>
  <c r="F79" i="136"/>
  <c r="F80" i="136"/>
  <c r="AI116" i="105"/>
  <c r="AC116" i="105"/>
  <c r="BR116" i="135"/>
  <c r="BH116" i="135"/>
  <c r="AO116" i="135"/>
  <c r="AC116" i="135"/>
  <c r="M113" i="63"/>
  <c r="AN113" i="63"/>
  <c r="AO113" i="63" s="1"/>
  <c r="AV113" i="63"/>
  <c r="AW113" i="63" s="1"/>
  <c r="Y113" i="63"/>
  <c r="Z113" i="63" s="1"/>
  <c r="BQ113" i="63"/>
  <c r="BR113" i="63" s="1"/>
  <c r="BN113" i="63"/>
  <c r="BO113" i="63" s="1"/>
  <c r="O113" i="63"/>
  <c r="AH113" i="63"/>
  <c r="AI113" i="63" s="1"/>
  <c r="R113" i="63"/>
  <c r="T113" i="63" s="1"/>
  <c r="AK113" i="63"/>
  <c r="AL113" i="63" s="1"/>
  <c r="BL113" i="63"/>
  <c r="P113" i="63"/>
  <c r="BD113" i="63"/>
  <c r="BE113" i="63" s="1"/>
  <c r="V113" i="63"/>
  <c r="W113" i="63" s="1"/>
  <c r="AB113" i="63"/>
  <c r="AC113" i="63" s="1"/>
  <c r="BG113" i="63"/>
  <c r="BH113" i="63" s="1"/>
  <c r="BA113" i="63"/>
  <c r="BB113" i="63" s="1"/>
  <c r="AY113" i="63"/>
  <c r="AT113" i="63"/>
  <c r="AE113" i="63"/>
  <c r="AF113" i="63" s="1"/>
  <c r="AQ113" i="63"/>
  <c r="AR113" i="63" s="1"/>
  <c r="K114" i="63"/>
  <c r="I113" i="17"/>
  <c r="K112" i="17"/>
  <c r="BN112" i="15"/>
  <c r="BO112" i="15" s="1"/>
  <c r="M112" i="15"/>
  <c r="BL112" i="15"/>
  <c r="AT112" i="15"/>
  <c r="AB112" i="15"/>
  <c r="AC112" i="15" s="1"/>
  <c r="AN112" i="15"/>
  <c r="AO112" i="15" s="1"/>
  <c r="AY112" i="15"/>
  <c r="BA112" i="15"/>
  <c r="BB112" i="15" s="1"/>
  <c r="AV112" i="15"/>
  <c r="AW112" i="15" s="1"/>
  <c r="AE112" i="15"/>
  <c r="AF112" i="15" s="1"/>
  <c r="BD112" i="15"/>
  <c r="BE112" i="15" s="1"/>
  <c r="P112" i="15"/>
  <c r="AH112" i="15"/>
  <c r="AI112" i="15" s="1"/>
  <c r="Y112" i="15"/>
  <c r="Z112" i="15" s="1"/>
  <c r="O112" i="15"/>
  <c r="R112" i="15"/>
  <c r="T112" i="15" s="1"/>
  <c r="AQ112" i="15"/>
  <c r="AR112" i="15" s="1"/>
  <c r="BQ112" i="15"/>
  <c r="BR112" i="15" s="1"/>
  <c r="AK112" i="15"/>
  <c r="AL112" i="15" s="1"/>
  <c r="V112" i="15"/>
  <c r="W112" i="15" s="1"/>
  <c r="BG112" i="15"/>
  <c r="BH112" i="15" s="1"/>
  <c r="K113" i="15"/>
  <c r="AH113" i="98"/>
  <c r="AI113" i="98" s="1"/>
  <c r="AE113" i="98"/>
  <c r="AF113" i="98" s="1"/>
  <c r="AY113" i="98"/>
  <c r="Y113" i="98"/>
  <c r="Z113" i="98" s="1"/>
  <c r="V113" i="98"/>
  <c r="W113" i="98" s="1"/>
  <c r="O113" i="98"/>
  <c r="R113" i="98"/>
  <c r="T113" i="98" s="1"/>
  <c r="P113" i="98"/>
  <c r="K114" i="98"/>
  <c r="M113" i="98"/>
  <c r="AB113" i="98"/>
  <c r="AC113" i="98" s="1"/>
  <c r="AT113" i="98"/>
  <c r="BQ113" i="98"/>
  <c r="BR113" i="98" s="1"/>
  <c r="BG113" i="98"/>
  <c r="BH113" i="98" s="1"/>
  <c r="BN113" i="98"/>
  <c r="BO113" i="98" s="1"/>
  <c r="BD113" i="98"/>
  <c r="BE113" i="98" s="1"/>
  <c r="BA113" i="98"/>
  <c r="BB113" i="98" s="1"/>
  <c r="BJ113" i="98"/>
  <c r="BL113" i="98" s="1"/>
  <c r="AV113" i="98"/>
  <c r="AW113" i="98" s="1"/>
  <c r="AQ113" i="98"/>
  <c r="AR113" i="98" s="1"/>
  <c r="BK113" i="98"/>
  <c r="AN113" i="98"/>
  <c r="AO113" i="98" s="1"/>
  <c r="AK113" i="98"/>
  <c r="AL113" i="98" s="1"/>
  <c r="K114" i="110"/>
  <c r="I114" i="101"/>
  <c r="K113" i="101"/>
  <c r="BN21" i="99"/>
  <c r="BO21" i="99" s="1"/>
  <c r="BN19" i="99"/>
  <c r="BO19" i="99" s="1"/>
  <c r="BN15" i="99"/>
  <c r="BO15" i="99" s="1"/>
  <c r="BN23" i="99"/>
  <c r="BO23" i="99" s="1"/>
  <c r="BN28" i="99"/>
  <c r="BO28" i="99" s="1"/>
  <c r="BN22" i="99"/>
  <c r="BO22" i="99" s="1"/>
  <c r="BN32" i="99"/>
  <c r="BO32" i="99" s="1"/>
  <c r="BN20" i="99"/>
  <c r="BO20" i="99" s="1"/>
  <c r="BN26" i="99"/>
  <c r="BO26" i="99" s="1"/>
  <c r="BN29" i="99"/>
  <c r="BO29" i="99" s="1"/>
  <c r="BN18" i="99"/>
  <c r="BO18" i="99" s="1"/>
  <c r="BN30" i="99"/>
  <c r="BO30" i="99" s="1"/>
  <c r="BN31" i="99"/>
  <c r="BO31" i="99" s="1"/>
  <c r="BN33" i="99"/>
  <c r="BO33" i="99" s="1"/>
  <c r="BN17" i="99"/>
  <c r="BO17" i="99" s="1"/>
  <c r="BN25" i="99"/>
  <c r="BO25" i="99" s="1"/>
  <c r="BN24" i="99"/>
  <c r="BO24" i="99" s="1"/>
  <c r="BN16" i="99"/>
  <c r="BO16" i="99" s="1"/>
  <c r="BN34" i="99"/>
  <c r="BO34" i="99" s="1"/>
  <c r="BN27" i="99"/>
  <c r="BO27" i="99" s="1"/>
  <c r="F103" i="130"/>
  <c r="F99" i="130" s="1"/>
  <c r="F81" i="130"/>
  <c r="F87" i="136"/>
  <c r="F103" i="136"/>
  <c r="F99" i="136" s="1"/>
  <c r="F90" i="136"/>
  <c r="BR116" i="105"/>
  <c r="BH116" i="105"/>
  <c r="AL116" i="105"/>
  <c r="BL116" i="105"/>
  <c r="M113" i="115"/>
  <c r="P113" i="115"/>
  <c r="BN113" i="115"/>
  <c r="BO113" i="115" s="1"/>
  <c r="BJ113" i="115"/>
  <c r="BL113" i="115" s="1"/>
  <c r="BK113" i="115"/>
  <c r="AE113" i="115"/>
  <c r="AF113" i="115" s="1"/>
  <c r="AT113" i="115"/>
  <c r="BG113" i="115"/>
  <c r="BH113" i="115" s="1"/>
  <c r="AY113" i="115"/>
  <c r="AB113" i="115"/>
  <c r="AC113" i="115" s="1"/>
  <c r="R113" i="115"/>
  <c r="T113" i="115" s="1"/>
  <c r="BD113" i="115"/>
  <c r="BE113" i="115" s="1"/>
  <c r="BA113" i="115"/>
  <c r="BB113" i="115" s="1"/>
  <c r="O113" i="115"/>
  <c r="AQ113" i="115"/>
  <c r="AR113" i="115" s="1"/>
  <c r="BQ113" i="115"/>
  <c r="BR113" i="115" s="1"/>
  <c r="AV113" i="115"/>
  <c r="AW113" i="115" s="1"/>
  <c r="V113" i="115"/>
  <c r="W113" i="115" s="1"/>
  <c r="AK113" i="115"/>
  <c r="AL113" i="115" s="1"/>
  <c r="AN113" i="115"/>
  <c r="AO113" i="115" s="1"/>
  <c r="Y113" i="115"/>
  <c r="Z113" i="115" s="1"/>
  <c r="AH113" i="115"/>
  <c r="AI113" i="115" s="1"/>
  <c r="BL116" i="135"/>
  <c r="AL116" i="135"/>
  <c r="AI116" i="135"/>
  <c r="BO116" i="135"/>
  <c r="K112" i="66"/>
  <c r="I113" i="66"/>
  <c r="F96" i="99"/>
  <c r="F92" i="99" s="1"/>
  <c r="F78" i="99"/>
  <c r="BN113" i="126"/>
  <c r="BO113" i="126" s="1"/>
  <c r="M113" i="126"/>
  <c r="BJ113" i="126"/>
  <c r="BL113" i="126" s="1"/>
  <c r="BK113" i="126"/>
  <c r="AK113" i="126"/>
  <c r="AL113" i="126" s="1"/>
  <c r="AT113" i="126"/>
  <c r="AH113" i="126"/>
  <c r="AI113" i="126" s="1"/>
  <c r="V113" i="126"/>
  <c r="W113" i="126" s="1"/>
  <c r="AQ113" i="126"/>
  <c r="AR113" i="126" s="1"/>
  <c r="R113" i="126"/>
  <c r="T113" i="126" s="1"/>
  <c r="AY113" i="126"/>
  <c r="AV113" i="126"/>
  <c r="AW113" i="126" s="1"/>
  <c r="Y113" i="126"/>
  <c r="Z113" i="126" s="1"/>
  <c r="AN113" i="126"/>
  <c r="AO113" i="126" s="1"/>
  <c r="BG113" i="126"/>
  <c r="BH113" i="126" s="1"/>
  <c r="BQ113" i="126"/>
  <c r="BR113" i="126" s="1"/>
  <c r="BA113" i="126"/>
  <c r="BB113" i="126" s="1"/>
  <c r="AE113" i="126"/>
  <c r="AF113" i="126" s="1"/>
  <c r="P113" i="126"/>
  <c r="O113" i="126"/>
  <c r="AB113" i="126"/>
  <c r="AC113" i="126" s="1"/>
  <c r="BD113" i="126"/>
  <c r="BE113" i="126" s="1"/>
  <c r="K114" i="126"/>
  <c r="F87" i="99"/>
  <c r="F112" i="136"/>
  <c r="F89" i="136"/>
  <c r="BE116" i="105"/>
  <c r="AW116" i="105"/>
  <c r="AR116" i="105"/>
  <c r="P111" i="120"/>
  <c r="BG111" i="120"/>
  <c r="BH111" i="120" s="1"/>
  <c r="AK111" i="120"/>
  <c r="AL111" i="120" s="1"/>
  <c r="AN111" i="120"/>
  <c r="AO111" i="120" s="1"/>
  <c r="AB111" i="120"/>
  <c r="AC111" i="120" s="1"/>
  <c r="Y111" i="120"/>
  <c r="Z111" i="120" s="1"/>
  <c r="AQ111" i="120"/>
  <c r="AR111" i="120" s="1"/>
  <c r="AY111" i="120"/>
  <c r="R111" i="120"/>
  <c r="T111" i="120" s="1"/>
  <c r="AT111" i="120"/>
  <c r="BQ111" i="120"/>
  <c r="BR111" i="120" s="1"/>
  <c r="K112" i="120"/>
  <c r="M111" i="120"/>
  <c r="AH111" i="120"/>
  <c r="AI111" i="120" s="1"/>
  <c r="BA111" i="120"/>
  <c r="BB111" i="120" s="1"/>
  <c r="AV111" i="120"/>
  <c r="AW111" i="120" s="1"/>
  <c r="AE111" i="120"/>
  <c r="AF111" i="120" s="1"/>
  <c r="BD111" i="120"/>
  <c r="BE111" i="120" s="1"/>
  <c r="O111" i="120"/>
  <c r="V111" i="120"/>
  <c r="W111" i="120" s="1"/>
  <c r="BN111" i="120"/>
  <c r="BO111" i="120" s="1"/>
  <c r="K114" i="115"/>
  <c r="BE116" i="135"/>
  <c r="F111" i="135" s="1"/>
  <c r="AW116" i="135"/>
  <c r="AF116" i="135"/>
  <c r="K112" i="13"/>
  <c r="I113" i="13"/>
  <c r="K114" i="96"/>
  <c r="AH111" i="66"/>
  <c r="AI111" i="66" s="1"/>
  <c r="R111" i="66"/>
  <c r="T111" i="66" s="1"/>
  <c r="P111" i="66"/>
  <c r="AN111" i="66"/>
  <c r="AO111" i="66" s="1"/>
  <c r="AE111" i="66"/>
  <c r="AF111" i="66" s="1"/>
  <c r="V111" i="66"/>
  <c r="W111" i="66" s="1"/>
  <c r="M111" i="66"/>
  <c r="AB111" i="66"/>
  <c r="AC111" i="66" s="1"/>
  <c r="BQ111" i="66"/>
  <c r="BR111" i="66" s="1"/>
  <c r="AV111" i="66"/>
  <c r="AW111" i="66" s="1"/>
  <c r="BL111" i="66"/>
  <c r="BD111" i="66"/>
  <c r="BE111" i="66" s="1"/>
  <c r="BN111" i="66"/>
  <c r="BO111" i="66" s="1"/>
  <c r="Y111" i="66"/>
  <c r="Z111" i="66" s="1"/>
  <c r="BG111" i="66"/>
  <c r="BH111" i="66" s="1"/>
  <c r="O111" i="66"/>
  <c r="AQ111" i="66"/>
  <c r="AR111" i="66" s="1"/>
  <c r="AK111" i="66"/>
  <c r="AL111" i="66" s="1"/>
  <c r="AY111" i="66"/>
  <c r="BA111" i="66"/>
  <c r="BB111" i="66" s="1"/>
  <c r="AT111" i="66"/>
  <c r="F81" i="99"/>
  <c r="F89" i="99"/>
  <c r="F111" i="130"/>
  <c r="F88" i="136"/>
  <c r="F81" i="136"/>
  <c r="F111" i="136"/>
  <c r="N27" i="10"/>
  <c r="M27" i="10"/>
  <c r="Q33" i="10"/>
  <c r="BK117" i="112"/>
  <c r="O24" i="10"/>
  <c r="U29" i="10"/>
  <c r="U26" i="10"/>
  <c r="K24" i="10"/>
  <c r="AW117" i="112"/>
  <c r="AI117" i="112"/>
  <c r="T32" i="10"/>
  <c r="V29" i="10"/>
  <c r="W32" i="10"/>
  <c r="Q27" i="10"/>
  <c r="K27" i="10"/>
  <c r="R19" i="10"/>
  <c r="W29" i="10"/>
  <c r="T31" i="10"/>
  <c r="U25" i="10"/>
  <c r="AR117" i="112"/>
  <c r="S32" i="10"/>
  <c r="AL117" i="112"/>
  <c r="BL117" i="112"/>
  <c r="S29" i="10"/>
  <c r="BB117" i="112"/>
  <c r="BH117" i="112"/>
  <c r="BO117" i="112"/>
  <c r="V25" i="10"/>
  <c r="BE117" i="112"/>
  <c r="L24" i="10"/>
  <c r="BR117" i="112"/>
  <c r="AF117" i="112"/>
  <c r="Q19" i="10"/>
  <c r="AO117" i="112"/>
  <c r="S31" i="10"/>
  <c r="S30" i="10"/>
  <c r="AC117" i="112"/>
  <c r="R33" i="10"/>
  <c r="T30" i="10"/>
  <c r="O27" i="10"/>
  <c r="Z117" i="112"/>
  <c r="L27" i="10"/>
  <c r="U16" i="10"/>
  <c r="S27" i="10"/>
  <c r="W30" i="10"/>
  <c r="V26" i="10"/>
  <c r="F112" i="135" l="1"/>
  <c r="F107" i="135" s="1"/>
  <c r="F107" i="136"/>
  <c r="F69" i="133"/>
  <c r="F96" i="129"/>
  <c r="F92" i="129" s="1"/>
  <c r="F80" i="129"/>
  <c r="F107" i="99"/>
  <c r="F79" i="129"/>
  <c r="F88" i="129"/>
  <c r="F81" i="129"/>
  <c r="BN113" i="95"/>
  <c r="BO113" i="95" s="1"/>
  <c r="P113" i="95"/>
  <c r="R113" i="95"/>
  <c r="T113" i="95" s="1"/>
  <c r="AK113" i="95"/>
  <c r="AL113" i="95" s="1"/>
  <c r="BL113" i="95"/>
  <c r="AT113" i="95"/>
  <c r="AH113" i="95"/>
  <c r="AI113" i="95" s="1"/>
  <c r="K114" i="95"/>
  <c r="BQ113" i="95"/>
  <c r="BR113" i="95" s="1"/>
  <c r="AE113" i="95"/>
  <c r="AF113" i="95" s="1"/>
  <c r="BA113" i="95"/>
  <c r="BB113" i="95" s="1"/>
  <c r="AV113" i="95"/>
  <c r="AW113" i="95" s="1"/>
  <c r="AN113" i="95"/>
  <c r="AO113" i="95" s="1"/>
  <c r="O113" i="95"/>
  <c r="AB113" i="95"/>
  <c r="AC113" i="95" s="1"/>
  <c r="BD113" i="95"/>
  <c r="BE113" i="95" s="1"/>
  <c r="V113" i="95"/>
  <c r="W113" i="95" s="1"/>
  <c r="M113" i="95"/>
  <c r="Y113" i="95"/>
  <c r="Z113" i="95" s="1"/>
  <c r="AQ113" i="95"/>
  <c r="AR113" i="95" s="1"/>
  <c r="BG113" i="95"/>
  <c r="BH113" i="95" s="1"/>
  <c r="F90" i="129"/>
  <c r="F112" i="129"/>
  <c r="F111" i="129"/>
  <c r="F87" i="129"/>
  <c r="R114" i="106"/>
  <c r="T114" i="106" s="1"/>
  <c r="P114" i="106"/>
  <c r="BG114" i="106"/>
  <c r="BH114" i="106" s="1"/>
  <c r="M114" i="106"/>
  <c r="AQ114" i="106"/>
  <c r="AR114" i="106" s="1"/>
  <c r="AH114" i="106"/>
  <c r="AI114" i="106" s="1"/>
  <c r="O114" i="106"/>
  <c r="BK114" i="106"/>
  <c r="AE114" i="106"/>
  <c r="AF114" i="106" s="1"/>
  <c r="AT114" i="106"/>
  <c r="V114" i="106"/>
  <c r="W114" i="106" s="1"/>
  <c r="BN114" i="106"/>
  <c r="BO114" i="106" s="1"/>
  <c r="AV114" i="106"/>
  <c r="AW114" i="106" s="1"/>
  <c r="BQ114" i="106"/>
  <c r="BR114" i="106" s="1"/>
  <c r="AY114" i="106"/>
  <c r="BJ114" i="106"/>
  <c r="BL114" i="106" s="1"/>
  <c r="BA114" i="106"/>
  <c r="BB114" i="106" s="1"/>
  <c r="AB114" i="106"/>
  <c r="AC114" i="106" s="1"/>
  <c r="Y114" i="106"/>
  <c r="Z114" i="106" s="1"/>
  <c r="AK114" i="106"/>
  <c r="AL114" i="106" s="1"/>
  <c r="BD114" i="106"/>
  <c r="BE114" i="106" s="1"/>
  <c r="AN114" i="106"/>
  <c r="AO114" i="106" s="1"/>
  <c r="F89" i="129"/>
  <c r="F103" i="129"/>
  <c r="F99" i="129" s="1"/>
  <c r="BD114" i="104"/>
  <c r="BE114" i="104" s="1"/>
  <c r="AV114" i="104"/>
  <c r="AW114" i="104" s="1"/>
  <c r="AN114" i="104"/>
  <c r="AO114" i="104" s="1"/>
  <c r="AY114" i="104"/>
  <c r="R114" i="104"/>
  <c r="T114" i="104" s="1"/>
  <c r="V114" i="104"/>
  <c r="W114" i="104" s="1"/>
  <c r="BJ114" i="104"/>
  <c r="BL114" i="104" s="1"/>
  <c r="Y114" i="104"/>
  <c r="Z114" i="104" s="1"/>
  <c r="Z116" i="104" s="1"/>
  <c r="AE114" i="104"/>
  <c r="AF114" i="104" s="1"/>
  <c r="AF116" i="104" s="1"/>
  <c r="BG114" i="104"/>
  <c r="BH114" i="104" s="1"/>
  <c r="M114" i="104"/>
  <c r="AB114" i="104"/>
  <c r="AC114" i="104" s="1"/>
  <c r="AT114" i="104"/>
  <c r="P114" i="104"/>
  <c r="BK114" i="104"/>
  <c r="BK116" i="104" s="1"/>
  <c r="AH114" i="104"/>
  <c r="AI114" i="104" s="1"/>
  <c r="AI116" i="104" s="1"/>
  <c r="BQ114" i="104"/>
  <c r="BR114" i="104" s="1"/>
  <c r="BR116" i="104" s="1"/>
  <c r="F78" i="104" s="1"/>
  <c r="O114" i="104"/>
  <c r="BN114" i="104"/>
  <c r="BO114" i="104" s="1"/>
  <c r="AK114" i="104"/>
  <c r="AL114" i="104" s="1"/>
  <c r="AL116" i="104" s="1"/>
  <c r="BA114" i="104"/>
  <c r="BB114" i="104" s="1"/>
  <c r="BB116" i="104" s="1"/>
  <c r="F103" i="104" s="1"/>
  <c r="F99" i="104" s="1"/>
  <c r="AQ114" i="104"/>
  <c r="AR114" i="104" s="1"/>
  <c r="AR116" i="104" s="1"/>
  <c r="F69" i="124"/>
  <c r="F107" i="130"/>
  <c r="F90" i="135"/>
  <c r="F96" i="135"/>
  <c r="F92" i="135" s="1"/>
  <c r="F70" i="124"/>
  <c r="X19" i="10"/>
  <c r="F111" i="105"/>
  <c r="F83" i="130"/>
  <c r="F90" i="105"/>
  <c r="X33" i="10"/>
  <c r="F69" i="150"/>
  <c r="F70" i="150"/>
  <c r="F80" i="135"/>
  <c r="F87" i="135"/>
  <c r="F74" i="130"/>
  <c r="F96" i="105"/>
  <c r="F92" i="105" s="1"/>
  <c r="F69" i="147"/>
  <c r="F70" i="147"/>
  <c r="F74" i="146"/>
  <c r="F107" i="146"/>
  <c r="F83" i="146"/>
  <c r="BO116" i="146"/>
  <c r="F74" i="99"/>
  <c r="F88" i="64"/>
  <c r="F80" i="64"/>
  <c r="F88" i="105"/>
  <c r="F81" i="64"/>
  <c r="F112" i="105"/>
  <c r="F89" i="135"/>
  <c r="F111" i="64"/>
  <c r="F79" i="64"/>
  <c r="P114" i="96"/>
  <c r="AK114" i="96"/>
  <c r="AL114" i="96" s="1"/>
  <c r="AL116" i="96" s="1"/>
  <c r="AE114" i="96"/>
  <c r="AF114" i="96" s="1"/>
  <c r="AF116" i="96" s="1"/>
  <c r="V114" i="96"/>
  <c r="W114" i="96" s="1"/>
  <c r="R114" i="96"/>
  <c r="T114" i="96" s="1"/>
  <c r="M114" i="96"/>
  <c r="BQ114" i="96"/>
  <c r="BR114" i="96" s="1"/>
  <c r="BR116" i="96" s="1"/>
  <c r="BN114" i="96"/>
  <c r="BO114" i="96" s="1"/>
  <c r="BO116" i="96" s="1"/>
  <c r="Y114" i="96"/>
  <c r="Z114" i="96" s="1"/>
  <c r="Z116" i="96" s="1"/>
  <c r="BL114" i="96"/>
  <c r="BL116" i="96" s="1"/>
  <c r="AB114" i="96"/>
  <c r="AC114" i="96" s="1"/>
  <c r="AC116" i="96" s="1"/>
  <c r="BG114" i="96"/>
  <c r="BH114" i="96" s="1"/>
  <c r="BH116" i="96" s="1"/>
  <c r="BD114" i="96"/>
  <c r="BE114" i="96" s="1"/>
  <c r="BE116" i="96" s="1"/>
  <c r="AV114" i="96"/>
  <c r="AW114" i="96" s="1"/>
  <c r="AW116" i="96" s="1"/>
  <c r="AT114" i="96"/>
  <c r="BA114" i="96"/>
  <c r="BB114" i="96" s="1"/>
  <c r="BB116" i="96" s="1"/>
  <c r="O114" i="96"/>
  <c r="AH114" i="96"/>
  <c r="AI114" i="96" s="1"/>
  <c r="AI116" i="96" s="1"/>
  <c r="AQ114" i="96"/>
  <c r="AR114" i="96" s="1"/>
  <c r="AR116" i="96" s="1"/>
  <c r="F90" i="96" s="1"/>
  <c r="AN114" i="96"/>
  <c r="AO114" i="96" s="1"/>
  <c r="AO116" i="96" s="1"/>
  <c r="BA114" i="115"/>
  <c r="BB114" i="115" s="1"/>
  <c r="M114" i="115"/>
  <c r="BK114" i="115"/>
  <c r="BN114" i="115"/>
  <c r="BO114" i="115" s="1"/>
  <c r="BJ114" i="115"/>
  <c r="BL114" i="115" s="1"/>
  <c r="BG114" i="115"/>
  <c r="BH114" i="115" s="1"/>
  <c r="AV114" i="115"/>
  <c r="AW114" i="115" s="1"/>
  <c r="AY114" i="115"/>
  <c r="AE114" i="115"/>
  <c r="AF114" i="115" s="1"/>
  <c r="P114" i="115"/>
  <c r="BD114" i="115"/>
  <c r="BE114" i="115" s="1"/>
  <c r="AT114" i="115"/>
  <c r="AH114" i="115"/>
  <c r="AI114" i="115" s="1"/>
  <c r="V114" i="115"/>
  <c r="W114" i="115" s="1"/>
  <c r="BQ114" i="115"/>
  <c r="BR114" i="115" s="1"/>
  <c r="AB114" i="115"/>
  <c r="AC114" i="115" s="1"/>
  <c r="AQ114" i="115"/>
  <c r="AR114" i="115" s="1"/>
  <c r="Y114" i="115"/>
  <c r="Z114" i="115" s="1"/>
  <c r="O114" i="115"/>
  <c r="AK114" i="115"/>
  <c r="AL114" i="115" s="1"/>
  <c r="AN114" i="115"/>
  <c r="AO114" i="115" s="1"/>
  <c r="R114" i="115"/>
  <c r="T114" i="115" s="1"/>
  <c r="K113" i="66"/>
  <c r="I114" i="66"/>
  <c r="K114" i="66" s="1"/>
  <c r="F81" i="105"/>
  <c r="F103" i="64"/>
  <c r="F99" i="64" s="1"/>
  <c r="F87" i="64"/>
  <c r="AI116" i="112"/>
  <c r="BE116" i="112"/>
  <c r="BR116" i="112"/>
  <c r="AW116" i="112"/>
  <c r="F79" i="135"/>
  <c r="BN22" i="105"/>
  <c r="BO22" i="105" s="1"/>
  <c r="BN16" i="105"/>
  <c r="BO16" i="105" s="1"/>
  <c r="BN18" i="105"/>
  <c r="BO18" i="105" s="1"/>
  <c r="BN19" i="105"/>
  <c r="BO19" i="105" s="1"/>
  <c r="BN28" i="105"/>
  <c r="BO28" i="105" s="1"/>
  <c r="BN25" i="105"/>
  <c r="BO25" i="105" s="1"/>
  <c r="BN34" i="105"/>
  <c r="BO34" i="105" s="1"/>
  <c r="BN33" i="105"/>
  <c r="BO33" i="105" s="1"/>
  <c r="BN31" i="105"/>
  <c r="BO31" i="105" s="1"/>
  <c r="BN17" i="105"/>
  <c r="BO17" i="105" s="1"/>
  <c r="BN30" i="105"/>
  <c r="BO30" i="105" s="1"/>
  <c r="BN20" i="105"/>
  <c r="BO20" i="105" s="1"/>
  <c r="BN29" i="105"/>
  <c r="BO29" i="105" s="1"/>
  <c r="BN32" i="105"/>
  <c r="BO32" i="105" s="1"/>
  <c r="BN26" i="105"/>
  <c r="BO26" i="105" s="1"/>
  <c r="BN27" i="105"/>
  <c r="BO27" i="105" s="1"/>
  <c r="BN23" i="105"/>
  <c r="BO23" i="105" s="1"/>
  <c r="BN21" i="105"/>
  <c r="BO21" i="105" s="1"/>
  <c r="BN15" i="105"/>
  <c r="BO15" i="105" s="1"/>
  <c r="BN24" i="105"/>
  <c r="BO24" i="105" s="1"/>
  <c r="F70" i="132"/>
  <c r="F83" i="99"/>
  <c r="BL112" i="66"/>
  <c r="AH112" i="66"/>
  <c r="AI112" i="66" s="1"/>
  <c r="BG112" i="66"/>
  <c r="BH112" i="66" s="1"/>
  <c r="Y112" i="66"/>
  <c r="Z112" i="66" s="1"/>
  <c r="BA112" i="66"/>
  <c r="BB112" i="66" s="1"/>
  <c r="O112" i="66"/>
  <c r="BD112" i="66"/>
  <c r="BE112" i="66" s="1"/>
  <c r="V112" i="66"/>
  <c r="W112" i="66" s="1"/>
  <c r="AY112" i="66"/>
  <c r="AE112" i="66"/>
  <c r="AF112" i="66" s="1"/>
  <c r="AB112" i="66"/>
  <c r="AC112" i="66" s="1"/>
  <c r="R112" i="66"/>
  <c r="T112" i="66" s="1"/>
  <c r="P112" i="66"/>
  <c r="AN112" i="66"/>
  <c r="AO112" i="66" s="1"/>
  <c r="M112" i="66"/>
  <c r="AT112" i="66"/>
  <c r="AQ112" i="66"/>
  <c r="AR112" i="66" s="1"/>
  <c r="AK112" i="66"/>
  <c r="AL112" i="66" s="1"/>
  <c r="BN112" i="66"/>
  <c r="BO112" i="66" s="1"/>
  <c r="BQ112" i="66"/>
  <c r="BR112" i="66" s="1"/>
  <c r="AV112" i="66"/>
  <c r="AW112" i="66" s="1"/>
  <c r="M113" i="101"/>
  <c r="BG113" i="101"/>
  <c r="BH113" i="101" s="1"/>
  <c r="AK113" i="101"/>
  <c r="AL113" i="101" s="1"/>
  <c r="R113" i="101"/>
  <c r="T113" i="101" s="1"/>
  <c r="AY113" i="101"/>
  <c r="BQ113" i="101"/>
  <c r="BR113" i="101" s="1"/>
  <c r="O113" i="101"/>
  <c r="AN113" i="101"/>
  <c r="AO113" i="101" s="1"/>
  <c r="P113" i="101"/>
  <c r="AV113" i="101"/>
  <c r="AW113" i="101" s="1"/>
  <c r="AB113" i="101"/>
  <c r="AC113" i="101" s="1"/>
  <c r="BA113" i="101"/>
  <c r="BB113" i="101" s="1"/>
  <c r="V113" i="101"/>
  <c r="W113" i="101" s="1"/>
  <c r="AQ113" i="101"/>
  <c r="AR113" i="101" s="1"/>
  <c r="AE113" i="101"/>
  <c r="AF113" i="101" s="1"/>
  <c r="AH113" i="101"/>
  <c r="AI113" i="101" s="1"/>
  <c r="BD113" i="101"/>
  <c r="BE113" i="101" s="1"/>
  <c r="Y113" i="101"/>
  <c r="Z113" i="101" s="1"/>
  <c r="AT113" i="101"/>
  <c r="BN112" i="17"/>
  <c r="BO112" i="17" s="1"/>
  <c r="AH112" i="17"/>
  <c r="AI112" i="17" s="1"/>
  <c r="BQ112" i="17"/>
  <c r="BR112" i="17" s="1"/>
  <c r="AT112" i="17"/>
  <c r="BA112" i="17"/>
  <c r="BB112" i="17" s="1"/>
  <c r="AN112" i="17"/>
  <c r="AO112" i="17" s="1"/>
  <c r="AY112" i="17"/>
  <c r="P112" i="17"/>
  <c r="AB112" i="17"/>
  <c r="AC112" i="17" s="1"/>
  <c r="V112" i="17"/>
  <c r="W112" i="17" s="1"/>
  <c r="BD112" i="17"/>
  <c r="BE112" i="17" s="1"/>
  <c r="BL112" i="17"/>
  <c r="AV112" i="17"/>
  <c r="AW112" i="17" s="1"/>
  <c r="Y112" i="17"/>
  <c r="Z112" i="17" s="1"/>
  <c r="BG112" i="17"/>
  <c r="BH112" i="17" s="1"/>
  <c r="AE112" i="17"/>
  <c r="AF112" i="17" s="1"/>
  <c r="M112" i="17"/>
  <c r="AK112" i="17"/>
  <c r="AL112" i="17" s="1"/>
  <c r="R112" i="17"/>
  <c r="T112" i="17" s="1"/>
  <c r="AQ112" i="17"/>
  <c r="AR112" i="17" s="1"/>
  <c r="O112" i="17"/>
  <c r="F88" i="135"/>
  <c r="F78" i="135"/>
  <c r="F87" i="105"/>
  <c r="F96" i="64"/>
  <c r="F92" i="64" s="1"/>
  <c r="AF116" i="112"/>
  <c r="AC116" i="112"/>
  <c r="BJ114" i="114"/>
  <c r="BL114" i="114" s="1"/>
  <c r="BK114" i="114"/>
  <c r="BN114" i="114"/>
  <c r="BO114" i="114" s="1"/>
  <c r="M114" i="114"/>
  <c r="AH114" i="114"/>
  <c r="AI114" i="114" s="1"/>
  <c r="Y114" i="114"/>
  <c r="Z114" i="114" s="1"/>
  <c r="AY114" i="114"/>
  <c r="AE114" i="114"/>
  <c r="AF114" i="114" s="1"/>
  <c r="BA114" i="114"/>
  <c r="BB114" i="114" s="1"/>
  <c r="BG114" i="114"/>
  <c r="BH114" i="114" s="1"/>
  <c r="AV114" i="114"/>
  <c r="AW114" i="114" s="1"/>
  <c r="O114" i="114"/>
  <c r="BQ114" i="114"/>
  <c r="BR114" i="114" s="1"/>
  <c r="AB114" i="114"/>
  <c r="AC114" i="114" s="1"/>
  <c r="V114" i="114"/>
  <c r="W114" i="114" s="1"/>
  <c r="P114" i="114"/>
  <c r="AK114" i="114"/>
  <c r="AL114" i="114" s="1"/>
  <c r="AN114" i="114"/>
  <c r="AO114" i="114" s="1"/>
  <c r="R114" i="114"/>
  <c r="T114" i="114" s="1"/>
  <c r="AT114" i="114"/>
  <c r="BD114" i="114"/>
  <c r="BE114" i="114" s="1"/>
  <c r="AQ114" i="114"/>
  <c r="AR114" i="114" s="1"/>
  <c r="F79" i="105"/>
  <c r="I114" i="13"/>
  <c r="K113" i="13"/>
  <c r="AQ114" i="126"/>
  <c r="AR114" i="126" s="1"/>
  <c r="BJ114" i="126"/>
  <c r="BL114" i="126" s="1"/>
  <c r="M114" i="126"/>
  <c r="BK114" i="126"/>
  <c r="BN114" i="126"/>
  <c r="BO114" i="126" s="1"/>
  <c r="AV114" i="126"/>
  <c r="AW114" i="126" s="1"/>
  <c r="BA114" i="126"/>
  <c r="BB114" i="126" s="1"/>
  <c r="AN114" i="126"/>
  <c r="AO114" i="126" s="1"/>
  <c r="AB114" i="126"/>
  <c r="AC114" i="126" s="1"/>
  <c r="P114" i="126"/>
  <c r="BD114" i="126"/>
  <c r="BE114" i="126" s="1"/>
  <c r="R114" i="126"/>
  <c r="T114" i="126" s="1"/>
  <c r="BG114" i="126"/>
  <c r="BH114" i="126" s="1"/>
  <c r="AY114" i="126"/>
  <c r="V114" i="126"/>
  <c r="W114" i="126" s="1"/>
  <c r="O114" i="126"/>
  <c r="Y114" i="126"/>
  <c r="Z114" i="126" s="1"/>
  <c r="AE114" i="126"/>
  <c r="AF114" i="126" s="1"/>
  <c r="AH114" i="126"/>
  <c r="AI114" i="126" s="1"/>
  <c r="AK114" i="126"/>
  <c r="AL114" i="126" s="1"/>
  <c r="AT114" i="126"/>
  <c r="BQ114" i="126"/>
  <c r="BR114" i="126" s="1"/>
  <c r="F83" i="136"/>
  <c r="BO116" i="99"/>
  <c r="K114" i="101"/>
  <c r="Y114" i="98"/>
  <c r="Z114" i="98" s="1"/>
  <c r="V114" i="98"/>
  <c r="W114" i="98" s="1"/>
  <c r="BN114" i="98"/>
  <c r="BO114" i="98" s="1"/>
  <c r="R114" i="98"/>
  <c r="T114" i="98" s="1"/>
  <c r="P114" i="98"/>
  <c r="AT114" i="98"/>
  <c r="M114" i="98"/>
  <c r="AB114" i="98"/>
  <c r="AC114" i="98" s="1"/>
  <c r="BQ114" i="98"/>
  <c r="BR114" i="98" s="1"/>
  <c r="BG114" i="98"/>
  <c r="BH114" i="98" s="1"/>
  <c r="BJ114" i="98"/>
  <c r="BL114" i="98" s="1"/>
  <c r="BD114" i="98"/>
  <c r="BE114" i="98" s="1"/>
  <c r="BA114" i="98"/>
  <c r="BB114" i="98" s="1"/>
  <c r="BK114" i="98"/>
  <c r="AV114" i="98"/>
  <c r="AW114" i="98" s="1"/>
  <c r="AQ114" i="98"/>
  <c r="AR114" i="98" s="1"/>
  <c r="AN114" i="98"/>
  <c r="AO114" i="98" s="1"/>
  <c r="AK114" i="98"/>
  <c r="AL114" i="98" s="1"/>
  <c r="O114" i="98"/>
  <c r="AH114" i="98"/>
  <c r="AI114" i="98" s="1"/>
  <c r="AE114" i="98"/>
  <c r="AF114" i="98" s="1"/>
  <c r="AY114" i="98"/>
  <c r="I114" i="17"/>
  <c r="K113" i="17"/>
  <c r="F81" i="135"/>
  <c r="F112" i="64"/>
  <c r="F90" i="64"/>
  <c r="F89" i="64"/>
  <c r="BH116" i="112"/>
  <c r="BB116" i="112"/>
  <c r="Z116" i="112"/>
  <c r="BL116" i="112"/>
  <c r="F89" i="105"/>
  <c r="BL112" i="13"/>
  <c r="M112" i="13"/>
  <c r="BN112" i="13"/>
  <c r="BO112" i="13" s="1"/>
  <c r="BQ112" i="13"/>
  <c r="BR112" i="13" s="1"/>
  <c r="AH112" i="13"/>
  <c r="AI112" i="13" s="1"/>
  <c r="BA112" i="13"/>
  <c r="BB112" i="13" s="1"/>
  <c r="Y112" i="13"/>
  <c r="Z112" i="13" s="1"/>
  <c r="AB112" i="13"/>
  <c r="AC112" i="13" s="1"/>
  <c r="AT112" i="13"/>
  <c r="P112" i="13"/>
  <c r="AE112" i="13"/>
  <c r="AF112" i="13" s="1"/>
  <c r="AN112" i="13"/>
  <c r="AO112" i="13" s="1"/>
  <c r="AK112" i="13"/>
  <c r="AL112" i="13" s="1"/>
  <c r="AQ112" i="13"/>
  <c r="AR112" i="13" s="1"/>
  <c r="BG112" i="13"/>
  <c r="BH112" i="13" s="1"/>
  <c r="R112" i="13"/>
  <c r="T112" i="13" s="1"/>
  <c r="AY112" i="13"/>
  <c r="AV112" i="13"/>
  <c r="AW112" i="13" s="1"/>
  <c r="BD112" i="13"/>
  <c r="BE112" i="13" s="1"/>
  <c r="V112" i="13"/>
  <c r="W112" i="13" s="1"/>
  <c r="O112" i="13"/>
  <c r="AQ112" i="120"/>
  <c r="AR112" i="120" s="1"/>
  <c r="AY112" i="120"/>
  <c r="R112" i="120"/>
  <c r="T112" i="120" s="1"/>
  <c r="AV112" i="120"/>
  <c r="AW112" i="120" s="1"/>
  <c r="AE112" i="120"/>
  <c r="AF112" i="120" s="1"/>
  <c r="M112" i="120"/>
  <c r="AH112" i="120"/>
  <c r="AI112" i="120" s="1"/>
  <c r="BA112" i="120"/>
  <c r="BB112" i="120" s="1"/>
  <c r="P112" i="120"/>
  <c r="AB112" i="120"/>
  <c r="AC112" i="120" s="1"/>
  <c r="BD112" i="120"/>
  <c r="BE112" i="120" s="1"/>
  <c r="O112" i="120"/>
  <c r="V112" i="120"/>
  <c r="W112" i="120" s="1"/>
  <c r="Y112" i="120"/>
  <c r="Z112" i="120" s="1"/>
  <c r="AT112" i="120"/>
  <c r="BG112" i="120"/>
  <c r="BH112" i="120" s="1"/>
  <c r="AK112" i="120"/>
  <c r="AL112" i="120" s="1"/>
  <c r="AN112" i="120"/>
  <c r="AO112" i="120" s="1"/>
  <c r="BQ112" i="120"/>
  <c r="BR112" i="120" s="1"/>
  <c r="K113" i="120"/>
  <c r="BN112" i="120"/>
  <c r="BO112" i="120" s="1"/>
  <c r="F80" i="105"/>
  <c r="F78" i="105"/>
  <c r="BN114" i="110"/>
  <c r="BO114" i="110" s="1"/>
  <c r="M114" i="110"/>
  <c r="BK114" i="110"/>
  <c r="BJ114" i="110"/>
  <c r="BL114" i="110" s="1"/>
  <c r="AV114" i="110"/>
  <c r="AW114" i="110" s="1"/>
  <c r="BG114" i="110"/>
  <c r="BH114" i="110" s="1"/>
  <c r="AH114" i="110"/>
  <c r="AI114" i="110" s="1"/>
  <c r="BA114" i="110"/>
  <c r="BB114" i="110" s="1"/>
  <c r="R114" i="110"/>
  <c r="T114" i="110" s="1"/>
  <c r="AB114" i="110"/>
  <c r="AC114" i="110" s="1"/>
  <c r="AQ114" i="110"/>
  <c r="AR114" i="110" s="1"/>
  <c r="Y114" i="110"/>
  <c r="Z114" i="110" s="1"/>
  <c r="BD114" i="110"/>
  <c r="BE114" i="110" s="1"/>
  <c r="AK114" i="110"/>
  <c r="AL114" i="110" s="1"/>
  <c r="O114" i="110"/>
  <c r="AE114" i="110"/>
  <c r="AF114" i="110" s="1"/>
  <c r="AY114" i="110"/>
  <c r="AN114" i="110"/>
  <c r="AO114" i="110" s="1"/>
  <c r="AT114" i="110"/>
  <c r="V114" i="110"/>
  <c r="W114" i="110" s="1"/>
  <c r="BQ114" i="110"/>
  <c r="BR114" i="110" s="1"/>
  <c r="P114" i="110"/>
  <c r="BL113" i="15"/>
  <c r="BN113" i="15"/>
  <c r="BO113" i="15" s="1"/>
  <c r="BG113" i="15"/>
  <c r="BH113" i="15" s="1"/>
  <c r="BQ113" i="15"/>
  <c r="BR113" i="15" s="1"/>
  <c r="AV113" i="15"/>
  <c r="AW113" i="15" s="1"/>
  <c r="O113" i="15"/>
  <c r="V113" i="15"/>
  <c r="W113" i="15" s="1"/>
  <c r="AT113" i="15"/>
  <c r="AH113" i="15"/>
  <c r="AI113" i="15" s="1"/>
  <c r="M113" i="15"/>
  <c r="P113" i="15"/>
  <c r="AQ113" i="15"/>
  <c r="AR113" i="15" s="1"/>
  <c r="AY113" i="15"/>
  <c r="AK113" i="15"/>
  <c r="AL113" i="15" s="1"/>
  <c r="BD113" i="15"/>
  <c r="BE113" i="15" s="1"/>
  <c r="R113" i="15"/>
  <c r="T113" i="15" s="1"/>
  <c r="AE113" i="15"/>
  <c r="AF113" i="15" s="1"/>
  <c r="BA113" i="15"/>
  <c r="BB113" i="15" s="1"/>
  <c r="AN113" i="15"/>
  <c r="AO113" i="15" s="1"/>
  <c r="AB113" i="15"/>
  <c r="AC113" i="15" s="1"/>
  <c r="Y113" i="15"/>
  <c r="Z113" i="15" s="1"/>
  <c r="K114" i="15"/>
  <c r="M114" i="63"/>
  <c r="Y114" i="63"/>
  <c r="Z114" i="63" s="1"/>
  <c r="Z116" i="63" s="1"/>
  <c r="V114" i="63"/>
  <c r="W114" i="63" s="1"/>
  <c r="O114" i="63"/>
  <c r="BA114" i="63"/>
  <c r="BB114" i="63" s="1"/>
  <c r="BB116" i="63" s="1"/>
  <c r="AN114" i="63"/>
  <c r="AO114" i="63" s="1"/>
  <c r="AO116" i="63" s="1"/>
  <c r="AY114" i="63"/>
  <c r="BN114" i="63"/>
  <c r="BO114" i="63" s="1"/>
  <c r="BO116" i="63" s="1"/>
  <c r="BQ114" i="63"/>
  <c r="BR114" i="63" s="1"/>
  <c r="BR116" i="63" s="1"/>
  <c r="P114" i="63"/>
  <c r="AK114" i="63"/>
  <c r="AL114" i="63" s="1"/>
  <c r="AL116" i="63" s="1"/>
  <c r="AV114" i="63"/>
  <c r="AW114" i="63" s="1"/>
  <c r="AW116" i="63" s="1"/>
  <c r="AE114" i="63"/>
  <c r="AF114" i="63" s="1"/>
  <c r="AF116" i="63" s="1"/>
  <c r="AT114" i="63"/>
  <c r="BD114" i="63"/>
  <c r="BE114" i="63" s="1"/>
  <c r="BE116" i="63" s="1"/>
  <c r="R114" i="63"/>
  <c r="T114" i="63" s="1"/>
  <c r="AQ114" i="63"/>
  <c r="AR114" i="63" s="1"/>
  <c r="AR116" i="63" s="1"/>
  <c r="BG114" i="63"/>
  <c r="BH114" i="63" s="1"/>
  <c r="BH116" i="63" s="1"/>
  <c r="AB114" i="63"/>
  <c r="AC114" i="63" s="1"/>
  <c r="AC116" i="63" s="1"/>
  <c r="AH114" i="63"/>
  <c r="AI114" i="63" s="1"/>
  <c r="AI116" i="63" s="1"/>
  <c r="BL114" i="63"/>
  <c r="BL116" i="63" s="1"/>
  <c r="F74" i="136"/>
  <c r="AO116" i="112"/>
  <c r="AR116" i="112"/>
  <c r="AL116" i="112"/>
  <c r="F88" i="112" s="1"/>
  <c r="BK116" i="112"/>
  <c r="M113" i="118"/>
  <c r="BQ113" i="118"/>
  <c r="BR113" i="118" s="1"/>
  <c r="K114" i="118"/>
  <c r="BN113" i="118"/>
  <c r="BO113" i="118" s="1"/>
  <c r="AB113" i="118"/>
  <c r="AC113" i="118" s="1"/>
  <c r="AE113" i="118"/>
  <c r="AF113" i="118" s="1"/>
  <c r="BA113" i="118"/>
  <c r="BB113" i="118" s="1"/>
  <c r="AK113" i="118"/>
  <c r="AL113" i="118" s="1"/>
  <c r="V113" i="118"/>
  <c r="W113" i="118" s="1"/>
  <c r="AN113" i="118"/>
  <c r="AO113" i="118" s="1"/>
  <c r="Y113" i="118"/>
  <c r="Z113" i="118" s="1"/>
  <c r="BG113" i="118"/>
  <c r="BH113" i="118" s="1"/>
  <c r="BD113" i="118"/>
  <c r="BE113" i="118" s="1"/>
  <c r="R113" i="118"/>
  <c r="T113" i="118" s="1"/>
  <c r="AY113" i="118"/>
  <c r="AQ113" i="118"/>
  <c r="AR113" i="118" s="1"/>
  <c r="AV113" i="118"/>
  <c r="AW113" i="118" s="1"/>
  <c r="AH113" i="118"/>
  <c r="AI113" i="118" s="1"/>
  <c r="AT113" i="118"/>
  <c r="P113" i="118"/>
  <c r="O113" i="118"/>
  <c r="F103" i="135"/>
  <c r="F99" i="135" s="1"/>
  <c r="F103" i="105"/>
  <c r="F99" i="105" s="1"/>
  <c r="F69" i="132"/>
  <c r="BL117" i="110"/>
  <c r="BL117" i="115"/>
  <c r="Q30" i="10"/>
  <c r="Q29" i="10"/>
  <c r="Q32" i="10"/>
  <c r="BO117" i="126"/>
  <c r="BB117" i="110"/>
  <c r="Z117" i="110"/>
  <c r="AF117" i="115"/>
  <c r="BO117" i="98"/>
  <c r="AR117" i="115"/>
  <c r="AW117" i="98"/>
  <c r="BO117" i="106"/>
  <c r="Z117" i="115"/>
  <c r="AW117" i="126"/>
  <c r="BH117" i="126"/>
  <c r="W16" i="10"/>
  <c r="BB117" i="115"/>
  <c r="BH117" i="115"/>
  <c r="AF117" i="126"/>
  <c r="BB117" i="104"/>
  <c r="BE117" i="106"/>
  <c r="T25" i="10"/>
  <c r="U18" i="10"/>
  <c r="AW117" i="114"/>
  <c r="AL117" i="98"/>
  <c r="AO117" i="106"/>
  <c r="N18" i="10"/>
  <c r="M25" i="10"/>
  <c r="R30" i="10"/>
  <c r="AI117" i="104"/>
  <c r="N25" i="10"/>
  <c r="BK117" i="106"/>
  <c r="AI117" i="106"/>
  <c r="AF117" i="104"/>
  <c r="I24" i="10"/>
  <c r="V18" i="10"/>
  <c r="AC117" i="104"/>
  <c r="AL117" i="106"/>
  <c r="N14" i="10"/>
  <c r="AF117" i="114"/>
  <c r="BH117" i="106"/>
  <c r="J24" i="10"/>
  <c r="T26" i="10"/>
  <c r="AC117" i="126"/>
  <c r="AR117" i="106"/>
  <c r="BK117" i="110"/>
  <c r="S16" i="10"/>
  <c r="BL117" i="106"/>
  <c r="W26" i="10"/>
  <c r="BK117" i="98"/>
  <c r="AW117" i="106"/>
  <c r="AL117" i="104"/>
  <c r="BR117" i="104"/>
  <c r="AO117" i="115"/>
  <c r="AR117" i="110"/>
  <c r="Q31" i="10"/>
  <c r="BR117" i="126"/>
  <c r="R31" i="10"/>
  <c r="Z117" i="104"/>
  <c r="BL117" i="126"/>
  <c r="R27" i="10"/>
  <c r="M26" i="10"/>
  <c r="BO117" i="104"/>
  <c r="BH117" i="98"/>
  <c r="R32" i="10"/>
  <c r="AR117" i="126"/>
  <c r="T29" i="10"/>
  <c r="W25" i="10"/>
  <c r="BO117" i="114"/>
  <c r="AF117" i="110"/>
  <c r="BR117" i="106"/>
  <c r="BH117" i="104"/>
  <c r="Z117" i="126"/>
  <c r="AI117" i="110"/>
  <c r="AW117" i="104"/>
  <c r="AO117" i="104"/>
  <c r="BK117" i="104"/>
  <c r="S25" i="10"/>
  <c r="BL117" i="98"/>
  <c r="AI117" i="115"/>
  <c r="BB117" i="106"/>
  <c r="AC117" i="106"/>
  <c r="AR117" i="104"/>
  <c r="Z117" i="106"/>
  <c r="AF117" i="106"/>
  <c r="BL117" i="104"/>
  <c r="T16" i="10"/>
  <c r="BE117" i="104"/>
  <c r="F74" i="129" l="1"/>
  <c r="X27" i="10"/>
  <c r="F90" i="63"/>
  <c r="F107" i="129"/>
  <c r="F90" i="104"/>
  <c r="F87" i="104"/>
  <c r="F80" i="104"/>
  <c r="F88" i="104"/>
  <c r="F79" i="104"/>
  <c r="AL116" i="106"/>
  <c r="F88" i="106" s="1"/>
  <c r="BR116" i="106"/>
  <c r="BK116" i="106"/>
  <c r="AB114" i="95"/>
  <c r="AC114" i="95" s="1"/>
  <c r="AC116" i="95" s="1"/>
  <c r="AE114" i="95"/>
  <c r="AF114" i="95" s="1"/>
  <c r="AF116" i="95" s="1"/>
  <c r="O114" i="95"/>
  <c r="BG114" i="95"/>
  <c r="BH114" i="95" s="1"/>
  <c r="BH116" i="95" s="1"/>
  <c r="AQ114" i="95"/>
  <c r="AR114" i="95" s="1"/>
  <c r="AR116" i="95" s="1"/>
  <c r="BD114" i="95"/>
  <c r="BE114" i="95" s="1"/>
  <c r="BE116" i="95" s="1"/>
  <c r="M114" i="95"/>
  <c r="V114" i="95"/>
  <c r="W114" i="95" s="1"/>
  <c r="Y114" i="95"/>
  <c r="Z114" i="95" s="1"/>
  <c r="Z116" i="95" s="1"/>
  <c r="BQ114" i="95"/>
  <c r="BR114" i="95" s="1"/>
  <c r="BR116" i="95" s="1"/>
  <c r="F78" i="95" s="1"/>
  <c r="BN114" i="95"/>
  <c r="BO114" i="95" s="1"/>
  <c r="BO116" i="95" s="1"/>
  <c r="AV114" i="95"/>
  <c r="AW114" i="95" s="1"/>
  <c r="AW116" i="95" s="1"/>
  <c r="BA114" i="95"/>
  <c r="BB114" i="95" s="1"/>
  <c r="BB116" i="95" s="1"/>
  <c r="AH114" i="95"/>
  <c r="AI114" i="95" s="1"/>
  <c r="AI116" i="95" s="1"/>
  <c r="BL114" i="95"/>
  <c r="BL116" i="95" s="1"/>
  <c r="AT114" i="95"/>
  <c r="AN114" i="95"/>
  <c r="AO114" i="95" s="1"/>
  <c r="AO116" i="95" s="1"/>
  <c r="P114" i="95"/>
  <c r="AK114" i="95"/>
  <c r="AL114" i="95" s="1"/>
  <c r="AL116" i="95" s="1"/>
  <c r="R114" i="95"/>
  <c r="T114" i="95" s="1"/>
  <c r="Z116" i="106"/>
  <c r="F79" i="106" s="1"/>
  <c r="AW116" i="106"/>
  <c r="F96" i="106" s="1"/>
  <c r="F92" i="106" s="1"/>
  <c r="AC116" i="106"/>
  <c r="F81" i="106" s="1"/>
  <c r="AI116" i="106"/>
  <c r="F87" i="106" s="1"/>
  <c r="BE116" i="104"/>
  <c r="F111" i="104" s="1"/>
  <c r="BH116" i="104"/>
  <c r="F112" i="104" s="1"/>
  <c r="BB116" i="106"/>
  <c r="F103" i="106" s="1"/>
  <c r="F99" i="106" s="1"/>
  <c r="AR116" i="106"/>
  <c r="F90" i="106" s="1"/>
  <c r="BL116" i="104"/>
  <c r="BN30" i="104" s="1"/>
  <c r="BO30" i="104" s="1"/>
  <c r="AO116" i="106"/>
  <c r="F89" i="106" s="1"/>
  <c r="BL116" i="106"/>
  <c r="F83" i="129"/>
  <c r="AC116" i="104"/>
  <c r="F81" i="104" s="1"/>
  <c r="F81" i="96"/>
  <c r="AW116" i="104"/>
  <c r="F96" i="104" s="1"/>
  <c r="F92" i="104" s="1"/>
  <c r="BE116" i="106"/>
  <c r="F111" i="106" s="1"/>
  <c r="AF116" i="106"/>
  <c r="F80" i="106" s="1"/>
  <c r="BH116" i="106"/>
  <c r="F112" i="106" s="1"/>
  <c r="AO116" i="104"/>
  <c r="F89" i="104" s="1"/>
  <c r="K114" i="17"/>
  <c r="K114" i="13"/>
  <c r="P24" i="10"/>
  <c r="F80" i="63"/>
  <c r="F70" i="130"/>
  <c r="F107" i="105"/>
  <c r="F69" i="130"/>
  <c r="F107" i="64"/>
  <c r="F74" i="64"/>
  <c r="F83" i="135"/>
  <c r="X32" i="10"/>
  <c r="F112" i="112"/>
  <c r="F81" i="112"/>
  <c r="F80" i="112"/>
  <c r="F90" i="112"/>
  <c r="F79" i="112"/>
  <c r="F87" i="96"/>
  <c r="F111" i="112"/>
  <c r="F103" i="96"/>
  <c r="F99" i="96" s="1"/>
  <c r="F69" i="146"/>
  <c r="F81" i="63"/>
  <c r="F70" i="146"/>
  <c r="F83" i="105"/>
  <c r="F70" i="99"/>
  <c r="F69" i="99"/>
  <c r="F112" i="63"/>
  <c r="F111" i="96"/>
  <c r="F112" i="96"/>
  <c r="AL117" i="126"/>
  <c r="BO117" i="115"/>
  <c r="R29" i="10"/>
  <c r="M14" i="10"/>
  <c r="K14" i="10"/>
  <c r="AW117" i="110"/>
  <c r="BE117" i="126"/>
  <c r="M19" i="10"/>
  <c r="BK117" i="115"/>
  <c r="BK117" i="126"/>
  <c r="AR117" i="98"/>
  <c r="AO117" i="110"/>
  <c r="BR117" i="98"/>
  <c r="N19" i="10"/>
  <c r="BE117" i="115"/>
  <c r="L25" i="10"/>
  <c r="BK117" i="114"/>
  <c r="J27" i="10"/>
  <c r="L26" i="10"/>
  <c r="AW117" i="115"/>
  <c r="Q16" i="10"/>
  <c r="AO117" i="98"/>
  <c r="AO117" i="114"/>
  <c r="AF117" i="98"/>
  <c r="AC117" i="114"/>
  <c r="I27" i="10"/>
  <c r="AC117" i="110"/>
  <c r="BB117" i="114"/>
  <c r="AL117" i="110"/>
  <c r="BB117" i="126"/>
  <c r="N26" i="10"/>
  <c r="BR117" i="110"/>
  <c r="Z117" i="98"/>
  <c r="AC117" i="115"/>
  <c r="BR117" i="114"/>
  <c r="BE117" i="110"/>
  <c r="Q25" i="10"/>
  <c r="M18" i="10"/>
  <c r="AL117" i="114"/>
  <c r="R25" i="10"/>
  <c r="AI117" i="98"/>
  <c r="BH117" i="110"/>
  <c r="BE117" i="114"/>
  <c r="AI117" i="126"/>
  <c r="AC117" i="98"/>
  <c r="AR117" i="114"/>
  <c r="S26" i="10"/>
  <c r="AL117" i="115"/>
  <c r="AO117" i="126"/>
  <c r="Z117" i="114"/>
  <c r="BH117" i="114"/>
  <c r="W18" i="10"/>
  <c r="BE117" i="98"/>
  <c r="K25" i="10"/>
  <c r="T18" i="10"/>
  <c r="O25" i="10"/>
  <c r="O26" i="10"/>
  <c r="R16" i="10"/>
  <c r="AI117" i="114"/>
  <c r="BO117" i="110"/>
  <c r="BL117" i="114"/>
  <c r="O14" i="10"/>
  <c r="BR117" i="115"/>
  <c r="BB117" i="98"/>
  <c r="V12" i="10"/>
  <c r="F69" i="129" l="1"/>
  <c r="F70" i="129"/>
  <c r="F107" i="104"/>
  <c r="F89" i="95"/>
  <c r="F88" i="95"/>
  <c r="F74" i="104"/>
  <c r="F107" i="106"/>
  <c r="F87" i="95"/>
  <c r="F80" i="95"/>
  <c r="BN21" i="104"/>
  <c r="BO21" i="104" s="1"/>
  <c r="BN16" i="104"/>
  <c r="BO16" i="104" s="1"/>
  <c r="BN32" i="104"/>
  <c r="BO32" i="104" s="1"/>
  <c r="F103" i="95"/>
  <c r="F99" i="95" s="1"/>
  <c r="F81" i="95"/>
  <c r="BN34" i="104"/>
  <c r="BO34" i="104" s="1"/>
  <c r="BN17" i="104"/>
  <c r="BO17" i="104" s="1"/>
  <c r="BN26" i="104"/>
  <c r="BO26" i="104" s="1"/>
  <c r="F83" i="106"/>
  <c r="F111" i="95"/>
  <c r="BN28" i="106"/>
  <c r="BO28" i="106" s="1"/>
  <c r="BN34" i="106"/>
  <c r="BO34" i="106" s="1"/>
  <c r="BN32" i="106"/>
  <c r="BO32" i="106" s="1"/>
  <c r="BN31" i="106"/>
  <c r="BO31" i="106" s="1"/>
  <c r="BN22" i="106"/>
  <c r="BO22" i="106" s="1"/>
  <c r="BN20" i="106"/>
  <c r="BO20" i="106" s="1"/>
  <c r="BN25" i="106"/>
  <c r="BO25" i="106" s="1"/>
  <c r="BN19" i="106"/>
  <c r="BO19" i="106" s="1"/>
  <c r="BN27" i="106"/>
  <c r="BO27" i="106" s="1"/>
  <c r="BN29" i="106"/>
  <c r="BO29" i="106" s="1"/>
  <c r="BN16" i="106"/>
  <c r="BO16" i="106" s="1"/>
  <c r="BN30" i="106"/>
  <c r="BO30" i="106" s="1"/>
  <c r="BN23" i="106"/>
  <c r="BO23" i="106" s="1"/>
  <c r="BN26" i="106"/>
  <c r="BO26" i="106" s="1"/>
  <c r="BN21" i="106"/>
  <c r="BO21" i="106" s="1"/>
  <c r="BN15" i="106"/>
  <c r="BO15" i="106" s="1"/>
  <c r="BN33" i="106"/>
  <c r="BO33" i="106" s="1"/>
  <c r="BN18" i="106"/>
  <c r="BO18" i="106" s="1"/>
  <c r="BN17" i="106"/>
  <c r="BO17" i="106" s="1"/>
  <c r="BN24" i="106"/>
  <c r="BO24" i="106" s="1"/>
  <c r="BN23" i="104"/>
  <c r="BO23" i="104" s="1"/>
  <c r="BN20" i="104"/>
  <c r="BO20" i="104" s="1"/>
  <c r="BN31" i="104"/>
  <c r="BO31" i="104" s="1"/>
  <c r="BN24" i="104"/>
  <c r="BO24" i="104" s="1"/>
  <c r="F90" i="95"/>
  <c r="F78" i="106"/>
  <c r="F74" i="106" s="1"/>
  <c r="BN15" i="104"/>
  <c r="BO15" i="104" s="1"/>
  <c r="BN22" i="104"/>
  <c r="BO22" i="104" s="1"/>
  <c r="BN25" i="104"/>
  <c r="BO25" i="104" s="1"/>
  <c r="BN29" i="104"/>
  <c r="BO29" i="104" s="1"/>
  <c r="F112" i="95"/>
  <c r="BN28" i="104"/>
  <c r="BO28" i="104" s="1"/>
  <c r="BN27" i="104"/>
  <c r="BO27" i="104" s="1"/>
  <c r="BN18" i="104"/>
  <c r="BO18" i="104" s="1"/>
  <c r="F83" i="104"/>
  <c r="F79" i="95"/>
  <c r="BN19" i="104"/>
  <c r="BO19" i="104" s="1"/>
  <c r="BN33" i="104"/>
  <c r="BO33" i="104" s="1"/>
  <c r="F107" i="96"/>
  <c r="F96" i="63"/>
  <c r="F92" i="63" s="1"/>
  <c r="F89" i="63"/>
  <c r="F87" i="112"/>
  <c r="F83" i="112" s="1"/>
  <c r="BO116" i="105"/>
  <c r="F96" i="112"/>
  <c r="F92" i="112" s="1"/>
  <c r="X30" i="10"/>
  <c r="X29" i="10"/>
  <c r="X31" i="10"/>
  <c r="X16" i="10"/>
  <c r="P27" i="10"/>
  <c r="X25" i="10"/>
  <c r="F70" i="136"/>
  <c r="F69" i="136"/>
  <c r="F79" i="63"/>
  <c r="AO116" i="110"/>
  <c r="AL116" i="110"/>
  <c r="AC116" i="110"/>
  <c r="BH116" i="110"/>
  <c r="AF116" i="98"/>
  <c r="AO116" i="98"/>
  <c r="BB116" i="98"/>
  <c r="BR116" i="98"/>
  <c r="Z116" i="98"/>
  <c r="AL116" i="126"/>
  <c r="AO116" i="126"/>
  <c r="BK116" i="126"/>
  <c r="AR116" i="114"/>
  <c r="AO116" i="114"/>
  <c r="AC116" i="114"/>
  <c r="BH116" i="114"/>
  <c r="Z116" i="114"/>
  <c r="BK116" i="114"/>
  <c r="F107" i="112"/>
  <c r="AL116" i="115"/>
  <c r="AC116" i="115"/>
  <c r="F87" i="63"/>
  <c r="F78" i="63"/>
  <c r="F103" i="63"/>
  <c r="F99" i="63" s="1"/>
  <c r="BR116" i="110"/>
  <c r="BE116" i="110"/>
  <c r="AW116" i="110"/>
  <c r="BN113" i="17"/>
  <c r="BO113" i="17" s="1"/>
  <c r="M113" i="17"/>
  <c r="AN113" i="17"/>
  <c r="AO113" i="17" s="1"/>
  <c r="BQ113" i="17"/>
  <c r="BR113" i="17" s="1"/>
  <c r="AT113" i="17"/>
  <c r="BG113" i="17"/>
  <c r="BH113" i="17" s="1"/>
  <c r="AY113" i="17"/>
  <c r="R113" i="17"/>
  <c r="T113" i="17" s="1"/>
  <c r="Y113" i="17"/>
  <c r="Z113" i="17" s="1"/>
  <c r="AV113" i="17"/>
  <c r="AW113" i="17" s="1"/>
  <c r="AK113" i="17"/>
  <c r="AL113" i="17" s="1"/>
  <c r="BD113" i="17"/>
  <c r="BE113" i="17" s="1"/>
  <c r="BA113" i="17"/>
  <c r="BB113" i="17" s="1"/>
  <c r="AQ113" i="17"/>
  <c r="AR113" i="17" s="1"/>
  <c r="V113" i="17"/>
  <c r="W113" i="17" s="1"/>
  <c r="AH113" i="17"/>
  <c r="AI113" i="17" s="1"/>
  <c r="O113" i="17"/>
  <c r="AB113" i="17"/>
  <c r="AC113" i="17" s="1"/>
  <c r="AE113" i="17"/>
  <c r="AF113" i="17" s="1"/>
  <c r="BL113" i="17"/>
  <c r="P113" i="17"/>
  <c r="AI116" i="98"/>
  <c r="AR116" i="98"/>
  <c r="F90" i="98" s="1"/>
  <c r="BE116" i="98"/>
  <c r="AC116" i="98"/>
  <c r="M114" i="101"/>
  <c r="AE114" i="101"/>
  <c r="AF114" i="101" s="1"/>
  <c r="BQ114" i="101"/>
  <c r="BR114" i="101" s="1"/>
  <c r="O114" i="101"/>
  <c r="AH114" i="101"/>
  <c r="AI114" i="101" s="1"/>
  <c r="AK114" i="101"/>
  <c r="AL114" i="101" s="1"/>
  <c r="BG114" i="101"/>
  <c r="BH114" i="101" s="1"/>
  <c r="AT114" i="101"/>
  <c r="BD114" i="101"/>
  <c r="BE114" i="101" s="1"/>
  <c r="V114" i="101"/>
  <c r="W114" i="101" s="1"/>
  <c r="Y114" i="101"/>
  <c r="Z114" i="101" s="1"/>
  <c r="BA114" i="101"/>
  <c r="BB114" i="101" s="1"/>
  <c r="AB114" i="101"/>
  <c r="AC114" i="101" s="1"/>
  <c r="AV114" i="101"/>
  <c r="AW114" i="101" s="1"/>
  <c r="R114" i="101"/>
  <c r="T114" i="101" s="1"/>
  <c r="AQ114" i="101"/>
  <c r="AR114" i="101" s="1"/>
  <c r="AY114" i="101"/>
  <c r="P114" i="101"/>
  <c r="AN114" i="101"/>
  <c r="AO114" i="101" s="1"/>
  <c r="AI116" i="126"/>
  <c r="BE116" i="126"/>
  <c r="BB116" i="126"/>
  <c r="BN113" i="13"/>
  <c r="BO113" i="13" s="1"/>
  <c r="BL113" i="13"/>
  <c r="M113" i="13"/>
  <c r="AE113" i="13"/>
  <c r="AF113" i="13" s="1"/>
  <c r="AV113" i="13"/>
  <c r="AW113" i="13" s="1"/>
  <c r="Y113" i="13"/>
  <c r="Z113" i="13" s="1"/>
  <c r="R113" i="13"/>
  <c r="T113" i="13" s="1"/>
  <c r="BQ113" i="13"/>
  <c r="BR113" i="13" s="1"/>
  <c r="AH113" i="13"/>
  <c r="AI113" i="13" s="1"/>
  <c r="BG113" i="13"/>
  <c r="BH113" i="13" s="1"/>
  <c r="AN113" i="13"/>
  <c r="AO113" i="13" s="1"/>
  <c r="AB113" i="13"/>
  <c r="AC113" i="13" s="1"/>
  <c r="AY113" i="13"/>
  <c r="BA113" i="13"/>
  <c r="BB113" i="13" s="1"/>
  <c r="V113" i="13"/>
  <c r="W113" i="13" s="1"/>
  <c r="AK113" i="13"/>
  <c r="AL113" i="13" s="1"/>
  <c r="AQ113" i="13"/>
  <c r="AR113" i="13" s="1"/>
  <c r="AT113" i="13"/>
  <c r="P113" i="13"/>
  <c r="O113" i="13"/>
  <c r="BD113" i="13"/>
  <c r="BE113" i="13" s="1"/>
  <c r="BE116" i="114"/>
  <c r="AL116" i="114"/>
  <c r="BR116" i="114"/>
  <c r="BB116" i="114"/>
  <c r="AI116" i="114"/>
  <c r="BL116" i="114"/>
  <c r="F74" i="135"/>
  <c r="BR116" i="115"/>
  <c r="F78" i="115" s="1"/>
  <c r="BE116" i="115"/>
  <c r="AW116" i="115"/>
  <c r="BK116" i="115"/>
  <c r="F89" i="96"/>
  <c r="F78" i="96"/>
  <c r="F80" i="96"/>
  <c r="BN19" i="112"/>
  <c r="BO19" i="112" s="1"/>
  <c r="BN26" i="112"/>
  <c r="BO26" i="112" s="1"/>
  <c r="BN17" i="112"/>
  <c r="BO17" i="112" s="1"/>
  <c r="BN22" i="112"/>
  <c r="BO22" i="112" s="1"/>
  <c r="BN23" i="112"/>
  <c r="BO23" i="112" s="1"/>
  <c r="BN32" i="112"/>
  <c r="BO32" i="112" s="1"/>
  <c r="BN28" i="112"/>
  <c r="BO28" i="112" s="1"/>
  <c r="BN18" i="112"/>
  <c r="BO18" i="112" s="1"/>
  <c r="BN31" i="112"/>
  <c r="BO31" i="112" s="1"/>
  <c r="BN20" i="112"/>
  <c r="BO20" i="112" s="1"/>
  <c r="BN24" i="112"/>
  <c r="BO24" i="112" s="1"/>
  <c r="BN30" i="112"/>
  <c r="BO30" i="112" s="1"/>
  <c r="BN25" i="112"/>
  <c r="BO25" i="112" s="1"/>
  <c r="BN34" i="112"/>
  <c r="BO34" i="112" s="1"/>
  <c r="BN29" i="112"/>
  <c r="BO29" i="112" s="1"/>
  <c r="BN27" i="112"/>
  <c r="BO27" i="112" s="1"/>
  <c r="BN21" i="112"/>
  <c r="BO21" i="112" s="1"/>
  <c r="BN15" i="112"/>
  <c r="BO15" i="112" s="1"/>
  <c r="BN16" i="112"/>
  <c r="BO16" i="112" s="1"/>
  <c r="BN33" i="112"/>
  <c r="BO33" i="112" s="1"/>
  <c r="BN114" i="15"/>
  <c r="BO114" i="15" s="1"/>
  <c r="BO116" i="15" s="1"/>
  <c r="P114" i="15"/>
  <c r="AN114" i="15"/>
  <c r="AO114" i="15" s="1"/>
  <c r="AO116" i="15" s="1"/>
  <c r="AE114" i="15"/>
  <c r="AF114" i="15" s="1"/>
  <c r="AF116" i="15" s="1"/>
  <c r="BL114" i="15"/>
  <c r="BL116" i="15" s="1"/>
  <c r="M114" i="15"/>
  <c r="AQ114" i="15"/>
  <c r="AR114" i="15" s="1"/>
  <c r="AR116" i="15" s="1"/>
  <c r="R114" i="15"/>
  <c r="T114" i="15" s="1"/>
  <c r="AV114" i="15"/>
  <c r="AW114" i="15" s="1"/>
  <c r="AW116" i="15" s="1"/>
  <c r="AH114" i="15"/>
  <c r="AI114" i="15" s="1"/>
  <c r="AI116" i="15" s="1"/>
  <c r="AB114" i="15"/>
  <c r="AC114" i="15" s="1"/>
  <c r="AC116" i="15" s="1"/>
  <c r="AT114" i="15"/>
  <c r="Y114" i="15"/>
  <c r="Z114" i="15" s="1"/>
  <c r="Z116" i="15" s="1"/>
  <c r="AY114" i="15"/>
  <c r="V114" i="15"/>
  <c r="W114" i="15" s="1"/>
  <c r="AK114" i="15"/>
  <c r="AL114" i="15" s="1"/>
  <c r="AL116" i="15" s="1"/>
  <c r="BQ114" i="15"/>
  <c r="BR114" i="15" s="1"/>
  <c r="BR116" i="15" s="1"/>
  <c r="F78" i="15" s="1"/>
  <c r="BD114" i="15"/>
  <c r="BE114" i="15" s="1"/>
  <c r="BE116" i="15" s="1"/>
  <c r="BG114" i="15"/>
  <c r="BH114" i="15" s="1"/>
  <c r="BH116" i="15" s="1"/>
  <c r="O114" i="15"/>
  <c r="BA114" i="15"/>
  <c r="BB114" i="15" s="1"/>
  <c r="BB116" i="15" s="1"/>
  <c r="AF116" i="110"/>
  <c r="F80" i="110" s="1"/>
  <c r="Z116" i="110"/>
  <c r="BB116" i="110"/>
  <c r="BL116" i="110"/>
  <c r="BN114" i="17"/>
  <c r="BO114" i="17" s="1"/>
  <c r="BL114" i="17"/>
  <c r="M114" i="17"/>
  <c r="AV114" i="17"/>
  <c r="AW114" i="17" s="1"/>
  <c r="BA114" i="17"/>
  <c r="BB114" i="17" s="1"/>
  <c r="BD114" i="17"/>
  <c r="BE114" i="17" s="1"/>
  <c r="AK114" i="17"/>
  <c r="AL114" i="17" s="1"/>
  <c r="AE114" i="17"/>
  <c r="AF114" i="17" s="1"/>
  <c r="Y114" i="17"/>
  <c r="Z114" i="17" s="1"/>
  <c r="AT114" i="17"/>
  <c r="P114" i="17"/>
  <c r="BG114" i="17"/>
  <c r="BH114" i="17" s="1"/>
  <c r="V114" i="17"/>
  <c r="W114" i="17" s="1"/>
  <c r="AY114" i="17"/>
  <c r="O114" i="17"/>
  <c r="R114" i="17"/>
  <c r="T114" i="17" s="1"/>
  <c r="BQ114" i="17"/>
  <c r="BR114" i="17" s="1"/>
  <c r="AQ114" i="17"/>
  <c r="AR114" i="17" s="1"/>
  <c r="AB114" i="17"/>
  <c r="AC114" i="17" s="1"/>
  <c r="AH114" i="17"/>
  <c r="AI114" i="17" s="1"/>
  <c r="AN114" i="17"/>
  <c r="AO114" i="17" s="1"/>
  <c r="AW116" i="98"/>
  <c r="BL116" i="98"/>
  <c r="BR116" i="126"/>
  <c r="F78" i="126" s="1"/>
  <c r="AF116" i="126"/>
  <c r="AW116" i="126"/>
  <c r="BL116" i="126"/>
  <c r="M114" i="13"/>
  <c r="BN114" i="13"/>
  <c r="BO114" i="13" s="1"/>
  <c r="BL114" i="13"/>
  <c r="P114" i="13"/>
  <c r="AV114" i="13"/>
  <c r="AW114" i="13" s="1"/>
  <c r="BG114" i="13"/>
  <c r="BH114" i="13" s="1"/>
  <c r="BA114" i="13"/>
  <c r="BB114" i="13" s="1"/>
  <c r="Y114" i="13"/>
  <c r="Z114" i="13" s="1"/>
  <c r="AN114" i="13"/>
  <c r="AO114" i="13" s="1"/>
  <c r="AK114" i="13"/>
  <c r="AL114" i="13" s="1"/>
  <c r="AH114" i="13"/>
  <c r="AI114" i="13" s="1"/>
  <c r="BD114" i="13"/>
  <c r="BE114" i="13" s="1"/>
  <c r="AQ114" i="13"/>
  <c r="AR114" i="13" s="1"/>
  <c r="AR116" i="13" s="1"/>
  <c r="BQ114" i="13"/>
  <c r="BR114" i="13" s="1"/>
  <c r="BR116" i="13" s="1"/>
  <c r="F78" i="13" s="1"/>
  <c r="AY114" i="13"/>
  <c r="R114" i="13"/>
  <c r="T114" i="13" s="1"/>
  <c r="O114" i="13"/>
  <c r="V114" i="13"/>
  <c r="W114" i="13" s="1"/>
  <c r="AT114" i="13"/>
  <c r="AB114" i="13"/>
  <c r="AC114" i="13" s="1"/>
  <c r="AC116" i="13" s="1"/>
  <c r="AE114" i="13"/>
  <c r="AF114" i="13" s="1"/>
  <c r="AF116" i="114"/>
  <c r="F83" i="64"/>
  <c r="BN114" i="66"/>
  <c r="BO114" i="66" s="1"/>
  <c r="R114" i="66"/>
  <c r="T114" i="66" s="1"/>
  <c r="P114" i="66"/>
  <c r="BA114" i="66"/>
  <c r="BB114" i="66" s="1"/>
  <c r="AT114" i="66"/>
  <c r="AE114" i="66"/>
  <c r="AF114" i="66" s="1"/>
  <c r="V114" i="66"/>
  <c r="W114" i="66" s="1"/>
  <c r="AV114" i="66"/>
  <c r="AW114" i="66" s="1"/>
  <c r="AB114" i="66"/>
  <c r="AC114" i="66" s="1"/>
  <c r="AY114" i="66"/>
  <c r="O114" i="66"/>
  <c r="BD114" i="66"/>
  <c r="BE114" i="66" s="1"/>
  <c r="M114" i="66"/>
  <c r="AN114" i="66"/>
  <c r="AO114" i="66" s="1"/>
  <c r="AH114" i="66"/>
  <c r="AI114" i="66" s="1"/>
  <c r="BG114" i="66"/>
  <c r="BH114" i="66" s="1"/>
  <c r="Y114" i="66"/>
  <c r="Z114" i="66" s="1"/>
  <c r="AK114" i="66"/>
  <c r="AL114" i="66" s="1"/>
  <c r="BQ114" i="66"/>
  <c r="BR114" i="66" s="1"/>
  <c r="AQ114" i="66"/>
  <c r="AR114" i="66" s="1"/>
  <c r="BL114" i="66"/>
  <c r="Z116" i="115"/>
  <c r="F79" i="115" s="1"/>
  <c r="BH116" i="115"/>
  <c r="F88" i="96"/>
  <c r="M114" i="118"/>
  <c r="BN114" i="118"/>
  <c r="BO114" i="118" s="1"/>
  <c r="AB114" i="118"/>
  <c r="AC114" i="118" s="1"/>
  <c r="AE114" i="118"/>
  <c r="AF114" i="118" s="1"/>
  <c r="AT114" i="118"/>
  <c r="BA114" i="118"/>
  <c r="BB114" i="118" s="1"/>
  <c r="AV114" i="118"/>
  <c r="AW114" i="118" s="1"/>
  <c r="BQ114" i="118"/>
  <c r="BR114" i="118" s="1"/>
  <c r="V114" i="118"/>
  <c r="W114" i="118" s="1"/>
  <c r="BD114" i="118"/>
  <c r="BE114" i="118" s="1"/>
  <c r="Y114" i="118"/>
  <c r="Z114" i="118" s="1"/>
  <c r="R114" i="118"/>
  <c r="T114" i="118" s="1"/>
  <c r="AN114" i="118"/>
  <c r="AO114" i="118" s="1"/>
  <c r="AH114" i="118"/>
  <c r="AI114" i="118" s="1"/>
  <c r="AK114" i="118"/>
  <c r="AL114" i="118" s="1"/>
  <c r="AY114" i="118"/>
  <c r="O114" i="118"/>
  <c r="AQ114" i="118"/>
  <c r="AR114" i="118" s="1"/>
  <c r="BG114" i="118"/>
  <c r="BH114" i="118" s="1"/>
  <c r="P114" i="118"/>
  <c r="F111" i="63"/>
  <c r="F107" i="63" s="1"/>
  <c r="F88" i="63"/>
  <c r="AR116" i="110"/>
  <c r="AI116" i="110"/>
  <c r="F87" i="110" s="1"/>
  <c r="BK116" i="110"/>
  <c r="AN113" i="120"/>
  <c r="AO113" i="120" s="1"/>
  <c r="AY113" i="120"/>
  <c r="AB113" i="120"/>
  <c r="AC113" i="120" s="1"/>
  <c r="R113" i="120"/>
  <c r="T113" i="120" s="1"/>
  <c r="AE113" i="120"/>
  <c r="AF113" i="120" s="1"/>
  <c r="Y113" i="120"/>
  <c r="Z113" i="120" s="1"/>
  <c r="BA113" i="120"/>
  <c r="BB113" i="120" s="1"/>
  <c r="BQ113" i="120"/>
  <c r="BR113" i="120" s="1"/>
  <c r="O113" i="120"/>
  <c r="P113" i="120"/>
  <c r="M113" i="120"/>
  <c r="AK113" i="120"/>
  <c r="AL113" i="120" s="1"/>
  <c r="AV113" i="120"/>
  <c r="AW113" i="120" s="1"/>
  <c r="BG113" i="120"/>
  <c r="BH113" i="120" s="1"/>
  <c r="AT113" i="120"/>
  <c r="BD113" i="120"/>
  <c r="BE113" i="120" s="1"/>
  <c r="K114" i="120"/>
  <c r="V113" i="120"/>
  <c r="W113" i="120" s="1"/>
  <c r="AH113" i="120"/>
  <c r="AI113" i="120" s="1"/>
  <c r="AQ113" i="120"/>
  <c r="AR113" i="120" s="1"/>
  <c r="BN113" i="120"/>
  <c r="BO113" i="120" s="1"/>
  <c r="AL116" i="98"/>
  <c r="F88" i="98" s="1"/>
  <c r="BK116" i="98"/>
  <c r="BH116" i="98"/>
  <c r="F112" i="98" s="1"/>
  <c r="Z116" i="126"/>
  <c r="BH116" i="126"/>
  <c r="F112" i="126" s="1"/>
  <c r="AC116" i="126"/>
  <c r="AR116" i="126"/>
  <c r="F74" i="105"/>
  <c r="AW116" i="114"/>
  <c r="F96" i="114" s="1"/>
  <c r="F92" i="114" s="1"/>
  <c r="F103" i="112"/>
  <c r="F99" i="112" s="1"/>
  <c r="F78" i="112"/>
  <c r="F74" i="112" s="1"/>
  <c r="AT113" i="66"/>
  <c r="AN113" i="66"/>
  <c r="AO113" i="66" s="1"/>
  <c r="R113" i="66"/>
  <c r="T113" i="66" s="1"/>
  <c r="BN113" i="66"/>
  <c r="BO113" i="66" s="1"/>
  <c r="BG113" i="66"/>
  <c r="BH113" i="66" s="1"/>
  <c r="AV113" i="66"/>
  <c r="AW113" i="66" s="1"/>
  <c r="BQ113" i="66"/>
  <c r="BR113" i="66" s="1"/>
  <c r="BA113" i="66"/>
  <c r="BB113" i="66" s="1"/>
  <c r="AH113" i="66"/>
  <c r="AI113" i="66" s="1"/>
  <c r="AQ113" i="66"/>
  <c r="AR113" i="66" s="1"/>
  <c r="AY113" i="66"/>
  <c r="AE113" i="66"/>
  <c r="AF113" i="66" s="1"/>
  <c r="V113" i="66"/>
  <c r="W113" i="66" s="1"/>
  <c r="BD113" i="66"/>
  <c r="BE113" i="66" s="1"/>
  <c r="AK113" i="66"/>
  <c r="AL113" i="66" s="1"/>
  <c r="AB113" i="66"/>
  <c r="AC113" i="66" s="1"/>
  <c r="Y113" i="66"/>
  <c r="Z113" i="66" s="1"/>
  <c r="O113" i="66"/>
  <c r="P113" i="66"/>
  <c r="M113" i="66"/>
  <c r="BL113" i="66"/>
  <c r="AO116" i="115"/>
  <c r="AR116" i="115"/>
  <c r="AI116" i="115"/>
  <c r="F87" i="115" s="1"/>
  <c r="AF116" i="115"/>
  <c r="BL116" i="115"/>
  <c r="BB116" i="115"/>
  <c r="F79" i="96"/>
  <c r="AC117" i="118"/>
  <c r="U21" i="10"/>
  <c r="U20" i="10"/>
  <c r="BH117" i="118"/>
  <c r="L14" i="10"/>
  <c r="AF117" i="118"/>
  <c r="L18" i="10"/>
  <c r="BE117" i="118"/>
  <c r="N21" i="10"/>
  <c r="R26" i="10"/>
  <c r="K26" i="10"/>
  <c r="S20" i="10"/>
  <c r="AI117" i="118"/>
  <c r="W12" i="10"/>
  <c r="AL117" i="118"/>
  <c r="M21" i="10"/>
  <c r="T20" i="10"/>
  <c r="J25" i="10"/>
  <c r="O19" i="10"/>
  <c r="V20" i="10"/>
  <c r="K19" i="10"/>
  <c r="N12" i="10"/>
  <c r="O13" i="10"/>
  <c r="M13" i="10"/>
  <c r="AW117" i="118"/>
  <c r="I25" i="10"/>
  <c r="O18" i="10"/>
  <c r="N13" i="10"/>
  <c r="AO117" i="118"/>
  <c r="AR117" i="118"/>
  <c r="BR117" i="118"/>
  <c r="K18" i="10"/>
  <c r="U17" i="10"/>
  <c r="L19" i="10"/>
  <c r="V17" i="10"/>
  <c r="BO117" i="118"/>
  <c r="BB117" i="118"/>
  <c r="Z117" i="118"/>
  <c r="O21" i="10"/>
  <c r="Q26" i="10"/>
  <c r="K21" i="10"/>
  <c r="S18" i="10"/>
  <c r="W20" i="10"/>
  <c r="M22" i="10"/>
  <c r="F80" i="114" l="1"/>
  <c r="AC116" i="17"/>
  <c r="F74" i="95"/>
  <c r="P25" i="10"/>
  <c r="AL116" i="13"/>
  <c r="AF116" i="13"/>
  <c r="F80" i="13" s="1"/>
  <c r="F81" i="98"/>
  <c r="F69" i="104"/>
  <c r="F87" i="126"/>
  <c r="F83" i="126" s="1"/>
  <c r="F83" i="95"/>
  <c r="F69" i="106"/>
  <c r="F103" i="15"/>
  <c r="F99" i="15" s="1"/>
  <c r="F107" i="95"/>
  <c r="BO116" i="104"/>
  <c r="F70" i="104" s="1"/>
  <c r="BO116" i="106"/>
  <c r="F70" i="106" s="1"/>
  <c r="F90" i="115"/>
  <c r="F89" i="115"/>
  <c r="F103" i="115"/>
  <c r="F99" i="115" s="1"/>
  <c r="F83" i="96"/>
  <c r="F80" i="115"/>
  <c r="F90" i="110"/>
  <c r="F112" i="115"/>
  <c r="AI116" i="13"/>
  <c r="BL116" i="13"/>
  <c r="F96" i="126"/>
  <c r="F79" i="110"/>
  <c r="F74" i="96"/>
  <c r="F69" i="96" s="1"/>
  <c r="F81" i="15"/>
  <c r="BO116" i="13"/>
  <c r="BB116" i="13"/>
  <c r="F103" i="13" s="1"/>
  <c r="AR116" i="17"/>
  <c r="F89" i="110"/>
  <c r="BB116" i="17"/>
  <c r="BE116" i="13"/>
  <c r="F111" i="13" s="1"/>
  <c r="BH116" i="17"/>
  <c r="AW116" i="13"/>
  <c r="F96" i="13" s="1"/>
  <c r="F92" i="13" s="1"/>
  <c r="AW116" i="17"/>
  <c r="AL116" i="17"/>
  <c r="BH116" i="13"/>
  <c r="F112" i="13" s="1"/>
  <c r="AO116" i="17"/>
  <c r="AF116" i="17"/>
  <c r="F87" i="114"/>
  <c r="F111" i="114"/>
  <c r="F89" i="98"/>
  <c r="F79" i="126"/>
  <c r="F111" i="98"/>
  <c r="F107" i="98" s="1"/>
  <c r="F81" i="126"/>
  <c r="F87" i="98"/>
  <c r="BE116" i="17"/>
  <c r="BL116" i="17"/>
  <c r="BR116" i="17"/>
  <c r="AO116" i="13"/>
  <c r="F89" i="13" s="1"/>
  <c r="AI116" i="17"/>
  <c r="F69" i="112"/>
  <c r="F80" i="126"/>
  <c r="Z116" i="13"/>
  <c r="F79" i="13" s="1"/>
  <c r="Z116" i="17"/>
  <c r="BO116" i="17"/>
  <c r="F79" i="98"/>
  <c r="F112" i="15"/>
  <c r="BO116" i="112"/>
  <c r="F70" i="112" s="1"/>
  <c r="F103" i="114"/>
  <c r="F99" i="114" s="1"/>
  <c r="X26" i="10"/>
  <c r="F69" i="105"/>
  <c r="F70" i="105"/>
  <c r="BN30" i="98"/>
  <c r="BO30" i="98" s="1"/>
  <c r="BN22" i="98"/>
  <c r="BO22" i="98" s="1"/>
  <c r="BN33" i="98"/>
  <c r="BO33" i="98" s="1"/>
  <c r="BN34" i="98"/>
  <c r="BO34" i="98" s="1"/>
  <c r="BN31" i="98"/>
  <c r="BO31" i="98" s="1"/>
  <c r="BN24" i="98"/>
  <c r="BO24" i="98" s="1"/>
  <c r="BN23" i="98"/>
  <c r="BO23" i="98" s="1"/>
  <c r="BN15" i="98"/>
  <c r="BO15" i="98" s="1"/>
  <c r="BN19" i="98"/>
  <c r="BO19" i="98" s="1"/>
  <c r="BN28" i="98"/>
  <c r="BO28" i="98" s="1"/>
  <c r="BN18" i="98"/>
  <c r="BO18" i="98" s="1"/>
  <c r="BN27" i="98"/>
  <c r="BO27" i="98" s="1"/>
  <c r="BN29" i="98"/>
  <c r="BO29" i="98" s="1"/>
  <c r="BN20" i="98"/>
  <c r="BO20" i="98" s="1"/>
  <c r="BN25" i="98"/>
  <c r="BO25" i="98" s="1"/>
  <c r="BN16" i="98"/>
  <c r="BO16" i="98" s="1"/>
  <c r="BN21" i="98"/>
  <c r="BO21" i="98" s="1"/>
  <c r="BN17" i="98"/>
  <c r="BO17" i="98" s="1"/>
  <c r="BN32" i="98"/>
  <c r="BO32" i="98" s="1"/>
  <c r="BN26" i="98"/>
  <c r="BO26" i="98" s="1"/>
  <c r="BN28" i="110"/>
  <c r="BO28" i="110" s="1"/>
  <c r="BN17" i="110"/>
  <c r="BO17" i="110" s="1"/>
  <c r="BN26" i="110"/>
  <c r="BO26" i="110" s="1"/>
  <c r="BN30" i="110"/>
  <c r="BO30" i="110" s="1"/>
  <c r="BN31" i="110"/>
  <c r="BO31" i="110" s="1"/>
  <c r="BN20" i="110"/>
  <c r="BO20" i="110" s="1"/>
  <c r="BN33" i="110"/>
  <c r="BO33" i="110" s="1"/>
  <c r="BN23" i="110"/>
  <c r="BO23" i="110" s="1"/>
  <c r="BN34" i="110"/>
  <c r="BO34" i="110" s="1"/>
  <c r="BN32" i="110"/>
  <c r="BO32" i="110" s="1"/>
  <c r="BN25" i="110"/>
  <c r="BO25" i="110" s="1"/>
  <c r="BN19" i="110"/>
  <c r="BO19" i="110" s="1"/>
  <c r="BN18" i="110"/>
  <c r="BO18" i="110" s="1"/>
  <c r="BN24" i="110"/>
  <c r="BO24" i="110" s="1"/>
  <c r="BN16" i="110"/>
  <c r="BO16" i="110" s="1"/>
  <c r="BN22" i="110"/>
  <c r="BO22" i="110" s="1"/>
  <c r="BN27" i="110"/>
  <c r="BO27" i="110" s="1"/>
  <c r="BN15" i="110"/>
  <c r="BO15" i="110" s="1"/>
  <c r="BN29" i="110"/>
  <c r="BO29" i="110" s="1"/>
  <c r="BN21" i="110"/>
  <c r="BO21" i="110" s="1"/>
  <c r="AO116" i="118"/>
  <c r="BR116" i="66"/>
  <c r="F78" i="66" s="1"/>
  <c r="AI116" i="66"/>
  <c r="F81" i="13"/>
  <c r="F79" i="15"/>
  <c r="F96" i="15"/>
  <c r="F92" i="15" s="1"/>
  <c r="F96" i="115"/>
  <c r="F92" i="115" s="1"/>
  <c r="F88" i="114"/>
  <c r="F78" i="114"/>
  <c r="F103" i="126"/>
  <c r="F99" i="126" s="1"/>
  <c r="AR116" i="101"/>
  <c r="AR119" i="101"/>
  <c r="BB116" i="101"/>
  <c r="BB119" i="101"/>
  <c r="F111" i="110"/>
  <c r="F83" i="63"/>
  <c r="F81" i="114"/>
  <c r="F103" i="98"/>
  <c r="F99" i="98" s="1"/>
  <c r="BR116" i="118"/>
  <c r="AF116" i="118"/>
  <c r="AL116" i="66"/>
  <c r="AO116" i="66"/>
  <c r="AF116" i="66"/>
  <c r="F87" i="13"/>
  <c r="F92" i="126"/>
  <c r="F88" i="15"/>
  <c r="F80" i="15"/>
  <c r="F70" i="64"/>
  <c r="F111" i="115"/>
  <c r="F111" i="126"/>
  <c r="F107" i="126" s="1"/>
  <c r="AO116" i="101"/>
  <c r="AO119" i="101"/>
  <c r="Z119" i="101"/>
  <c r="Z116" i="101"/>
  <c r="BH116" i="101"/>
  <c r="BH119" i="101"/>
  <c r="BR116" i="101"/>
  <c r="BR119" i="101"/>
  <c r="F103" i="110"/>
  <c r="F99" i="110" s="1"/>
  <c r="F78" i="110"/>
  <c r="F81" i="115"/>
  <c r="F74" i="115" s="1"/>
  <c r="BN21" i="114"/>
  <c r="BO21" i="114" s="1"/>
  <c r="BN22" i="114"/>
  <c r="BO22" i="114" s="1"/>
  <c r="BN16" i="114"/>
  <c r="BO16" i="114" s="1"/>
  <c r="BN23" i="114"/>
  <c r="BO23" i="114" s="1"/>
  <c r="BN18" i="114"/>
  <c r="BO18" i="114" s="1"/>
  <c r="BN24" i="114"/>
  <c r="BO24" i="114" s="1"/>
  <c r="BN19" i="114"/>
  <c r="BO19" i="114" s="1"/>
  <c r="BN28" i="114"/>
  <c r="BO28" i="114" s="1"/>
  <c r="BN15" i="114"/>
  <c r="BO15" i="114" s="1"/>
  <c r="BN25" i="114"/>
  <c r="BO25" i="114" s="1"/>
  <c r="BN27" i="114"/>
  <c r="BO27" i="114" s="1"/>
  <c r="BN29" i="114"/>
  <c r="BO29" i="114" s="1"/>
  <c r="BN26" i="114"/>
  <c r="BO26" i="114" s="1"/>
  <c r="BN17" i="114"/>
  <c r="BO17" i="114" s="1"/>
  <c r="BN20" i="114"/>
  <c r="BO20" i="114" s="1"/>
  <c r="F89" i="114"/>
  <c r="F112" i="110"/>
  <c r="F74" i="63"/>
  <c r="BH116" i="118"/>
  <c r="AL116" i="118"/>
  <c r="Z116" i="118"/>
  <c r="AW116" i="118"/>
  <c r="AC116" i="118"/>
  <c r="BL116" i="66"/>
  <c r="Z116" i="66"/>
  <c r="AC116" i="66"/>
  <c r="BO116" i="66"/>
  <c r="F88" i="13"/>
  <c r="F90" i="15"/>
  <c r="F89" i="15"/>
  <c r="F69" i="64"/>
  <c r="F70" i="135"/>
  <c r="F69" i="135"/>
  <c r="AW116" i="101"/>
  <c r="AW119" i="101"/>
  <c r="AL116" i="101"/>
  <c r="AL119" i="101"/>
  <c r="AF116" i="101"/>
  <c r="AF119" i="101"/>
  <c r="F88" i="115"/>
  <c r="F83" i="115" s="1"/>
  <c r="F79" i="114"/>
  <c r="F90" i="114"/>
  <c r="F80" i="98"/>
  <c r="F81" i="110"/>
  <c r="AK114" i="120"/>
  <c r="AL114" i="120" s="1"/>
  <c r="AH114" i="120"/>
  <c r="AI114" i="120" s="1"/>
  <c r="AQ114" i="120"/>
  <c r="AR114" i="120" s="1"/>
  <c r="BD114" i="120"/>
  <c r="BE114" i="120" s="1"/>
  <c r="Y114" i="120"/>
  <c r="Z114" i="120" s="1"/>
  <c r="V114" i="120"/>
  <c r="W114" i="120" s="1"/>
  <c r="R114" i="120"/>
  <c r="T114" i="120" s="1"/>
  <c r="AE114" i="120"/>
  <c r="AF114" i="120" s="1"/>
  <c r="AN114" i="120"/>
  <c r="AO114" i="120" s="1"/>
  <c r="AY114" i="120"/>
  <c r="BQ114" i="120"/>
  <c r="BR114" i="120" s="1"/>
  <c r="O114" i="120"/>
  <c r="M114" i="120"/>
  <c r="P114" i="120"/>
  <c r="BA114" i="120"/>
  <c r="BB114" i="120" s="1"/>
  <c r="AV114" i="120"/>
  <c r="AW114" i="120" s="1"/>
  <c r="BG114" i="120"/>
  <c r="BH114" i="120" s="1"/>
  <c r="AB114" i="120"/>
  <c r="AC114" i="120" s="1"/>
  <c r="AT114" i="120"/>
  <c r="BN114" i="120"/>
  <c r="BO114" i="120" s="1"/>
  <c r="AR116" i="118"/>
  <c r="AI116" i="118"/>
  <c r="BE116" i="118"/>
  <c r="BB116" i="118"/>
  <c r="AR116" i="66"/>
  <c r="BH116" i="66"/>
  <c r="BE116" i="66"/>
  <c r="AW116" i="66"/>
  <c r="BB116" i="66"/>
  <c r="F90" i="13"/>
  <c r="F111" i="15"/>
  <c r="F87" i="15"/>
  <c r="BO116" i="118"/>
  <c r="BN15" i="115"/>
  <c r="BO15" i="115" s="1"/>
  <c r="BN21" i="115"/>
  <c r="BO21" i="115" s="1"/>
  <c r="BN26" i="115"/>
  <c r="BO26" i="115" s="1"/>
  <c r="BN28" i="115"/>
  <c r="BO28" i="115" s="1"/>
  <c r="BN23" i="115"/>
  <c r="BO23" i="115" s="1"/>
  <c r="BN27" i="115"/>
  <c r="BO27" i="115" s="1"/>
  <c r="BN24" i="115"/>
  <c r="BO24" i="115" s="1"/>
  <c r="BN16" i="115"/>
  <c r="BO16" i="115" s="1"/>
  <c r="BN19" i="115"/>
  <c r="BO19" i="115" s="1"/>
  <c r="BN17" i="115"/>
  <c r="BO17" i="115" s="1"/>
  <c r="BN20" i="115"/>
  <c r="BO20" i="115" s="1"/>
  <c r="BN22" i="115"/>
  <c r="BO22" i="115" s="1"/>
  <c r="BN18" i="115"/>
  <c r="BO18" i="115" s="1"/>
  <c r="BN25" i="115"/>
  <c r="BO25" i="115" s="1"/>
  <c r="BN29" i="115"/>
  <c r="BO29" i="115" s="1"/>
  <c r="AC116" i="101"/>
  <c r="AC119" i="101"/>
  <c r="BE116" i="101"/>
  <c r="BE119" i="101"/>
  <c r="AI116" i="101"/>
  <c r="AI119" i="101"/>
  <c r="F96" i="110"/>
  <c r="F92" i="110" s="1"/>
  <c r="F112" i="114"/>
  <c r="BN28" i="126"/>
  <c r="BO28" i="126" s="1"/>
  <c r="BN29" i="120"/>
  <c r="BO29" i="120" s="1"/>
  <c r="BN20" i="126"/>
  <c r="BO20" i="126" s="1"/>
  <c r="BN31" i="126"/>
  <c r="BO31" i="126" s="1"/>
  <c r="BN23" i="120"/>
  <c r="BO23" i="120" s="1"/>
  <c r="BN22" i="126"/>
  <c r="BO22" i="126" s="1"/>
  <c r="BN28" i="120"/>
  <c r="BO28" i="120" s="1"/>
  <c r="BN24" i="126"/>
  <c r="BO24" i="126" s="1"/>
  <c r="BN16" i="120"/>
  <c r="BO16" i="120" s="1"/>
  <c r="BN26" i="120"/>
  <c r="BO26" i="120" s="1"/>
  <c r="BN34" i="126"/>
  <c r="BO34" i="126" s="1"/>
  <c r="BN17" i="120"/>
  <c r="BO17" i="120" s="1"/>
  <c r="BN31" i="120"/>
  <c r="BO31" i="120" s="1"/>
  <c r="BN25" i="126"/>
  <c r="BO25" i="126" s="1"/>
  <c r="BN30" i="120"/>
  <c r="BO30" i="120" s="1"/>
  <c r="BN15" i="120"/>
  <c r="BO15" i="120" s="1"/>
  <c r="BN24" i="120"/>
  <c r="BO24" i="120" s="1"/>
  <c r="BN17" i="126"/>
  <c r="BO17" i="126" s="1"/>
  <c r="BN27" i="120"/>
  <c r="BO27" i="120" s="1"/>
  <c r="BN21" i="120"/>
  <c r="BO21" i="120" s="1"/>
  <c r="BN18" i="126"/>
  <c r="BO18" i="126" s="1"/>
  <c r="BN29" i="126"/>
  <c r="BO29" i="126" s="1"/>
  <c r="BN15" i="126"/>
  <c r="BO15" i="126" s="1"/>
  <c r="BN26" i="126"/>
  <c r="BO26" i="126" s="1"/>
  <c r="BN30" i="126"/>
  <c r="BO30" i="126" s="1"/>
  <c r="BN22" i="120"/>
  <c r="BO22" i="120" s="1"/>
  <c r="BN16" i="126"/>
  <c r="BO16" i="126" s="1"/>
  <c r="BN32" i="120"/>
  <c r="BO32" i="120" s="1"/>
  <c r="BN27" i="126"/>
  <c r="BO27" i="126" s="1"/>
  <c r="BN21" i="126"/>
  <c r="BO21" i="126" s="1"/>
  <c r="BN23" i="126"/>
  <c r="BO23" i="126" s="1"/>
  <c r="BN19" i="126"/>
  <c r="BO19" i="126" s="1"/>
  <c r="BN20" i="120"/>
  <c r="BO20" i="120" s="1"/>
  <c r="BN19" i="120"/>
  <c r="BO19" i="120" s="1"/>
  <c r="BN32" i="126"/>
  <c r="BO32" i="126" s="1"/>
  <c r="BN25" i="120"/>
  <c r="BO25" i="120" s="1"/>
  <c r="BN33" i="126"/>
  <c r="BO33" i="126" s="1"/>
  <c r="BN18" i="120"/>
  <c r="BO18" i="120" s="1"/>
  <c r="BN34" i="120"/>
  <c r="BO34" i="120" s="1"/>
  <c r="BN33" i="120"/>
  <c r="BO33" i="120" s="1"/>
  <c r="F96" i="98"/>
  <c r="F92" i="98" s="1"/>
  <c r="F78" i="98"/>
  <c r="F88" i="110"/>
  <c r="J18" i="10"/>
  <c r="L12" i="10"/>
  <c r="N22" i="10"/>
  <c r="BR117" i="120"/>
  <c r="O12" i="10"/>
  <c r="I26" i="10"/>
  <c r="BH117" i="120"/>
  <c r="M16" i="10"/>
  <c r="T24" i="10"/>
  <c r="AR117" i="120"/>
  <c r="AI117" i="120"/>
  <c r="U22" i="10"/>
  <c r="I14" i="10"/>
  <c r="K13" i="10"/>
  <c r="V21" i="10"/>
  <c r="AO117" i="120"/>
  <c r="J26" i="10"/>
  <c r="AF117" i="120"/>
  <c r="K12" i="10"/>
  <c r="T17" i="10"/>
  <c r="M20" i="10"/>
  <c r="S22" i="10"/>
  <c r="L13" i="10"/>
  <c r="AC117" i="120"/>
  <c r="R20" i="10"/>
  <c r="W17" i="10"/>
  <c r="J19" i="10"/>
  <c r="BO117" i="120"/>
  <c r="T21" i="10"/>
  <c r="U24" i="10"/>
  <c r="AL117" i="120"/>
  <c r="W21" i="10"/>
  <c r="U13" i="10"/>
  <c r="I18" i="10"/>
  <c r="U14" i="10"/>
  <c r="BE117" i="120"/>
  <c r="V22" i="10"/>
  <c r="BB117" i="120"/>
  <c r="N20" i="10"/>
  <c r="Z117" i="120"/>
  <c r="AW117" i="120"/>
  <c r="T22" i="10"/>
  <c r="J14" i="10"/>
  <c r="S21" i="10"/>
  <c r="I19" i="10"/>
  <c r="T12" i="10"/>
  <c r="O16" i="10"/>
  <c r="S17" i="10"/>
  <c r="Q20" i="10"/>
  <c r="S12" i="10"/>
  <c r="W24" i="10"/>
  <c r="R12" i="10"/>
  <c r="L21" i="10"/>
  <c r="N16" i="10"/>
  <c r="V24" i="10"/>
  <c r="Q18" i="10"/>
  <c r="V14" i="10"/>
  <c r="R18" i="10"/>
  <c r="F83" i="98" l="1"/>
  <c r="P19" i="10"/>
  <c r="P18" i="10"/>
  <c r="F69" i="95"/>
  <c r="F70" i="95"/>
  <c r="F107" i="115"/>
  <c r="F69" i="115" s="1"/>
  <c r="F70" i="96"/>
  <c r="F112" i="66"/>
  <c r="F99" i="13"/>
  <c r="F78" i="101"/>
  <c r="F70" i="101"/>
  <c r="F103" i="66"/>
  <c r="F99" i="66" s="1"/>
  <c r="F90" i="66"/>
  <c r="F79" i="66"/>
  <c r="F96" i="66"/>
  <c r="F92" i="66" s="1"/>
  <c r="F111" i="66"/>
  <c r="F107" i="114"/>
  <c r="F111" i="118"/>
  <c r="F74" i="114"/>
  <c r="F111" i="101"/>
  <c r="F74" i="110"/>
  <c r="F88" i="101"/>
  <c r="F87" i="101"/>
  <c r="F81" i="101"/>
  <c r="F80" i="101"/>
  <c r="F96" i="101"/>
  <c r="F92" i="101" s="1"/>
  <c r="F80" i="17"/>
  <c r="F107" i="15"/>
  <c r="F88" i="17"/>
  <c r="F83" i="110"/>
  <c r="F81" i="17"/>
  <c r="F103" i="17"/>
  <c r="F99" i="17" s="1"/>
  <c r="F90" i="17"/>
  <c r="F83" i="15"/>
  <c r="F103" i="118"/>
  <c r="F99" i="118" s="1"/>
  <c r="F74" i="126"/>
  <c r="F69" i="126" s="1"/>
  <c r="F74" i="98"/>
  <c r="F69" i="98" s="1"/>
  <c r="F79" i="17"/>
  <c r="F74" i="13"/>
  <c r="F87" i="17"/>
  <c r="F78" i="17"/>
  <c r="F81" i="118"/>
  <c r="F112" i="118"/>
  <c r="F88" i="66"/>
  <c r="F112" i="17"/>
  <c r="F96" i="17"/>
  <c r="F92" i="17" s="1"/>
  <c r="F90" i="118"/>
  <c r="F89" i="17"/>
  <c r="F81" i="66"/>
  <c r="F111" i="17"/>
  <c r="F83" i="114"/>
  <c r="F96" i="118"/>
  <c r="F92" i="118" s="1"/>
  <c r="F79" i="118"/>
  <c r="F83" i="13"/>
  <c r="F89" i="66"/>
  <c r="F88" i="118"/>
  <c r="F80" i="66"/>
  <c r="BO116" i="110"/>
  <c r="F112" i="101"/>
  <c r="F89" i="101"/>
  <c r="F79" i="101"/>
  <c r="P26" i="10"/>
  <c r="X20" i="10"/>
  <c r="P14" i="10"/>
  <c r="X18" i="10"/>
  <c r="BO116" i="120"/>
  <c r="BO116" i="115"/>
  <c r="BH116" i="120"/>
  <c r="AO116" i="120"/>
  <c r="Z116" i="120"/>
  <c r="AL116" i="120"/>
  <c r="F69" i="63"/>
  <c r="F70" i="63"/>
  <c r="F87" i="118"/>
  <c r="F78" i="118"/>
  <c r="F107" i="110"/>
  <c r="F90" i="101"/>
  <c r="F74" i="15"/>
  <c r="F107" i="13"/>
  <c r="BO116" i="126"/>
  <c r="AW116" i="120"/>
  <c r="AF116" i="120"/>
  <c r="BE116" i="120"/>
  <c r="F89" i="118"/>
  <c r="BB116" i="120"/>
  <c r="BR116" i="120"/>
  <c r="F78" i="120" s="1"/>
  <c r="AR116" i="120"/>
  <c r="BO116" i="114"/>
  <c r="F103" i="101"/>
  <c r="F99" i="101" s="1"/>
  <c r="F87" i="66"/>
  <c r="BO116" i="98"/>
  <c r="AC116" i="120"/>
  <c r="AI116" i="120"/>
  <c r="F80" i="118"/>
  <c r="J12" i="10"/>
  <c r="L22" i="10"/>
  <c r="J21" i="10"/>
  <c r="Q21" i="10"/>
  <c r="R17" i="10"/>
  <c r="K20" i="10"/>
  <c r="R22" i="10"/>
  <c r="N15" i="10"/>
  <c r="I12" i="10"/>
  <c r="I13" i="10"/>
  <c r="S14" i="10"/>
  <c r="S13" i="10"/>
  <c r="I17" i="10"/>
  <c r="W22" i="10"/>
  <c r="S24" i="10"/>
  <c r="T14" i="10"/>
  <c r="M15" i="10"/>
  <c r="K22" i="10"/>
  <c r="N17" i="10"/>
  <c r="M23" i="10"/>
  <c r="I21" i="10"/>
  <c r="J16" i="10"/>
  <c r="W14" i="10"/>
  <c r="J13" i="10"/>
  <c r="K16" i="10"/>
  <c r="T13" i="10"/>
  <c r="U15" i="10"/>
  <c r="V13" i="10"/>
  <c r="M17" i="10"/>
  <c r="L20" i="10"/>
  <c r="Q12" i="10"/>
  <c r="R21" i="10"/>
  <c r="O22" i="10"/>
  <c r="R24" i="10"/>
  <c r="N23" i="10"/>
  <c r="O20" i="10"/>
  <c r="L16" i="10"/>
  <c r="V15" i="10"/>
  <c r="W13" i="10"/>
  <c r="F107" i="66" l="1"/>
  <c r="P12" i="10"/>
  <c r="F70" i="115"/>
  <c r="X12" i="10"/>
  <c r="F70" i="126"/>
  <c r="F69" i="13"/>
  <c r="F74" i="66"/>
  <c r="F69" i="114"/>
  <c r="F70" i="114"/>
  <c r="F74" i="101"/>
  <c r="F107" i="101"/>
  <c r="F107" i="118"/>
  <c r="F83" i="101"/>
  <c r="F83" i="66"/>
  <c r="F83" i="118"/>
  <c r="F107" i="17"/>
  <c r="F74" i="17"/>
  <c r="F74" i="118"/>
  <c r="F70" i="98"/>
  <c r="F70" i="13"/>
  <c r="H117" i="154" s="1"/>
  <c r="H112" i="154" s="1"/>
  <c r="F83" i="17"/>
  <c r="F81" i="120"/>
  <c r="F87" i="120"/>
  <c r="P21" i="10"/>
  <c r="X21" i="10"/>
  <c r="P13" i="10"/>
  <c r="F111" i="120"/>
  <c r="F89" i="120"/>
  <c r="F69" i="110"/>
  <c r="F90" i="120"/>
  <c r="F80" i="120"/>
  <c r="F112" i="120"/>
  <c r="F96" i="120"/>
  <c r="F92" i="120" s="1"/>
  <c r="F70" i="15"/>
  <c r="L117" i="154" s="1"/>
  <c r="L112" i="154" s="1"/>
  <c r="F69" i="15"/>
  <c r="F88" i="120"/>
  <c r="F103" i="120"/>
  <c r="F99" i="120" s="1"/>
  <c r="F79" i="120"/>
  <c r="F70" i="110"/>
  <c r="K15" i="10"/>
  <c r="K23" i="10"/>
  <c r="Q24" i="10"/>
  <c r="S15" i="10"/>
  <c r="Q22" i="10"/>
  <c r="L23" i="10"/>
  <c r="O23" i="10"/>
  <c r="R14" i="10"/>
  <c r="J20" i="10"/>
  <c r="Q17" i="10"/>
  <c r="T15" i="10"/>
  <c r="I20" i="10"/>
  <c r="Q14" i="10"/>
  <c r="I22" i="10"/>
  <c r="L17" i="10"/>
  <c r="L15" i="10"/>
  <c r="R13" i="10"/>
  <c r="I16" i="10"/>
  <c r="K17" i="10"/>
  <c r="W15" i="10"/>
  <c r="O17" i="10"/>
  <c r="U23" i="10"/>
  <c r="J22" i="10"/>
  <c r="V23" i="10"/>
  <c r="Q13" i="10"/>
  <c r="O15" i="10"/>
  <c r="H115" i="154" l="1"/>
  <c r="H113" i="154"/>
  <c r="H114" i="154" s="1"/>
  <c r="L113" i="154"/>
  <c r="L114" i="154" s="1"/>
  <c r="L115" i="154"/>
  <c r="X22" i="10"/>
  <c r="F70" i="66"/>
  <c r="F69" i="66"/>
  <c r="P22" i="10"/>
  <c r="F69" i="101"/>
  <c r="F69" i="118"/>
  <c r="F70" i="118" s="1"/>
  <c r="F70" i="17"/>
  <c r="X24" i="10"/>
  <c r="F69" i="17"/>
  <c r="P16" i="10"/>
  <c r="X13" i="10"/>
  <c r="F83" i="120"/>
  <c r="P20" i="10"/>
  <c r="X17" i="10"/>
  <c r="X14" i="10"/>
  <c r="F74" i="120"/>
  <c r="F107" i="120"/>
  <c r="Q15" i="10"/>
  <c r="J23" i="10"/>
  <c r="R15" i="10"/>
  <c r="T23" i="10"/>
  <c r="J17" i="10"/>
  <c r="W23" i="10"/>
  <c r="S23" i="10"/>
  <c r="I23" i="10"/>
  <c r="I15" i="10"/>
  <c r="J15" i="10"/>
  <c r="P15" i="10" l="1"/>
  <c r="P17" i="10"/>
  <c r="X15" i="10"/>
  <c r="P23" i="10"/>
  <c r="F69" i="120"/>
  <c r="R23" i="10"/>
  <c r="F70" i="120" l="1"/>
  <c r="Q23" i="10"/>
  <c r="X23" i="10" l="1"/>
</calcChain>
</file>

<file path=xl/sharedStrings.xml><?xml version="1.0" encoding="utf-8"?>
<sst xmlns="http://schemas.openxmlformats.org/spreadsheetml/2006/main" count="9908" uniqueCount="728">
  <si>
    <t>2021年発電コストレビューシート</t>
    <rPh sb="4" eb="5">
      <t>ネン</t>
    </rPh>
    <rPh sb="5" eb="7">
      <t>ハツデン</t>
    </rPh>
    <phoneticPr fontId="2"/>
  </si>
  <si>
    <r>
      <rPr>
        <sz val="9"/>
        <color indexed="8"/>
        <rFont val="ＭＳ Ｐゴシック"/>
        <family val="3"/>
        <charset val="128"/>
      </rPr>
      <t>割引率</t>
    </r>
    <rPh sb="0" eb="2">
      <t>ワリビキ</t>
    </rPh>
    <rPh sb="2" eb="3">
      <t>リツ</t>
    </rPh>
    <phoneticPr fontId="2"/>
  </si>
  <si>
    <t>%</t>
    <phoneticPr fontId="2"/>
  </si>
  <si>
    <r>
      <rPr>
        <sz val="9"/>
        <color indexed="8"/>
        <rFont val="ＭＳ Ｐゴシック"/>
        <family val="3"/>
        <charset val="128"/>
      </rPr>
      <t>為替レート</t>
    </r>
    <rPh sb="0" eb="2">
      <t>カワセ</t>
    </rPh>
    <phoneticPr fontId="2"/>
  </si>
  <si>
    <r>
      <rPr>
        <sz val="9"/>
        <color indexed="8"/>
        <rFont val="ＭＳ Ｐゴシック"/>
        <family val="3"/>
        <charset val="128"/>
      </rPr>
      <t>（円</t>
    </r>
    <r>
      <rPr>
        <sz val="9"/>
        <color indexed="8"/>
        <rFont val="Arial"/>
        <family val="2"/>
      </rPr>
      <t>/</t>
    </r>
    <r>
      <rPr>
        <sz val="9"/>
        <color indexed="8"/>
        <rFont val="ＭＳ Ｐゴシック"/>
        <family val="3"/>
        <charset val="128"/>
      </rPr>
      <t>ドル）</t>
    </r>
    <rPh sb="1" eb="2">
      <t>エン</t>
    </rPh>
    <phoneticPr fontId="2"/>
  </si>
  <si>
    <r>
      <rPr>
        <sz val="9"/>
        <color indexed="8"/>
        <rFont val="ＭＳ Ｐゴシック"/>
        <family val="3"/>
        <charset val="128"/>
      </rPr>
      <t>燃料価格上昇率</t>
    </r>
    <rPh sb="0" eb="2">
      <t>ネンリョウ</t>
    </rPh>
    <rPh sb="2" eb="4">
      <t>カカク</t>
    </rPh>
    <rPh sb="4" eb="6">
      <t>ジョウショウ</t>
    </rPh>
    <rPh sb="6" eb="7">
      <t>リツ</t>
    </rPh>
    <phoneticPr fontId="2"/>
  </si>
  <si>
    <r>
      <t>CO2</t>
    </r>
    <r>
      <rPr>
        <sz val="9"/>
        <color indexed="8"/>
        <rFont val="ＭＳ Ｐゴシック"/>
        <family val="3"/>
        <charset val="128"/>
      </rPr>
      <t>価格見通し</t>
    </r>
    <rPh sb="3" eb="5">
      <t>カカク</t>
    </rPh>
    <rPh sb="5" eb="7">
      <t>ミトオ</t>
    </rPh>
    <phoneticPr fontId="2"/>
  </si>
  <si>
    <t>太陽光発電導入見通し</t>
    <rPh sb="0" eb="3">
      <t>タイヨウコウ</t>
    </rPh>
    <rPh sb="3" eb="5">
      <t>ハツデン</t>
    </rPh>
    <rPh sb="5" eb="7">
      <t>ドウニュウ</t>
    </rPh>
    <rPh sb="7" eb="9">
      <t>ミトオ</t>
    </rPh>
    <phoneticPr fontId="2"/>
  </si>
  <si>
    <t>収斂なし</t>
  </si>
  <si>
    <t>陸上風力建設費見通し</t>
    <rPh sb="0" eb="2">
      <t>リクジョウ</t>
    </rPh>
    <rPh sb="2" eb="4">
      <t>フウリョク</t>
    </rPh>
    <rPh sb="4" eb="7">
      <t>ケンセツヒ</t>
    </rPh>
    <rPh sb="7" eb="9">
      <t>ミトオ</t>
    </rPh>
    <phoneticPr fontId="2"/>
  </si>
  <si>
    <t>低減率10%と低減率47%の平均</t>
  </si>
  <si>
    <t>コジェネ・燃料電池</t>
    <rPh sb="5" eb="7">
      <t>ネンリョウ</t>
    </rPh>
    <rPh sb="7" eb="9">
      <t>デンチ</t>
    </rPh>
    <phoneticPr fontId="2"/>
  </si>
  <si>
    <t>CIF価格</t>
  </si>
  <si>
    <r>
      <rPr>
        <sz val="9"/>
        <color indexed="8"/>
        <rFont val="ＭＳ Ｐゴシック"/>
        <family val="3"/>
        <charset val="128"/>
      </rPr>
      <t>（単位</t>
    </r>
    <r>
      <rPr>
        <sz val="9"/>
        <color indexed="8"/>
        <rFont val="Arial"/>
        <family val="2"/>
      </rPr>
      <t xml:space="preserve">: </t>
    </r>
    <r>
      <rPr>
        <sz val="9"/>
        <color indexed="8"/>
        <rFont val="ＭＳ Ｐゴシック"/>
        <family val="3"/>
        <charset val="128"/>
      </rPr>
      <t>円</t>
    </r>
    <r>
      <rPr>
        <sz val="9"/>
        <color indexed="8"/>
        <rFont val="Arial"/>
        <family val="2"/>
      </rPr>
      <t>/kWh</t>
    </r>
    <r>
      <rPr>
        <sz val="9"/>
        <color indexed="8"/>
        <rFont val="ＭＳ Ｐゴシック"/>
        <family val="3"/>
        <charset val="128"/>
      </rPr>
      <t>）</t>
    </r>
    <rPh sb="1" eb="3">
      <t>タンイ</t>
    </rPh>
    <rPh sb="5" eb="6">
      <t>エン</t>
    </rPh>
    <phoneticPr fontId="2"/>
  </si>
  <si>
    <r>
      <rPr>
        <b/>
        <sz val="9"/>
        <color indexed="8"/>
        <rFont val="ＭＳ Ｐゴシック"/>
        <family val="3"/>
        <charset val="128"/>
      </rPr>
      <t>電源種類</t>
    </r>
    <rPh sb="0" eb="2">
      <t>デンゲン</t>
    </rPh>
    <rPh sb="2" eb="4">
      <t>シュルイ</t>
    </rPh>
    <phoneticPr fontId="2"/>
  </si>
  <si>
    <t>設備利用率（％）</t>
    <rPh sb="0" eb="2">
      <t>セツビ</t>
    </rPh>
    <rPh sb="2" eb="5">
      <t>リヨウリツ</t>
    </rPh>
    <phoneticPr fontId="2"/>
  </si>
  <si>
    <t>設備利用率（％）</t>
  </si>
  <si>
    <t>稼働年数（年）</t>
    <rPh sb="0" eb="2">
      <t>カドウ</t>
    </rPh>
    <rPh sb="2" eb="4">
      <t>ネンスウ</t>
    </rPh>
    <rPh sb="5" eb="6">
      <t>ネン</t>
    </rPh>
    <phoneticPr fontId="2"/>
  </si>
  <si>
    <t>稼働年数（年）</t>
  </si>
  <si>
    <r>
      <t>2020</t>
    </r>
    <r>
      <rPr>
        <b/>
        <sz val="9"/>
        <color indexed="8"/>
        <rFont val="ＭＳ Ｐゴシック"/>
        <family val="3"/>
        <charset val="128"/>
      </rPr>
      <t>年</t>
    </r>
    <rPh sb="4" eb="5">
      <t>ネン</t>
    </rPh>
    <phoneticPr fontId="2"/>
  </si>
  <si>
    <r>
      <t>2030</t>
    </r>
    <r>
      <rPr>
        <b/>
        <sz val="9"/>
        <color indexed="8"/>
        <rFont val="ＭＳ Ｐゴシック"/>
        <family val="3"/>
        <charset val="128"/>
      </rPr>
      <t>年</t>
    </r>
    <rPh sb="4" eb="5">
      <t>ネン</t>
    </rPh>
    <phoneticPr fontId="2"/>
  </si>
  <si>
    <r>
      <t>2014</t>
    </r>
    <r>
      <rPr>
        <sz val="9"/>
        <color indexed="8"/>
        <rFont val="ＭＳ Ｐゴシック"/>
        <family val="3"/>
        <charset val="128"/>
      </rPr>
      <t>年</t>
    </r>
    <rPh sb="4" eb="5">
      <t>ネン</t>
    </rPh>
    <phoneticPr fontId="2"/>
  </si>
  <si>
    <r>
      <t>2020</t>
    </r>
    <r>
      <rPr>
        <sz val="9"/>
        <color indexed="8"/>
        <rFont val="ＭＳ Ｐゴシック"/>
        <family val="3"/>
        <charset val="128"/>
      </rPr>
      <t>年</t>
    </r>
    <rPh sb="4" eb="5">
      <t>ネン</t>
    </rPh>
    <phoneticPr fontId="2"/>
  </si>
  <si>
    <r>
      <t>2030</t>
    </r>
    <r>
      <rPr>
        <sz val="9"/>
        <color indexed="8"/>
        <rFont val="ＭＳ Ｐゴシック"/>
        <family val="3"/>
        <charset val="128"/>
      </rPr>
      <t>年</t>
    </r>
    <rPh sb="4" eb="5">
      <t>ネン</t>
    </rPh>
    <phoneticPr fontId="2"/>
  </si>
  <si>
    <t>合計（政策
経費含む）</t>
    <rPh sb="0" eb="2">
      <t>ゴウケイ</t>
    </rPh>
    <rPh sb="3" eb="5">
      <t>セイサク</t>
    </rPh>
    <rPh sb="6" eb="8">
      <t>ケイヒ</t>
    </rPh>
    <rPh sb="8" eb="9">
      <t>フク</t>
    </rPh>
    <phoneticPr fontId="2"/>
  </si>
  <si>
    <t>合計（政策
経費除く）</t>
    <rPh sb="0" eb="2">
      <t>ゴウケイ</t>
    </rPh>
    <rPh sb="3" eb="5">
      <t>セイサク</t>
    </rPh>
    <rPh sb="6" eb="8">
      <t>ケイヒ</t>
    </rPh>
    <rPh sb="8" eb="9">
      <t>ノゾ</t>
    </rPh>
    <phoneticPr fontId="2"/>
  </si>
  <si>
    <r>
      <rPr>
        <sz val="9"/>
        <color indexed="8"/>
        <rFont val="ＭＳ Ｐゴシック"/>
        <family val="3"/>
        <charset val="128"/>
      </rPr>
      <t>資本費</t>
    </r>
    <rPh sb="0" eb="2">
      <t>シホン</t>
    </rPh>
    <rPh sb="2" eb="3">
      <t>ヒ</t>
    </rPh>
    <phoneticPr fontId="2"/>
  </si>
  <si>
    <t>運転
維持費</t>
    <rPh sb="0" eb="2">
      <t>ウンテン</t>
    </rPh>
    <rPh sb="3" eb="6">
      <t>イジヒ</t>
    </rPh>
    <phoneticPr fontId="2"/>
  </si>
  <si>
    <r>
      <rPr>
        <sz val="9"/>
        <color indexed="8"/>
        <rFont val="ＭＳ Ｐゴシック"/>
        <family val="3"/>
        <charset val="128"/>
      </rPr>
      <t>燃料費</t>
    </r>
    <rPh sb="0" eb="3">
      <t>ネンリョウヒ</t>
    </rPh>
    <phoneticPr fontId="2"/>
  </si>
  <si>
    <t>社会的
費用</t>
    <rPh sb="0" eb="3">
      <t>シャカイテキ</t>
    </rPh>
    <rPh sb="4" eb="6">
      <t>ヒヨウ</t>
    </rPh>
    <phoneticPr fontId="2"/>
  </si>
  <si>
    <r>
      <rPr>
        <sz val="9"/>
        <color indexed="8"/>
        <rFont val="ＭＳ Ｐゴシック"/>
        <family val="3"/>
        <charset val="128"/>
      </rPr>
      <t>廃熱価値</t>
    </r>
    <rPh sb="0" eb="2">
      <t>ハイネツ</t>
    </rPh>
    <rPh sb="2" eb="4">
      <t>カチ</t>
    </rPh>
    <phoneticPr fontId="2"/>
  </si>
  <si>
    <t>政策経費</t>
    <rPh sb="0" eb="2">
      <t>セイサク</t>
    </rPh>
    <rPh sb="2" eb="4">
      <t>ケイヒ</t>
    </rPh>
    <phoneticPr fontId="2"/>
  </si>
  <si>
    <r>
      <rPr>
        <sz val="9"/>
        <color indexed="8"/>
        <rFont val="ＭＳ Ｐゴシック"/>
        <family val="3"/>
        <charset val="128"/>
      </rPr>
      <t>原子力</t>
    </r>
    <rPh sb="0" eb="3">
      <t>ゲンシリョク</t>
    </rPh>
    <phoneticPr fontId="2"/>
  </si>
  <si>
    <r>
      <rPr>
        <sz val="9"/>
        <color indexed="8"/>
        <rFont val="ＭＳ Ｐゴシック"/>
        <family val="3"/>
        <charset val="128"/>
      </rPr>
      <t>石炭火力</t>
    </r>
    <rPh sb="0" eb="2">
      <t>セキタン</t>
    </rPh>
    <rPh sb="2" eb="4">
      <t>カリョク</t>
    </rPh>
    <phoneticPr fontId="2"/>
  </si>
  <si>
    <r>
      <t>LNG</t>
    </r>
    <r>
      <rPr>
        <sz val="9"/>
        <color indexed="8"/>
        <rFont val="ＭＳ Ｐゴシック"/>
        <family val="3"/>
        <charset val="128"/>
      </rPr>
      <t>火力</t>
    </r>
    <rPh sb="3" eb="5">
      <t>カリョク</t>
    </rPh>
    <phoneticPr fontId="2"/>
  </si>
  <si>
    <r>
      <rPr>
        <sz val="9"/>
        <color indexed="8"/>
        <rFont val="ＭＳ Ｐゴシック"/>
        <family val="3"/>
        <charset val="128"/>
      </rPr>
      <t>石油火力</t>
    </r>
    <rPh sb="0" eb="2">
      <t>セキユ</t>
    </rPh>
    <rPh sb="2" eb="4">
      <t>カリョク</t>
    </rPh>
    <phoneticPr fontId="2"/>
  </si>
  <si>
    <t>太陽光（事業用）</t>
    <rPh sb="0" eb="3">
      <t>タイヨウコウ</t>
    </rPh>
    <rPh sb="4" eb="7">
      <t>ジギョウヨウ</t>
    </rPh>
    <phoneticPr fontId="2"/>
  </si>
  <si>
    <t>太陽光（住宅用）</t>
    <rPh sb="6" eb="7">
      <t>ヨウ</t>
    </rPh>
    <phoneticPr fontId="2"/>
  </si>
  <si>
    <t>陸上風力</t>
    <rPh sb="0" eb="2">
      <t>リクジョウ</t>
    </rPh>
    <rPh sb="2" eb="4">
      <t>フウリョク</t>
    </rPh>
    <phoneticPr fontId="2"/>
  </si>
  <si>
    <t>洋上風力</t>
    <rPh sb="0" eb="2">
      <t>ヨウジョウ</t>
    </rPh>
    <rPh sb="2" eb="4">
      <t>フウリョク</t>
    </rPh>
    <phoneticPr fontId="2"/>
  </si>
  <si>
    <t>小水力</t>
    <rPh sb="0" eb="1">
      <t>ショウ</t>
    </rPh>
    <rPh sb="1" eb="3">
      <t>スイリョク</t>
    </rPh>
    <phoneticPr fontId="2"/>
  </si>
  <si>
    <t>中水力</t>
    <rPh sb="0" eb="1">
      <t>チュウ</t>
    </rPh>
    <rPh sb="1" eb="3">
      <t>スイリョク</t>
    </rPh>
    <phoneticPr fontId="2"/>
  </si>
  <si>
    <t>地熱</t>
    <rPh sb="0" eb="2">
      <t>チネツ</t>
    </rPh>
    <phoneticPr fontId="2"/>
  </si>
  <si>
    <t>バイオマス（石炭混焼）</t>
    <phoneticPr fontId="2"/>
  </si>
  <si>
    <t>バイオマス（木質専焼）</t>
    <rPh sb="6" eb="7">
      <t>キ</t>
    </rPh>
    <rPh sb="7" eb="8">
      <t>シツ</t>
    </rPh>
    <rPh sb="8" eb="10">
      <t>センショウ</t>
    </rPh>
    <phoneticPr fontId="2"/>
  </si>
  <si>
    <r>
      <rPr>
        <sz val="9"/>
        <color indexed="8"/>
        <rFont val="ＭＳ Ｐゴシック"/>
        <family val="3"/>
        <charset val="128"/>
      </rPr>
      <t>ガスコジェネ</t>
    </r>
  </si>
  <si>
    <r>
      <rPr>
        <sz val="9"/>
        <color indexed="8"/>
        <rFont val="ＭＳ Ｐゴシック"/>
        <family val="3"/>
        <charset val="128"/>
      </rPr>
      <t>石油コジェネ</t>
    </r>
    <rPh sb="0" eb="2">
      <t>セキユ</t>
    </rPh>
    <phoneticPr fontId="2"/>
  </si>
  <si>
    <r>
      <rPr>
        <sz val="9"/>
        <color indexed="8"/>
        <rFont val="ＭＳ Ｐゴシック"/>
        <family val="3"/>
        <charset val="128"/>
      </rPr>
      <t>燃料電池</t>
    </r>
    <rPh sb="0" eb="2">
      <t>ネンリョウ</t>
    </rPh>
    <rPh sb="2" eb="4">
      <t>デンチ</t>
    </rPh>
    <phoneticPr fontId="2"/>
  </si>
  <si>
    <t>ＩＧＣＣ</t>
    <phoneticPr fontId="2"/>
  </si>
  <si>
    <t>-</t>
  </si>
  <si>
    <t>CO2分離回収型石炭火力</t>
    <phoneticPr fontId="2"/>
  </si>
  <si>
    <t>-</t>
    <phoneticPr fontId="2"/>
  </si>
  <si>
    <t>CO2分離回収型IGCC</t>
    <phoneticPr fontId="2"/>
  </si>
  <si>
    <t>CO2分離回収型LNG火力</t>
    <phoneticPr fontId="2"/>
  </si>
  <si>
    <t>水素専焼火力</t>
    <rPh sb="0" eb="2">
      <t>スイソ</t>
    </rPh>
    <rPh sb="2" eb="3">
      <t>セン</t>
    </rPh>
    <rPh sb="3" eb="4">
      <t>ショウ</t>
    </rPh>
    <rPh sb="4" eb="6">
      <t>カリョク</t>
    </rPh>
    <phoneticPr fontId="2"/>
  </si>
  <si>
    <t>水素混焼火力</t>
    <rPh sb="0" eb="2">
      <t>スイソ</t>
    </rPh>
    <rPh sb="2" eb="3">
      <t>マ</t>
    </rPh>
    <rPh sb="3" eb="4">
      <t>ヤ</t>
    </rPh>
    <rPh sb="4" eb="6">
      <t>カリョク</t>
    </rPh>
    <phoneticPr fontId="2"/>
  </si>
  <si>
    <t>アンモニア混焼火力</t>
    <rPh sb="5" eb="6">
      <t>マ</t>
    </rPh>
    <rPh sb="6" eb="7">
      <t>ヤ</t>
    </rPh>
    <rPh sb="7" eb="9">
      <t>カリョク</t>
    </rPh>
    <phoneticPr fontId="2"/>
  </si>
  <si>
    <t>※黄色のセルについて、任意の値を選択または設定してください</t>
    <rPh sb="1" eb="3">
      <t>キイロ</t>
    </rPh>
    <rPh sb="11" eb="13">
      <t>ニンイ</t>
    </rPh>
    <rPh sb="14" eb="15">
      <t>アタイ</t>
    </rPh>
    <rPh sb="16" eb="18">
      <t>センタク</t>
    </rPh>
    <rPh sb="21" eb="23">
      <t>セッテイ</t>
    </rPh>
    <phoneticPr fontId="2"/>
  </si>
  <si>
    <r>
      <rPr>
        <b/>
        <sz val="12"/>
        <color indexed="8"/>
        <rFont val="ＭＳ Ｐゴシック"/>
        <family val="3"/>
        <charset val="128"/>
      </rPr>
      <t>発電コスト（政策経費含む、円</t>
    </r>
    <r>
      <rPr>
        <b/>
        <sz val="12"/>
        <color indexed="8"/>
        <rFont val="Arial"/>
        <family val="2"/>
      </rPr>
      <t>/kWh)</t>
    </r>
    <rPh sb="0" eb="2">
      <t>ハツデン</t>
    </rPh>
    <rPh sb="6" eb="8">
      <t>セイサク</t>
    </rPh>
    <rPh sb="8" eb="10">
      <t>ケイヒ</t>
    </rPh>
    <rPh sb="10" eb="11">
      <t>フク</t>
    </rPh>
    <rPh sb="13" eb="14">
      <t>エン</t>
    </rPh>
    <phoneticPr fontId="2"/>
  </si>
  <si>
    <t>SDS</t>
    <phoneticPr fontId="2"/>
  </si>
  <si>
    <t>発電コスト計算表</t>
    <rPh sb="0" eb="2">
      <t>ハツデン</t>
    </rPh>
    <rPh sb="5" eb="7">
      <t>ケイサン</t>
    </rPh>
    <rPh sb="7" eb="8">
      <t>ヒョウ</t>
    </rPh>
    <phoneticPr fontId="2"/>
  </si>
  <si>
    <r>
      <rPr>
        <b/>
        <sz val="11"/>
        <color indexed="8"/>
        <rFont val="ＭＳ Ｐゴシック"/>
        <family val="3"/>
        <charset val="128"/>
      </rPr>
      <t>電源種類　（入力）</t>
    </r>
    <rPh sb="0" eb="2">
      <t>デンゲン</t>
    </rPh>
    <rPh sb="2" eb="4">
      <t>シュルイ</t>
    </rPh>
    <rPh sb="6" eb="8">
      <t>ニュウリョク</t>
    </rPh>
    <phoneticPr fontId="2"/>
  </si>
  <si>
    <t>原子力</t>
  </si>
  <si>
    <r>
      <rPr>
        <b/>
        <sz val="11"/>
        <color indexed="8"/>
        <rFont val="ＭＳ Ｐゴシック"/>
        <family val="3"/>
        <charset val="128"/>
      </rPr>
      <t>環境条件</t>
    </r>
    <r>
      <rPr>
        <b/>
        <sz val="11"/>
        <color indexed="8"/>
        <rFont val="Arial"/>
        <family val="2"/>
      </rPr>
      <t xml:space="preserve"> </t>
    </r>
    <r>
      <rPr>
        <b/>
        <sz val="11"/>
        <color indexed="8"/>
        <rFont val="ＭＳ Ｐゴシック"/>
        <family val="3"/>
        <charset val="128"/>
      </rPr>
      <t>（入力）</t>
    </r>
    <rPh sb="0" eb="2">
      <t>カンキョウ</t>
    </rPh>
    <rPh sb="2" eb="4">
      <t>ジョウケン</t>
    </rPh>
    <rPh sb="6" eb="8">
      <t>ニュウリョク</t>
    </rPh>
    <phoneticPr fontId="2"/>
  </si>
  <si>
    <r>
      <rPr>
        <b/>
        <sz val="11"/>
        <color indexed="8"/>
        <rFont val="ＭＳ Ｐゴシック"/>
        <family val="3"/>
        <charset val="128"/>
      </rPr>
      <t>稼動年数計算</t>
    </r>
    <rPh sb="0" eb="2">
      <t>カドウ</t>
    </rPh>
    <rPh sb="2" eb="4">
      <t>ネンスウ</t>
    </rPh>
    <rPh sb="4" eb="6">
      <t>ケイサン</t>
    </rPh>
    <phoneticPr fontId="2"/>
  </si>
  <si>
    <r>
      <rPr>
        <sz val="11"/>
        <rFont val="ＭＳ Ｐゴシック"/>
        <family val="3"/>
        <charset val="128"/>
      </rPr>
      <t>基準年度</t>
    </r>
    <rPh sb="0" eb="2">
      <t>キジュン</t>
    </rPh>
    <rPh sb="2" eb="4">
      <t>ネンド</t>
    </rPh>
    <phoneticPr fontId="2"/>
  </si>
  <si>
    <r>
      <rPr>
        <sz val="11"/>
        <color indexed="8"/>
        <rFont val="ＭＳ Ｐゴシック"/>
        <family val="3"/>
        <charset val="128"/>
      </rPr>
      <t>残存簿価</t>
    </r>
    <rPh sb="0" eb="2">
      <t>ザンゾン</t>
    </rPh>
    <rPh sb="2" eb="4">
      <t>ボカ</t>
    </rPh>
    <phoneticPr fontId="2"/>
  </si>
  <si>
    <r>
      <rPr>
        <sz val="11"/>
        <color indexed="8"/>
        <rFont val="ＭＳ Ｐゴシック"/>
        <family val="3"/>
        <charset val="128"/>
      </rPr>
      <t>資本費</t>
    </r>
    <rPh sb="0" eb="2">
      <t>シホン</t>
    </rPh>
    <rPh sb="2" eb="3">
      <t>ヒ</t>
    </rPh>
    <phoneticPr fontId="2"/>
  </si>
  <si>
    <r>
      <rPr>
        <sz val="11"/>
        <color indexed="8"/>
        <rFont val="ＭＳ Ｐゴシック"/>
        <family val="3"/>
        <charset val="128"/>
      </rPr>
      <t>運転維持費</t>
    </r>
    <rPh sb="0" eb="2">
      <t>ウンテン</t>
    </rPh>
    <rPh sb="2" eb="5">
      <t>イジヒ</t>
    </rPh>
    <phoneticPr fontId="2"/>
  </si>
  <si>
    <r>
      <rPr>
        <sz val="11"/>
        <color indexed="8"/>
        <rFont val="ＭＳ Ｐゴシック"/>
        <family val="3"/>
        <charset val="128"/>
      </rPr>
      <t>燃料費</t>
    </r>
    <rPh sb="0" eb="3">
      <t>ネンリョウヒ</t>
    </rPh>
    <phoneticPr fontId="2"/>
  </si>
  <si>
    <r>
      <t>CO2</t>
    </r>
    <r>
      <rPr>
        <sz val="11"/>
        <color indexed="8"/>
        <rFont val="ＭＳ Ｐゴシック"/>
        <family val="3"/>
        <charset val="128"/>
      </rPr>
      <t>対策費</t>
    </r>
    <rPh sb="3" eb="6">
      <t>タイサクヒ</t>
    </rPh>
    <phoneticPr fontId="2"/>
  </si>
  <si>
    <r>
      <rPr>
        <sz val="11"/>
        <color indexed="8"/>
        <rFont val="ＭＳ Ｐゴシック"/>
        <family val="3"/>
        <charset val="128"/>
      </rPr>
      <t>排熱利用価値</t>
    </r>
    <rPh sb="0" eb="2">
      <t>ハイネツ</t>
    </rPh>
    <rPh sb="2" eb="4">
      <t>リヨウ</t>
    </rPh>
    <rPh sb="4" eb="6">
      <t>カチ</t>
    </rPh>
    <phoneticPr fontId="2"/>
  </si>
  <si>
    <t>買取額相当</t>
    <rPh sb="0" eb="2">
      <t>カイトリ</t>
    </rPh>
    <rPh sb="2" eb="3">
      <t>ガク</t>
    </rPh>
    <rPh sb="3" eb="5">
      <t>ソウトウ</t>
    </rPh>
    <phoneticPr fontId="2"/>
  </si>
  <si>
    <r>
      <rPr>
        <sz val="11"/>
        <color indexed="8"/>
        <rFont val="ＭＳ Ｐゴシック"/>
        <family val="3"/>
        <charset val="128"/>
      </rPr>
      <t>送電端電力量</t>
    </r>
    <rPh sb="0" eb="2">
      <t>ソウデン</t>
    </rPh>
    <rPh sb="2" eb="3">
      <t>タン</t>
    </rPh>
    <rPh sb="3" eb="5">
      <t>デンリョク</t>
    </rPh>
    <rPh sb="5" eb="6">
      <t>リョウ</t>
    </rPh>
    <phoneticPr fontId="2"/>
  </si>
  <si>
    <r>
      <rPr>
        <sz val="11"/>
        <color indexed="8"/>
        <rFont val="ＭＳ Ｐゴシック"/>
        <family val="3"/>
        <charset val="128"/>
      </rPr>
      <t>為替レート</t>
    </r>
    <rPh sb="0" eb="2">
      <t>カワセ</t>
    </rPh>
    <phoneticPr fontId="2"/>
  </si>
  <si>
    <r>
      <rPr>
        <sz val="11"/>
        <color indexed="8"/>
        <rFont val="ＭＳ Ｐゴシック"/>
        <family val="3"/>
        <charset val="128"/>
      </rPr>
      <t>（円</t>
    </r>
    <r>
      <rPr>
        <sz val="11"/>
        <color indexed="8"/>
        <rFont val="Arial"/>
        <family val="2"/>
      </rPr>
      <t>/</t>
    </r>
    <r>
      <rPr>
        <sz val="11"/>
        <color indexed="8"/>
        <rFont val="ＭＳ Ｐゴシック"/>
        <family val="3"/>
        <charset val="128"/>
      </rPr>
      <t>ドル）</t>
    </r>
    <rPh sb="1" eb="2">
      <t>エン</t>
    </rPh>
    <phoneticPr fontId="2"/>
  </si>
  <si>
    <r>
      <rPr>
        <sz val="11"/>
        <color indexed="8"/>
        <rFont val="ＭＳ Ｐゴシック"/>
        <family val="3"/>
        <charset val="128"/>
      </rPr>
      <t>割引率（金利）</t>
    </r>
    <rPh sb="0" eb="2">
      <t>ワリビキ</t>
    </rPh>
    <rPh sb="2" eb="3">
      <t>リツ</t>
    </rPh>
    <rPh sb="4" eb="6">
      <t>キンリ</t>
    </rPh>
    <phoneticPr fontId="2"/>
  </si>
  <si>
    <r>
      <rPr>
        <sz val="11"/>
        <color indexed="8"/>
        <rFont val="ＭＳ Ｐゴシック"/>
        <family val="3"/>
        <charset val="128"/>
      </rPr>
      <t>（</t>
    </r>
    <r>
      <rPr>
        <sz val="11"/>
        <color indexed="8"/>
        <rFont val="Arial"/>
        <family val="2"/>
      </rPr>
      <t>%</t>
    </r>
    <r>
      <rPr>
        <sz val="11"/>
        <color indexed="8"/>
        <rFont val="ＭＳ Ｐゴシック"/>
        <family val="3"/>
        <charset val="128"/>
      </rPr>
      <t>）</t>
    </r>
    <phoneticPr fontId="2"/>
  </si>
  <si>
    <r>
      <rPr>
        <sz val="11"/>
        <color indexed="8"/>
        <rFont val="ＭＳ Ｐゴシック"/>
        <family val="3"/>
        <charset val="128"/>
      </rPr>
      <t>年度</t>
    </r>
    <rPh sb="0" eb="2">
      <t>ネンド</t>
    </rPh>
    <phoneticPr fontId="2"/>
  </si>
  <si>
    <r>
      <rPr>
        <sz val="11"/>
        <color indexed="8"/>
        <rFont val="ＭＳ Ｐゴシック"/>
        <family val="3"/>
        <charset val="128"/>
      </rPr>
      <t>稼動
年数</t>
    </r>
    <rPh sb="0" eb="2">
      <t>カドウ</t>
    </rPh>
    <rPh sb="3" eb="5">
      <t>ネンスウ</t>
    </rPh>
    <phoneticPr fontId="2"/>
  </si>
  <si>
    <r>
      <rPr>
        <sz val="11"/>
        <color indexed="8"/>
        <rFont val="ＭＳ Ｐゴシック"/>
        <family val="3"/>
        <charset val="128"/>
      </rPr>
      <t>割引
係数</t>
    </r>
    <rPh sb="0" eb="2">
      <t>ワリビキ</t>
    </rPh>
    <rPh sb="3" eb="5">
      <t>ケイスウ</t>
    </rPh>
    <phoneticPr fontId="2"/>
  </si>
  <si>
    <r>
      <rPr>
        <sz val="11"/>
        <color indexed="8"/>
        <rFont val="ＭＳ Ｐゴシック"/>
        <family val="3"/>
        <charset val="128"/>
      </rPr>
      <t>減価償却費算定基準</t>
    </r>
    <rPh sb="0" eb="2">
      <t>ゲンカ</t>
    </rPh>
    <rPh sb="2" eb="4">
      <t>ショウキャク</t>
    </rPh>
    <rPh sb="4" eb="5">
      <t>ヒ</t>
    </rPh>
    <rPh sb="5" eb="7">
      <t>サンテイ</t>
    </rPh>
    <rPh sb="7" eb="9">
      <t>キジュン</t>
    </rPh>
    <phoneticPr fontId="2"/>
  </si>
  <si>
    <r>
      <rPr>
        <sz val="11"/>
        <color indexed="8"/>
        <rFont val="ＭＳ Ｐゴシック"/>
        <family val="3"/>
        <charset val="128"/>
      </rPr>
      <t>償却資産評価額</t>
    </r>
    <rPh sb="0" eb="2">
      <t>ショウキャク</t>
    </rPh>
    <rPh sb="2" eb="4">
      <t>シサン</t>
    </rPh>
    <rPh sb="4" eb="7">
      <t>ヒョウカガク</t>
    </rPh>
    <phoneticPr fontId="2"/>
  </si>
  <si>
    <r>
      <rPr>
        <sz val="11"/>
        <color indexed="8"/>
        <rFont val="ＭＳ Ｐゴシック"/>
        <family val="3"/>
        <charset val="128"/>
      </rPr>
      <t>課税標準額</t>
    </r>
    <rPh sb="0" eb="2">
      <t>カゼイ</t>
    </rPh>
    <rPh sb="2" eb="4">
      <t>ヒョウジュン</t>
    </rPh>
    <rPh sb="4" eb="5">
      <t>ガク</t>
    </rPh>
    <phoneticPr fontId="2"/>
  </si>
  <si>
    <r>
      <rPr>
        <sz val="11"/>
        <color indexed="8"/>
        <rFont val="ＭＳ Ｐゴシック"/>
        <family val="3"/>
        <charset val="128"/>
      </rPr>
      <t>減価償却費</t>
    </r>
    <rPh sb="0" eb="2">
      <t>ゲンカ</t>
    </rPh>
    <rPh sb="2" eb="4">
      <t>ショウキャク</t>
    </rPh>
    <rPh sb="4" eb="5">
      <t>ヒ</t>
    </rPh>
    <phoneticPr fontId="2"/>
  </si>
  <si>
    <r>
      <rPr>
        <sz val="11"/>
        <color indexed="8"/>
        <rFont val="ＭＳ Ｐゴシック"/>
        <family val="3"/>
        <charset val="128"/>
      </rPr>
      <t>固定資産税</t>
    </r>
    <rPh sb="0" eb="2">
      <t>コテイ</t>
    </rPh>
    <rPh sb="2" eb="5">
      <t>シサンゼイ</t>
    </rPh>
    <phoneticPr fontId="2"/>
  </si>
  <si>
    <t>廃止措置費用</t>
    <rPh sb="0" eb="2">
      <t>ハイシ</t>
    </rPh>
    <rPh sb="2" eb="4">
      <t>ソチ</t>
    </rPh>
    <rPh sb="4" eb="6">
      <t>ヒヨウ</t>
    </rPh>
    <phoneticPr fontId="2"/>
  </si>
  <si>
    <t>水利使用料</t>
  </si>
  <si>
    <r>
      <rPr>
        <sz val="11"/>
        <rFont val="ＭＳ Ｐゴシック"/>
        <family val="3"/>
        <charset val="128"/>
      </rPr>
      <t>人件費</t>
    </r>
    <rPh sb="0" eb="3">
      <t>ジンケンヒ</t>
    </rPh>
    <phoneticPr fontId="2"/>
  </si>
  <si>
    <r>
      <rPr>
        <sz val="11"/>
        <color indexed="8"/>
        <rFont val="ＭＳ Ｐゴシック"/>
        <family val="3"/>
        <charset val="128"/>
      </rPr>
      <t>修繕費</t>
    </r>
    <rPh sb="0" eb="3">
      <t>シュウゼンヒ</t>
    </rPh>
    <phoneticPr fontId="2"/>
  </si>
  <si>
    <r>
      <rPr>
        <sz val="11"/>
        <color indexed="8"/>
        <rFont val="ＭＳ Ｐゴシック"/>
        <family val="3"/>
        <charset val="128"/>
      </rPr>
      <t>諸費</t>
    </r>
    <rPh sb="0" eb="2">
      <t>ショヒ</t>
    </rPh>
    <phoneticPr fontId="2"/>
  </si>
  <si>
    <r>
      <rPr>
        <sz val="11"/>
        <color indexed="8"/>
        <rFont val="ＭＳ Ｐゴシック"/>
        <family val="3"/>
        <charset val="128"/>
      </rPr>
      <t>業務分担費
（一般管理費）</t>
    </r>
    <rPh sb="0" eb="2">
      <t>ギョウム</t>
    </rPh>
    <rPh sb="2" eb="4">
      <t>ブンタン</t>
    </rPh>
    <rPh sb="4" eb="5">
      <t>ヒ</t>
    </rPh>
    <rPh sb="7" eb="9">
      <t>イッパン</t>
    </rPh>
    <rPh sb="9" eb="12">
      <t>カンリヒ</t>
    </rPh>
    <phoneticPr fontId="2"/>
  </si>
  <si>
    <r>
      <rPr>
        <sz val="11"/>
        <color indexed="8"/>
        <rFont val="ＭＳ Ｐゴシック"/>
        <family val="3"/>
        <charset val="128"/>
      </rPr>
      <t>燃料費単価</t>
    </r>
    <rPh sb="0" eb="3">
      <t>ネンリョウヒ</t>
    </rPh>
    <rPh sb="3" eb="5">
      <t>タンカ</t>
    </rPh>
    <phoneticPr fontId="2"/>
  </si>
  <si>
    <r>
      <t>CO2</t>
    </r>
    <r>
      <rPr>
        <sz val="11"/>
        <color indexed="8"/>
        <rFont val="ＭＳ Ｐゴシック"/>
        <family val="3"/>
        <charset val="128"/>
      </rPr>
      <t>価格</t>
    </r>
    <rPh sb="3" eb="5">
      <t>カカク</t>
    </rPh>
    <phoneticPr fontId="2"/>
  </si>
  <si>
    <r>
      <t>IRR</t>
    </r>
    <r>
      <rPr>
        <sz val="11"/>
        <color indexed="8"/>
        <rFont val="ＭＳ Ｐゴシック"/>
        <family val="3"/>
        <charset val="128"/>
      </rPr>
      <t>計算</t>
    </r>
    <rPh sb="3" eb="5">
      <t>ケイサン</t>
    </rPh>
    <phoneticPr fontId="16"/>
  </si>
  <si>
    <t>発電コスト算定根拠　（入力）</t>
    <rPh sb="11" eb="13">
      <t>ニュウリョク</t>
    </rPh>
    <phoneticPr fontId="2"/>
  </si>
  <si>
    <r>
      <rPr>
        <sz val="11"/>
        <color indexed="8"/>
        <rFont val="ＭＳ Ｐゴシック"/>
        <family val="3"/>
        <charset val="128"/>
      </rPr>
      <t>（円）</t>
    </r>
    <rPh sb="1" eb="2">
      <t>エン</t>
    </rPh>
    <phoneticPr fontId="2"/>
  </si>
  <si>
    <r>
      <rPr>
        <sz val="11"/>
        <color indexed="8"/>
        <rFont val="ＭＳ Ｐゴシック"/>
        <family val="3"/>
        <charset val="128"/>
      </rPr>
      <t>減価
償却率</t>
    </r>
    <rPh sb="0" eb="2">
      <t>ゲンカ</t>
    </rPh>
    <rPh sb="3" eb="5">
      <t>ショウキャク</t>
    </rPh>
    <rPh sb="5" eb="6">
      <t>リツ</t>
    </rPh>
    <phoneticPr fontId="2"/>
  </si>
  <si>
    <r>
      <rPr>
        <sz val="11"/>
        <color indexed="8"/>
        <rFont val="ＭＳ Ｐゴシック"/>
        <family val="3"/>
        <charset val="128"/>
      </rPr>
      <t>現在価値</t>
    </r>
    <rPh sb="0" eb="2">
      <t>ゲンザイ</t>
    </rPh>
    <rPh sb="2" eb="4">
      <t>カチ</t>
    </rPh>
    <phoneticPr fontId="2"/>
  </si>
  <si>
    <t>割引
係数</t>
    <rPh sb="0" eb="2">
      <t>ワリビキ</t>
    </rPh>
    <rPh sb="3" eb="5">
      <t>ケイスウ</t>
    </rPh>
    <phoneticPr fontId="2"/>
  </si>
  <si>
    <t>割引費用</t>
    <rPh sb="0" eb="2">
      <t>ワリビキ</t>
    </rPh>
    <rPh sb="2" eb="4">
      <t>ヒヨウ</t>
    </rPh>
    <phoneticPr fontId="2"/>
  </si>
  <si>
    <t>割引電力量</t>
    <rPh sb="0" eb="2">
      <t>ワリビキ</t>
    </rPh>
    <rPh sb="2" eb="4">
      <t>デンリョク</t>
    </rPh>
    <rPh sb="4" eb="5">
      <t>リョウ</t>
    </rPh>
    <phoneticPr fontId="2"/>
  </si>
  <si>
    <t>現在価値</t>
    <rPh sb="0" eb="2">
      <t>ゲンザイ</t>
    </rPh>
    <rPh sb="2" eb="4">
      <t>カチ</t>
    </rPh>
    <phoneticPr fontId="2"/>
  </si>
  <si>
    <r>
      <rPr>
        <sz val="11"/>
        <color indexed="8"/>
        <rFont val="ＭＳ Ｐゴシック"/>
        <family val="3"/>
        <charset val="128"/>
      </rPr>
      <t>割引電力量</t>
    </r>
    <rPh sb="0" eb="2">
      <t>ワリビキ</t>
    </rPh>
    <rPh sb="2" eb="4">
      <t>デンリョク</t>
    </rPh>
    <rPh sb="4" eb="5">
      <t>リョウ</t>
    </rPh>
    <phoneticPr fontId="2"/>
  </si>
  <si>
    <r>
      <rPr>
        <sz val="11"/>
        <color indexed="8"/>
        <rFont val="ＭＳ Ｐゴシック"/>
        <family val="3"/>
        <charset val="128"/>
      </rPr>
      <t>（円</t>
    </r>
    <r>
      <rPr>
        <sz val="11"/>
        <color indexed="8"/>
        <rFont val="Arial"/>
        <family val="2"/>
      </rPr>
      <t>/kg</t>
    </r>
    <r>
      <rPr>
        <sz val="11"/>
        <color indexed="8"/>
        <rFont val="ＭＳ Ｐゴシック"/>
        <family val="3"/>
        <charset val="128"/>
      </rPr>
      <t>、円</t>
    </r>
    <r>
      <rPr>
        <sz val="11"/>
        <color indexed="8"/>
        <rFont val="Arial"/>
        <family val="2"/>
      </rPr>
      <t>/l</t>
    </r>
    <r>
      <rPr>
        <sz val="11"/>
        <color indexed="8"/>
        <rFont val="ＭＳ Ｐゴシック"/>
        <family val="3"/>
        <charset val="128"/>
      </rPr>
      <t>、円</t>
    </r>
    <r>
      <rPr>
        <sz val="11"/>
        <color indexed="8"/>
        <rFont val="Arial"/>
        <family val="2"/>
      </rPr>
      <t>/m</t>
    </r>
    <r>
      <rPr>
        <vertAlign val="superscript"/>
        <sz val="11"/>
        <color indexed="8"/>
        <rFont val="Arial"/>
        <family val="2"/>
      </rPr>
      <t>3</t>
    </r>
    <r>
      <rPr>
        <sz val="11"/>
        <color indexed="8"/>
        <rFont val="ＭＳ Ｐゴシック"/>
        <family val="3"/>
        <charset val="128"/>
      </rPr>
      <t>）</t>
    </r>
    <rPh sb="1" eb="2">
      <t>エン</t>
    </rPh>
    <rPh sb="6" eb="7">
      <t>エン</t>
    </rPh>
    <rPh sb="10" eb="11">
      <t>エン</t>
    </rPh>
    <phoneticPr fontId="2"/>
  </si>
  <si>
    <r>
      <rPr>
        <sz val="11"/>
        <color indexed="8"/>
        <rFont val="ＭＳ Ｐゴシック"/>
        <family val="3"/>
        <charset val="128"/>
      </rPr>
      <t>（円</t>
    </r>
    <r>
      <rPr>
        <sz val="11"/>
        <color indexed="8"/>
        <rFont val="Arial"/>
        <family val="2"/>
      </rPr>
      <t>/kg-CO2)</t>
    </r>
    <rPh sb="1" eb="2">
      <t>エン</t>
    </rPh>
    <phoneticPr fontId="2"/>
  </si>
  <si>
    <r>
      <rPr>
        <sz val="11"/>
        <color indexed="8"/>
        <rFont val="ＭＳ Ｐゴシック"/>
        <family val="3"/>
        <charset val="128"/>
      </rPr>
      <t>（年）</t>
    </r>
    <rPh sb="1" eb="2">
      <t>ネン</t>
    </rPh>
    <phoneticPr fontId="2"/>
  </si>
  <si>
    <t>買取期間</t>
    <rPh sb="0" eb="2">
      <t>カイトリ</t>
    </rPh>
    <rPh sb="2" eb="4">
      <t>キカン</t>
    </rPh>
    <phoneticPr fontId="2"/>
  </si>
  <si>
    <r>
      <rPr>
        <sz val="11"/>
        <rFont val="ＭＳ Ｐゴシック"/>
        <family val="3"/>
        <charset val="128"/>
      </rPr>
      <t>（年）</t>
    </r>
    <rPh sb="1" eb="2">
      <t>ネン</t>
    </rPh>
    <phoneticPr fontId="2"/>
  </si>
  <si>
    <t>IRR</t>
    <phoneticPr fontId="2"/>
  </si>
  <si>
    <r>
      <rPr>
        <sz val="11"/>
        <rFont val="ＭＳ Ｐゴシック"/>
        <family val="3"/>
        <charset val="128"/>
      </rPr>
      <t>建設費単価</t>
    </r>
    <rPh sb="0" eb="3">
      <t>ケンセツヒ</t>
    </rPh>
    <rPh sb="3" eb="5">
      <t>タンカ</t>
    </rPh>
    <phoneticPr fontId="2"/>
  </si>
  <si>
    <r>
      <rPr>
        <sz val="11"/>
        <rFont val="ＭＳ Ｐゴシック"/>
        <family val="3"/>
        <charset val="128"/>
      </rPr>
      <t>燃料発熱量</t>
    </r>
    <rPh sb="0" eb="2">
      <t>ネンリョウ</t>
    </rPh>
    <rPh sb="2" eb="4">
      <t>ハツネツ</t>
    </rPh>
    <rPh sb="4" eb="5">
      <t>リョウ</t>
    </rPh>
    <phoneticPr fontId="2"/>
  </si>
  <si>
    <r>
      <rPr>
        <sz val="11"/>
        <rFont val="ＭＳ Ｐゴシック"/>
        <family val="3"/>
        <charset val="128"/>
      </rPr>
      <t>熱効率</t>
    </r>
    <rPh sb="0" eb="1">
      <t>ネツ</t>
    </rPh>
    <rPh sb="1" eb="3">
      <t>コウリツ</t>
    </rPh>
    <phoneticPr fontId="2"/>
  </si>
  <si>
    <r>
      <rPr>
        <sz val="11"/>
        <rFont val="ＭＳ Ｐゴシック"/>
        <family val="3"/>
        <charset val="128"/>
      </rPr>
      <t>所内率</t>
    </r>
    <rPh sb="0" eb="2">
      <t>ショナイ</t>
    </rPh>
    <rPh sb="2" eb="3">
      <t>リツ</t>
    </rPh>
    <phoneticPr fontId="2"/>
  </si>
  <si>
    <r>
      <rPr>
        <sz val="11"/>
        <rFont val="ＭＳ Ｐゴシック"/>
        <family val="3"/>
        <charset val="128"/>
      </rPr>
      <t>固定資産税率</t>
    </r>
    <rPh sb="0" eb="2">
      <t>コテイ</t>
    </rPh>
    <rPh sb="2" eb="5">
      <t>シサンゼイ</t>
    </rPh>
    <rPh sb="5" eb="6">
      <t>リツ</t>
    </rPh>
    <phoneticPr fontId="2"/>
  </si>
  <si>
    <t>水利使用料</t>
    <phoneticPr fontId="2"/>
  </si>
  <si>
    <t>廃止措置完了までの期間</t>
    <phoneticPr fontId="2"/>
  </si>
  <si>
    <r>
      <rPr>
        <sz val="11"/>
        <rFont val="ＭＳ Ｐゴシック"/>
        <family val="3"/>
        <charset val="128"/>
      </rPr>
      <t>追加的安全対策費</t>
    </r>
    <r>
      <rPr>
        <sz val="11"/>
        <rFont val="Arial"/>
        <family val="2"/>
      </rPr>
      <t xml:space="preserve"> </t>
    </r>
    <r>
      <rPr>
        <sz val="11"/>
        <rFont val="ＭＳ Ｐゴシック"/>
        <family val="3"/>
        <charset val="128"/>
      </rPr>
      <t>（原子力）</t>
    </r>
    <rPh sb="0" eb="3">
      <t>ツイカテキ</t>
    </rPh>
    <rPh sb="3" eb="5">
      <t>アンゼン</t>
    </rPh>
    <rPh sb="5" eb="8">
      <t>タイサクヒ</t>
    </rPh>
    <rPh sb="10" eb="13">
      <t>ゲンシリョク</t>
    </rPh>
    <phoneticPr fontId="2"/>
  </si>
  <si>
    <r>
      <rPr>
        <sz val="11"/>
        <color indexed="8"/>
        <rFont val="ＭＳ Ｐゴシック"/>
        <family val="3"/>
        <charset val="128"/>
      </rPr>
      <t>人件費</t>
    </r>
    <rPh sb="0" eb="3">
      <t>ジンケンヒ</t>
    </rPh>
    <phoneticPr fontId="2"/>
  </si>
  <si>
    <r>
      <rPr>
        <sz val="11"/>
        <rFont val="ＭＳ Ｐゴシック"/>
        <family val="3"/>
        <charset val="128"/>
      </rPr>
      <t>（億円</t>
    </r>
    <r>
      <rPr>
        <sz val="11"/>
        <rFont val="Arial"/>
        <family val="2"/>
      </rPr>
      <t>/</t>
    </r>
    <r>
      <rPr>
        <sz val="11"/>
        <rFont val="ＭＳ Ｐゴシック"/>
        <family val="3"/>
        <charset val="128"/>
      </rPr>
      <t>年）</t>
    </r>
    <rPh sb="1" eb="3">
      <t>オクエン</t>
    </rPh>
    <rPh sb="4" eb="5">
      <t>ネン</t>
    </rPh>
    <phoneticPr fontId="2"/>
  </si>
  <si>
    <t>修繕費</t>
  </si>
  <si>
    <r>
      <rPr>
        <sz val="11"/>
        <rFont val="ＭＳ Ｐゴシック"/>
        <family val="3"/>
        <charset val="128"/>
      </rPr>
      <t>（</t>
    </r>
    <r>
      <rPr>
        <sz val="11"/>
        <rFont val="Arial"/>
        <family val="2"/>
      </rPr>
      <t>%</t>
    </r>
    <r>
      <rPr>
        <sz val="11"/>
        <rFont val="ＭＳ Ｐゴシック"/>
        <family val="3"/>
        <charset val="128"/>
      </rPr>
      <t>）</t>
    </r>
    <r>
      <rPr>
        <sz val="11"/>
        <rFont val="Arial"/>
        <family val="2"/>
      </rPr>
      <t xml:space="preserve">: </t>
    </r>
    <r>
      <rPr>
        <sz val="11"/>
        <rFont val="ＭＳ Ｐゴシック"/>
        <family val="3"/>
        <charset val="128"/>
      </rPr>
      <t>建設費における比率</t>
    </r>
    <rPh sb="5" eb="8">
      <t>ケンセツヒ</t>
    </rPh>
    <rPh sb="12" eb="14">
      <t>ヒリツ</t>
    </rPh>
    <phoneticPr fontId="2"/>
  </si>
  <si>
    <t>諸費</t>
  </si>
  <si>
    <r>
      <rPr>
        <sz val="11"/>
        <rFont val="ＭＳ Ｐゴシック"/>
        <family val="3"/>
        <charset val="128"/>
      </rPr>
      <t>（</t>
    </r>
    <r>
      <rPr>
        <sz val="11"/>
        <rFont val="Arial"/>
        <family val="2"/>
      </rPr>
      <t>%</t>
    </r>
    <r>
      <rPr>
        <sz val="11"/>
        <rFont val="ＭＳ Ｐゴシック"/>
        <family val="3"/>
        <charset val="128"/>
      </rPr>
      <t>）</t>
    </r>
    <r>
      <rPr>
        <sz val="11"/>
        <rFont val="Arial"/>
        <family val="2"/>
      </rPr>
      <t xml:space="preserve">: </t>
    </r>
    <r>
      <rPr>
        <sz val="11"/>
        <rFont val="ＭＳ Ｐゴシック"/>
        <family val="3"/>
        <charset val="128"/>
      </rPr>
      <t>直接費における比率</t>
    </r>
    <rPh sb="5" eb="7">
      <t>チョクセツ</t>
    </rPh>
    <rPh sb="7" eb="8">
      <t>ヒ</t>
    </rPh>
    <rPh sb="12" eb="14">
      <t>ヒリツ</t>
    </rPh>
    <phoneticPr fontId="2"/>
  </si>
  <si>
    <t>燃料単価（固定値）</t>
    <rPh sb="0" eb="2">
      <t>ネンリョウ</t>
    </rPh>
    <rPh sb="2" eb="4">
      <t>タンカ</t>
    </rPh>
    <rPh sb="5" eb="8">
      <t>コテイチ</t>
    </rPh>
    <phoneticPr fontId="2"/>
  </si>
  <si>
    <r>
      <rPr>
        <sz val="11"/>
        <color indexed="8"/>
        <rFont val="ＭＳ Ｐゴシック"/>
        <family val="3"/>
        <charset val="128"/>
      </rPr>
      <t>燃料諸経費</t>
    </r>
    <rPh sb="0" eb="2">
      <t>ネンリョウ</t>
    </rPh>
    <rPh sb="2" eb="5">
      <t>ショケイヒ</t>
    </rPh>
    <phoneticPr fontId="2"/>
  </si>
  <si>
    <t>価格想定（コジェネ・燃料電池）</t>
    <rPh sb="0" eb="2">
      <t>カカク</t>
    </rPh>
    <rPh sb="2" eb="4">
      <t>ソウテイ</t>
    </rPh>
    <rPh sb="10" eb="12">
      <t>ネンリョウ</t>
    </rPh>
    <rPh sb="12" eb="14">
      <t>デンチ</t>
    </rPh>
    <phoneticPr fontId="18"/>
  </si>
  <si>
    <t/>
  </si>
  <si>
    <r>
      <rPr>
        <sz val="11"/>
        <rFont val="ＭＳ Ｐゴシック"/>
        <family val="3"/>
        <charset val="128"/>
      </rPr>
      <t>損害想定額</t>
    </r>
    <rPh sb="0" eb="2">
      <t>ソンガイ</t>
    </rPh>
    <rPh sb="2" eb="4">
      <t>ソウテイ</t>
    </rPh>
    <rPh sb="4" eb="5">
      <t>ガク</t>
    </rPh>
    <phoneticPr fontId="2"/>
  </si>
  <si>
    <t>算定根拠</t>
    <rPh sb="0" eb="2">
      <t>サンテイ</t>
    </rPh>
    <rPh sb="2" eb="4">
      <t>コンキョ</t>
    </rPh>
    <phoneticPr fontId="2"/>
  </si>
  <si>
    <t>（炉・年）</t>
    <rPh sb="1" eb="2">
      <t>ロ</t>
    </rPh>
    <rPh sb="3" eb="4">
      <t>ネン</t>
    </rPh>
    <phoneticPr fontId="2"/>
  </si>
  <si>
    <r>
      <rPr>
        <sz val="11"/>
        <rFont val="ＭＳ Ｐゴシック"/>
        <family val="3"/>
        <charset val="128"/>
      </rPr>
      <t>総発電量</t>
    </r>
    <rPh sb="0" eb="1">
      <t>ソウ</t>
    </rPh>
    <rPh sb="1" eb="3">
      <t>ハツデン</t>
    </rPh>
    <rPh sb="3" eb="4">
      <t>リョウ</t>
    </rPh>
    <phoneticPr fontId="2"/>
  </si>
  <si>
    <r>
      <rPr>
        <sz val="11"/>
        <rFont val="ＭＳ Ｐゴシック"/>
        <family val="3"/>
        <charset val="128"/>
      </rPr>
      <t>（円</t>
    </r>
    <r>
      <rPr>
        <sz val="11"/>
        <rFont val="Arial"/>
        <family val="2"/>
      </rPr>
      <t>/kWh</t>
    </r>
    <r>
      <rPr>
        <sz val="11"/>
        <rFont val="ＭＳ Ｐゴシック"/>
        <family val="3"/>
        <charset val="128"/>
      </rPr>
      <t>）</t>
    </r>
    <rPh sb="1" eb="2">
      <t>エン</t>
    </rPh>
    <phoneticPr fontId="2"/>
  </si>
  <si>
    <t>発電コスト　（結果）</t>
    <rPh sb="7" eb="9">
      <t>ケッカ</t>
    </rPh>
    <phoneticPr fontId="2"/>
  </si>
  <si>
    <t>発電コスト（政策経費除く）</t>
    <rPh sb="0" eb="2">
      <t>ハツデン</t>
    </rPh>
    <rPh sb="6" eb="8">
      <t>セイサク</t>
    </rPh>
    <rPh sb="8" eb="10">
      <t>ケイヒ</t>
    </rPh>
    <rPh sb="10" eb="11">
      <t>ノゾ</t>
    </rPh>
    <phoneticPr fontId="2"/>
  </si>
  <si>
    <t>発電コスト（政策経費含む）</t>
    <rPh sb="0" eb="2">
      <t>ハツデン</t>
    </rPh>
    <rPh sb="6" eb="8">
      <t>セイサク</t>
    </rPh>
    <rPh sb="8" eb="10">
      <t>ケイヒ</t>
    </rPh>
    <rPh sb="10" eb="11">
      <t>フク</t>
    </rPh>
    <phoneticPr fontId="2"/>
  </si>
  <si>
    <t>発電コスト内訳</t>
    <rPh sb="0" eb="2">
      <t>ハツデン</t>
    </rPh>
    <rPh sb="5" eb="7">
      <t>ウチワケ</t>
    </rPh>
    <phoneticPr fontId="2"/>
  </si>
  <si>
    <t>資本費</t>
    <rPh sb="0" eb="2">
      <t>シホン</t>
    </rPh>
    <rPh sb="2" eb="3">
      <t>ヒ</t>
    </rPh>
    <phoneticPr fontId="2"/>
  </si>
  <si>
    <t>初期投資</t>
    <rPh sb="0" eb="2">
      <t>ショキ</t>
    </rPh>
    <rPh sb="2" eb="4">
      <t>トウシ</t>
    </rPh>
    <phoneticPr fontId="2"/>
  </si>
  <si>
    <t>固定資産税</t>
  </si>
  <si>
    <t>運転維持費内訳</t>
    <rPh sb="0" eb="2">
      <t>ウンテン</t>
    </rPh>
    <rPh sb="2" eb="5">
      <t>イジヒ</t>
    </rPh>
    <rPh sb="5" eb="7">
      <t>ウチワケ</t>
    </rPh>
    <phoneticPr fontId="2"/>
  </si>
  <si>
    <t>給料手当</t>
  </si>
  <si>
    <t>業務分担費</t>
  </si>
  <si>
    <r>
      <rPr>
        <sz val="11"/>
        <color indexed="8"/>
        <rFont val="ＭＳ Ｐゴシック"/>
        <family val="3"/>
        <charset val="128"/>
      </rPr>
      <t>現在価値合計</t>
    </r>
    <rPh sb="0" eb="2">
      <t>ゲンザイ</t>
    </rPh>
    <rPh sb="2" eb="4">
      <t>カチ</t>
    </rPh>
    <rPh sb="4" eb="6">
      <t>ゴウケイ</t>
    </rPh>
    <phoneticPr fontId="2"/>
  </si>
  <si>
    <t>建設費（固定資産取得価額）</t>
    <rPh sb="0" eb="3">
      <t>ケンセツヒ</t>
    </rPh>
    <rPh sb="4" eb="6">
      <t>コテイ</t>
    </rPh>
    <rPh sb="6" eb="8">
      <t>シサン</t>
    </rPh>
    <rPh sb="8" eb="10">
      <t>シュトク</t>
    </rPh>
    <rPh sb="10" eb="12">
      <t>カガク</t>
    </rPh>
    <phoneticPr fontId="2"/>
  </si>
  <si>
    <t>現在価値合計（買取期間終了後）</t>
    <rPh sb="0" eb="2">
      <t>ゲンザイ</t>
    </rPh>
    <rPh sb="2" eb="4">
      <t>カチ</t>
    </rPh>
    <rPh sb="4" eb="6">
      <t>ゴウケイ</t>
    </rPh>
    <rPh sb="7" eb="9">
      <t>カイトリ</t>
    </rPh>
    <rPh sb="9" eb="11">
      <t>キカン</t>
    </rPh>
    <rPh sb="11" eb="14">
      <t>シュウリョウゴ</t>
    </rPh>
    <phoneticPr fontId="2"/>
  </si>
  <si>
    <r>
      <rPr>
        <sz val="11"/>
        <color indexed="8"/>
        <rFont val="ＭＳ Ｐゴシック"/>
        <family val="3"/>
        <charset val="128"/>
      </rPr>
      <t>法定耐用年数</t>
    </r>
    <rPh sb="0" eb="2">
      <t>ホウテイ</t>
    </rPh>
    <rPh sb="2" eb="4">
      <t>タイヨウ</t>
    </rPh>
    <rPh sb="4" eb="6">
      <t>ネンスウ</t>
    </rPh>
    <phoneticPr fontId="2"/>
  </si>
  <si>
    <r>
      <rPr>
        <sz val="11"/>
        <color indexed="8"/>
        <rFont val="ＭＳ Ｐゴシック"/>
        <family val="3"/>
        <charset val="128"/>
      </rPr>
      <t>減価償却率</t>
    </r>
    <rPh sb="0" eb="2">
      <t>ゲンカ</t>
    </rPh>
    <rPh sb="2" eb="4">
      <t>ショウキャク</t>
    </rPh>
    <rPh sb="4" eb="5">
      <t>リツ</t>
    </rPh>
    <phoneticPr fontId="2"/>
  </si>
  <si>
    <r>
      <rPr>
        <sz val="11"/>
        <color indexed="8"/>
        <rFont val="ＭＳ Ｐゴシック"/>
        <family val="3"/>
        <charset val="128"/>
      </rPr>
      <t>償却率</t>
    </r>
    <rPh sb="0" eb="3">
      <t>ショウキャクリツ</t>
    </rPh>
    <phoneticPr fontId="2"/>
  </si>
  <si>
    <r>
      <rPr>
        <sz val="11"/>
        <color indexed="8"/>
        <rFont val="ＭＳ Ｐゴシック"/>
        <family val="3"/>
        <charset val="128"/>
      </rPr>
      <t>改定償却率</t>
    </r>
    <rPh sb="0" eb="2">
      <t>カイテイ</t>
    </rPh>
    <rPh sb="2" eb="5">
      <t>ショウキャクリツ</t>
    </rPh>
    <phoneticPr fontId="2"/>
  </si>
  <si>
    <r>
      <rPr>
        <sz val="11"/>
        <color indexed="8"/>
        <rFont val="ＭＳ Ｐゴシック"/>
        <family val="3"/>
        <charset val="128"/>
      </rPr>
      <t>保証率</t>
    </r>
    <rPh sb="0" eb="2">
      <t>ホショウ</t>
    </rPh>
    <rPh sb="2" eb="3">
      <t>リツ</t>
    </rPh>
    <phoneticPr fontId="2"/>
  </si>
  <si>
    <r>
      <rPr>
        <sz val="11"/>
        <color indexed="8"/>
        <rFont val="ＭＳ Ｐゴシック"/>
        <family val="3"/>
        <charset val="128"/>
      </rPr>
      <t>償却保証額</t>
    </r>
    <rPh sb="0" eb="2">
      <t>ショウキャク</t>
    </rPh>
    <rPh sb="2" eb="4">
      <t>ホショウ</t>
    </rPh>
    <rPh sb="4" eb="5">
      <t>ガク</t>
    </rPh>
    <phoneticPr fontId="2"/>
  </si>
  <si>
    <t>減価残存率（固定資産税）</t>
    <rPh sb="0" eb="2">
      <t>ゲンカ</t>
    </rPh>
    <rPh sb="2" eb="5">
      <t>ザンゾンリツ</t>
    </rPh>
    <rPh sb="6" eb="8">
      <t>コテイ</t>
    </rPh>
    <rPh sb="8" eb="11">
      <t>シサンゼイ</t>
    </rPh>
    <phoneticPr fontId="2"/>
  </si>
  <si>
    <r>
      <rPr>
        <sz val="11"/>
        <color indexed="8"/>
        <rFont val="ＭＳ Ｐゴシック"/>
        <family val="3"/>
        <charset val="128"/>
      </rPr>
      <t>電力量</t>
    </r>
    <rPh sb="0" eb="2">
      <t>デンリョク</t>
    </rPh>
    <rPh sb="2" eb="3">
      <t>リョウ</t>
    </rPh>
    <phoneticPr fontId="2"/>
  </si>
  <si>
    <r>
      <rPr>
        <sz val="11"/>
        <color indexed="8"/>
        <rFont val="ＭＳ Ｐゴシック"/>
        <family val="3"/>
        <charset val="128"/>
      </rPr>
      <t>発電端</t>
    </r>
    <rPh sb="0" eb="2">
      <t>ハツデン</t>
    </rPh>
    <rPh sb="2" eb="3">
      <t>タン</t>
    </rPh>
    <phoneticPr fontId="2"/>
  </si>
  <si>
    <r>
      <rPr>
        <sz val="11"/>
        <color indexed="8"/>
        <rFont val="ＭＳ Ｐゴシック"/>
        <family val="3"/>
        <charset val="128"/>
      </rPr>
      <t>（</t>
    </r>
    <r>
      <rPr>
        <sz val="11"/>
        <color indexed="8"/>
        <rFont val="Arial"/>
        <family val="2"/>
      </rPr>
      <t>kWh/</t>
    </r>
    <r>
      <rPr>
        <sz val="11"/>
        <color indexed="8"/>
        <rFont val="ＭＳ Ｐゴシック"/>
        <family val="3"/>
        <charset val="128"/>
      </rPr>
      <t>年）</t>
    </r>
    <rPh sb="5" eb="6">
      <t>ネン</t>
    </rPh>
    <phoneticPr fontId="2"/>
  </si>
  <si>
    <r>
      <rPr>
        <sz val="11"/>
        <color indexed="8"/>
        <rFont val="ＭＳ Ｐゴシック"/>
        <family val="3"/>
        <charset val="128"/>
      </rPr>
      <t>送電端</t>
    </r>
    <rPh sb="0" eb="2">
      <t>ソウデン</t>
    </rPh>
    <rPh sb="2" eb="3">
      <t>タン</t>
    </rPh>
    <phoneticPr fontId="2"/>
  </si>
  <si>
    <r>
      <rPr>
        <sz val="11"/>
        <color indexed="8"/>
        <rFont val="ＭＳ Ｐゴシック"/>
        <family val="3"/>
        <charset val="128"/>
      </rPr>
      <t>必要燃料量</t>
    </r>
    <rPh sb="0" eb="2">
      <t>ヒツヨウ</t>
    </rPh>
    <rPh sb="2" eb="4">
      <t>ネンリョウ</t>
    </rPh>
    <rPh sb="4" eb="5">
      <t>リョウ</t>
    </rPh>
    <phoneticPr fontId="2"/>
  </si>
  <si>
    <r>
      <rPr>
        <sz val="11"/>
        <color indexed="8"/>
        <rFont val="ＭＳ Ｐゴシック"/>
        <family val="3"/>
        <charset val="128"/>
      </rPr>
      <t>（</t>
    </r>
    <r>
      <rPr>
        <sz val="11"/>
        <color indexed="8"/>
        <rFont val="Arial"/>
        <family val="2"/>
      </rPr>
      <t>kg/</t>
    </r>
    <r>
      <rPr>
        <sz val="11"/>
        <color indexed="8"/>
        <rFont val="ＭＳ Ｐゴシック"/>
        <family val="3"/>
        <charset val="128"/>
      </rPr>
      <t>年、</t>
    </r>
    <r>
      <rPr>
        <sz val="11"/>
        <color indexed="8"/>
        <rFont val="Arial"/>
        <family val="2"/>
      </rPr>
      <t>l/</t>
    </r>
    <r>
      <rPr>
        <sz val="11"/>
        <color indexed="8"/>
        <rFont val="ＭＳ Ｐゴシック"/>
        <family val="3"/>
        <charset val="128"/>
      </rPr>
      <t>年、</t>
    </r>
    <r>
      <rPr>
        <sz val="11"/>
        <color indexed="8"/>
        <rFont val="Arial"/>
        <family val="2"/>
      </rPr>
      <t>m</t>
    </r>
    <r>
      <rPr>
        <vertAlign val="superscript"/>
        <sz val="11"/>
        <color indexed="8"/>
        <rFont val="Arial"/>
        <family val="2"/>
      </rPr>
      <t>3</t>
    </r>
    <r>
      <rPr>
        <sz val="11"/>
        <color indexed="8"/>
        <rFont val="Arial"/>
        <family val="2"/>
      </rPr>
      <t>/</t>
    </r>
    <r>
      <rPr>
        <sz val="11"/>
        <color indexed="8"/>
        <rFont val="ＭＳ Ｐゴシック"/>
        <family val="3"/>
        <charset val="128"/>
      </rPr>
      <t>年）</t>
    </r>
    <rPh sb="4" eb="5">
      <t>ネン</t>
    </rPh>
    <rPh sb="8" eb="9">
      <t>ネン</t>
    </rPh>
    <rPh sb="13" eb="14">
      <t>ネン</t>
    </rPh>
    <phoneticPr fontId="2"/>
  </si>
  <si>
    <r>
      <rPr>
        <sz val="11"/>
        <color indexed="8"/>
        <rFont val="ＭＳ Ｐゴシック"/>
        <family val="3"/>
        <charset val="128"/>
      </rPr>
      <t>燃料価格</t>
    </r>
    <rPh sb="0" eb="2">
      <t>ネンリョウ</t>
    </rPh>
    <rPh sb="2" eb="4">
      <t>カカク</t>
    </rPh>
    <phoneticPr fontId="2"/>
  </si>
  <si>
    <r>
      <rPr>
        <sz val="11"/>
        <color indexed="8"/>
        <rFont val="ＭＳ Ｐゴシック"/>
        <family val="3"/>
        <charset val="128"/>
      </rPr>
      <t>単位換算係数</t>
    </r>
    <rPh sb="0" eb="2">
      <t>タンイ</t>
    </rPh>
    <rPh sb="2" eb="4">
      <t>カンサン</t>
    </rPh>
    <rPh sb="4" eb="6">
      <t>ケイスウ</t>
    </rPh>
    <phoneticPr fontId="2"/>
  </si>
  <si>
    <r>
      <rPr>
        <sz val="11"/>
        <color indexed="8"/>
        <rFont val="ＭＳ Ｐゴシック"/>
        <family val="3"/>
        <charset val="128"/>
      </rPr>
      <t>（</t>
    </r>
    <r>
      <rPr>
        <sz val="11"/>
        <color indexed="8"/>
        <rFont val="Arial"/>
        <family val="2"/>
      </rPr>
      <t xml:space="preserve">t/kg </t>
    </r>
    <r>
      <rPr>
        <sz val="11"/>
        <color indexed="8"/>
        <rFont val="ＭＳ Ｐゴシック"/>
        <family val="3"/>
        <charset val="128"/>
      </rPr>
      <t>または</t>
    </r>
    <r>
      <rPr>
        <sz val="11"/>
        <color indexed="8"/>
        <rFont val="Arial"/>
        <family val="2"/>
      </rPr>
      <t xml:space="preserve"> bbl/l</t>
    </r>
    <r>
      <rPr>
        <sz val="11"/>
        <color indexed="8"/>
        <rFont val="ＭＳ Ｐゴシック"/>
        <family val="3"/>
        <charset val="128"/>
      </rPr>
      <t>）</t>
    </r>
    <phoneticPr fontId="2"/>
  </si>
  <si>
    <r>
      <rPr>
        <sz val="11"/>
        <color indexed="8"/>
        <rFont val="ＭＳ Ｐゴシック"/>
        <family val="3"/>
        <charset val="128"/>
      </rPr>
      <t>（円</t>
    </r>
    <r>
      <rPr>
        <sz val="11"/>
        <color indexed="8"/>
        <rFont val="Arial"/>
        <family val="2"/>
      </rPr>
      <t>/kg</t>
    </r>
    <r>
      <rPr>
        <sz val="11"/>
        <color indexed="8"/>
        <rFont val="ＭＳ Ｐゴシック"/>
        <family val="3"/>
        <charset val="128"/>
      </rPr>
      <t>　または</t>
    </r>
    <r>
      <rPr>
        <sz val="11"/>
        <color indexed="8"/>
        <rFont val="Arial"/>
        <family val="2"/>
      </rPr>
      <t xml:space="preserve"> </t>
    </r>
    <r>
      <rPr>
        <sz val="11"/>
        <color indexed="8"/>
        <rFont val="ＭＳ Ｐゴシック"/>
        <family val="3"/>
        <charset val="128"/>
      </rPr>
      <t>円</t>
    </r>
    <r>
      <rPr>
        <sz val="11"/>
        <color indexed="8"/>
        <rFont val="Arial"/>
        <family val="2"/>
      </rPr>
      <t>/l</t>
    </r>
    <r>
      <rPr>
        <sz val="11"/>
        <color indexed="8"/>
        <rFont val="ＭＳ Ｐゴシック"/>
        <family val="3"/>
        <charset val="128"/>
      </rPr>
      <t>）</t>
    </r>
    <rPh sb="1" eb="2">
      <t>エン</t>
    </rPh>
    <rPh sb="10" eb="11">
      <t>エン</t>
    </rPh>
    <phoneticPr fontId="2"/>
  </si>
  <si>
    <r>
      <t>CO2</t>
    </r>
    <r>
      <rPr>
        <sz val="11"/>
        <color indexed="8"/>
        <rFont val="ＭＳ Ｐゴシック"/>
        <family val="3"/>
        <charset val="128"/>
      </rPr>
      <t>排出量</t>
    </r>
    <rPh sb="3" eb="5">
      <t>ハイシュツ</t>
    </rPh>
    <rPh sb="5" eb="6">
      <t>リョウ</t>
    </rPh>
    <phoneticPr fontId="2"/>
  </si>
  <si>
    <r>
      <rPr>
        <sz val="11"/>
        <color indexed="8"/>
        <rFont val="ＭＳ Ｐゴシック"/>
        <family val="3"/>
        <charset val="128"/>
      </rPr>
      <t>（</t>
    </r>
    <r>
      <rPr>
        <sz val="11"/>
        <color indexed="8"/>
        <rFont val="Arial"/>
        <family val="2"/>
      </rPr>
      <t>kg-CO2</t>
    </r>
    <r>
      <rPr>
        <sz val="11"/>
        <color indexed="8"/>
        <rFont val="ＭＳ Ｐゴシック"/>
        <family val="3"/>
        <charset val="128"/>
      </rPr>
      <t>）</t>
    </r>
    <phoneticPr fontId="2"/>
  </si>
  <si>
    <r>
      <rPr>
        <sz val="11"/>
        <color indexed="8"/>
        <rFont val="ＭＳ Ｐゴシック"/>
        <family val="3"/>
        <charset val="128"/>
      </rPr>
      <t>熱電比</t>
    </r>
    <rPh sb="0" eb="1">
      <t>ネツ</t>
    </rPh>
    <rPh sb="1" eb="2">
      <t>デン</t>
    </rPh>
    <rPh sb="2" eb="3">
      <t>ヒ</t>
    </rPh>
    <phoneticPr fontId="2"/>
  </si>
  <si>
    <r>
      <rPr>
        <sz val="11"/>
        <color indexed="8"/>
        <rFont val="ＭＳ Ｐゴシック"/>
        <family val="3"/>
        <charset val="128"/>
      </rPr>
      <t>総熱利用量</t>
    </r>
    <rPh sb="0" eb="1">
      <t>ソウ</t>
    </rPh>
    <rPh sb="1" eb="2">
      <t>ネツ</t>
    </rPh>
    <rPh sb="2" eb="4">
      <t>リヨウ</t>
    </rPh>
    <rPh sb="4" eb="5">
      <t>リョウ</t>
    </rPh>
    <phoneticPr fontId="2"/>
  </si>
  <si>
    <r>
      <rPr>
        <sz val="11"/>
        <color indexed="8"/>
        <rFont val="ＭＳ Ｐゴシック"/>
        <family val="3"/>
        <charset val="128"/>
      </rPr>
      <t>（</t>
    </r>
    <r>
      <rPr>
        <sz val="11"/>
        <color indexed="8"/>
        <rFont val="Arial"/>
        <family val="2"/>
      </rPr>
      <t>MJ/</t>
    </r>
    <r>
      <rPr>
        <sz val="11"/>
        <color indexed="8"/>
        <rFont val="ＭＳ Ｐゴシック"/>
        <family val="3"/>
        <charset val="128"/>
      </rPr>
      <t>年）</t>
    </r>
    <rPh sb="4" eb="5">
      <t>ネン</t>
    </rPh>
    <phoneticPr fontId="2"/>
  </si>
  <si>
    <r>
      <rPr>
        <sz val="11"/>
        <color indexed="8"/>
        <rFont val="ＭＳ Ｐゴシック"/>
        <family val="3"/>
        <charset val="128"/>
      </rPr>
      <t>ボイラ燃料換算</t>
    </r>
    <rPh sb="3" eb="5">
      <t>ネンリョウ</t>
    </rPh>
    <rPh sb="5" eb="7">
      <t>カンサン</t>
    </rPh>
    <phoneticPr fontId="2"/>
  </si>
  <si>
    <r>
      <rPr>
        <sz val="11"/>
        <color indexed="8"/>
        <rFont val="ＭＳ Ｐゴシック"/>
        <family val="3"/>
        <charset val="128"/>
      </rPr>
      <t>ボイラ燃料諸経費</t>
    </r>
    <rPh sb="3" eb="5">
      <t>ネンリョウ</t>
    </rPh>
    <rPh sb="5" eb="8">
      <t>ショケイヒ</t>
    </rPh>
    <phoneticPr fontId="2"/>
  </si>
  <si>
    <r>
      <rPr>
        <sz val="11"/>
        <color indexed="8"/>
        <rFont val="ＭＳ Ｐゴシック"/>
        <family val="3"/>
        <charset val="128"/>
      </rPr>
      <t>ボイラ</t>
    </r>
    <r>
      <rPr>
        <sz val="11"/>
        <color indexed="8"/>
        <rFont val="Arial"/>
        <family val="2"/>
      </rPr>
      <t>CO2</t>
    </r>
    <r>
      <rPr>
        <sz val="11"/>
        <color indexed="8"/>
        <rFont val="ＭＳ Ｐゴシック"/>
        <family val="3"/>
        <charset val="128"/>
      </rPr>
      <t>排出量</t>
    </r>
    <rPh sb="6" eb="8">
      <t>ハイシュツ</t>
    </rPh>
    <rPh sb="8" eb="9">
      <t>リョウ</t>
    </rPh>
    <phoneticPr fontId="2"/>
  </si>
  <si>
    <r>
      <rPr>
        <sz val="11"/>
        <rFont val="ＭＳ Ｐゴシック"/>
        <family val="3"/>
        <charset val="128"/>
      </rPr>
      <t>（円</t>
    </r>
    <r>
      <rPr>
        <sz val="11"/>
        <rFont val="Arial"/>
        <family val="2"/>
      </rPr>
      <t>/</t>
    </r>
    <r>
      <rPr>
        <sz val="11"/>
        <rFont val="ＭＳ Ｐゴシック"/>
        <family val="3"/>
        <charset val="128"/>
      </rPr>
      <t>ドル）</t>
    </r>
    <rPh sb="1" eb="2">
      <t>エン</t>
    </rPh>
    <phoneticPr fontId="2"/>
  </si>
  <si>
    <r>
      <rPr>
        <sz val="11"/>
        <rFont val="ＭＳ Ｐゴシック"/>
        <family val="3"/>
        <charset val="128"/>
      </rPr>
      <t>（</t>
    </r>
    <r>
      <rPr>
        <sz val="11"/>
        <rFont val="Arial"/>
        <family val="2"/>
      </rPr>
      <t>%</t>
    </r>
    <r>
      <rPr>
        <sz val="11"/>
        <rFont val="ＭＳ Ｐゴシック"/>
        <family val="3"/>
        <charset val="128"/>
      </rPr>
      <t>）</t>
    </r>
    <phoneticPr fontId="2"/>
  </si>
  <si>
    <r>
      <rPr>
        <sz val="11"/>
        <rFont val="ＭＳ Ｐゴシック"/>
        <family val="3"/>
        <charset val="128"/>
      </rPr>
      <t>（万</t>
    </r>
    <r>
      <rPr>
        <sz val="11"/>
        <rFont val="Arial"/>
        <family val="2"/>
      </rPr>
      <t>kW</t>
    </r>
    <r>
      <rPr>
        <sz val="11"/>
        <rFont val="ＭＳ Ｐゴシック"/>
        <family val="3"/>
        <charset val="128"/>
      </rPr>
      <t>）</t>
    </r>
    <rPh sb="1" eb="2">
      <t>マン</t>
    </rPh>
    <phoneticPr fontId="2"/>
  </si>
  <si>
    <r>
      <rPr>
        <sz val="11"/>
        <rFont val="ＭＳ Ｐゴシック"/>
        <family val="3"/>
        <charset val="128"/>
      </rPr>
      <t>（万円</t>
    </r>
    <r>
      <rPr>
        <sz val="11"/>
        <rFont val="Arial"/>
        <family val="2"/>
      </rPr>
      <t>/kW</t>
    </r>
    <r>
      <rPr>
        <sz val="11"/>
        <rFont val="ＭＳ Ｐゴシック"/>
        <family val="3"/>
        <charset val="128"/>
      </rPr>
      <t>）</t>
    </r>
    <rPh sb="1" eb="2">
      <t>マン</t>
    </rPh>
    <rPh sb="2" eb="3">
      <t>エン</t>
    </rPh>
    <phoneticPr fontId="2"/>
  </si>
  <si>
    <r>
      <rPr>
        <sz val="11"/>
        <rFont val="ＭＳ Ｐゴシック"/>
        <family val="3"/>
        <charset val="128"/>
      </rPr>
      <t>（円</t>
    </r>
    <r>
      <rPr>
        <sz val="11"/>
        <rFont val="Arial"/>
        <family val="2"/>
      </rPr>
      <t>/</t>
    </r>
    <r>
      <rPr>
        <sz val="11"/>
        <rFont val="ＭＳ Ｐゴシック"/>
        <family val="3"/>
        <charset val="128"/>
      </rPr>
      <t>年）</t>
    </r>
    <rPh sb="1" eb="2">
      <t>エン</t>
    </rPh>
    <rPh sb="3" eb="4">
      <t>ネン</t>
    </rPh>
    <phoneticPr fontId="2"/>
  </si>
  <si>
    <r>
      <rPr>
        <sz val="11"/>
        <rFont val="ＭＳ Ｐゴシック"/>
        <family val="3"/>
        <charset val="128"/>
      </rPr>
      <t>（億円）</t>
    </r>
    <rPh sb="1" eb="3">
      <t>オクエン</t>
    </rPh>
    <phoneticPr fontId="2"/>
  </si>
  <si>
    <r>
      <rPr>
        <sz val="11"/>
        <rFont val="ＭＳ Ｐゴシック"/>
        <family val="3"/>
        <charset val="128"/>
      </rPr>
      <t>業務分担費（一般管理費）</t>
    </r>
    <rPh sb="6" eb="8">
      <t>イッパン</t>
    </rPh>
    <rPh sb="8" eb="11">
      <t>カンリヒ</t>
    </rPh>
    <phoneticPr fontId="2"/>
  </si>
  <si>
    <r>
      <t>（円</t>
    </r>
    <r>
      <rPr>
        <sz val="11"/>
        <rFont val="Arial"/>
        <family val="2"/>
      </rPr>
      <t>/t</t>
    </r>
    <r>
      <rPr>
        <sz val="11"/>
        <rFont val="ＭＳ Ｐゴシック"/>
        <family val="3"/>
        <charset val="128"/>
      </rPr>
      <t>）</t>
    </r>
    <rPh sb="1" eb="2">
      <t>エン</t>
    </rPh>
    <phoneticPr fontId="2"/>
  </si>
  <si>
    <r>
      <rPr>
        <sz val="11"/>
        <rFont val="ＭＳ Ｐゴシック"/>
        <family val="3"/>
        <charset val="128"/>
      </rPr>
      <t>価格上昇率（シナリオ）</t>
    </r>
    <rPh sb="0" eb="2">
      <t>カカク</t>
    </rPh>
    <rPh sb="2" eb="4">
      <t>ジョウショウ</t>
    </rPh>
    <rPh sb="4" eb="5">
      <t>リツ</t>
    </rPh>
    <phoneticPr fontId="2"/>
  </si>
  <si>
    <r>
      <rPr>
        <sz val="11"/>
        <rFont val="ＭＳ Ｐゴシック"/>
        <family val="3"/>
        <charset val="128"/>
      </rPr>
      <t>燃料諸経費</t>
    </r>
    <rPh sb="0" eb="2">
      <t>ネンリョウ</t>
    </rPh>
    <rPh sb="2" eb="5">
      <t>ショケイヒ</t>
    </rPh>
    <phoneticPr fontId="2"/>
  </si>
  <si>
    <r>
      <rPr>
        <sz val="11"/>
        <rFont val="ＭＳ Ｐゴシック"/>
        <family val="3"/>
        <charset val="128"/>
      </rPr>
      <t>（円</t>
    </r>
    <r>
      <rPr>
        <sz val="11"/>
        <rFont val="Arial"/>
        <family val="2"/>
      </rPr>
      <t xml:space="preserve">/t </t>
    </r>
    <r>
      <rPr>
        <sz val="11"/>
        <rFont val="ＭＳ Ｐゴシック"/>
        <family val="3"/>
        <charset val="128"/>
      </rPr>
      <t>または</t>
    </r>
    <r>
      <rPr>
        <sz val="11"/>
        <rFont val="Arial"/>
        <family val="2"/>
      </rPr>
      <t xml:space="preserve"> </t>
    </r>
    <r>
      <rPr>
        <sz val="11"/>
        <rFont val="ＭＳ Ｐゴシック"/>
        <family val="3"/>
        <charset val="128"/>
      </rPr>
      <t>円</t>
    </r>
    <r>
      <rPr>
        <sz val="11"/>
        <rFont val="Arial"/>
        <family val="2"/>
      </rPr>
      <t>/kl</t>
    </r>
    <r>
      <rPr>
        <sz val="11"/>
        <rFont val="ＭＳ Ｐゴシック"/>
        <family val="3"/>
        <charset val="128"/>
      </rPr>
      <t>）</t>
    </r>
    <rPh sb="1" eb="2">
      <t>エン</t>
    </rPh>
    <rPh sb="9" eb="10">
      <t>エン</t>
    </rPh>
    <phoneticPr fontId="2"/>
  </si>
  <si>
    <r>
      <rPr>
        <sz val="11"/>
        <rFont val="ＭＳ Ｐゴシック"/>
        <family val="3"/>
        <charset val="128"/>
      </rPr>
      <t>炭素排出係数</t>
    </r>
    <rPh sb="0" eb="2">
      <t>タンソ</t>
    </rPh>
    <rPh sb="2" eb="4">
      <t>ハイシュツ</t>
    </rPh>
    <rPh sb="4" eb="6">
      <t>ケイスウ</t>
    </rPh>
    <phoneticPr fontId="2"/>
  </si>
  <si>
    <r>
      <rPr>
        <sz val="11"/>
        <rFont val="ＭＳ Ｐゴシック"/>
        <family val="3"/>
        <charset val="128"/>
      </rPr>
      <t>（</t>
    </r>
    <r>
      <rPr>
        <sz val="11"/>
        <rFont val="Arial"/>
        <family val="2"/>
      </rPr>
      <t>g-C/MJ</t>
    </r>
    <r>
      <rPr>
        <sz val="11"/>
        <rFont val="ＭＳ Ｐゴシック"/>
        <family val="3"/>
        <charset val="128"/>
      </rPr>
      <t>）</t>
    </r>
    <phoneticPr fontId="12"/>
  </si>
  <si>
    <r>
      <t>CO2</t>
    </r>
    <r>
      <rPr>
        <sz val="11"/>
        <rFont val="ＭＳ Ｐゴシック"/>
        <family val="3"/>
        <charset val="128"/>
      </rPr>
      <t>価格見通し</t>
    </r>
    <rPh sb="3" eb="5">
      <t>カカク</t>
    </rPh>
    <rPh sb="5" eb="7">
      <t>ミトオ</t>
    </rPh>
    <phoneticPr fontId="2"/>
  </si>
  <si>
    <t>熱回収効率</t>
    <rPh sb="0" eb="1">
      <t>ネツ</t>
    </rPh>
    <rPh sb="1" eb="3">
      <t>カイシュウ</t>
    </rPh>
    <rPh sb="3" eb="5">
      <t>コウリツ</t>
    </rPh>
    <phoneticPr fontId="2"/>
  </si>
  <si>
    <r>
      <rPr>
        <sz val="11"/>
        <rFont val="ＭＳ Ｐゴシック"/>
        <family val="3"/>
        <charset val="128"/>
      </rPr>
      <t>排熱利用率</t>
    </r>
    <rPh sb="0" eb="2">
      <t>ハイネツ</t>
    </rPh>
    <rPh sb="2" eb="5">
      <t>リヨウリツ</t>
    </rPh>
    <phoneticPr fontId="2"/>
  </si>
  <si>
    <r>
      <rPr>
        <sz val="11"/>
        <rFont val="ＭＳ Ｐゴシック"/>
        <family val="3"/>
        <charset val="128"/>
      </rPr>
      <t>ボイラ効率</t>
    </r>
    <rPh sb="3" eb="5">
      <t>コウリツ</t>
    </rPh>
    <phoneticPr fontId="2"/>
  </si>
  <si>
    <r>
      <rPr>
        <sz val="11"/>
        <rFont val="ＭＳ Ｐゴシック"/>
        <family val="3"/>
        <charset val="128"/>
      </rPr>
      <t>ボイラ燃料発熱量</t>
    </r>
    <rPh sb="3" eb="5">
      <t>ネンリョウ</t>
    </rPh>
    <rPh sb="5" eb="7">
      <t>ハツネツ</t>
    </rPh>
    <rPh sb="7" eb="8">
      <t>リョウ</t>
    </rPh>
    <phoneticPr fontId="2"/>
  </si>
  <si>
    <r>
      <rPr>
        <sz val="11"/>
        <rFont val="ＭＳ Ｐゴシック"/>
        <family val="3"/>
        <charset val="128"/>
      </rPr>
      <t>ボイラ燃料取り扱い費</t>
    </r>
    <rPh sb="3" eb="5">
      <t>ネンリョウ</t>
    </rPh>
    <rPh sb="5" eb="6">
      <t>ト</t>
    </rPh>
    <rPh sb="7" eb="8">
      <t>アツカ</t>
    </rPh>
    <rPh sb="9" eb="10">
      <t>ヒ</t>
    </rPh>
    <phoneticPr fontId="2"/>
  </si>
  <si>
    <r>
      <rPr>
        <sz val="11"/>
        <rFont val="ＭＳ Ｐゴシック"/>
        <family val="3"/>
        <charset val="128"/>
      </rPr>
      <t>積立期間</t>
    </r>
    <rPh sb="0" eb="2">
      <t>ツミタテ</t>
    </rPh>
    <rPh sb="2" eb="4">
      <t>キカン</t>
    </rPh>
    <phoneticPr fontId="2"/>
  </si>
  <si>
    <r>
      <rPr>
        <sz val="11"/>
        <rFont val="ＭＳ Ｐゴシック"/>
        <family val="3"/>
        <charset val="128"/>
      </rPr>
      <t>（億</t>
    </r>
    <r>
      <rPr>
        <sz val="11"/>
        <rFont val="Arial"/>
        <family val="2"/>
      </rPr>
      <t>kWh</t>
    </r>
    <r>
      <rPr>
        <sz val="11"/>
        <rFont val="ＭＳ Ｐゴシック"/>
        <family val="3"/>
        <charset val="128"/>
      </rPr>
      <t>）</t>
    </r>
    <rPh sb="1" eb="2">
      <t>オク</t>
    </rPh>
    <phoneticPr fontId="2"/>
  </si>
  <si>
    <r>
      <rPr>
        <b/>
        <sz val="11"/>
        <rFont val="ＭＳ Ｐゴシック"/>
        <family val="3"/>
        <charset val="128"/>
      </rPr>
      <t>資本費</t>
    </r>
    <rPh sb="0" eb="2">
      <t>シホン</t>
    </rPh>
    <rPh sb="2" eb="3">
      <t>ヒ</t>
    </rPh>
    <phoneticPr fontId="2"/>
  </si>
  <si>
    <r>
      <rPr>
        <sz val="11"/>
        <rFont val="ＭＳ Ｐゴシック"/>
        <family val="3"/>
        <charset val="128"/>
      </rPr>
      <t>資本費内訳</t>
    </r>
    <rPh sb="0" eb="2">
      <t>シホン</t>
    </rPh>
    <rPh sb="2" eb="3">
      <t>ヒ</t>
    </rPh>
    <rPh sb="3" eb="5">
      <t>ウチワケ</t>
    </rPh>
    <phoneticPr fontId="2"/>
  </si>
  <si>
    <r>
      <rPr>
        <b/>
        <sz val="11"/>
        <rFont val="ＭＳ Ｐゴシック"/>
        <family val="3"/>
        <charset val="128"/>
      </rPr>
      <t>運転維持費</t>
    </r>
    <rPh sb="0" eb="2">
      <t>ウンテン</t>
    </rPh>
    <rPh sb="2" eb="5">
      <t>イジヒ</t>
    </rPh>
    <phoneticPr fontId="2"/>
  </si>
  <si>
    <r>
      <rPr>
        <sz val="11"/>
        <rFont val="ＭＳ Ｐゴシック"/>
        <family val="3"/>
        <charset val="128"/>
      </rPr>
      <t>運転維持費内訳</t>
    </r>
    <rPh sb="0" eb="2">
      <t>ウンテン</t>
    </rPh>
    <rPh sb="2" eb="5">
      <t>イジヒ</t>
    </rPh>
    <rPh sb="5" eb="7">
      <t>ウチワケ</t>
    </rPh>
    <phoneticPr fontId="2"/>
  </si>
  <si>
    <r>
      <rPr>
        <b/>
        <sz val="11"/>
        <rFont val="ＭＳ Ｐゴシック"/>
        <family val="3"/>
        <charset val="128"/>
      </rPr>
      <t>燃料費</t>
    </r>
    <rPh sb="0" eb="3">
      <t>ネンリョウヒ</t>
    </rPh>
    <phoneticPr fontId="2"/>
  </si>
  <si>
    <r>
      <rPr>
        <sz val="11"/>
        <rFont val="ＭＳ Ｐゴシック"/>
        <family val="3"/>
        <charset val="128"/>
      </rPr>
      <t>燃料費内訳</t>
    </r>
    <rPh sb="0" eb="3">
      <t>ネンリョウヒ</t>
    </rPh>
    <rPh sb="3" eb="5">
      <t>ウチワケ</t>
    </rPh>
    <phoneticPr fontId="2"/>
  </si>
  <si>
    <r>
      <rPr>
        <sz val="11"/>
        <rFont val="ＭＳ Ｐゴシック"/>
        <family val="3"/>
        <charset val="128"/>
      </rPr>
      <t>化石燃料費用</t>
    </r>
    <rPh sb="0" eb="2">
      <t>カセキ</t>
    </rPh>
    <rPh sb="2" eb="4">
      <t>ネンリョウ</t>
    </rPh>
    <rPh sb="4" eb="6">
      <t>ヒヨウ</t>
    </rPh>
    <phoneticPr fontId="2"/>
  </si>
  <si>
    <r>
      <rPr>
        <sz val="11"/>
        <rFont val="ＭＳ Ｐゴシック"/>
        <family val="3"/>
        <charset val="128"/>
      </rPr>
      <t>核燃料サイクル費用</t>
    </r>
    <rPh sb="0" eb="3">
      <t>カクネンリョウ</t>
    </rPh>
    <rPh sb="7" eb="9">
      <t>ヒヨウ</t>
    </rPh>
    <phoneticPr fontId="2"/>
  </si>
  <si>
    <r>
      <rPr>
        <b/>
        <sz val="11"/>
        <rFont val="ＭＳ Ｐゴシック"/>
        <family val="3"/>
        <charset val="128"/>
      </rPr>
      <t>社会的費用</t>
    </r>
    <rPh sb="0" eb="3">
      <t>シャカイテキ</t>
    </rPh>
    <rPh sb="3" eb="5">
      <t>ヒヨウ</t>
    </rPh>
    <phoneticPr fontId="2"/>
  </si>
  <si>
    <r>
      <rPr>
        <sz val="11"/>
        <rFont val="ＭＳ Ｐゴシック"/>
        <family val="3"/>
        <charset val="128"/>
      </rPr>
      <t>社会的費用内訳</t>
    </r>
    <rPh sb="0" eb="3">
      <t>シャカイテキ</t>
    </rPh>
    <rPh sb="3" eb="5">
      <t>ヒヨウ</t>
    </rPh>
    <rPh sb="5" eb="7">
      <t>ウチワケ</t>
    </rPh>
    <phoneticPr fontId="2"/>
  </si>
  <si>
    <r>
      <t>CO2</t>
    </r>
    <r>
      <rPr>
        <sz val="11"/>
        <rFont val="ＭＳ Ｐゴシック"/>
        <family val="3"/>
        <charset val="128"/>
      </rPr>
      <t>対策費用</t>
    </r>
    <rPh sb="3" eb="5">
      <t>タイサク</t>
    </rPh>
    <rPh sb="5" eb="7">
      <t>ヒヨウ</t>
    </rPh>
    <phoneticPr fontId="2"/>
  </si>
  <si>
    <r>
      <rPr>
        <sz val="11"/>
        <rFont val="ＭＳ Ｐゴシック"/>
        <family val="3"/>
        <charset val="128"/>
      </rPr>
      <t>事故リスク対応費用</t>
    </r>
    <rPh sb="0" eb="2">
      <t>ジコ</t>
    </rPh>
    <rPh sb="5" eb="7">
      <t>タイオウ</t>
    </rPh>
    <rPh sb="7" eb="9">
      <t>ヒヨウ</t>
    </rPh>
    <phoneticPr fontId="2"/>
  </si>
  <si>
    <r>
      <rPr>
        <b/>
        <sz val="11"/>
        <rFont val="ＭＳ Ｐゴシック"/>
        <family val="3"/>
        <charset val="128"/>
      </rPr>
      <t>排熱価値</t>
    </r>
    <rPh sb="0" eb="2">
      <t>ハイネツ</t>
    </rPh>
    <rPh sb="2" eb="4">
      <t>カチ</t>
    </rPh>
    <phoneticPr fontId="2"/>
  </si>
  <si>
    <r>
      <rPr>
        <sz val="11"/>
        <rFont val="ＭＳ Ｐゴシック"/>
        <family val="3"/>
        <charset val="128"/>
      </rPr>
      <t>排熱価値内訳</t>
    </r>
    <rPh sb="0" eb="2">
      <t>ハイネツ</t>
    </rPh>
    <rPh sb="2" eb="4">
      <t>カチ</t>
    </rPh>
    <rPh sb="4" eb="6">
      <t>ウチワケ</t>
    </rPh>
    <phoneticPr fontId="2"/>
  </si>
  <si>
    <r>
      <rPr>
        <sz val="11"/>
        <rFont val="ＭＳ Ｐゴシック"/>
        <family val="3"/>
        <charset val="128"/>
      </rPr>
      <t>ボイラ燃料費</t>
    </r>
    <rPh sb="3" eb="6">
      <t>ネンリョウヒ</t>
    </rPh>
    <phoneticPr fontId="2"/>
  </si>
  <si>
    <r>
      <rPr>
        <sz val="11"/>
        <rFont val="ＭＳ Ｐゴシック"/>
        <family val="3"/>
        <charset val="128"/>
      </rPr>
      <t>ボイラ</t>
    </r>
    <r>
      <rPr>
        <sz val="11"/>
        <rFont val="Arial"/>
        <family val="2"/>
      </rPr>
      <t>CO2</t>
    </r>
    <r>
      <rPr>
        <sz val="11"/>
        <rFont val="ＭＳ Ｐゴシック"/>
        <family val="3"/>
        <charset val="128"/>
      </rPr>
      <t>対策費用</t>
    </r>
    <rPh sb="6" eb="8">
      <t>タイサク</t>
    </rPh>
    <rPh sb="8" eb="10">
      <t>ヒヨウ</t>
    </rPh>
    <phoneticPr fontId="2"/>
  </si>
  <si>
    <r>
      <rPr>
        <sz val="11"/>
        <rFont val="ＭＳ Ｐゴシック"/>
        <family val="3"/>
        <charset val="128"/>
      </rPr>
      <t>（円）</t>
    </r>
    <rPh sb="1" eb="2">
      <t>エン</t>
    </rPh>
    <phoneticPr fontId="2"/>
  </si>
  <si>
    <r>
      <rPr>
        <sz val="11"/>
        <rFont val="ＭＳ Ｐゴシック"/>
        <family val="3"/>
        <charset val="128"/>
      </rPr>
      <t>償却率</t>
    </r>
    <rPh sb="0" eb="3">
      <t>ショウキャクリツ</t>
    </rPh>
    <phoneticPr fontId="2"/>
  </si>
  <si>
    <r>
      <rPr>
        <sz val="11"/>
        <rFont val="ＭＳ Ｐゴシック"/>
        <family val="3"/>
        <charset val="128"/>
      </rPr>
      <t>改定償却率</t>
    </r>
    <rPh sb="0" eb="2">
      <t>カイテイ</t>
    </rPh>
    <rPh sb="2" eb="5">
      <t>ショウキャクリツ</t>
    </rPh>
    <phoneticPr fontId="2"/>
  </si>
  <si>
    <r>
      <rPr>
        <sz val="11"/>
        <rFont val="ＭＳ Ｐゴシック"/>
        <family val="3"/>
        <charset val="128"/>
      </rPr>
      <t>保証率</t>
    </r>
    <rPh sb="0" eb="2">
      <t>ホショウ</t>
    </rPh>
    <rPh sb="2" eb="3">
      <t>リツ</t>
    </rPh>
    <phoneticPr fontId="2"/>
  </si>
  <si>
    <r>
      <rPr>
        <sz val="11"/>
        <rFont val="ＭＳ Ｐゴシック"/>
        <family val="3"/>
        <charset val="128"/>
      </rPr>
      <t>発電端</t>
    </r>
    <rPh sb="0" eb="2">
      <t>ハツデン</t>
    </rPh>
    <rPh sb="2" eb="3">
      <t>タン</t>
    </rPh>
    <phoneticPr fontId="2"/>
  </si>
  <si>
    <r>
      <rPr>
        <sz val="11"/>
        <rFont val="ＭＳ Ｐゴシック"/>
        <family val="3"/>
        <charset val="128"/>
      </rPr>
      <t>（</t>
    </r>
    <r>
      <rPr>
        <sz val="11"/>
        <rFont val="Arial"/>
        <family val="2"/>
      </rPr>
      <t>kWh/</t>
    </r>
    <r>
      <rPr>
        <sz val="11"/>
        <rFont val="ＭＳ Ｐゴシック"/>
        <family val="3"/>
        <charset val="128"/>
      </rPr>
      <t>年）</t>
    </r>
    <rPh sb="5" eb="6">
      <t>ネン</t>
    </rPh>
    <phoneticPr fontId="2"/>
  </si>
  <si>
    <r>
      <rPr>
        <sz val="11"/>
        <rFont val="ＭＳ Ｐゴシック"/>
        <family val="3"/>
        <charset val="128"/>
      </rPr>
      <t>送電端</t>
    </r>
    <rPh sb="0" eb="2">
      <t>ソウデン</t>
    </rPh>
    <rPh sb="2" eb="3">
      <t>タン</t>
    </rPh>
    <phoneticPr fontId="2"/>
  </si>
  <si>
    <r>
      <rPr>
        <sz val="11"/>
        <rFont val="ＭＳ Ｐゴシック"/>
        <family val="3"/>
        <charset val="128"/>
      </rPr>
      <t>単位換算係数</t>
    </r>
    <rPh sb="0" eb="2">
      <t>タンイ</t>
    </rPh>
    <rPh sb="2" eb="4">
      <t>カンサン</t>
    </rPh>
    <rPh sb="4" eb="6">
      <t>ケイスウ</t>
    </rPh>
    <phoneticPr fontId="2"/>
  </si>
  <si>
    <r>
      <rPr>
        <sz val="11"/>
        <rFont val="ＭＳ Ｐゴシック"/>
        <family val="3"/>
        <charset val="128"/>
      </rPr>
      <t>（</t>
    </r>
    <r>
      <rPr>
        <sz val="11"/>
        <rFont val="Arial"/>
        <family val="2"/>
      </rPr>
      <t xml:space="preserve">t/kg </t>
    </r>
    <r>
      <rPr>
        <sz val="11"/>
        <rFont val="ＭＳ Ｐゴシック"/>
        <family val="3"/>
        <charset val="128"/>
      </rPr>
      <t>または</t>
    </r>
    <r>
      <rPr>
        <sz val="11"/>
        <rFont val="Arial"/>
        <family val="2"/>
      </rPr>
      <t xml:space="preserve"> bbl/l</t>
    </r>
    <r>
      <rPr>
        <sz val="11"/>
        <rFont val="ＭＳ Ｐゴシック"/>
        <family val="3"/>
        <charset val="128"/>
      </rPr>
      <t>）</t>
    </r>
    <phoneticPr fontId="2"/>
  </si>
  <si>
    <r>
      <rPr>
        <sz val="11"/>
        <rFont val="ＭＳ Ｐゴシック"/>
        <family val="3"/>
        <charset val="128"/>
      </rPr>
      <t>（円</t>
    </r>
    <r>
      <rPr>
        <sz val="11"/>
        <rFont val="Arial"/>
        <family val="2"/>
      </rPr>
      <t>/kg</t>
    </r>
    <r>
      <rPr>
        <sz val="11"/>
        <rFont val="ＭＳ Ｐゴシック"/>
        <family val="3"/>
        <charset val="128"/>
      </rPr>
      <t>　または</t>
    </r>
    <r>
      <rPr>
        <sz val="11"/>
        <rFont val="Arial"/>
        <family val="2"/>
      </rPr>
      <t xml:space="preserve"> </t>
    </r>
    <r>
      <rPr>
        <sz val="11"/>
        <rFont val="ＭＳ Ｐゴシック"/>
        <family val="3"/>
        <charset val="128"/>
      </rPr>
      <t>円</t>
    </r>
    <r>
      <rPr>
        <sz val="11"/>
        <rFont val="Arial"/>
        <family val="2"/>
      </rPr>
      <t>/l</t>
    </r>
    <r>
      <rPr>
        <sz val="11"/>
        <rFont val="ＭＳ Ｐゴシック"/>
        <family val="3"/>
        <charset val="128"/>
      </rPr>
      <t>）</t>
    </r>
    <rPh sb="1" eb="2">
      <t>エン</t>
    </rPh>
    <rPh sb="10" eb="11">
      <t>エン</t>
    </rPh>
    <phoneticPr fontId="2"/>
  </si>
  <si>
    <r>
      <rPr>
        <sz val="11"/>
        <rFont val="ＭＳ Ｐゴシック"/>
        <family val="3"/>
        <charset val="128"/>
      </rPr>
      <t>（</t>
    </r>
    <r>
      <rPr>
        <sz val="11"/>
        <rFont val="Arial"/>
        <family val="2"/>
      </rPr>
      <t>kg-CO2</t>
    </r>
    <r>
      <rPr>
        <sz val="11"/>
        <rFont val="ＭＳ Ｐゴシック"/>
        <family val="3"/>
        <charset val="128"/>
      </rPr>
      <t>）</t>
    </r>
    <phoneticPr fontId="2"/>
  </si>
  <si>
    <t>熱電比</t>
    <rPh sb="0" eb="1">
      <t>ネツ</t>
    </rPh>
    <rPh sb="1" eb="2">
      <t>デン</t>
    </rPh>
    <rPh sb="2" eb="3">
      <t>ヒ</t>
    </rPh>
    <phoneticPr fontId="2"/>
  </si>
  <si>
    <r>
      <rPr>
        <sz val="11"/>
        <rFont val="ＭＳ Ｐゴシック"/>
        <family val="3"/>
        <charset val="128"/>
      </rPr>
      <t>総熱利用量</t>
    </r>
    <rPh sb="0" eb="1">
      <t>ソウ</t>
    </rPh>
    <rPh sb="1" eb="2">
      <t>ネツ</t>
    </rPh>
    <rPh sb="2" eb="4">
      <t>リヨウ</t>
    </rPh>
    <rPh sb="4" eb="5">
      <t>リョウ</t>
    </rPh>
    <phoneticPr fontId="2"/>
  </si>
  <si>
    <r>
      <rPr>
        <sz val="11"/>
        <rFont val="ＭＳ Ｐゴシック"/>
        <family val="3"/>
        <charset val="128"/>
      </rPr>
      <t>（</t>
    </r>
    <r>
      <rPr>
        <sz val="11"/>
        <rFont val="Arial"/>
        <family val="2"/>
      </rPr>
      <t>MJ/</t>
    </r>
    <r>
      <rPr>
        <sz val="11"/>
        <rFont val="ＭＳ Ｐゴシック"/>
        <family val="3"/>
        <charset val="128"/>
      </rPr>
      <t>年）</t>
    </r>
    <rPh sb="4" eb="5">
      <t>ネン</t>
    </rPh>
    <phoneticPr fontId="2"/>
  </si>
  <si>
    <r>
      <rPr>
        <sz val="11"/>
        <rFont val="ＭＳ Ｐゴシック"/>
        <family val="3"/>
        <charset val="128"/>
      </rPr>
      <t>ボイラ燃料換算</t>
    </r>
    <rPh sb="3" eb="5">
      <t>ネンリョウ</t>
    </rPh>
    <rPh sb="5" eb="7">
      <t>カンサン</t>
    </rPh>
    <phoneticPr fontId="2"/>
  </si>
  <si>
    <r>
      <rPr>
        <sz val="11"/>
        <rFont val="ＭＳ Ｐゴシック"/>
        <family val="3"/>
        <charset val="128"/>
      </rPr>
      <t>ボイラ燃料諸経費</t>
    </r>
    <rPh sb="3" eb="5">
      <t>ネンリョウ</t>
    </rPh>
    <rPh sb="5" eb="8">
      <t>ショケイヒ</t>
    </rPh>
    <phoneticPr fontId="2"/>
  </si>
  <si>
    <r>
      <rPr>
        <sz val="11"/>
        <rFont val="ＭＳ Ｐゴシック"/>
        <family val="3"/>
        <charset val="128"/>
      </rPr>
      <t>ボイラ</t>
    </r>
    <r>
      <rPr>
        <sz val="11"/>
        <rFont val="Arial"/>
        <family val="2"/>
      </rPr>
      <t>CO2</t>
    </r>
    <r>
      <rPr>
        <sz val="11"/>
        <rFont val="ＭＳ Ｐゴシック"/>
        <family val="3"/>
        <charset val="128"/>
      </rPr>
      <t>排出量</t>
    </r>
    <rPh sb="6" eb="8">
      <t>ハイシュツ</t>
    </rPh>
    <rPh sb="8" eb="9">
      <t>リョウ</t>
    </rPh>
    <phoneticPr fontId="2"/>
  </si>
  <si>
    <t>石油火力</t>
    <phoneticPr fontId="15"/>
  </si>
  <si>
    <r>
      <rPr>
        <sz val="11"/>
        <rFont val="ＭＳ Ｐゴシック"/>
        <family val="3"/>
        <charset val="128"/>
      </rPr>
      <t>（</t>
    </r>
    <r>
      <rPr>
        <sz val="11"/>
        <rFont val="Arial"/>
        <family val="2"/>
      </rPr>
      <t>g-C/MJ</t>
    </r>
    <r>
      <rPr>
        <sz val="11"/>
        <rFont val="ＭＳ Ｐゴシック"/>
        <family val="3"/>
        <charset val="128"/>
      </rPr>
      <t>）</t>
    </r>
    <phoneticPr fontId="2"/>
  </si>
  <si>
    <r>
      <rPr>
        <sz val="11"/>
        <rFont val="ＭＳ Ｐゴシック"/>
        <family val="3"/>
        <charset val="128"/>
      </rPr>
      <t>（万円</t>
    </r>
    <r>
      <rPr>
        <sz val="11"/>
        <rFont val="Arial"/>
        <family val="2"/>
      </rPr>
      <t>/kW/</t>
    </r>
    <r>
      <rPr>
        <sz val="11"/>
        <rFont val="ＭＳ Ｐゴシック"/>
        <family val="3"/>
        <charset val="128"/>
      </rPr>
      <t>年）</t>
    </r>
    <rPh sb="1" eb="3">
      <t>マンエン</t>
    </rPh>
    <rPh sb="7" eb="8">
      <t>ネン</t>
    </rPh>
    <phoneticPr fontId="2"/>
  </si>
  <si>
    <t>燃料電池</t>
    <phoneticPr fontId="18"/>
  </si>
  <si>
    <t>,</t>
    <phoneticPr fontId="2"/>
  </si>
  <si>
    <r>
      <rPr>
        <sz val="11"/>
        <rFont val="ＭＳ Ｐゴシック"/>
        <family val="3"/>
        <charset val="128"/>
      </rPr>
      <t>（円</t>
    </r>
    <r>
      <rPr>
        <sz val="11"/>
        <rFont val="Arial"/>
        <family val="2"/>
      </rPr>
      <t>/t</t>
    </r>
    <r>
      <rPr>
        <sz val="11"/>
        <rFont val="ＭＳ Ｐゴシック"/>
        <family val="3"/>
        <charset val="128"/>
      </rPr>
      <t>）</t>
    </r>
    <rPh sb="1" eb="2">
      <t>エン</t>
    </rPh>
    <phoneticPr fontId="2"/>
  </si>
  <si>
    <t>太陽光（事業用）</t>
    <rPh sb="4" eb="7">
      <t>ジギョウヨウ</t>
    </rPh>
    <phoneticPr fontId="16"/>
  </si>
  <si>
    <t>人件費・修繕費・諸費・業務分担費</t>
    <rPh sb="0" eb="3">
      <t>ジンケンヒ</t>
    </rPh>
    <rPh sb="4" eb="7">
      <t>シュウゼンヒ</t>
    </rPh>
    <rPh sb="8" eb="10">
      <t>ショヒ</t>
    </rPh>
    <rPh sb="11" eb="13">
      <t>ギョウム</t>
    </rPh>
    <rPh sb="13" eb="15">
      <t>ブンタン</t>
    </rPh>
    <rPh sb="15" eb="16">
      <t>ヒ</t>
    </rPh>
    <phoneticPr fontId="2"/>
  </si>
  <si>
    <t>－</t>
    <phoneticPr fontId="2"/>
  </si>
  <si>
    <t>修繕費（上記の内数）</t>
    <rPh sb="4" eb="6">
      <t>ジョウキ</t>
    </rPh>
    <rPh sb="7" eb="9">
      <t>ウチスウ</t>
    </rPh>
    <phoneticPr fontId="2"/>
  </si>
  <si>
    <t>諸費（上記の内数）</t>
    <phoneticPr fontId="2"/>
  </si>
  <si>
    <t>業務分担費（一般管理費）（上記の内数）</t>
    <rPh sb="6" eb="8">
      <t>イッパン</t>
    </rPh>
    <rPh sb="8" eb="11">
      <t>カンリヒ</t>
    </rPh>
    <phoneticPr fontId="2"/>
  </si>
  <si>
    <t>太陽光（住宅用）</t>
    <rPh sb="6" eb="7">
      <t>ヨウ</t>
    </rPh>
    <phoneticPr fontId="16"/>
  </si>
  <si>
    <t>人件費・修繕費・諸費・業務分担費</t>
    <phoneticPr fontId="2"/>
  </si>
  <si>
    <t>買取価格</t>
    <rPh sb="0" eb="2">
      <t>カイトリ</t>
    </rPh>
    <rPh sb="2" eb="4">
      <t>カカク</t>
    </rPh>
    <phoneticPr fontId="2"/>
  </si>
  <si>
    <t>（円/kWh）</t>
    <rPh sb="1" eb="2">
      <t>エン</t>
    </rPh>
    <phoneticPr fontId="2"/>
  </si>
  <si>
    <t>（万円/kW/年）</t>
    <phoneticPr fontId="2"/>
  </si>
  <si>
    <t>人件費・修繕費・諸費・業務分担費</t>
    <phoneticPr fontId="16"/>
  </si>
  <si>
    <r>
      <rPr>
        <sz val="11"/>
        <rFont val="ＭＳ Ｐゴシック"/>
        <family val="3"/>
        <charset val="128"/>
      </rPr>
      <t>（万円</t>
    </r>
    <r>
      <rPr>
        <sz val="11"/>
        <rFont val="Arial"/>
        <family val="2"/>
      </rPr>
      <t>/kW/</t>
    </r>
    <r>
      <rPr>
        <sz val="11"/>
        <rFont val="ＭＳ Ｐゴシック"/>
        <family val="3"/>
        <charset val="128"/>
      </rPr>
      <t>年）</t>
    </r>
    <phoneticPr fontId="2"/>
  </si>
  <si>
    <t>陸上風力</t>
    <rPh sb="0" eb="2">
      <t>リクジョウ</t>
    </rPh>
    <rPh sb="2" eb="4">
      <t>フウリョク</t>
    </rPh>
    <phoneticPr fontId="17"/>
  </si>
  <si>
    <t>洋上風力</t>
    <rPh sb="0" eb="2">
      <t>ヨウジョウ</t>
    </rPh>
    <rPh sb="2" eb="4">
      <t>フウリョク</t>
    </rPh>
    <phoneticPr fontId="17"/>
  </si>
  <si>
    <t>小水力</t>
    <phoneticPr fontId="17"/>
  </si>
  <si>
    <t>修繕費・諸費</t>
    <rPh sb="4" eb="6">
      <t>ショヒ</t>
    </rPh>
    <phoneticPr fontId="17"/>
  </si>
  <si>
    <t>修繕費・諸費</t>
    <phoneticPr fontId="17"/>
  </si>
  <si>
    <t>中水力</t>
    <rPh sb="0" eb="1">
      <t>チュウ</t>
    </rPh>
    <phoneticPr fontId="17"/>
  </si>
  <si>
    <t>必要燃料量</t>
    <rPh sb="0" eb="2">
      <t>ヒツヨウ</t>
    </rPh>
    <rPh sb="2" eb="4">
      <t>ネンリョウ</t>
    </rPh>
    <rPh sb="4" eb="5">
      <t>リョウ</t>
    </rPh>
    <phoneticPr fontId="2"/>
  </si>
  <si>
    <t>人件費・修繕費・諸費・業務分担費</t>
  </si>
  <si>
    <t>燃料費用</t>
    <rPh sb="0" eb="2">
      <t>ネンリョウ</t>
    </rPh>
    <rPh sb="2" eb="4">
      <t>ヒヨウ</t>
    </rPh>
    <phoneticPr fontId="2"/>
  </si>
  <si>
    <t>CO2分離回収型IGCC</t>
    <rPh sb="3" eb="5">
      <t>ブンリ</t>
    </rPh>
    <rPh sb="5" eb="8">
      <t>カイシュウガタ</t>
    </rPh>
    <phoneticPr fontId="2"/>
  </si>
  <si>
    <t>※酸素吹</t>
    <rPh sb="1" eb="3">
      <t>サンソ</t>
    </rPh>
    <rPh sb="3" eb="4">
      <t>フ</t>
    </rPh>
    <phoneticPr fontId="56"/>
  </si>
  <si>
    <r>
      <t>IRR</t>
    </r>
    <r>
      <rPr>
        <sz val="11"/>
        <color indexed="8"/>
        <rFont val="ＭＳ Ｐゴシック"/>
        <family val="3"/>
        <charset val="128"/>
      </rPr>
      <t>計算</t>
    </r>
    <rPh sb="3" eb="5">
      <t>ケイサン</t>
    </rPh>
    <phoneticPr fontId="2"/>
  </si>
  <si>
    <t>価格想定（コジェネ・燃料電池）</t>
    <rPh sb="0" eb="2">
      <t>カカク</t>
    </rPh>
    <rPh sb="2" eb="4">
      <t>ソウテイ</t>
    </rPh>
    <rPh sb="10" eb="12">
      <t>ネンリョウ</t>
    </rPh>
    <rPh sb="12" eb="14">
      <t>デンチ</t>
    </rPh>
    <phoneticPr fontId="2"/>
  </si>
  <si>
    <t>円/tCO2</t>
    <rPh sb="0" eb="1">
      <t>エン</t>
    </rPh>
    <phoneticPr fontId="2"/>
  </si>
  <si>
    <t>※空気吹</t>
    <rPh sb="1" eb="3">
      <t>クウキ</t>
    </rPh>
    <rPh sb="3" eb="4">
      <t>フ</t>
    </rPh>
    <phoneticPr fontId="56"/>
  </si>
  <si>
    <t>輸送・貯留組合せ</t>
    <rPh sb="0" eb="2">
      <t>ユソウ</t>
    </rPh>
    <rPh sb="3" eb="5">
      <t>チョリュウ</t>
    </rPh>
    <rPh sb="5" eb="7">
      <t>クミアワ</t>
    </rPh>
    <phoneticPr fontId="2"/>
  </si>
  <si>
    <t>アンモニア混焼火力</t>
    <phoneticPr fontId="56"/>
  </si>
  <si>
    <r>
      <rPr>
        <sz val="11"/>
        <color indexed="8"/>
        <rFont val="ＭＳ Ｐゴシック"/>
        <family val="3"/>
        <charset val="128"/>
      </rPr>
      <t>減価償却資産の耐用年数等に関する省令</t>
    </r>
    <phoneticPr fontId="2"/>
  </si>
  <si>
    <r>
      <rPr>
        <sz val="11"/>
        <color indexed="8"/>
        <rFont val="ＭＳ Ｐゴシック"/>
        <family val="3"/>
        <charset val="128"/>
      </rPr>
      <t>（最終改正：平成二二年三月三一日財務省令第二〇号）</t>
    </r>
    <phoneticPr fontId="2"/>
  </si>
  <si>
    <r>
      <rPr>
        <sz val="11"/>
        <color indexed="8"/>
        <rFont val="ＭＳ Ｐゴシック"/>
        <family val="3"/>
        <charset val="128"/>
      </rPr>
      <t>別表第八　平成十九年四月一日以後に取得をされた減価償却資産の償却率、改定償却率及び保証率の表</t>
    </r>
    <r>
      <rPr>
        <sz val="11"/>
        <color indexed="8"/>
        <rFont val="Arial"/>
        <family val="2"/>
      </rPr>
      <t> </t>
    </r>
  </si>
  <si>
    <r>
      <rPr>
        <sz val="10"/>
        <color indexed="8"/>
        <rFont val="ＭＳ Ｐゴシック"/>
        <family val="3"/>
        <charset val="128"/>
      </rPr>
      <t>耐用年数
（年）</t>
    </r>
    <phoneticPr fontId="2"/>
  </si>
  <si>
    <r>
      <rPr>
        <sz val="10"/>
        <color indexed="8"/>
        <rFont val="ＭＳ Ｐゴシック"/>
        <family val="3"/>
        <charset val="128"/>
      </rPr>
      <t>定額法の償却率</t>
    </r>
    <phoneticPr fontId="2"/>
  </si>
  <si>
    <r>
      <rPr>
        <sz val="10"/>
        <color indexed="8"/>
        <rFont val="ＭＳ Ｐゴシック"/>
        <family val="3"/>
        <charset val="128"/>
      </rPr>
      <t>定率法の償却率</t>
    </r>
    <phoneticPr fontId="2"/>
  </si>
  <si>
    <r>
      <rPr>
        <sz val="10"/>
        <color indexed="8"/>
        <rFont val="ＭＳ Ｐゴシック"/>
        <family val="3"/>
        <charset val="128"/>
      </rPr>
      <t>改定償却率</t>
    </r>
    <phoneticPr fontId="2"/>
  </si>
  <si>
    <r>
      <rPr>
        <sz val="10"/>
        <color indexed="8"/>
        <rFont val="ＭＳ Ｐゴシック"/>
        <family val="3"/>
        <charset val="128"/>
      </rPr>
      <t>保証率</t>
    </r>
    <phoneticPr fontId="2"/>
  </si>
  <si>
    <t>―</t>
  </si>
  <si>
    <r>
      <rPr>
        <b/>
        <sz val="11"/>
        <color indexed="8"/>
        <rFont val="ＭＳ Ｐゴシック"/>
        <family val="3"/>
        <charset val="128"/>
      </rPr>
      <t>電源種類</t>
    </r>
    <rPh sb="0" eb="2">
      <t>デンゲン</t>
    </rPh>
    <rPh sb="2" eb="4">
      <t>シュルイ</t>
    </rPh>
    <phoneticPr fontId="2"/>
  </si>
  <si>
    <r>
      <rPr>
        <b/>
        <sz val="11"/>
        <color indexed="8"/>
        <rFont val="ＭＳ Ｐゴシック"/>
        <family val="3"/>
        <charset val="128"/>
      </rPr>
      <t>法定耐用年数</t>
    </r>
    <rPh sb="0" eb="2">
      <t>ホウテイ</t>
    </rPh>
    <rPh sb="2" eb="4">
      <t>タイヨウ</t>
    </rPh>
    <rPh sb="4" eb="6">
      <t>ネンスウ</t>
    </rPh>
    <phoneticPr fontId="2"/>
  </si>
  <si>
    <r>
      <rPr>
        <sz val="11"/>
        <color indexed="8"/>
        <rFont val="ＭＳ Ｐゴシック"/>
        <family val="3"/>
        <charset val="128"/>
      </rPr>
      <t>原子力</t>
    </r>
    <rPh sb="0" eb="3">
      <t>ゲンシリョク</t>
    </rPh>
    <phoneticPr fontId="2"/>
  </si>
  <si>
    <r>
      <rPr>
        <sz val="11"/>
        <color indexed="8"/>
        <rFont val="ＭＳ Ｐゴシック"/>
        <family val="3"/>
        <charset val="128"/>
      </rPr>
      <t>石炭火力</t>
    </r>
    <rPh sb="0" eb="2">
      <t>セキタン</t>
    </rPh>
    <rPh sb="2" eb="4">
      <t>カリョク</t>
    </rPh>
    <phoneticPr fontId="2"/>
  </si>
  <si>
    <r>
      <t>LNG</t>
    </r>
    <r>
      <rPr>
        <sz val="11"/>
        <color indexed="8"/>
        <rFont val="ＭＳ Ｐゴシック"/>
        <family val="3"/>
        <charset val="128"/>
      </rPr>
      <t>火力</t>
    </r>
    <rPh sb="3" eb="5">
      <t>カリョク</t>
    </rPh>
    <phoneticPr fontId="2"/>
  </si>
  <si>
    <r>
      <rPr>
        <sz val="11"/>
        <color indexed="8"/>
        <rFont val="ＭＳ Ｐゴシック"/>
        <family val="3"/>
        <charset val="128"/>
      </rPr>
      <t>石油火力</t>
    </r>
    <rPh sb="0" eb="2">
      <t>セキユ</t>
    </rPh>
    <rPh sb="2" eb="4">
      <t>カリョク</t>
    </rPh>
    <phoneticPr fontId="2"/>
  </si>
  <si>
    <r>
      <rPr>
        <sz val="11"/>
        <color indexed="8"/>
        <rFont val="ＭＳ Ｐゴシック"/>
        <family val="3"/>
        <charset val="128"/>
      </rPr>
      <t>一般水力</t>
    </r>
    <rPh sb="0" eb="2">
      <t>イッパン</t>
    </rPh>
    <rPh sb="2" eb="4">
      <t>スイリョク</t>
    </rPh>
    <phoneticPr fontId="2"/>
  </si>
  <si>
    <t>太陽光（住宅用）</t>
    <rPh sb="0" eb="3">
      <t>タイヨウコウ</t>
    </rPh>
    <rPh sb="4" eb="6">
      <t>ジュウタク</t>
    </rPh>
    <rPh sb="6" eb="7">
      <t>ヨウ</t>
    </rPh>
    <phoneticPr fontId="2"/>
  </si>
  <si>
    <r>
      <rPr>
        <sz val="11"/>
        <color indexed="8"/>
        <rFont val="ＭＳ Ｐゴシック"/>
        <family val="3"/>
        <charset val="128"/>
      </rPr>
      <t>地熱</t>
    </r>
    <rPh sb="0" eb="2">
      <t>チネツ</t>
    </rPh>
    <phoneticPr fontId="2"/>
  </si>
  <si>
    <r>
      <rPr>
        <sz val="11"/>
        <color indexed="8"/>
        <rFont val="ＭＳ Ｐゴシック"/>
        <family val="3"/>
        <charset val="128"/>
      </rPr>
      <t>バイオマス（石炭混焼）</t>
    </r>
    <rPh sb="6" eb="8">
      <t>セキタン</t>
    </rPh>
    <rPh sb="8" eb="10">
      <t>コンショウ</t>
    </rPh>
    <phoneticPr fontId="2"/>
  </si>
  <si>
    <r>
      <rPr>
        <sz val="11"/>
        <color indexed="8"/>
        <rFont val="ＭＳ Ｐゴシック"/>
        <family val="3"/>
        <charset val="128"/>
      </rPr>
      <t>バイオマス（木質専焼）</t>
    </r>
    <rPh sb="6" eb="7">
      <t>キ</t>
    </rPh>
    <rPh sb="7" eb="8">
      <t>シツ</t>
    </rPh>
    <rPh sb="8" eb="10">
      <t>センショウ</t>
    </rPh>
    <phoneticPr fontId="2"/>
  </si>
  <si>
    <r>
      <rPr>
        <sz val="11"/>
        <color indexed="8"/>
        <rFont val="ＭＳ Ｐゴシック"/>
        <family val="3"/>
        <charset val="128"/>
      </rPr>
      <t>ガスコジェネ</t>
    </r>
    <phoneticPr fontId="2"/>
  </si>
  <si>
    <r>
      <rPr>
        <sz val="11"/>
        <color indexed="8"/>
        <rFont val="ＭＳ Ｐゴシック"/>
        <family val="3"/>
        <charset val="128"/>
      </rPr>
      <t>石油コジェネ</t>
    </r>
    <rPh sb="0" eb="2">
      <t>セキユ</t>
    </rPh>
    <phoneticPr fontId="2"/>
  </si>
  <si>
    <r>
      <rPr>
        <sz val="11"/>
        <color indexed="8"/>
        <rFont val="ＭＳ Ｐゴシック"/>
        <family val="3"/>
        <charset val="128"/>
      </rPr>
      <t>燃料電池</t>
    </r>
    <rPh sb="0" eb="2">
      <t>ネンリョウ</t>
    </rPh>
    <rPh sb="2" eb="4">
      <t>デンチ</t>
    </rPh>
    <phoneticPr fontId="2"/>
  </si>
  <si>
    <t>水素専焼火力</t>
    <rPh sb="0" eb="2">
      <t>スイソ</t>
    </rPh>
    <rPh sb="2" eb="3">
      <t>セン</t>
    </rPh>
    <rPh sb="3" eb="4">
      <t>ヤ</t>
    </rPh>
    <rPh sb="4" eb="6">
      <t>カリョク</t>
    </rPh>
    <phoneticPr fontId="2"/>
  </si>
  <si>
    <t>アンモニア混焼火力</t>
    <phoneticPr fontId="2"/>
  </si>
  <si>
    <t>酸素吹IGCC</t>
    <phoneticPr fontId="2"/>
  </si>
  <si>
    <t>元データ</t>
    <rPh sb="0" eb="1">
      <t>モト</t>
    </rPh>
    <phoneticPr fontId="13"/>
  </si>
  <si>
    <t>都市ガス価格（需要地）</t>
    <rPh sb="0" eb="2">
      <t>トシ</t>
    </rPh>
    <rPh sb="4" eb="6">
      <t>カカク</t>
    </rPh>
    <phoneticPr fontId="13"/>
  </si>
  <si>
    <t>A重油価格（需要地）</t>
    <rPh sb="1" eb="3">
      <t>ジュウユ</t>
    </rPh>
    <rPh sb="3" eb="5">
      <t>カカク</t>
    </rPh>
    <phoneticPr fontId="13"/>
  </si>
  <si>
    <t>IGCC石炭価格</t>
    <rPh sb="4" eb="6">
      <t>セキタン</t>
    </rPh>
    <rPh sb="6" eb="8">
      <t>カカク</t>
    </rPh>
    <phoneticPr fontId="2"/>
  </si>
  <si>
    <t>水素混焼
燃料費</t>
    <rPh sb="0" eb="2">
      <t>スイソ</t>
    </rPh>
    <rPh sb="2" eb="3">
      <t>マ</t>
    </rPh>
    <rPh sb="3" eb="4">
      <t>ヤ</t>
    </rPh>
    <rPh sb="5" eb="8">
      <t>ネンリョウヒ</t>
    </rPh>
    <phoneticPr fontId="13"/>
  </si>
  <si>
    <t>水素専焼
燃料費</t>
    <rPh sb="0" eb="2">
      <t>スイソ</t>
    </rPh>
    <rPh sb="2" eb="3">
      <t>セン</t>
    </rPh>
    <rPh sb="3" eb="4">
      <t>ヤ</t>
    </rPh>
    <rPh sb="5" eb="8">
      <t>ネンリョウヒ</t>
    </rPh>
    <phoneticPr fontId="13"/>
  </si>
  <si>
    <t>STEPS</t>
    <phoneticPr fontId="14"/>
  </si>
  <si>
    <t>SDS</t>
    <phoneticPr fontId="14"/>
  </si>
  <si>
    <t>SDS</t>
  </si>
  <si>
    <t>為替レート（円/ドル）</t>
    <rPh sb="0" eb="2">
      <t>カワセ</t>
    </rPh>
    <rPh sb="6" eb="7">
      <t>エン</t>
    </rPh>
    <phoneticPr fontId="13"/>
  </si>
  <si>
    <r>
      <rPr>
        <sz val="11"/>
        <color indexed="8"/>
        <rFont val="ＭＳ Ｐゴシック"/>
        <family val="3"/>
        <charset val="128"/>
      </rPr>
      <t>電源種別</t>
    </r>
    <rPh sb="0" eb="2">
      <t>デンゲン</t>
    </rPh>
    <rPh sb="2" eb="4">
      <t>シュベツ</t>
    </rPh>
    <phoneticPr fontId="13"/>
  </si>
  <si>
    <r>
      <rPr>
        <sz val="11"/>
        <color indexed="8"/>
        <rFont val="ＭＳ Ｐゴシック"/>
        <family val="3"/>
        <charset val="128"/>
      </rPr>
      <t>オフセット</t>
    </r>
    <phoneticPr fontId="13"/>
  </si>
  <si>
    <t>水素混焼火力</t>
    <rPh sb="0" eb="2">
      <t>スイソ</t>
    </rPh>
    <rPh sb="2" eb="3">
      <t>マ</t>
    </rPh>
    <rPh sb="3" eb="4">
      <t>ヤ</t>
    </rPh>
    <rPh sb="4" eb="6">
      <t>カリョク</t>
    </rPh>
    <phoneticPr fontId="13"/>
  </si>
  <si>
    <t>水素専焼火力</t>
    <rPh sb="0" eb="2">
      <t>スイソ</t>
    </rPh>
    <rPh sb="2" eb="3">
      <t>セン</t>
    </rPh>
    <rPh sb="3" eb="4">
      <t>ショウ</t>
    </rPh>
    <rPh sb="4" eb="6">
      <t>カリョク</t>
    </rPh>
    <phoneticPr fontId="13"/>
  </si>
  <si>
    <t>アンモニア混焼火力</t>
    <rPh sb="5" eb="6">
      <t>マ</t>
    </rPh>
    <rPh sb="6" eb="7">
      <t>ヤ</t>
    </rPh>
    <rPh sb="7" eb="9">
      <t>カリョク</t>
    </rPh>
    <phoneticPr fontId="13"/>
  </si>
  <si>
    <r>
      <rPr>
        <sz val="11"/>
        <color indexed="8"/>
        <rFont val="ＭＳ Ｐゴシック"/>
        <family val="3"/>
        <charset val="128"/>
      </rPr>
      <t>ガスコジェネ</t>
    </r>
    <r>
      <rPr>
        <sz val="11"/>
        <color indexed="8"/>
        <rFont val="Arial"/>
        <family val="2"/>
      </rPr>
      <t>_CIF</t>
    </r>
    <r>
      <rPr>
        <sz val="11"/>
        <color indexed="8"/>
        <rFont val="ＭＳ Ｐゴシック"/>
        <family val="3"/>
        <charset val="128"/>
      </rPr>
      <t>価格</t>
    </r>
    <rPh sb="10" eb="12">
      <t>カカク</t>
    </rPh>
    <phoneticPr fontId="2"/>
  </si>
  <si>
    <t>ガスコジェネ_需要地価格</t>
    <rPh sb="10" eb="12">
      <t>カカク</t>
    </rPh>
    <phoneticPr fontId="2"/>
  </si>
  <si>
    <t>石油コジェネ_需要地価格</t>
    <rPh sb="0" eb="2">
      <t>セキユ</t>
    </rPh>
    <rPh sb="10" eb="12">
      <t>カカク</t>
    </rPh>
    <phoneticPr fontId="2"/>
  </si>
  <si>
    <t>バイオマス（石炭混焼）</t>
    <phoneticPr fontId="13"/>
  </si>
  <si>
    <t>燃料電池_需要地価格</t>
    <rPh sb="0" eb="2">
      <t>ネンリョウ</t>
    </rPh>
    <rPh sb="2" eb="4">
      <t>デンチ</t>
    </rPh>
    <rPh sb="8" eb="10">
      <t>カカク</t>
    </rPh>
    <phoneticPr fontId="2"/>
  </si>
  <si>
    <t>木質混焼比率（重量比）</t>
    <rPh sb="0" eb="2">
      <t>モクシツ</t>
    </rPh>
    <rPh sb="2" eb="4">
      <t>コンショウ</t>
    </rPh>
    <rPh sb="4" eb="6">
      <t>ヒリツ</t>
    </rPh>
    <rPh sb="7" eb="9">
      <t>ジュウリョウ</t>
    </rPh>
    <rPh sb="9" eb="10">
      <t>ヒ</t>
    </rPh>
    <phoneticPr fontId="13"/>
  </si>
  <si>
    <t>需要地価格算出根拠（都市ガス）</t>
    <rPh sb="3" eb="5">
      <t>カカク</t>
    </rPh>
    <rPh sb="5" eb="7">
      <t>サンシュツ</t>
    </rPh>
    <rPh sb="7" eb="9">
      <t>コンキョ</t>
    </rPh>
    <rPh sb="10" eb="12">
      <t>トシ</t>
    </rPh>
    <phoneticPr fontId="13"/>
  </si>
  <si>
    <t>需要地価格算出根拠（石油）</t>
    <rPh sb="3" eb="5">
      <t>カカク</t>
    </rPh>
    <rPh sb="5" eb="7">
      <t>サンシュツ</t>
    </rPh>
    <rPh sb="7" eb="9">
      <t>コンキョ</t>
    </rPh>
    <rPh sb="10" eb="12">
      <t>セキユ</t>
    </rPh>
    <phoneticPr fontId="13"/>
  </si>
  <si>
    <t>アンモニア混焼比率</t>
    <rPh sb="5" eb="6">
      <t>マ</t>
    </rPh>
    <rPh sb="6" eb="7">
      <t>ヤ</t>
    </rPh>
    <rPh sb="7" eb="9">
      <t>ヒリツ</t>
    </rPh>
    <phoneticPr fontId="13"/>
  </si>
  <si>
    <t>アンモニア価格（ドル/t）(ブルー)</t>
    <rPh sb="5" eb="7">
      <t>カカク</t>
    </rPh>
    <phoneticPr fontId="13"/>
  </si>
  <si>
    <t>アンモニア価格（ドル/t）(グリーン)</t>
    <rPh sb="5" eb="7">
      <t>カカク</t>
    </rPh>
    <phoneticPr fontId="13"/>
  </si>
  <si>
    <t>水素価格（ドル/t）(ブルー)</t>
    <rPh sb="0" eb="2">
      <t>スイソ</t>
    </rPh>
    <rPh sb="2" eb="4">
      <t>カカク</t>
    </rPh>
    <phoneticPr fontId="13"/>
  </si>
  <si>
    <r>
      <t>CO2</t>
    </r>
    <r>
      <rPr>
        <b/>
        <sz val="11"/>
        <color indexed="8"/>
        <rFont val="ＭＳ Ｐゴシック"/>
        <family val="3"/>
        <charset val="128"/>
      </rPr>
      <t>価格推計</t>
    </r>
    <rPh sb="3" eb="5">
      <t>カカク</t>
    </rPh>
    <rPh sb="5" eb="7">
      <t>スイケイ</t>
    </rPh>
    <phoneticPr fontId="2"/>
  </si>
  <si>
    <r>
      <rPr>
        <b/>
        <sz val="11"/>
        <color indexed="8"/>
        <rFont val="ＭＳ Ｐゴシック"/>
        <family val="3"/>
        <charset val="128"/>
      </rPr>
      <t>年</t>
    </r>
    <rPh sb="0" eb="1">
      <t>ネン</t>
    </rPh>
    <phoneticPr fontId="2"/>
  </si>
  <si>
    <r>
      <t>CO2</t>
    </r>
    <r>
      <rPr>
        <b/>
        <sz val="11"/>
        <color indexed="8"/>
        <rFont val="ＭＳ Ｐゴシック"/>
        <family val="3"/>
        <charset val="128"/>
      </rPr>
      <t>価格（元データ）</t>
    </r>
    <rPh sb="3" eb="5">
      <t>カカク</t>
    </rPh>
    <rPh sb="6" eb="7">
      <t>モト</t>
    </rPh>
    <phoneticPr fontId="2"/>
  </si>
  <si>
    <r>
      <t>CO2</t>
    </r>
    <r>
      <rPr>
        <b/>
        <sz val="11"/>
        <color indexed="8"/>
        <rFont val="ＭＳ Ｐゴシック"/>
        <family val="3"/>
        <charset val="128"/>
      </rPr>
      <t>価格</t>
    </r>
    <rPh sb="3" eb="5">
      <t>カカク</t>
    </rPh>
    <phoneticPr fontId="2"/>
  </si>
  <si>
    <r>
      <rPr>
        <sz val="11"/>
        <rFont val="ＭＳ Ｐゴシック"/>
        <family val="3"/>
        <charset val="128"/>
      </rPr>
      <t>出所・計算方法</t>
    </r>
    <rPh sb="0" eb="2">
      <t>シュッショ</t>
    </rPh>
    <rPh sb="3" eb="5">
      <t>ケイサン</t>
    </rPh>
    <rPh sb="5" eb="7">
      <t>ホウホウ</t>
    </rPh>
    <phoneticPr fontId="2"/>
  </si>
  <si>
    <t>STEPS</t>
    <phoneticPr fontId="2"/>
  </si>
  <si>
    <r>
      <rPr>
        <sz val="11"/>
        <color indexed="8"/>
        <rFont val="ＭＳ Ｐゴシック"/>
        <family val="3"/>
        <charset val="128"/>
      </rPr>
      <t>ドル</t>
    </r>
    <r>
      <rPr>
        <sz val="11"/>
        <color indexed="8"/>
        <rFont val="Arial"/>
        <family val="2"/>
      </rPr>
      <t>/t</t>
    </r>
    <phoneticPr fontId="2"/>
  </si>
  <si>
    <r>
      <t>2050</t>
    </r>
    <r>
      <rPr>
        <sz val="11"/>
        <rFont val="ＭＳ Ｐゴシック"/>
        <family val="3"/>
        <charset val="128"/>
      </rPr>
      <t>年までは、</t>
    </r>
    <r>
      <rPr>
        <sz val="11"/>
        <rFont val="Arial"/>
        <family val="2"/>
      </rPr>
      <t>World Energy Outlook2020</t>
    </r>
    <r>
      <rPr>
        <sz val="11"/>
        <rFont val="ＭＳ Ｐゴシック"/>
        <family val="3"/>
        <charset val="128"/>
      </rPr>
      <t>の各値の間を線形変化と仮定し補完</t>
    </r>
    <phoneticPr fontId="2"/>
  </si>
  <si>
    <r>
      <t>CO2</t>
    </r>
    <r>
      <rPr>
        <sz val="11"/>
        <color indexed="8"/>
        <rFont val="ＭＳ Ｐゴシック"/>
        <family val="3"/>
        <charset val="128"/>
      </rPr>
      <t>価格シナリオ</t>
    </r>
    <rPh sb="3" eb="5">
      <t>カカク</t>
    </rPh>
    <phoneticPr fontId="2"/>
  </si>
  <si>
    <t>オフセット</t>
    <phoneticPr fontId="2"/>
  </si>
  <si>
    <r>
      <t>2028</t>
    </r>
    <r>
      <rPr>
        <sz val="11"/>
        <color indexed="8"/>
        <rFont val="ＭＳ Ｐゴシック"/>
        <family val="3"/>
        <charset val="128"/>
      </rPr>
      <t>年の</t>
    </r>
    <r>
      <rPr>
        <sz val="11"/>
        <color indexed="8"/>
        <rFont val="Arial"/>
        <family val="2"/>
      </rPr>
      <t>CO2</t>
    </r>
    <r>
      <rPr>
        <sz val="11"/>
        <color indexed="8"/>
        <rFont val="ＭＳ Ｐゴシック"/>
        <family val="3"/>
        <charset val="128"/>
      </rPr>
      <t>価格増減（感度解析用）</t>
    </r>
    <rPh sb="4" eb="5">
      <t>ネン</t>
    </rPh>
    <rPh sb="11" eb="13">
      <t>ゾウゲン</t>
    </rPh>
    <rPh sb="16" eb="18">
      <t>カイセキ</t>
    </rPh>
    <rPh sb="18" eb="19">
      <t>ヨウ</t>
    </rPh>
    <phoneticPr fontId="13"/>
  </si>
  <si>
    <t>対数回帰により推計</t>
    <phoneticPr fontId="2"/>
  </si>
  <si>
    <t>IGCC</t>
    <phoneticPr fontId="2"/>
  </si>
  <si>
    <t>LNGCC</t>
    <phoneticPr fontId="2"/>
  </si>
  <si>
    <t>km</t>
    <phoneticPr fontId="2"/>
  </si>
  <si>
    <t>kg-CO2/kWh</t>
    <phoneticPr fontId="2"/>
  </si>
  <si>
    <t>https://e-lcs.jp/plan.html</t>
  </si>
  <si>
    <t>kWh</t>
    <phoneticPr fontId="2"/>
  </si>
  <si>
    <t>MWh</t>
    <phoneticPr fontId="2"/>
  </si>
  <si>
    <t>kWh/tCO2</t>
  </si>
  <si>
    <t>tCO2/MWh</t>
    <phoneticPr fontId="2"/>
  </si>
  <si>
    <t>核燃料サイクル費用（現状モデル）</t>
    <rPh sb="0" eb="3">
      <t>カクネンリョウ</t>
    </rPh>
    <rPh sb="7" eb="9">
      <t>ヒヨウ</t>
    </rPh>
    <rPh sb="10" eb="12">
      <t>ゲンジョウ</t>
    </rPh>
    <phoneticPr fontId="2"/>
  </si>
  <si>
    <t>技術
開発費</t>
    <rPh sb="0" eb="2">
      <t>ギジュツ</t>
    </rPh>
    <rPh sb="3" eb="5">
      <t>カイハツ</t>
    </rPh>
    <rPh sb="5" eb="6">
      <t>ヒ</t>
    </rPh>
    <phoneticPr fontId="2"/>
  </si>
  <si>
    <t>調査費及び
用地取得費</t>
    <rPh sb="0" eb="3">
      <t>チョウサヒ</t>
    </rPh>
    <rPh sb="3" eb="4">
      <t>オヨ</t>
    </rPh>
    <rPh sb="6" eb="8">
      <t>ヨウチ</t>
    </rPh>
    <rPh sb="8" eb="10">
      <t>シュトク</t>
    </rPh>
    <rPh sb="10" eb="11">
      <t>ヒ</t>
    </rPh>
    <phoneticPr fontId="2"/>
  </si>
  <si>
    <t>設計及び
建設費</t>
    <rPh sb="0" eb="2">
      <t>セッケイ</t>
    </rPh>
    <rPh sb="2" eb="3">
      <t>オヨ</t>
    </rPh>
    <rPh sb="5" eb="7">
      <t>ケンセツ</t>
    </rPh>
    <rPh sb="7" eb="8">
      <t>ヒ</t>
    </rPh>
    <phoneticPr fontId="2"/>
  </si>
  <si>
    <t>操業費</t>
    <rPh sb="0" eb="2">
      <t>ソウギョウ</t>
    </rPh>
    <rPh sb="2" eb="3">
      <t>ヒ</t>
    </rPh>
    <phoneticPr fontId="2"/>
  </si>
  <si>
    <t>解体及び
閉鎖費</t>
    <rPh sb="0" eb="2">
      <t>カイタイ</t>
    </rPh>
    <rPh sb="2" eb="3">
      <t>オヨ</t>
    </rPh>
    <rPh sb="5" eb="7">
      <t>ヘイサ</t>
    </rPh>
    <rPh sb="7" eb="8">
      <t>ヒ</t>
    </rPh>
    <phoneticPr fontId="2"/>
  </si>
  <si>
    <t>モニタ
リング費</t>
    <rPh sb="7" eb="8">
      <t>ヒ</t>
    </rPh>
    <phoneticPr fontId="2"/>
  </si>
  <si>
    <t>プロジェクト
管理費</t>
    <rPh sb="7" eb="9">
      <t>カンリ</t>
    </rPh>
    <rPh sb="9" eb="10">
      <t>ヒ</t>
    </rPh>
    <phoneticPr fontId="2"/>
  </si>
  <si>
    <t>消費税</t>
    <rPh sb="0" eb="3">
      <t>ショウヒゼイ</t>
    </rPh>
    <phoneticPr fontId="2"/>
  </si>
  <si>
    <t>合計</t>
    <rPh sb="0" eb="2">
      <t>ゴウケイ</t>
    </rPh>
    <phoneticPr fontId="2"/>
  </si>
  <si>
    <t>フロントエンド計</t>
    <rPh sb="7" eb="8">
      <t>ケイ</t>
    </rPh>
    <phoneticPr fontId="2"/>
  </si>
  <si>
    <t>バックエンド計</t>
    <rPh sb="6" eb="7">
      <t>ケイ</t>
    </rPh>
    <phoneticPr fontId="2"/>
  </si>
  <si>
    <t>太陽光・風力発電導入見通し</t>
    <rPh sb="0" eb="3">
      <t>タイヨウコウ</t>
    </rPh>
    <rPh sb="4" eb="6">
      <t>フウリョク</t>
    </rPh>
    <rPh sb="6" eb="8">
      <t>ハツデン</t>
    </rPh>
    <rPh sb="8" eb="10">
      <t>ドウニュウ</t>
    </rPh>
    <rPh sb="10" eb="12">
      <t>ミトオ</t>
    </rPh>
    <phoneticPr fontId="2"/>
  </si>
  <si>
    <t>為替レート</t>
    <rPh sb="0" eb="2">
      <t>カワセ</t>
    </rPh>
    <phoneticPr fontId="2"/>
  </si>
  <si>
    <t>建設費</t>
    <rPh sb="0" eb="2">
      <t>ケンセツ</t>
    </rPh>
    <phoneticPr fontId="20"/>
  </si>
  <si>
    <r>
      <rPr>
        <sz val="10"/>
        <color theme="1"/>
        <rFont val="ＭＳ Ｐゴシック"/>
        <family val="3"/>
        <charset val="128"/>
      </rPr>
      <t>万円</t>
    </r>
    <r>
      <rPr>
        <sz val="10"/>
        <color theme="1"/>
        <rFont val="Arial"/>
        <family val="2"/>
      </rPr>
      <t>/kW</t>
    </r>
    <rPh sb="0" eb="2">
      <t>マンエン</t>
    </rPh>
    <phoneticPr fontId="2"/>
  </si>
  <si>
    <t>太陽光シナリオ</t>
    <rPh sb="0" eb="3">
      <t>タイヨウコウ</t>
    </rPh>
    <phoneticPr fontId="2"/>
  </si>
  <si>
    <t>設備費が国際価格に収斂</t>
    <rPh sb="0" eb="2">
      <t>セツビ</t>
    </rPh>
    <rPh sb="2" eb="3">
      <t>ヒ</t>
    </rPh>
    <rPh sb="4" eb="6">
      <t>コクサイ</t>
    </rPh>
    <rPh sb="6" eb="8">
      <t>カカク</t>
    </rPh>
    <rPh sb="9" eb="11">
      <t>シュウレン</t>
    </rPh>
    <phoneticPr fontId="20"/>
  </si>
  <si>
    <t>陸上風力シナリオ</t>
    <rPh sb="0" eb="2">
      <t>リクジョウ</t>
    </rPh>
    <rPh sb="2" eb="4">
      <t>フウリョク</t>
    </rPh>
    <phoneticPr fontId="2"/>
  </si>
  <si>
    <t>建設費が国際価格と同率で低減</t>
    <rPh sb="0" eb="3">
      <t>ケンセツヒ</t>
    </rPh>
    <rPh sb="4" eb="6">
      <t>コクサイ</t>
    </rPh>
    <rPh sb="6" eb="8">
      <t>カカク</t>
    </rPh>
    <rPh sb="9" eb="11">
      <t>ドウリツ</t>
    </rPh>
    <rPh sb="12" eb="14">
      <t>テイゲン</t>
    </rPh>
    <phoneticPr fontId="20"/>
  </si>
  <si>
    <t>低減率10％</t>
    <phoneticPr fontId="2"/>
  </si>
  <si>
    <t>低減率10%と低減率47%の平均</t>
    <rPh sb="0" eb="2">
      <t>テイゲン</t>
    </rPh>
    <rPh sb="2" eb="3">
      <t>リツ</t>
    </rPh>
    <rPh sb="7" eb="9">
      <t>テイゲン</t>
    </rPh>
    <rPh sb="9" eb="10">
      <t>リツ</t>
    </rPh>
    <phoneticPr fontId="2"/>
  </si>
  <si>
    <t>低減率47％</t>
    <rPh sb="0" eb="3">
      <t>テイゲンリツ</t>
    </rPh>
    <phoneticPr fontId="2"/>
  </si>
  <si>
    <t>買取期間（年）</t>
    <rPh sb="0" eb="2">
      <t>カイトリ</t>
    </rPh>
    <rPh sb="2" eb="4">
      <t>キカン</t>
    </rPh>
    <rPh sb="5" eb="6">
      <t>ネン</t>
    </rPh>
    <phoneticPr fontId="2"/>
  </si>
  <si>
    <t>太陽光（事業用）</t>
    <rPh sb="4" eb="7">
      <t>ジギョウヨウ</t>
    </rPh>
    <phoneticPr fontId="25"/>
  </si>
  <si>
    <t>中水力</t>
    <rPh sb="0" eb="1">
      <t>チュウ</t>
    </rPh>
    <rPh sb="1" eb="3">
      <t>スイリョク</t>
    </rPh>
    <phoneticPr fontId="25"/>
  </si>
  <si>
    <r>
      <t>IRR</t>
    </r>
    <r>
      <rPr>
        <sz val="11"/>
        <color indexed="8"/>
        <rFont val="ＭＳ Ｐゴシック"/>
        <family val="3"/>
        <charset val="128"/>
      </rPr>
      <t>（</t>
    </r>
    <r>
      <rPr>
        <sz val="11"/>
        <color indexed="8"/>
        <rFont val="Arial"/>
        <family val="2"/>
      </rPr>
      <t>%</t>
    </r>
    <r>
      <rPr>
        <sz val="11"/>
        <color indexed="8"/>
        <rFont val="ＭＳ Ｐゴシック"/>
        <family val="3"/>
        <charset val="128"/>
      </rPr>
      <t>）</t>
    </r>
    <phoneticPr fontId="2"/>
  </si>
  <si>
    <r>
      <t xml:space="preserve">1) </t>
    </r>
    <r>
      <rPr>
        <sz val="11"/>
        <color indexed="8"/>
        <rFont val="ＭＳ Ｐゴシック"/>
        <family val="3"/>
        <charset val="128"/>
      </rPr>
      <t>バイオマス（石炭混焼）については木質専焼と同一の買取価格を適用。</t>
    </r>
    <rPh sb="9" eb="11">
      <t>セキタン</t>
    </rPh>
    <rPh sb="11" eb="12">
      <t>マ</t>
    </rPh>
    <rPh sb="12" eb="13">
      <t>ヤ</t>
    </rPh>
    <rPh sb="19" eb="21">
      <t>モクシツ</t>
    </rPh>
    <rPh sb="21" eb="22">
      <t>セン</t>
    </rPh>
    <rPh sb="22" eb="23">
      <t>ヤキ</t>
    </rPh>
    <rPh sb="24" eb="26">
      <t>ドウイツ</t>
    </rPh>
    <rPh sb="27" eb="29">
      <t>カイトリ</t>
    </rPh>
    <rPh sb="29" eb="31">
      <t>カカク</t>
    </rPh>
    <rPh sb="32" eb="34">
      <t>テキヨウ</t>
    </rPh>
    <phoneticPr fontId="25"/>
  </si>
  <si>
    <t>STEPS</t>
    <phoneticPr fontId="13"/>
  </si>
  <si>
    <t>SDS</t>
    <phoneticPr fontId="13"/>
  </si>
  <si>
    <r>
      <t>WEO2020</t>
    </r>
    <r>
      <rPr>
        <sz val="11"/>
        <color indexed="8"/>
        <rFont val="ＭＳ Ｐゴシック"/>
        <family val="3"/>
        <charset val="128"/>
      </rPr>
      <t>　</t>
    </r>
    <r>
      <rPr>
        <sz val="11"/>
        <color indexed="8"/>
        <rFont val="Arial"/>
        <family val="2"/>
      </rPr>
      <t>STEPS</t>
    </r>
    <phoneticPr fontId="2"/>
  </si>
  <si>
    <r>
      <t>WEO2020</t>
    </r>
    <r>
      <rPr>
        <sz val="11"/>
        <color indexed="8"/>
        <rFont val="ＭＳ Ｐゴシック"/>
        <family val="3"/>
        <charset val="128"/>
      </rPr>
      <t>　</t>
    </r>
    <r>
      <rPr>
        <sz val="11"/>
        <color indexed="8"/>
        <rFont val="Arial"/>
        <family val="2"/>
      </rPr>
      <t>SDS</t>
    </r>
    <phoneticPr fontId="2"/>
  </si>
  <si>
    <r>
      <rPr>
        <sz val="11"/>
        <rFont val="ＭＳ Ｐゴシック"/>
        <family val="3"/>
        <charset val="128"/>
      </rPr>
      <t>政策経費（</t>
    </r>
    <r>
      <rPr>
        <sz val="11"/>
        <rFont val="Arial"/>
        <family val="2"/>
      </rPr>
      <t>FIT</t>
    </r>
    <r>
      <rPr>
        <sz val="11"/>
        <rFont val="ＭＳ Ｐゴシック"/>
        <family val="3"/>
        <charset val="128"/>
      </rPr>
      <t>以外）</t>
    </r>
    <rPh sb="0" eb="2">
      <t>セイサク</t>
    </rPh>
    <rPh sb="2" eb="4">
      <t>ケイヒ</t>
    </rPh>
    <rPh sb="8" eb="10">
      <t>イガイ</t>
    </rPh>
    <phoneticPr fontId="2"/>
  </si>
  <si>
    <r>
      <t>CO2</t>
    </r>
    <r>
      <rPr>
        <sz val="11"/>
        <rFont val="ＭＳ Ｐゴシック"/>
        <family val="3"/>
        <charset val="128"/>
      </rPr>
      <t>排出量</t>
    </r>
    <rPh sb="3" eb="5">
      <t>ハイシュツ</t>
    </rPh>
    <rPh sb="5" eb="6">
      <t>リョウ</t>
    </rPh>
    <phoneticPr fontId="2"/>
  </si>
  <si>
    <r>
      <rPr>
        <sz val="11"/>
        <rFont val="ＭＳ Ｐゴシック"/>
        <family val="3"/>
        <charset val="128"/>
      </rPr>
      <t>排熱利用価値</t>
    </r>
    <rPh sb="0" eb="2">
      <t>ハイネツ</t>
    </rPh>
    <rPh sb="2" eb="4">
      <t>リヨウ</t>
    </rPh>
    <rPh sb="4" eb="6">
      <t>カチ</t>
    </rPh>
    <phoneticPr fontId="2"/>
  </si>
  <si>
    <r>
      <rPr>
        <sz val="11"/>
        <rFont val="ＭＳ Ｐゴシック"/>
        <family val="3"/>
        <charset val="128"/>
      </rPr>
      <t>（</t>
    </r>
    <r>
      <rPr>
        <sz val="11"/>
        <rFont val="Arial"/>
        <family val="2"/>
      </rPr>
      <t>kg/</t>
    </r>
    <r>
      <rPr>
        <sz val="11"/>
        <rFont val="ＭＳ Ｐゴシック"/>
        <family val="3"/>
        <charset val="128"/>
      </rPr>
      <t>年、</t>
    </r>
    <r>
      <rPr>
        <sz val="11"/>
        <rFont val="Arial"/>
        <family val="2"/>
      </rPr>
      <t>l/</t>
    </r>
    <r>
      <rPr>
        <sz val="11"/>
        <rFont val="ＭＳ Ｐゴシック"/>
        <family val="3"/>
        <charset val="128"/>
      </rPr>
      <t>年、</t>
    </r>
    <r>
      <rPr>
        <sz val="11"/>
        <rFont val="Arial"/>
        <family val="2"/>
      </rPr>
      <t>m</t>
    </r>
    <r>
      <rPr>
        <vertAlign val="superscript"/>
        <sz val="11"/>
        <rFont val="Arial"/>
        <family val="2"/>
      </rPr>
      <t>3</t>
    </r>
    <r>
      <rPr>
        <sz val="11"/>
        <rFont val="Arial"/>
        <family val="2"/>
      </rPr>
      <t>/</t>
    </r>
    <r>
      <rPr>
        <sz val="11"/>
        <rFont val="ＭＳ Ｐゴシック"/>
        <family val="3"/>
        <charset val="128"/>
      </rPr>
      <t>年）</t>
    </r>
    <rPh sb="4" eb="5">
      <t>ネン</t>
    </rPh>
    <rPh sb="8" eb="9">
      <t>ネン</t>
    </rPh>
    <rPh sb="13" eb="14">
      <t>ネン</t>
    </rPh>
    <phoneticPr fontId="2"/>
  </si>
  <si>
    <r>
      <rPr>
        <sz val="11"/>
        <rFont val="ＭＳ Ｐゴシック"/>
        <family val="3"/>
        <charset val="128"/>
      </rPr>
      <t>資本費諸元</t>
    </r>
    <rPh sb="0" eb="2">
      <t>シホン</t>
    </rPh>
    <rPh sb="2" eb="3">
      <t>ヒ</t>
    </rPh>
    <rPh sb="3" eb="4">
      <t>ショ</t>
    </rPh>
    <rPh sb="4" eb="5">
      <t>ゲン</t>
    </rPh>
    <phoneticPr fontId="2"/>
  </si>
  <si>
    <r>
      <rPr>
        <sz val="11"/>
        <rFont val="ＭＳ Ｐゴシック"/>
        <family val="3"/>
        <charset val="128"/>
      </rPr>
      <t>（</t>
    </r>
    <r>
      <rPr>
        <sz val="11"/>
        <rFont val="Arial"/>
        <family val="2"/>
      </rPr>
      <t>MJ/kg</t>
    </r>
    <r>
      <rPr>
        <sz val="11"/>
        <rFont val="ＭＳ Ｐゴシック"/>
        <family val="3"/>
        <charset val="128"/>
      </rPr>
      <t>、</t>
    </r>
    <r>
      <rPr>
        <sz val="11"/>
        <rFont val="Arial"/>
        <family val="2"/>
      </rPr>
      <t>MJ/l</t>
    </r>
    <r>
      <rPr>
        <sz val="11"/>
        <rFont val="ＭＳ Ｐゴシック"/>
        <family val="3"/>
        <charset val="128"/>
      </rPr>
      <t>、</t>
    </r>
    <r>
      <rPr>
        <sz val="11"/>
        <rFont val="Arial"/>
        <family val="2"/>
      </rPr>
      <t>MJ/m</t>
    </r>
    <r>
      <rPr>
        <vertAlign val="superscript"/>
        <sz val="11"/>
        <rFont val="Arial"/>
        <family val="2"/>
      </rPr>
      <t>3</t>
    </r>
    <r>
      <rPr>
        <sz val="11"/>
        <rFont val="ＭＳ Ｐゴシック"/>
        <family val="3"/>
        <charset val="128"/>
      </rPr>
      <t>）</t>
    </r>
    <phoneticPr fontId="2"/>
  </si>
  <si>
    <t>　　燃料電池</t>
    <rPh sb="2" eb="4">
      <t>ネンリョウ</t>
    </rPh>
    <rPh sb="4" eb="6">
      <t>デンチ</t>
    </rPh>
    <phoneticPr fontId="13"/>
  </si>
  <si>
    <t>アンモニア混焼燃料費</t>
    <rPh sb="5" eb="6">
      <t>マ</t>
    </rPh>
    <rPh sb="6" eb="7">
      <t>ヤ</t>
    </rPh>
    <rPh sb="7" eb="10">
      <t>ネンリョウヒ</t>
    </rPh>
    <phoneticPr fontId="13"/>
  </si>
  <si>
    <t>LNG発熱量（MJ/kg）</t>
    <rPh sb="3" eb="6">
      <t>ハツネツリョウ</t>
    </rPh>
    <phoneticPr fontId="2"/>
  </si>
  <si>
    <t>水素発熱量（MJ/kg）</t>
    <rPh sb="0" eb="2">
      <t>スイソ</t>
    </rPh>
    <rPh sb="2" eb="5">
      <t>ハツネツリョウ</t>
    </rPh>
    <phoneticPr fontId="2"/>
  </si>
  <si>
    <t>LNG・水素混合燃料発熱量（MJ/kg）</t>
    <rPh sb="4" eb="6">
      <t>スイソ</t>
    </rPh>
    <rPh sb="6" eb="8">
      <t>コンゴウ</t>
    </rPh>
    <rPh sb="8" eb="10">
      <t>ネンリョウ</t>
    </rPh>
    <rPh sb="10" eb="13">
      <t>ハツネツリョウ</t>
    </rPh>
    <phoneticPr fontId="2"/>
  </si>
  <si>
    <t>建設費が国際価格と同率で低減</t>
  </si>
  <si>
    <t>住宅用（モジュール習熟率41％の場合）</t>
    <rPh sb="0" eb="3">
      <t>ジュウタクヨウ</t>
    </rPh>
    <phoneticPr fontId="2"/>
  </si>
  <si>
    <t>WEO2020　STEPS</t>
    <phoneticPr fontId="2"/>
  </si>
  <si>
    <t>WEO2020　SDS</t>
    <phoneticPr fontId="2"/>
  </si>
  <si>
    <t>事業用（モジュール習熟率41％の場合）</t>
    <rPh sb="0" eb="3">
      <t>ジギョウヨウ</t>
    </rPh>
    <phoneticPr fontId="2"/>
  </si>
  <si>
    <t>住宅用（モジュール習熟率23％の場合）</t>
    <rPh sb="0" eb="3">
      <t>ジュウタクヨウ</t>
    </rPh>
    <phoneticPr fontId="2"/>
  </si>
  <si>
    <t>事業用（モジュール習熟率23％の場合）</t>
    <rPh sb="0" eb="3">
      <t>ジギョウヨウ</t>
    </rPh>
    <phoneticPr fontId="2"/>
  </si>
  <si>
    <t>注</t>
    <rPh sb="0" eb="1">
      <t>チュウ</t>
    </rPh>
    <phoneticPr fontId="25"/>
  </si>
  <si>
    <t>輸送＆貯留コスト（Captured）</t>
    <phoneticPr fontId="2"/>
  </si>
  <si>
    <t>【円/tCO2】</t>
    <phoneticPr fontId="2"/>
  </si>
  <si>
    <t>輸送コスト</t>
    <phoneticPr fontId="2"/>
  </si>
  <si>
    <t>万tCO2/年</t>
    <phoneticPr fontId="2"/>
  </si>
  <si>
    <t>割引率</t>
    <phoneticPr fontId="2"/>
  </si>
  <si>
    <t>修繕費率</t>
    <phoneticPr fontId="2"/>
  </si>
  <si>
    <t>資本回収率（40年）</t>
    <phoneticPr fontId="2"/>
  </si>
  <si>
    <t>年</t>
    <phoneticPr fontId="2"/>
  </si>
  <si>
    <t>資本回収率（20年）</t>
    <phoneticPr fontId="2"/>
  </si>
  <si>
    <t>外部電源コスト</t>
    <phoneticPr fontId="2"/>
  </si>
  <si>
    <t>円/kWh</t>
    <phoneticPr fontId="2"/>
  </si>
  <si>
    <t>外部電源CO2排出係数</t>
    <phoneticPr fontId="2"/>
  </si>
  <si>
    <t>貯留コスト</t>
    <phoneticPr fontId="2"/>
  </si>
  <si>
    <t>万tCO2/年</t>
  </si>
  <si>
    <t>※1; 本「目標・行動計画」が想定する電源構成比率や電力需要は、政府が長期エネルギー需給見通しで示したものであり、政府、事業者及び国民の協力により、2030年度に見通しが実現することを前提としている。</t>
    <phoneticPr fontId="56"/>
  </si>
  <si>
    <t>※2; エネルギー・環境政策や技術開発の国内外の動向、事業環境の変化等を踏まえて、PDCA サイクルを推進する中で、必要に応じて本「目標・行動計画」を見直していく。</t>
    <phoneticPr fontId="56"/>
  </si>
  <si>
    <t>引用：「電気事業低炭素社会協議会の低炭素社会実行計画」,フェーズⅡの実行計画</t>
    <phoneticPr fontId="2"/>
  </si>
  <si>
    <t>輸送＆貯留コスト</t>
    <phoneticPr fontId="2"/>
  </si>
  <si>
    <t>輸送費（諸元）</t>
    <phoneticPr fontId="2"/>
  </si>
  <si>
    <t>輸送量（万tCO2/年）</t>
    <phoneticPr fontId="2"/>
  </si>
  <si>
    <t>輸送距離（km）</t>
    <phoneticPr fontId="2"/>
  </si>
  <si>
    <t>設備費</t>
    <phoneticPr fontId="2"/>
  </si>
  <si>
    <t>昇圧</t>
    <phoneticPr fontId="2"/>
  </si>
  <si>
    <t>百万円</t>
    <phoneticPr fontId="2"/>
  </si>
  <si>
    <t>PL（陸域）</t>
    <phoneticPr fontId="2"/>
  </si>
  <si>
    <t>消費電力</t>
    <phoneticPr fontId="2"/>
  </si>
  <si>
    <t>MWｈ</t>
    <phoneticPr fontId="2"/>
  </si>
  <si>
    <t>設備（年配分）</t>
    <phoneticPr fontId="2"/>
  </si>
  <si>
    <t>百万円/年</t>
    <phoneticPr fontId="2"/>
  </si>
  <si>
    <t>設備費×係数</t>
    <phoneticPr fontId="2"/>
  </si>
  <si>
    <t>資本回収率</t>
    <phoneticPr fontId="2"/>
  </si>
  <si>
    <t>40年</t>
    <phoneticPr fontId="2"/>
  </si>
  <si>
    <t>修繕</t>
    <phoneticPr fontId="2"/>
  </si>
  <si>
    <t>修繕率</t>
    <phoneticPr fontId="2"/>
  </si>
  <si>
    <t>昇圧電気代</t>
    <phoneticPr fontId="2"/>
  </si>
  <si>
    <t>外部電源×消費電力</t>
    <phoneticPr fontId="2"/>
  </si>
  <si>
    <t>PL輸送</t>
    <phoneticPr fontId="2"/>
  </si>
  <si>
    <t>年間費用</t>
    <phoneticPr fontId="2"/>
  </si>
  <si>
    <t>貯留費用（諸元）</t>
    <phoneticPr fontId="2"/>
  </si>
  <si>
    <t>貯留量（万tCO2/年）</t>
    <phoneticPr fontId="2"/>
  </si>
  <si>
    <t>貯留</t>
    <phoneticPr fontId="2"/>
  </si>
  <si>
    <t>事前探査</t>
    <phoneticPr fontId="2"/>
  </si>
  <si>
    <t>調査井</t>
    <phoneticPr fontId="2"/>
  </si>
  <si>
    <t>調査費合計</t>
    <phoneticPr fontId="2"/>
  </si>
  <si>
    <t>モニタリング（運転中）</t>
    <phoneticPr fontId="2"/>
  </si>
  <si>
    <t>観測井</t>
    <phoneticPr fontId="2"/>
  </si>
  <si>
    <t>モニタリング（閉鎖後）</t>
    <phoneticPr fontId="2"/>
  </si>
  <si>
    <t>廃坑</t>
    <phoneticPr fontId="2"/>
  </si>
  <si>
    <t>費用合計</t>
    <phoneticPr fontId="2"/>
  </si>
  <si>
    <t>圧入ポンプ</t>
    <phoneticPr fontId="2"/>
  </si>
  <si>
    <t>20年</t>
    <phoneticPr fontId="2"/>
  </si>
  <si>
    <t>ポンプ電気代</t>
    <phoneticPr fontId="2"/>
  </si>
  <si>
    <t>調査（年配分）</t>
    <phoneticPr fontId="2"/>
  </si>
  <si>
    <t>総額×係数</t>
    <phoneticPr fontId="2"/>
  </si>
  <si>
    <r>
      <rPr>
        <b/>
        <sz val="10"/>
        <color theme="1"/>
        <rFont val="ＭＳ Ｐゴシック"/>
        <family val="3"/>
        <charset val="128"/>
      </rPr>
      <t>（参考）</t>
    </r>
    <r>
      <rPr>
        <b/>
        <sz val="10"/>
        <color theme="1"/>
        <rFont val="Arial"/>
        <family val="2"/>
      </rPr>
      <t>Net</t>
    </r>
    <r>
      <rPr>
        <b/>
        <sz val="10"/>
        <color theme="1"/>
        <rFont val="ＭＳ Ｐゴシック"/>
        <family val="3"/>
        <charset val="128"/>
      </rPr>
      <t>貯留量の計算（排出源を全て</t>
    </r>
    <r>
      <rPr>
        <b/>
        <sz val="10"/>
        <color theme="1"/>
        <rFont val="Arial"/>
        <family val="2"/>
      </rPr>
      <t>IGCC</t>
    </r>
    <r>
      <rPr>
        <b/>
        <sz val="10"/>
        <color theme="1"/>
        <rFont val="ＭＳ Ｐゴシック"/>
        <family val="3"/>
        <charset val="128"/>
      </rPr>
      <t>と想定した場合）</t>
    </r>
    <phoneticPr fontId="2"/>
  </si>
  <si>
    <t>（参考）Net貯留量の計算（排出源を全てLNGCCと想定した場合）</t>
    <phoneticPr fontId="2"/>
  </si>
  <si>
    <r>
      <t>CO2</t>
    </r>
    <r>
      <rPr>
        <b/>
        <sz val="10"/>
        <color theme="1"/>
        <rFont val="ＭＳ Ｐゴシック"/>
        <family val="3"/>
        <charset val="128"/>
      </rPr>
      <t>回収源を全て</t>
    </r>
    <r>
      <rPr>
        <b/>
        <sz val="10"/>
        <color theme="1"/>
        <rFont val="Arial"/>
        <family val="2"/>
      </rPr>
      <t>IGCC</t>
    </r>
    <r>
      <rPr>
        <b/>
        <sz val="10"/>
        <color theme="1"/>
        <rFont val="ＭＳ Ｐゴシック"/>
        <family val="3"/>
        <charset val="128"/>
      </rPr>
      <t>と仮定</t>
    </r>
    <phoneticPr fontId="2"/>
  </si>
  <si>
    <t>184万tCO2/年</t>
    <phoneticPr fontId="56"/>
  </si>
  <si>
    <t>300万tCO2/年</t>
    <phoneticPr fontId="2"/>
  </si>
  <si>
    <t>500万tCO2/年</t>
    <phoneticPr fontId="2"/>
  </si>
  <si>
    <t>1000万tCO2/年</t>
    <phoneticPr fontId="2"/>
  </si>
  <si>
    <t>CO2回収源を全て石炭と仮定</t>
    <phoneticPr fontId="2"/>
  </si>
  <si>
    <t>285万tCO2/年</t>
    <phoneticPr fontId="56"/>
  </si>
  <si>
    <t>CO2回収源を全てLNGCCと仮定</t>
    <phoneticPr fontId="2"/>
  </si>
  <si>
    <t>151万tCO2/年</t>
    <phoneticPr fontId="56"/>
  </si>
  <si>
    <t>回収</t>
    <phoneticPr fontId="2"/>
  </si>
  <si>
    <t>熱エネルギー（電力換算）</t>
    <phoneticPr fontId="2"/>
  </si>
  <si>
    <t>ポンプ動力</t>
    <phoneticPr fontId="2"/>
  </si>
  <si>
    <t>輸送</t>
    <phoneticPr fontId="2"/>
  </si>
  <si>
    <t>昇圧動力</t>
    <phoneticPr fontId="2"/>
  </si>
  <si>
    <t>圧入ポンプ動力</t>
    <phoneticPr fontId="2"/>
  </si>
  <si>
    <t>CCS規模</t>
    <phoneticPr fontId="2"/>
  </si>
  <si>
    <t>tCO2/年</t>
    <phoneticPr fontId="2"/>
  </si>
  <si>
    <t>MWh/年</t>
    <phoneticPr fontId="2"/>
  </si>
  <si>
    <t>排出係数</t>
    <phoneticPr fontId="2"/>
  </si>
  <si>
    <t>CO2排出量</t>
    <phoneticPr fontId="2"/>
  </si>
  <si>
    <t>Net貯留量</t>
    <phoneticPr fontId="2"/>
  </si>
  <si>
    <t>（参考）輸送＆貯留コスト（Avoided）</t>
    <phoneticPr fontId="2"/>
  </si>
  <si>
    <t>石炭火力</t>
    <phoneticPr fontId="2"/>
  </si>
  <si>
    <t>輸送・貯留量</t>
    <phoneticPr fontId="2"/>
  </si>
  <si>
    <t>輸送距離</t>
    <phoneticPr fontId="2"/>
  </si>
  <si>
    <t>輸送・貯留コスト（Captured）</t>
    <phoneticPr fontId="2"/>
  </si>
  <si>
    <t>円/tCO2</t>
    <phoneticPr fontId="2"/>
  </si>
  <si>
    <t>輸送・貯留コスト（Avoided）</t>
    <phoneticPr fontId="2"/>
  </si>
  <si>
    <t>輸送・貯留時のCO2排出量(184万ﾄﾝ)</t>
    <phoneticPr fontId="56"/>
  </si>
  <si>
    <t>輸送・貯留時のCO2排出量(285万ﾄﾝ)</t>
    <phoneticPr fontId="56"/>
  </si>
  <si>
    <t>輸送・貯留時のCO2排出量(151万ﾄﾝ)</t>
    <phoneticPr fontId="56"/>
  </si>
  <si>
    <t>輸送・貯留時のCO2排出量(300万ﾄﾝ)</t>
    <phoneticPr fontId="56"/>
  </si>
  <si>
    <t>輸送・貯留時のCO2排出量(500万ﾄﾝ)</t>
    <phoneticPr fontId="56"/>
  </si>
  <si>
    <t>輸送・貯留時のCO2排出量(1000万ﾄﾝ)</t>
    <phoneticPr fontId="56"/>
  </si>
  <si>
    <t>平均</t>
  </si>
  <si>
    <t>送電電力量</t>
    <phoneticPr fontId="2"/>
  </si>
  <si>
    <t>（kWh/年）</t>
    <phoneticPr fontId="2"/>
  </si>
  <si>
    <t>CO2回収量（輸送・貯留量）</t>
    <phoneticPr fontId="2"/>
  </si>
  <si>
    <t>CO2輸送・貯留費用(単価）</t>
    <phoneticPr fontId="2"/>
  </si>
  <si>
    <t>CO2輸送・貯留費用</t>
    <phoneticPr fontId="2"/>
  </si>
  <si>
    <t>（参考）</t>
    <phoneticPr fontId="2"/>
  </si>
  <si>
    <t>CO2回収設備費</t>
    <phoneticPr fontId="2"/>
  </si>
  <si>
    <t>円</t>
    <phoneticPr fontId="2"/>
  </si>
  <si>
    <t>CO2回収設備費（年配分）</t>
    <phoneticPr fontId="2"/>
  </si>
  <si>
    <t>円/年</t>
    <phoneticPr fontId="2"/>
  </si>
  <si>
    <t>年間運用費（修繕費）</t>
    <phoneticPr fontId="2"/>
  </si>
  <si>
    <t>年間運用費（諸費）</t>
    <phoneticPr fontId="2"/>
  </si>
  <si>
    <t>消費エネルギー（発電ロス）</t>
    <phoneticPr fontId="2"/>
  </si>
  <si>
    <t>CO2回収費用（Captured）</t>
  </si>
  <si>
    <t>CO2回収費用（Avoided）</t>
    <phoneticPr fontId="2"/>
  </si>
  <si>
    <t>CO2回収費用</t>
    <phoneticPr fontId="2"/>
  </si>
  <si>
    <t>IGCC発電コスト</t>
    <rPh sb="4" eb="6">
      <t>ハツデン</t>
    </rPh>
    <phoneticPr fontId="56"/>
  </si>
  <si>
    <t>円/kWh</t>
  </si>
  <si>
    <t>石炭火力発電コスト</t>
    <rPh sb="4" eb="6">
      <t>ハツデン</t>
    </rPh>
    <phoneticPr fontId="2"/>
  </si>
  <si>
    <t>LNG火力発電コスト</t>
    <rPh sb="5" eb="7">
      <t>ハツデン</t>
    </rPh>
    <phoneticPr fontId="2"/>
  </si>
  <si>
    <t>建設費</t>
    <rPh sb="0" eb="3">
      <t>ケンセツヒ</t>
    </rPh>
    <phoneticPr fontId="2"/>
  </si>
  <si>
    <t>建設費</t>
    <phoneticPr fontId="20"/>
  </si>
  <si>
    <t>建設費</t>
  </si>
  <si>
    <t>（うち工事費等）</t>
    <rPh sb="3" eb="6">
      <t>コウジヒ</t>
    </rPh>
    <rPh sb="6" eb="7">
      <t>トウ</t>
    </rPh>
    <phoneticPr fontId="20"/>
  </si>
  <si>
    <t>設備費が国際価格に収斂、
設備費以外の建設費は一定</t>
    <rPh sb="0" eb="2">
      <t>セツビ</t>
    </rPh>
    <rPh sb="2" eb="3">
      <t>ヒ</t>
    </rPh>
    <rPh sb="4" eb="6">
      <t>コクサイ</t>
    </rPh>
    <rPh sb="6" eb="8">
      <t>カカク</t>
    </rPh>
    <rPh sb="9" eb="11">
      <t>シュウレン</t>
    </rPh>
    <rPh sb="13" eb="15">
      <t>セツビ</t>
    </rPh>
    <rPh sb="15" eb="16">
      <t>ヒ</t>
    </rPh>
    <rPh sb="16" eb="18">
      <t>イガイ</t>
    </rPh>
    <rPh sb="19" eb="22">
      <t>ケンセツヒ</t>
    </rPh>
    <rPh sb="23" eb="25">
      <t>イッテイ</t>
    </rPh>
    <phoneticPr fontId="20"/>
  </si>
  <si>
    <t>接続費
（建設費に含まれない）</t>
    <phoneticPr fontId="56"/>
  </si>
  <si>
    <t>パネル出力劣化率</t>
    <rPh sb="3" eb="5">
      <t>シュツリョク</t>
    </rPh>
    <rPh sb="5" eb="7">
      <t>レッカ</t>
    </rPh>
    <rPh sb="7" eb="8">
      <t>リツ</t>
    </rPh>
    <phoneticPr fontId="56"/>
  </si>
  <si>
    <r>
      <rPr>
        <sz val="11"/>
        <rFont val="ＭＳ Ｐゴシック"/>
        <family val="3"/>
        <charset val="128"/>
      </rPr>
      <t>出力</t>
    </r>
    <rPh sb="0" eb="2">
      <t>シュツリョク</t>
    </rPh>
    <phoneticPr fontId="2"/>
  </si>
  <si>
    <r>
      <rPr>
        <sz val="11"/>
        <rFont val="ＭＳ Ｐゴシック"/>
        <family val="3"/>
        <charset val="128"/>
      </rPr>
      <t>設備利用率</t>
    </r>
    <rPh sb="0" eb="2">
      <t>セツビ</t>
    </rPh>
    <rPh sb="2" eb="5">
      <t>リヨウリツ</t>
    </rPh>
    <phoneticPr fontId="2"/>
  </si>
  <si>
    <r>
      <rPr>
        <sz val="11"/>
        <rFont val="ＭＳ Ｐゴシック"/>
        <family val="3"/>
        <charset val="128"/>
      </rPr>
      <t>稼動年数</t>
    </r>
    <rPh sb="0" eb="2">
      <t>カドウ</t>
    </rPh>
    <rPh sb="2" eb="4">
      <t>ネンスウ</t>
    </rPh>
    <phoneticPr fontId="2"/>
  </si>
  <si>
    <r>
      <rPr>
        <sz val="11"/>
        <rFont val="ＭＳ Ｐゴシック"/>
        <family val="3"/>
        <charset val="128"/>
      </rPr>
      <t>運転維持費諸元</t>
    </r>
    <rPh sb="0" eb="2">
      <t>ウンテン</t>
    </rPh>
    <rPh sb="2" eb="5">
      <t>イジヒ</t>
    </rPh>
    <rPh sb="5" eb="6">
      <t>ショ</t>
    </rPh>
    <rPh sb="6" eb="7">
      <t>ゲン</t>
    </rPh>
    <phoneticPr fontId="2"/>
  </si>
  <si>
    <r>
      <rPr>
        <sz val="11"/>
        <rFont val="ＭＳ Ｐゴシック"/>
        <family val="3"/>
        <charset val="128"/>
      </rPr>
      <t>燃料費諸元　【除、原子力】</t>
    </r>
    <rPh sb="0" eb="3">
      <t>ネンリョウヒ</t>
    </rPh>
    <rPh sb="3" eb="4">
      <t>ショ</t>
    </rPh>
    <rPh sb="4" eb="5">
      <t>ゲン</t>
    </rPh>
    <rPh sb="7" eb="8">
      <t>ノゾ</t>
    </rPh>
    <rPh sb="9" eb="12">
      <t>ゲンシリョク</t>
    </rPh>
    <phoneticPr fontId="2"/>
  </si>
  <si>
    <r>
      <t>CO2</t>
    </r>
    <r>
      <rPr>
        <sz val="11"/>
        <rFont val="ＭＳ Ｐゴシック"/>
        <family val="3"/>
        <charset val="128"/>
      </rPr>
      <t>対策経費諸元　【化石燃料関係電源】</t>
    </r>
    <rPh sb="3" eb="5">
      <t>タイサク</t>
    </rPh>
    <rPh sb="5" eb="7">
      <t>ケイヒ</t>
    </rPh>
    <rPh sb="7" eb="8">
      <t>ショ</t>
    </rPh>
    <rPh sb="8" eb="9">
      <t>ゲン</t>
    </rPh>
    <rPh sb="11" eb="13">
      <t>カセキ</t>
    </rPh>
    <rPh sb="13" eb="15">
      <t>ネンリョウ</t>
    </rPh>
    <rPh sb="15" eb="17">
      <t>カンケイ</t>
    </rPh>
    <rPh sb="17" eb="19">
      <t>デンゲン</t>
    </rPh>
    <phoneticPr fontId="2"/>
  </si>
  <si>
    <r>
      <rPr>
        <sz val="11"/>
        <rFont val="ＭＳ Ｐゴシック"/>
        <family val="3"/>
        <charset val="128"/>
      </rPr>
      <t>排熱利用諸元</t>
    </r>
    <rPh sb="0" eb="2">
      <t>ハイネツ</t>
    </rPh>
    <rPh sb="2" eb="4">
      <t>リヨウ</t>
    </rPh>
    <rPh sb="4" eb="6">
      <t>ショゲン</t>
    </rPh>
    <phoneticPr fontId="2"/>
  </si>
  <si>
    <r>
      <rPr>
        <sz val="11"/>
        <rFont val="ＭＳ Ｐゴシック"/>
        <family val="3"/>
        <charset val="128"/>
      </rPr>
      <t>熱回収効率</t>
    </r>
    <rPh sb="0" eb="1">
      <t>ネツ</t>
    </rPh>
    <rPh sb="1" eb="3">
      <t>カイシュウ</t>
    </rPh>
    <rPh sb="3" eb="5">
      <t>コウリツ</t>
    </rPh>
    <phoneticPr fontId="2"/>
  </si>
  <si>
    <r>
      <rPr>
        <sz val="11"/>
        <rFont val="ＭＳ Ｐゴシック"/>
        <family val="3"/>
        <charset val="128"/>
      </rPr>
      <t>事故リスクコスト諸元　【原子力】</t>
    </r>
    <rPh sb="0" eb="2">
      <t>ジコ</t>
    </rPh>
    <rPh sb="8" eb="9">
      <t>ショ</t>
    </rPh>
    <rPh sb="9" eb="10">
      <t>ゲン</t>
    </rPh>
    <rPh sb="12" eb="15">
      <t>ゲンシリョク</t>
    </rPh>
    <phoneticPr fontId="2"/>
  </si>
  <si>
    <r>
      <rPr>
        <sz val="11"/>
        <rFont val="ＭＳ Ｐゴシック"/>
        <family val="3"/>
        <charset val="128"/>
      </rPr>
      <t>政策経費</t>
    </r>
    <r>
      <rPr>
        <sz val="11"/>
        <rFont val="Arial"/>
        <family val="2"/>
      </rPr>
      <t xml:space="preserve"> </t>
    </r>
    <r>
      <rPr>
        <sz val="11"/>
        <rFont val="ＭＳ Ｐゴシック"/>
        <family val="3"/>
        <charset val="128"/>
      </rPr>
      <t>【</t>
    </r>
    <r>
      <rPr>
        <sz val="11"/>
        <rFont val="Arial"/>
        <family val="2"/>
      </rPr>
      <t>FIT</t>
    </r>
    <r>
      <rPr>
        <sz val="11"/>
        <rFont val="ＭＳ Ｐゴシック"/>
        <family val="3"/>
        <charset val="128"/>
      </rPr>
      <t>以外】</t>
    </r>
    <rPh sb="0" eb="2">
      <t>セイサク</t>
    </rPh>
    <rPh sb="2" eb="4">
      <t>ケイヒ</t>
    </rPh>
    <rPh sb="9" eb="11">
      <t>イガイ</t>
    </rPh>
    <phoneticPr fontId="2"/>
  </si>
  <si>
    <r>
      <rPr>
        <sz val="11"/>
        <rFont val="ＭＳ Ｐゴシック"/>
        <family val="3"/>
        <charset val="128"/>
      </rPr>
      <t>（円</t>
    </r>
    <r>
      <rPr>
        <sz val="11"/>
        <rFont val="Arial"/>
        <family val="2"/>
      </rPr>
      <t>/kWh</t>
    </r>
    <r>
      <rPr>
        <sz val="11"/>
        <rFont val="ＭＳ Ｐゴシック"/>
        <family val="3"/>
        <charset val="128"/>
      </rPr>
      <t>）</t>
    </r>
    <r>
      <rPr>
        <sz val="11"/>
        <color indexed="8"/>
        <rFont val="Arial"/>
        <family val="2"/>
      </rPr>
      <t/>
    </r>
    <rPh sb="1" eb="2">
      <t>エン</t>
    </rPh>
    <phoneticPr fontId="2"/>
  </si>
  <si>
    <r>
      <rPr>
        <b/>
        <sz val="11"/>
        <rFont val="ＭＳ Ｐゴシック"/>
        <family val="3"/>
        <charset val="128"/>
      </rPr>
      <t>固定条件計算</t>
    </r>
    <rPh sb="0" eb="2">
      <t>コテイ</t>
    </rPh>
    <rPh sb="2" eb="4">
      <t>ジョウケン</t>
    </rPh>
    <rPh sb="4" eb="6">
      <t>ケイサン</t>
    </rPh>
    <phoneticPr fontId="2"/>
  </si>
  <si>
    <r>
      <rPr>
        <sz val="11"/>
        <rFont val="ＭＳ Ｐゴシック"/>
        <family val="3"/>
        <charset val="128"/>
      </rPr>
      <t>現在価値合計</t>
    </r>
    <rPh sb="0" eb="2">
      <t>ゲンザイ</t>
    </rPh>
    <rPh sb="2" eb="4">
      <t>カチ</t>
    </rPh>
    <rPh sb="4" eb="6">
      <t>ゴウケイ</t>
    </rPh>
    <phoneticPr fontId="2"/>
  </si>
  <si>
    <r>
      <rPr>
        <b/>
        <sz val="11"/>
        <rFont val="ＭＳ Ｐゴシック"/>
        <family val="3"/>
        <charset val="128"/>
      </rPr>
      <t>電源種類　（入力）</t>
    </r>
    <rPh sb="0" eb="2">
      <t>デンゲン</t>
    </rPh>
    <rPh sb="2" eb="4">
      <t>シュルイ</t>
    </rPh>
    <rPh sb="6" eb="8">
      <t>ニュウリョク</t>
    </rPh>
    <phoneticPr fontId="2"/>
  </si>
  <si>
    <r>
      <rPr>
        <b/>
        <sz val="11"/>
        <rFont val="ＭＳ Ｐゴシック"/>
        <family val="3"/>
        <charset val="128"/>
      </rPr>
      <t>環境条件</t>
    </r>
    <r>
      <rPr>
        <b/>
        <sz val="11"/>
        <rFont val="Arial"/>
        <family val="2"/>
      </rPr>
      <t xml:space="preserve"> </t>
    </r>
    <r>
      <rPr>
        <b/>
        <sz val="11"/>
        <rFont val="ＭＳ Ｐゴシック"/>
        <family val="3"/>
        <charset val="128"/>
      </rPr>
      <t>（入力）</t>
    </r>
    <rPh sb="0" eb="2">
      <t>カンキョウ</t>
    </rPh>
    <rPh sb="2" eb="4">
      <t>ジョウケン</t>
    </rPh>
    <rPh sb="6" eb="8">
      <t>ニュウリョク</t>
    </rPh>
    <phoneticPr fontId="2"/>
  </si>
  <si>
    <r>
      <rPr>
        <sz val="11"/>
        <rFont val="ＭＳ Ｐゴシック"/>
        <family val="3"/>
        <charset val="128"/>
      </rPr>
      <t>為替レート</t>
    </r>
    <rPh sb="0" eb="2">
      <t>カワセ</t>
    </rPh>
    <phoneticPr fontId="2"/>
  </si>
  <si>
    <r>
      <rPr>
        <sz val="11"/>
        <rFont val="ＭＳ Ｐゴシック"/>
        <family val="3"/>
        <charset val="128"/>
      </rPr>
      <t>割引率（金利）</t>
    </r>
    <rPh sb="0" eb="2">
      <t>ワリビキ</t>
    </rPh>
    <rPh sb="2" eb="3">
      <t>リツ</t>
    </rPh>
    <rPh sb="4" eb="6">
      <t>キンリ</t>
    </rPh>
    <phoneticPr fontId="2"/>
  </si>
  <si>
    <r>
      <rPr>
        <sz val="11"/>
        <rFont val="ＭＳ Ｐゴシック"/>
        <family val="3"/>
        <charset val="128"/>
      </rPr>
      <t>法定耐用年数</t>
    </r>
    <rPh sb="0" eb="2">
      <t>ホウテイ</t>
    </rPh>
    <rPh sb="2" eb="4">
      <t>タイヨウ</t>
    </rPh>
    <rPh sb="4" eb="6">
      <t>ネンスウ</t>
    </rPh>
    <phoneticPr fontId="2"/>
  </si>
  <si>
    <r>
      <rPr>
        <sz val="11"/>
        <rFont val="ＭＳ Ｐゴシック"/>
        <family val="3"/>
        <charset val="128"/>
      </rPr>
      <t>減価償却率</t>
    </r>
    <rPh sb="0" eb="2">
      <t>ゲンカ</t>
    </rPh>
    <rPh sb="2" eb="4">
      <t>ショウキャク</t>
    </rPh>
    <rPh sb="4" eb="5">
      <t>リツ</t>
    </rPh>
    <phoneticPr fontId="2"/>
  </si>
  <si>
    <r>
      <rPr>
        <sz val="11"/>
        <rFont val="ＭＳ Ｐゴシック"/>
        <family val="3"/>
        <charset val="128"/>
      </rPr>
      <t>償却保証額</t>
    </r>
    <rPh sb="0" eb="2">
      <t>ショウキャク</t>
    </rPh>
    <rPh sb="2" eb="4">
      <t>ホショウ</t>
    </rPh>
    <rPh sb="4" eb="5">
      <t>ガク</t>
    </rPh>
    <phoneticPr fontId="2"/>
  </si>
  <si>
    <r>
      <rPr>
        <sz val="11"/>
        <rFont val="ＭＳ Ｐゴシック"/>
        <family val="3"/>
        <charset val="128"/>
      </rPr>
      <t>電力量</t>
    </r>
    <rPh sb="0" eb="2">
      <t>デンリョク</t>
    </rPh>
    <rPh sb="2" eb="3">
      <t>リョウ</t>
    </rPh>
    <phoneticPr fontId="2"/>
  </si>
  <si>
    <r>
      <rPr>
        <sz val="11"/>
        <rFont val="ＭＳ Ｐゴシック"/>
        <family val="3"/>
        <charset val="128"/>
      </rPr>
      <t>必要燃料量</t>
    </r>
    <rPh sb="0" eb="2">
      <t>ヒツヨウ</t>
    </rPh>
    <rPh sb="2" eb="4">
      <t>ネンリョウ</t>
    </rPh>
    <rPh sb="4" eb="5">
      <t>リョウ</t>
    </rPh>
    <phoneticPr fontId="2"/>
  </si>
  <si>
    <r>
      <rPr>
        <sz val="11"/>
        <rFont val="ＭＳ Ｐゴシック"/>
        <family val="3"/>
        <charset val="128"/>
      </rPr>
      <t>燃料価格</t>
    </r>
    <rPh sb="0" eb="2">
      <t>ネンリョウ</t>
    </rPh>
    <rPh sb="2" eb="4">
      <t>カカク</t>
    </rPh>
    <phoneticPr fontId="2"/>
  </si>
  <si>
    <r>
      <rPr>
        <sz val="11"/>
        <rFont val="ＭＳ Ｐゴシック"/>
        <family val="3"/>
        <charset val="128"/>
      </rPr>
      <t>熱電比</t>
    </r>
    <rPh sb="0" eb="1">
      <t>ネツ</t>
    </rPh>
    <rPh sb="1" eb="2">
      <t>デン</t>
    </rPh>
    <rPh sb="2" eb="3">
      <t>ヒ</t>
    </rPh>
    <phoneticPr fontId="2"/>
  </si>
  <si>
    <r>
      <rPr>
        <b/>
        <sz val="18"/>
        <rFont val="ＭＳ Ｐゴシック"/>
        <family val="3"/>
        <charset val="128"/>
      </rPr>
      <t>石炭火力</t>
    </r>
  </si>
  <si>
    <r>
      <rPr>
        <sz val="11"/>
        <rFont val="ＭＳ Ｐゴシック"/>
        <family val="3"/>
        <charset val="128"/>
      </rPr>
      <t>建設費（固定資産取得価額）</t>
    </r>
    <rPh sb="0" eb="3">
      <t>ケンセツヒ</t>
    </rPh>
    <rPh sb="4" eb="6">
      <t>コテイ</t>
    </rPh>
    <rPh sb="6" eb="8">
      <t>シサン</t>
    </rPh>
    <rPh sb="8" eb="10">
      <t>シュトク</t>
    </rPh>
    <rPh sb="10" eb="12">
      <t>カガク</t>
    </rPh>
    <phoneticPr fontId="2"/>
  </si>
  <si>
    <r>
      <t>LNG</t>
    </r>
    <r>
      <rPr>
        <b/>
        <sz val="18"/>
        <rFont val="ＭＳ Ｐゴシック"/>
        <family val="3"/>
        <charset val="128"/>
      </rPr>
      <t>火力</t>
    </r>
  </si>
  <si>
    <r>
      <rPr>
        <b/>
        <sz val="11"/>
        <rFont val="ＭＳ Ｐゴシック"/>
        <family val="3"/>
        <charset val="128"/>
      </rPr>
      <t>稼動年数計算</t>
    </r>
    <rPh sb="0" eb="2">
      <t>カドウ</t>
    </rPh>
    <rPh sb="2" eb="4">
      <t>ネンスウ</t>
    </rPh>
    <rPh sb="4" eb="6">
      <t>ケイサン</t>
    </rPh>
    <phoneticPr fontId="2"/>
  </si>
  <si>
    <r>
      <rPr>
        <sz val="11"/>
        <rFont val="ＭＳ Ｐゴシック"/>
        <family val="3"/>
        <charset val="128"/>
      </rPr>
      <t>年度</t>
    </r>
    <rPh sb="0" eb="2">
      <t>ネンド</t>
    </rPh>
    <phoneticPr fontId="2"/>
  </si>
  <si>
    <r>
      <t>LNG</t>
    </r>
    <r>
      <rPr>
        <b/>
        <sz val="18"/>
        <rFont val="ＭＳ Ｐゴシック"/>
        <family val="3"/>
        <charset val="128"/>
      </rPr>
      <t>火力</t>
    </r>
    <phoneticPr fontId="2"/>
  </si>
  <si>
    <r>
      <rPr>
        <b/>
        <sz val="18"/>
        <rFont val="ＭＳ Ｐゴシック"/>
        <family val="3"/>
        <charset val="128"/>
      </rPr>
      <t>石油火力</t>
    </r>
  </si>
  <si>
    <r>
      <rPr>
        <b/>
        <sz val="18"/>
        <rFont val="ＭＳ Ｐゴシック"/>
        <family val="3"/>
        <charset val="128"/>
      </rPr>
      <t>ガスコジェネ</t>
    </r>
  </si>
  <si>
    <r>
      <rPr>
        <sz val="11"/>
        <rFont val="ＭＳ Ｐゴシック"/>
        <family val="3"/>
        <charset val="128"/>
      </rPr>
      <t>稼動
年数</t>
    </r>
    <rPh sb="0" eb="2">
      <t>カドウ</t>
    </rPh>
    <rPh sb="3" eb="5">
      <t>ネンスウ</t>
    </rPh>
    <phoneticPr fontId="2"/>
  </si>
  <si>
    <r>
      <rPr>
        <b/>
        <sz val="18"/>
        <rFont val="ＭＳ Ｐゴシック"/>
        <family val="3"/>
        <charset val="128"/>
      </rPr>
      <t>石油コジェネ</t>
    </r>
  </si>
  <si>
    <r>
      <rPr>
        <b/>
        <sz val="18"/>
        <rFont val="ＭＳ Ｐゴシック"/>
        <family val="3"/>
        <charset val="128"/>
      </rPr>
      <t>燃料電池</t>
    </r>
  </si>
  <si>
    <r>
      <rPr>
        <sz val="11"/>
        <rFont val="ＭＳ Ｐゴシック"/>
        <family val="3"/>
        <charset val="128"/>
      </rPr>
      <t>　</t>
    </r>
    <r>
      <rPr>
        <sz val="11"/>
        <rFont val="Arial"/>
        <family val="2"/>
      </rPr>
      <t>1</t>
    </r>
    <r>
      <rPr>
        <sz val="11"/>
        <rFont val="ＭＳ Ｐゴシック"/>
        <family val="3"/>
        <charset val="128"/>
      </rPr>
      <t>～</t>
    </r>
    <r>
      <rPr>
        <sz val="11"/>
        <rFont val="Arial"/>
        <family val="2"/>
      </rPr>
      <t>10</t>
    </r>
    <r>
      <rPr>
        <sz val="11"/>
        <rFont val="ＭＳ Ｐゴシック"/>
        <family val="3"/>
        <charset val="128"/>
      </rPr>
      <t>年目</t>
    </r>
    <rPh sb="5" eb="7">
      <t>ネンメ</t>
    </rPh>
    <phoneticPr fontId="2"/>
  </si>
  <si>
    <r>
      <rPr>
        <sz val="11"/>
        <rFont val="ＭＳ Ｐゴシック"/>
        <family val="3"/>
        <charset val="128"/>
      </rPr>
      <t>　</t>
    </r>
    <r>
      <rPr>
        <sz val="11"/>
        <rFont val="Arial"/>
        <family val="2"/>
      </rPr>
      <t>11</t>
    </r>
    <r>
      <rPr>
        <sz val="11"/>
        <rFont val="ＭＳ Ｐゴシック"/>
        <family val="3"/>
        <charset val="128"/>
      </rPr>
      <t>～</t>
    </r>
    <r>
      <rPr>
        <sz val="11"/>
        <rFont val="Arial"/>
        <family val="2"/>
      </rPr>
      <t>20</t>
    </r>
    <r>
      <rPr>
        <sz val="11"/>
        <rFont val="ＭＳ Ｐゴシック"/>
        <family val="3"/>
        <charset val="128"/>
      </rPr>
      <t>年目</t>
    </r>
    <rPh sb="6" eb="8">
      <t>ネンメ</t>
    </rPh>
    <phoneticPr fontId="2"/>
  </si>
  <si>
    <r>
      <rPr>
        <sz val="11"/>
        <rFont val="ＭＳ Ｐゴシック"/>
        <family val="3"/>
        <charset val="128"/>
      </rPr>
      <t>　</t>
    </r>
    <r>
      <rPr>
        <sz val="11"/>
        <rFont val="Arial"/>
        <family val="2"/>
      </rPr>
      <t>21</t>
    </r>
    <r>
      <rPr>
        <sz val="11"/>
        <rFont val="ＭＳ Ｐゴシック"/>
        <family val="3"/>
        <charset val="128"/>
      </rPr>
      <t>年目～</t>
    </r>
    <rPh sb="3" eb="5">
      <t>ネンメ</t>
    </rPh>
    <phoneticPr fontId="2"/>
  </si>
  <si>
    <r>
      <rPr>
        <b/>
        <sz val="11"/>
        <color theme="1"/>
        <rFont val="ＭＳ Ｐゴシック"/>
        <family val="3"/>
        <charset val="128"/>
      </rPr>
      <t>電源種類　（入力）</t>
    </r>
    <rPh sb="0" eb="2">
      <t>デンゲン</t>
    </rPh>
    <rPh sb="2" eb="4">
      <t>シュルイ</t>
    </rPh>
    <rPh sb="6" eb="8">
      <t>ニュウリョク</t>
    </rPh>
    <phoneticPr fontId="2"/>
  </si>
  <si>
    <r>
      <rPr>
        <b/>
        <sz val="11"/>
        <color theme="1"/>
        <rFont val="ＭＳ Ｐゴシック"/>
        <family val="3"/>
        <charset val="128"/>
      </rPr>
      <t>環境条件</t>
    </r>
    <r>
      <rPr>
        <b/>
        <sz val="11"/>
        <color theme="1"/>
        <rFont val="Arial"/>
        <family val="2"/>
      </rPr>
      <t xml:space="preserve"> </t>
    </r>
    <r>
      <rPr>
        <b/>
        <sz val="11"/>
        <color theme="1"/>
        <rFont val="ＭＳ Ｐゴシック"/>
        <family val="3"/>
        <charset val="128"/>
      </rPr>
      <t>（入力）</t>
    </r>
    <rPh sb="0" eb="2">
      <t>カンキョウ</t>
    </rPh>
    <rPh sb="2" eb="4">
      <t>ジョウケン</t>
    </rPh>
    <rPh sb="6" eb="8">
      <t>ニュウリョク</t>
    </rPh>
    <phoneticPr fontId="2"/>
  </si>
  <si>
    <r>
      <rPr>
        <b/>
        <sz val="11"/>
        <color theme="1"/>
        <rFont val="ＭＳ Ｐゴシック"/>
        <family val="3"/>
        <charset val="128"/>
      </rPr>
      <t>稼動年数計算</t>
    </r>
    <rPh sb="0" eb="2">
      <t>カドウ</t>
    </rPh>
    <rPh sb="2" eb="4">
      <t>ネンスウ</t>
    </rPh>
    <rPh sb="4" eb="6">
      <t>ケイサン</t>
    </rPh>
    <phoneticPr fontId="2"/>
  </si>
  <si>
    <r>
      <rPr>
        <sz val="11"/>
        <color theme="1"/>
        <rFont val="ＭＳ Ｐゴシック"/>
        <family val="3"/>
        <charset val="128"/>
      </rPr>
      <t>基準年度</t>
    </r>
    <rPh sb="0" eb="2">
      <t>キジュン</t>
    </rPh>
    <rPh sb="2" eb="4">
      <t>ネンド</t>
    </rPh>
    <phoneticPr fontId="2"/>
  </si>
  <si>
    <r>
      <rPr>
        <sz val="11"/>
        <color theme="1"/>
        <rFont val="ＭＳ Ｐゴシック"/>
        <family val="3"/>
        <charset val="128"/>
      </rPr>
      <t>為替レート</t>
    </r>
    <rPh sb="0" eb="2">
      <t>カワセ</t>
    </rPh>
    <phoneticPr fontId="2"/>
  </si>
  <si>
    <r>
      <rPr>
        <sz val="11"/>
        <color theme="1"/>
        <rFont val="ＭＳ Ｐゴシック"/>
        <family val="3"/>
        <charset val="128"/>
      </rPr>
      <t>（円</t>
    </r>
    <r>
      <rPr>
        <sz val="11"/>
        <color theme="1"/>
        <rFont val="Arial"/>
        <family val="2"/>
      </rPr>
      <t>/</t>
    </r>
    <r>
      <rPr>
        <sz val="11"/>
        <color theme="1"/>
        <rFont val="ＭＳ Ｐゴシック"/>
        <family val="3"/>
        <charset val="128"/>
      </rPr>
      <t>ドル）</t>
    </r>
    <rPh sb="1" eb="2">
      <t>エン</t>
    </rPh>
    <phoneticPr fontId="2"/>
  </si>
  <si>
    <r>
      <rPr>
        <sz val="11"/>
        <color theme="1"/>
        <rFont val="ＭＳ Ｐゴシック"/>
        <family val="3"/>
        <charset val="128"/>
      </rPr>
      <t>割引率（金利）</t>
    </r>
    <rPh sb="0" eb="2">
      <t>ワリビキ</t>
    </rPh>
    <rPh sb="2" eb="3">
      <t>リツ</t>
    </rPh>
    <rPh sb="4" eb="6">
      <t>キンリ</t>
    </rPh>
    <phoneticPr fontId="2"/>
  </si>
  <si>
    <r>
      <rPr>
        <sz val="11"/>
        <color theme="1"/>
        <rFont val="ＭＳ Ｐゴシック"/>
        <family val="3"/>
        <charset val="128"/>
      </rPr>
      <t>（</t>
    </r>
    <r>
      <rPr>
        <sz val="11"/>
        <color theme="1"/>
        <rFont val="Arial"/>
        <family val="2"/>
      </rPr>
      <t>%</t>
    </r>
    <r>
      <rPr>
        <sz val="11"/>
        <color theme="1"/>
        <rFont val="ＭＳ Ｐゴシック"/>
        <family val="3"/>
        <charset val="128"/>
      </rPr>
      <t>）</t>
    </r>
    <phoneticPr fontId="2"/>
  </si>
  <si>
    <r>
      <rPr>
        <sz val="11"/>
        <color theme="1"/>
        <rFont val="ＭＳ Ｐゴシック"/>
        <family val="3"/>
        <charset val="128"/>
      </rPr>
      <t>年度</t>
    </r>
    <rPh sb="0" eb="2">
      <t>ネンド</t>
    </rPh>
    <phoneticPr fontId="2"/>
  </si>
  <si>
    <r>
      <rPr>
        <sz val="11"/>
        <color theme="1"/>
        <rFont val="ＭＳ Ｐゴシック"/>
        <family val="3"/>
        <charset val="128"/>
      </rPr>
      <t>稼動
年数</t>
    </r>
    <rPh sb="0" eb="2">
      <t>カドウ</t>
    </rPh>
    <rPh sb="3" eb="5">
      <t>ネンスウ</t>
    </rPh>
    <phoneticPr fontId="2"/>
  </si>
  <si>
    <r>
      <rPr>
        <sz val="11"/>
        <color theme="1"/>
        <rFont val="ＭＳ Ｐゴシック"/>
        <family val="3"/>
        <charset val="128"/>
      </rPr>
      <t>出力</t>
    </r>
    <rPh sb="0" eb="2">
      <t>シュツリョク</t>
    </rPh>
    <phoneticPr fontId="2"/>
  </si>
  <si>
    <r>
      <rPr>
        <sz val="11"/>
        <color theme="1"/>
        <rFont val="ＭＳ Ｐゴシック"/>
        <family val="3"/>
        <charset val="128"/>
      </rPr>
      <t>（万</t>
    </r>
    <r>
      <rPr>
        <sz val="11"/>
        <color theme="1"/>
        <rFont val="Arial"/>
        <family val="2"/>
      </rPr>
      <t>kW</t>
    </r>
    <r>
      <rPr>
        <sz val="11"/>
        <color theme="1"/>
        <rFont val="ＭＳ Ｐゴシック"/>
        <family val="3"/>
        <charset val="128"/>
      </rPr>
      <t>）</t>
    </r>
    <rPh sb="1" eb="2">
      <t>マン</t>
    </rPh>
    <phoneticPr fontId="2"/>
  </si>
  <si>
    <r>
      <rPr>
        <sz val="11"/>
        <color theme="1"/>
        <rFont val="ＭＳ Ｐゴシック"/>
        <family val="3"/>
        <charset val="128"/>
      </rPr>
      <t>設備利用率</t>
    </r>
    <rPh sb="0" eb="2">
      <t>セツビ</t>
    </rPh>
    <rPh sb="2" eb="5">
      <t>リヨウリツ</t>
    </rPh>
    <phoneticPr fontId="2"/>
  </si>
  <si>
    <r>
      <rPr>
        <sz val="11"/>
        <color theme="1"/>
        <rFont val="ＭＳ Ｐゴシック"/>
        <family val="3"/>
        <charset val="128"/>
      </rPr>
      <t>稼動年数</t>
    </r>
    <rPh sb="0" eb="2">
      <t>カドウ</t>
    </rPh>
    <rPh sb="2" eb="4">
      <t>ネンスウ</t>
    </rPh>
    <phoneticPr fontId="2"/>
  </si>
  <si>
    <r>
      <rPr>
        <sz val="11"/>
        <color theme="1"/>
        <rFont val="ＭＳ Ｐゴシック"/>
        <family val="3"/>
        <charset val="128"/>
      </rPr>
      <t>（年）</t>
    </r>
    <rPh sb="1" eb="2">
      <t>ネン</t>
    </rPh>
    <phoneticPr fontId="2"/>
  </si>
  <si>
    <r>
      <rPr>
        <sz val="11"/>
        <color theme="1"/>
        <rFont val="ＭＳ Ｐゴシック"/>
        <family val="3"/>
        <charset val="128"/>
      </rPr>
      <t>資本費諸元</t>
    </r>
    <rPh sb="0" eb="2">
      <t>シホン</t>
    </rPh>
    <rPh sb="2" eb="3">
      <t>ヒ</t>
    </rPh>
    <rPh sb="3" eb="4">
      <t>ショ</t>
    </rPh>
    <rPh sb="4" eb="5">
      <t>ゲン</t>
    </rPh>
    <phoneticPr fontId="2"/>
  </si>
  <si>
    <r>
      <rPr>
        <sz val="11"/>
        <color theme="1"/>
        <rFont val="ＭＳ Ｐゴシック"/>
        <family val="3"/>
        <charset val="128"/>
      </rPr>
      <t>建設費単価</t>
    </r>
    <rPh sb="0" eb="3">
      <t>ケンセツヒ</t>
    </rPh>
    <rPh sb="3" eb="5">
      <t>タンカ</t>
    </rPh>
    <phoneticPr fontId="2"/>
  </si>
  <si>
    <r>
      <rPr>
        <sz val="11"/>
        <color theme="1"/>
        <rFont val="ＭＳ Ｐゴシック"/>
        <family val="3"/>
        <charset val="128"/>
      </rPr>
      <t>（万円</t>
    </r>
    <r>
      <rPr>
        <sz val="11"/>
        <color theme="1"/>
        <rFont val="Arial"/>
        <family val="2"/>
      </rPr>
      <t>/kW</t>
    </r>
    <r>
      <rPr>
        <sz val="11"/>
        <color theme="1"/>
        <rFont val="ＭＳ Ｐゴシック"/>
        <family val="3"/>
        <charset val="128"/>
      </rPr>
      <t>）</t>
    </r>
    <rPh sb="1" eb="2">
      <t>マン</t>
    </rPh>
    <rPh sb="2" eb="3">
      <t>エン</t>
    </rPh>
    <phoneticPr fontId="2"/>
  </si>
  <si>
    <r>
      <rPr>
        <sz val="11"/>
        <color theme="1"/>
        <rFont val="ＭＳ Ｐゴシック"/>
        <family val="3"/>
        <charset val="128"/>
      </rPr>
      <t>燃料発熱量</t>
    </r>
    <rPh sb="0" eb="2">
      <t>ネンリョウ</t>
    </rPh>
    <rPh sb="2" eb="4">
      <t>ハツネツ</t>
    </rPh>
    <rPh sb="4" eb="5">
      <t>リョウ</t>
    </rPh>
    <phoneticPr fontId="2"/>
  </si>
  <si>
    <r>
      <rPr>
        <sz val="11"/>
        <color theme="1"/>
        <rFont val="ＭＳ Ｐゴシック"/>
        <family val="3"/>
        <charset val="128"/>
      </rPr>
      <t>（</t>
    </r>
    <r>
      <rPr>
        <sz val="11"/>
        <color theme="1"/>
        <rFont val="Arial"/>
        <family val="2"/>
      </rPr>
      <t>MJ/kg</t>
    </r>
    <r>
      <rPr>
        <sz val="11"/>
        <color theme="1"/>
        <rFont val="ＭＳ Ｐゴシック"/>
        <family val="3"/>
        <charset val="128"/>
      </rPr>
      <t>、</t>
    </r>
    <r>
      <rPr>
        <sz val="11"/>
        <color theme="1"/>
        <rFont val="Arial"/>
        <family val="2"/>
      </rPr>
      <t>MJ/l</t>
    </r>
    <r>
      <rPr>
        <sz val="11"/>
        <color theme="1"/>
        <rFont val="ＭＳ Ｐゴシック"/>
        <family val="3"/>
        <charset val="128"/>
      </rPr>
      <t>、</t>
    </r>
    <r>
      <rPr>
        <sz val="11"/>
        <color theme="1"/>
        <rFont val="Arial"/>
        <family val="2"/>
      </rPr>
      <t>MJ/m</t>
    </r>
    <r>
      <rPr>
        <vertAlign val="superscript"/>
        <sz val="11"/>
        <color theme="1"/>
        <rFont val="Arial"/>
        <family val="2"/>
      </rPr>
      <t>3</t>
    </r>
    <r>
      <rPr>
        <sz val="11"/>
        <color theme="1"/>
        <rFont val="ＭＳ Ｐゴシック"/>
        <family val="3"/>
        <charset val="128"/>
      </rPr>
      <t>）</t>
    </r>
    <phoneticPr fontId="2"/>
  </si>
  <si>
    <r>
      <rPr>
        <sz val="11"/>
        <color theme="1"/>
        <rFont val="ＭＳ Ｐゴシック"/>
        <family val="3"/>
        <charset val="128"/>
      </rPr>
      <t>熱効率</t>
    </r>
    <rPh sb="0" eb="1">
      <t>ネツ</t>
    </rPh>
    <rPh sb="1" eb="3">
      <t>コウリツ</t>
    </rPh>
    <phoneticPr fontId="2"/>
  </si>
  <si>
    <r>
      <rPr>
        <sz val="11"/>
        <color theme="1"/>
        <rFont val="ＭＳ Ｐゴシック"/>
        <family val="3"/>
        <charset val="128"/>
      </rPr>
      <t>所内率</t>
    </r>
    <rPh sb="0" eb="2">
      <t>ショナイ</t>
    </rPh>
    <rPh sb="2" eb="3">
      <t>リツ</t>
    </rPh>
    <phoneticPr fontId="2"/>
  </si>
  <si>
    <r>
      <rPr>
        <sz val="11"/>
        <color theme="1"/>
        <rFont val="ＭＳ Ｐゴシック"/>
        <family val="3"/>
        <charset val="128"/>
      </rPr>
      <t>固定資産税率</t>
    </r>
    <rPh sb="0" eb="2">
      <t>コテイ</t>
    </rPh>
    <rPh sb="2" eb="5">
      <t>シサンゼイ</t>
    </rPh>
    <rPh sb="5" eb="6">
      <t>リツ</t>
    </rPh>
    <phoneticPr fontId="2"/>
  </si>
  <si>
    <r>
      <rPr>
        <sz val="11"/>
        <color theme="1"/>
        <rFont val="ＭＳ Ｐゴシック"/>
        <family val="3"/>
        <charset val="128"/>
      </rPr>
      <t>（円</t>
    </r>
    <r>
      <rPr>
        <sz val="11"/>
        <color theme="1"/>
        <rFont val="Arial"/>
        <family val="2"/>
      </rPr>
      <t>/</t>
    </r>
    <r>
      <rPr>
        <sz val="11"/>
        <color theme="1"/>
        <rFont val="ＭＳ Ｐゴシック"/>
        <family val="3"/>
        <charset val="128"/>
      </rPr>
      <t>年）</t>
    </r>
    <rPh sb="1" eb="2">
      <t>エン</t>
    </rPh>
    <rPh sb="3" eb="4">
      <t>ネン</t>
    </rPh>
    <phoneticPr fontId="2"/>
  </si>
  <si>
    <r>
      <rPr>
        <sz val="11"/>
        <color theme="1"/>
        <rFont val="ＭＳ Ｐゴシック"/>
        <family val="3"/>
        <charset val="128"/>
      </rPr>
      <t>（億円）</t>
    </r>
    <rPh sb="1" eb="3">
      <t>オクエン</t>
    </rPh>
    <phoneticPr fontId="2"/>
  </si>
  <si>
    <r>
      <rPr>
        <sz val="11"/>
        <color theme="1"/>
        <rFont val="ＭＳ Ｐゴシック"/>
        <family val="3"/>
        <charset val="128"/>
      </rPr>
      <t>追加的安全対策費</t>
    </r>
    <r>
      <rPr>
        <sz val="11"/>
        <color theme="1"/>
        <rFont val="Arial"/>
        <family val="2"/>
      </rPr>
      <t xml:space="preserve"> </t>
    </r>
    <r>
      <rPr>
        <sz val="11"/>
        <color theme="1"/>
        <rFont val="ＭＳ Ｐゴシック"/>
        <family val="3"/>
        <charset val="128"/>
      </rPr>
      <t>（原子力）</t>
    </r>
    <rPh sb="0" eb="3">
      <t>ツイカテキ</t>
    </rPh>
    <rPh sb="3" eb="5">
      <t>アンゼン</t>
    </rPh>
    <rPh sb="5" eb="8">
      <t>タイサクヒ</t>
    </rPh>
    <rPh sb="10" eb="13">
      <t>ゲンシリョク</t>
    </rPh>
    <phoneticPr fontId="2"/>
  </si>
  <si>
    <r>
      <rPr>
        <sz val="11"/>
        <color theme="1"/>
        <rFont val="ＭＳ Ｐゴシック"/>
        <family val="3"/>
        <charset val="128"/>
      </rPr>
      <t>運転維持費諸元</t>
    </r>
    <rPh sb="0" eb="2">
      <t>ウンテン</t>
    </rPh>
    <rPh sb="2" eb="5">
      <t>イジヒ</t>
    </rPh>
    <rPh sb="5" eb="6">
      <t>ショ</t>
    </rPh>
    <rPh sb="6" eb="7">
      <t>ゲン</t>
    </rPh>
    <phoneticPr fontId="2"/>
  </si>
  <si>
    <r>
      <rPr>
        <sz val="11"/>
        <color theme="1"/>
        <rFont val="ＭＳ Ｐゴシック"/>
        <family val="3"/>
        <charset val="128"/>
      </rPr>
      <t>（万円</t>
    </r>
    <r>
      <rPr>
        <sz val="11"/>
        <color theme="1"/>
        <rFont val="Arial"/>
        <family val="2"/>
      </rPr>
      <t>/kW/</t>
    </r>
    <r>
      <rPr>
        <sz val="11"/>
        <color theme="1"/>
        <rFont val="ＭＳ Ｐゴシック"/>
        <family val="3"/>
        <charset val="128"/>
      </rPr>
      <t>年）</t>
    </r>
    <phoneticPr fontId="2"/>
  </si>
  <si>
    <r>
      <rPr>
        <sz val="11"/>
        <color theme="1"/>
        <rFont val="ＭＳ Ｐゴシック"/>
        <family val="3"/>
        <charset val="128"/>
      </rPr>
      <t>燃料費諸元　【除、原子力】</t>
    </r>
    <rPh sb="0" eb="3">
      <t>ネンリョウヒ</t>
    </rPh>
    <rPh sb="3" eb="4">
      <t>ショ</t>
    </rPh>
    <rPh sb="4" eb="5">
      <t>ゲン</t>
    </rPh>
    <rPh sb="7" eb="8">
      <t>ノゾ</t>
    </rPh>
    <rPh sb="9" eb="12">
      <t>ゲンシリョク</t>
    </rPh>
    <phoneticPr fontId="2"/>
  </si>
  <si>
    <r>
      <t>（円</t>
    </r>
    <r>
      <rPr>
        <sz val="11"/>
        <color theme="1"/>
        <rFont val="Arial"/>
        <family val="2"/>
      </rPr>
      <t>/t</t>
    </r>
    <r>
      <rPr>
        <sz val="11"/>
        <color theme="1"/>
        <rFont val="ＭＳ Ｐゴシック"/>
        <family val="3"/>
        <charset val="128"/>
      </rPr>
      <t>）</t>
    </r>
    <rPh sb="1" eb="2">
      <t>エン</t>
    </rPh>
    <phoneticPr fontId="2"/>
  </si>
  <si>
    <r>
      <rPr>
        <sz val="11"/>
        <color theme="1"/>
        <rFont val="ＭＳ Ｐゴシック"/>
        <family val="3"/>
        <charset val="128"/>
      </rPr>
      <t>価格上昇率（シナリオ）</t>
    </r>
    <rPh sb="0" eb="2">
      <t>カカク</t>
    </rPh>
    <rPh sb="2" eb="4">
      <t>ジョウショウ</t>
    </rPh>
    <rPh sb="4" eb="5">
      <t>リツ</t>
    </rPh>
    <phoneticPr fontId="2"/>
  </si>
  <si>
    <r>
      <rPr>
        <sz val="11"/>
        <color theme="1"/>
        <rFont val="ＭＳ Ｐゴシック"/>
        <family val="3"/>
        <charset val="128"/>
      </rPr>
      <t>燃料諸経費</t>
    </r>
    <rPh sb="0" eb="2">
      <t>ネンリョウ</t>
    </rPh>
    <rPh sb="2" eb="5">
      <t>ショケイヒ</t>
    </rPh>
    <phoneticPr fontId="2"/>
  </si>
  <si>
    <r>
      <rPr>
        <sz val="11"/>
        <color theme="1"/>
        <rFont val="ＭＳ Ｐゴシック"/>
        <family val="3"/>
        <charset val="128"/>
      </rPr>
      <t>（円</t>
    </r>
    <r>
      <rPr>
        <sz val="11"/>
        <color theme="1"/>
        <rFont val="Arial"/>
        <family val="2"/>
      </rPr>
      <t xml:space="preserve">/t </t>
    </r>
    <r>
      <rPr>
        <sz val="11"/>
        <color theme="1"/>
        <rFont val="ＭＳ Ｐゴシック"/>
        <family val="3"/>
        <charset val="128"/>
      </rPr>
      <t>または</t>
    </r>
    <r>
      <rPr>
        <sz val="11"/>
        <color theme="1"/>
        <rFont val="Arial"/>
        <family val="2"/>
      </rPr>
      <t xml:space="preserve"> </t>
    </r>
    <r>
      <rPr>
        <sz val="11"/>
        <color theme="1"/>
        <rFont val="ＭＳ Ｐゴシック"/>
        <family val="3"/>
        <charset val="128"/>
      </rPr>
      <t>円</t>
    </r>
    <r>
      <rPr>
        <sz val="11"/>
        <color theme="1"/>
        <rFont val="Arial"/>
        <family val="2"/>
      </rPr>
      <t>/kl</t>
    </r>
    <r>
      <rPr>
        <sz val="11"/>
        <color theme="1"/>
        <rFont val="ＭＳ Ｐゴシック"/>
        <family val="3"/>
        <charset val="128"/>
      </rPr>
      <t>）</t>
    </r>
    <rPh sb="1" eb="2">
      <t>エン</t>
    </rPh>
    <rPh sb="9" eb="10">
      <t>エン</t>
    </rPh>
    <phoneticPr fontId="2"/>
  </si>
  <si>
    <r>
      <t>CO2</t>
    </r>
    <r>
      <rPr>
        <sz val="11"/>
        <color theme="1"/>
        <rFont val="ＭＳ Ｐゴシック"/>
        <family val="3"/>
        <charset val="128"/>
      </rPr>
      <t>対策経費諸元　【化石燃料関係電源】</t>
    </r>
    <rPh sb="3" eb="5">
      <t>タイサク</t>
    </rPh>
    <rPh sb="5" eb="7">
      <t>ケイヒ</t>
    </rPh>
    <rPh sb="7" eb="8">
      <t>ショ</t>
    </rPh>
    <rPh sb="8" eb="9">
      <t>ゲン</t>
    </rPh>
    <rPh sb="11" eb="13">
      <t>カセキ</t>
    </rPh>
    <rPh sb="13" eb="15">
      <t>ネンリョウ</t>
    </rPh>
    <rPh sb="15" eb="17">
      <t>カンケイ</t>
    </rPh>
    <rPh sb="17" eb="19">
      <t>デンゲン</t>
    </rPh>
    <phoneticPr fontId="2"/>
  </si>
  <si>
    <r>
      <rPr>
        <sz val="11"/>
        <color theme="1"/>
        <rFont val="ＭＳ Ｐゴシック"/>
        <family val="3"/>
        <charset val="128"/>
      </rPr>
      <t>炭素排出係数</t>
    </r>
    <rPh sb="0" eb="2">
      <t>タンソ</t>
    </rPh>
    <rPh sb="2" eb="4">
      <t>ハイシュツ</t>
    </rPh>
    <rPh sb="4" eb="6">
      <t>ケイスウ</t>
    </rPh>
    <phoneticPr fontId="2"/>
  </si>
  <si>
    <r>
      <rPr>
        <sz val="11"/>
        <color theme="1"/>
        <rFont val="ＭＳ Ｐゴシック"/>
        <family val="3"/>
        <charset val="128"/>
      </rPr>
      <t>（</t>
    </r>
    <r>
      <rPr>
        <sz val="11"/>
        <color theme="1"/>
        <rFont val="Arial"/>
        <family val="2"/>
      </rPr>
      <t>g-C/MJ</t>
    </r>
    <r>
      <rPr>
        <sz val="11"/>
        <color theme="1"/>
        <rFont val="ＭＳ Ｐゴシック"/>
        <family val="3"/>
        <charset val="128"/>
      </rPr>
      <t>）</t>
    </r>
    <phoneticPr fontId="2"/>
  </si>
  <si>
    <r>
      <t>CO2</t>
    </r>
    <r>
      <rPr>
        <sz val="11"/>
        <color theme="1"/>
        <rFont val="ＭＳ Ｐゴシック"/>
        <family val="3"/>
        <charset val="128"/>
      </rPr>
      <t>価格見通し</t>
    </r>
    <rPh sb="3" eb="5">
      <t>カカク</t>
    </rPh>
    <rPh sb="5" eb="7">
      <t>ミトオ</t>
    </rPh>
    <phoneticPr fontId="2"/>
  </si>
  <si>
    <r>
      <rPr>
        <sz val="11"/>
        <color theme="1"/>
        <rFont val="ＭＳ Ｐゴシック"/>
        <family val="3"/>
        <charset val="128"/>
      </rPr>
      <t>排熱利用諸元</t>
    </r>
    <rPh sb="0" eb="2">
      <t>ハイネツ</t>
    </rPh>
    <rPh sb="2" eb="4">
      <t>リヨウ</t>
    </rPh>
    <rPh sb="4" eb="6">
      <t>ショゲン</t>
    </rPh>
    <phoneticPr fontId="2"/>
  </si>
  <si>
    <r>
      <rPr>
        <sz val="11"/>
        <color theme="1"/>
        <rFont val="ＭＳ Ｐゴシック"/>
        <family val="3"/>
        <charset val="128"/>
      </rPr>
      <t>排熱利用率</t>
    </r>
    <rPh sb="0" eb="2">
      <t>ハイネツ</t>
    </rPh>
    <rPh sb="2" eb="5">
      <t>リヨウリツ</t>
    </rPh>
    <phoneticPr fontId="2"/>
  </si>
  <si>
    <r>
      <rPr>
        <sz val="11"/>
        <color theme="1"/>
        <rFont val="ＭＳ Ｐゴシック"/>
        <family val="3"/>
        <charset val="128"/>
      </rPr>
      <t>ボイラ効率</t>
    </r>
    <rPh sb="3" eb="5">
      <t>コウリツ</t>
    </rPh>
    <phoneticPr fontId="2"/>
  </si>
  <si>
    <r>
      <rPr>
        <sz val="11"/>
        <color theme="1"/>
        <rFont val="ＭＳ Ｐゴシック"/>
        <family val="3"/>
        <charset val="128"/>
      </rPr>
      <t>ボイラ燃料発熱量</t>
    </r>
    <rPh sb="3" eb="5">
      <t>ネンリョウ</t>
    </rPh>
    <rPh sb="5" eb="7">
      <t>ハツネツ</t>
    </rPh>
    <rPh sb="7" eb="8">
      <t>リョウ</t>
    </rPh>
    <phoneticPr fontId="2"/>
  </si>
  <si>
    <r>
      <rPr>
        <sz val="11"/>
        <color theme="1"/>
        <rFont val="ＭＳ Ｐゴシック"/>
        <family val="3"/>
        <charset val="128"/>
      </rPr>
      <t>ボイラ燃料取り扱い費</t>
    </r>
    <rPh sb="3" eb="5">
      <t>ネンリョウ</t>
    </rPh>
    <rPh sb="5" eb="6">
      <t>ト</t>
    </rPh>
    <rPh sb="7" eb="8">
      <t>アツカ</t>
    </rPh>
    <rPh sb="9" eb="10">
      <t>ヒ</t>
    </rPh>
    <phoneticPr fontId="2"/>
  </si>
  <si>
    <r>
      <rPr>
        <sz val="11"/>
        <color theme="1"/>
        <rFont val="ＭＳ Ｐゴシック"/>
        <family val="3"/>
        <charset val="128"/>
      </rPr>
      <t>事故リスクコスト諸元　【原子力】</t>
    </r>
    <rPh sb="0" eb="2">
      <t>ジコ</t>
    </rPh>
    <rPh sb="8" eb="9">
      <t>ショ</t>
    </rPh>
    <rPh sb="9" eb="10">
      <t>ゲン</t>
    </rPh>
    <rPh sb="12" eb="15">
      <t>ゲンシリョク</t>
    </rPh>
    <phoneticPr fontId="2"/>
  </si>
  <si>
    <r>
      <rPr>
        <sz val="11"/>
        <color theme="1"/>
        <rFont val="ＭＳ Ｐゴシック"/>
        <family val="3"/>
        <charset val="128"/>
      </rPr>
      <t>損害想定額</t>
    </r>
    <rPh sb="0" eb="2">
      <t>ソンガイ</t>
    </rPh>
    <rPh sb="2" eb="4">
      <t>ソウテイ</t>
    </rPh>
    <rPh sb="4" eb="5">
      <t>ガク</t>
    </rPh>
    <phoneticPr fontId="2"/>
  </si>
  <si>
    <r>
      <rPr>
        <sz val="11"/>
        <color theme="1"/>
        <rFont val="ＭＳ Ｐゴシック"/>
        <family val="3"/>
        <charset val="128"/>
      </rPr>
      <t>積立期間</t>
    </r>
    <rPh sb="0" eb="2">
      <t>ツミタテ</t>
    </rPh>
    <rPh sb="2" eb="4">
      <t>キカン</t>
    </rPh>
    <phoneticPr fontId="2"/>
  </si>
  <si>
    <r>
      <rPr>
        <sz val="11"/>
        <color theme="1"/>
        <rFont val="ＭＳ Ｐゴシック"/>
        <family val="3"/>
        <charset val="128"/>
      </rPr>
      <t>総発電量</t>
    </r>
    <rPh sb="0" eb="1">
      <t>ソウ</t>
    </rPh>
    <rPh sb="1" eb="3">
      <t>ハツデン</t>
    </rPh>
    <rPh sb="3" eb="4">
      <t>リョウ</t>
    </rPh>
    <phoneticPr fontId="2"/>
  </si>
  <si>
    <r>
      <rPr>
        <sz val="11"/>
        <color theme="1"/>
        <rFont val="ＭＳ Ｐゴシック"/>
        <family val="3"/>
        <charset val="128"/>
      </rPr>
      <t>（億</t>
    </r>
    <r>
      <rPr>
        <sz val="11"/>
        <color theme="1"/>
        <rFont val="Arial"/>
        <family val="2"/>
      </rPr>
      <t>kWh</t>
    </r>
    <r>
      <rPr>
        <sz val="11"/>
        <color theme="1"/>
        <rFont val="ＭＳ Ｐゴシック"/>
        <family val="3"/>
        <charset val="128"/>
      </rPr>
      <t>）</t>
    </r>
    <rPh sb="1" eb="2">
      <t>オク</t>
    </rPh>
    <phoneticPr fontId="2"/>
  </si>
  <si>
    <r>
      <rPr>
        <sz val="11"/>
        <color theme="1"/>
        <rFont val="ＭＳ Ｐゴシック"/>
        <family val="3"/>
        <charset val="128"/>
      </rPr>
      <t>政策経費</t>
    </r>
    <r>
      <rPr>
        <sz val="11"/>
        <color theme="1"/>
        <rFont val="Arial"/>
        <family val="2"/>
      </rPr>
      <t xml:space="preserve"> </t>
    </r>
    <r>
      <rPr>
        <sz val="11"/>
        <color theme="1"/>
        <rFont val="ＭＳ Ｐゴシック"/>
        <family val="3"/>
        <charset val="128"/>
      </rPr>
      <t>【</t>
    </r>
    <r>
      <rPr>
        <sz val="11"/>
        <color theme="1"/>
        <rFont val="Arial"/>
        <family val="2"/>
      </rPr>
      <t>FIT</t>
    </r>
    <r>
      <rPr>
        <sz val="11"/>
        <color theme="1"/>
        <rFont val="ＭＳ Ｐゴシック"/>
        <family val="3"/>
        <charset val="128"/>
      </rPr>
      <t>以外】</t>
    </r>
    <rPh sb="0" eb="2">
      <t>セイサク</t>
    </rPh>
    <rPh sb="2" eb="4">
      <t>ケイヒ</t>
    </rPh>
    <rPh sb="9" eb="11">
      <t>イガイ</t>
    </rPh>
    <phoneticPr fontId="2"/>
  </si>
  <si>
    <r>
      <rPr>
        <sz val="11"/>
        <color theme="1"/>
        <rFont val="ＭＳ Ｐゴシック"/>
        <family val="3"/>
        <charset val="128"/>
      </rPr>
      <t>（円</t>
    </r>
    <r>
      <rPr>
        <sz val="11"/>
        <color theme="1"/>
        <rFont val="Arial"/>
        <family val="2"/>
      </rPr>
      <t>/kWh</t>
    </r>
    <r>
      <rPr>
        <sz val="11"/>
        <color theme="1"/>
        <rFont val="ＭＳ Ｐゴシック"/>
        <family val="3"/>
        <charset val="128"/>
      </rPr>
      <t>）</t>
    </r>
    <rPh sb="1" eb="2">
      <t>エン</t>
    </rPh>
    <phoneticPr fontId="2"/>
  </si>
  <si>
    <r>
      <rPr>
        <b/>
        <sz val="11"/>
        <color theme="1"/>
        <rFont val="ＭＳ Ｐゴシック"/>
        <family val="3"/>
        <charset val="128"/>
      </rPr>
      <t>資本費</t>
    </r>
    <rPh sb="0" eb="2">
      <t>シホン</t>
    </rPh>
    <rPh sb="2" eb="3">
      <t>ヒ</t>
    </rPh>
    <phoneticPr fontId="2"/>
  </si>
  <si>
    <r>
      <rPr>
        <sz val="11"/>
        <color theme="1"/>
        <rFont val="ＭＳ Ｐゴシック"/>
        <family val="3"/>
        <charset val="128"/>
      </rPr>
      <t>資本費内訳</t>
    </r>
    <rPh sb="0" eb="2">
      <t>シホン</t>
    </rPh>
    <rPh sb="2" eb="3">
      <t>ヒ</t>
    </rPh>
    <rPh sb="3" eb="5">
      <t>ウチワケ</t>
    </rPh>
    <phoneticPr fontId="2"/>
  </si>
  <si>
    <r>
      <rPr>
        <b/>
        <sz val="11"/>
        <color theme="1"/>
        <rFont val="ＭＳ Ｐゴシック"/>
        <family val="3"/>
        <charset val="128"/>
      </rPr>
      <t>運転維持費</t>
    </r>
    <rPh sb="0" eb="2">
      <t>ウンテン</t>
    </rPh>
    <rPh sb="2" eb="5">
      <t>イジヒ</t>
    </rPh>
    <phoneticPr fontId="2"/>
  </si>
  <si>
    <r>
      <rPr>
        <sz val="11"/>
        <color theme="1"/>
        <rFont val="ＭＳ Ｐゴシック"/>
        <family val="3"/>
        <charset val="128"/>
      </rPr>
      <t>運転維持費内訳</t>
    </r>
    <rPh sb="0" eb="2">
      <t>ウンテン</t>
    </rPh>
    <rPh sb="2" eb="5">
      <t>イジヒ</t>
    </rPh>
    <rPh sb="5" eb="7">
      <t>ウチワケ</t>
    </rPh>
    <phoneticPr fontId="2"/>
  </si>
  <si>
    <r>
      <rPr>
        <b/>
        <sz val="11"/>
        <color theme="1"/>
        <rFont val="ＭＳ Ｐゴシック"/>
        <family val="3"/>
        <charset val="128"/>
      </rPr>
      <t>燃料費</t>
    </r>
    <rPh sb="0" eb="3">
      <t>ネンリョウヒ</t>
    </rPh>
    <phoneticPr fontId="2"/>
  </si>
  <si>
    <r>
      <rPr>
        <sz val="11"/>
        <color theme="1"/>
        <rFont val="ＭＳ Ｐゴシック"/>
        <family val="3"/>
        <charset val="128"/>
      </rPr>
      <t>燃料費内訳</t>
    </r>
    <rPh sb="0" eb="3">
      <t>ネンリョウヒ</t>
    </rPh>
    <rPh sb="3" eb="5">
      <t>ウチワケ</t>
    </rPh>
    <phoneticPr fontId="2"/>
  </si>
  <si>
    <r>
      <rPr>
        <sz val="11"/>
        <color theme="1"/>
        <rFont val="ＭＳ Ｐゴシック"/>
        <family val="3"/>
        <charset val="128"/>
      </rPr>
      <t>化石燃料費用</t>
    </r>
    <rPh sb="0" eb="2">
      <t>カセキ</t>
    </rPh>
    <rPh sb="2" eb="4">
      <t>ネンリョウ</t>
    </rPh>
    <rPh sb="4" eb="6">
      <t>ヒヨウ</t>
    </rPh>
    <phoneticPr fontId="2"/>
  </si>
  <si>
    <r>
      <rPr>
        <sz val="11"/>
        <color theme="1"/>
        <rFont val="ＭＳ Ｐゴシック"/>
        <family val="3"/>
        <charset val="128"/>
      </rPr>
      <t>核燃料サイクル費用</t>
    </r>
    <rPh sb="0" eb="3">
      <t>カクネンリョウ</t>
    </rPh>
    <rPh sb="7" eb="9">
      <t>ヒヨウ</t>
    </rPh>
    <phoneticPr fontId="2"/>
  </si>
  <si>
    <r>
      <rPr>
        <b/>
        <sz val="11"/>
        <color theme="1"/>
        <rFont val="ＭＳ Ｐゴシック"/>
        <family val="3"/>
        <charset val="128"/>
      </rPr>
      <t>社会的費用</t>
    </r>
    <rPh sb="0" eb="3">
      <t>シャカイテキ</t>
    </rPh>
    <rPh sb="3" eb="5">
      <t>ヒヨウ</t>
    </rPh>
    <phoneticPr fontId="2"/>
  </si>
  <si>
    <r>
      <rPr>
        <sz val="11"/>
        <color theme="1"/>
        <rFont val="ＭＳ Ｐゴシック"/>
        <family val="3"/>
        <charset val="128"/>
      </rPr>
      <t>社会的費用内訳</t>
    </r>
    <rPh sb="0" eb="3">
      <t>シャカイテキ</t>
    </rPh>
    <rPh sb="3" eb="5">
      <t>ヒヨウ</t>
    </rPh>
    <rPh sb="5" eb="7">
      <t>ウチワケ</t>
    </rPh>
    <phoneticPr fontId="2"/>
  </si>
  <si>
    <r>
      <t>CO2</t>
    </r>
    <r>
      <rPr>
        <sz val="11"/>
        <color theme="1"/>
        <rFont val="ＭＳ Ｐゴシック"/>
        <family val="3"/>
        <charset val="128"/>
      </rPr>
      <t>対策費用</t>
    </r>
    <rPh sb="3" eb="5">
      <t>タイサク</t>
    </rPh>
    <rPh sb="5" eb="7">
      <t>ヒヨウ</t>
    </rPh>
    <phoneticPr fontId="2"/>
  </si>
  <si>
    <r>
      <rPr>
        <sz val="11"/>
        <color theme="1"/>
        <rFont val="ＭＳ Ｐゴシック"/>
        <family val="3"/>
        <charset val="128"/>
      </rPr>
      <t>事故リスク対応費用</t>
    </r>
    <rPh sb="0" eb="2">
      <t>ジコ</t>
    </rPh>
    <rPh sb="5" eb="7">
      <t>タイオウ</t>
    </rPh>
    <rPh sb="7" eb="9">
      <t>ヒヨウ</t>
    </rPh>
    <phoneticPr fontId="2"/>
  </si>
  <si>
    <r>
      <rPr>
        <sz val="11"/>
        <color theme="1"/>
        <rFont val="ＭＳ Ｐゴシック"/>
        <family val="3"/>
        <charset val="128"/>
      </rPr>
      <t>政策経費（</t>
    </r>
    <r>
      <rPr>
        <sz val="11"/>
        <color theme="1"/>
        <rFont val="Arial"/>
        <family val="2"/>
      </rPr>
      <t>FIT</t>
    </r>
    <r>
      <rPr>
        <sz val="11"/>
        <color theme="1"/>
        <rFont val="ＭＳ Ｐゴシック"/>
        <family val="3"/>
        <charset val="128"/>
      </rPr>
      <t>以外）</t>
    </r>
    <rPh sb="0" eb="2">
      <t>セイサク</t>
    </rPh>
    <rPh sb="2" eb="4">
      <t>ケイヒ</t>
    </rPh>
    <rPh sb="8" eb="10">
      <t>イガイ</t>
    </rPh>
    <phoneticPr fontId="2"/>
  </si>
  <si>
    <r>
      <rPr>
        <b/>
        <sz val="11"/>
        <color theme="1"/>
        <rFont val="ＭＳ Ｐゴシック"/>
        <family val="3"/>
        <charset val="128"/>
      </rPr>
      <t>排熱価値</t>
    </r>
    <rPh sb="0" eb="2">
      <t>ハイネツ</t>
    </rPh>
    <rPh sb="2" eb="4">
      <t>カチ</t>
    </rPh>
    <phoneticPr fontId="2"/>
  </si>
  <si>
    <r>
      <rPr>
        <sz val="11"/>
        <color theme="1"/>
        <rFont val="ＭＳ Ｐゴシック"/>
        <family val="3"/>
        <charset val="128"/>
      </rPr>
      <t>排熱価値内訳</t>
    </r>
    <rPh sb="0" eb="2">
      <t>ハイネツ</t>
    </rPh>
    <rPh sb="2" eb="4">
      <t>カチ</t>
    </rPh>
    <rPh sb="4" eb="6">
      <t>ウチワケ</t>
    </rPh>
    <phoneticPr fontId="2"/>
  </si>
  <si>
    <r>
      <rPr>
        <sz val="11"/>
        <color theme="1"/>
        <rFont val="ＭＳ Ｐゴシック"/>
        <family val="3"/>
        <charset val="128"/>
      </rPr>
      <t>ボイラ燃料費</t>
    </r>
    <rPh sb="3" eb="6">
      <t>ネンリョウヒ</t>
    </rPh>
    <phoneticPr fontId="2"/>
  </si>
  <si>
    <r>
      <rPr>
        <sz val="11"/>
        <color theme="1"/>
        <rFont val="ＭＳ Ｐゴシック"/>
        <family val="3"/>
        <charset val="128"/>
      </rPr>
      <t>ボイラ</t>
    </r>
    <r>
      <rPr>
        <sz val="11"/>
        <color theme="1"/>
        <rFont val="Arial"/>
        <family val="2"/>
      </rPr>
      <t>CO2</t>
    </r>
    <r>
      <rPr>
        <sz val="11"/>
        <color theme="1"/>
        <rFont val="ＭＳ Ｐゴシック"/>
        <family val="3"/>
        <charset val="128"/>
      </rPr>
      <t>対策費用</t>
    </r>
    <rPh sb="6" eb="8">
      <t>タイサク</t>
    </rPh>
    <rPh sb="8" eb="10">
      <t>ヒヨウ</t>
    </rPh>
    <phoneticPr fontId="2"/>
  </si>
  <si>
    <r>
      <rPr>
        <b/>
        <sz val="11"/>
        <color theme="1"/>
        <rFont val="ＭＳ Ｐゴシック"/>
        <family val="3"/>
        <charset val="128"/>
      </rPr>
      <t>固定条件計算</t>
    </r>
    <rPh sb="0" eb="2">
      <t>コテイ</t>
    </rPh>
    <rPh sb="2" eb="4">
      <t>ジョウケン</t>
    </rPh>
    <rPh sb="4" eb="6">
      <t>ケイサン</t>
    </rPh>
    <phoneticPr fontId="2"/>
  </si>
  <si>
    <r>
      <rPr>
        <sz val="11"/>
        <color theme="1"/>
        <rFont val="ＭＳ Ｐゴシック"/>
        <family val="3"/>
        <charset val="128"/>
      </rPr>
      <t>現在価値合計</t>
    </r>
    <rPh sb="0" eb="2">
      <t>ゲンザイ</t>
    </rPh>
    <rPh sb="2" eb="4">
      <t>カチ</t>
    </rPh>
    <rPh sb="4" eb="6">
      <t>ゴウケイ</t>
    </rPh>
    <phoneticPr fontId="2"/>
  </si>
  <si>
    <r>
      <rPr>
        <sz val="11"/>
        <color theme="1"/>
        <rFont val="ＭＳ Ｐゴシック"/>
        <family val="3"/>
        <charset val="128"/>
      </rPr>
      <t>建設費（固定資産取得価額）</t>
    </r>
    <rPh sb="0" eb="3">
      <t>ケンセツヒ</t>
    </rPh>
    <rPh sb="4" eb="6">
      <t>コテイ</t>
    </rPh>
    <rPh sb="6" eb="8">
      <t>シサン</t>
    </rPh>
    <rPh sb="8" eb="10">
      <t>シュトク</t>
    </rPh>
    <rPh sb="10" eb="12">
      <t>カガク</t>
    </rPh>
    <phoneticPr fontId="2"/>
  </si>
  <si>
    <r>
      <rPr>
        <sz val="11"/>
        <color theme="1"/>
        <rFont val="ＭＳ Ｐゴシック"/>
        <family val="3"/>
        <charset val="128"/>
      </rPr>
      <t>（円）</t>
    </r>
    <rPh sb="1" eb="2">
      <t>エン</t>
    </rPh>
    <phoneticPr fontId="2"/>
  </si>
  <si>
    <r>
      <rPr>
        <sz val="11"/>
        <color theme="1"/>
        <rFont val="ＭＳ Ｐゴシック"/>
        <family val="3"/>
        <charset val="128"/>
      </rPr>
      <t>法定耐用年数</t>
    </r>
    <rPh sb="0" eb="2">
      <t>ホウテイ</t>
    </rPh>
    <rPh sb="2" eb="4">
      <t>タイヨウ</t>
    </rPh>
    <rPh sb="4" eb="6">
      <t>ネンスウ</t>
    </rPh>
    <phoneticPr fontId="2"/>
  </si>
  <si>
    <r>
      <rPr>
        <sz val="11"/>
        <color theme="1"/>
        <rFont val="ＭＳ Ｐゴシック"/>
        <family val="3"/>
        <charset val="128"/>
      </rPr>
      <t>減価償却率</t>
    </r>
    <rPh sb="0" eb="2">
      <t>ゲンカ</t>
    </rPh>
    <rPh sb="2" eb="4">
      <t>ショウキャク</t>
    </rPh>
    <rPh sb="4" eb="5">
      <t>リツ</t>
    </rPh>
    <phoneticPr fontId="2"/>
  </si>
  <si>
    <r>
      <rPr>
        <sz val="11"/>
        <color theme="1"/>
        <rFont val="ＭＳ Ｐゴシック"/>
        <family val="3"/>
        <charset val="128"/>
      </rPr>
      <t>償却率</t>
    </r>
    <rPh sb="0" eb="3">
      <t>ショウキャクリツ</t>
    </rPh>
    <phoneticPr fontId="2"/>
  </si>
  <si>
    <r>
      <rPr>
        <sz val="11"/>
        <color theme="1"/>
        <rFont val="ＭＳ Ｐゴシック"/>
        <family val="3"/>
        <charset val="128"/>
      </rPr>
      <t>改定償却率</t>
    </r>
    <rPh sb="0" eb="2">
      <t>カイテイ</t>
    </rPh>
    <rPh sb="2" eb="5">
      <t>ショウキャクリツ</t>
    </rPh>
    <phoneticPr fontId="2"/>
  </si>
  <si>
    <r>
      <rPr>
        <sz val="11"/>
        <color theme="1"/>
        <rFont val="ＭＳ Ｐゴシック"/>
        <family val="3"/>
        <charset val="128"/>
      </rPr>
      <t>保証率</t>
    </r>
    <rPh sb="0" eb="2">
      <t>ホショウ</t>
    </rPh>
    <rPh sb="2" eb="3">
      <t>リツ</t>
    </rPh>
    <phoneticPr fontId="2"/>
  </si>
  <si>
    <r>
      <rPr>
        <sz val="11"/>
        <color theme="1"/>
        <rFont val="ＭＳ Ｐゴシック"/>
        <family val="3"/>
        <charset val="128"/>
      </rPr>
      <t>償却保証額</t>
    </r>
    <rPh sb="0" eb="2">
      <t>ショウキャク</t>
    </rPh>
    <rPh sb="2" eb="4">
      <t>ホショウ</t>
    </rPh>
    <rPh sb="4" eb="5">
      <t>ガク</t>
    </rPh>
    <phoneticPr fontId="2"/>
  </si>
  <si>
    <r>
      <rPr>
        <sz val="11"/>
        <color theme="1"/>
        <rFont val="ＭＳ Ｐゴシック"/>
        <family val="3"/>
        <charset val="128"/>
      </rPr>
      <t>電力量</t>
    </r>
    <rPh sb="0" eb="2">
      <t>デンリョク</t>
    </rPh>
    <rPh sb="2" eb="3">
      <t>リョウ</t>
    </rPh>
    <phoneticPr fontId="2"/>
  </si>
  <si>
    <r>
      <rPr>
        <sz val="11"/>
        <color theme="1"/>
        <rFont val="ＭＳ Ｐゴシック"/>
        <family val="3"/>
        <charset val="128"/>
      </rPr>
      <t>発電端</t>
    </r>
    <rPh sb="0" eb="2">
      <t>ハツデン</t>
    </rPh>
    <rPh sb="2" eb="3">
      <t>タン</t>
    </rPh>
    <phoneticPr fontId="2"/>
  </si>
  <si>
    <r>
      <rPr>
        <sz val="11"/>
        <color theme="1"/>
        <rFont val="ＭＳ Ｐゴシック"/>
        <family val="3"/>
        <charset val="128"/>
      </rPr>
      <t>（</t>
    </r>
    <r>
      <rPr>
        <sz val="11"/>
        <color theme="1"/>
        <rFont val="Arial"/>
        <family val="2"/>
      </rPr>
      <t>kWh/</t>
    </r>
    <r>
      <rPr>
        <sz val="11"/>
        <color theme="1"/>
        <rFont val="ＭＳ Ｐゴシック"/>
        <family val="3"/>
        <charset val="128"/>
      </rPr>
      <t>年）</t>
    </r>
    <rPh sb="5" eb="6">
      <t>ネン</t>
    </rPh>
    <phoneticPr fontId="2"/>
  </si>
  <si>
    <r>
      <rPr>
        <sz val="11"/>
        <color theme="1"/>
        <rFont val="ＭＳ Ｐゴシック"/>
        <family val="3"/>
        <charset val="128"/>
      </rPr>
      <t>送電端</t>
    </r>
    <rPh sb="0" eb="2">
      <t>ソウデン</t>
    </rPh>
    <rPh sb="2" eb="3">
      <t>タン</t>
    </rPh>
    <phoneticPr fontId="2"/>
  </si>
  <si>
    <r>
      <rPr>
        <sz val="11"/>
        <color theme="1"/>
        <rFont val="ＭＳ Ｐゴシック"/>
        <family val="3"/>
        <charset val="128"/>
      </rPr>
      <t>必要燃料量</t>
    </r>
    <rPh sb="0" eb="2">
      <t>ヒツヨウ</t>
    </rPh>
    <rPh sb="2" eb="4">
      <t>ネンリョウ</t>
    </rPh>
    <rPh sb="4" eb="5">
      <t>リョウ</t>
    </rPh>
    <phoneticPr fontId="2"/>
  </si>
  <si>
    <r>
      <rPr>
        <sz val="11"/>
        <color theme="1"/>
        <rFont val="ＭＳ Ｐゴシック"/>
        <family val="3"/>
        <charset val="128"/>
      </rPr>
      <t>（</t>
    </r>
    <r>
      <rPr>
        <sz val="11"/>
        <color theme="1"/>
        <rFont val="Arial"/>
        <family val="2"/>
      </rPr>
      <t>kg/</t>
    </r>
    <r>
      <rPr>
        <sz val="11"/>
        <color theme="1"/>
        <rFont val="ＭＳ Ｐゴシック"/>
        <family val="3"/>
        <charset val="128"/>
      </rPr>
      <t>年、</t>
    </r>
    <r>
      <rPr>
        <sz val="11"/>
        <color theme="1"/>
        <rFont val="Arial"/>
        <family val="2"/>
      </rPr>
      <t>l/</t>
    </r>
    <r>
      <rPr>
        <sz val="11"/>
        <color theme="1"/>
        <rFont val="ＭＳ Ｐゴシック"/>
        <family val="3"/>
        <charset val="128"/>
      </rPr>
      <t>年、</t>
    </r>
    <r>
      <rPr>
        <sz val="11"/>
        <color theme="1"/>
        <rFont val="Arial"/>
        <family val="2"/>
      </rPr>
      <t>m</t>
    </r>
    <r>
      <rPr>
        <vertAlign val="superscript"/>
        <sz val="11"/>
        <color theme="1"/>
        <rFont val="Arial"/>
        <family val="2"/>
      </rPr>
      <t>3</t>
    </r>
    <r>
      <rPr>
        <sz val="11"/>
        <color theme="1"/>
        <rFont val="Arial"/>
        <family val="2"/>
      </rPr>
      <t>/</t>
    </r>
    <r>
      <rPr>
        <sz val="11"/>
        <color theme="1"/>
        <rFont val="ＭＳ Ｐゴシック"/>
        <family val="3"/>
        <charset val="128"/>
      </rPr>
      <t>年）</t>
    </r>
    <rPh sb="4" eb="5">
      <t>ネン</t>
    </rPh>
    <rPh sb="8" eb="9">
      <t>ネン</t>
    </rPh>
    <rPh sb="13" eb="14">
      <t>ネン</t>
    </rPh>
    <phoneticPr fontId="2"/>
  </si>
  <si>
    <r>
      <rPr>
        <sz val="11"/>
        <color theme="1"/>
        <rFont val="ＭＳ Ｐゴシック"/>
        <family val="3"/>
        <charset val="128"/>
      </rPr>
      <t>燃料価格</t>
    </r>
    <rPh sb="0" eb="2">
      <t>ネンリョウ</t>
    </rPh>
    <rPh sb="2" eb="4">
      <t>カカク</t>
    </rPh>
    <phoneticPr fontId="2"/>
  </si>
  <si>
    <r>
      <rPr>
        <sz val="11"/>
        <color theme="1"/>
        <rFont val="ＭＳ Ｐゴシック"/>
        <family val="3"/>
        <charset val="128"/>
      </rPr>
      <t>単位換算係数</t>
    </r>
    <rPh sb="0" eb="2">
      <t>タンイ</t>
    </rPh>
    <rPh sb="2" eb="4">
      <t>カンサン</t>
    </rPh>
    <rPh sb="4" eb="6">
      <t>ケイスウ</t>
    </rPh>
    <phoneticPr fontId="2"/>
  </si>
  <si>
    <r>
      <rPr>
        <sz val="11"/>
        <color theme="1"/>
        <rFont val="ＭＳ Ｐゴシック"/>
        <family val="3"/>
        <charset val="128"/>
      </rPr>
      <t>（</t>
    </r>
    <r>
      <rPr>
        <sz val="11"/>
        <color theme="1"/>
        <rFont val="Arial"/>
        <family val="2"/>
      </rPr>
      <t xml:space="preserve">t/kg </t>
    </r>
    <r>
      <rPr>
        <sz val="11"/>
        <color theme="1"/>
        <rFont val="ＭＳ Ｐゴシック"/>
        <family val="3"/>
        <charset val="128"/>
      </rPr>
      <t>または</t>
    </r>
    <r>
      <rPr>
        <sz val="11"/>
        <color theme="1"/>
        <rFont val="Arial"/>
        <family val="2"/>
      </rPr>
      <t xml:space="preserve"> bbl/l</t>
    </r>
    <r>
      <rPr>
        <sz val="11"/>
        <color theme="1"/>
        <rFont val="ＭＳ Ｐゴシック"/>
        <family val="3"/>
        <charset val="128"/>
      </rPr>
      <t>）</t>
    </r>
    <phoneticPr fontId="2"/>
  </si>
  <si>
    <r>
      <rPr>
        <sz val="11"/>
        <color theme="1"/>
        <rFont val="ＭＳ Ｐゴシック"/>
        <family val="3"/>
        <charset val="128"/>
      </rPr>
      <t>（円</t>
    </r>
    <r>
      <rPr>
        <sz val="11"/>
        <color theme="1"/>
        <rFont val="Arial"/>
        <family val="2"/>
      </rPr>
      <t>/kg</t>
    </r>
    <r>
      <rPr>
        <sz val="11"/>
        <color theme="1"/>
        <rFont val="ＭＳ Ｐゴシック"/>
        <family val="3"/>
        <charset val="128"/>
      </rPr>
      <t>　または</t>
    </r>
    <r>
      <rPr>
        <sz val="11"/>
        <color theme="1"/>
        <rFont val="Arial"/>
        <family val="2"/>
      </rPr>
      <t xml:space="preserve"> </t>
    </r>
    <r>
      <rPr>
        <sz val="11"/>
        <color theme="1"/>
        <rFont val="ＭＳ Ｐゴシック"/>
        <family val="3"/>
        <charset val="128"/>
      </rPr>
      <t>円</t>
    </r>
    <r>
      <rPr>
        <sz val="11"/>
        <color theme="1"/>
        <rFont val="Arial"/>
        <family val="2"/>
      </rPr>
      <t>/l</t>
    </r>
    <r>
      <rPr>
        <sz val="11"/>
        <color theme="1"/>
        <rFont val="ＭＳ Ｐゴシック"/>
        <family val="3"/>
        <charset val="128"/>
      </rPr>
      <t>）</t>
    </r>
    <rPh sb="1" eb="2">
      <t>エン</t>
    </rPh>
    <rPh sb="10" eb="11">
      <t>エン</t>
    </rPh>
    <phoneticPr fontId="2"/>
  </si>
  <si>
    <r>
      <t>CO2</t>
    </r>
    <r>
      <rPr>
        <sz val="11"/>
        <color theme="1"/>
        <rFont val="ＭＳ Ｐゴシック"/>
        <family val="3"/>
        <charset val="128"/>
      </rPr>
      <t>排出量</t>
    </r>
    <rPh sb="3" eb="5">
      <t>ハイシュツ</t>
    </rPh>
    <rPh sb="5" eb="6">
      <t>リョウ</t>
    </rPh>
    <phoneticPr fontId="2"/>
  </si>
  <si>
    <r>
      <rPr>
        <sz val="11"/>
        <color theme="1"/>
        <rFont val="ＭＳ Ｐゴシック"/>
        <family val="3"/>
        <charset val="128"/>
      </rPr>
      <t>（</t>
    </r>
    <r>
      <rPr>
        <sz val="11"/>
        <color theme="1"/>
        <rFont val="Arial"/>
        <family val="2"/>
      </rPr>
      <t>kg-CO2</t>
    </r>
    <r>
      <rPr>
        <sz val="11"/>
        <color theme="1"/>
        <rFont val="ＭＳ Ｐゴシック"/>
        <family val="3"/>
        <charset val="128"/>
      </rPr>
      <t>）</t>
    </r>
    <phoneticPr fontId="2"/>
  </si>
  <si>
    <r>
      <rPr>
        <sz val="11"/>
        <color theme="1"/>
        <rFont val="ＭＳ Ｐゴシック"/>
        <family val="3"/>
        <charset val="128"/>
      </rPr>
      <t>排熱利用価値</t>
    </r>
    <rPh sb="0" eb="2">
      <t>ハイネツ</t>
    </rPh>
    <rPh sb="2" eb="4">
      <t>リヨウ</t>
    </rPh>
    <rPh sb="4" eb="6">
      <t>カチ</t>
    </rPh>
    <phoneticPr fontId="2"/>
  </si>
  <si>
    <r>
      <rPr>
        <sz val="11"/>
        <color theme="1"/>
        <rFont val="ＭＳ Ｐゴシック"/>
        <family val="3"/>
        <charset val="128"/>
      </rPr>
      <t>総熱利用量</t>
    </r>
    <rPh sb="0" eb="1">
      <t>ソウ</t>
    </rPh>
    <rPh sb="1" eb="2">
      <t>ネツ</t>
    </rPh>
    <rPh sb="2" eb="4">
      <t>リヨウ</t>
    </rPh>
    <rPh sb="4" eb="5">
      <t>リョウ</t>
    </rPh>
    <phoneticPr fontId="2"/>
  </si>
  <si>
    <r>
      <rPr>
        <sz val="11"/>
        <color theme="1"/>
        <rFont val="ＭＳ Ｐゴシック"/>
        <family val="3"/>
        <charset val="128"/>
      </rPr>
      <t>（</t>
    </r>
    <r>
      <rPr>
        <sz val="11"/>
        <color theme="1"/>
        <rFont val="Arial"/>
        <family val="2"/>
      </rPr>
      <t>MJ/</t>
    </r>
    <r>
      <rPr>
        <sz val="11"/>
        <color theme="1"/>
        <rFont val="ＭＳ Ｐゴシック"/>
        <family val="3"/>
        <charset val="128"/>
      </rPr>
      <t>年）</t>
    </r>
    <rPh sb="4" eb="5">
      <t>ネン</t>
    </rPh>
    <phoneticPr fontId="2"/>
  </si>
  <si>
    <r>
      <rPr>
        <sz val="11"/>
        <color theme="1"/>
        <rFont val="ＭＳ Ｐゴシック"/>
        <family val="3"/>
        <charset val="128"/>
      </rPr>
      <t>ボイラ燃料換算</t>
    </r>
    <rPh sb="3" eb="5">
      <t>ネンリョウ</t>
    </rPh>
    <rPh sb="5" eb="7">
      <t>カンサン</t>
    </rPh>
    <phoneticPr fontId="2"/>
  </si>
  <si>
    <r>
      <rPr>
        <sz val="11"/>
        <color theme="1"/>
        <rFont val="ＭＳ Ｐゴシック"/>
        <family val="3"/>
        <charset val="128"/>
      </rPr>
      <t>ボイラ燃料諸経費</t>
    </r>
    <rPh sb="3" eb="5">
      <t>ネンリョウ</t>
    </rPh>
    <rPh sb="5" eb="8">
      <t>ショケイヒ</t>
    </rPh>
    <phoneticPr fontId="2"/>
  </si>
  <si>
    <r>
      <rPr>
        <sz val="11"/>
        <color theme="1"/>
        <rFont val="ＭＳ Ｐゴシック"/>
        <family val="3"/>
        <charset val="128"/>
      </rPr>
      <t>ボイラ</t>
    </r>
    <r>
      <rPr>
        <sz val="11"/>
        <color theme="1"/>
        <rFont val="Arial"/>
        <family val="2"/>
      </rPr>
      <t>CO2</t>
    </r>
    <r>
      <rPr>
        <sz val="11"/>
        <color theme="1"/>
        <rFont val="ＭＳ Ｐゴシック"/>
        <family val="3"/>
        <charset val="128"/>
      </rPr>
      <t>排出量</t>
    </r>
    <rPh sb="6" eb="8">
      <t>ハイシュツ</t>
    </rPh>
    <rPh sb="8" eb="9">
      <t>リョウ</t>
    </rPh>
    <phoneticPr fontId="2"/>
  </si>
  <si>
    <r>
      <rPr>
        <sz val="11"/>
        <color theme="1"/>
        <rFont val="ＭＳ Ｐゴシック"/>
        <family val="3"/>
        <charset val="128"/>
      </rPr>
      <t>人件費</t>
    </r>
    <rPh sb="0" eb="3">
      <t>ジンケンヒ</t>
    </rPh>
    <phoneticPr fontId="2"/>
  </si>
  <si>
    <r>
      <rPr>
        <sz val="11"/>
        <color theme="1"/>
        <rFont val="ＭＳ Ｐゴシック"/>
        <family val="3"/>
        <charset val="128"/>
      </rPr>
      <t>（億円</t>
    </r>
    <r>
      <rPr>
        <sz val="11"/>
        <color theme="1"/>
        <rFont val="Arial"/>
        <family val="2"/>
      </rPr>
      <t>/</t>
    </r>
    <r>
      <rPr>
        <sz val="11"/>
        <color theme="1"/>
        <rFont val="ＭＳ Ｐゴシック"/>
        <family val="3"/>
        <charset val="128"/>
      </rPr>
      <t>年）</t>
    </r>
    <rPh sb="1" eb="3">
      <t>オクエン</t>
    </rPh>
    <rPh sb="4" eb="5">
      <t>ネン</t>
    </rPh>
    <phoneticPr fontId="2"/>
  </si>
  <si>
    <r>
      <rPr>
        <sz val="11"/>
        <color theme="1"/>
        <rFont val="ＭＳ Ｐゴシック"/>
        <family val="3"/>
        <charset val="128"/>
      </rPr>
      <t>（</t>
    </r>
    <r>
      <rPr>
        <sz val="11"/>
        <color theme="1"/>
        <rFont val="Arial"/>
        <family val="2"/>
      </rPr>
      <t>%</t>
    </r>
    <r>
      <rPr>
        <sz val="11"/>
        <color theme="1"/>
        <rFont val="ＭＳ Ｐゴシック"/>
        <family val="3"/>
        <charset val="128"/>
      </rPr>
      <t>）</t>
    </r>
    <r>
      <rPr>
        <sz val="11"/>
        <color theme="1"/>
        <rFont val="Arial"/>
        <family val="2"/>
      </rPr>
      <t xml:space="preserve">: </t>
    </r>
    <r>
      <rPr>
        <sz val="11"/>
        <color theme="1"/>
        <rFont val="ＭＳ Ｐゴシック"/>
        <family val="3"/>
        <charset val="128"/>
      </rPr>
      <t>建設費における比率</t>
    </r>
    <rPh sb="5" eb="8">
      <t>ケンセツヒ</t>
    </rPh>
    <rPh sb="12" eb="14">
      <t>ヒリツ</t>
    </rPh>
    <phoneticPr fontId="2"/>
  </si>
  <si>
    <r>
      <rPr>
        <sz val="11"/>
        <color theme="1"/>
        <rFont val="ＭＳ Ｐゴシック"/>
        <family val="3"/>
        <charset val="128"/>
      </rPr>
      <t>業務分担費（一般管理費）</t>
    </r>
    <rPh sb="6" eb="8">
      <t>イッパン</t>
    </rPh>
    <rPh sb="8" eb="11">
      <t>カンリヒ</t>
    </rPh>
    <phoneticPr fontId="2"/>
  </si>
  <si>
    <r>
      <rPr>
        <sz val="11"/>
        <color theme="1"/>
        <rFont val="ＭＳ Ｐゴシック"/>
        <family val="3"/>
        <charset val="128"/>
      </rPr>
      <t>（</t>
    </r>
    <r>
      <rPr>
        <sz val="11"/>
        <color theme="1"/>
        <rFont val="Arial"/>
        <family val="2"/>
      </rPr>
      <t>%</t>
    </r>
    <r>
      <rPr>
        <sz val="11"/>
        <color theme="1"/>
        <rFont val="ＭＳ Ｐゴシック"/>
        <family val="3"/>
        <charset val="128"/>
      </rPr>
      <t>）</t>
    </r>
    <r>
      <rPr>
        <sz val="11"/>
        <color theme="1"/>
        <rFont val="Arial"/>
        <family val="2"/>
      </rPr>
      <t xml:space="preserve">: </t>
    </r>
    <r>
      <rPr>
        <sz val="11"/>
        <color theme="1"/>
        <rFont val="ＭＳ Ｐゴシック"/>
        <family val="3"/>
        <charset val="128"/>
      </rPr>
      <t>直接費における比率</t>
    </r>
    <rPh sb="5" eb="7">
      <t>チョクセツ</t>
    </rPh>
    <rPh sb="7" eb="8">
      <t>ヒ</t>
    </rPh>
    <rPh sb="12" eb="14">
      <t>ヒリツ</t>
    </rPh>
    <phoneticPr fontId="2"/>
  </si>
  <si>
    <r>
      <rPr>
        <sz val="11"/>
        <color theme="1"/>
        <rFont val="ＭＳ Ｐゴシック"/>
        <family val="3"/>
        <charset val="128"/>
      </rPr>
      <t>修繕費</t>
    </r>
    <r>
      <rPr>
        <sz val="11"/>
        <color theme="1"/>
        <rFont val="Arial"/>
        <family val="2"/>
      </rPr>
      <t>/</t>
    </r>
    <r>
      <rPr>
        <sz val="11"/>
        <color theme="1"/>
        <rFont val="ＭＳ Ｐゴシック"/>
        <family val="3"/>
        <charset val="128"/>
      </rPr>
      <t>諸費</t>
    </r>
    <rPh sb="4" eb="6">
      <t>ショヒ</t>
    </rPh>
    <phoneticPr fontId="17"/>
  </si>
  <si>
    <r>
      <rPr>
        <b/>
        <sz val="18"/>
        <color theme="1"/>
        <rFont val="ＭＳ Ｐゴシック"/>
        <family val="3"/>
        <charset val="128"/>
      </rPr>
      <t>地熱</t>
    </r>
  </si>
  <si>
    <r>
      <rPr>
        <b/>
        <sz val="18"/>
        <color theme="1"/>
        <rFont val="ＭＳ Ｐゴシック"/>
        <family val="3"/>
        <charset val="128"/>
      </rPr>
      <t>バイオマス（石炭混焼）</t>
    </r>
  </si>
  <si>
    <r>
      <rPr>
        <b/>
        <sz val="18"/>
        <color theme="1"/>
        <rFont val="ＭＳ Ｐゴシック"/>
        <family val="3"/>
        <charset val="128"/>
      </rPr>
      <t>バイオマス（木質専焼）</t>
    </r>
  </si>
  <si>
    <r>
      <rPr>
        <sz val="11"/>
        <color theme="1"/>
        <rFont val="ＭＳ Ｐゴシック"/>
        <family val="3"/>
        <charset val="128"/>
      </rPr>
      <t>（</t>
    </r>
    <r>
      <rPr>
        <sz val="11"/>
        <color theme="1"/>
        <rFont val="Arial"/>
        <family val="2"/>
      </rPr>
      <t>t/</t>
    </r>
    <r>
      <rPr>
        <sz val="11"/>
        <color theme="1"/>
        <rFont val="ＭＳ Ｐゴシック"/>
        <family val="3"/>
        <charset val="128"/>
      </rPr>
      <t>年、</t>
    </r>
    <r>
      <rPr>
        <sz val="11"/>
        <color theme="1"/>
        <rFont val="Arial"/>
        <family val="2"/>
      </rPr>
      <t>MJ/kg</t>
    </r>
    <r>
      <rPr>
        <sz val="11"/>
        <color theme="1"/>
        <rFont val="ＭＳ Ｐゴシック"/>
        <family val="3"/>
        <charset val="128"/>
      </rPr>
      <t>、</t>
    </r>
    <r>
      <rPr>
        <sz val="11"/>
        <color theme="1"/>
        <rFont val="Arial"/>
        <family val="2"/>
      </rPr>
      <t>MJ/l</t>
    </r>
    <r>
      <rPr>
        <sz val="11"/>
        <color theme="1"/>
        <rFont val="ＭＳ Ｐゴシック"/>
        <family val="3"/>
        <charset val="128"/>
      </rPr>
      <t>、</t>
    </r>
    <r>
      <rPr>
        <sz val="11"/>
        <color theme="1"/>
        <rFont val="Arial"/>
        <family val="2"/>
      </rPr>
      <t>MJ/m</t>
    </r>
    <r>
      <rPr>
        <vertAlign val="superscript"/>
        <sz val="11"/>
        <color theme="1"/>
        <rFont val="Arial"/>
        <family val="2"/>
      </rPr>
      <t>3</t>
    </r>
    <r>
      <rPr>
        <sz val="11"/>
        <color theme="1"/>
        <rFont val="ＭＳ Ｐゴシック"/>
        <family val="3"/>
        <charset val="128"/>
      </rPr>
      <t>）</t>
    </r>
    <phoneticPr fontId="2"/>
  </si>
  <si>
    <r>
      <rPr>
        <sz val="11"/>
        <color theme="1"/>
        <rFont val="ＭＳ Ｐゴシック"/>
        <family val="3"/>
        <charset val="128"/>
      </rPr>
      <t>（円</t>
    </r>
    <r>
      <rPr>
        <sz val="11"/>
        <color theme="1"/>
        <rFont val="Arial"/>
        <family val="2"/>
      </rPr>
      <t>/t</t>
    </r>
    <r>
      <rPr>
        <sz val="11"/>
        <color theme="1"/>
        <rFont val="ＭＳ Ｐゴシック"/>
        <family val="3"/>
        <charset val="128"/>
      </rPr>
      <t>）</t>
    </r>
    <rPh sb="1" eb="2">
      <t>エン</t>
    </rPh>
    <phoneticPr fontId="2"/>
  </si>
  <si>
    <r>
      <rPr>
        <sz val="11"/>
        <color theme="1"/>
        <rFont val="ＭＳ Ｐゴシック"/>
        <family val="3"/>
        <charset val="128"/>
      </rPr>
      <t>（</t>
    </r>
    <r>
      <rPr>
        <sz val="11"/>
        <color theme="1"/>
        <rFont val="Arial"/>
        <family val="2"/>
      </rPr>
      <t>g-C/MJ</t>
    </r>
    <r>
      <rPr>
        <sz val="11"/>
        <color theme="1"/>
        <rFont val="ＭＳ Ｐゴシック"/>
        <family val="3"/>
        <charset val="128"/>
      </rPr>
      <t>）</t>
    </r>
    <phoneticPr fontId="12"/>
  </si>
  <si>
    <r>
      <t>CO2</t>
    </r>
    <r>
      <rPr>
        <sz val="11"/>
        <color theme="1"/>
        <rFont val="ＭＳ Ｐゴシック"/>
        <family val="3"/>
        <charset val="128"/>
      </rPr>
      <t>輸送＆貯留費用</t>
    </r>
    <rPh sb="3" eb="5">
      <t>ユソウ</t>
    </rPh>
    <rPh sb="6" eb="8">
      <t>チョリュウ</t>
    </rPh>
    <rPh sb="8" eb="10">
      <t>ヒヨウ</t>
    </rPh>
    <phoneticPr fontId="2"/>
  </si>
  <si>
    <r>
      <rPr>
        <sz val="11"/>
        <color theme="1"/>
        <rFont val="ＭＳ Ｐゴシック"/>
        <family val="3"/>
        <charset val="128"/>
      </rPr>
      <t>輸送・貯留組合せ</t>
    </r>
    <rPh sb="0" eb="2">
      <t>ユソウ</t>
    </rPh>
    <rPh sb="3" eb="5">
      <t>チョリュウ</t>
    </rPh>
    <rPh sb="5" eb="7">
      <t>クミアワ</t>
    </rPh>
    <phoneticPr fontId="2"/>
  </si>
  <si>
    <r>
      <rPr>
        <sz val="11"/>
        <color theme="1"/>
        <rFont val="ＭＳ Ｐゴシック"/>
        <family val="3"/>
        <charset val="128"/>
      </rPr>
      <t>輸送・貯留量</t>
    </r>
    <rPh sb="0" eb="2">
      <t>ユソウ</t>
    </rPh>
    <rPh sb="3" eb="6">
      <t>チョリュウリョウ</t>
    </rPh>
    <phoneticPr fontId="2"/>
  </si>
  <si>
    <r>
      <rPr>
        <sz val="11"/>
        <color theme="1"/>
        <rFont val="ＭＳ Ｐゴシック"/>
        <family val="3"/>
        <charset val="128"/>
      </rPr>
      <t>（万</t>
    </r>
    <r>
      <rPr>
        <sz val="11"/>
        <color theme="1"/>
        <rFont val="Arial"/>
        <family val="2"/>
      </rPr>
      <t>tCO2/</t>
    </r>
    <r>
      <rPr>
        <sz val="11"/>
        <color theme="1"/>
        <rFont val="ＭＳ Ｐゴシック"/>
        <family val="3"/>
        <charset val="128"/>
      </rPr>
      <t>年）</t>
    </r>
    <rPh sb="1" eb="2">
      <t>マン</t>
    </rPh>
    <rPh sb="7" eb="8">
      <t>ネン</t>
    </rPh>
    <phoneticPr fontId="2"/>
  </si>
  <si>
    <r>
      <rPr>
        <sz val="11"/>
        <color theme="1"/>
        <rFont val="ＭＳ Ｐゴシック"/>
        <family val="3"/>
        <charset val="128"/>
      </rPr>
      <t>輸送距離</t>
    </r>
    <rPh sb="0" eb="2">
      <t>ユソウ</t>
    </rPh>
    <rPh sb="2" eb="4">
      <t>キョリ</t>
    </rPh>
    <phoneticPr fontId="2"/>
  </si>
  <si>
    <r>
      <rPr>
        <sz val="11"/>
        <color theme="1"/>
        <rFont val="ＭＳ Ｐゴシック"/>
        <family val="3"/>
        <charset val="128"/>
      </rPr>
      <t>（</t>
    </r>
    <r>
      <rPr>
        <sz val="11"/>
        <color theme="1"/>
        <rFont val="Arial"/>
        <family val="2"/>
      </rPr>
      <t>km</t>
    </r>
    <r>
      <rPr>
        <sz val="11"/>
        <color theme="1"/>
        <rFont val="ＭＳ Ｐゴシック"/>
        <family val="3"/>
        <charset val="128"/>
      </rPr>
      <t>）</t>
    </r>
    <phoneticPr fontId="2"/>
  </si>
  <si>
    <r>
      <rPr>
        <sz val="11"/>
        <color theme="1"/>
        <rFont val="ＭＳ Ｐゴシック"/>
        <family val="3"/>
        <charset val="128"/>
      </rPr>
      <t>割引
係数</t>
    </r>
    <rPh sb="0" eb="2">
      <t>ワリビキ</t>
    </rPh>
    <rPh sb="3" eb="5">
      <t>ケイスウ</t>
    </rPh>
    <phoneticPr fontId="2"/>
  </si>
  <si>
    <r>
      <t>LNG</t>
    </r>
    <r>
      <rPr>
        <b/>
        <sz val="18"/>
        <color theme="1"/>
        <rFont val="ＭＳ Ｐゴシック"/>
        <family val="3"/>
        <charset val="128"/>
      </rPr>
      <t>火力</t>
    </r>
    <phoneticPr fontId="2"/>
  </si>
  <si>
    <r>
      <t>CO2</t>
    </r>
    <r>
      <rPr>
        <sz val="11"/>
        <color theme="1"/>
        <rFont val="ＭＳ Ｐゴシック"/>
        <family val="3"/>
        <charset val="128"/>
      </rPr>
      <t>回収率</t>
    </r>
    <rPh sb="3" eb="6">
      <t>カイシュウリツ</t>
    </rPh>
    <phoneticPr fontId="2"/>
  </si>
  <si>
    <r>
      <t>CO2</t>
    </r>
    <r>
      <rPr>
        <sz val="11"/>
        <color theme="1"/>
        <rFont val="ＭＳ Ｐゴシック"/>
        <family val="3"/>
        <charset val="128"/>
      </rPr>
      <t>輸送＆貯留費用</t>
    </r>
    <r>
      <rPr>
        <sz val="11"/>
        <color theme="1"/>
        <rFont val="Arial"/>
        <family val="2"/>
      </rPr>
      <t xml:space="preserve"> </t>
    </r>
    <rPh sb="3" eb="5">
      <t>ユソウ</t>
    </rPh>
    <rPh sb="6" eb="8">
      <t>チョリュウ</t>
    </rPh>
    <rPh sb="8" eb="10">
      <t>ヒヨウ</t>
    </rPh>
    <phoneticPr fontId="2"/>
  </si>
  <si>
    <r>
      <t>CO2</t>
    </r>
    <r>
      <rPr>
        <sz val="11"/>
        <color theme="1"/>
        <rFont val="ＭＳ Ｐゴシック"/>
        <family val="3"/>
        <charset val="128"/>
      </rPr>
      <t>回収量</t>
    </r>
    <rPh sb="3" eb="6">
      <t>カイシュウリョウ</t>
    </rPh>
    <phoneticPr fontId="2"/>
  </si>
  <si>
    <r>
      <rPr>
        <b/>
        <sz val="18"/>
        <color theme="1"/>
        <rFont val="ＭＳ Ｐゴシック"/>
        <family val="3"/>
        <charset val="128"/>
      </rPr>
      <t>石炭火力</t>
    </r>
  </si>
  <si>
    <r>
      <rPr>
        <b/>
        <sz val="11"/>
        <color theme="1"/>
        <rFont val="ＭＳ Ｐゴシック"/>
        <family val="3"/>
        <charset val="128"/>
      </rPr>
      <t>年</t>
    </r>
    <rPh sb="0" eb="1">
      <t>ネン</t>
    </rPh>
    <phoneticPr fontId="13"/>
  </si>
  <si>
    <r>
      <rPr>
        <b/>
        <sz val="11"/>
        <color theme="1"/>
        <rFont val="ＭＳ Ｐゴシック"/>
        <family val="3"/>
        <charset val="128"/>
      </rPr>
      <t>石炭価格</t>
    </r>
    <rPh sb="0" eb="2">
      <t>セキタン</t>
    </rPh>
    <rPh sb="2" eb="4">
      <t>カカク</t>
    </rPh>
    <phoneticPr fontId="13"/>
  </si>
  <si>
    <r>
      <rPr>
        <b/>
        <sz val="11"/>
        <color theme="1"/>
        <rFont val="ＭＳ Ｐゴシック"/>
        <family val="3"/>
        <charset val="128"/>
      </rPr>
      <t>天然ガス価格（</t>
    </r>
    <r>
      <rPr>
        <b/>
        <sz val="11"/>
        <color theme="1"/>
        <rFont val="Arial"/>
        <family val="2"/>
      </rPr>
      <t>CIF</t>
    </r>
    <r>
      <rPr>
        <b/>
        <sz val="11"/>
        <color theme="1"/>
        <rFont val="ＭＳ Ｐゴシック"/>
        <family val="3"/>
        <charset val="128"/>
      </rPr>
      <t>）</t>
    </r>
    <rPh sb="0" eb="2">
      <t>テンネン</t>
    </rPh>
    <rPh sb="4" eb="6">
      <t>カカク</t>
    </rPh>
    <phoneticPr fontId="13"/>
  </si>
  <si>
    <r>
      <rPr>
        <b/>
        <sz val="11"/>
        <color theme="1"/>
        <rFont val="ＭＳ Ｐゴシック"/>
        <family val="3"/>
        <charset val="128"/>
      </rPr>
      <t>原油価格（</t>
    </r>
    <r>
      <rPr>
        <b/>
        <sz val="11"/>
        <color theme="1"/>
        <rFont val="Arial"/>
        <family val="2"/>
      </rPr>
      <t>CIF</t>
    </r>
    <r>
      <rPr>
        <b/>
        <sz val="11"/>
        <color theme="1"/>
        <rFont val="ＭＳ Ｐゴシック"/>
        <family val="3"/>
        <charset val="128"/>
      </rPr>
      <t>）</t>
    </r>
    <rPh sb="0" eb="2">
      <t>ゲンユ</t>
    </rPh>
    <rPh sb="2" eb="4">
      <t>カカク</t>
    </rPh>
    <phoneticPr fontId="13"/>
  </si>
  <si>
    <r>
      <rPr>
        <b/>
        <sz val="11"/>
        <color theme="1"/>
        <rFont val="ＭＳ Ｐゴシック"/>
        <family val="3"/>
        <charset val="128"/>
      </rPr>
      <t>石炭混焼バイオマス燃料価格</t>
    </r>
    <rPh sb="0" eb="2">
      <t>セキタン</t>
    </rPh>
    <rPh sb="2" eb="4">
      <t>コンショウ</t>
    </rPh>
    <rPh sb="9" eb="11">
      <t>ネンリョウ</t>
    </rPh>
    <rPh sb="11" eb="13">
      <t>カカク</t>
    </rPh>
    <phoneticPr fontId="13"/>
  </si>
  <si>
    <r>
      <rPr>
        <b/>
        <sz val="11"/>
        <color theme="1"/>
        <rFont val="ＭＳ Ｐゴシック"/>
        <family val="3"/>
        <charset val="128"/>
      </rPr>
      <t>ガスコジェネ</t>
    </r>
    <phoneticPr fontId="13"/>
  </si>
  <si>
    <r>
      <rPr>
        <b/>
        <sz val="11"/>
        <color theme="1"/>
        <rFont val="ＭＳ Ｐゴシック"/>
        <family val="3"/>
        <charset val="128"/>
      </rPr>
      <t>燃料電池</t>
    </r>
    <rPh sb="0" eb="2">
      <t>ネンリョウ</t>
    </rPh>
    <rPh sb="2" eb="4">
      <t>デンチ</t>
    </rPh>
    <phoneticPr fontId="13"/>
  </si>
  <si>
    <r>
      <rPr>
        <sz val="11"/>
        <color theme="1"/>
        <rFont val="ＭＳ Ｐゴシック"/>
        <family val="3"/>
        <charset val="128"/>
      </rPr>
      <t>（ドル</t>
    </r>
    <r>
      <rPr>
        <sz val="11"/>
        <color theme="1"/>
        <rFont val="Arial"/>
        <family val="2"/>
      </rPr>
      <t>/t</t>
    </r>
    <r>
      <rPr>
        <sz val="11"/>
        <color theme="1"/>
        <rFont val="ＭＳ Ｐゴシック"/>
        <family val="3"/>
        <charset val="128"/>
      </rPr>
      <t>）</t>
    </r>
    <phoneticPr fontId="13"/>
  </si>
  <si>
    <r>
      <rPr>
        <sz val="11"/>
        <color theme="1"/>
        <rFont val="ＭＳ Ｐゴシック"/>
        <family val="3"/>
        <charset val="128"/>
      </rPr>
      <t>（ドル</t>
    </r>
    <r>
      <rPr>
        <sz val="11"/>
        <color theme="1"/>
        <rFont val="Arial"/>
        <family val="2"/>
      </rPr>
      <t>/bbl</t>
    </r>
    <r>
      <rPr>
        <sz val="11"/>
        <color theme="1"/>
        <rFont val="ＭＳ Ｐゴシック"/>
        <family val="3"/>
        <charset val="128"/>
      </rPr>
      <t>）</t>
    </r>
    <phoneticPr fontId="13"/>
  </si>
  <si>
    <r>
      <rPr>
        <sz val="11"/>
        <color theme="1"/>
        <rFont val="ＭＳ Ｐゴシック"/>
        <family val="3"/>
        <charset val="128"/>
      </rPr>
      <t>（円</t>
    </r>
    <r>
      <rPr>
        <sz val="11"/>
        <color theme="1"/>
        <rFont val="Arial"/>
        <family val="2"/>
      </rPr>
      <t>/m</t>
    </r>
    <r>
      <rPr>
        <vertAlign val="superscript"/>
        <sz val="11"/>
        <color theme="1"/>
        <rFont val="Arial"/>
        <family val="2"/>
      </rPr>
      <t>3</t>
    </r>
    <r>
      <rPr>
        <sz val="11"/>
        <color theme="1"/>
        <rFont val="ＭＳ Ｐゴシック"/>
        <family val="3"/>
        <charset val="128"/>
      </rPr>
      <t>）</t>
    </r>
    <rPh sb="1" eb="2">
      <t>エン</t>
    </rPh>
    <phoneticPr fontId="13"/>
  </si>
  <si>
    <r>
      <rPr>
        <sz val="11"/>
        <color theme="1"/>
        <rFont val="ＭＳ Ｐゴシック"/>
        <family val="3"/>
        <charset val="128"/>
      </rPr>
      <t>（円</t>
    </r>
    <r>
      <rPr>
        <sz val="11"/>
        <color theme="1"/>
        <rFont val="Arial"/>
        <family val="2"/>
      </rPr>
      <t>/l</t>
    </r>
    <r>
      <rPr>
        <sz val="11"/>
        <color theme="1"/>
        <rFont val="ＭＳ Ｐゴシック"/>
        <family val="3"/>
        <charset val="128"/>
      </rPr>
      <t>）</t>
    </r>
    <rPh sb="1" eb="2">
      <t>エン</t>
    </rPh>
    <phoneticPr fontId="13"/>
  </si>
  <si>
    <r>
      <rPr>
        <sz val="11"/>
        <color theme="1"/>
        <rFont val="ＭＳ Ｐゴシック"/>
        <family val="3"/>
        <charset val="128"/>
      </rPr>
      <t>（ドル</t>
    </r>
    <r>
      <rPr>
        <sz val="11"/>
        <color theme="1"/>
        <rFont val="Arial"/>
        <family val="2"/>
      </rPr>
      <t>/t</t>
    </r>
    <r>
      <rPr>
        <sz val="11"/>
        <color theme="1"/>
        <rFont val="ＭＳ Ｐゴシック"/>
        <family val="3"/>
        <charset val="128"/>
      </rPr>
      <t>）</t>
    </r>
    <phoneticPr fontId="2"/>
  </si>
  <si>
    <r>
      <rPr>
        <b/>
        <sz val="10"/>
        <color theme="1"/>
        <rFont val="ＭＳ Ｐゴシック"/>
        <family val="3"/>
        <charset val="128"/>
      </rPr>
      <t>（参考）</t>
    </r>
    <r>
      <rPr>
        <b/>
        <sz val="10"/>
        <color theme="1"/>
        <rFont val="Arial"/>
        <family val="2"/>
      </rPr>
      <t>Net</t>
    </r>
    <r>
      <rPr>
        <b/>
        <sz val="10"/>
        <color theme="1"/>
        <rFont val="ＭＳ Ｐゴシック"/>
        <family val="3"/>
        <charset val="128"/>
      </rPr>
      <t>貯留量の計算（排出源を全て石炭火力と想定した場合）</t>
    </r>
    <rPh sb="1" eb="3">
      <t>サンコウ</t>
    </rPh>
    <rPh sb="7" eb="10">
      <t>チョリュウリョウ</t>
    </rPh>
    <rPh sb="11" eb="13">
      <t>ケイサン</t>
    </rPh>
    <rPh sb="14" eb="16">
      <t>ハイシュツ</t>
    </rPh>
    <rPh sb="16" eb="17">
      <t>ゲン</t>
    </rPh>
    <rPh sb="18" eb="19">
      <t>スベ</t>
    </rPh>
    <rPh sb="20" eb="22">
      <t>セキタン</t>
    </rPh>
    <rPh sb="22" eb="24">
      <t>カリョク</t>
    </rPh>
    <rPh sb="25" eb="27">
      <t>ソウテイ</t>
    </rPh>
    <rPh sb="29" eb="31">
      <t>バアイ</t>
    </rPh>
    <phoneticPr fontId="2"/>
  </si>
  <si>
    <r>
      <rPr>
        <sz val="10"/>
        <color theme="1"/>
        <rFont val="ＭＳ Ｐゴシック"/>
        <family val="3"/>
        <charset val="128"/>
      </rPr>
      <t>割引率</t>
    </r>
    <rPh sb="0" eb="3">
      <t>ワリビキリツ</t>
    </rPh>
    <phoneticPr fontId="2"/>
  </si>
  <si>
    <r>
      <rPr>
        <sz val="10"/>
        <color theme="1"/>
        <rFont val="ＭＳ Ｐゴシック"/>
        <family val="3"/>
        <charset val="128"/>
      </rPr>
      <t>為替レート</t>
    </r>
    <rPh sb="0" eb="2">
      <t>カワセ</t>
    </rPh>
    <phoneticPr fontId="2"/>
  </si>
  <si>
    <r>
      <rPr>
        <sz val="9"/>
        <color theme="1"/>
        <rFont val="ＭＳ Ｐゴシック"/>
        <family val="3"/>
        <charset val="128"/>
      </rPr>
      <t>（円</t>
    </r>
    <r>
      <rPr>
        <sz val="9"/>
        <color theme="1"/>
        <rFont val="Arial"/>
        <family val="2"/>
      </rPr>
      <t>/</t>
    </r>
    <r>
      <rPr>
        <sz val="9"/>
        <color theme="1"/>
        <rFont val="ＭＳ Ｐゴシック"/>
        <family val="3"/>
        <charset val="128"/>
      </rPr>
      <t>ドル）</t>
    </r>
    <rPh sb="1" eb="2">
      <t>エン</t>
    </rPh>
    <phoneticPr fontId="2"/>
  </si>
  <si>
    <r>
      <rPr>
        <b/>
        <sz val="10"/>
        <color theme="1"/>
        <rFont val="ＭＳ Ｐゴシック"/>
        <family val="3"/>
        <charset val="128"/>
      </rPr>
      <t>高レベル放射性廃棄物処分</t>
    </r>
    <rPh sb="0" eb="1">
      <t>コウ</t>
    </rPh>
    <rPh sb="4" eb="7">
      <t>ホウシャセイ</t>
    </rPh>
    <rPh sb="7" eb="10">
      <t>ハイキブツ</t>
    </rPh>
    <rPh sb="10" eb="12">
      <t>ショブン</t>
    </rPh>
    <phoneticPr fontId="2"/>
  </si>
  <si>
    <r>
      <rPr>
        <b/>
        <sz val="10"/>
        <color theme="1"/>
        <rFont val="ＭＳ Ｐゴシック"/>
        <family val="3"/>
        <charset val="128"/>
      </rPr>
      <t>単価</t>
    </r>
    <rPh sb="0" eb="2">
      <t>タンカ</t>
    </rPh>
    <phoneticPr fontId="2"/>
  </si>
  <si>
    <r>
      <rPr>
        <sz val="10"/>
        <color theme="1"/>
        <rFont val="ＭＳ Ｐゴシック"/>
        <family val="3"/>
        <charset val="128"/>
      </rPr>
      <t>費用（億円）</t>
    </r>
    <rPh sb="0" eb="2">
      <t>ヒヨウ</t>
    </rPh>
    <rPh sb="3" eb="5">
      <t>オクエン</t>
    </rPh>
    <phoneticPr fontId="2"/>
  </si>
  <si>
    <r>
      <rPr>
        <sz val="10"/>
        <color theme="1"/>
        <rFont val="ＭＳ Ｐゴシック"/>
        <family val="3"/>
        <charset val="128"/>
      </rPr>
      <t>処分量（</t>
    </r>
    <r>
      <rPr>
        <sz val="10"/>
        <color theme="1"/>
        <rFont val="Arial"/>
        <family val="2"/>
      </rPr>
      <t>tU</t>
    </r>
    <r>
      <rPr>
        <sz val="10"/>
        <color theme="1"/>
        <rFont val="ＭＳ Ｐゴシック"/>
        <family val="3"/>
        <charset val="128"/>
      </rPr>
      <t>）</t>
    </r>
    <rPh sb="0" eb="2">
      <t>ショブン</t>
    </rPh>
    <rPh sb="2" eb="3">
      <t>リョウ</t>
    </rPh>
    <phoneticPr fontId="2"/>
  </si>
  <si>
    <r>
      <rPr>
        <sz val="10"/>
        <color theme="1"/>
        <rFont val="ＭＳ Ｐゴシック"/>
        <family val="3"/>
        <charset val="128"/>
      </rPr>
      <t>ウラン燃料</t>
    </r>
    <rPh sb="3" eb="5">
      <t>ﾈﾝﾘｮｳ</t>
    </rPh>
    <phoneticPr fontId="29" type="halfwidthKatakana"/>
  </si>
  <si>
    <r>
      <rPr>
        <sz val="10"/>
        <color theme="1"/>
        <rFont val="ＭＳ Ｐゴシック"/>
        <family val="3"/>
        <charset val="128"/>
      </rPr>
      <t>（百万円</t>
    </r>
    <r>
      <rPr>
        <sz val="10"/>
        <color theme="1"/>
        <rFont val="Arial"/>
        <family val="2"/>
      </rPr>
      <t>/tU</t>
    </r>
    <r>
      <rPr>
        <sz val="10"/>
        <color theme="1"/>
        <rFont val="ＭＳ Ｐゴシック"/>
        <family val="3"/>
        <charset val="128"/>
      </rPr>
      <t>）</t>
    </r>
    <rPh sb="2" eb="4">
      <t>マンエン</t>
    </rPh>
    <phoneticPr fontId="2"/>
  </si>
  <si>
    <r>
      <t>MOX</t>
    </r>
    <r>
      <rPr>
        <sz val="10"/>
        <color theme="1"/>
        <rFont val="ＭＳ Ｐゴシック"/>
        <family val="3"/>
        <charset val="128"/>
      </rPr>
      <t>燃料</t>
    </r>
    <rPh sb="3" eb="5">
      <t>ﾈﾝﾘｮｳ</t>
    </rPh>
    <phoneticPr fontId="29" type="halfwidthKatakana"/>
  </si>
  <si>
    <r>
      <rPr>
        <sz val="10"/>
        <color theme="1"/>
        <rFont val="ＭＳ Ｐゴシック"/>
        <family val="3"/>
        <charset val="128"/>
      </rPr>
      <t>（百万円</t>
    </r>
    <r>
      <rPr>
        <sz val="10"/>
        <color theme="1"/>
        <rFont val="Arial"/>
        <family val="2"/>
      </rPr>
      <t>/tHM</t>
    </r>
    <r>
      <rPr>
        <sz val="10"/>
        <color theme="1"/>
        <rFont val="ＭＳ Ｐゴシック"/>
        <family val="3"/>
        <charset val="128"/>
      </rPr>
      <t>）</t>
    </r>
    <rPh sb="2" eb="4">
      <t>マンエン</t>
    </rPh>
    <phoneticPr fontId="2"/>
  </si>
  <si>
    <r>
      <rPr>
        <sz val="10"/>
        <color theme="1"/>
        <rFont val="ＭＳ Ｐゴシック"/>
        <family val="3"/>
        <charset val="128"/>
      </rPr>
      <t>現在価値</t>
    </r>
    <rPh sb="0" eb="2">
      <t>ゲンザイ</t>
    </rPh>
    <rPh sb="2" eb="4">
      <t>カチ</t>
    </rPh>
    <phoneticPr fontId="2"/>
  </si>
  <si>
    <r>
      <rPr>
        <sz val="10"/>
        <color theme="1"/>
        <rFont val="ＭＳ Ｐゴシック"/>
        <family val="3"/>
        <charset val="128"/>
      </rPr>
      <t>再処理</t>
    </r>
    <rPh sb="0" eb="3">
      <t>ｻｲｼｮﾘ</t>
    </rPh>
    <phoneticPr fontId="29" type="halfwidthKatakana"/>
  </si>
  <si>
    <r>
      <rPr>
        <sz val="10"/>
        <color theme="1"/>
        <rFont val="ＭＳ Ｐゴシック"/>
        <family val="3"/>
        <charset val="128"/>
      </rPr>
      <t>年</t>
    </r>
    <rPh sb="0" eb="1">
      <t>ネン</t>
    </rPh>
    <phoneticPr fontId="2"/>
  </si>
  <si>
    <r>
      <rPr>
        <sz val="10"/>
        <color theme="1"/>
        <rFont val="ＭＳ Ｐゴシック"/>
        <family val="3"/>
        <charset val="128"/>
      </rPr>
      <t>再処理への輸送</t>
    </r>
    <rPh sb="0" eb="3">
      <t>ｻｲｼｮﾘ</t>
    </rPh>
    <rPh sb="5" eb="7">
      <t>ﾕｿｳ</t>
    </rPh>
    <phoneticPr fontId="29" type="halfwidthKatakana"/>
  </si>
  <si>
    <r>
      <rPr>
        <sz val="10"/>
        <color theme="1"/>
        <rFont val="ＭＳ Ｐゴシック"/>
        <family val="3"/>
        <charset val="128"/>
      </rPr>
      <t>中間貯蔵への輸送</t>
    </r>
    <rPh sb="0" eb="2">
      <t>ﾁｭｳｶﾝ</t>
    </rPh>
    <rPh sb="2" eb="4">
      <t>ﾁｮｿﾞｳ</t>
    </rPh>
    <rPh sb="6" eb="8">
      <t>ﾕｿｳ</t>
    </rPh>
    <phoneticPr fontId="29" type="halfwidthKatakana"/>
  </si>
  <si>
    <r>
      <rPr>
        <sz val="10"/>
        <color theme="1"/>
        <rFont val="ＭＳ Ｐゴシック"/>
        <family val="3"/>
        <charset val="128"/>
      </rPr>
      <t>中間貯蔵</t>
    </r>
    <rPh sb="0" eb="2">
      <t>ﾁｭｳｶﾝ</t>
    </rPh>
    <rPh sb="2" eb="4">
      <t>ﾁｮｿﾞｳ</t>
    </rPh>
    <phoneticPr fontId="29" type="halfwidthKatakana"/>
  </si>
  <si>
    <r>
      <rPr>
        <sz val="10"/>
        <color theme="1"/>
        <rFont val="ＭＳ Ｐゴシック"/>
        <family val="3"/>
        <charset val="128"/>
      </rPr>
      <t>高レベル廃棄物処分</t>
    </r>
    <rPh sb="0" eb="1">
      <t>ｺｳ</t>
    </rPh>
    <rPh sb="4" eb="7">
      <t>ﾊｲｷﾌﾞﾂ</t>
    </rPh>
    <rPh sb="7" eb="9">
      <t>ｼｮﾌﾞﾝ</t>
    </rPh>
    <phoneticPr fontId="29" type="halfwidthKatakana"/>
  </si>
  <si>
    <r>
      <rPr>
        <b/>
        <sz val="10"/>
        <color theme="1"/>
        <rFont val="ＭＳ Ｐゴシック"/>
        <family val="3"/>
        <charset val="128"/>
      </rPr>
      <t>諸元</t>
    </r>
    <rPh sb="0" eb="2">
      <t>ショゲン</t>
    </rPh>
    <phoneticPr fontId="2"/>
  </si>
  <si>
    <r>
      <rPr>
        <sz val="10"/>
        <color theme="1"/>
        <rFont val="ＭＳ Ｐゴシック"/>
        <family val="3"/>
        <charset val="128"/>
      </rPr>
      <t>燃焼度（ウラン）</t>
    </r>
    <rPh sb="0" eb="3">
      <t>ネンショウド</t>
    </rPh>
    <phoneticPr fontId="2"/>
  </si>
  <si>
    <r>
      <rPr>
        <sz val="10"/>
        <color theme="1"/>
        <rFont val="ＭＳ Ｐゴシック"/>
        <family val="3"/>
        <charset val="128"/>
      </rPr>
      <t>（</t>
    </r>
    <r>
      <rPr>
        <sz val="10"/>
        <color theme="1"/>
        <rFont val="Arial"/>
        <family val="2"/>
      </rPr>
      <t>MWd/t</t>
    </r>
    <r>
      <rPr>
        <sz val="10"/>
        <color theme="1"/>
        <rFont val="ＭＳ Ｐゴシック"/>
        <family val="3"/>
        <charset val="128"/>
      </rPr>
      <t>）</t>
    </r>
    <phoneticPr fontId="2"/>
  </si>
  <si>
    <r>
      <rPr>
        <sz val="10"/>
        <color theme="1"/>
        <rFont val="ＭＳ Ｐゴシック"/>
        <family val="3"/>
        <charset val="128"/>
      </rPr>
      <t>燃焼度（</t>
    </r>
    <r>
      <rPr>
        <sz val="10"/>
        <color theme="1"/>
        <rFont val="Arial"/>
        <family val="2"/>
      </rPr>
      <t>MOX</t>
    </r>
    <r>
      <rPr>
        <sz val="10"/>
        <color theme="1"/>
        <rFont val="ＭＳ Ｐゴシック"/>
        <family val="3"/>
        <charset val="128"/>
      </rPr>
      <t>）</t>
    </r>
    <rPh sb="0" eb="3">
      <t>ネンショウド</t>
    </rPh>
    <phoneticPr fontId="2"/>
  </si>
  <si>
    <r>
      <rPr>
        <sz val="10"/>
        <color theme="1"/>
        <rFont val="ＭＳ Ｐゴシック"/>
        <family val="3"/>
        <charset val="128"/>
      </rPr>
      <t>熱効率</t>
    </r>
    <rPh sb="0" eb="3">
      <t>ネツコウリツ</t>
    </rPh>
    <phoneticPr fontId="2"/>
  </si>
  <si>
    <r>
      <rPr>
        <sz val="10"/>
        <color theme="1"/>
        <rFont val="ＭＳ Ｐゴシック"/>
        <family val="3"/>
        <charset val="128"/>
      </rPr>
      <t>所内率</t>
    </r>
    <rPh sb="0" eb="2">
      <t>ショナイ</t>
    </rPh>
    <rPh sb="2" eb="3">
      <t>リツ</t>
    </rPh>
    <phoneticPr fontId="2"/>
  </si>
  <si>
    <r>
      <rPr>
        <sz val="10"/>
        <color theme="1"/>
        <rFont val="ＭＳ Ｐゴシック"/>
        <family val="3"/>
        <charset val="128"/>
      </rPr>
      <t>次世代燃料生成率</t>
    </r>
    <rPh sb="0" eb="3">
      <t>ジセダイ</t>
    </rPh>
    <rPh sb="3" eb="5">
      <t>ネンリョウ</t>
    </rPh>
    <rPh sb="5" eb="7">
      <t>セイセイ</t>
    </rPh>
    <rPh sb="7" eb="8">
      <t>リツ</t>
    </rPh>
    <phoneticPr fontId="2"/>
  </si>
  <si>
    <r>
      <rPr>
        <b/>
        <sz val="10"/>
        <color theme="1"/>
        <rFont val="ＭＳ Ｐゴシック"/>
        <family val="3"/>
        <charset val="128"/>
      </rPr>
      <t>コスト</t>
    </r>
    <phoneticPr fontId="2"/>
  </si>
  <si>
    <r>
      <rPr>
        <sz val="10"/>
        <color theme="1"/>
        <rFont val="ＭＳ Ｐゴシック"/>
        <family val="3"/>
        <charset val="128"/>
      </rPr>
      <t>ウラン燃料</t>
    </r>
    <rPh sb="3" eb="5">
      <t>ネンリョウ</t>
    </rPh>
    <phoneticPr fontId="2"/>
  </si>
  <si>
    <r>
      <rPr>
        <sz val="10"/>
        <color theme="1"/>
        <rFont val="ＭＳ Ｐゴシック"/>
        <family val="3"/>
        <charset val="128"/>
      </rPr>
      <t>（円</t>
    </r>
    <r>
      <rPr>
        <sz val="10"/>
        <color theme="1"/>
        <rFont val="Arial"/>
        <family val="2"/>
      </rPr>
      <t>/kWh</t>
    </r>
    <r>
      <rPr>
        <sz val="10"/>
        <color theme="1"/>
        <rFont val="ＭＳ Ｐゴシック"/>
        <family val="3"/>
        <charset val="128"/>
      </rPr>
      <t>）</t>
    </r>
    <phoneticPr fontId="2"/>
  </si>
  <si>
    <r>
      <t>MOX</t>
    </r>
    <r>
      <rPr>
        <sz val="10"/>
        <color theme="1"/>
        <rFont val="ＭＳ Ｐゴシック"/>
        <family val="3"/>
        <charset val="128"/>
      </rPr>
      <t>燃料</t>
    </r>
    <rPh sb="3" eb="5">
      <t>ネンリョウ</t>
    </rPh>
    <phoneticPr fontId="2"/>
  </si>
  <si>
    <r>
      <rPr>
        <sz val="10"/>
        <color theme="1"/>
        <rFont val="ＭＳ Ｐゴシック"/>
        <family val="3"/>
        <charset val="128"/>
      </rPr>
      <t>再処理等</t>
    </r>
    <rPh sb="0" eb="3">
      <t>サイショリ</t>
    </rPh>
    <rPh sb="3" eb="4">
      <t>トウ</t>
    </rPh>
    <phoneticPr fontId="2"/>
  </si>
  <si>
    <r>
      <rPr>
        <sz val="10"/>
        <color theme="1"/>
        <rFont val="ＭＳ Ｐゴシック"/>
        <family val="3"/>
        <charset val="128"/>
      </rPr>
      <t>中間貯蔵等</t>
    </r>
    <rPh sb="0" eb="2">
      <t>チュウカン</t>
    </rPh>
    <rPh sb="2" eb="4">
      <t>チョゾウ</t>
    </rPh>
    <rPh sb="4" eb="5">
      <t>トウ</t>
    </rPh>
    <phoneticPr fontId="2"/>
  </si>
  <si>
    <r>
      <rPr>
        <sz val="10"/>
        <color theme="1"/>
        <rFont val="ＭＳ Ｐゴシック"/>
        <family val="3"/>
        <charset val="128"/>
      </rPr>
      <t>高レベル廃棄物処分</t>
    </r>
    <rPh sb="0" eb="1">
      <t>コウ</t>
    </rPh>
    <rPh sb="4" eb="7">
      <t>ハイキブツ</t>
    </rPh>
    <rPh sb="7" eb="9">
      <t>ショブン</t>
    </rPh>
    <phoneticPr fontId="2"/>
  </si>
  <si>
    <r>
      <rPr>
        <b/>
        <sz val="10"/>
        <color theme="1"/>
        <rFont val="ＭＳ Ｐゴシック"/>
        <family val="3"/>
        <charset val="128"/>
      </rPr>
      <t>合計</t>
    </r>
    <rPh sb="0" eb="2">
      <t>ゴウケイ</t>
    </rPh>
    <phoneticPr fontId="2"/>
  </si>
  <si>
    <r>
      <rPr>
        <sz val="10"/>
        <color theme="1"/>
        <rFont val="ＭＳ Ｐゴシック"/>
        <family val="3"/>
        <charset val="128"/>
      </rPr>
      <t>現在価値合計</t>
    </r>
    <rPh sb="0" eb="2">
      <t>ゲンザイ</t>
    </rPh>
    <rPh sb="2" eb="4">
      <t>カチ</t>
    </rPh>
    <rPh sb="4" eb="6">
      <t>ゴウケイ</t>
    </rPh>
    <phoneticPr fontId="2"/>
  </si>
  <si>
    <r>
      <t>2020</t>
    </r>
    <r>
      <rPr>
        <sz val="11"/>
        <color theme="1"/>
        <rFont val="ＭＳ Ｐゴシック"/>
        <family val="3"/>
        <charset val="128"/>
      </rPr>
      <t>年</t>
    </r>
    <rPh sb="4" eb="5">
      <t>ネン</t>
    </rPh>
    <phoneticPr fontId="2"/>
  </si>
  <si>
    <r>
      <t>2030</t>
    </r>
    <r>
      <rPr>
        <sz val="11"/>
        <color theme="1"/>
        <rFont val="ＭＳ Ｐゴシック"/>
        <family val="3"/>
        <charset val="128"/>
      </rPr>
      <t>年</t>
    </r>
    <rPh sb="4" eb="5">
      <t>ネン</t>
    </rPh>
    <phoneticPr fontId="2"/>
  </si>
  <si>
    <r>
      <rPr>
        <sz val="11"/>
        <color theme="1"/>
        <rFont val="ＭＳ Ｐゴシック"/>
        <family val="3"/>
        <charset val="128"/>
      </rPr>
      <t>収斂なし</t>
    </r>
    <rPh sb="0" eb="2">
      <t>シュウレン</t>
    </rPh>
    <phoneticPr fontId="20"/>
  </si>
  <si>
    <r>
      <rPr>
        <sz val="11"/>
        <rFont val="ＭＳ Ｐゴシック"/>
        <family val="3"/>
        <charset val="128"/>
      </rPr>
      <t>石油コジェネ</t>
    </r>
    <r>
      <rPr>
        <sz val="11"/>
        <rFont val="Arial"/>
        <family val="2"/>
      </rPr>
      <t>_CIF</t>
    </r>
    <r>
      <rPr>
        <sz val="11"/>
        <rFont val="ＭＳ Ｐゴシック"/>
        <family val="3"/>
        <charset val="128"/>
      </rPr>
      <t>価格</t>
    </r>
    <rPh sb="0" eb="2">
      <t>セキユ</t>
    </rPh>
    <rPh sb="10" eb="12">
      <t>カカク</t>
    </rPh>
    <phoneticPr fontId="2"/>
  </si>
  <si>
    <r>
      <rPr>
        <sz val="11"/>
        <rFont val="ＭＳ Ｐゴシック"/>
        <family val="3"/>
        <charset val="128"/>
      </rPr>
      <t>燃料電池</t>
    </r>
    <r>
      <rPr>
        <sz val="11"/>
        <rFont val="Arial"/>
        <family val="2"/>
      </rPr>
      <t>_CIF</t>
    </r>
    <r>
      <rPr>
        <sz val="11"/>
        <rFont val="ＭＳ Ｐゴシック"/>
        <family val="3"/>
        <charset val="128"/>
      </rPr>
      <t>価格</t>
    </r>
    <rPh sb="0" eb="2">
      <t>ネンリョウ</t>
    </rPh>
    <rPh sb="2" eb="4">
      <t>デンチ</t>
    </rPh>
    <rPh sb="8" eb="10">
      <t>カカク</t>
    </rPh>
    <phoneticPr fontId="13"/>
  </si>
  <si>
    <r>
      <rPr>
        <sz val="11"/>
        <rFont val="ＭＳ Ｐゴシック"/>
        <family val="3"/>
        <charset val="128"/>
      </rPr>
      <t>酸素吹</t>
    </r>
    <r>
      <rPr>
        <sz val="11"/>
        <rFont val="Arial"/>
        <family val="2"/>
      </rPr>
      <t>IGCC</t>
    </r>
    <rPh sb="0" eb="2">
      <t>サンソ</t>
    </rPh>
    <rPh sb="2" eb="3">
      <t>ブ</t>
    </rPh>
    <phoneticPr fontId="2"/>
  </si>
  <si>
    <r>
      <t>CO2</t>
    </r>
    <r>
      <rPr>
        <sz val="11"/>
        <rFont val="ＭＳ Ｐゴシック"/>
        <family val="3"/>
        <charset val="128"/>
      </rPr>
      <t>分離回収型</t>
    </r>
    <r>
      <rPr>
        <sz val="11"/>
        <rFont val="Arial"/>
        <family val="2"/>
      </rPr>
      <t>IGCC</t>
    </r>
    <rPh sb="3" eb="5">
      <t>ブンリ</t>
    </rPh>
    <rPh sb="5" eb="8">
      <t>カイシュウガタ</t>
    </rPh>
    <phoneticPr fontId="2"/>
  </si>
  <si>
    <r>
      <rPr>
        <sz val="11"/>
        <rFont val="ＭＳ Ｐゴシック"/>
        <family val="3"/>
        <charset val="128"/>
      </rPr>
      <t>アンモニア混焼
燃料費</t>
    </r>
    <r>
      <rPr>
        <sz val="11"/>
        <rFont val="Arial"/>
        <family val="2"/>
      </rPr>
      <t>(LNG)</t>
    </r>
    <phoneticPr fontId="13"/>
  </si>
  <si>
    <r>
      <rPr>
        <sz val="11"/>
        <rFont val="ＭＳ Ｐゴシック"/>
        <family val="3"/>
        <charset val="128"/>
      </rPr>
      <t>シナリオ</t>
    </r>
    <phoneticPr fontId="13"/>
  </si>
  <si>
    <r>
      <rPr>
        <sz val="11"/>
        <rFont val="ＭＳ Ｐゴシック"/>
        <family val="3"/>
        <charset val="128"/>
      </rPr>
      <t>オフセット</t>
    </r>
    <phoneticPr fontId="13"/>
  </si>
  <si>
    <r>
      <t>WEO2020</t>
    </r>
    <r>
      <rPr>
        <sz val="11"/>
        <rFont val="ＭＳ Ｐゴシック"/>
        <family val="3"/>
        <charset val="128"/>
      </rPr>
      <t>　</t>
    </r>
    <r>
      <rPr>
        <sz val="11"/>
        <rFont val="Arial"/>
        <family val="2"/>
      </rPr>
      <t>STEPS</t>
    </r>
    <phoneticPr fontId="13"/>
  </si>
  <si>
    <r>
      <t>WEO2020</t>
    </r>
    <r>
      <rPr>
        <sz val="11"/>
        <rFont val="ＭＳ Ｐゴシック"/>
        <family val="3"/>
        <charset val="128"/>
      </rPr>
      <t>　</t>
    </r>
    <r>
      <rPr>
        <sz val="11"/>
        <rFont val="Arial"/>
        <family val="2"/>
      </rPr>
      <t>SDS</t>
    </r>
    <phoneticPr fontId="13"/>
  </si>
  <si>
    <r>
      <rPr>
        <sz val="11"/>
        <rFont val="ＭＳ Ｐゴシック"/>
        <family val="3"/>
        <charset val="128"/>
      </rPr>
      <t>バイオマス（木質）燃料価格</t>
    </r>
    <rPh sb="6" eb="8">
      <t>モクシツ</t>
    </rPh>
    <rPh sb="9" eb="11">
      <t>ネンリョウ</t>
    </rPh>
    <rPh sb="11" eb="13">
      <t>カカク</t>
    </rPh>
    <phoneticPr fontId="13"/>
  </si>
  <si>
    <r>
      <rPr>
        <sz val="11"/>
        <rFont val="ＭＳ Ｐゴシック"/>
        <family val="3"/>
        <charset val="128"/>
      </rPr>
      <t>都市ガス初年度価格（円</t>
    </r>
    <r>
      <rPr>
        <sz val="11"/>
        <rFont val="Arial"/>
        <family val="2"/>
      </rPr>
      <t>/m</t>
    </r>
    <r>
      <rPr>
        <vertAlign val="superscript"/>
        <sz val="11"/>
        <rFont val="Arial"/>
        <family val="2"/>
      </rPr>
      <t>3</t>
    </r>
    <r>
      <rPr>
        <sz val="11"/>
        <rFont val="ＭＳ Ｐゴシック"/>
        <family val="3"/>
        <charset val="128"/>
      </rPr>
      <t>）</t>
    </r>
    <rPh sb="0" eb="2">
      <t>トシ</t>
    </rPh>
    <rPh sb="4" eb="7">
      <t>ショネンド</t>
    </rPh>
    <rPh sb="7" eb="9">
      <t>カカク</t>
    </rPh>
    <rPh sb="10" eb="11">
      <t>エン</t>
    </rPh>
    <phoneticPr fontId="13"/>
  </si>
  <si>
    <r>
      <rPr>
        <sz val="11"/>
        <rFont val="ＭＳ Ｐゴシック"/>
        <family val="3"/>
        <charset val="128"/>
      </rPr>
      <t>　　ガスコジェネ</t>
    </r>
    <phoneticPr fontId="13"/>
  </si>
  <si>
    <r>
      <rPr>
        <sz val="11"/>
        <rFont val="ＭＳ Ｐゴシック"/>
        <family val="3"/>
        <charset val="128"/>
      </rPr>
      <t>スライド感度</t>
    </r>
    <rPh sb="4" eb="6">
      <t>カンド</t>
    </rPh>
    <phoneticPr fontId="13"/>
  </si>
  <si>
    <r>
      <rPr>
        <sz val="11"/>
        <rFont val="ＭＳ Ｐゴシック"/>
        <family val="3"/>
        <charset val="128"/>
      </rPr>
      <t>精製・流通マージン、石油石炭税等（円</t>
    </r>
    <r>
      <rPr>
        <sz val="11"/>
        <rFont val="Arial"/>
        <family val="2"/>
      </rPr>
      <t>/l</t>
    </r>
    <r>
      <rPr>
        <sz val="11"/>
        <rFont val="ＭＳ Ｐゴシック"/>
        <family val="3"/>
        <charset val="128"/>
      </rPr>
      <t>）</t>
    </r>
    <rPh sb="0" eb="2">
      <t>セイセイ</t>
    </rPh>
    <rPh sb="3" eb="5">
      <t>リュウツウ</t>
    </rPh>
    <rPh sb="10" eb="12">
      <t>セキユ</t>
    </rPh>
    <rPh sb="12" eb="14">
      <t>セキタン</t>
    </rPh>
    <rPh sb="14" eb="15">
      <t>ゼイ</t>
    </rPh>
    <rPh sb="15" eb="16">
      <t>ナド</t>
    </rPh>
    <rPh sb="17" eb="18">
      <t>エン</t>
    </rPh>
    <phoneticPr fontId="13"/>
  </si>
  <si>
    <r>
      <t>2020</t>
    </r>
    <r>
      <rPr>
        <sz val="11"/>
        <rFont val="ＭＳ Ｐゴシック"/>
        <family val="3"/>
        <charset val="128"/>
      </rPr>
      <t>年の燃料価格増減（感度解析用）</t>
    </r>
    <rPh sb="4" eb="5">
      <t>ネン</t>
    </rPh>
    <rPh sb="10" eb="12">
      <t>ゾウゲン</t>
    </rPh>
    <phoneticPr fontId="13"/>
  </si>
  <si>
    <r>
      <rPr>
        <sz val="11"/>
        <rFont val="ＭＳ Ｐゴシック"/>
        <family val="3"/>
        <charset val="128"/>
      </rPr>
      <t>水素価格（ドル</t>
    </r>
    <r>
      <rPr>
        <sz val="11"/>
        <rFont val="Arial"/>
        <family val="2"/>
      </rPr>
      <t>/t</t>
    </r>
    <r>
      <rPr>
        <sz val="11"/>
        <rFont val="ＭＳ Ｐゴシック"/>
        <family val="3"/>
        <charset val="128"/>
      </rPr>
      <t>）（グリーン</t>
    </r>
    <r>
      <rPr>
        <sz val="11"/>
        <rFont val="Arial"/>
        <family val="2"/>
      </rPr>
      <t>)</t>
    </r>
    <phoneticPr fontId="13"/>
  </si>
  <si>
    <r>
      <rPr>
        <sz val="11"/>
        <rFont val="ＭＳ Ｐゴシック"/>
        <family val="3"/>
        <charset val="128"/>
      </rPr>
      <t>水素混焼比率</t>
    </r>
    <rPh sb="0" eb="2">
      <t>スイソ</t>
    </rPh>
    <rPh sb="2" eb="3">
      <t>マ</t>
    </rPh>
    <rPh sb="3" eb="4">
      <t>ヤ</t>
    </rPh>
    <rPh sb="4" eb="6">
      <t>ヒリツ</t>
    </rPh>
    <phoneticPr fontId="13"/>
  </si>
  <si>
    <t>WEO2020　STEPS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</si>
</sst>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176" formatCode="#,##0.0;[Red]\-#,##0.0"/>
    <numFmt numFmtId="177" formatCode="0.0"/>
    <numFmt numFmtId="178" formatCode="#,##0.0"/>
    <numFmt numFmtId="179" formatCode="#,##0.00000;[Red]\-#,##0.00000"/>
    <numFmt numFmtId="180" formatCode="#,##0.0000;[Red]\-#,##0.0000"/>
    <numFmt numFmtId="181" formatCode="#,##0.000;[Red]\-#,##0.000"/>
    <numFmt numFmtId="182" formatCode="#,##0.0_ ;[Red]\-#,##0.0\ "/>
    <numFmt numFmtId="183" formatCode="0.000"/>
    <numFmt numFmtId="184" formatCode="#,##0.000_ ;[Red]\-#,##0.000\ "/>
    <numFmt numFmtId="185" formatCode="#,##0.000"/>
    <numFmt numFmtId="186" formatCode="#,##0.0000"/>
    <numFmt numFmtId="187" formatCode="0.00000_ "/>
    <numFmt numFmtId="188" formatCode="#,##0_);[Red]\(#,##0\)"/>
    <numFmt numFmtId="189" formatCode="#,##0_ "/>
    <numFmt numFmtId="190" formatCode="0.000_ "/>
    <numFmt numFmtId="191" formatCode="#,##0.00_ "/>
    <numFmt numFmtId="192" formatCode="0.0%"/>
    <numFmt numFmtId="193" formatCode="#,##0.000_);[Red]\(#,##0.000\)"/>
    <numFmt numFmtId="194" formatCode="#,##0.00_);[Red]\(#,##0.00\)"/>
    <numFmt numFmtId="195" formatCode="#,##0_ ;[Red]\-#,##0\ "/>
    <numFmt numFmtId="196" formatCode="#,##0.0_);[Red]\(#,##0.0\)"/>
    <numFmt numFmtId="197" formatCode="0_);[Red]\(0\)"/>
    <numFmt numFmtId="198" formatCode="#,##0.0_ "/>
    <numFmt numFmtId="199" formatCode="0.E+00"/>
    <numFmt numFmtId="200" formatCode="0.00000000"/>
    <numFmt numFmtId="201" formatCode="0.0000"/>
    <numFmt numFmtId="202" formatCode="0.00_);[Red]\(0.00\)"/>
    <numFmt numFmtId="203" formatCode="0.000_);[Red]\(0.000\)"/>
    <numFmt numFmtId="204" formatCode="#,##0.000_ "/>
  </numFmts>
  <fonts count="73" x14ac:knownFonts="1">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b/>
      <sz val="11"/>
      <color indexed="8"/>
      <name val="Arial"/>
      <family val="2"/>
    </font>
    <font>
      <b/>
      <sz val="11"/>
      <color indexed="8"/>
      <name val="ＭＳ Ｐゴシック"/>
      <family val="3"/>
      <charset val="128"/>
    </font>
    <font>
      <sz val="11"/>
      <color indexed="8"/>
      <name val="Arial"/>
      <family val="2"/>
    </font>
    <font>
      <sz val="11"/>
      <name val="Arial"/>
      <family val="2"/>
    </font>
    <font>
      <sz val="11"/>
      <name val="ＭＳ Ｐゴシック"/>
      <family val="3"/>
      <charset val="128"/>
    </font>
    <font>
      <sz val="10"/>
      <color indexed="8"/>
      <name val="ＭＳ Ｐゴシック"/>
      <family val="3"/>
      <charset val="128"/>
    </font>
    <font>
      <sz val="9"/>
      <color indexed="8"/>
      <name val="Arial"/>
      <family val="2"/>
    </font>
    <font>
      <sz val="9"/>
      <color indexed="8"/>
      <name val="ＭＳ Ｐゴシック"/>
      <family val="3"/>
      <charset val="128"/>
    </font>
    <font>
      <b/>
      <sz val="9"/>
      <color indexed="8"/>
      <name val="ＭＳ Ｐゴシック"/>
      <family val="3"/>
      <charset val="128"/>
    </font>
    <font>
      <sz val="6"/>
      <name val="ＭＳ Ｐゴシック"/>
      <family val="3"/>
      <charset val="128"/>
    </font>
    <font>
      <sz val="6"/>
      <name val="ＭＳ Ｐゴシック"/>
      <family val="3"/>
      <charset val="128"/>
    </font>
    <font>
      <sz val="6"/>
      <name val="ＭＳ 明朝"/>
      <family val="1"/>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9"/>
      <name val="Arial"/>
      <family val="2"/>
    </font>
    <font>
      <sz val="6"/>
      <name val="Arial"/>
      <family val="2"/>
    </font>
    <font>
      <b/>
      <sz val="9"/>
      <name val="Arial"/>
      <family val="2"/>
    </font>
    <font>
      <b/>
      <sz val="18"/>
      <name val="Arial"/>
      <family val="2"/>
    </font>
    <font>
      <b/>
      <sz val="11"/>
      <name val="Arial"/>
      <family val="2"/>
    </font>
    <font>
      <b/>
      <sz val="11"/>
      <name val="ＭＳ Ｐゴシック"/>
      <family val="3"/>
      <charset val="128"/>
    </font>
    <font>
      <sz val="6"/>
      <name val="ＭＳ Ｐゴシック"/>
      <family val="3"/>
      <charset val="128"/>
    </font>
    <font>
      <vertAlign val="superscript"/>
      <sz val="11"/>
      <color indexed="8"/>
      <name val="Arial"/>
      <family val="2"/>
    </font>
    <font>
      <b/>
      <sz val="12"/>
      <color indexed="8"/>
      <name val="ＭＳ Ｐゴシック"/>
      <family val="3"/>
      <charset val="128"/>
    </font>
    <font>
      <b/>
      <sz val="12"/>
      <color indexed="8"/>
      <name val="Arial"/>
      <family val="2"/>
    </font>
    <font>
      <sz val="6"/>
      <name val="ＭＳ ゴシック"/>
      <family val="3"/>
      <charset val="128"/>
    </font>
    <font>
      <sz val="11"/>
      <color theme="1"/>
      <name val="ＭＳ Ｐゴシック"/>
      <family val="3"/>
      <charset val="128"/>
      <scheme val="minor"/>
    </font>
    <font>
      <sz val="12"/>
      <color theme="1"/>
      <name val="ＭＳ Ｐゴシック"/>
      <family val="3"/>
      <charset val="128"/>
      <scheme val="minor"/>
    </font>
    <font>
      <b/>
      <sz val="11"/>
      <color theme="1"/>
      <name val="Arial"/>
      <family val="2"/>
    </font>
    <font>
      <sz val="11"/>
      <color theme="1"/>
      <name val="Arial"/>
      <family val="2"/>
    </font>
    <font>
      <b/>
      <i/>
      <u/>
      <sz val="14"/>
      <color theme="1"/>
      <name val="Arial"/>
      <family val="2"/>
    </font>
    <font>
      <sz val="10"/>
      <color theme="1"/>
      <name val="Arial"/>
      <family val="2"/>
    </font>
    <font>
      <b/>
      <sz val="11"/>
      <color rgb="FF000000"/>
      <name val="Arial"/>
      <family val="2"/>
    </font>
    <font>
      <sz val="9"/>
      <color theme="1"/>
      <name val="Arial"/>
      <family val="2"/>
    </font>
    <font>
      <sz val="11"/>
      <color rgb="FF000000"/>
      <name val="Arial"/>
      <family val="2"/>
    </font>
    <font>
      <sz val="11"/>
      <color theme="1"/>
      <name val="ＭＳ Ｐゴシック"/>
      <family val="3"/>
      <charset val="128"/>
    </font>
    <font>
      <sz val="9"/>
      <color theme="1"/>
      <name val="ＭＳ Ｐゴシック"/>
      <family val="3"/>
      <charset val="128"/>
    </font>
    <font>
      <b/>
      <sz val="9"/>
      <color rgb="FF000000"/>
      <name val="ＭＳ Ｐゴシック"/>
      <family val="3"/>
      <charset val="128"/>
    </font>
    <font>
      <sz val="9"/>
      <color rgb="FFFF0000"/>
      <name val="Arial"/>
      <family val="2"/>
    </font>
    <font>
      <sz val="9"/>
      <color rgb="FFFF0000"/>
      <name val="ＭＳ Ｐゴシック"/>
      <family val="3"/>
      <charset val="128"/>
    </font>
    <font>
      <sz val="11"/>
      <color rgb="FFFF0000"/>
      <name val="Arial"/>
      <family val="2"/>
    </font>
    <font>
      <b/>
      <sz val="9"/>
      <color rgb="FF000000"/>
      <name val="Arial"/>
      <family val="2"/>
    </font>
    <font>
      <sz val="9"/>
      <color rgb="FF000000"/>
      <name val="Arial"/>
      <family val="2"/>
    </font>
    <font>
      <b/>
      <sz val="10"/>
      <color theme="1"/>
      <name val="ＭＳ Ｐゴシック"/>
      <family val="3"/>
      <charset val="128"/>
    </font>
    <font>
      <b/>
      <sz val="10"/>
      <color indexed="8"/>
      <name val="ＭＳ Ｐゴシック"/>
      <family val="3"/>
      <charset val="128"/>
      <scheme val="major"/>
    </font>
    <font>
      <b/>
      <sz val="9"/>
      <color theme="1"/>
      <name val="Arial"/>
      <family val="2"/>
    </font>
    <font>
      <b/>
      <sz val="11"/>
      <color rgb="FF000000"/>
      <name val="ＭＳ Ｐゴシック"/>
      <family val="3"/>
      <charset val="128"/>
    </font>
    <font>
      <b/>
      <sz val="11"/>
      <color theme="1"/>
      <name val="ＭＳ Ｐゴシック"/>
      <family val="3"/>
      <charset val="128"/>
    </font>
    <font>
      <b/>
      <sz val="10"/>
      <color theme="1"/>
      <name val="Arial"/>
      <family val="2"/>
    </font>
    <font>
      <b/>
      <sz val="12"/>
      <color theme="1"/>
      <name val="Arial"/>
      <family val="2"/>
    </font>
    <font>
      <b/>
      <sz val="18"/>
      <color theme="1"/>
      <name val="Arial"/>
      <family val="2"/>
    </font>
    <font>
      <sz val="10"/>
      <color rgb="FF000000"/>
      <name val="Arial"/>
      <family val="2"/>
    </font>
    <font>
      <sz val="6"/>
      <name val="ＭＳ Ｐゴシック"/>
      <family val="3"/>
      <charset val="128"/>
      <scheme val="minor"/>
    </font>
    <font>
      <sz val="10"/>
      <color theme="1"/>
      <name val="ＭＳ Ｐゴシック"/>
      <family val="3"/>
      <charset val="128"/>
    </font>
    <font>
      <sz val="8"/>
      <color theme="1"/>
      <name val="ＭＳ Ｐゴシック"/>
      <family val="3"/>
      <charset val="128"/>
    </font>
    <font>
      <sz val="8"/>
      <color theme="1"/>
      <name val="Arial"/>
      <family val="2"/>
    </font>
    <font>
      <b/>
      <sz val="9"/>
      <name val="ＭＳ Ｐゴシック"/>
      <family val="3"/>
      <charset val="128"/>
    </font>
    <font>
      <sz val="9"/>
      <name val="ＭＳ Ｐゴシック"/>
      <family val="3"/>
      <charset val="128"/>
    </font>
    <font>
      <sz val="6"/>
      <color theme="1"/>
      <name val="Arial"/>
      <family val="2"/>
    </font>
    <font>
      <sz val="6"/>
      <color theme="1"/>
      <name val="ＭＳ Ｐゴシック"/>
      <family val="3"/>
      <charset val="128"/>
    </font>
    <font>
      <sz val="11"/>
      <color rgb="FF000000"/>
      <name val="Arial"/>
      <family val="3"/>
    </font>
    <font>
      <vertAlign val="superscript"/>
      <sz val="11"/>
      <name val="Arial"/>
      <family val="2"/>
    </font>
    <font>
      <sz val="10"/>
      <color theme="1"/>
      <name val="Arial"/>
      <family val="3"/>
    </font>
    <font>
      <sz val="10"/>
      <color theme="1"/>
      <name val="ＭＳ Ｐゴシック"/>
      <family val="2"/>
      <charset val="128"/>
    </font>
    <font>
      <b/>
      <i/>
      <u/>
      <sz val="14"/>
      <name val="Arial"/>
      <family val="2"/>
    </font>
    <font>
      <b/>
      <sz val="18"/>
      <name val="ＭＳ Ｐゴシック"/>
      <family val="3"/>
      <charset val="128"/>
    </font>
    <font>
      <b/>
      <sz val="18"/>
      <color theme="1"/>
      <name val="ＭＳ Ｐゴシック"/>
      <family val="3"/>
      <charset val="128"/>
    </font>
    <font>
      <vertAlign val="superscript"/>
      <sz val="11"/>
      <color theme="1"/>
      <name val="Arial"/>
      <family val="2"/>
    </font>
    <font>
      <sz val="11"/>
      <color theme="1"/>
      <name val="Arial"/>
      <family val="3"/>
    </font>
  </fonts>
  <fills count="10">
    <fill>
      <patternFill patternType="none"/>
    </fill>
    <fill>
      <patternFill patternType="gray125"/>
    </fill>
    <fill>
      <patternFill patternType="solid">
        <fgColor rgb="FFF2F2F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rgb="FFFFCCFF"/>
        <bgColor indexed="64"/>
      </patternFill>
    </fill>
    <fill>
      <patternFill patternType="solid">
        <fgColor theme="0" tint="-0.14999847407452621"/>
        <bgColor indexed="64"/>
      </patternFill>
    </fill>
  </fills>
  <borders count="143">
    <border>
      <left/>
      <right/>
      <top/>
      <bottom/>
      <diagonal/>
    </border>
    <border>
      <left/>
      <right/>
      <top/>
      <bottom style="medium">
        <color indexed="64"/>
      </bottom>
      <diagonal/>
    </border>
    <border>
      <left/>
      <right/>
      <top/>
      <bottom style="thin">
        <color indexed="64"/>
      </bottom>
      <diagonal/>
    </border>
    <border>
      <left style="medium">
        <color indexed="64"/>
      </left>
      <right style="thin">
        <color indexed="64"/>
      </right>
      <top style="thin">
        <color indexed="22"/>
      </top>
      <bottom style="thin">
        <color indexed="22"/>
      </bottom>
      <diagonal/>
    </border>
    <border>
      <left style="thin">
        <color indexed="64"/>
      </left>
      <right style="medium">
        <color indexed="64"/>
      </right>
      <top style="thin">
        <color indexed="22"/>
      </top>
      <bottom style="thin">
        <color indexed="22"/>
      </bottom>
      <diagonal/>
    </border>
    <border>
      <left style="medium">
        <color indexed="64"/>
      </left>
      <right style="thin">
        <color indexed="64"/>
      </right>
      <top style="thin">
        <color indexed="22"/>
      </top>
      <bottom style="medium">
        <color indexed="64"/>
      </bottom>
      <diagonal/>
    </border>
    <border>
      <left style="thin">
        <color indexed="64"/>
      </left>
      <right style="medium">
        <color indexed="64"/>
      </right>
      <top style="thin">
        <color indexed="22"/>
      </top>
      <bottom style="medium">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medium">
        <color indexed="64"/>
      </bottom>
      <diagonal/>
    </border>
    <border>
      <left style="medium">
        <color indexed="64"/>
      </left>
      <right style="thin">
        <color indexed="64"/>
      </right>
      <top/>
      <bottom style="thin">
        <color indexed="22"/>
      </bottom>
      <diagonal/>
    </border>
    <border>
      <left style="thin">
        <color indexed="64"/>
      </left>
      <right style="thin">
        <color indexed="64"/>
      </right>
      <top/>
      <bottom style="thin">
        <color indexed="22"/>
      </bottom>
      <diagonal/>
    </border>
    <border>
      <left style="thin">
        <color indexed="64"/>
      </left>
      <right style="medium">
        <color indexed="64"/>
      </right>
      <top/>
      <bottom style="thin">
        <color indexed="22"/>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22"/>
      </bottom>
      <diagonal/>
    </border>
    <border>
      <left style="thin">
        <color indexed="64"/>
      </left>
      <right style="medium">
        <color indexed="64"/>
      </right>
      <top style="thin">
        <color indexed="64"/>
      </top>
      <bottom style="thin">
        <color indexed="22"/>
      </bottom>
      <diagonal/>
    </border>
    <border>
      <left style="medium">
        <color indexed="64"/>
      </left>
      <right style="thin">
        <color indexed="64"/>
      </right>
      <top style="medium">
        <color indexed="64"/>
      </top>
      <bottom style="thin">
        <color indexed="22"/>
      </bottom>
      <diagonal/>
    </border>
    <border>
      <left style="medium">
        <color indexed="64"/>
      </left>
      <right/>
      <top/>
      <bottom/>
      <diagonal/>
    </border>
    <border>
      <left style="thin">
        <color indexed="64"/>
      </left>
      <right style="thin">
        <color indexed="64"/>
      </right>
      <top style="thin">
        <color indexed="22"/>
      </top>
      <bottom style="double">
        <color indexed="64"/>
      </bottom>
      <diagonal/>
    </border>
    <border>
      <left style="thin">
        <color indexed="64"/>
      </left>
      <right style="medium">
        <color indexed="64"/>
      </right>
      <top style="thin">
        <color indexed="22"/>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22"/>
      </top>
      <bottom style="thin">
        <color indexed="64"/>
      </bottom>
      <diagonal/>
    </border>
    <border>
      <left style="thin">
        <color indexed="64"/>
      </left>
      <right style="medium">
        <color indexed="64"/>
      </right>
      <top style="thin">
        <color indexed="22"/>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style="medium">
        <color indexed="64"/>
      </right>
      <top style="thin">
        <color indexed="64"/>
      </top>
      <bottom style="thin">
        <color indexed="22"/>
      </bottom>
      <diagonal/>
    </border>
    <border>
      <left/>
      <right style="medium">
        <color indexed="64"/>
      </right>
      <top style="thin">
        <color indexed="22"/>
      </top>
      <bottom style="thin">
        <color indexed="22"/>
      </bottom>
      <diagonal/>
    </border>
    <border>
      <left/>
      <right style="medium">
        <color indexed="64"/>
      </right>
      <top style="thin">
        <color indexed="22"/>
      </top>
      <bottom style="medium">
        <color indexed="64"/>
      </bottom>
      <diagonal/>
    </border>
    <border>
      <left style="thin">
        <color indexed="64"/>
      </left>
      <right style="thin">
        <color indexed="64"/>
      </right>
      <top style="thin">
        <color indexed="64"/>
      </top>
      <bottom style="thin">
        <color indexed="22"/>
      </bottom>
      <diagonal/>
    </border>
    <border>
      <left style="medium">
        <color indexed="64"/>
      </left>
      <right style="thin">
        <color indexed="64"/>
      </right>
      <top style="thin">
        <color indexed="22"/>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22"/>
      </bottom>
      <diagonal/>
    </border>
    <border>
      <left/>
      <right/>
      <top style="medium">
        <color indexed="64"/>
      </top>
      <bottom style="thin">
        <color indexed="22"/>
      </bottom>
      <diagonal/>
    </border>
    <border>
      <left/>
      <right style="medium">
        <color indexed="64"/>
      </right>
      <top style="medium">
        <color indexed="64"/>
      </top>
      <bottom style="thin">
        <color indexed="22"/>
      </bottom>
      <diagonal/>
    </border>
    <border>
      <left style="medium">
        <color indexed="64"/>
      </left>
      <right style="thin">
        <color indexed="64"/>
      </right>
      <top style="thin">
        <color indexed="22"/>
      </top>
      <bottom/>
      <diagonal/>
    </border>
    <border>
      <left style="thin">
        <color indexed="64"/>
      </left>
      <right style="medium">
        <color indexed="64"/>
      </right>
      <top style="medium">
        <color indexed="64"/>
      </top>
      <bottom style="thin">
        <color indexed="22"/>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right style="thin">
        <color indexed="64"/>
      </right>
      <top/>
      <bottom style="thin">
        <color indexed="22"/>
      </bottom>
      <diagonal/>
    </border>
    <border>
      <left style="thin">
        <color indexed="64"/>
      </left>
      <right style="thin">
        <color indexed="64"/>
      </right>
      <top style="thin">
        <color indexed="22"/>
      </top>
      <bottom/>
      <diagonal/>
    </border>
    <border>
      <left style="medium">
        <color indexed="64"/>
      </left>
      <right style="thin">
        <color indexed="64"/>
      </right>
      <top style="double">
        <color indexed="64"/>
      </top>
      <bottom style="thin">
        <color indexed="22"/>
      </bottom>
      <diagonal/>
    </border>
    <border>
      <left style="thin">
        <color indexed="64"/>
      </left>
      <right style="thin">
        <color indexed="64"/>
      </right>
      <top style="double">
        <color indexed="64"/>
      </top>
      <bottom style="thin">
        <color indexed="22"/>
      </bottom>
      <diagonal/>
    </border>
    <border>
      <left style="thin">
        <color indexed="64"/>
      </left>
      <right/>
      <top/>
      <bottom style="thin">
        <color indexed="64"/>
      </bottom>
      <diagonal/>
    </border>
    <border>
      <left style="thin">
        <color indexed="64"/>
      </left>
      <right/>
      <top style="thin">
        <color indexed="22"/>
      </top>
      <bottom style="thin">
        <color indexed="22"/>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22"/>
      </bottom>
      <diagonal/>
    </border>
    <border>
      <left/>
      <right/>
      <top style="thin">
        <color indexed="22"/>
      </top>
      <bottom style="thin">
        <color indexed="22"/>
      </bottom>
      <diagonal/>
    </border>
    <border>
      <left/>
      <right style="thin">
        <color indexed="64"/>
      </right>
      <top style="thin">
        <color indexed="22"/>
      </top>
      <bottom/>
      <diagonal/>
    </border>
    <border>
      <left style="thin">
        <color indexed="64"/>
      </left>
      <right/>
      <top style="medium">
        <color indexed="64"/>
      </top>
      <bottom style="thin">
        <color indexed="22"/>
      </bottom>
      <diagonal/>
    </border>
    <border>
      <left/>
      <right style="thin">
        <color indexed="64"/>
      </right>
      <top style="medium">
        <color indexed="64"/>
      </top>
      <bottom style="thin">
        <color indexed="22"/>
      </bottom>
      <diagonal/>
    </border>
    <border>
      <left style="thin">
        <color indexed="64"/>
      </left>
      <right/>
      <top/>
      <bottom style="thin">
        <color indexed="22"/>
      </bottom>
      <diagonal/>
    </border>
    <border>
      <left style="medium">
        <color indexed="64"/>
      </left>
      <right style="thin">
        <color indexed="64"/>
      </right>
      <top style="thin">
        <color indexed="22"/>
      </top>
      <bottom style="double">
        <color indexed="64"/>
      </bottom>
      <diagonal/>
    </border>
    <border>
      <left style="thin">
        <color indexed="64"/>
      </left>
      <right style="medium">
        <color indexed="64"/>
      </right>
      <top style="thin">
        <color indexed="22"/>
      </top>
      <bottom style="double">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bottom/>
      <diagonal/>
    </border>
    <border>
      <left style="thin">
        <color indexed="64"/>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medium">
        <color indexed="64"/>
      </right>
      <top style="thin">
        <color theme="4" tint="0.39997558519241921"/>
      </top>
      <bottom style="thin">
        <color theme="4" tint="0.39997558519241921"/>
      </bottom>
      <diagonal/>
    </border>
    <border>
      <left style="thin">
        <color indexed="64"/>
      </left>
      <right/>
      <top style="thin">
        <color theme="4" tint="0.39997558519241921"/>
      </top>
      <bottom style="medium">
        <color indexed="64"/>
      </bottom>
      <diagonal/>
    </border>
    <border>
      <left/>
      <right/>
      <top style="thin">
        <color theme="4" tint="0.39997558519241921"/>
      </top>
      <bottom style="medium">
        <color indexed="64"/>
      </bottom>
      <diagonal/>
    </border>
    <border>
      <left/>
      <right style="medium">
        <color indexed="64"/>
      </right>
      <top style="thin">
        <color theme="4" tint="0.39997558519241921"/>
      </top>
      <bottom style="medium">
        <color indexed="64"/>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medium">
        <color indexed="64"/>
      </top>
      <bottom/>
      <diagonal/>
    </border>
    <border>
      <left style="thin">
        <color indexed="64"/>
      </left>
      <right/>
      <top style="thin">
        <color indexed="22"/>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22"/>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indexed="64"/>
      </right>
      <top style="thin">
        <color indexed="22"/>
      </top>
      <bottom style="thin">
        <color indexed="22"/>
      </bottom>
      <diagonal/>
    </border>
    <border>
      <left style="thin">
        <color indexed="64"/>
      </left>
      <right/>
      <top/>
      <bottom style="medium">
        <color indexed="64"/>
      </bottom>
      <diagonal/>
    </border>
    <border>
      <left style="medium">
        <color indexed="64"/>
      </left>
      <right/>
      <top style="thin">
        <color rgb="FFC0C0C0"/>
      </top>
      <bottom/>
      <diagonal/>
    </border>
    <border>
      <left style="medium">
        <color indexed="64"/>
      </left>
      <right/>
      <top style="thin">
        <color rgb="FFC0C0C0"/>
      </top>
      <bottom style="thin">
        <color rgb="FFC0C0C0"/>
      </bottom>
      <diagonal/>
    </border>
    <border>
      <left/>
      <right style="medium">
        <color indexed="64"/>
      </right>
      <top style="thin">
        <color rgb="FFC0C0C0"/>
      </top>
      <bottom style="thin">
        <color rgb="FFC0C0C0"/>
      </bottom>
      <diagonal/>
    </border>
    <border>
      <left style="medium">
        <color indexed="64"/>
      </left>
      <right style="thin">
        <color indexed="64"/>
      </right>
      <top style="thin">
        <color rgb="FFC0C0C0"/>
      </top>
      <bottom style="thin">
        <color rgb="FFC0C0C0"/>
      </bottom>
      <diagonal/>
    </border>
    <border>
      <left style="thin">
        <color indexed="64"/>
      </left>
      <right style="medium">
        <color indexed="64"/>
      </right>
      <top style="thin">
        <color rgb="FFC0C0C0"/>
      </top>
      <bottom style="thin">
        <color rgb="FFC0C0C0"/>
      </bottom>
      <diagonal/>
    </border>
    <border>
      <left style="thin">
        <color theme="1"/>
      </left>
      <right style="medium">
        <color indexed="64"/>
      </right>
      <top style="thin">
        <color rgb="FFC0C0C0"/>
      </top>
      <bottom style="thin">
        <color rgb="FFC0C0C0"/>
      </bottom>
      <diagonal/>
    </border>
    <border>
      <left style="medium">
        <color indexed="64"/>
      </left>
      <right/>
      <top style="thin">
        <color rgb="FFC0C0C0"/>
      </top>
      <bottom style="medium">
        <color indexed="64"/>
      </bottom>
      <diagonal/>
    </border>
    <border>
      <left style="thin">
        <color theme="1"/>
      </left>
      <right style="medium">
        <color indexed="64"/>
      </right>
      <top style="thin">
        <color rgb="FFC0C0C0"/>
      </top>
      <bottom style="medium">
        <color indexed="64"/>
      </bottom>
      <diagonal/>
    </border>
    <border>
      <left style="thin">
        <color indexed="64"/>
      </left>
      <right style="medium">
        <color indexed="64"/>
      </right>
      <top style="thin">
        <color rgb="FFC0C0C0"/>
      </top>
      <bottom style="medium">
        <color indexed="64"/>
      </bottom>
      <diagonal/>
    </border>
    <border>
      <left style="medium">
        <color indexed="64"/>
      </left>
      <right style="thin">
        <color indexed="64"/>
      </right>
      <top style="medium">
        <color indexed="64"/>
      </top>
      <bottom style="thin">
        <color rgb="FFC0C0C0"/>
      </bottom>
      <diagonal/>
    </border>
    <border>
      <left/>
      <right style="medium">
        <color indexed="64"/>
      </right>
      <top style="medium">
        <color indexed="64"/>
      </top>
      <bottom style="thin">
        <color rgb="FFC0C0C0"/>
      </bottom>
      <diagonal/>
    </border>
    <border>
      <left/>
      <right style="medium">
        <color indexed="64"/>
      </right>
      <top style="thin">
        <color rgb="FFC0C0C0"/>
      </top>
      <bottom style="medium">
        <color indexed="64"/>
      </bottom>
      <diagonal/>
    </border>
    <border>
      <left style="medium">
        <color indexed="64"/>
      </left>
      <right/>
      <top style="medium">
        <color indexed="64"/>
      </top>
      <bottom style="thin">
        <color rgb="FFC0C0C0"/>
      </bottom>
      <diagonal/>
    </border>
    <border>
      <left style="medium">
        <color indexed="64"/>
      </left>
      <right style="thin">
        <color indexed="64"/>
      </right>
      <top style="thin">
        <color rgb="FFC0C0C0"/>
      </top>
      <bottom style="medium">
        <color indexed="64"/>
      </bottom>
      <diagonal/>
    </border>
    <border>
      <left style="thin">
        <color indexed="64"/>
      </left>
      <right style="medium">
        <color indexed="64"/>
      </right>
      <top style="medium">
        <color indexed="64"/>
      </top>
      <bottom style="thin">
        <color rgb="FFC0C0C0"/>
      </bottom>
      <diagonal/>
    </border>
    <border>
      <left style="medium">
        <color indexed="64"/>
      </left>
      <right/>
      <top/>
      <bottom style="thin">
        <color rgb="FFC0C0C0"/>
      </bottom>
      <diagonal/>
    </border>
    <border>
      <left/>
      <right/>
      <top style="medium">
        <color indexed="64"/>
      </top>
      <bottom style="thin">
        <color rgb="FFC0C0C0"/>
      </bottom>
      <diagonal/>
    </border>
    <border>
      <left/>
      <right/>
      <top style="thin">
        <color rgb="FFC0C0C0"/>
      </top>
      <bottom/>
      <diagonal/>
    </border>
    <border>
      <left/>
      <right/>
      <top/>
      <bottom style="thin">
        <color indexed="22"/>
      </bottom>
      <diagonal/>
    </border>
    <border>
      <left/>
      <right style="thick">
        <color indexed="64"/>
      </right>
      <top/>
      <bottom/>
      <diagonal/>
    </border>
    <border>
      <left/>
      <right style="thin">
        <color indexed="64"/>
      </right>
      <top style="thin">
        <color indexed="22"/>
      </top>
      <bottom style="medium">
        <color indexed="64"/>
      </bottom>
      <diagonal/>
    </border>
    <border>
      <left style="thin">
        <color indexed="64"/>
      </left>
      <right/>
      <top style="thin">
        <color indexed="22"/>
      </top>
      <bottom style="medium">
        <color indexed="64"/>
      </bottom>
      <diagonal/>
    </border>
    <border>
      <left style="medium">
        <color indexed="64"/>
      </left>
      <right style="medium">
        <color indexed="64"/>
      </right>
      <top style="thin">
        <color indexed="22"/>
      </top>
      <bottom style="thin">
        <color indexed="22"/>
      </bottom>
      <diagonal/>
    </border>
    <border>
      <left style="medium">
        <color indexed="64"/>
      </left>
      <right style="medium">
        <color indexed="64"/>
      </right>
      <top style="thin">
        <color indexed="22"/>
      </top>
      <bottom style="medium">
        <color indexed="64"/>
      </bottom>
      <diagonal/>
    </border>
    <border>
      <left style="medium">
        <color indexed="64"/>
      </left>
      <right style="medium">
        <color indexed="64"/>
      </right>
      <top style="medium">
        <color indexed="64"/>
      </top>
      <bottom style="thin">
        <color indexed="22"/>
      </bottom>
      <diagonal/>
    </border>
    <border>
      <left style="medium">
        <color indexed="64"/>
      </left>
      <right style="medium">
        <color indexed="64"/>
      </right>
      <top/>
      <bottom style="thin">
        <color indexed="22"/>
      </bottom>
      <diagonal/>
    </border>
    <border>
      <left style="medium">
        <color indexed="64"/>
      </left>
      <right style="thin">
        <color indexed="64"/>
      </right>
      <top style="thin">
        <color indexed="22"/>
      </top>
      <bottom style="thin">
        <color theme="0" tint="-0.14999847407452621"/>
      </bottom>
      <diagonal/>
    </border>
    <border>
      <left style="thin">
        <color indexed="64"/>
      </left>
      <right style="medium">
        <color indexed="64"/>
      </right>
      <top style="thin">
        <color indexed="22"/>
      </top>
      <bottom style="thin">
        <color theme="0" tint="-0.14999847407452621"/>
      </bottom>
      <diagonal/>
    </border>
    <border>
      <left/>
      <right/>
      <top style="thin">
        <color theme="0" tint="-0.24994659260841701"/>
      </top>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s>
  <cellStyleXfs count="12">
    <xf numFmtId="0" fontId="0" fillId="0" borderId="0">
      <alignment vertical="center"/>
    </xf>
    <xf numFmtId="38" fontId="30" fillId="0" borderId="0" applyFont="0" applyFill="0" applyBorder="0" applyAlignment="0" applyProtection="0">
      <alignment vertical="center"/>
    </xf>
    <xf numFmtId="38" fontId="30" fillId="0" borderId="0" applyFont="0" applyFill="0" applyBorder="0" applyAlignment="0" applyProtection="0">
      <alignment vertical="center"/>
    </xf>
    <xf numFmtId="38" fontId="30" fillId="0" borderId="0" applyFont="0" applyFill="0" applyBorder="0" applyAlignment="0" applyProtection="0">
      <alignment vertical="center"/>
    </xf>
    <xf numFmtId="38" fontId="31" fillId="0" borderId="0" applyFont="0" applyFill="0" applyBorder="0" applyAlignment="0" applyProtection="0">
      <alignment vertical="center"/>
    </xf>
    <xf numFmtId="0" fontId="30" fillId="0" borderId="0">
      <alignment vertical="center"/>
    </xf>
    <xf numFmtId="0" fontId="30" fillId="0" borderId="0">
      <alignment vertical="center"/>
    </xf>
    <xf numFmtId="0" fontId="31" fillId="0" borderId="0"/>
    <xf numFmtId="0" fontId="7" fillId="0" borderId="0">
      <alignment vertical="center"/>
    </xf>
    <xf numFmtId="0" fontId="7" fillId="0" borderId="0">
      <alignment vertical="center"/>
    </xf>
    <xf numFmtId="9" fontId="7" fillId="0" borderId="0" applyFont="0" applyFill="0" applyBorder="0" applyAlignment="0" applyProtection="0">
      <alignment vertical="center"/>
    </xf>
    <xf numFmtId="9" fontId="30" fillId="0" borderId="0" applyFont="0" applyFill="0" applyBorder="0" applyAlignment="0" applyProtection="0">
      <alignment vertical="center"/>
    </xf>
  </cellStyleXfs>
  <cellXfs count="802">
    <xf numFmtId="0" fontId="0" fillId="0" borderId="0" xfId="0">
      <alignment vertical="center"/>
    </xf>
    <xf numFmtId="0" fontId="32" fillId="0" borderId="0" xfId="0" applyFont="1">
      <alignment vertical="center"/>
    </xf>
    <xf numFmtId="0" fontId="33" fillId="0" borderId="0" xfId="0" applyFont="1">
      <alignment vertical="center"/>
    </xf>
    <xf numFmtId="0" fontId="33" fillId="0" borderId="1" xfId="0" applyFont="1" applyBorder="1">
      <alignment vertical="center"/>
    </xf>
    <xf numFmtId="0" fontId="33" fillId="0" borderId="2" xfId="0" applyFont="1" applyBorder="1">
      <alignment vertical="center"/>
    </xf>
    <xf numFmtId="0" fontId="32" fillId="0" borderId="1" xfId="0" applyFont="1" applyBorder="1">
      <alignment vertical="center"/>
    </xf>
    <xf numFmtId="0" fontId="34" fillId="0" borderId="0" xfId="0" applyFont="1">
      <alignment vertical="center"/>
    </xf>
    <xf numFmtId="40" fontId="33" fillId="0" borderId="0" xfId="1" applyNumberFormat="1" applyFont="1">
      <alignment vertical="center"/>
    </xf>
    <xf numFmtId="0" fontId="33" fillId="0" borderId="0" xfId="0" applyFont="1" applyBorder="1">
      <alignment vertical="center"/>
    </xf>
    <xf numFmtId="0" fontId="6" fillId="0" borderId="0" xfId="0" applyFont="1">
      <alignment vertical="center"/>
    </xf>
    <xf numFmtId="3" fontId="33" fillId="0" borderId="0" xfId="1" applyNumberFormat="1" applyFont="1">
      <alignment vertical="center"/>
    </xf>
    <xf numFmtId="3" fontId="33" fillId="0" borderId="0" xfId="0" applyNumberFormat="1" applyFont="1">
      <alignment vertical="center"/>
    </xf>
    <xf numFmtId="0" fontId="35" fillId="0" borderId="3" xfId="5" applyFont="1" applyBorder="1" applyAlignment="1">
      <alignment vertical="center" wrapText="1"/>
    </xf>
    <xf numFmtId="179" fontId="35" fillId="0" borderId="4" xfId="2" applyNumberFormat="1" applyFont="1" applyBorder="1" applyAlignment="1">
      <alignment vertical="center" wrapText="1"/>
    </xf>
    <xf numFmtId="0" fontId="35" fillId="0" borderId="5" xfId="5" applyFont="1" applyBorder="1" applyAlignment="1">
      <alignment vertical="center" wrapText="1"/>
    </xf>
    <xf numFmtId="179" fontId="35" fillId="0" borderId="6" xfId="2" applyNumberFormat="1" applyFont="1" applyBorder="1" applyAlignment="1">
      <alignment vertical="center" wrapText="1"/>
    </xf>
    <xf numFmtId="181" fontId="35" fillId="0" borderId="7" xfId="2" applyNumberFormat="1" applyFont="1" applyBorder="1" applyAlignment="1">
      <alignment vertical="center" wrapText="1"/>
    </xf>
    <xf numFmtId="181" fontId="35" fillId="0" borderId="8" xfId="2" applyNumberFormat="1" applyFont="1" applyBorder="1" applyAlignment="1">
      <alignment vertical="center" wrapText="1"/>
    </xf>
    <xf numFmtId="0" fontId="35" fillId="0" borderId="9" xfId="5" applyFont="1" applyBorder="1" applyAlignment="1">
      <alignment vertical="center" wrapText="1"/>
    </xf>
    <xf numFmtId="181" fontId="35" fillId="0" borderId="10" xfId="2" applyNumberFormat="1" applyFont="1" applyBorder="1" applyAlignment="1">
      <alignment vertical="center" wrapText="1"/>
    </xf>
    <xf numFmtId="179" fontId="35" fillId="0" borderId="11" xfId="2" applyNumberFormat="1" applyFont="1" applyBorder="1" applyAlignment="1">
      <alignment vertical="center" wrapText="1"/>
    </xf>
    <xf numFmtId="0" fontId="36" fillId="2" borderId="12" xfId="0" applyFont="1" applyFill="1" applyBorder="1" applyAlignment="1">
      <alignment horizontal="center" vertical="center" wrapText="1"/>
    </xf>
    <xf numFmtId="0" fontId="36" fillId="2" borderId="13" xfId="0" applyFont="1" applyFill="1" applyBorder="1" applyAlignment="1">
      <alignment horizontal="center" vertical="center" wrapText="1"/>
    </xf>
    <xf numFmtId="0" fontId="33" fillId="0" borderId="14" xfId="0" applyFont="1" applyBorder="1">
      <alignment vertical="center"/>
    </xf>
    <xf numFmtId="0" fontId="33" fillId="0" borderId="15" xfId="0" applyFont="1" applyBorder="1">
      <alignment vertical="center"/>
    </xf>
    <xf numFmtId="0" fontId="33" fillId="0" borderId="3" xfId="0" applyFont="1" applyBorder="1">
      <alignment vertical="center"/>
    </xf>
    <xf numFmtId="0" fontId="33" fillId="0" borderId="4" xfId="0" applyFont="1" applyBorder="1">
      <alignment vertical="center"/>
    </xf>
    <xf numFmtId="0" fontId="33" fillId="0" borderId="6" xfId="0" applyFont="1" applyBorder="1">
      <alignment vertical="center"/>
    </xf>
    <xf numFmtId="40" fontId="33" fillId="0" borderId="2" xfId="1" applyNumberFormat="1" applyFont="1" applyBorder="1">
      <alignment vertical="center"/>
    </xf>
    <xf numFmtId="181" fontId="33" fillId="0" borderId="0" xfId="1" applyNumberFormat="1" applyFont="1">
      <alignment vertical="center"/>
    </xf>
    <xf numFmtId="0" fontId="33" fillId="0" borderId="0" xfId="6" applyFont="1">
      <alignment vertical="center"/>
    </xf>
    <xf numFmtId="0" fontId="33" fillId="0" borderId="9" xfId="6" applyFont="1" applyBorder="1">
      <alignment vertical="center"/>
    </xf>
    <xf numFmtId="0" fontId="33" fillId="0" borderId="3" xfId="6" applyFont="1" applyBorder="1">
      <alignment vertical="center"/>
    </xf>
    <xf numFmtId="0" fontId="33" fillId="0" borderId="5" xfId="6" applyFont="1" applyBorder="1">
      <alignment vertical="center"/>
    </xf>
    <xf numFmtId="0" fontId="33" fillId="0" borderId="15" xfId="6" applyFont="1" applyBorder="1">
      <alignment vertical="center"/>
    </xf>
    <xf numFmtId="0" fontId="33" fillId="0" borderId="4" xfId="6" applyFont="1" applyBorder="1">
      <alignment vertical="center"/>
    </xf>
    <xf numFmtId="0" fontId="33" fillId="0" borderId="6" xfId="6" applyFont="1" applyBorder="1">
      <alignment vertical="center"/>
    </xf>
    <xf numFmtId="0" fontId="33" fillId="0" borderId="7" xfId="0" applyFont="1" applyBorder="1">
      <alignment vertical="center"/>
    </xf>
    <xf numFmtId="0" fontId="33" fillId="3" borderId="0" xfId="0" applyFont="1" applyFill="1" applyAlignment="1">
      <alignment horizontal="center" vertical="center"/>
    </xf>
    <xf numFmtId="0" fontId="33" fillId="3" borderId="0" xfId="0" applyFont="1" applyFill="1">
      <alignment vertical="center"/>
    </xf>
    <xf numFmtId="40" fontId="33" fillId="3" borderId="0" xfId="1" applyNumberFormat="1" applyFont="1" applyFill="1">
      <alignment vertical="center"/>
    </xf>
    <xf numFmtId="181" fontId="33" fillId="3" borderId="0" xfId="1" applyNumberFormat="1" applyFont="1" applyFill="1">
      <alignment vertical="center"/>
    </xf>
    <xf numFmtId="3" fontId="33" fillId="3" borderId="0" xfId="0" applyNumberFormat="1" applyFont="1" applyFill="1">
      <alignment vertical="center"/>
    </xf>
    <xf numFmtId="0" fontId="37" fillId="0" borderId="0" xfId="0" applyFont="1">
      <alignment vertical="center"/>
    </xf>
    <xf numFmtId="3" fontId="6" fillId="0" borderId="87" xfId="0" applyNumberFormat="1" applyFont="1" applyFill="1" applyBorder="1">
      <alignment vertical="center"/>
    </xf>
    <xf numFmtId="0" fontId="37" fillId="4" borderId="3" xfId="0" applyFont="1" applyFill="1" applyBorder="1" applyAlignment="1">
      <alignment vertical="center"/>
    </xf>
    <xf numFmtId="0" fontId="37" fillId="4" borderId="3" xfId="0" applyFont="1" applyFill="1" applyBorder="1" applyAlignment="1">
      <alignment vertical="center" wrapText="1"/>
    </xf>
    <xf numFmtId="0" fontId="37" fillId="4" borderId="16" xfId="0" applyFont="1" applyFill="1" applyBorder="1" applyAlignment="1">
      <alignment vertical="center" wrapText="1"/>
    </xf>
    <xf numFmtId="0" fontId="1" fillId="0" borderId="0" xfId="0" applyFont="1">
      <alignment vertical="center"/>
    </xf>
    <xf numFmtId="0" fontId="33" fillId="0" borderId="88" xfId="0" applyFont="1" applyBorder="1">
      <alignment vertical="center"/>
    </xf>
    <xf numFmtId="0" fontId="5" fillId="0" borderId="0" xfId="0" applyFont="1">
      <alignment vertical="center"/>
    </xf>
    <xf numFmtId="0" fontId="32" fillId="0" borderId="17" xfId="6" applyFont="1" applyBorder="1">
      <alignment vertical="center"/>
    </xf>
    <xf numFmtId="0" fontId="38" fillId="2" borderId="18" xfId="6" applyFont="1" applyFill="1" applyBorder="1" applyAlignment="1">
      <alignment horizontal="center" vertical="center" wrapText="1"/>
    </xf>
    <xf numFmtId="0" fontId="1" fillId="0" borderId="0" xfId="0" applyFont="1" applyBorder="1">
      <alignment vertical="center"/>
    </xf>
    <xf numFmtId="0" fontId="37" fillId="0" borderId="0" xfId="0" applyFont="1" applyAlignment="1">
      <alignment horizontal="right" vertical="center"/>
    </xf>
    <xf numFmtId="0" fontId="33" fillId="0" borderId="0" xfId="0" applyFont="1" applyAlignment="1">
      <alignment horizontal="right" vertical="center"/>
    </xf>
    <xf numFmtId="0" fontId="40" fillId="0" borderId="0" xfId="0" applyFont="1">
      <alignment vertical="center"/>
    </xf>
    <xf numFmtId="0" fontId="42" fillId="0" borderId="0" xfId="0" applyFont="1">
      <alignment vertical="center"/>
    </xf>
    <xf numFmtId="0" fontId="43" fillId="0" borderId="0" xfId="0" applyFont="1">
      <alignment vertical="center"/>
    </xf>
    <xf numFmtId="3" fontId="6" fillId="6" borderId="87" xfId="0" applyNumberFormat="1" applyFont="1" applyFill="1" applyBorder="1">
      <alignment vertical="center"/>
    </xf>
    <xf numFmtId="0" fontId="44" fillId="0" borderId="0" xfId="0" applyFont="1" applyBorder="1">
      <alignment vertical="center"/>
    </xf>
    <xf numFmtId="0" fontId="44" fillId="0" borderId="0" xfId="0" applyFont="1">
      <alignment vertical="center"/>
    </xf>
    <xf numFmtId="0" fontId="37" fillId="0" borderId="0" xfId="0" applyFont="1" applyFill="1">
      <alignment vertical="center"/>
    </xf>
    <xf numFmtId="176" fontId="6" fillId="0" borderId="7" xfId="3" applyNumberFormat="1" applyFont="1" applyFill="1" applyBorder="1">
      <alignment vertical="center"/>
    </xf>
    <xf numFmtId="176" fontId="6" fillId="0" borderId="8" xfId="3" applyNumberFormat="1" applyFont="1" applyFill="1" applyBorder="1">
      <alignment vertical="center"/>
    </xf>
    <xf numFmtId="176" fontId="6" fillId="0" borderId="10" xfId="3" applyNumberFormat="1" applyFont="1" applyFill="1" applyBorder="1">
      <alignment vertical="center"/>
    </xf>
    <xf numFmtId="0" fontId="6" fillId="6" borderId="87" xfId="0" applyFont="1" applyFill="1" applyBorder="1">
      <alignment vertical="center"/>
    </xf>
    <xf numFmtId="176" fontId="6" fillId="6" borderId="87" xfId="1" applyNumberFormat="1" applyFont="1" applyFill="1" applyBorder="1">
      <alignment vertical="center"/>
    </xf>
    <xf numFmtId="177" fontId="6" fillId="6" borderId="87" xfId="0" applyNumberFormat="1" applyFont="1" applyFill="1" applyBorder="1">
      <alignment vertical="center"/>
    </xf>
    <xf numFmtId="0" fontId="19" fillId="0" borderId="0" xfId="0" applyFont="1">
      <alignment vertical="center"/>
    </xf>
    <xf numFmtId="0" fontId="39" fillId="0" borderId="0" xfId="0" applyFont="1" applyFill="1">
      <alignment vertical="center"/>
    </xf>
    <xf numFmtId="0" fontId="33" fillId="0" borderId="0" xfId="0" applyFont="1">
      <alignment vertical="center"/>
    </xf>
    <xf numFmtId="3" fontId="33" fillId="3" borderId="0" xfId="1" applyNumberFormat="1" applyFont="1" applyFill="1">
      <alignment vertical="center"/>
    </xf>
    <xf numFmtId="0" fontId="33" fillId="0" borderId="0" xfId="0" applyFont="1" applyFill="1">
      <alignment vertical="center"/>
    </xf>
    <xf numFmtId="0" fontId="7" fillId="0" borderId="0" xfId="0" applyFont="1" applyFill="1">
      <alignment vertical="center"/>
    </xf>
    <xf numFmtId="0" fontId="33" fillId="0" borderId="8" xfId="0" applyFont="1" applyBorder="1">
      <alignment vertical="center"/>
    </xf>
    <xf numFmtId="0" fontId="19" fillId="6" borderId="25" xfId="0" applyFont="1" applyFill="1" applyBorder="1">
      <alignment vertical="center"/>
    </xf>
    <xf numFmtId="0" fontId="37" fillId="0" borderId="17" xfId="0" applyFont="1" applyBorder="1">
      <alignment vertical="center"/>
    </xf>
    <xf numFmtId="0" fontId="37" fillId="0" borderId="29" xfId="0" applyFont="1" applyBorder="1">
      <alignment vertical="center"/>
    </xf>
    <xf numFmtId="0" fontId="37" fillId="0" borderId="1" xfId="0" applyFont="1" applyBorder="1">
      <alignment vertical="center"/>
    </xf>
    <xf numFmtId="0" fontId="40" fillId="4" borderId="3" xfId="0" applyFont="1" applyFill="1" applyBorder="1" applyAlignment="1">
      <alignment vertical="center"/>
    </xf>
    <xf numFmtId="0" fontId="6" fillId="7" borderId="0" xfId="0" applyFont="1" applyFill="1">
      <alignment vertical="center"/>
    </xf>
    <xf numFmtId="0" fontId="7" fillId="7" borderId="0" xfId="0" applyFont="1" applyFill="1">
      <alignment vertical="center"/>
    </xf>
    <xf numFmtId="0" fontId="6" fillId="0" borderId="0" xfId="0" applyFont="1" applyFill="1">
      <alignment vertical="center"/>
    </xf>
    <xf numFmtId="0" fontId="33" fillId="7" borderId="0" xfId="0" applyFont="1" applyFill="1">
      <alignment vertical="center"/>
    </xf>
    <xf numFmtId="0" fontId="6" fillId="7" borderId="0" xfId="0" applyFont="1" applyFill="1" applyBorder="1">
      <alignment vertical="center"/>
    </xf>
    <xf numFmtId="0" fontId="6" fillId="0" borderId="1" xfId="0" applyFont="1" applyBorder="1">
      <alignment vertical="center"/>
    </xf>
    <xf numFmtId="0" fontId="22" fillId="0" borderId="87" xfId="0" applyFont="1" applyFill="1" applyBorder="1">
      <alignment vertical="center"/>
    </xf>
    <xf numFmtId="0" fontId="6" fillId="0" borderId="87" xfId="0" applyFont="1" applyFill="1" applyBorder="1">
      <alignment vertical="center"/>
    </xf>
    <xf numFmtId="0" fontId="6" fillId="0" borderId="2" xfId="0" applyFont="1" applyBorder="1">
      <alignment vertical="center"/>
    </xf>
    <xf numFmtId="40" fontId="6" fillId="6" borderId="87" xfId="1" applyNumberFormat="1" applyFont="1" applyFill="1" applyBorder="1">
      <alignment vertical="center"/>
    </xf>
    <xf numFmtId="176" fontId="6" fillId="0" borderId="87" xfId="1" applyNumberFormat="1" applyFont="1" applyFill="1" applyBorder="1">
      <alignment vertical="center"/>
    </xf>
    <xf numFmtId="176" fontId="6" fillId="0" borderId="2" xfId="1" applyNumberFormat="1" applyFont="1" applyBorder="1">
      <alignment vertical="center"/>
    </xf>
    <xf numFmtId="176" fontId="6" fillId="0" borderId="0" xfId="1" applyNumberFormat="1" applyFont="1">
      <alignment vertical="center"/>
    </xf>
    <xf numFmtId="176" fontId="6" fillId="8" borderId="87" xfId="1" applyNumberFormat="1" applyFont="1" applyFill="1" applyBorder="1">
      <alignment vertical="center"/>
    </xf>
    <xf numFmtId="181" fontId="6" fillId="0" borderId="87" xfId="1" applyNumberFormat="1" applyFont="1" applyFill="1" applyBorder="1">
      <alignment vertical="center"/>
    </xf>
    <xf numFmtId="0" fontId="6" fillId="0" borderId="0" xfId="0" applyFont="1" applyFill="1" applyBorder="1">
      <alignment vertical="center"/>
    </xf>
    <xf numFmtId="3" fontId="6" fillId="0" borderId="0" xfId="0" applyNumberFormat="1" applyFont="1" applyFill="1" applyBorder="1">
      <alignment vertical="center"/>
    </xf>
    <xf numFmtId="38" fontId="6" fillId="0" borderId="87" xfId="1" applyFont="1" applyFill="1" applyBorder="1">
      <alignment vertical="center"/>
    </xf>
    <xf numFmtId="178" fontId="6" fillId="7" borderId="87" xfId="0" applyNumberFormat="1" applyFont="1" applyFill="1" applyBorder="1">
      <alignment vertical="center"/>
    </xf>
    <xf numFmtId="0" fontId="33" fillId="7" borderId="2" xfId="0" applyFont="1" applyFill="1" applyBorder="1">
      <alignment vertical="center"/>
    </xf>
    <xf numFmtId="0" fontId="6" fillId="7" borderId="2" xfId="0" applyFont="1" applyFill="1" applyBorder="1">
      <alignment vertical="center"/>
    </xf>
    <xf numFmtId="0" fontId="33" fillId="7" borderId="1" xfId="0" applyFont="1" applyFill="1" applyBorder="1">
      <alignment vertical="center"/>
    </xf>
    <xf numFmtId="0" fontId="32" fillId="7" borderId="0" xfId="0" applyFont="1" applyFill="1">
      <alignment vertical="center"/>
    </xf>
    <xf numFmtId="0" fontId="6" fillId="7" borderId="1" xfId="0" applyFont="1" applyFill="1" applyBorder="1">
      <alignment vertical="center"/>
    </xf>
    <xf numFmtId="176" fontId="6" fillId="7" borderId="87" xfId="1" applyNumberFormat="1" applyFont="1" applyFill="1" applyBorder="1">
      <alignment vertical="center"/>
    </xf>
    <xf numFmtId="1" fontId="6" fillId="6" borderId="87" xfId="0" applyNumberFormat="1" applyFont="1" applyFill="1" applyBorder="1">
      <alignment vertical="center"/>
    </xf>
    <xf numFmtId="186" fontId="6" fillId="6" borderId="87" xfId="0" applyNumberFormat="1" applyFont="1" applyFill="1" applyBorder="1">
      <alignment vertical="center"/>
    </xf>
    <xf numFmtId="3" fontId="6" fillId="6" borderId="87" xfId="1" applyNumberFormat="1" applyFont="1" applyFill="1" applyBorder="1">
      <alignment vertical="center"/>
    </xf>
    <xf numFmtId="4" fontId="6" fillId="6" borderId="87" xfId="0" applyNumberFormat="1" applyFont="1" applyFill="1" applyBorder="1">
      <alignment vertical="center"/>
    </xf>
    <xf numFmtId="183" fontId="6" fillId="6" borderId="87" xfId="0" applyNumberFormat="1" applyFont="1" applyFill="1" applyBorder="1">
      <alignment vertical="center"/>
    </xf>
    <xf numFmtId="0" fontId="6" fillId="0" borderId="0" xfId="0" applyFont="1" applyBorder="1">
      <alignment vertical="center"/>
    </xf>
    <xf numFmtId="0" fontId="6" fillId="7" borderId="0" xfId="0" applyFont="1" applyFill="1" applyAlignment="1">
      <alignment horizontal="right" vertical="center"/>
    </xf>
    <xf numFmtId="0" fontId="7" fillId="7" borderId="2" xfId="0" applyFont="1" applyFill="1" applyBorder="1">
      <alignment vertical="center"/>
    </xf>
    <xf numFmtId="0" fontId="6" fillId="7" borderId="88" xfId="0" applyFont="1" applyFill="1" applyBorder="1">
      <alignment vertical="center"/>
    </xf>
    <xf numFmtId="1" fontId="6" fillId="7" borderId="0" xfId="0" applyNumberFormat="1" applyFont="1" applyFill="1">
      <alignment vertical="center"/>
    </xf>
    <xf numFmtId="0" fontId="23" fillId="7" borderId="0" xfId="0" applyFont="1" applyFill="1">
      <alignment vertical="center"/>
    </xf>
    <xf numFmtId="0" fontId="5" fillId="7" borderId="0" xfId="0" applyFont="1" applyFill="1">
      <alignment vertical="center"/>
    </xf>
    <xf numFmtId="0" fontId="0" fillId="7" borderId="0" xfId="0" applyFill="1">
      <alignment vertical="center"/>
    </xf>
    <xf numFmtId="0" fontId="33" fillId="0" borderId="30" xfId="0" applyFont="1" applyBorder="1">
      <alignment vertical="center"/>
    </xf>
    <xf numFmtId="0" fontId="33" fillId="0" borderId="31" xfId="0" applyFont="1" applyBorder="1">
      <alignment vertical="center"/>
    </xf>
    <xf numFmtId="0" fontId="33" fillId="0" borderId="32" xfId="0" applyFont="1" applyBorder="1">
      <alignment vertical="center"/>
    </xf>
    <xf numFmtId="0" fontId="33" fillId="0" borderId="33" xfId="0" applyFont="1" applyBorder="1">
      <alignment vertical="center"/>
    </xf>
    <xf numFmtId="3" fontId="6" fillId="3" borderId="0" xfId="1" applyNumberFormat="1" applyFont="1" applyFill="1">
      <alignment vertical="center"/>
    </xf>
    <xf numFmtId="0" fontId="47" fillId="0" borderId="0" xfId="0" applyFont="1">
      <alignment vertical="center"/>
    </xf>
    <xf numFmtId="0" fontId="48" fillId="0" borderId="0" xfId="0" applyFont="1">
      <alignment vertical="center"/>
    </xf>
    <xf numFmtId="0" fontId="40" fillId="4" borderId="40" xfId="0" applyFont="1" applyFill="1" applyBorder="1" applyAlignment="1">
      <alignment vertical="center"/>
    </xf>
    <xf numFmtId="0" fontId="37" fillId="0" borderId="0" xfId="0" applyFont="1" applyBorder="1">
      <alignment vertical="center"/>
    </xf>
    <xf numFmtId="0" fontId="40" fillId="4" borderId="5" xfId="0" applyFont="1" applyFill="1" applyBorder="1" applyAlignment="1">
      <alignment vertical="center"/>
    </xf>
    <xf numFmtId="38" fontId="6" fillId="6" borderId="87" xfId="1" applyFont="1" applyFill="1" applyBorder="1">
      <alignment vertical="center"/>
    </xf>
    <xf numFmtId="180" fontId="37" fillId="0" borderId="0" xfId="0" applyNumberFormat="1" applyFont="1">
      <alignment vertical="center"/>
    </xf>
    <xf numFmtId="176" fontId="33" fillId="0" borderId="33" xfId="1" applyNumberFormat="1" applyFont="1" applyBorder="1">
      <alignment vertical="center"/>
    </xf>
    <xf numFmtId="176" fontId="33" fillId="0" borderId="30" xfId="1" applyNumberFormat="1" applyFont="1" applyBorder="1">
      <alignment vertical="center"/>
    </xf>
    <xf numFmtId="176" fontId="33" fillId="0" borderId="7" xfId="1" applyNumberFormat="1" applyFont="1" applyBorder="1">
      <alignment vertical="center"/>
    </xf>
    <xf numFmtId="176" fontId="33" fillId="0" borderId="31" xfId="1" applyNumberFormat="1" applyFont="1" applyBorder="1">
      <alignment vertical="center"/>
    </xf>
    <xf numFmtId="176" fontId="33" fillId="0" borderId="8" xfId="1" applyNumberFormat="1" applyFont="1" applyBorder="1">
      <alignment vertical="center"/>
    </xf>
    <xf numFmtId="176" fontId="33" fillId="0" borderId="32" xfId="1" applyNumberFormat="1" applyFont="1" applyBorder="1">
      <alignment vertical="center"/>
    </xf>
    <xf numFmtId="0" fontId="38" fillId="2" borderId="12" xfId="0" applyFont="1" applyFill="1" applyBorder="1" applyAlignment="1">
      <alignment horizontal="center" vertical="center" wrapText="1"/>
    </xf>
    <xf numFmtId="0" fontId="5" fillId="0" borderId="3" xfId="6" applyFont="1" applyBorder="1">
      <alignment vertical="center"/>
    </xf>
    <xf numFmtId="0" fontId="33" fillId="0" borderId="40" xfId="6" applyFont="1" applyBorder="1">
      <alignment vertical="center"/>
    </xf>
    <xf numFmtId="0" fontId="5" fillId="0" borderId="5" xfId="6" applyFont="1" applyBorder="1">
      <alignment vertical="center"/>
    </xf>
    <xf numFmtId="0" fontId="5" fillId="4" borderId="20" xfId="0" applyFont="1" applyFill="1" applyBorder="1">
      <alignment vertical="center"/>
    </xf>
    <xf numFmtId="0" fontId="3" fillId="0" borderId="1" xfId="0" applyFont="1" applyBorder="1">
      <alignment vertical="center"/>
    </xf>
    <xf numFmtId="176" fontId="6" fillId="0" borderId="87" xfId="1" applyNumberFormat="1" applyFont="1" applyFill="1" applyBorder="1" applyAlignment="1">
      <alignment horizontal="right" vertical="center"/>
    </xf>
    <xf numFmtId="176" fontId="6" fillId="0" borderId="0" xfId="1" applyNumberFormat="1" applyFont="1" applyFill="1">
      <alignment vertical="center"/>
    </xf>
    <xf numFmtId="176" fontId="6" fillId="0" borderId="0" xfId="0" applyNumberFormat="1" applyFont="1">
      <alignment vertical="center"/>
    </xf>
    <xf numFmtId="178" fontId="6" fillId="0" borderId="87" xfId="0" applyNumberFormat="1" applyFont="1" applyFill="1" applyBorder="1">
      <alignment vertical="center"/>
    </xf>
    <xf numFmtId="176" fontId="6" fillId="6" borderId="87" xfId="0" applyNumberFormat="1" applyFont="1" applyFill="1" applyBorder="1">
      <alignment vertical="center"/>
    </xf>
    <xf numFmtId="40" fontId="6" fillId="6" borderId="87" xfId="0" applyNumberFormat="1" applyFont="1" applyFill="1" applyBorder="1">
      <alignment vertical="center"/>
    </xf>
    <xf numFmtId="0" fontId="33" fillId="0" borderId="0" xfId="5" applyFont="1">
      <alignment vertical="center"/>
    </xf>
    <xf numFmtId="0" fontId="1" fillId="2" borderId="13" xfId="6" applyFont="1" applyFill="1" applyBorder="1" applyAlignment="1">
      <alignment horizontal="center" vertical="center" wrapText="1"/>
    </xf>
    <xf numFmtId="0" fontId="1" fillId="0" borderId="3" xfId="0" applyFont="1" applyBorder="1">
      <alignment vertical="center"/>
    </xf>
    <xf numFmtId="0" fontId="5" fillId="2" borderId="22" xfId="0" applyFont="1" applyFill="1" applyBorder="1" applyAlignment="1">
      <alignment horizontal="center" vertical="center" wrapText="1"/>
    </xf>
    <xf numFmtId="0" fontId="5" fillId="2" borderId="54" xfId="0" applyFont="1" applyFill="1" applyBorder="1" applyAlignment="1">
      <alignment horizontal="center" vertical="center" wrapText="1"/>
    </xf>
    <xf numFmtId="9" fontId="33" fillId="6" borderId="44" xfId="0" applyNumberFormat="1" applyFont="1" applyFill="1" applyBorder="1">
      <alignment vertical="center"/>
    </xf>
    <xf numFmtId="0" fontId="32" fillId="0" borderId="0" xfId="6" applyFont="1" applyBorder="1">
      <alignment vertical="center"/>
    </xf>
    <xf numFmtId="0" fontId="1" fillId="0" borderId="55" xfId="0" applyFont="1" applyBorder="1" applyAlignment="1">
      <alignment horizontal="center" vertical="center" wrapText="1"/>
    </xf>
    <xf numFmtId="38" fontId="33" fillId="3" borderId="0" xfId="1" applyFont="1" applyFill="1">
      <alignment vertical="center"/>
    </xf>
    <xf numFmtId="38" fontId="33" fillId="0" borderId="0" xfId="1" applyFont="1">
      <alignment vertical="center"/>
    </xf>
    <xf numFmtId="181" fontId="37" fillId="0" borderId="0" xfId="0" applyNumberFormat="1" applyFont="1">
      <alignment vertical="center"/>
    </xf>
    <xf numFmtId="0" fontId="39" fillId="7" borderId="0" xfId="0" applyFont="1" applyFill="1">
      <alignment vertical="center"/>
    </xf>
    <xf numFmtId="0" fontId="35" fillId="0" borderId="0" xfId="0" applyFont="1">
      <alignment vertical="center"/>
    </xf>
    <xf numFmtId="0" fontId="51" fillId="0" borderId="17" xfId="6" applyFont="1" applyBorder="1">
      <alignment vertical="center"/>
    </xf>
    <xf numFmtId="182" fontId="33" fillId="0" borderId="0" xfId="6" applyNumberFormat="1" applyFont="1">
      <alignment vertical="center"/>
    </xf>
    <xf numFmtId="176" fontId="6" fillId="2" borderId="7" xfId="3" applyNumberFormat="1" applyFont="1" applyFill="1" applyBorder="1">
      <alignment vertical="center"/>
    </xf>
    <xf numFmtId="176" fontId="6" fillId="2" borderId="8" xfId="3" applyNumberFormat="1" applyFont="1" applyFill="1" applyBorder="1">
      <alignment vertical="center"/>
    </xf>
    <xf numFmtId="176" fontId="6" fillId="2" borderId="10" xfId="3" applyNumberFormat="1" applyFont="1" applyFill="1" applyBorder="1">
      <alignment vertical="center"/>
    </xf>
    <xf numFmtId="0" fontId="35" fillId="2" borderId="58" xfId="0" applyFont="1" applyFill="1" applyBorder="1">
      <alignment vertical="center"/>
    </xf>
    <xf numFmtId="0" fontId="35" fillId="2" borderId="35" xfId="0" applyFont="1" applyFill="1" applyBorder="1">
      <alignment vertical="center"/>
    </xf>
    <xf numFmtId="0" fontId="35" fillId="2" borderId="60" xfId="0" applyFont="1" applyFill="1" applyBorder="1">
      <alignment vertical="center"/>
    </xf>
    <xf numFmtId="0" fontId="52" fillId="2" borderId="20" xfId="0" applyFont="1" applyFill="1" applyBorder="1" applyAlignment="1">
      <alignment horizontal="center" vertical="center"/>
    </xf>
    <xf numFmtId="0" fontId="51" fillId="0" borderId="0" xfId="6" applyFont="1" applyBorder="1">
      <alignment vertical="center"/>
    </xf>
    <xf numFmtId="0" fontId="39" fillId="2" borderId="58" xfId="0" applyFont="1" applyFill="1" applyBorder="1">
      <alignment vertical="center"/>
    </xf>
    <xf numFmtId="40" fontId="37" fillId="0" borderId="0" xfId="0" applyNumberFormat="1" applyFont="1">
      <alignment vertical="center"/>
    </xf>
    <xf numFmtId="178" fontId="19" fillId="0" borderId="25" xfId="1" applyNumberFormat="1" applyFont="1" applyBorder="1">
      <alignment vertical="center"/>
    </xf>
    <xf numFmtId="0" fontId="33" fillId="0" borderId="40" xfId="6" applyFont="1" applyFill="1" applyBorder="1">
      <alignment vertical="center"/>
    </xf>
    <xf numFmtId="176" fontId="6" fillId="2" borderId="64" xfId="3" applyNumberFormat="1" applyFont="1" applyFill="1" applyBorder="1">
      <alignment vertical="center"/>
    </xf>
    <xf numFmtId="176" fontId="6" fillId="0" borderId="64" xfId="3" applyNumberFormat="1" applyFont="1" applyFill="1" applyBorder="1">
      <alignment vertical="center"/>
    </xf>
    <xf numFmtId="0" fontId="33" fillId="5" borderId="65" xfId="6" applyFont="1" applyFill="1" applyBorder="1">
      <alignment vertical="center"/>
    </xf>
    <xf numFmtId="176" fontId="33" fillId="5" borderId="66" xfId="3" applyNumberFormat="1" applyFont="1" applyFill="1" applyBorder="1">
      <alignment vertical="center"/>
    </xf>
    <xf numFmtId="0" fontId="33" fillId="5" borderId="3" xfId="6" applyFont="1" applyFill="1" applyBorder="1">
      <alignment vertical="center"/>
    </xf>
    <xf numFmtId="176" fontId="33" fillId="5" borderId="7" xfId="3" applyNumberFormat="1" applyFont="1" applyFill="1" applyBorder="1">
      <alignment vertical="center"/>
    </xf>
    <xf numFmtId="176" fontId="6" fillId="5" borderId="7" xfId="3" applyNumberFormat="1" applyFont="1" applyFill="1" applyBorder="1">
      <alignment vertical="center"/>
    </xf>
    <xf numFmtId="40" fontId="6" fillId="0" borderId="87" xfId="1" applyNumberFormat="1" applyFont="1" applyFill="1" applyBorder="1">
      <alignment vertical="center"/>
    </xf>
    <xf numFmtId="0" fontId="39" fillId="0" borderId="0" xfId="0" applyFont="1">
      <alignment vertical="center"/>
    </xf>
    <xf numFmtId="0" fontId="1" fillId="0" borderId="5" xfId="0" applyFont="1" applyBorder="1">
      <alignment vertical="center"/>
    </xf>
    <xf numFmtId="184" fontId="33" fillId="0" borderId="0" xfId="0" applyNumberFormat="1" applyFont="1">
      <alignment vertical="center"/>
    </xf>
    <xf numFmtId="185" fontId="19" fillId="0" borderId="0" xfId="0" applyNumberFormat="1" applyFont="1">
      <alignment vertical="center"/>
    </xf>
    <xf numFmtId="3" fontId="33" fillId="0" borderId="0" xfId="1" applyNumberFormat="1" applyFont="1" applyFill="1">
      <alignment vertical="center"/>
    </xf>
    <xf numFmtId="176" fontId="6" fillId="0" borderId="19" xfId="3" applyNumberFormat="1" applyFont="1" applyFill="1" applyBorder="1">
      <alignment vertical="center"/>
    </xf>
    <xf numFmtId="0" fontId="45" fillId="7" borderId="0" xfId="0" applyFont="1" applyFill="1" applyBorder="1" applyAlignment="1">
      <alignment horizontal="centerContinuous" vertical="center" wrapText="1"/>
    </xf>
    <xf numFmtId="0" fontId="11" fillId="7" borderId="0" xfId="0" applyFont="1" applyFill="1" applyBorder="1" applyAlignment="1">
      <alignment horizontal="center" vertical="center" wrapText="1"/>
    </xf>
    <xf numFmtId="0" fontId="46" fillId="7" borderId="0" xfId="0" applyFont="1" applyFill="1" applyBorder="1" applyAlignment="1">
      <alignment horizontal="center" vertical="center" shrinkToFit="1"/>
    </xf>
    <xf numFmtId="0" fontId="10" fillId="7" borderId="0" xfId="0" applyFont="1" applyFill="1" applyBorder="1" applyAlignment="1">
      <alignment horizontal="center" vertical="center" wrapText="1" shrinkToFit="1"/>
    </xf>
    <xf numFmtId="0" fontId="10" fillId="7" borderId="0" xfId="0" applyFont="1" applyFill="1" applyBorder="1" applyAlignment="1">
      <alignment horizontal="center" vertical="center" shrinkToFit="1"/>
    </xf>
    <xf numFmtId="178" fontId="21" fillId="7" borderId="0" xfId="1" applyNumberFormat="1" applyFont="1" applyFill="1" applyBorder="1">
      <alignment vertical="center"/>
    </xf>
    <xf numFmtId="178" fontId="19" fillId="7" borderId="0" xfId="1" applyNumberFormat="1" applyFont="1" applyFill="1" applyBorder="1">
      <alignment vertical="center"/>
    </xf>
    <xf numFmtId="0" fontId="1" fillId="0" borderId="14" xfId="0" applyFont="1" applyBorder="1">
      <alignment vertical="center"/>
    </xf>
    <xf numFmtId="0" fontId="6" fillId="0" borderId="87" xfId="1" applyNumberFormat="1" applyFont="1" applyFill="1" applyBorder="1">
      <alignment vertical="center"/>
    </xf>
    <xf numFmtId="0" fontId="6" fillId="7" borderId="87" xfId="1" applyNumberFormat="1" applyFont="1" applyFill="1" applyBorder="1">
      <alignment vertical="center"/>
    </xf>
    <xf numFmtId="176" fontId="33" fillId="0" borderId="7" xfId="1" applyNumberFormat="1" applyFont="1" applyBorder="1" applyAlignment="1">
      <alignment horizontal="right" vertical="center"/>
    </xf>
    <xf numFmtId="0" fontId="33" fillId="0" borderId="0" xfId="5" applyFont="1" applyBorder="1">
      <alignment vertical="center"/>
    </xf>
    <xf numFmtId="0" fontId="33" fillId="7" borderId="25" xfId="0" applyFont="1" applyFill="1" applyBorder="1">
      <alignment vertical="center"/>
    </xf>
    <xf numFmtId="0" fontId="33" fillId="7" borderId="72" xfId="0" applyFont="1" applyFill="1" applyBorder="1">
      <alignment vertical="center"/>
    </xf>
    <xf numFmtId="0" fontId="33" fillId="7" borderId="56" xfId="0" applyFont="1" applyFill="1" applyBorder="1">
      <alignment vertical="center"/>
    </xf>
    <xf numFmtId="0" fontId="33" fillId="7" borderId="26" xfId="0" applyFont="1" applyFill="1" applyBorder="1">
      <alignment vertical="center"/>
    </xf>
    <xf numFmtId="0" fontId="33" fillId="7" borderId="48" xfId="0" applyFont="1" applyFill="1" applyBorder="1">
      <alignment vertical="center"/>
    </xf>
    <xf numFmtId="0" fontId="33" fillId="7" borderId="57" xfId="0" applyFont="1" applyFill="1" applyBorder="1">
      <alignment vertical="center"/>
    </xf>
    <xf numFmtId="3" fontId="6" fillId="0" borderId="21" xfId="0" applyNumberFormat="1" applyFont="1" applyBorder="1">
      <alignment vertical="center"/>
    </xf>
    <xf numFmtId="176" fontId="33" fillId="7" borderId="7" xfId="1" applyNumberFormat="1" applyFont="1" applyFill="1" applyBorder="1">
      <alignment vertical="center"/>
    </xf>
    <xf numFmtId="176" fontId="33" fillId="7" borderId="31" xfId="1" applyNumberFormat="1" applyFont="1" applyFill="1" applyBorder="1">
      <alignment vertical="center"/>
    </xf>
    <xf numFmtId="0" fontId="37" fillId="0" borderId="25" xfId="0" applyFont="1" applyBorder="1">
      <alignment vertical="center"/>
    </xf>
    <xf numFmtId="178" fontId="21" fillId="7" borderId="25" xfId="1" applyNumberFormat="1" applyFont="1" applyFill="1" applyBorder="1">
      <alignment vertical="center"/>
    </xf>
    <xf numFmtId="178" fontId="19" fillId="7" borderId="25" xfId="1" applyNumberFormat="1" applyFont="1" applyFill="1" applyBorder="1">
      <alignment vertical="center"/>
    </xf>
    <xf numFmtId="0" fontId="10" fillId="0" borderId="25" xfId="0" applyFont="1" applyBorder="1">
      <alignment vertical="center"/>
    </xf>
    <xf numFmtId="178" fontId="21" fillId="0" borderId="25" xfId="1" applyNumberFormat="1" applyFont="1" applyBorder="1">
      <alignment vertical="center"/>
    </xf>
    <xf numFmtId="0" fontId="10" fillId="0" borderId="25" xfId="0" applyFont="1" applyFill="1" applyBorder="1">
      <alignment vertical="center"/>
    </xf>
    <xf numFmtId="178" fontId="21" fillId="0" borderId="25" xfId="1" applyNumberFormat="1" applyFont="1" applyFill="1" applyBorder="1">
      <alignment vertical="center"/>
    </xf>
    <xf numFmtId="178" fontId="19" fillId="0" borderId="25" xfId="1" applyNumberFormat="1" applyFont="1" applyFill="1" applyBorder="1">
      <alignment vertical="center"/>
    </xf>
    <xf numFmtId="0" fontId="35" fillId="0" borderId="0" xfId="0" applyFont="1" applyAlignment="1">
      <alignment vertical="center" shrinkToFit="1"/>
    </xf>
    <xf numFmtId="189" fontId="35" fillId="0" borderId="0" xfId="0" applyNumberFormat="1" applyFont="1" applyAlignment="1">
      <alignment vertical="center" shrinkToFit="1"/>
    </xf>
    <xf numFmtId="188" fontId="35" fillId="0" borderId="0" xfId="0" applyNumberFormat="1" applyFont="1" applyAlignment="1">
      <alignment vertical="center" shrinkToFit="1"/>
    </xf>
    <xf numFmtId="189" fontId="35" fillId="0" borderId="0" xfId="0" applyNumberFormat="1" applyFont="1">
      <alignment vertical="center"/>
    </xf>
    <xf numFmtId="0" fontId="52" fillId="0" borderId="0" xfId="0" applyFont="1" applyAlignment="1">
      <alignment vertical="center" shrinkToFit="1"/>
    </xf>
    <xf numFmtId="0" fontId="47" fillId="0" borderId="0" xfId="0" applyFont="1" applyAlignment="1">
      <alignment vertical="center" shrinkToFit="1"/>
    </xf>
    <xf numFmtId="0" fontId="52" fillId="0" borderId="0" xfId="0" applyFont="1">
      <alignment vertical="center"/>
    </xf>
    <xf numFmtId="9" fontId="35" fillId="0" borderId="0" xfId="10" applyFont="1" applyFill="1">
      <alignment vertical="center"/>
    </xf>
    <xf numFmtId="0" fontId="35" fillId="0" borderId="0" xfId="0" applyFont="1" applyAlignment="1">
      <alignment horizontal="center" vertical="center"/>
    </xf>
    <xf numFmtId="188" fontId="35" fillId="0" borderId="0" xfId="0" applyNumberFormat="1" applyFont="1" applyBorder="1" applyAlignment="1">
      <alignment vertical="center" shrinkToFit="1"/>
    </xf>
    <xf numFmtId="0" fontId="57" fillId="0" borderId="0" xfId="0" applyFont="1" applyAlignment="1">
      <alignment vertical="center" shrinkToFit="1"/>
    </xf>
    <xf numFmtId="189" fontId="35" fillId="0" borderId="25" xfId="0" applyNumberFormat="1" applyFont="1" applyBorder="1">
      <alignment vertical="center"/>
    </xf>
    <xf numFmtId="188" fontId="35" fillId="0" borderId="25" xfId="0" applyNumberFormat="1" applyFont="1" applyBorder="1" applyAlignment="1">
      <alignment vertical="center" shrinkToFit="1"/>
    </xf>
    <xf numFmtId="189" fontId="52" fillId="0" borderId="0" xfId="0" applyNumberFormat="1" applyFont="1" applyAlignment="1">
      <alignment vertical="center" shrinkToFit="1"/>
    </xf>
    <xf numFmtId="188" fontId="52" fillId="0" borderId="0" xfId="0" applyNumberFormat="1" applyFont="1" applyAlignment="1">
      <alignment vertical="center" shrinkToFit="1"/>
    </xf>
    <xf numFmtId="0" fontId="35" fillId="0" borderId="0" xfId="0" applyFont="1" applyAlignment="1">
      <alignment horizontal="center" vertical="center" shrinkToFit="1"/>
    </xf>
    <xf numFmtId="178" fontId="21" fillId="7" borderId="25" xfId="1" applyNumberFormat="1" applyFont="1" applyFill="1" applyBorder="1" applyAlignment="1">
      <alignment horizontal="center" vertical="center"/>
    </xf>
    <xf numFmtId="0" fontId="7" fillId="0" borderId="0" xfId="0" applyFont="1">
      <alignment vertical="center"/>
    </xf>
    <xf numFmtId="0" fontId="33" fillId="0" borderId="19" xfId="0" applyFont="1" applyBorder="1">
      <alignment vertical="center"/>
    </xf>
    <xf numFmtId="0" fontId="39" fillId="0" borderId="3" xfId="0" applyFont="1" applyBorder="1">
      <alignment vertical="center"/>
    </xf>
    <xf numFmtId="0" fontId="39" fillId="0" borderId="40" xfId="0" applyFont="1" applyBorder="1">
      <alignment vertical="center"/>
    </xf>
    <xf numFmtId="0" fontId="39" fillId="0" borderId="3" xfId="6" applyFont="1" applyBorder="1">
      <alignment vertical="center"/>
    </xf>
    <xf numFmtId="189" fontId="35" fillId="0" borderId="0" xfId="0" applyNumberFormat="1" applyFont="1" applyBorder="1">
      <alignment vertical="center"/>
    </xf>
    <xf numFmtId="191" fontId="35" fillId="0" borderId="0" xfId="0" applyNumberFormat="1" applyFont="1" applyAlignment="1">
      <alignment vertical="center" shrinkToFit="1"/>
    </xf>
    <xf numFmtId="38" fontId="35" fillId="0" borderId="25" xfId="0" applyNumberFormat="1" applyFont="1" applyBorder="1" applyAlignment="1">
      <alignment vertical="center" shrinkToFit="1"/>
    </xf>
    <xf numFmtId="0" fontId="35" fillId="0" borderId="25" xfId="0" applyFont="1" applyBorder="1" applyAlignment="1">
      <alignment horizontal="center" vertical="center" shrinkToFit="1"/>
    </xf>
    <xf numFmtId="0" fontId="35" fillId="0" borderId="25" xfId="0" applyFont="1" applyBorder="1" applyAlignment="1">
      <alignment vertical="center" shrinkToFit="1"/>
    </xf>
    <xf numFmtId="191" fontId="35" fillId="0" borderId="25" xfId="0" applyNumberFormat="1" applyFont="1" applyBorder="1" applyAlignment="1">
      <alignment vertical="center" shrinkToFit="1"/>
    </xf>
    <xf numFmtId="0" fontId="57" fillId="0" borderId="25" xfId="0" applyFont="1" applyBorder="1" applyAlignment="1">
      <alignment vertical="center" shrinkToFit="1"/>
    </xf>
    <xf numFmtId="188" fontId="35" fillId="0" borderId="0" xfId="0" applyNumberFormat="1" applyFont="1">
      <alignment vertical="center"/>
    </xf>
    <xf numFmtId="178" fontId="60" fillId="7" borderId="0" xfId="1" applyNumberFormat="1" applyFont="1" applyFill="1" applyBorder="1">
      <alignment vertical="center"/>
    </xf>
    <xf numFmtId="0" fontId="6" fillId="6" borderId="87" xfId="0" applyNumberFormat="1" applyFont="1" applyFill="1" applyBorder="1">
      <alignment vertical="center"/>
    </xf>
    <xf numFmtId="0" fontId="10" fillId="7" borderId="25" xfId="0" applyFont="1" applyFill="1" applyBorder="1">
      <alignment vertical="center"/>
    </xf>
    <xf numFmtId="0" fontId="19" fillId="7" borderId="25" xfId="0" applyFont="1" applyFill="1" applyBorder="1">
      <alignment vertical="center"/>
    </xf>
    <xf numFmtId="0" fontId="37" fillId="7" borderId="25" xfId="0" applyFont="1" applyFill="1" applyBorder="1">
      <alignment vertical="center"/>
    </xf>
    <xf numFmtId="0" fontId="39" fillId="2" borderId="46" xfId="5" applyFont="1" applyFill="1" applyBorder="1" applyAlignment="1">
      <alignment horizontal="center" vertical="center"/>
    </xf>
    <xf numFmtId="0" fontId="39" fillId="2" borderId="50" xfId="5" applyFont="1" applyFill="1" applyBorder="1" applyAlignment="1">
      <alignment horizontal="center" vertical="center"/>
    </xf>
    <xf numFmtId="0" fontId="35" fillId="2" borderId="27" xfId="5" applyFont="1" applyFill="1" applyBorder="1" applyAlignment="1">
      <alignment horizontal="center" vertical="center"/>
    </xf>
    <xf numFmtId="0" fontId="35" fillId="2" borderId="28" xfId="5" applyFont="1" applyFill="1" applyBorder="1" applyAlignment="1">
      <alignment horizontal="center" vertical="center"/>
    </xf>
    <xf numFmtId="0" fontId="11" fillId="2" borderId="97" xfId="0" applyFont="1" applyFill="1" applyBorder="1" applyAlignment="1">
      <alignment horizontal="centerContinuous" vertical="center" wrapText="1"/>
    </xf>
    <xf numFmtId="0" fontId="46" fillId="2" borderId="2" xfId="0" applyFont="1" applyFill="1" applyBorder="1" applyAlignment="1">
      <alignment horizontal="center" vertical="center" wrapText="1"/>
    </xf>
    <xf numFmtId="0" fontId="46" fillId="2" borderId="27" xfId="0" applyFont="1" applyFill="1" applyBorder="1" applyAlignment="1">
      <alignment horizontal="center" vertical="center" wrapText="1"/>
    </xf>
    <xf numFmtId="0" fontId="46" fillId="2" borderId="67" xfId="0" applyFont="1" applyFill="1" applyBorder="1" applyAlignment="1">
      <alignment horizontal="center" vertical="center" wrapText="1"/>
    </xf>
    <xf numFmtId="0" fontId="46" fillId="2" borderId="0" xfId="0" applyFont="1" applyFill="1" applyBorder="1" applyAlignment="1">
      <alignment horizontal="center" vertical="center" wrapText="1"/>
    </xf>
    <xf numFmtId="0" fontId="46" fillId="2" borderId="50" xfId="0" applyFont="1" applyFill="1" applyBorder="1" applyAlignment="1">
      <alignment horizontal="center" vertical="center" wrapText="1"/>
    </xf>
    <xf numFmtId="0" fontId="41" fillId="2" borderId="51" xfId="0" applyFont="1" applyFill="1" applyBorder="1" applyAlignment="1">
      <alignment horizontal="centerContinuous" vertical="center" wrapText="1"/>
    </xf>
    <xf numFmtId="0" fontId="45" fillId="2" borderId="52" xfId="0" applyFont="1" applyFill="1" applyBorder="1" applyAlignment="1">
      <alignment horizontal="centerContinuous" vertical="center" wrapText="1"/>
    </xf>
    <xf numFmtId="0" fontId="11" fillId="2" borderId="52" xfId="0" applyFont="1" applyFill="1" applyBorder="1" applyAlignment="1">
      <alignment horizontal="centerContinuous" vertical="center" wrapText="1"/>
    </xf>
    <xf numFmtId="0" fontId="45" fillId="2" borderId="53" xfId="0" applyFont="1" applyFill="1" applyBorder="1" applyAlignment="1">
      <alignment horizontal="centerContinuous" vertical="center" wrapText="1"/>
    </xf>
    <xf numFmtId="0" fontId="46" fillId="2" borderId="99" xfId="0" applyFont="1" applyFill="1" applyBorder="1" applyAlignment="1">
      <alignment horizontal="center" vertical="center" shrinkToFit="1"/>
    </xf>
    <xf numFmtId="0" fontId="10" fillId="2" borderId="49" xfId="0" applyFont="1" applyFill="1" applyBorder="1" applyAlignment="1">
      <alignment horizontal="center" vertical="center" wrapText="1" shrinkToFit="1"/>
    </xf>
    <xf numFmtId="0" fontId="46" fillId="2" borderId="49"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45" fillId="2" borderId="71" xfId="0" applyFont="1" applyFill="1" applyBorder="1" applyAlignment="1">
      <alignment horizontal="centerContinuous" vertical="center" wrapText="1"/>
    </xf>
    <xf numFmtId="0" fontId="11" fillId="2" borderId="100" xfId="0" applyFont="1" applyFill="1" applyBorder="1" applyAlignment="1">
      <alignment horizontal="center" vertical="center" wrapText="1"/>
    </xf>
    <xf numFmtId="0" fontId="11" fillId="2" borderId="35"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35" fillId="2" borderId="67" xfId="5" applyFont="1" applyFill="1" applyBorder="1" applyAlignment="1">
      <alignment horizontal="center" vertical="center"/>
    </xf>
    <xf numFmtId="176" fontId="33" fillId="0" borderId="25" xfId="5" applyNumberFormat="1" applyFont="1" applyFill="1" applyBorder="1">
      <alignment vertical="center"/>
    </xf>
    <xf numFmtId="176" fontId="33" fillId="0" borderId="48" xfId="5" applyNumberFormat="1" applyFont="1" applyFill="1" applyBorder="1">
      <alignment vertical="center"/>
    </xf>
    <xf numFmtId="0" fontId="39" fillId="2" borderId="104" xfId="5" applyFont="1" applyFill="1" applyBorder="1">
      <alignment vertical="center"/>
    </xf>
    <xf numFmtId="178" fontId="49" fillId="7" borderId="25" xfId="1" applyNumberFormat="1" applyFont="1" applyFill="1" applyBorder="1">
      <alignment vertical="center"/>
    </xf>
    <xf numFmtId="178" fontId="37" fillId="7" borderId="25" xfId="1" applyNumberFormat="1" applyFont="1" applyFill="1" applyBorder="1">
      <alignment vertical="center"/>
    </xf>
    <xf numFmtId="0" fontId="35" fillId="0" borderId="0" xfId="0" applyFont="1" applyFill="1">
      <alignment vertical="center"/>
    </xf>
    <xf numFmtId="0" fontId="35" fillId="7" borderId="43" xfId="0" applyFont="1" applyFill="1" applyBorder="1">
      <alignment vertical="center"/>
    </xf>
    <xf numFmtId="0" fontId="35" fillId="7" borderId="1" xfId="0" applyFont="1" applyFill="1" applyBorder="1">
      <alignment vertical="center"/>
    </xf>
    <xf numFmtId="0" fontId="35" fillId="7" borderId="29" xfId="0" applyFont="1" applyFill="1" applyBorder="1">
      <alignment vertical="center"/>
    </xf>
    <xf numFmtId="0" fontId="35" fillId="7" borderId="42" xfId="0" applyFont="1" applyFill="1" applyBorder="1">
      <alignment vertical="center"/>
    </xf>
    <xf numFmtId="197" fontId="35" fillId="7" borderId="0" xfId="1" applyNumberFormat="1" applyFont="1" applyFill="1" applyBorder="1" applyAlignment="1">
      <alignment horizontal="right"/>
    </xf>
    <xf numFmtId="197" fontId="35" fillId="7" borderId="0" xfId="0" applyNumberFormat="1" applyFont="1" applyFill="1" applyBorder="1">
      <alignment vertical="center"/>
    </xf>
    <xf numFmtId="198" fontId="35" fillId="7" borderId="0" xfId="0" applyNumberFormat="1" applyFont="1" applyFill="1" applyBorder="1">
      <alignment vertical="center"/>
    </xf>
    <xf numFmtId="0" fontId="35" fillId="7" borderId="17" xfId="0" applyFont="1" applyFill="1" applyBorder="1">
      <alignment vertical="center"/>
    </xf>
    <xf numFmtId="197" fontId="35" fillId="3" borderId="0" xfId="1" applyNumberFormat="1" applyFont="1" applyFill="1" applyBorder="1" applyAlignment="1">
      <alignment horizontal="right"/>
    </xf>
    <xf numFmtId="197" fontId="35" fillId="3" borderId="0" xfId="0" applyNumberFormat="1" applyFont="1" applyFill="1" applyBorder="1">
      <alignment vertical="center"/>
    </xf>
    <xf numFmtId="198" fontId="35" fillId="3" borderId="0" xfId="0" applyNumberFormat="1" applyFont="1" applyFill="1" applyBorder="1">
      <alignment vertical="center"/>
    </xf>
    <xf numFmtId="197" fontId="35" fillId="0" borderId="0" xfId="0" applyNumberFormat="1" applyFont="1" applyBorder="1">
      <alignment vertical="center"/>
    </xf>
    <xf numFmtId="2" fontId="52" fillId="0" borderId="21" xfId="0" applyNumberFormat="1" applyFont="1" applyFill="1" applyBorder="1">
      <alignment vertical="center"/>
    </xf>
    <xf numFmtId="2" fontId="35" fillId="0" borderId="21" xfId="0" applyNumberFormat="1" applyFont="1" applyFill="1" applyBorder="1">
      <alignment vertical="center"/>
    </xf>
    <xf numFmtId="2" fontId="35" fillId="0" borderId="61" xfId="0" applyNumberFormat="1" applyFont="1" applyFill="1" applyBorder="1">
      <alignment vertical="center"/>
    </xf>
    <xf numFmtId="2" fontId="35" fillId="0" borderId="56" xfId="0" applyNumberFormat="1" applyFont="1" applyFill="1" applyBorder="1">
      <alignment vertical="center"/>
    </xf>
    <xf numFmtId="0" fontId="35" fillId="0" borderId="57" xfId="0" applyFont="1" applyFill="1" applyBorder="1">
      <alignment vertical="center"/>
    </xf>
    <xf numFmtId="0" fontId="35" fillId="0" borderId="26" xfId="0" applyFont="1" applyFill="1" applyBorder="1">
      <alignment vertical="center"/>
    </xf>
    <xf numFmtId="9" fontId="35" fillId="7" borderId="0" xfId="0" applyNumberFormat="1" applyFont="1" applyFill="1" applyBorder="1" applyAlignment="1"/>
    <xf numFmtId="9" fontId="35" fillId="7" borderId="0" xfId="0" applyNumberFormat="1" applyFont="1" applyFill="1" applyBorder="1">
      <alignment vertical="center"/>
    </xf>
    <xf numFmtId="9" fontId="35" fillId="0" borderId="0" xfId="0" applyNumberFormat="1" applyFont="1" applyBorder="1" applyAlignment="1"/>
    <xf numFmtId="9" fontId="35" fillId="7" borderId="0" xfId="0" applyNumberFormat="1" applyFont="1" applyFill="1" applyBorder="1" applyAlignment="1">
      <alignment horizontal="center"/>
    </xf>
    <xf numFmtId="0" fontId="35" fillId="7" borderId="0" xfId="0" applyFont="1" applyFill="1" applyBorder="1">
      <alignment vertical="center"/>
    </xf>
    <xf numFmtId="9" fontId="35" fillId="0" borderId="0" xfId="0" applyNumberFormat="1" applyFont="1" applyBorder="1" applyAlignment="1">
      <alignment horizontal="center"/>
    </xf>
    <xf numFmtId="9" fontId="35" fillId="7" borderId="2" xfId="0" applyNumberFormat="1" applyFont="1" applyFill="1" applyBorder="1" applyAlignment="1">
      <alignment horizontal="center"/>
    </xf>
    <xf numFmtId="0" fontId="35" fillId="7" borderId="0" xfId="0" applyFont="1" applyFill="1" applyBorder="1" applyAlignment="1"/>
    <xf numFmtId="0" fontId="35" fillId="7" borderId="0" xfId="0" applyFont="1" applyFill="1" applyBorder="1" applyAlignment="1">
      <alignment horizontal="center" vertical="center"/>
    </xf>
    <xf numFmtId="0" fontId="35" fillId="0" borderId="0" xfId="0" applyFont="1" applyBorder="1" applyAlignment="1"/>
    <xf numFmtId="0" fontId="35" fillId="0" borderId="56" xfId="0" applyFont="1" applyFill="1" applyBorder="1">
      <alignment vertical="center"/>
    </xf>
    <xf numFmtId="9" fontId="35" fillId="0" borderId="0" xfId="0" applyNumberFormat="1" applyFont="1" applyBorder="1" applyAlignment="1">
      <alignment horizontal="center" vertical="center"/>
    </xf>
    <xf numFmtId="0" fontId="35" fillId="0" borderId="0" xfId="0" applyFont="1" applyBorder="1">
      <alignment vertical="center"/>
    </xf>
    <xf numFmtId="0" fontId="35" fillId="7" borderId="54" xfId="0" applyFont="1" applyFill="1" applyBorder="1">
      <alignment vertical="center"/>
    </xf>
    <xf numFmtId="0" fontId="35" fillId="7" borderId="97" xfId="0" applyFont="1" applyFill="1" applyBorder="1">
      <alignment vertical="center"/>
    </xf>
    <xf numFmtId="0" fontId="35" fillId="7" borderId="47" xfId="0" applyFont="1" applyFill="1" applyBorder="1">
      <alignment vertical="center"/>
    </xf>
    <xf numFmtId="183" fontId="6" fillId="7" borderId="0" xfId="0" applyNumberFormat="1" applyFont="1" applyFill="1" applyBorder="1">
      <alignment vertical="center"/>
    </xf>
    <xf numFmtId="177" fontId="6" fillId="7" borderId="0" xfId="0" applyNumberFormat="1" applyFont="1" applyFill="1" applyBorder="1">
      <alignment vertical="center"/>
    </xf>
    <xf numFmtId="0" fontId="6" fillId="6" borderId="106" xfId="0" applyFont="1" applyFill="1" applyBorder="1">
      <alignment vertical="center"/>
    </xf>
    <xf numFmtId="199" fontId="6" fillId="0" borderId="87" xfId="1" applyNumberFormat="1" applyFont="1" applyFill="1" applyBorder="1">
      <alignment vertical="center"/>
    </xf>
    <xf numFmtId="0" fontId="33" fillId="0" borderId="2" xfId="0" applyFont="1" applyBorder="1" applyAlignment="1">
      <alignment horizontal="center" vertical="center"/>
    </xf>
    <xf numFmtId="0" fontId="33" fillId="0" borderId="0" xfId="0" applyFont="1" applyAlignment="1">
      <alignment horizontal="center" vertical="center"/>
    </xf>
    <xf numFmtId="176" fontId="33" fillId="0" borderId="31" xfId="1" applyNumberFormat="1" applyFont="1" applyBorder="1" applyAlignment="1">
      <alignment horizontal="right" vertical="center"/>
    </xf>
    <xf numFmtId="0" fontId="39" fillId="0" borderId="5" xfId="0" applyFont="1" applyBorder="1">
      <alignment vertical="center"/>
    </xf>
    <xf numFmtId="0" fontId="5" fillId="0" borderId="3" xfId="6" applyFont="1" applyFill="1" applyBorder="1">
      <alignment vertical="center"/>
    </xf>
    <xf numFmtId="0" fontId="33" fillId="0" borderId="4" xfId="6" applyFont="1" applyFill="1" applyBorder="1">
      <alignment vertical="center"/>
    </xf>
    <xf numFmtId="0" fontId="5" fillId="0" borderId="14" xfId="6" applyFont="1" applyBorder="1">
      <alignment vertical="center"/>
    </xf>
    <xf numFmtId="0" fontId="5" fillId="2" borderId="7" xfId="6" applyFont="1" applyFill="1" applyBorder="1" applyAlignment="1">
      <alignment horizontal="center" vertical="center" wrapText="1"/>
    </xf>
    <xf numFmtId="183" fontId="35" fillId="0" borderId="56" xfId="0" applyNumberFormat="1" applyFont="1" applyFill="1" applyBorder="1">
      <alignment vertical="center"/>
    </xf>
    <xf numFmtId="40" fontId="33" fillId="0" borderId="0" xfId="1" applyNumberFormat="1" applyFont="1" applyFill="1">
      <alignment vertical="center"/>
    </xf>
    <xf numFmtId="3" fontId="33" fillId="0" borderId="0" xfId="0" applyNumberFormat="1" applyFont="1" applyFill="1">
      <alignment vertical="center"/>
    </xf>
    <xf numFmtId="40" fontId="5" fillId="0" borderId="110" xfId="1" applyNumberFormat="1" applyFont="1" applyFill="1" applyBorder="1">
      <alignment vertical="center"/>
    </xf>
    <xf numFmtId="40" fontId="5" fillId="0" borderId="109" xfId="1" applyNumberFormat="1" applyFont="1" applyFill="1" applyBorder="1">
      <alignment vertical="center"/>
    </xf>
    <xf numFmtId="0" fontId="50" fillId="0" borderId="121" xfId="0" applyFont="1" applyFill="1" applyBorder="1" applyAlignment="1">
      <alignment vertical="center" wrapText="1"/>
    </xf>
    <xf numFmtId="0" fontId="64" fillId="0" borderId="109" xfId="5" applyFont="1" applyFill="1" applyBorder="1" applyAlignment="1">
      <alignment vertical="center" wrapText="1"/>
    </xf>
    <xf numFmtId="0" fontId="64" fillId="0" borderId="124" xfId="5" applyFont="1" applyFill="1" applyBorder="1" applyAlignment="1">
      <alignment vertical="center" wrapText="1"/>
    </xf>
    <xf numFmtId="0" fontId="38" fillId="0" borderId="110" xfId="0" applyFont="1" applyFill="1" applyBorder="1" applyAlignment="1">
      <alignment horizontal="center" vertical="center" wrapText="1"/>
    </xf>
    <xf numFmtId="0" fontId="50" fillId="0" borderId="125" xfId="0" applyFont="1" applyFill="1" applyBorder="1" applyAlignment="1">
      <alignment vertical="center" wrapText="1"/>
    </xf>
    <xf numFmtId="0" fontId="64" fillId="0" borderId="126" xfId="5" applyFont="1" applyFill="1" applyBorder="1" applyAlignment="1">
      <alignment vertical="center" wrapText="1"/>
    </xf>
    <xf numFmtId="0" fontId="64" fillId="0" borderId="127" xfId="5" applyFont="1" applyFill="1" applyBorder="1" applyAlignment="1">
      <alignment vertical="center" wrapText="1"/>
    </xf>
    <xf numFmtId="0" fontId="38" fillId="0" borderId="76" xfId="0" applyFont="1" applyFill="1" applyBorder="1" applyAlignment="1">
      <alignment horizontal="center" vertical="center" wrapText="1"/>
    </xf>
    <xf numFmtId="0" fontId="33" fillId="0" borderId="128" xfId="0" applyFont="1" applyFill="1" applyBorder="1">
      <alignment vertical="center"/>
    </xf>
    <xf numFmtId="0" fontId="38" fillId="9" borderId="110" xfId="0" applyFont="1" applyFill="1" applyBorder="1" applyAlignment="1">
      <alignment horizontal="center" vertical="center" wrapText="1"/>
    </xf>
    <xf numFmtId="0" fontId="33" fillId="9" borderId="131" xfId="0" applyFont="1" applyFill="1" applyBorder="1">
      <alignment vertical="center"/>
    </xf>
    <xf numFmtId="40" fontId="33" fillId="9" borderId="107" xfId="1" applyNumberFormat="1" applyFont="1" applyFill="1" applyBorder="1">
      <alignment vertical="center"/>
    </xf>
    <xf numFmtId="40" fontId="33" fillId="9" borderId="7" xfId="1" applyNumberFormat="1" applyFont="1" applyFill="1" applyBorder="1">
      <alignment vertical="center"/>
    </xf>
    <xf numFmtId="40" fontId="33" fillId="9" borderId="4" xfId="1" applyNumberFormat="1" applyFont="1" applyFill="1" applyBorder="1">
      <alignment vertical="center"/>
    </xf>
    <xf numFmtId="40" fontId="33" fillId="9" borderId="68" xfId="1" applyNumberFormat="1" applyFont="1" applyFill="1" applyBorder="1">
      <alignment vertical="center"/>
    </xf>
    <xf numFmtId="40" fontId="33" fillId="9" borderId="3" xfId="1" applyNumberFormat="1" applyFont="1" applyFill="1" applyBorder="1">
      <alignment vertical="center"/>
    </xf>
    <xf numFmtId="40" fontId="5" fillId="9" borderId="110" xfId="1" applyNumberFormat="1" applyFont="1" applyFill="1" applyBorder="1">
      <alignment vertical="center"/>
    </xf>
    <xf numFmtId="0" fontId="33" fillId="4" borderId="131" xfId="0" applyFont="1" applyFill="1" applyBorder="1">
      <alignment vertical="center"/>
    </xf>
    <xf numFmtId="40" fontId="33" fillId="4" borderId="107" xfId="1" applyNumberFormat="1" applyFont="1" applyFill="1" applyBorder="1">
      <alignment vertical="center"/>
    </xf>
    <xf numFmtId="40" fontId="33" fillId="4" borderId="7" xfId="1" applyNumberFormat="1" applyFont="1" applyFill="1" applyBorder="1">
      <alignment vertical="center"/>
    </xf>
    <xf numFmtId="0" fontId="33" fillId="4" borderId="132" xfId="0" applyFont="1" applyFill="1" applyBorder="1">
      <alignment vertical="center"/>
    </xf>
    <xf numFmtId="40" fontId="33" fillId="4" borderId="129" xfId="1" applyNumberFormat="1" applyFont="1" applyFill="1" applyBorder="1">
      <alignment vertical="center"/>
    </xf>
    <xf numFmtId="40" fontId="33" fillId="4" borderId="8" xfId="1" applyNumberFormat="1" applyFont="1" applyFill="1" applyBorder="1">
      <alignment vertical="center"/>
    </xf>
    <xf numFmtId="0" fontId="38" fillId="9" borderId="0" xfId="0" applyFont="1" applyFill="1" applyBorder="1" applyAlignment="1">
      <alignment horizontal="center" vertical="center" wrapText="1"/>
    </xf>
    <xf numFmtId="0" fontId="33" fillId="9" borderId="0" xfId="0" applyFont="1" applyFill="1">
      <alignment vertical="center"/>
    </xf>
    <xf numFmtId="40" fontId="5" fillId="9" borderId="42" xfId="1" applyNumberFormat="1" applyFont="1" applyFill="1" applyBorder="1">
      <alignment vertical="center"/>
    </xf>
    <xf numFmtId="0" fontId="1" fillId="9" borderId="20" xfId="0" applyFont="1" applyFill="1" applyBorder="1">
      <alignment vertical="center"/>
    </xf>
    <xf numFmtId="0" fontId="33" fillId="9" borderId="44" xfId="0" applyFont="1" applyFill="1" applyBorder="1">
      <alignment vertical="center"/>
    </xf>
    <xf numFmtId="0" fontId="38" fillId="9" borderId="12" xfId="0" applyFont="1" applyFill="1" applyBorder="1" applyAlignment="1">
      <alignment horizontal="center" vertical="center" wrapText="1"/>
    </xf>
    <xf numFmtId="0" fontId="38" fillId="9" borderId="13" xfId="0" applyFont="1" applyFill="1" applyBorder="1" applyAlignment="1">
      <alignment horizontal="center" vertical="center" wrapText="1"/>
    </xf>
    <xf numFmtId="0" fontId="33" fillId="9" borderId="14" xfId="6" applyFont="1" applyFill="1" applyBorder="1">
      <alignment vertical="center"/>
    </xf>
    <xf numFmtId="0" fontId="33" fillId="9" borderId="15" xfId="6" applyFont="1" applyFill="1" applyBorder="1">
      <alignment vertical="center"/>
    </xf>
    <xf numFmtId="0" fontId="39" fillId="0" borderId="62" xfId="0" applyFont="1" applyBorder="1">
      <alignment vertical="center"/>
    </xf>
    <xf numFmtId="0" fontId="33" fillId="0" borderId="50" xfId="0" applyFont="1" applyBorder="1">
      <alignment vertical="center"/>
    </xf>
    <xf numFmtId="0" fontId="33" fillId="0" borderId="135" xfId="0" applyFont="1" applyBorder="1">
      <alignment vertical="center"/>
    </xf>
    <xf numFmtId="0" fontId="33" fillId="0" borderId="136" xfId="0" applyFont="1" applyBorder="1">
      <alignment vertical="center"/>
    </xf>
    <xf numFmtId="200" fontId="33" fillId="0" borderId="0" xfId="0" applyNumberFormat="1" applyFont="1">
      <alignment vertical="center"/>
    </xf>
    <xf numFmtId="0" fontId="33" fillId="0" borderId="0" xfId="0" applyFont="1" applyAlignment="1">
      <alignment horizontal="center" vertical="center"/>
    </xf>
    <xf numFmtId="0" fontId="33" fillId="0" borderId="0" xfId="0" applyFont="1" applyAlignment="1">
      <alignment horizontal="center" vertical="center"/>
    </xf>
    <xf numFmtId="201" fontId="6" fillId="6" borderId="87" xfId="0" applyNumberFormat="1" applyFont="1" applyFill="1" applyBorder="1">
      <alignment vertical="center"/>
    </xf>
    <xf numFmtId="0" fontId="6" fillId="0" borderId="137" xfId="0" applyFont="1" applyFill="1" applyBorder="1">
      <alignment vertical="center"/>
    </xf>
    <xf numFmtId="177" fontId="6" fillId="0" borderId="0" xfId="0" applyNumberFormat="1" applyFont="1" applyFill="1" applyBorder="1">
      <alignment vertical="center"/>
    </xf>
    <xf numFmtId="0" fontId="35" fillId="0" borderId="0" xfId="0" applyFont="1" applyFill="1" applyBorder="1">
      <alignment vertical="center"/>
    </xf>
    <xf numFmtId="189" fontId="35" fillId="0" borderId="25" xfId="0" applyNumberFormat="1" applyFont="1" applyBorder="1" applyAlignment="1">
      <alignment horizontal="center" vertical="center" shrinkToFit="1"/>
    </xf>
    <xf numFmtId="188" fontId="35" fillId="0" borderId="25" xfId="0" applyNumberFormat="1" applyFont="1" applyBorder="1">
      <alignment vertical="center"/>
    </xf>
    <xf numFmtId="0" fontId="35" fillId="0" borderId="0" xfId="0" applyFont="1" applyFill="1" applyBorder="1" applyAlignment="1">
      <alignment vertical="center" shrinkToFit="1"/>
    </xf>
    <xf numFmtId="192" fontId="35" fillId="0" borderId="25" xfId="0" applyNumberFormat="1" applyFont="1" applyBorder="1">
      <alignment vertical="center"/>
    </xf>
    <xf numFmtId="188" fontId="35" fillId="0" borderId="0" xfId="0" applyNumberFormat="1" applyFont="1" applyFill="1" applyBorder="1" applyAlignment="1">
      <alignment vertical="center" shrinkToFit="1"/>
    </xf>
    <xf numFmtId="189" fontId="35" fillId="0" borderId="0" xfId="0" applyNumberFormat="1" applyFont="1" applyFill="1" applyBorder="1" applyAlignment="1">
      <alignment vertical="center" shrinkToFit="1"/>
    </xf>
    <xf numFmtId="188" fontId="35" fillId="0" borderId="25" xfId="0" applyNumberFormat="1" applyFont="1" applyBorder="1" applyAlignment="1">
      <alignment horizontal="center" vertical="center" shrinkToFit="1"/>
    </xf>
    <xf numFmtId="194" fontId="35" fillId="0" borderId="25" xfId="0" applyNumberFormat="1" applyFont="1" applyBorder="1">
      <alignment vertical="center"/>
    </xf>
    <xf numFmtId="0" fontId="35" fillId="0" borderId="25" xfId="0" applyFont="1" applyBorder="1">
      <alignment vertical="center"/>
    </xf>
    <xf numFmtId="0" fontId="52" fillId="0" borderId="0" xfId="0" applyFont="1" applyFill="1" applyBorder="1" applyAlignment="1">
      <alignment vertical="center" shrinkToFit="1"/>
    </xf>
    <xf numFmtId="188" fontId="52" fillId="0" borderId="0" xfId="0" applyNumberFormat="1" applyFont="1" applyFill="1" applyBorder="1" applyAlignment="1">
      <alignment vertical="center" shrinkToFit="1"/>
    </xf>
    <xf numFmtId="189" fontId="52" fillId="0" borderId="0" xfId="0" applyNumberFormat="1" applyFont="1" applyFill="1" applyBorder="1" applyAlignment="1">
      <alignment vertical="center" shrinkToFit="1"/>
    </xf>
    <xf numFmtId="0" fontId="58" fillId="0" borderId="0" xfId="0" applyFont="1" applyFill="1" applyBorder="1">
      <alignment vertical="center"/>
    </xf>
    <xf numFmtId="189" fontId="35" fillId="0" borderId="25" xfId="0" applyNumberFormat="1" applyFont="1" applyBorder="1" applyAlignment="1">
      <alignment vertical="center" shrinkToFit="1"/>
    </xf>
    <xf numFmtId="0" fontId="59" fillId="0" borderId="0" xfId="0" applyFont="1" applyFill="1" applyBorder="1">
      <alignment vertical="center"/>
    </xf>
    <xf numFmtId="0" fontId="59" fillId="0" borderId="0" xfId="0" applyFont="1" applyBorder="1">
      <alignment vertical="center"/>
    </xf>
    <xf numFmtId="0" fontId="47" fillId="0" borderId="0" xfId="0" applyFont="1" applyFill="1" applyBorder="1" applyAlignment="1">
      <alignment vertical="center" shrinkToFit="1"/>
    </xf>
    <xf numFmtId="0" fontId="57" fillId="0" borderId="0" xfId="0" applyFont="1" applyFill="1" applyBorder="1" applyAlignment="1">
      <alignment vertical="center" shrinkToFit="1"/>
    </xf>
    <xf numFmtId="0" fontId="35" fillId="0" borderId="25" xfId="0" applyFont="1" applyBorder="1" applyAlignment="1">
      <alignment horizontal="right" vertical="center"/>
    </xf>
    <xf numFmtId="189" fontId="35" fillId="0" borderId="25" xfId="0" applyNumberFormat="1" applyFont="1" applyBorder="1" applyAlignment="1">
      <alignment horizontal="center" vertical="center"/>
    </xf>
    <xf numFmtId="188" fontId="35" fillId="0" borderId="25" xfId="0" applyNumberFormat="1" applyFont="1" applyFill="1" applyBorder="1" applyAlignment="1">
      <alignment vertical="center" shrinkToFit="1"/>
    </xf>
    <xf numFmtId="193" fontId="35" fillId="0" borderId="0" xfId="0" applyNumberFormat="1" applyFont="1">
      <alignment vertical="center"/>
    </xf>
    <xf numFmtId="0" fontId="35" fillId="0" borderId="25" xfId="0" applyFont="1" applyBorder="1" applyAlignment="1">
      <alignment horizontal="center" vertical="center"/>
    </xf>
    <xf numFmtId="189" fontId="35" fillId="0" borderId="25" xfId="0" applyNumberFormat="1" applyFont="1" applyFill="1" applyBorder="1" applyAlignment="1">
      <alignment vertical="center" shrinkToFit="1"/>
    </xf>
    <xf numFmtId="189" fontId="35" fillId="0" borderId="25" xfId="0" applyNumberFormat="1" applyFont="1" applyFill="1" applyBorder="1">
      <alignment vertical="center"/>
    </xf>
    <xf numFmtId="189" fontId="52" fillId="0" borderId="25" xfId="0" applyNumberFormat="1" applyFont="1" applyFill="1" applyBorder="1" applyAlignment="1">
      <alignment vertical="center" shrinkToFit="1"/>
    </xf>
    <xf numFmtId="0" fontId="57" fillId="0" borderId="25" xfId="0" applyFont="1" applyBorder="1">
      <alignment vertical="center"/>
    </xf>
    <xf numFmtId="189" fontId="35" fillId="0" borderId="25" xfId="10" applyNumberFormat="1" applyFont="1" applyFill="1" applyBorder="1">
      <alignment vertical="center"/>
    </xf>
    <xf numFmtId="192" fontId="35" fillId="0" borderId="0" xfId="0" applyNumberFormat="1" applyFont="1">
      <alignment vertical="center"/>
    </xf>
    <xf numFmtId="9" fontId="35" fillId="0" borderId="0" xfId="0" applyNumberFormat="1" applyFont="1">
      <alignment vertical="center"/>
    </xf>
    <xf numFmtId="188" fontId="35" fillId="0" borderId="25" xfId="10" applyNumberFormat="1" applyFont="1" applyFill="1" applyBorder="1" applyAlignment="1">
      <alignment vertical="center" shrinkToFit="1"/>
    </xf>
    <xf numFmtId="188" fontId="57" fillId="0" borderId="25" xfId="0" applyNumberFormat="1" applyFont="1" applyBorder="1" applyAlignment="1">
      <alignment vertical="center" shrinkToFit="1"/>
    </xf>
    <xf numFmtId="0" fontId="35" fillId="0" borderId="0" xfId="0" applyFont="1" applyBorder="1" applyAlignment="1">
      <alignment vertical="center" shrinkToFit="1"/>
    </xf>
    <xf numFmtId="191" fontId="35" fillId="0" borderId="0" xfId="0" applyNumberFormat="1" applyFont="1" applyBorder="1" applyAlignment="1">
      <alignment vertical="center" shrinkToFit="1"/>
    </xf>
    <xf numFmtId="0" fontId="52" fillId="0" borderId="0" xfId="0" applyFont="1" applyBorder="1">
      <alignment vertical="center"/>
    </xf>
    <xf numFmtId="0" fontId="52" fillId="0" borderId="0" xfId="0" applyFont="1" applyBorder="1" applyAlignment="1">
      <alignment vertical="center"/>
    </xf>
    <xf numFmtId="0" fontId="52" fillId="0" borderId="25" xfId="0" applyFont="1" applyBorder="1">
      <alignment vertical="center"/>
    </xf>
    <xf numFmtId="0" fontId="33" fillId="0" borderId="25" xfId="0" applyFont="1" applyBorder="1" applyAlignment="1">
      <alignment vertical="center"/>
    </xf>
    <xf numFmtId="0" fontId="35" fillId="0" borderId="25" xfId="0" applyFont="1" applyBorder="1" applyAlignment="1">
      <alignment vertical="center"/>
    </xf>
    <xf numFmtId="0" fontId="52" fillId="0" borderId="25" xfId="0" applyFont="1" applyBorder="1" applyAlignment="1">
      <alignment vertical="center" shrinkToFit="1"/>
    </xf>
    <xf numFmtId="0" fontId="57" fillId="0" borderId="25" xfId="0" applyFont="1" applyBorder="1" applyAlignment="1">
      <alignment horizontal="center" vertical="center" shrinkToFit="1"/>
    </xf>
    <xf numFmtId="202" fontId="35" fillId="0" borderId="25" xfId="0" applyNumberFormat="1" applyFont="1" applyBorder="1" applyAlignment="1">
      <alignment vertical="center" shrinkToFit="1"/>
    </xf>
    <xf numFmtId="191" fontId="57" fillId="0" borderId="25" xfId="0" applyNumberFormat="1" applyFont="1" applyBorder="1" applyAlignment="1">
      <alignment horizontal="center" vertical="center" shrinkToFit="1"/>
    </xf>
    <xf numFmtId="0" fontId="57" fillId="0" borderId="0" xfId="0" applyFont="1" applyBorder="1" applyAlignment="1">
      <alignment vertical="center" shrinkToFit="1"/>
    </xf>
    <xf numFmtId="191" fontId="35" fillId="0" borderId="25" xfId="0" applyNumberFormat="1" applyFont="1" applyBorder="1" applyAlignment="1">
      <alignment horizontal="center" vertical="center" shrinkToFit="1"/>
    </xf>
    <xf numFmtId="38" fontId="57" fillId="0" borderId="25" xfId="0" applyNumberFormat="1" applyFont="1" applyBorder="1" applyAlignment="1">
      <alignment horizontal="center" vertical="center" shrinkToFit="1"/>
    </xf>
    <xf numFmtId="189" fontId="35" fillId="0" borderId="0" xfId="0" applyNumberFormat="1" applyFont="1" applyBorder="1" applyAlignment="1">
      <alignment vertical="center" shrinkToFit="1"/>
    </xf>
    <xf numFmtId="189" fontId="57" fillId="0" borderId="25" xfId="0" applyNumberFormat="1" applyFont="1" applyBorder="1" applyAlignment="1">
      <alignment vertical="center" shrinkToFit="1"/>
    </xf>
    <xf numFmtId="0" fontId="35" fillId="0" borderId="0" xfId="0" applyFont="1" applyBorder="1" applyAlignment="1">
      <alignment horizontal="center" vertical="center" shrinkToFit="1"/>
    </xf>
    <xf numFmtId="203" fontId="35" fillId="0" borderId="25" xfId="0" applyNumberFormat="1" applyFont="1" applyBorder="1" applyAlignment="1">
      <alignment vertical="center" shrinkToFit="1"/>
    </xf>
    <xf numFmtId="190" fontId="35" fillId="0" borderId="25" xfId="0" applyNumberFormat="1" applyFont="1" applyBorder="1" applyAlignment="1">
      <alignment vertical="center" shrinkToFit="1"/>
    </xf>
    <xf numFmtId="193" fontId="35" fillId="0" borderId="25" xfId="0" applyNumberFormat="1" applyFont="1" applyBorder="1" applyAlignment="1">
      <alignment vertical="center" shrinkToFit="1"/>
    </xf>
    <xf numFmtId="204" fontId="35" fillId="0" borderId="25" xfId="0" applyNumberFormat="1" applyFont="1" applyBorder="1" applyAlignment="1">
      <alignment vertical="center" shrinkToFit="1"/>
    </xf>
    <xf numFmtId="189" fontId="52" fillId="0" borderId="25" xfId="0" applyNumberFormat="1" applyFont="1" applyBorder="1" applyAlignment="1">
      <alignment vertical="center" shrinkToFit="1"/>
    </xf>
    <xf numFmtId="188" fontId="52" fillId="0" borderId="25" xfId="0" applyNumberFormat="1" applyFont="1" applyBorder="1" applyAlignment="1">
      <alignment vertical="center" shrinkToFit="1"/>
    </xf>
    <xf numFmtId="0" fontId="35" fillId="0" borderId="0" xfId="0" applyFont="1" applyBorder="1" applyAlignment="1">
      <alignment vertical="center"/>
    </xf>
    <xf numFmtId="188" fontId="35" fillId="0" borderId="0" xfId="0" applyNumberFormat="1" applyFont="1" applyBorder="1" applyAlignment="1">
      <alignment vertical="center"/>
    </xf>
    <xf numFmtId="189" fontId="47" fillId="0" borderId="0" xfId="0" applyNumberFormat="1" applyFont="1" applyBorder="1" applyAlignment="1">
      <alignment vertical="center"/>
    </xf>
    <xf numFmtId="189" fontId="35" fillId="0" borderId="0" xfId="0" applyNumberFormat="1" applyFont="1" applyBorder="1" applyAlignment="1">
      <alignment horizontal="center" vertical="center" shrinkToFit="1"/>
    </xf>
    <xf numFmtId="0" fontId="52" fillId="0" borderId="0" xfId="0" applyFont="1" applyBorder="1" applyAlignment="1">
      <alignment vertical="center" shrinkToFit="1"/>
    </xf>
    <xf numFmtId="196" fontId="35" fillId="0" borderId="25" xfId="0" applyNumberFormat="1" applyFont="1" applyBorder="1">
      <alignment vertical="center"/>
    </xf>
    <xf numFmtId="0" fontId="66" fillId="0" borderId="0" xfId="0" applyFont="1" applyBorder="1">
      <alignment vertical="center"/>
    </xf>
    <xf numFmtId="188" fontId="35" fillId="0" borderId="0" xfId="0" applyNumberFormat="1" applyFont="1" applyBorder="1">
      <alignment vertical="center"/>
    </xf>
    <xf numFmtId="0" fontId="35" fillId="0" borderId="102" xfId="0" applyFont="1" applyBorder="1">
      <alignment vertical="center"/>
    </xf>
    <xf numFmtId="0" fontId="67" fillId="0" borderId="25" xfId="0" applyFont="1" applyBorder="1">
      <alignment vertical="center"/>
    </xf>
    <xf numFmtId="0" fontId="67" fillId="0" borderId="102" xfId="0" applyFont="1" applyBorder="1">
      <alignment vertical="center"/>
    </xf>
    <xf numFmtId="196" fontId="35" fillId="0" borderId="25" xfId="0" applyNumberFormat="1" applyFont="1" applyBorder="1" applyAlignment="1">
      <alignment vertical="center" shrinkToFit="1"/>
    </xf>
    <xf numFmtId="0" fontId="39" fillId="2" borderId="138" xfId="5" applyFont="1" applyFill="1" applyBorder="1" applyAlignment="1">
      <alignment horizontal="center" vertical="center"/>
    </xf>
    <xf numFmtId="0" fontId="39" fillId="2" borderId="61" xfId="5" applyFont="1" applyFill="1" applyBorder="1" applyAlignment="1">
      <alignment horizontal="center" vertical="center"/>
    </xf>
    <xf numFmtId="176" fontId="33" fillId="0" borderId="102" xfId="5" applyNumberFormat="1" applyFont="1" applyFill="1" applyBorder="1">
      <alignment vertical="center"/>
    </xf>
    <xf numFmtId="0" fontId="33" fillId="0" borderId="26" xfId="5" applyFont="1" applyBorder="1">
      <alignment vertical="center"/>
    </xf>
    <xf numFmtId="176" fontId="33" fillId="0" borderId="140" xfId="5" applyNumberFormat="1" applyFont="1" applyFill="1" applyBorder="1">
      <alignment vertical="center"/>
    </xf>
    <xf numFmtId="0" fontId="33" fillId="0" borderId="141" xfId="5" applyFont="1" applyBorder="1">
      <alignment vertical="center"/>
    </xf>
    <xf numFmtId="0" fontId="39" fillId="2" borderId="142" xfId="5" applyFont="1" applyFill="1" applyBorder="1" applyAlignment="1">
      <alignment horizontal="center" vertical="center"/>
    </xf>
    <xf numFmtId="0" fontId="39" fillId="2" borderId="61" xfId="5" applyFont="1" applyFill="1" applyBorder="1" applyAlignment="1">
      <alignment horizontal="center" vertical="center" wrapText="1"/>
    </xf>
    <xf numFmtId="0" fontId="33" fillId="0" borderId="57" xfId="5" applyFont="1" applyBorder="1">
      <alignment vertical="center"/>
    </xf>
    <xf numFmtId="176" fontId="33" fillId="4" borderId="48" xfId="5" applyNumberFormat="1" applyFont="1" applyFill="1" applyBorder="1">
      <alignment vertical="center"/>
    </xf>
    <xf numFmtId="176" fontId="6" fillId="6" borderId="87" xfId="1" applyNumberFormat="1" applyFont="1" applyFill="1" applyBorder="1" applyAlignment="1">
      <alignment horizontal="right" vertical="center"/>
    </xf>
    <xf numFmtId="0" fontId="33" fillId="0" borderId="43" xfId="0" applyFont="1" applyFill="1" applyBorder="1">
      <alignment vertical="center"/>
    </xf>
    <xf numFmtId="0" fontId="33" fillId="0" borderId="2" xfId="0" applyFont="1" applyBorder="1" applyAlignment="1">
      <alignment horizontal="center" vertical="center"/>
    </xf>
    <xf numFmtId="0" fontId="33" fillId="0" borderId="0" xfId="0" applyFont="1" applyAlignment="1">
      <alignment horizontal="center" vertical="center"/>
    </xf>
    <xf numFmtId="0" fontId="6" fillId="3" borderId="0" xfId="0" applyFont="1" applyFill="1" applyAlignment="1">
      <alignment horizontal="center" vertical="center"/>
    </xf>
    <xf numFmtId="0" fontId="6" fillId="0" borderId="0" xfId="0" applyFont="1" applyAlignment="1">
      <alignment horizontal="center" vertical="center"/>
    </xf>
    <xf numFmtId="0" fontId="23" fillId="0" borderId="1" xfId="0" applyFont="1" applyBorder="1">
      <alignment vertical="center"/>
    </xf>
    <xf numFmtId="0" fontId="24" fillId="0" borderId="0" xfId="0" applyFont="1">
      <alignment vertical="center"/>
    </xf>
    <xf numFmtId="0" fontId="23" fillId="0" borderId="0" xfId="0" applyFont="1">
      <alignment vertical="center"/>
    </xf>
    <xf numFmtId="0" fontId="7" fillId="0" borderId="2" xfId="0" applyFont="1" applyFill="1" applyBorder="1">
      <alignment vertical="center"/>
    </xf>
    <xf numFmtId="0" fontId="6" fillId="0" borderId="2" xfId="0" applyFont="1" applyBorder="1" applyAlignment="1">
      <alignment horizontal="center" vertical="center"/>
    </xf>
    <xf numFmtId="0" fontId="68" fillId="0" borderId="0" xfId="0" applyFont="1">
      <alignment vertical="center"/>
    </xf>
    <xf numFmtId="0" fontId="6" fillId="0" borderId="0" xfId="0" applyFont="1" applyAlignment="1">
      <alignment horizontal="right" vertical="center"/>
    </xf>
    <xf numFmtId="0" fontId="24" fillId="7" borderId="0" xfId="0" applyFont="1" applyFill="1">
      <alignment vertical="center"/>
    </xf>
    <xf numFmtId="0" fontId="6" fillId="0" borderId="88" xfId="0" applyFont="1" applyBorder="1">
      <alignment vertical="center"/>
    </xf>
    <xf numFmtId="0" fontId="7" fillId="0" borderId="0" xfId="0" applyFont="1" applyBorder="1">
      <alignment vertical="center"/>
    </xf>
    <xf numFmtId="0" fontId="6" fillId="3" borderId="0" xfId="0" applyFont="1" applyFill="1">
      <alignment vertical="center"/>
    </xf>
    <xf numFmtId="0" fontId="24" fillId="0" borderId="1" xfId="0" applyFont="1" applyBorder="1">
      <alignment vertical="center"/>
    </xf>
    <xf numFmtId="0" fontId="33" fillId="7" borderId="0" xfId="0" applyFont="1" applyFill="1" applyAlignment="1">
      <alignment horizontal="right" vertical="center"/>
    </xf>
    <xf numFmtId="0" fontId="54" fillId="0" borderId="87" xfId="0" applyFont="1" applyFill="1" applyBorder="1">
      <alignment vertical="center"/>
    </xf>
    <xf numFmtId="0" fontId="33" fillId="0" borderId="87" xfId="0" applyFont="1" applyFill="1" applyBorder="1">
      <alignment vertical="center"/>
    </xf>
    <xf numFmtId="0" fontId="33" fillId="6" borderId="87" xfId="0" applyFont="1" applyFill="1" applyBorder="1">
      <alignment vertical="center"/>
    </xf>
    <xf numFmtId="176" fontId="33" fillId="0" borderId="87" xfId="1" applyNumberFormat="1" applyFont="1" applyFill="1" applyBorder="1" applyAlignment="1">
      <alignment horizontal="right" vertical="center"/>
    </xf>
    <xf numFmtId="176" fontId="33" fillId="6" borderId="87" xfId="1" applyNumberFormat="1" applyFont="1" applyFill="1" applyBorder="1">
      <alignment vertical="center"/>
    </xf>
    <xf numFmtId="40" fontId="33" fillId="6" borderId="87" xfId="1" applyNumberFormat="1" applyFont="1" applyFill="1" applyBorder="1">
      <alignment vertical="center"/>
    </xf>
    <xf numFmtId="176" fontId="33" fillId="6" borderId="87" xfId="0" applyNumberFormat="1" applyFont="1" applyFill="1" applyBorder="1">
      <alignment vertical="center"/>
    </xf>
    <xf numFmtId="177" fontId="33" fillId="6" borderId="87" xfId="0" applyNumberFormat="1" applyFont="1" applyFill="1" applyBorder="1">
      <alignment vertical="center"/>
    </xf>
    <xf numFmtId="3" fontId="33" fillId="6" borderId="87" xfId="0" applyNumberFormat="1" applyFont="1" applyFill="1" applyBorder="1">
      <alignment vertical="center"/>
    </xf>
    <xf numFmtId="3" fontId="33" fillId="6" borderId="87" xfId="1" applyNumberFormat="1" applyFont="1" applyFill="1" applyBorder="1">
      <alignment vertical="center"/>
    </xf>
    <xf numFmtId="0" fontId="51" fillId="0" borderId="0" xfId="0" applyFont="1">
      <alignment vertical="center"/>
    </xf>
    <xf numFmtId="176" fontId="33" fillId="8" borderId="87" xfId="1" applyNumberFormat="1" applyFont="1" applyFill="1" applyBorder="1">
      <alignment vertical="center"/>
    </xf>
    <xf numFmtId="176" fontId="33" fillId="0" borderId="0" xfId="0" applyNumberFormat="1" applyFont="1">
      <alignment vertical="center"/>
    </xf>
    <xf numFmtId="176" fontId="33" fillId="0" borderId="2" xfId="1" applyNumberFormat="1" applyFont="1" applyBorder="1">
      <alignment vertical="center"/>
    </xf>
    <xf numFmtId="176" fontId="33" fillId="0" borderId="0" xfId="1" applyNumberFormat="1" applyFont="1">
      <alignment vertical="center"/>
    </xf>
    <xf numFmtId="176" fontId="33" fillId="0" borderId="87" xfId="1" applyNumberFormat="1" applyFont="1" applyFill="1" applyBorder="1">
      <alignment vertical="center"/>
    </xf>
    <xf numFmtId="0" fontId="39" fillId="7" borderId="2" xfId="0" applyFont="1" applyFill="1" applyBorder="1">
      <alignment vertical="center"/>
    </xf>
    <xf numFmtId="3" fontId="33" fillId="0" borderId="87" xfId="0" applyNumberFormat="1" applyFont="1" applyFill="1" applyBorder="1">
      <alignment vertical="center"/>
    </xf>
    <xf numFmtId="181" fontId="33" fillId="0" borderId="87" xfId="1" applyNumberFormat="1" applyFont="1" applyFill="1" applyBorder="1">
      <alignment vertical="center"/>
    </xf>
    <xf numFmtId="0" fontId="33" fillId="0" borderId="0" xfId="0" applyFont="1" applyFill="1" applyBorder="1">
      <alignment vertical="center"/>
    </xf>
    <xf numFmtId="0" fontId="33" fillId="7" borderId="0" xfId="0" applyFont="1" applyFill="1" applyBorder="1">
      <alignment vertical="center"/>
    </xf>
    <xf numFmtId="0" fontId="33" fillId="7" borderId="88" xfId="0" applyFont="1" applyFill="1" applyBorder="1">
      <alignment vertical="center"/>
    </xf>
    <xf numFmtId="3" fontId="33" fillId="0" borderId="0" xfId="0" applyNumberFormat="1" applyFont="1" applyFill="1" applyBorder="1">
      <alignment vertical="center"/>
    </xf>
    <xf numFmtId="38" fontId="33" fillId="0" borderId="87" xfId="1" applyFont="1" applyFill="1" applyBorder="1">
      <alignment vertical="center"/>
    </xf>
    <xf numFmtId="178" fontId="33" fillId="0" borderId="87" xfId="0" applyNumberFormat="1" applyFont="1" applyFill="1" applyBorder="1">
      <alignment vertical="center"/>
    </xf>
    <xf numFmtId="4" fontId="33" fillId="6" borderId="87" xfId="0" applyNumberFormat="1" applyFont="1" applyFill="1" applyBorder="1">
      <alignment vertical="center"/>
    </xf>
    <xf numFmtId="177" fontId="33" fillId="7" borderId="87" xfId="0" applyNumberFormat="1" applyFont="1" applyFill="1" applyBorder="1">
      <alignment vertical="center"/>
    </xf>
    <xf numFmtId="0" fontId="39" fillId="7" borderId="0" xfId="0" applyFont="1" applyFill="1" applyAlignment="1">
      <alignment horizontal="right" vertical="center"/>
    </xf>
    <xf numFmtId="38" fontId="33" fillId="6" borderId="87" xfId="1" applyNumberFormat="1" applyFont="1" applyFill="1" applyBorder="1">
      <alignment vertical="center"/>
    </xf>
    <xf numFmtId="1" fontId="33" fillId="6" borderId="87" xfId="0" applyNumberFormat="1" applyFont="1" applyFill="1" applyBorder="1">
      <alignment vertical="center"/>
    </xf>
    <xf numFmtId="176" fontId="33" fillId="7" borderId="87" xfId="1" applyNumberFormat="1" applyFont="1" applyFill="1" applyBorder="1">
      <alignment vertical="center"/>
    </xf>
    <xf numFmtId="0" fontId="0" fillId="0" borderId="0" xfId="0" applyFont="1">
      <alignment vertical="center"/>
    </xf>
    <xf numFmtId="195" fontId="33" fillId="7" borderId="87" xfId="1" applyNumberFormat="1" applyFont="1" applyFill="1" applyBorder="1">
      <alignment vertical="center"/>
    </xf>
    <xf numFmtId="3" fontId="33" fillId="6" borderId="101" xfId="0" applyNumberFormat="1" applyFont="1" applyFill="1" applyBorder="1" applyAlignment="1">
      <alignment vertical="center" shrinkToFit="1"/>
    </xf>
    <xf numFmtId="0" fontId="33" fillId="6" borderId="101" xfId="0" applyFont="1" applyFill="1" applyBorder="1" applyAlignment="1">
      <alignment vertical="center" shrinkToFit="1"/>
    </xf>
    <xf numFmtId="38" fontId="33" fillId="6" borderId="87" xfId="1" applyNumberFormat="1" applyFont="1" applyFill="1" applyBorder="1" applyAlignment="1">
      <alignment horizontal="right" vertical="center"/>
    </xf>
    <xf numFmtId="178" fontId="33" fillId="6" borderId="87" xfId="0" applyNumberFormat="1" applyFont="1" applyFill="1" applyBorder="1">
      <alignment vertical="center"/>
    </xf>
    <xf numFmtId="38" fontId="33" fillId="7" borderId="87" xfId="1" applyFont="1" applyFill="1" applyBorder="1">
      <alignment vertical="center"/>
    </xf>
    <xf numFmtId="189" fontId="33" fillId="0" borderId="0" xfId="0" applyNumberFormat="1" applyFont="1" applyAlignment="1">
      <alignment vertical="center" shrinkToFit="1"/>
    </xf>
    <xf numFmtId="196" fontId="33" fillId="6" borderId="87" xfId="1" applyNumberFormat="1" applyFont="1" applyFill="1" applyBorder="1">
      <alignment vertical="center"/>
    </xf>
    <xf numFmtId="196" fontId="33" fillId="6" borderId="87" xfId="0" applyNumberFormat="1" applyFont="1" applyFill="1" applyBorder="1">
      <alignment vertical="center"/>
    </xf>
    <xf numFmtId="188" fontId="33" fillId="6" borderId="87" xfId="0" applyNumberFormat="1" applyFont="1" applyFill="1" applyBorder="1">
      <alignment vertical="center"/>
    </xf>
    <xf numFmtId="188" fontId="33" fillId="6" borderId="87" xfId="1" applyNumberFormat="1" applyFont="1" applyFill="1" applyBorder="1">
      <alignment vertical="center"/>
    </xf>
    <xf numFmtId="194" fontId="33" fillId="6" borderId="87" xfId="1" applyNumberFormat="1" applyFont="1" applyFill="1" applyBorder="1">
      <alignment vertical="center"/>
    </xf>
    <xf numFmtId="0" fontId="39" fillId="0" borderId="2" xfId="0" applyFont="1" applyBorder="1">
      <alignment vertical="center"/>
    </xf>
    <xf numFmtId="182" fontId="33" fillId="6" borderId="87" xfId="1" applyNumberFormat="1" applyFont="1" applyFill="1" applyBorder="1">
      <alignment vertical="center"/>
    </xf>
    <xf numFmtId="0" fontId="51" fillId="4" borderId="52" xfId="0" applyFont="1" applyFill="1" applyBorder="1" applyAlignment="1">
      <alignment horizontal="centerContinuous" vertical="center" wrapText="1"/>
    </xf>
    <xf numFmtId="0" fontId="32" fillId="4" borderId="52" xfId="0" applyFont="1" applyFill="1" applyBorder="1" applyAlignment="1">
      <alignment horizontal="centerContinuous" vertical="center" wrapText="1"/>
    </xf>
    <xf numFmtId="0" fontId="32" fillId="4" borderId="53" xfId="0" applyFont="1" applyFill="1" applyBorder="1" applyAlignment="1">
      <alignment horizontal="centerContinuous" vertical="center" wrapText="1"/>
    </xf>
    <xf numFmtId="0" fontId="33" fillId="4" borderId="107" xfId="5" applyFont="1" applyFill="1" applyBorder="1" applyAlignment="1">
      <alignment horizontal="center" vertical="center" wrapText="1"/>
    </xf>
    <xf numFmtId="0" fontId="33" fillId="4" borderId="68" xfId="5" applyFont="1" applyFill="1" applyBorder="1" applyAlignment="1">
      <alignment horizontal="center" vertical="center" wrapText="1"/>
    </xf>
    <xf numFmtId="0" fontId="33" fillId="4" borderId="7" xfId="5" applyFont="1" applyFill="1" applyBorder="1" applyAlignment="1">
      <alignment horizontal="center" vertical="center" wrapText="1"/>
    </xf>
    <xf numFmtId="0" fontId="33" fillId="4" borderId="4" xfId="5" applyFont="1" applyFill="1" applyBorder="1" applyAlignment="1">
      <alignment horizontal="center" vertical="center" wrapText="1"/>
    </xf>
    <xf numFmtId="0" fontId="33" fillId="4" borderId="107" xfId="0" applyFont="1" applyFill="1" applyBorder="1" applyAlignment="1">
      <alignment horizontal="center" vertical="center" wrapText="1"/>
    </xf>
    <xf numFmtId="0" fontId="33" fillId="4" borderId="7" xfId="0" applyFont="1" applyFill="1" applyBorder="1" applyAlignment="1">
      <alignment horizontal="center" vertical="center" wrapText="1"/>
    </xf>
    <xf numFmtId="0" fontId="33" fillId="4" borderId="4" xfId="0" applyFont="1" applyFill="1" applyBorder="1" applyAlignment="1">
      <alignment horizontal="center" vertical="center" wrapText="1"/>
    </xf>
    <xf numFmtId="0" fontId="33" fillId="4" borderId="68" xfId="0" applyFont="1" applyFill="1" applyBorder="1" applyAlignment="1">
      <alignment horizontal="center" vertical="center" wrapText="1"/>
    </xf>
    <xf numFmtId="0" fontId="33" fillId="4" borderId="3" xfId="0" applyFont="1" applyFill="1" applyBorder="1" applyAlignment="1">
      <alignment horizontal="center" vertical="center" wrapText="1"/>
    </xf>
    <xf numFmtId="0" fontId="33" fillId="4" borderId="112" xfId="0" applyFont="1" applyFill="1" applyBorder="1" applyAlignment="1">
      <alignment horizontal="center" vertical="center" wrapText="1"/>
    </xf>
    <xf numFmtId="0" fontId="33" fillId="4" borderId="113" xfId="0" applyFont="1" applyFill="1" applyBorder="1" applyAlignment="1">
      <alignment horizontal="center" vertical="center" wrapText="1"/>
    </xf>
    <xf numFmtId="0" fontId="33" fillId="4" borderId="110" xfId="0" applyFont="1" applyFill="1" applyBorder="1" applyAlignment="1">
      <alignment horizontal="center" vertical="center" wrapText="1"/>
    </xf>
    <xf numFmtId="0" fontId="33" fillId="9" borderId="131" xfId="0" applyFont="1" applyFill="1" applyBorder="1" applyAlignment="1">
      <alignment horizontal="right" vertical="center" wrapText="1"/>
    </xf>
    <xf numFmtId="0" fontId="33" fillId="9" borderId="107" xfId="0" applyFont="1" applyFill="1" applyBorder="1" applyAlignment="1">
      <alignment horizontal="right" vertical="center" wrapText="1"/>
    </xf>
    <xf numFmtId="0" fontId="33" fillId="9" borderId="7" xfId="0" applyFont="1" applyFill="1" applyBorder="1" applyAlignment="1">
      <alignment horizontal="right" vertical="center" wrapText="1"/>
    </xf>
    <xf numFmtId="0" fontId="33" fillId="9" borderId="4" xfId="0" applyFont="1" applyFill="1" applyBorder="1" applyAlignment="1">
      <alignment horizontal="right" vertical="center" wrapText="1"/>
    </xf>
    <xf numFmtId="0" fontId="33" fillId="9" borderId="107" xfId="0" applyFont="1" applyFill="1" applyBorder="1" applyAlignment="1">
      <alignment horizontal="center" vertical="center" wrapText="1"/>
    </xf>
    <xf numFmtId="0" fontId="33" fillId="9" borderId="4" xfId="0" applyFont="1" applyFill="1" applyBorder="1" applyAlignment="1">
      <alignment horizontal="center" vertical="center" wrapText="1"/>
    </xf>
    <xf numFmtId="40" fontId="33" fillId="9" borderId="40" xfId="1" applyNumberFormat="1" applyFont="1" applyFill="1" applyBorder="1">
      <alignment vertical="center"/>
    </xf>
    <xf numFmtId="40" fontId="33" fillId="9" borderId="98" xfId="1" applyNumberFormat="1" applyFont="1" applyFill="1" applyBorder="1">
      <alignment vertical="center"/>
    </xf>
    <xf numFmtId="40" fontId="33" fillId="9" borderId="110" xfId="1" applyNumberFormat="1" applyFont="1" applyFill="1" applyBorder="1">
      <alignment vertical="center"/>
    </xf>
    <xf numFmtId="40" fontId="33" fillId="9" borderId="114" xfId="1" applyNumberFormat="1" applyFont="1" applyFill="1" applyBorder="1">
      <alignment vertical="center"/>
    </xf>
    <xf numFmtId="40" fontId="33" fillId="9" borderId="113" xfId="1" applyNumberFormat="1" applyFont="1" applyFill="1" applyBorder="1">
      <alignment vertical="center"/>
    </xf>
    <xf numFmtId="40" fontId="33" fillId="9" borderId="62" xfId="1" applyNumberFormat="1" applyFont="1" applyFill="1" applyBorder="1">
      <alignment vertical="center"/>
    </xf>
    <xf numFmtId="40" fontId="33" fillId="9" borderId="46" xfId="1" applyNumberFormat="1" applyFont="1" applyFill="1" applyBorder="1">
      <alignment vertical="center"/>
    </xf>
    <xf numFmtId="40" fontId="33" fillId="4" borderId="4" xfId="1" applyNumberFormat="1" applyFont="1" applyFill="1" applyBorder="1">
      <alignment vertical="center"/>
    </xf>
    <xf numFmtId="40" fontId="33" fillId="4" borderId="68" xfId="1" applyNumberFormat="1" applyFont="1" applyFill="1" applyBorder="1">
      <alignment vertical="center"/>
    </xf>
    <xf numFmtId="40" fontId="33" fillId="4" borderId="3" xfId="1" applyNumberFormat="1" applyFont="1" applyFill="1" applyBorder="1">
      <alignment vertical="center"/>
    </xf>
    <xf numFmtId="40" fontId="33" fillId="4" borderId="62" xfId="1" applyNumberFormat="1" applyFont="1" applyFill="1" applyBorder="1">
      <alignment vertical="center"/>
    </xf>
    <xf numFmtId="40" fontId="33" fillId="4" borderId="46" xfId="1" applyNumberFormat="1" applyFont="1" applyFill="1" applyBorder="1">
      <alignment vertical="center"/>
    </xf>
    <xf numFmtId="40" fontId="33" fillId="4" borderId="110" xfId="1" applyNumberFormat="1" applyFont="1" applyFill="1" applyBorder="1">
      <alignment vertical="center"/>
    </xf>
    <xf numFmtId="40" fontId="33" fillId="4" borderId="114" xfId="1" applyNumberFormat="1" applyFont="1" applyFill="1" applyBorder="1">
      <alignment vertical="center"/>
    </xf>
    <xf numFmtId="40" fontId="33" fillId="4" borderId="113" xfId="1" applyNumberFormat="1" applyFont="1" applyFill="1" applyBorder="1">
      <alignment vertical="center"/>
    </xf>
    <xf numFmtId="40" fontId="33" fillId="4" borderId="6" xfId="1" applyNumberFormat="1" applyFont="1" applyFill="1" applyBorder="1">
      <alignment vertical="center"/>
    </xf>
    <xf numFmtId="40" fontId="33" fillId="4" borderId="130" xfId="1" applyNumberFormat="1" applyFont="1" applyFill="1" applyBorder="1">
      <alignment vertical="center"/>
    </xf>
    <xf numFmtId="40" fontId="33" fillId="4" borderId="5" xfId="1" applyNumberFormat="1" applyFont="1" applyFill="1" applyBorder="1">
      <alignment vertical="center"/>
    </xf>
    <xf numFmtId="40" fontId="33" fillId="4" borderId="45" xfId="1" applyNumberFormat="1" applyFont="1" applyFill="1" applyBorder="1">
      <alignment vertical="center"/>
    </xf>
    <xf numFmtId="40" fontId="33" fillId="4" borderId="108" xfId="1" applyNumberFormat="1" applyFont="1" applyFill="1" applyBorder="1">
      <alignment vertical="center"/>
    </xf>
    <xf numFmtId="40" fontId="33" fillId="4" borderId="115" xfId="1" applyNumberFormat="1" applyFont="1" applyFill="1" applyBorder="1">
      <alignment vertical="center"/>
    </xf>
    <xf numFmtId="40" fontId="33" fillId="4" borderId="116" xfId="1" applyNumberFormat="1" applyFont="1" applyFill="1" applyBorder="1">
      <alignment vertical="center"/>
    </xf>
    <xf numFmtId="40" fontId="33" fillId="4" borderId="117" xfId="1" applyNumberFormat="1" applyFont="1" applyFill="1" applyBorder="1">
      <alignment vertical="center"/>
    </xf>
    <xf numFmtId="0" fontId="35" fillId="2" borderId="58" xfId="8" applyFont="1" applyFill="1" applyBorder="1">
      <alignment vertical="center"/>
    </xf>
    <xf numFmtId="9" fontId="35" fillId="0" borderId="56" xfId="11" applyFont="1" applyFill="1" applyBorder="1">
      <alignment vertical="center"/>
    </xf>
    <xf numFmtId="0" fontId="35" fillId="2" borderId="59" xfId="8" applyFont="1" applyFill="1" applyBorder="1">
      <alignment vertical="center"/>
    </xf>
    <xf numFmtId="0" fontId="35" fillId="0" borderId="57" xfId="8" applyNumberFormat="1" applyFont="1" applyFill="1" applyBorder="1">
      <alignment vertical="center"/>
    </xf>
    <xf numFmtId="0" fontId="52" fillId="0" borderId="0" xfId="8" applyFont="1" applyFill="1" applyBorder="1">
      <alignment vertical="center"/>
    </xf>
    <xf numFmtId="9" fontId="52" fillId="0" borderId="0" xfId="8" applyNumberFormat="1" applyFont="1" applyFill="1" applyBorder="1">
      <alignment vertical="center"/>
    </xf>
    <xf numFmtId="0" fontId="52" fillId="0" borderId="0" xfId="9" applyFont="1" applyFill="1">
      <alignment vertical="center"/>
    </xf>
    <xf numFmtId="0" fontId="35" fillId="0" borderId="0" xfId="9" applyFont="1" applyFill="1">
      <alignment vertical="center"/>
    </xf>
    <xf numFmtId="9" fontId="35" fillId="0" borderId="0" xfId="9" applyNumberFormat="1" applyFont="1" applyFill="1" applyBorder="1" applyAlignment="1">
      <alignment horizontal="center" vertical="center"/>
    </xf>
    <xf numFmtId="0" fontId="35" fillId="2" borderId="58" xfId="0" applyFont="1" applyFill="1" applyBorder="1" applyAlignment="1">
      <alignment vertical="center"/>
    </xf>
    <xf numFmtId="188" fontId="35" fillId="0" borderId="0" xfId="0" applyNumberFormat="1" applyFont="1" applyFill="1" applyBorder="1" applyAlignment="1"/>
    <xf numFmtId="0" fontId="35" fillId="2" borderId="35" xfId="0" applyFont="1" applyFill="1" applyBorder="1" applyAlignment="1">
      <alignment vertical="center"/>
    </xf>
    <xf numFmtId="0" fontId="35" fillId="7" borderId="0" xfId="0" applyFont="1" applyFill="1" applyBorder="1" applyAlignment="1">
      <alignment horizontal="center"/>
    </xf>
    <xf numFmtId="197" fontId="35" fillId="0" borderId="0" xfId="0" applyNumberFormat="1" applyFont="1" applyFill="1" applyBorder="1" applyAlignment="1"/>
    <xf numFmtId="0" fontId="35" fillId="3" borderId="0" xfId="0" applyFont="1" applyFill="1" applyBorder="1" applyAlignment="1">
      <alignment horizontal="center"/>
    </xf>
    <xf numFmtId="176" fontId="35" fillId="3" borderId="0" xfId="1" applyNumberFormat="1" applyFont="1" applyFill="1" applyBorder="1" applyAlignment="1">
      <alignment horizontal="right" vertical="center"/>
    </xf>
    <xf numFmtId="176" fontId="35" fillId="3" borderId="0" xfId="1" applyNumberFormat="1" applyFont="1" applyFill="1" applyBorder="1" applyAlignment="1"/>
    <xf numFmtId="197" fontId="35" fillId="3" borderId="0" xfId="0" applyNumberFormat="1" applyFont="1" applyFill="1" applyBorder="1" applyAlignment="1"/>
    <xf numFmtId="176" fontId="35" fillId="7" borderId="0" xfId="1" applyNumberFormat="1" applyFont="1" applyFill="1" applyBorder="1" applyAlignment="1">
      <alignment horizontal="right" vertical="center"/>
    </xf>
    <xf numFmtId="176" fontId="35" fillId="7" borderId="0" xfId="1" applyNumberFormat="1" applyFont="1" applyFill="1" applyBorder="1" applyAlignment="1"/>
    <xf numFmtId="197" fontId="35" fillId="7" borderId="0" xfId="0" applyNumberFormat="1" applyFont="1" applyFill="1" applyBorder="1" applyAlignment="1"/>
    <xf numFmtId="0" fontId="35" fillId="2" borderId="59" xfId="0" applyFont="1" applyFill="1" applyBorder="1" applyAlignment="1">
      <alignment vertical="center"/>
    </xf>
    <xf numFmtId="188" fontId="35" fillId="0" borderId="0" xfId="9" applyNumberFormat="1" applyFont="1" applyFill="1" applyBorder="1">
      <alignment vertical="center"/>
    </xf>
    <xf numFmtId="0" fontId="35" fillId="2" borderId="58" xfId="9" applyFont="1" applyFill="1" applyBorder="1">
      <alignment vertical="center"/>
    </xf>
    <xf numFmtId="38" fontId="35" fillId="0" borderId="56" xfId="1" applyFont="1" applyFill="1" applyBorder="1">
      <alignment vertical="center"/>
    </xf>
    <xf numFmtId="0" fontId="35" fillId="2" borderId="35" xfId="9" applyFont="1" applyFill="1" applyBorder="1">
      <alignment vertical="center"/>
    </xf>
    <xf numFmtId="38" fontId="35" fillId="0" borderId="26" xfId="1" applyFont="1" applyFill="1" applyBorder="1">
      <alignment vertical="center"/>
    </xf>
    <xf numFmtId="0" fontId="35" fillId="0" borderId="26" xfId="9" applyFont="1" applyFill="1" applyBorder="1">
      <alignment vertical="center"/>
    </xf>
    <xf numFmtId="0" fontId="35" fillId="0" borderId="0" xfId="0" applyFont="1" applyFill="1" applyAlignment="1"/>
    <xf numFmtId="0" fontId="35" fillId="2" borderId="59" xfId="9" applyFont="1" applyFill="1" applyBorder="1">
      <alignment vertical="center"/>
    </xf>
    <xf numFmtId="2" fontId="35" fillId="0" borderId="57" xfId="9" applyNumberFormat="1" applyFont="1" applyFill="1" applyBorder="1">
      <alignment vertical="center"/>
    </xf>
    <xf numFmtId="183" fontId="35" fillId="0" borderId="61" xfId="0" applyNumberFormat="1" applyFont="1" applyFill="1" applyBorder="1">
      <alignment vertical="center"/>
    </xf>
    <xf numFmtId="0" fontId="57" fillId="2" borderId="20" xfId="0" applyFont="1" applyFill="1" applyBorder="1">
      <alignment vertical="center"/>
    </xf>
    <xf numFmtId="2" fontId="35" fillId="0" borderId="26" xfId="0" applyNumberFormat="1" applyFont="1" applyFill="1" applyBorder="1">
      <alignment vertical="center"/>
    </xf>
    <xf numFmtId="197" fontId="35" fillId="0" borderId="0" xfId="0" applyNumberFormat="1" applyFont="1" applyBorder="1" applyAlignment="1"/>
    <xf numFmtId="38" fontId="35" fillId="7" borderId="0" xfId="1" applyFont="1" applyFill="1" applyBorder="1" applyAlignment="1"/>
    <xf numFmtId="0" fontId="51" fillId="0" borderId="0" xfId="5" applyFont="1">
      <alignment vertical="center"/>
    </xf>
    <xf numFmtId="0" fontId="33" fillId="2" borderId="12" xfId="5" applyFont="1" applyFill="1" applyBorder="1" applyAlignment="1">
      <alignment horizontal="left" vertical="center"/>
    </xf>
    <xf numFmtId="0" fontId="33" fillId="2" borderId="51" xfId="5" applyFont="1" applyFill="1" applyBorder="1" applyAlignment="1">
      <alignment horizontal="centerContinuous" vertical="center"/>
    </xf>
    <xf numFmtId="0" fontId="33" fillId="2" borderId="56" xfId="5" applyFont="1" applyFill="1" applyBorder="1" applyAlignment="1">
      <alignment horizontal="centerContinuous" vertical="center"/>
    </xf>
    <xf numFmtId="0" fontId="33" fillId="2" borderId="62" xfId="5" applyFont="1" applyFill="1" applyBorder="1" applyAlignment="1">
      <alignment horizontal="left" vertical="center"/>
    </xf>
    <xf numFmtId="0" fontId="33" fillId="2" borderId="36" xfId="5" applyFont="1" applyFill="1" applyBorder="1" applyAlignment="1">
      <alignment horizontal="left" vertical="center"/>
    </xf>
    <xf numFmtId="0" fontId="39" fillId="2" borderId="35" xfId="5" applyFont="1" applyFill="1" applyBorder="1">
      <alignment vertical="center"/>
    </xf>
    <xf numFmtId="176" fontId="33" fillId="4" borderId="25" xfId="5" applyNumberFormat="1" applyFont="1" applyFill="1" applyBorder="1">
      <alignment vertical="center"/>
    </xf>
    <xf numFmtId="176" fontId="33" fillId="0" borderId="26" xfId="5" applyNumberFormat="1" applyFont="1" applyFill="1" applyBorder="1">
      <alignment vertical="center"/>
    </xf>
    <xf numFmtId="0" fontId="39" fillId="2" borderId="59" xfId="5" applyFont="1" applyFill="1" applyBorder="1">
      <alignment vertical="center"/>
    </xf>
    <xf numFmtId="176" fontId="39" fillId="0" borderId="0" xfId="5" applyNumberFormat="1" applyFont="1" applyFill="1" applyBorder="1">
      <alignment vertical="center"/>
    </xf>
    <xf numFmtId="176" fontId="33" fillId="0" borderId="0" xfId="5" applyNumberFormat="1" applyFont="1" applyFill="1" applyBorder="1">
      <alignment vertical="center"/>
    </xf>
    <xf numFmtId="40" fontId="33" fillId="0" borderId="0" xfId="2" applyNumberFormat="1" applyFont="1" applyFill="1" applyBorder="1">
      <alignment vertical="center"/>
    </xf>
    <xf numFmtId="0" fontId="39" fillId="0" borderId="0" xfId="5" applyFont="1">
      <alignment vertical="center"/>
    </xf>
    <xf numFmtId="0" fontId="33" fillId="2" borderId="47" xfId="5" applyFont="1" applyFill="1" applyBorder="1">
      <alignment vertical="center"/>
    </xf>
    <xf numFmtId="0" fontId="33" fillId="2" borderId="17" xfId="5" applyFont="1" applyFill="1" applyBorder="1">
      <alignment vertical="center"/>
    </xf>
    <xf numFmtId="0" fontId="33" fillId="2" borderId="102" xfId="5" applyFont="1" applyFill="1" applyBorder="1" applyAlignment="1">
      <alignment horizontal="center" vertical="center"/>
    </xf>
    <xf numFmtId="0" fontId="33" fillId="2" borderId="17" xfId="5" applyFont="1" applyFill="1" applyBorder="1" applyAlignment="1">
      <alignment horizontal="left" vertical="center"/>
    </xf>
    <xf numFmtId="0" fontId="39" fillId="4" borderId="35" xfId="0" applyFont="1" applyFill="1" applyBorder="1">
      <alignment vertical="center"/>
    </xf>
    <xf numFmtId="0" fontId="39" fillId="4" borderId="59" xfId="0" applyFont="1" applyFill="1" applyBorder="1">
      <alignment vertical="center"/>
    </xf>
    <xf numFmtId="0" fontId="33" fillId="0" borderId="0" xfId="5" applyFont="1" applyFill="1" applyBorder="1">
      <alignment vertical="center"/>
    </xf>
    <xf numFmtId="181" fontId="33" fillId="0" borderId="0" xfId="2" applyNumberFormat="1" applyFont="1" applyFill="1" applyBorder="1">
      <alignment vertical="center"/>
    </xf>
    <xf numFmtId="0" fontId="39" fillId="0" borderId="0" xfId="5" applyFont="1" applyFill="1">
      <alignment vertical="center"/>
    </xf>
    <xf numFmtId="0" fontId="33" fillId="0" borderId="0" xfId="5" applyFont="1" applyFill="1">
      <alignment vertical="center"/>
    </xf>
    <xf numFmtId="0" fontId="33" fillId="2" borderId="12" xfId="5" applyFont="1" applyFill="1" applyBorder="1">
      <alignment vertical="center"/>
    </xf>
    <xf numFmtId="0" fontId="39" fillId="2" borderId="27" xfId="5" applyFont="1" applyFill="1" applyBorder="1" applyAlignment="1">
      <alignment horizontal="center" vertical="center" wrapText="1"/>
    </xf>
    <xf numFmtId="0" fontId="39" fillId="2" borderId="69" xfId="5" applyFont="1" applyFill="1" applyBorder="1">
      <alignment vertical="center"/>
    </xf>
    <xf numFmtId="0" fontId="39" fillId="2" borderId="70" xfId="5" applyFont="1" applyFill="1" applyBorder="1">
      <alignment vertical="center"/>
    </xf>
    <xf numFmtId="0" fontId="6" fillId="0" borderId="3" xfId="6" applyFont="1" applyBorder="1">
      <alignment vertical="center"/>
    </xf>
    <xf numFmtId="0" fontId="6" fillId="0" borderId="4" xfId="6" applyFont="1" applyBorder="1">
      <alignment vertical="center"/>
    </xf>
    <xf numFmtId="0" fontId="7" fillId="0" borderId="40" xfId="6" applyFont="1" applyBorder="1">
      <alignment vertical="center"/>
    </xf>
    <xf numFmtId="0" fontId="6" fillId="0" borderId="19" xfId="6" applyFont="1" applyBorder="1">
      <alignment vertical="center"/>
    </xf>
    <xf numFmtId="0" fontId="6" fillId="0" borderId="40" xfId="6" applyFont="1" applyBorder="1">
      <alignment vertical="center"/>
    </xf>
    <xf numFmtId="0" fontId="6" fillId="0" borderId="5" xfId="6" applyFont="1" applyBorder="1">
      <alignment vertical="center"/>
    </xf>
    <xf numFmtId="0" fontId="6" fillId="0" borderId="6" xfId="6" applyFont="1" applyBorder="1">
      <alignment vertical="center"/>
    </xf>
    <xf numFmtId="0" fontId="6" fillId="0" borderId="9" xfId="6" applyFont="1" applyBorder="1">
      <alignment vertical="center"/>
    </xf>
    <xf numFmtId="0" fontId="6" fillId="0" borderId="11" xfId="6" applyFont="1" applyBorder="1">
      <alignment vertical="center"/>
    </xf>
    <xf numFmtId="0" fontId="7" fillId="0" borderId="9" xfId="6" applyFont="1" applyBorder="1">
      <alignment vertical="center"/>
    </xf>
    <xf numFmtId="0" fontId="6" fillId="0" borderId="5" xfId="6" applyFont="1" applyBorder="1" applyAlignment="1">
      <alignment vertical="center" wrapText="1"/>
    </xf>
    <xf numFmtId="0" fontId="6" fillId="2" borderId="12"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0" borderId="14" xfId="0" applyFont="1" applyBorder="1">
      <alignment vertical="center"/>
    </xf>
    <xf numFmtId="0" fontId="6" fillId="0" borderId="15" xfId="0" applyFont="1" applyBorder="1">
      <alignment vertical="center"/>
    </xf>
    <xf numFmtId="0" fontId="6" fillId="0" borderId="5" xfId="0" applyFont="1" applyBorder="1">
      <alignment vertical="center"/>
    </xf>
    <xf numFmtId="0" fontId="6" fillId="0" borderId="6" xfId="0" applyFont="1" applyBorder="1">
      <alignment vertical="center"/>
    </xf>
    <xf numFmtId="0" fontId="6" fillId="0" borderId="1" xfId="0" applyFont="1" applyFill="1" applyBorder="1" applyAlignment="1">
      <alignment vertical="center" wrapText="1"/>
    </xf>
    <xf numFmtId="0" fontId="6" fillId="0" borderId="97" xfId="0" applyFont="1" applyFill="1" applyBorder="1">
      <alignment vertical="center"/>
    </xf>
    <xf numFmtId="3" fontId="6" fillId="0" borderId="97" xfId="0" applyNumberFormat="1" applyFont="1" applyBorder="1">
      <alignment vertical="center"/>
    </xf>
    <xf numFmtId="0" fontId="6" fillId="4" borderId="20" xfId="0" applyFont="1" applyFill="1" applyBorder="1">
      <alignment vertical="center"/>
    </xf>
    <xf numFmtId="9" fontId="6" fillId="0" borderId="21" xfId="0" applyNumberFormat="1" applyFont="1" applyBorder="1">
      <alignment vertical="center"/>
    </xf>
    <xf numFmtId="0" fontId="7" fillId="0" borderId="0" xfId="0" applyFont="1" applyFill="1" applyBorder="1" applyAlignment="1">
      <alignment vertical="center" wrapText="1"/>
    </xf>
    <xf numFmtId="0" fontId="6" fillId="4" borderId="16" xfId="0" applyFont="1" applyFill="1" applyBorder="1">
      <alignment vertical="center"/>
    </xf>
    <xf numFmtId="3" fontId="6" fillId="0" borderId="41" xfId="0" applyNumberFormat="1" applyFont="1" applyBorder="1">
      <alignment vertical="center"/>
    </xf>
    <xf numFmtId="0" fontId="6" fillId="4" borderId="9" xfId="0" applyFont="1" applyFill="1" applyBorder="1">
      <alignment vertical="center"/>
    </xf>
    <xf numFmtId="0" fontId="6" fillId="0" borderId="42" xfId="0" applyFont="1" applyBorder="1">
      <alignment vertical="center"/>
    </xf>
    <xf numFmtId="0" fontId="7" fillId="4" borderId="9" xfId="0" applyFont="1" applyFill="1" applyBorder="1">
      <alignment vertical="center"/>
    </xf>
    <xf numFmtId="0" fontId="6" fillId="4" borderId="45" xfId="0" applyFont="1" applyFill="1" applyBorder="1">
      <alignment vertical="center"/>
    </xf>
    <xf numFmtId="0" fontId="6" fillId="0" borderId="43" xfId="0" applyFont="1" applyBorder="1">
      <alignment vertical="center"/>
    </xf>
    <xf numFmtId="0" fontId="6" fillId="4" borderId="0" xfId="0" applyFont="1" applyFill="1" applyBorder="1">
      <alignment vertical="center"/>
    </xf>
    <xf numFmtId="0" fontId="6" fillId="0" borderId="44" xfId="0" applyFont="1" applyBorder="1">
      <alignment vertical="center"/>
    </xf>
    <xf numFmtId="9" fontId="6" fillId="6" borderId="44" xfId="0" applyNumberFormat="1" applyFont="1" applyFill="1" applyBorder="1">
      <alignment vertical="center"/>
    </xf>
    <xf numFmtId="187" fontId="7" fillId="4" borderId="118" xfId="0" applyNumberFormat="1" applyFont="1" applyFill="1" applyBorder="1">
      <alignment vertical="center"/>
    </xf>
    <xf numFmtId="9" fontId="6" fillId="0" borderId="119" xfId="0" applyNumberFormat="1" applyFont="1" applyBorder="1">
      <alignment vertical="center"/>
    </xf>
    <xf numFmtId="0" fontId="7" fillId="2" borderId="112" xfId="0" applyFont="1" applyFill="1" applyBorder="1">
      <alignment vertical="center"/>
    </xf>
    <xf numFmtId="0" fontId="6" fillId="6" borderId="111" xfId="0" applyFont="1" applyFill="1" applyBorder="1">
      <alignment vertical="center"/>
    </xf>
    <xf numFmtId="0" fontId="7" fillId="4" borderId="122" xfId="0" applyFont="1" applyFill="1" applyBorder="1">
      <alignment vertical="center"/>
    </xf>
    <xf numFmtId="0" fontId="6" fillId="6" borderId="120" xfId="0" applyFont="1" applyFill="1" applyBorder="1">
      <alignment vertical="center"/>
    </xf>
    <xf numFmtId="0" fontId="7" fillId="2" borderId="121" xfId="0" applyFont="1" applyFill="1" applyBorder="1">
      <alignment vertical="center"/>
    </xf>
    <xf numFmtId="0" fontId="6" fillId="0" borderId="123" xfId="0" applyFont="1" applyBorder="1">
      <alignment vertical="center"/>
    </xf>
    <xf numFmtId="0" fontId="6" fillId="2" borderId="110" xfId="0" applyFont="1" applyFill="1" applyBorder="1">
      <alignment vertical="center"/>
    </xf>
    <xf numFmtId="0" fontId="6" fillId="0" borderId="113" xfId="0" applyFont="1" applyBorder="1">
      <alignment vertical="center"/>
    </xf>
    <xf numFmtId="0" fontId="6" fillId="4" borderId="115" xfId="0" applyFont="1" applyFill="1" applyBorder="1">
      <alignment vertical="center"/>
    </xf>
    <xf numFmtId="9" fontId="6" fillId="0" borderId="117" xfId="0" applyNumberFormat="1" applyFont="1" applyBorder="1">
      <alignment vertical="center"/>
    </xf>
    <xf numFmtId="0" fontId="7" fillId="4" borderId="35" xfId="0" applyFont="1" applyFill="1" applyBorder="1">
      <alignment vertical="center"/>
    </xf>
    <xf numFmtId="0" fontId="6" fillId="6" borderId="26" xfId="0" applyFont="1" applyFill="1" applyBorder="1">
      <alignment vertical="center"/>
    </xf>
    <xf numFmtId="0" fontId="7" fillId="4" borderId="60" xfId="0" applyFont="1" applyFill="1" applyBorder="1">
      <alignment vertical="center"/>
    </xf>
    <xf numFmtId="0" fontId="6" fillId="6" borderId="61" xfId="0" applyFont="1" applyFill="1" applyBorder="1">
      <alignment vertical="center"/>
    </xf>
    <xf numFmtId="0" fontId="7" fillId="4" borderId="59" xfId="0" applyFont="1" applyFill="1" applyBorder="1">
      <alignment vertical="center"/>
    </xf>
    <xf numFmtId="2" fontId="6" fillId="7" borderId="57" xfId="0" applyNumberFormat="1" applyFont="1" applyFill="1" applyBorder="1">
      <alignment vertical="center"/>
    </xf>
    <xf numFmtId="40" fontId="33" fillId="7" borderId="0" xfId="1" applyNumberFormat="1" applyFont="1" applyFill="1">
      <alignment vertical="center"/>
    </xf>
    <xf numFmtId="3" fontId="33" fillId="7" borderId="0" xfId="1" applyNumberFormat="1" applyFont="1" applyFill="1">
      <alignment vertical="center"/>
    </xf>
    <xf numFmtId="189" fontId="33" fillId="0" borderId="0" xfId="0" applyNumberFormat="1" applyFont="1">
      <alignment vertical="center"/>
    </xf>
    <xf numFmtId="0" fontId="37" fillId="6" borderId="75" xfId="0" applyFont="1" applyFill="1" applyBorder="1" applyAlignment="1">
      <alignment vertical="center"/>
    </xf>
    <xf numFmtId="0" fontId="37" fillId="6" borderId="41" xfId="0" applyFont="1" applyFill="1" applyBorder="1" applyAlignment="1">
      <alignment vertical="center"/>
    </xf>
    <xf numFmtId="0" fontId="19" fillId="6" borderId="7" xfId="0" applyFont="1" applyFill="1" applyBorder="1" applyAlignment="1">
      <alignment vertical="center"/>
    </xf>
    <xf numFmtId="0" fontId="19" fillId="6" borderId="4" xfId="0" applyFont="1" applyFill="1" applyBorder="1" applyAlignment="1">
      <alignment vertical="center"/>
    </xf>
    <xf numFmtId="0" fontId="37" fillId="6" borderId="7" xfId="0" applyFont="1" applyFill="1" applyBorder="1" applyAlignment="1">
      <alignment vertical="center"/>
    </xf>
    <xf numFmtId="0" fontId="37" fillId="6" borderId="4" xfId="0" applyFont="1" applyFill="1" applyBorder="1" applyAlignment="1">
      <alignment vertical="center"/>
    </xf>
    <xf numFmtId="0" fontId="37" fillId="6" borderId="64" xfId="0" applyFont="1" applyFill="1" applyBorder="1" applyAlignment="1">
      <alignment vertical="center"/>
    </xf>
    <xf numFmtId="0" fontId="37" fillId="6" borderId="19" xfId="0" applyFont="1" applyFill="1" applyBorder="1" applyAlignment="1">
      <alignment vertical="center"/>
    </xf>
    <xf numFmtId="0" fontId="19" fillId="6" borderId="89" xfId="0" applyFont="1" applyFill="1" applyBorder="1" applyAlignment="1">
      <alignment horizontal="left" vertical="center"/>
    </xf>
    <xf numFmtId="0" fontId="19" fillId="6" borderId="90" xfId="0" applyFont="1" applyFill="1" applyBorder="1" applyAlignment="1">
      <alignment horizontal="left" vertical="center"/>
    </xf>
    <xf numFmtId="0" fontId="19" fillId="6" borderId="91" xfId="0" applyFont="1" applyFill="1" applyBorder="1" applyAlignment="1">
      <alignment horizontal="left" vertical="center"/>
    </xf>
    <xf numFmtId="0" fontId="28" fillId="0" borderId="1" xfId="0" applyFont="1" applyBorder="1" applyAlignment="1">
      <alignment horizontal="center" vertical="center"/>
    </xf>
    <xf numFmtId="0" fontId="53" fillId="0" borderId="1" xfId="0" applyFont="1" applyBorder="1" applyAlignment="1">
      <alignment horizontal="center" vertical="center"/>
    </xf>
    <xf numFmtId="0" fontId="61" fillId="6" borderId="73" xfId="0" applyFont="1" applyFill="1" applyBorder="1" applyAlignment="1">
      <alignment horizontal="left" vertical="center"/>
    </xf>
    <xf numFmtId="0" fontId="19" fillId="6" borderId="74" xfId="0" applyFont="1" applyFill="1" applyBorder="1" applyAlignment="1">
      <alignment horizontal="left" vertical="center"/>
    </xf>
    <xf numFmtId="0" fontId="19" fillId="6" borderId="44" xfId="0" applyFont="1" applyFill="1" applyBorder="1" applyAlignment="1">
      <alignment horizontal="left" vertical="center"/>
    </xf>
    <xf numFmtId="0" fontId="19" fillId="6" borderId="92" xfId="0" applyFont="1" applyFill="1" applyBorder="1" applyAlignment="1">
      <alignment horizontal="left" vertical="center"/>
    </xf>
    <xf numFmtId="0" fontId="19" fillId="6" borderId="93" xfId="0" applyFont="1" applyFill="1" applyBorder="1" applyAlignment="1">
      <alignment horizontal="left" vertical="center"/>
    </xf>
    <xf numFmtId="0" fontId="19" fillId="6" borderId="94" xfId="0" applyFont="1" applyFill="1" applyBorder="1" applyAlignment="1">
      <alignment horizontal="left" vertical="center"/>
    </xf>
    <xf numFmtId="0" fontId="45" fillId="2" borderId="37" xfId="0" applyFont="1" applyFill="1" applyBorder="1" applyAlignment="1">
      <alignment horizontal="center" vertical="center" wrapText="1"/>
    </xf>
    <xf numFmtId="0" fontId="45" fillId="2" borderId="105" xfId="0" applyFont="1" applyFill="1" applyBorder="1" applyAlignment="1">
      <alignment horizontal="center" vertical="center" wrapText="1"/>
    </xf>
    <xf numFmtId="0" fontId="45" fillId="2" borderId="102" xfId="0" applyFont="1" applyFill="1" applyBorder="1" applyAlignment="1">
      <alignment horizontal="center" vertical="center" wrapText="1"/>
    </xf>
    <xf numFmtId="0" fontId="45" fillId="2" borderId="103" xfId="0" applyFont="1" applyFill="1" applyBorder="1" applyAlignment="1">
      <alignment horizontal="center" vertical="center" wrapText="1"/>
    </xf>
    <xf numFmtId="0" fontId="45" fillId="2" borderId="100" xfId="0" applyFont="1" applyFill="1" applyBorder="1" applyAlignment="1">
      <alignment horizontal="center" vertical="center" wrapText="1"/>
    </xf>
    <xf numFmtId="0" fontId="63" fillId="6" borderId="74" xfId="0" applyFont="1" applyFill="1" applyBorder="1" applyAlignment="1">
      <alignment horizontal="left" vertical="center"/>
    </xf>
    <xf numFmtId="0" fontId="62" fillId="6" borderId="44" xfId="0" applyFont="1" applyFill="1" applyBorder="1" applyAlignment="1">
      <alignment horizontal="left" vertical="center"/>
    </xf>
    <xf numFmtId="0" fontId="33" fillId="0" borderId="0" xfId="0" applyFont="1" applyBorder="1" applyAlignment="1">
      <alignment horizontal="center" vertical="center" wrapText="1"/>
    </xf>
    <xf numFmtId="0" fontId="33" fillId="0" borderId="2" xfId="0" applyFont="1" applyBorder="1" applyAlignment="1">
      <alignment horizontal="center" vertical="center"/>
    </xf>
    <xf numFmtId="0" fontId="1" fillId="0" borderId="0" xfId="0" applyFont="1" applyBorder="1" applyAlignment="1">
      <alignment horizontal="center" vertical="center" wrapText="1"/>
    </xf>
    <xf numFmtId="0" fontId="0" fillId="0" borderId="2" xfId="0" applyBorder="1" applyAlignment="1">
      <alignment horizontal="center" vertical="center"/>
    </xf>
    <xf numFmtId="0" fontId="33" fillId="0" borderId="2" xfId="0" applyFont="1" applyBorder="1" applyAlignment="1">
      <alignment vertical="center"/>
    </xf>
    <xf numFmtId="0" fontId="0" fillId="0" borderId="2" xfId="0" applyBorder="1" applyAlignment="1">
      <alignment vertical="center"/>
    </xf>
    <xf numFmtId="0" fontId="1" fillId="0" borderId="2" xfId="0" applyFont="1" applyBorder="1" applyAlignment="1">
      <alignment vertical="center"/>
    </xf>
    <xf numFmtId="0" fontId="5" fillId="0" borderId="0" xfId="0" applyFont="1" applyBorder="1" applyAlignment="1">
      <alignment horizontal="center" vertical="center" wrapText="1"/>
    </xf>
    <xf numFmtId="0" fontId="33" fillId="0" borderId="0" xfId="0" applyFont="1" applyAlignment="1">
      <alignment horizontal="center" vertical="center"/>
    </xf>
    <xf numFmtId="0" fontId="39" fillId="0" borderId="0" xfId="0" applyFont="1" applyBorder="1" applyAlignment="1">
      <alignment horizontal="center" vertical="center" wrapText="1"/>
    </xf>
    <xf numFmtId="0" fontId="33" fillId="0" borderId="2" xfId="0" applyFont="1" applyBorder="1" applyAlignment="1">
      <alignment horizontal="center" vertical="center" wrapText="1"/>
    </xf>
    <xf numFmtId="0" fontId="54" fillId="0" borderId="95" xfId="0" applyFont="1" applyFill="1" applyBorder="1" applyAlignment="1">
      <alignment horizontal="center" vertical="center"/>
    </xf>
    <xf numFmtId="0" fontId="54" fillId="0" borderId="96" xfId="0" applyFont="1" applyFill="1" applyBorder="1" applyAlignment="1">
      <alignment horizontal="center" vertical="center"/>
    </xf>
    <xf numFmtId="0" fontId="33" fillId="0" borderId="0" xfId="0" applyFont="1" applyBorder="1" applyAlignment="1">
      <alignment horizontal="center" vertical="center"/>
    </xf>
    <xf numFmtId="0" fontId="7" fillId="7" borderId="0" xfId="0" applyFont="1" applyFill="1" applyBorder="1" applyAlignment="1">
      <alignment horizontal="center" vertical="center" wrapText="1"/>
    </xf>
    <xf numFmtId="0" fontId="6" fillId="7" borderId="0"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22" fillId="0" borderId="95" xfId="0" applyFont="1" applyFill="1" applyBorder="1" applyAlignment="1">
      <alignment horizontal="center" vertical="center"/>
    </xf>
    <xf numFmtId="0" fontId="22" fillId="0" borderId="96" xfId="0" applyFont="1" applyFill="1" applyBorder="1" applyAlignment="1">
      <alignment horizontal="center" vertical="center"/>
    </xf>
    <xf numFmtId="0" fontId="6" fillId="0" borderId="0" xfId="0" applyFont="1" applyBorder="1" applyAlignment="1">
      <alignment horizontal="center" vertical="center"/>
    </xf>
    <xf numFmtId="0" fontId="6" fillId="0" borderId="2" xfId="0" applyFont="1" applyBorder="1" applyAlignment="1">
      <alignment horizontal="center" vertical="center"/>
    </xf>
    <xf numFmtId="0" fontId="69" fillId="0" borderId="95" xfId="0" applyFont="1" applyFill="1" applyBorder="1" applyAlignment="1">
      <alignment horizontal="center" vertical="center"/>
    </xf>
    <xf numFmtId="0" fontId="6" fillId="0" borderId="0" xfId="0" applyFont="1" applyBorder="1" applyAlignment="1">
      <alignment horizontal="center" vertical="center" wrapText="1"/>
    </xf>
    <xf numFmtId="0" fontId="7" fillId="0" borderId="0" xfId="0" applyFont="1" applyBorder="1" applyAlignment="1">
      <alignment horizontal="center" vertical="center" wrapText="1"/>
    </xf>
    <xf numFmtId="0" fontId="6" fillId="0" borderId="2" xfId="0" applyFont="1" applyBorder="1" applyAlignment="1">
      <alignment horizontal="center" vertical="center" wrapText="1"/>
    </xf>
    <xf numFmtId="0" fontId="70" fillId="0" borderId="95" xfId="0" applyFont="1" applyFill="1" applyBorder="1" applyAlignment="1">
      <alignment horizontal="center" vertical="center"/>
    </xf>
    <xf numFmtId="0" fontId="55" fillId="2" borderId="14" xfId="5" applyFont="1" applyFill="1" applyBorder="1" applyAlignment="1">
      <alignment horizontal="center" vertical="center" wrapText="1"/>
    </xf>
    <xf numFmtId="0" fontId="55" fillId="2" borderId="34" xfId="5" applyFont="1" applyFill="1" applyBorder="1" applyAlignment="1">
      <alignment horizontal="center" vertical="center" wrapText="1"/>
    </xf>
    <xf numFmtId="0" fontId="55" fillId="2" borderId="33" xfId="5" applyFont="1" applyFill="1" applyBorder="1" applyAlignment="1">
      <alignment horizontal="center" vertical="center" wrapText="1"/>
    </xf>
    <xf numFmtId="0" fontId="55" fillId="2" borderId="23" xfId="5" applyFont="1" applyFill="1" applyBorder="1" applyAlignment="1">
      <alignment horizontal="center" vertical="center" wrapText="1"/>
    </xf>
    <xf numFmtId="0" fontId="55" fillId="2" borderId="15" xfId="5" applyFont="1" applyFill="1" applyBorder="1" applyAlignment="1">
      <alignment horizontal="center" vertical="center" wrapText="1"/>
    </xf>
    <xf numFmtId="0" fontId="55" fillId="2" borderId="24" xfId="5" applyFont="1" applyFill="1" applyBorder="1" applyAlignment="1">
      <alignment horizontal="center" vertical="center" wrapText="1"/>
    </xf>
    <xf numFmtId="0" fontId="51" fillId="4" borderId="12" xfId="0" applyFont="1" applyFill="1" applyBorder="1" applyAlignment="1">
      <alignment horizontal="center" vertical="center" wrapText="1"/>
    </xf>
    <xf numFmtId="0" fontId="51" fillId="4" borderId="13" xfId="0" applyFont="1" applyFill="1" applyBorder="1" applyAlignment="1">
      <alignment horizontal="center" vertical="center" wrapText="1"/>
    </xf>
    <xf numFmtId="0" fontId="72" fillId="4" borderId="110" xfId="5" applyFont="1" applyFill="1" applyBorder="1" applyAlignment="1">
      <alignment horizontal="center" vertical="center" wrapText="1"/>
    </xf>
    <xf numFmtId="0" fontId="33" fillId="4" borderId="110" xfId="5" applyFont="1" applyFill="1" applyBorder="1" applyAlignment="1">
      <alignment horizontal="center" vertical="center" wrapText="1"/>
    </xf>
    <xf numFmtId="0" fontId="72" fillId="4" borderId="113" xfId="5" applyFont="1" applyFill="1" applyBorder="1" applyAlignment="1">
      <alignment horizontal="center" vertical="center" wrapText="1"/>
    </xf>
    <xf numFmtId="0" fontId="33" fillId="4" borderId="113" xfId="5" applyFont="1" applyFill="1" applyBorder="1" applyAlignment="1">
      <alignment horizontal="center" vertical="center" wrapText="1"/>
    </xf>
    <xf numFmtId="0" fontId="51" fillId="4" borderId="47" xfId="0" applyFont="1" applyFill="1" applyBorder="1" applyAlignment="1">
      <alignment horizontal="center" vertical="center" wrapText="1"/>
    </xf>
    <xf numFmtId="0" fontId="32" fillId="4" borderId="54" xfId="0" applyFont="1" applyFill="1" applyBorder="1" applyAlignment="1">
      <alignment horizontal="center" vertical="center" wrapText="1"/>
    </xf>
    <xf numFmtId="0" fontId="32" fillId="4" borderId="38" xfId="0" applyFont="1" applyFill="1" applyBorder="1" applyAlignment="1">
      <alignment horizontal="center" vertical="center" wrapText="1"/>
    </xf>
    <xf numFmtId="0" fontId="32" fillId="4" borderId="39" xfId="0" applyFont="1" applyFill="1" applyBorder="1" applyAlignment="1">
      <alignment horizontal="center" vertical="center" wrapText="1"/>
    </xf>
    <xf numFmtId="0" fontId="33" fillId="4" borderId="77" xfId="5" applyFont="1" applyFill="1" applyBorder="1" applyAlignment="1">
      <alignment horizontal="center" vertical="center" wrapText="1"/>
    </xf>
    <xf numFmtId="0" fontId="33" fillId="4" borderId="63" xfId="5" applyFont="1" applyFill="1" applyBorder="1" applyAlignment="1">
      <alignment horizontal="center" vertical="center" wrapText="1"/>
    </xf>
    <xf numFmtId="0" fontId="51" fillId="4" borderId="79" xfId="0" applyFont="1" applyFill="1" applyBorder="1" applyAlignment="1">
      <alignment horizontal="center" vertical="center" wrapText="1"/>
    </xf>
    <xf numFmtId="0" fontId="32" fillId="4" borderId="78" xfId="0" applyFont="1" applyFill="1" applyBorder="1" applyAlignment="1">
      <alignment horizontal="center" vertical="center" wrapText="1"/>
    </xf>
    <xf numFmtId="0" fontId="33" fillId="4" borderId="98" xfId="5" applyFont="1" applyFill="1" applyBorder="1" applyAlignment="1">
      <alignment horizontal="center" vertical="center" wrapText="1"/>
    </xf>
    <xf numFmtId="0" fontId="33" fillId="4" borderId="80" xfId="5" applyFont="1" applyFill="1" applyBorder="1" applyAlignment="1">
      <alignment horizontal="center" vertical="center" wrapText="1"/>
    </xf>
    <xf numFmtId="0" fontId="33" fillId="4" borderId="19" xfId="5" applyFont="1" applyFill="1" applyBorder="1" applyAlignment="1">
      <alignment horizontal="center" vertical="center" wrapText="1"/>
    </xf>
    <xf numFmtId="0" fontId="33" fillId="4" borderId="11" xfId="5" applyFont="1" applyFill="1" applyBorder="1" applyAlignment="1">
      <alignment horizontal="center" vertical="center" wrapText="1"/>
    </xf>
    <xf numFmtId="0" fontId="32" fillId="4" borderId="79" xfId="0" applyFont="1" applyFill="1" applyBorder="1" applyAlignment="1">
      <alignment horizontal="center" vertical="center" wrapText="1"/>
    </xf>
    <xf numFmtId="0" fontId="32" fillId="4" borderId="41" xfId="0" applyFont="1" applyFill="1" applyBorder="1" applyAlignment="1">
      <alignment horizontal="center" vertical="center" wrapText="1"/>
    </xf>
    <xf numFmtId="0" fontId="32" fillId="4" borderId="133" xfId="0" applyFont="1" applyFill="1" applyBorder="1" applyAlignment="1">
      <alignment horizontal="center" vertical="center" wrapText="1"/>
    </xf>
    <xf numFmtId="0" fontId="32" fillId="4" borderId="134" xfId="0" applyFont="1" applyFill="1" applyBorder="1" applyAlignment="1">
      <alignment horizontal="center" vertical="center" wrapText="1"/>
    </xf>
    <xf numFmtId="0" fontId="32" fillId="4" borderId="131" xfId="0" applyFont="1" applyFill="1" applyBorder="1" applyAlignment="1">
      <alignment horizontal="center" vertical="center" wrapText="1"/>
    </xf>
    <xf numFmtId="0" fontId="32" fillId="4" borderId="16" xfId="0" applyFont="1" applyFill="1" applyBorder="1" applyAlignment="1">
      <alignment horizontal="center" vertical="center" wrapText="1"/>
    </xf>
    <xf numFmtId="0" fontId="32" fillId="4" borderId="63" xfId="0" applyFont="1" applyFill="1" applyBorder="1" applyAlignment="1">
      <alignment horizontal="center" vertical="center" wrapText="1"/>
    </xf>
    <xf numFmtId="0" fontId="32" fillId="4" borderId="80" xfId="0" applyFont="1" applyFill="1" applyBorder="1" applyAlignment="1">
      <alignment horizontal="center" vertical="center" wrapText="1"/>
    </xf>
    <xf numFmtId="0" fontId="32" fillId="4" borderId="33" xfId="0" applyFont="1" applyFill="1" applyBorder="1" applyAlignment="1">
      <alignment horizontal="center" vertical="center" wrapText="1"/>
    </xf>
    <xf numFmtId="0" fontId="32" fillId="4" borderId="15" xfId="0" applyFont="1" applyFill="1" applyBorder="1" applyAlignment="1">
      <alignment horizontal="center" vertical="center" wrapText="1"/>
    </xf>
    <xf numFmtId="0" fontId="33" fillId="4" borderId="40" xfId="5" applyFont="1" applyFill="1" applyBorder="1" applyAlignment="1">
      <alignment horizontal="center" vertical="center" wrapText="1"/>
    </xf>
    <xf numFmtId="0" fontId="33" fillId="4" borderId="9" xfId="5" applyFont="1" applyFill="1" applyBorder="1" applyAlignment="1">
      <alignment horizontal="center" vertical="center" wrapText="1"/>
    </xf>
    <xf numFmtId="0" fontId="32" fillId="4" borderId="76" xfId="0" applyFont="1" applyFill="1" applyBorder="1" applyAlignment="1">
      <alignment horizontal="center" vertical="center" wrapText="1"/>
    </xf>
    <xf numFmtId="0" fontId="32" fillId="4" borderId="68" xfId="0" applyFont="1" applyFill="1" applyBorder="1" applyAlignment="1">
      <alignment horizontal="center" vertical="center" wrapText="1"/>
    </xf>
    <xf numFmtId="0" fontId="51" fillId="4" borderId="38" xfId="0" applyFont="1" applyFill="1" applyBorder="1" applyAlignment="1">
      <alignment horizontal="center" vertical="center" wrapText="1"/>
    </xf>
    <xf numFmtId="40" fontId="7" fillId="0" borderId="86" xfId="3" applyNumberFormat="1" applyFont="1" applyFill="1" applyBorder="1" applyAlignment="1">
      <alignment horizontal="center" vertical="center"/>
    </xf>
    <xf numFmtId="40" fontId="7" fillId="0" borderId="84" xfId="3" applyNumberFormat="1" applyFont="1" applyFill="1" applyBorder="1" applyAlignment="1">
      <alignment horizontal="center" vertical="center"/>
    </xf>
    <xf numFmtId="40" fontId="7" fillId="0" borderId="85" xfId="3" applyNumberFormat="1" applyFont="1" applyFill="1" applyBorder="1" applyAlignment="1">
      <alignment horizontal="center" vertical="center"/>
    </xf>
    <xf numFmtId="0" fontId="36" fillId="2" borderId="16" xfId="6" applyFont="1" applyFill="1" applyBorder="1" applyAlignment="1">
      <alignment horizontal="center" vertical="center" wrapText="1"/>
    </xf>
    <xf numFmtId="0" fontId="36" fillId="2" borderId="3" xfId="6" applyFont="1" applyFill="1" applyBorder="1" applyAlignment="1">
      <alignment horizontal="center" vertical="center" wrapText="1"/>
    </xf>
    <xf numFmtId="0" fontId="36" fillId="2" borderId="81" xfId="6" applyFont="1" applyFill="1" applyBorder="1" applyAlignment="1">
      <alignment horizontal="center" vertical="center" wrapText="1"/>
    </xf>
    <xf numFmtId="0" fontId="36" fillId="2" borderId="75" xfId="6" applyFont="1" applyFill="1" applyBorder="1" applyAlignment="1">
      <alignment horizontal="center" vertical="center" wrapText="1"/>
    </xf>
    <xf numFmtId="0" fontId="6" fillId="2" borderId="41" xfId="6" applyFont="1" applyFill="1" applyBorder="1" applyAlignment="1">
      <alignment horizontal="center" vertical="center" wrapText="1"/>
    </xf>
    <xf numFmtId="0" fontId="6" fillId="2" borderId="4" xfId="6" applyFont="1" applyFill="1" applyBorder="1" applyAlignment="1">
      <alignment horizontal="center" vertical="center" wrapText="1"/>
    </xf>
    <xf numFmtId="0" fontId="6" fillId="2" borderId="82" xfId="6" applyFont="1" applyFill="1" applyBorder="1" applyAlignment="1">
      <alignment horizontal="center" vertical="center" wrapText="1"/>
    </xf>
    <xf numFmtId="40" fontId="6" fillId="0" borderId="83" xfId="3" applyNumberFormat="1" applyFont="1" applyFill="1" applyBorder="1" applyAlignment="1">
      <alignment horizontal="center" vertical="center" wrapText="1"/>
    </xf>
    <xf numFmtId="40" fontId="6" fillId="0" borderId="84" xfId="3" applyNumberFormat="1" applyFont="1" applyFill="1" applyBorder="1" applyAlignment="1">
      <alignment horizontal="center" vertical="center" wrapText="1"/>
    </xf>
    <xf numFmtId="40" fontId="6" fillId="0" borderId="85" xfId="3" applyNumberFormat="1" applyFont="1" applyFill="1" applyBorder="1" applyAlignment="1">
      <alignment horizontal="center" vertical="center" wrapText="1"/>
    </xf>
    <xf numFmtId="189" fontId="40" fillId="7" borderId="0" xfId="0" applyNumberFormat="1" applyFont="1" applyFill="1" applyBorder="1" applyAlignment="1">
      <alignment horizontal="center" vertical="center" wrapText="1"/>
    </xf>
    <xf numFmtId="189" fontId="40" fillId="7" borderId="0" xfId="0" applyNumberFormat="1" applyFont="1" applyFill="1" applyBorder="1" applyAlignment="1">
      <alignment horizontal="center" vertical="center"/>
    </xf>
    <xf numFmtId="0" fontId="40" fillId="7" borderId="0" xfId="0" applyFont="1" applyFill="1" applyBorder="1" applyAlignment="1">
      <alignment horizontal="center" vertical="center"/>
    </xf>
    <xf numFmtId="0" fontId="52" fillId="7" borderId="2" xfId="0" applyFont="1" applyFill="1" applyBorder="1" applyAlignment="1">
      <alignment vertical="center"/>
    </xf>
    <xf numFmtId="0" fontId="35" fillId="7" borderId="2" xfId="0" applyFont="1" applyFill="1" applyBorder="1" applyAlignment="1">
      <alignment horizontal="center" vertical="center"/>
    </xf>
    <xf numFmtId="9" fontId="35" fillId="7" borderId="2" xfId="0" applyNumberFormat="1" applyFont="1" applyFill="1" applyBorder="1" applyAlignment="1">
      <alignment horizontal="center" vertical="center"/>
    </xf>
    <xf numFmtId="0" fontId="39" fillId="2" borderId="102" xfId="5" applyFont="1" applyFill="1" applyBorder="1" applyAlignment="1">
      <alignment horizontal="center" vertical="center" wrapText="1"/>
    </xf>
    <xf numFmtId="0" fontId="39" fillId="2" borderId="139" xfId="5" applyFont="1" applyFill="1" applyBorder="1" applyAlignment="1">
      <alignment horizontal="center" vertical="center" wrapText="1"/>
    </xf>
    <xf numFmtId="0" fontId="33" fillId="2" borderId="35" xfId="0" applyFont="1" applyFill="1" applyBorder="1" applyAlignment="1">
      <alignment vertical="center"/>
    </xf>
    <xf numFmtId="0" fontId="33" fillId="0" borderId="35" xfId="0" applyFont="1" applyBorder="1" applyAlignment="1">
      <alignment vertical="center"/>
    </xf>
    <xf numFmtId="0" fontId="39" fillId="2" borderId="35" xfId="0" applyFont="1" applyFill="1" applyBorder="1" applyAlignment="1">
      <alignment horizontal="left" vertical="center"/>
    </xf>
    <xf numFmtId="0" fontId="33" fillId="2" borderId="59" xfId="0" applyFont="1" applyFill="1" applyBorder="1" applyAlignment="1">
      <alignment horizontal="left" vertical="center"/>
    </xf>
    <xf numFmtId="0" fontId="33" fillId="2" borderId="51" xfId="5" applyFont="1" applyFill="1" applyBorder="1" applyAlignment="1">
      <alignment horizontal="center" vertical="center"/>
    </xf>
    <xf numFmtId="0" fontId="33" fillId="2" borderId="52" xfId="5" applyFont="1" applyFill="1" applyBorder="1" applyAlignment="1">
      <alignment horizontal="center" vertical="center"/>
    </xf>
    <xf numFmtId="0" fontId="33" fillId="2" borderId="53" xfId="5" applyFont="1" applyFill="1" applyBorder="1" applyAlignment="1">
      <alignment horizontal="center" vertical="center"/>
    </xf>
    <xf numFmtId="0" fontId="39" fillId="2" borderId="102" xfId="5" applyFont="1" applyFill="1" applyBorder="1" applyAlignment="1">
      <alignment horizontal="center" vertical="center"/>
    </xf>
    <xf numFmtId="0" fontId="39" fillId="2" borderId="139" xfId="5" applyFont="1" applyFill="1" applyBorder="1" applyAlignment="1">
      <alignment horizontal="center" vertical="center"/>
    </xf>
  </cellXfs>
  <cellStyles count="12">
    <cellStyle name="パーセント" xfId="11" builtinId="5"/>
    <cellStyle name="パーセント 3" xfId="10" xr:uid="{00000000-0005-0000-0000-000001000000}"/>
    <cellStyle name="桁区切り" xfId="1" builtinId="6"/>
    <cellStyle name="桁区切り 2" xfId="2" xr:uid="{00000000-0005-0000-0000-000003000000}"/>
    <cellStyle name="桁区切り 3" xfId="3" xr:uid="{00000000-0005-0000-0000-000004000000}"/>
    <cellStyle name="桁区切り 4" xfId="4" xr:uid="{00000000-0005-0000-0000-000005000000}"/>
    <cellStyle name="標準" xfId="0" builtinId="0"/>
    <cellStyle name="標準 2" xfId="5" xr:uid="{00000000-0005-0000-0000-000007000000}"/>
    <cellStyle name="標準 3" xfId="6" xr:uid="{00000000-0005-0000-0000-000008000000}"/>
    <cellStyle name="標準 4" xfId="7" xr:uid="{00000000-0005-0000-0000-000009000000}"/>
    <cellStyle name="標準_コスト試算条件の見直し要否r2（詳細版）" xfId="8" xr:uid="{00000000-0005-0000-0000-00000A000000}"/>
    <cellStyle name="標準_単価表r1(110812)" xfId="9" xr:uid="{00000000-0005-0000-0000-00000B000000}"/>
  </cellStyles>
  <dxfs count="0"/>
  <tableStyles count="0" defaultTableStyle="TableStyleMedium2" defaultPivotStyle="PivotStyleLight16"/>
  <colors>
    <mruColors>
      <color rgb="FFF2F2F2"/>
      <color rgb="FFC0C0C0"/>
      <color rgb="FFBFBFBF"/>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27707868227436E-2"/>
          <c:y val="5.0599451819798816E-2"/>
          <c:w val="0.85359663575128553"/>
          <c:h val="0.65753582827719115"/>
        </c:manualLayout>
      </c:layout>
      <c:barChart>
        <c:barDir val="col"/>
        <c:grouping val="stacked"/>
        <c:varyColors val="0"/>
        <c:ser>
          <c:idx val="0"/>
          <c:order val="0"/>
          <c:tx>
            <c:strRef>
              <c:f>まとめ!$S$11</c:f>
              <c:strCache>
                <c:ptCount val="1"/>
                <c:pt idx="0">
                  <c:v>資本費</c:v>
                </c:pt>
              </c:strCache>
            </c:strRef>
          </c:tx>
          <c:spPr>
            <a:solidFill>
              <a:srgbClr val="4F81BD"/>
            </a:solidFill>
            <a:ln w="25400">
              <a:noFill/>
            </a:ln>
          </c:spPr>
          <c:invertIfNegative val="0"/>
          <c:cat>
            <c:strRef>
              <c:f>まとめ!$A$12:$A$34</c:f>
              <c:strCache>
                <c:ptCount val="23"/>
                <c:pt idx="0">
                  <c:v>原子力</c:v>
                </c:pt>
                <c:pt idx="1">
                  <c:v>石炭火力</c:v>
                </c:pt>
                <c:pt idx="2">
                  <c:v>LNG火力</c:v>
                </c:pt>
                <c:pt idx="3">
                  <c:v>石油火力</c:v>
                </c:pt>
                <c:pt idx="4">
                  <c:v>太陽光（事業用）</c:v>
                </c:pt>
                <c:pt idx="5">
                  <c:v>太陽光（住宅用）</c:v>
                </c:pt>
                <c:pt idx="6">
                  <c:v>陸上風力</c:v>
                </c:pt>
                <c:pt idx="7">
                  <c:v>洋上風力</c:v>
                </c:pt>
                <c:pt idx="8">
                  <c:v>小水力</c:v>
                </c:pt>
                <c:pt idx="9">
                  <c:v>中水力</c:v>
                </c:pt>
                <c:pt idx="10">
                  <c:v>地熱</c:v>
                </c:pt>
                <c:pt idx="11">
                  <c:v>バイオマス（石炭混焼）</c:v>
                </c:pt>
                <c:pt idx="12">
                  <c:v>バイオマス（木質専焼）</c:v>
                </c:pt>
                <c:pt idx="13">
                  <c:v>ガスコジェネ</c:v>
                </c:pt>
                <c:pt idx="14">
                  <c:v>石油コジェネ</c:v>
                </c:pt>
                <c:pt idx="15">
                  <c:v>燃料電池</c:v>
                </c:pt>
                <c:pt idx="16">
                  <c:v>ＩＧＣＣ</c:v>
                </c:pt>
                <c:pt idx="17">
                  <c:v>CO2分離回収型石炭火力</c:v>
                </c:pt>
                <c:pt idx="18">
                  <c:v>CO2分離回収型IGCC</c:v>
                </c:pt>
                <c:pt idx="19">
                  <c:v>CO2分離回収型LNG火力</c:v>
                </c:pt>
                <c:pt idx="20">
                  <c:v>水素専焼火力</c:v>
                </c:pt>
                <c:pt idx="21">
                  <c:v>水素混焼火力</c:v>
                </c:pt>
                <c:pt idx="22">
                  <c:v>アンモニア混焼火力</c:v>
                </c:pt>
              </c:strCache>
            </c:strRef>
          </c:cat>
          <c:val>
            <c:numRef>
              <c:f>まとめ!$S$12:$S$34</c:f>
              <c:numCache>
                <c:formatCode>#,##0.0</c:formatCode>
                <c:ptCount val="23"/>
                <c:pt idx="0">
                  <c:v>4.232557766208882</c:v>
                </c:pt>
                <c:pt idx="1">
                  <c:v>2.003476945091303</c:v>
                </c:pt>
                <c:pt idx="2">
                  <c:v>1.2945516175087721</c:v>
                </c:pt>
                <c:pt idx="3">
                  <c:v>4.9446950805682679</c:v>
                </c:pt>
                <c:pt idx="4">
                  <c:v>7.3093668428665106</c:v>
                </c:pt>
                <c:pt idx="5">
                  <c:v>11.373900746938974</c:v>
                </c:pt>
                <c:pt idx="6">
                  <c:v>7.112684557176876</c:v>
                </c:pt>
                <c:pt idx="7">
                  <c:v>11.87222733296626</c:v>
                </c:pt>
                <c:pt idx="8">
                  <c:v>8.5711358498887567</c:v>
                </c:pt>
                <c:pt idx="9">
                  <c:v>5.7108008976339972</c:v>
                </c:pt>
                <c:pt idx="10">
                  <c:v>5.8087589288087171</c:v>
                </c:pt>
                <c:pt idx="11">
                  <c:v>2.0937976275763592</c:v>
                </c:pt>
                <c:pt idx="12">
                  <c:v>2.9559860865439669</c:v>
                </c:pt>
                <c:pt idx="13">
                  <c:v>1.2725982259508049</c:v>
                </c:pt>
                <c:pt idx="14">
                  <c:v>2.3903650892631565</c:v>
                </c:pt>
                <c:pt idx="15">
                  <c:v>6.1671606837982971</c:v>
                </c:pt>
                <c:pt idx="16">
                  <c:v>2.5864558913204894</c:v>
                </c:pt>
                <c:pt idx="17">
                  <c:v>2.9178559464912608</c:v>
                </c:pt>
                <c:pt idx="18">
                  <c:v>3.4423376613810945</c:v>
                </c:pt>
                <c:pt idx="19">
                  <c:v>1.9218711795336862</c:v>
                </c:pt>
                <c:pt idx="20">
                  <c:v>1.2945516175087721</c:v>
                </c:pt>
                <c:pt idx="21">
                  <c:v>1.2945516175087721</c:v>
                </c:pt>
                <c:pt idx="22">
                  <c:v>2.003476945091303</c:v>
                </c:pt>
              </c:numCache>
            </c:numRef>
          </c:val>
          <c:extLst>
            <c:ext xmlns:c16="http://schemas.microsoft.com/office/drawing/2014/chart" uri="{C3380CC4-5D6E-409C-BE32-E72D297353CC}">
              <c16:uniqueId val="{00000000-B67C-4646-AEC1-51F02C620D62}"/>
            </c:ext>
          </c:extLst>
        </c:ser>
        <c:ser>
          <c:idx val="1"/>
          <c:order val="1"/>
          <c:tx>
            <c:strRef>
              <c:f>まとめ!$T$11</c:f>
              <c:strCache>
                <c:ptCount val="1"/>
                <c:pt idx="0">
                  <c:v>運転
維持費</c:v>
                </c:pt>
              </c:strCache>
            </c:strRef>
          </c:tx>
          <c:spPr>
            <a:solidFill>
              <a:srgbClr val="C0504D"/>
            </a:solidFill>
            <a:ln w="25400">
              <a:noFill/>
            </a:ln>
          </c:spPr>
          <c:invertIfNegative val="0"/>
          <c:cat>
            <c:strRef>
              <c:f>まとめ!$A$12:$A$34</c:f>
              <c:strCache>
                <c:ptCount val="23"/>
                <c:pt idx="0">
                  <c:v>原子力</c:v>
                </c:pt>
                <c:pt idx="1">
                  <c:v>石炭火力</c:v>
                </c:pt>
                <c:pt idx="2">
                  <c:v>LNG火力</c:v>
                </c:pt>
                <c:pt idx="3">
                  <c:v>石油火力</c:v>
                </c:pt>
                <c:pt idx="4">
                  <c:v>太陽光（事業用）</c:v>
                </c:pt>
                <c:pt idx="5">
                  <c:v>太陽光（住宅用）</c:v>
                </c:pt>
                <c:pt idx="6">
                  <c:v>陸上風力</c:v>
                </c:pt>
                <c:pt idx="7">
                  <c:v>洋上風力</c:v>
                </c:pt>
                <c:pt idx="8">
                  <c:v>小水力</c:v>
                </c:pt>
                <c:pt idx="9">
                  <c:v>中水力</c:v>
                </c:pt>
                <c:pt idx="10">
                  <c:v>地熱</c:v>
                </c:pt>
                <c:pt idx="11">
                  <c:v>バイオマス（石炭混焼）</c:v>
                </c:pt>
                <c:pt idx="12">
                  <c:v>バイオマス（木質専焼）</c:v>
                </c:pt>
                <c:pt idx="13">
                  <c:v>ガスコジェネ</c:v>
                </c:pt>
                <c:pt idx="14">
                  <c:v>石油コジェネ</c:v>
                </c:pt>
                <c:pt idx="15">
                  <c:v>燃料電池</c:v>
                </c:pt>
                <c:pt idx="16">
                  <c:v>ＩＧＣＣ</c:v>
                </c:pt>
                <c:pt idx="17">
                  <c:v>CO2分離回収型石炭火力</c:v>
                </c:pt>
                <c:pt idx="18">
                  <c:v>CO2分離回収型IGCC</c:v>
                </c:pt>
                <c:pt idx="19">
                  <c:v>CO2分離回収型LNG火力</c:v>
                </c:pt>
                <c:pt idx="20">
                  <c:v>水素専焼火力</c:v>
                </c:pt>
                <c:pt idx="21">
                  <c:v>水素混焼火力</c:v>
                </c:pt>
                <c:pt idx="22">
                  <c:v>アンモニア混焼火力</c:v>
                </c:pt>
              </c:strCache>
            </c:strRef>
          </c:cat>
          <c:val>
            <c:numRef>
              <c:f>まとめ!$T$12:$T$34</c:f>
              <c:numCache>
                <c:formatCode>#,##0.0</c:formatCode>
                <c:ptCount val="23"/>
                <c:pt idx="0">
                  <c:v>3.7287375652315711</c:v>
                </c:pt>
                <c:pt idx="1">
                  <c:v>2.2949407812701077</c:v>
                </c:pt>
                <c:pt idx="2">
                  <c:v>1.2029017661382355</c:v>
                </c:pt>
                <c:pt idx="3">
                  <c:v>3.2746826755816483</c:v>
                </c:pt>
                <c:pt idx="4">
                  <c:v>3.1857279388340229</c:v>
                </c:pt>
                <c:pt idx="5">
                  <c:v>2.4816358943815762</c:v>
                </c:pt>
                <c:pt idx="6">
                  <c:v>4.6740732750871894</c:v>
                </c:pt>
                <c:pt idx="7">
                  <c:v>6.3266765692908615</c:v>
                </c:pt>
                <c:pt idx="8">
                  <c:v>13.447488584474888</c:v>
                </c:pt>
                <c:pt idx="9">
                  <c:v>2.9608540707732018</c:v>
                </c:pt>
                <c:pt idx="10">
                  <c:v>5.099666018236408</c:v>
                </c:pt>
                <c:pt idx="11">
                  <c:v>2.3929144608484845</c:v>
                </c:pt>
                <c:pt idx="12">
                  <c:v>4.2175585397125301</c:v>
                </c:pt>
                <c:pt idx="13">
                  <c:v>1.616080659335569</c:v>
                </c:pt>
                <c:pt idx="14">
                  <c:v>2.5825500687808263</c:v>
                </c:pt>
                <c:pt idx="15">
                  <c:v>1.2056503797035623</c:v>
                </c:pt>
                <c:pt idx="16">
                  <c:v>2.98216431489683</c:v>
                </c:pt>
                <c:pt idx="17">
                  <c:v>3.3031892021305924</c:v>
                </c:pt>
                <c:pt idx="18">
                  <c:v>3.9291846053489881</c:v>
                </c:pt>
                <c:pt idx="19">
                  <c:v>1.7358420285248839</c:v>
                </c:pt>
                <c:pt idx="20">
                  <c:v>1.2029017661382355</c:v>
                </c:pt>
                <c:pt idx="21">
                  <c:v>1.2029017661382355</c:v>
                </c:pt>
                <c:pt idx="22">
                  <c:v>2.2949407812701077</c:v>
                </c:pt>
              </c:numCache>
            </c:numRef>
          </c:val>
          <c:extLst>
            <c:ext xmlns:c16="http://schemas.microsoft.com/office/drawing/2014/chart" uri="{C3380CC4-5D6E-409C-BE32-E72D297353CC}">
              <c16:uniqueId val="{00000001-B67C-4646-AEC1-51F02C620D62}"/>
            </c:ext>
          </c:extLst>
        </c:ser>
        <c:ser>
          <c:idx val="2"/>
          <c:order val="2"/>
          <c:tx>
            <c:strRef>
              <c:f>まとめ!$U$11</c:f>
              <c:strCache>
                <c:ptCount val="1"/>
                <c:pt idx="0">
                  <c:v>燃料費</c:v>
                </c:pt>
              </c:strCache>
            </c:strRef>
          </c:tx>
          <c:spPr>
            <a:solidFill>
              <a:srgbClr val="9BBB59"/>
            </a:solidFill>
            <a:ln w="25400">
              <a:noFill/>
            </a:ln>
          </c:spPr>
          <c:invertIfNegative val="0"/>
          <c:cat>
            <c:strRef>
              <c:f>まとめ!$A$12:$A$34</c:f>
              <c:strCache>
                <c:ptCount val="23"/>
                <c:pt idx="0">
                  <c:v>原子力</c:v>
                </c:pt>
                <c:pt idx="1">
                  <c:v>石炭火力</c:v>
                </c:pt>
                <c:pt idx="2">
                  <c:v>LNG火力</c:v>
                </c:pt>
                <c:pt idx="3">
                  <c:v>石油火力</c:v>
                </c:pt>
                <c:pt idx="4">
                  <c:v>太陽光（事業用）</c:v>
                </c:pt>
                <c:pt idx="5">
                  <c:v>太陽光（住宅用）</c:v>
                </c:pt>
                <c:pt idx="6">
                  <c:v>陸上風力</c:v>
                </c:pt>
                <c:pt idx="7">
                  <c:v>洋上風力</c:v>
                </c:pt>
                <c:pt idx="8">
                  <c:v>小水力</c:v>
                </c:pt>
                <c:pt idx="9">
                  <c:v>中水力</c:v>
                </c:pt>
                <c:pt idx="10">
                  <c:v>地熱</c:v>
                </c:pt>
                <c:pt idx="11">
                  <c:v>バイオマス（石炭混焼）</c:v>
                </c:pt>
                <c:pt idx="12">
                  <c:v>バイオマス（木質専焼）</c:v>
                </c:pt>
                <c:pt idx="13">
                  <c:v>ガスコジェネ</c:v>
                </c:pt>
                <c:pt idx="14">
                  <c:v>石油コジェネ</c:v>
                </c:pt>
                <c:pt idx="15">
                  <c:v>燃料電池</c:v>
                </c:pt>
                <c:pt idx="16">
                  <c:v>ＩＧＣＣ</c:v>
                </c:pt>
                <c:pt idx="17">
                  <c:v>CO2分離回収型石炭火力</c:v>
                </c:pt>
                <c:pt idx="18">
                  <c:v>CO2分離回収型IGCC</c:v>
                </c:pt>
                <c:pt idx="19">
                  <c:v>CO2分離回収型LNG火力</c:v>
                </c:pt>
                <c:pt idx="20">
                  <c:v>水素専焼火力</c:v>
                </c:pt>
                <c:pt idx="21">
                  <c:v>水素混焼火力</c:v>
                </c:pt>
                <c:pt idx="22">
                  <c:v>アンモニア混焼火力</c:v>
                </c:pt>
              </c:strCache>
            </c:strRef>
          </c:cat>
          <c:val>
            <c:numRef>
              <c:f>まとめ!$U$12:$U$34</c:f>
              <c:numCache>
                <c:formatCode>#,##0.0</c:formatCode>
                <c:ptCount val="23"/>
                <c:pt idx="0">
                  <c:v>1.679029170797159</c:v>
                </c:pt>
                <c:pt idx="1">
                  <c:v>4.286928625471182</c:v>
                </c:pt>
                <c:pt idx="2">
                  <c:v>6.0024205257745775</c:v>
                </c:pt>
                <c:pt idx="3">
                  <c:v>12.889339230797765</c:v>
                </c:pt>
                <c:pt idx="4">
                  <c:v>0</c:v>
                </c:pt>
                <c:pt idx="5">
                  <c:v>0</c:v>
                </c:pt>
                <c:pt idx="6">
                  <c:v>0</c:v>
                </c:pt>
                <c:pt idx="7">
                  <c:v>0</c:v>
                </c:pt>
                <c:pt idx="8">
                  <c:v>0</c:v>
                </c:pt>
                <c:pt idx="9">
                  <c:v>0</c:v>
                </c:pt>
                <c:pt idx="10">
                  <c:v>0</c:v>
                </c:pt>
                <c:pt idx="11">
                  <c:v>4.3950962769632689</c:v>
                </c:pt>
                <c:pt idx="12">
                  <c:v>20.96447227342486</c:v>
                </c:pt>
                <c:pt idx="13">
                  <c:v>8.009444405133415</c:v>
                </c:pt>
                <c:pt idx="14">
                  <c:v>18.203977331762854</c:v>
                </c:pt>
                <c:pt idx="15">
                  <c:v>7.9247624058358825</c:v>
                </c:pt>
                <c:pt idx="16">
                  <c:v>3.76972595851481</c:v>
                </c:pt>
                <c:pt idx="17">
                  <c:v>4.8643409558906914</c:v>
                </c:pt>
                <c:pt idx="18">
                  <c:v>4.2961450473795786</c:v>
                </c:pt>
                <c:pt idx="19">
                  <c:v>6.7116332024107761</c:v>
                </c:pt>
                <c:pt idx="20">
                  <c:v>18.851220776146402</c:v>
                </c:pt>
                <c:pt idx="21">
                  <c:v>7.3004639214764415</c:v>
                </c:pt>
                <c:pt idx="22">
                  <c:v>7.2133480692593732</c:v>
                </c:pt>
              </c:numCache>
            </c:numRef>
          </c:val>
          <c:extLst>
            <c:ext xmlns:c16="http://schemas.microsoft.com/office/drawing/2014/chart" uri="{C3380CC4-5D6E-409C-BE32-E72D297353CC}">
              <c16:uniqueId val="{00000002-B67C-4646-AEC1-51F02C620D62}"/>
            </c:ext>
          </c:extLst>
        </c:ser>
        <c:ser>
          <c:idx val="3"/>
          <c:order val="3"/>
          <c:tx>
            <c:strRef>
              <c:f>まとめ!$V$11</c:f>
              <c:strCache>
                <c:ptCount val="1"/>
                <c:pt idx="0">
                  <c:v>社会的
費用</c:v>
                </c:pt>
              </c:strCache>
            </c:strRef>
          </c:tx>
          <c:spPr>
            <a:solidFill>
              <a:srgbClr val="8064A2"/>
            </a:solidFill>
            <a:ln w="25400">
              <a:noFill/>
            </a:ln>
          </c:spPr>
          <c:invertIfNegative val="0"/>
          <c:cat>
            <c:strRef>
              <c:f>まとめ!$A$12:$A$34</c:f>
              <c:strCache>
                <c:ptCount val="23"/>
                <c:pt idx="0">
                  <c:v>原子力</c:v>
                </c:pt>
                <c:pt idx="1">
                  <c:v>石炭火力</c:v>
                </c:pt>
                <c:pt idx="2">
                  <c:v>LNG火力</c:v>
                </c:pt>
                <c:pt idx="3">
                  <c:v>石油火力</c:v>
                </c:pt>
                <c:pt idx="4">
                  <c:v>太陽光（事業用）</c:v>
                </c:pt>
                <c:pt idx="5">
                  <c:v>太陽光（住宅用）</c:v>
                </c:pt>
                <c:pt idx="6">
                  <c:v>陸上風力</c:v>
                </c:pt>
                <c:pt idx="7">
                  <c:v>洋上風力</c:v>
                </c:pt>
                <c:pt idx="8">
                  <c:v>小水力</c:v>
                </c:pt>
                <c:pt idx="9">
                  <c:v>中水力</c:v>
                </c:pt>
                <c:pt idx="10">
                  <c:v>地熱</c:v>
                </c:pt>
                <c:pt idx="11">
                  <c:v>バイオマス（石炭混焼）</c:v>
                </c:pt>
                <c:pt idx="12">
                  <c:v>バイオマス（木質専焼）</c:v>
                </c:pt>
                <c:pt idx="13">
                  <c:v>ガスコジェネ</c:v>
                </c:pt>
                <c:pt idx="14">
                  <c:v>石油コジェネ</c:v>
                </c:pt>
                <c:pt idx="15">
                  <c:v>燃料電池</c:v>
                </c:pt>
                <c:pt idx="16">
                  <c:v>ＩＧＣＣ</c:v>
                </c:pt>
                <c:pt idx="17">
                  <c:v>CO2分離回収型石炭火力</c:v>
                </c:pt>
                <c:pt idx="18">
                  <c:v>CO2分離回収型IGCC</c:v>
                </c:pt>
                <c:pt idx="19">
                  <c:v>CO2分離回収型LNG火力</c:v>
                </c:pt>
                <c:pt idx="20">
                  <c:v>水素専焼火力</c:v>
                </c:pt>
                <c:pt idx="21">
                  <c:v>水素混焼火力</c:v>
                </c:pt>
                <c:pt idx="22">
                  <c:v>アンモニア混焼火力</c:v>
                </c:pt>
              </c:strCache>
            </c:strRef>
          </c:cat>
          <c:val>
            <c:numRef>
              <c:f>まとめ!$V$12:$V$34</c:f>
              <c:numCache>
                <c:formatCode>#,##0.0</c:formatCode>
                <c:ptCount val="23"/>
                <c:pt idx="0">
                  <c:v>0.55494967203015144</c:v>
                </c:pt>
                <c:pt idx="1">
                  <c:v>4.9224399372786793</c:v>
                </c:pt>
                <c:pt idx="2">
                  <c:v>2.0748228298038756</c:v>
                </c:pt>
                <c:pt idx="3">
                  <c:v>3.6606608875641409</c:v>
                </c:pt>
                <c:pt idx="4">
                  <c:v>0</c:v>
                </c:pt>
                <c:pt idx="5">
                  <c:v>0</c:v>
                </c:pt>
                <c:pt idx="6">
                  <c:v>0</c:v>
                </c:pt>
                <c:pt idx="7">
                  <c:v>0</c:v>
                </c:pt>
                <c:pt idx="8">
                  <c:v>0</c:v>
                </c:pt>
                <c:pt idx="9">
                  <c:v>0</c:v>
                </c:pt>
                <c:pt idx="10">
                  <c:v>0</c:v>
                </c:pt>
                <c:pt idx="11">
                  <c:v>4.794620796336627</c:v>
                </c:pt>
                <c:pt idx="12">
                  <c:v>0</c:v>
                </c:pt>
                <c:pt idx="13">
                  <c:v>2.5592514152742081</c:v>
                </c:pt>
                <c:pt idx="14">
                  <c:v>4.8774810034930773</c:v>
                </c:pt>
                <c:pt idx="15">
                  <c:v>2.1749466055014972</c:v>
                </c:pt>
                <c:pt idx="16">
                  <c:v>4.4612318414945014</c:v>
                </c:pt>
                <c:pt idx="17">
                  <c:v>2.8176296182209311</c:v>
                </c:pt>
                <c:pt idx="18">
                  <c:v>2.5647773607138702</c:v>
                </c:pt>
                <c:pt idx="19">
                  <c:v>1.1703305341826384</c:v>
                </c:pt>
                <c:pt idx="20">
                  <c:v>0</c:v>
                </c:pt>
                <c:pt idx="21">
                  <c:v>1.8673405468234878</c:v>
                </c:pt>
                <c:pt idx="22">
                  <c:v>3.9517323498120307</c:v>
                </c:pt>
              </c:numCache>
            </c:numRef>
          </c:val>
          <c:extLst>
            <c:ext xmlns:c16="http://schemas.microsoft.com/office/drawing/2014/chart" uri="{C3380CC4-5D6E-409C-BE32-E72D297353CC}">
              <c16:uniqueId val="{00000003-B67C-4646-AEC1-51F02C620D62}"/>
            </c:ext>
          </c:extLst>
        </c:ser>
        <c:ser>
          <c:idx val="5"/>
          <c:order val="5"/>
          <c:tx>
            <c:strRef>
              <c:f>まとめ!$X$11</c:f>
              <c:strCache>
                <c:ptCount val="1"/>
                <c:pt idx="0">
                  <c:v>政策経費</c:v>
                </c:pt>
              </c:strCache>
            </c:strRef>
          </c:tx>
          <c:spPr>
            <a:solidFill>
              <a:srgbClr val="F79646"/>
            </a:solidFill>
            <a:ln w="25400">
              <a:noFill/>
            </a:ln>
          </c:spPr>
          <c:invertIfNegative val="0"/>
          <c:cat>
            <c:strRef>
              <c:f>まとめ!$A$12:$A$34</c:f>
              <c:strCache>
                <c:ptCount val="23"/>
                <c:pt idx="0">
                  <c:v>原子力</c:v>
                </c:pt>
                <c:pt idx="1">
                  <c:v>石炭火力</c:v>
                </c:pt>
                <c:pt idx="2">
                  <c:v>LNG火力</c:v>
                </c:pt>
                <c:pt idx="3">
                  <c:v>石油火力</c:v>
                </c:pt>
                <c:pt idx="4">
                  <c:v>太陽光（事業用）</c:v>
                </c:pt>
                <c:pt idx="5">
                  <c:v>太陽光（住宅用）</c:v>
                </c:pt>
                <c:pt idx="6">
                  <c:v>陸上風力</c:v>
                </c:pt>
                <c:pt idx="7">
                  <c:v>洋上風力</c:v>
                </c:pt>
                <c:pt idx="8">
                  <c:v>小水力</c:v>
                </c:pt>
                <c:pt idx="9">
                  <c:v>中水力</c:v>
                </c:pt>
                <c:pt idx="10">
                  <c:v>地熱</c:v>
                </c:pt>
                <c:pt idx="11">
                  <c:v>バイオマス（石炭混焼）</c:v>
                </c:pt>
                <c:pt idx="12">
                  <c:v>バイオマス（木質専焼）</c:v>
                </c:pt>
                <c:pt idx="13">
                  <c:v>ガスコジェネ</c:v>
                </c:pt>
                <c:pt idx="14">
                  <c:v>石油コジェネ</c:v>
                </c:pt>
                <c:pt idx="15">
                  <c:v>燃料電池</c:v>
                </c:pt>
                <c:pt idx="16">
                  <c:v>ＩＧＣＣ</c:v>
                </c:pt>
                <c:pt idx="17">
                  <c:v>CO2分離回収型石炭火力</c:v>
                </c:pt>
                <c:pt idx="18">
                  <c:v>CO2分離回収型IGCC</c:v>
                </c:pt>
                <c:pt idx="19">
                  <c:v>CO2分離回収型LNG火力</c:v>
                </c:pt>
                <c:pt idx="20">
                  <c:v>水素専焼火力</c:v>
                </c:pt>
                <c:pt idx="21">
                  <c:v>水素混焼火力</c:v>
                </c:pt>
                <c:pt idx="22">
                  <c:v>アンモニア混焼火力</c:v>
                </c:pt>
              </c:strCache>
            </c:strRef>
          </c:cat>
          <c:val>
            <c:numRef>
              <c:f>まとめ!$X$12:$X$34</c:f>
              <c:numCache>
                <c:formatCode>#,##0.0</c:formatCode>
                <c:ptCount val="23"/>
                <c:pt idx="0">
                  <c:v>1.5099999999999998</c:v>
                </c:pt>
                <c:pt idx="1">
                  <c:v>7.0000000000000284E-2</c:v>
                </c:pt>
                <c:pt idx="2">
                  <c:v>0.14000000000000057</c:v>
                </c:pt>
                <c:pt idx="3">
                  <c:v>0.12000000000000099</c:v>
                </c:pt>
                <c:pt idx="4">
                  <c:v>0.70754511841476742</c:v>
                </c:pt>
                <c:pt idx="5">
                  <c:v>0.3131043374774336</c:v>
                </c:pt>
                <c:pt idx="6">
                  <c:v>2.8661629007344853</c:v>
                </c:pt>
                <c:pt idx="7">
                  <c:v>7.6608888047570041</c:v>
                </c:pt>
                <c:pt idx="8">
                  <c:v>3.2262093388054645</c:v>
                </c:pt>
                <c:pt idx="9">
                  <c:v>2.2542395116555607</c:v>
                </c:pt>
                <c:pt idx="10">
                  <c:v>5.8175190917208663</c:v>
                </c:pt>
                <c:pt idx="11">
                  <c:v>0.46872366645454022</c:v>
                </c:pt>
                <c:pt idx="12">
                  <c:v>1.6566122613973135</c:v>
                </c:pt>
                <c:pt idx="13">
                  <c:v>2.9999999999999361E-2</c:v>
                </c:pt>
                <c:pt idx="14">
                  <c:v>3.0000000000001137E-2</c:v>
                </c:pt>
                <c:pt idx="15">
                  <c:v>0.59999999999999964</c:v>
                </c:pt>
                <c:pt idx="16">
                  <c:v>7.0000000000000284E-2</c:v>
                </c:pt>
                <c:pt idx="17">
                  <c:v>7.0000000000000284E-2</c:v>
                </c:pt>
                <c:pt idx="18">
                  <c:v>7.0000000000000284E-2</c:v>
                </c:pt>
                <c:pt idx="19">
                  <c:v>0.14000000000000057</c:v>
                </c:pt>
                <c:pt idx="20">
                  <c:v>3.0000000000001137E-2</c:v>
                </c:pt>
                <c:pt idx="21">
                  <c:v>0.13000000000000078</c:v>
                </c:pt>
                <c:pt idx="22">
                  <c:v>5.0000000000000711E-2</c:v>
                </c:pt>
              </c:numCache>
            </c:numRef>
          </c:val>
          <c:extLst>
            <c:ext xmlns:c16="http://schemas.microsoft.com/office/drawing/2014/chart" uri="{C3380CC4-5D6E-409C-BE32-E72D297353CC}">
              <c16:uniqueId val="{00000005-B67C-4646-AEC1-51F02C620D62}"/>
            </c:ext>
          </c:extLst>
        </c:ser>
        <c:dLbls>
          <c:showLegendKey val="0"/>
          <c:showVal val="0"/>
          <c:showCatName val="0"/>
          <c:showSerName val="0"/>
          <c:showPercent val="0"/>
          <c:showBubbleSize val="0"/>
        </c:dLbls>
        <c:gapWidth val="75"/>
        <c:overlap val="100"/>
        <c:axId val="472970240"/>
        <c:axId val="1"/>
        <c:extLst>
          <c:ext xmlns:c15="http://schemas.microsoft.com/office/drawing/2012/chart" uri="{02D57815-91ED-43cb-92C2-25804820EDAC}">
            <c15:filteredBarSeries>
              <c15:ser>
                <c:idx val="4"/>
                <c:order val="4"/>
                <c:tx>
                  <c:strRef>
                    <c:extLst>
                      <c:ext uri="{02D57815-91ED-43cb-92C2-25804820EDAC}">
                        <c15:formulaRef>
                          <c15:sqref>まとめ!$W$11</c15:sqref>
                        </c15:formulaRef>
                      </c:ext>
                    </c:extLst>
                    <c:strCache>
                      <c:ptCount val="1"/>
                      <c:pt idx="0">
                        <c:v>廃熱価値</c:v>
                      </c:pt>
                    </c:strCache>
                  </c:strRef>
                </c:tx>
                <c:spPr>
                  <a:solidFill>
                    <a:srgbClr val="4BACC6"/>
                  </a:solidFill>
                  <a:ln w="25400">
                    <a:noFill/>
                  </a:ln>
                </c:spPr>
                <c:invertIfNegative val="0"/>
                <c:cat>
                  <c:strRef>
                    <c:extLst>
                      <c:ext uri="{02D57815-91ED-43cb-92C2-25804820EDAC}">
                        <c15:formulaRef>
                          <c15:sqref>まとめ!$A$12:$A$34</c15:sqref>
                        </c15:formulaRef>
                      </c:ext>
                    </c:extLst>
                    <c:strCache>
                      <c:ptCount val="23"/>
                      <c:pt idx="0">
                        <c:v>原子力</c:v>
                      </c:pt>
                      <c:pt idx="1">
                        <c:v>石炭火力</c:v>
                      </c:pt>
                      <c:pt idx="2">
                        <c:v>LNG火力</c:v>
                      </c:pt>
                      <c:pt idx="3">
                        <c:v>石油火力</c:v>
                      </c:pt>
                      <c:pt idx="4">
                        <c:v>太陽光（事業用）</c:v>
                      </c:pt>
                      <c:pt idx="5">
                        <c:v>太陽光（住宅用）</c:v>
                      </c:pt>
                      <c:pt idx="6">
                        <c:v>陸上風力</c:v>
                      </c:pt>
                      <c:pt idx="7">
                        <c:v>洋上風力</c:v>
                      </c:pt>
                      <c:pt idx="8">
                        <c:v>小水力</c:v>
                      </c:pt>
                      <c:pt idx="9">
                        <c:v>中水力</c:v>
                      </c:pt>
                      <c:pt idx="10">
                        <c:v>地熱</c:v>
                      </c:pt>
                      <c:pt idx="11">
                        <c:v>バイオマス（石炭混焼）</c:v>
                      </c:pt>
                      <c:pt idx="12">
                        <c:v>バイオマス（木質専焼）</c:v>
                      </c:pt>
                      <c:pt idx="13">
                        <c:v>ガスコジェネ</c:v>
                      </c:pt>
                      <c:pt idx="14">
                        <c:v>石油コジェネ</c:v>
                      </c:pt>
                      <c:pt idx="15">
                        <c:v>燃料電池</c:v>
                      </c:pt>
                      <c:pt idx="16">
                        <c:v>ＩＧＣＣ</c:v>
                      </c:pt>
                      <c:pt idx="17">
                        <c:v>CO2分離回収型石炭火力</c:v>
                      </c:pt>
                      <c:pt idx="18">
                        <c:v>CO2分離回収型IGCC</c:v>
                      </c:pt>
                      <c:pt idx="19">
                        <c:v>CO2分離回収型LNG火力</c:v>
                      </c:pt>
                      <c:pt idx="20">
                        <c:v>水素専焼火力</c:v>
                      </c:pt>
                      <c:pt idx="21">
                        <c:v>水素混焼火力</c:v>
                      </c:pt>
                      <c:pt idx="22">
                        <c:v>アンモニア混焼火力</c:v>
                      </c:pt>
                    </c:strCache>
                  </c:strRef>
                </c:cat>
                <c:val>
                  <c:numRef>
                    <c:extLst>
                      <c:ext uri="{02D57815-91ED-43cb-92C2-25804820EDAC}">
                        <c15:formulaRef>
                          <c15:sqref>まとめ!$W$12:$W$34</c15:sqref>
                        </c15:formulaRef>
                      </c:ext>
                    </c:extLst>
                    <c:numCache>
                      <c:formatCode>#,##0.0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-4.0161044117548972</c:v>
                      </c:pt>
                      <c:pt idx="14">
                        <c:v>-6.5493638026288679</c:v>
                      </c:pt>
                      <c:pt idx="15">
                        <c:v>-4.8110288461502879</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4-B67C-4646-AEC1-51F02C620D62}"/>
                  </c:ext>
                </c:extLst>
              </c15:ser>
            </c15:filteredBarSeries>
          </c:ext>
        </c:extLst>
      </c:barChart>
      <c:catAx>
        <c:axId val="47297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
        <c:crosses val="autoZero"/>
        <c:auto val="1"/>
        <c:lblAlgn val="ctr"/>
        <c:lblOffset val="100"/>
        <c:noMultiLvlLbl val="0"/>
      </c:catAx>
      <c:valAx>
        <c:axId val="1"/>
        <c:scaling>
          <c:orientation val="minMax"/>
          <c:max val="35"/>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out"/>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2970240"/>
        <c:crosses val="autoZero"/>
        <c:crossBetween val="between"/>
      </c:valAx>
      <c:spPr>
        <a:noFill/>
        <a:ln w="25400">
          <a:noFill/>
        </a:ln>
      </c:spPr>
    </c:plotArea>
    <c:legend>
      <c:legendPos val="r"/>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まとめ!$K$11</c:f>
              <c:strCache>
                <c:ptCount val="1"/>
                <c:pt idx="0">
                  <c:v>資本費</c:v>
                </c:pt>
              </c:strCache>
            </c:strRef>
          </c:tx>
          <c:spPr>
            <a:solidFill>
              <a:srgbClr val="4F81BD"/>
            </a:solidFill>
            <a:ln w="25400">
              <a:noFill/>
            </a:ln>
          </c:spPr>
          <c:invertIfNegative val="0"/>
          <c:cat>
            <c:strRef>
              <c:f>まとめ!$A$12:$A$27</c:f>
              <c:strCache>
                <c:ptCount val="16"/>
                <c:pt idx="0">
                  <c:v>原子力</c:v>
                </c:pt>
                <c:pt idx="1">
                  <c:v>石炭火力</c:v>
                </c:pt>
                <c:pt idx="2">
                  <c:v>LNG火力</c:v>
                </c:pt>
                <c:pt idx="3">
                  <c:v>石油火力</c:v>
                </c:pt>
                <c:pt idx="4">
                  <c:v>太陽光（事業用）</c:v>
                </c:pt>
                <c:pt idx="5">
                  <c:v>太陽光（住宅用）</c:v>
                </c:pt>
                <c:pt idx="6">
                  <c:v>陸上風力</c:v>
                </c:pt>
                <c:pt idx="7">
                  <c:v>洋上風力</c:v>
                </c:pt>
                <c:pt idx="8">
                  <c:v>小水力</c:v>
                </c:pt>
                <c:pt idx="9">
                  <c:v>中水力</c:v>
                </c:pt>
                <c:pt idx="10">
                  <c:v>地熱</c:v>
                </c:pt>
                <c:pt idx="11">
                  <c:v>バイオマス（石炭混焼）</c:v>
                </c:pt>
                <c:pt idx="12">
                  <c:v>バイオマス（木質専焼）</c:v>
                </c:pt>
                <c:pt idx="13">
                  <c:v>ガスコジェネ</c:v>
                </c:pt>
                <c:pt idx="14">
                  <c:v>石油コジェネ</c:v>
                </c:pt>
                <c:pt idx="15">
                  <c:v>燃料電池</c:v>
                </c:pt>
              </c:strCache>
            </c:strRef>
          </c:cat>
          <c:val>
            <c:numRef>
              <c:f>まとめ!$K$12:$K$27</c:f>
              <c:numCache>
                <c:formatCode>#,##0.0</c:formatCode>
                <c:ptCount val="16"/>
                <c:pt idx="0">
                  <c:v>4.232557766208882</c:v>
                </c:pt>
                <c:pt idx="1">
                  <c:v>2.003476945091303</c:v>
                </c:pt>
                <c:pt idx="2">
                  <c:v>1.2945516175087721</c:v>
                </c:pt>
                <c:pt idx="3">
                  <c:v>4.9446950805682679</c:v>
                </c:pt>
                <c:pt idx="4">
                  <c:v>8.8022695266578328</c:v>
                </c:pt>
                <c:pt idx="5">
                  <c:v>14.630530447985604</c:v>
                </c:pt>
                <c:pt idx="6">
                  <c:v>9.9520225873935324</c:v>
                </c:pt>
                <c:pt idx="7">
                  <c:v>12.505515484730845</c:v>
                </c:pt>
                <c:pt idx="8">
                  <c:v>8.5711358498887567</c:v>
                </c:pt>
                <c:pt idx="9">
                  <c:v>5.7108008976339972</c:v>
                </c:pt>
                <c:pt idx="10">
                  <c:v>5.8087589288087171</c:v>
                </c:pt>
                <c:pt idx="11">
                  <c:v>2.0937976275763592</c:v>
                </c:pt>
                <c:pt idx="12">
                  <c:v>2.9559860865439669</c:v>
                </c:pt>
                <c:pt idx="13">
                  <c:v>1.2725982259508049</c:v>
                </c:pt>
                <c:pt idx="14">
                  <c:v>2.3903650892631565</c:v>
                </c:pt>
                <c:pt idx="15">
                  <c:v>15.704707424236053</c:v>
                </c:pt>
              </c:numCache>
            </c:numRef>
          </c:val>
          <c:extLst>
            <c:ext xmlns:c16="http://schemas.microsoft.com/office/drawing/2014/chart" uri="{C3380CC4-5D6E-409C-BE32-E72D297353CC}">
              <c16:uniqueId val="{00000000-CB97-4440-9E68-943988BCF7D4}"/>
            </c:ext>
          </c:extLst>
        </c:ser>
        <c:ser>
          <c:idx val="1"/>
          <c:order val="1"/>
          <c:tx>
            <c:strRef>
              <c:f>まとめ!$L$11</c:f>
              <c:strCache>
                <c:ptCount val="1"/>
                <c:pt idx="0">
                  <c:v>運転
維持費</c:v>
                </c:pt>
              </c:strCache>
            </c:strRef>
          </c:tx>
          <c:spPr>
            <a:solidFill>
              <a:srgbClr val="C0504D"/>
            </a:solidFill>
            <a:ln w="25400">
              <a:noFill/>
            </a:ln>
          </c:spPr>
          <c:invertIfNegative val="0"/>
          <c:cat>
            <c:strRef>
              <c:f>まとめ!$A$12:$A$27</c:f>
              <c:strCache>
                <c:ptCount val="16"/>
                <c:pt idx="0">
                  <c:v>原子力</c:v>
                </c:pt>
                <c:pt idx="1">
                  <c:v>石炭火力</c:v>
                </c:pt>
                <c:pt idx="2">
                  <c:v>LNG火力</c:v>
                </c:pt>
                <c:pt idx="3">
                  <c:v>石油火力</c:v>
                </c:pt>
                <c:pt idx="4">
                  <c:v>太陽光（事業用）</c:v>
                </c:pt>
                <c:pt idx="5">
                  <c:v>太陽光（住宅用）</c:v>
                </c:pt>
                <c:pt idx="6">
                  <c:v>陸上風力</c:v>
                </c:pt>
                <c:pt idx="7">
                  <c:v>洋上風力</c:v>
                </c:pt>
                <c:pt idx="8">
                  <c:v>小水力</c:v>
                </c:pt>
                <c:pt idx="9">
                  <c:v>中水力</c:v>
                </c:pt>
                <c:pt idx="10">
                  <c:v>地熱</c:v>
                </c:pt>
                <c:pt idx="11">
                  <c:v>バイオマス（石炭混焼）</c:v>
                </c:pt>
                <c:pt idx="12">
                  <c:v>バイオマス（木質専焼）</c:v>
                </c:pt>
                <c:pt idx="13">
                  <c:v>ガスコジェネ</c:v>
                </c:pt>
                <c:pt idx="14">
                  <c:v>石油コジェネ</c:v>
                </c:pt>
                <c:pt idx="15">
                  <c:v>燃料電池</c:v>
                </c:pt>
              </c:strCache>
            </c:strRef>
          </c:cat>
          <c:val>
            <c:numRef>
              <c:f>まとめ!$L$12:$L$27</c:f>
              <c:numCache>
                <c:formatCode>#,##0.0</c:formatCode>
                <c:ptCount val="16"/>
                <c:pt idx="0">
                  <c:v>3.7287375652315711</c:v>
                </c:pt>
                <c:pt idx="1">
                  <c:v>2.2949407812701077</c:v>
                </c:pt>
                <c:pt idx="2">
                  <c:v>1.2029017661382355</c:v>
                </c:pt>
                <c:pt idx="3">
                  <c:v>3.2746826755816483</c:v>
                </c:pt>
                <c:pt idx="4">
                  <c:v>3.1857279388340229</c:v>
                </c:pt>
                <c:pt idx="5">
                  <c:v>2.4816358943815762</c:v>
                </c:pt>
                <c:pt idx="6">
                  <c:v>4.6740732750871894</c:v>
                </c:pt>
                <c:pt idx="7">
                  <c:v>8.5616438356164402</c:v>
                </c:pt>
                <c:pt idx="8">
                  <c:v>13.447488584474888</c:v>
                </c:pt>
                <c:pt idx="9">
                  <c:v>2.9608540707732018</c:v>
                </c:pt>
                <c:pt idx="10">
                  <c:v>5.099666018236408</c:v>
                </c:pt>
                <c:pt idx="11">
                  <c:v>2.3929144608484845</c:v>
                </c:pt>
                <c:pt idx="12">
                  <c:v>4.2175585397125301</c:v>
                </c:pt>
                <c:pt idx="13">
                  <c:v>1.616080659335569</c:v>
                </c:pt>
                <c:pt idx="14">
                  <c:v>2.5825500687808263</c:v>
                </c:pt>
                <c:pt idx="15">
                  <c:v>1.2456166906329622</c:v>
                </c:pt>
              </c:numCache>
            </c:numRef>
          </c:val>
          <c:extLst>
            <c:ext xmlns:c16="http://schemas.microsoft.com/office/drawing/2014/chart" uri="{C3380CC4-5D6E-409C-BE32-E72D297353CC}">
              <c16:uniqueId val="{00000001-CB97-4440-9E68-943988BCF7D4}"/>
            </c:ext>
          </c:extLst>
        </c:ser>
        <c:ser>
          <c:idx val="2"/>
          <c:order val="2"/>
          <c:tx>
            <c:strRef>
              <c:f>まとめ!$M$11</c:f>
              <c:strCache>
                <c:ptCount val="1"/>
                <c:pt idx="0">
                  <c:v>燃料費</c:v>
                </c:pt>
              </c:strCache>
            </c:strRef>
          </c:tx>
          <c:spPr>
            <a:solidFill>
              <a:srgbClr val="9BBB59"/>
            </a:solidFill>
            <a:ln w="25400">
              <a:noFill/>
            </a:ln>
          </c:spPr>
          <c:invertIfNegative val="0"/>
          <c:cat>
            <c:strRef>
              <c:f>まとめ!$A$12:$A$27</c:f>
              <c:strCache>
                <c:ptCount val="16"/>
                <c:pt idx="0">
                  <c:v>原子力</c:v>
                </c:pt>
                <c:pt idx="1">
                  <c:v>石炭火力</c:v>
                </c:pt>
                <c:pt idx="2">
                  <c:v>LNG火力</c:v>
                </c:pt>
                <c:pt idx="3">
                  <c:v>石油火力</c:v>
                </c:pt>
                <c:pt idx="4">
                  <c:v>太陽光（事業用）</c:v>
                </c:pt>
                <c:pt idx="5">
                  <c:v>太陽光（住宅用）</c:v>
                </c:pt>
                <c:pt idx="6">
                  <c:v>陸上風力</c:v>
                </c:pt>
                <c:pt idx="7">
                  <c:v>洋上風力</c:v>
                </c:pt>
                <c:pt idx="8">
                  <c:v>小水力</c:v>
                </c:pt>
                <c:pt idx="9">
                  <c:v>中水力</c:v>
                </c:pt>
                <c:pt idx="10">
                  <c:v>地熱</c:v>
                </c:pt>
                <c:pt idx="11">
                  <c:v>バイオマス（石炭混焼）</c:v>
                </c:pt>
                <c:pt idx="12">
                  <c:v>バイオマス（木質専焼）</c:v>
                </c:pt>
                <c:pt idx="13">
                  <c:v>ガスコジェネ</c:v>
                </c:pt>
                <c:pt idx="14">
                  <c:v>石油コジェネ</c:v>
                </c:pt>
                <c:pt idx="15">
                  <c:v>燃料電池</c:v>
                </c:pt>
              </c:strCache>
            </c:strRef>
          </c:cat>
          <c:val>
            <c:numRef>
              <c:f>まとめ!$M$12:$M$27</c:f>
              <c:numCache>
                <c:formatCode>#,##0.0</c:formatCode>
                <c:ptCount val="16"/>
                <c:pt idx="0">
                  <c:v>1.679029170797159</c:v>
                </c:pt>
                <c:pt idx="1">
                  <c:v>4.3323223802273514</c:v>
                </c:pt>
                <c:pt idx="2">
                  <c:v>6.4493516049023309</c:v>
                </c:pt>
                <c:pt idx="3">
                  <c:v>14.775971940337497</c:v>
                </c:pt>
                <c:pt idx="4">
                  <c:v>0</c:v>
                </c:pt>
                <c:pt idx="5">
                  <c:v>0</c:v>
                </c:pt>
                <c:pt idx="6">
                  <c:v>0</c:v>
                </c:pt>
                <c:pt idx="7">
                  <c:v>0</c:v>
                </c:pt>
                <c:pt idx="8">
                  <c:v>0</c:v>
                </c:pt>
                <c:pt idx="9">
                  <c:v>0</c:v>
                </c:pt>
                <c:pt idx="10">
                  <c:v>0</c:v>
                </c:pt>
                <c:pt idx="11">
                  <c:v>4.4393113092137293</c:v>
                </c:pt>
                <c:pt idx="12">
                  <c:v>20.96447227342486</c:v>
                </c:pt>
                <c:pt idx="13">
                  <c:v>8.6008187795712097</c:v>
                </c:pt>
                <c:pt idx="14">
                  <c:v>16.808993664303127</c:v>
                </c:pt>
                <c:pt idx="15">
                  <c:v>8.9751898402304136</c:v>
                </c:pt>
              </c:numCache>
            </c:numRef>
          </c:val>
          <c:extLst>
            <c:ext xmlns:c16="http://schemas.microsoft.com/office/drawing/2014/chart" uri="{C3380CC4-5D6E-409C-BE32-E72D297353CC}">
              <c16:uniqueId val="{00000002-CB97-4440-9E68-943988BCF7D4}"/>
            </c:ext>
          </c:extLst>
        </c:ser>
        <c:ser>
          <c:idx val="3"/>
          <c:order val="3"/>
          <c:tx>
            <c:strRef>
              <c:f>まとめ!$N$11</c:f>
              <c:strCache>
                <c:ptCount val="1"/>
                <c:pt idx="0">
                  <c:v>社会的
費用</c:v>
                </c:pt>
              </c:strCache>
            </c:strRef>
          </c:tx>
          <c:spPr>
            <a:solidFill>
              <a:srgbClr val="8064A2"/>
            </a:solidFill>
            <a:ln w="25400">
              <a:noFill/>
            </a:ln>
          </c:spPr>
          <c:invertIfNegative val="0"/>
          <c:cat>
            <c:strRef>
              <c:f>まとめ!$A$12:$A$27</c:f>
              <c:strCache>
                <c:ptCount val="16"/>
                <c:pt idx="0">
                  <c:v>原子力</c:v>
                </c:pt>
                <c:pt idx="1">
                  <c:v>石炭火力</c:v>
                </c:pt>
                <c:pt idx="2">
                  <c:v>LNG火力</c:v>
                </c:pt>
                <c:pt idx="3">
                  <c:v>石油火力</c:v>
                </c:pt>
                <c:pt idx="4">
                  <c:v>太陽光（事業用）</c:v>
                </c:pt>
                <c:pt idx="5">
                  <c:v>太陽光（住宅用）</c:v>
                </c:pt>
                <c:pt idx="6">
                  <c:v>陸上風力</c:v>
                </c:pt>
                <c:pt idx="7">
                  <c:v>洋上風力</c:v>
                </c:pt>
                <c:pt idx="8">
                  <c:v>小水力</c:v>
                </c:pt>
                <c:pt idx="9">
                  <c:v>中水力</c:v>
                </c:pt>
                <c:pt idx="10">
                  <c:v>地熱</c:v>
                </c:pt>
                <c:pt idx="11">
                  <c:v>バイオマス（石炭混焼）</c:v>
                </c:pt>
                <c:pt idx="12">
                  <c:v>バイオマス（木質専焼）</c:v>
                </c:pt>
                <c:pt idx="13">
                  <c:v>ガスコジェネ</c:v>
                </c:pt>
                <c:pt idx="14">
                  <c:v>石油コジェネ</c:v>
                </c:pt>
                <c:pt idx="15">
                  <c:v>燃料電池</c:v>
                </c:pt>
              </c:strCache>
            </c:strRef>
          </c:cat>
          <c:val>
            <c:numRef>
              <c:f>まとめ!$N$12:$N$27</c:f>
              <c:numCache>
                <c:formatCode>#,##0.0</c:formatCode>
                <c:ptCount val="16"/>
                <c:pt idx="0">
                  <c:v>0.55494967203015144</c:v>
                </c:pt>
                <c:pt idx="1">
                  <c:v>3.8715524111374942</c:v>
                </c:pt>
                <c:pt idx="2">
                  <c:v>1.706727116575488</c:v>
                </c:pt>
                <c:pt idx="3">
                  <c:v>3.5435686157370925</c:v>
                </c:pt>
                <c:pt idx="4">
                  <c:v>0</c:v>
                </c:pt>
                <c:pt idx="5">
                  <c:v>0</c:v>
                </c:pt>
                <c:pt idx="6">
                  <c:v>0</c:v>
                </c:pt>
                <c:pt idx="7">
                  <c:v>0</c:v>
                </c:pt>
                <c:pt idx="8">
                  <c:v>0</c:v>
                </c:pt>
                <c:pt idx="9">
                  <c:v>0</c:v>
                </c:pt>
                <c:pt idx="10">
                  <c:v>0</c:v>
                </c:pt>
                <c:pt idx="11">
                  <c:v>3.7710212701567647</c:v>
                </c:pt>
                <c:pt idx="12">
                  <c:v>0</c:v>
                </c:pt>
                <c:pt idx="13">
                  <c:v>2.0555839110203591</c:v>
                </c:pt>
                <c:pt idx="14">
                  <c:v>3.7535880236051709</c:v>
                </c:pt>
                <c:pt idx="15">
                  <c:v>1.6465064968257497</c:v>
                </c:pt>
              </c:numCache>
            </c:numRef>
          </c:val>
          <c:extLst>
            <c:ext xmlns:c16="http://schemas.microsoft.com/office/drawing/2014/chart" uri="{C3380CC4-5D6E-409C-BE32-E72D297353CC}">
              <c16:uniqueId val="{00000003-CB97-4440-9E68-943988BCF7D4}"/>
            </c:ext>
          </c:extLst>
        </c:ser>
        <c:ser>
          <c:idx val="5"/>
          <c:order val="5"/>
          <c:tx>
            <c:strRef>
              <c:f>まとめ!$P$11</c:f>
              <c:strCache>
                <c:ptCount val="1"/>
                <c:pt idx="0">
                  <c:v>政策経費</c:v>
                </c:pt>
              </c:strCache>
            </c:strRef>
          </c:tx>
          <c:spPr>
            <a:solidFill>
              <a:srgbClr val="F79646"/>
            </a:solidFill>
            <a:ln w="25400">
              <a:noFill/>
            </a:ln>
          </c:spPr>
          <c:invertIfNegative val="0"/>
          <c:cat>
            <c:strRef>
              <c:f>まとめ!$A$12:$A$27</c:f>
              <c:strCache>
                <c:ptCount val="16"/>
                <c:pt idx="0">
                  <c:v>原子力</c:v>
                </c:pt>
                <c:pt idx="1">
                  <c:v>石炭火力</c:v>
                </c:pt>
                <c:pt idx="2">
                  <c:v>LNG火力</c:v>
                </c:pt>
                <c:pt idx="3">
                  <c:v>石油火力</c:v>
                </c:pt>
                <c:pt idx="4">
                  <c:v>太陽光（事業用）</c:v>
                </c:pt>
                <c:pt idx="5">
                  <c:v>太陽光（住宅用）</c:v>
                </c:pt>
                <c:pt idx="6">
                  <c:v>陸上風力</c:v>
                </c:pt>
                <c:pt idx="7">
                  <c:v>洋上風力</c:v>
                </c:pt>
                <c:pt idx="8">
                  <c:v>小水力</c:v>
                </c:pt>
                <c:pt idx="9">
                  <c:v>中水力</c:v>
                </c:pt>
                <c:pt idx="10">
                  <c:v>地熱</c:v>
                </c:pt>
                <c:pt idx="11">
                  <c:v>バイオマス（石炭混焼）</c:v>
                </c:pt>
                <c:pt idx="12">
                  <c:v>バイオマス（木質専焼）</c:v>
                </c:pt>
                <c:pt idx="13">
                  <c:v>ガスコジェネ</c:v>
                </c:pt>
                <c:pt idx="14">
                  <c:v>石油コジェネ</c:v>
                </c:pt>
                <c:pt idx="15">
                  <c:v>燃料電池</c:v>
                </c:pt>
              </c:strCache>
            </c:strRef>
          </c:cat>
          <c:val>
            <c:numRef>
              <c:f>まとめ!$P$12:$P$27</c:f>
              <c:numCache>
                <c:formatCode>#,##0.0</c:formatCode>
                <c:ptCount val="16"/>
                <c:pt idx="0">
                  <c:v>1.3064269999999993</c:v>
                </c:pt>
                <c:pt idx="1">
                  <c:v>4.1416999999999149E-2</c:v>
                </c:pt>
                <c:pt idx="2">
                  <c:v>7.648644963462381E-2</c:v>
                </c:pt>
                <c:pt idx="3">
                  <c:v>0.16221001695923576</c:v>
                </c:pt>
                <c:pt idx="4">
                  <c:v>0.86572480387283868</c:v>
                </c:pt>
                <c:pt idx="5">
                  <c:v>0.5936908779889194</c:v>
                </c:pt>
                <c:pt idx="6">
                  <c:v>5.1549446355429005</c:v>
                </c:pt>
                <c:pt idx="7">
                  <c:v>8.9683853846161803</c:v>
                </c:pt>
                <c:pt idx="8">
                  <c:v>3.249005338805464</c:v>
                </c:pt>
                <c:pt idx="9">
                  <c:v>2.2770355116555603</c:v>
                </c:pt>
                <c:pt idx="10">
                  <c:v>5.8175190917208663</c:v>
                </c:pt>
                <c:pt idx="11">
                  <c:v>0.51955117502411419</c:v>
                </c:pt>
                <c:pt idx="12">
                  <c:v>1.6948362613973131</c:v>
                </c:pt>
                <c:pt idx="13">
                  <c:v>3.4849689042765419E-2</c:v>
                </c:pt>
                <c:pt idx="14">
                  <c:v>3.4849999999998715E-2</c:v>
                </c:pt>
                <c:pt idx="15">
                  <c:v>1.2881210000000003</c:v>
                </c:pt>
              </c:numCache>
            </c:numRef>
          </c:val>
          <c:extLst>
            <c:ext xmlns:c16="http://schemas.microsoft.com/office/drawing/2014/chart" uri="{C3380CC4-5D6E-409C-BE32-E72D297353CC}">
              <c16:uniqueId val="{00000005-CB97-4440-9E68-943988BCF7D4}"/>
            </c:ext>
          </c:extLst>
        </c:ser>
        <c:dLbls>
          <c:showLegendKey val="0"/>
          <c:showVal val="0"/>
          <c:showCatName val="0"/>
          <c:showSerName val="0"/>
          <c:showPercent val="0"/>
          <c:showBubbleSize val="0"/>
        </c:dLbls>
        <c:gapWidth val="75"/>
        <c:overlap val="100"/>
        <c:axId val="472969912"/>
        <c:axId val="1"/>
        <c:extLst>
          <c:ext xmlns:c15="http://schemas.microsoft.com/office/drawing/2012/chart" uri="{02D57815-91ED-43cb-92C2-25804820EDAC}">
            <c15:filteredBarSeries>
              <c15:ser>
                <c:idx val="4"/>
                <c:order val="4"/>
                <c:tx>
                  <c:strRef>
                    <c:extLst>
                      <c:ext uri="{02D57815-91ED-43cb-92C2-25804820EDAC}">
                        <c15:formulaRef>
                          <c15:sqref>まとめ!$O$11</c15:sqref>
                        </c15:formulaRef>
                      </c:ext>
                    </c:extLst>
                    <c:strCache>
                      <c:ptCount val="1"/>
                      <c:pt idx="0">
                        <c:v>廃熱価値</c:v>
                      </c:pt>
                    </c:strCache>
                  </c:strRef>
                </c:tx>
                <c:spPr>
                  <a:solidFill>
                    <a:srgbClr val="4BACC6"/>
                  </a:solidFill>
                  <a:ln w="25400">
                    <a:noFill/>
                  </a:ln>
                </c:spPr>
                <c:invertIfNegative val="0"/>
                <c:cat>
                  <c:strRef>
                    <c:extLst>
                      <c:ext uri="{02D57815-91ED-43cb-92C2-25804820EDAC}">
                        <c15:formulaRef>
                          <c15:sqref>まとめ!$A$12:$A$27</c15:sqref>
                        </c15:formulaRef>
                      </c:ext>
                    </c:extLst>
                    <c:strCache>
                      <c:ptCount val="16"/>
                      <c:pt idx="0">
                        <c:v>原子力</c:v>
                      </c:pt>
                      <c:pt idx="1">
                        <c:v>石炭火力</c:v>
                      </c:pt>
                      <c:pt idx="2">
                        <c:v>LNG火力</c:v>
                      </c:pt>
                      <c:pt idx="3">
                        <c:v>石油火力</c:v>
                      </c:pt>
                      <c:pt idx="4">
                        <c:v>太陽光（事業用）</c:v>
                      </c:pt>
                      <c:pt idx="5">
                        <c:v>太陽光（住宅用）</c:v>
                      </c:pt>
                      <c:pt idx="6">
                        <c:v>陸上風力</c:v>
                      </c:pt>
                      <c:pt idx="7">
                        <c:v>洋上風力</c:v>
                      </c:pt>
                      <c:pt idx="8">
                        <c:v>小水力</c:v>
                      </c:pt>
                      <c:pt idx="9">
                        <c:v>中水力</c:v>
                      </c:pt>
                      <c:pt idx="10">
                        <c:v>地熱</c:v>
                      </c:pt>
                      <c:pt idx="11">
                        <c:v>バイオマス（石炭混焼）</c:v>
                      </c:pt>
                      <c:pt idx="12">
                        <c:v>バイオマス（木質専焼）</c:v>
                      </c:pt>
                      <c:pt idx="13">
                        <c:v>ガスコジェネ</c:v>
                      </c:pt>
                      <c:pt idx="14">
                        <c:v>石油コジェネ</c:v>
                      </c:pt>
                      <c:pt idx="15">
                        <c:v>燃料電池</c:v>
                      </c:pt>
                    </c:strCache>
                  </c:strRef>
                </c:cat>
                <c:val>
                  <c:numRef>
                    <c:extLst>
                      <c:ext uri="{02D57815-91ED-43cb-92C2-25804820EDAC}">
                        <c15:formulaRef>
                          <c15:sqref>まとめ!$O$12:$O$27</c15:sqref>
                        </c15:formulaRef>
                      </c:ext>
                    </c:extLst>
                    <c:numCache>
                      <c:formatCode>#,##0.0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-4.2892020829631079</c:v>
                      </c:pt>
                      <c:pt idx="14">
                        <c:v>-5.8346325539439778</c:v>
                      </c:pt>
                      <c:pt idx="15">
                        <c:v>-5.0579512437581</c:v>
                      </c:pt>
                    </c:numCache>
                  </c:numRef>
                </c:val>
                <c:extLst>
                  <c:ext xmlns:c16="http://schemas.microsoft.com/office/drawing/2014/chart" uri="{C3380CC4-5D6E-409C-BE32-E72D297353CC}">
                    <c16:uniqueId val="{00000004-CB97-4440-9E68-943988BCF7D4}"/>
                  </c:ext>
                </c:extLst>
              </c15:ser>
            </c15:filteredBarSeries>
          </c:ext>
        </c:extLst>
      </c:barChart>
      <c:catAx>
        <c:axId val="472969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
        <c:crosses val="autoZero"/>
        <c:auto val="1"/>
        <c:lblAlgn val="ctr"/>
        <c:lblOffset val="100"/>
        <c:noMultiLvlLbl val="0"/>
      </c:catAx>
      <c:valAx>
        <c:axId val="1"/>
        <c:scaling>
          <c:orientation val="minMax"/>
          <c:max val="35"/>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out"/>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2969912"/>
        <c:crosses val="autoZero"/>
        <c:crossBetween val="between"/>
      </c:valAx>
      <c:spPr>
        <a:noFill/>
        <a:ln w="25400">
          <a:noFill/>
        </a:ln>
      </c:spPr>
    </c:plotArea>
    <c:legend>
      <c:legendPos val="r"/>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8"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まとめ!$K$11</c:f>
              <c:strCache>
                <c:ptCount val="1"/>
                <c:pt idx="0">
                  <c:v>資本費</c:v>
                </c:pt>
              </c:strCache>
            </c:strRef>
          </c:tx>
          <c:spPr>
            <a:solidFill>
              <a:srgbClr val="4F81BD"/>
            </a:solidFill>
            <a:ln w="25400">
              <a:noFill/>
            </a:ln>
          </c:spPr>
          <c:invertIfNegative val="0"/>
          <c:cat>
            <c:strRef>
              <c:extLst>
                <c:ext xmlns:c15="http://schemas.microsoft.com/office/drawing/2012/chart" uri="{02D57815-91ED-43cb-92C2-25804820EDAC}">
                  <c15:fullRef>
                    <c15:sqref>まとめ!$A$12:$A$27</c15:sqref>
                  </c15:fullRef>
                </c:ext>
              </c:extLst>
              <c:f>(まとめ!$A$15,まとめ!$A$20:$A$26)</c:f>
              <c:strCache>
                <c:ptCount val="8"/>
                <c:pt idx="0">
                  <c:v>石油火力</c:v>
                </c:pt>
                <c:pt idx="1">
                  <c:v>小水力</c:v>
                </c:pt>
                <c:pt idx="2">
                  <c:v>中水力</c:v>
                </c:pt>
                <c:pt idx="3">
                  <c:v>地熱</c:v>
                </c:pt>
                <c:pt idx="4">
                  <c:v>バイオマス（石炭混焼）</c:v>
                </c:pt>
                <c:pt idx="5">
                  <c:v>バイオマス（木質専焼）</c:v>
                </c:pt>
                <c:pt idx="6">
                  <c:v>ガスコジェネ</c:v>
                </c:pt>
                <c:pt idx="7">
                  <c:v>石油コジェネ</c:v>
                </c:pt>
              </c:strCache>
            </c:strRef>
          </c:cat>
          <c:val>
            <c:numRef>
              <c:extLst>
                <c:ext xmlns:c15="http://schemas.microsoft.com/office/drawing/2012/chart" uri="{02D57815-91ED-43cb-92C2-25804820EDAC}">
                  <c15:fullRef>
                    <c15:sqref>まとめ!$K$12:$K$27</c15:sqref>
                  </c15:fullRef>
                </c:ext>
              </c:extLst>
              <c:f>(まとめ!$K$15,まとめ!$K$20:$K$26)</c:f>
              <c:numCache>
                <c:formatCode>#,##0.0</c:formatCode>
                <c:ptCount val="8"/>
                <c:pt idx="0">
                  <c:v>4.9446950805682679</c:v>
                </c:pt>
                <c:pt idx="1">
                  <c:v>8.5711358498887567</c:v>
                </c:pt>
                <c:pt idx="2">
                  <c:v>5.7108008976339972</c:v>
                </c:pt>
                <c:pt idx="3">
                  <c:v>5.8087589288087171</c:v>
                </c:pt>
                <c:pt idx="4">
                  <c:v>2.0937976275763592</c:v>
                </c:pt>
                <c:pt idx="5">
                  <c:v>2.9559860865439669</c:v>
                </c:pt>
                <c:pt idx="6">
                  <c:v>1.2725982259508049</c:v>
                </c:pt>
                <c:pt idx="7">
                  <c:v>2.3903650892631565</c:v>
                </c:pt>
              </c:numCache>
            </c:numRef>
          </c:val>
          <c:extLst>
            <c:ext xmlns:c16="http://schemas.microsoft.com/office/drawing/2014/chart" uri="{C3380CC4-5D6E-409C-BE32-E72D297353CC}">
              <c16:uniqueId val="{00000000-8C65-43B2-A662-AD2FEC731AF4}"/>
            </c:ext>
          </c:extLst>
        </c:ser>
        <c:ser>
          <c:idx val="1"/>
          <c:order val="1"/>
          <c:tx>
            <c:strRef>
              <c:f>まとめ!$L$11</c:f>
              <c:strCache>
                <c:ptCount val="1"/>
                <c:pt idx="0">
                  <c:v>運転
維持費</c:v>
                </c:pt>
              </c:strCache>
            </c:strRef>
          </c:tx>
          <c:spPr>
            <a:solidFill>
              <a:srgbClr val="C0504D"/>
            </a:solidFill>
            <a:ln w="25400">
              <a:noFill/>
            </a:ln>
          </c:spPr>
          <c:invertIfNegative val="0"/>
          <c:cat>
            <c:strRef>
              <c:extLst>
                <c:ext xmlns:c15="http://schemas.microsoft.com/office/drawing/2012/chart" uri="{02D57815-91ED-43cb-92C2-25804820EDAC}">
                  <c15:fullRef>
                    <c15:sqref>まとめ!$A$12:$A$27</c15:sqref>
                  </c15:fullRef>
                </c:ext>
              </c:extLst>
              <c:f>(まとめ!$A$15,まとめ!$A$20:$A$26)</c:f>
              <c:strCache>
                <c:ptCount val="8"/>
                <c:pt idx="0">
                  <c:v>石油火力</c:v>
                </c:pt>
                <c:pt idx="1">
                  <c:v>小水力</c:v>
                </c:pt>
                <c:pt idx="2">
                  <c:v>中水力</c:v>
                </c:pt>
                <c:pt idx="3">
                  <c:v>地熱</c:v>
                </c:pt>
                <c:pt idx="4">
                  <c:v>バイオマス（石炭混焼）</c:v>
                </c:pt>
                <c:pt idx="5">
                  <c:v>バイオマス（木質専焼）</c:v>
                </c:pt>
                <c:pt idx="6">
                  <c:v>ガスコジェネ</c:v>
                </c:pt>
                <c:pt idx="7">
                  <c:v>石油コジェネ</c:v>
                </c:pt>
              </c:strCache>
            </c:strRef>
          </c:cat>
          <c:val>
            <c:numRef>
              <c:extLst>
                <c:ext xmlns:c15="http://schemas.microsoft.com/office/drawing/2012/chart" uri="{02D57815-91ED-43cb-92C2-25804820EDAC}">
                  <c15:fullRef>
                    <c15:sqref>まとめ!$L$12:$L$27</c15:sqref>
                  </c15:fullRef>
                </c:ext>
              </c:extLst>
              <c:f>(まとめ!$L$15,まとめ!$L$20:$L$26)</c:f>
              <c:numCache>
                <c:formatCode>#,##0.0</c:formatCode>
                <c:ptCount val="8"/>
                <c:pt idx="0">
                  <c:v>3.2746826755816483</c:v>
                </c:pt>
                <c:pt idx="1">
                  <c:v>13.447488584474888</c:v>
                </c:pt>
                <c:pt idx="2">
                  <c:v>2.9608540707732018</c:v>
                </c:pt>
                <c:pt idx="3">
                  <c:v>5.099666018236408</c:v>
                </c:pt>
                <c:pt idx="4">
                  <c:v>2.3929144608484845</c:v>
                </c:pt>
                <c:pt idx="5">
                  <c:v>4.2175585397125301</c:v>
                </c:pt>
                <c:pt idx="6">
                  <c:v>1.616080659335569</c:v>
                </c:pt>
                <c:pt idx="7">
                  <c:v>2.5825500687808263</c:v>
                </c:pt>
              </c:numCache>
            </c:numRef>
          </c:val>
          <c:extLst>
            <c:ext xmlns:c16="http://schemas.microsoft.com/office/drawing/2014/chart" uri="{C3380CC4-5D6E-409C-BE32-E72D297353CC}">
              <c16:uniqueId val="{00000001-8C65-43B2-A662-AD2FEC731AF4}"/>
            </c:ext>
          </c:extLst>
        </c:ser>
        <c:ser>
          <c:idx val="2"/>
          <c:order val="2"/>
          <c:tx>
            <c:strRef>
              <c:f>まとめ!$M$11</c:f>
              <c:strCache>
                <c:ptCount val="1"/>
                <c:pt idx="0">
                  <c:v>燃料費</c:v>
                </c:pt>
              </c:strCache>
            </c:strRef>
          </c:tx>
          <c:spPr>
            <a:solidFill>
              <a:srgbClr val="9BBB59"/>
            </a:solidFill>
            <a:ln w="25400">
              <a:noFill/>
            </a:ln>
          </c:spPr>
          <c:invertIfNegative val="0"/>
          <c:cat>
            <c:strRef>
              <c:extLst>
                <c:ext xmlns:c15="http://schemas.microsoft.com/office/drawing/2012/chart" uri="{02D57815-91ED-43cb-92C2-25804820EDAC}">
                  <c15:fullRef>
                    <c15:sqref>まとめ!$A$12:$A$27</c15:sqref>
                  </c15:fullRef>
                </c:ext>
              </c:extLst>
              <c:f>(まとめ!$A$15,まとめ!$A$20:$A$26)</c:f>
              <c:strCache>
                <c:ptCount val="8"/>
                <c:pt idx="0">
                  <c:v>石油火力</c:v>
                </c:pt>
                <c:pt idx="1">
                  <c:v>小水力</c:v>
                </c:pt>
                <c:pt idx="2">
                  <c:v>中水力</c:v>
                </c:pt>
                <c:pt idx="3">
                  <c:v>地熱</c:v>
                </c:pt>
                <c:pt idx="4">
                  <c:v>バイオマス（石炭混焼）</c:v>
                </c:pt>
                <c:pt idx="5">
                  <c:v>バイオマス（木質専焼）</c:v>
                </c:pt>
                <c:pt idx="6">
                  <c:v>ガスコジェネ</c:v>
                </c:pt>
                <c:pt idx="7">
                  <c:v>石油コジェネ</c:v>
                </c:pt>
              </c:strCache>
            </c:strRef>
          </c:cat>
          <c:val>
            <c:numRef>
              <c:extLst>
                <c:ext xmlns:c15="http://schemas.microsoft.com/office/drawing/2012/chart" uri="{02D57815-91ED-43cb-92C2-25804820EDAC}">
                  <c15:fullRef>
                    <c15:sqref>まとめ!$M$12:$M$27</c15:sqref>
                  </c15:fullRef>
                </c:ext>
              </c:extLst>
              <c:f>(まとめ!$M$15,まとめ!$M$20:$M$26)</c:f>
              <c:numCache>
                <c:formatCode>#,##0.0</c:formatCode>
                <c:ptCount val="8"/>
                <c:pt idx="0">
                  <c:v>14.775971940337497</c:v>
                </c:pt>
                <c:pt idx="1">
                  <c:v>0</c:v>
                </c:pt>
                <c:pt idx="2">
                  <c:v>0</c:v>
                </c:pt>
                <c:pt idx="3">
                  <c:v>0</c:v>
                </c:pt>
                <c:pt idx="4">
                  <c:v>4.4393113092137293</c:v>
                </c:pt>
                <c:pt idx="5">
                  <c:v>20.96447227342486</c:v>
                </c:pt>
                <c:pt idx="6">
                  <c:v>8.6008187795712097</c:v>
                </c:pt>
                <c:pt idx="7">
                  <c:v>16.808993664303127</c:v>
                </c:pt>
              </c:numCache>
            </c:numRef>
          </c:val>
          <c:extLst>
            <c:ext xmlns:c16="http://schemas.microsoft.com/office/drawing/2014/chart" uri="{C3380CC4-5D6E-409C-BE32-E72D297353CC}">
              <c16:uniqueId val="{00000002-8C65-43B2-A662-AD2FEC731AF4}"/>
            </c:ext>
          </c:extLst>
        </c:ser>
        <c:ser>
          <c:idx val="3"/>
          <c:order val="3"/>
          <c:tx>
            <c:strRef>
              <c:f>まとめ!$N$11</c:f>
              <c:strCache>
                <c:ptCount val="1"/>
                <c:pt idx="0">
                  <c:v>社会的
費用</c:v>
                </c:pt>
              </c:strCache>
            </c:strRef>
          </c:tx>
          <c:spPr>
            <a:solidFill>
              <a:srgbClr val="8064A2"/>
            </a:solidFill>
            <a:ln w="25400">
              <a:noFill/>
            </a:ln>
          </c:spPr>
          <c:invertIfNegative val="0"/>
          <c:cat>
            <c:strRef>
              <c:extLst>
                <c:ext xmlns:c15="http://schemas.microsoft.com/office/drawing/2012/chart" uri="{02D57815-91ED-43cb-92C2-25804820EDAC}">
                  <c15:fullRef>
                    <c15:sqref>まとめ!$A$12:$A$27</c15:sqref>
                  </c15:fullRef>
                </c:ext>
              </c:extLst>
              <c:f>(まとめ!$A$15,まとめ!$A$20:$A$26)</c:f>
              <c:strCache>
                <c:ptCount val="8"/>
                <c:pt idx="0">
                  <c:v>石油火力</c:v>
                </c:pt>
                <c:pt idx="1">
                  <c:v>小水力</c:v>
                </c:pt>
                <c:pt idx="2">
                  <c:v>中水力</c:v>
                </c:pt>
                <c:pt idx="3">
                  <c:v>地熱</c:v>
                </c:pt>
                <c:pt idx="4">
                  <c:v>バイオマス（石炭混焼）</c:v>
                </c:pt>
                <c:pt idx="5">
                  <c:v>バイオマス（木質専焼）</c:v>
                </c:pt>
                <c:pt idx="6">
                  <c:v>ガスコジェネ</c:v>
                </c:pt>
                <c:pt idx="7">
                  <c:v>石油コジェネ</c:v>
                </c:pt>
              </c:strCache>
            </c:strRef>
          </c:cat>
          <c:val>
            <c:numRef>
              <c:extLst>
                <c:ext xmlns:c15="http://schemas.microsoft.com/office/drawing/2012/chart" uri="{02D57815-91ED-43cb-92C2-25804820EDAC}">
                  <c15:fullRef>
                    <c15:sqref>まとめ!$N$12:$N$27</c15:sqref>
                  </c15:fullRef>
                </c:ext>
              </c:extLst>
              <c:f>(まとめ!$N$15,まとめ!$N$20:$N$26)</c:f>
              <c:numCache>
                <c:formatCode>#,##0.0</c:formatCode>
                <c:ptCount val="8"/>
                <c:pt idx="0">
                  <c:v>3.5435686157370925</c:v>
                </c:pt>
                <c:pt idx="1">
                  <c:v>0</c:v>
                </c:pt>
                <c:pt idx="2">
                  <c:v>0</c:v>
                </c:pt>
                <c:pt idx="3">
                  <c:v>0</c:v>
                </c:pt>
                <c:pt idx="4">
                  <c:v>3.7710212701567647</c:v>
                </c:pt>
                <c:pt idx="5">
                  <c:v>0</c:v>
                </c:pt>
                <c:pt idx="6">
                  <c:v>2.0555839110203591</c:v>
                </c:pt>
                <c:pt idx="7">
                  <c:v>3.7535880236051709</c:v>
                </c:pt>
              </c:numCache>
            </c:numRef>
          </c:val>
          <c:extLst>
            <c:ext xmlns:c16="http://schemas.microsoft.com/office/drawing/2014/chart" uri="{C3380CC4-5D6E-409C-BE32-E72D297353CC}">
              <c16:uniqueId val="{00000003-8C65-43B2-A662-AD2FEC731AF4}"/>
            </c:ext>
          </c:extLst>
        </c:ser>
        <c:ser>
          <c:idx val="5"/>
          <c:order val="5"/>
          <c:tx>
            <c:strRef>
              <c:f>まとめ!$P$11</c:f>
              <c:strCache>
                <c:ptCount val="1"/>
                <c:pt idx="0">
                  <c:v>政策経費</c:v>
                </c:pt>
              </c:strCache>
            </c:strRef>
          </c:tx>
          <c:spPr>
            <a:solidFill>
              <a:srgbClr val="F79646"/>
            </a:solidFill>
            <a:ln w="25400">
              <a:noFill/>
            </a:ln>
          </c:spPr>
          <c:invertIfNegative val="0"/>
          <c:cat>
            <c:strRef>
              <c:extLst>
                <c:ext xmlns:c15="http://schemas.microsoft.com/office/drawing/2012/chart" uri="{02D57815-91ED-43cb-92C2-25804820EDAC}">
                  <c15:fullRef>
                    <c15:sqref>まとめ!$A$12:$A$27</c15:sqref>
                  </c15:fullRef>
                </c:ext>
              </c:extLst>
              <c:f>(まとめ!$A$15,まとめ!$A$20:$A$26)</c:f>
              <c:strCache>
                <c:ptCount val="8"/>
                <c:pt idx="0">
                  <c:v>石油火力</c:v>
                </c:pt>
                <c:pt idx="1">
                  <c:v>小水力</c:v>
                </c:pt>
                <c:pt idx="2">
                  <c:v>中水力</c:v>
                </c:pt>
                <c:pt idx="3">
                  <c:v>地熱</c:v>
                </c:pt>
                <c:pt idx="4">
                  <c:v>バイオマス（石炭混焼）</c:v>
                </c:pt>
                <c:pt idx="5">
                  <c:v>バイオマス（木質専焼）</c:v>
                </c:pt>
                <c:pt idx="6">
                  <c:v>ガスコジェネ</c:v>
                </c:pt>
                <c:pt idx="7">
                  <c:v>石油コジェネ</c:v>
                </c:pt>
              </c:strCache>
            </c:strRef>
          </c:cat>
          <c:val>
            <c:numRef>
              <c:extLst>
                <c:ext xmlns:c15="http://schemas.microsoft.com/office/drawing/2012/chart" uri="{02D57815-91ED-43cb-92C2-25804820EDAC}">
                  <c15:fullRef>
                    <c15:sqref>まとめ!$P$12:$P$27</c15:sqref>
                  </c15:fullRef>
                </c:ext>
              </c:extLst>
              <c:f>(まとめ!$P$15,まとめ!$P$20:$P$26)</c:f>
              <c:numCache>
                <c:formatCode>#,##0.0</c:formatCode>
                <c:ptCount val="8"/>
                <c:pt idx="0">
                  <c:v>0.16221001695923576</c:v>
                </c:pt>
                <c:pt idx="1">
                  <c:v>3.249005338805464</c:v>
                </c:pt>
                <c:pt idx="2">
                  <c:v>2.2770355116555603</c:v>
                </c:pt>
                <c:pt idx="3">
                  <c:v>5.8175190917208663</c:v>
                </c:pt>
                <c:pt idx="4">
                  <c:v>0.51955117502411419</c:v>
                </c:pt>
                <c:pt idx="5">
                  <c:v>1.6948362613973131</c:v>
                </c:pt>
                <c:pt idx="6">
                  <c:v>3.4849689042765419E-2</c:v>
                </c:pt>
                <c:pt idx="7">
                  <c:v>3.4849999999998715E-2</c:v>
                </c:pt>
              </c:numCache>
            </c:numRef>
          </c:val>
          <c:extLst>
            <c:ext xmlns:c16="http://schemas.microsoft.com/office/drawing/2014/chart" uri="{C3380CC4-5D6E-409C-BE32-E72D297353CC}">
              <c16:uniqueId val="{00000004-8C65-43B2-A662-AD2FEC731AF4}"/>
            </c:ext>
          </c:extLst>
        </c:ser>
        <c:dLbls>
          <c:showLegendKey val="0"/>
          <c:showVal val="0"/>
          <c:showCatName val="0"/>
          <c:showSerName val="0"/>
          <c:showPercent val="0"/>
          <c:showBubbleSize val="0"/>
        </c:dLbls>
        <c:gapWidth val="75"/>
        <c:overlap val="100"/>
        <c:axId val="472969912"/>
        <c:axId val="1"/>
        <c:extLst>
          <c:ext xmlns:c15="http://schemas.microsoft.com/office/drawing/2012/chart" uri="{02D57815-91ED-43cb-92C2-25804820EDAC}">
            <c15:filteredBarSeries>
              <c15:ser>
                <c:idx val="4"/>
                <c:order val="4"/>
                <c:tx>
                  <c:strRef>
                    <c:extLst>
                      <c:ext uri="{02D57815-91ED-43cb-92C2-25804820EDAC}">
                        <c15:formulaRef>
                          <c15:sqref>まとめ!$O$11</c15:sqref>
                        </c15:formulaRef>
                      </c:ext>
                    </c:extLst>
                    <c:strCache>
                      <c:ptCount val="1"/>
                      <c:pt idx="0">
                        <c:v>廃熱価値</c:v>
                      </c:pt>
                    </c:strCache>
                  </c:strRef>
                </c:tx>
                <c:spPr>
                  <a:solidFill>
                    <a:srgbClr val="4BACC6"/>
                  </a:solidFill>
                  <a:ln w="25400">
                    <a:noFill/>
                  </a:ln>
                </c:spPr>
                <c:invertIfNegative val="0"/>
                <c:cat>
                  <c:strRef>
                    <c:extLst>
                      <c:ext uri="{02D57815-91ED-43cb-92C2-25804820EDAC}">
                        <c15:fullRef>
                          <c15:sqref>まとめ!$A$12:$A$27</c15:sqref>
                        </c15:fullRef>
                        <c15:formulaRef>
                          <c15:sqref>(まとめ!$A$15,まとめ!$A$20:$A$26)</c15:sqref>
                        </c15:formulaRef>
                      </c:ext>
                    </c:extLst>
                    <c:strCache>
                      <c:ptCount val="8"/>
                      <c:pt idx="0">
                        <c:v>石油火力</c:v>
                      </c:pt>
                      <c:pt idx="1">
                        <c:v>小水力</c:v>
                      </c:pt>
                      <c:pt idx="2">
                        <c:v>中水力</c:v>
                      </c:pt>
                      <c:pt idx="3">
                        <c:v>地熱</c:v>
                      </c:pt>
                      <c:pt idx="4">
                        <c:v>バイオマス（石炭混焼）</c:v>
                      </c:pt>
                      <c:pt idx="5">
                        <c:v>バイオマス（木質専焼）</c:v>
                      </c:pt>
                      <c:pt idx="6">
                        <c:v>ガスコジェネ</c:v>
                      </c:pt>
                      <c:pt idx="7">
                        <c:v>石油コジェネ</c:v>
                      </c:pt>
                    </c:strCache>
                  </c:strRef>
                </c:cat>
                <c:val>
                  <c:numRef>
                    <c:extLst>
                      <c:ext uri="{02D57815-91ED-43cb-92C2-25804820EDAC}">
                        <c15:fullRef>
                          <c15:sqref>まとめ!$O$12:$O$27</c15:sqref>
                        </c15:fullRef>
                        <c15:formulaRef>
                          <c15:sqref>(まとめ!$O$15,まとめ!$O$20:$O$26)</c15:sqref>
                        </c15:formulaRef>
                      </c:ext>
                    </c:extLst>
                    <c:numCache>
                      <c:formatCode>#,##0.0</c:formatCode>
                      <c:ptCount val="8"/>
                      <c:pt idx="0">
                        <c:v>0</c:v>
                      </c:pt>
                      <c:pt idx="1">
                        <c:v>0</c:v>
                      </c:pt>
                      <c:pt idx="2">
                        <c:v>0</c:v>
                      </c:pt>
                      <c:pt idx="3">
                        <c:v>0</c:v>
                      </c:pt>
                      <c:pt idx="4">
                        <c:v>0</c:v>
                      </c:pt>
                      <c:pt idx="5">
                        <c:v>0</c:v>
                      </c:pt>
                      <c:pt idx="6">
                        <c:v>-4.2892020829631079</c:v>
                      </c:pt>
                      <c:pt idx="7">
                        <c:v>-5.8346325539439778</c:v>
                      </c:pt>
                    </c:numCache>
                  </c:numRef>
                </c:val>
                <c:extLst>
                  <c:ext xmlns:c16="http://schemas.microsoft.com/office/drawing/2014/chart" uri="{C3380CC4-5D6E-409C-BE32-E72D297353CC}">
                    <c16:uniqueId val="{00000005-8C65-43B2-A662-AD2FEC731AF4}"/>
                  </c:ext>
                </c:extLst>
              </c15:ser>
            </c15:filteredBarSeries>
          </c:ext>
        </c:extLst>
      </c:barChart>
      <c:catAx>
        <c:axId val="472969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
        <c:crosses val="autoZero"/>
        <c:auto val="1"/>
        <c:lblAlgn val="ctr"/>
        <c:lblOffset val="100"/>
        <c:noMultiLvlLbl val="0"/>
      </c:catAx>
      <c:valAx>
        <c:axId val="1"/>
        <c:scaling>
          <c:orientation val="minMax"/>
          <c:max val="30"/>
        </c:scaling>
        <c:delete val="0"/>
        <c:axPos val="l"/>
        <c:majorGridlines>
          <c:spPr>
            <a:ln w="9525" cap="flat" cmpd="sng" algn="ctr">
              <a:solidFill>
                <a:schemeClr val="tx1">
                  <a:lumMod val="15000"/>
                  <a:lumOff val="85000"/>
                </a:schemeClr>
              </a:solidFill>
              <a:prstDash val="dash"/>
              <a:round/>
            </a:ln>
            <a:effectLst/>
          </c:spPr>
        </c:majorGridlines>
        <c:numFmt formatCode="General" sourceLinked="0"/>
        <c:majorTickMark val="out"/>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296991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8"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15</xdr:col>
      <xdr:colOff>0</xdr:colOff>
      <xdr:row>39</xdr:row>
      <xdr:rowOff>96310</xdr:rowOff>
    </xdr:from>
    <xdr:to>
      <xdr:col>29</xdr:col>
      <xdr:colOff>401319</xdr:colOff>
      <xdr:row>65</xdr:row>
      <xdr:rowOff>19050</xdr:rowOff>
    </xdr:to>
    <xdr:graphicFrame macro="">
      <xdr:nvGraphicFramePr>
        <xdr:cNvPr id="3527040" name="グラフ 1">
          <a:extLst>
            <a:ext uri="{FF2B5EF4-FFF2-40B4-BE49-F238E27FC236}">
              <a16:creationId xmlns:a16="http://schemas.microsoft.com/office/drawing/2014/main" id="{00000000-0008-0000-0000-000080D13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480483</xdr:colOff>
      <xdr:row>39</xdr:row>
      <xdr:rowOff>97366</xdr:rowOff>
    </xdr:from>
    <xdr:to>
      <xdr:col>15</xdr:col>
      <xdr:colOff>0</xdr:colOff>
      <xdr:row>65</xdr:row>
      <xdr:rowOff>0</xdr:rowOff>
    </xdr:to>
    <xdr:graphicFrame macro="">
      <xdr:nvGraphicFramePr>
        <xdr:cNvPr id="3527041" name="グラフ 3">
          <a:extLst>
            <a:ext uri="{FF2B5EF4-FFF2-40B4-BE49-F238E27FC236}">
              <a16:creationId xmlns:a16="http://schemas.microsoft.com/office/drawing/2014/main" id="{00000000-0008-0000-0000-000081D13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244929</xdr:colOff>
      <xdr:row>127</xdr:row>
      <xdr:rowOff>81643</xdr:rowOff>
    </xdr:from>
    <xdr:to>
      <xdr:col>18</xdr:col>
      <xdr:colOff>433918</xdr:colOff>
      <xdr:row>152</xdr:row>
      <xdr:rowOff>114906</xdr:rowOff>
    </xdr:to>
    <xdr:graphicFrame macro="">
      <xdr:nvGraphicFramePr>
        <xdr:cNvPr id="17" name="グラフ 3">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0.82579</cdr:x>
      <cdr:y>0</cdr:y>
    </cdr:from>
    <cdr:to>
      <cdr:x>1</cdr:x>
      <cdr:y>0.13798</cdr:y>
    </cdr:to>
    <cdr:sp macro="" textlink="">
      <cdr:nvSpPr>
        <cdr:cNvPr id="2" name="テキスト ボックス 1">
          <a:extLst xmlns:a="http://schemas.openxmlformats.org/drawingml/2006/main">
            <a:ext uri="{FF2B5EF4-FFF2-40B4-BE49-F238E27FC236}">
              <a16:creationId xmlns:a16="http://schemas.microsoft.com/office/drawing/2014/main" id="{00000000-0008-0000-0000-000002000000}"/>
            </a:ext>
          </a:extLst>
        </cdr:cNvPr>
        <cdr:cNvSpPr txBox="1"/>
      </cdr:nvSpPr>
      <cdr:spPr>
        <a:xfrm xmlns:a="http://schemas.openxmlformats.org/drawingml/2006/main">
          <a:off x="6340740" y="0"/>
          <a:ext cx="1337679" cy="50191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en-US" altLang="ja-JP" sz="2800" b="1" u="sng"/>
            <a:t>2030</a:t>
          </a:r>
          <a:r>
            <a:rPr kumimoji="1" lang="ja-JP" altLang="en-US" sz="2800" b="1" u="sng"/>
            <a:t>年</a:t>
          </a:r>
          <a:endParaRPr kumimoji="1" lang="ja-JP" altLang="en-US" sz="1200" b="1" u="sng"/>
        </a:p>
      </cdr:txBody>
    </cdr:sp>
  </cdr:relSizeAnchor>
</c:userShapes>
</file>

<file path=xl/drawings/drawing3.xml><?xml version="1.0" encoding="utf-8"?>
<c:userShapes xmlns:c="http://schemas.openxmlformats.org/drawingml/2006/chart">
  <cdr:relSizeAnchor xmlns:cdr="http://schemas.openxmlformats.org/drawingml/2006/chartDrawing">
    <cdr:from>
      <cdr:x>0.78089</cdr:x>
      <cdr:y>0</cdr:y>
    </cdr:from>
    <cdr:to>
      <cdr:x>1</cdr:x>
      <cdr:y>0.1442</cdr:y>
    </cdr:to>
    <cdr:sp macro="" textlink="">
      <cdr:nvSpPr>
        <cdr:cNvPr id="2" name="テキスト ボックス 1"/>
        <cdr:cNvSpPr txBox="1"/>
      </cdr:nvSpPr>
      <cdr:spPr>
        <a:xfrm xmlns:a="http://schemas.openxmlformats.org/drawingml/2006/main">
          <a:off x="6297477" y="0"/>
          <a:ext cx="1767023" cy="54024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en-US" altLang="ja-JP" sz="2800" b="1" u="sng"/>
            <a:t>2020</a:t>
          </a:r>
          <a:r>
            <a:rPr kumimoji="1" lang="ja-JP" altLang="en-US" sz="2800" b="1" u="sng"/>
            <a:t>年</a:t>
          </a:r>
          <a:endParaRPr kumimoji="1" lang="ja-JP" altLang="en-US" sz="1200" b="1" u="sng"/>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N68"/>
  <sheetViews>
    <sheetView showGridLines="0" tabSelected="1" zoomScale="80" zoomScaleNormal="80" zoomScaleSheetLayoutView="90" workbookViewId="0">
      <selection activeCell="O20" sqref="O20"/>
    </sheetView>
  </sheetViews>
  <sheetFormatPr defaultColWidth="9" defaultRowHeight="12" x14ac:dyDescent="0.15"/>
  <cols>
    <col min="1" max="1" width="22.25" style="43" customWidth="1"/>
    <col min="2" max="2" width="8.75" style="43" hidden="1" customWidth="1"/>
    <col min="3" max="3" width="14" style="43" customWidth="1"/>
    <col min="4" max="4" width="14.375" style="43" customWidth="1"/>
    <col min="5" max="5" width="12.625" style="43" hidden="1" customWidth="1"/>
    <col min="6" max="6" width="8.125" style="43" customWidth="1"/>
    <col min="7" max="7" width="13.625" style="43" customWidth="1"/>
    <col min="8" max="8" width="2.625" style="43" customWidth="1"/>
    <col min="9" max="10" width="9.875" style="43" customWidth="1"/>
    <col min="11" max="16" width="6.625" style="43" customWidth="1"/>
    <col min="17" max="18" width="9.875" style="43" customWidth="1"/>
    <col min="19" max="24" width="6.625" style="43" customWidth="1"/>
    <col min="25" max="26" width="9.875" style="43" customWidth="1"/>
    <col min="27" max="32" width="6.625" style="43" customWidth="1"/>
    <col min="33" max="16384" width="9" style="43"/>
  </cols>
  <sheetData>
    <row r="1" spans="1:40" ht="16.5" customHeight="1" thickBot="1" x14ac:dyDescent="0.2">
      <c r="A1" s="125" t="s">
        <v>0</v>
      </c>
    </row>
    <row r="2" spans="1:40" ht="13.7" customHeight="1" x14ac:dyDescent="0.15">
      <c r="A2" s="47" t="s">
        <v>1</v>
      </c>
      <c r="B2" s="681">
        <v>3</v>
      </c>
      <c r="C2" s="681"/>
      <c r="D2" s="682"/>
      <c r="E2" s="43" t="s">
        <v>2</v>
      </c>
      <c r="G2" s="57"/>
      <c r="H2" s="57"/>
      <c r="I2" s="58"/>
    </row>
    <row r="3" spans="1:40" x14ac:dyDescent="0.15">
      <c r="A3" s="46" t="s">
        <v>3</v>
      </c>
      <c r="B3" s="683">
        <v>107</v>
      </c>
      <c r="C3" s="683"/>
      <c r="D3" s="684"/>
      <c r="E3" s="43" t="s">
        <v>4</v>
      </c>
    </row>
    <row r="4" spans="1:40" x14ac:dyDescent="0.15">
      <c r="A4" s="46" t="s">
        <v>5</v>
      </c>
      <c r="B4" s="685" t="s">
        <v>727</v>
      </c>
      <c r="C4" s="685"/>
      <c r="D4" s="686"/>
      <c r="K4" s="187"/>
      <c r="L4" s="187"/>
      <c r="M4" s="187"/>
      <c r="N4" s="187"/>
      <c r="O4" s="187"/>
      <c r="P4" s="187"/>
    </row>
    <row r="5" spans="1:40" ht="12.75" thickBot="1" x14ac:dyDescent="0.2">
      <c r="A5" s="45" t="s">
        <v>6</v>
      </c>
      <c r="B5" s="687" t="s">
        <v>727</v>
      </c>
      <c r="C5" s="687"/>
      <c r="D5" s="688"/>
      <c r="E5" s="78"/>
      <c r="F5" s="79"/>
      <c r="G5" s="79"/>
    </row>
    <row r="6" spans="1:40" ht="12.75" thickBot="1" x14ac:dyDescent="0.2">
      <c r="A6" s="80" t="s">
        <v>7</v>
      </c>
      <c r="B6" s="689" t="s">
        <v>727</v>
      </c>
      <c r="C6" s="690"/>
      <c r="D6" s="691"/>
      <c r="E6" s="694" t="s">
        <v>8</v>
      </c>
      <c r="F6" s="695"/>
      <c r="G6" s="696"/>
      <c r="H6" s="77"/>
      <c r="J6" s="69"/>
      <c r="K6" s="187"/>
      <c r="L6" s="187"/>
      <c r="M6" s="187"/>
      <c r="N6" s="187"/>
      <c r="O6" s="187"/>
      <c r="P6" s="187"/>
      <c r="X6" s="54"/>
    </row>
    <row r="7" spans="1:40" ht="12.75" thickBot="1" x14ac:dyDescent="0.2">
      <c r="A7" s="126" t="s">
        <v>9</v>
      </c>
      <c r="B7" s="689" t="s">
        <v>10</v>
      </c>
      <c r="C7" s="690"/>
      <c r="D7" s="691"/>
      <c r="E7" s="78"/>
      <c r="F7" s="705" t="s">
        <v>378</v>
      </c>
      <c r="G7" s="706"/>
      <c r="X7" s="54"/>
    </row>
    <row r="8" spans="1:40" ht="12.75" thickBot="1" x14ac:dyDescent="0.2">
      <c r="A8" s="128" t="s">
        <v>11</v>
      </c>
      <c r="B8" s="697" t="s">
        <v>12</v>
      </c>
      <c r="C8" s="698"/>
      <c r="D8" s="699"/>
      <c r="E8" s="127"/>
      <c r="F8" s="127"/>
      <c r="G8" s="127"/>
      <c r="X8" s="54"/>
    </row>
    <row r="9" spans="1:40" ht="12.75" customHeight="1" thickBot="1" x14ac:dyDescent="0.2">
      <c r="A9" s="127"/>
      <c r="I9" s="124"/>
      <c r="Y9" s="54" t="s">
        <v>13</v>
      </c>
      <c r="AF9" s="54"/>
    </row>
    <row r="10" spans="1:40" ht="18" customHeight="1" x14ac:dyDescent="0.15">
      <c r="A10" s="700" t="s">
        <v>14</v>
      </c>
      <c r="B10" s="258" t="s">
        <v>15</v>
      </c>
      <c r="C10" s="264" t="s">
        <v>16</v>
      </c>
      <c r="D10" s="265"/>
      <c r="E10" s="266" t="s">
        <v>17</v>
      </c>
      <c r="F10" s="264" t="s">
        <v>18</v>
      </c>
      <c r="G10" s="267"/>
      <c r="I10" s="272" t="s">
        <v>19</v>
      </c>
      <c r="J10" s="265"/>
      <c r="K10" s="265"/>
      <c r="L10" s="265"/>
      <c r="M10" s="265"/>
      <c r="N10" s="265"/>
      <c r="O10" s="267"/>
      <c r="P10" s="265"/>
      <c r="Q10" s="702" t="s">
        <v>20</v>
      </c>
      <c r="R10" s="703"/>
      <c r="S10" s="703"/>
      <c r="T10" s="703"/>
      <c r="U10" s="703"/>
      <c r="V10" s="703"/>
      <c r="W10" s="703"/>
      <c r="X10" s="704"/>
      <c r="Y10" s="190"/>
      <c r="Z10" s="190"/>
      <c r="AA10" s="190"/>
      <c r="AB10" s="190"/>
      <c r="AC10" s="190"/>
      <c r="AD10" s="190"/>
      <c r="AE10" s="190"/>
      <c r="AF10" s="190"/>
    </row>
    <row r="11" spans="1:40" ht="22.5" x14ac:dyDescent="0.15">
      <c r="A11" s="701"/>
      <c r="B11" s="259" t="s">
        <v>21</v>
      </c>
      <c r="C11" s="260" t="s">
        <v>22</v>
      </c>
      <c r="D11" s="261" t="s">
        <v>23</v>
      </c>
      <c r="E11" s="262" t="s">
        <v>21</v>
      </c>
      <c r="F11" s="260" t="s">
        <v>22</v>
      </c>
      <c r="G11" s="263" t="s">
        <v>23</v>
      </c>
      <c r="I11" s="274" t="s">
        <v>24</v>
      </c>
      <c r="J11" s="273" t="s">
        <v>25</v>
      </c>
      <c r="K11" s="268" t="s">
        <v>26</v>
      </c>
      <c r="L11" s="269" t="s">
        <v>27</v>
      </c>
      <c r="M11" s="270" t="s">
        <v>28</v>
      </c>
      <c r="N11" s="269" t="s">
        <v>29</v>
      </c>
      <c r="O11" s="270" t="s">
        <v>30</v>
      </c>
      <c r="P11" s="271" t="s">
        <v>31</v>
      </c>
      <c r="Q11" s="274" t="s">
        <v>24</v>
      </c>
      <c r="R11" s="275" t="s">
        <v>25</v>
      </c>
      <c r="S11" s="268" t="s">
        <v>26</v>
      </c>
      <c r="T11" s="269" t="s">
        <v>27</v>
      </c>
      <c r="U11" s="270" t="s">
        <v>28</v>
      </c>
      <c r="V11" s="269" t="s">
        <v>29</v>
      </c>
      <c r="W11" s="270" t="s">
        <v>30</v>
      </c>
      <c r="X11" s="271" t="s">
        <v>31</v>
      </c>
      <c r="Y11" s="191"/>
      <c r="Z11" s="191"/>
      <c r="AA11" s="192"/>
      <c r="AB11" s="193"/>
      <c r="AC11" s="192"/>
      <c r="AD11" s="193"/>
      <c r="AE11" s="192"/>
      <c r="AF11" s="194"/>
    </row>
    <row r="12" spans="1:40" x14ac:dyDescent="0.15">
      <c r="A12" s="211" t="s">
        <v>32</v>
      </c>
      <c r="B12" s="76">
        <v>70</v>
      </c>
      <c r="C12" s="76">
        <v>70</v>
      </c>
      <c r="D12" s="76">
        <v>70</v>
      </c>
      <c r="E12" s="76">
        <v>40</v>
      </c>
      <c r="F12" s="76">
        <v>40</v>
      </c>
      <c r="G12" s="76">
        <v>40</v>
      </c>
      <c r="H12" s="211"/>
      <c r="I12" s="212">
        <f t="shared" ref="I12:I26" ca="1" si="0">INDIRECT("'"&amp;$A12&amp;"（"&amp;I$10&amp;"）'!ｆ70")</f>
        <v>11.501701174267764</v>
      </c>
      <c r="J12" s="212">
        <f t="shared" ref="J12:J26" ca="1" si="1">INDIRECT("'"&amp;$A12&amp;"（"&amp;I$10&amp;"）'!ｆ69")</f>
        <v>10.195274174267764</v>
      </c>
      <c r="K12" s="213">
        <f t="shared" ref="K12:K26" ca="1" si="2">INDIRECT("'"&amp;$A12&amp;"（"&amp;I$10&amp;"）'!F74")</f>
        <v>4.232557766208882</v>
      </c>
      <c r="L12" s="213">
        <f t="shared" ref="L12:L26" ca="1" si="3">INDIRECT("'"&amp;$A12&amp;"（"&amp;I$10&amp;"）'!F83")</f>
        <v>3.7287375652315711</v>
      </c>
      <c r="M12" s="213">
        <f t="shared" ref="M12:M26" ca="1" si="4">INDIRECT("'"&amp;$A12&amp;"（"&amp;I$10&amp;"）'!F92")</f>
        <v>1.679029170797159</v>
      </c>
      <c r="N12" s="213">
        <f t="shared" ref="N12:N26" ca="1" si="5">INDIRECT("'"&amp;$A12&amp;"（"&amp;I$10&amp;"）'!F99")-INDIRECT("'"&amp;$A12&amp;"（"&amp;I$10&amp;"）'!F105")</f>
        <v>0.55494967203015144</v>
      </c>
      <c r="O12" s="213">
        <f t="shared" ref="O12:O26" ca="1" si="6">INDIRECT("'"&amp;$A12&amp;"（"&amp;I$10&amp;"）'!F107")</f>
        <v>0</v>
      </c>
      <c r="P12" s="213">
        <f ca="1">I12-J12</f>
        <v>1.3064269999999993</v>
      </c>
      <c r="Q12" s="212">
        <f t="shared" ref="Q12:Q26" ca="1" si="7">INDIRECT("'"&amp;$A12&amp;"（"&amp;Q$10&amp;"）'!ｆ70")</f>
        <v>11.705274174267764</v>
      </c>
      <c r="R12" s="212">
        <f t="shared" ref="R12:R26" ca="1" si="8">INDIRECT("'"&amp;$A12&amp;"（"&amp;Q$10&amp;"）'!ｆ69")</f>
        <v>10.195274174267764</v>
      </c>
      <c r="S12" s="213">
        <f t="shared" ref="S12:S26" ca="1" si="9">INDIRECT("'"&amp;$A12&amp;"（"&amp;Q$10&amp;"）'!F74")</f>
        <v>4.232557766208882</v>
      </c>
      <c r="T12" s="213">
        <f t="shared" ref="T12:T26" ca="1" si="10">INDIRECT("'"&amp;$A12&amp;"（"&amp;Q$10&amp;"）'!F83")</f>
        <v>3.7287375652315711</v>
      </c>
      <c r="U12" s="213">
        <f t="shared" ref="U12:U26" ca="1" si="11">INDIRECT("'"&amp;$A12&amp;"（"&amp;Q$10&amp;"）'!F92")</f>
        <v>1.679029170797159</v>
      </c>
      <c r="V12" s="213">
        <f t="shared" ref="V12:V26" ca="1" si="12">INDIRECT("'"&amp;$A12&amp;"（"&amp;Q$10&amp;"）'!F99")-INDIRECT("'"&amp;$A12&amp;"（"&amp;Q$10&amp;"）'!F105")</f>
        <v>0.55494967203015144</v>
      </c>
      <c r="W12" s="213">
        <f t="shared" ref="W12:W26" ca="1" si="13">INDIRECT("'"&amp;$A12&amp;"（"&amp;Q$10&amp;"）'!F107")</f>
        <v>0</v>
      </c>
      <c r="X12" s="213">
        <f ca="1">Q12-R12</f>
        <v>1.5099999999999998</v>
      </c>
      <c r="Y12" s="249"/>
      <c r="Z12" s="195"/>
      <c r="AA12" s="249"/>
      <c r="AB12" s="195"/>
      <c r="AC12" s="195"/>
      <c r="AD12" s="196"/>
      <c r="AE12" s="249"/>
      <c r="AF12" s="196"/>
      <c r="AH12" s="159"/>
      <c r="AI12" s="159"/>
      <c r="AJ12" s="159"/>
      <c r="AK12" s="173"/>
      <c r="AL12" s="173"/>
      <c r="AM12" s="173"/>
      <c r="AN12" s="173"/>
    </row>
    <row r="13" spans="1:40" x14ac:dyDescent="0.15">
      <c r="A13" s="211" t="s">
        <v>33</v>
      </c>
      <c r="B13" s="76">
        <v>70</v>
      </c>
      <c r="C13" s="76">
        <f t="shared" ref="C13:D29" si="14">B13</f>
        <v>70</v>
      </c>
      <c r="D13" s="76">
        <f t="shared" ref="D13:D26" si="15">C13</f>
        <v>70</v>
      </c>
      <c r="E13" s="76">
        <v>40</v>
      </c>
      <c r="F13" s="76">
        <v>40</v>
      </c>
      <c r="G13" s="76">
        <v>40</v>
      </c>
      <c r="H13" s="211"/>
      <c r="I13" s="212">
        <f t="shared" ca="1" si="0"/>
        <v>12.543709517726256</v>
      </c>
      <c r="J13" s="212">
        <f t="shared" ca="1" si="1"/>
        <v>12.502292517726257</v>
      </c>
      <c r="K13" s="213">
        <f t="shared" ca="1" si="2"/>
        <v>2.003476945091303</v>
      </c>
      <c r="L13" s="213">
        <f t="shared" ca="1" si="3"/>
        <v>2.2949407812701077</v>
      </c>
      <c r="M13" s="213">
        <f t="shared" ca="1" si="4"/>
        <v>4.3323223802273514</v>
      </c>
      <c r="N13" s="213">
        <f t="shared" ca="1" si="5"/>
        <v>3.8715524111374942</v>
      </c>
      <c r="O13" s="213">
        <f t="shared" ca="1" si="6"/>
        <v>0</v>
      </c>
      <c r="P13" s="213">
        <f t="shared" ref="P13:P26" ca="1" si="16">I13-J13</f>
        <v>4.1416999999999149E-2</v>
      </c>
      <c r="Q13" s="212">
        <f t="shared" ca="1" si="7"/>
        <v>13.577786289111273</v>
      </c>
      <c r="R13" s="212">
        <f t="shared" ca="1" si="8"/>
        <v>13.507786289111273</v>
      </c>
      <c r="S13" s="213">
        <f t="shared" ca="1" si="9"/>
        <v>2.003476945091303</v>
      </c>
      <c r="T13" s="213">
        <f t="shared" ca="1" si="10"/>
        <v>2.2949407812701077</v>
      </c>
      <c r="U13" s="213">
        <f t="shared" ca="1" si="11"/>
        <v>4.286928625471182</v>
      </c>
      <c r="V13" s="213">
        <f t="shared" ca="1" si="12"/>
        <v>4.9224399372786793</v>
      </c>
      <c r="W13" s="213">
        <f t="shared" ca="1" si="13"/>
        <v>0</v>
      </c>
      <c r="X13" s="213">
        <f t="shared" ref="X13:X26" ca="1" si="17">Q13-R13</f>
        <v>7.0000000000000284E-2</v>
      </c>
      <c r="Y13" s="249"/>
      <c r="Z13" s="195"/>
      <c r="AA13" s="249"/>
      <c r="AB13" s="196"/>
      <c r="AC13" s="196"/>
      <c r="AD13" s="196"/>
      <c r="AE13" s="249"/>
      <c r="AF13" s="196"/>
      <c r="AH13" s="159"/>
      <c r="AI13" s="159"/>
      <c r="AJ13" s="159"/>
      <c r="AK13" s="173"/>
      <c r="AL13" s="173"/>
      <c r="AM13" s="173"/>
      <c r="AN13" s="173"/>
    </row>
    <row r="14" spans="1:40" x14ac:dyDescent="0.15">
      <c r="A14" s="211" t="s">
        <v>34</v>
      </c>
      <c r="B14" s="76">
        <v>70</v>
      </c>
      <c r="C14" s="76">
        <v>70</v>
      </c>
      <c r="D14" s="76">
        <v>70</v>
      </c>
      <c r="E14" s="76">
        <v>40</v>
      </c>
      <c r="F14" s="76">
        <v>40</v>
      </c>
      <c r="G14" s="76">
        <v>40</v>
      </c>
      <c r="H14" s="211"/>
      <c r="I14" s="212">
        <f t="shared" ca="1" si="0"/>
        <v>10.73001855475945</v>
      </c>
      <c r="J14" s="212">
        <f t="shared" ca="1" si="1"/>
        <v>10.653532105124826</v>
      </c>
      <c r="K14" s="213">
        <f t="shared" ca="1" si="2"/>
        <v>1.2945516175087721</v>
      </c>
      <c r="L14" s="213">
        <f t="shared" ca="1" si="3"/>
        <v>1.2029017661382355</v>
      </c>
      <c r="M14" s="213">
        <f t="shared" ca="1" si="4"/>
        <v>6.4493516049023309</v>
      </c>
      <c r="N14" s="213">
        <f t="shared" ca="1" si="5"/>
        <v>1.706727116575488</v>
      </c>
      <c r="O14" s="213">
        <f t="shared" ca="1" si="6"/>
        <v>0</v>
      </c>
      <c r="P14" s="213">
        <f t="shared" ca="1" si="16"/>
        <v>7.648644963462381E-2</v>
      </c>
      <c r="Q14" s="212">
        <f t="shared" ca="1" si="7"/>
        <v>10.71469673922546</v>
      </c>
      <c r="R14" s="212">
        <f t="shared" ca="1" si="8"/>
        <v>10.574696739225459</v>
      </c>
      <c r="S14" s="213">
        <f t="shared" ca="1" si="9"/>
        <v>1.2945516175087721</v>
      </c>
      <c r="T14" s="213">
        <f t="shared" ca="1" si="10"/>
        <v>1.2029017661382355</v>
      </c>
      <c r="U14" s="213">
        <f t="shared" ca="1" si="11"/>
        <v>6.0024205257745775</v>
      </c>
      <c r="V14" s="213">
        <f t="shared" ca="1" si="12"/>
        <v>2.0748228298038756</v>
      </c>
      <c r="W14" s="213">
        <f t="shared" ca="1" si="13"/>
        <v>0</v>
      </c>
      <c r="X14" s="213">
        <f t="shared" ca="1" si="17"/>
        <v>0.14000000000000057</v>
      </c>
      <c r="Y14" s="249"/>
      <c r="Z14" s="195"/>
      <c r="AA14" s="249"/>
      <c r="AB14" s="196"/>
      <c r="AC14" s="196"/>
      <c r="AD14" s="196"/>
      <c r="AE14" s="249"/>
      <c r="AF14" s="196"/>
      <c r="AH14" s="159"/>
      <c r="AI14" s="159"/>
      <c r="AJ14" s="159"/>
      <c r="AK14" s="173"/>
      <c r="AL14" s="173"/>
      <c r="AM14" s="173"/>
      <c r="AN14" s="173"/>
    </row>
    <row r="15" spans="1:40" x14ac:dyDescent="0.15">
      <c r="A15" s="211" t="s">
        <v>35</v>
      </c>
      <c r="B15" s="76">
        <v>30</v>
      </c>
      <c r="C15" s="76">
        <f t="shared" si="14"/>
        <v>30</v>
      </c>
      <c r="D15" s="76">
        <f t="shared" si="15"/>
        <v>30</v>
      </c>
      <c r="E15" s="76">
        <v>40</v>
      </c>
      <c r="F15" s="76">
        <v>40</v>
      </c>
      <c r="G15" s="76">
        <v>40</v>
      </c>
      <c r="H15" s="211"/>
      <c r="I15" s="212">
        <f t="shared" ca="1" si="0"/>
        <v>26.701128329183742</v>
      </c>
      <c r="J15" s="212">
        <f t="shared" ca="1" si="1"/>
        <v>26.538918312224506</v>
      </c>
      <c r="K15" s="213">
        <f t="shared" ca="1" si="2"/>
        <v>4.9446950805682679</v>
      </c>
      <c r="L15" s="213">
        <f t="shared" ca="1" si="3"/>
        <v>3.2746826755816483</v>
      </c>
      <c r="M15" s="213">
        <f t="shared" ca="1" si="4"/>
        <v>14.775971940337497</v>
      </c>
      <c r="N15" s="213">
        <f t="shared" ca="1" si="5"/>
        <v>3.5435686157370925</v>
      </c>
      <c r="O15" s="213">
        <f t="shared" ca="1" si="6"/>
        <v>0</v>
      </c>
      <c r="P15" s="213">
        <f t="shared" ca="1" si="16"/>
        <v>0.16221001695923576</v>
      </c>
      <c r="Q15" s="212">
        <f t="shared" ca="1" si="7"/>
        <v>24.889377874511823</v>
      </c>
      <c r="R15" s="212">
        <f t="shared" ca="1" si="8"/>
        <v>24.769377874511822</v>
      </c>
      <c r="S15" s="213">
        <f t="shared" ca="1" si="9"/>
        <v>4.9446950805682679</v>
      </c>
      <c r="T15" s="213">
        <f t="shared" ca="1" si="10"/>
        <v>3.2746826755816483</v>
      </c>
      <c r="U15" s="213">
        <f t="shared" ca="1" si="11"/>
        <v>12.889339230797765</v>
      </c>
      <c r="V15" s="213">
        <f t="shared" ca="1" si="12"/>
        <v>3.6606608875641409</v>
      </c>
      <c r="W15" s="213">
        <f t="shared" ca="1" si="13"/>
        <v>0</v>
      </c>
      <c r="X15" s="213">
        <f t="shared" ca="1" si="17"/>
        <v>0.12000000000000099</v>
      </c>
      <c r="Y15" s="249"/>
      <c r="Z15" s="195"/>
      <c r="AA15" s="249"/>
      <c r="AB15" s="196"/>
      <c r="AC15" s="196"/>
      <c r="AD15" s="196"/>
      <c r="AE15" s="249"/>
      <c r="AF15" s="196"/>
      <c r="AH15" s="159"/>
      <c r="AI15" s="159"/>
      <c r="AJ15" s="159"/>
      <c r="AK15" s="173"/>
      <c r="AL15" s="173"/>
      <c r="AM15" s="173"/>
      <c r="AN15" s="173"/>
    </row>
    <row r="16" spans="1:40" x14ac:dyDescent="0.15">
      <c r="A16" s="214" t="s">
        <v>36</v>
      </c>
      <c r="B16" s="76">
        <v>14</v>
      </c>
      <c r="C16" s="76">
        <v>17.2</v>
      </c>
      <c r="D16" s="76">
        <f t="shared" si="15"/>
        <v>17.2</v>
      </c>
      <c r="E16" s="76">
        <v>20</v>
      </c>
      <c r="F16" s="76">
        <v>25</v>
      </c>
      <c r="G16" s="76">
        <v>25</v>
      </c>
      <c r="H16" s="211"/>
      <c r="I16" s="280">
        <f t="shared" ca="1" si="0"/>
        <v>12.853722269364694</v>
      </c>
      <c r="J16" s="280">
        <f t="shared" ca="1" si="1"/>
        <v>11.987997465491855</v>
      </c>
      <c r="K16" s="281">
        <f t="shared" ca="1" si="2"/>
        <v>8.8022695266578328</v>
      </c>
      <c r="L16" s="281">
        <f t="shared" ca="1" si="3"/>
        <v>3.1857279388340229</v>
      </c>
      <c r="M16" s="281">
        <f t="shared" ca="1" si="4"/>
        <v>0</v>
      </c>
      <c r="N16" s="281">
        <f t="shared" ca="1" si="5"/>
        <v>0</v>
      </c>
      <c r="O16" s="281">
        <f t="shared" ca="1" si="6"/>
        <v>0</v>
      </c>
      <c r="P16" s="281">
        <f t="shared" ca="1" si="16"/>
        <v>0.86572480387283868</v>
      </c>
      <c r="Q16" s="280">
        <f t="shared" ca="1" si="7"/>
        <v>11.202639900115301</v>
      </c>
      <c r="R16" s="280">
        <f t="shared" ca="1" si="8"/>
        <v>10.495094781700534</v>
      </c>
      <c r="S16" s="281">
        <f t="shared" ca="1" si="9"/>
        <v>7.3093668428665106</v>
      </c>
      <c r="T16" s="281">
        <f t="shared" ca="1" si="10"/>
        <v>3.1857279388340229</v>
      </c>
      <c r="U16" s="281">
        <f t="shared" ca="1" si="11"/>
        <v>0</v>
      </c>
      <c r="V16" s="281">
        <f t="shared" ca="1" si="12"/>
        <v>0</v>
      </c>
      <c r="W16" s="281">
        <f t="shared" ca="1" si="13"/>
        <v>0</v>
      </c>
      <c r="X16" s="281">
        <f t="shared" ca="1" si="17"/>
        <v>0.70754511841476742</v>
      </c>
      <c r="Y16" s="249"/>
      <c r="Z16" s="195"/>
      <c r="AA16" s="249"/>
      <c r="AB16" s="196"/>
      <c r="AC16" s="196"/>
      <c r="AD16" s="196"/>
      <c r="AE16" s="249"/>
      <c r="AF16" s="196"/>
      <c r="AH16" s="159"/>
      <c r="AI16" s="159"/>
      <c r="AJ16" s="159"/>
      <c r="AK16" s="173"/>
      <c r="AL16" s="173"/>
      <c r="AM16" s="173"/>
      <c r="AN16" s="173"/>
    </row>
    <row r="17" spans="1:40" x14ac:dyDescent="0.15">
      <c r="A17" s="214" t="s">
        <v>37</v>
      </c>
      <c r="B17" s="76">
        <v>12</v>
      </c>
      <c r="C17" s="76">
        <v>13.8</v>
      </c>
      <c r="D17" s="76">
        <f t="shared" si="15"/>
        <v>13.8</v>
      </c>
      <c r="E17" s="76">
        <v>20</v>
      </c>
      <c r="F17" s="76">
        <v>25</v>
      </c>
      <c r="G17" s="76">
        <v>25</v>
      </c>
      <c r="H17" s="211"/>
      <c r="I17" s="280">
        <f t="shared" ca="1" si="0"/>
        <v>17.705857220356101</v>
      </c>
      <c r="J17" s="280">
        <f t="shared" ca="1" si="1"/>
        <v>17.112166342367182</v>
      </c>
      <c r="K17" s="281">
        <f t="shared" ca="1" si="2"/>
        <v>14.630530447985604</v>
      </c>
      <c r="L17" s="281">
        <f t="shared" ca="1" si="3"/>
        <v>2.4816358943815762</v>
      </c>
      <c r="M17" s="281">
        <f t="shared" ca="1" si="4"/>
        <v>0</v>
      </c>
      <c r="N17" s="281">
        <f t="shared" ca="1" si="5"/>
        <v>0</v>
      </c>
      <c r="O17" s="281">
        <f t="shared" ca="1" si="6"/>
        <v>0</v>
      </c>
      <c r="P17" s="281">
        <f t="shared" ca="1" si="16"/>
        <v>0.5936908779889194</v>
      </c>
      <c r="Q17" s="280">
        <f t="shared" ca="1" si="7"/>
        <v>14.168640978797983</v>
      </c>
      <c r="R17" s="280">
        <f t="shared" ca="1" si="8"/>
        <v>13.855536641320549</v>
      </c>
      <c r="S17" s="281">
        <f t="shared" ca="1" si="9"/>
        <v>11.373900746938974</v>
      </c>
      <c r="T17" s="281">
        <f t="shared" ca="1" si="10"/>
        <v>2.4816358943815762</v>
      </c>
      <c r="U17" s="281">
        <f t="shared" ca="1" si="11"/>
        <v>0</v>
      </c>
      <c r="V17" s="281">
        <f t="shared" ca="1" si="12"/>
        <v>0</v>
      </c>
      <c r="W17" s="281">
        <f t="shared" ca="1" si="13"/>
        <v>0</v>
      </c>
      <c r="X17" s="281">
        <f t="shared" ca="1" si="17"/>
        <v>0.3131043374774336</v>
      </c>
      <c r="Y17" s="249"/>
      <c r="Z17" s="195"/>
      <c r="AA17" s="249"/>
      <c r="AB17" s="196"/>
      <c r="AC17" s="196"/>
      <c r="AD17" s="196"/>
      <c r="AE17" s="249"/>
      <c r="AF17" s="196"/>
      <c r="AH17" s="159"/>
      <c r="AI17" s="159"/>
      <c r="AJ17" s="159"/>
      <c r="AK17" s="173"/>
      <c r="AL17" s="173"/>
      <c r="AM17" s="173"/>
      <c r="AN17" s="173"/>
    </row>
    <row r="18" spans="1:40" x14ac:dyDescent="0.15">
      <c r="A18" s="214" t="s">
        <v>38</v>
      </c>
      <c r="B18" s="76">
        <v>20</v>
      </c>
      <c r="C18" s="76">
        <v>25.4</v>
      </c>
      <c r="D18" s="76">
        <f t="shared" si="15"/>
        <v>25.4</v>
      </c>
      <c r="E18" s="76">
        <v>20</v>
      </c>
      <c r="F18" s="76">
        <v>25</v>
      </c>
      <c r="G18" s="76">
        <v>25</v>
      </c>
      <c r="H18" s="211"/>
      <c r="I18" s="212">
        <f t="shared" ca="1" si="0"/>
        <v>19.781040498023621</v>
      </c>
      <c r="J18" s="212">
        <f t="shared" ca="1" si="1"/>
        <v>14.626095862480721</v>
      </c>
      <c r="K18" s="213">
        <f t="shared" ca="1" si="2"/>
        <v>9.9520225873935324</v>
      </c>
      <c r="L18" s="213">
        <f t="shared" ca="1" si="3"/>
        <v>4.6740732750871894</v>
      </c>
      <c r="M18" s="213">
        <f t="shared" ca="1" si="4"/>
        <v>0</v>
      </c>
      <c r="N18" s="213">
        <f t="shared" ca="1" si="5"/>
        <v>0</v>
      </c>
      <c r="O18" s="213">
        <f t="shared" ca="1" si="6"/>
        <v>0</v>
      </c>
      <c r="P18" s="213">
        <f t="shared" ca="1" si="16"/>
        <v>5.1549446355429005</v>
      </c>
      <c r="Q18" s="212">
        <f t="shared" ca="1" si="7"/>
        <v>14.652920732998551</v>
      </c>
      <c r="R18" s="212">
        <f ca="1">INDIRECT("'"&amp;$A18&amp;"（"&amp;Q$10&amp;"）'!ｆ69")</f>
        <v>11.786757832264065</v>
      </c>
      <c r="S18" s="213">
        <f t="shared" ca="1" si="9"/>
        <v>7.112684557176876</v>
      </c>
      <c r="T18" s="213">
        <f t="shared" ca="1" si="10"/>
        <v>4.6740732750871894</v>
      </c>
      <c r="U18" s="213">
        <f t="shared" ca="1" si="11"/>
        <v>0</v>
      </c>
      <c r="V18" s="213">
        <f t="shared" ca="1" si="12"/>
        <v>0</v>
      </c>
      <c r="W18" s="213">
        <f t="shared" ca="1" si="13"/>
        <v>0</v>
      </c>
      <c r="X18" s="213">
        <f t="shared" ca="1" si="17"/>
        <v>2.8661629007344853</v>
      </c>
      <c r="Y18" s="249"/>
      <c r="Z18" s="195"/>
      <c r="AA18" s="249"/>
      <c r="AB18" s="196"/>
      <c r="AC18" s="196"/>
      <c r="AD18" s="196"/>
      <c r="AE18" s="249"/>
      <c r="AF18" s="196"/>
      <c r="AH18" s="159"/>
      <c r="AI18" s="159"/>
      <c r="AJ18" s="159"/>
      <c r="AK18" s="173"/>
      <c r="AL18" s="173"/>
      <c r="AM18" s="173"/>
      <c r="AN18" s="173"/>
    </row>
    <row r="19" spans="1:40" x14ac:dyDescent="0.15">
      <c r="A19" s="214" t="s">
        <v>39</v>
      </c>
      <c r="B19" s="76">
        <v>30</v>
      </c>
      <c r="C19" s="76">
        <f t="shared" si="14"/>
        <v>30</v>
      </c>
      <c r="D19" s="76">
        <v>33.200000000000003</v>
      </c>
      <c r="E19" s="76">
        <v>20</v>
      </c>
      <c r="F19" s="76">
        <v>25</v>
      </c>
      <c r="G19" s="76">
        <v>25</v>
      </c>
      <c r="H19" s="211"/>
      <c r="I19" s="215">
        <f t="shared" ca="1" si="0"/>
        <v>30.035544704963467</v>
      </c>
      <c r="J19" s="215">
        <f t="shared" ca="1" si="1"/>
        <v>21.067159320347287</v>
      </c>
      <c r="K19" s="174">
        <f t="shared" ca="1" si="2"/>
        <v>12.505515484730845</v>
      </c>
      <c r="L19" s="174">
        <f t="shared" ca="1" si="3"/>
        <v>8.5616438356164402</v>
      </c>
      <c r="M19" s="174">
        <f t="shared" ca="1" si="4"/>
        <v>0</v>
      </c>
      <c r="N19" s="174">
        <f t="shared" ca="1" si="5"/>
        <v>0</v>
      </c>
      <c r="O19" s="174">
        <f t="shared" ca="1" si="6"/>
        <v>0</v>
      </c>
      <c r="P19" s="174">
        <f t="shared" ca="1" si="16"/>
        <v>8.9683853846161803</v>
      </c>
      <c r="Q19" s="212">
        <f t="shared" ca="1" si="7"/>
        <v>25.859792707014126</v>
      </c>
      <c r="R19" s="212">
        <f t="shared" ca="1" si="8"/>
        <v>18.198903902257122</v>
      </c>
      <c r="S19" s="213">
        <f t="shared" ca="1" si="9"/>
        <v>11.87222733296626</v>
      </c>
      <c r="T19" s="213">
        <f t="shared" ca="1" si="10"/>
        <v>6.3266765692908615</v>
      </c>
      <c r="U19" s="213">
        <f t="shared" ca="1" si="11"/>
        <v>0</v>
      </c>
      <c r="V19" s="213">
        <f t="shared" ca="1" si="12"/>
        <v>0</v>
      </c>
      <c r="W19" s="213">
        <f t="shared" ca="1" si="13"/>
        <v>0</v>
      </c>
      <c r="X19" s="213">
        <f t="shared" ca="1" si="17"/>
        <v>7.6608888047570041</v>
      </c>
      <c r="Y19" s="249"/>
      <c r="Z19" s="195"/>
      <c r="AA19" s="249"/>
      <c r="AB19" s="196"/>
      <c r="AC19" s="196"/>
      <c r="AD19" s="196"/>
      <c r="AE19" s="249"/>
      <c r="AF19" s="196"/>
      <c r="AH19" s="159"/>
      <c r="AI19" s="159"/>
      <c r="AJ19" s="159"/>
      <c r="AK19" s="173"/>
      <c r="AL19" s="173"/>
      <c r="AM19" s="173"/>
      <c r="AN19" s="173"/>
    </row>
    <row r="20" spans="1:40" s="62" customFormat="1" x14ac:dyDescent="0.15">
      <c r="A20" s="216" t="s">
        <v>40</v>
      </c>
      <c r="B20" s="76">
        <v>60</v>
      </c>
      <c r="C20" s="76">
        <f t="shared" si="14"/>
        <v>60</v>
      </c>
      <c r="D20" s="76">
        <f t="shared" si="15"/>
        <v>60</v>
      </c>
      <c r="E20" s="76">
        <v>40</v>
      </c>
      <c r="F20" s="76">
        <v>40</v>
      </c>
      <c r="G20" s="76">
        <v>40</v>
      </c>
      <c r="H20" s="211"/>
      <c r="I20" s="217">
        <f t="shared" ca="1" si="0"/>
        <v>25.267629773169112</v>
      </c>
      <c r="J20" s="217">
        <f t="shared" ca="1" si="1"/>
        <v>22.018624434363648</v>
      </c>
      <c r="K20" s="218">
        <f t="shared" ca="1" si="2"/>
        <v>8.5711358498887567</v>
      </c>
      <c r="L20" s="218">
        <f t="shared" ca="1" si="3"/>
        <v>13.447488584474888</v>
      </c>
      <c r="M20" s="218">
        <f t="shared" ca="1" si="4"/>
        <v>0</v>
      </c>
      <c r="N20" s="218">
        <f t="shared" ca="1" si="5"/>
        <v>0</v>
      </c>
      <c r="O20" s="218">
        <f t="shared" ca="1" si="6"/>
        <v>0</v>
      </c>
      <c r="P20" s="218">
        <f t="shared" ca="1" si="16"/>
        <v>3.249005338805464</v>
      </c>
      <c r="Q20" s="212">
        <f t="shared" ca="1" si="7"/>
        <v>25.244833773169113</v>
      </c>
      <c r="R20" s="212">
        <f t="shared" ca="1" si="8"/>
        <v>22.018624434363648</v>
      </c>
      <c r="S20" s="213">
        <f t="shared" ca="1" si="9"/>
        <v>8.5711358498887567</v>
      </c>
      <c r="T20" s="213">
        <f t="shared" ca="1" si="10"/>
        <v>13.447488584474888</v>
      </c>
      <c r="U20" s="213">
        <f t="shared" ca="1" si="11"/>
        <v>0</v>
      </c>
      <c r="V20" s="213">
        <f t="shared" ca="1" si="12"/>
        <v>0</v>
      </c>
      <c r="W20" s="213">
        <f t="shared" ca="1" si="13"/>
        <v>0</v>
      </c>
      <c r="X20" s="213">
        <f t="shared" ca="1" si="17"/>
        <v>3.2262093388054645</v>
      </c>
      <c r="Y20" s="249"/>
      <c r="Z20" s="195"/>
      <c r="AA20" s="249"/>
      <c r="AB20" s="196"/>
      <c r="AC20" s="196"/>
      <c r="AD20" s="196"/>
      <c r="AE20" s="249"/>
      <c r="AF20" s="196"/>
      <c r="AG20" s="43"/>
      <c r="AH20" s="159"/>
      <c r="AI20" s="159"/>
      <c r="AJ20" s="159"/>
      <c r="AK20" s="173"/>
      <c r="AL20" s="173"/>
      <c r="AM20" s="173"/>
      <c r="AN20" s="173"/>
    </row>
    <row r="21" spans="1:40" x14ac:dyDescent="0.15">
      <c r="A21" s="214" t="s">
        <v>41</v>
      </c>
      <c r="B21" s="76">
        <v>45</v>
      </c>
      <c r="C21" s="76">
        <v>60</v>
      </c>
      <c r="D21" s="76">
        <f>C21</f>
        <v>60</v>
      </c>
      <c r="E21" s="76">
        <v>40</v>
      </c>
      <c r="F21" s="76">
        <v>40</v>
      </c>
      <c r="G21" s="76">
        <v>40</v>
      </c>
      <c r="H21" s="211"/>
      <c r="I21" s="215">
        <f ca="1">INDIRECT("'"&amp;$A21&amp;"（"&amp;I$10&amp;"）'!ｆ70")</f>
        <v>10.94869048006276</v>
      </c>
      <c r="J21" s="215">
        <f ca="1">INDIRECT("'"&amp;$A21&amp;"（"&amp;I$10&amp;"）'!ｆ69")</f>
        <v>8.6716549684072</v>
      </c>
      <c r="K21" s="174">
        <f ca="1">INDIRECT("'"&amp;$A21&amp;"（"&amp;I$10&amp;"）'!F74")</f>
        <v>5.7108008976339972</v>
      </c>
      <c r="L21" s="174">
        <f ca="1">INDIRECT("'"&amp;$A21&amp;"（"&amp;I$10&amp;"）'!F83")</f>
        <v>2.9608540707732018</v>
      </c>
      <c r="M21" s="174">
        <f ca="1">INDIRECT("'"&amp;$A21&amp;"（"&amp;I$10&amp;"）'!F92")</f>
        <v>0</v>
      </c>
      <c r="N21" s="174">
        <f ca="1">INDIRECT("'"&amp;$A21&amp;"（"&amp;I$10&amp;"）'!F99")-INDIRECT("'"&amp;$A21&amp;"（"&amp;I$10&amp;"）'!F105")</f>
        <v>0</v>
      </c>
      <c r="O21" s="174">
        <f ca="1">INDIRECT("'"&amp;$A21&amp;"（"&amp;I$10&amp;"）'!F107")</f>
        <v>0</v>
      </c>
      <c r="P21" s="174">
        <f ca="1">I21-J21</f>
        <v>2.2770355116555603</v>
      </c>
      <c r="Q21" s="212">
        <f ca="1">INDIRECT("'"&amp;$A21&amp;"（"&amp;Q$10&amp;"）'!ｆ70")</f>
        <v>10.925894480062761</v>
      </c>
      <c r="R21" s="212">
        <f ca="1">INDIRECT("'"&amp;$A21&amp;"（"&amp;Q$10&amp;"）'!ｆ69")</f>
        <v>8.6716549684072</v>
      </c>
      <c r="S21" s="213">
        <f ca="1">INDIRECT("'"&amp;$A21&amp;"（"&amp;Q$10&amp;"）'!F74")</f>
        <v>5.7108008976339972</v>
      </c>
      <c r="T21" s="213">
        <f ca="1">INDIRECT("'"&amp;$A21&amp;"（"&amp;Q$10&amp;"）'!F83")</f>
        <v>2.9608540707732018</v>
      </c>
      <c r="U21" s="213">
        <f ca="1">INDIRECT("'"&amp;$A21&amp;"（"&amp;Q$10&amp;"）'!F92")</f>
        <v>0</v>
      </c>
      <c r="V21" s="213">
        <f ca="1">INDIRECT("'"&amp;$A21&amp;"（"&amp;Q$10&amp;"）'!F99")-INDIRECT("'"&amp;$A21&amp;"（"&amp;Q$10&amp;"）'!F105")</f>
        <v>0</v>
      </c>
      <c r="W21" s="213">
        <f ca="1">INDIRECT("'"&amp;$A21&amp;"（"&amp;Q$10&amp;"）'!F107")</f>
        <v>0</v>
      </c>
      <c r="X21" s="213">
        <f ca="1">Q21-R21</f>
        <v>2.2542395116555607</v>
      </c>
      <c r="Y21" s="249"/>
      <c r="Z21" s="195"/>
      <c r="AA21" s="249"/>
      <c r="AB21" s="196"/>
      <c r="AC21" s="196"/>
      <c r="AD21" s="196"/>
      <c r="AE21" s="249"/>
      <c r="AF21" s="196"/>
      <c r="AH21" s="159"/>
      <c r="AI21" s="159"/>
      <c r="AJ21" s="159"/>
      <c r="AK21" s="173"/>
      <c r="AL21" s="173"/>
      <c r="AM21" s="173"/>
      <c r="AN21" s="173"/>
    </row>
    <row r="22" spans="1:40" x14ac:dyDescent="0.15">
      <c r="A22" s="214" t="s">
        <v>42</v>
      </c>
      <c r="B22" s="76">
        <v>83</v>
      </c>
      <c r="C22" s="76">
        <f t="shared" si="14"/>
        <v>83</v>
      </c>
      <c r="D22" s="76">
        <f t="shared" si="15"/>
        <v>83</v>
      </c>
      <c r="E22" s="76">
        <v>40</v>
      </c>
      <c r="F22" s="76">
        <v>40</v>
      </c>
      <c r="G22" s="76">
        <v>40</v>
      </c>
      <c r="H22" s="211"/>
      <c r="I22" s="215">
        <f t="shared" ca="1" si="0"/>
        <v>16.725944038765991</v>
      </c>
      <c r="J22" s="215">
        <f t="shared" ca="1" si="1"/>
        <v>10.908424947045125</v>
      </c>
      <c r="K22" s="174">
        <f t="shared" ca="1" si="2"/>
        <v>5.8087589288087171</v>
      </c>
      <c r="L22" s="174">
        <f t="shared" ca="1" si="3"/>
        <v>5.099666018236408</v>
      </c>
      <c r="M22" s="174">
        <f t="shared" ca="1" si="4"/>
        <v>0</v>
      </c>
      <c r="N22" s="174">
        <f t="shared" ca="1" si="5"/>
        <v>0</v>
      </c>
      <c r="O22" s="174">
        <f t="shared" ca="1" si="6"/>
        <v>0</v>
      </c>
      <c r="P22" s="174">
        <f t="shared" ca="1" si="16"/>
        <v>5.8175190917208663</v>
      </c>
      <c r="Q22" s="212">
        <f t="shared" ca="1" si="7"/>
        <v>16.725944038765991</v>
      </c>
      <c r="R22" s="212">
        <f t="shared" ca="1" si="8"/>
        <v>10.908424947045125</v>
      </c>
      <c r="S22" s="213">
        <f t="shared" ca="1" si="9"/>
        <v>5.8087589288087171</v>
      </c>
      <c r="T22" s="213">
        <f t="shared" ca="1" si="10"/>
        <v>5.099666018236408</v>
      </c>
      <c r="U22" s="213">
        <f t="shared" ca="1" si="11"/>
        <v>0</v>
      </c>
      <c r="V22" s="213">
        <f t="shared" ca="1" si="12"/>
        <v>0</v>
      </c>
      <c r="W22" s="213">
        <f t="shared" ca="1" si="13"/>
        <v>0</v>
      </c>
      <c r="X22" s="213">
        <f t="shared" ca="1" si="17"/>
        <v>5.8175190917208663</v>
      </c>
      <c r="Y22" s="249"/>
      <c r="Z22" s="195"/>
      <c r="AA22" s="249"/>
      <c r="AB22" s="196"/>
      <c r="AC22" s="196"/>
      <c r="AD22" s="196"/>
      <c r="AE22" s="249"/>
      <c r="AF22" s="196"/>
      <c r="AH22" s="159"/>
      <c r="AI22" s="159"/>
      <c r="AJ22" s="159"/>
      <c r="AK22" s="173"/>
      <c r="AL22" s="173"/>
      <c r="AM22" s="173"/>
      <c r="AN22" s="173"/>
    </row>
    <row r="23" spans="1:40" x14ac:dyDescent="0.15">
      <c r="A23" s="214" t="s">
        <v>43</v>
      </c>
      <c r="B23" s="76">
        <v>70</v>
      </c>
      <c r="C23" s="76">
        <f t="shared" si="14"/>
        <v>70</v>
      </c>
      <c r="D23" s="76">
        <f t="shared" si="15"/>
        <v>70</v>
      </c>
      <c r="E23" s="76">
        <v>40</v>
      </c>
      <c r="F23" s="76">
        <v>40</v>
      </c>
      <c r="G23" s="76">
        <v>40</v>
      </c>
      <c r="H23" s="211"/>
      <c r="I23" s="212">
        <f t="shared" ca="1" si="0"/>
        <v>13.21659584281945</v>
      </c>
      <c r="J23" s="212">
        <f t="shared" ca="1" si="1"/>
        <v>12.697044667795335</v>
      </c>
      <c r="K23" s="213">
        <f t="shared" ca="1" si="2"/>
        <v>2.0937976275763592</v>
      </c>
      <c r="L23" s="213">
        <f t="shared" ca="1" si="3"/>
        <v>2.3929144608484845</v>
      </c>
      <c r="M23" s="213">
        <f t="shared" ca="1" si="4"/>
        <v>4.4393113092137293</v>
      </c>
      <c r="N23" s="213">
        <f t="shared" ca="1" si="5"/>
        <v>3.7710212701567647</v>
      </c>
      <c r="O23" s="213">
        <f t="shared" ca="1" si="6"/>
        <v>0</v>
      </c>
      <c r="P23" s="213">
        <f t="shared" ca="1" si="16"/>
        <v>0.51955117502411419</v>
      </c>
      <c r="Q23" s="212">
        <f t="shared" ca="1" si="7"/>
        <v>14.145152828179278</v>
      </c>
      <c r="R23" s="212">
        <f t="shared" ca="1" si="8"/>
        <v>13.676429161724737</v>
      </c>
      <c r="S23" s="213">
        <f t="shared" ca="1" si="9"/>
        <v>2.0937976275763592</v>
      </c>
      <c r="T23" s="213">
        <f t="shared" ca="1" si="10"/>
        <v>2.3929144608484845</v>
      </c>
      <c r="U23" s="213">
        <f t="shared" ca="1" si="11"/>
        <v>4.3950962769632689</v>
      </c>
      <c r="V23" s="213">
        <f t="shared" ca="1" si="12"/>
        <v>4.794620796336627</v>
      </c>
      <c r="W23" s="213">
        <f t="shared" ca="1" si="13"/>
        <v>0</v>
      </c>
      <c r="X23" s="213">
        <f t="shared" ca="1" si="17"/>
        <v>0.46872366645454022</v>
      </c>
      <c r="Y23" s="249"/>
      <c r="Z23" s="195"/>
      <c r="AA23" s="249"/>
      <c r="AB23" s="196"/>
      <c r="AC23" s="196"/>
      <c r="AD23" s="196"/>
      <c r="AE23" s="249"/>
      <c r="AF23" s="196"/>
      <c r="AH23" s="159"/>
      <c r="AI23" s="159"/>
      <c r="AJ23" s="159"/>
      <c r="AK23" s="173"/>
      <c r="AL23" s="173"/>
      <c r="AM23" s="173"/>
      <c r="AN23" s="173"/>
    </row>
    <row r="24" spans="1:40" x14ac:dyDescent="0.15">
      <c r="A24" s="214" t="s">
        <v>44</v>
      </c>
      <c r="B24" s="76">
        <v>87</v>
      </c>
      <c r="C24" s="76">
        <f t="shared" si="14"/>
        <v>87</v>
      </c>
      <c r="D24" s="76">
        <f t="shared" si="15"/>
        <v>87</v>
      </c>
      <c r="E24" s="76">
        <v>40</v>
      </c>
      <c r="F24" s="76">
        <v>40</v>
      </c>
      <c r="G24" s="76">
        <v>40</v>
      </c>
      <c r="H24" s="211"/>
      <c r="I24" s="212">
        <f t="shared" ca="1" si="0"/>
        <v>29.83285316107867</v>
      </c>
      <c r="J24" s="212">
        <f t="shared" ca="1" si="1"/>
        <v>28.138016899681357</v>
      </c>
      <c r="K24" s="213">
        <f t="shared" ca="1" si="2"/>
        <v>2.9559860865439669</v>
      </c>
      <c r="L24" s="213">
        <f t="shared" ca="1" si="3"/>
        <v>4.2175585397125301</v>
      </c>
      <c r="M24" s="213">
        <f t="shared" ca="1" si="4"/>
        <v>20.96447227342486</v>
      </c>
      <c r="N24" s="213">
        <f t="shared" ca="1" si="5"/>
        <v>0</v>
      </c>
      <c r="O24" s="213">
        <f t="shared" ca="1" si="6"/>
        <v>0</v>
      </c>
      <c r="P24" s="213">
        <f t="shared" ca="1" si="16"/>
        <v>1.6948362613973131</v>
      </c>
      <c r="Q24" s="212">
        <f t="shared" ca="1" si="7"/>
        <v>29.794629161078671</v>
      </c>
      <c r="R24" s="212">
        <f t="shared" ca="1" si="8"/>
        <v>28.138016899681357</v>
      </c>
      <c r="S24" s="213">
        <f t="shared" ca="1" si="9"/>
        <v>2.9559860865439669</v>
      </c>
      <c r="T24" s="213">
        <f t="shared" ca="1" si="10"/>
        <v>4.2175585397125301</v>
      </c>
      <c r="U24" s="213">
        <f t="shared" ca="1" si="11"/>
        <v>20.96447227342486</v>
      </c>
      <c r="V24" s="213">
        <f t="shared" ca="1" si="12"/>
        <v>0</v>
      </c>
      <c r="W24" s="213">
        <f t="shared" ca="1" si="13"/>
        <v>0</v>
      </c>
      <c r="X24" s="213">
        <f t="shared" ca="1" si="17"/>
        <v>1.6566122613973135</v>
      </c>
      <c r="Y24" s="249"/>
      <c r="Z24" s="195"/>
      <c r="AA24" s="249"/>
      <c r="AB24" s="196"/>
      <c r="AC24" s="196"/>
      <c r="AD24" s="196"/>
      <c r="AE24" s="249"/>
      <c r="AF24" s="196"/>
      <c r="AH24" s="159"/>
      <c r="AI24" s="159"/>
      <c r="AJ24" s="159"/>
      <c r="AK24" s="173"/>
      <c r="AL24" s="173"/>
      <c r="AM24" s="173"/>
      <c r="AN24" s="173"/>
    </row>
    <row r="25" spans="1:40" x14ac:dyDescent="0.15">
      <c r="A25" s="253" t="s">
        <v>45</v>
      </c>
      <c r="B25" s="252">
        <v>70</v>
      </c>
      <c r="C25" s="76">
        <v>72.3</v>
      </c>
      <c r="D25" s="76">
        <v>72.3</v>
      </c>
      <c r="E25" s="76">
        <v>30</v>
      </c>
      <c r="F25" s="76">
        <v>30</v>
      </c>
      <c r="G25" s="76">
        <v>30</v>
      </c>
      <c r="H25" s="253"/>
      <c r="I25" s="212">
        <f t="shared" ca="1" si="0"/>
        <v>9.2907291819576017</v>
      </c>
      <c r="J25" s="212">
        <f t="shared" ca="1" si="1"/>
        <v>9.2558794929148362</v>
      </c>
      <c r="K25" s="213">
        <f t="shared" ca="1" si="2"/>
        <v>1.2725982259508049</v>
      </c>
      <c r="L25" s="213">
        <f t="shared" ca="1" si="3"/>
        <v>1.616080659335569</v>
      </c>
      <c r="M25" s="213">
        <f t="shared" ca="1" si="4"/>
        <v>8.6008187795712097</v>
      </c>
      <c r="N25" s="213">
        <f t="shared" ca="1" si="5"/>
        <v>2.0555839110203591</v>
      </c>
      <c r="O25" s="213">
        <f t="shared" ca="1" si="6"/>
        <v>-4.2892020829631079</v>
      </c>
      <c r="P25" s="213">
        <f t="shared" ca="1" si="16"/>
        <v>3.4849689042765419E-2</v>
      </c>
      <c r="Q25" s="212">
        <f t="shared" ca="1" si="7"/>
        <v>9.4712702939390994</v>
      </c>
      <c r="R25" s="212">
        <f t="shared" ca="1" si="8"/>
        <v>9.4412702939391</v>
      </c>
      <c r="S25" s="213">
        <f t="shared" ca="1" si="9"/>
        <v>1.2725982259508049</v>
      </c>
      <c r="T25" s="213">
        <f t="shared" ca="1" si="10"/>
        <v>1.616080659335569</v>
      </c>
      <c r="U25" s="213">
        <f t="shared" ca="1" si="11"/>
        <v>8.009444405133415</v>
      </c>
      <c r="V25" s="213">
        <f t="shared" ca="1" si="12"/>
        <v>2.5592514152742081</v>
      </c>
      <c r="W25" s="213">
        <f t="shared" ca="1" si="13"/>
        <v>-4.0161044117548972</v>
      </c>
      <c r="X25" s="213">
        <f t="shared" ca="1" si="17"/>
        <v>2.9999999999999361E-2</v>
      </c>
      <c r="Y25" s="249"/>
      <c r="Z25" s="195"/>
      <c r="AA25" s="196"/>
      <c r="AB25" s="196"/>
      <c r="AC25" s="196"/>
      <c r="AD25" s="196"/>
      <c r="AE25" s="249"/>
      <c r="AF25" s="196"/>
      <c r="AH25" s="159"/>
      <c r="AI25" s="159"/>
      <c r="AJ25" s="159"/>
      <c r="AK25" s="173"/>
      <c r="AL25" s="173"/>
      <c r="AM25" s="173"/>
      <c r="AN25" s="173"/>
    </row>
    <row r="26" spans="1:40" x14ac:dyDescent="0.15">
      <c r="A26" s="253" t="s">
        <v>46</v>
      </c>
      <c r="B26" s="252">
        <v>40</v>
      </c>
      <c r="C26" s="76">
        <v>36</v>
      </c>
      <c r="D26" s="76">
        <f t="shared" si="15"/>
        <v>36</v>
      </c>
      <c r="E26" s="76">
        <v>30</v>
      </c>
      <c r="F26" s="76">
        <v>30</v>
      </c>
      <c r="G26" s="76">
        <v>30</v>
      </c>
      <c r="H26" s="253"/>
      <c r="I26" s="212">
        <f t="shared" ca="1" si="0"/>
        <v>19.7357142920083</v>
      </c>
      <c r="J26" s="212">
        <f t="shared" ca="1" si="1"/>
        <v>19.700864292008301</v>
      </c>
      <c r="K26" s="213">
        <f t="shared" ca="1" si="2"/>
        <v>2.3903650892631565</v>
      </c>
      <c r="L26" s="213">
        <f t="shared" ca="1" si="3"/>
        <v>2.5825500687808263</v>
      </c>
      <c r="M26" s="213">
        <f t="shared" ca="1" si="4"/>
        <v>16.808993664303127</v>
      </c>
      <c r="N26" s="213">
        <f t="shared" ca="1" si="5"/>
        <v>3.7535880236051709</v>
      </c>
      <c r="O26" s="213">
        <f t="shared" ca="1" si="6"/>
        <v>-5.8346325539439778</v>
      </c>
      <c r="P26" s="213">
        <f t="shared" ca="1" si="16"/>
        <v>3.4849999999998715E-2</v>
      </c>
      <c r="Q26" s="212">
        <f t="shared" ca="1" si="7"/>
        <v>21.535009690671046</v>
      </c>
      <c r="R26" s="212">
        <f t="shared" ca="1" si="8"/>
        <v>21.505009690671045</v>
      </c>
      <c r="S26" s="213">
        <f t="shared" ca="1" si="9"/>
        <v>2.3903650892631565</v>
      </c>
      <c r="T26" s="213">
        <f t="shared" ca="1" si="10"/>
        <v>2.5825500687808263</v>
      </c>
      <c r="U26" s="213">
        <f t="shared" ca="1" si="11"/>
        <v>18.203977331762854</v>
      </c>
      <c r="V26" s="213">
        <f t="shared" ca="1" si="12"/>
        <v>4.8774810034930773</v>
      </c>
      <c r="W26" s="213">
        <f t="shared" ca="1" si="13"/>
        <v>-6.5493638026288679</v>
      </c>
      <c r="X26" s="213">
        <f t="shared" ca="1" si="17"/>
        <v>3.0000000000001137E-2</v>
      </c>
      <c r="Y26" s="249"/>
      <c r="Z26" s="195"/>
      <c r="AA26" s="196"/>
      <c r="AB26" s="196"/>
      <c r="AC26" s="196"/>
      <c r="AD26" s="196"/>
      <c r="AE26" s="249"/>
      <c r="AF26" s="196"/>
      <c r="AH26" s="159"/>
      <c r="AI26" s="159"/>
      <c r="AJ26" s="159"/>
      <c r="AK26" s="173"/>
      <c r="AL26" s="173"/>
      <c r="AM26" s="173"/>
      <c r="AN26" s="173"/>
    </row>
    <row r="27" spans="1:40" x14ac:dyDescent="0.15">
      <c r="A27" s="253" t="s">
        <v>47</v>
      </c>
      <c r="B27" s="252">
        <v>46.8</v>
      </c>
      <c r="C27" s="76">
        <v>72.400000000000006</v>
      </c>
      <c r="D27" s="76">
        <v>74.8</v>
      </c>
      <c r="E27" s="76">
        <v>10</v>
      </c>
      <c r="F27" s="76">
        <v>12</v>
      </c>
      <c r="G27" s="76">
        <v>15</v>
      </c>
      <c r="H27" s="253"/>
      <c r="I27" s="212">
        <f ca="1">INDIRECT("'"&amp;$A27&amp;"（"&amp;I$10&amp;"）'!ｆ70")</f>
        <v>23.80219020816708</v>
      </c>
      <c r="J27" s="212">
        <f ca="1">INDIRECT("'"&amp;$A27&amp;"（"&amp;I$10&amp;"）'!ｆ69")</f>
        <v>22.514069208167079</v>
      </c>
      <c r="K27" s="213">
        <f ca="1">INDIRECT("'"&amp;$A27&amp;"（"&amp;I$10&amp;"）'!F74")</f>
        <v>15.704707424236053</v>
      </c>
      <c r="L27" s="213">
        <f ca="1">INDIRECT("'"&amp;$A27&amp;"（"&amp;I$10&amp;"）'!F83")</f>
        <v>1.2456166906329622</v>
      </c>
      <c r="M27" s="213">
        <f ca="1">INDIRECT("'"&amp;$A27&amp;"（"&amp;I$10&amp;"）'!F92")</f>
        <v>8.9751898402304136</v>
      </c>
      <c r="N27" s="213">
        <f ca="1">INDIRECT("'"&amp;$A27&amp;"（"&amp;I$10&amp;"）'!F99")-INDIRECT("'"&amp;$A27&amp;"（"&amp;I$10&amp;"）'!F105")</f>
        <v>1.6465064968257497</v>
      </c>
      <c r="O27" s="213">
        <f ca="1">INDIRECT("'"&amp;$A27&amp;"（"&amp;I$10&amp;"）'!F107")</f>
        <v>-5.0579512437581</v>
      </c>
      <c r="P27" s="213">
        <f ca="1">I27-J27</f>
        <v>1.2881210000000003</v>
      </c>
      <c r="Q27" s="212">
        <f t="shared" ref="Q27:Q34" ca="1" si="18">INDIRECT("'"&amp;$A27&amp;"（"&amp;Q$10&amp;"）'!ｆ70")</f>
        <v>13.261491228688952</v>
      </c>
      <c r="R27" s="212">
        <f t="shared" ref="R27:R34" ca="1" si="19">INDIRECT("'"&amp;$A27&amp;"（"&amp;Q$10&amp;"）'!ｆ69")</f>
        <v>12.661491228688952</v>
      </c>
      <c r="S27" s="213">
        <f t="shared" ref="S27:S34" ca="1" si="20">INDIRECT("'"&amp;$A27&amp;"（"&amp;Q$10&amp;"）'!F74")</f>
        <v>6.1671606837982971</v>
      </c>
      <c r="T27" s="213">
        <f t="shared" ref="T27:T34" ca="1" si="21">INDIRECT("'"&amp;$A27&amp;"（"&amp;Q$10&amp;"）'!F83")</f>
        <v>1.2056503797035623</v>
      </c>
      <c r="U27" s="213">
        <f t="shared" ref="U27:U34" ca="1" si="22">INDIRECT("'"&amp;$A27&amp;"（"&amp;Q$10&amp;"）'!F92")</f>
        <v>7.9247624058358825</v>
      </c>
      <c r="V27" s="213">
        <f t="shared" ref="V27:V34" ca="1" si="23">INDIRECT("'"&amp;$A27&amp;"（"&amp;Q$10&amp;"）'!F99")-INDIRECT("'"&amp;$A27&amp;"（"&amp;Q$10&amp;"）'!F105")</f>
        <v>2.1749466055014972</v>
      </c>
      <c r="W27" s="213">
        <f t="shared" ref="W27:W34" ca="1" si="24">INDIRECT("'"&amp;$A27&amp;"（"&amp;Q$10&amp;"）'!F107")</f>
        <v>-4.8110288461502879</v>
      </c>
      <c r="X27" s="213">
        <f t="shared" ref="X27:X34" ca="1" si="25">Q27-R27</f>
        <v>0.59999999999999964</v>
      </c>
      <c r="Y27" s="249"/>
      <c r="Z27" s="195"/>
      <c r="AA27" s="196"/>
      <c r="AB27" s="196"/>
      <c r="AC27" s="196"/>
      <c r="AD27" s="196"/>
      <c r="AE27" s="249"/>
      <c r="AF27" s="196"/>
      <c r="AH27" s="159"/>
      <c r="AI27" s="159"/>
      <c r="AJ27" s="159"/>
      <c r="AK27" s="173"/>
      <c r="AL27" s="173"/>
      <c r="AM27" s="173"/>
      <c r="AN27" s="173"/>
    </row>
    <row r="28" spans="1:40" x14ac:dyDescent="0.15">
      <c r="A28" s="214" t="s">
        <v>48</v>
      </c>
      <c r="B28" s="76"/>
      <c r="C28" s="76">
        <v>70</v>
      </c>
      <c r="D28" s="76">
        <v>70</v>
      </c>
      <c r="E28" s="76"/>
      <c r="F28" s="76">
        <v>40</v>
      </c>
      <c r="G28" s="76">
        <v>40</v>
      </c>
      <c r="H28" s="211"/>
      <c r="I28" s="235" t="s">
        <v>49</v>
      </c>
      <c r="J28" s="235" t="s">
        <v>49</v>
      </c>
      <c r="K28" s="235" t="s">
        <v>49</v>
      </c>
      <c r="L28" s="235" t="s">
        <v>49</v>
      </c>
      <c r="M28" s="235" t="s">
        <v>49</v>
      </c>
      <c r="N28" s="235" t="s">
        <v>49</v>
      </c>
      <c r="O28" s="235" t="s">
        <v>49</v>
      </c>
      <c r="P28" s="235" t="s">
        <v>49</v>
      </c>
      <c r="Q28" s="212">
        <f t="shared" ca="1" si="18"/>
        <v>13.869578006226632</v>
      </c>
      <c r="R28" s="212">
        <f ca="1">INDIRECT("'"&amp;$A28&amp;"（"&amp;Q$10&amp;"）'!ｆ69")</f>
        <v>13.799578006226632</v>
      </c>
      <c r="S28" s="213">
        <f ca="1">INDIRECT("'"&amp;$A28&amp;"（"&amp;Q$10&amp;"）'!F74")</f>
        <v>2.5864558913204894</v>
      </c>
      <c r="T28" s="213">
        <f ca="1">INDIRECT("'"&amp;$A28&amp;"（"&amp;Q$10&amp;"）'!F83")</f>
        <v>2.98216431489683</v>
      </c>
      <c r="U28" s="213">
        <f ca="1">INDIRECT("'"&amp;$A28&amp;"（"&amp;Q$10&amp;"）'!F92")</f>
        <v>3.76972595851481</v>
      </c>
      <c r="V28" s="213">
        <f ca="1">INDIRECT("'"&amp;$A28&amp;"（"&amp;Q$10&amp;"）'!F99")-INDIRECT("'"&amp;$A28&amp;"（"&amp;Q$10&amp;"）'!F105")</f>
        <v>4.4612318414945014</v>
      </c>
      <c r="W28" s="213">
        <f ca="1">INDIRECT("'"&amp;$A28&amp;"（"&amp;Q$10&amp;"）'!F107")</f>
        <v>0</v>
      </c>
      <c r="X28" s="213">
        <f ca="1">Q28-R28</f>
        <v>7.0000000000000284E-2</v>
      </c>
      <c r="Y28" s="249"/>
      <c r="Z28" s="195"/>
      <c r="AA28" s="249"/>
      <c r="AB28" s="196"/>
      <c r="AC28" s="196"/>
      <c r="AD28" s="196"/>
      <c r="AE28" s="249"/>
      <c r="AF28" s="196"/>
      <c r="AH28" s="159"/>
      <c r="AI28" s="159"/>
      <c r="AJ28" s="159"/>
      <c r="AK28" s="173"/>
      <c r="AL28" s="173"/>
      <c r="AM28" s="173"/>
      <c r="AN28" s="173"/>
    </row>
    <row r="29" spans="1:40" x14ac:dyDescent="0.15">
      <c r="A29" s="214" t="s">
        <v>50</v>
      </c>
      <c r="B29" s="76"/>
      <c r="C29" s="76">
        <v>70</v>
      </c>
      <c r="D29" s="76">
        <f t="shared" si="14"/>
        <v>70</v>
      </c>
      <c r="E29" s="76"/>
      <c r="F29" s="76">
        <v>40</v>
      </c>
      <c r="G29" s="76">
        <v>40</v>
      </c>
      <c r="H29" s="211"/>
      <c r="I29" s="235" t="s">
        <v>51</v>
      </c>
      <c r="J29" s="235" t="s">
        <v>51</v>
      </c>
      <c r="K29" s="235" t="s">
        <v>51</v>
      </c>
      <c r="L29" s="235" t="s">
        <v>51</v>
      </c>
      <c r="M29" s="235" t="s">
        <v>51</v>
      </c>
      <c r="N29" s="235" t="s">
        <v>51</v>
      </c>
      <c r="O29" s="235" t="s">
        <v>51</v>
      </c>
      <c r="P29" s="235" t="s">
        <v>51</v>
      </c>
      <c r="Q29" s="212">
        <f t="shared" ca="1" si="18"/>
        <v>13.973015722733475</v>
      </c>
      <c r="R29" s="212">
        <f t="shared" ca="1" si="19"/>
        <v>13.903015722733475</v>
      </c>
      <c r="S29" s="213">
        <f t="shared" ca="1" si="20"/>
        <v>2.9178559464912608</v>
      </c>
      <c r="T29" s="213">
        <f t="shared" ca="1" si="21"/>
        <v>3.3031892021305924</v>
      </c>
      <c r="U29" s="213">
        <f t="shared" ca="1" si="22"/>
        <v>4.8643409558906914</v>
      </c>
      <c r="V29" s="213">
        <f t="shared" ca="1" si="23"/>
        <v>2.8176296182209311</v>
      </c>
      <c r="W29" s="213">
        <f t="shared" ca="1" si="24"/>
        <v>0</v>
      </c>
      <c r="X29" s="213">
        <f t="shared" ca="1" si="25"/>
        <v>7.0000000000000284E-2</v>
      </c>
      <c r="Y29" s="249"/>
      <c r="Z29" s="195"/>
      <c r="AA29" s="196"/>
      <c r="AB29" s="196"/>
      <c r="AC29" s="196"/>
      <c r="AD29" s="196"/>
      <c r="AE29" s="249"/>
      <c r="AF29" s="196"/>
      <c r="AH29" s="159"/>
      <c r="AI29" s="159"/>
      <c r="AJ29" s="159"/>
      <c r="AK29" s="173"/>
      <c r="AL29" s="173"/>
      <c r="AM29" s="173"/>
      <c r="AN29" s="173"/>
    </row>
    <row r="30" spans="1:40" x14ac:dyDescent="0.15">
      <c r="A30" s="214" t="s">
        <v>52</v>
      </c>
      <c r="B30" s="76"/>
      <c r="C30" s="76">
        <v>70</v>
      </c>
      <c r="D30" s="76">
        <v>70</v>
      </c>
      <c r="E30" s="76"/>
      <c r="F30" s="76">
        <v>40</v>
      </c>
      <c r="G30" s="76">
        <v>40</v>
      </c>
      <c r="H30" s="211"/>
      <c r="I30" s="235" t="s">
        <v>51</v>
      </c>
      <c r="J30" s="235" t="s">
        <v>51</v>
      </c>
      <c r="K30" s="235" t="s">
        <v>51</v>
      </c>
      <c r="L30" s="235" t="s">
        <v>51</v>
      </c>
      <c r="M30" s="235" t="s">
        <v>51</v>
      </c>
      <c r="N30" s="235" t="s">
        <v>51</v>
      </c>
      <c r="O30" s="235" t="s">
        <v>51</v>
      </c>
      <c r="P30" s="235" t="s">
        <v>51</v>
      </c>
      <c r="Q30" s="212">
        <f t="shared" ca="1" si="18"/>
        <v>14.302444674823532</v>
      </c>
      <c r="R30" s="212">
        <f t="shared" ca="1" si="19"/>
        <v>14.232444674823531</v>
      </c>
      <c r="S30" s="213">
        <f t="shared" ca="1" si="20"/>
        <v>3.4423376613810945</v>
      </c>
      <c r="T30" s="213">
        <f t="shared" ca="1" si="21"/>
        <v>3.9291846053489881</v>
      </c>
      <c r="U30" s="213">
        <f t="shared" ca="1" si="22"/>
        <v>4.2961450473795786</v>
      </c>
      <c r="V30" s="213">
        <f t="shared" ca="1" si="23"/>
        <v>2.5647773607138702</v>
      </c>
      <c r="W30" s="213">
        <f t="shared" ca="1" si="24"/>
        <v>0</v>
      </c>
      <c r="X30" s="213">
        <f t="shared" ca="1" si="25"/>
        <v>7.0000000000000284E-2</v>
      </c>
      <c r="Y30" s="249"/>
      <c r="Z30" s="195"/>
      <c r="AA30" s="196"/>
      <c r="AB30" s="196"/>
      <c r="AC30" s="196"/>
      <c r="AD30" s="196"/>
      <c r="AE30" s="249"/>
      <c r="AF30" s="196"/>
      <c r="AH30" s="159"/>
      <c r="AI30" s="159"/>
      <c r="AJ30" s="159"/>
      <c r="AK30" s="173"/>
      <c r="AL30" s="173"/>
      <c r="AM30" s="173"/>
      <c r="AN30" s="173"/>
    </row>
    <row r="31" spans="1:40" x14ac:dyDescent="0.15">
      <c r="A31" s="214" t="s">
        <v>53</v>
      </c>
      <c r="B31" s="76"/>
      <c r="C31" s="76">
        <v>70</v>
      </c>
      <c r="D31" s="76">
        <v>70</v>
      </c>
      <c r="E31" s="76"/>
      <c r="F31" s="76">
        <v>40</v>
      </c>
      <c r="G31" s="76">
        <v>40</v>
      </c>
      <c r="H31" s="211"/>
      <c r="I31" s="235" t="s">
        <v>51</v>
      </c>
      <c r="J31" s="235" t="s">
        <v>51</v>
      </c>
      <c r="K31" s="235" t="s">
        <v>51</v>
      </c>
      <c r="L31" s="235" t="s">
        <v>51</v>
      </c>
      <c r="M31" s="235" t="s">
        <v>51</v>
      </c>
      <c r="N31" s="235" t="s">
        <v>51</v>
      </c>
      <c r="O31" s="235" t="s">
        <v>51</v>
      </c>
      <c r="P31" s="235" t="s">
        <v>51</v>
      </c>
      <c r="Q31" s="212">
        <f t="shared" ca="1" si="18"/>
        <v>11.679676944651984</v>
      </c>
      <c r="R31" s="212">
        <f t="shared" ca="1" si="19"/>
        <v>11.539676944651983</v>
      </c>
      <c r="S31" s="213">
        <f t="shared" ca="1" si="20"/>
        <v>1.9218711795336862</v>
      </c>
      <c r="T31" s="213">
        <f t="shared" ca="1" si="21"/>
        <v>1.7358420285248839</v>
      </c>
      <c r="U31" s="213">
        <f t="shared" ca="1" si="22"/>
        <v>6.7116332024107761</v>
      </c>
      <c r="V31" s="213">
        <f t="shared" ca="1" si="23"/>
        <v>1.1703305341826384</v>
      </c>
      <c r="W31" s="213">
        <f t="shared" ca="1" si="24"/>
        <v>0</v>
      </c>
      <c r="X31" s="213">
        <f t="shared" ca="1" si="25"/>
        <v>0.14000000000000057</v>
      </c>
      <c r="Y31" s="249"/>
      <c r="Z31" s="195"/>
      <c r="AA31" s="249"/>
      <c r="AB31" s="196"/>
      <c r="AC31" s="196"/>
      <c r="AD31" s="196"/>
      <c r="AE31" s="249"/>
      <c r="AF31" s="196"/>
      <c r="AH31" s="159"/>
      <c r="AI31" s="159"/>
      <c r="AJ31" s="159"/>
      <c r="AK31" s="173"/>
      <c r="AL31" s="173"/>
      <c r="AM31" s="173"/>
      <c r="AN31" s="173"/>
    </row>
    <row r="32" spans="1:40" x14ac:dyDescent="0.15">
      <c r="A32" s="251" t="s">
        <v>54</v>
      </c>
      <c r="B32" s="252"/>
      <c r="C32" s="76">
        <v>70</v>
      </c>
      <c r="D32" s="76">
        <v>70</v>
      </c>
      <c r="E32" s="76">
        <v>40</v>
      </c>
      <c r="F32" s="76">
        <v>40</v>
      </c>
      <c r="G32" s="76">
        <v>40</v>
      </c>
      <c r="H32" s="253"/>
      <c r="I32" s="235" t="s">
        <v>51</v>
      </c>
      <c r="J32" s="235" t="s">
        <v>51</v>
      </c>
      <c r="K32" s="235" t="s">
        <v>51</v>
      </c>
      <c r="L32" s="235" t="s">
        <v>51</v>
      </c>
      <c r="M32" s="235" t="s">
        <v>51</v>
      </c>
      <c r="N32" s="235" t="s">
        <v>51</v>
      </c>
      <c r="O32" s="235" t="s">
        <v>51</v>
      </c>
      <c r="P32" s="235" t="s">
        <v>51</v>
      </c>
      <c r="Q32" s="212">
        <f t="shared" ca="1" si="18"/>
        <v>21.378674159793409</v>
      </c>
      <c r="R32" s="212">
        <f t="shared" ca="1" si="19"/>
        <v>21.348674159793408</v>
      </c>
      <c r="S32" s="213">
        <f t="shared" ca="1" si="20"/>
        <v>1.2945516175087721</v>
      </c>
      <c r="T32" s="213">
        <f t="shared" ca="1" si="21"/>
        <v>1.2029017661382355</v>
      </c>
      <c r="U32" s="213">
        <f t="shared" ca="1" si="22"/>
        <v>18.851220776146402</v>
      </c>
      <c r="V32" s="213">
        <f t="shared" ca="1" si="23"/>
        <v>0</v>
      </c>
      <c r="W32" s="213">
        <f t="shared" ca="1" si="24"/>
        <v>0</v>
      </c>
      <c r="X32" s="213">
        <f t="shared" ca="1" si="25"/>
        <v>3.0000000000001137E-2</v>
      </c>
      <c r="Y32" s="249"/>
      <c r="Z32" s="195"/>
      <c r="AA32" s="249"/>
      <c r="AB32" s="196"/>
      <c r="AC32" s="196"/>
      <c r="AD32" s="196"/>
      <c r="AE32" s="249"/>
      <c r="AF32" s="196"/>
      <c r="AH32" s="159"/>
      <c r="AI32" s="159"/>
      <c r="AJ32" s="159"/>
      <c r="AK32" s="173"/>
      <c r="AL32" s="173"/>
      <c r="AM32" s="173"/>
      <c r="AN32" s="173"/>
    </row>
    <row r="33" spans="1:40" x14ac:dyDescent="0.15">
      <c r="A33" s="251" t="s">
        <v>55</v>
      </c>
      <c r="B33" s="252"/>
      <c r="C33" s="76">
        <v>70</v>
      </c>
      <c r="D33" s="76">
        <v>70</v>
      </c>
      <c r="E33" s="76">
        <v>40</v>
      </c>
      <c r="F33" s="76">
        <v>40</v>
      </c>
      <c r="G33" s="76">
        <v>40</v>
      </c>
      <c r="H33" s="253"/>
      <c r="I33" s="235" t="s">
        <v>51</v>
      </c>
      <c r="J33" s="235" t="s">
        <v>51</v>
      </c>
      <c r="K33" s="235" t="s">
        <v>51</v>
      </c>
      <c r="L33" s="235" t="s">
        <v>51</v>
      </c>
      <c r="M33" s="235" t="s">
        <v>51</v>
      </c>
      <c r="N33" s="235" t="s">
        <v>51</v>
      </c>
      <c r="O33" s="235" t="s">
        <v>51</v>
      </c>
      <c r="P33" s="235" t="s">
        <v>51</v>
      </c>
      <c r="Q33" s="212">
        <f t="shared" ca="1" si="18"/>
        <v>11.795257851946937</v>
      </c>
      <c r="R33" s="212">
        <f t="shared" ca="1" si="19"/>
        <v>11.665257851946937</v>
      </c>
      <c r="S33" s="213">
        <f t="shared" ca="1" si="20"/>
        <v>1.2945516175087721</v>
      </c>
      <c r="T33" s="213">
        <f t="shared" ca="1" si="21"/>
        <v>1.2029017661382355</v>
      </c>
      <c r="U33" s="213">
        <f t="shared" ca="1" si="22"/>
        <v>7.3004639214764415</v>
      </c>
      <c r="V33" s="213">
        <f t="shared" ca="1" si="23"/>
        <v>1.8673405468234878</v>
      </c>
      <c r="W33" s="213">
        <f t="shared" ca="1" si="24"/>
        <v>0</v>
      </c>
      <c r="X33" s="213">
        <f t="shared" ca="1" si="25"/>
        <v>0.13000000000000078</v>
      </c>
      <c r="Y33" s="249"/>
      <c r="Z33" s="195"/>
      <c r="AA33" s="249"/>
      <c r="AB33" s="196"/>
      <c r="AC33" s="196"/>
      <c r="AD33" s="196"/>
      <c r="AE33" s="249"/>
      <c r="AF33" s="196"/>
      <c r="AH33" s="159"/>
      <c r="AI33" s="159"/>
      <c r="AJ33" s="159"/>
      <c r="AK33" s="173"/>
      <c r="AL33" s="173"/>
      <c r="AM33" s="173"/>
      <c r="AN33" s="173"/>
    </row>
    <row r="34" spans="1:40" x14ac:dyDescent="0.15">
      <c r="A34" s="251" t="s">
        <v>56</v>
      </c>
      <c r="B34" s="252"/>
      <c r="C34" s="76">
        <v>70</v>
      </c>
      <c r="D34" s="76">
        <f t="shared" ref="D34" si="26">C34</f>
        <v>70</v>
      </c>
      <c r="E34" s="76">
        <v>40</v>
      </c>
      <c r="F34" s="76">
        <v>40</v>
      </c>
      <c r="G34" s="76">
        <v>40</v>
      </c>
      <c r="H34" s="253"/>
      <c r="I34" s="235" t="s">
        <v>51</v>
      </c>
      <c r="J34" s="235" t="s">
        <v>51</v>
      </c>
      <c r="K34" s="235" t="s">
        <v>51</v>
      </c>
      <c r="L34" s="235" t="s">
        <v>51</v>
      </c>
      <c r="M34" s="235" t="s">
        <v>51</v>
      </c>
      <c r="N34" s="235" t="s">
        <v>51</v>
      </c>
      <c r="O34" s="235" t="s">
        <v>51</v>
      </c>
      <c r="P34" s="235" t="s">
        <v>51</v>
      </c>
      <c r="Q34" s="212">
        <f t="shared" ca="1" si="18"/>
        <v>15.513498145432816</v>
      </c>
      <c r="R34" s="212">
        <f t="shared" ca="1" si="19"/>
        <v>15.463498145432816</v>
      </c>
      <c r="S34" s="213">
        <f t="shared" ca="1" si="20"/>
        <v>2.003476945091303</v>
      </c>
      <c r="T34" s="213">
        <f t="shared" ca="1" si="21"/>
        <v>2.2949407812701077</v>
      </c>
      <c r="U34" s="213">
        <f t="shared" ca="1" si="22"/>
        <v>7.2133480692593732</v>
      </c>
      <c r="V34" s="213">
        <f t="shared" ca="1" si="23"/>
        <v>3.9517323498120307</v>
      </c>
      <c r="W34" s="213">
        <f t="shared" ca="1" si="24"/>
        <v>0</v>
      </c>
      <c r="X34" s="213">
        <f t="shared" ca="1" si="25"/>
        <v>5.0000000000000711E-2</v>
      </c>
      <c r="Z34" s="195"/>
      <c r="AA34" s="249"/>
      <c r="AB34" s="196"/>
      <c r="AC34" s="196"/>
      <c r="AD34" s="196"/>
      <c r="AE34" s="249"/>
      <c r="AF34" s="196"/>
      <c r="AH34" s="159"/>
      <c r="AI34" s="159"/>
      <c r="AJ34" s="159"/>
      <c r="AK34" s="173"/>
      <c r="AL34" s="173"/>
      <c r="AM34" s="173"/>
      <c r="AN34" s="173"/>
    </row>
    <row r="35" spans="1:40" x14ac:dyDescent="0.15">
      <c r="A35" s="56" t="s">
        <v>57</v>
      </c>
    </row>
    <row r="36" spans="1:40" x14ac:dyDescent="0.15">
      <c r="A36" s="56"/>
    </row>
    <row r="37" spans="1:40" ht="16.5" thickBot="1" x14ac:dyDescent="0.2">
      <c r="A37" s="692" t="s">
        <v>58</v>
      </c>
      <c r="B37" s="693"/>
      <c r="C37" s="693"/>
      <c r="D37" s="693"/>
      <c r="E37" s="693"/>
      <c r="F37" s="693"/>
      <c r="G37" s="693"/>
      <c r="H37" s="693"/>
      <c r="I37" s="693"/>
      <c r="J37" s="693"/>
      <c r="K37" s="693"/>
      <c r="L37" s="693"/>
      <c r="M37" s="693"/>
      <c r="N37" s="693"/>
      <c r="O37" s="693"/>
      <c r="P37" s="693"/>
      <c r="Q37" s="693"/>
      <c r="R37" s="693"/>
      <c r="S37" s="693"/>
      <c r="T37" s="693"/>
      <c r="U37" s="693"/>
      <c r="V37" s="693"/>
      <c r="W37" s="693"/>
      <c r="X37" s="693"/>
      <c r="AD37" s="130"/>
      <c r="AE37" s="130"/>
      <c r="AF37" s="130"/>
    </row>
    <row r="38" spans="1:40" x14ac:dyDescent="0.15">
      <c r="AD38" s="130"/>
      <c r="AE38" s="130"/>
      <c r="AF38" s="130"/>
    </row>
    <row r="39" spans="1:40" x14ac:dyDescent="0.15">
      <c r="AD39" s="130"/>
      <c r="AE39" s="130"/>
      <c r="AF39" s="130"/>
    </row>
    <row r="40" spans="1:40" x14ac:dyDescent="0.15">
      <c r="AD40" s="130"/>
      <c r="AE40" s="130"/>
      <c r="AF40" s="130"/>
    </row>
    <row r="41" spans="1:40" x14ac:dyDescent="0.15">
      <c r="AD41" s="130"/>
      <c r="AE41" s="130"/>
      <c r="AF41" s="130"/>
    </row>
    <row r="42" spans="1:40" x14ac:dyDescent="0.15">
      <c r="AD42" s="130"/>
      <c r="AE42" s="130"/>
      <c r="AF42" s="130"/>
    </row>
    <row r="43" spans="1:40" x14ac:dyDescent="0.15">
      <c r="AD43" s="130"/>
      <c r="AE43" s="130"/>
      <c r="AF43" s="130"/>
    </row>
    <row r="44" spans="1:40" x14ac:dyDescent="0.15">
      <c r="AD44" s="130"/>
      <c r="AE44" s="130"/>
      <c r="AF44" s="130"/>
    </row>
    <row r="45" spans="1:40" x14ac:dyDescent="0.15">
      <c r="AD45" s="130"/>
      <c r="AE45" s="130"/>
      <c r="AF45" s="130"/>
    </row>
    <row r="46" spans="1:40" x14ac:dyDescent="0.15">
      <c r="AD46" s="130"/>
      <c r="AE46" s="130"/>
      <c r="AF46" s="130"/>
    </row>
    <row r="47" spans="1:40" x14ac:dyDescent="0.15">
      <c r="AD47" s="130"/>
      <c r="AE47" s="130"/>
      <c r="AF47" s="130"/>
    </row>
    <row r="48" spans="1:40" x14ac:dyDescent="0.15">
      <c r="AD48" s="130"/>
      <c r="AE48" s="130"/>
      <c r="AF48" s="130"/>
    </row>
    <row r="49" spans="30:32" x14ac:dyDescent="0.15">
      <c r="AD49" s="130"/>
      <c r="AE49" s="130"/>
      <c r="AF49" s="130"/>
    </row>
    <row r="50" spans="30:32" x14ac:dyDescent="0.15">
      <c r="AD50" s="130"/>
      <c r="AE50" s="130"/>
      <c r="AF50" s="130"/>
    </row>
    <row r="51" spans="30:32" x14ac:dyDescent="0.15">
      <c r="AD51" s="130"/>
      <c r="AE51" s="130"/>
      <c r="AF51" s="130"/>
    </row>
    <row r="52" spans="30:32" x14ac:dyDescent="0.15">
      <c r="AD52" s="130"/>
      <c r="AE52" s="130"/>
      <c r="AF52" s="130"/>
    </row>
    <row r="53" spans="30:32" x14ac:dyDescent="0.15">
      <c r="AD53" s="130"/>
      <c r="AE53" s="130"/>
      <c r="AF53" s="130"/>
    </row>
    <row r="54" spans="30:32" x14ac:dyDescent="0.15">
      <c r="AD54" s="130"/>
      <c r="AE54" s="130"/>
      <c r="AF54" s="130"/>
    </row>
    <row r="55" spans="30:32" x14ac:dyDescent="0.15">
      <c r="AD55" s="130"/>
      <c r="AE55" s="130"/>
      <c r="AF55" s="130"/>
    </row>
    <row r="56" spans="30:32" x14ac:dyDescent="0.15">
      <c r="AD56" s="130"/>
      <c r="AE56" s="130"/>
      <c r="AF56" s="130"/>
    </row>
    <row r="57" spans="30:32" x14ac:dyDescent="0.15">
      <c r="AD57" s="130"/>
      <c r="AE57" s="130"/>
      <c r="AF57" s="130"/>
    </row>
    <row r="58" spans="30:32" x14ac:dyDescent="0.15">
      <c r="AD58" s="130"/>
      <c r="AE58" s="130"/>
      <c r="AF58" s="130"/>
    </row>
    <row r="59" spans="30:32" x14ac:dyDescent="0.15">
      <c r="AD59" s="130"/>
      <c r="AE59" s="130"/>
      <c r="AF59" s="130"/>
    </row>
    <row r="60" spans="30:32" x14ac:dyDescent="0.15">
      <c r="AD60" s="130"/>
      <c r="AE60" s="130"/>
      <c r="AF60" s="130"/>
    </row>
    <row r="61" spans="30:32" x14ac:dyDescent="0.15">
      <c r="AD61" s="130"/>
      <c r="AE61" s="130"/>
      <c r="AF61" s="130"/>
    </row>
    <row r="62" spans="30:32" x14ac:dyDescent="0.15">
      <c r="AD62" s="130"/>
      <c r="AE62" s="130"/>
      <c r="AF62" s="130"/>
    </row>
    <row r="63" spans="30:32" x14ac:dyDescent="0.15">
      <c r="AD63" s="130"/>
      <c r="AE63" s="130"/>
      <c r="AF63" s="130"/>
    </row>
    <row r="64" spans="30:32" x14ac:dyDescent="0.15">
      <c r="AD64" s="130"/>
      <c r="AE64" s="130"/>
      <c r="AF64" s="130"/>
    </row>
    <row r="65" spans="1:32" x14ac:dyDescent="0.15">
      <c r="AD65" s="130"/>
      <c r="AE65" s="130"/>
      <c r="AF65" s="130"/>
    </row>
    <row r="66" spans="1:32" x14ac:dyDescent="0.15">
      <c r="AD66" s="130"/>
      <c r="AE66" s="130"/>
      <c r="AF66" s="130"/>
    </row>
    <row r="67" spans="1:32" x14ac:dyDescent="0.15">
      <c r="AD67" s="130"/>
      <c r="AE67" s="130"/>
      <c r="AF67" s="130"/>
    </row>
    <row r="68" spans="1:32" ht="16.5" thickBot="1" x14ac:dyDescent="0.2">
      <c r="A68" s="692"/>
      <c r="B68" s="693"/>
      <c r="C68" s="693"/>
      <c r="D68" s="693"/>
      <c r="E68" s="693"/>
      <c r="F68" s="693"/>
      <c r="G68" s="693"/>
      <c r="H68" s="693"/>
      <c r="I68" s="693"/>
      <c r="J68" s="693"/>
      <c r="K68" s="693"/>
      <c r="L68" s="693"/>
      <c r="M68" s="693"/>
      <c r="N68" s="693"/>
      <c r="O68" s="693"/>
      <c r="P68" s="693"/>
      <c r="Q68" s="693"/>
      <c r="R68" s="693"/>
      <c r="S68" s="693"/>
      <c r="T68" s="693"/>
      <c r="U68" s="693"/>
      <c r="V68" s="693"/>
      <c r="W68" s="693"/>
      <c r="X68" s="693"/>
      <c r="AD68" s="130"/>
      <c r="AE68" s="130"/>
      <c r="AF68" s="130"/>
    </row>
  </sheetData>
  <mergeCells count="13">
    <mergeCell ref="A68:X68"/>
    <mergeCell ref="B6:D6"/>
    <mergeCell ref="E6:G6"/>
    <mergeCell ref="B8:D8"/>
    <mergeCell ref="A37:X37"/>
    <mergeCell ref="A10:A11"/>
    <mergeCell ref="Q10:X10"/>
    <mergeCell ref="F7:G7"/>
    <mergeCell ref="B2:D2"/>
    <mergeCell ref="B3:D3"/>
    <mergeCell ref="B4:D4"/>
    <mergeCell ref="B5:D5"/>
    <mergeCell ref="B7:D7"/>
  </mergeCells>
  <phoneticPr fontId="2"/>
  <dataValidations count="39">
    <dataValidation type="list" allowBlank="1" showInputMessage="1" showErrorMessage="1" sqref="E25:G26" xr:uid="{00000000-0002-0000-0000-000000000000}">
      <formula1>"15,30"</formula1>
    </dataValidation>
    <dataValidation type="list" allowBlank="1" showInputMessage="1" showErrorMessage="1" sqref="E27" xr:uid="{00000000-0002-0000-0000-000001000000}">
      <formula1>"6,10"</formula1>
    </dataValidation>
    <dataValidation type="list" allowBlank="1" showInputMessage="1" showErrorMessage="1" sqref="G27" xr:uid="{00000000-0002-0000-0000-000002000000}">
      <formula1>"15,12"</formula1>
    </dataValidation>
    <dataValidation type="list" allowBlank="1" showInputMessage="1" showErrorMessage="1" sqref="B25" xr:uid="{00000000-0002-0000-0000-000003000000}">
      <formula1>"40,50,60,70,80"</formula1>
    </dataValidation>
    <dataValidation type="list" allowBlank="1" showInputMessage="1" showErrorMessage="1" sqref="B26" xr:uid="{00000000-0002-0000-0000-000004000000}">
      <formula1>"30,40,50,60,70,80"</formula1>
    </dataValidation>
    <dataValidation type="list" allowBlank="1" showInputMessage="1" showErrorMessage="1" sqref="B27" xr:uid="{00000000-0002-0000-0000-000005000000}">
      <formula1>"46.8"</formula1>
    </dataValidation>
    <dataValidation type="list" allowBlank="1" showInputMessage="1" showErrorMessage="1" sqref="D27" xr:uid="{00000000-0002-0000-0000-000006000000}">
      <formula1>"74.8,72.4"</formula1>
    </dataValidation>
    <dataValidation type="list" allowBlank="1" showInputMessage="1" showErrorMessage="1" sqref="E13:G15 E23:G23 E20:G20 E32:G34 F29:G31" xr:uid="{00000000-0002-0000-0000-000007000000}">
      <formula1>"30,40"</formula1>
    </dataValidation>
    <dataValidation type="list" allowBlank="1" showInputMessage="1" showErrorMessage="1" sqref="E21:G21 E12:G12" xr:uid="{00000000-0002-0000-0000-000008000000}">
      <formula1>"40,60"</formula1>
    </dataValidation>
    <dataValidation type="list" allowBlank="1" showInputMessage="1" showErrorMessage="1" sqref="E16:E17 E18:F19 G18" xr:uid="{00000000-0002-0000-0000-000009000000}">
      <formula1>"20,25"</formula1>
    </dataValidation>
    <dataValidation type="list" allowBlank="1" showInputMessage="1" showErrorMessage="1" sqref="E22:G22" xr:uid="{00000000-0002-0000-0000-00000A000000}">
      <formula1>"30,40,50"</formula1>
    </dataValidation>
    <dataValidation type="list" allowBlank="1" showInputMessage="1" showErrorMessage="1" sqref="F16:G17 G19" xr:uid="{00000000-0002-0000-0000-00000B000000}">
      <formula1>"20,25,30"</formula1>
    </dataValidation>
    <dataValidation type="list" allowBlank="1" showInputMessage="1" showErrorMessage="1" sqref="B2" xr:uid="{00000000-0002-0000-0000-00000C000000}">
      <formula1>"0, 1, 3, 5"</formula1>
    </dataValidation>
    <dataValidation type="list" allowBlank="1" showInputMessage="1" showErrorMessage="1" sqref="B23:D23 B13:D13 C34:D34 C29:D31" xr:uid="{00000000-0002-0000-0000-00000D000000}">
      <formula1>"10,50,60,70,80"</formula1>
    </dataValidation>
    <dataValidation type="list" allowBlank="1" showInputMessage="1" showErrorMessage="1" sqref="B21 D21" xr:uid="{00000000-0002-0000-0000-00000E000000}">
      <formula1>"45"</formula1>
    </dataValidation>
    <dataValidation type="list" allowBlank="1" showInputMessage="1" showErrorMessage="1" sqref="D18" xr:uid="{00000000-0002-0000-0000-00000F000000}">
      <formula1>"20,23"</formula1>
    </dataValidation>
    <dataValidation type="list" allowBlank="1" showInputMessage="1" showErrorMessage="1" sqref="B19:C19" xr:uid="{00000000-0002-0000-0000-000010000000}">
      <formula1>"30"</formula1>
    </dataValidation>
    <dataValidation type="list" allowBlank="1" showInputMessage="1" showErrorMessage="1" sqref="B20:D20 C21" xr:uid="{00000000-0002-0000-0000-000011000000}">
      <formula1>"60"</formula1>
    </dataValidation>
    <dataValidation type="list" allowBlank="1" showInputMessage="1" showErrorMessage="1" sqref="B4:D6" xr:uid="{00000000-0002-0000-0000-000012000000}">
      <formula1>"WEO2020　STEPS,WEO2020　SDS"</formula1>
    </dataValidation>
    <dataValidation type="list" allowBlank="1" showInputMessage="1" showErrorMessage="1" sqref="B16" xr:uid="{00000000-0002-0000-0000-000013000000}">
      <formula1>"14"</formula1>
    </dataValidation>
    <dataValidation type="list" allowBlank="1" showInputMessage="1" showErrorMessage="1" sqref="B22:D22" xr:uid="{00000000-0002-0000-0000-000014000000}">
      <formula1>"10,50,60,70,80,83"</formula1>
    </dataValidation>
    <dataValidation type="list" allowBlank="1" showInputMessage="1" showErrorMessage="1" sqref="B17 F27" xr:uid="{00000000-0002-0000-0000-000015000000}">
      <formula1>"12"</formula1>
    </dataValidation>
    <dataValidation type="list" allowBlank="1" showInputMessage="1" showErrorMessage="1" sqref="B15:D15" xr:uid="{00000000-0002-0000-0000-000016000000}">
      <formula1>"10,20,30,40,50,60,70,80"</formula1>
    </dataValidation>
    <dataValidation type="list" allowBlank="1" showInputMessage="1" showErrorMessage="1" sqref="B14:D14 C32:D33" xr:uid="{00000000-0002-0000-0000-000017000000}">
      <formula1>"10,30,40,50,60,70,80"</formula1>
    </dataValidation>
    <dataValidation type="list" allowBlank="1" showInputMessage="1" showErrorMessage="1" sqref="F7:G7" xr:uid="{00000000-0002-0000-0000-000018000000}">
      <formula1>"建設費が国際価格と同率で低減,設備費が国際価格に収斂、設備費以外の建設費は一定"</formula1>
    </dataValidation>
    <dataValidation type="list" allowBlank="1" showInputMessage="1" showErrorMessage="1" sqref="B7:D7" xr:uid="{00000000-0002-0000-0000-000019000000}">
      <formula1>"低減率10％,低減率10%と低減率47%の平均,低減率47％"</formula1>
    </dataValidation>
    <dataValidation type="list" allowBlank="1" showInputMessage="1" showErrorMessage="1" sqref="B12:D12" xr:uid="{00000000-0002-0000-0000-00001A000000}">
      <formula1>"60,70,80"</formula1>
    </dataValidation>
    <dataValidation type="list" allowBlank="1" showInputMessage="1" showErrorMessage="1" sqref="B18" xr:uid="{00000000-0002-0000-0000-00001B000000}">
      <formula1>"20"</formula1>
    </dataValidation>
    <dataValidation type="list" allowBlank="1" showInputMessage="1" showErrorMessage="1" sqref="B8:D8" xr:uid="{00000000-0002-0000-0000-00001C000000}">
      <formula1>"CIF価格, 需要地価格"</formula1>
    </dataValidation>
    <dataValidation type="list" allowBlank="1" showInputMessage="1" showErrorMessage="1" sqref="C27" xr:uid="{00000000-0002-0000-0000-00001D000000}">
      <formula1>"72.4"</formula1>
    </dataValidation>
    <dataValidation type="list" allowBlank="1" showInputMessage="1" showErrorMessage="1" sqref="C18" xr:uid="{00000000-0002-0000-0000-00001E000000}">
      <formula1>"25.4,20,23"</formula1>
    </dataValidation>
    <dataValidation type="list" allowBlank="1" showInputMessage="1" showErrorMessage="1" sqref="D19" xr:uid="{00000000-0002-0000-0000-00001F000000}">
      <formula1>"30,33.2"</formula1>
    </dataValidation>
    <dataValidation type="list" allowBlank="1" showInputMessage="1" showErrorMessage="1" sqref="E24:G24 F28:G28 E28:E31" xr:uid="{00000000-0002-0000-0000-000020000000}">
      <formula1>"30,40,20"</formula1>
    </dataValidation>
    <dataValidation type="list" allowBlank="1" showInputMessage="1" showErrorMessage="1" sqref="B24:D24 C28:D28 B28:B34" xr:uid="{00000000-0002-0000-0000-000021000000}">
      <formula1>"10,30,40,50,60,70,80,87"</formula1>
    </dataValidation>
    <dataValidation type="list" allowBlank="1" showInputMessage="1" showErrorMessage="1" sqref="C16:D16" xr:uid="{00000000-0002-0000-0000-000022000000}">
      <formula1>"17.2"</formula1>
    </dataValidation>
    <dataValidation type="list" allowBlank="1" showInputMessage="1" showErrorMessage="1" sqref="C17:D17" xr:uid="{00000000-0002-0000-0000-000023000000}">
      <formula1>"13.8"</formula1>
    </dataValidation>
    <dataValidation type="list" allowBlank="1" showInputMessage="1" showErrorMessage="1" sqref="E6:G6" xr:uid="{00000000-0002-0000-0000-000024000000}">
      <formula1>"収斂なし,設備費が国際価格に収斂"</formula1>
    </dataValidation>
    <dataValidation type="list" allowBlank="1" showInputMessage="1" showErrorMessage="1" sqref="C25:D25" xr:uid="{00000000-0002-0000-0000-000025000000}">
      <formula1>"40,50,60,70,72.3,80"</formula1>
    </dataValidation>
    <dataValidation type="list" allowBlank="1" showInputMessage="1" showErrorMessage="1" sqref="C26:D26" xr:uid="{00000000-0002-0000-0000-000026000000}">
      <formula1>"30,36,40,50,60,70,80"</formula1>
    </dataValidation>
  </dataValidations>
  <pageMargins left="0.25" right="0.25" top="0.75" bottom="0.75" header="0.3" footer="0.3"/>
  <pageSetup paperSize="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R153"/>
  <sheetViews>
    <sheetView showGridLines="0" zoomScale="85" zoomScaleNormal="85" workbookViewId="0">
      <pane xSplit="10" ySplit="14" topLeftCell="BF15" activePane="bottomRight" state="frozen"/>
      <selection pane="topRight" activeCell="AF12" sqref="AF12:AF13"/>
      <selection pane="bottomLeft" activeCell="AF12" sqref="AF12:AF13"/>
      <selection pane="bottomRight" sqref="A1:K1048576"/>
    </sheetView>
  </sheetViews>
  <sheetFormatPr defaultColWidth="9" defaultRowHeight="14.25" outlineLevelCol="1" x14ac:dyDescent="0.15"/>
  <cols>
    <col min="1" max="3" width="6.25" style="9" customWidth="1"/>
    <col min="4" max="4" width="6.25" style="81" customWidth="1"/>
    <col min="5" max="5" width="24.375" style="81" customWidth="1"/>
    <col min="6" max="6" width="18.75" style="9" customWidth="1"/>
    <col min="7" max="7" width="24.375" style="81" bestFit="1" customWidth="1"/>
    <col min="8" max="8" width="9" style="9"/>
    <col min="9" max="9" width="6.25" style="9" customWidth="1"/>
    <col min="10" max="10" width="3" style="9" customWidth="1"/>
    <col min="11" max="11" width="6.25" style="9" customWidth="1"/>
    <col min="12" max="12" width="3" style="2" customWidth="1"/>
    <col min="13" max="13" width="6.25" style="2" customWidth="1"/>
    <col min="14" max="14" width="3" style="2" customWidth="1"/>
    <col min="15" max="15" width="17.375" style="2" bestFit="1" customWidth="1"/>
    <col min="16" max="16" width="8.625" style="2" customWidth="1"/>
    <col min="17" max="17" width="3" style="2" customWidth="1"/>
    <col min="18" max="18" width="17.375" style="2" bestFit="1" customWidth="1"/>
    <col min="19" max="19" width="3" style="2" customWidth="1"/>
    <col min="20" max="20" width="17.75" style="2" customWidth="1"/>
    <col min="21" max="21" width="3" style="2" customWidth="1"/>
    <col min="22" max="22" width="15" style="2" customWidth="1" outlineLevel="1"/>
    <col min="23" max="23" width="17.375" style="2" bestFit="1" customWidth="1"/>
    <col min="24" max="24" width="3" style="2" customWidth="1"/>
    <col min="25" max="25" width="15" style="2" customWidth="1" outlineLevel="1"/>
    <col min="26" max="26" width="15" style="2" customWidth="1"/>
    <col min="27" max="27" width="3" style="2" customWidth="1"/>
    <col min="28" max="28" width="15" style="2" customWidth="1" outlineLevel="1"/>
    <col min="29" max="29" width="15" style="2" customWidth="1"/>
    <col min="30" max="30" width="3" style="2" customWidth="1"/>
    <col min="31" max="31" width="15" style="2" customWidth="1" outlineLevel="1"/>
    <col min="32" max="32" width="15" style="2" customWidth="1"/>
    <col min="33" max="33" width="3" style="2" customWidth="1"/>
    <col min="34" max="34" width="14.875" style="2" customWidth="1" outlineLevel="1"/>
    <col min="35" max="35" width="15" style="2" customWidth="1"/>
    <col min="36" max="36" width="3" style="2" customWidth="1"/>
    <col min="37" max="37" width="15" style="2" customWidth="1" outlineLevel="1"/>
    <col min="38" max="38" width="15" style="2" customWidth="1"/>
    <col min="39" max="39" width="3" style="2" customWidth="1"/>
    <col min="40" max="40" width="15" style="2" customWidth="1" outlineLevel="1"/>
    <col min="41" max="41" width="15" style="2" customWidth="1"/>
    <col min="42" max="42" width="3" style="2" customWidth="1"/>
    <col min="43" max="43" width="15" style="2" customWidth="1" outlineLevel="1"/>
    <col min="44" max="44" width="15" style="2" customWidth="1"/>
    <col min="45" max="45" width="3" style="2" customWidth="1"/>
    <col min="46" max="46" width="10.75" style="2" bestFit="1" customWidth="1"/>
    <col min="47" max="47" width="3" style="2" customWidth="1"/>
    <col min="48" max="48" width="15" style="2" customWidth="1" outlineLevel="1"/>
    <col min="49" max="49" width="17.375" style="2" bestFit="1" customWidth="1"/>
    <col min="50" max="50" width="3" style="2" customWidth="1"/>
    <col min="51" max="51" width="9.625" style="2" bestFit="1" customWidth="1"/>
    <col min="52" max="52" width="3" style="2" customWidth="1"/>
    <col min="53" max="53" width="15" style="2" customWidth="1" outlineLevel="1"/>
    <col min="54" max="54" width="17.375" style="2" bestFit="1" customWidth="1"/>
    <col min="55" max="55" width="3" style="2" customWidth="1"/>
    <col min="56" max="56" width="19.25" style="2" customWidth="1" outlineLevel="1"/>
    <col min="57" max="57" width="19.25" style="2" bestFit="1" customWidth="1"/>
    <col min="58" max="58" width="3" style="2" customWidth="1"/>
    <col min="59" max="59" width="19.25" style="2" customWidth="1" outlineLevel="1"/>
    <col min="60" max="60" width="19.25" style="2"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2" customWidth="1" outlineLevel="1"/>
    <col min="70" max="70" width="17.375" style="2" bestFit="1" customWidth="1"/>
    <col min="71" max="16384" width="9" style="2"/>
  </cols>
  <sheetData>
    <row r="1" spans="1:70" ht="18.75" x14ac:dyDescent="0.15">
      <c r="A1" s="465" t="s">
        <v>60</v>
      </c>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Q1" s="71"/>
      <c r="BR1" s="71"/>
    </row>
    <row r="3" spans="1:70" ht="23.25" x14ac:dyDescent="0.15">
      <c r="B3" s="462" t="s">
        <v>517</v>
      </c>
      <c r="F3" s="724" t="s">
        <v>535</v>
      </c>
      <c r="G3" s="725"/>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Q3" s="71"/>
      <c r="BR3" s="71"/>
    </row>
    <row r="4" spans="1:70" x14ac:dyDescent="0.15">
      <c r="F4" s="9" t="str">
        <f>F43</f>
        <v>CIF価格</v>
      </c>
      <c r="G4" s="112"/>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Q4" s="71"/>
      <c r="BR4" s="71"/>
    </row>
    <row r="5" spans="1:70" ht="15.75" thickBot="1" x14ac:dyDescent="0.2">
      <c r="B5" s="460" t="s">
        <v>518</v>
      </c>
      <c r="C5" s="86"/>
      <c r="D5" s="104"/>
      <c r="E5" s="104"/>
      <c r="F5" s="86"/>
      <c r="G5" s="104"/>
      <c r="I5" s="460" t="s">
        <v>531</v>
      </c>
      <c r="J5" s="460"/>
      <c r="K5" s="460"/>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111"/>
      <c r="J6" s="111"/>
      <c r="K6" s="111"/>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9" t="s">
        <v>65</v>
      </c>
      <c r="F7" s="87">
        <v>2020</v>
      </c>
      <c r="I7" s="111"/>
      <c r="J7" s="111"/>
      <c r="K7" s="111"/>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9" t="s">
        <v>519</v>
      </c>
      <c r="F8" s="88">
        <f>まとめ!B3</f>
        <v>107</v>
      </c>
      <c r="G8" s="81" t="s">
        <v>171</v>
      </c>
      <c r="I8" s="111"/>
      <c r="J8" s="111"/>
      <c r="K8" s="111"/>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9" t="s">
        <v>520</v>
      </c>
      <c r="F9" s="88">
        <f>まとめ!B2</f>
        <v>3</v>
      </c>
      <c r="G9" s="81" t="s">
        <v>172</v>
      </c>
      <c r="I9" s="726" t="s">
        <v>532</v>
      </c>
      <c r="J9" s="111"/>
      <c r="K9" s="729" t="s">
        <v>536</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07" t="s">
        <v>118</v>
      </c>
      <c r="AI9" s="707"/>
      <c r="AJ9" s="8"/>
      <c r="AK9" s="707" t="s">
        <v>89</v>
      </c>
      <c r="AL9" s="707"/>
      <c r="AM9" s="8"/>
      <c r="AN9" s="707" t="s">
        <v>90</v>
      </c>
      <c r="AO9" s="707"/>
      <c r="AP9" s="8"/>
      <c r="AQ9" s="707" t="s">
        <v>91</v>
      </c>
      <c r="AR9" s="707"/>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I10" s="727"/>
      <c r="K10" s="727"/>
      <c r="L10" s="71"/>
      <c r="M10" s="708"/>
      <c r="N10" s="71"/>
      <c r="O10" s="717"/>
      <c r="P10" s="717"/>
      <c r="Q10" s="71"/>
      <c r="R10" s="708"/>
      <c r="S10" s="71"/>
      <c r="T10" s="708"/>
      <c r="U10" s="71"/>
      <c r="V10" s="717"/>
      <c r="W10" s="717"/>
      <c r="X10" s="71"/>
      <c r="Y10" s="717"/>
      <c r="Z10" s="717"/>
      <c r="AA10" s="71"/>
      <c r="AB10" s="723"/>
      <c r="AC10" s="723"/>
      <c r="AD10" s="81"/>
      <c r="AE10" s="723"/>
      <c r="AF10" s="723"/>
      <c r="AG10" s="71"/>
      <c r="AH10" s="717"/>
      <c r="AI10" s="717"/>
      <c r="AJ10" s="71"/>
      <c r="AK10" s="717"/>
      <c r="AL10" s="717"/>
      <c r="AM10" s="71"/>
      <c r="AN10" s="717"/>
      <c r="AO10" s="717"/>
      <c r="AP10" s="71"/>
      <c r="AQ10" s="717"/>
      <c r="AR10" s="717"/>
      <c r="AS10" s="71"/>
      <c r="AT10" s="717"/>
      <c r="AU10" s="71"/>
      <c r="AV10" s="717"/>
      <c r="AW10" s="717"/>
      <c r="AX10" s="322"/>
      <c r="AY10" s="708"/>
      <c r="AZ10" s="71"/>
      <c r="BA10" s="708"/>
      <c r="BB10" s="708"/>
      <c r="BC10" s="71"/>
      <c r="BD10" s="717"/>
      <c r="BE10" s="717"/>
      <c r="BF10" s="71"/>
      <c r="BG10" s="717"/>
      <c r="BH10" s="717"/>
      <c r="BJ10" s="708"/>
      <c r="BK10" s="708"/>
      <c r="BL10" s="708"/>
      <c r="BM10" s="322"/>
      <c r="BN10" s="717"/>
      <c r="BO10" s="717"/>
      <c r="BQ10" s="322"/>
      <c r="BR10" s="322"/>
    </row>
    <row r="11" spans="1:70" ht="15.75" customHeight="1" thickBot="1" x14ac:dyDescent="0.2">
      <c r="B11" s="460" t="s">
        <v>95</v>
      </c>
      <c r="C11" s="86"/>
      <c r="D11" s="104"/>
      <c r="E11" s="104"/>
      <c r="F11" s="86"/>
      <c r="G11" s="104"/>
      <c r="L11" s="71"/>
      <c r="M11" s="71"/>
      <c r="N11" s="71"/>
      <c r="O11" s="322" t="s">
        <v>96</v>
      </c>
      <c r="P11" s="322"/>
      <c r="Q11" s="322"/>
      <c r="R11" s="322" t="s">
        <v>96</v>
      </c>
      <c r="S11" s="322"/>
      <c r="T11" s="322"/>
      <c r="U11" s="71"/>
      <c r="V11" s="322"/>
      <c r="W11" s="322"/>
      <c r="X11" s="71"/>
      <c r="Y11" s="322"/>
      <c r="Z11" s="322"/>
      <c r="AA11" s="71"/>
      <c r="AB11" s="322"/>
      <c r="AC11" s="322"/>
      <c r="AD11" s="71"/>
      <c r="AE11" s="322"/>
      <c r="AF11" s="322"/>
      <c r="AG11" s="71"/>
      <c r="AH11" s="322"/>
      <c r="AI11" s="322"/>
      <c r="AJ11" s="71"/>
      <c r="AK11" s="322"/>
      <c r="AL11" s="322"/>
      <c r="AM11" s="71"/>
      <c r="AN11" s="322"/>
      <c r="AO11" s="322"/>
      <c r="AP11" s="71"/>
      <c r="AQ11" s="322"/>
      <c r="AR11" s="322"/>
      <c r="AS11" s="71"/>
      <c r="AT11" s="322"/>
      <c r="AU11" s="71"/>
      <c r="AV11" s="322"/>
      <c r="AW11" s="322"/>
      <c r="AX11" s="322"/>
      <c r="AY11" s="71"/>
      <c r="AZ11" s="71"/>
      <c r="BA11" s="71"/>
      <c r="BB11" s="322"/>
      <c r="BC11" s="71"/>
      <c r="BD11" s="322"/>
      <c r="BE11" s="322"/>
      <c r="BF11" s="71"/>
      <c r="BG11" s="322"/>
      <c r="BH11" s="322"/>
      <c r="BJ11" s="156"/>
      <c r="BM11" s="322"/>
      <c r="BN11" s="322"/>
      <c r="BO11" s="322"/>
      <c r="BQ11" s="322"/>
      <c r="BR11" s="322"/>
    </row>
    <row r="12" spans="1:70" ht="14.25" customHeight="1" x14ac:dyDescent="0.15">
      <c r="L12" s="71"/>
      <c r="M12" s="71"/>
      <c r="N12" s="71"/>
      <c r="O12" s="322"/>
      <c r="P12" s="707" t="s">
        <v>97</v>
      </c>
      <c r="Q12" s="71"/>
      <c r="R12" s="71"/>
      <c r="S12" s="71"/>
      <c r="T12" s="71"/>
      <c r="U12" s="71"/>
      <c r="V12" s="71"/>
      <c r="W12" s="707" t="s">
        <v>98</v>
      </c>
      <c r="X12" s="71"/>
      <c r="Y12" s="71"/>
      <c r="Z12" s="707" t="s">
        <v>98</v>
      </c>
      <c r="AA12" s="71"/>
      <c r="AB12" s="71"/>
      <c r="AC12" s="707" t="s">
        <v>98</v>
      </c>
      <c r="AD12" s="71"/>
      <c r="AE12" s="71"/>
      <c r="AF12" s="707" t="s">
        <v>98</v>
      </c>
      <c r="AG12" s="71"/>
      <c r="AH12" s="71"/>
      <c r="AI12" s="707" t="s">
        <v>98</v>
      </c>
      <c r="AJ12" s="71"/>
      <c r="AK12" s="71"/>
      <c r="AL12" s="707" t="s">
        <v>98</v>
      </c>
      <c r="AM12" s="71"/>
      <c r="AN12" s="71"/>
      <c r="AO12" s="707" t="s">
        <v>98</v>
      </c>
      <c r="AP12" s="71"/>
      <c r="AQ12" s="71"/>
      <c r="AR12" s="707" t="s">
        <v>98</v>
      </c>
      <c r="AS12" s="71"/>
      <c r="AT12" s="71"/>
      <c r="AU12" s="71"/>
      <c r="AV12" s="71"/>
      <c r="AW12" s="707" t="s">
        <v>98</v>
      </c>
      <c r="AX12" s="71"/>
      <c r="AY12" s="71"/>
      <c r="AZ12" s="71"/>
      <c r="BA12" s="71"/>
      <c r="BB12" s="707" t="s">
        <v>98</v>
      </c>
      <c r="BC12" s="71"/>
      <c r="BD12" s="71"/>
      <c r="BE12" s="707" t="s">
        <v>98</v>
      </c>
      <c r="BF12" s="71"/>
      <c r="BG12" s="71"/>
      <c r="BH12" s="707" t="s">
        <v>98</v>
      </c>
      <c r="BJ12" s="709" t="s">
        <v>99</v>
      </c>
      <c r="BK12" s="709" t="s">
        <v>100</v>
      </c>
      <c r="BL12" s="709" t="s">
        <v>101</v>
      </c>
      <c r="BO12" s="709" t="s">
        <v>102</v>
      </c>
      <c r="BQ12" s="71"/>
      <c r="BR12" s="707" t="s">
        <v>103</v>
      </c>
    </row>
    <row r="13" spans="1:70" ht="14.25" customHeight="1" x14ac:dyDescent="0.15">
      <c r="C13" s="9" t="s">
        <v>504</v>
      </c>
      <c r="F13" s="66">
        <v>0.6</v>
      </c>
      <c r="G13" s="81" t="s">
        <v>173</v>
      </c>
      <c r="L13" s="71"/>
      <c r="M13" s="71"/>
      <c r="N13" s="71"/>
      <c r="O13" s="322"/>
      <c r="P13" s="708"/>
      <c r="Q13" s="322"/>
      <c r="R13" s="322"/>
      <c r="S13" s="322"/>
      <c r="T13" s="322"/>
      <c r="U13" s="71"/>
      <c r="V13" s="322"/>
      <c r="W13" s="708"/>
      <c r="X13" s="71"/>
      <c r="Y13" s="322"/>
      <c r="Z13" s="708"/>
      <c r="AA13" s="71"/>
      <c r="AB13" s="322"/>
      <c r="AC13" s="708"/>
      <c r="AD13" s="71"/>
      <c r="AE13" s="322"/>
      <c r="AF13" s="708"/>
      <c r="AG13" s="71"/>
      <c r="AH13" s="322"/>
      <c r="AI13" s="708"/>
      <c r="AJ13" s="71"/>
      <c r="AK13" s="322"/>
      <c r="AL13" s="708"/>
      <c r="AM13" s="71"/>
      <c r="AN13" s="322"/>
      <c r="AO13" s="708"/>
      <c r="AP13" s="71"/>
      <c r="AQ13" s="322"/>
      <c r="AR13" s="708"/>
      <c r="AS13" s="71"/>
      <c r="AT13" s="322"/>
      <c r="AU13" s="71"/>
      <c r="AV13" s="322"/>
      <c r="AW13" s="708"/>
      <c r="AX13" s="71"/>
      <c r="AY13" s="71"/>
      <c r="AZ13" s="71"/>
      <c r="BA13" s="71"/>
      <c r="BB13" s="708"/>
      <c r="BC13" s="71"/>
      <c r="BD13" s="322"/>
      <c r="BE13" s="708"/>
      <c r="BF13" s="71"/>
      <c r="BG13" s="322"/>
      <c r="BH13" s="708"/>
      <c r="BJ13" s="712"/>
      <c r="BK13" s="710"/>
      <c r="BL13" s="708"/>
      <c r="BM13" s="322"/>
      <c r="BO13" s="708"/>
      <c r="BQ13" s="322"/>
      <c r="BR13" s="708"/>
    </row>
    <row r="14" spans="1:70" ht="16.5" x14ac:dyDescent="0.15">
      <c r="C14" s="9" t="s">
        <v>505</v>
      </c>
      <c r="F14" s="88">
        <f>まとめ!C25</f>
        <v>72.3</v>
      </c>
      <c r="G14" s="81" t="s">
        <v>172</v>
      </c>
      <c r="L14" s="71"/>
      <c r="M14" s="71"/>
      <c r="N14" s="71"/>
      <c r="O14" s="322"/>
      <c r="P14" s="322"/>
      <c r="Q14" s="322"/>
      <c r="R14" s="322"/>
      <c r="S14" s="322"/>
      <c r="T14" s="322"/>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50" t="s">
        <v>104</v>
      </c>
      <c r="AU14" s="71"/>
      <c r="AV14" s="71"/>
      <c r="AW14" s="71"/>
      <c r="AX14" s="71"/>
      <c r="AY14" s="71" t="s">
        <v>105</v>
      </c>
      <c r="AZ14" s="71"/>
      <c r="BA14" s="71"/>
      <c r="BB14" s="71"/>
      <c r="BC14" s="71"/>
      <c r="BD14" s="71"/>
      <c r="BE14" s="71"/>
      <c r="BF14" s="71"/>
      <c r="BG14" s="71"/>
      <c r="BH14" s="71"/>
      <c r="BQ14" s="71"/>
      <c r="BR14" s="71"/>
    </row>
    <row r="15" spans="1:70" x14ac:dyDescent="0.15">
      <c r="C15" s="9" t="s">
        <v>506</v>
      </c>
      <c r="F15" s="88">
        <f>VLOOKUP(F3&amp;IF(G4&lt;&gt;"","_"&amp;G4,""),まとめ!$A$12:$G$34,IF(F7=2030,7,IF(F7=2020,6,IF(F7=2014,5,"-"))),0)</f>
        <v>30</v>
      </c>
      <c r="G15" s="81" t="s">
        <v>108</v>
      </c>
      <c r="I15" s="458">
        <f>F7</f>
        <v>2020</v>
      </c>
      <c r="J15" s="470"/>
      <c r="K15" s="470">
        <f>IF(I15&lt;&gt;"",1,"")</f>
        <v>1</v>
      </c>
      <c r="L15" s="39"/>
      <c r="M15" s="40">
        <f t="shared" ref="M15:M78" si="0">1/(1+($F$9/100))^K15</f>
        <v>0.970873786407767</v>
      </c>
      <c r="N15" s="39"/>
      <c r="O15" s="72">
        <f>F117</f>
        <v>840000000</v>
      </c>
      <c r="P15" s="41">
        <f t="shared" ref="P15:P46" si="1">IF(K15&lt;=$F$15,IF(OR(P14=$F$124,P14="-"),"-",IF(O15*$F$123&gt;$F$127,$F$123,$F$124)),"")</f>
        <v>0.16700000000000001</v>
      </c>
      <c r="Q15" s="39"/>
      <c r="R15" s="72">
        <f>F117</f>
        <v>840000000</v>
      </c>
      <c r="S15" s="39"/>
      <c r="T15" s="72">
        <f>IF(ISNUMBER(R15),ROUNDDOWN(R15,-3),"")</f>
        <v>840000000</v>
      </c>
      <c r="U15" s="39"/>
      <c r="V15" s="72">
        <f t="shared" ref="V15:V46" si="2">IF(K15&lt;=$F$15,IF(K15&lt;$F$119,IF(P15="-",V14,O15*P15),IF(K15=$F$119,MIN(IF(P15="-",V14,O15*P15),O15),0)),"")</f>
        <v>140280000</v>
      </c>
      <c r="W15" s="72">
        <f>IF(ISNUMBER(V15),V15*$M15,"")</f>
        <v>136194174.75728154</v>
      </c>
      <c r="X15" s="39"/>
      <c r="Y15" s="72">
        <f t="shared" ref="Y15:Y46" si="3">IF($K15&lt;=$F$15,ROUNDDOWN(T15*$F$25/100,-2),"")</f>
        <v>11760000</v>
      </c>
      <c r="Z15" s="72">
        <f>IF(ISNUMBER(Y15),Y15*$M15,"")</f>
        <v>11417475.728155339</v>
      </c>
      <c r="AA15" s="39"/>
      <c r="AB15" s="72">
        <f t="shared" ref="AB15:AB78" si="4">IF($K15&lt;=$F$15,0,IF(AND($K15&gt;$F$15,$K15&lt;=$F$15+$F$28),$F$27*10^8/$F$28,""))</f>
        <v>0</v>
      </c>
      <c r="AC15" s="72">
        <f>IF(ISNUMBER(AB15),AB15*$M15,"")</f>
        <v>0</v>
      </c>
      <c r="AD15" s="39"/>
      <c r="AE15" s="72">
        <f t="shared" ref="AE15:AE46" si="5">IF($K15&lt;=$F$15,$F$26,"")</f>
        <v>0</v>
      </c>
      <c r="AF15" s="72">
        <f>IF(ISNUMBER(AE15),AE15*$M15,"")</f>
        <v>0</v>
      </c>
      <c r="AG15" s="39"/>
      <c r="AH15" s="72">
        <f t="shared" ref="AH15:AH46" si="6">IF($K15&lt;=$F$15,$F$33*10^8,"")</f>
        <v>0</v>
      </c>
      <c r="AI15" s="72">
        <f>IF(ISNUMBER(AH15),AH15*$M15,"")</f>
        <v>0</v>
      </c>
      <c r="AJ15" s="39"/>
      <c r="AK15" s="72">
        <f>IF($K15&lt;=$F$15,$F$34*10^4*$F$13*10^4,"")</f>
        <v>60000000</v>
      </c>
      <c r="AL15" s="72">
        <f>IF(ISNUMBER(AK15),AK15*$M15,"")</f>
        <v>58252427.184466019</v>
      </c>
      <c r="AM15" s="39"/>
      <c r="AN15" s="72">
        <f t="shared" ref="AN15:AN46" si="7">IF($K15&lt;=$F$15,$F$117*$F$35/100,"")</f>
        <v>0</v>
      </c>
      <c r="AO15" s="72">
        <f>IF(ISNUMBER(AN15),AN15*$M15,"")</f>
        <v>0</v>
      </c>
      <c r="AP15" s="39"/>
      <c r="AQ15" s="72">
        <f t="shared" ref="AQ15:AQ46" si="8">IF($K15&lt;=$F$15,SUM(AH15,AK15,AN15)*($F$36/100),"")</f>
        <v>0</v>
      </c>
      <c r="AR15" s="72">
        <f>IF(ISNUMBER(AQ15),AQ15*$M15,"")</f>
        <v>0</v>
      </c>
      <c r="AS15" s="39"/>
      <c r="AT15" s="40">
        <f>IF($K15&lt;=$F$15,IF($F$40&lt;&gt;"",$F$40/1000,IF(ISERROR(VLOOKUP($F$3&amp;IF($G$4&lt;&gt;"",$G$4,"")&amp;IF($F$43&lt;&gt;"","_"&amp;$F$43,""),'表3）燃料価格'!$AF$9:$AG$25,2,0)),0,VLOOKUP($I15,'表3）燃料価格'!$A$6:$U$66,VLOOKUP($F$3&amp;IF($G$4&lt;&gt;"",$G$4,"")&amp;IF($F$43&lt;&gt;"","_"&amp;$F$43,""),'表3）燃料価格'!$AF$9:$AG$25,2,0)+VLOOKUP($F$41,'表3）燃料価格'!$AF$28:$AG$29,2,0),0)*IF($F$43="需要地価格",1,$F$8/$F$141))),"")</f>
        <v>54.053092418621503</v>
      </c>
      <c r="AU15" s="39"/>
      <c r="AV15" s="72">
        <f t="shared" ref="AV15:AV46" si="9">IF($K15&lt;=$F$15,($AT15+$F$142)*$F$137,"")</f>
        <v>345116485.04038811</v>
      </c>
      <c r="AW15" s="72">
        <f t="shared" ref="AW15:AW78" si="10">IF(ISNUMBER(AV15),AV15*$M15,"")</f>
        <v>335064548.58290106</v>
      </c>
      <c r="AX15" s="39"/>
      <c r="AY15" s="40">
        <f>IF(ISERROR(IF($K15&lt;=$F$15,VLOOKUP($I15,'表4）CO2価格'!$A$7:$E$67,VLOOKUP($F$48,'表4）CO2価格'!$H$10:$I$12,2,0),0)*$F$8/1000,"")),0,IF($K15&lt;=$F$15,VLOOKUP($I15,'表4）CO2価格'!$A$7:$E$67,VLOOKUP($F$48,'表4）CO2価格'!$H$10:$I$12,2,0),0)*$F$8/1000,""))</f>
        <v>1.8297000000000001</v>
      </c>
      <c r="AZ15" s="39"/>
      <c r="BA15" s="42">
        <f t="shared" ref="BA15:BA46" si="11">IF($K15&lt;=$F$15,$F$145*AY15,"")</f>
        <v>30897740.273153938</v>
      </c>
      <c r="BB15" s="72">
        <f>IF(ISNUMBER(BA15),BA15*$M15,"")</f>
        <v>29997806.090440717</v>
      </c>
      <c r="BC15" s="39"/>
      <c r="BD15" s="72">
        <f t="shared" ref="BD15:BD46" si="12">IF($K15&lt;=$F$15,($AT15+$F$152)*$F$151,"")</f>
        <v>138909385.22875622</v>
      </c>
      <c r="BE15" s="72">
        <f>IF(ISNUMBER(BD15),BD15*$M15,"")</f>
        <v>134863480.8046177</v>
      </c>
      <c r="BF15" s="39"/>
      <c r="BG15" s="42">
        <f t="shared" ref="BG15:BG46" si="13">IF($K15&lt;=$F$15,$F$153*AY15,"")</f>
        <v>12436340.459944461</v>
      </c>
      <c r="BH15" s="72">
        <f>IF(ISNUMBER(BG15),BG15*$M15,"")</f>
        <v>12074116.951402389</v>
      </c>
      <c r="BI15" s="39"/>
      <c r="BJ15" s="40" t="str">
        <f>IF(ISNUMBER($F$16),IF($K15&lt;=$F$16+$F$28,1/(1+($F$17/100))^K15,""),"")</f>
        <v/>
      </c>
      <c r="BK15" s="157" t="str">
        <f>IF(ISNUMBER($F$16),IF($K15&lt;=$F$16+$F$28,IF($K15&lt;=$F$16,SUM(Y15,AB15,AE15,AH15,AK15,AN15,AQ15,AV15,BA15,BD15,BG15),$F$27/$F$28*10^8)*BJ15,""),"")</f>
        <v/>
      </c>
      <c r="BL15" s="157" t="str">
        <f t="shared" ref="BL15:BL78" si="14">IF(AND(ISNUMBER(BJ15),$K15&lt;=$F$16),BQ15*BJ15,"")</f>
        <v/>
      </c>
      <c r="BM15" s="72"/>
      <c r="BN15" s="72" t="str">
        <f>IF(AND(ISNUMBER($F$16),$K15&lt;=$F$16),BQ15*($O$15+$BK$116)/$BL$116,"")</f>
        <v/>
      </c>
      <c r="BO15" s="72" t="str">
        <f>IF(ISNUMBER(BN15),BN15*$M15,"")</f>
        <v/>
      </c>
      <c r="BP15" s="39"/>
      <c r="BQ15" s="72">
        <f t="shared" ref="BQ15:BQ46" si="15">IF($K15&lt;=$F$15,$F$134,"")</f>
        <v>37126859.759999998</v>
      </c>
      <c r="BR15" s="72">
        <f>IF(ISNUMBER(BQ15),BQ15*$M15,"")</f>
        <v>36045494.912621357</v>
      </c>
    </row>
    <row r="16" spans="1:70" x14ac:dyDescent="0.15">
      <c r="C16" s="236" t="s">
        <v>107</v>
      </c>
      <c r="F16" s="88" t="str">
        <f>IF(ISERROR(VLOOKUP(F3&amp;IF(G4&lt;&gt;"","_"&amp;G4,""),'表7）買取期間・IRR'!$A$3:$A$10,1,0)),"",VLOOKUP(F3&amp;IF(G4&lt;&gt;"","_"&amp;G4,""),'表7）買取期間・IRR'!$A$3:$C$10,IF(F7=2030,4,IF(F7=2020,3,IF(F7=2014,2,"-"))),0))</f>
        <v/>
      </c>
      <c r="G16" s="81" t="s">
        <v>108</v>
      </c>
      <c r="I16" s="459">
        <f>I15+1</f>
        <v>2021</v>
      </c>
      <c r="K16" s="9">
        <f>IF(I16&lt;&gt;"",K15+1,"")</f>
        <v>2</v>
      </c>
      <c r="L16" s="71"/>
      <c r="M16" s="7">
        <f t="shared" si="0"/>
        <v>0.94259590913375435</v>
      </c>
      <c r="N16" s="71"/>
      <c r="O16" s="10">
        <f t="shared" ref="O16:O79" si="16">IF(K16&lt;=$F$15,O15-V15,"")</f>
        <v>699720000</v>
      </c>
      <c r="P16" s="29">
        <f t="shared" si="1"/>
        <v>0.16700000000000001</v>
      </c>
      <c r="Q16" s="71"/>
      <c r="R16" s="10">
        <f t="shared" ref="R16:R47" si="17">IF($K16&lt;=$F$15,MAX($F$117*5%,R15*$F$129),"")</f>
        <v>720464554.81635106</v>
      </c>
      <c r="S16" s="71"/>
      <c r="T16" s="10">
        <f t="shared" ref="T16:T79" si="18">IF(ISNUMBER(R16),ROUNDDOWN(R16,-3),"")</f>
        <v>720464000</v>
      </c>
      <c r="U16" s="71"/>
      <c r="V16" s="10">
        <f t="shared" si="2"/>
        <v>116853240</v>
      </c>
      <c r="W16" s="10">
        <f t="shared" ref="W16:W79" si="19">IF(ISNUMBER(V16),V16*$M16,"")</f>
        <v>110145385.9930248</v>
      </c>
      <c r="X16" s="71"/>
      <c r="Y16" s="10">
        <f t="shared" si="3"/>
        <v>10086400</v>
      </c>
      <c r="Z16" s="10">
        <f t="shared" ref="Z16:Z79" si="20">IF(ISNUMBER(Y16),Y16*$M16,"")</f>
        <v>9507399.3778866995</v>
      </c>
      <c r="AA16" s="71"/>
      <c r="AB16" s="10">
        <f t="shared" si="4"/>
        <v>0</v>
      </c>
      <c r="AC16" s="10">
        <f t="shared" ref="AC16:AC79" si="21">IF(ISNUMBER(AB16),AB16*$M16,"")</f>
        <v>0</v>
      </c>
      <c r="AD16" s="71"/>
      <c r="AE16" s="10">
        <f t="shared" si="5"/>
        <v>0</v>
      </c>
      <c r="AF16" s="10">
        <f t="shared" ref="AF16:AF79" si="22">IF(ISNUMBER(AE16),AE16*$M16,"")</f>
        <v>0</v>
      </c>
      <c r="AG16" s="71"/>
      <c r="AH16" s="10">
        <f t="shared" si="6"/>
        <v>0</v>
      </c>
      <c r="AI16" s="10">
        <f t="shared" ref="AI16:AI79" si="23">IF(ISNUMBER(AH16),AH16*$M16,"")</f>
        <v>0</v>
      </c>
      <c r="AJ16" s="71"/>
      <c r="AK16" s="10">
        <f t="shared" ref="AK16:AK79" si="24">IF($K16&lt;=$F$15,$F$34*10^4*$F$13*10^4,"")</f>
        <v>60000000</v>
      </c>
      <c r="AL16" s="10">
        <f t="shared" ref="AL16:AL79" si="25">IF(ISNUMBER(AK16),AK16*$M16,"")</f>
        <v>56555754.548025258</v>
      </c>
      <c r="AM16" s="71"/>
      <c r="AN16" s="10">
        <f t="shared" si="7"/>
        <v>0</v>
      </c>
      <c r="AO16" s="10">
        <f t="shared" ref="AO16:AO79" si="26">IF(ISNUMBER(AN16),AN16*$M16,"")</f>
        <v>0</v>
      </c>
      <c r="AP16" s="71"/>
      <c r="AQ16" s="10">
        <f t="shared" si="8"/>
        <v>0</v>
      </c>
      <c r="AR16" s="10">
        <f t="shared" ref="AR16:AR79" si="27">IF(ISNUMBER(AQ16),AQ16*$M16,"")</f>
        <v>0</v>
      </c>
      <c r="AS16" s="71"/>
      <c r="AT16" s="7">
        <f>IF($K16&lt;=$F$15,IF($F$40&lt;&gt;"",$F$40/1000,IF(ISERROR(VLOOKUP($F$3&amp;IF($G$4&lt;&gt;"",$G$4,"")&amp;IF($F$43&lt;&gt;"","_"&amp;$F$43,""),'表3）燃料価格'!$AF$9:$AG$25,2,0)),0,VLOOKUP($I16,'表3）燃料価格'!$A$6:$U$66,VLOOKUP($F$3&amp;IF($G$4&lt;&gt;"",$G$4,"")&amp;IF($F$43&lt;&gt;"","_"&amp;$F$43,""),'表3）燃料価格'!$AF$9:$AG$25,2,0)+VLOOKUP($F$41,'表3）燃料価格'!$AF$28:$AG$29,2,0),0)*IF($F$43="需要地価格",1,$F$8/$F$141))),"")</f>
        <v>53.216254837243</v>
      </c>
      <c r="AU16" s="71"/>
      <c r="AV16" s="10">
        <f t="shared" si="9"/>
        <v>340036612.82326216</v>
      </c>
      <c r="AW16" s="10">
        <f t="shared" si="10"/>
        <v>320517120.20290524</v>
      </c>
      <c r="AX16" s="71"/>
      <c r="AY16" s="7">
        <f>IF(ISERROR(IF($K16&lt;=$F$15,VLOOKUP($I16,'表4）CO2価格'!$A$7:$E$67,VLOOKUP($F$48,'表4）CO2価格'!$H$10:$I$12,2,0),0)*$F$8/1000,"")),0,IF($K16&lt;=$F$15,VLOOKUP($I16,'表4）CO2価格'!$A$7:$E$67,VLOOKUP($F$48,'表4）CO2価格'!$H$10:$I$12,2,0),0)*$F$8/1000,""))</f>
        <v>3.1243999999999805</v>
      </c>
      <c r="AZ16" s="71"/>
      <c r="BA16" s="11">
        <f t="shared" si="11"/>
        <v>52761053.565853179</v>
      </c>
      <c r="BB16" s="10">
        <f t="shared" ref="BB16:BB79" si="28">IF(ISNUMBER(BA16),BA16*$M16,"")</f>
        <v>49732353.25276009</v>
      </c>
      <c r="BC16" s="71"/>
      <c r="BD16" s="10">
        <f t="shared" si="12"/>
        <v>136864736.66136301</v>
      </c>
      <c r="BE16" s="10">
        <f t="shared" ref="BE16:BE79" si="29">IF(ISNUMBER(BD16),BD16*$M16,"")</f>
        <v>129008140.88166934</v>
      </c>
      <c r="BF16" s="71"/>
      <c r="BG16" s="11">
        <f t="shared" si="13"/>
        <v>21236324.060255907</v>
      </c>
      <c r="BH16" s="10">
        <f t="shared" ref="BH16:BH79" si="30">IF(ISNUMBER(BG16),BG16*$M16,"")</f>
        <v>20017272.184235938</v>
      </c>
      <c r="BJ16" s="7" t="str">
        <f t="shared" ref="BJ16:BJ79" si="31">IF(ISNUMBER($F$16),IF($K16&lt;=$F$16+$F$28,1/(1+($F$17/100))^K16,""),"")</f>
        <v/>
      </c>
      <c r="BK16" s="158" t="str">
        <f t="shared" ref="BK16:BK79" si="32">IF(ISNUMBER($F$16),IF($K16&lt;=$F$16+$F$28,IF($K16&lt;=$F$16,SUM(Y16,AB16,AE16,AH16,AK16,AN16,AQ16,AV16,BA16,BD16,BG16),$F$27/$F$28*10^8)*BJ16,""),"")</f>
        <v/>
      </c>
      <c r="BL16" s="158" t="str">
        <f t="shared" si="14"/>
        <v/>
      </c>
      <c r="BM16" s="10"/>
      <c r="BN16" s="10" t="str">
        <f t="shared" ref="BN16:BN79" si="33">IF(AND(ISNUMBER($F$16),$K16&lt;=$F$16),BQ16*($O$15+$BK$116)/$BL$116,"")</f>
        <v/>
      </c>
      <c r="BO16" s="10" t="str">
        <f t="shared" ref="BO16:BO79" si="34">IF(ISNUMBER(BN16),BN16*$M16,"")</f>
        <v/>
      </c>
      <c r="BQ16" s="10">
        <f t="shared" si="15"/>
        <v>37126859.759999998</v>
      </c>
      <c r="BR16" s="10">
        <f t="shared" ref="BR16:BR79" si="35">IF(ISNUMBER(BQ16),BQ16*$M16,"")</f>
        <v>34995626.128758602</v>
      </c>
    </row>
    <row r="17" spans="3:70" x14ac:dyDescent="0.15">
      <c r="C17" s="9" t="s">
        <v>109</v>
      </c>
      <c r="F17" s="143" t="str">
        <f>IF(ISERROR(VLOOKUP(F3&amp;IF(G4&lt;&gt;"","_"&amp;G4,""),'表7）買取期間・IRR'!$A$14:$A$21,1,0)),"",VLOOKUP(F3&amp;IF(G4&lt;&gt;"","_"&amp;G4,""),'表7）買取期間・IRR'!$A$14:$C$21,IF(F7=2030,4,IF(F7=2020,3,IF(F7=2014,2,"-"))),0))</f>
        <v/>
      </c>
      <c r="G17" s="81" t="s">
        <v>172</v>
      </c>
      <c r="I17" s="458">
        <f t="shared" ref="I17:I80" si="36">I16+1</f>
        <v>2022</v>
      </c>
      <c r="J17" s="470"/>
      <c r="K17" s="470">
        <f t="shared" ref="K17:K80" si="37">IF(I17&lt;&gt;"",K16+1,"")</f>
        <v>3</v>
      </c>
      <c r="L17" s="39"/>
      <c r="M17" s="40">
        <f t="shared" si="0"/>
        <v>0.91514165935315961</v>
      </c>
      <c r="N17" s="39"/>
      <c r="O17" s="72">
        <f t="shared" si="16"/>
        <v>582866760</v>
      </c>
      <c r="P17" s="41">
        <f t="shared" si="1"/>
        <v>0.16700000000000001</v>
      </c>
      <c r="Q17" s="39"/>
      <c r="R17" s="72">
        <f t="shared" si="17"/>
        <v>617939493.74609876</v>
      </c>
      <c r="S17" s="39"/>
      <c r="T17" s="72">
        <f t="shared" si="18"/>
        <v>617939000</v>
      </c>
      <c r="U17" s="39"/>
      <c r="V17" s="72">
        <f t="shared" si="2"/>
        <v>97338748.920000002</v>
      </c>
      <c r="W17" s="72">
        <f t="shared" si="19"/>
        <v>89078744.206009373</v>
      </c>
      <c r="X17" s="39"/>
      <c r="Y17" s="72">
        <f t="shared" si="3"/>
        <v>8651100</v>
      </c>
      <c r="Z17" s="72">
        <f t="shared" si="20"/>
        <v>7916982.0092301192</v>
      </c>
      <c r="AA17" s="39"/>
      <c r="AB17" s="72">
        <f t="shared" si="4"/>
        <v>0</v>
      </c>
      <c r="AC17" s="72">
        <f t="shared" si="21"/>
        <v>0</v>
      </c>
      <c r="AD17" s="39"/>
      <c r="AE17" s="72">
        <f t="shared" si="5"/>
        <v>0</v>
      </c>
      <c r="AF17" s="72">
        <f t="shared" si="22"/>
        <v>0</v>
      </c>
      <c r="AG17" s="39"/>
      <c r="AH17" s="72">
        <f t="shared" si="6"/>
        <v>0</v>
      </c>
      <c r="AI17" s="72">
        <f t="shared" si="23"/>
        <v>0</v>
      </c>
      <c r="AJ17" s="39"/>
      <c r="AK17" s="72">
        <f t="shared" si="24"/>
        <v>60000000</v>
      </c>
      <c r="AL17" s="72">
        <f t="shared" si="25"/>
        <v>54908499.561189577</v>
      </c>
      <c r="AM17" s="39"/>
      <c r="AN17" s="72">
        <f t="shared" si="7"/>
        <v>0</v>
      </c>
      <c r="AO17" s="72">
        <f t="shared" si="26"/>
        <v>0</v>
      </c>
      <c r="AP17" s="39"/>
      <c r="AQ17" s="72">
        <f t="shared" si="8"/>
        <v>0</v>
      </c>
      <c r="AR17" s="72">
        <f t="shared" si="27"/>
        <v>0</v>
      </c>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52.379417255864496</v>
      </c>
      <c r="AU17" s="39"/>
      <c r="AV17" s="72">
        <f t="shared" si="9"/>
        <v>334956740.6061362</v>
      </c>
      <c r="AW17" s="72">
        <f t="shared" si="10"/>
        <v>306532867.40982533</v>
      </c>
      <c r="AX17" s="39"/>
      <c r="AY17" s="40">
        <f>IF(ISERROR(IF($K17&lt;=$F$15,VLOOKUP($I17,'表4）CO2価格'!$A$7:$E$67,VLOOKUP($F$48,'表4）CO2価格'!$H$10:$I$12,2,0),0)*$F$8/1000,"")),0,IF($K17&lt;=$F$15,VLOOKUP($I17,'表4）CO2価格'!$A$7:$E$67,VLOOKUP($F$48,'表4）CO2価格'!$H$10:$I$12,2,0),0)*$F$8/1000,""))</f>
        <v>3.2528000000000099</v>
      </c>
      <c r="AZ17" s="39"/>
      <c r="BA17" s="42">
        <f t="shared" si="11"/>
        <v>54929316.041162722</v>
      </c>
      <c r="BB17" s="72">
        <f t="shared" si="28"/>
        <v>50268105.429043785</v>
      </c>
      <c r="BC17" s="39"/>
      <c r="BD17" s="72">
        <f t="shared" si="12"/>
        <v>134820088.09396982</v>
      </c>
      <c r="BE17" s="72">
        <f t="shared" si="29"/>
        <v>123379479.13245469</v>
      </c>
      <c r="BF17" s="39"/>
      <c r="BG17" s="42">
        <f t="shared" si="13"/>
        <v>22109049.706567999</v>
      </c>
      <c r="BH17" s="72">
        <f t="shared" si="30"/>
        <v>20232912.435190126</v>
      </c>
      <c r="BI17" s="39"/>
      <c r="BJ17" s="40" t="str">
        <f t="shared" si="31"/>
        <v/>
      </c>
      <c r="BK17" s="157" t="str">
        <f t="shared" si="32"/>
        <v/>
      </c>
      <c r="BL17" s="157" t="str">
        <f t="shared" si="14"/>
        <v/>
      </c>
      <c r="BM17" s="72"/>
      <c r="BN17" s="72" t="str">
        <f t="shared" si="33"/>
        <v/>
      </c>
      <c r="BO17" s="72" t="str">
        <f t="shared" si="34"/>
        <v/>
      </c>
      <c r="BP17" s="39"/>
      <c r="BQ17" s="72">
        <f t="shared" si="15"/>
        <v>37126859.759999998</v>
      </c>
      <c r="BR17" s="72">
        <f t="shared" si="35"/>
        <v>33976336.047338448</v>
      </c>
    </row>
    <row r="18" spans="3:70" x14ac:dyDescent="0.15">
      <c r="I18" s="459">
        <f t="shared" si="36"/>
        <v>2023</v>
      </c>
      <c r="K18" s="9">
        <f t="shared" si="37"/>
        <v>4</v>
      </c>
      <c r="L18" s="71"/>
      <c r="M18" s="7">
        <f t="shared" si="0"/>
        <v>0.888487047915689</v>
      </c>
      <c r="N18" s="71"/>
      <c r="O18" s="10">
        <f t="shared" si="16"/>
        <v>485528011.07999998</v>
      </c>
      <c r="P18" s="29">
        <f t="shared" si="1"/>
        <v>0.16700000000000001</v>
      </c>
      <c r="Q18" s="71"/>
      <c r="R18" s="10">
        <f t="shared" si="17"/>
        <v>530004169.36336237</v>
      </c>
      <c r="S18" s="71"/>
      <c r="T18" s="10">
        <f t="shared" si="18"/>
        <v>530004000</v>
      </c>
      <c r="U18" s="71"/>
      <c r="V18" s="10">
        <f t="shared" si="2"/>
        <v>81083177.850360006</v>
      </c>
      <c r="W18" s="10">
        <f t="shared" si="19"/>
        <v>72041353.323889136</v>
      </c>
      <c r="X18" s="71"/>
      <c r="Y18" s="10">
        <f t="shared" si="3"/>
        <v>7420000</v>
      </c>
      <c r="Z18" s="10">
        <f t="shared" si="20"/>
        <v>6592573.895534412</v>
      </c>
      <c r="AA18" s="71"/>
      <c r="AB18" s="10">
        <f t="shared" si="4"/>
        <v>0</v>
      </c>
      <c r="AC18" s="10">
        <f t="shared" si="21"/>
        <v>0</v>
      </c>
      <c r="AD18" s="71"/>
      <c r="AE18" s="10">
        <f t="shared" si="5"/>
        <v>0</v>
      </c>
      <c r="AF18" s="10">
        <f t="shared" si="22"/>
        <v>0</v>
      </c>
      <c r="AG18" s="71"/>
      <c r="AH18" s="10">
        <f t="shared" si="6"/>
        <v>0</v>
      </c>
      <c r="AI18" s="10">
        <f t="shared" si="23"/>
        <v>0</v>
      </c>
      <c r="AJ18" s="71"/>
      <c r="AK18" s="10">
        <f t="shared" si="24"/>
        <v>60000000</v>
      </c>
      <c r="AL18" s="10">
        <f t="shared" si="25"/>
        <v>53309222.874941342</v>
      </c>
      <c r="AM18" s="71"/>
      <c r="AN18" s="10">
        <f t="shared" si="7"/>
        <v>0</v>
      </c>
      <c r="AO18" s="10">
        <f t="shared" si="26"/>
        <v>0</v>
      </c>
      <c r="AP18" s="71"/>
      <c r="AQ18" s="10">
        <f t="shared" si="8"/>
        <v>0</v>
      </c>
      <c r="AR18" s="10">
        <f t="shared" si="27"/>
        <v>0</v>
      </c>
      <c r="AS18" s="71"/>
      <c r="AT18" s="7">
        <f>IF($K18&lt;=$F$15,IF($F$40&lt;&gt;"",$F$40/1000,IF(ISERROR(VLOOKUP($F$3&amp;IF($G$4&lt;&gt;"",$G$4,"")&amp;IF($F$43&lt;&gt;"","_"&amp;$F$43,""),'表3）燃料価格'!$AF$9:$AG$25,2,0)),0,VLOOKUP($I18,'表3）燃料価格'!$A$6:$U$66,VLOOKUP($F$3&amp;IF($G$4&lt;&gt;"",$G$4,"")&amp;IF($F$43&lt;&gt;"","_"&amp;$F$43,""),'表3）燃料価格'!$AF$9:$AG$25,2,0)+VLOOKUP($F$41,'表3）燃料価格'!$AF$28:$AG$29,2,0),0)*IF($F$43="需要地価格",1,$F$8/$F$141))),"")</f>
        <v>51.542579674485992</v>
      </c>
      <c r="AU18" s="71"/>
      <c r="AV18" s="10">
        <f t="shared" si="9"/>
        <v>329876868.38901025</v>
      </c>
      <c r="AW18" s="10">
        <f t="shared" si="10"/>
        <v>293091324.97062397</v>
      </c>
      <c r="AX18" s="71"/>
      <c r="AY18" s="7">
        <f>IF(ISERROR(IF($K18&lt;=$F$15,VLOOKUP($I18,'表4）CO2価格'!$A$7:$E$67,VLOOKUP($F$48,'表4）CO2価格'!$H$10:$I$12,2,0),0)*$F$8/1000,"")),0,IF($K18&lt;=$F$15,VLOOKUP($I18,'表4）CO2価格'!$A$7:$E$67,VLOOKUP($F$48,'表4）CO2価格'!$H$10:$I$12,2,0),0)*$F$8/1000,""))</f>
        <v>3.3811999999999904</v>
      </c>
      <c r="AZ18" s="71"/>
      <c r="BA18" s="11">
        <f t="shared" si="11"/>
        <v>57097578.516471438</v>
      </c>
      <c r="BB18" s="10">
        <f t="shared" si="28"/>
        <v>50730458.979233973</v>
      </c>
      <c r="BC18" s="71"/>
      <c r="BD18" s="10">
        <f t="shared" si="12"/>
        <v>132775439.52657664</v>
      </c>
      <c r="BE18" s="10">
        <f t="shared" si="29"/>
        <v>117969258.30067617</v>
      </c>
      <c r="BF18" s="71"/>
      <c r="BG18" s="11">
        <f t="shared" si="13"/>
        <v>22981775.352879759</v>
      </c>
      <c r="BH18" s="10">
        <f t="shared" si="30"/>
        <v>20419009.73914168</v>
      </c>
      <c r="BJ18" s="7" t="str">
        <f t="shared" si="31"/>
        <v/>
      </c>
      <c r="BK18" s="158" t="str">
        <f t="shared" si="32"/>
        <v/>
      </c>
      <c r="BL18" s="158" t="str">
        <f t="shared" si="14"/>
        <v/>
      </c>
      <c r="BM18" s="10"/>
      <c r="BN18" s="10" t="str">
        <f t="shared" si="33"/>
        <v/>
      </c>
      <c r="BO18" s="10" t="str">
        <f t="shared" si="34"/>
        <v/>
      </c>
      <c r="BQ18" s="10">
        <f t="shared" si="15"/>
        <v>37126859.759999998</v>
      </c>
      <c r="BR18" s="10">
        <f t="shared" si="35"/>
        <v>32986734.026542183</v>
      </c>
    </row>
    <row r="19" spans="3:70" x14ac:dyDescent="0.15">
      <c r="C19" s="89" t="s">
        <v>371</v>
      </c>
      <c r="D19" s="101"/>
      <c r="E19" s="101"/>
      <c r="F19" s="89"/>
      <c r="G19" s="101"/>
      <c r="I19" s="458">
        <f t="shared" si="36"/>
        <v>2024</v>
      </c>
      <c r="J19" s="470"/>
      <c r="K19" s="470">
        <f t="shared" si="37"/>
        <v>5</v>
      </c>
      <c r="L19" s="39"/>
      <c r="M19" s="40">
        <f t="shared" si="0"/>
        <v>0.86260878438416411</v>
      </c>
      <c r="N19" s="39"/>
      <c r="O19" s="72">
        <f t="shared" si="16"/>
        <v>404444833.22964001</v>
      </c>
      <c r="P19" s="41">
        <f t="shared" si="1"/>
        <v>0.16700000000000001</v>
      </c>
      <c r="Q19" s="39"/>
      <c r="R19" s="72">
        <f t="shared" si="17"/>
        <v>454582402.29902953</v>
      </c>
      <c r="S19" s="39"/>
      <c r="T19" s="72">
        <f t="shared" si="18"/>
        <v>454582000</v>
      </c>
      <c r="U19" s="39"/>
      <c r="V19" s="72">
        <f t="shared" si="2"/>
        <v>67542287.149349883</v>
      </c>
      <c r="W19" s="72">
        <f t="shared" si="19"/>
        <v>58262570.212426849</v>
      </c>
      <c r="X19" s="39"/>
      <c r="Y19" s="72">
        <f t="shared" si="3"/>
        <v>6364100</v>
      </c>
      <c r="Z19" s="72">
        <f t="shared" si="20"/>
        <v>5489728.5646992587</v>
      </c>
      <c r="AA19" s="39"/>
      <c r="AB19" s="72">
        <f t="shared" si="4"/>
        <v>0</v>
      </c>
      <c r="AC19" s="72">
        <f t="shared" si="21"/>
        <v>0</v>
      </c>
      <c r="AD19" s="39"/>
      <c r="AE19" s="72">
        <f t="shared" si="5"/>
        <v>0</v>
      </c>
      <c r="AF19" s="72">
        <f t="shared" si="22"/>
        <v>0</v>
      </c>
      <c r="AG19" s="39"/>
      <c r="AH19" s="72">
        <f t="shared" si="6"/>
        <v>0</v>
      </c>
      <c r="AI19" s="72">
        <f t="shared" si="23"/>
        <v>0</v>
      </c>
      <c r="AJ19" s="39"/>
      <c r="AK19" s="72">
        <f t="shared" si="24"/>
        <v>60000000</v>
      </c>
      <c r="AL19" s="72">
        <f t="shared" si="25"/>
        <v>51756527.063049845</v>
      </c>
      <c r="AM19" s="39"/>
      <c r="AN19" s="72">
        <f t="shared" si="7"/>
        <v>0</v>
      </c>
      <c r="AO19" s="72">
        <f t="shared" si="26"/>
        <v>0</v>
      </c>
      <c r="AP19" s="39"/>
      <c r="AQ19" s="72">
        <f t="shared" si="8"/>
        <v>0</v>
      </c>
      <c r="AR19" s="72">
        <f t="shared" si="27"/>
        <v>0</v>
      </c>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50.705742093107496</v>
      </c>
      <c r="AU19" s="39"/>
      <c r="AV19" s="72">
        <f t="shared" si="9"/>
        <v>324796996.17188436</v>
      </c>
      <c r="AW19" s="72">
        <f t="shared" si="10"/>
        <v>280172742.03945714</v>
      </c>
      <c r="AX19" s="39"/>
      <c r="AY19" s="40">
        <f>IF(ISERROR(IF($K19&lt;=$F$15,VLOOKUP($I19,'表4）CO2価格'!$A$7:$E$67,VLOOKUP($F$48,'表4）CO2価格'!$H$10:$I$12,2,0),0)*$F$8/1000,"")),0,IF($K19&lt;=$F$15,VLOOKUP($I19,'表4）CO2価格'!$A$7:$E$67,VLOOKUP($F$48,'表4）CO2価格'!$H$10:$I$12,2,0),0)*$F$8/1000,""))</f>
        <v>3.509599999999971</v>
      </c>
      <c r="AZ19" s="39"/>
      <c r="BA19" s="42">
        <f t="shared" si="11"/>
        <v>59265840.991780162</v>
      </c>
      <c r="BB19" s="72">
        <f t="shared" si="28"/>
        <v>51123235.053424649</v>
      </c>
      <c r="BC19" s="39"/>
      <c r="BD19" s="72">
        <f t="shared" si="12"/>
        <v>130730790.95918345</v>
      </c>
      <c r="BE19" s="72">
        <f t="shared" si="29"/>
        <v>112769528.67088151</v>
      </c>
      <c r="BF19" s="39"/>
      <c r="BG19" s="42">
        <f t="shared" si="13"/>
        <v>23854500.999191515</v>
      </c>
      <c r="BH19" s="72">
        <f t="shared" si="30"/>
        <v>20577102.109003421</v>
      </c>
      <c r="BI19" s="39"/>
      <c r="BJ19" s="40" t="str">
        <f t="shared" si="31"/>
        <v/>
      </c>
      <c r="BK19" s="157" t="str">
        <f t="shared" si="32"/>
        <v/>
      </c>
      <c r="BL19" s="157" t="str">
        <f t="shared" si="14"/>
        <v/>
      </c>
      <c r="BM19" s="72"/>
      <c r="BN19" s="72" t="str">
        <f t="shared" si="33"/>
        <v/>
      </c>
      <c r="BO19" s="72" t="str">
        <f t="shared" si="34"/>
        <v/>
      </c>
      <c r="BP19" s="39"/>
      <c r="BQ19" s="72">
        <f t="shared" si="15"/>
        <v>37126859.759999998</v>
      </c>
      <c r="BR19" s="72">
        <f t="shared" si="35"/>
        <v>32025955.365574937</v>
      </c>
    </row>
    <row r="20" spans="3:70" x14ac:dyDescent="0.15">
      <c r="I20" s="459">
        <f t="shared" si="36"/>
        <v>2025</v>
      </c>
      <c r="K20" s="9">
        <f t="shared" si="37"/>
        <v>6</v>
      </c>
      <c r="L20" s="71"/>
      <c r="M20" s="7">
        <f t="shared" si="0"/>
        <v>0.83748425668365445</v>
      </c>
      <c r="N20" s="71"/>
      <c r="O20" s="10">
        <f t="shared" si="16"/>
        <v>336902546.08029014</v>
      </c>
      <c r="P20" s="29">
        <f t="shared" si="1"/>
        <v>0.16700000000000001</v>
      </c>
      <c r="Q20" s="71"/>
      <c r="R20" s="10">
        <f t="shared" si="17"/>
        <v>389893462.02347344</v>
      </c>
      <c r="S20" s="71"/>
      <c r="T20" s="10">
        <f t="shared" si="18"/>
        <v>389893000</v>
      </c>
      <c r="U20" s="71"/>
      <c r="V20" s="10">
        <f t="shared" si="2"/>
        <v>56262725.195408456</v>
      </c>
      <c r="W20" s="10">
        <f t="shared" si="19"/>
        <v>47119146.589273371</v>
      </c>
      <c r="X20" s="71"/>
      <c r="Y20" s="10">
        <f t="shared" si="3"/>
        <v>5458500</v>
      </c>
      <c r="Z20" s="10">
        <f t="shared" si="20"/>
        <v>4571407.8151077274</v>
      </c>
      <c r="AA20" s="71"/>
      <c r="AB20" s="10">
        <f t="shared" si="4"/>
        <v>0</v>
      </c>
      <c r="AC20" s="10">
        <f t="shared" si="21"/>
        <v>0</v>
      </c>
      <c r="AD20" s="71"/>
      <c r="AE20" s="10">
        <f t="shared" si="5"/>
        <v>0</v>
      </c>
      <c r="AF20" s="10">
        <f t="shared" si="22"/>
        <v>0</v>
      </c>
      <c r="AG20" s="71"/>
      <c r="AH20" s="10">
        <f t="shared" si="6"/>
        <v>0</v>
      </c>
      <c r="AI20" s="10">
        <f t="shared" si="23"/>
        <v>0</v>
      </c>
      <c r="AJ20" s="71"/>
      <c r="AK20" s="10">
        <f t="shared" si="24"/>
        <v>60000000</v>
      </c>
      <c r="AL20" s="10">
        <f t="shared" si="25"/>
        <v>50249055.401019268</v>
      </c>
      <c r="AM20" s="71"/>
      <c r="AN20" s="10">
        <f t="shared" si="7"/>
        <v>0</v>
      </c>
      <c r="AO20" s="10">
        <f t="shared" si="26"/>
        <v>0</v>
      </c>
      <c r="AP20" s="71"/>
      <c r="AQ20" s="10">
        <f t="shared" si="8"/>
        <v>0</v>
      </c>
      <c r="AR20" s="10">
        <f t="shared" si="27"/>
        <v>0</v>
      </c>
      <c r="AS20" s="71"/>
      <c r="AT20" s="7">
        <f>IF($K20&lt;=$F$15,IF($F$40&lt;&gt;"",$F$40/1000,IF(ISERROR(VLOOKUP($F$3&amp;IF($G$4&lt;&gt;"",$G$4,"")&amp;IF($F$43&lt;&gt;"","_"&amp;$F$43,""),'表3）燃料価格'!$AF$9:$AG$25,2,0)),0,VLOOKUP($I20,'表3）燃料価格'!$A$6:$U$66,VLOOKUP($F$3&amp;IF($G$4&lt;&gt;"",$G$4,"")&amp;IF($F$43&lt;&gt;"","_"&amp;$F$43,""),'表3）燃料価格'!$AF$9:$AG$25,2,0)+VLOOKUP($F$41,'表3）燃料価格'!$AF$28:$AG$29,2,0),0)*IF($F$43="需要地価格",1,$F$8/$F$141))),"")</f>
        <v>49.868904511728999</v>
      </c>
      <c r="AU20" s="71"/>
      <c r="AV20" s="10">
        <f t="shared" si="9"/>
        <v>319717123.95475847</v>
      </c>
      <c r="AW20" s="10">
        <f t="shared" si="10"/>
        <v>267758057.90428671</v>
      </c>
      <c r="AX20" s="71"/>
      <c r="AY20" s="7">
        <f>IF(ISERROR(IF($K20&lt;=$F$15,VLOOKUP($I20,'表4）CO2価格'!$A$7:$E$67,VLOOKUP($F$48,'表4）CO2価格'!$H$10:$I$12,2,0),0)*$F$8/1000,"")),0,IF($K20&lt;=$F$15,VLOOKUP($I20,'表4）CO2価格'!$A$7:$E$67,VLOOKUP($F$48,'表4）CO2価格'!$H$10:$I$12,2,0),0)*$F$8/1000,""))</f>
        <v>3.6379999999999999</v>
      </c>
      <c r="AZ20" s="71"/>
      <c r="BA20" s="11">
        <f t="shared" si="11"/>
        <v>61434103.467089698</v>
      </c>
      <c r="BB20" s="10">
        <f t="shared" si="28"/>
        <v>51450094.477162331</v>
      </c>
      <c r="BC20" s="71"/>
      <c r="BD20" s="10">
        <f t="shared" si="12"/>
        <v>128686142.39179029</v>
      </c>
      <c r="BE20" s="10">
        <f t="shared" si="29"/>
        <v>107772618.3064754</v>
      </c>
      <c r="BF20" s="71"/>
      <c r="BG20" s="11">
        <f t="shared" si="13"/>
        <v>24727226.645503607</v>
      </c>
      <c r="BH20" s="10">
        <f t="shared" si="30"/>
        <v>20708663.027057841</v>
      </c>
      <c r="BJ20" s="7" t="str">
        <f t="shared" si="31"/>
        <v/>
      </c>
      <c r="BK20" s="158" t="str">
        <f t="shared" si="32"/>
        <v/>
      </c>
      <c r="BL20" s="158" t="str">
        <f t="shared" si="14"/>
        <v/>
      </c>
      <c r="BM20" s="10"/>
      <c r="BN20" s="10" t="str">
        <f t="shared" si="33"/>
        <v/>
      </c>
      <c r="BO20" s="10" t="str">
        <f t="shared" si="34"/>
        <v/>
      </c>
      <c r="BQ20" s="10">
        <f t="shared" si="15"/>
        <v>37126859.759999998</v>
      </c>
      <c r="BR20" s="10">
        <f t="shared" si="35"/>
        <v>31093160.549101878</v>
      </c>
    </row>
    <row r="21" spans="3:70" x14ac:dyDescent="0.15">
      <c r="D21" s="81" t="s">
        <v>110</v>
      </c>
      <c r="F21" s="67">
        <v>14</v>
      </c>
      <c r="G21" s="81" t="s">
        <v>174</v>
      </c>
      <c r="I21" s="458">
        <f t="shared" si="36"/>
        <v>2026</v>
      </c>
      <c r="J21" s="470"/>
      <c r="K21" s="470">
        <f t="shared" si="37"/>
        <v>7</v>
      </c>
      <c r="L21" s="39"/>
      <c r="M21" s="40">
        <f t="shared" si="0"/>
        <v>0.81309151134335378</v>
      </c>
      <c r="N21" s="39"/>
      <c r="O21" s="72">
        <f t="shared" si="16"/>
        <v>280639820.88488168</v>
      </c>
      <c r="P21" s="41">
        <f t="shared" si="1"/>
        <v>0.16700000000000001</v>
      </c>
      <c r="Q21" s="39"/>
      <c r="R21" s="72">
        <f t="shared" si="17"/>
        <v>334410023.2649377</v>
      </c>
      <c r="S21" s="39"/>
      <c r="T21" s="72">
        <f t="shared" si="18"/>
        <v>334410000</v>
      </c>
      <c r="U21" s="39"/>
      <c r="V21" s="72">
        <f t="shared" si="2"/>
        <v>46866850.087775245</v>
      </c>
      <c r="W21" s="72">
        <f t="shared" si="19"/>
        <v>38107037.969771564</v>
      </c>
      <c r="X21" s="39"/>
      <c r="Y21" s="72">
        <f t="shared" si="3"/>
        <v>4681700</v>
      </c>
      <c r="Z21" s="72">
        <f t="shared" si="20"/>
        <v>3806650.5286561796</v>
      </c>
      <c r="AA21" s="39"/>
      <c r="AB21" s="72">
        <f t="shared" si="4"/>
        <v>0</v>
      </c>
      <c r="AC21" s="72">
        <f t="shared" si="21"/>
        <v>0</v>
      </c>
      <c r="AD21" s="39"/>
      <c r="AE21" s="72">
        <f t="shared" si="5"/>
        <v>0</v>
      </c>
      <c r="AF21" s="72">
        <f t="shared" si="22"/>
        <v>0</v>
      </c>
      <c r="AG21" s="39"/>
      <c r="AH21" s="72">
        <f t="shared" si="6"/>
        <v>0</v>
      </c>
      <c r="AI21" s="72">
        <f t="shared" si="23"/>
        <v>0</v>
      </c>
      <c r="AJ21" s="39"/>
      <c r="AK21" s="72">
        <f t="shared" si="24"/>
        <v>60000000</v>
      </c>
      <c r="AL21" s="72">
        <f t="shared" si="25"/>
        <v>48785490.680601224</v>
      </c>
      <c r="AM21" s="39"/>
      <c r="AN21" s="72">
        <f t="shared" si="7"/>
        <v>0</v>
      </c>
      <c r="AO21" s="72">
        <f t="shared" si="26"/>
        <v>0</v>
      </c>
      <c r="AP21" s="39"/>
      <c r="AQ21" s="72">
        <f t="shared" si="8"/>
        <v>0</v>
      </c>
      <c r="AR21" s="72">
        <f t="shared" si="27"/>
        <v>0</v>
      </c>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49.794518948939796</v>
      </c>
      <c r="AU21" s="39"/>
      <c r="AV21" s="72">
        <f t="shared" si="9"/>
        <v>319265579.75768059</v>
      </c>
      <c r="AW21" s="72">
        <f t="shared" si="10"/>
        <v>259592132.76508456</v>
      </c>
      <c r="AX21" s="39"/>
      <c r="AY21" s="40">
        <f>IF(ISERROR(IF($K21&lt;=$F$15,VLOOKUP($I21,'表4）CO2価格'!$A$7:$E$67,VLOOKUP($F$48,'表4）CO2価格'!$H$10:$I$12,2,0),0)*$F$8/1000,"")),0,IF($K21&lt;=$F$15,VLOOKUP($I21,'表4）CO2価格'!$A$7:$E$67,VLOOKUP($F$48,'表4）CO2価格'!$H$10:$I$12,2,0),0)*$F$8/1000,""))</f>
        <v>3.7663999999999804</v>
      </c>
      <c r="AZ21" s="39"/>
      <c r="BA21" s="42">
        <f t="shared" si="11"/>
        <v>63602365.942398414</v>
      </c>
      <c r="BB21" s="72">
        <f t="shared" si="28"/>
        <v>51714543.849117778</v>
      </c>
      <c r="BC21" s="39"/>
      <c r="BD21" s="72">
        <f t="shared" si="12"/>
        <v>128504395.85246643</v>
      </c>
      <c r="BE21" s="72">
        <f t="shared" si="29"/>
        <v>104485833.43794654</v>
      </c>
      <c r="BF21" s="39"/>
      <c r="BG21" s="42">
        <f t="shared" si="13"/>
        <v>25599952.291815367</v>
      </c>
      <c r="BH21" s="72">
        <f t="shared" si="30"/>
        <v>20815103.899269909</v>
      </c>
      <c r="BI21" s="39"/>
      <c r="BJ21" s="40" t="str">
        <f t="shared" si="31"/>
        <v/>
      </c>
      <c r="BK21" s="157" t="str">
        <f t="shared" si="32"/>
        <v/>
      </c>
      <c r="BL21" s="157" t="str">
        <f t="shared" si="14"/>
        <v/>
      </c>
      <c r="BM21" s="72"/>
      <c r="BN21" s="72" t="str">
        <f t="shared" si="33"/>
        <v/>
      </c>
      <c r="BO21" s="72" t="str">
        <f t="shared" si="34"/>
        <v/>
      </c>
      <c r="BP21" s="39"/>
      <c r="BQ21" s="72">
        <f t="shared" si="15"/>
        <v>37126859.759999998</v>
      </c>
      <c r="BR21" s="72">
        <f t="shared" si="35"/>
        <v>30187534.513691142</v>
      </c>
    </row>
    <row r="22" spans="3:70" ht="16.5" x14ac:dyDescent="0.15">
      <c r="D22" s="81" t="s">
        <v>111</v>
      </c>
      <c r="F22" s="148">
        <f>IF($F$43="需要地価格",45,54.7)</f>
        <v>54.7</v>
      </c>
      <c r="G22" s="9" t="s">
        <v>372</v>
      </c>
      <c r="I22" s="459">
        <f t="shared" si="36"/>
        <v>2027</v>
      </c>
      <c r="K22" s="9">
        <f t="shared" si="37"/>
        <v>8</v>
      </c>
      <c r="L22" s="71"/>
      <c r="M22" s="7">
        <f t="shared" si="0"/>
        <v>0.78940923431393573</v>
      </c>
      <c r="N22" s="71"/>
      <c r="O22" s="10">
        <f t="shared" si="16"/>
        <v>233772970.79710644</v>
      </c>
      <c r="P22" s="29">
        <f t="shared" si="1"/>
        <v>0.16700000000000001</v>
      </c>
      <c r="Q22" s="71"/>
      <c r="R22" s="10">
        <f t="shared" si="17"/>
        <v>286822105.40202254</v>
      </c>
      <c r="S22" s="71"/>
      <c r="T22" s="10">
        <f t="shared" si="18"/>
        <v>286822000</v>
      </c>
      <c r="U22" s="71"/>
      <c r="V22" s="10">
        <f t="shared" si="2"/>
        <v>39040086.123116776</v>
      </c>
      <c r="W22" s="10">
        <f t="shared" si="19"/>
        <v>30818604.493999723</v>
      </c>
      <c r="X22" s="71"/>
      <c r="Y22" s="10">
        <f t="shared" si="3"/>
        <v>4015500</v>
      </c>
      <c r="Z22" s="10">
        <f t="shared" si="20"/>
        <v>3169872.7803876088</v>
      </c>
      <c r="AA22" s="71"/>
      <c r="AB22" s="10">
        <f t="shared" si="4"/>
        <v>0</v>
      </c>
      <c r="AC22" s="10">
        <f t="shared" si="21"/>
        <v>0</v>
      </c>
      <c r="AD22" s="71"/>
      <c r="AE22" s="10">
        <f t="shared" si="5"/>
        <v>0</v>
      </c>
      <c r="AF22" s="10">
        <f t="shared" si="22"/>
        <v>0</v>
      </c>
      <c r="AG22" s="71"/>
      <c r="AH22" s="10">
        <f t="shared" si="6"/>
        <v>0</v>
      </c>
      <c r="AI22" s="10">
        <f t="shared" si="23"/>
        <v>0</v>
      </c>
      <c r="AJ22" s="71"/>
      <c r="AK22" s="10">
        <f t="shared" si="24"/>
        <v>60000000</v>
      </c>
      <c r="AL22" s="10">
        <f t="shared" si="25"/>
        <v>47364554.058836147</v>
      </c>
      <c r="AM22" s="71"/>
      <c r="AN22" s="10">
        <f t="shared" si="7"/>
        <v>0</v>
      </c>
      <c r="AO22" s="10">
        <f t="shared" si="26"/>
        <v>0</v>
      </c>
      <c r="AP22" s="71"/>
      <c r="AQ22" s="10">
        <f t="shared" si="8"/>
        <v>0</v>
      </c>
      <c r="AR22" s="10">
        <f t="shared" si="27"/>
        <v>0</v>
      </c>
      <c r="AS22" s="71"/>
      <c r="AT22" s="7">
        <f>IF($K22&lt;=$F$15,IF($F$40&lt;&gt;"",$F$40/1000,IF(ISERROR(VLOOKUP($F$3&amp;IF($G$4&lt;&gt;"",$G$4,"")&amp;IF($F$43&lt;&gt;"","_"&amp;$F$43,""),'表3）燃料価格'!$AF$9:$AG$25,2,0)),0,VLOOKUP($I22,'表3）燃料価格'!$A$6:$U$66,VLOOKUP($F$3&amp;IF($G$4&lt;&gt;"",$G$4,"")&amp;IF($F$43&lt;&gt;"","_"&amp;$F$43,""),'表3）燃料価格'!$AF$9:$AG$25,2,0)+VLOOKUP($F$41,'表3）燃料価格'!$AF$28:$AG$29,2,0),0)*IF($F$43="需要地価格",1,$F$8/$F$141))),"")</f>
        <v>49.720133386150593</v>
      </c>
      <c r="AU22" s="71"/>
      <c r="AV22" s="10">
        <f t="shared" si="9"/>
        <v>318814035.56060272</v>
      </c>
      <c r="AW22" s="10">
        <f t="shared" si="10"/>
        <v>251674743.70043129</v>
      </c>
      <c r="AX22" s="71"/>
      <c r="AY22" s="7">
        <f>IF(ISERROR(IF($K22&lt;=$F$15,VLOOKUP($I22,'表4）CO2価格'!$A$7:$E$67,VLOOKUP($F$48,'表4）CO2価格'!$H$10:$I$12,2,0),0)*$F$8/1000,"")),0,IF($K22&lt;=$F$15,VLOOKUP($I22,'表4）CO2価格'!$A$7:$E$67,VLOOKUP($F$48,'表4）CO2価格'!$H$10:$I$12,2,0),0)*$F$8/1000,""))</f>
        <v>3.8948000000000098</v>
      </c>
      <c r="AZ22" s="71"/>
      <c r="BA22" s="11">
        <f t="shared" si="11"/>
        <v>65770628.417707957</v>
      </c>
      <c r="BB22" s="10">
        <f t="shared" si="28"/>
        <v>51919941.419569224</v>
      </c>
      <c r="BC22" s="71"/>
      <c r="BD22" s="10">
        <f t="shared" si="12"/>
        <v>128322649.3131426</v>
      </c>
      <c r="BE22" s="10">
        <f t="shared" si="29"/>
        <v>101299084.33942358</v>
      </c>
      <c r="BF22" s="71"/>
      <c r="BG22" s="11">
        <f t="shared" si="13"/>
        <v>26472677.938127458</v>
      </c>
      <c r="BH22" s="10">
        <f t="shared" si="30"/>
        <v>20897776.421376616</v>
      </c>
      <c r="BJ22" s="7" t="str">
        <f t="shared" si="31"/>
        <v/>
      </c>
      <c r="BK22" s="158" t="str">
        <f t="shared" si="32"/>
        <v/>
      </c>
      <c r="BL22" s="158" t="str">
        <f t="shared" si="14"/>
        <v/>
      </c>
      <c r="BM22" s="10"/>
      <c r="BN22" s="10" t="str">
        <f t="shared" si="33"/>
        <v/>
      </c>
      <c r="BO22" s="10" t="str">
        <f t="shared" si="34"/>
        <v/>
      </c>
      <c r="BQ22" s="10">
        <f t="shared" si="15"/>
        <v>37126859.759999998</v>
      </c>
      <c r="BR22" s="10">
        <f t="shared" si="35"/>
        <v>29308285.935622469</v>
      </c>
    </row>
    <row r="23" spans="3:70" x14ac:dyDescent="0.15">
      <c r="D23" s="81" t="s">
        <v>112</v>
      </c>
      <c r="F23" s="147">
        <v>41.2</v>
      </c>
      <c r="G23" s="81" t="s">
        <v>172</v>
      </c>
      <c r="I23" s="458">
        <f t="shared" si="36"/>
        <v>2028</v>
      </c>
      <c r="J23" s="470"/>
      <c r="K23" s="470">
        <f t="shared" si="37"/>
        <v>9</v>
      </c>
      <c r="L23" s="39"/>
      <c r="M23" s="40">
        <f t="shared" si="0"/>
        <v>0.76641673234362695</v>
      </c>
      <c r="N23" s="39"/>
      <c r="O23" s="72">
        <f t="shared" si="16"/>
        <v>194732884.67398965</v>
      </c>
      <c r="P23" s="41">
        <f t="shared" si="1"/>
        <v>0.16700000000000001</v>
      </c>
      <c r="Q23" s="39"/>
      <c r="R23" s="72">
        <f t="shared" si="17"/>
        <v>246006143.42851987</v>
      </c>
      <c r="S23" s="39"/>
      <c r="T23" s="72">
        <f t="shared" si="18"/>
        <v>246006000</v>
      </c>
      <c r="U23" s="39"/>
      <c r="V23" s="72">
        <f t="shared" si="2"/>
        <v>32520391.740556274</v>
      </c>
      <c r="W23" s="72">
        <f t="shared" si="19"/>
        <v>24924172.372331813</v>
      </c>
      <c r="X23" s="39"/>
      <c r="Y23" s="72">
        <f t="shared" si="3"/>
        <v>3444000</v>
      </c>
      <c r="Z23" s="72">
        <f t="shared" si="20"/>
        <v>2639539.2261914513</v>
      </c>
      <c r="AA23" s="39"/>
      <c r="AB23" s="72">
        <f t="shared" si="4"/>
        <v>0</v>
      </c>
      <c r="AC23" s="72">
        <f t="shared" si="21"/>
        <v>0</v>
      </c>
      <c r="AD23" s="39"/>
      <c r="AE23" s="72">
        <f t="shared" si="5"/>
        <v>0</v>
      </c>
      <c r="AF23" s="72">
        <f t="shared" si="22"/>
        <v>0</v>
      </c>
      <c r="AG23" s="39"/>
      <c r="AH23" s="72">
        <f t="shared" si="6"/>
        <v>0</v>
      </c>
      <c r="AI23" s="72">
        <f t="shared" si="23"/>
        <v>0</v>
      </c>
      <c r="AJ23" s="39"/>
      <c r="AK23" s="72">
        <f t="shared" si="24"/>
        <v>60000000</v>
      </c>
      <c r="AL23" s="72">
        <f t="shared" si="25"/>
        <v>45985003.940617613</v>
      </c>
      <c r="AM23" s="39"/>
      <c r="AN23" s="72">
        <f t="shared" si="7"/>
        <v>0</v>
      </c>
      <c r="AO23" s="72">
        <f t="shared" si="26"/>
        <v>0</v>
      </c>
      <c r="AP23" s="39"/>
      <c r="AQ23" s="72">
        <f t="shared" si="8"/>
        <v>0</v>
      </c>
      <c r="AR23" s="72">
        <f t="shared" si="27"/>
        <v>0</v>
      </c>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49.645747823361397</v>
      </c>
      <c r="AU23" s="39"/>
      <c r="AV23" s="72">
        <f t="shared" si="9"/>
        <v>318362491.36352485</v>
      </c>
      <c r="AW23" s="72">
        <f t="shared" si="10"/>
        <v>243998340.33160886</v>
      </c>
      <c r="AX23" s="39"/>
      <c r="AY23" s="40">
        <f>IF(ISERROR(IF($K23&lt;=$F$15,VLOOKUP($I23,'表4）CO2価格'!$A$7:$E$67,VLOOKUP($F$48,'表4）CO2価格'!$H$10:$I$12,2,0),0)*$F$8/1000,"")),0,IF($K23&lt;=$F$15,VLOOKUP($I23,'表4）CO2価格'!$A$7:$E$67,VLOOKUP($F$48,'表4）CO2価格'!$H$10:$I$12,2,0),0)*$F$8/1000,""))</f>
        <v>4.0231999999999903</v>
      </c>
      <c r="AZ23" s="39"/>
      <c r="BA23" s="42">
        <f t="shared" si="11"/>
        <v>67938890.893016681</v>
      </c>
      <c r="BB23" s="72">
        <f t="shared" si="28"/>
        <v>52069502.757276043</v>
      </c>
      <c r="BC23" s="39"/>
      <c r="BD23" s="72">
        <f t="shared" si="12"/>
        <v>128140902.77381876</v>
      </c>
      <c r="BE23" s="72">
        <f t="shared" si="29"/>
        <v>98209331.983472571</v>
      </c>
      <c r="BF23" s="39"/>
      <c r="BG23" s="42">
        <f t="shared" si="13"/>
        <v>27345403.584439218</v>
      </c>
      <c r="BH23" s="72">
        <f t="shared" si="30"/>
        <v>20957974.85980361</v>
      </c>
      <c r="BI23" s="39"/>
      <c r="BJ23" s="40" t="str">
        <f t="shared" si="31"/>
        <v/>
      </c>
      <c r="BK23" s="157" t="str">
        <f t="shared" si="32"/>
        <v/>
      </c>
      <c r="BL23" s="157" t="str">
        <f t="shared" si="14"/>
        <v/>
      </c>
      <c r="BM23" s="72"/>
      <c r="BN23" s="72" t="str">
        <f t="shared" si="33"/>
        <v/>
      </c>
      <c r="BO23" s="72" t="str">
        <f t="shared" si="34"/>
        <v/>
      </c>
      <c r="BP23" s="39"/>
      <c r="BQ23" s="72">
        <f t="shared" si="15"/>
        <v>37126859.759999998</v>
      </c>
      <c r="BR23" s="72">
        <f t="shared" si="35"/>
        <v>28454646.539439291</v>
      </c>
    </row>
    <row r="24" spans="3:70" x14ac:dyDescent="0.15">
      <c r="D24" s="81" t="s">
        <v>113</v>
      </c>
      <c r="F24" s="68">
        <v>2.2999999999999998</v>
      </c>
      <c r="G24" s="81" t="s">
        <v>172</v>
      </c>
      <c r="I24" s="459">
        <f t="shared" si="36"/>
        <v>2029</v>
      </c>
      <c r="K24" s="9">
        <f t="shared" si="37"/>
        <v>10</v>
      </c>
      <c r="L24" s="71"/>
      <c r="M24" s="7">
        <f t="shared" si="0"/>
        <v>0.74409391489672516</v>
      </c>
      <c r="N24" s="71"/>
      <c r="O24" s="10">
        <f t="shared" si="16"/>
        <v>162212492.93343338</v>
      </c>
      <c r="P24" s="29">
        <f t="shared" si="1"/>
        <v>0.16700000000000001</v>
      </c>
      <c r="Q24" s="71"/>
      <c r="R24" s="10">
        <f t="shared" si="17"/>
        <v>210998460.24680474</v>
      </c>
      <c r="S24" s="71"/>
      <c r="T24" s="10">
        <f t="shared" si="18"/>
        <v>210998000</v>
      </c>
      <c r="U24" s="71"/>
      <c r="V24" s="10">
        <f t="shared" si="2"/>
        <v>27089486.319883376</v>
      </c>
      <c r="W24" s="10">
        <f t="shared" si="19"/>
        <v>20157121.928303301</v>
      </c>
      <c r="X24" s="71"/>
      <c r="Y24" s="10">
        <f t="shared" si="3"/>
        <v>2953900</v>
      </c>
      <c r="Z24" s="10">
        <f t="shared" si="20"/>
        <v>2197979.0152134364</v>
      </c>
      <c r="AA24" s="71"/>
      <c r="AB24" s="10">
        <f t="shared" si="4"/>
        <v>0</v>
      </c>
      <c r="AC24" s="10">
        <f t="shared" si="21"/>
        <v>0</v>
      </c>
      <c r="AD24" s="71"/>
      <c r="AE24" s="10">
        <f t="shared" si="5"/>
        <v>0</v>
      </c>
      <c r="AF24" s="10">
        <f t="shared" si="22"/>
        <v>0</v>
      </c>
      <c r="AG24" s="71"/>
      <c r="AH24" s="10">
        <f t="shared" si="6"/>
        <v>0</v>
      </c>
      <c r="AI24" s="10">
        <f t="shared" si="23"/>
        <v>0</v>
      </c>
      <c r="AJ24" s="71"/>
      <c r="AK24" s="10">
        <f t="shared" si="24"/>
        <v>60000000</v>
      </c>
      <c r="AL24" s="10">
        <f t="shared" si="25"/>
        <v>44645634.893803507</v>
      </c>
      <c r="AM24" s="71"/>
      <c r="AN24" s="10">
        <f t="shared" si="7"/>
        <v>0</v>
      </c>
      <c r="AO24" s="10">
        <f t="shared" si="26"/>
        <v>0</v>
      </c>
      <c r="AP24" s="71"/>
      <c r="AQ24" s="10">
        <f t="shared" si="8"/>
        <v>0</v>
      </c>
      <c r="AR24" s="10">
        <f t="shared" si="27"/>
        <v>0</v>
      </c>
      <c r="AS24" s="71"/>
      <c r="AT24" s="7">
        <f>IF($K24&lt;=$F$15,IF($F$40&lt;&gt;"",$F$40/1000,IF(ISERROR(VLOOKUP($F$3&amp;IF($G$4&lt;&gt;"",$G$4,"")&amp;IF($F$43&lt;&gt;"","_"&amp;$F$43,""),'表3）燃料価格'!$AF$9:$AG$25,2,0)),0,VLOOKUP($I24,'表3）燃料価格'!$A$6:$U$66,VLOOKUP($F$3&amp;IF($G$4&lt;&gt;"",$G$4,"")&amp;IF($F$43&lt;&gt;"","_"&amp;$F$43,""),'表3）燃料価格'!$AF$9:$AG$25,2,0)+VLOOKUP($F$41,'表3）燃料価格'!$AF$28:$AG$29,2,0),0)*IF($F$43="需要地価格",1,$F$8/$F$141))),"")</f>
        <v>49.571362260572194</v>
      </c>
      <c r="AU24" s="71"/>
      <c r="AV24" s="10">
        <f t="shared" si="9"/>
        <v>317910947.16644698</v>
      </c>
      <c r="AW24" s="10">
        <f t="shared" si="10"/>
        <v>236555601.26560748</v>
      </c>
      <c r="AX24" s="71"/>
      <c r="AY24" s="7">
        <f>IF(ISERROR(IF($K24&lt;=$F$15,VLOOKUP($I24,'表4）CO2価格'!$A$7:$E$67,VLOOKUP($F$48,'表4）CO2価格'!$H$10:$I$12,2,0),0)*$F$8/1000,"")),0,IF($K24&lt;=$F$15,VLOOKUP($I24,'表4）CO2価格'!$A$7:$E$67,VLOOKUP($F$48,'表4）CO2価格'!$H$10:$I$12,2,0),0)*$F$8/1000,""))</f>
        <v>4.1515999999999709</v>
      </c>
      <c r="AZ24" s="71"/>
      <c r="BA24" s="11">
        <f t="shared" si="11"/>
        <v>70107153.368325397</v>
      </c>
      <c r="BB24" s="10">
        <f t="shared" si="28"/>
        <v>52166306.212102376</v>
      </c>
      <c r="BC24" s="71"/>
      <c r="BD24" s="10">
        <f t="shared" si="12"/>
        <v>127959156.23449492</v>
      </c>
      <c r="BE24" s="10">
        <f t="shared" si="29"/>
        <v>95213629.509407029</v>
      </c>
      <c r="BF24" s="71"/>
      <c r="BG24" s="11">
        <f t="shared" si="13"/>
        <v>28218129.230750974</v>
      </c>
      <c r="BH24" s="10">
        <f t="shared" si="30"/>
        <v>20996938.250371207</v>
      </c>
      <c r="BJ24" s="7" t="str">
        <f t="shared" si="31"/>
        <v/>
      </c>
      <c r="BK24" s="158" t="str">
        <f t="shared" si="32"/>
        <v/>
      </c>
      <c r="BL24" s="158" t="str">
        <f t="shared" si="14"/>
        <v/>
      </c>
      <c r="BM24" s="10"/>
      <c r="BN24" s="10" t="str">
        <f t="shared" si="33"/>
        <v/>
      </c>
      <c r="BO24" s="10" t="str">
        <f t="shared" si="34"/>
        <v/>
      </c>
      <c r="BQ24" s="10">
        <f t="shared" si="15"/>
        <v>37126859.759999998</v>
      </c>
      <c r="BR24" s="10">
        <f t="shared" si="35"/>
        <v>27625870.42664009</v>
      </c>
    </row>
    <row r="25" spans="3:70" x14ac:dyDescent="0.15">
      <c r="D25" s="81" t="s">
        <v>114</v>
      </c>
      <c r="F25" s="66">
        <v>1.4</v>
      </c>
      <c r="G25" s="81" t="s">
        <v>172</v>
      </c>
      <c r="I25" s="458">
        <f t="shared" si="36"/>
        <v>2030</v>
      </c>
      <c r="J25" s="470"/>
      <c r="K25" s="470">
        <f t="shared" si="37"/>
        <v>11</v>
      </c>
      <c r="L25" s="39"/>
      <c r="M25" s="40">
        <f t="shared" si="0"/>
        <v>0.72242127659876232</v>
      </c>
      <c r="N25" s="39"/>
      <c r="O25" s="72">
        <f t="shared" si="16"/>
        <v>135123006.61355001</v>
      </c>
      <c r="P25" s="41">
        <f t="shared" si="1"/>
        <v>0.2</v>
      </c>
      <c r="Q25" s="39"/>
      <c r="R25" s="72">
        <f t="shared" si="17"/>
        <v>180972513.96267825</v>
      </c>
      <c r="S25" s="39"/>
      <c r="T25" s="72">
        <f t="shared" si="18"/>
        <v>180972000</v>
      </c>
      <c r="U25" s="39"/>
      <c r="V25" s="72">
        <f t="shared" si="2"/>
        <v>27024601.322710004</v>
      </c>
      <c r="W25" s="72">
        <f t="shared" si="19"/>
        <v>19523146.987124763</v>
      </c>
      <c r="X25" s="39"/>
      <c r="Y25" s="72">
        <f t="shared" si="3"/>
        <v>2533600</v>
      </c>
      <c r="Z25" s="72">
        <f t="shared" si="20"/>
        <v>1830326.5463906243</v>
      </c>
      <c r="AA25" s="39"/>
      <c r="AB25" s="72">
        <f t="shared" si="4"/>
        <v>0</v>
      </c>
      <c r="AC25" s="72">
        <f t="shared" si="21"/>
        <v>0</v>
      </c>
      <c r="AD25" s="39"/>
      <c r="AE25" s="72">
        <f t="shared" si="5"/>
        <v>0</v>
      </c>
      <c r="AF25" s="72">
        <f t="shared" si="22"/>
        <v>0</v>
      </c>
      <c r="AG25" s="39"/>
      <c r="AH25" s="72">
        <f t="shared" si="6"/>
        <v>0</v>
      </c>
      <c r="AI25" s="72">
        <f t="shared" si="23"/>
        <v>0</v>
      </c>
      <c r="AJ25" s="39"/>
      <c r="AK25" s="72">
        <f t="shared" si="24"/>
        <v>60000000</v>
      </c>
      <c r="AL25" s="72">
        <f t="shared" si="25"/>
        <v>43345276.595925741</v>
      </c>
      <c r="AM25" s="39"/>
      <c r="AN25" s="72">
        <f t="shared" si="7"/>
        <v>0</v>
      </c>
      <c r="AO25" s="72">
        <f t="shared" si="26"/>
        <v>0</v>
      </c>
      <c r="AP25" s="39"/>
      <c r="AQ25" s="72">
        <f t="shared" si="8"/>
        <v>0</v>
      </c>
      <c r="AR25" s="72">
        <f t="shared" si="27"/>
        <v>0</v>
      </c>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49.496976697782991</v>
      </c>
      <c r="AU25" s="39"/>
      <c r="AV25" s="72">
        <f t="shared" si="9"/>
        <v>317459402.96936911</v>
      </c>
      <c r="AW25" s="72">
        <f t="shared" si="10"/>
        <v>229339427.16141257</v>
      </c>
      <c r="AX25" s="39"/>
      <c r="AY25" s="40">
        <f>IF(ISERROR(IF($K25&lt;=$F$15,VLOOKUP($I25,'表4）CO2価格'!$A$7:$E$67,VLOOKUP($F$48,'表4）CO2価格'!$H$10:$I$12,2,0),0)*$F$8/1000,"")),0,IF($K25&lt;=$F$15,VLOOKUP($I25,'表4）CO2価格'!$A$7:$E$67,VLOOKUP($F$48,'表4）CO2価格'!$H$10:$I$12,2,0),0)*$F$8/1000,""))</f>
        <v>4.28</v>
      </c>
      <c r="AZ25" s="39"/>
      <c r="BA25" s="42">
        <f t="shared" si="11"/>
        <v>72275415.843634948</v>
      </c>
      <c r="BB25" s="72">
        <f t="shared" si="28"/>
        <v>52213298.180465169</v>
      </c>
      <c r="BC25" s="39"/>
      <c r="BD25" s="72">
        <f t="shared" si="12"/>
        <v>127777409.69517107</v>
      </c>
      <c r="BE25" s="72">
        <f t="shared" si="29"/>
        <v>92309119.432468548</v>
      </c>
      <c r="BF25" s="39"/>
      <c r="BG25" s="42">
        <f t="shared" si="13"/>
        <v>29090854.877063069</v>
      </c>
      <c r="BH25" s="72">
        <f t="shared" si="30"/>
        <v>21015852.517637234</v>
      </c>
      <c r="BI25" s="39"/>
      <c r="BJ25" s="40" t="str">
        <f t="shared" si="31"/>
        <v/>
      </c>
      <c r="BK25" s="157" t="str">
        <f t="shared" si="32"/>
        <v/>
      </c>
      <c r="BL25" s="157" t="str">
        <f t="shared" si="14"/>
        <v/>
      </c>
      <c r="BM25" s="72"/>
      <c r="BN25" s="72" t="str">
        <f t="shared" si="33"/>
        <v/>
      </c>
      <c r="BO25" s="72" t="str">
        <f t="shared" si="34"/>
        <v/>
      </c>
      <c r="BP25" s="39"/>
      <c r="BQ25" s="72">
        <f t="shared" si="15"/>
        <v>37126859.759999998</v>
      </c>
      <c r="BR25" s="72">
        <f t="shared" si="35"/>
        <v>26821233.423922416</v>
      </c>
    </row>
    <row r="26" spans="3:70" x14ac:dyDescent="0.15">
      <c r="D26" s="81" t="s">
        <v>115</v>
      </c>
      <c r="F26" s="59"/>
      <c r="G26" s="81" t="s">
        <v>175</v>
      </c>
      <c r="I26" s="459">
        <f t="shared" si="36"/>
        <v>2031</v>
      </c>
      <c r="K26" s="9">
        <f t="shared" si="37"/>
        <v>12</v>
      </c>
      <c r="L26" s="71"/>
      <c r="M26" s="7">
        <f t="shared" si="0"/>
        <v>0.70137988019297326</v>
      </c>
      <c r="N26" s="71"/>
      <c r="O26" s="10">
        <f t="shared" si="16"/>
        <v>108098405.29084</v>
      </c>
      <c r="P26" s="29" t="str">
        <f t="shared" si="1"/>
        <v>-</v>
      </c>
      <c r="Q26" s="71"/>
      <c r="R26" s="10">
        <f t="shared" si="17"/>
        <v>155219382.98347247</v>
      </c>
      <c r="S26" s="71"/>
      <c r="T26" s="10">
        <f t="shared" si="18"/>
        <v>155219000</v>
      </c>
      <c r="U26" s="71"/>
      <c r="V26" s="10">
        <f t="shared" si="2"/>
        <v>27024601.322710004</v>
      </c>
      <c r="W26" s="10">
        <f t="shared" si="19"/>
        <v>18954511.637985211</v>
      </c>
      <c r="X26" s="71"/>
      <c r="Y26" s="10">
        <f t="shared" si="3"/>
        <v>2173000</v>
      </c>
      <c r="Z26" s="10">
        <f t="shared" si="20"/>
        <v>1524098.4796593308</v>
      </c>
      <c r="AA26" s="71"/>
      <c r="AB26" s="10">
        <f t="shared" si="4"/>
        <v>0</v>
      </c>
      <c r="AC26" s="10">
        <f t="shared" si="21"/>
        <v>0</v>
      </c>
      <c r="AD26" s="71"/>
      <c r="AE26" s="10">
        <f t="shared" si="5"/>
        <v>0</v>
      </c>
      <c r="AF26" s="10">
        <f t="shared" si="22"/>
        <v>0</v>
      </c>
      <c r="AG26" s="71"/>
      <c r="AH26" s="10">
        <f t="shared" si="6"/>
        <v>0</v>
      </c>
      <c r="AI26" s="10">
        <f t="shared" si="23"/>
        <v>0</v>
      </c>
      <c r="AJ26" s="71"/>
      <c r="AK26" s="10">
        <f t="shared" si="24"/>
        <v>60000000</v>
      </c>
      <c r="AL26" s="10">
        <f t="shared" si="25"/>
        <v>42082792.811578393</v>
      </c>
      <c r="AM26" s="71"/>
      <c r="AN26" s="10">
        <f t="shared" si="7"/>
        <v>0</v>
      </c>
      <c r="AO26" s="10">
        <f t="shared" si="26"/>
        <v>0</v>
      </c>
      <c r="AP26" s="71"/>
      <c r="AQ26" s="10">
        <f t="shared" si="8"/>
        <v>0</v>
      </c>
      <c r="AR26" s="10">
        <f t="shared" si="27"/>
        <v>0</v>
      </c>
      <c r="AS26" s="71"/>
      <c r="AT26" s="7">
        <f>IF($K26&lt;=$F$15,IF($F$40&lt;&gt;"",$F$40/1000,IF(ISERROR(VLOOKUP($F$3&amp;IF($G$4&lt;&gt;"",$G$4,"")&amp;IF($F$43&lt;&gt;"","_"&amp;$F$43,""),'表3）燃料価格'!$AF$9:$AG$25,2,0)),0,VLOOKUP($I26,'表3）燃料価格'!$A$6:$U$66,VLOOKUP($F$3&amp;IF($G$4&lt;&gt;"",$G$4,"")&amp;IF($F$43&lt;&gt;"","_"&amp;$F$43,""),'表3）燃料価格'!$AF$9:$AG$25,2,0)+VLOOKUP($F$41,'表3）燃料価格'!$AF$28:$AG$29,2,0),0)*IF($F$43="需要地価格",1,$F$8/$F$141))),"")</f>
        <v>49.422591134993795</v>
      </c>
      <c r="AU26" s="71"/>
      <c r="AV26" s="10">
        <f t="shared" si="9"/>
        <v>317007858.7722913</v>
      </c>
      <c r="AW26" s="10">
        <f t="shared" si="10"/>
        <v>222342934.00594068</v>
      </c>
      <c r="AX26" s="71"/>
      <c r="AY26" s="7">
        <f>IF(ISERROR(IF($K26&lt;=$F$15,VLOOKUP($I26,'表4）CO2価格'!$A$7:$E$67,VLOOKUP($F$48,'表4）CO2価格'!$H$10:$I$12,2,0),0)*$F$8/1000,"")),0,IF($K26&lt;=$F$15,VLOOKUP($I26,'表4）CO2価格'!$A$7:$E$67,VLOOKUP($F$48,'表4）CO2価格'!$H$10:$I$12,2,0),0)*$F$8/1000,""))</f>
        <v>4.4083999999999808</v>
      </c>
      <c r="AZ26" s="71"/>
      <c r="BA26" s="11">
        <f t="shared" si="11"/>
        <v>74443678.318943664</v>
      </c>
      <c r="BB26" s="10">
        <f t="shared" si="28"/>
        <v>52213298.180464946</v>
      </c>
      <c r="BC26" s="71"/>
      <c r="BD26" s="10">
        <f t="shared" si="12"/>
        <v>127595663.15584725</v>
      </c>
      <c r="BE26" s="10">
        <f t="shared" si="29"/>
        <v>89493030.937391117</v>
      </c>
      <c r="BF26" s="71"/>
      <c r="BG26" s="11">
        <f t="shared" si="13"/>
        <v>29963580.523374826</v>
      </c>
      <c r="BH26" s="10">
        <f t="shared" si="30"/>
        <v>21015852.517637141</v>
      </c>
      <c r="BJ26" s="7" t="str">
        <f t="shared" si="31"/>
        <v/>
      </c>
      <c r="BK26" s="158" t="str">
        <f t="shared" si="32"/>
        <v/>
      </c>
      <c r="BL26" s="158" t="str">
        <f t="shared" si="14"/>
        <v/>
      </c>
      <c r="BM26" s="10"/>
      <c r="BN26" s="10" t="str">
        <f t="shared" si="33"/>
        <v/>
      </c>
      <c r="BO26" s="10" t="str">
        <f t="shared" si="34"/>
        <v/>
      </c>
      <c r="BQ26" s="10">
        <f t="shared" si="15"/>
        <v>37126859.759999998</v>
      </c>
      <c r="BR26" s="10">
        <f t="shared" si="35"/>
        <v>26040032.45041012</v>
      </c>
    </row>
    <row r="27" spans="3:70" x14ac:dyDescent="0.15">
      <c r="D27" s="82" t="s">
        <v>86</v>
      </c>
      <c r="F27" s="109">
        <f>F117*5%/10^8</f>
        <v>0.42</v>
      </c>
      <c r="G27" s="81" t="s">
        <v>176</v>
      </c>
      <c r="I27" s="458">
        <f t="shared" si="36"/>
        <v>2032</v>
      </c>
      <c r="J27" s="470"/>
      <c r="K27" s="470">
        <f t="shared" si="37"/>
        <v>13</v>
      </c>
      <c r="L27" s="39"/>
      <c r="M27" s="40">
        <f t="shared" si="0"/>
        <v>0.68095133999317792</v>
      </c>
      <c r="N27" s="39"/>
      <c r="O27" s="72">
        <f t="shared" si="16"/>
        <v>81073803.968129992</v>
      </c>
      <c r="P27" s="41" t="str">
        <f t="shared" si="1"/>
        <v>-</v>
      </c>
      <c r="Q27" s="39"/>
      <c r="R27" s="72">
        <f t="shared" si="17"/>
        <v>133131028.16673356</v>
      </c>
      <c r="S27" s="39"/>
      <c r="T27" s="72">
        <f t="shared" si="18"/>
        <v>133131000</v>
      </c>
      <c r="U27" s="39"/>
      <c r="V27" s="72">
        <f t="shared" si="2"/>
        <v>27024601.322710004</v>
      </c>
      <c r="W27" s="72">
        <f t="shared" si="19"/>
        <v>18402438.483480785</v>
      </c>
      <c r="X27" s="39"/>
      <c r="Y27" s="72">
        <f t="shared" si="3"/>
        <v>1863800</v>
      </c>
      <c r="Z27" s="72">
        <f t="shared" si="20"/>
        <v>1269157.107479285</v>
      </c>
      <c r="AA27" s="39"/>
      <c r="AB27" s="72">
        <f t="shared" si="4"/>
        <v>0</v>
      </c>
      <c r="AC27" s="72">
        <f t="shared" si="21"/>
        <v>0</v>
      </c>
      <c r="AD27" s="39"/>
      <c r="AE27" s="72">
        <f t="shared" si="5"/>
        <v>0</v>
      </c>
      <c r="AF27" s="72">
        <f t="shared" si="22"/>
        <v>0</v>
      </c>
      <c r="AG27" s="39"/>
      <c r="AH27" s="72">
        <f t="shared" si="6"/>
        <v>0</v>
      </c>
      <c r="AI27" s="72">
        <f t="shared" si="23"/>
        <v>0</v>
      </c>
      <c r="AJ27" s="39"/>
      <c r="AK27" s="72">
        <f t="shared" si="24"/>
        <v>60000000</v>
      </c>
      <c r="AL27" s="72">
        <f t="shared" si="25"/>
        <v>40857080.399590679</v>
      </c>
      <c r="AM27" s="39"/>
      <c r="AN27" s="72">
        <f t="shared" si="7"/>
        <v>0</v>
      </c>
      <c r="AO27" s="72">
        <f t="shared" si="26"/>
        <v>0</v>
      </c>
      <c r="AP27" s="39"/>
      <c r="AQ27" s="72">
        <f t="shared" si="8"/>
        <v>0</v>
      </c>
      <c r="AR27" s="72">
        <f t="shared" si="27"/>
        <v>0</v>
      </c>
      <c r="AS27" s="39"/>
      <c r="AT27" s="40">
        <f>IF($K27&lt;=$F$15,IF($F$40&lt;&gt;"",$F$40/1000,IF(ISERROR(VLOOKUP($F$3&amp;IF($G$4&lt;&gt;"",$G$4,"")&amp;IF($F$43&lt;&gt;"","_"&amp;$F$43,""),'表3）燃料価格'!$AF$9:$AG$25,2,0)),0,VLOOKUP($I27,'表3）燃料価格'!$A$6:$U$66,VLOOKUP($F$3&amp;IF($G$4&lt;&gt;"",$G$4,"")&amp;IF($F$43&lt;&gt;"","_"&amp;$F$43,""),'表3）燃料価格'!$AF$9:$AG$25,2,0)+VLOOKUP($F$41,'表3）燃料価格'!$AF$28:$AG$29,2,0),0)*IF($F$43="需要地価格",1,$F$8/$F$141))),"")</f>
        <v>49.348205572204598</v>
      </c>
      <c r="AU27" s="39"/>
      <c r="AV27" s="72">
        <f t="shared" si="9"/>
        <v>316556314.57521343</v>
      </c>
      <c r="AW27" s="72">
        <f t="shared" si="10"/>
        <v>215559446.59329355</v>
      </c>
      <c r="AX27" s="39"/>
      <c r="AY27" s="40">
        <f>IF(ISERROR(IF($K27&lt;=$F$15,VLOOKUP($I27,'表4）CO2価格'!$A$7:$E$67,VLOOKUP($F$48,'表4）CO2価格'!$H$10:$I$12,2,0),0)*$F$8/1000,"")),0,IF($K27&lt;=$F$15,VLOOKUP($I27,'表4）CO2価格'!$A$7:$E$67,VLOOKUP($F$48,'表4）CO2価格'!$H$10:$I$12,2,0),0)*$F$8/1000,""))</f>
        <v>4.5368000000000102</v>
      </c>
      <c r="AZ27" s="39"/>
      <c r="BA27" s="42">
        <f t="shared" si="11"/>
        <v>76611940.7942532</v>
      </c>
      <c r="BB27" s="72">
        <f t="shared" si="28"/>
        <v>52169003.743324727</v>
      </c>
      <c r="BC27" s="39"/>
      <c r="BD27" s="72">
        <f t="shared" si="12"/>
        <v>127413916.61652341</v>
      </c>
      <c r="BE27" s="72">
        <f t="shared" si="29"/>
        <v>86762677.25380066</v>
      </c>
      <c r="BF27" s="39"/>
      <c r="BG27" s="42">
        <f t="shared" si="13"/>
        <v>30836306.169686917</v>
      </c>
      <c r="BH27" s="72">
        <f t="shared" si="30"/>
        <v>20998024.006688207</v>
      </c>
      <c r="BI27" s="39"/>
      <c r="BJ27" s="40" t="str">
        <f t="shared" si="31"/>
        <v/>
      </c>
      <c r="BK27" s="157" t="str">
        <f t="shared" si="32"/>
        <v/>
      </c>
      <c r="BL27" s="157" t="str">
        <f t="shared" si="14"/>
        <v/>
      </c>
      <c r="BM27" s="72"/>
      <c r="BN27" s="72" t="str">
        <f t="shared" si="33"/>
        <v/>
      </c>
      <c r="BO27" s="72" t="str">
        <f t="shared" si="34"/>
        <v/>
      </c>
      <c r="BP27" s="39"/>
      <c r="BQ27" s="72">
        <f t="shared" si="15"/>
        <v>37126859.759999998</v>
      </c>
      <c r="BR27" s="72">
        <f t="shared" si="35"/>
        <v>25281584.903310794</v>
      </c>
    </row>
    <row r="28" spans="3:70" x14ac:dyDescent="0.15">
      <c r="D28" s="81" t="s">
        <v>116</v>
      </c>
      <c r="F28" s="59">
        <v>1</v>
      </c>
      <c r="G28" s="81" t="s">
        <v>108</v>
      </c>
      <c r="I28" s="459">
        <f t="shared" si="36"/>
        <v>2033</v>
      </c>
      <c r="K28" s="9">
        <f t="shared" si="37"/>
        <v>14</v>
      </c>
      <c r="L28" s="71"/>
      <c r="M28" s="7">
        <f t="shared" si="0"/>
        <v>0.66111780581861923</v>
      </c>
      <c r="N28" s="71"/>
      <c r="O28" s="10">
        <f t="shared" si="16"/>
        <v>54049202.645419985</v>
      </c>
      <c r="P28" s="29" t="str">
        <f t="shared" si="1"/>
        <v>-</v>
      </c>
      <c r="Q28" s="71"/>
      <c r="R28" s="10">
        <f t="shared" si="17"/>
        <v>114185936.83379617</v>
      </c>
      <c r="S28" s="71"/>
      <c r="T28" s="10">
        <f t="shared" si="18"/>
        <v>114185000</v>
      </c>
      <c r="U28" s="71"/>
      <c r="V28" s="10">
        <f t="shared" si="2"/>
        <v>27024601.322710004</v>
      </c>
      <c r="W28" s="10">
        <f t="shared" si="19"/>
        <v>17866445.129592992</v>
      </c>
      <c r="X28" s="71"/>
      <c r="Y28" s="10">
        <f t="shared" si="3"/>
        <v>1598500</v>
      </c>
      <c r="Z28" s="10">
        <f t="shared" si="20"/>
        <v>1056796.8126010629</v>
      </c>
      <c r="AA28" s="71"/>
      <c r="AB28" s="10">
        <f t="shared" si="4"/>
        <v>0</v>
      </c>
      <c r="AC28" s="10">
        <f t="shared" si="21"/>
        <v>0</v>
      </c>
      <c r="AD28" s="71"/>
      <c r="AE28" s="10">
        <f t="shared" si="5"/>
        <v>0</v>
      </c>
      <c r="AF28" s="10">
        <f t="shared" si="22"/>
        <v>0</v>
      </c>
      <c r="AG28" s="71"/>
      <c r="AH28" s="10">
        <f t="shared" si="6"/>
        <v>0</v>
      </c>
      <c r="AI28" s="10">
        <f t="shared" si="23"/>
        <v>0</v>
      </c>
      <c r="AJ28" s="71"/>
      <c r="AK28" s="10">
        <f t="shared" si="24"/>
        <v>60000000</v>
      </c>
      <c r="AL28" s="10">
        <f t="shared" si="25"/>
        <v>39667068.349117152</v>
      </c>
      <c r="AM28" s="71"/>
      <c r="AN28" s="10">
        <f t="shared" si="7"/>
        <v>0</v>
      </c>
      <c r="AO28" s="10">
        <f t="shared" si="26"/>
        <v>0</v>
      </c>
      <c r="AP28" s="71"/>
      <c r="AQ28" s="10">
        <f t="shared" si="8"/>
        <v>0</v>
      </c>
      <c r="AR28" s="10">
        <f t="shared" si="27"/>
        <v>0</v>
      </c>
      <c r="AS28" s="71"/>
      <c r="AT28" s="7">
        <f>IF($K28&lt;=$F$15,IF($F$40&lt;&gt;"",$F$40/1000,IF(ISERROR(VLOOKUP($F$3&amp;IF($G$4&lt;&gt;"",$G$4,"")&amp;IF($F$43&lt;&gt;"","_"&amp;$F$43,""),'表3）燃料価格'!$AF$9:$AG$25,2,0)),0,VLOOKUP($I28,'表3）燃料価格'!$A$6:$U$66,VLOOKUP($F$3&amp;IF($G$4&lt;&gt;"",$G$4,"")&amp;IF($F$43&lt;&gt;"","_"&amp;$F$43,""),'表3）燃料価格'!$AF$9:$AG$25,2,0)+VLOOKUP($F$41,'表3）燃料価格'!$AF$28:$AG$29,2,0),0)*IF($F$43="需要地価格",1,$F$8/$F$141))),"")</f>
        <v>49.27382000941541</v>
      </c>
      <c r="AU28" s="71"/>
      <c r="AV28" s="10">
        <f t="shared" si="9"/>
        <v>316104770.37813568</v>
      </c>
      <c r="AW28" s="10">
        <f t="shared" si="10"/>
        <v>208982492.20119151</v>
      </c>
      <c r="AX28" s="71"/>
      <c r="AY28" s="7">
        <f>IF(ISERROR(IF($K28&lt;=$F$15,VLOOKUP($I28,'表4）CO2価格'!$A$7:$E$67,VLOOKUP($F$48,'表4）CO2価格'!$H$10:$I$12,2,0),0)*$F$8/1000,"")),0,IF($K28&lt;=$F$15,VLOOKUP($I28,'表4）CO2価格'!$A$7:$E$67,VLOOKUP($F$48,'表4）CO2価格'!$H$10:$I$12,2,0),0)*$F$8/1000,""))</f>
        <v>4.6651999999999898</v>
      </c>
      <c r="AZ28" s="71"/>
      <c r="BA28" s="11">
        <f t="shared" si="11"/>
        <v>78780203.269561917</v>
      </c>
      <c r="BB28" s="10">
        <f t="shared" si="28"/>
        <v>52082995.127517588</v>
      </c>
      <c r="BC28" s="71"/>
      <c r="BD28" s="10">
        <f t="shared" si="12"/>
        <v>127232170.07719961</v>
      </c>
      <c r="BE28" s="10">
        <f t="shared" si="29"/>
        <v>84115453.110979587</v>
      </c>
      <c r="BF28" s="71"/>
      <c r="BG28" s="11">
        <f t="shared" si="13"/>
        <v>31709031.815998673</v>
      </c>
      <c r="BH28" s="10">
        <f t="shared" si="30"/>
        <v>20963405.538825829</v>
      </c>
      <c r="BJ28" s="7" t="str">
        <f t="shared" si="31"/>
        <v/>
      </c>
      <c r="BK28" s="158" t="str">
        <f t="shared" si="32"/>
        <v/>
      </c>
      <c r="BL28" s="158" t="str">
        <f t="shared" si="14"/>
        <v/>
      </c>
      <c r="BM28" s="10"/>
      <c r="BN28" s="10" t="str">
        <f t="shared" si="33"/>
        <v/>
      </c>
      <c r="BO28" s="10" t="str">
        <f t="shared" si="34"/>
        <v/>
      </c>
      <c r="BQ28" s="10">
        <f t="shared" si="15"/>
        <v>37126859.759999998</v>
      </c>
      <c r="BR28" s="10">
        <f t="shared" si="35"/>
        <v>24545228.061466787</v>
      </c>
    </row>
    <row r="29" spans="3:70" x14ac:dyDescent="0.15">
      <c r="D29" s="81" t="s">
        <v>117</v>
      </c>
      <c r="F29" s="59"/>
      <c r="G29" s="81" t="s">
        <v>176</v>
      </c>
      <c r="I29" s="458">
        <f t="shared" si="36"/>
        <v>2034</v>
      </c>
      <c r="J29" s="470"/>
      <c r="K29" s="470">
        <f t="shared" si="37"/>
        <v>15</v>
      </c>
      <c r="L29" s="39"/>
      <c r="M29" s="40">
        <f t="shared" si="0"/>
        <v>0.64186194739671765</v>
      </c>
      <c r="N29" s="39"/>
      <c r="O29" s="72">
        <f t="shared" si="16"/>
        <v>27024601.322709981</v>
      </c>
      <c r="P29" s="41" t="str">
        <f t="shared" si="1"/>
        <v>-</v>
      </c>
      <c r="Q29" s="39"/>
      <c r="R29" s="72">
        <f t="shared" si="17"/>
        <v>97936809.699105889</v>
      </c>
      <c r="S29" s="39"/>
      <c r="T29" s="72">
        <f t="shared" si="18"/>
        <v>97936000</v>
      </c>
      <c r="U29" s="39"/>
      <c r="V29" s="72">
        <f t="shared" si="2"/>
        <v>27024601.322709981</v>
      </c>
      <c r="W29" s="72">
        <f t="shared" si="19"/>
        <v>17346063.23261454</v>
      </c>
      <c r="X29" s="39"/>
      <c r="Y29" s="72">
        <f t="shared" si="3"/>
        <v>1371100</v>
      </c>
      <c r="Z29" s="72">
        <f t="shared" si="20"/>
        <v>880056.91607563954</v>
      </c>
      <c r="AA29" s="39"/>
      <c r="AB29" s="72">
        <f t="shared" si="4"/>
        <v>0</v>
      </c>
      <c r="AC29" s="72">
        <f t="shared" si="21"/>
        <v>0</v>
      </c>
      <c r="AD29" s="39"/>
      <c r="AE29" s="72">
        <f t="shared" si="5"/>
        <v>0</v>
      </c>
      <c r="AF29" s="72">
        <f t="shared" si="22"/>
        <v>0</v>
      </c>
      <c r="AG29" s="39"/>
      <c r="AH29" s="72">
        <f t="shared" si="6"/>
        <v>0</v>
      </c>
      <c r="AI29" s="72">
        <f t="shared" si="23"/>
        <v>0</v>
      </c>
      <c r="AJ29" s="39"/>
      <c r="AK29" s="72">
        <f t="shared" si="24"/>
        <v>60000000</v>
      </c>
      <c r="AL29" s="72">
        <f t="shared" si="25"/>
        <v>38511716.843803056</v>
      </c>
      <c r="AM29" s="39"/>
      <c r="AN29" s="72">
        <f t="shared" si="7"/>
        <v>0</v>
      </c>
      <c r="AO29" s="72">
        <f t="shared" si="26"/>
        <v>0</v>
      </c>
      <c r="AP29" s="39"/>
      <c r="AQ29" s="72">
        <f t="shared" si="8"/>
        <v>0</v>
      </c>
      <c r="AR29" s="72">
        <f t="shared" si="27"/>
        <v>0</v>
      </c>
      <c r="AS29" s="39"/>
      <c r="AT29" s="40">
        <f>IF($K29&lt;=$F$15,IF($F$40&lt;&gt;"",$F$40/1000,IF(ISERROR(VLOOKUP($F$3&amp;IF($G$4&lt;&gt;"",$G$4,"")&amp;IF($F$43&lt;&gt;"","_"&amp;$F$43,""),'表3）燃料価格'!$AF$9:$AG$25,2,0)),0,VLOOKUP($I29,'表3）燃料価格'!$A$6:$U$66,VLOOKUP($F$3&amp;IF($G$4&lt;&gt;"",$G$4,"")&amp;IF($F$43&lt;&gt;"","_"&amp;$F$43,""),'表3）燃料価格'!$AF$9:$AG$25,2,0)+VLOOKUP($F$41,'表3）燃料価格'!$AF$28:$AG$29,2,0),0)*IF($F$43="需要地価格",1,$F$8/$F$141))),"")</f>
        <v>49.199434446626192</v>
      </c>
      <c r="AU29" s="39"/>
      <c r="AV29" s="72">
        <f t="shared" si="9"/>
        <v>315653226.18105769</v>
      </c>
      <c r="AW29" s="72">
        <f t="shared" si="10"/>
        <v>202605794.45863026</v>
      </c>
      <c r="AX29" s="39"/>
      <c r="AY29" s="40">
        <f>IF(ISERROR(IF($K29&lt;=$F$15,VLOOKUP($I29,'表4）CO2価格'!$A$7:$E$67,VLOOKUP($F$48,'表4）CO2価格'!$H$10:$I$12,2,0),0)*$F$8/1000,"")),0,IF($K29&lt;=$F$15,VLOOKUP($I29,'表4）CO2価格'!$A$7:$E$67,VLOOKUP($F$48,'表4）CO2価格'!$H$10:$I$12,2,0),0)*$F$8/1000,""))</f>
        <v>4.7935999999999712</v>
      </c>
      <c r="AZ29" s="39"/>
      <c r="BA29" s="42">
        <f t="shared" si="11"/>
        <v>80948465.744870648</v>
      </c>
      <c r="BB29" s="72">
        <f t="shared" si="28"/>
        <v>51957739.861779161</v>
      </c>
      <c r="BC29" s="39"/>
      <c r="BD29" s="72">
        <f t="shared" si="12"/>
        <v>127050423.53787573</v>
      </c>
      <c r="BE29" s="72">
        <f t="shared" si="29"/>
        <v>81548832.269598693</v>
      </c>
      <c r="BF29" s="39"/>
      <c r="BG29" s="42">
        <f t="shared" si="13"/>
        <v>32581757.462310437</v>
      </c>
      <c r="BH29" s="72">
        <f t="shared" si="30"/>
        <v>20912990.294366114</v>
      </c>
      <c r="BI29" s="39"/>
      <c r="BJ29" s="40" t="str">
        <f t="shared" si="31"/>
        <v/>
      </c>
      <c r="BK29" s="157" t="str">
        <f t="shared" si="32"/>
        <v/>
      </c>
      <c r="BL29" s="157" t="str">
        <f t="shared" si="14"/>
        <v/>
      </c>
      <c r="BM29" s="72"/>
      <c r="BN29" s="72" t="str">
        <f t="shared" si="33"/>
        <v/>
      </c>
      <c r="BO29" s="72" t="str">
        <f t="shared" si="34"/>
        <v/>
      </c>
      <c r="BP29" s="39"/>
      <c r="BQ29" s="72">
        <f t="shared" si="15"/>
        <v>37126859.759999998</v>
      </c>
      <c r="BR29" s="72">
        <f t="shared" si="35"/>
        <v>23830318.506278433</v>
      </c>
    </row>
    <row r="30" spans="3:70" x14ac:dyDescent="0.15">
      <c r="I30" s="459">
        <f t="shared" si="36"/>
        <v>2035</v>
      </c>
      <c r="K30" s="9">
        <f t="shared" si="37"/>
        <v>16</v>
      </c>
      <c r="L30" s="71"/>
      <c r="M30" s="7">
        <f t="shared" si="0"/>
        <v>0.62316693922011435</v>
      </c>
      <c r="N30" s="71"/>
      <c r="O30" s="10">
        <f t="shared" si="16"/>
        <v>0</v>
      </c>
      <c r="P30" s="29" t="str">
        <f t="shared" si="1"/>
        <v>-</v>
      </c>
      <c r="Q30" s="71"/>
      <c r="R30" s="10">
        <f t="shared" si="17"/>
        <v>84000000.000000015</v>
      </c>
      <c r="S30" s="71"/>
      <c r="T30" s="10">
        <f t="shared" si="18"/>
        <v>84000000</v>
      </c>
      <c r="U30" s="71"/>
      <c r="V30" s="10">
        <f t="shared" si="2"/>
        <v>0</v>
      </c>
      <c r="W30" s="10">
        <f t="shared" si="19"/>
        <v>0</v>
      </c>
      <c r="X30" s="71"/>
      <c r="Y30" s="10">
        <f t="shared" si="3"/>
        <v>1176000</v>
      </c>
      <c r="Z30" s="10">
        <f t="shared" si="20"/>
        <v>732844.32052285445</v>
      </c>
      <c r="AA30" s="71"/>
      <c r="AB30" s="10">
        <f t="shared" si="4"/>
        <v>0</v>
      </c>
      <c r="AC30" s="10">
        <f t="shared" si="21"/>
        <v>0</v>
      </c>
      <c r="AD30" s="71"/>
      <c r="AE30" s="10">
        <f t="shared" si="5"/>
        <v>0</v>
      </c>
      <c r="AF30" s="10">
        <f t="shared" si="22"/>
        <v>0</v>
      </c>
      <c r="AG30" s="71"/>
      <c r="AH30" s="10">
        <f t="shared" si="6"/>
        <v>0</v>
      </c>
      <c r="AI30" s="10">
        <f t="shared" si="23"/>
        <v>0</v>
      </c>
      <c r="AJ30" s="71"/>
      <c r="AK30" s="10">
        <f t="shared" si="24"/>
        <v>60000000</v>
      </c>
      <c r="AL30" s="10">
        <f t="shared" si="25"/>
        <v>37390016.353206858</v>
      </c>
      <c r="AM30" s="71"/>
      <c r="AN30" s="10">
        <f t="shared" si="7"/>
        <v>0</v>
      </c>
      <c r="AO30" s="10">
        <f t="shared" si="26"/>
        <v>0</v>
      </c>
      <c r="AP30" s="71"/>
      <c r="AQ30" s="10">
        <f t="shared" si="8"/>
        <v>0</v>
      </c>
      <c r="AR30" s="10">
        <f t="shared" si="27"/>
        <v>0</v>
      </c>
      <c r="AS30" s="71"/>
      <c r="AT30" s="7">
        <f>IF($K30&lt;=$F$15,IF($F$40&lt;&gt;"",$F$40/1000,IF(ISERROR(VLOOKUP($F$3&amp;IF($G$4&lt;&gt;"",$G$4,"")&amp;IF($F$43&lt;&gt;"","_"&amp;$F$43,""),'表3）燃料価格'!$AF$9:$AG$25,2,0)),0,VLOOKUP($I30,'表3）燃料価格'!$A$6:$U$66,VLOOKUP($F$3&amp;IF($G$4&lt;&gt;"",$G$4,"")&amp;IF($F$43&lt;&gt;"","_"&amp;$F$43,""),'表3）燃料価格'!$AF$9:$AG$25,2,0)+VLOOKUP($F$41,'表3）燃料価格'!$AF$28:$AG$29,2,0),0)*IF($F$43="需要地価格",1,$F$8/$F$141))),"")</f>
        <v>49.125048883837003</v>
      </c>
      <c r="AU30" s="71"/>
      <c r="AV30" s="10">
        <f t="shared" si="9"/>
        <v>315201681.98397988</v>
      </c>
      <c r="AW30" s="10">
        <f t="shared" si="10"/>
        <v>196423267.3989886</v>
      </c>
      <c r="AX30" s="71"/>
      <c r="AY30" s="7">
        <f>IF(ISERROR(IF($K30&lt;=$F$15,VLOOKUP($I30,'表4）CO2価格'!$A$7:$E$67,VLOOKUP($F$48,'表4）CO2価格'!$H$10:$I$12,2,0),0)*$F$8/1000,"")),0,IF($K30&lt;=$F$15,VLOOKUP($I30,'表4）CO2価格'!$A$7:$E$67,VLOOKUP($F$48,'表4）CO2価格'!$H$10:$I$12,2,0),0)*$F$8/1000,""))</f>
        <v>4.9219999999999997</v>
      </c>
      <c r="AZ30" s="71"/>
      <c r="BA30" s="11">
        <f t="shared" si="11"/>
        <v>83116728.220180169</v>
      </c>
      <c r="BB30" s="10">
        <f t="shared" si="28"/>
        <v>51795597.122959778</v>
      </c>
      <c r="BC30" s="71"/>
      <c r="BD30" s="10">
        <f t="shared" si="12"/>
        <v>126868676.99855191</v>
      </c>
      <c r="BE30" s="10">
        <f t="shared" si="29"/>
        <v>79060365.128092915</v>
      </c>
      <c r="BF30" s="71"/>
      <c r="BG30" s="11">
        <f t="shared" si="13"/>
        <v>33454483.108622525</v>
      </c>
      <c r="BH30" s="10">
        <f t="shared" si="30"/>
        <v>20847727.841991317</v>
      </c>
      <c r="BJ30" s="7" t="str">
        <f t="shared" si="31"/>
        <v/>
      </c>
      <c r="BK30" s="158" t="str">
        <f t="shared" si="32"/>
        <v/>
      </c>
      <c r="BL30" s="158" t="str">
        <f t="shared" si="14"/>
        <v/>
      </c>
      <c r="BM30" s="10"/>
      <c r="BN30" s="10" t="str">
        <f t="shared" si="33"/>
        <v/>
      </c>
      <c r="BO30" s="10" t="str">
        <f t="shared" si="34"/>
        <v/>
      </c>
      <c r="BQ30" s="10">
        <f t="shared" si="15"/>
        <v>37126859.759999998</v>
      </c>
      <c r="BR30" s="10">
        <f t="shared" si="35"/>
        <v>23136231.559493627</v>
      </c>
    </row>
    <row r="31" spans="3:70" x14ac:dyDescent="0.15">
      <c r="C31" s="89" t="s">
        <v>507</v>
      </c>
      <c r="D31" s="101"/>
      <c r="E31" s="101"/>
      <c r="F31" s="89"/>
      <c r="G31" s="101"/>
      <c r="I31" s="458">
        <f t="shared" si="36"/>
        <v>2036</v>
      </c>
      <c r="J31" s="470"/>
      <c r="K31" s="470">
        <f t="shared" si="37"/>
        <v>17</v>
      </c>
      <c r="L31" s="39"/>
      <c r="M31" s="40">
        <f t="shared" si="0"/>
        <v>0.60501644584477121</v>
      </c>
      <c r="N31" s="39"/>
      <c r="O31" s="72">
        <f t="shared" si="16"/>
        <v>0</v>
      </c>
      <c r="P31" s="41" t="str">
        <f t="shared" si="1"/>
        <v>-</v>
      </c>
      <c r="Q31" s="39"/>
      <c r="R31" s="72">
        <f t="shared" si="17"/>
        <v>72046455.481635123</v>
      </c>
      <c r="S31" s="39"/>
      <c r="T31" s="72">
        <f t="shared" si="18"/>
        <v>72046000</v>
      </c>
      <c r="U31" s="39"/>
      <c r="V31" s="72">
        <f t="shared" si="2"/>
        <v>0</v>
      </c>
      <c r="W31" s="72">
        <f t="shared" si="19"/>
        <v>0</v>
      </c>
      <c r="X31" s="39"/>
      <c r="Y31" s="72">
        <f t="shared" si="3"/>
        <v>1008600</v>
      </c>
      <c r="Z31" s="72">
        <f t="shared" si="20"/>
        <v>610219.58727903629</v>
      </c>
      <c r="AA31" s="39"/>
      <c r="AB31" s="72">
        <f t="shared" si="4"/>
        <v>0</v>
      </c>
      <c r="AC31" s="72">
        <f t="shared" si="21"/>
        <v>0</v>
      </c>
      <c r="AD31" s="39"/>
      <c r="AE31" s="72">
        <f t="shared" si="5"/>
        <v>0</v>
      </c>
      <c r="AF31" s="72">
        <f t="shared" si="22"/>
        <v>0</v>
      </c>
      <c r="AG31" s="39"/>
      <c r="AH31" s="72">
        <f t="shared" si="6"/>
        <v>0</v>
      </c>
      <c r="AI31" s="72">
        <f t="shared" si="23"/>
        <v>0</v>
      </c>
      <c r="AJ31" s="39"/>
      <c r="AK31" s="72">
        <f t="shared" si="24"/>
        <v>60000000</v>
      </c>
      <c r="AL31" s="72">
        <f t="shared" si="25"/>
        <v>36300986.750686273</v>
      </c>
      <c r="AM31" s="39"/>
      <c r="AN31" s="72">
        <f t="shared" si="7"/>
        <v>0</v>
      </c>
      <c r="AO31" s="72">
        <f t="shared" si="26"/>
        <v>0</v>
      </c>
      <c r="AP31" s="39"/>
      <c r="AQ31" s="72">
        <f t="shared" si="8"/>
        <v>0</v>
      </c>
      <c r="AR31" s="72">
        <f t="shared" si="27"/>
        <v>0</v>
      </c>
      <c r="AS31" s="39"/>
      <c r="AT31" s="40">
        <f>IF($K31&lt;=$F$15,IF($F$40&lt;&gt;"",$F$40/1000,IF(ISERROR(VLOOKUP($F$3&amp;IF($G$4&lt;&gt;"",$G$4,"")&amp;IF($F$43&lt;&gt;"","_"&amp;$F$43,""),'表3）燃料価格'!$AF$9:$AG$25,2,0)),0,VLOOKUP($I31,'表3）燃料価格'!$A$6:$U$66,VLOOKUP($F$3&amp;IF($G$4&lt;&gt;"",$G$4,"")&amp;IF($F$43&lt;&gt;"","_"&amp;$F$43,""),'表3）燃料価格'!$AF$9:$AG$25,2,0)+VLOOKUP($F$41,'表3）燃料価格'!$AF$28:$AG$29,2,0),0)*IF($F$43="需要地価格",1,$F$8/$F$141))),"")</f>
        <v>49.050663321047786</v>
      </c>
      <c r="AU31" s="39"/>
      <c r="AV31" s="72">
        <f t="shared" si="9"/>
        <v>314750137.78690195</v>
      </c>
      <c r="AW31" s="72">
        <f t="shared" si="10"/>
        <v>190429009.69298345</v>
      </c>
      <c r="AX31" s="39"/>
      <c r="AY31" s="40">
        <f>IF(ISERROR(IF($K31&lt;=$F$15,VLOOKUP($I31,'表4）CO2価格'!$A$7:$E$67,VLOOKUP($F$48,'表4）CO2価格'!$H$10:$I$12,2,0),0)*$F$8/1000,"")),0,IF($K31&lt;=$F$15,VLOOKUP($I31,'表4）CO2価格'!$A$7:$E$67,VLOOKUP($F$48,'表4）CO2価格'!$H$10:$I$12,2,0),0)*$F$8/1000,""))</f>
        <v>5.0503999999999802</v>
      </c>
      <c r="AZ31" s="39"/>
      <c r="BA31" s="42">
        <f t="shared" si="11"/>
        <v>85284990.6954889</v>
      </c>
      <c r="BB31" s="72">
        <f t="shared" si="28"/>
        <v>51598821.954489075</v>
      </c>
      <c r="BC31" s="39"/>
      <c r="BD31" s="72">
        <f t="shared" si="12"/>
        <v>126686930.45922802</v>
      </c>
      <c r="BE31" s="72">
        <f t="shared" si="29"/>
        <v>76647676.401425824</v>
      </c>
      <c r="BF31" s="39"/>
      <c r="BG31" s="42">
        <f t="shared" si="13"/>
        <v>34327208.754934281</v>
      </c>
      <c r="BH31" s="72">
        <f t="shared" si="30"/>
        <v>20768525.836681854</v>
      </c>
      <c r="BI31" s="39"/>
      <c r="BJ31" s="40" t="str">
        <f t="shared" si="31"/>
        <v/>
      </c>
      <c r="BK31" s="157" t="str">
        <f t="shared" si="32"/>
        <v/>
      </c>
      <c r="BL31" s="157" t="str">
        <f t="shared" si="14"/>
        <v/>
      </c>
      <c r="BM31" s="72"/>
      <c r="BN31" s="72" t="str">
        <f t="shared" si="33"/>
        <v/>
      </c>
      <c r="BO31" s="72" t="str">
        <f t="shared" si="34"/>
        <v/>
      </c>
      <c r="BP31" s="39"/>
      <c r="BQ31" s="72">
        <f t="shared" si="15"/>
        <v>37126859.759999998</v>
      </c>
      <c r="BR31" s="72">
        <f t="shared" si="35"/>
        <v>22462360.737372454</v>
      </c>
    </row>
    <row r="32" spans="3:70" x14ac:dyDescent="0.15">
      <c r="I32" s="459">
        <f t="shared" si="36"/>
        <v>2037</v>
      </c>
      <c r="K32" s="9">
        <f t="shared" si="37"/>
        <v>18</v>
      </c>
      <c r="L32" s="71"/>
      <c r="M32" s="7">
        <f t="shared" si="0"/>
        <v>0.5873946076162827</v>
      </c>
      <c r="N32" s="71"/>
      <c r="O32" s="10">
        <f t="shared" si="16"/>
        <v>0</v>
      </c>
      <c r="P32" s="29" t="str">
        <f t="shared" si="1"/>
        <v>-</v>
      </c>
      <c r="Q32" s="71"/>
      <c r="R32" s="10">
        <f t="shared" si="17"/>
        <v>61793949.374609888</v>
      </c>
      <c r="S32" s="71"/>
      <c r="T32" s="10">
        <f t="shared" si="18"/>
        <v>61793000</v>
      </c>
      <c r="U32" s="71"/>
      <c r="V32" s="10">
        <f t="shared" si="2"/>
        <v>0</v>
      </c>
      <c r="W32" s="10">
        <f t="shared" si="19"/>
        <v>0</v>
      </c>
      <c r="X32" s="71"/>
      <c r="Y32" s="10">
        <f t="shared" si="3"/>
        <v>865100</v>
      </c>
      <c r="Z32" s="10">
        <f t="shared" si="20"/>
        <v>508155.07504884619</v>
      </c>
      <c r="AA32" s="71"/>
      <c r="AB32" s="10">
        <f t="shared" si="4"/>
        <v>0</v>
      </c>
      <c r="AC32" s="10">
        <f t="shared" si="21"/>
        <v>0</v>
      </c>
      <c r="AD32" s="71"/>
      <c r="AE32" s="10">
        <f t="shared" si="5"/>
        <v>0</v>
      </c>
      <c r="AF32" s="10">
        <f t="shared" si="22"/>
        <v>0</v>
      </c>
      <c r="AG32" s="71"/>
      <c r="AH32" s="10">
        <f t="shared" si="6"/>
        <v>0</v>
      </c>
      <c r="AI32" s="10">
        <f t="shared" si="23"/>
        <v>0</v>
      </c>
      <c r="AJ32" s="71"/>
      <c r="AK32" s="10">
        <f t="shared" si="24"/>
        <v>60000000</v>
      </c>
      <c r="AL32" s="10">
        <f t="shared" si="25"/>
        <v>35243676.456976965</v>
      </c>
      <c r="AM32" s="71"/>
      <c r="AN32" s="10">
        <f t="shared" si="7"/>
        <v>0</v>
      </c>
      <c r="AO32" s="10">
        <f t="shared" si="26"/>
        <v>0</v>
      </c>
      <c r="AP32" s="71"/>
      <c r="AQ32" s="10">
        <f t="shared" si="8"/>
        <v>0</v>
      </c>
      <c r="AR32" s="10">
        <f t="shared" si="27"/>
        <v>0</v>
      </c>
      <c r="AS32" s="71"/>
      <c r="AT32" s="7">
        <f>IF($K32&lt;=$F$15,IF($F$40&lt;&gt;"",$F$40/1000,IF(ISERROR(VLOOKUP($F$3&amp;IF($G$4&lt;&gt;"",$G$4,"")&amp;IF($F$43&lt;&gt;"","_"&amp;$F$43,""),'表3）燃料価格'!$AF$9:$AG$25,2,0)),0,VLOOKUP($I32,'表3）燃料価格'!$A$6:$U$66,VLOOKUP($F$3&amp;IF($G$4&lt;&gt;"",$G$4,"")&amp;IF($F$43&lt;&gt;"","_"&amp;$F$43,""),'表3）燃料価格'!$AF$9:$AG$25,2,0)+VLOOKUP($F$41,'表3）燃料価格'!$AF$28:$AG$29,2,0),0)*IF($F$43="需要地価格",1,$F$8/$F$141))),"")</f>
        <v>48.976277758258597</v>
      </c>
      <c r="AU32" s="71"/>
      <c r="AV32" s="10">
        <f t="shared" si="9"/>
        <v>314298593.58982414</v>
      </c>
      <c r="AW32" s="10">
        <f t="shared" si="10"/>
        <v>184617299.05604425</v>
      </c>
      <c r="AX32" s="71"/>
      <c r="AY32" s="7">
        <f>IF(ISERROR(IF($K32&lt;=$F$15,VLOOKUP($I32,'表4）CO2価格'!$A$7:$E$67,VLOOKUP($F$48,'表4）CO2価格'!$H$10:$I$12,2,0),0)*$F$8/1000,"")),0,IF($K32&lt;=$F$15,VLOOKUP($I32,'表4）CO2価格'!$A$7:$E$67,VLOOKUP($F$48,'表4）CO2価格'!$H$10:$I$12,2,0),0)*$F$8/1000,""))</f>
        <v>5.1788000000000105</v>
      </c>
      <c r="AZ32" s="71"/>
      <c r="BA32" s="11">
        <f t="shared" si="11"/>
        <v>87453253.170798451</v>
      </c>
      <c r="BB32" s="10">
        <f t="shared" si="28"/>
        <v>51369569.331028588</v>
      </c>
      <c r="BC32" s="71"/>
      <c r="BD32" s="10">
        <f t="shared" si="12"/>
        <v>126505183.91990422</v>
      </c>
      <c r="BE32" s="10">
        <f t="shared" si="29"/>
        <v>74308462.870057821</v>
      </c>
      <c r="BF32" s="71"/>
      <c r="BG32" s="11">
        <f t="shared" si="13"/>
        <v>35199934.401246384</v>
      </c>
      <c r="BH32" s="10">
        <f t="shared" si="30"/>
        <v>20676251.655739009</v>
      </c>
      <c r="BJ32" s="7" t="str">
        <f t="shared" si="31"/>
        <v/>
      </c>
      <c r="BK32" s="158" t="str">
        <f t="shared" si="32"/>
        <v/>
      </c>
      <c r="BL32" s="158" t="str">
        <f t="shared" si="14"/>
        <v/>
      </c>
      <c r="BM32" s="10"/>
      <c r="BN32" s="10" t="str">
        <f t="shared" si="33"/>
        <v/>
      </c>
      <c r="BO32" s="10" t="str">
        <f t="shared" si="34"/>
        <v/>
      </c>
      <c r="BQ32" s="10">
        <f t="shared" si="15"/>
        <v>37126859.759999998</v>
      </c>
      <c r="BR32" s="10">
        <f t="shared" si="35"/>
        <v>21808117.220749956</v>
      </c>
    </row>
    <row r="33" spans="3:70" x14ac:dyDescent="0.15">
      <c r="D33" s="81" t="s">
        <v>88</v>
      </c>
      <c r="F33" s="66"/>
      <c r="G33" s="81" t="s">
        <v>119</v>
      </c>
      <c r="I33" s="458">
        <f t="shared" si="36"/>
        <v>2038</v>
      </c>
      <c r="J33" s="470"/>
      <c r="K33" s="470">
        <f t="shared" si="37"/>
        <v>19</v>
      </c>
      <c r="L33" s="39"/>
      <c r="M33" s="40">
        <f t="shared" si="0"/>
        <v>0.57028602681192497</v>
      </c>
      <c r="N33" s="39"/>
      <c r="O33" s="72">
        <f t="shared" si="16"/>
        <v>0</v>
      </c>
      <c r="P33" s="41" t="str">
        <f t="shared" si="1"/>
        <v>-</v>
      </c>
      <c r="Q33" s="39"/>
      <c r="R33" s="72">
        <f t="shared" si="17"/>
        <v>53000416.936336249</v>
      </c>
      <c r="S33" s="39"/>
      <c r="T33" s="72">
        <f t="shared" si="18"/>
        <v>53000000</v>
      </c>
      <c r="U33" s="39"/>
      <c r="V33" s="72">
        <f t="shared" si="2"/>
        <v>0</v>
      </c>
      <c r="W33" s="72">
        <f t="shared" si="19"/>
        <v>0</v>
      </c>
      <c r="X33" s="39"/>
      <c r="Y33" s="72">
        <f t="shared" si="3"/>
        <v>742000</v>
      </c>
      <c r="Z33" s="72">
        <f t="shared" si="20"/>
        <v>423152.23189444834</v>
      </c>
      <c r="AA33" s="39"/>
      <c r="AB33" s="72">
        <f t="shared" si="4"/>
        <v>0</v>
      </c>
      <c r="AC33" s="72">
        <f t="shared" si="21"/>
        <v>0</v>
      </c>
      <c r="AD33" s="39"/>
      <c r="AE33" s="72">
        <f t="shared" si="5"/>
        <v>0</v>
      </c>
      <c r="AF33" s="72">
        <f t="shared" si="22"/>
        <v>0</v>
      </c>
      <c r="AG33" s="39"/>
      <c r="AH33" s="72">
        <f t="shared" si="6"/>
        <v>0</v>
      </c>
      <c r="AI33" s="72">
        <f t="shared" si="23"/>
        <v>0</v>
      </c>
      <c r="AJ33" s="39"/>
      <c r="AK33" s="72">
        <f t="shared" si="24"/>
        <v>60000000</v>
      </c>
      <c r="AL33" s="72">
        <f t="shared" si="25"/>
        <v>34217161.608715497</v>
      </c>
      <c r="AM33" s="39"/>
      <c r="AN33" s="72">
        <f t="shared" si="7"/>
        <v>0</v>
      </c>
      <c r="AO33" s="72">
        <f t="shared" si="26"/>
        <v>0</v>
      </c>
      <c r="AP33" s="39"/>
      <c r="AQ33" s="72">
        <f t="shared" si="8"/>
        <v>0</v>
      </c>
      <c r="AR33" s="72">
        <f t="shared" si="27"/>
        <v>0</v>
      </c>
      <c r="AS33" s="39"/>
      <c r="AT33" s="40">
        <f>IF($K33&lt;=$F$15,IF($F$40&lt;&gt;"",$F$40/1000,IF(ISERROR(VLOOKUP($F$3&amp;IF($G$4&lt;&gt;"",$G$4,"")&amp;IF($F$43&lt;&gt;"","_"&amp;$F$43,""),'表3）燃料価格'!$AF$9:$AG$25,2,0)),0,VLOOKUP($I33,'表3）燃料価格'!$A$6:$U$66,VLOOKUP($F$3&amp;IF($G$4&lt;&gt;"",$G$4,"")&amp;IF($F$43&lt;&gt;"","_"&amp;$F$43,""),'表3）燃料価格'!$AF$9:$AG$25,2,0)+VLOOKUP($F$41,'表3）燃料価格'!$AF$28:$AG$29,2,0),0)*IF($F$43="需要地価格",1,$F$8/$F$141))),"")</f>
        <v>48.901892195469408</v>
      </c>
      <c r="AU33" s="39"/>
      <c r="AV33" s="72">
        <f t="shared" si="9"/>
        <v>313847049.39274633</v>
      </c>
      <c r="AW33" s="72">
        <f t="shared" si="10"/>
        <v>178982586.82483527</v>
      </c>
      <c r="AX33" s="39"/>
      <c r="AY33" s="40">
        <f>IF(ISERROR(IF($K33&lt;=$F$15,VLOOKUP($I33,'表4）CO2価格'!$A$7:$E$67,VLOOKUP($F$48,'表4）CO2価格'!$H$10:$I$12,2,0),0)*$F$8/1000,"")),0,IF($K33&lt;=$F$15,VLOOKUP($I33,'表4）CO2価格'!$A$7:$E$67,VLOOKUP($F$48,'表4）CO2価格'!$H$10:$I$12,2,0),0)*$F$8/1000,""))</f>
        <v>5.3071999999999901</v>
      </c>
      <c r="AZ33" s="39"/>
      <c r="BA33" s="42">
        <f t="shared" si="11"/>
        <v>89621515.646107152</v>
      </c>
      <c r="BB33" s="72">
        <f t="shared" si="28"/>
        <v>51109898.074681215</v>
      </c>
      <c r="BC33" s="39"/>
      <c r="BD33" s="72">
        <f t="shared" si="12"/>
        <v>126323437.38058041</v>
      </c>
      <c r="BE33" s="72">
        <f t="shared" si="29"/>
        <v>72040491.196996212</v>
      </c>
      <c r="BF33" s="39"/>
      <c r="BG33" s="42">
        <f t="shared" si="13"/>
        <v>36072660.047558136</v>
      </c>
      <c r="BH33" s="72">
        <f t="shared" si="30"/>
        <v>20571733.975059193</v>
      </c>
      <c r="BI33" s="39"/>
      <c r="BJ33" s="40" t="str">
        <f t="shared" si="31"/>
        <v/>
      </c>
      <c r="BK33" s="157" t="str">
        <f t="shared" si="32"/>
        <v/>
      </c>
      <c r="BL33" s="157" t="str">
        <f t="shared" si="14"/>
        <v/>
      </c>
      <c r="BM33" s="72"/>
      <c r="BN33" s="72" t="str">
        <f t="shared" si="33"/>
        <v/>
      </c>
      <c r="BO33" s="72" t="str">
        <f t="shared" si="34"/>
        <v/>
      </c>
      <c r="BP33" s="39"/>
      <c r="BQ33" s="72">
        <f t="shared" si="15"/>
        <v>37126859.759999998</v>
      </c>
      <c r="BR33" s="72">
        <f t="shared" si="35"/>
        <v>21172929.340533938</v>
      </c>
    </row>
    <row r="34" spans="3:70" x14ac:dyDescent="0.15">
      <c r="D34" s="81" t="s">
        <v>120</v>
      </c>
      <c r="F34" s="68">
        <v>1</v>
      </c>
      <c r="G34" s="81" t="s">
        <v>227</v>
      </c>
      <c r="I34" s="459">
        <f t="shared" si="36"/>
        <v>2039</v>
      </c>
      <c r="K34" s="9">
        <f t="shared" si="37"/>
        <v>20</v>
      </c>
      <c r="L34" s="71"/>
      <c r="M34" s="7">
        <f t="shared" si="0"/>
        <v>0.55367575418633497</v>
      </c>
      <c r="N34" s="71"/>
      <c r="O34" s="10">
        <f t="shared" si="16"/>
        <v>0</v>
      </c>
      <c r="P34" s="29" t="str">
        <f t="shared" si="1"/>
        <v>-</v>
      </c>
      <c r="Q34" s="71"/>
      <c r="R34" s="10">
        <f t="shared" si="17"/>
        <v>45458240.22990296</v>
      </c>
      <c r="S34" s="71"/>
      <c r="T34" s="10">
        <f t="shared" si="18"/>
        <v>45458000</v>
      </c>
      <c r="U34" s="71"/>
      <c r="V34" s="10">
        <f t="shared" si="2"/>
        <v>0</v>
      </c>
      <c r="W34" s="10">
        <f t="shared" si="19"/>
        <v>0</v>
      </c>
      <c r="X34" s="71"/>
      <c r="Y34" s="10">
        <f t="shared" si="3"/>
        <v>636400</v>
      </c>
      <c r="Z34" s="10">
        <f t="shared" si="20"/>
        <v>352359.24996418355</v>
      </c>
      <c r="AA34" s="71"/>
      <c r="AB34" s="10">
        <f t="shared" si="4"/>
        <v>0</v>
      </c>
      <c r="AC34" s="10">
        <f t="shared" si="21"/>
        <v>0</v>
      </c>
      <c r="AD34" s="71"/>
      <c r="AE34" s="10">
        <f t="shared" si="5"/>
        <v>0</v>
      </c>
      <c r="AF34" s="10">
        <f t="shared" si="22"/>
        <v>0</v>
      </c>
      <c r="AG34" s="71"/>
      <c r="AH34" s="10">
        <f t="shared" si="6"/>
        <v>0</v>
      </c>
      <c r="AI34" s="10">
        <f t="shared" si="23"/>
        <v>0</v>
      </c>
      <c r="AJ34" s="71"/>
      <c r="AK34" s="10">
        <f t="shared" si="24"/>
        <v>60000000</v>
      </c>
      <c r="AL34" s="10">
        <f t="shared" si="25"/>
        <v>33220545.251180097</v>
      </c>
      <c r="AM34" s="71"/>
      <c r="AN34" s="10">
        <f t="shared" si="7"/>
        <v>0</v>
      </c>
      <c r="AO34" s="10">
        <f t="shared" si="26"/>
        <v>0</v>
      </c>
      <c r="AP34" s="71"/>
      <c r="AQ34" s="10">
        <f t="shared" si="8"/>
        <v>0</v>
      </c>
      <c r="AR34" s="10">
        <f t="shared" si="27"/>
        <v>0</v>
      </c>
      <c r="AS34" s="71"/>
      <c r="AT34" s="7">
        <f>IF($K34&lt;=$F$15,IF($F$40&lt;&gt;"",$F$40/1000,IF(ISERROR(VLOOKUP($F$3&amp;IF($G$4&lt;&gt;"",$G$4,"")&amp;IF($F$43&lt;&gt;"","_"&amp;$F$43,""),'表3）燃料価格'!$AF$9:$AG$25,2,0)),0,VLOOKUP($I34,'表3）燃料価格'!$A$6:$U$66,VLOOKUP($F$3&amp;IF($G$4&lt;&gt;"",$G$4,"")&amp;IF($F$43&lt;&gt;"","_"&amp;$F$43,""),'表3）燃料価格'!$AF$9:$AG$25,2,0)+VLOOKUP($F$41,'表3）燃料価格'!$AF$28:$AG$29,2,0),0)*IF($F$43="需要地価格",1,$F$8/$F$141))),"")</f>
        <v>48.827506632680205</v>
      </c>
      <c r="AU34" s="71"/>
      <c r="AV34" s="10">
        <f t="shared" si="9"/>
        <v>313395505.19566846</v>
      </c>
      <c r="AW34" s="10">
        <f t="shared" si="10"/>
        <v>173519492.6978192</v>
      </c>
      <c r="AX34" s="71"/>
      <c r="AY34" s="7">
        <f>IF(ISERROR(IF($K34&lt;=$F$15,VLOOKUP($I34,'表4）CO2価格'!$A$7:$E$67,VLOOKUP($F$48,'表4）CO2価格'!$H$10:$I$12,2,0),0)*$F$8/1000,"")),0,IF($K34&lt;=$F$15,VLOOKUP($I34,'表4）CO2価格'!$A$7:$E$67,VLOOKUP($F$48,'表4）CO2価格'!$H$10:$I$12,2,0),0)*$F$8/1000,""))</f>
        <v>5.4355999999999716</v>
      </c>
      <c r="AZ34" s="71"/>
      <c r="BA34" s="11">
        <f t="shared" si="11"/>
        <v>91789778.121415898</v>
      </c>
      <c r="BB34" s="10">
        <f t="shared" si="28"/>
        <v>50821774.627971299</v>
      </c>
      <c r="BC34" s="71"/>
      <c r="BD34" s="10">
        <f t="shared" si="12"/>
        <v>126141690.84125656</v>
      </c>
      <c r="BE34" s="10">
        <f t="shared" si="29"/>
        <v>69841595.810872227</v>
      </c>
      <c r="BF34" s="71"/>
      <c r="BG34" s="11">
        <f t="shared" si="13"/>
        <v>36945385.693869904</v>
      </c>
      <c r="BH34" s="10">
        <f t="shared" si="30"/>
        <v>20455764.287758451</v>
      </c>
      <c r="BJ34" s="7" t="str">
        <f t="shared" si="31"/>
        <v/>
      </c>
      <c r="BK34" s="158" t="str">
        <f t="shared" si="32"/>
        <v/>
      </c>
      <c r="BL34" s="158" t="str">
        <f t="shared" si="14"/>
        <v/>
      </c>
      <c r="BM34" s="10"/>
      <c r="BN34" s="10" t="str">
        <f t="shared" si="33"/>
        <v/>
      </c>
      <c r="BO34" s="10" t="str">
        <f t="shared" si="34"/>
        <v/>
      </c>
      <c r="BQ34" s="10">
        <f t="shared" si="15"/>
        <v>37126859.759999998</v>
      </c>
      <c r="BR34" s="10">
        <f t="shared" si="35"/>
        <v>20556242.078188289</v>
      </c>
    </row>
    <row r="35" spans="3:70" x14ac:dyDescent="0.15">
      <c r="D35" s="81" t="s">
        <v>122</v>
      </c>
      <c r="F35" s="66"/>
      <c r="G35" s="81" t="s">
        <v>121</v>
      </c>
      <c r="I35" s="458">
        <f t="shared" si="36"/>
        <v>2040</v>
      </c>
      <c r="J35" s="470"/>
      <c r="K35" s="470">
        <f t="shared" si="37"/>
        <v>21</v>
      </c>
      <c r="L35" s="39"/>
      <c r="M35" s="40">
        <f t="shared" si="0"/>
        <v>0.5375492759090631</v>
      </c>
      <c r="N35" s="39"/>
      <c r="O35" s="72">
        <f t="shared" si="16"/>
        <v>0</v>
      </c>
      <c r="P35" s="41" t="str">
        <f t="shared" si="1"/>
        <v>-</v>
      </c>
      <c r="Q35" s="39"/>
      <c r="R35" s="72">
        <f t="shared" si="17"/>
        <v>42000000</v>
      </c>
      <c r="S35" s="39"/>
      <c r="T35" s="72">
        <f t="shared" si="18"/>
        <v>42000000</v>
      </c>
      <c r="U35" s="39"/>
      <c r="V35" s="72">
        <f t="shared" si="2"/>
        <v>0</v>
      </c>
      <c r="W35" s="72">
        <f t="shared" si="19"/>
        <v>0</v>
      </c>
      <c r="X35" s="39"/>
      <c r="Y35" s="72">
        <f t="shared" si="3"/>
        <v>588000</v>
      </c>
      <c r="Z35" s="72">
        <f t="shared" si="20"/>
        <v>316078.97423452907</v>
      </c>
      <c r="AA35" s="39"/>
      <c r="AB35" s="72">
        <f t="shared" si="4"/>
        <v>0</v>
      </c>
      <c r="AC35" s="72">
        <f t="shared" si="21"/>
        <v>0</v>
      </c>
      <c r="AD35" s="39"/>
      <c r="AE35" s="72">
        <f t="shared" si="5"/>
        <v>0</v>
      </c>
      <c r="AF35" s="72">
        <f t="shared" si="22"/>
        <v>0</v>
      </c>
      <c r="AG35" s="39"/>
      <c r="AH35" s="72">
        <f t="shared" si="6"/>
        <v>0</v>
      </c>
      <c r="AI35" s="72">
        <f t="shared" si="23"/>
        <v>0</v>
      </c>
      <c r="AJ35" s="39"/>
      <c r="AK35" s="72">
        <f t="shared" si="24"/>
        <v>60000000</v>
      </c>
      <c r="AL35" s="72">
        <f t="shared" si="25"/>
        <v>32252956.554543786</v>
      </c>
      <c r="AM35" s="39"/>
      <c r="AN35" s="72">
        <f t="shared" si="7"/>
        <v>0</v>
      </c>
      <c r="AO35" s="72">
        <f t="shared" si="26"/>
        <v>0</v>
      </c>
      <c r="AP35" s="39"/>
      <c r="AQ35" s="72">
        <f t="shared" si="8"/>
        <v>0</v>
      </c>
      <c r="AR35" s="72">
        <f t="shared" si="27"/>
        <v>0</v>
      </c>
      <c r="AS35" s="39"/>
      <c r="AT35" s="40">
        <f>IF($K35&lt;=$F$15,IF($F$40&lt;&gt;"",$F$40/1000,IF(ISERROR(VLOOKUP($F$3&amp;IF($G$4&lt;&gt;"",$G$4,"")&amp;IF($F$43&lt;&gt;"","_"&amp;$F$43,""),'表3）燃料価格'!$AF$9:$AG$25,2,0)),0,VLOOKUP($I35,'表3）燃料価格'!$A$6:$U$66,VLOOKUP($F$3&amp;IF($G$4&lt;&gt;"",$G$4,"")&amp;IF($F$43&lt;&gt;"","_"&amp;$F$43,""),'表3）燃料価格'!$AF$9:$AG$25,2,0)+VLOOKUP($F$41,'表3）燃料価格'!$AF$28:$AG$29,2,0),0)*IF($F$43="需要地価格",1,$F$8/$F$141))),"")</f>
        <v>48.753121069891002</v>
      </c>
      <c r="AU35" s="39"/>
      <c r="AV35" s="72">
        <f t="shared" si="9"/>
        <v>312943960.99859059</v>
      </c>
      <c r="AW35" s="72">
        <f t="shared" si="10"/>
        <v>168222799.63490644</v>
      </c>
      <c r="AX35" s="39"/>
      <c r="AY35" s="40">
        <f>IF(ISERROR(IF($K35&lt;=$F$15,VLOOKUP($I35,'表4）CO2価格'!$A$7:$E$67,VLOOKUP($F$48,'表4）CO2価格'!$H$10:$I$12,2,0),0)*$F$8/1000,"")),0,IF($K35&lt;=$F$15,VLOOKUP($I35,'表4）CO2価格'!$A$7:$E$67,VLOOKUP($F$48,'表4）CO2価格'!$H$10:$I$12,2,0),0)*$F$8/1000,""))</f>
        <v>5.5640000000000001</v>
      </c>
      <c r="AZ35" s="39"/>
      <c r="BA35" s="42">
        <f t="shared" si="11"/>
        <v>93958040.596725419</v>
      </c>
      <c r="BB35" s="72">
        <f t="shared" si="28"/>
        <v>50507076.688604102</v>
      </c>
      <c r="BC35" s="39"/>
      <c r="BD35" s="72">
        <f t="shared" si="12"/>
        <v>125959944.30193272</v>
      </c>
      <c r="BE35" s="72">
        <f t="shared" si="29"/>
        <v>67709676.853049859</v>
      </c>
      <c r="BF35" s="39"/>
      <c r="BG35" s="42">
        <f t="shared" si="13"/>
        <v>37818111.340181984</v>
      </c>
      <c r="BH35" s="72">
        <f t="shared" si="30"/>
        <v>20329098.367163152</v>
      </c>
      <c r="BI35" s="39"/>
      <c r="BJ35" s="40" t="str">
        <f t="shared" si="31"/>
        <v/>
      </c>
      <c r="BK35" s="157" t="str">
        <f t="shared" si="32"/>
        <v/>
      </c>
      <c r="BL35" s="157" t="str">
        <f t="shared" si="14"/>
        <v/>
      </c>
      <c r="BM35" s="72"/>
      <c r="BN35" s="72" t="str">
        <f t="shared" si="33"/>
        <v/>
      </c>
      <c r="BO35" s="72" t="str">
        <f t="shared" si="34"/>
        <v/>
      </c>
      <c r="BP35" s="39"/>
      <c r="BQ35" s="72">
        <f t="shared" si="15"/>
        <v>37126859.759999998</v>
      </c>
      <c r="BR35" s="72">
        <f t="shared" si="35"/>
        <v>19957516.580765329</v>
      </c>
    </row>
    <row r="36" spans="3:70" x14ac:dyDescent="0.15">
      <c r="D36" s="81" t="s">
        <v>177</v>
      </c>
      <c r="F36" s="106"/>
      <c r="G36" s="81" t="s">
        <v>123</v>
      </c>
      <c r="I36" s="459">
        <f t="shared" si="36"/>
        <v>2041</v>
      </c>
      <c r="K36" s="9">
        <f t="shared" si="37"/>
        <v>22</v>
      </c>
      <c r="L36" s="71"/>
      <c r="M36" s="7">
        <f t="shared" si="0"/>
        <v>0.52189250088258554</v>
      </c>
      <c r="N36" s="71"/>
      <c r="O36" s="10">
        <f t="shared" si="16"/>
        <v>0</v>
      </c>
      <c r="P36" s="29" t="str">
        <f t="shared" si="1"/>
        <v>-</v>
      </c>
      <c r="Q36" s="71"/>
      <c r="R36" s="10">
        <f t="shared" si="17"/>
        <v>42000000</v>
      </c>
      <c r="S36" s="71"/>
      <c r="T36" s="10">
        <f t="shared" si="18"/>
        <v>42000000</v>
      </c>
      <c r="U36" s="71"/>
      <c r="V36" s="10">
        <f t="shared" si="2"/>
        <v>0</v>
      </c>
      <c r="W36" s="10">
        <f t="shared" si="19"/>
        <v>0</v>
      </c>
      <c r="X36" s="71"/>
      <c r="Y36" s="10">
        <f t="shared" si="3"/>
        <v>588000</v>
      </c>
      <c r="Z36" s="10">
        <f t="shared" si="20"/>
        <v>306872.79051896028</v>
      </c>
      <c r="AA36" s="71"/>
      <c r="AB36" s="10">
        <f t="shared" si="4"/>
        <v>0</v>
      </c>
      <c r="AC36" s="10">
        <f t="shared" si="21"/>
        <v>0</v>
      </c>
      <c r="AD36" s="71"/>
      <c r="AE36" s="10">
        <f t="shared" si="5"/>
        <v>0</v>
      </c>
      <c r="AF36" s="10">
        <f t="shared" si="22"/>
        <v>0</v>
      </c>
      <c r="AG36" s="71"/>
      <c r="AH36" s="10">
        <f t="shared" si="6"/>
        <v>0</v>
      </c>
      <c r="AI36" s="10">
        <f t="shared" si="23"/>
        <v>0</v>
      </c>
      <c r="AJ36" s="71"/>
      <c r="AK36" s="10">
        <f t="shared" si="24"/>
        <v>60000000</v>
      </c>
      <c r="AL36" s="10">
        <f t="shared" si="25"/>
        <v>31313550.052955132</v>
      </c>
      <c r="AM36" s="71"/>
      <c r="AN36" s="10">
        <f t="shared" si="7"/>
        <v>0</v>
      </c>
      <c r="AO36" s="10">
        <f t="shared" si="26"/>
        <v>0</v>
      </c>
      <c r="AP36" s="71"/>
      <c r="AQ36" s="10">
        <f t="shared" si="8"/>
        <v>0</v>
      </c>
      <c r="AR36" s="10">
        <f t="shared" si="27"/>
        <v>0</v>
      </c>
      <c r="AS36" s="71"/>
      <c r="AT36" s="7">
        <f>IF($K36&lt;=$F$15,IF($F$40&lt;&gt;"",$F$40/1000,IF(ISERROR(VLOOKUP($F$3&amp;IF($G$4&lt;&gt;"",$G$4,"")&amp;IF($F$43&lt;&gt;"","_"&amp;$F$43,""),'表3）燃料価格'!$AF$9:$AG$25,2,0)),0,VLOOKUP($I36,'表3）燃料価格'!$A$6:$U$66,VLOOKUP($F$3&amp;IF($G$4&lt;&gt;"",$G$4,"")&amp;IF($F$43&lt;&gt;"","_"&amp;$F$43,""),'表3）燃料価格'!$AF$9:$AG$25,2,0)+VLOOKUP($F$41,'表3）燃料価格'!$AF$28:$AG$29,2,0),0)*IF($F$43="需要地価格",1,$F$8/$F$141))),"")</f>
        <v>48.601524950900931</v>
      </c>
      <c r="AU36" s="71"/>
      <c r="AV36" s="10">
        <f t="shared" si="9"/>
        <v>312023723.98938119</v>
      </c>
      <c r="AW36" s="10">
        <f t="shared" si="10"/>
        <v>162842841.64751574</v>
      </c>
      <c r="AX36" s="71"/>
      <c r="AY36" s="7">
        <f>IF(ISERROR(IF($K36&lt;=$F$15,VLOOKUP($I36,'表4）CO2価格'!$A$7:$E$67,VLOOKUP($F$48,'表4）CO2価格'!$H$10:$I$12,2,0),0)*$F$8/1000,"")),0,IF($K36&lt;=$F$15,VLOOKUP($I36,'表4）CO2価格'!$A$7:$E$67,VLOOKUP($F$48,'表4）CO2価格'!$H$10:$I$12,2,0),0)*$F$8/1000,""))</f>
        <v>5.6923999999999806</v>
      </c>
      <c r="AZ36" s="71"/>
      <c r="BA36" s="11">
        <f t="shared" si="11"/>
        <v>96126303.072034135</v>
      </c>
      <c r="BB36" s="10">
        <f t="shared" si="28"/>
        <v>50167596.710861258</v>
      </c>
      <c r="BC36" s="71"/>
      <c r="BD36" s="10">
        <f t="shared" si="12"/>
        <v>125589548.90572594</v>
      </c>
      <c r="BE36" s="10">
        <f t="shared" si="29"/>
        <v>65544243.763125099</v>
      </c>
      <c r="BF36" s="71"/>
      <c r="BG36" s="11">
        <f t="shared" si="13"/>
        <v>38690836.986493744</v>
      </c>
      <c r="BH36" s="10">
        <f t="shared" si="30"/>
        <v>20192457.67612166</v>
      </c>
      <c r="BJ36" s="7" t="str">
        <f t="shared" si="31"/>
        <v/>
      </c>
      <c r="BK36" s="158" t="str">
        <f t="shared" si="32"/>
        <v/>
      </c>
      <c r="BL36" s="158" t="str">
        <f t="shared" si="14"/>
        <v/>
      </c>
      <c r="BM36" s="10"/>
      <c r="BN36" s="10" t="str">
        <f t="shared" si="33"/>
        <v/>
      </c>
      <c r="BO36" s="10" t="str">
        <f t="shared" si="34"/>
        <v/>
      </c>
      <c r="BQ36" s="10">
        <f t="shared" si="15"/>
        <v>37126859.759999998</v>
      </c>
      <c r="BR36" s="10">
        <f t="shared" si="35"/>
        <v>19376229.690063428</v>
      </c>
    </row>
    <row r="37" spans="3:70" x14ac:dyDescent="0.15">
      <c r="I37" s="458">
        <f t="shared" si="36"/>
        <v>2042</v>
      </c>
      <c r="J37" s="470"/>
      <c r="K37" s="470">
        <f t="shared" si="37"/>
        <v>23</v>
      </c>
      <c r="L37" s="39"/>
      <c r="M37" s="40">
        <f t="shared" si="0"/>
        <v>0.50669174842969467</v>
      </c>
      <c r="N37" s="39"/>
      <c r="O37" s="72">
        <f t="shared" si="16"/>
        <v>0</v>
      </c>
      <c r="P37" s="41" t="str">
        <f t="shared" si="1"/>
        <v>-</v>
      </c>
      <c r="Q37" s="39"/>
      <c r="R37" s="72">
        <f t="shared" si="17"/>
        <v>42000000</v>
      </c>
      <c r="S37" s="39"/>
      <c r="T37" s="72">
        <f t="shared" si="18"/>
        <v>42000000</v>
      </c>
      <c r="U37" s="39"/>
      <c r="V37" s="72">
        <f t="shared" si="2"/>
        <v>0</v>
      </c>
      <c r="W37" s="72">
        <f t="shared" si="19"/>
        <v>0</v>
      </c>
      <c r="X37" s="39"/>
      <c r="Y37" s="72">
        <f t="shared" si="3"/>
        <v>588000</v>
      </c>
      <c r="Z37" s="72">
        <f t="shared" si="20"/>
        <v>297934.74807666044</v>
      </c>
      <c r="AA37" s="39"/>
      <c r="AB37" s="72">
        <f t="shared" si="4"/>
        <v>0</v>
      </c>
      <c r="AC37" s="72">
        <f t="shared" si="21"/>
        <v>0</v>
      </c>
      <c r="AD37" s="39"/>
      <c r="AE37" s="72">
        <f t="shared" si="5"/>
        <v>0</v>
      </c>
      <c r="AF37" s="72">
        <f t="shared" si="22"/>
        <v>0</v>
      </c>
      <c r="AG37" s="39"/>
      <c r="AH37" s="72">
        <f t="shared" si="6"/>
        <v>0</v>
      </c>
      <c r="AI37" s="72">
        <f t="shared" si="23"/>
        <v>0</v>
      </c>
      <c r="AJ37" s="39"/>
      <c r="AK37" s="72">
        <f t="shared" si="24"/>
        <v>60000000</v>
      </c>
      <c r="AL37" s="72">
        <f t="shared" si="25"/>
        <v>30401504.905781679</v>
      </c>
      <c r="AM37" s="39"/>
      <c r="AN37" s="72">
        <f t="shared" si="7"/>
        <v>0</v>
      </c>
      <c r="AO37" s="72">
        <f t="shared" si="26"/>
        <v>0</v>
      </c>
      <c r="AP37" s="39"/>
      <c r="AQ37" s="72">
        <f t="shared" si="8"/>
        <v>0</v>
      </c>
      <c r="AR37" s="72">
        <f t="shared" si="27"/>
        <v>0</v>
      </c>
      <c r="AS37" s="39"/>
      <c r="AT37" s="40">
        <f>IF($K37&lt;=$F$15,IF($F$40&lt;&gt;"",$F$40/1000,IF(ISERROR(VLOOKUP($F$3&amp;IF($G$4&lt;&gt;"",$G$4,"")&amp;IF($F$43&lt;&gt;"","_"&amp;$F$43,""),'表3）燃料価格'!$AF$9:$AG$25,2,0)),0,VLOOKUP($I37,'表3）燃料価格'!$A$6:$U$66,VLOOKUP($F$3&amp;IF($G$4&lt;&gt;"",$G$4,"")&amp;IF($F$43&lt;&gt;"","_"&amp;$F$43,""),'表3）燃料価格'!$AF$9:$AG$25,2,0)+VLOOKUP($F$41,'表3）燃料価格'!$AF$28:$AG$29,2,0),0)*IF($F$43="需要地価格",1,$F$8/$F$141))),"")</f>
        <v>48.45544265623667</v>
      </c>
      <c r="AU37" s="39"/>
      <c r="AV37" s="72">
        <f t="shared" si="9"/>
        <v>311136957.66029668</v>
      </c>
      <c r="AW37" s="72">
        <f t="shared" si="10"/>
        <v>157650529.0779916</v>
      </c>
      <c r="AX37" s="39"/>
      <c r="AY37" s="40">
        <f>IF(ISERROR(IF($K37&lt;=$F$15,VLOOKUP($I37,'表4）CO2価格'!$A$7:$E$67,VLOOKUP($F$48,'表4）CO2価格'!$H$10:$I$12,2,0),0)*$F$8/1000,"")),0,IF($K37&lt;=$F$15,VLOOKUP($I37,'表4）CO2価格'!$A$7:$E$67,VLOOKUP($F$48,'表4）CO2価格'!$H$10:$I$12,2,0),0)*$F$8/1000,""))</f>
        <v>5.82080000000001</v>
      </c>
      <c r="AZ37" s="39"/>
      <c r="BA37" s="42">
        <f t="shared" si="11"/>
        <v>98294565.547343686</v>
      </c>
      <c r="BB37" s="72">
        <f t="shared" si="28"/>
        <v>49805045.278320797</v>
      </c>
      <c r="BC37" s="39"/>
      <c r="BD37" s="72">
        <f t="shared" si="12"/>
        <v>125232625.45826942</v>
      </c>
      <c r="BE37" s="72">
        <f t="shared" si="29"/>
        <v>63454337.95389162</v>
      </c>
      <c r="BF37" s="39"/>
      <c r="BG37" s="42">
        <f t="shared" si="13"/>
        <v>39563562.632805839</v>
      </c>
      <c r="BH37" s="72">
        <f t="shared" si="30"/>
        <v>20046530.724524125</v>
      </c>
      <c r="BI37" s="39"/>
      <c r="BJ37" s="40" t="str">
        <f t="shared" si="31"/>
        <v/>
      </c>
      <c r="BK37" s="157" t="str">
        <f t="shared" si="32"/>
        <v/>
      </c>
      <c r="BL37" s="157" t="str">
        <f t="shared" si="14"/>
        <v/>
      </c>
      <c r="BM37" s="72"/>
      <c r="BN37" s="72" t="str">
        <f t="shared" si="33"/>
        <v/>
      </c>
      <c r="BO37" s="72" t="str">
        <f t="shared" si="34"/>
        <v/>
      </c>
      <c r="BP37" s="39"/>
      <c r="BQ37" s="72">
        <f t="shared" si="15"/>
        <v>37126859.759999998</v>
      </c>
      <c r="BR37" s="72">
        <f t="shared" si="35"/>
        <v>18811873.485498473</v>
      </c>
    </row>
    <row r="38" spans="3:70" x14ac:dyDescent="0.15">
      <c r="C38" s="89" t="s">
        <v>508</v>
      </c>
      <c r="D38" s="101"/>
      <c r="E38" s="101"/>
      <c r="F38" s="89"/>
      <c r="G38" s="101"/>
      <c r="I38" s="459">
        <f t="shared" si="36"/>
        <v>2043</v>
      </c>
      <c r="K38" s="9">
        <f t="shared" si="37"/>
        <v>24</v>
      </c>
      <c r="L38" s="71"/>
      <c r="M38" s="7">
        <f t="shared" si="0"/>
        <v>0.49193373633950943</v>
      </c>
      <c r="N38" s="71"/>
      <c r="O38" s="10">
        <f t="shared" si="16"/>
        <v>0</v>
      </c>
      <c r="P38" s="29" t="str">
        <f t="shared" si="1"/>
        <v>-</v>
      </c>
      <c r="Q38" s="71"/>
      <c r="R38" s="10">
        <f t="shared" si="17"/>
        <v>42000000</v>
      </c>
      <c r="S38" s="71"/>
      <c r="T38" s="10">
        <f t="shared" si="18"/>
        <v>42000000</v>
      </c>
      <c r="U38" s="71"/>
      <c r="V38" s="10">
        <f t="shared" si="2"/>
        <v>0</v>
      </c>
      <c r="W38" s="10">
        <f t="shared" si="19"/>
        <v>0</v>
      </c>
      <c r="X38" s="71"/>
      <c r="Y38" s="10">
        <f t="shared" si="3"/>
        <v>588000</v>
      </c>
      <c r="Z38" s="10">
        <f t="shared" si="20"/>
        <v>289257.03696763155</v>
      </c>
      <c r="AA38" s="71"/>
      <c r="AB38" s="10">
        <f t="shared" si="4"/>
        <v>0</v>
      </c>
      <c r="AC38" s="10">
        <f t="shared" si="21"/>
        <v>0</v>
      </c>
      <c r="AD38" s="71"/>
      <c r="AE38" s="10">
        <f t="shared" si="5"/>
        <v>0</v>
      </c>
      <c r="AF38" s="10">
        <f t="shared" si="22"/>
        <v>0</v>
      </c>
      <c r="AG38" s="71"/>
      <c r="AH38" s="10">
        <f t="shared" si="6"/>
        <v>0</v>
      </c>
      <c r="AI38" s="10">
        <f t="shared" si="23"/>
        <v>0</v>
      </c>
      <c r="AJ38" s="71"/>
      <c r="AK38" s="10">
        <f t="shared" si="24"/>
        <v>60000000</v>
      </c>
      <c r="AL38" s="10">
        <f t="shared" si="25"/>
        <v>29516024.180370566</v>
      </c>
      <c r="AM38" s="71"/>
      <c r="AN38" s="10">
        <f t="shared" si="7"/>
        <v>0</v>
      </c>
      <c r="AO38" s="10">
        <f t="shared" si="26"/>
        <v>0</v>
      </c>
      <c r="AP38" s="71"/>
      <c r="AQ38" s="10">
        <f t="shared" si="8"/>
        <v>0</v>
      </c>
      <c r="AR38" s="10">
        <f t="shared" si="27"/>
        <v>0</v>
      </c>
      <c r="AS38" s="71"/>
      <c r="AT38" s="7">
        <f>IF($K38&lt;=$F$15,IF($F$40&lt;&gt;"",$F$40/1000,IF(ISERROR(VLOOKUP($F$3&amp;IF($G$4&lt;&gt;"",$G$4,"")&amp;IF($F$43&lt;&gt;"","_"&amp;$F$43,""),'表3）燃料価格'!$AF$9:$AG$25,2,0)),0,VLOOKUP($I38,'表3）燃料価格'!$A$6:$U$66,VLOOKUP($F$3&amp;IF($G$4&lt;&gt;"",$G$4,"")&amp;IF($F$43&lt;&gt;"","_"&amp;$F$43,""),'表3）燃料価格'!$AF$9:$AG$25,2,0)+VLOOKUP($F$41,'表3）燃料価格'!$AF$28:$AG$29,2,0),0)*IF($F$43="需要地価格",1,$F$8/$F$141))),"")</f>
        <v>48.314487127285105</v>
      </c>
      <c r="AU38" s="71"/>
      <c r="AV38" s="10">
        <f t="shared" si="9"/>
        <v>310281312.44155324</v>
      </c>
      <c r="AW38" s="10">
        <f t="shared" si="10"/>
        <v>152637845.3457</v>
      </c>
      <c r="AX38" s="71"/>
      <c r="AY38" s="7">
        <f>IF(ISERROR(IF($K38&lt;=$F$15,VLOOKUP($I38,'表4）CO2価格'!$A$7:$E$67,VLOOKUP($F$48,'表4）CO2価格'!$H$10:$I$12,2,0),0)*$F$8/1000,"")),0,IF($K38&lt;=$F$15,VLOOKUP($I38,'表4）CO2価格'!$A$7:$E$67,VLOOKUP($F$48,'表4）CO2価格'!$H$10:$I$12,2,0),0)*$F$8/1000,""))</f>
        <v>5.9491999999999896</v>
      </c>
      <c r="AZ38" s="71"/>
      <c r="BA38" s="11">
        <f t="shared" si="11"/>
        <v>100462828.02265239</v>
      </c>
      <c r="BB38" s="10">
        <f t="shared" si="28"/>
        <v>49421054.352416962</v>
      </c>
      <c r="BC38" s="71"/>
      <c r="BD38" s="10">
        <f t="shared" si="12"/>
        <v>124888228.25772518</v>
      </c>
      <c r="BE38" s="10">
        <f t="shared" si="29"/>
        <v>61436732.751644246</v>
      </c>
      <c r="BF38" s="71"/>
      <c r="BG38" s="11">
        <f t="shared" si="13"/>
        <v>40436288.279117592</v>
      </c>
      <c r="BH38" s="10">
        <f t="shared" si="30"/>
        <v>19891974.37684783</v>
      </c>
      <c r="BJ38" s="7" t="str">
        <f t="shared" si="31"/>
        <v/>
      </c>
      <c r="BK38" s="158" t="str">
        <f t="shared" si="32"/>
        <v/>
      </c>
      <c r="BL38" s="158" t="str">
        <f t="shared" si="14"/>
        <v/>
      </c>
      <c r="BM38" s="10"/>
      <c r="BN38" s="10" t="str">
        <f t="shared" si="33"/>
        <v/>
      </c>
      <c r="BO38" s="10" t="str">
        <f t="shared" si="34"/>
        <v/>
      </c>
      <c r="BQ38" s="10">
        <f t="shared" si="15"/>
        <v>37126859.759999998</v>
      </c>
      <c r="BR38" s="10">
        <f t="shared" si="35"/>
        <v>18263954.840289783</v>
      </c>
    </row>
    <row r="39" spans="3:70" x14ac:dyDescent="0.15">
      <c r="I39" s="458">
        <f t="shared" si="36"/>
        <v>2044</v>
      </c>
      <c r="J39" s="470"/>
      <c r="K39" s="470">
        <f t="shared" si="37"/>
        <v>25</v>
      </c>
      <c r="L39" s="39"/>
      <c r="M39" s="40">
        <f t="shared" si="0"/>
        <v>0.47760556926165965</v>
      </c>
      <c r="N39" s="39"/>
      <c r="O39" s="72">
        <f t="shared" si="16"/>
        <v>0</v>
      </c>
      <c r="P39" s="41" t="str">
        <f t="shared" si="1"/>
        <v>-</v>
      </c>
      <c r="Q39" s="39"/>
      <c r="R39" s="72">
        <f t="shared" si="17"/>
        <v>42000000</v>
      </c>
      <c r="S39" s="39"/>
      <c r="T39" s="72">
        <f t="shared" si="18"/>
        <v>42000000</v>
      </c>
      <c r="U39" s="39"/>
      <c r="V39" s="72">
        <f t="shared" si="2"/>
        <v>0</v>
      </c>
      <c r="W39" s="72">
        <f t="shared" si="19"/>
        <v>0</v>
      </c>
      <c r="X39" s="39"/>
      <c r="Y39" s="72">
        <f t="shared" si="3"/>
        <v>588000</v>
      </c>
      <c r="Z39" s="72">
        <f t="shared" si="20"/>
        <v>280832.0747258559</v>
      </c>
      <c r="AA39" s="39"/>
      <c r="AB39" s="72">
        <f t="shared" si="4"/>
        <v>0</v>
      </c>
      <c r="AC39" s="72">
        <f t="shared" si="21"/>
        <v>0</v>
      </c>
      <c r="AD39" s="39"/>
      <c r="AE39" s="72">
        <f t="shared" si="5"/>
        <v>0</v>
      </c>
      <c r="AF39" s="72">
        <f t="shared" si="22"/>
        <v>0</v>
      </c>
      <c r="AG39" s="39"/>
      <c r="AH39" s="72">
        <f t="shared" si="6"/>
        <v>0</v>
      </c>
      <c r="AI39" s="72">
        <f t="shared" si="23"/>
        <v>0</v>
      </c>
      <c r="AJ39" s="39"/>
      <c r="AK39" s="72">
        <f t="shared" si="24"/>
        <v>60000000</v>
      </c>
      <c r="AL39" s="72">
        <f t="shared" si="25"/>
        <v>28656334.155699577</v>
      </c>
      <c r="AM39" s="39"/>
      <c r="AN39" s="72">
        <f t="shared" si="7"/>
        <v>0</v>
      </c>
      <c r="AO39" s="72">
        <f t="shared" si="26"/>
        <v>0</v>
      </c>
      <c r="AP39" s="39"/>
      <c r="AQ39" s="72">
        <f t="shared" si="8"/>
        <v>0</v>
      </c>
      <c r="AR39" s="72">
        <f t="shared" si="27"/>
        <v>0</v>
      </c>
      <c r="AS39" s="39"/>
      <c r="AT39" s="40">
        <f>IF($K39&lt;=$F$15,IF($F$40&lt;&gt;"",$F$40/1000,IF(ISERROR(VLOOKUP($F$3&amp;IF($G$4&lt;&gt;"",$G$4,"")&amp;IF($F$43&lt;&gt;"","_"&amp;$F$43,""),'表3）燃料価格'!$AF$9:$AG$25,2,0)),0,VLOOKUP($I39,'表3）燃料価格'!$A$6:$U$66,VLOOKUP($F$3&amp;IF($G$4&lt;&gt;"",$G$4,"")&amp;IF($F$43&lt;&gt;"","_"&amp;$F$43,""),'表3）燃料価格'!$AF$9:$AG$25,2,0)+VLOOKUP($F$41,'表3）燃料価格'!$AF$28:$AG$29,2,0),0)*IF($F$43="需要地価格",1,$F$8/$F$141))),"")</f>
        <v>48.178310683240682</v>
      </c>
      <c r="AU39" s="39"/>
      <c r="AV39" s="72">
        <f t="shared" si="9"/>
        <v>309454677.79927444</v>
      </c>
      <c r="AW39" s="72">
        <f t="shared" si="10"/>
        <v>147797277.55100593</v>
      </c>
      <c r="AX39" s="39"/>
      <c r="AY39" s="40">
        <f>IF(ISERROR(IF($K39&lt;=$F$15,VLOOKUP($I39,'表4）CO2価格'!$A$7:$E$67,VLOOKUP($F$48,'表4）CO2価格'!$H$10:$I$12,2,0),0)*$F$8/1000,"")),0,IF($K39&lt;=$F$15,VLOOKUP($I39,'表4）CO2価格'!$A$7:$E$67,VLOOKUP($F$48,'表4）CO2価格'!$H$10:$I$12,2,0),0)*$F$8/1000,""))</f>
        <v>6.077599999999971</v>
      </c>
      <c r="AZ39" s="39"/>
      <c r="BA39" s="42">
        <f t="shared" si="11"/>
        <v>102631090.49796112</v>
      </c>
      <c r="BB39" s="72">
        <f t="shared" si="28"/>
        <v>49017180.40122363</v>
      </c>
      <c r="BC39" s="39"/>
      <c r="BD39" s="72">
        <f t="shared" si="12"/>
        <v>124555507.81420796</v>
      </c>
      <c r="BE39" s="72">
        <f t="shared" si="29"/>
        <v>59488404.21427989</v>
      </c>
      <c r="BF39" s="39"/>
      <c r="BG39" s="42">
        <f t="shared" si="13"/>
        <v>41309013.925429359</v>
      </c>
      <c r="BH39" s="72">
        <f t="shared" si="30"/>
        <v>19729415.111492515</v>
      </c>
      <c r="BI39" s="39"/>
      <c r="BJ39" s="40" t="str">
        <f t="shared" si="31"/>
        <v/>
      </c>
      <c r="BK39" s="157" t="str">
        <f t="shared" si="32"/>
        <v/>
      </c>
      <c r="BL39" s="157" t="str">
        <f t="shared" si="14"/>
        <v/>
      </c>
      <c r="BM39" s="72"/>
      <c r="BN39" s="72" t="str">
        <f t="shared" si="33"/>
        <v/>
      </c>
      <c r="BO39" s="72" t="str">
        <f t="shared" si="34"/>
        <v/>
      </c>
      <c r="BP39" s="39"/>
      <c r="BQ39" s="72">
        <f t="shared" si="15"/>
        <v>37126859.759999998</v>
      </c>
      <c r="BR39" s="72">
        <f t="shared" si="35"/>
        <v>17731994.990572605</v>
      </c>
    </row>
    <row r="40" spans="3:70" x14ac:dyDescent="0.15">
      <c r="D40" s="81" t="s">
        <v>124</v>
      </c>
      <c r="F40" s="108"/>
      <c r="G40" s="82" t="s">
        <v>178</v>
      </c>
      <c r="I40" s="459">
        <f t="shared" si="36"/>
        <v>2045</v>
      </c>
      <c r="K40" s="9">
        <f t="shared" si="37"/>
        <v>26</v>
      </c>
      <c r="L40" s="71"/>
      <c r="M40" s="7">
        <f t="shared" si="0"/>
        <v>0.46369472743850448</v>
      </c>
      <c r="N40" s="71"/>
      <c r="O40" s="10">
        <f t="shared" si="16"/>
        <v>0</v>
      </c>
      <c r="P40" s="29" t="str">
        <f t="shared" si="1"/>
        <v>-</v>
      </c>
      <c r="Q40" s="71"/>
      <c r="R40" s="10">
        <f t="shared" si="17"/>
        <v>42000000</v>
      </c>
      <c r="S40" s="71"/>
      <c r="T40" s="10">
        <f t="shared" si="18"/>
        <v>42000000</v>
      </c>
      <c r="U40" s="71"/>
      <c r="V40" s="10">
        <f t="shared" si="2"/>
        <v>0</v>
      </c>
      <c r="W40" s="10">
        <f t="shared" si="19"/>
        <v>0</v>
      </c>
      <c r="X40" s="71"/>
      <c r="Y40" s="10">
        <f t="shared" si="3"/>
        <v>588000</v>
      </c>
      <c r="Z40" s="10">
        <f t="shared" si="20"/>
        <v>272652.49973384064</v>
      </c>
      <c r="AA40" s="71"/>
      <c r="AB40" s="10">
        <f t="shared" si="4"/>
        <v>0</v>
      </c>
      <c r="AC40" s="10">
        <f t="shared" si="21"/>
        <v>0</v>
      </c>
      <c r="AD40" s="71"/>
      <c r="AE40" s="10">
        <f t="shared" si="5"/>
        <v>0</v>
      </c>
      <c r="AF40" s="10">
        <f t="shared" si="22"/>
        <v>0</v>
      </c>
      <c r="AG40" s="71"/>
      <c r="AH40" s="10">
        <f t="shared" si="6"/>
        <v>0</v>
      </c>
      <c r="AI40" s="10">
        <f t="shared" si="23"/>
        <v>0</v>
      </c>
      <c r="AJ40" s="71"/>
      <c r="AK40" s="10">
        <f t="shared" si="24"/>
        <v>60000000</v>
      </c>
      <c r="AL40" s="10">
        <f t="shared" si="25"/>
        <v>27821683.64631027</v>
      </c>
      <c r="AM40" s="71"/>
      <c r="AN40" s="10">
        <f t="shared" si="7"/>
        <v>0</v>
      </c>
      <c r="AO40" s="10">
        <f t="shared" si="26"/>
        <v>0</v>
      </c>
      <c r="AP40" s="71"/>
      <c r="AQ40" s="10">
        <f t="shared" si="8"/>
        <v>0</v>
      </c>
      <c r="AR40" s="10">
        <f t="shared" si="27"/>
        <v>0</v>
      </c>
      <c r="AS40" s="71"/>
      <c r="AT40" s="7">
        <f>IF($K40&lt;=$F$15,IF($F$40&lt;&gt;"",$F$40/1000,IF(ISERROR(VLOOKUP($F$3&amp;IF($G$4&lt;&gt;"",$G$4,"")&amp;IF($F$43&lt;&gt;"","_"&amp;$F$43,""),'表3）燃料価格'!$AF$9:$AG$25,2,0)),0,VLOOKUP($I40,'表3）燃料価格'!$A$6:$U$66,VLOOKUP($F$3&amp;IF($G$4&lt;&gt;"",$G$4,"")&amp;IF($F$43&lt;&gt;"","_"&amp;$F$43,""),'表3）燃料価格'!$AF$9:$AG$25,2,0)+VLOOKUP($F$41,'表3）燃料価格'!$AF$28:$AG$29,2,0),0)*IF($F$43="需要地価格",1,$F$8/$F$141))),"")</f>
        <v>48.046599854320583</v>
      </c>
      <c r="AU40" s="71"/>
      <c r="AV40" s="10">
        <f t="shared" si="9"/>
        <v>308655150.87145209</v>
      </c>
      <c r="AW40" s="10">
        <f t="shared" si="10"/>
        <v>143121766.05582845</v>
      </c>
      <c r="AX40" s="71"/>
      <c r="AY40" s="7">
        <f>IF(ISERROR(IF($K40&lt;=$F$15,VLOOKUP($I40,'表4）CO2価格'!$A$7:$E$67,VLOOKUP($F$48,'表4）CO2価格'!$H$10:$I$12,2,0),0)*$F$8/1000,"")),0,IF($K40&lt;=$F$15,VLOOKUP($I40,'表4）CO2価格'!$A$7:$E$67,VLOOKUP($F$48,'表4）CO2価格'!$H$10:$I$12,2,0),0)*$F$8/1000,""))</f>
        <v>6.2060000000000004</v>
      </c>
      <c r="AZ40" s="71"/>
      <c r="BA40" s="11">
        <f t="shared" si="11"/>
        <v>104799352.97327067</v>
      </c>
      <c r="BB40" s="10">
        <f t="shared" si="28"/>
        <v>48594907.412672371</v>
      </c>
      <c r="BC40" s="71"/>
      <c r="BD40" s="10">
        <f t="shared" si="12"/>
        <v>124233698.22575946</v>
      </c>
      <c r="BE40" s="10">
        <f t="shared" si="29"/>
        <v>57606510.837470949</v>
      </c>
      <c r="BF40" s="71"/>
      <c r="BG40" s="11">
        <f t="shared" si="13"/>
        <v>42181739.571741447</v>
      </c>
      <c r="BH40" s="10">
        <f t="shared" si="30"/>
        <v>19559450.233600628</v>
      </c>
      <c r="BJ40" s="7" t="str">
        <f t="shared" si="31"/>
        <v/>
      </c>
      <c r="BK40" s="158" t="str">
        <f t="shared" si="32"/>
        <v/>
      </c>
      <c r="BL40" s="158" t="str">
        <f t="shared" si="14"/>
        <v/>
      </c>
      <c r="BM40" s="10"/>
      <c r="BN40" s="10" t="str">
        <f t="shared" si="33"/>
        <v/>
      </c>
      <c r="BO40" s="10" t="str">
        <f t="shared" si="34"/>
        <v/>
      </c>
      <c r="BQ40" s="10">
        <f t="shared" si="15"/>
        <v>37126859.759999998</v>
      </c>
      <c r="BR40" s="10">
        <f t="shared" si="35"/>
        <v>17215529.117060781</v>
      </c>
    </row>
    <row r="41" spans="3:70" x14ac:dyDescent="0.15">
      <c r="D41" s="81" t="s">
        <v>179</v>
      </c>
      <c r="F41" s="88" t="str">
        <f>まとめ!B4</f>
        <v>WEO2020　STEPS</v>
      </c>
      <c r="I41" s="458">
        <f t="shared" si="36"/>
        <v>2046</v>
      </c>
      <c r="J41" s="470"/>
      <c r="K41" s="470">
        <f t="shared" si="37"/>
        <v>27</v>
      </c>
      <c r="L41" s="39"/>
      <c r="M41" s="40">
        <f t="shared" si="0"/>
        <v>0.45018905576553836</v>
      </c>
      <c r="N41" s="39"/>
      <c r="O41" s="72">
        <f t="shared" si="16"/>
        <v>0</v>
      </c>
      <c r="P41" s="41" t="str">
        <f t="shared" si="1"/>
        <v>-</v>
      </c>
      <c r="Q41" s="39"/>
      <c r="R41" s="72">
        <f t="shared" si="17"/>
        <v>42000000</v>
      </c>
      <c r="S41" s="39"/>
      <c r="T41" s="72">
        <f t="shared" si="18"/>
        <v>42000000</v>
      </c>
      <c r="U41" s="39"/>
      <c r="V41" s="72">
        <f t="shared" si="2"/>
        <v>0</v>
      </c>
      <c r="W41" s="72">
        <f t="shared" si="19"/>
        <v>0</v>
      </c>
      <c r="X41" s="39"/>
      <c r="Y41" s="72">
        <f t="shared" si="3"/>
        <v>588000</v>
      </c>
      <c r="Z41" s="72">
        <f t="shared" si="20"/>
        <v>264711.16479013656</v>
      </c>
      <c r="AA41" s="39"/>
      <c r="AB41" s="72">
        <f t="shared" si="4"/>
        <v>0</v>
      </c>
      <c r="AC41" s="72">
        <f t="shared" si="21"/>
        <v>0</v>
      </c>
      <c r="AD41" s="39"/>
      <c r="AE41" s="72">
        <f t="shared" si="5"/>
        <v>0</v>
      </c>
      <c r="AF41" s="72">
        <f t="shared" si="22"/>
        <v>0</v>
      </c>
      <c r="AG41" s="39"/>
      <c r="AH41" s="72">
        <f t="shared" si="6"/>
        <v>0</v>
      </c>
      <c r="AI41" s="72">
        <f t="shared" si="23"/>
        <v>0</v>
      </c>
      <c r="AJ41" s="39"/>
      <c r="AK41" s="72">
        <f t="shared" si="24"/>
        <v>60000000</v>
      </c>
      <c r="AL41" s="72">
        <f t="shared" si="25"/>
        <v>27011343.345932301</v>
      </c>
      <c r="AM41" s="39"/>
      <c r="AN41" s="72">
        <f t="shared" si="7"/>
        <v>0</v>
      </c>
      <c r="AO41" s="72">
        <f t="shared" si="26"/>
        <v>0</v>
      </c>
      <c r="AP41" s="39"/>
      <c r="AQ41" s="72">
        <f t="shared" si="8"/>
        <v>0</v>
      </c>
      <c r="AR41" s="72">
        <f t="shared" si="27"/>
        <v>0</v>
      </c>
      <c r="AS41" s="39"/>
      <c r="AT41" s="40">
        <f>IF($K41&lt;=$F$15,IF($F$40&lt;&gt;"",$F$40/1000,IF(ISERROR(VLOOKUP($F$3&amp;IF($G$4&lt;&gt;"",$G$4,"")&amp;IF($F$43&lt;&gt;"","_"&amp;$F$43,""),'表3）燃料価格'!$AF$9:$AG$25,2,0)),0,VLOOKUP($I41,'表3）燃料価格'!$A$6:$U$66,VLOOKUP($F$3&amp;IF($G$4&lt;&gt;"",$G$4,"")&amp;IF($F$43&lt;&gt;"","_"&amp;$F$43,""),'表3）燃料価格'!$AF$9:$AG$25,2,0)+VLOOKUP($F$41,'表3）燃料価格'!$AF$28:$AG$29,2,0),0)*IF($F$43="需要地価格",1,$F$8/$F$141))),"")</f>
        <v>47.919071035555028</v>
      </c>
      <c r="AU41" s="39"/>
      <c r="AV41" s="72">
        <f t="shared" si="9"/>
        <v>307881010.08506089</v>
      </c>
      <c r="AW41" s="72">
        <f t="shared" si="10"/>
        <v>138604661.21833375</v>
      </c>
      <c r="AX41" s="39"/>
      <c r="AY41" s="40">
        <f>IF(ISERROR(IF($K41&lt;=$F$15,VLOOKUP($I41,'表4）CO2価格'!$A$7:$E$67,VLOOKUP($F$48,'表4）CO2価格'!$H$10:$I$12,2,0),0)*$F$8/1000,"")),0,IF($K41&lt;=$F$15,VLOOKUP($I41,'表4）CO2価格'!$A$7:$E$67,VLOOKUP($F$48,'表4）CO2価格'!$H$10:$I$12,2,0),0)*$F$8/1000,""))</f>
        <v>6.3343999999999809</v>
      </c>
      <c r="AZ41" s="39"/>
      <c r="BA41" s="42">
        <f t="shared" si="11"/>
        <v>106967615.44857939</v>
      </c>
      <c r="BB41" s="72">
        <f t="shared" si="28"/>
        <v>48155649.796287164</v>
      </c>
      <c r="BC41" s="39"/>
      <c r="BD41" s="72">
        <f t="shared" si="12"/>
        <v>123922106.55923702</v>
      </c>
      <c r="BE41" s="72">
        <f t="shared" si="29"/>
        <v>55788376.140379339</v>
      </c>
      <c r="BF41" s="39"/>
      <c r="BG41" s="42">
        <f t="shared" si="13"/>
        <v>43054465.218053207</v>
      </c>
      <c r="BH41" s="72">
        <f t="shared" si="30"/>
        <v>19382649.043005586</v>
      </c>
      <c r="BI41" s="39"/>
      <c r="BJ41" s="40" t="str">
        <f t="shared" si="31"/>
        <v/>
      </c>
      <c r="BK41" s="157" t="str">
        <f t="shared" si="32"/>
        <v/>
      </c>
      <c r="BL41" s="157" t="str">
        <f t="shared" si="14"/>
        <v/>
      </c>
      <c r="BM41" s="72"/>
      <c r="BN41" s="72" t="str">
        <f t="shared" si="33"/>
        <v/>
      </c>
      <c r="BO41" s="72" t="str">
        <f t="shared" si="34"/>
        <v/>
      </c>
      <c r="BP41" s="39"/>
      <c r="BQ41" s="72">
        <f t="shared" si="15"/>
        <v>37126859.759999998</v>
      </c>
      <c r="BR41" s="72">
        <f t="shared" si="35"/>
        <v>16714105.938893961</v>
      </c>
    </row>
    <row r="42" spans="3:70" x14ac:dyDescent="0.15">
      <c r="D42" s="81" t="s">
        <v>180</v>
      </c>
      <c r="F42" s="59">
        <f>IF($F$43="需要地価格",0,2800)</f>
        <v>2800</v>
      </c>
      <c r="G42" s="81" t="s">
        <v>181</v>
      </c>
      <c r="I42" s="459">
        <f t="shared" si="36"/>
        <v>2047</v>
      </c>
      <c r="K42" s="9">
        <f t="shared" si="37"/>
        <v>28</v>
      </c>
      <c r="L42" s="71"/>
      <c r="M42" s="7">
        <f t="shared" si="0"/>
        <v>0.4370767531704256</v>
      </c>
      <c r="N42" s="71"/>
      <c r="O42" s="10">
        <f t="shared" si="16"/>
        <v>0</v>
      </c>
      <c r="P42" s="29" t="str">
        <f t="shared" si="1"/>
        <v>-</v>
      </c>
      <c r="Q42" s="71"/>
      <c r="R42" s="10">
        <f t="shared" si="17"/>
        <v>42000000</v>
      </c>
      <c r="S42" s="71"/>
      <c r="T42" s="10">
        <f t="shared" si="18"/>
        <v>42000000</v>
      </c>
      <c r="U42" s="71"/>
      <c r="V42" s="10">
        <f t="shared" si="2"/>
        <v>0</v>
      </c>
      <c r="W42" s="10">
        <f t="shared" si="19"/>
        <v>0</v>
      </c>
      <c r="X42" s="71"/>
      <c r="Y42" s="10">
        <f t="shared" si="3"/>
        <v>588000</v>
      </c>
      <c r="Z42" s="10">
        <f t="shared" si="20"/>
        <v>257001.13086421025</v>
      </c>
      <c r="AA42" s="71"/>
      <c r="AB42" s="10">
        <f t="shared" si="4"/>
        <v>0</v>
      </c>
      <c r="AC42" s="10">
        <f t="shared" si="21"/>
        <v>0</v>
      </c>
      <c r="AD42" s="71"/>
      <c r="AE42" s="10">
        <f t="shared" si="5"/>
        <v>0</v>
      </c>
      <c r="AF42" s="10">
        <f t="shared" si="22"/>
        <v>0</v>
      </c>
      <c r="AG42" s="71"/>
      <c r="AH42" s="10">
        <f t="shared" si="6"/>
        <v>0</v>
      </c>
      <c r="AI42" s="10">
        <f t="shared" si="23"/>
        <v>0</v>
      </c>
      <c r="AJ42" s="71"/>
      <c r="AK42" s="10">
        <f t="shared" si="24"/>
        <v>60000000</v>
      </c>
      <c r="AL42" s="10">
        <f t="shared" si="25"/>
        <v>26224605.190225538</v>
      </c>
      <c r="AM42" s="71"/>
      <c r="AN42" s="10">
        <f t="shared" si="7"/>
        <v>0</v>
      </c>
      <c r="AO42" s="10">
        <f t="shared" si="26"/>
        <v>0</v>
      </c>
      <c r="AP42" s="71"/>
      <c r="AQ42" s="10">
        <f t="shared" si="8"/>
        <v>0</v>
      </c>
      <c r="AR42" s="10">
        <f t="shared" si="27"/>
        <v>0</v>
      </c>
      <c r="AS42" s="71"/>
      <c r="AT42" s="7">
        <f>IF($K42&lt;=$F$15,IF($F$40&lt;&gt;"",$F$40/1000,IF(ISERROR(VLOOKUP($F$3&amp;IF($G$4&lt;&gt;"",$G$4,"")&amp;IF($F$43&lt;&gt;"","_"&amp;$F$43,""),'表3）燃料価格'!$AF$9:$AG$25,2,0)),0,VLOOKUP($I42,'表3）燃料価格'!$A$6:$U$66,VLOOKUP($F$3&amp;IF($G$4&lt;&gt;"",$G$4,"")&amp;IF($F$43&lt;&gt;"","_"&amp;$F$43,""),'表3）燃料価格'!$AF$9:$AG$25,2,0)+VLOOKUP($F$41,'表3）燃料価格'!$AF$28:$AG$29,2,0),0)*IF($F$43="需要地価格",1,$F$8/$F$141))),"")</f>
        <v>47.795466809569312</v>
      </c>
      <c r="AU42" s="71"/>
      <c r="AV42" s="10">
        <f t="shared" si="9"/>
        <v>307130692.83416754</v>
      </c>
      <c r="AW42" s="10">
        <f t="shared" si="10"/>
        <v>134239686.02294126</v>
      </c>
      <c r="AX42" s="71"/>
      <c r="AY42" s="7">
        <f>IF(ISERROR(IF($K42&lt;=$F$15,VLOOKUP($I42,'表4）CO2価格'!$A$7:$E$67,VLOOKUP($F$48,'表4）CO2価格'!$H$10:$I$12,2,0),0)*$F$8/1000,"")),0,IF($K42&lt;=$F$15,VLOOKUP($I42,'表4）CO2価格'!$A$7:$E$67,VLOOKUP($F$48,'表4）CO2価格'!$H$10:$I$12,2,0),0)*$F$8/1000,""))</f>
        <v>6.4628000000000103</v>
      </c>
      <c r="AZ42" s="71"/>
      <c r="BA42" s="11">
        <f t="shared" si="11"/>
        <v>109135877.92388894</v>
      </c>
      <c r="BB42" s="10">
        <f t="shared" si="28"/>
        <v>47700755.177377306</v>
      </c>
      <c r="BC42" s="71"/>
      <c r="BD42" s="10">
        <f t="shared" si="12"/>
        <v>123620103.86575243</v>
      </c>
      <c r="BE42" s="10">
        <f t="shared" si="29"/>
        <v>54031473.624233849</v>
      </c>
      <c r="BF42" s="71"/>
      <c r="BG42" s="11">
        <f t="shared" si="13"/>
        <v>43927190.864365302</v>
      </c>
      <c r="BH42" s="10">
        <f t="shared" si="30"/>
        <v>19199553.958894368</v>
      </c>
      <c r="BJ42" s="7" t="str">
        <f t="shared" si="31"/>
        <v/>
      </c>
      <c r="BK42" s="158" t="str">
        <f t="shared" si="32"/>
        <v/>
      </c>
      <c r="BL42" s="158" t="str">
        <f t="shared" si="14"/>
        <v/>
      </c>
      <c r="BM42" s="10"/>
      <c r="BN42" s="10" t="str">
        <f t="shared" si="33"/>
        <v/>
      </c>
      <c r="BO42" s="10" t="str">
        <f t="shared" si="34"/>
        <v/>
      </c>
      <c r="BQ42" s="10">
        <f t="shared" si="15"/>
        <v>37126859.759999998</v>
      </c>
      <c r="BR42" s="10">
        <f t="shared" si="35"/>
        <v>16227287.319314526</v>
      </c>
    </row>
    <row r="43" spans="3:70" x14ac:dyDescent="0.15">
      <c r="D43" s="82" t="s">
        <v>126</v>
      </c>
      <c r="F43" s="88" t="str">
        <f>まとめ!B8</f>
        <v>CIF価格</v>
      </c>
      <c r="I43" s="458">
        <f t="shared" si="36"/>
        <v>2048</v>
      </c>
      <c r="J43" s="470"/>
      <c r="K43" s="470">
        <f t="shared" si="37"/>
        <v>29</v>
      </c>
      <c r="L43" s="39"/>
      <c r="M43" s="40">
        <f t="shared" si="0"/>
        <v>0.42434636230138412</v>
      </c>
      <c r="N43" s="39"/>
      <c r="O43" s="72">
        <f t="shared" si="16"/>
        <v>0</v>
      </c>
      <c r="P43" s="41" t="str">
        <f t="shared" si="1"/>
        <v>-</v>
      </c>
      <c r="Q43" s="39"/>
      <c r="R43" s="72">
        <f t="shared" si="17"/>
        <v>42000000</v>
      </c>
      <c r="S43" s="39"/>
      <c r="T43" s="72">
        <f t="shared" si="18"/>
        <v>42000000</v>
      </c>
      <c r="U43" s="39"/>
      <c r="V43" s="72">
        <f t="shared" si="2"/>
        <v>0</v>
      </c>
      <c r="W43" s="72">
        <f t="shared" si="19"/>
        <v>0</v>
      </c>
      <c r="X43" s="39"/>
      <c r="Y43" s="72">
        <f t="shared" si="3"/>
        <v>588000</v>
      </c>
      <c r="Z43" s="72">
        <f t="shared" si="20"/>
        <v>249515.66103321387</v>
      </c>
      <c r="AA43" s="39"/>
      <c r="AB43" s="72">
        <f t="shared" si="4"/>
        <v>0</v>
      </c>
      <c r="AC43" s="72">
        <f t="shared" si="21"/>
        <v>0</v>
      </c>
      <c r="AD43" s="39"/>
      <c r="AE43" s="72">
        <f t="shared" si="5"/>
        <v>0</v>
      </c>
      <c r="AF43" s="72">
        <f t="shared" si="22"/>
        <v>0</v>
      </c>
      <c r="AG43" s="39"/>
      <c r="AH43" s="72">
        <f t="shared" si="6"/>
        <v>0</v>
      </c>
      <c r="AI43" s="72">
        <f t="shared" si="23"/>
        <v>0</v>
      </c>
      <c r="AJ43" s="39"/>
      <c r="AK43" s="72">
        <f t="shared" si="24"/>
        <v>60000000</v>
      </c>
      <c r="AL43" s="72">
        <f t="shared" si="25"/>
        <v>25460781.738083046</v>
      </c>
      <c r="AM43" s="39"/>
      <c r="AN43" s="72">
        <f t="shared" si="7"/>
        <v>0</v>
      </c>
      <c r="AO43" s="72">
        <f t="shared" si="26"/>
        <v>0</v>
      </c>
      <c r="AP43" s="39"/>
      <c r="AQ43" s="72">
        <f t="shared" si="8"/>
        <v>0</v>
      </c>
      <c r="AR43" s="72">
        <f t="shared" si="27"/>
        <v>0</v>
      </c>
      <c r="AS43" s="39"/>
      <c r="AT43" s="40">
        <f>IF($K43&lt;=$F$15,IF($F$40&lt;&gt;"",$F$40/1000,IF(ISERROR(VLOOKUP($F$3&amp;IF($G$4&lt;&gt;"",$G$4,"")&amp;IF($F$43&lt;&gt;"","_"&amp;$F$43,""),'表3）燃料価格'!$AF$9:$AG$25,2,0)),0,VLOOKUP($I43,'表3）燃料価格'!$A$6:$U$66,VLOOKUP($F$3&amp;IF($G$4&lt;&gt;"",$G$4,"")&amp;IF($F$43&lt;&gt;"","_"&amp;$F$43,""),'表3）燃料価格'!$AF$9:$AG$25,2,0)+VLOOKUP($F$41,'表3）燃料価格'!$AF$28:$AG$29,2,0),0)*IF($F$43="需要地価格",1,$F$8/$F$141))),"")</f>
        <v>47.675552818469335</v>
      </c>
      <c r="AU43" s="39"/>
      <c r="AV43" s="72">
        <f t="shared" si="9"/>
        <v>306402776.49127334</v>
      </c>
      <c r="AW43" s="72">
        <f t="shared" si="10"/>
        <v>130020903.6031159</v>
      </c>
      <c r="AX43" s="39"/>
      <c r="AY43" s="40">
        <f>IF(ISERROR(IF($K43&lt;=$F$15,VLOOKUP($I43,'表4）CO2価格'!$A$7:$E$67,VLOOKUP($F$48,'表4）CO2価格'!$H$10:$I$12,2,0),0)*$F$8/1000,"")),0,IF($K43&lt;=$F$15,VLOOKUP($I43,'表4）CO2価格'!$A$7:$E$67,VLOOKUP($F$48,'表4）CO2価格'!$H$10:$I$12,2,0),0)*$F$8/1000,""))</f>
        <v>6.59119999999999</v>
      </c>
      <c r="AZ43" s="39"/>
      <c r="BA43" s="42">
        <f t="shared" si="11"/>
        <v>111304140.39919764</v>
      </c>
      <c r="BB43" s="72">
        <f t="shared" si="28"/>
        <v>47231507.087482043</v>
      </c>
      <c r="BC43" s="39"/>
      <c r="BD43" s="72">
        <f t="shared" si="12"/>
        <v>123327117.53773752</v>
      </c>
      <c r="BE43" s="72">
        <f t="shared" si="29"/>
        <v>52333413.70025415</v>
      </c>
      <c r="BF43" s="39"/>
      <c r="BG43" s="42">
        <f t="shared" si="13"/>
        <v>44799916.510677055</v>
      </c>
      <c r="BH43" s="72">
        <f t="shared" si="30"/>
        <v>19010681.602711525</v>
      </c>
      <c r="BI43" s="39"/>
      <c r="BJ43" s="40" t="str">
        <f t="shared" si="31"/>
        <v/>
      </c>
      <c r="BK43" s="157" t="str">
        <f t="shared" si="32"/>
        <v/>
      </c>
      <c r="BL43" s="157" t="str">
        <f t="shared" si="14"/>
        <v/>
      </c>
      <c r="BM43" s="72"/>
      <c r="BN43" s="72" t="str">
        <f t="shared" si="33"/>
        <v/>
      </c>
      <c r="BO43" s="72" t="str">
        <f t="shared" si="34"/>
        <v/>
      </c>
      <c r="BP43" s="39"/>
      <c r="BQ43" s="72">
        <f t="shared" si="15"/>
        <v>37126859.759999998</v>
      </c>
      <c r="BR43" s="72">
        <f t="shared" si="35"/>
        <v>15754647.882829638</v>
      </c>
    </row>
    <row r="44" spans="3:70" x14ac:dyDescent="0.15">
      <c r="I44" s="459">
        <f t="shared" si="36"/>
        <v>2049</v>
      </c>
      <c r="K44" s="9">
        <f t="shared" si="37"/>
        <v>30</v>
      </c>
      <c r="L44" s="71"/>
      <c r="M44" s="7">
        <f t="shared" si="0"/>
        <v>0.41198675951590691</v>
      </c>
      <c r="N44" s="71"/>
      <c r="O44" s="10">
        <f t="shared" si="16"/>
        <v>0</v>
      </c>
      <c r="P44" s="29" t="str">
        <f t="shared" si="1"/>
        <v>-</v>
      </c>
      <c r="Q44" s="71"/>
      <c r="R44" s="10">
        <f t="shared" si="17"/>
        <v>42000000</v>
      </c>
      <c r="S44" s="71"/>
      <c r="T44" s="10">
        <f t="shared" si="18"/>
        <v>42000000</v>
      </c>
      <c r="U44" s="71"/>
      <c r="V44" s="10">
        <f t="shared" si="2"/>
        <v>0</v>
      </c>
      <c r="W44" s="10">
        <f t="shared" si="19"/>
        <v>0</v>
      </c>
      <c r="X44" s="71"/>
      <c r="Y44" s="10">
        <f t="shared" si="3"/>
        <v>588000</v>
      </c>
      <c r="Z44" s="10">
        <f t="shared" si="20"/>
        <v>242248.21459535326</v>
      </c>
      <c r="AA44" s="71"/>
      <c r="AB44" s="10">
        <f t="shared" si="4"/>
        <v>0</v>
      </c>
      <c r="AC44" s="10">
        <f t="shared" si="21"/>
        <v>0</v>
      </c>
      <c r="AD44" s="71"/>
      <c r="AE44" s="10">
        <f t="shared" si="5"/>
        <v>0</v>
      </c>
      <c r="AF44" s="10">
        <f t="shared" si="22"/>
        <v>0</v>
      </c>
      <c r="AG44" s="71"/>
      <c r="AH44" s="10">
        <f t="shared" si="6"/>
        <v>0</v>
      </c>
      <c r="AI44" s="10">
        <f t="shared" si="23"/>
        <v>0</v>
      </c>
      <c r="AJ44" s="71"/>
      <c r="AK44" s="10">
        <f t="shared" si="24"/>
        <v>60000000</v>
      </c>
      <c r="AL44" s="10">
        <f t="shared" si="25"/>
        <v>24719205.570954416</v>
      </c>
      <c r="AM44" s="71"/>
      <c r="AN44" s="10">
        <f t="shared" si="7"/>
        <v>0</v>
      </c>
      <c r="AO44" s="10">
        <f t="shared" si="26"/>
        <v>0</v>
      </c>
      <c r="AP44" s="71"/>
      <c r="AQ44" s="10">
        <f t="shared" si="8"/>
        <v>0</v>
      </c>
      <c r="AR44" s="10">
        <f t="shared" si="27"/>
        <v>0</v>
      </c>
      <c r="AS44" s="71"/>
      <c r="AT44" s="7">
        <f>IF($K44&lt;=$F$15,IF($F$40&lt;&gt;"",$F$40/1000,IF(ISERROR(VLOOKUP($F$3&amp;IF($G$4&lt;&gt;"",$G$4,"")&amp;IF($F$43&lt;&gt;"","_"&amp;$F$43,""),'表3）燃料価格'!$AF$9:$AG$25,2,0)),0,VLOOKUP($I44,'表3）燃料価格'!$A$6:$U$66,VLOOKUP($F$3&amp;IF($G$4&lt;&gt;"",$G$4,"")&amp;IF($F$43&lt;&gt;"","_"&amp;$F$43,""),'表3）燃料価格'!$AF$9:$AG$25,2,0)+VLOOKUP($F$41,'表3）燃料価格'!$AF$28:$AG$29,2,0),0)*IF($F$43="需要地価格",1,$F$8/$F$141))),"")</f>
        <v>47.559115089283104</v>
      </c>
      <c r="AU44" s="71"/>
      <c r="AV44" s="10">
        <f t="shared" si="9"/>
        <v>305695962.1718877</v>
      </c>
      <c r="AW44" s="10">
        <f t="shared" si="10"/>
        <v>125942688.85229327</v>
      </c>
      <c r="AX44" s="71"/>
      <c r="AY44" s="7">
        <f>IF(ISERROR(IF($K44&lt;=$F$15,VLOOKUP($I44,'表4）CO2価格'!$A$7:$E$67,VLOOKUP($F$48,'表4）CO2価格'!$H$10:$I$12,2,0),0)*$F$8/1000,"")),0,IF($K44&lt;=$F$15,VLOOKUP($I44,'表4）CO2価格'!$A$7:$E$67,VLOOKUP($F$48,'表4）CO2価格'!$H$10:$I$12,2,0),0)*$F$8/1000,""))</f>
        <v>6.7195999999999714</v>
      </c>
      <c r="AZ44" s="71"/>
      <c r="BA44" s="11">
        <f t="shared" si="11"/>
        <v>113472402.87450637</v>
      </c>
      <c r="BB44" s="10">
        <f t="shared" si="28"/>
        <v>46749127.554751359</v>
      </c>
      <c r="BC44" s="71"/>
      <c r="BD44" s="10">
        <f t="shared" si="12"/>
        <v>123042624.77418481</v>
      </c>
      <c r="BE44" s="10">
        <f t="shared" si="29"/>
        <v>50691932.263048045</v>
      </c>
      <c r="BF44" s="71"/>
      <c r="BG44" s="11">
        <f t="shared" si="13"/>
        <v>45672642.156988822</v>
      </c>
      <c r="BH44" s="10">
        <f t="shared" si="30"/>
        <v>18816523.840787426</v>
      </c>
      <c r="BJ44" s="7" t="str">
        <f t="shared" si="31"/>
        <v/>
      </c>
      <c r="BK44" s="158" t="str">
        <f t="shared" si="32"/>
        <v/>
      </c>
      <c r="BL44" s="158" t="str">
        <f t="shared" si="14"/>
        <v/>
      </c>
      <c r="BM44" s="10"/>
      <c r="BN44" s="10" t="str">
        <f t="shared" si="33"/>
        <v/>
      </c>
      <c r="BO44" s="10" t="str">
        <f t="shared" si="34"/>
        <v/>
      </c>
      <c r="BQ44" s="10">
        <f t="shared" si="15"/>
        <v>37126859.759999998</v>
      </c>
      <c r="BR44" s="10">
        <f t="shared" si="35"/>
        <v>15295774.64352392</v>
      </c>
    </row>
    <row r="45" spans="3:70" x14ac:dyDescent="0.15">
      <c r="C45" s="89" t="s">
        <v>509</v>
      </c>
      <c r="D45" s="101"/>
      <c r="E45" s="101"/>
      <c r="F45" s="89"/>
      <c r="G45" s="101"/>
      <c r="I45" s="458">
        <f t="shared" si="36"/>
        <v>2050</v>
      </c>
      <c r="J45" s="470"/>
      <c r="K45" s="470">
        <f t="shared" si="37"/>
        <v>31</v>
      </c>
      <c r="L45" s="39"/>
      <c r="M45" s="40">
        <f t="shared" si="0"/>
        <v>0.39998714516107459</v>
      </c>
      <c r="N45" s="39"/>
      <c r="O45" s="72" t="str">
        <f t="shared" si="16"/>
        <v/>
      </c>
      <c r="P45" s="41" t="str">
        <f t="shared" si="1"/>
        <v/>
      </c>
      <c r="Q45" s="39"/>
      <c r="R45" s="72" t="str">
        <f t="shared" si="17"/>
        <v/>
      </c>
      <c r="S45" s="39"/>
      <c r="T45" s="72" t="str">
        <f t="shared" si="18"/>
        <v/>
      </c>
      <c r="U45" s="39"/>
      <c r="V45" s="72" t="str">
        <f t="shared" si="2"/>
        <v/>
      </c>
      <c r="W45" s="72" t="str">
        <f t="shared" si="19"/>
        <v/>
      </c>
      <c r="X45" s="39"/>
      <c r="Y45" s="72" t="str">
        <f t="shared" si="3"/>
        <v/>
      </c>
      <c r="Z45" s="72" t="str">
        <f t="shared" si="20"/>
        <v/>
      </c>
      <c r="AA45" s="39"/>
      <c r="AB45" s="72">
        <f t="shared" si="4"/>
        <v>42000000</v>
      </c>
      <c r="AC45" s="72">
        <f t="shared" si="21"/>
        <v>16799460.096765134</v>
      </c>
      <c r="AD45" s="39"/>
      <c r="AE45" s="72" t="str">
        <f t="shared" si="5"/>
        <v/>
      </c>
      <c r="AF45" s="72" t="str">
        <f t="shared" si="22"/>
        <v/>
      </c>
      <c r="AG45" s="39"/>
      <c r="AH45" s="72" t="str">
        <f t="shared" si="6"/>
        <v/>
      </c>
      <c r="AI45" s="72" t="str">
        <f t="shared" si="23"/>
        <v/>
      </c>
      <c r="AJ45" s="39"/>
      <c r="AK45" s="72" t="str">
        <f t="shared" si="24"/>
        <v/>
      </c>
      <c r="AL45" s="72" t="str">
        <f t="shared" si="25"/>
        <v/>
      </c>
      <c r="AM45" s="39"/>
      <c r="AN45" s="72" t="str">
        <f t="shared" si="7"/>
        <v/>
      </c>
      <c r="AO45" s="72" t="str">
        <f t="shared" si="26"/>
        <v/>
      </c>
      <c r="AP45" s="39"/>
      <c r="AQ45" s="72" t="str">
        <f t="shared" si="8"/>
        <v/>
      </c>
      <c r="AR45" s="72" t="str">
        <f t="shared" si="27"/>
        <v/>
      </c>
      <c r="AS45" s="39"/>
      <c r="AT45" s="40" t="str">
        <f>IF($K45&lt;=$F$15,IF($F$40&lt;&gt;"",$F$40/1000,IF(ISERROR(VLOOKUP($F$3&amp;IF($G$4&lt;&gt;"",$G$4,"")&amp;IF($F$43&lt;&gt;"","_"&amp;$F$43,""),'表3）燃料価格'!$AF$9:$AG$25,2,0)),0,VLOOKUP($I45,'表3）燃料価格'!$A$6:$U$66,VLOOKUP($F$3&amp;IF($G$4&lt;&gt;"",$G$4,"")&amp;IF($F$43&lt;&gt;"","_"&amp;$F$43,""),'表3）燃料価格'!$AF$9:$AG$25,2,0)+VLOOKUP($F$41,'表3）燃料価格'!$AF$28:$AG$29,2,0),0)*IF($F$43="需要地価格",1,$F$8/$F$141))),"")</f>
        <v/>
      </c>
      <c r="AU45" s="39"/>
      <c r="AV45" s="72" t="str">
        <f t="shared" si="9"/>
        <v/>
      </c>
      <c r="AW45" s="72" t="str">
        <f t="shared" si="10"/>
        <v/>
      </c>
      <c r="AX45" s="39"/>
      <c r="AY45" s="40" t="str">
        <f>IF(ISERROR(IF($K45&lt;=$F$15,VLOOKUP($I45,'表4）CO2価格'!$A$7:$E$67,VLOOKUP($F$48,'表4）CO2価格'!$H$10:$I$12,2,0),0)*$F$8/1000,"")),0,IF($K45&lt;=$F$15,VLOOKUP($I45,'表4）CO2価格'!$A$7:$E$67,VLOOKUP($F$48,'表4）CO2価格'!$H$10:$I$12,2,0),0)*$F$8/1000,""))</f>
        <v/>
      </c>
      <c r="AZ45" s="39"/>
      <c r="BA45" s="42" t="str">
        <f t="shared" si="11"/>
        <v/>
      </c>
      <c r="BB45" s="72" t="str">
        <f t="shared" si="28"/>
        <v/>
      </c>
      <c r="BC45" s="39"/>
      <c r="BD45" s="72" t="str">
        <f t="shared" si="12"/>
        <v/>
      </c>
      <c r="BE45" s="72" t="str">
        <f t="shared" si="29"/>
        <v/>
      </c>
      <c r="BF45" s="39"/>
      <c r="BG45" s="42" t="str">
        <f t="shared" si="13"/>
        <v/>
      </c>
      <c r="BH45" s="72" t="str">
        <f t="shared" si="30"/>
        <v/>
      </c>
      <c r="BI45" s="39"/>
      <c r="BJ45" s="40" t="str">
        <f t="shared" si="31"/>
        <v/>
      </c>
      <c r="BK45" s="157" t="str">
        <f t="shared" si="32"/>
        <v/>
      </c>
      <c r="BL45" s="157" t="str">
        <f t="shared" si="14"/>
        <v/>
      </c>
      <c r="BM45" s="72"/>
      <c r="BN45" s="72" t="str">
        <f t="shared" si="33"/>
        <v/>
      </c>
      <c r="BO45" s="72" t="str">
        <f t="shared" si="34"/>
        <v/>
      </c>
      <c r="BP45" s="39"/>
      <c r="BQ45" s="72" t="str">
        <f t="shared" si="15"/>
        <v/>
      </c>
      <c r="BR45" s="72" t="str">
        <f t="shared" si="35"/>
        <v/>
      </c>
    </row>
    <row r="46" spans="3:70" x14ac:dyDescent="0.15">
      <c r="I46" s="459">
        <f t="shared" si="36"/>
        <v>2051</v>
      </c>
      <c r="K46" s="9">
        <f t="shared" si="37"/>
        <v>32</v>
      </c>
      <c r="L46" s="71"/>
      <c r="M46" s="7">
        <f t="shared" si="0"/>
        <v>0.38833703413696569</v>
      </c>
      <c r="N46" s="71"/>
      <c r="O46" s="10" t="str">
        <f t="shared" si="16"/>
        <v/>
      </c>
      <c r="P46" s="29" t="str">
        <f t="shared" si="1"/>
        <v/>
      </c>
      <c r="Q46" s="71"/>
      <c r="R46" s="10" t="str">
        <f t="shared" si="17"/>
        <v/>
      </c>
      <c r="S46" s="71"/>
      <c r="T46" s="10" t="str">
        <f t="shared" si="18"/>
        <v/>
      </c>
      <c r="U46" s="71"/>
      <c r="V46" s="10" t="str">
        <f t="shared" si="2"/>
        <v/>
      </c>
      <c r="W46" s="10" t="str">
        <f t="shared" si="19"/>
        <v/>
      </c>
      <c r="X46" s="71"/>
      <c r="Y46" s="10" t="str">
        <f t="shared" si="3"/>
        <v/>
      </c>
      <c r="Z46" s="10" t="str">
        <f t="shared" si="20"/>
        <v/>
      </c>
      <c r="AA46" s="71"/>
      <c r="AB46" s="10" t="str">
        <f t="shared" si="4"/>
        <v/>
      </c>
      <c r="AC46" s="10" t="str">
        <f t="shared" si="21"/>
        <v/>
      </c>
      <c r="AD46" s="71"/>
      <c r="AE46" s="10" t="str">
        <f t="shared" si="5"/>
        <v/>
      </c>
      <c r="AF46" s="10" t="str">
        <f t="shared" si="22"/>
        <v/>
      </c>
      <c r="AG46" s="71"/>
      <c r="AH46" s="10" t="str">
        <f t="shared" si="6"/>
        <v/>
      </c>
      <c r="AI46" s="10" t="str">
        <f t="shared" si="23"/>
        <v/>
      </c>
      <c r="AJ46" s="71"/>
      <c r="AK46" s="10" t="str">
        <f t="shared" si="24"/>
        <v/>
      </c>
      <c r="AL46" s="10" t="str">
        <f t="shared" si="25"/>
        <v/>
      </c>
      <c r="AM46" s="71"/>
      <c r="AN46" s="10" t="str">
        <f t="shared" si="7"/>
        <v/>
      </c>
      <c r="AO46" s="10" t="str">
        <f t="shared" si="26"/>
        <v/>
      </c>
      <c r="AP46" s="71"/>
      <c r="AQ46" s="10" t="str">
        <f t="shared" si="8"/>
        <v/>
      </c>
      <c r="AR46" s="10" t="str">
        <f t="shared" si="27"/>
        <v/>
      </c>
      <c r="AS46" s="71"/>
      <c r="AT46" s="7" t="str">
        <f>IF($K46&lt;=$F$15,IF($F$40&lt;&gt;"",$F$40/1000,IF(ISERROR(VLOOKUP($F$3&amp;IF($G$4&lt;&gt;"",$G$4,"")&amp;IF($F$43&lt;&gt;"","_"&amp;$F$43,""),'表3）燃料価格'!$AF$9:$AG$25,2,0)),0,VLOOKUP($I46,'表3）燃料価格'!$A$6:$U$66,VLOOKUP($F$3&amp;IF($G$4&lt;&gt;"",$G$4,"")&amp;IF($F$43&lt;&gt;"","_"&amp;$F$43,""),'表3）燃料価格'!$AF$9:$AG$25,2,0)+VLOOKUP($F$41,'表3）燃料価格'!$AF$28:$AG$29,2,0),0)*IF($F$43="需要地価格",1,$F$8/$F$141))),"")</f>
        <v/>
      </c>
      <c r="AU46" s="71"/>
      <c r="AV46" s="10" t="str">
        <f t="shared" si="9"/>
        <v/>
      </c>
      <c r="AW46" s="10" t="str">
        <f t="shared" si="10"/>
        <v/>
      </c>
      <c r="AX46" s="71"/>
      <c r="AY46" s="7" t="str">
        <f>IF(ISERROR(IF($K46&lt;=$F$15,VLOOKUP($I46,'表4）CO2価格'!$A$7:$E$67,VLOOKUP($F$48,'表4）CO2価格'!$H$10:$I$12,2,0),0)*$F$8/1000,"")),0,IF($K46&lt;=$F$15,VLOOKUP($I46,'表4）CO2価格'!$A$7:$E$67,VLOOKUP($F$48,'表4）CO2価格'!$H$10:$I$12,2,0),0)*$F$8/1000,""))</f>
        <v/>
      </c>
      <c r="AZ46" s="71"/>
      <c r="BA46" s="11" t="str">
        <f t="shared" si="11"/>
        <v/>
      </c>
      <c r="BB46" s="10" t="str">
        <f t="shared" si="28"/>
        <v/>
      </c>
      <c r="BC46" s="71"/>
      <c r="BD46" s="10" t="str">
        <f t="shared" si="12"/>
        <v/>
      </c>
      <c r="BE46" s="10" t="str">
        <f t="shared" si="29"/>
        <v/>
      </c>
      <c r="BF46" s="71"/>
      <c r="BG46" s="11" t="str">
        <f t="shared" si="13"/>
        <v/>
      </c>
      <c r="BH46" s="10" t="str">
        <f t="shared" si="30"/>
        <v/>
      </c>
      <c r="BJ46" s="7" t="str">
        <f t="shared" si="31"/>
        <v/>
      </c>
      <c r="BK46" s="158" t="str">
        <f t="shared" si="32"/>
        <v/>
      </c>
      <c r="BL46" s="158" t="str">
        <f t="shared" si="14"/>
        <v/>
      </c>
      <c r="BM46" s="10"/>
      <c r="BN46" s="10" t="str">
        <f t="shared" si="33"/>
        <v/>
      </c>
      <c r="BO46" s="10" t="str">
        <f t="shared" si="34"/>
        <v/>
      </c>
      <c r="BQ46" s="10" t="str">
        <f t="shared" si="15"/>
        <v/>
      </c>
      <c r="BR46" s="10" t="str">
        <f t="shared" si="35"/>
        <v/>
      </c>
    </row>
    <row r="47" spans="3:70" x14ac:dyDescent="0.15">
      <c r="D47" s="81" t="s">
        <v>182</v>
      </c>
      <c r="F47" s="109">
        <v>13.87</v>
      </c>
      <c r="G47" s="81" t="s">
        <v>226</v>
      </c>
      <c r="I47" s="458">
        <f t="shared" si="36"/>
        <v>2052</v>
      </c>
      <c r="J47" s="470"/>
      <c r="K47" s="470">
        <f t="shared" si="37"/>
        <v>33</v>
      </c>
      <c r="L47" s="39"/>
      <c r="M47" s="40">
        <f t="shared" si="0"/>
        <v>0.37702624673491814</v>
      </c>
      <c r="N47" s="39"/>
      <c r="O47" s="72" t="str">
        <f t="shared" si="16"/>
        <v/>
      </c>
      <c r="P47" s="41" t="str">
        <f t="shared" ref="P47:P78" si="38">IF(K47&lt;=$F$15,IF(OR(P46=$F$124,P46="-"),"-",IF(O47*$F$123&gt;$F$127,$F$123,$F$124)),"")</f>
        <v/>
      </c>
      <c r="Q47" s="39"/>
      <c r="R47" s="72" t="str">
        <f t="shared" si="17"/>
        <v/>
      </c>
      <c r="S47" s="39"/>
      <c r="T47" s="72" t="str">
        <f t="shared" si="18"/>
        <v/>
      </c>
      <c r="U47" s="39"/>
      <c r="V47" s="72" t="str">
        <f t="shared" ref="V47:V78" si="39">IF(K47&lt;=$F$15,IF(K47&lt;$F$119,IF(P47="-",V46,O47*P47),IF(K47=$F$119,MIN(IF(P47="-",V46,O47*P47),O47),0)),"")</f>
        <v/>
      </c>
      <c r="W47" s="72" t="str">
        <f t="shared" si="19"/>
        <v/>
      </c>
      <c r="X47" s="39"/>
      <c r="Y47" s="72" t="str">
        <f t="shared" ref="Y47:Y78" si="40">IF($K47&lt;=$F$15,ROUNDDOWN(T47*$F$25/100,-2),"")</f>
        <v/>
      </c>
      <c r="Z47" s="72" t="str">
        <f t="shared" si="20"/>
        <v/>
      </c>
      <c r="AA47" s="39"/>
      <c r="AB47" s="72" t="str">
        <f t="shared" si="4"/>
        <v/>
      </c>
      <c r="AC47" s="72" t="str">
        <f t="shared" si="21"/>
        <v/>
      </c>
      <c r="AD47" s="39"/>
      <c r="AE47" s="72" t="str">
        <f t="shared" ref="AE47:AE78" si="41">IF($K47&lt;=$F$15,$F$26,"")</f>
        <v/>
      </c>
      <c r="AF47" s="72" t="str">
        <f t="shared" si="22"/>
        <v/>
      </c>
      <c r="AG47" s="39"/>
      <c r="AH47" s="72" t="str">
        <f t="shared" ref="AH47:AH78" si="42">IF($K47&lt;=$F$15,$F$33*10^8,"")</f>
        <v/>
      </c>
      <c r="AI47" s="72" t="str">
        <f t="shared" si="23"/>
        <v/>
      </c>
      <c r="AJ47" s="39"/>
      <c r="AK47" s="72" t="str">
        <f t="shared" si="24"/>
        <v/>
      </c>
      <c r="AL47" s="72" t="str">
        <f t="shared" si="25"/>
        <v/>
      </c>
      <c r="AM47" s="39"/>
      <c r="AN47" s="72" t="str">
        <f t="shared" ref="AN47:AN78" si="43">IF($K47&lt;=$F$15,$F$117*$F$35/100,"")</f>
        <v/>
      </c>
      <c r="AO47" s="72" t="str">
        <f t="shared" si="26"/>
        <v/>
      </c>
      <c r="AP47" s="39"/>
      <c r="AQ47" s="72" t="str">
        <f t="shared" ref="AQ47:AQ78" si="44">IF($K47&lt;=$F$15,SUM(AH47,AK47,AN47)*($F$36/100),"")</f>
        <v/>
      </c>
      <c r="AR47" s="72" t="str">
        <f t="shared" si="27"/>
        <v/>
      </c>
      <c r="AS47" s="39"/>
      <c r="AT47" s="40" t="str">
        <f>IF($K47&lt;=$F$15,IF($F$40&lt;&gt;"",$F$40/1000,IF(ISERROR(VLOOKUP($F$3&amp;IF($G$4&lt;&gt;"",$G$4,"")&amp;IF($F$43&lt;&gt;"","_"&amp;$F$43,""),'表3）燃料価格'!$AF$9:$AG$25,2,0)),0,VLOOKUP($I47,'表3）燃料価格'!$A$6:$U$66,VLOOKUP($F$3&amp;IF($G$4&lt;&gt;"",$G$4,"")&amp;IF($F$43&lt;&gt;"","_"&amp;$F$43,""),'表3）燃料価格'!$AF$9:$AG$25,2,0)+VLOOKUP($F$41,'表3）燃料価格'!$AF$28:$AG$29,2,0),0)*IF($F$43="需要地価格",1,$F$8/$F$141))),"")</f>
        <v/>
      </c>
      <c r="AU47" s="39"/>
      <c r="AV47" s="72" t="str">
        <f t="shared" ref="AV47:AV78" si="45">IF($K47&lt;=$F$15,($AT47+$F$142)*$F$137,"")</f>
        <v/>
      </c>
      <c r="AW47" s="72" t="str">
        <f t="shared" si="10"/>
        <v/>
      </c>
      <c r="AX47" s="39"/>
      <c r="AY47" s="40" t="str">
        <f>IF(ISERROR(IF($K47&lt;=$F$15,VLOOKUP($I47,'表4）CO2価格'!$A$7:$E$67,VLOOKUP($F$48,'表4）CO2価格'!$H$10:$I$12,2,0),0)*$F$8/1000,"")),0,IF($K47&lt;=$F$15,VLOOKUP($I47,'表4）CO2価格'!$A$7:$E$67,VLOOKUP($F$48,'表4）CO2価格'!$H$10:$I$12,2,0),0)*$F$8/1000,""))</f>
        <v/>
      </c>
      <c r="AZ47" s="39"/>
      <c r="BA47" s="42" t="str">
        <f t="shared" ref="BA47:BA78" si="46">IF($K47&lt;=$F$15,$F$145*AY47,"")</f>
        <v/>
      </c>
      <c r="BB47" s="72" t="str">
        <f t="shared" si="28"/>
        <v/>
      </c>
      <c r="BC47" s="39"/>
      <c r="BD47" s="72" t="str">
        <f t="shared" ref="BD47:BD78" si="47">IF($K47&lt;=$F$15,($AT47+$F$152)*$F$151,"")</f>
        <v/>
      </c>
      <c r="BE47" s="72" t="str">
        <f t="shared" si="29"/>
        <v/>
      </c>
      <c r="BF47" s="39"/>
      <c r="BG47" s="42" t="str">
        <f t="shared" ref="BG47:BG78" si="48">IF($K47&lt;=$F$15,$F$153*AY47,"")</f>
        <v/>
      </c>
      <c r="BH47" s="72" t="str">
        <f t="shared" si="30"/>
        <v/>
      </c>
      <c r="BI47" s="39"/>
      <c r="BJ47" s="40" t="str">
        <f t="shared" si="31"/>
        <v/>
      </c>
      <c r="BK47" s="157" t="str">
        <f t="shared" si="32"/>
        <v/>
      </c>
      <c r="BL47" s="157" t="str">
        <f t="shared" si="14"/>
        <v/>
      </c>
      <c r="BM47" s="72"/>
      <c r="BN47" s="72" t="str">
        <f t="shared" si="33"/>
        <v/>
      </c>
      <c r="BO47" s="72" t="str">
        <f t="shared" si="34"/>
        <v/>
      </c>
      <c r="BP47" s="39"/>
      <c r="BQ47" s="72" t="str">
        <f t="shared" ref="BQ47:BQ78" si="49">IF($K47&lt;=$F$15,$F$134,"")</f>
        <v/>
      </c>
      <c r="BR47" s="72" t="str">
        <f t="shared" si="35"/>
        <v/>
      </c>
    </row>
    <row r="48" spans="3:70" x14ac:dyDescent="0.15">
      <c r="D48" s="81" t="s">
        <v>184</v>
      </c>
      <c r="F48" s="88" t="str">
        <f>まとめ!B5</f>
        <v>WEO2020　STEPS</v>
      </c>
      <c r="I48" s="459">
        <f t="shared" si="36"/>
        <v>2053</v>
      </c>
      <c r="K48" s="9">
        <f t="shared" si="37"/>
        <v>34</v>
      </c>
      <c r="L48" s="71"/>
      <c r="M48" s="7">
        <f t="shared" si="0"/>
        <v>0.36604489974263904</v>
      </c>
      <c r="N48" s="71"/>
      <c r="O48" s="10" t="str">
        <f t="shared" si="16"/>
        <v/>
      </c>
      <c r="P48" s="29" t="str">
        <f t="shared" si="38"/>
        <v/>
      </c>
      <c r="Q48" s="71"/>
      <c r="R48" s="10" t="str">
        <f t="shared" ref="R48:R79" si="50">IF($K48&lt;=$F$15,MAX($F$117*5%,R47*$F$129),"")</f>
        <v/>
      </c>
      <c r="S48" s="71"/>
      <c r="T48" s="10" t="str">
        <f t="shared" si="18"/>
        <v/>
      </c>
      <c r="U48" s="71"/>
      <c r="V48" s="10" t="str">
        <f t="shared" si="39"/>
        <v/>
      </c>
      <c r="W48" s="10" t="str">
        <f t="shared" si="19"/>
        <v/>
      </c>
      <c r="X48" s="71"/>
      <c r="Y48" s="10" t="str">
        <f t="shared" si="40"/>
        <v/>
      </c>
      <c r="Z48" s="10" t="str">
        <f t="shared" si="20"/>
        <v/>
      </c>
      <c r="AA48" s="71"/>
      <c r="AB48" s="10" t="str">
        <f t="shared" si="4"/>
        <v/>
      </c>
      <c r="AC48" s="10" t="str">
        <f t="shared" si="21"/>
        <v/>
      </c>
      <c r="AD48" s="71"/>
      <c r="AE48" s="10" t="str">
        <f t="shared" si="41"/>
        <v/>
      </c>
      <c r="AF48" s="10" t="str">
        <f t="shared" si="22"/>
        <v/>
      </c>
      <c r="AG48" s="71"/>
      <c r="AH48" s="10" t="str">
        <f t="shared" si="42"/>
        <v/>
      </c>
      <c r="AI48" s="10" t="str">
        <f t="shared" si="23"/>
        <v/>
      </c>
      <c r="AJ48" s="71"/>
      <c r="AK48" s="10" t="str">
        <f t="shared" si="24"/>
        <v/>
      </c>
      <c r="AL48" s="10" t="str">
        <f t="shared" si="25"/>
        <v/>
      </c>
      <c r="AM48" s="71"/>
      <c r="AN48" s="10" t="str">
        <f t="shared" si="43"/>
        <v/>
      </c>
      <c r="AO48" s="10" t="str">
        <f t="shared" si="26"/>
        <v/>
      </c>
      <c r="AP48" s="71"/>
      <c r="AQ48" s="10" t="str">
        <f t="shared" si="44"/>
        <v/>
      </c>
      <c r="AR48" s="10" t="str">
        <f t="shared" si="27"/>
        <v/>
      </c>
      <c r="AS48" s="71"/>
      <c r="AT48" s="7" t="str">
        <f>IF($K48&lt;=$F$15,IF($F$40&lt;&gt;"",$F$40/1000,IF(ISERROR(VLOOKUP($F$3&amp;IF($G$4&lt;&gt;"",$G$4,"")&amp;IF($F$43&lt;&gt;"","_"&amp;$F$43,""),'表3）燃料価格'!$AF$9:$AG$25,2,0)),0,VLOOKUP($I48,'表3）燃料価格'!$A$6:$U$66,VLOOKUP($F$3&amp;IF($G$4&lt;&gt;"",$G$4,"")&amp;IF($F$43&lt;&gt;"","_"&amp;$F$43,""),'表3）燃料価格'!$AF$9:$AG$25,2,0)+VLOOKUP($F$41,'表3）燃料価格'!$AF$28:$AG$29,2,0),0)*IF($F$43="需要地価格",1,$F$8/$F$141))),"")</f>
        <v/>
      </c>
      <c r="AU48" s="71"/>
      <c r="AV48" s="10" t="str">
        <f t="shared" si="45"/>
        <v/>
      </c>
      <c r="AW48" s="10" t="str">
        <f t="shared" si="10"/>
        <v/>
      </c>
      <c r="AX48" s="71"/>
      <c r="AY48" s="7" t="str">
        <f>IF(ISERROR(IF($K48&lt;=$F$15,VLOOKUP($I48,'表4）CO2価格'!$A$7:$E$67,VLOOKUP($F$48,'表4）CO2価格'!$H$10:$I$12,2,0),0)*$F$8/1000,"")),0,IF($K48&lt;=$F$15,VLOOKUP($I48,'表4）CO2価格'!$A$7:$E$67,VLOOKUP($F$48,'表4）CO2価格'!$H$10:$I$12,2,0),0)*$F$8/1000,""))</f>
        <v/>
      </c>
      <c r="AZ48" s="71"/>
      <c r="BA48" s="11" t="str">
        <f t="shared" si="46"/>
        <v/>
      </c>
      <c r="BB48" s="10" t="str">
        <f t="shared" si="28"/>
        <v/>
      </c>
      <c r="BC48" s="71"/>
      <c r="BD48" s="10" t="str">
        <f t="shared" si="47"/>
        <v/>
      </c>
      <c r="BE48" s="10" t="str">
        <f t="shared" si="29"/>
        <v/>
      </c>
      <c r="BF48" s="71"/>
      <c r="BG48" s="11" t="str">
        <f t="shared" si="48"/>
        <v/>
      </c>
      <c r="BH48" s="10" t="str">
        <f t="shared" si="30"/>
        <v/>
      </c>
      <c r="BJ48" s="7" t="str">
        <f t="shared" si="31"/>
        <v/>
      </c>
      <c r="BK48" s="158" t="str">
        <f t="shared" si="32"/>
        <v/>
      </c>
      <c r="BL48" s="158" t="str">
        <f t="shared" si="14"/>
        <v/>
      </c>
      <c r="BM48" s="10"/>
      <c r="BN48" s="10" t="str">
        <f t="shared" si="33"/>
        <v/>
      </c>
      <c r="BO48" s="10" t="str">
        <f t="shared" si="34"/>
        <v/>
      </c>
      <c r="BQ48" s="10" t="str">
        <f t="shared" si="49"/>
        <v/>
      </c>
      <c r="BR48" s="10" t="str">
        <f t="shared" si="35"/>
        <v/>
      </c>
    </row>
    <row r="49" spans="3:70" x14ac:dyDescent="0.15">
      <c r="I49" s="458">
        <f t="shared" si="36"/>
        <v>2054</v>
      </c>
      <c r="J49" s="470"/>
      <c r="K49" s="470">
        <f t="shared" si="37"/>
        <v>35</v>
      </c>
      <c r="L49" s="39"/>
      <c r="M49" s="40">
        <f t="shared" si="0"/>
        <v>0.35538339780838735</v>
      </c>
      <c r="N49" s="39"/>
      <c r="O49" s="72" t="str">
        <f t="shared" si="16"/>
        <v/>
      </c>
      <c r="P49" s="41" t="str">
        <f t="shared" si="38"/>
        <v/>
      </c>
      <c r="Q49" s="39"/>
      <c r="R49" s="72" t="str">
        <f t="shared" si="50"/>
        <v/>
      </c>
      <c r="S49" s="39"/>
      <c r="T49" s="72" t="str">
        <f t="shared" si="18"/>
        <v/>
      </c>
      <c r="U49" s="39"/>
      <c r="V49" s="72" t="str">
        <f t="shared" si="39"/>
        <v/>
      </c>
      <c r="W49" s="72" t="str">
        <f t="shared" si="19"/>
        <v/>
      </c>
      <c r="X49" s="39"/>
      <c r="Y49" s="72" t="str">
        <f t="shared" si="40"/>
        <v/>
      </c>
      <c r="Z49" s="72" t="str">
        <f t="shared" si="20"/>
        <v/>
      </c>
      <c r="AA49" s="39"/>
      <c r="AB49" s="72" t="str">
        <f t="shared" si="4"/>
        <v/>
      </c>
      <c r="AC49" s="72" t="str">
        <f t="shared" si="21"/>
        <v/>
      </c>
      <c r="AD49" s="39"/>
      <c r="AE49" s="72" t="str">
        <f t="shared" si="41"/>
        <v/>
      </c>
      <c r="AF49" s="72" t="str">
        <f t="shared" si="22"/>
        <v/>
      </c>
      <c r="AG49" s="39"/>
      <c r="AH49" s="72" t="str">
        <f t="shared" si="42"/>
        <v/>
      </c>
      <c r="AI49" s="72" t="str">
        <f t="shared" si="23"/>
        <v/>
      </c>
      <c r="AJ49" s="39"/>
      <c r="AK49" s="72" t="str">
        <f t="shared" si="24"/>
        <v/>
      </c>
      <c r="AL49" s="72" t="str">
        <f t="shared" si="25"/>
        <v/>
      </c>
      <c r="AM49" s="39"/>
      <c r="AN49" s="72" t="str">
        <f t="shared" si="43"/>
        <v/>
      </c>
      <c r="AO49" s="72" t="str">
        <f t="shared" si="26"/>
        <v/>
      </c>
      <c r="AP49" s="39"/>
      <c r="AQ49" s="72" t="str">
        <f t="shared" si="44"/>
        <v/>
      </c>
      <c r="AR49" s="72" t="str">
        <f t="shared" si="27"/>
        <v/>
      </c>
      <c r="AS49" s="39"/>
      <c r="AT49" s="40" t="str">
        <f>IF($K49&lt;=$F$15,IF($F$40&lt;&gt;"",$F$40/1000,IF(ISERROR(VLOOKUP($F$3&amp;IF($G$4&lt;&gt;"",$G$4,"")&amp;IF($F$43&lt;&gt;"","_"&amp;$F$43,""),'表3）燃料価格'!$AF$9:$AG$25,2,0)),0,VLOOKUP($I49,'表3）燃料価格'!$A$6:$U$66,VLOOKUP($F$3&amp;IF($G$4&lt;&gt;"",$G$4,"")&amp;IF($F$43&lt;&gt;"","_"&amp;$F$43,""),'表3）燃料価格'!$AF$9:$AG$25,2,0)+VLOOKUP($F$41,'表3）燃料価格'!$AF$28:$AG$29,2,0),0)*IF($F$43="需要地価格",1,$F$8/$F$141))),"")</f>
        <v/>
      </c>
      <c r="AU49" s="39"/>
      <c r="AV49" s="72" t="str">
        <f t="shared" si="45"/>
        <v/>
      </c>
      <c r="AW49" s="72" t="str">
        <f t="shared" si="10"/>
        <v/>
      </c>
      <c r="AX49" s="39"/>
      <c r="AY49" s="40" t="str">
        <f>IF(ISERROR(IF($K49&lt;=$F$15,VLOOKUP($I49,'表4）CO2価格'!$A$7:$E$67,VLOOKUP($F$48,'表4）CO2価格'!$H$10:$I$12,2,0),0)*$F$8/1000,"")),0,IF($K49&lt;=$F$15,VLOOKUP($I49,'表4）CO2価格'!$A$7:$E$67,VLOOKUP($F$48,'表4）CO2価格'!$H$10:$I$12,2,0),0)*$F$8/1000,""))</f>
        <v/>
      </c>
      <c r="AZ49" s="39"/>
      <c r="BA49" s="42" t="str">
        <f t="shared" si="46"/>
        <v/>
      </c>
      <c r="BB49" s="72" t="str">
        <f t="shared" si="28"/>
        <v/>
      </c>
      <c r="BC49" s="39"/>
      <c r="BD49" s="72" t="str">
        <f t="shared" si="47"/>
        <v/>
      </c>
      <c r="BE49" s="72" t="str">
        <f t="shared" si="29"/>
        <v/>
      </c>
      <c r="BF49" s="39"/>
      <c r="BG49" s="42" t="str">
        <f t="shared" si="48"/>
        <v/>
      </c>
      <c r="BH49" s="72" t="str">
        <f t="shared" si="30"/>
        <v/>
      </c>
      <c r="BI49" s="39"/>
      <c r="BJ49" s="40" t="str">
        <f t="shared" si="31"/>
        <v/>
      </c>
      <c r="BK49" s="157" t="str">
        <f t="shared" si="32"/>
        <v/>
      </c>
      <c r="BL49" s="157" t="str">
        <f t="shared" si="14"/>
        <v/>
      </c>
      <c r="BM49" s="72"/>
      <c r="BN49" s="72" t="str">
        <f t="shared" si="33"/>
        <v/>
      </c>
      <c r="BO49" s="72" t="str">
        <f t="shared" si="34"/>
        <v/>
      </c>
      <c r="BP49" s="39"/>
      <c r="BQ49" s="72" t="str">
        <f t="shared" si="49"/>
        <v/>
      </c>
      <c r="BR49" s="72" t="str">
        <f t="shared" si="35"/>
        <v/>
      </c>
    </row>
    <row r="50" spans="3:70" x14ac:dyDescent="0.15">
      <c r="C50" s="89" t="s">
        <v>510</v>
      </c>
      <c r="D50" s="101"/>
      <c r="E50" s="101"/>
      <c r="F50" s="89"/>
      <c r="G50" s="101"/>
      <c r="I50" s="459">
        <f t="shared" si="36"/>
        <v>2055</v>
      </c>
      <c r="K50" s="9">
        <f t="shared" si="37"/>
        <v>36</v>
      </c>
      <c r="L50" s="71"/>
      <c r="M50" s="7">
        <f t="shared" si="0"/>
        <v>0.34503242505668674</v>
      </c>
      <c r="N50" s="71"/>
      <c r="O50" s="10" t="str">
        <f t="shared" si="16"/>
        <v/>
      </c>
      <c r="P50" s="29" t="str">
        <f t="shared" si="38"/>
        <v/>
      </c>
      <c r="Q50" s="71"/>
      <c r="R50" s="10" t="str">
        <f t="shared" si="50"/>
        <v/>
      </c>
      <c r="S50" s="71"/>
      <c r="T50" s="10" t="str">
        <f t="shared" si="18"/>
        <v/>
      </c>
      <c r="U50" s="71"/>
      <c r="V50" s="10" t="str">
        <f t="shared" si="39"/>
        <v/>
      </c>
      <c r="W50" s="10" t="str">
        <f t="shared" si="19"/>
        <v/>
      </c>
      <c r="X50" s="71"/>
      <c r="Y50" s="10" t="str">
        <f t="shared" si="40"/>
        <v/>
      </c>
      <c r="Z50" s="10" t="str">
        <f t="shared" si="20"/>
        <v/>
      </c>
      <c r="AA50" s="71"/>
      <c r="AB50" s="10" t="str">
        <f t="shared" si="4"/>
        <v/>
      </c>
      <c r="AC50" s="10" t="str">
        <f t="shared" si="21"/>
        <v/>
      </c>
      <c r="AD50" s="71"/>
      <c r="AE50" s="10" t="str">
        <f t="shared" si="41"/>
        <v/>
      </c>
      <c r="AF50" s="10" t="str">
        <f t="shared" si="22"/>
        <v/>
      </c>
      <c r="AG50" s="71"/>
      <c r="AH50" s="10" t="str">
        <f t="shared" si="42"/>
        <v/>
      </c>
      <c r="AI50" s="10" t="str">
        <f t="shared" si="23"/>
        <v/>
      </c>
      <c r="AJ50" s="71"/>
      <c r="AK50" s="10" t="str">
        <f t="shared" si="24"/>
        <v/>
      </c>
      <c r="AL50" s="10" t="str">
        <f t="shared" si="25"/>
        <v/>
      </c>
      <c r="AM50" s="71"/>
      <c r="AN50" s="10" t="str">
        <f t="shared" si="43"/>
        <v/>
      </c>
      <c r="AO50" s="10" t="str">
        <f t="shared" si="26"/>
        <v/>
      </c>
      <c r="AP50" s="71"/>
      <c r="AQ50" s="10" t="str">
        <f t="shared" si="44"/>
        <v/>
      </c>
      <c r="AR50" s="10" t="str">
        <f t="shared" si="27"/>
        <v/>
      </c>
      <c r="AS50" s="71"/>
      <c r="AT50" s="7" t="str">
        <f>IF($K50&lt;=$F$15,IF($F$40&lt;&gt;"",$F$40/1000,IF(ISERROR(VLOOKUP($F$3&amp;IF($G$4&lt;&gt;"",$G$4,"")&amp;IF($F$43&lt;&gt;"","_"&amp;$F$43,""),'表3）燃料価格'!$AF$9:$AG$25,2,0)),0,VLOOKUP($I50,'表3）燃料価格'!$A$6:$U$66,VLOOKUP($F$3&amp;IF($G$4&lt;&gt;"",$G$4,"")&amp;IF($F$43&lt;&gt;"","_"&amp;$F$43,""),'表3）燃料価格'!$AF$9:$AG$25,2,0)+VLOOKUP($F$41,'表3）燃料価格'!$AF$28:$AG$29,2,0),0)*IF($F$43="需要地価格",1,$F$8/$F$141))),"")</f>
        <v/>
      </c>
      <c r="AU50" s="71"/>
      <c r="AV50" s="10" t="str">
        <f t="shared" si="45"/>
        <v/>
      </c>
      <c r="AW50" s="10" t="str">
        <f t="shared" si="10"/>
        <v/>
      </c>
      <c r="AX50" s="71"/>
      <c r="AY50" s="7" t="str">
        <f>IF(ISERROR(IF($K50&lt;=$F$15,VLOOKUP($I50,'表4）CO2価格'!$A$7:$E$67,VLOOKUP($F$48,'表4）CO2価格'!$H$10:$I$12,2,0),0)*$F$8/1000,"")),0,IF($K50&lt;=$F$15,VLOOKUP($I50,'表4）CO2価格'!$A$7:$E$67,VLOOKUP($F$48,'表4）CO2価格'!$H$10:$I$12,2,0),0)*$F$8/1000,""))</f>
        <v/>
      </c>
      <c r="AZ50" s="71"/>
      <c r="BA50" s="11" t="str">
        <f t="shared" si="46"/>
        <v/>
      </c>
      <c r="BB50" s="10" t="str">
        <f t="shared" si="28"/>
        <v/>
      </c>
      <c r="BC50" s="71"/>
      <c r="BD50" s="10" t="str">
        <f t="shared" si="47"/>
        <v/>
      </c>
      <c r="BE50" s="10" t="str">
        <f t="shared" si="29"/>
        <v/>
      </c>
      <c r="BF50" s="71"/>
      <c r="BG50" s="11" t="str">
        <f t="shared" si="48"/>
        <v/>
      </c>
      <c r="BH50" s="10" t="str">
        <f t="shared" si="30"/>
        <v/>
      </c>
      <c r="BJ50" s="7" t="str">
        <f t="shared" si="31"/>
        <v/>
      </c>
      <c r="BK50" s="158" t="str">
        <f t="shared" si="32"/>
        <v/>
      </c>
      <c r="BL50" s="158" t="str">
        <f t="shared" si="14"/>
        <v/>
      </c>
      <c r="BM50" s="10"/>
      <c r="BN50" s="10" t="str">
        <f t="shared" si="33"/>
        <v/>
      </c>
      <c r="BO50" s="10" t="str">
        <f t="shared" si="34"/>
        <v/>
      </c>
      <c r="BQ50" s="10" t="str">
        <f t="shared" si="49"/>
        <v/>
      </c>
      <c r="BR50" s="10" t="str">
        <f t="shared" si="35"/>
        <v/>
      </c>
    </row>
    <row r="51" spans="3:70" x14ac:dyDescent="0.15">
      <c r="I51" s="458">
        <f t="shared" si="36"/>
        <v>2056</v>
      </c>
      <c r="J51" s="470"/>
      <c r="K51" s="470">
        <f t="shared" si="37"/>
        <v>37</v>
      </c>
      <c r="L51" s="39"/>
      <c r="M51" s="40">
        <f t="shared" si="0"/>
        <v>0.33498293694823961</v>
      </c>
      <c r="N51" s="39"/>
      <c r="O51" s="72" t="str">
        <f t="shared" si="16"/>
        <v/>
      </c>
      <c r="P51" s="41" t="str">
        <f t="shared" si="38"/>
        <v/>
      </c>
      <c r="Q51" s="39"/>
      <c r="R51" s="72" t="str">
        <f t="shared" si="50"/>
        <v/>
      </c>
      <c r="S51" s="39"/>
      <c r="T51" s="72" t="str">
        <f t="shared" si="18"/>
        <v/>
      </c>
      <c r="U51" s="39"/>
      <c r="V51" s="72" t="str">
        <f t="shared" si="39"/>
        <v/>
      </c>
      <c r="W51" s="72" t="str">
        <f t="shared" si="19"/>
        <v/>
      </c>
      <c r="X51" s="39"/>
      <c r="Y51" s="72" t="str">
        <f t="shared" si="40"/>
        <v/>
      </c>
      <c r="Z51" s="72" t="str">
        <f t="shared" si="20"/>
        <v/>
      </c>
      <c r="AA51" s="39"/>
      <c r="AB51" s="72" t="str">
        <f t="shared" si="4"/>
        <v/>
      </c>
      <c r="AC51" s="72" t="str">
        <f t="shared" si="21"/>
        <v/>
      </c>
      <c r="AD51" s="39"/>
      <c r="AE51" s="72" t="str">
        <f t="shared" si="41"/>
        <v/>
      </c>
      <c r="AF51" s="72" t="str">
        <f t="shared" si="22"/>
        <v/>
      </c>
      <c r="AG51" s="39"/>
      <c r="AH51" s="72" t="str">
        <f t="shared" si="42"/>
        <v/>
      </c>
      <c r="AI51" s="72" t="str">
        <f t="shared" si="23"/>
        <v/>
      </c>
      <c r="AJ51" s="39"/>
      <c r="AK51" s="72" t="str">
        <f t="shared" si="24"/>
        <v/>
      </c>
      <c r="AL51" s="72" t="str">
        <f t="shared" si="25"/>
        <v/>
      </c>
      <c r="AM51" s="39"/>
      <c r="AN51" s="72" t="str">
        <f t="shared" si="43"/>
        <v/>
      </c>
      <c r="AO51" s="72" t="str">
        <f t="shared" si="26"/>
        <v/>
      </c>
      <c r="AP51" s="39"/>
      <c r="AQ51" s="72" t="str">
        <f t="shared" si="44"/>
        <v/>
      </c>
      <c r="AR51" s="72" t="str">
        <f t="shared" si="27"/>
        <v/>
      </c>
      <c r="AS51" s="39"/>
      <c r="AT51" s="40" t="str">
        <f>IF($K51&lt;=$F$15,IF($F$40&lt;&gt;"",$F$40/1000,IF(ISERROR(VLOOKUP($F$3&amp;IF($G$4&lt;&gt;"",$G$4,"")&amp;IF($F$43&lt;&gt;"","_"&amp;$F$43,""),'表3）燃料価格'!$AF$9:$AG$25,2,0)),0,VLOOKUP($I51,'表3）燃料価格'!$A$6:$U$66,VLOOKUP($F$3&amp;IF($G$4&lt;&gt;"",$G$4,"")&amp;IF($F$43&lt;&gt;"","_"&amp;$F$43,""),'表3）燃料価格'!$AF$9:$AG$25,2,0)+VLOOKUP($F$41,'表3）燃料価格'!$AF$28:$AG$29,2,0),0)*IF($F$43="需要地価格",1,$F$8/$F$141))),"")</f>
        <v/>
      </c>
      <c r="AU51" s="39"/>
      <c r="AV51" s="72" t="str">
        <f t="shared" si="45"/>
        <v/>
      </c>
      <c r="AW51" s="72" t="str">
        <f t="shared" si="10"/>
        <v/>
      </c>
      <c r="AX51" s="39"/>
      <c r="AY51" s="40" t="str">
        <f>IF(ISERROR(IF($K51&lt;=$F$15,VLOOKUP($I51,'表4）CO2価格'!$A$7:$E$67,VLOOKUP($F$48,'表4）CO2価格'!$H$10:$I$12,2,0),0)*$F$8/1000,"")),0,IF($K51&lt;=$F$15,VLOOKUP($I51,'表4）CO2価格'!$A$7:$E$67,VLOOKUP($F$48,'表4）CO2価格'!$H$10:$I$12,2,0),0)*$F$8/1000,""))</f>
        <v/>
      </c>
      <c r="AZ51" s="39"/>
      <c r="BA51" s="42" t="str">
        <f t="shared" si="46"/>
        <v/>
      </c>
      <c r="BB51" s="72" t="str">
        <f t="shared" si="28"/>
        <v/>
      </c>
      <c r="BC51" s="39"/>
      <c r="BD51" s="72" t="str">
        <f t="shared" si="47"/>
        <v/>
      </c>
      <c r="BE51" s="72" t="str">
        <f t="shared" si="29"/>
        <v/>
      </c>
      <c r="BF51" s="39"/>
      <c r="BG51" s="42" t="str">
        <f t="shared" si="48"/>
        <v/>
      </c>
      <c r="BH51" s="72" t="str">
        <f t="shared" si="30"/>
        <v/>
      </c>
      <c r="BI51" s="39"/>
      <c r="BJ51" s="40" t="str">
        <f t="shared" si="31"/>
        <v/>
      </c>
      <c r="BK51" s="157" t="str">
        <f t="shared" si="32"/>
        <v/>
      </c>
      <c r="BL51" s="157" t="str">
        <f t="shared" si="14"/>
        <v/>
      </c>
      <c r="BM51" s="72"/>
      <c r="BN51" s="72" t="str">
        <f t="shared" si="33"/>
        <v/>
      </c>
      <c r="BO51" s="72" t="str">
        <f t="shared" si="34"/>
        <v/>
      </c>
      <c r="BP51" s="39"/>
      <c r="BQ51" s="72" t="str">
        <f t="shared" si="49"/>
        <v/>
      </c>
      <c r="BR51" s="72" t="str">
        <f t="shared" si="35"/>
        <v/>
      </c>
    </row>
    <row r="52" spans="3:70" x14ac:dyDescent="0.15">
      <c r="D52" s="81" t="s">
        <v>185</v>
      </c>
      <c r="F52" s="67">
        <v>32.200000000000003</v>
      </c>
      <c r="G52" s="81" t="s">
        <v>172</v>
      </c>
      <c r="I52" s="459">
        <f t="shared" si="36"/>
        <v>2057</v>
      </c>
      <c r="K52" s="9">
        <f t="shared" si="37"/>
        <v>38</v>
      </c>
      <c r="L52" s="71"/>
      <c r="M52" s="7">
        <f t="shared" si="0"/>
        <v>0.3252261523769317</v>
      </c>
      <c r="N52" s="71"/>
      <c r="O52" s="10" t="str">
        <f t="shared" si="16"/>
        <v/>
      </c>
      <c r="P52" s="29" t="str">
        <f t="shared" si="38"/>
        <v/>
      </c>
      <c r="Q52" s="71"/>
      <c r="R52" s="10" t="str">
        <f t="shared" si="50"/>
        <v/>
      </c>
      <c r="S52" s="71"/>
      <c r="T52" s="10" t="str">
        <f t="shared" si="18"/>
        <v/>
      </c>
      <c r="U52" s="71"/>
      <c r="V52" s="10" t="str">
        <f t="shared" si="39"/>
        <v/>
      </c>
      <c r="W52" s="10" t="str">
        <f t="shared" si="19"/>
        <v/>
      </c>
      <c r="X52" s="71"/>
      <c r="Y52" s="10" t="str">
        <f t="shared" si="40"/>
        <v/>
      </c>
      <c r="Z52" s="10" t="str">
        <f t="shared" si="20"/>
        <v/>
      </c>
      <c r="AA52" s="71"/>
      <c r="AB52" s="10" t="str">
        <f t="shared" si="4"/>
        <v/>
      </c>
      <c r="AC52" s="10" t="str">
        <f t="shared" si="21"/>
        <v/>
      </c>
      <c r="AD52" s="71"/>
      <c r="AE52" s="10" t="str">
        <f t="shared" si="41"/>
        <v/>
      </c>
      <c r="AF52" s="10" t="str">
        <f t="shared" si="22"/>
        <v/>
      </c>
      <c r="AG52" s="71"/>
      <c r="AH52" s="10" t="str">
        <f t="shared" si="42"/>
        <v/>
      </c>
      <c r="AI52" s="10" t="str">
        <f t="shared" si="23"/>
        <v/>
      </c>
      <c r="AJ52" s="71"/>
      <c r="AK52" s="10" t="str">
        <f t="shared" si="24"/>
        <v/>
      </c>
      <c r="AL52" s="10" t="str">
        <f t="shared" si="25"/>
        <v/>
      </c>
      <c r="AM52" s="71"/>
      <c r="AN52" s="10" t="str">
        <f t="shared" si="43"/>
        <v/>
      </c>
      <c r="AO52" s="10" t="str">
        <f t="shared" si="26"/>
        <v/>
      </c>
      <c r="AP52" s="71"/>
      <c r="AQ52" s="10" t="str">
        <f t="shared" si="44"/>
        <v/>
      </c>
      <c r="AR52" s="10" t="str">
        <f t="shared" si="27"/>
        <v/>
      </c>
      <c r="AS52" s="71"/>
      <c r="AT52" s="7" t="str">
        <f>IF($K52&lt;=$F$15,IF($F$40&lt;&gt;"",$F$40/1000,IF(ISERROR(VLOOKUP($F$3&amp;IF($G$4&lt;&gt;"",$G$4,"")&amp;IF($F$43&lt;&gt;"","_"&amp;$F$43,""),'表3）燃料価格'!$AF$9:$AG$25,2,0)),0,VLOOKUP($I52,'表3）燃料価格'!$A$6:$U$66,VLOOKUP($F$3&amp;IF($G$4&lt;&gt;"",$G$4,"")&amp;IF($F$43&lt;&gt;"","_"&amp;$F$43,""),'表3）燃料価格'!$AF$9:$AG$25,2,0)+VLOOKUP($F$41,'表3）燃料価格'!$AF$28:$AG$29,2,0),0)*IF($F$43="需要地価格",1,$F$8/$F$141))),"")</f>
        <v/>
      </c>
      <c r="AU52" s="71"/>
      <c r="AV52" s="10" t="str">
        <f t="shared" si="45"/>
        <v/>
      </c>
      <c r="AW52" s="10" t="str">
        <f t="shared" si="10"/>
        <v/>
      </c>
      <c r="AX52" s="71"/>
      <c r="AY52" s="7" t="str">
        <f>IF(ISERROR(IF($K52&lt;=$F$15,VLOOKUP($I52,'表4）CO2価格'!$A$7:$E$67,VLOOKUP($F$48,'表4）CO2価格'!$H$10:$I$12,2,0),0)*$F$8/1000,"")),0,IF($K52&lt;=$F$15,VLOOKUP($I52,'表4）CO2価格'!$A$7:$E$67,VLOOKUP($F$48,'表4）CO2価格'!$H$10:$I$12,2,0),0)*$F$8/1000,""))</f>
        <v/>
      </c>
      <c r="AZ52" s="71"/>
      <c r="BA52" s="11" t="str">
        <f t="shared" si="46"/>
        <v/>
      </c>
      <c r="BB52" s="10" t="str">
        <f t="shared" si="28"/>
        <v/>
      </c>
      <c r="BC52" s="71"/>
      <c r="BD52" s="10" t="str">
        <f t="shared" si="47"/>
        <v/>
      </c>
      <c r="BE52" s="10" t="str">
        <f t="shared" si="29"/>
        <v/>
      </c>
      <c r="BF52" s="71"/>
      <c r="BG52" s="11" t="str">
        <f t="shared" si="48"/>
        <v/>
      </c>
      <c r="BH52" s="10" t="str">
        <f t="shared" si="30"/>
        <v/>
      </c>
      <c r="BJ52" s="7" t="str">
        <f t="shared" si="31"/>
        <v/>
      </c>
      <c r="BK52" s="158" t="str">
        <f t="shared" si="32"/>
        <v/>
      </c>
      <c r="BL52" s="158" t="str">
        <f t="shared" si="14"/>
        <v/>
      </c>
      <c r="BM52" s="10"/>
      <c r="BN52" s="10" t="str">
        <f t="shared" si="33"/>
        <v/>
      </c>
      <c r="BO52" s="10" t="str">
        <f t="shared" si="34"/>
        <v/>
      </c>
      <c r="BQ52" s="10" t="str">
        <f t="shared" si="49"/>
        <v/>
      </c>
      <c r="BR52" s="10" t="str">
        <f t="shared" si="35"/>
        <v/>
      </c>
    </row>
    <row r="53" spans="3:70" x14ac:dyDescent="0.15">
      <c r="D53" s="81" t="s">
        <v>186</v>
      </c>
      <c r="F53" s="66">
        <v>100</v>
      </c>
      <c r="G53" s="81" t="s">
        <v>172</v>
      </c>
      <c r="I53" s="458">
        <f t="shared" si="36"/>
        <v>2058</v>
      </c>
      <c r="J53" s="470"/>
      <c r="K53" s="470">
        <f t="shared" si="37"/>
        <v>39</v>
      </c>
      <c r="L53" s="39"/>
      <c r="M53" s="40">
        <f t="shared" si="0"/>
        <v>0.31575354599702099</v>
      </c>
      <c r="N53" s="39"/>
      <c r="O53" s="72" t="str">
        <f t="shared" si="16"/>
        <v/>
      </c>
      <c r="P53" s="41" t="str">
        <f t="shared" si="38"/>
        <v/>
      </c>
      <c r="Q53" s="39"/>
      <c r="R53" s="72" t="str">
        <f t="shared" si="50"/>
        <v/>
      </c>
      <c r="S53" s="39"/>
      <c r="T53" s="72" t="str">
        <f t="shared" si="18"/>
        <v/>
      </c>
      <c r="U53" s="39"/>
      <c r="V53" s="72" t="str">
        <f t="shared" si="39"/>
        <v/>
      </c>
      <c r="W53" s="72" t="str">
        <f t="shared" si="19"/>
        <v/>
      </c>
      <c r="X53" s="39"/>
      <c r="Y53" s="72" t="str">
        <f t="shared" si="40"/>
        <v/>
      </c>
      <c r="Z53" s="72" t="str">
        <f t="shared" si="20"/>
        <v/>
      </c>
      <c r="AA53" s="39"/>
      <c r="AB53" s="72" t="str">
        <f t="shared" si="4"/>
        <v/>
      </c>
      <c r="AC53" s="72" t="str">
        <f t="shared" si="21"/>
        <v/>
      </c>
      <c r="AD53" s="39"/>
      <c r="AE53" s="72" t="str">
        <f t="shared" si="41"/>
        <v/>
      </c>
      <c r="AF53" s="72" t="str">
        <f t="shared" si="22"/>
        <v/>
      </c>
      <c r="AG53" s="39"/>
      <c r="AH53" s="72" t="str">
        <f t="shared" si="42"/>
        <v/>
      </c>
      <c r="AI53" s="72" t="str">
        <f t="shared" si="23"/>
        <v/>
      </c>
      <c r="AJ53" s="39"/>
      <c r="AK53" s="72" t="str">
        <f t="shared" si="24"/>
        <v/>
      </c>
      <c r="AL53" s="72" t="str">
        <f t="shared" si="25"/>
        <v/>
      </c>
      <c r="AM53" s="39"/>
      <c r="AN53" s="72" t="str">
        <f t="shared" si="43"/>
        <v/>
      </c>
      <c r="AO53" s="72" t="str">
        <f t="shared" si="26"/>
        <v/>
      </c>
      <c r="AP53" s="39"/>
      <c r="AQ53" s="72" t="str">
        <f t="shared" si="44"/>
        <v/>
      </c>
      <c r="AR53" s="72" t="str">
        <f t="shared" si="27"/>
        <v/>
      </c>
      <c r="AS53" s="39"/>
      <c r="AT53" s="40" t="str">
        <f>IF($K53&lt;=$F$15,IF($F$40&lt;&gt;"",$F$40/1000,IF(ISERROR(VLOOKUP($F$3&amp;IF($G$4&lt;&gt;"",$G$4,"")&amp;IF($F$43&lt;&gt;"","_"&amp;$F$43,""),'表3）燃料価格'!$AF$9:$AG$25,2,0)),0,VLOOKUP($I53,'表3）燃料価格'!$A$6:$U$66,VLOOKUP($F$3&amp;IF($G$4&lt;&gt;"",$G$4,"")&amp;IF($F$43&lt;&gt;"","_"&amp;$F$43,""),'表3）燃料価格'!$AF$9:$AG$25,2,0)+VLOOKUP($F$41,'表3）燃料価格'!$AF$28:$AG$29,2,0),0)*IF($F$43="需要地価格",1,$F$8/$F$141))),"")</f>
        <v/>
      </c>
      <c r="AU53" s="39"/>
      <c r="AV53" s="72" t="str">
        <f t="shared" si="45"/>
        <v/>
      </c>
      <c r="AW53" s="72" t="str">
        <f t="shared" si="10"/>
        <v/>
      </c>
      <c r="AX53" s="39"/>
      <c r="AY53" s="40" t="str">
        <f>IF(ISERROR(IF($K53&lt;=$F$15,VLOOKUP($I53,'表4）CO2価格'!$A$7:$E$67,VLOOKUP($F$48,'表4）CO2価格'!$H$10:$I$12,2,0),0)*$F$8/1000,"")),0,IF($K53&lt;=$F$15,VLOOKUP($I53,'表4）CO2価格'!$A$7:$E$67,VLOOKUP($F$48,'表4）CO2価格'!$H$10:$I$12,2,0),0)*$F$8/1000,""))</f>
        <v/>
      </c>
      <c r="AZ53" s="39"/>
      <c r="BA53" s="42" t="str">
        <f t="shared" si="46"/>
        <v/>
      </c>
      <c r="BB53" s="72" t="str">
        <f t="shared" si="28"/>
        <v/>
      </c>
      <c r="BC53" s="39"/>
      <c r="BD53" s="72" t="str">
        <f t="shared" si="47"/>
        <v/>
      </c>
      <c r="BE53" s="72" t="str">
        <f t="shared" si="29"/>
        <v/>
      </c>
      <c r="BF53" s="39"/>
      <c r="BG53" s="42" t="str">
        <f t="shared" si="48"/>
        <v/>
      </c>
      <c r="BH53" s="72" t="str">
        <f t="shared" si="30"/>
        <v/>
      </c>
      <c r="BI53" s="39"/>
      <c r="BJ53" s="40" t="str">
        <f t="shared" si="31"/>
        <v/>
      </c>
      <c r="BK53" s="157" t="str">
        <f t="shared" si="32"/>
        <v/>
      </c>
      <c r="BL53" s="157" t="str">
        <f t="shared" si="14"/>
        <v/>
      </c>
      <c r="BM53" s="72"/>
      <c r="BN53" s="72" t="str">
        <f t="shared" si="33"/>
        <v/>
      </c>
      <c r="BO53" s="72" t="str">
        <f t="shared" si="34"/>
        <v/>
      </c>
      <c r="BP53" s="39"/>
      <c r="BQ53" s="72" t="str">
        <f t="shared" si="49"/>
        <v/>
      </c>
      <c r="BR53" s="72" t="str">
        <f t="shared" si="35"/>
        <v/>
      </c>
    </row>
    <row r="54" spans="3:70" x14ac:dyDescent="0.15">
      <c r="D54" s="81" t="s">
        <v>187</v>
      </c>
      <c r="F54" s="67">
        <v>80</v>
      </c>
      <c r="G54" s="81" t="s">
        <v>172</v>
      </c>
      <c r="I54" s="459">
        <f t="shared" si="36"/>
        <v>2059</v>
      </c>
      <c r="K54" s="9">
        <f t="shared" si="37"/>
        <v>40</v>
      </c>
      <c r="L54" s="71"/>
      <c r="M54" s="7">
        <f t="shared" si="0"/>
        <v>0.30655684077380685</v>
      </c>
      <c r="N54" s="71"/>
      <c r="O54" s="10" t="str">
        <f t="shared" si="16"/>
        <v/>
      </c>
      <c r="P54" s="29" t="str">
        <f t="shared" si="38"/>
        <v/>
      </c>
      <c r="Q54" s="71"/>
      <c r="R54" s="10" t="str">
        <f t="shared" si="50"/>
        <v/>
      </c>
      <c r="S54" s="71"/>
      <c r="T54" s="10" t="str">
        <f t="shared" si="18"/>
        <v/>
      </c>
      <c r="U54" s="71"/>
      <c r="V54" s="10" t="str">
        <f t="shared" si="39"/>
        <v/>
      </c>
      <c r="W54" s="10" t="str">
        <f t="shared" si="19"/>
        <v/>
      </c>
      <c r="X54" s="71"/>
      <c r="Y54" s="10" t="str">
        <f t="shared" si="40"/>
        <v/>
      </c>
      <c r="Z54" s="10" t="str">
        <f t="shared" si="20"/>
        <v/>
      </c>
      <c r="AA54" s="71"/>
      <c r="AB54" s="10" t="str">
        <f t="shared" si="4"/>
        <v/>
      </c>
      <c r="AC54" s="10" t="str">
        <f t="shared" si="21"/>
        <v/>
      </c>
      <c r="AD54" s="71"/>
      <c r="AE54" s="10" t="str">
        <f t="shared" si="41"/>
        <v/>
      </c>
      <c r="AF54" s="10" t="str">
        <f t="shared" si="22"/>
        <v/>
      </c>
      <c r="AG54" s="71"/>
      <c r="AH54" s="10" t="str">
        <f t="shared" si="42"/>
        <v/>
      </c>
      <c r="AI54" s="10" t="str">
        <f t="shared" si="23"/>
        <v/>
      </c>
      <c r="AJ54" s="71"/>
      <c r="AK54" s="10" t="str">
        <f t="shared" si="24"/>
        <v/>
      </c>
      <c r="AL54" s="10" t="str">
        <f t="shared" si="25"/>
        <v/>
      </c>
      <c r="AM54" s="71"/>
      <c r="AN54" s="10" t="str">
        <f t="shared" si="43"/>
        <v/>
      </c>
      <c r="AO54" s="10" t="str">
        <f t="shared" si="26"/>
        <v/>
      </c>
      <c r="AP54" s="71"/>
      <c r="AQ54" s="10" t="str">
        <f t="shared" si="44"/>
        <v/>
      </c>
      <c r="AR54" s="10" t="str">
        <f t="shared" si="27"/>
        <v/>
      </c>
      <c r="AS54" s="71"/>
      <c r="AT54" s="7" t="str">
        <f>IF($K54&lt;=$F$15,IF($F$40&lt;&gt;"",$F$40/1000,IF(ISERROR(VLOOKUP($F$3&amp;IF($G$4&lt;&gt;"",$G$4,"")&amp;IF($F$43&lt;&gt;"","_"&amp;$F$43,""),'表3）燃料価格'!$AF$9:$AG$25,2,0)),0,VLOOKUP($I54,'表3）燃料価格'!$A$6:$U$66,VLOOKUP($F$3&amp;IF($G$4&lt;&gt;"",$G$4,"")&amp;IF($F$43&lt;&gt;"","_"&amp;$F$43,""),'表3）燃料価格'!$AF$9:$AG$25,2,0)+VLOOKUP($F$41,'表3）燃料価格'!$AF$28:$AG$29,2,0),0)*IF($F$43="需要地価格",1,$F$8/$F$141))),"")</f>
        <v/>
      </c>
      <c r="AU54" s="71"/>
      <c r="AV54" s="10" t="str">
        <f t="shared" si="45"/>
        <v/>
      </c>
      <c r="AW54" s="10" t="str">
        <f t="shared" si="10"/>
        <v/>
      </c>
      <c r="AX54" s="71"/>
      <c r="AY54" s="7" t="str">
        <f>IF(ISERROR(IF($K54&lt;=$F$15,VLOOKUP($I54,'表4）CO2価格'!$A$7:$E$67,VLOOKUP($F$48,'表4）CO2価格'!$H$10:$I$12,2,0),0)*$F$8/1000,"")),0,IF($K54&lt;=$F$15,VLOOKUP($I54,'表4）CO2価格'!$A$7:$E$67,VLOOKUP($F$48,'表4）CO2価格'!$H$10:$I$12,2,0),0)*$F$8/1000,""))</f>
        <v/>
      </c>
      <c r="AZ54" s="71"/>
      <c r="BA54" s="11" t="str">
        <f t="shared" si="46"/>
        <v/>
      </c>
      <c r="BB54" s="10" t="str">
        <f t="shared" si="28"/>
        <v/>
      </c>
      <c r="BC54" s="71"/>
      <c r="BD54" s="10" t="str">
        <f t="shared" si="47"/>
        <v/>
      </c>
      <c r="BE54" s="10" t="str">
        <f t="shared" si="29"/>
        <v/>
      </c>
      <c r="BF54" s="71"/>
      <c r="BG54" s="11" t="str">
        <f t="shared" si="48"/>
        <v/>
      </c>
      <c r="BH54" s="10" t="str">
        <f t="shared" si="30"/>
        <v/>
      </c>
      <c r="BJ54" s="7" t="str">
        <f t="shared" si="31"/>
        <v/>
      </c>
      <c r="BK54" s="158" t="str">
        <f t="shared" si="32"/>
        <v/>
      </c>
      <c r="BL54" s="158" t="str">
        <f t="shared" si="14"/>
        <v/>
      </c>
      <c r="BM54" s="10"/>
      <c r="BN54" s="10" t="str">
        <f t="shared" si="33"/>
        <v/>
      </c>
      <c r="BO54" s="10" t="str">
        <f t="shared" si="34"/>
        <v/>
      </c>
      <c r="BQ54" s="10" t="str">
        <f t="shared" si="49"/>
        <v/>
      </c>
      <c r="BR54" s="10" t="str">
        <f t="shared" si="35"/>
        <v/>
      </c>
    </row>
    <row r="55" spans="3:70" ht="16.5" x14ac:dyDescent="0.15">
      <c r="D55" s="81" t="s">
        <v>188</v>
      </c>
      <c r="F55" s="148">
        <f>IF($F$43="需要地価格",45,54.7)</f>
        <v>54.7</v>
      </c>
      <c r="G55" s="9" t="s">
        <v>372</v>
      </c>
      <c r="I55" s="458">
        <f>I54+1</f>
        <v>2060</v>
      </c>
      <c r="J55" s="470"/>
      <c r="K55" s="470">
        <f>IF(I55&lt;&gt;"",K54+1,"")</f>
        <v>41</v>
      </c>
      <c r="L55" s="39"/>
      <c r="M55" s="40">
        <f t="shared" si="0"/>
        <v>0.29762800075126877</v>
      </c>
      <c r="N55" s="39"/>
      <c r="O55" s="72" t="str">
        <f t="shared" si="16"/>
        <v/>
      </c>
      <c r="P55" s="41" t="str">
        <f t="shared" si="38"/>
        <v/>
      </c>
      <c r="Q55" s="39"/>
      <c r="R55" s="72" t="str">
        <f t="shared" si="50"/>
        <v/>
      </c>
      <c r="S55" s="39"/>
      <c r="T55" s="72" t="str">
        <f t="shared" si="18"/>
        <v/>
      </c>
      <c r="U55" s="39"/>
      <c r="V55" s="72" t="str">
        <f t="shared" si="39"/>
        <v/>
      </c>
      <c r="W55" s="72" t="str">
        <f t="shared" si="19"/>
        <v/>
      </c>
      <c r="X55" s="39"/>
      <c r="Y55" s="72" t="str">
        <f t="shared" si="40"/>
        <v/>
      </c>
      <c r="Z55" s="72" t="str">
        <f t="shared" si="20"/>
        <v/>
      </c>
      <c r="AA55" s="39"/>
      <c r="AB55" s="72" t="str">
        <f t="shared" si="4"/>
        <v/>
      </c>
      <c r="AC55" s="72" t="str">
        <f t="shared" si="21"/>
        <v/>
      </c>
      <c r="AD55" s="39"/>
      <c r="AE55" s="72" t="str">
        <f t="shared" si="41"/>
        <v/>
      </c>
      <c r="AF55" s="72" t="str">
        <f t="shared" si="22"/>
        <v/>
      </c>
      <c r="AG55" s="39"/>
      <c r="AH55" s="72" t="str">
        <f t="shared" si="42"/>
        <v/>
      </c>
      <c r="AI55" s="72" t="str">
        <f t="shared" si="23"/>
        <v/>
      </c>
      <c r="AJ55" s="39"/>
      <c r="AK55" s="72" t="str">
        <f t="shared" si="24"/>
        <v/>
      </c>
      <c r="AL55" s="72" t="str">
        <f t="shared" si="25"/>
        <v/>
      </c>
      <c r="AM55" s="39"/>
      <c r="AN55" s="72" t="str">
        <f t="shared" si="43"/>
        <v/>
      </c>
      <c r="AO55" s="72" t="str">
        <f t="shared" si="26"/>
        <v/>
      </c>
      <c r="AP55" s="39"/>
      <c r="AQ55" s="72" t="str">
        <f t="shared" si="44"/>
        <v/>
      </c>
      <c r="AR55" s="72" t="str">
        <f t="shared" si="27"/>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45"/>
        <v/>
      </c>
      <c r="AW55" s="72" t="str">
        <f t="shared" si="10"/>
        <v/>
      </c>
      <c r="AX55" s="39"/>
      <c r="AY55" s="40" t="str">
        <f>IF(ISERROR(IF($K55&lt;=$F$15,VLOOKUP($I55,'表4）CO2価格'!$A$7:$E$67,VLOOKUP($F$48,'表4）CO2価格'!$H$10:$I$12,2,0),0)*$F$8/1000,"")),0,IF($K55&lt;=$F$15,VLOOKUP($I55,'表4）CO2価格'!$A$7:$E$67,VLOOKUP($F$48,'表4）CO2価格'!$H$10:$I$12,2,0),0)*$F$8/1000,""))</f>
        <v/>
      </c>
      <c r="AZ55" s="39"/>
      <c r="BA55" s="42" t="str">
        <f t="shared" si="46"/>
        <v/>
      </c>
      <c r="BB55" s="72" t="str">
        <f t="shared" si="28"/>
        <v/>
      </c>
      <c r="BC55" s="39"/>
      <c r="BD55" s="72" t="str">
        <f t="shared" si="47"/>
        <v/>
      </c>
      <c r="BE55" s="72" t="str">
        <f t="shared" si="29"/>
        <v/>
      </c>
      <c r="BF55" s="39"/>
      <c r="BG55" s="42" t="str">
        <f t="shared" si="48"/>
        <v/>
      </c>
      <c r="BH55" s="72" t="str">
        <f t="shared" si="30"/>
        <v/>
      </c>
      <c r="BI55" s="39"/>
      <c r="BJ55" s="40" t="str">
        <f t="shared" si="31"/>
        <v/>
      </c>
      <c r="BK55" s="157" t="str">
        <f t="shared" si="32"/>
        <v/>
      </c>
      <c r="BL55" s="157" t="str">
        <f t="shared" si="14"/>
        <v/>
      </c>
      <c r="BM55" s="72"/>
      <c r="BN55" s="72" t="str">
        <f t="shared" si="33"/>
        <v/>
      </c>
      <c r="BO55" s="72" t="str">
        <f t="shared" si="34"/>
        <v/>
      </c>
      <c r="BP55" s="39"/>
      <c r="BQ55" s="72" t="str">
        <f t="shared" si="49"/>
        <v/>
      </c>
      <c r="BR55" s="72" t="str">
        <f t="shared" si="35"/>
        <v/>
      </c>
    </row>
    <row r="56" spans="3:70" x14ac:dyDescent="0.15">
      <c r="D56" s="81" t="s">
        <v>189</v>
      </c>
      <c r="F56" s="59">
        <f>IF($F$43="需要地価格",0,2800)</f>
        <v>2800</v>
      </c>
      <c r="G56" s="81" t="s">
        <v>181</v>
      </c>
      <c r="I56" s="459">
        <f t="shared" si="36"/>
        <v>2061</v>
      </c>
      <c r="K56" s="9">
        <f t="shared" si="37"/>
        <v>42</v>
      </c>
      <c r="L56" s="71"/>
      <c r="M56" s="7">
        <f t="shared" si="0"/>
        <v>0.28895922403035801</v>
      </c>
      <c r="N56" s="71"/>
      <c r="O56" s="10" t="str">
        <f t="shared" si="16"/>
        <v/>
      </c>
      <c r="P56" s="29" t="str">
        <f t="shared" si="38"/>
        <v/>
      </c>
      <c r="Q56" s="71"/>
      <c r="R56" s="10" t="str">
        <f t="shared" si="50"/>
        <v/>
      </c>
      <c r="S56" s="71"/>
      <c r="T56" s="10" t="str">
        <f t="shared" si="18"/>
        <v/>
      </c>
      <c r="U56" s="71"/>
      <c r="V56" s="10" t="str">
        <f t="shared" si="39"/>
        <v/>
      </c>
      <c r="W56" s="10" t="str">
        <f t="shared" si="19"/>
        <v/>
      </c>
      <c r="X56" s="71"/>
      <c r="Y56" s="10" t="str">
        <f t="shared" si="40"/>
        <v/>
      </c>
      <c r="Z56" s="10" t="str">
        <f t="shared" si="20"/>
        <v/>
      </c>
      <c r="AA56" s="71"/>
      <c r="AB56" s="10" t="str">
        <f t="shared" si="4"/>
        <v/>
      </c>
      <c r="AC56" s="10" t="str">
        <f t="shared" si="21"/>
        <v/>
      </c>
      <c r="AD56" s="71"/>
      <c r="AE56" s="10" t="str">
        <f t="shared" si="41"/>
        <v/>
      </c>
      <c r="AF56" s="10" t="str">
        <f t="shared" si="22"/>
        <v/>
      </c>
      <c r="AG56" s="71"/>
      <c r="AH56" s="10" t="str">
        <f t="shared" si="42"/>
        <v/>
      </c>
      <c r="AI56" s="10" t="str">
        <f t="shared" si="23"/>
        <v/>
      </c>
      <c r="AJ56" s="71"/>
      <c r="AK56" s="10" t="str">
        <f t="shared" si="24"/>
        <v/>
      </c>
      <c r="AL56" s="10" t="str">
        <f t="shared" si="25"/>
        <v/>
      </c>
      <c r="AM56" s="71"/>
      <c r="AN56" s="10" t="str">
        <f t="shared" si="43"/>
        <v/>
      </c>
      <c r="AO56" s="10" t="str">
        <f t="shared" si="26"/>
        <v/>
      </c>
      <c r="AP56" s="71"/>
      <c r="AQ56" s="10" t="str">
        <f t="shared" si="44"/>
        <v/>
      </c>
      <c r="AR56" s="10" t="str">
        <f t="shared" si="27"/>
        <v/>
      </c>
      <c r="AS56" s="71"/>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U56" s="71"/>
      <c r="AV56" s="10" t="str">
        <f t="shared" si="45"/>
        <v/>
      </c>
      <c r="AW56" s="10" t="str">
        <f t="shared" si="10"/>
        <v/>
      </c>
      <c r="AX56" s="71"/>
      <c r="AY56" s="7" t="str">
        <f>IF(ISERROR(IF($K56&lt;=$F$15,VLOOKUP($I56,'表4）CO2価格'!$A$7:$E$67,VLOOKUP($F$48,'表4）CO2価格'!$H$10:$I$12,2,0),0)*$F$8/1000,"")),0,IF($K56&lt;=$F$15,VLOOKUP($I56,'表4）CO2価格'!$A$7:$E$67,VLOOKUP($F$48,'表4）CO2価格'!$H$10:$I$12,2,0),0)*$F$8/1000,""))</f>
        <v/>
      </c>
      <c r="AZ56" s="71"/>
      <c r="BA56" s="11" t="str">
        <f t="shared" si="46"/>
        <v/>
      </c>
      <c r="BB56" s="10" t="str">
        <f t="shared" si="28"/>
        <v/>
      </c>
      <c r="BC56" s="71"/>
      <c r="BD56" s="10" t="str">
        <f t="shared" si="47"/>
        <v/>
      </c>
      <c r="BE56" s="10" t="str">
        <f t="shared" si="29"/>
        <v/>
      </c>
      <c r="BF56" s="71"/>
      <c r="BG56" s="11" t="str">
        <f t="shared" si="48"/>
        <v/>
      </c>
      <c r="BH56" s="10" t="str">
        <f t="shared" si="30"/>
        <v/>
      </c>
      <c r="BJ56" s="7" t="str">
        <f t="shared" si="31"/>
        <v/>
      </c>
      <c r="BK56" s="158" t="str">
        <f t="shared" si="32"/>
        <v/>
      </c>
      <c r="BL56" s="158" t="str">
        <f t="shared" si="14"/>
        <v/>
      </c>
      <c r="BM56" s="10"/>
      <c r="BN56" s="10" t="str">
        <f t="shared" si="33"/>
        <v/>
      </c>
      <c r="BO56" s="10" t="str">
        <f t="shared" si="34"/>
        <v/>
      </c>
      <c r="BQ56" s="10" t="str">
        <f t="shared" si="49"/>
        <v/>
      </c>
      <c r="BR56" s="10" t="str">
        <f t="shared" si="35"/>
        <v/>
      </c>
    </row>
    <row r="57" spans="3:70" x14ac:dyDescent="0.15">
      <c r="I57" s="458">
        <f t="shared" si="36"/>
        <v>2062</v>
      </c>
      <c r="J57" s="470"/>
      <c r="K57" s="470">
        <f t="shared" si="37"/>
        <v>43</v>
      </c>
      <c r="L57" s="39"/>
      <c r="M57" s="40">
        <f t="shared" si="0"/>
        <v>0.28054293595180391</v>
      </c>
      <c r="N57" s="39"/>
      <c r="O57" s="72" t="str">
        <f t="shared" si="16"/>
        <v/>
      </c>
      <c r="P57" s="41" t="str">
        <f t="shared" si="38"/>
        <v/>
      </c>
      <c r="Q57" s="39"/>
      <c r="R57" s="72" t="str">
        <f t="shared" si="50"/>
        <v/>
      </c>
      <c r="S57" s="39"/>
      <c r="T57" s="72" t="str">
        <f t="shared" si="18"/>
        <v/>
      </c>
      <c r="U57" s="39"/>
      <c r="V57" s="72" t="str">
        <f t="shared" si="39"/>
        <v/>
      </c>
      <c r="W57" s="72" t="str">
        <f t="shared" si="19"/>
        <v/>
      </c>
      <c r="X57" s="39"/>
      <c r="Y57" s="72" t="str">
        <f t="shared" si="40"/>
        <v/>
      </c>
      <c r="Z57" s="72" t="str">
        <f t="shared" si="20"/>
        <v/>
      </c>
      <c r="AA57" s="39"/>
      <c r="AB57" s="72" t="str">
        <f t="shared" si="4"/>
        <v/>
      </c>
      <c r="AC57" s="72" t="str">
        <f t="shared" si="21"/>
        <v/>
      </c>
      <c r="AD57" s="39"/>
      <c r="AE57" s="72" t="str">
        <f t="shared" si="41"/>
        <v/>
      </c>
      <c r="AF57" s="72" t="str">
        <f t="shared" si="22"/>
        <v/>
      </c>
      <c r="AG57" s="39"/>
      <c r="AH57" s="72" t="str">
        <f t="shared" si="42"/>
        <v/>
      </c>
      <c r="AI57" s="72" t="str">
        <f t="shared" si="23"/>
        <v/>
      </c>
      <c r="AJ57" s="39"/>
      <c r="AK57" s="72" t="str">
        <f t="shared" si="24"/>
        <v/>
      </c>
      <c r="AL57" s="72" t="str">
        <f t="shared" si="25"/>
        <v/>
      </c>
      <c r="AM57" s="39"/>
      <c r="AN57" s="72" t="str">
        <f t="shared" si="43"/>
        <v/>
      </c>
      <c r="AO57" s="72" t="str">
        <f t="shared" si="26"/>
        <v/>
      </c>
      <c r="AP57" s="39"/>
      <c r="AQ57" s="72" t="str">
        <f t="shared" si="44"/>
        <v/>
      </c>
      <c r="AR57" s="72" t="str">
        <f t="shared" si="27"/>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45"/>
        <v/>
      </c>
      <c r="AW57" s="72" t="str">
        <f t="shared" si="10"/>
        <v/>
      </c>
      <c r="AX57" s="39"/>
      <c r="AY57" s="40" t="str">
        <f>IF(ISERROR(IF($K57&lt;=$F$15,VLOOKUP($I57,'表4）CO2価格'!$A$7:$E$67,VLOOKUP($F$48,'表4）CO2価格'!$H$10:$I$12,2,0),0)*$F$8/1000,"")),0,IF($K57&lt;=$F$15,VLOOKUP($I57,'表4）CO2価格'!$A$7:$E$67,VLOOKUP($F$48,'表4）CO2価格'!$H$10:$I$12,2,0),0)*$F$8/1000,""))</f>
        <v/>
      </c>
      <c r="AZ57" s="39"/>
      <c r="BA57" s="42" t="str">
        <f t="shared" si="46"/>
        <v/>
      </c>
      <c r="BB57" s="72" t="str">
        <f t="shared" si="28"/>
        <v/>
      </c>
      <c r="BC57" s="39"/>
      <c r="BD57" s="72" t="str">
        <f t="shared" si="47"/>
        <v/>
      </c>
      <c r="BE57" s="72" t="str">
        <f t="shared" si="29"/>
        <v/>
      </c>
      <c r="BF57" s="39"/>
      <c r="BG57" s="42" t="str">
        <f t="shared" si="48"/>
        <v/>
      </c>
      <c r="BH57" s="72" t="str">
        <f t="shared" si="30"/>
        <v/>
      </c>
      <c r="BI57" s="39"/>
      <c r="BJ57" s="40" t="str">
        <f t="shared" si="31"/>
        <v/>
      </c>
      <c r="BK57" s="157" t="str">
        <f t="shared" si="32"/>
        <v/>
      </c>
      <c r="BL57" s="157" t="str">
        <f t="shared" si="14"/>
        <v/>
      </c>
      <c r="BM57" s="72"/>
      <c r="BN57" s="72" t="str">
        <f t="shared" si="33"/>
        <v/>
      </c>
      <c r="BO57" s="72" t="str">
        <f t="shared" si="34"/>
        <v/>
      </c>
      <c r="BP57" s="39"/>
      <c r="BQ57" s="72" t="str">
        <f t="shared" si="49"/>
        <v/>
      </c>
      <c r="BR57" s="72" t="str">
        <f t="shared" si="35"/>
        <v/>
      </c>
    </row>
    <row r="58" spans="3:70" x14ac:dyDescent="0.15">
      <c r="C58" s="89" t="s">
        <v>512</v>
      </c>
      <c r="D58" s="101"/>
      <c r="E58" s="101"/>
      <c r="F58" s="89"/>
      <c r="G58" s="101"/>
      <c r="I58" s="459">
        <f t="shared" si="36"/>
        <v>2063</v>
      </c>
      <c r="K58" s="9">
        <f t="shared" si="37"/>
        <v>44</v>
      </c>
      <c r="L58" s="71"/>
      <c r="M58" s="7">
        <f t="shared" si="0"/>
        <v>0.27237178247747956</v>
      </c>
      <c r="N58" s="71"/>
      <c r="O58" s="10" t="str">
        <f t="shared" si="16"/>
        <v/>
      </c>
      <c r="P58" s="29" t="str">
        <f t="shared" si="38"/>
        <v/>
      </c>
      <c r="Q58" s="71"/>
      <c r="R58" s="10" t="str">
        <f t="shared" si="50"/>
        <v/>
      </c>
      <c r="S58" s="71"/>
      <c r="T58" s="10" t="str">
        <f t="shared" si="18"/>
        <v/>
      </c>
      <c r="U58" s="71"/>
      <c r="V58" s="10" t="str">
        <f t="shared" si="39"/>
        <v/>
      </c>
      <c r="W58" s="10" t="str">
        <f t="shared" si="19"/>
        <v/>
      </c>
      <c r="X58" s="71"/>
      <c r="Y58" s="10" t="str">
        <f t="shared" si="40"/>
        <v/>
      </c>
      <c r="Z58" s="10" t="str">
        <f t="shared" si="20"/>
        <v/>
      </c>
      <c r="AA58" s="71"/>
      <c r="AB58" s="10" t="str">
        <f t="shared" si="4"/>
        <v/>
      </c>
      <c r="AC58" s="10" t="str">
        <f t="shared" si="21"/>
        <v/>
      </c>
      <c r="AD58" s="71"/>
      <c r="AE58" s="10" t="str">
        <f t="shared" si="41"/>
        <v/>
      </c>
      <c r="AF58" s="10" t="str">
        <f t="shared" si="22"/>
        <v/>
      </c>
      <c r="AG58" s="71"/>
      <c r="AH58" s="10" t="str">
        <f t="shared" si="42"/>
        <v/>
      </c>
      <c r="AI58" s="10" t="str">
        <f t="shared" si="23"/>
        <v/>
      </c>
      <c r="AJ58" s="71"/>
      <c r="AK58" s="10" t="str">
        <f t="shared" si="24"/>
        <v/>
      </c>
      <c r="AL58" s="10" t="str">
        <f t="shared" si="25"/>
        <v/>
      </c>
      <c r="AM58" s="71"/>
      <c r="AN58" s="10" t="str">
        <f t="shared" si="43"/>
        <v/>
      </c>
      <c r="AO58" s="10" t="str">
        <f t="shared" si="26"/>
        <v/>
      </c>
      <c r="AP58" s="71"/>
      <c r="AQ58" s="10" t="str">
        <f t="shared" si="44"/>
        <v/>
      </c>
      <c r="AR58" s="10" t="str">
        <f t="shared" si="27"/>
        <v/>
      </c>
      <c r="AS58" s="71"/>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U58" s="71"/>
      <c r="AV58" s="10" t="str">
        <f t="shared" si="45"/>
        <v/>
      </c>
      <c r="AW58" s="10" t="str">
        <f t="shared" si="10"/>
        <v/>
      </c>
      <c r="AX58" s="71"/>
      <c r="AY58" s="7" t="str">
        <f>IF(ISERROR(IF($K58&lt;=$F$15,VLOOKUP($I58,'表4）CO2価格'!$A$7:$E$67,VLOOKUP($F$48,'表4）CO2価格'!$H$10:$I$12,2,0),0)*$F$8/1000,"")),0,IF($K58&lt;=$F$15,VLOOKUP($I58,'表4）CO2価格'!$A$7:$E$67,VLOOKUP($F$48,'表4）CO2価格'!$H$10:$I$12,2,0),0)*$F$8/1000,""))</f>
        <v/>
      </c>
      <c r="AZ58" s="71"/>
      <c r="BA58" s="11" t="str">
        <f t="shared" si="46"/>
        <v/>
      </c>
      <c r="BB58" s="10" t="str">
        <f t="shared" si="28"/>
        <v/>
      </c>
      <c r="BC58" s="71"/>
      <c r="BD58" s="10" t="str">
        <f t="shared" si="47"/>
        <v/>
      </c>
      <c r="BE58" s="10" t="str">
        <f t="shared" si="29"/>
        <v/>
      </c>
      <c r="BF58" s="71"/>
      <c r="BG58" s="11" t="str">
        <f t="shared" si="48"/>
        <v/>
      </c>
      <c r="BH58" s="10" t="str">
        <f t="shared" si="30"/>
        <v/>
      </c>
      <c r="BJ58" s="7" t="str">
        <f t="shared" si="31"/>
        <v/>
      </c>
      <c r="BK58" s="158" t="str">
        <f t="shared" si="32"/>
        <v/>
      </c>
      <c r="BL58" s="158" t="str">
        <f t="shared" si="14"/>
        <v/>
      </c>
      <c r="BM58" s="10"/>
      <c r="BN58" s="10" t="str">
        <f t="shared" si="33"/>
        <v/>
      </c>
      <c r="BO58" s="10" t="str">
        <f t="shared" si="34"/>
        <v/>
      </c>
      <c r="BQ58" s="10" t="str">
        <f t="shared" si="49"/>
        <v/>
      </c>
      <c r="BR58" s="10" t="str">
        <f t="shared" si="35"/>
        <v/>
      </c>
    </row>
    <row r="59" spans="3:70" x14ac:dyDescent="0.15">
      <c r="I59" s="458">
        <f t="shared" si="36"/>
        <v>2064</v>
      </c>
      <c r="J59" s="470"/>
      <c r="K59" s="470">
        <f t="shared" si="37"/>
        <v>45</v>
      </c>
      <c r="L59" s="39"/>
      <c r="M59" s="40">
        <f t="shared" si="0"/>
        <v>0.26443862376454325</v>
      </c>
      <c r="N59" s="39"/>
      <c r="O59" s="72" t="str">
        <f t="shared" si="16"/>
        <v/>
      </c>
      <c r="P59" s="41" t="str">
        <f t="shared" si="38"/>
        <v/>
      </c>
      <c r="Q59" s="39"/>
      <c r="R59" s="72" t="str">
        <f t="shared" si="50"/>
        <v/>
      </c>
      <c r="S59" s="39"/>
      <c r="T59" s="72" t="str">
        <f t="shared" si="18"/>
        <v/>
      </c>
      <c r="U59" s="39"/>
      <c r="V59" s="72" t="str">
        <f t="shared" si="39"/>
        <v/>
      </c>
      <c r="W59" s="72" t="str">
        <f t="shared" si="19"/>
        <v/>
      </c>
      <c r="X59" s="39"/>
      <c r="Y59" s="72" t="str">
        <f t="shared" si="40"/>
        <v/>
      </c>
      <c r="Z59" s="72" t="str">
        <f t="shared" si="20"/>
        <v/>
      </c>
      <c r="AA59" s="39"/>
      <c r="AB59" s="72" t="str">
        <f t="shared" si="4"/>
        <v/>
      </c>
      <c r="AC59" s="72" t="str">
        <f t="shared" si="21"/>
        <v/>
      </c>
      <c r="AD59" s="39"/>
      <c r="AE59" s="72" t="str">
        <f t="shared" si="41"/>
        <v/>
      </c>
      <c r="AF59" s="72" t="str">
        <f t="shared" si="22"/>
        <v/>
      </c>
      <c r="AG59" s="39"/>
      <c r="AH59" s="72" t="str">
        <f t="shared" si="42"/>
        <v/>
      </c>
      <c r="AI59" s="72" t="str">
        <f t="shared" si="23"/>
        <v/>
      </c>
      <c r="AJ59" s="39"/>
      <c r="AK59" s="72" t="str">
        <f t="shared" si="24"/>
        <v/>
      </c>
      <c r="AL59" s="72" t="str">
        <f t="shared" si="25"/>
        <v/>
      </c>
      <c r="AM59" s="39"/>
      <c r="AN59" s="72" t="str">
        <f t="shared" si="43"/>
        <v/>
      </c>
      <c r="AO59" s="72" t="str">
        <f t="shared" si="26"/>
        <v/>
      </c>
      <c r="AP59" s="39"/>
      <c r="AQ59" s="72" t="str">
        <f t="shared" si="44"/>
        <v/>
      </c>
      <c r="AR59" s="72" t="str">
        <f t="shared" si="27"/>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45"/>
        <v/>
      </c>
      <c r="AW59" s="72" t="str">
        <f t="shared" si="10"/>
        <v/>
      </c>
      <c r="AX59" s="39"/>
      <c r="AY59" s="40" t="str">
        <f>IF(ISERROR(IF($K59&lt;=$F$15,VLOOKUP($I59,'表4）CO2価格'!$A$7:$E$67,VLOOKUP($F$48,'表4）CO2価格'!$H$10:$I$12,2,0),0)*$F$8/1000,"")),0,IF($K59&lt;=$F$15,VLOOKUP($I59,'表4）CO2価格'!$A$7:$E$67,VLOOKUP($F$48,'表4）CO2価格'!$H$10:$I$12,2,0),0)*$F$8/1000,""))</f>
        <v/>
      </c>
      <c r="AZ59" s="39"/>
      <c r="BA59" s="42" t="str">
        <f t="shared" si="46"/>
        <v/>
      </c>
      <c r="BB59" s="72" t="str">
        <f t="shared" si="28"/>
        <v/>
      </c>
      <c r="BC59" s="39"/>
      <c r="BD59" s="72" t="str">
        <f t="shared" si="47"/>
        <v/>
      </c>
      <c r="BE59" s="72" t="str">
        <f t="shared" si="29"/>
        <v/>
      </c>
      <c r="BF59" s="39"/>
      <c r="BG59" s="42" t="str">
        <f t="shared" si="48"/>
        <v/>
      </c>
      <c r="BH59" s="72" t="str">
        <f t="shared" si="30"/>
        <v/>
      </c>
      <c r="BI59" s="39"/>
      <c r="BJ59" s="40" t="str">
        <f t="shared" si="31"/>
        <v/>
      </c>
      <c r="BK59" s="157" t="str">
        <f t="shared" si="32"/>
        <v/>
      </c>
      <c r="BL59" s="157" t="str">
        <f t="shared" si="14"/>
        <v/>
      </c>
      <c r="BM59" s="72"/>
      <c r="BN59" s="72" t="str">
        <f t="shared" si="33"/>
        <v/>
      </c>
      <c r="BO59" s="72" t="str">
        <f t="shared" si="34"/>
        <v/>
      </c>
      <c r="BP59" s="39"/>
      <c r="BQ59" s="72" t="str">
        <f t="shared" si="49"/>
        <v/>
      </c>
      <c r="BR59" s="72" t="str">
        <f t="shared" si="35"/>
        <v/>
      </c>
    </row>
    <row r="60" spans="3:70" x14ac:dyDescent="0.15">
      <c r="D60" s="81" t="s">
        <v>128</v>
      </c>
      <c r="F60" s="59"/>
      <c r="G60" s="81" t="s">
        <v>176</v>
      </c>
      <c r="I60" s="459">
        <f t="shared" si="36"/>
        <v>2065</v>
      </c>
      <c r="K60" s="9">
        <f t="shared" si="37"/>
        <v>46</v>
      </c>
      <c r="L60" s="71"/>
      <c r="M60" s="7">
        <f t="shared" si="0"/>
        <v>0.25673652792674101</v>
      </c>
      <c r="N60" s="71"/>
      <c r="O60" s="10" t="str">
        <f t="shared" si="16"/>
        <v/>
      </c>
      <c r="P60" s="29" t="str">
        <f t="shared" si="38"/>
        <v/>
      </c>
      <c r="Q60" s="71"/>
      <c r="R60" s="10" t="str">
        <f t="shared" si="50"/>
        <v/>
      </c>
      <c r="S60" s="71"/>
      <c r="T60" s="10" t="str">
        <f t="shared" si="18"/>
        <v/>
      </c>
      <c r="U60" s="71"/>
      <c r="V60" s="10" t="str">
        <f t="shared" si="39"/>
        <v/>
      </c>
      <c r="W60" s="10" t="str">
        <f t="shared" si="19"/>
        <v/>
      </c>
      <c r="X60" s="71"/>
      <c r="Y60" s="10" t="str">
        <f t="shared" si="40"/>
        <v/>
      </c>
      <c r="Z60" s="10" t="str">
        <f t="shared" si="20"/>
        <v/>
      </c>
      <c r="AA60" s="71"/>
      <c r="AB60" s="10" t="str">
        <f t="shared" si="4"/>
        <v/>
      </c>
      <c r="AC60" s="10" t="str">
        <f t="shared" si="21"/>
        <v/>
      </c>
      <c r="AD60" s="71"/>
      <c r="AE60" s="10" t="str">
        <f t="shared" si="41"/>
        <v/>
      </c>
      <c r="AF60" s="10" t="str">
        <f t="shared" si="22"/>
        <v/>
      </c>
      <c r="AG60" s="71"/>
      <c r="AH60" s="10" t="str">
        <f t="shared" si="42"/>
        <v/>
      </c>
      <c r="AI60" s="10" t="str">
        <f t="shared" si="23"/>
        <v/>
      </c>
      <c r="AJ60" s="71"/>
      <c r="AK60" s="10" t="str">
        <f t="shared" si="24"/>
        <v/>
      </c>
      <c r="AL60" s="10" t="str">
        <f t="shared" si="25"/>
        <v/>
      </c>
      <c r="AM60" s="71"/>
      <c r="AN60" s="10" t="str">
        <f t="shared" si="43"/>
        <v/>
      </c>
      <c r="AO60" s="10" t="str">
        <f t="shared" si="26"/>
        <v/>
      </c>
      <c r="AP60" s="71"/>
      <c r="AQ60" s="10" t="str">
        <f t="shared" si="44"/>
        <v/>
      </c>
      <c r="AR60" s="10" t="str">
        <f t="shared" si="27"/>
        <v/>
      </c>
      <c r="AS60" s="71"/>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U60" s="71"/>
      <c r="AV60" s="10" t="str">
        <f t="shared" si="45"/>
        <v/>
      </c>
      <c r="AW60" s="10" t="str">
        <f t="shared" si="10"/>
        <v/>
      </c>
      <c r="AX60" s="71"/>
      <c r="AY60" s="7" t="str">
        <f>IF(ISERROR(IF($K60&lt;=$F$15,VLOOKUP($I60,'表4）CO2価格'!$A$7:$E$67,VLOOKUP($F$48,'表4）CO2価格'!$H$10:$I$12,2,0),0)*$F$8/1000,"")),0,IF($K60&lt;=$F$15,VLOOKUP($I60,'表4）CO2価格'!$A$7:$E$67,VLOOKUP($F$48,'表4）CO2価格'!$H$10:$I$12,2,0),0)*$F$8/1000,""))</f>
        <v/>
      </c>
      <c r="AZ60" s="71"/>
      <c r="BA60" s="11" t="str">
        <f t="shared" si="46"/>
        <v/>
      </c>
      <c r="BB60" s="10" t="str">
        <f t="shared" si="28"/>
        <v/>
      </c>
      <c r="BC60" s="71"/>
      <c r="BD60" s="10" t="str">
        <f t="shared" si="47"/>
        <v/>
      </c>
      <c r="BE60" s="10" t="str">
        <f t="shared" si="29"/>
        <v/>
      </c>
      <c r="BF60" s="71"/>
      <c r="BG60" s="11" t="str">
        <f t="shared" si="48"/>
        <v/>
      </c>
      <c r="BH60" s="10" t="str">
        <f t="shared" si="30"/>
        <v/>
      </c>
      <c r="BJ60" s="7" t="str">
        <f t="shared" si="31"/>
        <v/>
      </c>
      <c r="BK60" s="158" t="str">
        <f t="shared" si="32"/>
        <v/>
      </c>
      <c r="BL60" s="158" t="str">
        <f t="shared" si="14"/>
        <v/>
      </c>
      <c r="BM60" s="10"/>
      <c r="BN60" s="10" t="str">
        <f t="shared" si="33"/>
        <v/>
      </c>
      <c r="BO60" s="10" t="str">
        <f t="shared" si="34"/>
        <v/>
      </c>
      <c r="BQ60" s="10" t="str">
        <f t="shared" si="49"/>
        <v/>
      </c>
      <c r="BR60" s="10" t="str">
        <f t="shared" si="35"/>
        <v/>
      </c>
    </row>
    <row r="61" spans="3:70" x14ac:dyDescent="0.15">
      <c r="D61" s="81" t="s">
        <v>190</v>
      </c>
      <c r="F61" s="66"/>
      <c r="G61" s="81" t="s">
        <v>108</v>
      </c>
      <c r="I61" s="458">
        <f t="shared" si="36"/>
        <v>2066</v>
      </c>
      <c r="J61" s="470"/>
      <c r="K61" s="470">
        <f t="shared" si="37"/>
        <v>47</v>
      </c>
      <c r="L61" s="39"/>
      <c r="M61" s="40">
        <f t="shared" si="0"/>
        <v>0.24925876497741845</v>
      </c>
      <c r="N61" s="39"/>
      <c r="O61" s="72" t="str">
        <f t="shared" si="16"/>
        <v/>
      </c>
      <c r="P61" s="41" t="str">
        <f t="shared" si="38"/>
        <v/>
      </c>
      <c r="Q61" s="39"/>
      <c r="R61" s="72" t="str">
        <f t="shared" si="50"/>
        <v/>
      </c>
      <c r="S61" s="39"/>
      <c r="T61" s="72" t="str">
        <f t="shared" si="18"/>
        <v/>
      </c>
      <c r="U61" s="39"/>
      <c r="V61" s="72" t="str">
        <f t="shared" si="39"/>
        <v/>
      </c>
      <c r="W61" s="72" t="str">
        <f t="shared" si="19"/>
        <v/>
      </c>
      <c r="X61" s="39"/>
      <c r="Y61" s="72" t="str">
        <f t="shared" si="40"/>
        <v/>
      </c>
      <c r="Z61" s="72" t="str">
        <f t="shared" si="20"/>
        <v/>
      </c>
      <c r="AA61" s="39"/>
      <c r="AB61" s="72" t="str">
        <f t="shared" si="4"/>
        <v/>
      </c>
      <c r="AC61" s="72" t="str">
        <f t="shared" si="21"/>
        <v/>
      </c>
      <c r="AD61" s="39"/>
      <c r="AE61" s="72" t="str">
        <f t="shared" si="41"/>
        <v/>
      </c>
      <c r="AF61" s="72" t="str">
        <f t="shared" si="22"/>
        <v/>
      </c>
      <c r="AG61" s="39"/>
      <c r="AH61" s="72" t="str">
        <f t="shared" si="42"/>
        <v/>
      </c>
      <c r="AI61" s="72" t="str">
        <f t="shared" si="23"/>
        <v/>
      </c>
      <c r="AJ61" s="39"/>
      <c r="AK61" s="72" t="str">
        <f t="shared" si="24"/>
        <v/>
      </c>
      <c r="AL61" s="72" t="str">
        <f t="shared" si="25"/>
        <v/>
      </c>
      <c r="AM61" s="39"/>
      <c r="AN61" s="72" t="str">
        <f t="shared" si="43"/>
        <v/>
      </c>
      <c r="AO61" s="72" t="str">
        <f t="shared" si="26"/>
        <v/>
      </c>
      <c r="AP61" s="39"/>
      <c r="AQ61" s="72" t="str">
        <f t="shared" si="44"/>
        <v/>
      </c>
      <c r="AR61" s="72" t="str">
        <f t="shared" si="27"/>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45"/>
        <v/>
      </c>
      <c r="AW61" s="72" t="str">
        <f t="shared" si="10"/>
        <v/>
      </c>
      <c r="AX61" s="39"/>
      <c r="AY61" s="40" t="str">
        <f>IF(ISERROR(IF($K61&lt;=$F$15,VLOOKUP($I61,'表4）CO2価格'!$A$7:$E$67,VLOOKUP($F$48,'表4）CO2価格'!$H$10:$I$12,2,0),0)*$F$8/1000,"")),0,IF($K61&lt;=$F$15,VLOOKUP($I61,'表4）CO2価格'!$A$7:$E$67,VLOOKUP($F$48,'表4）CO2価格'!$H$10:$I$12,2,0),0)*$F$8/1000,""))</f>
        <v/>
      </c>
      <c r="AZ61" s="39"/>
      <c r="BA61" s="42" t="str">
        <f t="shared" si="46"/>
        <v/>
      </c>
      <c r="BB61" s="72" t="str">
        <f t="shared" si="28"/>
        <v/>
      </c>
      <c r="BC61" s="39"/>
      <c r="BD61" s="72" t="str">
        <f t="shared" si="47"/>
        <v/>
      </c>
      <c r="BE61" s="72" t="str">
        <f t="shared" si="29"/>
        <v/>
      </c>
      <c r="BF61" s="39"/>
      <c r="BG61" s="42" t="str">
        <f t="shared" si="48"/>
        <v/>
      </c>
      <c r="BH61" s="72" t="str">
        <f t="shared" si="30"/>
        <v/>
      </c>
      <c r="BI61" s="39"/>
      <c r="BJ61" s="40" t="str">
        <f t="shared" si="31"/>
        <v/>
      </c>
      <c r="BK61" s="157" t="str">
        <f t="shared" si="32"/>
        <v/>
      </c>
      <c r="BL61" s="157" t="str">
        <f t="shared" si="14"/>
        <v/>
      </c>
      <c r="BM61" s="72"/>
      <c r="BN61" s="72" t="str">
        <f t="shared" si="33"/>
        <v/>
      </c>
      <c r="BO61" s="72" t="str">
        <f t="shared" si="34"/>
        <v/>
      </c>
      <c r="BP61" s="39"/>
      <c r="BQ61" s="72" t="str">
        <f t="shared" si="49"/>
        <v/>
      </c>
      <c r="BR61" s="72" t="str">
        <f t="shared" si="35"/>
        <v/>
      </c>
    </row>
    <row r="62" spans="3:70" x14ac:dyDescent="0.15">
      <c r="D62" s="81" t="s">
        <v>131</v>
      </c>
      <c r="F62" s="59"/>
      <c r="G62" s="81" t="s">
        <v>191</v>
      </c>
      <c r="I62" s="459">
        <f t="shared" si="36"/>
        <v>2067</v>
      </c>
      <c r="K62" s="9">
        <f t="shared" si="37"/>
        <v>48</v>
      </c>
      <c r="L62" s="71"/>
      <c r="M62" s="7">
        <f t="shared" si="0"/>
        <v>0.24199880094894996</v>
      </c>
      <c r="N62" s="71"/>
      <c r="O62" s="10" t="str">
        <f t="shared" si="16"/>
        <v/>
      </c>
      <c r="P62" s="29" t="str">
        <f t="shared" si="38"/>
        <v/>
      </c>
      <c r="Q62" s="71"/>
      <c r="R62" s="10" t="str">
        <f t="shared" si="50"/>
        <v/>
      </c>
      <c r="S62" s="71"/>
      <c r="T62" s="10" t="str">
        <f t="shared" si="18"/>
        <v/>
      </c>
      <c r="U62" s="71"/>
      <c r="V62" s="10" t="str">
        <f t="shared" si="39"/>
        <v/>
      </c>
      <c r="W62" s="10" t="str">
        <f t="shared" si="19"/>
        <v/>
      </c>
      <c r="X62" s="71"/>
      <c r="Y62" s="10" t="str">
        <f t="shared" si="40"/>
        <v/>
      </c>
      <c r="Z62" s="10" t="str">
        <f t="shared" si="20"/>
        <v/>
      </c>
      <c r="AA62" s="71"/>
      <c r="AB62" s="10" t="str">
        <f t="shared" si="4"/>
        <v/>
      </c>
      <c r="AC62" s="10" t="str">
        <f t="shared" si="21"/>
        <v/>
      </c>
      <c r="AD62" s="71"/>
      <c r="AE62" s="10" t="str">
        <f t="shared" si="41"/>
        <v/>
      </c>
      <c r="AF62" s="10" t="str">
        <f t="shared" si="22"/>
        <v/>
      </c>
      <c r="AG62" s="71"/>
      <c r="AH62" s="10" t="str">
        <f t="shared" si="42"/>
        <v/>
      </c>
      <c r="AI62" s="10" t="str">
        <f t="shared" si="23"/>
        <v/>
      </c>
      <c r="AJ62" s="71"/>
      <c r="AK62" s="10" t="str">
        <f t="shared" si="24"/>
        <v/>
      </c>
      <c r="AL62" s="10" t="str">
        <f t="shared" si="25"/>
        <v/>
      </c>
      <c r="AM62" s="71"/>
      <c r="AN62" s="10" t="str">
        <f t="shared" si="43"/>
        <v/>
      </c>
      <c r="AO62" s="10" t="str">
        <f t="shared" si="26"/>
        <v/>
      </c>
      <c r="AP62" s="71"/>
      <c r="AQ62" s="10" t="str">
        <f t="shared" si="44"/>
        <v/>
      </c>
      <c r="AR62" s="10" t="str">
        <f t="shared" si="27"/>
        <v/>
      </c>
      <c r="AS62" s="71"/>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U62" s="71"/>
      <c r="AV62" s="10" t="str">
        <f t="shared" si="45"/>
        <v/>
      </c>
      <c r="AW62" s="10" t="str">
        <f t="shared" si="10"/>
        <v/>
      </c>
      <c r="AX62" s="71"/>
      <c r="AY62" s="7" t="str">
        <f>IF(ISERROR(IF($K62&lt;=$F$15,VLOOKUP($I62,'表4）CO2価格'!$A$7:$E$67,VLOOKUP($F$48,'表4）CO2価格'!$H$10:$I$12,2,0),0)*$F$8/1000,"")),0,IF($K62&lt;=$F$15,VLOOKUP($I62,'表4）CO2価格'!$A$7:$E$67,VLOOKUP($F$48,'表4）CO2価格'!$H$10:$I$12,2,0),0)*$F$8/1000,""))</f>
        <v/>
      </c>
      <c r="AZ62" s="71"/>
      <c r="BA62" s="11" t="str">
        <f t="shared" si="46"/>
        <v/>
      </c>
      <c r="BB62" s="10" t="str">
        <f t="shared" si="28"/>
        <v/>
      </c>
      <c r="BC62" s="71"/>
      <c r="BD62" s="10" t="str">
        <f t="shared" si="47"/>
        <v/>
      </c>
      <c r="BE62" s="10" t="str">
        <f t="shared" si="29"/>
        <v/>
      </c>
      <c r="BF62" s="71"/>
      <c r="BG62" s="11" t="str">
        <f t="shared" si="48"/>
        <v/>
      </c>
      <c r="BH62" s="10" t="str">
        <f t="shared" si="30"/>
        <v/>
      </c>
      <c r="BJ62" s="7" t="str">
        <f t="shared" si="31"/>
        <v/>
      </c>
      <c r="BK62" s="158" t="str">
        <f t="shared" si="32"/>
        <v/>
      </c>
      <c r="BL62" s="158" t="str">
        <f t="shared" si="14"/>
        <v/>
      </c>
      <c r="BM62" s="10"/>
      <c r="BN62" s="10" t="str">
        <f t="shared" si="33"/>
        <v/>
      </c>
      <c r="BO62" s="10" t="str">
        <f t="shared" si="34"/>
        <v/>
      </c>
      <c r="BQ62" s="10" t="str">
        <f t="shared" si="49"/>
        <v/>
      </c>
      <c r="BR62" s="10" t="str">
        <f t="shared" si="35"/>
        <v/>
      </c>
    </row>
    <row r="63" spans="3:70" x14ac:dyDescent="0.15">
      <c r="I63" s="458">
        <f t="shared" si="36"/>
        <v>2068</v>
      </c>
      <c r="J63" s="470"/>
      <c r="K63" s="470">
        <f t="shared" si="37"/>
        <v>49</v>
      </c>
      <c r="L63" s="39"/>
      <c r="M63" s="40">
        <f t="shared" si="0"/>
        <v>0.2349502921834466</v>
      </c>
      <c r="N63" s="39"/>
      <c r="O63" s="72" t="str">
        <f t="shared" si="16"/>
        <v/>
      </c>
      <c r="P63" s="41" t="str">
        <f t="shared" si="38"/>
        <v/>
      </c>
      <c r="Q63" s="39"/>
      <c r="R63" s="72" t="str">
        <f t="shared" si="50"/>
        <v/>
      </c>
      <c r="S63" s="39"/>
      <c r="T63" s="72" t="str">
        <f t="shared" si="18"/>
        <v/>
      </c>
      <c r="U63" s="39"/>
      <c r="V63" s="72" t="str">
        <f t="shared" si="39"/>
        <v/>
      </c>
      <c r="W63" s="72" t="str">
        <f t="shared" si="19"/>
        <v/>
      </c>
      <c r="X63" s="39"/>
      <c r="Y63" s="72" t="str">
        <f t="shared" si="40"/>
        <v/>
      </c>
      <c r="Z63" s="72" t="str">
        <f t="shared" si="20"/>
        <v/>
      </c>
      <c r="AA63" s="39"/>
      <c r="AB63" s="72" t="str">
        <f t="shared" si="4"/>
        <v/>
      </c>
      <c r="AC63" s="72" t="str">
        <f t="shared" si="21"/>
        <v/>
      </c>
      <c r="AD63" s="39"/>
      <c r="AE63" s="72" t="str">
        <f t="shared" si="41"/>
        <v/>
      </c>
      <c r="AF63" s="72" t="str">
        <f t="shared" si="22"/>
        <v/>
      </c>
      <c r="AG63" s="39"/>
      <c r="AH63" s="72" t="str">
        <f t="shared" si="42"/>
        <v/>
      </c>
      <c r="AI63" s="72" t="str">
        <f t="shared" si="23"/>
        <v/>
      </c>
      <c r="AJ63" s="39"/>
      <c r="AK63" s="72" t="str">
        <f t="shared" si="24"/>
        <v/>
      </c>
      <c r="AL63" s="72" t="str">
        <f t="shared" si="25"/>
        <v/>
      </c>
      <c r="AM63" s="39"/>
      <c r="AN63" s="72" t="str">
        <f t="shared" si="43"/>
        <v/>
      </c>
      <c r="AO63" s="72" t="str">
        <f t="shared" si="26"/>
        <v/>
      </c>
      <c r="AP63" s="39"/>
      <c r="AQ63" s="72" t="str">
        <f t="shared" si="44"/>
        <v/>
      </c>
      <c r="AR63" s="72" t="str">
        <f t="shared" si="27"/>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45"/>
        <v/>
      </c>
      <c r="AW63" s="72" t="str">
        <f t="shared" si="10"/>
        <v/>
      </c>
      <c r="AX63" s="39"/>
      <c r="AY63" s="40" t="str">
        <f>IF(ISERROR(IF($K63&lt;=$F$15,VLOOKUP($I63,'表4）CO2価格'!$A$7:$E$67,VLOOKUP($F$48,'表4）CO2価格'!$H$10:$I$12,2,0),0)*$F$8/1000,"")),0,IF($K63&lt;=$F$15,VLOOKUP($I63,'表4）CO2価格'!$A$7:$E$67,VLOOKUP($F$48,'表4）CO2価格'!$H$10:$I$12,2,0),0)*$F$8/1000,""))</f>
        <v/>
      </c>
      <c r="AZ63" s="39"/>
      <c r="BA63" s="42" t="str">
        <f t="shared" si="46"/>
        <v/>
      </c>
      <c r="BB63" s="72" t="str">
        <f t="shared" si="28"/>
        <v/>
      </c>
      <c r="BC63" s="39"/>
      <c r="BD63" s="72" t="str">
        <f t="shared" si="47"/>
        <v/>
      </c>
      <c r="BE63" s="72" t="str">
        <f t="shared" si="29"/>
        <v/>
      </c>
      <c r="BF63" s="39"/>
      <c r="BG63" s="42" t="str">
        <f t="shared" si="48"/>
        <v/>
      </c>
      <c r="BH63" s="72" t="str">
        <f t="shared" si="30"/>
        <v/>
      </c>
      <c r="BI63" s="39"/>
      <c r="BJ63" s="40" t="str">
        <f t="shared" si="31"/>
        <v/>
      </c>
      <c r="BK63" s="157" t="str">
        <f t="shared" si="32"/>
        <v/>
      </c>
      <c r="BL63" s="157" t="str">
        <f t="shared" si="14"/>
        <v/>
      </c>
      <c r="BM63" s="72"/>
      <c r="BN63" s="72" t="str">
        <f t="shared" si="33"/>
        <v/>
      </c>
      <c r="BO63" s="72" t="str">
        <f t="shared" si="34"/>
        <v/>
      </c>
      <c r="BP63" s="39"/>
      <c r="BQ63" s="72" t="str">
        <f t="shared" si="49"/>
        <v/>
      </c>
      <c r="BR63" s="72" t="str">
        <f t="shared" si="35"/>
        <v/>
      </c>
    </row>
    <row r="64" spans="3:70" x14ac:dyDescent="0.15">
      <c r="C64" s="9" t="s">
        <v>513</v>
      </c>
      <c r="F64" s="90">
        <v>3.4849689042764975E-2</v>
      </c>
      <c r="G64" s="81" t="s">
        <v>132</v>
      </c>
      <c r="I64" s="459">
        <f t="shared" si="36"/>
        <v>2069</v>
      </c>
      <c r="K64" s="9">
        <f t="shared" si="37"/>
        <v>50</v>
      </c>
      <c r="L64" s="71"/>
      <c r="M64" s="7">
        <f t="shared" si="0"/>
        <v>0.22810707978975397</v>
      </c>
      <c r="N64" s="71"/>
      <c r="O64" s="10" t="str">
        <f t="shared" si="16"/>
        <v/>
      </c>
      <c r="P64" s="29" t="str">
        <f t="shared" si="38"/>
        <v/>
      </c>
      <c r="Q64" s="71"/>
      <c r="R64" s="10" t="str">
        <f t="shared" si="50"/>
        <v/>
      </c>
      <c r="S64" s="71"/>
      <c r="T64" s="10" t="str">
        <f t="shared" si="18"/>
        <v/>
      </c>
      <c r="U64" s="71"/>
      <c r="V64" s="10" t="str">
        <f t="shared" si="39"/>
        <v/>
      </c>
      <c r="W64" s="10" t="str">
        <f t="shared" si="19"/>
        <v/>
      </c>
      <c r="X64" s="71"/>
      <c r="Y64" s="10" t="str">
        <f t="shared" si="40"/>
        <v/>
      </c>
      <c r="Z64" s="10" t="str">
        <f t="shared" si="20"/>
        <v/>
      </c>
      <c r="AA64" s="71"/>
      <c r="AB64" s="10" t="str">
        <f t="shared" si="4"/>
        <v/>
      </c>
      <c r="AC64" s="10" t="str">
        <f t="shared" si="21"/>
        <v/>
      </c>
      <c r="AD64" s="71"/>
      <c r="AE64" s="10" t="str">
        <f t="shared" si="41"/>
        <v/>
      </c>
      <c r="AF64" s="10" t="str">
        <f t="shared" si="22"/>
        <v/>
      </c>
      <c r="AG64" s="71"/>
      <c r="AH64" s="10" t="str">
        <f t="shared" si="42"/>
        <v/>
      </c>
      <c r="AI64" s="10" t="str">
        <f t="shared" si="23"/>
        <v/>
      </c>
      <c r="AJ64" s="71"/>
      <c r="AK64" s="10" t="str">
        <f t="shared" si="24"/>
        <v/>
      </c>
      <c r="AL64" s="10" t="str">
        <f t="shared" si="25"/>
        <v/>
      </c>
      <c r="AM64" s="71"/>
      <c r="AN64" s="10" t="str">
        <f t="shared" si="43"/>
        <v/>
      </c>
      <c r="AO64" s="10" t="str">
        <f t="shared" si="26"/>
        <v/>
      </c>
      <c r="AP64" s="71"/>
      <c r="AQ64" s="10" t="str">
        <f t="shared" si="44"/>
        <v/>
      </c>
      <c r="AR64" s="10" t="str">
        <f t="shared" si="27"/>
        <v/>
      </c>
      <c r="AS64" s="71"/>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U64" s="71"/>
      <c r="AV64" s="10" t="str">
        <f t="shared" si="45"/>
        <v/>
      </c>
      <c r="AW64" s="10" t="str">
        <f t="shared" si="10"/>
        <v/>
      </c>
      <c r="AX64" s="71"/>
      <c r="AY64" s="7" t="str">
        <f>IF(ISERROR(IF($K64&lt;=$F$15,VLOOKUP($I64,'表4）CO2価格'!$A$7:$E$67,VLOOKUP($F$48,'表4）CO2価格'!$H$10:$I$12,2,0),0)*$F$8/1000,"")),0,IF($K64&lt;=$F$15,VLOOKUP($I64,'表4）CO2価格'!$A$7:$E$67,VLOOKUP($F$48,'表4）CO2価格'!$H$10:$I$12,2,0),0)*$F$8/1000,""))</f>
        <v/>
      </c>
      <c r="AZ64" s="71"/>
      <c r="BA64" s="11" t="str">
        <f t="shared" si="46"/>
        <v/>
      </c>
      <c r="BB64" s="10" t="str">
        <f t="shared" si="28"/>
        <v/>
      </c>
      <c r="BC64" s="71"/>
      <c r="BD64" s="10" t="str">
        <f t="shared" si="47"/>
        <v/>
      </c>
      <c r="BE64" s="10" t="str">
        <f t="shared" si="29"/>
        <v/>
      </c>
      <c r="BF64" s="71"/>
      <c r="BG64" s="11" t="str">
        <f t="shared" si="48"/>
        <v/>
      </c>
      <c r="BH64" s="10" t="str">
        <f t="shared" si="30"/>
        <v/>
      </c>
      <c r="BJ64" s="7" t="str">
        <f t="shared" si="31"/>
        <v/>
      </c>
      <c r="BK64" s="158" t="str">
        <f t="shared" si="32"/>
        <v/>
      </c>
      <c r="BL64" s="158" t="str">
        <f t="shared" si="14"/>
        <v/>
      </c>
      <c r="BM64" s="10"/>
      <c r="BN64" s="10" t="str">
        <f t="shared" si="33"/>
        <v/>
      </c>
      <c r="BO64" s="10" t="str">
        <f t="shared" si="34"/>
        <v/>
      </c>
      <c r="BQ64" s="10" t="str">
        <f t="shared" si="49"/>
        <v/>
      </c>
      <c r="BR64" s="10" t="str">
        <f t="shared" si="35"/>
        <v/>
      </c>
    </row>
    <row r="65" spans="2:70" x14ac:dyDescent="0.15">
      <c r="I65" s="458">
        <f t="shared" si="36"/>
        <v>2070</v>
      </c>
      <c r="J65" s="470"/>
      <c r="K65" s="470">
        <f t="shared" si="37"/>
        <v>51</v>
      </c>
      <c r="L65" s="39"/>
      <c r="M65" s="40">
        <f t="shared" si="0"/>
        <v>0.22146318426189707</v>
      </c>
      <c r="N65" s="39"/>
      <c r="O65" s="72" t="str">
        <f t="shared" si="16"/>
        <v/>
      </c>
      <c r="P65" s="41" t="str">
        <f t="shared" si="38"/>
        <v/>
      </c>
      <c r="Q65" s="39"/>
      <c r="R65" s="72" t="str">
        <f t="shared" si="50"/>
        <v/>
      </c>
      <c r="S65" s="39"/>
      <c r="T65" s="72" t="str">
        <f t="shared" si="18"/>
        <v/>
      </c>
      <c r="U65" s="39"/>
      <c r="V65" s="72" t="str">
        <f t="shared" si="39"/>
        <v/>
      </c>
      <c r="W65" s="72" t="str">
        <f t="shared" si="19"/>
        <v/>
      </c>
      <c r="X65" s="39"/>
      <c r="Y65" s="72" t="str">
        <f t="shared" si="40"/>
        <v/>
      </c>
      <c r="Z65" s="72" t="str">
        <f t="shared" si="20"/>
        <v/>
      </c>
      <c r="AA65" s="39"/>
      <c r="AB65" s="72" t="str">
        <f t="shared" si="4"/>
        <v/>
      </c>
      <c r="AC65" s="72" t="str">
        <f t="shared" si="21"/>
        <v/>
      </c>
      <c r="AD65" s="39"/>
      <c r="AE65" s="72" t="str">
        <f t="shared" si="41"/>
        <v/>
      </c>
      <c r="AF65" s="72" t="str">
        <f t="shared" si="22"/>
        <v/>
      </c>
      <c r="AG65" s="39"/>
      <c r="AH65" s="72" t="str">
        <f t="shared" si="42"/>
        <v/>
      </c>
      <c r="AI65" s="72" t="str">
        <f t="shared" si="23"/>
        <v/>
      </c>
      <c r="AJ65" s="39"/>
      <c r="AK65" s="72" t="str">
        <f t="shared" si="24"/>
        <v/>
      </c>
      <c r="AL65" s="72" t="str">
        <f t="shared" si="25"/>
        <v/>
      </c>
      <c r="AM65" s="39"/>
      <c r="AN65" s="72" t="str">
        <f t="shared" si="43"/>
        <v/>
      </c>
      <c r="AO65" s="72" t="str">
        <f t="shared" si="26"/>
        <v/>
      </c>
      <c r="AP65" s="39"/>
      <c r="AQ65" s="72" t="str">
        <f t="shared" si="44"/>
        <v/>
      </c>
      <c r="AR65" s="72" t="str">
        <f t="shared" si="27"/>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45"/>
        <v/>
      </c>
      <c r="AW65" s="72" t="str">
        <f t="shared" si="10"/>
        <v/>
      </c>
      <c r="AX65" s="39"/>
      <c r="AY65" s="40" t="str">
        <f>IF(ISERROR(IF($K65&lt;=$F$15,VLOOKUP($I65,'表4）CO2価格'!$A$7:$E$67,VLOOKUP($F$48,'表4）CO2価格'!$H$10:$I$12,2,0),0)*$F$8/1000,"")),0,IF($K65&lt;=$F$15,VLOOKUP($I65,'表4）CO2価格'!$A$7:$E$67,VLOOKUP($F$48,'表4）CO2価格'!$H$10:$I$12,2,0),0)*$F$8/1000,""))</f>
        <v/>
      </c>
      <c r="AZ65" s="39"/>
      <c r="BA65" s="42" t="str">
        <f t="shared" si="46"/>
        <v/>
      </c>
      <c r="BB65" s="72" t="str">
        <f t="shared" si="28"/>
        <v/>
      </c>
      <c r="BC65" s="39"/>
      <c r="BD65" s="72" t="str">
        <f t="shared" si="47"/>
        <v/>
      </c>
      <c r="BE65" s="72" t="str">
        <f t="shared" si="29"/>
        <v/>
      </c>
      <c r="BF65" s="39"/>
      <c r="BG65" s="42" t="str">
        <f t="shared" si="48"/>
        <v/>
      </c>
      <c r="BH65" s="72" t="str">
        <f t="shared" si="30"/>
        <v/>
      </c>
      <c r="BI65" s="39"/>
      <c r="BJ65" s="40" t="str">
        <f t="shared" si="31"/>
        <v/>
      </c>
      <c r="BK65" s="157" t="str">
        <f t="shared" si="32"/>
        <v/>
      </c>
      <c r="BL65" s="157" t="str">
        <f t="shared" si="14"/>
        <v/>
      </c>
      <c r="BM65" s="72"/>
      <c r="BN65" s="72" t="str">
        <f t="shared" si="33"/>
        <v/>
      </c>
      <c r="BO65" s="72" t="str">
        <f t="shared" si="34"/>
        <v/>
      </c>
      <c r="BP65" s="39"/>
      <c r="BQ65" s="72" t="str">
        <f t="shared" si="49"/>
        <v/>
      </c>
      <c r="BR65" s="72" t="str">
        <f t="shared" si="35"/>
        <v/>
      </c>
    </row>
    <row r="66" spans="2:70" x14ac:dyDescent="0.15">
      <c r="I66" s="459">
        <f t="shared" si="36"/>
        <v>2071</v>
      </c>
      <c r="K66" s="9">
        <f t="shared" si="37"/>
        <v>52</v>
      </c>
      <c r="L66" s="71"/>
      <c r="M66" s="7">
        <f t="shared" si="0"/>
        <v>0.215012800254269</v>
      </c>
      <c r="N66" s="71"/>
      <c r="O66" s="10" t="str">
        <f t="shared" si="16"/>
        <v/>
      </c>
      <c r="P66" s="29" t="str">
        <f t="shared" si="38"/>
        <v/>
      </c>
      <c r="Q66" s="71"/>
      <c r="R66" s="10" t="str">
        <f t="shared" si="50"/>
        <v/>
      </c>
      <c r="S66" s="71"/>
      <c r="T66" s="10" t="str">
        <f t="shared" si="18"/>
        <v/>
      </c>
      <c r="U66" s="71"/>
      <c r="V66" s="10" t="str">
        <f t="shared" si="39"/>
        <v/>
      </c>
      <c r="W66" s="10" t="str">
        <f t="shared" si="19"/>
        <v/>
      </c>
      <c r="X66" s="71"/>
      <c r="Y66" s="10" t="str">
        <f t="shared" si="40"/>
        <v/>
      </c>
      <c r="Z66" s="10" t="str">
        <f t="shared" si="20"/>
        <v/>
      </c>
      <c r="AA66" s="71"/>
      <c r="AB66" s="10" t="str">
        <f t="shared" si="4"/>
        <v/>
      </c>
      <c r="AC66" s="10" t="str">
        <f t="shared" si="21"/>
        <v/>
      </c>
      <c r="AD66" s="71"/>
      <c r="AE66" s="10" t="str">
        <f t="shared" si="41"/>
        <v/>
      </c>
      <c r="AF66" s="10" t="str">
        <f t="shared" si="22"/>
        <v/>
      </c>
      <c r="AG66" s="71"/>
      <c r="AH66" s="10" t="str">
        <f t="shared" si="42"/>
        <v/>
      </c>
      <c r="AI66" s="10" t="str">
        <f t="shared" si="23"/>
        <v/>
      </c>
      <c r="AJ66" s="71"/>
      <c r="AK66" s="10" t="str">
        <f t="shared" si="24"/>
        <v/>
      </c>
      <c r="AL66" s="10" t="str">
        <f t="shared" si="25"/>
        <v/>
      </c>
      <c r="AM66" s="71"/>
      <c r="AN66" s="10" t="str">
        <f t="shared" si="43"/>
        <v/>
      </c>
      <c r="AO66" s="10" t="str">
        <f t="shared" si="26"/>
        <v/>
      </c>
      <c r="AP66" s="71"/>
      <c r="AQ66" s="10" t="str">
        <f t="shared" si="44"/>
        <v/>
      </c>
      <c r="AR66" s="10" t="str">
        <f t="shared" si="27"/>
        <v/>
      </c>
      <c r="AS66" s="71"/>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U66" s="71"/>
      <c r="AV66" s="10" t="str">
        <f t="shared" si="45"/>
        <v/>
      </c>
      <c r="AW66" s="10" t="str">
        <f t="shared" si="10"/>
        <v/>
      </c>
      <c r="AX66" s="71"/>
      <c r="AY66" s="7" t="str">
        <f>IF(ISERROR(IF($K66&lt;=$F$15,VLOOKUP($I66,'表4）CO2価格'!$A$7:$E$67,VLOOKUP($F$48,'表4）CO2価格'!$H$10:$I$12,2,0),0)*$F$8/1000,"")),0,IF($K66&lt;=$F$15,VLOOKUP($I66,'表4）CO2価格'!$A$7:$E$67,VLOOKUP($F$48,'表4）CO2価格'!$H$10:$I$12,2,0),0)*$F$8/1000,""))</f>
        <v/>
      </c>
      <c r="AZ66" s="71"/>
      <c r="BA66" s="11" t="str">
        <f t="shared" si="46"/>
        <v/>
      </c>
      <c r="BB66" s="10" t="str">
        <f t="shared" si="28"/>
        <v/>
      </c>
      <c r="BC66" s="71"/>
      <c r="BD66" s="10" t="str">
        <f t="shared" si="47"/>
        <v/>
      </c>
      <c r="BE66" s="10" t="str">
        <f t="shared" si="29"/>
        <v/>
      </c>
      <c r="BF66" s="71"/>
      <c r="BG66" s="11" t="str">
        <f t="shared" si="48"/>
        <v/>
      </c>
      <c r="BH66" s="10" t="str">
        <f t="shared" si="30"/>
        <v/>
      </c>
      <c r="BJ66" s="7" t="str">
        <f t="shared" si="31"/>
        <v/>
      </c>
      <c r="BK66" s="158" t="str">
        <f t="shared" si="32"/>
        <v/>
      </c>
      <c r="BL66" s="158" t="str">
        <f t="shared" si="14"/>
        <v/>
      </c>
      <c r="BM66" s="10"/>
      <c r="BN66" s="10" t="str">
        <f t="shared" si="33"/>
        <v/>
      </c>
      <c r="BO66" s="10" t="str">
        <f t="shared" si="34"/>
        <v/>
      </c>
      <c r="BQ66" s="10" t="str">
        <f t="shared" si="49"/>
        <v/>
      </c>
      <c r="BR66" s="10" t="str">
        <f t="shared" si="35"/>
        <v/>
      </c>
    </row>
    <row r="67" spans="2:70" ht="15.75" thickBot="1" x14ac:dyDescent="0.2">
      <c r="B67" s="460" t="s">
        <v>133</v>
      </c>
      <c r="C67" s="86"/>
      <c r="D67" s="104"/>
      <c r="E67" s="104"/>
      <c r="F67" s="86"/>
      <c r="G67" s="104"/>
      <c r="I67" s="458">
        <f t="shared" si="36"/>
        <v>2072</v>
      </c>
      <c r="J67" s="470"/>
      <c r="K67" s="470">
        <f t="shared" si="37"/>
        <v>53</v>
      </c>
      <c r="L67" s="39"/>
      <c r="M67" s="40">
        <f t="shared" si="0"/>
        <v>0.20875029150899907</v>
      </c>
      <c r="N67" s="39"/>
      <c r="O67" s="72" t="str">
        <f t="shared" si="16"/>
        <v/>
      </c>
      <c r="P67" s="41" t="str">
        <f t="shared" si="38"/>
        <v/>
      </c>
      <c r="Q67" s="39"/>
      <c r="R67" s="72" t="str">
        <f t="shared" si="50"/>
        <v/>
      </c>
      <c r="S67" s="39"/>
      <c r="T67" s="72" t="str">
        <f t="shared" si="18"/>
        <v/>
      </c>
      <c r="U67" s="39"/>
      <c r="V67" s="72" t="str">
        <f t="shared" si="39"/>
        <v/>
      </c>
      <c r="W67" s="72" t="str">
        <f t="shared" si="19"/>
        <v/>
      </c>
      <c r="X67" s="39"/>
      <c r="Y67" s="72" t="str">
        <f t="shared" si="40"/>
        <v/>
      </c>
      <c r="Z67" s="72" t="str">
        <f t="shared" si="20"/>
        <v/>
      </c>
      <c r="AA67" s="39"/>
      <c r="AB67" s="72" t="str">
        <f t="shared" si="4"/>
        <v/>
      </c>
      <c r="AC67" s="72" t="str">
        <f t="shared" si="21"/>
        <v/>
      </c>
      <c r="AD67" s="39"/>
      <c r="AE67" s="72" t="str">
        <f t="shared" si="41"/>
        <v/>
      </c>
      <c r="AF67" s="72" t="str">
        <f t="shared" si="22"/>
        <v/>
      </c>
      <c r="AG67" s="39"/>
      <c r="AH67" s="72" t="str">
        <f t="shared" si="42"/>
        <v/>
      </c>
      <c r="AI67" s="72" t="str">
        <f t="shared" si="23"/>
        <v/>
      </c>
      <c r="AJ67" s="39"/>
      <c r="AK67" s="72" t="str">
        <f t="shared" si="24"/>
        <v/>
      </c>
      <c r="AL67" s="72" t="str">
        <f t="shared" si="25"/>
        <v/>
      </c>
      <c r="AM67" s="39"/>
      <c r="AN67" s="72" t="str">
        <f t="shared" si="43"/>
        <v/>
      </c>
      <c r="AO67" s="72" t="str">
        <f t="shared" si="26"/>
        <v/>
      </c>
      <c r="AP67" s="39"/>
      <c r="AQ67" s="72" t="str">
        <f t="shared" si="44"/>
        <v/>
      </c>
      <c r="AR67" s="72" t="str">
        <f t="shared" si="27"/>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45"/>
        <v/>
      </c>
      <c r="AW67" s="72" t="str">
        <f t="shared" si="10"/>
        <v/>
      </c>
      <c r="AX67" s="39"/>
      <c r="AY67" s="40" t="str">
        <f>IF(ISERROR(IF($K67&lt;=$F$15,VLOOKUP($I67,'表4）CO2価格'!$A$7:$E$67,VLOOKUP($F$48,'表4）CO2価格'!$H$10:$I$12,2,0),0)*$F$8/1000,"")),0,IF($K67&lt;=$F$15,VLOOKUP($I67,'表4）CO2価格'!$A$7:$E$67,VLOOKUP($F$48,'表4）CO2価格'!$H$10:$I$12,2,0),0)*$F$8/1000,""))</f>
        <v/>
      </c>
      <c r="AZ67" s="39"/>
      <c r="BA67" s="42" t="str">
        <f t="shared" si="46"/>
        <v/>
      </c>
      <c r="BB67" s="72" t="str">
        <f t="shared" si="28"/>
        <v/>
      </c>
      <c r="BC67" s="39"/>
      <c r="BD67" s="72" t="str">
        <f t="shared" si="47"/>
        <v/>
      </c>
      <c r="BE67" s="72" t="str">
        <f t="shared" si="29"/>
        <v/>
      </c>
      <c r="BF67" s="39"/>
      <c r="BG67" s="42" t="str">
        <f t="shared" si="48"/>
        <v/>
      </c>
      <c r="BH67" s="72" t="str">
        <f t="shared" si="30"/>
        <v/>
      </c>
      <c r="BI67" s="39"/>
      <c r="BJ67" s="40" t="str">
        <f t="shared" si="31"/>
        <v/>
      </c>
      <c r="BK67" s="157" t="str">
        <f t="shared" si="32"/>
        <v/>
      </c>
      <c r="BL67" s="157" t="str">
        <f t="shared" si="14"/>
        <v/>
      </c>
      <c r="BM67" s="72"/>
      <c r="BN67" s="72" t="str">
        <f t="shared" si="33"/>
        <v/>
      </c>
      <c r="BO67" s="72" t="str">
        <f t="shared" si="34"/>
        <v/>
      </c>
      <c r="BP67" s="39"/>
      <c r="BQ67" s="72" t="str">
        <f t="shared" si="49"/>
        <v/>
      </c>
      <c r="BR67" s="72" t="str">
        <f t="shared" si="35"/>
        <v/>
      </c>
    </row>
    <row r="68" spans="2:70" x14ac:dyDescent="0.15">
      <c r="I68" s="459">
        <f t="shared" si="36"/>
        <v>2073</v>
      </c>
      <c r="K68" s="9">
        <f t="shared" si="37"/>
        <v>54</v>
      </c>
      <c r="L68" s="71"/>
      <c r="M68" s="7">
        <f t="shared" si="0"/>
        <v>0.20267018593106703</v>
      </c>
      <c r="N68" s="71"/>
      <c r="O68" s="10" t="str">
        <f t="shared" si="16"/>
        <v/>
      </c>
      <c r="P68" s="29" t="str">
        <f t="shared" si="38"/>
        <v/>
      </c>
      <c r="Q68" s="71"/>
      <c r="R68" s="10" t="str">
        <f t="shared" si="50"/>
        <v/>
      </c>
      <c r="S68" s="71"/>
      <c r="T68" s="10" t="str">
        <f t="shared" si="18"/>
        <v/>
      </c>
      <c r="U68" s="71"/>
      <c r="V68" s="10" t="str">
        <f t="shared" si="39"/>
        <v/>
      </c>
      <c r="W68" s="10" t="str">
        <f t="shared" si="19"/>
        <v/>
      </c>
      <c r="X68" s="71"/>
      <c r="Y68" s="10" t="str">
        <f t="shared" si="40"/>
        <v/>
      </c>
      <c r="Z68" s="10" t="str">
        <f t="shared" si="20"/>
        <v/>
      </c>
      <c r="AA68" s="71"/>
      <c r="AB68" s="10" t="str">
        <f t="shared" si="4"/>
        <v/>
      </c>
      <c r="AC68" s="10" t="str">
        <f t="shared" si="21"/>
        <v/>
      </c>
      <c r="AD68" s="71"/>
      <c r="AE68" s="10" t="str">
        <f t="shared" si="41"/>
        <v/>
      </c>
      <c r="AF68" s="10" t="str">
        <f t="shared" si="22"/>
        <v/>
      </c>
      <c r="AG68" s="71"/>
      <c r="AH68" s="10" t="str">
        <f t="shared" si="42"/>
        <v/>
      </c>
      <c r="AI68" s="10" t="str">
        <f t="shared" si="23"/>
        <v/>
      </c>
      <c r="AJ68" s="71"/>
      <c r="AK68" s="10" t="str">
        <f t="shared" si="24"/>
        <v/>
      </c>
      <c r="AL68" s="10" t="str">
        <f t="shared" si="25"/>
        <v/>
      </c>
      <c r="AM68" s="71"/>
      <c r="AN68" s="10" t="str">
        <f t="shared" si="43"/>
        <v/>
      </c>
      <c r="AO68" s="10" t="str">
        <f t="shared" si="26"/>
        <v/>
      </c>
      <c r="AP68" s="71"/>
      <c r="AQ68" s="10" t="str">
        <f t="shared" si="44"/>
        <v/>
      </c>
      <c r="AR68" s="10" t="str">
        <f t="shared" si="27"/>
        <v/>
      </c>
      <c r="AS68" s="71"/>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U68" s="71"/>
      <c r="AV68" s="10" t="str">
        <f t="shared" si="45"/>
        <v/>
      </c>
      <c r="AW68" s="10" t="str">
        <f t="shared" si="10"/>
        <v/>
      </c>
      <c r="AX68" s="71"/>
      <c r="AY68" s="7" t="str">
        <f>IF(ISERROR(IF($K68&lt;=$F$15,VLOOKUP($I68,'表4）CO2価格'!$A$7:$E$67,VLOOKUP($F$48,'表4）CO2価格'!$H$10:$I$12,2,0),0)*$F$8/1000,"")),0,IF($K68&lt;=$F$15,VLOOKUP($I68,'表4）CO2価格'!$A$7:$E$67,VLOOKUP($F$48,'表4）CO2価格'!$H$10:$I$12,2,0),0)*$F$8/1000,""))</f>
        <v/>
      </c>
      <c r="AZ68" s="71"/>
      <c r="BA68" s="11" t="str">
        <f t="shared" si="46"/>
        <v/>
      </c>
      <c r="BB68" s="10" t="str">
        <f t="shared" si="28"/>
        <v/>
      </c>
      <c r="BC68" s="71"/>
      <c r="BD68" s="10" t="str">
        <f t="shared" si="47"/>
        <v/>
      </c>
      <c r="BE68" s="10" t="str">
        <f t="shared" si="29"/>
        <v/>
      </c>
      <c r="BF68" s="71"/>
      <c r="BG68" s="11" t="str">
        <f t="shared" si="48"/>
        <v/>
      </c>
      <c r="BH68" s="10" t="str">
        <f t="shared" si="30"/>
        <v/>
      </c>
      <c r="BJ68" s="7" t="str">
        <f t="shared" si="31"/>
        <v/>
      </c>
      <c r="BK68" s="158" t="str">
        <f t="shared" si="32"/>
        <v/>
      </c>
      <c r="BL68" s="158" t="str">
        <f t="shared" si="14"/>
        <v/>
      </c>
      <c r="BM68" s="10"/>
      <c r="BN68" s="10" t="str">
        <f t="shared" si="33"/>
        <v/>
      </c>
      <c r="BO68" s="10" t="str">
        <f t="shared" si="34"/>
        <v/>
      </c>
      <c r="BQ68" s="10" t="str">
        <f t="shared" si="49"/>
        <v/>
      </c>
      <c r="BR68" s="10" t="str">
        <f t="shared" si="35"/>
        <v/>
      </c>
    </row>
    <row r="69" spans="2:70" x14ac:dyDescent="0.15">
      <c r="C69" s="461" t="s">
        <v>134</v>
      </c>
      <c r="D69" s="9"/>
      <c r="E69" s="9"/>
      <c r="F69" s="94">
        <f>SUBTOTAL(9,F74:F112)-F105</f>
        <v>9.2558794929148362</v>
      </c>
      <c r="G69" s="9" t="s">
        <v>132</v>
      </c>
      <c r="I69" s="458">
        <f t="shared" si="36"/>
        <v>2074</v>
      </c>
      <c r="J69" s="470"/>
      <c r="K69" s="470">
        <f t="shared" si="37"/>
        <v>55</v>
      </c>
      <c r="L69" s="39"/>
      <c r="M69" s="40">
        <f t="shared" si="0"/>
        <v>0.19676717080686118</v>
      </c>
      <c r="N69" s="39"/>
      <c r="O69" s="72" t="str">
        <f t="shared" si="16"/>
        <v/>
      </c>
      <c r="P69" s="41" t="str">
        <f t="shared" si="38"/>
        <v/>
      </c>
      <c r="Q69" s="39"/>
      <c r="R69" s="72" t="str">
        <f t="shared" si="50"/>
        <v/>
      </c>
      <c r="S69" s="39"/>
      <c r="T69" s="72" t="str">
        <f t="shared" si="18"/>
        <v/>
      </c>
      <c r="U69" s="39"/>
      <c r="V69" s="72" t="str">
        <f t="shared" si="39"/>
        <v/>
      </c>
      <c r="W69" s="72" t="str">
        <f t="shared" si="19"/>
        <v/>
      </c>
      <c r="X69" s="39"/>
      <c r="Y69" s="72" t="str">
        <f t="shared" si="40"/>
        <v/>
      </c>
      <c r="Z69" s="72" t="str">
        <f t="shared" si="20"/>
        <v/>
      </c>
      <c r="AA69" s="39"/>
      <c r="AB69" s="72" t="str">
        <f t="shared" si="4"/>
        <v/>
      </c>
      <c r="AC69" s="72" t="str">
        <f t="shared" si="21"/>
        <v/>
      </c>
      <c r="AD69" s="39"/>
      <c r="AE69" s="72" t="str">
        <f t="shared" si="41"/>
        <v/>
      </c>
      <c r="AF69" s="72" t="str">
        <f t="shared" si="22"/>
        <v/>
      </c>
      <c r="AG69" s="39"/>
      <c r="AH69" s="72" t="str">
        <f t="shared" si="42"/>
        <v/>
      </c>
      <c r="AI69" s="72" t="str">
        <f t="shared" si="23"/>
        <v/>
      </c>
      <c r="AJ69" s="39"/>
      <c r="AK69" s="72" t="str">
        <f t="shared" si="24"/>
        <v/>
      </c>
      <c r="AL69" s="72" t="str">
        <f t="shared" si="25"/>
        <v/>
      </c>
      <c r="AM69" s="39"/>
      <c r="AN69" s="72" t="str">
        <f t="shared" si="43"/>
        <v/>
      </c>
      <c r="AO69" s="72" t="str">
        <f t="shared" si="26"/>
        <v/>
      </c>
      <c r="AP69" s="39"/>
      <c r="AQ69" s="72" t="str">
        <f t="shared" si="44"/>
        <v/>
      </c>
      <c r="AR69" s="72" t="str">
        <f t="shared" si="27"/>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45"/>
        <v/>
      </c>
      <c r="AW69" s="72" t="str">
        <f t="shared" si="10"/>
        <v/>
      </c>
      <c r="AX69" s="39"/>
      <c r="AY69" s="40" t="str">
        <f>IF(ISERROR(IF($K69&lt;=$F$15,VLOOKUP($I69,'表4）CO2価格'!$A$7:$E$67,VLOOKUP($F$48,'表4）CO2価格'!$H$10:$I$12,2,0),0)*$F$8/1000,"")),0,IF($K69&lt;=$F$15,VLOOKUP($I69,'表4）CO2価格'!$A$7:$E$67,VLOOKUP($F$48,'表4）CO2価格'!$H$10:$I$12,2,0),0)*$F$8/1000,""))</f>
        <v/>
      </c>
      <c r="AZ69" s="39"/>
      <c r="BA69" s="42" t="str">
        <f t="shared" si="46"/>
        <v/>
      </c>
      <c r="BB69" s="72" t="str">
        <f t="shared" si="28"/>
        <v/>
      </c>
      <c r="BC69" s="39"/>
      <c r="BD69" s="72" t="str">
        <f t="shared" si="47"/>
        <v/>
      </c>
      <c r="BE69" s="72" t="str">
        <f t="shared" si="29"/>
        <v/>
      </c>
      <c r="BF69" s="39"/>
      <c r="BG69" s="42" t="str">
        <f t="shared" si="48"/>
        <v/>
      </c>
      <c r="BH69" s="72" t="str">
        <f t="shared" si="30"/>
        <v/>
      </c>
      <c r="BI69" s="39"/>
      <c r="BJ69" s="40" t="str">
        <f t="shared" si="31"/>
        <v/>
      </c>
      <c r="BK69" s="157" t="str">
        <f t="shared" si="32"/>
        <v/>
      </c>
      <c r="BL69" s="157" t="str">
        <f t="shared" si="14"/>
        <v/>
      </c>
      <c r="BM69" s="72"/>
      <c r="BN69" s="72" t="str">
        <f t="shared" si="33"/>
        <v/>
      </c>
      <c r="BO69" s="72" t="str">
        <f t="shared" si="34"/>
        <v/>
      </c>
      <c r="BP69" s="39"/>
      <c r="BQ69" s="72" t="str">
        <f t="shared" si="49"/>
        <v/>
      </c>
      <c r="BR69" s="72" t="str">
        <f t="shared" si="35"/>
        <v/>
      </c>
    </row>
    <row r="70" spans="2:70" x14ac:dyDescent="0.15">
      <c r="C70" s="461" t="s">
        <v>135</v>
      </c>
      <c r="D70" s="9"/>
      <c r="E70" s="9"/>
      <c r="F70" s="94">
        <f>SUBTOTAL(9,F74:F112)</f>
        <v>9.2907291819576017</v>
      </c>
      <c r="G70" s="9" t="s">
        <v>132</v>
      </c>
      <c r="I70" s="459">
        <f t="shared" si="36"/>
        <v>2075</v>
      </c>
      <c r="K70" s="9">
        <f t="shared" si="37"/>
        <v>56</v>
      </c>
      <c r="L70" s="71"/>
      <c r="M70" s="7">
        <f t="shared" si="0"/>
        <v>0.19103608816200118</v>
      </c>
      <c r="N70" s="71"/>
      <c r="O70" s="10" t="str">
        <f t="shared" si="16"/>
        <v/>
      </c>
      <c r="P70" s="29" t="str">
        <f t="shared" si="38"/>
        <v/>
      </c>
      <c r="Q70" s="71"/>
      <c r="R70" s="10" t="str">
        <f t="shared" si="50"/>
        <v/>
      </c>
      <c r="S70" s="71"/>
      <c r="T70" s="10" t="str">
        <f t="shared" si="18"/>
        <v/>
      </c>
      <c r="U70" s="71"/>
      <c r="V70" s="10" t="str">
        <f t="shared" si="39"/>
        <v/>
      </c>
      <c r="W70" s="10" t="str">
        <f t="shared" si="19"/>
        <v/>
      </c>
      <c r="X70" s="71"/>
      <c r="Y70" s="10" t="str">
        <f t="shared" si="40"/>
        <v/>
      </c>
      <c r="Z70" s="10" t="str">
        <f t="shared" si="20"/>
        <v/>
      </c>
      <c r="AA70" s="71"/>
      <c r="AB70" s="10" t="str">
        <f t="shared" si="4"/>
        <v/>
      </c>
      <c r="AC70" s="10" t="str">
        <f t="shared" si="21"/>
        <v/>
      </c>
      <c r="AD70" s="71"/>
      <c r="AE70" s="10" t="str">
        <f t="shared" si="41"/>
        <v/>
      </c>
      <c r="AF70" s="10" t="str">
        <f t="shared" si="22"/>
        <v/>
      </c>
      <c r="AG70" s="71"/>
      <c r="AH70" s="10" t="str">
        <f t="shared" si="42"/>
        <v/>
      </c>
      <c r="AI70" s="10" t="str">
        <f t="shared" si="23"/>
        <v/>
      </c>
      <c r="AJ70" s="71"/>
      <c r="AK70" s="10" t="str">
        <f t="shared" si="24"/>
        <v/>
      </c>
      <c r="AL70" s="10" t="str">
        <f t="shared" si="25"/>
        <v/>
      </c>
      <c r="AM70" s="71"/>
      <c r="AN70" s="10" t="str">
        <f t="shared" si="43"/>
        <v/>
      </c>
      <c r="AO70" s="10" t="str">
        <f t="shared" si="26"/>
        <v/>
      </c>
      <c r="AP70" s="71"/>
      <c r="AQ70" s="10" t="str">
        <f t="shared" si="44"/>
        <v/>
      </c>
      <c r="AR70" s="10" t="str">
        <f t="shared" si="27"/>
        <v/>
      </c>
      <c r="AS70" s="71"/>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U70" s="71"/>
      <c r="AV70" s="10" t="str">
        <f t="shared" si="45"/>
        <v/>
      </c>
      <c r="AW70" s="10" t="str">
        <f t="shared" si="10"/>
        <v/>
      </c>
      <c r="AX70" s="71"/>
      <c r="AY70" s="7" t="str">
        <f>IF(ISERROR(IF($K70&lt;=$F$15,VLOOKUP($I70,'表4）CO2価格'!$A$7:$E$67,VLOOKUP($F$48,'表4）CO2価格'!$H$10:$I$12,2,0),0)*$F$8/1000,"")),0,IF($K70&lt;=$F$15,VLOOKUP($I70,'表4）CO2価格'!$A$7:$E$67,VLOOKUP($F$48,'表4）CO2価格'!$H$10:$I$12,2,0),0)*$F$8/1000,""))</f>
        <v/>
      </c>
      <c r="AZ70" s="71"/>
      <c r="BA70" s="11" t="str">
        <f t="shared" si="46"/>
        <v/>
      </c>
      <c r="BB70" s="10" t="str">
        <f t="shared" si="28"/>
        <v/>
      </c>
      <c r="BC70" s="71"/>
      <c r="BD70" s="10" t="str">
        <f t="shared" si="47"/>
        <v/>
      </c>
      <c r="BE70" s="10" t="str">
        <f t="shared" si="29"/>
        <v/>
      </c>
      <c r="BF70" s="71"/>
      <c r="BG70" s="11" t="str">
        <f t="shared" si="48"/>
        <v/>
      </c>
      <c r="BH70" s="10" t="str">
        <f t="shared" si="30"/>
        <v/>
      </c>
      <c r="BJ70" s="7" t="str">
        <f t="shared" si="31"/>
        <v/>
      </c>
      <c r="BK70" s="158" t="str">
        <f t="shared" si="32"/>
        <v/>
      </c>
      <c r="BL70" s="158" t="str">
        <f t="shared" si="14"/>
        <v/>
      </c>
      <c r="BM70" s="10"/>
      <c r="BN70" s="10" t="str">
        <f t="shared" si="33"/>
        <v/>
      </c>
      <c r="BO70" s="10" t="str">
        <f t="shared" si="34"/>
        <v/>
      </c>
      <c r="BQ70" s="10" t="str">
        <f t="shared" si="49"/>
        <v/>
      </c>
      <c r="BR70" s="10" t="str">
        <f t="shared" si="35"/>
        <v/>
      </c>
    </row>
    <row r="71" spans="2:70" x14ac:dyDescent="0.15">
      <c r="F71" s="145"/>
      <c r="I71" s="458">
        <f t="shared" si="36"/>
        <v>2076</v>
      </c>
      <c r="J71" s="470"/>
      <c r="K71" s="470">
        <f t="shared" si="37"/>
        <v>57</v>
      </c>
      <c r="L71" s="39"/>
      <c r="M71" s="40">
        <f t="shared" si="0"/>
        <v>0.18547193025437006</v>
      </c>
      <c r="N71" s="39"/>
      <c r="O71" s="72" t="str">
        <f t="shared" si="16"/>
        <v/>
      </c>
      <c r="P71" s="41" t="str">
        <f t="shared" si="38"/>
        <v/>
      </c>
      <c r="Q71" s="39"/>
      <c r="R71" s="72" t="str">
        <f t="shared" si="50"/>
        <v/>
      </c>
      <c r="S71" s="39"/>
      <c r="T71" s="72" t="str">
        <f t="shared" si="18"/>
        <v/>
      </c>
      <c r="U71" s="39"/>
      <c r="V71" s="72" t="str">
        <f t="shared" si="39"/>
        <v/>
      </c>
      <c r="W71" s="72" t="str">
        <f t="shared" si="19"/>
        <v/>
      </c>
      <c r="X71" s="39"/>
      <c r="Y71" s="72" t="str">
        <f t="shared" si="40"/>
        <v/>
      </c>
      <c r="Z71" s="72" t="str">
        <f t="shared" si="20"/>
        <v/>
      </c>
      <c r="AA71" s="39"/>
      <c r="AB71" s="72" t="str">
        <f t="shared" si="4"/>
        <v/>
      </c>
      <c r="AC71" s="72" t="str">
        <f t="shared" si="21"/>
        <v/>
      </c>
      <c r="AD71" s="39"/>
      <c r="AE71" s="72" t="str">
        <f t="shared" si="41"/>
        <v/>
      </c>
      <c r="AF71" s="72" t="str">
        <f t="shared" si="22"/>
        <v/>
      </c>
      <c r="AG71" s="39"/>
      <c r="AH71" s="72" t="str">
        <f t="shared" si="42"/>
        <v/>
      </c>
      <c r="AI71" s="72" t="str">
        <f t="shared" si="23"/>
        <v/>
      </c>
      <c r="AJ71" s="39"/>
      <c r="AK71" s="72" t="str">
        <f t="shared" si="24"/>
        <v/>
      </c>
      <c r="AL71" s="72" t="str">
        <f t="shared" si="25"/>
        <v/>
      </c>
      <c r="AM71" s="39"/>
      <c r="AN71" s="72" t="str">
        <f t="shared" si="43"/>
        <v/>
      </c>
      <c r="AO71" s="72" t="str">
        <f t="shared" si="26"/>
        <v/>
      </c>
      <c r="AP71" s="39"/>
      <c r="AQ71" s="72" t="str">
        <f t="shared" si="44"/>
        <v/>
      </c>
      <c r="AR71" s="72" t="str">
        <f t="shared" si="27"/>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45"/>
        <v/>
      </c>
      <c r="AW71" s="72" t="str">
        <f t="shared" si="10"/>
        <v/>
      </c>
      <c r="AX71" s="39"/>
      <c r="AY71" s="40" t="str">
        <f>IF(ISERROR(IF($K71&lt;=$F$15,VLOOKUP($I71,'表4）CO2価格'!$A$7:$E$67,VLOOKUP($F$48,'表4）CO2価格'!$H$10:$I$12,2,0),0)*$F$8/1000,"")),0,IF($K71&lt;=$F$15,VLOOKUP($I71,'表4）CO2価格'!$A$7:$E$67,VLOOKUP($F$48,'表4）CO2価格'!$H$10:$I$12,2,0),0)*$F$8/1000,""))</f>
        <v/>
      </c>
      <c r="AZ71" s="39"/>
      <c r="BA71" s="42" t="str">
        <f t="shared" si="46"/>
        <v/>
      </c>
      <c r="BB71" s="72" t="str">
        <f t="shared" si="28"/>
        <v/>
      </c>
      <c r="BC71" s="39"/>
      <c r="BD71" s="72" t="str">
        <f t="shared" si="47"/>
        <v/>
      </c>
      <c r="BE71" s="72" t="str">
        <f t="shared" si="29"/>
        <v/>
      </c>
      <c r="BF71" s="39"/>
      <c r="BG71" s="42" t="str">
        <f t="shared" si="48"/>
        <v/>
      </c>
      <c r="BH71" s="72" t="str">
        <f t="shared" si="30"/>
        <v/>
      </c>
      <c r="BI71" s="39"/>
      <c r="BJ71" s="40" t="str">
        <f t="shared" si="31"/>
        <v/>
      </c>
      <c r="BK71" s="157" t="str">
        <f t="shared" si="32"/>
        <v/>
      </c>
      <c r="BL71" s="157" t="str">
        <f t="shared" si="14"/>
        <v/>
      </c>
      <c r="BM71" s="72"/>
      <c r="BN71" s="72" t="str">
        <f t="shared" si="33"/>
        <v/>
      </c>
      <c r="BO71" s="72" t="str">
        <f t="shared" si="34"/>
        <v/>
      </c>
      <c r="BP71" s="39"/>
      <c r="BQ71" s="72" t="str">
        <f t="shared" si="49"/>
        <v/>
      </c>
      <c r="BR71" s="72" t="str">
        <f t="shared" si="35"/>
        <v/>
      </c>
    </row>
    <row r="72" spans="2:70" x14ac:dyDescent="0.15">
      <c r="C72" s="89" t="s">
        <v>136</v>
      </c>
      <c r="D72" s="101"/>
      <c r="E72" s="101"/>
      <c r="F72" s="92"/>
      <c r="G72" s="101"/>
      <c r="I72" s="459">
        <f t="shared" si="36"/>
        <v>2077</v>
      </c>
      <c r="K72" s="9">
        <f t="shared" si="37"/>
        <v>58</v>
      </c>
      <c r="L72" s="71"/>
      <c r="M72" s="7">
        <f t="shared" si="0"/>
        <v>0.18006983519841754</v>
      </c>
      <c r="N72" s="71"/>
      <c r="O72" s="10" t="str">
        <f t="shared" si="16"/>
        <v/>
      </c>
      <c r="P72" s="29" t="str">
        <f t="shared" si="38"/>
        <v/>
      </c>
      <c r="Q72" s="71"/>
      <c r="R72" s="10" t="str">
        <f t="shared" si="50"/>
        <v/>
      </c>
      <c r="S72" s="71"/>
      <c r="T72" s="10" t="str">
        <f t="shared" si="18"/>
        <v/>
      </c>
      <c r="U72" s="71"/>
      <c r="V72" s="10" t="str">
        <f t="shared" si="39"/>
        <v/>
      </c>
      <c r="W72" s="10" t="str">
        <f t="shared" si="19"/>
        <v/>
      </c>
      <c r="X72" s="71"/>
      <c r="Y72" s="10" t="str">
        <f t="shared" si="40"/>
        <v/>
      </c>
      <c r="Z72" s="10" t="str">
        <f t="shared" si="20"/>
        <v/>
      </c>
      <c r="AA72" s="71"/>
      <c r="AB72" s="10" t="str">
        <f t="shared" si="4"/>
        <v/>
      </c>
      <c r="AC72" s="10" t="str">
        <f t="shared" si="21"/>
        <v/>
      </c>
      <c r="AD72" s="71"/>
      <c r="AE72" s="10" t="str">
        <f t="shared" si="41"/>
        <v/>
      </c>
      <c r="AF72" s="10" t="str">
        <f t="shared" si="22"/>
        <v/>
      </c>
      <c r="AG72" s="71"/>
      <c r="AH72" s="10" t="str">
        <f t="shared" si="42"/>
        <v/>
      </c>
      <c r="AI72" s="10" t="str">
        <f t="shared" si="23"/>
        <v/>
      </c>
      <c r="AJ72" s="71"/>
      <c r="AK72" s="10" t="str">
        <f t="shared" si="24"/>
        <v/>
      </c>
      <c r="AL72" s="10" t="str">
        <f t="shared" si="25"/>
        <v/>
      </c>
      <c r="AM72" s="71"/>
      <c r="AN72" s="10" t="str">
        <f t="shared" si="43"/>
        <v/>
      </c>
      <c r="AO72" s="10" t="str">
        <f t="shared" si="26"/>
        <v/>
      </c>
      <c r="AP72" s="71"/>
      <c r="AQ72" s="10" t="str">
        <f t="shared" si="44"/>
        <v/>
      </c>
      <c r="AR72" s="10" t="str">
        <f t="shared" si="27"/>
        <v/>
      </c>
      <c r="AS72" s="71"/>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U72" s="71"/>
      <c r="AV72" s="10" t="str">
        <f t="shared" si="45"/>
        <v/>
      </c>
      <c r="AW72" s="10" t="str">
        <f t="shared" si="10"/>
        <v/>
      </c>
      <c r="AX72" s="71"/>
      <c r="AY72" s="7" t="str">
        <f>IF(ISERROR(IF($K72&lt;=$F$15,VLOOKUP($I72,'表4）CO2価格'!$A$7:$E$67,VLOOKUP($F$48,'表4）CO2価格'!$H$10:$I$12,2,0),0)*$F$8/1000,"")),0,IF($K72&lt;=$F$15,VLOOKUP($I72,'表4）CO2価格'!$A$7:$E$67,VLOOKUP($F$48,'表4）CO2価格'!$H$10:$I$12,2,0),0)*$F$8/1000,""))</f>
        <v/>
      </c>
      <c r="AZ72" s="71"/>
      <c r="BA72" s="11" t="str">
        <f t="shared" si="46"/>
        <v/>
      </c>
      <c r="BB72" s="10" t="str">
        <f t="shared" si="28"/>
        <v/>
      </c>
      <c r="BC72" s="71"/>
      <c r="BD72" s="10" t="str">
        <f t="shared" si="47"/>
        <v/>
      </c>
      <c r="BE72" s="10" t="str">
        <f t="shared" si="29"/>
        <v/>
      </c>
      <c r="BF72" s="71"/>
      <c r="BG72" s="11" t="str">
        <f t="shared" si="48"/>
        <v/>
      </c>
      <c r="BH72" s="10" t="str">
        <f t="shared" si="30"/>
        <v/>
      </c>
      <c r="BJ72" s="7" t="str">
        <f t="shared" si="31"/>
        <v/>
      </c>
      <c r="BK72" s="158" t="str">
        <f t="shared" si="32"/>
        <v/>
      </c>
      <c r="BL72" s="158" t="str">
        <f t="shared" si="14"/>
        <v/>
      </c>
      <c r="BM72" s="10"/>
      <c r="BN72" s="10" t="str">
        <f t="shared" si="33"/>
        <v/>
      </c>
      <c r="BO72" s="10" t="str">
        <f t="shared" si="34"/>
        <v/>
      </c>
      <c r="BQ72" s="10" t="str">
        <f t="shared" si="49"/>
        <v/>
      </c>
      <c r="BR72" s="10" t="str">
        <f t="shared" si="35"/>
        <v/>
      </c>
    </row>
    <row r="73" spans="2:70" x14ac:dyDescent="0.15">
      <c r="F73" s="93"/>
      <c r="I73" s="458">
        <f t="shared" si="36"/>
        <v>2078</v>
      </c>
      <c r="J73" s="470"/>
      <c r="K73" s="470">
        <f t="shared" si="37"/>
        <v>59</v>
      </c>
      <c r="L73" s="39"/>
      <c r="M73" s="40">
        <f t="shared" si="0"/>
        <v>0.17482508271691022</v>
      </c>
      <c r="N73" s="39"/>
      <c r="O73" s="72" t="str">
        <f t="shared" si="16"/>
        <v/>
      </c>
      <c r="P73" s="41" t="str">
        <f t="shared" si="38"/>
        <v/>
      </c>
      <c r="Q73" s="39"/>
      <c r="R73" s="72" t="str">
        <f t="shared" si="50"/>
        <v/>
      </c>
      <c r="S73" s="39"/>
      <c r="T73" s="72" t="str">
        <f t="shared" si="18"/>
        <v/>
      </c>
      <c r="U73" s="39"/>
      <c r="V73" s="72" t="str">
        <f t="shared" si="39"/>
        <v/>
      </c>
      <c r="W73" s="72" t="str">
        <f t="shared" si="19"/>
        <v/>
      </c>
      <c r="X73" s="39"/>
      <c r="Y73" s="72" t="str">
        <f t="shared" si="40"/>
        <v/>
      </c>
      <c r="Z73" s="72" t="str">
        <f t="shared" si="20"/>
        <v/>
      </c>
      <c r="AA73" s="39"/>
      <c r="AB73" s="72" t="str">
        <f t="shared" si="4"/>
        <v/>
      </c>
      <c r="AC73" s="72" t="str">
        <f t="shared" si="21"/>
        <v/>
      </c>
      <c r="AD73" s="39"/>
      <c r="AE73" s="72" t="str">
        <f t="shared" si="41"/>
        <v/>
      </c>
      <c r="AF73" s="72" t="str">
        <f t="shared" si="22"/>
        <v/>
      </c>
      <c r="AG73" s="39"/>
      <c r="AH73" s="72" t="str">
        <f t="shared" si="42"/>
        <v/>
      </c>
      <c r="AI73" s="72" t="str">
        <f t="shared" si="23"/>
        <v/>
      </c>
      <c r="AJ73" s="39"/>
      <c r="AK73" s="72" t="str">
        <f t="shared" si="24"/>
        <v/>
      </c>
      <c r="AL73" s="72" t="str">
        <f t="shared" si="25"/>
        <v/>
      </c>
      <c r="AM73" s="39"/>
      <c r="AN73" s="72" t="str">
        <f t="shared" si="43"/>
        <v/>
      </c>
      <c r="AO73" s="72" t="str">
        <f t="shared" si="26"/>
        <v/>
      </c>
      <c r="AP73" s="39"/>
      <c r="AQ73" s="72" t="str">
        <f t="shared" si="44"/>
        <v/>
      </c>
      <c r="AR73" s="72" t="str">
        <f t="shared" si="27"/>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45"/>
        <v/>
      </c>
      <c r="AW73" s="72" t="str">
        <f t="shared" si="10"/>
        <v/>
      </c>
      <c r="AX73" s="39"/>
      <c r="AY73" s="40" t="str">
        <f>IF(ISERROR(IF($K73&lt;=$F$15,VLOOKUP($I73,'表4）CO2価格'!$A$7:$E$67,VLOOKUP($F$48,'表4）CO2価格'!$H$10:$I$12,2,0),0)*$F$8/1000,"")),0,IF($K73&lt;=$F$15,VLOOKUP($I73,'表4）CO2価格'!$A$7:$E$67,VLOOKUP($F$48,'表4）CO2価格'!$H$10:$I$12,2,0),0)*$F$8/1000,""))</f>
        <v/>
      </c>
      <c r="AZ73" s="39"/>
      <c r="BA73" s="42" t="str">
        <f t="shared" si="46"/>
        <v/>
      </c>
      <c r="BB73" s="72" t="str">
        <f t="shared" si="28"/>
        <v/>
      </c>
      <c r="BC73" s="39"/>
      <c r="BD73" s="72" t="str">
        <f t="shared" si="47"/>
        <v/>
      </c>
      <c r="BE73" s="72" t="str">
        <f t="shared" si="29"/>
        <v/>
      </c>
      <c r="BF73" s="39"/>
      <c r="BG73" s="42" t="str">
        <f t="shared" si="48"/>
        <v/>
      </c>
      <c r="BH73" s="72" t="str">
        <f t="shared" si="30"/>
        <v/>
      </c>
      <c r="BI73" s="39"/>
      <c r="BJ73" s="40" t="str">
        <f t="shared" si="31"/>
        <v/>
      </c>
      <c r="BK73" s="157" t="str">
        <f t="shared" si="32"/>
        <v/>
      </c>
      <c r="BL73" s="157" t="str">
        <f t="shared" si="14"/>
        <v/>
      </c>
      <c r="BM73" s="72"/>
      <c r="BN73" s="72" t="str">
        <f t="shared" si="33"/>
        <v/>
      </c>
      <c r="BO73" s="72" t="str">
        <f t="shared" si="34"/>
        <v/>
      </c>
      <c r="BP73" s="39"/>
      <c r="BQ73" s="72" t="str">
        <f t="shared" si="49"/>
        <v/>
      </c>
      <c r="BR73" s="72" t="str">
        <f t="shared" si="35"/>
        <v/>
      </c>
    </row>
    <row r="74" spans="2:70" ht="15" x14ac:dyDescent="0.15">
      <c r="D74" s="116" t="s">
        <v>192</v>
      </c>
      <c r="F74" s="94">
        <f>SUBTOTAL(9,F78:F81)</f>
        <v>1.2725982259508049</v>
      </c>
      <c r="G74" s="81" t="s">
        <v>132</v>
      </c>
      <c r="I74" s="459">
        <f t="shared" si="36"/>
        <v>2079</v>
      </c>
      <c r="K74" s="9">
        <f t="shared" si="37"/>
        <v>60</v>
      </c>
      <c r="L74" s="71"/>
      <c r="M74" s="7">
        <f t="shared" si="0"/>
        <v>0.1697330900164177</v>
      </c>
      <c r="N74" s="71"/>
      <c r="O74" s="10" t="str">
        <f t="shared" si="16"/>
        <v/>
      </c>
      <c r="P74" s="29" t="str">
        <f t="shared" si="38"/>
        <v/>
      </c>
      <c r="Q74" s="71"/>
      <c r="R74" s="10" t="str">
        <f t="shared" si="50"/>
        <v/>
      </c>
      <c r="S74" s="71"/>
      <c r="T74" s="10" t="str">
        <f t="shared" si="18"/>
        <v/>
      </c>
      <c r="U74" s="71"/>
      <c r="V74" s="10" t="str">
        <f t="shared" si="39"/>
        <v/>
      </c>
      <c r="W74" s="10" t="str">
        <f t="shared" si="19"/>
        <v/>
      </c>
      <c r="X74" s="71"/>
      <c r="Y74" s="10" t="str">
        <f t="shared" si="40"/>
        <v/>
      </c>
      <c r="Z74" s="10" t="str">
        <f t="shared" si="20"/>
        <v/>
      </c>
      <c r="AA74" s="71"/>
      <c r="AB74" s="10" t="str">
        <f t="shared" si="4"/>
        <v/>
      </c>
      <c r="AC74" s="10" t="str">
        <f t="shared" si="21"/>
        <v/>
      </c>
      <c r="AD74" s="71"/>
      <c r="AE74" s="10" t="str">
        <f t="shared" si="41"/>
        <v/>
      </c>
      <c r="AF74" s="10" t="str">
        <f t="shared" si="22"/>
        <v/>
      </c>
      <c r="AG74" s="71"/>
      <c r="AH74" s="10" t="str">
        <f t="shared" si="42"/>
        <v/>
      </c>
      <c r="AI74" s="10" t="str">
        <f t="shared" si="23"/>
        <v/>
      </c>
      <c r="AJ74" s="71"/>
      <c r="AK74" s="10" t="str">
        <f t="shared" si="24"/>
        <v/>
      </c>
      <c r="AL74" s="10" t="str">
        <f t="shared" si="25"/>
        <v/>
      </c>
      <c r="AM74" s="71"/>
      <c r="AN74" s="10" t="str">
        <f t="shared" si="43"/>
        <v/>
      </c>
      <c r="AO74" s="10" t="str">
        <f t="shared" si="26"/>
        <v/>
      </c>
      <c r="AP74" s="71"/>
      <c r="AQ74" s="10" t="str">
        <f t="shared" si="44"/>
        <v/>
      </c>
      <c r="AR74" s="10" t="str">
        <f t="shared" si="27"/>
        <v/>
      </c>
      <c r="AS74" s="71"/>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U74" s="71"/>
      <c r="AV74" s="10" t="str">
        <f t="shared" si="45"/>
        <v/>
      </c>
      <c r="AW74" s="10" t="str">
        <f t="shared" si="10"/>
        <v/>
      </c>
      <c r="AX74" s="71"/>
      <c r="AY74" s="7" t="str">
        <f>IF(ISERROR(IF($K74&lt;=$F$15,VLOOKUP($I74,'表4）CO2価格'!$A$7:$E$67,VLOOKUP($F$48,'表4）CO2価格'!$H$10:$I$12,2,0),0)*$F$8/1000,"")),0,IF($K74&lt;=$F$15,VLOOKUP($I74,'表4）CO2価格'!$A$7:$E$67,VLOOKUP($F$48,'表4）CO2価格'!$H$10:$I$12,2,0),0)*$F$8/1000,""))</f>
        <v/>
      </c>
      <c r="AZ74" s="71"/>
      <c r="BA74" s="11" t="str">
        <f t="shared" si="46"/>
        <v/>
      </c>
      <c r="BB74" s="10" t="str">
        <f t="shared" si="28"/>
        <v/>
      </c>
      <c r="BC74" s="71"/>
      <c r="BD74" s="10" t="str">
        <f t="shared" si="47"/>
        <v/>
      </c>
      <c r="BE74" s="10" t="str">
        <f t="shared" si="29"/>
        <v/>
      </c>
      <c r="BF74" s="71"/>
      <c r="BG74" s="11" t="str">
        <f t="shared" si="48"/>
        <v/>
      </c>
      <c r="BH74" s="10" t="str">
        <f t="shared" si="30"/>
        <v/>
      </c>
      <c r="BJ74" s="7" t="str">
        <f t="shared" si="31"/>
        <v/>
      </c>
      <c r="BK74" s="158" t="str">
        <f t="shared" si="32"/>
        <v/>
      </c>
      <c r="BL74" s="158" t="str">
        <f t="shared" si="14"/>
        <v/>
      </c>
      <c r="BM74" s="10"/>
      <c r="BN74" s="10" t="str">
        <f t="shared" si="33"/>
        <v/>
      </c>
      <c r="BO74" s="10" t="str">
        <f t="shared" si="34"/>
        <v/>
      </c>
      <c r="BQ74" s="10" t="str">
        <f t="shared" si="49"/>
        <v/>
      </c>
      <c r="BR74" s="10" t="str">
        <f t="shared" si="35"/>
        <v/>
      </c>
    </row>
    <row r="75" spans="2:70" x14ac:dyDescent="0.15">
      <c r="F75" s="93"/>
      <c r="I75" s="458">
        <f t="shared" si="36"/>
        <v>2080</v>
      </c>
      <c r="J75" s="470"/>
      <c r="K75" s="470">
        <f t="shared" si="37"/>
        <v>61</v>
      </c>
      <c r="L75" s="39"/>
      <c r="M75" s="40">
        <f t="shared" si="0"/>
        <v>0.16478940778292983</v>
      </c>
      <c r="N75" s="39"/>
      <c r="O75" s="72" t="str">
        <f t="shared" si="16"/>
        <v/>
      </c>
      <c r="P75" s="41" t="str">
        <f t="shared" si="38"/>
        <v/>
      </c>
      <c r="Q75" s="39"/>
      <c r="R75" s="72" t="str">
        <f t="shared" si="50"/>
        <v/>
      </c>
      <c r="S75" s="39"/>
      <c r="T75" s="72" t="str">
        <f t="shared" si="18"/>
        <v/>
      </c>
      <c r="U75" s="39"/>
      <c r="V75" s="72" t="str">
        <f t="shared" si="39"/>
        <v/>
      </c>
      <c r="W75" s="72" t="str">
        <f t="shared" si="19"/>
        <v/>
      </c>
      <c r="X75" s="39"/>
      <c r="Y75" s="72" t="str">
        <f t="shared" si="40"/>
        <v/>
      </c>
      <c r="Z75" s="72" t="str">
        <f t="shared" si="20"/>
        <v/>
      </c>
      <c r="AA75" s="39"/>
      <c r="AB75" s="72" t="str">
        <f t="shared" si="4"/>
        <v/>
      </c>
      <c r="AC75" s="72" t="str">
        <f t="shared" si="21"/>
        <v/>
      </c>
      <c r="AD75" s="39"/>
      <c r="AE75" s="72" t="str">
        <f t="shared" si="41"/>
        <v/>
      </c>
      <c r="AF75" s="72" t="str">
        <f t="shared" si="22"/>
        <v/>
      </c>
      <c r="AG75" s="39"/>
      <c r="AH75" s="72" t="str">
        <f t="shared" si="42"/>
        <v/>
      </c>
      <c r="AI75" s="72" t="str">
        <f t="shared" si="23"/>
        <v/>
      </c>
      <c r="AJ75" s="39"/>
      <c r="AK75" s="72" t="str">
        <f t="shared" si="24"/>
        <v/>
      </c>
      <c r="AL75" s="72" t="str">
        <f t="shared" si="25"/>
        <v/>
      </c>
      <c r="AM75" s="39"/>
      <c r="AN75" s="72" t="str">
        <f t="shared" si="43"/>
        <v/>
      </c>
      <c r="AO75" s="72" t="str">
        <f t="shared" si="26"/>
        <v/>
      </c>
      <c r="AP75" s="39"/>
      <c r="AQ75" s="72" t="str">
        <f t="shared" si="44"/>
        <v/>
      </c>
      <c r="AR75" s="72" t="str">
        <f t="shared" si="27"/>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45"/>
        <v/>
      </c>
      <c r="AW75" s="72" t="str">
        <f t="shared" si="10"/>
        <v/>
      </c>
      <c r="AX75" s="39"/>
      <c r="AY75" s="40" t="str">
        <f>IF(ISERROR(IF($K75&lt;=$F$15,VLOOKUP($I75,'表4）CO2価格'!$A$7:$E$67,VLOOKUP($F$48,'表4）CO2価格'!$H$10:$I$12,2,0),0)*$F$8/1000,"")),0,IF($K75&lt;=$F$15,VLOOKUP($I75,'表4）CO2価格'!$A$7:$E$67,VLOOKUP($F$48,'表4）CO2価格'!$H$10:$I$12,2,0),0)*$F$8/1000,""))</f>
        <v/>
      </c>
      <c r="AZ75" s="39"/>
      <c r="BA75" s="42" t="str">
        <f t="shared" si="46"/>
        <v/>
      </c>
      <c r="BB75" s="72" t="str">
        <f t="shared" si="28"/>
        <v/>
      </c>
      <c r="BC75" s="39"/>
      <c r="BD75" s="72" t="str">
        <f t="shared" si="47"/>
        <v/>
      </c>
      <c r="BE75" s="72" t="str">
        <f t="shared" si="29"/>
        <v/>
      </c>
      <c r="BF75" s="39"/>
      <c r="BG75" s="42" t="str">
        <f t="shared" si="48"/>
        <v/>
      </c>
      <c r="BH75" s="72" t="str">
        <f t="shared" si="30"/>
        <v/>
      </c>
      <c r="BI75" s="39"/>
      <c r="BJ75" s="40" t="str">
        <f t="shared" si="31"/>
        <v/>
      </c>
      <c r="BK75" s="157" t="str">
        <f t="shared" si="32"/>
        <v/>
      </c>
      <c r="BL75" s="157" t="str">
        <f t="shared" si="14"/>
        <v/>
      </c>
      <c r="BM75" s="72"/>
      <c r="BN75" s="72" t="str">
        <f t="shared" si="33"/>
        <v/>
      </c>
      <c r="BO75" s="72" t="str">
        <f t="shared" si="34"/>
        <v/>
      </c>
      <c r="BP75" s="39"/>
      <c r="BQ75" s="72" t="str">
        <f t="shared" si="49"/>
        <v/>
      </c>
      <c r="BR75" s="72" t="str">
        <f t="shared" si="35"/>
        <v/>
      </c>
    </row>
    <row r="76" spans="2:70" x14ac:dyDescent="0.15">
      <c r="D76" s="101" t="s">
        <v>193</v>
      </c>
      <c r="E76" s="101"/>
      <c r="F76" s="92"/>
      <c r="G76" s="101"/>
      <c r="I76" s="459">
        <f t="shared" si="36"/>
        <v>2081</v>
      </c>
      <c r="K76" s="9">
        <f t="shared" si="37"/>
        <v>62</v>
      </c>
      <c r="L76" s="71"/>
      <c r="M76" s="7">
        <f t="shared" si="0"/>
        <v>0.15998971629410663</v>
      </c>
      <c r="N76" s="71"/>
      <c r="O76" s="10" t="str">
        <f t="shared" si="16"/>
        <v/>
      </c>
      <c r="P76" s="29" t="str">
        <f t="shared" si="38"/>
        <v/>
      </c>
      <c r="Q76" s="71"/>
      <c r="R76" s="10" t="str">
        <f t="shared" si="50"/>
        <v/>
      </c>
      <c r="S76" s="71"/>
      <c r="T76" s="10" t="str">
        <f t="shared" si="18"/>
        <v/>
      </c>
      <c r="U76" s="71"/>
      <c r="V76" s="10" t="str">
        <f t="shared" si="39"/>
        <v/>
      </c>
      <c r="W76" s="10" t="str">
        <f t="shared" si="19"/>
        <v/>
      </c>
      <c r="X76" s="71"/>
      <c r="Y76" s="10" t="str">
        <f t="shared" si="40"/>
        <v/>
      </c>
      <c r="Z76" s="10" t="str">
        <f t="shared" si="20"/>
        <v/>
      </c>
      <c r="AA76" s="71"/>
      <c r="AB76" s="10" t="str">
        <f t="shared" si="4"/>
        <v/>
      </c>
      <c r="AC76" s="10" t="str">
        <f t="shared" si="21"/>
        <v/>
      </c>
      <c r="AD76" s="71"/>
      <c r="AE76" s="10" t="str">
        <f t="shared" si="41"/>
        <v/>
      </c>
      <c r="AF76" s="10" t="str">
        <f t="shared" si="22"/>
        <v/>
      </c>
      <c r="AG76" s="71"/>
      <c r="AH76" s="10" t="str">
        <f t="shared" si="42"/>
        <v/>
      </c>
      <c r="AI76" s="10" t="str">
        <f t="shared" si="23"/>
        <v/>
      </c>
      <c r="AJ76" s="71"/>
      <c r="AK76" s="10" t="str">
        <f t="shared" si="24"/>
        <v/>
      </c>
      <c r="AL76" s="10" t="str">
        <f t="shared" si="25"/>
        <v/>
      </c>
      <c r="AM76" s="71"/>
      <c r="AN76" s="10" t="str">
        <f t="shared" si="43"/>
        <v/>
      </c>
      <c r="AO76" s="10" t="str">
        <f t="shared" si="26"/>
        <v/>
      </c>
      <c r="AP76" s="71"/>
      <c r="AQ76" s="10" t="str">
        <f t="shared" si="44"/>
        <v/>
      </c>
      <c r="AR76" s="10" t="str">
        <f t="shared" si="27"/>
        <v/>
      </c>
      <c r="AS76" s="71"/>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U76" s="71"/>
      <c r="AV76" s="10" t="str">
        <f t="shared" si="45"/>
        <v/>
      </c>
      <c r="AW76" s="10" t="str">
        <f t="shared" si="10"/>
        <v/>
      </c>
      <c r="AX76" s="71"/>
      <c r="AY76" s="7" t="str">
        <f>IF(ISERROR(IF($K76&lt;=$F$15,VLOOKUP($I76,'表4）CO2価格'!$A$7:$E$67,VLOOKUP($F$48,'表4）CO2価格'!$H$10:$I$12,2,0),0)*$F$8/1000,"")),0,IF($K76&lt;=$F$15,VLOOKUP($I76,'表4）CO2価格'!$A$7:$E$67,VLOOKUP($F$48,'表4）CO2価格'!$H$10:$I$12,2,0),0)*$F$8/1000,""))</f>
        <v/>
      </c>
      <c r="AZ76" s="71"/>
      <c r="BA76" s="11" t="str">
        <f t="shared" si="46"/>
        <v/>
      </c>
      <c r="BB76" s="10" t="str">
        <f t="shared" si="28"/>
        <v/>
      </c>
      <c r="BC76" s="71"/>
      <c r="BD76" s="10" t="str">
        <f t="shared" si="47"/>
        <v/>
      </c>
      <c r="BE76" s="10" t="str">
        <f t="shared" si="29"/>
        <v/>
      </c>
      <c r="BF76" s="71"/>
      <c r="BG76" s="11" t="str">
        <f t="shared" si="48"/>
        <v/>
      </c>
      <c r="BH76" s="10" t="str">
        <f t="shared" si="30"/>
        <v/>
      </c>
      <c r="BJ76" s="7" t="str">
        <f t="shared" si="31"/>
        <v/>
      </c>
      <c r="BK76" s="158" t="str">
        <f t="shared" si="32"/>
        <v/>
      </c>
      <c r="BL76" s="158" t="str">
        <f t="shared" si="14"/>
        <v/>
      </c>
      <c r="BM76" s="10"/>
      <c r="BN76" s="10" t="str">
        <f t="shared" si="33"/>
        <v/>
      </c>
      <c r="BO76" s="10" t="str">
        <f t="shared" si="34"/>
        <v/>
      </c>
      <c r="BQ76" s="10" t="str">
        <f t="shared" si="49"/>
        <v/>
      </c>
      <c r="BR76" s="10" t="str">
        <f t="shared" si="35"/>
        <v/>
      </c>
    </row>
    <row r="77" spans="2:70" x14ac:dyDescent="0.15">
      <c r="F77" s="93"/>
      <c r="I77" s="458">
        <f t="shared" si="36"/>
        <v>2082</v>
      </c>
      <c r="J77" s="470"/>
      <c r="K77" s="470">
        <f t="shared" si="37"/>
        <v>63</v>
      </c>
      <c r="L77" s="39"/>
      <c r="M77" s="40">
        <f t="shared" si="0"/>
        <v>0.15532982164476369</v>
      </c>
      <c r="N77" s="39"/>
      <c r="O77" s="72" t="str">
        <f t="shared" si="16"/>
        <v/>
      </c>
      <c r="P77" s="41" t="str">
        <f t="shared" si="38"/>
        <v/>
      </c>
      <c r="Q77" s="39"/>
      <c r="R77" s="72" t="str">
        <f t="shared" si="50"/>
        <v/>
      </c>
      <c r="S77" s="39"/>
      <c r="T77" s="72" t="str">
        <f t="shared" si="18"/>
        <v/>
      </c>
      <c r="U77" s="39"/>
      <c r="V77" s="72" t="str">
        <f t="shared" si="39"/>
        <v/>
      </c>
      <c r="W77" s="72" t="str">
        <f t="shared" si="19"/>
        <v/>
      </c>
      <c r="X77" s="39"/>
      <c r="Y77" s="72" t="str">
        <f t="shared" si="40"/>
        <v/>
      </c>
      <c r="Z77" s="72" t="str">
        <f t="shared" si="20"/>
        <v/>
      </c>
      <c r="AA77" s="39"/>
      <c r="AB77" s="72" t="str">
        <f t="shared" si="4"/>
        <v/>
      </c>
      <c r="AC77" s="72" t="str">
        <f t="shared" si="21"/>
        <v/>
      </c>
      <c r="AD77" s="39"/>
      <c r="AE77" s="72" t="str">
        <f t="shared" si="41"/>
        <v/>
      </c>
      <c r="AF77" s="72" t="str">
        <f t="shared" si="22"/>
        <v/>
      </c>
      <c r="AG77" s="39"/>
      <c r="AH77" s="72" t="str">
        <f t="shared" si="42"/>
        <v/>
      </c>
      <c r="AI77" s="72" t="str">
        <f t="shared" si="23"/>
        <v/>
      </c>
      <c r="AJ77" s="39"/>
      <c r="AK77" s="72" t="str">
        <f t="shared" si="24"/>
        <v/>
      </c>
      <c r="AL77" s="72" t="str">
        <f t="shared" si="25"/>
        <v/>
      </c>
      <c r="AM77" s="39"/>
      <c r="AN77" s="72" t="str">
        <f t="shared" si="43"/>
        <v/>
      </c>
      <c r="AO77" s="72" t="str">
        <f t="shared" si="26"/>
        <v/>
      </c>
      <c r="AP77" s="39"/>
      <c r="AQ77" s="72" t="str">
        <f t="shared" si="44"/>
        <v/>
      </c>
      <c r="AR77" s="72" t="str">
        <f t="shared" si="27"/>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45"/>
        <v/>
      </c>
      <c r="AW77" s="72" t="str">
        <f t="shared" si="10"/>
        <v/>
      </c>
      <c r="AX77" s="39"/>
      <c r="AY77" s="40" t="str">
        <f>IF(ISERROR(IF($K77&lt;=$F$15,VLOOKUP($I77,'表4）CO2価格'!$A$7:$E$67,VLOOKUP($F$48,'表4）CO2価格'!$H$10:$I$12,2,0),0)*$F$8/1000,"")),0,IF($K77&lt;=$F$15,VLOOKUP($I77,'表4）CO2価格'!$A$7:$E$67,VLOOKUP($F$48,'表4）CO2価格'!$H$10:$I$12,2,0),0)*$F$8/1000,""))</f>
        <v/>
      </c>
      <c r="AZ77" s="39"/>
      <c r="BA77" s="42" t="str">
        <f t="shared" si="46"/>
        <v/>
      </c>
      <c r="BB77" s="72" t="str">
        <f t="shared" si="28"/>
        <v/>
      </c>
      <c r="BC77" s="39"/>
      <c r="BD77" s="72" t="str">
        <f t="shared" si="47"/>
        <v/>
      </c>
      <c r="BE77" s="72" t="str">
        <f t="shared" si="29"/>
        <v/>
      </c>
      <c r="BF77" s="39"/>
      <c r="BG77" s="42" t="str">
        <f t="shared" si="48"/>
        <v/>
      </c>
      <c r="BH77" s="72" t="str">
        <f t="shared" si="30"/>
        <v/>
      </c>
      <c r="BI77" s="39"/>
      <c r="BJ77" s="40" t="str">
        <f t="shared" si="31"/>
        <v/>
      </c>
      <c r="BK77" s="157" t="str">
        <f t="shared" si="32"/>
        <v/>
      </c>
      <c r="BL77" s="157" t="str">
        <f t="shared" si="14"/>
        <v/>
      </c>
      <c r="BM77" s="72"/>
      <c r="BN77" s="72" t="str">
        <f t="shared" si="33"/>
        <v/>
      </c>
      <c r="BO77" s="72" t="str">
        <f t="shared" si="34"/>
        <v/>
      </c>
      <c r="BP77" s="39"/>
      <c r="BQ77" s="72" t="str">
        <f t="shared" si="49"/>
        <v/>
      </c>
      <c r="BR77" s="72" t="str">
        <f t="shared" si="35"/>
        <v/>
      </c>
    </row>
    <row r="78" spans="2:70" x14ac:dyDescent="0.15">
      <c r="E78" s="74" t="s">
        <v>138</v>
      </c>
      <c r="F78" s="105">
        <f>R15/$BR$116</f>
        <v>1.1543173353752061</v>
      </c>
      <c r="G78" s="81" t="s">
        <v>132</v>
      </c>
      <c r="I78" s="459">
        <f t="shared" si="36"/>
        <v>2083</v>
      </c>
      <c r="K78" s="9">
        <f t="shared" si="37"/>
        <v>64</v>
      </c>
      <c r="L78" s="71"/>
      <c r="M78" s="7">
        <f t="shared" si="0"/>
        <v>0.15080565208229488</v>
      </c>
      <c r="N78" s="71"/>
      <c r="O78" s="10" t="str">
        <f t="shared" si="16"/>
        <v/>
      </c>
      <c r="P78" s="29" t="str">
        <f t="shared" si="38"/>
        <v/>
      </c>
      <c r="Q78" s="71"/>
      <c r="R78" s="10" t="str">
        <f t="shared" si="50"/>
        <v/>
      </c>
      <c r="S78" s="71"/>
      <c r="T78" s="10" t="str">
        <f t="shared" si="18"/>
        <v/>
      </c>
      <c r="U78" s="71"/>
      <c r="V78" s="10" t="str">
        <f t="shared" si="39"/>
        <v/>
      </c>
      <c r="W78" s="10" t="str">
        <f t="shared" si="19"/>
        <v/>
      </c>
      <c r="X78" s="71"/>
      <c r="Y78" s="10" t="str">
        <f t="shared" si="40"/>
        <v/>
      </c>
      <c r="Z78" s="10" t="str">
        <f t="shared" si="20"/>
        <v/>
      </c>
      <c r="AA78" s="71"/>
      <c r="AB78" s="10" t="str">
        <f t="shared" si="4"/>
        <v/>
      </c>
      <c r="AC78" s="10" t="str">
        <f t="shared" si="21"/>
        <v/>
      </c>
      <c r="AD78" s="71"/>
      <c r="AE78" s="10" t="str">
        <f t="shared" si="41"/>
        <v/>
      </c>
      <c r="AF78" s="10" t="str">
        <f t="shared" si="22"/>
        <v/>
      </c>
      <c r="AG78" s="71"/>
      <c r="AH78" s="10" t="str">
        <f t="shared" si="42"/>
        <v/>
      </c>
      <c r="AI78" s="10" t="str">
        <f t="shared" si="23"/>
        <v/>
      </c>
      <c r="AJ78" s="71"/>
      <c r="AK78" s="10" t="str">
        <f t="shared" si="24"/>
        <v/>
      </c>
      <c r="AL78" s="10" t="str">
        <f t="shared" si="25"/>
        <v/>
      </c>
      <c r="AM78" s="71"/>
      <c r="AN78" s="10" t="str">
        <f t="shared" si="43"/>
        <v/>
      </c>
      <c r="AO78" s="10" t="str">
        <f t="shared" si="26"/>
        <v/>
      </c>
      <c r="AP78" s="71"/>
      <c r="AQ78" s="10" t="str">
        <f t="shared" si="44"/>
        <v/>
      </c>
      <c r="AR78" s="10" t="str">
        <f t="shared" si="27"/>
        <v/>
      </c>
      <c r="AS78" s="71"/>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U78" s="71"/>
      <c r="AV78" s="10" t="str">
        <f t="shared" si="45"/>
        <v/>
      </c>
      <c r="AW78" s="10" t="str">
        <f t="shared" si="10"/>
        <v/>
      </c>
      <c r="AX78" s="71"/>
      <c r="AY78" s="7" t="str">
        <f>IF(ISERROR(IF($K78&lt;=$F$15,VLOOKUP($I78,'表4）CO2価格'!$A$7:$E$67,VLOOKUP($F$48,'表4）CO2価格'!$H$10:$I$12,2,0),0)*$F$8/1000,"")),0,IF($K78&lt;=$F$15,VLOOKUP($I78,'表4）CO2価格'!$A$7:$E$67,VLOOKUP($F$48,'表4）CO2価格'!$H$10:$I$12,2,0),0)*$F$8/1000,""))</f>
        <v/>
      </c>
      <c r="AZ78" s="71"/>
      <c r="BA78" s="11" t="str">
        <f t="shared" si="46"/>
        <v/>
      </c>
      <c r="BB78" s="10" t="str">
        <f t="shared" si="28"/>
        <v/>
      </c>
      <c r="BC78" s="71"/>
      <c r="BD78" s="10" t="str">
        <f t="shared" si="47"/>
        <v/>
      </c>
      <c r="BE78" s="10" t="str">
        <f t="shared" si="29"/>
        <v/>
      </c>
      <c r="BF78" s="71"/>
      <c r="BG78" s="11" t="str">
        <f t="shared" si="48"/>
        <v/>
      </c>
      <c r="BH78" s="10" t="str">
        <f t="shared" si="30"/>
        <v/>
      </c>
      <c r="BJ78" s="7" t="str">
        <f t="shared" si="31"/>
        <v/>
      </c>
      <c r="BK78" s="158" t="str">
        <f t="shared" si="32"/>
        <v/>
      </c>
      <c r="BL78" s="158" t="str">
        <f t="shared" si="14"/>
        <v/>
      </c>
      <c r="BM78" s="10"/>
      <c r="BN78" s="10" t="str">
        <f t="shared" si="33"/>
        <v/>
      </c>
      <c r="BO78" s="10" t="str">
        <f t="shared" si="34"/>
        <v/>
      </c>
      <c r="BQ78" s="10" t="str">
        <f t="shared" si="49"/>
        <v/>
      </c>
      <c r="BR78" s="10" t="str">
        <f t="shared" si="35"/>
        <v/>
      </c>
    </row>
    <row r="79" spans="2:70" x14ac:dyDescent="0.15">
      <c r="E79" s="81" t="s">
        <v>139</v>
      </c>
      <c r="F79" s="91">
        <f>Z116/$BR$116</f>
        <v>9.5195285796265405E-2</v>
      </c>
      <c r="G79" s="81" t="s">
        <v>132</v>
      </c>
      <c r="I79" s="458">
        <f t="shared" si="36"/>
        <v>2084</v>
      </c>
      <c r="J79" s="470"/>
      <c r="K79" s="470">
        <f t="shared" si="37"/>
        <v>65</v>
      </c>
      <c r="L79" s="39"/>
      <c r="M79" s="40">
        <f t="shared" ref="M79:M114" si="51">1/(1+($F$9/100))^K79</f>
        <v>0.14641325444882999</v>
      </c>
      <c r="N79" s="39"/>
      <c r="O79" s="72" t="str">
        <f t="shared" si="16"/>
        <v/>
      </c>
      <c r="P79" s="41" t="str">
        <f t="shared" ref="P79:P110" si="52">IF(K79&lt;=$F$15,IF(OR(P78=$F$124,P78="-"),"-",IF(O79*$F$123&gt;$F$127,$F$123,$F$124)),"")</f>
        <v/>
      </c>
      <c r="Q79" s="39"/>
      <c r="R79" s="72" t="str">
        <f t="shared" si="50"/>
        <v/>
      </c>
      <c r="S79" s="39"/>
      <c r="T79" s="72" t="str">
        <f t="shared" si="18"/>
        <v/>
      </c>
      <c r="U79" s="39"/>
      <c r="V79" s="72" t="str">
        <f t="shared" ref="V79:V114" si="53">IF(K79&lt;=$F$15,IF(K79&lt;$F$119,IF(P79="-",V78,O79*P79),IF(K79=$F$119,MIN(IF(P79="-",V78,O79*P79),O79),0)),"")</f>
        <v/>
      </c>
      <c r="W79" s="72" t="str">
        <f t="shared" si="19"/>
        <v/>
      </c>
      <c r="X79" s="39"/>
      <c r="Y79" s="72" t="str">
        <f t="shared" ref="Y79:Y114" si="54">IF($K79&lt;=$F$15,ROUNDDOWN(T79*$F$25/100,-2),"")</f>
        <v/>
      </c>
      <c r="Z79" s="72" t="str">
        <f t="shared" si="20"/>
        <v/>
      </c>
      <c r="AA79" s="39"/>
      <c r="AB79" s="72" t="str">
        <f t="shared" ref="AB79:AB114" si="55">IF($K79&lt;=$F$15,0,IF(AND($K79&gt;$F$15,$K79&lt;=$F$15+$F$28),$F$27*10^8/$F$28,""))</f>
        <v/>
      </c>
      <c r="AC79" s="72" t="str">
        <f t="shared" si="21"/>
        <v/>
      </c>
      <c r="AD79" s="39"/>
      <c r="AE79" s="72" t="str">
        <f t="shared" ref="AE79:AE114" si="56">IF($K79&lt;=$F$15,$F$26,"")</f>
        <v/>
      </c>
      <c r="AF79" s="72" t="str">
        <f t="shared" si="22"/>
        <v/>
      </c>
      <c r="AG79" s="39"/>
      <c r="AH79" s="72" t="str">
        <f t="shared" ref="AH79:AH114" si="57">IF($K79&lt;=$F$15,$F$33*10^8,"")</f>
        <v/>
      </c>
      <c r="AI79" s="72" t="str">
        <f t="shared" si="23"/>
        <v/>
      </c>
      <c r="AJ79" s="39"/>
      <c r="AK79" s="72" t="str">
        <f t="shared" si="24"/>
        <v/>
      </c>
      <c r="AL79" s="72" t="str">
        <f t="shared" si="25"/>
        <v/>
      </c>
      <c r="AM79" s="39"/>
      <c r="AN79" s="72" t="str">
        <f t="shared" ref="AN79:AN114" si="58">IF($K79&lt;=$F$15,$F$117*$F$35/100,"")</f>
        <v/>
      </c>
      <c r="AO79" s="72" t="str">
        <f t="shared" si="26"/>
        <v/>
      </c>
      <c r="AP79" s="39"/>
      <c r="AQ79" s="72" t="str">
        <f t="shared" ref="AQ79:AQ114" si="59">IF($K79&lt;=$F$15,SUM(AH79,AK79,AN79)*($F$36/100),"")</f>
        <v/>
      </c>
      <c r="AR79" s="72" t="str">
        <f t="shared" si="27"/>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60">IF($K79&lt;=$F$15,($AT79+$F$142)*$F$137,"")</f>
        <v/>
      </c>
      <c r="AW79" s="72" t="str">
        <f t="shared" ref="AW79:AW114" si="61">IF(ISNUMBER(AV79),AV79*$M79,"")</f>
        <v/>
      </c>
      <c r="AX79" s="39"/>
      <c r="AY79" s="40" t="str">
        <f>IF(ISERROR(IF($K79&lt;=$F$15,VLOOKUP($I79,'表4）CO2価格'!$A$7:$E$67,VLOOKUP($F$48,'表4）CO2価格'!$H$10:$I$12,2,0),0)*$F$8/1000,"")),0,IF($K79&lt;=$F$15,VLOOKUP($I79,'表4）CO2価格'!$A$7:$E$67,VLOOKUP($F$48,'表4）CO2価格'!$H$10:$I$12,2,0),0)*$F$8/1000,""))</f>
        <v/>
      </c>
      <c r="AZ79" s="39"/>
      <c r="BA79" s="42" t="str">
        <f t="shared" ref="BA79:BA114" si="62">IF($K79&lt;=$F$15,$F$145*AY79,"")</f>
        <v/>
      </c>
      <c r="BB79" s="72" t="str">
        <f t="shared" si="28"/>
        <v/>
      </c>
      <c r="BC79" s="39"/>
      <c r="BD79" s="72" t="str">
        <f t="shared" ref="BD79:BD114" si="63">IF($K79&lt;=$F$15,($AT79+$F$152)*$F$151,"")</f>
        <v/>
      </c>
      <c r="BE79" s="72" t="str">
        <f t="shared" si="29"/>
        <v/>
      </c>
      <c r="BF79" s="39"/>
      <c r="BG79" s="42" t="str">
        <f t="shared" ref="BG79:BG114" si="64">IF($K79&lt;=$F$15,$F$153*AY79,"")</f>
        <v/>
      </c>
      <c r="BH79" s="72" t="str">
        <f t="shared" si="30"/>
        <v/>
      </c>
      <c r="BI79" s="39"/>
      <c r="BJ79" s="40" t="str">
        <f t="shared" si="31"/>
        <v/>
      </c>
      <c r="BK79" s="157" t="str">
        <f t="shared" si="32"/>
        <v/>
      </c>
      <c r="BL79" s="157" t="str">
        <f t="shared" ref="BL79:BL114" si="65">IF(AND(ISNUMBER(BJ79),$K79&lt;=$F$16),BQ79*BJ79,"")</f>
        <v/>
      </c>
      <c r="BM79" s="72"/>
      <c r="BN79" s="72" t="str">
        <f t="shared" si="33"/>
        <v/>
      </c>
      <c r="BO79" s="72" t="str">
        <f t="shared" si="34"/>
        <v/>
      </c>
      <c r="BP79" s="39"/>
      <c r="BQ79" s="72" t="str">
        <f t="shared" ref="BQ79:BQ114" si="66">IF($K79&lt;=$F$15,$F$134,"")</f>
        <v/>
      </c>
      <c r="BR79" s="72" t="str">
        <f t="shared" si="35"/>
        <v/>
      </c>
    </row>
    <row r="80" spans="2:70" x14ac:dyDescent="0.15">
      <c r="E80" s="81" t="s">
        <v>115</v>
      </c>
      <c r="F80" s="91">
        <f>AF116/$BR$116</f>
        <v>0</v>
      </c>
      <c r="G80" s="81" t="s">
        <v>132</v>
      </c>
      <c r="I80" s="459">
        <f t="shared" si="36"/>
        <v>2085</v>
      </c>
      <c r="K80" s="9">
        <f t="shared" si="37"/>
        <v>66</v>
      </c>
      <c r="L80" s="71"/>
      <c r="M80" s="7">
        <f t="shared" si="51"/>
        <v>0.14214879072701941</v>
      </c>
      <c r="N80" s="71"/>
      <c r="O80" s="10" t="str">
        <f t="shared" ref="O80:O114" si="67">IF(K80&lt;=$F$15,O79-V79,"")</f>
        <v/>
      </c>
      <c r="P80" s="29" t="str">
        <f t="shared" si="52"/>
        <v/>
      </c>
      <c r="Q80" s="71"/>
      <c r="R80" s="10" t="str">
        <f t="shared" ref="R80:R114" si="68">IF($K80&lt;=$F$15,MAX($F$117*5%,R79*$F$129),"")</f>
        <v/>
      </c>
      <c r="S80" s="71"/>
      <c r="T80" s="10" t="str">
        <f t="shared" ref="T80:T114" si="69">IF(ISNUMBER(R80),ROUNDDOWN(R80,-3),"")</f>
        <v/>
      </c>
      <c r="U80" s="71"/>
      <c r="V80" s="10" t="str">
        <f t="shared" si="53"/>
        <v/>
      </c>
      <c r="W80" s="10" t="str">
        <f t="shared" ref="W80:W114" si="70">IF(ISNUMBER(V80),V80*$M80,"")</f>
        <v/>
      </c>
      <c r="X80" s="71"/>
      <c r="Y80" s="10" t="str">
        <f t="shared" si="54"/>
        <v/>
      </c>
      <c r="Z80" s="10" t="str">
        <f t="shared" ref="Z80:Z114" si="71">IF(ISNUMBER(Y80),Y80*$M80,"")</f>
        <v/>
      </c>
      <c r="AA80" s="71"/>
      <c r="AB80" s="10" t="str">
        <f t="shared" si="55"/>
        <v/>
      </c>
      <c r="AC80" s="10" t="str">
        <f t="shared" ref="AC80:AC114" si="72">IF(ISNUMBER(AB80),AB80*$M80,"")</f>
        <v/>
      </c>
      <c r="AD80" s="71"/>
      <c r="AE80" s="10" t="str">
        <f t="shared" si="56"/>
        <v/>
      </c>
      <c r="AF80" s="10" t="str">
        <f t="shared" ref="AF80:AF114" si="73">IF(ISNUMBER(AE80),AE80*$M80,"")</f>
        <v/>
      </c>
      <c r="AG80" s="71"/>
      <c r="AH80" s="10" t="str">
        <f t="shared" si="57"/>
        <v/>
      </c>
      <c r="AI80" s="10" t="str">
        <f t="shared" ref="AI80:AI114" si="74">IF(ISNUMBER(AH80),AH80*$M80,"")</f>
        <v/>
      </c>
      <c r="AJ80" s="71"/>
      <c r="AK80" s="10" t="str">
        <f t="shared" ref="AK80:AK114" si="75">IF($K80&lt;=$F$15,$F$34*10^4*$F$13*10^4,"")</f>
        <v/>
      </c>
      <c r="AL80" s="10" t="str">
        <f t="shared" ref="AL80:AL114" si="76">IF(ISNUMBER(AK80),AK80*$M80,"")</f>
        <v/>
      </c>
      <c r="AM80" s="71"/>
      <c r="AN80" s="10" t="str">
        <f t="shared" si="58"/>
        <v/>
      </c>
      <c r="AO80" s="10" t="str">
        <f t="shared" ref="AO80:AO114" si="77">IF(ISNUMBER(AN80),AN80*$M80,"")</f>
        <v/>
      </c>
      <c r="AP80" s="71"/>
      <c r="AQ80" s="10" t="str">
        <f t="shared" si="59"/>
        <v/>
      </c>
      <c r="AR80" s="10" t="str">
        <f t="shared" ref="AR80:AR114" si="78">IF(ISNUMBER(AQ80),AQ80*$M80,"")</f>
        <v/>
      </c>
      <c r="AS80" s="71"/>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U80" s="71"/>
      <c r="AV80" s="10" t="str">
        <f t="shared" si="60"/>
        <v/>
      </c>
      <c r="AW80" s="10" t="str">
        <f t="shared" si="61"/>
        <v/>
      </c>
      <c r="AX80" s="71"/>
      <c r="AY80" s="7" t="str">
        <f>IF(ISERROR(IF($K80&lt;=$F$15,VLOOKUP($I80,'表4）CO2価格'!$A$7:$E$67,VLOOKUP($F$48,'表4）CO2価格'!$H$10:$I$12,2,0),0)*$F$8/1000,"")),0,IF($K80&lt;=$F$15,VLOOKUP($I80,'表4）CO2価格'!$A$7:$E$67,VLOOKUP($F$48,'表4）CO2価格'!$H$10:$I$12,2,0),0)*$F$8/1000,""))</f>
        <v/>
      </c>
      <c r="AZ80" s="71"/>
      <c r="BA80" s="11" t="str">
        <f t="shared" si="62"/>
        <v/>
      </c>
      <c r="BB80" s="10" t="str">
        <f t="shared" ref="BB80:BB114" si="79">IF(ISNUMBER(BA80),BA80*$M80,"")</f>
        <v/>
      </c>
      <c r="BC80" s="71"/>
      <c r="BD80" s="10" t="str">
        <f t="shared" si="63"/>
        <v/>
      </c>
      <c r="BE80" s="10" t="str">
        <f t="shared" ref="BE80:BE114" si="80">IF(ISNUMBER(BD80),BD80*$M80,"")</f>
        <v/>
      </c>
      <c r="BF80" s="71"/>
      <c r="BG80" s="11" t="str">
        <f t="shared" si="64"/>
        <v/>
      </c>
      <c r="BH80" s="10" t="str">
        <f t="shared" ref="BH80:BH114" si="81">IF(ISNUMBER(BG80),BG80*$M80,"")</f>
        <v/>
      </c>
      <c r="BJ80" s="7" t="str">
        <f t="shared" ref="BJ80:BJ114" si="82">IF(ISNUMBER($F$16),IF($K80&lt;=$F$16+$F$28,1/(1+($F$17/100))^K80,""),"")</f>
        <v/>
      </c>
      <c r="BK80" s="158" t="str">
        <f t="shared" ref="BK80:BK114" si="83">IF(ISNUMBER($F$16),IF($K80&lt;=$F$16+$F$28,IF($K80&lt;=$F$16,SUM(Y80,AB80,AE80,AH80,AK80,AN80,AQ80,AV80,BA80,BD80,BG80),$F$27/$F$28*10^8)*BJ80,""),"")</f>
        <v/>
      </c>
      <c r="BL80" s="158" t="str">
        <f t="shared" si="65"/>
        <v/>
      </c>
      <c r="BM80" s="10"/>
      <c r="BN80" s="10" t="str">
        <f t="shared" ref="BN80:BN114" si="84">IF(AND(ISNUMBER($F$16),$K80&lt;=$F$16),BQ80*($O$15+$BK$116)/$BL$116,"")</f>
        <v/>
      </c>
      <c r="BO80" s="10" t="str">
        <f t="shared" ref="BO80:BO114" si="85">IF(ISNUMBER(BN80),BN80*$M80,"")</f>
        <v/>
      </c>
      <c r="BQ80" s="10" t="str">
        <f t="shared" si="66"/>
        <v/>
      </c>
      <c r="BR80" s="10" t="str">
        <f t="shared" ref="BR80:BR114" si="86">IF(ISNUMBER(BQ80),BQ80*$M80,"")</f>
        <v/>
      </c>
    </row>
    <row r="81" spans="4:70" x14ac:dyDescent="0.15">
      <c r="E81" s="82" t="s">
        <v>86</v>
      </c>
      <c r="F81" s="91">
        <f>AC116/$BR$116</f>
        <v>2.3085604779333371E-2</v>
      </c>
      <c r="G81" s="81" t="s">
        <v>132</v>
      </c>
      <c r="I81" s="458">
        <f t="shared" ref="I81:I114" si="87">I80+1</f>
        <v>2086</v>
      </c>
      <c r="J81" s="470"/>
      <c r="K81" s="470">
        <f t="shared" ref="K81:K114" si="88">IF(I81&lt;&gt;"",K80+1,"")</f>
        <v>67</v>
      </c>
      <c r="L81" s="39"/>
      <c r="M81" s="40">
        <f t="shared" si="51"/>
        <v>0.1380085346864266</v>
      </c>
      <c r="N81" s="39"/>
      <c r="O81" s="72" t="str">
        <f t="shared" si="67"/>
        <v/>
      </c>
      <c r="P81" s="41" t="str">
        <f t="shared" si="52"/>
        <v/>
      </c>
      <c r="Q81" s="39"/>
      <c r="R81" s="72" t="str">
        <f t="shared" si="68"/>
        <v/>
      </c>
      <c r="S81" s="39"/>
      <c r="T81" s="72" t="str">
        <f t="shared" si="69"/>
        <v/>
      </c>
      <c r="U81" s="39"/>
      <c r="V81" s="72" t="str">
        <f t="shared" si="53"/>
        <v/>
      </c>
      <c r="W81" s="72" t="str">
        <f t="shared" si="70"/>
        <v/>
      </c>
      <c r="X81" s="39"/>
      <c r="Y81" s="72" t="str">
        <f t="shared" si="54"/>
        <v/>
      </c>
      <c r="Z81" s="72" t="str">
        <f t="shared" si="71"/>
        <v/>
      </c>
      <c r="AA81" s="39"/>
      <c r="AB81" s="72" t="str">
        <f t="shared" si="55"/>
        <v/>
      </c>
      <c r="AC81" s="72" t="str">
        <f t="shared" si="72"/>
        <v/>
      </c>
      <c r="AD81" s="39"/>
      <c r="AE81" s="72" t="str">
        <f t="shared" si="56"/>
        <v/>
      </c>
      <c r="AF81" s="72" t="str">
        <f t="shared" si="73"/>
        <v/>
      </c>
      <c r="AG81" s="39"/>
      <c r="AH81" s="72" t="str">
        <f t="shared" si="57"/>
        <v/>
      </c>
      <c r="AI81" s="72" t="str">
        <f t="shared" si="74"/>
        <v/>
      </c>
      <c r="AJ81" s="39"/>
      <c r="AK81" s="72" t="str">
        <f t="shared" si="75"/>
        <v/>
      </c>
      <c r="AL81" s="72" t="str">
        <f t="shared" si="76"/>
        <v/>
      </c>
      <c r="AM81" s="39"/>
      <c r="AN81" s="72" t="str">
        <f t="shared" si="58"/>
        <v/>
      </c>
      <c r="AO81" s="72" t="str">
        <f t="shared" si="77"/>
        <v/>
      </c>
      <c r="AP81" s="39"/>
      <c r="AQ81" s="72" t="str">
        <f t="shared" si="59"/>
        <v/>
      </c>
      <c r="AR81" s="72" t="str">
        <f t="shared" si="78"/>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60"/>
        <v/>
      </c>
      <c r="AW81" s="72" t="str">
        <f t="shared" si="61"/>
        <v/>
      </c>
      <c r="AX81" s="39"/>
      <c r="AY81" s="40" t="str">
        <f>IF(ISERROR(IF($K81&lt;=$F$15,VLOOKUP($I81,'表4）CO2価格'!$A$7:$E$67,VLOOKUP($F$48,'表4）CO2価格'!$H$10:$I$12,2,0),0)*$F$8/1000,"")),0,IF($K81&lt;=$F$15,VLOOKUP($I81,'表4）CO2価格'!$A$7:$E$67,VLOOKUP($F$48,'表4）CO2価格'!$H$10:$I$12,2,0),0)*$F$8/1000,""))</f>
        <v/>
      </c>
      <c r="AZ81" s="39"/>
      <c r="BA81" s="42" t="str">
        <f t="shared" si="62"/>
        <v/>
      </c>
      <c r="BB81" s="72" t="str">
        <f t="shared" si="79"/>
        <v/>
      </c>
      <c r="BC81" s="39"/>
      <c r="BD81" s="72" t="str">
        <f t="shared" si="63"/>
        <v/>
      </c>
      <c r="BE81" s="72" t="str">
        <f t="shared" si="80"/>
        <v/>
      </c>
      <c r="BF81" s="39"/>
      <c r="BG81" s="42" t="str">
        <f t="shared" si="64"/>
        <v/>
      </c>
      <c r="BH81" s="72" t="str">
        <f t="shared" si="81"/>
        <v/>
      </c>
      <c r="BI81" s="39"/>
      <c r="BJ81" s="40" t="str">
        <f t="shared" si="82"/>
        <v/>
      </c>
      <c r="BK81" s="157" t="str">
        <f t="shared" si="83"/>
        <v/>
      </c>
      <c r="BL81" s="157" t="str">
        <f t="shared" si="65"/>
        <v/>
      </c>
      <c r="BM81" s="72"/>
      <c r="BN81" s="72" t="str">
        <f t="shared" si="84"/>
        <v/>
      </c>
      <c r="BO81" s="72" t="str">
        <f t="shared" si="85"/>
        <v/>
      </c>
      <c r="BP81" s="39"/>
      <c r="BQ81" s="72" t="str">
        <f t="shared" si="66"/>
        <v/>
      </c>
      <c r="BR81" s="72" t="str">
        <f t="shared" si="86"/>
        <v/>
      </c>
    </row>
    <row r="82" spans="4:70" x14ac:dyDescent="0.15">
      <c r="F82" s="93"/>
      <c r="I82" s="459">
        <f t="shared" si="87"/>
        <v>2087</v>
      </c>
      <c r="K82" s="9">
        <f t="shared" si="88"/>
        <v>68</v>
      </c>
      <c r="L82" s="71"/>
      <c r="M82" s="7">
        <f t="shared" si="51"/>
        <v>0.13398886862759865</v>
      </c>
      <c r="N82" s="71"/>
      <c r="O82" s="10" t="str">
        <f t="shared" si="67"/>
        <v/>
      </c>
      <c r="P82" s="29" t="str">
        <f t="shared" si="52"/>
        <v/>
      </c>
      <c r="Q82" s="71"/>
      <c r="R82" s="10" t="str">
        <f t="shared" si="68"/>
        <v/>
      </c>
      <c r="S82" s="71"/>
      <c r="T82" s="10" t="str">
        <f t="shared" si="69"/>
        <v/>
      </c>
      <c r="U82" s="71"/>
      <c r="V82" s="10" t="str">
        <f t="shared" si="53"/>
        <v/>
      </c>
      <c r="W82" s="10" t="str">
        <f t="shared" si="70"/>
        <v/>
      </c>
      <c r="X82" s="71"/>
      <c r="Y82" s="10" t="str">
        <f t="shared" si="54"/>
        <v/>
      </c>
      <c r="Z82" s="10" t="str">
        <f t="shared" si="71"/>
        <v/>
      </c>
      <c r="AA82" s="71"/>
      <c r="AB82" s="10" t="str">
        <f t="shared" si="55"/>
        <v/>
      </c>
      <c r="AC82" s="10" t="str">
        <f t="shared" si="72"/>
        <v/>
      </c>
      <c r="AD82" s="71"/>
      <c r="AE82" s="10" t="str">
        <f t="shared" si="56"/>
        <v/>
      </c>
      <c r="AF82" s="10" t="str">
        <f t="shared" si="73"/>
        <v/>
      </c>
      <c r="AG82" s="71"/>
      <c r="AH82" s="10" t="str">
        <f t="shared" si="57"/>
        <v/>
      </c>
      <c r="AI82" s="10" t="str">
        <f t="shared" si="74"/>
        <v/>
      </c>
      <c r="AJ82" s="71"/>
      <c r="AK82" s="10" t="str">
        <f t="shared" si="75"/>
        <v/>
      </c>
      <c r="AL82" s="10" t="str">
        <f t="shared" si="76"/>
        <v/>
      </c>
      <c r="AM82" s="71"/>
      <c r="AN82" s="10" t="str">
        <f t="shared" si="58"/>
        <v/>
      </c>
      <c r="AO82" s="10" t="str">
        <f t="shared" si="77"/>
        <v/>
      </c>
      <c r="AP82" s="71"/>
      <c r="AQ82" s="10" t="str">
        <f t="shared" si="59"/>
        <v/>
      </c>
      <c r="AR82" s="10" t="str">
        <f t="shared" si="78"/>
        <v/>
      </c>
      <c r="AS82" s="71"/>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U82" s="71"/>
      <c r="AV82" s="10" t="str">
        <f t="shared" si="60"/>
        <v/>
      </c>
      <c r="AW82" s="10" t="str">
        <f t="shared" si="61"/>
        <v/>
      </c>
      <c r="AX82" s="71"/>
      <c r="AY82" s="7" t="str">
        <f>IF(ISERROR(IF($K82&lt;=$F$15,VLOOKUP($I82,'表4）CO2価格'!$A$7:$E$67,VLOOKUP($F$48,'表4）CO2価格'!$H$10:$I$12,2,0),0)*$F$8/1000,"")),0,IF($K82&lt;=$F$15,VLOOKUP($I82,'表4）CO2価格'!$A$7:$E$67,VLOOKUP($F$48,'表4）CO2価格'!$H$10:$I$12,2,0),0)*$F$8/1000,""))</f>
        <v/>
      </c>
      <c r="AZ82" s="71"/>
      <c r="BA82" s="11" t="str">
        <f t="shared" si="62"/>
        <v/>
      </c>
      <c r="BB82" s="10" t="str">
        <f t="shared" si="79"/>
        <v/>
      </c>
      <c r="BC82" s="71"/>
      <c r="BD82" s="10" t="str">
        <f t="shared" si="63"/>
        <v/>
      </c>
      <c r="BE82" s="10" t="str">
        <f t="shared" si="80"/>
        <v/>
      </c>
      <c r="BF82" s="71"/>
      <c r="BG82" s="11" t="str">
        <f t="shared" si="64"/>
        <v/>
      </c>
      <c r="BH82" s="10" t="str">
        <f t="shared" si="81"/>
        <v/>
      </c>
      <c r="BJ82" s="7" t="str">
        <f t="shared" si="82"/>
        <v/>
      </c>
      <c r="BK82" s="158" t="str">
        <f t="shared" si="83"/>
        <v/>
      </c>
      <c r="BL82" s="158" t="str">
        <f t="shared" si="65"/>
        <v/>
      </c>
      <c r="BM82" s="10"/>
      <c r="BN82" s="10" t="str">
        <f t="shared" si="84"/>
        <v/>
      </c>
      <c r="BO82" s="10" t="str">
        <f t="shared" si="85"/>
        <v/>
      </c>
      <c r="BQ82" s="10" t="str">
        <f t="shared" si="66"/>
        <v/>
      </c>
      <c r="BR82" s="10" t="str">
        <f t="shared" si="86"/>
        <v/>
      </c>
    </row>
    <row r="83" spans="4:70" ht="15" x14ac:dyDescent="0.15">
      <c r="D83" s="116" t="s">
        <v>194</v>
      </c>
      <c r="F83" s="94">
        <f>SUBTOTAL(9,F87:F90)</f>
        <v>1.616080659335569</v>
      </c>
      <c r="G83" s="81" t="s">
        <v>132</v>
      </c>
      <c r="I83" s="458">
        <f>I82+1</f>
        <v>2088</v>
      </c>
      <c r="J83" s="470"/>
      <c r="K83" s="470">
        <f>IF(I83&lt;&gt;"",K82+1,"")</f>
        <v>69</v>
      </c>
      <c r="L83" s="39"/>
      <c r="M83" s="40">
        <f t="shared" si="51"/>
        <v>0.13008628022096957</v>
      </c>
      <c r="N83" s="39"/>
      <c r="O83" s="72" t="str">
        <f t="shared" si="67"/>
        <v/>
      </c>
      <c r="P83" s="41" t="str">
        <f t="shared" si="52"/>
        <v/>
      </c>
      <c r="Q83" s="39"/>
      <c r="R83" s="72" t="str">
        <f t="shared" si="68"/>
        <v/>
      </c>
      <c r="S83" s="39"/>
      <c r="T83" s="72" t="str">
        <f t="shared" si="69"/>
        <v/>
      </c>
      <c r="U83" s="39"/>
      <c r="V83" s="72" t="str">
        <f t="shared" si="53"/>
        <v/>
      </c>
      <c r="W83" s="72" t="str">
        <f t="shared" si="70"/>
        <v/>
      </c>
      <c r="X83" s="39"/>
      <c r="Y83" s="72" t="str">
        <f t="shared" si="54"/>
        <v/>
      </c>
      <c r="Z83" s="72" t="str">
        <f t="shared" si="71"/>
        <v/>
      </c>
      <c r="AA83" s="39"/>
      <c r="AB83" s="72" t="str">
        <f t="shared" si="55"/>
        <v/>
      </c>
      <c r="AC83" s="72" t="str">
        <f t="shared" si="72"/>
        <v/>
      </c>
      <c r="AD83" s="39"/>
      <c r="AE83" s="72" t="str">
        <f t="shared" si="56"/>
        <v/>
      </c>
      <c r="AF83" s="72" t="str">
        <f t="shared" si="73"/>
        <v/>
      </c>
      <c r="AG83" s="39"/>
      <c r="AH83" s="72" t="str">
        <f t="shared" si="57"/>
        <v/>
      </c>
      <c r="AI83" s="72" t="str">
        <f t="shared" si="74"/>
        <v/>
      </c>
      <c r="AJ83" s="39"/>
      <c r="AK83" s="72" t="str">
        <f t="shared" si="75"/>
        <v/>
      </c>
      <c r="AL83" s="72" t="str">
        <f t="shared" si="76"/>
        <v/>
      </c>
      <c r="AM83" s="39"/>
      <c r="AN83" s="72" t="str">
        <f t="shared" si="58"/>
        <v/>
      </c>
      <c r="AO83" s="72" t="str">
        <f t="shared" si="77"/>
        <v/>
      </c>
      <c r="AP83" s="39"/>
      <c r="AQ83" s="72" t="str">
        <f t="shared" si="59"/>
        <v/>
      </c>
      <c r="AR83" s="72" t="str">
        <f t="shared" si="78"/>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60"/>
        <v/>
      </c>
      <c r="AW83" s="72" t="str">
        <f t="shared" si="61"/>
        <v/>
      </c>
      <c r="AX83" s="39"/>
      <c r="AY83" s="40" t="str">
        <f>IF(ISERROR(IF($K83&lt;=$F$15,VLOOKUP($I83,'表4）CO2価格'!$A$7:$E$67,VLOOKUP($F$48,'表4）CO2価格'!$H$10:$I$12,2,0),0)*$F$8/1000,"")),0,IF($K83&lt;=$F$15,VLOOKUP($I83,'表4）CO2価格'!$A$7:$E$67,VLOOKUP($F$48,'表4）CO2価格'!$H$10:$I$12,2,0),0)*$F$8/1000,""))</f>
        <v/>
      </c>
      <c r="AZ83" s="39"/>
      <c r="BA83" s="42" t="str">
        <f t="shared" si="62"/>
        <v/>
      </c>
      <c r="BB83" s="72" t="str">
        <f t="shared" si="79"/>
        <v/>
      </c>
      <c r="BC83" s="39"/>
      <c r="BD83" s="72" t="str">
        <f t="shared" si="63"/>
        <v/>
      </c>
      <c r="BE83" s="72" t="str">
        <f t="shared" si="80"/>
        <v/>
      </c>
      <c r="BF83" s="39"/>
      <c r="BG83" s="42" t="str">
        <f t="shared" si="64"/>
        <v/>
      </c>
      <c r="BH83" s="72" t="str">
        <f t="shared" si="81"/>
        <v/>
      </c>
      <c r="BI83" s="39"/>
      <c r="BJ83" s="40" t="str">
        <f t="shared" si="82"/>
        <v/>
      </c>
      <c r="BK83" s="157" t="str">
        <f t="shared" si="83"/>
        <v/>
      </c>
      <c r="BL83" s="157" t="str">
        <f t="shared" si="65"/>
        <v/>
      </c>
      <c r="BM83" s="72"/>
      <c r="BN83" s="72" t="str">
        <f t="shared" si="84"/>
        <v/>
      </c>
      <c r="BO83" s="72" t="str">
        <f t="shared" si="85"/>
        <v/>
      </c>
      <c r="BP83" s="39"/>
      <c r="BQ83" s="72" t="str">
        <f t="shared" si="66"/>
        <v/>
      </c>
      <c r="BR83" s="72" t="str">
        <f t="shared" si="86"/>
        <v/>
      </c>
    </row>
    <row r="84" spans="4:70" x14ac:dyDescent="0.15">
      <c r="F84" s="93"/>
      <c r="I84" s="459">
        <f t="shared" si="87"/>
        <v>2089</v>
      </c>
      <c r="K84" s="9">
        <f t="shared" si="88"/>
        <v>70</v>
      </c>
      <c r="L84" s="71"/>
      <c r="M84" s="7">
        <f t="shared" si="51"/>
        <v>0.12629735943783454</v>
      </c>
      <c r="N84" s="71"/>
      <c r="O84" s="10" t="str">
        <f t="shared" si="67"/>
        <v/>
      </c>
      <c r="P84" s="29" t="str">
        <f t="shared" si="52"/>
        <v/>
      </c>
      <c r="Q84" s="71"/>
      <c r="R84" s="10" t="str">
        <f t="shared" si="68"/>
        <v/>
      </c>
      <c r="S84" s="71"/>
      <c r="T84" s="10" t="str">
        <f t="shared" si="69"/>
        <v/>
      </c>
      <c r="U84" s="71"/>
      <c r="V84" s="10" t="str">
        <f t="shared" si="53"/>
        <v/>
      </c>
      <c r="W84" s="10" t="str">
        <f t="shared" si="70"/>
        <v/>
      </c>
      <c r="X84" s="71"/>
      <c r="Y84" s="10" t="str">
        <f t="shared" si="54"/>
        <v/>
      </c>
      <c r="Z84" s="10" t="str">
        <f t="shared" si="71"/>
        <v/>
      </c>
      <c r="AA84" s="71"/>
      <c r="AB84" s="10" t="str">
        <f t="shared" si="55"/>
        <v/>
      </c>
      <c r="AC84" s="10" t="str">
        <f t="shared" si="72"/>
        <v/>
      </c>
      <c r="AD84" s="71"/>
      <c r="AE84" s="10" t="str">
        <f t="shared" si="56"/>
        <v/>
      </c>
      <c r="AF84" s="10" t="str">
        <f t="shared" si="73"/>
        <v/>
      </c>
      <c r="AG84" s="71"/>
      <c r="AH84" s="10" t="str">
        <f t="shared" si="57"/>
        <v/>
      </c>
      <c r="AI84" s="10" t="str">
        <f t="shared" si="74"/>
        <v/>
      </c>
      <c r="AJ84" s="71"/>
      <c r="AK84" s="10" t="str">
        <f t="shared" si="75"/>
        <v/>
      </c>
      <c r="AL84" s="10" t="str">
        <f t="shared" si="76"/>
        <v/>
      </c>
      <c r="AM84" s="71"/>
      <c r="AN84" s="10" t="str">
        <f t="shared" si="58"/>
        <v/>
      </c>
      <c r="AO84" s="10" t="str">
        <f t="shared" si="77"/>
        <v/>
      </c>
      <c r="AP84" s="71"/>
      <c r="AQ84" s="10" t="str">
        <f t="shared" si="59"/>
        <v/>
      </c>
      <c r="AR84" s="10" t="str">
        <f t="shared" si="78"/>
        <v/>
      </c>
      <c r="AS84" s="71"/>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U84" s="71"/>
      <c r="AV84" s="10" t="str">
        <f t="shared" si="60"/>
        <v/>
      </c>
      <c r="AW84" s="10" t="str">
        <f t="shared" si="61"/>
        <v/>
      </c>
      <c r="AX84" s="71"/>
      <c r="AY84" s="7" t="str">
        <f>IF(ISERROR(IF($K84&lt;=$F$15,VLOOKUP($I84,'表4）CO2価格'!$A$7:$E$67,VLOOKUP($F$48,'表4）CO2価格'!$H$10:$I$12,2,0),0)*$F$8/1000,"")),0,IF($K84&lt;=$F$15,VLOOKUP($I84,'表4）CO2価格'!$A$7:$E$67,VLOOKUP($F$48,'表4）CO2価格'!$H$10:$I$12,2,0),0)*$F$8/1000,""))</f>
        <v/>
      </c>
      <c r="AZ84" s="71"/>
      <c r="BA84" s="11" t="str">
        <f t="shared" si="62"/>
        <v/>
      </c>
      <c r="BB84" s="10" t="str">
        <f t="shared" si="79"/>
        <v/>
      </c>
      <c r="BC84" s="71"/>
      <c r="BD84" s="10" t="str">
        <f t="shared" si="63"/>
        <v/>
      </c>
      <c r="BE84" s="10" t="str">
        <f t="shared" si="80"/>
        <v/>
      </c>
      <c r="BF84" s="71"/>
      <c r="BG84" s="11" t="str">
        <f t="shared" si="64"/>
        <v/>
      </c>
      <c r="BH84" s="10" t="str">
        <f t="shared" si="81"/>
        <v/>
      </c>
      <c r="BJ84" s="7" t="str">
        <f t="shared" si="82"/>
        <v/>
      </c>
      <c r="BK84" s="158" t="str">
        <f t="shared" si="83"/>
        <v/>
      </c>
      <c r="BL84" s="158" t="str">
        <f t="shared" si="65"/>
        <v/>
      </c>
      <c r="BM84" s="10"/>
      <c r="BN84" s="10" t="str">
        <f t="shared" si="84"/>
        <v/>
      </c>
      <c r="BO84" s="10" t="str">
        <f t="shared" si="85"/>
        <v/>
      </c>
      <c r="BQ84" s="10" t="str">
        <f t="shared" si="66"/>
        <v/>
      </c>
      <c r="BR84" s="10" t="str">
        <f t="shared" si="86"/>
        <v/>
      </c>
    </row>
    <row r="85" spans="4:70" x14ac:dyDescent="0.15">
      <c r="D85" s="101" t="s">
        <v>195</v>
      </c>
      <c r="E85" s="113"/>
      <c r="F85" s="92"/>
      <c r="G85" s="101"/>
      <c r="I85" s="458">
        <f t="shared" si="87"/>
        <v>2090</v>
      </c>
      <c r="J85" s="470"/>
      <c r="K85" s="470">
        <f t="shared" si="88"/>
        <v>71</v>
      </c>
      <c r="L85" s="39"/>
      <c r="M85" s="40">
        <f t="shared" si="51"/>
        <v>0.12261879557071313</v>
      </c>
      <c r="N85" s="39"/>
      <c r="O85" s="72" t="str">
        <f t="shared" si="67"/>
        <v/>
      </c>
      <c r="P85" s="41" t="str">
        <f t="shared" si="52"/>
        <v/>
      </c>
      <c r="Q85" s="39"/>
      <c r="R85" s="72" t="str">
        <f t="shared" si="68"/>
        <v/>
      </c>
      <c r="S85" s="39"/>
      <c r="T85" s="72" t="str">
        <f t="shared" si="69"/>
        <v/>
      </c>
      <c r="U85" s="39"/>
      <c r="V85" s="72" t="str">
        <f t="shared" si="53"/>
        <v/>
      </c>
      <c r="W85" s="72" t="str">
        <f t="shared" si="70"/>
        <v/>
      </c>
      <c r="X85" s="39"/>
      <c r="Y85" s="72" t="str">
        <f t="shared" si="54"/>
        <v/>
      </c>
      <c r="Z85" s="72" t="str">
        <f t="shared" si="71"/>
        <v/>
      </c>
      <c r="AA85" s="39"/>
      <c r="AB85" s="72" t="str">
        <f t="shared" si="55"/>
        <v/>
      </c>
      <c r="AC85" s="72" t="str">
        <f t="shared" si="72"/>
        <v/>
      </c>
      <c r="AD85" s="39"/>
      <c r="AE85" s="72" t="str">
        <f t="shared" si="56"/>
        <v/>
      </c>
      <c r="AF85" s="72" t="str">
        <f t="shared" si="73"/>
        <v/>
      </c>
      <c r="AG85" s="39"/>
      <c r="AH85" s="72" t="str">
        <f t="shared" si="57"/>
        <v/>
      </c>
      <c r="AI85" s="72" t="str">
        <f t="shared" si="74"/>
        <v/>
      </c>
      <c r="AJ85" s="39"/>
      <c r="AK85" s="72" t="str">
        <f t="shared" si="75"/>
        <v/>
      </c>
      <c r="AL85" s="72" t="str">
        <f t="shared" si="76"/>
        <v/>
      </c>
      <c r="AM85" s="39"/>
      <c r="AN85" s="72" t="str">
        <f t="shared" si="58"/>
        <v/>
      </c>
      <c r="AO85" s="72" t="str">
        <f t="shared" si="77"/>
        <v/>
      </c>
      <c r="AP85" s="39"/>
      <c r="AQ85" s="72" t="str">
        <f t="shared" si="59"/>
        <v/>
      </c>
      <c r="AR85" s="72" t="str">
        <f t="shared" si="78"/>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60"/>
        <v/>
      </c>
      <c r="AW85" s="72" t="str">
        <f t="shared" si="61"/>
        <v/>
      </c>
      <c r="AX85" s="39"/>
      <c r="AY85" s="40" t="str">
        <f>IF(ISERROR(IF($K85&lt;=$F$15,VLOOKUP($I85,'表4）CO2価格'!$A$7:$E$67,VLOOKUP($F$48,'表4）CO2価格'!$H$10:$I$12,2,0),0)*$F$8/1000,"")),0,IF($K85&lt;=$F$15,VLOOKUP($I85,'表4）CO2価格'!$A$7:$E$67,VLOOKUP($F$48,'表4）CO2価格'!$H$10:$I$12,2,0),0)*$F$8/1000,""))</f>
        <v/>
      </c>
      <c r="AZ85" s="39"/>
      <c r="BA85" s="42" t="str">
        <f t="shared" si="62"/>
        <v/>
      </c>
      <c r="BB85" s="72" t="str">
        <f t="shared" si="79"/>
        <v/>
      </c>
      <c r="BC85" s="39"/>
      <c r="BD85" s="72" t="str">
        <f t="shared" si="63"/>
        <v/>
      </c>
      <c r="BE85" s="72" t="str">
        <f t="shared" si="80"/>
        <v/>
      </c>
      <c r="BF85" s="39"/>
      <c r="BG85" s="42" t="str">
        <f t="shared" si="64"/>
        <v/>
      </c>
      <c r="BH85" s="72" t="str">
        <f t="shared" si="81"/>
        <v/>
      </c>
      <c r="BI85" s="39"/>
      <c r="BJ85" s="40" t="str">
        <f t="shared" si="82"/>
        <v/>
      </c>
      <c r="BK85" s="157" t="str">
        <f t="shared" si="83"/>
        <v/>
      </c>
      <c r="BL85" s="157" t="str">
        <f t="shared" si="65"/>
        <v/>
      </c>
      <c r="BM85" s="72"/>
      <c r="BN85" s="72" t="str">
        <f t="shared" si="84"/>
        <v/>
      </c>
      <c r="BO85" s="72" t="str">
        <f t="shared" si="85"/>
        <v/>
      </c>
      <c r="BP85" s="39"/>
      <c r="BQ85" s="72" t="str">
        <f t="shared" si="66"/>
        <v/>
      </c>
      <c r="BR85" s="72" t="str">
        <f t="shared" si="86"/>
        <v/>
      </c>
    </row>
    <row r="86" spans="4:70" x14ac:dyDescent="0.15">
      <c r="F86" s="93"/>
      <c r="I86" s="459">
        <f t="shared" si="87"/>
        <v>2091</v>
      </c>
      <c r="K86" s="9">
        <f t="shared" si="88"/>
        <v>72</v>
      </c>
      <c r="L86" s="71"/>
      <c r="M86" s="7">
        <f t="shared" si="51"/>
        <v>0.1190473743404982</v>
      </c>
      <c r="N86" s="71"/>
      <c r="O86" s="10" t="str">
        <f t="shared" si="67"/>
        <v/>
      </c>
      <c r="P86" s="29" t="str">
        <f t="shared" si="52"/>
        <v/>
      </c>
      <c r="Q86" s="71"/>
      <c r="R86" s="10" t="str">
        <f t="shared" si="68"/>
        <v/>
      </c>
      <c r="S86" s="71"/>
      <c r="T86" s="10" t="str">
        <f t="shared" si="69"/>
        <v/>
      </c>
      <c r="U86" s="71"/>
      <c r="V86" s="10" t="str">
        <f t="shared" si="53"/>
        <v/>
      </c>
      <c r="W86" s="10" t="str">
        <f t="shared" si="70"/>
        <v/>
      </c>
      <c r="X86" s="71"/>
      <c r="Y86" s="10" t="str">
        <f t="shared" si="54"/>
        <v/>
      </c>
      <c r="Z86" s="10" t="str">
        <f t="shared" si="71"/>
        <v/>
      </c>
      <c r="AA86" s="71"/>
      <c r="AB86" s="10" t="str">
        <f t="shared" si="55"/>
        <v/>
      </c>
      <c r="AC86" s="10" t="str">
        <f t="shared" si="72"/>
        <v/>
      </c>
      <c r="AD86" s="71"/>
      <c r="AE86" s="10" t="str">
        <f t="shared" si="56"/>
        <v/>
      </c>
      <c r="AF86" s="10" t="str">
        <f t="shared" si="73"/>
        <v/>
      </c>
      <c r="AG86" s="71"/>
      <c r="AH86" s="10" t="str">
        <f t="shared" si="57"/>
        <v/>
      </c>
      <c r="AI86" s="10" t="str">
        <f t="shared" si="74"/>
        <v/>
      </c>
      <c r="AJ86" s="71"/>
      <c r="AK86" s="10" t="str">
        <f t="shared" si="75"/>
        <v/>
      </c>
      <c r="AL86" s="10" t="str">
        <f t="shared" si="76"/>
        <v/>
      </c>
      <c r="AM86" s="71"/>
      <c r="AN86" s="10" t="str">
        <f t="shared" si="58"/>
        <v/>
      </c>
      <c r="AO86" s="10" t="str">
        <f t="shared" si="77"/>
        <v/>
      </c>
      <c r="AP86" s="71"/>
      <c r="AQ86" s="10" t="str">
        <f t="shared" si="59"/>
        <v/>
      </c>
      <c r="AR86" s="10" t="str">
        <f t="shared" si="78"/>
        <v/>
      </c>
      <c r="AS86" s="71"/>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U86" s="71"/>
      <c r="AV86" s="10" t="str">
        <f t="shared" si="60"/>
        <v/>
      </c>
      <c r="AW86" s="10" t="str">
        <f t="shared" si="61"/>
        <v/>
      </c>
      <c r="AX86" s="71"/>
      <c r="AY86" s="7" t="str">
        <f>IF(ISERROR(IF($K86&lt;=$F$15,VLOOKUP($I86,'表4）CO2価格'!$A$7:$E$67,VLOOKUP($F$48,'表4）CO2価格'!$H$10:$I$12,2,0),0)*$F$8/1000,"")),0,IF($K86&lt;=$F$15,VLOOKUP($I86,'表4）CO2価格'!$A$7:$E$67,VLOOKUP($F$48,'表4）CO2価格'!$H$10:$I$12,2,0),0)*$F$8/1000,""))</f>
        <v/>
      </c>
      <c r="AZ86" s="71"/>
      <c r="BA86" s="11" t="str">
        <f t="shared" si="62"/>
        <v/>
      </c>
      <c r="BB86" s="10" t="str">
        <f t="shared" si="79"/>
        <v/>
      </c>
      <c r="BC86" s="71"/>
      <c r="BD86" s="10" t="str">
        <f t="shared" si="63"/>
        <v/>
      </c>
      <c r="BE86" s="10" t="str">
        <f t="shared" si="80"/>
        <v/>
      </c>
      <c r="BF86" s="71"/>
      <c r="BG86" s="11" t="str">
        <f t="shared" si="64"/>
        <v/>
      </c>
      <c r="BH86" s="10" t="str">
        <f t="shared" si="81"/>
        <v/>
      </c>
      <c r="BJ86" s="7" t="str">
        <f t="shared" si="82"/>
        <v/>
      </c>
      <c r="BK86" s="158" t="str">
        <f t="shared" si="83"/>
        <v/>
      </c>
      <c r="BL86" s="158" t="str">
        <f t="shared" si="65"/>
        <v/>
      </c>
      <c r="BM86" s="10"/>
      <c r="BN86" s="10" t="str">
        <f t="shared" si="84"/>
        <v/>
      </c>
      <c r="BO86" s="10" t="str">
        <f t="shared" si="85"/>
        <v/>
      </c>
      <c r="BQ86" s="10" t="str">
        <f t="shared" si="66"/>
        <v/>
      </c>
      <c r="BR86" s="10" t="str">
        <f t="shared" si="86"/>
        <v/>
      </c>
    </row>
    <row r="87" spans="4:70" x14ac:dyDescent="0.15">
      <c r="E87" s="81" t="s">
        <v>141</v>
      </c>
      <c r="F87" s="91">
        <f>AI116/$BR$116</f>
        <v>0</v>
      </c>
      <c r="G87" s="81" t="s">
        <v>132</v>
      </c>
      <c r="I87" s="458">
        <f t="shared" si="87"/>
        <v>2092</v>
      </c>
      <c r="J87" s="470"/>
      <c r="K87" s="470">
        <f t="shared" si="88"/>
        <v>73</v>
      </c>
      <c r="L87" s="39"/>
      <c r="M87" s="40">
        <f t="shared" si="51"/>
        <v>0.11557997508786232</v>
      </c>
      <c r="N87" s="39"/>
      <c r="O87" s="72" t="str">
        <f t="shared" si="67"/>
        <v/>
      </c>
      <c r="P87" s="41" t="str">
        <f t="shared" si="52"/>
        <v/>
      </c>
      <c r="Q87" s="39"/>
      <c r="R87" s="72" t="str">
        <f t="shared" si="68"/>
        <v/>
      </c>
      <c r="S87" s="39"/>
      <c r="T87" s="72" t="str">
        <f t="shared" si="69"/>
        <v/>
      </c>
      <c r="U87" s="39"/>
      <c r="V87" s="72" t="str">
        <f t="shared" si="53"/>
        <v/>
      </c>
      <c r="W87" s="72" t="str">
        <f t="shared" si="70"/>
        <v/>
      </c>
      <c r="X87" s="39"/>
      <c r="Y87" s="72" t="str">
        <f t="shared" si="54"/>
        <v/>
      </c>
      <c r="Z87" s="72" t="str">
        <f t="shared" si="71"/>
        <v/>
      </c>
      <c r="AA87" s="39"/>
      <c r="AB87" s="72" t="str">
        <f t="shared" si="55"/>
        <v/>
      </c>
      <c r="AC87" s="72" t="str">
        <f t="shared" si="72"/>
        <v/>
      </c>
      <c r="AD87" s="39"/>
      <c r="AE87" s="72" t="str">
        <f t="shared" si="56"/>
        <v/>
      </c>
      <c r="AF87" s="72" t="str">
        <f t="shared" si="73"/>
        <v/>
      </c>
      <c r="AG87" s="39"/>
      <c r="AH87" s="72" t="str">
        <f t="shared" si="57"/>
        <v/>
      </c>
      <c r="AI87" s="72" t="str">
        <f t="shared" si="74"/>
        <v/>
      </c>
      <c r="AJ87" s="39"/>
      <c r="AK87" s="72" t="str">
        <f t="shared" si="75"/>
        <v/>
      </c>
      <c r="AL87" s="72" t="str">
        <f t="shared" si="76"/>
        <v/>
      </c>
      <c r="AM87" s="39"/>
      <c r="AN87" s="72" t="str">
        <f t="shared" si="58"/>
        <v/>
      </c>
      <c r="AO87" s="72" t="str">
        <f t="shared" si="77"/>
        <v/>
      </c>
      <c r="AP87" s="39"/>
      <c r="AQ87" s="72" t="str">
        <f t="shared" si="59"/>
        <v/>
      </c>
      <c r="AR87" s="72" t="str">
        <f t="shared" si="78"/>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60"/>
        <v/>
      </c>
      <c r="AW87" s="72" t="str">
        <f t="shared" si="61"/>
        <v/>
      </c>
      <c r="AX87" s="39"/>
      <c r="AY87" s="40" t="str">
        <f>IF(ISERROR(IF($K87&lt;=$F$15,VLOOKUP($I87,'表4）CO2価格'!$A$7:$E$67,VLOOKUP($F$48,'表4）CO2価格'!$H$10:$I$12,2,0),0)*$F$8/1000,"")),0,IF($K87&lt;=$F$15,VLOOKUP($I87,'表4）CO2価格'!$A$7:$E$67,VLOOKUP($F$48,'表4）CO2価格'!$H$10:$I$12,2,0),0)*$F$8/1000,""))</f>
        <v/>
      </c>
      <c r="AZ87" s="39"/>
      <c r="BA87" s="42" t="str">
        <f t="shared" si="62"/>
        <v/>
      </c>
      <c r="BB87" s="72" t="str">
        <f t="shared" si="79"/>
        <v/>
      </c>
      <c r="BC87" s="39"/>
      <c r="BD87" s="72" t="str">
        <f t="shared" si="63"/>
        <v/>
      </c>
      <c r="BE87" s="72" t="str">
        <f t="shared" si="80"/>
        <v/>
      </c>
      <c r="BF87" s="39"/>
      <c r="BG87" s="42" t="str">
        <f t="shared" si="64"/>
        <v/>
      </c>
      <c r="BH87" s="72" t="str">
        <f t="shared" si="81"/>
        <v/>
      </c>
      <c r="BI87" s="39"/>
      <c r="BJ87" s="40" t="str">
        <f t="shared" si="82"/>
        <v/>
      </c>
      <c r="BK87" s="157" t="str">
        <f t="shared" si="83"/>
        <v/>
      </c>
      <c r="BL87" s="157" t="str">
        <f t="shared" si="65"/>
        <v/>
      </c>
      <c r="BM87" s="72"/>
      <c r="BN87" s="72" t="str">
        <f t="shared" si="84"/>
        <v/>
      </c>
      <c r="BO87" s="72" t="str">
        <f t="shared" si="85"/>
        <v/>
      </c>
      <c r="BP87" s="39"/>
      <c r="BQ87" s="72" t="str">
        <f t="shared" si="66"/>
        <v/>
      </c>
      <c r="BR87" s="72" t="str">
        <f t="shared" si="86"/>
        <v/>
      </c>
    </row>
    <row r="88" spans="4:70" x14ac:dyDescent="0.15">
      <c r="E88" s="81" t="s">
        <v>120</v>
      </c>
      <c r="F88" s="91">
        <f>AL116/$BR$116</f>
        <v>1.616080659335569</v>
      </c>
      <c r="G88" s="81" t="s">
        <v>132</v>
      </c>
      <c r="I88" s="459">
        <f t="shared" si="87"/>
        <v>2093</v>
      </c>
      <c r="K88" s="9">
        <f t="shared" si="88"/>
        <v>74</v>
      </c>
      <c r="L88" s="71"/>
      <c r="M88" s="7">
        <f t="shared" si="51"/>
        <v>0.11221356804646829</v>
      </c>
      <c r="N88" s="71"/>
      <c r="O88" s="10" t="str">
        <f t="shared" si="67"/>
        <v/>
      </c>
      <c r="P88" s="29" t="str">
        <f t="shared" si="52"/>
        <v/>
      </c>
      <c r="Q88" s="71"/>
      <c r="R88" s="10" t="str">
        <f t="shared" si="68"/>
        <v/>
      </c>
      <c r="S88" s="71"/>
      <c r="T88" s="10" t="str">
        <f t="shared" si="69"/>
        <v/>
      </c>
      <c r="U88" s="71"/>
      <c r="V88" s="10" t="str">
        <f t="shared" si="53"/>
        <v/>
      </c>
      <c r="W88" s="10" t="str">
        <f t="shared" si="70"/>
        <v/>
      </c>
      <c r="X88" s="71"/>
      <c r="Y88" s="10" t="str">
        <f t="shared" si="54"/>
        <v/>
      </c>
      <c r="Z88" s="10" t="str">
        <f t="shared" si="71"/>
        <v/>
      </c>
      <c r="AA88" s="71"/>
      <c r="AB88" s="10" t="str">
        <f t="shared" si="55"/>
        <v/>
      </c>
      <c r="AC88" s="10" t="str">
        <f t="shared" si="72"/>
        <v/>
      </c>
      <c r="AD88" s="71"/>
      <c r="AE88" s="10" t="str">
        <f t="shared" si="56"/>
        <v/>
      </c>
      <c r="AF88" s="10" t="str">
        <f t="shared" si="73"/>
        <v/>
      </c>
      <c r="AG88" s="71"/>
      <c r="AH88" s="10" t="str">
        <f t="shared" si="57"/>
        <v/>
      </c>
      <c r="AI88" s="10" t="str">
        <f t="shared" si="74"/>
        <v/>
      </c>
      <c r="AJ88" s="71"/>
      <c r="AK88" s="10" t="str">
        <f t="shared" si="75"/>
        <v/>
      </c>
      <c r="AL88" s="10" t="str">
        <f t="shared" si="76"/>
        <v/>
      </c>
      <c r="AM88" s="71"/>
      <c r="AN88" s="10" t="str">
        <f t="shared" si="58"/>
        <v/>
      </c>
      <c r="AO88" s="10" t="str">
        <f t="shared" si="77"/>
        <v/>
      </c>
      <c r="AP88" s="71"/>
      <c r="AQ88" s="10" t="str">
        <f t="shared" si="59"/>
        <v/>
      </c>
      <c r="AR88" s="10" t="str">
        <f t="shared" si="78"/>
        <v/>
      </c>
      <c r="AS88" s="71"/>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U88" s="71"/>
      <c r="AV88" s="10" t="str">
        <f t="shared" si="60"/>
        <v/>
      </c>
      <c r="AW88" s="10" t="str">
        <f t="shared" si="61"/>
        <v/>
      </c>
      <c r="AX88" s="71"/>
      <c r="AY88" s="7" t="str">
        <f>IF(ISERROR(IF($K88&lt;=$F$15,VLOOKUP($I88,'表4）CO2価格'!$A$7:$E$67,VLOOKUP($F$48,'表4）CO2価格'!$H$10:$I$12,2,0),0)*$F$8/1000,"")),0,IF($K88&lt;=$F$15,VLOOKUP($I88,'表4）CO2価格'!$A$7:$E$67,VLOOKUP($F$48,'表4）CO2価格'!$H$10:$I$12,2,0),0)*$F$8/1000,""))</f>
        <v/>
      </c>
      <c r="AZ88" s="71"/>
      <c r="BA88" s="11" t="str">
        <f t="shared" si="62"/>
        <v/>
      </c>
      <c r="BB88" s="10" t="str">
        <f t="shared" si="79"/>
        <v/>
      </c>
      <c r="BC88" s="71"/>
      <c r="BD88" s="10" t="str">
        <f t="shared" si="63"/>
        <v/>
      </c>
      <c r="BE88" s="10" t="str">
        <f t="shared" si="80"/>
        <v/>
      </c>
      <c r="BF88" s="71"/>
      <c r="BG88" s="11" t="str">
        <f t="shared" si="64"/>
        <v/>
      </c>
      <c r="BH88" s="10" t="str">
        <f t="shared" si="81"/>
        <v/>
      </c>
      <c r="BJ88" s="7" t="str">
        <f t="shared" si="82"/>
        <v/>
      </c>
      <c r="BK88" s="158" t="str">
        <f t="shared" si="83"/>
        <v/>
      </c>
      <c r="BL88" s="158" t="str">
        <f t="shared" si="65"/>
        <v/>
      </c>
      <c r="BM88" s="10"/>
      <c r="BN88" s="10" t="str">
        <f t="shared" si="84"/>
        <v/>
      </c>
      <c r="BO88" s="10" t="str">
        <f t="shared" si="85"/>
        <v/>
      </c>
      <c r="BQ88" s="10" t="str">
        <f t="shared" si="66"/>
        <v/>
      </c>
      <c r="BR88" s="10" t="str">
        <f t="shared" si="86"/>
        <v/>
      </c>
    </row>
    <row r="89" spans="4:70" x14ac:dyDescent="0.15">
      <c r="E89" s="81" t="s">
        <v>122</v>
      </c>
      <c r="F89" s="91">
        <f>AO116/$BR$116</f>
        <v>0</v>
      </c>
      <c r="G89" s="81" t="s">
        <v>132</v>
      </c>
      <c r="I89" s="458">
        <f t="shared" si="87"/>
        <v>2094</v>
      </c>
      <c r="J89" s="470"/>
      <c r="K89" s="470">
        <f t="shared" si="88"/>
        <v>75</v>
      </c>
      <c r="L89" s="39"/>
      <c r="M89" s="40">
        <f t="shared" si="51"/>
        <v>0.10894521169560026</v>
      </c>
      <c r="N89" s="39"/>
      <c r="O89" s="72" t="str">
        <f t="shared" si="67"/>
        <v/>
      </c>
      <c r="P89" s="41" t="str">
        <f t="shared" si="52"/>
        <v/>
      </c>
      <c r="Q89" s="39"/>
      <c r="R89" s="72" t="str">
        <f t="shared" si="68"/>
        <v/>
      </c>
      <c r="S89" s="39"/>
      <c r="T89" s="72" t="str">
        <f t="shared" si="69"/>
        <v/>
      </c>
      <c r="U89" s="39"/>
      <c r="V89" s="72" t="str">
        <f t="shared" si="53"/>
        <v/>
      </c>
      <c r="W89" s="72" t="str">
        <f t="shared" si="70"/>
        <v/>
      </c>
      <c r="X89" s="39"/>
      <c r="Y89" s="72" t="str">
        <f t="shared" si="54"/>
        <v/>
      </c>
      <c r="Z89" s="72" t="str">
        <f t="shared" si="71"/>
        <v/>
      </c>
      <c r="AA89" s="39"/>
      <c r="AB89" s="72" t="str">
        <f t="shared" si="55"/>
        <v/>
      </c>
      <c r="AC89" s="72" t="str">
        <f t="shared" si="72"/>
        <v/>
      </c>
      <c r="AD89" s="39"/>
      <c r="AE89" s="72" t="str">
        <f t="shared" si="56"/>
        <v/>
      </c>
      <c r="AF89" s="72" t="str">
        <f t="shared" si="73"/>
        <v/>
      </c>
      <c r="AG89" s="39"/>
      <c r="AH89" s="72" t="str">
        <f t="shared" si="57"/>
        <v/>
      </c>
      <c r="AI89" s="72" t="str">
        <f t="shared" si="74"/>
        <v/>
      </c>
      <c r="AJ89" s="39"/>
      <c r="AK89" s="72" t="str">
        <f t="shared" si="75"/>
        <v/>
      </c>
      <c r="AL89" s="72" t="str">
        <f t="shared" si="76"/>
        <v/>
      </c>
      <c r="AM89" s="39"/>
      <c r="AN89" s="72" t="str">
        <f t="shared" si="58"/>
        <v/>
      </c>
      <c r="AO89" s="72" t="str">
        <f t="shared" si="77"/>
        <v/>
      </c>
      <c r="AP89" s="39"/>
      <c r="AQ89" s="72" t="str">
        <f t="shared" si="59"/>
        <v/>
      </c>
      <c r="AR89" s="72" t="str">
        <f t="shared" si="78"/>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60"/>
        <v/>
      </c>
      <c r="AW89" s="72" t="str">
        <f t="shared" si="61"/>
        <v/>
      </c>
      <c r="AX89" s="39"/>
      <c r="AY89" s="40" t="str">
        <f>IF(ISERROR(IF($K89&lt;=$F$15,VLOOKUP($I89,'表4）CO2価格'!$A$7:$E$67,VLOOKUP($F$48,'表4）CO2価格'!$H$10:$I$12,2,0),0)*$F$8/1000,"")),0,IF($K89&lt;=$F$15,VLOOKUP($I89,'表4）CO2価格'!$A$7:$E$67,VLOOKUP($F$48,'表4）CO2価格'!$H$10:$I$12,2,0),0)*$F$8/1000,""))</f>
        <v/>
      </c>
      <c r="AZ89" s="39"/>
      <c r="BA89" s="42" t="str">
        <f t="shared" si="62"/>
        <v/>
      </c>
      <c r="BB89" s="72" t="str">
        <f t="shared" si="79"/>
        <v/>
      </c>
      <c r="BC89" s="39"/>
      <c r="BD89" s="72" t="str">
        <f t="shared" si="63"/>
        <v/>
      </c>
      <c r="BE89" s="72" t="str">
        <f t="shared" si="80"/>
        <v/>
      </c>
      <c r="BF89" s="39"/>
      <c r="BG89" s="42" t="str">
        <f t="shared" si="64"/>
        <v/>
      </c>
      <c r="BH89" s="72" t="str">
        <f t="shared" si="81"/>
        <v/>
      </c>
      <c r="BI89" s="39"/>
      <c r="BJ89" s="40" t="str">
        <f t="shared" si="82"/>
        <v/>
      </c>
      <c r="BK89" s="157" t="str">
        <f t="shared" si="83"/>
        <v/>
      </c>
      <c r="BL89" s="157" t="str">
        <f t="shared" si="65"/>
        <v/>
      </c>
      <c r="BM89" s="72"/>
      <c r="BN89" s="72" t="str">
        <f t="shared" si="84"/>
        <v/>
      </c>
      <c r="BO89" s="72" t="str">
        <f t="shared" si="85"/>
        <v/>
      </c>
      <c r="BP89" s="39"/>
      <c r="BQ89" s="72" t="str">
        <f t="shared" si="66"/>
        <v/>
      </c>
      <c r="BR89" s="72" t="str">
        <f t="shared" si="86"/>
        <v/>
      </c>
    </row>
    <row r="90" spans="4:70" x14ac:dyDescent="0.15">
      <c r="E90" s="81" t="s">
        <v>142</v>
      </c>
      <c r="F90" s="91">
        <f>AR116/$BR$116</f>
        <v>0</v>
      </c>
      <c r="G90" s="81" t="s">
        <v>132</v>
      </c>
      <c r="I90" s="459">
        <f t="shared" si="87"/>
        <v>2095</v>
      </c>
      <c r="K90" s="9">
        <f t="shared" si="88"/>
        <v>76</v>
      </c>
      <c r="L90" s="71"/>
      <c r="M90" s="7">
        <f t="shared" si="51"/>
        <v>0.10577205018990318</v>
      </c>
      <c r="N90" s="71"/>
      <c r="O90" s="10" t="str">
        <f t="shared" si="67"/>
        <v/>
      </c>
      <c r="P90" s="29" t="str">
        <f t="shared" si="52"/>
        <v/>
      </c>
      <c r="Q90" s="71"/>
      <c r="R90" s="10" t="str">
        <f t="shared" si="68"/>
        <v/>
      </c>
      <c r="S90" s="71"/>
      <c r="T90" s="10" t="str">
        <f t="shared" si="69"/>
        <v/>
      </c>
      <c r="U90" s="71"/>
      <c r="V90" s="10" t="str">
        <f t="shared" si="53"/>
        <v/>
      </c>
      <c r="W90" s="10" t="str">
        <f t="shared" si="70"/>
        <v/>
      </c>
      <c r="X90" s="71"/>
      <c r="Y90" s="10" t="str">
        <f t="shared" si="54"/>
        <v/>
      </c>
      <c r="Z90" s="10" t="str">
        <f t="shared" si="71"/>
        <v/>
      </c>
      <c r="AA90" s="71"/>
      <c r="AB90" s="10" t="str">
        <f t="shared" si="55"/>
        <v/>
      </c>
      <c r="AC90" s="10" t="str">
        <f t="shared" si="72"/>
        <v/>
      </c>
      <c r="AD90" s="71"/>
      <c r="AE90" s="10" t="str">
        <f t="shared" si="56"/>
        <v/>
      </c>
      <c r="AF90" s="10" t="str">
        <f t="shared" si="73"/>
        <v/>
      </c>
      <c r="AG90" s="71"/>
      <c r="AH90" s="10" t="str">
        <f t="shared" si="57"/>
        <v/>
      </c>
      <c r="AI90" s="10" t="str">
        <f t="shared" si="74"/>
        <v/>
      </c>
      <c r="AJ90" s="71"/>
      <c r="AK90" s="10" t="str">
        <f t="shared" si="75"/>
        <v/>
      </c>
      <c r="AL90" s="10" t="str">
        <f t="shared" si="76"/>
        <v/>
      </c>
      <c r="AM90" s="71"/>
      <c r="AN90" s="10" t="str">
        <f t="shared" si="58"/>
        <v/>
      </c>
      <c r="AO90" s="10" t="str">
        <f t="shared" si="77"/>
        <v/>
      </c>
      <c r="AP90" s="71"/>
      <c r="AQ90" s="10" t="str">
        <f t="shared" si="59"/>
        <v/>
      </c>
      <c r="AR90" s="10" t="str">
        <f t="shared" si="78"/>
        <v/>
      </c>
      <c r="AS90" s="71"/>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U90" s="71"/>
      <c r="AV90" s="10" t="str">
        <f t="shared" si="60"/>
        <v/>
      </c>
      <c r="AW90" s="10" t="str">
        <f t="shared" si="61"/>
        <v/>
      </c>
      <c r="AX90" s="71"/>
      <c r="AY90" s="7" t="str">
        <f>IF(ISERROR(IF($K90&lt;=$F$15,VLOOKUP($I90,'表4）CO2価格'!$A$7:$E$67,VLOOKUP($F$48,'表4）CO2価格'!$H$10:$I$12,2,0),0)*$F$8/1000,"")),0,IF($K90&lt;=$F$15,VLOOKUP($I90,'表4）CO2価格'!$A$7:$E$67,VLOOKUP($F$48,'表4）CO2価格'!$H$10:$I$12,2,0),0)*$F$8/1000,""))</f>
        <v/>
      </c>
      <c r="AZ90" s="71"/>
      <c r="BA90" s="11" t="str">
        <f t="shared" si="62"/>
        <v/>
      </c>
      <c r="BB90" s="10" t="str">
        <f t="shared" si="79"/>
        <v/>
      </c>
      <c r="BC90" s="71"/>
      <c r="BD90" s="10" t="str">
        <f t="shared" si="63"/>
        <v/>
      </c>
      <c r="BE90" s="10" t="str">
        <f t="shared" si="80"/>
        <v/>
      </c>
      <c r="BF90" s="71"/>
      <c r="BG90" s="11" t="str">
        <f t="shared" si="64"/>
        <v/>
      </c>
      <c r="BH90" s="10" t="str">
        <f t="shared" si="81"/>
        <v/>
      </c>
      <c r="BJ90" s="7" t="str">
        <f t="shared" si="82"/>
        <v/>
      </c>
      <c r="BK90" s="158" t="str">
        <f t="shared" si="83"/>
        <v/>
      </c>
      <c r="BL90" s="158" t="str">
        <f t="shared" si="65"/>
        <v/>
      </c>
      <c r="BM90" s="10"/>
      <c r="BN90" s="10" t="str">
        <f t="shared" si="84"/>
        <v/>
      </c>
      <c r="BO90" s="10" t="str">
        <f t="shared" si="85"/>
        <v/>
      </c>
      <c r="BQ90" s="10" t="str">
        <f t="shared" si="66"/>
        <v/>
      </c>
      <c r="BR90" s="10" t="str">
        <f t="shared" si="86"/>
        <v/>
      </c>
    </row>
    <row r="91" spans="4:70" x14ac:dyDescent="0.15">
      <c r="F91" s="93"/>
      <c r="I91" s="458">
        <f t="shared" si="87"/>
        <v>2096</v>
      </c>
      <c r="J91" s="470"/>
      <c r="K91" s="470">
        <f t="shared" si="88"/>
        <v>77</v>
      </c>
      <c r="L91" s="39"/>
      <c r="M91" s="40">
        <f t="shared" si="51"/>
        <v>0.10269131086398368</v>
      </c>
      <c r="N91" s="39"/>
      <c r="O91" s="72" t="str">
        <f t="shared" si="67"/>
        <v/>
      </c>
      <c r="P91" s="41" t="str">
        <f t="shared" si="52"/>
        <v/>
      </c>
      <c r="Q91" s="39"/>
      <c r="R91" s="72" t="str">
        <f t="shared" si="68"/>
        <v/>
      </c>
      <c r="S91" s="39"/>
      <c r="T91" s="72" t="str">
        <f t="shared" si="69"/>
        <v/>
      </c>
      <c r="U91" s="39"/>
      <c r="V91" s="72" t="str">
        <f t="shared" si="53"/>
        <v/>
      </c>
      <c r="W91" s="72" t="str">
        <f t="shared" si="70"/>
        <v/>
      </c>
      <c r="X91" s="39"/>
      <c r="Y91" s="72" t="str">
        <f t="shared" si="54"/>
        <v/>
      </c>
      <c r="Z91" s="72" t="str">
        <f t="shared" si="71"/>
        <v/>
      </c>
      <c r="AA91" s="39"/>
      <c r="AB91" s="72" t="str">
        <f t="shared" si="55"/>
        <v/>
      </c>
      <c r="AC91" s="72" t="str">
        <f t="shared" si="72"/>
        <v/>
      </c>
      <c r="AD91" s="39"/>
      <c r="AE91" s="72" t="str">
        <f t="shared" si="56"/>
        <v/>
      </c>
      <c r="AF91" s="72" t="str">
        <f t="shared" si="73"/>
        <v/>
      </c>
      <c r="AG91" s="39"/>
      <c r="AH91" s="72" t="str">
        <f t="shared" si="57"/>
        <v/>
      </c>
      <c r="AI91" s="72" t="str">
        <f t="shared" si="74"/>
        <v/>
      </c>
      <c r="AJ91" s="39"/>
      <c r="AK91" s="72" t="str">
        <f t="shared" si="75"/>
        <v/>
      </c>
      <c r="AL91" s="72" t="str">
        <f t="shared" si="76"/>
        <v/>
      </c>
      <c r="AM91" s="39"/>
      <c r="AN91" s="72" t="str">
        <f t="shared" si="58"/>
        <v/>
      </c>
      <c r="AO91" s="72" t="str">
        <f t="shared" si="77"/>
        <v/>
      </c>
      <c r="AP91" s="39"/>
      <c r="AQ91" s="72" t="str">
        <f t="shared" si="59"/>
        <v/>
      </c>
      <c r="AR91" s="72" t="str">
        <f t="shared" si="78"/>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60"/>
        <v/>
      </c>
      <c r="AW91" s="72" t="str">
        <f t="shared" si="61"/>
        <v/>
      </c>
      <c r="AX91" s="39"/>
      <c r="AY91" s="40" t="str">
        <f>IF(ISERROR(IF($K91&lt;=$F$15,VLOOKUP($I91,'表4）CO2価格'!$A$7:$E$67,VLOOKUP($F$48,'表4）CO2価格'!$H$10:$I$12,2,0),0)*$F$8/1000,"")),0,IF($K91&lt;=$F$15,VLOOKUP($I91,'表4）CO2価格'!$A$7:$E$67,VLOOKUP($F$48,'表4）CO2価格'!$H$10:$I$12,2,0),0)*$F$8/1000,""))</f>
        <v/>
      </c>
      <c r="AZ91" s="39"/>
      <c r="BA91" s="42" t="str">
        <f t="shared" si="62"/>
        <v/>
      </c>
      <c r="BB91" s="72" t="str">
        <f t="shared" si="79"/>
        <v/>
      </c>
      <c r="BC91" s="39"/>
      <c r="BD91" s="72" t="str">
        <f t="shared" si="63"/>
        <v/>
      </c>
      <c r="BE91" s="72" t="str">
        <f t="shared" si="80"/>
        <v/>
      </c>
      <c r="BF91" s="39"/>
      <c r="BG91" s="42" t="str">
        <f t="shared" si="64"/>
        <v/>
      </c>
      <c r="BH91" s="72" t="str">
        <f t="shared" si="81"/>
        <v/>
      </c>
      <c r="BI91" s="39"/>
      <c r="BJ91" s="40" t="str">
        <f t="shared" si="82"/>
        <v/>
      </c>
      <c r="BK91" s="157" t="str">
        <f t="shared" si="83"/>
        <v/>
      </c>
      <c r="BL91" s="157" t="str">
        <f t="shared" si="65"/>
        <v/>
      </c>
      <c r="BM91" s="72"/>
      <c r="BN91" s="72" t="str">
        <f t="shared" si="84"/>
        <v/>
      </c>
      <c r="BO91" s="72" t="str">
        <f t="shared" si="85"/>
        <v/>
      </c>
      <c r="BP91" s="39"/>
      <c r="BQ91" s="72" t="str">
        <f t="shared" si="66"/>
        <v/>
      </c>
      <c r="BR91" s="72" t="str">
        <f t="shared" si="86"/>
        <v/>
      </c>
    </row>
    <row r="92" spans="4:70" ht="15" x14ac:dyDescent="0.15">
      <c r="D92" s="116" t="s">
        <v>196</v>
      </c>
      <c r="F92" s="94">
        <f>SUBTOTAL(9,F96:F97)</f>
        <v>8.6008187795712097</v>
      </c>
      <c r="I92" s="459">
        <f t="shared" si="87"/>
        <v>2097</v>
      </c>
      <c r="K92" s="9">
        <f t="shared" si="88"/>
        <v>78</v>
      </c>
      <c r="L92" s="71"/>
      <c r="M92" s="7">
        <f t="shared" si="51"/>
        <v>9.9700301809692873E-2</v>
      </c>
      <c r="N92" s="71"/>
      <c r="O92" s="10" t="str">
        <f t="shared" si="67"/>
        <v/>
      </c>
      <c r="P92" s="29" t="str">
        <f t="shared" si="52"/>
        <v/>
      </c>
      <c r="Q92" s="71"/>
      <c r="R92" s="10" t="str">
        <f t="shared" si="68"/>
        <v/>
      </c>
      <c r="S92" s="71"/>
      <c r="T92" s="10" t="str">
        <f t="shared" si="69"/>
        <v/>
      </c>
      <c r="U92" s="71"/>
      <c r="V92" s="10" t="str">
        <f t="shared" si="53"/>
        <v/>
      </c>
      <c r="W92" s="10" t="str">
        <f t="shared" si="70"/>
        <v/>
      </c>
      <c r="X92" s="71"/>
      <c r="Y92" s="10" t="str">
        <f t="shared" si="54"/>
        <v/>
      </c>
      <c r="Z92" s="10" t="str">
        <f t="shared" si="71"/>
        <v/>
      </c>
      <c r="AA92" s="71"/>
      <c r="AB92" s="10" t="str">
        <f t="shared" si="55"/>
        <v/>
      </c>
      <c r="AC92" s="10" t="str">
        <f t="shared" si="72"/>
        <v/>
      </c>
      <c r="AD92" s="71"/>
      <c r="AE92" s="10" t="str">
        <f t="shared" si="56"/>
        <v/>
      </c>
      <c r="AF92" s="10" t="str">
        <f t="shared" si="73"/>
        <v/>
      </c>
      <c r="AG92" s="71"/>
      <c r="AH92" s="10" t="str">
        <f t="shared" si="57"/>
        <v/>
      </c>
      <c r="AI92" s="10" t="str">
        <f t="shared" si="74"/>
        <v/>
      </c>
      <c r="AJ92" s="71"/>
      <c r="AK92" s="10" t="str">
        <f t="shared" si="75"/>
        <v/>
      </c>
      <c r="AL92" s="10" t="str">
        <f t="shared" si="76"/>
        <v/>
      </c>
      <c r="AM92" s="71"/>
      <c r="AN92" s="10" t="str">
        <f t="shared" si="58"/>
        <v/>
      </c>
      <c r="AO92" s="10" t="str">
        <f t="shared" si="77"/>
        <v/>
      </c>
      <c r="AP92" s="71"/>
      <c r="AQ92" s="10" t="str">
        <f t="shared" si="59"/>
        <v/>
      </c>
      <c r="AR92" s="10" t="str">
        <f t="shared" si="78"/>
        <v/>
      </c>
      <c r="AS92" s="71"/>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U92" s="71"/>
      <c r="AV92" s="10" t="str">
        <f t="shared" si="60"/>
        <v/>
      </c>
      <c r="AW92" s="10" t="str">
        <f t="shared" si="61"/>
        <v/>
      </c>
      <c r="AX92" s="71"/>
      <c r="AY92" s="7" t="str">
        <f>IF(ISERROR(IF($K92&lt;=$F$15,VLOOKUP($I92,'表4）CO2価格'!$A$7:$E$67,VLOOKUP($F$48,'表4）CO2価格'!$H$10:$I$12,2,0),0)*$F$8/1000,"")),0,IF($K92&lt;=$F$15,VLOOKUP($I92,'表4）CO2価格'!$A$7:$E$67,VLOOKUP($F$48,'表4）CO2価格'!$H$10:$I$12,2,0),0)*$F$8/1000,""))</f>
        <v/>
      </c>
      <c r="AZ92" s="71"/>
      <c r="BA92" s="11" t="str">
        <f t="shared" si="62"/>
        <v/>
      </c>
      <c r="BB92" s="10" t="str">
        <f t="shared" si="79"/>
        <v/>
      </c>
      <c r="BC92" s="71"/>
      <c r="BD92" s="10" t="str">
        <f t="shared" si="63"/>
        <v/>
      </c>
      <c r="BE92" s="10" t="str">
        <f t="shared" si="80"/>
        <v/>
      </c>
      <c r="BF92" s="71"/>
      <c r="BG92" s="11" t="str">
        <f t="shared" si="64"/>
        <v/>
      </c>
      <c r="BH92" s="10" t="str">
        <f t="shared" si="81"/>
        <v/>
      </c>
      <c r="BJ92" s="7" t="str">
        <f t="shared" si="82"/>
        <v/>
      </c>
      <c r="BK92" s="158" t="str">
        <f t="shared" si="83"/>
        <v/>
      </c>
      <c r="BL92" s="158" t="str">
        <f t="shared" si="65"/>
        <v/>
      </c>
      <c r="BM92" s="10"/>
      <c r="BN92" s="10" t="str">
        <f t="shared" si="84"/>
        <v/>
      </c>
      <c r="BO92" s="10" t="str">
        <f t="shared" si="85"/>
        <v/>
      </c>
      <c r="BQ92" s="10" t="str">
        <f t="shared" si="66"/>
        <v/>
      </c>
      <c r="BR92" s="10" t="str">
        <f t="shared" si="86"/>
        <v/>
      </c>
    </row>
    <row r="93" spans="4:70" ht="15" x14ac:dyDescent="0.15">
      <c r="D93" s="116"/>
      <c r="F93" s="93"/>
      <c r="I93" s="458">
        <f t="shared" si="87"/>
        <v>2098</v>
      </c>
      <c r="J93" s="470"/>
      <c r="K93" s="470">
        <f t="shared" si="88"/>
        <v>79</v>
      </c>
      <c r="L93" s="39"/>
      <c r="M93" s="40">
        <f t="shared" si="51"/>
        <v>9.679640952397367E-2</v>
      </c>
      <c r="N93" s="39"/>
      <c r="O93" s="72" t="str">
        <f t="shared" si="67"/>
        <v/>
      </c>
      <c r="P93" s="41" t="str">
        <f t="shared" si="52"/>
        <v/>
      </c>
      <c r="Q93" s="39"/>
      <c r="R93" s="72" t="str">
        <f t="shared" si="68"/>
        <v/>
      </c>
      <c r="S93" s="39"/>
      <c r="T93" s="72" t="str">
        <f t="shared" si="69"/>
        <v/>
      </c>
      <c r="U93" s="39"/>
      <c r="V93" s="72" t="str">
        <f t="shared" si="53"/>
        <v/>
      </c>
      <c r="W93" s="72" t="str">
        <f t="shared" si="70"/>
        <v/>
      </c>
      <c r="X93" s="39"/>
      <c r="Y93" s="72" t="str">
        <f t="shared" si="54"/>
        <v/>
      </c>
      <c r="Z93" s="72" t="str">
        <f t="shared" si="71"/>
        <v/>
      </c>
      <c r="AA93" s="39"/>
      <c r="AB93" s="72" t="str">
        <f t="shared" si="55"/>
        <v/>
      </c>
      <c r="AC93" s="72" t="str">
        <f t="shared" si="72"/>
        <v/>
      </c>
      <c r="AD93" s="39"/>
      <c r="AE93" s="72" t="str">
        <f t="shared" si="56"/>
        <v/>
      </c>
      <c r="AF93" s="72" t="str">
        <f t="shared" si="73"/>
        <v/>
      </c>
      <c r="AG93" s="39"/>
      <c r="AH93" s="72" t="str">
        <f t="shared" si="57"/>
        <v/>
      </c>
      <c r="AI93" s="72" t="str">
        <f t="shared" si="74"/>
        <v/>
      </c>
      <c r="AJ93" s="39"/>
      <c r="AK93" s="72" t="str">
        <f t="shared" si="75"/>
        <v/>
      </c>
      <c r="AL93" s="72" t="str">
        <f t="shared" si="76"/>
        <v/>
      </c>
      <c r="AM93" s="39"/>
      <c r="AN93" s="72" t="str">
        <f t="shared" si="58"/>
        <v/>
      </c>
      <c r="AO93" s="72" t="str">
        <f t="shared" si="77"/>
        <v/>
      </c>
      <c r="AP93" s="39"/>
      <c r="AQ93" s="72" t="str">
        <f t="shared" si="59"/>
        <v/>
      </c>
      <c r="AR93" s="72" t="str">
        <f t="shared" si="78"/>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60"/>
        <v/>
      </c>
      <c r="AW93" s="72" t="str">
        <f t="shared" si="61"/>
        <v/>
      </c>
      <c r="AX93" s="39"/>
      <c r="AY93" s="40" t="str">
        <f>IF(ISERROR(IF($K93&lt;=$F$15,VLOOKUP($I93,'表4）CO2価格'!$A$7:$E$67,VLOOKUP($F$48,'表4）CO2価格'!$H$10:$I$12,2,0),0)*$F$8/1000,"")),0,IF($K93&lt;=$F$15,VLOOKUP($I93,'表4）CO2価格'!$A$7:$E$67,VLOOKUP($F$48,'表4）CO2価格'!$H$10:$I$12,2,0),0)*$F$8/1000,""))</f>
        <v/>
      </c>
      <c r="AZ93" s="39"/>
      <c r="BA93" s="42" t="str">
        <f t="shared" si="62"/>
        <v/>
      </c>
      <c r="BB93" s="72" t="str">
        <f t="shared" si="79"/>
        <v/>
      </c>
      <c r="BC93" s="39"/>
      <c r="BD93" s="72" t="str">
        <f t="shared" si="63"/>
        <v/>
      </c>
      <c r="BE93" s="72" t="str">
        <f t="shared" si="80"/>
        <v/>
      </c>
      <c r="BF93" s="39"/>
      <c r="BG93" s="42" t="str">
        <f t="shared" si="64"/>
        <v/>
      </c>
      <c r="BH93" s="72" t="str">
        <f t="shared" si="81"/>
        <v/>
      </c>
      <c r="BI93" s="39"/>
      <c r="BJ93" s="40" t="str">
        <f t="shared" si="82"/>
        <v/>
      </c>
      <c r="BK93" s="157" t="str">
        <f t="shared" si="83"/>
        <v/>
      </c>
      <c r="BL93" s="157" t="str">
        <f t="shared" si="65"/>
        <v/>
      </c>
      <c r="BM93" s="72"/>
      <c r="BN93" s="72" t="str">
        <f t="shared" si="84"/>
        <v/>
      </c>
      <c r="BO93" s="72" t="str">
        <f t="shared" si="85"/>
        <v/>
      </c>
      <c r="BP93" s="39"/>
      <c r="BQ93" s="72" t="str">
        <f t="shared" si="66"/>
        <v/>
      </c>
      <c r="BR93" s="72" t="str">
        <f t="shared" si="86"/>
        <v/>
      </c>
    </row>
    <row r="94" spans="4:70" x14ac:dyDescent="0.15">
      <c r="D94" s="101" t="s">
        <v>197</v>
      </c>
      <c r="E94" s="101"/>
      <c r="F94" s="92"/>
      <c r="G94" s="101"/>
      <c r="I94" s="459">
        <f t="shared" si="87"/>
        <v>2099</v>
      </c>
      <c r="K94" s="9">
        <f t="shared" si="88"/>
        <v>80</v>
      </c>
      <c r="L94" s="71"/>
      <c r="M94" s="7">
        <f t="shared" si="51"/>
        <v>9.3977096625217166E-2</v>
      </c>
      <c r="N94" s="71"/>
      <c r="O94" s="10" t="str">
        <f t="shared" si="67"/>
        <v/>
      </c>
      <c r="P94" s="29" t="str">
        <f t="shared" si="52"/>
        <v/>
      </c>
      <c r="Q94" s="71"/>
      <c r="R94" s="10" t="str">
        <f t="shared" si="68"/>
        <v/>
      </c>
      <c r="S94" s="71"/>
      <c r="T94" s="10" t="str">
        <f t="shared" si="69"/>
        <v/>
      </c>
      <c r="U94" s="71"/>
      <c r="V94" s="10" t="str">
        <f t="shared" si="53"/>
        <v/>
      </c>
      <c r="W94" s="10" t="str">
        <f t="shared" si="70"/>
        <v/>
      </c>
      <c r="X94" s="71"/>
      <c r="Y94" s="10" t="str">
        <f t="shared" si="54"/>
        <v/>
      </c>
      <c r="Z94" s="10" t="str">
        <f t="shared" si="71"/>
        <v/>
      </c>
      <c r="AA94" s="71"/>
      <c r="AB94" s="10" t="str">
        <f t="shared" si="55"/>
        <v/>
      </c>
      <c r="AC94" s="10" t="str">
        <f t="shared" si="72"/>
        <v/>
      </c>
      <c r="AD94" s="71"/>
      <c r="AE94" s="10" t="str">
        <f t="shared" si="56"/>
        <v/>
      </c>
      <c r="AF94" s="10" t="str">
        <f t="shared" si="73"/>
        <v/>
      </c>
      <c r="AG94" s="71"/>
      <c r="AH94" s="10" t="str">
        <f t="shared" si="57"/>
        <v/>
      </c>
      <c r="AI94" s="10" t="str">
        <f t="shared" si="74"/>
        <v/>
      </c>
      <c r="AJ94" s="71"/>
      <c r="AK94" s="10" t="str">
        <f t="shared" si="75"/>
        <v/>
      </c>
      <c r="AL94" s="10" t="str">
        <f t="shared" si="76"/>
        <v/>
      </c>
      <c r="AM94" s="71"/>
      <c r="AN94" s="10" t="str">
        <f t="shared" si="58"/>
        <v/>
      </c>
      <c r="AO94" s="10" t="str">
        <f t="shared" si="77"/>
        <v/>
      </c>
      <c r="AP94" s="71"/>
      <c r="AQ94" s="10" t="str">
        <f t="shared" si="59"/>
        <v/>
      </c>
      <c r="AR94" s="10" t="str">
        <f t="shared" si="78"/>
        <v/>
      </c>
      <c r="AS94" s="71"/>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U94" s="71"/>
      <c r="AV94" s="10" t="str">
        <f t="shared" si="60"/>
        <v/>
      </c>
      <c r="AW94" s="10" t="str">
        <f t="shared" si="61"/>
        <v/>
      </c>
      <c r="AX94" s="71"/>
      <c r="AY94" s="7" t="str">
        <f>IF(ISERROR(IF($K94&lt;=$F$15,VLOOKUP($I94,'表4）CO2価格'!$A$7:$E$67,VLOOKUP($F$48,'表4）CO2価格'!$H$10:$I$12,2,0),0)*$F$8/1000,"")),0,IF($K94&lt;=$F$15,VLOOKUP($I94,'表4）CO2価格'!$A$7:$E$67,VLOOKUP($F$48,'表4）CO2価格'!$H$10:$I$12,2,0),0)*$F$8/1000,""))</f>
        <v/>
      </c>
      <c r="AZ94" s="71"/>
      <c r="BA94" s="11" t="str">
        <f t="shared" si="62"/>
        <v/>
      </c>
      <c r="BB94" s="10" t="str">
        <f t="shared" si="79"/>
        <v/>
      </c>
      <c r="BC94" s="71"/>
      <c r="BD94" s="10" t="str">
        <f t="shared" si="63"/>
        <v/>
      </c>
      <c r="BE94" s="10" t="str">
        <f t="shared" si="80"/>
        <v/>
      </c>
      <c r="BF94" s="71"/>
      <c r="BG94" s="11" t="str">
        <f t="shared" si="64"/>
        <v/>
      </c>
      <c r="BH94" s="10" t="str">
        <f t="shared" si="81"/>
        <v/>
      </c>
      <c r="BJ94" s="7" t="str">
        <f t="shared" si="82"/>
        <v/>
      </c>
      <c r="BK94" s="158" t="str">
        <f t="shared" si="83"/>
        <v/>
      </c>
      <c r="BL94" s="158" t="str">
        <f t="shared" si="65"/>
        <v/>
      </c>
      <c r="BM94" s="10"/>
      <c r="BN94" s="10" t="str">
        <f t="shared" si="84"/>
        <v/>
      </c>
      <c r="BO94" s="10" t="str">
        <f t="shared" si="85"/>
        <v/>
      </c>
      <c r="BQ94" s="10" t="str">
        <f t="shared" si="66"/>
        <v/>
      </c>
      <c r="BR94" s="10" t="str">
        <f t="shared" si="86"/>
        <v/>
      </c>
    </row>
    <row r="95" spans="4:70" ht="15" x14ac:dyDescent="0.15">
      <c r="D95" s="116"/>
      <c r="F95" s="93"/>
      <c r="I95" s="458">
        <f t="shared" si="87"/>
        <v>2100</v>
      </c>
      <c r="J95" s="470"/>
      <c r="K95" s="470">
        <f t="shared" si="88"/>
        <v>81</v>
      </c>
      <c r="L95" s="39"/>
      <c r="M95" s="40">
        <f t="shared" si="51"/>
        <v>9.1239899636133173E-2</v>
      </c>
      <c r="N95" s="39"/>
      <c r="O95" s="72" t="str">
        <f t="shared" si="67"/>
        <v/>
      </c>
      <c r="P95" s="41" t="str">
        <f t="shared" si="52"/>
        <v/>
      </c>
      <c r="Q95" s="39"/>
      <c r="R95" s="72" t="str">
        <f t="shared" si="68"/>
        <v/>
      </c>
      <c r="S95" s="39"/>
      <c r="T95" s="72" t="str">
        <f t="shared" si="69"/>
        <v/>
      </c>
      <c r="U95" s="39"/>
      <c r="V95" s="72" t="str">
        <f t="shared" si="53"/>
        <v/>
      </c>
      <c r="W95" s="72" t="str">
        <f t="shared" si="70"/>
        <v/>
      </c>
      <c r="X95" s="39"/>
      <c r="Y95" s="72" t="str">
        <f t="shared" si="54"/>
        <v/>
      </c>
      <c r="Z95" s="72" t="str">
        <f t="shared" si="71"/>
        <v/>
      </c>
      <c r="AA95" s="39"/>
      <c r="AB95" s="72" t="str">
        <f t="shared" si="55"/>
        <v/>
      </c>
      <c r="AC95" s="72" t="str">
        <f t="shared" si="72"/>
        <v/>
      </c>
      <c r="AD95" s="39"/>
      <c r="AE95" s="72" t="str">
        <f t="shared" si="56"/>
        <v/>
      </c>
      <c r="AF95" s="72" t="str">
        <f t="shared" si="73"/>
        <v/>
      </c>
      <c r="AG95" s="39"/>
      <c r="AH95" s="72" t="str">
        <f t="shared" si="57"/>
        <v/>
      </c>
      <c r="AI95" s="72" t="str">
        <f t="shared" si="74"/>
        <v/>
      </c>
      <c r="AJ95" s="39"/>
      <c r="AK95" s="72" t="str">
        <f t="shared" si="75"/>
        <v/>
      </c>
      <c r="AL95" s="72" t="str">
        <f t="shared" si="76"/>
        <v/>
      </c>
      <c r="AM95" s="39"/>
      <c r="AN95" s="72" t="str">
        <f t="shared" si="58"/>
        <v/>
      </c>
      <c r="AO95" s="72" t="str">
        <f t="shared" si="77"/>
        <v/>
      </c>
      <c r="AP95" s="39"/>
      <c r="AQ95" s="72" t="str">
        <f t="shared" si="59"/>
        <v/>
      </c>
      <c r="AR95" s="72" t="str">
        <f t="shared" si="78"/>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60"/>
        <v/>
      </c>
      <c r="AW95" s="72" t="str">
        <f t="shared" si="61"/>
        <v/>
      </c>
      <c r="AX95" s="39"/>
      <c r="AY95" s="40" t="str">
        <f>IF(ISERROR(IF($K95&lt;=$F$15,VLOOKUP($I95,'表4）CO2価格'!$A$7:$E$67,VLOOKUP($F$48,'表4）CO2価格'!$H$10:$I$12,2,0),0)*$F$8/1000,"")),0,IF($K95&lt;=$F$15,VLOOKUP($I95,'表4）CO2価格'!$A$7:$E$67,VLOOKUP($F$48,'表4）CO2価格'!$H$10:$I$12,2,0),0)*$F$8/1000,""))</f>
        <v/>
      </c>
      <c r="AZ95" s="39"/>
      <c r="BA95" s="42" t="str">
        <f t="shared" si="62"/>
        <v/>
      </c>
      <c r="BB95" s="72" t="str">
        <f t="shared" si="79"/>
        <v/>
      </c>
      <c r="BC95" s="39"/>
      <c r="BD95" s="72" t="str">
        <f t="shared" si="63"/>
        <v/>
      </c>
      <c r="BE95" s="72" t="str">
        <f t="shared" si="80"/>
        <v/>
      </c>
      <c r="BF95" s="39"/>
      <c r="BG95" s="42" t="str">
        <f t="shared" si="64"/>
        <v/>
      </c>
      <c r="BH95" s="72" t="str">
        <f t="shared" si="81"/>
        <v/>
      </c>
      <c r="BI95" s="39"/>
      <c r="BJ95" s="40" t="str">
        <f t="shared" si="82"/>
        <v/>
      </c>
      <c r="BK95" s="157" t="str">
        <f t="shared" si="83"/>
        <v/>
      </c>
      <c r="BL95" s="157" t="str">
        <f t="shared" si="65"/>
        <v/>
      </c>
      <c r="BM95" s="72"/>
      <c r="BN95" s="72" t="str">
        <f t="shared" si="84"/>
        <v/>
      </c>
      <c r="BO95" s="72" t="str">
        <f t="shared" si="85"/>
        <v/>
      </c>
      <c r="BP95" s="39"/>
      <c r="BQ95" s="72" t="str">
        <f t="shared" si="66"/>
        <v/>
      </c>
      <c r="BR95" s="72" t="str">
        <f t="shared" si="86"/>
        <v/>
      </c>
    </row>
    <row r="96" spans="4:70" ht="15" x14ac:dyDescent="0.15">
      <c r="D96" s="116"/>
      <c r="E96" s="81" t="s">
        <v>198</v>
      </c>
      <c r="F96" s="91">
        <f>IF(F3&lt;&gt;"原子力",AW116/$BR$116,0)</f>
        <v>8.6008187795712097</v>
      </c>
      <c r="G96" s="81" t="s">
        <v>132</v>
      </c>
      <c r="I96" s="459">
        <f t="shared" si="87"/>
        <v>2101</v>
      </c>
      <c r="K96" s="9">
        <f t="shared" si="88"/>
        <v>82</v>
      </c>
      <c r="L96" s="71"/>
      <c r="M96" s="7">
        <f t="shared" si="51"/>
        <v>8.8582426831197242E-2</v>
      </c>
      <c r="N96" s="71"/>
      <c r="O96" s="10" t="str">
        <f t="shared" si="67"/>
        <v/>
      </c>
      <c r="P96" s="29" t="str">
        <f t="shared" si="52"/>
        <v/>
      </c>
      <c r="Q96" s="71"/>
      <c r="R96" s="10" t="str">
        <f t="shared" si="68"/>
        <v/>
      </c>
      <c r="S96" s="71"/>
      <c r="T96" s="10" t="str">
        <f t="shared" si="69"/>
        <v/>
      </c>
      <c r="U96" s="71"/>
      <c r="V96" s="10" t="str">
        <f t="shared" si="53"/>
        <v/>
      </c>
      <c r="W96" s="10" t="str">
        <f t="shared" si="70"/>
        <v/>
      </c>
      <c r="X96" s="71"/>
      <c r="Y96" s="10" t="str">
        <f t="shared" si="54"/>
        <v/>
      </c>
      <c r="Z96" s="10" t="str">
        <f t="shared" si="71"/>
        <v/>
      </c>
      <c r="AA96" s="71"/>
      <c r="AB96" s="10" t="str">
        <f t="shared" si="55"/>
        <v/>
      </c>
      <c r="AC96" s="10" t="str">
        <f t="shared" si="72"/>
        <v/>
      </c>
      <c r="AD96" s="71"/>
      <c r="AE96" s="10" t="str">
        <f t="shared" si="56"/>
        <v/>
      </c>
      <c r="AF96" s="10" t="str">
        <f t="shared" si="73"/>
        <v/>
      </c>
      <c r="AG96" s="71"/>
      <c r="AH96" s="10" t="str">
        <f t="shared" si="57"/>
        <v/>
      </c>
      <c r="AI96" s="10" t="str">
        <f t="shared" si="74"/>
        <v/>
      </c>
      <c r="AJ96" s="71"/>
      <c r="AK96" s="10" t="str">
        <f t="shared" si="75"/>
        <v/>
      </c>
      <c r="AL96" s="10" t="str">
        <f t="shared" si="76"/>
        <v/>
      </c>
      <c r="AM96" s="71"/>
      <c r="AN96" s="10" t="str">
        <f t="shared" si="58"/>
        <v/>
      </c>
      <c r="AO96" s="10" t="str">
        <f t="shared" si="77"/>
        <v/>
      </c>
      <c r="AP96" s="71"/>
      <c r="AQ96" s="10" t="str">
        <f t="shared" si="59"/>
        <v/>
      </c>
      <c r="AR96" s="10" t="str">
        <f t="shared" si="78"/>
        <v/>
      </c>
      <c r="AS96" s="71"/>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U96" s="71"/>
      <c r="AV96" s="10" t="str">
        <f t="shared" si="60"/>
        <v/>
      </c>
      <c r="AW96" s="10" t="str">
        <f t="shared" si="61"/>
        <v/>
      </c>
      <c r="AX96" s="71"/>
      <c r="AY96" s="7" t="str">
        <f>IF(ISERROR(IF($K96&lt;=$F$15,VLOOKUP($I96,'表4）CO2価格'!$A$7:$E$67,VLOOKUP($F$48,'表4）CO2価格'!$H$10:$I$12,2,0),0)*$F$8/1000,"")),0,IF($K96&lt;=$F$15,VLOOKUP($I96,'表4）CO2価格'!$A$7:$E$67,VLOOKUP($F$48,'表4）CO2価格'!$H$10:$I$12,2,0),0)*$F$8/1000,""))</f>
        <v/>
      </c>
      <c r="AZ96" s="71"/>
      <c r="BA96" s="11" t="str">
        <f t="shared" si="62"/>
        <v/>
      </c>
      <c r="BB96" s="10" t="str">
        <f t="shared" si="79"/>
        <v/>
      </c>
      <c r="BC96" s="71"/>
      <c r="BD96" s="10" t="str">
        <f t="shared" si="63"/>
        <v/>
      </c>
      <c r="BE96" s="10" t="str">
        <f t="shared" si="80"/>
        <v/>
      </c>
      <c r="BF96" s="71"/>
      <c r="BG96" s="11" t="str">
        <f t="shared" si="64"/>
        <v/>
      </c>
      <c r="BH96" s="10" t="str">
        <f t="shared" si="81"/>
        <v/>
      </c>
      <c r="BJ96" s="7" t="str">
        <f t="shared" si="82"/>
        <v/>
      </c>
      <c r="BK96" s="158" t="str">
        <f t="shared" si="83"/>
        <v/>
      </c>
      <c r="BL96" s="158" t="str">
        <f t="shared" si="65"/>
        <v/>
      </c>
      <c r="BM96" s="10"/>
      <c r="BN96" s="10" t="str">
        <f t="shared" si="84"/>
        <v/>
      </c>
      <c r="BO96" s="10" t="str">
        <f t="shared" si="85"/>
        <v/>
      </c>
      <c r="BQ96" s="10" t="str">
        <f t="shared" si="66"/>
        <v/>
      </c>
      <c r="BR96" s="10" t="str">
        <f t="shared" si="86"/>
        <v/>
      </c>
    </row>
    <row r="97" spans="4:70" ht="15" x14ac:dyDescent="0.15">
      <c r="D97" s="116"/>
      <c r="E97" s="81" t="s">
        <v>199</v>
      </c>
      <c r="F97" s="91">
        <f>IF(F3="原子力",#REF!,0)</f>
        <v>0</v>
      </c>
      <c r="G97" s="81" t="s">
        <v>132</v>
      </c>
      <c r="I97" s="458">
        <f t="shared" si="87"/>
        <v>2102</v>
      </c>
      <c r="J97" s="470"/>
      <c r="K97" s="470">
        <f t="shared" si="88"/>
        <v>83</v>
      </c>
      <c r="L97" s="39"/>
      <c r="M97" s="40">
        <f t="shared" si="51"/>
        <v>8.6002356146793454E-2</v>
      </c>
      <c r="N97" s="39"/>
      <c r="O97" s="72" t="str">
        <f t="shared" si="67"/>
        <v/>
      </c>
      <c r="P97" s="41" t="str">
        <f t="shared" si="52"/>
        <v/>
      </c>
      <c r="Q97" s="39"/>
      <c r="R97" s="72" t="str">
        <f t="shared" si="68"/>
        <v/>
      </c>
      <c r="S97" s="39"/>
      <c r="T97" s="72" t="str">
        <f t="shared" si="69"/>
        <v/>
      </c>
      <c r="U97" s="39"/>
      <c r="V97" s="72" t="str">
        <f t="shared" si="53"/>
        <v/>
      </c>
      <c r="W97" s="72" t="str">
        <f t="shared" si="70"/>
        <v/>
      </c>
      <c r="X97" s="39"/>
      <c r="Y97" s="72" t="str">
        <f t="shared" si="54"/>
        <v/>
      </c>
      <c r="Z97" s="72" t="str">
        <f t="shared" si="71"/>
        <v/>
      </c>
      <c r="AA97" s="39"/>
      <c r="AB97" s="72" t="str">
        <f t="shared" si="55"/>
        <v/>
      </c>
      <c r="AC97" s="72" t="str">
        <f t="shared" si="72"/>
        <v/>
      </c>
      <c r="AD97" s="39"/>
      <c r="AE97" s="72" t="str">
        <f t="shared" si="56"/>
        <v/>
      </c>
      <c r="AF97" s="72" t="str">
        <f t="shared" si="73"/>
        <v/>
      </c>
      <c r="AG97" s="39"/>
      <c r="AH97" s="72" t="str">
        <f t="shared" si="57"/>
        <v/>
      </c>
      <c r="AI97" s="72" t="str">
        <f t="shared" si="74"/>
        <v/>
      </c>
      <c r="AJ97" s="39"/>
      <c r="AK97" s="72" t="str">
        <f t="shared" si="75"/>
        <v/>
      </c>
      <c r="AL97" s="72" t="str">
        <f t="shared" si="76"/>
        <v/>
      </c>
      <c r="AM97" s="39"/>
      <c r="AN97" s="72" t="str">
        <f t="shared" si="58"/>
        <v/>
      </c>
      <c r="AO97" s="72" t="str">
        <f t="shared" si="77"/>
        <v/>
      </c>
      <c r="AP97" s="39"/>
      <c r="AQ97" s="72" t="str">
        <f t="shared" si="59"/>
        <v/>
      </c>
      <c r="AR97" s="72" t="str">
        <f t="shared" si="78"/>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60"/>
        <v/>
      </c>
      <c r="AW97" s="72" t="str">
        <f t="shared" si="61"/>
        <v/>
      </c>
      <c r="AX97" s="39"/>
      <c r="AY97" s="40" t="str">
        <f>IF(ISERROR(IF($K97&lt;=$F$15,VLOOKUP($I97,'表4）CO2価格'!$A$7:$E$67,VLOOKUP($F$48,'表4）CO2価格'!$H$10:$I$12,2,0),0)*$F$8/1000,"")),0,IF($K97&lt;=$F$15,VLOOKUP($I97,'表4）CO2価格'!$A$7:$E$67,VLOOKUP($F$48,'表4）CO2価格'!$H$10:$I$12,2,0),0)*$F$8/1000,""))</f>
        <v/>
      </c>
      <c r="AZ97" s="39"/>
      <c r="BA97" s="42" t="str">
        <f t="shared" si="62"/>
        <v/>
      </c>
      <c r="BB97" s="72" t="str">
        <f t="shared" si="79"/>
        <v/>
      </c>
      <c r="BC97" s="39"/>
      <c r="BD97" s="72" t="str">
        <f t="shared" si="63"/>
        <v/>
      </c>
      <c r="BE97" s="72" t="str">
        <f t="shared" si="80"/>
        <v/>
      </c>
      <c r="BF97" s="39"/>
      <c r="BG97" s="42" t="str">
        <f t="shared" si="64"/>
        <v/>
      </c>
      <c r="BH97" s="72" t="str">
        <f t="shared" si="81"/>
        <v/>
      </c>
      <c r="BI97" s="39"/>
      <c r="BJ97" s="40" t="str">
        <f t="shared" si="82"/>
        <v/>
      </c>
      <c r="BK97" s="157" t="str">
        <f t="shared" si="83"/>
        <v/>
      </c>
      <c r="BL97" s="157" t="str">
        <f t="shared" si="65"/>
        <v/>
      </c>
      <c r="BM97" s="72"/>
      <c r="BN97" s="72" t="str">
        <f t="shared" si="84"/>
        <v/>
      </c>
      <c r="BO97" s="72" t="str">
        <f t="shared" si="85"/>
        <v/>
      </c>
      <c r="BP97" s="39"/>
      <c r="BQ97" s="72" t="str">
        <f t="shared" si="66"/>
        <v/>
      </c>
      <c r="BR97" s="72" t="str">
        <f t="shared" si="86"/>
        <v/>
      </c>
    </row>
    <row r="98" spans="4:70" x14ac:dyDescent="0.15">
      <c r="F98" s="93"/>
      <c r="I98" s="459">
        <f t="shared" si="87"/>
        <v>2103</v>
      </c>
      <c r="K98" s="9">
        <f t="shared" si="88"/>
        <v>84</v>
      </c>
      <c r="L98" s="71"/>
      <c r="M98" s="7">
        <f t="shared" si="51"/>
        <v>8.3497433152226644E-2</v>
      </c>
      <c r="N98" s="71"/>
      <c r="O98" s="10" t="str">
        <f t="shared" si="67"/>
        <v/>
      </c>
      <c r="P98" s="29" t="str">
        <f t="shared" si="52"/>
        <v/>
      </c>
      <c r="Q98" s="71"/>
      <c r="R98" s="10" t="str">
        <f t="shared" si="68"/>
        <v/>
      </c>
      <c r="S98" s="71"/>
      <c r="T98" s="10" t="str">
        <f t="shared" si="69"/>
        <v/>
      </c>
      <c r="U98" s="71"/>
      <c r="V98" s="10" t="str">
        <f t="shared" si="53"/>
        <v/>
      </c>
      <c r="W98" s="10" t="str">
        <f t="shared" si="70"/>
        <v/>
      </c>
      <c r="X98" s="71"/>
      <c r="Y98" s="10" t="str">
        <f t="shared" si="54"/>
        <v/>
      </c>
      <c r="Z98" s="10" t="str">
        <f t="shared" si="71"/>
        <v/>
      </c>
      <c r="AA98" s="71"/>
      <c r="AB98" s="10" t="str">
        <f t="shared" si="55"/>
        <v/>
      </c>
      <c r="AC98" s="10" t="str">
        <f t="shared" si="72"/>
        <v/>
      </c>
      <c r="AD98" s="71"/>
      <c r="AE98" s="10" t="str">
        <f t="shared" si="56"/>
        <v/>
      </c>
      <c r="AF98" s="10" t="str">
        <f t="shared" si="73"/>
        <v/>
      </c>
      <c r="AG98" s="71"/>
      <c r="AH98" s="10" t="str">
        <f t="shared" si="57"/>
        <v/>
      </c>
      <c r="AI98" s="10" t="str">
        <f t="shared" si="74"/>
        <v/>
      </c>
      <c r="AJ98" s="71"/>
      <c r="AK98" s="10" t="str">
        <f t="shared" si="75"/>
        <v/>
      </c>
      <c r="AL98" s="10" t="str">
        <f t="shared" si="76"/>
        <v/>
      </c>
      <c r="AM98" s="71"/>
      <c r="AN98" s="10" t="str">
        <f t="shared" si="58"/>
        <v/>
      </c>
      <c r="AO98" s="10" t="str">
        <f t="shared" si="77"/>
        <v/>
      </c>
      <c r="AP98" s="71"/>
      <c r="AQ98" s="10" t="str">
        <f t="shared" si="59"/>
        <v/>
      </c>
      <c r="AR98" s="10" t="str">
        <f t="shared" si="78"/>
        <v/>
      </c>
      <c r="AS98" s="71"/>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U98" s="71"/>
      <c r="AV98" s="10" t="str">
        <f t="shared" si="60"/>
        <v/>
      </c>
      <c r="AW98" s="10" t="str">
        <f t="shared" si="61"/>
        <v/>
      </c>
      <c r="AX98" s="71"/>
      <c r="AY98" s="7" t="str">
        <f>IF(ISERROR(IF($K98&lt;=$F$15,VLOOKUP($I98,'表4）CO2価格'!$A$7:$E$67,VLOOKUP($F$48,'表4）CO2価格'!$H$10:$I$12,2,0),0)*$F$8/1000,"")),0,IF($K98&lt;=$F$15,VLOOKUP($I98,'表4）CO2価格'!$A$7:$E$67,VLOOKUP($F$48,'表4）CO2価格'!$H$10:$I$12,2,0),0)*$F$8/1000,""))</f>
        <v/>
      </c>
      <c r="AZ98" s="71"/>
      <c r="BA98" s="11" t="str">
        <f t="shared" si="62"/>
        <v/>
      </c>
      <c r="BB98" s="10" t="str">
        <f t="shared" si="79"/>
        <v/>
      </c>
      <c r="BC98" s="71"/>
      <c r="BD98" s="10" t="str">
        <f t="shared" si="63"/>
        <v/>
      </c>
      <c r="BE98" s="10" t="str">
        <f t="shared" si="80"/>
        <v/>
      </c>
      <c r="BF98" s="71"/>
      <c r="BG98" s="11" t="str">
        <f t="shared" si="64"/>
        <v/>
      </c>
      <c r="BH98" s="10" t="str">
        <f t="shared" si="81"/>
        <v/>
      </c>
      <c r="BJ98" s="7" t="str">
        <f t="shared" si="82"/>
        <v/>
      </c>
      <c r="BK98" s="158" t="str">
        <f t="shared" si="83"/>
        <v/>
      </c>
      <c r="BL98" s="158" t="str">
        <f t="shared" si="65"/>
        <v/>
      </c>
      <c r="BM98" s="10"/>
      <c r="BN98" s="10" t="str">
        <f t="shared" si="84"/>
        <v/>
      </c>
      <c r="BO98" s="10" t="str">
        <f t="shared" si="85"/>
        <v/>
      </c>
      <c r="BQ98" s="10" t="str">
        <f t="shared" si="66"/>
        <v/>
      </c>
      <c r="BR98" s="10" t="str">
        <f t="shared" si="86"/>
        <v/>
      </c>
    </row>
    <row r="99" spans="4:70" ht="15" x14ac:dyDescent="0.15">
      <c r="D99" s="116" t="s">
        <v>200</v>
      </c>
      <c r="F99" s="94">
        <f>SUBTOTAL(9,F103:F105)</f>
        <v>2.0904336000631241</v>
      </c>
      <c r="G99" s="81" t="s">
        <v>132</v>
      </c>
      <c r="I99" s="458">
        <f t="shared" si="87"/>
        <v>2104</v>
      </c>
      <c r="J99" s="470"/>
      <c r="K99" s="470">
        <f t="shared" si="88"/>
        <v>85</v>
      </c>
      <c r="L99" s="39"/>
      <c r="M99" s="40">
        <f t="shared" si="51"/>
        <v>8.1065469079831712E-2</v>
      </c>
      <c r="N99" s="39"/>
      <c r="O99" s="72" t="str">
        <f t="shared" si="67"/>
        <v/>
      </c>
      <c r="P99" s="41" t="str">
        <f t="shared" si="52"/>
        <v/>
      </c>
      <c r="Q99" s="39"/>
      <c r="R99" s="72" t="str">
        <f t="shared" si="68"/>
        <v/>
      </c>
      <c r="S99" s="39"/>
      <c r="T99" s="72" t="str">
        <f t="shared" si="69"/>
        <v/>
      </c>
      <c r="U99" s="39"/>
      <c r="V99" s="72" t="str">
        <f t="shared" si="53"/>
        <v/>
      </c>
      <c r="W99" s="72" t="str">
        <f t="shared" si="70"/>
        <v/>
      </c>
      <c r="X99" s="39"/>
      <c r="Y99" s="72" t="str">
        <f t="shared" si="54"/>
        <v/>
      </c>
      <c r="Z99" s="72" t="str">
        <f t="shared" si="71"/>
        <v/>
      </c>
      <c r="AA99" s="39"/>
      <c r="AB99" s="72" t="str">
        <f t="shared" si="55"/>
        <v/>
      </c>
      <c r="AC99" s="72" t="str">
        <f t="shared" si="72"/>
        <v/>
      </c>
      <c r="AD99" s="39"/>
      <c r="AE99" s="72" t="str">
        <f t="shared" si="56"/>
        <v/>
      </c>
      <c r="AF99" s="72" t="str">
        <f t="shared" si="73"/>
        <v/>
      </c>
      <c r="AG99" s="39"/>
      <c r="AH99" s="72" t="str">
        <f t="shared" si="57"/>
        <v/>
      </c>
      <c r="AI99" s="72" t="str">
        <f t="shared" si="74"/>
        <v/>
      </c>
      <c r="AJ99" s="39"/>
      <c r="AK99" s="72" t="str">
        <f t="shared" si="75"/>
        <v/>
      </c>
      <c r="AL99" s="72" t="str">
        <f t="shared" si="76"/>
        <v/>
      </c>
      <c r="AM99" s="39"/>
      <c r="AN99" s="72" t="str">
        <f t="shared" si="58"/>
        <v/>
      </c>
      <c r="AO99" s="72" t="str">
        <f t="shared" si="77"/>
        <v/>
      </c>
      <c r="AP99" s="39"/>
      <c r="AQ99" s="72" t="str">
        <f t="shared" si="59"/>
        <v/>
      </c>
      <c r="AR99" s="72" t="str">
        <f t="shared" si="78"/>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60"/>
        <v/>
      </c>
      <c r="AW99" s="72" t="str">
        <f t="shared" si="61"/>
        <v/>
      </c>
      <c r="AX99" s="39"/>
      <c r="AY99" s="40" t="str">
        <f>IF(ISERROR(IF($K99&lt;=$F$15,VLOOKUP($I99,'表4）CO2価格'!$A$7:$E$67,VLOOKUP($F$48,'表4）CO2価格'!$H$10:$I$12,2,0),0)*$F$8/1000,"")),0,IF($K99&lt;=$F$15,VLOOKUP($I99,'表4）CO2価格'!$A$7:$E$67,VLOOKUP($F$48,'表4）CO2価格'!$H$10:$I$12,2,0),0)*$F$8/1000,""))</f>
        <v/>
      </c>
      <c r="AZ99" s="39"/>
      <c r="BA99" s="42" t="str">
        <f t="shared" si="62"/>
        <v/>
      </c>
      <c r="BB99" s="72" t="str">
        <f t="shared" si="79"/>
        <v/>
      </c>
      <c r="BC99" s="39"/>
      <c r="BD99" s="72" t="str">
        <f t="shared" si="63"/>
        <v/>
      </c>
      <c r="BE99" s="72" t="str">
        <f t="shared" si="80"/>
        <v/>
      </c>
      <c r="BF99" s="39"/>
      <c r="BG99" s="42" t="str">
        <f t="shared" si="64"/>
        <v/>
      </c>
      <c r="BH99" s="72" t="str">
        <f t="shared" si="81"/>
        <v/>
      </c>
      <c r="BI99" s="39"/>
      <c r="BJ99" s="40" t="str">
        <f t="shared" si="82"/>
        <v/>
      </c>
      <c r="BK99" s="157" t="str">
        <f t="shared" si="83"/>
        <v/>
      </c>
      <c r="BL99" s="157" t="str">
        <f t="shared" si="65"/>
        <v/>
      </c>
      <c r="BM99" s="72"/>
      <c r="BN99" s="72" t="str">
        <f t="shared" si="84"/>
        <v/>
      </c>
      <c r="BO99" s="72" t="str">
        <f t="shared" si="85"/>
        <v/>
      </c>
      <c r="BP99" s="39"/>
      <c r="BQ99" s="72" t="str">
        <f t="shared" si="66"/>
        <v/>
      </c>
      <c r="BR99" s="72" t="str">
        <f t="shared" si="86"/>
        <v/>
      </c>
    </row>
    <row r="100" spans="4:70" x14ac:dyDescent="0.15">
      <c r="F100" s="93"/>
      <c r="I100" s="459">
        <f t="shared" si="87"/>
        <v>2105</v>
      </c>
      <c r="K100" s="9">
        <f t="shared" si="88"/>
        <v>86</v>
      </c>
      <c r="L100" s="71"/>
      <c r="M100" s="7">
        <f t="shared" si="51"/>
        <v>7.8704338912457969E-2</v>
      </c>
      <c r="N100" s="71"/>
      <c r="O100" s="10" t="str">
        <f t="shared" si="67"/>
        <v/>
      </c>
      <c r="P100" s="29" t="str">
        <f t="shared" si="52"/>
        <v/>
      </c>
      <c r="Q100" s="71"/>
      <c r="R100" s="10" t="str">
        <f t="shared" si="68"/>
        <v/>
      </c>
      <c r="S100" s="71"/>
      <c r="T100" s="10" t="str">
        <f t="shared" si="69"/>
        <v/>
      </c>
      <c r="U100" s="71"/>
      <c r="V100" s="10" t="str">
        <f t="shared" si="53"/>
        <v/>
      </c>
      <c r="W100" s="10" t="str">
        <f t="shared" si="70"/>
        <v/>
      </c>
      <c r="X100" s="71"/>
      <c r="Y100" s="10" t="str">
        <f t="shared" si="54"/>
        <v/>
      </c>
      <c r="Z100" s="10" t="str">
        <f t="shared" si="71"/>
        <v/>
      </c>
      <c r="AA100" s="71"/>
      <c r="AB100" s="10" t="str">
        <f t="shared" si="55"/>
        <v/>
      </c>
      <c r="AC100" s="10" t="str">
        <f t="shared" si="72"/>
        <v/>
      </c>
      <c r="AD100" s="71"/>
      <c r="AE100" s="10" t="str">
        <f t="shared" si="56"/>
        <v/>
      </c>
      <c r="AF100" s="10" t="str">
        <f t="shared" si="73"/>
        <v/>
      </c>
      <c r="AG100" s="71"/>
      <c r="AH100" s="10" t="str">
        <f t="shared" si="57"/>
        <v/>
      </c>
      <c r="AI100" s="10" t="str">
        <f t="shared" si="74"/>
        <v/>
      </c>
      <c r="AJ100" s="71"/>
      <c r="AK100" s="10" t="str">
        <f t="shared" si="75"/>
        <v/>
      </c>
      <c r="AL100" s="10" t="str">
        <f t="shared" si="76"/>
        <v/>
      </c>
      <c r="AM100" s="71"/>
      <c r="AN100" s="10" t="str">
        <f t="shared" si="58"/>
        <v/>
      </c>
      <c r="AO100" s="10" t="str">
        <f t="shared" si="77"/>
        <v/>
      </c>
      <c r="AP100" s="71"/>
      <c r="AQ100" s="10" t="str">
        <f t="shared" si="59"/>
        <v/>
      </c>
      <c r="AR100" s="10" t="str">
        <f t="shared" si="78"/>
        <v/>
      </c>
      <c r="AS100" s="71"/>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U100" s="71"/>
      <c r="AV100" s="10" t="str">
        <f t="shared" si="60"/>
        <v/>
      </c>
      <c r="AW100" s="10" t="str">
        <f t="shared" si="61"/>
        <v/>
      </c>
      <c r="AX100" s="71"/>
      <c r="AY100" s="7" t="str">
        <f>IF(ISERROR(IF($K100&lt;=$F$15,VLOOKUP($I100,'表4）CO2価格'!$A$7:$E$67,VLOOKUP($F$48,'表4）CO2価格'!$H$10:$I$12,2,0),0)*$F$8/1000,"")),0,IF($K100&lt;=$F$15,VLOOKUP($I100,'表4）CO2価格'!$A$7:$E$67,VLOOKUP($F$48,'表4）CO2価格'!$H$10:$I$12,2,0),0)*$F$8/1000,""))</f>
        <v/>
      </c>
      <c r="AZ100" s="71"/>
      <c r="BA100" s="11" t="str">
        <f t="shared" si="62"/>
        <v/>
      </c>
      <c r="BB100" s="10" t="str">
        <f t="shared" si="79"/>
        <v/>
      </c>
      <c r="BC100" s="71"/>
      <c r="BD100" s="10" t="str">
        <f t="shared" si="63"/>
        <v/>
      </c>
      <c r="BE100" s="10" t="str">
        <f t="shared" si="80"/>
        <v/>
      </c>
      <c r="BF100" s="71"/>
      <c r="BG100" s="11" t="str">
        <f t="shared" si="64"/>
        <v/>
      </c>
      <c r="BH100" s="10" t="str">
        <f t="shared" si="81"/>
        <v/>
      </c>
      <c r="BJ100" s="7" t="str">
        <f t="shared" si="82"/>
        <v/>
      </c>
      <c r="BK100" s="158" t="str">
        <f t="shared" si="83"/>
        <v/>
      </c>
      <c r="BL100" s="158" t="str">
        <f t="shared" si="65"/>
        <v/>
      </c>
      <c r="BM100" s="10"/>
      <c r="BN100" s="10" t="str">
        <f t="shared" si="84"/>
        <v/>
      </c>
      <c r="BO100" s="10" t="str">
        <f t="shared" si="85"/>
        <v/>
      </c>
      <c r="BQ100" s="10" t="str">
        <f t="shared" si="66"/>
        <v/>
      </c>
      <c r="BR100" s="10" t="str">
        <f t="shared" si="86"/>
        <v/>
      </c>
    </row>
    <row r="101" spans="4:70" x14ac:dyDescent="0.15">
      <c r="D101" s="101" t="s">
        <v>201</v>
      </c>
      <c r="E101" s="101"/>
      <c r="F101" s="92"/>
      <c r="G101" s="101"/>
      <c r="I101" s="458">
        <f t="shared" si="87"/>
        <v>2106</v>
      </c>
      <c r="J101" s="470"/>
      <c r="K101" s="470">
        <f t="shared" si="88"/>
        <v>87</v>
      </c>
      <c r="L101" s="39"/>
      <c r="M101" s="40">
        <f t="shared" si="51"/>
        <v>7.6411979526658208E-2</v>
      </c>
      <c r="N101" s="39"/>
      <c r="O101" s="72" t="str">
        <f t="shared" si="67"/>
        <v/>
      </c>
      <c r="P101" s="41" t="str">
        <f t="shared" si="52"/>
        <v/>
      </c>
      <c r="Q101" s="39"/>
      <c r="R101" s="72" t="str">
        <f t="shared" si="68"/>
        <v/>
      </c>
      <c r="S101" s="39"/>
      <c r="T101" s="72" t="str">
        <f t="shared" si="69"/>
        <v/>
      </c>
      <c r="U101" s="39"/>
      <c r="V101" s="72" t="str">
        <f t="shared" si="53"/>
        <v/>
      </c>
      <c r="W101" s="72" t="str">
        <f t="shared" si="70"/>
        <v/>
      </c>
      <c r="X101" s="39"/>
      <c r="Y101" s="72" t="str">
        <f t="shared" si="54"/>
        <v/>
      </c>
      <c r="Z101" s="72" t="str">
        <f t="shared" si="71"/>
        <v/>
      </c>
      <c r="AA101" s="39"/>
      <c r="AB101" s="72" t="str">
        <f t="shared" si="55"/>
        <v/>
      </c>
      <c r="AC101" s="72" t="str">
        <f t="shared" si="72"/>
        <v/>
      </c>
      <c r="AD101" s="39"/>
      <c r="AE101" s="72" t="str">
        <f t="shared" si="56"/>
        <v/>
      </c>
      <c r="AF101" s="72" t="str">
        <f t="shared" si="73"/>
        <v/>
      </c>
      <c r="AG101" s="39"/>
      <c r="AH101" s="72" t="str">
        <f t="shared" si="57"/>
        <v/>
      </c>
      <c r="AI101" s="72" t="str">
        <f t="shared" si="74"/>
        <v/>
      </c>
      <c r="AJ101" s="39"/>
      <c r="AK101" s="72" t="str">
        <f t="shared" si="75"/>
        <v/>
      </c>
      <c r="AL101" s="72" t="str">
        <f t="shared" si="76"/>
        <v/>
      </c>
      <c r="AM101" s="39"/>
      <c r="AN101" s="72" t="str">
        <f t="shared" si="58"/>
        <v/>
      </c>
      <c r="AO101" s="72" t="str">
        <f t="shared" si="77"/>
        <v/>
      </c>
      <c r="AP101" s="39"/>
      <c r="AQ101" s="72" t="str">
        <f t="shared" si="59"/>
        <v/>
      </c>
      <c r="AR101" s="72" t="str">
        <f t="shared" si="78"/>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60"/>
        <v/>
      </c>
      <c r="AW101" s="72" t="str">
        <f t="shared" si="61"/>
        <v/>
      </c>
      <c r="AX101" s="39"/>
      <c r="AY101" s="40" t="str">
        <f>IF(ISERROR(IF($K101&lt;=$F$15,VLOOKUP($I101,'表4）CO2価格'!$A$7:$E$67,VLOOKUP($F$48,'表4）CO2価格'!$H$10:$I$12,2,0),0)*$F$8/1000,"")),0,IF($K101&lt;=$F$15,VLOOKUP($I101,'表4）CO2価格'!$A$7:$E$67,VLOOKUP($F$48,'表4）CO2価格'!$H$10:$I$12,2,0),0)*$F$8/1000,""))</f>
        <v/>
      </c>
      <c r="AZ101" s="39"/>
      <c r="BA101" s="42" t="str">
        <f t="shared" si="62"/>
        <v/>
      </c>
      <c r="BB101" s="72" t="str">
        <f t="shared" si="79"/>
        <v/>
      </c>
      <c r="BC101" s="39"/>
      <c r="BD101" s="72" t="str">
        <f t="shared" si="63"/>
        <v/>
      </c>
      <c r="BE101" s="72" t="str">
        <f t="shared" si="80"/>
        <v/>
      </c>
      <c r="BF101" s="39"/>
      <c r="BG101" s="42" t="str">
        <f t="shared" si="64"/>
        <v/>
      </c>
      <c r="BH101" s="72" t="str">
        <f t="shared" si="81"/>
        <v/>
      </c>
      <c r="BI101" s="39"/>
      <c r="BJ101" s="40" t="str">
        <f t="shared" si="82"/>
        <v/>
      </c>
      <c r="BK101" s="157" t="str">
        <f t="shared" si="83"/>
        <v/>
      </c>
      <c r="BL101" s="157" t="str">
        <f t="shared" si="65"/>
        <v/>
      </c>
      <c r="BM101" s="72"/>
      <c r="BN101" s="72" t="str">
        <f t="shared" si="84"/>
        <v/>
      </c>
      <c r="BO101" s="72" t="str">
        <f t="shared" si="85"/>
        <v/>
      </c>
      <c r="BP101" s="39"/>
      <c r="BQ101" s="72" t="str">
        <f t="shared" si="66"/>
        <v/>
      </c>
      <c r="BR101" s="72" t="str">
        <f t="shared" si="86"/>
        <v/>
      </c>
    </row>
    <row r="102" spans="4:70" x14ac:dyDescent="0.15">
      <c r="F102" s="93"/>
      <c r="I102" s="459">
        <f t="shared" si="87"/>
        <v>2107</v>
      </c>
      <c r="K102" s="9">
        <f t="shared" si="88"/>
        <v>88</v>
      </c>
      <c r="L102" s="71"/>
      <c r="M102" s="7">
        <f t="shared" si="51"/>
        <v>7.4186387889959446E-2</v>
      </c>
      <c r="N102" s="71"/>
      <c r="O102" s="10" t="str">
        <f t="shared" si="67"/>
        <v/>
      </c>
      <c r="P102" s="29" t="str">
        <f t="shared" si="52"/>
        <v/>
      </c>
      <c r="Q102" s="71"/>
      <c r="R102" s="10" t="str">
        <f t="shared" si="68"/>
        <v/>
      </c>
      <c r="S102" s="71"/>
      <c r="T102" s="10" t="str">
        <f t="shared" si="69"/>
        <v/>
      </c>
      <c r="U102" s="71"/>
      <c r="V102" s="10" t="str">
        <f t="shared" si="53"/>
        <v/>
      </c>
      <c r="W102" s="10" t="str">
        <f t="shared" si="70"/>
        <v/>
      </c>
      <c r="X102" s="71"/>
      <c r="Y102" s="10" t="str">
        <f t="shared" si="54"/>
        <v/>
      </c>
      <c r="Z102" s="10" t="str">
        <f t="shared" si="71"/>
        <v/>
      </c>
      <c r="AA102" s="71"/>
      <c r="AB102" s="10" t="str">
        <f t="shared" si="55"/>
        <v/>
      </c>
      <c r="AC102" s="10" t="str">
        <f t="shared" si="72"/>
        <v/>
      </c>
      <c r="AD102" s="71"/>
      <c r="AE102" s="10" t="str">
        <f t="shared" si="56"/>
        <v/>
      </c>
      <c r="AF102" s="10" t="str">
        <f t="shared" si="73"/>
        <v/>
      </c>
      <c r="AG102" s="71"/>
      <c r="AH102" s="10" t="str">
        <f t="shared" si="57"/>
        <v/>
      </c>
      <c r="AI102" s="10" t="str">
        <f t="shared" si="74"/>
        <v/>
      </c>
      <c r="AJ102" s="71"/>
      <c r="AK102" s="10" t="str">
        <f t="shared" si="75"/>
        <v/>
      </c>
      <c r="AL102" s="10" t="str">
        <f t="shared" si="76"/>
        <v/>
      </c>
      <c r="AM102" s="71"/>
      <c r="AN102" s="10" t="str">
        <f t="shared" si="58"/>
        <v/>
      </c>
      <c r="AO102" s="10" t="str">
        <f t="shared" si="77"/>
        <v/>
      </c>
      <c r="AP102" s="71"/>
      <c r="AQ102" s="10" t="str">
        <f t="shared" si="59"/>
        <v/>
      </c>
      <c r="AR102" s="10" t="str">
        <f t="shared" si="78"/>
        <v/>
      </c>
      <c r="AS102" s="71"/>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U102" s="71"/>
      <c r="AV102" s="10" t="str">
        <f t="shared" si="60"/>
        <v/>
      </c>
      <c r="AW102" s="10" t="str">
        <f t="shared" si="61"/>
        <v/>
      </c>
      <c r="AX102" s="71"/>
      <c r="AY102" s="7" t="str">
        <f>IF(ISERROR(IF($K102&lt;=$F$15,VLOOKUP($I102,'表4）CO2価格'!$A$7:$E$67,VLOOKUP($F$48,'表4）CO2価格'!$H$10:$I$12,2,0),0)*$F$8/1000,"")),0,IF($K102&lt;=$F$15,VLOOKUP($I102,'表4）CO2価格'!$A$7:$E$67,VLOOKUP($F$48,'表4）CO2価格'!$H$10:$I$12,2,0),0)*$F$8/1000,""))</f>
        <v/>
      </c>
      <c r="AZ102" s="71"/>
      <c r="BA102" s="11" t="str">
        <f t="shared" si="62"/>
        <v/>
      </c>
      <c r="BB102" s="10" t="str">
        <f t="shared" si="79"/>
        <v/>
      </c>
      <c r="BC102" s="71"/>
      <c r="BD102" s="10" t="str">
        <f t="shared" si="63"/>
        <v/>
      </c>
      <c r="BE102" s="10" t="str">
        <f t="shared" si="80"/>
        <v/>
      </c>
      <c r="BF102" s="71"/>
      <c r="BG102" s="11" t="str">
        <f t="shared" si="64"/>
        <v/>
      </c>
      <c r="BH102" s="10" t="str">
        <f t="shared" si="81"/>
        <v/>
      </c>
      <c r="BJ102" s="7" t="str">
        <f t="shared" si="82"/>
        <v/>
      </c>
      <c r="BK102" s="158" t="str">
        <f t="shared" si="83"/>
        <v/>
      </c>
      <c r="BL102" s="158" t="str">
        <f t="shared" si="65"/>
        <v/>
      </c>
      <c r="BM102" s="10"/>
      <c r="BN102" s="10" t="str">
        <f t="shared" si="84"/>
        <v/>
      </c>
      <c r="BO102" s="10" t="str">
        <f t="shared" si="85"/>
        <v/>
      </c>
      <c r="BQ102" s="10" t="str">
        <f t="shared" si="66"/>
        <v/>
      </c>
      <c r="BR102" s="10" t="str">
        <f t="shared" si="86"/>
        <v/>
      </c>
    </row>
    <row r="103" spans="4:70" x14ac:dyDescent="0.15">
      <c r="E103" s="81" t="s">
        <v>202</v>
      </c>
      <c r="F103" s="91">
        <f>BB116/$BR$116</f>
        <v>2.0555839110203591</v>
      </c>
      <c r="G103" s="81" t="s">
        <v>132</v>
      </c>
      <c r="I103" s="458">
        <f t="shared" si="87"/>
        <v>2108</v>
      </c>
      <c r="J103" s="470"/>
      <c r="K103" s="470">
        <f t="shared" si="88"/>
        <v>89</v>
      </c>
      <c r="L103" s="39"/>
      <c r="M103" s="40">
        <f t="shared" si="51"/>
        <v>7.2025619310640235E-2</v>
      </c>
      <c r="N103" s="39"/>
      <c r="O103" s="72" t="str">
        <f t="shared" si="67"/>
        <v/>
      </c>
      <c r="P103" s="41" t="str">
        <f t="shared" si="52"/>
        <v/>
      </c>
      <c r="Q103" s="39"/>
      <c r="R103" s="72" t="str">
        <f t="shared" si="68"/>
        <v/>
      </c>
      <c r="S103" s="39"/>
      <c r="T103" s="72" t="str">
        <f t="shared" si="69"/>
        <v/>
      </c>
      <c r="U103" s="39"/>
      <c r="V103" s="72" t="str">
        <f t="shared" si="53"/>
        <v/>
      </c>
      <c r="W103" s="72" t="str">
        <f t="shared" si="70"/>
        <v/>
      </c>
      <c r="X103" s="39"/>
      <c r="Y103" s="72" t="str">
        <f t="shared" si="54"/>
        <v/>
      </c>
      <c r="Z103" s="72" t="str">
        <f t="shared" si="71"/>
        <v/>
      </c>
      <c r="AA103" s="39"/>
      <c r="AB103" s="72" t="str">
        <f t="shared" si="55"/>
        <v/>
      </c>
      <c r="AC103" s="72" t="str">
        <f t="shared" si="72"/>
        <v/>
      </c>
      <c r="AD103" s="39"/>
      <c r="AE103" s="72" t="str">
        <f t="shared" si="56"/>
        <v/>
      </c>
      <c r="AF103" s="72" t="str">
        <f t="shared" si="73"/>
        <v/>
      </c>
      <c r="AG103" s="39"/>
      <c r="AH103" s="72" t="str">
        <f t="shared" si="57"/>
        <v/>
      </c>
      <c r="AI103" s="72" t="str">
        <f t="shared" si="74"/>
        <v/>
      </c>
      <c r="AJ103" s="39"/>
      <c r="AK103" s="72" t="str">
        <f t="shared" si="75"/>
        <v/>
      </c>
      <c r="AL103" s="72" t="str">
        <f t="shared" si="76"/>
        <v/>
      </c>
      <c r="AM103" s="39"/>
      <c r="AN103" s="72" t="str">
        <f t="shared" si="58"/>
        <v/>
      </c>
      <c r="AO103" s="72" t="str">
        <f t="shared" si="77"/>
        <v/>
      </c>
      <c r="AP103" s="39"/>
      <c r="AQ103" s="72" t="str">
        <f t="shared" si="59"/>
        <v/>
      </c>
      <c r="AR103" s="72" t="str">
        <f t="shared" si="78"/>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60"/>
        <v/>
      </c>
      <c r="AW103" s="72" t="str">
        <f t="shared" si="61"/>
        <v/>
      </c>
      <c r="AX103" s="39"/>
      <c r="AY103" s="40" t="str">
        <f>IF(ISERROR(IF($K103&lt;=$F$15,VLOOKUP($I103,'表4）CO2価格'!$A$7:$E$67,VLOOKUP($F$48,'表4）CO2価格'!$H$10:$I$12,2,0),0)*$F$8/1000,"")),0,IF($K103&lt;=$F$15,VLOOKUP($I103,'表4）CO2価格'!$A$7:$E$67,VLOOKUP($F$48,'表4）CO2価格'!$H$10:$I$12,2,0),0)*$F$8/1000,""))</f>
        <v/>
      </c>
      <c r="AZ103" s="39"/>
      <c r="BA103" s="42" t="str">
        <f t="shared" si="62"/>
        <v/>
      </c>
      <c r="BB103" s="72" t="str">
        <f t="shared" si="79"/>
        <v/>
      </c>
      <c r="BC103" s="39"/>
      <c r="BD103" s="72" t="str">
        <f t="shared" si="63"/>
        <v/>
      </c>
      <c r="BE103" s="72" t="str">
        <f t="shared" si="80"/>
        <v/>
      </c>
      <c r="BF103" s="39"/>
      <c r="BG103" s="42" t="str">
        <f t="shared" si="64"/>
        <v/>
      </c>
      <c r="BH103" s="72" t="str">
        <f t="shared" si="81"/>
        <v/>
      </c>
      <c r="BI103" s="39"/>
      <c r="BJ103" s="40" t="str">
        <f t="shared" si="82"/>
        <v/>
      </c>
      <c r="BK103" s="157" t="str">
        <f t="shared" si="83"/>
        <v/>
      </c>
      <c r="BL103" s="157" t="str">
        <f t="shared" si="65"/>
        <v/>
      </c>
      <c r="BM103" s="72"/>
      <c r="BN103" s="72" t="str">
        <f t="shared" si="84"/>
        <v/>
      </c>
      <c r="BO103" s="72" t="str">
        <f t="shared" si="85"/>
        <v/>
      </c>
      <c r="BP103" s="39"/>
      <c r="BQ103" s="72" t="str">
        <f t="shared" si="66"/>
        <v/>
      </c>
      <c r="BR103" s="72" t="str">
        <f t="shared" si="86"/>
        <v/>
      </c>
    </row>
    <row r="104" spans="4:70" x14ac:dyDescent="0.15">
      <c r="E104" s="81" t="s">
        <v>203</v>
      </c>
      <c r="F104" s="91">
        <f>IF(ISERROR(F60*(1/F61)/F62),0,F60*(1/F61)/F62)</f>
        <v>0</v>
      </c>
      <c r="G104" s="81" t="s">
        <v>132</v>
      </c>
      <c r="I104" s="459">
        <f t="shared" si="87"/>
        <v>2109</v>
      </c>
      <c r="K104" s="9">
        <f t="shared" si="88"/>
        <v>90</v>
      </c>
      <c r="L104" s="71"/>
      <c r="M104" s="7">
        <f t="shared" si="51"/>
        <v>6.9927785738485654E-2</v>
      </c>
      <c r="N104" s="71"/>
      <c r="O104" s="10" t="str">
        <f t="shared" si="67"/>
        <v/>
      </c>
      <c r="P104" s="29" t="str">
        <f t="shared" si="52"/>
        <v/>
      </c>
      <c r="Q104" s="71"/>
      <c r="R104" s="10" t="str">
        <f t="shared" si="68"/>
        <v/>
      </c>
      <c r="S104" s="71"/>
      <c r="T104" s="10" t="str">
        <f t="shared" si="69"/>
        <v/>
      </c>
      <c r="U104" s="71"/>
      <c r="V104" s="10" t="str">
        <f t="shared" si="53"/>
        <v/>
      </c>
      <c r="W104" s="10" t="str">
        <f t="shared" si="70"/>
        <v/>
      </c>
      <c r="X104" s="71"/>
      <c r="Y104" s="10" t="str">
        <f t="shared" si="54"/>
        <v/>
      </c>
      <c r="Z104" s="10" t="str">
        <f t="shared" si="71"/>
        <v/>
      </c>
      <c r="AA104" s="71"/>
      <c r="AB104" s="10" t="str">
        <f t="shared" si="55"/>
        <v/>
      </c>
      <c r="AC104" s="10" t="str">
        <f t="shared" si="72"/>
        <v/>
      </c>
      <c r="AD104" s="71"/>
      <c r="AE104" s="10" t="str">
        <f t="shared" si="56"/>
        <v/>
      </c>
      <c r="AF104" s="10" t="str">
        <f t="shared" si="73"/>
        <v/>
      </c>
      <c r="AG104" s="71"/>
      <c r="AH104" s="10" t="str">
        <f t="shared" si="57"/>
        <v/>
      </c>
      <c r="AI104" s="10" t="str">
        <f t="shared" si="74"/>
        <v/>
      </c>
      <c r="AJ104" s="71"/>
      <c r="AK104" s="10" t="str">
        <f t="shared" si="75"/>
        <v/>
      </c>
      <c r="AL104" s="10" t="str">
        <f t="shared" si="76"/>
        <v/>
      </c>
      <c r="AM104" s="71"/>
      <c r="AN104" s="10" t="str">
        <f t="shared" si="58"/>
        <v/>
      </c>
      <c r="AO104" s="10" t="str">
        <f t="shared" si="77"/>
        <v/>
      </c>
      <c r="AP104" s="71"/>
      <c r="AQ104" s="10" t="str">
        <f t="shared" si="59"/>
        <v/>
      </c>
      <c r="AR104" s="10" t="str">
        <f t="shared" si="78"/>
        <v/>
      </c>
      <c r="AS104" s="71"/>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U104" s="71"/>
      <c r="AV104" s="10" t="str">
        <f t="shared" si="60"/>
        <v/>
      </c>
      <c r="AW104" s="10" t="str">
        <f t="shared" si="61"/>
        <v/>
      </c>
      <c r="AX104" s="71"/>
      <c r="AY104" s="7" t="str">
        <f>IF(ISERROR(IF($K104&lt;=$F$15,VLOOKUP($I104,'表4）CO2価格'!$A$7:$E$67,VLOOKUP($F$48,'表4）CO2価格'!$H$10:$I$12,2,0),0)*$F$8/1000,"")),0,IF($K104&lt;=$F$15,VLOOKUP($I104,'表4）CO2価格'!$A$7:$E$67,VLOOKUP($F$48,'表4）CO2価格'!$H$10:$I$12,2,0),0)*$F$8/1000,""))</f>
        <v/>
      </c>
      <c r="AZ104" s="71"/>
      <c r="BA104" s="11" t="str">
        <f t="shared" si="62"/>
        <v/>
      </c>
      <c r="BB104" s="10" t="str">
        <f t="shared" si="79"/>
        <v/>
      </c>
      <c r="BC104" s="71"/>
      <c r="BD104" s="10" t="str">
        <f t="shared" si="63"/>
        <v/>
      </c>
      <c r="BE104" s="10" t="str">
        <f t="shared" si="80"/>
        <v/>
      </c>
      <c r="BF104" s="71"/>
      <c r="BG104" s="11" t="str">
        <f t="shared" si="64"/>
        <v/>
      </c>
      <c r="BH104" s="10" t="str">
        <f t="shared" si="81"/>
        <v/>
      </c>
      <c r="BJ104" s="7" t="str">
        <f t="shared" si="82"/>
        <v/>
      </c>
      <c r="BK104" s="158" t="str">
        <f t="shared" si="83"/>
        <v/>
      </c>
      <c r="BL104" s="158" t="str">
        <f t="shared" si="65"/>
        <v/>
      </c>
      <c r="BM104" s="10"/>
      <c r="BN104" s="10" t="str">
        <f t="shared" si="84"/>
        <v/>
      </c>
      <c r="BO104" s="10" t="str">
        <f t="shared" si="85"/>
        <v/>
      </c>
      <c r="BQ104" s="10" t="str">
        <f t="shared" si="66"/>
        <v/>
      </c>
      <c r="BR104" s="10" t="str">
        <f t="shared" si="86"/>
        <v/>
      </c>
    </row>
    <row r="105" spans="4:70" x14ac:dyDescent="0.15">
      <c r="E105" s="9" t="s">
        <v>367</v>
      </c>
      <c r="F105" s="183">
        <f>F64</f>
        <v>3.4849689042764975E-2</v>
      </c>
      <c r="G105" s="81" t="s">
        <v>132</v>
      </c>
      <c r="I105" s="458">
        <f t="shared" si="87"/>
        <v>2110</v>
      </c>
      <c r="J105" s="470"/>
      <c r="K105" s="470">
        <f t="shared" si="88"/>
        <v>91</v>
      </c>
      <c r="L105" s="39"/>
      <c r="M105" s="40">
        <f t="shared" si="51"/>
        <v>6.7891054115034627E-2</v>
      </c>
      <c r="N105" s="39"/>
      <c r="O105" s="72" t="str">
        <f t="shared" si="67"/>
        <v/>
      </c>
      <c r="P105" s="41" t="str">
        <f t="shared" si="52"/>
        <v/>
      </c>
      <c r="Q105" s="39"/>
      <c r="R105" s="72" t="str">
        <f t="shared" si="68"/>
        <v/>
      </c>
      <c r="S105" s="39"/>
      <c r="T105" s="72" t="str">
        <f t="shared" si="69"/>
        <v/>
      </c>
      <c r="U105" s="39"/>
      <c r="V105" s="72" t="str">
        <f t="shared" si="53"/>
        <v/>
      </c>
      <c r="W105" s="72" t="str">
        <f t="shared" si="70"/>
        <v/>
      </c>
      <c r="X105" s="39"/>
      <c r="Y105" s="72" t="str">
        <f t="shared" si="54"/>
        <v/>
      </c>
      <c r="Z105" s="72" t="str">
        <f t="shared" si="71"/>
        <v/>
      </c>
      <c r="AA105" s="39"/>
      <c r="AB105" s="72" t="str">
        <f t="shared" si="55"/>
        <v/>
      </c>
      <c r="AC105" s="72" t="str">
        <f t="shared" si="72"/>
        <v/>
      </c>
      <c r="AD105" s="39"/>
      <c r="AE105" s="72" t="str">
        <f t="shared" si="56"/>
        <v/>
      </c>
      <c r="AF105" s="72" t="str">
        <f t="shared" si="73"/>
        <v/>
      </c>
      <c r="AG105" s="39"/>
      <c r="AH105" s="72" t="str">
        <f t="shared" si="57"/>
        <v/>
      </c>
      <c r="AI105" s="72" t="str">
        <f t="shared" si="74"/>
        <v/>
      </c>
      <c r="AJ105" s="39"/>
      <c r="AK105" s="72" t="str">
        <f t="shared" si="75"/>
        <v/>
      </c>
      <c r="AL105" s="72" t="str">
        <f t="shared" si="76"/>
        <v/>
      </c>
      <c r="AM105" s="39"/>
      <c r="AN105" s="72" t="str">
        <f t="shared" si="58"/>
        <v/>
      </c>
      <c r="AO105" s="72" t="str">
        <f t="shared" si="77"/>
        <v/>
      </c>
      <c r="AP105" s="39"/>
      <c r="AQ105" s="72" t="str">
        <f t="shared" si="59"/>
        <v/>
      </c>
      <c r="AR105" s="72" t="str">
        <f t="shared" si="78"/>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60"/>
        <v/>
      </c>
      <c r="AW105" s="72" t="str">
        <f t="shared" si="61"/>
        <v/>
      </c>
      <c r="AX105" s="39"/>
      <c r="AY105" s="40" t="str">
        <f>IF(ISERROR(IF($K105&lt;=$F$15,VLOOKUP($I105,'表4）CO2価格'!$A$7:$E$67,VLOOKUP($F$48,'表4）CO2価格'!$H$10:$I$12,2,0),0)*$F$8/1000,"")),0,IF($K105&lt;=$F$15,VLOOKUP($I105,'表4）CO2価格'!$A$7:$E$67,VLOOKUP($F$48,'表4）CO2価格'!$H$10:$I$12,2,0),0)*$F$8/1000,""))</f>
        <v/>
      </c>
      <c r="AZ105" s="39"/>
      <c r="BA105" s="42" t="str">
        <f t="shared" si="62"/>
        <v/>
      </c>
      <c r="BB105" s="72" t="str">
        <f t="shared" si="79"/>
        <v/>
      </c>
      <c r="BC105" s="39"/>
      <c r="BD105" s="72" t="str">
        <f t="shared" si="63"/>
        <v/>
      </c>
      <c r="BE105" s="72" t="str">
        <f t="shared" si="80"/>
        <v/>
      </c>
      <c r="BF105" s="39"/>
      <c r="BG105" s="42" t="str">
        <f t="shared" si="64"/>
        <v/>
      </c>
      <c r="BH105" s="72" t="str">
        <f t="shared" si="81"/>
        <v/>
      </c>
      <c r="BI105" s="39"/>
      <c r="BJ105" s="40" t="str">
        <f t="shared" si="82"/>
        <v/>
      </c>
      <c r="BK105" s="157" t="str">
        <f t="shared" si="83"/>
        <v/>
      </c>
      <c r="BL105" s="157" t="str">
        <f t="shared" si="65"/>
        <v/>
      </c>
      <c r="BM105" s="72"/>
      <c r="BN105" s="72" t="str">
        <f t="shared" si="84"/>
        <v/>
      </c>
      <c r="BO105" s="72" t="str">
        <f t="shared" si="85"/>
        <v/>
      </c>
      <c r="BP105" s="39"/>
      <c r="BQ105" s="72" t="str">
        <f t="shared" si="66"/>
        <v/>
      </c>
      <c r="BR105" s="72" t="str">
        <f t="shared" si="86"/>
        <v/>
      </c>
    </row>
    <row r="106" spans="4:70" x14ac:dyDescent="0.15">
      <c r="F106" s="93"/>
      <c r="I106" s="459">
        <f t="shared" si="87"/>
        <v>2111</v>
      </c>
      <c r="K106" s="9">
        <f t="shared" si="88"/>
        <v>92</v>
      </c>
      <c r="L106" s="71"/>
      <c r="M106" s="7">
        <f t="shared" si="51"/>
        <v>6.5913644771878277E-2</v>
      </c>
      <c r="N106" s="71"/>
      <c r="O106" s="10" t="str">
        <f t="shared" si="67"/>
        <v/>
      </c>
      <c r="P106" s="29" t="str">
        <f t="shared" si="52"/>
        <v/>
      </c>
      <c r="Q106" s="71"/>
      <c r="R106" s="10" t="str">
        <f t="shared" si="68"/>
        <v/>
      </c>
      <c r="S106" s="71"/>
      <c r="T106" s="10" t="str">
        <f t="shared" si="69"/>
        <v/>
      </c>
      <c r="U106" s="71"/>
      <c r="V106" s="10" t="str">
        <f t="shared" si="53"/>
        <v/>
      </c>
      <c r="W106" s="10" t="str">
        <f t="shared" si="70"/>
        <v/>
      </c>
      <c r="X106" s="71"/>
      <c r="Y106" s="10" t="str">
        <f t="shared" si="54"/>
        <v/>
      </c>
      <c r="Z106" s="10" t="str">
        <f t="shared" si="71"/>
        <v/>
      </c>
      <c r="AA106" s="71"/>
      <c r="AB106" s="10" t="str">
        <f t="shared" si="55"/>
        <v/>
      </c>
      <c r="AC106" s="10" t="str">
        <f t="shared" si="72"/>
        <v/>
      </c>
      <c r="AD106" s="71"/>
      <c r="AE106" s="10" t="str">
        <f t="shared" si="56"/>
        <v/>
      </c>
      <c r="AF106" s="10" t="str">
        <f t="shared" si="73"/>
        <v/>
      </c>
      <c r="AG106" s="71"/>
      <c r="AH106" s="10" t="str">
        <f t="shared" si="57"/>
        <v/>
      </c>
      <c r="AI106" s="10" t="str">
        <f t="shared" si="74"/>
        <v/>
      </c>
      <c r="AJ106" s="71"/>
      <c r="AK106" s="10" t="str">
        <f t="shared" si="75"/>
        <v/>
      </c>
      <c r="AL106" s="10" t="str">
        <f t="shared" si="76"/>
        <v/>
      </c>
      <c r="AM106" s="71"/>
      <c r="AN106" s="10" t="str">
        <f t="shared" si="58"/>
        <v/>
      </c>
      <c r="AO106" s="10" t="str">
        <f t="shared" si="77"/>
        <v/>
      </c>
      <c r="AP106" s="71"/>
      <c r="AQ106" s="10" t="str">
        <f t="shared" si="59"/>
        <v/>
      </c>
      <c r="AR106" s="10" t="str">
        <f t="shared" si="78"/>
        <v/>
      </c>
      <c r="AS106" s="71"/>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U106" s="71"/>
      <c r="AV106" s="10" t="str">
        <f t="shared" si="60"/>
        <v/>
      </c>
      <c r="AW106" s="10" t="str">
        <f t="shared" si="61"/>
        <v/>
      </c>
      <c r="AX106" s="71"/>
      <c r="AY106" s="7" t="str">
        <f>IF(ISERROR(IF($K106&lt;=$F$15,VLOOKUP($I106,'表4）CO2価格'!$A$7:$E$67,VLOOKUP($F$48,'表4）CO2価格'!$H$10:$I$12,2,0),0)*$F$8/1000,"")),0,IF($K106&lt;=$F$15,VLOOKUP($I106,'表4）CO2価格'!$A$7:$E$67,VLOOKUP($F$48,'表4）CO2価格'!$H$10:$I$12,2,0),0)*$F$8/1000,""))</f>
        <v/>
      </c>
      <c r="AZ106" s="71"/>
      <c r="BA106" s="11" t="str">
        <f t="shared" si="62"/>
        <v/>
      </c>
      <c r="BB106" s="10" t="str">
        <f t="shared" si="79"/>
        <v/>
      </c>
      <c r="BC106" s="71"/>
      <c r="BD106" s="10" t="str">
        <f t="shared" si="63"/>
        <v/>
      </c>
      <c r="BE106" s="10" t="str">
        <f t="shared" si="80"/>
        <v/>
      </c>
      <c r="BF106" s="71"/>
      <c r="BG106" s="11" t="str">
        <f t="shared" si="64"/>
        <v/>
      </c>
      <c r="BH106" s="10" t="str">
        <f t="shared" si="81"/>
        <v/>
      </c>
      <c r="BJ106" s="7" t="str">
        <f t="shared" si="82"/>
        <v/>
      </c>
      <c r="BK106" s="158" t="str">
        <f t="shared" si="83"/>
        <v/>
      </c>
      <c r="BL106" s="158" t="str">
        <f t="shared" si="65"/>
        <v/>
      </c>
      <c r="BM106" s="10"/>
      <c r="BN106" s="10" t="str">
        <f t="shared" si="84"/>
        <v/>
      </c>
      <c r="BO106" s="10" t="str">
        <f t="shared" si="85"/>
        <v/>
      </c>
      <c r="BQ106" s="10" t="str">
        <f t="shared" si="66"/>
        <v/>
      </c>
      <c r="BR106" s="10" t="str">
        <f t="shared" si="86"/>
        <v/>
      </c>
    </row>
    <row r="107" spans="4:70" ht="15" x14ac:dyDescent="0.15">
      <c r="D107" s="116" t="s">
        <v>204</v>
      </c>
      <c r="F107" s="94">
        <f>SUBTOTAL(9,F111:F112)</f>
        <v>-4.2892020829631079</v>
      </c>
      <c r="G107" s="81" t="s">
        <v>132</v>
      </c>
      <c r="I107" s="458">
        <f t="shared" si="87"/>
        <v>2112</v>
      </c>
      <c r="J107" s="470"/>
      <c r="K107" s="470">
        <f t="shared" si="88"/>
        <v>93</v>
      </c>
      <c r="L107" s="39"/>
      <c r="M107" s="40">
        <f t="shared" si="51"/>
        <v>6.3993829875609989E-2</v>
      </c>
      <c r="N107" s="39"/>
      <c r="O107" s="72" t="str">
        <f t="shared" si="67"/>
        <v/>
      </c>
      <c r="P107" s="41" t="str">
        <f t="shared" si="52"/>
        <v/>
      </c>
      <c r="Q107" s="39"/>
      <c r="R107" s="72" t="str">
        <f t="shared" si="68"/>
        <v/>
      </c>
      <c r="S107" s="39"/>
      <c r="T107" s="72" t="str">
        <f t="shared" si="69"/>
        <v/>
      </c>
      <c r="U107" s="39"/>
      <c r="V107" s="72" t="str">
        <f t="shared" si="53"/>
        <v/>
      </c>
      <c r="W107" s="72" t="str">
        <f t="shared" si="70"/>
        <v/>
      </c>
      <c r="X107" s="39"/>
      <c r="Y107" s="72" t="str">
        <f t="shared" si="54"/>
        <v/>
      </c>
      <c r="Z107" s="72" t="str">
        <f t="shared" si="71"/>
        <v/>
      </c>
      <c r="AA107" s="39"/>
      <c r="AB107" s="72" t="str">
        <f t="shared" si="55"/>
        <v/>
      </c>
      <c r="AC107" s="72" t="str">
        <f t="shared" si="72"/>
        <v/>
      </c>
      <c r="AD107" s="39"/>
      <c r="AE107" s="72" t="str">
        <f t="shared" si="56"/>
        <v/>
      </c>
      <c r="AF107" s="72" t="str">
        <f t="shared" si="73"/>
        <v/>
      </c>
      <c r="AG107" s="39"/>
      <c r="AH107" s="72" t="str">
        <f t="shared" si="57"/>
        <v/>
      </c>
      <c r="AI107" s="72" t="str">
        <f t="shared" si="74"/>
        <v/>
      </c>
      <c r="AJ107" s="39"/>
      <c r="AK107" s="72" t="str">
        <f t="shared" si="75"/>
        <v/>
      </c>
      <c r="AL107" s="72" t="str">
        <f t="shared" si="76"/>
        <v/>
      </c>
      <c r="AM107" s="39"/>
      <c r="AN107" s="72" t="str">
        <f t="shared" si="58"/>
        <v/>
      </c>
      <c r="AO107" s="72" t="str">
        <f t="shared" si="77"/>
        <v/>
      </c>
      <c r="AP107" s="39"/>
      <c r="AQ107" s="72" t="str">
        <f t="shared" si="59"/>
        <v/>
      </c>
      <c r="AR107" s="72" t="str">
        <f t="shared" si="78"/>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60"/>
        <v/>
      </c>
      <c r="AW107" s="72" t="str">
        <f t="shared" si="61"/>
        <v/>
      </c>
      <c r="AX107" s="39"/>
      <c r="AY107" s="40" t="str">
        <f>IF(ISERROR(IF($K107&lt;=$F$15,VLOOKUP($I107,'表4）CO2価格'!$A$7:$E$67,VLOOKUP($F$48,'表4）CO2価格'!$H$10:$I$12,2,0),0)*$F$8/1000,"")),0,IF($K107&lt;=$F$15,VLOOKUP($I107,'表4）CO2価格'!$A$7:$E$67,VLOOKUP($F$48,'表4）CO2価格'!$H$10:$I$12,2,0),0)*$F$8/1000,""))</f>
        <v/>
      </c>
      <c r="AZ107" s="39"/>
      <c r="BA107" s="42" t="str">
        <f t="shared" si="62"/>
        <v/>
      </c>
      <c r="BB107" s="72" t="str">
        <f t="shared" si="79"/>
        <v/>
      </c>
      <c r="BC107" s="39"/>
      <c r="BD107" s="72" t="str">
        <f t="shared" si="63"/>
        <v/>
      </c>
      <c r="BE107" s="72" t="str">
        <f t="shared" si="80"/>
        <v/>
      </c>
      <c r="BF107" s="39"/>
      <c r="BG107" s="42" t="str">
        <f t="shared" si="64"/>
        <v/>
      </c>
      <c r="BH107" s="72" t="str">
        <f t="shared" si="81"/>
        <v/>
      </c>
      <c r="BI107" s="39"/>
      <c r="BJ107" s="40" t="str">
        <f t="shared" si="82"/>
        <v/>
      </c>
      <c r="BK107" s="157" t="str">
        <f t="shared" si="83"/>
        <v/>
      </c>
      <c r="BL107" s="157" t="str">
        <f t="shared" si="65"/>
        <v/>
      </c>
      <c r="BM107" s="72"/>
      <c r="BN107" s="72" t="str">
        <f t="shared" si="84"/>
        <v/>
      </c>
      <c r="BO107" s="72" t="str">
        <f t="shared" si="85"/>
        <v/>
      </c>
      <c r="BP107" s="39"/>
      <c r="BQ107" s="72" t="str">
        <f t="shared" si="66"/>
        <v/>
      </c>
      <c r="BR107" s="72" t="str">
        <f t="shared" si="86"/>
        <v/>
      </c>
    </row>
    <row r="108" spans="4:70" ht="15" x14ac:dyDescent="0.15">
      <c r="D108" s="116"/>
      <c r="F108" s="93"/>
      <c r="I108" s="459">
        <f t="shared" si="87"/>
        <v>2113</v>
      </c>
      <c r="K108" s="9">
        <f t="shared" si="88"/>
        <v>94</v>
      </c>
      <c r="L108" s="71"/>
      <c r="M108" s="7">
        <f t="shared" si="51"/>
        <v>6.212993191806794E-2</v>
      </c>
      <c r="N108" s="71"/>
      <c r="O108" s="10" t="str">
        <f t="shared" si="67"/>
        <v/>
      </c>
      <c r="P108" s="29" t="str">
        <f t="shared" si="52"/>
        <v/>
      </c>
      <c r="Q108" s="71"/>
      <c r="R108" s="10" t="str">
        <f t="shared" si="68"/>
        <v/>
      </c>
      <c r="S108" s="71"/>
      <c r="T108" s="10" t="str">
        <f t="shared" si="69"/>
        <v/>
      </c>
      <c r="U108" s="71"/>
      <c r="V108" s="10" t="str">
        <f t="shared" si="53"/>
        <v/>
      </c>
      <c r="W108" s="10" t="str">
        <f t="shared" si="70"/>
        <v/>
      </c>
      <c r="X108" s="71"/>
      <c r="Y108" s="10" t="str">
        <f t="shared" si="54"/>
        <v/>
      </c>
      <c r="Z108" s="10" t="str">
        <f t="shared" si="71"/>
        <v/>
      </c>
      <c r="AA108" s="71"/>
      <c r="AB108" s="10" t="str">
        <f t="shared" si="55"/>
        <v/>
      </c>
      <c r="AC108" s="10" t="str">
        <f t="shared" si="72"/>
        <v/>
      </c>
      <c r="AD108" s="71"/>
      <c r="AE108" s="10" t="str">
        <f t="shared" si="56"/>
        <v/>
      </c>
      <c r="AF108" s="10" t="str">
        <f t="shared" si="73"/>
        <v/>
      </c>
      <c r="AG108" s="71"/>
      <c r="AH108" s="10" t="str">
        <f t="shared" si="57"/>
        <v/>
      </c>
      <c r="AI108" s="10" t="str">
        <f t="shared" si="74"/>
        <v/>
      </c>
      <c r="AJ108" s="71"/>
      <c r="AK108" s="10" t="str">
        <f t="shared" si="75"/>
        <v/>
      </c>
      <c r="AL108" s="10" t="str">
        <f t="shared" si="76"/>
        <v/>
      </c>
      <c r="AM108" s="71"/>
      <c r="AN108" s="10" t="str">
        <f t="shared" si="58"/>
        <v/>
      </c>
      <c r="AO108" s="10" t="str">
        <f t="shared" si="77"/>
        <v/>
      </c>
      <c r="AP108" s="71"/>
      <c r="AQ108" s="10" t="str">
        <f t="shared" si="59"/>
        <v/>
      </c>
      <c r="AR108" s="10" t="str">
        <f t="shared" si="78"/>
        <v/>
      </c>
      <c r="AS108" s="71"/>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U108" s="71"/>
      <c r="AV108" s="10" t="str">
        <f t="shared" si="60"/>
        <v/>
      </c>
      <c r="AW108" s="10" t="str">
        <f t="shared" si="61"/>
        <v/>
      </c>
      <c r="AX108" s="71"/>
      <c r="AY108" s="7" t="str">
        <f>IF(ISERROR(IF($K108&lt;=$F$15,VLOOKUP($I108,'表4）CO2価格'!$A$7:$E$67,VLOOKUP($F$48,'表4）CO2価格'!$H$10:$I$12,2,0),0)*$F$8/1000,"")),0,IF($K108&lt;=$F$15,VLOOKUP($I108,'表4）CO2価格'!$A$7:$E$67,VLOOKUP($F$48,'表4）CO2価格'!$H$10:$I$12,2,0),0)*$F$8/1000,""))</f>
        <v/>
      </c>
      <c r="AZ108" s="71"/>
      <c r="BA108" s="11" t="str">
        <f t="shared" si="62"/>
        <v/>
      </c>
      <c r="BB108" s="10" t="str">
        <f t="shared" si="79"/>
        <v/>
      </c>
      <c r="BC108" s="71"/>
      <c r="BD108" s="10" t="str">
        <f t="shared" si="63"/>
        <v/>
      </c>
      <c r="BE108" s="10" t="str">
        <f t="shared" si="80"/>
        <v/>
      </c>
      <c r="BF108" s="71"/>
      <c r="BG108" s="11" t="str">
        <f t="shared" si="64"/>
        <v/>
      </c>
      <c r="BH108" s="10" t="str">
        <f t="shared" si="81"/>
        <v/>
      </c>
      <c r="BJ108" s="7" t="str">
        <f t="shared" si="82"/>
        <v/>
      </c>
      <c r="BK108" s="158" t="str">
        <f t="shared" si="83"/>
        <v/>
      </c>
      <c r="BL108" s="158" t="str">
        <f t="shared" si="65"/>
        <v/>
      </c>
      <c r="BM108" s="10"/>
      <c r="BN108" s="10" t="str">
        <f t="shared" si="84"/>
        <v/>
      </c>
      <c r="BO108" s="10" t="str">
        <f t="shared" si="85"/>
        <v/>
      </c>
      <c r="BQ108" s="10" t="str">
        <f t="shared" si="66"/>
        <v/>
      </c>
      <c r="BR108" s="10" t="str">
        <f t="shared" si="86"/>
        <v/>
      </c>
    </row>
    <row r="109" spans="4:70" x14ac:dyDescent="0.15">
      <c r="D109" s="101" t="s">
        <v>205</v>
      </c>
      <c r="E109" s="101"/>
      <c r="F109" s="92"/>
      <c r="G109" s="101"/>
      <c r="I109" s="458">
        <f t="shared" si="87"/>
        <v>2114</v>
      </c>
      <c r="J109" s="470"/>
      <c r="K109" s="470">
        <f t="shared" si="88"/>
        <v>95</v>
      </c>
      <c r="L109" s="39"/>
      <c r="M109" s="40">
        <f t="shared" si="51"/>
        <v>6.0320322250551395E-2</v>
      </c>
      <c r="N109" s="39"/>
      <c r="O109" s="72" t="str">
        <f t="shared" si="67"/>
        <v/>
      </c>
      <c r="P109" s="41" t="str">
        <f t="shared" si="52"/>
        <v/>
      </c>
      <c r="Q109" s="39"/>
      <c r="R109" s="72" t="str">
        <f t="shared" si="68"/>
        <v/>
      </c>
      <c r="S109" s="39"/>
      <c r="T109" s="72" t="str">
        <f t="shared" si="69"/>
        <v/>
      </c>
      <c r="U109" s="39"/>
      <c r="V109" s="72" t="str">
        <f t="shared" si="53"/>
        <v/>
      </c>
      <c r="W109" s="72" t="str">
        <f t="shared" si="70"/>
        <v/>
      </c>
      <c r="X109" s="39"/>
      <c r="Y109" s="72" t="str">
        <f t="shared" si="54"/>
        <v/>
      </c>
      <c r="Z109" s="72" t="str">
        <f t="shared" si="71"/>
        <v/>
      </c>
      <c r="AA109" s="39"/>
      <c r="AB109" s="72" t="str">
        <f t="shared" si="55"/>
        <v/>
      </c>
      <c r="AC109" s="72" t="str">
        <f t="shared" si="72"/>
        <v/>
      </c>
      <c r="AD109" s="39"/>
      <c r="AE109" s="72" t="str">
        <f t="shared" si="56"/>
        <v/>
      </c>
      <c r="AF109" s="72" t="str">
        <f t="shared" si="73"/>
        <v/>
      </c>
      <c r="AG109" s="39"/>
      <c r="AH109" s="72" t="str">
        <f t="shared" si="57"/>
        <v/>
      </c>
      <c r="AI109" s="72" t="str">
        <f t="shared" si="74"/>
        <v/>
      </c>
      <c r="AJ109" s="39"/>
      <c r="AK109" s="72" t="str">
        <f t="shared" si="75"/>
        <v/>
      </c>
      <c r="AL109" s="72" t="str">
        <f t="shared" si="76"/>
        <v/>
      </c>
      <c r="AM109" s="39"/>
      <c r="AN109" s="72" t="str">
        <f t="shared" si="58"/>
        <v/>
      </c>
      <c r="AO109" s="72" t="str">
        <f t="shared" si="77"/>
        <v/>
      </c>
      <c r="AP109" s="39"/>
      <c r="AQ109" s="72" t="str">
        <f t="shared" si="59"/>
        <v/>
      </c>
      <c r="AR109" s="72" t="str">
        <f t="shared" si="78"/>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60"/>
        <v/>
      </c>
      <c r="AW109" s="72" t="str">
        <f t="shared" si="61"/>
        <v/>
      </c>
      <c r="AX109" s="39"/>
      <c r="AY109" s="40" t="str">
        <f>IF(ISERROR(IF($K109&lt;=$F$15,VLOOKUP($I109,'表4）CO2価格'!$A$7:$E$67,VLOOKUP($F$48,'表4）CO2価格'!$H$10:$I$12,2,0),0)*$F$8/1000,"")),0,IF($K109&lt;=$F$15,VLOOKUP($I109,'表4）CO2価格'!$A$7:$E$67,VLOOKUP($F$48,'表4）CO2価格'!$H$10:$I$12,2,0),0)*$F$8/1000,""))</f>
        <v/>
      </c>
      <c r="AZ109" s="39"/>
      <c r="BA109" s="42" t="str">
        <f t="shared" si="62"/>
        <v/>
      </c>
      <c r="BB109" s="72" t="str">
        <f t="shared" si="79"/>
        <v/>
      </c>
      <c r="BC109" s="39"/>
      <c r="BD109" s="72" t="str">
        <f t="shared" si="63"/>
        <v/>
      </c>
      <c r="BE109" s="72" t="str">
        <f t="shared" si="80"/>
        <v/>
      </c>
      <c r="BF109" s="39"/>
      <c r="BG109" s="42" t="str">
        <f t="shared" si="64"/>
        <v/>
      </c>
      <c r="BH109" s="72" t="str">
        <f t="shared" si="81"/>
        <v/>
      </c>
      <c r="BI109" s="39"/>
      <c r="BJ109" s="40" t="str">
        <f t="shared" si="82"/>
        <v/>
      </c>
      <c r="BK109" s="157" t="str">
        <f t="shared" si="83"/>
        <v/>
      </c>
      <c r="BL109" s="157" t="str">
        <f t="shared" si="65"/>
        <v/>
      </c>
      <c r="BM109" s="72"/>
      <c r="BN109" s="72" t="str">
        <f t="shared" si="84"/>
        <v/>
      </c>
      <c r="BO109" s="72" t="str">
        <f t="shared" si="85"/>
        <v/>
      </c>
      <c r="BP109" s="39"/>
      <c r="BQ109" s="72" t="str">
        <f t="shared" si="66"/>
        <v/>
      </c>
      <c r="BR109" s="72" t="str">
        <f t="shared" si="86"/>
        <v/>
      </c>
    </row>
    <row r="110" spans="4:70" ht="15" x14ac:dyDescent="0.15">
      <c r="D110" s="116"/>
      <c r="F110" s="93"/>
      <c r="I110" s="459">
        <f t="shared" si="87"/>
        <v>2115</v>
      </c>
      <c r="K110" s="9">
        <f t="shared" si="88"/>
        <v>96</v>
      </c>
      <c r="L110" s="71"/>
      <c r="M110" s="7">
        <f t="shared" si="51"/>
        <v>5.8563419660729518E-2</v>
      </c>
      <c r="N110" s="71"/>
      <c r="O110" s="10" t="str">
        <f t="shared" si="67"/>
        <v/>
      </c>
      <c r="P110" s="29" t="str">
        <f t="shared" si="52"/>
        <v/>
      </c>
      <c r="Q110" s="71"/>
      <c r="R110" s="10" t="str">
        <f t="shared" si="68"/>
        <v/>
      </c>
      <c r="S110" s="71"/>
      <c r="T110" s="10" t="str">
        <f t="shared" si="69"/>
        <v/>
      </c>
      <c r="U110" s="71"/>
      <c r="V110" s="10" t="str">
        <f t="shared" si="53"/>
        <v/>
      </c>
      <c r="W110" s="10" t="str">
        <f t="shared" si="70"/>
        <v/>
      </c>
      <c r="X110" s="71"/>
      <c r="Y110" s="10" t="str">
        <f t="shared" si="54"/>
        <v/>
      </c>
      <c r="Z110" s="10" t="str">
        <f t="shared" si="71"/>
        <v/>
      </c>
      <c r="AA110" s="71"/>
      <c r="AB110" s="10" t="str">
        <f t="shared" si="55"/>
        <v/>
      </c>
      <c r="AC110" s="10" t="str">
        <f t="shared" si="72"/>
        <v/>
      </c>
      <c r="AD110" s="71"/>
      <c r="AE110" s="10" t="str">
        <f t="shared" si="56"/>
        <v/>
      </c>
      <c r="AF110" s="10" t="str">
        <f t="shared" si="73"/>
        <v/>
      </c>
      <c r="AG110" s="71"/>
      <c r="AH110" s="10" t="str">
        <f t="shared" si="57"/>
        <v/>
      </c>
      <c r="AI110" s="10" t="str">
        <f t="shared" si="74"/>
        <v/>
      </c>
      <c r="AJ110" s="71"/>
      <c r="AK110" s="10" t="str">
        <f t="shared" si="75"/>
        <v/>
      </c>
      <c r="AL110" s="10" t="str">
        <f t="shared" si="76"/>
        <v/>
      </c>
      <c r="AM110" s="71"/>
      <c r="AN110" s="10" t="str">
        <f t="shared" si="58"/>
        <v/>
      </c>
      <c r="AO110" s="10" t="str">
        <f t="shared" si="77"/>
        <v/>
      </c>
      <c r="AP110" s="71"/>
      <c r="AQ110" s="10" t="str">
        <f t="shared" si="59"/>
        <v/>
      </c>
      <c r="AR110" s="10" t="str">
        <f t="shared" si="78"/>
        <v/>
      </c>
      <c r="AS110" s="71"/>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U110" s="71"/>
      <c r="AV110" s="10" t="str">
        <f t="shared" si="60"/>
        <v/>
      </c>
      <c r="AW110" s="10" t="str">
        <f t="shared" si="61"/>
        <v/>
      </c>
      <c r="AX110" s="71"/>
      <c r="AY110" s="7" t="str">
        <f>IF(ISERROR(IF($K110&lt;=$F$15,VLOOKUP($I110,'表4）CO2価格'!$A$7:$E$67,VLOOKUP($F$48,'表4）CO2価格'!$H$10:$I$12,2,0),0)*$F$8/1000,"")),0,IF($K110&lt;=$F$15,VLOOKUP($I110,'表4）CO2価格'!$A$7:$E$67,VLOOKUP($F$48,'表4）CO2価格'!$H$10:$I$12,2,0),0)*$F$8/1000,""))</f>
        <v/>
      </c>
      <c r="AZ110" s="71"/>
      <c r="BA110" s="11" t="str">
        <f t="shared" si="62"/>
        <v/>
      </c>
      <c r="BB110" s="10" t="str">
        <f t="shared" si="79"/>
        <v/>
      </c>
      <c r="BC110" s="71"/>
      <c r="BD110" s="10" t="str">
        <f t="shared" si="63"/>
        <v/>
      </c>
      <c r="BE110" s="10" t="str">
        <f t="shared" si="80"/>
        <v/>
      </c>
      <c r="BF110" s="71"/>
      <c r="BG110" s="11" t="str">
        <f t="shared" si="64"/>
        <v/>
      </c>
      <c r="BH110" s="10" t="str">
        <f t="shared" si="81"/>
        <v/>
      </c>
      <c r="BJ110" s="7" t="str">
        <f t="shared" si="82"/>
        <v/>
      </c>
      <c r="BK110" s="158" t="str">
        <f t="shared" si="83"/>
        <v/>
      </c>
      <c r="BL110" s="158" t="str">
        <f t="shared" si="65"/>
        <v/>
      </c>
      <c r="BM110" s="10"/>
      <c r="BN110" s="10" t="str">
        <f t="shared" si="84"/>
        <v/>
      </c>
      <c r="BO110" s="10" t="str">
        <f t="shared" si="85"/>
        <v/>
      </c>
      <c r="BQ110" s="10" t="str">
        <f t="shared" si="66"/>
        <v/>
      </c>
      <c r="BR110" s="10" t="str">
        <f t="shared" si="86"/>
        <v/>
      </c>
    </row>
    <row r="111" spans="4:70" ht="15" x14ac:dyDescent="0.15">
      <c r="D111" s="116"/>
      <c r="E111" s="81" t="s">
        <v>206</v>
      </c>
      <c r="F111" s="91">
        <f>-BE116/BR116</f>
        <v>-3.4618295587774126</v>
      </c>
      <c r="G111" s="81" t="s">
        <v>132</v>
      </c>
      <c r="I111" s="458">
        <f t="shared" si="87"/>
        <v>2116</v>
      </c>
      <c r="J111" s="470"/>
      <c r="K111" s="470">
        <f t="shared" si="88"/>
        <v>97</v>
      </c>
      <c r="L111" s="39"/>
      <c r="M111" s="40">
        <f t="shared" si="51"/>
        <v>5.6857688990999529E-2</v>
      </c>
      <c r="N111" s="39"/>
      <c r="O111" s="72" t="str">
        <f t="shared" si="67"/>
        <v/>
      </c>
      <c r="P111" s="41" t="str">
        <f>IF(K111&lt;=$F$15,IF(OR(P110=$F$124,P110="-"),"-",IF(O111*$F$123&gt;$F$127,$F$123,$F$124)),"")</f>
        <v/>
      </c>
      <c r="Q111" s="39"/>
      <c r="R111" s="72" t="str">
        <f t="shared" si="68"/>
        <v/>
      </c>
      <c r="S111" s="39"/>
      <c r="T111" s="72" t="str">
        <f t="shared" si="69"/>
        <v/>
      </c>
      <c r="U111" s="39"/>
      <c r="V111" s="72" t="str">
        <f t="shared" si="53"/>
        <v/>
      </c>
      <c r="W111" s="72" t="str">
        <f t="shared" si="70"/>
        <v/>
      </c>
      <c r="X111" s="39"/>
      <c r="Y111" s="72" t="str">
        <f t="shared" si="54"/>
        <v/>
      </c>
      <c r="Z111" s="72" t="str">
        <f t="shared" si="71"/>
        <v/>
      </c>
      <c r="AA111" s="39"/>
      <c r="AB111" s="72" t="str">
        <f t="shared" si="55"/>
        <v/>
      </c>
      <c r="AC111" s="72" t="str">
        <f t="shared" si="72"/>
        <v/>
      </c>
      <c r="AD111" s="39"/>
      <c r="AE111" s="72" t="str">
        <f t="shared" si="56"/>
        <v/>
      </c>
      <c r="AF111" s="72" t="str">
        <f t="shared" si="73"/>
        <v/>
      </c>
      <c r="AG111" s="39"/>
      <c r="AH111" s="72" t="str">
        <f t="shared" si="57"/>
        <v/>
      </c>
      <c r="AI111" s="72" t="str">
        <f t="shared" si="74"/>
        <v/>
      </c>
      <c r="AJ111" s="39"/>
      <c r="AK111" s="72" t="str">
        <f t="shared" si="75"/>
        <v/>
      </c>
      <c r="AL111" s="72" t="str">
        <f t="shared" si="76"/>
        <v/>
      </c>
      <c r="AM111" s="39"/>
      <c r="AN111" s="72" t="str">
        <f t="shared" si="58"/>
        <v/>
      </c>
      <c r="AO111" s="72" t="str">
        <f t="shared" si="77"/>
        <v/>
      </c>
      <c r="AP111" s="39"/>
      <c r="AQ111" s="72" t="str">
        <f t="shared" si="59"/>
        <v/>
      </c>
      <c r="AR111" s="72" t="str">
        <f t="shared" si="78"/>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60"/>
        <v/>
      </c>
      <c r="AW111" s="72" t="str">
        <f t="shared" si="61"/>
        <v/>
      </c>
      <c r="AX111" s="39"/>
      <c r="AY111" s="40" t="str">
        <f>IF(ISERROR(IF($K111&lt;=$F$15,VLOOKUP($I111,'表4）CO2価格'!$A$7:$E$67,VLOOKUP($F$48,'表4）CO2価格'!$H$10:$I$12,2,0),0)*$F$8/1000,"")),0,IF($K111&lt;=$F$15,VLOOKUP($I111,'表4）CO2価格'!$A$7:$E$67,VLOOKUP($F$48,'表4）CO2価格'!$H$10:$I$12,2,0),0)*$F$8/1000,""))</f>
        <v/>
      </c>
      <c r="AZ111" s="39"/>
      <c r="BA111" s="42" t="str">
        <f t="shared" si="62"/>
        <v/>
      </c>
      <c r="BB111" s="72" t="str">
        <f t="shared" si="79"/>
        <v/>
      </c>
      <c r="BC111" s="39"/>
      <c r="BD111" s="72" t="str">
        <f t="shared" si="63"/>
        <v/>
      </c>
      <c r="BE111" s="72" t="str">
        <f t="shared" si="80"/>
        <v/>
      </c>
      <c r="BF111" s="39"/>
      <c r="BG111" s="42" t="str">
        <f t="shared" si="64"/>
        <v/>
      </c>
      <c r="BH111" s="72" t="str">
        <f t="shared" si="81"/>
        <v/>
      </c>
      <c r="BI111" s="39"/>
      <c r="BJ111" s="40" t="str">
        <f t="shared" si="82"/>
        <v/>
      </c>
      <c r="BK111" s="157" t="str">
        <f t="shared" si="83"/>
        <v/>
      </c>
      <c r="BL111" s="157" t="str">
        <f t="shared" si="65"/>
        <v/>
      </c>
      <c r="BM111" s="72"/>
      <c r="BN111" s="72" t="str">
        <f t="shared" si="84"/>
        <v/>
      </c>
      <c r="BO111" s="72" t="str">
        <f t="shared" si="85"/>
        <v/>
      </c>
      <c r="BP111" s="39"/>
      <c r="BQ111" s="72" t="str">
        <f t="shared" si="66"/>
        <v/>
      </c>
      <c r="BR111" s="72" t="str">
        <f t="shared" si="86"/>
        <v/>
      </c>
    </row>
    <row r="112" spans="4:70" ht="15" x14ac:dyDescent="0.15">
      <c r="D112" s="116"/>
      <c r="E112" s="81" t="s">
        <v>207</v>
      </c>
      <c r="F112" s="91">
        <f>-BH116/BR116</f>
        <v>-0.82737252418569485</v>
      </c>
      <c r="G112" s="81" t="s">
        <v>132</v>
      </c>
      <c r="I112" s="459">
        <f t="shared" si="87"/>
        <v>2117</v>
      </c>
      <c r="K112" s="9">
        <f t="shared" si="88"/>
        <v>98</v>
      </c>
      <c r="L112" s="71"/>
      <c r="M112" s="7">
        <f t="shared" si="51"/>
        <v>5.5201639797086935E-2</v>
      </c>
      <c r="N112" s="71"/>
      <c r="O112" s="10" t="str">
        <f t="shared" si="67"/>
        <v/>
      </c>
      <c r="P112" s="29" t="str">
        <f>IF(K112&lt;=$F$15,IF(OR(P111=$F$124,P111="-"),"-",IF(O112*$F$123&gt;$F$127,$F$123,$F$124)),"")</f>
        <v/>
      </c>
      <c r="Q112" s="71"/>
      <c r="R112" s="10" t="str">
        <f t="shared" si="68"/>
        <v/>
      </c>
      <c r="S112" s="71"/>
      <c r="T112" s="10" t="str">
        <f t="shared" si="69"/>
        <v/>
      </c>
      <c r="U112" s="71"/>
      <c r="V112" s="10" t="str">
        <f t="shared" si="53"/>
        <v/>
      </c>
      <c r="W112" s="10" t="str">
        <f t="shared" si="70"/>
        <v/>
      </c>
      <c r="X112" s="71"/>
      <c r="Y112" s="10" t="str">
        <f t="shared" si="54"/>
        <v/>
      </c>
      <c r="Z112" s="10" t="str">
        <f t="shared" si="71"/>
        <v/>
      </c>
      <c r="AA112" s="71"/>
      <c r="AB112" s="10" t="str">
        <f t="shared" si="55"/>
        <v/>
      </c>
      <c r="AC112" s="10" t="str">
        <f t="shared" si="72"/>
        <v/>
      </c>
      <c r="AD112" s="71"/>
      <c r="AE112" s="10" t="str">
        <f t="shared" si="56"/>
        <v/>
      </c>
      <c r="AF112" s="10" t="str">
        <f t="shared" si="73"/>
        <v/>
      </c>
      <c r="AG112" s="71"/>
      <c r="AH112" s="10" t="str">
        <f t="shared" si="57"/>
        <v/>
      </c>
      <c r="AI112" s="10" t="str">
        <f t="shared" si="74"/>
        <v/>
      </c>
      <c r="AJ112" s="71"/>
      <c r="AK112" s="10" t="str">
        <f t="shared" si="75"/>
        <v/>
      </c>
      <c r="AL112" s="10" t="str">
        <f t="shared" si="76"/>
        <v/>
      </c>
      <c r="AM112" s="71"/>
      <c r="AN112" s="10" t="str">
        <f t="shared" si="58"/>
        <v/>
      </c>
      <c r="AO112" s="10" t="str">
        <f t="shared" si="77"/>
        <v/>
      </c>
      <c r="AP112" s="71"/>
      <c r="AQ112" s="10" t="str">
        <f t="shared" si="59"/>
        <v/>
      </c>
      <c r="AR112" s="10" t="str">
        <f t="shared" si="78"/>
        <v/>
      </c>
      <c r="AS112" s="71"/>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U112" s="71"/>
      <c r="AV112" s="10" t="str">
        <f t="shared" si="60"/>
        <v/>
      </c>
      <c r="AW112" s="10" t="str">
        <f t="shared" si="61"/>
        <v/>
      </c>
      <c r="AX112" s="71"/>
      <c r="AY112" s="7" t="str">
        <f>IF(ISERROR(IF($K112&lt;=$F$15,VLOOKUP($I112,'表4）CO2価格'!$A$7:$E$67,VLOOKUP($F$48,'表4）CO2価格'!$H$10:$I$12,2,0),0)*$F$8/1000,"")),0,IF($K112&lt;=$F$15,VLOOKUP($I112,'表4）CO2価格'!$A$7:$E$67,VLOOKUP($F$48,'表4）CO2価格'!$H$10:$I$12,2,0),0)*$F$8/1000,""))</f>
        <v/>
      </c>
      <c r="AZ112" s="71"/>
      <c r="BA112" s="11" t="str">
        <f t="shared" si="62"/>
        <v/>
      </c>
      <c r="BB112" s="10" t="str">
        <f t="shared" si="79"/>
        <v/>
      </c>
      <c r="BC112" s="71"/>
      <c r="BD112" s="10" t="str">
        <f t="shared" si="63"/>
        <v/>
      </c>
      <c r="BE112" s="10" t="str">
        <f t="shared" si="80"/>
        <v/>
      </c>
      <c r="BF112" s="71"/>
      <c r="BG112" s="11" t="str">
        <f t="shared" si="64"/>
        <v/>
      </c>
      <c r="BH112" s="10" t="str">
        <f t="shared" si="81"/>
        <v/>
      </c>
      <c r="BJ112" s="7" t="str">
        <f t="shared" si="82"/>
        <v/>
      </c>
      <c r="BK112" s="158" t="str">
        <f t="shared" si="83"/>
        <v/>
      </c>
      <c r="BL112" s="158" t="str">
        <f t="shared" si="65"/>
        <v/>
      </c>
      <c r="BM112" s="10"/>
      <c r="BN112" s="10" t="str">
        <f t="shared" si="84"/>
        <v/>
      </c>
      <c r="BO112" s="10" t="str">
        <f t="shared" si="85"/>
        <v/>
      </c>
      <c r="BQ112" s="10" t="str">
        <f t="shared" si="66"/>
        <v/>
      </c>
      <c r="BR112" s="10" t="str">
        <f t="shared" si="86"/>
        <v/>
      </c>
    </row>
    <row r="113" spans="2:70" x14ac:dyDescent="0.15">
      <c r="I113" s="458">
        <f t="shared" si="87"/>
        <v>2118</v>
      </c>
      <c r="J113" s="470"/>
      <c r="K113" s="470">
        <f t="shared" si="88"/>
        <v>99</v>
      </c>
      <c r="L113" s="39"/>
      <c r="M113" s="40">
        <f t="shared" si="51"/>
        <v>5.3593825045715457E-2</v>
      </c>
      <c r="N113" s="39"/>
      <c r="O113" s="72" t="str">
        <f t="shared" si="67"/>
        <v/>
      </c>
      <c r="P113" s="41" t="str">
        <f>IF(K113&lt;=$F$15,IF(OR(P112=$F$124,P112="-"),"-",IF(O113*$F$123&gt;$F$127,$F$123,$F$124)),"")</f>
        <v/>
      </c>
      <c r="Q113" s="39"/>
      <c r="R113" s="72" t="str">
        <f t="shared" si="68"/>
        <v/>
      </c>
      <c r="S113" s="39"/>
      <c r="T113" s="72" t="str">
        <f t="shared" si="69"/>
        <v/>
      </c>
      <c r="U113" s="39"/>
      <c r="V113" s="72" t="str">
        <f t="shared" si="53"/>
        <v/>
      </c>
      <c r="W113" s="72" t="str">
        <f t="shared" si="70"/>
        <v/>
      </c>
      <c r="X113" s="39"/>
      <c r="Y113" s="72" t="str">
        <f t="shared" si="54"/>
        <v/>
      </c>
      <c r="Z113" s="72" t="str">
        <f t="shared" si="71"/>
        <v/>
      </c>
      <c r="AA113" s="39"/>
      <c r="AB113" s="72" t="str">
        <f t="shared" si="55"/>
        <v/>
      </c>
      <c r="AC113" s="72" t="str">
        <f t="shared" si="72"/>
        <v/>
      </c>
      <c r="AD113" s="39"/>
      <c r="AE113" s="72" t="str">
        <f t="shared" si="56"/>
        <v/>
      </c>
      <c r="AF113" s="72" t="str">
        <f t="shared" si="73"/>
        <v/>
      </c>
      <c r="AG113" s="39"/>
      <c r="AH113" s="72" t="str">
        <f t="shared" si="57"/>
        <v/>
      </c>
      <c r="AI113" s="72" t="str">
        <f t="shared" si="74"/>
        <v/>
      </c>
      <c r="AJ113" s="39"/>
      <c r="AK113" s="72" t="str">
        <f t="shared" si="75"/>
        <v/>
      </c>
      <c r="AL113" s="72" t="str">
        <f t="shared" si="76"/>
        <v/>
      </c>
      <c r="AM113" s="39"/>
      <c r="AN113" s="72" t="str">
        <f t="shared" si="58"/>
        <v/>
      </c>
      <c r="AO113" s="72" t="str">
        <f t="shared" si="77"/>
        <v/>
      </c>
      <c r="AP113" s="39"/>
      <c r="AQ113" s="72" t="str">
        <f t="shared" si="59"/>
        <v/>
      </c>
      <c r="AR113" s="72" t="str">
        <f t="shared" si="78"/>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60"/>
        <v/>
      </c>
      <c r="AW113" s="72" t="str">
        <f t="shared" si="61"/>
        <v/>
      </c>
      <c r="AX113" s="39"/>
      <c r="AY113" s="40" t="str">
        <f>IF(ISERROR(IF($K113&lt;=$F$15,VLOOKUP($I113,'表4）CO2価格'!$A$7:$E$67,VLOOKUP($F$48,'表4）CO2価格'!$H$10:$I$12,2,0),0)*$F$8/1000,"")),0,IF($K113&lt;=$F$15,VLOOKUP($I113,'表4）CO2価格'!$A$7:$E$67,VLOOKUP($F$48,'表4）CO2価格'!$H$10:$I$12,2,0),0)*$F$8/1000,""))</f>
        <v/>
      </c>
      <c r="AZ113" s="39"/>
      <c r="BA113" s="42" t="str">
        <f t="shared" si="62"/>
        <v/>
      </c>
      <c r="BB113" s="72" t="str">
        <f t="shared" si="79"/>
        <v/>
      </c>
      <c r="BC113" s="39"/>
      <c r="BD113" s="72" t="str">
        <f t="shared" si="63"/>
        <v/>
      </c>
      <c r="BE113" s="72" t="str">
        <f t="shared" si="80"/>
        <v/>
      </c>
      <c r="BF113" s="39"/>
      <c r="BG113" s="42" t="str">
        <f t="shared" si="64"/>
        <v/>
      </c>
      <c r="BH113" s="72" t="str">
        <f t="shared" si="81"/>
        <v/>
      </c>
      <c r="BI113" s="39"/>
      <c r="BJ113" s="40" t="str">
        <f t="shared" si="82"/>
        <v/>
      </c>
      <c r="BK113" s="157" t="str">
        <f t="shared" si="83"/>
        <v/>
      </c>
      <c r="BL113" s="157" t="str">
        <f t="shared" si="65"/>
        <v/>
      </c>
      <c r="BM113" s="72"/>
      <c r="BN113" s="72" t="str">
        <f t="shared" si="84"/>
        <v/>
      </c>
      <c r="BO113" s="72" t="str">
        <f t="shared" si="85"/>
        <v/>
      </c>
      <c r="BP113" s="39"/>
      <c r="BQ113" s="72" t="str">
        <f t="shared" si="66"/>
        <v/>
      </c>
      <c r="BR113" s="72" t="str">
        <f t="shared" si="86"/>
        <v/>
      </c>
    </row>
    <row r="114" spans="2:70" x14ac:dyDescent="0.15">
      <c r="I114" s="459">
        <f t="shared" si="87"/>
        <v>2119</v>
      </c>
      <c r="K114" s="9">
        <f t="shared" si="88"/>
        <v>100</v>
      </c>
      <c r="L114" s="71"/>
      <c r="M114" s="7">
        <f t="shared" si="51"/>
        <v>5.2032839850209185E-2</v>
      </c>
      <c r="N114" s="71"/>
      <c r="O114" s="10" t="str">
        <f t="shared" si="67"/>
        <v/>
      </c>
      <c r="P114" s="29" t="str">
        <f>IF(K114&lt;=$F$15,IF(OR(P113=$F$124,P113="-"),"-",IF(O114*$F$123&gt;$F$127,$F$123,$F$124)),"")</f>
        <v/>
      </c>
      <c r="Q114" s="71"/>
      <c r="R114" s="10" t="str">
        <f t="shared" si="68"/>
        <v/>
      </c>
      <c r="S114" s="71"/>
      <c r="T114" s="10" t="str">
        <f t="shared" si="69"/>
        <v/>
      </c>
      <c r="U114" s="71"/>
      <c r="V114" s="10" t="str">
        <f t="shared" si="53"/>
        <v/>
      </c>
      <c r="W114" s="10" t="str">
        <f t="shared" si="70"/>
        <v/>
      </c>
      <c r="X114" s="71"/>
      <c r="Y114" s="10" t="str">
        <f t="shared" si="54"/>
        <v/>
      </c>
      <c r="Z114" s="10" t="str">
        <f t="shared" si="71"/>
        <v/>
      </c>
      <c r="AA114" s="71"/>
      <c r="AB114" s="10" t="str">
        <f t="shared" si="55"/>
        <v/>
      </c>
      <c r="AC114" s="10" t="str">
        <f t="shared" si="72"/>
        <v/>
      </c>
      <c r="AD114" s="71"/>
      <c r="AE114" s="10" t="str">
        <f t="shared" si="56"/>
        <v/>
      </c>
      <c r="AF114" s="10" t="str">
        <f t="shared" si="73"/>
        <v/>
      </c>
      <c r="AG114" s="71"/>
      <c r="AH114" s="10" t="str">
        <f t="shared" si="57"/>
        <v/>
      </c>
      <c r="AI114" s="10" t="str">
        <f t="shared" si="74"/>
        <v/>
      </c>
      <c r="AJ114" s="71"/>
      <c r="AK114" s="10" t="str">
        <f t="shared" si="75"/>
        <v/>
      </c>
      <c r="AL114" s="10" t="str">
        <f t="shared" si="76"/>
        <v/>
      </c>
      <c r="AM114" s="71"/>
      <c r="AN114" s="10" t="str">
        <f t="shared" si="58"/>
        <v/>
      </c>
      <c r="AO114" s="10" t="str">
        <f t="shared" si="77"/>
        <v/>
      </c>
      <c r="AP114" s="71"/>
      <c r="AQ114" s="10" t="str">
        <f t="shared" si="59"/>
        <v/>
      </c>
      <c r="AR114" s="10" t="str">
        <f t="shared" si="78"/>
        <v/>
      </c>
      <c r="AS114" s="71"/>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U114" s="71"/>
      <c r="AV114" s="10" t="str">
        <f t="shared" si="60"/>
        <v/>
      </c>
      <c r="AW114" s="10" t="str">
        <f t="shared" si="61"/>
        <v/>
      </c>
      <c r="AX114" s="71"/>
      <c r="AY114" s="7" t="str">
        <f>IF(ISERROR(IF($K114&lt;=$F$15,VLOOKUP($I114,'表4）CO2価格'!$A$7:$E$67,VLOOKUP($F$48,'表4）CO2価格'!$H$10:$I$12,2,0),0)*$F$8/1000,"")),0,IF($K114&lt;=$F$15,VLOOKUP($I114,'表4）CO2価格'!$A$7:$E$67,VLOOKUP($F$48,'表4）CO2価格'!$H$10:$I$12,2,0),0)*$F$8/1000,""))</f>
        <v/>
      </c>
      <c r="AZ114" s="71"/>
      <c r="BA114" s="11" t="str">
        <f t="shared" si="62"/>
        <v/>
      </c>
      <c r="BB114" s="10" t="str">
        <f t="shared" si="79"/>
        <v/>
      </c>
      <c r="BC114" s="71"/>
      <c r="BD114" s="10" t="str">
        <f t="shared" si="63"/>
        <v/>
      </c>
      <c r="BE114" s="10" t="str">
        <f t="shared" si="80"/>
        <v/>
      </c>
      <c r="BF114" s="71"/>
      <c r="BG114" s="11" t="str">
        <f t="shared" si="64"/>
        <v/>
      </c>
      <c r="BH114" s="10" t="str">
        <f t="shared" si="81"/>
        <v/>
      </c>
      <c r="BJ114" s="7" t="str">
        <f t="shared" si="82"/>
        <v/>
      </c>
      <c r="BK114" s="158" t="str">
        <f t="shared" si="83"/>
        <v/>
      </c>
      <c r="BL114" s="158" t="str">
        <f t="shared" si="65"/>
        <v/>
      </c>
      <c r="BM114" s="10"/>
      <c r="BN114" s="10" t="str">
        <f t="shared" si="84"/>
        <v/>
      </c>
      <c r="BO114" s="10" t="str">
        <f t="shared" si="85"/>
        <v/>
      </c>
      <c r="BQ114" s="10" t="str">
        <f t="shared" si="66"/>
        <v/>
      </c>
      <c r="BR114" s="10" t="str">
        <f t="shared" si="86"/>
        <v/>
      </c>
    </row>
    <row r="115" spans="2:70" ht="15.75" thickBot="1" x14ac:dyDescent="0.2">
      <c r="B115" s="460" t="s">
        <v>515</v>
      </c>
      <c r="C115" s="86"/>
      <c r="D115" s="104"/>
      <c r="E115" s="104"/>
      <c r="F115" s="86"/>
      <c r="G115" s="104"/>
      <c r="I115" s="464"/>
      <c r="J115" s="89"/>
      <c r="K115" s="89"/>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9" t="s">
        <v>516</v>
      </c>
      <c r="L116" s="71"/>
      <c r="M116" s="71"/>
      <c r="N116" s="71"/>
      <c r="O116" s="71"/>
      <c r="P116" s="71"/>
      <c r="Q116" s="71"/>
      <c r="R116" s="71"/>
      <c r="S116" s="71"/>
      <c r="T116" s="71"/>
      <c r="U116" s="71"/>
      <c r="V116" s="71"/>
      <c r="W116" s="11"/>
      <c r="X116" s="71"/>
      <c r="Y116" s="71"/>
      <c r="Z116" s="11">
        <f>SUM(Z15:Z114)</f>
        <v>69273879.563517913</v>
      </c>
      <c r="AA116" s="71"/>
      <c r="AB116" s="71"/>
      <c r="AC116" s="11">
        <f>SUM(AC15:AC114)</f>
        <v>16799460.096765134</v>
      </c>
      <c r="AD116" s="71"/>
      <c r="AE116" s="71"/>
      <c r="AF116" s="11">
        <f>SUM(AF15:AF114)</f>
        <v>0</v>
      </c>
      <c r="AG116" s="71"/>
      <c r="AH116" s="71"/>
      <c r="AI116" s="11">
        <f>SUM(AI15:AI114)</f>
        <v>0</v>
      </c>
      <c r="AJ116" s="71"/>
      <c r="AK116" s="71"/>
      <c r="AL116" s="11">
        <f>SUM(AL15:AL114)</f>
        <v>1176026480.9681869</v>
      </c>
      <c r="AM116" s="71"/>
      <c r="AN116" s="71"/>
      <c r="AO116" s="11">
        <f>SUM(AO15:AO114)</f>
        <v>0</v>
      </c>
      <c r="AP116" s="71"/>
      <c r="AQ116" s="71"/>
      <c r="AR116" s="11">
        <f>SUM(AR15:AR114)</f>
        <v>0</v>
      </c>
      <c r="AS116" s="71"/>
      <c r="AT116" s="71"/>
      <c r="AU116" s="71"/>
      <c r="AV116" s="71"/>
      <c r="AW116" s="11">
        <f>SUM(AW15:AW114)</f>
        <v>6258840228.2735023</v>
      </c>
      <c r="AX116" s="71"/>
      <c r="AY116" s="71"/>
      <c r="AZ116" s="71"/>
      <c r="BA116" s="71"/>
      <c r="BB116" s="11">
        <f>SUM(BB15:BB114)</f>
        <v>1495854244.1848092</v>
      </c>
      <c r="BC116" s="71"/>
      <c r="BD116" s="71"/>
      <c r="BE116" s="11">
        <f>SUM(BE15:BE114)</f>
        <v>2519183191.8800855</v>
      </c>
      <c r="BF116" s="71"/>
      <c r="BG116" s="71"/>
      <c r="BH116" s="11">
        <f>SUM(BH15:BH114)</f>
        <v>602081333.28438592</v>
      </c>
      <c r="BK116" s="11">
        <f>SUM(BK15:BK114)</f>
        <v>0</v>
      </c>
      <c r="BL116" s="11">
        <f>SUM(BL15:BL114)</f>
        <v>0</v>
      </c>
      <c r="BO116" s="11">
        <f>SUM(BO15:BO114)</f>
        <v>0</v>
      </c>
      <c r="BQ116" s="71"/>
      <c r="BR116" s="11">
        <f>SUM(BR15:BR114)</f>
        <v>727702837.21586967</v>
      </c>
    </row>
    <row r="117" spans="2:70" x14ac:dyDescent="0.15">
      <c r="C117" s="9" t="s">
        <v>529</v>
      </c>
      <c r="F117" s="44">
        <f>F21*10^4*F13*10^4+F29*10^8</f>
        <v>840000000</v>
      </c>
      <c r="G117" s="81" t="s">
        <v>208</v>
      </c>
      <c r="I117" s="236" t="s">
        <v>145</v>
      </c>
      <c r="L117" s="71"/>
      <c r="M117" s="71"/>
      <c r="N117" s="71"/>
      <c r="O117" s="71"/>
      <c r="P117" s="71"/>
      <c r="Q117" s="71"/>
      <c r="R117" s="71"/>
      <c r="S117" s="71"/>
      <c r="T117" s="71"/>
      <c r="U117" s="71"/>
      <c r="V117" s="71"/>
      <c r="W117" s="11"/>
      <c r="X117" s="71"/>
      <c r="Y117" s="71"/>
      <c r="Z117" s="11" t="str">
        <f ca="1">IF(ISNUMBER($F$16),SUM(INDIRECT(ADDRESS($F$16+15,COLUMN())):INDIRECT(ADDRESS(114,COLUMN()))),"")</f>
        <v/>
      </c>
      <c r="AA117" s="71"/>
      <c r="AB117" s="71"/>
      <c r="AC117" s="11" t="str">
        <f ca="1">IF(ISNUMBER($F$16),SUM(INDIRECT(ADDRESS($F$16+15,COLUMN())):INDIRECT(ADDRESS(114,COLUMN()))),"")</f>
        <v/>
      </c>
      <c r="AD117" s="71"/>
      <c r="AE117" s="71"/>
      <c r="AF117" s="11" t="str">
        <f ca="1">IF(ISNUMBER($F$16),SUM(INDIRECT(ADDRESS($F$16+15,COLUMN())):INDIRECT(ADDRESS(114,COLUMN()))),"")</f>
        <v/>
      </c>
      <c r="AG117" s="71"/>
      <c r="AH117" s="71"/>
      <c r="AI117" s="11" t="str">
        <f ca="1">IF(ISNUMBER($F$16),SUM(INDIRECT(ADDRESS($F$16+15,COLUMN())):INDIRECT(ADDRESS(114,COLUMN()))),"")</f>
        <v/>
      </c>
      <c r="AJ117" s="71"/>
      <c r="AK117" s="71"/>
      <c r="AL117" s="11" t="str">
        <f ca="1">IF(ISNUMBER($F$16),SUM(INDIRECT(ADDRESS($F$16+15,COLUMN())):INDIRECT(ADDRESS(114,COLUMN()))),"")</f>
        <v/>
      </c>
      <c r="AM117" s="71"/>
      <c r="AN117" s="71"/>
      <c r="AO117" s="11" t="str">
        <f ca="1">IF(ISNUMBER($F$16),SUM(INDIRECT(ADDRESS($F$16+15,COLUMN())):INDIRECT(ADDRESS(114,COLUMN()))),"")</f>
        <v/>
      </c>
      <c r="AP117" s="71"/>
      <c r="AQ117" s="71"/>
      <c r="AR117" s="11" t="str">
        <f ca="1">IF(ISNUMBER($F$16),SUM(INDIRECT(ADDRESS($F$16+15,COLUMN())):INDIRECT(ADDRESS(114,COLUMN()))),"")</f>
        <v/>
      </c>
      <c r="AS117" s="71"/>
      <c r="AT117" s="71"/>
      <c r="AU117" s="71"/>
      <c r="AV117" s="71"/>
      <c r="AW117" s="11" t="str">
        <f ca="1">IF(ISNUMBER($F$16),SUM(INDIRECT(ADDRESS($F$16+15,COLUMN())):INDIRECT(ADDRESS(114,COLUMN()))),"")</f>
        <v/>
      </c>
      <c r="AX117" s="71"/>
      <c r="AY117" s="71"/>
      <c r="AZ117" s="71"/>
      <c r="BA117" s="71"/>
      <c r="BB117" s="11" t="str">
        <f ca="1">IF(ISNUMBER($F$16),SUM(INDIRECT(ADDRESS($F$16+15,COLUMN())):INDIRECT(ADDRESS(114,COLUMN()))),"")</f>
        <v/>
      </c>
      <c r="BC117" s="71"/>
      <c r="BD117" s="71"/>
      <c r="BE117" s="11" t="str">
        <f ca="1">IF(ISNUMBER($F$16),SUM(INDIRECT(ADDRESS($F$16+15,COLUMN())):INDIRECT(ADDRESS(114,COLUMN()))),"")</f>
        <v/>
      </c>
      <c r="BF117" s="71"/>
      <c r="BG117" s="71"/>
      <c r="BH117" s="11" t="str">
        <f ca="1">IF(ISNUMBER($F$16),SUM(INDIRECT(ADDRESS($F$16+15,COLUMN())):INDIRECT(ADDRESS(114,COLUMN()))),"")</f>
        <v/>
      </c>
      <c r="BK117" s="11" t="str">
        <f ca="1">IF(ISNUMBER($F$16),SUM(INDIRECT(ADDRESS($F$16+15,COLUMN())):INDIRECT(ADDRESS(114,COLUMN()))),"")</f>
        <v/>
      </c>
      <c r="BL117" s="11" t="str">
        <f ca="1">IF(ISNUMBER($F$16),SUM(INDIRECT(ADDRESS($F$16+15,COLUMN())):INDIRECT(ADDRESS(114,COLUMN()))),"")</f>
        <v/>
      </c>
      <c r="BO117" s="11" t="str">
        <f ca="1">IF(ISNUMBER($F$16),SUM(INDIRECT(ADDRESS($F$16+15,COLUMN())):INDIRECT(ADDRESS(114,COLUMN()))),"")</f>
        <v/>
      </c>
      <c r="BQ117" s="71"/>
      <c r="BR117" s="11" t="str">
        <f ca="1">IF(ISNUMBER($F$16),SUM(INDIRECT(ADDRESS($F$16+15,COLUMN())):INDIRECT(ADDRESS(114,COLUMN()))),"")</f>
        <v/>
      </c>
    </row>
    <row r="119" spans="2:70" x14ac:dyDescent="0.15">
      <c r="C119" s="9" t="s">
        <v>521</v>
      </c>
      <c r="F119" s="44">
        <f>VLOOKUP(F3,'表2）法定耐用年数'!$A$2:$B$24,2,0)</f>
        <v>15</v>
      </c>
      <c r="G119" s="81" t="s">
        <v>108</v>
      </c>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Q119" s="71"/>
      <c r="BR119" s="71"/>
    </row>
    <row r="121" spans="2:70" x14ac:dyDescent="0.15">
      <c r="C121" s="89" t="s">
        <v>522</v>
      </c>
      <c r="D121" s="101"/>
      <c r="E121" s="101"/>
      <c r="F121" s="89"/>
      <c r="G121" s="10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Q121" s="71"/>
      <c r="BR121" s="71"/>
    </row>
    <row r="123" spans="2:70" x14ac:dyDescent="0.15">
      <c r="D123" s="81" t="s">
        <v>209</v>
      </c>
      <c r="F123" s="95">
        <f>VLOOKUP($F$119,'表1）減価償却率表'!$A$9:$E$107,3,0)</f>
        <v>0.16700000000000001</v>
      </c>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Q123" s="71"/>
      <c r="BR123" s="71"/>
    </row>
    <row r="124" spans="2:70" x14ac:dyDescent="0.15">
      <c r="D124" s="81" t="s">
        <v>210</v>
      </c>
      <c r="F124" s="95">
        <f>VLOOKUP($F$119,'表1）減価償却率表'!$A$9:$E$107,4,0)</f>
        <v>0.2</v>
      </c>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Q124" s="71"/>
      <c r="BR124" s="71"/>
    </row>
    <row r="125" spans="2:70" x14ac:dyDescent="0.15">
      <c r="D125" s="81" t="s">
        <v>211</v>
      </c>
      <c r="F125" s="88">
        <f>VLOOKUP($F$119,'表1）減価償却率表'!$A$9:$E$107,5,0)</f>
        <v>3.2169999999999997E-2</v>
      </c>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Q125" s="71"/>
      <c r="BR125" s="71"/>
    </row>
    <row r="126" spans="2:70" x14ac:dyDescent="0.15">
      <c r="F126" s="96"/>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Q126" s="71"/>
      <c r="BR126" s="71"/>
    </row>
    <row r="127" spans="2:70" x14ac:dyDescent="0.15">
      <c r="C127" s="111" t="s">
        <v>523</v>
      </c>
      <c r="D127" s="85"/>
      <c r="E127" s="114"/>
      <c r="F127" s="44">
        <f>F117*F125</f>
        <v>27022799.999999996</v>
      </c>
      <c r="G127" s="81" t="s">
        <v>208</v>
      </c>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Q127" s="71"/>
      <c r="BR127" s="71"/>
    </row>
    <row r="129" spans="3:7" x14ac:dyDescent="0.15">
      <c r="C129" s="111" t="s">
        <v>152</v>
      </c>
      <c r="D129" s="85"/>
      <c r="E129" s="85"/>
      <c r="F129" s="95">
        <f>0.1^(1/F119)</f>
        <v>0.85769589859089412</v>
      </c>
      <c r="G129" s="85"/>
    </row>
    <row r="131" spans="3:7" x14ac:dyDescent="0.15">
      <c r="C131" s="89" t="s">
        <v>524</v>
      </c>
      <c r="D131" s="101"/>
      <c r="E131" s="101"/>
      <c r="F131" s="89"/>
      <c r="G131" s="101"/>
    </row>
    <row r="133" spans="3:7" x14ac:dyDescent="0.15">
      <c r="D133" s="81" t="s">
        <v>212</v>
      </c>
      <c r="F133" s="44">
        <f>F13*10000*24*365*F14/100</f>
        <v>38000880</v>
      </c>
      <c r="G133" s="81" t="s">
        <v>213</v>
      </c>
    </row>
    <row r="134" spans="3:7" x14ac:dyDescent="0.15">
      <c r="D134" s="81" t="s">
        <v>214</v>
      </c>
      <c r="F134" s="44">
        <f>F133*(1-F24/100)</f>
        <v>37126859.759999998</v>
      </c>
      <c r="G134" s="81" t="s">
        <v>213</v>
      </c>
    </row>
    <row r="135" spans="3:7" x14ac:dyDescent="0.15">
      <c r="F135" s="97"/>
    </row>
    <row r="137" spans="3:7" ht="16.5" x14ac:dyDescent="0.15">
      <c r="C137" s="9" t="s">
        <v>525</v>
      </c>
      <c r="F137" s="44">
        <f>IF(ISERROR(F133*3.6/(F23/100)/F22),0,F133*3.6/(F23/100)/F22)</f>
        <v>6070320.3706004499</v>
      </c>
      <c r="G137" s="9" t="s">
        <v>370</v>
      </c>
    </row>
    <row r="139" spans="3:7" x14ac:dyDescent="0.15">
      <c r="C139" s="89" t="s">
        <v>526</v>
      </c>
      <c r="D139" s="101"/>
      <c r="E139" s="101"/>
      <c r="F139" s="89"/>
      <c r="G139" s="101"/>
    </row>
    <row r="141" spans="3:7" x14ac:dyDescent="0.15">
      <c r="D141" s="81" t="s">
        <v>215</v>
      </c>
      <c r="F141" s="98">
        <f>IF(OR(F3="石炭火力",F3= "LNG火力", F3="ガスコジェネ",F3="バイオマス（石炭混焼）",F3="バイオマス（木質専焼）",F3="燃料電池"),IF($F$43="需要地価格","",1000),IF(OR(F3="石油火力",F3="石油コジェネ"),IF($F$43="需要地価格","",158.987294928),""))</f>
        <v>1000</v>
      </c>
      <c r="G141" s="81" t="s">
        <v>216</v>
      </c>
    </row>
    <row r="142" spans="3:7" x14ac:dyDescent="0.15">
      <c r="D142" s="81" t="s">
        <v>180</v>
      </c>
      <c r="F142" s="91">
        <f>IF(ISERROR(F42/1000),0,F42/1000)</f>
        <v>2.8</v>
      </c>
      <c r="G142" s="81" t="s">
        <v>217</v>
      </c>
    </row>
    <row r="145" spans="3:7" x14ac:dyDescent="0.15">
      <c r="C145" s="9" t="s">
        <v>368</v>
      </c>
      <c r="F145" s="98">
        <f>IF(ISERROR(F133*(F47*3.6/(F23/100)/1000*(44/12))),0,F133*(F47*3.6/(F23/100)/1000*(44/12)))</f>
        <v>16886779.402718443</v>
      </c>
      <c r="G145" s="81" t="s">
        <v>218</v>
      </c>
    </row>
    <row r="147" spans="3:7" x14ac:dyDescent="0.15">
      <c r="C147" s="89" t="s">
        <v>369</v>
      </c>
      <c r="D147" s="101"/>
      <c r="E147" s="101"/>
      <c r="F147" s="89"/>
      <c r="G147" s="101"/>
    </row>
    <row r="149" spans="3:7" x14ac:dyDescent="0.15">
      <c r="D149" s="81" t="s">
        <v>219</v>
      </c>
      <c r="F149" s="91">
        <f>IF(ISERROR(F52/F23),0,F52/F23)</f>
        <v>0.78155339805825241</v>
      </c>
    </row>
    <row r="150" spans="3:7" x14ac:dyDescent="0.15">
      <c r="D150" s="81" t="s">
        <v>220</v>
      </c>
      <c r="F150" s="98">
        <f>F133*F149*(F53/100)*3.6</f>
        <v>106918980.81553398</v>
      </c>
      <c r="G150" s="81" t="s">
        <v>221</v>
      </c>
    </row>
    <row r="151" spans="3:7" ht="16.5" x14ac:dyDescent="0.15">
      <c r="D151" s="81" t="s">
        <v>222</v>
      </c>
      <c r="F151" s="44">
        <f>IF(ISERROR(F150/(F54/100)/F55),0,F150/(F54/100)/F55)</f>
        <v>2443303.9491666812</v>
      </c>
      <c r="G151" s="9" t="s">
        <v>370</v>
      </c>
    </row>
    <row r="152" spans="3:7" x14ac:dyDescent="0.15">
      <c r="D152" s="81" t="s">
        <v>223</v>
      </c>
      <c r="F152" s="146">
        <f>IF(ISERROR(F56/1000),0,F56/1000)</f>
        <v>2.8</v>
      </c>
      <c r="G152" s="81" t="s">
        <v>217</v>
      </c>
    </row>
    <row r="153" spans="3:7" x14ac:dyDescent="0.15">
      <c r="D153" s="81" t="s">
        <v>224</v>
      </c>
      <c r="F153" s="98">
        <f>IF(ISERROR(F150*F47/1000*(44/12)/(F54/100)),0,F150*F47/1000*(44/12)/(F54/100))</f>
        <v>6796928.7095941743</v>
      </c>
      <c r="G153" s="81" t="s">
        <v>218</v>
      </c>
    </row>
  </sheetData>
  <mergeCells count="48">
    <mergeCell ref="BO12:BO13"/>
    <mergeCell ref="BJ12:BJ13"/>
    <mergeCell ref="BE12:BE13"/>
    <mergeCell ref="BH12:BH13"/>
    <mergeCell ref="BR12:BR13"/>
    <mergeCell ref="BL12:BL13"/>
    <mergeCell ref="AI12:AI13"/>
    <mergeCell ref="AL12:AL13"/>
    <mergeCell ref="AO12:AO13"/>
    <mergeCell ref="AR12:AR13"/>
    <mergeCell ref="AW12:AW13"/>
    <mergeCell ref="V9:W10"/>
    <mergeCell ref="Y9:Z10"/>
    <mergeCell ref="BB12:BB13"/>
    <mergeCell ref="BK12:BK13"/>
    <mergeCell ref="P12:P13"/>
    <mergeCell ref="W12:W13"/>
    <mergeCell ref="Z12:Z13"/>
    <mergeCell ref="AC12:AC13"/>
    <mergeCell ref="AF12:AF13"/>
    <mergeCell ref="AB9:AC10"/>
    <mergeCell ref="T9:T10"/>
    <mergeCell ref="AN9:AO10"/>
    <mergeCell ref="AH9:AI10"/>
    <mergeCell ref="AQ9:AR10"/>
    <mergeCell ref="AV9:AW10"/>
    <mergeCell ref="AY9:AY10"/>
    <mergeCell ref="BQ7:BR7"/>
    <mergeCell ref="I9:I10"/>
    <mergeCell ref="K9:K10"/>
    <mergeCell ref="M9:M10"/>
    <mergeCell ref="O9:P10"/>
    <mergeCell ref="R9:R10"/>
    <mergeCell ref="BD9:BE10"/>
    <mergeCell ref="BG9:BH10"/>
    <mergeCell ref="BJ7:BO7"/>
    <mergeCell ref="BJ9:BL10"/>
    <mergeCell ref="BN9:BO10"/>
    <mergeCell ref="AT9:AT10"/>
    <mergeCell ref="AE9:AF10"/>
    <mergeCell ref="BD7:BH7"/>
    <mergeCell ref="AK9:AL10"/>
    <mergeCell ref="BA9:BB10"/>
    <mergeCell ref="F3:G3"/>
    <mergeCell ref="V7:AF7"/>
    <mergeCell ref="AH7:AR7"/>
    <mergeCell ref="AT7:AW7"/>
    <mergeCell ref="AY7:BB7"/>
  </mergeCells>
  <phoneticPr fontId="18"/>
  <dataValidations count="4">
    <dataValidation type="list" allowBlank="1" showDropDown="1" showInputMessage="1" showErrorMessage="1" sqref="F48 F41" xr:uid="{00000000-0002-0000-0900-000000000000}">
      <formula1>"現行政策シナリオ, 新政策シナリオ"</formula1>
    </dataValidation>
    <dataValidation type="whole" allowBlank="1" showInputMessage="1" showErrorMessage="1" sqref="F7" xr:uid="{00000000-0002-0000-0900-000001000000}">
      <formula1>2010</formula1>
      <formula2>2030</formula2>
    </dataValidation>
    <dataValidation type="list" allowBlank="1" showDropDown="1" showInputMessage="1" showErrorMessage="1" sqref="F43" xr:uid="{00000000-0002-0000-0900-000002000000}">
      <formula1>"CIF価格, 需要地価格"</formula1>
    </dataValidation>
    <dataValidation type="list" allowBlank="1" showDropDown="1" showInputMessage="1" showErrorMessage="1" sqref="F3:G3" xr:uid="{00000000-0002-0000-0900-000003000000}">
      <formula1>"原子力,石炭火力,LNG火力,石油火力,一般水力,太陽光（メガソーラー）,太陽光（住宅）,風力（陸上）,風力（洋上）,小水力,地熱,バイオマス（石炭混焼）,バイオマス（木質専焼）,ガスコジェネ,石油コジェネ,燃料電池"</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R153"/>
  <sheetViews>
    <sheetView showGridLines="0" zoomScale="85" zoomScaleNormal="85" workbookViewId="0">
      <pane xSplit="10" ySplit="14" topLeftCell="BF15" activePane="bottomRight" state="frozen"/>
      <selection pane="topRight" activeCell="AF12" sqref="AF12:AF13"/>
      <selection pane="bottomLeft" activeCell="AF12" sqref="AF12:AF13"/>
      <selection pane="bottomRight" sqref="A1:H1048576"/>
    </sheetView>
  </sheetViews>
  <sheetFormatPr defaultColWidth="9" defaultRowHeight="14.25" outlineLevelCol="1" x14ac:dyDescent="0.15"/>
  <cols>
    <col min="1" max="3" width="6.25" style="9" customWidth="1"/>
    <col min="4" max="4" width="6.25" style="81" customWidth="1"/>
    <col min="5" max="5" width="24.375" style="81" customWidth="1"/>
    <col min="6" max="6" width="18.75" style="9" customWidth="1"/>
    <col min="7" max="7" width="24.375" style="81" bestFit="1" customWidth="1"/>
    <col min="8" max="8" width="9" style="9"/>
    <col min="9" max="9" width="6.25" style="2" customWidth="1"/>
    <col min="10" max="10" width="3" style="2" customWidth="1"/>
    <col min="11" max="11" width="6.25" style="2" customWidth="1"/>
    <col min="12" max="12" width="3" style="2" customWidth="1"/>
    <col min="13" max="13" width="6.25" style="2" customWidth="1"/>
    <col min="14" max="14" width="3" style="2" customWidth="1"/>
    <col min="15" max="15" width="17.375" style="2" bestFit="1" customWidth="1"/>
    <col min="16" max="16" width="8.625" style="2" customWidth="1"/>
    <col min="17" max="17" width="3" style="2" customWidth="1"/>
    <col min="18" max="18" width="17.375" style="2" bestFit="1" customWidth="1"/>
    <col min="19" max="19" width="3" style="2" customWidth="1"/>
    <col min="20" max="20" width="17.75" style="2" customWidth="1"/>
    <col min="21" max="21" width="3" style="2" customWidth="1"/>
    <col min="22" max="22" width="15" style="2" customWidth="1" outlineLevel="1"/>
    <col min="23" max="23" width="17.375" style="2" bestFit="1" customWidth="1"/>
    <col min="24" max="24" width="3" style="2" customWidth="1"/>
    <col min="25" max="25" width="15" style="2" customWidth="1" outlineLevel="1"/>
    <col min="26" max="26" width="15" style="2" customWidth="1"/>
    <col min="27" max="27" width="3" style="2" customWidth="1"/>
    <col min="28" max="28" width="15" style="2" customWidth="1" outlineLevel="1"/>
    <col min="29" max="29" width="15" style="2" customWidth="1"/>
    <col min="30" max="30" width="3" style="2" customWidth="1"/>
    <col min="31" max="31" width="15" style="2" customWidth="1" outlineLevel="1"/>
    <col min="32" max="32" width="15" style="2" customWidth="1"/>
    <col min="33" max="33" width="3" style="2" customWidth="1"/>
    <col min="34" max="34" width="14.875" style="2" customWidth="1" outlineLevel="1"/>
    <col min="35" max="35" width="15" style="2" customWidth="1"/>
    <col min="36" max="36" width="3" style="2" customWidth="1"/>
    <col min="37" max="37" width="15" style="2" customWidth="1" outlineLevel="1"/>
    <col min="38" max="38" width="15" style="2" customWidth="1"/>
    <col min="39" max="39" width="3" style="2" customWidth="1"/>
    <col min="40" max="40" width="15" style="2" customWidth="1" outlineLevel="1"/>
    <col min="41" max="41" width="15" style="2" customWidth="1"/>
    <col min="42" max="42" width="3" style="2" customWidth="1"/>
    <col min="43" max="43" width="15" style="2" customWidth="1" outlineLevel="1"/>
    <col min="44" max="44" width="15" style="2" customWidth="1"/>
    <col min="45" max="45" width="3" style="2" customWidth="1"/>
    <col min="46" max="46" width="10.75" style="2" bestFit="1" customWidth="1"/>
    <col min="47" max="47" width="3" style="2" customWidth="1"/>
    <col min="48" max="48" width="15" style="2" customWidth="1" outlineLevel="1"/>
    <col min="49" max="49" width="17.375" style="2" bestFit="1" customWidth="1"/>
    <col min="50" max="50" width="3" style="2" customWidth="1"/>
    <col min="51" max="51" width="9.625" style="2" bestFit="1" customWidth="1"/>
    <col min="52" max="52" width="3" style="2" customWidth="1"/>
    <col min="53" max="53" width="15" style="2" customWidth="1" outlineLevel="1"/>
    <col min="54" max="54" width="17.375" style="2" bestFit="1" customWidth="1"/>
    <col min="55" max="55" width="3" style="2" customWidth="1"/>
    <col min="56" max="56" width="19.25" style="2" customWidth="1" outlineLevel="1"/>
    <col min="57" max="57" width="19.25" style="2" bestFit="1" customWidth="1"/>
    <col min="58" max="58" width="3" style="2" customWidth="1"/>
    <col min="59" max="59" width="19.25" style="2" customWidth="1" outlineLevel="1"/>
    <col min="60" max="60" width="19.25" style="2"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2" customWidth="1" outlineLevel="1"/>
    <col min="70" max="70" width="17.375" style="2" bestFit="1" customWidth="1"/>
    <col min="71" max="16384" width="9" style="2"/>
  </cols>
  <sheetData>
    <row r="1" spans="1:70" ht="18.75" x14ac:dyDescent="0.15">
      <c r="A1" s="465" t="s">
        <v>60</v>
      </c>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Q1" s="71"/>
      <c r="BR1" s="71"/>
    </row>
    <row r="3" spans="1:70" ht="23.25" x14ac:dyDescent="0.15">
      <c r="B3" s="462" t="s">
        <v>517</v>
      </c>
      <c r="F3" s="724" t="s">
        <v>535</v>
      </c>
      <c r="G3" s="725"/>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Q3" s="71"/>
      <c r="BR3" s="71"/>
    </row>
    <row r="4" spans="1:70" x14ac:dyDescent="0.15">
      <c r="F4" s="9" t="str">
        <f>F43</f>
        <v>CIF価格</v>
      </c>
      <c r="G4" s="112"/>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Q4" s="71"/>
      <c r="BR4" s="71"/>
    </row>
    <row r="5" spans="1:70" ht="15.75" thickBot="1" x14ac:dyDescent="0.2">
      <c r="B5" s="460" t="s">
        <v>518</v>
      </c>
      <c r="C5" s="86"/>
      <c r="D5" s="104"/>
      <c r="E5" s="104"/>
      <c r="F5" s="86"/>
      <c r="G5" s="104"/>
      <c r="I5" s="5" t="s">
        <v>64</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9" t="s">
        <v>65</v>
      </c>
      <c r="F7" s="87">
        <v>2030</v>
      </c>
      <c r="I7" s="8"/>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9" t="s">
        <v>519</v>
      </c>
      <c r="F8" s="88">
        <f>まとめ!B3</f>
        <v>107</v>
      </c>
      <c r="G8" s="81" t="s">
        <v>171</v>
      </c>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9" t="s">
        <v>520</v>
      </c>
      <c r="F9" s="88">
        <f>まとめ!B2</f>
        <v>3</v>
      </c>
      <c r="G9" s="81" t="s">
        <v>172</v>
      </c>
      <c r="I9" s="720" t="s">
        <v>78</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07" t="s">
        <v>118</v>
      </c>
      <c r="AI9" s="707"/>
      <c r="AJ9" s="8"/>
      <c r="AK9" s="707" t="s">
        <v>89</v>
      </c>
      <c r="AL9" s="707"/>
      <c r="AM9" s="8"/>
      <c r="AN9" s="707" t="s">
        <v>90</v>
      </c>
      <c r="AO9" s="707"/>
      <c r="AP9" s="8"/>
      <c r="AQ9" s="707" t="s">
        <v>91</v>
      </c>
      <c r="AR9" s="707"/>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I10" s="708"/>
      <c r="J10" s="71"/>
      <c r="K10" s="708"/>
      <c r="L10" s="71"/>
      <c r="M10" s="708"/>
      <c r="N10" s="71"/>
      <c r="O10" s="717"/>
      <c r="P10" s="717"/>
      <c r="Q10" s="71"/>
      <c r="R10" s="708"/>
      <c r="S10" s="71"/>
      <c r="T10" s="708"/>
      <c r="U10" s="71"/>
      <c r="V10" s="717"/>
      <c r="W10" s="717"/>
      <c r="X10" s="71"/>
      <c r="Y10" s="717"/>
      <c r="Z10" s="717"/>
      <c r="AA10" s="71"/>
      <c r="AB10" s="723"/>
      <c r="AC10" s="723"/>
      <c r="AD10" s="81"/>
      <c r="AE10" s="723"/>
      <c r="AF10" s="723"/>
      <c r="AG10" s="71"/>
      <c r="AH10" s="717"/>
      <c r="AI10" s="717"/>
      <c r="AJ10" s="71"/>
      <c r="AK10" s="717"/>
      <c r="AL10" s="717"/>
      <c r="AM10" s="71"/>
      <c r="AN10" s="717"/>
      <c r="AO10" s="717"/>
      <c r="AP10" s="71"/>
      <c r="AQ10" s="717"/>
      <c r="AR10" s="717"/>
      <c r="AS10" s="71"/>
      <c r="AT10" s="717"/>
      <c r="AU10" s="71"/>
      <c r="AV10" s="717"/>
      <c r="AW10" s="717"/>
      <c r="AX10" s="322"/>
      <c r="AY10" s="708"/>
      <c r="AZ10" s="71"/>
      <c r="BA10" s="708"/>
      <c r="BB10" s="708"/>
      <c r="BC10" s="71"/>
      <c r="BD10" s="717"/>
      <c r="BE10" s="717"/>
      <c r="BF10" s="71"/>
      <c r="BG10" s="717"/>
      <c r="BH10" s="717"/>
      <c r="BJ10" s="708"/>
      <c r="BK10" s="708"/>
      <c r="BL10" s="708"/>
      <c r="BM10" s="322"/>
      <c r="BN10" s="717"/>
      <c r="BO10" s="717"/>
      <c r="BQ10" s="322"/>
      <c r="BR10" s="322"/>
    </row>
    <row r="11" spans="1:70" ht="15.75" customHeight="1" thickBot="1" x14ac:dyDescent="0.2">
      <c r="B11" s="460" t="s">
        <v>95</v>
      </c>
      <c r="C11" s="86"/>
      <c r="D11" s="104"/>
      <c r="E11" s="104"/>
      <c r="F11" s="86"/>
      <c r="G11" s="104"/>
      <c r="I11" s="71"/>
      <c r="J11" s="71"/>
      <c r="K11" s="71"/>
      <c r="L11" s="71"/>
      <c r="M11" s="71"/>
      <c r="N11" s="71"/>
      <c r="O11" s="322" t="s">
        <v>96</v>
      </c>
      <c r="P11" s="322"/>
      <c r="Q11" s="322"/>
      <c r="R11" s="322" t="s">
        <v>96</v>
      </c>
      <c r="S11" s="322"/>
      <c r="T11" s="322"/>
      <c r="U11" s="71"/>
      <c r="V11" s="322"/>
      <c r="W11" s="322"/>
      <c r="X11" s="71"/>
      <c r="Y11" s="322"/>
      <c r="Z11" s="322"/>
      <c r="AA11" s="71"/>
      <c r="AB11" s="322"/>
      <c r="AC11" s="322"/>
      <c r="AD11" s="71"/>
      <c r="AE11" s="322"/>
      <c r="AF11" s="322"/>
      <c r="AG11" s="71"/>
      <c r="AH11" s="322"/>
      <c r="AI11" s="322"/>
      <c r="AJ11" s="71"/>
      <c r="AK11" s="322"/>
      <c r="AL11" s="322"/>
      <c r="AM11" s="71"/>
      <c r="AN11" s="322"/>
      <c r="AO11" s="322"/>
      <c r="AP11" s="71"/>
      <c r="AQ11" s="322"/>
      <c r="AR11" s="322"/>
      <c r="AS11" s="71"/>
      <c r="AT11" s="322"/>
      <c r="AU11" s="71"/>
      <c r="AV11" s="322"/>
      <c r="AW11" s="322"/>
      <c r="AX11" s="322"/>
      <c r="AY11" s="71"/>
      <c r="AZ11" s="71"/>
      <c r="BA11" s="71"/>
      <c r="BB11" s="322"/>
      <c r="BC11" s="71"/>
      <c r="BD11" s="322"/>
      <c r="BE11" s="322"/>
      <c r="BF11" s="71"/>
      <c r="BG11" s="322"/>
      <c r="BH11" s="322"/>
      <c r="BJ11" s="156"/>
      <c r="BM11" s="322"/>
      <c r="BN11" s="322"/>
      <c r="BO11" s="322"/>
      <c r="BQ11" s="322"/>
      <c r="BR11" s="322"/>
    </row>
    <row r="12" spans="1:70" ht="14.25" customHeight="1" x14ac:dyDescent="0.15">
      <c r="I12" s="71"/>
      <c r="J12" s="71"/>
      <c r="K12" s="71"/>
      <c r="L12" s="71"/>
      <c r="M12" s="71"/>
      <c r="N12" s="71"/>
      <c r="O12" s="322"/>
      <c r="P12" s="707" t="s">
        <v>97</v>
      </c>
      <c r="Q12" s="71"/>
      <c r="R12" s="71"/>
      <c r="S12" s="71"/>
      <c r="T12" s="71"/>
      <c r="U12" s="71"/>
      <c r="V12" s="71"/>
      <c r="W12" s="707" t="s">
        <v>98</v>
      </c>
      <c r="X12" s="71"/>
      <c r="Y12" s="71"/>
      <c r="Z12" s="707" t="s">
        <v>98</v>
      </c>
      <c r="AA12" s="71"/>
      <c r="AB12" s="71"/>
      <c r="AC12" s="707" t="s">
        <v>98</v>
      </c>
      <c r="AD12" s="71"/>
      <c r="AE12" s="71"/>
      <c r="AF12" s="707" t="s">
        <v>98</v>
      </c>
      <c r="AG12" s="71"/>
      <c r="AH12" s="71"/>
      <c r="AI12" s="707" t="s">
        <v>98</v>
      </c>
      <c r="AJ12" s="71"/>
      <c r="AK12" s="71"/>
      <c r="AL12" s="707" t="s">
        <v>98</v>
      </c>
      <c r="AM12" s="71"/>
      <c r="AN12" s="71"/>
      <c r="AO12" s="707" t="s">
        <v>98</v>
      </c>
      <c r="AP12" s="71"/>
      <c r="AQ12" s="71"/>
      <c r="AR12" s="707" t="s">
        <v>98</v>
      </c>
      <c r="AS12" s="71"/>
      <c r="AT12" s="71"/>
      <c r="AU12" s="71"/>
      <c r="AV12" s="71"/>
      <c r="AW12" s="707" t="s">
        <v>98</v>
      </c>
      <c r="AX12" s="71"/>
      <c r="AY12" s="71"/>
      <c r="AZ12" s="71"/>
      <c r="BA12" s="71"/>
      <c r="BB12" s="707" t="s">
        <v>98</v>
      </c>
      <c r="BC12" s="71"/>
      <c r="BD12" s="71"/>
      <c r="BE12" s="707" t="s">
        <v>98</v>
      </c>
      <c r="BF12" s="71"/>
      <c r="BG12" s="71"/>
      <c r="BH12" s="707" t="s">
        <v>98</v>
      </c>
      <c r="BJ12" s="709" t="s">
        <v>99</v>
      </c>
      <c r="BK12" s="709" t="s">
        <v>100</v>
      </c>
      <c r="BL12" s="709" t="s">
        <v>101</v>
      </c>
      <c r="BO12" s="709" t="s">
        <v>102</v>
      </c>
      <c r="BQ12" s="71"/>
      <c r="BR12" s="707" t="s">
        <v>103</v>
      </c>
    </row>
    <row r="13" spans="1:70" ht="14.25" customHeight="1" x14ac:dyDescent="0.15">
      <c r="C13" s="9" t="s">
        <v>504</v>
      </c>
      <c r="F13" s="66">
        <v>0.6</v>
      </c>
      <c r="G13" s="81" t="s">
        <v>173</v>
      </c>
      <c r="I13" s="71"/>
      <c r="J13" s="71"/>
      <c r="K13" s="71"/>
      <c r="L13" s="71"/>
      <c r="M13" s="71"/>
      <c r="N13" s="71"/>
      <c r="O13" s="322"/>
      <c r="P13" s="708"/>
      <c r="Q13" s="322"/>
      <c r="R13" s="322"/>
      <c r="S13" s="322"/>
      <c r="T13" s="322"/>
      <c r="U13" s="71"/>
      <c r="V13" s="322"/>
      <c r="W13" s="708"/>
      <c r="X13" s="71"/>
      <c r="Y13" s="322"/>
      <c r="Z13" s="708"/>
      <c r="AA13" s="71"/>
      <c r="AB13" s="322"/>
      <c r="AC13" s="708"/>
      <c r="AD13" s="71"/>
      <c r="AE13" s="322"/>
      <c r="AF13" s="708"/>
      <c r="AG13" s="71"/>
      <c r="AH13" s="322"/>
      <c r="AI13" s="708"/>
      <c r="AJ13" s="71"/>
      <c r="AK13" s="322"/>
      <c r="AL13" s="708"/>
      <c r="AM13" s="71"/>
      <c r="AN13" s="322"/>
      <c r="AO13" s="708"/>
      <c r="AP13" s="71"/>
      <c r="AQ13" s="322"/>
      <c r="AR13" s="708"/>
      <c r="AS13" s="71"/>
      <c r="AT13" s="322"/>
      <c r="AU13" s="71"/>
      <c r="AV13" s="322"/>
      <c r="AW13" s="708"/>
      <c r="AX13" s="71"/>
      <c r="AY13" s="71"/>
      <c r="AZ13" s="71"/>
      <c r="BA13" s="71"/>
      <c r="BB13" s="708"/>
      <c r="BC13" s="71"/>
      <c r="BD13" s="322"/>
      <c r="BE13" s="708"/>
      <c r="BF13" s="71"/>
      <c r="BG13" s="322"/>
      <c r="BH13" s="708"/>
      <c r="BJ13" s="712"/>
      <c r="BK13" s="710"/>
      <c r="BL13" s="708"/>
      <c r="BM13" s="322"/>
      <c r="BO13" s="708"/>
      <c r="BQ13" s="322"/>
      <c r="BR13" s="708"/>
    </row>
    <row r="14" spans="1:70" ht="16.5" x14ac:dyDescent="0.15">
      <c r="C14" s="9" t="s">
        <v>505</v>
      </c>
      <c r="F14" s="88">
        <f>まとめ!D25</f>
        <v>72.3</v>
      </c>
      <c r="G14" s="81" t="s">
        <v>172</v>
      </c>
      <c r="I14" s="71"/>
      <c r="J14" s="71"/>
      <c r="K14" s="71"/>
      <c r="L14" s="71"/>
      <c r="M14" s="71"/>
      <c r="N14" s="71"/>
      <c r="O14" s="322"/>
      <c r="P14" s="322"/>
      <c r="Q14" s="322"/>
      <c r="R14" s="322"/>
      <c r="S14" s="322"/>
      <c r="T14" s="322"/>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50" t="s">
        <v>104</v>
      </c>
      <c r="AU14" s="71"/>
      <c r="AV14" s="71"/>
      <c r="AW14" s="71"/>
      <c r="AX14" s="71"/>
      <c r="AY14" s="71" t="s">
        <v>105</v>
      </c>
      <c r="AZ14" s="71"/>
      <c r="BA14" s="71"/>
      <c r="BB14" s="71"/>
      <c r="BC14" s="71"/>
      <c r="BD14" s="71"/>
      <c r="BE14" s="71"/>
      <c r="BF14" s="71"/>
      <c r="BG14" s="71"/>
      <c r="BH14" s="71"/>
      <c r="BQ14" s="71"/>
      <c r="BR14" s="71"/>
    </row>
    <row r="15" spans="1:70" x14ac:dyDescent="0.15">
      <c r="C15" s="9" t="s">
        <v>506</v>
      </c>
      <c r="F15" s="88">
        <f>VLOOKUP(F3&amp;IF(G4&lt;&gt;"","_"&amp;G4,""),まとめ!$A$12:$G$34,IF(F7=2030,7,IF(F7=2020,6,IF(F7=2014,5,"-"))),0)</f>
        <v>30</v>
      </c>
      <c r="G15" s="81" t="s">
        <v>108</v>
      </c>
      <c r="I15" s="38">
        <f>F7</f>
        <v>2030</v>
      </c>
      <c r="J15" s="39"/>
      <c r="K15" s="39">
        <f>IF(I15&lt;&gt;"",1,"")</f>
        <v>1</v>
      </c>
      <c r="L15" s="39"/>
      <c r="M15" s="40">
        <f t="shared" ref="M15:M78" si="0">1/(1+($F$9/100))^K15</f>
        <v>0.970873786407767</v>
      </c>
      <c r="N15" s="39"/>
      <c r="O15" s="72">
        <f>F117</f>
        <v>840000000</v>
      </c>
      <c r="P15" s="41">
        <f t="shared" ref="P15:P46" si="1">IF(K15&lt;=$F$15,IF(OR(P14=$F$124,P14="-"),"-",IF(O15*$F$123&gt;$F$127,$F$123,$F$124)),"")</f>
        <v>0.16700000000000001</v>
      </c>
      <c r="Q15" s="39"/>
      <c r="R15" s="72">
        <f>F117</f>
        <v>840000000</v>
      </c>
      <c r="S15" s="39"/>
      <c r="T15" s="72">
        <f>IF(ISNUMBER(R15),ROUNDDOWN(R15,-3),"")</f>
        <v>840000000</v>
      </c>
      <c r="U15" s="39"/>
      <c r="V15" s="72">
        <f t="shared" ref="V15:V46" si="2">IF(K15&lt;=$F$15,IF(K15&lt;$F$119,IF(P15="-",V14,O15*P15),IF(K15=$F$119,MIN(IF(P15="-",V14,O15*P15),O15),0)),"")</f>
        <v>140280000</v>
      </c>
      <c r="W15" s="72">
        <f>IF(ISNUMBER(V15),V15*$M15,"")</f>
        <v>136194174.75728154</v>
      </c>
      <c r="X15" s="39"/>
      <c r="Y15" s="72">
        <f t="shared" ref="Y15:Y46" si="3">IF($K15&lt;=$F$15,ROUNDDOWN(T15*$F$25/100,-2),"")</f>
        <v>11760000</v>
      </c>
      <c r="Z15" s="72">
        <f>IF(ISNUMBER(Y15),Y15*$M15,"")</f>
        <v>11417475.728155339</v>
      </c>
      <c r="AA15" s="39"/>
      <c r="AB15" s="72">
        <f t="shared" ref="AB15:AB78" si="4">IF($K15&lt;=$F$15,0,IF(AND($K15&gt;$F$15,$K15&lt;=$F$15+$F$28),$F$27*10^8/$F$28,""))</f>
        <v>0</v>
      </c>
      <c r="AC15" s="72">
        <f>IF(ISNUMBER(AB15),AB15*$M15,"")</f>
        <v>0</v>
      </c>
      <c r="AD15" s="39"/>
      <c r="AE15" s="72">
        <f t="shared" ref="AE15:AE46" si="5">IF($K15&lt;=$F$15,$F$26,"")</f>
        <v>0</v>
      </c>
      <c r="AF15" s="72">
        <f>IF(ISNUMBER(AE15),AE15*$M15,"")</f>
        <v>0</v>
      </c>
      <c r="AG15" s="39"/>
      <c r="AH15" s="72">
        <f t="shared" ref="AH15:AH46" si="6">IF($K15&lt;=$F$15,$F$33*10^8,"")</f>
        <v>0</v>
      </c>
      <c r="AI15" s="72">
        <f>IF(ISNUMBER(AH15),AH15*$M15,"")</f>
        <v>0</v>
      </c>
      <c r="AJ15" s="39"/>
      <c r="AK15" s="72">
        <f>IF($K15&lt;=$F$15,$F$34*10^4*$F$13*10^4,"")</f>
        <v>60000000</v>
      </c>
      <c r="AL15" s="72">
        <f>IF(ISNUMBER(AK15),AK15*$M15,"")</f>
        <v>58252427.184466019</v>
      </c>
      <c r="AM15" s="39"/>
      <c r="AN15" s="72">
        <f t="shared" ref="AN15:AN46" si="7">IF($K15&lt;=$F$15,$F$117*$F$35/100,"")</f>
        <v>0</v>
      </c>
      <c r="AO15" s="72">
        <f>IF(ISNUMBER(AN15),AN15*$M15,"")</f>
        <v>0</v>
      </c>
      <c r="AP15" s="39"/>
      <c r="AQ15" s="72">
        <f t="shared" ref="AQ15:AQ46" si="8">IF($K15&lt;=$F$15,SUM(AH15,AK15,AN15)*($F$36/100),"")</f>
        <v>0</v>
      </c>
      <c r="AR15" s="72">
        <f>IF(ISNUMBER(AQ15),AQ15*$M15,"")</f>
        <v>0</v>
      </c>
      <c r="AS15" s="39"/>
      <c r="AT15" s="40">
        <f>IF($K15&lt;=$F$15,IF($F$40&lt;&gt;"",$F$40/1000,IF(ISERROR(VLOOKUP($F$3&amp;IF($G$4&lt;&gt;"",$G$4,"")&amp;IF($F$43&lt;&gt;"","_"&amp;$F$43,""),'表3）燃料価格'!$AF$9:$AG$25,2,0)),0,VLOOKUP($I15,'表3）燃料価格'!$A$6:$U$66,VLOOKUP($F$3&amp;IF($G$4&lt;&gt;"",$G$4,"")&amp;IF($F$43&lt;&gt;"","_"&amp;$F$43,""),'表3）燃料価格'!$AF$9:$AG$25,2,0)+VLOOKUP($F$41,'表3）燃料価格'!$AF$28:$AG$29,2,0),0)*IF($F$43="需要地価格",1,$F$8/$F$141))),"")</f>
        <v>49.496976697782991</v>
      </c>
      <c r="AU15" s="39"/>
      <c r="AV15" s="72">
        <f t="shared" ref="AV15:AV46" si="9">IF($K15&lt;=$F$15,($AT15+$F$142)*$F$137,"")</f>
        <v>304170404.70553505</v>
      </c>
      <c r="AW15" s="72">
        <f t="shared" ref="AW15:AW78" si="10">IF(ISNUMBER(AV15),AV15*$M15,"")</f>
        <v>295311072.52964568</v>
      </c>
      <c r="AX15" s="39"/>
      <c r="AY15" s="40">
        <f>IF(ISERROR(IF($K15&lt;=$F$15,VLOOKUP($I15,'表4）CO2価格'!$A$7:$E$67,VLOOKUP($F$48,'表4）CO2価格'!$H$10:$I$12,2,0),0)*$F$8/1000,"")),0,IF($K15&lt;=$F$15,VLOOKUP($I15,'表4）CO2価格'!$A$7:$E$67,VLOOKUP($F$48,'表4）CO2価格'!$H$10:$I$12,2,0),0)*$F$8/1000,""))</f>
        <v>4.28</v>
      </c>
      <c r="AZ15" s="39"/>
      <c r="BA15" s="42">
        <f t="shared" ref="BA15:BA46" si="11">IF($K15&lt;=$F$15,$F$145*AY15,"")</f>
        <v>69249933.319947898</v>
      </c>
      <c r="BB15" s="72">
        <f>IF(ISNUMBER(BA15),BA15*$M15,"")</f>
        <v>67232944.970823199</v>
      </c>
      <c r="BC15" s="39"/>
      <c r="BD15" s="72">
        <f t="shared" ref="BD15:BD46" si="12">IF($K15&lt;=$F$15,($AT15+$F$152)*$F$151,"")</f>
        <v>115584753.78810333</v>
      </c>
      <c r="BE15" s="72">
        <f>IF(ISNUMBER(BD15),BD15*$M15,"")</f>
        <v>112218207.56126536</v>
      </c>
      <c r="BF15" s="39"/>
      <c r="BG15" s="42">
        <f t="shared" ref="BG15:BG46" si="13">IF($K15&lt;=$F$15,$F$153*AY15,"")</f>
        <v>26314974.661580198</v>
      </c>
      <c r="BH15" s="72">
        <f>IF(ISNUMBER(BG15),BG15*$M15,"")</f>
        <v>25548519.088912815</v>
      </c>
      <c r="BI15" s="39"/>
      <c r="BJ15" s="40" t="str">
        <f>IF(ISNUMBER($F$16),IF($K15&lt;=$F$16+$F$28,1/(1+($F$17/100))^K15,""),"")</f>
        <v/>
      </c>
      <c r="BK15" s="157" t="str">
        <f>IF(ISNUMBER($F$16),IF($K15&lt;=$F$16+$F$28,IF($K15&lt;=$F$16,SUM(Y15,AB15,AE15,AH15,AK15,AN15,AQ15,AV15,BA15,BD15,BG15),$F$27/$F$28*10^8)*BJ15,""),"")</f>
        <v/>
      </c>
      <c r="BL15" s="157" t="str">
        <f t="shared" ref="BL15:BL78" si="14">IF(AND(ISNUMBER(BJ15),$K15&lt;=$F$16),BQ15*BJ15,"")</f>
        <v/>
      </c>
      <c r="BM15" s="72"/>
      <c r="BN15" s="72" t="str">
        <f>IF(AND(ISNUMBER($F$16),$K15&lt;=$F$16),BQ15*($O$15+$BK$116)/$BL$116,"")</f>
        <v/>
      </c>
      <c r="BO15" s="72" t="str">
        <f>IF(ISNUMBER(BN15),BN15*$M15,"")</f>
        <v/>
      </c>
      <c r="BP15" s="39"/>
      <c r="BQ15" s="72">
        <f t="shared" ref="BQ15:BQ46" si="15">IF($K15&lt;=$F$15,$F$134,"")</f>
        <v>37126859.759999998</v>
      </c>
      <c r="BR15" s="72">
        <f>IF(ISNUMBER(BQ15),BQ15*$M15,"")</f>
        <v>36045494.912621357</v>
      </c>
    </row>
    <row r="16" spans="1:70" x14ac:dyDescent="0.15">
      <c r="C16" s="236" t="s">
        <v>107</v>
      </c>
      <c r="F16" s="88" t="str">
        <f>IF(ISERROR(VLOOKUP(F3&amp;IF(G4&lt;&gt;"","_"&amp;G4,""),'表7）買取期間・IRR'!$A$3:$A$10,1,0)),"",VLOOKUP(F3&amp;IF(G4&lt;&gt;"","_"&amp;G4,""),'表7）買取期間・IRR'!$A$3:$C$10,IF(F7=2030,4,IF(F7=2020,3,IF(F7=2014,2,"-"))),0))</f>
        <v/>
      </c>
      <c r="G16" s="81" t="s">
        <v>108</v>
      </c>
      <c r="I16" s="322">
        <f>I15+1</f>
        <v>2031</v>
      </c>
      <c r="J16" s="71"/>
      <c r="K16" s="71">
        <f>IF(I16&lt;&gt;"",K15+1,"")</f>
        <v>2</v>
      </c>
      <c r="L16" s="71"/>
      <c r="M16" s="7">
        <f t="shared" si="0"/>
        <v>0.94259590913375435</v>
      </c>
      <c r="N16" s="71"/>
      <c r="O16" s="10">
        <f t="shared" ref="O16:O79" si="16">IF(K16&lt;=$F$15,O15-V15,"")</f>
        <v>699720000</v>
      </c>
      <c r="P16" s="29">
        <f t="shared" si="1"/>
        <v>0.16700000000000001</v>
      </c>
      <c r="Q16" s="71"/>
      <c r="R16" s="10">
        <f t="shared" ref="R16:R47" si="17">IF($K16&lt;=$F$15,MAX($F$117*5%,R15*$F$129),"")</f>
        <v>720464554.81635106</v>
      </c>
      <c r="S16" s="71"/>
      <c r="T16" s="10">
        <f t="shared" ref="T16:T79" si="18">IF(ISNUMBER(R16),ROUNDDOWN(R16,-3),"")</f>
        <v>720464000</v>
      </c>
      <c r="U16" s="71"/>
      <c r="V16" s="10">
        <f t="shared" si="2"/>
        <v>116853240</v>
      </c>
      <c r="W16" s="10">
        <f t="shared" ref="W16:W79" si="19">IF(ISNUMBER(V16),V16*$M16,"")</f>
        <v>110145385.9930248</v>
      </c>
      <c r="X16" s="71"/>
      <c r="Y16" s="10">
        <f t="shared" si="3"/>
        <v>10086400</v>
      </c>
      <c r="Z16" s="10">
        <f t="shared" ref="Z16:Z79" si="20">IF(ISNUMBER(Y16),Y16*$M16,"")</f>
        <v>9507399.3778866995</v>
      </c>
      <c r="AA16" s="71"/>
      <c r="AB16" s="10">
        <f t="shared" si="4"/>
        <v>0</v>
      </c>
      <c r="AC16" s="10">
        <f t="shared" ref="AC16:AC79" si="21">IF(ISNUMBER(AB16),AB16*$M16,"")</f>
        <v>0</v>
      </c>
      <c r="AD16" s="71"/>
      <c r="AE16" s="10">
        <f t="shared" si="5"/>
        <v>0</v>
      </c>
      <c r="AF16" s="10">
        <f t="shared" ref="AF16:AF79" si="22">IF(ISNUMBER(AE16),AE16*$M16,"")</f>
        <v>0</v>
      </c>
      <c r="AG16" s="71"/>
      <c r="AH16" s="10">
        <f t="shared" si="6"/>
        <v>0</v>
      </c>
      <c r="AI16" s="10">
        <f t="shared" ref="AI16:AI79" si="23">IF(ISNUMBER(AH16),AH16*$M16,"")</f>
        <v>0</v>
      </c>
      <c r="AJ16" s="71"/>
      <c r="AK16" s="10">
        <f t="shared" ref="AK16:AK79" si="24">IF($K16&lt;=$F$15,$F$34*10^4*$F$13*10^4,"")</f>
        <v>60000000</v>
      </c>
      <c r="AL16" s="10">
        <f t="shared" ref="AL16:AL79" si="25">IF(ISNUMBER(AK16),AK16*$M16,"")</f>
        <v>56555754.548025258</v>
      </c>
      <c r="AM16" s="71"/>
      <c r="AN16" s="10">
        <f t="shared" si="7"/>
        <v>0</v>
      </c>
      <c r="AO16" s="10">
        <f t="shared" ref="AO16:AO79" si="26">IF(ISNUMBER(AN16),AN16*$M16,"")</f>
        <v>0</v>
      </c>
      <c r="AP16" s="71"/>
      <c r="AQ16" s="10">
        <f t="shared" si="8"/>
        <v>0</v>
      </c>
      <c r="AR16" s="10">
        <f t="shared" ref="AR16:AR79" si="27">IF(ISNUMBER(AQ16),AQ16*$M16,"")</f>
        <v>0</v>
      </c>
      <c r="AS16" s="71"/>
      <c r="AT16" s="7">
        <f>IF($K16&lt;=$F$15,IF($F$40&lt;&gt;"",$F$40/1000,IF(ISERROR(VLOOKUP($F$3&amp;IF($G$4&lt;&gt;"",$G$4,"")&amp;IF($F$43&lt;&gt;"","_"&amp;$F$43,""),'表3）燃料価格'!$AF$9:$AG$25,2,0)),0,VLOOKUP($I16,'表3）燃料価格'!$A$6:$U$66,VLOOKUP($F$3&amp;IF($G$4&lt;&gt;"",$G$4,"")&amp;IF($F$43&lt;&gt;"","_"&amp;$F$43,""),'表3）燃料価格'!$AF$9:$AG$25,2,0)+VLOOKUP($F$41,'表3）燃料価格'!$AF$28:$AG$29,2,0),0)*IF($F$43="需要地価格",1,$F$8/$F$141))),"")</f>
        <v>49.422591134993795</v>
      </c>
      <c r="AU16" s="71"/>
      <c r="AV16" s="10">
        <f t="shared" si="9"/>
        <v>303737762.35856748</v>
      </c>
      <c r="AW16" s="10">
        <f t="shared" si="10"/>
        <v>286301972.24862611</v>
      </c>
      <c r="AX16" s="71"/>
      <c r="AY16" s="7">
        <f>IF(ISERROR(IF($K16&lt;=$F$15,VLOOKUP($I16,'表4）CO2価格'!$A$7:$E$67,VLOOKUP($F$48,'表4）CO2価格'!$H$10:$I$12,2,0),0)*$F$8/1000,"")),0,IF($K16&lt;=$F$15,VLOOKUP($I16,'表4）CO2価格'!$A$7:$E$67,VLOOKUP($F$48,'表4）CO2価格'!$H$10:$I$12,2,0),0)*$F$8/1000,""))</f>
        <v>4.4083999999999808</v>
      </c>
      <c r="AZ16" s="71"/>
      <c r="BA16" s="11">
        <f t="shared" si="11"/>
        <v>71327431.319546029</v>
      </c>
      <c r="BB16" s="10">
        <f t="shared" ref="BB16:BB79" si="28">IF(ISNUMBER(BA16),BA16*$M16,"")</f>
        <v>67232944.970822915</v>
      </c>
      <c r="BC16" s="71"/>
      <c r="BD16" s="10">
        <f t="shared" si="12"/>
        <v>115420349.69625564</v>
      </c>
      <c r="BE16" s="10">
        <f t="shared" ref="BE16:BE79" si="29">IF(ISNUMBER(BD16),BD16*$M16,"")</f>
        <v>108794749.45447794</v>
      </c>
      <c r="BF16" s="71"/>
      <c r="BG16" s="11">
        <f t="shared" si="13"/>
        <v>27104423.901427485</v>
      </c>
      <c r="BH16" s="10">
        <f t="shared" ref="BH16:BH79" si="30">IF(ISNUMBER(BG16),BG16*$M16,"")</f>
        <v>25548519.088912703</v>
      </c>
      <c r="BJ16" s="7" t="str">
        <f t="shared" ref="BJ16:BJ79" si="31">IF(ISNUMBER($F$16),IF($K16&lt;=$F$16+$F$28,1/(1+($F$17/100))^K16,""),"")</f>
        <v/>
      </c>
      <c r="BK16" s="158" t="str">
        <f t="shared" ref="BK16:BK79" si="32">IF(ISNUMBER($F$16),IF($K16&lt;=$F$16+$F$28,IF($K16&lt;=$F$16,SUM(Y16,AB16,AE16,AH16,AK16,AN16,AQ16,AV16,BA16,BD16,BG16),$F$27/$F$28*10^8)*BJ16,""),"")</f>
        <v/>
      </c>
      <c r="BL16" s="158" t="str">
        <f t="shared" si="14"/>
        <v/>
      </c>
      <c r="BM16" s="10"/>
      <c r="BN16" s="10" t="str">
        <f t="shared" ref="BN16:BN79" si="33">IF(AND(ISNUMBER($F$16),$K16&lt;=$F$16),BQ16*($O$15+$BK$116)/$BL$116,"")</f>
        <v/>
      </c>
      <c r="BO16" s="10" t="str">
        <f t="shared" ref="BO16:BO79" si="34">IF(ISNUMBER(BN16),BN16*$M16,"")</f>
        <v/>
      </c>
      <c r="BQ16" s="10">
        <f t="shared" si="15"/>
        <v>37126859.759999998</v>
      </c>
      <c r="BR16" s="10">
        <f t="shared" ref="BR16:BR79" si="35">IF(ISNUMBER(BQ16),BQ16*$M16,"")</f>
        <v>34995626.128758602</v>
      </c>
    </row>
    <row r="17" spans="3:70" x14ac:dyDescent="0.15">
      <c r="C17" s="9" t="s">
        <v>109</v>
      </c>
      <c r="F17" s="143" t="str">
        <f>IF(ISERROR(VLOOKUP(F3&amp;IF(G4&lt;&gt;"","_"&amp;G4,""),'表7）買取期間・IRR'!$A$14:$A$21,1,0)),"",VLOOKUP(F3&amp;IF(G4&lt;&gt;"","_"&amp;G4,""),'表7）買取期間・IRR'!$A$14:$C$21,IF(F7=2030,4,IF(F7=2020,3,IF(F7=2014,2,"-"))),0))</f>
        <v/>
      </c>
      <c r="G17" s="81" t="s">
        <v>172</v>
      </c>
      <c r="I17" s="38">
        <f t="shared" ref="I17:I80" si="36">I16+1</f>
        <v>2032</v>
      </c>
      <c r="J17" s="39"/>
      <c r="K17" s="39">
        <f t="shared" ref="K17:K80" si="37">IF(I17&lt;&gt;"",K16+1,"")</f>
        <v>3</v>
      </c>
      <c r="L17" s="39"/>
      <c r="M17" s="40">
        <f t="shared" si="0"/>
        <v>0.91514165935315961</v>
      </c>
      <c r="N17" s="39"/>
      <c r="O17" s="72">
        <f t="shared" si="16"/>
        <v>582866760</v>
      </c>
      <c r="P17" s="41">
        <f t="shared" si="1"/>
        <v>0.16700000000000001</v>
      </c>
      <c r="Q17" s="39"/>
      <c r="R17" s="72">
        <f t="shared" si="17"/>
        <v>617939493.74609876</v>
      </c>
      <c r="S17" s="39"/>
      <c r="T17" s="72">
        <f t="shared" si="18"/>
        <v>617939000</v>
      </c>
      <c r="U17" s="39"/>
      <c r="V17" s="72">
        <f t="shared" si="2"/>
        <v>97338748.920000002</v>
      </c>
      <c r="W17" s="72">
        <f t="shared" si="19"/>
        <v>89078744.206009373</v>
      </c>
      <c r="X17" s="39"/>
      <c r="Y17" s="72">
        <f t="shared" si="3"/>
        <v>8651100</v>
      </c>
      <c r="Z17" s="72">
        <f t="shared" si="20"/>
        <v>7916982.0092301192</v>
      </c>
      <c r="AA17" s="39"/>
      <c r="AB17" s="72">
        <f t="shared" si="4"/>
        <v>0</v>
      </c>
      <c r="AC17" s="72">
        <f t="shared" si="21"/>
        <v>0</v>
      </c>
      <c r="AD17" s="39"/>
      <c r="AE17" s="72">
        <f t="shared" si="5"/>
        <v>0</v>
      </c>
      <c r="AF17" s="72">
        <f t="shared" si="22"/>
        <v>0</v>
      </c>
      <c r="AG17" s="39"/>
      <c r="AH17" s="72">
        <f t="shared" si="6"/>
        <v>0</v>
      </c>
      <c r="AI17" s="72">
        <f t="shared" si="23"/>
        <v>0</v>
      </c>
      <c r="AJ17" s="39"/>
      <c r="AK17" s="72">
        <f t="shared" si="24"/>
        <v>60000000</v>
      </c>
      <c r="AL17" s="72">
        <f t="shared" si="25"/>
        <v>54908499.561189577</v>
      </c>
      <c r="AM17" s="39"/>
      <c r="AN17" s="72">
        <f t="shared" si="7"/>
        <v>0</v>
      </c>
      <c r="AO17" s="72">
        <f t="shared" si="26"/>
        <v>0</v>
      </c>
      <c r="AP17" s="39"/>
      <c r="AQ17" s="72">
        <f t="shared" si="8"/>
        <v>0</v>
      </c>
      <c r="AR17" s="72">
        <f t="shared" si="27"/>
        <v>0</v>
      </c>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49.348205572204598</v>
      </c>
      <c r="AU17" s="39"/>
      <c r="AV17" s="72">
        <f t="shared" si="9"/>
        <v>303305120.01159984</v>
      </c>
      <c r="AW17" s="72">
        <f t="shared" si="10"/>
        <v>277567150.8177247</v>
      </c>
      <c r="AX17" s="39"/>
      <c r="AY17" s="40">
        <f>IF(ISERROR(IF($K17&lt;=$F$15,VLOOKUP($I17,'表4）CO2価格'!$A$7:$E$67,VLOOKUP($F$48,'表4）CO2価格'!$H$10:$I$12,2,0),0)*$F$8/1000,"")),0,IF($K17&lt;=$F$15,VLOOKUP($I17,'表4）CO2価格'!$A$7:$E$67,VLOOKUP($F$48,'表4）CO2価格'!$H$10:$I$12,2,0),0)*$F$8/1000,""))</f>
        <v>4.5368000000000102</v>
      </c>
      <c r="AZ17" s="39"/>
      <c r="BA17" s="42">
        <f t="shared" si="11"/>
        <v>73404929.319144934</v>
      </c>
      <c r="BB17" s="72">
        <f t="shared" si="28"/>
        <v>67175908.821823686</v>
      </c>
      <c r="BC17" s="39"/>
      <c r="BD17" s="72">
        <f t="shared" si="12"/>
        <v>115255945.60440795</v>
      </c>
      <c r="BE17" s="72">
        <f t="shared" si="29"/>
        <v>105475517.31073539</v>
      </c>
      <c r="BF17" s="39"/>
      <c r="BG17" s="42">
        <f t="shared" si="13"/>
        <v>27893873.141275071</v>
      </c>
      <c r="BH17" s="72">
        <f t="shared" si="30"/>
        <v>25526845.352293</v>
      </c>
      <c r="BI17" s="39"/>
      <c r="BJ17" s="40" t="str">
        <f t="shared" si="31"/>
        <v/>
      </c>
      <c r="BK17" s="157" t="str">
        <f t="shared" si="32"/>
        <v/>
      </c>
      <c r="BL17" s="157" t="str">
        <f t="shared" si="14"/>
        <v/>
      </c>
      <c r="BM17" s="72"/>
      <c r="BN17" s="72" t="str">
        <f t="shared" si="33"/>
        <v/>
      </c>
      <c r="BO17" s="72" t="str">
        <f t="shared" si="34"/>
        <v/>
      </c>
      <c r="BP17" s="39"/>
      <c r="BQ17" s="72">
        <f t="shared" si="15"/>
        <v>37126859.759999998</v>
      </c>
      <c r="BR17" s="72">
        <f t="shared" si="35"/>
        <v>33976336.047338448</v>
      </c>
    </row>
    <row r="18" spans="3:70" x14ac:dyDescent="0.15">
      <c r="I18" s="322">
        <f t="shared" si="36"/>
        <v>2033</v>
      </c>
      <c r="J18" s="71"/>
      <c r="K18" s="71">
        <f t="shared" si="37"/>
        <v>4</v>
      </c>
      <c r="L18" s="71"/>
      <c r="M18" s="7">
        <f t="shared" si="0"/>
        <v>0.888487047915689</v>
      </c>
      <c r="N18" s="71"/>
      <c r="O18" s="10">
        <f t="shared" si="16"/>
        <v>485528011.07999998</v>
      </c>
      <c r="P18" s="29">
        <f t="shared" si="1"/>
        <v>0.16700000000000001</v>
      </c>
      <c r="Q18" s="71"/>
      <c r="R18" s="10">
        <f t="shared" si="17"/>
        <v>530004169.36336237</v>
      </c>
      <c r="S18" s="71"/>
      <c r="T18" s="10">
        <f t="shared" si="18"/>
        <v>530004000</v>
      </c>
      <c r="U18" s="71"/>
      <c r="V18" s="10">
        <f t="shared" si="2"/>
        <v>81083177.850360006</v>
      </c>
      <c r="W18" s="10">
        <f t="shared" si="19"/>
        <v>72041353.323889136</v>
      </c>
      <c r="X18" s="71"/>
      <c r="Y18" s="10">
        <f t="shared" si="3"/>
        <v>7420000</v>
      </c>
      <c r="Z18" s="10">
        <f t="shared" si="20"/>
        <v>6592573.895534412</v>
      </c>
      <c r="AA18" s="71"/>
      <c r="AB18" s="10">
        <f t="shared" si="4"/>
        <v>0</v>
      </c>
      <c r="AC18" s="10">
        <f t="shared" si="21"/>
        <v>0</v>
      </c>
      <c r="AD18" s="71"/>
      <c r="AE18" s="10">
        <f t="shared" si="5"/>
        <v>0</v>
      </c>
      <c r="AF18" s="10">
        <f t="shared" si="22"/>
        <v>0</v>
      </c>
      <c r="AG18" s="71"/>
      <c r="AH18" s="10">
        <f t="shared" si="6"/>
        <v>0</v>
      </c>
      <c r="AI18" s="10">
        <f t="shared" si="23"/>
        <v>0</v>
      </c>
      <c r="AJ18" s="71"/>
      <c r="AK18" s="10">
        <f t="shared" si="24"/>
        <v>60000000</v>
      </c>
      <c r="AL18" s="10">
        <f t="shared" si="25"/>
        <v>53309222.874941342</v>
      </c>
      <c r="AM18" s="71"/>
      <c r="AN18" s="10">
        <f t="shared" si="7"/>
        <v>0</v>
      </c>
      <c r="AO18" s="10">
        <f t="shared" si="26"/>
        <v>0</v>
      </c>
      <c r="AP18" s="71"/>
      <c r="AQ18" s="10">
        <f t="shared" si="8"/>
        <v>0</v>
      </c>
      <c r="AR18" s="10">
        <f t="shared" si="27"/>
        <v>0</v>
      </c>
      <c r="AS18" s="71"/>
      <c r="AT18" s="7">
        <f>IF($K18&lt;=$F$15,IF($F$40&lt;&gt;"",$F$40/1000,IF(ISERROR(VLOOKUP($F$3&amp;IF($G$4&lt;&gt;"",$G$4,"")&amp;IF($F$43&lt;&gt;"","_"&amp;$F$43,""),'表3）燃料価格'!$AF$9:$AG$25,2,0)),0,VLOOKUP($I18,'表3）燃料価格'!$A$6:$U$66,VLOOKUP($F$3&amp;IF($G$4&lt;&gt;"",$G$4,"")&amp;IF($F$43&lt;&gt;"","_"&amp;$F$43,""),'表3）燃料価格'!$AF$9:$AG$25,2,0)+VLOOKUP($F$41,'表3）燃料価格'!$AF$28:$AG$29,2,0),0)*IF($F$43="需要地価格",1,$F$8/$F$141))),"")</f>
        <v>49.27382000941541</v>
      </c>
      <c r="AU18" s="71"/>
      <c r="AV18" s="10">
        <f t="shared" si="9"/>
        <v>302872477.66463232</v>
      </c>
      <c r="AW18" s="10">
        <f t="shared" si="10"/>
        <v>269098273.57515961</v>
      </c>
      <c r="AX18" s="71"/>
      <c r="AY18" s="7">
        <f>IF(ISERROR(IF($K18&lt;=$F$15,VLOOKUP($I18,'表4）CO2価格'!$A$7:$E$67,VLOOKUP($F$48,'表4）CO2価格'!$H$10:$I$12,2,0),0)*$F$8/1000,"")),0,IF($K18&lt;=$F$15,VLOOKUP($I18,'表4）CO2価格'!$A$7:$E$67,VLOOKUP($F$48,'表4）CO2価格'!$H$10:$I$12,2,0),0)*$F$8/1000,""))</f>
        <v>4.6651999999999898</v>
      </c>
      <c r="AZ18" s="71"/>
      <c r="BA18" s="11">
        <f t="shared" si="11"/>
        <v>75482427.31874305</v>
      </c>
      <c r="BB18" s="10">
        <f t="shared" si="28"/>
        <v>67065159.017940566</v>
      </c>
      <c r="BC18" s="71"/>
      <c r="BD18" s="10">
        <f t="shared" si="12"/>
        <v>115091541.51256028</v>
      </c>
      <c r="BE18" s="10">
        <f t="shared" si="29"/>
        <v>102257343.95856066</v>
      </c>
      <c r="BF18" s="71"/>
      <c r="BG18" s="11">
        <f t="shared" si="13"/>
        <v>28683322.381122351</v>
      </c>
      <c r="BH18" s="10">
        <f t="shared" si="30"/>
        <v>25484760.42681741</v>
      </c>
      <c r="BJ18" s="7" t="str">
        <f t="shared" si="31"/>
        <v/>
      </c>
      <c r="BK18" s="158" t="str">
        <f t="shared" si="32"/>
        <v/>
      </c>
      <c r="BL18" s="158" t="str">
        <f t="shared" si="14"/>
        <v/>
      </c>
      <c r="BM18" s="10"/>
      <c r="BN18" s="10" t="str">
        <f t="shared" si="33"/>
        <v/>
      </c>
      <c r="BO18" s="10" t="str">
        <f t="shared" si="34"/>
        <v/>
      </c>
      <c r="BQ18" s="10">
        <f t="shared" si="15"/>
        <v>37126859.759999998</v>
      </c>
      <c r="BR18" s="10">
        <f t="shared" si="35"/>
        <v>32986734.026542183</v>
      </c>
    </row>
    <row r="19" spans="3:70" x14ac:dyDescent="0.15">
      <c r="C19" s="89" t="s">
        <v>371</v>
      </c>
      <c r="D19" s="101"/>
      <c r="E19" s="101"/>
      <c r="F19" s="89"/>
      <c r="G19" s="101"/>
      <c r="I19" s="38">
        <f t="shared" si="36"/>
        <v>2034</v>
      </c>
      <c r="J19" s="39"/>
      <c r="K19" s="39">
        <f t="shared" si="37"/>
        <v>5</v>
      </c>
      <c r="L19" s="39"/>
      <c r="M19" s="40">
        <f t="shared" si="0"/>
        <v>0.86260878438416411</v>
      </c>
      <c r="N19" s="39"/>
      <c r="O19" s="72">
        <f t="shared" si="16"/>
        <v>404444833.22964001</v>
      </c>
      <c r="P19" s="41">
        <f t="shared" si="1"/>
        <v>0.16700000000000001</v>
      </c>
      <c r="Q19" s="39"/>
      <c r="R19" s="72">
        <f t="shared" si="17"/>
        <v>454582402.29902953</v>
      </c>
      <c r="S19" s="39"/>
      <c r="T19" s="72">
        <f t="shared" si="18"/>
        <v>454582000</v>
      </c>
      <c r="U19" s="39"/>
      <c r="V19" s="72">
        <f t="shared" si="2"/>
        <v>67542287.149349883</v>
      </c>
      <c r="W19" s="72">
        <f t="shared" si="19"/>
        <v>58262570.212426849</v>
      </c>
      <c r="X19" s="39"/>
      <c r="Y19" s="72">
        <f t="shared" si="3"/>
        <v>6364100</v>
      </c>
      <c r="Z19" s="72">
        <f t="shared" si="20"/>
        <v>5489728.5646992587</v>
      </c>
      <c r="AA19" s="39"/>
      <c r="AB19" s="72">
        <f t="shared" si="4"/>
        <v>0</v>
      </c>
      <c r="AC19" s="72">
        <f t="shared" si="21"/>
        <v>0</v>
      </c>
      <c r="AD19" s="39"/>
      <c r="AE19" s="72">
        <f t="shared" si="5"/>
        <v>0</v>
      </c>
      <c r="AF19" s="72">
        <f t="shared" si="22"/>
        <v>0</v>
      </c>
      <c r="AG19" s="39"/>
      <c r="AH19" s="72">
        <f t="shared" si="6"/>
        <v>0</v>
      </c>
      <c r="AI19" s="72">
        <f t="shared" si="23"/>
        <v>0</v>
      </c>
      <c r="AJ19" s="39"/>
      <c r="AK19" s="72">
        <f t="shared" si="24"/>
        <v>60000000</v>
      </c>
      <c r="AL19" s="72">
        <f t="shared" si="25"/>
        <v>51756527.063049845</v>
      </c>
      <c r="AM19" s="39"/>
      <c r="AN19" s="72">
        <f t="shared" si="7"/>
        <v>0</v>
      </c>
      <c r="AO19" s="72">
        <f t="shared" si="26"/>
        <v>0</v>
      </c>
      <c r="AP19" s="39"/>
      <c r="AQ19" s="72">
        <f t="shared" si="8"/>
        <v>0</v>
      </c>
      <c r="AR19" s="72">
        <f t="shared" si="27"/>
        <v>0</v>
      </c>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49.199434446626192</v>
      </c>
      <c r="AU19" s="39"/>
      <c r="AV19" s="72">
        <f t="shared" si="9"/>
        <v>302439835.31766456</v>
      </c>
      <c r="AW19" s="72">
        <f t="shared" si="10"/>
        <v>260887258.6927174</v>
      </c>
      <c r="AX19" s="39"/>
      <c r="AY19" s="40">
        <f>IF(ISERROR(IF($K19&lt;=$F$15,VLOOKUP($I19,'表4）CO2価格'!$A$7:$E$67,VLOOKUP($F$48,'表4）CO2価格'!$H$10:$I$12,2,0),0)*$F$8/1000,"")),0,IF($K19&lt;=$F$15,VLOOKUP($I19,'表4）CO2価格'!$A$7:$E$67,VLOOKUP($F$48,'表4）CO2価格'!$H$10:$I$12,2,0),0)*$F$8/1000,""))</f>
        <v>4.7935999999999712</v>
      </c>
      <c r="AZ19" s="39"/>
      <c r="BA19" s="42">
        <f t="shared" si="11"/>
        <v>77559925.318341181</v>
      </c>
      <c r="BB19" s="72">
        <f t="shared" si="28"/>
        <v>66903872.895780839</v>
      </c>
      <c r="BC19" s="39"/>
      <c r="BD19" s="72">
        <f t="shared" si="12"/>
        <v>114927137.42071255</v>
      </c>
      <c r="BE19" s="72">
        <f t="shared" si="29"/>
        <v>99137158.303232625</v>
      </c>
      <c r="BF19" s="39"/>
      <c r="BG19" s="42">
        <f t="shared" si="13"/>
        <v>29472771.620969642</v>
      </c>
      <c r="BH19" s="72">
        <f t="shared" si="30"/>
        <v>25423471.700396713</v>
      </c>
      <c r="BI19" s="39"/>
      <c r="BJ19" s="40" t="str">
        <f t="shared" si="31"/>
        <v/>
      </c>
      <c r="BK19" s="157" t="str">
        <f t="shared" si="32"/>
        <v/>
      </c>
      <c r="BL19" s="157" t="str">
        <f t="shared" si="14"/>
        <v/>
      </c>
      <c r="BM19" s="72"/>
      <c r="BN19" s="72" t="str">
        <f t="shared" si="33"/>
        <v/>
      </c>
      <c r="BO19" s="72" t="str">
        <f t="shared" si="34"/>
        <v/>
      </c>
      <c r="BP19" s="39"/>
      <c r="BQ19" s="72">
        <f t="shared" si="15"/>
        <v>37126859.759999998</v>
      </c>
      <c r="BR19" s="72">
        <f t="shared" si="35"/>
        <v>32025955.365574937</v>
      </c>
    </row>
    <row r="20" spans="3:70" x14ac:dyDescent="0.15">
      <c r="I20" s="322">
        <f t="shared" si="36"/>
        <v>2035</v>
      </c>
      <c r="J20" s="71"/>
      <c r="K20" s="71">
        <f t="shared" si="37"/>
        <v>6</v>
      </c>
      <c r="L20" s="71"/>
      <c r="M20" s="7">
        <f t="shared" si="0"/>
        <v>0.83748425668365445</v>
      </c>
      <c r="N20" s="71"/>
      <c r="O20" s="10">
        <f t="shared" si="16"/>
        <v>336902546.08029014</v>
      </c>
      <c r="P20" s="29">
        <f t="shared" si="1"/>
        <v>0.16700000000000001</v>
      </c>
      <c r="Q20" s="71"/>
      <c r="R20" s="10">
        <f t="shared" si="17"/>
        <v>389893462.02347344</v>
      </c>
      <c r="S20" s="71"/>
      <c r="T20" s="10">
        <f t="shared" si="18"/>
        <v>389893000</v>
      </c>
      <c r="U20" s="71"/>
      <c r="V20" s="10">
        <f t="shared" si="2"/>
        <v>56262725.195408456</v>
      </c>
      <c r="W20" s="10">
        <f t="shared" si="19"/>
        <v>47119146.589273371</v>
      </c>
      <c r="X20" s="71"/>
      <c r="Y20" s="10">
        <f t="shared" si="3"/>
        <v>5458500</v>
      </c>
      <c r="Z20" s="10">
        <f t="shared" si="20"/>
        <v>4571407.8151077274</v>
      </c>
      <c r="AA20" s="71"/>
      <c r="AB20" s="10">
        <f t="shared" si="4"/>
        <v>0</v>
      </c>
      <c r="AC20" s="10">
        <f t="shared" si="21"/>
        <v>0</v>
      </c>
      <c r="AD20" s="71"/>
      <c r="AE20" s="10">
        <f t="shared" si="5"/>
        <v>0</v>
      </c>
      <c r="AF20" s="10">
        <f t="shared" si="22"/>
        <v>0</v>
      </c>
      <c r="AG20" s="71"/>
      <c r="AH20" s="10">
        <f t="shared" si="6"/>
        <v>0</v>
      </c>
      <c r="AI20" s="10">
        <f t="shared" si="23"/>
        <v>0</v>
      </c>
      <c r="AJ20" s="71"/>
      <c r="AK20" s="10">
        <f t="shared" si="24"/>
        <v>60000000</v>
      </c>
      <c r="AL20" s="10">
        <f t="shared" si="25"/>
        <v>50249055.401019268</v>
      </c>
      <c r="AM20" s="71"/>
      <c r="AN20" s="10">
        <f t="shared" si="7"/>
        <v>0</v>
      </c>
      <c r="AO20" s="10">
        <f t="shared" si="26"/>
        <v>0</v>
      </c>
      <c r="AP20" s="71"/>
      <c r="AQ20" s="10">
        <f t="shared" si="8"/>
        <v>0</v>
      </c>
      <c r="AR20" s="10">
        <f t="shared" si="27"/>
        <v>0</v>
      </c>
      <c r="AS20" s="71"/>
      <c r="AT20" s="7">
        <f>IF($K20&lt;=$F$15,IF($F$40&lt;&gt;"",$F$40/1000,IF(ISERROR(VLOOKUP($F$3&amp;IF($G$4&lt;&gt;"",$G$4,"")&amp;IF($F$43&lt;&gt;"","_"&amp;$F$43,""),'表3）燃料価格'!$AF$9:$AG$25,2,0)),0,VLOOKUP($I20,'表3）燃料価格'!$A$6:$U$66,VLOOKUP($F$3&amp;IF($G$4&lt;&gt;"",$G$4,"")&amp;IF($F$43&lt;&gt;"","_"&amp;$F$43,""),'表3）燃料価格'!$AF$9:$AG$25,2,0)+VLOOKUP($F$41,'表3）燃料価格'!$AF$28:$AG$29,2,0),0)*IF($F$43="需要地価格",1,$F$8/$F$141))),"")</f>
        <v>49.125048883837003</v>
      </c>
      <c r="AU20" s="71"/>
      <c r="AV20" s="10">
        <f t="shared" si="9"/>
        <v>302007192.97069705</v>
      </c>
      <c r="AW20" s="10">
        <f t="shared" si="10"/>
        <v>252926269.5181812</v>
      </c>
      <c r="AX20" s="71"/>
      <c r="AY20" s="7">
        <f>IF(ISERROR(IF($K20&lt;=$F$15,VLOOKUP($I20,'表4）CO2価格'!$A$7:$E$67,VLOOKUP($F$48,'表4）CO2価格'!$H$10:$I$12,2,0),0)*$F$8/1000,"")),0,IF($K20&lt;=$F$15,VLOOKUP($I20,'表4）CO2価格'!$A$7:$E$67,VLOOKUP($F$48,'表4）CO2価格'!$H$10:$I$12,2,0),0)*$F$8/1000,""))</f>
        <v>4.9219999999999997</v>
      </c>
      <c r="AZ20" s="71"/>
      <c r="BA20" s="11">
        <f t="shared" si="11"/>
        <v>79637423.317940086</v>
      </c>
      <c r="BB20" s="10">
        <f t="shared" si="28"/>
        <v>66695088.271626584</v>
      </c>
      <c r="BC20" s="71"/>
      <c r="BD20" s="10">
        <f t="shared" si="12"/>
        <v>114762733.32886487</v>
      </c>
      <c r="BE20" s="10">
        <f t="shared" si="29"/>
        <v>96111982.41690886</v>
      </c>
      <c r="BF20" s="71"/>
      <c r="BG20" s="11">
        <f t="shared" si="13"/>
        <v>30262220.860817224</v>
      </c>
      <c r="BH20" s="10">
        <f t="shared" si="30"/>
        <v>25344133.543218095</v>
      </c>
      <c r="BJ20" s="7" t="str">
        <f t="shared" si="31"/>
        <v/>
      </c>
      <c r="BK20" s="158" t="str">
        <f t="shared" si="32"/>
        <v/>
      </c>
      <c r="BL20" s="158" t="str">
        <f t="shared" si="14"/>
        <v/>
      </c>
      <c r="BM20" s="10"/>
      <c r="BN20" s="10" t="str">
        <f t="shared" si="33"/>
        <v/>
      </c>
      <c r="BO20" s="10" t="str">
        <f t="shared" si="34"/>
        <v/>
      </c>
      <c r="BQ20" s="10">
        <f t="shared" si="15"/>
        <v>37126859.759999998</v>
      </c>
      <c r="BR20" s="10">
        <f t="shared" si="35"/>
        <v>31093160.549101878</v>
      </c>
    </row>
    <row r="21" spans="3:70" x14ac:dyDescent="0.15">
      <c r="D21" s="81" t="s">
        <v>110</v>
      </c>
      <c r="F21" s="67">
        <v>14</v>
      </c>
      <c r="G21" s="81" t="s">
        <v>174</v>
      </c>
      <c r="I21" s="38">
        <f t="shared" si="36"/>
        <v>2036</v>
      </c>
      <c r="J21" s="39"/>
      <c r="K21" s="39">
        <f t="shared" si="37"/>
        <v>7</v>
      </c>
      <c r="L21" s="39"/>
      <c r="M21" s="40">
        <f t="shared" si="0"/>
        <v>0.81309151134335378</v>
      </c>
      <c r="N21" s="39"/>
      <c r="O21" s="72">
        <f t="shared" si="16"/>
        <v>280639820.88488168</v>
      </c>
      <c r="P21" s="41">
        <f t="shared" si="1"/>
        <v>0.16700000000000001</v>
      </c>
      <c r="Q21" s="39"/>
      <c r="R21" s="72">
        <f t="shared" si="17"/>
        <v>334410023.2649377</v>
      </c>
      <c r="S21" s="39"/>
      <c r="T21" s="72">
        <f t="shared" si="18"/>
        <v>334410000</v>
      </c>
      <c r="U21" s="39"/>
      <c r="V21" s="72">
        <f t="shared" si="2"/>
        <v>46866850.087775245</v>
      </c>
      <c r="W21" s="72">
        <f t="shared" si="19"/>
        <v>38107037.969771564</v>
      </c>
      <c r="X21" s="39"/>
      <c r="Y21" s="72">
        <f t="shared" si="3"/>
        <v>4681700</v>
      </c>
      <c r="Z21" s="72">
        <f t="shared" si="20"/>
        <v>3806650.5286561796</v>
      </c>
      <c r="AA21" s="39"/>
      <c r="AB21" s="72">
        <f t="shared" si="4"/>
        <v>0</v>
      </c>
      <c r="AC21" s="72">
        <f t="shared" si="21"/>
        <v>0</v>
      </c>
      <c r="AD21" s="39"/>
      <c r="AE21" s="72">
        <f t="shared" si="5"/>
        <v>0</v>
      </c>
      <c r="AF21" s="72">
        <f t="shared" si="22"/>
        <v>0</v>
      </c>
      <c r="AG21" s="39"/>
      <c r="AH21" s="72">
        <f t="shared" si="6"/>
        <v>0</v>
      </c>
      <c r="AI21" s="72">
        <f t="shared" si="23"/>
        <v>0</v>
      </c>
      <c r="AJ21" s="39"/>
      <c r="AK21" s="72">
        <f t="shared" si="24"/>
        <v>60000000</v>
      </c>
      <c r="AL21" s="72">
        <f t="shared" si="25"/>
        <v>48785490.680601224</v>
      </c>
      <c r="AM21" s="39"/>
      <c r="AN21" s="72">
        <f t="shared" si="7"/>
        <v>0</v>
      </c>
      <c r="AO21" s="72">
        <f t="shared" si="26"/>
        <v>0</v>
      </c>
      <c r="AP21" s="39"/>
      <c r="AQ21" s="72">
        <f t="shared" si="8"/>
        <v>0</v>
      </c>
      <c r="AR21" s="72">
        <f t="shared" si="27"/>
        <v>0</v>
      </c>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49.050663321047786</v>
      </c>
      <c r="AU21" s="39"/>
      <c r="AV21" s="72">
        <f t="shared" si="9"/>
        <v>301574550.62372929</v>
      </c>
      <c r="AW21" s="72">
        <f t="shared" si="10"/>
        <v>245207707.14934081</v>
      </c>
      <c r="AX21" s="39"/>
      <c r="AY21" s="40">
        <f>IF(ISERROR(IF($K21&lt;=$F$15,VLOOKUP($I21,'表4）CO2価格'!$A$7:$E$67,VLOOKUP($F$48,'表4）CO2価格'!$H$10:$I$12,2,0),0)*$F$8/1000,"")),0,IF($K21&lt;=$F$15,VLOOKUP($I21,'表4）CO2価格'!$A$7:$E$67,VLOOKUP($F$48,'表4）CO2価格'!$H$10:$I$12,2,0),0)*$F$8/1000,""))</f>
        <v>5.0503999999999802</v>
      </c>
      <c r="AZ21" s="39"/>
      <c r="BA21" s="42">
        <f t="shared" si="11"/>
        <v>81714921.317538202</v>
      </c>
      <c r="BB21" s="72">
        <f t="shared" si="28"/>
        <v>66441708.873380378</v>
      </c>
      <c r="BC21" s="39"/>
      <c r="BD21" s="72">
        <f t="shared" si="12"/>
        <v>114598329.23701712</v>
      </c>
      <c r="BE21" s="72">
        <f t="shared" si="29"/>
        <v>93178928.716749504</v>
      </c>
      <c r="BF21" s="39"/>
      <c r="BG21" s="42">
        <f t="shared" si="13"/>
        <v>31051670.100664511</v>
      </c>
      <c r="BH21" s="72">
        <f t="shared" si="30"/>
        <v>25247849.37188454</v>
      </c>
      <c r="BI21" s="39"/>
      <c r="BJ21" s="40" t="str">
        <f t="shared" si="31"/>
        <v/>
      </c>
      <c r="BK21" s="157" t="str">
        <f t="shared" si="32"/>
        <v/>
      </c>
      <c r="BL21" s="157" t="str">
        <f t="shared" si="14"/>
        <v/>
      </c>
      <c r="BM21" s="72"/>
      <c r="BN21" s="72" t="str">
        <f t="shared" si="33"/>
        <v/>
      </c>
      <c r="BO21" s="72" t="str">
        <f t="shared" si="34"/>
        <v/>
      </c>
      <c r="BP21" s="39"/>
      <c r="BQ21" s="72">
        <f t="shared" si="15"/>
        <v>37126859.759999998</v>
      </c>
      <c r="BR21" s="72">
        <f t="shared" si="35"/>
        <v>30187534.513691142</v>
      </c>
    </row>
    <row r="22" spans="3:70" ht="16.5" x14ac:dyDescent="0.15">
      <c r="D22" s="81" t="s">
        <v>111</v>
      </c>
      <c r="F22" s="148">
        <f>IF($F$43="需要地価格",45,54.7)</f>
        <v>54.7</v>
      </c>
      <c r="G22" s="9" t="s">
        <v>372</v>
      </c>
      <c r="I22" s="322">
        <f t="shared" si="36"/>
        <v>2037</v>
      </c>
      <c r="J22" s="71"/>
      <c r="K22" s="71">
        <f t="shared" si="37"/>
        <v>8</v>
      </c>
      <c r="L22" s="71"/>
      <c r="M22" s="7">
        <f t="shared" si="0"/>
        <v>0.78940923431393573</v>
      </c>
      <c r="N22" s="71"/>
      <c r="O22" s="10">
        <f t="shared" si="16"/>
        <v>233772970.79710644</v>
      </c>
      <c r="P22" s="29">
        <f t="shared" si="1"/>
        <v>0.16700000000000001</v>
      </c>
      <c r="Q22" s="71"/>
      <c r="R22" s="10">
        <f t="shared" si="17"/>
        <v>286822105.40202254</v>
      </c>
      <c r="S22" s="71"/>
      <c r="T22" s="10">
        <f t="shared" si="18"/>
        <v>286822000</v>
      </c>
      <c r="U22" s="71"/>
      <c r="V22" s="10">
        <f t="shared" si="2"/>
        <v>39040086.123116776</v>
      </c>
      <c r="W22" s="10">
        <f t="shared" si="19"/>
        <v>30818604.493999723</v>
      </c>
      <c r="X22" s="71"/>
      <c r="Y22" s="10">
        <f t="shared" si="3"/>
        <v>4015500</v>
      </c>
      <c r="Z22" s="10">
        <f t="shared" si="20"/>
        <v>3169872.7803876088</v>
      </c>
      <c r="AA22" s="71"/>
      <c r="AB22" s="10">
        <f t="shared" si="4"/>
        <v>0</v>
      </c>
      <c r="AC22" s="10">
        <f t="shared" si="21"/>
        <v>0</v>
      </c>
      <c r="AD22" s="71"/>
      <c r="AE22" s="10">
        <f t="shared" si="5"/>
        <v>0</v>
      </c>
      <c r="AF22" s="10">
        <f t="shared" si="22"/>
        <v>0</v>
      </c>
      <c r="AG22" s="71"/>
      <c r="AH22" s="10">
        <f t="shared" si="6"/>
        <v>0</v>
      </c>
      <c r="AI22" s="10">
        <f t="shared" si="23"/>
        <v>0</v>
      </c>
      <c r="AJ22" s="71"/>
      <c r="AK22" s="10">
        <f t="shared" si="24"/>
        <v>60000000</v>
      </c>
      <c r="AL22" s="10">
        <f t="shared" si="25"/>
        <v>47364554.058836147</v>
      </c>
      <c r="AM22" s="71"/>
      <c r="AN22" s="10">
        <f t="shared" si="7"/>
        <v>0</v>
      </c>
      <c r="AO22" s="10">
        <f t="shared" si="26"/>
        <v>0</v>
      </c>
      <c r="AP22" s="71"/>
      <c r="AQ22" s="10">
        <f t="shared" si="8"/>
        <v>0</v>
      </c>
      <c r="AR22" s="10">
        <f t="shared" si="27"/>
        <v>0</v>
      </c>
      <c r="AS22" s="71"/>
      <c r="AT22" s="7">
        <f>IF($K22&lt;=$F$15,IF($F$40&lt;&gt;"",$F$40/1000,IF(ISERROR(VLOOKUP($F$3&amp;IF($G$4&lt;&gt;"",$G$4,"")&amp;IF($F$43&lt;&gt;"","_"&amp;$F$43,""),'表3）燃料価格'!$AF$9:$AG$25,2,0)),0,VLOOKUP($I22,'表3）燃料価格'!$A$6:$U$66,VLOOKUP($F$3&amp;IF($G$4&lt;&gt;"",$G$4,"")&amp;IF($F$43&lt;&gt;"","_"&amp;$F$43,""),'表3）燃料価格'!$AF$9:$AG$25,2,0)+VLOOKUP($F$41,'表3）燃料価格'!$AF$28:$AG$29,2,0),0)*IF($F$43="需要地価格",1,$F$8/$F$141))),"")</f>
        <v>48.976277758258597</v>
      </c>
      <c r="AU22" s="71"/>
      <c r="AV22" s="10">
        <f t="shared" si="9"/>
        <v>301141908.27676177</v>
      </c>
      <c r="AW22" s="10">
        <f t="shared" si="10"/>
        <v>237724203.23259598</v>
      </c>
      <c r="AX22" s="71"/>
      <c r="AY22" s="7">
        <f>IF(ISERROR(IF($K22&lt;=$F$15,VLOOKUP($I22,'表4）CO2価格'!$A$7:$E$67,VLOOKUP($F$48,'表4）CO2価格'!$H$10:$I$12,2,0),0)*$F$8/1000,"")),0,IF($K22&lt;=$F$15,VLOOKUP($I22,'表4）CO2価格'!$A$7:$E$67,VLOOKUP($F$48,'表4）CO2価格'!$H$10:$I$12,2,0),0)*$F$8/1000,""))</f>
        <v>5.1788000000000105</v>
      </c>
      <c r="AZ22" s="71"/>
      <c r="BA22" s="11">
        <f t="shared" si="11"/>
        <v>83792419.317137122</v>
      </c>
      <c r="BB22" s="10">
        <f t="shared" si="28"/>
        <v>66146509.574453451</v>
      </c>
      <c r="BC22" s="71"/>
      <c r="BD22" s="10">
        <f t="shared" si="12"/>
        <v>114433925.14516945</v>
      </c>
      <c r="BE22" s="10">
        <f t="shared" si="29"/>
        <v>90335197.228386447</v>
      </c>
      <c r="BF22" s="71"/>
      <c r="BG22" s="11">
        <f t="shared" si="13"/>
        <v>31841119.340512104</v>
      </c>
      <c r="BH22" s="10">
        <f t="shared" si="30"/>
        <v>25135673.638292309</v>
      </c>
      <c r="BJ22" s="7" t="str">
        <f t="shared" si="31"/>
        <v/>
      </c>
      <c r="BK22" s="158" t="str">
        <f t="shared" si="32"/>
        <v/>
      </c>
      <c r="BL22" s="158" t="str">
        <f t="shared" si="14"/>
        <v/>
      </c>
      <c r="BM22" s="10"/>
      <c r="BN22" s="10" t="str">
        <f t="shared" si="33"/>
        <v/>
      </c>
      <c r="BO22" s="10" t="str">
        <f t="shared" si="34"/>
        <v/>
      </c>
      <c r="BQ22" s="10">
        <f t="shared" si="15"/>
        <v>37126859.759999998</v>
      </c>
      <c r="BR22" s="10">
        <f t="shared" si="35"/>
        <v>29308285.935622469</v>
      </c>
    </row>
    <row r="23" spans="3:70" x14ac:dyDescent="0.15">
      <c r="D23" s="81" t="s">
        <v>112</v>
      </c>
      <c r="F23" s="147">
        <v>43</v>
      </c>
      <c r="G23" s="81" t="s">
        <v>172</v>
      </c>
      <c r="I23" s="38">
        <f t="shared" si="36"/>
        <v>2038</v>
      </c>
      <c r="J23" s="39"/>
      <c r="K23" s="39">
        <f t="shared" si="37"/>
        <v>9</v>
      </c>
      <c r="L23" s="39"/>
      <c r="M23" s="40">
        <f t="shared" si="0"/>
        <v>0.76641673234362695</v>
      </c>
      <c r="N23" s="39"/>
      <c r="O23" s="72">
        <f t="shared" si="16"/>
        <v>194732884.67398965</v>
      </c>
      <c r="P23" s="41">
        <f t="shared" si="1"/>
        <v>0.16700000000000001</v>
      </c>
      <c r="Q23" s="39"/>
      <c r="R23" s="72">
        <f t="shared" si="17"/>
        <v>246006143.42851987</v>
      </c>
      <c r="S23" s="39"/>
      <c r="T23" s="72">
        <f t="shared" si="18"/>
        <v>246006000</v>
      </c>
      <c r="U23" s="39"/>
      <c r="V23" s="72">
        <f t="shared" si="2"/>
        <v>32520391.740556274</v>
      </c>
      <c r="W23" s="72">
        <f t="shared" si="19"/>
        <v>24924172.372331813</v>
      </c>
      <c r="X23" s="39"/>
      <c r="Y23" s="72">
        <f t="shared" si="3"/>
        <v>3444000</v>
      </c>
      <c r="Z23" s="72">
        <f t="shared" si="20"/>
        <v>2639539.2261914513</v>
      </c>
      <c r="AA23" s="39"/>
      <c r="AB23" s="72">
        <f t="shared" si="4"/>
        <v>0</v>
      </c>
      <c r="AC23" s="72">
        <f t="shared" si="21"/>
        <v>0</v>
      </c>
      <c r="AD23" s="39"/>
      <c r="AE23" s="72">
        <f t="shared" si="5"/>
        <v>0</v>
      </c>
      <c r="AF23" s="72">
        <f t="shared" si="22"/>
        <v>0</v>
      </c>
      <c r="AG23" s="39"/>
      <c r="AH23" s="72">
        <f t="shared" si="6"/>
        <v>0</v>
      </c>
      <c r="AI23" s="72">
        <f t="shared" si="23"/>
        <v>0</v>
      </c>
      <c r="AJ23" s="39"/>
      <c r="AK23" s="72">
        <f t="shared" si="24"/>
        <v>60000000</v>
      </c>
      <c r="AL23" s="72">
        <f t="shared" si="25"/>
        <v>45985003.940617613</v>
      </c>
      <c r="AM23" s="39"/>
      <c r="AN23" s="72">
        <f t="shared" si="7"/>
        <v>0</v>
      </c>
      <c r="AO23" s="72">
        <f t="shared" si="26"/>
        <v>0</v>
      </c>
      <c r="AP23" s="39"/>
      <c r="AQ23" s="72">
        <f t="shared" si="8"/>
        <v>0</v>
      </c>
      <c r="AR23" s="72">
        <f t="shared" si="27"/>
        <v>0</v>
      </c>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48.901892195469408</v>
      </c>
      <c r="AU23" s="39"/>
      <c r="AV23" s="72">
        <f t="shared" si="9"/>
        <v>300709265.92979419</v>
      </c>
      <c r="AW23" s="72">
        <f t="shared" si="10"/>
        <v>230468612.97936362</v>
      </c>
      <c r="AX23" s="39"/>
      <c r="AY23" s="40">
        <f>IF(ISERROR(IF($K23&lt;=$F$15,VLOOKUP($I23,'表4）CO2価格'!$A$7:$E$67,VLOOKUP($F$48,'表4）CO2価格'!$H$10:$I$12,2,0),0)*$F$8/1000,"")),0,IF($K23&lt;=$F$15,VLOOKUP($I23,'表4）CO2価格'!$A$7:$E$67,VLOOKUP($F$48,'表4）CO2価格'!$H$10:$I$12,2,0),0)*$F$8/1000,""))</f>
        <v>5.3071999999999901</v>
      </c>
      <c r="AZ23" s="39"/>
      <c r="BA23" s="42">
        <f t="shared" si="11"/>
        <v>85869917.316735238</v>
      </c>
      <c r="BB23" s="72">
        <f t="shared" si="28"/>
        <v>65812141.436509646</v>
      </c>
      <c r="BC23" s="39"/>
      <c r="BD23" s="72">
        <f t="shared" si="12"/>
        <v>114269521.05332178</v>
      </c>
      <c r="BE23" s="72">
        <f t="shared" si="29"/>
        <v>87578072.932158157</v>
      </c>
      <c r="BF23" s="39"/>
      <c r="BG23" s="42">
        <f t="shared" si="13"/>
        <v>32630568.580359384</v>
      </c>
      <c r="BH23" s="72">
        <f t="shared" si="30"/>
        <v>25008613.74587366</v>
      </c>
      <c r="BI23" s="39"/>
      <c r="BJ23" s="40" t="str">
        <f t="shared" si="31"/>
        <v/>
      </c>
      <c r="BK23" s="157" t="str">
        <f t="shared" si="32"/>
        <v/>
      </c>
      <c r="BL23" s="157" t="str">
        <f t="shared" si="14"/>
        <v/>
      </c>
      <c r="BM23" s="72"/>
      <c r="BN23" s="72" t="str">
        <f t="shared" si="33"/>
        <v/>
      </c>
      <c r="BO23" s="72" t="str">
        <f t="shared" si="34"/>
        <v/>
      </c>
      <c r="BP23" s="39"/>
      <c r="BQ23" s="72">
        <f t="shared" si="15"/>
        <v>37126859.759999998</v>
      </c>
      <c r="BR23" s="72">
        <f t="shared" si="35"/>
        <v>28454646.539439291</v>
      </c>
    </row>
    <row r="24" spans="3:70" x14ac:dyDescent="0.15">
      <c r="D24" s="81" t="s">
        <v>113</v>
      </c>
      <c r="F24" s="68">
        <v>2.2999999999999998</v>
      </c>
      <c r="G24" s="81" t="s">
        <v>172</v>
      </c>
      <c r="I24" s="322">
        <f t="shared" si="36"/>
        <v>2039</v>
      </c>
      <c r="J24" s="71"/>
      <c r="K24" s="71">
        <f t="shared" si="37"/>
        <v>10</v>
      </c>
      <c r="L24" s="71"/>
      <c r="M24" s="7">
        <f t="shared" si="0"/>
        <v>0.74409391489672516</v>
      </c>
      <c r="N24" s="71"/>
      <c r="O24" s="10">
        <f t="shared" si="16"/>
        <v>162212492.93343338</v>
      </c>
      <c r="P24" s="29">
        <f t="shared" si="1"/>
        <v>0.16700000000000001</v>
      </c>
      <c r="Q24" s="71"/>
      <c r="R24" s="10">
        <f t="shared" si="17"/>
        <v>210998460.24680474</v>
      </c>
      <c r="S24" s="71"/>
      <c r="T24" s="10">
        <f t="shared" si="18"/>
        <v>210998000</v>
      </c>
      <c r="U24" s="71"/>
      <c r="V24" s="10">
        <f t="shared" si="2"/>
        <v>27089486.319883376</v>
      </c>
      <c r="W24" s="10">
        <f t="shared" si="19"/>
        <v>20157121.928303301</v>
      </c>
      <c r="X24" s="71"/>
      <c r="Y24" s="10">
        <f t="shared" si="3"/>
        <v>2953900</v>
      </c>
      <c r="Z24" s="10">
        <f t="shared" si="20"/>
        <v>2197979.0152134364</v>
      </c>
      <c r="AA24" s="71"/>
      <c r="AB24" s="10">
        <f t="shared" si="4"/>
        <v>0</v>
      </c>
      <c r="AC24" s="10">
        <f t="shared" si="21"/>
        <v>0</v>
      </c>
      <c r="AD24" s="71"/>
      <c r="AE24" s="10">
        <f t="shared" si="5"/>
        <v>0</v>
      </c>
      <c r="AF24" s="10">
        <f t="shared" si="22"/>
        <v>0</v>
      </c>
      <c r="AG24" s="71"/>
      <c r="AH24" s="10">
        <f t="shared" si="6"/>
        <v>0</v>
      </c>
      <c r="AI24" s="10">
        <f t="shared" si="23"/>
        <v>0</v>
      </c>
      <c r="AJ24" s="71"/>
      <c r="AK24" s="10">
        <f t="shared" si="24"/>
        <v>60000000</v>
      </c>
      <c r="AL24" s="10">
        <f t="shared" si="25"/>
        <v>44645634.893803507</v>
      </c>
      <c r="AM24" s="71"/>
      <c r="AN24" s="10">
        <f t="shared" si="7"/>
        <v>0</v>
      </c>
      <c r="AO24" s="10">
        <f t="shared" si="26"/>
        <v>0</v>
      </c>
      <c r="AP24" s="71"/>
      <c r="AQ24" s="10">
        <f t="shared" si="8"/>
        <v>0</v>
      </c>
      <c r="AR24" s="10">
        <f t="shared" si="27"/>
        <v>0</v>
      </c>
      <c r="AS24" s="71"/>
      <c r="AT24" s="7">
        <f>IF($K24&lt;=$F$15,IF($F$40&lt;&gt;"",$F$40/1000,IF(ISERROR(VLOOKUP($F$3&amp;IF($G$4&lt;&gt;"",$G$4,"")&amp;IF($F$43&lt;&gt;"","_"&amp;$F$43,""),'表3）燃料価格'!$AF$9:$AG$25,2,0)),0,VLOOKUP($I24,'表3）燃料価格'!$A$6:$U$66,VLOOKUP($F$3&amp;IF($G$4&lt;&gt;"",$G$4,"")&amp;IF($F$43&lt;&gt;"","_"&amp;$F$43,""),'表3）燃料価格'!$AF$9:$AG$25,2,0)+VLOOKUP($F$41,'表3）燃料価格'!$AF$28:$AG$29,2,0),0)*IF($F$43="需要地価格",1,$F$8/$F$141))),"")</f>
        <v>48.827506632680205</v>
      </c>
      <c r="AU24" s="71"/>
      <c r="AV24" s="10">
        <f t="shared" si="9"/>
        <v>300276623.58282655</v>
      </c>
      <c r="AW24" s="10">
        <f t="shared" si="10"/>
        <v>223434008.39371571</v>
      </c>
      <c r="AX24" s="71"/>
      <c r="AY24" s="7">
        <f>IF(ISERROR(IF($K24&lt;=$F$15,VLOOKUP($I24,'表4）CO2価格'!$A$7:$E$67,VLOOKUP($F$48,'表4）CO2価格'!$H$10:$I$12,2,0),0)*$F$8/1000,"")),0,IF($K24&lt;=$F$15,VLOOKUP($I24,'表4）CO2価格'!$A$7:$E$67,VLOOKUP($F$48,'表4）CO2価格'!$H$10:$I$12,2,0),0)*$F$8/1000,""))</f>
        <v>5.4355999999999716</v>
      </c>
      <c r="AZ24" s="71"/>
      <c r="BA24" s="11">
        <f t="shared" si="11"/>
        <v>87947415.316333368</v>
      </c>
      <c r="BB24" s="10">
        <f t="shared" si="28"/>
        <v>65441136.567778707</v>
      </c>
      <c r="BC24" s="71"/>
      <c r="BD24" s="10">
        <f t="shared" si="12"/>
        <v>114105116.96147408</v>
      </c>
      <c r="BE24" s="10">
        <f t="shared" si="29"/>
        <v>84904923.189611956</v>
      </c>
      <c r="BF24" s="71"/>
      <c r="BG24" s="11">
        <f t="shared" si="13"/>
        <v>33420017.820206676</v>
      </c>
      <c r="BH24" s="10">
        <f t="shared" si="30"/>
        <v>24867631.895755906</v>
      </c>
      <c r="BJ24" s="7" t="str">
        <f t="shared" si="31"/>
        <v/>
      </c>
      <c r="BK24" s="158" t="str">
        <f t="shared" si="32"/>
        <v/>
      </c>
      <c r="BL24" s="158" t="str">
        <f t="shared" si="14"/>
        <v/>
      </c>
      <c r="BM24" s="10"/>
      <c r="BN24" s="10" t="str">
        <f t="shared" si="33"/>
        <v/>
      </c>
      <c r="BO24" s="10" t="str">
        <f t="shared" si="34"/>
        <v/>
      </c>
      <c r="BQ24" s="10">
        <f t="shared" si="15"/>
        <v>37126859.759999998</v>
      </c>
      <c r="BR24" s="10">
        <f t="shared" si="35"/>
        <v>27625870.42664009</v>
      </c>
    </row>
    <row r="25" spans="3:70" x14ac:dyDescent="0.15">
      <c r="D25" s="81" t="s">
        <v>114</v>
      </c>
      <c r="F25" s="66">
        <v>1.4</v>
      </c>
      <c r="G25" s="81" t="s">
        <v>172</v>
      </c>
      <c r="I25" s="38">
        <f t="shared" si="36"/>
        <v>2040</v>
      </c>
      <c r="J25" s="39"/>
      <c r="K25" s="39">
        <f t="shared" si="37"/>
        <v>11</v>
      </c>
      <c r="L25" s="39"/>
      <c r="M25" s="40">
        <f t="shared" si="0"/>
        <v>0.72242127659876232</v>
      </c>
      <c r="N25" s="39"/>
      <c r="O25" s="72">
        <f t="shared" si="16"/>
        <v>135123006.61355001</v>
      </c>
      <c r="P25" s="41">
        <f t="shared" si="1"/>
        <v>0.2</v>
      </c>
      <c r="Q25" s="39"/>
      <c r="R25" s="72">
        <f t="shared" si="17"/>
        <v>180972513.96267825</v>
      </c>
      <c r="S25" s="39"/>
      <c r="T25" s="72">
        <f t="shared" si="18"/>
        <v>180972000</v>
      </c>
      <c r="U25" s="39"/>
      <c r="V25" s="72">
        <f t="shared" si="2"/>
        <v>27024601.322710004</v>
      </c>
      <c r="W25" s="72">
        <f t="shared" si="19"/>
        <v>19523146.987124763</v>
      </c>
      <c r="X25" s="39"/>
      <c r="Y25" s="72">
        <f t="shared" si="3"/>
        <v>2533600</v>
      </c>
      <c r="Z25" s="72">
        <f t="shared" si="20"/>
        <v>1830326.5463906243</v>
      </c>
      <c r="AA25" s="39"/>
      <c r="AB25" s="72">
        <f t="shared" si="4"/>
        <v>0</v>
      </c>
      <c r="AC25" s="72">
        <f t="shared" si="21"/>
        <v>0</v>
      </c>
      <c r="AD25" s="39"/>
      <c r="AE25" s="72">
        <f t="shared" si="5"/>
        <v>0</v>
      </c>
      <c r="AF25" s="72">
        <f t="shared" si="22"/>
        <v>0</v>
      </c>
      <c r="AG25" s="39"/>
      <c r="AH25" s="72">
        <f t="shared" si="6"/>
        <v>0</v>
      </c>
      <c r="AI25" s="72">
        <f t="shared" si="23"/>
        <v>0</v>
      </c>
      <c r="AJ25" s="39"/>
      <c r="AK25" s="72">
        <f t="shared" si="24"/>
        <v>60000000</v>
      </c>
      <c r="AL25" s="72">
        <f t="shared" si="25"/>
        <v>43345276.595925741</v>
      </c>
      <c r="AM25" s="39"/>
      <c r="AN25" s="72">
        <f t="shared" si="7"/>
        <v>0</v>
      </c>
      <c r="AO25" s="72">
        <f t="shared" si="26"/>
        <v>0</v>
      </c>
      <c r="AP25" s="39"/>
      <c r="AQ25" s="72">
        <f t="shared" si="8"/>
        <v>0</v>
      </c>
      <c r="AR25" s="72">
        <f t="shared" si="27"/>
        <v>0</v>
      </c>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48.753121069891002</v>
      </c>
      <c r="AU25" s="39"/>
      <c r="AV25" s="72">
        <f t="shared" si="9"/>
        <v>299843981.23585892</v>
      </c>
      <c r="AW25" s="72">
        <f t="shared" si="10"/>
        <v>216613671.70486453</v>
      </c>
      <c r="AX25" s="39"/>
      <c r="AY25" s="40">
        <f>IF(ISERROR(IF($K25&lt;=$F$15,VLOOKUP($I25,'表4）CO2価格'!$A$7:$E$67,VLOOKUP($F$48,'表4）CO2価格'!$H$10:$I$12,2,0),0)*$F$8/1000,"")),0,IF($K25&lt;=$F$15,VLOOKUP($I25,'表4）CO2価格'!$A$7:$E$67,VLOOKUP($F$48,'表4）CO2価格'!$H$10:$I$12,2,0),0)*$F$8/1000,""))</f>
        <v>5.5640000000000001</v>
      </c>
      <c r="AZ25" s="39"/>
      <c r="BA25" s="42">
        <f t="shared" si="11"/>
        <v>90024913.315932274</v>
      </c>
      <c r="BB25" s="72">
        <f t="shared" si="28"/>
        <v>65035912.803388707</v>
      </c>
      <c r="BC25" s="39"/>
      <c r="BD25" s="72">
        <f t="shared" si="12"/>
        <v>113940712.86962637</v>
      </c>
      <c r="BE25" s="72">
        <f t="shared" si="29"/>
        <v>82313195.247848511</v>
      </c>
      <c r="BF25" s="39"/>
      <c r="BG25" s="42">
        <f t="shared" si="13"/>
        <v>34209467.060054258</v>
      </c>
      <c r="BH25" s="72">
        <f t="shared" si="30"/>
        <v>24713646.865287706</v>
      </c>
      <c r="BI25" s="39"/>
      <c r="BJ25" s="40" t="str">
        <f t="shared" si="31"/>
        <v/>
      </c>
      <c r="BK25" s="157" t="str">
        <f t="shared" si="32"/>
        <v/>
      </c>
      <c r="BL25" s="157" t="str">
        <f t="shared" si="14"/>
        <v/>
      </c>
      <c r="BM25" s="72"/>
      <c r="BN25" s="72" t="str">
        <f t="shared" si="33"/>
        <v/>
      </c>
      <c r="BO25" s="72" t="str">
        <f t="shared" si="34"/>
        <v/>
      </c>
      <c r="BP25" s="39"/>
      <c r="BQ25" s="72">
        <f t="shared" si="15"/>
        <v>37126859.759999998</v>
      </c>
      <c r="BR25" s="72">
        <f t="shared" si="35"/>
        <v>26821233.423922416</v>
      </c>
    </row>
    <row r="26" spans="3:70" x14ac:dyDescent="0.15">
      <c r="D26" s="81" t="s">
        <v>115</v>
      </c>
      <c r="F26" s="59"/>
      <c r="G26" s="81" t="s">
        <v>175</v>
      </c>
      <c r="I26" s="322">
        <f t="shared" si="36"/>
        <v>2041</v>
      </c>
      <c r="J26" s="71"/>
      <c r="K26" s="71">
        <f t="shared" si="37"/>
        <v>12</v>
      </c>
      <c r="L26" s="71"/>
      <c r="M26" s="7">
        <f t="shared" si="0"/>
        <v>0.70137988019297326</v>
      </c>
      <c r="N26" s="71"/>
      <c r="O26" s="10">
        <f t="shared" si="16"/>
        <v>108098405.29084</v>
      </c>
      <c r="P26" s="29" t="str">
        <f t="shared" si="1"/>
        <v>-</v>
      </c>
      <c r="Q26" s="71"/>
      <c r="R26" s="10">
        <f t="shared" si="17"/>
        <v>155219382.98347247</v>
      </c>
      <c r="S26" s="71"/>
      <c r="T26" s="10">
        <f t="shared" si="18"/>
        <v>155219000</v>
      </c>
      <c r="U26" s="71"/>
      <c r="V26" s="10">
        <f t="shared" si="2"/>
        <v>27024601.322710004</v>
      </c>
      <c r="W26" s="10">
        <f t="shared" si="19"/>
        <v>18954511.637985211</v>
      </c>
      <c r="X26" s="71"/>
      <c r="Y26" s="10">
        <f t="shared" si="3"/>
        <v>2173000</v>
      </c>
      <c r="Z26" s="10">
        <f t="shared" si="20"/>
        <v>1524098.4796593308</v>
      </c>
      <c r="AA26" s="71"/>
      <c r="AB26" s="10">
        <f t="shared" si="4"/>
        <v>0</v>
      </c>
      <c r="AC26" s="10">
        <f t="shared" si="21"/>
        <v>0</v>
      </c>
      <c r="AD26" s="71"/>
      <c r="AE26" s="10">
        <f t="shared" si="5"/>
        <v>0</v>
      </c>
      <c r="AF26" s="10">
        <f t="shared" si="22"/>
        <v>0</v>
      </c>
      <c r="AG26" s="71"/>
      <c r="AH26" s="10">
        <f t="shared" si="6"/>
        <v>0</v>
      </c>
      <c r="AI26" s="10">
        <f t="shared" si="23"/>
        <v>0</v>
      </c>
      <c r="AJ26" s="71"/>
      <c r="AK26" s="10">
        <f t="shared" si="24"/>
        <v>60000000</v>
      </c>
      <c r="AL26" s="10">
        <f t="shared" si="25"/>
        <v>42082792.811578393</v>
      </c>
      <c r="AM26" s="71"/>
      <c r="AN26" s="10">
        <f t="shared" si="7"/>
        <v>0</v>
      </c>
      <c r="AO26" s="10">
        <f t="shared" si="26"/>
        <v>0</v>
      </c>
      <c r="AP26" s="71"/>
      <c r="AQ26" s="10">
        <f t="shared" si="8"/>
        <v>0</v>
      </c>
      <c r="AR26" s="10">
        <f t="shared" si="27"/>
        <v>0</v>
      </c>
      <c r="AS26" s="71"/>
      <c r="AT26" s="7">
        <f>IF($K26&lt;=$F$15,IF($F$40&lt;&gt;"",$F$40/1000,IF(ISERROR(VLOOKUP($F$3&amp;IF($G$4&lt;&gt;"",$G$4,"")&amp;IF($F$43&lt;&gt;"","_"&amp;$F$43,""),'表3）燃料価格'!$AF$9:$AG$25,2,0)),0,VLOOKUP($I26,'表3）燃料価格'!$A$6:$U$66,VLOOKUP($F$3&amp;IF($G$4&lt;&gt;"",$G$4,"")&amp;IF($F$43&lt;&gt;"","_"&amp;$F$43,""),'表3）燃料価格'!$AF$9:$AG$25,2,0)+VLOOKUP($F$41,'表3）燃料価格'!$AF$28:$AG$29,2,0),0)*IF($F$43="需要地価格",1,$F$8/$F$141))),"")</f>
        <v>48.601524950900931</v>
      </c>
      <c r="AU26" s="71"/>
      <c r="AV26" s="10">
        <f t="shared" si="9"/>
        <v>298962265.77587223</v>
      </c>
      <c r="AW26" s="10">
        <f t="shared" si="10"/>
        <v>209686118.1521011</v>
      </c>
      <c r="AX26" s="71"/>
      <c r="AY26" s="7">
        <f>IF(ISERROR(IF($K26&lt;=$F$15,VLOOKUP($I26,'表4）CO2価格'!$A$7:$E$67,VLOOKUP($F$48,'表4）CO2価格'!$H$10:$I$12,2,0),0)*$F$8/1000,"")),0,IF($K26&lt;=$F$15,VLOOKUP($I26,'表4）CO2価格'!$A$7:$E$67,VLOOKUP($F$48,'表4）CO2価格'!$H$10:$I$12,2,0),0)*$F$8/1000,""))</f>
        <v>5.6923999999999806</v>
      </c>
      <c r="AZ26" s="71"/>
      <c r="BA26" s="11">
        <f t="shared" si="11"/>
        <v>92102411.31553039</v>
      </c>
      <c r="BB26" s="10">
        <f t="shared" si="28"/>
        <v>64598778.213970646</v>
      </c>
      <c r="BC26" s="71"/>
      <c r="BD26" s="10">
        <f t="shared" si="12"/>
        <v>113605660.99483144</v>
      </c>
      <c r="BE26" s="10">
        <f t="shared" si="29"/>
        <v>79680724.897798419</v>
      </c>
      <c r="BF26" s="71"/>
      <c r="BG26" s="11">
        <f t="shared" si="13"/>
        <v>34998916.299901545</v>
      </c>
      <c r="BH26" s="10">
        <f t="shared" si="30"/>
        <v>24547535.721308846</v>
      </c>
      <c r="BJ26" s="7" t="str">
        <f t="shared" si="31"/>
        <v/>
      </c>
      <c r="BK26" s="158" t="str">
        <f t="shared" si="32"/>
        <v/>
      </c>
      <c r="BL26" s="158" t="str">
        <f t="shared" si="14"/>
        <v/>
      </c>
      <c r="BM26" s="10"/>
      <c r="BN26" s="10" t="str">
        <f t="shared" si="33"/>
        <v/>
      </c>
      <c r="BO26" s="10" t="str">
        <f t="shared" si="34"/>
        <v/>
      </c>
      <c r="BQ26" s="10">
        <f t="shared" si="15"/>
        <v>37126859.759999998</v>
      </c>
      <c r="BR26" s="10">
        <f t="shared" si="35"/>
        <v>26040032.45041012</v>
      </c>
    </row>
    <row r="27" spans="3:70" x14ac:dyDescent="0.15">
      <c r="D27" s="82" t="s">
        <v>86</v>
      </c>
      <c r="F27" s="109">
        <f>F117*5%/10^8</f>
        <v>0.42</v>
      </c>
      <c r="G27" s="81" t="s">
        <v>176</v>
      </c>
      <c r="I27" s="38">
        <f t="shared" si="36"/>
        <v>2042</v>
      </c>
      <c r="J27" s="39"/>
      <c r="K27" s="39">
        <f t="shared" si="37"/>
        <v>13</v>
      </c>
      <c r="L27" s="39"/>
      <c r="M27" s="40">
        <f t="shared" si="0"/>
        <v>0.68095133999317792</v>
      </c>
      <c r="N27" s="39"/>
      <c r="O27" s="72">
        <f t="shared" si="16"/>
        <v>81073803.968129992</v>
      </c>
      <c r="P27" s="41" t="str">
        <f t="shared" si="1"/>
        <v>-</v>
      </c>
      <c r="Q27" s="39"/>
      <c r="R27" s="72">
        <f t="shared" si="17"/>
        <v>133131028.16673356</v>
      </c>
      <c r="S27" s="39"/>
      <c r="T27" s="72">
        <f t="shared" si="18"/>
        <v>133131000</v>
      </c>
      <c r="U27" s="39"/>
      <c r="V27" s="72">
        <f t="shared" si="2"/>
        <v>27024601.322710004</v>
      </c>
      <c r="W27" s="72">
        <f t="shared" si="19"/>
        <v>18402438.483480785</v>
      </c>
      <c r="X27" s="39"/>
      <c r="Y27" s="72">
        <f t="shared" si="3"/>
        <v>1863800</v>
      </c>
      <c r="Z27" s="72">
        <f t="shared" si="20"/>
        <v>1269157.107479285</v>
      </c>
      <c r="AA27" s="39"/>
      <c r="AB27" s="72">
        <f t="shared" si="4"/>
        <v>0</v>
      </c>
      <c r="AC27" s="72">
        <f t="shared" si="21"/>
        <v>0</v>
      </c>
      <c r="AD27" s="39"/>
      <c r="AE27" s="72">
        <f t="shared" si="5"/>
        <v>0</v>
      </c>
      <c r="AF27" s="72">
        <f t="shared" si="22"/>
        <v>0</v>
      </c>
      <c r="AG27" s="39"/>
      <c r="AH27" s="72">
        <f t="shared" si="6"/>
        <v>0</v>
      </c>
      <c r="AI27" s="72">
        <f t="shared" si="23"/>
        <v>0</v>
      </c>
      <c r="AJ27" s="39"/>
      <c r="AK27" s="72">
        <f t="shared" si="24"/>
        <v>60000000</v>
      </c>
      <c r="AL27" s="72">
        <f t="shared" si="25"/>
        <v>40857080.399590679</v>
      </c>
      <c r="AM27" s="39"/>
      <c r="AN27" s="72">
        <f t="shared" si="7"/>
        <v>0</v>
      </c>
      <c r="AO27" s="72">
        <f t="shared" si="26"/>
        <v>0</v>
      </c>
      <c r="AP27" s="39"/>
      <c r="AQ27" s="72">
        <f t="shared" si="8"/>
        <v>0</v>
      </c>
      <c r="AR27" s="72">
        <f t="shared" si="27"/>
        <v>0</v>
      </c>
      <c r="AS27" s="39"/>
      <c r="AT27" s="40">
        <f>IF($K27&lt;=$F$15,IF($F$40&lt;&gt;"",$F$40/1000,IF(ISERROR(VLOOKUP($F$3&amp;IF($G$4&lt;&gt;"",$G$4,"")&amp;IF($F$43&lt;&gt;"","_"&amp;$F$43,""),'表3）燃料価格'!$AF$9:$AG$25,2,0)),0,VLOOKUP($I27,'表3）燃料価格'!$A$6:$U$66,VLOOKUP($F$3&amp;IF($G$4&lt;&gt;"",$G$4,"")&amp;IF($F$43&lt;&gt;"","_"&amp;$F$43,""),'表3）燃料価格'!$AF$9:$AG$25,2,0)+VLOOKUP($F$41,'表3）燃料価格'!$AF$28:$AG$29,2,0),0)*IF($F$43="需要地価格",1,$F$8/$F$141))),"")</f>
        <v>48.45544265623667</v>
      </c>
      <c r="AU27" s="39"/>
      <c r="AV27" s="72">
        <f t="shared" si="9"/>
        <v>298112619.89777261</v>
      </c>
      <c r="AW27" s="72">
        <f t="shared" si="10"/>
        <v>203000187.98826519</v>
      </c>
      <c r="AX27" s="39"/>
      <c r="AY27" s="40">
        <f>IF(ISERROR(IF($K27&lt;=$F$15,VLOOKUP($I27,'表4）CO2価格'!$A$7:$E$67,VLOOKUP($F$48,'表4）CO2価格'!$H$10:$I$12,2,0),0)*$F$8/1000,"")),0,IF($K27&lt;=$F$15,VLOOKUP($I27,'表4）CO2価格'!$A$7:$E$67,VLOOKUP($F$48,'表4）CO2価格'!$H$10:$I$12,2,0),0)*$F$8/1000,""))</f>
        <v>5.82080000000001</v>
      </c>
      <c r="AZ27" s="39"/>
      <c r="BA27" s="42">
        <f t="shared" si="11"/>
        <v>94179909.31512931</v>
      </c>
      <c r="BB27" s="72">
        <f t="shared" si="28"/>
        <v>64131935.448573284</v>
      </c>
      <c r="BC27" s="39"/>
      <c r="BD27" s="72">
        <f t="shared" si="12"/>
        <v>113282795.56115359</v>
      </c>
      <c r="BE27" s="72">
        <f t="shared" si="29"/>
        <v>77140071.435540766</v>
      </c>
      <c r="BF27" s="39"/>
      <c r="BG27" s="42">
        <f t="shared" si="13"/>
        <v>35788365.539749131</v>
      </c>
      <c r="BH27" s="72">
        <f t="shared" si="30"/>
        <v>24370135.470457841</v>
      </c>
      <c r="BI27" s="39"/>
      <c r="BJ27" s="40" t="str">
        <f t="shared" si="31"/>
        <v/>
      </c>
      <c r="BK27" s="157" t="str">
        <f t="shared" si="32"/>
        <v/>
      </c>
      <c r="BL27" s="157" t="str">
        <f t="shared" si="14"/>
        <v/>
      </c>
      <c r="BM27" s="72"/>
      <c r="BN27" s="72" t="str">
        <f t="shared" si="33"/>
        <v/>
      </c>
      <c r="BO27" s="72" t="str">
        <f t="shared" si="34"/>
        <v/>
      </c>
      <c r="BP27" s="39"/>
      <c r="BQ27" s="72">
        <f t="shared" si="15"/>
        <v>37126859.759999998</v>
      </c>
      <c r="BR27" s="72">
        <f t="shared" si="35"/>
        <v>25281584.903310794</v>
      </c>
    </row>
    <row r="28" spans="3:70" x14ac:dyDescent="0.15">
      <c r="D28" s="81" t="s">
        <v>116</v>
      </c>
      <c r="F28" s="59">
        <v>1</v>
      </c>
      <c r="G28" s="81" t="s">
        <v>108</v>
      </c>
      <c r="I28" s="322">
        <f t="shared" si="36"/>
        <v>2043</v>
      </c>
      <c r="J28" s="71"/>
      <c r="K28" s="71">
        <f t="shared" si="37"/>
        <v>14</v>
      </c>
      <c r="L28" s="71"/>
      <c r="M28" s="7">
        <f t="shared" si="0"/>
        <v>0.66111780581861923</v>
      </c>
      <c r="N28" s="71"/>
      <c r="O28" s="10">
        <f t="shared" si="16"/>
        <v>54049202.645419985</v>
      </c>
      <c r="P28" s="29" t="str">
        <f t="shared" si="1"/>
        <v>-</v>
      </c>
      <c r="Q28" s="71"/>
      <c r="R28" s="10">
        <f t="shared" si="17"/>
        <v>114185936.83379617</v>
      </c>
      <c r="S28" s="71"/>
      <c r="T28" s="10">
        <f t="shared" si="18"/>
        <v>114185000</v>
      </c>
      <c r="U28" s="71"/>
      <c r="V28" s="10">
        <f t="shared" si="2"/>
        <v>27024601.322710004</v>
      </c>
      <c r="W28" s="10">
        <f t="shared" si="19"/>
        <v>17866445.129592992</v>
      </c>
      <c r="X28" s="71"/>
      <c r="Y28" s="10">
        <f t="shared" si="3"/>
        <v>1598500</v>
      </c>
      <c r="Z28" s="10">
        <f t="shared" si="20"/>
        <v>1056796.8126010629</v>
      </c>
      <c r="AA28" s="71"/>
      <c r="AB28" s="10">
        <f t="shared" si="4"/>
        <v>0</v>
      </c>
      <c r="AC28" s="10">
        <f t="shared" si="21"/>
        <v>0</v>
      </c>
      <c r="AD28" s="71"/>
      <c r="AE28" s="10">
        <f t="shared" si="5"/>
        <v>0</v>
      </c>
      <c r="AF28" s="10">
        <f t="shared" si="22"/>
        <v>0</v>
      </c>
      <c r="AG28" s="71"/>
      <c r="AH28" s="10">
        <f t="shared" si="6"/>
        <v>0</v>
      </c>
      <c r="AI28" s="10">
        <f t="shared" si="23"/>
        <v>0</v>
      </c>
      <c r="AJ28" s="71"/>
      <c r="AK28" s="10">
        <f t="shared" si="24"/>
        <v>60000000</v>
      </c>
      <c r="AL28" s="10">
        <f t="shared" si="25"/>
        <v>39667068.349117152</v>
      </c>
      <c r="AM28" s="71"/>
      <c r="AN28" s="10">
        <f t="shared" si="7"/>
        <v>0</v>
      </c>
      <c r="AO28" s="10">
        <f t="shared" si="26"/>
        <v>0</v>
      </c>
      <c r="AP28" s="71"/>
      <c r="AQ28" s="10">
        <f t="shared" si="8"/>
        <v>0</v>
      </c>
      <c r="AR28" s="10">
        <f t="shared" si="27"/>
        <v>0</v>
      </c>
      <c r="AS28" s="71"/>
      <c r="AT28" s="7">
        <f>IF($K28&lt;=$F$15,IF($F$40&lt;&gt;"",$F$40/1000,IF(ISERROR(VLOOKUP($F$3&amp;IF($G$4&lt;&gt;"",$G$4,"")&amp;IF($F$43&lt;&gt;"","_"&amp;$F$43,""),'表3）燃料価格'!$AF$9:$AG$25,2,0)),0,VLOOKUP($I28,'表3）燃料価格'!$A$6:$U$66,VLOOKUP($F$3&amp;IF($G$4&lt;&gt;"",$G$4,"")&amp;IF($F$43&lt;&gt;"","_"&amp;$F$43,""),'表3）燃料価格'!$AF$9:$AG$25,2,0)+VLOOKUP($F$41,'表3）燃料価格'!$AF$28:$AG$29,2,0),0)*IF($F$43="需要地価格",1,$F$8/$F$141))),"")</f>
        <v>48.314487127285105</v>
      </c>
      <c r="AU28" s="71"/>
      <c r="AV28" s="10">
        <f t="shared" si="9"/>
        <v>297292792.38586032</v>
      </c>
      <c r="AW28" s="10">
        <f t="shared" si="10"/>
        <v>196545558.58783028</v>
      </c>
      <c r="AX28" s="71"/>
      <c r="AY28" s="7">
        <f>IF(ISERROR(IF($K28&lt;=$F$15,VLOOKUP($I28,'表4）CO2価格'!$A$7:$E$67,VLOOKUP($F$48,'表4）CO2価格'!$H$10:$I$12,2,0),0)*$F$8/1000,"")),0,IF($K28&lt;=$F$15,VLOOKUP($I28,'表4）CO2価格'!$A$7:$E$67,VLOOKUP($F$48,'表4）CO2価格'!$H$10:$I$12,2,0),0)*$F$8/1000,""))</f>
        <v>5.9491999999999896</v>
      </c>
      <c r="AZ28" s="71"/>
      <c r="BA28" s="11">
        <f t="shared" si="11"/>
        <v>96257407.314727411</v>
      </c>
      <c r="BB28" s="10">
        <f t="shared" si="28"/>
        <v>63637485.917701691</v>
      </c>
      <c r="BC28" s="71"/>
      <c r="BD28" s="10">
        <f t="shared" si="12"/>
        <v>112971261.10662691</v>
      </c>
      <c r="BE28" s="10">
        <f t="shared" si="29"/>
        <v>74687312.263375506</v>
      </c>
      <c r="BF28" s="71"/>
      <c r="BG28" s="11">
        <f t="shared" si="13"/>
        <v>36577814.779596411</v>
      </c>
      <c r="BH28" s="10">
        <f t="shared" si="30"/>
        <v>24182244.648726642</v>
      </c>
      <c r="BJ28" s="7" t="str">
        <f t="shared" si="31"/>
        <v/>
      </c>
      <c r="BK28" s="158" t="str">
        <f t="shared" si="32"/>
        <v/>
      </c>
      <c r="BL28" s="158" t="str">
        <f t="shared" si="14"/>
        <v/>
      </c>
      <c r="BM28" s="10"/>
      <c r="BN28" s="10" t="str">
        <f t="shared" si="33"/>
        <v/>
      </c>
      <c r="BO28" s="10" t="str">
        <f t="shared" si="34"/>
        <v/>
      </c>
      <c r="BQ28" s="10">
        <f t="shared" si="15"/>
        <v>37126859.759999998</v>
      </c>
      <c r="BR28" s="10">
        <f t="shared" si="35"/>
        <v>24545228.061466787</v>
      </c>
    </row>
    <row r="29" spans="3:70" x14ac:dyDescent="0.15">
      <c r="D29" s="81" t="s">
        <v>117</v>
      </c>
      <c r="F29" s="59"/>
      <c r="G29" s="81" t="s">
        <v>176</v>
      </c>
      <c r="I29" s="38">
        <f t="shared" si="36"/>
        <v>2044</v>
      </c>
      <c r="J29" s="39"/>
      <c r="K29" s="39">
        <f t="shared" si="37"/>
        <v>15</v>
      </c>
      <c r="L29" s="39"/>
      <c r="M29" s="40">
        <f t="shared" si="0"/>
        <v>0.64186194739671765</v>
      </c>
      <c r="N29" s="39"/>
      <c r="O29" s="72">
        <f t="shared" si="16"/>
        <v>27024601.322709981</v>
      </c>
      <c r="P29" s="41" t="str">
        <f t="shared" si="1"/>
        <v>-</v>
      </c>
      <c r="Q29" s="39"/>
      <c r="R29" s="72">
        <f t="shared" si="17"/>
        <v>97936809.699105889</v>
      </c>
      <c r="S29" s="39"/>
      <c r="T29" s="72">
        <f t="shared" si="18"/>
        <v>97936000</v>
      </c>
      <c r="U29" s="39"/>
      <c r="V29" s="72">
        <f t="shared" si="2"/>
        <v>27024601.322709981</v>
      </c>
      <c r="W29" s="72">
        <f t="shared" si="19"/>
        <v>17346063.23261454</v>
      </c>
      <c r="X29" s="39"/>
      <c r="Y29" s="72">
        <f t="shared" si="3"/>
        <v>1371100</v>
      </c>
      <c r="Z29" s="72">
        <f t="shared" si="20"/>
        <v>880056.91607563954</v>
      </c>
      <c r="AA29" s="39"/>
      <c r="AB29" s="72">
        <f t="shared" si="4"/>
        <v>0</v>
      </c>
      <c r="AC29" s="72">
        <f t="shared" si="21"/>
        <v>0</v>
      </c>
      <c r="AD29" s="39"/>
      <c r="AE29" s="72">
        <f t="shared" si="5"/>
        <v>0</v>
      </c>
      <c r="AF29" s="72">
        <f t="shared" si="22"/>
        <v>0</v>
      </c>
      <c r="AG29" s="39"/>
      <c r="AH29" s="72">
        <f t="shared" si="6"/>
        <v>0</v>
      </c>
      <c r="AI29" s="72">
        <f t="shared" si="23"/>
        <v>0</v>
      </c>
      <c r="AJ29" s="39"/>
      <c r="AK29" s="72">
        <f t="shared" si="24"/>
        <v>60000000</v>
      </c>
      <c r="AL29" s="72">
        <f t="shared" si="25"/>
        <v>38511716.843803056</v>
      </c>
      <c r="AM29" s="39"/>
      <c r="AN29" s="72">
        <f t="shared" si="7"/>
        <v>0</v>
      </c>
      <c r="AO29" s="72">
        <f t="shared" si="26"/>
        <v>0</v>
      </c>
      <c r="AP29" s="39"/>
      <c r="AQ29" s="72">
        <f t="shared" si="8"/>
        <v>0</v>
      </c>
      <c r="AR29" s="72">
        <f t="shared" si="27"/>
        <v>0</v>
      </c>
      <c r="AS29" s="39"/>
      <c r="AT29" s="40">
        <f>IF($K29&lt;=$F$15,IF($F$40&lt;&gt;"",$F$40/1000,IF(ISERROR(VLOOKUP($F$3&amp;IF($G$4&lt;&gt;"",$G$4,"")&amp;IF($F$43&lt;&gt;"","_"&amp;$F$43,""),'表3）燃料価格'!$AF$9:$AG$25,2,0)),0,VLOOKUP($I29,'表3）燃料価格'!$A$6:$U$66,VLOOKUP($F$3&amp;IF($G$4&lt;&gt;"",$G$4,"")&amp;IF($F$43&lt;&gt;"","_"&amp;$F$43,""),'表3）燃料価格'!$AF$9:$AG$25,2,0)+VLOOKUP($F$41,'表3）燃料価格'!$AF$28:$AG$29,2,0),0)*IF($F$43="需要地価格",1,$F$8/$F$141))),"")</f>
        <v>48.178310683240682</v>
      </c>
      <c r="AU29" s="39"/>
      <c r="AV29" s="72">
        <f t="shared" si="9"/>
        <v>296500761.05418855</v>
      </c>
      <c r="AW29" s="72">
        <f t="shared" si="10"/>
        <v>190312555.89485031</v>
      </c>
      <c r="AX29" s="39"/>
      <c r="AY29" s="40">
        <f>IF(ISERROR(IF($K29&lt;=$F$15,VLOOKUP($I29,'表4）CO2価格'!$A$7:$E$67,VLOOKUP($F$48,'表4）CO2価格'!$H$10:$I$12,2,0),0)*$F$8/1000,"")),0,IF($K29&lt;=$F$15,VLOOKUP($I29,'表4）CO2価格'!$A$7:$E$67,VLOOKUP($F$48,'表4）CO2価格'!$H$10:$I$12,2,0),0)*$F$8/1000,""))</f>
        <v>6.077599999999971</v>
      </c>
      <c r="AZ29" s="39"/>
      <c r="BA29" s="42">
        <f t="shared" si="11"/>
        <v>98334905.314325541</v>
      </c>
      <c r="BB29" s="72">
        <f t="shared" si="28"/>
        <v>63117433.822124831</v>
      </c>
      <c r="BC29" s="39"/>
      <c r="BD29" s="72">
        <f t="shared" si="12"/>
        <v>112670289.20059164</v>
      </c>
      <c r="BE29" s="72">
        <f t="shared" si="29"/>
        <v>72318771.240043119</v>
      </c>
      <c r="BF29" s="39"/>
      <c r="BG29" s="42">
        <f t="shared" si="13"/>
        <v>37367264.019443698</v>
      </c>
      <c r="BH29" s="72">
        <f t="shared" si="30"/>
        <v>23984624.852407429</v>
      </c>
      <c r="BI29" s="39"/>
      <c r="BJ29" s="40" t="str">
        <f t="shared" si="31"/>
        <v/>
      </c>
      <c r="BK29" s="157" t="str">
        <f t="shared" si="32"/>
        <v/>
      </c>
      <c r="BL29" s="157" t="str">
        <f t="shared" si="14"/>
        <v/>
      </c>
      <c r="BM29" s="72"/>
      <c r="BN29" s="72" t="str">
        <f t="shared" si="33"/>
        <v/>
      </c>
      <c r="BO29" s="72" t="str">
        <f t="shared" si="34"/>
        <v/>
      </c>
      <c r="BP29" s="39"/>
      <c r="BQ29" s="72">
        <f t="shared" si="15"/>
        <v>37126859.759999998</v>
      </c>
      <c r="BR29" s="72">
        <f t="shared" si="35"/>
        <v>23830318.506278433</v>
      </c>
    </row>
    <row r="30" spans="3:70" x14ac:dyDescent="0.15">
      <c r="I30" s="322">
        <f t="shared" si="36"/>
        <v>2045</v>
      </c>
      <c r="J30" s="71"/>
      <c r="K30" s="71">
        <f t="shared" si="37"/>
        <v>16</v>
      </c>
      <c r="L30" s="71"/>
      <c r="M30" s="7">
        <f t="shared" si="0"/>
        <v>0.62316693922011435</v>
      </c>
      <c r="N30" s="71"/>
      <c r="O30" s="10">
        <f t="shared" si="16"/>
        <v>0</v>
      </c>
      <c r="P30" s="29" t="str">
        <f t="shared" si="1"/>
        <v>-</v>
      </c>
      <c r="Q30" s="71"/>
      <c r="R30" s="10">
        <f t="shared" si="17"/>
        <v>84000000.000000015</v>
      </c>
      <c r="S30" s="71"/>
      <c r="T30" s="10">
        <f t="shared" si="18"/>
        <v>84000000</v>
      </c>
      <c r="U30" s="71"/>
      <c r="V30" s="10">
        <f t="shared" si="2"/>
        <v>0</v>
      </c>
      <c r="W30" s="10">
        <f t="shared" si="19"/>
        <v>0</v>
      </c>
      <c r="X30" s="71"/>
      <c r="Y30" s="10">
        <f t="shared" si="3"/>
        <v>1176000</v>
      </c>
      <c r="Z30" s="10">
        <f t="shared" si="20"/>
        <v>732844.32052285445</v>
      </c>
      <c r="AA30" s="71"/>
      <c r="AB30" s="10">
        <f t="shared" si="4"/>
        <v>0</v>
      </c>
      <c r="AC30" s="10">
        <f t="shared" si="21"/>
        <v>0</v>
      </c>
      <c r="AD30" s="71"/>
      <c r="AE30" s="10">
        <f t="shared" si="5"/>
        <v>0</v>
      </c>
      <c r="AF30" s="10">
        <f t="shared" si="22"/>
        <v>0</v>
      </c>
      <c r="AG30" s="71"/>
      <c r="AH30" s="10">
        <f t="shared" si="6"/>
        <v>0</v>
      </c>
      <c r="AI30" s="10">
        <f t="shared" si="23"/>
        <v>0</v>
      </c>
      <c r="AJ30" s="71"/>
      <c r="AK30" s="10">
        <f t="shared" si="24"/>
        <v>60000000</v>
      </c>
      <c r="AL30" s="10">
        <f t="shared" si="25"/>
        <v>37390016.353206858</v>
      </c>
      <c r="AM30" s="71"/>
      <c r="AN30" s="10">
        <f t="shared" si="7"/>
        <v>0</v>
      </c>
      <c r="AO30" s="10">
        <f t="shared" si="26"/>
        <v>0</v>
      </c>
      <c r="AP30" s="71"/>
      <c r="AQ30" s="10">
        <f t="shared" si="8"/>
        <v>0</v>
      </c>
      <c r="AR30" s="10">
        <f t="shared" si="27"/>
        <v>0</v>
      </c>
      <c r="AS30" s="71"/>
      <c r="AT30" s="7">
        <f>IF($K30&lt;=$F$15,IF($F$40&lt;&gt;"",$F$40/1000,IF(ISERROR(VLOOKUP($F$3&amp;IF($G$4&lt;&gt;"",$G$4,"")&amp;IF($F$43&lt;&gt;"","_"&amp;$F$43,""),'表3）燃料価格'!$AF$9:$AG$25,2,0)),0,VLOOKUP($I30,'表3）燃料価格'!$A$6:$U$66,VLOOKUP($F$3&amp;IF($G$4&lt;&gt;"",$G$4,"")&amp;IF($F$43&lt;&gt;"","_"&amp;$F$43,""),'表3）燃料価格'!$AF$9:$AG$25,2,0)+VLOOKUP($F$41,'表3）燃料価格'!$AF$28:$AG$29,2,0),0)*IF($F$43="需要地価格",1,$F$8/$F$141))),"")</f>
        <v>48.046599854320583</v>
      </c>
      <c r="AU30" s="71"/>
      <c r="AV30" s="10">
        <f t="shared" si="9"/>
        <v>295734702.69543779</v>
      </c>
      <c r="AW30" s="10">
        <f t="shared" si="10"/>
        <v>184292089.49988645</v>
      </c>
      <c r="AX30" s="71"/>
      <c r="AY30" s="7">
        <f>IF(ISERROR(IF($K30&lt;=$F$15,VLOOKUP($I30,'表4）CO2価格'!$A$7:$E$67,VLOOKUP($F$48,'表4）CO2価格'!$H$10:$I$12,2,0),0)*$F$8/1000,"")),0,IF($K30&lt;=$F$15,VLOOKUP($I30,'表4）CO2価格'!$A$7:$E$67,VLOOKUP($F$48,'表4）CO2価格'!$H$10:$I$12,2,0),0)*$F$8/1000,""))</f>
        <v>6.2060000000000004</v>
      </c>
      <c r="AZ30" s="71"/>
      <c r="BA30" s="11">
        <f t="shared" si="11"/>
        <v>100412403.31392446</v>
      </c>
      <c r="BB30" s="10">
        <f t="shared" si="28"/>
        <v>62573690.032873973</v>
      </c>
      <c r="BC30" s="71"/>
      <c r="BD30" s="10">
        <f t="shared" si="12"/>
        <v>112379187.02426636</v>
      </c>
      <c r="BE30" s="10">
        <f t="shared" si="29"/>
        <v>70030994.009956852</v>
      </c>
      <c r="BF30" s="71"/>
      <c r="BG30" s="11">
        <f t="shared" si="13"/>
        <v>38156713.259291291</v>
      </c>
      <c r="BH30" s="10">
        <f t="shared" si="30"/>
        <v>23778002.212492108</v>
      </c>
      <c r="BJ30" s="7" t="str">
        <f t="shared" si="31"/>
        <v/>
      </c>
      <c r="BK30" s="158" t="str">
        <f t="shared" si="32"/>
        <v/>
      </c>
      <c r="BL30" s="158" t="str">
        <f t="shared" si="14"/>
        <v/>
      </c>
      <c r="BM30" s="10"/>
      <c r="BN30" s="10" t="str">
        <f t="shared" si="33"/>
        <v/>
      </c>
      <c r="BO30" s="10" t="str">
        <f t="shared" si="34"/>
        <v/>
      </c>
      <c r="BQ30" s="10">
        <f t="shared" si="15"/>
        <v>37126859.759999998</v>
      </c>
      <c r="BR30" s="10">
        <f t="shared" si="35"/>
        <v>23136231.559493627</v>
      </c>
    </row>
    <row r="31" spans="3:70" x14ac:dyDescent="0.15">
      <c r="C31" s="89" t="s">
        <v>507</v>
      </c>
      <c r="D31" s="101"/>
      <c r="E31" s="101"/>
      <c r="F31" s="89"/>
      <c r="G31" s="101"/>
      <c r="I31" s="38">
        <f t="shared" si="36"/>
        <v>2046</v>
      </c>
      <c r="J31" s="39"/>
      <c r="K31" s="39">
        <f t="shared" si="37"/>
        <v>17</v>
      </c>
      <c r="L31" s="39"/>
      <c r="M31" s="40">
        <f t="shared" si="0"/>
        <v>0.60501644584477121</v>
      </c>
      <c r="N31" s="39"/>
      <c r="O31" s="72">
        <f t="shared" si="16"/>
        <v>0</v>
      </c>
      <c r="P31" s="41" t="str">
        <f t="shared" si="1"/>
        <v>-</v>
      </c>
      <c r="Q31" s="39"/>
      <c r="R31" s="72">
        <f t="shared" si="17"/>
        <v>72046455.481635123</v>
      </c>
      <c r="S31" s="39"/>
      <c r="T31" s="72">
        <f t="shared" si="18"/>
        <v>72046000</v>
      </c>
      <c r="U31" s="39"/>
      <c r="V31" s="72">
        <f t="shared" si="2"/>
        <v>0</v>
      </c>
      <c r="W31" s="72">
        <f t="shared" si="19"/>
        <v>0</v>
      </c>
      <c r="X31" s="39"/>
      <c r="Y31" s="72">
        <f t="shared" si="3"/>
        <v>1008600</v>
      </c>
      <c r="Z31" s="72">
        <f t="shared" si="20"/>
        <v>610219.58727903629</v>
      </c>
      <c r="AA31" s="39"/>
      <c r="AB31" s="72">
        <f t="shared" si="4"/>
        <v>0</v>
      </c>
      <c r="AC31" s="72">
        <f t="shared" si="21"/>
        <v>0</v>
      </c>
      <c r="AD31" s="39"/>
      <c r="AE31" s="72">
        <f t="shared" si="5"/>
        <v>0</v>
      </c>
      <c r="AF31" s="72">
        <f t="shared" si="22"/>
        <v>0</v>
      </c>
      <c r="AG31" s="39"/>
      <c r="AH31" s="72">
        <f t="shared" si="6"/>
        <v>0</v>
      </c>
      <c r="AI31" s="72">
        <f t="shared" si="23"/>
        <v>0</v>
      </c>
      <c r="AJ31" s="39"/>
      <c r="AK31" s="72">
        <f t="shared" si="24"/>
        <v>60000000</v>
      </c>
      <c r="AL31" s="72">
        <f t="shared" si="25"/>
        <v>36300986.750686273</v>
      </c>
      <c r="AM31" s="39"/>
      <c r="AN31" s="72">
        <f t="shared" si="7"/>
        <v>0</v>
      </c>
      <c r="AO31" s="72">
        <f t="shared" si="26"/>
        <v>0</v>
      </c>
      <c r="AP31" s="39"/>
      <c r="AQ31" s="72">
        <f t="shared" si="8"/>
        <v>0</v>
      </c>
      <c r="AR31" s="72">
        <f t="shared" si="27"/>
        <v>0</v>
      </c>
      <c r="AS31" s="39"/>
      <c r="AT31" s="40">
        <f>IF($K31&lt;=$F$15,IF($F$40&lt;&gt;"",$F$40/1000,IF(ISERROR(VLOOKUP($F$3&amp;IF($G$4&lt;&gt;"",$G$4,"")&amp;IF($F$43&lt;&gt;"","_"&amp;$F$43,""),'表3）燃料価格'!$AF$9:$AG$25,2,0)),0,VLOOKUP($I31,'表3）燃料価格'!$A$6:$U$66,VLOOKUP($F$3&amp;IF($G$4&lt;&gt;"",$G$4,"")&amp;IF($F$43&lt;&gt;"","_"&amp;$F$43,""),'表3）燃料価格'!$AF$9:$AG$25,2,0)+VLOOKUP($F$41,'表3）燃料価格'!$AF$28:$AG$29,2,0),0)*IF($F$43="需要地価格",1,$F$8/$F$141))),"")</f>
        <v>47.919071035555028</v>
      </c>
      <c r="AU31" s="39"/>
      <c r="AV31" s="72">
        <f t="shared" si="9"/>
        <v>294992967.80243045</v>
      </c>
      <c r="AW31" s="72">
        <f t="shared" si="10"/>
        <v>178475596.9290275</v>
      </c>
      <c r="AX31" s="39"/>
      <c r="AY31" s="40">
        <f>IF(ISERROR(IF($K31&lt;=$F$15,VLOOKUP($I31,'表4）CO2価格'!$A$7:$E$67,VLOOKUP($F$48,'表4）CO2価格'!$H$10:$I$12,2,0),0)*$F$8/1000,"")),0,IF($K31&lt;=$F$15,VLOOKUP($I31,'表4）CO2価格'!$A$7:$E$67,VLOOKUP($F$48,'表4）CO2価格'!$H$10:$I$12,2,0),0)*$F$8/1000,""))</f>
        <v>6.3343999999999809</v>
      </c>
      <c r="AZ31" s="39"/>
      <c r="BA31" s="42">
        <f t="shared" si="11"/>
        <v>102489901.31352258</v>
      </c>
      <c r="BB31" s="72">
        <f t="shared" si="28"/>
        <v>62008075.827688776</v>
      </c>
      <c r="BC31" s="39"/>
      <c r="BD31" s="72">
        <f t="shared" si="12"/>
        <v>112097327.76492357</v>
      </c>
      <c r="BE31" s="72">
        <f t="shared" si="29"/>
        <v>67820726.833030447</v>
      </c>
      <c r="BF31" s="39"/>
      <c r="BG31" s="42">
        <f t="shared" si="13"/>
        <v>38946162.499138571</v>
      </c>
      <c r="BH31" s="72">
        <f t="shared" si="30"/>
        <v>23563068.81452173</v>
      </c>
      <c r="BI31" s="39"/>
      <c r="BJ31" s="40" t="str">
        <f t="shared" si="31"/>
        <v/>
      </c>
      <c r="BK31" s="157" t="str">
        <f t="shared" si="32"/>
        <v/>
      </c>
      <c r="BL31" s="157" t="str">
        <f t="shared" si="14"/>
        <v/>
      </c>
      <c r="BM31" s="72"/>
      <c r="BN31" s="72" t="str">
        <f t="shared" si="33"/>
        <v/>
      </c>
      <c r="BO31" s="72" t="str">
        <f t="shared" si="34"/>
        <v/>
      </c>
      <c r="BP31" s="39"/>
      <c r="BQ31" s="72">
        <f t="shared" si="15"/>
        <v>37126859.759999998</v>
      </c>
      <c r="BR31" s="72">
        <f t="shared" si="35"/>
        <v>22462360.737372454</v>
      </c>
    </row>
    <row r="32" spans="3:70" x14ac:dyDescent="0.15">
      <c r="I32" s="322">
        <f t="shared" si="36"/>
        <v>2047</v>
      </c>
      <c r="J32" s="71"/>
      <c r="K32" s="71">
        <f t="shared" si="37"/>
        <v>18</v>
      </c>
      <c r="L32" s="71"/>
      <c r="M32" s="7">
        <f t="shared" si="0"/>
        <v>0.5873946076162827</v>
      </c>
      <c r="N32" s="71"/>
      <c r="O32" s="10">
        <f t="shared" si="16"/>
        <v>0</v>
      </c>
      <c r="P32" s="29" t="str">
        <f t="shared" si="1"/>
        <v>-</v>
      </c>
      <c r="Q32" s="71"/>
      <c r="R32" s="10">
        <f t="shared" si="17"/>
        <v>61793949.374609888</v>
      </c>
      <c r="S32" s="71"/>
      <c r="T32" s="10">
        <f t="shared" si="18"/>
        <v>61793000</v>
      </c>
      <c r="U32" s="71"/>
      <c r="V32" s="10">
        <f t="shared" si="2"/>
        <v>0</v>
      </c>
      <c r="W32" s="10">
        <f t="shared" si="19"/>
        <v>0</v>
      </c>
      <c r="X32" s="71"/>
      <c r="Y32" s="10">
        <f t="shared" si="3"/>
        <v>865100</v>
      </c>
      <c r="Z32" s="10">
        <f t="shared" si="20"/>
        <v>508155.07504884619</v>
      </c>
      <c r="AA32" s="71"/>
      <c r="AB32" s="10">
        <f t="shared" si="4"/>
        <v>0</v>
      </c>
      <c r="AC32" s="10">
        <f t="shared" si="21"/>
        <v>0</v>
      </c>
      <c r="AD32" s="71"/>
      <c r="AE32" s="10">
        <f t="shared" si="5"/>
        <v>0</v>
      </c>
      <c r="AF32" s="10">
        <f t="shared" si="22"/>
        <v>0</v>
      </c>
      <c r="AG32" s="71"/>
      <c r="AH32" s="10">
        <f t="shared" si="6"/>
        <v>0</v>
      </c>
      <c r="AI32" s="10">
        <f t="shared" si="23"/>
        <v>0</v>
      </c>
      <c r="AJ32" s="71"/>
      <c r="AK32" s="10">
        <f t="shared" si="24"/>
        <v>60000000</v>
      </c>
      <c r="AL32" s="10">
        <f t="shared" si="25"/>
        <v>35243676.456976965</v>
      </c>
      <c r="AM32" s="71"/>
      <c r="AN32" s="10">
        <f t="shared" si="7"/>
        <v>0</v>
      </c>
      <c r="AO32" s="10">
        <f t="shared" si="26"/>
        <v>0</v>
      </c>
      <c r="AP32" s="71"/>
      <c r="AQ32" s="10">
        <f t="shared" si="8"/>
        <v>0</v>
      </c>
      <c r="AR32" s="10">
        <f t="shared" si="27"/>
        <v>0</v>
      </c>
      <c r="AS32" s="71"/>
      <c r="AT32" s="7">
        <f>IF($K32&lt;=$F$15,IF($F$40&lt;&gt;"",$F$40/1000,IF(ISERROR(VLOOKUP($F$3&amp;IF($G$4&lt;&gt;"",$G$4,"")&amp;IF($F$43&lt;&gt;"","_"&amp;$F$43,""),'表3）燃料価格'!$AF$9:$AG$25,2,0)),0,VLOOKUP($I32,'表3）燃料価格'!$A$6:$U$66,VLOOKUP($F$3&amp;IF($G$4&lt;&gt;"",$G$4,"")&amp;IF($F$43&lt;&gt;"","_"&amp;$F$43,""),'表3）燃料価格'!$AF$9:$AG$25,2,0)+VLOOKUP($F$41,'表3）燃料価格'!$AF$28:$AG$29,2,0),0)*IF($F$43="需要地価格",1,$F$8/$F$141))),"")</f>
        <v>47.795466809569312</v>
      </c>
      <c r="AU32" s="71"/>
      <c r="AV32" s="10">
        <f t="shared" si="9"/>
        <v>294274059.18064427</v>
      </c>
      <c r="AW32" s="10">
        <f t="shared" si="10"/>
        <v>172854995.52406529</v>
      </c>
      <c r="AX32" s="71"/>
      <c r="AY32" s="7">
        <f>IF(ISERROR(IF($K32&lt;=$F$15,VLOOKUP($I32,'表4）CO2価格'!$A$7:$E$67,VLOOKUP($F$48,'表4）CO2価格'!$H$10:$I$12,2,0),0)*$F$8/1000,"")),0,IF($K32&lt;=$F$15,VLOOKUP($I32,'表4）CO2価格'!$A$7:$E$67,VLOOKUP($F$48,'表4）CO2価格'!$H$10:$I$12,2,0),0)*$F$8/1000,""))</f>
        <v>6.4628000000000103</v>
      </c>
      <c r="AZ32" s="71"/>
      <c r="BA32" s="11">
        <f t="shared" si="11"/>
        <v>104567399.3131215</v>
      </c>
      <c r="BB32" s="10">
        <f t="shared" si="28"/>
        <v>61422326.488986149</v>
      </c>
      <c r="BC32" s="71"/>
      <c r="BD32" s="10">
        <f t="shared" si="12"/>
        <v>111824142.48864481</v>
      </c>
      <c r="BE32" s="10">
        <f t="shared" si="29"/>
        <v>65684898.299144804</v>
      </c>
      <c r="BF32" s="71"/>
      <c r="BG32" s="11">
        <f t="shared" si="13"/>
        <v>39735611.738986164</v>
      </c>
      <c r="BH32" s="10">
        <f t="shared" si="30"/>
        <v>23340484.065814734</v>
      </c>
      <c r="BJ32" s="7" t="str">
        <f t="shared" si="31"/>
        <v/>
      </c>
      <c r="BK32" s="158" t="str">
        <f t="shared" si="32"/>
        <v/>
      </c>
      <c r="BL32" s="158" t="str">
        <f t="shared" si="14"/>
        <v/>
      </c>
      <c r="BM32" s="10"/>
      <c r="BN32" s="10" t="str">
        <f t="shared" si="33"/>
        <v/>
      </c>
      <c r="BO32" s="10" t="str">
        <f t="shared" si="34"/>
        <v/>
      </c>
      <c r="BQ32" s="10">
        <f t="shared" si="15"/>
        <v>37126859.759999998</v>
      </c>
      <c r="BR32" s="10">
        <f t="shared" si="35"/>
        <v>21808117.220749956</v>
      </c>
    </row>
    <row r="33" spans="3:70" x14ac:dyDescent="0.15">
      <c r="D33" s="81" t="s">
        <v>88</v>
      </c>
      <c r="F33" s="66"/>
      <c r="G33" s="81" t="s">
        <v>119</v>
      </c>
      <c r="I33" s="38">
        <f t="shared" si="36"/>
        <v>2048</v>
      </c>
      <c r="J33" s="39"/>
      <c r="K33" s="39">
        <f t="shared" si="37"/>
        <v>19</v>
      </c>
      <c r="L33" s="39"/>
      <c r="M33" s="40">
        <f t="shared" si="0"/>
        <v>0.57028602681192497</v>
      </c>
      <c r="N33" s="39"/>
      <c r="O33" s="72">
        <f t="shared" si="16"/>
        <v>0</v>
      </c>
      <c r="P33" s="41" t="str">
        <f t="shared" si="1"/>
        <v>-</v>
      </c>
      <c r="Q33" s="39"/>
      <c r="R33" s="72">
        <f t="shared" si="17"/>
        <v>53000416.936336249</v>
      </c>
      <c r="S33" s="39"/>
      <c r="T33" s="72">
        <f t="shared" si="18"/>
        <v>53000000</v>
      </c>
      <c r="U33" s="39"/>
      <c r="V33" s="72">
        <f t="shared" si="2"/>
        <v>0</v>
      </c>
      <c r="W33" s="72">
        <f t="shared" si="19"/>
        <v>0</v>
      </c>
      <c r="X33" s="39"/>
      <c r="Y33" s="72">
        <f t="shared" si="3"/>
        <v>742000</v>
      </c>
      <c r="Z33" s="72">
        <f t="shared" si="20"/>
        <v>423152.23189444834</v>
      </c>
      <c r="AA33" s="39"/>
      <c r="AB33" s="72">
        <f t="shared" si="4"/>
        <v>0</v>
      </c>
      <c r="AC33" s="72">
        <f t="shared" si="21"/>
        <v>0</v>
      </c>
      <c r="AD33" s="39"/>
      <c r="AE33" s="72">
        <f t="shared" si="5"/>
        <v>0</v>
      </c>
      <c r="AF33" s="72">
        <f t="shared" si="22"/>
        <v>0</v>
      </c>
      <c r="AG33" s="39"/>
      <c r="AH33" s="72">
        <f t="shared" si="6"/>
        <v>0</v>
      </c>
      <c r="AI33" s="72">
        <f t="shared" si="23"/>
        <v>0</v>
      </c>
      <c r="AJ33" s="39"/>
      <c r="AK33" s="72">
        <f t="shared" si="24"/>
        <v>60000000</v>
      </c>
      <c r="AL33" s="72">
        <f t="shared" si="25"/>
        <v>34217161.608715497</v>
      </c>
      <c r="AM33" s="39"/>
      <c r="AN33" s="72">
        <f t="shared" si="7"/>
        <v>0</v>
      </c>
      <c r="AO33" s="72">
        <f t="shared" si="26"/>
        <v>0</v>
      </c>
      <c r="AP33" s="39"/>
      <c r="AQ33" s="72">
        <f t="shared" si="8"/>
        <v>0</v>
      </c>
      <c r="AR33" s="72">
        <f t="shared" si="27"/>
        <v>0</v>
      </c>
      <c r="AS33" s="39"/>
      <c r="AT33" s="40">
        <f>IF($K33&lt;=$F$15,IF($F$40&lt;&gt;"",$F$40/1000,IF(ISERROR(VLOOKUP($F$3&amp;IF($G$4&lt;&gt;"",$G$4,"")&amp;IF($F$43&lt;&gt;"","_"&amp;$F$43,""),'表3）燃料価格'!$AF$9:$AG$25,2,0)),0,VLOOKUP($I33,'表3）燃料価格'!$A$6:$U$66,VLOOKUP($F$3&amp;IF($G$4&lt;&gt;"",$G$4,"")&amp;IF($F$43&lt;&gt;"","_"&amp;$F$43,""),'表3）燃料価格'!$AF$9:$AG$25,2,0)+VLOOKUP($F$41,'表3）燃料価格'!$AF$28:$AG$29,2,0),0)*IF($F$43="需要地価格",1,$F$8/$F$141))),"")</f>
        <v>47.675552818469335</v>
      </c>
      <c r="AU33" s="39"/>
      <c r="AV33" s="72">
        <f t="shared" si="9"/>
        <v>293576613.75442934</v>
      </c>
      <c r="AW33" s="72">
        <f t="shared" si="10"/>
        <v>167422640.62291265</v>
      </c>
      <c r="AX33" s="39"/>
      <c r="AY33" s="40">
        <f>IF(ISERROR(IF($K33&lt;=$F$15,VLOOKUP($I33,'表4）CO2価格'!$A$7:$E$67,VLOOKUP($F$48,'表4）CO2価格'!$H$10:$I$12,2,0),0)*$F$8/1000,"")),0,IF($K33&lt;=$F$15,VLOOKUP($I33,'表4）CO2価格'!$A$7:$E$67,VLOOKUP($F$48,'表4）CO2価格'!$H$10:$I$12,2,0),0)*$F$8/1000,""))</f>
        <v>6.59119999999999</v>
      </c>
      <c r="AZ33" s="39"/>
      <c r="BA33" s="42">
        <f t="shared" si="11"/>
        <v>106644897.3127196</v>
      </c>
      <c r="BB33" s="72">
        <f t="shared" si="28"/>
        <v>60818094.768236592</v>
      </c>
      <c r="BC33" s="39"/>
      <c r="BD33" s="72">
        <f t="shared" si="12"/>
        <v>111559113.22668314</v>
      </c>
      <c r="BE33" s="72">
        <f t="shared" si="29"/>
        <v>63620603.436706796</v>
      </c>
      <c r="BF33" s="39"/>
      <c r="BG33" s="42">
        <f t="shared" si="13"/>
        <v>40525060.978833444</v>
      </c>
      <c r="BH33" s="72">
        <f t="shared" si="30"/>
        <v>23110876.011929903</v>
      </c>
      <c r="BI33" s="39"/>
      <c r="BJ33" s="40" t="str">
        <f t="shared" si="31"/>
        <v/>
      </c>
      <c r="BK33" s="157" t="str">
        <f t="shared" si="32"/>
        <v/>
      </c>
      <c r="BL33" s="157" t="str">
        <f t="shared" si="14"/>
        <v/>
      </c>
      <c r="BM33" s="72"/>
      <c r="BN33" s="72" t="str">
        <f t="shared" si="33"/>
        <v/>
      </c>
      <c r="BO33" s="72" t="str">
        <f t="shared" si="34"/>
        <v/>
      </c>
      <c r="BP33" s="39"/>
      <c r="BQ33" s="72">
        <f t="shared" si="15"/>
        <v>37126859.759999998</v>
      </c>
      <c r="BR33" s="72">
        <f t="shared" si="35"/>
        <v>21172929.340533938</v>
      </c>
    </row>
    <row r="34" spans="3:70" x14ac:dyDescent="0.15">
      <c r="D34" s="81" t="s">
        <v>120</v>
      </c>
      <c r="F34" s="68">
        <v>1</v>
      </c>
      <c r="G34" s="81" t="s">
        <v>227</v>
      </c>
      <c r="I34" s="322">
        <f t="shared" si="36"/>
        <v>2049</v>
      </c>
      <c r="J34" s="71"/>
      <c r="K34" s="71">
        <f t="shared" si="37"/>
        <v>20</v>
      </c>
      <c r="L34" s="71"/>
      <c r="M34" s="7">
        <f t="shared" si="0"/>
        <v>0.55367575418633497</v>
      </c>
      <c r="N34" s="71"/>
      <c r="O34" s="10">
        <f t="shared" si="16"/>
        <v>0</v>
      </c>
      <c r="P34" s="29" t="str">
        <f t="shared" si="1"/>
        <v>-</v>
      </c>
      <c r="Q34" s="71"/>
      <c r="R34" s="10">
        <f t="shared" si="17"/>
        <v>45458240.22990296</v>
      </c>
      <c r="S34" s="71"/>
      <c r="T34" s="10">
        <f t="shared" si="18"/>
        <v>45458000</v>
      </c>
      <c r="U34" s="71"/>
      <c r="V34" s="10">
        <f t="shared" si="2"/>
        <v>0</v>
      </c>
      <c r="W34" s="10">
        <f t="shared" si="19"/>
        <v>0</v>
      </c>
      <c r="X34" s="71"/>
      <c r="Y34" s="10">
        <f t="shared" si="3"/>
        <v>636400</v>
      </c>
      <c r="Z34" s="10">
        <f t="shared" si="20"/>
        <v>352359.24996418355</v>
      </c>
      <c r="AA34" s="71"/>
      <c r="AB34" s="10">
        <f t="shared" si="4"/>
        <v>0</v>
      </c>
      <c r="AC34" s="10">
        <f t="shared" si="21"/>
        <v>0</v>
      </c>
      <c r="AD34" s="71"/>
      <c r="AE34" s="10">
        <f t="shared" si="5"/>
        <v>0</v>
      </c>
      <c r="AF34" s="10">
        <f t="shared" si="22"/>
        <v>0</v>
      </c>
      <c r="AG34" s="71"/>
      <c r="AH34" s="10">
        <f t="shared" si="6"/>
        <v>0</v>
      </c>
      <c r="AI34" s="10">
        <f t="shared" si="23"/>
        <v>0</v>
      </c>
      <c r="AJ34" s="71"/>
      <c r="AK34" s="10">
        <f t="shared" si="24"/>
        <v>60000000</v>
      </c>
      <c r="AL34" s="10">
        <f t="shared" si="25"/>
        <v>33220545.251180097</v>
      </c>
      <c r="AM34" s="71"/>
      <c r="AN34" s="10">
        <f t="shared" si="7"/>
        <v>0</v>
      </c>
      <c r="AO34" s="10">
        <f t="shared" si="26"/>
        <v>0</v>
      </c>
      <c r="AP34" s="71"/>
      <c r="AQ34" s="10">
        <f t="shared" si="8"/>
        <v>0</v>
      </c>
      <c r="AR34" s="10">
        <f t="shared" si="27"/>
        <v>0</v>
      </c>
      <c r="AS34" s="71"/>
      <c r="AT34" s="7">
        <f>IF($K34&lt;=$F$15,IF($F$40&lt;&gt;"",$F$40/1000,IF(ISERROR(VLOOKUP($F$3&amp;IF($G$4&lt;&gt;"",$G$4,"")&amp;IF($F$43&lt;&gt;"","_"&amp;$F$43,""),'表3）燃料価格'!$AF$9:$AG$25,2,0)),0,VLOOKUP($I34,'表3）燃料価格'!$A$6:$U$66,VLOOKUP($F$3&amp;IF($G$4&lt;&gt;"",$G$4,"")&amp;IF($F$43&lt;&gt;"","_"&amp;$F$43,""),'表3）燃料価格'!$AF$9:$AG$25,2,0)+VLOOKUP($F$41,'表3）燃料価格'!$AF$28:$AG$29,2,0),0)*IF($F$43="需要地価格",1,$F$8/$F$141))),"")</f>
        <v>47.559115089283104</v>
      </c>
      <c r="AU34" s="71"/>
      <c r="AV34" s="10">
        <f t="shared" si="9"/>
        <v>292899387.01120406</v>
      </c>
      <c r="AW34" s="10">
        <f t="shared" si="10"/>
        <v>162171289.00414363</v>
      </c>
      <c r="AX34" s="71"/>
      <c r="AY34" s="7">
        <f>IF(ISERROR(IF($K34&lt;=$F$15,VLOOKUP($I34,'表4）CO2価格'!$A$7:$E$67,VLOOKUP($F$48,'表4）CO2価格'!$H$10:$I$12,2,0),0)*$F$8/1000,"")),0,IF($K34&lt;=$F$15,VLOOKUP($I34,'表4）CO2価格'!$A$7:$E$67,VLOOKUP($F$48,'表4）CO2価格'!$H$10:$I$12,2,0),0)*$F$8/1000,""))</f>
        <v>6.7195999999999714</v>
      </c>
      <c r="AZ34" s="71"/>
      <c r="BA34" s="11">
        <f t="shared" si="11"/>
        <v>108722395.31231774</v>
      </c>
      <c r="BB34" s="10">
        <f t="shared" si="28"/>
        <v>60196954.22149238</v>
      </c>
      <c r="BC34" s="71"/>
      <c r="BD34" s="10">
        <f t="shared" si="12"/>
        <v>111301767.06425753</v>
      </c>
      <c r="BE34" s="10">
        <f t="shared" si="29"/>
        <v>61625089.821574569</v>
      </c>
      <c r="BF34" s="71"/>
      <c r="BG34" s="11">
        <f t="shared" si="13"/>
        <v>41314510.218680732</v>
      </c>
      <c r="BH34" s="10">
        <f t="shared" si="30"/>
        <v>22874842.604167096</v>
      </c>
      <c r="BJ34" s="7" t="str">
        <f t="shared" si="31"/>
        <v/>
      </c>
      <c r="BK34" s="158" t="str">
        <f t="shared" si="32"/>
        <v/>
      </c>
      <c r="BL34" s="158" t="str">
        <f t="shared" si="14"/>
        <v/>
      </c>
      <c r="BM34" s="10"/>
      <c r="BN34" s="10" t="str">
        <f t="shared" si="33"/>
        <v/>
      </c>
      <c r="BO34" s="10" t="str">
        <f t="shared" si="34"/>
        <v/>
      </c>
      <c r="BQ34" s="10">
        <f t="shared" si="15"/>
        <v>37126859.759999998</v>
      </c>
      <c r="BR34" s="10">
        <f t="shared" si="35"/>
        <v>20556242.078188289</v>
      </c>
    </row>
    <row r="35" spans="3:70" x14ac:dyDescent="0.15">
      <c r="D35" s="81" t="s">
        <v>122</v>
      </c>
      <c r="F35" s="66"/>
      <c r="G35" s="81" t="s">
        <v>121</v>
      </c>
      <c r="I35" s="38">
        <f t="shared" si="36"/>
        <v>2050</v>
      </c>
      <c r="J35" s="39"/>
      <c r="K35" s="39">
        <f t="shared" si="37"/>
        <v>21</v>
      </c>
      <c r="L35" s="39"/>
      <c r="M35" s="40">
        <f t="shared" si="0"/>
        <v>0.5375492759090631</v>
      </c>
      <c r="N35" s="39"/>
      <c r="O35" s="72">
        <f t="shared" si="16"/>
        <v>0</v>
      </c>
      <c r="P35" s="41" t="str">
        <f t="shared" si="1"/>
        <v>-</v>
      </c>
      <c r="Q35" s="39"/>
      <c r="R35" s="72">
        <f t="shared" si="17"/>
        <v>42000000</v>
      </c>
      <c r="S35" s="39"/>
      <c r="T35" s="72">
        <f t="shared" si="18"/>
        <v>42000000</v>
      </c>
      <c r="U35" s="39"/>
      <c r="V35" s="72">
        <f t="shared" si="2"/>
        <v>0</v>
      </c>
      <c r="W35" s="72">
        <f t="shared" si="19"/>
        <v>0</v>
      </c>
      <c r="X35" s="39"/>
      <c r="Y35" s="72">
        <f t="shared" si="3"/>
        <v>588000</v>
      </c>
      <c r="Z35" s="72">
        <f t="shared" si="20"/>
        <v>316078.97423452907</v>
      </c>
      <c r="AA35" s="39"/>
      <c r="AB35" s="72">
        <f t="shared" si="4"/>
        <v>0</v>
      </c>
      <c r="AC35" s="72">
        <f t="shared" si="21"/>
        <v>0</v>
      </c>
      <c r="AD35" s="39"/>
      <c r="AE35" s="72">
        <f t="shared" si="5"/>
        <v>0</v>
      </c>
      <c r="AF35" s="72">
        <f t="shared" si="22"/>
        <v>0</v>
      </c>
      <c r="AG35" s="39"/>
      <c r="AH35" s="72">
        <f t="shared" si="6"/>
        <v>0</v>
      </c>
      <c r="AI35" s="72">
        <f t="shared" si="23"/>
        <v>0</v>
      </c>
      <c r="AJ35" s="39"/>
      <c r="AK35" s="72">
        <f t="shared" si="24"/>
        <v>60000000</v>
      </c>
      <c r="AL35" s="72">
        <f t="shared" si="25"/>
        <v>32252956.554543786</v>
      </c>
      <c r="AM35" s="39"/>
      <c r="AN35" s="72">
        <f t="shared" si="7"/>
        <v>0</v>
      </c>
      <c r="AO35" s="72">
        <f t="shared" si="26"/>
        <v>0</v>
      </c>
      <c r="AP35" s="39"/>
      <c r="AQ35" s="72">
        <f t="shared" si="8"/>
        <v>0</v>
      </c>
      <c r="AR35" s="72">
        <f t="shared" si="27"/>
        <v>0</v>
      </c>
      <c r="AS35" s="39"/>
      <c r="AT35" s="40">
        <f>IF($K35&lt;=$F$15,IF($F$40&lt;&gt;"",$F$40/1000,IF(ISERROR(VLOOKUP($F$3&amp;IF($G$4&lt;&gt;"",$G$4,"")&amp;IF($F$43&lt;&gt;"","_"&amp;$F$43,""),'表3）燃料価格'!$AF$9:$AG$25,2,0)),0,VLOOKUP($I35,'表3）燃料価格'!$A$6:$U$66,VLOOKUP($F$3&amp;IF($G$4&lt;&gt;"",$G$4,"")&amp;IF($F$43&lt;&gt;"","_"&amp;$F$43,""),'表3）燃料価格'!$AF$9:$AG$25,2,0)+VLOOKUP($F$41,'表3）燃料価格'!$AF$28:$AG$29,2,0),0)*IF($F$43="需要地価格",1,$F$8/$F$141))),"")</f>
        <v>47.445957736261718</v>
      </c>
      <c r="AU35" s="39"/>
      <c r="AV35" s="72">
        <f t="shared" si="9"/>
        <v>292241239.63754559</v>
      </c>
      <c r="AW35" s="72">
        <f t="shared" si="10"/>
        <v>157094066.75792962</v>
      </c>
      <c r="AX35" s="39"/>
      <c r="AY35" s="40">
        <f>IF(ISERROR(IF($K35&lt;=$F$15,VLOOKUP($I35,'表4）CO2価格'!$A$7:$E$67,VLOOKUP($F$48,'表4）CO2価格'!$H$10:$I$12,2,0),0)*$F$8/1000,"")),0,IF($K35&lt;=$F$15,VLOOKUP($I35,'表4）CO2価格'!$A$7:$E$67,VLOOKUP($F$48,'表4）CO2価格'!$H$10:$I$12,2,0),0)*$F$8/1000,""))</f>
        <v>6.8479999999999999</v>
      </c>
      <c r="AZ35" s="39"/>
      <c r="BA35" s="42">
        <f t="shared" si="11"/>
        <v>110799893.31191663</v>
      </c>
      <c r="BB35" s="72">
        <f t="shared" si="28"/>
        <v>59560402.42062223</v>
      </c>
      <c r="BC35" s="39"/>
      <c r="BD35" s="72">
        <f t="shared" si="12"/>
        <v>111051671.06226733</v>
      </c>
      <c r="BE35" s="72">
        <f t="shared" si="29"/>
        <v>59695745.368013263</v>
      </c>
      <c r="BF35" s="39"/>
      <c r="BG35" s="42">
        <f t="shared" si="13"/>
        <v>42103959.458528318</v>
      </c>
      <c r="BH35" s="72">
        <f t="shared" si="30"/>
        <v>22632952.919836447</v>
      </c>
      <c r="BI35" s="39"/>
      <c r="BJ35" s="40" t="str">
        <f t="shared" si="31"/>
        <v/>
      </c>
      <c r="BK35" s="157" t="str">
        <f t="shared" si="32"/>
        <v/>
      </c>
      <c r="BL35" s="157" t="str">
        <f t="shared" si="14"/>
        <v/>
      </c>
      <c r="BM35" s="72"/>
      <c r="BN35" s="72" t="str">
        <f t="shared" si="33"/>
        <v/>
      </c>
      <c r="BO35" s="72" t="str">
        <f t="shared" si="34"/>
        <v/>
      </c>
      <c r="BP35" s="39"/>
      <c r="BQ35" s="72">
        <f t="shared" si="15"/>
        <v>37126859.759999998</v>
      </c>
      <c r="BR35" s="72">
        <f t="shared" si="35"/>
        <v>19957516.580765329</v>
      </c>
    </row>
    <row r="36" spans="3:70" x14ac:dyDescent="0.15">
      <c r="D36" s="81" t="s">
        <v>177</v>
      </c>
      <c r="F36" s="106"/>
      <c r="G36" s="81" t="s">
        <v>123</v>
      </c>
      <c r="I36" s="322">
        <f t="shared" si="36"/>
        <v>2051</v>
      </c>
      <c r="J36" s="71"/>
      <c r="K36" s="71">
        <f t="shared" si="37"/>
        <v>22</v>
      </c>
      <c r="L36" s="71"/>
      <c r="M36" s="7">
        <f t="shared" si="0"/>
        <v>0.52189250088258554</v>
      </c>
      <c r="N36" s="71"/>
      <c r="O36" s="10">
        <f t="shared" si="16"/>
        <v>0</v>
      </c>
      <c r="P36" s="29" t="str">
        <f t="shared" si="1"/>
        <v>-</v>
      </c>
      <c r="Q36" s="71"/>
      <c r="R36" s="10">
        <f t="shared" si="17"/>
        <v>42000000</v>
      </c>
      <c r="S36" s="71"/>
      <c r="T36" s="10">
        <f t="shared" si="18"/>
        <v>42000000</v>
      </c>
      <c r="U36" s="71"/>
      <c r="V36" s="10">
        <f t="shared" si="2"/>
        <v>0</v>
      </c>
      <c r="W36" s="10">
        <f t="shared" si="19"/>
        <v>0</v>
      </c>
      <c r="X36" s="71"/>
      <c r="Y36" s="10">
        <f t="shared" si="3"/>
        <v>588000</v>
      </c>
      <c r="Z36" s="10">
        <f t="shared" si="20"/>
        <v>306872.79051896028</v>
      </c>
      <c r="AA36" s="71"/>
      <c r="AB36" s="10">
        <f t="shared" si="4"/>
        <v>0</v>
      </c>
      <c r="AC36" s="10">
        <f t="shared" si="21"/>
        <v>0</v>
      </c>
      <c r="AD36" s="71"/>
      <c r="AE36" s="10">
        <f t="shared" si="5"/>
        <v>0</v>
      </c>
      <c r="AF36" s="10">
        <f t="shared" si="22"/>
        <v>0</v>
      </c>
      <c r="AG36" s="71"/>
      <c r="AH36" s="10">
        <f t="shared" si="6"/>
        <v>0</v>
      </c>
      <c r="AI36" s="10">
        <f t="shared" si="23"/>
        <v>0</v>
      </c>
      <c r="AJ36" s="71"/>
      <c r="AK36" s="10">
        <f t="shared" si="24"/>
        <v>60000000</v>
      </c>
      <c r="AL36" s="10">
        <f t="shared" si="25"/>
        <v>31313550.052955132</v>
      </c>
      <c r="AM36" s="71"/>
      <c r="AN36" s="10">
        <f t="shared" si="7"/>
        <v>0</v>
      </c>
      <c r="AO36" s="10">
        <f t="shared" si="26"/>
        <v>0</v>
      </c>
      <c r="AP36" s="71"/>
      <c r="AQ36" s="10">
        <f t="shared" si="8"/>
        <v>0</v>
      </c>
      <c r="AR36" s="10">
        <f t="shared" si="27"/>
        <v>0</v>
      </c>
      <c r="AS36" s="71"/>
      <c r="AT36" s="7">
        <f>IF($K36&lt;=$F$15,IF($F$40&lt;&gt;"",$F$40/1000,IF(ISERROR(VLOOKUP($F$3&amp;IF($G$4&lt;&gt;"",$G$4,"")&amp;IF($F$43&lt;&gt;"","_"&amp;$F$43,""),'表3）燃料価格'!$AF$9:$AG$25,2,0)),0,VLOOKUP($I36,'表3）燃料価格'!$A$6:$U$66,VLOOKUP($F$3&amp;IF($G$4&lt;&gt;"",$G$4,"")&amp;IF($F$43&lt;&gt;"","_"&amp;$F$43,""),'表3）燃料価格'!$AF$9:$AG$25,2,0)+VLOOKUP($F$41,'表3）燃料価格'!$AF$28:$AG$29,2,0),0)*IF($F$43="需要地価格",1,$F$8/$F$141))),"")</f>
        <v>47.335900978060927</v>
      </c>
      <c r="AU36" s="71"/>
      <c r="AV36" s="10">
        <f t="shared" si="9"/>
        <v>291601125.9866941</v>
      </c>
      <c r="AW36" s="10">
        <f t="shared" si="10"/>
        <v>152184440.90137368</v>
      </c>
      <c r="AX36" s="71"/>
      <c r="AY36" s="7">
        <f>IF(ISERROR(IF($K36&lt;=$F$15,VLOOKUP($I36,'表4）CO2価格'!$A$7:$E$67,VLOOKUP($F$48,'表4）CO2価格'!$H$10:$I$12,2,0),0)*$F$8/1000,"")),0,IF($K36&lt;=$F$15,VLOOKUP($I36,'表4）CO2価格'!$A$7:$E$67,VLOOKUP($F$48,'表4）CO2価格'!$H$10:$I$12,2,0),0)*$F$8/1000,""))</f>
        <v>7.0184806169104448</v>
      </c>
      <c r="AZ36" s="71"/>
      <c r="BA36" s="11">
        <f t="shared" si="11"/>
        <v>113558251.10476521</v>
      </c>
      <c r="BB36" s="10">
        <f t="shared" si="28"/>
        <v>59265199.664918549</v>
      </c>
      <c r="BC36" s="71"/>
      <c r="BD36" s="10">
        <f t="shared" si="12"/>
        <v>110808427.87494376</v>
      </c>
      <c r="BE36" s="10">
        <f t="shared" si="29"/>
        <v>57830087.542522006</v>
      </c>
      <c r="BF36" s="71"/>
      <c r="BG36" s="11">
        <f t="shared" si="13"/>
        <v>43152135.419810772</v>
      </c>
      <c r="BH36" s="10">
        <f t="shared" si="30"/>
        <v>22520775.872669045</v>
      </c>
      <c r="BJ36" s="7" t="str">
        <f t="shared" si="31"/>
        <v/>
      </c>
      <c r="BK36" s="158" t="str">
        <f t="shared" si="32"/>
        <v/>
      </c>
      <c r="BL36" s="158" t="str">
        <f t="shared" si="14"/>
        <v/>
      </c>
      <c r="BM36" s="10"/>
      <c r="BN36" s="10" t="str">
        <f t="shared" si="33"/>
        <v/>
      </c>
      <c r="BO36" s="10" t="str">
        <f t="shared" si="34"/>
        <v/>
      </c>
      <c r="BQ36" s="10">
        <f t="shared" si="15"/>
        <v>37126859.759999998</v>
      </c>
      <c r="BR36" s="10">
        <f t="shared" si="35"/>
        <v>19376229.690063428</v>
      </c>
    </row>
    <row r="37" spans="3:70" x14ac:dyDescent="0.15">
      <c r="I37" s="38">
        <f t="shared" si="36"/>
        <v>2052</v>
      </c>
      <c r="J37" s="39"/>
      <c r="K37" s="39">
        <f t="shared" si="37"/>
        <v>23</v>
      </c>
      <c r="L37" s="39"/>
      <c r="M37" s="40">
        <f t="shared" si="0"/>
        <v>0.50669174842969467</v>
      </c>
      <c r="N37" s="39"/>
      <c r="O37" s="72">
        <f t="shared" si="16"/>
        <v>0</v>
      </c>
      <c r="P37" s="41" t="str">
        <f t="shared" si="1"/>
        <v>-</v>
      </c>
      <c r="Q37" s="39"/>
      <c r="R37" s="72">
        <f t="shared" si="17"/>
        <v>42000000</v>
      </c>
      <c r="S37" s="39"/>
      <c r="T37" s="72">
        <f t="shared" si="18"/>
        <v>42000000</v>
      </c>
      <c r="U37" s="39"/>
      <c r="V37" s="72">
        <f t="shared" si="2"/>
        <v>0</v>
      </c>
      <c r="W37" s="72">
        <f t="shared" si="19"/>
        <v>0</v>
      </c>
      <c r="X37" s="39"/>
      <c r="Y37" s="72">
        <f t="shared" si="3"/>
        <v>588000</v>
      </c>
      <c r="Z37" s="72">
        <f t="shared" si="20"/>
        <v>297934.74807666044</v>
      </c>
      <c r="AA37" s="39"/>
      <c r="AB37" s="72">
        <f t="shared" si="4"/>
        <v>0</v>
      </c>
      <c r="AC37" s="72">
        <f t="shared" si="21"/>
        <v>0</v>
      </c>
      <c r="AD37" s="39"/>
      <c r="AE37" s="72">
        <f t="shared" si="5"/>
        <v>0</v>
      </c>
      <c r="AF37" s="72">
        <f t="shared" si="22"/>
        <v>0</v>
      </c>
      <c r="AG37" s="39"/>
      <c r="AH37" s="72">
        <f t="shared" si="6"/>
        <v>0</v>
      </c>
      <c r="AI37" s="72">
        <f t="shared" si="23"/>
        <v>0</v>
      </c>
      <c r="AJ37" s="39"/>
      <c r="AK37" s="72">
        <f t="shared" si="24"/>
        <v>60000000</v>
      </c>
      <c r="AL37" s="72">
        <f t="shared" si="25"/>
        <v>30401504.905781679</v>
      </c>
      <c r="AM37" s="39"/>
      <c r="AN37" s="72">
        <f t="shared" si="7"/>
        <v>0</v>
      </c>
      <c r="AO37" s="72">
        <f t="shared" si="26"/>
        <v>0</v>
      </c>
      <c r="AP37" s="39"/>
      <c r="AQ37" s="72">
        <f t="shared" si="8"/>
        <v>0</v>
      </c>
      <c r="AR37" s="72">
        <f t="shared" si="27"/>
        <v>0</v>
      </c>
      <c r="AS37" s="39"/>
      <c r="AT37" s="40">
        <f>IF($K37&lt;=$F$15,IF($F$40&lt;&gt;"",$F$40/1000,IF(ISERROR(VLOOKUP($F$3&amp;IF($G$4&lt;&gt;"",$G$4,"")&amp;IF($F$43&lt;&gt;"","_"&amp;$F$43,""),'表3）燃料価格'!$AF$9:$AG$25,2,0)),0,VLOOKUP($I37,'表3）燃料価格'!$A$6:$U$66,VLOOKUP($F$3&amp;IF($G$4&lt;&gt;"",$G$4,"")&amp;IF($F$43&lt;&gt;"","_"&amp;$F$43,""),'表3）燃料価格'!$AF$9:$AG$25,2,0)+VLOOKUP($F$41,'表3）燃料価格'!$AF$28:$AG$29,2,0),0)*IF($F$43="需要地価格",1,$F$8/$F$141))),"")</f>
        <v>47.228779419399288</v>
      </c>
      <c r="AU37" s="39"/>
      <c r="AV37" s="72">
        <f t="shared" si="9"/>
        <v>290978084.08430856</v>
      </c>
      <c r="AW37" s="72">
        <f t="shared" si="10"/>
        <v>147436194.17940101</v>
      </c>
      <c r="AX37" s="39"/>
      <c r="AY37" s="40">
        <f>IF(ISERROR(IF($K37&lt;=$F$15,VLOOKUP($I37,'表4）CO2価格'!$A$7:$E$67,VLOOKUP($F$48,'表4）CO2価格'!$H$10:$I$12,2,0),0)*$F$8/1000,"")),0,IF($K37&lt;=$F$15,VLOOKUP($I37,'表4）CO2価格'!$A$7:$E$67,VLOOKUP($F$48,'表4）CO2価格'!$H$10:$I$12,2,0),0)*$F$8/1000,""))</f>
        <v>7.1500080975609199</v>
      </c>
      <c r="AZ37" s="39"/>
      <c r="BA37" s="42">
        <f t="shared" si="11"/>
        <v>115686351.40027599</v>
      </c>
      <c r="BB37" s="72">
        <f t="shared" si="28"/>
        <v>58617319.660457894</v>
      </c>
      <c r="BC37" s="39"/>
      <c r="BD37" s="72">
        <f t="shared" si="12"/>
        <v>110571671.95203726</v>
      </c>
      <c r="BE37" s="72">
        <f t="shared" si="29"/>
        <v>56025753.788172387</v>
      </c>
      <c r="BF37" s="39"/>
      <c r="BG37" s="42">
        <f t="shared" si="13"/>
        <v>43960813.532104872</v>
      </c>
      <c r="BH37" s="72">
        <f t="shared" si="30"/>
        <v>22274581.470973998</v>
      </c>
      <c r="BI37" s="39"/>
      <c r="BJ37" s="40" t="str">
        <f t="shared" si="31"/>
        <v/>
      </c>
      <c r="BK37" s="157" t="str">
        <f t="shared" si="32"/>
        <v/>
      </c>
      <c r="BL37" s="157" t="str">
        <f t="shared" si="14"/>
        <v/>
      </c>
      <c r="BM37" s="72"/>
      <c r="BN37" s="72" t="str">
        <f t="shared" si="33"/>
        <v/>
      </c>
      <c r="BO37" s="72" t="str">
        <f t="shared" si="34"/>
        <v/>
      </c>
      <c r="BP37" s="39"/>
      <c r="BQ37" s="72">
        <f t="shared" si="15"/>
        <v>37126859.759999998</v>
      </c>
      <c r="BR37" s="72">
        <f t="shared" si="35"/>
        <v>18811873.485498473</v>
      </c>
    </row>
    <row r="38" spans="3:70" x14ac:dyDescent="0.15">
      <c r="C38" s="89" t="s">
        <v>508</v>
      </c>
      <c r="D38" s="101"/>
      <c r="E38" s="101"/>
      <c r="F38" s="89"/>
      <c r="G38" s="101"/>
      <c r="I38" s="322">
        <f t="shared" si="36"/>
        <v>2053</v>
      </c>
      <c r="J38" s="71"/>
      <c r="K38" s="71">
        <f t="shared" si="37"/>
        <v>24</v>
      </c>
      <c r="L38" s="71"/>
      <c r="M38" s="7">
        <f t="shared" si="0"/>
        <v>0.49193373633950943</v>
      </c>
      <c r="N38" s="71"/>
      <c r="O38" s="10">
        <f t="shared" si="16"/>
        <v>0</v>
      </c>
      <c r="P38" s="29" t="str">
        <f t="shared" si="1"/>
        <v>-</v>
      </c>
      <c r="Q38" s="71"/>
      <c r="R38" s="10">
        <f t="shared" si="17"/>
        <v>42000000</v>
      </c>
      <c r="S38" s="71"/>
      <c r="T38" s="10">
        <f t="shared" si="18"/>
        <v>42000000</v>
      </c>
      <c r="U38" s="71"/>
      <c r="V38" s="10">
        <f t="shared" si="2"/>
        <v>0</v>
      </c>
      <c r="W38" s="10">
        <f t="shared" si="19"/>
        <v>0</v>
      </c>
      <c r="X38" s="71"/>
      <c r="Y38" s="10">
        <f t="shared" si="3"/>
        <v>588000</v>
      </c>
      <c r="Z38" s="10">
        <f t="shared" si="20"/>
        <v>289257.03696763155</v>
      </c>
      <c r="AA38" s="71"/>
      <c r="AB38" s="10">
        <f t="shared" si="4"/>
        <v>0</v>
      </c>
      <c r="AC38" s="10">
        <f t="shared" si="21"/>
        <v>0</v>
      </c>
      <c r="AD38" s="71"/>
      <c r="AE38" s="10">
        <f t="shared" si="5"/>
        <v>0</v>
      </c>
      <c r="AF38" s="10">
        <f t="shared" si="22"/>
        <v>0</v>
      </c>
      <c r="AG38" s="71"/>
      <c r="AH38" s="10">
        <f t="shared" si="6"/>
        <v>0</v>
      </c>
      <c r="AI38" s="10">
        <f t="shared" si="23"/>
        <v>0</v>
      </c>
      <c r="AJ38" s="71"/>
      <c r="AK38" s="10">
        <f t="shared" si="24"/>
        <v>60000000</v>
      </c>
      <c r="AL38" s="10">
        <f t="shared" si="25"/>
        <v>29516024.180370566</v>
      </c>
      <c r="AM38" s="71"/>
      <c r="AN38" s="10">
        <f t="shared" si="7"/>
        <v>0</v>
      </c>
      <c r="AO38" s="10">
        <f t="shared" si="26"/>
        <v>0</v>
      </c>
      <c r="AP38" s="71"/>
      <c r="AQ38" s="10">
        <f t="shared" si="8"/>
        <v>0</v>
      </c>
      <c r="AR38" s="10">
        <f t="shared" si="27"/>
        <v>0</v>
      </c>
      <c r="AS38" s="71"/>
      <c r="AT38" s="7">
        <f>IF($K38&lt;=$F$15,IF($F$40&lt;&gt;"",$F$40/1000,IF(ISERROR(VLOOKUP($F$3&amp;IF($G$4&lt;&gt;"",$G$4,"")&amp;IF($F$43&lt;&gt;"","_"&amp;$F$43,""),'表3）燃料価格'!$AF$9:$AG$25,2,0)),0,VLOOKUP($I38,'表3）燃料価格'!$A$6:$U$66,VLOOKUP($F$3&amp;IF($G$4&lt;&gt;"",$G$4,"")&amp;IF($F$43&lt;&gt;"","_"&amp;$F$43,""),'表3）燃料価格'!$AF$9:$AG$25,2,0)+VLOOKUP($F$41,'表3）燃料価格'!$AF$28:$AG$29,2,0),0)*IF($F$43="需要地価格",1,$F$8/$F$141))),"")</f>
        <v>47.124440555958479</v>
      </c>
      <c r="AU38" s="71"/>
      <c r="AV38" s="10">
        <f t="shared" si="9"/>
        <v>290371226.93264741</v>
      </c>
      <c r="AW38" s="10">
        <f t="shared" si="10"/>
        <v>142843402.59046483</v>
      </c>
      <c r="AX38" s="71"/>
      <c r="AY38" s="7">
        <f>IF(ISERROR(IF($K38&lt;=$F$15,VLOOKUP($I38,'表4）CO2価格'!$A$7:$E$67,VLOOKUP($F$48,'表4）CO2価格'!$H$10:$I$12,2,0),0)*$F$8/1000,"")),0,IF($K38&lt;=$F$15,VLOOKUP($I38,'表4）CO2価格'!$A$7:$E$67,VLOOKUP($F$48,'表4）CO2価格'!$H$10:$I$12,2,0),0)*$F$8/1000,""))</f>
        <v>7.2814714966103056</v>
      </c>
      <c r="AZ38" s="71"/>
      <c r="BA38" s="11">
        <f t="shared" si="11"/>
        <v>117813414.86246844</v>
      </c>
      <c r="BB38" s="10">
        <f t="shared" si="28"/>
        <v>57956393.364210792</v>
      </c>
      <c r="BC38" s="71"/>
      <c r="BD38" s="10">
        <f t="shared" si="12"/>
        <v>110341066.23440601</v>
      </c>
      <c r="BE38" s="10">
        <f t="shared" si="29"/>
        <v>54280492.984376632</v>
      </c>
      <c r="BF38" s="71"/>
      <c r="BG38" s="11">
        <f t="shared" si="13"/>
        <v>44769097.647737995</v>
      </c>
      <c r="BH38" s="10">
        <f t="shared" si="30"/>
        <v>22023429.478400096</v>
      </c>
      <c r="BJ38" s="7" t="str">
        <f t="shared" si="31"/>
        <v/>
      </c>
      <c r="BK38" s="158" t="str">
        <f t="shared" si="32"/>
        <v/>
      </c>
      <c r="BL38" s="158" t="str">
        <f t="shared" si="14"/>
        <v/>
      </c>
      <c r="BM38" s="10"/>
      <c r="BN38" s="10" t="str">
        <f t="shared" si="33"/>
        <v/>
      </c>
      <c r="BO38" s="10" t="str">
        <f t="shared" si="34"/>
        <v/>
      </c>
      <c r="BQ38" s="10">
        <f t="shared" si="15"/>
        <v>37126859.759999998</v>
      </c>
      <c r="BR38" s="10">
        <f t="shared" si="35"/>
        <v>18263954.840289783</v>
      </c>
    </row>
    <row r="39" spans="3:70" x14ac:dyDescent="0.15">
      <c r="I39" s="38">
        <f t="shared" si="36"/>
        <v>2054</v>
      </c>
      <c r="J39" s="39"/>
      <c r="K39" s="39">
        <f t="shared" si="37"/>
        <v>25</v>
      </c>
      <c r="L39" s="39"/>
      <c r="M39" s="40">
        <f t="shared" si="0"/>
        <v>0.47760556926165965</v>
      </c>
      <c r="N39" s="39"/>
      <c r="O39" s="72">
        <f t="shared" si="16"/>
        <v>0</v>
      </c>
      <c r="P39" s="41" t="str">
        <f t="shared" si="1"/>
        <v>-</v>
      </c>
      <c r="Q39" s="39"/>
      <c r="R39" s="72">
        <f t="shared" si="17"/>
        <v>42000000</v>
      </c>
      <c r="S39" s="39"/>
      <c r="T39" s="72">
        <f t="shared" si="18"/>
        <v>42000000</v>
      </c>
      <c r="U39" s="39"/>
      <c r="V39" s="72">
        <f t="shared" si="2"/>
        <v>0</v>
      </c>
      <c r="W39" s="72">
        <f t="shared" si="19"/>
        <v>0</v>
      </c>
      <c r="X39" s="39"/>
      <c r="Y39" s="72">
        <f t="shared" si="3"/>
        <v>588000</v>
      </c>
      <c r="Z39" s="72">
        <f t="shared" si="20"/>
        <v>280832.0747258559</v>
      </c>
      <c r="AA39" s="39"/>
      <c r="AB39" s="72">
        <f t="shared" si="4"/>
        <v>0</v>
      </c>
      <c r="AC39" s="72">
        <f t="shared" si="21"/>
        <v>0</v>
      </c>
      <c r="AD39" s="39"/>
      <c r="AE39" s="72">
        <f t="shared" si="5"/>
        <v>0</v>
      </c>
      <c r="AF39" s="72">
        <f t="shared" si="22"/>
        <v>0</v>
      </c>
      <c r="AG39" s="39"/>
      <c r="AH39" s="72">
        <f t="shared" si="6"/>
        <v>0</v>
      </c>
      <c r="AI39" s="72">
        <f t="shared" si="23"/>
        <v>0</v>
      </c>
      <c r="AJ39" s="39"/>
      <c r="AK39" s="72">
        <f t="shared" si="24"/>
        <v>60000000</v>
      </c>
      <c r="AL39" s="72">
        <f t="shared" si="25"/>
        <v>28656334.155699577</v>
      </c>
      <c r="AM39" s="39"/>
      <c r="AN39" s="72">
        <f t="shared" si="7"/>
        <v>0</v>
      </c>
      <c r="AO39" s="72">
        <f t="shared" si="26"/>
        <v>0</v>
      </c>
      <c r="AP39" s="39"/>
      <c r="AQ39" s="72">
        <f t="shared" si="8"/>
        <v>0</v>
      </c>
      <c r="AR39" s="72">
        <f t="shared" si="27"/>
        <v>0</v>
      </c>
      <c r="AS39" s="39"/>
      <c r="AT39" s="40">
        <f>IF($K39&lt;=$F$15,IF($F$40&lt;&gt;"",$F$40/1000,IF(ISERROR(VLOOKUP($F$3&amp;IF($G$4&lt;&gt;"",$G$4,"")&amp;IF($F$43&lt;&gt;"","_"&amp;$F$43,""),'表3）燃料価格'!$AF$9:$AG$25,2,0)),0,VLOOKUP($I39,'表3）燃料価格'!$A$6:$U$66,VLOOKUP($F$3&amp;IF($G$4&lt;&gt;"",$G$4,"")&amp;IF($F$43&lt;&gt;"","_"&amp;$F$43,""),'表3）燃料価格'!$AF$9:$AG$25,2,0)+VLOOKUP($F$41,'表3）燃料価格'!$AF$28:$AG$29,2,0),0)*IF($F$43="需要地価格",1,$F$8/$F$141))),"")</f>
        <v>47.022743468601469</v>
      </c>
      <c r="AU39" s="39"/>
      <c r="AV39" s="72">
        <f t="shared" si="9"/>
        <v>289779734.9158619</v>
      </c>
      <c r="AW39" s="72">
        <f t="shared" si="10"/>
        <v>138400415.25498307</v>
      </c>
      <c r="AX39" s="39"/>
      <c r="AY39" s="40">
        <f>IF(ISERROR(IF($K39&lt;=$F$15,VLOOKUP($I39,'表4）CO2価格'!$A$7:$E$67,VLOOKUP($F$48,'表4）CO2価格'!$H$10:$I$12,2,0),0)*$F$8/1000,"")),0,IF($K39&lt;=$F$15,VLOOKUP($I39,'表4）CO2価格'!$A$7:$E$67,VLOOKUP($F$48,'表4）CO2価格'!$H$10:$I$12,2,0),0)*$F$8/1000,""))</f>
        <v>7.4128708764708131</v>
      </c>
      <c r="AZ39" s="39"/>
      <c r="BA39" s="42">
        <f t="shared" si="11"/>
        <v>119939442.50116532</v>
      </c>
      <c r="BB39" s="72">
        <f t="shared" si="28"/>
        <v>57283745.712695159</v>
      </c>
      <c r="BC39" s="39"/>
      <c r="BD39" s="72">
        <f t="shared" si="12"/>
        <v>110116299.26802753</v>
      </c>
      <c r="BE39" s="72">
        <f t="shared" si="29"/>
        <v>52592157.796893567</v>
      </c>
      <c r="BF39" s="39"/>
      <c r="BG39" s="42">
        <f t="shared" si="13"/>
        <v>45576988.150442809</v>
      </c>
      <c r="BH39" s="72">
        <f t="shared" si="30"/>
        <v>21767823.370824154</v>
      </c>
      <c r="BI39" s="39"/>
      <c r="BJ39" s="40" t="str">
        <f t="shared" si="31"/>
        <v/>
      </c>
      <c r="BK39" s="157" t="str">
        <f t="shared" si="32"/>
        <v/>
      </c>
      <c r="BL39" s="157" t="str">
        <f t="shared" si="14"/>
        <v/>
      </c>
      <c r="BM39" s="72"/>
      <c r="BN39" s="72" t="str">
        <f t="shared" si="33"/>
        <v/>
      </c>
      <c r="BO39" s="72" t="str">
        <f t="shared" si="34"/>
        <v/>
      </c>
      <c r="BP39" s="39"/>
      <c r="BQ39" s="72">
        <f t="shared" si="15"/>
        <v>37126859.759999998</v>
      </c>
      <c r="BR39" s="72">
        <f t="shared" si="35"/>
        <v>17731994.990572605</v>
      </c>
    </row>
    <row r="40" spans="3:70" x14ac:dyDescent="0.15">
      <c r="D40" s="81" t="s">
        <v>124</v>
      </c>
      <c r="F40" s="108"/>
      <c r="G40" s="82" t="s">
        <v>178</v>
      </c>
      <c r="I40" s="322">
        <f t="shared" si="36"/>
        <v>2055</v>
      </c>
      <c r="J40" s="71"/>
      <c r="K40" s="71">
        <f t="shared" si="37"/>
        <v>26</v>
      </c>
      <c r="L40" s="71"/>
      <c r="M40" s="7">
        <f t="shared" si="0"/>
        <v>0.46369472743850448</v>
      </c>
      <c r="N40" s="71"/>
      <c r="O40" s="10">
        <f t="shared" si="16"/>
        <v>0</v>
      </c>
      <c r="P40" s="29" t="str">
        <f t="shared" si="1"/>
        <v>-</v>
      </c>
      <c r="Q40" s="71"/>
      <c r="R40" s="10">
        <f t="shared" si="17"/>
        <v>42000000</v>
      </c>
      <c r="S40" s="71"/>
      <c r="T40" s="10">
        <f t="shared" si="18"/>
        <v>42000000</v>
      </c>
      <c r="U40" s="71"/>
      <c r="V40" s="10">
        <f t="shared" si="2"/>
        <v>0</v>
      </c>
      <c r="W40" s="10">
        <f t="shared" si="19"/>
        <v>0</v>
      </c>
      <c r="X40" s="71"/>
      <c r="Y40" s="10">
        <f t="shared" si="3"/>
        <v>588000</v>
      </c>
      <c r="Z40" s="10">
        <f t="shared" si="20"/>
        <v>272652.49973384064</v>
      </c>
      <c r="AA40" s="71"/>
      <c r="AB40" s="10">
        <f t="shared" si="4"/>
        <v>0</v>
      </c>
      <c r="AC40" s="10">
        <f t="shared" si="21"/>
        <v>0</v>
      </c>
      <c r="AD40" s="71"/>
      <c r="AE40" s="10">
        <f t="shared" si="5"/>
        <v>0</v>
      </c>
      <c r="AF40" s="10">
        <f t="shared" si="22"/>
        <v>0</v>
      </c>
      <c r="AG40" s="71"/>
      <c r="AH40" s="10">
        <f t="shared" si="6"/>
        <v>0</v>
      </c>
      <c r="AI40" s="10">
        <f t="shared" si="23"/>
        <v>0</v>
      </c>
      <c r="AJ40" s="71"/>
      <c r="AK40" s="10">
        <f t="shared" si="24"/>
        <v>60000000</v>
      </c>
      <c r="AL40" s="10">
        <f t="shared" si="25"/>
        <v>27821683.64631027</v>
      </c>
      <c r="AM40" s="71"/>
      <c r="AN40" s="10">
        <f t="shared" si="7"/>
        <v>0</v>
      </c>
      <c r="AO40" s="10">
        <f t="shared" si="26"/>
        <v>0</v>
      </c>
      <c r="AP40" s="71"/>
      <c r="AQ40" s="10">
        <f t="shared" si="8"/>
        <v>0</v>
      </c>
      <c r="AR40" s="10">
        <f t="shared" si="27"/>
        <v>0</v>
      </c>
      <c r="AS40" s="71"/>
      <c r="AT40" s="7">
        <f>IF($K40&lt;=$F$15,IF($F$40&lt;&gt;"",$F$40/1000,IF(ISERROR(VLOOKUP($F$3&amp;IF($G$4&lt;&gt;"",$G$4,"")&amp;IF($F$43&lt;&gt;"","_"&amp;$F$43,""),'表3）燃料価格'!$AF$9:$AG$25,2,0)),0,VLOOKUP($I40,'表3）燃料価格'!$A$6:$U$66,VLOOKUP($F$3&amp;IF($G$4&lt;&gt;"",$G$4,"")&amp;IF($F$43&lt;&gt;"","_"&amp;$F$43,""),'表3）燃料価格'!$AF$9:$AG$25,2,0)+VLOOKUP($F$41,'表3）燃料価格'!$AF$28:$AG$29,2,0),0)*IF($F$43="需要地価格",1,$F$8/$F$141))),"")</f>
        <v>46.923557678850855</v>
      </c>
      <c r="AU40" s="71"/>
      <c r="AV40" s="10">
        <f t="shared" si="9"/>
        <v>289202849.14321339</v>
      </c>
      <c r="AW40" s="10">
        <f t="shared" si="10"/>
        <v>134101836.30790126</v>
      </c>
      <c r="AX40" s="71"/>
      <c r="AY40" s="7">
        <f>IF(ISERROR(IF($K40&lt;=$F$15,VLOOKUP($I40,'表4）CO2価格'!$A$7:$E$67,VLOOKUP($F$48,'表4）CO2価格'!$H$10:$I$12,2,0),0)*$F$8/1000,"")),0,IF($K40&lt;=$F$15,VLOOKUP($I40,'表4）CO2価格'!$A$7:$E$67,VLOOKUP($F$48,'表4）CO2価格'!$H$10:$I$12,2,0),0)*$F$8/1000,""))</f>
        <v>7.5442062994635668</v>
      </c>
      <c r="AZ40" s="71"/>
      <c r="BA40" s="11">
        <f t="shared" si="11"/>
        <v>122064435.32471563</v>
      </c>
      <c r="BB40" s="10">
        <f t="shared" si="28"/>
        <v>56600635.067828976</v>
      </c>
      <c r="BC40" s="71"/>
      <c r="BD40" s="10">
        <f t="shared" si="12"/>
        <v>109897082.67442109</v>
      </c>
      <c r="BE40" s="10">
        <f t="shared" si="29"/>
        <v>50958697.797002479</v>
      </c>
      <c r="BF40" s="71"/>
      <c r="BG40" s="11">
        <f t="shared" si="13"/>
        <v>46384485.423391931</v>
      </c>
      <c r="BH40" s="10">
        <f t="shared" si="30"/>
        <v>21508241.325775005</v>
      </c>
      <c r="BJ40" s="7" t="str">
        <f t="shared" si="31"/>
        <v/>
      </c>
      <c r="BK40" s="158" t="str">
        <f t="shared" si="32"/>
        <v/>
      </c>
      <c r="BL40" s="158" t="str">
        <f t="shared" si="14"/>
        <v/>
      </c>
      <c r="BM40" s="10"/>
      <c r="BN40" s="10" t="str">
        <f t="shared" si="33"/>
        <v/>
      </c>
      <c r="BO40" s="10" t="str">
        <f t="shared" si="34"/>
        <v/>
      </c>
      <c r="BQ40" s="10">
        <f t="shared" si="15"/>
        <v>37126859.759999998</v>
      </c>
      <c r="BR40" s="10">
        <f t="shared" si="35"/>
        <v>17215529.117060781</v>
      </c>
    </row>
    <row r="41" spans="3:70" x14ac:dyDescent="0.15">
      <c r="D41" s="81" t="s">
        <v>179</v>
      </c>
      <c r="F41" s="88" t="str">
        <f>まとめ!B4</f>
        <v>WEO2020　STEPS</v>
      </c>
      <c r="I41" s="38">
        <f t="shared" si="36"/>
        <v>2056</v>
      </c>
      <c r="J41" s="39"/>
      <c r="K41" s="39">
        <f t="shared" si="37"/>
        <v>27</v>
      </c>
      <c r="L41" s="39"/>
      <c r="M41" s="40">
        <f t="shared" si="0"/>
        <v>0.45018905576553836</v>
      </c>
      <c r="N41" s="39"/>
      <c r="O41" s="72">
        <f t="shared" si="16"/>
        <v>0</v>
      </c>
      <c r="P41" s="41" t="str">
        <f t="shared" si="1"/>
        <v>-</v>
      </c>
      <c r="Q41" s="39"/>
      <c r="R41" s="72">
        <f t="shared" si="17"/>
        <v>42000000</v>
      </c>
      <c r="S41" s="39"/>
      <c r="T41" s="72">
        <f t="shared" si="18"/>
        <v>42000000</v>
      </c>
      <c r="U41" s="39"/>
      <c r="V41" s="72">
        <f t="shared" si="2"/>
        <v>0</v>
      </c>
      <c r="W41" s="72">
        <f t="shared" si="19"/>
        <v>0</v>
      </c>
      <c r="X41" s="39"/>
      <c r="Y41" s="72">
        <f t="shared" si="3"/>
        <v>588000</v>
      </c>
      <c r="Z41" s="72">
        <f t="shared" si="20"/>
        <v>264711.16479013656</v>
      </c>
      <c r="AA41" s="39"/>
      <c r="AB41" s="72">
        <f t="shared" si="4"/>
        <v>0</v>
      </c>
      <c r="AC41" s="72">
        <f t="shared" si="21"/>
        <v>0</v>
      </c>
      <c r="AD41" s="39"/>
      <c r="AE41" s="72">
        <f t="shared" si="5"/>
        <v>0</v>
      </c>
      <c r="AF41" s="72">
        <f t="shared" si="22"/>
        <v>0</v>
      </c>
      <c r="AG41" s="39"/>
      <c r="AH41" s="72">
        <f t="shared" si="6"/>
        <v>0</v>
      </c>
      <c r="AI41" s="72">
        <f t="shared" si="23"/>
        <v>0</v>
      </c>
      <c r="AJ41" s="39"/>
      <c r="AK41" s="72">
        <f t="shared" si="24"/>
        <v>60000000</v>
      </c>
      <c r="AL41" s="72">
        <f t="shared" si="25"/>
        <v>27011343.345932301</v>
      </c>
      <c r="AM41" s="39"/>
      <c r="AN41" s="72">
        <f t="shared" si="7"/>
        <v>0</v>
      </c>
      <c r="AO41" s="72">
        <f t="shared" si="26"/>
        <v>0</v>
      </c>
      <c r="AP41" s="39"/>
      <c r="AQ41" s="72">
        <f t="shared" si="8"/>
        <v>0</v>
      </c>
      <c r="AR41" s="72">
        <f t="shared" si="27"/>
        <v>0</v>
      </c>
      <c r="AS41" s="39"/>
      <c r="AT41" s="40">
        <f>IF($K41&lt;=$F$15,IF($F$40&lt;&gt;"",$F$40/1000,IF(ISERROR(VLOOKUP($F$3&amp;IF($G$4&lt;&gt;"",$G$4,"")&amp;IF($F$43&lt;&gt;"","_"&amp;$F$43,""),'表3）燃料価格'!$AF$9:$AG$25,2,0)),0,VLOOKUP($I41,'表3）燃料価格'!$A$6:$U$66,VLOOKUP($F$3&amp;IF($G$4&lt;&gt;"",$G$4,"")&amp;IF($F$43&lt;&gt;"","_"&amp;$F$43,""),'表3）燃料価格'!$AF$9:$AG$25,2,0)+VLOOKUP($F$41,'表3）燃料価格'!$AF$28:$AG$29,2,0),0)*IF($F$43="需要地価格",1,$F$8/$F$141))),"")</f>
        <v>46.826762142304162</v>
      </c>
      <c r="AU41" s="39"/>
      <c r="AV41" s="72">
        <f t="shared" si="9"/>
        <v>288639865.59456122</v>
      </c>
      <c r="AW41" s="72">
        <f t="shared" si="10"/>
        <v>129942508.54830742</v>
      </c>
      <c r="AX41" s="39"/>
      <c r="AY41" s="40">
        <f>IF(ISERROR(IF($K41&lt;=$F$15,VLOOKUP($I41,'表4）CO2価格'!$A$7:$E$67,VLOOKUP($F$48,'表4）CO2価格'!$H$10:$I$12,2,0),0)*$F$8/1000,"")),0,IF($K41&lt;=$F$15,VLOOKUP($I41,'表4）CO2価格'!$A$7:$E$67,VLOOKUP($F$48,'表4）CO2価格'!$H$10:$I$12,2,0),0)*$F$8/1000,""))</f>
        <v>7.675477827818213</v>
      </c>
      <c r="AZ41" s="39"/>
      <c r="BA41" s="42">
        <f t="shared" si="11"/>
        <v>124188394.33998828</v>
      </c>
      <c r="BB41" s="72">
        <f t="shared" si="28"/>
        <v>55908255.98495765</v>
      </c>
      <c r="BC41" s="39"/>
      <c r="BD41" s="72">
        <f t="shared" si="12"/>
        <v>109683148.92593327</v>
      </c>
      <c r="BE41" s="72">
        <f t="shared" si="29"/>
        <v>49378153.248356819</v>
      </c>
      <c r="BF41" s="39"/>
      <c r="BG41" s="42">
        <f t="shared" si="13"/>
        <v>47191589.849195533</v>
      </c>
      <c r="BH41" s="72">
        <f t="shared" si="30"/>
        <v>21245137.274283901</v>
      </c>
      <c r="BI41" s="39"/>
      <c r="BJ41" s="40" t="str">
        <f t="shared" si="31"/>
        <v/>
      </c>
      <c r="BK41" s="157" t="str">
        <f t="shared" si="32"/>
        <v/>
      </c>
      <c r="BL41" s="157" t="str">
        <f t="shared" si="14"/>
        <v/>
      </c>
      <c r="BM41" s="72"/>
      <c r="BN41" s="72" t="str">
        <f t="shared" si="33"/>
        <v/>
      </c>
      <c r="BO41" s="72" t="str">
        <f t="shared" si="34"/>
        <v/>
      </c>
      <c r="BP41" s="39"/>
      <c r="BQ41" s="72">
        <f t="shared" si="15"/>
        <v>37126859.759999998</v>
      </c>
      <c r="BR41" s="72">
        <f t="shared" si="35"/>
        <v>16714105.938893961</v>
      </c>
    </row>
    <row r="42" spans="3:70" x14ac:dyDescent="0.15">
      <c r="D42" s="81" t="s">
        <v>180</v>
      </c>
      <c r="F42" s="59">
        <f>IF($F$43="需要地価格",0,2800)</f>
        <v>2800</v>
      </c>
      <c r="G42" s="81" t="s">
        <v>181</v>
      </c>
      <c r="I42" s="322">
        <f t="shared" si="36"/>
        <v>2057</v>
      </c>
      <c r="J42" s="71"/>
      <c r="K42" s="71">
        <f t="shared" si="37"/>
        <v>28</v>
      </c>
      <c r="L42" s="71"/>
      <c r="M42" s="7">
        <f t="shared" si="0"/>
        <v>0.4370767531704256</v>
      </c>
      <c r="N42" s="71"/>
      <c r="O42" s="10">
        <f t="shared" si="16"/>
        <v>0</v>
      </c>
      <c r="P42" s="29" t="str">
        <f t="shared" si="1"/>
        <v>-</v>
      </c>
      <c r="Q42" s="71"/>
      <c r="R42" s="10">
        <f t="shared" si="17"/>
        <v>42000000</v>
      </c>
      <c r="S42" s="71"/>
      <c r="T42" s="10">
        <f t="shared" si="18"/>
        <v>42000000</v>
      </c>
      <c r="U42" s="71"/>
      <c r="V42" s="10">
        <f t="shared" si="2"/>
        <v>0</v>
      </c>
      <c r="W42" s="10">
        <f t="shared" si="19"/>
        <v>0</v>
      </c>
      <c r="X42" s="71"/>
      <c r="Y42" s="10">
        <f t="shared" si="3"/>
        <v>588000</v>
      </c>
      <c r="Z42" s="10">
        <f t="shared" si="20"/>
        <v>257001.13086421025</v>
      </c>
      <c r="AA42" s="71"/>
      <c r="AB42" s="10">
        <f t="shared" si="4"/>
        <v>0</v>
      </c>
      <c r="AC42" s="10">
        <f t="shared" si="21"/>
        <v>0</v>
      </c>
      <c r="AD42" s="71"/>
      <c r="AE42" s="10">
        <f t="shared" si="5"/>
        <v>0</v>
      </c>
      <c r="AF42" s="10">
        <f t="shared" si="22"/>
        <v>0</v>
      </c>
      <c r="AG42" s="71"/>
      <c r="AH42" s="10">
        <f t="shared" si="6"/>
        <v>0</v>
      </c>
      <c r="AI42" s="10">
        <f t="shared" si="23"/>
        <v>0</v>
      </c>
      <c r="AJ42" s="71"/>
      <c r="AK42" s="10">
        <f t="shared" si="24"/>
        <v>60000000</v>
      </c>
      <c r="AL42" s="10">
        <f t="shared" si="25"/>
        <v>26224605.190225538</v>
      </c>
      <c r="AM42" s="71"/>
      <c r="AN42" s="10">
        <f t="shared" si="7"/>
        <v>0</v>
      </c>
      <c r="AO42" s="10">
        <f t="shared" si="26"/>
        <v>0</v>
      </c>
      <c r="AP42" s="71"/>
      <c r="AQ42" s="10">
        <f t="shared" si="8"/>
        <v>0</v>
      </c>
      <c r="AR42" s="10">
        <f t="shared" si="27"/>
        <v>0</v>
      </c>
      <c r="AS42" s="71"/>
      <c r="AT42" s="7">
        <f>IF($K42&lt;=$F$15,IF($F$40&lt;&gt;"",$F$40/1000,IF(ISERROR(VLOOKUP($F$3&amp;IF($G$4&lt;&gt;"",$G$4,"")&amp;IF($F$43&lt;&gt;"","_"&amp;$F$43,""),'表3）燃料価格'!$AF$9:$AG$25,2,0)),0,VLOOKUP($I42,'表3）燃料価格'!$A$6:$U$66,VLOOKUP($F$3&amp;IF($G$4&lt;&gt;"",$G$4,"")&amp;IF($F$43&lt;&gt;"","_"&amp;$F$43,""),'表3）燃料価格'!$AF$9:$AG$25,2,0)+VLOOKUP($F$41,'表3）燃料価格'!$AF$28:$AG$29,2,0),0)*IF($F$43="需要地価格",1,$F$8/$F$141))),"")</f>
        <v>46.732244360505518</v>
      </c>
      <c r="AU42" s="71"/>
      <c r="AV42" s="10">
        <f t="shared" si="9"/>
        <v>288090129.95481861</v>
      </c>
      <c r="AW42" s="10">
        <f t="shared" si="10"/>
        <v>125917498.62109809</v>
      </c>
      <c r="AX42" s="71"/>
      <c r="AY42" s="7">
        <f>IF(ISERROR(IF($K42&lt;=$F$15,VLOOKUP($I42,'表4）CO2価格'!$A$7:$E$67,VLOOKUP($F$48,'表4）CO2価格'!$H$10:$I$12,2,0),0)*$F$8/1000,"")),0,IF($K42&lt;=$F$15,VLOOKUP($I42,'表4）CO2価格'!$A$7:$E$67,VLOOKUP($F$48,'表4）CO2価格'!$H$10:$I$12,2,0),0)*$F$8/1000,""))</f>
        <v>7.8066855236744779</v>
      </c>
      <c r="AZ42" s="71"/>
      <c r="BA42" s="11">
        <f t="shared" si="11"/>
        <v>126311320.55239724</v>
      </c>
      <c r="BB42" s="10">
        <f t="shared" si="28"/>
        <v>55207741.875710636</v>
      </c>
      <c r="BC42" s="71"/>
      <c r="BD42" s="10">
        <f t="shared" si="12"/>
        <v>109474249.38283105</v>
      </c>
      <c r="BE42" s="10">
        <f t="shared" si="29"/>
        <v>47848649.476017267</v>
      </c>
      <c r="BF42" s="71"/>
      <c r="BG42" s="11">
        <f t="shared" si="13"/>
        <v>47998301.809910938</v>
      </c>
      <c r="BH42" s="10">
        <f t="shared" si="30"/>
        <v>20978941.912770037</v>
      </c>
      <c r="BJ42" s="7" t="str">
        <f t="shared" si="31"/>
        <v/>
      </c>
      <c r="BK42" s="158" t="str">
        <f t="shared" si="32"/>
        <v/>
      </c>
      <c r="BL42" s="158" t="str">
        <f t="shared" si="14"/>
        <v/>
      </c>
      <c r="BM42" s="10"/>
      <c r="BN42" s="10" t="str">
        <f t="shared" si="33"/>
        <v/>
      </c>
      <c r="BO42" s="10" t="str">
        <f t="shared" si="34"/>
        <v/>
      </c>
      <c r="BQ42" s="10">
        <f t="shared" si="15"/>
        <v>37126859.759999998</v>
      </c>
      <c r="BR42" s="10">
        <f t="shared" si="35"/>
        <v>16227287.319314526</v>
      </c>
    </row>
    <row r="43" spans="3:70" x14ac:dyDescent="0.15">
      <c r="D43" s="82" t="s">
        <v>126</v>
      </c>
      <c r="F43" s="88" t="str">
        <f>まとめ!B8</f>
        <v>CIF価格</v>
      </c>
      <c r="I43" s="38">
        <f t="shared" si="36"/>
        <v>2058</v>
      </c>
      <c r="J43" s="39"/>
      <c r="K43" s="39">
        <f t="shared" si="37"/>
        <v>29</v>
      </c>
      <c r="L43" s="39"/>
      <c r="M43" s="40">
        <f t="shared" si="0"/>
        <v>0.42434636230138412</v>
      </c>
      <c r="N43" s="39"/>
      <c r="O43" s="72">
        <f t="shared" si="16"/>
        <v>0</v>
      </c>
      <c r="P43" s="41" t="str">
        <f t="shared" si="1"/>
        <v>-</v>
      </c>
      <c r="Q43" s="39"/>
      <c r="R43" s="72">
        <f t="shared" si="17"/>
        <v>42000000</v>
      </c>
      <c r="S43" s="39"/>
      <c r="T43" s="72">
        <f t="shared" si="18"/>
        <v>42000000</v>
      </c>
      <c r="U43" s="39"/>
      <c r="V43" s="72">
        <f t="shared" si="2"/>
        <v>0</v>
      </c>
      <c r="W43" s="72">
        <f t="shared" si="19"/>
        <v>0</v>
      </c>
      <c r="X43" s="39"/>
      <c r="Y43" s="72">
        <f t="shared" si="3"/>
        <v>588000</v>
      </c>
      <c r="Z43" s="72">
        <f t="shared" si="20"/>
        <v>249515.66103321387</v>
      </c>
      <c r="AA43" s="39"/>
      <c r="AB43" s="72">
        <f t="shared" si="4"/>
        <v>0</v>
      </c>
      <c r="AC43" s="72">
        <f t="shared" si="21"/>
        <v>0</v>
      </c>
      <c r="AD43" s="39"/>
      <c r="AE43" s="72">
        <f t="shared" si="5"/>
        <v>0</v>
      </c>
      <c r="AF43" s="72">
        <f t="shared" si="22"/>
        <v>0</v>
      </c>
      <c r="AG43" s="39"/>
      <c r="AH43" s="72">
        <f t="shared" si="6"/>
        <v>0</v>
      </c>
      <c r="AI43" s="72">
        <f t="shared" si="23"/>
        <v>0</v>
      </c>
      <c r="AJ43" s="39"/>
      <c r="AK43" s="72">
        <f t="shared" si="24"/>
        <v>60000000</v>
      </c>
      <c r="AL43" s="72">
        <f t="shared" si="25"/>
        <v>25460781.738083046</v>
      </c>
      <c r="AM43" s="39"/>
      <c r="AN43" s="72">
        <f t="shared" si="7"/>
        <v>0</v>
      </c>
      <c r="AO43" s="72">
        <f t="shared" si="26"/>
        <v>0</v>
      </c>
      <c r="AP43" s="39"/>
      <c r="AQ43" s="72">
        <f t="shared" si="8"/>
        <v>0</v>
      </c>
      <c r="AR43" s="72">
        <f t="shared" si="27"/>
        <v>0</v>
      </c>
      <c r="AS43" s="39"/>
      <c r="AT43" s="40">
        <f>IF($K43&lt;=$F$15,IF($F$40&lt;&gt;"",$F$40/1000,IF(ISERROR(VLOOKUP($F$3&amp;IF($G$4&lt;&gt;"",$G$4,"")&amp;IF($F$43&lt;&gt;"","_"&amp;$F$43,""),'表3）燃料価格'!$AF$9:$AG$25,2,0)),0,VLOOKUP($I43,'表3）燃料価格'!$A$6:$U$66,VLOOKUP($F$3&amp;IF($G$4&lt;&gt;"",$G$4,"")&amp;IF($F$43&lt;&gt;"","_"&amp;$F$43,""),'表3）燃料価格'!$AF$9:$AG$25,2,0)+VLOOKUP($F$41,'表3）燃料価格'!$AF$28:$AG$29,2,0),0)*IF($F$43="需要地価格",1,$F$8/$F$141))),"")</f>
        <v>46.6398995949301</v>
      </c>
      <c r="AU43" s="39"/>
      <c r="AV43" s="72">
        <f t="shared" si="9"/>
        <v>287553033.04231763</v>
      </c>
      <c r="AW43" s="72">
        <f t="shared" si="10"/>
        <v>122022083.54023719</v>
      </c>
      <c r="AX43" s="39"/>
      <c r="AY43" s="40">
        <f>IF(ISERROR(IF($K43&lt;=$F$15,VLOOKUP($I43,'表4）CO2価格'!$A$7:$E$67,VLOOKUP($F$48,'表4）CO2価格'!$H$10:$I$12,2,0),0)*$F$8/1000,"")),0,IF($K43&lt;=$F$15,VLOOKUP($I43,'表4）CO2価格'!$A$7:$E$67,VLOOKUP($F$48,'表4）CO2価格'!$H$10:$I$12,2,0),0)*$F$8/1000,""))</f>
        <v>7.9378294490802217</v>
      </c>
      <c r="AZ43" s="39"/>
      <c r="BA43" s="42">
        <f t="shared" si="11"/>
        <v>128433214.96587013</v>
      </c>
      <c r="BB43" s="72">
        <f t="shared" si="28"/>
        <v>54500167.569438674</v>
      </c>
      <c r="BC43" s="39"/>
      <c r="BD43" s="72">
        <f t="shared" si="12"/>
        <v>109270152.5560807</v>
      </c>
      <c r="BE43" s="72">
        <f t="shared" si="29"/>
        <v>46368391.74529013</v>
      </c>
      <c r="BF43" s="39"/>
      <c r="BG43" s="42">
        <f t="shared" si="13"/>
        <v>48804621.687030636</v>
      </c>
      <c r="BH43" s="72">
        <f t="shared" si="30"/>
        <v>20710063.676386692</v>
      </c>
      <c r="BI43" s="39"/>
      <c r="BJ43" s="40" t="str">
        <f t="shared" si="31"/>
        <v/>
      </c>
      <c r="BK43" s="157" t="str">
        <f t="shared" si="32"/>
        <v/>
      </c>
      <c r="BL43" s="157" t="str">
        <f t="shared" si="14"/>
        <v/>
      </c>
      <c r="BM43" s="72"/>
      <c r="BN43" s="72" t="str">
        <f t="shared" si="33"/>
        <v/>
      </c>
      <c r="BO43" s="72" t="str">
        <f t="shared" si="34"/>
        <v/>
      </c>
      <c r="BP43" s="39"/>
      <c r="BQ43" s="72">
        <f t="shared" si="15"/>
        <v>37126859.759999998</v>
      </c>
      <c r="BR43" s="72">
        <f t="shared" si="35"/>
        <v>15754647.882829638</v>
      </c>
    </row>
    <row r="44" spans="3:70" x14ac:dyDescent="0.15">
      <c r="I44" s="322">
        <f t="shared" si="36"/>
        <v>2059</v>
      </c>
      <c r="J44" s="71"/>
      <c r="K44" s="71">
        <f t="shared" si="37"/>
        <v>30</v>
      </c>
      <c r="L44" s="71"/>
      <c r="M44" s="7">
        <f t="shared" si="0"/>
        <v>0.41198675951590691</v>
      </c>
      <c r="N44" s="71"/>
      <c r="O44" s="10">
        <f t="shared" si="16"/>
        <v>0</v>
      </c>
      <c r="P44" s="29" t="str">
        <f t="shared" si="1"/>
        <v>-</v>
      </c>
      <c r="Q44" s="71"/>
      <c r="R44" s="10">
        <f t="shared" si="17"/>
        <v>42000000</v>
      </c>
      <c r="S44" s="71"/>
      <c r="T44" s="10">
        <f t="shared" si="18"/>
        <v>42000000</v>
      </c>
      <c r="U44" s="71"/>
      <c r="V44" s="10">
        <f t="shared" si="2"/>
        <v>0</v>
      </c>
      <c r="W44" s="10">
        <f t="shared" si="19"/>
        <v>0</v>
      </c>
      <c r="X44" s="71"/>
      <c r="Y44" s="10">
        <f t="shared" si="3"/>
        <v>588000</v>
      </c>
      <c r="Z44" s="10">
        <f t="shared" si="20"/>
        <v>242248.21459535326</v>
      </c>
      <c r="AA44" s="71"/>
      <c r="AB44" s="10">
        <f t="shared" si="4"/>
        <v>0</v>
      </c>
      <c r="AC44" s="10">
        <f t="shared" si="21"/>
        <v>0</v>
      </c>
      <c r="AD44" s="71"/>
      <c r="AE44" s="10">
        <f t="shared" si="5"/>
        <v>0</v>
      </c>
      <c r="AF44" s="10">
        <f t="shared" si="22"/>
        <v>0</v>
      </c>
      <c r="AG44" s="71"/>
      <c r="AH44" s="10">
        <f t="shared" si="6"/>
        <v>0</v>
      </c>
      <c r="AI44" s="10">
        <f t="shared" si="23"/>
        <v>0</v>
      </c>
      <c r="AJ44" s="71"/>
      <c r="AK44" s="10">
        <f t="shared" si="24"/>
        <v>60000000</v>
      </c>
      <c r="AL44" s="10">
        <f t="shared" si="25"/>
        <v>24719205.570954416</v>
      </c>
      <c r="AM44" s="71"/>
      <c r="AN44" s="10">
        <f t="shared" si="7"/>
        <v>0</v>
      </c>
      <c r="AO44" s="10">
        <f t="shared" si="26"/>
        <v>0</v>
      </c>
      <c r="AP44" s="71"/>
      <c r="AQ44" s="10">
        <f t="shared" si="8"/>
        <v>0</v>
      </c>
      <c r="AR44" s="10">
        <f t="shared" si="27"/>
        <v>0</v>
      </c>
      <c r="AS44" s="71"/>
      <c r="AT44" s="7">
        <f>IF($K44&lt;=$F$15,IF($F$40&lt;&gt;"",$F$40/1000,IF(ISERROR(VLOOKUP($F$3&amp;IF($G$4&lt;&gt;"",$G$4,"")&amp;IF($F$43&lt;&gt;"","_"&amp;$F$43,""),'表3）燃料価格'!$AF$9:$AG$25,2,0)),0,VLOOKUP($I44,'表3）燃料価格'!$A$6:$U$66,VLOOKUP($F$3&amp;IF($G$4&lt;&gt;"",$G$4,"")&amp;IF($F$43&lt;&gt;"","_"&amp;$F$43,""),'表3）燃料価格'!$AF$9:$AG$25,2,0)+VLOOKUP($F$41,'表3）燃料価格'!$AF$28:$AG$29,2,0),0)*IF($F$43="需要地価格",1,$F$8/$F$141))),"")</f>
        <v>46.549630169308166</v>
      </c>
      <c r="AU44" s="71"/>
      <c r="AV44" s="10">
        <f t="shared" si="9"/>
        <v>287028006.7509771</v>
      </c>
      <c r="AW44" s="10">
        <f t="shared" si="10"/>
        <v>118251738.39164491</v>
      </c>
      <c r="AX44" s="71"/>
      <c r="AY44" s="7">
        <f>IF(ISERROR(IF($K44&lt;=$F$15,VLOOKUP($I44,'表4）CO2価格'!$A$7:$E$67,VLOOKUP($F$48,'表4）CO2価格'!$H$10:$I$12,2,0),0)*$F$8/1000,"")),0,IF($K44&lt;=$F$15,VLOOKUP($I44,'表4）CO2価格'!$A$7:$E$67,VLOOKUP($F$48,'表4）CO2価格'!$H$10:$I$12,2,0),0)*$F$8/1000,""))</f>
        <v>8.0689096659945534</v>
      </c>
      <c r="AZ44" s="71"/>
      <c r="BA44" s="11">
        <f t="shared" si="11"/>
        <v>130554078.58289857</v>
      </c>
      <c r="BB44" s="10">
        <f t="shared" si="28"/>
        <v>53786551.776953444</v>
      </c>
      <c r="BC44" s="71"/>
      <c r="BD44" s="10">
        <f t="shared" si="12"/>
        <v>109070642.56537129</v>
      </c>
      <c r="BE44" s="10">
        <f t="shared" si="29"/>
        <v>44935660.588825062</v>
      </c>
      <c r="BF44" s="71"/>
      <c r="BG44" s="11">
        <f t="shared" si="13"/>
        <v>49610549.861501448</v>
      </c>
      <c r="BH44" s="10">
        <f t="shared" si="30"/>
        <v>20438889.675242305</v>
      </c>
      <c r="BJ44" s="7" t="str">
        <f t="shared" si="31"/>
        <v/>
      </c>
      <c r="BK44" s="158" t="str">
        <f t="shared" si="32"/>
        <v/>
      </c>
      <c r="BL44" s="158" t="str">
        <f t="shared" si="14"/>
        <v/>
      </c>
      <c r="BM44" s="10"/>
      <c r="BN44" s="10" t="str">
        <f t="shared" si="33"/>
        <v/>
      </c>
      <c r="BO44" s="10" t="str">
        <f t="shared" si="34"/>
        <v/>
      </c>
      <c r="BQ44" s="10">
        <f t="shared" si="15"/>
        <v>37126859.759999998</v>
      </c>
      <c r="BR44" s="10">
        <f t="shared" si="35"/>
        <v>15295774.64352392</v>
      </c>
    </row>
    <row r="45" spans="3:70" x14ac:dyDescent="0.15">
      <c r="C45" s="89" t="s">
        <v>509</v>
      </c>
      <c r="D45" s="101"/>
      <c r="E45" s="101"/>
      <c r="F45" s="89"/>
      <c r="G45" s="101"/>
      <c r="I45" s="38">
        <f t="shared" si="36"/>
        <v>2060</v>
      </c>
      <c r="J45" s="39"/>
      <c r="K45" s="39">
        <f t="shared" si="37"/>
        <v>31</v>
      </c>
      <c r="L45" s="39"/>
      <c r="M45" s="40">
        <f t="shared" si="0"/>
        <v>0.39998714516107459</v>
      </c>
      <c r="N45" s="39"/>
      <c r="O45" s="72" t="str">
        <f t="shared" si="16"/>
        <v/>
      </c>
      <c r="P45" s="41" t="str">
        <f t="shared" si="1"/>
        <v/>
      </c>
      <c r="Q45" s="39"/>
      <c r="R45" s="72" t="str">
        <f t="shared" si="17"/>
        <v/>
      </c>
      <c r="S45" s="39"/>
      <c r="T45" s="72" t="str">
        <f t="shared" si="18"/>
        <v/>
      </c>
      <c r="U45" s="39"/>
      <c r="V45" s="72" t="str">
        <f t="shared" si="2"/>
        <v/>
      </c>
      <c r="W45" s="72" t="str">
        <f t="shared" si="19"/>
        <v/>
      </c>
      <c r="X45" s="39"/>
      <c r="Y45" s="72" t="str">
        <f t="shared" si="3"/>
        <v/>
      </c>
      <c r="Z45" s="72" t="str">
        <f t="shared" si="20"/>
        <v/>
      </c>
      <c r="AA45" s="39"/>
      <c r="AB45" s="72">
        <f t="shared" si="4"/>
        <v>42000000</v>
      </c>
      <c r="AC45" s="72">
        <f t="shared" si="21"/>
        <v>16799460.096765134</v>
      </c>
      <c r="AD45" s="39"/>
      <c r="AE45" s="72" t="str">
        <f t="shared" si="5"/>
        <v/>
      </c>
      <c r="AF45" s="72" t="str">
        <f t="shared" si="22"/>
        <v/>
      </c>
      <c r="AG45" s="39"/>
      <c r="AH45" s="72" t="str">
        <f t="shared" si="6"/>
        <v/>
      </c>
      <c r="AI45" s="72" t="str">
        <f t="shared" si="23"/>
        <v/>
      </c>
      <c r="AJ45" s="39"/>
      <c r="AK45" s="72" t="str">
        <f t="shared" si="24"/>
        <v/>
      </c>
      <c r="AL45" s="72" t="str">
        <f t="shared" si="25"/>
        <v/>
      </c>
      <c r="AM45" s="39"/>
      <c r="AN45" s="72" t="str">
        <f t="shared" si="7"/>
        <v/>
      </c>
      <c r="AO45" s="72" t="str">
        <f t="shared" si="26"/>
        <v/>
      </c>
      <c r="AP45" s="39"/>
      <c r="AQ45" s="72" t="str">
        <f t="shared" si="8"/>
        <v/>
      </c>
      <c r="AR45" s="72" t="str">
        <f t="shared" si="27"/>
        <v/>
      </c>
      <c r="AS45" s="39"/>
      <c r="AT45" s="40" t="str">
        <f>IF($K45&lt;=$F$15,IF($F$40&lt;&gt;"",$F$40/1000,IF(ISERROR(VLOOKUP($F$3&amp;IF($G$4&lt;&gt;"",$G$4,"")&amp;IF($F$43&lt;&gt;"","_"&amp;$F$43,""),'表3）燃料価格'!$AF$9:$AG$25,2,0)),0,VLOOKUP($I45,'表3）燃料価格'!$A$6:$U$66,VLOOKUP($F$3&amp;IF($G$4&lt;&gt;"",$G$4,"")&amp;IF($F$43&lt;&gt;"","_"&amp;$F$43,""),'表3）燃料価格'!$AF$9:$AG$25,2,0)+VLOOKUP($F$41,'表3）燃料価格'!$AF$28:$AG$29,2,0),0)*IF($F$43="需要地価格",1,$F$8/$F$141))),"")</f>
        <v/>
      </c>
      <c r="AU45" s="39"/>
      <c r="AV45" s="72" t="str">
        <f t="shared" si="9"/>
        <v/>
      </c>
      <c r="AW45" s="72" t="str">
        <f t="shared" si="10"/>
        <v/>
      </c>
      <c r="AX45" s="39"/>
      <c r="AY45" s="40" t="str">
        <f>IF(ISERROR(IF($K45&lt;=$F$15,VLOOKUP($I45,'表4）CO2価格'!$A$7:$E$67,VLOOKUP($F$48,'表4）CO2価格'!$H$10:$I$12,2,0),0)*$F$8/1000,"")),0,IF($K45&lt;=$F$15,VLOOKUP($I45,'表4）CO2価格'!$A$7:$E$67,VLOOKUP($F$48,'表4）CO2価格'!$H$10:$I$12,2,0),0)*$F$8/1000,""))</f>
        <v/>
      </c>
      <c r="AZ45" s="39"/>
      <c r="BA45" s="42" t="str">
        <f t="shared" si="11"/>
        <v/>
      </c>
      <c r="BB45" s="72" t="str">
        <f t="shared" si="28"/>
        <v/>
      </c>
      <c r="BC45" s="39"/>
      <c r="BD45" s="72" t="str">
        <f t="shared" si="12"/>
        <v/>
      </c>
      <c r="BE45" s="72" t="str">
        <f t="shared" si="29"/>
        <v/>
      </c>
      <c r="BF45" s="39"/>
      <c r="BG45" s="42" t="str">
        <f t="shared" si="13"/>
        <v/>
      </c>
      <c r="BH45" s="72" t="str">
        <f t="shared" si="30"/>
        <v/>
      </c>
      <c r="BI45" s="39"/>
      <c r="BJ45" s="40" t="str">
        <f t="shared" si="31"/>
        <v/>
      </c>
      <c r="BK45" s="157" t="str">
        <f t="shared" si="32"/>
        <v/>
      </c>
      <c r="BL45" s="157" t="str">
        <f t="shared" si="14"/>
        <v/>
      </c>
      <c r="BM45" s="72"/>
      <c r="BN45" s="72" t="str">
        <f t="shared" si="33"/>
        <v/>
      </c>
      <c r="BO45" s="72" t="str">
        <f t="shared" si="34"/>
        <v/>
      </c>
      <c r="BP45" s="39"/>
      <c r="BQ45" s="72" t="str">
        <f t="shared" si="15"/>
        <v/>
      </c>
      <c r="BR45" s="72" t="str">
        <f t="shared" si="35"/>
        <v/>
      </c>
    </row>
    <row r="46" spans="3:70" x14ac:dyDescent="0.15">
      <c r="I46" s="322">
        <f t="shared" si="36"/>
        <v>2061</v>
      </c>
      <c r="J46" s="71"/>
      <c r="K46" s="71">
        <f t="shared" si="37"/>
        <v>32</v>
      </c>
      <c r="L46" s="71"/>
      <c r="M46" s="7">
        <f t="shared" si="0"/>
        <v>0.38833703413696569</v>
      </c>
      <c r="N46" s="71"/>
      <c r="O46" s="10" t="str">
        <f t="shared" si="16"/>
        <v/>
      </c>
      <c r="P46" s="29" t="str">
        <f t="shared" si="1"/>
        <v/>
      </c>
      <c r="Q46" s="71"/>
      <c r="R46" s="10" t="str">
        <f t="shared" si="17"/>
        <v/>
      </c>
      <c r="S46" s="71"/>
      <c r="T46" s="10" t="str">
        <f t="shared" si="18"/>
        <v/>
      </c>
      <c r="U46" s="71"/>
      <c r="V46" s="10" t="str">
        <f t="shared" si="2"/>
        <v/>
      </c>
      <c r="W46" s="10" t="str">
        <f t="shared" si="19"/>
        <v/>
      </c>
      <c r="X46" s="71"/>
      <c r="Y46" s="10" t="str">
        <f t="shared" si="3"/>
        <v/>
      </c>
      <c r="Z46" s="10" t="str">
        <f t="shared" si="20"/>
        <v/>
      </c>
      <c r="AA46" s="71"/>
      <c r="AB46" s="10" t="str">
        <f t="shared" si="4"/>
        <v/>
      </c>
      <c r="AC46" s="10" t="str">
        <f t="shared" si="21"/>
        <v/>
      </c>
      <c r="AD46" s="71"/>
      <c r="AE46" s="10" t="str">
        <f t="shared" si="5"/>
        <v/>
      </c>
      <c r="AF46" s="10" t="str">
        <f t="shared" si="22"/>
        <v/>
      </c>
      <c r="AG46" s="71"/>
      <c r="AH46" s="10" t="str">
        <f t="shared" si="6"/>
        <v/>
      </c>
      <c r="AI46" s="10" t="str">
        <f t="shared" si="23"/>
        <v/>
      </c>
      <c r="AJ46" s="71"/>
      <c r="AK46" s="10" t="str">
        <f t="shared" si="24"/>
        <v/>
      </c>
      <c r="AL46" s="10" t="str">
        <f t="shared" si="25"/>
        <v/>
      </c>
      <c r="AM46" s="71"/>
      <c r="AN46" s="10" t="str">
        <f t="shared" si="7"/>
        <v/>
      </c>
      <c r="AO46" s="10" t="str">
        <f t="shared" si="26"/>
        <v/>
      </c>
      <c r="AP46" s="71"/>
      <c r="AQ46" s="10" t="str">
        <f t="shared" si="8"/>
        <v/>
      </c>
      <c r="AR46" s="10" t="str">
        <f t="shared" si="27"/>
        <v/>
      </c>
      <c r="AS46" s="71"/>
      <c r="AT46" s="7" t="str">
        <f>IF($K46&lt;=$F$15,IF($F$40&lt;&gt;"",$F$40/1000,IF(ISERROR(VLOOKUP($F$3&amp;IF($G$4&lt;&gt;"",$G$4,"")&amp;IF($F$43&lt;&gt;"","_"&amp;$F$43,""),'表3）燃料価格'!$AF$9:$AG$25,2,0)),0,VLOOKUP($I46,'表3）燃料価格'!$A$6:$U$66,VLOOKUP($F$3&amp;IF($G$4&lt;&gt;"",$G$4,"")&amp;IF($F$43&lt;&gt;"","_"&amp;$F$43,""),'表3）燃料価格'!$AF$9:$AG$25,2,0)+VLOOKUP($F$41,'表3）燃料価格'!$AF$28:$AG$29,2,0),0)*IF($F$43="需要地価格",1,$F$8/$F$141))),"")</f>
        <v/>
      </c>
      <c r="AU46" s="71"/>
      <c r="AV46" s="10" t="str">
        <f t="shared" si="9"/>
        <v/>
      </c>
      <c r="AW46" s="10" t="str">
        <f t="shared" si="10"/>
        <v/>
      </c>
      <c r="AX46" s="71"/>
      <c r="AY46" s="7" t="str">
        <f>IF(ISERROR(IF($K46&lt;=$F$15,VLOOKUP($I46,'表4）CO2価格'!$A$7:$E$67,VLOOKUP($F$48,'表4）CO2価格'!$H$10:$I$12,2,0),0)*$F$8/1000,"")),0,IF($K46&lt;=$F$15,VLOOKUP($I46,'表4）CO2価格'!$A$7:$E$67,VLOOKUP($F$48,'表4）CO2価格'!$H$10:$I$12,2,0),0)*$F$8/1000,""))</f>
        <v/>
      </c>
      <c r="AZ46" s="71"/>
      <c r="BA46" s="11" t="str">
        <f t="shared" si="11"/>
        <v/>
      </c>
      <c r="BB46" s="10" t="str">
        <f t="shared" si="28"/>
        <v/>
      </c>
      <c r="BC46" s="71"/>
      <c r="BD46" s="10" t="str">
        <f t="shared" si="12"/>
        <v/>
      </c>
      <c r="BE46" s="10" t="str">
        <f t="shared" si="29"/>
        <v/>
      </c>
      <c r="BF46" s="71"/>
      <c r="BG46" s="11" t="str">
        <f t="shared" si="13"/>
        <v/>
      </c>
      <c r="BH46" s="10" t="str">
        <f t="shared" si="30"/>
        <v/>
      </c>
      <c r="BJ46" s="7" t="str">
        <f t="shared" si="31"/>
        <v/>
      </c>
      <c r="BK46" s="158" t="str">
        <f t="shared" si="32"/>
        <v/>
      </c>
      <c r="BL46" s="158" t="str">
        <f t="shared" si="14"/>
        <v/>
      </c>
      <c r="BM46" s="10"/>
      <c r="BN46" s="10" t="str">
        <f t="shared" si="33"/>
        <v/>
      </c>
      <c r="BO46" s="10" t="str">
        <f t="shared" si="34"/>
        <v/>
      </c>
      <c r="BQ46" s="10" t="str">
        <f t="shared" si="15"/>
        <v/>
      </c>
      <c r="BR46" s="10" t="str">
        <f t="shared" si="35"/>
        <v/>
      </c>
    </row>
    <row r="47" spans="3:70" x14ac:dyDescent="0.15">
      <c r="D47" s="81" t="s">
        <v>182</v>
      </c>
      <c r="F47" s="109">
        <v>13.87</v>
      </c>
      <c r="G47" s="81" t="s">
        <v>226</v>
      </c>
      <c r="I47" s="38">
        <f t="shared" si="36"/>
        <v>2062</v>
      </c>
      <c r="J47" s="39"/>
      <c r="K47" s="39">
        <f t="shared" si="37"/>
        <v>33</v>
      </c>
      <c r="L47" s="39"/>
      <c r="M47" s="40">
        <f t="shared" si="0"/>
        <v>0.37702624673491814</v>
      </c>
      <c r="N47" s="39"/>
      <c r="O47" s="72" t="str">
        <f t="shared" si="16"/>
        <v/>
      </c>
      <c r="P47" s="41" t="str">
        <f t="shared" ref="P47:P78" si="38">IF(K47&lt;=$F$15,IF(OR(P46=$F$124,P46="-"),"-",IF(O47*$F$123&gt;$F$127,$F$123,$F$124)),"")</f>
        <v/>
      </c>
      <c r="Q47" s="39"/>
      <c r="R47" s="72" t="str">
        <f t="shared" si="17"/>
        <v/>
      </c>
      <c r="S47" s="39"/>
      <c r="T47" s="72" t="str">
        <f t="shared" si="18"/>
        <v/>
      </c>
      <c r="U47" s="39"/>
      <c r="V47" s="72" t="str">
        <f t="shared" ref="V47:V78" si="39">IF(K47&lt;=$F$15,IF(K47&lt;$F$119,IF(P47="-",V46,O47*P47),IF(K47=$F$119,MIN(IF(P47="-",V46,O47*P47),O47),0)),"")</f>
        <v/>
      </c>
      <c r="W47" s="72" t="str">
        <f t="shared" si="19"/>
        <v/>
      </c>
      <c r="X47" s="39"/>
      <c r="Y47" s="72" t="str">
        <f t="shared" ref="Y47:Y78" si="40">IF($K47&lt;=$F$15,ROUNDDOWN(T47*$F$25/100,-2),"")</f>
        <v/>
      </c>
      <c r="Z47" s="72" t="str">
        <f t="shared" si="20"/>
        <v/>
      </c>
      <c r="AA47" s="39"/>
      <c r="AB47" s="72" t="str">
        <f t="shared" si="4"/>
        <v/>
      </c>
      <c r="AC47" s="72" t="str">
        <f t="shared" si="21"/>
        <v/>
      </c>
      <c r="AD47" s="39"/>
      <c r="AE47" s="72" t="str">
        <f t="shared" ref="AE47:AE78" si="41">IF($K47&lt;=$F$15,$F$26,"")</f>
        <v/>
      </c>
      <c r="AF47" s="72" t="str">
        <f t="shared" si="22"/>
        <v/>
      </c>
      <c r="AG47" s="39"/>
      <c r="AH47" s="72" t="str">
        <f t="shared" ref="AH47:AH78" si="42">IF($K47&lt;=$F$15,$F$33*10^8,"")</f>
        <v/>
      </c>
      <c r="AI47" s="72" t="str">
        <f t="shared" si="23"/>
        <v/>
      </c>
      <c r="AJ47" s="39"/>
      <c r="AK47" s="72" t="str">
        <f t="shared" si="24"/>
        <v/>
      </c>
      <c r="AL47" s="72" t="str">
        <f t="shared" si="25"/>
        <v/>
      </c>
      <c r="AM47" s="39"/>
      <c r="AN47" s="72" t="str">
        <f t="shared" ref="AN47:AN78" si="43">IF($K47&lt;=$F$15,$F$117*$F$35/100,"")</f>
        <v/>
      </c>
      <c r="AO47" s="72" t="str">
        <f t="shared" si="26"/>
        <v/>
      </c>
      <c r="AP47" s="39"/>
      <c r="AQ47" s="72" t="str">
        <f t="shared" ref="AQ47:AQ78" si="44">IF($K47&lt;=$F$15,SUM(AH47,AK47,AN47)*($F$36/100),"")</f>
        <v/>
      </c>
      <c r="AR47" s="72" t="str">
        <f t="shared" si="27"/>
        <v/>
      </c>
      <c r="AS47" s="39"/>
      <c r="AT47" s="40" t="str">
        <f>IF($K47&lt;=$F$15,IF($F$40&lt;&gt;"",$F$40/1000,IF(ISERROR(VLOOKUP($F$3&amp;IF($G$4&lt;&gt;"",$G$4,"")&amp;IF($F$43&lt;&gt;"","_"&amp;$F$43,""),'表3）燃料価格'!$AF$9:$AG$25,2,0)),0,VLOOKUP($I47,'表3）燃料価格'!$A$6:$U$66,VLOOKUP($F$3&amp;IF($G$4&lt;&gt;"",$G$4,"")&amp;IF($F$43&lt;&gt;"","_"&amp;$F$43,""),'表3）燃料価格'!$AF$9:$AG$25,2,0)+VLOOKUP($F$41,'表3）燃料価格'!$AF$28:$AG$29,2,0),0)*IF($F$43="需要地価格",1,$F$8/$F$141))),"")</f>
        <v/>
      </c>
      <c r="AU47" s="39"/>
      <c r="AV47" s="72" t="str">
        <f t="shared" ref="AV47:AV78" si="45">IF($K47&lt;=$F$15,($AT47+$F$142)*$F$137,"")</f>
        <v/>
      </c>
      <c r="AW47" s="72" t="str">
        <f t="shared" si="10"/>
        <v/>
      </c>
      <c r="AX47" s="39"/>
      <c r="AY47" s="40" t="str">
        <f>IF(ISERROR(IF($K47&lt;=$F$15,VLOOKUP($I47,'表4）CO2価格'!$A$7:$E$67,VLOOKUP($F$48,'表4）CO2価格'!$H$10:$I$12,2,0),0)*$F$8/1000,"")),0,IF($K47&lt;=$F$15,VLOOKUP($I47,'表4）CO2価格'!$A$7:$E$67,VLOOKUP($F$48,'表4）CO2価格'!$H$10:$I$12,2,0),0)*$F$8/1000,""))</f>
        <v/>
      </c>
      <c r="AZ47" s="39"/>
      <c r="BA47" s="42" t="str">
        <f t="shared" ref="BA47:BA78" si="46">IF($K47&lt;=$F$15,$F$145*AY47,"")</f>
        <v/>
      </c>
      <c r="BB47" s="72" t="str">
        <f t="shared" si="28"/>
        <v/>
      </c>
      <c r="BC47" s="39"/>
      <c r="BD47" s="72" t="str">
        <f t="shared" ref="BD47:BD78" si="47">IF($K47&lt;=$F$15,($AT47+$F$152)*$F$151,"")</f>
        <v/>
      </c>
      <c r="BE47" s="72" t="str">
        <f t="shared" si="29"/>
        <v/>
      </c>
      <c r="BF47" s="39"/>
      <c r="BG47" s="42" t="str">
        <f t="shared" ref="BG47:BG78" si="48">IF($K47&lt;=$F$15,$F$153*AY47,"")</f>
        <v/>
      </c>
      <c r="BH47" s="72" t="str">
        <f t="shared" si="30"/>
        <v/>
      </c>
      <c r="BI47" s="39"/>
      <c r="BJ47" s="40" t="str">
        <f t="shared" si="31"/>
        <v/>
      </c>
      <c r="BK47" s="157" t="str">
        <f t="shared" si="32"/>
        <v/>
      </c>
      <c r="BL47" s="157" t="str">
        <f t="shared" si="14"/>
        <v/>
      </c>
      <c r="BM47" s="72"/>
      <c r="BN47" s="72" t="str">
        <f t="shared" si="33"/>
        <v/>
      </c>
      <c r="BO47" s="72" t="str">
        <f t="shared" si="34"/>
        <v/>
      </c>
      <c r="BP47" s="39"/>
      <c r="BQ47" s="72" t="str">
        <f t="shared" ref="BQ47:BQ78" si="49">IF($K47&lt;=$F$15,$F$134,"")</f>
        <v/>
      </c>
      <c r="BR47" s="72" t="str">
        <f t="shared" si="35"/>
        <v/>
      </c>
    </row>
    <row r="48" spans="3:70" x14ac:dyDescent="0.15">
      <c r="D48" s="81" t="s">
        <v>184</v>
      </c>
      <c r="F48" s="88" t="str">
        <f>まとめ!B5</f>
        <v>WEO2020　STEPS</v>
      </c>
      <c r="I48" s="322">
        <f t="shared" si="36"/>
        <v>2063</v>
      </c>
      <c r="J48" s="71"/>
      <c r="K48" s="71">
        <f t="shared" si="37"/>
        <v>34</v>
      </c>
      <c r="L48" s="71"/>
      <c r="M48" s="7">
        <f t="shared" si="0"/>
        <v>0.36604489974263904</v>
      </c>
      <c r="N48" s="71"/>
      <c r="O48" s="10" t="str">
        <f t="shared" si="16"/>
        <v/>
      </c>
      <c r="P48" s="29" t="str">
        <f t="shared" si="38"/>
        <v/>
      </c>
      <c r="Q48" s="71"/>
      <c r="R48" s="10" t="str">
        <f t="shared" ref="R48:R79" si="50">IF($K48&lt;=$F$15,MAX($F$117*5%,R47*$F$129),"")</f>
        <v/>
      </c>
      <c r="S48" s="71"/>
      <c r="T48" s="10" t="str">
        <f t="shared" si="18"/>
        <v/>
      </c>
      <c r="U48" s="71"/>
      <c r="V48" s="10" t="str">
        <f t="shared" si="39"/>
        <v/>
      </c>
      <c r="W48" s="10" t="str">
        <f t="shared" si="19"/>
        <v/>
      </c>
      <c r="X48" s="71"/>
      <c r="Y48" s="10" t="str">
        <f t="shared" si="40"/>
        <v/>
      </c>
      <c r="Z48" s="10" t="str">
        <f t="shared" si="20"/>
        <v/>
      </c>
      <c r="AA48" s="71"/>
      <c r="AB48" s="10" t="str">
        <f t="shared" si="4"/>
        <v/>
      </c>
      <c r="AC48" s="10" t="str">
        <f t="shared" si="21"/>
        <v/>
      </c>
      <c r="AD48" s="71"/>
      <c r="AE48" s="10" t="str">
        <f t="shared" si="41"/>
        <v/>
      </c>
      <c r="AF48" s="10" t="str">
        <f t="shared" si="22"/>
        <v/>
      </c>
      <c r="AG48" s="71"/>
      <c r="AH48" s="10" t="str">
        <f t="shared" si="42"/>
        <v/>
      </c>
      <c r="AI48" s="10" t="str">
        <f t="shared" si="23"/>
        <v/>
      </c>
      <c r="AJ48" s="71"/>
      <c r="AK48" s="10" t="str">
        <f t="shared" si="24"/>
        <v/>
      </c>
      <c r="AL48" s="10" t="str">
        <f t="shared" si="25"/>
        <v/>
      </c>
      <c r="AM48" s="71"/>
      <c r="AN48" s="10" t="str">
        <f t="shared" si="43"/>
        <v/>
      </c>
      <c r="AO48" s="10" t="str">
        <f t="shared" si="26"/>
        <v/>
      </c>
      <c r="AP48" s="71"/>
      <c r="AQ48" s="10" t="str">
        <f t="shared" si="44"/>
        <v/>
      </c>
      <c r="AR48" s="10" t="str">
        <f t="shared" si="27"/>
        <v/>
      </c>
      <c r="AS48" s="71"/>
      <c r="AT48" s="7" t="str">
        <f>IF($K48&lt;=$F$15,IF($F$40&lt;&gt;"",$F$40/1000,IF(ISERROR(VLOOKUP($F$3&amp;IF($G$4&lt;&gt;"",$G$4,"")&amp;IF($F$43&lt;&gt;"","_"&amp;$F$43,""),'表3）燃料価格'!$AF$9:$AG$25,2,0)),0,VLOOKUP($I48,'表3）燃料価格'!$A$6:$U$66,VLOOKUP($F$3&amp;IF($G$4&lt;&gt;"",$G$4,"")&amp;IF($F$43&lt;&gt;"","_"&amp;$F$43,""),'表3）燃料価格'!$AF$9:$AG$25,2,0)+VLOOKUP($F$41,'表3）燃料価格'!$AF$28:$AG$29,2,0),0)*IF($F$43="需要地価格",1,$F$8/$F$141))),"")</f>
        <v/>
      </c>
      <c r="AU48" s="71"/>
      <c r="AV48" s="10" t="str">
        <f t="shared" si="45"/>
        <v/>
      </c>
      <c r="AW48" s="10" t="str">
        <f t="shared" si="10"/>
        <v/>
      </c>
      <c r="AX48" s="71"/>
      <c r="AY48" s="7" t="str">
        <f>IF(ISERROR(IF($K48&lt;=$F$15,VLOOKUP($I48,'表4）CO2価格'!$A$7:$E$67,VLOOKUP($F$48,'表4）CO2価格'!$H$10:$I$12,2,0),0)*$F$8/1000,"")),0,IF($K48&lt;=$F$15,VLOOKUP($I48,'表4）CO2価格'!$A$7:$E$67,VLOOKUP($F$48,'表4）CO2価格'!$H$10:$I$12,2,0),0)*$F$8/1000,""))</f>
        <v/>
      </c>
      <c r="AZ48" s="71"/>
      <c r="BA48" s="11" t="str">
        <f t="shared" si="46"/>
        <v/>
      </c>
      <c r="BB48" s="10" t="str">
        <f t="shared" si="28"/>
        <v/>
      </c>
      <c r="BC48" s="71"/>
      <c r="BD48" s="10" t="str">
        <f t="shared" si="47"/>
        <v/>
      </c>
      <c r="BE48" s="10" t="str">
        <f t="shared" si="29"/>
        <v/>
      </c>
      <c r="BF48" s="71"/>
      <c r="BG48" s="11" t="str">
        <f t="shared" si="48"/>
        <v/>
      </c>
      <c r="BH48" s="10" t="str">
        <f t="shared" si="30"/>
        <v/>
      </c>
      <c r="BJ48" s="7" t="str">
        <f t="shared" si="31"/>
        <v/>
      </c>
      <c r="BK48" s="158" t="str">
        <f t="shared" si="32"/>
        <v/>
      </c>
      <c r="BL48" s="158" t="str">
        <f t="shared" si="14"/>
        <v/>
      </c>
      <c r="BM48" s="10"/>
      <c r="BN48" s="10" t="str">
        <f t="shared" si="33"/>
        <v/>
      </c>
      <c r="BO48" s="10" t="str">
        <f t="shared" si="34"/>
        <v/>
      </c>
      <c r="BQ48" s="10" t="str">
        <f t="shared" si="49"/>
        <v/>
      </c>
      <c r="BR48" s="10" t="str">
        <f t="shared" si="35"/>
        <v/>
      </c>
    </row>
    <row r="49" spans="3:70" x14ac:dyDescent="0.15">
      <c r="I49" s="38">
        <f t="shared" si="36"/>
        <v>2064</v>
      </c>
      <c r="J49" s="39"/>
      <c r="K49" s="39">
        <f t="shared" si="37"/>
        <v>35</v>
      </c>
      <c r="L49" s="39"/>
      <c r="M49" s="40">
        <f t="shared" si="0"/>
        <v>0.35538339780838735</v>
      </c>
      <c r="N49" s="39"/>
      <c r="O49" s="72" t="str">
        <f t="shared" si="16"/>
        <v/>
      </c>
      <c r="P49" s="41" t="str">
        <f t="shared" si="38"/>
        <v/>
      </c>
      <c r="Q49" s="39"/>
      <c r="R49" s="72" t="str">
        <f t="shared" si="50"/>
        <v/>
      </c>
      <c r="S49" s="39"/>
      <c r="T49" s="72" t="str">
        <f t="shared" si="18"/>
        <v/>
      </c>
      <c r="U49" s="39"/>
      <c r="V49" s="72" t="str">
        <f t="shared" si="39"/>
        <v/>
      </c>
      <c r="W49" s="72" t="str">
        <f t="shared" si="19"/>
        <v/>
      </c>
      <c r="X49" s="39"/>
      <c r="Y49" s="72" t="str">
        <f t="shared" si="40"/>
        <v/>
      </c>
      <c r="Z49" s="72" t="str">
        <f t="shared" si="20"/>
        <v/>
      </c>
      <c r="AA49" s="39"/>
      <c r="AB49" s="72" t="str">
        <f t="shared" si="4"/>
        <v/>
      </c>
      <c r="AC49" s="72" t="str">
        <f t="shared" si="21"/>
        <v/>
      </c>
      <c r="AD49" s="39"/>
      <c r="AE49" s="72" t="str">
        <f t="shared" si="41"/>
        <v/>
      </c>
      <c r="AF49" s="72" t="str">
        <f t="shared" si="22"/>
        <v/>
      </c>
      <c r="AG49" s="39"/>
      <c r="AH49" s="72" t="str">
        <f t="shared" si="42"/>
        <v/>
      </c>
      <c r="AI49" s="72" t="str">
        <f t="shared" si="23"/>
        <v/>
      </c>
      <c r="AJ49" s="39"/>
      <c r="AK49" s="72" t="str">
        <f t="shared" si="24"/>
        <v/>
      </c>
      <c r="AL49" s="72" t="str">
        <f t="shared" si="25"/>
        <v/>
      </c>
      <c r="AM49" s="39"/>
      <c r="AN49" s="72" t="str">
        <f t="shared" si="43"/>
        <v/>
      </c>
      <c r="AO49" s="72" t="str">
        <f t="shared" si="26"/>
        <v/>
      </c>
      <c r="AP49" s="39"/>
      <c r="AQ49" s="72" t="str">
        <f t="shared" si="44"/>
        <v/>
      </c>
      <c r="AR49" s="72" t="str">
        <f t="shared" si="27"/>
        <v/>
      </c>
      <c r="AS49" s="39"/>
      <c r="AT49" s="40" t="str">
        <f>IF($K49&lt;=$F$15,IF($F$40&lt;&gt;"",$F$40/1000,IF(ISERROR(VLOOKUP($F$3&amp;IF($G$4&lt;&gt;"",$G$4,"")&amp;IF($F$43&lt;&gt;"","_"&amp;$F$43,""),'表3）燃料価格'!$AF$9:$AG$25,2,0)),0,VLOOKUP($I49,'表3）燃料価格'!$A$6:$U$66,VLOOKUP($F$3&amp;IF($G$4&lt;&gt;"",$G$4,"")&amp;IF($F$43&lt;&gt;"","_"&amp;$F$43,""),'表3）燃料価格'!$AF$9:$AG$25,2,0)+VLOOKUP($F$41,'表3）燃料価格'!$AF$28:$AG$29,2,0),0)*IF($F$43="需要地価格",1,$F$8/$F$141))),"")</f>
        <v/>
      </c>
      <c r="AU49" s="39"/>
      <c r="AV49" s="72" t="str">
        <f t="shared" si="45"/>
        <v/>
      </c>
      <c r="AW49" s="72" t="str">
        <f t="shared" si="10"/>
        <v/>
      </c>
      <c r="AX49" s="39"/>
      <c r="AY49" s="40" t="str">
        <f>IF(ISERROR(IF($K49&lt;=$F$15,VLOOKUP($I49,'表4）CO2価格'!$A$7:$E$67,VLOOKUP($F$48,'表4）CO2価格'!$H$10:$I$12,2,0),0)*$F$8/1000,"")),0,IF($K49&lt;=$F$15,VLOOKUP($I49,'表4）CO2価格'!$A$7:$E$67,VLOOKUP($F$48,'表4）CO2価格'!$H$10:$I$12,2,0),0)*$F$8/1000,""))</f>
        <v/>
      </c>
      <c r="AZ49" s="39"/>
      <c r="BA49" s="42" t="str">
        <f t="shared" si="46"/>
        <v/>
      </c>
      <c r="BB49" s="72" t="str">
        <f t="shared" si="28"/>
        <v/>
      </c>
      <c r="BC49" s="39"/>
      <c r="BD49" s="72" t="str">
        <f t="shared" si="47"/>
        <v/>
      </c>
      <c r="BE49" s="72" t="str">
        <f t="shared" si="29"/>
        <v/>
      </c>
      <c r="BF49" s="39"/>
      <c r="BG49" s="42" t="str">
        <f t="shared" si="48"/>
        <v/>
      </c>
      <c r="BH49" s="72" t="str">
        <f t="shared" si="30"/>
        <v/>
      </c>
      <c r="BI49" s="39"/>
      <c r="BJ49" s="40" t="str">
        <f t="shared" si="31"/>
        <v/>
      </c>
      <c r="BK49" s="157" t="str">
        <f t="shared" si="32"/>
        <v/>
      </c>
      <c r="BL49" s="157" t="str">
        <f t="shared" si="14"/>
        <v/>
      </c>
      <c r="BM49" s="72"/>
      <c r="BN49" s="72" t="str">
        <f t="shared" si="33"/>
        <v/>
      </c>
      <c r="BO49" s="72" t="str">
        <f t="shared" si="34"/>
        <v/>
      </c>
      <c r="BP49" s="39"/>
      <c r="BQ49" s="72" t="str">
        <f t="shared" si="49"/>
        <v/>
      </c>
      <c r="BR49" s="72" t="str">
        <f t="shared" si="35"/>
        <v/>
      </c>
    </row>
    <row r="50" spans="3:70" x14ac:dyDescent="0.15">
      <c r="C50" s="89" t="s">
        <v>510</v>
      </c>
      <c r="D50" s="101"/>
      <c r="E50" s="101"/>
      <c r="F50" s="89"/>
      <c r="G50" s="101"/>
      <c r="I50" s="322">
        <f t="shared" si="36"/>
        <v>2065</v>
      </c>
      <c r="J50" s="71"/>
      <c r="K50" s="71">
        <f t="shared" si="37"/>
        <v>36</v>
      </c>
      <c r="L50" s="71"/>
      <c r="M50" s="7">
        <f t="shared" si="0"/>
        <v>0.34503242505668674</v>
      </c>
      <c r="N50" s="71"/>
      <c r="O50" s="10" t="str">
        <f t="shared" si="16"/>
        <v/>
      </c>
      <c r="P50" s="29" t="str">
        <f t="shared" si="38"/>
        <v/>
      </c>
      <c r="Q50" s="71"/>
      <c r="R50" s="10" t="str">
        <f t="shared" si="50"/>
        <v/>
      </c>
      <c r="S50" s="71"/>
      <c r="T50" s="10" t="str">
        <f t="shared" si="18"/>
        <v/>
      </c>
      <c r="U50" s="71"/>
      <c r="V50" s="10" t="str">
        <f t="shared" si="39"/>
        <v/>
      </c>
      <c r="W50" s="10" t="str">
        <f t="shared" si="19"/>
        <v/>
      </c>
      <c r="X50" s="71"/>
      <c r="Y50" s="10" t="str">
        <f t="shared" si="40"/>
        <v/>
      </c>
      <c r="Z50" s="10" t="str">
        <f t="shared" si="20"/>
        <v/>
      </c>
      <c r="AA50" s="71"/>
      <c r="AB50" s="10" t="str">
        <f t="shared" si="4"/>
        <v/>
      </c>
      <c r="AC50" s="10" t="str">
        <f t="shared" si="21"/>
        <v/>
      </c>
      <c r="AD50" s="71"/>
      <c r="AE50" s="10" t="str">
        <f t="shared" si="41"/>
        <v/>
      </c>
      <c r="AF50" s="10" t="str">
        <f t="shared" si="22"/>
        <v/>
      </c>
      <c r="AG50" s="71"/>
      <c r="AH50" s="10" t="str">
        <f t="shared" si="42"/>
        <v/>
      </c>
      <c r="AI50" s="10" t="str">
        <f t="shared" si="23"/>
        <v/>
      </c>
      <c r="AJ50" s="71"/>
      <c r="AK50" s="10" t="str">
        <f t="shared" si="24"/>
        <v/>
      </c>
      <c r="AL50" s="10" t="str">
        <f t="shared" si="25"/>
        <v/>
      </c>
      <c r="AM50" s="71"/>
      <c r="AN50" s="10" t="str">
        <f t="shared" si="43"/>
        <v/>
      </c>
      <c r="AO50" s="10" t="str">
        <f t="shared" si="26"/>
        <v/>
      </c>
      <c r="AP50" s="71"/>
      <c r="AQ50" s="10" t="str">
        <f t="shared" si="44"/>
        <v/>
      </c>
      <c r="AR50" s="10" t="str">
        <f t="shared" si="27"/>
        <v/>
      </c>
      <c r="AS50" s="71"/>
      <c r="AT50" s="7" t="str">
        <f>IF($K50&lt;=$F$15,IF($F$40&lt;&gt;"",$F$40/1000,IF(ISERROR(VLOOKUP($F$3&amp;IF($G$4&lt;&gt;"",$G$4,"")&amp;IF($F$43&lt;&gt;"","_"&amp;$F$43,""),'表3）燃料価格'!$AF$9:$AG$25,2,0)),0,VLOOKUP($I50,'表3）燃料価格'!$A$6:$U$66,VLOOKUP($F$3&amp;IF($G$4&lt;&gt;"",$G$4,"")&amp;IF($F$43&lt;&gt;"","_"&amp;$F$43,""),'表3）燃料価格'!$AF$9:$AG$25,2,0)+VLOOKUP($F$41,'表3）燃料価格'!$AF$28:$AG$29,2,0),0)*IF($F$43="需要地価格",1,$F$8/$F$141))),"")</f>
        <v/>
      </c>
      <c r="AU50" s="71"/>
      <c r="AV50" s="10" t="str">
        <f t="shared" si="45"/>
        <v/>
      </c>
      <c r="AW50" s="10" t="str">
        <f t="shared" si="10"/>
        <v/>
      </c>
      <c r="AX50" s="71"/>
      <c r="AY50" s="7" t="str">
        <f>IF(ISERROR(IF($K50&lt;=$F$15,VLOOKUP($I50,'表4）CO2価格'!$A$7:$E$67,VLOOKUP($F$48,'表4）CO2価格'!$H$10:$I$12,2,0),0)*$F$8/1000,"")),0,IF($K50&lt;=$F$15,VLOOKUP($I50,'表4）CO2価格'!$A$7:$E$67,VLOOKUP($F$48,'表4）CO2価格'!$H$10:$I$12,2,0),0)*$F$8/1000,""))</f>
        <v/>
      </c>
      <c r="AZ50" s="71"/>
      <c r="BA50" s="11" t="str">
        <f t="shared" si="46"/>
        <v/>
      </c>
      <c r="BB50" s="10" t="str">
        <f t="shared" si="28"/>
        <v/>
      </c>
      <c r="BC50" s="71"/>
      <c r="BD50" s="10" t="str">
        <f t="shared" si="47"/>
        <v/>
      </c>
      <c r="BE50" s="10" t="str">
        <f t="shared" si="29"/>
        <v/>
      </c>
      <c r="BF50" s="71"/>
      <c r="BG50" s="11" t="str">
        <f t="shared" si="48"/>
        <v/>
      </c>
      <c r="BH50" s="10" t="str">
        <f t="shared" si="30"/>
        <v/>
      </c>
      <c r="BJ50" s="7" t="str">
        <f t="shared" si="31"/>
        <v/>
      </c>
      <c r="BK50" s="158" t="str">
        <f t="shared" si="32"/>
        <v/>
      </c>
      <c r="BL50" s="158" t="str">
        <f t="shared" si="14"/>
        <v/>
      </c>
      <c r="BM50" s="10"/>
      <c r="BN50" s="10" t="str">
        <f t="shared" si="33"/>
        <v/>
      </c>
      <c r="BO50" s="10" t="str">
        <f t="shared" si="34"/>
        <v/>
      </c>
      <c r="BQ50" s="10" t="str">
        <f t="shared" si="49"/>
        <v/>
      </c>
      <c r="BR50" s="10" t="str">
        <f t="shared" si="35"/>
        <v/>
      </c>
    </row>
    <row r="51" spans="3:70" x14ac:dyDescent="0.15">
      <c r="I51" s="38">
        <f t="shared" si="36"/>
        <v>2066</v>
      </c>
      <c r="J51" s="39"/>
      <c r="K51" s="39">
        <f t="shared" si="37"/>
        <v>37</v>
      </c>
      <c r="L51" s="39"/>
      <c r="M51" s="40">
        <f t="shared" si="0"/>
        <v>0.33498293694823961</v>
      </c>
      <c r="N51" s="39"/>
      <c r="O51" s="72" t="str">
        <f t="shared" si="16"/>
        <v/>
      </c>
      <c r="P51" s="41" t="str">
        <f t="shared" si="38"/>
        <v/>
      </c>
      <c r="Q51" s="39"/>
      <c r="R51" s="72" t="str">
        <f t="shared" si="50"/>
        <v/>
      </c>
      <c r="S51" s="39"/>
      <c r="T51" s="72" t="str">
        <f t="shared" si="18"/>
        <v/>
      </c>
      <c r="U51" s="39"/>
      <c r="V51" s="72" t="str">
        <f t="shared" si="39"/>
        <v/>
      </c>
      <c r="W51" s="72" t="str">
        <f t="shared" si="19"/>
        <v/>
      </c>
      <c r="X51" s="39"/>
      <c r="Y51" s="72" t="str">
        <f t="shared" si="40"/>
        <v/>
      </c>
      <c r="Z51" s="72" t="str">
        <f t="shared" si="20"/>
        <v/>
      </c>
      <c r="AA51" s="39"/>
      <c r="AB51" s="72" t="str">
        <f t="shared" si="4"/>
        <v/>
      </c>
      <c r="AC51" s="72" t="str">
        <f t="shared" si="21"/>
        <v/>
      </c>
      <c r="AD51" s="39"/>
      <c r="AE51" s="72" t="str">
        <f t="shared" si="41"/>
        <v/>
      </c>
      <c r="AF51" s="72" t="str">
        <f t="shared" si="22"/>
        <v/>
      </c>
      <c r="AG51" s="39"/>
      <c r="AH51" s="72" t="str">
        <f t="shared" si="42"/>
        <v/>
      </c>
      <c r="AI51" s="72" t="str">
        <f t="shared" si="23"/>
        <v/>
      </c>
      <c r="AJ51" s="39"/>
      <c r="AK51" s="72" t="str">
        <f t="shared" si="24"/>
        <v/>
      </c>
      <c r="AL51" s="72" t="str">
        <f t="shared" si="25"/>
        <v/>
      </c>
      <c r="AM51" s="39"/>
      <c r="AN51" s="72" t="str">
        <f t="shared" si="43"/>
        <v/>
      </c>
      <c r="AO51" s="72" t="str">
        <f t="shared" si="26"/>
        <v/>
      </c>
      <c r="AP51" s="39"/>
      <c r="AQ51" s="72" t="str">
        <f t="shared" si="44"/>
        <v/>
      </c>
      <c r="AR51" s="72" t="str">
        <f t="shared" si="27"/>
        <v/>
      </c>
      <c r="AS51" s="39"/>
      <c r="AT51" s="40" t="str">
        <f>IF($K51&lt;=$F$15,IF($F$40&lt;&gt;"",$F$40/1000,IF(ISERROR(VLOOKUP($F$3&amp;IF($G$4&lt;&gt;"",$G$4,"")&amp;IF($F$43&lt;&gt;"","_"&amp;$F$43,""),'表3）燃料価格'!$AF$9:$AG$25,2,0)),0,VLOOKUP($I51,'表3）燃料価格'!$A$6:$U$66,VLOOKUP($F$3&amp;IF($G$4&lt;&gt;"",$G$4,"")&amp;IF($F$43&lt;&gt;"","_"&amp;$F$43,""),'表3）燃料価格'!$AF$9:$AG$25,2,0)+VLOOKUP($F$41,'表3）燃料価格'!$AF$28:$AG$29,2,0),0)*IF($F$43="需要地価格",1,$F$8/$F$141))),"")</f>
        <v/>
      </c>
      <c r="AU51" s="39"/>
      <c r="AV51" s="72" t="str">
        <f t="shared" si="45"/>
        <v/>
      </c>
      <c r="AW51" s="72" t="str">
        <f t="shared" si="10"/>
        <v/>
      </c>
      <c r="AX51" s="39"/>
      <c r="AY51" s="40" t="str">
        <f>IF(ISERROR(IF($K51&lt;=$F$15,VLOOKUP($I51,'表4）CO2価格'!$A$7:$E$67,VLOOKUP($F$48,'表4）CO2価格'!$H$10:$I$12,2,0),0)*$F$8/1000,"")),0,IF($K51&lt;=$F$15,VLOOKUP($I51,'表4）CO2価格'!$A$7:$E$67,VLOOKUP($F$48,'表4）CO2価格'!$H$10:$I$12,2,0),0)*$F$8/1000,""))</f>
        <v/>
      </c>
      <c r="AZ51" s="39"/>
      <c r="BA51" s="42" t="str">
        <f t="shared" si="46"/>
        <v/>
      </c>
      <c r="BB51" s="72" t="str">
        <f t="shared" si="28"/>
        <v/>
      </c>
      <c r="BC51" s="39"/>
      <c r="BD51" s="72" t="str">
        <f t="shared" si="47"/>
        <v/>
      </c>
      <c r="BE51" s="72" t="str">
        <f t="shared" si="29"/>
        <v/>
      </c>
      <c r="BF51" s="39"/>
      <c r="BG51" s="42" t="str">
        <f t="shared" si="48"/>
        <v/>
      </c>
      <c r="BH51" s="72" t="str">
        <f t="shared" si="30"/>
        <v/>
      </c>
      <c r="BI51" s="39"/>
      <c r="BJ51" s="40" t="str">
        <f t="shared" si="31"/>
        <v/>
      </c>
      <c r="BK51" s="157" t="str">
        <f t="shared" si="32"/>
        <v/>
      </c>
      <c r="BL51" s="157" t="str">
        <f t="shared" si="14"/>
        <v/>
      </c>
      <c r="BM51" s="72"/>
      <c r="BN51" s="72" t="str">
        <f t="shared" si="33"/>
        <v/>
      </c>
      <c r="BO51" s="72" t="str">
        <f t="shared" si="34"/>
        <v/>
      </c>
      <c r="BP51" s="39"/>
      <c r="BQ51" s="72" t="str">
        <f t="shared" si="49"/>
        <v/>
      </c>
      <c r="BR51" s="72" t="str">
        <f t="shared" si="35"/>
        <v/>
      </c>
    </row>
    <row r="52" spans="3:70" x14ac:dyDescent="0.15">
      <c r="D52" s="81" t="s">
        <v>185</v>
      </c>
      <c r="F52" s="67">
        <v>30.4</v>
      </c>
      <c r="G52" s="81" t="s">
        <v>172</v>
      </c>
      <c r="I52" s="322">
        <f t="shared" si="36"/>
        <v>2067</v>
      </c>
      <c r="J52" s="71"/>
      <c r="K52" s="71">
        <f t="shared" si="37"/>
        <v>38</v>
      </c>
      <c r="L52" s="71"/>
      <c r="M52" s="7">
        <f t="shared" si="0"/>
        <v>0.3252261523769317</v>
      </c>
      <c r="N52" s="71"/>
      <c r="O52" s="10" t="str">
        <f t="shared" si="16"/>
        <v/>
      </c>
      <c r="P52" s="29" t="str">
        <f t="shared" si="38"/>
        <v/>
      </c>
      <c r="Q52" s="71"/>
      <c r="R52" s="10" t="str">
        <f t="shared" si="50"/>
        <v/>
      </c>
      <c r="S52" s="71"/>
      <c r="T52" s="10" t="str">
        <f t="shared" si="18"/>
        <v/>
      </c>
      <c r="U52" s="71"/>
      <c r="V52" s="10" t="str">
        <f t="shared" si="39"/>
        <v/>
      </c>
      <c r="W52" s="10" t="str">
        <f t="shared" si="19"/>
        <v/>
      </c>
      <c r="X52" s="71"/>
      <c r="Y52" s="10" t="str">
        <f t="shared" si="40"/>
        <v/>
      </c>
      <c r="Z52" s="10" t="str">
        <f t="shared" si="20"/>
        <v/>
      </c>
      <c r="AA52" s="71"/>
      <c r="AB52" s="10" t="str">
        <f t="shared" si="4"/>
        <v/>
      </c>
      <c r="AC52" s="10" t="str">
        <f t="shared" si="21"/>
        <v/>
      </c>
      <c r="AD52" s="71"/>
      <c r="AE52" s="10" t="str">
        <f t="shared" si="41"/>
        <v/>
      </c>
      <c r="AF52" s="10" t="str">
        <f t="shared" si="22"/>
        <v/>
      </c>
      <c r="AG52" s="71"/>
      <c r="AH52" s="10" t="str">
        <f t="shared" si="42"/>
        <v/>
      </c>
      <c r="AI52" s="10" t="str">
        <f t="shared" si="23"/>
        <v/>
      </c>
      <c r="AJ52" s="71"/>
      <c r="AK52" s="10" t="str">
        <f t="shared" si="24"/>
        <v/>
      </c>
      <c r="AL52" s="10" t="str">
        <f t="shared" si="25"/>
        <v/>
      </c>
      <c r="AM52" s="71"/>
      <c r="AN52" s="10" t="str">
        <f t="shared" si="43"/>
        <v/>
      </c>
      <c r="AO52" s="10" t="str">
        <f t="shared" si="26"/>
        <v/>
      </c>
      <c r="AP52" s="71"/>
      <c r="AQ52" s="10" t="str">
        <f t="shared" si="44"/>
        <v/>
      </c>
      <c r="AR52" s="10" t="str">
        <f t="shared" si="27"/>
        <v/>
      </c>
      <c r="AS52" s="71"/>
      <c r="AT52" s="7" t="str">
        <f>IF($K52&lt;=$F$15,IF($F$40&lt;&gt;"",$F$40/1000,IF(ISERROR(VLOOKUP($F$3&amp;IF($G$4&lt;&gt;"",$G$4,"")&amp;IF($F$43&lt;&gt;"","_"&amp;$F$43,""),'表3）燃料価格'!$AF$9:$AG$25,2,0)),0,VLOOKUP($I52,'表3）燃料価格'!$A$6:$U$66,VLOOKUP($F$3&amp;IF($G$4&lt;&gt;"",$G$4,"")&amp;IF($F$43&lt;&gt;"","_"&amp;$F$43,""),'表3）燃料価格'!$AF$9:$AG$25,2,0)+VLOOKUP($F$41,'表3）燃料価格'!$AF$28:$AG$29,2,0),0)*IF($F$43="需要地価格",1,$F$8/$F$141))),"")</f>
        <v/>
      </c>
      <c r="AU52" s="71"/>
      <c r="AV52" s="10" t="str">
        <f t="shared" si="45"/>
        <v/>
      </c>
      <c r="AW52" s="10" t="str">
        <f t="shared" si="10"/>
        <v/>
      </c>
      <c r="AX52" s="71"/>
      <c r="AY52" s="7" t="str">
        <f>IF(ISERROR(IF($K52&lt;=$F$15,VLOOKUP($I52,'表4）CO2価格'!$A$7:$E$67,VLOOKUP($F$48,'表4）CO2価格'!$H$10:$I$12,2,0),0)*$F$8/1000,"")),0,IF($K52&lt;=$F$15,VLOOKUP($I52,'表4）CO2価格'!$A$7:$E$67,VLOOKUP($F$48,'表4）CO2価格'!$H$10:$I$12,2,0),0)*$F$8/1000,""))</f>
        <v/>
      </c>
      <c r="AZ52" s="71"/>
      <c r="BA52" s="11" t="str">
        <f t="shared" si="46"/>
        <v/>
      </c>
      <c r="BB52" s="10" t="str">
        <f t="shared" si="28"/>
        <v/>
      </c>
      <c r="BC52" s="71"/>
      <c r="BD52" s="10" t="str">
        <f t="shared" si="47"/>
        <v/>
      </c>
      <c r="BE52" s="10" t="str">
        <f t="shared" si="29"/>
        <v/>
      </c>
      <c r="BF52" s="71"/>
      <c r="BG52" s="11" t="str">
        <f t="shared" si="48"/>
        <v/>
      </c>
      <c r="BH52" s="10" t="str">
        <f t="shared" si="30"/>
        <v/>
      </c>
      <c r="BJ52" s="7" t="str">
        <f t="shared" si="31"/>
        <v/>
      </c>
      <c r="BK52" s="158" t="str">
        <f t="shared" si="32"/>
        <v/>
      </c>
      <c r="BL52" s="158" t="str">
        <f t="shared" si="14"/>
        <v/>
      </c>
      <c r="BM52" s="10"/>
      <c r="BN52" s="10" t="str">
        <f t="shared" si="33"/>
        <v/>
      </c>
      <c r="BO52" s="10" t="str">
        <f t="shared" si="34"/>
        <v/>
      </c>
      <c r="BQ52" s="10" t="str">
        <f t="shared" si="49"/>
        <v/>
      </c>
      <c r="BR52" s="10" t="str">
        <f t="shared" si="35"/>
        <v/>
      </c>
    </row>
    <row r="53" spans="3:70" x14ac:dyDescent="0.15">
      <c r="D53" s="81" t="s">
        <v>186</v>
      </c>
      <c r="F53" s="66">
        <v>100</v>
      </c>
      <c r="G53" s="81" t="s">
        <v>172</v>
      </c>
      <c r="I53" s="38">
        <f t="shared" si="36"/>
        <v>2068</v>
      </c>
      <c r="J53" s="39"/>
      <c r="K53" s="39">
        <f t="shared" si="37"/>
        <v>39</v>
      </c>
      <c r="L53" s="39"/>
      <c r="M53" s="40">
        <f t="shared" si="0"/>
        <v>0.31575354599702099</v>
      </c>
      <c r="N53" s="39"/>
      <c r="O53" s="72" t="str">
        <f t="shared" si="16"/>
        <v/>
      </c>
      <c r="P53" s="41" t="str">
        <f t="shared" si="38"/>
        <v/>
      </c>
      <c r="Q53" s="39"/>
      <c r="R53" s="72" t="str">
        <f t="shared" si="50"/>
        <v/>
      </c>
      <c r="S53" s="39"/>
      <c r="T53" s="72" t="str">
        <f t="shared" si="18"/>
        <v/>
      </c>
      <c r="U53" s="39"/>
      <c r="V53" s="72" t="str">
        <f t="shared" si="39"/>
        <v/>
      </c>
      <c r="W53" s="72" t="str">
        <f t="shared" si="19"/>
        <v/>
      </c>
      <c r="X53" s="39"/>
      <c r="Y53" s="72" t="str">
        <f t="shared" si="40"/>
        <v/>
      </c>
      <c r="Z53" s="72" t="str">
        <f t="shared" si="20"/>
        <v/>
      </c>
      <c r="AA53" s="39"/>
      <c r="AB53" s="72" t="str">
        <f t="shared" si="4"/>
        <v/>
      </c>
      <c r="AC53" s="72" t="str">
        <f t="shared" si="21"/>
        <v/>
      </c>
      <c r="AD53" s="39"/>
      <c r="AE53" s="72" t="str">
        <f t="shared" si="41"/>
        <v/>
      </c>
      <c r="AF53" s="72" t="str">
        <f t="shared" si="22"/>
        <v/>
      </c>
      <c r="AG53" s="39"/>
      <c r="AH53" s="72" t="str">
        <f t="shared" si="42"/>
        <v/>
      </c>
      <c r="AI53" s="72" t="str">
        <f t="shared" si="23"/>
        <v/>
      </c>
      <c r="AJ53" s="39"/>
      <c r="AK53" s="72" t="str">
        <f t="shared" si="24"/>
        <v/>
      </c>
      <c r="AL53" s="72" t="str">
        <f t="shared" si="25"/>
        <v/>
      </c>
      <c r="AM53" s="39"/>
      <c r="AN53" s="72" t="str">
        <f t="shared" si="43"/>
        <v/>
      </c>
      <c r="AO53" s="72" t="str">
        <f t="shared" si="26"/>
        <v/>
      </c>
      <c r="AP53" s="39"/>
      <c r="AQ53" s="72" t="str">
        <f t="shared" si="44"/>
        <v/>
      </c>
      <c r="AR53" s="72" t="str">
        <f t="shared" si="27"/>
        <v/>
      </c>
      <c r="AS53" s="39"/>
      <c r="AT53" s="40" t="str">
        <f>IF($K53&lt;=$F$15,IF($F$40&lt;&gt;"",$F$40/1000,IF(ISERROR(VLOOKUP($F$3&amp;IF($G$4&lt;&gt;"",$G$4,"")&amp;IF($F$43&lt;&gt;"","_"&amp;$F$43,""),'表3）燃料価格'!$AF$9:$AG$25,2,0)),0,VLOOKUP($I53,'表3）燃料価格'!$A$6:$U$66,VLOOKUP($F$3&amp;IF($G$4&lt;&gt;"",$G$4,"")&amp;IF($F$43&lt;&gt;"","_"&amp;$F$43,""),'表3）燃料価格'!$AF$9:$AG$25,2,0)+VLOOKUP($F$41,'表3）燃料価格'!$AF$28:$AG$29,2,0),0)*IF($F$43="需要地価格",1,$F$8/$F$141))),"")</f>
        <v/>
      </c>
      <c r="AU53" s="39"/>
      <c r="AV53" s="72" t="str">
        <f t="shared" si="45"/>
        <v/>
      </c>
      <c r="AW53" s="72" t="str">
        <f t="shared" si="10"/>
        <v/>
      </c>
      <c r="AX53" s="39"/>
      <c r="AY53" s="40" t="str">
        <f>IF(ISERROR(IF($K53&lt;=$F$15,VLOOKUP($I53,'表4）CO2価格'!$A$7:$E$67,VLOOKUP($F$48,'表4）CO2価格'!$H$10:$I$12,2,0),0)*$F$8/1000,"")),0,IF($K53&lt;=$F$15,VLOOKUP($I53,'表4）CO2価格'!$A$7:$E$67,VLOOKUP($F$48,'表4）CO2価格'!$H$10:$I$12,2,0),0)*$F$8/1000,""))</f>
        <v/>
      </c>
      <c r="AZ53" s="39"/>
      <c r="BA53" s="42" t="str">
        <f t="shared" si="46"/>
        <v/>
      </c>
      <c r="BB53" s="72" t="str">
        <f t="shared" si="28"/>
        <v/>
      </c>
      <c r="BC53" s="39"/>
      <c r="BD53" s="72" t="str">
        <f t="shared" si="47"/>
        <v/>
      </c>
      <c r="BE53" s="72" t="str">
        <f t="shared" si="29"/>
        <v/>
      </c>
      <c r="BF53" s="39"/>
      <c r="BG53" s="42" t="str">
        <f t="shared" si="48"/>
        <v/>
      </c>
      <c r="BH53" s="72" t="str">
        <f t="shared" si="30"/>
        <v/>
      </c>
      <c r="BI53" s="39"/>
      <c r="BJ53" s="40" t="str">
        <f t="shared" si="31"/>
        <v/>
      </c>
      <c r="BK53" s="157" t="str">
        <f t="shared" si="32"/>
        <v/>
      </c>
      <c r="BL53" s="157" t="str">
        <f t="shared" si="14"/>
        <v/>
      </c>
      <c r="BM53" s="72"/>
      <c r="BN53" s="72" t="str">
        <f t="shared" si="33"/>
        <v/>
      </c>
      <c r="BO53" s="72" t="str">
        <f t="shared" si="34"/>
        <v/>
      </c>
      <c r="BP53" s="39"/>
      <c r="BQ53" s="72" t="str">
        <f t="shared" si="49"/>
        <v/>
      </c>
      <c r="BR53" s="72" t="str">
        <f t="shared" si="35"/>
        <v/>
      </c>
    </row>
    <row r="54" spans="3:70" x14ac:dyDescent="0.15">
      <c r="D54" s="81" t="s">
        <v>187</v>
      </c>
      <c r="F54" s="67">
        <v>80</v>
      </c>
      <c r="G54" s="81" t="s">
        <v>172</v>
      </c>
      <c r="I54" s="322">
        <f t="shared" si="36"/>
        <v>2069</v>
      </c>
      <c r="J54" s="71"/>
      <c r="K54" s="71">
        <f t="shared" si="37"/>
        <v>40</v>
      </c>
      <c r="L54" s="71"/>
      <c r="M54" s="7">
        <f t="shared" si="0"/>
        <v>0.30655684077380685</v>
      </c>
      <c r="N54" s="71"/>
      <c r="O54" s="10" t="str">
        <f t="shared" si="16"/>
        <v/>
      </c>
      <c r="P54" s="29" t="str">
        <f t="shared" si="38"/>
        <v/>
      </c>
      <c r="Q54" s="71"/>
      <c r="R54" s="10" t="str">
        <f t="shared" si="50"/>
        <v/>
      </c>
      <c r="S54" s="71"/>
      <c r="T54" s="10" t="str">
        <f t="shared" si="18"/>
        <v/>
      </c>
      <c r="U54" s="71"/>
      <c r="V54" s="10" t="str">
        <f t="shared" si="39"/>
        <v/>
      </c>
      <c r="W54" s="10" t="str">
        <f t="shared" si="19"/>
        <v/>
      </c>
      <c r="X54" s="71"/>
      <c r="Y54" s="10" t="str">
        <f t="shared" si="40"/>
        <v/>
      </c>
      <c r="Z54" s="10" t="str">
        <f t="shared" si="20"/>
        <v/>
      </c>
      <c r="AA54" s="71"/>
      <c r="AB54" s="10" t="str">
        <f t="shared" si="4"/>
        <v/>
      </c>
      <c r="AC54" s="10" t="str">
        <f t="shared" si="21"/>
        <v/>
      </c>
      <c r="AD54" s="71"/>
      <c r="AE54" s="10" t="str">
        <f t="shared" si="41"/>
        <v/>
      </c>
      <c r="AF54" s="10" t="str">
        <f t="shared" si="22"/>
        <v/>
      </c>
      <c r="AG54" s="71"/>
      <c r="AH54" s="10" t="str">
        <f t="shared" si="42"/>
        <v/>
      </c>
      <c r="AI54" s="10" t="str">
        <f t="shared" si="23"/>
        <v/>
      </c>
      <c r="AJ54" s="71"/>
      <c r="AK54" s="10" t="str">
        <f t="shared" si="24"/>
        <v/>
      </c>
      <c r="AL54" s="10" t="str">
        <f t="shared" si="25"/>
        <v/>
      </c>
      <c r="AM54" s="71"/>
      <c r="AN54" s="10" t="str">
        <f t="shared" si="43"/>
        <v/>
      </c>
      <c r="AO54" s="10" t="str">
        <f t="shared" si="26"/>
        <v/>
      </c>
      <c r="AP54" s="71"/>
      <c r="AQ54" s="10" t="str">
        <f t="shared" si="44"/>
        <v/>
      </c>
      <c r="AR54" s="10" t="str">
        <f t="shared" si="27"/>
        <v/>
      </c>
      <c r="AS54" s="71"/>
      <c r="AT54" s="7" t="str">
        <f>IF($K54&lt;=$F$15,IF($F$40&lt;&gt;"",$F$40/1000,IF(ISERROR(VLOOKUP($F$3&amp;IF($G$4&lt;&gt;"",$G$4,"")&amp;IF($F$43&lt;&gt;"","_"&amp;$F$43,""),'表3）燃料価格'!$AF$9:$AG$25,2,0)),0,VLOOKUP($I54,'表3）燃料価格'!$A$6:$U$66,VLOOKUP($F$3&amp;IF($G$4&lt;&gt;"",$G$4,"")&amp;IF($F$43&lt;&gt;"","_"&amp;$F$43,""),'表3）燃料価格'!$AF$9:$AG$25,2,0)+VLOOKUP($F$41,'表3）燃料価格'!$AF$28:$AG$29,2,0),0)*IF($F$43="需要地価格",1,$F$8/$F$141))),"")</f>
        <v/>
      </c>
      <c r="AU54" s="71"/>
      <c r="AV54" s="10" t="str">
        <f t="shared" si="45"/>
        <v/>
      </c>
      <c r="AW54" s="10" t="str">
        <f t="shared" si="10"/>
        <v/>
      </c>
      <c r="AX54" s="71"/>
      <c r="AY54" s="7" t="str">
        <f>IF(ISERROR(IF($K54&lt;=$F$15,VLOOKUP($I54,'表4）CO2価格'!$A$7:$E$67,VLOOKUP($F$48,'表4）CO2価格'!$H$10:$I$12,2,0),0)*$F$8/1000,"")),0,IF($K54&lt;=$F$15,VLOOKUP($I54,'表4）CO2価格'!$A$7:$E$67,VLOOKUP($F$48,'表4）CO2価格'!$H$10:$I$12,2,0),0)*$F$8/1000,""))</f>
        <v/>
      </c>
      <c r="AZ54" s="71"/>
      <c r="BA54" s="11" t="str">
        <f t="shared" si="46"/>
        <v/>
      </c>
      <c r="BB54" s="10" t="str">
        <f t="shared" si="28"/>
        <v/>
      </c>
      <c r="BC54" s="71"/>
      <c r="BD54" s="10" t="str">
        <f t="shared" si="47"/>
        <v/>
      </c>
      <c r="BE54" s="10" t="str">
        <f t="shared" si="29"/>
        <v/>
      </c>
      <c r="BF54" s="71"/>
      <c r="BG54" s="11" t="str">
        <f t="shared" si="48"/>
        <v/>
      </c>
      <c r="BH54" s="10" t="str">
        <f t="shared" si="30"/>
        <v/>
      </c>
      <c r="BJ54" s="7" t="str">
        <f t="shared" si="31"/>
        <v/>
      </c>
      <c r="BK54" s="158" t="str">
        <f t="shared" si="32"/>
        <v/>
      </c>
      <c r="BL54" s="158" t="str">
        <f t="shared" si="14"/>
        <v/>
      </c>
      <c r="BM54" s="10"/>
      <c r="BN54" s="10" t="str">
        <f t="shared" si="33"/>
        <v/>
      </c>
      <c r="BO54" s="10" t="str">
        <f t="shared" si="34"/>
        <v/>
      </c>
      <c r="BQ54" s="10" t="str">
        <f t="shared" si="49"/>
        <v/>
      </c>
      <c r="BR54" s="10" t="str">
        <f t="shared" si="35"/>
        <v/>
      </c>
    </row>
    <row r="55" spans="3:70" ht="16.5" x14ac:dyDescent="0.15">
      <c r="D55" s="81" t="s">
        <v>188</v>
      </c>
      <c r="F55" s="148">
        <f>IF($F$43="需要地価格",45,54.7)</f>
        <v>54.7</v>
      </c>
      <c r="G55" s="9" t="s">
        <v>372</v>
      </c>
      <c r="I55" s="38">
        <f>I54+1</f>
        <v>2070</v>
      </c>
      <c r="J55" s="39"/>
      <c r="K55" s="39">
        <f>IF(I55&lt;&gt;"",K54+1,"")</f>
        <v>41</v>
      </c>
      <c r="L55" s="39"/>
      <c r="M55" s="40">
        <f t="shared" si="0"/>
        <v>0.29762800075126877</v>
      </c>
      <c r="N55" s="39"/>
      <c r="O55" s="72" t="str">
        <f t="shared" si="16"/>
        <v/>
      </c>
      <c r="P55" s="41" t="str">
        <f t="shared" si="38"/>
        <v/>
      </c>
      <c r="Q55" s="39"/>
      <c r="R55" s="72" t="str">
        <f t="shared" si="50"/>
        <v/>
      </c>
      <c r="S55" s="39"/>
      <c r="T55" s="72" t="str">
        <f t="shared" si="18"/>
        <v/>
      </c>
      <c r="U55" s="39"/>
      <c r="V55" s="72" t="str">
        <f t="shared" si="39"/>
        <v/>
      </c>
      <c r="W55" s="72" t="str">
        <f t="shared" si="19"/>
        <v/>
      </c>
      <c r="X55" s="39"/>
      <c r="Y55" s="72" t="str">
        <f t="shared" si="40"/>
        <v/>
      </c>
      <c r="Z55" s="72" t="str">
        <f t="shared" si="20"/>
        <v/>
      </c>
      <c r="AA55" s="39"/>
      <c r="AB55" s="72" t="str">
        <f t="shared" si="4"/>
        <v/>
      </c>
      <c r="AC55" s="72" t="str">
        <f t="shared" si="21"/>
        <v/>
      </c>
      <c r="AD55" s="39"/>
      <c r="AE55" s="72" t="str">
        <f t="shared" si="41"/>
        <v/>
      </c>
      <c r="AF55" s="72" t="str">
        <f t="shared" si="22"/>
        <v/>
      </c>
      <c r="AG55" s="39"/>
      <c r="AH55" s="72" t="str">
        <f t="shared" si="42"/>
        <v/>
      </c>
      <c r="AI55" s="72" t="str">
        <f t="shared" si="23"/>
        <v/>
      </c>
      <c r="AJ55" s="39"/>
      <c r="AK55" s="72" t="str">
        <f t="shared" si="24"/>
        <v/>
      </c>
      <c r="AL55" s="72" t="str">
        <f t="shared" si="25"/>
        <v/>
      </c>
      <c r="AM55" s="39"/>
      <c r="AN55" s="72" t="str">
        <f t="shared" si="43"/>
        <v/>
      </c>
      <c r="AO55" s="72" t="str">
        <f t="shared" si="26"/>
        <v/>
      </c>
      <c r="AP55" s="39"/>
      <c r="AQ55" s="72" t="str">
        <f t="shared" si="44"/>
        <v/>
      </c>
      <c r="AR55" s="72" t="str">
        <f t="shared" si="27"/>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45"/>
        <v/>
      </c>
      <c r="AW55" s="72" t="str">
        <f t="shared" si="10"/>
        <v/>
      </c>
      <c r="AX55" s="39"/>
      <c r="AY55" s="40" t="str">
        <f>IF(ISERROR(IF($K55&lt;=$F$15,VLOOKUP($I55,'表4）CO2価格'!$A$7:$E$67,VLOOKUP($F$48,'表4）CO2価格'!$H$10:$I$12,2,0),0)*$F$8/1000,"")),0,IF($K55&lt;=$F$15,VLOOKUP($I55,'表4）CO2価格'!$A$7:$E$67,VLOOKUP($F$48,'表4）CO2価格'!$H$10:$I$12,2,0),0)*$F$8/1000,""))</f>
        <v/>
      </c>
      <c r="AZ55" s="39"/>
      <c r="BA55" s="42" t="str">
        <f t="shared" si="46"/>
        <v/>
      </c>
      <c r="BB55" s="72" t="str">
        <f t="shared" si="28"/>
        <v/>
      </c>
      <c r="BC55" s="39"/>
      <c r="BD55" s="72" t="str">
        <f t="shared" si="47"/>
        <v/>
      </c>
      <c r="BE55" s="72" t="str">
        <f t="shared" si="29"/>
        <v/>
      </c>
      <c r="BF55" s="39"/>
      <c r="BG55" s="42" t="str">
        <f t="shared" si="48"/>
        <v/>
      </c>
      <c r="BH55" s="72" t="str">
        <f t="shared" si="30"/>
        <v/>
      </c>
      <c r="BI55" s="39"/>
      <c r="BJ55" s="40" t="str">
        <f t="shared" si="31"/>
        <v/>
      </c>
      <c r="BK55" s="157" t="str">
        <f t="shared" si="32"/>
        <v/>
      </c>
      <c r="BL55" s="157" t="str">
        <f t="shared" si="14"/>
        <v/>
      </c>
      <c r="BM55" s="72"/>
      <c r="BN55" s="72" t="str">
        <f t="shared" si="33"/>
        <v/>
      </c>
      <c r="BO55" s="72" t="str">
        <f t="shared" si="34"/>
        <v/>
      </c>
      <c r="BP55" s="39"/>
      <c r="BQ55" s="72" t="str">
        <f t="shared" si="49"/>
        <v/>
      </c>
      <c r="BR55" s="72" t="str">
        <f t="shared" si="35"/>
        <v/>
      </c>
    </row>
    <row r="56" spans="3:70" x14ac:dyDescent="0.15">
      <c r="D56" s="81" t="s">
        <v>189</v>
      </c>
      <c r="F56" s="59">
        <f>IF($F$43="需要地価格",0,2800)</f>
        <v>2800</v>
      </c>
      <c r="G56" s="81" t="s">
        <v>181</v>
      </c>
      <c r="I56" s="322">
        <f t="shared" si="36"/>
        <v>2071</v>
      </c>
      <c r="J56" s="71"/>
      <c r="K56" s="71">
        <f t="shared" si="37"/>
        <v>42</v>
      </c>
      <c r="L56" s="71"/>
      <c r="M56" s="7">
        <f t="shared" si="0"/>
        <v>0.28895922403035801</v>
      </c>
      <c r="N56" s="71"/>
      <c r="O56" s="10" t="str">
        <f t="shared" si="16"/>
        <v/>
      </c>
      <c r="P56" s="29" t="str">
        <f t="shared" si="38"/>
        <v/>
      </c>
      <c r="Q56" s="71"/>
      <c r="R56" s="10" t="str">
        <f t="shared" si="50"/>
        <v/>
      </c>
      <c r="S56" s="71"/>
      <c r="T56" s="10" t="str">
        <f t="shared" si="18"/>
        <v/>
      </c>
      <c r="U56" s="71"/>
      <c r="V56" s="10" t="str">
        <f t="shared" si="39"/>
        <v/>
      </c>
      <c r="W56" s="10" t="str">
        <f t="shared" si="19"/>
        <v/>
      </c>
      <c r="X56" s="71"/>
      <c r="Y56" s="10" t="str">
        <f t="shared" si="40"/>
        <v/>
      </c>
      <c r="Z56" s="10" t="str">
        <f t="shared" si="20"/>
        <v/>
      </c>
      <c r="AA56" s="71"/>
      <c r="AB56" s="10" t="str">
        <f t="shared" si="4"/>
        <v/>
      </c>
      <c r="AC56" s="10" t="str">
        <f t="shared" si="21"/>
        <v/>
      </c>
      <c r="AD56" s="71"/>
      <c r="AE56" s="10" t="str">
        <f t="shared" si="41"/>
        <v/>
      </c>
      <c r="AF56" s="10" t="str">
        <f t="shared" si="22"/>
        <v/>
      </c>
      <c r="AG56" s="71"/>
      <c r="AH56" s="10" t="str">
        <f t="shared" si="42"/>
        <v/>
      </c>
      <c r="AI56" s="10" t="str">
        <f t="shared" si="23"/>
        <v/>
      </c>
      <c r="AJ56" s="71"/>
      <c r="AK56" s="10" t="str">
        <f t="shared" si="24"/>
        <v/>
      </c>
      <c r="AL56" s="10" t="str">
        <f t="shared" si="25"/>
        <v/>
      </c>
      <c r="AM56" s="71"/>
      <c r="AN56" s="10" t="str">
        <f t="shared" si="43"/>
        <v/>
      </c>
      <c r="AO56" s="10" t="str">
        <f t="shared" si="26"/>
        <v/>
      </c>
      <c r="AP56" s="71"/>
      <c r="AQ56" s="10" t="str">
        <f t="shared" si="44"/>
        <v/>
      </c>
      <c r="AR56" s="10" t="str">
        <f t="shared" si="27"/>
        <v/>
      </c>
      <c r="AS56" s="71"/>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U56" s="71"/>
      <c r="AV56" s="10" t="str">
        <f t="shared" si="45"/>
        <v/>
      </c>
      <c r="AW56" s="10" t="str">
        <f t="shared" si="10"/>
        <v/>
      </c>
      <c r="AX56" s="71"/>
      <c r="AY56" s="7" t="str">
        <f>IF(ISERROR(IF($K56&lt;=$F$15,VLOOKUP($I56,'表4）CO2価格'!$A$7:$E$67,VLOOKUP($F$48,'表4）CO2価格'!$H$10:$I$12,2,0),0)*$F$8/1000,"")),0,IF($K56&lt;=$F$15,VLOOKUP($I56,'表4）CO2価格'!$A$7:$E$67,VLOOKUP($F$48,'表4）CO2価格'!$H$10:$I$12,2,0),0)*$F$8/1000,""))</f>
        <v/>
      </c>
      <c r="AZ56" s="71"/>
      <c r="BA56" s="11" t="str">
        <f t="shared" si="46"/>
        <v/>
      </c>
      <c r="BB56" s="10" t="str">
        <f t="shared" si="28"/>
        <v/>
      </c>
      <c r="BC56" s="71"/>
      <c r="BD56" s="10" t="str">
        <f t="shared" si="47"/>
        <v/>
      </c>
      <c r="BE56" s="10" t="str">
        <f t="shared" si="29"/>
        <v/>
      </c>
      <c r="BF56" s="71"/>
      <c r="BG56" s="11" t="str">
        <f t="shared" si="48"/>
        <v/>
      </c>
      <c r="BH56" s="10" t="str">
        <f t="shared" si="30"/>
        <v/>
      </c>
      <c r="BJ56" s="7" t="str">
        <f t="shared" si="31"/>
        <v/>
      </c>
      <c r="BK56" s="158" t="str">
        <f t="shared" si="32"/>
        <v/>
      </c>
      <c r="BL56" s="158" t="str">
        <f t="shared" si="14"/>
        <v/>
      </c>
      <c r="BM56" s="10"/>
      <c r="BN56" s="10" t="str">
        <f t="shared" si="33"/>
        <v/>
      </c>
      <c r="BO56" s="10" t="str">
        <f t="shared" si="34"/>
        <v/>
      </c>
      <c r="BQ56" s="10" t="str">
        <f t="shared" si="49"/>
        <v/>
      </c>
      <c r="BR56" s="10" t="str">
        <f t="shared" si="35"/>
        <v/>
      </c>
    </row>
    <row r="57" spans="3:70" x14ac:dyDescent="0.15">
      <c r="I57" s="38">
        <f t="shared" si="36"/>
        <v>2072</v>
      </c>
      <c r="J57" s="39"/>
      <c r="K57" s="39">
        <f t="shared" si="37"/>
        <v>43</v>
      </c>
      <c r="L57" s="39"/>
      <c r="M57" s="40">
        <f t="shared" si="0"/>
        <v>0.28054293595180391</v>
      </c>
      <c r="N57" s="39"/>
      <c r="O57" s="72" t="str">
        <f t="shared" si="16"/>
        <v/>
      </c>
      <c r="P57" s="41" t="str">
        <f t="shared" si="38"/>
        <v/>
      </c>
      <c r="Q57" s="39"/>
      <c r="R57" s="72" t="str">
        <f t="shared" si="50"/>
        <v/>
      </c>
      <c r="S57" s="39"/>
      <c r="T57" s="72" t="str">
        <f t="shared" si="18"/>
        <v/>
      </c>
      <c r="U57" s="39"/>
      <c r="V57" s="72" t="str">
        <f t="shared" si="39"/>
        <v/>
      </c>
      <c r="W57" s="72" t="str">
        <f t="shared" si="19"/>
        <v/>
      </c>
      <c r="X57" s="39"/>
      <c r="Y57" s="72" t="str">
        <f t="shared" si="40"/>
        <v/>
      </c>
      <c r="Z57" s="72" t="str">
        <f t="shared" si="20"/>
        <v/>
      </c>
      <c r="AA57" s="39"/>
      <c r="AB57" s="72" t="str">
        <f t="shared" si="4"/>
        <v/>
      </c>
      <c r="AC57" s="72" t="str">
        <f t="shared" si="21"/>
        <v/>
      </c>
      <c r="AD57" s="39"/>
      <c r="AE57" s="72" t="str">
        <f t="shared" si="41"/>
        <v/>
      </c>
      <c r="AF57" s="72" t="str">
        <f t="shared" si="22"/>
        <v/>
      </c>
      <c r="AG57" s="39"/>
      <c r="AH57" s="72" t="str">
        <f t="shared" si="42"/>
        <v/>
      </c>
      <c r="AI57" s="72" t="str">
        <f t="shared" si="23"/>
        <v/>
      </c>
      <c r="AJ57" s="39"/>
      <c r="AK57" s="72" t="str">
        <f t="shared" si="24"/>
        <v/>
      </c>
      <c r="AL57" s="72" t="str">
        <f t="shared" si="25"/>
        <v/>
      </c>
      <c r="AM57" s="39"/>
      <c r="AN57" s="72" t="str">
        <f t="shared" si="43"/>
        <v/>
      </c>
      <c r="AO57" s="72" t="str">
        <f t="shared" si="26"/>
        <v/>
      </c>
      <c r="AP57" s="39"/>
      <c r="AQ57" s="72" t="str">
        <f t="shared" si="44"/>
        <v/>
      </c>
      <c r="AR57" s="72" t="str">
        <f t="shared" si="27"/>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45"/>
        <v/>
      </c>
      <c r="AW57" s="72" t="str">
        <f t="shared" si="10"/>
        <v/>
      </c>
      <c r="AX57" s="39"/>
      <c r="AY57" s="40" t="str">
        <f>IF(ISERROR(IF($K57&lt;=$F$15,VLOOKUP($I57,'表4）CO2価格'!$A$7:$E$67,VLOOKUP($F$48,'表4）CO2価格'!$H$10:$I$12,2,0),0)*$F$8/1000,"")),0,IF($K57&lt;=$F$15,VLOOKUP($I57,'表4）CO2価格'!$A$7:$E$67,VLOOKUP($F$48,'表4）CO2価格'!$H$10:$I$12,2,0),0)*$F$8/1000,""))</f>
        <v/>
      </c>
      <c r="AZ57" s="39"/>
      <c r="BA57" s="42" t="str">
        <f t="shared" si="46"/>
        <v/>
      </c>
      <c r="BB57" s="72" t="str">
        <f t="shared" si="28"/>
        <v/>
      </c>
      <c r="BC57" s="39"/>
      <c r="BD57" s="72" t="str">
        <f t="shared" si="47"/>
        <v/>
      </c>
      <c r="BE57" s="72" t="str">
        <f t="shared" si="29"/>
        <v/>
      </c>
      <c r="BF57" s="39"/>
      <c r="BG57" s="42" t="str">
        <f t="shared" si="48"/>
        <v/>
      </c>
      <c r="BH57" s="72" t="str">
        <f t="shared" si="30"/>
        <v/>
      </c>
      <c r="BI57" s="39"/>
      <c r="BJ57" s="40" t="str">
        <f t="shared" si="31"/>
        <v/>
      </c>
      <c r="BK57" s="157" t="str">
        <f t="shared" si="32"/>
        <v/>
      </c>
      <c r="BL57" s="157" t="str">
        <f t="shared" si="14"/>
        <v/>
      </c>
      <c r="BM57" s="72"/>
      <c r="BN57" s="72" t="str">
        <f t="shared" si="33"/>
        <v/>
      </c>
      <c r="BO57" s="72" t="str">
        <f t="shared" si="34"/>
        <v/>
      </c>
      <c r="BP57" s="39"/>
      <c r="BQ57" s="72" t="str">
        <f t="shared" si="49"/>
        <v/>
      </c>
      <c r="BR57" s="72" t="str">
        <f t="shared" si="35"/>
        <v/>
      </c>
    </row>
    <row r="58" spans="3:70" x14ac:dyDescent="0.15">
      <c r="C58" s="89" t="s">
        <v>512</v>
      </c>
      <c r="D58" s="101"/>
      <c r="E58" s="101"/>
      <c r="F58" s="89"/>
      <c r="G58" s="101"/>
      <c r="I58" s="322">
        <f t="shared" si="36"/>
        <v>2073</v>
      </c>
      <c r="J58" s="71"/>
      <c r="K58" s="71">
        <f t="shared" si="37"/>
        <v>44</v>
      </c>
      <c r="L58" s="71"/>
      <c r="M58" s="7">
        <f t="shared" si="0"/>
        <v>0.27237178247747956</v>
      </c>
      <c r="N58" s="71"/>
      <c r="O58" s="10" t="str">
        <f t="shared" si="16"/>
        <v/>
      </c>
      <c r="P58" s="29" t="str">
        <f t="shared" si="38"/>
        <v/>
      </c>
      <c r="Q58" s="71"/>
      <c r="R58" s="10" t="str">
        <f t="shared" si="50"/>
        <v/>
      </c>
      <c r="S58" s="71"/>
      <c r="T58" s="10" t="str">
        <f t="shared" si="18"/>
        <v/>
      </c>
      <c r="U58" s="71"/>
      <c r="V58" s="10" t="str">
        <f t="shared" si="39"/>
        <v/>
      </c>
      <c r="W58" s="10" t="str">
        <f t="shared" si="19"/>
        <v/>
      </c>
      <c r="X58" s="71"/>
      <c r="Y58" s="10" t="str">
        <f t="shared" si="40"/>
        <v/>
      </c>
      <c r="Z58" s="10" t="str">
        <f t="shared" si="20"/>
        <v/>
      </c>
      <c r="AA58" s="71"/>
      <c r="AB58" s="10" t="str">
        <f t="shared" si="4"/>
        <v/>
      </c>
      <c r="AC58" s="10" t="str">
        <f t="shared" si="21"/>
        <v/>
      </c>
      <c r="AD58" s="71"/>
      <c r="AE58" s="10" t="str">
        <f t="shared" si="41"/>
        <v/>
      </c>
      <c r="AF58" s="10" t="str">
        <f t="shared" si="22"/>
        <v/>
      </c>
      <c r="AG58" s="71"/>
      <c r="AH58" s="10" t="str">
        <f t="shared" si="42"/>
        <v/>
      </c>
      <c r="AI58" s="10" t="str">
        <f t="shared" si="23"/>
        <v/>
      </c>
      <c r="AJ58" s="71"/>
      <c r="AK58" s="10" t="str">
        <f t="shared" si="24"/>
        <v/>
      </c>
      <c r="AL58" s="10" t="str">
        <f t="shared" si="25"/>
        <v/>
      </c>
      <c r="AM58" s="71"/>
      <c r="AN58" s="10" t="str">
        <f t="shared" si="43"/>
        <v/>
      </c>
      <c r="AO58" s="10" t="str">
        <f t="shared" si="26"/>
        <v/>
      </c>
      <c r="AP58" s="71"/>
      <c r="AQ58" s="10" t="str">
        <f t="shared" si="44"/>
        <v/>
      </c>
      <c r="AR58" s="10" t="str">
        <f t="shared" si="27"/>
        <v/>
      </c>
      <c r="AS58" s="71"/>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U58" s="71"/>
      <c r="AV58" s="10" t="str">
        <f t="shared" si="45"/>
        <v/>
      </c>
      <c r="AW58" s="10" t="str">
        <f t="shared" si="10"/>
        <v/>
      </c>
      <c r="AX58" s="71"/>
      <c r="AY58" s="7" t="str">
        <f>IF(ISERROR(IF($K58&lt;=$F$15,VLOOKUP($I58,'表4）CO2価格'!$A$7:$E$67,VLOOKUP($F$48,'表4）CO2価格'!$H$10:$I$12,2,0),0)*$F$8/1000,"")),0,IF($K58&lt;=$F$15,VLOOKUP($I58,'表4）CO2価格'!$A$7:$E$67,VLOOKUP($F$48,'表4）CO2価格'!$H$10:$I$12,2,0),0)*$F$8/1000,""))</f>
        <v/>
      </c>
      <c r="AZ58" s="71"/>
      <c r="BA58" s="11" t="str">
        <f t="shared" si="46"/>
        <v/>
      </c>
      <c r="BB58" s="10" t="str">
        <f t="shared" si="28"/>
        <v/>
      </c>
      <c r="BC58" s="71"/>
      <c r="BD58" s="10" t="str">
        <f t="shared" si="47"/>
        <v/>
      </c>
      <c r="BE58" s="10" t="str">
        <f t="shared" si="29"/>
        <v/>
      </c>
      <c r="BF58" s="71"/>
      <c r="BG58" s="11" t="str">
        <f t="shared" si="48"/>
        <v/>
      </c>
      <c r="BH58" s="10" t="str">
        <f t="shared" si="30"/>
        <v/>
      </c>
      <c r="BJ58" s="7" t="str">
        <f t="shared" si="31"/>
        <v/>
      </c>
      <c r="BK58" s="158" t="str">
        <f t="shared" si="32"/>
        <v/>
      </c>
      <c r="BL58" s="158" t="str">
        <f t="shared" si="14"/>
        <v/>
      </c>
      <c r="BM58" s="10"/>
      <c r="BN58" s="10" t="str">
        <f t="shared" si="33"/>
        <v/>
      </c>
      <c r="BO58" s="10" t="str">
        <f t="shared" si="34"/>
        <v/>
      </c>
      <c r="BQ58" s="10" t="str">
        <f t="shared" si="49"/>
        <v/>
      </c>
      <c r="BR58" s="10" t="str">
        <f t="shared" si="35"/>
        <v/>
      </c>
    </row>
    <row r="59" spans="3:70" x14ac:dyDescent="0.15">
      <c r="I59" s="38">
        <f t="shared" si="36"/>
        <v>2074</v>
      </c>
      <c r="J59" s="39"/>
      <c r="K59" s="39">
        <f t="shared" si="37"/>
        <v>45</v>
      </c>
      <c r="L59" s="39"/>
      <c r="M59" s="40">
        <f t="shared" si="0"/>
        <v>0.26443862376454325</v>
      </c>
      <c r="N59" s="39"/>
      <c r="O59" s="72" t="str">
        <f t="shared" si="16"/>
        <v/>
      </c>
      <c r="P59" s="41" t="str">
        <f t="shared" si="38"/>
        <v/>
      </c>
      <c r="Q59" s="39"/>
      <c r="R59" s="72" t="str">
        <f t="shared" si="50"/>
        <v/>
      </c>
      <c r="S59" s="39"/>
      <c r="T59" s="72" t="str">
        <f t="shared" si="18"/>
        <v/>
      </c>
      <c r="U59" s="39"/>
      <c r="V59" s="72" t="str">
        <f t="shared" si="39"/>
        <v/>
      </c>
      <c r="W59" s="72" t="str">
        <f t="shared" si="19"/>
        <v/>
      </c>
      <c r="X59" s="39"/>
      <c r="Y59" s="72" t="str">
        <f t="shared" si="40"/>
        <v/>
      </c>
      <c r="Z59" s="72" t="str">
        <f t="shared" si="20"/>
        <v/>
      </c>
      <c r="AA59" s="39"/>
      <c r="AB59" s="72" t="str">
        <f t="shared" si="4"/>
        <v/>
      </c>
      <c r="AC59" s="72" t="str">
        <f t="shared" si="21"/>
        <v/>
      </c>
      <c r="AD59" s="39"/>
      <c r="AE59" s="72" t="str">
        <f t="shared" si="41"/>
        <v/>
      </c>
      <c r="AF59" s="72" t="str">
        <f t="shared" si="22"/>
        <v/>
      </c>
      <c r="AG59" s="39"/>
      <c r="AH59" s="72" t="str">
        <f t="shared" si="42"/>
        <v/>
      </c>
      <c r="AI59" s="72" t="str">
        <f t="shared" si="23"/>
        <v/>
      </c>
      <c r="AJ59" s="39"/>
      <c r="AK59" s="72" t="str">
        <f t="shared" si="24"/>
        <v/>
      </c>
      <c r="AL59" s="72" t="str">
        <f t="shared" si="25"/>
        <v/>
      </c>
      <c r="AM59" s="39"/>
      <c r="AN59" s="72" t="str">
        <f t="shared" si="43"/>
        <v/>
      </c>
      <c r="AO59" s="72" t="str">
        <f t="shared" si="26"/>
        <v/>
      </c>
      <c r="AP59" s="39"/>
      <c r="AQ59" s="72" t="str">
        <f t="shared" si="44"/>
        <v/>
      </c>
      <c r="AR59" s="72" t="str">
        <f t="shared" si="27"/>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45"/>
        <v/>
      </c>
      <c r="AW59" s="72" t="str">
        <f t="shared" si="10"/>
        <v/>
      </c>
      <c r="AX59" s="39"/>
      <c r="AY59" s="40" t="str">
        <f>IF(ISERROR(IF($K59&lt;=$F$15,VLOOKUP($I59,'表4）CO2価格'!$A$7:$E$67,VLOOKUP($F$48,'表4）CO2価格'!$H$10:$I$12,2,0),0)*$F$8/1000,"")),0,IF($K59&lt;=$F$15,VLOOKUP($I59,'表4）CO2価格'!$A$7:$E$67,VLOOKUP($F$48,'表4）CO2価格'!$H$10:$I$12,2,0),0)*$F$8/1000,""))</f>
        <v/>
      </c>
      <c r="AZ59" s="39"/>
      <c r="BA59" s="42" t="str">
        <f t="shared" si="46"/>
        <v/>
      </c>
      <c r="BB59" s="72" t="str">
        <f t="shared" si="28"/>
        <v/>
      </c>
      <c r="BC59" s="39"/>
      <c r="BD59" s="72" t="str">
        <f t="shared" si="47"/>
        <v/>
      </c>
      <c r="BE59" s="72" t="str">
        <f t="shared" si="29"/>
        <v/>
      </c>
      <c r="BF59" s="39"/>
      <c r="BG59" s="42" t="str">
        <f t="shared" si="48"/>
        <v/>
      </c>
      <c r="BH59" s="72" t="str">
        <f t="shared" si="30"/>
        <v/>
      </c>
      <c r="BI59" s="39"/>
      <c r="BJ59" s="40" t="str">
        <f t="shared" si="31"/>
        <v/>
      </c>
      <c r="BK59" s="157" t="str">
        <f t="shared" si="32"/>
        <v/>
      </c>
      <c r="BL59" s="157" t="str">
        <f t="shared" si="14"/>
        <v/>
      </c>
      <c r="BM59" s="72"/>
      <c r="BN59" s="72" t="str">
        <f t="shared" si="33"/>
        <v/>
      </c>
      <c r="BO59" s="72" t="str">
        <f t="shared" si="34"/>
        <v/>
      </c>
      <c r="BP59" s="39"/>
      <c r="BQ59" s="72" t="str">
        <f t="shared" si="49"/>
        <v/>
      </c>
      <c r="BR59" s="72" t="str">
        <f t="shared" si="35"/>
        <v/>
      </c>
    </row>
    <row r="60" spans="3:70" x14ac:dyDescent="0.15">
      <c r="D60" s="81" t="s">
        <v>128</v>
      </c>
      <c r="F60" s="59"/>
      <c r="G60" s="81" t="s">
        <v>176</v>
      </c>
      <c r="I60" s="322">
        <f t="shared" si="36"/>
        <v>2075</v>
      </c>
      <c r="J60" s="71"/>
      <c r="K60" s="71">
        <f t="shared" si="37"/>
        <v>46</v>
      </c>
      <c r="L60" s="71"/>
      <c r="M60" s="7">
        <f t="shared" si="0"/>
        <v>0.25673652792674101</v>
      </c>
      <c r="N60" s="71"/>
      <c r="O60" s="10" t="str">
        <f t="shared" si="16"/>
        <v/>
      </c>
      <c r="P60" s="29" t="str">
        <f t="shared" si="38"/>
        <v/>
      </c>
      <c r="Q60" s="71"/>
      <c r="R60" s="10" t="str">
        <f t="shared" si="50"/>
        <v/>
      </c>
      <c r="S60" s="71"/>
      <c r="T60" s="10" t="str">
        <f t="shared" si="18"/>
        <v/>
      </c>
      <c r="U60" s="71"/>
      <c r="V60" s="10" t="str">
        <f t="shared" si="39"/>
        <v/>
      </c>
      <c r="W60" s="10" t="str">
        <f t="shared" si="19"/>
        <v/>
      </c>
      <c r="X60" s="71"/>
      <c r="Y60" s="10" t="str">
        <f t="shared" si="40"/>
        <v/>
      </c>
      <c r="Z60" s="10" t="str">
        <f t="shared" si="20"/>
        <v/>
      </c>
      <c r="AA60" s="71"/>
      <c r="AB60" s="10" t="str">
        <f t="shared" si="4"/>
        <v/>
      </c>
      <c r="AC60" s="10" t="str">
        <f t="shared" si="21"/>
        <v/>
      </c>
      <c r="AD60" s="71"/>
      <c r="AE60" s="10" t="str">
        <f t="shared" si="41"/>
        <v/>
      </c>
      <c r="AF60" s="10" t="str">
        <f t="shared" si="22"/>
        <v/>
      </c>
      <c r="AG60" s="71"/>
      <c r="AH60" s="10" t="str">
        <f t="shared" si="42"/>
        <v/>
      </c>
      <c r="AI60" s="10" t="str">
        <f t="shared" si="23"/>
        <v/>
      </c>
      <c r="AJ60" s="71"/>
      <c r="AK60" s="10" t="str">
        <f t="shared" si="24"/>
        <v/>
      </c>
      <c r="AL60" s="10" t="str">
        <f t="shared" si="25"/>
        <v/>
      </c>
      <c r="AM60" s="71"/>
      <c r="AN60" s="10" t="str">
        <f t="shared" si="43"/>
        <v/>
      </c>
      <c r="AO60" s="10" t="str">
        <f t="shared" si="26"/>
        <v/>
      </c>
      <c r="AP60" s="71"/>
      <c r="AQ60" s="10" t="str">
        <f t="shared" si="44"/>
        <v/>
      </c>
      <c r="AR60" s="10" t="str">
        <f t="shared" si="27"/>
        <v/>
      </c>
      <c r="AS60" s="71"/>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U60" s="71"/>
      <c r="AV60" s="10" t="str">
        <f t="shared" si="45"/>
        <v/>
      </c>
      <c r="AW60" s="10" t="str">
        <f t="shared" si="10"/>
        <v/>
      </c>
      <c r="AX60" s="71"/>
      <c r="AY60" s="7" t="str">
        <f>IF(ISERROR(IF($K60&lt;=$F$15,VLOOKUP($I60,'表4）CO2価格'!$A$7:$E$67,VLOOKUP($F$48,'表4）CO2価格'!$H$10:$I$12,2,0),0)*$F$8/1000,"")),0,IF($K60&lt;=$F$15,VLOOKUP($I60,'表4）CO2価格'!$A$7:$E$67,VLOOKUP($F$48,'表4）CO2価格'!$H$10:$I$12,2,0),0)*$F$8/1000,""))</f>
        <v/>
      </c>
      <c r="AZ60" s="71"/>
      <c r="BA60" s="11" t="str">
        <f t="shared" si="46"/>
        <v/>
      </c>
      <c r="BB60" s="10" t="str">
        <f t="shared" si="28"/>
        <v/>
      </c>
      <c r="BC60" s="71"/>
      <c r="BD60" s="10" t="str">
        <f t="shared" si="47"/>
        <v/>
      </c>
      <c r="BE60" s="10" t="str">
        <f t="shared" si="29"/>
        <v/>
      </c>
      <c r="BF60" s="71"/>
      <c r="BG60" s="11" t="str">
        <f t="shared" si="48"/>
        <v/>
      </c>
      <c r="BH60" s="10" t="str">
        <f t="shared" si="30"/>
        <v/>
      </c>
      <c r="BJ60" s="7" t="str">
        <f t="shared" si="31"/>
        <v/>
      </c>
      <c r="BK60" s="158" t="str">
        <f t="shared" si="32"/>
        <v/>
      </c>
      <c r="BL60" s="158" t="str">
        <f t="shared" si="14"/>
        <v/>
      </c>
      <c r="BM60" s="10"/>
      <c r="BN60" s="10" t="str">
        <f t="shared" si="33"/>
        <v/>
      </c>
      <c r="BO60" s="10" t="str">
        <f t="shared" si="34"/>
        <v/>
      </c>
      <c r="BQ60" s="10" t="str">
        <f t="shared" si="49"/>
        <v/>
      </c>
      <c r="BR60" s="10" t="str">
        <f t="shared" si="35"/>
        <v/>
      </c>
    </row>
    <row r="61" spans="3:70" x14ac:dyDescent="0.15">
      <c r="D61" s="81" t="s">
        <v>190</v>
      </c>
      <c r="F61" s="66"/>
      <c r="G61" s="81" t="s">
        <v>108</v>
      </c>
      <c r="I61" s="38">
        <f t="shared" si="36"/>
        <v>2076</v>
      </c>
      <c r="J61" s="39"/>
      <c r="K61" s="39">
        <f t="shared" si="37"/>
        <v>47</v>
      </c>
      <c r="L61" s="39"/>
      <c r="M61" s="40">
        <f t="shared" si="0"/>
        <v>0.24925876497741845</v>
      </c>
      <c r="N61" s="39"/>
      <c r="O61" s="72" t="str">
        <f t="shared" si="16"/>
        <v/>
      </c>
      <c r="P61" s="41" t="str">
        <f t="shared" si="38"/>
        <v/>
      </c>
      <c r="Q61" s="39"/>
      <c r="R61" s="72" t="str">
        <f t="shared" si="50"/>
        <v/>
      </c>
      <c r="S61" s="39"/>
      <c r="T61" s="72" t="str">
        <f t="shared" si="18"/>
        <v/>
      </c>
      <c r="U61" s="39"/>
      <c r="V61" s="72" t="str">
        <f t="shared" si="39"/>
        <v/>
      </c>
      <c r="W61" s="72" t="str">
        <f t="shared" si="19"/>
        <v/>
      </c>
      <c r="X61" s="39"/>
      <c r="Y61" s="72" t="str">
        <f t="shared" si="40"/>
        <v/>
      </c>
      <c r="Z61" s="72" t="str">
        <f t="shared" si="20"/>
        <v/>
      </c>
      <c r="AA61" s="39"/>
      <c r="AB61" s="72" t="str">
        <f t="shared" si="4"/>
        <v/>
      </c>
      <c r="AC61" s="72" t="str">
        <f t="shared" si="21"/>
        <v/>
      </c>
      <c r="AD61" s="39"/>
      <c r="AE61" s="72" t="str">
        <f t="shared" si="41"/>
        <v/>
      </c>
      <c r="AF61" s="72" t="str">
        <f t="shared" si="22"/>
        <v/>
      </c>
      <c r="AG61" s="39"/>
      <c r="AH61" s="72" t="str">
        <f t="shared" si="42"/>
        <v/>
      </c>
      <c r="AI61" s="72" t="str">
        <f t="shared" si="23"/>
        <v/>
      </c>
      <c r="AJ61" s="39"/>
      <c r="AK61" s="72" t="str">
        <f t="shared" si="24"/>
        <v/>
      </c>
      <c r="AL61" s="72" t="str">
        <f t="shared" si="25"/>
        <v/>
      </c>
      <c r="AM61" s="39"/>
      <c r="AN61" s="72" t="str">
        <f t="shared" si="43"/>
        <v/>
      </c>
      <c r="AO61" s="72" t="str">
        <f t="shared" si="26"/>
        <v/>
      </c>
      <c r="AP61" s="39"/>
      <c r="AQ61" s="72" t="str">
        <f t="shared" si="44"/>
        <v/>
      </c>
      <c r="AR61" s="72" t="str">
        <f t="shared" si="27"/>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45"/>
        <v/>
      </c>
      <c r="AW61" s="72" t="str">
        <f t="shared" si="10"/>
        <v/>
      </c>
      <c r="AX61" s="39"/>
      <c r="AY61" s="40" t="str">
        <f>IF(ISERROR(IF($K61&lt;=$F$15,VLOOKUP($I61,'表4）CO2価格'!$A$7:$E$67,VLOOKUP($F$48,'表4）CO2価格'!$H$10:$I$12,2,0),0)*$F$8/1000,"")),0,IF($K61&lt;=$F$15,VLOOKUP($I61,'表4）CO2価格'!$A$7:$E$67,VLOOKUP($F$48,'表4）CO2価格'!$H$10:$I$12,2,0),0)*$F$8/1000,""))</f>
        <v/>
      </c>
      <c r="AZ61" s="39"/>
      <c r="BA61" s="42" t="str">
        <f t="shared" si="46"/>
        <v/>
      </c>
      <c r="BB61" s="72" t="str">
        <f t="shared" si="28"/>
        <v/>
      </c>
      <c r="BC61" s="39"/>
      <c r="BD61" s="72" t="str">
        <f t="shared" si="47"/>
        <v/>
      </c>
      <c r="BE61" s="72" t="str">
        <f t="shared" si="29"/>
        <v/>
      </c>
      <c r="BF61" s="39"/>
      <c r="BG61" s="42" t="str">
        <f t="shared" si="48"/>
        <v/>
      </c>
      <c r="BH61" s="72" t="str">
        <f t="shared" si="30"/>
        <v/>
      </c>
      <c r="BI61" s="39"/>
      <c r="BJ61" s="40" t="str">
        <f t="shared" si="31"/>
        <v/>
      </c>
      <c r="BK61" s="157" t="str">
        <f t="shared" si="32"/>
        <v/>
      </c>
      <c r="BL61" s="157" t="str">
        <f t="shared" si="14"/>
        <v/>
      </c>
      <c r="BM61" s="72"/>
      <c r="BN61" s="72" t="str">
        <f t="shared" si="33"/>
        <v/>
      </c>
      <c r="BO61" s="72" t="str">
        <f t="shared" si="34"/>
        <v/>
      </c>
      <c r="BP61" s="39"/>
      <c r="BQ61" s="72" t="str">
        <f t="shared" si="49"/>
        <v/>
      </c>
      <c r="BR61" s="72" t="str">
        <f t="shared" si="35"/>
        <v/>
      </c>
    </row>
    <row r="62" spans="3:70" x14ac:dyDescent="0.15">
      <c r="D62" s="81" t="s">
        <v>131</v>
      </c>
      <c r="F62" s="59"/>
      <c r="G62" s="81" t="s">
        <v>191</v>
      </c>
      <c r="I62" s="322">
        <f t="shared" si="36"/>
        <v>2077</v>
      </c>
      <c r="J62" s="71"/>
      <c r="K62" s="71">
        <f t="shared" si="37"/>
        <v>48</v>
      </c>
      <c r="L62" s="71"/>
      <c r="M62" s="7">
        <f t="shared" si="0"/>
        <v>0.24199880094894996</v>
      </c>
      <c r="N62" s="71"/>
      <c r="O62" s="10" t="str">
        <f t="shared" si="16"/>
        <v/>
      </c>
      <c r="P62" s="29" t="str">
        <f t="shared" si="38"/>
        <v/>
      </c>
      <c r="Q62" s="71"/>
      <c r="R62" s="10" t="str">
        <f t="shared" si="50"/>
        <v/>
      </c>
      <c r="S62" s="71"/>
      <c r="T62" s="10" t="str">
        <f t="shared" si="18"/>
        <v/>
      </c>
      <c r="U62" s="71"/>
      <c r="V62" s="10" t="str">
        <f t="shared" si="39"/>
        <v/>
      </c>
      <c r="W62" s="10" t="str">
        <f t="shared" si="19"/>
        <v/>
      </c>
      <c r="X62" s="71"/>
      <c r="Y62" s="10" t="str">
        <f t="shared" si="40"/>
        <v/>
      </c>
      <c r="Z62" s="10" t="str">
        <f t="shared" si="20"/>
        <v/>
      </c>
      <c r="AA62" s="71"/>
      <c r="AB62" s="10" t="str">
        <f t="shared" si="4"/>
        <v/>
      </c>
      <c r="AC62" s="10" t="str">
        <f t="shared" si="21"/>
        <v/>
      </c>
      <c r="AD62" s="71"/>
      <c r="AE62" s="10" t="str">
        <f t="shared" si="41"/>
        <v/>
      </c>
      <c r="AF62" s="10" t="str">
        <f t="shared" si="22"/>
        <v/>
      </c>
      <c r="AG62" s="71"/>
      <c r="AH62" s="10" t="str">
        <f t="shared" si="42"/>
        <v/>
      </c>
      <c r="AI62" s="10" t="str">
        <f t="shared" si="23"/>
        <v/>
      </c>
      <c r="AJ62" s="71"/>
      <c r="AK62" s="10" t="str">
        <f t="shared" si="24"/>
        <v/>
      </c>
      <c r="AL62" s="10" t="str">
        <f t="shared" si="25"/>
        <v/>
      </c>
      <c r="AM62" s="71"/>
      <c r="AN62" s="10" t="str">
        <f t="shared" si="43"/>
        <v/>
      </c>
      <c r="AO62" s="10" t="str">
        <f t="shared" si="26"/>
        <v/>
      </c>
      <c r="AP62" s="71"/>
      <c r="AQ62" s="10" t="str">
        <f t="shared" si="44"/>
        <v/>
      </c>
      <c r="AR62" s="10" t="str">
        <f t="shared" si="27"/>
        <v/>
      </c>
      <c r="AS62" s="71"/>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U62" s="71"/>
      <c r="AV62" s="10" t="str">
        <f t="shared" si="45"/>
        <v/>
      </c>
      <c r="AW62" s="10" t="str">
        <f t="shared" si="10"/>
        <v/>
      </c>
      <c r="AX62" s="71"/>
      <c r="AY62" s="7" t="str">
        <f>IF(ISERROR(IF($K62&lt;=$F$15,VLOOKUP($I62,'表4）CO2価格'!$A$7:$E$67,VLOOKUP($F$48,'表4）CO2価格'!$H$10:$I$12,2,0),0)*$F$8/1000,"")),0,IF($K62&lt;=$F$15,VLOOKUP($I62,'表4）CO2価格'!$A$7:$E$67,VLOOKUP($F$48,'表4）CO2価格'!$H$10:$I$12,2,0),0)*$F$8/1000,""))</f>
        <v/>
      </c>
      <c r="AZ62" s="71"/>
      <c r="BA62" s="11" t="str">
        <f t="shared" si="46"/>
        <v/>
      </c>
      <c r="BB62" s="10" t="str">
        <f t="shared" si="28"/>
        <v/>
      </c>
      <c r="BC62" s="71"/>
      <c r="BD62" s="10" t="str">
        <f t="shared" si="47"/>
        <v/>
      </c>
      <c r="BE62" s="10" t="str">
        <f t="shared" si="29"/>
        <v/>
      </c>
      <c r="BF62" s="71"/>
      <c r="BG62" s="11" t="str">
        <f t="shared" si="48"/>
        <v/>
      </c>
      <c r="BH62" s="10" t="str">
        <f t="shared" si="30"/>
        <v/>
      </c>
      <c r="BJ62" s="7" t="str">
        <f t="shared" si="31"/>
        <v/>
      </c>
      <c r="BK62" s="158" t="str">
        <f t="shared" si="32"/>
        <v/>
      </c>
      <c r="BL62" s="158" t="str">
        <f t="shared" si="14"/>
        <v/>
      </c>
      <c r="BM62" s="10"/>
      <c r="BN62" s="10" t="str">
        <f t="shared" si="33"/>
        <v/>
      </c>
      <c r="BO62" s="10" t="str">
        <f t="shared" si="34"/>
        <v/>
      </c>
      <c r="BQ62" s="10" t="str">
        <f t="shared" si="49"/>
        <v/>
      </c>
      <c r="BR62" s="10" t="str">
        <f t="shared" si="35"/>
        <v/>
      </c>
    </row>
    <row r="63" spans="3:70" x14ac:dyDescent="0.15">
      <c r="I63" s="38">
        <f t="shared" si="36"/>
        <v>2078</v>
      </c>
      <c r="J63" s="39"/>
      <c r="K63" s="39">
        <f t="shared" si="37"/>
        <v>49</v>
      </c>
      <c r="L63" s="39"/>
      <c r="M63" s="40">
        <f t="shared" si="0"/>
        <v>0.2349502921834466</v>
      </c>
      <c r="N63" s="39"/>
      <c r="O63" s="72" t="str">
        <f t="shared" si="16"/>
        <v/>
      </c>
      <c r="P63" s="41" t="str">
        <f t="shared" si="38"/>
        <v/>
      </c>
      <c r="Q63" s="39"/>
      <c r="R63" s="72" t="str">
        <f t="shared" si="50"/>
        <v/>
      </c>
      <c r="S63" s="39"/>
      <c r="T63" s="72" t="str">
        <f t="shared" si="18"/>
        <v/>
      </c>
      <c r="U63" s="39"/>
      <c r="V63" s="72" t="str">
        <f t="shared" si="39"/>
        <v/>
      </c>
      <c r="W63" s="72" t="str">
        <f t="shared" si="19"/>
        <v/>
      </c>
      <c r="X63" s="39"/>
      <c r="Y63" s="72" t="str">
        <f t="shared" si="40"/>
        <v/>
      </c>
      <c r="Z63" s="72" t="str">
        <f t="shared" si="20"/>
        <v/>
      </c>
      <c r="AA63" s="39"/>
      <c r="AB63" s="72" t="str">
        <f t="shared" si="4"/>
        <v/>
      </c>
      <c r="AC63" s="72" t="str">
        <f t="shared" si="21"/>
        <v/>
      </c>
      <c r="AD63" s="39"/>
      <c r="AE63" s="72" t="str">
        <f t="shared" si="41"/>
        <v/>
      </c>
      <c r="AF63" s="72" t="str">
        <f t="shared" si="22"/>
        <v/>
      </c>
      <c r="AG63" s="39"/>
      <c r="AH63" s="72" t="str">
        <f t="shared" si="42"/>
        <v/>
      </c>
      <c r="AI63" s="72" t="str">
        <f t="shared" si="23"/>
        <v/>
      </c>
      <c r="AJ63" s="39"/>
      <c r="AK63" s="72" t="str">
        <f t="shared" si="24"/>
        <v/>
      </c>
      <c r="AL63" s="72" t="str">
        <f t="shared" si="25"/>
        <v/>
      </c>
      <c r="AM63" s="39"/>
      <c r="AN63" s="72" t="str">
        <f t="shared" si="43"/>
        <v/>
      </c>
      <c r="AO63" s="72" t="str">
        <f t="shared" si="26"/>
        <v/>
      </c>
      <c r="AP63" s="39"/>
      <c r="AQ63" s="72" t="str">
        <f t="shared" si="44"/>
        <v/>
      </c>
      <c r="AR63" s="72" t="str">
        <f t="shared" si="27"/>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45"/>
        <v/>
      </c>
      <c r="AW63" s="72" t="str">
        <f t="shared" si="10"/>
        <v/>
      </c>
      <c r="AX63" s="39"/>
      <c r="AY63" s="40" t="str">
        <f>IF(ISERROR(IF($K63&lt;=$F$15,VLOOKUP($I63,'表4）CO2価格'!$A$7:$E$67,VLOOKUP($F$48,'表4）CO2価格'!$H$10:$I$12,2,0),0)*$F$8/1000,"")),0,IF($K63&lt;=$F$15,VLOOKUP($I63,'表4）CO2価格'!$A$7:$E$67,VLOOKUP($F$48,'表4）CO2価格'!$H$10:$I$12,2,0),0)*$F$8/1000,""))</f>
        <v/>
      </c>
      <c r="AZ63" s="39"/>
      <c r="BA63" s="42" t="str">
        <f t="shared" si="46"/>
        <v/>
      </c>
      <c r="BB63" s="72" t="str">
        <f t="shared" si="28"/>
        <v/>
      </c>
      <c r="BC63" s="39"/>
      <c r="BD63" s="72" t="str">
        <f t="shared" si="47"/>
        <v/>
      </c>
      <c r="BE63" s="72" t="str">
        <f t="shared" si="29"/>
        <v/>
      </c>
      <c r="BF63" s="39"/>
      <c r="BG63" s="42" t="str">
        <f t="shared" si="48"/>
        <v/>
      </c>
      <c r="BH63" s="72" t="str">
        <f t="shared" si="30"/>
        <v/>
      </c>
      <c r="BI63" s="39"/>
      <c r="BJ63" s="40" t="str">
        <f t="shared" si="31"/>
        <v/>
      </c>
      <c r="BK63" s="157" t="str">
        <f t="shared" si="32"/>
        <v/>
      </c>
      <c r="BL63" s="157" t="str">
        <f t="shared" si="14"/>
        <v/>
      </c>
      <c r="BM63" s="72"/>
      <c r="BN63" s="72" t="str">
        <f t="shared" si="33"/>
        <v/>
      </c>
      <c r="BO63" s="72" t="str">
        <f t="shared" si="34"/>
        <v/>
      </c>
      <c r="BP63" s="39"/>
      <c r="BQ63" s="72" t="str">
        <f t="shared" si="49"/>
        <v/>
      </c>
      <c r="BR63" s="72" t="str">
        <f t="shared" si="35"/>
        <v/>
      </c>
    </row>
    <row r="64" spans="3:70" x14ac:dyDescent="0.15">
      <c r="C64" s="9" t="s">
        <v>513</v>
      </c>
      <c r="F64" s="90">
        <v>0.03</v>
      </c>
      <c r="G64" s="81" t="s">
        <v>132</v>
      </c>
      <c r="I64" s="322">
        <f t="shared" si="36"/>
        <v>2079</v>
      </c>
      <c r="J64" s="71"/>
      <c r="K64" s="71">
        <f t="shared" si="37"/>
        <v>50</v>
      </c>
      <c r="L64" s="71"/>
      <c r="M64" s="7">
        <f t="shared" si="0"/>
        <v>0.22810707978975397</v>
      </c>
      <c r="N64" s="71"/>
      <c r="O64" s="10" t="str">
        <f t="shared" si="16"/>
        <v/>
      </c>
      <c r="P64" s="29" t="str">
        <f t="shared" si="38"/>
        <v/>
      </c>
      <c r="Q64" s="71"/>
      <c r="R64" s="10" t="str">
        <f t="shared" si="50"/>
        <v/>
      </c>
      <c r="S64" s="71"/>
      <c r="T64" s="10" t="str">
        <f t="shared" si="18"/>
        <v/>
      </c>
      <c r="U64" s="71"/>
      <c r="V64" s="10" t="str">
        <f t="shared" si="39"/>
        <v/>
      </c>
      <c r="W64" s="10" t="str">
        <f t="shared" si="19"/>
        <v/>
      </c>
      <c r="X64" s="71"/>
      <c r="Y64" s="10" t="str">
        <f t="shared" si="40"/>
        <v/>
      </c>
      <c r="Z64" s="10" t="str">
        <f t="shared" si="20"/>
        <v/>
      </c>
      <c r="AA64" s="71"/>
      <c r="AB64" s="10" t="str">
        <f t="shared" si="4"/>
        <v/>
      </c>
      <c r="AC64" s="10" t="str">
        <f t="shared" si="21"/>
        <v/>
      </c>
      <c r="AD64" s="71"/>
      <c r="AE64" s="10" t="str">
        <f t="shared" si="41"/>
        <v/>
      </c>
      <c r="AF64" s="10" t="str">
        <f t="shared" si="22"/>
        <v/>
      </c>
      <c r="AG64" s="71"/>
      <c r="AH64" s="10" t="str">
        <f t="shared" si="42"/>
        <v/>
      </c>
      <c r="AI64" s="10" t="str">
        <f t="shared" si="23"/>
        <v/>
      </c>
      <c r="AJ64" s="71"/>
      <c r="AK64" s="10" t="str">
        <f t="shared" si="24"/>
        <v/>
      </c>
      <c r="AL64" s="10" t="str">
        <f t="shared" si="25"/>
        <v/>
      </c>
      <c r="AM64" s="71"/>
      <c r="AN64" s="10" t="str">
        <f t="shared" si="43"/>
        <v/>
      </c>
      <c r="AO64" s="10" t="str">
        <f t="shared" si="26"/>
        <v/>
      </c>
      <c r="AP64" s="71"/>
      <c r="AQ64" s="10" t="str">
        <f t="shared" si="44"/>
        <v/>
      </c>
      <c r="AR64" s="10" t="str">
        <f t="shared" si="27"/>
        <v/>
      </c>
      <c r="AS64" s="71"/>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U64" s="71"/>
      <c r="AV64" s="10" t="str">
        <f t="shared" si="45"/>
        <v/>
      </c>
      <c r="AW64" s="10" t="str">
        <f t="shared" si="10"/>
        <v/>
      </c>
      <c r="AX64" s="71"/>
      <c r="AY64" s="7" t="str">
        <f>IF(ISERROR(IF($K64&lt;=$F$15,VLOOKUP($I64,'表4）CO2価格'!$A$7:$E$67,VLOOKUP($F$48,'表4）CO2価格'!$H$10:$I$12,2,0),0)*$F$8/1000,"")),0,IF($K64&lt;=$F$15,VLOOKUP($I64,'表4）CO2価格'!$A$7:$E$67,VLOOKUP($F$48,'表4）CO2価格'!$H$10:$I$12,2,0),0)*$F$8/1000,""))</f>
        <v/>
      </c>
      <c r="AZ64" s="71"/>
      <c r="BA64" s="11" t="str">
        <f t="shared" si="46"/>
        <v/>
      </c>
      <c r="BB64" s="10" t="str">
        <f t="shared" si="28"/>
        <v/>
      </c>
      <c r="BC64" s="71"/>
      <c r="BD64" s="10" t="str">
        <f t="shared" si="47"/>
        <v/>
      </c>
      <c r="BE64" s="10" t="str">
        <f t="shared" si="29"/>
        <v/>
      </c>
      <c r="BF64" s="71"/>
      <c r="BG64" s="11" t="str">
        <f t="shared" si="48"/>
        <v/>
      </c>
      <c r="BH64" s="10" t="str">
        <f t="shared" si="30"/>
        <v/>
      </c>
      <c r="BJ64" s="7" t="str">
        <f t="shared" si="31"/>
        <v/>
      </c>
      <c r="BK64" s="158" t="str">
        <f t="shared" si="32"/>
        <v/>
      </c>
      <c r="BL64" s="158" t="str">
        <f t="shared" si="14"/>
        <v/>
      </c>
      <c r="BM64" s="10"/>
      <c r="BN64" s="10" t="str">
        <f t="shared" si="33"/>
        <v/>
      </c>
      <c r="BO64" s="10" t="str">
        <f t="shared" si="34"/>
        <v/>
      </c>
      <c r="BQ64" s="10" t="str">
        <f t="shared" si="49"/>
        <v/>
      </c>
      <c r="BR64" s="10" t="str">
        <f t="shared" si="35"/>
        <v/>
      </c>
    </row>
    <row r="65" spans="2:70" x14ac:dyDescent="0.15">
      <c r="I65" s="38">
        <f t="shared" si="36"/>
        <v>2080</v>
      </c>
      <c r="J65" s="39"/>
      <c r="K65" s="39">
        <f t="shared" si="37"/>
        <v>51</v>
      </c>
      <c r="L65" s="39"/>
      <c r="M65" s="40">
        <f t="shared" si="0"/>
        <v>0.22146318426189707</v>
      </c>
      <c r="N65" s="39"/>
      <c r="O65" s="72" t="str">
        <f t="shared" si="16"/>
        <v/>
      </c>
      <c r="P65" s="41" t="str">
        <f t="shared" si="38"/>
        <v/>
      </c>
      <c r="Q65" s="39"/>
      <c r="R65" s="72" t="str">
        <f t="shared" si="50"/>
        <v/>
      </c>
      <c r="S65" s="39"/>
      <c r="T65" s="72" t="str">
        <f t="shared" si="18"/>
        <v/>
      </c>
      <c r="U65" s="39"/>
      <c r="V65" s="72" t="str">
        <f t="shared" si="39"/>
        <v/>
      </c>
      <c r="W65" s="72" t="str">
        <f t="shared" si="19"/>
        <v/>
      </c>
      <c r="X65" s="39"/>
      <c r="Y65" s="72" t="str">
        <f t="shared" si="40"/>
        <v/>
      </c>
      <c r="Z65" s="72" t="str">
        <f t="shared" si="20"/>
        <v/>
      </c>
      <c r="AA65" s="39"/>
      <c r="AB65" s="72" t="str">
        <f t="shared" si="4"/>
        <v/>
      </c>
      <c r="AC65" s="72" t="str">
        <f t="shared" si="21"/>
        <v/>
      </c>
      <c r="AD65" s="39"/>
      <c r="AE65" s="72" t="str">
        <f t="shared" si="41"/>
        <v/>
      </c>
      <c r="AF65" s="72" t="str">
        <f t="shared" si="22"/>
        <v/>
      </c>
      <c r="AG65" s="39"/>
      <c r="AH65" s="72" t="str">
        <f t="shared" si="42"/>
        <v/>
      </c>
      <c r="AI65" s="72" t="str">
        <f t="shared" si="23"/>
        <v/>
      </c>
      <c r="AJ65" s="39"/>
      <c r="AK65" s="72" t="str">
        <f t="shared" si="24"/>
        <v/>
      </c>
      <c r="AL65" s="72" t="str">
        <f t="shared" si="25"/>
        <v/>
      </c>
      <c r="AM65" s="39"/>
      <c r="AN65" s="72" t="str">
        <f t="shared" si="43"/>
        <v/>
      </c>
      <c r="AO65" s="72" t="str">
        <f t="shared" si="26"/>
        <v/>
      </c>
      <c r="AP65" s="39"/>
      <c r="AQ65" s="72" t="str">
        <f t="shared" si="44"/>
        <v/>
      </c>
      <c r="AR65" s="72" t="str">
        <f t="shared" si="27"/>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45"/>
        <v/>
      </c>
      <c r="AW65" s="72" t="str">
        <f t="shared" si="10"/>
        <v/>
      </c>
      <c r="AX65" s="39"/>
      <c r="AY65" s="40" t="str">
        <f>IF(ISERROR(IF($K65&lt;=$F$15,VLOOKUP($I65,'表4）CO2価格'!$A$7:$E$67,VLOOKUP($F$48,'表4）CO2価格'!$H$10:$I$12,2,0),0)*$F$8/1000,"")),0,IF($K65&lt;=$F$15,VLOOKUP($I65,'表4）CO2価格'!$A$7:$E$67,VLOOKUP($F$48,'表4）CO2価格'!$H$10:$I$12,2,0),0)*$F$8/1000,""))</f>
        <v/>
      </c>
      <c r="AZ65" s="39"/>
      <c r="BA65" s="42" t="str">
        <f t="shared" si="46"/>
        <v/>
      </c>
      <c r="BB65" s="72" t="str">
        <f t="shared" si="28"/>
        <v/>
      </c>
      <c r="BC65" s="39"/>
      <c r="BD65" s="72" t="str">
        <f t="shared" si="47"/>
        <v/>
      </c>
      <c r="BE65" s="72" t="str">
        <f t="shared" si="29"/>
        <v/>
      </c>
      <c r="BF65" s="39"/>
      <c r="BG65" s="42" t="str">
        <f t="shared" si="48"/>
        <v/>
      </c>
      <c r="BH65" s="72" t="str">
        <f t="shared" si="30"/>
        <v/>
      </c>
      <c r="BI65" s="39"/>
      <c r="BJ65" s="40" t="str">
        <f t="shared" si="31"/>
        <v/>
      </c>
      <c r="BK65" s="157" t="str">
        <f t="shared" si="32"/>
        <v/>
      </c>
      <c r="BL65" s="157" t="str">
        <f t="shared" si="14"/>
        <v/>
      </c>
      <c r="BM65" s="72"/>
      <c r="BN65" s="72" t="str">
        <f t="shared" si="33"/>
        <v/>
      </c>
      <c r="BO65" s="72" t="str">
        <f t="shared" si="34"/>
        <v/>
      </c>
      <c r="BP65" s="39"/>
      <c r="BQ65" s="72" t="str">
        <f t="shared" si="49"/>
        <v/>
      </c>
      <c r="BR65" s="72" t="str">
        <f t="shared" si="35"/>
        <v/>
      </c>
    </row>
    <row r="66" spans="2:70" x14ac:dyDescent="0.15">
      <c r="I66" s="322">
        <f t="shared" si="36"/>
        <v>2081</v>
      </c>
      <c r="J66" s="71"/>
      <c r="K66" s="71">
        <f t="shared" si="37"/>
        <v>52</v>
      </c>
      <c r="L66" s="71"/>
      <c r="M66" s="7">
        <f t="shared" si="0"/>
        <v>0.215012800254269</v>
      </c>
      <c r="N66" s="71"/>
      <c r="O66" s="10" t="str">
        <f t="shared" si="16"/>
        <v/>
      </c>
      <c r="P66" s="29" t="str">
        <f t="shared" si="38"/>
        <v/>
      </c>
      <c r="Q66" s="71"/>
      <c r="R66" s="10" t="str">
        <f t="shared" si="50"/>
        <v/>
      </c>
      <c r="S66" s="71"/>
      <c r="T66" s="10" t="str">
        <f t="shared" si="18"/>
        <v/>
      </c>
      <c r="U66" s="71"/>
      <c r="V66" s="10" t="str">
        <f t="shared" si="39"/>
        <v/>
      </c>
      <c r="W66" s="10" t="str">
        <f t="shared" si="19"/>
        <v/>
      </c>
      <c r="X66" s="71"/>
      <c r="Y66" s="10" t="str">
        <f t="shared" si="40"/>
        <v/>
      </c>
      <c r="Z66" s="10" t="str">
        <f t="shared" si="20"/>
        <v/>
      </c>
      <c r="AA66" s="71"/>
      <c r="AB66" s="10" t="str">
        <f t="shared" si="4"/>
        <v/>
      </c>
      <c r="AC66" s="10" t="str">
        <f t="shared" si="21"/>
        <v/>
      </c>
      <c r="AD66" s="71"/>
      <c r="AE66" s="10" t="str">
        <f t="shared" si="41"/>
        <v/>
      </c>
      <c r="AF66" s="10" t="str">
        <f t="shared" si="22"/>
        <v/>
      </c>
      <c r="AG66" s="71"/>
      <c r="AH66" s="10" t="str">
        <f t="shared" si="42"/>
        <v/>
      </c>
      <c r="AI66" s="10" t="str">
        <f t="shared" si="23"/>
        <v/>
      </c>
      <c r="AJ66" s="71"/>
      <c r="AK66" s="10" t="str">
        <f t="shared" si="24"/>
        <v/>
      </c>
      <c r="AL66" s="10" t="str">
        <f t="shared" si="25"/>
        <v/>
      </c>
      <c r="AM66" s="71"/>
      <c r="AN66" s="10" t="str">
        <f t="shared" si="43"/>
        <v/>
      </c>
      <c r="AO66" s="10" t="str">
        <f t="shared" si="26"/>
        <v/>
      </c>
      <c r="AP66" s="71"/>
      <c r="AQ66" s="10" t="str">
        <f t="shared" si="44"/>
        <v/>
      </c>
      <c r="AR66" s="10" t="str">
        <f t="shared" si="27"/>
        <v/>
      </c>
      <c r="AS66" s="71"/>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U66" s="71"/>
      <c r="AV66" s="10" t="str">
        <f t="shared" si="45"/>
        <v/>
      </c>
      <c r="AW66" s="10" t="str">
        <f t="shared" si="10"/>
        <v/>
      </c>
      <c r="AX66" s="71"/>
      <c r="AY66" s="7" t="str">
        <f>IF(ISERROR(IF($K66&lt;=$F$15,VLOOKUP($I66,'表4）CO2価格'!$A$7:$E$67,VLOOKUP($F$48,'表4）CO2価格'!$H$10:$I$12,2,0),0)*$F$8/1000,"")),0,IF($K66&lt;=$F$15,VLOOKUP($I66,'表4）CO2価格'!$A$7:$E$67,VLOOKUP($F$48,'表4）CO2価格'!$H$10:$I$12,2,0),0)*$F$8/1000,""))</f>
        <v/>
      </c>
      <c r="AZ66" s="71"/>
      <c r="BA66" s="11" t="str">
        <f t="shared" si="46"/>
        <v/>
      </c>
      <c r="BB66" s="10" t="str">
        <f t="shared" si="28"/>
        <v/>
      </c>
      <c r="BC66" s="71"/>
      <c r="BD66" s="10" t="str">
        <f t="shared" si="47"/>
        <v/>
      </c>
      <c r="BE66" s="10" t="str">
        <f t="shared" si="29"/>
        <v/>
      </c>
      <c r="BF66" s="71"/>
      <c r="BG66" s="11" t="str">
        <f t="shared" si="48"/>
        <v/>
      </c>
      <c r="BH66" s="10" t="str">
        <f t="shared" si="30"/>
        <v/>
      </c>
      <c r="BJ66" s="7" t="str">
        <f t="shared" si="31"/>
        <v/>
      </c>
      <c r="BK66" s="158" t="str">
        <f t="shared" si="32"/>
        <v/>
      </c>
      <c r="BL66" s="158" t="str">
        <f t="shared" si="14"/>
        <v/>
      </c>
      <c r="BM66" s="10"/>
      <c r="BN66" s="10" t="str">
        <f t="shared" si="33"/>
        <v/>
      </c>
      <c r="BO66" s="10" t="str">
        <f t="shared" si="34"/>
        <v/>
      </c>
      <c r="BQ66" s="10" t="str">
        <f t="shared" si="49"/>
        <v/>
      </c>
      <c r="BR66" s="10" t="str">
        <f t="shared" si="35"/>
        <v/>
      </c>
    </row>
    <row r="67" spans="2:70" ht="15.75" thickBot="1" x14ac:dyDescent="0.2">
      <c r="B67" s="460" t="s">
        <v>133</v>
      </c>
      <c r="C67" s="86"/>
      <c r="D67" s="104"/>
      <c r="E67" s="104"/>
      <c r="F67" s="86"/>
      <c r="G67" s="104"/>
      <c r="I67" s="38">
        <f t="shared" si="36"/>
        <v>2082</v>
      </c>
      <c r="J67" s="39"/>
      <c r="K67" s="39">
        <f t="shared" si="37"/>
        <v>53</v>
      </c>
      <c r="L67" s="39"/>
      <c r="M67" s="40">
        <f t="shared" si="0"/>
        <v>0.20875029150899907</v>
      </c>
      <c r="N67" s="39"/>
      <c r="O67" s="72" t="str">
        <f t="shared" si="16"/>
        <v/>
      </c>
      <c r="P67" s="41" t="str">
        <f t="shared" si="38"/>
        <v/>
      </c>
      <c r="Q67" s="39"/>
      <c r="R67" s="72" t="str">
        <f t="shared" si="50"/>
        <v/>
      </c>
      <c r="S67" s="39"/>
      <c r="T67" s="72" t="str">
        <f t="shared" si="18"/>
        <v/>
      </c>
      <c r="U67" s="39"/>
      <c r="V67" s="72" t="str">
        <f t="shared" si="39"/>
        <v/>
      </c>
      <c r="W67" s="72" t="str">
        <f t="shared" si="19"/>
        <v/>
      </c>
      <c r="X67" s="39"/>
      <c r="Y67" s="72" t="str">
        <f t="shared" si="40"/>
        <v/>
      </c>
      <c r="Z67" s="72" t="str">
        <f t="shared" si="20"/>
        <v/>
      </c>
      <c r="AA67" s="39"/>
      <c r="AB67" s="72" t="str">
        <f t="shared" si="4"/>
        <v/>
      </c>
      <c r="AC67" s="72" t="str">
        <f t="shared" si="21"/>
        <v/>
      </c>
      <c r="AD67" s="39"/>
      <c r="AE67" s="72" t="str">
        <f t="shared" si="41"/>
        <v/>
      </c>
      <c r="AF67" s="72" t="str">
        <f t="shared" si="22"/>
        <v/>
      </c>
      <c r="AG67" s="39"/>
      <c r="AH67" s="72" t="str">
        <f t="shared" si="42"/>
        <v/>
      </c>
      <c r="AI67" s="72" t="str">
        <f t="shared" si="23"/>
        <v/>
      </c>
      <c r="AJ67" s="39"/>
      <c r="AK67" s="72" t="str">
        <f t="shared" si="24"/>
        <v/>
      </c>
      <c r="AL67" s="72" t="str">
        <f t="shared" si="25"/>
        <v/>
      </c>
      <c r="AM67" s="39"/>
      <c r="AN67" s="72" t="str">
        <f t="shared" si="43"/>
        <v/>
      </c>
      <c r="AO67" s="72" t="str">
        <f t="shared" si="26"/>
        <v/>
      </c>
      <c r="AP67" s="39"/>
      <c r="AQ67" s="72" t="str">
        <f t="shared" si="44"/>
        <v/>
      </c>
      <c r="AR67" s="72" t="str">
        <f t="shared" si="27"/>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45"/>
        <v/>
      </c>
      <c r="AW67" s="72" t="str">
        <f t="shared" si="10"/>
        <v/>
      </c>
      <c r="AX67" s="39"/>
      <c r="AY67" s="40" t="str">
        <f>IF(ISERROR(IF($K67&lt;=$F$15,VLOOKUP($I67,'表4）CO2価格'!$A$7:$E$67,VLOOKUP($F$48,'表4）CO2価格'!$H$10:$I$12,2,0),0)*$F$8/1000,"")),0,IF($K67&lt;=$F$15,VLOOKUP($I67,'表4）CO2価格'!$A$7:$E$67,VLOOKUP($F$48,'表4）CO2価格'!$H$10:$I$12,2,0),0)*$F$8/1000,""))</f>
        <v/>
      </c>
      <c r="AZ67" s="39"/>
      <c r="BA67" s="42" t="str">
        <f t="shared" si="46"/>
        <v/>
      </c>
      <c r="BB67" s="72" t="str">
        <f t="shared" si="28"/>
        <v/>
      </c>
      <c r="BC67" s="39"/>
      <c r="BD67" s="72" t="str">
        <f t="shared" si="47"/>
        <v/>
      </c>
      <c r="BE67" s="72" t="str">
        <f t="shared" si="29"/>
        <v/>
      </c>
      <c r="BF67" s="39"/>
      <c r="BG67" s="42" t="str">
        <f t="shared" si="48"/>
        <v/>
      </c>
      <c r="BH67" s="72" t="str">
        <f t="shared" si="30"/>
        <v/>
      </c>
      <c r="BI67" s="39"/>
      <c r="BJ67" s="40" t="str">
        <f t="shared" si="31"/>
        <v/>
      </c>
      <c r="BK67" s="157" t="str">
        <f t="shared" si="32"/>
        <v/>
      </c>
      <c r="BL67" s="157" t="str">
        <f t="shared" si="14"/>
        <v/>
      </c>
      <c r="BM67" s="72"/>
      <c r="BN67" s="72" t="str">
        <f t="shared" si="33"/>
        <v/>
      </c>
      <c r="BO67" s="72" t="str">
        <f t="shared" si="34"/>
        <v/>
      </c>
      <c r="BP67" s="39"/>
      <c r="BQ67" s="72" t="str">
        <f t="shared" si="49"/>
        <v/>
      </c>
      <c r="BR67" s="72" t="str">
        <f t="shared" si="35"/>
        <v/>
      </c>
    </row>
    <row r="68" spans="2:70" x14ac:dyDescent="0.15">
      <c r="I68" s="322">
        <f t="shared" si="36"/>
        <v>2083</v>
      </c>
      <c r="J68" s="71"/>
      <c r="K68" s="71">
        <f t="shared" si="37"/>
        <v>54</v>
      </c>
      <c r="L68" s="71"/>
      <c r="M68" s="7">
        <f t="shared" si="0"/>
        <v>0.20267018593106703</v>
      </c>
      <c r="N68" s="71"/>
      <c r="O68" s="10" t="str">
        <f t="shared" si="16"/>
        <v/>
      </c>
      <c r="P68" s="29" t="str">
        <f t="shared" si="38"/>
        <v/>
      </c>
      <c r="Q68" s="71"/>
      <c r="R68" s="10" t="str">
        <f t="shared" si="50"/>
        <v/>
      </c>
      <c r="S68" s="71"/>
      <c r="T68" s="10" t="str">
        <f t="shared" si="18"/>
        <v/>
      </c>
      <c r="U68" s="71"/>
      <c r="V68" s="10" t="str">
        <f t="shared" si="39"/>
        <v/>
      </c>
      <c r="W68" s="10" t="str">
        <f t="shared" si="19"/>
        <v/>
      </c>
      <c r="X68" s="71"/>
      <c r="Y68" s="10" t="str">
        <f t="shared" si="40"/>
        <v/>
      </c>
      <c r="Z68" s="10" t="str">
        <f t="shared" si="20"/>
        <v/>
      </c>
      <c r="AA68" s="71"/>
      <c r="AB68" s="10" t="str">
        <f t="shared" si="4"/>
        <v/>
      </c>
      <c r="AC68" s="10" t="str">
        <f t="shared" si="21"/>
        <v/>
      </c>
      <c r="AD68" s="71"/>
      <c r="AE68" s="10" t="str">
        <f t="shared" si="41"/>
        <v/>
      </c>
      <c r="AF68" s="10" t="str">
        <f t="shared" si="22"/>
        <v/>
      </c>
      <c r="AG68" s="71"/>
      <c r="AH68" s="10" t="str">
        <f t="shared" si="42"/>
        <v/>
      </c>
      <c r="AI68" s="10" t="str">
        <f t="shared" si="23"/>
        <v/>
      </c>
      <c r="AJ68" s="71"/>
      <c r="AK68" s="10" t="str">
        <f t="shared" si="24"/>
        <v/>
      </c>
      <c r="AL68" s="10" t="str">
        <f t="shared" si="25"/>
        <v/>
      </c>
      <c r="AM68" s="71"/>
      <c r="AN68" s="10" t="str">
        <f t="shared" si="43"/>
        <v/>
      </c>
      <c r="AO68" s="10" t="str">
        <f t="shared" si="26"/>
        <v/>
      </c>
      <c r="AP68" s="71"/>
      <c r="AQ68" s="10" t="str">
        <f t="shared" si="44"/>
        <v/>
      </c>
      <c r="AR68" s="10" t="str">
        <f t="shared" si="27"/>
        <v/>
      </c>
      <c r="AS68" s="71"/>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U68" s="71"/>
      <c r="AV68" s="10" t="str">
        <f t="shared" si="45"/>
        <v/>
      </c>
      <c r="AW68" s="10" t="str">
        <f t="shared" si="10"/>
        <v/>
      </c>
      <c r="AX68" s="71"/>
      <c r="AY68" s="7" t="str">
        <f>IF(ISERROR(IF($K68&lt;=$F$15,VLOOKUP($I68,'表4）CO2価格'!$A$7:$E$67,VLOOKUP($F$48,'表4）CO2価格'!$H$10:$I$12,2,0),0)*$F$8/1000,"")),0,IF($K68&lt;=$F$15,VLOOKUP($I68,'表4）CO2価格'!$A$7:$E$67,VLOOKUP($F$48,'表4）CO2価格'!$H$10:$I$12,2,0),0)*$F$8/1000,""))</f>
        <v/>
      </c>
      <c r="AZ68" s="71"/>
      <c r="BA68" s="11" t="str">
        <f t="shared" si="46"/>
        <v/>
      </c>
      <c r="BB68" s="10" t="str">
        <f t="shared" si="28"/>
        <v/>
      </c>
      <c r="BC68" s="71"/>
      <c r="BD68" s="10" t="str">
        <f t="shared" si="47"/>
        <v/>
      </c>
      <c r="BE68" s="10" t="str">
        <f t="shared" si="29"/>
        <v/>
      </c>
      <c r="BF68" s="71"/>
      <c r="BG68" s="11" t="str">
        <f t="shared" si="48"/>
        <v/>
      </c>
      <c r="BH68" s="10" t="str">
        <f t="shared" si="30"/>
        <v/>
      </c>
      <c r="BJ68" s="7" t="str">
        <f t="shared" si="31"/>
        <v/>
      </c>
      <c r="BK68" s="158" t="str">
        <f t="shared" si="32"/>
        <v/>
      </c>
      <c r="BL68" s="158" t="str">
        <f t="shared" si="14"/>
        <v/>
      </c>
      <c r="BM68" s="10"/>
      <c r="BN68" s="10" t="str">
        <f t="shared" si="33"/>
        <v/>
      </c>
      <c r="BO68" s="10" t="str">
        <f t="shared" si="34"/>
        <v/>
      </c>
      <c r="BQ68" s="10" t="str">
        <f t="shared" si="49"/>
        <v/>
      </c>
      <c r="BR68" s="10" t="str">
        <f t="shared" si="35"/>
        <v/>
      </c>
    </row>
    <row r="69" spans="2:70" x14ac:dyDescent="0.15">
      <c r="C69" s="461" t="s">
        <v>134</v>
      </c>
      <c r="D69" s="9"/>
      <c r="E69" s="9"/>
      <c r="F69" s="94">
        <f>SUBTOTAL(9,F74:F112)-F105</f>
        <v>9.4412702939391</v>
      </c>
      <c r="G69" s="9" t="s">
        <v>132</v>
      </c>
      <c r="I69" s="38">
        <f t="shared" si="36"/>
        <v>2084</v>
      </c>
      <c r="J69" s="39"/>
      <c r="K69" s="39">
        <f t="shared" si="37"/>
        <v>55</v>
      </c>
      <c r="L69" s="39"/>
      <c r="M69" s="40">
        <f t="shared" si="0"/>
        <v>0.19676717080686118</v>
      </c>
      <c r="N69" s="39"/>
      <c r="O69" s="72" t="str">
        <f t="shared" si="16"/>
        <v/>
      </c>
      <c r="P69" s="41" t="str">
        <f t="shared" si="38"/>
        <v/>
      </c>
      <c r="Q69" s="39"/>
      <c r="R69" s="72" t="str">
        <f t="shared" si="50"/>
        <v/>
      </c>
      <c r="S69" s="39"/>
      <c r="T69" s="72" t="str">
        <f t="shared" si="18"/>
        <v/>
      </c>
      <c r="U69" s="39"/>
      <c r="V69" s="72" t="str">
        <f t="shared" si="39"/>
        <v/>
      </c>
      <c r="W69" s="72" t="str">
        <f t="shared" si="19"/>
        <v/>
      </c>
      <c r="X69" s="39"/>
      <c r="Y69" s="72" t="str">
        <f t="shared" si="40"/>
        <v/>
      </c>
      <c r="Z69" s="72" t="str">
        <f t="shared" si="20"/>
        <v/>
      </c>
      <c r="AA69" s="39"/>
      <c r="AB69" s="72" t="str">
        <f t="shared" si="4"/>
        <v/>
      </c>
      <c r="AC69" s="72" t="str">
        <f t="shared" si="21"/>
        <v/>
      </c>
      <c r="AD69" s="39"/>
      <c r="AE69" s="72" t="str">
        <f t="shared" si="41"/>
        <v/>
      </c>
      <c r="AF69" s="72" t="str">
        <f t="shared" si="22"/>
        <v/>
      </c>
      <c r="AG69" s="39"/>
      <c r="AH69" s="72" t="str">
        <f t="shared" si="42"/>
        <v/>
      </c>
      <c r="AI69" s="72" t="str">
        <f t="shared" si="23"/>
        <v/>
      </c>
      <c r="AJ69" s="39"/>
      <c r="AK69" s="72" t="str">
        <f t="shared" si="24"/>
        <v/>
      </c>
      <c r="AL69" s="72" t="str">
        <f t="shared" si="25"/>
        <v/>
      </c>
      <c r="AM69" s="39"/>
      <c r="AN69" s="72" t="str">
        <f t="shared" si="43"/>
        <v/>
      </c>
      <c r="AO69" s="72" t="str">
        <f t="shared" si="26"/>
        <v/>
      </c>
      <c r="AP69" s="39"/>
      <c r="AQ69" s="72" t="str">
        <f t="shared" si="44"/>
        <v/>
      </c>
      <c r="AR69" s="72" t="str">
        <f t="shared" si="27"/>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45"/>
        <v/>
      </c>
      <c r="AW69" s="72" t="str">
        <f t="shared" si="10"/>
        <v/>
      </c>
      <c r="AX69" s="39"/>
      <c r="AY69" s="40" t="str">
        <f>IF(ISERROR(IF($K69&lt;=$F$15,VLOOKUP($I69,'表4）CO2価格'!$A$7:$E$67,VLOOKUP($F$48,'表4）CO2価格'!$H$10:$I$12,2,0),0)*$F$8/1000,"")),0,IF($K69&lt;=$F$15,VLOOKUP($I69,'表4）CO2価格'!$A$7:$E$67,VLOOKUP($F$48,'表4）CO2価格'!$H$10:$I$12,2,0),0)*$F$8/1000,""))</f>
        <v/>
      </c>
      <c r="AZ69" s="39"/>
      <c r="BA69" s="42" t="str">
        <f t="shared" si="46"/>
        <v/>
      </c>
      <c r="BB69" s="72" t="str">
        <f t="shared" si="28"/>
        <v/>
      </c>
      <c r="BC69" s="39"/>
      <c r="BD69" s="72" t="str">
        <f t="shared" si="47"/>
        <v/>
      </c>
      <c r="BE69" s="72" t="str">
        <f t="shared" si="29"/>
        <v/>
      </c>
      <c r="BF69" s="39"/>
      <c r="BG69" s="42" t="str">
        <f t="shared" si="48"/>
        <v/>
      </c>
      <c r="BH69" s="72" t="str">
        <f t="shared" si="30"/>
        <v/>
      </c>
      <c r="BI69" s="39"/>
      <c r="BJ69" s="40" t="str">
        <f t="shared" si="31"/>
        <v/>
      </c>
      <c r="BK69" s="157" t="str">
        <f t="shared" si="32"/>
        <v/>
      </c>
      <c r="BL69" s="157" t="str">
        <f t="shared" si="14"/>
        <v/>
      </c>
      <c r="BM69" s="72"/>
      <c r="BN69" s="72" t="str">
        <f t="shared" si="33"/>
        <v/>
      </c>
      <c r="BO69" s="72" t="str">
        <f t="shared" si="34"/>
        <v/>
      </c>
      <c r="BP69" s="39"/>
      <c r="BQ69" s="72" t="str">
        <f t="shared" si="49"/>
        <v/>
      </c>
      <c r="BR69" s="72" t="str">
        <f t="shared" si="35"/>
        <v/>
      </c>
    </row>
    <row r="70" spans="2:70" x14ac:dyDescent="0.15">
      <c r="C70" s="461" t="s">
        <v>135</v>
      </c>
      <c r="D70" s="9"/>
      <c r="E70" s="9"/>
      <c r="F70" s="94">
        <f>SUBTOTAL(9,F74:F112)</f>
        <v>9.4712702939390994</v>
      </c>
      <c r="G70" s="9" t="s">
        <v>132</v>
      </c>
      <c r="I70" s="322">
        <f t="shared" si="36"/>
        <v>2085</v>
      </c>
      <c r="J70" s="71"/>
      <c r="K70" s="71">
        <f t="shared" si="37"/>
        <v>56</v>
      </c>
      <c r="L70" s="71"/>
      <c r="M70" s="7">
        <f t="shared" si="0"/>
        <v>0.19103608816200118</v>
      </c>
      <c r="N70" s="71"/>
      <c r="O70" s="10" t="str">
        <f t="shared" si="16"/>
        <v/>
      </c>
      <c r="P70" s="29" t="str">
        <f t="shared" si="38"/>
        <v/>
      </c>
      <c r="Q70" s="71"/>
      <c r="R70" s="10" t="str">
        <f t="shared" si="50"/>
        <v/>
      </c>
      <c r="S70" s="71"/>
      <c r="T70" s="10" t="str">
        <f t="shared" si="18"/>
        <v/>
      </c>
      <c r="U70" s="71"/>
      <c r="V70" s="10" t="str">
        <f t="shared" si="39"/>
        <v/>
      </c>
      <c r="W70" s="10" t="str">
        <f t="shared" si="19"/>
        <v/>
      </c>
      <c r="X70" s="71"/>
      <c r="Y70" s="10" t="str">
        <f t="shared" si="40"/>
        <v/>
      </c>
      <c r="Z70" s="10" t="str">
        <f t="shared" si="20"/>
        <v/>
      </c>
      <c r="AA70" s="71"/>
      <c r="AB70" s="10" t="str">
        <f t="shared" si="4"/>
        <v/>
      </c>
      <c r="AC70" s="10" t="str">
        <f t="shared" si="21"/>
        <v/>
      </c>
      <c r="AD70" s="71"/>
      <c r="AE70" s="10" t="str">
        <f t="shared" si="41"/>
        <v/>
      </c>
      <c r="AF70" s="10" t="str">
        <f t="shared" si="22"/>
        <v/>
      </c>
      <c r="AG70" s="71"/>
      <c r="AH70" s="10" t="str">
        <f t="shared" si="42"/>
        <v/>
      </c>
      <c r="AI70" s="10" t="str">
        <f t="shared" si="23"/>
        <v/>
      </c>
      <c r="AJ70" s="71"/>
      <c r="AK70" s="10" t="str">
        <f t="shared" si="24"/>
        <v/>
      </c>
      <c r="AL70" s="10" t="str">
        <f t="shared" si="25"/>
        <v/>
      </c>
      <c r="AM70" s="71"/>
      <c r="AN70" s="10" t="str">
        <f t="shared" si="43"/>
        <v/>
      </c>
      <c r="AO70" s="10" t="str">
        <f t="shared" si="26"/>
        <v/>
      </c>
      <c r="AP70" s="71"/>
      <c r="AQ70" s="10" t="str">
        <f t="shared" si="44"/>
        <v/>
      </c>
      <c r="AR70" s="10" t="str">
        <f t="shared" si="27"/>
        <v/>
      </c>
      <c r="AS70" s="71"/>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U70" s="71"/>
      <c r="AV70" s="10" t="str">
        <f t="shared" si="45"/>
        <v/>
      </c>
      <c r="AW70" s="10" t="str">
        <f t="shared" si="10"/>
        <v/>
      </c>
      <c r="AX70" s="71"/>
      <c r="AY70" s="7" t="str">
        <f>IF(ISERROR(IF($K70&lt;=$F$15,VLOOKUP($I70,'表4）CO2価格'!$A$7:$E$67,VLOOKUP($F$48,'表4）CO2価格'!$H$10:$I$12,2,0),0)*$F$8/1000,"")),0,IF($K70&lt;=$F$15,VLOOKUP($I70,'表4）CO2価格'!$A$7:$E$67,VLOOKUP($F$48,'表4）CO2価格'!$H$10:$I$12,2,0),0)*$F$8/1000,""))</f>
        <v/>
      </c>
      <c r="AZ70" s="71"/>
      <c r="BA70" s="11" t="str">
        <f t="shared" si="46"/>
        <v/>
      </c>
      <c r="BB70" s="10" t="str">
        <f t="shared" si="28"/>
        <v/>
      </c>
      <c r="BC70" s="71"/>
      <c r="BD70" s="10" t="str">
        <f t="shared" si="47"/>
        <v/>
      </c>
      <c r="BE70" s="10" t="str">
        <f t="shared" si="29"/>
        <v/>
      </c>
      <c r="BF70" s="71"/>
      <c r="BG70" s="11" t="str">
        <f t="shared" si="48"/>
        <v/>
      </c>
      <c r="BH70" s="10" t="str">
        <f t="shared" si="30"/>
        <v/>
      </c>
      <c r="BJ70" s="7" t="str">
        <f t="shared" si="31"/>
        <v/>
      </c>
      <c r="BK70" s="158" t="str">
        <f t="shared" si="32"/>
        <v/>
      </c>
      <c r="BL70" s="158" t="str">
        <f t="shared" si="14"/>
        <v/>
      </c>
      <c r="BM70" s="10"/>
      <c r="BN70" s="10" t="str">
        <f t="shared" si="33"/>
        <v/>
      </c>
      <c r="BO70" s="10" t="str">
        <f t="shared" si="34"/>
        <v/>
      </c>
      <c r="BQ70" s="10" t="str">
        <f t="shared" si="49"/>
        <v/>
      </c>
      <c r="BR70" s="10" t="str">
        <f t="shared" si="35"/>
        <v/>
      </c>
    </row>
    <row r="71" spans="2:70" x14ac:dyDescent="0.15">
      <c r="F71" s="145"/>
      <c r="I71" s="38">
        <f t="shared" si="36"/>
        <v>2086</v>
      </c>
      <c r="J71" s="39"/>
      <c r="K71" s="39">
        <f t="shared" si="37"/>
        <v>57</v>
      </c>
      <c r="L71" s="39"/>
      <c r="M71" s="40">
        <f t="shared" si="0"/>
        <v>0.18547193025437006</v>
      </c>
      <c r="N71" s="39"/>
      <c r="O71" s="72" t="str">
        <f t="shared" si="16"/>
        <v/>
      </c>
      <c r="P71" s="41" t="str">
        <f t="shared" si="38"/>
        <v/>
      </c>
      <c r="Q71" s="39"/>
      <c r="R71" s="72" t="str">
        <f t="shared" si="50"/>
        <v/>
      </c>
      <c r="S71" s="39"/>
      <c r="T71" s="72" t="str">
        <f t="shared" si="18"/>
        <v/>
      </c>
      <c r="U71" s="39"/>
      <c r="V71" s="72" t="str">
        <f t="shared" si="39"/>
        <v/>
      </c>
      <c r="W71" s="72" t="str">
        <f t="shared" si="19"/>
        <v/>
      </c>
      <c r="X71" s="39"/>
      <c r="Y71" s="72" t="str">
        <f t="shared" si="40"/>
        <v/>
      </c>
      <c r="Z71" s="72" t="str">
        <f t="shared" si="20"/>
        <v/>
      </c>
      <c r="AA71" s="39"/>
      <c r="AB71" s="72" t="str">
        <f t="shared" si="4"/>
        <v/>
      </c>
      <c r="AC71" s="72" t="str">
        <f t="shared" si="21"/>
        <v/>
      </c>
      <c r="AD71" s="39"/>
      <c r="AE71" s="72" t="str">
        <f t="shared" si="41"/>
        <v/>
      </c>
      <c r="AF71" s="72" t="str">
        <f t="shared" si="22"/>
        <v/>
      </c>
      <c r="AG71" s="39"/>
      <c r="AH71" s="72" t="str">
        <f t="shared" si="42"/>
        <v/>
      </c>
      <c r="AI71" s="72" t="str">
        <f t="shared" si="23"/>
        <v/>
      </c>
      <c r="AJ71" s="39"/>
      <c r="AK71" s="72" t="str">
        <f t="shared" si="24"/>
        <v/>
      </c>
      <c r="AL71" s="72" t="str">
        <f t="shared" si="25"/>
        <v/>
      </c>
      <c r="AM71" s="39"/>
      <c r="AN71" s="72" t="str">
        <f t="shared" si="43"/>
        <v/>
      </c>
      <c r="AO71" s="72" t="str">
        <f t="shared" si="26"/>
        <v/>
      </c>
      <c r="AP71" s="39"/>
      <c r="AQ71" s="72" t="str">
        <f t="shared" si="44"/>
        <v/>
      </c>
      <c r="AR71" s="72" t="str">
        <f t="shared" si="27"/>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45"/>
        <v/>
      </c>
      <c r="AW71" s="72" t="str">
        <f t="shared" si="10"/>
        <v/>
      </c>
      <c r="AX71" s="39"/>
      <c r="AY71" s="40" t="str">
        <f>IF(ISERROR(IF($K71&lt;=$F$15,VLOOKUP($I71,'表4）CO2価格'!$A$7:$E$67,VLOOKUP($F$48,'表4）CO2価格'!$H$10:$I$12,2,0),0)*$F$8/1000,"")),0,IF($K71&lt;=$F$15,VLOOKUP($I71,'表4）CO2価格'!$A$7:$E$67,VLOOKUP($F$48,'表4）CO2価格'!$H$10:$I$12,2,0),0)*$F$8/1000,""))</f>
        <v/>
      </c>
      <c r="AZ71" s="39"/>
      <c r="BA71" s="42" t="str">
        <f t="shared" si="46"/>
        <v/>
      </c>
      <c r="BB71" s="72" t="str">
        <f t="shared" si="28"/>
        <v/>
      </c>
      <c r="BC71" s="39"/>
      <c r="BD71" s="72" t="str">
        <f t="shared" si="47"/>
        <v/>
      </c>
      <c r="BE71" s="72" t="str">
        <f t="shared" si="29"/>
        <v/>
      </c>
      <c r="BF71" s="39"/>
      <c r="BG71" s="42" t="str">
        <f t="shared" si="48"/>
        <v/>
      </c>
      <c r="BH71" s="72" t="str">
        <f t="shared" si="30"/>
        <v/>
      </c>
      <c r="BI71" s="39"/>
      <c r="BJ71" s="40" t="str">
        <f t="shared" si="31"/>
        <v/>
      </c>
      <c r="BK71" s="157" t="str">
        <f t="shared" si="32"/>
        <v/>
      </c>
      <c r="BL71" s="157" t="str">
        <f t="shared" si="14"/>
        <v/>
      </c>
      <c r="BM71" s="72"/>
      <c r="BN71" s="72" t="str">
        <f t="shared" si="33"/>
        <v/>
      </c>
      <c r="BO71" s="72" t="str">
        <f t="shared" si="34"/>
        <v/>
      </c>
      <c r="BP71" s="39"/>
      <c r="BQ71" s="72" t="str">
        <f t="shared" si="49"/>
        <v/>
      </c>
      <c r="BR71" s="72" t="str">
        <f t="shared" si="35"/>
        <v/>
      </c>
    </row>
    <row r="72" spans="2:70" x14ac:dyDescent="0.15">
      <c r="C72" s="89" t="s">
        <v>136</v>
      </c>
      <c r="D72" s="101"/>
      <c r="E72" s="101"/>
      <c r="F72" s="92"/>
      <c r="G72" s="101"/>
      <c r="I72" s="322">
        <f t="shared" si="36"/>
        <v>2087</v>
      </c>
      <c r="J72" s="71"/>
      <c r="K72" s="71">
        <f t="shared" si="37"/>
        <v>58</v>
      </c>
      <c r="L72" s="71"/>
      <c r="M72" s="7">
        <f t="shared" si="0"/>
        <v>0.18006983519841754</v>
      </c>
      <c r="N72" s="71"/>
      <c r="O72" s="10" t="str">
        <f t="shared" si="16"/>
        <v/>
      </c>
      <c r="P72" s="29" t="str">
        <f t="shared" si="38"/>
        <v/>
      </c>
      <c r="Q72" s="71"/>
      <c r="R72" s="10" t="str">
        <f t="shared" si="50"/>
        <v/>
      </c>
      <c r="S72" s="71"/>
      <c r="T72" s="10" t="str">
        <f t="shared" si="18"/>
        <v/>
      </c>
      <c r="U72" s="71"/>
      <c r="V72" s="10" t="str">
        <f t="shared" si="39"/>
        <v/>
      </c>
      <c r="W72" s="10" t="str">
        <f t="shared" si="19"/>
        <v/>
      </c>
      <c r="X72" s="71"/>
      <c r="Y72" s="10" t="str">
        <f t="shared" si="40"/>
        <v/>
      </c>
      <c r="Z72" s="10" t="str">
        <f t="shared" si="20"/>
        <v/>
      </c>
      <c r="AA72" s="71"/>
      <c r="AB72" s="10" t="str">
        <f t="shared" si="4"/>
        <v/>
      </c>
      <c r="AC72" s="10" t="str">
        <f t="shared" si="21"/>
        <v/>
      </c>
      <c r="AD72" s="71"/>
      <c r="AE72" s="10" t="str">
        <f t="shared" si="41"/>
        <v/>
      </c>
      <c r="AF72" s="10" t="str">
        <f t="shared" si="22"/>
        <v/>
      </c>
      <c r="AG72" s="71"/>
      <c r="AH72" s="10" t="str">
        <f t="shared" si="42"/>
        <v/>
      </c>
      <c r="AI72" s="10" t="str">
        <f t="shared" si="23"/>
        <v/>
      </c>
      <c r="AJ72" s="71"/>
      <c r="AK72" s="10" t="str">
        <f t="shared" si="24"/>
        <v/>
      </c>
      <c r="AL72" s="10" t="str">
        <f t="shared" si="25"/>
        <v/>
      </c>
      <c r="AM72" s="71"/>
      <c r="AN72" s="10" t="str">
        <f t="shared" si="43"/>
        <v/>
      </c>
      <c r="AO72" s="10" t="str">
        <f t="shared" si="26"/>
        <v/>
      </c>
      <c r="AP72" s="71"/>
      <c r="AQ72" s="10" t="str">
        <f t="shared" si="44"/>
        <v/>
      </c>
      <c r="AR72" s="10" t="str">
        <f t="shared" si="27"/>
        <v/>
      </c>
      <c r="AS72" s="71"/>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U72" s="71"/>
      <c r="AV72" s="10" t="str">
        <f t="shared" si="45"/>
        <v/>
      </c>
      <c r="AW72" s="10" t="str">
        <f t="shared" si="10"/>
        <v/>
      </c>
      <c r="AX72" s="71"/>
      <c r="AY72" s="7" t="str">
        <f>IF(ISERROR(IF($K72&lt;=$F$15,VLOOKUP($I72,'表4）CO2価格'!$A$7:$E$67,VLOOKUP($F$48,'表4）CO2価格'!$H$10:$I$12,2,0),0)*$F$8/1000,"")),0,IF($K72&lt;=$F$15,VLOOKUP($I72,'表4）CO2価格'!$A$7:$E$67,VLOOKUP($F$48,'表4）CO2価格'!$H$10:$I$12,2,0),0)*$F$8/1000,""))</f>
        <v/>
      </c>
      <c r="AZ72" s="71"/>
      <c r="BA72" s="11" t="str">
        <f t="shared" si="46"/>
        <v/>
      </c>
      <c r="BB72" s="10" t="str">
        <f t="shared" si="28"/>
        <v/>
      </c>
      <c r="BC72" s="71"/>
      <c r="BD72" s="10" t="str">
        <f t="shared" si="47"/>
        <v/>
      </c>
      <c r="BE72" s="10" t="str">
        <f t="shared" si="29"/>
        <v/>
      </c>
      <c r="BF72" s="71"/>
      <c r="BG72" s="11" t="str">
        <f t="shared" si="48"/>
        <v/>
      </c>
      <c r="BH72" s="10" t="str">
        <f t="shared" si="30"/>
        <v/>
      </c>
      <c r="BJ72" s="7" t="str">
        <f t="shared" si="31"/>
        <v/>
      </c>
      <c r="BK72" s="158" t="str">
        <f t="shared" si="32"/>
        <v/>
      </c>
      <c r="BL72" s="158" t="str">
        <f t="shared" si="14"/>
        <v/>
      </c>
      <c r="BM72" s="10"/>
      <c r="BN72" s="10" t="str">
        <f t="shared" si="33"/>
        <v/>
      </c>
      <c r="BO72" s="10" t="str">
        <f t="shared" si="34"/>
        <v/>
      </c>
      <c r="BQ72" s="10" t="str">
        <f t="shared" si="49"/>
        <v/>
      </c>
      <c r="BR72" s="10" t="str">
        <f t="shared" si="35"/>
        <v/>
      </c>
    </row>
    <row r="73" spans="2:70" x14ac:dyDescent="0.15">
      <c r="F73" s="93"/>
      <c r="I73" s="38">
        <f t="shared" si="36"/>
        <v>2088</v>
      </c>
      <c r="J73" s="39"/>
      <c r="K73" s="39">
        <f t="shared" si="37"/>
        <v>59</v>
      </c>
      <c r="L73" s="39"/>
      <c r="M73" s="40">
        <f t="shared" si="0"/>
        <v>0.17482508271691022</v>
      </c>
      <c r="N73" s="39"/>
      <c r="O73" s="72" t="str">
        <f t="shared" si="16"/>
        <v/>
      </c>
      <c r="P73" s="41" t="str">
        <f t="shared" si="38"/>
        <v/>
      </c>
      <c r="Q73" s="39"/>
      <c r="R73" s="72" t="str">
        <f t="shared" si="50"/>
        <v/>
      </c>
      <c r="S73" s="39"/>
      <c r="T73" s="72" t="str">
        <f t="shared" si="18"/>
        <v/>
      </c>
      <c r="U73" s="39"/>
      <c r="V73" s="72" t="str">
        <f t="shared" si="39"/>
        <v/>
      </c>
      <c r="W73" s="72" t="str">
        <f t="shared" si="19"/>
        <v/>
      </c>
      <c r="X73" s="39"/>
      <c r="Y73" s="72" t="str">
        <f t="shared" si="40"/>
        <v/>
      </c>
      <c r="Z73" s="72" t="str">
        <f t="shared" si="20"/>
        <v/>
      </c>
      <c r="AA73" s="39"/>
      <c r="AB73" s="72" t="str">
        <f t="shared" si="4"/>
        <v/>
      </c>
      <c r="AC73" s="72" t="str">
        <f t="shared" si="21"/>
        <v/>
      </c>
      <c r="AD73" s="39"/>
      <c r="AE73" s="72" t="str">
        <f t="shared" si="41"/>
        <v/>
      </c>
      <c r="AF73" s="72" t="str">
        <f t="shared" si="22"/>
        <v/>
      </c>
      <c r="AG73" s="39"/>
      <c r="AH73" s="72" t="str">
        <f t="shared" si="42"/>
        <v/>
      </c>
      <c r="AI73" s="72" t="str">
        <f t="shared" si="23"/>
        <v/>
      </c>
      <c r="AJ73" s="39"/>
      <c r="AK73" s="72" t="str">
        <f t="shared" si="24"/>
        <v/>
      </c>
      <c r="AL73" s="72" t="str">
        <f t="shared" si="25"/>
        <v/>
      </c>
      <c r="AM73" s="39"/>
      <c r="AN73" s="72" t="str">
        <f t="shared" si="43"/>
        <v/>
      </c>
      <c r="AO73" s="72" t="str">
        <f t="shared" si="26"/>
        <v/>
      </c>
      <c r="AP73" s="39"/>
      <c r="AQ73" s="72" t="str">
        <f t="shared" si="44"/>
        <v/>
      </c>
      <c r="AR73" s="72" t="str">
        <f t="shared" si="27"/>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45"/>
        <v/>
      </c>
      <c r="AW73" s="72" t="str">
        <f t="shared" si="10"/>
        <v/>
      </c>
      <c r="AX73" s="39"/>
      <c r="AY73" s="40" t="str">
        <f>IF(ISERROR(IF($K73&lt;=$F$15,VLOOKUP($I73,'表4）CO2価格'!$A$7:$E$67,VLOOKUP($F$48,'表4）CO2価格'!$H$10:$I$12,2,0),0)*$F$8/1000,"")),0,IF($K73&lt;=$F$15,VLOOKUP($I73,'表4）CO2価格'!$A$7:$E$67,VLOOKUP($F$48,'表4）CO2価格'!$H$10:$I$12,2,0),0)*$F$8/1000,""))</f>
        <v/>
      </c>
      <c r="AZ73" s="39"/>
      <c r="BA73" s="42" t="str">
        <f t="shared" si="46"/>
        <v/>
      </c>
      <c r="BB73" s="72" t="str">
        <f t="shared" si="28"/>
        <v/>
      </c>
      <c r="BC73" s="39"/>
      <c r="BD73" s="72" t="str">
        <f t="shared" si="47"/>
        <v/>
      </c>
      <c r="BE73" s="72" t="str">
        <f t="shared" si="29"/>
        <v/>
      </c>
      <c r="BF73" s="39"/>
      <c r="BG73" s="42" t="str">
        <f t="shared" si="48"/>
        <v/>
      </c>
      <c r="BH73" s="72" t="str">
        <f t="shared" si="30"/>
        <v/>
      </c>
      <c r="BI73" s="39"/>
      <c r="BJ73" s="40" t="str">
        <f t="shared" si="31"/>
        <v/>
      </c>
      <c r="BK73" s="157" t="str">
        <f t="shared" si="32"/>
        <v/>
      </c>
      <c r="BL73" s="157" t="str">
        <f t="shared" si="14"/>
        <v/>
      </c>
      <c r="BM73" s="72"/>
      <c r="BN73" s="72" t="str">
        <f t="shared" si="33"/>
        <v/>
      </c>
      <c r="BO73" s="72" t="str">
        <f t="shared" si="34"/>
        <v/>
      </c>
      <c r="BP73" s="39"/>
      <c r="BQ73" s="72" t="str">
        <f t="shared" si="49"/>
        <v/>
      </c>
      <c r="BR73" s="72" t="str">
        <f t="shared" si="35"/>
        <v/>
      </c>
    </row>
    <row r="74" spans="2:70" ht="15" x14ac:dyDescent="0.15">
      <c r="D74" s="116" t="s">
        <v>192</v>
      </c>
      <c r="F74" s="94">
        <f>SUBTOTAL(9,F78:F81)</f>
        <v>1.2725982259508049</v>
      </c>
      <c r="G74" s="81" t="s">
        <v>132</v>
      </c>
      <c r="I74" s="322">
        <f t="shared" si="36"/>
        <v>2089</v>
      </c>
      <c r="J74" s="71"/>
      <c r="K74" s="71">
        <f t="shared" si="37"/>
        <v>60</v>
      </c>
      <c r="L74" s="71"/>
      <c r="M74" s="7">
        <f t="shared" si="0"/>
        <v>0.1697330900164177</v>
      </c>
      <c r="N74" s="71"/>
      <c r="O74" s="10" t="str">
        <f t="shared" si="16"/>
        <v/>
      </c>
      <c r="P74" s="29" t="str">
        <f t="shared" si="38"/>
        <v/>
      </c>
      <c r="Q74" s="71"/>
      <c r="R74" s="10" t="str">
        <f t="shared" si="50"/>
        <v/>
      </c>
      <c r="S74" s="71"/>
      <c r="T74" s="10" t="str">
        <f t="shared" si="18"/>
        <v/>
      </c>
      <c r="U74" s="71"/>
      <c r="V74" s="10" t="str">
        <f t="shared" si="39"/>
        <v/>
      </c>
      <c r="W74" s="10" t="str">
        <f t="shared" si="19"/>
        <v/>
      </c>
      <c r="X74" s="71"/>
      <c r="Y74" s="10" t="str">
        <f t="shared" si="40"/>
        <v/>
      </c>
      <c r="Z74" s="10" t="str">
        <f t="shared" si="20"/>
        <v/>
      </c>
      <c r="AA74" s="71"/>
      <c r="AB74" s="10" t="str">
        <f t="shared" si="4"/>
        <v/>
      </c>
      <c r="AC74" s="10" t="str">
        <f t="shared" si="21"/>
        <v/>
      </c>
      <c r="AD74" s="71"/>
      <c r="AE74" s="10" t="str">
        <f t="shared" si="41"/>
        <v/>
      </c>
      <c r="AF74" s="10" t="str">
        <f t="shared" si="22"/>
        <v/>
      </c>
      <c r="AG74" s="71"/>
      <c r="AH74" s="10" t="str">
        <f t="shared" si="42"/>
        <v/>
      </c>
      <c r="AI74" s="10" t="str">
        <f t="shared" si="23"/>
        <v/>
      </c>
      <c r="AJ74" s="71"/>
      <c r="AK74" s="10" t="str">
        <f t="shared" si="24"/>
        <v/>
      </c>
      <c r="AL74" s="10" t="str">
        <f t="shared" si="25"/>
        <v/>
      </c>
      <c r="AM74" s="71"/>
      <c r="AN74" s="10" t="str">
        <f t="shared" si="43"/>
        <v/>
      </c>
      <c r="AO74" s="10" t="str">
        <f t="shared" si="26"/>
        <v/>
      </c>
      <c r="AP74" s="71"/>
      <c r="AQ74" s="10" t="str">
        <f t="shared" si="44"/>
        <v/>
      </c>
      <c r="AR74" s="10" t="str">
        <f t="shared" si="27"/>
        <v/>
      </c>
      <c r="AS74" s="71"/>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U74" s="71"/>
      <c r="AV74" s="10" t="str">
        <f t="shared" si="45"/>
        <v/>
      </c>
      <c r="AW74" s="10" t="str">
        <f t="shared" si="10"/>
        <v/>
      </c>
      <c r="AX74" s="71"/>
      <c r="AY74" s="7" t="str">
        <f>IF(ISERROR(IF($K74&lt;=$F$15,VLOOKUP($I74,'表4）CO2価格'!$A$7:$E$67,VLOOKUP($F$48,'表4）CO2価格'!$H$10:$I$12,2,0),0)*$F$8/1000,"")),0,IF($K74&lt;=$F$15,VLOOKUP($I74,'表4）CO2価格'!$A$7:$E$67,VLOOKUP($F$48,'表4）CO2価格'!$H$10:$I$12,2,0),0)*$F$8/1000,""))</f>
        <v/>
      </c>
      <c r="AZ74" s="71"/>
      <c r="BA74" s="11" t="str">
        <f t="shared" si="46"/>
        <v/>
      </c>
      <c r="BB74" s="10" t="str">
        <f t="shared" si="28"/>
        <v/>
      </c>
      <c r="BC74" s="71"/>
      <c r="BD74" s="10" t="str">
        <f t="shared" si="47"/>
        <v/>
      </c>
      <c r="BE74" s="10" t="str">
        <f t="shared" si="29"/>
        <v/>
      </c>
      <c r="BF74" s="71"/>
      <c r="BG74" s="11" t="str">
        <f t="shared" si="48"/>
        <v/>
      </c>
      <c r="BH74" s="10" t="str">
        <f t="shared" si="30"/>
        <v/>
      </c>
      <c r="BJ74" s="7" t="str">
        <f t="shared" si="31"/>
        <v/>
      </c>
      <c r="BK74" s="158" t="str">
        <f t="shared" si="32"/>
        <v/>
      </c>
      <c r="BL74" s="158" t="str">
        <f t="shared" si="14"/>
        <v/>
      </c>
      <c r="BM74" s="10"/>
      <c r="BN74" s="10" t="str">
        <f t="shared" si="33"/>
        <v/>
      </c>
      <c r="BO74" s="10" t="str">
        <f t="shared" si="34"/>
        <v/>
      </c>
      <c r="BQ74" s="10" t="str">
        <f t="shared" si="49"/>
        <v/>
      </c>
      <c r="BR74" s="10" t="str">
        <f t="shared" si="35"/>
        <v/>
      </c>
    </row>
    <row r="75" spans="2:70" x14ac:dyDescent="0.15">
      <c r="F75" s="93"/>
      <c r="I75" s="38">
        <f t="shared" si="36"/>
        <v>2090</v>
      </c>
      <c r="J75" s="39"/>
      <c r="K75" s="39">
        <f t="shared" si="37"/>
        <v>61</v>
      </c>
      <c r="L75" s="39"/>
      <c r="M75" s="40">
        <f t="shared" si="0"/>
        <v>0.16478940778292983</v>
      </c>
      <c r="N75" s="39"/>
      <c r="O75" s="72" t="str">
        <f t="shared" si="16"/>
        <v/>
      </c>
      <c r="P75" s="41" t="str">
        <f t="shared" si="38"/>
        <v/>
      </c>
      <c r="Q75" s="39"/>
      <c r="R75" s="72" t="str">
        <f t="shared" si="50"/>
        <v/>
      </c>
      <c r="S75" s="39"/>
      <c r="T75" s="72" t="str">
        <f t="shared" si="18"/>
        <v/>
      </c>
      <c r="U75" s="39"/>
      <c r="V75" s="72" t="str">
        <f t="shared" si="39"/>
        <v/>
      </c>
      <c r="W75" s="72" t="str">
        <f t="shared" si="19"/>
        <v/>
      </c>
      <c r="X75" s="39"/>
      <c r="Y75" s="72" t="str">
        <f t="shared" si="40"/>
        <v/>
      </c>
      <c r="Z75" s="72" t="str">
        <f t="shared" si="20"/>
        <v/>
      </c>
      <c r="AA75" s="39"/>
      <c r="AB75" s="72" t="str">
        <f t="shared" si="4"/>
        <v/>
      </c>
      <c r="AC75" s="72" t="str">
        <f t="shared" si="21"/>
        <v/>
      </c>
      <c r="AD75" s="39"/>
      <c r="AE75" s="72" t="str">
        <f t="shared" si="41"/>
        <v/>
      </c>
      <c r="AF75" s="72" t="str">
        <f t="shared" si="22"/>
        <v/>
      </c>
      <c r="AG75" s="39"/>
      <c r="AH75" s="72" t="str">
        <f t="shared" si="42"/>
        <v/>
      </c>
      <c r="AI75" s="72" t="str">
        <f t="shared" si="23"/>
        <v/>
      </c>
      <c r="AJ75" s="39"/>
      <c r="AK75" s="72" t="str">
        <f t="shared" si="24"/>
        <v/>
      </c>
      <c r="AL75" s="72" t="str">
        <f t="shared" si="25"/>
        <v/>
      </c>
      <c r="AM75" s="39"/>
      <c r="AN75" s="72" t="str">
        <f t="shared" si="43"/>
        <v/>
      </c>
      <c r="AO75" s="72" t="str">
        <f t="shared" si="26"/>
        <v/>
      </c>
      <c r="AP75" s="39"/>
      <c r="AQ75" s="72" t="str">
        <f t="shared" si="44"/>
        <v/>
      </c>
      <c r="AR75" s="72" t="str">
        <f t="shared" si="27"/>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45"/>
        <v/>
      </c>
      <c r="AW75" s="72" t="str">
        <f t="shared" si="10"/>
        <v/>
      </c>
      <c r="AX75" s="39"/>
      <c r="AY75" s="40" t="str">
        <f>IF(ISERROR(IF($K75&lt;=$F$15,VLOOKUP($I75,'表4）CO2価格'!$A$7:$E$67,VLOOKUP($F$48,'表4）CO2価格'!$H$10:$I$12,2,0),0)*$F$8/1000,"")),0,IF($K75&lt;=$F$15,VLOOKUP($I75,'表4）CO2価格'!$A$7:$E$67,VLOOKUP($F$48,'表4）CO2価格'!$H$10:$I$12,2,0),0)*$F$8/1000,""))</f>
        <v/>
      </c>
      <c r="AZ75" s="39"/>
      <c r="BA75" s="42" t="str">
        <f t="shared" si="46"/>
        <v/>
      </c>
      <c r="BB75" s="72" t="str">
        <f t="shared" si="28"/>
        <v/>
      </c>
      <c r="BC75" s="39"/>
      <c r="BD75" s="72" t="str">
        <f t="shared" si="47"/>
        <v/>
      </c>
      <c r="BE75" s="72" t="str">
        <f t="shared" si="29"/>
        <v/>
      </c>
      <c r="BF75" s="39"/>
      <c r="BG75" s="42" t="str">
        <f t="shared" si="48"/>
        <v/>
      </c>
      <c r="BH75" s="72" t="str">
        <f t="shared" si="30"/>
        <v/>
      </c>
      <c r="BI75" s="39"/>
      <c r="BJ75" s="40" t="str">
        <f t="shared" si="31"/>
        <v/>
      </c>
      <c r="BK75" s="157" t="str">
        <f t="shared" si="32"/>
        <v/>
      </c>
      <c r="BL75" s="157" t="str">
        <f t="shared" si="14"/>
        <v/>
      </c>
      <c r="BM75" s="72"/>
      <c r="BN75" s="72" t="str">
        <f t="shared" si="33"/>
        <v/>
      </c>
      <c r="BO75" s="72" t="str">
        <f t="shared" si="34"/>
        <v/>
      </c>
      <c r="BP75" s="39"/>
      <c r="BQ75" s="72" t="str">
        <f t="shared" si="49"/>
        <v/>
      </c>
      <c r="BR75" s="72" t="str">
        <f t="shared" si="35"/>
        <v/>
      </c>
    </row>
    <row r="76" spans="2:70" x14ac:dyDescent="0.15">
      <c r="D76" s="101" t="s">
        <v>193</v>
      </c>
      <c r="E76" s="101"/>
      <c r="F76" s="92"/>
      <c r="G76" s="101"/>
      <c r="I76" s="322">
        <f t="shared" si="36"/>
        <v>2091</v>
      </c>
      <c r="J76" s="71"/>
      <c r="K76" s="71">
        <f t="shared" si="37"/>
        <v>62</v>
      </c>
      <c r="L76" s="71"/>
      <c r="M76" s="7">
        <f t="shared" si="0"/>
        <v>0.15998971629410663</v>
      </c>
      <c r="N76" s="71"/>
      <c r="O76" s="10" t="str">
        <f t="shared" si="16"/>
        <v/>
      </c>
      <c r="P76" s="29" t="str">
        <f t="shared" si="38"/>
        <v/>
      </c>
      <c r="Q76" s="71"/>
      <c r="R76" s="10" t="str">
        <f t="shared" si="50"/>
        <v/>
      </c>
      <c r="S76" s="71"/>
      <c r="T76" s="10" t="str">
        <f t="shared" si="18"/>
        <v/>
      </c>
      <c r="U76" s="71"/>
      <c r="V76" s="10" t="str">
        <f t="shared" si="39"/>
        <v/>
      </c>
      <c r="W76" s="10" t="str">
        <f t="shared" si="19"/>
        <v/>
      </c>
      <c r="X76" s="71"/>
      <c r="Y76" s="10" t="str">
        <f t="shared" si="40"/>
        <v/>
      </c>
      <c r="Z76" s="10" t="str">
        <f t="shared" si="20"/>
        <v/>
      </c>
      <c r="AA76" s="71"/>
      <c r="AB76" s="10" t="str">
        <f t="shared" si="4"/>
        <v/>
      </c>
      <c r="AC76" s="10" t="str">
        <f t="shared" si="21"/>
        <v/>
      </c>
      <c r="AD76" s="71"/>
      <c r="AE76" s="10" t="str">
        <f t="shared" si="41"/>
        <v/>
      </c>
      <c r="AF76" s="10" t="str">
        <f t="shared" si="22"/>
        <v/>
      </c>
      <c r="AG76" s="71"/>
      <c r="AH76" s="10" t="str">
        <f t="shared" si="42"/>
        <v/>
      </c>
      <c r="AI76" s="10" t="str">
        <f t="shared" si="23"/>
        <v/>
      </c>
      <c r="AJ76" s="71"/>
      <c r="AK76" s="10" t="str">
        <f t="shared" si="24"/>
        <v/>
      </c>
      <c r="AL76" s="10" t="str">
        <f t="shared" si="25"/>
        <v/>
      </c>
      <c r="AM76" s="71"/>
      <c r="AN76" s="10" t="str">
        <f t="shared" si="43"/>
        <v/>
      </c>
      <c r="AO76" s="10" t="str">
        <f t="shared" si="26"/>
        <v/>
      </c>
      <c r="AP76" s="71"/>
      <c r="AQ76" s="10" t="str">
        <f t="shared" si="44"/>
        <v/>
      </c>
      <c r="AR76" s="10" t="str">
        <f t="shared" si="27"/>
        <v/>
      </c>
      <c r="AS76" s="71"/>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U76" s="71"/>
      <c r="AV76" s="10" t="str">
        <f t="shared" si="45"/>
        <v/>
      </c>
      <c r="AW76" s="10" t="str">
        <f t="shared" si="10"/>
        <v/>
      </c>
      <c r="AX76" s="71"/>
      <c r="AY76" s="7" t="str">
        <f>IF(ISERROR(IF($K76&lt;=$F$15,VLOOKUP($I76,'表4）CO2価格'!$A$7:$E$67,VLOOKUP($F$48,'表4）CO2価格'!$H$10:$I$12,2,0),0)*$F$8/1000,"")),0,IF($K76&lt;=$F$15,VLOOKUP($I76,'表4）CO2価格'!$A$7:$E$67,VLOOKUP($F$48,'表4）CO2価格'!$H$10:$I$12,2,0),0)*$F$8/1000,""))</f>
        <v/>
      </c>
      <c r="AZ76" s="71"/>
      <c r="BA76" s="11" t="str">
        <f t="shared" si="46"/>
        <v/>
      </c>
      <c r="BB76" s="10" t="str">
        <f t="shared" si="28"/>
        <v/>
      </c>
      <c r="BC76" s="71"/>
      <c r="BD76" s="10" t="str">
        <f t="shared" si="47"/>
        <v/>
      </c>
      <c r="BE76" s="10" t="str">
        <f t="shared" si="29"/>
        <v/>
      </c>
      <c r="BF76" s="71"/>
      <c r="BG76" s="11" t="str">
        <f t="shared" si="48"/>
        <v/>
      </c>
      <c r="BH76" s="10" t="str">
        <f t="shared" si="30"/>
        <v/>
      </c>
      <c r="BJ76" s="7" t="str">
        <f t="shared" si="31"/>
        <v/>
      </c>
      <c r="BK76" s="158" t="str">
        <f t="shared" si="32"/>
        <v/>
      </c>
      <c r="BL76" s="158" t="str">
        <f t="shared" si="14"/>
        <v/>
      </c>
      <c r="BM76" s="10"/>
      <c r="BN76" s="10" t="str">
        <f t="shared" si="33"/>
        <v/>
      </c>
      <c r="BO76" s="10" t="str">
        <f t="shared" si="34"/>
        <v/>
      </c>
      <c r="BQ76" s="10" t="str">
        <f t="shared" si="49"/>
        <v/>
      </c>
      <c r="BR76" s="10" t="str">
        <f t="shared" si="35"/>
        <v/>
      </c>
    </row>
    <row r="77" spans="2:70" x14ac:dyDescent="0.15">
      <c r="F77" s="93"/>
      <c r="I77" s="38">
        <f t="shared" si="36"/>
        <v>2092</v>
      </c>
      <c r="J77" s="39"/>
      <c r="K77" s="39">
        <f t="shared" si="37"/>
        <v>63</v>
      </c>
      <c r="L77" s="39"/>
      <c r="M77" s="40">
        <f t="shared" si="0"/>
        <v>0.15532982164476369</v>
      </c>
      <c r="N77" s="39"/>
      <c r="O77" s="72" t="str">
        <f t="shared" si="16"/>
        <v/>
      </c>
      <c r="P77" s="41" t="str">
        <f t="shared" si="38"/>
        <v/>
      </c>
      <c r="Q77" s="39"/>
      <c r="R77" s="72" t="str">
        <f t="shared" si="50"/>
        <v/>
      </c>
      <c r="S77" s="39"/>
      <c r="T77" s="72" t="str">
        <f t="shared" si="18"/>
        <v/>
      </c>
      <c r="U77" s="39"/>
      <c r="V77" s="72" t="str">
        <f t="shared" si="39"/>
        <v/>
      </c>
      <c r="W77" s="72" t="str">
        <f t="shared" si="19"/>
        <v/>
      </c>
      <c r="X77" s="39"/>
      <c r="Y77" s="72" t="str">
        <f t="shared" si="40"/>
        <v/>
      </c>
      <c r="Z77" s="72" t="str">
        <f t="shared" si="20"/>
        <v/>
      </c>
      <c r="AA77" s="39"/>
      <c r="AB77" s="72" t="str">
        <f t="shared" si="4"/>
        <v/>
      </c>
      <c r="AC77" s="72" t="str">
        <f t="shared" si="21"/>
        <v/>
      </c>
      <c r="AD77" s="39"/>
      <c r="AE77" s="72" t="str">
        <f t="shared" si="41"/>
        <v/>
      </c>
      <c r="AF77" s="72" t="str">
        <f t="shared" si="22"/>
        <v/>
      </c>
      <c r="AG77" s="39"/>
      <c r="AH77" s="72" t="str">
        <f t="shared" si="42"/>
        <v/>
      </c>
      <c r="AI77" s="72" t="str">
        <f t="shared" si="23"/>
        <v/>
      </c>
      <c r="AJ77" s="39"/>
      <c r="AK77" s="72" t="str">
        <f t="shared" si="24"/>
        <v/>
      </c>
      <c r="AL77" s="72" t="str">
        <f t="shared" si="25"/>
        <v/>
      </c>
      <c r="AM77" s="39"/>
      <c r="AN77" s="72" t="str">
        <f t="shared" si="43"/>
        <v/>
      </c>
      <c r="AO77" s="72" t="str">
        <f t="shared" si="26"/>
        <v/>
      </c>
      <c r="AP77" s="39"/>
      <c r="AQ77" s="72" t="str">
        <f t="shared" si="44"/>
        <v/>
      </c>
      <c r="AR77" s="72" t="str">
        <f t="shared" si="27"/>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45"/>
        <v/>
      </c>
      <c r="AW77" s="72" t="str">
        <f t="shared" si="10"/>
        <v/>
      </c>
      <c r="AX77" s="39"/>
      <c r="AY77" s="40" t="str">
        <f>IF(ISERROR(IF($K77&lt;=$F$15,VLOOKUP($I77,'表4）CO2価格'!$A$7:$E$67,VLOOKUP($F$48,'表4）CO2価格'!$H$10:$I$12,2,0),0)*$F$8/1000,"")),0,IF($K77&lt;=$F$15,VLOOKUP($I77,'表4）CO2価格'!$A$7:$E$67,VLOOKUP($F$48,'表4）CO2価格'!$H$10:$I$12,2,0),0)*$F$8/1000,""))</f>
        <v/>
      </c>
      <c r="AZ77" s="39"/>
      <c r="BA77" s="42" t="str">
        <f t="shared" si="46"/>
        <v/>
      </c>
      <c r="BB77" s="72" t="str">
        <f t="shared" si="28"/>
        <v/>
      </c>
      <c r="BC77" s="39"/>
      <c r="BD77" s="72" t="str">
        <f t="shared" si="47"/>
        <v/>
      </c>
      <c r="BE77" s="72" t="str">
        <f t="shared" si="29"/>
        <v/>
      </c>
      <c r="BF77" s="39"/>
      <c r="BG77" s="42" t="str">
        <f t="shared" si="48"/>
        <v/>
      </c>
      <c r="BH77" s="72" t="str">
        <f t="shared" si="30"/>
        <v/>
      </c>
      <c r="BI77" s="39"/>
      <c r="BJ77" s="40" t="str">
        <f t="shared" si="31"/>
        <v/>
      </c>
      <c r="BK77" s="157" t="str">
        <f t="shared" si="32"/>
        <v/>
      </c>
      <c r="BL77" s="157" t="str">
        <f t="shared" si="14"/>
        <v/>
      </c>
      <c r="BM77" s="72"/>
      <c r="BN77" s="72" t="str">
        <f t="shared" si="33"/>
        <v/>
      </c>
      <c r="BO77" s="72" t="str">
        <f t="shared" si="34"/>
        <v/>
      </c>
      <c r="BP77" s="39"/>
      <c r="BQ77" s="72" t="str">
        <f t="shared" si="49"/>
        <v/>
      </c>
      <c r="BR77" s="72" t="str">
        <f t="shared" si="35"/>
        <v/>
      </c>
    </row>
    <row r="78" spans="2:70" x14ac:dyDescent="0.15">
      <c r="E78" s="74" t="s">
        <v>138</v>
      </c>
      <c r="F78" s="105">
        <f>R15/$BR$116</f>
        <v>1.1543173353752061</v>
      </c>
      <c r="G78" s="81" t="s">
        <v>132</v>
      </c>
      <c r="I78" s="322">
        <f t="shared" si="36"/>
        <v>2093</v>
      </c>
      <c r="J78" s="71"/>
      <c r="K78" s="71">
        <f t="shared" si="37"/>
        <v>64</v>
      </c>
      <c r="L78" s="71"/>
      <c r="M78" s="7">
        <f t="shared" si="0"/>
        <v>0.15080565208229488</v>
      </c>
      <c r="N78" s="71"/>
      <c r="O78" s="10" t="str">
        <f t="shared" si="16"/>
        <v/>
      </c>
      <c r="P78" s="29" t="str">
        <f t="shared" si="38"/>
        <v/>
      </c>
      <c r="Q78" s="71"/>
      <c r="R78" s="10" t="str">
        <f t="shared" si="50"/>
        <v/>
      </c>
      <c r="S78" s="71"/>
      <c r="T78" s="10" t="str">
        <f t="shared" si="18"/>
        <v/>
      </c>
      <c r="U78" s="71"/>
      <c r="V78" s="10" t="str">
        <f t="shared" si="39"/>
        <v/>
      </c>
      <c r="W78" s="10" t="str">
        <f t="shared" si="19"/>
        <v/>
      </c>
      <c r="X78" s="71"/>
      <c r="Y78" s="10" t="str">
        <f t="shared" si="40"/>
        <v/>
      </c>
      <c r="Z78" s="10" t="str">
        <f t="shared" si="20"/>
        <v/>
      </c>
      <c r="AA78" s="71"/>
      <c r="AB78" s="10" t="str">
        <f t="shared" si="4"/>
        <v/>
      </c>
      <c r="AC78" s="10" t="str">
        <f t="shared" si="21"/>
        <v/>
      </c>
      <c r="AD78" s="71"/>
      <c r="AE78" s="10" t="str">
        <f t="shared" si="41"/>
        <v/>
      </c>
      <c r="AF78" s="10" t="str">
        <f t="shared" si="22"/>
        <v/>
      </c>
      <c r="AG78" s="71"/>
      <c r="AH78" s="10" t="str">
        <f t="shared" si="42"/>
        <v/>
      </c>
      <c r="AI78" s="10" t="str">
        <f t="shared" si="23"/>
        <v/>
      </c>
      <c r="AJ78" s="71"/>
      <c r="AK78" s="10" t="str">
        <f t="shared" si="24"/>
        <v/>
      </c>
      <c r="AL78" s="10" t="str">
        <f t="shared" si="25"/>
        <v/>
      </c>
      <c r="AM78" s="71"/>
      <c r="AN78" s="10" t="str">
        <f t="shared" si="43"/>
        <v/>
      </c>
      <c r="AO78" s="10" t="str">
        <f t="shared" si="26"/>
        <v/>
      </c>
      <c r="AP78" s="71"/>
      <c r="AQ78" s="10" t="str">
        <f t="shared" si="44"/>
        <v/>
      </c>
      <c r="AR78" s="10" t="str">
        <f t="shared" si="27"/>
        <v/>
      </c>
      <c r="AS78" s="71"/>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U78" s="71"/>
      <c r="AV78" s="10" t="str">
        <f t="shared" si="45"/>
        <v/>
      </c>
      <c r="AW78" s="10" t="str">
        <f t="shared" si="10"/>
        <v/>
      </c>
      <c r="AX78" s="71"/>
      <c r="AY78" s="7" t="str">
        <f>IF(ISERROR(IF($K78&lt;=$F$15,VLOOKUP($I78,'表4）CO2価格'!$A$7:$E$67,VLOOKUP($F$48,'表4）CO2価格'!$H$10:$I$12,2,0),0)*$F$8/1000,"")),0,IF($K78&lt;=$F$15,VLOOKUP($I78,'表4）CO2価格'!$A$7:$E$67,VLOOKUP($F$48,'表4）CO2価格'!$H$10:$I$12,2,0),0)*$F$8/1000,""))</f>
        <v/>
      </c>
      <c r="AZ78" s="71"/>
      <c r="BA78" s="11" t="str">
        <f t="shared" si="46"/>
        <v/>
      </c>
      <c r="BB78" s="10" t="str">
        <f t="shared" si="28"/>
        <v/>
      </c>
      <c r="BC78" s="71"/>
      <c r="BD78" s="10" t="str">
        <f t="shared" si="47"/>
        <v/>
      </c>
      <c r="BE78" s="10" t="str">
        <f t="shared" si="29"/>
        <v/>
      </c>
      <c r="BF78" s="71"/>
      <c r="BG78" s="11" t="str">
        <f t="shared" si="48"/>
        <v/>
      </c>
      <c r="BH78" s="10" t="str">
        <f t="shared" si="30"/>
        <v/>
      </c>
      <c r="BJ78" s="7" t="str">
        <f t="shared" si="31"/>
        <v/>
      </c>
      <c r="BK78" s="158" t="str">
        <f t="shared" si="32"/>
        <v/>
      </c>
      <c r="BL78" s="158" t="str">
        <f t="shared" si="14"/>
        <v/>
      </c>
      <c r="BM78" s="10"/>
      <c r="BN78" s="10" t="str">
        <f t="shared" si="33"/>
        <v/>
      </c>
      <c r="BO78" s="10" t="str">
        <f t="shared" si="34"/>
        <v/>
      </c>
      <c r="BQ78" s="10" t="str">
        <f t="shared" si="49"/>
        <v/>
      </c>
      <c r="BR78" s="10" t="str">
        <f t="shared" si="35"/>
        <v/>
      </c>
    </row>
    <row r="79" spans="2:70" x14ac:dyDescent="0.15">
      <c r="E79" s="81" t="s">
        <v>139</v>
      </c>
      <c r="F79" s="91">
        <f>Z116/$BR$116</f>
        <v>9.5195285796265405E-2</v>
      </c>
      <c r="G79" s="81" t="s">
        <v>132</v>
      </c>
      <c r="I79" s="38">
        <f t="shared" si="36"/>
        <v>2094</v>
      </c>
      <c r="J79" s="39"/>
      <c r="K79" s="39">
        <f t="shared" si="37"/>
        <v>65</v>
      </c>
      <c r="L79" s="39"/>
      <c r="M79" s="40">
        <f t="shared" ref="M79:M114" si="51">1/(1+($F$9/100))^K79</f>
        <v>0.14641325444882999</v>
      </c>
      <c r="N79" s="39"/>
      <c r="O79" s="72" t="str">
        <f t="shared" si="16"/>
        <v/>
      </c>
      <c r="P79" s="41" t="str">
        <f t="shared" ref="P79:P110" si="52">IF(K79&lt;=$F$15,IF(OR(P78=$F$124,P78="-"),"-",IF(O79*$F$123&gt;$F$127,$F$123,$F$124)),"")</f>
        <v/>
      </c>
      <c r="Q79" s="39"/>
      <c r="R79" s="72" t="str">
        <f t="shared" si="50"/>
        <v/>
      </c>
      <c r="S79" s="39"/>
      <c r="T79" s="72" t="str">
        <f t="shared" si="18"/>
        <v/>
      </c>
      <c r="U79" s="39"/>
      <c r="V79" s="72" t="str">
        <f t="shared" ref="V79:V114" si="53">IF(K79&lt;=$F$15,IF(K79&lt;$F$119,IF(P79="-",V78,O79*P79),IF(K79=$F$119,MIN(IF(P79="-",V78,O79*P79),O79),0)),"")</f>
        <v/>
      </c>
      <c r="W79" s="72" t="str">
        <f t="shared" si="19"/>
        <v/>
      </c>
      <c r="X79" s="39"/>
      <c r="Y79" s="72" t="str">
        <f t="shared" ref="Y79:Y114" si="54">IF($K79&lt;=$F$15,ROUNDDOWN(T79*$F$25/100,-2),"")</f>
        <v/>
      </c>
      <c r="Z79" s="72" t="str">
        <f t="shared" si="20"/>
        <v/>
      </c>
      <c r="AA79" s="39"/>
      <c r="AB79" s="72" t="str">
        <f t="shared" ref="AB79:AB114" si="55">IF($K79&lt;=$F$15,0,IF(AND($K79&gt;$F$15,$K79&lt;=$F$15+$F$28),$F$27*10^8/$F$28,""))</f>
        <v/>
      </c>
      <c r="AC79" s="72" t="str">
        <f t="shared" si="21"/>
        <v/>
      </c>
      <c r="AD79" s="39"/>
      <c r="AE79" s="72" t="str">
        <f t="shared" ref="AE79:AE114" si="56">IF($K79&lt;=$F$15,$F$26,"")</f>
        <v/>
      </c>
      <c r="AF79" s="72" t="str">
        <f t="shared" si="22"/>
        <v/>
      </c>
      <c r="AG79" s="39"/>
      <c r="AH79" s="72" t="str">
        <f t="shared" ref="AH79:AH114" si="57">IF($K79&lt;=$F$15,$F$33*10^8,"")</f>
        <v/>
      </c>
      <c r="AI79" s="72" t="str">
        <f t="shared" si="23"/>
        <v/>
      </c>
      <c r="AJ79" s="39"/>
      <c r="AK79" s="72" t="str">
        <f t="shared" si="24"/>
        <v/>
      </c>
      <c r="AL79" s="72" t="str">
        <f t="shared" si="25"/>
        <v/>
      </c>
      <c r="AM79" s="39"/>
      <c r="AN79" s="72" t="str">
        <f t="shared" ref="AN79:AN114" si="58">IF($K79&lt;=$F$15,$F$117*$F$35/100,"")</f>
        <v/>
      </c>
      <c r="AO79" s="72" t="str">
        <f t="shared" si="26"/>
        <v/>
      </c>
      <c r="AP79" s="39"/>
      <c r="AQ79" s="72" t="str">
        <f t="shared" ref="AQ79:AQ114" si="59">IF($K79&lt;=$F$15,SUM(AH79,AK79,AN79)*($F$36/100),"")</f>
        <v/>
      </c>
      <c r="AR79" s="72" t="str">
        <f t="shared" si="27"/>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60">IF($K79&lt;=$F$15,($AT79+$F$142)*$F$137,"")</f>
        <v/>
      </c>
      <c r="AW79" s="72" t="str">
        <f t="shared" ref="AW79:AW114" si="61">IF(ISNUMBER(AV79),AV79*$M79,"")</f>
        <v/>
      </c>
      <c r="AX79" s="39"/>
      <c r="AY79" s="40" t="str">
        <f>IF(ISERROR(IF($K79&lt;=$F$15,VLOOKUP($I79,'表4）CO2価格'!$A$7:$E$67,VLOOKUP($F$48,'表4）CO2価格'!$H$10:$I$12,2,0),0)*$F$8/1000,"")),0,IF($K79&lt;=$F$15,VLOOKUP($I79,'表4）CO2価格'!$A$7:$E$67,VLOOKUP($F$48,'表4）CO2価格'!$H$10:$I$12,2,0),0)*$F$8/1000,""))</f>
        <v/>
      </c>
      <c r="AZ79" s="39"/>
      <c r="BA79" s="42" t="str">
        <f t="shared" ref="BA79:BA114" si="62">IF($K79&lt;=$F$15,$F$145*AY79,"")</f>
        <v/>
      </c>
      <c r="BB79" s="72" t="str">
        <f t="shared" si="28"/>
        <v/>
      </c>
      <c r="BC79" s="39"/>
      <c r="BD79" s="72" t="str">
        <f t="shared" ref="BD79:BD114" si="63">IF($K79&lt;=$F$15,($AT79+$F$152)*$F$151,"")</f>
        <v/>
      </c>
      <c r="BE79" s="72" t="str">
        <f t="shared" si="29"/>
        <v/>
      </c>
      <c r="BF79" s="39"/>
      <c r="BG79" s="42" t="str">
        <f t="shared" ref="BG79:BG114" si="64">IF($K79&lt;=$F$15,$F$153*AY79,"")</f>
        <v/>
      </c>
      <c r="BH79" s="72" t="str">
        <f t="shared" si="30"/>
        <v/>
      </c>
      <c r="BI79" s="39"/>
      <c r="BJ79" s="40" t="str">
        <f t="shared" si="31"/>
        <v/>
      </c>
      <c r="BK79" s="157" t="str">
        <f t="shared" si="32"/>
        <v/>
      </c>
      <c r="BL79" s="157" t="str">
        <f t="shared" ref="BL79:BL114" si="65">IF(AND(ISNUMBER(BJ79),$K79&lt;=$F$16),BQ79*BJ79,"")</f>
        <v/>
      </c>
      <c r="BM79" s="72"/>
      <c r="BN79" s="72" t="str">
        <f t="shared" si="33"/>
        <v/>
      </c>
      <c r="BO79" s="72" t="str">
        <f t="shared" si="34"/>
        <v/>
      </c>
      <c r="BP79" s="39"/>
      <c r="BQ79" s="72" t="str">
        <f t="shared" ref="BQ79:BQ114" si="66">IF($K79&lt;=$F$15,$F$134,"")</f>
        <v/>
      </c>
      <c r="BR79" s="72" t="str">
        <f t="shared" si="35"/>
        <v/>
      </c>
    </row>
    <row r="80" spans="2:70" x14ac:dyDescent="0.15">
      <c r="E80" s="81" t="s">
        <v>115</v>
      </c>
      <c r="F80" s="91">
        <f>AF116/$BR$116</f>
        <v>0</v>
      </c>
      <c r="G80" s="81" t="s">
        <v>132</v>
      </c>
      <c r="I80" s="322">
        <f t="shared" si="36"/>
        <v>2095</v>
      </c>
      <c r="J80" s="71"/>
      <c r="K80" s="71">
        <f t="shared" si="37"/>
        <v>66</v>
      </c>
      <c r="L80" s="71"/>
      <c r="M80" s="7">
        <f t="shared" si="51"/>
        <v>0.14214879072701941</v>
      </c>
      <c r="N80" s="71"/>
      <c r="O80" s="10" t="str">
        <f t="shared" ref="O80:O114" si="67">IF(K80&lt;=$F$15,O79-V79,"")</f>
        <v/>
      </c>
      <c r="P80" s="29" t="str">
        <f t="shared" si="52"/>
        <v/>
      </c>
      <c r="Q80" s="71"/>
      <c r="R80" s="10" t="str">
        <f t="shared" ref="R80:R114" si="68">IF($K80&lt;=$F$15,MAX($F$117*5%,R79*$F$129),"")</f>
        <v/>
      </c>
      <c r="S80" s="71"/>
      <c r="T80" s="10" t="str">
        <f t="shared" ref="T80:T114" si="69">IF(ISNUMBER(R80),ROUNDDOWN(R80,-3),"")</f>
        <v/>
      </c>
      <c r="U80" s="71"/>
      <c r="V80" s="10" t="str">
        <f t="shared" si="53"/>
        <v/>
      </c>
      <c r="W80" s="10" t="str">
        <f t="shared" ref="W80:W114" si="70">IF(ISNUMBER(V80),V80*$M80,"")</f>
        <v/>
      </c>
      <c r="X80" s="71"/>
      <c r="Y80" s="10" t="str">
        <f t="shared" si="54"/>
        <v/>
      </c>
      <c r="Z80" s="10" t="str">
        <f t="shared" ref="Z80:Z114" si="71">IF(ISNUMBER(Y80),Y80*$M80,"")</f>
        <v/>
      </c>
      <c r="AA80" s="71"/>
      <c r="AB80" s="10" t="str">
        <f t="shared" si="55"/>
        <v/>
      </c>
      <c r="AC80" s="10" t="str">
        <f t="shared" ref="AC80:AC114" si="72">IF(ISNUMBER(AB80),AB80*$M80,"")</f>
        <v/>
      </c>
      <c r="AD80" s="71"/>
      <c r="AE80" s="10" t="str">
        <f t="shared" si="56"/>
        <v/>
      </c>
      <c r="AF80" s="10" t="str">
        <f t="shared" ref="AF80:AF114" si="73">IF(ISNUMBER(AE80),AE80*$M80,"")</f>
        <v/>
      </c>
      <c r="AG80" s="71"/>
      <c r="AH80" s="10" t="str">
        <f t="shared" si="57"/>
        <v/>
      </c>
      <c r="AI80" s="10" t="str">
        <f t="shared" ref="AI80:AI114" si="74">IF(ISNUMBER(AH80),AH80*$M80,"")</f>
        <v/>
      </c>
      <c r="AJ80" s="71"/>
      <c r="AK80" s="10" t="str">
        <f t="shared" ref="AK80:AK114" si="75">IF($K80&lt;=$F$15,$F$34*10^4*$F$13*10^4,"")</f>
        <v/>
      </c>
      <c r="AL80" s="10" t="str">
        <f t="shared" ref="AL80:AL114" si="76">IF(ISNUMBER(AK80),AK80*$M80,"")</f>
        <v/>
      </c>
      <c r="AM80" s="71"/>
      <c r="AN80" s="10" t="str">
        <f t="shared" si="58"/>
        <v/>
      </c>
      <c r="AO80" s="10" t="str">
        <f t="shared" ref="AO80:AO114" si="77">IF(ISNUMBER(AN80),AN80*$M80,"")</f>
        <v/>
      </c>
      <c r="AP80" s="71"/>
      <c r="AQ80" s="10" t="str">
        <f t="shared" si="59"/>
        <v/>
      </c>
      <c r="AR80" s="10" t="str">
        <f t="shared" ref="AR80:AR114" si="78">IF(ISNUMBER(AQ80),AQ80*$M80,"")</f>
        <v/>
      </c>
      <c r="AS80" s="71"/>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U80" s="71"/>
      <c r="AV80" s="10" t="str">
        <f t="shared" si="60"/>
        <v/>
      </c>
      <c r="AW80" s="10" t="str">
        <f t="shared" si="61"/>
        <v/>
      </c>
      <c r="AX80" s="71"/>
      <c r="AY80" s="7" t="str">
        <f>IF(ISERROR(IF($K80&lt;=$F$15,VLOOKUP($I80,'表4）CO2価格'!$A$7:$E$67,VLOOKUP($F$48,'表4）CO2価格'!$H$10:$I$12,2,0),0)*$F$8/1000,"")),0,IF($K80&lt;=$F$15,VLOOKUP($I80,'表4）CO2価格'!$A$7:$E$67,VLOOKUP($F$48,'表4）CO2価格'!$H$10:$I$12,2,0),0)*$F$8/1000,""))</f>
        <v/>
      </c>
      <c r="AZ80" s="71"/>
      <c r="BA80" s="11" t="str">
        <f t="shared" si="62"/>
        <v/>
      </c>
      <c r="BB80" s="10" t="str">
        <f t="shared" ref="BB80:BB114" si="79">IF(ISNUMBER(BA80),BA80*$M80,"")</f>
        <v/>
      </c>
      <c r="BC80" s="71"/>
      <c r="BD80" s="10" t="str">
        <f t="shared" si="63"/>
        <v/>
      </c>
      <c r="BE80" s="10" t="str">
        <f t="shared" ref="BE80:BE114" si="80">IF(ISNUMBER(BD80),BD80*$M80,"")</f>
        <v/>
      </c>
      <c r="BF80" s="71"/>
      <c r="BG80" s="11" t="str">
        <f t="shared" si="64"/>
        <v/>
      </c>
      <c r="BH80" s="10" t="str">
        <f t="shared" ref="BH80:BH114" si="81">IF(ISNUMBER(BG80),BG80*$M80,"")</f>
        <v/>
      </c>
      <c r="BJ80" s="7" t="str">
        <f t="shared" ref="BJ80:BJ114" si="82">IF(ISNUMBER($F$16),IF($K80&lt;=$F$16+$F$28,1/(1+($F$17/100))^K80,""),"")</f>
        <v/>
      </c>
      <c r="BK80" s="158" t="str">
        <f t="shared" ref="BK80:BK114" si="83">IF(ISNUMBER($F$16),IF($K80&lt;=$F$16+$F$28,IF($K80&lt;=$F$16,SUM(Y80,AB80,AE80,AH80,AK80,AN80,AQ80,AV80,BA80,BD80,BG80),$F$27/$F$28*10^8)*BJ80,""),"")</f>
        <v/>
      </c>
      <c r="BL80" s="158" t="str">
        <f t="shared" si="65"/>
        <v/>
      </c>
      <c r="BM80" s="10"/>
      <c r="BN80" s="10" t="str">
        <f t="shared" ref="BN80:BN114" si="84">IF(AND(ISNUMBER($F$16),$K80&lt;=$F$16),BQ80*($O$15+$BK$116)/$BL$116,"")</f>
        <v/>
      </c>
      <c r="BO80" s="10" t="str">
        <f t="shared" ref="BO80:BO114" si="85">IF(ISNUMBER(BN80),BN80*$M80,"")</f>
        <v/>
      </c>
      <c r="BQ80" s="10" t="str">
        <f t="shared" si="66"/>
        <v/>
      </c>
      <c r="BR80" s="10" t="str">
        <f t="shared" ref="BR80:BR114" si="86">IF(ISNUMBER(BQ80),BQ80*$M80,"")</f>
        <v/>
      </c>
    </row>
    <row r="81" spans="4:70" x14ac:dyDescent="0.15">
      <c r="E81" s="82" t="s">
        <v>86</v>
      </c>
      <c r="F81" s="91">
        <f>AC116/$BR$116</f>
        <v>2.3085604779333371E-2</v>
      </c>
      <c r="G81" s="81" t="s">
        <v>132</v>
      </c>
      <c r="I81" s="38">
        <f t="shared" ref="I81:I114" si="87">I80+1</f>
        <v>2096</v>
      </c>
      <c r="J81" s="39"/>
      <c r="K81" s="39">
        <f t="shared" ref="K81:K114" si="88">IF(I81&lt;&gt;"",K80+1,"")</f>
        <v>67</v>
      </c>
      <c r="L81" s="39"/>
      <c r="M81" s="40">
        <f t="shared" si="51"/>
        <v>0.1380085346864266</v>
      </c>
      <c r="N81" s="39"/>
      <c r="O81" s="72" t="str">
        <f t="shared" si="67"/>
        <v/>
      </c>
      <c r="P81" s="41" t="str">
        <f t="shared" si="52"/>
        <v/>
      </c>
      <c r="Q81" s="39"/>
      <c r="R81" s="72" t="str">
        <f t="shared" si="68"/>
        <v/>
      </c>
      <c r="S81" s="39"/>
      <c r="T81" s="72" t="str">
        <f t="shared" si="69"/>
        <v/>
      </c>
      <c r="U81" s="39"/>
      <c r="V81" s="72" t="str">
        <f t="shared" si="53"/>
        <v/>
      </c>
      <c r="W81" s="72" t="str">
        <f t="shared" si="70"/>
        <v/>
      </c>
      <c r="X81" s="39"/>
      <c r="Y81" s="72" t="str">
        <f t="shared" si="54"/>
        <v/>
      </c>
      <c r="Z81" s="72" t="str">
        <f t="shared" si="71"/>
        <v/>
      </c>
      <c r="AA81" s="39"/>
      <c r="AB81" s="72" t="str">
        <f t="shared" si="55"/>
        <v/>
      </c>
      <c r="AC81" s="72" t="str">
        <f t="shared" si="72"/>
        <v/>
      </c>
      <c r="AD81" s="39"/>
      <c r="AE81" s="72" t="str">
        <f t="shared" si="56"/>
        <v/>
      </c>
      <c r="AF81" s="72" t="str">
        <f t="shared" si="73"/>
        <v/>
      </c>
      <c r="AG81" s="39"/>
      <c r="AH81" s="72" t="str">
        <f t="shared" si="57"/>
        <v/>
      </c>
      <c r="AI81" s="72" t="str">
        <f t="shared" si="74"/>
        <v/>
      </c>
      <c r="AJ81" s="39"/>
      <c r="AK81" s="72" t="str">
        <f t="shared" si="75"/>
        <v/>
      </c>
      <c r="AL81" s="72" t="str">
        <f t="shared" si="76"/>
        <v/>
      </c>
      <c r="AM81" s="39"/>
      <c r="AN81" s="72" t="str">
        <f t="shared" si="58"/>
        <v/>
      </c>
      <c r="AO81" s="72" t="str">
        <f t="shared" si="77"/>
        <v/>
      </c>
      <c r="AP81" s="39"/>
      <c r="AQ81" s="72" t="str">
        <f t="shared" si="59"/>
        <v/>
      </c>
      <c r="AR81" s="72" t="str">
        <f t="shared" si="78"/>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60"/>
        <v/>
      </c>
      <c r="AW81" s="72" t="str">
        <f t="shared" si="61"/>
        <v/>
      </c>
      <c r="AX81" s="39"/>
      <c r="AY81" s="40" t="str">
        <f>IF(ISERROR(IF($K81&lt;=$F$15,VLOOKUP($I81,'表4）CO2価格'!$A$7:$E$67,VLOOKUP($F$48,'表4）CO2価格'!$H$10:$I$12,2,0),0)*$F$8/1000,"")),0,IF($K81&lt;=$F$15,VLOOKUP($I81,'表4）CO2価格'!$A$7:$E$67,VLOOKUP($F$48,'表4）CO2価格'!$H$10:$I$12,2,0),0)*$F$8/1000,""))</f>
        <v/>
      </c>
      <c r="AZ81" s="39"/>
      <c r="BA81" s="42" t="str">
        <f t="shared" si="62"/>
        <v/>
      </c>
      <c r="BB81" s="72" t="str">
        <f t="shared" si="79"/>
        <v/>
      </c>
      <c r="BC81" s="39"/>
      <c r="BD81" s="72" t="str">
        <f t="shared" si="63"/>
        <v/>
      </c>
      <c r="BE81" s="72" t="str">
        <f t="shared" si="80"/>
        <v/>
      </c>
      <c r="BF81" s="39"/>
      <c r="BG81" s="42" t="str">
        <f t="shared" si="64"/>
        <v/>
      </c>
      <c r="BH81" s="72" t="str">
        <f t="shared" si="81"/>
        <v/>
      </c>
      <c r="BI81" s="39"/>
      <c r="BJ81" s="40" t="str">
        <f t="shared" si="82"/>
        <v/>
      </c>
      <c r="BK81" s="157" t="str">
        <f t="shared" si="83"/>
        <v/>
      </c>
      <c r="BL81" s="157" t="str">
        <f t="shared" si="65"/>
        <v/>
      </c>
      <c r="BM81" s="72"/>
      <c r="BN81" s="72" t="str">
        <f t="shared" si="84"/>
        <v/>
      </c>
      <c r="BO81" s="72" t="str">
        <f t="shared" si="85"/>
        <v/>
      </c>
      <c r="BP81" s="39"/>
      <c r="BQ81" s="72" t="str">
        <f t="shared" si="66"/>
        <v/>
      </c>
      <c r="BR81" s="72" t="str">
        <f t="shared" si="86"/>
        <v/>
      </c>
    </row>
    <row r="82" spans="4:70" x14ac:dyDescent="0.15">
      <c r="F82" s="93"/>
      <c r="I82" s="322">
        <f t="shared" si="87"/>
        <v>2097</v>
      </c>
      <c r="J82" s="71"/>
      <c r="K82" s="71">
        <f t="shared" si="88"/>
        <v>68</v>
      </c>
      <c r="L82" s="71"/>
      <c r="M82" s="7">
        <f t="shared" si="51"/>
        <v>0.13398886862759865</v>
      </c>
      <c r="N82" s="71"/>
      <c r="O82" s="10" t="str">
        <f t="shared" si="67"/>
        <v/>
      </c>
      <c r="P82" s="29" t="str">
        <f t="shared" si="52"/>
        <v/>
      </c>
      <c r="Q82" s="71"/>
      <c r="R82" s="10" t="str">
        <f t="shared" si="68"/>
        <v/>
      </c>
      <c r="S82" s="71"/>
      <c r="T82" s="10" t="str">
        <f t="shared" si="69"/>
        <v/>
      </c>
      <c r="U82" s="71"/>
      <c r="V82" s="10" t="str">
        <f t="shared" si="53"/>
        <v/>
      </c>
      <c r="W82" s="10" t="str">
        <f t="shared" si="70"/>
        <v/>
      </c>
      <c r="X82" s="71"/>
      <c r="Y82" s="10" t="str">
        <f t="shared" si="54"/>
        <v/>
      </c>
      <c r="Z82" s="10" t="str">
        <f t="shared" si="71"/>
        <v/>
      </c>
      <c r="AA82" s="71"/>
      <c r="AB82" s="10" t="str">
        <f t="shared" si="55"/>
        <v/>
      </c>
      <c r="AC82" s="10" t="str">
        <f t="shared" si="72"/>
        <v/>
      </c>
      <c r="AD82" s="71"/>
      <c r="AE82" s="10" t="str">
        <f t="shared" si="56"/>
        <v/>
      </c>
      <c r="AF82" s="10" t="str">
        <f t="shared" si="73"/>
        <v/>
      </c>
      <c r="AG82" s="71"/>
      <c r="AH82" s="10" t="str">
        <f t="shared" si="57"/>
        <v/>
      </c>
      <c r="AI82" s="10" t="str">
        <f t="shared" si="74"/>
        <v/>
      </c>
      <c r="AJ82" s="71"/>
      <c r="AK82" s="10" t="str">
        <f t="shared" si="75"/>
        <v/>
      </c>
      <c r="AL82" s="10" t="str">
        <f t="shared" si="76"/>
        <v/>
      </c>
      <c r="AM82" s="71"/>
      <c r="AN82" s="10" t="str">
        <f t="shared" si="58"/>
        <v/>
      </c>
      <c r="AO82" s="10" t="str">
        <f t="shared" si="77"/>
        <v/>
      </c>
      <c r="AP82" s="71"/>
      <c r="AQ82" s="10" t="str">
        <f t="shared" si="59"/>
        <v/>
      </c>
      <c r="AR82" s="10" t="str">
        <f t="shared" si="78"/>
        <v/>
      </c>
      <c r="AS82" s="71"/>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U82" s="71"/>
      <c r="AV82" s="10" t="str">
        <f t="shared" si="60"/>
        <v/>
      </c>
      <c r="AW82" s="10" t="str">
        <f t="shared" si="61"/>
        <v/>
      </c>
      <c r="AX82" s="71"/>
      <c r="AY82" s="7" t="str">
        <f>IF(ISERROR(IF($K82&lt;=$F$15,VLOOKUP($I82,'表4）CO2価格'!$A$7:$E$67,VLOOKUP($F$48,'表4）CO2価格'!$H$10:$I$12,2,0),0)*$F$8/1000,"")),0,IF($K82&lt;=$F$15,VLOOKUP($I82,'表4）CO2価格'!$A$7:$E$67,VLOOKUP($F$48,'表4）CO2価格'!$H$10:$I$12,2,0),0)*$F$8/1000,""))</f>
        <v/>
      </c>
      <c r="AZ82" s="71"/>
      <c r="BA82" s="11" t="str">
        <f t="shared" si="62"/>
        <v/>
      </c>
      <c r="BB82" s="10" t="str">
        <f t="shared" si="79"/>
        <v/>
      </c>
      <c r="BC82" s="71"/>
      <c r="BD82" s="10" t="str">
        <f t="shared" si="63"/>
        <v/>
      </c>
      <c r="BE82" s="10" t="str">
        <f t="shared" si="80"/>
        <v/>
      </c>
      <c r="BF82" s="71"/>
      <c r="BG82" s="11" t="str">
        <f t="shared" si="64"/>
        <v/>
      </c>
      <c r="BH82" s="10" t="str">
        <f t="shared" si="81"/>
        <v/>
      </c>
      <c r="BJ82" s="7" t="str">
        <f t="shared" si="82"/>
        <v/>
      </c>
      <c r="BK82" s="158" t="str">
        <f t="shared" si="83"/>
        <v/>
      </c>
      <c r="BL82" s="158" t="str">
        <f t="shared" si="65"/>
        <v/>
      </c>
      <c r="BM82" s="10"/>
      <c r="BN82" s="10" t="str">
        <f t="shared" si="84"/>
        <v/>
      </c>
      <c r="BO82" s="10" t="str">
        <f t="shared" si="85"/>
        <v/>
      </c>
      <c r="BQ82" s="10" t="str">
        <f t="shared" si="66"/>
        <v/>
      </c>
      <c r="BR82" s="10" t="str">
        <f t="shared" si="86"/>
        <v/>
      </c>
    </row>
    <row r="83" spans="4:70" ht="15" x14ac:dyDescent="0.15">
      <c r="D83" s="116" t="s">
        <v>194</v>
      </c>
      <c r="F83" s="94">
        <f>SUBTOTAL(9,F87:F90)</f>
        <v>1.616080659335569</v>
      </c>
      <c r="G83" s="81" t="s">
        <v>132</v>
      </c>
      <c r="I83" s="38">
        <f>I82+1</f>
        <v>2098</v>
      </c>
      <c r="J83" s="39"/>
      <c r="K83" s="39">
        <f>IF(I83&lt;&gt;"",K82+1,"")</f>
        <v>69</v>
      </c>
      <c r="L83" s="39"/>
      <c r="M83" s="40">
        <f t="shared" si="51"/>
        <v>0.13008628022096957</v>
      </c>
      <c r="N83" s="39"/>
      <c r="O83" s="72" t="str">
        <f t="shared" si="67"/>
        <v/>
      </c>
      <c r="P83" s="41" t="str">
        <f t="shared" si="52"/>
        <v/>
      </c>
      <c r="Q83" s="39"/>
      <c r="R83" s="72" t="str">
        <f t="shared" si="68"/>
        <v/>
      </c>
      <c r="S83" s="39"/>
      <c r="T83" s="72" t="str">
        <f t="shared" si="69"/>
        <v/>
      </c>
      <c r="U83" s="39"/>
      <c r="V83" s="72" t="str">
        <f t="shared" si="53"/>
        <v/>
      </c>
      <c r="W83" s="72" t="str">
        <f t="shared" si="70"/>
        <v/>
      </c>
      <c r="X83" s="39"/>
      <c r="Y83" s="72" t="str">
        <f t="shared" si="54"/>
        <v/>
      </c>
      <c r="Z83" s="72" t="str">
        <f t="shared" si="71"/>
        <v/>
      </c>
      <c r="AA83" s="39"/>
      <c r="AB83" s="72" t="str">
        <f t="shared" si="55"/>
        <v/>
      </c>
      <c r="AC83" s="72" t="str">
        <f t="shared" si="72"/>
        <v/>
      </c>
      <c r="AD83" s="39"/>
      <c r="AE83" s="72" t="str">
        <f t="shared" si="56"/>
        <v/>
      </c>
      <c r="AF83" s="72" t="str">
        <f t="shared" si="73"/>
        <v/>
      </c>
      <c r="AG83" s="39"/>
      <c r="AH83" s="72" t="str">
        <f t="shared" si="57"/>
        <v/>
      </c>
      <c r="AI83" s="72" t="str">
        <f t="shared" si="74"/>
        <v/>
      </c>
      <c r="AJ83" s="39"/>
      <c r="AK83" s="72" t="str">
        <f t="shared" si="75"/>
        <v/>
      </c>
      <c r="AL83" s="72" t="str">
        <f t="shared" si="76"/>
        <v/>
      </c>
      <c r="AM83" s="39"/>
      <c r="AN83" s="72" t="str">
        <f t="shared" si="58"/>
        <v/>
      </c>
      <c r="AO83" s="72" t="str">
        <f t="shared" si="77"/>
        <v/>
      </c>
      <c r="AP83" s="39"/>
      <c r="AQ83" s="72" t="str">
        <f t="shared" si="59"/>
        <v/>
      </c>
      <c r="AR83" s="72" t="str">
        <f t="shared" si="78"/>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60"/>
        <v/>
      </c>
      <c r="AW83" s="72" t="str">
        <f t="shared" si="61"/>
        <v/>
      </c>
      <c r="AX83" s="39"/>
      <c r="AY83" s="40" t="str">
        <f>IF(ISERROR(IF($K83&lt;=$F$15,VLOOKUP($I83,'表4）CO2価格'!$A$7:$E$67,VLOOKUP($F$48,'表4）CO2価格'!$H$10:$I$12,2,0),0)*$F$8/1000,"")),0,IF($K83&lt;=$F$15,VLOOKUP($I83,'表4）CO2価格'!$A$7:$E$67,VLOOKUP($F$48,'表4）CO2価格'!$H$10:$I$12,2,0),0)*$F$8/1000,""))</f>
        <v/>
      </c>
      <c r="AZ83" s="39"/>
      <c r="BA83" s="42" t="str">
        <f t="shared" si="62"/>
        <v/>
      </c>
      <c r="BB83" s="72" t="str">
        <f t="shared" si="79"/>
        <v/>
      </c>
      <c r="BC83" s="39"/>
      <c r="BD83" s="72" t="str">
        <f t="shared" si="63"/>
        <v/>
      </c>
      <c r="BE83" s="72" t="str">
        <f t="shared" si="80"/>
        <v/>
      </c>
      <c r="BF83" s="39"/>
      <c r="BG83" s="42" t="str">
        <f t="shared" si="64"/>
        <v/>
      </c>
      <c r="BH83" s="72" t="str">
        <f t="shared" si="81"/>
        <v/>
      </c>
      <c r="BI83" s="39"/>
      <c r="BJ83" s="40" t="str">
        <f t="shared" si="82"/>
        <v/>
      </c>
      <c r="BK83" s="157" t="str">
        <f t="shared" si="83"/>
        <v/>
      </c>
      <c r="BL83" s="157" t="str">
        <f t="shared" si="65"/>
        <v/>
      </c>
      <c r="BM83" s="72"/>
      <c r="BN83" s="72" t="str">
        <f t="shared" si="84"/>
        <v/>
      </c>
      <c r="BO83" s="72" t="str">
        <f t="shared" si="85"/>
        <v/>
      </c>
      <c r="BP83" s="39"/>
      <c r="BQ83" s="72" t="str">
        <f t="shared" si="66"/>
        <v/>
      </c>
      <c r="BR83" s="72" t="str">
        <f t="shared" si="86"/>
        <v/>
      </c>
    </row>
    <row r="84" spans="4:70" x14ac:dyDescent="0.15">
      <c r="F84" s="93"/>
      <c r="I84" s="322">
        <f t="shared" si="87"/>
        <v>2099</v>
      </c>
      <c r="J84" s="71"/>
      <c r="K84" s="71">
        <f t="shared" si="88"/>
        <v>70</v>
      </c>
      <c r="L84" s="71"/>
      <c r="M84" s="7">
        <f t="shared" si="51"/>
        <v>0.12629735943783454</v>
      </c>
      <c r="N84" s="71"/>
      <c r="O84" s="10" t="str">
        <f t="shared" si="67"/>
        <v/>
      </c>
      <c r="P84" s="29" t="str">
        <f t="shared" si="52"/>
        <v/>
      </c>
      <c r="Q84" s="71"/>
      <c r="R84" s="10" t="str">
        <f t="shared" si="68"/>
        <v/>
      </c>
      <c r="S84" s="71"/>
      <c r="T84" s="10" t="str">
        <f t="shared" si="69"/>
        <v/>
      </c>
      <c r="U84" s="71"/>
      <c r="V84" s="10" t="str">
        <f t="shared" si="53"/>
        <v/>
      </c>
      <c r="W84" s="10" t="str">
        <f t="shared" si="70"/>
        <v/>
      </c>
      <c r="X84" s="71"/>
      <c r="Y84" s="10" t="str">
        <f t="shared" si="54"/>
        <v/>
      </c>
      <c r="Z84" s="10" t="str">
        <f t="shared" si="71"/>
        <v/>
      </c>
      <c r="AA84" s="71"/>
      <c r="AB84" s="10" t="str">
        <f t="shared" si="55"/>
        <v/>
      </c>
      <c r="AC84" s="10" t="str">
        <f t="shared" si="72"/>
        <v/>
      </c>
      <c r="AD84" s="71"/>
      <c r="AE84" s="10" t="str">
        <f t="shared" si="56"/>
        <v/>
      </c>
      <c r="AF84" s="10" t="str">
        <f t="shared" si="73"/>
        <v/>
      </c>
      <c r="AG84" s="71"/>
      <c r="AH84" s="10" t="str">
        <f t="shared" si="57"/>
        <v/>
      </c>
      <c r="AI84" s="10" t="str">
        <f t="shared" si="74"/>
        <v/>
      </c>
      <c r="AJ84" s="71"/>
      <c r="AK84" s="10" t="str">
        <f t="shared" si="75"/>
        <v/>
      </c>
      <c r="AL84" s="10" t="str">
        <f t="shared" si="76"/>
        <v/>
      </c>
      <c r="AM84" s="71"/>
      <c r="AN84" s="10" t="str">
        <f t="shared" si="58"/>
        <v/>
      </c>
      <c r="AO84" s="10" t="str">
        <f t="shared" si="77"/>
        <v/>
      </c>
      <c r="AP84" s="71"/>
      <c r="AQ84" s="10" t="str">
        <f t="shared" si="59"/>
        <v/>
      </c>
      <c r="AR84" s="10" t="str">
        <f t="shared" si="78"/>
        <v/>
      </c>
      <c r="AS84" s="71"/>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U84" s="71"/>
      <c r="AV84" s="10" t="str">
        <f t="shared" si="60"/>
        <v/>
      </c>
      <c r="AW84" s="10" t="str">
        <f t="shared" si="61"/>
        <v/>
      </c>
      <c r="AX84" s="71"/>
      <c r="AY84" s="7" t="str">
        <f>IF(ISERROR(IF($K84&lt;=$F$15,VLOOKUP($I84,'表4）CO2価格'!$A$7:$E$67,VLOOKUP($F$48,'表4）CO2価格'!$H$10:$I$12,2,0),0)*$F$8/1000,"")),0,IF($K84&lt;=$F$15,VLOOKUP($I84,'表4）CO2価格'!$A$7:$E$67,VLOOKUP($F$48,'表4）CO2価格'!$H$10:$I$12,2,0),0)*$F$8/1000,""))</f>
        <v/>
      </c>
      <c r="AZ84" s="71"/>
      <c r="BA84" s="11" t="str">
        <f t="shared" si="62"/>
        <v/>
      </c>
      <c r="BB84" s="10" t="str">
        <f t="shared" si="79"/>
        <v/>
      </c>
      <c r="BC84" s="71"/>
      <c r="BD84" s="10" t="str">
        <f t="shared" si="63"/>
        <v/>
      </c>
      <c r="BE84" s="10" t="str">
        <f t="shared" si="80"/>
        <v/>
      </c>
      <c r="BF84" s="71"/>
      <c r="BG84" s="11" t="str">
        <f t="shared" si="64"/>
        <v/>
      </c>
      <c r="BH84" s="10" t="str">
        <f t="shared" si="81"/>
        <v/>
      </c>
      <c r="BJ84" s="7" t="str">
        <f t="shared" si="82"/>
        <v/>
      </c>
      <c r="BK84" s="158" t="str">
        <f t="shared" si="83"/>
        <v/>
      </c>
      <c r="BL84" s="158" t="str">
        <f t="shared" si="65"/>
        <v/>
      </c>
      <c r="BM84" s="10"/>
      <c r="BN84" s="10" t="str">
        <f t="shared" si="84"/>
        <v/>
      </c>
      <c r="BO84" s="10" t="str">
        <f t="shared" si="85"/>
        <v/>
      </c>
      <c r="BQ84" s="10" t="str">
        <f t="shared" si="66"/>
        <v/>
      </c>
      <c r="BR84" s="10" t="str">
        <f t="shared" si="86"/>
        <v/>
      </c>
    </row>
    <row r="85" spans="4:70" x14ac:dyDescent="0.15">
      <c r="D85" s="101" t="s">
        <v>195</v>
      </c>
      <c r="E85" s="113"/>
      <c r="F85" s="92"/>
      <c r="G85" s="101"/>
      <c r="I85" s="38">
        <f t="shared" si="87"/>
        <v>2100</v>
      </c>
      <c r="J85" s="39"/>
      <c r="K85" s="39">
        <f t="shared" si="88"/>
        <v>71</v>
      </c>
      <c r="L85" s="39"/>
      <c r="M85" s="40">
        <f t="shared" si="51"/>
        <v>0.12261879557071313</v>
      </c>
      <c r="N85" s="39"/>
      <c r="O85" s="72" t="str">
        <f t="shared" si="67"/>
        <v/>
      </c>
      <c r="P85" s="41" t="str">
        <f t="shared" si="52"/>
        <v/>
      </c>
      <c r="Q85" s="39"/>
      <c r="R85" s="72" t="str">
        <f t="shared" si="68"/>
        <v/>
      </c>
      <c r="S85" s="39"/>
      <c r="T85" s="72" t="str">
        <f t="shared" si="69"/>
        <v/>
      </c>
      <c r="U85" s="39"/>
      <c r="V85" s="72" t="str">
        <f t="shared" si="53"/>
        <v/>
      </c>
      <c r="W85" s="72" t="str">
        <f t="shared" si="70"/>
        <v/>
      </c>
      <c r="X85" s="39"/>
      <c r="Y85" s="72" t="str">
        <f t="shared" si="54"/>
        <v/>
      </c>
      <c r="Z85" s="72" t="str">
        <f t="shared" si="71"/>
        <v/>
      </c>
      <c r="AA85" s="39"/>
      <c r="AB85" s="72" t="str">
        <f t="shared" si="55"/>
        <v/>
      </c>
      <c r="AC85" s="72" t="str">
        <f t="shared" si="72"/>
        <v/>
      </c>
      <c r="AD85" s="39"/>
      <c r="AE85" s="72" t="str">
        <f t="shared" si="56"/>
        <v/>
      </c>
      <c r="AF85" s="72" t="str">
        <f t="shared" si="73"/>
        <v/>
      </c>
      <c r="AG85" s="39"/>
      <c r="AH85" s="72" t="str">
        <f t="shared" si="57"/>
        <v/>
      </c>
      <c r="AI85" s="72" t="str">
        <f t="shared" si="74"/>
        <v/>
      </c>
      <c r="AJ85" s="39"/>
      <c r="AK85" s="72" t="str">
        <f t="shared" si="75"/>
        <v/>
      </c>
      <c r="AL85" s="72" t="str">
        <f t="shared" si="76"/>
        <v/>
      </c>
      <c r="AM85" s="39"/>
      <c r="AN85" s="72" t="str">
        <f t="shared" si="58"/>
        <v/>
      </c>
      <c r="AO85" s="72" t="str">
        <f t="shared" si="77"/>
        <v/>
      </c>
      <c r="AP85" s="39"/>
      <c r="AQ85" s="72" t="str">
        <f t="shared" si="59"/>
        <v/>
      </c>
      <c r="AR85" s="72" t="str">
        <f t="shared" si="78"/>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60"/>
        <v/>
      </c>
      <c r="AW85" s="72" t="str">
        <f t="shared" si="61"/>
        <v/>
      </c>
      <c r="AX85" s="39"/>
      <c r="AY85" s="40" t="str">
        <f>IF(ISERROR(IF($K85&lt;=$F$15,VLOOKUP($I85,'表4）CO2価格'!$A$7:$E$67,VLOOKUP($F$48,'表4）CO2価格'!$H$10:$I$12,2,0),0)*$F$8/1000,"")),0,IF($K85&lt;=$F$15,VLOOKUP($I85,'表4）CO2価格'!$A$7:$E$67,VLOOKUP($F$48,'表4）CO2価格'!$H$10:$I$12,2,0),0)*$F$8/1000,""))</f>
        <v/>
      </c>
      <c r="AZ85" s="39"/>
      <c r="BA85" s="42" t="str">
        <f t="shared" si="62"/>
        <v/>
      </c>
      <c r="BB85" s="72" t="str">
        <f t="shared" si="79"/>
        <v/>
      </c>
      <c r="BC85" s="39"/>
      <c r="BD85" s="72" t="str">
        <f t="shared" si="63"/>
        <v/>
      </c>
      <c r="BE85" s="72" t="str">
        <f t="shared" si="80"/>
        <v/>
      </c>
      <c r="BF85" s="39"/>
      <c r="BG85" s="42" t="str">
        <f t="shared" si="64"/>
        <v/>
      </c>
      <c r="BH85" s="72" t="str">
        <f t="shared" si="81"/>
        <v/>
      </c>
      <c r="BI85" s="39"/>
      <c r="BJ85" s="40" t="str">
        <f t="shared" si="82"/>
        <v/>
      </c>
      <c r="BK85" s="157" t="str">
        <f t="shared" si="83"/>
        <v/>
      </c>
      <c r="BL85" s="157" t="str">
        <f t="shared" si="65"/>
        <v/>
      </c>
      <c r="BM85" s="72"/>
      <c r="BN85" s="72" t="str">
        <f t="shared" si="84"/>
        <v/>
      </c>
      <c r="BO85" s="72" t="str">
        <f t="shared" si="85"/>
        <v/>
      </c>
      <c r="BP85" s="39"/>
      <c r="BQ85" s="72" t="str">
        <f t="shared" si="66"/>
        <v/>
      </c>
      <c r="BR85" s="72" t="str">
        <f t="shared" si="86"/>
        <v/>
      </c>
    </row>
    <row r="86" spans="4:70" x14ac:dyDescent="0.15">
      <c r="F86" s="93"/>
      <c r="I86" s="322">
        <f t="shared" si="87"/>
        <v>2101</v>
      </c>
      <c r="J86" s="71"/>
      <c r="K86" s="71">
        <f t="shared" si="88"/>
        <v>72</v>
      </c>
      <c r="L86" s="71"/>
      <c r="M86" s="7">
        <f t="shared" si="51"/>
        <v>0.1190473743404982</v>
      </c>
      <c r="N86" s="71"/>
      <c r="O86" s="10" t="str">
        <f t="shared" si="67"/>
        <v/>
      </c>
      <c r="P86" s="29" t="str">
        <f t="shared" si="52"/>
        <v/>
      </c>
      <c r="Q86" s="71"/>
      <c r="R86" s="10" t="str">
        <f t="shared" si="68"/>
        <v/>
      </c>
      <c r="S86" s="71"/>
      <c r="T86" s="10" t="str">
        <f t="shared" si="69"/>
        <v/>
      </c>
      <c r="U86" s="71"/>
      <c r="V86" s="10" t="str">
        <f t="shared" si="53"/>
        <v/>
      </c>
      <c r="W86" s="10" t="str">
        <f t="shared" si="70"/>
        <v/>
      </c>
      <c r="X86" s="71"/>
      <c r="Y86" s="10" t="str">
        <f t="shared" si="54"/>
        <v/>
      </c>
      <c r="Z86" s="10" t="str">
        <f t="shared" si="71"/>
        <v/>
      </c>
      <c r="AA86" s="71"/>
      <c r="AB86" s="10" t="str">
        <f t="shared" si="55"/>
        <v/>
      </c>
      <c r="AC86" s="10" t="str">
        <f t="shared" si="72"/>
        <v/>
      </c>
      <c r="AD86" s="71"/>
      <c r="AE86" s="10" t="str">
        <f t="shared" si="56"/>
        <v/>
      </c>
      <c r="AF86" s="10" t="str">
        <f t="shared" si="73"/>
        <v/>
      </c>
      <c r="AG86" s="71"/>
      <c r="AH86" s="10" t="str">
        <f t="shared" si="57"/>
        <v/>
      </c>
      <c r="AI86" s="10" t="str">
        <f t="shared" si="74"/>
        <v/>
      </c>
      <c r="AJ86" s="71"/>
      <c r="AK86" s="10" t="str">
        <f t="shared" si="75"/>
        <v/>
      </c>
      <c r="AL86" s="10" t="str">
        <f t="shared" si="76"/>
        <v/>
      </c>
      <c r="AM86" s="71"/>
      <c r="AN86" s="10" t="str">
        <f t="shared" si="58"/>
        <v/>
      </c>
      <c r="AO86" s="10" t="str">
        <f t="shared" si="77"/>
        <v/>
      </c>
      <c r="AP86" s="71"/>
      <c r="AQ86" s="10" t="str">
        <f t="shared" si="59"/>
        <v/>
      </c>
      <c r="AR86" s="10" t="str">
        <f t="shared" si="78"/>
        <v/>
      </c>
      <c r="AS86" s="71"/>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U86" s="71"/>
      <c r="AV86" s="10" t="str">
        <f t="shared" si="60"/>
        <v/>
      </c>
      <c r="AW86" s="10" t="str">
        <f t="shared" si="61"/>
        <v/>
      </c>
      <c r="AX86" s="71"/>
      <c r="AY86" s="7" t="str">
        <f>IF(ISERROR(IF($K86&lt;=$F$15,VLOOKUP($I86,'表4）CO2価格'!$A$7:$E$67,VLOOKUP($F$48,'表4）CO2価格'!$H$10:$I$12,2,0),0)*$F$8/1000,"")),0,IF($K86&lt;=$F$15,VLOOKUP($I86,'表4）CO2価格'!$A$7:$E$67,VLOOKUP($F$48,'表4）CO2価格'!$H$10:$I$12,2,0),0)*$F$8/1000,""))</f>
        <v/>
      </c>
      <c r="AZ86" s="71"/>
      <c r="BA86" s="11" t="str">
        <f t="shared" si="62"/>
        <v/>
      </c>
      <c r="BB86" s="10" t="str">
        <f t="shared" si="79"/>
        <v/>
      </c>
      <c r="BC86" s="71"/>
      <c r="BD86" s="10" t="str">
        <f t="shared" si="63"/>
        <v/>
      </c>
      <c r="BE86" s="10" t="str">
        <f t="shared" si="80"/>
        <v/>
      </c>
      <c r="BF86" s="71"/>
      <c r="BG86" s="11" t="str">
        <f t="shared" si="64"/>
        <v/>
      </c>
      <c r="BH86" s="10" t="str">
        <f t="shared" si="81"/>
        <v/>
      </c>
      <c r="BJ86" s="7" t="str">
        <f t="shared" si="82"/>
        <v/>
      </c>
      <c r="BK86" s="158" t="str">
        <f t="shared" si="83"/>
        <v/>
      </c>
      <c r="BL86" s="158" t="str">
        <f t="shared" si="65"/>
        <v/>
      </c>
      <c r="BM86" s="10"/>
      <c r="BN86" s="10" t="str">
        <f t="shared" si="84"/>
        <v/>
      </c>
      <c r="BO86" s="10" t="str">
        <f t="shared" si="85"/>
        <v/>
      </c>
      <c r="BQ86" s="10" t="str">
        <f t="shared" si="66"/>
        <v/>
      </c>
      <c r="BR86" s="10" t="str">
        <f t="shared" si="86"/>
        <v/>
      </c>
    </row>
    <row r="87" spans="4:70" x14ac:dyDescent="0.15">
      <c r="E87" s="81" t="s">
        <v>141</v>
      </c>
      <c r="F87" s="91">
        <f>AI116/$BR$116</f>
        <v>0</v>
      </c>
      <c r="G87" s="81" t="s">
        <v>132</v>
      </c>
      <c r="I87" s="38">
        <f t="shared" si="87"/>
        <v>2102</v>
      </c>
      <c r="J87" s="39"/>
      <c r="K87" s="39">
        <f t="shared" si="88"/>
        <v>73</v>
      </c>
      <c r="L87" s="39"/>
      <c r="M87" s="40">
        <f t="shared" si="51"/>
        <v>0.11557997508786232</v>
      </c>
      <c r="N87" s="39"/>
      <c r="O87" s="72" t="str">
        <f t="shared" si="67"/>
        <v/>
      </c>
      <c r="P87" s="41" t="str">
        <f t="shared" si="52"/>
        <v/>
      </c>
      <c r="Q87" s="39"/>
      <c r="R87" s="72" t="str">
        <f t="shared" si="68"/>
        <v/>
      </c>
      <c r="S87" s="39"/>
      <c r="T87" s="72" t="str">
        <f t="shared" si="69"/>
        <v/>
      </c>
      <c r="U87" s="39"/>
      <c r="V87" s="72" t="str">
        <f t="shared" si="53"/>
        <v/>
      </c>
      <c r="W87" s="72" t="str">
        <f t="shared" si="70"/>
        <v/>
      </c>
      <c r="X87" s="39"/>
      <c r="Y87" s="72" t="str">
        <f t="shared" si="54"/>
        <v/>
      </c>
      <c r="Z87" s="72" t="str">
        <f t="shared" si="71"/>
        <v/>
      </c>
      <c r="AA87" s="39"/>
      <c r="AB87" s="72" t="str">
        <f t="shared" si="55"/>
        <v/>
      </c>
      <c r="AC87" s="72" t="str">
        <f t="shared" si="72"/>
        <v/>
      </c>
      <c r="AD87" s="39"/>
      <c r="AE87" s="72" t="str">
        <f t="shared" si="56"/>
        <v/>
      </c>
      <c r="AF87" s="72" t="str">
        <f t="shared" si="73"/>
        <v/>
      </c>
      <c r="AG87" s="39"/>
      <c r="AH87" s="72" t="str">
        <f t="shared" si="57"/>
        <v/>
      </c>
      <c r="AI87" s="72" t="str">
        <f t="shared" si="74"/>
        <v/>
      </c>
      <c r="AJ87" s="39"/>
      <c r="AK87" s="72" t="str">
        <f t="shared" si="75"/>
        <v/>
      </c>
      <c r="AL87" s="72" t="str">
        <f t="shared" si="76"/>
        <v/>
      </c>
      <c r="AM87" s="39"/>
      <c r="AN87" s="72" t="str">
        <f t="shared" si="58"/>
        <v/>
      </c>
      <c r="AO87" s="72" t="str">
        <f t="shared" si="77"/>
        <v/>
      </c>
      <c r="AP87" s="39"/>
      <c r="AQ87" s="72" t="str">
        <f t="shared" si="59"/>
        <v/>
      </c>
      <c r="AR87" s="72" t="str">
        <f t="shared" si="78"/>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60"/>
        <v/>
      </c>
      <c r="AW87" s="72" t="str">
        <f t="shared" si="61"/>
        <v/>
      </c>
      <c r="AX87" s="39"/>
      <c r="AY87" s="40" t="str">
        <f>IF(ISERROR(IF($K87&lt;=$F$15,VLOOKUP($I87,'表4）CO2価格'!$A$7:$E$67,VLOOKUP($F$48,'表4）CO2価格'!$H$10:$I$12,2,0),0)*$F$8/1000,"")),0,IF($K87&lt;=$F$15,VLOOKUP($I87,'表4）CO2価格'!$A$7:$E$67,VLOOKUP($F$48,'表4）CO2価格'!$H$10:$I$12,2,0),0)*$F$8/1000,""))</f>
        <v/>
      </c>
      <c r="AZ87" s="39"/>
      <c r="BA87" s="42" t="str">
        <f t="shared" si="62"/>
        <v/>
      </c>
      <c r="BB87" s="72" t="str">
        <f t="shared" si="79"/>
        <v/>
      </c>
      <c r="BC87" s="39"/>
      <c r="BD87" s="72" t="str">
        <f t="shared" si="63"/>
        <v/>
      </c>
      <c r="BE87" s="72" t="str">
        <f t="shared" si="80"/>
        <v/>
      </c>
      <c r="BF87" s="39"/>
      <c r="BG87" s="42" t="str">
        <f t="shared" si="64"/>
        <v/>
      </c>
      <c r="BH87" s="72" t="str">
        <f t="shared" si="81"/>
        <v/>
      </c>
      <c r="BI87" s="39"/>
      <c r="BJ87" s="40" t="str">
        <f t="shared" si="82"/>
        <v/>
      </c>
      <c r="BK87" s="157" t="str">
        <f t="shared" si="83"/>
        <v/>
      </c>
      <c r="BL87" s="157" t="str">
        <f t="shared" si="65"/>
        <v/>
      </c>
      <c r="BM87" s="72"/>
      <c r="BN87" s="72" t="str">
        <f t="shared" si="84"/>
        <v/>
      </c>
      <c r="BO87" s="72" t="str">
        <f t="shared" si="85"/>
        <v/>
      </c>
      <c r="BP87" s="39"/>
      <c r="BQ87" s="72" t="str">
        <f t="shared" si="66"/>
        <v/>
      </c>
      <c r="BR87" s="72" t="str">
        <f t="shared" si="86"/>
        <v/>
      </c>
    </row>
    <row r="88" spans="4:70" x14ac:dyDescent="0.15">
      <c r="E88" s="81" t="s">
        <v>120</v>
      </c>
      <c r="F88" s="91">
        <f>AL116/$BR$116</f>
        <v>1.616080659335569</v>
      </c>
      <c r="G88" s="81" t="s">
        <v>132</v>
      </c>
      <c r="I88" s="322">
        <f t="shared" si="87"/>
        <v>2103</v>
      </c>
      <c r="J88" s="71"/>
      <c r="K88" s="71">
        <f t="shared" si="88"/>
        <v>74</v>
      </c>
      <c r="L88" s="71"/>
      <c r="M88" s="7">
        <f t="shared" si="51"/>
        <v>0.11221356804646829</v>
      </c>
      <c r="N88" s="71"/>
      <c r="O88" s="10" t="str">
        <f t="shared" si="67"/>
        <v/>
      </c>
      <c r="P88" s="29" t="str">
        <f t="shared" si="52"/>
        <v/>
      </c>
      <c r="Q88" s="71"/>
      <c r="R88" s="10" t="str">
        <f t="shared" si="68"/>
        <v/>
      </c>
      <c r="S88" s="71"/>
      <c r="T88" s="10" t="str">
        <f t="shared" si="69"/>
        <v/>
      </c>
      <c r="U88" s="71"/>
      <c r="V88" s="10" t="str">
        <f t="shared" si="53"/>
        <v/>
      </c>
      <c r="W88" s="10" t="str">
        <f t="shared" si="70"/>
        <v/>
      </c>
      <c r="X88" s="71"/>
      <c r="Y88" s="10" t="str">
        <f t="shared" si="54"/>
        <v/>
      </c>
      <c r="Z88" s="10" t="str">
        <f t="shared" si="71"/>
        <v/>
      </c>
      <c r="AA88" s="71"/>
      <c r="AB88" s="10" t="str">
        <f t="shared" si="55"/>
        <v/>
      </c>
      <c r="AC88" s="10" t="str">
        <f t="shared" si="72"/>
        <v/>
      </c>
      <c r="AD88" s="71"/>
      <c r="AE88" s="10" t="str">
        <f t="shared" si="56"/>
        <v/>
      </c>
      <c r="AF88" s="10" t="str">
        <f t="shared" si="73"/>
        <v/>
      </c>
      <c r="AG88" s="71"/>
      <c r="AH88" s="10" t="str">
        <f t="shared" si="57"/>
        <v/>
      </c>
      <c r="AI88" s="10" t="str">
        <f t="shared" si="74"/>
        <v/>
      </c>
      <c r="AJ88" s="71"/>
      <c r="AK88" s="10" t="str">
        <f t="shared" si="75"/>
        <v/>
      </c>
      <c r="AL88" s="10" t="str">
        <f t="shared" si="76"/>
        <v/>
      </c>
      <c r="AM88" s="71"/>
      <c r="AN88" s="10" t="str">
        <f t="shared" si="58"/>
        <v/>
      </c>
      <c r="AO88" s="10" t="str">
        <f t="shared" si="77"/>
        <v/>
      </c>
      <c r="AP88" s="71"/>
      <c r="AQ88" s="10" t="str">
        <f t="shared" si="59"/>
        <v/>
      </c>
      <c r="AR88" s="10" t="str">
        <f t="shared" si="78"/>
        <v/>
      </c>
      <c r="AS88" s="71"/>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U88" s="71"/>
      <c r="AV88" s="10" t="str">
        <f t="shared" si="60"/>
        <v/>
      </c>
      <c r="AW88" s="10" t="str">
        <f t="shared" si="61"/>
        <v/>
      </c>
      <c r="AX88" s="71"/>
      <c r="AY88" s="7" t="str">
        <f>IF(ISERROR(IF($K88&lt;=$F$15,VLOOKUP($I88,'表4）CO2価格'!$A$7:$E$67,VLOOKUP($F$48,'表4）CO2価格'!$H$10:$I$12,2,0),0)*$F$8/1000,"")),0,IF($K88&lt;=$F$15,VLOOKUP($I88,'表4）CO2価格'!$A$7:$E$67,VLOOKUP($F$48,'表4）CO2価格'!$H$10:$I$12,2,0),0)*$F$8/1000,""))</f>
        <v/>
      </c>
      <c r="AZ88" s="71"/>
      <c r="BA88" s="11" t="str">
        <f t="shared" si="62"/>
        <v/>
      </c>
      <c r="BB88" s="10" t="str">
        <f t="shared" si="79"/>
        <v/>
      </c>
      <c r="BC88" s="71"/>
      <c r="BD88" s="10" t="str">
        <f t="shared" si="63"/>
        <v/>
      </c>
      <c r="BE88" s="10" t="str">
        <f t="shared" si="80"/>
        <v/>
      </c>
      <c r="BF88" s="71"/>
      <c r="BG88" s="11" t="str">
        <f t="shared" si="64"/>
        <v/>
      </c>
      <c r="BH88" s="10" t="str">
        <f t="shared" si="81"/>
        <v/>
      </c>
      <c r="BJ88" s="7" t="str">
        <f t="shared" si="82"/>
        <v/>
      </c>
      <c r="BK88" s="158" t="str">
        <f t="shared" si="83"/>
        <v/>
      </c>
      <c r="BL88" s="158" t="str">
        <f t="shared" si="65"/>
        <v/>
      </c>
      <c r="BM88" s="10"/>
      <c r="BN88" s="10" t="str">
        <f t="shared" si="84"/>
        <v/>
      </c>
      <c r="BO88" s="10" t="str">
        <f t="shared" si="85"/>
        <v/>
      </c>
      <c r="BQ88" s="10" t="str">
        <f t="shared" si="66"/>
        <v/>
      </c>
      <c r="BR88" s="10" t="str">
        <f t="shared" si="86"/>
        <v/>
      </c>
    </row>
    <row r="89" spans="4:70" x14ac:dyDescent="0.15">
      <c r="E89" s="81" t="s">
        <v>122</v>
      </c>
      <c r="F89" s="91">
        <f>AO116/$BR$116</f>
        <v>0</v>
      </c>
      <c r="G89" s="81" t="s">
        <v>132</v>
      </c>
      <c r="I89" s="38">
        <f t="shared" si="87"/>
        <v>2104</v>
      </c>
      <c r="J89" s="39"/>
      <c r="K89" s="39">
        <f t="shared" si="88"/>
        <v>75</v>
      </c>
      <c r="L89" s="39"/>
      <c r="M89" s="40">
        <f t="shared" si="51"/>
        <v>0.10894521169560026</v>
      </c>
      <c r="N89" s="39"/>
      <c r="O89" s="72" t="str">
        <f t="shared" si="67"/>
        <v/>
      </c>
      <c r="P89" s="41" t="str">
        <f t="shared" si="52"/>
        <v/>
      </c>
      <c r="Q89" s="39"/>
      <c r="R89" s="72" t="str">
        <f t="shared" si="68"/>
        <v/>
      </c>
      <c r="S89" s="39"/>
      <c r="T89" s="72" t="str">
        <f t="shared" si="69"/>
        <v/>
      </c>
      <c r="U89" s="39"/>
      <c r="V89" s="72" t="str">
        <f t="shared" si="53"/>
        <v/>
      </c>
      <c r="W89" s="72" t="str">
        <f t="shared" si="70"/>
        <v/>
      </c>
      <c r="X89" s="39"/>
      <c r="Y89" s="72" t="str">
        <f t="shared" si="54"/>
        <v/>
      </c>
      <c r="Z89" s="72" t="str">
        <f t="shared" si="71"/>
        <v/>
      </c>
      <c r="AA89" s="39"/>
      <c r="AB89" s="72" t="str">
        <f t="shared" si="55"/>
        <v/>
      </c>
      <c r="AC89" s="72" t="str">
        <f t="shared" si="72"/>
        <v/>
      </c>
      <c r="AD89" s="39"/>
      <c r="AE89" s="72" t="str">
        <f t="shared" si="56"/>
        <v/>
      </c>
      <c r="AF89" s="72" t="str">
        <f t="shared" si="73"/>
        <v/>
      </c>
      <c r="AG89" s="39"/>
      <c r="AH89" s="72" t="str">
        <f t="shared" si="57"/>
        <v/>
      </c>
      <c r="AI89" s="72" t="str">
        <f t="shared" si="74"/>
        <v/>
      </c>
      <c r="AJ89" s="39"/>
      <c r="AK89" s="72" t="str">
        <f t="shared" si="75"/>
        <v/>
      </c>
      <c r="AL89" s="72" t="str">
        <f t="shared" si="76"/>
        <v/>
      </c>
      <c r="AM89" s="39"/>
      <c r="AN89" s="72" t="str">
        <f t="shared" si="58"/>
        <v/>
      </c>
      <c r="AO89" s="72" t="str">
        <f t="shared" si="77"/>
        <v/>
      </c>
      <c r="AP89" s="39"/>
      <c r="AQ89" s="72" t="str">
        <f t="shared" si="59"/>
        <v/>
      </c>
      <c r="AR89" s="72" t="str">
        <f t="shared" si="78"/>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60"/>
        <v/>
      </c>
      <c r="AW89" s="72" t="str">
        <f t="shared" si="61"/>
        <v/>
      </c>
      <c r="AX89" s="39"/>
      <c r="AY89" s="40" t="str">
        <f>IF(ISERROR(IF($K89&lt;=$F$15,VLOOKUP($I89,'表4）CO2価格'!$A$7:$E$67,VLOOKUP($F$48,'表4）CO2価格'!$H$10:$I$12,2,0),0)*$F$8/1000,"")),0,IF($K89&lt;=$F$15,VLOOKUP($I89,'表4）CO2価格'!$A$7:$E$67,VLOOKUP($F$48,'表4）CO2価格'!$H$10:$I$12,2,0),0)*$F$8/1000,""))</f>
        <v/>
      </c>
      <c r="AZ89" s="39"/>
      <c r="BA89" s="42" t="str">
        <f t="shared" si="62"/>
        <v/>
      </c>
      <c r="BB89" s="72" t="str">
        <f t="shared" si="79"/>
        <v/>
      </c>
      <c r="BC89" s="39"/>
      <c r="BD89" s="72" t="str">
        <f t="shared" si="63"/>
        <v/>
      </c>
      <c r="BE89" s="72" t="str">
        <f t="shared" si="80"/>
        <v/>
      </c>
      <c r="BF89" s="39"/>
      <c r="BG89" s="42" t="str">
        <f t="shared" si="64"/>
        <v/>
      </c>
      <c r="BH89" s="72" t="str">
        <f t="shared" si="81"/>
        <v/>
      </c>
      <c r="BI89" s="39"/>
      <c r="BJ89" s="40" t="str">
        <f t="shared" si="82"/>
        <v/>
      </c>
      <c r="BK89" s="157" t="str">
        <f t="shared" si="83"/>
        <v/>
      </c>
      <c r="BL89" s="157" t="str">
        <f t="shared" si="65"/>
        <v/>
      </c>
      <c r="BM89" s="72"/>
      <c r="BN89" s="72" t="str">
        <f t="shared" si="84"/>
        <v/>
      </c>
      <c r="BO89" s="72" t="str">
        <f t="shared" si="85"/>
        <v/>
      </c>
      <c r="BP89" s="39"/>
      <c r="BQ89" s="72" t="str">
        <f t="shared" si="66"/>
        <v/>
      </c>
      <c r="BR89" s="72" t="str">
        <f t="shared" si="86"/>
        <v/>
      </c>
    </row>
    <row r="90" spans="4:70" x14ac:dyDescent="0.15">
      <c r="E90" s="81" t="s">
        <v>142</v>
      </c>
      <c r="F90" s="91">
        <f>AR116/$BR$116</f>
        <v>0</v>
      </c>
      <c r="G90" s="81" t="s">
        <v>132</v>
      </c>
      <c r="I90" s="322">
        <f t="shared" si="87"/>
        <v>2105</v>
      </c>
      <c r="J90" s="71"/>
      <c r="K90" s="71">
        <f t="shared" si="88"/>
        <v>76</v>
      </c>
      <c r="L90" s="71"/>
      <c r="M90" s="7">
        <f t="shared" si="51"/>
        <v>0.10577205018990318</v>
      </c>
      <c r="N90" s="71"/>
      <c r="O90" s="10" t="str">
        <f t="shared" si="67"/>
        <v/>
      </c>
      <c r="P90" s="29" t="str">
        <f t="shared" si="52"/>
        <v/>
      </c>
      <c r="Q90" s="71"/>
      <c r="R90" s="10" t="str">
        <f t="shared" si="68"/>
        <v/>
      </c>
      <c r="S90" s="71"/>
      <c r="T90" s="10" t="str">
        <f t="shared" si="69"/>
        <v/>
      </c>
      <c r="U90" s="71"/>
      <c r="V90" s="10" t="str">
        <f t="shared" si="53"/>
        <v/>
      </c>
      <c r="W90" s="10" t="str">
        <f t="shared" si="70"/>
        <v/>
      </c>
      <c r="X90" s="71"/>
      <c r="Y90" s="10" t="str">
        <f t="shared" si="54"/>
        <v/>
      </c>
      <c r="Z90" s="10" t="str">
        <f t="shared" si="71"/>
        <v/>
      </c>
      <c r="AA90" s="71"/>
      <c r="AB90" s="10" t="str">
        <f t="shared" si="55"/>
        <v/>
      </c>
      <c r="AC90" s="10" t="str">
        <f t="shared" si="72"/>
        <v/>
      </c>
      <c r="AD90" s="71"/>
      <c r="AE90" s="10" t="str">
        <f t="shared" si="56"/>
        <v/>
      </c>
      <c r="AF90" s="10" t="str">
        <f t="shared" si="73"/>
        <v/>
      </c>
      <c r="AG90" s="71"/>
      <c r="AH90" s="10" t="str">
        <f t="shared" si="57"/>
        <v/>
      </c>
      <c r="AI90" s="10" t="str">
        <f t="shared" si="74"/>
        <v/>
      </c>
      <c r="AJ90" s="71"/>
      <c r="AK90" s="10" t="str">
        <f t="shared" si="75"/>
        <v/>
      </c>
      <c r="AL90" s="10" t="str">
        <f t="shared" si="76"/>
        <v/>
      </c>
      <c r="AM90" s="71"/>
      <c r="AN90" s="10" t="str">
        <f t="shared" si="58"/>
        <v/>
      </c>
      <c r="AO90" s="10" t="str">
        <f t="shared" si="77"/>
        <v/>
      </c>
      <c r="AP90" s="71"/>
      <c r="AQ90" s="10" t="str">
        <f t="shared" si="59"/>
        <v/>
      </c>
      <c r="AR90" s="10" t="str">
        <f t="shared" si="78"/>
        <v/>
      </c>
      <c r="AS90" s="71"/>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U90" s="71"/>
      <c r="AV90" s="10" t="str">
        <f t="shared" si="60"/>
        <v/>
      </c>
      <c r="AW90" s="10" t="str">
        <f t="shared" si="61"/>
        <v/>
      </c>
      <c r="AX90" s="71"/>
      <c r="AY90" s="7" t="str">
        <f>IF(ISERROR(IF($K90&lt;=$F$15,VLOOKUP($I90,'表4）CO2価格'!$A$7:$E$67,VLOOKUP($F$48,'表4）CO2価格'!$H$10:$I$12,2,0),0)*$F$8/1000,"")),0,IF($K90&lt;=$F$15,VLOOKUP($I90,'表4）CO2価格'!$A$7:$E$67,VLOOKUP($F$48,'表4）CO2価格'!$H$10:$I$12,2,0),0)*$F$8/1000,""))</f>
        <v/>
      </c>
      <c r="AZ90" s="71"/>
      <c r="BA90" s="11" t="str">
        <f t="shared" si="62"/>
        <v/>
      </c>
      <c r="BB90" s="10" t="str">
        <f t="shared" si="79"/>
        <v/>
      </c>
      <c r="BC90" s="71"/>
      <c r="BD90" s="10" t="str">
        <f t="shared" si="63"/>
        <v/>
      </c>
      <c r="BE90" s="10" t="str">
        <f t="shared" si="80"/>
        <v/>
      </c>
      <c r="BF90" s="71"/>
      <c r="BG90" s="11" t="str">
        <f t="shared" si="64"/>
        <v/>
      </c>
      <c r="BH90" s="10" t="str">
        <f t="shared" si="81"/>
        <v/>
      </c>
      <c r="BJ90" s="7" t="str">
        <f t="shared" si="82"/>
        <v/>
      </c>
      <c r="BK90" s="158" t="str">
        <f t="shared" si="83"/>
        <v/>
      </c>
      <c r="BL90" s="158" t="str">
        <f t="shared" si="65"/>
        <v/>
      </c>
      <c r="BM90" s="10"/>
      <c r="BN90" s="10" t="str">
        <f t="shared" si="84"/>
        <v/>
      </c>
      <c r="BO90" s="10" t="str">
        <f t="shared" si="85"/>
        <v/>
      </c>
      <c r="BQ90" s="10" t="str">
        <f t="shared" si="66"/>
        <v/>
      </c>
      <c r="BR90" s="10" t="str">
        <f t="shared" si="86"/>
        <v/>
      </c>
    </row>
    <row r="91" spans="4:70" x14ac:dyDescent="0.15">
      <c r="F91" s="93"/>
      <c r="I91" s="38">
        <f t="shared" si="87"/>
        <v>2106</v>
      </c>
      <c r="J91" s="39"/>
      <c r="K91" s="39">
        <f t="shared" si="88"/>
        <v>77</v>
      </c>
      <c r="L91" s="39"/>
      <c r="M91" s="40">
        <f t="shared" si="51"/>
        <v>0.10269131086398368</v>
      </c>
      <c r="N91" s="39"/>
      <c r="O91" s="72" t="str">
        <f t="shared" si="67"/>
        <v/>
      </c>
      <c r="P91" s="41" t="str">
        <f t="shared" si="52"/>
        <v/>
      </c>
      <c r="Q91" s="39"/>
      <c r="R91" s="72" t="str">
        <f t="shared" si="68"/>
        <v/>
      </c>
      <c r="S91" s="39"/>
      <c r="T91" s="72" t="str">
        <f t="shared" si="69"/>
        <v/>
      </c>
      <c r="U91" s="39"/>
      <c r="V91" s="72" t="str">
        <f t="shared" si="53"/>
        <v/>
      </c>
      <c r="W91" s="72" t="str">
        <f t="shared" si="70"/>
        <v/>
      </c>
      <c r="X91" s="39"/>
      <c r="Y91" s="72" t="str">
        <f t="shared" si="54"/>
        <v/>
      </c>
      <c r="Z91" s="72" t="str">
        <f t="shared" si="71"/>
        <v/>
      </c>
      <c r="AA91" s="39"/>
      <c r="AB91" s="72" t="str">
        <f t="shared" si="55"/>
        <v/>
      </c>
      <c r="AC91" s="72" t="str">
        <f t="shared" si="72"/>
        <v/>
      </c>
      <c r="AD91" s="39"/>
      <c r="AE91" s="72" t="str">
        <f t="shared" si="56"/>
        <v/>
      </c>
      <c r="AF91" s="72" t="str">
        <f t="shared" si="73"/>
        <v/>
      </c>
      <c r="AG91" s="39"/>
      <c r="AH91" s="72" t="str">
        <f t="shared" si="57"/>
        <v/>
      </c>
      <c r="AI91" s="72" t="str">
        <f t="shared" si="74"/>
        <v/>
      </c>
      <c r="AJ91" s="39"/>
      <c r="AK91" s="72" t="str">
        <f t="shared" si="75"/>
        <v/>
      </c>
      <c r="AL91" s="72" t="str">
        <f t="shared" si="76"/>
        <v/>
      </c>
      <c r="AM91" s="39"/>
      <c r="AN91" s="72" t="str">
        <f t="shared" si="58"/>
        <v/>
      </c>
      <c r="AO91" s="72" t="str">
        <f t="shared" si="77"/>
        <v/>
      </c>
      <c r="AP91" s="39"/>
      <c r="AQ91" s="72" t="str">
        <f t="shared" si="59"/>
        <v/>
      </c>
      <c r="AR91" s="72" t="str">
        <f t="shared" si="78"/>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60"/>
        <v/>
      </c>
      <c r="AW91" s="72" t="str">
        <f t="shared" si="61"/>
        <v/>
      </c>
      <c r="AX91" s="39"/>
      <c r="AY91" s="40" t="str">
        <f>IF(ISERROR(IF($K91&lt;=$F$15,VLOOKUP($I91,'表4）CO2価格'!$A$7:$E$67,VLOOKUP($F$48,'表4）CO2価格'!$H$10:$I$12,2,0),0)*$F$8/1000,"")),0,IF($K91&lt;=$F$15,VLOOKUP($I91,'表4）CO2価格'!$A$7:$E$67,VLOOKUP($F$48,'表4）CO2価格'!$H$10:$I$12,2,0),0)*$F$8/1000,""))</f>
        <v/>
      </c>
      <c r="AZ91" s="39"/>
      <c r="BA91" s="42" t="str">
        <f t="shared" si="62"/>
        <v/>
      </c>
      <c r="BB91" s="72" t="str">
        <f t="shared" si="79"/>
        <v/>
      </c>
      <c r="BC91" s="39"/>
      <c r="BD91" s="72" t="str">
        <f t="shared" si="63"/>
        <v/>
      </c>
      <c r="BE91" s="72" t="str">
        <f t="shared" si="80"/>
        <v/>
      </c>
      <c r="BF91" s="39"/>
      <c r="BG91" s="42" t="str">
        <f t="shared" si="64"/>
        <v/>
      </c>
      <c r="BH91" s="72" t="str">
        <f t="shared" si="81"/>
        <v/>
      </c>
      <c r="BI91" s="39"/>
      <c r="BJ91" s="40" t="str">
        <f t="shared" si="82"/>
        <v/>
      </c>
      <c r="BK91" s="157" t="str">
        <f t="shared" si="83"/>
        <v/>
      </c>
      <c r="BL91" s="157" t="str">
        <f t="shared" si="65"/>
        <v/>
      </c>
      <c r="BM91" s="72"/>
      <c r="BN91" s="72" t="str">
        <f t="shared" si="84"/>
        <v/>
      </c>
      <c r="BO91" s="72" t="str">
        <f t="shared" si="85"/>
        <v/>
      </c>
      <c r="BP91" s="39"/>
      <c r="BQ91" s="72" t="str">
        <f t="shared" si="66"/>
        <v/>
      </c>
      <c r="BR91" s="72" t="str">
        <f t="shared" si="86"/>
        <v/>
      </c>
    </row>
    <row r="92" spans="4:70" ht="15" x14ac:dyDescent="0.15">
      <c r="D92" s="116" t="s">
        <v>196</v>
      </c>
      <c r="F92" s="94">
        <f>SUBTOTAL(9,F96:F97)</f>
        <v>8.009444405133415</v>
      </c>
      <c r="I92" s="322">
        <f t="shared" si="87"/>
        <v>2107</v>
      </c>
      <c r="J92" s="71"/>
      <c r="K92" s="71">
        <f t="shared" si="88"/>
        <v>78</v>
      </c>
      <c r="L92" s="71"/>
      <c r="M92" s="7">
        <f t="shared" si="51"/>
        <v>9.9700301809692873E-2</v>
      </c>
      <c r="N92" s="71"/>
      <c r="O92" s="10" t="str">
        <f t="shared" si="67"/>
        <v/>
      </c>
      <c r="P92" s="29" t="str">
        <f t="shared" si="52"/>
        <v/>
      </c>
      <c r="Q92" s="71"/>
      <c r="R92" s="10" t="str">
        <f t="shared" si="68"/>
        <v/>
      </c>
      <c r="S92" s="71"/>
      <c r="T92" s="10" t="str">
        <f t="shared" si="69"/>
        <v/>
      </c>
      <c r="U92" s="71"/>
      <c r="V92" s="10" t="str">
        <f t="shared" si="53"/>
        <v/>
      </c>
      <c r="W92" s="10" t="str">
        <f t="shared" si="70"/>
        <v/>
      </c>
      <c r="X92" s="71"/>
      <c r="Y92" s="10" t="str">
        <f t="shared" si="54"/>
        <v/>
      </c>
      <c r="Z92" s="10" t="str">
        <f t="shared" si="71"/>
        <v/>
      </c>
      <c r="AA92" s="71"/>
      <c r="AB92" s="10" t="str">
        <f t="shared" si="55"/>
        <v/>
      </c>
      <c r="AC92" s="10" t="str">
        <f t="shared" si="72"/>
        <v/>
      </c>
      <c r="AD92" s="71"/>
      <c r="AE92" s="10" t="str">
        <f t="shared" si="56"/>
        <v/>
      </c>
      <c r="AF92" s="10" t="str">
        <f t="shared" si="73"/>
        <v/>
      </c>
      <c r="AG92" s="71"/>
      <c r="AH92" s="10" t="str">
        <f t="shared" si="57"/>
        <v/>
      </c>
      <c r="AI92" s="10" t="str">
        <f t="shared" si="74"/>
        <v/>
      </c>
      <c r="AJ92" s="71"/>
      <c r="AK92" s="10" t="str">
        <f t="shared" si="75"/>
        <v/>
      </c>
      <c r="AL92" s="10" t="str">
        <f t="shared" si="76"/>
        <v/>
      </c>
      <c r="AM92" s="71"/>
      <c r="AN92" s="10" t="str">
        <f t="shared" si="58"/>
        <v/>
      </c>
      <c r="AO92" s="10" t="str">
        <f t="shared" si="77"/>
        <v/>
      </c>
      <c r="AP92" s="71"/>
      <c r="AQ92" s="10" t="str">
        <f t="shared" si="59"/>
        <v/>
      </c>
      <c r="AR92" s="10" t="str">
        <f t="shared" si="78"/>
        <v/>
      </c>
      <c r="AS92" s="71"/>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U92" s="71"/>
      <c r="AV92" s="10" t="str">
        <f t="shared" si="60"/>
        <v/>
      </c>
      <c r="AW92" s="10" t="str">
        <f t="shared" si="61"/>
        <v/>
      </c>
      <c r="AX92" s="71"/>
      <c r="AY92" s="7" t="str">
        <f>IF(ISERROR(IF($K92&lt;=$F$15,VLOOKUP($I92,'表4）CO2価格'!$A$7:$E$67,VLOOKUP($F$48,'表4）CO2価格'!$H$10:$I$12,2,0),0)*$F$8/1000,"")),0,IF($K92&lt;=$F$15,VLOOKUP($I92,'表4）CO2価格'!$A$7:$E$67,VLOOKUP($F$48,'表4）CO2価格'!$H$10:$I$12,2,0),0)*$F$8/1000,""))</f>
        <v/>
      </c>
      <c r="AZ92" s="71"/>
      <c r="BA92" s="11" t="str">
        <f t="shared" si="62"/>
        <v/>
      </c>
      <c r="BB92" s="10" t="str">
        <f t="shared" si="79"/>
        <v/>
      </c>
      <c r="BC92" s="71"/>
      <c r="BD92" s="10" t="str">
        <f t="shared" si="63"/>
        <v/>
      </c>
      <c r="BE92" s="10" t="str">
        <f t="shared" si="80"/>
        <v/>
      </c>
      <c r="BF92" s="71"/>
      <c r="BG92" s="11" t="str">
        <f t="shared" si="64"/>
        <v/>
      </c>
      <c r="BH92" s="10" t="str">
        <f t="shared" si="81"/>
        <v/>
      </c>
      <c r="BJ92" s="7" t="str">
        <f t="shared" si="82"/>
        <v/>
      </c>
      <c r="BK92" s="158" t="str">
        <f t="shared" si="83"/>
        <v/>
      </c>
      <c r="BL92" s="158" t="str">
        <f t="shared" si="65"/>
        <v/>
      </c>
      <c r="BM92" s="10"/>
      <c r="BN92" s="10" t="str">
        <f t="shared" si="84"/>
        <v/>
      </c>
      <c r="BO92" s="10" t="str">
        <f t="shared" si="85"/>
        <v/>
      </c>
      <c r="BQ92" s="10" t="str">
        <f t="shared" si="66"/>
        <v/>
      </c>
      <c r="BR92" s="10" t="str">
        <f t="shared" si="86"/>
        <v/>
      </c>
    </row>
    <row r="93" spans="4:70" ht="15" x14ac:dyDescent="0.15">
      <c r="D93" s="116"/>
      <c r="F93" s="93"/>
      <c r="I93" s="38">
        <f t="shared" si="87"/>
        <v>2108</v>
      </c>
      <c r="J93" s="39"/>
      <c r="K93" s="39">
        <f t="shared" si="88"/>
        <v>79</v>
      </c>
      <c r="L93" s="39"/>
      <c r="M93" s="40">
        <f t="shared" si="51"/>
        <v>9.679640952397367E-2</v>
      </c>
      <c r="N93" s="39"/>
      <c r="O93" s="72" t="str">
        <f t="shared" si="67"/>
        <v/>
      </c>
      <c r="P93" s="41" t="str">
        <f t="shared" si="52"/>
        <v/>
      </c>
      <c r="Q93" s="39"/>
      <c r="R93" s="72" t="str">
        <f t="shared" si="68"/>
        <v/>
      </c>
      <c r="S93" s="39"/>
      <c r="T93" s="72" t="str">
        <f t="shared" si="69"/>
        <v/>
      </c>
      <c r="U93" s="39"/>
      <c r="V93" s="72" t="str">
        <f t="shared" si="53"/>
        <v/>
      </c>
      <c r="W93" s="72" t="str">
        <f t="shared" si="70"/>
        <v/>
      </c>
      <c r="X93" s="39"/>
      <c r="Y93" s="72" t="str">
        <f t="shared" si="54"/>
        <v/>
      </c>
      <c r="Z93" s="72" t="str">
        <f t="shared" si="71"/>
        <v/>
      </c>
      <c r="AA93" s="39"/>
      <c r="AB93" s="72" t="str">
        <f t="shared" si="55"/>
        <v/>
      </c>
      <c r="AC93" s="72" t="str">
        <f t="shared" si="72"/>
        <v/>
      </c>
      <c r="AD93" s="39"/>
      <c r="AE93" s="72" t="str">
        <f t="shared" si="56"/>
        <v/>
      </c>
      <c r="AF93" s="72" t="str">
        <f t="shared" si="73"/>
        <v/>
      </c>
      <c r="AG93" s="39"/>
      <c r="AH93" s="72" t="str">
        <f t="shared" si="57"/>
        <v/>
      </c>
      <c r="AI93" s="72" t="str">
        <f t="shared" si="74"/>
        <v/>
      </c>
      <c r="AJ93" s="39"/>
      <c r="AK93" s="72" t="str">
        <f t="shared" si="75"/>
        <v/>
      </c>
      <c r="AL93" s="72" t="str">
        <f t="shared" si="76"/>
        <v/>
      </c>
      <c r="AM93" s="39"/>
      <c r="AN93" s="72" t="str">
        <f t="shared" si="58"/>
        <v/>
      </c>
      <c r="AO93" s="72" t="str">
        <f t="shared" si="77"/>
        <v/>
      </c>
      <c r="AP93" s="39"/>
      <c r="AQ93" s="72" t="str">
        <f t="shared" si="59"/>
        <v/>
      </c>
      <c r="AR93" s="72" t="str">
        <f t="shared" si="78"/>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60"/>
        <v/>
      </c>
      <c r="AW93" s="72" t="str">
        <f t="shared" si="61"/>
        <v/>
      </c>
      <c r="AX93" s="39"/>
      <c r="AY93" s="40" t="str">
        <f>IF(ISERROR(IF($K93&lt;=$F$15,VLOOKUP($I93,'表4）CO2価格'!$A$7:$E$67,VLOOKUP($F$48,'表4）CO2価格'!$H$10:$I$12,2,0),0)*$F$8/1000,"")),0,IF($K93&lt;=$F$15,VLOOKUP($I93,'表4）CO2価格'!$A$7:$E$67,VLOOKUP($F$48,'表4）CO2価格'!$H$10:$I$12,2,0),0)*$F$8/1000,""))</f>
        <v/>
      </c>
      <c r="AZ93" s="39"/>
      <c r="BA93" s="42" t="str">
        <f t="shared" si="62"/>
        <v/>
      </c>
      <c r="BB93" s="72" t="str">
        <f t="shared" si="79"/>
        <v/>
      </c>
      <c r="BC93" s="39"/>
      <c r="BD93" s="72" t="str">
        <f t="shared" si="63"/>
        <v/>
      </c>
      <c r="BE93" s="72" t="str">
        <f t="shared" si="80"/>
        <v/>
      </c>
      <c r="BF93" s="39"/>
      <c r="BG93" s="42" t="str">
        <f t="shared" si="64"/>
        <v/>
      </c>
      <c r="BH93" s="72" t="str">
        <f t="shared" si="81"/>
        <v/>
      </c>
      <c r="BI93" s="39"/>
      <c r="BJ93" s="40" t="str">
        <f t="shared" si="82"/>
        <v/>
      </c>
      <c r="BK93" s="157" t="str">
        <f t="shared" si="83"/>
        <v/>
      </c>
      <c r="BL93" s="157" t="str">
        <f t="shared" si="65"/>
        <v/>
      </c>
      <c r="BM93" s="72"/>
      <c r="BN93" s="72" t="str">
        <f t="shared" si="84"/>
        <v/>
      </c>
      <c r="BO93" s="72" t="str">
        <f t="shared" si="85"/>
        <v/>
      </c>
      <c r="BP93" s="39"/>
      <c r="BQ93" s="72" t="str">
        <f t="shared" si="66"/>
        <v/>
      </c>
      <c r="BR93" s="72" t="str">
        <f t="shared" si="86"/>
        <v/>
      </c>
    </row>
    <row r="94" spans="4:70" x14ac:dyDescent="0.15">
      <c r="D94" s="101" t="s">
        <v>197</v>
      </c>
      <c r="E94" s="101"/>
      <c r="F94" s="92"/>
      <c r="G94" s="101"/>
      <c r="I94" s="322">
        <f t="shared" si="87"/>
        <v>2109</v>
      </c>
      <c r="J94" s="71"/>
      <c r="K94" s="71">
        <f t="shared" si="88"/>
        <v>80</v>
      </c>
      <c r="L94" s="71"/>
      <c r="M94" s="7">
        <f t="shared" si="51"/>
        <v>9.3977096625217166E-2</v>
      </c>
      <c r="N94" s="71"/>
      <c r="O94" s="10" t="str">
        <f t="shared" si="67"/>
        <v/>
      </c>
      <c r="P94" s="29" t="str">
        <f t="shared" si="52"/>
        <v/>
      </c>
      <c r="Q94" s="71"/>
      <c r="R94" s="10" t="str">
        <f t="shared" si="68"/>
        <v/>
      </c>
      <c r="S94" s="71"/>
      <c r="T94" s="10" t="str">
        <f t="shared" si="69"/>
        <v/>
      </c>
      <c r="U94" s="71"/>
      <c r="V94" s="10" t="str">
        <f t="shared" si="53"/>
        <v/>
      </c>
      <c r="W94" s="10" t="str">
        <f t="shared" si="70"/>
        <v/>
      </c>
      <c r="X94" s="71"/>
      <c r="Y94" s="10" t="str">
        <f t="shared" si="54"/>
        <v/>
      </c>
      <c r="Z94" s="10" t="str">
        <f t="shared" si="71"/>
        <v/>
      </c>
      <c r="AA94" s="71"/>
      <c r="AB94" s="10" t="str">
        <f t="shared" si="55"/>
        <v/>
      </c>
      <c r="AC94" s="10" t="str">
        <f t="shared" si="72"/>
        <v/>
      </c>
      <c r="AD94" s="71"/>
      <c r="AE94" s="10" t="str">
        <f t="shared" si="56"/>
        <v/>
      </c>
      <c r="AF94" s="10" t="str">
        <f t="shared" si="73"/>
        <v/>
      </c>
      <c r="AG94" s="71"/>
      <c r="AH94" s="10" t="str">
        <f t="shared" si="57"/>
        <v/>
      </c>
      <c r="AI94" s="10" t="str">
        <f t="shared" si="74"/>
        <v/>
      </c>
      <c r="AJ94" s="71"/>
      <c r="AK94" s="10" t="str">
        <f t="shared" si="75"/>
        <v/>
      </c>
      <c r="AL94" s="10" t="str">
        <f t="shared" si="76"/>
        <v/>
      </c>
      <c r="AM94" s="71"/>
      <c r="AN94" s="10" t="str">
        <f t="shared" si="58"/>
        <v/>
      </c>
      <c r="AO94" s="10" t="str">
        <f t="shared" si="77"/>
        <v/>
      </c>
      <c r="AP94" s="71"/>
      <c r="AQ94" s="10" t="str">
        <f t="shared" si="59"/>
        <v/>
      </c>
      <c r="AR94" s="10" t="str">
        <f t="shared" si="78"/>
        <v/>
      </c>
      <c r="AS94" s="71"/>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U94" s="71"/>
      <c r="AV94" s="10" t="str">
        <f t="shared" si="60"/>
        <v/>
      </c>
      <c r="AW94" s="10" t="str">
        <f t="shared" si="61"/>
        <v/>
      </c>
      <c r="AX94" s="71"/>
      <c r="AY94" s="7" t="str">
        <f>IF(ISERROR(IF($K94&lt;=$F$15,VLOOKUP($I94,'表4）CO2価格'!$A$7:$E$67,VLOOKUP($F$48,'表4）CO2価格'!$H$10:$I$12,2,0),0)*$F$8/1000,"")),0,IF($K94&lt;=$F$15,VLOOKUP($I94,'表4）CO2価格'!$A$7:$E$67,VLOOKUP($F$48,'表4）CO2価格'!$H$10:$I$12,2,0),0)*$F$8/1000,""))</f>
        <v/>
      </c>
      <c r="AZ94" s="71"/>
      <c r="BA94" s="11" t="str">
        <f t="shared" si="62"/>
        <v/>
      </c>
      <c r="BB94" s="10" t="str">
        <f t="shared" si="79"/>
        <v/>
      </c>
      <c r="BC94" s="71"/>
      <c r="BD94" s="10" t="str">
        <f t="shared" si="63"/>
        <v/>
      </c>
      <c r="BE94" s="10" t="str">
        <f t="shared" si="80"/>
        <v/>
      </c>
      <c r="BF94" s="71"/>
      <c r="BG94" s="11" t="str">
        <f t="shared" si="64"/>
        <v/>
      </c>
      <c r="BH94" s="10" t="str">
        <f t="shared" si="81"/>
        <v/>
      </c>
      <c r="BJ94" s="7" t="str">
        <f t="shared" si="82"/>
        <v/>
      </c>
      <c r="BK94" s="158" t="str">
        <f t="shared" si="83"/>
        <v/>
      </c>
      <c r="BL94" s="158" t="str">
        <f t="shared" si="65"/>
        <v/>
      </c>
      <c r="BM94" s="10"/>
      <c r="BN94" s="10" t="str">
        <f t="shared" si="84"/>
        <v/>
      </c>
      <c r="BO94" s="10" t="str">
        <f t="shared" si="85"/>
        <v/>
      </c>
      <c r="BQ94" s="10" t="str">
        <f t="shared" si="66"/>
        <v/>
      </c>
      <c r="BR94" s="10" t="str">
        <f t="shared" si="86"/>
        <v/>
      </c>
    </row>
    <row r="95" spans="4:70" ht="15" x14ac:dyDescent="0.15">
      <c r="D95" s="116"/>
      <c r="F95" s="93"/>
      <c r="I95" s="38">
        <f t="shared" si="87"/>
        <v>2110</v>
      </c>
      <c r="J95" s="39"/>
      <c r="K95" s="39">
        <f t="shared" si="88"/>
        <v>81</v>
      </c>
      <c r="L95" s="39"/>
      <c r="M95" s="40">
        <f t="shared" si="51"/>
        <v>9.1239899636133173E-2</v>
      </c>
      <c r="N95" s="39"/>
      <c r="O95" s="72" t="str">
        <f t="shared" si="67"/>
        <v/>
      </c>
      <c r="P95" s="41" t="str">
        <f t="shared" si="52"/>
        <v/>
      </c>
      <c r="Q95" s="39"/>
      <c r="R95" s="72" t="str">
        <f t="shared" si="68"/>
        <v/>
      </c>
      <c r="S95" s="39"/>
      <c r="T95" s="72" t="str">
        <f t="shared" si="69"/>
        <v/>
      </c>
      <c r="U95" s="39"/>
      <c r="V95" s="72" t="str">
        <f t="shared" si="53"/>
        <v/>
      </c>
      <c r="W95" s="72" t="str">
        <f t="shared" si="70"/>
        <v/>
      </c>
      <c r="X95" s="39"/>
      <c r="Y95" s="72" t="str">
        <f t="shared" si="54"/>
        <v/>
      </c>
      <c r="Z95" s="72" t="str">
        <f t="shared" si="71"/>
        <v/>
      </c>
      <c r="AA95" s="39"/>
      <c r="AB95" s="72" t="str">
        <f t="shared" si="55"/>
        <v/>
      </c>
      <c r="AC95" s="72" t="str">
        <f t="shared" si="72"/>
        <v/>
      </c>
      <c r="AD95" s="39"/>
      <c r="AE95" s="72" t="str">
        <f t="shared" si="56"/>
        <v/>
      </c>
      <c r="AF95" s="72" t="str">
        <f t="shared" si="73"/>
        <v/>
      </c>
      <c r="AG95" s="39"/>
      <c r="AH95" s="72" t="str">
        <f t="shared" si="57"/>
        <v/>
      </c>
      <c r="AI95" s="72" t="str">
        <f t="shared" si="74"/>
        <v/>
      </c>
      <c r="AJ95" s="39"/>
      <c r="AK95" s="72" t="str">
        <f t="shared" si="75"/>
        <v/>
      </c>
      <c r="AL95" s="72" t="str">
        <f t="shared" si="76"/>
        <v/>
      </c>
      <c r="AM95" s="39"/>
      <c r="AN95" s="72" t="str">
        <f t="shared" si="58"/>
        <v/>
      </c>
      <c r="AO95" s="72" t="str">
        <f t="shared" si="77"/>
        <v/>
      </c>
      <c r="AP95" s="39"/>
      <c r="AQ95" s="72" t="str">
        <f t="shared" si="59"/>
        <v/>
      </c>
      <c r="AR95" s="72" t="str">
        <f t="shared" si="78"/>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60"/>
        <v/>
      </c>
      <c r="AW95" s="72" t="str">
        <f t="shared" si="61"/>
        <v/>
      </c>
      <c r="AX95" s="39"/>
      <c r="AY95" s="40" t="str">
        <f>IF(ISERROR(IF($K95&lt;=$F$15,VLOOKUP($I95,'表4）CO2価格'!$A$7:$E$67,VLOOKUP($F$48,'表4）CO2価格'!$H$10:$I$12,2,0),0)*$F$8/1000,"")),0,IF($K95&lt;=$F$15,VLOOKUP($I95,'表4）CO2価格'!$A$7:$E$67,VLOOKUP($F$48,'表4）CO2価格'!$H$10:$I$12,2,0),0)*$F$8/1000,""))</f>
        <v/>
      </c>
      <c r="AZ95" s="39"/>
      <c r="BA95" s="42" t="str">
        <f t="shared" si="62"/>
        <v/>
      </c>
      <c r="BB95" s="72" t="str">
        <f t="shared" si="79"/>
        <v/>
      </c>
      <c r="BC95" s="39"/>
      <c r="BD95" s="72" t="str">
        <f t="shared" si="63"/>
        <v/>
      </c>
      <c r="BE95" s="72" t="str">
        <f t="shared" si="80"/>
        <v/>
      </c>
      <c r="BF95" s="39"/>
      <c r="BG95" s="42" t="str">
        <f t="shared" si="64"/>
        <v/>
      </c>
      <c r="BH95" s="72" t="str">
        <f t="shared" si="81"/>
        <v/>
      </c>
      <c r="BI95" s="39"/>
      <c r="BJ95" s="40" t="str">
        <f t="shared" si="82"/>
        <v/>
      </c>
      <c r="BK95" s="157" t="str">
        <f t="shared" si="83"/>
        <v/>
      </c>
      <c r="BL95" s="157" t="str">
        <f t="shared" si="65"/>
        <v/>
      </c>
      <c r="BM95" s="72"/>
      <c r="BN95" s="72" t="str">
        <f t="shared" si="84"/>
        <v/>
      </c>
      <c r="BO95" s="72" t="str">
        <f t="shared" si="85"/>
        <v/>
      </c>
      <c r="BP95" s="39"/>
      <c r="BQ95" s="72" t="str">
        <f t="shared" si="66"/>
        <v/>
      </c>
      <c r="BR95" s="72" t="str">
        <f t="shared" si="86"/>
        <v/>
      </c>
    </row>
    <row r="96" spans="4:70" ht="15" x14ac:dyDescent="0.15">
      <c r="D96" s="116"/>
      <c r="E96" s="81" t="s">
        <v>198</v>
      </c>
      <c r="F96" s="91">
        <f>IF(F3&lt;&gt;"原子力",AW116/$BR$116,0)</f>
        <v>8.009444405133415</v>
      </c>
      <c r="G96" s="81" t="s">
        <v>132</v>
      </c>
      <c r="I96" s="322">
        <f t="shared" si="87"/>
        <v>2111</v>
      </c>
      <c r="J96" s="71"/>
      <c r="K96" s="71">
        <f t="shared" si="88"/>
        <v>82</v>
      </c>
      <c r="L96" s="71"/>
      <c r="M96" s="7">
        <f t="shared" si="51"/>
        <v>8.8582426831197242E-2</v>
      </c>
      <c r="N96" s="71"/>
      <c r="O96" s="10" t="str">
        <f t="shared" si="67"/>
        <v/>
      </c>
      <c r="P96" s="29" t="str">
        <f t="shared" si="52"/>
        <v/>
      </c>
      <c r="Q96" s="71"/>
      <c r="R96" s="10" t="str">
        <f t="shared" si="68"/>
        <v/>
      </c>
      <c r="S96" s="71"/>
      <c r="T96" s="10" t="str">
        <f t="shared" si="69"/>
        <v/>
      </c>
      <c r="U96" s="71"/>
      <c r="V96" s="10" t="str">
        <f t="shared" si="53"/>
        <v/>
      </c>
      <c r="W96" s="10" t="str">
        <f t="shared" si="70"/>
        <v/>
      </c>
      <c r="X96" s="71"/>
      <c r="Y96" s="10" t="str">
        <f t="shared" si="54"/>
        <v/>
      </c>
      <c r="Z96" s="10" t="str">
        <f t="shared" si="71"/>
        <v/>
      </c>
      <c r="AA96" s="71"/>
      <c r="AB96" s="10" t="str">
        <f t="shared" si="55"/>
        <v/>
      </c>
      <c r="AC96" s="10" t="str">
        <f t="shared" si="72"/>
        <v/>
      </c>
      <c r="AD96" s="71"/>
      <c r="AE96" s="10" t="str">
        <f t="shared" si="56"/>
        <v/>
      </c>
      <c r="AF96" s="10" t="str">
        <f t="shared" si="73"/>
        <v/>
      </c>
      <c r="AG96" s="71"/>
      <c r="AH96" s="10" t="str">
        <f t="shared" si="57"/>
        <v/>
      </c>
      <c r="AI96" s="10" t="str">
        <f t="shared" si="74"/>
        <v/>
      </c>
      <c r="AJ96" s="71"/>
      <c r="AK96" s="10" t="str">
        <f t="shared" si="75"/>
        <v/>
      </c>
      <c r="AL96" s="10" t="str">
        <f t="shared" si="76"/>
        <v/>
      </c>
      <c r="AM96" s="71"/>
      <c r="AN96" s="10" t="str">
        <f t="shared" si="58"/>
        <v/>
      </c>
      <c r="AO96" s="10" t="str">
        <f t="shared" si="77"/>
        <v/>
      </c>
      <c r="AP96" s="71"/>
      <c r="AQ96" s="10" t="str">
        <f t="shared" si="59"/>
        <v/>
      </c>
      <c r="AR96" s="10" t="str">
        <f t="shared" si="78"/>
        <v/>
      </c>
      <c r="AS96" s="71"/>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U96" s="71"/>
      <c r="AV96" s="10" t="str">
        <f t="shared" si="60"/>
        <v/>
      </c>
      <c r="AW96" s="10" t="str">
        <f t="shared" si="61"/>
        <v/>
      </c>
      <c r="AX96" s="71"/>
      <c r="AY96" s="7" t="str">
        <f>IF(ISERROR(IF($K96&lt;=$F$15,VLOOKUP($I96,'表4）CO2価格'!$A$7:$E$67,VLOOKUP($F$48,'表4）CO2価格'!$H$10:$I$12,2,0),0)*$F$8/1000,"")),0,IF($K96&lt;=$F$15,VLOOKUP($I96,'表4）CO2価格'!$A$7:$E$67,VLOOKUP($F$48,'表4）CO2価格'!$H$10:$I$12,2,0),0)*$F$8/1000,""))</f>
        <v/>
      </c>
      <c r="AZ96" s="71"/>
      <c r="BA96" s="11" t="str">
        <f t="shared" si="62"/>
        <v/>
      </c>
      <c r="BB96" s="10" t="str">
        <f t="shared" si="79"/>
        <v/>
      </c>
      <c r="BC96" s="71"/>
      <c r="BD96" s="10" t="str">
        <f t="shared" si="63"/>
        <v/>
      </c>
      <c r="BE96" s="10" t="str">
        <f t="shared" si="80"/>
        <v/>
      </c>
      <c r="BF96" s="71"/>
      <c r="BG96" s="11" t="str">
        <f t="shared" si="64"/>
        <v/>
      </c>
      <c r="BH96" s="10" t="str">
        <f t="shared" si="81"/>
        <v/>
      </c>
      <c r="BJ96" s="7" t="str">
        <f t="shared" si="82"/>
        <v/>
      </c>
      <c r="BK96" s="158" t="str">
        <f t="shared" si="83"/>
        <v/>
      </c>
      <c r="BL96" s="158" t="str">
        <f t="shared" si="65"/>
        <v/>
      </c>
      <c r="BM96" s="10"/>
      <c r="BN96" s="10" t="str">
        <f t="shared" si="84"/>
        <v/>
      </c>
      <c r="BO96" s="10" t="str">
        <f t="shared" si="85"/>
        <v/>
      </c>
      <c r="BQ96" s="10" t="str">
        <f t="shared" si="66"/>
        <v/>
      </c>
      <c r="BR96" s="10" t="str">
        <f t="shared" si="86"/>
        <v/>
      </c>
    </row>
    <row r="97" spans="4:70" ht="15" x14ac:dyDescent="0.15">
      <c r="D97" s="116"/>
      <c r="E97" s="81" t="s">
        <v>199</v>
      </c>
      <c r="F97" s="91">
        <f>IF(F3="原子力",#REF!,0)</f>
        <v>0</v>
      </c>
      <c r="G97" s="81" t="s">
        <v>132</v>
      </c>
      <c r="I97" s="38">
        <f t="shared" si="87"/>
        <v>2112</v>
      </c>
      <c r="J97" s="39"/>
      <c r="K97" s="39">
        <f t="shared" si="88"/>
        <v>83</v>
      </c>
      <c r="L97" s="39"/>
      <c r="M97" s="40">
        <f t="shared" si="51"/>
        <v>8.6002356146793454E-2</v>
      </c>
      <c r="N97" s="39"/>
      <c r="O97" s="72" t="str">
        <f t="shared" si="67"/>
        <v/>
      </c>
      <c r="P97" s="41" t="str">
        <f t="shared" si="52"/>
        <v/>
      </c>
      <c r="Q97" s="39"/>
      <c r="R97" s="72" t="str">
        <f t="shared" si="68"/>
        <v/>
      </c>
      <c r="S97" s="39"/>
      <c r="T97" s="72" t="str">
        <f t="shared" si="69"/>
        <v/>
      </c>
      <c r="U97" s="39"/>
      <c r="V97" s="72" t="str">
        <f t="shared" si="53"/>
        <v/>
      </c>
      <c r="W97" s="72" t="str">
        <f t="shared" si="70"/>
        <v/>
      </c>
      <c r="X97" s="39"/>
      <c r="Y97" s="72" t="str">
        <f t="shared" si="54"/>
        <v/>
      </c>
      <c r="Z97" s="72" t="str">
        <f t="shared" si="71"/>
        <v/>
      </c>
      <c r="AA97" s="39"/>
      <c r="AB97" s="72" t="str">
        <f t="shared" si="55"/>
        <v/>
      </c>
      <c r="AC97" s="72" t="str">
        <f t="shared" si="72"/>
        <v/>
      </c>
      <c r="AD97" s="39"/>
      <c r="AE97" s="72" t="str">
        <f t="shared" si="56"/>
        <v/>
      </c>
      <c r="AF97" s="72" t="str">
        <f t="shared" si="73"/>
        <v/>
      </c>
      <c r="AG97" s="39"/>
      <c r="AH97" s="72" t="str">
        <f t="shared" si="57"/>
        <v/>
      </c>
      <c r="AI97" s="72" t="str">
        <f t="shared" si="74"/>
        <v/>
      </c>
      <c r="AJ97" s="39"/>
      <c r="AK97" s="72" t="str">
        <f t="shared" si="75"/>
        <v/>
      </c>
      <c r="AL97" s="72" t="str">
        <f t="shared" si="76"/>
        <v/>
      </c>
      <c r="AM97" s="39"/>
      <c r="AN97" s="72" t="str">
        <f t="shared" si="58"/>
        <v/>
      </c>
      <c r="AO97" s="72" t="str">
        <f t="shared" si="77"/>
        <v/>
      </c>
      <c r="AP97" s="39"/>
      <c r="AQ97" s="72" t="str">
        <f t="shared" si="59"/>
        <v/>
      </c>
      <c r="AR97" s="72" t="str">
        <f t="shared" si="78"/>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60"/>
        <v/>
      </c>
      <c r="AW97" s="72" t="str">
        <f t="shared" si="61"/>
        <v/>
      </c>
      <c r="AX97" s="39"/>
      <c r="AY97" s="40" t="str">
        <f>IF(ISERROR(IF($K97&lt;=$F$15,VLOOKUP($I97,'表4）CO2価格'!$A$7:$E$67,VLOOKUP($F$48,'表4）CO2価格'!$H$10:$I$12,2,0),0)*$F$8/1000,"")),0,IF($K97&lt;=$F$15,VLOOKUP($I97,'表4）CO2価格'!$A$7:$E$67,VLOOKUP($F$48,'表4）CO2価格'!$H$10:$I$12,2,0),0)*$F$8/1000,""))</f>
        <v/>
      </c>
      <c r="AZ97" s="39"/>
      <c r="BA97" s="42" t="str">
        <f t="shared" si="62"/>
        <v/>
      </c>
      <c r="BB97" s="72" t="str">
        <f t="shared" si="79"/>
        <v/>
      </c>
      <c r="BC97" s="39"/>
      <c r="BD97" s="72" t="str">
        <f t="shared" si="63"/>
        <v/>
      </c>
      <c r="BE97" s="72" t="str">
        <f t="shared" si="80"/>
        <v/>
      </c>
      <c r="BF97" s="39"/>
      <c r="BG97" s="42" t="str">
        <f t="shared" si="64"/>
        <v/>
      </c>
      <c r="BH97" s="72" t="str">
        <f t="shared" si="81"/>
        <v/>
      </c>
      <c r="BI97" s="39"/>
      <c r="BJ97" s="40" t="str">
        <f t="shared" si="82"/>
        <v/>
      </c>
      <c r="BK97" s="157" t="str">
        <f t="shared" si="83"/>
        <v/>
      </c>
      <c r="BL97" s="157" t="str">
        <f t="shared" si="65"/>
        <v/>
      </c>
      <c r="BM97" s="72"/>
      <c r="BN97" s="72" t="str">
        <f t="shared" si="84"/>
        <v/>
      </c>
      <c r="BO97" s="72" t="str">
        <f t="shared" si="85"/>
        <v/>
      </c>
      <c r="BP97" s="39"/>
      <c r="BQ97" s="72" t="str">
        <f t="shared" si="66"/>
        <v/>
      </c>
      <c r="BR97" s="72" t="str">
        <f t="shared" si="86"/>
        <v/>
      </c>
    </row>
    <row r="98" spans="4:70" x14ac:dyDescent="0.15">
      <c r="F98" s="93"/>
      <c r="I98" s="322">
        <f t="shared" si="87"/>
        <v>2113</v>
      </c>
      <c r="J98" s="71"/>
      <c r="K98" s="71">
        <f t="shared" si="88"/>
        <v>84</v>
      </c>
      <c r="L98" s="71"/>
      <c r="M98" s="7">
        <f t="shared" si="51"/>
        <v>8.3497433152226644E-2</v>
      </c>
      <c r="N98" s="71"/>
      <c r="O98" s="10" t="str">
        <f t="shared" si="67"/>
        <v/>
      </c>
      <c r="P98" s="29" t="str">
        <f t="shared" si="52"/>
        <v/>
      </c>
      <c r="Q98" s="71"/>
      <c r="R98" s="10" t="str">
        <f t="shared" si="68"/>
        <v/>
      </c>
      <c r="S98" s="71"/>
      <c r="T98" s="10" t="str">
        <f t="shared" si="69"/>
        <v/>
      </c>
      <c r="U98" s="71"/>
      <c r="V98" s="10" t="str">
        <f t="shared" si="53"/>
        <v/>
      </c>
      <c r="W98" s="10" t="str">
        <f t="shared" si="70"/>
        <v/>
      </c>
      <c r="X98" s="71"/>
      <c r="Y98" s="10" t="str">
        <f t="shared" si="54"/>
        <v/>
      </c>
      <c r="Z98" s="10" t="str">
        <f t="shared" si="71"/>
        <v/>
      </c>
      <c r="AA98" s="71"/>
      <c r="AB98" s="10" t="str">
        <f t="shared" si="55"/>
        <v/>
      </c>
      <c r="AC98" s="10" t="str">
        <f t="shared" si="72"/>
        <v/>
      </c>
      <c r="AD98" s="71"/>
      <c r="AE98" s="10" t="str">
        <f t="shared" si="56"/>
        <v/>
      </c>
      <c r="AF98" s="10" t="str">
        <f t="shared" si="73"/>
        <v/>
      </c>
      <c r="AG98" s="71"/>
      <c r="AH98" s="10" t="str">
        <f t="shared" si="57"/>
        <v/>
      </c>
      <c r="AI98" s="10" t="str">
        <f t="shared" si="74"/>
        <v/>
      </c>
      <c r="AJ98" s="71"/>
      <c r="AK98" s="10" t="str">
        <f t="shared" si="75"/>
        <v/>
      </c>
      <c r="AL98" s="10" t="str">
        <f t="shared" si="76"/>
        <v/>
      </c>
      <c r="AM98" s="71"/>
      <c r="AN98" s="10" t="str">
        <f t="shared" si="58"/>
        <v/>
      </c>
      <c r="AO98" s="10" t="str">
        <f t="shared" si="77"/>
        <v/>
      </c>
      <c r="AP98" s="71"/>
      <c r="AQ98" s="10" t="str">
        <f t="shared" si="59"/>
        <v/>
      </c>
      <c r="AR98" s="10" t="str">
        <f t="shared" si="78"/>
        <v/>
      </c>
      <c r="AS98" s="71"/>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U98" s="71"/>
      <c r="AV98" s="10" t="str">
        <f t="shared" si="60"/>
        <v/>
      </c>
      <c r="AW98" s="10" t="str">
        <f t="shared" si="61"/>
        <v/>
      </c>
      <c r="AX98" s="71"/>
      <c r="AY98" s="7" t="str">
        <f>IF(ISERROR(IF($K98&lt;=$F$15,VLOOKUP($I98,'表4）CO2価格'!$A$7:$E$67,VLOOKUP($F$48,'表4）CO2価格'!$H$10:$I$12,2,0),0)*$F$8/1000,"")),0,IF($K98&lt;=$F$15,VLOOKUP($I98,'表4）CO2価格'!$A$7:$E$67,VLOOKUP($F$48,'表4）CO2価格'!$H$10:$I$12,2,0),0)*$F$8/1000,""))</f>
        <v/>
      </c>
      <c r="AZ98" s="71"/>
      <c r="BA98" s="11" t="str">
        <f t="shared" si="62"/>
        <v/>
      </c>
      <c r="BB98" s="10" t="str">
        <f t="shared" si="79"/>
        <v/>
      </c>
      <c r="BC98" s="71"/>
      <c r="BD98" s="10" t="str">
        <f t="shared" si="63"/>
        <v/>
      </c>
      <c r="BE98" s="10" t="str">
        <f t="shared" si="80"/>
        <v/>
      </c>
      <c r="BF98" s="71"/>
      <c r="BG98" s="11" t="str">
        <f t="shared" si="64"/>
        <v/>
      </c>
      <c r="BH98" s="10" t="str">
        <f t="shared" si="81"/>
        <v/>
      </c>
      <c r="BJ98" s="7" t="str">
        <f t="shared" si="82"/>
        <v/>
      </c>
      <c r="BK98" s="158" t="str">
        <f t="shared" si="83"/>
        <v/>
      </c>
      <c r="BL98" s="158" t="str">
        <f t="shared" si="65"/>
        <v/>
      </c>
      <c r="BM98" s="10"/>
      <c r="BN98" s="10" t="str">
        <f t="shared" si="84"/>
        <v/>
      </c>
      <c r="BO98" s="10" t="str">
        <f t="shared" si="85"/>
        <v/>
      </c>
      <c r="BQ98" s="10" t="str">
        <f t="shared" si="66"/>
        <v/>
      </c>
      <c r="BR98" s="10" t="str">
        <f t="shared" si="86"/>
        <v/>
      </c>
    </row>
    <row r="99" spans="4:70" ht="15" x14ac:dyDescent="0.15">
      <c r="D99" s="116" t="s">
        <v>200</v>
      </c>
      <c r="F99" s="94">
        <f>SUBTOTAL(9,F103:F105)</f>
        <v>2.5892514152742079</v>
      </c>
      <c r="G99" s="81" t="s">
        <v>132</v>
      </c>
      <c r="I99" s="38">
        <f t="shared" si="87"/>
        <v>2114</v>
      </c>
      <c r="J99" s="39"/>
      <c r="K99" s="39">
        <f t="shared" si="88"/>
        <v>85</v>
      </c>
      <c r="L99" s="39"/>
      <c r="M99" s="40">
        <f t="shared" si="51"/>
        <v>8.1065469079831712E-2</v>
      </c>
      <c r="N99" s="39"/>
      <c r="O99" s="72" t="str">
        <f t="shared" si="67"/>
        <v/>
      </c>
      <c r="P99" s="41" t="str">
        <f t="shared" si="52"/>
        <v/>
      </c>
      <c r="Q99" s="39"/>
      <c r="R99" s="72" t="str">
        <f t="shared" si="68"/>
        <v/>
      </c>
      <c r="S99" s="39"/>
      <c r="T99" s="72" t="str">
        <f t="shared" si="69"/>
        <v/>
      </c>
      <c r="U99" s="39"/>
      <c r="V99" s="72" t="str">
        <f t="shared" si="53"/>
        <v/>
      </c>
      <c r="W99" s="72" t="str">
        <f t="shared" si="70"/>
        <v/>
      </c>
      <c r="X99" s="39"/>
      <c r="Y99" s="72" t="str">
        <f t="shared" si="54"/>
        <v/>
      </c>
      <c r="Z99" s="72" t="str">
        <f t="shared" si="71"/>
        <v/>
      </c>
      <c r="AA99" s="39"/>
      <c r="AB99" s="72" t="str">
        <f t="shared" si="55"/>
        <v/>
      </c>
      <c r="AC99" s="72" t="str">
        <f t="shared" si="72"/>
        <v/>
      </c>
      <c r="AD99" s="39"/>
      <c r="AE99" s="72" t="str">
        <f t="shared" si="56"/>
        <v/>
      </c>
      <c r="AF99" s="72" t="str">
        <f t="shared" si="73"/>
        <v/>
      </c>
      <c r="AG99" s="39"/>
      <c r="AH99" s="72" t="str">
        <f t="shared" si="57"/>
        <v/>
      </c>
      <c r="AI99" s="72" t="str">
        <f t="shared" si="74"/>
        <v/>
      </c>
      <c r="AJ99" s="39"/>
      <c r="AK99" s="72" t="str">
        <f t="shared" si="75"/>
        <v/>
      </c>
      <c r="AL99" s="72" t="str">
        <f t="shared" si="76"/>
        <v/>
      </c>
      <c r="AM99" s="39"/>
      <c r="AN99" s="72" t="str">
        <f t="shared" si="58"/>
        <v/>
      </c>
      <c r="AO99" s="72" t="str">
        <f t="shared" si="77"/>
        <v/>
      </c>
      <c r="AP99" s="39"/>
      <c r="AQ99" s="72" t="str">
        <f t="shared" si="59"/>
        <v/>
      </c>
      <c r="AR99" s="72" t="str">
        <f t="shared" si="78"/>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60"/>
        <v/>
      </c>
      <c r="AW99" s="72" t="str">
        <f t="shared" si="61"/>
        <v/>
      </c>
      <c r="AX99" s="39"/>
      <c r="AY99" s="40" t="str">
        <f>IF(ISERROR(IF($K99&lt;=$F$15,VLOOKUP($I99,'表4）CO2価格'!$A$7:$E$67,VLOOKUP($F$48,'表4）CO2価格'!$H$10:$I$12,2,0),0)*$F$8/1000,"")),0,IF($K99&lt;=$F$15,VLOOKUP($I99,'表4）CO2価格'!$A$7:$E$67,VLOOKUP($F$48,'表4）CO2価格'!$H$10:$I$12,2,0),0)*$F$8/1000,""))</f>
        <v/>
      </c>
      <c r="AZ99" s="39"/>
      <c r="BA99" s="42" t="str">
        <f t="shared" si="62"/>
        <v/>
      </c>
      <c r="BB99" s="72" t="str">
        <f t="shared" si="79"/>
        <v/>
      </c>
      <c r="BC99" s="39"/>
      <c r="BD99" s="72" t="str">
        <f t="shared" si="63"/>
        <v/>
      </c>
      <c r="BE99" s="72" t="str">
        <f t="shared" si="80"/>
        <v/>
      </c>
      <c r="BF99" s="39"/>
      <c r="BG99" s="42" t="str">
        <f t="shared" si="64"/>
        <v/>
      </c>
      <c r="BH99" s="72" t="str">
        <f t="shared" si="81"/>
        <v/>
      </c>
      <c r="BI99" s="39"/>
      <c r="BJ99" s="40" t="str">
        <f t="shared" si="82"/>
        <v/>
      </c>
      <c r="BK99" s="157" t="str">
        <f t="shared" si="83"/>
        <v/>
      </c>
      <c r="BL99" s="157" t="str">
        <f t="shared" si="65"/>
        <v/>
      </c>
      <c r="BM99" s="72"/>
      <c r="BN99" s="72" t="str">
        <f t="shared" si="84"/>
        <v/>
      </c>
      <c r="BO99" s="72" t="str">
        <f t="shared" si="85"/>
        <v/>
      </c>
      <c r="BP99" s="39"/>
      <c r="BQ99" s="72" t="str">
        <f t="shared" si="66"/>
        <v/>
      </c>
      <c r="BR99" s="72" t="str">
        <f t="shared" si="86"/>
        <v/>
      </c>
    </row>
    <row r="100" spans="4:70" x14ac:dyDescent="0.15">
      <c r="F100" s="93"/>
      <c r="I100" s="322">
        <f t="shared" si="87"/>
        <v>2115</v>
      </c>
      <c r="J100" s="71"/>
      <c r="K100" s="71">
        <f t="shared" si="88"/>
        <v>86</v>
      </c>
      <c r="L100" s="71"/>
      <c r="M100" s="7">
        <f t="shared" si="51"/>
        <v>7.8704338912457969E-2</v>
      </c>
      <c r="N100" s="71"/>
      <c r="O100" s="10" t="str">
        <f t="shared" si="67"/>
        <v/>
      </c>
      <c r="P100" s="29" t="str">
        <f t="shared" si="52"/>
        <v/>
      </c>
      <c r="Q100" s="71"/>
      <c r="R100" s="10" t="str">
        <f t="shared" si="68"/>
        <v/>
      </c>
      <c r="S100" s="71"/>
      <c r="T100" s="10" t="str">
        <f t="shared" si="69"/>
        <v/>
      </c>
      <c r="U100" s="71"/>
      <c r="V100" s="10" t="str">
        <f t="shared" si="53"/>
        <v/>
      </c>
      <c r="W100" s="10" t="str">
        <f t="shared" si="70"/>
        <v/>
      </c>
      <c r="X100" s="71"/>
      <c r="Y100" s="10" t="str">
        <f t="shared" si="54"/>
        <v/>
      </c>
      <c r="Z100" s="10" t="str">
        <f t="shared" si="71"/>
        <v/>
      </c>
      <c r="AA100" s="71"/>
      <c r="AB100" s="10" t="str">
        <f t="shared" si="55"/>
        <v/>
      </c>
      <c r="AC100" s="10" t="str">
        <f t="shared" si="72"/>
        <v/>
      </c>
      <c r="AD100" s="71"/>
      <c r="AE100" s="10" t="str">
        <f t="shared" si="56"/>
        <v/>
      </c>
      <c r="AF100" s="10" t="str">
        <f t="shared" si="73"/>
        <v/>
      </c>
      <c r="AG100" s="71"/>
      <c r="AH100" s="10" t="str">
        <f t="shared" si="57"/>
        <v/>
      </c>
      <c r="AI100" s="10" t="str">
        <f t="shared" si="74"/>
        <v/>
      </c>
      <c r="AJ100" s="71"/>
      <c r="AK100" s="10" t="str">
        <f t="shared" si="75"/>
        <v/>
      </c>
      <c r="AL100" s="10" t="str">
        <f t="shared" si="76"/>
        <v/>
      </c>
      <c r="AM100" s="71"/>
      <c r="AN100" s="10" t="str">
        <f t="shared" si="58"/>
        <v/>
      </c>
      <c r="AO100" s="10" t="str">
        <f t="shared" si="77"/>
        <v/>
      </c>
      <c r="AP100" s="71"/>
      <c r="AQ100" s="10" t="str">
        <f t="shared" si="59"/>
        <v/>
      </c>
      <c r="AR100" s="10" t="str">
        <f t="shared" si="78"/>
        <v/>
      </c>
      <c r="AS100" s="71"/>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U100" s="71"/>
      <c r="AV100" s="10" t="str">
        <f t="shared" si="60"/>
        <v/>
      </c>
      <c r="AW100" s="10" t="str">
        <f t="shared" si="61"/>
        <v/>
      </c>
      <c r="AX100" s="71"/>
      <c r="AY100" s="7" t="str">
        <f>IF(ISERROR(IF($K100&lt;=$F$15,VLOOKUP($I100,'表4）CO2価格'!$A$7:$E$67,VLOOKUP($F$48,'表4）CO2価格'!$H$10:$I$12,2,0),0)*$F$8/1000,"")),0,IF($K100&lt;=$F$15,VLOOKUP($I100,'表4）CO2価格'!$A$7:$E$67,VLOOKUP($F$48,'表4）CO2価格'!$H$10:$I$12,2,0),0)*$F$8/1000,""))</f>
        <v/>
      </c>
      <c r="AZ100" s="71"/>
      <c r="BA100" s="11" t="str">
        <f t="shared" si="62"/>
        <v/>
      </c>
      <c r="BB100" s="10" t="str">
        <f t="shared" si="79"/>
        <v/>
      </c>
      <c r="BC100" s="71"/>
      <c r="BD100" s="10" t="str">
        <f t="shared" si="63"/>
        <v/>
      </c>
      <c r="BE100" s="10" t="str">
        <f t="shared" si="80"/>
        <v/>
      </c>
      <c r="BF100" s="71"/>
      <c r="BG100" s="11" t="str">
        <f t="shared" si="64"/>
        <v/>
      </c>
      <c r="BH100" s="10" t="str">
        <f t="shared" si="81"/>
        <v/>
      </c>
      <c r="BJ100" s="7" t="str">
        <f t="shared" si="82"/>
        <v/>
      </c>
      <c r="BK100" s="158" t="str">
        <f t="shared" si="83"/>
        <v/>
      </c>
      <c r="BL100" s="158" t="str">
        <f t="shared" si="65"/>
        <v/>
      </c>
      <c r="BM100" s="10"/>
      <c r="BN100" s="10" t="str">
        <f t="shared" si="84"/>
        <v/>
      </c>
      <c r="BO100" s="10" t="str">
        <f t="shared" si="85"/>
        <v/>
      </c>
      <c r="BQ100" s="10" t="str">
        <f t="shared" si="66"/>
        <v/>
      </c>
      <c r="BR100" s="10" t="str">
        <f t="shared" si="86"/>
        <v/>
      </c>
    </row>
    <row r="101" spans="4:70" x14ac:dyDescent="0.15">
      <c r="D101" s="101" t="s">
        <v>201</v>
      </c>
      <c r="E101" s="101"/>
      <c r="F101" s="92"/>
      <c r="G101" s="101"/>
      <c r="I101" s="38">
        <f t="shared" si="87"/>
        <v>2116</v>
      </c>
      <c r="J101" s="39"/>
      <c r="K101" s="39">
        <f t="shared" si="88"/>
        <v>87</v>
      </c>
      <c r="L101" s="39"/>
      <c r="M101" s="40">
        <f t="shared" si="51"/>
        <v>7.6411979526658208E-2</v>
      </c>
      <c r="N101" s="39"/>
      <c r="O101" s="72" t="str">
        <f t="shared" si="67"/>
        <v/>
      </c>
      <c r="P101" s="41" t="str">
        <f t="shared" si="52"/>
        <v/>
      </c>
      <c r="Q101" s="39"/>
      <c r="R101" s="72" t="str">
        <f t="shared" si="68"/>
        <v/>
      </c>
      <c r="S101" s="39"/>
      <c r="T101" s="72" t="str">
        <f t="shared" si="69"/>
        <v/>
      </c>
      <c r="U101" s="39"/>
      <c r="V101" s="72" t="str">
        <f t="shared" si="53"/>
        <v/>
      </c>
      <c r="W101" s="72" t="str">
        <f t="shared" si="70"/>
        <v/>
      </c>
      <c r="X101" s="39"/>
      <c r="Y101" s="72" t="str">
        <f t="shared" si="54"/>
        <v/>
      </c>
      <c r="Z101" s="72" t="str">
        <f t="shared" si="71"/>
        <v/>
      </c>
      <c r="AA101" s="39"/>
      <c r="AB101" s="72" t="str">
        <f t="shared" si="55"/>
        <v/>
      </c>
      <c r="AC101" s="72" t="str">
        <f t="shared" si="72"/>
        <v/>
      </c>
      <c r="AD101" s="39"/>
      <c r="AE101" s="72" t="str">
        <f t="shared" si="56"/>
        <v/>
      </c>
      <c r="AF101" s="72" t="str">
        <f t="shared" si="73"/>
        <v/>
      </c>
      <c r="AG101" s="39"/>
      <c r="AH101" s="72" t="str">
        <f t="shared" si="57"/>
        <v/>
      </c>
      <c r="AI101" s="72" t="str">
        <f t="shared" si="74"/>
        <v/>
      </c>
      <c r="AJ101" s="39"/>
      <c r="AK101" s="72" t="str">
        <f t="shared" si="75"/>
        <v/>
      </c>
      <c r="AL101" s="72" t="str">
        <f t="shared" si="76"/>
        <v/>
      </c>
      <c r="AM101" s="39"/>
      <c r="AN101" s="72" t="str">
        <f t="shared" si="58"/>
        <v/>
      </c>
      <c r="AO101" s="72" t="str">
        <f t="shared" si="77"/>
        <v/>
      </c>
      <c r="AP101" s="39"/>
      <c r="AQ101" s="72" t="str">
        <f t="shared" si="59"/>
        <v/>
      </c>
      <c r="AR101" s="72" t="str">
        <f t="shared" si="78"/>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60"/>
        <v/>
      </c>
      <c r="AW101" s="72" t="str">
        <f t="shared" si="61"/>
        <v/>
      </c>
      <c r="AX101" s="39"/>
      <c r="AY101" s="40" t="str">
        <f>IF(ISERROR(IF($K101&lt;=$F$15,VLOOKUP($I101,'表4）CO2価格'!$A$7:$E$67,VLOOKUP($F$48,'表4）CO2価格'!$H$10:$I$12,2,0),0)*$F$8/1000,"")),0,IF($K101&lt;=$F$15,VLOOKUP($I101,'表4）CO2価格'!$A$7:$E$67,VLOOKUP($F$48,'表4）CO2価格'!$H$10:$I$12,2,0),0)*$F$8/1000,""))</f>
        <v/>
      </c>
      <c r="AZ101" s="39"/>
      <c r="BA101" s="42" t="str">
        <f t="shared" si="62"/>
        <v/>
      </c>
      <c r="BB101" s="72" t="str">
        <f t="shared" si="79"/>
        <v/>
      </c>
      <c r="BC101" s="39"/>
      <c r="BD101" s="72" t="str">
        <f t="shared" si="63"/>
        <v/>
      </c>
      <c r="BE101" s="72" t="str">
        <f t="shared" si="80"/>
        <v/>
      </c>
      <c r="BF101" s="39"/>
      <c r="BG101" s="42" t="str">
        <f t="shared" si="64"/>
        <v/>
      </c>
      <c r="BH101" s="72" t="str">
        <f t="shared" si="81"/>
        <v/>
      </c>
      <c r="BI101" s="39"/>
      <c r="BJ101" s="40" t="str">
        <f t="shared" si="82"/>
        <v/>
      </c>
      <c r="BK101" s="157" t="str">
        <f t="shared" si="83"/>
        <v/>
      </c>
      <c r="BL101" s="157" t="str">
        <f t="shared" si="65"/>
        <v/>
      </c>
      <c r="BM101" s="72"/>
      <c r="BN101" s="72" t="str">
        <f t="shared" si="84"/>
        <v/>
      </c>
      <c r="BO101" s="72" t="str">
        <f t="shared" si="85"/>
        <v/>
      </c>
      <c r="BP101" s="39"/>
      <c r="BQ101" s="72" t="str">
        <f t="shared" si="66"/>
        <v/>
      </c>
      <c r="BR101" s="72" t="str">
        <f t="shared" si="86"/>
        <v/>
      </c>
    </row>
    <row r="102" spans="4:70" x14ac:dyDescent="0.15">
      <c r="F102" s="93"/>
      <c r="I102" s="322">
        <f t="shared" si="87"/>
        <v>2117</v>
      </c>
      <c r="J102" s="71"/>
      <c r="K102" s="71">
        <f t="shared" si="88"/>
        <v>88</v>
      </c>
      <c r="L102" s="71"/>
      <c r="M102" s="7">
        <f t="shared" si="51"/>
        <v>7.4186387889959446E-2</v>
      </c>
      <c r="N102" s="71"/>
      <c r="O102" s="10" t="str">
        <f t="shared" si="67"/>
        <v/>
      </c>
      <c r="P102" s="29" t="str">
        <f t="shared" si="52"/>
        <v/>
      </c>
      <c r="Q102" s="71"/>
      <c r="R102" s="10" t="str">
        <f t="shared" si="68"/>
        <v/>
      </c>
      <c r="S102" s="71"/>
      <c r="T102" s="10" t="str">
        <f t="shared" si="69"/>
        <v/>
      </c>
      <c r="U102" s="71"/>
      <c r="V102" s="10" t="str">
        <f t="shared" si="53"/>
        <v/>
      </c>
      <c r="W102" s="10" t="str">
        <f t="shared" si="70"/>
        <v/>
      </c>
      <c r="X102" s="71"/>
      <c r="Y102" s="10" t="str">
        <f t="shared" si="54"/>
        <v/>
      </c>
      <c r="Z102" s="10" t="str">
        <f t="shared" si="71"/>
        <v/>
      </c>
      <c r="AA102" s="71"/>
      <c r="AB102" s="10" t="str">
        <f t="shared" si="55"/>
        <v/>
      </c>
      <c r="AC102" s="10" t="str">
        <f t="shared" si="72"/>
        <v/>
      </c>
      <c r="AD102" s="71"/>
      <c r="AE102" s="10" t="str">
        <f t="shared" si="56"/>
        <v/>
      </c>
      <c r="AF102" s="10" t="str">
        <f t="shared" si="73"/>
        <v/>
      </c>
      <c r="AG102" s="71"/>
      <c r="AH102" s="10" t="str">
        <f t="shared" si="57"/>
        <v/>
      </c>
      <c r="AI102" s="10" t="str">
        <f t="shared" si="74"/>
        <v/>
      </c>
      <c r="AJ102" s="71"/>
      <c r="AK102" s="10" t="str">
        <f t="shared" si="75"/>
        <v/>
      </c>
      <c r="AL102" s="10" t="str">
        <f t="shared" si="76"/>
        <v/>
      </c>
      <c r="AM102" s="71"/>
      <c r="AN102" s="10" t="str">
        <f t="shared" si="58"/>
        <v/>
      </c>
      <c r="AO102" s="10" t="str">
        <f t="shared" si="77"/>
        <v/>
      </c>
      <c r="AP102" s="71"/>
      <c r="AQ102" s="10" t="str">
        <f t="shared" si="59"/>
        <v/>
      </c>
      <c r="AR102" s="10" t="str">
        <f t="shared" si="78"/>
        <v/>
      </c>
      <c r="AS102" s="71"/>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U102" s="71"/>
      <c r="AV102" s="10" t="str">
        <f t="shared" si="60"/>
        <v/>
      </c>
      <c r="AW102" s="10" t="str">
        <f t="shared" si="61"/>
        <v/>
      </c>
      <c r="AX102" s="71"/>
      <c r="AY102" s="7" t="str">
        <f>IF(ISERROR(IF($K102&lt;=$F$15,VLOOKUP($I102,'表4）CO2価格'!$A$7:$E$67,VLOOKUP($F$48,'表4）CO2価格'!$H$10:$I$12,2,0),0)*$F$8/1000,"")),0,IF($K102&lt;=$F$15,VLOOKUP($I102,'表4）CO2価格'!$A$7:$E$67,VLOOKUP($F$48,'表4）CO2価格'!$H$10:$I$12,2,0),0)*$F$8/1000,""))</f>
        <v/>
      </c>
      <c r="AZ102" s="71"/>
      <c r="BA102" s="11" t="str">
        <f t="shared" si="62"/>
        <v/>
      </c>
      <c r="BB102" s="10" t="str">
        <f t="shared" si="79"/>
        <v/>
      </c>
      <c r="BC102" s="71"/>
      <c r="BD102" s="10" t="str">
        <f t="shared" si="63"/>
        <v/>
      </c>
      <c r="BE102" s="10" t="str">
        <f t="shared" si="80"/>
        <v/>
      </c>
      <c r="BF102" s="71"/>
      <c r="BG102" s="11" t="str">
        <f t="shared" si="64"/>
        <v/>
      </c>
      <c r="BH102" s="10" t="str">
        <f t="shared" si="81"/>
        <v/>
      </c>
      <c r="BJ102" s="7" t="str">
        <f t="shared" si="82"/>
        <v/>
      </c>
      <c r="BK102" s="158" t="str">
        <f t="shared" si="83"/>
        <v/>
      </c>
      <c r="BL102" s="158" t="str">
        <f t="shared" si="65"/>
        <v/>
      </c>
      <c r="BM102" s="10"/>
      <c r="BN102" s="10" t="str">
        <f t="shared" si="84"/>
        <v/>
      </c>
      <c r="BO102" s="10" t="str">
        <f t="shared" si="85"/>
        <v/>
      </c>
      <c r="BQ102" s="10" t="str">
        <f t="shared" si="66"/>
        <v/>
      </c>
      <c r="BR102" s="10" t="str">
        <f t="shared" si="86"/>
        <v/>
      </c>
    </row>
    <row r="103" spans="4:70" x14ac:dyDescent="0.15">
      <c r="E103" s="81" t="s">
        <v>202</v>
      </c>
      <c r="F103" s="91">
        <f>BB116/$BR$116</f>
        <v>2.5592514152742081</v>
      </c>
      <c r="G103" s="81" t="s">
        <v>132</v>
      </c>
      <c r="I103" s="38">
        <f t="shared" si="87"/>
        <v>2118</v>
      </c>
      <c r="J103" s="39"/>
      <c r="K103" s="39">
        <f t="shared" si="88"/>
        <v>89</v>
      </c>
      <c r="L103" s="39"/>
      <c r="M103" s="40">
        <f t="shared" si="51"/>
        <v>7.2025619310640235E-2</v>
      </c>
      <c r="N103" s="39"/>
      <c r="O103" s="72" t="str">
        <f t="shared" si="67"/>
        <v/>
      </c>
      <c r="P103" s="41" t="str">
        <f t="shared" si="52"/>
        <v/>
      </c>
      <c r="Q103" s="39"/>
      <c r="R103" s="72" t="str">
        <f t="shared" si="68"/>
        <v/>
      </c>
      <c r="S103" s="39"/>
      <c r="T103" s="72" t="str">
        <f t="shared" si="69"/>
        <v/>
      </c>
      <c r="U103" s="39"/>
      <c r="V103" s="72" t="str">
        <f t="shared" si="53"/>
        <v/>
      </c>
      <c r="W103" s="72" t="str">
        <f t="shared" si="70"/>
        <v/>
      </c>
      <c r="X103" s="39"/>
      <c r="Y103" s="72" t="str">
        <f t="shared" si="54"/>
        <v/>
      </c>
      <c r="Z103" s="72" t="str">
        <f t="shared" si="71"/>
        <v/>
      </c>
      <c r="AA103" s="39"/>
      <c r="AB103" s="72" t="str">
        <f t="shared" si="55"/>
        <v/>
      </c>
      <c r="AC103" s="72" t="str">
        <f t="shared" si="72"/>
        <v/>
      </c>
      <c r="AD103" s="39"/>
      <c r="AE103" s="72" t="str">
        <f t="shared" si="56"/>
        <v/>
      </c>
      <c r="AF103" s="72" t="str">
        <f t="shared" si="73"/>
        <v/>
      </c>
      <c r="AG103" s="39"/>
      <c r="AH103" s="72" t="str">
        <f t="shared" si="57"/>
        <v/>
      </c>
      <c r="AI103" s="72" t="str">
        <f t="shared" si="74"/>
        <v/>
      </c>
      <c r="AJ103" s="39"/>
      <c r="AK103" s="72" t="str">
        <f t="shared" si="75"/>
        <v/>
      </c>
      <c r="AL103" s="72" t="str">
        <f t="shared" si="76"/>
        <v/>
      </c>
      <c r="AM103" s="39"/>
      <c r="AN103" s="72" t="str">
        <f t="shared" si="58"/>
        <v/>
      </c>
      <c r="AO103" s="72" t="str">
        <f t="shared" si="77"/>
        <v/>
      </c>
      <c r="AP103" s="39"/>
      <c r="AQ103" s="72" t="str">
        <f t="shared" si="59"/>
        <v/>
      </c>
      <c r="AR103" s="72" t="str">
        <f t="shared" si="78"/>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60"/>
        <v/>
      </c>
      <c r="AW103" s="72" t="str">
        <f t="shared" si="61"/>
        <v/>
      </c>
      <c r="AX103" s="39"/>
      <c r="AY103" s="40" t="str">
        <f>IF(ISERROR(IF($K103&lt;=$F$15,VLOOKUP($I103,'表4）CO2価格'!$A$7:$E$67,VLOOKUP($F$48,'表4）CO2価格'!$H$10:$I$12,2,0),0)*$F$8/1000,"")),0,IF($K103&lt;=$F$15,VLOOKUP($I103,'表4）CO2価格'!$A$7:$E$67,VLOOKUP($F$48,'表4）CO2価格'!$H$10:$I$12,2,0),0)*$F$8/1000,""))</f>
        <v/>
      </c>
      <c r="AZ103" s="39"/>
      <c r="BA103" s="42" t="str">
        <f t="shared" si="62"/>
        <v/>
      </c>
      <c r="BB103" s="72" t="str">
        <f t="shared" si="79"/>
        <v/>
      </c>
      <c r="BC103" s="39"/>
      <c r="BD103" s="72" t="str">
        <f t="shared" si="63"/>
        <v/>
      </c>
      <c r="BE103" s="72" t="str">
        <f t="shared" si="80"/>
        <v/>
      </c>
      <c r="BF103" s="39"/>
      <c r="BG103" s="42" t="str">
        <f t="shared" si="64"/>
        <v/>
      </c>
      <c r="BH103" s="72" t="str">
        <f t="shared" si="81"/>
        <v/>
      </c>
      <c r="BI103" s="39"/>
      <c r="BJ103" s="40" t="str">
        <f t="shared" si="82"/>
        <v/>
      </c>
      <c r="BK103" s="157" t="str">
        <f t="shared" si="83"/>
        <v/>
      </c>
      <c r="BL103" s="157" t="str">
        <f t="shared" si="65"/>
        <v/>
      </c>
      <c r="BM103" s="72"/>
      <c r="BN103" s="72" t="str">
        <f t="shared" si="84"/>
        <v/>
      </c>
      <c r="BO103" s="72" t="str">
        <f t="shared" si="85"/>
        <v/>
      </c>
      <c r="BP103" s="39"/>
      <c r="BQ103" s="72" t="str">
        <f t="shared" si="66"/>
        <v/>
      </c>
      <c r="BR103" s="72" t="str">
        <f t="shared" si="86"/>
        <v/>
      </c>
    </row>
    <row r="104" spans="4:70" x14ac:dyDescent="0.15">
      <c r="E104" s="81" t="s">
        <v>203</v>
      </c>
      <c r="F104" s="91">
        <f>IF(ISERROR(F60*(1/F61)/F62),0,F60*(1/F61)/F62)</f>
        <v>0</v>
      </c>
      <c r="G104" s="81" t="s">
        <v>132</v>
      </c>
      <c r="I104" s="322">
        <f t="shared" si="87"/>
        <v>2119</v>
      </c>
      <c r="J104" s="71"/>
      <c r="K104" s="71">
        <f t="shared" si="88"/>
        <v>90</v>
      </c>
      <c r="L104" s="71"/>
      <c r="M104" s="7">
        <f t="shared" si="51"/>
        <v>6.9927785738485654E-2</v>
      </c>
      <c r="N104" s="71"/>
      <c r="O104" s="10" t="str">
        <f t="shared" si="67"/>
        <v/>
      </c>
      <c r="P104" s="29" t="str">
        <f t="shared" si="52"/>
        <v/>
      </c>
      <c r="Q104" s="71"/>
      <c r="R104" s="10" t="str">
        <f t="shared" si="68"/>
        <v/>
      </c>
      <c r="S104" s="71"/>
      <c r="T104" s="10" t="str">
        <f t="shared" si="69"/>
        <v/>
      </c>
      <c r="U104" s="71"/>
      <c r="V104" s="10" t="str">
        <f t="shared" si="53"/>
        <v/>
      </c>
      <c r="W104" s="10" t="str">
        <f t="shared" si="70"/>
        <v/>
      </c>
      <c r="X104" s="71"/>
      <c r="Y104" s="10" t="str">
        <f t="shared" si="54"/>
        <v/>
      </c>
      <c r="Z104" s="10" t="str">
        <f t="shared" si="71"/>
        <v/>
      </c>
      <c r="AA104" s="71"/>
      <c r="AB104" s="10" t="str">
        <f t="shared" si="55"/>
        <v/>
      </c>
      <c r="AC104" s="10" t="str">
        <f t="shared" si="72"/>
        <v/>
      </c>
      <c r="AD104" s="71"/>
      <c r="AE104" s="10" t="str">
        <f t="shared" si="56"/>
        <v/>
      </c>
      <c r="AF104" s="10" t="str">
        <f t="shared" si="73"/>
        <v/>
      </c>
      <c r="AG104" s="71"/>
      <c r="AH104" s="10" t="str">
        <f t="shared" si="57"/>
        <v/>
      </c>
      <c r="AI104" s="10" t="str">
        <f t="shared" si="74"/>
        <v/>
      </c>
      <c r="AJ104" s="71"/>
      <c r="AK104" s="10" t="str">
        <f t="shared" si="75"/>
        <v/>
      </c>
      <c r="AL104" s="10" t="str">
        <f t="shared" si="76"/>
        <v/>
      </c>
      <c r="AM104" s="71"/>
      <c r="AN104" s="10" t="str">
        <f t="shared" si="58"/>
        <v/>
      </c>
      <c r="AO104" s="10" t="str">
        <f t="shared" si="77"/>
        <v/>
      </c>
      <c r="AP104" s="71"/>
      <c r="AQ104" s="10" t="str">
        <f t="shared" si="59"/>
        <v/>
      </c>
      <c r="AR104" s="10" t="str">
        <f t="shared" si="78"/>
        <v/>
      </c>
      <c r="AS104" s="71"/>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U104" s="71"/>
      <c r="AV104" s="10" t="str">
        <f t="shared" si="60"/>
        <v/>
      </c>
      <c r="AW104" s="10" t="str">
        <f t="shared" si="61"/>
        <v/>
      </c>
      <c r="AX104" s="71"/>
      <c r="AY104" s="7" t="str">
        <f>IF(ISERROR(IF($K104&lt;=$F$15,VLOOKUP($I104,'表4）CO2価格'!$A$7:$E$67,VLOOKUP($F$48,'表4）CO2価格'!$H$10:$I$12,2,0),0)*$F$8/1000,"")),0,IF($K104&lt;=$F$15,VLOOKUP($I104,'表4）CO2価格'!$A$7:$E$67,VLOOKUP($F$48,'表4）CO2価格'!$H$10:$I$12,2,0),0)*$F$8/1000,""))</f>
        <v/>
      </c>
      <c r="AZ104" s="71"/>
      <c r="BA104" s="11" t="str">
        <f t="shared" si="62"/>
        <v/>
      </c>
      <c r="BB104" s="10" t="str">
        <f t="shared" si="79"/>
        <v/>
      </c>
      <c r="BC104" s="71"/>
      <c r="BD104" s="10" t="str">
        <f t="shared" si="63"/>
        <v/>
      </c>
      <c r="BE104" s="10" t="str">
        <f t="shared" si="80"/>
        <v/>
      </c>
      <c r="BF104" s="71"/>
      <c r="BG104" s="11" t="str">
        <f t="shared" si="64"/>
        <v/>
      </c>
      <c r="BH104" s="10" t="str">
        <f t="shared" si="81"/>
        <v/>
      </c>
      <c r="BJ104" s="7" t="str">
        <f t="shared" si="82"/>
        <v/>
      </c>
      <c r="BK104" s="158" t="str">
        <f t="shared" si="83"/>
        <v/>
      </c>
      <c r="BL104" s="158" t="str">
        <f t="shared" si="65"/>
        <v/>
      </c>
      <c r="BM104" s="10"/>
      <c r="BN104" s="10" t="str">
        <f t="shared" si="84"/>
        <v/>
      </c>
      <c r="BO104" s="10" t="str">
        <f t="shared" si="85"/>
        <v/>
      </c>
      <c r="BQ104" s="10" t="str">
        <f t="shared" si="66"/>
        <v/>
      </c>
      <c r="BR104" s="10" t="str">
        <f t="shared" si="86"/>
        <v/>
      </c>
    </row>
    <row r="105" spans="4:70" x14ac:dyDescent="0.15">
      <c r="E105" s="9" t="s">
        <v>367</v>
      </c>
      <c r="F105" s="183">
        <f>F64</f>
        <v>0.03</v>
      </c>
      <c r="G105" s="81" t="s">
        <v>132</v>
      </c>
      <c r="I105" s="38">
        <f t="shared" si="87"/>
        <v>2120</v>
      </c>
      <c r="J105" s="39"/>
      <c r="K105" s="39">
        <f t="shared" si="88"/>
        <v>91</v>
      </c>
      <c r="L105" s="39"/>
      <c r="M105" s="40">
        <f t="shared" si="51"/>
        <v>6.7891054115034627E-2</v>
      </c>
      <c r="N105" s="39"/>
      <c r="O105" s="72" t="str">
        <f t="shared" si="67"/>
        <v/>
      </c>
      <c r="P105" s="41" t="str">
        <f t="shared" si="52"/>
        <v/>
      </c>
      <c r="Q105" s="39"/>
      <c r="R105" s="72" t="str">
        <f t="shared" si="68"/>
        <v/>
      </c>
      <c r="S105" s="39"/>
      <c r="T105" s="72" t="str">
        <f t="shared" si="69"/>
        <v/>
      </c>
      <c r="U105" s="39"/>
      <c r="V105" s="72" t="str">
        <f t="shared" si="53"/>
        <v/>
      </c>
      <c r="W105" s="72" t="str">
        <f t="shared" si="70"/>
        <v/>
      </c>
      <c r="X105" s="39"/>
      <c r="Y105" s="72" t="str">
        <f t="shared" si="54"/>
        <v/>
      </c>
      <c r="Z105" s="72" t="str">
        <f t="shared" si="71"/>
        <v/>
      </c>
      <c r="AA105" s="39"/>
      <c r="AB105" s="72" t="str">
        <f t="shared" si="55"/>
        <v/>
      </c>
      <c r="AC105" s="72" t="str">
        <f t="shared" si="72"/>
        <v/>
      </c>
      <c r="AD105" s="39"/>
      <c r="AE105" s="72" t="str">
        <f t="shared" si="56"/>
        <v/>
      </c>
      <c r="AF105" s="72" t="str">
        <f t="shared" si="73"/>
        <v/>
      </c>
      <c r="AG105" s="39"/>
      <c r="AH105" s="72" t="str">
        <f t="shared" si="57"/>
        <v/>
      </c>
      <c r="AI105" s="72" t="str">
        <f t="shared" si="74"/>
        <v/>
      </c>
      <c r="AJ105" s="39"/>
      <c r="AK105" s="72" t="str">
        <f t="shared" si="75"/>
        <v/>
      </c>
      <c r="AL105" s="72" t="str">
        <f t="shared" si="76"/>
        <v/>
      </c>
      <c r="AM105" s="39"/>
      <c r="AN105" s="72" t="str">
        <f t="shared" si="58"/>
        <v/>
      </c>
      <c r="AO105" s="72" t="str">
        <f t="shared" si="77"/>
        <v/>
      </c>
      <c r="AP105" s="39"/>
      <c r="AQ105" s="72" t="str">
        <f t="shared" si="59"/>
        <v/>
      </c>
      <c r="AR105" s="72" t="str">
        <f t="shared" si="78"/>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60"/>
        <v/>
      </c>
      <c r="AW105" s="72" t="str">
        <f t="shared" si="61"/>
        <v/>
      </c>
      <c r="AX105" s="39"/>
      <c r="AY105" s="40" t="str">
        <f>IF(ISERROR(IF($K105&lt;=$F$15,VLOOKUP($I105,'表4）CO2価格'!$A$7:$E$67,VLOOKUP($F$48,'表4）CO2価格'!$H$10:$I$12,2,0),0)*$F$8/1000,"")),0,IF($K105&lt;=$F$15,VLOOKUP($I105,'表4）CO2価格'!$A$7:$E$67,VLOOKUP($F$48,'表4）CO2価格'!$H$10:$I$12,2,0),0)*$F$8/1000,""))</f>
        <v/>
      </c>
      <c r="AZ105" s="39"/>
      <c r="BA105" s="42" t="str">
        <f t="shared" si="62"/>
        <v/>
      </c>
      <c r="BB105" s="72" t="str">
        <f t="shared" si="79"/>
        <v/>
      </c>
      <c r="BC105" s="39"/>
      <c r="BD105" s="72" t="str">
        <f t="shared" si="63"/>
        <v/>
      </c>
      <c r="BE105" s="72" t="str">
        <f t="shared" si="80"/>
        <v/>
      </c>
      <c r="BF105" s="39"/>
      <c r="BG105" s="42" t="str">
        <f t="shared" si="64"/>
        <v/>
      </c>
      <c r="BH105" s="72" t="str">
        <f t="shared" si="81"/>
        <v/>
      </c>
      <c r="BI105" s="39"/>
      <c r="BJ105" s="40" t="str">
        <f t="shared" si="82"/>
        <v/>
      </c>
      <c r="BK105" s="157" t="str">
        <f t="shared" si="83"/>
        <v/>
      </c>
      <c r="BL105" s="157" t="str">
        <f t="shared" si="65"/>
        <v/>
      </c>
      <c r="BM105" s="72"/>
      <c r="BN105" s="72" t="str">
        <f t="shared" si="84"/>
        <v/>
      </c>
      <c r="BO105" s="72" t="str">
        <f t="shared" si="85"/>
        <v/>
      </c>
      <c r="BP105" s="39"/>
      <c r="BQ105" s="72" t="str">
        <f t="shared" si="66"/>
        <v/>
      </c>
      <c r="BR105" s="72" t="str">
        <f t="shared" si="86"/>
        <v/>
      </c>
    </row>
    <row r="106" spans="4:70" x14ac:dyDescent="0.15">
      <c r="F106" s="93"/>
      <c r="I106" s="322">
        <f t="shared" si="87"/>
        <v>2121</v>
      </c>
      <c r="J106" s="71"/>
      <c r="K106" s="71">
        <f t="shared" si="88"/>
        <v>92</v>
      </c>
      <c r="L106" s="71"/>
      <c r="M106" s="7">
        <f t="shared" si="51"/>
        <v>6.5913644771878277E-2</v>
      </c>
      <c r="N106" s="71"/>
      <c r="O106" s="10" t="str">
        <f t="shared" si="67"/>
        <v/>
      </c>
      <c r="P106" s="29" t="str">
        <f t="shared" si="52"/>
        <v/>
      </c>
      <c r="Q106" s="71"/>
      <c r="R106" s="10" t="str">
        <f t="shared" si="68"/>
        <v/>
      </c>
      <c r="S106" s="71"/>
      <c r="T106" s="10" t="str">
        <f t="shared" si="69"/>
        <v/>
      </c>
      <c r="U106" s="71"/>
      <c r="V106" s="10" t="str">
        <f t="shared" si="53"/>
        <v/>
      </c>
      <c r="W106" s="10" t="str">
        <f t="shared" si="70"/>
        <v/>
      </c>
      <c r="X106" s="71"/>
      <c r="Y106" s="10" t="str">
        <f t="shared" si="54"/>
        <v/>
      </c>
      <c r="Z106" s="10" t="str">
        <f t="shared" si="71"/>
        <v/>
      </c>
      <c r="AA106" s="71"/>
      <c r="AB106" s="10" t="str">
        <f t="shared" si="55"/>
        <v/>
      </c>
      <c r="AC106" s="10" t="str">
        <f t="shared" si="72"/>
        <v/>
      </c>
      <c r="AD106" s="71"/>
      <c r="AE106" s="10" t="str">
        <f t="shared" si="56"/>
        <v/>
      </c>
      <c r="AF106" s="10" t="str">
        <f t="shared" si="73"/>
        <v/>
      </c>
      <c r="AG106" s="71"/>
      <c r="AH106" s="10" t="str">
        <f t="shared" si="57"/>
        <v/>
      </c>
      <c r="AI106" s="10" t="str">
        <f t="shared" si="74"/>
        <v/>
      </c>
      <c r="AJ106" s="71"/>
      <c r="AK106" s="10" t="str">
        <f t="shared" si="75"/>
        <v/>
      </c>
      <c r="AL106" s="10" t="str">
        <f t="shared" si="76"/>
        <v/>
      </c>
      <c r="AM106" s="71"/>
      <c r="AN106" s="10" t="str">
        <f t="shared" si="58"/>
        <v/>
      </c>
      <c r="AO106" s="10" t="str">
        <f t="shared" si="77"/>
        <v/>
      </c>
      <c r="AP106" s="71"/>
      <c r="AQ106" s="10" t="str">
        <f t="shared" si="59"/>
        <v/>
      </c>
      <c r="AR106" s="10" t="str">
        <f t="shared" si="78"/>
        <v/>
      </c>
      <c r="AS106" s="71"/>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U106" s="71"/>
      <c r="AV106" s="10" t="str">
        <f t="shared" si="60"/>
        <v/>
      </c>
      <c r="AW106" s="10" t="str">
        <f t="shared" si="61"/>
        <v/>
      </c>
      <c r="AX106" s="71"/>
      <c r="AY106" s="7" t="str">
        <f>IF(ISERROR(IF($K106&lt;=$F$15,VLOOKUP($I106,'表4）CO2価格'!$A$7:$E$67,VLOOKUP($F$48,'表4）CO2価格'!$H$10:$I$12,2,0),0)*$F$8/1000,"")),0,IF($K106&lt;=$F$15,VLOOKUP($I106,'表4）CO2価格'!$A$7:$E$67,VLOOKUP($F$48,'表4）CO2価格'!$H$10:$I$12,2,0),0)*$F$8/1000,""))</f>
        <v/>
      </c>
      <c r="AZ106" s="71"/>
      <c r="BA106" s="11" t="str">
        <f t="shared" si="62"/>
        <v/>
      </c>
      <c r="BB106" s="10" t="str">
        <f t="shared" si="79"/>
        <v/>
      </c>
      <c r="BC106" s="71"/>
      <c r="BD106" s="10" t="str">
        <f t="shared" si="63"/>
        <v/>
      </c>
      <c r="BE106" s="10" t="str">
        <f t="shared" si="80"/>
        <v/>
      </c>
      <c r="BF106" s="71"/>
      <c r="BG106" s="11" t="str">
        <f t="shared" si="64"/>
        <v/>
      </c>
      <c r="BH106" s="10" t="str">
        <f t="shared" si="81"/>
        <v/>
      </c>
      <c r="BJ106" s="7" t="str">
        <f t="shared" si="82"/>
        <v/>
      </c>
      <c r="BK106" s="158" t="str">
        <f t="shared" si="83"/>
        <v/>
      </c>
      <c r="BL106" s="158" t="str">
        <f t="shared" si="65"/>
        <v/>
      </c>
      <c r="BM106" s="10"/>
      <c r="BN106" s="10" t="str">
        <f t="shared" si="84"/>
        <v/>
      </c>
      <c r="BO106" s="10" t="str">
        <f t="shared" si="85"/>
        <v/>
      </c>
      <c r="BQ106" s="10" t="str">
        <f t="shared" si="66"/>
        <v/>
      </c>
      <c r="BR106" s="10" t="str">
        <f t="shared" si="86"/>
        <v/>
      </c>
    </row>
    <row r="107" spans="4:70" ht="15" x14ac:dyDescent="0.15">
      <c r="D107" s="116" t="s">
        <v>204</v>
      </c>
      <c r="F107" s="94">
        <f>SUBTOTAL(9,F111:F112)</f>
        <v>-4.0161044117548972</v>
      </c>
      <c r="G107" s="81" t="s">
        <v>132</v>
      </c>
      <c r="I107" s="38">
        <f t="shared" si="87"/>
        <v>2122</v>
      </c>
      <c r="J107" s="39"/>
      <c r="K107" s="39">
        <f t="shared" si="88"/>
        <v>93</v>
      </c>
      <c r="L107" s="39"/>
      <c r="M107" s="40">
        <f t="shared" si="51"/>
        <v>6.3993829875609989E-2</v>
      </c>
      <c r="N107" s="39"/>
      <c r="O107" s="72" t="str">
        <f t="shared" si="67"/>
        <v/>
      </c>
      <c r="P107" s="41" t="str">
        <f t="shared" si="52"/>
        <v/>
      </c>
      <c r="Q107" s="39"/>
      <c r="R107" s="72" t="str">
        <f t="shared" si="68"/>
        <v/>
      </c>
      <c r="S107" s="39"/>
      <c r="T107" s="72" t="str">
        <f t="shared" si="69"/>
        <v/>
      </c>
      <c r="U107" s="39"/>
      <c r="V107" s="72" t="str">
        <f t="shared" si="53"/>
        <v/>
      </c>
      <c r="W107" s="72" t="str">
        <f t="shared" si="70"/>
        <v/>
      </c>
      <c r="X107" s="39"/>
      <c r="Y107" s="72" t="str">
        <f t="shared" si="54"/>
        <v/>
      </c>
      <c r="Z107" s="72" t="str">
        <f t="shared" si="71"/>
        <v/>
      </c>
      <c r="AA107" s="39"/>
      <c r="AB107" s="72" t="str">
        <f t="shared" si="55"/>
        <v/>
      </c>
      <c r="AC107" s="72" t="str">
        <f t="shared" si="72"/>
        <v/>
      </c>
      <c r="AD107" s="39"/>
      <c r="AE107" s="72" t="str">
        <f t="shared" si="56"/>
        <v/>
      </c>
      <c r="AF107" s="72" t="str">
        <f t="shared" si="73"/>
        <v/>
      </c>
      <c r="AG107" s="39"/>
      <c r="AH107" s="72" t="str">
        <f t="shared" si="57"/>
        <v/>
      </c>
      <c r="AI107" s="72" t="str">
        <f t="shared" si="74"/>
        <v/>
      </c>
      <c r="AJ107" s="39"/>
      <c r="AK107" s="72" t="str">
        <f t="shared" si="75"/>
        <v/>
      </c>
      <c r="AL107" s="72" t="str">
        <f t="shared" si="76"/>
        <v/>
      </c>
      <c r="AM107" s="39"/>
      <c r="AN107" s="72" t="str">
        <f t="shared" si="58"/>
        <v/>
      </c>
      <c r="AO107" s="72" t="str">
        <f t="shared" si="77"/>
        <v/>
      </c>
      <c r="AP107" s="39"/>
      <c r="AQ107" s="72" t="str">
        <f t="shared" si="59"/>
        <v/>
      </c>
      <c r="AR107" s="72" t="str">
        <f t="shared" si="78"/>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60"/>
        <v/>
      </c>
      <c r="AW107" s="72" t="str">
        <f t="shared" si="61"/>
        <v/>
      </c>
      <c r="AX107" s="39"/>
      <c r="AY107" s="40" t="str">
        <f>IF(ISERROR(IF($K107&lt;=$F$15,VLOOKUP($I107,'表4）CO2価格'!$A$7:$E$67,VLOOKUP($F$48,'表4）CO2価格'!$H$10:$I$12,2,0),0)*$F$8/1000,"")),0,IF($K107&lt;=$F$15,VLOOKUP($I107,'表4）CO2価格'!$A$7:$E$67,VLOOKUP($F$48,'表4）CO2価格'!$H$10:$I$12,2,0),0)*$F$8/1000,""))</f>
        <v/>
      </c>
      <c r="AZ107" s="39"/>
      <c r="BA107" s="42" t="str">
        <f t="shared" si="62"/>
        <v/>
      </c>
      <c r="BB107" s="72" t="str">
        <f t="shared" si="79"/>
        <v/>
      </c>
      <c r="BC107" s="39"/>
      <c r="BD107" s="72" t="str">
        <f t="shared" si="63"/>
        <v/>
      </c>
      <c r="BE107" s="72" t="str">
        <f t="shared" si="80"/>
        <v/>
      </c>
      <c r="BF107" s="39"/>
      <c r="BG107" s="42" t="str">
        <f t="shared" si="64"/>
        <v/>
      </c>
      <c r="BH107" s="72" t="str">
        <f t="shared" si="81"/>
        <v/>
      </c>
      <c r="BI107" s="39"/>
      <c r="BJ107" s="40" t="str">
        <f t="shared" si="82"/>
        <v/>
      </c>
      <c r="BK107" s="157" t="str">
        <f t="shared" si="83"/>
        <v/>
      </c>
      <c r="BL107" s="157" t="str">
        <f t="shared" si="65"/>
        <v/>
      </c>
      <c r="BM107" s="72"/>
      <c r="BN107" s="72" t="str">
        <f t="shared" si="84"/>
        <v/>
      </c>
      <c r="BO107" s="72" t="str">
        <f t="shared" si="85"/>
        <v/>
      </c>
      <c r="BP107" s="39"/>
      <c r="BQ107" s="72" t="str">
        <f t="shared" si="66"/>
        <v/>
      </c>
      <c r="BR107" s="72" t="str">
        <f t="shared" si="86"/>
        <v/>
      </c>
    </row>
    <row r="108" spans="4:70" ht="15" x14ac:dyDescent="0.15">
      <c r="D108" s="116"/>
      <c r="F108" s="93"/>
      <c r="I108" s="322">
        <f t="shared" si="87"/>
        <v>2123</v>
      </c>
      <c r="J108" s="71"/>
      <c r="K108" s="71">
        <f t="shared" si="88"/>
        <v>94</v>
      </c>
      <c r="L108" s="71"/>
      <c r="M108" s="7">
        <f t="shared" si="51"/>
        <v>6.212993191806794E-2</v>
      </c>
      <c r="N108" s="71"/>
      <c r="O108" s="10" t="str">
        <f t="shared" si="67"/>
        <v/>
      </c>
      <c r="P108" s="29" t="str">
        <f t="shared" si="52"/>
        <v/>
      </c>
      <c r="Q108" s="71"/>
      <c r="R108" s="10" t="str">
        <f t="shared" si="68"/>
        <v/>
      </c>
      <c r="S108" s="71"/>
      <c r="T108" s="10" t="str">
        <f t="shared" si="69"/>
        <v/>
      </c>
      <c r="U108" s="71"/>
      <c r="V108" s="10" t="str">
        <f t="shared" si="53"/>
        <v/>
      </c>
      <c r="W108" s="10" t="str">
        <f t="shared" si="70"/>
        <v/>
      </c>
      <c r="X108" s="71"/>
      <c r="Y108" s="10" t="str">
        <f t="shared" si="54"/>
        <v/>
      </c>
      <c r="Z108" s="10" t="str">
        <f t="shared" si="71"/>
        <v/>
      </c>
      <c r="AA108" s="71"/>
      <c r="AB108" s="10" t="str">
        <f t="shared" si="55"/>
        <v/>
      </c>
      <c r="AC108" s="10" t="str">
        <f t="shared" si="72"/>
        <v/>
      </c>
      <c r="AD108" s="71"/>
      <c r="AE108" s="10" t="str">
        <f t="shared" si="56"/>
        <v/>
      </c>
      <c r="AF108" s="10" t="str">
        <f t="shared" si="73"/>
        <v/>
      </c>
      <c r="AG108" s="71"/>
      <c r="AH108" s="10" t="str">
        <f t="shared" si="57"/>
        <v/>
      </c>
      <c r="AI108" s="10" t="str">
        <f t="shared" si="74"/>
        <v/>
      </c>
      <c r="AJ108" s="71"/>
      <c r="AK108" s="10" t="str">
        <f t="shared" si="75"/>
        <v/>
      </c>
      <c r="AL108" s="10" t="str">
        <f t="shared" si="76"/>
        <v/>
      </c>
      <c r="AM108" s="71"/>
      <c r="AN108" s="10" t="str">
        <f t="shared" si="58"/>
        <v/>
      </c>
      <c r="AO108" s="10" t="str">
        <f t="shared" si="77"/>
        <v/>
      </c>
      <c r="AP108" s="71"/>
      <c r="AQ108" s="10" t="str">
        <f t="shared" si="59"/>
        <v/>
      </c>
      <c r="AR108" s="10" t="str">
        <f t="shared" si="78"/>
        <v/>
      </c>
      <c r="AS108" s="71"/>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U108" s="71"/>
      <c r="AV108" s="10" t="str">
        <f t="shared" si="60"/>
        <v/>
      </c>
      <c r="AW108" s="10" t="str">
        <f t="shared" si="61"/>
        <v/>
      </c>
      <c r="AX108" s="71"/>
      <c r="AY108" s="7" t="str">
        <f>IF(ISERROR(IF($K108&lt;=$F$15,VLOOKUP($I108,'表4）CO2価格'!$A$7:$E$67,VLOOKUP($F$48,'表4）CO2価格'!$H$10:$I$12,2,0),0)*$F$8/1000,"")),0,IF($K108&lt;=$F$15,VLOOKUP($I108,'表4）CO2価格'!$A$7:$E$67,VLOOKUP($F$48,'表4）CO2価格'!$H$10:$I$12,2,0),0)*$F$8/1000,""))</f>
        <v/>
      </c>
      <c r="AZ108" s="71"/>
      <c r="BA108" s="11" t="str">
        <f t="shared" si="62"/>
        <v/>
      </c>
      <c r="BB108" s="10" t="str">
        <f t="shared" si="79"/>
        <v/>
      </c>
      <c r="BC108" s="71"/>
      <c r="BD108" s="10" t="str">
        <f t="shared" si="63"/>
        <v/>
      </c>
      <c r="BE108" s="10" t="str">
        <f t="shared" si="80"/>
        <v/>
      </c>
      <c r="BF108" s="71"/>
      <c r="BG108" s="11" t="str">
        <f t="shared" si="64"/>
        <v/>
      </c>
      <c r="BH108" s="10" t="str">
        <f t="shared" si="81"/>
        <v/>
      </c>
      <c r="BJ108" s="7" t="str">
        <f t="shared" si="82"/>
        <v/>
      </c>
      <c r="BK108" s="158" t="str">
        <f t="shared" si="83"/>
        <v/>
      </c>
      <c r="BL108" s="158" t="str">
        <f t="shared" si="65"/>
        <v/>
      </c>
      <c r="BM108" s="10"/>
      <c r="BN108" s="10" t="str">
        <f t="shared" si="84"/>
        <v/>
      </c>
      <c r="BO108" s="10" t="str">
        <f t="shared" si="85"/>
        <v/>
      </c>
      <c r="BQ108" s="10" t="str">
        <f t="shared" si="66"/>
        <v/>
      </c>
      <c r="BR108" s="10" t="str">
        <f t="shared" si="86"/>
        <v/>
      </c>
    </row>
    <row r="109" spans="4:70" x14ac:dyDescent="0.15">
      <c r="D109" s="101" t="s">
        <v>205</v>
      </c>
      <c r="E109" s="101"/>
      <c r="F109" s="92"/>
      <c r="G109" s="101"/>
      <c r="I109" s="38">
        <f t="shared" si="87"/>
        <v>2124</v>
      </c>
      <c r="J109" s="39"/>
      <c r="K109" s="39">
        <f t="shared" si="88"/>
        <v>95</v>
      </c>
      <c r="L109" s="39"/>
      <c r="M109" s="40">
        <f t="shared" si="51"/>
        <v>6.0320322250551395E-2</v>
      </c>
      <c r="N109" s="39"/>
      <c r="O109" s="72" t="str">
        <f t="shared" si="67"/>
        <v/>
      </c>
      <c r="P109" s="41" t="str">
        <f t="shared" si="52"/>
        <v/>
      </c>
      <c r="Q109" s="39"/>
      <c r="R109" s="72" t="str">
        <f t="shared" si="68"/>
        <v/>
      </c>
      <c r="S109" s="39"/>
      <c r="T109" s="72" t="str">
        <f t="shared" si="69"/>
        <v/>
      </c>
      <c r="U109" s="39"/>
      <c r="V109" s="72" t="str">
        <f t="shared" si="53"/>
        <v/>
      </c>
      <c r="W109" s="72" t="str">
        <f t="shared" si="70"/>
        <v/>
      </c>
      <c r="X109" s="39"/>
      <c r="Y109" s="72" t="str">
        <f t="shared" si="54"/>
        <v/>
      </c>
      <c r="Z109" s="72" t="str">
        <f t="shared" si="71"/>
        <v/>
      </c>
      <c r="AA109" s="39"/>
      <c r="AB109" s="72" t="str">
        <f t="shared" si="55"/>
        <v/>
      </c>
      <c r="AC109" s="72" t="str">
        <f t="shared" si="72"/>
        <v/>
      </c>
      <c r="AD109" s="39"/>
      <c r="AE109" s="72" t="str">
        <f t="shared" si="56"/>
        <v/>
      </c>
      <c r="AF109" s="72" t="str">
        <f t="shared" si="73"/>
        <v/>
      </c>
      <c r="AG109" s="39"/>
      <c r="AH109" s="72" t="str">
        <f t="shared" si="57"/>
        <v/>
      </c>
      <c r="AI109" s="72" t="str">
        <f t="shared" si="74"/>
        <v/>
      </c>
      <c r="AJ109" s="39"/>
      <c r="AK109" s="72" t="str">
        <f t="shared" si="75"/>
        <v/>
      </c>
      <c r="AL109" s="72" t="str">
        <f t="shared" si="76"/>
        <v/>
      </c>
      <c r="AM109" s="39"/>
      <c r="AN109" s="72" t="str">
        <f t="shared" si="58"/>
        <v/>
      </c>
      <c r="AO109" s="72" t="str">
        <f t="shared" si="77"/>
        <v/>
      </c>
      <c r="AP109" s="39"/>
      <c r="AQ109" s="72" t="str">
        <f t="shared" si="59"/>
        <v/>
      </c>
      <c r="AR109" s="72" t="str">
        <f t="shared" si="78"/>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60"/>
        <v/>
      </c>
      <c r="AW109" s="72" t="str">
        <f t="shared" si="61"/>
        <v/>
      </c>
      <c r="AX109" s="39"/>
      <c r="AY109" s="40" t="str">
        <f>IF(ISERROR(IF($K109&lt;=$F$15,VLOOKUP($I109,'表4）CO2価格'!$A$7:$E$67,VLOOKUP($F$48,'表4）CO2価格'!$H$10:$I$12,2,0),0)*$F$8/1000,"")),0,IF($K109&lt;=$F$15,VLOOKUP($I109,'表4）CO2価格'!$A$7:$E$67,VLOOKUP($F$48,'表4）CO2価格'!$H$10:$I$12,2,0),0)*$F$8/1000,""))</f>
        <v/>
      </c>
      <c r="AZ109" s="39"/>
      <c r="BA109" s="42" t="str">
        <f t="shared" si="62"/>
        <v/>
      </c>
      <c r="BB109" s="72" t="str">
        <f t="shared" si="79"/>
        <v/>
      </c>
      <c r="BC109" s="39"/>
      <c r="BD109" s="72" t="str">
        <f t="shared" si="63"/>
        <v/>
      </c>
      <c r="BE109" s="72" t="str">
        <f t="shared" si="80"/>
        <v/>
      </c>
      <c r="BF109" s="39"/>
      <c r="BG109" s="42" t="str">
        <f t="shared" si="64"/>
        <v/>
      </c>
      <c r="BH109" s="72" t="str">
        <f t="shared" si="81"/>
        <v/>
      </c>
      <c r="BI109" s="39"/>
      <c r="BJ109" s="40" t="str">
        <f t="shared" si="82"/>
        <v/>
      </c>
      <c r="BK109" s="157" t="str">
        <f t="shared" si="83"/>
        <v/>
      </c>
      <c r="BL109" s="157" t="str">
        <f t="shared" si="65"/>
        <v/>
      </c>
      <c r="BM109" s="72"/>
      <c r="BN109" s="72" t="str">
        <f t="shared" si="84"/>
        <v/>
      </c>
      <c r="BO109" s="72" t="str">
        <f t="shared" si="85"/>
        <v/>
      </c>
      <c r="BP109" s="39"/>
      <c r="BQ109" s="72" t="str">
        <f t="shared" si="66"/>
        <v/>
      </c>
      <c r="BR109" s="72" t="str">
        <f t="shared" si="86"/>
        <v/>
      </c>
    </row>
    <row r="110" spans="4:70" ht="15" x14ac:dyDescent="0.15">
      <c r="D110" s="116"/>
      <c r="F110" s="93"/>
      <c r="I110" s="322">
        <f t="shared" si="87"/>
        <v>2125</v>
      </c>
      <c r="J110" s="71"/>
      <c r="K110" s="71">
        <f t="shared" si="88"/>
        <v>96</v>
      </c>
      <c r="L110" s="71"/>
      <c r="M110" s="7">
        <f t="shared" si="51"/>
        <v>5.8563419660729518E-2</v>
      </c>
      <c r="N110" s="71"/>
      <c r="O110" s="10" t="str">
        <f t="shared" si="67"/>
        <v/>
      </c>
      <c r="P110" s="29" t="str">
        <f t="shared" si="52"/>
        <v/>
      </c>
      <c r="Q110" s="71"/>
      <c r="R110" s="10" t="str">
        <f t="shared" si="68"/>
        <v/>
      </c>
      <c r="S110" s="71"/>
      <c r="T110" s="10" t="str">
        <f t="shared" si="69"/>
        <v/>
      </c>
      <c r="U110" s="71"/>
      <c r="V110" s="10" t="str">
        <f t="shared" si="53"/>
        <v/>
      </c>
      <c r="W110" s="10" t="str">
        <f t="shared" si="70"/>
        <v/>
      </c>
      <c r="X110" s="71"/>
      <c r="Y110" s="10" t="str">
        <f t="shared" si="54"/>
        <v/>
      </c>
      <c r="Z110" s="10" t="str">
        <f t="shared" si="71"/>
        <v/>
      </c>
      <c r="AA110" s="71"/>
      <c r="AB110" s="10" t="str">
        <f t="shared" si="55"/>
        <v/>
      </c>
      <c r="AC110" s="10" t="str">
        <f t="shared" si="72"/>
        <v/>
      </c>
      <c r="AD110" s="71"/>
      <c r="AE110" s="10" t="str">
        <f t="shared" si="56"/>
        <v/>
      </c>
      <c r="AF110" s="10" t="str">
        <f t="shared" si="73"/>
        <v/>
      </c>
      <c r="AG110" s="71"/>
      <c r="AH110" s="10" t="str">
        <f t="shared" si="57"/>
        <v/>
      </c>
      <c r="AI110" s="10" t="str">
        <f t="shared" si="74"/>
        <v/>
      </c>
      <c r="AJ110" s="71"/>
      <c r="AK110" s="10" t="str">
        <f t="shared" si="75"/>
        <v/>
      </c>
      <c r="AL110" s="10" t="str">
        <f t="shared" si="76"/>
        <v/>
      </c>
      <c r="AM110" s="71"/>
      <c r="AN110" s="10" t="str">
        <f t="shared" si="58"/>
        <v/>
      </c>
      <c r="AO110" s="10" t="str">
        <f t="shared" si="77"/>
        <v/>
      </c>
      <c r="AP110" s="71"/>
      <c r="AQ110" s="10" t="str">
        <f t="shared" si="59"/>
        <v/>
      </c>
      <c r="AR110" s="10" t="str">
        <f t="shared" si="78"/>
        <v/>
      </c>
      <c r="AS110" s="71"/>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U110" s="71"/>
      <c r="AV110" s="10" t="str">
        <f t="shared" si="60"/>
        <v/>
      </c>
      <c r="AW110" s="10" t="str">
        <f t="shared" si="61"/>
        <v/>
      </c>
      <c r="AX110" s="71"/>
      <c r="AY110" s="7" t="str">
        <f>IF(ISERROR(IF($K110&lt;=$F$15,VLOOKUP($I110,'表4）CO2価格'!$A$7:$E$67,VLOOKUP($F$48,'表4）CO2価格'!$H$10:$I$12,2,0),0)*$F$8/1000,"")),0,IF($K110&lt;=$F$15,VLOOKUP($I110,'表4）CO2価格'!$A$7:$E$67,VLOOKUP($F$48,'表4）CO2価格'!$H$10:$I$12,2,0),0)*$F$8/1000,""))</f>
        <v/>
      </c>
      <c r="AZ110" s="71"/>
      <c r="BA110" s="11" t="str">
        <f t="shared" si="62"/>
        <v/>
      </c>
      <c r="BB110" s="10" t="str">
        <f t="shared" si="79"/>
        <v/>
      </c>
      <c r="BC110" s="71"/>
      <c r="BD110" s="10" t="str">
        <f t="shared" si="63"/>
        <v/>
      </c>
      <c r="BE110" s="10" t="str">
        <f t="shared" si="80"/>
        <v/>
      </c>
      <c r="BF110" s="71"/>
      <c r="BG110" s="11" t="str">
        <f t="shared" si="64"/>
        <v/>
      </c>
      <c r="BH110" s="10" t="str">
        <f t="shared" si="81"/>
        <v/>
      </c>
      <c r="BJ110" s="7" t="str">
        <f t="shared" si="82"/>
        <v/>
      </c>
      <c r="BK110" s="158" t="str">
        <f t="shared" si="83"/>
        <v/>
      </c>
      <c r="BL110" s="158" t="str">
        <f t="shared" si="65"/>
        <v/>
      </c>
      <c r="BM110" s="10"/>
      <c r="BN110" s="10" t="str">
        <f t="shared" si="84"/>
        <v/>
      </c>
      <c r="BO110" s="10" t="str">
        <f t="shared" si="85"/>
        <v/>
      </c>
      <c r="BQ110" s="10" t="str">
        <f t="shared" si="66"/>
        <v/>
      </c>
      <c r="BR110" s="10" t="str">
        <f t="shared" si="86"/>
        <v/>
      </c>
    </row>
    <row r="111" spans="4:70" ht="15" x14ac:dyDescent="0.15">
      <c r="D111" s="116"/>
      <c r="E111" s="81" t="s">
        <v>206</v>
      </c>
      <c r="F111" s="91">
        <f>-BE116/BR116</f>
        <v>-3.0435888739506978</v>
      </c>
      <c r="G111" s="81" t="s">
        <v>132</v>
      </c>
      <c r="I111" s="38">
        <f t="shared" si="87"/>
        <v>2126</v>
      </c>
      <c r="J111" s="39"/>
      <c r="K111" s="39">
        <f t="shared" si="88"/>
        <v>97</v>
      </c>
      <c r="L111" s="39"/>
      <c r="M111" s="40">
        <f t="shared" si="51"/>
        <v>5.6857688990999529E-2</v>
      </c>
      <c r="N111" s="39"/>
      <c r="O111" s="72" t="str">
        <f t="shared" si="67"/>
        <v/>
      </c>
      <c r="P111" s="41" t="str">
        <f>IF(K111&lt;=$F$15,IF(OR(P110=$F$124,P110="-"),"-",IF(O111*$F$123&gt;$F$127,$F$123,$F$124)),"")</f>
        <v/>
      </c>
      <c r="Q111" s="39"/>
      <c r="R111" s="72" t="str">
        <f t="shared" si="68"/>
        <v/>
      </c>
      <c r="S111" s="39"/>
      <c r="T111" s="72" t="str">
        <f t="shared" si="69"/>
        <v/>
      </c>
      <c r="U111" s="39"/>
      <c r="V111" s="72" t="str">
        <f t="shared" si="53"/>
        <v/>
      </c>
      <c r="W111" s="72" t="str">
        <f t="shared" si="70"/>
        <v/>
      </c>
      <c r="X111" s="39"/>
      <c r="Y111" s="72" t="str">
        <f t="shared" si="54"/>
        <v/>
      </c>
      <c r="Z111" s="72" t="str">
        <f t="shared" si="71"/>
        <v/>
      </c>
      <c r="AA111" s="39"/>
      <c r="AB111" s="72" t="str">
        <f t="shared" si="55"/>
        <v/>
      </c>
      <c r="AC111" s="72" t="str">
        <f t="shared" si="72"/>
        <v/>
      </c>
      <c r="AD111" s="39"/>
      <c r="AE111" s="72" t="str">
        <f t="shared" si="56"/>
        <v/>
      </c>
      <c r="AF111" s="72" t="str">
        <f t="shared" si="73"/>
        <v/>
      </c>
      <c r="AG111" s="39"/>
      <c r="AH111" s="72" t="str">
        <f t="shared" si="57"/>
        <v/>
      </c>
      <c r="AI111" s="72" t="str">
        <f t="shared" si="74"/>
        <v/>
      </c>
      <c r="AJ111" s="39"/>
      <c r="AK111" s="72" t="str">
        <f t="shared" si="75"/>
        <v/>
      </c>
      <c r="AL111" s="72" t="str">
        <f t="shared" si="76"/>
        <v/>
      </c>
      <c r="AM111" s="39"/>
      <c r="AN111" s="72" t="str">
        <f t="shared" si="58"/>
        <v/>
      </c>
      <c r="AO111" s="72" t="str">
        <f t="shared" si="77"/>
        <v/>
      </c>
      <c r="AP111" s="39"/>
      <c r="AQ111" s="72" t="str">
        <f t="shared" si="59"/>
        <v/>
      </c>
      <c r="AR111" s="72" t="str">
        <f t="shared" si="78"/>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60"/>
        <v/>
      </c>
      <c r="AW111" s="72" t="str">
        <f t="shared" si="61"/>
        <v/>
      </c>
      <c r="AX111" s="39"/>
      <c r="AY111" s="40" t="str">
        <f>IF(ISERROR(IF($K111&lt;=$F$15,VLOOKUP($I111,'表4）CO2価格'!$A$7:$E$67,VLOOKUP($F$48,'表4）CO2価格'!$H$10:$I$12,2,0),0)*$F$8/1000,"")),0,IF($K111&lt;=$F$15,VLOOKUP($I111,'表4）CO2価格'!$A$7:$E$67,VLOOKUP($F$48,'表4）CO2価格'!$H$10:$I$12,2,0),0)*$F$8/1000,""))</f>
        <v/>
      </c>
      <c r="AZ111" s="39"/>
      <c r="BA111" s="42" t="str">
        <f t="shared" si="62"/>
        <v/>
      </c>
      <c r="BB111" s="72" t="str">
        <f t="shared" si="79"/>
        <v/>
      </c>
      <c r="BC111" s="39"/>
      <c r="BD111" s="72" t="str">
        <f t="shared" si="63"/>
        <v/>
      </c>
      <c r="BE111" s="72" t="str">
        <f t="shared" si="80"/>
        <v/>
      </c>
      <c r="BF111" s="39"/>
      <c r="BG111" s="42" t="str">
        <f t="shared" si="64"/>
        <v/>
      </c>
      <c r="BH111" s="72" t="str">
        <f t="shared" si="81"/>
        <v/>
      </c>
      <c r="BI111" s="39"/>
      <c r="BJ111" s="40" t="str">
        <f t="shared" si="82"/>
        <v/>
      </c>
      <c r="BK111" s="157" t="str">
        <f t="shared" si="83"/>
        <v/>
      </c>
      <c r="BL111" s="157" t="str">
        <f t="shared" si="65"/>
        <v/>
      </c>
      <c r="BM111" s="72"/>
      <c r="BN111" s="72" t="str">
        <f t="shared" si="84"/>
        <v/>
      </c>
      <c r="BO111" s="72" t="str">
        <f t="shared" si="85"/>
        <v/>
      </c>
      <c r="BP111" s="39"/>
      <c r="BQ111" s="72" t="str">
        <f t="shared" si="66"/>
        <v/>
      </c>
      <c r="BR111" s="72" t="str">
        <f t="shared" si="86"/>
        <v/>
      </c>
    </row>
    <row r="112" spans="4:70" ht="15" x14ac:dyDescent="0.15">
      <c r="D112" s="116"/>
      <c r="E112" s="81" t="s">
        <v>207</v>
      </c>
      <c r="F112" s="91">
        <f>-BH116/BR116</f>
        <v>-0.97251553780419897</v>
      </c>
      <c r="G112" s="81" t="s">
        <v>132</v>
      </c>
      <c r="I112" s="322">
        <f t="shared" si="87"/>
        <v>2127</v>
      </c>
      <c r="J112" s="71"/>
      <c r="K112" s="71">
        <f t="shared" si="88"/>
        <v>98</v>
      </c>
      <c r="L112" s="71"/>
      <c r="M112" s="7">
        <f t="shared" si="51"/>
        <v>5.5201639797086935E-2</v>
      </c>
      <c r="N112" s="71"/>
      <c r="O112" s="10" t="str">
        <f t="shared" si="67"/>
        <v/>
      </c>
      <c r="P112" s="29" t="str">
        <f>IF(K112&lt;=$F$15,IF(OR(P111=$F$124,P111="-"),"-",IF(O112*$F$123&gt;$F$127,$F$123,$F$124)),"")</f>
        <v/>
      </c>
      <c r="Q112" s="71"/>
      <c r="R112" s="10" t="str">
        <f t="shared" si="68"/>
        <v/>
      </c>
      <c r="S112" s="71"/>
      <c r="T112" s="10" t="str">
        <f t="shared" si="69"/>
        <v/>
      </c>
      <c r="U112" s="71"/>
      <c r="V112" s="10" t="str">
        <f t="shared" si="53"/>
        <v/>
      </c>
      <c r="W112" s="10" t="str">
        <f t="shared" si="70"/>
        <v/>
      </c>
      <c r="X112" s="71"/>
      <c r="Y112" s="10" t="str">
        <f t="shared" si="54"/>
        <v/>
      </c>
      <c r="Z112" s="10" t="str">
        <f t="shared" si="71"/>
        <v/>
      </c>
      <c r="AA112" s="71"/>
      <c r="AB112" s="10" t="str">
        <f t="shared" si="55"/>
        <v/>
      </c>
      <c r="AC112" s="10" t="str">
        <f t="shared" si="72"/>
        <v/>
      </c>
      <c r="AD112" s="71"/>
      <c r="AE112" s="10" t="str">
        <f t="shared" si="56"/>
        <v/>
      </c>
      <c r="AF112" s="10" t="str">
        <f t="shared" si="73"/>
        <v/>
      </c>
      <c r="AG112" s="71"/>
      <c r="AH112" s="10" t="str">
        <f t="shared" si="57"/>
        <v/>
      </c>
      <c r="AI112" s="10" t="str">
        <f t="shared" si="74"/>
        <v/>
      </c>
      <c r="AJ112" s="71"/>
      <c r="AK112" s="10" t="str">
        <f t="shared" si="75"/>
        <v/>
      </c>
      <c r="AL112" s="10" t="str">
        <f t="shared" si="76"/>
        <v/>
      </c>
      <c r="AM112" s="71"/>
      <c r="AN112" s="10" t="str">
        <f t="shared" si="58"/>
        <v/>
      </c>
      <c r="AO112" s="10" t="str">
        <f t="shared" si="77"/>
        <v/>
      </c>
      <c r="AP112" s="71"/>
      <c r="AQ112" s="10" t="str">
        <f t="shared" si="59"/>
        <v/>
      </c>
      <c r="AR112" s="10" t="str">
        <f t="shared" si="78"/>
        <v/>
      </c>
      <c r="AS112" s="71"/>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U112" s="71"/>
      <c r="AV112" s="10" t="str">
        <f t="shared" si="60"/>
        <v/>
      </c>
      <c r="AW112" s="10" t="str">
        <f t="shared" si="61"/>
        <v/>
      </c>
      <c r="AX112" s="71"/>
      <c r="AY112" s="7" t="str">
        <f>IF(ISERROR(IF($K112&lt;=$F$15,VLOOKUP($I112,'表4）CO2価格'!$A$7:$E$67,VLOOKUP($F$48,'表4）CO2価格'!$H$10:$I$12,2,0),0)*$F$8/1000,"")),0,IF($K112&lt;=$F$15,VLOOKUP($I112,'表4）CO2価格'!$A$7:$E$67,VLOOKUP($F$48,'表4）CO2価格'!$H$10:$I$12,2,0),0)*$F$8/1000,""))</f>
        <v/>
      </c>
      <c r="AZ112" s="71"/>
      <c r="BA112" s="11" t="str">
        <f t="shared" si="62"/>
        <v/>
      </c>
      <c r="BB112" s="10" t="str">
        <f t="shared" si="79"/>
        <v/>
      </c>
      <c r="BC112" s="71"/>
      <c r="BD112" s="10" t="str">
        <f t="shared" si="63"/>
        <v/>
      </c>
      <c r="BE112" s="10" t="str">
        <f t="shared" si="80"/>
        <v/>
      </c>
      <c r="BF112" s="71"/>
      <c r="BG112" s="11" t="str">
        <f t="shared" si="64"/>
        <v/>
      </c>
      <c r="BH112" s="10" t="str">
        <f t="shared" si="81"/>
        <v/>
      </c>
      <c r="BJ112" s="7" t="str">
        <f t="shared" si="82"/>
        <v/>
      </c>
      <c r="BK112" s="158" t="str">
        <f t="shared" si="83"/>
        <v/>
      </c>
      <c r="BL112" s="158" t="str">
        <f t="shared" si="65"/>
        <v/>
      </c>
      <c r="BM112" s="10"/>
      <c r="BN112" s="10" t="str">
        <f t="shared" si="84"/>
        <v/>
      </c>
      <c r="BO112" s="10" t="str">
        <f t="shared" si="85"/>
        <v/>
      </c>
      <c r="BQ112" s="10" t="str">
        <f t="shared" si="66"/>
        <v/>
      </c>
      <c r="BR112" s="10" t="str">
        <f t="shared" si="86"/>
        <v/>
      </c>
    </row>
    <row r="113" spans="2:70" x14ac:dyDescent="0.15">
      <c r="I113" s="38">
        <f t="shared" si="87"/>
        <v>2128</v>
      </c>
      <c r="J113" s="39"/>
      <c r="K113" s="39">
        <f t="shared" si="88"/>
        <v>99</v>
      </c>
      <c r="L113" s="39"/>
      <c r="M113" s="40">
        <f t="shared" si="51"/>
        <v>5.3593825045715457E-2</v>
      </c>
      <c r="N113" s="39"/>
      <c r="O113" s="72" t="str">
        <f t="shared" si="67"/>
        <v/>
      </c>
      <c r="P113" s="41" t="str">
        <f>IF(K113&lt;=$F$15,IF(OR(P112=$F$124,P112="-"),"-",IF(O113*$F$123&gt;$F$127,$F$123,$F$124)),"")</f>
        <v/>
      </c>
      <c r="Q113" s="39"/>
      <c r="R113" s="72" t="str">
        <f t="shared" si="68"/>
        <v/>
      </c>
      <c r="S113" s="39"/>
      <c r="T113" s="72" t="str">
        <f t="shared" si="69"/>
        <v/>
      </c>
      <c r="U113" s="39"/>
      <c r="V113" s="72" t="str">
        <f t="shared" si="53"/>
        <v/>
      </c>
      <c r="W113" s="72" t="str">
        <f t="shared" si="70"/>
        <v/>
      </c>
      <c r="X113" s="39"/>
      <c r="Y113" s="72" t="str">
        <f t="shared" si="54"/>
        <v/>
      </c>
      <c r="Z113" s="72" t="str">
        <f t="shared" si="71"/>
        <v/>
      </c>
      <c r="AA113" s="39"/>
      <c r="AB113" s="72" t="str">
        <f t="shared" si="55"/>
        <v/>
      </c>
      <c r="AC113" s="72" t="str">
        <f t="shared" si="72"/>
        <v/>
      </c>
      <c r="AD113" s="39"/>
      <c r="AE113" s="72" t="str">
        <f t="shared" si="56"/>
        <v/>
      </c>
      <c r="AF113" s="72" t="str">
        <f t="shared" si="73"/>
        <v/>
      </c>
      <c r="AG113" s="39"/>
      <c r="AH113" s="72" t="str">
        <f t="shared" si="57"/>
        <v/>
      </c>
      <c r="AI113" s="72" t="str">
        <f t="shared" si="74"/>
        <v/>
      </c>
      <c r="AJ113" s="39"/>
      <c r="AK113" s="72" t="str">
        <f t="shared" si="75"/>
        <v/>
      </c>
      <c r="AL113" s="72" t="str">
        <f t="shared" si="76"/>
        <v/>
      </c>
      <c r="AM113" s="39"/>
      <c r="AN113" s="72" t="str">
        <f t="shared" si="58"/>
        <v/>
      </c>
      <c r="AO113" s="72" t="str">
        <f t="shared" si="77"/>
        <v/>
      </c>
      <c r="AP113" s="39"/>
      <c r="AQ113" s="72" t="str">
        <f t="shared" si="59"/>
        <v/>
      </c>
      <c r="AR113" s="72" t="str">
        <f t="shared" si="78"/>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60"/>
        <v/>
      </c>
      <c r="AW113" s="72" t="str">
        <f t="shared" si="61"/>
        <v/>
      </c>
      <c r="AX113" s="39"/>
      <c r="AY113" s="40" t="str">
        <f>IF(ISERROR(IF($K113&lt;=$F$15,VLOOKUP($I113,'表4）CO2価格'!$A$7:$E$67,VLOOKUP($F$48,'表4）CO2価格'!$H$10:$I$12,2,0),0)*$F$8/1000,"")),0,IF($K113&lt;=$F$15,VLOOKUP($I113,'表4）CO2価格'!$A$7:$E$67,VLOOKUP($F$48,'表4）CO2価格'!$H$10:$I$12,2,0),0)*$F$8/1000,""))</f>
        <v/>
      </c>
      <c r="AZ113" s="39"/>
      <c r="BA113" s="42" t="str">
        <f t="shared" si="62"/>
        <v/>
      </c>
      <c r="BB113" s="72" t="str">
        <f t="shared" si="79"/>
        <v/>
      </c>
      <c r="BC113" s="39"/>
      <c r="BD113" s="72" t="str">
        <f t="shared" si="63"/>
        <v/>
      </c>
      <c r="BE113" s="72" t="str">
        <f t="shared" si="80"/>
        <v/>
      </c>
      <c r="BF113" s="39"/>
      <c r="BG113" s="42" t="str">
        <f t="shared" si="64"/>
        <v/>
      </c>
      <c r="BH113" s="72" t="str">
        <f t="shared" si="81"/>
        <v/>
      </c>
      <c r="BI113" s="39"/>
      <c r="BJ113" s="40" t="str">
        <f t="shared" si="82"/>
        <v/>
      </c>
      <c r="BK113" s="157" t="str">
        <f t="shared" si="83"/>
        <v/>
      </c>
      <c r="BL113" s="157" t="str">
        <f t="shared" si="65"/>
        <v/>
      </c>
      <c r="BM113" s="72"/>
      <c r="BN113" s="72" t="str">
        <f t="shared" si="84"/>
        <v/>
      </c>
      <c r="BO113" s="72" t="str">
        <f t="shared" si="85"/>
        <v/>
      </c>
      <c r="BP113" s="39"/>
      <c r="BQ113" s="72" t="str">
        <f t="shared" si="66"/>
        <v/>
      </c>
      <c r="BR113" s="72" t="str">
        <f t="shared" si="86"/>
        <v/>
      </c>
    </row>
    <row r="114" spans="2:70" x14ac:dyDescent="0.15">
      <c r="I114" s="322">
        <f t="shared" si="87"/>
        <v>2129</v>
      </c>
      <c r="J114" s="71"/>
      <c r="K114" s="71">
        <f t="shared" si="88"/>
        <v>100</v>
      </c>
      <c r="L114" s="71"/>
      <c r="M114" s="7">
        <f t="shared" si="51"/>
        <v>5.2032839850209185E-2</v>
      </c>
      <c r="N114" s="71"/>
      <c r="O114" s="10" t="str">
        <f t="shared" si="67"/>
        <v/>
      </c>
      <c r="P114" s="29" t="str">
        <f>IF(K114&lt;=$F$15,IF(OR(P113=$F$124,P113="-"),"-",IF(O114*$F$123&gt;$F$127,$F$123,$F$124)),"")</f>
        <v/>
      </c>
      <c r="Q114" s="71"/>
      <c r="R114" s="10" t="str">
        <f t="shared" si="68"/>
        <v/>
      </c>
      <c r="S114" s="71"/>
      <c r="T114" s="10" t="str">
        <f t="shared" si="69"/>
        <v/>
      </c>
      <c r="U114" s="71"/>
      <c r="V114" s="10" t="str">
        <f t="shared" si="53"/>
        <v/>
      </c>
      <c r="W114" s="10" t="str">
        <f t="shared" si="70"/>
        <v/>
      </c>
      <c r="X114" s="71"/>
      <c r="Y114" s="10" t="str">
        <f t="shared" si="54"/>
        <v/>
      </c>
      <c r="Z114" s="10" t="str">
        <f t="shared" si="71"/>
        <v/>
      </c>
      <c r="AA114" s="71"/>
      <c r="AB114" s="10" t="str">
        <f t="shared" si="55"/>
        <v/>
      </c>
      <c r="AC114" s="10" t="str">
        <f t="shared" si="72"/>
        <v/>
      </c>
      <c r="AD114" s="71"/>
      <c r="AE114" s="10" t="str">
        <f t="shared" si="56"/>
        <v/>
      </c>
      <c r="AF114" s="10" t="str">
        <f t="shared" si="73"/>
        <v/>
      </c>
      <c r="AG114" s="71"/>
      <c r="AH114" s="10" t="str">
        <f t="shared" si="57"/>
        <v/>
      </c>
      <c r="AI114" s="10" t="str">
        <f t="shared" si="74"/>
        <v/>
      </c>
      <c r="AJ114" s="71"/>
      <c r="AK114" s="10" t="str">
        <f t="shared" si="75"/>
        <v/>
      </c>
      <c r="AL114" s="10" t="str">
        <f t="shared" si="76"/>
        <v/>
      </c>
      <c r="AM114" s="71"/>
      <c r="AN114" s="10" t="str">
        <f t="shared" si="58"/>
        <v/>
      </c>
      <c r="AO114" s="10" t="str">
        <f t="shared" si="77"/>
        <v/>
      </c>
      <c r="AP114" s="71"/>
      <c r="AQ114" s="10" t="str">
        <f t="shared" si="59"/>
        <v/>
      </c>
      <c r="AR114" s="10" t="str">
        <f t="shared" si="78"/>
        <v/>
      </c>
      <c r="AS114" s="71"/>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U114" s="71"/>
      <c r="AV114" s="10" t="str">
        <f t="shared" si="60"/>
        <v/>
      </c>
      <c r="AW114" s="10" t="str">
        <f t="shared" si="61"/>
        <v/>
      </c>
      <c r="AX114" s="71"/>
      <c r="AY114" s="7" t="str">
        <f>IF(ISERROR(IF($K114&lt;=$F$15,VLOOKUP($I114,'表4）CO2価格'!$A$7:$E$67,VLOOKUP($F$48,'表4）CO2価格'!$H$10:$I$12,2,0),0)*$F$8/1000,"")),0,IF($K114&lt;=$F$15,VLOOKUP($I114,'表4）CO2価格'!$A$7:$E$67,VLOOKUP($F$48,'表4）CO2価格'!$H$10:$I$12,2,0),0)*$F$8/1000,""))</f>
        <v/>
      </c>
      <c r="AZ114" s="71"/>
      <c r="BA114" s="11" t="str">
        <f t="shared" si="62"/>
        <v/>
      </c>
      <c r="BB114" s="10" t="str">
        <f t="shared" si="79"/>
        <v/>
      </c>
      <c r="BC114" s="71"/>
      <c r="BD114" s="10" t="str">
        <f t="shared" si="63"/>
        <v/>
      </c>
      <c r="BE114" s="10" t="str">
        <f t="shared" si="80"/>
        <v/>
      </c>
      <c r="BF114" s="71"/>
      <c r="BG114" s="11" t="str">
        <f t="shared" si="64"/>
        <v/>
      </c>
      <c r="BH114" s="10" t="str">
        <f t="shared" si="81"/>
        <v/>
      </c>
      <c r="BJ114" s="7" t="str">
        <f t="shared" si="82"/>
        <v/>
      </c>
      <c r="BK114" s="158" t="str">
        <f t="shared" si="83"/>
        <v/>
      </c>
      <c r="BL114" s="158" t="str">
        <f t="shared" si="65"/>
        <v/>
      </c>
      <c r="BM114" s="10"/>
      <c r="BN114" s="10" t="str">
        <f t="shared" si="84"/>
        <v/>
      </c>
      <c r="BO114" s="10" t="str">
        <f t="shared" si="85"/>
        <v/>
      </c>
      <c r="BQ114" s="10" t="str">
        <f t="shared" si="66"/>
        <v/>
      </c>
      <c r="BR114" s="10" t="str">
        <f t="shared" si="86"/>
        <v/>
      </c>
    </row>
    <row r="115" spans="2:70" ht="15.75" thickBot="1" x14ac:dyDescent="0.2">
      <c r="B115" s="460" t="s">
        <v>515</v>
      </c>
      <c r="C115" s="86"/>
      <c r="D115" s="104"/>
      <c r="E115" s="104"/>
      <c r="F115" s="86"/>
      <c r="G115" s="104"/>
      <c r="I115" s="321"/>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71" t="s">
        <v>143</v>
      </c>
      <c r="J116" s="71"/>
      <c r="K116" s="71"/>
      <c r="L116" s="71"/>
      <c r="M116" s="71"/>
      <c r="N116" s="71"/>
      <c r="O116" s="71"/>
      <c r="P116" s="71"/>
      <c r="Q116" s="71"/>
      <c r="R116" s="71"/>
      <c r="S116" s="71"/>
      <c r="T116" s="71"/>
      <c r="U116" s="71"/>
      <c r="V116" s="71"/>
      <c r="W116" s="11"/>
      <c r="X116" s="71"/>
      <c r="Y116" s="71"/>
      <c r="Z116" s="11">
        <f>SUM(Z15:Z114)</f>
        <v>69273879.563517913</v>
      </c>
      <c r="AA116" s="71"/>
      <c r="AB116" s="71"/>
      <c r="AC116" s="11">
        <f>SUM(AC15:AC114)</f>
        <v>16799460.096765134</v>
      </c>
      <c r="AD116" s="71"/>
      <c r="AE116" s="71"/>
      <c r="AF116" s="11">
        <f>SUM(AF15:AF114)</f>
        <v>0</v>
      </c>
      <c r="AG116" s="71"/>
      <c r="AH116" s="71"/>
      <c r="AI116" s="11">
        <f>SUM(AI15:AI114)</f>
        <v>0</v>
      </c>
      <c r="AJ116" s="71"/>
      <c r="AK116" s="71"/>
      <c r="AL116" s="11">
        <f>SUM(AL15:AL114)</f>
        <v>1176026480.9681869</v>
      </c>
      <c r="AM116" s="71"/>
      <c r="AN116" s="71"/>
      <c r="AO116" s="11">
        <f>SUM(AO15:AO114)</f>
        <v>0</v>
      </c>
      <c r="AP116" s="71"/>
      <c r="AQ116" s="71"/>
      <c r="AR116" s="11">
        <f>SUM(AR15:AR114)</f>
        <v>0</v>
      </c>
      <c r="AS116" s="71"/>
      <c r="AT116" s="71"/>
      <c r="AU116" s="71"/>
      <c r="AV116" s="71"/>
      <c r="AW116" s="11">
        <f>SUM(AW15:AW114)</f>
        <v>5828495418.13836</v>
      </c>
      <c r="AX116" s="71"/>
      <c r="AY116" s="71"/>
      <c r="AZ116" s="71"/>
      <c r="BA116" s="71"/>
      <c r="BB116" s="11">
        <f>SUM(BB15:BB114)</f>
        <v>1862374516.043771</v>
      </c>
      <c r="BC116" s="71"/>
      <c r="BD116" s="71"/>
      <c r="BE116" s="11">
        <f>SUM(BE15:BE114)</f>
        <v>2214828258.8925767</v>
      </c>
      <c r="BF116" s="71"/>
      <c r="BG116" s="71"/>
      <c r="BH116" s="11">
        <f>SUM(BH15:BH114)</f>
        <v>707702316.09663296</v>
      </c>
      <c r="BK116" s="11">
        <f>SUM(BK15:BK114)</f>
        <v>0</v>
      </c>
      <c r="BL116" s="11">
        <f>SUM(BL15:BL114)</f>
        <v>0</v>
      </c>
      <c r="BO116" s="11">
        <f>SUM(BO15:BO114)</f>
        <v>0</v>
      </c>
      <c r="BQ116" s="71"/>
      <c r="BR116" s="11">
        <f>SUM(BR15:BR114)</f>
        <v>727702837.21586967</v>
      </c>
    </row>
    <row r="117" spans="2:70" x14ac:dyDescent="0.15">
      <c r="C117" s="9" t="s">
        <v>529</v>
      </c>
      <c r="F117" s="44">
        <f>F21*10^4*F13*10^4+F29*10^8</f>
        <v>840000000</v>
      </c>
      <c r="G117" s="81" t="s">
        <v>208</v>
      </c>
      <c r="I117" s="48" t="s">
        <v>145</v>
      </c>
      <c r="J117" s="71"/>
      <c r="K117" s="71"/>
      <c r="L117" s="71"/>
      <c r="M117" s="71"/>
      <c r="N117" s="71"/>
      <c r="O117" s="71"/>
      <c r="P117" s="71"/>
      <c r="Q117" s="71"/>
      <c r="R117" s="71"/>
      <c r="S117" s="71"/>
      <c r="T117" s="71"/>
      <c r="U117" s="71"/>
      <c r="V117" s="71"/>
      <c r="W117" s="11"/>
      <c r="X117" s="71"/>
      <c r="Y117" s="71"/>
      <c r="Z117" s="11" t="str">
        <f ca="1">IF(ISNUMBER($F$16),SUM(INDIRECT(ADDRESS($F$16+15,COLUMN())):INDIRECT(ADDRESS(114,COLUMN()))),"")</f>
        <v/>
      </c>
      <c r="AA117" s="71"/>
      <c r="AB117" s="71"/>
      <c r="AC117" s="11" t="str">
        <f ca="1">IF(ISNUMBER($F$16),SUM(INDIRECT(ADDRESS($F$16+15,COLUMN())):INDIRECT(ADDRESS(114,COLUMN()))),"")</f>
        <v/>
      </c>
      <c r="AD117" s="71"/>
      <c r="AE117" s="71"/>
      <c r="AF117" s="11" t="str">
        <f ca="1">IF(ISNUMBER($F$16),SUM(INDIRECT(ADDRESS($F$16+15,COLUMN())):INDIRECT(ADDRESS(114,COLUMN()))),"")</f>
        <v/>
      </c>
      <c r="AG117" s="71"/>
      <c r="AH117" s="71"/>
      <c r="AI117" s="11" t="str">
        <f ca="1">IF(ISNUMBER($F$16),SUM(INDIRECT(ADDRESS($F$16+15,COLUMN())):INDIRECT(ADDRESS(114,COLUMN()))),"")</f>
        <v/>
      </c>
      <c r="AJ117" s="71"/>
      <c r="AK117" s="71"/>
      <c r="AL117" s="11" t="str">
        <f ca="1">IF(ISNUMBER($F$16),SUM(INDIRECT(ADDRESS($F$16+15,COLUMN())):INDIRECT(ADDRESS(114,COLUMN()))),"")</f>
        <v/>
      </c>
      <c r="AM117" s="71"/>
      <c r="AN117" s="71"/>
      <c r="AO117" s="11" t="str">
        <f ca="1">IF(ISNUMBER($F$16),SUM(INDIRECT(ADDRESS($F$16+15,COLUMN())):INDIRECT(ADDRESS(114,COLUMN()))),"")</f>
        <v/>
      </c>
      <c r="AP117" s="71"/>
      <c r="AQ117" s="71"/>
      <c r="AR117" s="11" t="str">
        <f ca="1">IF(ISNUMBER($F$16),SUM(INDIRECT(ADDRESS($F$16+15,COLUMN())):INDIRECT(ADDRESS(114,COLUMN()))),"")</f>
        <v/>
      </c>
      <c r="AS117" s="71"/>
      <c r="AT117" s="71"/>
      <c r="AU117" s="71"/>
      <c r="AV117" s="71"/>
      <c r="AW117" s="11" t="str">
        <f ca="1">IF(ISNUMBER($F$16),SUM(INDIRECT(ADDRESS($F$16+15,COLUMN())):INDIRECT(ADDRESS(114,COLUMN()))),"")</f>
        <v/>
      </c>
      <c r="AX117" s="71"/>
      <c r="AY117" s="71"/>
      <c r="AZ117" s="71"/>
      <c r="BA117" s="71"/>
      <c r="BB117" s="11" t="str">
        <f ca="1">IF(ISNUMBER($F$16),SUM(INDIRECT(ADDRESS($F$16+15,COLUMN())):INDIRECT(ADDRESS(114,COLUMN()))),"")</f>
        <v/>
      </c>
      <c r="BC117" s="71"/>
      <c r="BD117" s="71"/>
      <c r="BE117" s="11" t="str">
        <f ca="1">IF(ISNUMBER($F$16),SUM(INDIRECT(ADDRESS($F$16+15,COLUMN())):INDIRECT(ADDRESS(114,COLUMN()))),"")</f>
        <v/>
      </c>
      <c r="BF117" s="71"/>
      <c r="BG117" s="71"/>
      <c r="BH117" s="11" t="str">
        <f ca="1">IF(ISNUMBER($F$16),SUM(INDIRECT(ADDRESS($F$16+15,COLUMN())):INDIRECT(ADDRESS(114,COLUMN()))),"")</f>
        <v/>
      </c>
      <c r="BK117" s="11" t="str">
        <f ca="1">IF(ISNUMBER($F$16),SUM(INDIRECT(ADDRESS($F$16+15,COLUMN())):INDIRECT(ADDRESS(114,COLUMN()))),"")</f>
        <v/>
      </c>
      <c r="BL117" s="11" t="str">
        <f ca="1">IF(ISNUMBER($F$16),SUM(INDIRECT(ADDRESS($F$16+15,COLUMN())):INDIRECT(ADDRESS(114,COLUMN()))),"")</f>
        <v/>
      </c>
      <c r="BO117" s="11" t="str">
        <f ca="1">IF(ISNUMBER($F$16),SUM(INDIRECT(ADDRESS($F$16+15,COLUMN())):INDIRECT(ADDRESS(114,COLUMN()))),"")</f>
        <v/>
      </c>
      <c r="BQ117" s="71"/>
      <c r="BR117" s="11" t="str">
        <f ca="1">IF(ISNUMBER($F$16),SUM(INDIRECT(ADDRESS($F$16+15,COLUMN())):INDIRECT(ADDRESS(114,COLUMN()))),"")</f>
        <v/>
      </c>
    </row>
    <row r="119" spans="2:70" x14ac:dyDescent="0.15">
      <c r="C119" s="9" t="s">
        <v>521</v>
      </c>
      <c r="F119" s="44">
        <f>VLOOKUP(F3,'表2）法定耐用年数'!$A$2:$B$24,2,0)</f>
        <v>15</v>
      </c>
      <c r="G119" s="81" t="s">
        <v>108</v>
      </c>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Q119" s="71"/>
      <c r="BR119" s="71"/>
    </row>
    <row r="121" spans="2:70" x14ac:dyDescent="0.15">
      <c r="C121" s="89" t="s">
        <v>522</v>
      </c>
      <c r="D121" s="101"/>
      <c r="E121" s="101"/>
      <c r="F121" s="89"/>
      <c r="G121" s="10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Q121" s="71"/>
      <c r="BR121" s="71"/>
    </row>
    <row r="123" spans="2:70" x14ac:dyDescent="0.15">
      <c r="D123" s="81" t="s">
        <v>209</v>
      </c>
      <c r="F123" s="95">
        <f>VLOOKUP($F$119,'表1）減価償却率表'!$A$9:$E$107,3,0)</f>
        <v>0.16700000000000001</v>
      </c>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Q123" s="71"/>
      <c r="BR123" s="71"/>
    </row>
    <row r="124" spans="2:70" x14ac:dyDescent="0.15">
      <c r="D124" s="81" t="s">
        <v>210</v>
      </c>
      <c r="F124" s="95">
        <f>VLOOKUP($F$119,'表1）減価償却率表'!$A$9:$E$107,4,0)</f>
        <v>0.2</v>
      </c>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Q124" s="71"/>
      <c r="BR124" s="71"/>
    </row>
    <row r="125" spans="2:70" x14ac:dyDescent="0.15">
      <c r="D125" s="81" t="s">
        <v>211</v>
      </c>
      <c r="F125" s="88">
        <f>VLOOKUP($F$119,'表1）減価償却率表'!$A$9:$E$107,5,0)</f>
        <v>3.2169999999999997E-2</v>
      </c>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Q125" s="71"/>
      <c r="BR125" s="71"/>
    </row>
    <row r="126" spans="2:70" x14ac:dyDescent="0.15">
      <c r="F126" s="96"/>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Q126" s="71"/>
      <c r="BR126" s="71"/>
    </row>
    <row r="127" spans="2:70" x14ac:dyDescent="0.15">
      <c r="C127" s="111" t="s">
        <v>523</v>
      </c>
      <c r="D127" s="85"/>
      <c r="E127" s="114"/>
      <c r="F127" s="44">
        <f>F117*F125</f>
        <v>27022799.999999996</v>
      </c>
      <c r="G127" s="81" t="s">
        <v>208</v>
      </c>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Q127" s="71"/>
      <c r="BR127" s="71"/>
    </row>
    <row r="129" spans="3:7" x14ac:dyDescent="0.15">
      <c r="C129" s="111" t="s">
        <v>152</v>
      </c>
      <c r="D129" s="85"/>
      <c r="E129" s="85"/>
      <c r="F129" s="95">
        <f>0.1^(1/F119)</f>
        <v>0.85769589859089412</v>
      </c>
      <c r="G129" s="85"/>
    </row>
    <row r="131" spans="3:7" x14ac:dyDescent="0.15">
      <c r="C131" s="89" t="s">
        <v>524</v>
      </c>
      <c r="D131" s="101"/>
      <c r="E131" s="101"/>
      <c r="F131" s="89"/>
      <c r="G131" s="101"/>
    </row>
    <row r="133" spans="3:7" x14ac:dyDescent="0.15">
      <c r="D133" s="81" t="s">
        <v>212</v>
      </c>
      <c r="F133" s="44">
        <f>F13*10000*24*365*F14/100</f>
        <v>38000880</v>
      </c>
      <c r="G133" s="81" t="s">
        <v>213</v>
      </c>
    </row>
    <row r="134" spans="3:7" x14ac:dyDescent="0.15">
      <c r="D134" s="81" t="s">
        <v>214</v>
      </c>
      <c r="F134" s="44">
        <f>F133*(1-F24/100)</f>
        <v>37126859.759999998</v>
      </c>
      <c r="G134" s="81" t="s">
        <v>213</v>
      </c>
    </row>
    <row r="135" spans="3:7" x14ac:dyDescent="0.15">
      <c r="F135" s="97"/>
    </row>
    <row r="137" spans="3:7" ht="16.5" x14ac:dyDescent="0.15">
      <c r="C137" s="9" t="s">
        <v>525</v>
      </c>
      <c r="F137" s="44">
        <f>IF(ISERROR(F133*3.6/(F23/100)/F22),0,F133*3.6/(F23/100)/F22)</f>
        <v>5816213.9364822917</v>
      </c>
      <c r="G137" s="9" t="s">
        <v>370</v>
      </c>
    </row>
    <row r="139" spans="3:7" x14ac:dyDescent="0.15">
      <c r="C139" s="89" t="s">
        <v>526</v>
      </c>
      <c r="D139" s="101"/>
      <c r="E139" s="101"/>
      <c r="F139" s="89"/>
      <c r="G139" s="101"/>
    </row>
    <row r="141" spans="3:7" x14ac:dyDescent="0.15">
      <c r="D141" s="81" t="s">
        <v>215</v>
      </c>
      <c r="F141" s="98">
        <f>IF(OR(F3="石炭火力",F3= "LNG火力", F3="ガスコジェネ",F3="バイオマス（石炭混焼）",F3="バイオマス（木質専焼）",F3="燃料電池"),IF($F$43="需要地価格","",1000),IF(OR(F3="石油火力",F3="石油コジェネ"),IF($F$43="需要地価格","",158.987294928),""))</f>
        <v>1000</v>
      </c>
      <c r="G141" s="81" t="s">
        <v>216</v>
      </c>
    </row>
    <row r="142" spans="3:7" x14ac:dyDescent="0.15">
      <c r="D142" s="81" t="s">
        <v>180</v>
      </c>
      <c r="F142" s="91">
        <f>IF(ISERROR(F42/1000),0,F42/1000)</f>
        <v>2.8</v>
      </c>
      <c r="G142" s="81" t="s">
        <v>217</v>
      </c>
    </row>
    <row r="145" spans="3:7" x14ac:dyDescent="0.15">
      <c r="C145" s="9" t="s">
        <v>368</v>
      </c>
      <c r="F145" s="98">
        <f>IF(ISERROR(F133*(F47*3.6/(F23/100)/1000*(44/12))),0,F133*(F47*3.6/(F23/100)/1000*(44/12)))</f>
        <v>16179890.962604649</v>
      </c>
      <c r="G145" s="81" t="s">
        <v>218</v>
      </c>
    </row>
    <row r="147" spans="3:7" x14ac:dyDescent="0.15">
      <c r="C147" s="89" t="s">
        <v>369</v>
      </c>
      <c r="D147" s="101"/>
      <c r="E147" s="101"/>
      <c r="F147" s="89"/>
      <c r="G147" s="101"/>
    </row>
    <row r="149" spans="3:7" x14ac:dyDescent="0.15">
      <c r="D149" s="81" t="s">
        <v>219</v>
      </c>
      <c r="F149" s="91">
        <f>IF(ISERROR(F52/F23),0,F52/F23)</f>
        <v>0.7069767441860465</v>
      </c>
    </row>
    <row r="150" spans="3:7" x14ac:dyDescent="0.15">
      <c r="D150" s="81" t="s">
        <v>220</v>
      </c>
      <c r="F150" s="98">
        <f>F133*F149*(F53/100)*3.6</f>
        <v>96716658.306976736</v>
      </c>
      <c r="G150" s="81" t="s">
        <v>221</v>
      </c>
    </row>
    <row r="151" spans="3:7" ht="16.5" x14ac:dyDescent="0.15">
      <c r="D151" s="81" t="s">
        <v>222</v>
      </c>
      <c r="F151" s="44">
        <f>IF(ISERROR(F150/(F54/100)/F55),0,F150/(F54/100)/F55)</f>
        <v>2210161.2958632708</v>
      </c>
      <c r="G151" s="9" t="s">
        <v>370</v>
      </c>
    </row>
    <row r="152" spans="3:7" x14ac:dyDescent="0.15">
      <c r="D152" s="81" t="s">
        <v>223</v>
      </c>
      <c r="F152" s="146">
        <f>IF(ISERROR(F56/1000),0,F56/1000)</f>
        <v>2.8</v>
      </c>
      <c r="G152" s="81" t="s">
        <v>217</v>
      </c>
    </row>
    <row r="153" spans="3:7" x14ac:dyDescent="0.15">
      <c r="D153" s="81" t="s">
        <v>224</v>
      </c>
      <c r="F153" s="98">
        <f>IF(ISERROR(F150*F47/1000*(44/12)/(F54/100)),0,F150*F47/1000*(44/12)/(F54/100))</f>
        <v>6148358.5657897657</v>
      </c>
      <c r="G153" s="81" t="s">
        <v>218</v>
      </c>
    </row>
  </sheetData>
  <mergeCells count="48">
    <mergeCell ref="BO12:BO13"/>
    <mergeCell ref="BJ12:BJ13"/>
    <mergeCell ref="BE12:BE13"/>
    <mergeCell ref="BH12:BH13"/>
    <mergeCell ref="BR12:BR13"/>
    <mergeCell ref="BL12:BL13"/>
    <mergeCell ref="AI12:AI13"/>
    <mergeCell ref="AL12:AL13"/>
    <mergeCell ref="AO12:AO13"/>
    <mergeCell ref="AR12:AR13"/>
    <mergeCell ref="AW12:AW13"/>
    <mergeCell ref="V9:W10"/>
    <mergeCell ref="Y9:Z10"/>
    <mergeCell ref="BB12:BB13"/>
    <mergeCell ref="BK12:BK13"/>
    <mergeCell ref="P12:P13"/>
    <mergeCell ref="W12:W13"/>
    <mergeCell ref="Z12:Z13"/>
    <mergeCell ref="AC12:AC13"/>
    <mergeCell ref="AF12:AF13"/>
    <mergeCell ref="AB9:AC10"/>
    <mergeCell ref="T9:T10"/>
    <mergeCell ref="AN9:AO10"/>
    <mergeCell ref="AH9:AI10"/>
    <mergeCell ref="AQ9:AR10"/>
    <mergeCell ref="AV9:AW10"/>
    <mergeCell ref="AY9:AY10"/>
    <mergeCell ref="BQ7:BR7"/>
    <mergeCell ref="I9:I10"/>
    <mergeCell ref="K9:K10"/>
    <mergeCell ref="M9:M10"/>
    <mergeCell ref="O9:P10"/>
    <mergeCell ref="R9:R10"/>
    <mergeCell ref="BD9:BE10"/>
    <mergeCell ref="BG9:BH10"/>
    <mergeCell ref="BJ7:BO7"/>
    <mergeCell ref="BJ9:BL10"/>
    <mergeCell ref="BN9:BO10"/>
    <mergeCell ref="AT9:AT10"/>
    <mergeCell ref="AE9:AF10"/>
    <mergeCell ref="BD7:BH7"/>
    <mergeCell ref="AK9:AL10"/>
    <mergeCell ref="BA9:BB10"/>
    <mergeCell ref="F3:G3"/>
    <mergeCell ref="V7:AF7"/>
    <mergeCell ref="AH7:AR7"/>
    <mergeCell ref="AT7:AW7"/>
    <mergeCell ref="AY7:BB7"/>
  </mergeCells>
  <phoneticPr fontId="18"/>
  <dataValidations count="4">
    <dataValidation type="list" allowBlank="1" showDropDown="1" showInputMessage="1" showErrorMessage="1" sqref="F48 F41" xr:uid="{00000000-0002-0000-0A00-000000000000}">
      <formula1>"現行政策シナリオ, 新政策シナリオ"</formula1>
    </dataValidation>
    <dataValidation type="whole" allowBlank="1" showInputMessage="1" showErrorMessage="1" sqref="F7" xr:uid="{00000000-0002-0000-0A00-000001000000}">
      <formula1>2010</formula1>
      <formula2>2030</formula2>
    </dataValidation>
    <dataValidation type="list" allowBlank="1" showDropDown="1" showInputMessage="1" showErrorMessage="1" sqref="F43" xr:uid="{00000000-0002-0000-0A00-000002000000}">
      <formula1>"CIF価格, 需要地価格"</formula1>
    </dataValidation>
    <dataValidation type="list" allowBlank="1" showDropDown="1" showInputMessage="1" showErrorMessage="1" sqref="F3:G3" xr:uid="{00000000-0002-0000-0A00-000003000000}">
      <formula1>"原子力,石炭火力,LNG火力,石油火力,一般水力,太陽光（メガソーラー）,太陽光（住宅）,風力（陸上）,風力（洋上）,小水力,地熱,バイオマス（石炭混焼）,バイオマス（木質専焼）,ガスコジェネ,石油コジェネ,燃料電池"</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BR153"/>
  <sheetViews>
    <sheetView showGridLines="0" zoomScale="85" zoomScaleNormal="85" workbookViewId="0">
      <pane xSplit="10" ySplit="14" topLeftCell="BF102" activePane="bottomRight" state="frozen"/>
      <selection pane="topRight" activeCell="AF12" sqref="AF12:AF13"/>
      <selection pane="bottomLeft" activeCell="AF12" sqref="AF12:AF13"/>
      <selection pane="bottomRight" activeCell="H115" sqref="H115"/>
    </sheetView>
  </sheetViews>
  <sheetFormatPr defaultColWidth="9" defaultRowHeight="14.25" outlineLevelCol="1" x14ac:dyDescent="0.15"/>
  <cols>
    <col min="1" max="3" width="6.25" style="9" customWidth="1"/>
    <col min="4" max="4" width="6.25" style="81" customWidth="1"/>
    <col min="5" max="5" width="24.375" style="81" customWidth="1"/>
    <col min="6" max="6" width="18.75" style="9" customWidth="1"/>
    <col min="7" max="7" width="24.375" style="81" bestFit="1" customWidth="1"/>
    <col min="8" max="8" width="9" style="9"/>
    <col min="9" max="9" width="6.25" style="2" customWidth="1"/>
    <col min="10" max="10" width="3" style="2" customWidth="1"/>
    <col min="11" max="11" width="6.25" style="2" customWidth="1"/>
    <col min="12" max="12" width="3" style="2" customWidth="1"/>
    <col min="13" max="13" width="6.25" style="2" customWidth="1"/>
    <col min="14" max="14" width="3" style="2" customWidth="1"/>
    <col min="15" max="15" width="17.375" style="2" bestFit="1" customWidth="1"/>
    <col min="16" max="16" width="8.625" style="2" customWidth="1"/>
    <col min="17" max="17" width="3" style="2" customWidth="1"/>
    <col min="18" max="18" width="17.375" style="2" bestFit="1" customWidth="1"/>
    <col min="19" max="19" width="3" style="2" customWidth="1"/>
    <col min="20" max="20" width="17.375" style="2" bestFit="1" customWidth="1"/>
    <col min="21" max="21" width="3" style="2" customWidth="1"/>
    <col min="22" max="22" width="15" style="2" customWidth="1" outlineLevel="1"/>
    <col min="23" max="23" width="17.375" style="2" bestFit="1" customWidth="1"/>
    <col min="24" max="24" width="3" style="2" customWidth="1"/>
    <col min="25" max="25" width="15" style="2" customWidth="1" outlineLevel="1"/>
    <col min="26" max="26" width="15" style="2" customWidth="1"/>
    <col min="27" max="27" width="3" style="2" customWidth="1"/>
    <col min="28" max="28" width="15" style="2" customWidth="1" outlineLevel="1"/>
    <col min="29" max="29" width="15" style="2" customWidth="1"/>
    <col min="30" max="30" width="3" style="2" customWidth="1"/>
    <col min="31" max="31" width="15" style="2" customWidth="1" outlineLevel="1"/>
    <col min="32" max="32" width="15" style="2" customWidth="1"/>
    <col min="33" max="33" width="3" style="2" customWidth="1"/>
    <col min="34" max="34" width="14.875" style="2" customWidth="1" outlineLevel="1"/>
    <col min="35" max="35" width="15" style="2" customWidth="1"/>
    <col min="36" max="36" width="3" style="2" customWidth="1"/>
    <col min="37" max="37" width="15" style="2" customWidth="1" outlineLevel="1"/>
    <col min="38" max="38" width="15" style="2" customWidth="1"/>
    <col min="39" max="39" width="3" style="2" customWidth="1"/>
    <col min="40" max="40" width="15" style="2" customWidth="1" outlineLevel="1"/>
    <col min="41" max="41" width="15" style="2" customWidth="1"/>
    <col min="42" max="42" width="3" style="2" customWidth="1"/>
    <col min="43" max="43" width="15" style="2" customWidth="1" outlineLevel="1"/>
    <col min="44" max="44" width="15" style="2" customWidth="1"/>
    <col min="45" max="45" width="3" style="2" customWidth="1"/>
    <col min="46" max="46" width="10.75" style="2" bestFit="1" customWidth="1"/>
    <col min="47" max="47" width="3" style="2" customWidth="1"/>
    <col min="48" max="48" width="15" style="2" customWidth="1" outlineLevel="1"/>
    <col min="49" max="49" width="17.375" style="2" bestFit="1" customWidth="1"/>
    <col min="50" max="50" width="3" style="2" customWidth="1"/>
    <col min="51" max="51" width="9.625" style="2" bestFit="1" customWidth="1"/>
    <col min="52" max="52" width="3" style="2" customWidth="1"/>
    <col min="53" max="53" width="15" style="2" customWidth="1" outlineLevel="1"/>
    <col min="54" max="54" width="17.375" style="2" bestFit="1" customWidth="1"/>
    <col min="55" max="55" width="3" style="2" customWidth="1"/>
    <col min="56" max="56" width="19.25" style="2" customWidth="1" outlineLevel="1"/>
    <col min="57" max="57" width="19.25" style="2" bestFit="1" customWidth="1"/>
    <col min="58" max="58" width="3" style="2" customWidth="1"/>
    <col min="59" max="59" width="19.25" style="2" customWidth="1" outlineLevel="1"/>
    <col min="60" max="60" width="19.25" style="2"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2" customWidth="1" outlineLevel="1"/>
    <col min="70" max="70" width="17.375" style="2" bestFit="1" customWidth="1"/>
    <col min="71" max="16384" width="9" style="2"/>
  </cols>
  <sheetData>
    <row r="1" spans="1:70" ht="18.75" x14ac:dyDescent="0.15">
      <c r="A1" s="465" t="s">
        <v>60</v>
      </c>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Q1" s="71"/>
      <c r="BR1" s="71"/>
    </row>
    <row r="3" spans="1:70" ht="23.25" x14ac:dyDescent="0.15">
      <c r="B3" s="462" t="s">
        <v>517</v>
      </c>
      <c r="F3" s="724" t="s">
        <v>537</v>
      </c>
      <c r="G3" s="725"/>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Q3" s="71"/>
      <c r="BR3" s="71"/>
    </row>
    <row r="4" spans="1:70" x14ac:dyDescent="0.15">
      <c r="F4" s="9" t="str">
        <f>F43</f>
        <v>CIF価格</v>
      </c>
      <c r="G4" s="112"/>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Q4" s="71"/>
      <c r="BR4" s="71"/>
    </row>
    <row r="5" spans="1:70" ht="15.75" thickBot="1" x14ac:dyDescent="0.2">
      <c r="B5" s="460" t="s">
        <v>518</v>
      </c>
      <c r="C5" s="86"/>
      <c r="D5" s="104"/>
      <c r="E5" s="104"/>
      <c r="F5" s="86"/>
      <c r="G5" s="104"/>
      <c r="I5" s="5" t="s">
        <v>64</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9" t="s">
        <v>65</v>
      </c>
      <c r="F7" s="87">
        <v>2020</v>
      </c>
      <c r="I7" s="8"/>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9" t="s">
        <v>519</v>
      </c>
      <c r="F8" s="88">
        <f>まとめ!B3</f>
        <v>107</v>
      </c>
      <c r="G8" s="81" t="s">
        <v>171</v>
      </c>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9" t="s">
        <v>520</v>
      </c>
      <c r="F9" s="88">
        <f>まとめ!B2</f>
        <v>3</v>
      </c>
      <c r="G9" s="81" t="s">
        <v>172</v>
      </c>
      <c r="I9" s="720" t="s">
        <v>78</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07" t="s">
        <v>118</v>
      </c>
      <c r="AI9" s="707"/>
      <c r="AJ9" s="8"/>
      <c r="AK9" s="707" t="s">
        <v>89</v>
      </c>
      <c r="AL9" s="707"/>
      <c r="AM9" s="8"/>
      <c r="AN9" s="707" t="s">
        <v>90</v>
      </c>
      <c r="AO9" s="707"/>
      <c r="AP9" s="8"/>
      <c r="AQ9" s="707" t="s">
        <v>91</v>
      </c>
      <c r="AR9" s="707"/>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I10" s="708"/>
      <c r="J10" s="71"/>
      <c r="K10" s="708"/>
      <c r="L10" s="71"/>
      <c r="M10" s="708"/>
      <c r="N10" s="71"/>
      <c r="O10" s="717"/>
      <c r="P10" s="717"/>
      <c r="Q10" s="71"/>
      <c r="R10" s="708"/>
      <c r="S10" s="71"/>
      <c r="T10" s="708"/>
      <c r="U10" s="71"/>
      <c r="V10" s="717"/>
      <c r="W10" s="717"/>
      <c r="X10" s="71"/>
      <c r="Y10" s="717"/>
      <c r="Z10" s="717"/>
      <c r="AA10" s="71"/>
      <c r="AB10" s="723"/>
      <c r="AC10" s="723"/>
      <c r="AD10" s="81"/>
      <c r="AE10" s="723"/>
      <c r="AF10" s="723"/>
      <c r="AG10" s="71"/>
      <c r="AH10" s="717"/>
      <c r="AI10" s="717"/>
      <c r="AJ10" s="71"/>
      <c r="AK10" s="717"/>
      <c r="AL10" s="717"/>
      <c r="AM10" s="71"/>
      <c r="AN10" s="717"/>
      <c r="AO10" s="717"/>
      <c r="AP10" s="71"/>
      <c r="AQ10" s="717"/>
      <c r="AR10" s="717"/>
      <c r="AS10" s="71"/>
      <c r="AT10" s="717"/>
      <c r="AU10" s="71"/>
      <c r="AV10" s="717"/>
      <c r="AW10" s="717"/>
      <c r="AX10" s="322"/>
      <c r="AY10" s="708"/>
      <c r="AZ10" s="71"/>
      <c r="BA10" s="708"/>
      <c r="BB10" s="708"/>
      <c r="BC10" s="71"/>
      <c r="BD10" s="717"/>
      <c r="BE10" s="717"/>
      <c r="BF10" s="71"/>
      <c r="BG10" s="717"/>
      <c r="BH10" s="717"/>
      <c r="BJ10" s="708"/>
      <c r="BK10" s="708"/>
      <c r="BL10" s="708"/>
      <c r="BM10" s="322"/>
      <c r="BN10" s="717"/>
      <c r="BO10" s="717"/>
      <c r="BQ10" s="322"/>
      <c r="BR10" s="322"/>
    </row>
    <row r="11" spans="1:70" ht="15.75" customHeight="1" thickBot="1" x14ac:dyDescent="0.2">
      <c r="B11" s="460" t="s">
        <v>95</v>
      </c>
      <c r="C11" s="86"/>
      <c r="D11" s="104"/>
      <c r="E11" s="104"/>
      <c r="F11" s="86"/>
      <c r="G11" s="104"/>
      <c r="I11" s="71"/>
      <c r="J11" s="71"/>
      <c r="K11" s="71"/>
      <c r="L11" s="71"/>
      <c r="M11" s="71"/>
      <c r="N11" s="71"/>
      <c r="O11" s="322" t="s">
        <v>96</v>
      </c>
      <c r="P11" s="322"/>
      <c r="Q11" s="322"/>
      <c r="R11" s="322" t="s">
        <v>96</v>
      </c>
      <c r="S11" s="322"/>
      <c r="T11" s="322"/>
      <c r="U11" s="71"/>
      <c r="V11" s="322"/>
      <c r="W11" s="322"/>
      <c r="X11" s="71"/>
      <c r="Y11" s="322"/>
      <c r="Z11" s="322"/>
      <c r="AA11" s="71"/>
      <c r="AB11" s="322"/>
      <c r="AC11" s="322"/>
      <c r="AD11" s="71"/>
      <c r="AE11" s="322"/>
      <c r="AF11" s="322"/>
      <c r="AG11" s="71"/>
      <c r="AH11" s="322"/>
      <c r="AI11" s="322"/>
      <c r="AJ11" s="71"/>
      <c r="AK11" s="322"/>
      <c r="AL11" s="322"/>
      <c r="AM11" s="71"/>
      <c r="AN11" s="322"/>
      <c r="AO11" s="322"/>
      <c r="AP11" s="71"/>
      <c r="AQ11" s="322"/>
      <c r="AR11" s="322"/>
      <c r="AS11" s="71"/>
      <c r="AT11" s="322"/>
      <c r="AU11" s="71"/>
      <c r="AV11" s="322"/>
      <c r="AW11" s="322"/>
      <c r="AX11" s="322"/>
      <c r="AY11" s="71"/>
      <c r="AZ11" s="71"/>
      <c r="BA11" s="71"/>
      <c r="BB11" s="322"/>
      <c r="BC11" s="71"/>
      <c r="BD11" s="322"/>
      <c r="BE11" s="322"/>
      <c r="BF11" s="71"/>
      <c r="BG11" s="322"/>
      <c r="BH11" s="322"/>
      <c r="BJ11" s="156"/>
      <c r="BM11" s="322"/>
      <c r="BN11" s="322"/>
      <c r="BO11" s="322"/>
      <c r="BQ11" s="322"/>
      <c r="BR11" s="322"/>
    </row>
    <row r="12" spans="1:70" ht="14.25" customHeight="1" x14ac:dyDescent="0.15">
      <c r="I12" s="71"/>
      <c r="J12" s="71"/>
      <c r="K12" s="71"/>
      <c r="L12" s="71"/>
      <c r="M12" s="71"/>
      <c r="N12" s="71"/>
      <c r="O12" s="322"/>
      <c r="P12" s="707" t="s">
        <v>97</v>
      </c>
      <c r="Q12" s="71"/>
      <c r="R12" s="71"/>
      <c r="S12" s="71"/>
      <c r="T12" s="71"/>
      <c r="U12" s="71"/>
      <c r="V12" s="71"/>
      <c r="W12" s="707" t="s">
        <v>98</v>
      </c>
      <c r="X12" s="71"/>
      <c r="Y12" s="71"/>
      <c r="Z12" s="707" t="s">
        <v>98</v>
      </c>
      <c r="AA12" s="71"/>
      <c r="AB12" s="71"/>
      <c r="AC12" s="707" t="s">
        <v>98</v>
      </c>
      <c r="AD12" s="71"/>
      <c r="AE12" s="71"/>
      <c r="AF12" s="707" t="s">
        <v>98</v>
      </c>
      <c r="AG12" s="71"/>
      <c r="AH12" s="71"/>
      <c r="AI12" s="707" t="s">
        <v>98</v>
      </c>
      <c r="AJ12" s="71"/>
      <c r="AK12" s="71"/>
      <c r="AL12" s="707" t="s">
        <v>98</v>
      </c>
      <c r="AM12" s="71"/>
      <c r="AN12" s="71"/>
      <c r="AO12" s="707" t="s">
        <v>98</v>
      </c>
      <c r="AP12" s="71"/>
      <c r="AQ12" s="71"/>
      <c r="AR12" s="707" t="s">
        <v>98</v>
      </c>
      <c r="AS12" s="71"/>
      <c r="AT12" s="71"/>
      <c r="AU12" s="71"/>
      <c r="AV12" s="71"/>
      <c r="AW12" s="707" t="s">
        <v>98</v>
      </c>
      <c r="AX12" s="71"/>
      <c r="AY12" s="71"/>
      <c r="AZ12" s="71"/>
      <c r="BA12" s="71"/>
      <c r="BB12" s="707" t="s">
        <v>98</v>
      </c>
      <c r="BC12" s="71"/>
      <c r="BD12" s="71"/>
      <c r="BE12" s="707" t="s">
        <v>98</v>
      </c>
      <c r="BF12" s="71"/>
      <c r="BG12" s="71"/>
      <c r="BH12" s="707" t="s">
        <v>98</v>
      </c>
      <c r="BJ12" s="709" t="s">
        <v>99</v>
      </c>
      <c r="BK12" s="709" t="s">
        <v>100</v>
      </c>
      <c r="BL12" s="709" t="s">
        <v>101</v>
      </c>
      <c r="BO12" s="709" t="s">
        <v>102</v>
      </c>
      <c r="BQ12" s="71"/>
      <c r="BR12" s="707" t="s">
        <v>103</v>
      </c>
    </row>
    <row r="13" spans="1:70" ht="14.25" customHeight="1" x14ac:dyDescent="0.15">
      <c r="C13" s="9" t="s">
        <v>504</v>
      </c>
      <c r="F13" s="66">
        <v>0.15</v>
      </c>
      <c r="G13" s="81" t="s">
        <v>173</v>
      </c>
      <c r="I13" s="71"/>
      <c r="J13" s="71"/>
      <c r="K13" s="71"/>
      <c r="L13" s="71"/>
      <c r="M13" s="71"/>
      <c r="N13" s="71"/>
      <c r="O13" s="322"/>
      <c r="P13" s="708"/>
      <c r="Q13" s="322"/>
      <c r="R13" s="322"/>
      <c r="S13" s="322"/>
      <c r="T13" s="322"/>
      <c r="U13" s="71"/>
      <c r="V13" s="322"/>
      <c r="W13" s="708"/>
      <c r="X13" s="71"/>
      <c r="Y13" s="322"/>
      <c r="Z13" s="708"/>
      <c r="AA13" s="71"/>
      <c r="AB13" s="322"/>
      <c r="AC13" s="708"/>
      <c r="AD13" s="71"/>
      <c r="AE13" s="322"/>
      <c r="AF13" s="708"/>
      <c r="AG13" s="71"/>
      <c r="AH13" s="322"/>
      <c r="AI13" s="708"/>
      <c r="AJ13" s="71"/>
      <c r="AK13" s="322"/>
      <c r="AL13" s="708"/>
      <c r="AM13" s="71"/>
      <c r="AN13" s="322"/>
      <c r="AO13" s="708"/>
      <c r="AP13" s="71"/>
      <c r="AQ13" s="322"/>
      <c r="AR13" s="708"/>
      <c r="AS13" s="71"/>
      <c r="AT13" s="322"/>
      <c r="AU13" s="71"/>
      <c r="AV13" s="322"/>
      <c r="AW13" s="708"/>
      <c r="AX13" s="71"/>
      <c r="AY13" s="71"/>
      <c r="AZ13" s="71"/>
      <c r="BA13" s="71"/>
      <c r="BB13" s="708"/>
      <c r="BC13" s="71"/>
      <c r="BD13" s="322"/>
      <c r="BE13" s="708"/>
      <c r="BF13" s="71"/>
      <c r="BG13" s="322"/>
      <c r="BH13" s="708"/>
      <c r="BJ13" s="712"/>
      <c r="BK13" s="710"/>
      <c r="BL13" s="708"/>
      <c r="BM13" s="322"/>
      <c r="BO13" s="708"/>
      <c r="BQ13" s="322"/>
      <c r="BR13" s="708"/>
    </row>
    <row r="14" spans="1:70" ht="16.5" x14ac:dyDescent="0.15">
      <c r="C14" s="9" t="s">
        <v>505</v>
      </c>
      <c r="F14" s="88">
        <f>VLOOKUP(F3&amp;IF(G4&lt;&gt;"","_"&amp;G4,""),まとめ!$A$12:$G$34,IF(F7=2030,4,IF(F7=2020,3,IF(F7=2014,2,"-"))),0)</f>
        <v>36</v>
      </c>
      <c r="G14" s="81" t="s">
        <v>172</v>
      </c>
      <c r="I14" s="71"/>
      <c r="J14" s="71"/>
      <c r="K14" s="71"/>
      <c r="L14" s="71"/>
      <c r="M14" s="71"/>
      <c r="N14" s="71"/>
      <c r="O14" s="322"/>
      <c r="P14" s="322"/>
      <c r="Q14" s="322"/>
      <c r="R14" s="322"/>
      <c r="S14" s="322"/>
      <c r="T14" s="322"/>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50" t="s">
        <v>104</v>
      </c>
      <c r="AU14" s="71"/>
      <c r="AV14" s="71"/>
      <c r="AW14" s="71"/>
      <c r="AX14" s="71"/>
      <c r="AY14" s="71" t="s">
        <v>105</v>
      </c>
      <c r="AZ14" s="71"/>
      <c r="BA14" s="71"/>
      <c r="BB14" s="71"/>
      <c r="BC14" s="71"/>
      <c r="BD14" s="71"/>
      <c r="BE14" s="71"/>
      <c r="BF14" s="71"/>
      <c r="BG14" s="71"/>
      <c r="BH14" s="71"/>
      <c r="BQ14" s="71"/>
      <c r="BR14" s="71"/>
    </row>
    <row r="15" spans="1:70" x14ac:dyDescent="0.15">
      <c r="C15" s="9" t="s">
        <v>506</v>
      </c>
      <c r="F15" s="88">
        <f>VLOOKUP(F3&amp;IF(G4&lt;&gt;"","_"&amp;G4,""),まとめ!$A$12:$G$34,IF(F7=2030,7,IF(F7=2020,6,IF(F7=2014,5,"-"))),0)</f>
        <v>30</v>
      </c>
      <c r="G15" s="81" t="s">
        <v>108</v>
      </c>
      <c r="I15" s="38">
        <f>F7</f>
        <v>2020</v>
      </c>
      <c r="J15" s="39"/>
      <c r="K15" s="39">
        <f>IF(I15&lt;&gt;"",1,"")</f>
        <v>1</v>
      </c>
      <c r="L15" s="39"/>
      <c r="M15" s="40">
        <f t="shared" ref="M15:M78" si="0">1/(1+($F$9/100))^K15</f>
        <v>0.970873786407767</v>
      </c>
      <c r="N15" s="39"/>
      <c r="O15" s="72">
        <f>F117</f>
        <v>195000000</v>
      </c>
      <c r="P15" s="41">
        <f t="shared" ref="P15:P46" si="1">IF(K15&lt;=$F$15,IF(OR(P14=$F$124,P14="-"),"-",IF(O15*$F$123&gt;$F$127,$F$123,$F$124)),"")</f>
        <v>0.16700000000000001</v>
      </c>
      <c r="Q15" s="39"/>
      <c r="R15" s="72">
        <f>F117</f>
        <v>195000000</v>
      </c>
      <c r="S15" s="39"/>
      <c r="T15" s="72">
        <f>IF(ISNUMBER(R15),ROUNDDOWN(R15,-3),"")</f>
        <v>195000000</v>
      </c>
      <c r="U15" s="39"/>
      <c r="V15" s="72">
        <f t="shared" ref="V15:V46" si="2">IF(K15&lt;=$F$15,IF(K15&lt;$F$119,IF(P15="-",V14,O15*P15),IF(K15=$F$119,MIN(IF(P15="-",V14,O15*P15),O15),0)),"")</f>
        <v>32565000</v>
      </c>
      <c r="W15" s="72">
        <f>IF(ISNUMBER(V15),V15*$M15,"")</f>
        <v>31616504.854368933</v>
      </c>
      <c r="X15" s="39"/>
      <c r="Y15" s="72">
        <f t="shared" ref="Y15:Y46" si="3">IF($K15&lt;=$F$15,ROUNDDOWN(T15*$F$25/100,-2),"")</f>
        <v>2730000</v>
      </c>
      <c r="Z15" s="72">
        <f>IF(ISNUMBER(Y15),Y15*$M15,"")</f>
        <v>2650485.4368932038</v>
      </c>
      <c r="AA15" s="39"/>
      <c r="AB15" s="72">
        <f t="shared" ref="AB15:AB78" si="4">IF($K15&lt;=$F$15,0,IF(AND($K15&gt;$F$15,$K15&lt;=$F$15+$F$28),$F$27*10^8/$F$28,""))</f>
        <v>0</v>
      </c>
      <c r="AC15" s="72">
        <f>IF(ISNUMBER(AB15),AB15*$M15,"")</f>
        <v>0</v>
      </c>
      <c r="AD15" s="39"/>
      <c r="AE15" s="72">
        <f t="shared" ref="AE15:AE46" si="5">IF($K15&lt;=$F$15,$F$26,"")</f>
        <v>0</v>
      </c>
      <c r="AF15" s="72">
        <f>IF(ISNUMBER(AE15),AE15*$M15,"")</f>
        <v>0</v>
      </c>
      <c r="AG15" s="39"/>
      <c r="AH15" s="72">
        <f t="shared" ref="AH15:AH46" si="6">IF($K15&lt;=$F$15,$F$33*10^8,"")</f>
        <v>0</v>
      </c>
      <c r="AI15" s="72">
        <f>IF(ISNUMBER(AH15),AH15*$M15,"")</f>
        <v>0</v>
      </c>
      <c r="AJ15" s="39"/>
      <c r="AK15" s="72">
        <f>IF($K15&lt;=$F$15,$F$34*10^4*$F$13*10^4,"")</f>
        <v>11850000</v>
      </c>
      <c r="AL15" s="72">
        <f>IF(ISNUMBER(AK15),AK15*$M15,"")</f>
        <v>11504854.368932039</v>
      </c>
      <c r="AM15" s="39"/>
      <c r="AN15" s="72">
        <f t="shared" ref="AN15:AN46" si="7">IF($K15&lt;=$F$15,$F$117*$F$35/100,"")</f>
        <v>0</v>
      </c>
      <c r="AO15" s="72">
        <f>IF(ISNUMBER(AN15),AN15*$M15,"")</f>
        <v>0</v>
      </c>
      <c r="AP15" s="39"/>
      <c r="AQ15" s="72">
        <f t="shared" ref="AQ15:AQ46" si="8">IF($K15&lt;=$F$15,SUM(AH15,AK15,AN15)*($F$36/100),"")</f>
        <v>0</v>
      </c>
      <c r="AR15" s="72">
        <f>IF(ISNUMBER(AQ15),AQ15*$M15,"")</f>
        <v>0</v>
      </c>
      <c r="AS15" s="39"/>
      <c r="AT15" s="40">
        <f>IF($K15&lt;=$F$15,IF($F$40&lt;&gt;"",$F$40/1000,IF(ISERROR(VLOOKUP($F$3&amp;IF($G$4&lt;&gt;"",$G$4,"")&amp;IF($F$43&lt;&gt;"","_"&amp;$F$43,""),'表3）燃料価格'!$AF$9:$AG$25,2,0)),0,VLOOKUP($I15,'表3）燃料価格'!$A$6:$U$66,VLOOKUP($F$3&amp;IF($G$4&lt;&gt;"",$G$4,"")&amp;IF($F$43&lt;&gt;"","_"&amp;$F$43,""),'表3）燃料価格'!$AF$9:$AG$25,2,0)+VLOOKUP($F$41,'表3）燃料価格'!$AF$28:$AG$29,2,0),0)*IF($F$43="需要地価格",1,$F$8/$F$141))),"")</f>
        <v>45.867857994370873</v>
      </c>
      <c r="AU15" s="39"/>
      <c r="AV15" s="72">
        <f t="shared" ref="AV15:AV46" si="9">IF($K15&lt;=$F$15,($AT15+$F$142)*$F$137,"")</f>
        <v>66479974.448784903</v>
      </c>
      <c r="AW15" s="72">
        <f t="shared" ref="AW15:AW78" si="10">IF(ISNUMBER(AV15),AV15*$M15,"")</f>
        <v>64543664.513383403</v>
      </c>
      <c r="AX15" s="39"/>
      <c r="AY15" s="40">
        <f>IF(ISERROR(IF($K15&lt;=$F$15,VLOOKUP($I15,'表4）CO2価格'!$A$7:$E$67,VLOOKUP($F$48,'表4）CO2価格'!$H$10:$I$12,2,0),0)*$F$8/1000,"")),0,IF($K15&lt;=$F$15,VLOOKUP($I15,'表4）CO2価格'!$A$7:$E$67,VLOOKUP($F$48,'表4）CO2価格'!$H$10:$I$12,2,0),0)*$F$8/1000,""))</f>
        <v>1.8297000000000001</v>
      </c>
      <c r="AZ15" s="39"/>
      <c r="BA15" s="42">
        <f t="shared" ref="BA15:BA46" si="11">IF($K15&lt;=$F$15,$F$145*AY15,"")</f>
        <v>6972997.2800038913</v>
      </c>
      <c r="BB15" s="72">
        <f>IF(ISNUMBER(BA15),BA15*$M15,"")</f>
        <v>6769900.2718484383</v>
      </c>
      <c r="BC15" s="39"/>
      <c r="BD15" s="72">
        <f t="shared" ref="BD15:BD46" si="12">IF($K15&lt;=$F$15,($AT15+$F$152)*$F$151,"")</f>
        <v>18863692.749842711</v>
      </c>
      <c r="BE15" s="72">
        <f>IF(ISNUMBER(BD15),BD15*$M15,"")</f>
        <v>18314264.805672534</v>
      </c>
      <c r="BF15" s="39"/>
      <c r="BG15" s="42">
        <f t="shared" ref="BG15:BG46" si="13">IF($K15&lt;=$F$15,$F$153*AY15,"")</f>
        <v>1978587.9782011036</v>
      </c>
      <c r="BH15" s="72">
        <f>IF(ISNUMBER(BG15),BG15*$M15,"")</f>
        <v>1920959.2021369939</v>
      </c>
      <c r="BI15" s="39"/>
      <c r="BJ15" s="40" t="str">
        <f>IF(ISNUMBER($F$16),IF($K15&lt;=$F$16+$F$28,1/(1+($F$17/100))^K15,""),"")</f>
        <v/>
      </c>
      <c r="BK15" s="157" t="str">
        <f>IF(ISNUMBER($F$16),IF($K15&lt;=$F$16+$F$28,IF($K15&lt;=$F$16,SUM(Y15,AB15,AE15,AH15,AK15,AN15,AQ15,AV15,BA15,BD15,BG15),$F$27/$F$28*10^8)*BJ15,""),"")</f>
        <v/>
      </c>
      <c r="BL15" s="157" t="str">
        <f t="shared" ref="BL15:BL78" si="14">IF(AND(ISNUMBER(BJ15),$K15&lt;=$F$16),BQ15*BJ15,"")</f>
        <v/>
      </c>
      <c r="BM15" s="72"/>
      <c r="BN15" s="72" t="str">
        <f>IF(AND(ISNUMBER($F$16),$K15&lt;=$F$16),BQ15*($O$15+$BK$116)/$BL$116,"")</f>
        <v/>
      </c>
      <c r="BO15" s="72" t="str">
        <f>IF(ISNUMBER(BN15),BN15*$M15,"")</f>
        <v/>
      </c>
      <c r="BP15" s="39"/>
      <c r="BQ15" s="72">
        <f t="shared" ref="BQ15:BQ46" si="15">IF($K15&lt;=$F$15,$F$134,"")</f>
        <v>4588488</v>
      </c>
      <c r="BR15" s="72">
        <f>IF(ISNUMBER(BQ15),BQ15*$M15,"")</f>
        <v>4454842.7184466021</v>
      </c>
    </row>
    <row r="16" spans="1:70" x14ac:dyDescent="0.15">
      <c r="C16" s="236" t="s">
        <v>107</v>
      </c>
      <c r="F16" s="88" t="str">
        <f>IF(ISERROR(VLOOKUP(F3&amp;IF(G4&lt;&gt;"","_"&amp;G4,""),'表7）買取期間・IRR'!$A$3:$A$10,1,0)),"",VLOOKUP(F3&amp;IF(G4&lt;&gt;"","_"&amp;G4,""),'表7）買取期間・IRR'!$A$3:$C$10,IF(F7=2030,4,IF(F7=2020,3,IF(F7=2014,2,"-"))),0))</f>
        <v/>
      </c>
      <c r="G16" s="81" t="s">
        <v>108</v>
      </c>
      <c r="I16" s="322">
        <f>I15+1</f>
        <v>2021</v>
      </c>
      <c r="J16" s="71"/>
      <c r="K16" s="71">
        <f>IF(I16&lt;&gt;"",K15+1,"")</f>
        <v>2</v>
      </c>
      <c r="L16" s="71"/>
      <c r="M16" s="7">
        <f t="shared" si="0"/>
        <v>0.94259590913375435</v>
      </c>
      <c r="N16" s="71"/>
      <c r="O16" s="10">
        <f t="shared" ref="O16:O79" si="16">IF(K16&lt;=$F$15,O15-V15,"")</f>
        <v>162435000</v>
      </c>
      <c r="P16" s="29">
        <f t="shared" si="1"/>
        <v>0.16700000000000001</v>
      </c>
      <c r="Q16" s="71"/>
      <c r="R16" s="10">
        <f t="shared" ref="R16:R47" si="17">IF($K16&lt;=$F$15,MAX($F$117*5%,R15*$F$129),"")</f>
        <v>167250700.22522435</v>
      </c>
      <c r="S16" s="71"/>
      <c r="T16" s="10">
        <f t="shared" ref="T16:T79" si="18">IF(ISNUMBER(R16),ROUNDDOWN(R16,-3),"")</f>
        <v>167250000</v>
      </c>
      <c r="U16" s="71"/>
      <c r="V16" s="10">
        <f t="shared" si="2"/>
        <v>27126645</v>
      </c>
      <c r="W16" s="10">
        <f t="shared" ref="W16:W79" si="19">IF(ISNUMBER(V16),V16*$M16,"")</f>
        <v>25569464.605523612</v>
      </c>
      <c r="X16" s="71"/>
      <c r="Y16" s="10">
        <f t="shared" si="3"/>
        <v>2341500</v>
      </c>
      <c r="Z16" s="10">
        <f t="shared" ref="Z16:Z79" si="20">IF(ISNUMBER(Y16),Y16*$M16,"")</f>
        <v>2207088.3212366858</v>
      </c>
      <c r="AA16" s="71"/>
      <c r="AB16" s="10">
        <f t="shared" si="4"/>
        <v>0</v>
      </c>
      <c r="AC16" s="10">
        <f t="shared" ref="AC16:AC79" si="21">IF(ISNUMBER(AB16),AB16*$M16,"")</f>
        <v>0</v>
      </c>
      <c r="AD16" s="71"/>
      <c r="AE16" s="10">
        <f t="shared" si="5"/>
        <v>0</v>
      </c>
      <c r="AF16" s="10">
        <f t="shared" ref="AF16:AF79" si="22">IF(ISNUMBER(AE16),AE16*$M16,"")</f>
        <v>0</v>
      </c>
      <c r="AG16" s="71"/>
      <c r="AH16" s="10">
        <f t="shared" si="6"/>
        <v>0</v>
      </c>
      <c r="AI16" s="10">
        <f t="shared" ref="AI16:AI79" si="23">IF(ISNUMBER(AH16),AH16*$M16,"")</f>
        <v>0</v>
      </c>
      <c r="AJ16" s="71"/>
      <c r="AK16" s="10">
        <f t="shared" ref="AK16:AK79" si="24">IF($K16&lt;=$F$15,$F$34*10^4*$F$13*10^4,"")</f>
        <v>11850000</v>
      </c>
      <c r="AL16" s="10">
        <f t="shared" ref="AL16:AL79" si="25">IF(ISNUMBER(AK16),AK16*$M16,"")</f>
        <v>11169761.523234989</v>
      </c>
      <c r="AM16" s="71"/>
      <c r="AN16" s="10">
        <f t="shared" si="7"/>
        <v>0</v>
      </c>
      <c r="AO16" s="10">
        <f t="shared" ref="AO16:AO79" si="26">IF(ISNUMBER(AN16),AN16*$M16,"")</f>
        <v>0</v>
      </c>
      <c r="AP16" s="71"/>
      <c r="AQ16" s="10">
        <f t="shared" si="8"/>
        <v>0</v>
      </c>
      <c r="AR16" s="10">
        <f t="shared" ref="AR16:AR79" si="27">IF(ISNUMBER(AQ16),AQ16*$M16,"")</f>
        <v>0</v>
      </c>
      <c r="AS16" s="71"/>
      <c r="AT16" s="7">
        <f>IF($K16&lt;=$F$15,IF($F$40&lt;&gt;"",$F$40/1000,IF(ISERROR(VLOOKUP($F$3&amp;IF($G$4&lt;&gt;"",$G$4,"")&amp;IF($F$43&lt;&gt;"","_"&amp;$F$43,""),'表3）燃料価格'!$AF$9:$AG$25,2,0)),0,VLOOKUP($I16,'表3）燃料価格'!$A$6:$U$66,VLOOKUP($F$3&amp;IF($G$4&lt;&gt;"",$G$4,"")&amp;IF($F$43&lt;&gt;"","_"&amp;$F$43,""),'表3）燃料価格'!$AF$9:$AG$25,2,0)+VLOOKUP($F$41,'表3）燃料価格'!$AF$28:$AG$29,2,0),0)*IF($F$43="需要地価格",1,$F$8/$F$141))),"")</f>
        <v>46.765204330952528</v>
      </c>
      <c r="AU16" s="71"/>
      <c r="AV16" s="10">
        <f t="shared" si="9"/>
        <v>67595701.986139029</v>
      </c>
      <c r="AW16" s="10">
        <f t="shared" si="10"/>
        <v>63715432.167159043</v>
      </c>
      <c r="AX16" s="71"/>
      <c r="AY16" s="7">
        <f>IF(ISERROR(IF($K16&lt;=$F$15,VLOOKUP($I16,'表4）CO2価格'!$A$7:$E$67,VLOOKUP($F$48,'表4）CO2価格'!$H$10:$I$12,2,0),0)*$F$8/1000,"")),0,IF($K16&lt;=$F$15,VLOOKUP($I16,'表4）CO2価格'!$A$7:$E$67,VLOOKUP($F$48,'表4）CO2価格'!$H$10:$I$12,2,0),0)*$F$8/1000,""))</f>
        <v>3.1243999999999805</v>
      </c>
      <c r="AZ16" s="71"/>
      <c r="BA16" s="11">
        <f t="shared" si="11"/>
        <v>11907106.46643932</v>
      </c>
      <c r="BB16" s="10">
        <f t="shared" ref="BB16:BB79" si="28">IF(ISNUMBER(BA16),BA16*$M16,"")</f>
        <v>11223589.844885776</v>
      </c>
      <c r="BC16" s="71"/>
      <c r="BD16" s="10">
        <f t="shared" si="12"/>
        <v>19180280.438566942</v>
      </c>
      <c r="BE16" s="10">
        <f t="shared" ref="BE16:BE79" si="29">IF(ISNUMBER(BD16),BD16*$M16,"")</f>
        <v>18079253.87743137</v>
      </c>
      <c r="BF16" s="71"/>
      <c r="BG16" s="11">
        <f t="shared" si="13"/>
        <v>3378641.4598521558</v>
      </c>
      <c r="BH16" s="10">
        <f t="shared" ref="BH16:BH79" si="30">IF(ISNUMBER(BG16),BG16*$M16,"")</f>
        <v>3184693.6184863378</v>
      </c>
      <c r="BJ16" s="7" t="str">
        <f t="shared" ref="BJ16:BJ79" si="31">IF(ISNUMBER($F$16),IF($K16&lt;=$F$16+$F$28,1/(1+($F$17/100))^K16,""),"")</f>
        <v/>
      </c>
      <c r="BK16" s="158" t="str">
        <f t="shared" ref="BK16:BK79" si="32">IF(ISNUMBER($F$16),IF($K16&lt;=$F$16+$F$28,IF($K16&lt;=$F$16,SUM(Y16,AB16,AE16,AH16,AK16,AN16,AQ16,AV16,BA16,BD16,BG16),$F$27/$F$28*10^8)*BJ16,""),"")</f>
        <v/>
      </c>
      <c r="BL16" s="158" t="str">
        <f t="shared" si="14"/>
        <v/>
      </c>
      <c r="BM16" s="10"/>
      <c r="BN16" s="10" t="str">
        <f t="shared" ref="BN16:BN79" si="33">IF(AND(ISNUMBER($F$16),$K16&lt;=$F$16),BQ16*($O$15+$BK$116)/$BL$116,"")</f>
        <v/>
      </c>
      <c r="BO16" s="10" t="str">
        <f t="shared" ref="BO16:BO79" si="34">IF(ISNUMBER(BN16),BN16*$M16,"")</f>
        <v/>
      </c>
      <c r="BQ16" s="10">
        <f t="shared" si="15"/>
        <v>4588488</v>
      </c>
      <c r="BR16" s="10">
        <f t="shared" ref="BR16:BR79" si="35">IF(ISNUMBER(BQ16),BQ16*$M16,"")</f>
        <v>4325090.0179093219</v>
      </c>
    </row>
    <row r="17" spans="3:70" x14ac:dyDescent="0.15">
      <c r="C17" s="9" t="s">
        <v>109</v>
      </c>
      <c r="F17" s="143" t="str">
        <f>IF(ISERROR(VLOOKUP(F3&amp;IF(G4&lt;&gt;"","_"&amp;G4,""),'表7）買取期間・IRR'!$A$14:$A$21,1,0)),"",VLOOKUP(F3&amp;IF(G4&lt;&gt;"","_"&amp;G4,""),'表7）買取期間・IRR'!$A$14:$C$21,IF(F7=2030,4,IF(F7=2020,3,IF(F7=2014,2,"-"))),0))</f>
        <v/>
      </c>
      <c r="G17" s="81" t="s">
        <v>172</v>
      </c>
      <c r="I17" s="38">
        <f t="shared" ref="I17:I80" si="36">I16+1</f>
        <v>2022</v>
      </c>
      <c r="J17" s="39"/>
      <c r="K17" s="39">
        <f t="shared" ref="K17:K80" si="37">IF(I17&lt;&gt;"",K16+1,"")</f>
        <v>3</v>
      </c>
      <c r="L17" s="39"/>
      <c r="M17" s="40">
        <f t="shared" si="0"/>
        <v>0.91514165935315961</v>
      </c>
      <c r="N17" s="39"/>
      <c r="O17" s="72">
        <f t="shared" si="16"/>
        <v>135308355</v>
      </c>
      <c r="P17" s="41">
        <f t="shared" si="1"/>
        <v>0.16700000000000001</v>
      </c>
      <c r="Q17" s="39"/>
      <c r="R17" s="72">
        <f t="shared" si="17"/>
        <v>143450239.61963004</v>
      </c>
      <c r="S17" s="39"/>
      <c r="T17" s="72">
        <f t="shared" si="18"/>
        <v>143450000</v>
      </c>
      <c r="U17" s="39"/>
      <c r="V17" s="72">
        <f t="shared" si="2"/>
        <v>22596495.285</v>
      </c>
      <c r="W17" s="72">
        <f t="shared" si="19"/>
        <v>20678994.190680746</v>
      </c>
      <c r="X17" s="39"/>
      <c r="Y17" s="72">
        <f t="shared" si="3"/>
        <v>2008300</v>
      </c>
      <c r="Z17" s="72">
        <f t="shared" si="20"/>
        <v>1837878.9944789505</v>
      </c>
      <c r="AA17" s="39"/>
      <c r="AB17" s="72">
        <f t="shared" si="4"/>
        <v>0</v>
      </c>
      <c r="AC17" s="72">
        <f t="shared" si="21"/>
        <v>0</v>
      </c>
      <c r="AD17" s="39"/>
      <c r="AE17" s="72">
        <f t="shared" si="5"/>
        <v>0</v>
      </c>
      <c r="AF17" s="72">
        <f t="shared" si="22"/>
        <v>0</v>
      </c>
      <c r="AG17" s="39"/>
      <c r="AH17" s="72">
        <f t="shared" si="6"/>
        <v>0</v>
      </c>
      <c r="AI17" s="72">
        <f t="shared" si="23"/>
        <v>0</v>
      </c>
      <c r="AJ17" s="39"/>
      <c r="AK17" s="72">
        <f t="shared" si="24"/>
        <v>11850000</v>
      </c>
      <c r="AL17" s="72">
        <f t="shared" si="25"/>
        <v>10844428.663334941</v>
      </c>
      <c r="AM17" s="39"/>
      <c r="AN17" s="72">
        <f t="shared" si="7"/>
        <v>0</v>
      </c>
      <c r="AO17" s="72">
        <f t="shared" si="26"/>
        <v>0</v>
      </c>
      <c r="AP17" s="39"/>
      <c r="AQ17" s="72">
        <f t="shared" si="8"/>
        <v>0</v>
      </c>
      <c r="AR17" s="72">
        <f t="shared" si="27"/>
        <v>0</v>
      </c>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47.66255066753417</v>
      </c>
      <c r="AU17" s="39"/>
      <c r="AV17" s="72">
        <f t="shared" si="9"/>
        <v>68711429.523493126</v>
      </c>
      <c r="AW17" s="72">
        <f t="shared" si="10"/>
        <v>62880691.630657181</v>
      </c>
      <c r="AX17" s="39"/>
      <c r="AY17" s="40">
        <f>IF(ISERROR(IF($K17&lt;=$F$15,VLOOKUP($I17,'表4）CO2価格'!$A$7:$E$67,VLOOKUP($F$48,'表4）CO2価格'!$H$10:$I$12,2,0),0)*$F$8/1000,"")),0,IF($K17&lt;=$F$15,VLOOKUP($I17,'表4）CO2価格'!$A$7:$E$67,VLOOKUP($F$48,'表4）CO2価格'!$H$10:$I$12,2,0),0)*$F$8/1000,""))</f>
        <v>3.2528000000000099</v>
      </c>
      <c r="AZ17" s="39"/>
      <c r="BA17" s="42">
        <f t="shared" si="11"/>
        <v>12396439.608895844</v>
      </c>
      <c r="BB17" s="72">
        <f t="shared" si="28"/>
        <v>11344498.313756175</v>
      </c>
      <c r="BC17" s="39"/>
      <c r="BD17" s="72">
        <f t="shared" si="12"/>
        <v>19496868.127291169</v>
      </c>
      <c r="BE17" s="72">
        <f t="shared" si="29"/>
        <v>17842396.250198971</v>
      </c>
      <c r="BF17" s="39"/>
      <c r="BG17" s="42">
        <f t="shared" si="13"/>
        <v>3517489.7390241949</v>
      </c>
      <c r="BH17" s="72">
        <f t="shared" si="30"/>
        <v>3219001.3965283139</v>
      </c>
      <c r="BI17" s="39"/>
      <c r="BJ17" s="40" t="str">
        <f t="shared" si="31"/>
        <v/>
      </c>
      <c r="BK17" s="157" t="str">
        <f t="shared" si="32"/>
        <v/>
      </c>
      <c r="BL17" s="157" t="str">
        <f t="shared" si="14"/>
        <v/>
      </c>
      <c r="BM17" s="72"/>
      <c r="BN17" s="72" t="str">
        <f t="shared" si="33"/>
        <v/>
      </c>
      <c r="BO17" s="72" t="str">
        <f t="shared" si="34"/>
        <v/>
      </c>
      <c r="BP17" s="39"/>
      <c r="BQ17" s="72">
        <f t="shared" si="15"/>
        <v>4588488</v>
      </c>
      <c r="BR17" s="72">
        <f t="shared" si="35"/>
        <v>4199116.5222420609</v>
      </c>
    </row>
    <row r="18" spans="3:70" x14ac:dyDescent="0.15">
      <c r="I18" s="322">
        <f t="shared" si="36"/>
        <v>2023</v>
      </c>
      <c r="J18" s="71"/>
      <c r="K18" s="71">
        <f t="shared" si="37"/>
        <v>4</v>
      </c>
      <c r="L18" s="71"/>
      <c r="M18" s="7">
        <f t="shared" si="0"/>
        <v>0.888487047915689</v>
      </c>
      <c r="N18" s="71"/>
      <c r="O18" s="10">
        <f t="shared" si="16"/>
        <v>112711859.715</v>
      </c>
      <c r="P18" s="29">
        <f t="shared" si="1"/>
        <v>0.16700000000000001</v>
      </c>
      <c r="Q18" s="71"/>
      <c r="R18" s="10">
        <f t="shared" si="17"/>
        <v>123036682.17363767</v>
      </c>
      <c r="S18" s="71"/>
      <c r="T18" s="10">
        <f t="shared" si="18"/>
        <v>123036000</v>
      </c>
      <c r="U18" s="71"/>
      <c r="V18" s="10">
        <f t="shared" si="2"/>
        <v>18822880.572405003</v>
      </c>
      <c r="W18" s="10">
        <f t="shared" si="19"/>
        <v>16723885.593045695</v>
      </c>
      <c r="X18" s="71"/>
      <c r="Y18" s="10">
        <f t="shared" si="3"/>
        <v>1722500</v>
      </c>
      <c r="Z18" s="10">
        <f t="shared" si="20"/>
        <v>1530418.9400347744</v>
      </c>
      <c r="AA18" s="71"/>
      <c r="AB18" s="10">
        <f t="shared" si="4"/>
        <v>0</v>
      </c>
      <c r="AC18" s="10">
        <f t="shared" si="21"/>
        <v>0</v>
      </c>
      <c r="AD18" s="71"/>
      <c r="AE18" s="10">
        <f t="shared" si="5"/>
        <v>0</v>
      </c>
      <c r="AF18" s="10">
        <f t="shared" si="22"/>
        <v>0</v>
      </c>
      <c r="AG18" s="71"/>
      <c r="AH18" s="10">
        <f t="shared" si="6"/>
        <v>0</v>
      </c>
      <c r="AI18" s="10">
        <f t="shared" si="23"/>
        <v>0</v>
      </c>
      <c r="AJ18" s="71"/>
      <c r="AK18" s="10">
        <f t="shared" si="24"/>
        <v>11850000</v>
      </c>
      <c r="AL18" s="10">
        <f t="shared" si="25"/>
        <v>10528571.517800914</v>
      </c>
      <c r="AM18" s="71"/>
      <c r="AN18" s="10">
        <f t="shared" si="7"/>
        <v>0</v>
      </c>
      <c r="AO18" s="10">
        <f t="shared" si="26"/>
        <v>0</v>
      </c>
      <c r="AP18" s="71"/>
      <c r="AQ18" s="10">
        <f t="shared" si="8"/>
        <v>0</v>
      </c>
      <c r="AR18" s="10">
        <f t="shared" si="27"/>
        <v>0</v>
      </c>
      <c r="AS18" s="71"/>
      <c r="AT18" s="7">
        <f>IF($K18&lt;=$F$15,IF($F$40&lt;&gt;"",$F$40/1000,IF(ISERROR(VLOOKUP($F$3&amp;IF($G$4&lt;&gt;"",$G$4,"")&amp;IF($F$43&lt;&gt;"","_"&amp;$F$43,""),'表3）燃料価格'!$AF$9:$AG$25,2,0)),0,VLOOKUP($I18,'表3）燃料価格'!$A$6:$U$66,VLOOKUP($F$3&amp;IF($G$4&lt;&gt;"",$G$4,"")&amp;IF($F$43&lt;&gt;"","_"&amp;$F$43,""),'表3）燃料価格'!$AF$9:$AG$25,2,0)+VLOOKUP($F$41,'表3）燃料価格'!$AF$28:$AG$29,2,0),0)*IF($F$43="需要地価格",1,$F$8/$F$141))),"")</f>
        <v>48.559897004115811</v>
      </c>
      <c r="AU18" s="71"/>
      <c r="AV18" s="10">
        <f t="shared" si="9"/>
        <v>69827157.060847223</v>
      </c>
      <c r="AW18" s="10">
        <f t="shared" si="10"/>
        <v>62040524.641337305</v>
      </c>
      <c r="AX18" s="71"/>
      <c r="AY18" s="7">
        <f>IF(ISERROR(IF($K18&lt;=$F$15,VLOOKUP($I18,'表4）CO2価格'!$A$7:$E$67,VLOOKUP($F$48,'表4）CO2価格'!$H$10:$I$12,2,0),0)*$F$8/1000,"")),0,IF($K18&lt;=$F$15,VLOOKUP($I18,'表4）CO2価格'!$A$7:$E$67,VLOOKUP($F$48,'表4）CO2価格'!$H$10:$I$12,2,0),0)*$F$8/1000,""))</f>
        <v>3.3811999999999904</v>
      </c>
      <c r="AZ18" s="71"/>
      <c r="BA18" s="11">
        <f t="shared" si="11"/>
        <v>12885772.751352184</v>
      </c>
      <c r="BB18" s="10">
        <f t="shared" si="28"/>
        <v>11448842.191961328</v>
      </c>
      <c r="BC18" s="71"/>
      <c r="BD18" s="10">
        <f t="shared" si="12"/>
        <v>19813455.816015396</v>
      </c>
      <c r="BE18" s="10">
        <f t="shared" si="29"/>
        <v>17603998.866979457</v>
      </c>
      <c r="BF18" s="71"/>
      <c r="BG18" s="11">
        <f t="shared" si="13"/>
        <v>3656338.0181961809</v>
      </c>
      <c r="BH18" s="10">
        <f t="shared" si="30"/>
        <v>3248608.9719690257</v>
      </c>
      <c r="BJ18" s="7" t="str">
        <f t="shared" si="31"/>
        <v/>
      </c>
      <c r="BK18" s="158" t="str">
        <f t="shared" si="32"/>
        <v/>
      </c>
      <c r="BL18" s="158" t="str">
        <f t="shared" si="14"/>
        <v/>
      </c>
      <c r="BM18" s="10"/>
      <c r="BN18" s="10" t="str">
        <f t="shared" si="33"/>
        <v/>
      </c>
      <c r="BO18" s="10" t="str">
        <f t="shared" si="34"/>
        <v/>
      </c>
      <c r="BQ18" s="10">
        <f t="shared" si="15"/>
        <v>4588488</v>
      </c>
      <c r="BR18" s="10">
        <f t="shared" si="35"/>
        <v>4076812.1575165638</v>
      </c>
    </row>
    <row r="19" spans="3:70" x14ac:dyDescent="0.15">
      <c r="C19" s="89" t="s">
        <v>371</v>
      </c>
      <c r="D19" s="101"/>
      <c r="E19" s="101"/>
      <c r="F19" s="89"/>
      <c r="G19" s="101"/>
      <c r="I19" s="38">
        <f t="shared" si="36"/>
        <v>2024</v>
      </c>
      <c r="J19" s="39"/>
      <c r="K19" s="39">
        <f t="shared" si="37"/>
        <v>5</v>
      </c>
      <c r="L19" s="39"/>
      <c r="M19" s="40">
        <f t="shared" si="0"/>
        <v>0.86260878438416411</v>
      </c>
      <c r="N19" s="39"/>
      <c r="O19" s="72">
        <f t="shared" si="16"/>
        <v>93888979.142594993</v>
      </c>
      <c r="P19" s="41">
        <f t="shared" si="1"/>
        <v>0.16700000000000001</v>
      </c>
      <c r="Q19" s="39"/>
      <c r="R19" s="72">
        <f t="shared" si="17"/>
        <v>105528057.6765604</v>
      </c>
      <c r="S19" s="39"/>
      <c r="T19" s="72">
        <f t="shared" si="18"/>
        <v>105528000</v>
      </c>
      <c r="U19" s="39"/>
      <c r="V19" s="72">
        <f t="shared" si="2"/>
        <v>15679459.516813364</v>
      </c>
      <c r="W19" s="72">
        <f t="shared" si="19"/>
        <v>13525239.513599088</v>
      </c>
      <c r="X19" s="39"/>
      <c r="Y19" s="72">
        <f t="shared" si="3"/>
        <v>1477300</v>
      </c>
      <c r="Z19" s="72">
        <f t="shared" si="20"/>
        <v>1274331.9571707256</v>
      </c>
      <c r="AA19" s="39"/>
      <c r="AB19" s="72">
        <f t="shared" si="4"/>
        <v>0</v>
      </c>
      <c r="AC19" s="72">
        <f t="shared" si="21"/>
        <v>0</v>
      </c>
      <c r="AD19" s="39"/>
      <c r="AE19" s="72">
        <f t="shared" si="5"/>
        <v>0</v>
      </c>
      <c r="AF19" s="72">
        <f t="shared" si="22"/>
        <v>0</v>
      </c>
      <c r="AG19" s="39"/>
      <c r="AH19" s="72">
        <f t="shared" si="6"/>
        <v>0</v>
      </c>
      <c r="AI19" s="72">
        <f t="shared" si="23"/>
        <v>0</v>
      </c>
      <c r="AJ19" s="39"/>
      <c r="AK19" s="72">
        <f t="shared" si="24"/>
        <v>11850000</v>
      </c>
      <c r="AL19" s="72">
        <f t="shared" si="25"/>
        <v>10221914.094952345</v>
      </c>
      <c r="AM19" s="39"/>
      <c r="AN19" s="72">
        <f t="shared" si="7"/>
        <v>0</v>
      </c>
      <c r="AO19" s="72">
        <f t="shared" si="26"/>
        <v>0</v>
      </c>
      <c r="AP19" s="39"/>
      <c r="AQ19" s="72">
        <f t="shared" si="8"/>
        <v>0</v>
      </c>
      <c r="AR19" s="72">
        <f t="shared" si="27"/>
        <v>0</v>
      </c>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49.457243340697467</v>
      </c>
      <c r="AU19" s="39"/>
      <c r="AV19" s="72">
        <f t="shared" si="9"/>
        <v>70942884.598201349</v>
      </c>
      <c r="AW19" s="72">
        <f t="shared" si="10"/>
        <v>61195955.443960503</v>
      </c>
      <c r="AX19" s="39"/>
      <c r="AY19" s="40">
        <f>IF(ISERROR(IF($K19&lt;=$F$15,VLOOKUP($I19,'表4）CO2価格'!$A$7:$E$67,VLOOKUP($F$48,'表4）CO2価格'!$H$10:$I$12,2,0),0)*$F$8/1000,"")),0,IF($K19&lt;=$F$15,VLOOKUP($I19,'表4）CO2価格'!$A$7:$E$67,VLOOKUP($F$48,'表4）CO2価格'!$H$10:$I$12,2,0),0)*$F$8/1000,""))</f>
        <v>3.509599999999971</v>
      </c>
      <c r="AZ19" s="39"/>
      <c r="BA19" s="42">
        <f t="shared" si="11"/>
        <v>13375105.893808523</v>
      </c>
      <c r="BB19" s="72">
        <f t="shared" si="28"/>
        <v>11537483.836067639</v>
      </c>
      <c r="BC19" s="39"/>
      <c r="BD19" s="72">
        <f t="shared" si="12"/>
        <v>20130043.504739627</v>
      </c>
      <c r="BE19" s="72">
        <f t="shared" si="29"/>
        <v>17364352.357223786</v>
      </c>
      <c r="BF19" s="39"/>
      <c r="BG19" s="42">
        <f t="shared" si="13"/>
        <v>3795186.2973681674</v>
      </c>
      <c r="BH19" s="72">
        <f t="shared" si="30"/>
        <v>3273761.0384841915</v>
      </c>
      <c r="BI19" s="39"/>
      <c r="BJ19" s="40" t="str">
        <f t="shared" si="31"/>
        <v/>
      </c>
      <c r="BK19" s="157" t="str">
        <f t="shared" si="32"/>
        <v/>
      </c>
      <c r="BL19" s="157" t="str">
        <f t="shared" si="14"/>
        <v/>
      </c>
      <c r="BM19" s="72"/>
      <c r="BN19" s="72" t="str">
        <f t="shared" si="33"/>
        <v/>
      </c>
      <c r="BO19" s="72" t="str">
        <f t="shared" si="34"/>
        <v/>
      </c>
      <c r="BP19" s="39"/>
      <c r="BQ19" s="72">
        <f t="shared" si="15"/>
        <v>4588488</v>
      </c>
      <c r="BR19" s="72">
        <f t="shared" si="35"/>
        <v>3958070.0558413244</v>
      </c>
    </row>
    <row r="20" spans="3:70" x14ac:dyDescent="0.15">
      <c r="I20" s="322">
        <f t="shared" si="36"/>
        <v>2025</v>
      </c>
      <c r="J20" s="71"/>
      <c r="K20" s="71">
        <f t="shared" si="37"/>
        <v>6</v>
      </c>
      <c r="L20" s="71"/>
      <c r="M20" s="7">
        <f t="shared" si="0"/>
        <v>0.83748425668365445</v>
      </c>
      <c r="N20" s="71"/>
      <c r="O20" s="10">
        <f t="shared" si="16"/>
        <v>78209519.625781626</v>
      </c>
      <c r="P20" s="29">
        <f t="shared" si="1"/>
        <v>0.16700000000000001</v>
      </c>
      <c r="Q20" s="71"/>
      <c r="R20" s="10">
        <f t="shared" si="17"/>
        <v>90510982.255449176</v>
      </c>
      <c r="S20" s="71"/>
      <c r="T20" s="10">
        <f t="shared" si="18"/>
        <v>90510000</v>
      </c>
      <c r="U20" s="71"/>
      <c r="V20" s="10">
        <f t="shared" si="2"/>
        <v>13060989.777505532</v>
      </c>
      <c r="W20" s="10">
        <f t="shared" si="19"/>
        <v>10938373.31536703</v>
      </c>
      <c r="X20" s="71"/>
      <c r="Y20" s="10">
        <f t="shared" si="3"/>
        <v>1267100</v>
      </c>
      <c r="Z20" s="10">
        <f t="shared" si="20"/>
        <v>1061176.3016438587</v>
      </c>
      <c r="AA20" s="71"/>
      <c r="AB20" s="10">
        <f t="shared" si="4"/>
        <v>0</v>
      </c>
      <c r="AC20" s="10">
        <f t="shared" si="21"/>
        <v>0</v>
      </c>
      <c r="AD20" s="71"/>
      <c r="AE20" s="10">
        <f t="shared" si="5"/>
        <v>0</v>
      </c>
      <c r="AF20" s="10">
        <f t="shared" si="22"/>
        <v>0</v>
      </c>
      <c r="AG20" s="71"/>
      <c r="AH20" s="10">
        <f t="shared" si="6"/>
        <v>0</v>
      </c>
      <c r="AI20" s="10">
        <f t="shared" si="23"/>
        <v>0</v>
      </c>
      <c r="AJ20" s="71"/>
      <c r="AK20" s="10">
        <f t="shared" si="24"/>
        <v>11850000</v>
      </c>
      <c r="AL20" s="10">
        <f t="shared" si="25"/>
        <v>9924188.441701306</v>
      </c>
      <c r="AM20" s="71"/>
      <c r="AN20" s="10">
        <f t="shared" si="7"/>
        <v>0</v>
      </c>
      <c r="AO20" s="10">
        <f t="shared" si="26"/>
        <v>0</v>
      </c>
      <c r="AP20" s="71"/>
      <c r="AQ20" s="10">
        <f t="shared" si="8"/>
        <v>0</v>
      </c>
      <c r="AR20" s="10">
        <f t="shared" si="27"/>
        <v>0</v>
      </c>
      <c r="AS20" s="71"/>
      <c r="AT20" s="7">
        <f>IF($K20&lt;=$F$15,IF($F$40&lt;&gt;"",$F$40/1000,IF(ISERROR(VLOOKUP($F$3&amp;IF($G$4&lt;&gt;"",$G$4,"")&amp;IF($F$43&lt;&gt;"","_"&amp;$F$43,""),'表3）燃料価格'!$AF$9:$AG$25,2,0)),0,VLOOKUP($I20,'表3）燃料価格'!$A$6:$U$66,VLOOKUP($F$3&amp;IF($G$4&lt;&gt;"",$G$4,"")&amp;IF($F$43&lt;&gt;"","_"&amp;$F$43,""),'表3）燃料価格'!$AF$9:$AG$25,2,0)+VLOOKUP($F$41,'表3）燃料価格'!$AF$28:$AG$29,2,0),0)*IF($F$43="需要地価格",1,$F$8/$F$141))),"")</f>
        <v>50.354589677279108</v>
      </c>
      <c r="AU20" s="71"/>
      <c r="AV20" s="10">
        <f t="shared" si="9"/>
        <v>72058612.135555446</v>
      </c>
      <c r="AW20" s="10">
        <f t="shared" si="10"/>
        <v>60347953.222001411</v>
      </c>
      <c r="AX20" s="71"/>
      <c r="AY20" s="7">
        <f>IF(ISERROR(IF($K20&lt;=$F$15,VLOOKUP($I20,'表4）CO2価格'!$A$7:$E$67,VLOOKUP($F$48,'表4）CO2価格'!$H$10:$I$12,2,0),0)*$F$8/1000,"")),0,IF($K20&lt;=$F$15,VLOOKUP($I20,'表4）CO2価格'!$A$7:$E$67,VLOOKUP($F$48,'表4）CO2価格'!$H$10:$I$12,2,0),0)*$F$8/1000,""))</f>
        <v>3.6379999999999999</v>
      </c>
      <c r="AZ20" s="71"/>
      <c r="BA20" s="11">
        <f t="shared" si="11"/>
        <v>13864439.036265047</v>
      </c>
      <c r="BB20" s="10">
        <f t="shared" si="28"/>
        <v>11611249.420622276</v>
      </c>
      <c r="BC20" s="71"/>
      <c r="BD20" s="10">
        <f t="shared" si="12"/>
        <v>20446631.193463854</v>
      </c>
      <c r="BE20" s="10">
        <f t="shared" si="29"/>
        <v>17123731.726742897</v>
      </c>
      <c r="BF20" s="71"/>
      <c r="BG20" s="11">
        <f t="shared" si="13"/>
        <v>3934034.5765402056</v>
      </c>
      <c r="BH20" s="10">
        <f t="shared" si="30"/>
        <v>3294692.0231015696</v>
      </c>
      <c r="BJ20" s="7" t="str">
        <f t="shared" si="31"/>
        <v/>
      </c>
      <c r="BK20" s="158" t="str">
        <f t="shared" si="32"/>
        <v/>
      </c>
      <c r="BL20" s="158" t="str">
        <f t="shared" si="14"/>
        <v/>
      </c>
      <c r="BM20" s="10"/>
      <c r="BN20" s="10" t="str">
        <f t="shared" si="33"/>
        <v/>
      </c>
      <c r="BO20" s="10" t="str">
        <f t="shared" si="34"/>
        <v/>
      </c>
      <c r="BQ20" s="10">
        <f t="shared" si="15"/>
        <v>4588488</v>
      </c>
      <c r="BR20" s="10">
        <f t="shared" si="35"/>
        <v>3842786.4619818684</v>
      </c>
    </row>
    <row r="21" spans="3:70" x14ac:dyDescent="0.15">
      <c r="D21" s="81" t="s">
        <v>110</v>
      </c>
      <c r="F21" s="67">
        <v>13</v>
      </c>
      <c r="G21" s="81" t="s">
        <v>174</v>
      </c>
      <c r="I21" s="38">
        <f t="shared" si="36"/>
        <v>2026</v>
      </c>
      <c r="J21" s="39"/>
      <c r="K21" s="39">
        <f t="shared" si="37"/>
        <v>7</v>
      </c>
      <c r="L21" s="39"/>
      <c r="M21" s="40">
        <f t="shared" si="0"/>
        <v>0.81309151134335378</v>
      </c>
      <c r="N21" s="39"/>
      <c r="O21" s="72">
        <f t="shared" si="16"/>
        <v>65148529.848276094</v>
      </c>
      <c r="P21" s="41">
        <f t="shared" si="1"/>
        <v>0.16700000000000001</v>
      </c>
      <c r="Q21" s="39"/>
      <c r="R21" s="72">
        <f t="shared" si="17"/>
        <v>77630898.257931948</v>
      </c>
      <c r="S21" s="39"/>
      <c r="T21" s="72">
        <f t="shared" si="18"/>
        <v>77630000</v>
      </c>
      <c r="U21" s="39"/>
      <c r="V21" s="72">
        <f t="shared" si="2"/>
        <v>10879804.484662108</v>
      </c>
      <c r="W21" s="72">
        <f t="shared" si="19"/>
        <v>8846276.6715541109</v>
      </c>
      <c r="X21" s="39"/>
      <c r="Y21" s="72">
        <f t="shared" si="3"/>
        <v>1086800</v>
      </c>
      <c r="Z21" s="72">
        <f t="shared" si="20"/>
        <v>883667.85452795692</v>
      </c>
      <c r="AA21" s="39"/>
      <c r="AB21" s="72">
        <f t="shared" si="4"/>
        <v>0</v>
      </c>
      <c r="AC21" s="72">
        <f t="shared" si="21"/>
        <v>0</v>
      </c>
      <c r="AD21" s="39"/>
      <c r="AE21" s="72">
        <f t="shared" si="5"/>
        <v>0</v>
      </c>
      <c r="AF21" s="72">
        <f t="shared" si="22"/>
        <v>0</v>
      </c>
      <c r="AG21" s="39"/>
      <c r="AH21" s="72">
        <f t="shared" si="6"/>
        <v>0</v>
      </c>
      <c r="AI21" s="72">
        <f t="shared" si="23"/>
        <v>0</v>
      </c>
      <c r="AJ21" s="39"/>
      <c r="AK21" s="72">
        <f t="shared" si="24"/>
        <v>11850000</v>
      </c>
      <c r="AL21" s="72">
        <f t="shared" si="25"/>
        <v>9635134.4094187431</v>
      </c>
      <c r="AM21" s="39"/>
      <c r="AN21" s="72">
        <f t="shared" si="7"/>
        <v>0</v>
      </c>
      <c r="AO21" s="72">
        <f t="shared" si="26"/>
        <v>0</v>
      </c>
      <c r="AP21" s="39"/>
      <c r="AQ21" s="72">
        <f t="shared" si="8"/>
        <v>0</v>
      </c>
      <c r="AR21" s="72">
        <f t="shared" si="27"/>
        <v>0</v>
      </c>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50.982732112886268</v>
      </c>
      <c r="AU21" s="39"/>
      <c r="AV21" s="72">
        <f t="shared" si="9"/>
        <v>72839621.411703333</v>
      </c>
      <c r="AW21" s="72">
        <f t="shared" si="10"/>
        <v>59225277.859319575</v>
      </c>
      <c r="AX21" s="39"/>
      <c r="AY21" s="40">
        <f>IF(ISERROR(IF($K21&lt;=$F$15,VLOOKUP($I21,'表4）CO2価格'!$A$7:$E$67,VLOOKUP($F$48,'表4）CO2価格'!$H$10:$I$12,2,0),0)*$F$8/1000,"")),0,IF($K21&lt;=$F$15,VLOOKUP($I21,'表4）CO2価格'!$A$7:$E$67,VLOOKUP($F$48,'表4）CO2価格'!$H$10:$I$12,2,0),0)*$F$8/1000,""))</f>
        <v>3.7663999999999804</v>
      </c>
      <c r="AZ21" s="39"/>
      <c r="BA21" s="42">
        <f t="shared" si="11"/>
        <v>14353772.178721387</v>
      </c>
      <c r="BB21" s="72">
        <f t="shared" si="28"/>
        <v>11670930.314274756</v>
      </c>
      <c r="BC21" s="39"/>
      <c r="BD21" s="72">
        <f t="shared" si="12"/>
        <v>20668242.575570818</v>
      </c>
      <c r="BE21" s="72">
        <f t="shared" si="29"/>
        <v>16805172.592581928</v>
      </c>
      <c r="BF21" s="39"/>
      <c r="BG21" s="42">
        <f t="shared" si="13"/>
        <v>4072882.8557121921</v>
      </c>
      <c r="BH21" s="72">
        <f t="shared" si="30"/>
        <v>3311626.476675461</v>
      </c>
      <c r="BI21" s="39"/>
      <c r="BJ21" s="40" t="str">
        <f t="shared" si="31"/>
        <v/>
      </c>
      <c r="BK21" s="157" t="str">
        <f t="shared" si="32"/>
        <v/>
      </c>
      <c r="BL21" s="157" t="str">
        <f t="shared" si="14"/>
        <v/>
      </c>
      <c r="BM21" s="72"/>
      <c r="BN21" s="72" t="str">
        <f t="shared" si="33"/>
        <v/>
      </c>
      <c r="BO21" s="72" t="str">
        <f t="shared" si="34"/>
        <v/>
      </c>
      <c r="BP21" s="39"/>
      <c r="BQ21" s="72">
        <f t="shared" si="15"/>
        <v>4588488</v>
      </c>
      <c r="BR21" s="72">
        <f t="shared" si="35"/>
        <v>3730860.6427008426</v>
      </c>
    </row>
    <row r="22" spans="3:70" ht="16.5" x14ac:dyDescent="0.15">
      <c r="D22" s="81" t="s">
        <v>111</v>
      </c>
      <c r="F22" s="90">
        <f>IF($F$43="需要地価格",38.9,41.63)</f>
        <v>41.63</v>
      </c>
      <c r="G22" s="9" t="s">
        <v>372</v>
      </c>
      <c r="I22" s="322">
        <f t="shared" si="36"/>
        <v>2027</v>
      </c>
      <c r="J22" s="71"/>
      <c r="K22" s="71">
        <f t="shared" si="37"/>
        <v>8</v>
      </c>
      <c r="L22" s="71"/>
      <c r="M22" s="7">
        <f t="shared" si="0"/>
        <v>0.78940923431393573</v>
      </c>
      <c r="N22" s="71"/>
      <c r="O22" s="10">
        <f t="shared" si="16"/>
        <v>54268725.363613985</v>
      </c>
      <c r="P22" s="29">
        <f t="shared" si="1"/>
        <v>0.16700000000000001</v>
      </c>
      <c r="Q22" s="71"/>
      <c r="R22" s="10">
        <f t="shared" si="17"/>
        <v>66583703.039755218</v>
      </c>
      <c r="S22" s="71"/>
      <c r="T22" s="10">
        <f t="shared" si="18"/>
        <v>66583000</v>
      </c>
      <c r="U22" s="71"/>
      <c r="V22" s="10">
        <f t="shared" si="2"/>
        <v>9062877.1357235368</v>
      </c>
      <c r="W22" s="10">
        <f t="shared" si="19"/>
        <v>7154318.9003927922</v>
      </c>
      <c r="X22" s="71"/>
      <c r="Y22" s="10">
        <f t="shared" si="3"/>
        <v>932100</v>
      </c>
      <c r="Z22" s="10">
        <f t="shared" si="20"/>
        <v>735808.34730401949</v>
      </c>
      <c r="AA22" s="71"/>
      <c r="AB22" s="10">
        <f t="shared" si="4"/>
        <v>0</v>
      </c>
      <c r="AC22" s="10">
        <f t="shared" si="21"/>
        <v>0</v>
      </c>
      <c r="AD22" s="71"/>
      <c r="AE22" s="10">
        <f t="shared" si="5"/>
        <v>0</v>
      </c>
      <c r="AF22" s="10">
        <f t="shared" si="22"/>
        <v>0</v>
      </c>
      <c r="AG22" s="71"/>
      <c r="AH22" s="10">
        <f t="shared" si="6"/>
        <v>0</v>
      </c>
      <c r="AI22" s="10">
        <f t="shared" si="23"/>
        <v>0</v>
      </c>
      <c r="AJ22" s="71"/>
      <c r="AK22" s="10">
        <f t="shared" si="24"/>
        <v>11850000</v>
      </c>
      <c r="AL22" s="10">
        <f t="shared" si="25"/>
        <v>9354499.4266201388</v>
      </c>
      <c r="AM22" s="71"/>
      <c r="AN22" s="10">
        <f t="shared" si="7"/>
        <v>0</v>
      </c>
      <c r="AO22" s="10">
        <f t="shared" si="26"/>
        <v>0</v>
      </c>
      <c r="AP22" s="71"/>
      <c r="AQ22" s="10">
        <f t="shared" si="8"/>
        <v>0</v>
      </c>
      <c r="AR22" s="10">
        <f t="shared" si="27"/>
        <v>0</v>
      </c>
      <c r="AS22" s="71"/>
      <c r="AT22" s="7">
        <f>IF($K22&lt;=$F$15,IF($F$40&lt;&gt;"",$F$40/1000,IF(ISERROR(VLOOKUP($F$3&amp;IF($G$4&lt;&gt;"",$G$4,"")&amp;IF($F$43&lt;&gt;"","_"&amp;$F$43,""),'表3）燃料価格'!$AF$9:$AG$25,2,0)),0,VLOOKUP($I22,'表3）燃料価格'!$A$6:$U$66,VLOOKUP($F$3&amp;IF($G$4&lt;&gt;"",$G$4,"")&amp;IF($F$43&lt;&gt;"","_"&amp;$F$43,""),'表3）燃料価格'!$AF$9:$AG$25,2,0)+VLOOKUP($F$41,'表3）燃料価格'!$AF$28:$AG$29,2,0),0)*IF($F$43="需要地価格",1,$F$8/$F$141))),"")</f>
        <v>51.610874548493413</v>
      </c>
      <c r="AU22" s="71"/>
      <c r="AV22" s="10">
        <f t="shared" si="9"/>
        <v>73620630.687851205</v>
      </c>
      <c r="AW22" s="10">
        <f t="shared" si="10"/>
        <v>58116805.70100566</v>
      </c>
      <c r="AX22" s="71"/>
      <c r="AY22" s="7">
        <f>IF(ISERROR(IF($K22&lt;=$F$15,VLOOKUP($I22,'表4）CO2価格'!$A$7:$E$67,VLOOKUP($F$48,'表4）CO2価格'!$H$10:$I$12,2,0),0)*$F$8/1000,"")),0,IF($K22&lt;=$F$15,VLOOKUP($I22,'表4）CO2価格'!$A$7:$E$67,VLOOKUP($F$48,'表4）CO2価格'!$H$10:$I$12,2,0),0)*$F$8/1000,""))</f>
        <v>3.8948000000000098</v>
      </c>
      <c r="AZ22" s="71"/>
      <c r="BA22" s="11">
        <f t="shared" si="11"/>
        <v>14843105.321177911</v>
      </c>
      <c r="BB22" s="10">
        <f t="shared" si="28"/>
        <v>11717284.406432159</v>
      </c>
      <c r="BC22" s="71"/>
      <c r="BD22" s="10">
        <f t="shared" si="12"/>
        <v>20889853.957677774</v>
      </c>
      <c r="BE22" s="10">
        <f t="shared" si="29"/>
        <v>16490643.617660351</v>
      </c>
      <c r="BF22" s="71"/>
      <c r="BG22" s="11">
        <f t="shared" si="13"/>
        <v>4211731.1348842308</v>
      </c>
      <c r="BH22" s="10">
        <f t="shared" si="30"/>
        <v>3324779.450325124</v>
      </c>
      <c r="BJ22" s="7" t="str">
        <f t="shared" si="31"/>
        <v/>
      </c>
      <c r="BK22" s="158" t="str">
        <f t="shared" si="32"/>
        <v/>
      </c>
      <c r="BL22" s="158" t="str">
        <f t="shared" si="14"/>
        <v/>
      </c>
      <c r="BM22" s="10"/>
      <c r="BN22" s="10" t="str">
        <f t="shared" si="33"/>
        <v/>
      </c>
      <c r="BO22" s="10" t="str">
        <f t="shared" si="34"/>
        <v/>
      </c>
      <c r="BQ22" s="10">
        <f t="shared" si="15"/>
        <v>4588488</v>
      </c>
      <c r="BR22" s="10">
        <f t="shared" si="35"/>
        <v>3622194.7987386822</v>
      </c>
    </row>
    <row r="23" spans="3:70" x14ac:dyDescent="0.15">
      <c r="D23" s="81" t="s">
        <v>112</v>
      </c>
      <c r="F23" s="147">
        <v>32.9</v>
      </c>
      <c r="G23" s="81" t="s">
        <v>172</v>
      </c>
      <c r="I23" s="38">
        <f t="shared" si="36"/>
        <v>2028</v>
      </c>
      <c r="J23" s="39"/>
      <c r="K23" s="39">
        <f t="shared" si="37"/>
        <v>9</v>
      </c>
      <c r="L23" s="39"/>
      <c r="M23" s="40">
        <f t="shared" si="0"/>
        <v>0.76641673234362695</v>
      </c>
      <c r="N23" s="39"/>
      <c r="O23" s="72">
        <f t="shared" si="16"/>
        <v>45205848.227890447</v>
      </c>
      <c r="P23" s="41">
        <f t="shared" si="1"/>
        <v>0.16700000000000001</v>
      </c>
      <c r="Q23" s="39"/>
      <c r="R23" s="72">
        <f t="shared" si="17"/>
        <v>57108569.010192104</v>
      </c>
      <c r="S23" s="39"/>
      <c r="T23" s="72">
        <f t="shared" si="18"/>
        <v>57108000</v>
      </c>
      <c r="U23" s="39"/>
      <c r="V23" s="72">
        <f t="shared" si="2"/>
        <v>7549376.6540577048</v>
      </c>
      <c r="W23" s="72">
        <f t="shared" si="19"/>
        <v>5785968.5864341697</v>
      </c>
      <c r="X23" s="39"/>
      <c r="Y23" s="72">
        <f t="shared" si="3"/>
        <v>799500</v>
      </c>
      <c r="Z23" s="72">
        <f t="shared" si="20"/>
        <v>612750.17750872974</v>
      </c>
      <c r="AA23" s="39"/>
      <c r="AB23" s="72">
        <f t="shared" si="4"/>
        <v>0</v>
      </c>
      <c r="AC23" s="72">
        <f t="shared" si="21"/>
        <v>0</v>
      </c>
      <c r="AD23" s="39"/>
      <c r="AE23" s="72">
        <f t="shared" si="5"/>
        <v>0</v>
      </c>
      <c r="AF23" s="72">
        <f t="shared" si="22"/>
        <v>0</v>
      </c>
      <c r="AG23" s="39"/>
      <c r="AH23" s="72">
        <f t="shared" si="6"/>
        <v>0</v>
      </c>
      <c r="AI23" s="72">
        <f t="shared" si="23"/>
        <v>0</v>
      </c>
      <c r="AJ23" s="39"/>
      <c r="AK23" s="72">
        <f t="shared" si="24"/>
        <v>11850000</v>
      </c>
      <c r="AL23" s="72">
        <f t="shared" si="25"/>
        <v>9082038.2782719787</v>
      </c>
      <c r="AM23" s="39"/>
      <c r="AN23" s="72">
        <f t="shared" si="7"/>
        <v>0</v>
      </c>
      <c r="AO23" s="72">
        <f t="shared" si="26"/>
        <v>0</v>
      </c>
      <c r="AP23" s="39"/>
      <c r="AQ23" s="72">
        <f t="shared" si="8"/>
        <v>0</v>
      </c>
      <c r="AR23" s="72">
        <f t="shared" si="27"/>
        <v>0</v>
      </c>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52.239016984100566</v>
      </c>
      <c r="AU23" s="39"/>
      <c r="AV23" s="72">
        <f t="shared" si="9"/>
        <v>74401639.963999078</v>
      </c>
      <c r="AW23" s="72">
        <f t="shared" si="10"/>
        <v>57022661.782215178</v>
      </c>
      <c r="AX23" s="39"/>
      <c r="AY23" s="40">
        <f>IF(ISERROR(IF($K23&lt;=$F$15,VLOOKUP($I23,'表4）CO2価格'!$A$7:$E$67,VLOOKUP($F$48,'表4）CO2価格'!$H$10:$I$12,2,0),0)*$F$8/1000,"")),0,IF($K23&lt;=$F$15,VLOOKUP($I23,'表4）CO2価格'!$A$7:$E$67,VLOOKUP($F$48,'表4）CO2価格'!$H$10:$I$12,2,0),0)*$F$8/1000,""))</f>
        <v>4.0231999999999903</v>
      </c>
      <c r="AZ23" s="39"/>
      <c r="BA23" s="42">
        <f t="shared" si="11"/>
        <v>15332438.463634251</v>
      </c>
      <c r="BB23" s="72">
        <f t="shared" si="28"/>
        <v>11751037.386158302</v>
      </c>
      <c r="BC23" s="39"/>
      <c r="BD23" s="72">
        <f t="shared" si="12"/>
        <v>21111465.339784734</v>
      </c>
      <c r="BE23" s="72">
        <f t="shared" si="29"/>
        <v>16180180.280703554</v>
      </c>
      <c r="BF23" s="39"/>
      <c r="BG23" s="42">
        <f t="shared" si="13"/>
        <v>4350579.4140562173</v>
      </c>
      <c r="BH23" s="72">
        <f t="shared" si="30"/>
        <v>3334356.8583224174</v>
      </c>
      <c r="BI23" s="39"/>
      <c r="BJ23" s="40" t="str">
        <f t="shared" si="31"/>
        <v/>
      </c>
      <c r="BK23" s="157" t="str">
        <f t="shared" si="32"/>
        <v/>
      </c>
      <c r="BL23" s="157" t="str">
        <f t="shared" si="14"/>
        <v/>
      </c>
      <c r="BM23" s="72"/>
      <c r="BN23" s="72" t="str">
        <f t="shared" si="33"/>
        <v/>
      </c>
      <c r="BO23" s="72" t="str">
        <f t="shared" si="34"/>
        <v/>
      </c>
      <c r="BP23" s="39"/>
      <c r="BQ23" s="72">
        <f t="shared" si="15"/>
        <v>4588488</v>
      </c>
      <c r="BR23" s="72">
        <f t="shared" si="35"/>
        <v>3516693.9793579443</v>
      </c>
    </row>
    <row r="24" spans="3:70" x14ac:dyDescent="0.15">
      <c r="D24" s="81" t="s">
        <v>113</v>
      </c>
      <c r="F24" s="68">
        <v>3</v>
      </c>
      <c r="G24" s="81" t="s">
        <v>172</v>
      </c>
      <c r="I24" s="322">
        <f t="shared" si="36"/>
        <v>2029</v>
      </c>
      <c r="J24" s="71"/>
      <c r="K24" s="71">
        <f t="shared" si="37"/>
        <v>10</v>
      </c>
      <c r="L24" s="71"/>
      <c r="M24" s="7">
        <f t="shared" si="0"/>
        <v>0.74409391489672516</v>
      </c>
      <c r="N24" s="71"/>
      <c r="O24" s="10">
        <f t="shared" si="16"/>
        <v>37656471.573832743</v>
      </c>
      <c r="P24" s="29">
        <f t="shared" si="1"/>
        <v>0.16700000000000001</v>
      </c>
      <c r="Q24" s="71"/>
      <c r="R24" s="10">
        <f t="shared" si="17"/>
        <v>48981785.414436802</v>
      </c>
      <c r="S24" s="71"/>
      <c r="T24" s="10">
        <f t="shared" si="18"/>
        <v>48981000</v>
      </c>
      <c r="U24" s="71"/>
      <c r="V24" s="10">
        <f t="shared" si="2"/>
        <v>6288630.7528300686</v>
      </c>
      <c r="W24" s="10">
        <f t="shared" si="19"/>
        <v>4679331.8762132656</v>
      </c>
      <c r="X24" s="71"/>
      <c r="Y24" s="10">
        <f t="shared" si="3"/>
        <v>685700</v>
      </c>
      <c r="Z24" s="10">
        <f t="shared" si="20"/>
        <v>510225.19744468445</v>
      </c>
      <c r="AA24" s="71"/>
      <c r="AB24" s="10">
        <f t="shared" si="4"/>
        <v>0</v>
      </c>
      <c r="AC24" s="10">
        <f t="shared" si="21"/>
        <v>0</v>
      </c>
      <c r="AD24" s="71"/>
      <c r="AE24" s="10">
        <f t="shared" si="5"/>
        <v>0</v>
      </c>
      <c r="AF24" s="10">
        <f t="shared" si="22"/>
        <v>0</v>
      </c>
      <c r="AG24" s="71"/>
      <c r="AH24" s="10">
        <f t="shared" si="6"/>
        <v>0</v>
      </c>
      <c r="AI24" s="10">
        <f t="shared" si="23"/>
        <v>0</v>
      </c>
      <c r="AJ24" s="71"/>
      <c r="AK24" s="10">
        <f t="shared" si="24"/>
        <v>11850000</v>
      </c>
      <c r="AL24" s="10">
        <f t="shared" si="25"/>
        <v>8817512.8915261924</v>
      </c>
      <c r="AM24" s="71"/>
      <c r="AN24" s="10">
        <f t="shared" si="7"/>
        <v>0</v>
      </c>
      <c r="AO24" s="10">
        <f t="shared" si="26"/>
        <v>0</v>
      </c>
      <c r="AP24" s="71"/>
      <c r="AQ24" s="10">
        <f t="shared" si="8"/>
        <v>0</v>
      </c>
      <c r="AR24" s="10">
        <f t="shared" si="27"/>
        <v>0</v>
      </c>
      <c r="AS24" s="71"/>
      <c r="AT24" s="7">
        <f>IF($K24&lt;=$F$15,IF($F$40&lt;&gt;"",$F$40/1000,IF(ISERROR(VLOOKUP($F$3&amp;IF($G$4&lt;&gt;"",$G$4,"")&amp;IF($F$43&lt;&gt;"","_"&amp;$F$43,""),'表3）燃料価格'!$AF$9:$AG$25,2,0)),0,VLOOKUP($I24,'表3）燃料価格'!$A$6:$U$66,VLOOKUP($F$3&amp;IF($G$4&lt;&gt;"",$G$4,"")&amp;IF($F$43&lt;&gt;"","_"&amp;$F$43,""),'表3）燃料価格'!$AF$9:$AG$25,2,0)+VLOOKUP($F$41,'表3）燃料価格'!$AF$28:$AG$29,2,0),0)*IF($F$43="需要地価格",1,$F$8/$F$141))),"")</f>
        <v>52.867159419707725</v>
      </c>
      <c r="AU24" s="71"/>
      <c r="AV24" s="10">
        <f t="shared" si="9"/>
        <v>75182649.240146965</v>
      </c>
      <c r="AW24" s="10">
        <f t="shared" si="10"/>
        <v>55942951.805408254</v>
      </c>
      <c r="AX24" s="71"/>
      <c r="AY24" s="7">
        <f>IF(ISERROR(IF($K24&lt;=$F$15,VLOOKUP($I24,'表4）CO2価格'!$A$7:$E$67,VLOOKUP($F$48,'表4）CO2価格'!$H$10:$I$12,2,0),0)*$F$8/1000,"")),0,IF($K24&lt;=$F$15,VLOOKUP($I24,'表4）CO2価格'!$A$7:$E$67,VLOOKUP($F$48,'表4）CO2価格'!$H$10:$I$12,2,0),0)*$F$8/1000,""))</f>
        <v>4.1515999999999709</v>
      </c>
      <c r="AZ24" s="71"/>
      <c r="BA24" s="11">
        <f t="shared" si="11"/>
        <v>15821771.60609059</v>
      </c>
      <c r="BB24" s="10">
        <f t="shared" si="28"/>
        <v>11772883.974977795</v>
      </c>
      <c r="BC24" s="71"/>
      <c r="BD24" s="10">
        <f t="shared" si="12"/>
        <v>21333076.721891697</v>
      </c>
      <c r="BE24" s="10">
        <f t="shared" si="29"/>
        <v>15873812.57478459</v>
      </c>
      <c r="BF24" s="71"/>
      <c r="BG24" s="11">
        <f t="shared" si="13"/>
        <v>4489427.6932282038</v>
      </c>
      <c r="BH24" s="10">
        <f t="shared" si="30"/>
        <v>3340555.8278999482</v>
      </c>
      <c r="BJ24" s="7" t="str">
        <f t="shared" si="31"/>
        <v/>
      </c>
      <c r="BK24" s="158" t="str">
        <f t="shared" si="32"/>
        <v/>
      </c>
      <c r="BL24" s="158" t="str">
        <f t="shared" si="14"/>
        <v/>
      </c>
      <c r="BM24" s="10"/>
      <c r="BN24" s="10" t="str">
        <f t="shared" si="33"/>
        <v/>
      </c>
      <c r="BO24" s="10" t="str">
        <f t="shared" si="34"/>
        <v/>
      </c>
      <c r="BQ24" s="10">
        <f t="shared" si="15"/>
        <v>4588488</v>
      </c>
      <c r="BR24" s="10">
        <f t="shared" si="35"/>
        <v>3414265.9993766448</v>
      </c>
    </row>
    <row r="25" spans="3:70" x14ac:dyDescent="0.15">
      <c r="D25" s="81" t="s">
        <v>114</v>
      </c>
      <c r="F25" s="66">
        <v>1.4</v>
      </c>
      <c r="G25" s="81" t="s">
        <v>172</v>
      </c>
      <c r="I25" s="38">
        <f t="shared" si="36"/>
        <v>2030</v>
      </c>
      <c r="J25" s="39"/>
      <c r="K25" s="39">
        <f t="shared" si="37"/>
        <v>11</v>
      </c>
      <c r="L25" s="39"/>
      <c r="M25" s="40">
        <f t="shared" si="0"/>
        <v>0.72242127659876232</v>
      </c>
      <c r="N25" s="39"/>
      <c r="O25" s="72">
        <f t="shared" si="16"/>
        <v>31367840.821002673</v>
      </c>
      <c r="P25" s="41">
        <f t="shared" si="1"/>
        <v>0.2</v>
      </c>
      <c r="Q25" s="39"/>
      <c r="R25" s="72">
        <f t="shared" si="17"/>
        <v>42011476.455621727</v>
      </c>
      <c r="S25" s="39"/>
      <c r="T25" s="72">
        <f t="shared" si="18"/>
        <v>42011000</v>
      </c>
      <c r="U25" s="39"/>
      <c r="V25" s="72">
        <f t="shared" si="2"/>
        <v>6273568.164200535</v>
      </c>
      <c r="W25" s="72">
        <f t="shared" si="19"/>
        <v>4532159.1220111046</v>
      </c>
      <c r="X25" s="39"/>
      <c r="Y25" s="72">
        <f t="shared" si="3"/>
        <v>588100</v>
      </c>
      <c r="Z25" s="72">
        <f t="shared" si="20"/>
        <v>424855.95276773215</v>
      </c>
      <c r="AA25" s="39"/>
      <c r="AB25" s="72">
        <f t="shared" si="4"/>
        <v>0</v>
      </c>
      <c r="AC25" s="72">
        <f t="shared" si="21"/>
        <v>0</v>
      </c>
      <c r="AD25" s="39"/>
      <c r="AE25" s="72">
        <f t="shared" si="5"/>
        <v>0</v>
      </c>
      <c r="AF25" s="72">
        <f t="shared" si="22"/>
        <v>0</v>
      </c>
      <c r="AG25" s="39"/>
      <c r="AH25" s="72">
        <f t="shared" si="6"/>
        <v>0</v>
      </c>
      <c r="AI25" s="72">
        <f t="shared" si="23"/>
        <v>0</v>
      </c>
      <c r="AJ25" s="39"/>
      <c r="AK25" s="72">
        <f t="shared" si="24"/>
        <v>11850000</v>
      </c>
      <c r="AL25" s="72">
        <f t="shared" si="25"/>
        <v>8560692.1276953332</v>
      </c>
      <c r="AM25" s="39"/>
      <c r="AN25" s="72">
        <f t="shared" si="7"/>
        <v>0</v>
      </c>
      <c r="AO25" s="72">
        <f t="shared" si="26"/>
        <v>0</v>
      </c>
      <c r="AP25" s="39"/>
      <c r="AQ25" s="72">
        <f t="shared" si="8"/>
        <v>0</v>
      </c>
      <c r="AR25" s="72">
        <f t="shared" si="27"/>
        <v>0</v>
      </c>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53.495301855314878</v>
      </c>
      <c r="AU25" s="39"/>
      <c r="AV25" s="72">
        <f t="shared" si="9"/>
        <v>75963658.516294837</v>
      </c>
      <c r="AW25" s="72">
        <f t="shared" si="10"/>
        <v>54877763.160454161</v>
      </c>
      <c r="AX25" s="39"/>
      <c r="AY25" s="40">
        <f>IF(ISERROR(IF($K25&lt;=$F$15,VLOOKUP($I25,'表4）CO2価格'!$A$7:$E$67,VLOOKUP($F$48,'表4）CO2価格'!$H$10:$I$12,2,0),0)*$F$8/1000,"")),0,IF($K25&lt;=$F$15,VLOOKUP($I25,'表4）CO2価格'!$A$7:$E$67,VLOOKUP($F$48,'表4）CO2価格'!$H$10:$I$12,2,0),0)*$F$8/1000,""))</f>
        <v>4.28</v>
      </c>
      <c r="AZ25" s="39"/>
      <c r="BA25" s="42">
        <f t="shared" si="11"/>
        <v>16311104.748547114</v>
      </c>
      <c r="BB25" s="72">
        <f t="shared" si="28"/>
        <v>11783489.115181541</v>
      </c>
      <c r="BC25" s="39"/>
      <c r="BD25" s="72">
        <f t="shared" si="12"/>
        <v>21554688.103998657</v>
      </c>
      <c r="BE25" s="72">
        <f t="shared" si="29"/>
        <v>15571565.296778865</v>
      </c>
      <c r="BF25" s="39"/>
      <c r="BG25" s="42">
        <f t="shared" si="13"/>
        <v>4628275.9724002425</v>
      </c>
      <c r="BH25" s="72">
        <f t="shared" si="30"/>
        <v>3343565.0364327612</v>
      </c>
      <c r="BI25" s="39"/>
      <c r="BJ25" s="40" t="str">
        <f t="shared" si="31"/>
        <v/>
      </c>
      <c r="BK25" s="157" t="str">
        <f t="shared" si="32"/>
        <v/>
      </c>
      <c r="BL25" s="157" t="str">
        <f t="shared" si="14"/>
        <v/>
      </c>
      <c r="BM25" s="72"/>
      <c r="BN25" s="72" t="str">
        <f t="shared" si="33"/>
        <v/>
      </c>
      <c r="BO25" s="72" t="str">
        <f t="shared" si="34"/>
        <v/>
      </c>
      <c r="BP25" s="39"/>
      <c r="BQ25" s="72">
        <f t="shared" si="15"/>
        <v>4588488</v>
      </c>
      <c r="BR25" s="72">
        <f t="shared" si="35"/>
        <v>3314821.3586181016</v>
      </c>
    </row>
    <row r="26" spans="3:70" x14ac:dyDescent="0.15">
      <c r="D26" s="81" t="s">
        <v>115</v>
      </c>
      <c r="F26" s="59"/>
      <c r="G26" s="81" t="s">
        <v>175</v>
      </c>
      <c r="I26" s="322">
        <f t="shared" si="36"/>
        <v>2031</v>
      </c>
      <c r="J26" s="71"/>
      <c r="K26" s="71">
        <f t="shared" si="37"/>
        <v>12</v>
      </c>
      <c r="L26" s="71"/>
      <c r="M26" s="7">
        <f t="shared" si="0"/>
        <v>0.70137988019297326</v>
      </c>
      <c r="N26" s="71"/>
      <c r="O26" s="10">
        <f t="shared" si="16"/>
        <v>25094272.65680214</v>
      </c>
      <c r="P26" s="29" t="str">
        <f t="shared" si="1"/>
        <v>-</v>
      </c>
      <c r="Q26" s="71"/>
      <c r="R26" s="10">
        <f t="shared" si="17"/>
        <v>36033071.049734667</v>
      </c>
      <c r="S26" s="71"/>
      <c r="T26" s="10">
        <f t="shared" si="18"/>
        <v>36033000</v>
      </c>
      <c r="U26" s="71"/>
      <c r="V26" s="10">
        <f t="shared" si="2"/>
        <v>6273568.164200535</v>
      </c>
      <c r="W26" s="10">
        <f t="shared" si="19"/>
        <v>4400154.487389422</v>
      </c>
      <c r="X26" s="71"/>
      <c r="Y26" s="10">
        <f t="shared" si="3"/>
        <v>504400</v>
      </c>
      <c r="Z26" s="10">
        <f t="shared" si="20"/>
        <v>353776.01156933571</v>
      </c>
      <c r="AA26" s="71"/>
      <c r="AB26" s="10">
        <f t="shared" si="4"/>
        <v>0</v>
      </c>
      <c r="AC26" s="10">
        <f t="shared" si="21"/>
        <v>0</v>
      </c>
      <c r="AD26" s="71"/>
      <c r="AE26" s="10">
        <f t="shared" si="5"/>
        <v>0</v>
      </c>
      <c r="AF26" s="10">
        <f t="shared" si="22"/>
        <v>0</v>
      </c>
      <c r="AG26" s="71"/>
      <c r="AH26" s="10">
        <f t="shared" si="6"/>
        <v>0</v>
      </c>
      <c r="AI26" s="10">
        <f t="shared" si="23"/>
        <v>0</v>
      </c>
      <c r="AJ26" s="71"/>
      <c r="AK26" s="10">
        <f t="shared" si="24"/>
        <v>11850000</v>
      </c>
      <c r="AL26" s="10">
        <f t="shared" si="25"/>
        <v>8311351.5802867329</v>
      </c>
      <c r="AM26" s="71"/>
      <c r="AN26" s="10">
        <f t="shared" si="7"/>
        <v>0</v>
      </c>
      <c r="AO26" s="10">
        <f t="shared" si="26"/>
        <v>0</v>
      </c>
      <c r="AP26" s="71"/>
      <c r="AQ26" s="10">
        <f t="shared" si="8"/>
        <v>0</v>
      </c>
      <c r="AR26" s="10">
        <f t="shared" si="27"/>
        <v>0</v>
      </c>
      <c r="AS26" s="71"/>
      <c r="AT26" s="7">
        <f>IF($K26&lt;=$F$15,IF($F$40&lt;&gt;"",$F$40/1000,IF(ISERROR(VLOOKUP($F$3&amp;IF($G$4&lt;&gt;"",$G$4,"")&amp;IF($F$43&lt;&gt;"","_"&amp;$F$43,""),'表3）燃料価格'!$AF$9:$AG$25,2,0)),0,VLOOKUP($I26,'表3）燃料価格'!$A$6:$U$66,VLOOKUP($F$3&amp;IF($G$4&lt;&gt;"",$G$4,"")&amp;IF($F$43&lt;&gt;"","_"&amp;$F$43,""),'表3）燃料価格'!$AF$9:$AG$25,2,0)+VLOOKUP($F$41,'表3）燃料価格'!$AF$28:$AG$29,2,0),0)*IF($F$43="需要地価格",1,$F$8/$F$141))),"")</f>
        <v>54.123444290922016</v>
      </c>
      <c r="AU26" s="71"/>
      <c r="AV26" s="10">
        <f t="shared" si="9"/>
        <v>76744667.792442694</v>
      </c>
      <c r="AW26" s="10">
        <f t="shared" si="10"/>
        <v>53827165.901712991</v>
      </c>
      <c r="AX26" s="71"/>
      <c r="AY26" s="7">
        <f>IF(ISERROR(IF($K26&lt;=$F$15,VLOOKUP($I26,'表4）CO2価格'!$A$7:$E$67,VLOOKUP($F$48,'表4）CO2価格'!$H$10:$I$12,2,0),0)*$F$8/1000,"")),0,IF($K26&lt;=$F$15,VLOOKUP($I26,'表4）CO2価格'!$A$7:$E$67,VLOOKUP($F$48,'表4）CO2価格'!$H$10:$I$12,2,0),0)*$F$8/1000,""))</f>
        <v>4.4083999999999808</v>
      </c>
      <c r="AZ26" s="71"/>
      <c r="BA26" s="11">
        <f t="shared" si="11"/>
        <v>16800437.891003456</v>
      </c>
      <c r="BB26" s="10">
        <f t="shared" si="28"/>
        <v>11783489.115181493</v>
      </c>
      <c r="BC26" s="71"/>
      <c r="BD26" s="10">
        <f t="shared" si="12"/>
        <v>21776299.48610561</v>
      </c>
      <c r="BE26" s="10">
        <f t="shared" si="29"/>
        <v>15273458.324611058</v>
      </c>
      <c r="BF26" s="71"/>
      <c r="BG26" s="11">
        <f t="shared" si="13"/>
        <v>4767124.251572229</v>
      </c>
      <c r="BH26" s="10">
        <f t="shared" si="30"/>
        <v>3343565.0364327473</v>
      </c>
      <c r="BJ26" s="7" t="str">
        <f t="shared" si="31"/>
        <v/>
      </c>
      <c r="BK26" s="158" t="str">
        <f t="shared" si="32"/>
        <v/>
      </c>
      <c r="BL26" s="158" t="str">
        <f t="shared" si="14"/>
        <v/>
      </c>
      <c r="BM26" s="10"/>
      <c r="BN26" s="10" t="str">
        <f t="shared" si="33"/>
        <v/>
      </c>
      <c r="BO26" s="10" t="str">
        <f t="shared" si="34"/>
        <v/>
      </c>
      <c r="BQ26" s="10">
        <f t="shared" si="15"/>
        <v>4588488</v>
      </c>
      <c r="BR26" s="10">
        <f t="shared" si="35"/>
        <v>3218273.1637068954</v>
      </c>
    </row>
    <row r="27" spans="3:70" x14ac:dyDescent="0.15">
      <c r="D27" s="82" t="s">
        <v>86</v>
      </c>
      <c r="F27" s="109">
        <f>F117*5%/10^8</f>
        <v>9.7500000000000003E-2</v>
      </c>
      <c r="G27" s="81" t="s">
        <v>176</v>
      </c>
      <c r="I27" s="38">
        <f t="shared" si="36"/>
        <v>2032</v>
      </c>
      <c r="J27" s="39"/>
      <c r="K27" s="39">
        <f t="shared" si="37"/>
        <v>13</v>
      </c>
      <c r="L27" s="39"/>
      <c r="M27" s="40">
        <f t="shared" si="0"/>
        <v>0.68095133999317792</v>
      </c>
      <c r="N27" s="39"/>
      <c r="O27" s="72">
        <f t="shared" si="16"/>
        <v>18820704.492601603</v>
      </c>
      <c r="P27" s="41" t="str">
        <f t="shared" si="1"/>
        <v>-</v>
      </c>
      <c r="Q27" s="39"/>
      <c r="R27" s="72">
        <f t="shared" si="17"/>
        <v>30905417.252991706</v>
      </c>
      <c r="S27" s="39"/>
      <c r="T27" s="72">
        <f t="shared" si="18"/>
        <v>30905000</v>
      </c>
      <c r="U27" s="39"/>
      <c r="V27" s="72">
        <f t="shared" si="2"/>
        <v>6273568.164200535</v>
      </c>
      <c r="W27" s="72">
        <f t="shared" si="19"/>
        <v>4271994.6479508951</v>
      </c>
      <c r="X27" s="39"/>
      <c r="Y27" s="72">
        <f t="shared" si="3"/>
        <v>432600</v>
      </c>
      <c r="Z27" s="72">
        <f t="shared" si="20"/>
        <v>294579.54968104878</v>
      </c>
      <c r="AA27" s="39"/>
      <c r="AB27" s="72">
        <f t="shared" si="4"/>
        <v>0</v>
      </c>
      <c r="AC27" s="72">
        <f t="shared" si="21"/>
        <v>0</v>
      </c>
      <c r="AD27" s="39"/>
      <c r="AE27" s="72">
        <f t="shared" si="5"/>
        <v>0</v>
      </c>
      <c r="AF27" s="72">
        <f t="shared" si="22"/>
        <v>0</v>
      </c>
      <c r="AG27" s="39"/>
      <c r="AH27" s="72">
        <f t="shared" si="6"/>
        <v>0</v>
      </c>
      <c r="AI27" s="72">
        <f t="shared" si="23"/>
        <v>0</v>
      </c>
      <c r="AJ27" s="39"/>
      <c r="AK27" s="72">
        <f t="shared" si="24"/>
        <v>11850000</v>
      </c>
      <c r="AL27" s="72">
        <f t="shared" si="25"/>
        <v>8069273.3789191581</v>
      </c>
      <c r="AM27" s="39"/>
      <c r="AN27" s="72">
        <f t="shared" si="7"/>
        <v>0</v>
      </c>
      <c r="AO27" s="72">
        <f t="shared" si="26"/>
        <v>0</v>
      </c>
      <c r="AP27" s="39"/>
      <c r="AQ27" s="72">
        <f t="shared" si="8"/>
        <v>0</v>
      </c>
      <c r="AR27" s="72">
        <f t="shared" si="27"/>
        <v>0</v>
      </c>
      <c r="AS27" s="39"/>
      <c r="AT27" s="40">
        <f>IF($K27&lt;=$F$15,IF($F$40&lt;&gt;"",$F$40/1000,IF(ISERROR(VLOOKUP($F$3&amp;IF($G$4&lt;&gt;"",$G$4,"")&amp;IF($F$43&lt;&gt;"","_"&amp;$F$43,""),'表3）燃料価格'!$AF$9:$AG$25,2,0)),0,VLOOKUP($I27,'表3）燃料価格'!$A$6:$U$66,VLOOKUP($F$3&amp;IF($G$4&lt;&gt;"",$G$4,"")&amp;IF($F$43&lt;&gt;"","_"&amp;$F$43,""),'表3）燃料価格'!$AF$9:$AG$25,2,0)+VLOOKUP($F$41,'表3）燃料価格'!$AF$28:$AG$29,2,0),0)*IF($F$43="需要地価格",1,$F$8/$F$141))),"")</f>
        <v>54.751586726529169</v>
      </c>
      <c r="AU27" s="39"/>
      <c r="AV27" s="72">
        <f t="shared" si="9"/>
        <v>77525677.068590581</v>
      </c>
      <c r="AW27" s="72">
        <f t="shared" si="10"/>
        <v>52791213.68373514</v>
      </c>
      <c r="AX27" s="39"/>
      <c r="AY27" s="40">
        <f>IF(ISERROR(IF($K27&lt;=$F$15,VLOOKUP($I27,'表4）CO2価格'!$A$7:$E$67,VLOOKUP($F$48,'表4）CO2価格'!$H$10:$I$12,2,0),0)*$F$8/1000,"")),0,IF($K27&lt;=$F$15,VLOOKUP($I27,'表4）CO2価格'!$A$7:$E$67,VLOOKUP($F$48,'表4）CO2価格'!$H$10:$I$12,2,0),0)*$F$8/1000,""))</f>
        <v>4.5368000000000102</v>
      </c>
      <c r="AZ27" s="39"/>
      <c r="BA27" s="42">
        <f t="shared" si="11"/>
        <v>17289771.03345998</v>
      </c>
      <c r="BB27" s="72">
        <f t="shared" si="28"/>
        <v>11773492.753409807</v>
      </c>
      <c r="BC27" s="39"/>
      <c r="BD27" s="72">
        <f t="shared" si="12"/>
        <v>21997910.86821257</v>
      </c>
      <c r="BE27" s="72">
        <f t="shared" si="29"/>
        <v>14979506.882759841</v>
      </c>
      <c r="BF27" s="39"/>
      <c r="BG27" s="42">
        <f t="shared" si="13"/>
        <v>4905972.5307442676</v>
      </c>
      <c r="BH27" s="72">
        <f t="shared" si="30"/>
        <v>3340728.5687800315</v>
      </c>
      <c r="BI27" s="39"/>
      <c r="BJ27" s="40" t="str">
        <f t="shared" si="31"/>
        <v/>
      </c>
      <c r="BK27" s="157" t="str">
        <f t="shared" si="32"/>
        <v/>
      </c>
      <c r="BL27" s="157" t="str">
        <f t="shared" si="14"/>
        <v/>
      </c>
      <c r="BM27" s="72"/>
      <c r="BN27" s="72" t="str">
        <f t="shared" si="33"/>
        <v/>
      </c>
      <c r="BO27" s="72" t="str">
        <f t="shared" si="34"/>
        <v/>
      </c>
      <c r="BP27" s="39"/>
      <c r="BQ27" s="72">
        <f t="shared" si="15"/>
        <v>4588488</v>
      </c>
      <c r="BR27" s="72">
        <f t="shared" si="35"/>
        <v>3124537.0521426168</v>
      </c>
    </row>
    <row r="28" spans="3:70" x14ac:dyDescent="0.15">
      <c r="D28" s="81" t="s">
        <v>116</v>
      </c>
      <c r="F28" s="59">
        <v>1</v>
      </c>
      <c r="G28" s="81" t="s">
        <v>108</v>
      </c>
      <c r="I28" s="322">
        <f t="shared" si="36"/>
        <v>2033</v>
      </c>
      <c r="J28" s="71"/>
      <c r="K28" s="71">
        <f t="shared" si="37"/>
        <v>14</v>
      </c>
      <c r="L28" s="71"/>
      <c r="M28" s="7">
        <f t="shared" si="0"/>
        <v>0.66111780581861923</v>
      </c>
      <c r="N28" s="71"/>
      <c r="O28" s="10">
        <f t="shared" si="16"/>
        <v>12547136.328401068</v>
      </c>
      <c r="P28" s="29" t="str">
        <f t="shared" si="1"/>
        <v>-</v>
      </c>
      <c r="Q28" s="71"/>
      <c r="R28" s="10">
        <f t="shared" si="17"/>
        <v>26507449.622131243</v>
      </c>
      <c r="S28" s="71"/>
      <c r="T28" s="10">
        <f t="shared" si="18"/>
        <v>26507000</v>
      </c>
      <c r="U28" s="71"/>
      <c r="V28" s="10">
        <f t="shared" si="2"/>
        <v>6273568.164200535</v>
      </c>
      <c r="W28" s="10">
        <f t="shared" si="19"/>
        <v>4147567.6193698007</v>
      </c>
      <c r="X28" s="71"/>
      <c r="Y28" s="10">
        <f t="shared" si="3"/>
        <v>371000</v>
      </c>
      <c r="Z28" s="10">
        <f t="shared" si="20"/>
        <v>245274.70595870772</v>
      </c>
      <c r="AA28" s="71"/>
      <c r="AB28" s="10">
        <f t="shared" si="4"/>
        <v>0</v>
      </c>
      <c r="AC28" s="10">
        <f t="shared" si="21"/>
        <v>0</v>
      </c>
      <c r="AD28" s="71"/>
      <c r="AE28" s="10">
        <f t="shared" si="5"/>
        <v>0</v>
      </c>
      <c r="AF28" s="10">
        <f t="shared" si="22"/>
        <v>0</v>
      </c>
      <c r="AG28" s="71"/>
      <c r="AH28" s="10">
        <f t="shared" si="6"/>
        <v>0</v>
      </c>
      <c r="AI28" s="10">
        <f t="shared" si="23"/>
        <v>0</v>
      </c>
      <c r="AJ28" s="71"/>
      <c r="AK28" s="10">
        <f t="shared" si="24"/>
        <v>11850000</v>
      </c>
      <c r="AL28" s="10">
        <f t="shared" si="25"/>
        <v>7834245.9989506379</v>
      </c>
      <c r="AM28" s="71"/>
      <c r="AN28" s="10">
        <f t="shared" si="7"/>
        <v>0</v>
      </c>
      <c r="AO28" s="10">
        <f t="shared" si="26"/>
        <v>0</v>
      </c>
      <c r="AP28" s="71"/>
      <c r="AQ28" s="10">
        <f t="shared" si="8"/>
        <v>0</v>
      </c>
      <c r="AR28" s="10">
        <f t="shared" si="27"/>
        <v>0</v>
      </c>
      <c r="AS28" s="71"/>
      <c r="AT28" s="7">
        <f>IF($K28&lt;=$F$15,IF($F$40&lt;&gt;"",$F$40/1000,IF(ISERROR(VLOOKUP($F$3&amp;IF($G$4&lt;&gt;"",$G$4,"")&amp;IF($F$43&lt;&gt;"","_"&amp;$F$43,""),'表3）燃料価格'!$AF$9:$AG$25,2,0)),0,VLOOKUP($I28,'表3）燃料価格'!$A$6:$U$66,VLOOKUP($F$3&amp;IF($G$4&lt;&gt;"",$G$4,"")&amp;IF($F$43&lt;&gt;"","_"&amp;$F$43,""),'表3）燃料価格'!$AF$9:$AG$25,2,0)+VLOOKUP($F$41,'表3）燃料価格'!$AF$28:$AG$29,2,0),0)*IF($F$43="需要地価格",1,$F$8/$F$141))),"")</f>
        <v>55.379729162136329</v>
      </c>
      <c r="AU28" s="71"/>
      <c r="AV28" s="10">
        <f t="shared" si="9"/>
        <v>78306686.344738454</v>
      </c>
      <c r="AW28" s="10">
        <f t="shared" si="10"/>
        <v>51769944.657160319</v>
      </c>
      <c r="AX28" s="71"/>
      <c r="AY28" s="7">
        <f>IF(ISERROR(IF($K28&lt;=$F$15,VLOOKUP($I28,'表4）CO2価格'!$A$7:$E$67,VLOOKUP($F$48,'表4）CO2価格'!$H$10:$I$12,2,0),0)*$F$8/1000,"")),0,IF($K28&lt;=$F$15,VLOOKUP($I28,'表4）CO2価格'!$A$7:$E$67,VLOOKUP($F$48,'表4）CO2価格'!$H$10:$I$12,2,0),0)*$F$8/1000,""))</f>
        <v>4.6651999999999898</v>
      </c>
      <c r="AZ28" s="71"/>
      <c r="BA28" s="11">
        <f t="shared" si="11"/>
        <v>17779104.175916314</v>
      </c>
      <c r="BB28" s="10">
        <f t="shared" si="28"/>
        <v>11754082.342202444</v>
      </c>
      <c r="BC28" s="71"/>
      <c r="BD28" s="10">
        <f t="shared" si="12"/>
        <v>22219522.250319533</v>
      </c>
      <c r="BE28" s="10">
        <f t="shared" si="29"/>
        <v>14689721.796469238</v>
      </c>
      <c r="BF28" s="71"/>
      <c r="BG28" s="11">
        <f t="shared" si="13"/>
        <v>5044820.8099162532</v>
      </c>
      <c r="BH28" s="10">
        <f t="shared" si="30"/>
        <v>3335220.8645999427</v>
      </c>
      <c r="BJ28" s="7" t="str">
        <f t="shared" si="31"/>
        <v/>
      </c>
      <c r="BK28" s="158" t="str">
        <f t="shared" si="32"/>
        <v/>
      </c>
      <c r="BL28" s="158" t="str">
        <f t="shared" si="14"/>
        <v/>
      </c>
      <c r="BM28" s="10"/>
      <c r="BN28" s="10" t="str">
        <f t="shared" si="33"/>
        <v/>
      </c>
      <c r="BO28" s="10" t="str">
        <f t="shared" si="34"/>
        <v/>
      </c>
      <c r="BQ28" s="10">
        <f t="shared" si="15"/>
        <v>4588488</v>
      </c>
      <c r="BR28" s="10">
        <f t="shared" si="35"/>
        <v>3033531.1185850645</v>
      </c>
    </row>
    <row r="29" spans="3:70" x14ac:dyDescent="0.15">
      <c r="D29" s="81" t="s">
        <v>117</v>
      </c>
      <c r="F29" s="59"/>
      <c r="G29" s="81" t="s">
        <v>176</v>
      </c>
      <c r="I29" s="38">
        <f t="shared" si="36"/>
        <v>2034</v>
      </c>
      <c r="J29" s="39"/>
      <c r="K29" s="39">
        <f t="shared" si="37"/>
        <v>15</v>
      </c>
      <c r="L29" s="39"/>
      <c r="M29" s="40">
        <f t="shared" si="0"/>
        <v>0.64186194739671765</v>
      </c>
      <c r="N29" s="39"/>
      <c r="O29" s="72">
        <f t="shared" si="16"/>
        <v>6273568.1642005332</v>
      </c>
      <c r="P29" s="41" t="str">
        <f t="shared" si="1"/>
        <v>-</v>
      </c>
      <c r="Q29" s="39"/>
      <c r="R29" s="72">
        <f t="shared" si="17"/>
        <v>22735330.823006712</v>
      </c>
      <c r="S29" s="39"/>
      <c r="T29" s="72">
        <f t="shared" si="18"/>
        <v>22735000</v>
      </c>
      <c r="U29" s="39"/>
      <c r="V29" s="72">
        <f t="shared" si="2"/>
        <v>6273568.1642005332</v>
      </c>
      <c r="W29" s="72">
        <f t="shared" si="19"/>
        <v>4026764.6789998054</v>
      </c>
      <c r="X29" s="39"/>
      <c r="Y29" s="72">
        <f t="shared" si="3"/>
        <v>318200</v>
      </c>
      <c r="Z29" s="72">
        <f t="shared" si="20"/>
        <v>204240.47166163556</v>
      </c>
      <c r="AA29" s="39"/>
      <c r="AB29" s="72">
        <f t="shared" si="4"/>
        <v>0</v>
      </c>
      <c r="AC29" s="72">
        <f t="shared" si="21"/>
        <v>0</v>
      </c>
      <c r="AD29" s="39"/>
      <c r="AE29" s="72">
        <f t="shared" si="5"/>
        <v>0</v>
      </c>
      <c r="AF29" s="72">
        <f t="shared" si="22"/>
        <v>0</v>
      </c>
      <c r="AG29" s="39"/>
      <c r="AH29" s="72">
        <f t="shared" si="6"/>
        <v>0</v>
      </c>
      <c r="AI29" s="72">
        <f t="shared" si="23"/>
        <v>0</v>
      </c>
      <c r="AJ29" s="39"/>
      <c r="AK29" s="72">
        <f t="shared" si="24"/>
        <v>11850000</v>
      </c>
      <c r="AL29" s="72">
        <f t="shared" si="25"/>
        <v>7606064.0766511038</v>
      </c>
      <c r="AM29" s="39"/>
      <c r="AN29" s="72">
        <f t="shared" si="7"/>
        <v>0</v>
      </c>
      <c r="AO29" s="72">
        <f t="shared" si="26"/>
        <v>0</v>
      </c>
      <c r="AP29" s="39"/>
      <c r="AQ29" s="72">
        <f t="shared" si="8"/>
        <v>0</v>
      </c>
      <c r="AR29" s="72">
        <f t="shared" si="27"/>
        <v>0</v>
      </c>
      <c r="AS29" s="39"/>
      <c r="AT29" s="40">
        <f>IF($K29&lt;=$F$15,IF($F$40&lt;&gt;"",$F$40/1000,IF(ISERROR(VLOOKUP($F$3&amp;IF($G$4&lt;&gt;"",$G$4,"")&amp;IF($F$43&lt;&gt;"","_"&amp;$F$43,""),'表3）燃料価格'!$AF$9:$AG$25,2,0)),0,VLOOKUP($I29,'表3）燃料価格'!$A$6:$U$66,VLOOKUP($F$3&amp;IF($G$4&lt;&gt;"",$G$4,"")&amp;IF($F$43&lt;&gt;"","_"&amp;$F$43,""),'表3）燃料価格'!$AF$9:$AG$25,2,0)+VLOOKUP($F$41,'表3）燃料価格'!$AF$28:$AG$29,2,0),0)*IF($F$43="需要地価格",1,$F$8/$F$141))),"")</f>
        <v>56.007871597743481</v>
      </c>
      <c r="AU29" s="39"/>
      <c r="AV29" s="72">
        <f t="shared" si="9"/>
        <v>79087695.620886341</v>
      </c>
      <c r="AW29" s="72">
        <f t="shared" si="10"/>
        <v>50763382.326340966</v>
      </c>
      <c r="AX29" s="39"/>
      <c r="AY29" s="40">
        <f>IF(ISERROR(IF($K29&lt;=$F$15,VLOOKUP($I29,'表4）CO2価格'!$A$7:$E$67,VLOOKUP($F$48,'表4）CO2価格'!$H$10:$I$12,2,0),0)*$F$8/1000,"")),0,IF($K29&lt;=$F$15,VLOOKUP($I29,'表4）CO2価格'!$A$7:$E$67,VLOOKUP($F$48,'表4）CO2価格'!$H$10:$I$12,2,0),0)*$F$8/1000,""))</f>
        <v>4.7935999999999712</v>
      </c>
      <c r="AZ29" s="39"/>
      <c r="BA29" s="42">
        <f t="shared" si="11"/>
        <v>18268437.318372659</v>
      </c>
      <c r="BB29" s="72">
        <f t="shared" si="28"/>
        <v>11725814.753065545</v>
      </c>
      <c r="BC29" s="39"/>
      <c r="BD29" s="72">
        <f t="shared" si="12"/>
        <v>22441133.632426493</v>
      </c>
      <c r="BE29" s="72">
        <f t="shared" si="29"/>
        <v>14404109.735099245</v>
      </c>
      <c r="BF29" s="39"/>
      <c r="BG29" s="42">
        <f t="shared" si="13"/>
        <v>5183669.0890882397</v>
      </c>
      <c r="BH29" s="72">
        <f t="shared" si="30"/>
        <v>3327199.9361823471</v>
      </c>
      <c r="BI29" s="39"/>
      <c r="BJ29" s="40" t="str">
        <f t="shared" si="31"/>
        <v/>
      </c>
      <c r="BK29" s="157" t="str">
        <f t="shared" si="32"/>
        <v/>
      </c>
      <c r="BL29" s="157" t="str">
        <f t="shared" si="14"/>
        <v/>
      </c>
      <c r="BM29" s="72"/>
      <c r="BN29" s="72" t="str">
        <f t="shared" si="33"/>
        <v/>
      </c>
      <c r="BO29" s="72" t="str">
        <f t="shared" si="34"/>
        <v/>
      </c>
      <c r="BP29" s="39"/>
      <c r="BQ29" s="72">
        <f t="shared" si="15"/>
        <v>4588488</v>
      </c>
      <c r="BR29" s="72">
        <f t="shared" si="35"/>
        <v>2945175.84328647</v>
      </c>
    </row>
    <row r="30" spans="3:70" x14ac:dyDescent="0.15">
      <c r="I30" s="322">
        <f t="shared" si="36"/>
        <v>2035</v>
      </c>
      <c r="J30" s="71"/>
      <c r="K30" s="71">
        <f t="shared" si="37"/>
        <v>16</v>
      </c>
      <c r="L30" s="71"/>
      <c r="M30" s="7">
        <f t="shared" si="0"/>
        <v>0.62316693922011435</v>
      </c>
      <c r="N30" s="71"/>
      <c r="O30" s="10">
        <f t="shared" si="16"/>
        <v>0</v>
      </c>
      <c r="P30" s="29" t="str">
        <f t="shared" si="1"/>
        <v>-</v>
      </c>
      <c r="Q30" s="71"/>
      <c r="R30" s="10">
        <f t="shared" si="17"/>
        <v>19499999.999999993</v>
      </c>
      <c r="S30" s="71"/>
      <c r="T30" s="10">
        <f t="shared" si="18"/>
        <v>19500000</v>
      </c>
      <c r="U30" s="71"/>
      <c r="V30" s="10">
        <f t="shared" si="2"/>
        <v>0</v>
      </c>
      <c r="W30" s="10">
        <f t="shared" si="19"/>
        <v>0</v>
      </c>
      <c r="X30" s="71"/>
      <c r="Y30" s="10">
        <f t="shared" si="3"/>
        <v>273000</v>
      </c>
      <c r="Z30" s="10">
        <f t="shared" si="20"/>
        <v>170124.57440709122</v>
      </c>
      <c r="AA30" s="71"/>
      <c r="AB30" s="10">
        <f t="shared" si="4"/>
        <v>0</v>
      </c>
      <c r="AC30" s="10">
        <f t="shared" si="21"/>
        <v>0</v>
      </c>
      <c r="AD30" s="71"/>
      <c r="AE30" s="10">
        <f t="shared" si="5"/>
        <v>0</v>
      </c>
      <c r="AF30" s="10">
        <f t="shared" si="22"/>
        <v>0</v>
      </c>
      <c r="AG30" s="71"/>
      <c r="AH30" s="10">
        <f t="shared" si="6"/>
        <v>0</v>
      </c>
      <c r="AI30" s="10">
        <f t="shared" si="23"/>
        <v>0</v>
      </c>
      <c r="AJ30" s="71"/>
      <c r="AK30" s="10">
        <f t="shared" si="24"/>
        <v>11850000</v>
      </c>
      <c r="AL30" s="10">
        <f t="shared" si="25"/>
        <v>7384528.2297583548</v>
      </c>
      <c r="AM30" s="71"/>
      <c r="AN30" s="10">
        <f t="shared" si="7"/>
        <v>0</v>
      </c>
      <c r="AO30" s="10">
        <f t="shared" si="26"/>
        <v>0</v>
      </c>
      <c r="AP30" s="71"/>
      <c r="AQ30" s="10">
        <f t="shared" si="8"/>
        <v>0</v>
      </c>
      <c r="AR30" s="10">
        <f t="shared" si="27"/>
        <v>0</v>
      </c>
      <c r="AS30" s="71"/>
      <c r="AT30" s="7">
        <f>IF($K30&lt;=$F$15,IF($F$40&lt;&gt;"",$F$40/1000,IF(ISERROR(VLOOKUP($F$3&amp;IF($G$4&lt;&gt;"",$G$4,"")&amp;IF($F$43&lt;&gt;"","_"&amp;$F$43,""),'表3）燃料価格'!$AF$9:$AG$25,2,0)),0,VLOOKUP($I30,'表3）燃料価格'!$A$6:$U$66,VLOOKUP($F$3&amp;IF($G$4&lt;&gt;"",$G$4,"")&amp;IF($F$43&lt;&gt;"","_"&amp;$F$43,""),'表3）燃料価格'!$AF$9:$AG$25,2,0)+VLOOKUP($F$41,'表3）燃料価格'!$AF$28:$AG$29,2,0),0)*IF($F$43="需要地価格",1,$F$8/$F$141))),"")</f>
        <v>56.636014033350634</v>
      </c>
      <c r="AU30" s="71"/>
      <c r="AV30" s="10">
        <f t="shared" si="9"/>
        <v>79868704.897034198</v>
      </c>
      <c r="AW30" s="10">
        <f t="shared" si="10"/>
        <v>49771536.370159358</v>
      </c>
      <c r="AX30" s="71"/>
      <c r="AY30" s="7">
        <f>IF(ISERROR(IF($K30&lt;=$F$15,VLOOKUP($I30,'表4）CO2価格'!$A$7:$E$67,VLOOKUP($F$48,'表4）CO2価格'!$H$10:$I$12,2,0),0)*$F$8/1000,"")),0,IF($K30&lt;=$F$15,VLOOKUP($I30,'表4）CO2価格'!$A$7:$E$67,VLOOKUP($F$48,'表4）CO2価格'!$H$10:$I$12,2,0),0)*$F$8/1000,""))</f>
        <v>4.9219999999999997</v>
      </c>
      <c r="AZ30" s="71"/>
      <c r="BA30" s="11">
        <f t="shared" si="11"/>
        <v>18757770.46082918</v>
      </c>
      <c r="BB30" s="10">
        <f t="shared" si="28"/>
        <v>11689222.404668394</v>
      </c>
      <c r="BC30" s="71"/>
      <c r="BD30" s="10">
        <f t="shared" si="12"/>
        <v>22662745.014533449</v>
      </c>
      <c r="BE30" s="10">
        <f t="shared" si="29"/>
        <v>14122673.445032716</v>
      </c>
      <c r="BF30" s="71"/>
      <c r="BG30" s="11">
        <f t="shared" si="13"/>
        <v>5322517.3682602784</v>
      </c>
      <c r="BH30" s="10">
        <f t="shared" si="30"/>
        <v>3316816.8573246556</v>
      </c>
      <c r="BJ30" s="7" t="str">
        <f t="shared" si="31"/>
        <v/>
      </c>
      <c r="BK30" s="158" t="str">
        <f t="shared" si="32"/>
        <v/>
      </c>
      <c r="BL30" s="158" t="str">
        <f t="shared" si="14"/>
        <v/>
      </c>
      <c r="BM30" s="10"/>
      <c r="BN30" s="10" t="str">
        <f t="shared" si="33"/>
        <v/>
      </c>
      <c r="BO30" s="10" t="str">
        <f t="shared" si="34"/>
        <v/>
      </c>
      <c r="BQ30" s="10">
        <f t="shared" si="15"/>
        <v>4588488</v>
      </c>
      <c r="BR30" s="10">
        <f t="shared" si="35"/>
        <v>2859394.0226082238</v>
      </c>
    </row>
    <row r="31" spans="3:70" x14ac:dyDescent="0.15">
      <c r="C31" s="89" t="s">
        <v>507</v>
      </c>
      <c r="D31" s="101"/>
      <c r="E31" s="101"/>
      <c r="F31" s="89"/>
      <c r="G31" s="101"/>
      <c r="I31" s="38">
        <f t="shared" si="36"/>
        <v>2036</v>
      </c>
      <c r="J31" s="39"/>
      <c r="K31" s="39">
        <f t="shared" si="37"/>
        <v>17</v>
      </c>
      <c r="L31" s="39"/>
      <c r="M31" s="40">
        <f t="shared" si="0"/>
        <v>0.60501644584477121</v>
      </c>
      <c r="N31" s="39"/>
      <c r="O31" s="72">
        <f t="shared" si="16"/>
        <v>0</v>
      </c>
      <c r="P31" s="41" t="str">
        <f t="shared" si="1"/>
        <v>-</v>
      </c>
      <c r="Q31" s="39"/>
      <c r="R31" s="72">
        <f t="shared" si="17"/>
        <v>16725070.022522429</v>
      </c>
      <c r="S31" s="39"/>
      <c r="T31" s="72">
        <f t="shared" si="18"/>
        <v>16725000</v>
      </c>
      <c r="U31" s="39"/>
      <c r="V31" s="72">
        <f t="shared" si="2"/>
        <v>0</v>
      </c>
      <c r="W31" s="72">
        <f t="shared" si="19"/>
        <v>0</v>
      </c>
      <c r="X31" s="39"/>
      <c r="Y31" s="72">
        <f t="shared" si="3"/>
        <v>234100</v>
      </c>
      <c r="Z31" s="72">
        <f t="shared" si="20"/>
        <v>141634.34997226094</v>
      </c>
      <c r="AA31" s="39"/>
      <c r="AB31" s="72">
        <f t="shared" si="4"/>
        <v>0</v>
      </c>
      <c r="AC31" s="72">
        <f t="shared" si="21"/>
        <v>0</v>
      </c>
      <c r="AD31" s="39"/>
      <c r="AE31" s="72">
        <f t="shared" si="5"/>
        <v>0</v>
      </c>
      <c r="AF31" s="72">
        <f t="shared" si="22"/>
        <v>0</v>
      </c>
      <c r="AG31" s="39"/>
      <c r="AH31" s="72">
        <f t="shared" si="6"/>
        <v>0</v>
      </c>
      <c r="AI31" s="72">
        <f t="shared" si="23"/>
        <v>0</v>
      </c>
      <c r="AJ31" s="39"/>
      <c r="AK31" s="72">
        <f t="shared" si="24"/>
        <v>11850000</v>
      </c>
      <c r="AL31" s="72">
        <f t="shared" si="25"/>
        <v>7169444.8832605388</v>
      </c>
      <c r="AM31" s="39"/>
      <c r="AN31" s="72">
        <f t="shared" si="7"/>
        <v>0</v>
      </c>
      <c r="AO31" s="72">
        <f t="shared" si="26"/>
        <v>0</v>
      </c>
      <c r="AP31" s="39"/>
      <c r="AQ31" s="72">
        <f t="shared" si="8"/>
        <v>0</v>
      </c>
      <c r="AR31" s="72">
        <f t="shared" si="27"/>
        <v>0</v>
      </c>
      <c r="AS31" s="39"/>
      <c r="AT31" s="40">
        <f>IF($K31&lt;=$F$15,IF($F$40&lt;&gt;"",$F$40/1000,IF(ISERROR(VLOOKUP($F$3&amp;IF($G$4&lt;&gt;"",$G$4,"")&amp;IF($F$43&lt;&gt;"","_"&amp;$F$43,""),'表3）燃料価格'!$AF$9:$AG$25,2,0)),0,VLOOKUP($I31,'表3）燃料価格'!$A$6:$U$66,VLOOKUP($F$3&amp;IF($G$4&lt;&gt;"",$G$4,"")&amp;IF($F$43&lt;&gt;"","_"&amp;$F$43,""),'表3）燃料価格'!$AF$9:$AG$25,2,0)+VLOOKUP($F$41,'表3）燃料価格'!$AF$28:$AG$29,2,0),0)*IF($F$43="需要地価格",1,$F$8/$F$141))),"")</f>
        <v>57.264156468957793</v>
      </c>
      <c r="AU31" s="39"/>
      <c r="AV31" s="72">
        <f t="shared" si="9"/>
        <v>80649714.173182085</v>
      </c>
      <c r="AW31" s="72">
        <f t="shared" si="10"/>
        <v>48794403.427455299</v>
      </c>
      <c r="AX31" s="39"/>
      <c r="AY31" s="40">
        <f>IF(ISERROR(IF($K31&lt;=$F$15,VLOOKUP($I31,'表4）CO2価格'!$A$7:$E$67,VLOOKUP($F$48,'表4）CO2価格'!$H$10:$I$12,2,0),0)*$F$8/1000,"")),0,IF($K31&lt;=$F$15,VLOOKUP($I31,'表4）CO2価格'!$A$7:$E$67,VLOOKUP($F$48,'表4）CO2価格'!$H$10:$I$12,2,0),0)*$F$8/1000,""))</f>
        <v>5.0503999999999802</v>
      </c>
      <c r="AZ31" s="39"/>
      <c r="BA31" s="42">
        <f t="shared" si="11"/>
        <v>19247103.603285521</v>
      </c>
      <c r="BB31" s="72">
        <f t="shared" si="28"/>
        <v>11644814.214865895</v>
      </c>
      <c r="BC31" s="39"/>
      <c r="BD31" s="72">
        <f t="shared" si="12"/>
        <v>22884356.396640413</v>
      </c>
      <c r="BE31" s="72">
        <f t="shared" si="29"/>
        <v>13845411.972540438</v>
      </c>
      <c r="BF31" s="39"/>
      <c r="BG31" s="42">
        <f t="shared" si="13"/>
        <v>5461365.6474322649</v>
      </c>
      <c r="BH31" s="72">
        <f t="shared" si="30"/>
        <v>3304216.0334681966</v>
      </c>
      <c r="BI31" s="39"/>
      <c r="BJ31" s="40" t="str">
        <f t="shared" si="31"/>
        <v/>
      </c>
      <c r="BK31" s="157" t="str">
        <f t="shared" si="32"/>
        <v/>
      </c>
      <c r="BL31" s="157" t="str">
        <f t="shared" si="14"/>
        <v/>
      </c>
      <c r="BM31" s="72"/>
      <c r="BN31" s="72" t="str">
        <f t="shared" si="33"/>
        <v/>
      </c>
      <c r="BO31" s="72" t="str">
        <f t="shared" si="34"/>
        <v/>
      </c>
      <c r="BP31" s="39"/>
      <c r="BQ31" s="72">
        <f t="shared" si="15"/>
        <v>4588488</v>
      </c>
      <c r="BR31" s="72">
        <f t="shared" si="35"/>
        <v>2776110.7015613825</v>
      </c>
    </row>
    <row r="32" spans="3:70" x14ac:dyDescent="0.15">
      <c r="I32" s="322">
        <f t="shared" si="36"/>
        <v>2037</v>
      </c>
      <c r="J32" s="71"/>
      <c r="K32" s="71">
        <f t="shared" si="37"/>
        <v>18</v>
      </c>
      <c r="L32" s="71"/>
      <c r="M32" s="7">
        <f t="shared" si="0"/>
        <v>0.5873946076162827</v>
      </c>
      <c r="N32" s="71"/>
      <c r="O32" s="10">
        <f t="shared" si="16"/>
        <v>0</v>
      </c>
      <c r="P32" s="29" t="str">
        <f t="shared" si="1"/>
        <v>-</v>
      </c>
      <c r="Q32" s="71"/>
      <c r="R32" s="10">
        <f t="shared" si="17"/>
        <v>14345023.961963</v>
      </c>
      <c r="S32" s="71"/>
      <c r="T32" s="10">
        <f t="shared" si="18"/>
        <v>14345000</v>
      </c>
      <c r="U32" s="71"/>
      <c r="V32" s="10">
        <f t="shared" si="2"/>
        <v>0</v>
      </c>
      <c r="W32" s="10">
        <f t="shared" si="19"/>
        <v>0</v>
      </c>
      <c r="X32" s="71"/>
      <c r="Y32" s="10">
        <f t="shared" si="3"/>
        <v>200800</v>
      </c>
      <c r="Z32" s="10">
        <f t="shared" si="20"/>
        <v>117948.83720934957</v>
      </c>
      <c r="AA32" s="71"/>
      <c r="AB32" s="10">
        <f t="shared" si="4"/>
        <v>0</v>
      </c>
      <c r="AC32" s="10">
        <f t="shared" si="21"/>
        <v>0</v>
      </c>
      <c r="AD32" s="71"/>
      <c r="AE32" s="10">
        <f t="shared" si="5"/>
        <v>0</v>
      </c>
      <c r="AF32" s="10">
        <f t="shared" si="22"/>
        <v>0</v>
      </c>
      <c r="AG32" s="71"/>
      <c r="AH32" s="10">
        <f t="shared" si="6"/>
        <v>0</v>
      </c>
      <c r="AI32" s="10">
        <f t="shared" si="23"/>
        <v>0</v>
      </c>
      <c r="AJ32" s="71"/>
      <c r="AK32" s="10">
        <f t="shared" si="24"/>
        <v>11850000</v>
      </c>
      <c r="AL32" s="10">
        <f t="shared" si="25"/>
        <v>6960626.1002529496</v>
      </c>
      <c r="AM32" s="71"/>
      <c r="AN32" s="10">
        <f t="shared" si="7"/>
        <v>0</v>
      </c>
      <c r="AO32" s="10">
        <f t="shared" si="26"/>
        <v>0</v>
      </c>
      <c r="AP32" s="71"/>
      <c r="AQ32" s="10">
        <f t="shared" si="8"/>
        <v>0</v>
      </c>
      <c r="AR32" s="10">
        <f t="shared" si="27"/>
        <v>0</v>
      </c>
      <c r="AS32" s="71"/>
      <c r="AT32" s="7">
        <f>IF($K32&lt;=$F$15,IF($F$40&lt;&gt;"",$F$40/1000,IF(ISERROR(VLOOKUP($F$3&amp;IF($G$4&lt;&gt;"",$G$4,"")&amp;IF($F$43&lt;&gt;"","_"&amp;$F$43,""),'表3）燃料価格'!$AF$9:$AG$25,2,0)),0,VLOOKUP($I32,'表3）燃料価格'!$A$6:$U$66,VLOOKUP($F$3&amp;IF($G$4&lt;&gt;"",$G$4,"")&amp;IF($F$43&lt;&gt;"","_"&amp;$F$43,""),'表3）燃料価格'!$AF$9:$AG$25,2,0)+VLOOKUP($F$41,'表3）燃料価格'!$AF$28:$AG$29,2,0),0)*IF($F$43="需要地価格",1,$F$8/$F$141))),"")</f>
        <v>57.892298904564946</v>
      </c>
      <c r="AU32" s="71"/>
      <c r="AV32" s="10">
        <f t="shared" si="9"/>
        <v>81430723.449329972</v>
      </c>
      <c r="AW32" s="10">
        <f t="shared" si="10"/>
        <v>47831967.84842921</v>
      </c>
      <c r="AX32" s="71"/>
      <c r="AY32" s="7">
        <f>IF(ISERROR(IF($K32&lt;=$F$15,VLOOKUP($I32,'表4）CO2価格'!$A$7:$E$67,VLOOKUP($F$48,'表4）CO2価格'!$H$10:$I$12,2,0),0)*$F$8/1000,"")),0,IF($K32&lt;=$F$15,VLOOKUP($I32,'表4）CO2価格'!$A$7:$E$67,VLOOKUP($F$48,'表4）CO2価格'!$H$10:$I$12,2,0),0)*$F$8/1000,""))</f>
        <v>5.1788000000000105</v>
      </c>
      <c r="AZ32" s="71"/>
      <c r="BA32" s="11">
        <f t="shared" si="11"/>
        <v>19736436.745742049</v>
      </c>
      <c r="BB32" s="10">
        <f t="shared" si="28"/>
        <v>11593076.518008735</v>
      </c>
      <c r="BC32" s="71"/>
      <c r="BD32" s="10">
        <f t="shared" si="12"/>
        <v>23105967.778747372</v>
      </c>
      <c r="BE32" s="10">
        <f t="shared" si="29"/>
        <v>13572320.876991784</v>
      </c>
      <c r="BF32" s="71"/>
      <c r="BG32" s="11">
        <f t="shared" si="13"/>
        <v>5600213.9266043045</v>
      </c>
      <c r="BH32" s="10">
        <f t="shared" si="30"/>
        <v>3289535.4619849771</v>
      </c>
      <c r="BJ32" s="7" t="str">
        <f t="shared" si="31"/>
        <v/>
      </c>
      <c r="BK32" s="158" t="str">
        <f t="shared" si="32"/>
        <v/>
      </c>
      <c r="BL32" s="158" t="str">
        <f t="shared" si="14"/>
        <v/>
      </c>
      <c r="BM32" s="10"/>
      <c r="BN32" s="10" t="str">
        <f t="shared" si="33"/>
        <v/>
      </c>
      <c r="BO32" s="10" t="str">
        <f t="shared" si="34"/>
        <v/>
      </c>
      <c r="BQ32" s="10">
        <f t="shared" si="15"/>
        <v>4588488</v>
      </c>
      <c r="BR32" s="10">
        <f t="shared" si="35"/>
        <v>2695253.1083120219</v>
      </c>
    </row>
    <row r="33" spans="3:70" x14ac:dyDescent="0.15">
      <c r="D33" s="81" t="s">
        <v>88</v>
      </c>
      <c r="F33" s="66"/>
      <c r="G33" s="81" t="s">
        <v>119</v>
      </c>
      <c r="I33" s="38">
        <f t="shared" si="36"/>
        <v>2038</v>
      </c>
      <c r="J33" s="39"/>
      <c r="K33" s="39">
        <f t="shared" si="37"/>
        <v>19</v>
      </c>
      <c r="L33" s="39"/>
      <c r="M33" s="40">
        <f t="shared" si="0"/>
        <v>0.57028602681192497</v>
      </c>
      <c r="N33" s="39"/>
      <c r="O33" s="72">
        <f t="shared" si="16"/>
        <v>0</v>
      </c>
      <c r="P33" s="41" t="str">
        <f t="shared" si="1"/>
        <v>-</v>
      </c>
      <c r="Q33" s="39"/>
      <c r="R33" s="72">
        <f t="shared" si="17"/>
        <v>12303668.217363764</v>
      </c>
      <c r="S33" s="39"/>
      <c r="T33" s="72">
        <f t="shared" si="18"/>
        <v>12303000</v>
      </c>
      <c r="U33" s="39"/>
      <c r="V33" s="72">
        <f t="shared" si="2"/>
        <v>0</v>
      </c>
      <c r="W33" s="72">
        <f t="shared" si="19"/>
        <v>0</v>
      </c>
      <c r="X33" s="39"/>
      <c r="Y33" s="72">
        <f t="shared" si="3"/>
        <v>172200</v>
      </c>
      <c r="Z33" s="72">
        <f t="shared" si="20"/>
        <v>98203.253817013479</v>
      </c>
      <c r="AA33" s="39"/>
      <c r="AB33" s="72">
        <f t="shared" si="4"/>
        <v>0</v>
      </c>
      <c r="AC33" s="72">
        <f t="shared" si="21"/>
        <v>0</v>
      </c>
      <c r="AD33" s="39"/>
      <c r="AE33" s="72">
        <f t="shared" si="5"/>
        <v>0</v>
      </c>
      <c r="AF33" s="72">
        <f t="shared" si="22"/>
        <v>0</v>
      </c>
      <c r="AG33" s="39"/>
      <c r="AH33" s="72">
        <f t="shared" si="6"/>
        <v>0</v>
      </c>
      <c r="AI33" s="72">
        <f t="shared" si="23"/>
        <v>0</v>
      </c>
      <c r="AJ33" s="39"/>
      <c r="AK33" s="72">
        <f t="shared" si="24"/>
        <v>11850000</v>
      </c>
      <c r="AL33" s="72">
        <f t="shared" si="25"/>
        <v>6757889.4177213106</v>
      </c>
      <c r="AM33" s="39"/>
      <c r="AN33" s="72">
        <f t="shared" si="7"/>
        <v>0</v>
      </c>
      <c r="AO33" s="72">
        <f t="shared" si="26"/>
        <v>0</v>
      </c>
      <c r="AP33" s="39"/>
      <c r="AQ33" s="72">
        <f t="shared" si="8"/>
        <v>0</v>
      </c>
      <c r="AR33" s="72">
        <f t="shared" si="27"/>
        <v>0</v>
      </c>
      <c r="AS33" s="39"/>
      <c r="AT33" s="40">
        <f>IF($K33&lt;=$F$15,IF($F$40&lt;&gt;"",$F$40/1000,IF(ISERROR(VLOOKUP($F$3&amp;IF($G$4&lt;&gt;"",$G$4,"")&amp;IF($F$43&lt;&gt;"","_"&amp;$F$43,""),'表3）燃料価格'!$AF$9:$AG$25,2,0)),0,VLOOKUP($I33,'表3）燃料価格'!$A$6:$U$66,VLOOKUP($F$3&amp;IF($G$4&lt;&gt;"",$G$4,"")&amp;IF($F$43&lt;&gt;"","_"&amp;$F$43,""),'表3）燃料価格'!$AF$9:$AG$25,2,0)+VLOOKUP($F$41,'表3）燃料価格'!$AF$28:$AG$29,2,0),0)*IF($F$43="需要地価格",1,$F$8/$F$141))),"")</f>
        <v>58.520441340172106</v>
      </c>
      <c r="AU33" s="39"/>
      <c r="AV33" s="72">
        <f t="shared" si="9"/>
        <v>82211732.725477859</v>
      </c>
      <c r="AW33" s="72">
        <f t="shared" si="10"/>
        <v>46884202.413336679</v>
      </c>
      <c r="AX33" s="39"/>
      <c r="AY33" s="40">
        <f>IF(ISERROR(IF($K33&lt;=$F$15,VLOOKUP($I33,'表4）CO2価格'!$A$7:$E$67,VLOOKUP($F$48,'表4）CO2価格'!$H$10:$I$12,2,0),0)*$F$8/1000,"")),0,IF($K33&lt;=$F$15,VLOOKUP($I33,'表4）CO2価格'!$A$7:$E$67,VLOOKUP($F$48,'表4）CO2価格'!$H$10:$I$12,2,0),0)*$F$8/1000,""))</f>
        <v>5.3071999999999901</v>
      </c>
      <c r="AZ33" s="39"/>
      <c r="BA33" s="42">
        <f t="shared" si="11"/>
        <v>20225769.888198383</v>
      </c>
      <c r="BB33" s="72">
        <f t="shared" si="28"/>
        <v>11534473.948752929</v>
      </c>
      <c r="BC33" s="39"/>
      <c r="BD33" s="72">
        <f t="shared" si="12"/>
        <v>23327579.160854336</v>
      </c>
      <c r="BE33" s="72">
        <f t="shared" si="29"/>
        <v>13303392.434784278</v>
      </c>
      <c r="BF33" s="39"/>
      <c r="BG33" s="42">
        <f t="shared" si="13"/>
        <v>5739062.20577629</v>
      </c>
      <c r="BH33" s="72">
        <f t="shared" si="30"/>
        <v>3272906.9829586428</v>
      </c>
      <c r="BI33" s="39"/>
      <c r="BJ33" s="40" t="str">
        <f t="shared" si="31"/>
        <v/>
      </c>
      <c r="BK33" s="157" t="str">
        <f t="shared" si="32"/>
        <v/>
      </c>
      <c r="BL33" s="157" t="str">
        <f t="shared" si="14"/>
        <v/>
      </c>
      <c r="BM33" s="72"/>
      <c r="BN33" s="72" t="str">
        <f t="shared" si="33"/>
        <v/>
      </c>
      <c r="BO33" s="72" t="str">
        <f t="shared" si="34"/>
        <v/>
      </c>
      <c r="BP33" s="39"/>
      <c r="BQ33" s="72">
        <f t="shared" si="15"/>
        <v>4588488</v>
      </c>
      <c r="BR33" s="72">
        <f t="shared" si="35"/>
        <v>2616750.5905941962</v>
      </c>
    </row>
    <row r="34" spans="3:70" x14ac:dyDescent="0.15">
      <c r="D34" s="81" t="s">
        <v>120</v>
      </c>
      <c r="F34" s="109">
        <v>0.79</v>
      </c>
      <c r="G34" s="81" t="s">
        <v>227</v>
      </c>
      <c r="I34" s="322">
        <f t="shared" si="36"/>
        <v>2039</v>
      </c>
      <c r="J34" s="71"/>
      <c r="K34" s="71">
        <f t="shared" si="37"/>
        <v>20</v>
      </c>
      <c r="L34" s="71"/>
      <c r="M34" s="7">
        <f t="shared" si="0"/>
        <v>0.55367575418633497</v>
      </c>
      <c r="N34" s="71"/>
      <c r="O34" s="10">
        <f t="shared" si="16"/>
        <v>0</v>
      </c>
      <c r="P34" s="29" t="str">
        <f t="shared" si="1"/>
        <v>-</v>
      </c>
      <c r="Q34" s="71"/>
      <c r="R34" s="10">
        <f t="shared" si="17"/>
        <v>10552805.767656038</v>
      </c>
      <c r="S34" s="71"/>
      <c r="T34" s="10">
        <f t="shared" si="18"/>
        <v>10552000</v>
      </c>
      <c r="U34" s="71"/>
      <c r="V34" s="10">
        <f t="shared" si="2"/>
        <v>0</v>
      </c>
      <c r="W34" s="10">
        <f t="shared" si="19"/>
        <v>0</v>
      </c>
      <c r="X34" s="71"/>
      <c r="Y34" s="10">
        <f t="shared" si="3"/>
        <v>147700</v>
      </c>
      <c r="Z34" s="10">
        <f t="shared" si="20"/>
        <v>81777.90889332167</v>
      </c>
      <c r="AA34" s="71"/>
      <c r="AB34" s="10">
        <f t="shared" si="4"/>
        <v>0</v>
      </c>
      <c r="AC34" s="10">
        <f t="shared" si="21"/>
        <v>0</v>
      </c>
      <c r="AD34" s="71"/>
      <c r="AE34" s="10">
        <f t="shared" si="5"/>
        <v>0</v>
      </c>
      <c r="AF34" s="10">
        <f t="shared" si="22"/>
        <v>0</v>
      </c>
      <c r="AG34" s="71"/>
      <c r="AH34" s="10">
        <f t="shared" si="6"/>
        <v>0</v>
      </c>
      <c r="AI34" s="10">
        <f t="shared" si="23"/>
        <v>0</v>
      </c>
      <c r="AJ34" s="71"/>
      <c r="AK34" s="10">
        <f t="shared" si="24"/>
        <v>11850000</v>
      </c>
      <c r="AL34" s="10">
        <f t="shared" si="25"/>
        <v>6561057.6871080697</v>
      </c>
      <c r="AM34" s="71"/>
      <c r="AN34" s="10">
        <f t="shared" si="7"/>
        <v>0</v>
      </c>
      <c r="AO34" s="10">
        <f t="shared" si="26"/>
        <v>0</v>
      </c>
      <c r="AP34" s="71"/>
      <c r="AQ34" s="10">
        <f t="shared" si="8"/>
        <v>0</v>
      </c>
      <c r="AR34" s="10">
        <f t="shared" si="27"/>
        <v>0</v>
      </c>
      <c r="AS34" s="71"/>
      <c r="AT34" s="7">
        <f>IF($K34&lt;=$F$15,IF($F$40&lt;&gt;"",$F$40/1000,IF(ISERROR(VLOOKUP($F$3&amp;IF($G$4&lt;&gt;"",$G$4,"")&amp;IF($F$43&lt;&gt;"","_"&amp;$F$43,""),'表3）燃料価格'!$AF$9:$AG$25,2,0)),0,VLOOKUP($I34,'表3）燃料価格'!$A$6:$U$66,VLOOKUP($F$3&amp;IF($G$4&lt;&gt;"",$G$4,"")&amp;IF($F$43&lt;&gt;"","_"&amp;$F$43,""),'表3）燃料価格'!$AF$9:$AG$25,2,0)+VLOOKUP($F$41,'表3）燃料価格'!$AF$28:$AG$29,2,0),0)*IF($F$43="需要地価格",1,$F$8/$F$141))),"")</f>
        <v>59.148583775779258</v>
      </c>
      <c r="AU34" s="71"/>
      <c r="AV34" s="10">
        <f t="shared" si="9"/>
        <v>82992742.001625732</v>
      </c>
      <c r="AW34" s="10">
        <f t="shared" si="10"/>
        <v>45951069.019742049</v>
      </c>
      <c r="AX34" s="71"/>
      <c r="AY34" s="7">
        <f>IF(ISERROR(IF($K34&lt;=$F$15,VLOOKUP($I34,'表4）CO2価格'!$A$7:$E$67,VLOOKUP($F$48,'表4）CO2価格'!$H$10:$I$12,2,0),0)*$F$8/1000,"")),0,IF($K34&lt;=$F$15,VLOOKUP($I34,'表4）CO2価格'!$A$7:$E$67,VLOOKUP($F$48,'表4）CO2価格'!$H$10:$I$12,2,0),0)*$F$8/1000,""))</f>
        <v>5.4355999999999716</v>
      </c>
      <c r="AZ34" s="71"/>
      <c r="BA34" s="11">
        <f t="shared" si="11"/>
        <v>20715103.030654728</v>
      </c>
      <c r="BB34" s="10">
        <f t="shared" si="28"/>
        <v>11469450.29354539</v>
      </c>
      <c r="BC34" s="71"/>
      <c r="BD34" s="10">
        <f t="shared" si="12"/>
        <v>23549190.542961292</v>
      </c>
      <c r="BE34" s="10">
        <f t="shared" si="29"/>
        <v>13038615.8343518</v>
      </c>
      <c r="BF34" s="71"/>
      <c r="BG34" s="11">
        <f t="shared" si="13"/>
        <v>5877910.4849482765</v>
      </c>
      <c r="BH34" s="10">
        <f t="shared" si="30"/>
        <v>3254456.5207935032</v>
      </c>
      <c r="BJ34" s="7" t="str">
        <f t="shared" si="31"/>
        <v/>
      </c>
      <c r="BK34" s="158" t="str">
        <f t="shared" si="32"/>
        <v/>
      </c>
      <c r="BL34" s="158" t="str">
        <f t="shared" si="14"/>
        <v/>
      </c>
      <c r="BM34" s="10"/>
      <c r="BN34" s="10" t="str">
        <f t="shared" si="33"/>
        <v/>
      </c>
      <c r="BO34" s="10" t="str">
        <f t="shared" si="34"/>
        <v/>
      </c>
      <c r="BQ34" s="10">
        <f t="shared" si="15"/>
        <v>4588488</v>
      </c>
      <c r="BR34" s="10">
        <f t="shared" si="35"/>
        <v>2540534.5539749479</v>
      </c>
    </row>
    <row r="35" spans="3:70" x14ac:dyDescent="0.15">
      <c r="D35" s="81" t="s">
        <v>122</v>
      </c>
      <c r="F35" s="66"/>
      <c r="G35" s="81" t="s">
        <v>121</v>
      </c>
      <c r="I35" s="38">
        <f t="shared" si="36"/>
        <v>2040</v>
      </c>
      <c r="J35" s="39"/>
      <c r="K35" s="39">
        <f t="shared" si="37"/>
        <v>21</v>
      </c>
      <c r="L35" s="39"/>
      <c r="M35" s="40">
        <f t="shared" si="0"/>
        <v>0.5375492759090631</v>
      </c>
      <c r="N35" s="39"/>
      <c r="O35" s="72">
        <f t="shared" si="16"/>
        <v>0</v>
      </c>
      <c r="P35" s="41" t="str">
        <f t="shared" si="1"/>
        <v>-</v>
      </c>
      <c r="Q35" s="39"/>
      <c r="R35" s="72">
        <f t="shared" si="17"/>
        <v>9750000</v>
      </c>
      <c r="S35" s="39"/>
      <c r="T35" s="72">
        <f t="shared" si="18"/>
        <v>9750000</v>
      </c>
      <c r="U35" s="39"/>
      <c r="V35" s="72">
        <f t="shared" si="2"/>
        <v>0</v>
      </c>
      <c r="W35" s="72">
        <f t="shared" si="19"/>
        <v>0</v>
      </c>
      <c r="X35" s="39"/>
      <c r="Y35" s="72">
        <f t="shared" si="3"/>
        <v>136500</v>
      </c>
      <c r="Z35" s="72">
        <f t="shared" si="20"/>
        <v>73375.47616158711</v>
      </c>
      <c r="AA35" s="39"/>
      <c r="AB35" s="72">
        <f t="shared" si="4"/>
        <v>0</v>
      </c>
      <c r="AC35" s="72">
        <f t="shared" si="21"/>
        <v>0</v>
      </c>
      <c r="AD35" s="39"/>
      <c r="AE35" s="72">
        <f t="shared" si="5"/>
        <v>0</v>
      </c>
      <c r="AF35" s="72">
        <f t="shared" si="22"/>
        <v>0</v>
      </c>
      <c r="AG35" s="39"/>
      <c r="AH35" s="72">
        <f t="shared" si="6"/>
        <v>0</v>
      </c>
      <c r="AI35" s="72">
        <f t="shared" si="23"/>
        <v>0</v>
      </c>
      <c r="AJ35" s="39"/>
      <c r="AK35" s="72">
        <f t="shared" si="24"/>
        <v>11850000</v>
      </c>
      <c r="AL35" s="72">
        <f t="shared" si="25"/>
        <v>6369958.9195223972</v>
      </c>
      <c r="AM35" s="39"/>
      <c r="AN35" s="72">
        <f t="shared" si="7"/>
        <v>0</v>
      </c>
      <c r="AO35" s="72">
        <f t="shared" si="26"/>
        <v>0</v>
      </c>
      <c r="AP35" s="39"/>
      <c r="AQ35" s="72">
        <f t="shared" si="8"/>
        <v>0</v>
      </c>
      <c r="AR35" s="72">
        <f t="shared" si="27"/>
        <v>0</v>
      </c>
      <c r="AS35" s="39"/>
      <c r="AT35" s="40">
        <f>IF($K35&lt;=$F$15,IF($F$40&lt;&gt;"",$F$40/1000,IF(ISERROR(VLOOKUP($F$3&amp;IF($G$4&lt;&gt;"",$G$4,"")&amp;IF($F$43&lt;&gt;"","_"&amp;$F$43,""),'表3）燃料価格'!$AF$9:$AG$25,2,0)),0,VLOOKUP($I35,'表3）燃料価格'!$A$6:$U$66,VLOOKUP($F$3&amp;IF($G$4&lt;&gt;"",$G$4,"")&amp;IF($F$43&lt;&gt;"","_"&amp;$F$43,""),'表3）燃料価格'!$AF$9:$AG$25,2,0)+VLOOKUP($F$41,'表3）燃料価格'!$AF$28:$AG$29,2,0),0)*IF($F$43="需要地価格",1,$F$8/$F$141))),"")</f>
        <v>59.776726211386411</v>
      </c>
      <c r="AU35" s="39"/>
      <c r="AV35" s="72">
        <f t="shared" si="9"/>
        <v>83773751.277773604</v>
      </c>
      <c r="AW35" s="72">
        <f t="shared" si="10"/>
        <v>45032519.339553148</v>
      </c>
      <c r="AX35" s="39"/>
      <c r="AY35" s="40">
        <f>IF(ISERROR(IF($K35&lt;=$F$15,VLOOKUP($I35,'表4）CO2価格'!$A$7:$E$67,VLOOKUP($F$48,'表4）CO2価格'!$H$10:$I$12,2,0),0)*$F$8/1000,"")),0,IF($K35&lt;=$F$15,VLOOKUP($I35,'表4）CO2価格'!$A$7:$E$67,VLOOKUP($F$48,'表4）CO2価格'!$H$10:$I$12,2,0),0)*$F$8/1000,""))</f>
        <v>5.5640000000000001</v>
      </c>
      <c r="AZ35" s="39"/>
      <c r="BA35" s="42">
        <f t="shared" si="11"/>
        <v>21204436.173111249</v>
      </c>
      <c r="BB35" s="72">
        <f t="shared" si="28"/>
        <v>11398429.310915897</v>
      </c>
      <c r="BC35" s="39"/>
      <c r="BD35" s="72">
        <f t="shared" si="12"/>
        <v>23770801.925068256</v>
      </c>
      <c r="BE35" s="72">
        <f t="shared" si="29"/>
        <v>12777977.362598203</v>
      </c>
      <c r="BF35" s="39"/>
      <c r="BG35" s="42">
        <f t="shared" si="13"/>
        <v>6016758.7641203152</v>
      </c>
      <c r="BH35" s="72">
        <f t="shared" si="30"/>
        <v>3234304.3169723847</v>
      </c>
      <c r="BI35" s="39"/>
      <c r="BJ35" s="40" t="str">
        <f t="shared" si="31"/>
        <v/>
      </c>
      <c r="BK35" s="157" t="str">
        <f t="shared" si="32"/>
        <v/>
      </c>
      <c r="BL35" s="157" t="str">
        <f t="shared" si="14"/>
        <v/>
      </c>
      <c r="BM35" s="72"/>
      <c r="BN35" s="72" t="str">
        <f t="shared" si="33"/>
        <v/>
      </c>
      <c r="BO35" s="72" t="str">
        <f t="shared" si="34"/>
        <v/>
      </c>
      <c r="BP35" s="39"/>
      <c r="BQ35" s="72">
        <f t="shared" si="15"/>
        <v>4588488</v>
      </c>
      <c r="BR35" s="72">
        <f t="shared" si="35"/>
        <v>2466538.401917425</v>
      </c>
    </row>
    <row r="36" spans="3:70" x14ac:dyDescent="0.15">
      <c r="D36" s="81" t="s">
        <v>177</v>
      </c>
      <c r="F36" s="106"/>
      <c r="G36" s="81" t="s">
        <v>123</v>
      </c>
      <c r="I36" s="322">
        <f t="shared" si="36"/>
        <v>2041</v>
      </c>
      <c r="J36" s="71"/>
      <c r="K36" s="71">
        <f t="shared" si="37"/>
        <v>22</v>
      </c>
      <c r="L36" s="71"/>
      <c r="M36" s="7">
        <f t="shared" si="0"/>
        <v>0.52189250088258554</v>
      </c>
      <c r="N36" s="71"/>
      <c r="O36" s="10">
        <f t="shared" si="16"/>
        <v>0</v>
      </c>
      <c r="P36" s="29" t="str">
        <f t="shared" si="1"/>
        <v>-</v>
      </c>
      <c r="Q36" s="71"/>
      <c r="R36" s="10">
        <f t="shared" si="17"/>
        <v>9750000</v>
      </c>
      <c r="S36" s="71"/>
      <c r="T36" s="10">
        <f t="shared" si="18"/>
        <v>9750000</v>
      </c>
      <c r="U36" s="71"/>
      <c r="V36" s="10">
        <f t="shared" si="2"/>
        <v>0</v>
      </c>
      <c r="W36" s="10">
        <f t="shared" si="19"/>
        <v>0</v>
      </c>
      <c r="X36" s="71"/>
      <c r="Y36" s="10">
        <f t="shared" si="3"/>
        <v>136500</v>
      </c>
      <c r="Z36" s="10">
        <f t="shared" si="20"/>
        <v>71238.326370472932</v>
      </c>
      <c r="AA36" s="71"/>
      <c r="AB36" s="10">
        <f t="shared" si="4"/>
        <v>0</v>
      </c>
      <c r="AC36" s="10">
        <f t="shared" si="21"/>
        <v>0</v>
      </c>
      <c r="AD36" s="71"/>
      <c r="AE36" s="10">
        <f t="shared" si="5"/>
        <v>0</v>
      </c>
      <c r="AF36" s="10">
        <f t="shared" si="22"/>
        <v>0</v>
      </c>
      <c r="AG36" s="71"/>
      <c r="AH36" s="10">
        <f t="shared" si="6"/>
        <v>0</v>
      </c>
      <c r="AI36" s="10">
        <f t="shared" si="23"/>
        <v>0</v>
      </c>
      <c r="AJ36" s="71"/>
      <c r="AK36" s="10">
        <f t="shared" si="24"/>
        <v>11850000</v>
      </c>
      <c r="AL36" s="10">
        <f t="shared" si="25"/>
        <v>6184426.1354586389</v>
      </c>
      <c r="AM36" s="71"/>
      <c r="AN36" s="10">
        <f t="shared" si="7"/>
        <v>0</v>
      </c>
      <c r="AO36" s="10">
        <f t="shared" si="26"/>
        <v>0</v>
      </c>
      <c r="AP36" s="71"/>
      <c r="AQ36" s="10">
        <f t="shared" si="8"/>
        <v>0</v>
      </c>
      <c r="AR36" s="10">
        <f t="shared" si="27"/>
        <v>0</v>
      </c>
      <c r="AS36" s="71"/>
      <c r="AT36" s="7">
        <f>IF($K36&lt;=$F$15,IF($F$40&lt;&gt;"",$F$40/1000,IF(ISERROR(VLOOKUP($F$3&amp;IF($G$4&lt;&gt;"",$G$4,"")&amp;IF($F$43&lt;&gt;"","_"&amp;$F$43,""),'表3）燃料価格'!$AF$9:$AG$25,2,0)),0,VLOOKUP($I36,'表3）燃料価格'!$A$6:$U$66,VLOOKUP($F$3&amp;IF($G$4&lt;&gt;"",$G$4,"")&amp;IF($F$43&lt;&gt;"","_"&amp;$F$43,""),'表3）燃料価格'!$AF$9:$AG$25,2,0)+VLOOKUP($F$41,'表3）燃料価格'!$AF$28:$AG$29,2,0),0)*IF($F$43="需要地価格",1,$F$8/$F$141))),"")</f>
        <v>60.116801573510507</v>
      </c>
      <c r="AU36" s="71"/>
      <c r="AV36" s="10">
        <f t="shared" si="9"/>
        <v>84196588.515559554</v>
      </c>
      <c r="AW36" s="10">
        <f t="shared" si="10"/>
        <v>43941568.146167353</v>
      </c>
      <c r="AX36" s="71"/>
      <c r="AY36" s="7">
        <f>IF(ISERROR(IF($K36&lt;=$F$15,VLOOKUP($I36,'表4）CO2価格'!$A$7:$E$67,VLOOKUP($F$48,'表4）CO2価格'!$H$10:$I$12,2,0),0)*$F$8/1000,"")),0,IF($K36&lt;=$F$15,VLOOKUP($I36,'表4）CO2価格'!$A$7:$E$67,VLOOKUP($F$48,'表4）CO2価格'!$H$10:$I$12,2,0),0)*$F$8/1000,""))</f>
        <v>5.6923999999999806</v>
      </c>
      <c r="AZ36" s="71"/>
      <c r="BA36" s="11">
        <f t="shared" si="11"/>
        <v>21693769.315567587</v>
      </c>
      <c r="BB36" s="10">
        <f t="shared" si="28"/>
        <v>11321815.521671465</v>
      </c>
      <c r="BC36" s="71"/>
      <c r="BD36" s="10">
        <f t="shared" si="12"/>
        <v>23890781.991290018</v>
      </c>
      <c r="BE36" s="10">
        <f t="shared" si="29"/>
        <v>12468419.961474985</v>
      </c>
      <c r="BF36" s="71"/>
      <c r="BG36" s="11">
        <f t="shared" si="13"/>
        <v>6155607.0432923008</v>
      </c>
      <c r="BH36" s="10">
        <f t="shared" si="30"/>
        <v>3212565.1542742769</v>
      </c>
      <c r="BJ36" s="7" t="str">
        <f t="shared" si="31"/>
        <v/>
      </c>
      <c r="BK36" s="158" t="str">
        <f t="shared" si="32"/>
        <v/>
      </c>
      <c r="BL36" s="158" t="str">
        <f t="shared" si="14"/>
        <v/>
      </c>
      <c r="BM36" s="10"/>
      <c r="BN36" s="10" t="str">
        <f t="shared" si="33"/>
        <v/>
      </c>
      <c r="BO36" s="10" t="str">
        <f t="shared" si="34"/>
        <v/>
      </c>
      <c r="BQ36" s="10">
        <f t="shared" si="15"/>
        <v>4588488</v>
      </c>
      <c r="BR36" s="10">
        <f t="shared" si="35"/>
        <v>2394697.477589733</v>
      </c>
    </row>
    <row r="37" spans="3:70" x14ac:dyDescent="0.15">
      <c r="I37" s="38">
        <f t="shared" si="36"/>
        <v>2042</v>
      </c>
      <c r="J37" s="39"/>
      <c r="K37" s="39">
        <f t="shared" si="37"/>
        <v>23</v>
      </c>
      <c r="L37" s="39"/>
      <c r="M37" s="40">
        <f t="shared" si="0"/>
        <v>0.50669174842969467</v>
      </c>
      <c r="N37" s="39"/>
      <c r="O37" s="72">
        <f t="shared" si="16"/>
        <v>0</v>
      </c>
      <c r="P37" s="41" t="str">
        <f t="shared" si="1"/>
        <v>-</v>
      </c>
      <c r="Q37" s="39"/>
      <c r="R37" s="72">
        <f t="shared" si="17"/>
        <v>9750000</v>
      </c>
      <c r="S37" s="39"/>
      <c r="T37" s="72">
        <f t="shared" si="18"/>
        <v>9750000</v>
      </c>
      <c r="U37" s="39"/>
      <c r="V37" s="72">
        <f t="shared" si="2"/>
        <v>0</v>
      </c>
      <c r="W37" s="72">
        <f t="shared" si="19"/>
        <v>0</v>
      </c>
      <c r="X37" s="39"/>
      <c r="Y37" s="72">
        <f t="shared" si="3"/>
        <v>136500</v>
      </c>
      <c r="Z37" s="72">
        <f t="shared" si="20"/>
        <v>69163.423660653323</v>
      </c>
      <c r="AA37" s="39"/>
      <c r="AB37" s="72">
        <f t="shared" si="4"/>
        <v>0</v>
      </c>
      <c r="AC37" s="72">
        <f t="shared" si="21"/>
        <v>0</v>
      </c>
      <c r="AD37" s="39"/>
      <c r="AE37" s="72">
        <f t="shared" si="5"/>
        <v>0</v>
      </c>
      <c r="AF37" s="72">
        <f t="shared" si="22"/>
        <v>0</v>
      </c>
      <c r="AG37" s="39"/>
      <c r="AH37" s="72">
        <f t="shared" si="6"/>
        <v>0</v>
      </c>
      <c r="AI37" s="72">
        <f t="shared" si="23"/>
        <v>0</v>
      </c>
      <c r="AJ37" s="39"/>
      <c r="AK37" s="72">
        <f t="shared" si="24"/>
        <v>11850000</v>
      </c>
      <c r="AL37" s="72">
        <f t="shared" si="25"/>
        <v>6004297.2188918814</v>
      </c>
      <c r="AM37" s="39"/>
      <c r="AN37" s="72">
        <f t="shared" si="7"/>
        <v>0</v>
      </c>
      <c r="AO37" s="72">
        <f t="shared" si="26"/>
        <v>0</v>
      </c>
      <c r="AP37" s="39"/>
      <c r="AQ37" s="72">
        <f t="shared" si="8"/>
        <v>0</v>
      </c>
      <c r="AR37" s="72">
        <f t="shared" si="27"/>
        <v>0</v>
      </c>
      <c r="AS37" s="39"/>
      <c r="AT37" s="40">
        <f>IF($K37&lt;=$F$15,IF($F$40&lt;&gt;"",$F$40/1000,IF(ISERROR(VLOOKUP($F$3&amp;IF($G$4&lt;&gt;"",$G$4,"")&amp;IF($F$43&lt;&gt;"","_"&amp;$F$43,""),'表3）燃料価格'!$AF$9:$AG$25,2,0)),0,VLOOKUP($I37,'表3）燃料価格'!$A$6:$U$66,VLOOKUP($F$3&amp;IF($G$4&lt;&gt;"",$G$4,"")&amp;IF($F$43&lt;&gt;"","_"&amp;$F$43,""),'表3）燃料価格'!$AF$9:$AG$25,2,0)+VLOOKUP($F$41,'表3）燃料価格'!$AF$28:$AG$29,2,0),0)*IF($F$43="需要地価格",1,$F$8/$F$141))),"")</f>
        <v>60.444507781221034</v>
      </c>
      <c r="AU37" s="39"/>
      <c r="AV37" s="72">
        <f t="shared" si="9"/>
        <v>84604046.400212377</v>
      </c>
      <c r="AW37" s="72">
        <f t="shared" si="10"/>
        <v>42868172.194750622</v>
      </c>
      <c r="AX37" s="39"/>
      <c r="AY37" s="40">
        <f>IF(ISERROR(IF($K37&lt;=$F$15,VLOOKUP($I37,'表4）CO2価格'!$A$7:$E$67,VLOOKUP($F$48,'表4）CO2価格'!$H$10:$I$12,2,0),0)*$F$8/1000,"")),0,IF($K37&lt;=$F$15,VLOOKUP($I37,'表4）CO2価格'!$A$7:$E$67,VLOOKUP($F$48,'表4）CO2価格'!$H$10:$I$12,2,0),0)*$F$8/1000,""))</f>
        <v>5.82080000000001</v>
      </c>
      <c r="AZ37" s="39"/>
      <c r="BA37" s="42">
        <f t="shared" si="11"/>
        <v>22183102.458024114</v>
      </c>
      <c r="BB37" s="72">
        <f t="shared" si="28"/>
        <v>11239994.970051296</v>
      </c>
      <c r="BC37" s="39"/>
      <c r="BD37" s="72">
        <f t="shared" si="12"/>
        <v>24006398.166060254</v>
      </c>
      <c r="BE37" s="72">
        <f t="shared" si="29"/>
        <v>12163843.860260485</v>
      </c>
      <c r="BF37" s="39"/>
      <c r="BG37" s="42">
        <f t="shared" si="13"/>
        <v>6294455.3224643404</v>
      </c>
      <c r="BH37" s="72">
        <f t="shared" si="30"/>
        <v>3189348.5727520543</v>
      </c>
      <c r="BI37" s="39"/>
      <c r="BJ37" s="40" t="str">
        <f t="shared" si="31"/>
        <v/>
      </c>
      <c r="BK37" s="157" t="str">
        <f t="shared" si="32"/>
        <v/>
      </c>
      <c r="BL37" s="157" t="str">
        <f t="shared" si="14"/>
        <v/>
      </c>
      <c r="BM37" s="72"/>
      <c r="BN37" s="72" t="str">
        <f t="shared" si="33"/>
        <v/>
      </c>
      <c r="BO37" s="72" t="str">
        <f t="shared" si="34"/>
        <v/>
      </c>
      <c r="BP37" s="39"/>
      <c r="BQ37" s="72">
        <f t="shared" si="15"/>
        <v>4588488</v>
      </c>
      <c r="BR37" s="72">
        <f t="shared" si="35"/>
        <v>2324949.0073686726</v>
      </c>
    </row>
    <row r="38" spans="3:70" x14ac:dyDescent="0.15">
      <c r="C38" s="89" t="s">
        <v>508</v>
      </c>
      <c r="D38" s="101"/>
      <c r="E38" s="101"/>
      <c r="F38" s="89"/>
      <c r="G38" s="101"/>
      <c r="I38" s="322">
        <f t="shared" si="36"/>
        <v>2043</v>
      </c>
      <c r="J38" s="71"/>
      <c r="K38" s="71">
        <f t="shared" si="37"/>
        <v>24</v>
      </c>
      <c r="L38" s="71"/>
      <c r="M38" s="7">
        <f t="shared" si="0"/>
        <v>0.49193373633950943</v>
      </c>
      <c r="N38" s="71"/>
      <c r="O38" s="10">
        <f t="shared" si="16"/>
        <v>0</v>
      </c>
      <c r="P38" s="29" t="str">
        <f t="shared" si="1"/>
        <v>-</v>
      </c>
      <c r="Q38" s="71"/>
      <c r="R38" s="10">
        <f t="shared" si="17"/>
        <v>9750000</v>
      </c>
      <c r="S38" s="71"/>
      <c r="T38" s="10">
        <f t="shared" si="18"/>
        <v>9750000</v>
      </c>
      <c r="U38" s="71"/>
      <c r="V38" s="10">
        <f t="shared" si="2"/>
        <v>0</v>
      </c>
      <c r="W38" s="10">
        <f t="shared" si="19"/>
        <v>0</v>
      </c>
      <c r="X38" s="71"/>
      <c r="Y38" s="10">
        <f t="shared" si="3"/>
        <v>136500</v>
      </c>
      <c r="Z38" s="10">
        <f t="shared" si="20"/>
        <v>67148.955010343037</v>
      </c>
      <c r="AA38" s="71"/>
      <c r="AB38" s="10">
        <f t="shared" si="4"/>
        <v>0</v>
      </c>
      <c r="AC38" s="10">
        <f t="shared" si="21"/>
        <v>0</v>
      </c>
      <c r="AD38" s="71"/>
      <c r="AE38" s="10">
        <f t="shared" si="5"/>
        <v>0</v>
      </c>
      <c r="AF38" s="10">
        <f t="shared" si="22"/>
        <v>0</v>
      </c>
      <c r="AG38" s="71"/>
      <c r="AH38" s="10">
        <f t="shared" si="6"/>
        <v>0</v>
      </c>
      <c r="AI38" s="10">
        <f t="shared" si="23"/>
        <v>0</v>
      </c>
      <c r="AJ38" s="71"/>
      <c r="AK38" s="10">
        <f t="shared" si="24"/>
        <v>11850000</v>
      </c>
      <c r="AL38" s="10">
        <f t="shared" si="25"/>
        <v>5829414.7756231865</v>
      </c>
      <c r="AM38" s="71"/>
      <c r="AN38" s="10">
        <f t="shared" si="7"/>
        <v>0</v>
      </c>
      <c r="AO38" s="10">
        <f t="shared" si="26"/>
        <v>0</v>
      </c>
      <c r="AP38" s="71"/>
      <c r="AQ38" s="10">
        <f t="shared" si="8"/>
        <v>0</v>
      </c>
      <c r="AR38" s="10">
        <f t="shared" si="27"/>
        <v>0</v>
      </c>
      <c r="AS38" s="71"/>
      <c r="AT38" s="7">
        <f>IF($K38&lt;=$F$15,IF($F$40&lt;&gt;"",$F$40/1000,IF(ISERROR(VLOOKUP($F$3&amp;IF($G$4&lt;&gt;"",$G$4,"")&amp;IF($F$43&lt;&gt;"","_"&amp;$F$43,""),'表3）燃料価格'!$AF$9:$AG$25,2,0)),0,VLOOKUP($I38,'表3）燃料価格'!$A$6:$U$66,VLOOKUP($F$3&amp;IF($G$4&lt;&gt;"",$G$4,"")&amp;IF($F$43&lt;&gt;"","_"&amp;$F$43,""),'表3）燃料価格'!$AF$9:$AG$25,2,0)+VLOOKUP($F$41,'表3）燃料価格'!$AF$28:$AG$29,2,0),0)*IF($F$43="需要地価格",1,$F$8/$F$141))),"")</f>
        <v>60.760713122564496</v>
      </c>
      <c r="AU38" s="71"/>
      <c r="AV38" s="10">
        <f t="shared" si="9"/>
        <v>84997204.52925685</v>
      </c>
      <c r="AW38" s="10">
        <f t="shared" si="10"/>
        <v>41812992.402490795</v>
      </c>
      <c r="AX38" s="71"/>
      <c r="AY38" s="7">
        <f>IF(ISERROR(IF($K38&lt;=$F$15,VLOOKUP($I38,'表4）CO2価格'!$A$7:$E$67,VLOOKUP($F$48,'表4）CO2価格'!$H$10:$I$12,2,0),0)*$F$8/1000,"")),0,IF($K38&lt;=$F$15,VLOOKUP($I38,'表4）CO2価格'!$A$7:$E$67,VLOOKUP($F$48,'表4）CO2価格'!$H$10:$I$12,2,0),0)*$F$8/1000,""))</f>
        <v>5.9491999999999896</v>
      </c>
      <c r="AZ38" s="71"/>
      <c r="BA38" s="11">
        <f t="shared" si="11"/>
        <v>22672435.600480448</v>
      </c>
      <c r="BB38" s="10">
        <f t="shared" si="28"/>
        <v>11153335.956861256</v>
      </c>
      <c r="BC38" s="71"/>
      <c r="BD38" s="10">
        <f t="shared" si="12"/>
        <v>24117956.785176627</v>
      </c>
      <c r="BE38" s="10">
        <f t="shared" si="29"/>
        <v>11864436.594206762</v>
      </c>
      <c r="BF38" s="71"/>
      <c r="BG38" s="11">
        <f t="shared" si="13"/>
        <v>6433303.601636325</v>
      </c>
      <c r="BH38" s="10">
        <f t="shared" si="30"/>
        <v>3164759.0777593805</v>
      </c>
      <c r="BJ38" s="7" t="str">
        <f t="shared" si="31"/>
        <v/>
      </c>
      <c r="BK38" s="158" t="str">
        <f t="shared" si="32"/>
        <v/>
      </c>
      <c r="BL38" s="158" t="str">
        <f t="shared" si="14"/>
        <v/>
      </c>
      <c r="BM38" s="10"/>
      <c r="BN38" s="10" t="str">
        <f t="shared" si="33"/>
        <v/>
      </c>
      <c r="BO38" s="10" t="str">
        <f t="shared" si="34"/>
        <v/>
      </c>
      <c r="BQ38" s="10">
        <f t="shared" si="15"/>
        <v>4588488</v>
      </c>
      <c r="BR38" s="10">
        <f t="shared" si="35"/>
        <v>2257232.045989003</v>
      </c>
    </row>
    <row r="39" spans="3:70" x14ac:dyDescent="0.15">
      <c r="I39" s="38">
        <f t="shared" si="36"/>
        <v>2044</v>
      </c>
      <c r="J39" s="39"/>
      <c r="K39" s="39">
        <f t="shared" si="37"/>
        <v>25</v>
      </c>
      <c r="L39" s="39"/>
      <c r="M39" s="40">
        <f t="shared" si="0"/>
        <v>0.47760556926165965</v>
      </c>
      <c r="N39" s="39"/>
      <c r="O39" s="72">
        <f t="shared" si="16"/>
        <v>0</v>
      </c>
      <c r="P39" s="41" t="str">
        <f t="shared" si="1"/>
        <v>-</v>
      </c>
      <c r="Q39" s="39"/>
      <c r="R39" s="72">
        <f t="shared" si="17"/>
        <v>9750000</v>
      </c>
      <c r="S39" s="39"/>
      <c r="T39" s="72">
        <f t="shared" si="18"/>
        <v>9750000</v>
      </c>
      <c r="U39" s="39"/>
      <c r="V39" s="72">
        <f t="shared" si="2"/>
        <v>0</v>
      </c>
      <c r="W39" s="72">
        <f t="shared" si="19"/>
        <v>0</v>
      </c>
      <c r="X39" s="39"/>
      <c r="Y39" s="72">
        <f t="shared" si="3"/>
        <v>136500</v>
      </c>
      <c r="Z39" s="72">
        <f t="shared" si="20"/>
        <v>65193.16020421654</v>
      </c>
      <c r="AA39" s="39"/>
      <c r="AB39" s="72">
        <f t="shared" si="4"/>
        <v>0</v>
      </c>
      <c r="AC39" s="72">
        <f t="shared" si="21"/>
        <v>0</v>
      </c>
      <c r="AD39" s="39"/>
      <c r="AE39" s="72">
        <f t="shared" si="5"/>
        <v>0</v>
      </c>
      <c r="AF39" s="72">
        <f t="shared" si="22"/>
        <v>0</v>
      </c>
      <c r="AG39" s="39"/>
      <c r="AH39" s="72">
        <f t="shared" si="6"/>
        <v>0</v>
      </c>
      <c r="AI39" s="72">
        <f t="shared" si="23"/>
        <v>0</v>
      </c>
      <c r="AJ39" s="39"/>
      <c r="AK39" s="72">
        <f t="shared" si="24"/>
        <v>11850000</v>
      </c>
      <c r="AL39" s="72">
        <f t="shared" si="25"/>
        <v>5659625.9957506666</v>
      </c>
      <c r="AM39" s="39"/>
      <c r="AN39" s="72">
        <f t="shared" si="7"/>
        <v>0</v>
      </c>
      <c r="AO39" s="72">
        <f t="shared" si="26"/>
        <v>0</v>
      </c>
      <c r="AP39" s="39"/>
      <c r="AQ39" s="72">
        <f t="shared" si="8"/>
        <v>0</v>
      </c>
      <c r="AR39" s="72">
        <f t="shared" si="27"/>
        <v>0</v>
      </c>
      <c r="AS39" s="39"/>
      <c r="AT39" s="40">
        <f>IF($K39&lt;=$F$15,IF($F$40&lt;&gt;"",$F$40/1000,IF(ISERROR(VLOOKUP($F$3&amp;IF($G$4&lt;&gt;"",$G$4,"")&amp;IF($F$43&lt;&gt;"","_"&amp;$F$43,""),'表3）燃料価格'!$AF$9:$AG$25,2,0)),0,VLOOKUP($I39,'表3）燃料価格'!$A$6:$U$66,VLOOKUP($F$3&amp;IF($G$4&lt;&gt;"",$G$4,"")&amp;IF($F$43&lt;&gt;"","_"&amp;$F$43,""),'表3）燃料価格'!$AF$9:$AG$25,2,0)+VLOOKUP($F$41,'表3）燃料価格'!$AF$28:$AG$29,2,0),0)*IF($F$43="需要地価格",1,$F$8/$F$141))),"")</f>
        <v>61.066197549406688</v>
      </c>
      <c r="AU39" s="39"/>
      <c r="AV39" s="72">
        <f t="shared" si="9"/>
        <v>85377032.666249156</v>
      </c>
      <c r="AW39" s="72">
        <f t="shared" si="10"/>
        <v>40776546.288435243</v>
      </c>
      <c r="AX39" s="39"/>
      <c r="AY39" s="40">
        <f>IF(ISERROR(IF($K39&lt;=$F$15,VLOOKUP($I39,'表4）CO2価格'!$A$7:$E$67,VLOOKUP($F$48,'表4）CO2価格'!$H$10:$I$12,2,0),0)*$F$8/1000,"")),0,IF($K39&lt;=$F$15,VLOOKUP($I39,'表4）CO2価格'!$A$7:$E$67,VLOOKUP($F$48,'表4）CO2価格'!$H$10:$I$12,2,0),0)*$F$8/1000,""))</f>
        <v>6.077599999999971</v>
      </c>
      <c r="AZ39" s="39"/>
      <c r="BA39" s="42">
        <f t="shared" si="11"/>
        <v>23161768.742936794</v>
      </c>
      <c r="BB39" s="72">
        <f t="shared" si="28"/>
        <v>11062189.745577242</v>
      </c>
      <c r="BC39" s="39"/>
      <c r="BD39" s="72">
        <f t="shared" si="12"/>
        <v>24225733.019048192</v>
      </c>
      <c r="BE39" s="72">
        <f t="shared" si="29"/>
        <v>11570345.009343496</v>
      </c>
      <c r="BF39" s="39"/>
      <c r="BG39" s="42">
        <f t="shared" si="13"/>
        <v>6572151.8808083124</v>
      </c>
      <c r="BH39" s="72">
        <f t="shared" si="30"/>
        <v>3138896.3403075412</v>
      </c>
      <c r="BI39" s="39"/>
      <c r="BJ39" s="40" t="str">
        <f t="shared" si="31"/>
        <v/>
      </c>
      <c r="BK39" s="157" t="str">
        <f t="shared" si="32"/>
        <v/>
      </c>
      <c r="BL39" s="157" t="str">
        <f t="shared" si="14"/>
        <v/>
      </c>
      <c r="BM39" s="72"/>
      <c r="BN39" s="72" t="str">
        <f t="shared" si="33"/>
        <v/>
      </c>
      <c r="BO39" s="72" t="str">
        <f t="shared" si="34"/>
        <v/>
      </c>
      <c r="BP39" s="39"/>
      <c r="BQ39" s="72">
        <f t="shared" si="15"/>
        <v>4588488</v>
      </c>
      <c r="BR39" s="72">
        <f t="shared" si="35"/>
        <v>2191487.4232902941</v>
      </c>
    </row>
    <row r="40" spans="3:70" x14ac:dyDescent="0.15">
      <c r="D40" s="81" t="s">
        <v>124</v>
      </c>
      <c r="F40" s="108"/>
      <c r="G40" s="82" t="s">
        <v>178</v>
      </c>
      <c r="I40" s="322">
        <f t="shared" si="36"/>
        <v>2045</v>
      </c>
      <c r="J40" s="71"/>
      <c r="K40" s="71">
        <f t="shared" si="37"/>
        <v>26</v>
      </c>
      <c r="L40" s="71"/>
      <c r="M40" s="7">
        <f t="shared" si="0"/>
        <v>0.46369472743850448</v>
      </c>
      <c r="N40" s="71"/>
      <c r="O40" s="10">
        <f t="shared" si="16"/>
        <v>0</v>
      </c>
      <c r="P40" s="29" t="str">
        <f t="shared" si="1"/>
        <v>-</v>
      </c>
      <c r="Q40" s="71"/>
      <c r="R40" s="10">
        <f t="shared" si="17"/>
        <v>9750000</v>
      </c>
      <c r="S40" s="71"/>
      <c r="T40" s="10">
        <f t="shared" si="18"/>
        <v>9750000</v>
      </c>
      <c r="U40" s="71"/>
      <c r="V40" s="10">
        <f t="shared" si="2"/>
        <v>0</v>
      </c>
      <c r="W40" s="10">
        <f t="shared" si="19"/>
        <v>0</v>
      </c>
      <c r="X40" s="71"/>
      <c r="Y40" s="10">
        <f t="shared" si="3"/>
        <v>136500</v>
      </c>
      <c r="Z40" s="10">
        <f t="shared" si="20"/>
        <v>63294.33029535586</v>
      </c>
      <c r="AA40" s="71"/>
      <c r="AB40" s="10">
        <f t="shared" si="4"/>
        <v>0</v>
      </c>
      <c r="AC40" s="10">
        <f t="shared" si="21"/>
        <v>0</v>
      </c>
      <c r="AD40" s="71"/>
      <c r="AE40" s="10">
        <f t="shared" si="5"/>
        <v>0</v>
      </c>
      <c r="AF40" s="10">
        <f t="shared" si="22"/>
        <v>0</v>
      </c>
      <c r="AG40" s="71"/>
      <c r="AH40" s="10">
        <f t="shared" si="6"/>
        <v>0</v>
      </c>
      <c r="AI40" s="10">
        <f t="shared" si="23"/>
        <v>0</v>
      </c>
      <c r="AJ40" s="71"/>
      <c r="AK40" s="10">
        <f t="shared" si="24"/>
        <v>11850000</v>
      </c>
      <c r="AL40" s="10">
        <f t="shared" si="25"/>
        <v>5494782.5201462777</v>
      </c>
      <c r="AM40" s="71"/>
      <c r="AN40" s="10">
        <f t="shared" si="7"/>
        <v>0</v>
      </c>
      <c r="AO40" s="10">
        <f t="shared" si="26"/>
        <v>0</v>
      </c>
      <c r="AP40" s="71"/>
      <c r="AQ40" s="10">
        <f t="shared" si="8"/>
        <v>0</v>
      </c>
      <c r="AR40" s="10">
        <f t="shared" si="27"/>
        <v>0</v>
      </c>
      <c r="AS40" s="71"/>
      <c r="AT40" s="7">
        <f>IF($K40&lt;=$F$15,IF($F$40&lt;&gt;"",$F$40/1000,IF(ISERROR(VLOOKUP($F$3&amp;IF($G$4&lt;&gt;"",$G$4,"")&amp;IF($F$43&lt;&gt;"","_"&amp;$F$43,""),'表3）燃料価格'!$AF$9:$AG$25,2,0)),0,VLOOKUP($I40,'表3）燃料価格'!$A$6:$U$66,VLOOKUP($F$3&amp;IF($G$4&lt;&gt;"",$G$4,"")&amp;IF($F$43&lt;&gt;"","_"&amp;$F$43,""),'表3）燃料価格'!$AF$9:$AG$25,2,0)+VLOOKUP($F$41,'表3）燃料価格'!$AF$28:$AG$29,2,0),0)*IF($F$43="需要地価格",1,$F$8/$F$141))),"")</f>
        <v>61.361664268073817</v>
      </c>
      <c r="AU40" s="71"/>
      <c r="AV40" s="10">
        <f t="shared" si="9"/>
        <v>85744405.152155086</v>
      </c>
      <c r="AW40" s="10">
        <f t="shared" si="10"/>
        <v>39759228.57640525</v>
      </c>
      <c r="AX40" s="71"/>
      <c r="AY40" s="7">
        <f>IF(ISERROR(IF($K40&lt;=$F$15,VLOOKUP($I40,'表4）CO2価格'!$A$7:$E$67,VLOOKUP($F$48,'表4）CO2価格'!$H$10:$I$12,2,0),0)*$F$8/1000,"")),0,IF($K40&lt;=$F$15,VLOOKUP($I40,'表4）CO2価格'!$A$7:$E$67,VLOOKUP($F$48,'表4）CO2価格'!$H$10:$I$12,2,0),0)*$F$8/1000,""))</f>
        <v>6.2060000000000004</v>
      </c>
      <c r="AZ40" s="71"/>
      <c r="BA40" s="11">
        <f t="shared" si="11"/>
        <v>23651101.885393318</v>
      </c>
      <c r="BB40" s="10">
        <f t="shared" si="28"/>
        <v>10966891.242367754</v>
      </c>
      <c r="BC40" s="71"/>
      <c r="BD40" s="10">
        <f t="shared" si="12"/>
        <v>24329974.961923998</v>
      </c>
      <c r="BE40" s="10">
        <f t="shared" si="29"/>
        <v>11281681.108554987</v>
      </c>
      <c r="BF40" s="71"/>
      <c r="BG40" s="11">
        <f t="shared" si="13"/>
        <v>6711000.159980352</v>
      </c>
      <c r="BH40" s="10">
        <f t="shared" si="30"/>
        <v>3111855.3900218494</v>
      </c>
      <c r="BJ40" s="7" t="str">
        <f t="shared" si="31"/>
        <v/>
      </c>
      <c r="BK40" s="158" t="str">
        <f t="shared" si="32"/>
        <v/>
      </c>
      <c r="BL40" s="158" t="str">
        <f t="shared" si="14"/>
        <v/>
      </c>
      <c r="BM40" s="10"/>
      <c r="BN40" s="10" t="str">
        <f t="shared" si="33"/>
        <v/>
      </c>
      <c r="BO40" s="10" t="str">
        <f t="shared" si="34"/>
        <v/>
      </c>
      <c r="BQ40" s="10">
        <f t="shared" si="15"/>
        <v>4588488</v>
      </c>
      <c r="BR40" s="10">
        <f t="shared" si="35"/>
        <v>2127657.6925148484</v>
      </c>
    </row>
    <row r="41" spans="3:70" x14ac:dyDescent="0.15">
      <c r="D41" s="81" t="s">
        <v>179</v>
      </c>
      <c r="F41" s="88" t="str">
        <f>まとめ!B4</f>
        <v>WEO2020　STEPS</v>
      </c>
      <c r="I41" s="38">
        <f t="shared" si="36"/>
        <v>2046</v>
      </c>
      <c r="J41" s="39"/>
      <c r="K41" s="39">
        <f t="shared" si="37"/>
        <v>27</v>
      </c>
      <c r="L41" s="39"/>
      <c r="M41" s="40">
        <f t="shared" si="0"/>
        <v>0.45018905576553836</v>
      </c>
      <c r="N41" s="39"/>
      <c r="O41" s="72">
        <f t="shared" si="16"/>
        <v>0</v>
      </c>
      <c r="P41" s="41" t="str">
        <f t="shared" si="1"/>
        <v>-</v>
      </c>
      <c r="Q41" s="39"/>
      <c r="R41" s="72">
        <f t="shared" si="17"/>
        <v>9750000</v>
      </c>
      <c r="S41" s="39"/>
      <c r="T41" s="72">
        <f t="shared" si="18"/>
        <v>9750000</v>
      </c>
      <c r="U41" s="39"/>
      <c r="V41" s="72">
        <f t="shared" si="2"/>
        <v>0</v>
      </c>
      <c r="W41" s="72">
        <f t="shared" si="19"/>
        <v>0</v>
      </c>
      <c r="X41" s="39"/>
      <c r="Y41" s="72">
        <f t="shared" si="3"/>
        <v>136500</v>
      </c>
      <c r="Z41" s="72">
        <f t="shared" si="20"/>
        <v>61450.806111995989</v>
      </c>
      <c r="AA41" s="39"/>
      <c r="AB41" s="72">
        <f t="shared" si="4"/>
        <v>0</v>
      </c>
      <c r="AC41" s="72">
        <f t="shared" si="21"/>
        <v>0</v>
      </c>
      <c r="AD41" s="39"/>
      <c r="AE41" s="72">
        <f t="shared" si="5"/>
        <v>0</v>
      </c>
      <c r="AF41" s="72">
        <f t="shared" si="22"/>
        <v>0</v>
      </c>
      <c r="AG41" s="39"/>
      <c r="AH41" s="72">
        <f t="shared" si="6"/>
        <v>0</v>
      </c>
      <c r="AI41" s="72">
        <f t="shared" si="23"/>
        <v>0</v>
      </c>
      <c r="AJ41" s="39"/>
      <c r="AK41" s="72">
        <f t="shared" si="24"/>
        <v>11850000</v>
      </c>
      <c r="AL41" s="72">
        <f t="shared" si="25"/>
        <v>5334740.3108216291</v>
      </c>
      <c r="AM41" s="39"/>
      <c r="AN41" s="72">
        <f t="shared" si="7"/>
        <v>0</v>
      </c>
      <c r="AO41" s="72">
        <f t="shared" si="26"/>
        <v>0</v>
      </c>
      <c r="AP41" s="39"/>
      <c r="AQ41" s="72">
        <f t="shared" si="8"/>
        <v>0</v>
      </c>
      <c r="AR41" s="72">
        <f t="shared" si="27"/>
        <v>0</v>
      </c>
      <c r="AS41" s="39"/>
      <c r="AT41" s="40">
        <f>IF($K41&lt;=$F$15,IF($F$40&lt;&gt;"",$F$40/1000,IF(ISERROR(VLOOKUP($F$3&amp;IF($G$4&lt;&gt;"",$G$4,"")&amp;IF($F$43&lt;&gt;"","_"&amp;$F$43,""),'表3）燃料価格'!$AF$9:$AG$25,2,0)),0,VLOOKUP($I41,'表3）燃料価格'!$A$6:$U$66,VLOOKUP($F$3&amp;IF($G$4&lt;&gt;"",$G$4,"")&amp;IF($F$43&lt;&gt;"","_"&amp;$F$43,""),'表3）燃料価格'!$AF$9:$AG$25,2,0)+VLOOKUP($F$41,'表3）燃料価格'!$AF$28:$AG$29,2,0),0)*IF($F$43="需要地価格",1,$F$8/$F$141))),"")</f>
        <v>61.647749489198752</v>
      </c>
      <c r="AU41" s="39"/>
      <c r="AV41" s="72">
        <f t="shared" si="9"/>
        <v>86100113.027951479</v>
      </c>
      <c r="AW41" s="72">
        <f t="shared" si="10"/>
        <v>38761328.585359603</v>
      </c>
      <c r="AX41" s="39"/>
      <c r="AY41" s="40">
        <f>IF(ISERROR(IF($K41&lt;=$F$15,VLOOKUP($I41,'表4）CO2価格'!$A$7:$E$67,VLOOKUP($F$48,'表4）CO2価格'!$H$10:$I$12,2,0),0)*$F$8/1000,"")),0,IF($K41&lt;=$F$15,VLOOKUP($I41,'表4）CO2価格'!$A$7:$E$67,VLOOKUP($F$48,'表4）CO2価格'!$H$10:$I$12,2,0),0)*$F$8/1000,""))</f>
        <v>6.3343999999999809</v>
      </c>
      <c r="AZ41" s="39"/>
      <c r="BA41" s="42">
        <f t="shared" si="11"/>
        <v>24140435.027849656</v>
      </c>
      <c r="BB41" s="72">
        <f t="shared" si="28"/>
        <v>10867759.650956964</v>
      </c>
      <c r="BC41" s="39"/>
      <c r="BD41" s="72">
        <f t="shared" si="12"/>
        <v>24430907.071681224</v>
      </c>
      <c r="BE41" s="72">
        <f t="shared" si="29"/>
        <v>10998526.986095784</v>
      </c>
      <c r="BF41" s="39"/>
      <c r="BG41" s="42">
        <f t="shared" si="13"/>
        <v>6849848.4391523376</v>
      </c>
      <c r="BH41" s="72">
        <f t="shared" si="30"/>
        <v>3083726.8009590376</v>
      </c>
      <c r="BI41" s="39"/>
      <c r="BJ41" s="40" t="str">
        <f t="shared" si="31"/>
        <v/>
      </c>
      <c r="BK41" s="157" t="str">
        <f t="shared" si="32"/>
        <v/>
      </c>
      <c r="BL41" s="157" t="str">
        <f t="shared" si="14"/>
        <v/>
      </c>
      <c r="BM41" s="72"/>
      <c r="BN41" s="72" t="str">
        <f t="shared" si="33"/>
        <v/>
      </c>
      <c r="BO41" s="72" t="str">
        <f t="shared" si="34"/>
        <v/>
      </c>
      <c r="BP41" s="39"/>
      <c r="BQ41" s="72">
        <f t="shared" si="15"/>
        <v>4588488</v>
      </c>
      <c r="BR41" s="72">
        <f t="shared" si="35"/>
        <v>2065687.0801115036</v>
      </c>
    </row>
    <row r="42" spans="3:70" x14ac:dyDescent="0.15">
      <c r="D42" s="81" t="s">
        <v>180</v>
      </c>
      <c r="F42" s="59">
        <f>IF($F$43="需要地価格",0,7600)</f>
        <v>7600</v>
      </c>
      <c r="G42" s="81" t="s">
        <v>181</v>
      </c>
      <c r="I42" s="322">
        <f t="shared" si="36"/>
        <v>2047</v>
      </c>
      <c r="J42" s="71"/>
      <c r="K42" s="71">
        <f t="shared" si="37"/>
        <v>28</v>
      </c>
      <c r="L42" s="71"/>
      <c r="M42" s="7">
        <f t="shared" si="0"/>
        <v>0.4370767531704256</v>
      </c>
      <c r="N42" s="71"/>
      <c r="O42" s="10">
        <f t="shared" si="16"/>
        <v>0</v>
      </c>
      <c r="P42" s="29" t="str">
        <f t="shared" si="1"/>
        <v>-</v>
      </c>
      <c r="Q42" s="71"/>
      <c r="R42" s="10">
        <f t="shared" si="17"/>
        <v>9750000</v>
      </c>
      <c r="S42" s="71"/>
      <c r="T42" s="10">
        <f t="shared" si="18"/>
        <v>9750000</v>
      </c>
      <c r="U42" s="71"/>
      <c r="V42" s="10">
        <f t="shared" si="2"/>
        <v>0</v>
      </c>
      <c r="W42" s="10">
        <f t="shared" si="19"/>
        <v>0</v>
      </c>
      <c r="X42" s="71"/>
      <c r="Y42" s="10">
        <f t="shared" si="3"/>
        <v>136500</v>
      </c>
      <c r="Z42" s="10">
        <f t="shared" si="20"/>
        <v>59660.976807763094</v>
      </c>
      <c r="AA42" s="71"/>
      <c r="AB42" s="10">
        <f t="shared" si="4"/>
        <v>0</v>
      </c>
      <c r="AC42" s="10">
        <f t="shared" si="21"/>
        <v>0</v>
      </c>
      <c r="AD42" s="71"/>
      <c r="AE42" s="10">
        <f t="shared" si="5"/>
        <v>0</v>
      </c>
      <c r="AF42" s="10">
        <f t="shared" si="22"/>
        <v>0</v>
      </c>
      <c r="AG42" s="71"/>
      <c r="AH42" s="10">
        <f t="shared" si="6"/>
        <v>0</v>
      </c>
      <c r="AI42" s="10">
        <f t="shared" si="23"/>
        <v>0</v>
      </c>
      <c r="AJ42" s="71"/>
      <c r="AK42" s="10">
        <f t="shared" si="24"/>
        <v>11850000</v>
      </c>
      <c r="AL42" s="10">
        <f t="shared" si="25"/>
        <v>5179359.5250695432</v>
      </c>
      <c r="AM42" s="71"/>
      <c r="AN42" s="10">
        <f t="shared" si="7"/>
        <v>0</v>
      </c>
      <c r="AO42" s="10">
        <f t="shared" si="26"/>
        <v>0</v>
      </c>
      <c r="AP42" s="71"/>
      <c r="AQ42" s="10">
        <f t="shared" si="8"/>
        <v>0</v>
      </c>
      <c r="AR42" s="10">
        <f t="shared" si="27"/>
        <v>0</v>
      </c>
      <c r="AS42" s="71"/>
      <c r="AT42" s="7">
        <f>IF($K42&lt;=$F$15,IF($F$40&lt;&gt;"",$F$40/1000,IF(ISERROR(VLOOKUP($F$3&amp;IF($G$4&lt;&gt;"",$G$4,"")&amp;IF($F$43&lt;&gt;"","_"&amp;$F$43,""),'表3）燃料価格'!$AF$9:$AG$25,2,0)),0,VLOOKUP($I42,'表3）燃料価格'!$A$6:$U$66,VLOOKUP($F$3&amp;IF($G$4&lt;&gt;"",$G$4,"")&amp;IF($F$43&lt;&gt;"","_"&amp;$F$43,""),'表3）燃料価格'!$AF$9:$AG$25,2,0)+VLOOKUP($F$41,'表3）燃料価格'!$AF$28:$AG$29,2,0),0)*IF($F$43="需要地価格",1,$F$8/$F$141))),"")</f>
        <v>61.925030676818828</v>
      </c>
      <c r="AU42" s="71"/>
      <c r="AV42" s="10">
        <f t="shared" si="9"/>
        <v>86444874.291251987</v>
      </c>
      <c r="AW42" s="10">
        <f t="shared" si="10"/>
        <v>37783044.983446017</v>
      </c>
      <c r="AX42" s="71"/>
      <c r="AY42" s="7">
        <f>IF(ISERROR(IF($K42&lt;=$F$15,VLOOKUP($I42,'表4）CO2価格'!$A$7:$E$67,VLOOKUP($F$48,'表4）CO2価格'!$H$10:$I$12,2,0),0)*$F$8/1000,"")),0,IF($K42&lt;=$F$15,VLOOKUP($I42,'表4）CO2価格'!$A$7:$E$67,VLOOKUP($F$48,'表4）CO2価格'!$H$10:$I$12,2,0),0)*$F$8/1000,""))</f>
        <v>6.4628000000000103</v>
      </c>
      <c r="AZ42" s="71"/>
      <c r="BA42" s="11">
        <f t="shared" si="11"/>
        <v>24629768.170306183</v>
      </c>
      <c r="BB42" s="10">
        <f t="shared" si="28"/>
        <v>10765099.103217721</v>
      </c>
      <c r="BC42" s="71"/>
      <c r="BD42" s="10">
        <f t="shared" si="12"/>
        <v>24528733.080142744</v>
      </c>
      <c r="BE42" s="10">
        <f t="shared" si="29"/>
        <v>10720939.014052803</v>
      </c>
      <c r="BF42" s="71"/>
      <c r="BG42" s="11">
        <f t="shared" si="13"/>
        <v>6988696.7183243772</v>
      </c>
      <c r="BH42" s="10">
        <f t="shared" si="30"/>
        <v>3054596.870538027</v>
      </c>
      <c r="BJ42" s="7" t="str">
        <f t="shared" si="31"/>
        <v/>
      </c>
      <c r="BK42" s="158" t="str">
        <f t="shared" si="32"/>
        <v/>
      </c>
      <c r="BL42" s="158" t="str">
        <f t="shared" si="14"/>
        <v/>
      </c>
      <c r="BM42" s="10"/>
      <c r="BN42" s="10" t="str">
        <f t="shared" si="33"/>
        <v/>
      </c>
      <c r="BO42" s="10" t="str">
        <f t="shared" si="34"/>
        <v/>
      </c>
      <c r="BQ42" s="10">
        <f t="shared" si="15"/>
        <v>4588488</v>
      </c>
      <c r="BR42" s="10">
        <f t="shared" si="35"/>
        <v>2005521.4370014598</v>
      </c>
    </row>
    <row r="43" spans="3:70" x14ac:dyDescent="0.15">
      <c r="D43" s="82" t="s">
        <v>126</v>
      </c>
      <c r="F43" s="88" t="str">
        <f>まとめ!B8</f>
        <v>CIF価格</v>
      </c>
      <c r="I43" s="38">
        <f t="shared" si="36"/>
        <v>2048</v>
      </c>
      <c r="J43" s="39"/>
      <c r="K43" s="39">
        <f t="shared" si="37"/>
        <v>29</v>
      </c>
      <c r="L43" s="39"/>
      <c r="M43" s="40">
        <f t="shared" si="0"/>
        <v>0.42434636230138412</v>
      </c>
      <c r="N43" s="39"/>
      <c r="O43" s="72">
        <f t="shared" si="16"/>
        <v>0</v>
      </c>
      <c r="P43" s="41" t="str">
        <f t="shared" si="1"/>
        <v>-</v>
      </c>
      <c r="Q43" s="39"/>
      <c r="R43" s="72">
        <f t="shared" si="17"/>
        <v>9750000</v>
      </c>
      <c r="S43" s="39"/>
      <c r="T43" s="72">
        <f t="shared" si="18"/>
        <v>9750000</v>
      </c>
      <c r="U43" s="39"/>
      <c r="V43" s="72">
        <f t="shared" si="2"/>
        <v>0</v>
      </c>
      <c r="W43" s="72">
        <f t="shared" si="19"/>
        <v>0</v>
      </c>
      <c r="X43" s="39"/>
      <c r="Y43" s="72">
        <f t="shared" si="3"/>
        <v>136500</v>
      </c>
      <c r="Z43" s="72">
        <f t="shared" si="20"/>
        <v>57923.278454138934</v>
      </c>
      <c r="AA43" s="39"/>
      <c r="AB43" s="72">
        <f t="shared" si="4"/>
        <v>0</v>
      </c>
      <c r="AC43" s="72">
        <f t="shared" si="21"/>
        <v>0</v>
      </c>
      <c r="AD43" s="39"/>
      <c r="AE43" s="72">
        <f t="shared" si="5"/>
        <v>0</v>
      </c>
      <c r="AF43" s="72">
        <f t="shared" si="22"/>
        <v>0</v>
      </c>
      <c r="AG43" s="39"/>
      <c r="AH43" s="72">
        <f t="shared" si="6"/>
        <v>0</v>
      </c>
      <c r="AI43" s="72">
        <f t="shared" si="23"/>
        <v>0</v>
      </c>
      <c r="AJ43" s="39"/>
      <c r="AK43" s="72">
        <f t="shared" si="24"/>
        <v>11850000</v>
      </c>
      <c r="AL43" s="72">
        <f t="shared" si="25"/>
        <v>5028504.3932714015</v>
      </c>
      <c r="AM43" s="39"/>
      <c r="AN43" s="72">
        <f t="shared" si="7"/>
        <v>0</v>
      </c>
      <c r="AO43" s="72">
        <f t="shared" si="26"/>
        <v>0</v>
      </c>
      <c r="AP43" s="39"/>
      <c r="AQ43" s="72">
        <f t="shared" si="8"/>
        <v>0</v>
      </c>
      <c r="AR43" s="72">
        <f t="shared" si="27"/>
        <v>0</v>
      </c>
      <c r="AS43" s="39"/>
      <c r="AT43" s="40">
        <f>IF($K43&lt;=$F$15,IF($F$40&lt;&gt;"",$F$40/1000,IF(ISERROR(VLOOKUP($F$3&amp;IF($G$4&lt;&gt;"",$G$4,"")&amp;IF($F$43&lt;&gt;"","_"&amp;$F$43,""),'表3）燃料価格'!$AF$9:$AG$25,2,0)),0,VLOOKUP($I43,'表3）燃料価格'!$A$6:$U$66,VLOOKUP($F$3&amp;IF($G$4&lt;&gt;"",$G$4,"")&amp;IF($F$43&lt;&gt;"","_"&amp;$F$43,""),'表3）燃料価格'!$AF$9:$AG$25,2,0)+VLOOKUP($F$41,'表3）燃料価格'!$AF$28:$AG$29,2,0),0)*IF($F$43="需要地価格",1,$F$8/$F$141))),"")</f>
        <v>62.194033565670757</v>
      </c>
      <c r="AU43" s="39"/>
      <c r="AV43" s="72">
        <f t="shared" si="9"/>
        <v>86779342.621354312</v>
      </c>
      <c r="AW43" s="72">
        <f t="shared" si="10"/>
        <v>36824498.364277162</v>
      </c>
      <c r="AX43" s="39"/>
      <c r="AY43" s="40">
        <f>IF(ISERROR(IF($K43&lt;=$F$15,VLOOKUP($I43,'表4）CO2価格'!$A$7:$E$67,VLOOKUP($F$48,'表4）CO2価格'!$H$10:$I$12,2,0),0)*$F$8/1000,"")),0,IF($K43&lt;=$F$15,VLOOKUP($I43,'表4）CO2価格'!$A$7:$E$67,VLOOKUP($F$48,'表4）CO2価格'!$H$10:$I$12,2,0),0)*$F$8/1000,""))</f>
        <v>6.59119999999999</v>
      </c>
      <c r="AZ43" s="39"/>
      <c r="BA43" s="42">
        <f t="shared" si="11"/>
        <v>25119101.312762517</v>
      </c>
      <c r="BB43" s="72">
        <f t="shared" si="28"/>
        <v>10659199.266350696</v>
      </c>
      <c r="BC43" s="39"/>
      <c r="BD43" s="72">
        <f t="shared" si="12"/>
        <v>24623638.468809281</v>
      </c>
      <c r="BE43" s="72">
        <f t="shared" si="29"/>
        <v>10448951.410863642</v>
      </c>
      <c r="BF43" s="39"/>
      <c r="BG43" s="42">
        <f t="shared" si="13"/>
        <v>7127544.9974963618</v>
      </c>
      <c r="BH43" s="72">
        <f t="shared" si="30"/>
        <v>3024547.7918270091</v>
      </c>
      <c r="BI43" s="39"/>
      <c r="BJ43" s="40" t="str">
        <f t="shared" si="31"/>
        <v/>
      </c>
      <c r="BK43" s="157" t="str">
        <f t="shared" si="32"/>
        <v/>
      </c>
      <c r="BL43" s="157" t="str">
        <f t="shared" si="14"/>
        <v/>
      </c>
      <c r="BM43" s="72"/>
      <c r="BN43" s="72" t="str">
        <f t="shared" si="33"/>
        <v/>
      </c>
      <c r="BO43" s="72" t="str">
        <f t="shared" si="34"/>
        <v/>
      </c>
      <c r="BP43" s="39"/>
      <c r="BQ43" s="72">
        <f t="shared" si="15"/>
        <v>4588488</v>
      </c>
      <c r="BR43" s="72">
        <f t="shared" si="35"/>
        <v>1947108.1912635535</v>
      </c>
    </row>
    <row r="44" spans="3:70" x14ac:dyDescent="0.15">
      <c r="I44" s="322">
        <f t="shared" si="36"/>
        <v>2049</v>
      </c>
      <c r="J44" s="71"/>
      <c r="K44" s="71">
        <f t="shared" si="37"/>
        <v>30</v>
      </c>
      <c r="L44" s="71"/>
      <c r="M44" s="7">
        <f t="shared" si="0"/>
        <v>0.41198675951590691</v>
      </c>
      <c r="N44" s="71"/>
      <c r="O44" s="10">
        <f t="shared" si="16"/>
        <v>0</v>
      </c>
      <c r="P44" s="29" t="str">
        <f t="shared" si="1"/>
        <v>-</v>
      </c>
      <c r="Q44" s="71"/>
      <c r="R44" s="10">
        <f t="shared" si="17"/>
        <v>9750000</v>
      </c>
      <c r="S44" s="71"/>
      <c r="T44" s="10">
        <f t="shared" si="18"/>
        <v>9750000</v>
      </c>
      <c r="U44" s="71"/>
      <c r="V44" s="10">
        <f t="shared" si="2"/>
        <v>0</v>
      </c>
      <c r="W44" s="10">
        <f t="shared" si="19"/>
        <v>0</v>
      </c>
      <c r="X44" s="71"/>
      <c r="Y44" s="10">
        <f t="shared" si="3"/>
        <v>136500</v>
      </c>
      <c r="Z44" s="10">
        <f t="shared" si="20"/>
        <v>56236.192673921294</v>
      </c>
      <c r="AA44" s="71"/>
      <c r="AB44" s="10">
        <f t="shared" si="4"/>
        <v>0</v>
      </c>
      <c r="AC44" s="10">
        <f t="shared" si="21"/>
        <v>0</v>
      </c>
      <c r="AD44" s="71"/>
      <c r="AE44" s="10">
        <f t="shared" si="5"/>
        <v>0</v>
      </c>
      <c r="AF44" s="10">
        <f t="shared" si="22"/>
        <v>0</v>
      </c>
      <c r="AG44" s="71"/>
      <c r="AH44" s="10">
        <f t="shared" si="6"/>
        <v>0</v>
      </c>
      <c r="AI44" s="10">
        <f t="shared" si="23"/>
        <v>0</v>
      </c>
      <c r="AJ44" s="71"/>
      <c r="AK44" s="10">
        <f t="shared" si="24"/>
        <v>11850000</v>
      </c>
      <c r="AL44" s="10">
        <f t="shared" si="25"/>
        <v>4882043.1002634969</v>
      </c>
      <c r="AM44" s="71"/>
      <c r="AN44" s="10">
        <f t="shared" si="7"/>
        <v>0</v>
      </c>
      <c r="AO44" s="10">
        <f t="shared" si="26"/>
        <v>0</v>
      </c>
      <c r="AP44" s="71"/>
      <c r="AQ44" s="10">
        <f t="shared" si="8"/>
        <v>0</v>
      </c>
      <c r="AR44" s="10">
        <f t="shared" si="27"/>
        <v>0</v>
      </c>
      <c r="AS44" s="71"/>
      <c r="AT44" s="7">
        <f>IF($K44&lt;=$F$15,IF($F$40&lt;&gt;"",$F$40/1000,IF(ISERROR(VLOOKUP($F$3&amp;IF($G$4&lt;&gt;"",$G$4,"")&amp;IF($F$43&lt;&gt;"","_"&amp;$F$43,""),'表3）燃料価格'!$AF$9:$AG$25,2,0)),0,VLOOKUP($I44,'表3）燃料価格'!$A$6:$U$66,VLOOKUP($F$3&amp;IF($G$4&lt;&gt;"",$G$4,"")&amp;IF($F$43&lt;&gt;"","_"&amp;$F$43,""),'表3）燃料価格'!$AF$9:$AG$25,2,0)+VLOOKUP($F$41,'表3）燃料価格'!$AF$28:$AG$29,2,0),0)*IF($F$43="需要地価格",1,$F$8/$F$141))),"")</f>
        <v>62.455238161023964</v>
      </c>
      <c r="AU44" s="71"/>
      <c r="AV44" s="10">
        <f t="shared" si="9"/>
        <v>87104114.839213014</v>
      </c>
      <c r="AW44" s="10">
        <f t="shared" si="10"/>
        <v>35885742.01310879</v>
      </c>
      <c r="AX44" s="71"/>
      <c r="AY44" s="7">
        <f>IF(ISERROR(IF($K44&lt;=$F$15,VLOOKUP($I44,'表4）CO2価格'!$A$7:$E$67,VLOOKUP($F$48,'表4）CO2価格'!$H$10:$I$12,2,0),0)*$F$8/1000,"")),0,IF($K44&lt;=$F$15,VLOOKUP($I44,'表4）CO2価格'!$A$7:$E$67,VLOOKUP($F$48,'表4）CO2価格'!$H$10:$I$12,2,0),0)*$F$8/1000,""))</f>
        <v>6.7195999999999714</v>
      </c>
      <c r="AZ44" s="71"/>
      <c r="BA44" s="11">
        <f t="shared" si="11"/>
        <v>25608434.455218859</v>
      </c>
      <c r="BB44" s="10">
        <f t="shared" si="28"/>
        <v>10550335.927481117</v>
      </c>
      <c r="BC44" s="71"/>
      <c r="BD44" s="10">
        <f t="shared" si="12"/>
        <v>24715792.585626688</v>
      </c>
      <c r="BE44" s="10">
        <f t="shared" si="29"/>
        <v>10182579.296219617</v>
      </c>
      <c r="BF44" s="71"/>
      <c r="BG44" s="11">
        <f t="shared" si="13"/>
        <v>7266393.2766683493</v>
      </c>
      <c r="BH44" s="10">
        <f t="shared" si="30"/>
        <v>2993657.8194227661</v>
      </c>
      <c r="BJ44" s="7" t="str">
        <f t="shared" si="31"/>
        <v/>
      </c>
      <c r="BK44" s="158" t="str">
        <f t="shared" si="32"/>
        <v/>
      </c>
      <c r="BL44" s="158" t="str">
        <f t="shared" si="14"/>
        <v/>
      </c>
      <c r="BM44" s="10"/>
      <c r="BN44" s="10" t="str">
        <f t="shared" si="33"/>
        <v/>
      </c>
      <c r="BO44" s="10" t="str">
        <f t="shared" si="34"/>
        <v/>
      </c>
      <c r="BQ44" s="10">
        <f t="shared" si="15"/>
        <v>4588488</v>
      </c>
      <c r="BR44" s="10">
        <f t="shared" si="35"/>
        <v>1890396.3021976247</v>
      </c>
    </row>
    <row r="45" spans="3:70" x14ac:dyDescent="0.15">
      <c r="C45" s="89" t="s">
        <v>509</v>
      </c>
      <c r="D45" s="101"/>
      <c r="E45" s="101"/>
      <c r="F45" s="89"/>
      <c r="G45" s="101"/>
      <c r="I45" s="38">
        <f t="shared" si="36"/>
        <v>2050</v>
      </c>
      <c r="J45" s="39"/>
      <c r="K45" s="39">
        <f t="shared" si="37"/>
        <v>31</v>
      </c>
      <c r="L45" s="39"/>
      <c r="M45" s="40">
        <f t="shared" si="0"/>
        <v>0.39998714516107459</v>
      </c>
      <c r="N45" s="39"/>
      <c r="O45" s="72" t="str">
        <f t="shared" si="16"/>
        <v/>
      </c>
      <c r="P45" s="41" t="str">
        <f t="shared" si="1"/>
        <v/>
      </c>
      <c r="Q45" s="39"/>
      <c r="R45" s="72" t="str">
        <f t="shared" si="17"/>
        <v/>
      </c>
      <c r="S45" s="39"/>
      <c r="T45" s="72" t="str">
        <f t="shared" si="18"/>
        <v/>
      </c>
      <c r="U45" s="39"/>
      <c r="V45" s="72" t="str">
        <f t="shared" si="2"/>
        <v/>
      </c>
      <c r="W45" s="72" t="str">
        <f t="shared" si="19"/>
        <v/>
      </c>
      <c r="X45" s="39"/>
      <c r="Y45" s="72" t="str">
        <f t="shared" si="3"/>
        <v/>
      </c>
      <c r="Z45" s="72" t="str">
        <f t="shared" si="20"/>
        <v/>
      </c>
      <c r="AA45" s="39"/>
      <c r="AB45" s="72">
        <f t="shared" si="4"/>
        <v>9750000</v>
      </c>
      <c r="AC45" s="72">
        <f t="shared" si="21"/>
        <v>3899874.6653204774</v>
      </c>
      <c r="AD45" s="39"/>
      <c r="AE45" s="72" t="str">
        <f t="shared" si="5"/>
        <v/>
      </c>
      <c r="AF45" s="72" t="str">
        <f t="shared" si="22"/>
        <v/>
      </c>
      <c r="AG45" s="39"/>
      <c r="AH45" s="72" t="str">
        <f t="shared" si="6"/>
        <v/>
      </c>
      <c r="AI45" s="72" t="str">
        <f t="shared" si="23"/>
        <v/>
      </c>
      <c r="AJ45" s="39"/>
      <c r="AK45" s="72" t="str">
        <f t="shared" si="24"/>
        <v/>
      </c>
      <c r="AL45" s="72" t="str">
        <f t="shared" si="25"/>
        <v/>
      </c>
      <c r="AM45" s="39"/>
      <c r="AN45" s="72" t="str">
        <f t="shared" si="7"/>
        <v/>
      </c>
      <c r="AO45" s="72" t="str">
        <f t="shared" si="26"/>
        <v/>
      </c>
      <c r="AP45" s="39"/>
      <c r="AQ45" s="72" t="str">
        <f t="shared" si="8"/>
        <v/>
      </c>
      <c r="AR45" s="72" t="str">
        <f t="shared" si="27"/>
        <v/>
      </c>
      <c r="AS45" s="39"/>
      <c r="AT45" s="40" t="str">
        <f>IF($K45&lt;=$F$15,IF($F$40&lt;&gt;"",$F$40/1000,IF(ISERROR(VLOOKUP($F$3&amp;IF($G$4&lt;&gt;"",$G$4,"")&amp;IF($F$43&lt;&gt;"","_"&amp;$F$43,""),'表3）燃料価格'!$AF$9:$AG$25,2,0)),0,VLOOKUP($I45,'表3）燃料価格'!$A$6:$U$66,VLOOKUP($F$3&amp;IF($G$4&lt;&gt;"",$G$4,"")&amp;IF($F$43&lt;&gt;"","_"&amp;$F$43,""),'表3）燃料価格'!$AF$9:$AG$25,2,0)+VLOOKUP($F$41,'表3）燃料価格'!$AF$28:$AG$29,2,0),0)*IF($F$43="需要地価格",1,$F$8/$F$141))),"")</f>
        <v/>
      </c>
      <c r="AU45" s="39"/>
      <c r="AV45" s="72" t="str">
        <f t="shared" si="9"/>
        <v/>
      </c>
      <c r="AW45" s="72" t="str">
        <f t="shared" si="10"/>
        <v/>
      </c>
      <c r="AX45" s="39"/>
      <c r="AY45" s="40" t="str">
        <f>IF(ISERROR(IF($K45&lt;=$F$15,VLOOKUP($I45,'表4）CO2価格'!$A$7:$E$67,VLOOKUP($F$48,'表4）CO2価格'!$H$10:$I$12,2,0),0)*$F$8/1000,"")),0,IF($K45&lt;=$F$15,VLOOKUP($I45,'表4）CO2価格'!$A$7:$E$67,VLOOKUP($F$48,'表4）CO2価格'!$H$10:$I$12,2,0),0)*$F$8/1000,""))</f>
        <v/>
      </c>
      <c r="AZ45" s="39"/>
      <c r="BA45" s="42" t="str">
        <f t="shared" si="11"/>
        <v/>
      </c>
      <c r="BB45" s="72" t="str">
        <f t="shared" si="28"/>
        <v/>
      </c>
      <c r="BC45" s="39"/>
      <c r="BD45" s="72" t="str">
        <f t="shared" si="12"/>
        <v/>
      </c>
      <c r="BE45" s="72" t="str">
        <f t="shared" si="29"/>
        <v/>
      </c>
      <c r="BF45" s="39"/>
      <c r="BG45" s="42" t="str">
        <f t="shared" si="13"/>
        <v/>
      </c>
      <c r="BH45" s="72" t="str">
        <f t="shared" si="30"/>
        <v/>
      </c>
      <c r="BI45" s="39"/>
      <c r="BJ45" s="40" t="str">
        <f t="shared" si="31"/>
        <v/>
      </c>
      <c r="BK45" s="157" t="str">
        <f t="shared" si="32"/>
        <v/>
      </c>
      <c r="BL45" s="157" t="str">
        <f t="shared" si="14"/>
        <v/>
      </c>
      <c r="BM45" s="72"/>
      <c r="BN45" s="72" t="str">
        <f t="shared" si="33"/>
        <v/>
      </c>
      <c r="BO45" s="72" t="str">
        <f t="shared" si="34"/>
        <v/>
      </c>
      <c r="BP45" s="39"/>
      <c r="BQ45" s="72" t="str">
        <f t="shared" si="15"/>
        <v/>
      </c>
      <c r="BR45" s="72" t="str">
        <f t="shared" si="35"/>
        <v/>
      </c>
    </row>
    <row r="46" spans="3:70" x14ac:dyDescent="0.15">
      <c r="I46" s="322">
        <f t="shared" si="36"/>
        <v>2051</v>
      </c>
      <c r="J46" s="71"/>
      <c r="K46" s="71">
        <f t="shared" si="37"/>
        <v>32</v>
      </c>
      <c r="L46" s="71"/>
      <c r="M46" s="7">
        <f t="shared" si="0"/>
        <v>0.38833703413696569</v>
      </c>
      <c r="N46" s="71"/>
      <c r="O46" s="10" t="str">
        <f t="shared" si="16"/>
        <v/>
      </c>
      <c r="P46" s="29" t="str">
        <f t="shared" si="1"/>
        <v/>
      </c>
      <c r="Q46" s="71"/>
      <c r="R46" s="10" t="str">
        <f t="shared" si="17"/>
        <v/>
      </c>
      <c r="S46" s="71"/>
      <c r="T46" s="10" t="str">
        <f t="shared" si="18"/>
        <v/>
      </c>
      <c r="U46" s="71"/>
      <c r="V46" s="10" t="str">
        <f t="shared" si="2"/>
        <v/>
      </c>
      <c r="W46" s="10" t="str">
        <f t="shared" si="19"/>
        <v/>
      </c>
      <c r="X46" s="71"/>
      <c r="Y46" s="10" t="str">
        <f t="shared" si="3"/>
        <v/>
      </c>
      <c r="Z46" s="10" t="str">
        <f t="shared" si="20"/>
        <v/>
      </c>
      <c r="AA46" s="71"/>
      <c r="AB46" s="10" t="str">
        <f t="shared" si="4"/>
        <v/>
      </c>
      <c r="AC46" s="10" t="str">
        <f t="shared" si="21"/>
        <v/>
      </c>
      <c r="AD46" s="71"/>
      <c r="AE46" s="10" t="str">
        <f t="shared" si="5"/>
        <v/>
      </c>
      <c r="AF46" s="10" t="str">
        <f t="shared" si="22"/>
        <v/>
      </c>
      <c r="AG46" s="71"/>
      <c r="AH46" s="10" t="str">
        <f t="shared" si="6"/>
        <v/>
      </c>
      <c r="AI46" s="10" t="str">
        <f t="shared" si="23"/>
        <v/>
      </c>
      <c r="AJ46" s="71"/>
      <c r="AK46" s="10" t="str">
        <f t="shared" si="24"/>
        <v/>
      </c>
      <c r="AL46" s="10" t="str">
        <f t="shared" si="25"/>
        <v/>
      </c>
      <c r="AM46" s="71"/>
      <c r="AN46" s="10" t="str">
        <f t="shared" si="7"/>
        <v/>
      </c>
      <c r="AO46" s="10" t="str">
        <f t="shared" si="26"/>
        <v/>
      </c>
      <c r="AP46" s="71"/>
      <c r="AQ46" s="10" t="str">
        <f t="shared" si="8"/>
        <v/>
      </c>
      <c r="AR46" s="10" t="str">
        <f t="shared" si="27"/>
        <v/>
      </c>
      <c r="AS46" s="71"/>
      <c r="AT46" s="7" t="str">
        <f>IF($K46&lt;=$F$15,IF($F$40&lt;&gt;"",$F$40/1000,IF(ISERROR(VLOOKUP($F$3&amp;IF($G$4&lt;&gt;"",$G$4,"")&amp;IF($F$43&lt;&gt;"","_"&amp;$F$43,""),'表3）燃料価格'!$AF$9:$AG$25,2,0)),0,VLOOKUP($I46,'表3）燃料価格'!$A$6:$U$66,VLOOKUP($F$3&amp;IF($G$4&lt;&gt;"",$G$4,"")&amp;IF($F$43&lt;&gt;"","_"&amp;$F$43,""),'表3）燃料価格'!$AF$9:$AG$25,2,0)+VLOOKUP($F$41,'表3）燃料価格'!$AF$28:$AG$29,2,0),0)*IF($F$43="需要地価格",1,$F$8/$F$141))),"")</f>
        <v/>
      </c>
      <c r="AU46" s="71"/>
      <c r="AV46" s="10" t="str">
        <f t="shared" si="9"/>
        <v/>
      </c>
      <c r="AW46" s="10" t="str">
        <f t="shared" si="10"/>
        <v/>
      </c>
      <c r="AX46" s="71"/>
      <c r="AY46" s="7" t="str">
        <f>IF(ISERROR(IF($K46&lt;=$F$15,VLOOKUP($I46,'表4）CO2価格'!$A$7:$E$67,VLOOKUP($F$48,'表4）CO2価格'!$H$10:$I$12,2,0),0)*$F$8/1000,"")),0,IF($K46&lt;=$F$15,VLOOKUP($I46,'表4）CO2価格'!$A$7:$E$67,VLOOKUP($F$48,'表4）CO2価格'!$H$10:$I$12,2,0),0)*$F$8/1000,""))</f>
        <v/>
      </c>
      <c r="AZ46" s="71"/>
      <c r="BA46" s="11" t="str">
        <f t="shared" si="11"/>
        <v/>
      </c>
      <c r="BB46" s="10" t="str">
        <f t="shared" si="28"/>
        <v/>
      </c>
      <c r="BC46" s="71"/>
      <c r="BD46" s="10" t="str">
        <f t="shared" si="12"/>
        <v/>
      </c>
      <c r="BE46" s="10" t="str">
        <f t="shared" si="29"/>
        <v/>
      </c>
      <c r="BF46" s="71"/>
      <c r="BG46" s="11" t="str">
        <f t="shared" si="13"/>
        <v/>
      </c>
      <c r="BH46" s="10" t="str">
        <f t="shared" si="30"/>
        <v/>
      </c>
      <c r="BJ46" s="7" t="str">
        <f t="shared" si="31"/>
        <v/>
      </c>
      <c r="BK46" s="158" t="str">
        <f t="shared" si="32"/>
        <v/>
      </c>
      <c r="BL46" s="158" t="str">
        <f t="shared" si="14"/>
        <v/>
      </c>
      <c r="BM46" s="10"/>
      <c r="BN46" s="10" t="str">
        <f t="shared" si="33"/>
        <v/>
      </c>
      <c r="BO46" s="10" t="str">
        <f t="shared" si="34"/>
        <v/>
      </c>
      <c r="BQ46" s="10" t="str">
        <f t="shared" si="15"/>
        <v/>
      </c>
      <c r="BR46" s="10" t="str">
        <f t="shared" si="35"/>
        <v/>
      </c>
    </row>
    <row r="47" spans="3:70" x14ac:dyDescent="0.15">
      <c r="D47" s="81" t="s">
        <v>182</v>
      </c>
      <c r="F47" s="66">
        <v>20.079999999999998</v>
      </c>
      <c r="G47" s="81" t="s">
        <v>226</v>
      </c>
      <c r="I47" s="38">
        <f t="shared" si="36"/>
        <v>2052</v>
      </c>
      <c r="J47" s="39"/>
      <c r="K47" s="39">
        <f t="shared" si="37"/>
        <v>33</v>
      </c>
      <c r="L47" s="39"/>
      <c r="M47" s="40">
        <f t="shared" si="0"/>
        <v>0.37702624673491814</v>
      </c>
      <c r="N47" s="39"/>
      <c r="O47" s="72" t="str">
        <f t="shared" si="16"/>
        <v/>
      </c>
      <c r="P47" s="41" t="str">
        <f t="shared" ref="P47:P78" si="38">IF(K47&lt;=$F$15,IF(OR(P46=$F$124,P46="-"),"-",IF(O47*$F$123&gt;$F$127,$F$123,$F$124)),"")</f>
        <v/>
      </c>
      <c r="Q47" s="39"/>
      <c r="R47" s="72" t="str">
        <f t="shared" si="17"/>
        <v/>
      </c>
      <c r="S47" s="39"/>
      <c r="T47" s="72" t="str">
        <f t="shared" si="18"/>
        <v/>
      </c>
      <c r="U47" s="39"/>
      <c r="V47" s="72" t="str">
        <f t="shared" ref="V47:V78" si="39">IF(K47&lt;=$F$15,IF(K47&lt;$F$119,IF(P47="-",V46,O47*P47),IF(K47=$F$119,MIN(IF(P47="-",V46,O47*P47),O47),0)),"")</f>
        <v/>
      </c>
      <c r="W47" s="72" t="str">
        <f t="shared" si="19"/>
        <v/>
      </c>
      <c r="X47" s="39"/>
      <c r="Y47" s="72" t="str">
        <f t="shared" ref="Y47:Y78" si="40">IF($K47&lt;=$F$15,ROUNDDOWN(T47*$F$25/100,-2),"")</f>
        <v/>
      </c>
      <c r="Z47" s="72" t="str">
        <f t="shared" si="20"/>
        <v/>
      </c>
      <c r="AA47" s="39"/>
      <c r="AB47" s="72" t="str">
        <f t="shared" si="4"/>
        <v/>
      </c>
      <c r="AC47" s="72" t="str">
        <f t="shared" si="21"/>
        <v/>
      </c>
      <c r="AD47" s="39"/>
      <c r="AE47" s="72" t="str">
        <f t="shared" ref="AE47:AE78" si="41">IF($K47&lt;=$F$15,$F$26,"")</f>
        <v/>
      </c>
      <c r="AF47" s="72" t="str">
        <f t="shared" si="22"/>
        <v/>
      </c>
      <c r="AG47" s="39"/>
      <c r="AH47" s="72" t="str">
        <f t="shared" ref="AH47:AH78" si="42">IF($K47&lt;=$F$15,$F$33*10^8,"")</f>
        <v/>
      </c>
      <c r="AI47" s="72" t="str">
        <f t="shared" si="23"/>
        <v/>
      </c>
      <c r="AJ47" s="39"/>
      <c r="AK47" s="72" t="str">
        <f t="shared" si="24"/>
        <v/>
      </c>
      <c r="AL47" s="72" t="str">
        <f t="shared" si="25"/>
        <v/>
      </c>
      <c r="AM47" s="39"/>
      <c r="AN47" s="72" t="str">
        <f t="shared" ref="AN47:AN78" si="43">IF($K47&lt;=$F$15,$F$117*$F$35/100,"")</f>
        <v/>
      </c>
      <c r="AO47" s="72" t="str">
        <f t="shared" si="26"/>
        <v/>
      </c>
      <c r="AP47" s="39"/>
      <c r="AQ47" s="72" t="str">
        <f t="shared" ref="AQ47:AQ78" si="44">IF($K47&lt;=$F$15,SUM(AH47,AK47,AN47)*($F$36/100),"")</f>
        <v/>
      </c>
      <c r="AR47" s="72" t="str">
        <f t="shared" si="27"/>
        <v/>
      </c>
      <c r="AS47" s="39"/>
      <c r="AT47" s="40" t="str">
        <f>IF($K47&lt;=$F$15,IF($F$40&lt;&gt;"",$F$40/1000,IF(ISERROR(VLOOKUP($F$3&amp;IF($G$4&lt;&gt;"",$G$4,"")&amp;IF($F$43&lt;&gt;"","_"&amp;$F$43,""),'表3）燃料価格'!$AF$9:$AG$25,2,0)),0,VLOOKUP($I47,'表3）燃料価格'!$A$6:$U$66,VLOOKUP($F$3&amp;IF($G$4&lt;&gt;"",$G$4,"")&amp;IF($F$43&lt;&gt;"","_"&amp;$F$43,""),'表3）燃料価格'!$AF$9:$AG$25,2,0)+VLOOKUP($F$41,'表3）燃料価格'!$AF$28:$AG$29,2,0),0)*IF($F$43="需要地価格",1,$F$8/$F$141))),"")</f>
        <v/>
      </c>
      <c r="AU47" s="39"/>
      <c r="AV47" s="72" t="str">
        <f t="shared" ref="AV47:AV78" si="45">IF($K47&lt;=$F$15,($AT47+$F$142)*$F$137,"")</f>
        <v/>
      </c>
      <c r="AW47" s="72" t="str">
        <f t="shared" si="10"/>
        <v/>
      </c>
      <c r="AX47" s="39"/>
      <c r="AY47" s="40" t="str">
        <f>IF(ISERROR(IF($K47&lt;=$F$15,VLOOKUP($I47,'表4）CO2価格'!$A$7:$E$67,VLOOKUP($F$48,'表4）CO2価格'!$H$10:$I$12,2,0),0)*$F$8/1000,"")),0,IF($K47&lt;=$F$15,VLOOKUP($I47,'表4）CO2価格'!$A$7:$E$67,VLOOKUP($F$48,'表4）CO2価格'!$H$10:$I$12,2,0),0)*$F$8/1000,""))</f>
        <v/>
      </c>
      <c r="AZ47" s="39"/>
      <c r="BA47" s="42" t="str">
        <f t="shared" ref="BA47:BA78" si="46">IF($K47&lt;=$F$15,$F$145*AY47,"")</f>
        <v/>
      </c>
      <c r="BB47" s="72" t="str">
        <f t="shared" si="28"/>
        <v/>
      </c>
      <c r="BC47" s="39"/>
      <c r="BD47" s="72" t="str">
        <f t="shared" ref="BD47:BD78" si="47">IF($K47&lt;=$F$15,($AT47+$F$152)*$F$151,"")</f>
        <v/>
      </c>
      <c r="BE47" s="72" t="str">
        <f t="shared" si="29"/>
        <v/>
      </c>
      <c r="BF47" s="39"/>
      <c r="BG47" s="42" t="str">
        <f t="shared" ref="BG47:BG78" si="48">IF($K47&lt;=$F$15,$F$153*AY47,"")</f>
        <v/>
      </c>
      <c r="BH47" s="72" t="str">
        <f t="shared" si="30"/>
        <v/>
      </c>
      <c r="BI47" s="39"/>
      <c r="BJ47" s="40" t="str">
        <f t="shared" si="31"/>
        <v/>
      </c>
      <c r="BK47" s="157" t="str">
        <f t="shared" si="32"/>
        <v/>
      </c>
      <c r="BL47" s="157" t="str">
        <f t="shared" si="14"/>
        <v/>
      </c>
      <c r="BM47" s="72"/>
      <c r="BN47" s="72" t="str">
        <f t="shared" si="33"/>
        <v/>
      </c>
      <c r="BO47" s="72" t="str">
        <f t="shared" si="34"/>
        <v/>
      </c>
      <c r="BP47" s="39"/>
      <c r="BQ47" s="72" t="str">
        <f t="shared" ref="BQ47:BQ78" si="49">IF($K47&lt;=$F$15,$F$134,"")</f>
        <v/>
      </c>
      <c r="BR47" s="72" t="str">
        <f t="shared" si="35"/>
        <v/>
      </c>
    </row>
    <row r="48" spans="3:70" x14ac:dyDescent="0.15">
      <c r="D48" s="81" t="s">
        <v>184</v>
      </c>
      <c r="F48" s="88" t="str">
        <f>まとめ!B5</f>
        <v>WEO2020　STEPS</v>
      </c>
      <c r="I48" s="322">
        <f t="shared" si="36"/>
        <v>2053</v>
      </c>
      <c r="J48" s="71"/>
      <c r="K48" s="71">
        <f t="shared" si="37"/>
        <v>34</v>
      </c>
      <c r="L48" s="71"/>
      <c r="M48" s="7">
        <f t="shared" si="0"/>
        <v>0.36604489974263904</v>
      </c>
      <c r="N48" s="71"/>
      <c r="O48" s="10" t="str">
        <f t="shared" si="16"/>
        <v/>
      </c>
      <c r="P48" s="29" t="str">
        <f t="shared" si="38"/>
        <v/>
      </c>
      <c r="Q48" s="71"/>
      <c r="R48" s="10" t="str">
        <f t="shared" ref="R48:R79" si="50">IF($K48&lt;=$F$15,MAX($F$117*5%,R47*$F$129),"")</f>
        <v/>
      </c>
      <c r="S48" s="71"/>
      <c r="T48" s="10" t="str">
        <f t="shared" si="18"/>
        <v/>
      </c>
      <c r="U48" s="71"/>
      <c r="V48" s="10" t="str">
        <f t="shared" si="39"/>
        <v/>
      </c>
      <c r="W48" s="10" t="str">
        <f t="shared" si="19"/>
        <v/>
      </c>
      <c r="X48" s="71"/>
      <c r="Y48" s="10" t="str">
        <f t="shared" si="40"/>
        <v/>
      </c>
      <c r="Z48" s="10" t="str">
        <f t="shared" si="20"/>
        <v/>
      </c>
      <c r="AA48" s="71"/>
      <c r="AB48" s="10" t="str">
        <f t="shared" si="4"/>
        <v/>
      </c>
      <c r="AC48" s="10" t="str">
        <f t="shared" si="21"/>
        <v/>
      </c>
      <c r="AD48" s="71"/>
      <c r="AE48" s="10" t="str">
        <f t="shared" si="41"/>
        <v/>
      </c>
      <c r="AF48" s="10" t="str">
        <f t="shared" si="22"/>
        <v/>
      </c>
      <c r="AG48" s="71"/>
      <c r="AH48" s="10" t="str">
        <f t="shared" si="42"/>
        <v/>
      </c>
      <c r="AI48" s="10" t="str">
        <f t="shared" si="23"/>
        <v/>
      </c>
      <c r="AJ48" s="71"/>
      <c r="AK48" s="10" t="str">
        <f t="shared" si="24"/>
        <v/>
      </c>
      <c r="AL48" s="10" t="str">
        <f t="shared" si="25"/>
        <v/>
      </c>
      <c r="AM48" s="71"/>
      <c r="AN48" s="10" t="str">
        <f t="shared" si="43"/>
        <v/>
      </c>
      <c r="AO48" s="10" t="str">
        <f t="shared" si="26"/>
        <v/>
      </c>
      <c r="AP48" s="71"/>
      <c r="AQ48" s="10" t="str">
        <f t="shared" si="44"/>
        <v/>
      </c>
      <c r="AR48" s="10" t="str">
        <f t="shared" si="27"/>
        <v/>
      </c>
      <c r="AS48" s="71"/>
      <c r="AT48" s="7" t="str">
        <f>IF($K48&lt;=$F$15,IF($F$40&lt;&gt;"",$F$40/1000,IF(ISERROR(VLOOKUP($F$3&amp;IF($G$4&lt;&gt;"",$G$4,"")&amp;IF($F$43&lt;&gt;"","_"&amp;$F$43,""),'表3）燃料価格'!$AF$9:$AG$25,2,0)),0,VLOOKUP($I48,'表3）燃料価格'!$A$6:$U$66,VLOOKUP($F$3&amp;IF($G$4&lt;&gt;"",$G$4,"")&amp;IF($F$43&lt;&gt;"","_"&amp;$F$43,""),'表3）燃料価格'!$AF$9:$AG$25,2,0)+VLOOKUP($F$41,'表3）燃料価格'!$AF$28:$AG$29,2,0),0)*IF($F$43="需要地価格",1,$F$8/$F$141))),"")</f>
        <v/>
      </c>
      <c r="AU48" s="71"/>
      <c r="AV48" s="10" t="str">
        <f t="shared" si="45"/>
        <v/>
      </c>
      <c r="AW48" s="10" t="str">
        <f t="shared" si="10"/>
        <v/>
      </c>
      <c r="AX48" s="71"/>
      <c r="AY48" s="7" t="str">
        <f>IF(ISERROR(IF($K48&lt;=$F$15,VLOOKUP($I48,'表4）CO2価格'!$A$7:$E$67,VLOOKUP($F$48,'表4）CO2価格'!$H$10:$I$12,2,0),0)*$F$8/1000,"")),0,IF($K48&lt;=$F$15,VLOOKUP($I48,'表4）CO2価格'!$A$7:$E$67,VLOOKUP($F$48,'表4）CO2価格'!$H$10:$I$12,2,0),0)*$F$8/1000,""))</f>
        <v/>
      </c>
      <c r="AZ48" s="71"/>
      <c r="BA48" s="11" t="str">
        <f t="shared" si="46"/>
        <v/>
      </c>
      <c r="BB48" s="10" t="str">
        <f t="shared" si="28"/>
        <v/>
      </c>
      <c r="BC48" s="71"/>
      <c r="BD48" s="10" t="str">
        <f t="shared" si="47"/>
        <v/>
      </c>
      <c r="BE48" s="10" t="str">
        <f t="shared" si="29"/>
        <v/>
      </c>
      <c r="BF48" s="71"/>
      <c r="BG48" s="11" t="str">
        <f t="shared" si="48"/>
        <v/>
      </c>
      <c r="BH48" s="10" t="str">
        <f t="shared" si="30"/>
        <v/>
      </c>
      <c r="BJ48" s="7" t="str">
        <f t="shared" si="31"/>
        <v/>
      </c>
      <c r="BK48" s="158" t="str">
        <f t="shared" si="32"/>
        <v/>
      </c>
      <c r="BL48" s="158" t="str">
        <f t="shared" si="14"/>
        <v/>
      </c>
      <c r="BM48" s="10"/>
      <c r="BN48" s="10" t="str">
        <f t="shared" si="33"/>
        <v/>
      </c>
      <c r="BO48" s="10" t="str">
        <f t="shared" si="34"/>
        <v/>
      </c>
      <c r="BQ48" s="10" t="str">
        <f t="shared" si="49"/>
        <v/>
      </c>
      <c r="BR48" s="10" t="str">
        <f t="shared" si="35"/>
        <v/>
      </c>
    </row>
    <row r="49" spans="3:70" x14ac:dyDescent="0.15">
      <c r="I49" s="38">
        <f t="shared" si="36"/>
        <v>2054</v>
      </c>
      <c r="J49" s="39"/>
      <c r="K49" s="39">
        <f t="shared" si="37"/>
        <v>35</v>
      </c>
      <c r="L49" s="39"/>
      <c r="M49" s="40">
        <f t="shared" si="0"/>
        <v>0.35538339780838735</v>
      </c>
      <c r="N49" s="39"/>
      <c r="O49" s="72" t="str">
        <f t="shared" si="16"/>
        <v/>
      </c>
      <c r="P49" s="41" t="str">
        <f t="shared" si="38"/>
        <v/>
      </c>
      <c r="Q49" s="39"/>
      <c r="R49" s="72" t="str">
        <f t="shared" si="50"/>
        <v/>
      </c>
      <c r="S49" s="39"/>
      <c r="T49" s="72" t="str">
        <f t="shared" si="18"/>
        <v/>
      </c>
      <c r="U49" s="39"/>
      <c r="V49" s="72" t="str">
        <f t="shared" si="39"/>
        <v/>
      </c>
      <c r="W49" s="72" t="str">
        <f t="shared" si="19"/>
        <v/>
      </c>
      <c r="X49" s="39"/>
      <c r="Y49" s="72" t="str">
        <f t="shared" si="40"/>
        <v/>
      </c>
      <c r="Z49" s="72" t="str">
        <f t="shared" si="20"/>
        <v/>
      </c>
      <c r="AA49" s="39"/>
      <c r="AB49" s="72" t="str">
        <f t="shared" si="4"/>
        <v/>
      </c>
      <c r="AC49" s="72" t="str">
        <f t="shared" si="21"/>
        <v/>
      </c>
      <c r="AD49" s="39"/>
      <c r="AE49" s="72" t="str">
        <f t="shared" si="41"/>
        <v/>
      </c>
      <c r="AF49" s="72" t="str">
        <f t="shared" si="22"/>
        <v/>
      </c>
      <c r="AG49" s="39"/>
      <c r="AH49" s="72" t="str">
        <f t="shared" si="42"/>
        <v/>
      </c>
      <c r="AI49" s="72" t="str">
        <f t="shared" si="23"/>
        <v/>
      </c>
      <c r="AJ49" s="39"/>
      <c r="AK49" s="72" t="str">
        <f t="shared" si="24"/>
        <v/>
      </c>
      <c r="AL49" s="72" t="str">
        <f t="shared" si="25"/>
        <v/>
      </c>
      <c r="AM49" s="39"/>
      <c r="AN49" s="72" t="str">
        <f t="shared" si="43"/>
        <v/>
      </c>
      <c r="AO49" s="72" t="str">
        <f t="shared" si="26"/>
        <v/>
      </c>
      <c r="AP49" s="39"/>
      <c r="AQ49" s="72" t="str">
        <f t="shared" si="44"/>
        <v/>
      </c>
      <c r="AR49" s="72" t="str">
        <f t="shared" si="27"/>
        <v/>
      </c>
      <c r="AS49" s="39"/>
      <c r="AT49" s="40" t="str">
        <f>IF($K49&lt;=$F$15,IF($F$40&lt;&gt;"",$F$40/1000,IF(ISERROR(VLOOKUP($F$3&amp;IF($G$4&lt;&gt;"",$G$4,"")&amp;IF($F$43&lt;&gt;"","_"&amp;$F$43,""),'表3）燃料価格'!$AF$9:$AG$25,2,0)),0,VLOOKUP($I49,'表3）燃料価格'!$A$6:$U$66,VLOOKUP($F$3&amp;IF($G$4&lt;&gt;"",$G$4,"")&amp;IF($F$43&lt;&gt;"","_"&amp;$F$43,""),'表3）燃料価格'!$AF$9:$AG$25,2,0)+VLOOKUP($F$41,'表3）燃料価格'!$AF$28:$AG$29,2,0),0)*IF($F$43="需要地価格",1,$F$8/$F$141))),"")</f>
        <v/>
      </c>
      <c r="AU49" s="39"/>
      <c r="AV49" s="72" t="str">
        <f t="shared" si="45"/>
        <v/>
      </c>
      <c r="AW49" s="72" t="str">
        <f t="shared" si="10"/>
        <v/>
      </c>
      <c r="AX49" s="39"/>
      <c r="AY49" s="40" t="str">
        <f>IF(ISERROR(IF($K49&lt;=$F$15,VLOOKUP($I49,'表4）CO2価格'!$A$7:$E$67,VLOOKUP($F$48,'表4）CO2価格'!$H$10:$I$12,2,0),0)*$F$8/1000,"")),0,IF($K49&lt;=$F$15,VLOOKUP($I49,'表4）CO2価格'!$A$7:$E$67,VLOOKUP($F$48,'表4）CO2価格'!$H$10:$I$12,2,0),0)*$F$8/1000,""))</f>
        <v/>
      </c>
      <c r="AZ49" s="39"/>
      <c r="BA49" s="42" t="str">
        <f t="shared" si="46"/>
        <v/>
      </c>
      <c r="BB49" s="72" t="str">
        <f t="shared" si="28"/>
        <v/>
      </c>
      <c r="BC49" s="39"/>
      <c r="BD49" s="72" t="str">
        <f t="shared" si="47"/>
        <v/>
      </c>
      <c r="BE49" s="72" t="str">
        <f t="shared" si="29"/>
        <v/>
      </c>
      <c r="BF49" s="39"/>
      <c r="BG49" s="42" t="str">
        <f t="shared" si="48"/>
        <v/>
      </c>
      <c r="BH49" s="72" t="str">
        <f t="shared" si="30"/>
        <v/>
      </c>
      <c r="BI49" s="39"/>
      <c r="BJ49" s="40" t="str">
        <f t="shared" si="31"/>
        <v/>
      </c>
      <c r="BK49" s="157" t="str">
        <f t="shared" si="32"/>
        <v/>
      </c>
      <c r="BL49" s="157" t="str">
        <f t="shared" si="14"/>
        <v/>
      </c>
      <c r="BM49" s="72"/>
      <c r="BN49" s="72" t="str">
        <f t="shared" si="33"/>
        <v/>
      </c>
      <c r="BO49" s="72" t="str">
        <f t="shared" si="34"/>
        <v/>
      </c>
      <c r="BP49" s="39"/>
      <c r="BQ49" s="72" t="str">
        <f t="shared" si="49"/>
        <v/>
      </c>
      <c r="BR49" s="72" t="str">
        <f t="shared" si="35"/>
        <v/>
      </c>
    </row>
    <row r="50" spans="3:70" x14ac:dyDescent="0.15">
      <c r="C50" s="89" t="s">
        <v>510</v>
      </c>
      <c r="D50" s="101"/>
      <c r="E50" s="101"/>
      <c r="F50" s="89"/>
      <c r="G50" s="101"/>
      <c r="I50" s="322">
        <f t="shared" si="36"/>
        <v>2055</v>
      </c>
      <c r="J50" s="71"/>
      <c r="K50" s="71">
        <f t="shared" si="37"/>
        <v>36</v>
      </c>
      <c r="L50" s="71"/>
      <c r="M50" s="7">
        <f t="shared" si="0"/>
        <v>0.34503242505668674</v>
      </c>
      <c r="N50" s="71"/>
      <c r="O50" s="10" t="str">
        <f t="shared" si="16"/>
        <v/>
      </c>
      <c r="P50" s="29" t="str">
        <f t="shared" si="38"/>
        <v/>
      </c>
      <c r="Q50" s="71"/>
      <c r="R50" s="10" t="str">
        <f t="shared" si="50"/>
        <v/>
      </c>
      <c r="S50" s="71"/>
      <c r="T50" s="10" t="str">
        <f t="shared" si="18"/>
        <v/>
      </c>
      <c r="U50" s="71"/>
      <c r="V50" s="10" t="str">
        <f t="shared" si="39"/>
        <v/>
      </c>
      <c r="W50" s="10" t="str">
        <f t="shared" si="19"/>
        <v/>
      </c>
      <c r="X50" s="71"/>
      <c r="Y50" s="10" t="str">
        <f t="shared" si="40"/>
        <v/>
      </c>
      <c r="Z50" s="10" t="str">
        <f t="shared" si="20"/>
        <v/>
      </c>
      <c r="AA50" s="71"/>
      <c r="AB50" s="10" t="str">
        <f t="shared" si="4"/>
        <v/>
      </c>
      <c r="AC50" s="10" t="str">
        <f t="shared" si="21"/>
        <v/>
      </c>
      <c r="AD50" s="71"/>
      <c r="AE50" s="10" t="str">
        <f t="shared" si="41"/>
        <v/>
      </c>
      <c r="AF50" s="10" t="str">
        <f t="shared" si="22"/>
        <v/>
      </c>
      <c r="AG50" s="71"/>
      <c r="AH50" s="10" t="str">
        <f t="shared" si="42"/>
        <v/>
      </c>
      <c r="AI50" s="10" t="str">
        <f t="shared" si="23"/>
        <v/>
      </c>
      <c r="AJ50" s="71"/>
      <c r="AK50" s="10" t="str">
        <f t="shared" si="24"/>
        <v/>
      </c>
      <c r="AL50" s="10" t="str">
        <f t="shared" si="25"/>
        <v/>
      </c>
      <c r="AM50" s="71"/>
      <c r="AN50" s="10" t="str">
        <f t="shared" si="43"/>
        <v/>
      </c>
      <c r="AO50" s="10" t="str">
        <f t="shared" si="26"/>
        <v/>
      </c>
      <c r="AP50" s="71"/>
      <c r="AQ50" s="10" t="str">
        <f t="shared" si="44"/>
        <v/>
      </c>
      <c r="AR50" s="10" t="str">
        <f t="shared" si="27"/>
        <v/>
      </c>
      <c r="AS50" s="71"/>
      <c r="AT50" s="7" t="str">
        <f>IF($K50&lt;=$F$15,IF($F$40&lt;&gt;"",$F$40/1000,IF(ISERROR(VLOOKUP($F$3&amp;IF($G$4&lt;&gt;"",$G$4,"")&amp;IF($F$43&lt;&gt;"","_"&amp;$F$43,""),'表3）燃料価格'!$AF$9:$AG$25,2,0)),0,VLOOKUP($I50,'表3）燃料価格'!$A$6:$U$66,VLOOKUP($F$3&amp;IF($G$4&lt;&gt;"",$G$4,"")&amp;IF($F$43&lt;&gt;"","_"&amp;$F$43,""),'表3）燃料価格'!$AF$9:$AG$25,2,0)+VLOOKUP($F$41,'表3）燃料価格'!$AF$28:$AG$29,2,0),0)*IF($F$43="需要地価格",1,$F$8/$F$141))),"")</f>
        <v/>
      </c>
      <c r="AU50" s="71"/>
      <c r="AV50" s="10" t="str">
        <f t="shared" si="45"/>
        <v/>
      </c>
      <c r="AW50" s="10" t="str">
        <f t="shared" si="10"/>
        <v/>
      </c>
      <c r="AX50" s="71"/>
      <c r="AY50" s="7" t="str">
        <f>IF(ISERROR(IF($K50&lt;=$F$15,VLOOKUP($I50,'表4）CO2価格'!$A$7:$E$67,VLOOKUP($F$48,'表4）CO2価格'!$H$10:$I$12,2,0),0)*$F$8/1000,"")),0,IF($K50&lt;=$F$15,VLOOKUP($I50,'表4）CO2価格'!$A$7:$E$67,VLOOKUP($F$48,'表4）CO2価格'!$H$10:$I$12,2,0),0)*$F$8/1000,""))</f>
        <v/>
      </c>
      <c r="AZ50" s="71"/>
      <c r="BA50" s="11" t="str">
        <f t="shared" si="46"/>
        <v/>
      </c>
      <c r="BB50" s="10" t="str">
        <f t="shared" si="28"/>
        <v/>
      </c>
      <c r="BC50" s="71"/>
      <c r="BD50" s="10" t="str">
        <f t="shared" si="47"/>
        <v/>
      </c>
      <c r="BE50" s="10" t="str">
        <f t="shared" si="29"/>
        <v/>
      </c>
      <c r="BF50" s="71"/>
      <c r="BG50" s="11" t="str">
        <f t="shared" si="48"/>
        <v/>
      </c>
      <c r="BH50" s="10" t="str">
        <f t="shared" si="30"/>
        <v/>
      </c>
      <c r="BJ50" s="7" t="str">
        <f t="shared" si="31"/>
        <v/>
      </c>
      <c r="BK50" s="158" t="str">
        <f t="shared" si="32"/>
        <v/>
      </c>
      <c r="BL50" s="158" t="str">
        <f t="shared" si="14"/>
        <v/>
      </c>
      <c r="BM50" s="10"/>
      <c r="BN50" s="10" t="str">
        <f t="shared" si="33"/>
        <v/>
      </c>
      <c r="BO50" s="10" t="str">
        <f t="shared" si="34"/>
        <v/>
      </c>
      <c r="BQ50" s="10" t="str">
        <f t="shared" si="49"/>
        <v/>
      </c>
      <c r="BR50" s="10" t="str">
        <f t="shared" si="35"/>
        <v/>
      </c>
    </row>
    <row r="51" spans="3:70" x14ac:dyDescent="0.15">
      <c r="I51" s="38">
        <f t="shared" si="36"/>
        <v>2056</v>
      </c>
      <c r="J51" s="39"/>
      <c r="K51" s="39">
        <f t="shared" si="37"/>
        <v>37</v>
      </c>
      <c r="L51" s="39"/>
      <c r="M51" s="40">
        <f t="shared" si="0"/>
        <v>0.33498293694823961</v>
      </c>
      <c r="N51" s="39"/>
      <c r="O51" s="72" t="str">
        <f t="shared" si="16"/>
        <v/>
      </c>
      <c r="P51" s="41" t="str">
        <f t="shared" si="38"/>
        <v/>
      </c>
      <c r="Q51" s="39"/>
      <c r="R51" s="72" t="str">
        <f t="shared" si="50"/>
        <v/>
      </c>
      <c r="S51" s="39"/>
      <c r="T51" s="72" t="str">
        <f t="shared" si="18"/>
        <v/>
      </c>
      <c r="U51" s="39"/>
      <c r="V51" s="72" t="str">
        <f t="shared" si="39"/>
        <v/>
      </c>
      <c r="W51" s="72" t="str">
        <f t="shared" si="19"/>
        <v/>
      </c>
      <c r="X51" s="39"/>
      <c r="Y51" s="72" t="str">
        <f t="shared" si="40"/>
        <v/>
      </c>
      <c r="Z51" s="72" t="str">
        <f t="shared" si="20"/>
        <v/>
      </c>
      <c r="AA51" s="39"/>
      <c r="AB51" s="72" t="str">
        <f t="shared" si="4"/>
        <v/>
      </c>
      <c r="AC51" s="72" t="str">
        <f t="shared" si="21"/>
        <v/>
      </c>
      <c r="AD51" s="39"/>
      <c r="AE51" s="72" t="str">
        <f t="shared" si="41"/>
        <v/>
      </c>
      <c r="AF51" s="72" t="str">
        <f t="shared" si="22"/>
        <v/>
      </c>
      <c r="AG51" s="39"/>
      <c r="AH51" s="72" t="str">
        <f t="shared" si="42"/>
        <v/>
      </c>
      <c r="AI51" s="72" t="str">
        <f t="shared" si="23"/>
        <v/>
      </c>
      <c r="AJ51" s="39"/>
      <c r="AK51" s="72" t="str">
        <f t="shared" si="24"/>
        <v/>
      </c>
      <c r="AL51" s="72" t="str">
        <f t="shared" si="25"/>
        <v/>
      </c>
      <c r="AM51" s="39"/>
      <c r="AN51" s="72" t="str">
        <f t="shared" si="43"/>
        <v/>
      </c>
      <c r="AO51" s="72" t="str">
        <f t="shared" si="26"/>
        <v/>
      </c>
      <c r="AP51" s="39"/>
      <c r="AQ51" s="72" t="str">
        <f t="shared" si="44"/>
        <v/>
      </c>
      <c r="AR51" s="72" t="str">
        <f t="shared" si="27"/>
        <v/>
      </c>
      <c r="AS51" s="39"/>
      <c r="AT51" s="40" t="str">
        <f>IF($K51&lt;=$F$15,IF($F$40&lt;&gt;"",$F$40/1000,IF(ISERROR(VLOOKUP($F$3&amp;IF($G$4&lt;&gt;"",$G$4,"")&amp;IF($F$43&lt;&gt;"","_"&amp;$F$43,""),'表3）燃料価格'!$AF$9:$AG$25,2,0)),0,VLOOKUP($I51,'表3）燃料価格'!$A$6:$U$66,VLOOKUP($F$3&amp;IF($G$4&lt;&gt;"",$G$4,"")&amp;IF($F$43&lt;&gt;"","_"&amp;$F$43,""),'表3）燃料価格'!$AF$9:$AG$25,2,0)+VLOOKUP($F$41,'表3）燃料価格'!$AF$28:$AG$29,2,0),0)*IF($F$43="需要地価格",1,$F$8/$F$141))),"")</f>
        <v/>
      </c>
      <c r="AU51" s="39"/>
      <c r="AV51" s="72" t="str">
        <f t="shared" si="45"/>
        <v/>
      </c>
      <c r="AW51" s="72" t="str">
        <f t="shared" si="10"/>
        <v/>
      </c>
      <c r="AX51" s="39"/>
      <c r="AY51" s="40" t="str">
        <f>IF(ISERROR(IF($K51&lt;=$F$15,VLOOKUP($I51,'表4）CO2価格'!$A$7:$E$67,VLOOKUP($F$48,'表4）CO2価格'!$H$10:$I$12,2,0),0)*$F$8/1000,"")),0,IF($K51&lt;=$F$15,VLOOKUP($I51,'表4）CO2価格'!$A$7:$E$67,VLOOKUP($F$48,'表4）CO2価格'!$H$10:$I$12,2,0),0)*$F$8/1000,""))</f>
        <v/>
      </c>
      <c r="AZ51" s="39"/>
      <c r="BA51" s="42" t="str">
        <f t="shared" si="46"/>
        <v/>
      </c>
      <c r="BB51" s="72" t="str">
        <f t="shared" si="28"/>
        <v/>
      </c>
      <c r="BC51" s="39"/>
      <c r="BD51" s="72" t="str">
        <f t="shared" si="47"/>
        <v/>
      </c>
      <c r="BE51" s="72" t="str">
        <f t="shared" si="29"/>
        <v/>
      </c>
      <c r="BF51" s="39"/>
      <c r="BG51" s="42" t="str">
        <f t="shared" si="48"/>
        <v/>
      </c>
      <c r="BH51" s="72" t="str">
        <f t="shared" si="30"/>
        <v/>
      </c>
      <c r="BI51" s="39"/>
      <c r="BJ51" s="40" t="str">
        <f t="shared" si="31"/>
        <v/>
      </c>
      <c r="BK51" s="157" t="str">
        <f t="shared" si="32"/>
        <v/>
      </c>
      <c r="BL51" s="157" t="str">
        <f t="shared" si="14"/>
        <v/>
      </c>
      <c r="BM51" s="72"/>
      <c r="BN51" s="72" t="str">
        <f t="shared" si="33"/>
        <v/>
      </c>
      <c r="BO51" s="72" t="str">
        <f t="shared" si="34"/>
        <v/>
      </c>
      <c r="BP51" s="39"/>
      <c r="BQ51" s="72" t="str">
        <f t="shared" si="49"/>
        <v/>
      </c>
      <c r="BR51" s="72" t="str">
        <f t="shared" si="35"/>
        <v/>
      </c>
    </row>
    <row r="52" spans="3:70" x14ac:dyDescent="0.15">
      <c r="D52" s="81" t="s">
        <v>185</v>
      </c>
      <c r="F52" s="67">
        <v>22.7</v>
      </c>
      <c r="G52" s="81" t="s">
        <v>172</v>
      </c>
      <c r="I52" s="322">
        <f t="shared" si="36"/>
        <v>2057</v>
      </c>
      <c r="J52" s="71"/>
      <c r="K52" s="71">
        <f t="shared" si="37"/>
        <v>38</v>
      </c>
      <c r="L52" s="71"/>
      <c r="M52" s="7">
        <f t="shared" si="0"/>
        <v>0.3252261523769317</v>
      </c>
      <c r="N52" s="71"/>
      <c r="O52" s="10" t="str">
        <f t="shared" si="16"/>
        <v/>
      </c>
      <c r="P52" s="29" t="str">
        <f t="shared" si="38"/>
        <v/>
      </c>
      <c r="Q52" s="71"/>
      <c r="R52" s="10" t="str">
        <f t="shared" si="50"/>
        <v/>
      </c>
      <c r="S52" s="71"/>
      <c r="T52" s="10" t="str">
        <f t="shared" si="18"/>
        <v/>
      </c>
      <c r="U52" s="71"/>
      <c r="V52" s="10" t="str">
        <f t="shared" si="39"/>
        <v/>
      </c>
      <c r="W52" s="10" t="str">
        <f t="shared" si="19"/>
        <v/>
      </c>
      <c r="X52" s="71"/>
      <c r="Y52" s="10" t="str">
        <f t="shared" si="40"/>
        <v/>
      </c>
      <c r="Z52" s="10" t="str">
        <f t="shared" si="20"/>
        <v/>
      </c>
      <c r="AA52" s="71"/>
      <c r="AB52" s="10" t="str">
        <f t="shared" si="4"/>
        <v/>
      </c>
      <c r="AC52" s="10" t="str">
        <f t="shared" si="21"/>
        <v/>
      </c>
      <c r="AD52" s="71"/>
      <c r="AE52" s="10" t="str">
        <f t="shared" si="41"/>
        <v/>
      </c>
      <c r="AF52" s="10" t="str">
        <f t="shared" si="22"/>
        <v/>
      </c>
      <c r="AG52" s="71"/>
      <c r="AH52" s="10" t="str">
        <f t="shared" si="42"/>
        <v/>
      </c>
      <c r="AI52" s="10" t="str">
        <f t="shared" si="23"/>
        <v/>
      </c>
      <c r="AJ52" s="71"/>
      <c r="AK52" s="10" t="str">
        <f t="shared" si="24"/>
        <v/>
      </c>
      <c r="AL52" s="10" t="str">
        <f t="shared" si="25"/>
        <v/>
      </c>
      <c r="AM52" s="71"/>
      <c r="AN52" s="10" t="str">
        <f t="shared" si="43"/>
        <v/>
      </c>
      <c r="AO52" s="10" t="str">
        <f t="shared" si="26"/>
        <v/>
      </c>
      <c r="AP52" s="71"/>
      <c r="AQ52" s="10" t="str">
        <f t="shared" si="44"/>
        <v/>
      </c>
      <c r="AR52" s="10" t="str">
        <f t="shared" si="27"/>
        <v/>
      </c>
      <c r="AS52" s="71"/>
      <c r="AT52" s="7" t="str">
        <f>IF($K52&lt;=$F$15,IF($F$40&lt;&gt;"",$F$40/1000,IF(ISERROR(VLOOKUP($F$3&amp;IF($G$4&lt;&gt;"",$G$4,"")&amp;IF($F$43&lt;&gt;"","_"&amp;$F$43,""),'表3）燃料価格'!$AF$9:$AG$25,2,0)),0,VLOOKUP($I52,'表3）燃料価格'!$A$6:$U$66,VLOOKUP($F$3&amp;IF($G$4&lt;&gt;"",$G$4,"")&amp;IF($F$43&lt;&gt;"","_"&amp;$F$43,""),'表3）燃料価格'!$AF$9:$AG$25,2,0)+VLOOKUP($F$41,'表3）燃料価格'!$AF$28:$AG$29,2,0),0)*IF($F$43="需要地価格",1,$F$8/$F$141))),"")</f>
        <v/>
      </c>
      <c r="AU52" s="71"/>
      <c r="AV52" s="10" t="str">
        <f t="shared" si="45"/>
        <v/>
      </c>
      <c r="AW52" s="10" t="str">
        <f t="shared" si="10"/>
        <v/>
      </c>
      <c r="AX52" s="71"/>
      <c r="AY52" s="7" t="str">
        <f>IF(ISERROR(IF($K52&lt;=$F$15,VLOOKUP($I52,'表4）CO2価格'!$A$7:$E$67,VLOOKUP($F$48,'表4）CO2価格'!$H$10:$I$12,2,0),0)*$F$8/1000,"")),0,IF($K52&lt;=$F$15,VLOOKUP($I52,'表4）CO2価格'!$A$7:$E$67,VLOOKUP($F$48,'表4）CO2価格'!$H$10:$I$12,2,0),0)*$F$8/1000,""))</f>
        <v/>
      </c>
      <c r="AZ52" s="71"/>
      <c r="BA52" s="11" t="str">
        <f t="shared" si="46"/>
        <v/>
      </c>
      <c r="BB52" s="10" t="str">
        <f t="shared" si="28"/>
        <v/>
      </c>
      <c r="BC52" s="71"/>
      <c r="BD52" s="10" t="str">
        <f t="shared" si="47"/>
        <v/>
      </c>
      <c r="BE52" s="10" t="str">
        <f t="shared" si="29"/>
        <v/>
      </c>
      <c r="BF52" s="71"/>
      <c r="BG52" s="11" t="str">
        <f t="shared" si="48"/>
        <v/>
      </c>
      <c r="BH52" s="10" t="str">
        <f t="shared" si="30"/>
        <v/>
      </c>
      <c r="BJ52" s="7" t="str">
        <f t="shared" si="31"/>
        <v/>
      </c>
      <c r="BK52" s="158" t="str">
        <f t="shared" si="32"/>
        <v/>
      </c>
      <c r="BL52" s="158" t="str">
        <f t="shared" si="14"/>
        <v/>
      </c>
      <c r="BM52" s="10"/>
      <c r="BN52" s="10" t="str">
        <f t="shared" si="33"/>
        <v/>
      </c>
      <c r="BO52" s="10" t="str">
        <f t="shared" si="34"/>
        <v/>
      </c>
      <c r="BQ52" s="10" t="str">
        <f t="shared" si="49"/>
        <v/>
      </c>
      <c r="BR52" s="10" t="str">
        <f t="shared" si="35"/>
        <v/>
      </c>
    </row>
    <row r="53" spans="3:70" x14ac:dyDescent="0.15">
      <c r="D53" s="81" t="s">
        <v>186</v>
      </c>
      <c r="F53" s="66">
        <v>100</v>
      </c>
      <c r="G53" s="81" t="s">
        <v>172</v>
      </c>
      <c r="I53" s="38">
        <f t="shared" si="36"/>
        <v>2058</v>
      </c>
      <c r="J53" s="39"/>
      <c r="K53" s="39">
        <f t="shared" si="37"/>
        <v>39</v>
      </c>
      <c r="L53" s="39"/>
      <c r="M53" s="40">
        <f t="shared" si="0"/>
        <v>0.31575354599702099</v>
      </c>
      <c r="N53" s="39"/>
      <c r="O53" s="72" t="str">
        <f t="shared" si="16"/>
        <v/>
      </c>
      <c r="P53" s="41" t="str">
        <f t="shared" si="38"/>
        <v/>
      </c>
      <c r="Q53" s="39"/>
      <c r="R53" s="72" t="str">
        <f t="shared" si="50"/>
        <v/>
      </c>
      <c r="S53" s="39"/>
      <c r="T53" s="72" t="str">
        <f t="shared" si="18"/>
        <v/>
      </c>
      <c r="U53" s="39"/>
      <c r="V53" s="72" t="str">
        <f t="shared" si="39"/>
        <v/>
      </c>
      <c r="W53" s="72" t="str">
        <f t="shared" si="19"/>
        <v/>
      </c>
      <c r="X53" s="39"/>
      <c r="Y53" s="72" t="str">
        <f t="shared" si="40"/>
        <v/>
      </c>
      <c r="Z53" s="72" t="str">
        <f t="shared" si="20"/>
        <v/>
      </c>
      <c r="AA53" s="39"/>
      <c r="AB53" s="72" t="str">
        <f t="shared" si="4"/>
        <v/>
      </c>
      <c r="AC53" s="72" t="str">
        <f t="shared" si="21"/>
        <v/>
      </c>
      <c r="AD53" s="39"/>
      <c r="AE53" s="72" t="str">
        <f t="shared" si="41"/>
        <v/>
      </c>
      <c r="AF53" s="72" t="str">
        <f t="shared" si="22"/>
        <v/>
      </c>
      <c r="AG53" s="39"/>
      <c r="AH53" s="72" t="str">
        <f t="shared" si="42"/>
        <v/>
      </c>
      <c r="AI53" s="72" t="str">
        <f t="shared" si="23"/>
        <v/>
      </c>
      <c r="AJ53" s="39"/>
      <c r="AK53" s="72" t="str">
        <f t="shared" si="24"/>
        <v/>
      </c>
      <c r="AL53" s="72" t="str">
        <f t="shared" si="25"/>
        <v/>
      </c>
      <c r="AM53" s="39"/>
      <c r="AN53" s="72" t="str">
        <f t="shared" si="43"/>
        <v/>
      </c>
      <c r="AO53" s="72" t="str">
        <f t="shared" si="26"/>
        <v/>
      </c>
      <c r="AP53" s="39"/>
      <c r="AQ53" s="72" t="str">
        <f t="shared" si="44"/>
        <v/>
      </c>
      <c r="AR53" s="72" t="str">
        <f t="shared" si="27"/>
        <v/>
      </c>
      <c r="AS53" s="39"/>
      <c r="AT53" s="40" t="str">
        <f>IF($K53&lt;=$F$15,IF($F$40&lt;&gt;"",$F$40/1000,IF(ISERROR(VLOOKUP($F$3&amp;IF($G$4&lt;&gt;"",$G$4,"")&amp;IF($F$43&lt;&gt;"","_"&amp;$F$43,""),'表3）燃料価格'!$AF$9:$AG$25,2,0)),0,VLOOKUP($I53,'表3）燃料価格'!$A$6:$U$66,VLOOKUP($F$3&amp;IF($G$4&lt;&gt;"",$G$4,"")&amp;IF($F$43&lt;&gt;"","_"&amp;$F$43,""),'表3）燃料価格'!$AF$9:$AG$25,2,0)+VLOOKUP($F$41,'表3）燃料価格'!$AF$28:$AG$29,2,0),0)*IF($F$43="需要地価格",1,$F$8/$F$141))),"")</f>
        <v/>
      </c>
      <c r="AU53" s="39"/>
      <c r="AV53" s="72" t="str">
        <f t="shared" si="45"/>
        <v/>
      </c>
      <c r="AW53" s="72" t="str">
        <f t="shared" si="10"/>
        <v/>
      </c>
      <c r="AX53" s="39"/>
      <c r="AY53" s="40" t="str">
        <f>IF(ISERROR(IF($K53&lt;=$F$15,VLOOKUP($I53,'表4）CO2価格'!$A$7:$E$67,VLOOKUP($F$48,'表4）CO2価格'!$H$10:$I$12,2,0),0)*$F$8/1000,"")),0,IF($K53&lt;=$F$15,VLOOKUP($I53,'表4）CO2価格'!$A$7:$E$67,VLOOKUP($F$48,'表4）CO2価格'!$H$10:$I$12,2,0),0)*$F$8/1000,""))</f>
        <v/>
      </c>
      <c r="AZ53" s="39"/>
      <c r="BA53" s="42" t="str">
        <f t="shared" si="46"/>
        <v/>
      </c>
      <c r="BB53" s="72" t="str">
        <f t="shared" si="28"/>
        <v/>
      </c>
      <c r="BC53" s="39"/>
      <c r="BD53" s="72" t="str">
        <f t="shared" si="47"/>
        <v/>
      </c>
      <c r="BE53" s="72" t="str">
        <f t="shared" si="29"/>
        <v/>
      </c>
      <c r="BF53" s="39"/>
      <c r="BG53" s="42" t="str">
        <f t="shared" si="48"/>
        <v/>
      </c>
      <c r="BH53" s="72" t="str">
        <f t="shared" si="30"/>
        <v/>
      </c>
      <c r="BI53" s="39"/>
      <c r="BJ53" s="40" t="str">
        <f t="shared" si="31"/>
        <v/>
      </c>
      <c r="BK53" s="157" t="str">
        <f t="shared" si="32"/>
        <v/>
      </c>
      <c r="BL53" s="157" t="str">
        <f t="shared" si="14"/>
        <v/>
      </c>
      <c r="BM53" s="72"/>
      <c r="BN53" s="72" t="str">
        <f t="shared" si="33"/>
        <v/>
      </c>
      <c r="BO53" s="72" t="str">
        <f t="shared" si="34"/>
        <v/>
      </c>
      <c r="BP53" s="39"/>
      <c r="BQ53" s="72" t="str">
        <f t="shared" si="49"/>
        <v/>
      </c>
      <c r="BR53" s="72" t="str">
        <f t="shared" si="35"/>
        <v/>
      </c>
    </row>
    <row r="54" spans="3:70" x14ac:dyDescent="0.15">
      <c r="D54" s="81" t="s">
        <v>187</v>
      </c>
      <c r="F54" s="67">
        <v>80</v>
      </c>
      <c r="G54" s="81" t="s">
        <v>172</v>
      </c>
      <c r="I54" s="322">
        <f t="shared" si="36"/>
        <v>2059</v>
      </c>
      <c r="J54" s="71"/>
      <c r="K54" s="71">
        <f t="shared" si="37"/>
        <v>40</v>
      </c>
      <c r="L54" s="71"/>
      <c r="M54" s="7">
        <f t="shared" si="0"/>
        <v>0.30655684077380685</v>
      </c>
      <c r="N54" s="71"/>
      <c r="O54" s="10" t="str">
        <f t="shared" si="16"/>
        <v/>
      </c>
      <c r="P54" s="29" t="str">
        <f t="shared" si="38"/>
        <v/>
      </c>
      <c r="Q54" s="71"/>
      <c r="R54" s="10" t="str">
        <f t="shared" si="50"/>
        <v/>
      </c>
      <c r="S54" s="71"/>
      <c r="T54" s="10" t="str">
        <f t="shared" si="18"/>
        <v/>
      </c>
      <c r="U54" s="71"/>
      <c r="V54" s="10" t="str">
        <f t="shared" si="39"/>
        <v/>
      </c>
      <c r="W54" s="10" t="str">
        <f t="shared" si="19"/>
        <v/>
      </c>
      <c r="X54" s="71"/>
      <c r="Y54" s="10" t="str">
        <f t="shared" si="40"/>
        <v/>
      </c>
      <c r="Z54" s="10" t="str">
        <f t="shared" si="20"/>
        <v/>
      </c>
      <c r="AA54" s="71"/>
      <c r="AB54" s="10" t="str">
        <f t="shared" si="4"/>
        <v/>
      </c>
      <c r="AC54" s="10" t="str">
        <f t="shared" si="21"/>
        <v/>
      </c>
      <c r="AD54" s="71"/>
      <c r="AE54" s="10" t="str">
        <f t="shared" si="41"/>
        <v/>
      </c>
      <c r="AF54" s="10" t="str">
        <f t="shared" si="22"/>
        <v/>
      </c>
      <c r="AG54" s="71"/>
      <c r="AH54" s="10" t="str">
        <f t="shared" si="42"/>
        <v/>
      </c>
      <c r="AI54" s="10" t="str">
        <f t="shared" si="23"/>
        <v/>
      </c>
      <c r="AJ54" s="71"/>
      <c r="AK54" s="10" t="str">
        <f t="shared" si="24"/>
        <v/>
      </c>
      <c r="AL54" s="10" t="str">
        <f t="shared" si="25"/>
        <v/>
      </c>
      <c r="AM54" s="71"/>
      <c r="AN54" s="10" t="str">
        <f t="shared" si="43"/>
        <v/>
      </c>
      <c r="AO54" s="10" t="str">
        <f t="shared" si="26"/>
        <v/>
      </c>
      <c r="AP54" s="71"/>
      <c r="AQ54" s="10" t="str">
        <f t="shared" si="44"/>
        <v/>
      </c>
      <c r="AR54" s="10" t="str">
        <f t="shared" si="27"/>
        <v/>
      </c>
      <c r="AS54" s="71"/>
      <c r="AT54" s="7" t="str">
        <f>IF($K54&lt;=$F$15,IF($F$40&lt;&gt;"",$F$40/1000,IF(ISERROR(VLOOKUP($F$3&amp;IF($G$4&lt;&gt;"",$G$4,"")&amp;IF($F$43&lt;&gt;"","_"&amp;$F$43,""),'表3）燃料価格'!$AF$9:$AG$25,2,0)),0,VLOOKUP($I54,'表3）燃料価格'!$A$6:$U$66,VLOOKUP($F$3&amp;IF($G$4&lt;&gt;"",$G$4,"")&amp;IF($F$43&lt;&gt;"","_"&amp;$F$43,""),'表3）燃料価格'!$AF$9:$AG$25,2,0)+VLOOKUP($F$41,'表3）燃料価格'!$AF$28:$AG$29,2,0),0)*IF($F$43="需要地価格",1,$F$8/$F$141))),"")</f>
        <v/>
      </c>
      <c r="AU54" s="71"/>
      <c r="AV54" s="10" t="str">
        <f t="shared" si="45"/>
        <v/>
      </c>
      <c r="AW54" s="10" t="str">
        <f t="shared" si="10"/>
        <v/>
      </c>
      <c r="AX54" s="71"/>
      <c r="AY54" s="7" t="str">
        <f>IF(ISERROR(IF($K54&lt;=$F$15,VLOOKUP($I54,'表4）CO2価格'!$A$7:$E$67,VLOOKUP($F$48,'表4）CO2価格'!$H$10:$I$12,2,0),0)*$F$8/1000,"")),0,IF($K54&lt;=$F$15,VLOOKUP($I54,'表4）CO2価格'!$A$7:$E$67,VLOOKUP($F$48,'表4）CO2価格'!$H$10:$I$12,2,0),0)*$F$8/1000,""))</f>
        <v/>
      </c>
      <c r="AZ54" s="71"/>
      <c r="BA54" s="11" t="str">
        <f t="shared" si="46"/>
        <v/>
      </c>
      <c r="BB54" s="10" t="str">
        <f t="shared" si="28"/>
        <v/>
      </c>
      <c r="BC54" s="71"/>
      <c r="BD54" s="10" t="str">
        <f t="shared" si="47"/>
        <v/>
      </c>
      <c r="BE54" s="10" t="str">
        <f t="shared" si="29"/>
        <v/>
      </c>
      <c r="BF54" s="71"/>
      <c r="BG54" s="11" t="str">
        <f t="shared" si="48"/>
        <v/>
      </c>
      <c r="BH54" s="10" t="str">
        <f t="shared" si="30"/>
        <v/>
      </c>
      <c r="BJ54" s="7" t="str">
        <f t="shared" si="31"/>
        <v/>
      </c>
      <c r="BK54" s="158" t="str">
        <f t="shared" si="32"/>
        <v/>
      </c>
      <c r="BL54" s="158" t="str">
        <f t="shared" si="14"/>
        <v/>
      </c>
      <c r="BM54" s="10"/>
      <c r="BN54" s="10" t="str">
        <f t="shared" si="33"/>
        <v/>
      </c>
      <c r="BO54" s="10" t="str">
        <f t="shared" si="34"/>
        <v/>
      </c>
      <c r="BQ54" s="10" t="str">
        <f t="shared" si="49"/>
        <v/>
      </c>
      <c r="BR54" s="10" t="str">
        <f t="shared" si="35"/>
        <v/>
      </c>
    </row>
    <row r="55" spans="3:70" ht="16.5" x14ac:dyDescent="0.15">
      <c r="D55" s="81" t="s">
        <v>188</v>
      </c>
      <c r="F55" s="109">
        <f>IF($F$43="需要地価格",38.9,41.63)</f>
        <v>41.63</v>
      </c>
      <c r="G55" s="9" t="s">
        <v>372</v>
      </c>
      <c r="I55" s="38">
        <f>I54+1</f>
        <v>2060</v>
      </c>
      <c r="J55" s="39"/>
      <c r="K55" s="39">
        <f>IF(I55&lt;&gt;"",K54+1,"")</f>
        <v>41</v>
      </c>
      <c r="L55" s="39"/>
      <c r="M55" s="40">
        <f t="shared" si="0"/>
        <v>0.29762800075126877</v>
      </c>
      <c r="N55" s="39"/>
      <c r="O55" s="72" t="str">
        <f t="shared" si="16"/>
        <v/>
      </c>
      <c r="P55" s="41" t="str">
        <f t="shared" si="38"/>
        <v/>
      </c>
      <c r="Q55" s="39"/>
      <c r="R55" s="72" t="str">
        <f t="shared" si="50"/>
        <v/>
      </c>
      <c r="S55" s="39"/>
      <c r="T55" s="72" t="str">
        <f t="shared" si="18"/>
        <v/>
      </c>
      <c r="U55" s="39"/>
      <c r="V55" s="72" t="str">
        <f t="shared" si="39"/>
        <v/>
      </c>
      <c r="W55" s="72" t="str">
        <f t="shared" si="19"/>
        <v/>
      </c>
      <c r="X55" s="39"/>
      <c r="Y55" s="72" t="str">
        <f t="shared" si="40"/>
        <v/>
      </c>
      <c r="Z55" s="72" t="str">
        <f t="shared" si="20"/>
        <v/>
      </c>
      <c r="AA55" s="39"/>
      <c r="AB55" s="72" t="str">
        <f t="shared" si="4"/>
        <v/>
      </c>
      <c r="AC55" s="72" t="str">
        <f t="shared" si="21"/>
        <v/>
      </c>
      <c r="AD55" s="39"/>
      <c r="AE55" s="72" t="str">
        <f t="shared" si="41"/>
        <v/>
      </c>
      <c r="AF55" s="72" t="str">
        <f t="shared" si="22"/>
        <v/>
      </c>
      <c r="AG55" s="39"/>
      <c r="AH55" s="72" t="str">
        <f t="shared" si="42"/>
        <v/>
      </c>
      <c r="AI55" s="72" t="str">
        <f t="shared" si="23"/>
        <v/>
      </c>
      <c r="AJ55" s="39"/>
      <c r="AK55" s="72" t="str">
        <f t="shared" si="24"/>
        <v/>
      </c>
      <c r="AL55" s="72" t="str">
        <f t="shared" si="25"/>
        <v/>
      </c>
      <c r="AM55" s="39"/>
      <c r="AN55" s="72" t="str">
        <f t="shared" si="43"/>
        <v/>
      </c>
      <c r="AO55" s="72" t="str">
        <f t="shared" si="26"/>
        <v/>
      </c>
      <c r="AP55" s="39"/>
      <c r="AQ55" s="72" t="str">
        <f t="shared" si="44"/>
        <v/>
      </c>
      <c r="AR55" s="72" t="str">
        <f t="shared" si="27"/>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45"/>
        <v/>
      </c>
      <c r="AW55" s="72" t="str">
        <f t="shared" si="10"/>
        <v/>
      </c>
      <c r="AX55" s="39"/>
      <c r="AY55" s="40" t="str">
        <f>IF(ISERROR(IF($K55&lt;=$F$15,VLOOKUP($I55,'表4）CO2価格'!$A$7:$E$67,VLOOKUP($F$48,'表4）CO2価格'!$H$10:$I$12,2,0),0)*$F$8/1000,"")),0,IF($K55&lt;=$F$15,VLOOKUP($I55,'表4）CO2価格'!$A$7:$E$67,VLOOKUP($F$48,'表4）CO2価格'!$H$10:$I$12,2,0),0)*$F$8/1000,""))</f>
        <v/>
      </c>
      <c r="AZ55" s="39"/>
      <c r="BA55" s="42" t="str">
        <f t="shared" si="46"/>
        <v/>
      </c>
      <c r="BB55" s="72" t="str">
        <f t="shared" si="28"/>
        <v/>
      </c>
      <c r="BC55" s="39"/>
      <c r="BD55" s="72" t="str">
        <f t="shared" si="47"/>
        <v/>
      </c>
      <c r="BE55" s="72" t="str">
        <f t="shared" si="29"/>
        <v/>
      </c>
      <c r="BF55" s="39"/>
      <c r="BG55" s="42" t="str">
        <f t="shared" si="48"/>
        <v/>
      </c>
      <c r="BH55" s="72" t="str">
        <f t="shared" si="30"/>
        <v/>
      </c>
      <c r="BI55" s="39"/>
      <c r="BJ55" s="40" t="str">
        <f t="shared" si="31"/>
        <v/>
      </c>
      <c r="BK55" s="157" t="str">
        <f t="shared" si="32"/>
        <v/>
      </c>
      <c r="BL55" s="157" t="str">
        <f t="shared" si="14"/>
        <v/>
      </c>
      <c r="BM55" s="72"/>
      <c r="BN55" s="72" t="str">
        <f t="shared" si="33"/>
        <v/>
      </c>
      <c r="BO55" s="72" t="str">
        <f t="shared" si="34"/>
        <v/>
      </c>
      <c r="BP55" s="39"/>
      <c r="BQ55" s="72" t="str">
        <f t="shared" si="49"/>
        <v/>
      </c>
      <c r="BR55" s="72" t="str">
        <f t="shared" si="35"/>
        <v/>
      </c>
    </row>
    <row r="56" spans="3:70" x14ac:dyDescent="0.15">
      <c r="D56" s="81" t="s">
        <v>189</v>
      </c>
      <c r="F56" s="59">
        <f>IF($F$43="需要地価格",0,7600)</f>
        <v>7600</v>
      </c>
      <c r="G56" s="81" t="s">
        <v>181</v>
      </c>
      <c r="I56" s="322">
        <f t="shared" si="36"/>
        <v>2061</v>
      </c>
      <c r="J56" s="71"/>
      <c r="K56" s="71">
        <f t="shared" si="37"/>
        <v>42</v>
      </c>
      <c r="L56" s="71"/>
      <c r="M56" s="7">
        <f t="shared" si="0"/>
        <v>0.28895922403035801</v>
      </c>
      <c r="N56" s="71"/>
      <c r="O56" s="10" t="str">
        <f t="shared" si="16"/>
        <v/>
      </c>
      <c r="P56" s="29" t="str">
        <f t="shared" si="38"/>
        <v/>
      </c>
      <c r="Q56" s="71"/>
      <c r="R56" s="10" t="str">
        <f t="shared" si="50"/>
        <v/>
      </c>
      <c r="S56" s="71"/>
      <c r="T56" s="10" t="str">
        <f t="shared" si="18"/>
        <v/>
      </c>
      <c r="U56" s="71"/>
      <c r="V56" s="10" t="str">
        <f t="shared" si="39"/>
        <v/>
      </c>
      <c r="W56" s="10" t="str">
        <f t="shared" si="19"/>
        <v/>
      </c>
      <c r="X56" s="71"/>
      <c r="Y56" s="10" t="str">
        <f t="shared" si="40"/>
        <v/>
      </c>
      <c r="Z56" s="10" t="str">
        <f t="shared" si="20"/>
        <v/>
      </c>
      <c r="AA56" s="71"/>
      <c r="AB56" s="10" t="str">
        <f t="shared" si="4"/>
        <v/>
      </c>
      <c r="AC56" s="10" t="str">
        <f t="shared" si="21"/>
        <v/>
      </c>
      <c r="AD56" s="71"/>
      <c r="AE56" s="10" t="str">
        <f t="shared" si="41"/>
        <v/>
      </c>
      <c r="AF56" s="10" t="str">
        <f t="shared" si="22"/>
        <v/>
      </c>
      <c r="AG56" s="71"/>
      <c r="AH56" s="10" t="str">
        <f t="shared" si="42"/>
        <v/>
      </c>
      <c r="AI56" s="10" t="str">
        <f t="shared" si="23"/>
        <v/>
      </c>
      <c r="AJ56" s="71"/>
      <c r="AK56" s="10" t="str">
        <f t="shared" si="24"/>
        <v/>
      </c>
      <c r="AL56" s="10" t="str">
        <f t="shared" si="25"/>
        <v/>
      </c>
      <c r="AM56" s="71"/>
      <c r="AN56" s="10" t="str">
        <f t="shared" si="43"/>
        <v/>
      </c>
      <c r="AO56" s="10" t="str">
        <f t="shared" si="26"/>
        <v/>
      </c>
      <c r="AP56" s="71"/>
      <c r="AQ56" s="10" t="str">
        <f t="shared" si="44"/>
        <v/>
      </c>
      <c r="AR56" s="10" t="str">
        <f t="shared" si="27"/>
        <v/>
      </c>
      <c r="AS56" s="71"/>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U56" s="71"/>
      <c r="AV56" s="10" t="str">
        <f t="shared" si="45"/>
        <v/>
      </c>
      <c r="AW56" s="10" t="str">
        <f t="shared" si="10"/>
        <v/>
      </c>
      <c r="AX56" s="71"/>
      <c r="AY56" s="7" t="str">
        <f>IF(ISERROR(IF($K56&lt;=$F$15,VLOOKUP($I56,'表4）CO2価格'!$A$7:$E$67,VLOOKUP($F$48,'表4）CO2価格'!$H$10:$I$12,2,0),0)*$F$8/1000,"")),0,IF($K56&lt;=$F$15,VLOOKUP($I56,'表4）CO2価格'!$A$7:$E$67,VLOOKUP($F$48,'表4）CO2価格'!$H$10:$I$12,2,0),0)*$F$8/1000,""))</f>
        <v/>
      </c>
      <c r="AZ56" s="71"/>
      <c r="BA56" s="11" t="str">
        <f t="shared" si="46"/>
        <v/>
      </c>
      <c r="BB56" s="10" t="str">
        <f t="shared" si="28"/>
        <v/>
      </c>
      <c r="BC56" s="71"/>
      <c r="BD56" s="10" t="str">
        <f t="shared" si="47"/>
        <v/>
      </c>
      <c r="BE56" s="10" t="str">
        <f t="shared" si="29"/>
        <v/>
      </c>
      <c r="BF56" s="71"/>
      <c r="BG56" s="11" t="str">
        <f t="shared" si="48"/>
        <v/>
      </c>
      <c r="BH56" s="10" t="str">
        <f t="shared" si="30"/>
        <v/>
      </c>
      <c r="BJ56" s="7" t="str">
        <f t="shared" si="31"/>
        <v/>
      </c>
      <c r="BK56" s="158" t="str">
        <f t="shared" si="32"/>
        <v/>
      </c>
      <c r="BL56" s="158" t="str">
        <f t="shared" si="14"/>
        <v/>
      </c>
      <c r="BM56" s="10"/>
      <c r="BN56" s="10" t="str">
        <f t="shared" si="33"/>
        <v/>
      </c>
      <c r="BO56" s="10" t="str">
        <f t="shared" si="34"/>
        <v/>
      </c>
      <c r="BQ56" s="10" t="str">
        <f t="shared" si="49"/>
        <v/>
      </c>
      <c r="BR56" s="10" t="str">
        <f t="shared" si="35"/>
        <v/>
      </c>
    </row>
    <row r="57" spans="3:70" x14ac:dyDescent="0.15">
      <c r="I57" s="38">
        <f t="shared" si="36"/>
        <v>2062</v>
      </c>
      <c r="J57" s="39"/>
      <c r="K57" s="39">
        <f t="shared" si="37"/>
        <v>43</v>
      </c>
      <c r="L57" s="39"/>
      <c r="M57" s="40">
        <f t="shared" si="0"/>
        <v>0.28054293595180391</v>
      </c>
      <c r="N57" s="39"/>
      <c r="O57" s="72" t="str">
        <f t="shared" si="16"/>
        <v/>
      </c>
      <c r="P57" s="41" t="str">
        <f t="shared" si="38"/>
        <v/>
      </c>
      <c r="Q57" s="39"/>
      <c r="R57" s="72" t="str">
        <f t="shared" si="50"/>
        <v/>
      </c>
      <c r="S57" s="39"/>
      <c r="T57" s="72" t="str">
        <f t="shared" si="18"/>
        <v/>
      </c>
      <c r="U57" s="39"/>
      <c r="V57" s="72" t="str">
        <f t="shared" si="39"/>
        <v/>
      </c>
      <c r="W57" s="72" t="str">
        <f t="shared" si="19"/>
        <v/>
      </c>
      <c r="X57" s="39"/>
      <c r="Y57" s="72" t="str">
        <f t="shared" si="40"/>
        <v/>
      </c>
      <c r="Z57" s="72" t="str">
        <f t="shared" si="20"/>
        <v/>
      </c>
      <c r="AA57" s="39"/>
      <c r="AB57" s="72" t="str">
        <f t="shared" si="4"/>
        <v/>
      </c>
      <c r="AC57" s="72" t="str">
        <f t="shared" si="21"/>
        <v/>
      </c>
      <c r="AD57" s="39"/>
      <c r="AE57" s="72" t="str">
        <f t="shared" si="41"/>
        <v/>
      </c>
      <c r="AF57" s="72" t="str">
        <f t="shared" si="22"/>
        <v/>
      </c>
      <c r="AG57" s="39"/>
      <c r="AH57" s="72" t="str">
        <f t="shared" si="42"/>
        <v/>
      </c>
      <c r="AI57" s="72" t="str">
        <f t="shared" si="23"/>
        <v/>
      </c>
      <c r="AJ57" s="39"/>
      <c r="AK57" s="72" t="str">
        <f t="shared" si="24"/>
        <v/>
      </c>
      <c r="AL57" s="72" t="str">
        <f t="shared" si="25"/>
        <v/>
      </c>
      <c r="AM57" s="39"/>
      <c r="AN57" s="72" t="str">
        <f t="shared" si="43"/>
        <v/>
      </c>
      <c r="AO57" s="72" t="str">
        <f t="shared" si="26"/>
        <v/>
      </c>
      <c r="AP57" s="39"/>
      <c r="AQ57" s="72" t="str">
        <f t="shared" si="44"/>
        <v/>
      </c>
      <c r="AR57" s="72" t="str">
        <f t="shared" si="27"/>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45"/>
        <v/>
      </c>
      <c r="AW57" s="72" t="str">
        <f t="shared" si="10"/>
        <v/>
      </c>
      <c r="AX57" s="39"/>
      <c r="AY57" s="40" t="str">
        <f>IF(ISERROR(IF($K57&lt;=$F$15,VLOOKUP($I57,'表4）CO2価格'!$A$7:$E$67,VLOOKUP($F$48,'表4）CO2価格'!$H$10:$I$12,2,0),0)*$F$8/1000,"")),0,IF($K57&lt;=$F$15,VLOOKUP($I57,'表4）CO2価格'!$A$7:$E$67,VLOOKUP($F$48,'表4）CO2価格'!$H$10:$I$12,2,0),0)*$F$8/1000,""))</f>
        <v/>
      </c>
      <c r="AZ57" s="39"/>
      <c r="BA57" s="42" t="str">
        <f t="shared" si="46"/>
        <v/>
      </c>
      <c r="BB57" s="72" t="str">
        <f t="shared" si="28"/>
        <v/>
      </c>
      <c r="BC57" s="39"/>
      <c r="BD57" s="72" t="str">
        <f t="shared" si="47"/>
        <v/>
      </c>
      <c r="BE57" s="72" t="str">
        <f t="shared" si="29"/>
        <v/>
      </c>
      <c r="BF57" s="39"/>
      <c r="BG57" s="42" t="str">
        <f t="shared" si="48"/>
        <v/>
      </c>
      <c r="BH57" s="72" t="str">
        <f t="shared" si="30"/>
        <v/>
      </c>
      <c r="BI57" s="39"/>
      <c r="BJ57" s="40" t="str">
        <f t="shared" si="31"/>
        <v/>
      </c>
      <c r="BK57" s="157" t="str">
        <f t="shared" si="32"/>
        <v/>
      </c>
      <c r="BL57" s="157" t="str">
        <f t="shared" si="14"/>
        <v/>
      </c>
      <c r="BM57" s="72"/>
      <c r="BN57" s="72" t="str">
        <f t="shared" si="33"/>
        <v/>
      </c>
      <c r="BO57" s="72" t="str">
        <f t="shared" si="34"/>
        <v/>
      </c>
      <c r="BP57" s="39"/>
      <c r="BQ57" s="72" t="str">
        <f t="shared" si="49"/>
        <v/>
      </c>
      <c r="BR57" s="72" t="str">
        <f t="shared" si="35"/>
        <v/>
      </c>
    </row>
    <row r="58" spans="3:70" x14ac:dyDescent="0.15">
      <c r="C58" s="89" t="s">
        <v>512</v>
      </c>
      <c r="D58" s="101"/>
      <c r="E58" s="101"/>
      <c r="F58" s="89"/>
      <c r="G58" s="101"/>
      <c r="I58" s="322">
        <f t="shared" si="36"/>
        <v>2063</v>
      </c>
      <c r="J58" s="71"/>
      <c r="K58" s="71">
        <f t="shared" si="37"/>
        <v>44</v>
      </c>
      <c r="L58" s="71"/>
      <c r="M58" s="7">
        <f t="shared" si="0"/>
        <v>0.27237178247747956</v>
      </c>
      <c r="N58" s="71"/>
      <c r="O58" s="10" t="str">
        <f t="shared" si="16"/>
        <v/>
      </c>
      <c r="P58" s="29" t="str">
        <f t="shared" si="38"/>
        <v/>
      </c>
      <c r="Q58" s="71"/>
      <c r="R58" s="10" t="str">
        <f t="shared" si="50"/>
        <v/>
      </c>
      <c r="S58" s="71"/>
      <c r="T58" s="10" t="str">
        <f t="shared" si="18"/>
        <v/>
      </c>
      <c r="U58" s="71"/>
      <c r="V58" s="10" t="str">
        <f t="shared" si="39"/>
        <v/>
      </c>
      <c r="W58" s="10" t="str">
        <f t="shared" si="19"/>
        <v/>
      </c>
      <c r="X58" s="71"/>
      <c r="Y58" s="10" t="str">
        <f t="shared" si="40"/>
        <v/>
      </c>
      <c r="Z58" s="10" t="str">
        <f t="shared" si="20"/>
        <v/>
      </c>
      <c r="AA58" s="71"/>
      <c r="AB58" s="10" t="str">
        <f t="shared" si="4"/>
        <v/>
      </c>
      <c r="AC58" s="10" t="str">
        <f t="shared" si="21"/>
        <v/>
      </c>
      <c r="AD58" s="71"/>
      <c r="AE58" s="10" t="str">
        <f t="shared" si="41"/>
        <v/>
      </c>
      <c r="AF58" s="10" t="str">
        <f t="shared" si="22"/>
        <v/>
      </c>
      <c r="AG58" s="71"/>
      <c r="AH58" s="10" t="str">
        <f t="shared" si="42"/>
        <v/>
      </c>
      <c r="AI58" s="10" t="str">
        <f t="shared" si="23"/>
        <v/>
      </c>
      <c r="AJ58" s="71"/>
      <c r="AK58" s="10" t="str">
        <f t="shared" si="24"/>
        <v/>
      </c>
      <c r="AL58" s="10" t="str">
        <f t="shared" si="25"/>
        <v/>
      </c>
      <c r="AM58" s="71"/>
      <c r="AN58" s="10" t="str">
        <f t="shared" si="43"/>
        <v/>
      </c>
      <c r="AO58" s="10" t="str">
        <f t="shared" si="26"/>
        <v/>
      </c>
      <c r="AP58" s="71"/>
      <c r="AQ58" s="10" t="str">
        <f t="shared" si="44"/>
        <v/>
      </c>
      <c r="AR58" s="10" t="str">
        <f t="shared" si="27"/>
        <v/>
      </c>
      <c r="AS58" s="71"/>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U58" s="71"/>
      <c r="AV58" s="10" t="str">
        <f t="shared" si="45"/>
        <v/>
      </c>
      <c r="AW58" s="10" t="str">
        <f t="shared" si="10"/>
        <v/>
      </c>
      <c r="AX58" s="71"/>
      <c r="AY58" s="7" t="str">
        <f>IF(ISERROR(IF($K58&lt;=$F$15,VLOOKUP($I58,'表4）CO2価格'!$A$7:$E$67,VLOOKUP($F$48,'表4）CO2価格'!$H$10:$I$12,2,0),0)*$F$8/1000,"")),0,IF($K58&lt;=$F$15,VLOOKUP($I58,'表4）CO2価格'!$A$7:$E$67,VLOOKUP($F$48,'表4）CO2価格'!$H$10:$I$12,2,0),0)*$F$8/1000,""))</f>
        <v/>
      </c>
      <c r="AZ58" s="71"/>
      <c r="BA58" s="11" t="str">
        <f t="shared" si="46"/>
        <v/>
      </c>
      <c r="BB58" s="10" t="str">
        <f t="shared" si="28"/>
        <v/>
      </c>
      <c r="BC58" s="71"/>
      <c r="BD58" s="10" t="str">
        <f t="shared" si="47"/>
        <v/>
      </c>
      <c r="BE58" s="10" t="str">
        <f t="shared" si="29"/>
        <v/>
      </c>
      <c r="BF58" s="71"/>
      <c r="BG58" s="11" t="str">
        <f t="shared" si="48"/>
        <v/>
      </c>
      <c r="BH58" s="10" t="str">
        <f t="shared" si="30"/>
        <v/>
      </c>
      <c r="BJ58" s="7" t="str">
        <f t="shared" si="31"/>
        <v/>
      </c>
      <c r="BK58" s="158" t="str">
        <f t="shared" si="32"/>
        <v/>
      </c>
      <c r="BL58" s="158" t="str">
        <f t="shared" si="14"/>
        <v/>
      </c>
      <c r="BM58" s="10"/>
      <c r="BN58" s="10" t="str">
        <f t="shared" si="33"/>
        <v/>
      </c>
      <c r="BO58" s="10" t="str">
        <f t="shared" si="34"/>
        <v/>
      </c>
      <c r="BQ58" s="10" t="str">
        <f t="shared" si="49"/>
        <v/>
      </c>
      <c r="BR58" s="10" t="str">
        <f t="shared" si="35"/>
        <v/>
      </c>
    </row>
    <row r="59" spans="3:70" x14ac:dyDescent="0.15">
      <c r="I59" s="38">
        <f t="shared" si="36"/>
        <v>2064</v>
      </c>
      <c r="J59" s="39"/>
      <c r="K59" s="39">
        <f t="shared" si="37"/>
        <v>45</v>
      </c>
      <c r="L59" s="39"/>
      <c r="M59" s="40">
        <f t="shared" si="0"/>
        <v>0.26443862376454325</v>
      </c>
      <c r="N59" s="39"/>
      <c r="O59" s="72" t="str">
        <f t="shared" si="16"/>
        <v/>
      </c>
      <c r="P59" s="41" t="str">
        <f t="shared" si="38"/>
        <v/>
      </c>
      <c r="Q59" s="39"/>
      <c r="R59" s="72" t="str">
        <f t="shared" si="50"/>
        <v/>
      </c>
      <c r="S59" s="39"/>
      <c r="T59" s="72" t="str">
        <f t="shared" si="18"/>
        <v/>
      </c>
      <c r="U59" s="39"/>
      <c r="V59" s="72" t="str">
        <f t="shared" si="39"/>
        <v/>
      </c>
      <c r="W59" s="72" t="str">
        <f t="shared" si="19"/>
        <v/>
      </c>
      <c r="X59" s="39"/>
      <c r="Y59" s="72" t="str">
        <f t="shared" si="40"/>
        <v/>
      </c>
      <c r="Z59" s="72" t="str">
        <f t="shared" si="20"/>
        <v/>
      </c>
      <c r="AA59" s="39"/>
      <c r="AB59" s="72" t="str">
        <f t="shared" si="4"/>
        <v/>
      </c>
      <c r="AC59" s="72" t="str">
        <f t="shared" si="21"/>
        <v/>
      </c>
      <c r="AD59" s="39"/>
      <c r="AE59" s="72" t="str">
        <f t="shared" si="41"/>
        <v/>
      </c>
      <c r="AF59" s="72" t="str">
        <f t="shared" si="22"/>
        <v/>
      </c>
      <c r="AG59" s="39"/>
      <c r="AH59" s="72" t="str">
        <f t="shared" si="42"/>
        <v/>
      </c>
      <c r="AI59" s="72" t="str">
        <f t="shared" si="23"/>
        <v/>
      </c>
      <c r="AJ59" s="39"/>
      <c r="AK59" s="72" t="str">
        <f t="shared" si="24"/>
        <v/>
      </c>
      <c r="AL59" s="72" t="str">
        <f t="shared" si="25"/>
        <v/>
      </c>
      <c r="AM59" s="39"/>
      <c r="AN59" s="72" t="str">
        <f t="shared" si="43"/>
        <v/>
      </c>
      <c r="AO59" s="72" t="str">
        <f t="shared" si="26"/>
        <v/>
      </c>
      <c r="AP59" s="39"/>
      <c r="AQ59" s="72" t="str">
        <f t="shared" si="44"/>
        <v/>
      </c>
      <c r="AR59" s="72" t="str">
        <f t="shared" si="27"/>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45"/>
        <v/>
      </c>
      <c r="AW59" s="72" t="str">
        <f t="shared" si="10"/>
        <v/>
      </c>
      <c r="AX59" s="39"/>
      <c r="AY59" s="40" t="str">
        <f>IF(ISERROR(IF($K59&lt;=$F$15,VLOOKUP($I59,'表4）CO2価格'!$A$7:$E$67,VLOOKUP($F$48,'表4）CO2価格'!$H$10:$I$12,2,0),0)*$F$8/1000,"")),0,IF($K59&lt;=$F$15,VLOOKUP($I59,'表4）CO2価格'!$A$7:$E$67,VLOOKUP($F$48,'表4）CO2価格'!$H$10:$I$12,2,0),0)*$F$8/1000,""))</f>
        <v/>
      </c>
      <c r="AZ59" s="39"/>
      <c r="BA59" s="42" t="str">
        <f t="shared" si="46"/>
        <v/>
      </c>
      <c r="BB59" s="72" t="str">
        <f t="shared" si="28"/>
        <v/>
      </c>
      <c r="BC59" s="39"/>
      <c r="BD59" s="72" t="str">
        <f t="shared" si="47"/>
        <v/>
      </c>
      <c r="BE59" s="72" t="str">
        <f t="shared" si="29"/>
        <v/>
      </c>
      <c r="BF59" s="39"/>
      <c r="BG59" s="42" t="str">
        <f t="shared" si="48"/>
        <v/>
      </c>
      <c r="BH59" s="72" t="str">
        <f t="shared" si="30"/>
        <v/>
      </c>
      <c r="BI59" s="39"/>
      <c r="BJ59" s="40" t="str">
        <f t="shared" si="31"/>
        <v/>
      </c>
      <c r="BK59" s="157" t="str">
        <f t="shared" si="32"/>
        <v/>
      </c>
      <c r="BL59" s="157" t="str">
        <f t="shared" si="14"/>
        <v/>
      </c>
      <c r="BM59" s="72"/>
      <c r="BN59" s="72" t="str">
        <f t="shared" si="33"/>
        <v/>
      </c>
      <c r="BO59" s="72" t="str">
        <f t="shared" si="34"/>
        <v/>
      </c>
      <c r="BP59" s="39"/>
      <c r="BQ59" s="72" t="str">
        <f t="shared" si="49"/>
        <v/>
      </c>
      <c r="BR59" s="72" t="str">
        <f t="shared" si="35"/>
        <v/>
      </c>
    </row>
    <row r="60" spans="3:70" x14ac:dyDescent="0.15">
      <c r="D60" s="81" t="s">
        <v>128</v>
      </c>
      <c r="F60" s="59"/>
      <c r="G60" s="81" t="s">
        <v>176</v>
      </c>
      <c r="I60" s="322">
        <f t="shared" si="36"/>
        <v>2065</v>
      </c>
      <c r="J60" s="71"/>
      <c r="K60" s="71">
        <f t="shared" si="37"/>
        <v>46</v>
      </c>
      <c r="L60" s="71"/>
      <c r="M60" s="7">
        <f t="shared" si="0"/>
        <v>0.25673652792674101</v>
      </c>
      <c r="N60" s="71"/>
      <c r="O60" s="10" t="str">
        <f t="shared" si="16"/>
        <v/>
      </c>
      <c r="P60" s="29" t="str">
        <f t="shared" si="38"/>
        <v/>
      </c>
      <c r="Q60" s="71"/>
      <c r="R60" s="10" t="str">
        <f t="shared" si="50"/>
        <v/>
      </c>
      <c r="S60" s="71"/>
      <c r="T60" s="10" t="str">
        <f t="shared" si="18"/>
        <v/>
      </c>
      <c r="U60" s="71"/>
      <c r="V60" s="10" t="str">
        <f t="shared" si="39"/>
        <v/>
      </c>
      <c r="W60" s="10" t="str">
        <f t="shared" si="19"/>
        <v/>
      </c>
      <c r="X60" s="71"/>
      <c r="Y60" s="10" t="str">
        <f t="shared" si="40"/>
        <v/>
      </c>
      <c r="Z60" s="10" t="str">
        <f t="shared" si="20"/>
        <v/>
      </c>
      <c r="AA60" s="71"/>
      <c r="AB60" s="10" t="str">
        <f t="shared" si="4"/>
        <v/>
      </c>
      <c r="AC60" s="10" t="str">
        <f t="shared" si="21"/>
        <v/>
      </c>
      <c r="AD60" s="71"/>
      <c r="AE60" s="10" t="str">
        <f t="shared" si="41"/>
        <v/>
      </c>
      <c r="AF60" s="10" t="str">
        <f t="shared" si="22"/>
        <v/>
      </c>
      <c r="AG60" s="71"/>
      <c r="AH60" s="10" t="str">
        <f t="shared" si="42"/>
        <v/>
      </c>
      <c r="AI60" s="10" t="str">
        <f t="shared" si="23"/>
        <v/>
      </c>
      <c r="AJ60" s="71"/>
      <c r="AK60" s="10" t="str">
        <f t="shared" si="24"/>
        <v/>
      </c>
      <c r="AL60" s="10" t="str">
        <f t="shared" si="25"/>
        <v/>
      </c>
      <c r="AM60" s="71"/>
      <c r="AN60" s="10" t="str">
        <f t="shared" si="43"/>
        <v/>
      </c>
      <c r="AO60" s="10" t="str">
        <f t="shared" si="26"/>
        <v/>
      </c>
      <c r="AP60" s="71"/>
      <c r="AQ60" s="10" t="str">
        <f t="shared" si="44"/>
        <v/>
      </c>
      <c r="AR60" s="10" t="str">
        <f t="shared" si="27"/>
        <v/>
      </c>
      <c r="AS60" s="71"/>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U60" s="71"/>
      <c r="AV60" s="10" t="str">
        <f t="shared" si="45"/>
        <v/>
      </c>
      <c r="AW60" s="10" t="str">
        <f t="shared" si="10"/>
        <v/>
      </c>
      <c r="AX60" s="71"/>
      <c r="AY60" s="7" t="str">
        <f>IF(ISERROR(IF($K60&lt;=$F$15,VLOOKUP($I60,'表4）CO2価格'!$A$7:$E$67,VLOOKUP($F$48,'表4）CO2価格'!$H$10:$I$12,2,0),0)*$F$8/1000,"")),0,IF($K60&lt;=$F$15,VLOOKUP($I60,'表4）CO2価格'!$A$7:$E$67,VLOOKUP($F$48,'表4）CO2価格'!$H$10:$I$12,2,0),0)*$F$8/1000,""))</f>
        <v/>
      </c>
      <c r="AZ60" s="71"/>
      <c r="BA60" s="11" t="str">
        <f t="shared" si="46"/>
        <v/>
      </c>
      <c r="BB60" s="10" t="str">
        <f t="shared" si="28"/>
        <v/>
      </c>
      <c r="BC60" s="71"/>
      <c r="BD60" s="10" t="str">
        <f t="shared" si="47"/>
        <v/>
      </c>
      <c r="BE60" s="10" t="str">
        <f t="shared" si="29"/>
        <v/>
      </c>
      <c r="BF60" s="71"/>
      <c r="BG60" s="11" t="str">
        <f t="shared" si="48"/>
        <v/>
      </c>
      <c r="BH60" s="10" t="str">
        <f t="shared" si="30"/>
        <v/>
      </c>
      <c r="BJ60" s="7" t="str">
        <f t="shared" si="31"/>
        <v/>
      </c>
      <c r="BK60" s="158" t="str">
        <f t="shared" si="32"/>
        <v/>
      </c>
      <c r="BL60" s="158" t="str">
        <f t="shared" si="14"/>
        <v/>
      </c>
      <c r="BM60" s="10"/>
      <c r="BN60" s="10" t="str">
        <f t="shared" si="33"/>
        <v/>
      </c>
      <c r="BO60" s="10" t="str">
        <f t="shared" si="34"/>
        <v/>
      </c>
      <c r="BQ60" s="10" t="str">
        <f t="shared" si="49"/>
        <v/>
      </c>
      <c r="BR60" s="10" t="str">
        <f t="shared" si="35"/>
        <v/>
      </c>
    </row>
    <row r="61" spans="3:70" x14ac:dyDescent="0.15">
      <c r="D61" s="81" t="s">
        <v>190</v>
      </c>
      <c r="F61" s="66"/>
      <c r="G61" s="81" t="s">
        <v>108</v>
      </c>
      <c r="I61" s="38">
        <f t="shared" si="36"/>
        <v>2066</v>
      </c>
      <c r="J61" s="39"/>
      <c r="K61" s="39">
        <f t="shared" si="37"/>
        <v>47</v>
      </c>
      <c r="L61" s="39"/>
      <c r="M61" s="40">
        <f t="shared" si="0"/>
        <v>0.24925876497741845</v>
      </c>
      <c r="N61" s="39"/>
      <c r="O61" s="72" t="str">
        <f t="shared" si="16"/>
        <v/>
      </c>
      <c r="P61" s="41" t="str">
        <f t="shared" si="38"/>
        <v/>
      </c>
      <c r="Q61" s="39"/>
      <c r="R61" s="72" t="str">
        <f t="shared" si="50"/>
        <v/>
      </c>
      <c r="S61" s="39"/>
      <c r="T61" s="72" t="str">
        <f t="shared" si="18"/>
        <v/>
      </c>
      <c r="U61" s="39"/>
      <c r="V61" s="72" t="str">
        <f t="shared" si="39"/>
        <v/>
      </c>
      <c r="W61" s="72" t="str">
        <f t="shared" si="19"/>
        <v/>
      </c>
      <c r="X61" s="39"/>
      <c r="Y61" s="72" t="str">
        <f t="shared" si="40"/>
        <v/>
      </c>
      <c r="Z61" s="72" t="str">
        <f t="shared" si="20"/>
        <v/>
      </c>
      <c r="AA61" s="39"/>
      <c r="AB61" s="72" t="str">
        <f t="shared" si="4"/>
        <v/>
      </c>
      <c r="AC61" s="72" t="str">
        <f t="shared" si="21"/>
        <v/>
      </c>
      <c r="AD61" s="39"/>
      <c r="AE61" s="72" t="str">
        <f t="shared" si="41"/>
        <v/>
      </c>
      <c r="AF61" s="72" t="str">
        <f t="shared" si="22"/>
        <v/>
      </c>
      <c r="AG61" s="39"/>
      <c r="AH61" s="72" t="str">
        <f t="shared" si="42"/>
        <v/>
      </c>
      <c r="AI61" s="72" t="str">
        <f t="shared" si="23"/>
        <v/>
      </c>
      <c r="AJ61" s="39"/>
      <c r="AK61" s="72" t="str">
        <f t="shared" si="24"/>
        <v/>
      </c>
      <c r="AL61" s="72" t="str">
        <f t="shared" si="25"/>
        <v/>
      </c>
      <c r="AM61" s="39"/>
      <c r="AN61" s="72" t="str">
        <f t="shared" si="43"/>
        <v/>
      </c>
      <c r="AO61" s="72" t="str">
        <f t="shared" si="26"/>
        <v/>
      </c>
      <c r="AP61" s="39"/>
      <c r="AQ61" s="72" t="str">
        <f t="shared" si="44"/>
        <v/>
      </c>
      <c r="AR61" s="72" t="str">
        <f t="shared" si="27"/>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45"/>
        <v/>
      </c>
      <c r="AW61" s="72" t="str">
        <f t="shared" si="10"/>
        <v/>
      </c>
      <c r="AX61" s="39"/>
      <c r="AY61" s="40" t="str">
        <f>IF(ISERROR(IF($K61&lt;=$F$15,VLOOKUP($I61,'表4）CO2価格'!$A$7:$E$67,VLOOKUP($F$48,'表4）CO2価格'!$H$10:$I$12,2,0),0)*$F$8/1000,"")),0,IF($K61&lt;=$F$15,VLOOKUP($I61,'表4）CO2価格'!$A$7:$E$67,VLOOKUP($F$48,'表4）CO2価格'!$H$10:$I$12,2,0),0)*$F$8/1000,""))</f>
        <v/>
      </c>
      <c r="AZ61" s="39"/>
      <c r="BA61" s="42" t="str">
        <f t="shared" si="46"/>
        <v/>
      </c>
      <c r="BB61" s="72" t="str">
        <f t="shared" si="28"/>
        <v/>
      </c>
      <c r="BC61" s="39"/>
      <c r="BD61" s="72" t="str">
        <f t="shared" si="47"/>
        <v/>
      </c>
      <c r="BE61" s="72" t="str">
        <f t="shared" si="29"/>
        <v/>
      </c>
      <c r="BF61" s="39"/>
      <c r="BG61" s="42" t="str">
        <f t="shared" si="48"/>
        <v/>
      </c>
      <c r="BH61" s="72" t="str">
        <f t="shared" si="30"/>
        <v/>
      </c>
      <c r="BI61" s="39"/>
      <c r="BJ61" s="40" t="str">
        <f t="shared" si="31"/>
        <v/>
      </c>
      <c r="BK61" s="157" t="str">
        <f t="shared" si="32"/>
        <v/>
      </c>
      <c r="BL61" s="157" t="str">
        <f t="shared" si="14"/>
        <v/>
      </c>
      <c r="BM61" s="72"/>
      <c r="BN61" s="72" t="str">
        <f t="shared" si="33"/>
        <v/>
      </c>
      <c r="BO61" s="72" t="str">
        <f t="shared" si="34"/>
        <v/>
      </c>
      <c r="BP61" s="39"/>
      <c r="BQ61" s="72" t="str">
        <f t="shared" si="49"/>
        <v/>
      </c>
      <c r="BR61" s="72" t="str">
        <f t="shared" si="35"/>
        <v/>
      </c>
    </row>
    <row r="62" spans="3:70" x14ac:dyDescent="0.15">
      <c r="D62" s="81" t="s">
        <v>131</v>
      </c>
      <c r="F62" s="59"/>
      <c r="G62" s="81" t="s">
        <v>191</v>
      </c>
      <c r="I62" s="322">
        <f t="shared" si="36"/>
        <v>2067</v>
      </c>
      <c r="J62" s="71"/>
      <c r="K62" s="71">
        <f t="shared" si="37"/>
        <v>48</v>
      </c>
      <c r="L62" s="71"/>
      <c r="M62" s="7">
        <f t="shared" si="0"/>
        <v>0.24199880094894996</v>
      </c>
      <c r="N62" s="71"/>
      <c r="O62" s="10" t="str">
        <f t="shared" si="16"/>
        <v/>
      </c>
      <c r="P62" s="29" t="str">
        <f t="shared" si="38"/>
        <v/>
      </c>
      <c r="Q62" s="71"/>
      <c r="R62" s="10" t="str">
        <f t="shared" si="50"/>
        <v/>
      </c>
      <c r="S62" s="71"/>
      <c r="T62" s="10" t="str">
        <f t="shared" si="18"/>
        <v/>
      </c>
      <c r="U62" s="71"/>
      <c r="V62" s="10" t="str">
        <f t="shared" si="39"/>
        <v/>
      </c>
      <c r="W62" s="10" t="str">
        <f t="shared" si="19"/>
        <v/>
      </c>
      <c r="X62" s="71"/>
      <c r="Y62" s="10" t="str">
        <f t="shared" si="40"/>
        <v/>
      </c>
      <c r="Z62" s="10" t="str">
        <f t="shared" si="20"/>
        <v/>
      </c>
      <c r="AA62" s="71"/>
      <c r="AB62" s="10" t="str">
        <f t="shared" si="4"/>
        <v/>
      </c>
      <c r="AC62" s="10" t="str">
        <f t="shared" si="21"/>
        <v/>
      </c>
      <c r="AD62" s="71"/>
      <c r="AE62" s="10" t="str">
        <f t="shared" si="41"/>
        <v/>
      </c>
      <c r="AF62" s="10" t="str">
        <f t="shared" si="22"/>
        <v/>
      </c>
      <c r="AG62" s="71"/>
      <c r="AH62" s="10" t="str">
        <f t="shared" si="42"/>
        <v/>
      </c>
      <c r="AI62" s="10" t="str">
        <f t="shared" si="23"/>
        <v/>
      </c>
      <c r="AJ62" s="71"/>
      <c r="AK62" s="10" t="str">
        <f t="shared" si="24"/>
        <v/>
      </c>
      <c r="AL62" s="10" t="str">
        <f t="shared" si="25"/>
        <v/>
      </c>
      <c r="AM62" s="71"/>
      <c r="AN62" s="10" t="str">
        <f t="shared" si="43"/>
        <v/>
      </c>
      <c r="AO62" s="10" t="str">
        <f t="shared" si="26"/>
        <v/>
      </c>
      <c r="AP62" s="71"/>
      <c r="AQ62" s="10" t="str">
        <f t="shared" si="44"/>
        <v/>
      </c>
      <c r="AR62" s="10" t="str">
        <f t="shared" si="27"/>
        <v/>
      </c>
      <c r="AS62" s="71"/>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U62" s="71"/>
      <c r="AV62" s="10" t="str">
        <f t="shared" si="45"/>
        <v/>
      </c>
      <c r="AW62" s="10" t="str">
        <f t="shared" si="10"/>
        <v/>
      </c>
      <c r="AX62" s="71"/>
      <c r="AY62" s="7" t="str">
        <f>IF(ISERROR(IF($K62&lt;=$F$15,VLOOKUP($I62,'表4）CO2価格'!$A$7:$E$67,VLOOKUP($F$48,'表4）CO2価格'!$H$10:$I$12,2,0),0)*$F$8/1000,"")),0,IF($K62&lt;=$F$15,VLOOKUP($I62,'表4）CO2価格'!$A$7:$E$67,VLOOKUP($F$48,'表4）CO2価格'!$H$10:$I$12,2,0),0)*$F$8/1000,""))</f>
        <v/>
      </c>
      <c r="AZ62" s="71"/>
      <c r="BA62" s="11" t="str">
        <f t="shared" si="46"/>
        <v/>
      </c>
      <c r="BB62" s="10" t="str">
        <f t="shared" si="28"/>
        <v/>
      </c>
      <c r="BC62" s="71"/>
      <c r="BD62" s="10" t="str">
        <f t="shared" si="47"/>
        <v/>
      </c>
      <c r="BE62" s="10" t="str">
        <f t="shared" si="29"/>
        <v/>
      </c>
      <c r="BF62" s="71"/>
      <c r="BG62" s="11" t="str">
        <f t="shared" si="48"/>
        <v/>
      </c>
      <c r="BH62" s="10" t="str">
        <f t="shared" si="30"/>
        <v/>
      </c>
      <c r="BJ62" s="7" t="str">
        <f t="shared" si="31"/>
        <v/>
      </c>
      <c r="BK62" s="158" t="str">
        <f t="shared" si="32"/>
        <v/>
      </c>
      <c r="BL62" s="158" t="str">
        <f t="shared" si="14"/>
        <v/>
      </c>
      <c r="BM62" s="10"/>
      <c r="BN62" s="10" t="str">
        <f t="shared" si="33"/>
        <v/>
      </c>
      <c r="BO62" s="10" t="str">
        <f t="shared" si="34"/>
        <v/>
      </c>
      <c r="BQ62" s="10" t="str">
        <f t="shared" si="49"/>
        <v/>
      </c>
      <c r="BR62" s="10" t="str">
        <f t="shared" si="35"/>
        <v/>
      </c>
    </row>
    <row r="63" spans="3:70" x14ac:dyDescent="0.15">
      <c r="I63" s="38">
        <f t="shared" si="36"/>
        <v>2068</v>
      </c>
      <c r="J63" s="39"/>
      <c r="K63" s="39">
        <f t="shared" si="37"/>
        <v>49</v>
      </c>
      <c r="L63" s="39"/>
      <c r="M63" s="40">
        <f t="shared" si="0"/>
        <v>0.2349502921834466</v>
      </c>
      <c r="N63" s="39"/>
      <c r="O63" s="72" t="str">
        <f t="shared" si="16"/>
        <v/>
      </c>
      <c r="P63" s="41" t="str">
        <f t="shared" si="38"/>
        <v/>
      </c>
      <c r="Q63" s="39"/>
      <c r="R63" s="72" t="str">
        <f t="shared" si="50"/>
        <v/>
      </c>
      <c r="S63" s="39"/>
      <c r="T63" s="72" t="str">
        <f t="shared" si="18"/>
        <v/>
      </c>
      <c r="U63" s="39"/>
      <c r="V63" s="72" t="str">
        <f t="shared" si="39"/>
        <v/>
      </c>
      <c r="W63" s="72" t="str">
        <f t="shared" si="19"/>
        <v/>
      </c>
      <c r="X63" s="39"/>
      <c r="Y63" s="72" t="str">
        <f t="shared" si="40"/>
        <v/>
      </c>
      <c r="Z63" s="72" t="str">
        <f t="shared" si="20"/>
        <v/>
      </c>
      <c r="AA63" s="39"/>
      <c r="AB63" s="72" t="str">
        <f t="shared" si="4"/>
        <v/>
      </c>
      <c r="AC63" s="72" t="str">
        <f t="shared" si="21"/>
        <v/>
      </c>
      <c r="AD63" s="39"/>
      <c r="AE63" s="72" t="str">
        <f t="shared" si="41"/>
        <v/>
      </c>
      <c r="AF63" s="72" t="str">
        <f t="shared" si="22"/>
        <v/>
      </c>
      <c r="AG63" s="39"/>
      <c r="AH63" s="72" t="str">
        <f t="shared" si="42"/>
        <v/>
      </c>
      <c r="AI63" s="72" t="str">
        <f t="shared" si="23"/>
        <v/>
      </c>
      <c r="AJ63" s="39"/>
      <c r="AK63" s="72" t="str">
        <f t="shared" si="24"/>
        <v/>
      </c>
      <c r="AL63" s="72" t="str">
        <f t="shared" si="25"/>
        <v/>
      </c>
      <c r="AM63" s="39"/>
      <c r="AN63" s="72" t="str">
        <f t="shared" si="43"/>
        <v/>
      </c>
      <c r="AO63" s="72" t="str">
        <f t="shared" si="26"/>
        <v/>
      </c>
      <c r="AP63" s="39"/>
      <c r="AQ63" s="72" t="str">
        <f t="shared" si="44"/>
        <v/>
      </c>
      <c r="AR63" s="72" t="str">
        <f t="shared" si="27"/>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45"/>
        <v/>
      </c>
      <c r="AW63" s="72" t="str">
        <f t="shared" si="10"/>
        <v/>
      </c>
      <c r="AX63" s="39"/>
      <c r="AY63" s="40" t="str">
        <f>IF(ISERROR(IF($K63&lt;=$F$15,VLOOKUP($I63,'表4）CO2価格'!$A$7:$E$67,VLOOKUP($F$48,'表4）CO2価格'!$H$10:$I$12,2,0),0)*$F$8/1000,"")),0,IF($K63&lt;=$F$15,VLOOKUP($I63,'表4）CO2価格'!$A$7:$E$67,VLOOKUP($F$48,'表4）CO2価格'!$H$10:$I$12,2,0),0)*$F$8/1000,""))</f>
        <v/>
      </c>
      <c r="AZ63" s="39"/>
      <c r="BA63" s="42" t="str">
        <f t="shared" si="46"/>
        <v/>
      </c>
      <c r="BB63" s="72" t="str">
        <f t="shared" si="28"/>
        <v/>
      </c>
      <c r="BC63" s="39"/>
      <c r="BD63" s="72" t="str">
        <f t="shared" si="47"/>
        <v/>
      </c>
      <c r="BE63" s="72" t="str">
        <f t="shared" si="29"/>
        <v/>
      </c>
      <c r="BF63" s="39"/>
      <c r="BG63" s="42" t="str">
        <f t="shared" si="48"/>
        <v/>
      </c>
      <c r="BH63" s="72" t="str">
        <f t="shared" si="30"/>
        <v/>
      </c>
      <c r="BI63" s="39"/>
      <c r="BJ63" s="40" t="str">
        <f t="shared" si="31"/>
        <v/>
      </c>
      <c r="BK63" s="157" t="str">
        <f t="shared" si="32"/>
        <v/>
      </c>
      <c r="BL63" s="157" t="str">
        <f t="shared" si="14"/>
        <v/>
      </c>
      <c r="BM63" s="72"/>
      <c r="BN63" s="72" t="str">
        <f t="shared" si="33"/>
        <v/>
      </c>
      <c r="BO63" s="72" t="str">
        <f t="shared" si="34"/>
        <v/>
      </c>
      <c r="BP63" s="39"/>
      <c r="BQ63" s="72" t="str">
        <f t="shared" si="49"/>
        <v/>
      </c>
      <c r="BR63" s="72" t="str">
        <f t="shared" si="35"/>
        <v/>
      </c>
    </row>
    <row r="64" spans="3:70" x14ac:dyDescent="0.15">
      <c r="C64" s="9" t="s">
        <v>513</v>
      </c>
      <c r="F64" s="90">
        <v>3.4849999999999999E-2</v>
      </c>
      <c r="G64" s="81" t="s">
        <v>132</v>
      </c>
      <c r="I64" s="322">
        <f t="shared" si="36"/>
        <v>2069</v>
      </c>
      <c r="J64" s="71"/>
      <c r="K64" s="71">
        <f t="shared" si="37"/>
        <v>50</v>
      </c>
      <c r="L64" s="71"/>
      <c r="M64" s="7">
        <f t="shared" si="0"/>
        <v>0.22810707978975397</v>
      </c>
      <c r="N64" s="71"/>
      <c r="O64" s="10" t="str">
        <f t="shared" si="16"/>
        <v/>
      </c>
      <c r="P64" s="29" t="str">
        <f t="shared" si="38"/>
        <v/>
      </c>
      <c r="Q64" s="71"/>
      <c r="R64" s="10" t="str">
        <f t="shared" si="50"/>
        <v/>
      </c>
      <c r="S64" s="71"/>
      <c r="T64" s="10" t="str">
        <f t="shared" si="18"/>
        <v/>
      </c>
      <c r="U64" s="71"/>
      <c r="V64" s="10" t="str">
        <f t="shared" si="39"/>
        <v/>
      </c>
      <c r="W64" s="10" t="str">
        <f t="shared" si="19"/>
        <v/>
      </c>
      <c r="X64" s="71"/>
      <c r="Y64" s="10" t="str">
        <f t="shared" si="40"/>
        <v/>
      </c>
      <c r="Z64" s="10" t="str">
        <f t="shared" si="20"/>
        <v/>
      </c>
      <c r="AA64" s="71"/>
      <c r="AB64" s="10" t="str">
        <f t="shared" si="4"/>
        <v/>
      </c>
      <c r="AC64" s="10" t="str">
        <f t="shared" si="21"/>
        <v/>
      </c>
      <c r="AD64" s="71"/>
      <c r="AE64" s="10" t="str">
        <f t="shared" si="41"/>
        <v/>
      </c>
      <c r="AF64" s="10" t="str">
        <f t="shared" si="22"/>
        <v/>
      </c>
      <c r="AG64" s="71"/>
      <c r="AH64" s="10" t="str">
        <f t="shared" si="42"/>
        <v/>
      </c>
      <c r="AI64" s="10" t="str">
        <f t="shared" si="23"/>
        <v/>
      </c>
      <c r="AJ64" s="71"/>
      <c r="AK64" s="10" t="str">
        <f t="shared" si="24"/>
        <v/>
      </c>
      <c r="AL64" s="10" t="str">
        <f t="shared" si="25"/>
        <v/>
      </c>
      <c r="AM64" s="71"/>
      <c r="AN64" s="10" t="str">
        <f t="shared" si="43"/>
        <v/>
      </c>
      <c r="AO64" s="10" t="str">
        <f t="shared" si="26"/>
        <v/>
      </c>
      <c r="AP64" s="71"/>
      <c r="AQ64" s="10" t="str">
        <f t="shared" si="44"/>
        <v/>
      </c>
      <c r="AR64" s="10" t="str">
        <f t="shared" si="27"/>
        <v/>
      </c>
      <c r="AS64" s="71"/>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U64" s="71"/>
      <c r="AV64" s="10" t="str">
        <f t="shared" si="45"/>
        <v/>
      </c>
      <c r="AW64" s="10" t="str">
        <f t="shared" si="10"/>
        <v/>
      </c>
      <c r="AX64" s="71"/>
      <c r="AY64" s="7" t="str">
        <f>IF(ISERROR(IF($K64&lt;=$F$15,VLOOKUP($I64,'表4）CO2価格'!$A$7:$E$67,VLOOKUP($F$48,'表4）CO2価格'!$H$10:$I$12,2,0),0)*$F$8/1000,"")),0,IF($K64&lt;=$F$15,VLOOKUP($I64,'表4）CO2価格'!$A$7:$E$67,VLOOKUP($F$48,'表4）CO2価格'!$H$10:$I$12,2,0),0)*$F$8/1000,""))</f>
        <v/>
      </c>
      <c r="AZ64" s="71"/>
      <c r="BA64" s="11" t="str">
        <f t="shared" si="46"/>
        <v/>
      </c>
      <c r="BB64" s="10" t="str">
        <f t="shared" si="28"/>
        <v/>
      </c>
      <c r="BC64" s="71"/>
      <c r="BD64" s="10" t="str">
        <f t="shared" si="47"/>
        <v/>
      </c>
      <c r="BE64" s="10" t="str">
        <f t="shared" si="29"/>
        <v/>
      </c>
      <c r="BF64" s="71"/>
      <c r="BG64" s="11" t="str">
        <f t="shared" si="48"/>
        <v/>
      </c>
      <c r="BH64" s="10" t="str">
        <f t="shared" si="30"/>
        <v/>
      </c>
      <c r="BJ64" s="7" t="str">
        <f t="shared" si="31"/>
        <v/>
      </c>
      <c r="BK64" s="158" t="str">
        <f t="shared" si="32"/>
        <v/>
      </c>
      <c r="BL64" s="158" t="str">
        <f t="shared" si="14"/>
        <v/>
      </c>
      <c r="BM64" s="10"/>
      <c r="BN64" s="10" t="str">
        <f t="shared" si="33"/>
        <v/>
      </c>
      <c r="BO64" s="10" t="str">
        <f t="shared" si="34"/>
        <v/>
      </c>
      <c r="BQ64" s="10" t="str">
        <f t="shared" si="49"/>
        <v/>
      </c>
      <c r="BR64" s="10" t="str">
        <f t="shared" si="35"/>
        <v/>
      </c>
    </row>
    <row r="65" spans="2:70" x14ac:dyDescent="0.15">
      <c r="I65" s="38">
        <f t="shared" si="36"/>
        <v>2070</v>
      </c>
      <c r="J65" s="39"/>
      <c r="K65" s="39">
        <f t="shared" si="37"/>
        <v>51</v>
      </c>
      <c r="L65" s="39"/>
      <c r="M65" s="40">
        <f t="shared" si="0"/>
        <v>0.22146318426189707</v>
      </c>
      <c r="N65" s="39"/>
      <c r="O65" s="72" t="str">
        <f t="shared" si="16"/>
        <v/>
      </c>
      <c r="P65" s="41" t="str">
        <f t="shared" si="38"/>
        <v/>
      </c>
      <c r="Q65" s="39"/>
      <c r="R65" s="72" t="str">
        <f t="shared" si="50"/>
        <v/>
      </c>
      <c r="S65" s="39"/>
      <c r="T65" s="72" t="str">
        <f t="shared" si="18"/>
        <v/>
      </c>
      <c r="U65" s="39"/>
      <c r="V65" s="72" t="str">
        <f t="shared" si="39"/>
        <v/>
      </c>
      <c r="W65" s="72" t="str">
        <f t="shared" si="19"/>
        <v/>
      </c>
      <c r="X65" s="39"/>
      <c r="Y65" s="72" t="str">
        <f t="shared" si="40"/>
        <v/>
      </c>
      <c r="Z65" s="72" t="str">
        <f t="shared" si="20"/>
        <v/>
      </c>
      <c r="AA65" s="39"/>
      <c r="AB65" s="72" t="str">
        <f t="shared" si="4"/>
        <v/>
      </c>
      <c r="AC65" s="72" t="str">
        <f t="shared" si="21"/>
        <v/>
      </c>
      <c r="AD65" s="39"/>
      <c r="AE65" s="72" t="str">
        <f t="shared" si="41"/>
        <v/>
      </c>
      <c r="AF65" s="72" t="str">
        <f t="shared" si="22"/>
        <v/>
      </c>
      <c r="AG65" s="39"/>
      <c r="AH65" s="72" t="str">
        <f t="shared" si="42"/>
        <v/>
      </c>
      <c r="AI65" s="72" t="str">
        <f t="shared" si="23"/>
        <v/>
      </c>
      <c r="AJ65" s="39"/>
      <c r="AK65" s="72" t="str">
        <f t="shared" si="24"/>
        <v/>
      </c>
      <c r="AL65" s="72" t="str">
        <f t="shared" si="25"/>
        <v/>
      </c>
      <c r="AM65" s="39"/>
      <c r="AN65" s="72" t="str">
        <f t="shared" si="43"/>
        <v/>
      </c>
      <c r="AO65" s="72" t="str">
        <f t="shared" si="26"/>
        <v/>
      </c>
      <c r="AP65" s="39"/>
      <c r="AQ65" s="72" t="str">
        <f t="shared" si="44"/>
        <v/>
      </c>
      <c r="AR65" s="72" t="str">
        <f t="shared" si="27"/>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45"/>
        <v/>
      </c>
      <c r="AW65" s="72" t="str">
        <f t="shared" si="10"/>
        <v/>
      </c>
      <c r="AX65" s="39"/>
      <c r="AY65" s="40" t="str">
        <f>IF(ISERROR(IF($K65&lt;=$F$15,VLOOKUP($I65,'表4）CO2価格'!$A$7:$E$67,VLOOKUP($F$48,'表4）CO2価格'!$H$10:$I$12,2,0),0)*$F$8/1000,"")),0,IF($K65&lt;=$F$15,VLOOKUP($I65,'表4）CO2価格'!$A$7:$E$67,VLOOKUP($F$48,'表4）CO2価格'!$H$10:$I$12,2,0),0)*$F$8/1000,""))</f>
        <v/>
      </c>
      <c r="AZ65" s="39"/>
      <c r="BA65" s="42" t="str">
        <f t="shared" si="46"/>
        <v/>
      </c>
      <c r="BB65" s="72" t="str">
        <f t="shared" si="28"/>
        <v/>
      </c>
      <c r="BC65" s="39"/>
      <c r="BD65" s="72" t="str">
        <f t="shared" si="47"/>
        <v/>
      </c>
      <c r="BE65" s="72" t="str">
        <f t="shared" si="29"/>
        <v/>
      </c>
      <c r="BF65" s="39"/>
      <c r="BG65" s="42" t="str">
        <f t="shared" si="48"/>
        <v/>
      </c>
      <c r="BH65" s="72" t="str">
        <f t="shared" si="30"/>
        <v/>
      </c>
      <c r="BI65" s="39"/>
      <c r="BJ65" s="40" t="str">
        <f t="shared" si="31"/>
        <v/>
      </c>
      <c r="BK65" s="157" t="str">
        <f t="shared" si="32"/>
        <v/>
      </c>
      <c r="BL65" s="157" t="str">
        <f t="shared" si="14"/>
        <v/>
      </c>
      <c r="BM65" s="72"/>
      <c r="BN65" s="72" t="str">
        <f t="shared" si="33"/>
        <v/>
      </c>
      <c r="BO65" s="72" t="str">
        <f t="shared" si="34"/>
        <v/>
      </c>
      <c r="BP65" s="39"/>
      <c r="BQ65" s="72" t="str">
        <f t="shared" si="49"/>
        <v/>
      </c>
      <c r="BR65" s="72" t="str">
        <f t="shared" si="35"/>
        <v/>
      </c>
    </row>
    <row r="66" spans="2:70" x14ac:dyDescent="0.15">
      <c r="I66" s="322">
        <f t="shared" si="36"/>
        <v>2071</v>
      </c>
      <c r="J66" s="71"/>
      <c r="K66" s="71">
        <f t="shared" si="37"/>
        <v>52</v>
      </c>
      <c r="L66" s="71"/>
      <c r="M66" s="7">
        <f t="shared" si="0"/>
        <v>0.215012800254269</v>
      </c>
      <c r="N66" s="71"/>
      <c r="O66" s="10" t="str">
        <f t="shared" si="16"/>
        <v/>
      </c>
      <c r="P66" s="29" t="str">
        <f t="shared" si="38"/>
        <v/>
      </c>
      <c r="Q66" s="71"/>
      <c r="R66" s="10" t="str">
        <f t="shared" si="50"/>
        <v/>
      </c>
      <c r="S66" s="71"/>
      <c r="T66" s="10" t="str">
        <f t="shared" si="18"/>
        <v/>
      </c>
      <c r="U66" s="71"/>
      <c r="V66" s="10" t="str">
        <f t="shared" si="39"/>
        <v/>
      </c>
      <c r="W66" s="10" t="str">
        <f t="shared" si="19"/>
        <v/>
      </c>
      <c r="X66" s="71"/>
      <c r="Y66" s="10" t="str">
        <f t="shared" si="40"/>
        <v/>
      </c>
      <c r="Z66" s="10" t="str">
        <f t="shared" si="20"/>
        <v/>
      </c>
      <c r="AA66" s="71"/>
      <c r="AB66" s="10" t="str">
        <f t="shared" si="4"/>
        <v/>
      </c>
      <c r="AC66" s="10" t="str">
        <f t="shared" si="21"/>
        <v/>
      </c>
      <c r="AD66" s="71"/>
      <c r="AE66" s="10" t="str">
        <f t="shared" si="41"/>
        <v/>
      </c>
      <c r="AF66" s="10" t="str">
        <f t="shared" si="22"/>
        <v/>
      </c>
      <c r="AG66" s="71"/>
      <c r="AH66" s="10" t="str">
        <f t="shared" si="42"/>
        <v/>
      </c>
      <c r="AI66" s="10" t="str">
        <f t="shared" si="23"/>
        <v/>
      </c>
      <c r="AJ66" s="71"/>
      <c r="AK66" s="10" t="str">
        <f t="shared" si="24"/>
        <v/>
      </c>
      <c r="AL66" s="10" t="str">
        <f t="shared" si="25"/>
        <v/>
      </c>
      <c r="AM66" s="71"/>
      <c r="AN66" s="10" t="str">
        <f t="shared" si="43"/>
        <v/>
      </c>
      <c r="AO66" s="10" t="str">
        <f t="shared" si="26"/>
        <v/>
      </c>
      <c r="AP66" s="71"/>
      <c r="AQ66" s="10" t="str">
        <f t="shared" si="44"/>
        <v/>
      </c>
      <c r="AR66" s="10" t="str">
        <f t="shared" si="27"/>
        <v/>
      </c>
      <c r="AS66" s="71"/>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U66" s="71"/>
      <c r="AV66" s="10" t="str">
        <f t="shared" si="45"/>
        <v/>
      </c>
      <c r="AW66" s="10" t="str">
        <f t="shared" si="10"/>
        <v/>
      </c>
      <c r="AX66" s="71"/>
      <c r="AY66" s="7" t="str">
        <f>IF(ISERROR(IF($K66&lt;=$F$15,VLOOKUP($I66,'表4）CO2価格'!$A$7:$E$67,VLOOKUP($F$48,'表4）CO2価格'!$H$10:$I$12,2,0),0)*$F$8/1000,"")),0,IF($K66&lt;=$F$15,VLOOKUP($I66,'表4）CO2価格'!$A$7:$E$67,VLOOKUP($F$48,'表4）CO2価格'!$H$10:$I$12,2,0),0)*$F$8/1000,""))</f>
        <v/>
      </c>
      <c r="AZ66" s="71"/>
      <c r="BA66" s="11" t="str">
        <f t="shared" si="46"/>
        <v/>
      </c>
      <c r="BB66" s="10" t="str">
        <f t="shared" si="28"/>
        <v/>
      </c>
      <c r="BC66" s="71"/>
      <c r="BD66" s="10" t="str">
        <f t="shared" si="47"/>
        <v/>
      </c>
      <c r="BE66" s="10" t="str">
        <f t="shared" si="29"/>
        <v/>
      </c>
      <c r="BF66" s="71"/>
      <c r="BG66" s="11" t="str">
        <f t="shared" si="48"/>
        <v/>
      </c>
      <c r="BH66" s="10" t="str">
        <f t="shared" si="30"/>
        <v/>
      </c>
      <c r="BJ66" s="7" t="str">
        <f t="shared" si="31"/>
        <v/>
      </c>
      <c r="BK66" s="158" t="str">
        <f t="shared" si="32"/>
        <v/>
      </c>
      <c r="BL66" s="158" t="str">
        <f t="shared" si="14"/>
        <v/>
      </c>
      <c r="BM66" s="10"/>
      <c r="BN66" s="10" t="str">
        <f t="shared" si="33"/>
        <v/>
      </c>
      <c r="BO66" s="10" t="str">
        <f t="shared" si="34"/>
        <v/>
      </c>
      <c r="BQ66" s="10" t="str">
        <f t="shared" si="49"/>
        <v/>
      </c>
      <c r="BR66" s="10" t="str">
        <f t="shared" si="35"/>
        <v/>
      </c>
    </row>
    <row r="67" spans="2:70" ht="15.75" thickBot="1" x14ac:dyDescent="0.2">
      <c r="B67" s="460" t="s">
        <v>133</v>
      </c>
      <c r="C67" s="86"/>
      <c r="D67" s="104"/>
      <c r="E67" s="104"/>
      <c r="F67" s="86"/>
      <c r="G67" s="104"/>
      <c r="I67" s="38">
        <f t="shared" si="36"/>
        <v>2072</v>
      </c>
      <c r="J67" s="39"/>
      <c r="K67" s="39">
        <f t="shared" si="37"/>
        <v>53</v>
      </c>
      <c r="L67" s="39"/>
      <c r="M67" s="40">
        <f t="shared" si="0"/>
        <v>0.20875029150899907</v>
      </c>
      <c r="N67" s="39"/>
      <c r="O67" s="72" t="str">
        <f t="shared" si="16"/>
        <v/>
      </c>
      <c r="P67" s="41" t="str">
        <f t="shared" si="38"/>
        <v/>
      </c>
      <c r="Q67" s="39"/>
      <c r="R67" s="72" t="str">
        <f t="shared" si="50"/>
        <v/>
      </c>
      <c r="S67" s="39"/>
      <c r="T67" s="72" t="str">
        <f t="shared" si="18"/>
        <v/>
      </c>
      <c r="U67" s="39"/>
      <c r="V67" s="72" t="str">
        <f t="shared" si="39"/>
        <v/>
      </c>
      <c r="W67" s="72" t="str">
        <f t="shared" si="19"/>
        <v/>
      </c>
      <c r="X67" s="39"/>
      <c r="Y67" s="72" t="str">
        <f t="shared" si="40"/>
        <v/>
      </c>
      <c r="Z67" s="72" t="str">
        <f t="shared" si="20"/>
        <v/>
      </c>
      <c r="AA67" s="39"/>
      <c r="AB67" s="72" t="str">
        <f t="shared" si="4"/>
        <v/>
      </c>
      <c r="AC67" s="72" t="str">
        <f t="shared" si="21"/>
        <v/>
      </c>
      <c r="AD67" s="39"/>
      <c r="AE67" s="72" t="str">
        <f t="shared" si="41"/>
        <v/>
      </c>
      <c r="AF67" s="72" t="str">
        <f t="shared" si="22"/>
        <v/>
      </c>
      <c r="AG67" s="39"/>
      <c r="AH67" s="72" t="str">
        <f t="shared" si="42"/>
        <v/>
      </c>
      <c r="AI67" s="72" t="str">
        <f t="shared" si="23"/>
        <v/>
      </c>
      <c r="AJ67" s="39"/>
      <c r="AK67" s="72" t="str">
        <f t="shared" si="24"/>
        <v/>
      </c>
      <c r="AL67" s="72" t="str">
        <f t="shared" si="25"/>
        <v/>
      </c>
      <c r="AM67" s="39"/>
      <c r="AN67" s="72" t="str">
        <f t="shared" si="43"/>
        <v/>
      </c>
      <c r="AO67" s="72" t="str">
        <f t="shared" si="26"/>
        <v/>
      </c>
      <c r="AP67" s="39"/>
      <c r="AQ67" s="72" t="str">
        <f t="shared" si="44"/>
        <v/>
      </c>
      <c r="AR67" s="72" t="str">
        <f t="shared" si="27"/>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45"/>
        <v/>
      </c>
      <c r="AW67" s="72" t="str">
        <f t="shared" si="10"/>
        <v/>
      </c>
      <c r="AX67" s="39"/>
      <c r="AY67" s="40" t="str">
        <f>IF(ISERROR(IF($K67&lt;=$F$15,VLOOKUP($I67,'表4）CO2価格'!$A$7:$E$67,VLOOKUP($F$48,'表4）CO2価格'!$H$10:$I$12,2,0),0)*$F$8/1000,"")),0,IF($K67&lt;=$F$15,VLOOKUP($I67,'表4）CO2価格'!$A$7:$E$67,VLOOKUP($F$48,'表4）CO2価格'!$H$10:$I$12,2,0),0)*$F$8/1000,""))</f>
        <v/>
      </c>
      <c r="AZ67" s="39"/>
      <c r="BA67" s="42" t="str">
        <f t="shared" si="46"/>
        <v/>
      </c>
      <c r="BB67" s="72" t="str">
        <f t="shared" si="28"/>
        <v/>
      </c>
      <c r="BC67" s="39"/>
      <c r="BD67" s="72" t="str">
        <f t="shared" si="47"/>
        <v/>
      </c>
      <c r="BE67" s="72" t="str">
        <f t="shared" si="29"/>
        <v/>
      </c>
      <c r="BF67" s="39"/>
      <c r="BG67" s="42" t="str">
        <f t="shared" si="48"/>
        <v/>
      </c>
      <c r="BH67" s="72" t="str">
        <f t="shared" si="30"/>
        <v/>
      </c>
      <c r="BI67" s="39"/>
      <c r="BJ67" s="40" t="str">
        <f t="shared" si="31"/>
        <v/>
      </c>
      <c r="BK67" s="157" t="str">
        <f t="shared" si="32"/>
        <v/>
      </c>
      <c r="BL67" s="157" t="str">
        <f t="shared" si="14"/>
        <v/>
      </c>
      <c r="BM67" s="72"/>
      <c r="BN67" s="72" t="str">
        <f t="shared" si="33"/>
        <v/>
      </c>
      <c r="BO67" s="72" t="str">
        <f t="shared" si="34"/>
        <v/>
      </c>
      <c r="BP67" s="39"/>
      <c r="BQ67" s="72" t="str">
        <f t="shared" si="49"/>
        <v/>
      </c>
      <c r="BR67" s="72" t="str">
        <f t="shared" si="35"/>
        <v/>
      </c>
    </row>
    <row r="68" spans="2:70" x14ac:dyDescent="0.15">
      <c r="I68" s="322">
        <f t="shared" si="36"/>
        <v>2073</v>
      </c>
      <c r="J68" s="71"/>
      <c r="K68" s="71">
        <f t="shared" si="37"/>
        <v>54</v>
      </c>
      <c r="L68" s="71"/>
      <c r="M68" s="7">
        <f t="shared" si="0"/>
        <v>0.20267018593106703</v>
      </c>
      <c r="N68" s="71"/>
      <c r="O68" s="10" t="str">
        <f t="shared" si="16"/>
        <v/>
      </c>
      <c r="P68" s="29" t="str">
        <f t="shared" si="38"/>
        <v/>
      </c>
      <c r="Q68" s="71"/>
      <c r="R68" s="10" t="str">
        <f t="shared" si="50"/>
        <v/>
      </c>
      <c r="S68" s="71"/>
      <c r="T68" s="10" t="str">
        <f t="shared" si="18"/>
        <v/>
      </c>
      <c r="U68" s="71"/>
      <c r="V68" s="10" t="str">
        <f t="shared" si="39"/>
        <v/>
      </c>
      <c r="W68" s="10" t="str">
        <f t="shared" si="19"/>
        <v/>
      </c>
      <c r="X68" s="71"/>
      <c r="Y68" s="10" t="str">
        <f t="shared" si="40"/>
        <v/>
      </c>
      <c r="Z68" s="10" t="str">
        <f t="shared" si="20"/>
        <v/>
      </c>
      <c r="AA68" s="71"/>
      <c r="AB68" s="10" t="str">
        <f t="shared" si="4"/>
        <v/>
      </c>
      <c r="AC68" s="10" t="str">
        <f t="shared" si="21"/>
        <v/>
      </c>
      <c r="AD68" s="71"/>
      <c r="AE68" s="10" t="str">
        <f t="shared" si="41"/>
        <v/>
      </c>
      <c r="AF68" s="10" t="str">
        <f t="shared" si="22"/>
        <v/>
      </c>
      <c r="AG68" s="71"/>
      <c r="AH68" s="10" t="str">
        <f t="shared" si="42"/>
        <v/>
      </c>
      <c r="AI68" s="10" t="str">
        <f t="shared" si="23"/>
        <v/>
      </c>
      <c r="AJ68" s="71"/>
      <c r="AK68" s="10" t="str">
        <f t="shared" si="24"/>
        <v/>
      </c>
      <c r="AL68" s="10" t="str">
        <f t="shared" si="25"/>
        <v/>
      </c>
      <c r="AM68" s="71"/>
      <c r="AN68" s="10" t="str">
        <f t="shared" si="43"/>
        <v/>
      </c>
      <c r="AO68" s="10" t="str">
        <f t="shared" si="26"/>
        <v/>
      </c>
      <c r="AP68" s="71"/>
      <c r="AQ68" s="10" t="str">
        <f t="shared" si="44"/>
        <v/>
      </c>
      <c r="AR68" s="10" t="str">
        <f t="shared" si="27"/>
        <v/>
      </c>
      <c r="AS68" s="71"/>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U68" s="71"/>
      <c r="AV68" s="10" t="str">
        <f t="shared" si="45"/>
        <v/>
      </c>
      <c r="AW68" s="10" t="str">
        <f t="shared" si="10"/>
        <v/>
      </c>
      <c r="AX68" s="71"/>
      <c r="AY68" s="7" t="str">
        <f>IF(ISERROR(IF($K68&lt;=$F$15,VLOOKUP($I68,'表4）CO2価格'!$A$7:$E$67,VLOOKUP($F$48,'表4）CO2価格'!$H$10:$I$12,2,0),0)*$F$8/1000,"")),0,IF($K68&lt;=$F$15,VLOOKUP($I68,'表4）CO2価格'!$A$7:$E$67,VLOOKUP($F$48,'表4）CO2価格'!$H$10:$I$12,2,0),0)*$F$8/1000,""))</f>
        <v/>
      </c>
      <c r="AZ68" s="71"/>
      <c r="BA68" s="11" t="str">
        <f t="shared" si="46"/>
        <v/>
      </c>
      <c r="BB68" s="10" t="str">
        <f t="shared" si="28"/>
        <v/>
      </c>
      <c r="BC68" s="71"/>
      <c r="BD68" s="10" t="str">
        <f t="shared" si="47"/>
        <v/>
      </c>
      <c r="BE68" s="10" t="str">
        <f t="shared" si="29"/>
        <v/>
      </c>
      <c r="BF68" s="71"/>
      <c r="BG68" s="11" t="str">
        <f t="shared" si="48"/>
        <v/>
      </c>
      <c r="BH68" s="10" t="str">
        <f t="shared" si="30"/>
        <v/>
      </c>
      <c r="BJ68" s="7" t="str">
        <f t="shared" si="31"/>
        <v/>
      </c>
      <c r="BK68" s="158" t="str">
        <f t="shared" si="32"/>
        <v/>
      </c>
      <c r="BL68" s="158" t="str">
        <f t="shared" si="14"/>
        <v/>
      </c>
      <c r="BM68" s="10"/>
      <c r="BN68" s="10" t="str">
        <f t="shared" si="33"/>
        <v/>
      </c>
      <c r="BO68" s="10" t="str">
        <f t="shared" si="34"/>
        <v/>
      </c>
      <c r="BQ68" s="10" t="str">
        <f t="shared" si="49"/>
        <v/>
      </c>
      <c r="BR68" s="10" t="str">
        <f t="shared" si="35"/>
        <v/>
      </c>
    </row>
    <row r="69" spans="2:70" x14ac:dyDescent="0.15">
      <c r="C69" s="461" t="s">
        <v>134</v>
      </c>
      <c r="D69" s="9"/>
      <c r="E69" s="9"/>
      <c r="F69" s="94">
        <f>SUBTOTAL(9,F74:F112)-F105</f>
        <v>19.700864292008301</v>
      </c>
      <c r="G69" s="9" t="s">
        <v>132</v>
      </c>
      <c r="I69" s="38">
        <f t="shared" si="36"/>
        <v>2074</v>
      </c>
      <c r="J69" s="39"/>
      <c r="K69" s="39">
        <f t="shared" si="37"/>
        <v>55</v>
      </c>
      <c r="L69" s="39"/>
      <c r="M69" s="40">
        <f t="shared" si="0"/>
        <v>0.19676717080686118</v>
      </c>
      <c r="N69" s="39"/>
      <c r="O69" s="72" t="str">
        <f t="shared" si="16"/>
        <v/>
      </c>
      <c r="P69" s="41" t="str">
        <f t="shared" si="38"/>
        <v/>
      </c>
      <c r="Q69" s="39"/>
      <c r="R69" s="72" t="str">
        <f t="shared" si="50"/>
        <v/>
      </c>
      <c r="S69" s="39"/>
      <c r="T69" s="72" t="str">
        <f t="shared" si="18"/>
        <v/>
      </c>
      <c r="U69" s="39"/>
      <c r="V69" s="72" t="str">
        <f t="shared" si="39"/>
        <v/>
      </c>
      <c r="W69" s="72" t="str">
        <f t="shared" si="19"/>
        <v/>
      </c>
      <c r="X69" s="39"/>
      <c r="Y69" s="72" t="str">
        <f t="shared" si="40"/>
        <v/>
      </c>
      <c r="Z69" s="72" t="str">
        <f t="shared" si="20"/>
        <v/>
      </c>
      <c r="AA69" s="39"/>
      <c r="AB69" s="72" t="str">
        <f t="shared" si="4"/>
        <v/>
      </c>
      <c r="AC69" s="72" t="str">
        <f t="shared" si="21"/>
        <v/>
      </c>
      <c r="AD69" s="39"/>
      <c r="AE69" s="72" t="str">
        <f t="shared" si="41"/>
        <v/>
      </c>
      <c r="AF69" s="72" t="str">
        <f t="shared" si="22"/>
        <v/>
      </c>
      <c r="AG69" s="39"/>
      <c r="AH69" s="72" t="str">
        <f t="shared" si="42"/>
        <v/>
      </c>
      <c r="AI69" s="72" t="str">
        <f t="shared" si="23"/>
        <v/>
      </c>
      <c r="AJ69" s="39"/>
      <c r="AK69" s="72" t="str">
        <f t="shared" si="24"/>
        <v/>
      </c>
      <c r="AL69" s="72" t="str">
        <f t="shared" si="25"/>
        <v/>
      </c>
      <c r="AM69" s="39"/>
      <c r="AN69" s="72" t="str">
        <f t="shared" si="43"/>
        <v/>
      </c>
      <c r="AO69" s="72" t="str">
        <f t="shared" si="26"/>
        <v/>
      </c>
      <c r="AP69" s="39"/>
      <c r="AQ69" s="72" t="str">
        <f t="shared" si="44"/>
        <v/>
      </c>
      <c r="AR69" s="72" t="str">
        <f t="shared" si="27"/>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45"/>
        <v/>
      </c>
      <c r="AW69" s="72" t="str">
        <f t="shared" si="10"/>
        <v/>
      </c>
      <c r="AX69" s="39"/>
      <c r="AY69" s="40" t="str">
        <f>IF(ISERROR(IF($K69&lt;=$F$15,VLOOKUP($I69,'表4）CO2価格'!$A$7:$E$67,VLOOKUP($F$48,'表4）CO2価格'!$H$10:$I$12,2,0),0)*$F$8/1000,"")),0,IF($K69&lt;=$F$15,VLOOKUP($I69,'表4）CO2価格'!$A$7:$E$67,VLOOKUP($F$48,'表4）CO2価格'!$H$10:$I$12,2,0),0)*$F$8/1000,""))</f>
        <v/>
      </c>
      <c r="AZ69" s="39"/>
      <c r="BA69" s="42" t="str">
        <f t="shared" si="46"/>
        <v/>
      </c>
      <c r="BB69" s="72" t="str">
        <f t="shared" si="28"/>
        <v/>
      </c>
      <c r="BC69" s="39"/>
      <c r="BD69" s="72" t="str">
        <f t="shared" si="47"/>
        <v/>
      </c>
      <c r="BE69" s="72" t="str">
        <f t="shared" si="29"/>
        <v/>
      </c>
      <c r="BF69" s="39"/>
      <c r="BG69" s="42" t="str">
        <f t="shared" si="48"/>
        <v/>
      </c>
      <c r="BH69" s="72" t="str">
        <f t="shared" si="30"/>
        <v/>
      </c>
      <c r="BI69" s="39"/>
      <c r="BJ69" s="40" t="str">
        <f t="shared" si="31"/>
        <v/>
      </c>
      <c r="BK69" s="157" t="str">
        <f t="shared" si="32"/>
        <v/>
      </c>
      <c r="BL69" s="157" t="str">
        <f t="shared" si="14"/>
        <v/>
      </c>
      <c r="BM69" s="72"/>
      <c r="BN69" s="72" t="str">
        <f t="shared" si="33"/>
        <v/>
      </c>
      <c r="BO69" s="72" t="str">
        <f t="shared" si="34"/>
        <v/>
      </c>
      <c r="BP69" s="39"/>
      <c r="BQ69" s="72" t="str">
        <f t="shared" si="49"/>
        <v/>
      </c>
      <c r="BR69" s="72" t="str">
        <f t="shared" si="35"/>
        <v/>
      </c>
    </row>
    <row r="70" spans="2:70" x14ac:dyDescent="0.15">
      <c r="C70" s="461" t="s">
        <v>135</v>
      </c>
      <c r="D70" s="9"/>
      <c r="E70" s="9"/>
      <c r="F70" s="94">
        <f>SUBTOTAL(9,F74:F112)</f>
        <v>19.7357142920083</v>
      </c>
      <c r="G70" s="9" t="s">
        <v>132</v>
      </c>
      <c r="I70" s="322">
        <f t="shared" si="36"/>
        <v>2075</v>
      </c>
      <c r="J70" s="71"/>
      <c r="K70" s="71">
        <f t="shared" si="37"/>
        <v>56</v>
      </c>
      <c r="L70" s="71"/>
      <c r="M70" s="7">
        <f t="shared" si="0"/>
        <v>0.19103608816200118</v>
      </c>
      <c r="N70" s="71"/>
      <c r="O70" s="10" t="str">
        <f t="shared" si="16"/>
        <v/>
      </c>
      <c r="P70" s="29" t="str">
        <f t="shared" si="38"/>
        <v/>
      </c>
      <c r="Q70" s="71"/>
      <c r="R70" s="10" t="str">
        <f t="shared" si="50"/>
        <v/>
      </c>
      <c r="S70" s="71"/>
      <c r="T70" s="10" t="str">
        <f t="shared" si="18"/>
        <v/>
      </c>
      <c r="U70" s="71"/>
      <c r="V70" s="10" t="str">
        <f t="shared" si="39"/>
        <v/>
      </c>
      <c r="W70" s="10" t="str">
        <f t="shared" si="19"/>
        <v/>
      </c>
      <c r="X70" s="71"/>
      <c r="Y70" s="10" t="str">
        <f t="shared" si="40"/>
        <v/>
      </c>
      <c r="Z70" s="10" t="str">
        <f t="shared" si="20"/>
        <v/>
      </c>
      <c r="AA70" s="71"/>
      <c r="AB70" s="10" t="str">
        <f t="shared" si="4"/>
        <v/>
      </c>
      <c r="AC70" s="10" t="str">
        <f t="shared" si="21"/>
        <v/>
      </c>
      <c r="AD70" s="71"/>
      <c r="AE70" s="10" t="str">
        <f t="shared" si="41"/>
        <v/>
      </c>
      <c r="AF70" s="10" t="str">
        <f t="shared" si="22"/>
        <v/>
      </c>
      <c r="AG70" s="71"/>
      <c r="AH70" s="10" t="str">
        <f t="shared" si="42"/>
        <v/>
      </c>
      <c r="AI70" s="10" t="str">
        <f t="shared" si="23"/>
        <v/>
      </c>
      <c r="AJ70" s="71"/>
      <c r="AK70" s="10" t="str">
        <f t="shared" si="24"/>
        <v/>
      </c>
      <c r="AL70" s="10" t="str">
        <f t="shared" si="25"/>
        <v/>
      </c>
      <c r="AM70" s="71"/>
      <c r="AN70" s="10" t="str">
        <f t="shared" si="43"/>
        <v/>
      </c>
      <c r="AO70" s="10" t="str">
        <f t="shared" si="26"/>
        <v/>
      </c>
      <c r="AP70" s="71"/>
      <c r="AQ70" s="10" t="str">
        <f t="shared" si="44"/>
        <v/>
      </c>
      <c r="AR70" s="10" t="str">
        <f t="shared" si="27"/>
        <v/>
      </c>
      <c r="AS70" s="71"/>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U70" s="71"/>
      <c r="AV70" s="10" t="str">
        <f t="shared" si="45"/>
        <v/>
      </c>
      <c r="AW70" s="10" t="str">
        <f t="shared" si="10"/>
        <v/>
      </c>
      <c r="AX70" s="71"/>
      <c r="AY70" s="7" t="str">
        <f>IF(ISERROR(IF($K70&lt;=$F$15,VLOOKUP($I70,'表4）CO2価格'!$A$7:$E$67,VLOOKUP($F$48,'表4）CO2価格'!$H$10:$I$12,2,0),0)*$F$8/1000,"")),0,IF($K70&lt;=$F$15,VLOOKUP($I70,'表4）CO2価格'!$A$7:$E$67,VLOOKUP($F$48,'表4）CO2価格'!$H$10:$I$12,2,0),0)*$F$8/1000,""))</f>
        <v/>
      </c>
      <c r="AZ70" s="71"/>
      <c r="BA70" s="11" t="str">
        <f t="shared" si="46"/>
        <v/>
      </c>
      <c r="BB70" s="10" t="str">
        <f t="shared" si="28"/>
        <v/>
      </c>
      <c r="BC70" s="71"/>
      <c r="BD70" s="10" t="str">
        <f t="shared" si="47"/>
        <v/>
      </c>
      <c r="BE70" s="10" t="str">
        <f t="shared" si="29"/>
        <v/>
      </c>
      <c r="BF70" s="71"/>
      <c r="BG70" s="11" t="str">
        <f t="shared" si="48"/>
        <v/>
      </c>
      <c r="BH70" s="10" t="str">
        <f t="shared" si="30"/>
        <v/>
      </c>
      <c r="BJ70" s="7" t="str">
        <f t="shared" si="31"/>
        <v/>
      </c>
      <c r="BK70" s="158" t="str">
        <f t="shared" si="32"/>
        <v/>
      </c>
      <c r="BL70" s="158" t="str">
        <f t="shared" si="14"/>
        <v/>
      </c>
      <c r="BM70" s="10"/>
      <c r="BN70" s="10" t="str">
        <f t="shared" si="33"/>
        <v/>
      </c>
      <c r="BO70" s="10" t="str">
        <f t="shared" si="34"/>
        <v/>
      </c>
      <c r="BQ70" s="10" t="str">
        <f t="shared" si="49"/>
        <v/>
      </c>
      <c r="BR70" s="10" t="str">
        <f t="shared" si="35"/>
        <v/>
      </c>
    </row>
    <row r="71" spans="2:70" x14ac:dyDescent="0.15">
      <c r="F71" s="145"/>
      <c r="I71" s="38">
        <f t="shared" si="36"/>
        <v>2076</v>
      </c>
      <c r="J71" s="39"/>
      <c r="K71" s="39">
        <f t="shared" si="37"/>
        <v>57</v>
      </c>
      <c r="L71" s="39"/>
      <c r="M71" s="40">
        <f t="shared" si="0"/>
        <v>0.18547193025437006</v>
      </c>
      <c r="N71" s="39"/>
      <c r="O71" s="72" t="str">
        <f t="shared" si="16"/>
        <v/>
      </c>
      <c r="P71" s="41" t="str">
        <f t="shared" si="38"/>
        <v/>
      </c>
      <c r="Q71" s="39"/>
      <c r="R71" s="72" t="str">
        <f t="shared" si="50"/>
        <v/>
      </c>
      <c r="S71" s="39"/>
      <c r="T71" s="72" t="str">
        <f t="shared" si="18"/>
        <v/>
      </c>
      <c r="U71" s="39"/>
      <c r="V71" s="72" t="str">
        <f t="shared" si="39"/>
        <v/>
      </c>
      <c r="W71" s="72" t="str">
        <f t="shared" si="19"/>
        <v/>
      </c>
      <c r="X71" s="39"/>
      <c r="Y71" s="72" t="str">
        <f t="shared" si="40"/>
        <v/>
      </c>
      <c r="Z71" s="72" t="str">
        <f t="shared" si="20"/>
        <v/>
      </c>
      <c r="AA71" s="39"/>
      <c r="AB71" s="72" t="str">
        <f t="shared" si="4"/>
        <v/>
      </c>
      <c r="AC71" s="72" t="str">
        <f t="shared" si="21"/>
        <v/>
      </c>
      <c r="AD71" s="39"/>
      <c r="AE71" s="72" t="str">
        <f t="shared" si="41"/>
        <v/>
      </c>
      <c r="AF71" s="72" t="str">
        <f t="shared" si="22"/>
        <v/>
      </c>
      <c r="AG71" s="39"/>
      <c r="AH71" s="72" t="str">
        <f t="shared" si="42"/>
        <v/>
      </c>
      <c r="AI71" s="72" t="str">
        <f t="shared" si="23"/>
        <v/>
      </c>
      <c r="AJ71" s="39"/>
      <c r="AK71" s="72" t="str">
        <f t="shared" si="24"/>
        <v/>
      </c>
      <c r="AL71" s="72" t="str">
        <f t="shared" si="25"/>
        <v/>
      </c>
      <c r="AM71" s="39"/>
      <c r="AN71" s="72" t="str">
        <f t="shared" si="43"/>
        <v/>
      </c>
      <c r="AO71" s="72" t="str">
        <f t="shared" si="26"/>
        <v/>
      </c>
      <c r="AP71" s="39"/>
      <c r="AQ71" s="72" t="str">
        <f t="shared" si="44"/>
        <v/>
      </c>
      <c r="AR71" s="72" t="str">
        <f t="shared" si="27"/>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45"/>
        <v/>
      </c>
      <c r="AW71" s="72" t="str">
        <f t="shared" si="10"/>
        <v/>
      </c>
      <c r="AX71" s="39"/>
      <c r="AY71" s="40" t="str">
        <f>IF(ISERROR(IF($K71&lt;=$F$15,VLOOKUP($I71,'表4）CO2価格'!$A$7:$E$67,VLOOKUP($F$48,'表4）CO2価格'!$H$10:$I$12,2,0),0)*$F$8/1000,"")),0,IF($K71&lt;=$F$15,VLOOKUP($I71,'表4）CO2価格'!$A$7:$E$67,VLOOKUP($F$48,'表4）CO2価格'!$H$10:$I$12,2,0),0)*$F$8/1000,""))</f>
        <v/>
      </c>
      <c r="AZ71" s="39"/>
      <c r="BA71" s="42" t="str">
        <f t="shared" si="46"/>
        <v/>
      </c>
      <c r="BB71" s="72" t="str">
        <f t="shared" si="28"/>
        <v/>
      </c>
      <c r="BC71" s="39"/>
      <c r="BD71" s="72" t="str">
        <f t="shared" si="47"/>
        <v/>
      </c>
      <c r="BE71" s="72" t="str">
        <f t="shared" si="29"/>
        <v/>
      </c>
      <c r="BF71" s="39"/>
      <c r="BG71" s="42" t="str">
        <f t="shared" si="48"/>
        <v/>
      </c>
      <c r="BH71" s="72" t="str">
        <f t="shared" si="30"/>
        <v/>
      </c>
      <c r="BI71" s="39"/>
      <c r="BJ71" s="40" t="str">
        <f t="shared" si="31"/>
        <v/>
      </c>
      <c r="BK71" s="157" t="str">
        <f t="shared" si="32"/>
        <v/>
      </c>
      <c r="BL71" s="157" t="str">
        <f t="shared" si="14"/>
        <v/>
      </c>
      <c r="BM71" s="72"/>
      <c r="BN71" s="72" t="str">
        <f t="shared" si="33"/>
        <v/>
      </c>
      <c r="BO71" s="72" t="str">
        <f t="shared" si="34"/>
        <v/>
      </c>
      <c r="BP71" s="39"/>
      <c r="BQ71" s="72" t="str">
        <f t="shared" si="49"/>
        <v/>
      </c>
      <c r="BR71" s="72" t="str">
        <f t="shared" si="35"/>
        <v/>
      </c>
    </row>
    <row r="72" spans="2:70" x14ac:dyDescent="0.15">
      <c r="C72" s="89" t="s">
        <v>136</v>
      </c>
      <c r="D72" s="101"/>
      <c r="E72" s="101"/>
      <c r="F72" s="92"/>
      <c r="G72" s="101"/>
      <c r="I72" s="322">
        <f t="shared" si="36"/>
        <v>2077</v>
      </c>
      <c r="J72" s="71"/>
      <c r="K72" s="71">
        <f t="shared" si="37"/>
        <v>58</v>
      </c>
      <c r="L72" s="71"/>
      <c r="M72" s="7">
        <f t="shared" si="0"/>
        <v>0.18006983519841754</v>
      </c>
      <c r="N72" s="71"/>
      <c r="O72" s="10" t="str">
        <f t="shared" si="16"/>
        <v/>
      </c>
      <c r="P72" s="29" t="str">
        <f t="shared" si="38"/>
        <v/>
      </c>
      <c r="Q72" s="71"/>
      <c r="R72" s="10" t="str">
        <f t="shared" si="50"/>
        <v/>
      </c>
      <c r="S72" s="71"/>
      <c r="T72" s="10" t="str">
        <f t="shared" si="18"/>
        <v/>
      </c>
      <c r="U72" s="71"/>
      <c r="V72" s="10" t="str">
        <f t="shared" si="39"/>
        <v/>
      </c>
      <c r="W72" s="10" t="str">
        <f t="shared" si="19"/>
        <v/>
      </c>
      <c r="X72" s="71"/>
      <c r="Y72" s="10" t="str">
        <f t="shared" si="40"/>
        <v/>
      </c>
      <c r="Z72" s="10" t="str">
        <f t="shared" si="20"/>
        <v/>
      </c>
      <c r="AA72" s="71"/>
      <c r="AB72" s="10" t="str">
        <f t="shared" si="4"/>
        <v/>
      </c>
      <c r="AC72" s="10" t="str">
        <f t="shared" si="21"/>
        <v/>
      </c>
      <c r="AD72" s="71"/>
      <c r="AE72" s="10" t="str">
        <f t="shared" si="41"/>
        <v/>
      </c>
      <c r="AF72" s="10" t="str">
        <f t="shared" si="22"/>
        <v/>
      </c>
      <c r="AG72" s="71"/>
      <c r="AH72" s="10" t="str">
        <f t="shared" si="42"/>
        <v/>
      </c>
      <c r="AI72" s="10" t="str">
        <f t="shared" si="23"/>
        <v/>
      </c>
      <c r="AJ72" s="71"/>
      <c r="AK72" s="10" t="str">
        <f t="shared" si="24"/>
        <v/>
      </c>
      <c r="AL72" s="10" t="str">
        <f t="shared" si="25"/>
        <v/>
      </c>
      <c r="AM72" s="71"/>
      <c r="AN72" s="10" t="str">
        <f t="shared" si="43"/>
        <v/>
      </c>
      <c r="AO72" s="10" t="str">
        <f t="shared" si="26"/>
        <v/>
      </c>
      <c r="AP72" s="71"/>
      <c r="AQ72" s="10" t="str">
        <f t="shared" si="44"/>
        <v/>
      </c>
      <c r="AR72" s="10" t="str">
        <f t="shared" si="27"/>
        <v/>
      </c>
      <c r="AS72" s="71"/>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U72" s="71"/>
      <c r="AV72" s="10" t="str">
        <f t="shared" si="45"/>
        <v/>
      </c>
      <c r="AW72" s="10" t="str">
        <f t="shared" si="10"/>
        <v/>
      </c>
      <c r="AX72" s="71"/>
      <c r="AY72" s="7" t="str">
        <f>IF(ISERROR(IF($K72&lt;=$F$15,VLOOKUP($I72,'表4）CO2価格'!$A$7:$E$67,VLOOKUP($F$48,'表4）CO2価格'!$H$10:$I$12,2,0),0)*$F$8/1000,"")),0,IF($K72&lt;=$F$15,VLOOKUP($I72,'表4）CO2価格'!$A$7:$E$67,VLOOKUP($F$48,'表4）CO2価格'!$H$10:$I$12,2,0),0)*$F$8/1000,""))</f>
        <v/>
      </c>
      <c r="AZ72" s="71"/>
      <c r="BA72" s="11" t="str">
        <f t="shared" si="46"/>
        <v/>
      </c>
      <c r="BB72" s="10" t="str">
        <f t="shared" si="28"/>
        <v/>
      </c>
      <c r="BC72" s="71"/>
      <c r="BD72" s="10" t="str">
        <f t="shared" si="47"/>
        <v/>
      </c>
      <c r="BE72" s="10" t="str">
        <f t="shared" si="29"/>
        <v/>
      </c>
      <c r="BF72" s="71"/>
      <c r="BG72" s="11" t="str">
        <f t="shared" si="48"/>
        <v/>
      </c>
      <c r="BH72" s="10" t="str">
        <f t="shared" si="30"/>
        <v/>
      </c>
      <c r="BJ72" s="7" t="str">
        <f t="shared" si="31"/>
        <v/>
      </c>
      <c r="BK72" s="158" t="str">
        <f t="shared" si="32"/>
        <v/>
      </c>
      <c r="BL72" s="158" t="str">
        <f t="shared" si="14"/>
        <v/>
      </c>
      <c r="BM72" s="10"/>
      <c r="BN72" s="10" t="str">
        <f t="shared" si="33"/>
        <v/>
      </c>
      <c r="BO72" s="10" t="str">
        <f t="shared" si="34"/>
        <v/>
      </c>
      <c r="BQ72" s="10" t="str">
        <f t="shared" si="49"/>
        <v/>
      </c>
      <c r="BR72" s="10" t="str">
        <f t="shared" si="35"/>
        <v/>
      </c>
    </row>
    <row r="73" spans="2:70" x14ac:dyDescent="0.15">
      <c r="F73" s="93"/>
      <c r="I73" s="38">
        <f t="shared" si="36"/>
        <v>2078</v>
      </c>
      <c r="J73" s="39"/>
      <c r="K73" s="39">
        <f t="shared" si="37"/>
        <v>59</v>
      </c>
      <c r="L73" s="39"/>
      <c r="M73" s="40">
        <f t="shared" si="0"/>
        <v>0.17482508271691022</v>
      </c>
      <c r="N73" s="39"/>
      <c r="O73" s="72" t="str">
        <f t="shared" si="16"/>
        <v/>
      </c>
      <c r="P73" s="41" t="str">
        <f t="shared" si="38"/>
        <v/>
      </c>
      <c r="Q73" s="39"/>
      <c r="R73" s="72" t="str">
        <f t="shared" si="50"/>
        <v/>
      </c>
      <c r="S73" s="39"/>
      <c r="T73" s="72" t="str">
        <f t="shared" si="18"/>
        <v/>
      </c>
      <c r="U73" s="39"/>
      <c r="V73" s="72" t="str">
        <f t="shared" si="39"/>
        <v/>
      </c>
      <c r="W73" s="72" t="str">
        <f t="shared" si="19"/>
        <v/>
      </c>
      <c r="X73" s="39"/>
      <c r="Y73" s="72" t="str">
        <f t="shared" si="40"/>
        <v/>
      </c>
      <c r="Z73" s="72" t="str">
        <f t="shared" si="20"/>
        <v/>
      </c>
      <c r="AA73" s="39"/>
      <c r="AB73" s="72" t="str">
        <f t="shared" si="4"/>
        <v/>
      </c>
      <c r="AC73" s="72" t="str">
        <f t="shared" si="21"/>
        <v/>
      </c>
      <c r="AD73" s="39"/>
      <c r="AE73" s="72" t="str">
        <f t="shared" si="41"/>
        <v/>
      </c>
      <c r="AF73" s="72" t="str">
        <f t="shared" si="22"/>
        <v/>
      </c>
      <c r="AG73" s="39"/>
      <c r="AH73" s="72" t="str">
        <f t="shared" si="42"/>
        <v/>
      </c>
      <c r="AI73" s="72" t="str">
        <f t="shared" si="23"/>
        <v/>
      </c>
      <c r="AJ73" s="39"/>
      <c r="AK73" s="72" t="str">
        <f t="shared" si="24"/>
        <v/>
      </c>
      <c r="AL73" s="72" t="str">
        <f t="shared" si="25"/>
        <v/>
      </c>
      <c r="AM73" s="39"/>
      <c r="AN73" s="72" t="str">
        <f t="shared" si="43"/>
        <v/>
      </c>
      <c r="AO73" s="72" t="str">
        <f t="shared" si="26"/>
        <v/>
      </c>
      <c r="AP73" s="39"/>
      <c r="AQ73" s="72" t="str">
        <f t="shared" si="44"/>
        <v/>
      </c>
      <c r="AR73" s="72" t="str">
        <f t="shared" si="27"/>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45"/>
        <v/>
      </c>
      <c r="AW73" s="72" t="str">
        <f t="shared" si="10"/>
        <v/>
      </c>
      <c r="AX73" s="39"/>
      <c r="AY73" s="40" t="str">
        <f>IF(ISERROR(IF($K73&lt;=$F$15,VLOOKUP($I73,'表4）CO2価格'!$A$7:$E$67,VLOOKUP($F$48,'表4）CO2価格'!$H$10:$I$12,2,0),0)*$F$8/1000,"")),0,IF($K73&lt;=$F$15,VLOOKUP($I73,'表4）CO2価格'!$A$7:$E$67,VLOOKUP($F$48,'表4）CO2価格'!$H$10:$I$12,2,0),0)*$F$8/1000,""))</f>
        <v/>
      </c>
      <c r="AZ73" s="39"/>
      <c r="BA73" s="42" t="str">
        <f t="shared" si="46"/>
        <v/>
      </c>
      <c r="BB73" s="72" t="str">
        <f t="shared" si="28"/>
        <v/>
      </c>
      <c r="BC73" s="39"/>
      <c r="BD73" s="72" t="str">
        <f t="shared" si="47"/>
        <v/>
      </c>
      <c r="BE73" s="72" t="str">
        <f t="shared" si="29"/>
        <v/>
      </c>
      <c r="BF73" s="39"/>
      <c r="BG73" s="42" t="str">
        <f t="shared" si="48"/>
        <v/>
      </c>
      <c r="BH73" s="72" t="str">
        <f t="shared" si="30"/>
        <v/>
      </c>
      <c r="BI73" s="39"/>
      <c r="BJ73" s="40" t="str">
        <f t="shared" si="31"/>
        <v/>
      </c>
      <c r="BK73" s="157" t="str">
        <f t="shared" si="32"/>
        <v/>
      </c>
      <c r="BL73" s="157" t="str">
        <f t="shared" si="14"/>
        <v/>
      </c>
      <c r="BM73" s="72"/>
      <c r="BN73" s="72" t="str">
        <f t="shared" si="33"/>
        <v/>
      </c>
      <c r="BO73" s="72" t="str">
        <f t="shared" si="34"/>
        <v/>
      </c>
      <c r="BP73" s="39"/>
      <c r="BQ73" s="72" t="str">
        <f t="shared" si="49"/>
        <v/>
      </c>
      <c r="BR73" s="72" t="str">
        <f t="shared" si="35"/>
        <v/>
      </c>
    </row>
    <row r="74" spans="2:70" ht="15" x14ac:dyDescent="0.15">
      <c r="D74" s="116" t="s">
        <v>192</v>
      </c>
      <c r="F74" s="94">
        <f>SUBTOTAL(9,F78:F81)</f>
        <v>2.3903650892631565</v>
      </c>
      <c r="G74" s="81" t="s">
        <v>132</v>
      </c>
      <c r="I74" s="322">
        <f t="shared" si="36"/>
        <v>2079</v>
      </c>
      <c r="J74" s="71"/>
      <c r="K74" s="71">
        <f t="shared" si="37"/>
        <v>60</v>
      </c>
      <c r="L74" s="71"/>
      <c r="M74" s="7">
        <f t="shared" si="0"/>
        <v>0.1697330900164177</v>
      </c>
      <c r="N74" s="71"/>
      <c r="O74" s="10" t="str">
        <f t="shared" si="16"/>
        <v/>
      </c>
      <c r="P74" s="29" t="str">
        <f t="shared" si="38"/>
        <v/>
      </c>
      <c r="Q74" s="71"/>
      <c r="R74" s="10" t="str">
        <f t="shared" si="50"/>
        <v/>
      </c>
      <c r="S74" s="71"/>
      <c r="T74" s="10" t="str">
        <f t="shared" si="18"/>
        <v/>
      </c>
      <c r="U74" s="71"/>
      <c r="V74" s="10" t="str">
        <f t="shared" si="39"/>
        <v/>
      </c>
      <c r="W74" s="10" t="str">
        <f t="shared" si="19"/>
        <v/>
      </c>
      <c r="X74" s="71"/>
      <c r="Y74" s="10" t="str">
        <f t="shared" si="40"/>
        <v/>
      </c>
      <c r="Z74" s="10" t="str">
        <f t="shared" si="20"/>
        <v/>
      </c>
      <c r="AA74" s="71"/>
      <c r="AB74" s="10" t="str">
        <f t="shared" si="4"/>
        <v/>
      </c>
      <c r="AC74" s="10" t="str">
        <f t="shared" si="21"/>
        <v/>
      </c>
      <c r="AD74" s="71"/>
      <c r="AE74" s="10" t="str">
        <f t="shared" si="41"/>
        <v/>
      </c>
      <c r="AF74" s="10" t="str">
        <f t="shared" si="22"/>
        <v/>
      </c>
      <c r="AG74" s="71"/>
      <c r="AH74" s="10" t="str">
        <f t="shared" si="42"/>
        <v/>
      </c>
      <c r="AI74" s="10" t="str">
        <f t="shared" si="23"/>
        <v/>
      </c>
      <c r="AJ74" s="71"/>
      <c r="AK74" s="10" t="str">
        <f t="shared" si="24"/>
        <v/>
      </c>
      <c r="AL74" s="10" t="str">
        <f t="shared" si="25"/>
        <v/>
      </c>
      <c r="AM74" s="71"/>
      <c r="AN74" s="10" t="str">
        <f t="shared" si="43"/>
        <v/>
      </c>
      <c r="AO74" s="10" t="str">
        <f t="shared" si="26"/>
        <v/>
      </c>
      <c r="AP74" s="71"/>
      <c r="AQ74" s="10" t="str">
        <f t="shared" si="44"/>
        <v/>
      </c>
      <c r="AR74" s="10" t="str">
        <f t="shared" si="27"/>
        <v/>
      </c>
      <c r="AS74" s="71"/>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U74" s="71"/>
      <c r="AV74" s="10" t="str">
        <f t="shared" si="45"/>
        <v/>
      </c>
      <c r="AW74" s="10" t="str">
        <f t="shared" si="10"/>
        <v/>
      </c>
      <c r="AX74" s="71"/>
      <c r="AY74" s="7" t="str">
        <f>IF(ISERROR(IF($K74&lt;=$F$15,VLOOKUP($I74,'表4）CO2価格'!$A$7:$E$67,VLOOKUP($F$48,'表4）CO2価格'!$H$10:$I$12,2,0),0)*$F$8/1000,"")),0,IF($K74&lt;=$F$15,VLOOKUP($I74,'表4）CO2価格'!$A$7:$E$67,VLOOKUP($F$48,'表4）CO2価格'!$H$10:$I$12,2,0),0)*$F$8/1000,""))</f>
        <v/>
      </c>
      <c r="AZ74" s="71"/>
      <c r="BA74" s="11" t="str">
        <f t="shared" si="46"/>
        <v/>
      </c>
      <c r="BB74" s="10" t="str">
        <f t="shared" si="28"/>
        <v/>
      </c>
      <c r="BC74" s="71"/>
      <c r="BD74" s="10" t="str">
        <f t="shared" si="47"/>
        <v/>
      </c>
      <c r="BE74" s="10" t="str">
        <f t="shared" si="29"/>
        <v/>
      </c>
      <c r="BF74" s="71"/>
      <c r="BG74" s="11" t="str">
        <f t="shared" si="48"/>
        <v/>
      </c>
      <c r="BH74" s="10" t="str">
        <f t="shared" si="30"/>
        <v/>
      </c>
      <c r="BJ74" s="7" t="str">
        <f t="shared" si="31"/>
        <v/>
      </c>
      <c r="BK74" s="158" t="str">
        <f t="shared" si="32"/>
        <v/>
      </c>
      <c r="BL74" s="158" t="str">
        <f t="shared" si="14"/>
        <v/>
      </c>
      <c r="BM74" s="10"/>
      <c r="BN74" s="10" t="str">
        <f t="shared" si="33"/>
        <v/>
      </c>
      <c r="BO74" s="10" t="str">
        <f t="shared" si="34"/>
        <v/>
      </c>
      <c r="BQ74" s="10" t="str">
        <f t="shared" si="49"/>
        <v/>
      </c>
      <c r="BR74" s="10" t="str">
        <f t="shared" si="35"/>
        <v/>
      </c>
    </row>
    <row r="75" spans="2:70" x14ac:dyDescent="0.15">
      <c r="F75" s="93"/>
      <c r="I75" s="38">
        <f t="shared" si="36"/>
        <v>2080</v>
      </c>
      <c r="J75" s="39"/>
      <c r="K75" s="39">
        <f t="shared" si="37"/>
        <v>61</v>
      </c>
      <c r="L75" s="39"/>
      <c r="M75" s="40">
        <f t="shared" si="0"/>
        <v>0.16478940778292983</v>
      </c>
      <c r="N75" s="39"/>
      <c r="O75" s="72" t="str">
        <f t="shared" si="16"/>
        <v/>
      </c>
      <c r="P75" s="41" t="str">
        <f t="shared" si="38"/>
        <v/>
      </c>
      <c r="Q75" s="39"/>
      <c r="R75" s="72" t="str">
        <f t="shared" si="50"/>
        <v/>
      </c>
      <c r="S75" s="39"/>
      <c r="T75" s="72" t="str">
        <f t="shared" si="18"/>
        <v/>
      </c>
      <c r="U75" s="39"/>
      <c r="V75" s="72" t="str">
        <f t="shared" si="39"/>
        <v/>
      </c>
      <c r="W75" s="72" t="str">
        <f t="shared" si="19"/>
        <v/>
      </c>
      <c r="X75" s="39"/>
      <c r="Y75" s="72" t="str">
        <f t="shared" si="40"/>
        <v/>
      </c>
      <c r="Z75" s="72" t="str">
        <f t="shared" si="20"/>
        <v/>
      </c>
      <c r="AA75" s="39"/>
      <c r="AB75" s="72" t="str">
        <f t="shared" si="4"/>
        <v/>
      </c>
      <c r="AC75" s="72" t="str">
        <f t="shared" si="21"/>
        <v/>
      </c>
      <c r="AD75" s="39"/>
      <c r="AE75" s="72" t="str">
        <f t="shared" si="41"/>
        <v/>
      </c>
      <c r="AF75" s="72" t="str">
        <f t="shared" si="22"/>
        <v/>
      </c>
      <c r="AG75" s="39"/>
      <c r="AH75" s="72" t="str">
        <f t="shared" si="42"/>
        <v/>
      </c>
      <c r="AI75" s="72" t="str">
        <f t="shared" si="23"/>
        <v/>
      </c>
      <c r="AJ75" s="39"/>
      <c r="AK75" s="72" t="str">
        <f t="shared" si="24"/>
        <v/>
      </c>
      <c r="AL75" s="72" t="str">
        <f t="shared" si="25"/>
        <v/>
      </c>
      <c r="AM75" s="39"/>
      <c r="AN75" s="72" t="str">
        <f t="shared" si="43"/>
        <v/>
      </c>
      <c r="AO75" s="72" t="str">
        <f t="shared" si="26"/>
        <v/>
      </c>
      <c r="AP75" s="39"/>
      <c r="AQ75" s="72" t="str">
        <f t="shared" si="44"/>
        <v/>
      </c>
      <c r="AR75" s="72" t="str">
        <f t="shared" si="27"/>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45"/>
        <v/>
      </c>
      <c r="AW75" s="72" t="str">
        <f t="shared" si="10"/>
        <v/>
      </c>
      <c r="AX75" s="39"/>
      <c r="AY75" s="40" t="str">
        <f>IF(ISERROR(IF($K75&lt;=$F$15,VLOOKUP($I75,'表4）CO2価格'!$A$7:$E$67,VLOOKUP($F$48,'表4）CO2価格'!$H$10:$I$12,2,0),0)*$F$8/1000,"")),0,IF($K75&lt;=$F$15,VLOOKUP($I75,'表4）CO2価格'!$A$7:$E$67,VLOOKUP($F$48,'表4）CO2価格'!$H$10:$I$12,2,0),0)*$F$8/1000,""))</f>
        <v/>
      </c>
      <c r="AZ75" s="39"/>
      <c r="BA75" s="42" t="str">
        <f t="shared" si="46"/>
        <v/>
      </c>
      <c r="BB75" s="72" t="str">
        <f t="shared" si="28"/>
        <v/>
      </c>
      <c r="BC75" s="39"/>
      <c r="BD75" s="72" t="str">
        <f t="shared" si="47"/>
        <v/>
      </c>
      <c r="BE75" s="72" t="str">
        <f t="shared" si="29"/>
        <v/>
      </c>
      <c r="BF75" s="39"/>
      <c r="BG75" s="42" t="str">
        <f t="shared" si="48"/>
        <v/>
      </c>
      <c r="BH75" s="72" t="str">
        <f t="shared" si="30"/>
        <v/>
      </c>
      <c r="BI75" s="39"/>
      <c r="BJ75" s="40" t="str">
        <f t="shared" si="31"/>
        <v/>
      </c>
      <c r="BK75" s="157" t="str">
        <f t="shared" si="32"/>
        <v/>
      </c>
      <c r="BL75" s="157" t="str">
        <f t="shared" si="14"/>
        <v/>
      </c>
      <c r="BM75" s="72"/>
      <c r="BN75" s="72" t="str">
        <f t="shared" si="33"/>
        <v/>
      </c>
      <c r="BO75" s="72" t="str">
        <f t="shared" si="34"/>
        <v/>
      </c>
      <c r="BP75" s="39"/>
      <c r="BQ75" s="72" t="str">
        <f t="shared" si="49"/>
        <v/>
      </c>
      <c r="BR75" s="72" t="str">
        <f t="shared" si="35"/>
        <v/>
      </c>
    </row>
    <row r="76" spans="2:70" x14ac:dyDescent="0.15">
      <c r="D76" s="101" t="s">
        <v>193</v>
      </c>
      <c r="E76" s="101"/>
      <c r="F76" s="92"/>
      <c r="G76" s="101"/>
      <c r="I76" s="322">
        <f t="shared" si="36"/>
        <v>2081</v>
      </c>
      <c r="J76" s="71"/>
      <c r="K76" s="71">
        <f t="shared" si="37"/>
        <v>62</v>
      </c>
      <c r="L76" s="71"/>
      <c r="M76" s="7">
        <f t="shared" si="0"/>
        <v>0.15998971629410663</v>
      </c>
      <c r="N76" s="71"/>
      <c r="O76" s="10" t="str">
        <f t="shared" si="16"/>
        <v/>
      </c>
      <c r="P76" s="29" t="str">
        <f t="shared" si="38"/>
        <v/>
      </c>
      <c r="Q76" s="71"/>
      <c r="R76" s="10" t="str">
        <f t="shared" si="50"/>
        <v/>
      </c>
      <c r="S76" s="71"/>
      <c r="T76" s="10" t="str">
        <f t="shared" si="18"/>
        <v/>
      </c>
      <c r="U76" s="71"/>
      <c r="V76" s="10" t="str">
        <f t="shared" si="39"/>
        <v/>
      </c>
      <c r="W76" s="10" t="str">
        <f t="shared" si="19"/>
        <v/>
      </c>
      <c r="X76" s="71"/>
      <c r="Y76" s="10" t="str">
        <f t="shared" si="40"/>
        <v/>
      </c>
      <c r="Z76" s="10" t="str">
        <f t="shared" si="20"/>
        <v/>
      </c>
      <c r="AA76" s="71"/>
      <c r="AB76" s="10" t="str">
        <f t="shared" si="4"/>
        <v/>
      </c>
      <c r="AC76" s="10" t="str">
        <f t="shared" si="21"/>
        <v/>
      </c>
      <c r="AD76" s="71"/>
      <c r="AE76" s="10" t="str">
        <f t="shared" si="41"/>
        <v/>
      </c>
      <c r="AF76" s="10" t="str">
        <f t="shared" si="22"/>
        <v/>
      </c>
      <c r="AG76" s="71"/>
      <c r="AH76" s="10" t="str">
        <f t="shared" si="42"/>
        <v/>
      </c>
      <c r="AI76" s="10" t="str">
        <f t="shared" si="23"/>
        <v/>
      </c>
      <c r="AJ76" s="71"/>
      <c r="AK76" s="10" t="str">
        <f t="shared" si="24"/>
        <v/>
      </c>
      <c r="AL76" s="10" t="str">
        <f t="shared" si="25"/>
        <v/>
      </c>
      <c r="AM76" s="71"/>
      <c r="AN76" s="10" t="str">
        <f t="shared" si="43"/>
        <v/>
      </c>
      <c r="AO76" s="10" t="str">
        <f t="shared" si="26"/>
        <v/>
      </c>
      <c r="AP76" s="71"/>
      <c r="AQ76" s="10" t="str">
        <f t="shared" si="44"/>
        <v/>
      </c>
      <c r="AR76" s="10" t="str">
        <f t="shared" si="27"/>
        <v/>
      </c>
      <c r="AS76" s="71"/>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U76" s="71"/>
      <c r="AV76" s="10" t="str">
        <f t="shared" si="45"/>
        <v/>
      </c>
      <c r="AW76" s="10" t="str">
        <f t="shared" si="10"/>
        <v/>
      </c>
      <c r="AX76" s="71"/>
      <c r="AY76" s="7" t="str">
        <f>IF(ISERROR(IF($K76&lt;=$F$15,VLOOKUP($I76,'表4）CO2価格'!$A$7:$E$67,VLOOKUP($F$48,'表4）CO2価格'!$H$10:$I$12,2,0),0)*$F$8/1000,"")),0,IF($K76&lt;=$F$15,VLOOKUP($I76,'表4）CO2価格'!$A$7:$E$67,VLOOKUP($F$48,'表4）CO2価格'!$H$10:$I$12,2,0),0)*$F$8/1000,""))</f>
        <v/>
      </c>
      <c r="AZ76" s="71"/>
      <c r="BA76" s="11" t="str">
        <f t="shared" si="46"/>
        <v/>
      </c>
      <c r="BB76" s="10" t="str">
        <f t="shared" si="28"/>
        <v/>
      </c>
      <c r="BC76" s="71"/>
      <c r="BD76" s="10" t="str">
        <f t="shared" si="47"/>
        <v/>
      </c>
      <c r="BE76" s="10" t="str">
        <f t="shared" si="29"/>
        <v/>
      </c>
      <c r="BF76" s="71"/>
      <c r="BG76" s="11" t="str">
        <f t="shared" si="48"/>
        <v/>
      </c>
      <c r="BH76" s="10" t="str">
        <f t="shared" si="30"/>
        <v/>
      </c>
      <c r="BJ76" s="7" t="str">
        <f t="shared" si="31"/>
        <v/>
      </c>
      <c r="BK76" s="158" t="str">
        <f t="shared" si="32"/>
        <v/>
      </c>
      <c r="BL76" s="158" t="str">
        <f t="shared" si="14"/>
        <v/>
      </c>
      <c r="BM76" s="10"/>
      <c r="BN76" s="10" t="str">
        <f t="shared" si="33"/>
        <v/>
      </c>
      <c r="BO76" s="10" t="str">
        <f t="shared" si="34"/>
        <v/>
      </c>
      <c r="BQ76" s="10" t="str">
        <f t="shared" si="49"/>
        <v/>
      </c>
      <c r="BR76" s="10" t="str">
        <f t="shared" si="35"/>
        <v/>
      </c>
    </row>
    <row r="77" spans="2:70" x14ac:dyDescent="0.15">
      <c r="F77" s="93"/>
      <c r="I77" s="38">
        <f t="shared" si="36"/>
        <v>2082</v>
      </c>
      <c r="J77" s="39"/>
      <c r="K77" s="39">
        <f t="shared" si="37"/>
        <v>63</v>
      </c>
      <c r="L77" s="39"/>
      <c r="M77" s="40">
        <f t="shared" si="0"/>
        <v>0.15532982164476369</v>
      </c>
      <c r="N77" s="39"/>
      <c r="O77" s="72" t="str">
        <f t="shared" si="16"/>
        <v/>
      </c>
      <c r="P77" s="41" t="str">
        <f t="shared" si="38"/>
        <v/>
      </c>
      <c r="Q77" s="39"/>
      <c r="R77" s="72" t="str">
        <f t="shared" si="50"/>
        <v/>
      </c>
      <c r="S77" s="39"/>
      <c r="T77" s="72" t="str">
        <f t="shared" si="18"/>
        <v/>
      </c>
      <c r="U77" s="39"/>
      <c r="V77" s="72" t="str">
        <f t="shared" si="39"/>
        <v/>
      </c>
      <c r="W77" s="72" t="str">
        <f t="shared" si="19"/>
        <v/>
      </c>
      <c r="X77" s="39"/>
      <c r="Y77" s="72" t="str">
        <f t="shared" si="40"/>
        <v/>
      </c>
      <c r="Z77" s="72" t="str">
        <f t="shared" si="20"/>
        <v/>
      </c>
      <c r="AA77" s="39"/>
      <c r="AB77" s="72" t="str">
        <f t="shared" si="4"/>
        <v/>
      </c>
      <c r="AC77" s="72" t="str">
        <f t="shared" si="21"/>
        <v/>
      </c>
      <c r="AD77" s="39"/>
      <c r="AE77" s="72" t="str">
        <f t="shared" si="41"/>
        <v/>
      </c>
      <c r="AF77" s="72" t="str">
        <f t="shared" si="22"/>
        <v/>
      </c>
      <c r="AG77" s="39"/>
      <c r="AH77" s="72" t="str">
        <f t="shared" si="42"/>
        <v/>
      </c>
      <c r="AI77" s="72" t="str">
        <f t="shared" si="23"/>
        <v/>
      </c>
      <c r="AJ77" s="39"/>
      <c r="AK77" s="72" t="str">
        <f t="shared" si="24"/>
        <v/>
      </c>
      <c r="AL77" s="72" t="str">
        <f t="shared" si="25"/>
        <v/>
      </c>
      <c r="AM77" s="39"/>
      <c r="AN77" s="72" t="str">
        <f t="shared" si="43"/>
        <v/>
      </c>
      <c r="AO77" s="72" t="str">
        <f t="shared" si="26"/>
        <v/>
      </c>
      <c r="AP77" s="39"/>
      <c r="AQ77" s="72" t="str">
        <f t="shared" si="44"/>
        <v/>
      </c>
      <c r="AR77" s="72" t="str">
        <f t="shared" si="27"/>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45"/>
        <v/>
      </c>
      <c r="AW77" s="72" t="str">
        <f t="shared" si="10"/>
        <v/>
      </c>
      <c r="AX77" s="39"/>
      <c r="AY77" s="40" t="str">
        <f>IF(ISERROR(IF($K77&lt;=$F$15,VLOOKUP($I77,'表4）CO2価格'!$A$7:$E$67,VLOOKUP($F$48,'表4）CO2価格'!$H$10:$I$12,2,0),0)*$F$8/1000,"")),0,IF($K77&lt;=$F$15,VLOOKUP($I77,'表4）CO2価格'!$A$7:$E$67,VLOOKUP($F$48,'表4）CO2価格'!$H$10:$I$12,2,0),0)*$F$8/1000,""))</f>
        <v/>
      </c>
      <c r="AZ77" s="39"/>
      <c r="BA77" s="42" t="str">
        <f t="shared" si="46"/>
        <v/>
      </c>
      <c r="BB77" s="72" t="str">
        <f t="shared" si="28"/>
        <v/>
      </c>
      <c r="BC77" s="39"/>
      <c r="BD77" s="72" t="str">
        <f t="shared" si="47"/>
        <v/>
      </c>
      <c r="BE77" s="72" t="str">
        <f t="shared" si="29"/>
        <v/>
      </c>
      <c r="BF77" s="39"/>
      <c r="BG77" s="42" t="str">
        <f t="shared" si="48"/>
        <v/>
      </c>
      <c r="BH77" s="72" t="str">
        <f t="shared" si="30"/>
        <v/>
      </c>
      <c r="BI77" s="39"/>
      <c r="BJ77" s="40" t="str">
        <f t="shared" si="31"/>
        <v/>
      </c>
      <c r="BK77" s="157" t="str">
        <f t="shared" si="32"/>
        <v/>
      </c>
      <c r="BL77" s="157" t="str">
        <f t="shared" si="14"/>
        <v/>
      </c>
      <c r="BM77" s="72"/>
      <c r="BN77" s="72" t="str">
        <f t="shared" si="33"/>
        <v/>
      </c>
      <c r="BO77" s="72" t="str">
        <f t="shared" si="34"/>
        <v/>
      </c>
      <c r="BP77" s="39"/>
      <c r="BQ77" s="72" t="str">
        <f t="shared" si="49"/>
        <v/>
      </c>
      <c r="BR77" s="72" t="str">
        <f t="shared" si="35"/>
        <v/>
      </c>
    </row>
    <row r="78" spans="2:70" x14ac:dyDescent="0.15">
      <c r="E78" s="74" t="s">
        <v>138</v>
      </c>
      <c r="F78" s="91">
        <f>R15/$BR$116</f>
        <v>2.1681991033755019</v>
      </c>
      <c r="G78" s="81" t="s">
        <v>132</v>
      </c>
      <c r="I78" s="322">
        <f t="shared" si="36"/>
        <v>2083</v>
      </c>
      <c r="J78" s="71"/>
      <c r="K78" s="71">
        <f t="shared" si="37"/>
        <v>64</v>
      </c>
      <c r="L78" s="71"/>
      <c r="M78" s="7">
        <f t="shared" si="0"/>
        <v>0.15080565208229488</v>
      </c>
      <c r="N78" s="71"/>
      <c r="O78" s="10" t="str">
        <f t="shared" si="16"/>
        <v/>
      </c>
      <c r="P78" s="29" t="str">
        <f t="shared" si="38"/>
        <v/>
      </c>
      <c r="Q78" s="71"/>
      <c r="R78" s="10" t="str">
        <f t="shared" si="50"/>
        <v/>
      </c>
      <c r="S78" s="71"/>
      <c r="T78" s="10" t="str">
        <f t="shared" si="18"/>
        <v/>
      </c>
      <c r="U78" s="71"/>
      <c r="V78" s="10" t="str">
        <f t="shared" si="39"/>
        <v/>
      </c>
      <c r="W78" s="10" t="str">
        <f t="shared" si="19"/>
        <v/>
      </c>
      <c r="X78" s="71"/>
      <c r="Y78" s="10" t="str">
        <f t="shared" si="40"/>
        <v/>
      </c>
      <c r="Z78" s="10" t="str">
        <f t="shared" si="20"/>
        <v/>
      </c>
      <c r="AA78" s="71"/>
      <c r="AB78" s="10" t="str">
        <f t="shared" si="4"/>
        <v/>
      </c>
      <c r="AC78" s="10" t="str">
        <f t="shared" si="21"/>
        <v/>
      </c>
      <c r="AD78" s="71"/>
      <c r="AE78" s="10" t="str">
        <f t="shared" si="41"/>
        <v/>
      </c>
      <c r="AF78" s="10" t="str">
        <f t="shared" si="22"/>
        <v/>
      </c>
      <c r="AG78" s="71"/>
      <c r="AH78" s="10" t="str">
        <f t="shared" si="42"/>
        <v/>
      </c>
      <c r="AI78" s="10" t="str">
        <f t="shared" si="23"/>
        <v/>
      </c>
      <c r="AJ78" s="71"/>
      <c r="AK78" s="10" t="str">
        <f t="shared" si="24"/>
        <v/>
      </c>
      <c r="AL78" s="10" t="str">
        <f t="shared" si="25"/>
        <v/>
      </c>
      <c r="AM78" s="71"/>
      <c r="AN78" s="10" t="str">
        <f t="shared" si="43"/>
        <v/>
      </c>
      <c r="AO78" s="10" t="str">
        <f t="shared" si="26"/>
        <v/>
      </c>
      <c r="AP78" s="71"/>
      <c r="AQ78" s="10" t="str">
        <f t="shared" si="44"/>
        <v/>
      </c>
      <c r="AR78" s="10" t="str">
        <f t="shared" si="27"/>
        <v/>
      </c>
      <c r="AS78" s="71"/>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U78" s="71"/>
      <c r="AV78" s="10" t="str">
        <f t="shared" si="45"/>
        <v/>
      </c>
      <c r="AW78" s="10" t="str">
        <f t="shared" si="10"/>
        <v/>
      </c>
      <c r="AX78" s="71"/>
      <c r="AY78" s="7" t="str">
        <f>IF(ISERROR(IF($K78&lt;=$F$15,VLOOKUP($I78,'表4）CO2価格'!$A$7:$E$67,VLOOKUP($F$48,'表4）CO2価格'!$H$10:$I$12,2,0),0)*$F$8/1000,"")),0,IF($K78&lt;=$F$15,VLOOKUP($I78,'表4）CO2価格'!$A$7:$E$67,VLOOKUP($F$48,'表4）CO2価格'!$H$10:$I$12,2,0),0)*$F$8/1000,""))</f>
        <v/>
      </c>
      <c r="AZ78" s="71"/>
      <c r="BA78" s="11" t="str">
        <f t="shared" si="46"/>
        <v/>
      </c>
      <c r="BB78" s="10" t="str">
        <f t="shared" si="28"/>
        <v/>
      </c>
      <c r="BC78" s="71"/>
      <c r="BD78" s="10" t="str">
        <f t="shared" si="47"/>
        <v/>
      </c>
      <c r="BE78" s="10" t="str">
        <f t="shared" si="29"/>
        <v/>
      </c>
      <c r="BF78" s="71"/>
      <c r="BG78" s="11" t="str">
        <f t="shared" si="48"/>
        <v/>
      </c>
      <c r="BH78" s="10" t="str">
        <f t="shared" si="30"/>
        <v/>
      </c>
      <c r="BJ78" s="7" t="str">
        <f t="shared" si="31"/>
        <v/>
      </c>
      <c r="BK78" s="158" t="str">
        <f t="shared" si="32"/>
        <v/>
      </c>
      <c r="BL78" s="158" t="str">
        <f t="shared" si="14"/>
        <v/>
      </c>
      <c r="BM78" s="10"/>
      <c r="BN78" s="10" t="str">
        <f t="shared" si="33"/>
        <v/>
      </c>
      <c r="BO78" s="10" t="str">
        <f t="shared" si="34"/>
        <v/>
      </c>
      <c r="BQ78" s="10" t="str">
        <f t="shared" si="49"/>
        <v/>
      </c>
      <c r="BR78" s="10" t="str">
        <f t="shared" si="35"/>
        <v/>
      </c>
    </row>
    <row r="79" spans="2:70" x14ac:dyDescent="0.15">
      <c r="E79" s="81" t="s">
        <v>139</v>
      </c>
      <c r="F79" s="91">
        <f>Z116/$BR$116</f>
        <v>0.17880339741265597</v>
      </c>
      <c r="G79" s="81" t="s">
        <v>132</v>
      </c>
      <c r="I79" s="38">
        <f t="shared" si="36"/>
        <v>2084</v>
      </c>
      <c r="J79" s="39"/>
      <c r="K79" s="39">
        <f t="shared" si="37"/>
        <v>65</v>
      </c>
      <c r="L79" s="39"/>
      <c r="M79" s="40">
        <f t="shared" ref="M79:M114" si="51">1/(1+($F$9/100))^K79</f>
        <v>0.14641325444882999</v>
      </c>
      <c r="N79" s="39"/>
      <c r="O79" s="72" t="str">
        <f t="shared" si="16"/>
        <v/>
      </c>
      <c r="P79" s="41" t="str">
        <f t="shared" ref="P79:P110" si="52">IF(K79&lt;=$F$15,IF(OR(P78=$F$124,P78="-"),"-",IF(O79*$F$123&gt;$F$127,$F$123,$F$124)),"")</f>
        <v/>
      </c>
      <c r="Q79" s="39"/>
      <c r="R79" s="72" t="str">
        <f t="shared" si="50"/>
        <v/>
      </c>
      <c r="S79" s="39"/>
      <c r="T79" s="72" t="str">
        <f t="shared" si="18"/>
        <v/>
      </c>
      <c r="U79" s="39"/>
      <c r="V79" s="72" t="str">
        <f t="shared" ref="V79:V114" si="53">IF(K79&lt;=$F$15,IF(K79&lt;$F$119,IF(P79="-",V78,O79*P79),IF(K79=$F$119,MIN(IF(P79="-",V78,O79*P79),O79),0)),"")</f>
        <v/>
      </c>
      <c r="W79" s="72" t="str">
        <f t="shared" si="19"/>
        <v/>
      </c>
      <c r="X79" s="39"/>
      <c r="Y79" s="72" t="str">
        <f t="shared" ref="Y79:Y114" si="54">IF($K79&lt;=$F$15,ROUNDDOWN(T79*$F$25/100,-2),"")</f>
        <v/>
      </c>
      <c r="Z79" s="72" t="str">
        <f t="shared" si="20"/>
        <v/>
      </c>
      <c r="AA79" s="39"/>
      <c r="AB79" s="72" t="str">
        <f t="shared" ref="AB79:AB114" si="55">IF($K79&lt;=$F$15,0,IF(AND($K79&gt;$F$15,$K79&lt;=$F$15+$F$28),$F$27*10^8/$F$28,""))</f>
        <v/>
      </c>
      <c r="AC79" s="72" t="str">
        <f t="shared" si="21"/>
        <v/>
      </c>
      <c r="AD79" s="39"/>
      <c r="AE79" s="72" t="str">
        <f t="shared" ref="AE79:AE114" si="56">IF($K79&lt;=$F$15,$F$26,"")</f>
        <v/>
      </c>
      <c r="AF79" s="72" t="str">
        <f t="shared" si="22"/>
        <v/>
      </c>
      <c r="AG79" s="39"/>
      <c r="AH79" s="72" t="str">
        <f t="shared" ref="AH79:AH114" si="57">IF($K79&lt;=$F$15,$F$33*10^8,"")</f>
        <v/>
      </c>
      <c r="AI79" s="72" t="str">
        <f t="shared" si="23"/>
        <v/>
      </c>
      <c r="AJ79" s="39"/>
      <c r="AK79" s="72" t="str">
        <f t="shared" si="24"/>
        <v/>
      </c>
      <c r="AL79" s="72" t="str">
        <f t="shared" si="25"/>
        <v/>
      </c>
      <c r="AM79" s="39"/>
      <c r="AN79" s="72" t="str">
        <f t="shared" ref="AN79:AN114" si="58">IF($K79&lt;=$F$15,$F$117*$F$35/100,"")</f>
        <v/>
      </c>
      <c r="AO79" s="72" t="str">
        <f t="shared" si="26"/>
        <v/>
      </c>
      <c r="AP79" s="39"/>
      <c r="AQ79" s="72" t="str">
        <f t="shared" ref="AQ79:AQ114" si="59">IF($K79&lt;=$F$15,SUM(AH79,AK79,AN79)*($F$36/100),"")</f>
        <v/>
      </c>
      <c r="AR79" s="72" t="str">
        <f t="shared" si="27"/>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60">IF($K79&lt;=$F$15,($AT79+$F$142)*$F$137,"")</f>
        <v/>
      </c>
      <c r="AW79" s="72" t="str">
        <f t="shared" ref="AW79:AW114" si="61">IF(ISNUMBER(AV79),AV79*$M79,"")</f>
        <v/>
      </c>
      <c r="AX79" s="39"/>
      <c r="AY79" s="40" t="str">
        <f>IF(ISERROR(IF($K79&lt;=$F$15,VLOOKUP($I79,'表4）CO2価格'!$A$7:$E$67,VLOOKUP($F$48,'表4）CO2価格'!$H$10:$I$12,2,0),0)*$F$8/1000,"")),0,IF($K79&lt;=$F$15,VLOOKUP($I79,'表4）CO2価格'!$A$7:$E$67,VLOOKUP($F$48,'表4）CO2価格'!$H$10:$I$12,2,0),0)*$F$8/1000,""))</f>
        <v/>
      </c>
      <c r="AZ79" s="39"/>
      <c r="BA79" s="42" t="str">
        <f t="shared" ref="BA79:BA114" si="62">IF($K79&lt;=$F$15,$F$145*AY79,"")</f>
        <v/>
      </c>
      <c r="BB79" s="72" t="str">
        <f t="shared" si="28"/>
        <v/>
      </c>
      <c r="BC79" s="39"/>
      <c r="BD79" s="72" t="str">
        <f t="shared" ref="BD79:BD114" si="63">IF($K79&lt;=$F$15,($AT79+$F$152)*$F$151,"")</f>
        <v/>
      </c>
      <c r="BE79" s="72" t="str">
        <f t="shared" si="29"/>
        <v/>
      </c>
      <c r="BF79" s="39"/>
      <c r="BG79" s="42" t="str">
        <f t="shared" ref="BG79:BG114" si="64">IF($K79&lt;=$F$15,$F$153*AY79,"")</f>
        <v/>
      </c>
      <c r="BH79" s="72" t="str">
        <f t="shared" si="30"/>
        <v/>
      </c>
      <c r="BI79" s="39"/>
      <c r="BJ79" s="40" t="str">
        <f t="shared" si="31"/>
        <v/>
      </c>
      <c r="BK79" s="157" t="str">
        <f t="shared" si="32"/>
        <v/>
      </c>
      <c r="BL79" s="157" t="str">
        <f t="shared" ref="BL79:BL114" si="65">IF(AND(ISNUMBER(BJ79),$K79&lt;=$F$16),BQ79*BJ79,"")</f>
        <v/>
      </c>
      <c r="BM79" s="72"/>
      <c r="BN79" s="72" t="str">
        <f t="shared" si="33"/>
        <v/>
      </c>
      <c r="BO79" s="72" t="str">
        <f t="shared" si="34"/>
        <v/>
      </c>
      <c r="BP79" s="39"/>
      <c r="BQ79" s="72" t="str">
        <f t="shared" ref="BQ79:BQ114" si="66">IF($K79&lt;=$F$15,$F$134,"")</f>
        <v/>
      </c>
      <c r="BR79" s="72" t="str">
        <f t="shared" si="35"/>
        <v/>
      </c>
    </row>
    <row r="80" spans="2:70" x14ac:dyDescent="0.15">
      <c r="E80" s="81" t="s">
        <v>115</v>
      </c>
      <c r="F80" s="91">
        <f>AF116/$BR$116</f>
        <v>0</v>
      </c>
      <c r="G80" s="81" t="s">
        <v>132</v>
      </c>
      <c r="I80" s="322">
        <f t="shared" si="36"/>
        <v>2085</v>
      </c>
      <c r="J80" s="71"/>
      <c r="K80" s="71">
        <f t="shared" si="37"/>
        <v>66</v>
      </c>
      <c r="L80" s="71"/>
      <c r="M80" s="7">
        <f t="shared" si="51"/>
        <v>0.14214879072701941</v>
      </c>
      <c r="N80" s="71"/>
      <c r="O80" s="10" t="str">
        <f t="shared" ref="O80:O114" si="67">IF(K80&lt;=$F$15,O79-V79,"")</f>
        <v/>
      </c>
      <c r="P80" s="29" t="str">
        <f t="shared" si="52"/>
        <v/>
      </c>
      <c r="Q80" s="71"/>
      <c r="R80" s="10" t="str">
        <f t="shared" ref="R80:R114" si="68">IF($K80&lt;=$F$15,MAX($F$117*5%,R79*$F$129),"")</f>
        <v/>
      </c>
      <c r="S80" s="71"/>
      <c r="T80" s="10" t="str">
        <f t="shared" ref="T80:T114" si="69">IF(ISNUMBER(R80),ROUNDDOWN(R80,-3),"")</f>
        <v/>
      </c>
      <c r="U80" s="71"/>
      <c r="V80" s="10" t="str">
        <f t="shared" si="53"/>
        <v/>
      </c>
      <c r="W80" s="10" t="str">
        <f t="shared" ref="W80:W114" si="70">IF(ISNUMBER(V80),V80*$M80,"")</f>
        <v/>
      </c>
      <c r="X80" s="71"/>
      <c r="Y80" s="10" t="str">
        <f t="shared" si="54"/>
        <v/>
      </c>
      <c r="Z80" s="10" t="str">
        <f t="shared" ref="Z80:Z114" si="71">IF(ISNUMBER(Y80),Y80*$M80,"")</f>
        <v/>
      </c>
      <c r="AA80" s="71"/>
      <c r="AB80" s="10" t="str">
        <f t="shared" si="55"/>
        <v/>
      </c>
      <c r="AC80" s="10" t="str">
        <f t="shared" ref="AC80:AC114" si="72">IF(ISNUMBER(AB80),AB80*$M80,"")</f>
        <v/>
      </c>
      <c r="AD80" s="71"/>
      <c r="AE80" s="10" t="str">
        <f t="shared" si="56"/>
        <v/>
      </c>
      <c r="AF80" s="10" t="str">
        <f t="shared" ref="AF80:AF114" si="73">IF(ISNUMBER(AE80),AE80*$M80,"")</f>
        <v/>
      </c>
      <c r="AG80" s="71"/>
      <c r="AH80" s="10" t="str">
        <f t="shared" si="57"/>
        <v/>
      </c>
      <c r="AI80" s="10" t="str">
        <f t="shared" ref="AI80:AI114" si="74">IF(ISNUMBER(AH80),AH80*$M80,"")</f>
        <v/>
      </c>
      <c r="AJ80" s="71"/>
      <c r="AK80" s="10" t="str">
        <f t="shared" ref="AK80:AK114" si="75">IF($K80&lt;=$F$15,$F$34*10^4*$F$13*10^4,"")</f>
        <v/>
      </c>
      <c r="AL80" s="10" t="str">
        <f t="shared" ref="AL80:AL114" si="76">IF(ISNUMBER(AK80),AK80*$M80,"")</f>
        <v/>
      </c>
      <c r="AM80" s="71"/>
      <c r="AN80" s="10" t="str">
        <f t="shared" si="58"/>
        <v/>
      </c>
      <c r="AO80" s="10" t="str">
        <f t="shared" ref="AO80:AO114" si="77">IF(ISNUMBER(AN80),AN80*$M80,"")</f>
        <v/>
      </c>
      <c r="AP80" s="71"/>
      <c r="AQ80" s="10" t="str">
        <f t="shared" si="59"/>
        <v/>
      </c>
      <c r="AR80" s="10" t="str">
        <f t="shared" ref="AR80:AR114" si="78">IF(ISNUMBER(AQ80),AQ80*$M80,"")</f>
        <v/>
      </c>
      <c r="AS80" s="71"/>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U80" s="71"/>
      <c r="AV80" s="10" t="str">
        <f t="shared" si="60"/>
        <v/>
      </c>
      <c r="AW80" s="10" t="str">
        <f t="shared" si="61"/>
        <v/>
      </c>
      <c r="AX80" s="71"/>
      <c r="AY80" s="7" t="str">
        <f>IF(ISERROR(IF($K80&lt;=$F$15,VLOOKUP($I80,'表4）CO2価格'!$A$7:$E$67,VLOOKUP($F$48,'表4）CO2価格'!$H$10:$I$12,2,0),0)*$F$8/1000,"")),0,IF($K80&lt;=$F$15,VLOOKUP($I80,'表4）CO2価格'!$A$7:$E$67,VLOOKUP($F$48,'表4）CO2価格'!$H$10:$I$12,2,0),0)*$F$8/1000,""))</f>
        <v/>
      </c>
      <c r="AZ80" s="71"/>
      <c r="BA80" s="11" t="str">
        <f t="shared" si="62"/>
        <v/>
      </c>
      <c r="BB80" s="10" t="str">
        <f t="shared" ref="BB80:BB114" si="79">IF(ISNUMBER(BA80),BA80*$M80,"")</f>
        <v/>
      </c>
      <c r="BC80" s="71"/>
      <c r="BD80" s="10" t="str">
        <f t="shared" si="63"/>
        <v/>
      </c>
      <c r="BE80" s="10" t="str">
        <f t="shared" ref="BE80:BE114" si="80">IF(ISNUMBER(BD80),BD80*$M80,"")</f>
        <v/>
      </c>
      <c r="BF80" s="71"/>
      <c r="BG80" s="11" t="str">
        <f t="shared" si="64"/>
        <v/>
      </c>
      <c r="BH80" s="10" t="str">
        <f t="shared" ref="BH80:BH114" si="81">IF(ISNUMBER(BG80),BG80*$M80,"")</f>
        <v/>
      </c>
      <c r="BJ80" s="7" t="str">
        <f t="shared" ref="BJ80:BJ114" si="82">IF(ISNUMBER($F$16),IF($K80&lt;=$F$16+$F$28,1/(1+($F$17/100))^K80,""),"")</f>
        <v/>
      </c>
      <c r="BK80" s="158" t="str">
        <f t="shared" ref="BK80:BK114" si="83">IF(ISNUMBER($F$16),IF($K80&lt;=$F$16+$F$28,IF($K80&lt;=$F$16,SUM(Y80,AB80,AE80,AH80,AK80,AN80,AQ80,AV80,BA80,BD80,BG80),$F$27/$F$28*10^8)*BJ80,""),"")</f>
        <v/>
      </c>
      <c r="BL80" s="158" t="str">
        <f t="shared" si="65"/>
        <v/>
      </c>
      <c r="BM80" s="10"/>
      <c r="BN80" s="10" t="str">
        <f t="shared" ref="BN80:BN114" si="84">IF(AND(ISNUMBER($F$16),$K80&lt;=$F$16),BQ80*($O$15+$BK$116)/$BL$116,"")</f>
        <v/>
      </c>
      <c r="BO80" s="10" t="str">
        <f t="shared" ref="BO80:BO114" si="85">IF(ISNUMBER(BN80),BN80*$M80,"")</f>
        <v/>
      </c>
      <c r="BQ80" s="10" t="str">
        <f t="shared" si="66"/>
        <v/>
      </c>
      <c r="BR80" s="10" t="str">
        <f t="shared" ref="BR80:BR114" si="86">IF(ISNUMBER(BQ80),BQ80*$M80,"")</f>
        <v/>
      </c>
    </row>
    <row r="81" spans="4:70" x14ac:dyDescent="0.15">
      <c r="E81" s="82" t="s">
        <v>86</v>
      </c>
      <c r="F81" s="91">
        <f>AC116/$BR$116</f>
        <v>4.3362588474998437E-2</v>
      </c>
      <c r="G81" s="81" t="s">
        <v>132</v>
      </c>
      <c r="I81" s="38">
        <f t="shared" ref="I81:I114" si="87">I80+1</f>
        <v>2086</v>
      </c>
      <c r="J81" s="39"/>
      <c r="K81" s="39">
        <f t="shared" ref="K81:K114" si="88">IF(I81&lt;&gt;"",K80+1,"")</f>
        <v>67</v>
      </c>
      <c r="L81" s="39"/>
      <c r="M81" s="40">
        <f t="shared" si="51"/>
        <v>0.1380085346864266</v>
      </c>
      <c r="N81" s="39"/>
      <c r="O81" s="72" t="str">
        <f t="shared" si="67"/>
        <v/>
      </c>
      <c r="P81" s="41" t="str">
        <f t="shared" si="52"/>
        <v/>
      </c>
      <c r="Q81" s="39"/>
      <c r="R81" s="72" t="str">
        <f t="shared" si="68"/>
        <v/>
      </c>
      <c r="S81" s="39"/>
      <c r="T81" s="72" t="str">
        <f t="shared" si="69"/>
        <v/>
      </c>
      <c r="U81" s="39"/>
      <c r="V81" s="72" t="str">
        <f t="shared" si="53"/>
        <v/>
      </c>
      <c r="W81" s="72" t="str">
        <f t="shared" si="70"/>
        <v/>
      </c>
      <c r="X81" s="39"/>
      <c r="Y81" s="72" t="str">
        <f t="shared" si="54"/>
        <v/>
      </c>
      <c r="Z81" s="72" t="str">
        <f t="shared" si="71"/>
        <v/>
      </c>
      <c r="AA81" s="39"/>
      <c r="AB81" s="72" t="str">
        <f t="shared" si="55"/>
        <v/>
      </c>
      <c r="AC81" s="72" t="str">
        <f t="shared" si="72"/>
        <v/>
      </c>
      <c r="AD81" s="39"/>
      <c r="AE81" s="72" t="str">
        <f t="shared" si="56"/>
        <v/>
      </c>
      <c r="AF81" s="72" t="str">
        <f t="shared" si="73"/>
        <v/>
      </c>
      <c r="AG81" s="39"/>
      <c r="AH81" s="72" t="str">
        <f t="shared" si="57"/>
        <v/>
      </c>
      <c r="AI81" s="72" t="str">
        <f t="shared" si="74"/>
        <v/>
      </c>
      <c r="AJ81" s="39"/>
      <c r="AK81" s="72" t="str">
        <f t="shared" si="75"/>
        <v/>
      </c>
      <c r="AL81" s="72" t="str">
        <f t="shared" si="76"/>
        <v/>
      </c>
      <c r="AM81" s="39"/>
      <c r="AN81" s="72" t="str">
        <f t="shared" si="58"/>
        <v/>
      </c>
      <c r="AO81" s="72" t="str">
        <f t="shared" si="77"/>
        <v/>
      </c>
      <c r="AP81" s="39"/>
      <c r="AQ81" s="72" t="str">
        <f t="shared" si="59"/>
        <v/>
      </c>
      <c r="AR81" s="72" t="str">
        <f t="shared" si="78"/>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60"/>
        <v/>
      </c>
      <c r="AW81" s="72" t="str">
        <f t="shared" si="61"/>
        <v/>
      </c>
      <c r="AX81" s="39"/>
      <c r="AY81" s="40" t="str">
        <f>IF(ISERROR(IF($K81&lt;=$F$15,VLOOKUP($I81,'表4）CO2価格'!$A$7:$E$67,VLOOKUP($F$48,'表4）CO2価格'!$H$10:$I$12,2,0),0)*$F$8/1000,"")),0,IF($K81&lt;=$F$15,VLOOKUP($I81,'表4）CO2価格'!$A$7:$E$67,VLOOKUP($F$48,'表4）CO2価格'!$H$10:$I$12,2,0),0)*$F$8/1000,""))</f>
        <v/>
      </c>
      <c r="AZ81" s="39"/>
      <c r="BA81" s="42" t="str">
        <f t="shared" si="62"/>
        <v/>
      </c>
      <c r="BB81" s="72" t="str">
        <f t="shared" si="79"/>
        <v/>
      </c>
      <c r="BC81" s="39"/>
      <c r="BD81" s="72" t="str">
        <f t="shared" si="63"/>
        <v/>
      </c>
      <c r="BE81" s="72" t="str">
        <f t="shared" si="80"/>
        <v/>
      </c>
      <c r="BF81" s="39"/>
      <c r="BG81" s="42" t="str">
        <f t="shared" si="64"/>
        <v/>
      </c>
      <c r="BH81" s="72" t="str">
        <f t="shared" si="81"/>
        <v/>
      </c>
      <c r="BI81" s="39"/>
      <c r="BJ81" s="40" t="str">
        <f t="shared" si="82"/>
        <v/>
      </c>
      <c r="BK81" s="157" t="str">
        <f t="shared" si="83"/>
        <v/>
      </c>
      <c r="BL81" s="157" t="str">
        <f t="shared" si="65"/>
        <v/>
      </c>
      <c r="BM81" s="72"/>
      <c r="BN81" s="72" t="str">
        <f t="shared" si="84"/>
        <v/>
      </c>
      <c r="BO81" s="72" t="str">
        <f t="shared" si="85"/>
        <v/>
      </c>
      <c r="BP81" s="39"/>
      <c r="BQ81" s="72" t="str">
        <f t="shared" si="66"/>
        <v/>
      </c>
      <c r="BR81" s="72" t="str">
        <f t="shared" si="86"/>
        <v/>
      </c>
    </row>
    <row r="82" spans="4:70" x14ac:dyDescent="0.15">
      <c r="F82" s="93"/>
      <c r="I82" s="322">
        <f t="shared" si="87"/>
        <v>2087</v>
      </c>
      <c r="J82" s="71"/>
      <c r="K82" s="71">
        <f t="shared" si="88"/>
        <v>68</v>
      </c>
      <c r="L82" s="71"/>
      <c r="M82" s="7">
        <f t="shared" si="51"/>
        <v>0.13398886862759865</v>
      </c>
      <c r="N82" s="71"/>
      <c r="O82" s="10" t="str">
        <f t="shared" si="67"/>
        <v/>
      </c>
      <c r="P82" s="29" t="str">
        <f t="shared" si="52"/>
        <v/>
      </c>
      <c r="Q82" s="71"/>
      <c r="R82" s="10" t="str">
        <f t="shared" si="68"/>
        <v/>
      </c>
      <c r="S82" s="71"/>
      <c r="T82" s="10" t="str">
        <f t="shared" si="69"/>
        <v/>
      </c>
      <c r="U82" s="71"/>
      <c r="V82" s="10" t="str">
        <f t="shared" si="53"/>
        <v/>
      </c>
      <c r="W82" s="10" t="str">
        <f t="shared" si="70"/>
        <v/>
      </c>
      <c r="X82" s="71"/>
      <c r="Y82" s="10" t="str">
        <f t="shared" si="54"/>
        <v/>
      </c>
      <c r="Z82" s="10" t="str">
        <f t="shared" si="71"/>
        <v/>
      </c>
      <c r="AA82" s="71"/>
      <c r="AB82" s="10" t="str">
        <f t="shared" si="55"/>
        <v/>
      </c>
      <c r="AC82" s="10" t="str">
        <f t="shared" si="72"/>
        <v/>
      </c>
      <c r="AD82" s="71"/>
      <c r="AE82" s="10" t="str">
        <f t="shared" si="56"/>
        <v/>
      </c>
      <c r="AF82" s="10" t="str">
        <f t="shared" si="73"/>
        <v/>
      </c>
      <c r="AG82" s="71"/>
      <c r="AH82" s="10" t="str">
        <f t="shared" si="57"/>
        <v/>
      </c>
      <c r="AI82" s="10" t="str">
        <f t="shared" si="74"/>
        <v/>
      </c>
      <c r="AJ82" s="71"/>
      <c r="AK82" s="10" t="str">
        <f t="shared" si="75"/>
        <v/>
      </c>
      <c r="AL82" s="10" t="str">
        <f t="shared" si="76"/>
        <v/>
      </c>
      <c r="AM82" s="71"/>
      <c r="AN82" s="10" t="str">
        <f t="shared" si="58"/>
        <v/>
      </c>
      <c r="AO82" s="10" t="str">
        <f t="shared" si="77"/>
        <v/>
      </c>
      <c r="AP82" s="71"/>
      <c r="AQ82" s="10" t="str">
        <f t="shared" si="59"/>
        <v/>
      </c>
      <c r="AR82" s="10" t="str">
        <f t="shared" si="78"/>
        <v/>
      </c>
      <c r="AS82" s="71"/>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U82" s="71"/>
      <c r="AV82" s="10" t="str">
        <f t="shared" si="60"/>
        <v/>
      </c>
      <c r="AW82" s="10" t="str">
        <f t="shared" si="61"/>
        <v/>
      </c>
      <c r="AX82" s="71"/>
      <c r="AY82" s="7" t="str">
        <f>IF(ISERROR(IF($K82&lt;=$F$15,VLOOKUP($I82,'表4）CO2価格'!$A$7:$E$67,VLOOKUP($F$48,'表4）CO2価格'!$H$10:$I$12,2,0),0)*$F$8/1000,"")),0,IF($K82&lt;=$F$15,VLOOKUP($I82,'表4）CO2価格'!$A$7:$E$67,VLOOKUP($F$48,'表4）CO2価格'!$H$10:$I$12,2,0),0)*$F$8/1000,""))</f>
        <v/>
      </c>
      <c r="AZ82" s="71"/>
      <c r="BA82" s="11" t="str">
        <f t="shared" si="62"/>
        <v/>
      </c>
      <c r="BB82" s="10" t="str">
        <f t="shared" si="79"/>
        <v/>
      </c>
      <c r="BC82" s="71"/>
      <c r="BD82" s="10" t="str">
        <f t="shared" si="63"/>
        <v/>
      </c>
      <c r="BE82" s="10" t="str">
        <f t="shared" si="80"/>
        <v/>
      </c>
      <c r="BF82" s="71"/>
      <c r="BG82" s="11" t="str">
        <f t="shared" si="64"/>
        <v/>
      </c>
      <c r="BH82" s="10" t="str">
        <f t="shared" si="81"/>
        <v/>
      </c>
      <c r="BJ82" s="7" t="str">
        <f t="shared" si="82"/>
        <v/>
      </c>
      <c r="BK82" s="158" t="str">
        <f t="shared" si="83"/>
        <v/>
      </c>
      <c r="BL82" s="158" t="str">
        <f t="shared" si="65"/>
        <v/>
      </c>
      <c r="BM82" s="10"/>
      <c r="BN82" s="10" t="str">
        <f t="shared" si="84"/>
        <v/>
      </c>
      <c r="BO82" s="10" t="str">
        <f t="shared" si="85"/>
        <v/>
      </c>
      <c r="BQ82" s="10" t="str">
        <f t="shared" si="66"/>
        <v/>
      </c>
      <c r="BR82" s="10" t="str">
        <f t="shared" si="86"/>
        <v/>
      </c>
    </row>
    <row r="83" spans="4:70" ht="15" x14ac:dyDescent="0.15">
      <c r="D83" s="116" t="s">
        <v>194</v>
      </c>
      <c r="F83" s="94">
        <f>SUBTOTAL(9,F87:F90)</f>
        <v>2.5825500687808263</v>
      </c>
      <c r="G83" s="81" t="s">
        <v>132</v>
      </c>
      <c r="I83" s="38">
        <f>I82+1</f>
        <v>2088</v>
      </c>
      <c r="J83" s="39"/>
      <c r="K83" s="39">
        <f>IF(I83&lt;&gt;"",K82+1,"")</f>
        <v>69</v>
      </c>
      <c r="L83" s="39"/>
      <c r="M83" s="40">
        <f t="shared" si="51"/>
        <v>0.13008628022096957</v>
      </c>
      <c r="N83" s="39"/>
      <c r="O83" s="72" t="str">
        <f t="shared" si="67"/>
        <v/>
      </c>
      <c r="P83" s="41" t="str">
        <f t="shared" si="52"/>
        <v/>
      </c>
      <c r="Q83" s="39"/>
      <c r="R83" s="72" t="str">
        <f t="shared" si="68"/>
        <v/>
      </c>
      <c r="S83" s="39"/>
      <c r="T83" s="72" t="str">
        <f t="shared" si="69"/>
        <v/>
      </c>
      <c r="U83" s="39"/>
      <c r="V83" s="72" t="str">
        <f t="shared" si="53"/>
        <v/>
      </c>
      <c r="W83" s="72" t="str">
        <f t="shared" si="70"/>
        <v/>
      </c>
      <c r="X83" s="39"/>
      <c r="Y83" s="72" t="str">
        <f t="shared" si="54"/>
        <v/>
      </c>
      <c r="Z83" s="72" t="str">
        <f t="shared" si="71"/>
        <v/>
      </c>
      <c r="AA83" s="39"/>
      <c r="AB83" s="72" t="str">
        <f t="shared" si="55"/>
        <v/>
      </c>
      <c r="AC83" s="72" t="str">
        <f t="shared" si="72"/>
        <v/>
      </c>
      <c r="AD83" s="39"/>
      <c r="AE83" s="72" t="str">
        <f t="shared" si="56"/>
        <v/>
      </c>
      <c r="AF83" s="72" t="str">
        <f t="shared" si="73"/>
        <v/>
      </c>
      <c r="AG83" s="39"/>
      <c r="AH83" s="72" t="str">
        <f t="shared" si="57"/>
        <v/>
      </c>
      <c r="AI83" s="72" t="str">
        <f t="shared" si="74"/>
        <v/>
      </c>
      <c r="AJ83" s="39"/>
      <c r="AK83" s="72" t="str">
        <f t="shared" si="75"/>
        <v/>
      </c>
      <c r="AL83" s="72" t="str">
        <f t="shared" si="76"/>
        <v/>
      </c>
      <c r="AM83" s="39"/>
      <c r="AN83" s="72" t="str">
        <f t="shared" si="58"/>
        <v/>
      </c>
      <c r="AO83" s="72" t="str">
        <f t="shared" si="77"/>
        <v/>
      </c>
      <c r="AP83" s="39"/>
      <c r="AQ83" s="72" t="str">
        <f t="shared" si="59"/>
        <v/>
      </c>
      <c r="AR83" s="72" t="str">
        <f t="shared" si="78"/>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60"/>
        <v/>
      </c>
      <c r="AW83" s="72" t="str">
        <f t="shared" si="61"/>
        <v/>
      </c>
      <c r="AX83" s="39"/>
      <c r="AY83" s="40" t="str">
        <f>IF(ISERROR(IF($K83&lt;=$F$15,VLOOKUP($I83,'表4）CO2価格'!$A$7:$E$67,VLOOKUP($F$48,'表4）CO2価格'!$H$10:$I$12,2,0),0)*$F$8/1000,"")),0,IF($K83&lt;=$F$15,VLOOKUP($I83,'表4）CO2価格'!$A$7:$E$67,VLOOKUP($F$48,'表4）CO2価格'!$H$10:$I$12,2,0),0)*$F$8/1000,""))</f>
        <v/>
      </c>
      <c r="AZ83" s="39"/>
      <c r="BA83" s="42" t="str">
        <f t="shared" si="62"/>
        <v/>
      </c>
      <c r="BB83" s="72" t="str">
        <f t="shared" si="79"/>
        <v/>
      </c>
      <c r="BC83" s="39"/>
      <c r="BD83" s="72" t="str">
        <f t="shared" si="63"/>
        <v/>
      </c>
      <c r="BE83" s="72" t="str">
        <f t="shared" si="80"/>
        <v/>
      </c>
      <c r="BF83" s="39"/>
      <c r="BG83" s="42" t="str">
        <f t="shared" si="64"/>
        <v/>
      </c>
      <c r="BH83" s="72" t="str">
        <f t="shared" si="81"/>
        <v/>
      </c>
      <c r="BI83" s="39"/>
      <c r="BJ83" s="40" t="str">
        <f t="shared" si="82"/>
        <v/>
      </c>
      <c r="BK83" s="157" t="str">
        <f t="shared" si="83"/>
        <v/>
      </c>
      <c r="BL83" s="157" t="str">
        <f t="shared" si="65"/>
        <v/>
      </c>
      <c r="BM83" s="72"/>
      <c r="BN83" s="72" t="str">
        <f t="shared" si="84"/>
        <v/>
      </c>
      <c r="BO83" s="72" t="str">
        <f t="shared" si="85"/>
        <v/>
      </c>
      <c r="BP83" s="39"/>
      <c r="BQ83" s="72" t="str">
        <f t="shared" si="66"/>
        <v/>
      </c>
      <c r="BR83" s="72" t="str">
        <f t="shared" si="86"/>
        <v/>
      </c>
    </row>
    <row r="84" spans="4:70" x14ac:dyDescent="0.15">
      <c r="F84" s="93"/>
      <c r="I84" s="322">
        <f t="shared" si="87"/>
        <v>2089</v>
      </c>
      <c r="J84" s="71"/>
      <c r="K84" s="71">
        <f t="shared" si="88"/>
        <v>70</v>
      </c>
      <c r="L84" s="71"/>
      <c r="M84" s="7">
        <f t="shared" si="51"/>
        <v>0.12629735943783454</v>
      </c>
      <c r="N84" s="71"/>
      <c r="O84" s="10" t="str">
        <f t="shared" si="67"/>
        <v/>
      </c>
      <c r="P84" s="29" t="str">
        <f t="shared" si="52"/>
        <v/>
      </c>
      <c r="Q84" s="71"/>
      <c r="R84" s="10" t="str">
        <f t="shared" si="68"/>
        <v/>
      </c>
      <c r="S84" s="71"/>
      <c r="T84" s="10" t="str">
        <f t="shared" si="69"/>
        <v/>
      </c>
      <c r="U84" s="71"/>
      <c r="V84" s="10" t="str">
        <f t="shared" si="53"/>
        <v/>
      </c>
      <c r="W84" s="10" t="str">
        <f t="shared" si="70"/>
        <v/>
      </c>
      <c r="X84" s="71"/>
      <c r="Y84" s="10" t="str">
        <f t="shared" si="54"/>
        <v/>
      </c>
      <c r="Z84" s="10" t="str">
        <f t="shared" si="71"/>
        <v/>
      </c>
      <c r="AA84" s="71"/>
      <c r="AB84" s="10" t="str">
        <f t="shared" si="55"/>
        <v/>
      </c>
      <c r="AC84" s="10" t="str">
        <f t="shared" si="72"/>
        <v/>
      </c>
      <c r="AD84" s="71"/>
      <c r="AE84" s="10" t="str">
        <f t="shared" si="56"/>
        <v/>
      </c>
      <c r="AF84" s="10" t="str">
        <f t="shared" si="73"/>
        <v/>
      </c>
      <c r="AG84" s="71"/>
      <c r="AH84" s="10" t="str">
        <f t="shared" si="57"/>
        <v/>
      </c>
      <c r="AI84" s="10" t="str">
        <f t="shared" si="74"/>
        <v/>
      </c>
      <c r="AJ84" s="71"/>
      <c r="AK84" s="10" t="str">
        <f t="shared" si="75"/>
        <v/>
      </c>
      <c r="AL84" s="10" t="str">
        <f t="shared" si="76"/>
        <v/>
      </c>
      <c r="AM84" s="71"/>
      <c r="AN84" s="10" t="str">
        <f t="shared" si="58"/>
        <v/>
      </c>
      <c r="AO84" s="10" t="str">
        <f t="shared" si="77"/>
        <v/>
      </c>
      <c r="AP84" s="71"/>
      <c r="AQ84" s="10" t="str">
        <f t="shared" si="59"/>
        <v/>
      </c>
      <c r="AR84" s="10" t="str">
        <f t="shared" si="78"/>
        <v/>
      </c>
      <c r="AS84" s="71"/>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U84" s="71"/>
      <c r="AV84" s="10" t="str">
        <f t="shared" si="60"/>
        <v/>
      </c>
      <c r="AW84" s="10" t="str">
        <f t="shared" si="61"/>
        <v/>
      </c>
      <c r="AX84" s="71"/>
      <c r="AY84" s="7" t="str">
        <f>IF(ISERROR(IF($K84&lt;=$F$15,VLOOKUP($I84,'表4）CO2価格'!$A$7:$E$67,VLOOKUP($F$48,'表4）CO2価格'!$H$10:$I$12,2,0),0)*$F$8/1000,"")),0,IF($K84&lt;=$F$15,VLOOKUP($I84,'表4）CO2価格'!$A$7:$E$67,VLOOKUP($F$48,'表4）CO2価格'!$H$10:$I$12,2,0),0)*$F$8/1000,""))</f>
        <v/>
      </c>
      <c r="AZ84" s="71"/>
      <c r="BA84" s="11" t="str">
        <f t="shared" si="62"/>
        <v/>
      </c>
      <c r="BB84" s="10" t="str">
        <f t="shared" si="79"/>
        <v/>
      </c>
      <c r="BC84" s="71"/>
      <c r="BD84" s="10" t="str">
        <f t="shared" si="63"/>
        <v/>
      </c>
      <c r="BE84" s="10" t="str">
        <f t="shared" si="80"/>
        <v/>
      </c>
      <c r="BF84" s="71"/>
      <c r="BG84" s="11" t="str">
        <f t="shared" si="64"/>
        <v/>
      </c>
      <c r="BH84" s="10" t="str">
        <f t="shared" si="81"/>
        <v/>
      </c>
      <c r="BJ84" s="7" t="str">
        <f t="shared" si="82"/>
        <v/>
      </c>
      <c r="BK84" s="158" t="str">
        <f t="shared" si="83"/>
        <v/>
      </c>
      <c r="BL84" s="158" t="str">
        <f t="shared" si="65"/>
        <v/>
      </c>
      <c r="BM84" s="10"/>
      <c r="BN84" s="10" t="str">
        <f t="shared" si="84"/>
        <v/>
      </c>
      <c r="BO84" s="10" t="str">
        <f t="shared" si="85"/>
        <v/>
      </c>
      <c r="BQ84" s="10" t="str">
        <f t="shared" si="66"/>
        <v/>
      </c>
      <c r="BR84" s="10" t="str">
        <f t="shared" si="86"/>
        <v/>
      </c>
    </row>
    <row r="85" spans="4:70" x14ac:dyDescent="0.15">
      <c r="D85" s="101" t="s">
        <v>195</v>
      </c>
      <c r="E85" s="113"/>
      <c r="F85" s="92"/>
      <c r="G85" s="101"/>
      <c r="I85" s="38">
        <f t="shared" si="87"/>
        <v>2090</v>
      </c>
      <c r="J85" s="39"/>
      <c r="K85" s="39">
        <f t="shared" si="88"/>
        <v>71</v>
      </c>
      <c r="L85" s="39"/>
      <c r="M85" s="40">
        <f t="shared" si="51"/>
        <v>0.12261879557071313</v>
      </c>
      <c r="N85" s="39"/>
      <c r="O85" s="72" t="str">
        <f t="shared" si="67"/>
        <v/>
      </c>
      <c r="P85" s="41" t="str">
        <f t="shared" si="52"/>
        <v/>
      </c>
      <c r="Q85" s="39"/>
      <c r="R85" s="72" t="str">
        <f t="shared" si="68"/>
        <v/>
      </c>
      <c r="S85" s="39"/>
      <c r="T85" s="72" t="str">
        <f t="shared" si="69"/>
        <v/>
      </c>
      <c r="U85" s="39"/>
      <c r="V85" s="72" t="str">
        <f t="shared" si="53"/>
        <v/>
      </c>
      <c r="W85" s="72" t="str">
        <f t="shared" si="70"/>
        <v/>
      </c>
      <c r="X85" s="39"/>
      <c r="Y85" s="72" t="str">
        <f t="shared" si="54"/>
        <v/>
      </c>
      <c r="Z85" s="72" t="str">
        <f t="shared" si="71"/>
        <v/>
      </c>
      <c r="AA85" s="39"/>
      <c r="AB85" s="72" t="str">
        <f t="shared" si="55"/>
        <v/>
      </c>
      <c r="AC85" s="72" t="str">
        <f t="shared" si="72"/>
        <v/>
      </c>
      <c r="AD85" s="39"/>
      <c r="AE85" s="72" t="str">
        <f t="shared" si="56"/>
        <v/>
      </c>
      <c r="AF85" s="72" t="str">
        <f t="shared" si="73"/>
        <v/>
      </c>
      <c r="AG85" s="39"/>
      <c r="AH85" s="72" t="str">
        <f t="shared" si="57"/>
        <v/>
      </c>
      <c r="AI85" s="72" t="str">
        <f t="shared" si="74"/>
        <v/>
      </c>
      <c r="AJ85" s="39"/>
      <c r="AK85" s="72" t="str">
        <f t="shared" si="75"/>
        <v/>
      </c>
      <c r="AL85" s="72" t="str">
        <f t="shared" si="76"/>
        <v/>
      </c>
      <c r="AM85" s="39"/>
      <c r="AN85" s="72" t="str">
        <f t="shared" si="58"/>
        <v/>
      </c>
      <c r="AO85" s="72" t="str">
        <f t="shared" si="77"/>
        <v/>
      </c>
      <c r="AP85" s="39"/>
      <c r="AQ85" s="72" t="str">
        <f t="shared" si="59"/>
        <v/>
      </c>
      <c r="AR85" s="72" t="str">
        <f t="shared" si="78"/>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60"/>
        <v/>
      </c>
      <c r="AW85" s="72" t="str">
        <f t="shared" si="61"/>
        <v/>
      </c>
      <c r="AX85" s="39"/>
      <c r="AY85" s="40" t="str">
        <f>IF(ISERROR(IF($K85&lt;=$F$15,VLOOKUP($I85,'表4）CO2価格'!$A$7:$E$67,VLOOKUP($F$48,'表4）CO2価格'!$H$10:$I$12,2,0),0)*$F$8/1000,"")),0,IF($K85&lt;=$F$15,VLOOKUP($I85,'表4）CO2価格'!$A$7:$E$67,VLOOKUP($F$48,'表4）CO2価格'!$H$10:$I$12,2,0),0)*$F$8/1000,""))</f>
        <v/>
      </c>
      <c r="AZ85" s="39"/>
      <c r="BA85" s="42" t="str">
        <f t="shared" si="62"/>
        <v/>
      </c>
      <c r="BB85" s="72" t="str">
        <f t="shared" si="79"/>
        <v/>
      </c>
      <c r="BC85" s="39"/>
      <c r="BD85" s="72" t="str">
        <f t="shared" si="63"/>
        <v/>
      </c>
      <c r="BE85" s="72" t="str">
        <f t="shared" si="80"/>
        <v/>
      </c>
      <c r="BF85" s="39"/>
      <c r="BG85" s="42" t="str">
        <f t="shared" si="64"/>
        <v/>
      </c>
      <c r="BH85" s="72" t="str">
        <f t="shared" si="81"/>
        <v/>
      </c>
      <c r="BI85" s="39"/>
      <c r="BJ85" s="40" t="str">
        <f t="shared" si="82"/>
        <v/>
      </c>
      <c r="BK85" s="157" t="str">
        <f t="shared" si="83"/>
        <v/>
      </c>
      <c r="BL85" s="157" t="str">
        <f t="shared" si="65"/>
        <v/>
      </c>
      <c r="BM85" s="72"/>
      <c r="BN85" s="72" t="str">
        <f t="shared" si="84"/>
        <v/>
      </c>
      <c r="BO85" s="72" t="str">
        <f t="shared" si="85"/>
        <v/>
      </c>
      <c r="BP85" s="39"/>
      <c r="BQ85" s="72" t="str">
        <f t="shared" si="66"/>
        <v/>
      </c>
      <c r="BR85" s="72" t="str">
        <f t="shared" si="86"/>
        <v/>
      </c>
    </row>
    <row r="86" spans="4:70" x14ac:dyDescent="0.15">
      <c r="F86" s="93"/>
      <c r="I86" s="322">
        <f t="shared" si="87"/>
        <v>2091</v>
      </c>
      <c r="J86" s="71"/>
      <c r="K86" s="71">
        <f t="shared" si="88"/>
        <v>72</v>
      </c>
      <c r="L86" s="71"/>
      <c r="M86" s="7">
        <f t="shared" si="51"/>
        <v>0.1190473743404982</v>
      </c>
      <c r="N86" s="71"/>
      <c r="O86" s="10" t="str">
        <f t="shared" si="67"/>
        <v/>
      </c>
      <c r="P86" s="29" t="str">
        <f t="shared" si="52"/>
        <v/>
      </c>
      <c r="Q86" s="71"/>
      <c r="R86" s="10" t="str">
        <f t="shared" si="68"/>
        <v/>
      </c>
      <c r="S86" s="71"/>
      <c r="T86" s="10" t="str">
        <f t="shared" si="69"/>
        <v/>
      </c>
      <c r="U86" s="71"/>
      <c r="V86" s="10" t="str">
        <f t="shared" si="53"/>
        <v/>
      </c>
      <c r="W86" s="10" t="str">
        <f t="shared" si="70"/>
        <v/>
      </c>
      <c r="X86" s="71"/>
      <c r="Y86" s="10" t="str">
        <f t="shared" si="54"/>
        <v/>
      </c>
      <c r="Z86" s="10" t="str">
        <f t="shared" si="71"/>
        <v/>
      </c>
      <c r="AA86" s="71"/>
      <c r="AB86" s="10" t="str">
        <f t="shared" si="55"/>
        <v/>
      </c>
      <c r="AC86" s="10" t="str">
        <f t="shared" si="72"/>
        <v/>
      </c>
      <c r="AD86" s="71"/>
      <c r="AE86" s="10" t="str">
        <f t="shared" si="56"/>
        <v/>
      </c>
      <c r="AF86" s="10" t="str">
        <f t="shared" si="73"/>
        <v/>
      </c>
      <c r="AG86" s="71"/>
      <c r="AH86" s="10" t="str">
        <f t="shared" si="57"/>
        <v/>
      </c>
      <c r="AI86" s="10" t="str">
        <f t="shared" si="74"/>
        <v/>
      </c>
      <c r="AJ86" s="71"/>
      <c r="AK86" s="10" t="str">
        <f t="shared" si="75"/>
        <v/>
      </c>
      <c r="AL86" s="10" t="str">
        <f t="shared" si="76"/>
        <v/>
      </c>
      <c r="AM86" s="71"/>
      <c r="AN86" s="10" t="str">
        <f t="shared" si="58"/>
        <v/>
      </c>
      <c r="AO86" s="10" t="str">
        <f t="shared" si="77"/>
        <v/>
      </c>
      <c r="AP86" s="71"/>
      <c r="AQ86" s="10" t="str">
        <f t="shared" si="59"/>
        <v/>
      </c>
      <c r="AR86" s="10" t="str">
        <f t="shared" si="78"/>
        <v/>
      </c>
      <c r="AS86" s="71"/>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U86" s="71"/>
      <c r="AV86" s="10" t="str">
        <f t="shared" si="60"/>
        <v/>
      </c>
      <c r="AW86" s="10" t="str">
        <f t="shared" si="61"/>
        <v/>
      </c>
      <c r="AX86" s="71"/>
      <c r="AY86" s="7" t="str">
        <f>IF(ISERROR(IF($K86&lt;=$F$15,VLOOKUP($I86,'表4）CO2価格'!$A$7:$E$67,VLOOKUP($F$48,'表4）CO2価格'!$H$10:$I$12,2,0),0)*$F$8/1000,"")),0,IF($K86&lt;=$F$15,VLOOKUP($I86,'表4）CO2価格'!$A$7:$E$67,VLOOKUP($F$48,'表4）CO2価格'!$H$10:$I$12,2,0),0)*$F$8/1000,""))</f>
        <v/>
      </c>
      <c r="AZ86" s="71"/>
      <c r="BA86" s="11" t="str">
        <f t="shared" si="62"/>
        <v/>
      </c>
      <c r="BB86" s="10" t="str">
        <f t="shared" si="79"/>
        <v/>
      </c>
      <c r="BC86" s="71"/>
      <c r="BD86" s="10" t="str">
        <f t="shared" si="63"/>
        <v/>
      </c>
      <c r="BE86" s="10" t="str">
        <f t="shared" si="80"/>
        <v/>
      </c>
      <c r="BF86" s="71"/>
      <c r="BG86" s="11" t="str">
        <f t="shared" si="64"/>
        <v/>
      </c>
      <c r="BH86" s="10" t="str">
        <f t="shared" si="81"/>
        <v/>
      </c>
      <c r="BJ86" s="7" t="str">
        <f t="shared" si="82"/>
        <v/>
      </c>
      <c r="BK86" s="158" t="str">
        <f t="shared" si="83"/>
        <v/>
      </c>
      <c r="BL86" s="158" t="str">
        <f t="shared" si="65"/>
        <v/>
      </c>
      <c r="BM86" s="10"/>
      <c r="BN86" s="10" t="str">
        <f t="shared" si="84"/>
        <v/>
      </c>
      <c r="BO86" s="10" t="str">
        <f t="shared" si="85"/>
        <v/>
      </c>
      <c r="BQ86" s="10" t="str">
        <f t="shared" si="66"/>
        <v/>
      </c>
      <c r="BR86" s="10" t="str">
        <f t="shared" si="86"/>
        <v/>
      </c>
    </row>
    <row r="87" spans="4:70" x14ac:dyDescent="0.15">
      <c r="E87" s="81" t="s">
        <v>141</v>
      </c>
      <c r="F87" s="91">
        <f>AI116/$BR$116</f>
        <v>0</v>
      </c>
      <c r="G87" s="81" t="s">
        <v>132</v>
      </c>
      <c r="I87" s="38">
        <f t="shared" si="87"/>
        <v>2092</v>
      </c>
      <c r="J87" s="39"/>
      <c r="K87" s="39">
        <f t="shared" si="88"/>
        <v>73</v>
      </c>
      <c r="L87" s="39"/>
      <c r="M87" s="40">
        <f t="shared" si="51"/>
        <v>0.11557997508786232</v>
      </c>
      <c r="N87" s="39"/>
      <c r="O87" s="72" t="str">
        <f t="shared" si="67"/>
        <v/>
      </c>
      <c r="P87" s="41" t="str">
        <f t="shared" si="52"/>
        <v/>
      </c>
      <c r="Q87" s="39"/>
      <c r="R87" s="72" t="str">
        <f t="shared" si="68"/>
        <v/>
      </c>
      <c r="S87" s="39"/>
      <c r="T87" s="72" t="str">
        <f t="shared" si="69"/>
        <v/>
      </c>
      <c r="U87" s="39"/>
      <c r="V87" s="72" t="str">
        <f t="shared" si="53"/>
        <v/>
      </c>
      <c r="W87" s="72" t="str">
        <f t="shared" si="70"/>
        <v/>
      </c>
      <c r="X87" s="39"/>
      <c r="Y87" s="72" t="str">
        <f t="shared" si="54"/>
        <v/>
      </c>
      <c r="Z87" s="72" t="str">
        <f t="shared" si="71"/>
        <v/>
      </c>
      <c r="AA87" s="39"/>
      <c r="AB87" s="72" t="str">
        <f t="shared" si="55"/>
        <v/>
      </c>
      <c r="AC87" s="72" t="str">
        <f t="shared" si="72"/>
        <v/>
      </c>
      <c r="AD87" s="39"/>
      <c r="AE87" s="72" t="str">
        <f t="shared" si="56"/>
        <v/>
      </c>
      <c r="AF87" s="72" t="str">
        <f t="shared" si="73"/>
        <v/>
      </c>
      <c r="AG87" s="39"/>
      <c r="AH87" s="72" t="str">
        <f t="shared" si="57"/>
        <v/>
      </c>
      <c r="AI87" s="72" t="str">
        <f t="shared" si="74"/>
        <v/>
      </c>
      <c r="AJ87" s="39"/>
      <c r="AK87" s="72" t="str">
        <f t="shared" si="75"/>
        <v/>
      </c>
      <c r="AL87" s="72" t="str">
        <f t="shared" si="76"/>
        <v/>
      </c>
      <c r="AM87" s="39"/>
      <c r="AN87" s="72" t="str">
        <f t="shared" si="58"/>
        <v/>
      </c>
      <c r="AO87" s="72" t="str">
        <f t="shared" si="77"/>
        <v/>
      </c>
      <c r="AP87" s="39"/>
      <c r="AQ87" s="72" t="str">
        <f t="shared" si="59"/>
        <v/>
      </c>
      <c r="AR87" s="72" t="str">
        <f t="shared" si="78"/>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60"/>
        <v/>
      </c>
      <c r="AW87" s="72" t="str">
        <f t="shared" si="61"/>
        <v/>
      </c>
      <c r="AX87" s="39"/>
      <c r="AY87" s="40" t="str">
        <f>IF(ISERROR(IF($K87&lt;=$F$15,VLOOKUP($I87,'表4）CO2価格'!$A$7:$E$67,VLOOKUP($F$48,'表4）CO2価格'!$H$10:$I$12,2,0),0)*$F$8/1000,"")),0,IF($K87&lt;=$F$15,VLOOKUP($I87,'表4）CO2価格'!$A$7:$E$67,VLOOKUP($F$48,'表4）CO2価格'!$H$10:$I$12,2,0),0)*$F$8/1000,""))</f>
        <v/>
      </c>
      <c r="AZ87" s="39"/>
      <c r="BA87" s="42" t="str">
        <f t="shared" si="62"/>
        <v/>
      </c>
      <c r="BB87" s="72" t="str">
        <f t="shared" si="79"/>
        <v/>
      </c>
      <c r="BC87" s="39"/>
      <c r="BD87" s="72" t="str">
        <f t="shared" si="63"/>
        <v/>
      </c>
      <c r="BE87" s="72" t="str">
        <f t="shared" si="80"/>
        <v/>
      </c>
      <c r="BF87" s="39"/>
      <c r="BG87" s="42" t="str">
        <f t="shared" si="64"/>
        <v/>
      </c>
      <c r="BH87" s="72" t="str">
        <f t="shared" si="81"/>
        <v/>
      </c>
      <c r="BI87" s="39"/>
      <c r="BJ87" s="40" t="str">
        <f t="shared" si="82"/>
        <v/>
      </c>
      <c r="BK87" s="157" t="str">
        <f t="shared" si="83"/>
        <v/>
      </c>
      <c r="BL87" s="157" t="str">
        <f t="shared" si="65"/>
        <v/>
      </c>
      <c r="BM87" s="72"/>
      <c r="BN87" s="72" t="str">
        <f t="shared" si="84"/>
        <v/>
      </c>
      <c r="BO87" s="72" t="str">
        <f t="shared" si="85"/>
        <v/>
      </c>
      <c r="BP87" s="39"/>
      <c r="BQ87" s="72" t="str">
        <f t="shared" si="66"/>
        <v/>
      </c>
      <c r="BR87" s="72" t="str">
        <f t="shared" si="86"/>
        <v/>
      </c>
    </row>
    <row r="88" spans="4:70" x14ac:dyDescent="0.15">
      <c r="E88" s="81" t="s">
        <v>120</v>
      </c>
      <c r="F88" s="91">
        <f>AL116/$BR$116</f>
        <v>2.5825500687808263</v>
      </c>
      <c r="G88" s="81" t="s">
        <v>132</v>
      </c>
      <c r="I88" s="322">
        <f t="shared" si="87"/>
        <v>2093</v>
      </c>
      <c r="J88" s="71"/>
      <c r="K88" s="71">
        <f t="shared" si="88"/>
        <v>74</v>
      </c>
      <c r="L88" s="71"/>
      <c r="M88" s="7">
        <f t="shared" si="51"/>
        <v>0.11221356804646829</v>
      </c>
      <c r="N88" s="71"/>
      <c r="O88" s="10" t="str">
        <f t="shared" si="67"/>
        <v/>
      </c>
      <c r="P88" s="29" t="str">
        <f t="shared" si="52"/>
        <v/>
      </c>
      <c r="Q88" s="71"/>
      <c r="R88" s="10" t="str">
        <f t="shared" si="68"/>
        <v/>
      </c>
      <c r="S88" s="71"/>
      <c r="T88" s="10" t="str">
        <f t="shared" si="69"/>
        <v/>
      </c>
      <c r="U88" s="71"/>
      <c r="V88" s="10" t="str">
        <f t="shared" si="53"/>
        <v/>
      </c>
      <c r="W88" s="10" t="str">
        <f t="shared" si="70"/>
        <v/>
      </c>
      <c r="X88" s="71"/>
      <c r="Y88" s="10" t="str">
        <f t="shared" si="54"/>
        <v/>
      </c>
      <c r="Z88" s="10" t="str">
        <f t="shared" si="71"/>
        <v/>
      </c>
      <c r="AA88" s="71"/>
      <c r="AB88" s="10" t="str">
        <f t="shared" si="55"/>
        <v/>
      </c>
      <c r="AC88" s="10" t="str">
        <f t="shared" si="72"/>
        <v/>
      </c>
      <c r="AD88" s="71"/>
      <c r="AE88" s="10" t="str">
        <f t="shared" si="56"/>
        <v/>
      </c>
      <c r="AF88" s="10" t="str">
        <f t="shared" si="73"/>
        <v/>
      </c>
      <c r="AG88" s="71"/>
      <c r="AH88" s="10" t="str">
        <f t="shared" si="57"/>
        <v/>
      </c>
      <c r="AI88" s="10" t="str">
        <f t="shared" si="74"/>
        <v/>
      </c>
      <c r="AJ88" s="71"/>
      <c r="AK88" s="10" t="str">
        <f t="shared" si="75"/>
        <v/>
      </c>
      <c r="AL88" s="10" t="str">
        <f t="shared" si="76"/>
        <v/>
      </c>
      <c r="AM88" s="71"/>
      <c r="AN88" s="10" t="str">
        <f t="shared" si="58"/>
        <v/>
      </c>
      <c r="AO88" s="10" t="str">
        <f t="shared" si="77"/>
        <v/>
      </c>
      <c r="AP88" s="71"/>
      <c r="AQ88" s="10" t="str">
        <f t="shared" si="59"/>
        <v/>
      </c>
      <c r="AR88" s="10" t="str">
        <f t="shared" si="78"/>
        <v/>
      </c>
      <c r="AS88" s="71"/>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U88" s="71"/>
      <c r="AV88" s="10" t="str">
        <f t="shared" si="60"/>
        <v/>
      </c>
      <c r="AW88" s="10" t="str">
        <f t="shared" si="61"/>
        <v/>
      </c>
      <c r="AX88" s="71"/>
      <c r="AY88" s="7" t="str">
        <f>IF(ISERROR(IF($K88&lt;=$F$15,VLOOKUP($I88,'表4）CO2価格'!$A$7:$E$67,VLOOKUP($F$48,'表4）CO2価格'!$H$10:$I$12,2,0),0)*$F$8/1000,"")),0,IF($K88&lt;=$F$15,VLOOKUP($I88,'表4）CO2価格'!$A$7:$E$67,VLOOKUP($F$48,'表4）CO2価格'!$H$10:$I$12,2,0),0)*$F$8/1000,""))</f>
        <v/>
      </c>
      <c r="AZ88" s="71"/>
      <c r="BA88" s="11" t="str">
        <f t="shared" si="62"/>
        <v/>
      </c>
      <c r="BB88" s="10" t="str">
        <f t="shared" si="79"/>
        <v/>
      </c>
      <c r="BC88" s="71"/>
      <c r="BD88" s="10" t="str">
        <f t="shared" si="63"/>
        <v/>
      </c>
      <c r="BE88" s="10" t="str">
        <f t="shared" si="80"/>
        <v/>
      </c>
      <c r="BF88" s="71"/>
      <c r="BG88" s="11" t="str">
        <f t="shared" si="64"/>
        <v/>
      </c>
      <c r="BH88" s="10" t="str">
        <f t="shared" si="81"/>
        <v/>
      </c>
      <c r="BJ88" s="7" t="str">
        <f t="shared" si="82"/>
        <v/>
      </c>
      <c r="BK88" s="158" t="str">
        <f t="shared" si="83"/>
        <v/>
      </c>
      <c r="BL88" s="158" t="str">
        <f t="shared" si="65"/>
        <v/>
      </c>
      <c r="BM88" s="10"/>
      <c r="BN88" s="10" t="str">
        <f t="shared" si="84"/>
        <v/>
      </c>
      <c r="BO88" s="10" t="str">
        <f t="shared" si="85"/>
        <v/>
      </c>
      <c r="BQ88" s="10" t="str">
        <f t="shared" si="66"/>
        <v/>
      </c>
      <c r="BR88" s="10" t="str">
        <f t="shared" si="86"/>
        <v/>
      </c>
    </row>
    <row r="89" spans="4:70" x14ac:dyDescent="0.15">
      <c r="E89" s="81" t="s">
        <v>122</v>
      </c>
      <c r="F89" s="91">
        <f>AO116/$BR$116</f>
        <v>0</v>
      </c>
      <c r="G89" s="81" t="s">
        <v>132</v>
      </c>
      <c r="I89" s="38">
        <f t="shared" si="87"/>
        <v>2094</v>
      </c>
      <c r="J89" s="39"/>
      <c r="K89" s="39">
        <f t="shared" si="88"/>
        <v>75</v>
      </c>
      <c r="L89" s="39"/>
      <c r="M89" s="40">
        <f t="shared" si="51"/>
        <v>0.10894521169560026</v>
      </c>
      <c r="N89" s="39"/>
      <c r="O89" s="72" t="str">
        <f t="shared" si="67"/>
        <v/>
      </c>
      <c r="P89" s="41" t="str">
        <f t="shared" si="52"/>
        <v/>
      </c>
      <c r="Q89" s="39"/>
      <c r="R89" s="72" t="str">
        <f t="shared" si="68"/>
        <v/>
      </c>
      <c r="S89" s="39"/>
      <c r="T89" s="72" t="str">
        <f t="shared" si="69"/>
        <v/>
      </c>
      <c r="U89" s="39"/>
      <c r="V89" s="72" t="str">
        <f t="shared" si="53"/>
        <v/>
      </c>
      <c r="W89" s="72" t="str">
        <f t="shared" si="70"/>
        <v/>
      </c>
      <c r="X89" s="39"/>
      <c r="Y89" s="72" t="str">
        <f t="shared" si="54"/>
        <v/>
      </c>
      <c r="Z89" s="72" t="str">
        <f t="shared" si="71"/>
        <v/>
      </c>
      <c r="AA89" s="39"/>
      <c r="AB89" s="72" t="str">
        <f t="shared" si="55"/>
        <v/>
      </c>
      <c r="AC89" s="72" t="str">
        <f t="shared" si="72"/>
        <v/>
      </c>
      <c r="AD89" s="39"/>
      <c r="AE89" s="72" t="str">
        <f t="shared" si="56"/>
        <v/>
      </c>
      <c r="AF89" s="72" t="str">
        <f t="shared" si="73"/>
        <v/>
      </c>
      <c r="AG89" s="39"/>
      <c r="AH89" s="72" t="str">
        <f t="shared" si="57"/>
        <v/>
      </c>
      <c r="AI89" s="72" t="str">
        <f t="shared" si="74"/>
        <v/>
      </c>
      <c r="AJ89" s="39"/>
      <c r="AK89" s="72" t="str">
        <f t="shared" si="75"/>
        <v/>
      </c>
      <c r="AL89" s="72" t="str">
        <f t="shared" si="76"/>
        <v/>
      </c>
      <c r="AM89" s="39"/>
      <c r="AN89" s="72" t="str">
        <f t="shared" si="58"/>
        <v/>
      </c>
      <c r="AO89" s="72" t="str">
        <f t="shared" si="77"/>
        <v/>
      </c>
      <c r="AP89" s="39"/>
      <c r="AQ89" s="72" t="str">
        <f t="shared" si="59"/>
        <v/>
      </c>
      <c r="AR89" s="72" t="str">
        <f t="shared" si="78"/>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60"/>
        <v/>
      </c>
      <c r="AW89" s="72" t="str">
        <f t="shared" si="61"/>
        <v/>
      </c>
      <c r="AX89" s="39"/>
      <c r="AY89" s="40" t="str">
        <f>IF(ISERROR(IF($K89&lt;=$F$15,VLOOKUP($I89,'表4）CO2価格'!$A$7:$E$67,VLOOKUP($F$48,'表4）CO2価格'!$H$10:$I$12,2,0),0)*$F$8/1000,"")),0,IF($K89&lt;=$F$15,VLOOKUP($I89,'表4）CO2価格'!$A$7:$E$67,VLOOKUP($F$48,'表4）CO2価格'!$H$10:$I$12,2,0),0)*$F$8/1000,""))</f>
        <v/>
      </c>
      <c r="AZ89" s="39"/>
      <c r="BA89" s="42" t="str">
        <f t="shared" si="62"/>
        <v/>
      </c>
      <c r="BB89" s="72" t="str">
        <f t="shared" si="79"/>
        <v/>
      </c>
      <c r="BC89" s="39"/>
      <c r="BD89" s="72" t="str">
        <f t="shared" si="63"/>
        <v/>
      </c>
      <c r="BE89" s="72" t="str">
        <f t="shared" si="80"/>
        <v/>
      </c>
      <c r="BF89" s="39"/>
      <c r="BG89" s="42" t="str">
        <f t="shared" si="64"/>
        <v/>
      </c>
      <c r="BH89" s="72" t="str">
        <f t="shared" si="81"/>
        <v/>
      </c>
      <c r="BI89" s="39"/>
      <c r="BJ89" s="40" t="str">
        <f t="shared" si="82"/>
        <v/>
      </c>
      <c r="BK89" s="157" t="str">
        <f t="shared" si="83"/>
        <v/>
      </c>
      <c r="BL89" s="157" t="str">
        <f t="shared" si="65"/>
        <v/>
      </c>
      <c r="BM89" s="72"/>
      <c r="BN89" s="72" t="str">
        <f t="shared" si="84"/>
        <v/>
      </c>
      <c r="BO89" s="72" t="str">
        <f t="shared" si="85"/>
        <v/>
      </c>
      <c r="BP89" s="39"/>
      <c r="BQ89" s="72" t="str">
        <f t="shared" si="66"/>
        <v/>
      </c>
      <c r="BR89" s="72" t="str">
        <f t="shared" si="86"/>
        <v/>
      </c>
    </row>
    <row r="90" spans="4:70" x14ac:dyDescent="0.15">
      <c r="E90" s="81" t="s">
        <v>142</v>
      </c>
      <c r="F90" s="91">
        <f>AR116/$BR$116</f>
        <v>0</v>
      </c>
      <c r="G90" s="81" t="s">
        <v>132</v>
      </c>
      <c r="I90" s="322">
        <f t="shared" si="87"/>
        <v>2095</v>
      </c>
      <c r="J90" s="71"/>
      <c r="K90" s="71">
        <f t="shared" si="88"/>
        <v>76</v>
      </c>
      <c r="L90" s="71"/>
      <c r="M90" s="7">
        <f t="shared" si="51"/>
        <v>0.10577205018990318</v>
      </c>
      <c r="N90" s="71"/>
      <c r="O90" s="10" t="str">
        <f t="shared" si="67"/>
        <v/>
      </c>
      <c r="P90" s="29" t="str">
        <f t="shared" si="52"/>
        <v/>
      </c>
      <c r="Q90" s="71"/>
      <c r="R90" s="10" t="str">
        <f t="shared" si="68"/>
        <v/>
      </c>
      <c r="S90" s="71"/>
      <c r="T90" s="10" t="str">
        <f t="shared" si="69"/>
        <v/>
      </c>
      <c r="U90" s="71"/>
      <c r="V90" s="10" t="str">
        <f t="shared" si="53"/>
        <v/>
      </c>
      <c r="W90" s="10" t="str">
        <f t="shared" si="70"/>
        <v/>
      </c>
      <c r="X90" s="71"/>
      <c r="Y90" s="10" t="str">
        <f t="shared" si="54"/>
        <v/>
      </c>
      <c r="Z90" s="10" t="str">
        <f t="shared" si="71"/>
        <v/>
      </c>
      <c r="AA90" s="71"/>
      <c r="AB90" s="10" t="str">
        <f t="shared" si="55"/>
        <v/>
      </c>
      <c r="AC90" s="10" t="str">
        <f t="shared" si="72"/>
        <v/>
      </c>
      <c r="AD90" s="71"/>
      <c r="AE90" s="10" t="str">
        <f t="shared" si="56"/>
        <v/>
      </c>
      <c r="AF90" s="10" t="str">
        <f t="shared" si="73"/>
        <v/>
      </c>
      <c r="AG90" s="71"/>
      <c r="AH90" s="10" t="str">
        <f t="shared" si="57"/>
        <v/>
      </c>
      <c r="AI90" s="10" t="str">
        <f t="shared" si="74"/>
        <v/>
      </c>
      <c r="AJ90" s="71"/>
      <c r="AK90" s="10" t="str">
        <f t="shared" si="75"/>
        <v/>
      </c>
      <c r="AL90" s="10" t="str">
        <f t="shared" si="76"/>
        <v/>
      </c>
      <c r="AM90" s="71"/>
      <c r="AN90" s="10" t="str">
        <f t="shared" si="58"/>
        <v/>
      </c>
      <c r="AO90" s="10" t="str">
        <f t="shared" si="77"/>
        <v/>
      </c>
      <c r="AP90" s="71"/>
      <c r="AQ90" s="10" t="str">
        <f t="shared" si="59"/>
        <v/>
      </c>
      <c r="AR90" s="10" t="str">
        <f t="shared" si="78"/>
        <v/>
      </c>
      <c r="AS90" s="71"/>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U90" s="71"/>
      <c r="AV90" s="10" t="str">
        <f t="shared" si="60"/>
        <v/>
      </c>
      <c r="AW90" s="10" t="str">
        <f t="shared" si="61"/>
        <v/>
      </c>
      <c r="AX90" s="71"/>
      <c r="AY90" s="7" t="str">
        <f>IF(ISERROR(IF($K90&lt;=$F$15,VLOOKUP($I90,'表4）CO2価格'!$A$7:$E$67,VLOOKUP($F$48,'表4）CO2価格'!$H$10:$I$12,2,0),0)*$F$8/1000,"")),0,IF($K90&lt;=$F$15,VLOOKUP($I90,'表4）CO2価格'!$A$7:$E$67,VLOOKUP($F$48,'表4）CO2価格'!$H$10:$I$12,2,0),0)*$F$8/1000,""))</f>
        <v/>
      </c>
      <c r="AZ90" s="71"/>
      <c r="BA90" s="11" t="str">
        <f t="shared" si="62"/>
        <v/>
      </c>
      <c r="BB90" s="10" t="str">
        <f t="shared" si="79"/>
        <v/>
      </c>
      <c r="BC90" s="71"/>
      <c r="BD90" s="10" t="str">
        <f t="shared" si="63"/>
        <v/>
      </c>
      <c r="BE90" s="10" t="str">
        <f t="shared" si="80"/>
        <v/>
      </c>
      <c r="BF90" s="71"/>
      <c r="BG90" s="11" t="str">
        <f t="shared" si="64"/>
        <v/>
      </c>
      <c r="BH90" s="10" t="str">
        <f t="shared" si="81"/>
        <v/>
      </c>
      <c r="BJ90" s="7" t="str">
        <f t="shared" si="82"/>
        <v/>
      </c>
      <c r="BK90" s="158" t="str">
        <f t="shared" si="83"/>
        <v/>
      </c>
      <c r="BL90" s="158" t="str">
        <f t="shared" si="65"/>
        <v/>
      </c>
      <c r="BM90" s="10"/>
      <c r="BN90" s="10" t="str">
        <f t="shared" si="84"/>
        <v/>
      </c>
      <c r="BO90" s="10" t="str">
        <f t="shared" si="85"/>
        <v/>
      </c>
      <c r="BQ90" s="10" t="str">
        <f t="shared" si="66"/>
        <v/>
      </c>
      <c r="BR90" s="10" t="str">
        <f t="shared" si="86"/>
        <v/>
      </c>
    </row>
    <row r="91" spans="4:70" x14ac:dyDescent="0.15">
      <c r="F91" s="93"/>
      <c r="I91" s="38">
        <f t="shared" si="87"/>
        <v>2096</v>
      </c>
      <c r="J91" s="39"/>
      <c r="K91" s="39">
        <f t="shared" si="88"/>
        <v>77</v>
      </c>
      <c r="L91" s="39"/>
      <c r="M91" s="40">
        <f t="shared" si="51"/>
        <v>0.10269131086398368</v>
      </c>
      <c r="N91" s="39"/>
      <c r="O91" s="72" t="str">
        <f t="shared" si="67"/>
        <v/>
      </c>
      <c r="P91" s="41" t="str">
        <f t="shared" si="52"/>
        <v/>
      </c>
      <c r="Q91" s="39"/>
      <c r="R91" s="72" t="str">
        <f t="shared" si="68"/>
        <v/>
      </c>
      <c r="S91" s="39"/>
      <c r="T91" s="72" t="str">
        <f t="shared" si="69"/>
        <v/>
      </c>
      <c r="U91" s="39"/>
      <c r="V91" s="72" t="str">
        <f t="shared" si="53"/>
        <v/>
      </c>
      <c r="W91" s="72" t="str">
        <f t="shared" si="70"/>
        <v/>
      </c>
      <c r="X91" s="39"/>
      <c r="Y91" s="72" t="str">
        <f t="shared" si="54"/>
        <v/>
      </c>
      <c r="Z91" s="72" t="str">
        <f t="shared" si="71"/>
        <v/>
      </c>
      <c r="AA91" s="39"/>
      <c r="AB91" s="72" t="str">
        <f t="shared" si="55"/>
        <v/>
      </c>
      <c r="AC91" s="72" t="str">
        <f t="shared" si="72"/>
        <v/>
      </c>
      <c r="AD91" s="39"/>
      <c r="AE91" s="72" t="str">
        <f t="shared" si="56"/>
        <v/>
      </c>
      <c r="AF91" s="72" t="str">
        <f t="shared" si="73"/>
        <v/>
      </c>
      <c r="AG91" s="39"/>
      <c r="AH91" s="72" t="str">
        <f t="shared" si="57"/>
        <v/>
      </c>
      <c r="AI91" s="72" t="str">
        <f t="shared" si="74"/>
        <v/>
      </c>
      <c r="AJ91" s="39"/>
      <c r="AK91" s="72" t="str">
        <f t="shared" si="75"/>
        <v/>
      </c>
      <c r="AL91" s="72" t="str">
        <f t="shared" si="76"/>
        <v/>
      </c>
      <c r="AM91" s="39"/>
      <c r="AN91" s="72" t="str">
        <f t="shared" si="58"/>
        <v/>
      </c>
      <c r="AO91" s="72" t="str">
        <f t="shared" si="77"/>
        <v/>
      </c>
      <c r="AP91" s="39"/>
      <c r="AQ91" s="72" t="str">
        <f t="shared" si="59"/>
        <v/>
      </c>
      <c r="AR91" s="72" t="str">
        <f t="shared" si="78"/>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60"/>
        <v/>
      </c>
      <c r="AW91" s="72" t="str">
        <f t="shared" si="61"/>
        <v/>
      </c>
      <c r="AX91" s="39"/>
      <c r="AY91" s="40" t="str">
        <f>IF(ISERROR(IF($K91&lt;=$F$15,VLOOKUP($I91,'表4）CO2価格'!$A$7:$E$67,VLOOKUP($F$48,'表4）CO2価格'!$H$10:$I$12,2,0),0)*$F$8/1000,"")),0,IF($K91&lt;=$F$15,VLOOKUP($I91,'表4）CO2価格'!$A$7:$E$67,VLOOKUP($F$48,'表4）CO2価格'!$H$10:$I$12,2,0),0)*$F$8/1000,""))</f>
        <v/>
      </c>
      <c r="AZ91" s="39"/>
      <c r="BA91" s="42" t="str">
        <f t="shared" si="62"/>
        <v/>
      </c>
      <c r="BB91" s="72" t="str">
        <f t="shared" si="79"/>
        <v/>
      </c>
      <c r="BC91" s="39"/>
      <c r="BD91" s="72" t="str">
        <f t="shared" si="63"/>
        <v/>
      </c>
      <c r="BE91" s="72" t="str">
        <f t="shared" si="80"/>
        <v/>
      </c>
      <c r="BF91" s="39"/>
      <c r="BG91" s="42" t="str">
        <f t="shared" si="64"/>
        <v/>
      </c>
      <c r="BH91" s="72" t="str">
        <f t="shared" si="81"/>
        <v/>
      </c>
      <c r="BI91" s="39"/>
      <c r="BJ91" s="40" t="str">
        <f t="shared" si="82"/>
        <v/>
      </c>
      <c r="BK91" s="157" t="str">
        <f t="shared" si="83"/>
        <v/>
      </c>
      <c r="BL91" s="157" t="str">
        <f t="shared" si="65"/>
        <v/>
      </c>
      <c r="BM91" s="72"/>
      <c r="BN91" s="72" t="str">
        <f t="shared" si="84"/>
        <v/>
      </c>
      <c r="BO91" s="72" t="str">
        <f t="shared" si="85"/>
        <v/>
      </c>
      <c r="BP91" s="39"/>
      <c r="BQ91" s="72" t="str">
        <f t="shared" si="66"/>
        <v/>
      </c>
      <c r="BR91" s="72" t="str">
        <f t="shared" si="86"/>
        <v/>
      </c>
    </row>
    <row r="92" spans="4:70" ht="15" x14ac:dyDescent="0.15">
      <c r="D92" s="116" t="s">
        <v>196</v>
      </c>
      <c r="F92" s="94">
        <f>SUBTOTAL(9,F96:F97)</f>
        <v>16.808993664303127</v>
      </c>
      <c r="I92" s="322">
        <f t="shared" si="87"/>
        <v>2097</v>
      </c>
      <c r="J92" s="71"/>
      <c r="K92" s="71">
        <f t="shared" si="88"/>
        <v>78</v>
      </c>
      <c r="L92" s="71"/>
      <c r="M92" s="7">
        <f t="shared" si="51"/>
        <v>9.9700301809692873E-2</v>
      </c>
      <c r="N92" s="71"/>
      <c r="O92" s="10" t="str">
        <f t="shared" si="67"/>
        <v/>
      </c>
      <c r="P92" s="29" t="str">
        <f t="shared" si="52"/>
        <v/>
      </c>
      <c r="Q92" s="71"/>
      <c r="R92" s="10" t="str">
        <f t="shared" si="68"/>
        <v/>
      </c>
      <c r="S92" s="71"/>
      <c r="T92" s="10" t="str">
        <f t="shared" si="69"/>
        <v/>
      </c>
      <c r="U92" s="71"/>
      <c r="V92" s="10" t="str">
        <f t="shared" si="53"/>
        <v/>
      </c>
      <c r="W92" s="10" t="str">
        <f t="shared" si="70"/>
        <v/>
      </c>
      <c r="X92" s="71"/>
      <c r="Y92" s="10" t="str">
        <f t="shared" si="54"/>
        <v/>
      </c>
      <c r="Z92" s="10" t="str">
        <f t="shared" si="71"/>
        <v/>
      </c>
      <c r="AA92" s="71"/>
      <c r="AB92" s="10" t="str">
        <f t="shared" si="55"/>
        <v/>
      </c>
      <c r="AC92" s="10" t="str">
        <f t="shared" si="72"/>
        <v/>
      </c>
      <c r="AD92" s="71"/>
      <c r="AE92" s="10" t="str">
        <f t="shared" si="56"/>
        <v/>
      </c>
      <c r="AF92" s="10" t="str">
        <f t="shared" si="73"/>
        <v/>
      </c>
      <c r="AG92" s="71"/>
      <c r="AH92" s="10" t="str">
        <f t="shared" si="57"/>
        <v/>
      </c>
      <c r="AI92" s="10" t="str">
        <f t="shared" si="74"/>
        <v/>
      </c>
      <c r="AJ92" s="71"/>
      <c r="AK92" s="10" t="str">
        <f t="shared" si="75"/>
        <v/>
      </c>
      <c r="AL92" s="10" t="str">
        <f t="shared" si="76"/>
        <v/>
      </c>
      <c r="AM92" s="71"/>
      <c r="AN92" s="10" t="str">
        <f t="shared" si="58"/>
        <v/>
      </c>
      <c r="AO92" s="10" t="str">
        <f t="shared" si="77"/>
        <v/>
      </c>
      <c r="AP92" s="71"/>
      <c r="AQ92" s="10" t="str">
        <f t="shared" si="59"/>
        <v/>
      </c>
      <c r="AR92" s="10" t="str">
        <f t="shared" si="78"/>
        <v/>
      </c>
      <c r="AS92" s="71"/>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U92" s="71"/>
      <c r="AV92" s="10" t="str">
        <f t="shared" si="60"/>
        <v/>
      </c>
      <c r="AW92" s="10" t="str">
        <f t="shared" si="61"/>
        <v/>
      </c>
      <c r="AX92" s="71"/>
      <c r="AY92" s="7" t="str">
        <f>IF(ISERROR(IF($K92&lt;=$F$15,VLOOKUP($I92,'表4）CO2価格'!$A$7:$E$67,VLOOKUP($F$48,'表4）CO2価格'!$H$10:$I$12,2,0),0)*$F$8/1000,"")),0,IF($K92&lt;=$F$15,VLOOKUP($I92,'表4）CO2価格'!$A$7:$E$67,VLOOKUP($F$48,'表4）CO2価格'!$H$10:$I$12,2,0),0)*$F$8/1000,""))</f>
        <v/>
      </c>
      <c r="AZ92" s="71"/>
      <c r="BA92" s="11" t="str">
        <f t="shared" si="62"/>
        <v/>
      </c>
      <c r="BB92" s="10" t="str">
        <f t="shared" si="79"/>
        <v/>
      </c>
      <c r="BC92" s="71"/>
      <c r="BD92" s="10" t="str">
        <f t="shared" si="63"/>
        <v/>
      </c>
      <c r="BE92" s="10" t="str">
        <f t="shared" si="80"/>
        <v/>
      </c>
      <c r="BF92" s="71"/>
      <c r="BG92" s="11" t="str">
        <f t="shared" si="64"/>
        <v/>
      </c>
      <c r="BH92" s="10" t="str">
        <f t="shared" si="81"/>
        <v/>
      </c>
      <c r="BJ92" s="7" t="str">
        <f t="shared" si="82"/>
        <v/>
      </c>
      <c r="BK92" s="158" t="str">
        <f t="shared" si="83"/>
        <v/>
      </c>
      <c r="BL92" s="158" t="str">
        <f t="shared" si="65"/>
        <v/>
      </c>
      <c r="BM92" s="10"/>
      <c r="BN92" s="10" t="str">
        <f t="shared" si="84"/>
        <v/>
      </c>
      <c r="BO92" s="10" t="str">
        <f t="shared" si="85"/>
        <v/>
      </c>
      <c r="BQ92" s="10" t="str">
        <f t="shared" si="66"/>
        <v/>
      </c>
      <c r="BR92" s="10" t="str">
        <f t="shared" si="86"/>
        <v/>
      </c>
    </row>
    <row r="93" spans="4:70" ht="15" x14ac:dyDescent="0.15">
      <c r="D93" s="116"/>
      <c r="F93" s="93"/>
      <c r="I93" s="38">
        <f t="shared" si="87"/>
        <v>2098</v>
      </c>
      <c r="J93" s="39"/>
      <c r="K93" s="39">
        <f t="shared" si="88"/>
        <v>79</v>
      </c>
      <c r="L93" s="39"/>
      <c r="M93" s="40">
        <f t="shared" si="51"/>
        <v>9.679640952397367E-2</v>
      </c>
      <c r="N93" s="39"/>
      <c r="O93" s="72" t="str">
        <f t="shared" si="67"/>
        <v/>
      </c>
      <c r="P93" s="41" t="str">
        <f t="shared" si="52"/>
        <v/>
      </c>
      <c r="Q93" s="39"/>
      <c r="R93" s="72" t="str">
        <f t="shared" si="68"/>
        <v/>
      </c>
      <c r="S93" s="39"/>
      <c r="T93" s="72" t="str">
        <f t="shared" si="69"/>
        <v/>
      </c>
      <c r="U93" s="39"/>
      <c r="V93" s="72" t="str">
        <f t="shared" si="53"/>
        <v/>
      </c>
      <c r="W93" s="72" t="str">
        <f t="shared" si="70"/>
        <v/>
      </c>
      <c r="X93" s="39"/>
      <c r="Y93" s="72" t="str">
        <f t="shared" si="54"/>
        <v/>
      </c>
      <c r="Z93" s="72" t="str">
        <f t="shared" si="71"/>
        <v/>
      </c>
      <c r="AA93" s="39"/>
      <c r="AB93" s="72" t="str">
        <f t="shared" si="55"/>
        <v/>
      </c>
      <c r="AC93" s="72" t="str">
        <f t="shared" si="72"/>
        <v/>
      </c>
      <c r="AD93" s="39"/>
      <c r="AE93" s="72" t="str">
        <f t="shared" si="56"/>
        <v/>
      </c>
      <c r="AF93" s="72" t="str">
        <f t="shared" si="73"/>
        <v/>
      </c>
      <c r="AG93" s="39"/>
      <c r="AH93" s="72" t="str">
        <f t="shared" si="57"/>
        <v/>
      </c>
      <c r="AI93" s="72" t="str">
        <f t="shared" si="74"/>
        <v/>
      </c>
      <c r="AJ93" s="39"/>
      <c r="AK93" s="72" t="str">
        <f t="shared" si="75"/>
        <v/>
      </c>
      <c r="AL93" s="72" t="str">
        <f t="shared" si="76"/>
        <v/>
      </c>
      <c r="AM93" s="39"/>
      <c r="AN93" s="72" t="str">
        <f t="shared" si="58"/>
        <v/>
      </c>
      <c r="AO93" s="72" t="str">
        <f t="shared" si="77"/>
        <v/>
      </c>
      <c r="AP93" s="39"/>
      <c r="AQ93" s="72" t="str">
        <f t="shared" si="59"/>
        <v/>
      </c>
      <c r="AR93" s="72" t="str">
        <f t="shared" si="78"/>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60"/>
        <v/>
      </c>
      <c r="AW93" s="72" t="str">
        <f t="shared" si="61"/>
        <v/>
      </c>
      <c r="AX93" s="39"/>
      <c r="AY93" s="40" t="str">
        <f>IF(ISERROR(IF($K93&lt;=$F$15,VLOOKUP($I93,'表4）CO2価格'!$A$7:$E$67,VLOOKUP($F$48,'表4）CO2価格'!$H$10:$I$12,2,0),0)*$F$8/1000,"")),0,IF($K93&lt;=$F$15,VLOOKUP($I93,'表4）CO2価格'!$A$7:$E$67,VLOOKUP($F$48,'表4）CO2価格'!$H$10:$I$12,2,0),0)*$F$8/1000,""))</f>
        <v/>
      </c>
      <c r="AZ93" s="39"/>
      <c r="BA93" s="42" t="str">
        <f t="shared" si="62"/>
        <v/>
      </c>
      <c r="BB93" s="72" t="str">
        <f t="shared" si="79"/>
        <v/>
      </c>
      <c r="BC93" s="39"/>
      <c r="BD93" s="72" t="str">
        <f t="shared" si="63"/>
        <v/>
      </c>
      <c r="BE93" s="72" t="str">
        <f t="shared" si="80"/>
        <v/>
      </c>
      <c r="BF93" s="39"/>
      <c r="BG93" s="42" t="str">
        <f t="shared" si="64"/>
        <v/>
      </c>
      <c r="BH93" s="72" t="str">
        <f t="shared" si="81"/>
        <v/>
      </c>
      <c r="BI93" s="39"/>
      <c r="BJ93" s="40" t="str">
        <f t="shared" si="82"/>
        <v/>
      </c>
      <c r="BK93" s="157" t="str">
        <f t="shared" si="83"/>
        <v/>
      </c>
      <c r="BL93" s="157" t="str">
        <f t="shared" si="65"/>
        <v/>
      </c>
      <c r="BM93" s="72"/>
      <c r="BN93" s="72" t="str">
        <f t="shared" si="84"/>
        <v/>
      </c>
      <c r="BO93" s="72" t="str">
        <f t="shared" si="85"/>
        <v/>
      </c>
      <c r="BP93" s="39"/>
      <c r="BQ93" s="72" t="str">
        <f t="shared" si="66"/>
        <v/>
      </c>
      <c r="BR93" s="72" t="str">
        <f t="shared" si="86"/>
        <v/>
      </c>
    </row>
    <row r="94" spans="4:70" x14ac:dyDescent="0.15">
      <c r="D94" s="101" t="s">
        <v>197</v>
      </c>
      <c r="E94" s="101"/>
      <c r="F94" s="92"/>
      <c r="G94" s="101"/>
      <c r="I94" s="322">
        <f t="shared" si="87"/>
        <v>2099</v>
      </c>
      <c r="J94" s="71"/>
      <c r="K94" s="71">
        <f t="shared" si="88"/>
        <v>80</v>
      </c>
      <c r="L94" s="71"/>
      <c r="M94" s="7">
        <f t="shared" si="51"/>
        <v>9.3977096625217166E-2</v>
      </c>
      <c r="N94" s="71"/>
      <c r="O94" s="10" t="str">
        <f t="shared" si="67"/>
        <v/>
      </c>
      <c r="P94" s="29" t="str">
        <f t="shared" si="52"/>
        <v/>
      </c>
      <c r="Q94" s="71"/>
      <c r="R94" s="10" t="str">
        <f t="shared" si="68"/>
        <v/>
      </c>
      <c r="S94" s="71"/>
      <c r="T94" s="10" t="str">
        <f t="shared" si="69"/>
        <v/>
      </c>
      <c r="U94" s="71"/>
      <c r="V94" s="10" t="str">
        <f t="shared" si="53"/>
        <v/>
      </c>
      <c r="W94" s="10" t="str">
        <f t="shared" si="70"/>
        <v/>
      </c>
      <c r="X94" s="71"/>
      <c r="Y94" s="10" t="str">
        <f t="shared" si="54"/>
        <v/>
      </c>
      <c r="Z94" s="10" t="str">
        <f t="shared" si="71"/>
        <v/>
      </c>
      <c r="AA94" s="71"/>
      <c r="AB94" s="10" t="str">
        <f t="shared" si="55"/>
        <v/>
      </c>
      <c r="AC94" s="10" t="str">
        <f t="shared" si="72"/>
        <v/>
      </c>
      <c r="AD94" s="71"/>
      <c r="AE94" s="10" t="str">
        <f t="shared" si="56"/>
        <v/>
      </c>
      <c r="AF94" s="10" t="str">
        <f t="shared" si="73"/>
        <v/>
      </c>
      <c r="AG94" s="71"/>
      <c r="AH94" s="10" t="str">
        <f t="shared" si="57"/>
        <v/>
      </c>
      <c r="AI94" s="10" t="str">
        <f t="shared" si="74"/>
        <v/>
      </c>
      <c r="AJ94" s="71"/>
      <c r="AK94" s="10" t="str">
        <f t="shared" si="75"/>
        <v/>
      </c>
      <c r="AL94" s="10" t="str">
        <f t="shared" si="76"/>
        <v/>
      </c>
      <c r="AM94" s="71"/>
      <c r="AN94" s="10" t="str">
        <f t="shared" si="58"/>
        <v/>
      </c>
      <c r="AO94" s="10" t="str">
        <f t="shared" si="77"/>
        <v/>
      </c>
      <c r="AP94" s="71"/>
      <c r="AQ94" s="10" t="str">
        <f t="shared" si="59"/>
        <v/>
      </c>
      <c r="AR94" s="10" t="str">
        <f t="shared" si="78"/>
        <v/>
      </c>
      <c r="AS94" s="71"/>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U94" s="71"/>
      <c r="AV94" s="10" t="str">
        <f t="shared" si="60"/>
        <v/>
      </c>
      <c r="AW94" s="10" t="str">
        <f t="shared" si="61"/>
        <v/>
      </c>
      <c r="AX94" s="71"/>
      <c r="AY94" s="7" t="str">
        <f>IF(ISERROR(IF($K94&lt;=$F$15,VLOOKUP($I94,'表4）CO2価格'!$A$7:$E$67,VLOOKUP($F$48,'表4）CO2価格'!$H$10:$I$12,2,0),0)*$F$8/1000,"")),0,IF($K94&lt;=$F$15,VLOOKUP($I94,'表4）CO2価格'!$A$7:$E$67,VLOOKUP($F$48,'表4）CO2価格'!$H$10:$I$12,2,0),0)*$F$8/1000,""))</f>
        <v/>
      </c>
      <c r="AZ94" s="71"/>
      <c r="BA94" s="11" t="str">
        <f t="shared" si="62"/>
        <v/>
      </c>
      <c r="BB94" s="10" t="str">
        <f t="shared" si="79"/>
        <v/>
      </c>
      <c r="BC94" s="71"/>
      <c r="BD94" s="10" t="str">
        <f t="shared" si="63"/>
        <v/>
      </c>
      <c r="BE94" s="10" t="str">
        <f t="shared" si="80"/>
        <v/>
      </c>
      <c r="BF94" s="71"/>
      <c r="BG94" s="11" t="str">
        <f t="shared" si="64"/>
        <v/>
      </c>
      <c r="BH94" s="10" t="str">
        <f t="shared" si="81"/>
        <v/>
      </c>
      <c r="BJ94" s="7" t="str">
        <f t="shared" si="82"/>
        <v/>
      </c>
      <c r="BK94" s="158" t="str">
        <f t="shared" si="83"/>
        <v/>
      </c>
      <c r="BL94" s="158" t="str">
        <f t="shared" si="65"/>
        <v/>
      </c>
      <c r="BM94" s="10"/>
      <c r="BN94" s="10" t="str">
        <f t="shared" si="84"/>
        <v/>
      </c>
      <c r="BO94" s="10" t="str">
        <f t="shared" si="85"/>
        <v/>
      </c>
      <c r="BQ94" s="10" t="str">
        <f t="shared" si="66"/>
        <v/>
      </c>
      <c r="BR94" s="10" t="str">
        <f t="shared" si="86"/>
        <v/>
      </c>
    </row>
    <row r="95" spans="4:70" ht="15" x14ac:dyDescent="0.15">
      <c r="D95" s="116"/>
      <c r="F95" s="93"/>
      <c r="I95" s="38">
        <f t="shared" si="87"/>
        <v>2100</v>
      </c>
      <c r="J95" s="39"/>
      <c r="K95" s="39">
        <f t="shared" si="88"/>
        <v>81</v>
      </c>
      <c r="L95" s="39"/>
      <c r="M95" s="40">
        <f t="shared" si="51"/>
        <v>9.1239899636133173E-2</v>
      </c>
      <c r="N95" s="39"/>
      <c r="O95" s="72" t="str">
        <f t="shared" si="67"/>
        <v/>
      </c>
      <c r="P95" s="41" t="str">
        <f t="shared" si="52"/>
        <v/>
      </c>
      <c r="Q95" s="39"/>
      <c r="R95" s="72" t="str">
        <f t="shared" si="68"/>
        <v/>
      </c>
      <c r="S95" s="39"/>
      <c r="T95" s="72" t="str">
        <f t="shared" si="69"/>
        <v/>
      </c>
      <c r="U95" s="39"/>
      <c r="V95" s="72" t="str">
        <f t="shared" si="53"/>
        <v/>
      </c>
      <c r="W95" s="72" t="str">
        <f t="shared" si="70"/>
        <v/>
      </c>
      <c r="X95" s="39"/>
      <c r="Y95" s="72" t="str">
        <f t="shared" si="54"/>
        <v/>
      </c>
      <c r="Z95" s="72" t="str">
        <f t="shared" si="71"/>
        <v/>
      </c>
      <c r="AA95" s="39"/>
      <c r="AB95" s="72" t="str">
        <f t="shared" si="55"/>
        <v/>
      </c>
      <c r="AC95" s="72" t="str">
        <f t="shared" si="72"/>
        <v/>
      </c>
      <c r="AD95" s="39"/>
      <c r="AE95" s="72" t="str">
        <f t="shared" si="56"/>
        <v/>
      </c>
      <c r="AF95" s="72" t="str">
        <f t="shared" si="73"/>
        <v/>
      </c>
      <c r="AG95" s="39"/>
      <c r="AH95" s="72" t="str">
        <f t="shared" si="57"/>
        <v/>
      </c>
      <c r="AI95" s="72" t="str">
        <f t="shared" si="74"/>
        <v/>
      </c>
      <c r="AJ95" s="39"/>
      <c r="AK95" s="72" t="str">
        <f t="shared" si="75"/>
        <v/>
      </c>
      <c r="AL95" s="72" t="str">
        <f t="shared" si="76"/>
        <v/>
      </c>
      <c r="AM95" s="39"/>
      <c r="AN95" s="72" t="str">
        <f t="shared" si="58"/>
        <v/>
      </c>
      <c r="AO95" s="72" t="str">
        <f t="shared" si="77"/>
        <v/>
      </c>
      <c r="AP95" s="39"/>
      <c r="AQ95" s="72" t="str">
        <f t="shared" si="59"/>
        <v/>
      </c>
      <c r="AR95" s="72" t="str">
        <f t="shared" si="78"/>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60"/>
        <v/>
      </c>
      <c r="AW95" s="72" t="str">
        <f t="shared" si="61"/>
        <v/>
      </c>
      <c r="AX95" s="39"/>
      <c r="AY95" s="40" t="str">
        <f>IF(ISERROR(IF($K95&lt;=$F$15,VLOOKUP($I95,'表4）CO2価格'!$A$7:$E$67,VLOOKUP($F$48,'表4）CO2価格'!$H$10:$I$12,2,0),0)*$F$8/1000,"")),0,IF($K95&lt;=$F$15,VLOOKUP($I95,'表4）CO2価格'!$A$7:$E$67,VLOOKUP($F$48,'表4）CO2価格'!$H$10:$I$12,2,0),0)*$F$8/1000,""))</f>
        <v/>
      </c>
      <c r="AZ95" s="39"/>
      <c r="BA95" s="42" t="str">
        <f t="shared" si="62"/>
        <v/>
      </c>
      <c r="BB95" s="72" t="str">
        <f t="shared" si="79"/>
        <v/>
      </c>
      <c r="BC95" s="39"/>
      <c r="BD95" s="72" t="str">
        <f t="shared" si="63"/>
        <v/>
      </c>
      <c r="BE95" s="72" t="str">
        <f t="shared" si="80"/>
        <v/>
      </c>
      <c r="BF95" s="39"/>
      <c r="BG95" s="42" t="str">
        <f t="shared" si="64"/>
        <v/>
      </c>
      <c r="BH95" s="72" t="str">
        <f t="shared" si="81"/>
        <v/>
      </c>
      <c r="BI95" s="39"/>
      <c r="BJ95" s="40" t="str">
        <f t="shared" si="82"/>
        <v/>
      </c>
      <c r="BK95" s="157" t="str">
        <f t="shared" si="83"/>
        <v/>
      </c>
      <c r="BL95" s="157" t="str">
        <f t="shared" si="65"/>
        <v/>
      </c>
      <c r="BM95" s="72"/>
      <c r="BN95" s="72" t="str">
        <f t="shared" si="84"/>
        <v/>
      </c>
      <c r="BO95" s="72" t="str">
        <f t="shared" si="85"/>
        <v/>
      </c>
      <c r="BP95" s="39"/>
      <c r="BQ95" s="72" t="str">
        <f t="shared" si="66"/>
        <v/>
      </c>
      <c r="BR95" s="72" t="str">
        <f t="shared" si="86"/>
        <v/>
      </c>
    </row>
    <row r="96" spans="4:70" ht="15" x14ac:dyDescent="0.15">
      <c r="D96" s="116"/>
      <c r="E96" s="81" t="s">
        <v>198</v>
      </c>
      <c r="F96" s="91">
        <f>IF(F3&lt;&gt;"原子力",AW116/$BR$116,0)</f>
        <v>16.808993664303127</v>
      </c>
      <c r="G96" s="81" t="s">
        <v>132</v>
      </c>
      <c r="I96" s="322">
        <f t="shared" si="87"/>
        <v>2101</v>
      </c>
      <c r="J96" s="71"/>
      <c r="K96" s="71">
        <f t="shared" si="88"/>
        <v>82</v>
      </c>
      <c r="L96" s="71"/>
      <c r="M96" s="7">
        <f t="shared" si="51"/>
        <v>8.8582426831197242E-2</v>
      </c>
      <c r="N96" s="71"/>
      <c r="O96" s="10" t="str">
        <f t="shared" si="67"/>
        <v/>
      </c>
      <c r="P96" s="29" t="str">
        <f t="shared" si="52"/>
        <v/>
      </c>
      <c r="Q96" s="71"/>
      <c r="R96" s="10" t="str">
        <f t="shared" si="68"/>
        <v/>
      </c>
      <c r="S96" s="71"/>
      <c r="T96" s="10" t="str">
        <f t="shared" si="69"/>
        <v/>
      </c>
      <c r="U96" s="71"/>
      <c r="V96" s="10" t="str">
        <f t="shared" si="53"/>
        <v/>
      </c>
      <c r="W96" s="10" t="str">
        <f t="shared" si="70"/>
        <v/>
      </c>
      <c r="X96" s="71"/>
      <c r="Y96" s="10" t="str">
        <f t="shared" si="54"/>
        <v/>
      </c>
      <c r="Z96" s="10" t="str">
        <f t="shared" si="71"/>
        <v/>
      </c>
      <c r="AA96" s="71"/>
      <c r="AB96" s="10" t="str">
        <f t="shared" si="55"/>
        <v/>
      </c>
      <c r="AC96" s="10" t="str">
        <f t="shared" si="72"/>
        <v/>
      </c>
      <c r="AD96" s="71"/>
      <c r="AE96" s="10" t="str">
        <f t="shared" si="56"/>
        <v/>
      </c>
      <c r="AF96" s="10" t="str">
        <f t="shared" si="73"/>
        <v/>
      </c>
      <c r="AG96" s="71"/>
      <c r="AH96" s="10" t="str">
        <f t="shared" si="57"/>
        <v/>
      </c>
      <c r="AI96" s="10" t="str">
        <f t="shared" si="74"/>
        <v/>
      </c>
      <c r="AJ96" s="71"/>
      <c r="AK96" s="10" t="str">
        <f t="shared" si="75"/>
        <v/>
      </c>
      <c r="AL96" s="10" t="str">
        <f t="shared" si="76"/>
        <v/>
      </c>
      <c r="AM96" s="71"/>
      <c r="AN96" s="10" t="str">
        <f t="shared" si="58"/>
        <v/>
      </c>
      <c r="AO96" s="10" t="str">
        <f t="shared" si="77"/>
        <v/>
      </c>
      <c r="AP96" s="71"/>
      <c r="AQ96" s="10" t="str">
        <f t="shared" si="59"/>
        <v/>
      </c>
      <c r="AR96" s="10" t="str">
        <f t="shared" si="78"/>
        <v/>
      </c>
      <c r="AS96" s="71"/>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U96" s="71"/>
      <c r="AV96" s="10" t="str">
        <f t="shared" si="60"/>
        <v/>
      </c>
      <c r="AW96" s="10" t="str">
        <f t="shared" si="61"/>
        <v/>
      </c>
      <c r="AX96" s="71"/>
      <c r="AY96" s="7" t="str">
        <f>IF(ISERROR(IF($K96&lt;=$F$15,VLOOKUP($I96,'表4）CO2価格'!$A$7:$E$67,VLOOKUP($F$48,'表4）CO2価格'!$H$10:$I$12,2,0),0)*$F$8/1000,"")),0,IF($K96&lt;=$F$15,VLOOKUP($I96,'表4）CO2価格'!$A$7:$E$67,VLOOKUP($F$48,'表4）CO2価格'!$H$10:$I$12,2,0),0)*$F$8/1000,""))</f>
        <v/>
      </c>
      <c r="AZ96" s="71"/>
      <c r="BA96" s="11" t="str">
        <f t="shared" si="62"/>
        <v/>
      </c>
      <c r="BB96" s="10" t="str">
        <f t="shared" si="79"/>
        <v/>
      </c>
      <c r="BC96" s="71"/>
      <c r="BD96" s="10" t="str">
        <f t="shared" si="63"/>
        <v/>
      </c>
      <c r="BE96" s="10" t="str">
        <f t="shared" si="80"/>
        <v/>
      </c>
      <c r="BF96" s="71"/>
      <c r="BG96" s="11" t="str">
        <f t="shared" si="64"/>
        <v/>
      </c>
      <c r="BH96" s="10" t="str">
        <f t="shared" si="81"/>
        <v/>
      </c>
      <c r="BJ96" s="7" t="str">
        <f t="shared" si="82"/>
        <v/>
      </c>
      <c r="BK96" s="158" t="str">
        <f t="shared" si="83"/>
        <v/>
      </c>
      <c r="BL96" s="158" t="str">
        <f t="shared" si="65"/>
        <v/>
      </c>
      <c r="BM96" s="10"/>
      <c r="BN96" s="10" t="str">
        <f t="shared" si="84"/>
        <v/>
      </c>
      <c r="BO96" s="10" t="str">
        <f t="shared" si="85"/>
        <v/>
      </c>
      <c r="BQ96" s="10" t="str">
        <f t="shared" si="66"/>
        <v/>
      </c>
      <c r="BR96" s="10" t="str">
        <f t="shared" si="86"/>
        <v/>
      </c>
    </row>
    <row r="97" spans="4:70" ht="15" x14ac:dyDescent="0.15">
      <c r="D97" s="116"/>
      <c r="E97" s="81" t="s">
        <v>199</v>
      </c>
      <c r="F97" s="91">
        <f>IF(F3="原子力",#REF!,0)</f>
        <v>0</v>
      </c>
      <c r="G97" s="81" t="s">
        <v>132</v>
      </c>
      <c r="I97" s="38">
        <f t="shared" si="87"/>
        <v>2102</v>
      </c>
      <c r="J97" s="39"/>
      <c r="K97" s="39">
        <f t="shared" si="88"/>
        <v>83</v>
      </c>
      <c r="L97" s="39"/>
      <c r="M97" s="40">
        <f t="shared" si="51"/>
        <v>8.6002356146793454E-2</v>
      </c>
      <c r="N97" s="39"/>
      <c r="O97" s="72" t="str">
        <f t="shared" si="67"/>
        <v/>
      </c>
      <c r="P97" s="41" t="str">
        <f t="shared" si="52"/>
        <v/>
      </c>
      <c r="Q97" s="39"/>
      <c r="R97" s="72" t="str">
        <f t="shared" si="68"/>
        <v/>
      </c>
      <c r="S97" s="39"/>
      <c r="T97" s="72" t="str">
        <f t="shared" si="69"/>
        <v/>
      </c>
      <c r="U97" s="39"/>
      <c r="V97" s="72" t="str">
        <f t="shared" si="53"/>
        <v/>
      </c>
      <c r="W97" s="72" t="str">
        <f t="shared" si="70"/>
        <v/>
      </c>
      <c r="X97" s="39"/>
      <c r="Y97" s="72" t="str">
        <f t="shared" si="54"/>
        <v/>
      </c>
      <c r="Z97" s="72" t="str">
        <f t="shared" si="71"/>
        <v/>
      </c>
      <c r="AA97" s="39"/>
      <c r="AB97" s="72" t="str">
        <f t="shared" si="55"/>
        <v/>
      </c>
      <c r="AC97" s="72" t="str">
        <f t="shared" si="72"/>
        <v/>
      </c>
      <c r="AD97" s="39"/>
      <c r="AE97" s="72" t="str">
        <f t="shared" si="56"/>
        <v/>
      </c>
      <c r="AF97" s="72" t="str">
        <f t="shared" si="73"/>
        <v/>
      </c>
      <c r="AG97" s="39"/>
      <c r="AH97" s="72" t="str">
        <f t="shared" si="57"/>
        <v/>
      </c>
      <c r="AI97" s="72" t="str">
        <f t="shared" si="74"/>
        <v/>
      </c>
      <c r="AJ97" s="39"/>
      <c r="AK97" s="72" t="str">
        <f t="shared" si="75"/>
        <v/>
      </c>
      <c r="AL97" s="72" t="str">
        <f t="shared" si="76"/>
        <v/>
      </c>
      <c r="AM97" s="39"/>
      <c r="AN97" s="72" t="str">
        <f t="shared" si="58"/>
        <v/>
      </c>
      <c r="AO97" s="72" t="str">
        <f t="shared" si="77"/>
        <v/>
      </c>
      <c r="AP97" s="39"/>
      <c r="AQ97" s="72" t="str">
        <f t="shared" si="59"/>
        <v/>
      </c>
      <c r="AR97" s="72" t="str">
        <f t="shared" si="78"/>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60"/>
        <v/>
      </c>
      <c r="AW97" s="72" t="str">
        <f t="shared" si="61"/>
        <v/>
      </c>
      <c r="AX97" s="39"/>
      <c r="AY97" s="40" t="str">
        <f>IF(ISERROR(IF($K97&lt;=$F$15,VLOOKUP($I97,'表4）CO2価格'!$A$7:$E$67,VLOOKUP($F$48,'表4）CO2価格'!$H$10:$I$12,2,0),0)*$F$8/1000,"")),0,IF($K97&lt;=$F$15,VLOOKUP($I97,'表4）CO2価格'!$A$7:$E$67,VLOOKUP($F$48,'表4）CO2価格'!$H$10:$I$12,2,0),0)*$F$8/1000,""))</f>
        <v/>
      </c>
      <c r="AZ97" s="39"/>
      <c r="BA97" s="42" t="str">
        <f t="shared" si="62"/>
        <v/>
      </c>
      <c r="BB97" s="72" t="str">
        <f t="shared" si="79"/>
        <v/>
      </c>
      <c r="BC97" s="39"/>
      <c r="BD97" s="72" t="str">
        <f t="shared" si="63"/>
        <v/>
      </c>
      <c r="BE97" s="72" t="str">
        <f t="shared" si="80"/>
        <v/>
      </c>
      <c r="BF97" s="39"/>
      <c r="BG97" s="42" t="str">
        <f t="shared" si="64"/>
        <v/>
      </c>
      <c r="BH97" s="72" t="str">
        <f t="shared" si="81"/>
        <v/>
      </c>
      <c r="BI97" s="39"/>
      <c r="BJ97" s="40" t="str">
        <f t="shared" si="82"/>
        <v/>
      </c>
      <c r="BK97" s="157" t="str">
        <f t="shared" si="83"/>
        <v/>
      </c>
      <c r="BL97" s="157" t="str">
        <f t="shared" si="65"/>
        <v/>
      </c>
      <c r="BM97" s="72"/>
      <c r="BN97" s="72" t="str">
        <f t="shared" si="84"/>
        <v/>
      </c>
      <c r="BO97" s="72" t="str">
        <f t="shared" si="85"/>
        <v/>
      </c>
      <c r="BP97" s="39"/>
      <c r="BQ97" s="72" t="str">
        <f t="shared" si="66"/>
        <v/>
      </c>
      <c r="BR97" s="72" t="str">
        <f t="shared" si="86"/>
        <v/>
      </c>
    </row>
    <row r="98" spans="4:70" x14ac:dyDescent="0.15">
      <c r="F98" s="93"/>
      <c r="I98" s="322">
        <f t="shared" si="87"/>
        <v>2103</v>
      </c>
      <c r="J98" s="71"/>
      <c r="K98" s="71">
        <f t="shared" si="88"/>
        <v>84</v>
      </c>
      <c r="L98" s="71"/>
      <c r="M98" s="7">
        <f t="shared" si="51"/>
        <v>8.3497433152226644E-2</v>
      </c>
      <c r="N98" s="71"/>
      <c r="O98" s="10" t="str">
        <f t="shared" si="67"/>
        <v/>
      </c>
      <c r="P98" s="29" t="str">
        <f t="shared" si="52"/>
        <v/>
      </c>
      <c r="Q98" s="71"/>
      <c r="R98" s="10" t="str">
        <f t="shared" si="68"/>
        <v/>
      </c>
      <c r="S98" s="71"/>
      <c r="T98" s="10" t="str">
        <f t="shared" si="69"/>
        <v/>
      </c>
      <c r="U98" s="71"/>
      <c r="V98" s="10" t="str">
        <f t="shared" si="53"/>
        <v/>
      </c>
      <c r="W98" s="10" t="str">
        <f t="shared" si="70"/>
        <v/>
      </c>
      <c r="X98" s="71"/>
      <c r="Y98" s="10" t="str">
        <f t="shared" si="54"/>
        <v/>
      </c>
      <c r="Z98" s="10" t="str">
        <f t="shared" si="71"/>
        <v/>
      </c>
      <c r="AA98" s="71"/>
      <c r="AB98" s="10" t="str">
        <f t="shared" si="55"/>
        <v/>
      </c>
      <c r="AC98" s="10" t="str">
        <f t="shared" si="72"/>
        <v/>
      </c>
      <c r="AD98" s="71"/>
      <c r="AE98" s="10" t="str">
        <f t="shared" si="56"/>
        <v/>
      </c>
      <c r="AF98" s="10" t="str">
        <f t="shared" si="73"/>
        <v/>
      </c>
      <c r="AG98" s="71"/>
      <c r="AH98" s="10" t="str">
        <f t="shared" si="57"/>
        <v/>
      </c>
      <c r="AI98" s="10" t="str">
        <f t="shared" si="74"/>
        <v/>
      </c>
      <c r="AJ98" s="71"/>
      <c r="AK98" s="10" t="str">
        <f t="shared" si="75"/>
        <v/>
      </c>
      <c r="AL98" s="10" t="str">
        <f t="shared" si="76"/>
        <v/>
      </c>
      <c r="AM98" s="71"/>
      <c r="AN98" s="10" t="str">
        <f t="shared" si="58"/>
        <v/>
      </c>
      <c r="AO98" s="10" t="str">
        <f t="shared" si="77"/>
        <v/>
      </c>
      <c r="AP98" s="71"/>
      <c r="AQ98" s="10" t="str">
        <f t="shared" si="59"/>
        <v/>
      </c>
      <c r="AR98" s="10" t="str">
        <f t="shared" si="78"/>
        <v/>
      </c>
      <c r="AS98" s="71"/>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U98" s="71"/>
      <c r="AV98" s="10" t="str">
        <f t="shared" si="60"/>
        <v/>
      </c>
      <c r="AW98" s="10" t="str">
        <f t="shared" si="61"/>
        <v/>
      </c>
      <c r="AX98" s="71"/>
      <c r="AY98" s="7" t="str">
        <f>IF(ISERROR(IF($K98&lt;=$F$15,VLOOKUP($I98,'表4）CO2価格'!$A$7:$E$67,VLOOKUP($F$48,'表4）CO2価格'!$H$10:$I$12,2,0),0)*$F$8/1000,"")),0,IF($K98&lt;=$F$15,VLOOKUP($I98,'表4）CO2価格'!$A$7:$E$67,VLOOKUP($F$48,'表4）CO2価格'!$H$10:$I$12,2,0),0)*$F$8/1000,""))</f>
        <v/>
      </c>
      <c r="AZ98" s="71"/>
      <c r="BA98" s="11" t="str">
        <f t="shared" si="62"/>
        <v/>
      </c>
      <c r="BB98" s="10" t="str">
        <f t="shared" si="79"/>
        <v/>
      </c>
      <c r="BC98" s="71"/>
      <c r="BD98" s="10" t="str">
        <f t="shared" si="63"/>
        <v/>
      </c>
      <c r="BE98" s="10" t="str">
        <f t="shared" si="80"/>
        <v/>
      </c>
      <c r="BF98" s="71"/>
      <c r="BG98" s="11" t="str">
        <f t="shared" si="64"/>
        <v/>
      </c>
      <c r="BH98" s="10" t="str">
        <f t="shared" si="81"/>
        <v/>
      </c>
      <c r="BJ98" s="7" t="str">
        <f t="shared" si="82"/>
        <v/>
      </c>
      <c r="BK98" s="158" t="str">
        <f t="shared" si="83"/>
        <v/>
      </c>
      <c r="BL98" s="158" t="str">
        <f t="shared" si="65"/>
        <v/>
      </c>
      <c r="BM98" s="10"/>
      <c r="BN98" s="10" t="str">
        <f t="shared" si="84"/>
        <v/>
      </c>
      <c r="BO98" s="10" t="str">
        <f t="shared" si="85"/>
        <v/>
      </c>
      <c r="BQ98" s="10" t="str">
        <f t="shared" si="66"/>
        <v/>
      </c>
      <c r="BR98" s="10" t="str">
        <f t="shared" si="86"/>
        <v/>
      </c>
    </row>
    <row r="99" spans="4:70" ht="15" x14ac:dyDescent="0.15">
      <c r="D99" s="116" t="s">
        <v>200</v>
      </c>
      <c r="F99" s="94">
        <f>SUBTOTAL(9,F103:F105)</f>
        <v>3.7884380236051709</v>
      </c>
      <c r="G99" s="81" t="s">
        <v>132</v>
      </c>
      <c r="I99" s="38">
        <f t="shared" si="87"/>
        <v>2104</v>
      </c>
      <c r="J99" s="39"/>
      <c r="K99" s="39">
        <f t="shared" si="88"/>
        <v>85</v>
      </c>
      <c r="L99" s="39"/>
      <c r="M99" s="40">
        <f t="shared" si="51"/>
        <v>8.1065469079831712E-2</v>
      </c>
      <c r="N99" s="39"/>
      <c r="O99" s="72" t="str">
        <f t="shared" si="67"/>
        <v/>
      </c>
      <c r="P99" s="41" t="str">
        <f t="shared" si="52"/>
        <v/>
      </c>
      <c r="Q99" s="39"/>
      <c r="R99" s="72" t="str">
        <f t="shared" si="68"/>
        <v/>
      </c>
      <c r="S99" s="39"/>
      <c r="T99" s="72" t="str">
        <f t="shared" si="69"/>
        <v/>
      </c>
      <c r="U99" s="39"/>
      <c r="V99" s="72" t="str">
        <f t="shared" si="53"/>
        <v/>
      </c>
      <c r="W99" s="72" t="str">
        <f t="shared" si="70"/>
        <v/>
      </c>
      <c r="X99" s="39"/>
      <c r="Y99" s="72" t="str">
        <f t="shared" si="54"/>
        <v/>
      </c>
      <c r="Z99" s="72" t="str">
        <f t="shared" si="71"/>
        <v/>
      </c>
      <c r="AA99" s="39"/>
      <c r="AB99" s="72" t="str">
        <f t="shared" si="55"/>
        <v/>
      </c>
      <c r="AC99" s="72" t="str">
        <f t="shared" si="72"/>
        <v/>
      </c>
      <c r="AD99" s="39"/>
      <c r="AE99" s="72" t="str">
        <f t="shared" si="56"/>
        <v/>
      </c>
      <c r="AF99" s="72" t="str">
        <f t="shared" si="73"/>
        <v/>
      </c>
      <c r="AG99" s="39"/>
      <c r="AH99" s="72" t="str">
        <f t="shared" si="57"/>
        <v/>
      </c>
      <c r="AI99" s="72" t="str">
        <f t="shared" si="74"/>
        <v/>
      </c>
      <c r="AJ99" s="39"/>
      <c r="AK99" s="72" t="str">
        <f t="shared" si="75"/>
        <v/>
      </c>
      <c r="AL99" s="72" t="str">
        <f t="shared" si="76"/>
        <v/>
      </c>
      <c r="AM99" s="39"/>
      <c r="AN99" s="72" t="str">
        <f t="shared" si="58"/>
        <v/>
      </c>
      <c r="AO99" s="72" t="str">
        <f t="shared" si="77"/>
        <v/>
      </c>
      <c r="AP99" s="39"/>
      <c r="AQ99" s="72" t="str">
        <f t="shared" si="59"/>
        <v/>
      </c>
      <c r="AR99" s="72" t="str">
        <f t="shared" si="78"/>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60"/>
        <v/>
      </c>
      <c r="AW99" s="72" t="str">
        <f t="shared" si="61"/>
        <v/>
      </c>
      <c r="AX99" s="39"/>
      <c r="AY99" s="40" t="str">
        <f>IF(ISERROR(IF($K99&lt;=$F$15,VLOOKUP($I99,'表4）CO2価格'!$A$7:$E$67,VLOOKUP($F$48,'表4）CO2価格'!$H$10:$I$12,2,0),0)*$F$8/1000,"")),0,IF($K99&lt;=$F$15,VLOOKUP($I99,'表4）CO2価格'!$A$7:$E$67,VLOOKUP($F$48,'表4）CO2価格'!$H$10:$I$12,2,0),0)*$F$8/1000,""))</f>
        <v/>
      </c>
      <c r="AZ99" s="39"/>
      <c r="BA99" s="42" t="str">
        <f t="shared" si="62"/>
        <v/>
      </c>
      <c r="BB99" s="72" t="str">
        <f t="shared" si="79"/>
        <v/>
      </c>
      <c r="BC99" s="39"/>
      <c r="BD99" s="72" t="str">
        <f t="shared" si="63"/>
        <v/>
      </c>
      <c r="BE99" s="72" t="str">
        <f t="shared" si="80"/>
        <v/>
      </c>
      <c r="BF99" s="39"/>
      <c r="BG99" s="42" t="str">
        <f t="shared" si="64"/>
        <v/>
      </c>
      <c r="BH99" s="72" t="str">
        <f t="shared" si="81"/>
        <v/>
      </c>
      <c r="BI99" s="39"/>
      <c r="BJ99" s="40" t="str">
        <f t="shared" si="82"/>
        <v/>
      </c>
      <c r="BK99" s="157" t="str">
        <f t="shared" si="83"/>
        <v/>
      </c>
      <c r="BL99" s="157" t="str">
        <f t="shared" si="65"/>
        <v/>
      </c>
      <c r="BM99" s="72"/>
      <c r="BN99" s="72" t="str">
        <f t="shared" si="84"/>
        <v/>
      </c>
      <c r="BO99" s="72" t="str">
        <f t="shared" si="85"/>
        <v/>
      </c>
      <c r="BP99" s="39"/>
      <c r="BQ99" s="72" t="str">
        <f t="shared" si="66"/>
        <v/>
      </c>
      <c r="BR99" s="72" t="str">
        <f t="shared" si="86"/>
        <v/>
      </c>
    </row>
    <row r="100" spans="4:70" x14ac:dyDescent="0.15">
      <c r="F100" s="93"/>
      <c r="I100" s="322">
        <f t="shared" si="87"/>
        <v>2105</v>
      </c>
      <c r="J100" s="71"/>
      <c r="K100" s="71">
        <f t="shared" si="88"/>
        <v>86</v>
      </c>
      <c r="L100" s="71"/>
      <c r="M100" s="7">
        <f t="shared" si="51"/>
        <v>7.8704338912457969E-2</v>
      </c>
      <c r="N100" s="71"/>
      <c r="O100" s="10" t="str">
        <f t="shared" si="67"/>
        <v/>
      </c>
      <c r="P100" s="29" t="str">
        <f t="shared" si="52"/>
        <v/>
      </c>
      <c r="Q100" s="71"/>
      <c r="R100" s="10" t="str">
        <f t="shared" si="68"/>
        <v/>
      </c>
      <c r="S100" s="71"/>
      <c r="T100" s="10" t="str">
        <f t="shared" si="69"/>
        <v/>
      </c>
      <c r="U100" s="71"/>
      <c r="V100" s="10" t="str">
        <f t="shared" si="53"/>
        <v/>
      </c>
      <c r="W100" s="10" t="str">
        <f t="shared" si="70"/>
        <v/>
      </c>
      <c r="X100" s="71"/>
      <c r="Y100" s="10" t="str">
        <f t="shared" si="54"/>
        <v/>
      </c>
      <c r="Z100" s="10" t="str">
        <f t="shared" si="71"/>
        <v/>
      </c>
      <c r="AA100" s="71"/>
      <c r="AB100" s="10" t="str">
        <f t="shared" si="55"/>
        <v/>
      </c>
      <c r="AC100" s="10" t="str">
        <f t="shared" si="72"/>
        <v/>
      </c>
      <c r="AD100" s="71"/>
      <c r="AE100" s="10" t="str">
        <f t="shared" si="56"/>
        <v/>
      </c>
      <c r="AF100" s="10" t="str">
        <f t="shared" si="73"/>
        <v/>
      </c>
      <c r="AG100" s="71"/>
      <c r="AH100" s="10" t="str">
        <f t="shared" si="57"/>
        <v/>
      </c>
      <c r="AI100" s="10" t="str">
        <f t="shared" si="74"/>
        <v/>
      </c>
      <c r="AJ100" s="71"/>
      <c r="AK100" s="10" t="str">
        <f t="shared" si="75"/>
        <v/>
      </c>
      <c r="AL100" s="10" t="str">
        <f t="shared" si="76"/>
        <v/>
      </c>
      <c r="AM100" s="71"/>
      <c r="AN100" s="10" t="str">
        <f t="shared" si="58"/>
        <v/>
      </c>
      <c r="AO100" s="10" t="str">
        <f t="shared" si="77"/>
        <v/>
      </c>
      <c r="AP100" s="71"/>
      <c r="AQ100" s="10" t="str">
        <f t="shared" si="59"/>
        <v/>
      </c>
      <c r="AR100" s="10" t="str">
        <f t="shared" si="78"/>
        <v/>
      </c>
      <c r="AS100" s="71"/>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U100" s="71"/>
      <c r="AV100" s="10" t="str">
        <f t="shared" si="60"/>
        <v/>
      </c>
      <c r="AW100" s="10" t="str">
        <f t="shared" si="61"/>
        <v/>
      </c>
      <c r="AX100" s="71"/>
      <c r="AY100" s="7" t="str">
        <f>IF(ISERROR(IF($K100&lt;=$F$15,VLOOKUP($I100,'表4）CO2価格'!$A$7:$E$67,VLOOKUP($F$48,'表4）CO2価格'!$H$10:$I$12,2,0),0)*$F$8/1000,"")),0,IF($K100&lt;=$F$15,VLOOKUP($I100,'表4）CO2価格'!$A$7:$E$67,VLOOKUP($F$48,'表4）CO2価格'!$H$10:$I$12,2,0),0)*$F$8/1000,""))</f>
        <v/>
      </c>
      <c r="AZ100" s="71"/>
      <c r="BA100" s="11" t="str">
        <f t="shared" si="62"/>
        <v/>
      </c>
      <c r="BB100" s="10" t="str">
        <f t="shared" si="79"/>
        <v/>
      </c>
      <c r="BC100" s="71"/>
      <c r="BD100" s="10" t="str">
        <f t="shared" si="63"/>
        <v/>
      </c>
      <c r="BE100" s="10" t="str">
        <f t="shared" si="80"/>
        <v/>
      </c>
      <c r="BF100" s="71"/>
      <c r="BG100" s="11" t="str">
        <f t="shared" si="64"/>
        <v/>
      </c>
      <c r="BH100" s="10" t="str">
        <f t="shared" si="81"/>
        <v/>
      </c>
      <c r="BJ100" s="7" t="str">
        <f t="shared" si="82"/>
        <v/>
      </c>
      <c r="BK100" s="158" t="str">
        <f t="shared" si="83"/>
        <v/>
      </c>
      <c r="BL100" s="158" t="str">
        <f t="shared" si="65"/>
        <v/>
      </c>
      <c r="BM100" s="10"/>
      <c r="BN100" s="10" t="str">
        <f t="shared" si="84"/>
        <v/>
      </c>
      <c r="BO100" s="10" t="str">
        <f t="shared" si="85"/>
        <v/>
      </c>
      <c r="BQ100" s="10" t="str">
        <f t="shared" si="66"/>
        <v/>
      </c>
      <c r="BR100" s="10" t="str">
        <f t="shared" si="86"/>
        <v/>
      </c>
    </row>
    <row r="101" spans="4:70" x14ac:dyDescent="0.15">
      <c r="D101" s="101" t="s">
        <v>201</v>
      </c>
      <c r="E101" s="101"/>
      <c r="F101" s="92"/>
      <c r="G101" s="101"/>
      <c r="I101" s="38">
        <f t="shared" si="87"/>
        <v>2106</v>
      </c>
      <c r="J101" s="39"/>
      <c r="K101" s="39">
        <f t="shared" si="88"/>
        <v>87</v>
      </c>
      <c r="L101" s="39"/>
      <c r="M101" s="40">
        <f t="shared" si="51"/>
        <v>7.6411979526658208E-2</v>
      </c>
      <c r="N101" s="39"/>
      <c r="O101" s="72" t="str">
        <f t="shared" si="67"/>
        <v/>
      </c>
      <c r="P101" s="41" t="str">
        <f t="shared" si="52"/>
        <v/>
      </c>
      <c r="Q101" s="39"/>
      <c r="R101" s="72" t="str">
        <f t="shared" si="68"/>
        <v/>
      </c>
      <c r="S101" s="39"/>
      <c r="T101" s="72" t="str">
        <f t="shared" si="69"/>
        <v/>
      </c>
      <c r="U101" s="39"/>
      <c r="V101" s="72" t="str">
        <f t="shared" si="53"/>
        <v/>
      </c>
      <c r="W101" s="72" t="str">
        <f t="shared" si="70"/>
        <v/>
      </c>
      <c r="X101" s="39"/>
      <c r="Y101" s="72" t="str">
        <f t="shared" si="54"/>
        <v/>
      </c>
      <c r="Z101" s="72" t="str">
        <f t="shared" si="71"/>
        <v/>
      </c>
      <c r="AA101" s="39"/>
      <c r="AB101" s="72" t="str">
        <f t="shared" si="55"/>
        <v/>
      </c>
      <c r="AC101" s="72" t="str">
        <f t="shared" si="72"/>
        <v/>
      </c>
      <c r="AD101" s="39"/>
      <c r="AE101" s="72" t="str">
        <f t="shared" si="56"/>
        <v/>
      </c>
      <c r="AF101" s="72" t="str">
        <f t="shared" si="73"/>
        <v/>
      </c>
      <c r="AG101" s="39"/>
      <c r="AH101" s="72" t="str">
        <f t="shared" si="57"/>
        <v/>
      </c>
      <c r="AI101" s="72" t="str">
        <f t="shared" si="74"/>
        <v/>
      </c>
      <c r="AJ101" s="39"/>
      <c r="AK101" s="72" t="str">
        <f t="shared" si="75"/>
        <v/>
      </c>
      <c r="AL101" s="72" t="str">
        <f t="shared" si="76"/>
        <v/>
      </c>
      <c r="AM101" s="39"/>
      <c r="AN101" s="72" t="str">
        <f t="shared" si="58"/>
        <v/>
      </c>
      <c r="AO101" s="72" t="str">
        <f t="shared" si="77"/>
        <v/>
      </c>
      <c r="AP101" s="39"/>
      <c r="AQ101" s="72" t="str">
        <f t="shared" si="59"/>
        <v/>
      </c>
      <c r="AR101" s="72" t="str">
        <f t="shared" si="78"/>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60"/>
        <v/>
      </c>
      <c r="AW101" s="72" t="str">
        <f t="shared" si="61"/>
        <v/>
      </c>
      <c r="AX101" s="39"/>
      <c r="AY101" s="40" t="str">
        <f>IF(ISERROR(IF($K101&lt;=$F$15,VLOOKUP($I101,'表4）CO2価格'!$A$7:$E$67,VLOOKUP($F$48,'表4）CO2価格'!$H$10:$I$12,2,0),0)*$F$8/1000,"")),0,IF($K101&lt;=$F$15,VLOOKUP($I101,'表4）CO2価格'!$A$7:$E$67,VLOOKUP($F$48,'表4）CO2価格'!$H$10:$I$12,2,0),0)*$F$8/1000,""))</f>
        <v/>
      </c>
      <c r="AZ101" s="39"/>
      <c r="BA101" s="42" t="str">
        <f t="shared" si="62"/>
        <v/>
      </c>
      <c r="BB101" s="72" t="str">
        <f t="shared" si="79"/>
        <v/>
      </c>
      <c r="BC101" s="39"/>
      <c r="BD101" s="72" t="str">
        <f t="shared" si="63"/>
        <v/>
      </c>
      <c r="BE101" s="72" t="str">
        <f t="shared" si="80"/>
        <v/>
      </c>
      <c r="BF101" s="39"/>
      <c r="BG101" s="42" t="str">
        <f t="shared" si="64"/>
        <v/>
      </c>
      <c r="BH101" s="72" t="str">
        <f t="shared" si="81"/>
        <v/>
      </c>
      <c r="BI101" s="39"/>
      <c r="BJ101" s="40" t="str">
        <f t="shared" si="82"/>
        <v/>
      </c>
      <c r="BK101" s="157" t="str">
        <f t="shared" si="83"/>
        <v/>
      </c>
      <c r="BL101" s="157" t="str">
        <f t="shared" si="65"/>
        <v/>
      </c>
      <c r="BM101" s="72"/>
      <c r="BN101" s="72" t="str">
        <f t="shared" si="84"/>
        <v/>
      </c>
      <c r="BO101" s="72" t="str">
        <f t="shared" si="85"/>
        <v/>
      </c>
      <c r="BP101" s="39"/>
      <c r="BQ101" s="72" t="str">
        <f t="shared" si="66"/>
        <v/>
      </c>
      <c r="BR101" s="72" t="str">
        <f t="shared" si="86"/>
        <v/>
      </c>
    </row>
    <row r="102" spans="4:70" x14ac:dyDescent="0.15">
      <c r="F102" s="93"/>
      <c r="I102" s="322">
        <f t="shared" si="87"/>
        <v>2107</v>
      </c>
      <c r="J102" s="71"/>
      <c r="K102" s="71">
        <f t="shared" si="88"/>
        <v>88</v>
      </c>
      <c r="L102" s="71"/>
      <c r="M102" s="7">
        <f t="shared" si="51"/>
        <v>7.4186387889959446E-2</v>
      </c>
      <c r="N102" s="71"/>
      <c r="O102" s="10" t="str">
        <f t="shared" si="67"/>
        <v/>
      </c>
      <c r="P102" s="29" t="str">
        <f t="shared" si="52"/>
        <v/>
      </c>
      <c r="Q102" s="71"/>
      <c r="R102" s="10" t="str">
        <f t="shared" si="68"/>
        <v/>
      </c>
      <c r="S102" s="71"/>
      <c r="T102" s="10" t="str">
        <f t="shared" si="69"/>
        <v/>
      </c>
      <c r="U102" s="71"/>
      <c r="V102" s="10" t="str">
        <f t="shared" si="53"/>
        <v/>
      </c>
      <c r="W102" s="10" t="str">
        <f t="shared" si="70"/>
        <v/>
      </c>
      <c r="X102" s="71"/>
      <c r="Y102" s="10" t="str">
        <f t="shared" si="54"/>
        <v/>
      </c>
      <c r="Z102" s="10" t="str">
        <f t="shared" si="71"/>
        <v/>
      </c>
      <c r="AA102" s="71"/>
      <c r="AB102" s="10" t="str">
        <f t="shared" si="55"/>
        <v/>
      </c>
      <c r="AC102" s="10" t="str">
        <f t="shared" si="72"/>
        <v/>
      </c>
      <c r="AD102" s="71"/>
      <c r="AE102" s="10" t="str">
        <f t="shared" si="56"/>
        <v/>
      </c>
      <c r="AF102" s="10" t="str">
        <f t="shared" si="73"/>
        <v/>
      </c>
      <c r="AG102" s="71"/>
      <c r="AH102" s="10" t="str">
        <f t="shared" si="57"/>
        <v/>
      </c>
      <c r="AI102" s="10" t="str">
        <f t="shared" si="74"/>
        <v/>
      </c>
      <c r="AJ102" s="71"/>
      <c r="AK102" s="10" t="str">
        <f t="shared" si="75"/>
        <v/>
      </c>
      <c r="AL102" s="10" t="str">
        <f t="shared" si="76"/>
        <v/>
      </c>
      <c r="AM102" s="71"/>
      <c r="AN102" s="10" t="str">
        <f t="shared" si="58"/>
        <v/>
      </c>
      <c r="AO102" s="10" t="str">
        <f t="shared" si="77"/>
        <v/>
      </c>
      <c r="AP102" s="71"/>
      <c r="AQ102" s="10" t="str">
        <f t="shared" si="59"/>
        <v/>
      </c>
      <c r="AR102" s="10" t="str">
        <f t="shared" si="78"/>
        <v/>
      </c>
      <c r="AS102" s="71"/>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U102" s="71"/>
      <c r="AV102" s="10" t="str">
        <f t="shared" si="60"/>
        <v/>
      </c>
      <c r="AW102" s="10" t="str">
        <f t="shared" si="61"/>
        <v/>
      </c>
      <c r="AX102" s="71"/>
      <c r="AY102" s="7" t="str">
        <f>IF(ISERROR(IF($K102&lt;=$F$15,VLOOKUP($I102,'表4）CO2価格'!$A$7:$E$67,VLOOKUP($F$48,'表4）CO2価格'!$H$10:$I$12,2,0),0)*$F$8/1000,"")),0,IF($K102&lt;=$F$15,VLOOKUP($I102,'表4）CO2価格'!$A$7:$E$67,VLOOKUP($F$48,'表4）CO2価格'!$H$10:$I$12,2,0),0)*$F$8/1000,""))</f>
        <v/>
      </c>
      <c r="AZ102" s="71"/>
      <c r="BA102" s="11" t="str">
        <f t="shared" si="62"/>
        <v/>
      </c>
      <c r="BB102" s="10" t="str">
        <f t="shared" si="79"/>
        <v/>
      </c>
      <c r="BC102" s="71"/>
      <c r="BD102" s="10" t="str">
        <f t="shared" si="63"/>
        <v/>
      </c>
      <c r="BE102" s="10" t="str">
        <f t="shared" si="80"/>
        <v/>
      </c>
      <c r="BF102" s="71"/>
      <c r="BG102" s="11" t="str">
        <f t="shared" si="64"/>
        <v/>
      </c>
      <c r="BH102" s="10" t="str">
        <f t="shared" si="81"/>
        <v/>
      </c>
      <c r="BJ102" s="7" t="str">
        <f t="shared" si="82"/>
        <v/>
      </c>
      <c r="BK102" s="158" t="str">
        <f t="shared" si="83"/>
        <v/>
      </c>
      <c r="BL102" s="158" t="str">
        <f t="shared" si="65"/>
        <v/>
      </c>
      <c r="BM102" s="10"/>
      <c r="BN102" s="10" t="str">
        <f t="shared" si="84"/>
        <v/>
      </c>
      <c r="BO102" s="10" t="str">
        <f t="shared" si="85"/>
        <v/>
      </c>
      <c r="BQ102" s="10" t="str">
        <f t="shared" si="66"/>
        <v/>
      </c>
      <c r="BR102" s="10" t="str">
        <f t="shared" si="86"/>
        <v/>
      </c>
    </row>
    <row r="103" spans="4:70" x14ac:dyDescent="0.15">
      <c r="E103" s="81" t="s">
        <v>202</v>
      </c>
      <c r="F103" s="91">
        <f>BB116/$BR$116</f>
        <v>3.7535880236051709</v>
      </c>
      <c r="G103" s="81" t="s">
        <v>132</v>
      </c>
      <c r="I103" s="38">
        <f t="shared" si="87"/>
        <v>2108</v>
      </c>
      <c r="J103" s="39"/>
      <c r="K103" s="39">
        <f t="shared" si="88"/>
        <v>89</v>
      </c>
      <c r="L103" s="39"/>
      <c r="M103" s="40">
        <f t="shared" si="51"/>
        <v>7.2025619310640235E-2</v>
      </c>
      <c r="N103" s="39"/>
      <c r="O103" s="72" t="str">
        <f t="shared" si="67"/>
        <v/>
      </c>
      <c r="P103" s="41" t="str">
        <f t="shared" si="52"/>
        <v/>
      </c>
      <c r="Q103" s="39"/>
      <c r="R103" s="72" t="str">
        <f t="shared" si="68"/>
        <v/>
      </c>
      <c r="S103" s="39"/>
      <c r="T103" s="72" t="str">
        <f t="shared" si="69"/>
        <v/>
      </c>
      <c r="U103" s="39"/>
      <c r="V103" s="72" t="str">
        <f t="shared" si="53"/>
        <v/>
      </c>
      <c r="W103" s="72" t="str">
        <f t="shared" si="70"/>
        <v/>
      </c>
      <c r="X103" s="39"/>
      <c r="Y103" s="72" t="str">
        <f t="shared" si="54"/>
        <v/>
      </c>
      <c r="Z103" s="72" t="str">
        <f t="shared" si="71"/>
        <v/>
      </c>
      <c r="AA103" s="39"/>
      <c r="AB103" s="72" t="str">
        <f t="shared" si="55"/>
        <v/>
      </c>
      <c r="AC103" s="72" t="str">
        <f t="shared" si="72"/>
        <v/>
      </c>
      <c r="AD103" s="39"/>
      <c r="AE103" s="72" t="str">
        <f t="shared" si="56"/>
        <v/>
      </c>
      <c r="AF103" s="72" t="str">
        <f t="shared" si="73"/>
        <v/>
      </c>
      <c r="AG103" s="39"/>
      <c r="AH103" s="72" t="str">
        <f t="shared" si="57"/>
        <v/>
      </c>
      <c r="AI103" s="72" t="str">
        <f t="shared" si="74"/>
        <v/>
      </c>
      <c r="AJ103" s="39"/>
      <c r="AK103" s="72" t="str">
        <f t="shared" si="75"/>
        <v/>
      </c>
      <c r="AL103" s="72" t="str">
        <f t="shared" si="76"/>
        <v/>
      </c>
      <c r="AM103" s="39"/>
      <c r="AN103" s="72" t="str">
        <f t="shared" si="58"/>
        <v/>
      </c>
      <c r="AO103" s="72" t="str">
        <f t="shared" si="77"/>
        <v/>
      </c>
      <c r="AP103" s="39"/>
      <c r="AQ103" s="72" t="str">
        <f t="shared" si="59"/>
        <v/>
      </c>
      <c r="AR103" s="72" t="str">
        <f t="shared" si="78"/>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60"/>
        <v/>
      </c>
      <c r="AW103" s="72" t="str">
        <f t="shared" si="61"/>
        <v/>
      </c>
      <c r="AX103" s="39"/>
      <c r="AY103" s="40" t="str">
        <f>IF(ISERROR(IF($K103&lt;=$F$15,VLOOKUP($I103,'表4）CO2価格'!$A$7:$E$67,VLOOKUP($F$48,'表4）CO2価格'!$H$10:$I$12,2,0),0)*$F$8/1000,"")),0,IF($K103&lt;=$F$15,VLOOKUP($I103,'表4）CO2価格'!$A$7:$E$67,VLOOKUP($F$48,'表4）CO2価格'!$H$10:$I$12,2,0),0)*$F$8/1000,""))</f>
        <v/>
      </c>
      <c r="AZ103" s="39"/>
      <c r="BA103" s="42" t="str">
        <f t="shared" si="62"/>
        <v/>
      </c>
      <c r="BB103" s="72" t="str">
        <f t="shared" si="79"/>
        <v/>
      </c>
      <c r="BC103" s="39"/>
      <c r="BD103" s="72" t="str">
        <f t="shared" si="63"/>
        <v/>
      </c>
      <c r="BE103" s="72" t="str">
        <f t="shared" si="80"/>
        <v/>
      </c>
      <c r="BF103" s="39"/>
      <c r="BG103" s="42" t="str">
        <f t="shared" si="64"/>
        <v/>
      </c>
      <c r="BH103" s="72" t="str">
        <f t="shared" si="81"/>
        <v/>
      </c>
      <c r="BI103" s="39"/>
      <c r="BJ103" s="40" t="str">
        <f t="shared" si="82"/>
        <v/>
      </c>
      <c r="BK103" s="157" t="str">
        <f t="shared" si="83"/>
        <v/>
      </c>
      <c r="BL103" s="157" t="str">
        <f t="shared" si="65"/>
        <v/>
      </c>
      <c r="BM103" s="72"/>
      <c r="BN103" s="72" t="str">
        <f t="shared" si="84"/>
        <v/>
      </c>
      <c r="BO103" s="72" t="str">
        <f t="shared" si="85"/>
        <v/>
      </c>
      <c r="BP103" s="39"/>
      <c r="BQ103" s="72" t="str">
        <f t="shared" si="66"/>
        <v/>
      </c>
      <c r="BR103" s="72" t="str">
        <f t="shared" si="86"/>
        <v/>
      </c>
    </row>
    <row r="104" spans="4:70" x14ac:dyDescent="0.15">
      <c r="E104" s="81" t="s">
        <v>203</v>
      </c>
      <c r="F104" s="91">
        <f>IF(ISERROR(F60*(1/F61)/F62),0,F60*(1/F61)/F62)</f>
        <v>0</v>
      </c>
      <c r="G104" s="81" t="s">
        <v>132</v>
      </c>
      <c r="I104" s="322">
        <f t="shared" si="87"/>
        <v>2109</v>
      </c>
      <c r="J104" s="71"/>
      <c r="K104" s="71">
        <f t="shared" si="88"/>
        <v>90</v>
      </c>
      <c r="L104" s="71"/>
      <c r="M104" s="7">
        <f t="shared" si="51"/>
        <v>6.9927785738485654E-2</v>
      </c>
      <c r="N104" s="71"/>
      <c r="O104" s="10" t="str">
        <f t="shared" si="67"/>
        <v/>
      </c>
      <c r="P104" s="29" t="str">
        <f t="shared" si="52"/>
        <v/>
      </c>
      <c r="Q104" s="71"/>
      <c r="R104" s="10" t="str">
        <f t="shared" si="68"/>
        <v/>
      </c>
      <c r="S104" s="71"/>
      <c r="T104" s="10" t="str">
        <f t="shared" si="69"/>
        <v/>
      </c>
      <c r="U104" s="71"/>
      <c r="V104" s="10" t="str">
        <f t="shared" si="53"/>
        <v/>
      </c>
      <c r="W104" s="10" t="str">
        <f t="shared" si="70"/>
        <v/>
      </c>
      <c r="X104" s="71"/>
      <c r="Y104" s="10" t="str">
        <f t="shared" si="54"/>
        <v/>
      </c>
      <c r="Z104" s="10" t="str">
        <f t="shared" si="71"/>
        <v/>
      </c>
      <c r="AA104" s="71"/>
      <c r="AB104" s="10" t="str">
        <f t="shared" si="55"/>
        <v/>
      </c>
      <c r="AC104" s="10" t="str">
        <f t="shared" si="72"/>
        <v/>
      </c>
      <c r="AD104" s="71"/>
      <c r="AE104" s="10" t="str">
        <f t="shared" si="56"/>
        <v/>
      </c>
      <c r="AF104" s="10" t="str">
        <f t="shared" si="73"/>
        <v/>
      </c>
      <c r="AG104" s="71"/>
      <c r="AH104" s="10" t="str">
        <f t="shared" si="57"/>
        <v/>
      </c>
      <c r="AI104" s="10" t="str">
        <f t="shared" si="74"/>
        <v/>
      </c>
      <c r="AJ104" s="71"/>
      <c r="AK104" s="10" t="str">
        <f t="shared" si="75"/>
        <v/>
      </c>
      <c r="AL104" s="10" t="str">
        <f t="shared" si="76"/>
        <v/>
      </c>
      <c r="AM104" s="71"/>
      <c r="AN104" s="10" t="str">
        <f t="shared" si="58"/>
        <v/>
      </c>
      <c r="AO104" s="10" t="str">
        <f t="shared" si="77"/>
        <v/>
      </c>
      <c r="AP104" s="71"/>
      <c r="AQ104" s="10" t="str">
        <f t="shared" si="59"/>
        <v/>
      </c>
      <c r="AR104" s="10" t="str">
        <f t="shared" si="78"/>
        <v/>
      </c>
      <c r="AS104" s="71"/>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U104" s="71"/>
      <c r="AV104" s="10" t="str">
        <f t="shared" si="60"/>
        <v/>
      </c>
      <c r="AW104" s="10" t="str">
        <f t="shared" si="61"/>
        <v/>
      </c>
      <c r="AX104" s="71"/>
      <c r="AY104" s="7" t="str">
        <f>IF(ISERROR(IF($K104&lt;=$F$15,VLOOKUP($I104,'表4）CO2価格'!$A$7:$E$67,VLOOKUP($F$48,'表4）CO2価格'!$H$10:$I$12,2,0),0)*$F$8/1000,"")),0,IF($K104&lt;=$F$15,VLOOKUP($I104,'表4）CO2価格'!$A$7:$E$67,VLOOKUP($F$48,'表4）CO2価格'!$H$10:$I$12,2,0),0)*$F$8/1000,""))</f>
        <v/>
      </c>
      <c r="AZ104" s="71"/>
      <c r="BA104" s="11" t="str">
        <f t="shared" si="62"/>
        <v/>
      </c>
      <c r="BB104" s="10" t="str">
        <f t="shared" si="79"/>
        <v/>
      </c>
      <c r="BC104" s="71"/>
      <c r="BD104" s="10" t="str">
        <f t="shared" si="63"/>
        <v/>
      </c>
      <c r="BE104" s="10" t="str">
        <f t="shared" si="80"/>
        <v/>
      </c>
      <c r="BF104" s="71"/>
      <c r="BG104" s="11" t="str">
        <f t="shared" si="64"/>
        <v/>
      </c>
      <c r="BH104" s="10" t="str">
        <f t="shared" si="81"/>
        <v/>
      </c>
      <c r="BJ104" s="7" t="str">
        <f t="shared" si="82"/>
        <v/>
      </c>
      <c r="BK104" s="158" t="str">
        <f t="shared" si="83"/>
        <v/>
      </c>
      <c r="BL104" s="158" t="str">
        <f t="shared" si="65"/>
        <v/>
      </c>
      <c r="BM104" s="10"/>
      <c r="BN104" s="10" t="str">
        <f t="shared" si="84"/>
        <v/>
      </c>
      <c r="BO104" s="10" t="str">
        <f t="shared" si="85"/>
        <v/>
      </c>
      <c r="BQ104" s="10" t="str">
        <f t="shared" si="66"/>
        <v/>
      </c>
      <c r="BR104" s="10" t="str">
        <f t="shared" si="86"/>
        <v/>
      </c>
    </row>
    <row r="105" spans="4:70" x14ac:dyDescent="0.15">
      <c r="E105" s="9" t="s">
        <v>367</v>
      </c>
      <c r="F105" s="91">
        <f>F64</f>
        <v>3.4849999999999999E-2</v>
      </c>
      <c r="G105" s="81" t="s">
        <v>132</v>
      </c>
      <c r="I105" s="38">
        <f t="shared" si="87"/>
        <v>2110</v>
      </c>
      <c r="J105" s="39"/>
      <c r="K105" s="39">
        <f t="shared" si="88"/>
        <v>91</v>
      </c>
      <c r="L105" s="39"/>
      <c r="M105" s="40">
        <f t="shared" si="51"/>
        <v>6.7891054115034627E-2</v>
      </c>
      <c r="N105" s="39"/>
      <c r="O105" s="72" t="str">
        <f t="shared" si="67"/>
        <v/>
      </c>
      <c r="P105" s="41" t="str">
        <f t="shared" si="52"/>
        <v/>
      </c>
      <c r="Q105" s="39"/>
      <c r="R105" s="72" t="str">
        <f t="shared" si="68"/>
        <v/>
      </c>
      <c r="S105" s="39"/>
      <c r="T105" s="72" t="str">
        <f t="shared" si="69"/>
        <v/>
      </c>
      <c r="U105" s="39"/>
      <c r="V105" s="72" t="str">
        <f t="shared" si="53"/>
        <v/>
      </c>
      <c r="W105" s="72" t="str">
        <f t="shared" si="70"/>
        <v/>
      </c>
      <c r="X105" s="39"/>
      <c r="Y105" s="72" t="str">
        <f t="shared" si="54"/>
        <v/>
      </c>
      <c r="Z105" s="72" t="str">
        <f t="shared" si="71"/>
        <v/>
      </c>
      <c r="AA105" s="39"/>
      <c r="AB105" s="72" t="str">
        <f t="shared" si="55"/>
        <v/>
      </c>
      <c r="AC105" s="72" t="str">
        <f t="shared" si="72"/>
        <v/>
      </c>
      <c r="AD105" s="39"/>
      <c r="AE105" s="72" t="str">
        <f t="shared" si="56"/>
        <v/>
      </c>
      <c r="AF105" s="72" t="str">
        <f t="shared" si="73"/>
        <v/>
      </c>
      <c r="AG105" s="39"/>
      <c r="AH105" s="72" t="str">
        <f t="shared" si="57"/>
        <v/>
      </c>
      <c r="AI105" s="72" t="str">
        <f t="shared" si="74"/>
        <v/>
      </c>
      <c r="AJ105" s="39"/>
      <c r="AK105" s="72" t="str">
        <f t="shared" si="75"/>
        <v/>
      </c>
      <c r="AL105" s="72" t="str">
        <f t="shared" si="76"/>
        <v/>
      </c>
      <c r="AM105" s="39"/>
      <c r="AN105" s="72" t="str">
        <f t="shared" si="58"/>
        <v/>
      </c>
      <c r="AO105" s="72" t="str">
        <f t="shared" si="77"/>
        <v/>
      </c>
      <c r="AP105" s="39"/>
      <c r="AQ105" s="72" t="str">
        <f t="shared" si="59"/>
        <v/>
      </c>
      <c r="AR105" s="72" t="str">
        <f t="shared" si="78"/>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60"/>
        <v/>
      </c>
      <c r="AW105" s="72" t="str">
        <f t="shared" si="61"/>
        <v/>
      </c>
      <c r="AX105" s="39"/>
      <c r="AY105" s="40" t="str">
        <f>IF(ISERROR(IF($K105&lt;=$F$15,VLOOKUP($I105,'表4）CO2価格'!$A$7:$E$67,VLOOKUP($F$48,'表4）CO2価格'!$H$10:$I$12,2,0),0)*$F$8/1000,"")),0,IF($K105&lt;=$F$15,VLOOKUP($I105,'表4）CO2価格'!$A$7:$E$67,VLOOKUP($F$48,'表4）CO2価格'!$H$10:$I$12,2,0),0)*$F$8/1000,""))</f>
        <v/>
      </c>
      <c r="AZ105" s="39"/>
      <c r="BA105" s="42" t="str">
        <f t="shared" si="62"/>
        <v/>
      </c>
      <c r="BB105" s="72" t="str">
        <f t="shared" si="79"/>
        <v/>
      </c>
      <c r="BC105" s="39"/>
      <c r="BD105" s="72" t="str">
        <f t="shared" si="63"/>
        <v/>
      </c>
      <c r="BE105" s="72" t="str">
        <f t="shared" si="80"/>
        <v/>
      </c>
      <c r="BF105" s="39"/>
      <c r="BG105" s="42" t="str">
        <f t="shared" si="64"/>
        <v/>
      </c>
      <c r="BH105" s="72" t="str">
        <f t="shared" si="81"/>
        <v/>
      </c>
      <c r="BI105" s="39"/>
      <c r="BJ105" s="40" t="str">
        <f t="shared" si="82"/>
        <v/>
      </c>
      <c r="BK105" s="157" t="str">
        <f t="shared" si="83"/>
        <v/>
      </c>
      <c r="BL105" s="157" t="str">
        <f t="shared" si="65"/>
        <v/>
      </c>
      <c r="BM105" s="72"/>
      <c r="BN105" s="72" t="str">
        <f t="shared" si="84"/>
        <v/>
      </c>
      <c r="BO105" s="72" t="str">
        <f t="shared" si="85"/>
        <v/>
      </c>
      <c r="BP105" s="39"/>
      <c r="BQ105" s="72" t="str">
        <f t="shared" si="66"/>
        <v/>
      </c>
      <c r="BR105" s="72" t="str">
        <f t="shared" si="86"/>
        <v/>
      </c>
    </row>
    <row r="106" spans="4:70" x14ac:dyDescent="0.15">
      <c r="F106" s="93"/>
      <c r="I106" s="322">
        <f t="shared" si="87"/>
        <v>2111</v>
      </c>
      <c r="J106" s="71"/>
      <c r="K106" s="71">
        <f t="shared" si="88"/>
        <v>92</v>
      </c>
      <c r="L106" s="71"/>
      <c r="M106" s="7">
        <f t="shared" si="51"/>
        <v>6.5913644771878277E-2</v>
      </c>
      <c r="N106" s="71"/>
      <c r="O106" s="10" t="str">
        <f t="shared" si="67"/>
        <v/>
      </c>
      <c r="P106" s="29" t="str">
        <f t="shared" si="52"/>
        <v/>
      </c>
      <c r="Q106" s="71"/>
      <c r="R106" s="10" t="str">
        <f t="shared" si="68"/>
        <v/>
      </c>
      <c r="S106" s="71"/>
      <c r="T106" s="10" t="str">
        <f t="shared" si="69"/>
        <v/>
      </c>
      <c r="U106" s="71"/>
      <c r="V106" s="10" t="str">
        <f t="shared" si="53"/>
        <v/>
      </c>
      <c r="W106" s="10" t="str">
        <f t="shared" si="70"/>
        <v/>
      </c>
      <c r="X106" s="71"/>
      <c r="Y106" s="10" t="str">
        <f t="shared" si="54"/>
        <v/>
      </c>
      <c r="Z106" s="10" t="str">
        <f t="shared" si="71"/>
        <v/>
      </c>
      <c r="AA106" s="71"/>
      <c r="AB106" s="10" t="str">
        <f t="shared" si="55"/>
        <v/>
      </c>
      <c r="AC106" s="10" t="str">
        <f t="shared" si="72"/>
        <v/>
      </c>
      <c r="AD106" s="71"/>
      <c r="AE106" s="10" t="str">
        <f t="shared" si="56"/>
        <v/>
      </c>
      <c r="AF106" s="10" t="str">
        <f t="shared" si="73"/>
        <v/>
      </c>
      <c r="AG106" s="71"/>
      <c r="AH106" s="10" t="str">
        <f t="shared" si="57"/>
        <v/>
      </c>
      <c r="AI106" s="10" t="str">
        <f t="shared" si="74"/>
        <v/>
      </c>
      <c r="AJ106" s="71"/>
      <c r="AK106" s="10" t="str">
        <f t="shared" si="75"/>
        <v/>
      </c>
      <c r="AL106" s="10" t="str">
        <f t="shared" si="76"/>
        <v/>
      </c>
      <c r="AM106" s="71"/>
      <c r="AN106" s="10" t="str">
        <f t="shared" si="58"/>
        <v/>
      </c>
      <c r="AO106" s="10" t="str">
        <f t="shared" si="77"/>
        <v/>
      </c>
      <c r="AP106" s="71"/>
      <c r="AQ106" s="10" t="str">
        <f t="shared" si="59"/>
        <v/>
      </c>
      <c r="AR106" s="10" t="str">
        <f t="shared" si="78"/>
        <v/>
      </c>
      <c r="AS106" s="71"/>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U106" s="71"/>
      <c r="AV106" s="10" t="str">
        <f t="shared" si="60"/>
        <v/>
      </c>
      <c r="AW106" s="10" t="str">
        <f t="shared" si="61"/>
        <v/>
      </c>
      <c r="AX106" s="71"/>
      <c r="AY106" s="7" t="str">
        <f>IF(ISERROR(IF($K106&lt;=$F$15,VLOOKUP($I106,'表4）CO2価格'!$A$7:$E$67,VLOOKUP($F$48,'表4）CO2価格'!$H$10:$I$12,2,0),0)*$F$8/1000,"")),0,IF($K106&lt;=$F$15,VLOOKUP($I106,'表4）CO2価格'!$A$7:$E$67,VLOOKUP($F$48,'表4）CO2価格'!$H$10:$I$12,2,0),0)*$F$8/1000,""))</f>
        <v/>
      </c>
      <c r="AZ106" s="71"/>
      <c r="BA106" s="11" t="str">
        <f t="shared" si="62"/>
        <v/>
      </c>
      <c r="BB106" s="10" t="str">
        <f t="shared" si="79"/>
        <v/>
      </c>
      <c r="BC106" s="71"/>
      <c r="BD106" s="10" t="str">
        <f t="shared" si="63"/>
        <v/>
      </c>
      <c r="BE106" s="10" t="str">
        <f t="shared" si="80"/>
        <v/>
      </c>
      <c r="BF106" s="71"/>
      <c r="BG106" s="11" t="str">
        <f t="shared" si="64"/>
        <v/>
      </c>
      <c r="BH106" s="10" t="str">
        <f t="shared" si="81"/>
        <v/>
      </c>
      <c r="BJ106" s="7" t="str">
        <f t="shared" si="82"/>
        <v/>
      </c>
      <c r="BK106" s="158" t="str">
        <f t="shared" si="83"/>
        <v/>
      </c>
      <c r="BL106" s="158" t="str">
        <f t="shared" si="65"/>
        <v/>
      </c>
      <c r="BM106" s="10"/>
      <c r="BN106" s="10" t="str">
        <f t="shared" si="84"/>
        <v/>
      </c>
      <c r="BO106" s="10" t="str">
        <f t="shared" si="85"/>
        <v/>
      </c>
      <c r="BQ106" s="10" t="str">
        <f t="shared" si="66"/>
        <v/>
      </c>
      <c r="BR106" s="10" t="str">
        <f t="shared" si="86"/>
        <v/>
      </c>
    </row>
    <row r="107" spans="4:70" ht="15" x14ac:dyDescent="0.15">
      <c r="D107" s="116" t="s">
        <v>204</v>
      </c>
      <c r="F107" s="94">
        <f>SUBTOTAL(9,F111:F112)</f>
        <v>-5.8346325539439778</v>
      </c>
      <c r="G107" s="81" t="s">
        <v>132</v>
      </c>
      <c r="I107" s="38">
        <f t="shared" si="87"/>
        <v>2112</v>
      </c>
      <c r="J107" s="39"/>
      <c r="K107" s="39">
        <f t="shared" si="88"/>
        <v>93</v>
      </c>
      <c r="L107" s="39"/>
      <c r="M107" s="40">
        <f t="shared" si="51"/>
        <v>6.3993829875609989E-2</v>
      </c>
      <c r="N107" s="39"/>
      <c r="O107" s="72" t="str">
        <f t="shared" si="67"/>
        <v/>
      </c>
      <c r="P107" s="41" t="str">
        <f t="shared" si="52"/>
        <v/>
      </c>
      <c r="Q107" s="39"/>
      <c r="R107" s="72" t="str">
        <f t="shared" si="68"/>
        <v/>
      </c>
      <c r="S107" s="39"/>
      <c r="T107" s="72" t="str">
        <f t="shared" si="69"/>
        <v/>
      </c>
      <c r="U107" s="39"/>
      <c r="V107" s="72" t="str">
        <f t="shared" si="53"/>
        <v/>
      </c>
      <c r="W107" s="72" t="str">
        <f t="shared" si="70"/>
        <v/>
      </c>
      <c r="X107" s="39"/>
      <c r="Y107" s="72" t="str">
        <f t="shared" si="54"/>
        <v/>
      </c>
      <c r="Z107" s="72" t="str">
        <f t="shared" si="71"/>
        <v/>
      </c>
      <c r="AA107" s="39"/>
      <c r="AB107" s="72" t="str">
        <f t="shared" si="55"/>
        <v/>
      </c>
      <c r="AC107" s="72" t="str">
        <f t="shared" si="72"/>
        <v/>
      </c>
      <c r="AD107" s="39"/>
      <c r="AE107" s="72" t="str">
        <f t="shared" si="56"/>
        <v/>
      </c>
      <c r="AF107" s="72" t="str">
        <f t="shared" si="73"/>
        <v/>
      </c>
      <c r="AG107" s="39"/>
      <c r="AH107" s="72" t="str">
        <f t="shared" si="57"/>
        <v/>
      </c>
      <c r="AI107" s="72" t="str">
        <f t="shared" si="74"/>
        <v/>
      </c>
      <c r="AJ107" s="39"/>
      <c r="AK107" s="72" t="str">
        <f t="shared" si="75"/>
        <v/>
      </c>
      <c r="AL107" s="72" t="str">
        <f t="shared" si="76"/>
        <v/>
      </c>
      <c r="AM107" s="39"/>
      <c r="AN107" s="72" t="str">
        <f t="shared" si="58"/>
        <v/>
      </c>
      <c r="AO107" s="72" t="str">
        <f t="shared" si="77"/>
        <v/>
      </c>
      <c r="AP107" s="39"/>
      <c r="AQ107" s="72" t="str">
        <f t="shared" si="59"/>
        <v/>
      </c>
      <c r="AR107" s="72" t="str">
        <f t="shared" si="78"/>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60"/>
        <v/>
      </c>
      <c r="AW107" s="72" t="str">
        <f t="shared" si="61"/>
        <v/>
      </c>
      <c r="AX107" s="39"/>
      <c r="AY107" s="40" t="str">
        <f>IF(ISERROR(IF($K107&lt;=$F$15,VLOOKUP($I107,'表4）CO2価格'!$A$7:$E$67,VLOOKUP($F$48,'表4）CO2価格'!$H$10:$I$12,2,0),0)*$F$8/1000,"")),0,IF($K107&lt;=$F$15,VLOOKUP($I107,'表4）CO2価格'!$A$7:$E$67,VLOOKUP($F$48,'表4）CO2価格'!$H$10:$I$12,2,0),0)*$F$8/1000,""))</f>
        <v/>
      </c>
      <c r="AZ107" s="39"/>
      <c r="BA107" s="42" t="str">
        <f t="shared" si="62"/>
        <v/>
      </c>
      <c r="BB107" s="72" t="str">
        <f t="shared" si="79"/>
        <v/>
      </c>
      <c r="BC107" s="39"/>
      <c r="BD107" s="72" t="str">
        <f t="shared" si="63"/>
        <v/>
      </c>
      <c r="BE107" s="72" t="str">
        <f t="shared" si="80"/>
        <v/>
      </c>
      <c r="BF107" s="39"/>
      <c r="BG107" s="42" t="str">
        <f t="shared" si="64"/>
        <v/>
      </c>
      <c r="BH107" s="72" t="str">
        <f t="shared" si="81"/>
        <v/>
      </c>
      <c r="BI107" s="39"/>
      <c r="BJ107" s="40" t="str">
        <f t="shared" si="82"/>
        <v/>
      </c>
      <c r="BK107" s="157" t="str">
        <f t="shared" si="83"/>
        <v/>
      </c>
      <c r="BL107" s="157" t="str">
        <f t="shared" si="65"/>
        <v/>
      </c>
      <c r="BM107" s="72"/>
      <c r="BN107" s="72" t="str">
        <f t="shared" si="84"/>
        <v/>
      </c>
      <c r="BO107" s="72" t="str">
        <f t="shared" si="85"/>
        <v/>
      </c>
      <c r="BP107" s="39"/>
      <c r="BQ107" s="72" t="str">
        <f t="shared" si="66"/>
        <v/>
      </c>
      <c r="BR107" s="72" t="str">
        <f t="shared" si="86"/>
        <v/>
      </c>
    </row>
    <row r="108" spans="4:70" ht="15" x14ac:dyDescent="0.15">
      <c r="D108" s="116"/>
      <c r="F108" s="93"/>
      <c r="I108" s="322">
        <f t="shared" si="87"/>
        <v>2113</v>
      </c>
      <c r="J108" s="71"/>
      <c r="K108" s="71">
        <f t="shared" si="88"/>
        <v>94</v>
      </c>
      <c r="L108" s="71"/>
      <c r="M108" s="7">
        <f t="shared" si="51"/>
        <v>6.212993191806794E-2</v>
      </c>
      <c r="N108" s="71"/>
      <c r="O108" s="10" t="str">
        <f t="shared" si="67"/>
        <v/>
      </c>
      <c r="P108" s="29" t="str">
        <f t="shared" si="52"/>
        <v/>
      </c>
      <c r="Q108" s="71"/>
      <c r="R108" s="10" t="str">
        <f t="shared" si="68"/>
        <v/>
      </c>
      <c r="S108" s="71"/>
      <c r="T108" s="10" t="str">
        <f t="shared" si="69"/>
        <v/>
      </c>
      <c r="U108" s="71"/>
      <c r="V108" s="10" t="str">
        <f t="shared" si="53"/>
        <v/>
      </c>
      <c r="W108" s="10" t="str">
        <f t="shared" si="70"/>
        <v/>
      </c>
      <c r="X108" s="71"/>
      <c r="Y108" s="10" t="str">
        <f t="shared" si="54"/>
        <v/>
      </c>
      <c r="Z108" s="10" t="str">
        <f t="shared" si="71"/>
        <v/>
      </c>
      <c r="AA108" s="71"/>
      <c r="AB108" s="10" t="str">
        <f t="shared" si="55"/>
        <v/>
      </c>
      <c r="AC108" s="10" t="str">
        <f t="shared" si="72"/>
        <v/>
      </c>
      <c r="AD108" s="71"/>
      <c r="AE108" s="10" t="str">
        <f t="shared" si="56"/>
        <v/>
      </c>
      <c r="AF108" s="10" t="str">
        <f t="shared" si="73"/>
        <v/>
      </c>
      <c r="AG108" s="71"/>
      <c r="AH108" s="10" t="str">
        <f t="shared" si="57"/>
        <v/>
      </c>
      <c r="AI108" s="10" t="str">
        <f t="shared" si="74"/>
        <v/>
      </c>
      <c r="AJ108" s="71"/>
      <c r="AK108" s="10" t="str">
        <f t="shared" si="75"/>
        <v/>
      </c>
      <c r="AL108" s="10" t="str">
        <f t="shared" si="76"/>
        <v/>
      </c>
      <c r="AM108" s="71"/>
      <c r="AN108" s="10" t="str">
        <f t="shared" si="58"/>
        <v/>
      </c>
      <c r="AO108" s="10" t="str">
        <f t="shared" si="77"/>
        <v/>
      </c>
      <c r="AP108" s="71"/>
      <c r="AQ108" s="10" t="str">
        <f t="shared" si="59"/>
        <v/>
      </c>
      <c r="AR108" s="10" t="str">
        <f t="shared" si="78"/>
        <v/>
      </c>
      <c r="AS108" s="71"/>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U108" s="71"/>
      <c r="AV108" s="10" t="str">
        <f t="shared" si="60"/>
        <v/>
      </c>
      <c r="AW108" s="10" t="str">
        <f t="shared" si="61"/>
        <v/>
      </c>
      <c r="AX108" s="71"/>
      <c r="AY108" s="7" t="str">
        <f>IF(ISERROR(IF($K108&lt;=$F$15,VLOOKUP($I108,'表4）CO2価格'!$A$7:$E$67,VLOOKUP($F$48,'表4）CO2価格'!$H$10:$I$12,2,0),0)*$F$8/1000,"")),0,IF($K108&lt;=$F$15,VLOOKUP($I108,'表4）CO2価格'!$A$7:$E$67,VLOOKUP($F$48,'表4）CO2価格'!$H$10:$I$12,2,0),0)*$F$8/1000,""))</f>
        <v/>
      </c>
      <c r="AZ108" s="71"/>
      <c r="BA108" s="11" t="str">
        <f t="shared" si="62"/>
        <v/>
      </c>
      <c r="BB108" s="10" t="str">
        <f t="shared" si="79"/>
        <v/>
      </c>
      <c r="BC108" s="71"/>
      <c r="BD108" s="10" t="str">
        <f t="shared" si="63"/>
        <v/>
      </c>
      <c r="BE108" s="10" t="str">
        <f t="shared" si="80"/>
        <v/>
      </c>
      <c r="BF108" s="71"/>
      <c r="BG108" s="11" t="str">
        <f t="shared" si="64"/>
        <v/>
      </c>
      <c r="BH108" s="10" t="str">
        <f t="shared" si="81"/>
        <v/>
      </c>
      <c r="BJ108" s="7" t="str">
        <f t="shared" si="82"/>
        <v/>
      </c>
      <c r="BK108" s="158" t="str">
        <f t="shared" si="83"/>
        <v/>
      </c>
      <c r="BL108" s="158" t="str">
        <f t="shared" si="65"/>
        <v/>
      </c>
      <c r="BM108" s="10"/>
      <c r="BN108" s="10" t="str">
        <f t="shared" si="84"/>
        <v/>
      </c>
      <c r="BO108" s="10" t="str">
        <f t="shared" si="85"/>
        <v/>
      </c>
      <c r="BQ108" s="10" t="str">
        <f t="shared" si="66"/>
        <v/>
      </c>
      <c r="BR108" s="10" t="str">
        <f t="shared" si="86"/>
        <v/>
      </c>
    </row>
    <row r="109" spans="4:70" x14ac:dyDescent="0.15">
      <c r="D109" s="101" t="s">
        <v>205</v>
      </c>
      <c r="E109" s="101"/>
      <c r="F109" s="92"/>
      <c r="G109" s="101"/>
      <c r="I109" s="38">
        <f t="shared" si="87"/>
        <v>2114</v>
      </c>
      <c r="J109" s="39"/>
      <c r="K109" s="39">
        <f t="shared" si="88"/>
        <v>95</v>
      </c>
      <c r="L109" s="39"/>
      <c r="M109" s="40">
        <f t="shared" si="51"/>
        <v>6.0320322250551395E-2</v>
      </c>
      <c r="N109" s="39"/>
      <c r="O109" s="72" t="str">
        <f t="shared" si="67"/>
        <v/>
      </c>
      <c r="P109" s="41" t="str">
        <f t="shared" si="52"/>
        <v/>
      </c>
      <c r="Q109" s="39"/>
      <c r="R109" s="72" t="str">
        <f t="shared" si="68"/>
        <v/>
      </c>
      <c r="S109" s="39"/>
      <c r="T109" s="72" t="str">
        <f t="shared" si="69"/>
        <v/>
      </c>
      <c r="U109" s="39"/>
      <c r="V109" s="72" t="str">
        <f t="shared" si="53"/>
        <v/>
      </c>
      <c r="W109" s="72" t="str">
        <f t="shared" si="70"/>
        <v/>
      </c>
      <c r="X109" s="39"/>
      <c r="Y109" s="72" t="str">
        <f t="shared" si="54"/>
        <v/>
      </c>
      <c r="Z109" s="72" t="str">
        <f t="shared" si="71"/>
        <v/>
      </c>
      <c r="AA109" s="39"/>
      <c r="AB109" s="72" t="str">
        <f t="shared" si="55"/>
        <v/>
      </c>
      <c r="AC109" s="72" t="str">
        <f t="shared" si="72"/>
        <v/>
      </c>
      <c r="AD109" s="39"/>
      <c r="AE109" s="72" t="str">
        <f t="shared" si="56"/>
        <v/>
      </c>
      <c r="AF109" s="72" t="str">
        <f t="shared" si="73"/>
        <v/>
      </c>
      <c r="AG109" s="39"/>
      <c r="AH109" s="72" t="str">
        <f t="shared" si="57"/>
        <v/>
      </c>
      <c r="AI109" s="72" t="str">
        <f t="shared" si="74"/>
        <v/>
      </c>
      <c r="AJ109" s="39"/>
      <c r="AK109" s="72" t="str">
        <f t="shared" si="75"/>
        <v/>
      </c>
      <c r="AL109" s="72" t="str">
        <f t="shared" si="76"/>
        <v/>
      </c>
      <c r="AM109" s="39"/>
      <c r="AN109" s="72" t="str">
        <f t="shared" si="58"/>
        <v/>
      </c>
      <c r="AO109" s="72" t="str">
        <f t="shared" si="77"/>
        <v/>
      </c>
      <c r="AP109" s="39"/>
      <c r="AQ109" s="72" t="str">
        <f t="shared" si="59"/>
        <v/>
      </c>
      <c r="AR109" s="72" t="str">
        <f t="shared" si="78"/>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60"/>
        <v/>
      </c>
      <c r="AW109" s="72" t="str">
        <f t="shared" si="61"/>
        <v/>
      </c>
      <c r="AX109" s="39"/>
      <c r="AY109" s="40" t="str">
        <f>IF(ISERROR(IF($K109&lt;=$F$15,VLOOKUP($I109,'表4）CO2価格'!$A$7:$E$67,VLOOKUP($F$48,'表4）CO2価格'!$H$10:$I$12,2,0),0)*$F$8/1000,"")),0,IF($K109&lt;=$F$15,VLOOKUP($I109,'表4）CO2価格'!$A$7:$E$67,VLOOKUP($F$48,'表4）CO2価格'!$H$10:$I$12,2,0),0)*$F$8/1000,""))</f>
        <v/>
      </c>
      <c r="AZ109" s="39"/>
      <c r="BA109" s="42" t="str">
        <f t="shared" si="62"/>
        <v/>
      </c>
      <c r="BB109" s="72" t="str">
        <f t="shared" si="79"/>
        <v/>
      </c>
      <c r="BC109" s="39"/>
      <c r="BD109" s="72" t="str">
        <f t="shared" si="63"/>
        <v/>
      </c>
      <c r="BE109" s="72" t="str">
        <f t="shared" si="80"/>
        <v/>
      </c>
      <c r="BF109" s="39"/>
      <c r="BG109" s="42" t="str">
        <f t="shared" si="64"/>
        <v/>
      </c>
      <c r="BH109" s="72" t="str">
        <f t="shared" si="81"/>
        <v/>
      </c>
      <c r="BI109" s="39"/>
      <c r="BJ109" s="40" t="str">
        <f t="shared" si="82"/>
        <v/>
      </c>
      <c r="BK109" s="157" t="str">
        <f t="shared" si="83"/>
        <v/>
      </c>
      <c r="BL109" s="157" t="str">
        <f t="shared" si="65"/>
        <v/>
      </c>
      <c r="BM109" s="72"/>
      <c r="BN109" s="72" t="str">
        <f t="shared" si="84"/>
        <v/>
      </c>
      <c r="BO109" s="72" t="str">
        <f t="shared" si="85"/>
        <v/>
      </c>
      <c r="BP109" s="39"/>
      <c r="BQ109" s="72" t="str">
        <f t="shared" si="66"/>
        <v/>
      </c>
      <c r="BR109" s="72" t="str">
        <f t="shared" si="86"/>
        <v/>
      </c>
    </row>
    <row r="110" spans="4:70" ht="15" x14ac:dyDescent="0.15">
      <c r="D110" s="116"/>
      <c r="F110" s="91"/>
      <c r="I110" s="322">
        <f t="shared" si="87"/>
        <v>2115</v>
      </c>
      <c r="J110" s="71"/>
      <c r="K110" s="71">
        <f t="shared" si="88"/>
        <v>96</v>
      </c>
      <c r="L110" s="71"/>
      <c r="M110" s="7">
        <f t="shared" si="51"/>
        <v>5.8563419660729518E-2</v>
      </c>
      <c r="N110" s="71"/>
      <c r="O110" s="10" t="str">
        <f t="shared" si="67"/>
        <v/>
      </c>
      <c r="P110" s="29" t="str">
        <f t="shared" si="52"/>
        <v/>
      </c>
      <c r="Q110" s="71"/>
      <c r="R110" s="10" t="str">
        <f t="shared" si="68"/>
        <v/>
      </c>
      <c r="S110" s="71"/>
      <c r="T110" s="10" t="str">
        <f t="shared" si="69"/>
        <v/>
      </c>
      <c r="U110" s="71"/>
      <c r="V110" s="10" t="str">
        <f t="shared" si="53"/>
        <v/>
      </c>
      <c r="W110" s="10" t="str">
        <f t="shared" si="70"/>
        <v/>
      </c>
      <c r="X110" s="71"/>
      <c r="Y110" s="10" t="str">
        <f t="shared" si="54"/>
        <v/>
      </c>
      <c r="Z110" s="10" t="str">
        <f t="shared" si="71"/>
        <v/>
      </c>
      <c r="AA110" s="71"/>
      <c r="AB110" s="10" t="str">
        <f t="shared" si="55"/>
        <v/>
      </c>
      <c r="AC110" s="10" t="str">
        <f t="shared" si="72"/>
        <v/>
      </c>
      <c r="AD110" s="71"/>
      <c r="AE110" s="10" t="str">
        <f t="shared" si="56"/>
        <v/>
      </c>
      <c r="AF110" s="10" t="str">
        <f t="shared" si="73"/>
        <v/>
      </c>
      <c r="AG110" s="71"/>
      <c r="AH110" s="10" t="str">
        <f t="shared" si="57"/>
        <v/>
      </c>
      <c r="AI110" s="10" t="str">
        <f t="shared" si="74"/>
        <v/>
      </c>
      <c r="AJ110" s="71"/>
      <c r="AK110" s="10" t="str">
        <f t="shared" si="75"/>
        <v/>
      </c>
      <c r="AL110" s="10" t="str">
        <f t="shared" si="76"/>
        <v/>
      </c>
      <c r="AM110" s="71"/>
      <c r="AN110" s="10" t="str">
        <f t="shared" si="58"/>
        <v/>
      </c>
      <c r="AO110" s="10" t="str">
        <f t="shared" si="77"/>
        <v/>
      </c>
      <c r="AP110" s="71"/>
      <c r="AQ110" s="10" t="str">
        <f t="shared" si="59"/>
        <v/>
      </c>
      <c r="AR110" s="10" t="str">
        <f t="shared" si="78"/>
        <v/>
      </c>
      <c r="AS110" s="71"/>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U110" s="71"/>
      <c r="AV110" s="10" t="str">
        <f t="shared" si="60"/>
        <v/>
      </c>
      <c r="AW110" s="10" t="str">
        <f t="shared" si="61"/>
        <v/>
      </c>
      <c r="AX110" s="71"/>
      <c r="AY110" s="7" t="str">
        <f>IF(ISERROR(IF($K110&lt;=$F$15,VLOOKUP($I110,'表4）CO2価格'!$A$7:$E$67,VLOOKUP($F$48,'表4）CO2価格'!$H$10:$I$12,2,0),0)*$F$8/1000,"")),0,IF($K110&lt;=$F$15,VLOOKUP($I110,'表4）CO2価格'!$A$7:$E$67,VLOOKUP($F$48,'表4）CO2価格'!$H$10:$I$12,2,0),0)*$F$8/1000,""))</f>
        <v/>
      </c>
      <c r="AZ110" s="71"/>
      <c r="BA110" s="11" t="str">
        <f t="shared" si="62"/>
        <v/>
      </c>
      <c r="BB110" s="10" t="str">
        <f t="shared" si="79"/>
        <v/>
      </c>
      <c r="BC110" s="71"/>
      <c r="BD110" s="10" t="str">
        <f t="shared" si="63"/>
        <v/>
      </c>
      <c r="BE110" s="10" t="str">
        <f t="shared" si="80"/>
        <v/>
      </c>
      <c r="BF110" s="71"/>
      <c r="BG110" s="11" t="str">
        <f t="shared" si="64"/>
        <v/>
      </c>
      <c r="BH110" s="10" t="str">
        <f t="shared" si="81"/>
        <v/>
      </c>
      <c r="BJ110" s="7" t="str">
        <f t="shared" si="82"/>
        <v/>
      </c>
      <c r="BK110" s="158" t="str">
        <f t="shared" si="83"/>
        <v/>
      </c>
      <c r="BL110" s="158" t="str">
        <f t="shared" si="65"/>
        <v/>
      </c>
      <c r="BM110" s="10"/>
      <c r="BN110" s="10" t="str">
        <f t="shared" si="84"/>
        <v/>
      </c>
      <c r="BO110" s="10" t="str">
        <f t="shared" si="85"/>
        <v/>
      </c>
      <c r="BQ110" s="10" t="str">
        <f t="shared" si="66"/>
        <v/>
      </c>
      <c r="BR110" s="10" t="str">
        <f t="shared" si="86"/>
        <v/>
      </c>
    </row>
    <row r="111" spans="4:70" ht="15" x14ac:dyDescent="0.15">
      <c r="D111" s="116"/>
      <c r="E111" s="81" t="s">
        <v>206</v>
      </c>
      <c r="F111" s="91">
        <f>-BE116/BR116</f>
        <v>-4.7695519522460108</v>
      </c>
      <c r="G111" s="81" t="s">
        <v>132</v>
      </c>
      <c r="I111" s="38">
        <f t="shared" si="87"/>
        <v>2116</v>
      </c>
      <c r="J111" s="39"/>
      <c r="K111" s="39">
        <f t="shared" si="88"/>
        <v>97</v>
      </c>
      <c r="L111" s="39"/>
      <c r="M111" s="40">
        <f t="shared" si="51"/>
        <v>5.6857688990999529E-2</v>
      </c>
      <c r="N111" s="39"/>
      <c r="O111" s="72" t="str">
        <f t="shared" si="67"/>
        <v/>
      </c>
      <c r="P111" s="41" t="str">
        <f>IF(K111&lt;=$F$15,IF(OR(P110=$F$124,P110="-"),"-",IF(O111*$F$123&gt;$F$127,$F$123,$F$124)),"")</f>
        <v/>
      </c>
      <c r="Q111" s="39"/>
      <c r="R111" s="72" t="str">
        <f t="shared" si="68"/>
        <v/>
      </c>
      <c r="S111" s="39"/>
      <c r="T111" s="72" t="str">
        <f t="shared" si="69"/>
        <v/>
      </c>
      <c r="U111" s="39"/>
      <c r="V111" s="72" t="str">
        <f t="shared" si="53"/>
        <v/>
      </c>
      <c r="W111" s="72" t="str">
        <f t="shared" si="70"/>
        <v/>
      </c>
      <c r="X111" s="39"/>
      <c r="Y111" s="72" t="str">
        <f t="shared" si="54"/>
        <v/>
      </c>
      <c r="Z111" s="72" t="str">
        <f t="shared" si="71"/>
        <v/>
      </c>
      <c r="AA111" s="39"/>
      <c r="AB111" s="72" t="str">
        <f t="shared" si="55"/>
        <v/>
      </c>
      <c r="AC111" s="72" t="str">
        <f t="shared" si="72"/>
        <v/>
      </c>
      <c r="AD111" s="39"/>
      <c r="AE111" s="72" t="str">
        <f t="shared" si="56"/>
        <v/>
      </c>
      <c r="AF111" s="72" t="str">
        <f t="shared" si="73"/>
        <v/>
      </c>
      <c r="AG111" s="39"/>
      <c r="AH111" s="72" t="str">
        <f t="shared" si="57"/>
        <v/>
      </c>
      <c r="AI111" s="72" t="str">
        <f t="shared" si="74"/>
        <v/>
      </c>
      <c r="AJ111" s="39"/>
      <c r="AK111" s="72" t="str">
        <f t="shared" si="75"/>
        <v/>
      </c>
      <c r="AL111" s="72" t="str">
        <f t="shared" si="76"/>
        <v/>
      </c>
      <c r="AM111" s="39"/>
      <c r="AN111" s="72" t="str">
        <f t="shared" si="58"/>
        <v/>
      </c>
      <c r="AO111" s="72" t="str">
        <f t="shared" si="77"/>
        <v/>
      </c>
      <c r="AP111" s="39"/>
      <c r="AQ111" s="72" t="str">
        <f t="shared" si="59"/>
        <v/>
      </c>
      <c r="AR111" s="72" t="str">
        <f t="shared" si="78"/>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60"/>
        <v/>
      </c>
      <c r="AW111" s="72" t="str">
        <f t="shared" si="61"/>
        <v/>
      </c>
      <c r="AX111" s="39"/>
      <c r="AY111" s="40" t="str">
        <f>IF(ISERROR(IF($K111&lt;=$F$15,VLOOKUP($I111,'表4）CO2価格'!$A$7:$E$67,VLOOKUP($F$48,'表4）CO2価格'!$H$10:$I$12,2,0),0)*$F$8/1000,"")),0,IF($K111&lt;=$F$15,VLOOKUP($I111,'表4）CO2価格'!$A$7:$E$67,VLOOKUP($F$48,'表4）CO2価格'!$H$10:$I$12,2,0),0)*$F$8/1000,""))</f>
        <v/>
      </c>
      <c r="AZ111" s="39"/>
      <c r="BA111" s="42" t="str">
        <f t="shared" si="62"/>
        <v/>
      </c>
      <c r="BB111" s="72" t="str">
        <f t="shared" si="79"/>
        <v/>
      </c>
      <c r="BC111" s="39"/>
      <c r="BD111" s="72" t="str">
        <f t="shared" si="63"/>
        <v/>
      </c>
      <c r="BE111" s="72" t="str">
        <f t="shared" si="80"/>
        <v/>
      </c>
      <c r="BF111" s="39"/>
      <c r="BG111" s="42" t="str">
        <f t="shared" si="64"/>
        <v/>
      </c>
      <c r="BH111" s="72" t="str">
        <f t="shared" si="81"/>
        <v/>
      </c>
      <c r="BI111" s="39"/>
      <c r="BJ111" s="40" t="str">
        <f t="shared" si="82"/>
        <v/>
      </c>
      <c r="BK111" s="157" t="str">
        <f t="shared" si="83"/>
        <v/>
      </c>
      <c r="BL111" s="157" t="str">
        <f t="shared" si="65"/>
        <v/>
      </c>
      <c r="BM111" s="72"/>
      <c r="BN111" s="72" t="str">
        <f t="shared" si="84"/>
        <v/>
      </c>
      <c r="BO111" s="72" t="str">
        <f t="shared" si="85"/>
        <v/>
      </c>
      <c r="BP111" s="39"/>
      <c r="BQ111" s="72" t="str">
        <f t="shared" si="66"/>
        <v/>
      </c>
      <c r="BR111" s="72" t="str">
        <f t="shared" si="86"/>
        <v/>
      </c>
    </row>
    <row r="112" spans="4:70" ht="15" x14ac:dyDescent="0.15">
      <c r="D112" s="116"/>
      <c r="E112" s="81" t="s">
        <v>207</v>
      </c>
      <c r="F112" s="91">
        <f>-BH116/BR116</f>
        <v>-1.065080601697967</v>
      </c>
      <c r="G112" s="81" t="s">
        <v>132</v>
      </c>
      <c r="I112" s="322">
        <f t="shared" si="87"/>
        <v>2117</v>
      </c>
      <c r="J112" s="71"/>
      <c r="K112" s="71">
        <f t="shared" si="88"/>
        <v>98</v>
      </c>
      <c r="L112" s="71"/>
      <c r="M112" s="7">
        <f t="shared" si="51"/>
        <v>5.5201639797086935E-2</v>
      </c>
      <c r="N112" s="71"/>
      <c r="O112" s="10" t="str">
        <f t="shared" si="67"/>
        <v/>
      </c>
      <c r="P112" s="29" t="str">
        <f>IF(K112&lt;=$F$15,IF(OR(P111=$F$124,P111="-"),"-",IF(O112*$F$123&gt;$F$127,$F$123,$F$124)),"")</f>
        <v/>
      </c>
      <c r="Q112" s="71"/>
      <c r="R112" s="10" t="str">
        <f t="shared" si="68"/>
        <v/>
      </c>
      <c r="S112" s="71"/>
      <c r="T112" s="10" t="str">
        <f t="shared" si="69"/>
        <v/>
      </c>
      <c r="U112" s="71"/>
      <c r="V112" s="10" t="str">
        <f t="shared" si="53"/>
        <v/>
      </c>
      <c r="W112" s="10" t="str">
        <f t="shared" si="70"/>
        <v/>
      </c>
      <c r="X112" s="71"/>
      <c r="Y112" s="10" t="str">
        <f t="shared" si="54"/>
        <v/>
      </c>
      <c r="Z112" s="10" t="str">
        <f t="shared" si="71"/>
        <v/>
      </c>
      <c r="AA112" s="71"/>
      <c r="AB112" s="10" t="str">
        <f t="shared" si="55"/>
        <v/>
      </c>
      <c r="AC112" s="10" t="str">
        <f t="shared" si="72"/>
        <v/>
      </c>
      <c r="AD112" s="71"/>
      <c r="AE112" s="10" t="str">
        <f t="shared" si="56"/>
        <v/>
      </c>
      <c r="AF112" s="10" t="str">
        <f t="shared" si="73"/>
        <v/>
      </c>
      <c r="AG112" s="71"/>
      <c r="AH112" s="10" t="str">
        <f t="shared" si="57"/>
        <v/>
      </c>
      <c r="AI112" s="10" t="str">
        <f t="shared" si="74"/>
        <v/>
      </c>
      <c r="AJ112" s="71"/>
      <c r="AK112" s="10" t="str">
        <f t="shared" si="75"/>
        <v/>
      </c>
      <c r="AL112" s="10" t="str">
        <f t="shared" si="76"/>
        <v/>
      </c>
      <c r="AM112" s="71"/>
      <c r="AN112" s="10" t="str">
        <f t="shared" si="58"/>
        <v/>
      </c>
      <c r="AO112" s="10" t="str">
        <f t="shared" si="77"/>
        <v/>
      </c>
      <c r="AP112" s="71"/>
      <c r="AQ112" s="10" t="str">
        <f t="shared" si="59"/>
        <v/>
      </c>
      <c r="AR112" s="10" t="str">
        <f t="shared" si="78"/>
        <v/>
      </c>
      <c r="AS112" s="71"/>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U112" s="71"/>
      <c r="AV112" s="10" t="str">
        <f t="shared" si="60"/>
        <v/>
      </c>
      <c r="AW112" s="10" t="str">
        <f t="shared" si="61"/>
        <v/>
      </c>
      <c r="AX112" s="71"/>
      <c r="AY112" s="7" t="str">
        <f>IF(ISERROR(IF($K112&lt;=$F$15,VLOOKUP($I112,'表4）CO2価格'!$A$7:$E$67,VLOOKUP($F$48,'表4）CO2価格'!$H$10:$I$12,2,0),0)*$F$8/1000,"")),0,IF($K112&lt;=$F$15,VLOOKUP($I112,'表4）CO2価格'!$A$7:$E$67,VLOOKUP($F$48,'表4）CO2価格'!$H$10:$I$12,2,0),0)*$F$8/1000,""))</f>
        <v/>
      </c>
      <c r="AZ112" s="71"/>
      <c r="BA112" s="11" t="str">
        <f t="shared" si="62"/>
        <v/>
      </c>
      <c r="BB112" s="10" t="str">
        <f t="shared" si="79"/>
        <v/>
      </c>
      <c r="BC112" s="71"/>
      <c r="BD112" s="10" t="str">
        <f t="shared" si="63"/>
        <v/>
      </c>
      <c r="BE112" s="10" t="str">
        <f t="shared" si="80"/>
        <v/>
      </c>
      <c r="BF112" s="71"/>
      <c r="BG112" s="11" t="str">
        <f t="shared" si="64"/>
        <v/>
      </c>
      <c r="BH112" s="10" t="str">
        <f t="shared" si="81"/>
        <v/>
      </c>
      <c r="BJ112" s="7" t="str">
        <f t="shared" si="82"/>
        <v/>
      </c>
      <c r="BK112" s="158" t="str">
        <f t="shared" si="83"/>
        <v/>
      </c>
      <c r="BL112" s="158" t="str">
        <f t="shared" si="65"/>
        <v/>
      </c>
      <c r="BM112" s="10"/>
      <c r="BN112" s="10" t="str">
        <f t="shared" si="84"/>
        <v/>
      </c>
      <c r="BO112" s="10" t="str">
        <f t="shared" si="85"/>
        <v/>
      </c>
      <c r="BQ112" s="10" t="str">
        <f t="shared" si="66"/>
        <v/>
      </c>
      <c r="BR112" s="10" t="str">
        <f t="shared" si="86"/>
        <v/>
      </c>
    </row>
    <row r="113" spans="2:70" x14ac:dyDescent="0.15">
      <c r="I113" s="38">
        <f t="shared" si="87"/>
        <v>2118</v>
      </c>
      <c r="J113" s="39"/>
      <c r="K113" s="39">
        <f t="shared" si="88"/>
        <v>99</v>
      </c>
      <c r="L113" s="39"/>
      <c r="M113" s="40">
        <f t="shared" si="51"/>
        <v>5.3593825045715457E-2</v>
      </c>
      <c r="N113" s="39"/>
      <c r="O113" s="72" t="str">
        <f t="shared" si="67"/>
        <v/>
      </c>
      <c r="P113" s="41" t="str">
        <f>IF(K113&lt;=$F$15,IF(OR(P112=$F$124,P112="-"),"-",IF(O113*$F$123&gt;$F$127,$F$123,$F$124)),"")</f>
        <v/>
      </c>
      <c r="Q113" s="39"/>
      <c r="R113" s="72" t="str">
        <f t="shared" si="68"/>
        <v/>
      </c>
      <c r="S113" s="39"/>
      <c r="T113" s="72" t="str">
        <f t="shared" si="69"/>
        <v/>
      </c>
      <c r="U113" s="39"/>
      <c r="V113" s="72" t="str">
        <f t="shared" si="53"/>
        <v/>
      </c>
      <c r="W113" s="72" t="str">
        <f t="shared" si="70"/>
        <v/>
      </c>
      <c r="X113" s="39"/>
      <c r="Y113" s="72" t="str">
        <f t="shared" si="54"/>
        <v/>
      </c>
      <c r="Z113" s="72" t="str">
        <f t="shared" si="71"/>
        <v/>
      </c>
      <c r="AA113" s="39"/>
      <c r="AB113" s="72" t="str">
        <f t="shared" si="55"/>
        <v/>
      </c>
      <c r="AC113" s="72" t="str">
        <f t="shared" si="72"/>
        <v/>
      </c>
      <c r="AD113" s="39"/>
      <c r="AE113" s="72" t="str">
        <f t="shared" si="56"/>
        <v/>
      </c>
      <c r="AF113" s="72" t="str">
        <f t="shared" si="73"/>
        <v/>
      </c>
      <c r="AG113" s="39"/>
      <c r="AH113" s="72" t="str">
        <f t="shared" si="57"/>
        <v/>
      </c>
      <c r="AI113" s="72" t="str">
        <f t="shared" si="74"/>
        <v/>
      </c>
      <c r="AJ113" s="39"/>
      <c r="AK113" s="72" t="str">
        <f t="shared" si="75"/>
        <v/>
      </c>
      <c r="AL113" s="72" t="str">
        <f t="shared" si="76"/>
        <v/>
      </c>
      <c r="AM113" s="39"/>
      <c r="AN113" s="72" t="str">
        <f t="shared" si="58"/>
        <v/>
      </c>
      <c r="AO113" s="72" t="str">
        <f t="shared" si="77"/>
        <v/>
      </c>
      <c r="AP113" s="39"/>
      <c r="AQ113" s="72" t="str">
        <f t="shared" si="59"/>
        <v/>
      </c>
      <c r="AR113" s="72" t="str">
        <f t="shared" si="78"/>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60"/>
        <v/>
      </c>
      <c r="AW113" s="72" t="str">
        <f t="shared" si="61"/>
        <v/>
      </c>
      <c r="AX113" s="39"/>
      <c r="AY113" s="40" t="str">
        <f>IF(ISERROR(IF($K113&lt;=$F$15,VLOOKUP($I113,'表4）CO2価格'!$A$7:$E$67,VLOOKUP($F$48,'表4）CO2価格'!$H$10:$I$12,2,0),0)*$F$8/1000,"")),0,IF($K113&lt;=$F$15,VLOOKUP($I113,'表4）CO2価格'!$A$7:$E$67,VLOOKUP($F$48,'表4）CO2価格'!$H$10:$I$12,2,0),0)*$F$8/1000,""))</f>
        <v/>
      </c>
      <c r="AZ113" s="39"/>
      <c r="BA113" s="42" t="str">
        <f t="shared" si="62"/>
        <v/>
      </c>
      <c r="BB113" s="72" t="str">
        <f t="shared" si="79"/>
        <v/>
      </c>
      <c r="BC113" s="39"/>
      <c r="BD113" s="72" t="str">
        <f t="shared" si="63"/>
        <v/>
      </c>
      <c r="BE113" s="72" t="str">
        <f t="shared" si="80"/>
        <v/>
      </c>
      <c r="BF113" s="39"/>
      <c r="BG113" s="42" t="str">
        <f t="shared" si="64"/>
        <v/>
      </c>
      <c r="BH113" s="72" t="str">
        <f t="shared" si="81"/>
        <v/>
      </c>
      <c r="BI113" s="39"/>
      <c r="BJ113" s="40" t="str">
        <f t="shared" si="82"/>
        <v/>
      </c>
      <c r="BK113" s="157" t="str">
        <f t="shared" si="83"/>
        <v/>
      </c>
      <c r="BL113" s="157" t="str">
        <f t="shared" si="65"/>
        <v/>
      </c>
      <c r="BM113" s="72"/>
      <c r="BN113" s="72" t="str">
        <f t="shared" si="84"/>
        <v/>
      </c>
      <c r="BO113" s="72" t="str">
        <f t="shared" si="85"/>
        <v/>
      </c>
      <c r="BP113" s="39"/>
      <c r="BQ113" s="72" t="str">
        <f t="shared" si="66"/>
        <v/>
      </c>
      <c r="BR113" s="72" t="str">
        <f t="shared" si="86"/>
        <v/>
      </c>
    </row>
    <row r="114" spans="2:70" x14ac:dyDescent="0.15">
      <c r="I114" s="322">
        <f t="shared" si="87"/>
        <v>2119</v>
      </c>
      <c r="J114" s="71"/>
      <c r="K114" s="71">
        <f t="shared" si="88"/>
        <v>100</v>
      </c>
      <c r="L114" s="71"/>
      <c r="M114" s="7">
        <f t="shared" si="51"/>
        <v>5.2032839850209185E-2</v>
      </c>
      <c r="N114" s="71"/>
      <c r="O114" s="10" t="str">
        <f t="shared" si="67"/>
        <v/>
      </c>
      <c r="P114" s="29" t="str">
        <f>IF(K114&lt;=$F$15,IF(OR(P113=$F$124,P113="-"),"-",IF(O114*$F$123&gt;$F$127,$F$123,$F$124)),"")</f>
        <v/>
      </c>
      <c r="Q114" s="71"/>
      <c r="R114" s="10" t="str">
        <f t="shared" si="68"/>
        <v/>
      </c>
      <c r="S114" s="71"/>
      <c r="T114" s="10" t="str">
        <f t="shared" si="69"/>
        <v/>
      </c>
      <c r="U114" s="71"/>
      <c r="V114" s="10" t="str">
        <f t="shared" si="53"/>
        <v/>
      </c>
      <c r="W114" s="10" t="str">
        <f t="shared" si="70"/>
        <v/>
      </c>
      <c r="X114" s="71"/>
      <c r="Y114" s="10" t="str">
        <f t="shared" si="54"/>
        <v/>
      </c>
      <c r="Z114" s="10" t="str">
        <f t="shared" si="71"/>
        <v/>
      </c>
      <c r="AA114" s="71"/>
      <c r="AB114" s="10" t="str">
        <f t="shared" si="55"/>
        <v/>
      </c>
      <c r="AC114" s="10" t="str">
        <f t="shared" si="72"/>
        <v/>
      </c>
      <c r="AD114" s="71"/>
      <c r="AE114" s="10" t="str">
        <f t="shared" si="56"/>
        <v/>
      </c>
      <c r="AF114" s="10" t="str">
        <f t="shared" si="73"/>
        <v/>
      </c>
      <c r="AG114" s="71"/>
      <c r="AH114" s="10" t="str">
        <f t="shared" si="57"/>
        <v/>
      </c>
      <c r="AI114" s="10" t="str">
        <f t="shared" si="74"/>
        <v/>
      </c>
      <c r="AJ114" s="71"/>
      <c r="AK114" s="10" t="str">
        <f t="shared" si="75"/>
        <v/>
      </c>
      <c r="AL114" s="10" t="str">
        <f t="shared" si="76"/>
        <v/>
      </c>
      <c r="AM114" s="71"/>
      <c r="AN114" s="10" t="str">
        <f t="shared" si="58"/>
        <v/>
      </c>
      <c r="AO114" s="10" t="str">
        <f t="shared" si="77"/>
        <v/>
      </c>
      <c r="AP114" s="71"/>
      <c r="AQ114" s="10" t="str">
        <f t="shared" si="59"/>
        <v/>
      </c>
      <c r="AR114" s="10" t="str">
        <f t="shared" si="78"/>
        <v/>
      </c>
      <c r="AS114" s="71"/>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U114" s="71"/>
      <c r="AV114" s="10" t="str">
        <f t="shared" si="60"/>
        <v/>
      </c>
      <c r="AW114" s="10" t="str">
        <f t="shared" si="61"/>
        <v/>
      </c>
      <c r="AX114" s="71"/>
      <c r="AY114" s="7" t="str">
        <f>IF(ISERROR(IF($K114&lt;=$F$15,VLOOKUP($I114,'表4）CO2価格'!$A$7:$E$67,VLOOKUP($F$48,'表4）CO2価格'!$H$10:$I$12,2,0),0)*$F$8/1000,"")),0,IF($K114&lt;=$F$15,VLOOKUP($I114,'表4）CO2価格'!$A$7:$E$67,VLOOKUP($F$48,'表4）CO2価格'!$H$10:$I$12,2,0),0)*$F$8/1000,""))</f>
        <v/>
      </c>
      <c r="AZ114" s="71"/>
      <c r="BA114" s="11" t="str">
        <f t="shared" si="62"/>
        <v/>
      </c>
      <c r="BB114" s="10" t="str">
        <f t="shared" si="79"/>
        <v/>
      </c>
      <c r="BC114" s="71"/>
      <c r="BD114" s="10" t="str">
        <f t="shared" si="63"/>
        <v/>
      </c>
      <c r="BE114" s="10" t="str">
        <f t="shared" si="80"/>
        <v/>
      </c>
      <c r="BF114" s="71"/>
      <c r="BG114" s="11" t="str">
        <f t="shared" si="64"/>
        <v/>
      </c>
      <c r="BH114" s="10" t="str">
        <f t="shared" si="81"/>
        <v/>
      </c>
      <c r="BJ114" s="7" t="str">
        <f t="shared" si="82"/>
        <v/>
      </c>
      <c r="BK114" s="158" t="str">
        <f t="shared" si="83"/>
        <v/>
      </c>
      <c r="BL114" s="158" t="str">
        <f t="shared" si="65"/>
        <v/>
      </c>
      <c r="BM114" s="10"/>
      <c r="BN114" s="10" t="str">
        <f t="shared" si="84"/>
        <v/>
      </c>
      <c r="BO114" s="10" t="str">
        <f t="shared" si="85"/>
        <v/>
      </c>
      <c r="BQ114" s="10" t="str">
        <f t="shared" si="66"/>
        <v/>
      </c>
      <c r="BR114" s="10" t="str">
        <f t="shared" si="86"/>
        <v/>
      </c>
    </row>
    <row r="115" spans="2:70" ht="15.75" thickBot="1" x14ac:dyDescent="0.2">
      <c r="B115" s="460" t="s">
        <v>515</v>
      </c>
      <c r="C115" s="86"/>
      <c r="D115" s="104"/>
      <c r="E115" s="104"/>
      <c r="F115" s="86"/>
      <c r="G115" s="104"/>
      <c r="I115" s="321"/>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71" t="s">
        <v>143</v>
      </c>
      <c r="J116" s="71"/>
      <c r="K116" s="71"/>
      <c r="L116" s="71"/>
      <c r="M116" s="71"/>
      <c r="N116" s="71"/>
      <c r="O116" s="71"/>
      <c r="P116" s="71"/>
      <c r="Q116" s="71"/>
      <c r="R116" s="71"/>
      <c r="S116" s="71"/>
      <c r="T116" s="71"/>
      <c r="U116" s="71"/>
      <c r="V116" s="71"/>
      <c r="W116" s="11"/>
      <c r="X116" s="71"/>
      <c r="Y116" s="71"/>
      <c r="Z116" s="11">
        <f>SUM(Z15:Z114)</f>
        <v>16080932.069931537</v>
      </c>
      <c r="AA116" s="71"/>
      <c r="AB116" s="71"/>
      <c r="AC116" s="11">
        <f>SUM(AC15:AC114)</f>
        <v>3899874.6653204774</v>
      </c>
      <c r="AD116" s="71"/>
      <c r="AE116" s="71"/>
      <c r="AF116" s="11">
        <f>SUM(AF15:AF114)</f>
        <v>0</v>
      </c>
      <c r="AG116" s="71"/>
      <c r="AH116" s="71"/>
      <c r="AI116" s="11">
        <f>SUM(AI15:AI114)</f>
        <v>0</v>
      </c>
      <c r="AJ116" s="71"/>
      <c r="AK116" s="71"/>
      <c r="AL116" s="11">
        <f>SUM(AL15:AL114)</f>
        <v>232265229.99121687</v>
      </c>
      <c r="AM116" s="71"/>
      <c r="AN116" s="71"/>
      <c r="AO116" s="11">
        <f>SUM(AO15:AO114)</f>
        <v>0</v>
      </c>
      <c r="AP116" s="71"/>
      <c r="AQ116" s="71"/>
      <c r="AR116" s="11">
        <f>SUM(AR15:AR114)</f>
        <v>0</v>
      </c>
      <c r="AS116" s="71"/>
      <c r="AT116" s="71"/>
      <c r="AU116" s="71"/>
      <c r="AV116" s="71"/>
      <c r="AW116" s="11">
        <f>SUM(AW15:AW114)</f>
        <v>1511740208.4689674</v>
      </c>
      <c r="AX116" s="71"/>
      <c r="AY116" s="71"/>
      <c r="AZ116" s="71"/>
      <c r="BA116" s="71"/>
      <c r="BB116" s="11">
        <f>SUM(BB15:BB114)</f>
        <v>337584156.11531818</v>
      </c>
      <c r="BC116" s="71"/>
      <c r="BD116" s="71"/>
      <c r="BE116" s="11">
        <f>SUM(BE15:BE114)</f>
        <v>428956284.15306938</v>
      </c>
      <c r="BF116" s="71"/>
      <c r="BG116" s="71"/>
      <c r="BH116" s="11">
        <f>SUM(BH15:BH114)</f>
        <v>95789504.297721505</v>
      </c>
      <c r="BK116" s="11">
        <f>SUM(BK15:BK114)</f>
        <v>0</v>
      </c>
      <c r="BL116" s="11">
        <f>SUM(BL15:BL114)</f>
        <v>0</v>
      </c>
      <c r="BO116" s="11">
        <f>SUM(BO15:BO114)</f>
        <v>0</v>
      </c>
      <c r="BQ116" s="71"/>
      <c r="BR116" s="11">
        <f>SUM(BR15:BR114)</f>
        <v>89936389.926745906</v>
      </c>
    </row>
    <row r="117" spans="2:70" x14ac:dyDescent="0.15">
      <c r="C117" s="9" t="s">
        <v>529</v>
      </c>
      <c r="F117" s="44">
        <f>F21*10^4*F13*10^4+F29*10^8</f>
        <v>195000000</v>
      </c>
      <c r="G117" s="81" t="s">
        <v>208</v>
      </c>
      <c r="I117" s="48" t="s">
        <v>145</v>
      </c>
      <c r="J117" s="71"/>
      <c r="K117" s="71"/>
      <c r="L117" s="71"/>
      <c r="M117" s="71"/>
      <c r="N117" s="71"/>
      <c r="O117" s="71"/>
      <c r="P117" s="71"/>
      <c r="Q117" s="71"/>
      <c r="R117" s="71"/>
      <c r="S117" s="71"/>
      <c r="T117" s="71"/>
      <c r="U117" s="71"/>
      <c r="V117" s="71"/>
      <c r="W117" s="11"/>
      <c r="X117" s="71"/>
      <c r="Y117" s="71"/>
      <c r="Z117" s="11" t="str">
        <f ca="1">IF(ISNUMBER($F$16),SUM(INDIRECT(ADDRESS($F$16+15,COLUMN())):INDIRECT(ADDRESS(114,COLUMN()))),"")</f>
        <v/>
      </c>
      <c r="AA117" s="71"/>
      <c r="AB117" s="71"/>
      <c r="AC117" s="11" t="str">
        <f ca="1">IF(ISNUMBER($F$16),SUM(INDIRECT(ADDRESS($F$16+15,COLUMN())):INDIRECT(ADDRESS(114,COLUMN()))),"")</f>
        <v/>
      </c>
      <c r="AD117" s="71"/>
      <c r="AE117" s="71"/>
      <c r="AF117" s="11" t="str">
        <f ca="1">IF(ISNUMBER($F$16),SUM(INDIRECT(ADDRESS($F$16+15,COLUMN())):INDIRECT(ADDRESS(114,COLUMN()))),"")</f>
        <v/>
      </c>
      <c r="AG117" s="71"/>
      <c r="AH117" s="71"/>
      <c r="AI117" s="11" t="str">
        <f ca="1">IF(ISNUMBER($F$16),SUM(INDIRECT(ADDRESS($F$16+15,COLUMN())):INDIRECT(ADDRESS(114,COLUMN()))),"")</f>
        <v/>
      </c>
      <c r="AJ117" s="71"/>
      <c r="AK117" s="71"/>
      <c r="AL117" s="11" t="str">
        <f ca="1">IF(ISNUMBER($F$16),SUM(INDIRECT(ADDRESS($F$16+15,COLUMN())):INDIRECT(ADDRESS(114,COLUMN()))),"")</f>
        <v/>
      </c>
      <c r="AM117" s="71"/>
      <c r="AN117" s="71"/>
      <c r="AO117" s="11" t="str">
        <f ca="1">IF(ISNUMBER($F$16),SUM(INDIRECT(ADDRESS($F$16+15,COLUMN())):INDIRECT(ADDRESS(114,COLUMN()))),"")</f>
        <v/>
      </c>
      <c r="AP117" s="71"/>
      <c r="AQ117" s="71"/>
      <c r="AR117" s="11" t="str">
        <f ca="1">IF(ISNUMBER($F$16),SUM(INDIRECT(ADDRESS($F$16+15,COLUMN())):INDIRECT(ADDRESS(114,COLUMN()))),"")</f>
        <v/>
      </c>
      <c r="AS117" s="71"/>
      <c r="AT117" s="71"/>
      <c r="AU117" s="71"/>
      <c r="AV117" s="71"/>
      <c r="AW117" s="11" t="str">
        <f ca="1">IF(ISNUMBER($F$16),SUM(INDIRECT(ADDRESS($F$16+15,COLUMN())):INDIRECT(ADDRESS(114,COLUMN()))),"")</f>
        <v/>
      </c>
      <c r="AX117" s="71"/>
      <c r="AY117" s="71"/>
      <c r="AZ117" s="71"/>
      <c r="BA117" s="71"/>
      <c r="BB117" s="11" t="str">
        <f ca="1">IF(ISNUMBER($F$16),SUM(INDIRECT(ADDRESS($F$16+15,COLUMN())):INDIRECT(ADDRESS(114,COLUMN()))),"")</f>
        <v/>
      </c>
      <c r="BC117" s="71"/>
      <c r="BD117" s="71"/>
      <c r="BE117" s="11" t="str">
        <f ca="1">IF(ISNUMBER($F$16),SUM(INDIRECT(ADDRESS($F$16+15,COLUMN())):INDIRECT(ADDRESS(114,COLUMN()))),"")</f>
        <v/>
      </c>
      <c r="BF117" s="71"/>
      <c r="BG117" s="71"/>
      <c r="BH117" s="11" t="str">
        <f ca="1">IF(ISNUMBER($F$16),SUM(INDIRECT(ADDRESS($F$16+15,COLUMN())):INDIRECT(ADDRESS(114,COLUMN()))),"")</f>
        <v/>
      </c>
      <c r="BK117" s="11" t="str">
        <f ca="1">IF(ISNUMBER($F$16),SUM(INDIRECT(ADDRESS($F$16+15,COLUMN())):INDIRECT(ADDRESS(114,COLUMN()))),"")</f>
        <v/>
      </c>
      <c r="BL117" s="11" t="str">
        <f ca="1">IF(ISNUMBER($F$16),SUM(INDIRECT(ADDRESS($F$16+15,COLUMN())):INDIRECT(ADDRESS(114,COLUMN()))),"")</f>
        <v/>
      </c>
      <c r="BO117" s="11" t="str">
        <f ca="1">IF(ISNUMBER($F$16),SUM(INDIRECT(ADDRESS($F$16+15,COLUMN())):INDIRECT(ADDRESS(114,COLUMN()))),"")</f>
        <v/>
      </c>
      <c r="BQ117" s="71"/>
      <c r="BR117" s="11" t="str">
        <f ca="1">IF(ISNUMBER($F$16),SUM(INDIRECT(ADDRESS($F$16+15,COLUMN())):INDIRECT(ADDRESS(114,COLUMN()))),"")</f>
        <v/>
      </c>
    </row>
    <row r="119" spans="2:70" x14ac:dyDescent="0.15">
      <c r="C119" s="9" t="s">
        <v>521</v>
      </c>
      <c r="F119" s="44">
        <f>VLOOKUP(F3,'表2）法定耐用年数'!$A$2:$B$17,2,0)</f>
        <v>15</v>
      </c>
      <c r="G119" s="81" t="s">
        <v>108</v>
      </c>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Q119" s="71"/>
      <c r="BR119" s="71"/>
    </row>
    <row r="121" spans="2:70" x14ac:dyDescent="0.15">
      <c r="C121" s="89" t="s">
        <v>522</v>
      </c>
      <c r="D121" s="101"/>
      <c r="E121" s="101"/>
      <c r="F121" s="89"/>
      <c r="G121" s="10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Q121" s="71"/>
      <c r="BR121" s="71"/>
    </row>
    <row r="123" spans="2:70" x14ac:dyDescent="0.15">
      <c r="D123" s="81" t="s">
        <v>209</v>
      </c>
      <c r="F123" s="95">
        <f>VLOOKUP($F$119,'表1）減価償却率表'!$A$9:$E$107,3,0)</f>
        <v>0.16700000000000001</v>
      </c>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Q123" s="71"/>
      <c r="BR123" s="71"/>
    </row>
    <row r="124" spans="2:70" x14ac:dyDescent="0.15">
      <c r="D124" s="81" t="s">
        <v>210</v>
      </c>
      <c r="F124" s="95">
        <f>VLOOKUP($F$119,'表1）減価償却率表'!$A$9:$E$107,4,0)</f>
        <v>0.2</v>
      </c>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Q124" s="71"/>
      <c r="BR124" s="71"/>
    </row>
    <row r="125" spans="2:70" x14ac:dyDescent="0.15">
      <c r="D125" s="81" t="s">
        <v>211</v>
      </c>
      <c r="F125" s="88">
        <f>VLOOKUP($F$119,'表1）減価償却率表'!$A$9:$E$107,5,0)</f>
        <v>3.2169999999999997E-2</v>
      </c>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Q125" s="71"/>
      <c r="BR125" s="71"/>
    </row>
    <row r="126" spans="2:70" x14ac:dyDescent="0.15">
      <c r="F126" s="96"/>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Q126" s="71"/>
      <c r="BR126" s="71"/>
    </row>
    <row r="127" spans="2:70" x14ac:dyDescent="0.15">
      <c r="C127" s="111" t="s">
        <v>523</v>
      </c>
      <c r="D127" s="85"/>
      <c r="E127" s="114"/>
      <c r="F127" s="44">
        <f>F117*F125</f>
        <v>6273149.9999999991</v>
      </c>
      <c r="G127" s="81" t="s">
        <v>208</v>
      </c>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Q127" s="71"/>
      <c r="BR127" s="71"/>
    </row>
    <row r="129" spans="3:7" x14ac:dyDescent="0.15">
      <c r="C129" s="111" t="s">
        <v>152</v>
      </c>
      <c r="D129" s="85"/>
      <c r="E129" s="85"/>
      <c r="F129" s="95">
        <f>0.1^(1/F119)</f>
        <v>0.85769589859089412</v>
      </c>
      <c r="G129" s="85"/>
    </row>
    <row r="131" spans="3:7" x14ac:dyDescent="0.15">
      <c r="C131" s="89" t="s">
        <v>524</v>
      </c>
      <c r="D131" s="101"/>
      <c r="E131" s="101"/>
      <c r="F131" s="89"/>
      <c r="G131" s="101"/>
    </row>
    <row r="133" spans="3:7" x14ac:dyDescent="0.15">
      <c r="D133" s="81" t="s">
        <v>212</v>
      </c>
      <c r="F133" s="44">
        <f>F13*10000*24*365*F14/100</f>
        <v>4730400</v>
      </c>
      <c r="G133" s="81" t="s">
        <v>213</v>
      </c>
    </row>
    <row r="134" spans="3:7" x14ac:dyDescent="0.15">
      <c r="D134" s="81" t="s">
        <v>214</v>
      </c>
      <c r="F134" s="44">
        <f>F133*(1-F24/100)</f>
        <v>4588488</v>
      </c>
      <c r="G134" s="81" t="s">
        <v>213</v>
      </c>
    </row>
    <row r="135" spans="3:7" x14ac:dyDescent="0.15">
      <c r="F135" s="97"/>
    </row>
    <row r="137" spans="3:7" ht="16.5" x14ac:dyDescent="0.15">
      <c r="C137" s="9" t="s">
        <v>525</v>
      </c>
      <c r="F137" s="44">
        <f>IF(ISERROR(F133*3.6/(F23/100)/F22),0,F133*3.6/(F23/100)/F22)</f>
        <v>1243363.3390696885</v>
      </c>
      <c r="G137" s="9" t="s">
        <v>370</v>
      </c>
    </row>
    <row r="139" spans="3:7" x14ac:dyDescent="0.15">
      <c r="C139" s="89" t="s">
        <v>526</v>
      </c>
      <c r="D139" s="101"/>
      <c r="E139" s="101"/>
      <c r="F139" s="89"/>
      <c r="G139" s="101"/>
    </row>
    <row r="141" spans="3:7" x14ac:dyDescent="0.15">
      <c r="D141" s="81" t="s">
        <v>215</v>
      </c>
      <c r="F141" s="98">
        <f>IF(OR(F3="石炭火力",F3= "LNG火力", F3="ガスコジェネ",F3="バイオマス（石炭混焼）",F3="バイオマス（木質専焼）",F3="燃料電池"),IF($F$43="需要地価格","",1000),IF(OR(F3="石油火力",F3="石油コジェネ"),IF($F$43="需要地価格","",158.987294928),""))</f>
        <v>158.98729492800001</v>
      </c>
      <c r="G141" s="81" t="s">
        <v>216</v>
      </c>
    </row>
    <row r="142" spans="3:7" x14ac:dyDescent="0.15">
      <c r="D142" s="81" t="s">
        <v>180</v>
      </c>
      <c r="F142" s="91">
        <f>IF(ISERROR(F42/1000),0,F42/1000)</f>
        <v>7.6</v>
      </c>
      <c r="G142" s="81" t="s">
        <v>217</v>
      </c>
    </row>
    <row r="145" spans="3:7" x14ac:dyDescent="0.15">
      <c r="C145" s="9" t="s">
        <v>368</v>
      </c>
      <c r="F145" s="98">
        <f>IF(ISERROR(F133*(F47*3.6/(F23/100)/1000*(44/12))),0,F133*(F47*3.6/(F23/100)/1000*(44/12)))</f>
        <v>3811005.7823708211</v>
      </c>
      <c r="G145" s="81" t="s">
        <v>218</v>
      </c>
    </row>
    <row r="147" spans="3:7" x14ac:dyDescent="0.15">
      <c r="C147" s="89" t="s">
        <v>369</v>
      </c>
      <c r="D147" s="101"/>
      <c r="E147" s="101"/>
      <c r="F147" s="89"/>
      <c r="G147" s="101"/>
    </row>
    <row r="149" spans="3:7" x14ac:dyDescent="0.15">
      <c r="D149" s="81" t="s">
        <v>219</v>
      </c>
      <c r="F149" s="91">
        <f>IF(ISERROR(F52/F23),0,F52/F23)</f>
        <v>0.6899696048632219</v>
      </c>
    </row>
    <row r="150" spans="3:7" x14ac:dyDescent="0.15">
      <c r="D150" s="81" t="s">
        <v>220</v>
      </c>
      <c r="F150" s="98">
        <f>F133*F149*(F53/100)*3.6</f>
        <v>11749795.987841945</v>
      </c>
      <c r="G150" s="81" t="s">
        <v>221</v>
      </c>
    </row>
    <row r="151" spans="3:7" ht="16.5" x14ac:dyDescent="0.15">
      <c r="D151" s="81" t="s">
        <v>222</v>
      </c>
      <c r="F151" s="44">
        <f>IF(ISERROR(F150/(F54/100)/F55),0,F150/(F54/100)/F55)</f>
        <v>352804.34746102401</v>
      </c>
      <c r="G151" s="9" t="s">
        <v>370</v>
      </c>
    </row>
    <row r="152" spans="3:7" x14ac:dyDescent="0.15">
      <c r="D152" s="81" t="s">
        <v>223</v>
      </c>
      <c r="F152" s="146">
        <f>IF(ISERROR(F56/1000),0,F56/1000)</f>
        <v>7.6</v>
      </c>
      <c r="G152" s="81" t="s">
        <v>217</v>
      </c>
    </row>
    <row r="153" spans="3:7" x14ac:dyDescent="0.15">
      <c r="D153" s="81" t="s">
        <v>224</v>
      </c>
      <c r="F153" s="98">
        <f>IF(ISERROR(F150*F47/1000*(44/12)/(F54/100)),0,F150*F47/1000*(44/12)/(F54/100))</f>
        <v>1081372.8907477201</v>
      </c>
      <c r="G153" s="81" t="s">
        <v>218</v>
      </c>
    </row>
  </sheetData>
  <mergeCells count="48">
    <mergeCell ref="BO12:BO13"/>
    <mergeCell ref="BJ12:BJ13"/>
    <mergeCell ref="BE12:BE13"/>
    <mergeCell ref="BH12:BH13"/>
    <mergeCell ref="BR12:BR13"/>
    <mergeCell ref="BL12:BL13"/>
    <mergeCell ref="AI12:AI13"/>
    <mergeCell ref="AL12:AL13"/>
    <mergeCell ref="AO12:AO13"/>
    <mergeCell ref="AR12:AR13"/>
    <mergeCell ref="AW12:AW13"/>
    <mergeCell ref="V9:W10"/>
    <mergeCell ref="Y9:Z10"/>
    <mergeCell ref="BB12:BB13"/>
    <mergeCell ref="BK12:BK13"/>
    <mergeCell ref="P12:P13"/>
    <mergeCell ref="W12:W13"/>
    <mergeCell ref="Z12:Z13"/>
    <mergeCell ref="AC12:AC13"/>
    <mergeCell ref="AF12:AF13"/>
    <mergeCell ref="AB9:AC10"/>
    <mergeCell ref="T9:T10"/>
    <mergeCell ref="AN9:AO10"/>
    <mergeCell ref="AH9:AI10"/>
    <mergeCell ref="AQ9:AR10"/>
    <mergeCell ref="AV9:AW10"/>
    <mergeCell ref="AY9:AY10"/>
    <mergeCell ref="BQ7:BR7"/>
    <mergeCell ref="I9:I10"/>
    <mergeCell ref="K9:K10"/>
    <mergeCell ref="M9:M10"/>
    <mergeCell ref="O9:P10"/>
    <mergeCell ref="R9:R10"/>
    <mergeCell ref="BD9:BE10"/>
    <mergeCell ref="BG9:BH10"/>
    <mergeCell ref="BJ7:BO7"/>
    <mergeCell ref="BJ9:BL10"/>
    <mergeCell ref="BN9:BO10"/>
    <mergeCell ref="AT9:AT10"/>
    <mergeCell ref="AE9:AF10"/>
    <mergeCell ref="BD7:BH7"/>
    <mergeCell ref="AK9:AL10"/>
    <mergeCell ref="BA9:BB10"/>
    <mergeCell ref="F3:G3"/>
    <mergeCell ref="V7:AF7"/>
    <mergeCell ref="AH7:AR7"/>
    <mergeCell ref="AT7:AW7"/>
    <mergeCell ref="AY7:BB7"/>
  </mergeCells>
  <phoneticPr fontId="18"/>
  <dataValidations count="4">
    <dataValidation type="list" allowBlank="1" showDropDown="1" showInputMessage="1" showErrorMessage="1" sqref="F48 F41" xr:uid="{00000000-0002-0000-0B00-000000000000}">
      <formula1>"現行政策シナリオ, 新政策シナリオ"</formula1>
    </dataValidation>
    <dataValidation type="whole" allowBlank="1" showInputMessage="1" showErrorMessage="1" sqref="F7" xr:uid="{00000000-0002-0000-0B00-000001000000}">
      <formula1>2010</formula1>
      <formula2>2030</formula2>
    </dataValidation>
    <dataValidation type="list" allowBlank="1" showDropDown="1" showInputMessage="1" showErrorMessage="1" sqref="F43" xr:uid="{00000000-0002-0000-0B00-000002000000}">
      <formula1>"CIF価格, 需要地価格"</formula1>
    </dataValidation>
    <dataValidation type="list" allowBlank="1" showDropDown="1" showInputMessage="1" showErrorMessage="1" sqref="F3:G3" xr:uid="{00000000-0002-0000-0B00-000003000000}">
      <formula1>"原子力,石炭火力,LNG火力,石油火力,一般水力,太陽光（メガソーラー）,太陽光（住宅）,風力（陸上）,風力（洋上）,小水力,地熱,バイオマス（石炭混焼）,バイオマス（木質専焼）,ガスコジェネ,石油コジェネ,燃料電池"</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BR153"/>
  <sheetViews>
    <sheetView showGridLines="0" zoomScale="85" zoomScaleNormal="85" workbookViewId="0">
      <pane xSplit="10" ySplit="14" topLeftCell="BF27" activePane="bottomRight" state="frozen"/>
      <selection pane="topRight" activeCell="AF12" sqref="AF12:AF13"/>
      <selection pane="bottomLeft" activeCell="AF12" sqref="AF12:AF13"/>
      <selection pane="bottomRight" activeCell="F107" sqref="F107"/>
    </sheetView>
  </sheetViews>
  <sheetFormatPr defaultColWidth="9" defaultRowHeight="14.25" outlineLevelCol="1" x14ac:dyDescent="0.15"/>
  <cols>
    <col min="1" max="3" width="6.25" style="9" customWidth="1"/>
    <col min="4" max="4" width="6.25" style="81" customWidth="1"/>
    <col min="5" max="5" width="24.375" style="81" customWidth="1"/>
    <col min="6" max="6" width="18.75" style="9" customWidth="1"/>
    <col min="7" max="7" width="24.375" style="81" bestFit="1" customWidth="1"/>
    <col min="8" max="8" width="9" style="9"/>
    <col min="9" max="9" width="6.25" style="2" customWidth="1"/>
    <col min="10" max="10" width="3" style="2" customWidth="1"/>
    <col min="11" max="11" width="6.25" style="2" customWidth="1"/>
    <col min="12" max="12" width="3" style="2" customWidth="1"/>
    <col min="13" max="13" width="6.25" style="2" customWidth="1"/>
    <col min="14" max="14" width="3" style="2" customWidth="1"/>
    <col min="15" max="15" width="17.375" style="2" bestFit="1" customWidth="1"/>
    <col min="16" max="16" width="8.625" style="2" customWidth="1"/>
    <col min="17" max="17" width="3" style="2" customWidth="1"/>
    <col min="18" max="18" width="17.375" style="2" bestFit="1" customWidth="1"/>
    <col min="19" max="19" width="3" style="2" customWidth="1"/>
    <col min="20" max="20" width="17.375" style="2" bestFit="1" customWidth="1"/>
    <col min="21" max="21" width="3" style="2" customWidth="1"/>
    <col min="22" max="22" width="15" style="2" customWidth="1" outlineLevel="1"/>
    <col min="23" max="23" width="17.375" style="2" bestFit="1" customWidth="1"/>
    <col min="24" max="24" width="3" style="2" customWidth="1"/>
    <col min="25" max="25" width="15" style="2" customWidth="1" outlineLevel="1"/>
    <col min="26" max="26" width="15" style="2" customWidth="1"/>
    <col min="27" max="27" width="3" style="2" customWidth="1"/>
    <col min="28" max="28" width="15" style="2" customWidth="1" outlineLevel="1"/>
    <col min="29" max="29" width="15" style="2" customWidth="1"/>
    <col min="30" max="30" width="3" style="2" customWidth="1"/>
    <col min="31" max="31" width="15" style="2" customWidth="1" outlineLevel="1"/>
    <col min="32" max="32" width="15" style="2" customWidth="1"/>
    <col min="33" max="33" width="3" style="2" customWidth="1"/>
    <col min="34" max="34" width="14.875" style="2" customWidth="1" outlineLevel="1"/>
    <col min="35" max="35" width="15" style="2" customWidth="1"/>
    <col min="36" max="36" width="3" style="2" customWidth="1"/>
    <col min="37" max="37" width="15" style="2" customWidth="1" outlineLevel="1"/>
    <col min="38" max="38" width="15" style="2" customWidth="1"/>
    <col min="39" max="39" width="3" style="2" customWidth="1"/>
    <col min="40" max="40" width="15" style="2" customWidth="1" outlineLevel="1"/>
    <col min="41" max="41" width="15" style="2" customWidth="1"/>
    <col min="42" max="42" width="3" style="2" customWidth="1"/>
    <col min="43" max="43" width="15" style="2" customWidth="1" outlineLevel="1"/>
    <col min="44" max="44" width="15" style="2" customWidth="1"/>
    <col min="45" max="45" width="3" style="2" customWidth="1"/>
    <col min="46" max="46" width="10.75" style="2" bestFit="1" customWidth="1"/>
    <col min="47" max="47" width="3" style="2" customWidth="1"/>
    <col min="48" max="48" width="15" style="2" customWidth="1" outlineLevel="1"/>
    <col min="49" max="49" width="17.375" style="2" bestFit="1" customWidth="1"/>
    <col min="50" max="50" width="3" style="2" customWidth="1"/>
    <col min="51" max="51" width="9.625" style="2" bestFit="1" customWidth="1"/>
    <col min="52" max="52" width="3" style="2" customWidth="1"/>
    <col min="53" max="53" width="15" style="2" customWidth="1" outlineLevel="1"/>
    <col min="54" max="54" width="17.375" style="2" bestFit="1" customWidth="1"/>
    <col min="55" max="55" width="3" style="2" customWidth="1"/>
    <col min="56" max="56" width="19.25" style="2" customWidth="1" outlineLevel="1"/>
    <col min="57" max="57" width="19.25" style="2" bestFit="1" customWidth="1"/>
    <col min="58" max="58" width="3" style="2" customWidth="1"/>
    <col min="59" max="59" width="19.25" style="2" customWidth="1" outlineLevel="1"/>
    <col min="60" max="60" width="19.25" style="2"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2" customWidth="1" outlineLevel="1"/>
    <col min="70" max="70" width="17.375" style="2" bestFit="1" customWidth="1"/>
    <col min="71" max="16384" width="9" style="2"/>
  </cols>
  <sheetData>
    <row r="1" spans="1:70" ht="18.75" x14ac:dyDescent="0.15">
      <c r="A1" s="465" t="s">
        <v>60</v>
      </c>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Q1" s="71"/>
      <c r="BR1" s="71"/>
    </row>
    <row r="3" spans="1:70" ht="23.25" x14ac:dyDescent="0.15">
      <c r="B3" s="462" t="s">
        <v>517</v>
      </c>
      <c r="F3" s="724" t="s">
        <v>537</v>
      </c>
      <c r="G3" s="725"/>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Q3" s="71"/>
      <c r="BR3" s="71"/>
    </row>
    <row r="4" spans="1:70" x14ac:dyDescent="0.15">
      <c r="F4" s="9" t="str">
        <f>F43</f>
        <v>CIF価格</v>
      </c>
      <c r="G4" s="112"/>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Q4" s="71"/>
      <c r="BR4" s="71"/>
    </row>
    <row r="5" spans="1:70" ht="15.75" thickBot="1" x14ac:dyDescent="0.2">
      <c r="B5" s="460" t="s">
        <v>518</v>
      </c>
      <c r="C5" s="86"/>
      <c r="D5" s="104"/>
      <c r="E5" s="104"/>
      <c r="F5" s="86"/>
      <c r="G5" s="104"/>
      <c r="I5" s="5" t="s">
        <v>64</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9" t="s">
        <v>65</v>
      </c>
      <c r="F7" s="87">
        <v>2030</v>
      </c>
      <c r="I7" s="8"/>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9" t="s">
        <v>519</v>
      </c>
      <c r="F8" s="88">
        <f>まとめ!B3</f>
        <v>107</v>
      </c>
      <c r="G8" s="81" t="s">
        <v>171</v>
      </c>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9" t="s">
        <v>520</v>
      </c>
      <c r="F9" s="88">
        <f>まとめ!B2</f>
        <v>3</v>
      </c>
      <c r="G9" s="81" t="s">
        <v>172</v>
      </c>
      <c r="I9" s="720" t="s">
        <v>78</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07" t="s">
        <v>118</v>
      </c>
      <c r="AI9" s="707"/>
      <c r="AJ9" s="8"/>
      <c r="AK9" s="707" t="s">
        <v>89</v>
      </c>
      <c r="AL9" s="707"/>
      <c r="AM9" s="8"/>
      <c r="AN9" s="707" t="s">
        <v>90</v>
      </c>
      <c r="AO9" s="707"/>
      <c r="AP9" s="8"/>
      <c r="AQ9" s="707" t="s">
        <v>91</v>
      </c>
      <c r="AR9" s="707"/>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I10" s="708"/>
      <c r="J10" s="71"/>
      <c r="K10" s="708"/>
      <c r="L10" s="71"/>
      <c r="M10" s="708"/>
      <c r="N10" s="71"/>
      <c r="O10" s="717"/>
      <c r="P10" s="717"/>
      <c r="Q10" s="71"/>
      <c r="R10" s="708"/>
      <c r="S10" s="71"/>
      <c r="T10" s="708"/>
      <c r="U10" s="71"/>
      <c r="V10" s="717"/>
      <c r="W10" s="717"/>
      <c r="X10" s="71"/>
      <c r="Y10" s="717"/>
      <c r="Z10" s="717"/>
      <c r="AA10" s="71"/>
      <c r="AB10" s="723"/>
      <c r="AC10" s="723"/>
      <c r="AD10" s="81"/>
      <c r="AE10" s="723"/>
      <c r="AF10" s="723"/>
      <c r="AG10" s="71"/>
      <c r="AH10" s="717"/>
      <c r="AI10" s="717"/>
      <c r="AJ10" s="71"/>
      <c r="AK10" s="717"/>
      <c r="AL10" s="717"/>
      <c r="AM10" s="71"/>
      <c r="AN10" s="717"/>
      <c r="AO10" s="717"/>
      <c r="AP10" s="71"/>
      <c r="AQ10" s="717"/>
      <c r="AR10" s="717"/>
      <c r="AS10" s="71"/>
      <c r="AT10" s="717"/>
      <c r="AU10" s="71"/>
      <c r="AV10" s="717"/>
      <c r="AW10" s="717"/>
      <c r="AX10" s="322"/>
      <c r="AY10" s="708"/>
      <c r="AZ10" s="71"/>
      <c r="BA10" s="708"/>
      <c r="BB10" s="708"/>
      <c r="BC10" s="71"/>
      <c r="BD10" s="717"/>
      <c r="BE10" s="717"/>
      <c r="BF10" s="71"/>
      <c r="BG10" s="717"/>
      <c r="BH10" s="717"/>
      <c r="BJ10" s="708"/>
      <c r="BK10" s="708"/>
      <c r="BL10" s="708"/>
      <c r="BM10" s="322"/>
      <c r="BN10" s="717"/>
      <c r="BO10" s="717"/>
      <c r="BQ10" s="322"/>
      <c r="BR10" s="322"/>
    </row>
    <row r="11" spans="1:70" ht="15.75" customHeight="1" thickBot="1" x14ac:dyDescent="0.2">
      <c r="B11" s="460" t="s">
        <v>95</v>
      </c>
      <c r="C11" s="86"/>
      <c r="D11" s="104"/>
      <c r="E11" s="104"/>
      <c r="F11" s="86"/>
      <c r="G11" s="104"/>
      <c r="I11" s="71"/>
      <c r="J11" s="71"/>
      <c r="K11" s="71"/>
      <c r="L11" s="71"/>
      <c r="M11" s="71"/>
      <c r="N11" s="71"/>
      <c r="O11" s="322" t="s">
        <v>96</v>
      </c>
      <c r="P11" s="322"/>
      <c r="Q11" s="322"/>
      <c r="R11" s="322" t="s">
        <v>96</v>
      </c>
      <c r="S11" s="322"/>
      <c r="T11" s="322"/>
      <c r="U11" s="71"/>
      <c r="V11" s="322"/>
      <c r="W11" s="322"/>
      <c r="X11" s="71"/>
      <c r="Y11" s="322"/>
      <c r="Z11" s="322"/>
      <c r="AA11" s="71"/>
      <c r="AB11" s="322"/>
      <c r="AC11" s="322"/>
      <c r="AD11" s="71"/>
      <c r="AE11" s="322"/>
      <c r="AF11" s="322"/>
      <c r="AG11" s="71"/>
      <c r="AH11" s="322"/>
      <c r="AI11" s="322"/>
      <c r="AJ11" s="71"/>
      <c r="AK11" s="322"/>
      <c r="AL11" s="322"/>
      <c r="AM11" s="71"/>
      <c r="AN11" s="322"/>
      <c r="AO11" s="322"/>
      <c r="AP11" s="71"/>
      <c r="AQ11" s="322"/>
      <c r="AR11" s="322"/>
      <c r="AS11" s="71"/>
      <c r="AT11" s="322"/>
      <c r="AU11" s="71"/>
      <c r="AV11" s="322"/>
      <c r="AW11" s="322"/>
      <c r="AX11" s="322"/>
      <c r="AY11" s="71"/>
      <c r="AZ11" s="71"/>
      <c r="BA11" s="71"/>
      <c r="BB11" s="322"/>
      <c r="BC11" s="71"/>
      <c r="BD11" s="322"/>
      <c r="BE11" s="322"/>
      <c r="BF11" s="71"/>
      <c r="BG11" s="322"/>
      <c r="BH11" s="322"/>
      <c r="BJ11" s="156"/>
      <c r="BM11" s="322"/>
      <c r="BN11" s="322"/>
      <c r="BO11" s="322"/>
      <c r="BQ11" s="322"/>
      <c r="BR11" s="322"/>
    </row>
    <row r="12" spans="1:70" ht="14.25" customHeight="1" x14ac:dyDescent="0.15">
      <c r="I12" s="71"/>
      <c r="J12" s="71"/>
      <c r="K12" s="71"/>
      <c r="L12" s="71"/>
      <c r="M12" s="71"/>
      <c r="N12" s="71"/>
      <c r="O12" s="322"/>
      <c r="P12" s="707" t="s">
        <v>97</v>
      </c>
      <c r="Q12" s="71"/>
      <c r="R12" s="71"/>
      <c r="S12" s="71"/>
      <c r="T12" s="71"/>
      <c r="U12" s="71"/>
      <c r="V12" s="71"/>
      <c r="W12" s="707" t="s">
        <v>98</v>
      </c>
      <c r="X12" s="71"/>
      <c r="Y12" s="71"/>
      <c r="Z12" s="707" t="s">
        <v>98</v>
      </c>
      <c r="AA12" s="71"/>
      <c r="AB12" s="71"/>
      <c r="AC12" s="707" t="s">
        <v>98</v>
      </c>
      <c r="AD12" s="71"/>
      <c r="AE12" s="71"/>
      <c r="AF12" s="707" t="s">
        <v>98</v>
      </c>
      <c r="AG12" s="71"/>
      <c r="AH12" s="71"/>
      <c r="AI12" s="707" t="s">
        <v>98</v>
      </c>
      <c r="AJ12" s="71"/>
      <c r="AK12" s="71"/>
      <c r="AL12" s="707" t="s">
        <v>98</v>
      </c>
      <c r="AM12" s="71"/>
      <c r="AN12" s="71"/>
      <c r="AO12" s="707" t="s">
        <v>98</v>
      </c>
      <c r="AP12" s="71"/>
      <c r="AQ12" s="71"/>
      <c r="AR12" s="707" t="s">
        <v>98</v>
      </c>
      <c r="AS12" s="71"/>
      <c r="AT12" s="71"/>
      <c r="AU12" s="71"/>
      <c r="AV12" s="71"/>
      <c r="AW12" s="707" t="s">
        <v>98</v>
      </c>
      <c r="AX12" s="71"/>
      <c r="AY12" s="71"/>
      <c r="AZ12" s="71"/>
      <c r="BA12" s="71"/>
      <c r="BB12" s="707" t="s">
        <v>98</v>
      </c>
      <c r="BC12" s="71"/>
      <c r="BD12" s="71"/>
      <c r="BE12" s="707" t="s">
        <v>98</v>
      </c>
      <c r="BF12" s="71"/>
      <c r="BG12" s="71"/>
      <c r="BH12" s="707" t="s">
        <v>98</v>
      </c>
      <c r="BJ12" s="709" t="s">
        <v>99</v>
      </c>
      <c r="BK12" s="709" t="s">
        <v>100</v>
      </c>
      <c r="BL12" s="709" t="s">
        <v>101</v>
      </c>
      <c r="BO12" s="709" t="s">
        <v>102</v>
      </c>
      <c r="BQ12" s="71"/>
      <c r="BR12" s="707" t="s">
        <v>103</v>
      </c>
    </row>
    <row r="13" spans="1:70" ht="14.25" customHeight="1" x14ac:dyDescent="0.15">
      <c r="C13" s="9" t="s">
        <v>504</v>
      </c>
      <c r="F13" s="66">
        <v>0.15</v>
      </c>
      <c r="G13" s="81" t="s">
        <v>173</v>
      </c>
      <c r="I13" s="71"/>
      <c r="J13" s="71"/>
      <c r="K13" s="71"/>
      <c r="L13" s="71"/>
      <c r="M13" s="71"/>
      <c r="N13" s="71"/>
      <c r="O13" s="322"/>
      <c r="P13" s="708"/>
      <c r="Q13" s="322"/>
      <c r="R13" s="322"/>
      <c r="S13" s="322"/>
      <c r="T13" s="322"/>
      <c r="U13" s="71"/>
      <c r="V13" s="322"/>
      <c r="W13" s="708"/>
      <c r="X13" s="71"/>
      <c r="Y13" s="322"/>
      <c r="Z13" s="708"/>
      <c r="AA13" s="71"/>
      <c r="AB13" s="322"/>
      <c r="AC13" s="708"/>
      <c r="AD13" s="71"/>
      <c r="AE13" s="322"/>
      <c r="AF13" s="708"/>
      <c r="AG13" s="71"/>
      <c r="AH13" s="322"/>
      <c r="AI13" s="708"/>
      <c r="AJ13" s="71"/>
      <c r="AK13" s="322"/>
      <c r="AL13" s="708"/>
      <c r="AM13" s="71"/>
      <c r="AN13" s="322"/>
      <c r="AO13" s="708"/>
      <c r="AP13" s="71"/>
      <c r="AQ13" s="322"/>
      <c r="AR13" s="708"/>
      <c r="AS13" s="71"/>
      <c r="AT13" s="322"/>
      <c r="AU13" s="71"/>
      <c r="AV13" s="322"/>
      <c r="AW13" s="708"/>
      <c r="AX13" s="71"/>
      <c r="AY13" s="71"/>
      <c r="AZ13" s="71"/>
      <c r="BA13" s="71"/>
      <c r="BB13" s="708"/>
      <c r="BC13" s="71"/>
      <c r="BD13" s="322"/>
      <c r="BE13" s="708"/>
      <c r="BF13" s="71"/>
      <c r="BG13" s="322"/>
      <c r="BH13" s="708"/>
      <c r="BJ13" s="712"/>
      <c r="BK13" s="710"/>
      <c r="BL13" s="708"/>
      <c r="BM13" s="322"/>
      <c r="BO13" s="708"/>
      <c r="BQ13" s="322"/>
      <c r="BR13" s="708"/>
    </row>
    <row r="14" spans="1:70" ht="16.5" x14ac:dyDescent="0.15">
      <c r="C14" s="9" t="s">
        <v>505</v>
      </c>
      <c r="F14" s="88">
        <f>VLOOKUP(F3&amp;IF(G4&lt;&gt;"","_"&amp;G4,""),まとめ!$A$12:$G$34,IF(F7=2030,4,IF(F7=2020,3,IF(F7=2014,2,"-"))),0)</f>
        <v>36</v>
      </c>
      <c r="G14" s="81" t="s">
        <v>172</v>
      </c>
      <c r="I14" s="71"/>
      <c r="J14" s="71"/>
      <c r="K14" s="71"/>
      <c r="L14" s="71"/>
      <c r="M14" s="71"/>
      <c r="N14" s="71"/>
      <c r="O14" s="322"/>
      <c r="P14" s="322"/>
      <c r="Q14" s="322"/>
      <c r="R14" s="322"/>
      <c r="S14" s="322"/>
      <c r="T14" s="322"/>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50" t="s">
        <v>104</v>
      </c>
      <c r="AU14" s="71"/>
      <c r="AV14" s="71"/>
      <c r="AW14" s="71"/>
      <c r="AX14" s="71"/>
      <c r="AY14" s="71" t="s">
        <v>105</v>
      </c>
      <c r="AZ14" s="71"/>
      <c r="BA14" s="71"/>
      <c r="BB14" s="71"/>
      <c r="BC14" s="71"/>
      <c r="BD14" s="71"/>
      <c r="BE14" s="71"/>
      <c r="BF14" s="71"/>
      <c r="BG14" s="71"/>
      <c r="BH14" s="71"/>
      <c r="BQ14" s="71"/>
      <c r="BR14" s="71"/>
    </row>
    <row r="15" spans="1:70" x14ac:dyDescent="0.15">
      <c r="C15" s="9" t="s">
        <v>506</v>
      </c>
      <c r="F15" s="88">
        <f>VLOOKUP(F3&amp;IF(G4&lt;&gt;"","_"&amp;G4,""),まとめ!$A$12:$G$34,IF(F7=2030,7,IF(F7=2020,6,IF(F7=2014,5,"-"))),0)</f>
        <v>30</v>
      </c>
      <c r="G15" s="81" t="s">
        <v>108</v>
      </c>
      <c r="I15" s="38">
        <f>F7</f>
        <v>2030</v>
      </c>
      <c r="J15" s="39"/>
      <c r="K15" s="39">
        <f>IF(I15&lt;&gt;"",1,"")</f>
        <v>1</v>
      </c>
      <c r="L15" s="39"/>
      <c r="M15" s="40">
        <f t="shared" ref="M15:M78" si="0">1/(1+($F$9/100))^K15</f>
        <v>0.970873786407767</v>
      </c>
      <c r="N15" s="39"/>
      <c r="O15" s="72">
        <f>F117</f>
        <v>195000000</v>
      </c>
      <c r="P15" s="41">
        <f t="shared" ref="P15:P46" si="1">IF(K15&lt;=$F$15,IF(OR(P14=$F$124,P14="-"),"-",IF(O15*$F$123&gt;$F$127,$F$123,$F$124)),"")</f>
        <v>0.16700000000000001</v>
      </c>
      <c r="Q15" s="39"/>
      <c r="R15" s="72">
        <f>F117</f>
        <v>195000000</v>
      </c>
      <c r="S15" s="39"/>
      <c r="T15" s="72">
        <f>IF(ISNUMBER(R15),ROUNDDOWN(R15,-3),"")</f>
        <v>195000000</v>
      </c>
      <c r="U15" s="39"/>
      <c r="V15" s="72">
        <f t="shared" ref="V15:V46" si="2">IF(K15&lt;=$F$15,IF(K15&lt;$F$119,IF(P15="-",V14,O15*P15),IF(K15=$F$119,MIN(IF(P15="-",V14,O15*P15),O15),0)),"")</f>
        <v>32565000</v>
      </c>
      <c r="W15" s="72">
        <f>IF(ISNUMBER(V15),V15*$M15,"")</f>
        <v>31616504.854368933</v>
      </c>
      <c r="X15" s="39"/>
      <c r="Y15" s="72">
        <f t="shared" ref="Y15:Y46" si="3">IF($K15&lt;=$F$15,ROUNDDOWN(T15*$F$25/100,-2),"")</f>
        <v>2730000</v>
      </c>
      <c r="Z15" s="72">
        <f>IF(ISNUMBER(Y15),Y15*$M15,"")</f>
        <v>2650485.4368932038</v>
      </c>
      <c r="AA15" s="39"/>
      <c r="AB15" s="72">
        <f t="shared" ref="AB15:AB78" si="4">IF($K15&lt;=$F$15,0,IF(AND($K15&gt;$F$15,$K15&lt;=$F$15+$F$28),$F$27*10^8/$F$28,""))</f>
        <v>0</v>
      </c>
      <c r="AC15" s="72">
        <f>IF(ISNUMBER(AB15),AB15*$M15,"")</f>
        <v>0</v>
      </c>
      <c r="AD15" s="39"/>
      <c r="AE15" s="72">
        <f t="shared" ref="AE15:AE46" si="5">IF($K15&lt;=$F$15,$F$26,"")</f>
        <v>0</v>
      </c>
      <c r="AF15" s="72">
        <f>IF(ISNUMBER(AE15),AE15*$M15,"")</f>
        <v>0</v>
      </c>
      <c r="AG15" s="39"/>
      <c r="AH15" s="72">
        <f t="shared" ref="AH15:AH46" si="6">IF($K15&lt;=$F$15,$F$33*10^8,"")</f>
        <v>0</v>
      </c>
      <c r="AI15" s="72">
        <f>IF(ISNUMBER(AH15),AH15*$M15,"")</f>
        <v>0</v>
      </c>
      <c r="AJ15" s="39"/>
      <c r="AK15" s="72">
        <f>IF($K15&lt;=$F$15,$F$34*10^4*$F$13*10^4,"")</f>
        <v>11850000</v>
      </c>
      <c r="AL15" s="72">
        <f>IF(ISNUMBER(AK15),AK15*$M15,"")</f>
        <v>11504854.368932039</v>
      </c>
      <c r="AM15" s="39"/>
      <c r="AN15" s="72">
        <f t="shared" ref="AN15:AN46" si="7">IF($K15&lt;=$F$15,$F$117*$F$35/100,"")</f>
        <v>0</v>
      </c>
      <c r="AO15" s="72">
        <f>IF(ISNUMBER(AN15),AN15*$M15,"")</f>
        <v>0</v>
      </c>
      <c r="AP15" s="39"/>
      <c r="AQ15" s="72">
        <f t="shared" ref="AQ15:AQ46" si="8">IF($K15&lt;=$F$15,SUM(AH15,AK15,AN15)*($F$36/100),"")</f>
        <v>0</v>
      </c>
      <c r="AR15" s="72">
        <f>IF(ISNUMBER(AQ15),AQ15*$M15,"")</f>
        <v>0</v>
      </c>
      <c r="AS15" s="39"/>
      <c r="AT15" s="40">
        <f>IF($K15&lt;=$F$15,IF($F$40&lt;&gt;"",$F$40/1000,IF(ISERROR(VLOOKUP($F$3&amp;IF($G$4&lt;&gt;"",$G$4,"")&amp;IF($F$43&lt;&gt;"","_"&amp;$F$43,""),'表3）燃料価格'!$AF$9:$AG$25,2,0)),0,VLOOKUP($I15,'表3）燃料価格'!$A$6:$U$66,VLOOKUP($F$3&amp;IF($G$4&lt;&gt;"",$G$4,"")&amp;IF($F$43&lt;&gt;"","_"&amp;$F$43,""),'表3）燃料価格'!$AF$9:$AG$25,2,0)+VLOOKUP($F$41,'表3）燃料価格'!$AF$28:$AG$29,2,0),0)*IF($F$43="需要地価格",1,$F$8/$F$141))),"")</f>
        <v>53.495301855314878</v>
      </c>
      <c r="AU15" s="39"/>
      <c r="AV15" s="72">
        <f t="shared" ref="AV15:AV46" si="9">IF($K15&lt;=$F$15,($AT15+$F$142)*$F$137,"")</f>
        <v>75963658.516294837</v>
      </c>
      <c r="AW15" s="72">
        <f t="shared" ref="AW15:AW78" si="10">IF(ISNUMBER(AV15),AV15*$M15,"")</f>
        <v>73751124.773101792</v>
      </c>
      <c r="AX15" s="39"/>
      <c r="AY15" s="40">
        <f>IF(ISERROR(IF($K15&lt;=$F$15,VLOOKUP($I15,'表4）CO2価格'!$A$7:$E$67,VLOOKUP($F$48,'表4）CO2価格'!$H$10:$I$12,2,0),0)*$F$8/1000,"")),0,IF($K15&lt;=$F$15,VLOOKUP($I15,'表4）CO2価格'!$A$7:$E$67,VLOOKUP($F$48,'表4）CO2価格'!$H$10:$I$12,2,0),0)*$F$8/1000,""))</f>
        <v>4.28</v>
      </c>
      <c r="AZ15" s="39"/>
      <c r="BA15" s="42">
        <f t="shared" ref="BA15:BA46" si="11">IF($K15&lt;=$F$15,$F$145*AY15,"")</f>
        <v>16311104.748547114</v>
      </c>
      <c r="BB15" s="72">
        <f>IF(ISNUMBER(BA15),BA15*$M15,"")</f>
        <v>15836024.027715646</v>
      </c>
      <c r="BC15" s="39"/>
      <c r="BD15" s="72">
        <f t="shared" ref="BD15:BD46" si="12">IF($K15&lt;=$F$15,($AT15+$F$152)*$F$151,"")</f>
        <v>21554688.103998657</v>
      </c>
      <c r="BE15" s="72">
        <f>IF(ISNUMBER(BD15),BD15*$M15,"")</f>
        <v>20926881.654367629</v>
      </c>
      <c r="BF15" s="39"/>
      <c r="BG15" s="42">
        <f t="shared" ref="BG15:BG46" si="13">IF($K15&lt;=$F$15,$F$153*AY15,"")</f>
        <v>4628275.9724002425</v>
      </c>
      <c r="BH15" s="72">
        <f>IF(ISNUMBER(BG15),BG15*$M15,"")</f>
        <v>4493471.8178643128</v>
      </c>
      <c r="BI15" s="39"/>
      <c r="BJ15" s="40" t="str">
        <f>IF(ISNUMBER($F$16),IF($K15&lt;=$F$16+$F$28,1/(1+($F$17/100))^K15,""),"")</f>
        <v/>
      </c>
      <c r="BK15" s="157" t="str">
        <f>IF(ISNUMBER($F$16),IF($K15&lt;=$F$16+$F$28,IF($K15&lt;=$F$16,SUM(Y15,AB15,AE15,AH15,AK15,AN15,AQ15,AV15,BA15,BD15,BG15),$F$27/$F$28*10^8)*BJ15,""),"")</f>
        <v/>
      </c>
      <c r="BL15" s="157" t="str">
        <f t="shared" ref="BL15:BL78" si="14">IF(AND(ISNUMBER(BJ15),$K15&lt;=$F$16),BQ15*BJ15,"")</f>
        <v/>
      </c>
      <c r="BM15" s="72"/>
      <c r="BN15" s="72" t="str">
        <f>IF(AND(ISNUMBER($F$16),$K15&lt;=$F$16),BQ15*($O$15+$BK$116)/$BL$116,"")</f>
        <v/>
      </c>
      <c r="BO15" s="72" t="str">
        <f>IF(ISNUMBER(BN15),BN15*$M15,"")</f>
        <v/>
      </c>
      <c r="BP15" s="39"/>
      <c r="BQ15" s="72">
        <f t="shared" ref="BQ15:BQ46" si="15">IF($K15&lt;=$F$15,$F$134,"")</f>
        <v>4588488</v>
      </c>
      <c r="BR15" s="72">
        <f>IF(ISNUMBER(BQ15),BQ15*$M15,"")</f>
        <v>4454842.7184466021</v>
      </c>
    </row>
    <row r="16" spans="1:70" x14ac:dyDescent="0.15">
      <c r="C16" s="236" t="s">
        <v>107</v>
      </c>
      <c r="F16" s="88" t="str">
        <f>IF(ISERROR(VLOOKUP(F3&amp;IF(G4&lt;&gt;"","_"&amp;G4,""),'表7）買取期間・IRR'!$A$3:$A$10,1,0)),"",VLOOKUP(F3&amp;IF(G4&lt;&gt;"","_"&amp;G4,""),'表7）買取期間・IRR'!$A$3:$C$10,IF(F7=2030,4,IF(F7=2020,3,IF(F7=2014,2,"-"))),0))</f>
        <v/>
      </c>
      <c r="G16" s="81" t="s">
        <v>108</v>
      </c>
      <c r="I16" s="322">
        <f>I15+1</f>
        <v>2031</v>
      </c>
      <c r="J16" s="71"/>
      <c r="K16" s="71">
        <f>IF(I16&lt;&gt;"",K15+1,"")</f>
        <v>2</v>
      </c>
      <c r="L16" s="71"/>
      <c r="M16" s="7">
        <f t="shared" si="0"/>
        <v>0.94259590913375435</v>
      </c>
      <c r="N16" s="71"/>
      <c r="O16" s="10">
        <f t="shared" ref="O16:O79" si="16">IF(K16&lt;=$F$15,O15-V15,"")</f>
        <v>162435000</v>
      </c>
      <c r="P16" s="29">
        <f t="shared" si="1"/>
        <v>0.16700000000000001</v>
      </c>
      <c r="Q16" s="71"/>
      <c r="R16" s="10">
        <f t="shared" ref="R16:R47" si="17">IF($K16&lt;=$F$15,MAX($F$117*5%,R15*$F$129),"")</f>
        <v>167250700.22522435</v>
      </c>
      <c r="S16" s="71"/>
      <c r="T16" s="10">
        <f t="shared" ref="T16:T79" si="18">IF(ISNUMBER(R16),ROUNDDOWN(R16,-3),"")</f>
        <v>167250000</v>
      </c>
      <c r="U16" s="71"/>
      <c r="V16" s="10">
        <f t="shared" si="2"/>
        <v>27126645</v>
      </c>
      <c r="W16" s="10">
        <f t="shared" ref="W16:W79" si="19">IF(ISNUMBER(V16),V16*$M16,"")</f>
        <v>25569464.605523612</v>
      </c>
      <c r="X16" s="71"/>
      <c r="Y16" s="10">
        <f t="shared" si="3"/>
        <v>2341500</v>
      </c>
      <c r="Z16" s="10">
        <f t="shared" ref="Z16:Z79" si="20">IF(ISNUMBER(Y16),Y16*$M16,"")</f>
        <v>2207088.3212366858</v>
      </c>
      <c r="AA16" s="71"/>
      <c r="AB16" s="10">
        <f t="shared" si="4"/>
        <v>0</v>
      </c>
      <c r="AC16" s="10">
        <f t="shared" ref="AC16:AC79" si="21">IF(ISNUMBER(AB16),AB16*$M16,"")</f>
        <v>0</v>
      </c>
      <c r="AD16" s="71"/>
      <c r="AE16" s="10">
        <f t="shared" si="5"/>
        <v>0</v>
      </c>
      <c r="AF16" s="10">
        <f t="shared" ref="AF16:AF79" si="22">IF(ISNUMBER(AE16),AE16*$M16,"")</f>
        <v>0</v>
      </c>
      <c r="AG16" s="71"/>
      <c r="AH16" s="10">
        <f t="shared" si="6"/>
        <v>0</v>
      </c>
      <c r="AI16" s="10">
        <f t="shared" ref="AI16:AI79" si="23">IF(ISNUMBER(AH16),AH16*$M16,"")</f>
        <v>0</v>
      </c>
      <c r="AJ16" s="71"/>
      <c r="AK16" s="10">
        <f t="shared" ref="AK16:AK79" si="24">IF($K16&lt;=$F$15,$F$34*10^4*$F$13*10^4,"")</f>
        <v>11850000</v>
      </c>
      <c r="AL16" s="10">
        <f t="shared" ref="AL16:AL79" si="25">IF(ISNUMBER(AK16),AK16*$M16,"")</f>
        <v>11169761.523234989</v>
      </c>
      <c r="AM16" s="71"/>
      <c r="AN16" s="10">
        <f t="shared" si="7"/>
        <v>0</v>
      </c>
      <c r="AO16" s="10">
        <f t="shared" ref="AO16:AO79" si="26">IF(ISNUMBER(AN16),AN16*$M16,"")</f>
        <v>0</v>
      </c>
      <c r="AP16" s="71"/>
      <c r="AQ16" s="10">
        <f t="shared" si="8"/>
        <v>0</v>
      </c>
      <c r="AR16" s="10">
        <f t="shared" ref="AR16:AR79" si="27">IF(ISNUMBER(AQ16),AQ16*$M16,"")</f>
        <v>0</v>
      </c>
      <c r="AS16" s="71"/>
      <c r="AT16" s="7">
        <f>IF($K16&lt;=$F$15,IF($F$40&lt;&gt;"",$F$40/1000,IF(ISERROR(VLOOKUP($F$3&amp;IF($G$4&lt;&gt;"",$G$4,"")&amp;IF($F$43&lt;&gt;"","_"&amp;$F$43,""),'表3）燃料価格'!$AF$9:$AG$25,2,0)),0,VLOOKUP($I16,'表3）燃料価格'!$A$6:$U$66,VLOOKUP($F$3&amp;IF($G$4&lt;&gt;"",$G$4,"")&amp;IF($F$43&lt;&gt;"","_"&amp;$F$43,""),'表3）燃料価格'!$AF$9:$AG$25,2,0)+VLOOKUP($F$41,'表3）燃料価格'!$AF$28:$AG$29,2,0),0)*IF($F$43="需要地価格",1,$F$8/$F$141))),"")</f>
        <v>54.123444290922016</v>
      </c>
      <c r="AU16" s="71"/>
      <c r="AV16" s="10">
        <f t="shared" si="9"/>
        <v>76744667.792442694</v>
      </c>
      <c r="AW16" s="10">
        <f t="shared" si="10"/>
        <v>72339209.908985481</v>
      </c>
      <c r="AX16" s="71"/>
      <c r="AY16" s="7">
        <f>IF(ISERROR(IF($K16&lt;=$F$15,VLOOKUP($I16,'表4）CO2価格'!$A$7:$E$67,VLOOKUP($F$48,'表4）CO2価格'!$H$10:$I$12,2,0),0)*$F$8/1000,"")),0,IF($K16&lt;=$F$15,VLOOKUP($I16,'表4）CO2価格'!$A$7:$E$67,VLOOKUP($F$48,'表4）CO2価格'!$H$10:$I$12,2,0),0)*$F$8/1000,""))</f>
        <v>4.4083999999999808</v>
      </c>
      <c r="AZ16" s="71"/>
      <c r="BA16" s="11">
        <f t="shared" si="11"/>
        <v>16800437.891003456</v>
      </c>
      <c r="BB16" s="10">
        <f t="shared" ref="BB16:BB79" si="28">IF(ISNUMBER(BA16),BA16*$M16,"")</f>
        <v>15836024.027715577</v>
      </c>
      <c r="BC16" s="71"/>
      <c r="BD16" s="10">
        <f t="shared" si="12"/>
        <v>21776299.48610561</v>
      </c>
      <c r="BE16" s="10">
        <f t="shared" ref="BE16:BE79" si="29">IF(ISNUMBER(BD16),BD16*$M16,"")</f>
        <v>20526250.811674625</v>
      </c>
      <c r="BF16" s="71"/>
      <c r="BG16" s="11">
        <f t="shared" si="13"/>
        <v>4767124.251572229</v>
      </c>
      <c r="BH16" s="10">
        <f t="shared" ref="BH16:BH79" si="30">IF(ISNUMBER(BG16),BG16*$M16,"")</f>
        <v>4493471.8178642932</v>
      </c>
      <c r="BJ16" s="7" t="str">
        <f t="shared" ref="BJ16:BJ79" si="31">IF(ISNUMBER($F$16),IF($K16&lt;=$F$16+$F$28,1/(1+($F$17/100))^K16,""),"")</f>
        <v/>
      </c>
      <c r="BK16" s="158" t="str">
        <f t="shared" ref="BK16:BK79" si="32">IF(ISNUMBER($F$16),IF($K16&lt;=$F$16+$F$28,IF($K16&lt;=$F$16,SUM(Y16,AB16,AE16,AH16,AK16,AN16,AQ16,AV16,BA16,BD16,BG16),$F$27/$F$28*10^8)*BJ16,""),"")</f>
        <v/>
      </c>
      <c r="BL16" s="158" t="str">
        <f t="shared" si="14"/>
        <v/>
      </c>
      <c r="BM16" s="10"/>
      <c r="BN16" s="10" t="str">
        <f t="shared" ref="BN16:BN79" si="33">IF(AND(ISNUMBER($F$16),$K16&lt;=$F$16),BQ16*($O$15+$BK$116)/$BL$116,"")</f>
        <v/>
      </c>
      <c r="BO16" s="10" t="str">
        <f t="shared" ref="BO16:BO79" si="34">IF(ISNUMBER(BN16),BN16*$M16,"")</f>
        <v/>
      </c>
      <c r="BQ16" s="10">
        <f t="shared" si="15"/>
        <v>4588488</v>
      </c>
      <c r="BR16" s="10">
        <f t="shared" ref="BR16:BR79" si="35">IF(ISNUMBER(BQ16),BQ16*$M16,"")</f>
        <v>4325090.0179093219</v>
      </c>
    </row>
    <row r="17" spans="3:70" x14ac:dyDescent="0.15">
      <c r="C17" s="9" t="s">
        <v>109</v>
      </c>
      <c r="F17" s="143" t="str">
        <f>IF(ISERROR(VLOOKUP(F3&amp;IF(G4&lt;&gt;"","_"&amp;G4,""),'表7）買取期間・IRR'!$A$14:$A$21,1,0)),"",VLOOKUP(F3&amp;IF(G4&lt;&gt;"","_"&amp;G4,""),'表7）買取期間・IRR'!$A$14:$C$21,IF(F7=2030,4,IF(F7=2020,3,IF(F7=2014,2,"-"))),0))</f>
        <v/>
      </c>
      <c r="G17" s="81" t="s">
        <v>172</v>
      </c>
      <c r="I17" s="38">
        <f t="shared" ref="I17:I80" si="36">I16+1</f>
        <v>2032</v>
      </c>
      <c r="J17" s="39"/>
      <c r="K17" s="39">
        <f t="shared" ref="K17:K80" si="37">IF(I17&lt;&gt;"",K16+1,"")</f>
        <v>3</v>
      </c>
      <c r="L17" s="39"/>
      <c r="M17" s="40">
        <f t="shared" si="0"/>
        <v>0.91514165935315961</v>
      </c>
      <c r="N17" s="39"/>
      <c r="O17" s="72">
        <f t="shared" si="16"/>
        <v>135308355</v>
      </c>
      <c r="P17" s="41">
        <f t="shared" si="1"/>
        <v>0.16700000000000001</v>
      </c>
      <c r="Q17" s="39"/>
      <c r="R17" s="72">
        <f t="shared" si="17"/>
        <v>143450239.61963004</v>
      </c>
      <c r="S17" s="39"/>
      <c r="T17" s="72">
        <f t="shared" si="18"/>
        <v>143450000</v>
      </c>
      <c r="U17" s="39"/>
      <c r="V17" s="72">
        <f t="shared" si="2"/>
        <v>22596495.285</v>
      </c>
      <c r="W17" s="72">
        <f t="shared" si="19"/>
        <v>20678994.190680746</v>
      </c>
      <c r="X17" s="39"/>
      <c r="Y17" s="72">
        <f t="shared" si="3"/>
        <v>2008300</v>
      </c>
      <c r="Z17" s="72">
        <f t="shared" si="20"/>
        <v>1837878.9944789505</v>
      </c>
      <c r="AA17" s="39"/>
      <c r="AB17" s="72">
        <f t="shared" si="4"/>
        <v>0</v>
      </c>
      <c r="AC17" s="72">
        <f t="shared" si="21"/>
        <v>0</v>
      </c>
      <c r="AD17" s="39"/>
      <c r="AE17" s="72">
        <f t="shared" si="5"/>
        <v>0</v>
      </c>
      <c r="AF17" s="72">
        <f t="shared" si="22"/>
        <v>0</v>
      </c>
      <c r="AG17" s="39"/>
      <c r="AH17" s="72">
        <f t="shared" si="6"/>
        <v>0</v>
      </c>
      <c r="AI17" s="72">
        <f t="shared" si="23"/>
        <v>0</v>
      </c>
      <c r="AJ17" s="39"/>
      <c r="AK17" s="72">
        <f t="shared" si="24"/>
        <v>11850000</v>
      </c>
      <c r="AL17" s="72">
        <f t="shared" si="25"/>
        <v>10844428.663334941</v>
      </c>
      <c r="AM17" s="39"/>
      <c r="AN17" s="72">
        <f t="shared" si="7"/>
        <v>0</v>
      </c>
      <c r="AO17" s="72">
        <f t="shared" si="26"/>
        <v>0</v>
      </c>
      <c r="AP17" s="39"/>
      <c r="AQ17" s="72">
        <f t="shared" si="8"/>
        <v>0</v>
      </c>
      <c r="AR17" s="72">
        <f t="shared" si="27"/>
        <v>0</v>
      </c>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54.751586726529169</v>
      </c>
      <c r="AU17" s="39"/>
      <c r="AV17" s="72">
        <f t="shared" si="9"/>
        <v>77525677.068590581</v>
      </c>
      <c r="AW17" s="72">
        <f t="shared" si="10"/>
        <v>70946976.755027175</v>
      </c>
      <c r="AX17" s="39"/>
      <c r="AY17" s="40">
        <f>IF(ISERROR(IF($K17&lt;=$F$15,VLOOKUP($I17,'表4）CO2価格'!$A$7:$E$67,VLOOKUP($F$48,'表4）CO2価格'!$H$10:$I$12,2,0),0)*$F$8/1000,"")),0,IF($K17&lt;=$F$15,VLOOKUP($I17,'表4）CO2価格'!$A$7:$E$67,VLOOKUP($F$48,'表4）CO2価格'!$H$10:$I$12,2,0),0)*$F$8/1000,""))</f>
        <v>4.5368000000000102</v>
      </c>
      <c r="AZ17" s="39"/>
      <c r="BA17" s="42">
        <f t="shared" si="11"/>
        <v>17289771.03345998</v>
      </c>
      <c r="BB17" s="72">
        <f t="shared" si="28"/>
        <v>15822589.753396759</v>
      </c>
      <c r="BC17" s="39"/>
      <c r="BD17" s="72">
        <f t="shared" si="12"/>
        <v>21997910.86821257</v>
      </c>
      <c r="BE17" s="72">
        <f t="shared" si="29"/>
        <v>20131204.654238954</v>
      </c>
      <c r="BF17" s="39"/>
      <c r="BG17" s="42">
        <f t="shared" si="13"/>
        <v>4905972.5307442676</v>
      </c>
      <c r="BH17" s="72">
        <f t="shared" si="30"/>
        <v>4489659.8425263287</v>
      </c>
      <c r="BI17" s="39"/>
      <c r="BJ17" s="40" t="str">
        <f t="shared" si="31"/>
        <v/>
      </c>
      <c r="BK17" s="157" t="str">
        <f t="shared" si="32"/>
        <v/>
      </c>
      <c r="BL17" s="157" t="str">
        <f t="shared" si="14"/>
        <v/>
      </c>
      <c r="BM17" s="72"/>
      <c r="BN17" s="72" t="str">
        <f t="shared" si="33"/>
        <v/>
      </c>
      <c r="BO17" s="72" t="str">
        <f t="shared" si="34"/>
        <v/>
      </c>
      <c r="BP17" s="39"/>
      <c r="BQ17" s="72">
        <f t="shared" si="15"/>
        <v>4588488</v>
      </c>
      <c r="BR17" s="72">
        <f t="shared" si="35"/>
        <v>4199116.5222420609</v>
      </c>
    </row>
    <row r="18" spans="3:70" x14ac:dyDescent="0.15">
      <c r="I18" s="322">
        <f t="shared" si="36"/>
        <v>2033</v>
      </c>
      <c r="J18" s="71"/>
      <c r="K18" s="71">
        <f t="shared" si="37"/>
        <v>4</v>
      </c>
      <c r="L18" s="71"/>
      <c r="M18" s="7">
        <f t="shared" si="0"/>
        <v>0.888487047915689</v>
      </c>
      <c r="N18" s="71"/>
      <c r="O18" s="10">
        <f t="shared" si="16"/>
        <v>112711859.715</v>
      </c>
      <c r="P18" s="29">
        <f t="shared" si="1"/>
        <v>0.16700000000000001</v>
      </c>
      <c r="Q18" s="71"/>
      <c r="R18" s="10">
        <f t="shared" si="17"/>
        <v>123036682.17363767</v>
      </c>
      <c r="S18" s="71"/>
      <c r="T18" s="10">
        <f t="shared" si="18"/>
        <v>123036000</v>
      </c>
      <c r="U18" s="71"/>
      <c r="V18" s="10">
        <f t="shared" si="2"/>
        <v>18822880.572405003</v>
      </c>
      <c r="W18" s="10">
        <f t="shared" si="19"/>
        <v>16723885.593045695</v>
      </c>
      <c r="X18" s="71"/>
      <c r="Y18" s="10">
        <f t="shared" si="3"/>
        <v>1722500</v>
      </c>
      <c r="Z18" s="10">
        <f t="shared" si="20"/>
        <v>1530418.9400347744</v>
      </c>
      <c r="AA18" s="71"/>
      <c r="AB18" s="10">
        <f t="shared" si="4"/>
        <v>0</v>
      </c>
      <c r="AC18" s="10">
        <f t="shared" si="21"/>
        <v>0</v>
      </c>
      <c r="AD18" s="71"/>
      <c r="AE18" s="10">
        <f t="shared" si="5"/>
        <v>0</v>
      </c>
      <c r="AF18" s="10">
        <f t="shared" si="22"/>
        <v>0</v>
      </c>
      <c r="AG18" s="71"/>
      <c r="AH18" s="10">
        <f t="shared" si="6"/>
        <v>0</v>
      </c>
      <c r="AI18" s="10">
        <f t="shared" si="23"/>
        <v>0</v>
      </c>
      <c r="AJ18" s="71"/>
      <c r="AK18" s="10">
        <f t="shared" si="24"/>
        <v>11850000</v>
      </c>
      <c r="AL18" s="10">
        <f t="shared" si="25"/>
        <v>10528571.517800914</v>
      </c>
      <c r="AM18" s="71"/>
      <c r="AN18" s="10">
        <f t="shared" si="7"/>
        <v>0</v>
      </c>
      <c r="AO18" s="10">
        <f t="shared" si="26"/>
        <v>0</v>
      </c>
      <c r="AP18" s="71"/>
      <c r="AQ18" s="10">
        <f t="shared" si="8"/>
        <v>0</v>
      </c>
      <c r="AR18" s="10">
        <f t="shared" si="27"/>
        <v>0</v>
      </c>
      <c r="AS18" s="71"/>
      <c r="AT18" s="7">
        <f>IF($K18&lt;=$F$15,IF($F$40&lt;&gt;"",$F$40/1000,IF(ISERROR(VLOOKUP($F$3&amp;IF($G$4&lt;&gt;"",$G$4,"")&amp;IF($F$43&lt;&gt;"","_"&amp;$F$43,""),'表3）燃料価格'!$AF$9:$AG$25,2,0)),0,VLOOKUP($I18,'表3）燃料価格'!$A$6:$U$66,VLOOKUP($F$3&amp;IF($G$4&lt;&gt;"",$G$4,"")&amp;IF($F$43&lt;&gt;"","_"&amp;$F$43,""),'表3）燃料価格'!$AF$9:$AG$25,2,0)+VLOOKUP($F$41,'表3）燃料価格'!$AF$28:$AG$29,2,0),0)*IF($F$43="需要地価格",1,$F$8/$F$141))),"")</f>
        <v>55.379729162136329</v>
      </c>
      <c r="AU18" s="71"/>
      <c r="AV18" s="10">
        <f t="shared" si="9"/>
        <v>78306686.344738454</v>
      </c>
      <c r="AW18" s="10">
        <f t="shared" si="10"/>
        <v>69574476.582496464</v>
      </c>
      <c r="AX18" s="71"/>
      <c r="AY18" s="7">
        <f>IF(ISERROR(IF($K18&lt;=$F$15,VLOOKUP($I18,'表4）CO2価格'!$A$7:$E$67,VLOOKUP($F$48,'表4）CO2価格'!$H$10:$I$12,2,0),0)*$F$8/1000,"")),0,IF($K18&lt;=$F$15,VLOOKUP($I18,'表4）CO2価格'!$A$7:$E$67,VLOOKUP($F$48,'表4）CO2価格'!$H$10:$I$12,2,0),0)*$F$8/1000,""))</f>
        <v>4.6651999999999898</v>
      </c>
      <c r="AZ18" s="71"/>
      <c r="BA18" s="11">
        <f t="shared" si="11"/>
        <v>17779104.175916314</v>
      </c>
      <c r="BB18" s="10">
        <f t="shared" si="28"/>
        <v>15796503.783845384</v>
      </c>
      <c r="BC18" s="71"/>
      <c r="BD18" s="10">
        <f t="shared" si="12"/>
        <v>22219522.250319533</v>
      </c>
      <c r="BE18" s="10">
        <f t="shared" si="29"/>
        <v>19741757.730283368</v>
      </c>
      <c r="BF18" s="71"/>
      <c r="BG18" s="11">
        <f t="shared" si="13"/>
        <v>5044820.8099162532</v>
      </c>
      <c r="BH18" s="10">
        <f t="shared" si="30"/>
        <v>4482257.9486661274</v>
      </c>
      <c r="BJ18" s="7" t="str">
        <f t="shared" si="31"/>
        <v/>
      </c>
      <c r="BK18" s="158" t="str">
        <f t="shared" si="32"/>
        <v/>
      </c>
      <c r="BL18" s="158" t="str">
        <f t="shared" si="14"/>
        <v/>
      </c>
      <c r="BM18" s="10"/>
      <c r="BN18" s="10" t="str">
        <f t="shared" si="33"/>
        <v/>
      </c>
      <c r="BO18" s="10" t="str">
        <f t="shared" si="34"/>
        <v/>
      </c>
      <c r="BQ18" s="10">
        <f t="shared" si="15"/>
        <v>4588488</v>
      </c>
      <c r="BR18" s="10">
        <f t="shared" si="35"/>
        <v>4076812.1575165638</v>
      </c>
    </row>
    <row r="19" spans="3:70" x14ac:dyDescent="0.15">
      <c r="C19" s="89" t="s">
        <v>371</v>
      </c>
      <c r="D19" s="101"/>
      <c r="E19" s="101"/>
      <c r="F19" s="89"/>
      <c r="G19" s="101"/>
      <c r="I19" s="38">
        <f t="shared" si="36"/>
        <v>2034</v>
      </c>
      <c r="J19" s="39"/>
      <c r="K19" s="39">
        <f t="shared" si="37"/>
        <v>5</v>
      </c>
      <c r="L19" s="39"/>
      <c r="M19" s="40">
        <f t="shared" si="0"/>
        <v>0.86260878438416411</v>
      </c>
      <c r="N19" s="39"/>
      <c r="O19" s="72">
        <f t="shared" si="16"/>
        <v>93888979.142594993</v>
      </c>
      <c r="P19" s="41">
        <f t="shared" si="1"/>
        <v>0.16700000000000001</v>
      </c>
      <c r="Q19" s="39"/>
      <c r="R19" s="72">
        <f t="shared" si="17"/>
        <v>105528057.6765604</v>
      </c>
      <c r="S19" s="39"/>
      <c r="T19" s="72">
        <f t="shared" si="18"/>
        <v>105528000</v>
      </c>
      <c r="U19" s="39"/>
      <c r="V19" s="72">
        <f t="shared" si="2"/>
        <v>15679459.516813364</v>
      </c>
      <c r="W19" s="72">
        <f t="shared" si="19"/>
        <v>13525239.513599088</v>
      </c>
      <c r="X19" s="39"/>
      <c r="Y19" s="72">
        <f t="shared" si="3"/>
        <v>1477300</v>
      </c>
      <c r="Z19" s="72">
        <f t="shared" si="20"/>
        <v>1274331.9571707256</v>
      </c>
      <c r="AA19" s="39"/>
      <c r="AB19" s="72">
        <f t="shared" si="4"/>
        <v>0</v>
      </c>
      <c r="AC19" s="72">
        <f t="shared" si="21"/>
        <v>0</v>
      </c>
      <c r="AD19" s="39"/>
      <c r="AE19" s="72">
        <f t="shared" si="5"/>
        <v>0</v>
      </c>
      <c r="AF19" s="72">
        <f t="shared" si="22"/>
        <v>0</v>
      </c>
      <c r="AG19" s="39"/>
      <c r="AH19" s="72">
        <f t="shared" si="6"/>
        <v>0</v>
      </c>
      <c r="AI19" s="72">
        <f t="shared" si="23"/>
        <v>0</v>
      </c>
      <c r="AJ19" s="39"/>
      <c r="AK19" s="72">
        <f t="shared" si="24"/>
        <v>11850000</v>
      </c>
      <c r="AL19" s="72">
        <f t="shared" si="25"/>
        <v>10221914.094952345</v>
      </c>
      <c r="AM19" s="39"/>
      <c r="AN19" s="72">
        <f t="shared" si="7"/>
        <v>0</v>
      </c>
      <c r="AO19" s="72">
        <f t="shared" si="26"/>
        <v>0</v>
      </c>
      <c r="AP19" s="39"/>
      <c r="AQ19" s="72">
        <f t="shared" si="8"/>
        <v>0</v>
      </c>
      <c r="AR19" s="72">
        <f t="shared" si="27"/>
        <v>0</v>
      </c>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56.007871597743481</v>
      </c>
      <c r="AU19" s="39"/>
      <c r="AV19" s="72">
        <f t="shared" si="9"/>
        <v>79087695.620886341</v>
      </c>
      <c r="AW19" s="72">
        <f t="shared" si="10"/>
        <v>68221740.979277551</v>
      </c>
      <c r="AX19" s="39"/>
      <c r="AY19" s="40">
        <f>IF(ISERROR(IF($K19&lt;=$F$15,VLOOKUP($I19,'表4）CO2価格'!$A$7:$E$67,VLOOKUP($F$48,'表4）CO2価格'!$H$10:$I$12,2,0),0)*$F$8/1000,"")),0,IF($K19&lt;=$F$15,VLOOKUP($I19,'表4）CO2価格'!$A$7:$E$67,VLOOKUP($F$48,'表4）CO2価格'!$H$10:$I$12,2,0),0)*$F$8/1000,""))</f>
        <v>4.7935999999999712</v>
      </c>
      <c r="AZ19" s="39"/>
      <c r="BA19" s="42">
        <f t="shared" si="11"/>
        <v>18268437.318372659</v>
      </c>
      <c r="BB19" s="72">
        <f t="shared" si="28"/>
        <v>15758514.507799739</v>
      </c>
      <c r="BC19" s="39"/>
      <c r="BD19" s="72">
        <f t="shared" si="12"/>
        <v>22441133.632426493</v>
      </c>
      <c r="BE19" s="72">
        <f t="shared" si="29"/>
        <v>19357919.002869997</v>
      </c>
      <c r="BF19" s="39"/>
      <c r="BG19" s="42">
        <f t="shared" si="13"/>
        <v>5183669.0890882397</v>
      </c>
      <c r="BH19" s="72">
        <f t="shared" si="30"/>
        <v>4471478.4915881734</v>
      </c>
      <c r="BI19" s="39"/>
      <c r="BJ19" s="40" t="str">
        <f t="shared" si="31"/>
        <v/>
      </c>
      <c r="BK19" s="157" t="str">
        <f t="shared" si="32"/>
        <v/>
      </c>
      <c r="BL19" s="157" t="str">
        <f t="shared" si="14"/>
        <v/>
      </c>
      <c r="BM19" s="72"/>
      <c r="BN19" s="72" t="str">
        <f t="shared" si="33"/>
        <v/>
      </c>
      <c r="BO19" s="72" t="str">
        <f t="shared" si="34"/>
        <v/>
      </c>
      <c r="BP19" s="39"/>
      <c r="BQ19" s="72">
        <f t="shared" si="15"/>
        <v>4588488</v>
      </c>
      <c r="BR19" s="72">
        <f t="shared" si="35"/>
        <v>3958070.0558413244</v>
      </c>
    </row>
    <row r="20" spans="3:70" x14ac:dyDescent="0.15">
      <c r="I20" s="322">
        <f t="shared" si="36"/>
        <v>2035</v>
      </c>
      <c r="J20" s="71"/>
      <c r="K20" s="71">
        <f t="shared" si="37"/>
        <v>6</v>
      </c>
      <c r="L20" s="71"/>
      <c r="M20" s="7">
        <f t="shared" si="0"/>
        <v>0.83748425668365445</v>
      </c>
      <c r="N20" s="71"/>
      <c r="O20" s="10">
        <f t="shared" si="16"/>
        <v>78209519.625781626</v>
      </c>
      <c r="P20" s="29">
        <f t="shared" si="1"/>
        <v>0.16700000000000001</v>
      </c>
      <c r="Q20" s="71"/>
      <c r="R20" s="10">
        <f t="shared" si="17"/>
        <v>90510982.255449176</v>
      </c>
      <c r="S20" s="71"/>
      <c r="T20" s="10">
        <f t="shared" si="18"/>
        <v>90510000</v>
      </c>
      <c r="U20" s="71"/>
      <c r="V20" s="10">
        <f t="shared" si="2"/>
        <v>13060989.777505532</v>
      </c>
      <c r="W20" s="10">
        <f t="shared" si="19"/>
        <v>10938373.31536703</v>
      </c>
      <c r="X20" s="71"/>
      <c r="Y20" s="10">
        <f t="shared" si="3"/>
        <v>1267100</v>
      </c>
      <c r="Z20" s="10">
        <f t="shared" si="20"/>
        <v>1061176.3016438587</v>
      </c>
      <c r="AA20" s="71"/>
      <c r="AB20" s="10">
        <f t="shared" si="4"/>
        <v>0</v>
      </c>
      <c r="AC20" s="10">
        <f t="shared" si="21"/>
        <v>0</v>
      </c>
      <c r="AD20" s="71"/>
      <c r="AE20" s="10">
        <f t="shared" si="5"/>
        <v>0</v>
      </c>
      <c r="AF20" s="10">
        <f t="shared" si="22"/>
        <v>0</v>
      </c>
      <c r="AG20" s="71"/>
      <c r="AH20" s="10">
        <f t="shared" si="6"/>
        <v>0</v>
      </c>
      <c r="AI20" s="10">
        <f t="shared" si="23"/>
        <v>0</v>
      </c>
      <c r="AJ20" s="71"/>
      <c r="AK20" s="10">
        <f t="shared" si="24"/>
        <v>11850000</v>
      </c>
      <c r="AL20" s="10">
        <f t="shared" si="25"/>
        <v>9924188.441701306</v>
      </c>
      <c r="AM20" s="71"/>
      <c r="AN20" s="10">
        <f t="shared" si="7"/>
        <v>0</v>
      </c>
      <c r="AO20" s="10">
        <f t="shared" si="26"/>
        <v>0</v>
      </c>
      <c r="AP20" s="71"/>
      <c r="AQ20" s="10">
        <f t="shared" si="8"/>
        <v>0</v>
      </c>
      <c r="AR20" s="10">
        <f t="shared" si="27"/>
        <v>0</v>
      </c>
      <c r="AS20" s="71"/>
      <c r="AT20" s="7">
        <f>IF($K20&lt;=$F$15,IF($F$40&lt;&gt;"",$F$40/1000,IF(ISERROR(VLOOKUP($F$3&amp;IF($G$4&lt;&gt;"",$G$4,"")&amp;IF($F$43&lt;&gt;"","_"&amp;$F$43,""),'表3）燃料価格'!$AF$9:$AG$25,2,0)),0,VLOOKUP($I20,'表3）燃料価格'!$A$6:$U$66,VLOOKUP($F$3&amp;IF($G$4&lt;&gt;"",$G$4,"")&amp;IF($F$43&lt;&gt;"","_"&amp;$F$43,""),'表3）燃料価格'!$AF$9:$AG$25,2,0)+VLOOKUP($F$41,'表3）燃料価格'!$AF$28:$AG$29,2,0),0)*IF($F$43="需要地価格",1,$F$8/$F$141))),"")</f>
        <v>56.636014033350634</v>
      </c>
      <c r="AU20" s="71"/>
      <c r="AV20" s="10">
        <f t="shared" si="9"/>
        <v>79868704.897034198</v>
      </c>
      <c r="AW20" s="10">
        <f t="shared" si="10"/>
        <v>66888782.952978835</v>
      </c>
      <c r="AX20" s="71"/>
      <c r="AY20" s="7">
        <f>IF(ISERROR(IF($K20&lt;=$F$15,VLOOKUP($I20,'表4）CO2価格'!$A$7:$E$67,VLOOKUP($F$48,'表4）CO2価格'!$H$10:$I$12,2,0),0)*$F$8/1000,"")),0,IF($K20&lt;=$F$15,VLOOKUP($I20,'表4）CO2価格'!$A$7:$E$67,VLOOKUP($F$48,'表4）CO2価格'!$H$10:$I$12,2,0),0)*$F$8/1000,""))</f>
        <v>4.9219999999999997</v>
      </c>
      <c r="AZ20" s="71"/>
      <c r="BA20" s="11">
        <f t="shared" si="11"/>
        <v>18757770.46082918</v>
      </c>
      <c r="BB20" s="10">
        <f t="shared" si="28"/>
        <v>15709337.451430136</v>
      </c>
      <c r="BC20" s="71"/>
      <c r="BD20" s="10">
        <f t="shared" si="12"/>
        <v>22662745.014533449</v>
      </c>
      <c r="BE20" s="10">
        <f t="shared" si="29"/>
        <v>18979692.162907742</v>
      </c>
      <c r="BF20" s="71"/>
      <c r="BG20" s="11">
        <f t="shared" si="13"/>
        <v>5322517.3682602784</v>
      </c>
      <c r="BH20" s="10">
        <f t="shared" si="30"/>
        <v>4457524.5018432997</v>
      </c>
      <c r="BJ20" s="7" t="str">
        <f t="shared" si="31"/>
        <v/>
      </c>
      <c r="BK20" s="158" t="str">
        <f t="shared" si="32"/>
        <v/>
      </c>
      <c r="BL20" s="158" t="str">
        <f t="shared" si="14"/>
        <v/>
      </c>
      <c r="BM20" s="10"/>
      <c r="BN20" s="10" t="str">
        <f t="shared" si="33"/>
        <v/>
      </c>
      <c r="BO20" s="10" t="str">
        <f t="shared" si="34"/>
        <v/>
      </c>
      <c r="BQ20" s="10">
        <f t="shared" si="15"/>
        <v>4588488</v>
      </c>
      <c r="BR20" s="10">
        <f t="shared" si="35"/>
        <v>3842786.4619818684</v>
      </c>
    </row>
    <row r="21" spans="3:70" x14ac:dyDescent="0.15">
      <c r="D21" s="81" t="s">
        <v>110</v>
      </c>
      <c r="F21" s="67">
        <v>13</v>
      </c>
      <c r="G21" s="81" t="s">
        <v>174</v>
      </c>
      <c r="I21" s="38">
        <f t="shared" si="36"/>
        <v>2036</v>
      </c>
      <c r="J21" s="39"/>
      <c r="K21" s="39">
        <f t="shared" si="37"/>
        <v>7</v>
      </c>
      <c r="L21" s="39"/>
      <c r="M21" s="40">
        <f t="shared" si="0"/>
        <v>0.81309151134335378</v>
      </c>
      <c r="N21" s="39"/>
      <c r="O21" s="72">
        <f t="shared" si="16"/>
        <v>65148529.848276094</v>
      </c>
      <c r="P21" s="41">
        <f t="shared" si="1"/>
        <v>0.16700000000000001</v>
      </c>
      <c r="Q21" s="39"/>
      <c r="R21" s="72">
        <f t="shared" si="17"/>
        <v>77630898.257931948</v>
      </c>
      <c r="S21" s="39"/>
      <c r="T21" s="72">
        <f t="shared" si="18"/>
        <v>77630000</v>
      </c>
      <c r="U21" s="39"/>
      <c r="V21" s="72">
        <f t="shared" si="2"/>
        <v>10879804.484662108</v>
      </c>
      <c r="W21" s="72">
        <f t="shared" si="19"/>
        <v>8846276.6715541109</v>
      </c>
      <c r="X21" s="39"/>
      <c r="Y21" s="72">
        <f t="shared" si="3"/>
        <v>1086800</v>
      </c>
      <c r="Z21" s="72">
        <f t="shared" si="20"/>
        <v>883667.85452795692</v>
      </c>
      <c r="AA21" s="39"/>
      <c r="AB21" s="72">
        <f t="shared" si="4"/>
        <v>0</v>
      </c>
      <c r="AC21" s="72">
        <f t="shared" si="21"/>
        <v>0</v>
      </c>
      <c r="AD21" s="39"/>
      <c r="AE21" s="72">
        <f t="shared" si="5"/>
        <v>0</v>
      </c>
      <c r="AF21" s="72">
        <f t="shared" si="22"/>
        <v>0</v>
      </c>
      <c r="AG21" s="39"/>
      <c r="AH21" s="72">
        <f t="shared" si="6"/>
        <v>0</v>
      </c>
      <c r="AI21" s="72">
        <f t="shared" si="23"/>
        <v>0</v>
      </c>
      <c r="AJ21" s="39"/>
      <c r="AK21" s="72">
        <f t="shared" si="24"/>
        <v>11850000</v>
      </c>
      <c r="AL21" s="72">
        <f t="shared" si="25"/>
        <v>9635134.4094187431</v>
      </c>
      <c r="AM21" s="39"/>
      <c r="AN21" s="72">
        <f t="shared" si="7"/>
        <v>0</v>
      </c>
      <c r="AO21" s="72">
        <f t="shared" si="26"/>
        <v>0</v>
      </c>
      <c r="AP21" s="39"/>
      <c r="AQ21" s="72">
        <f t="shared" si="8"/>
        <v>0</v>
      </c>
      <c r="AR21" s="72">
        <f t="shared" si="27"/>
        <v>0</v>
      </c>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57.264156468957793</v>
      </c>
      <c r="AU21" s="39"/>
      <c r="AV21" s="72">
        <f t="shared" si="9"/>
        <v>80649714.173182085</v>
      </c>
      <c r="AW21" s="72">
        <f t="shared" si="10"/>
        <v>65575597.986482121</v>
      </c>
      <c r="AX21" s="39"/>
      <c r="AY21" s="40">
        <f>IF(ISERROR(IF($K21&lt;=$F$15,VLOOKUP($I21,'表4）CO2価格'!$A$7:$E$67,VLOOKUP($F$48,'表4）CO2価格'!$H$10:$I$12,2,0),0)*$F$8/1000,"")),0,IF($K21&lt;=$F$15,VLOOKUP($I21,'表4）CO2価格'!$A$7:$E$67,VLOOKUP($F$48,'表4）CO2価格'!$H$10:$I$12,2,0),0)*$F$8/1000,""))</f>
        <v>5.0503999999999802</v>
      </c>
      <c r="AZ21" s="39"/>
      <c r="BA21" s="42">
        <f t="shared" si="11"/>
        <v>19247103.603285521</v>
      </c>
      <c r="BB21" s="72">
        <f t="shared" si="28"/>
        <v>15649656.557777535</v>
      </c>
      <c r="BC21" s="39"/>
      <c r="BD21" s="72">
        <f t="shared" si="12"/>
        <v>22884356.396640413</v>
      </c>
      <c r="BE21" s="72">
        <f t="shared" si="29"/>
        <v>18607075.928664297</v>
      </c>
      <c r="BF21" s="39"/>
      <c r="BG21" s="42">
        <f t="shared" si="13"/>
        <v>5461365.6474322649</v>
      </c>
      <c r="BH21" s="72">
        <f t="shared" si="30"/>
        <v>4440590.0482693743</v>
      </c>
      <c r="BI21" s="39"/>
      <c r="BJ21" s="40" t="str">
        <f t="shared" si="31"/>
        <v/>
      </c>
      <c r="BK21" s="157" t="str">
        <f t="shared" si="32"/>
        <v/>
      </c>
      <c r="BL21" s="157" t="str">
        <f t="shared" si="14"/>
        <v/>
      </c>
      <c r="BM21" s="72"/>
      <c r="BN21" s="72" t="str">
        <f t="shared" si="33"/>
        <v/>
      </c>
      <c r="BO21" s="72" t="str">
        <f t="shared" si="34"/>
        <v/>
      </c>
      <c r="BP21" s="39"/>
      <c r="BQ21" s="72">
        <f t="shared" si="15"/>
        <v>4588488</v>
      </c>
      <c r="BR21" s="72">
        <f t="shared" si="35"/>
        <v>3730860.6427008426</v>
      </c>
    </row>
    <row r="22" spans="3:70" ht="16.5" x14ac:dyDescent="0.15">
      <c r="D22" s="81" t="s">
        <v>111</v>
      </c>
      <c r="F22" s="90">
        <f>IF($F$43="需要地価格",38.9,41.63)</f>
        <v>41.63</v>
      </c>
      <c r="G22" s="9" t="s">
        <v>372</v>
      </c>
      <c r="I22" s="322">
        <f t="shared" si="36"/>
        <v>2037</v>
      </c>
      <c r="J22" s="71"/>
      <c r="K22" s="71">
        <f t="shared" si="37"/>
        <v>8</v>
      </c>
      <c r="L22" s="71"/>
      <c r="M22" s="7">
        <f t="shared" si="0"/>
        <v>0.78940923431393573</v>
      </c>
      <c r="N22" s="71"/>
      <c r="O22" s="10">
        <f t="shared" si="16"/>
        <v>54268725.363613985</v>
      </c>
      <c r="P22" s="29">
        <f t="shared" si="1"/>
        <v>0.16700000000000001</v>
      </c>
      <c r="Q22" s="71"/>
      <c r="R22" s="10">
        <f t="shared" si="17"/>
        <v>66583703.039755218</v>
      </c>
      <c r="S22" s="71"/>
      <c r="T22" s="10">
        <f t="shared" si="18"/>
        <v>66583000</v>
      </c>
      <c r="U22" s="71"/>
      <c r="V22" s="10">
        <f t="shared" si="2"/>
        <v>9062877.1357235368</v>
      </c>
      <c r="W22" s="10">
        <f t="shared" si="19"/>
        <v>7154318.9003927922</v>
      </c>
      <c r="X22" s="71"/>
      <c r="Y22" s="10">
        <f t="shared" si="3"/>
        <v>932100</v>
      </c>
      <c r="Z22" s="10">
        <f t="shared" si="20"/>
        <v>735808.34730401949</v>
      </c>
      <c r="AA22" s="71"/>
      <c r="AB22" s="10">
        <f t="shared" si="4"/>
        <v>0</v>
      </c>
      <c r="AC22" s="10">
        <f t="shared" si="21"/>
        <v>0</v>
      </c>
      <c r="AD22" s="71"/>
      <c r="AE22" s="10">
        <f t="shared" si="5"/>
        <v>0</v>
      </c>
      <c r="AF22" s="10">
        <f t="shared" si="22"/>
        <v>0</v>
      </c>
      <c r="AG22" s="71"/>
      <c r="AH22" s="10">
        <f t="shared" si="6"/>
        <v>0</v>
      </c>
      <c r="AI22" s="10">
        <f t="shared" si="23"/>
        <v>0</v>
      </c>
      <c r="AJ22" s="71"/>
      <c r="AK22" s="10">
        <f t="shared" si="24"/>
        <v>11850000</v>
      </c>
      <c r="AL22" s="10">
        <f t="shared" si="25"/>
        <v>9354499.4266201388</v>
      </c>
      <c r="AM22" s="71"/>
      <c r="AN22" s="10">
        <f t="shared" si="7"/>
        <v>0</v>
      </c>
      <c r="AO22" s="10">
        <f t="shared" si="26"/>
        <v>0</v>
      </c>
      <c r="AP22" s="71"/>
      <c r="AQ22" s="10">
        <f t="shared" si="8"/>
        <v>0</v>
      </c>
      <c r="AR22" s="10">
        <f t="shared" si="27"/>
        <v>0</v>
      </c>
      <c r="AS22" s="71"/>
      <c r="AT22" s="7">
        <f>IF($K22&lt;=$F$15,IF($F$40&lt;&gt;"",$F$40/1000,IF(ISERROR(VLOOKUP($F$3&amp;IF($G$4&lt;&gt;"",$G$4,"")&amp;IF($F$43&lt;&gt;"","_"&amp;$F$43,""),'表3）燃料価格'!$AF$9:$AG$25,2,0)),0,VLOOKUP($I22,'表3）燃料価格'!$A$6:$U$66,VLOOKUP($F$3&amp;IF($G$4&lt;&gt;"",$G$4,"")&amp;IF($F$43&lt;&gt;"","_"&amp;$F$43,""),'表3）燃料価格'!$AF$9:$AG$25,2,0)+VLOOKUP($F$41,'表3）燃料価格'!$AF$28:$AG$29,2,0),0)*IF($F$43="需要地価格",1,$F$8/$F$141))),"")</f>
        <v>57.892298904564946</v>
      </c>
      <c r="AU22" s="71"/>
      <c r="AV22" s="10">
        <f t="shared" si="9"/>
        <v>81430723.449329972</v>
      </c>
      <c r="AW22" s="10">
        <f t="shared" si="10"/>
        <v>64282165.047765426</v>
      </c>
      <c r="AX22" s="71"/>
      <c r="AY22" s="7">
        <f>IF(ISERROR(IF($K22&lt;=$F$15,VLOOKUP($I22,'表4）CO2価格'!$A$7:$E$67,VLOOKUP($F$48,'表4）CO2価格'!$H$10:$I$12,2,0),0)*$F$8/1000,"")),0,IF($K22&lt;=$F$15,VLOOKUP($I22,'表4）CO2価格'!$A$7:$E$67,VLOOKUP($F$48,'表4）CO2価格'!$H$10:$I$12,2,0),0)*$F$8/1000,""))</f>
        <v>5.1788000000000105</v>
      </c>
      <c r="AZ22" s="71"/>
      <c r="BA22" s="11">
        <f t="shared" si="11"/>
        <v>19736436.745742049</v>
      </c>
      <c r="BB22" s="10">
        <f t="shared" si="28"/>
        <v>15580125.419541657</v>
      </c>
      <c r="BC22" s="71"/>
      <c r="BD22" s="10">
        <f t="shared" si="12"/>
        <v>23105967.778747372</v>
      </c>
      <c r="BE22" s="10">
        <f t="shared" si="29"/>
        <v>18240064.332303435</v>
      </c>
      <c r="BF22" s="71"/>
      <c r="BG22" s="11">
        <f t="shared" si="13"/>
        <v>5600213.9266043045</v>
      </c>
      <c r="BH22" s="10">
        <f t="shared" si="30"/>
        <v>4420860.5877949437</v>
      </c>
      <c r="BJ22" s="7" t="str">
        <f t="shared" si="31"/>
        <v/>
      </c>
      <c r="BK22" s="158" t="str">
        <f t="shared" si="32"/>
        <v/>
      </c>
      <c r="BL22" s="158" t="str">
        <f t="shared" si="14"/>
        <v/>
      </c>
      <c r="BM22" s="10"/>
      <c r="BN22" s="10" t="str">
        <f t="shared" si="33"/>
        <v/>
      </c>
      <c r="BO22" s="10" t="str">
        <f t="shared" si="34"/>
        <v/>
      </c>
      <c r="BQ22" s="10">
        <f t="shared" si="15"/>
        <v>4588488</v>
      </c>
      <c r="BR22" s="10">
        <f t="shared" si="35"/>
        <v>3622194.7987386822</v>
      </c>
    </row>
    <row r="23" spans="3:70" x14ac:dyDescent="0.15">
      <c r="D23" s="81" t="s">
        <v>112</v>
      </c>
      <c r="F23" s="147">
        <v>32.9</v>
      </c>
      <c r="G23" s="81" t="s">
        <v>172</v>
      </c>
      <c r="I23" s="38">
        <f t="shared" si="36"/>
        <v>2038</v>
      </c>
      <c r="J23" s="39"/>
      <c r="K23" s="39">
        <f t="shared" si="37"/>
        <v>9</v>
      </c>
      <c r="L23" s="39"/>
      <c r="M23" s="40">
        <f t="shared" si="0"/>
        <v>0.76641673234362695</v>
      </c>
      <c r="N23" s="39"/>
      <c r="O23" s="72">
        <f t="shared" si="16"/>
        <v>45205848.227890447</v>
      </c>
      <c r="P23" s="41">
        <f t="shared" si="1"/>
        <v>0.16700000000000001</v>
      </c>
      <c r="Q23" s="39"/>
      <c r="R23" s="72">
        <f t="shared" si="17"/>
        <v>57108569.010192104</v>
      </c>
      <c r="S23" s="39"/>
      <c r="T23" s="72">
        <f t="shared" si="18"/>
        <v>57108000</v>
      </c>
      <c r="U23" s="39"/>
      <c r="V23" s="72">
        <f t="shared" si="2"/>
        <v>7549376.6540577048</v>
      </c>
      <c r="W23" s="72">
        <f t="shared" si="19"/>
        <v>5785968.5864341697</v>
      </c>
      <c r="X23" s="39"/>
      <c r="Y23" s="72">
        <f t="shared" si="3"/>
        <v>799500</v>
      </c>
      <c r="Z23" s="72">
        <f t="shared" si="20"/>
        <v>612750.17750872974</v>
      </c>
      <c r="AA23" s="39"/>
      <c r="AB23" s="72">
        <f t="shared" si="4"/>
        <v>0</v>
      </c>
      <c r="AC23" s="72">
        <f t="shared" si="21"/>
        <v>0</v>
      </c>
      <c r="AD23" s="39"/>
      <c r="AE23" s="72">
        <f t="shared" si="5"/>
        <v>0</v>
      </c>
      <c r="AF23" s="72">
        <f t="shared" si="22"/>
        <v>0</v>
      </c>
      <c r="AG23" s="39"/>
      <c r="AH23" s="72">
        <f t="shared" si="6"/>
        <v>0</v>
      </c>
      <c r="AI23" s="72">
        <f t="shared" si="23"/>
        <v>0</v>
      </c>
      <c r="AJ23" s="39"/>
      <c r="AK23" s="72">
        <f t="shared" si="24"/>
        <v>11850000</v>
      </c>
      <c r="AL23" s="72">
        <f t="shared" si="25"/>
        <v>9082038.2782719787</v>
      </c>
      <c r="AM23" s="39"/>
      <c r="AN23" s="72">
        <f t="shared" si="7"/>
        <v>0</v>
      </c>
      <c r="AO23" s="72">
        <f t="shared" si="26"/>
        <v>0</v>
      </c>
      <c r="AP23" s="39"/>
      <c r="AQ23" s="72">
        <f t="shared" si="8"/>
        <v>0</v>
      </c>
      <c r="AR23" s="72">
        <f t="shared" si="27"/>
        <v>0</v>
      </c>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58.520441340172106</v>
      </c>
      <c r="AU23" s="39"/>
      <c r="AV23" s="72">
        <f t="shared" si="9"/>
        <v>82211732.725477859</v>
      </c>
      <c r="AW23" s="72">
        <f t="shared" si="10"/>
        <v>63008447.555768363</v>
      </c>
      <c r="AX23" s="39"/>
      <c r="AY23" s="40">
        <f>IF(ISERROR(IF($K23&lt;=$F$15,VLOOKUP($I23,'表4）CO2価格'!$A$7:$E$67,VLOOKUP($F$48,'表4）CO2価格'!$H$10:$I$12,2,0),0)*$F$8/1000,"")),0,IF($K23&lt;=$F$15,VLOOKUP($I23,'表4）CO2価格'!$A$7:$E$67,VLOOKUP($F$48,'表4）CO2価格'!$H$10:$I$12,2,0),0)*$F$8/1000,""))</f>
        <v>5.3071999999999901</v>
      </c>
      <c r="AZ23" s="39"/>
      <c r="BA23" s="42">
        <f t="shared" si="11"/>
        <v>20225769.888198383</v>
      </c>
      <c r="BB23" s="72">
        <f t="shared" si="28"/>
        <v>15501368.466847129</v>
      </c>
      <c r="BC23" s="39"/>
      <c r="BD23" s="72">
        <f t="shared" si="12"/>
        <v>23327579.160854336</v>
      </c>
      <c r="BE23" s="72">
        <f t="shared" si="29"/>
        <v>17878646.993949268</v>
      </c>
      <c r="BF23" s="39"/>
      <c r="BG23" s="42">
        <f t="shared" si="13"/>
        <v>5739062.20577629</v>
      </c>
      <c r="BH23" s="72">
        <f t="shared" si="30"/>
        <v>4398513.3024678724</v>
      </c>
      <c r="BI23" s="39"/>
      <c r="BJ23" s="40" t="str">
        <f t="shared" si="31"/>
        <v/>
      </c>
      <c r="BK23" s="157" t="str">
        <f t="shared" si="32"/>
        <v/>
      </c>
      <c r="BL23" s="157" t="str">
        <f t="shared" si="14"/>
        <v/>
      </c>
      <c r="BM23" s="72"/>
      <c r="BN23" s="72" t="str">
        <f t="shared" si="33"/>
        <v/>
      </c>
      <c r="BO23" s="72" t="str">
        <f t="shared" si="34"/>
        <v/>
      </c>
      <c r="BP23" s="39"/>
      <c r="BQ23" s="72">
        <f t="shared" si="15"/>
        <v>4588488</v>
      </c>
      <c r="BR23" s="72">
        <f t="shared" si="35"/>
        <v>3516693.9793579443</v>
      </c>
    </row>
    <row r="24" spans="3:70" x14ac:dyDescent="0.15">
      <c r="D24" s="81" t="s">
        <v>113</v>
      </c>
      <c r="F24" s="68">
        <v>3</v>
      </c>
      <c r="G24" s="81" t="s">
        <v>172</v>
      </c>
      <c r="I24" s="322">
        <f t="shared" si="36"/>
        <v>2039</v>
      </c>
      <c r="J24" s="71"/>
      <c r="K24" s="71">
        <f t="shared" si="37"/>
        <v>10</v>
      </c>
      <c r="L24" s="71"/>
      <c r="M24" s="7">
        <f t="shared" si="0"/>
        <v>0.74409391489672516</v>
      </c>
      <c r="N24" s="71"/>
      <c r="O24" s="10">
        <f t="shared" si="16"/>
        <v>37656471.573832743</v>
      </c>
      <c r="P24" s="29">
        <f t="shared" si="1"/>
        <v>0.16700000000000001</v>
      </c>
      <c r="Q24" s="71"/>
      <c r="R24" s="10">
        <f t="shared" si="17"/>
        <v>48981785.414436802</v>
      </c>
      <c r="S24" s="71"/>
      <c r="T24" s="10">
        <f t="shared" si="18"/>
        <v>48981000</v>
      </c>
      <c r="U24" s="71"/>
      <c r="V24" s="10">
        <f t="shared" si="2"/>
        <v>6288630.7528300686</v>
      </c>
      <c r="W24" s="10">
        <f t="shared" si="19"/>
        <v>4679331.8762132656</v>
      </c>
      <c r="X24" s="71"/>
      <c r="Y24" s="10">
        <f t="shared" si="3"/>
        <v>685700</v>
      </c>
      <c r="Z24" s="10">
        <f t="shared" si="20"/>
        <v>510225.19744468445</v>
      </c>
      <c r="AA24" s="71"/>
      <c r="AB24" s="10">
        <f t="shared" si="4"/>
        <v>0</v>
      </c>
      <c r="AC24" s="10">
        <f t="shared" si="21"/>
        <v>0</v>
      </c>
      <c r="AD24" s="71"/>
      <c r="AE24" s="10">
        <f t="shared" si="5"/>
        <v>0</v>
      </c>
      <c r="AF24" s="10">
        <f t="shared" si="22"/>
        <v>0</v>
      </c>
      <c r="AG24" s="71"/>
      <c r="AH24" s="10">
        <f t="shared" si="6"/>
        <v>0</v>
      </c>
      <c r="AI24" s="10">
        <f t="shared" si="23"/>
        <v>0</v>
      </c>
      <c r="AJ24" s="71"/>
      <c r="AK24" s="10">
        <f t="shared" si="24"/>
        <v>11850000</v>
      </c>
      <c r="AL24" s="10">
        <f t="shared" si="25"/>
        <v>8817512.8915261924</v>
      </c>
      <c r="AM24" s="71"/>
      <c r="AN24" s="10">
        <f t="shared" si="7"/>
        <v>0</v>
      </c>
      <c r="AO24" s="10">
        <f t="shared" si="26"/>
        <v>0</v>
      </c>
      <c r="AP24" s="71"/>
      <c r="AQ24" s="10">
        <f t="shared" si="8"/>
        <v>0</v>
      </c>
      <c r="AR24" s="10">
        <f t="shared" si="27"/>
        <v>0</v>
      </c>
      <c r="AS24" s="71"/>
      <c r="AT24" s="7">
        <f>IF($K24&lt;=$F$15,IF($F$40&lt;&gt;"",$F$40/1000,IF(ISERROR(VLOOKUP($F$3&amp;IF($G$4&lt;&gt;"",$G$4,"")&amp;IF($F$43&lt;&gt;"","_"&amp;$F$43,""),'表3）燃料価格'!$AF$9:$AG$25,2,0)),0,VLOOKUP($I24,'表3）燃料価格'!$A$6:$U$66,VLOOKUP($F$3&amp;IF($G$4&lt;&gt;"",$G$4,"")&amp;IF($F$43&lt;&gt;"","_"&amp;$F$43,""),'表3）燃料価格'!$AF$9:$AG$25,2,0)+VLOOKUP($F$41,'表3）燃料価格'!$AF$28:$AG$29,2,0),0)*IF($F$43="需要地価格",1,$F$8/$F$141))),"")</f>
        <v>59.148583775779258</v>
      </c>
      <c r="AU24" s="71"/>
      <c r="AV24" s="10">
        <f t="shared" si="9"/>
        <v>82992742.001625732</v>
      </c>
      <c r="AW24" s="10">
        <f t="shared" si="10"/>
        <v>61754394.304003567</v>
      </c>
      <c r="AX24" s="71"/>
      <c r="AY24" s="7">
        <f>IF(ISERROR(IF($K24&lt;=$F$15,VLOOKUP($I24,'表4）CO2価格'!$A$7:$E$67,VLOOKUP($F$48,'表4）CO2価格'!$H$10:$I$12,2,0),0)*$F$8/1000,"")),0,IF($K24&lt;=$F$15,VLOOKUP($I24,'表4）CO2価格'!$A$7:$E$67,VLOOKUP($F$48,'表4）CO2価格'!$H$10:$I$12,2,0),0)*$F$8/1000,""))</f>
        <v>5.4355999999999716</v>
      </c>
      <c r="AZ24" s="71"/>
      <c r="BA24" s="11">
        <f t="shared" si="11"/>
        <v>20715103.030654728</v>
      </c>
      <c r="BB24" s="10">
        <f t="shared" si="28"/>
        <v>15413982.111568892</v>
      </c>
      <c r="BC24" s="71"/>
      <c r="BD24" s="10">
        <f t="shared" si="12"/>
        <v>23549190.542961292</v>
      </c>
      <c r="BE24" s="10">
        <f t="shared" si="29"/>
        <v>17522809.383761004</v>
      </c>
      <c r="BF24" s="71"/>
      <c r="BG24" s="11">
        <f t="shared" si="13"/>
        <v>5877910.4849482765</v>
      </c>
      <c r="BH24" s="10">
        <f t="shared" si="30"/>
        <v>4373717.4241576716</v>
      </c>
      <c r="BJ24" s="7" t="str">
        <f t="shared" si="31"/>
        <v/>
      </c>
      <c r="BK24" s="158" t="str">
        <f t="shared" si="32"/>
        <v/>
      </c>
      <c r="BL24" s="158" t="str">
        <f t="shared" si="14"/>
        <v/>
      </c>
      <c r="BM24" s="10"/>
      <c r="BN24" s="10" t="str">
        <f t="shared" si="33"/>
        <v/>
      </c>
      <c r="BO24" s="10" t="str">
        <f t="shared" si="34"/>
        <v/>
      </c>
      <c r="BQ24" s="10">
        <f t="shared" si="15"/>
        <v>4588488</v>
      </c>
      <c r="BR24" s="10">
        <f t="shared" si="35"/>
        <v>3414265.9993766448</v>
      </c>
    </row>
    <row r="25" spans="3:70" x14ac:dyDescent="0.15">
      <c r="D25" s="81" t="s">
        <v>114</v>
      </c>
      <c r="F25" s="66">
        <v>1.4</v>
      </c>
      <c r="G25" s="81" t="s">
        <v>172</v>
      </c>
      <c r="I25" s="38">
        <f t="shared" si="36"/>
        <v>2040</v>
      </c>
      <c r="J25" s="39"/>
      <c r="K25" s="39">
        <f t="shared" si="37"/>
        <v>11</v>
      </c>
      <c r="L25" s="39"/>
      <c r="M25" s="40">
        <f t="shared" si="0"/>
        <v>0.72242127659876232</v>
      </c>
      <c r="N25" s="39"/>
      <c r="O25" s="72">
        <f t="shared" si="16"/>
        <v>31367840.821002673</v>
      </c>
      <c r="P25" s="41">
        <f t="shared" si="1"/>
        <v>0.2</v>
      </c>
      <c r="Q25" s="39"/>
      <c r="R25" s="72">
        <f t="shared" si="17"/>
        <v>42011476.455621727</v>
      </c>
      <c r="S25" s="39"/>
      <c r="T25" s="72">
        <f t="shared" si="18"/>
        <v>42011000</v>
      </c>
      <c r="U25" s="39"/>
      <c r="V25" s="72">
        <f t="shared" si="2"/>
        <v>6273568.164200535</v>
      </c>
      <c r="W25" s="72">
        <f t="shared" si="19"/>
        <v>4532159.1220111046</v>
      </c>
      <c r="X25" s="39"/>
      <c r="Y25" s="72">
        <f t="shared" si="3"/>
        <v>588100</v>
      </c>
      <c r="Z25" s="72">
        <f t="shared" si="20"/>
        <v>424855.95276773215</v>
      </c>
      <c r="AA25" s="39"/>
      <c r="AB25" s="72">
        <f t="shared" si="4"/>
        <v>0</v>
      </c>
      <c r="AC25" s="72">
        <f t="shared" si="21"/>
        <v>0</v>
      </c>
      <c r="AD25" s="39"/>
      <c r="AE25" s="72">
        <f t="shared" si="5"/>
        <v>0</v>
      </c>
      <c r="AF25" s="72">
        <f t="shared" si="22"/>
        <v>0</v>
      </c>
      <c r="AG25" s="39"/>
      <c r="AH25" s="72">
        <f t="shared" si="6"/>
        <v>0</v>
      </c>
      <c r="AI25" s="72">
        <f t="shared" si="23"/>
        <v>0</v>
      </c>
      <c r="AJ25" s="39"/>
      <c r="AK25" s="72">
        <f t="shared" si="24"/>
        <v>11850000</v>
      </c>
      <c r="AL25" s="72">
        <f t="shared" si="25"/>
        <v>8560692.1276953332</v>
      </c>
      <c r="AM25" s="39"/>
      <c r="AN25" s="72">
        <f t="shared" si="7"/>
        <v>0</v>
      </c>
      <c r="AO25" s="72">
        <f t="shared" si="26"/>
        <v>0</v>
      </c>
      <c r="AP25" s="39"/>
      <c r="AQ25" s="72">
        <f t="shared" si="8"/>
        <v>0</v>
      </c>
      <c r="AR25" s="72">
        <f t="shared" si="27"/>
        <v>0</v>
      </c>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59.776726211386411</v>
      </c>
      <c r="AU25" s="39"/>
      <c r="AV25" s="72">
        <f t="shared" si="9"/>
        <v>83773751.277773604</v>
      </c>
      <c r="AW25" s="72">
        <f t="shared" si="10"/>
        <v>60519940.343556404</v>
      </c>
      <c r="AX25" s="39"/>
      <c r="AY25" s="40">
        <f>IF(ISERROR(IF($K25&lt;=$F$15,VLOOKUP($I25,'表4）CO2価格'!$A$7:$E$67,VLOOKUP($F$48,'表4）CO2価格'!$H$10:$I$12,2,0),0)*$F$8/1000,"")),0,IF($K25&lt;=$F$15,VLOOKUP($I25,'表4）CO2価格'!$A$7:$E$67,VLOOKUP($F$48,'表4）CO2価格'!$H$10:$I$12,2,0),0)*$F$8/1000,""))</f>
        <v>5.5640000000000001</v>
      </c>
      <c r="AZ25" s="39"/>
      <c r="BA25" s="42">
        <f t="shared" si="11"/>
        <v>21204436.173111249</v>
      </c>
      <c r="BB25" s="72">
        <f t="shared" si="28"/>
        <v>15318535.849736003</v>
      </c>
      <c r="BC25" s="39"/>
      <c r="BD25" s="72">
        <f t="shared" si="12"/>
        <v>23770801.925068256</v>
      </c>
      <c r="BE25" s="72">
        <f t="shared" si="29"/>
        <v>17172533.072484124</v>
      </c>
      <c r="BF25" s="39"/>
      <c r="BG25" s="42">
        <f t="shared" si="13"/>
        <v>6016758.7641203152</v>
      </c>
      <c r="BH25" s="72">
        <f t="shared" si="30"/>
        <v>4346634.5473625893</v>
      </c>
      <c r="BI25" s="39"/>
      <c r="BJ25" s="40" t="str">
        <f t="shared" si="31"/>
        <v/>
      </c>
      <c r="BK25" s="157" t="str">
        <f t="shared" si="32"/>
        <v/>
      </c>
      <c r="BL25" s="157" t="str">
        <f t="shared" si="14"/>
        <v/>
      </c>
      <c r="BM25" s="72"/>
      <c r="BN25" s="72" t="str">
        <f t="shared" si="33"/>
        <v/>
      </c>
      <c r="BO25" s="72" t="str">
        <f t="shared" si="34"/>
        <v/>
      </c>
      <c r="BP25" s="39"/>
      <c r="BQ25" s="72">
        <f t="shared" si="15"/>
        <v>4588488</v>
      </c>
      <c r="BR25" s="72">
        <f t="shared" si="35"/>
        <v>3314821.3586181016</v>
      </c>
    </row>
    <row r="26" spans="3:70" x14ac:dyDescent="0.15">
      <c r="D26" s="81" t="s">
        <v>115</v>
      </c>
      <c r="F26" s="59"/>
      <c r="G26" s="81" t="s">
        <v>175</v>
      </c>
      <c r="I26" s="322">
        <f t="shared" si="36"/>
        <v>2041</v>
      </c>
      <c r="J26" s="71"/>
      <c r="K26" s="71">
        <f t="shared" si="37"/>
        <v>12</v>
      </c>
      <c r="L26" s="71"/>
      <c r="M26" s="7">
        <f t="shared" si="0"/>
        <v>0.70137988019297326</v>
      </c>
      <c r="N26" s="71"/>
      <c r="O26" s="10">
        <f t="shared" si="16"/>
        <v>25094272.65680214</v>
      </c>
      <c r="P26" s="29" t="str">
        <f t="shared" si="1"/>
        <v>-</v>
      </c>
      <c r="Q26" s="71"/>
      <c r="R26" s="10">
        <f t="shared" si="17"/>
        <v>36033071.049734667</v>
      </c>
      <c r="S26" s="71"/>
      <c r="T26" s="10">
        <f t="shared" si="18"/>
        <v>36033000</v>
      </c>
      <c r="U26" s="71"/>
      <c r="V26" s="10">
        <f t="shared" si="2"/>
        <v>6273568.164200535</v>
      </c>
      <c r="W26" s="10">
        <f t="shared" si="19"/>
        <v>4400154.487389422</v>
      </c>
      <c r="X26" s="71"/>
      <c r="Y26" s="10">
        <f t="shared" si="3"/>
        <v>504400</v>
      </c>
      <c r="Z26" s="10">
        <f t="shared" si="20"/>
        <v>353776.01156933571</v>
      </c>
      <c r="AA26" s="71"/>
      <c r="AB26" s="10">
        <f t="shared" si="4"/>
        <v>0</v>
      </c>
      <c r="AC26" s="10">
        <f t="shared" si="21"/>
        <v>0</v>
      </c>
      <c r="AD26" s="71"/>
      <c r="AE26" s="10">
        <f t="shared" si="5"/>
        <v>0</v>
      </c>
      <c r="AF26" s="10">
        <f t="shared" si="22"/>
        <v>0</v>
      </c>
      <c r="AG26" s="71"/>
      <c r="AH26" s="10">
        <f t="shared" si="6"/>
        <v>0</v>
      </c>
      <c r="AI26" s="10">
        <f t="shared" si="23"/>
        <v>0</v>
      </c>
      <c r="AJ26" s="71"/>
      <c r="AK26" s="10">
        <f t="shared" si="24"/>
        <v>11850000</v>
      </c>
      <c r="AL26" s="10">
        <f t="shared" si="25"/>
        <v>8311351.5802867329</v>
      </c>
      <c r="AM26" s="71"/>
      <c r="AN26" s="10">
        <f t="shared" si="7"/>
        <v>0</v>
      </c>
      <c r="AO26" s="10">
        <f t="shared" si="26"/>
        <v>0</v>
      </c>
      <c r="AP26" s="71"/>
      <c r="AQ26" s="10">
        <f t="shared" si="8"/>
        <v>0</v>
      </c>
      <c r="AR26" s="10">
        <f t="shared" si="27"/>
        <v>0</v>
      </c>
      <c r="AS26" s="71"/>
      <c r="AT26" s="7">
        <f>IF($K26&lt;=$F$15,IF($F$40&lt;&gt;"",$F$40/1000,IF(ISERROR(VLOOKUP($F$3&amp;IF($G$4&lt;&gt;"",$G$4,"")&amp;IF($F$43&lt;&gt;"","_"&amp;$F$43,""),'表3）燃料価格'!$AF$9:$AG$25,2,0)),0,VLOOKUP($I26,'表3）燃料価格'!$A$6:$U$66,VLOOKUP($F$3&amp;IF($G$4&lt;&gt;"",$G$4,"")&amp;IF($F$43&lt;&gt;"","_"&amp;$F$43,""),'表3）燃料価格'!$AF$9:$AG$25,2,0)+VLOOKUP($F$41,'表3）燃料価格'!$AF$28:$AG$29,2,0),0)*IF($F$43="需要地価格",1,$F$8/$F$141))),"")</f>
        <v>60.116801573510507</v>
      </c>
      <c r="AU26" s="71"/>
      <c r="AV26" s="10">
        <f t="shared" si="9"/>
        <v>84196588.515559554</v>
      </c>
      <c r="AW26" s="10">
        <f t="shared" si="10"/>
        <v>59053793.165700227</v>
      </c>
      <c r="AX26" s="71"/>
      <c r="AY26" s="7">
        <f>IF(ISERROR(IF($K26&lt;=$F$15,VLOOKUP($I26,'表4）CO2価格'!$A$7:$E$67,VLOOKUP($F$48,'表4）CO2価格'!$H$10:$I$12,2,0),0)*$F$8/1000,"")),0,IF($K26&lt;=$F$15,VLOOKUP($I26,'表4）CO2価格'!$A$7:$E$67,VLOOKUP($F$48,'表4）CO2価格'!$H$10:$I$12,2,0),0)*$F$8/1000,""))</f>
        <v>5.6923999999999806</v>
      </c>
      <c r="AZ26" s="71"/>
      <c r="BA26" s="11">
        <f t="shared" si="11"/>
        <v>21693769.315567587</v>
      </c>
      <c r="BB26" s="10">
        <f t="shared" si="28"/>
        <v>15215573.323486794</v>
      </c>
      <c r="BC26" s="71"/>
      <c r="BD26" s="10">
        <f t="shared" si="12"/>
        <v>23890781.991290018</v>
      </c>
      <c r="BE26" s="10">
        <f t="shared" si="29"/>
        <v>16756513.810767436</v>
      </c>
      <c r="BF26" s="71"/>
      <c r="BG26" s="11">
        <f t="shared" si="13"/>
        <v>6155607.0432923008</v>
      </c>
      <c r="BH26" s="10">
        <f t="shared" si="30"/>
        <v>4317418.9305393761</v>
      </c>
      <c r="BJ26" s="7" t="str">
        <f t="shared" si="31"/>
        <v/>
      </c>
      <c r="BK26" s="158" t="str">
        <f t="shared" si="32"/>
        <v/>
      </c>
      <c r="BL26" s="158" t="str">
        <f t="shared" si="14"/>
        <v/>
      </c>
      <c r="BM26" s="10"/>
      <c r="BN26" s="10" t="str">
        <f t="shared" si="33"/>
        <v/>
      </c>
      <c r="BO26" s="10" t="str">
        <f t="shared" si="34"/>
        <v/>
      </c>
      <c r="BQ26" s="10">
        <f t="shared" si="15"/>
        <v>4588488</v>
      </c>
      <c r="BR26" s="10">
        <f t="shared" si="35"/>
        <v>3218273.1637068954</v>
      </c>
    </row>
    <row r="27" spans="3:70" x14ac:dyDescent="0.15">
      <c r="D27" s="82" t="s">
        <v>86</v>
      </c>
      <c r="F27" s="109">
        <f>F117*5%/10^8</f>
        <v>9.7500000000000003E-2</v>
      </c>
      <c r="G27" s="81" t="s">
        <v>176</v>
      </c>
      <c r="I27" s="38">
        <f t="shared" si="36"/>
        <v>2042</v>
      </c>
      <c r="J27" s="39"/>
      <c r="K27" s="39">
        <f t="shared" si="37"/>
        <v>13</v>
      </c>
      <c r="L27" s="39"/>
      <c r="M27" s="40">
        <f t="shared" si="0"/>
        <v>0.68095133999317792</v>
      </c>
      <c r="N27" s="39"/>
      <c r="O27" s="72">
        <f t="shared" si="16"/>
        <v>18820704.492601603</v>
      </c>
      <c r="P27" s="41" t="str">
        <f t="shared" si="1"/>
        <v>-</v>
      </c>
      <c r="Q27" s="39"/>
      <c r="R27" s="72">
        <f t="shared" si="17"/>
        <v>30905417.252991706</v>
      </c>
      <c r="S27" s="39"/>
      <c r="T27" s="72">
        <f t="shared" si="18"/>
        <v>30905000</v>
      </c>
      <c r="U27" s="39"/>
      <c r="V27" s="72">
        <f t="shared" si="2"/>
        <v>6273568.164200535</v>
      </c>
      <c r="W27" s="72">
        <f t="shared" si="19"/>
        <v>4271994.6479508951</v>
      </c>
      <c r="X27" s="39"/>
      <c r="Y27" s="72">
        <f t="shared" si="3"/>
        <v>432600</v>
      </c>
      <c r="Z27" s="72">
        <f t="shared" si="20"/>
        <v>294579.54968104878</v>
      </c>
      <c r="AA27" s="39"/>
      <c r="AB27" s="72">
        <f t="shared" si="4"/>
        <v>0</v>
      </c>
      <c r="AC27" s="72">
        <f t="shared" si="21"/>
        <v>0</v>
      </c>
      <c r="AD27" s="39"/>
      <c r="AE27" s="72">
        <f t="shared" si="5"/>
        <v>0</v>
      </c>
      <c r="AF27" s="72">
        <f t="shared" si="22"/>
        <v>0</v>
      </c>
      <c r="AG27" s="39"/>
      <c r="AH27" s="72">
        <f t="shared" si="6"/>
        <v>0</v>
      </c>
      <c r="AI27" s="72">
        <f t="shared" si="23"/>
        <v>0</v>
      </c>
      <c r="AJ27" s="39"/>
      <c r="AK27" s="72">
        <f t="shared" si="24"/>
        <v>11850000</v>
      </c>
      <c r="AL27" s="72">
        <f t="shared" si="25"/>
        <v>8069273.3789191581</v>
      </c>
      <c r="AM27" s="39"/>
      <c r="AN27" s="72">
        <f t="shared" si="7"/>
        <v>0</v>
      </c>
      <c r="AO27" s="72">
        <f t="shared" si="26"/>
        <v>0</v>
      </c>
      <c r="AP27" s="39"/>
      <c r="AQ27" s="72">
        <f t="shared" si="8"/>
        <v>0</v>
      </c>
      <c r="AR27" s="72">
        <f t="shared" si="27"/>
        <v>0</v>
      </c>
      <c r="AS27" s="39"/>
      <c r="AT27" s="40">
        <f>IF($K27&lt;=$F$15,IF($F$40&lt;&gt;"",$F$40/1000,IF(ISERROR(VLOOKUP($F$3&amp;IF($G$4&lt;&gt;"",$G$4,"")&amp;IF($F$43&lt;&gt;"","_"&amp;$F$43,""),'表3）燃料価格'!$AF$9:$AG$25,2,0)),0,VLOOKUP($I27,'表3）燃料価格'!$A$6:$U$66,VLOOKUP($F$3&amp;IF($G$4&lt;&gt;"",$G$4,"")&amp;IF($F$43&lt;&gt;"","_"&amp;$F$43,""),'表3）燃料価格'!$AF$9:$AG$25,2,0)+VLOOKUP($F$41,'表3）燃料価格'!$AF$28:$AG$29,2,0),0)*IF($F$43="需要地価格",1,$F$8/$F$141))),"")</f>
        <v>60.444507781221034</v>
      </c>
      <c r="AU27" s="39"/>
      <c r="AV27" s="72">
        <f t="shared" si="9"/>
        <v>84604046.400212377</v>
      </c>
      <c r="AW27" s="72">
        <f t="shared" si="10"/>
        <v>57611238.765069619</v>
      </c>
      <c r="AX27" s="39"/>
      <c r="AY27" s="40">
        <f>IF(ISERROR(IF($K27&lt;=$F$15,VLOOKUP($I27,'表4）CO2価格'!$A$7:$E$67,VLOOKUP($F$48,'表4）CO2価格'!$H$10:$I$12,2,0),0)*$F$8/1000,"")),0,IF($K27&lt;=$F$15,VLOOKUP($I27,'表4）CO2価格'!$A$7:$E$67,VLOOKUP($F$48,'表4）CO2価格'!$H$10:$I$12,2,0),0)*$F$8/1000,""))</f>
        <v>5.82080000000001</v>
      </c>
      <c r="AZ27" s="39"/>
      <c r="BA27" s="42">
        <f t="shared" si="11"/>
        <v>22183102.458024114</v>
      </c>
      <c r="BB27" s="72">
        <f t="shared" si="28"/>
        <v>15105613.34399748</v>
      </c>
      <c r="BC27" s="39"/>
      <c r="BD27" s="72">
        <f t="shared" si="12"/>
        <v>24006398.166060254</v>
      </c>
      <c r="BE27" s="72">
        <f t="shared" si="29"/>
        <v>16347188.999588499</v>
      </c>
      <c r="BF27" s="39"/>
      <c r="BG27" s="42">
        <f t="shared" si="13"/>
        <v>6294455.3224643404</v>
      </c>
      <c r="BH27" s="72">
        <f t="shared" si="30"/>
        <v>4286217.7863592831</v>
      </c>
      <c r="BI27" s="39"/>
      <c r="BJ27" s="40" t="str">
        <f t="shared" si="31"/>
        <v/>
      </c>
      <c r="BK27" s="157" t="str">
        <f t="shared" si="32"/>
        <v/>
      </c>
      <c r="BL27" s="157" t="str">
        <f t="shared" si="14"/>
        <v/>
      </c>
      <c r="BM27" s="72"/>
      <c r="BN27" s="72" t="str">
        <f t="shared" si="33"/>
        <v/>
      </c>
      <c r="BO27" s="72" t="str">
        <f t="shared" si="34"/>
        <v/>
      </c>
      <c r="BP27" s="39"/>
      <c r="BQ27" s="72">
        <f t="shared" si="15"/>
        <v>4588488</v>
      </c>
      <c r="BR27" s="72">
        <f t="shared" si="35"/>
        <v>3124537.0521426168</v>
      </c>
    </row>
    <row r="28" spans="3:70" x14ac:dyDescent="0.15">
      <c r="D28" s="81" t="s">
        <v>116</v>
      </c>
      <c r="F28" s="59">
        <v>1</v>
      </c>
      <c r="G28" s="81" t="s">
        <v>108</v>
      </c>
      <c r="I28" s="322">
        <f t="shared" si="36"/>
        <v>2043</v>
      </c>
      <c r="J28" s="71"/>
      <c r="K28" s="71">
        <f t="shared" si="37"/>
        <v>14</v>
      </c>
      <c r="L28" s="71"/>
      <c r="M28" s="7">
        <f t="shared" si="0"/>
        <v>0.66111780581861923</v>
      </c>
      <c r="N28" s="71"/>
      <c r="O28" s="10">
        <f t="shared" si="16"/>
        <v>12547136.328401068</v>
      </c>
      <c r="P28" s="29" t="str">
        <f t="shared" si="1"/>
        <v>-</v>
      </c>
      <c r="Q28" s="71"/>
      <c r="R28" s="10">
        <f t="shared" si="17"/>
        <v>26507449.622131243</v>
      </c>
      <c r="S28" s="71"/>
      <c r="T28" s="10">
        <f t="shared" si="18"/>
        <v>26507000</v>
      </c>
      <c r="U28" s="71"/>
      <c r="V28" s="10">
        <f t="shared" si="2"/>
        <v>6273568.164200535</v>
      </c>
      <c r="W28" s="10">
        <f t="shared" si="19"/>
        <v>4147567.6193698007</v>
      </c>
      <c r="X28" s="71"/>
      <c r="Y28" s="10">
        <f t="shared" si="3"/>
        <v>371000</v>
      </c>
      <c r="Z28" s="10">
        <f t="shared" si="20"/>
        <v>245274.70595870772</v>
      </c>
      <c r="AA28" s="71"/>
      <c r="AB28" s="10">
        <f t="shared" si="4"/>
        <v>0</v>
      </c>
      <c r="AC28" s="10">
        <f t="shared" si="21"/>
        <v>0</v>
      </c>
      <c r="AD28" s="71"/>
      <c r="AE28" s="10">
        <f t="shared" si="5"/>
        <v>0</v>
      </c>
      <c r="AF28" s="10">
        <f t="shared" si="22"/>
        <v>0</v>
      </c>
      <c r="AG28" s="71"/>
      <c r="AH28" s="10">
        <f t="shared" si="6"/>
        <v>0</v>
      </c>
      <c r="AI28" s="10">
        <f t="shared" si="23"/>
        <v>0</v>
      </c>
      <c r="AJ28" s="71"/>
      <c r="AK28" s="10">
        <f t="shared" si="24"/>
        <v>11850000</v>
      </c>
      <c r="AL28" s="10">
        <f t="shared" si="25"/>
        <v>7834245.9989506379</v>
      </c>
      <c r="AM28" s="71"/>
      <c r="AN28" s="10">
        <f t="shared" si="7"/>
        <v>0</v>
      </c>
      <c r="AO28" s="10">
        <f t="shared" si="26"/>
        <v>0</v>
      </c>
      <c r="AP28" s="71"/>
      <c r="AQ28" s="10">
        <f t="shared" si="8"/>
        <v>0</v>
      </c>
      <c r="AR28" s="10">
        <f t="shared" si="27"/>
        <v>0</v>
      </c>
      <c r="AS28" s="71"/>
      <c r="AT28" s="7">
        <f>IF($K28&lt;=$F$15,IF($F$40&lt;&gt;"",$F$40/1000,IF(ISERROR(VLOOKUP($F$3&amp;IF($G$4&lt;&gt;"",$G$4,"")&amp;IF($F$43&lt;&gt;"","_"&amp;$F$43,""),'表3）燃料価格'!$AF$9:$AG$25,2,0)),0,VLOOKUP($I28,'表3）燃料価格'!$A$6:$U$66,VLOOKUP($F$3&amp;IF($G$4&lt;&gt;"",$G$4,"")&amp;IF($F$43&lt;&gt;"","_"&amp;$F$43,""),'表3）燃料価格'!$AF$9:$AG$25,2,0)+VLOOKUP($F$41,'表3）燃料価格'!$AF$28:$AG$29,2,0),0)*IF($F$43="需要地価格",1,$F$8/$F$141))),"")</f>
        <v>60.760713122564496</v>
      </c>
      <c r="AU28" s="71"/>
      <c r="AV28" s="10">
        <f t="shared" si="9"/>
        <v>84997204.52925685</v>
      </c>
      <c r="AW28" s="10">
        <f t="shared" si="10"/>
        <v>56193165.359098695</v>
      </c>
      <c r="AX28" s="71"/>
      <c r="AY28" s="7">
        <f>IF(ISERROR(IF($K28&lt;=$F$15,VLOOKUP($I28,'表4）CO2価格'!$A$7:$E$67,VLOOKUP($F$48,'表4）CO2価格'!$H$10:$I$12,2,0),0)*$F$8/1000,"")),0,IF($K28&lt;=$F$15,VLOOKUP($I28,'表4）CO2価格'!$A$7:$E$67,VLOOKUP($F$48,'表4）CO2価格'!$H$10:$I$12,2,0),0)*$F$8/1000,""))</f>
        <v>5.9491999999999896</v>
      </c>
      <c r="AZ28" s="71"/>
      <c r="BA28" s="11">
        <f t="shared" si="11"/>
        <v>22672435.600480448</v>
      </c>
      <c r="BB28" s="10">
        <f t="shared" si="28"/>
        <v>14989150.876753584</v>
      </c>
      <c r="BC28" s="71"/>
      <c r="BD28" s="10">
        <f t="shared" si="12"/>
        <v>24117956.785176627</v>
      </c>
      <c r="BE28" s="10">
        <f t="shared" si="29"/>
        <v>15944810.670644252</v>
      </c>
      <c r="BF28" s="71"/>
      <c r="BG28" s="11">
        <f t="shared" si="13"/>
        <v>6433303.601636325</v>
      </c>
      <c r="BH28" s="10">
        <f t="shared" si="30"/>
        <v>4253171.5612788275</v>
      </c>
      <c r="BJ28" s="7" t="str">
        <f t="shared" si="31"/>
        <v/>
      </c>
      <c r="BK28" s="158" t="str">
        <f t="shared" si="32"/>
        <v/>
      </c>
      <c r="BL28" s="158" t="str">
        <f t="shared" si="14"/>
        <v/>
      </c>
      <c r="BM28" s="10"/>
      <c r="BN28" s="10" t="str">
        <f t="shared" si="33"/>
        <v/>
      </c>
      <c r="BO28" s="10" t="str">
        <f t="shared" si="34"/>
        <v/>
      </c>
      <c r="BQ28" s="10">
        <f t="shared" si="15"/>
        <v>4588488</v>
      </c>
      <c r="BR28" s="10">
        <f t="shared" si="35"/>
        <v>3033531.1185850645</v>
      </c>
    </row>
    <row r="29" spans="3:70" x14ac:dyDescent="0.15">
      <c r="D29" s="81" t="s">
        <v>117</v>
      </c>
      <c r="F29" s="59"/>
      <c r="G29" s="81" t="s">
        <v>176</v>
      </c>
      <c r="I29" s="38">
        <f t="shared" si="36"/>
        <v>2044</v>
      </c>
      <c r="J29" s="39"/>
      <c r="K29" s="39">
        <f t="shared" si="37"/>
        <v>15</v>
      </c>
      <c r="L29" s="39"/>
      <c r="M29" s="40">
        <f t="shared" si="0"/>
        <v>0.64186194739671765</v>
      </c>
      <c r="N29" s="39"/>
      <c r="O29" s="72">
        <f t="shared" si="16"/>
        <v>6273568.1642005332</v>
      </c>
      <c r="P29" s="41" t="str">
        <f t="shared" si="1"/>
        <v>-</v>
      </c>
      <c r="Q29" s="39"/>
      <c r="R29" s="72">
        <f t="shared" si="17"/>
        <v>22735330.823006712</v>
      </c>
      <c r="S29" s="39"/>
      <c r="T29" s="72">
        <f t="shared" si="18"/>
        <v>22735000</v>
      </c>
      <c r="U29" s="39"/>
      <c r="V29" s="72">
        <f t="shared" si="2"/>
        <v>6273568.1642005332</v>
      </c>
      <c r="W29" s="72">
        <f t="shared" si="19"/>
        <v>4026764.6789998054</v>
      </c>
      <c r="X29" s="39"/>
      <c r="Y29" s="72">
        <f t="shared" si="3"/>
        <v>318200</v>
      </c>
      <c r="Z29" s="72">
        <f t="shared" si="20"/>
        <v>204240.47166163556</v>
      </c>
      <c r="AA29" s="39"/>
      <c r="AB29" s="72">
        <f t="shared" si="4"/>
        <v>0</v>
      </c>
      <c r="AC29" s="72">
        <f t="shared" si="21"/>
        <v>0</v>
      </c>
      <c r="AD29" s="39"/>
      <c r="AE29" s="72">
        <f t="shared" si="5"/>
        <v>0</v>
      </c>
      <c r="AF29" s="72">
        <f t="shared" si="22"/>
        <v>0</v>
      </c>
      <c r="AG29" s="39"/>
      <c r="AH29" s="72">
        <f t="shared" si="6"/>
        <v>0</v>
      </c>
      <c r="AI29" s="72">
        <f t="shared" si="23"/>
        <v>0</v>
      </c>
      <c r="AJ29" s="39"/>
      <c r="AK29" s="72">
        <f t="shared" si="24"/>
        <v>11850000</v>
      </c>
      <c r="AL29" s="72">
        <f t="shared" si="25"/>
        <v>7606064.0766511038</v>
      </c>
      <c r="AM29" s="39"/>
      <c r="AN29" s="72">
        <f t="shared" si="7"/>
        <v>0</v>
      </c>
      <c r="AO29" s="72">
        <f t="shared" si="26"/>
        <v>0</v>
      </c>
      <c r="AP29" s="39"/>
      <c r="AQ29" s="72">
        <f t="shared" si="8"/>
        <v>0</v>
      </c>
      <c r="AR29" s="72">
        <f t="shared" si="27"/>
        <v>0</v>
      </c>
      <c r="AS29" s="39"/>
      <c r="AT29" s="40">
        <f>IF($K29&lt;=$F$15,IF($F$40&lt;&gt;"",$F$40/1000,IF(ISERROR(VLOOKUP($F$3&amp;IF($G$4&lt;&gt;"",$G$4,"")&amp;IF($F$43&lt;&gt;"","_"&amp;$F$43,""),'表3）燃料価格'!$AF$9:$AG$25,2,0)),0,VLOOKUP($I29,'表3）燃料価格'!$A$6:$U$66,VLOOKUP($F$3&amp;IF($G$4&lt;&gt;"",$G$4,"")&amp;IF($F$43&lt;&gt;"","_"&amp;$F$43,""),'表3）燃料価格'!$AF$9:$AG$25,2,0)+VLOOKUP($F$41,'表3）燃料価格'!$AF$28:$AG$29,2,0),0)*IF($F$43="需要地価格",1,$F$8/$F$141))),"")</f>
        <v>61.066197549406688</v>
      </c>
      <c r="AU29" s="39"/>
      <c r="AV29" s="72">
        <f t="shared" si="9"/>
        <v>85377032.666249156</v>
      </c>
      <c r="AW29" s="72">
        <f t="shared" si="10"/>
        <v>54800268.450111859</v>
      </c>
      <c r="AX29" s="39"/>
      <c r="AY29" s="40">
        <f>IF(ISERROR(IF($K29&lt;=$F$15,VLOOKUP($I29,'表4）CO2価格'!$A$7:$E$67,VLOOKUP($F$48,'表4）CO2価格'!$H$10:$I$12,2,0),0)*$F$8/1000,"")),0,IF($K29&lt;=$F$15,VLOOKUP($I29,'表4）CO2価格'!$A$7:$E$67,VLOOKUP($F$48,'表4）CO2価格'!$H$10:$I$12,2,0),0)*$F$8/1000,""))</f>
        <v>6.077599999999971</v>
      </c>
      <c r="AZ29" s="39"/>
      <c r="BA29" s="42">
        <f t="shared" si="11"/>
        <v>23161768.742936794</v>
      </c>
      <c r="BB29" s="72">
        <f t="shared" si="28"/>
        <v>14866657.990493836</v>
      </c>
      <c r="BC29" s="39"/>
      <c r="BD29" s="72">
        <f t="shared" si="12"/>
        <v>24225733.019048192</v>
      </c>
      <c r="BE29" s="72">
        <f t="shared" si="29"/>
        <v>15549576.172719236</v>
      </c>
      <c r="BF29" s="39"/>
      <c r="BG29" s="42">
        <f t="shared" si="13"/>
        <v>6572151.8808083124</v>
      </c>
      <c r="BH29" s="72">
        <f t="shared" si="30"/>
        <v>4218414.2048026239</v>
      </c>
      <c r="BI29" s="39"/>
      <c r="BJ29" s="40" t="str">
        <f t="shared" si="31"/>
        <v/>
      </c>
      <c r="BK29" s="157" t="str">
        <f t="shared" si="32"/>
        <v/>
      </c>
      <c r="BL29" s="157" t="str">
        <f t="shared" si="14"/>
        <v/>
      </c>
      <c r="BM29" s="72"/>
      <c r="BN29" s="72" t="str">
        <f t="shared" si="33"/>
        <v/>
      </c>
      <c r="BO29" s="72" t="str">
        <f t="shared" si="34"/>
        <v/>
      </c>
      <c r="BP29" s="39"/>
      <c r="BQ29" s="72">
        <f t="shared" si="15"/>
        <v>4588488</v>
      </c>
      <c r="BR29" s="72">
        <f t="shared" si="35"/>
        <v>2945175.84328647</v>
      </c>
    </row>
    <row r="30" spans="3:70" x14ac:dyDescent="0.15">
      <c r="I30" s="322">
        <f t="shared" si="36"/>
        <v>2045</v>
      </c>
      <c r="J30" s="71"/>
      <c r="K30" s="71">
        <f t="shared" si="37"/>
        <v>16</v>
      </c>
      <c r="L30" s="71"/>
      <c r="M30" s="7">
        <f t="shared" si="0"/>
        <v>0.62316693922011435</v>
      </c>
      <c r="N30" s="71"/>
      <c r="O30" s="10">
        <f t="shared" si="16"/>
        <v>0</v>
      </c>
      <c r="P30" s="29" t="str">
        <f t="shared" si="1"/>
        <v>-</v>
      </c>
      <c r="Q30" s="71"/>
      <c r="R30" s="10">
        <f t="shared" si="17"/>
        <v>19499999.999999993</v>
      </c>
      <c r="S30" s="71"/>
      <c r="T30" s="10">
        <f t="shared" si="18"/>
        <v>19500000</v>
      </c>
      <c r="U30" s="71"/>
      <c r="V30" s="10">
        <f t="shared" si="2"/>
        <v>0</v>
      </c>
      <c r="W30" s="10">
        <f t="shared" si="19"/>
        <v>0</v>
      </c>
      <c r="X30" s="71"/>
      <c r="Y30" s="10">
        <f t="shared" si="3"/>
        <v>273000</v>
      </c>
      <c r="Z30" s="10">
        <f t="shared" si="20"/>
        <v>170124.57440709122</v>
      </c>
      <c r="AA30" s="71"/>
      <c r="AB30" s="10">
        <f t="shared" si="4"/>
        <v>0</v>
      </c>
      <c r="AC30" s="10">
        <f t="shared" si="21"/>
        <v>0</v>
      </c>
      <c r="AD30" s="71"/>
      <c r="AE30" s="10">
        <f t="shared" si="5"/>
        <v>0</v>
      </c>
      <c r="AF30" s="10">
        <f t="shared" si="22"/>
        <v>0</v>
      </c>
      <c r="AG30" s="71"/>
      <c r="AH30" s="10">
        <f t="shared" si="6"/>
        <v>0</v>
      </c>
      <c r="AI30" s="10">
        <f t="shared" si="23"/>
        <v>0</v>
      </c>
      <c r="AJ30" s="71"/>
      <c r="AK30" s="10">
        <f t="shared" si="24"/>
        <v>11850000</v>
      </c>
      <c r="AL30" s="10">
        <f t="shared" si="25"/>
        <v>7384528.2297583548</v>
      </c>
      <c r="AM30" s="71"/>
      <c r="AN30" s="10">
        <f t="shared" si="7"/>
        <v>0</v>
      </c>
      <c r="AO30" s="10">
        <f t="shared" si="26"/>
        <v>0</v>
      </c>
      <c r="AP30" s="71"/>
      <c r="AQ30" s="10">
        <f t="shared" si="8"/>
        <v>0</v>
      </c>
      <c r="AR30" s="10">
        <f t="shared" si="27"/>
        <v>0</v>
      </c>
      <c r="AS30" s="71"/>
      <c r="AT30" s="7">
        <f>IF($K30&lt;=$F$15,IF($F$40&lt;&gt;"",$F$40/1000,IF(ISERROR(VLOOKUP($F$3&amp;IF($G$4&lt;&gt;"",$G$4,"")&amp;IF($F$43&lt;&gt;"","_"&amp;$F$43,""),'表3）燃料価格'!$AF$9:$AG$25,2,0)),0,VLOOKUP($I30,'表3）燃料価格'!$A$6:$U$66,VLOOKUP($F$3&amp;IF($G$4&lt;&gt;"",$G$4,"")&amp;IF($F$43&lt;&gt;"","_"&amp;$F$43,""),'表3）燃料価格'!$AF$9:$AG$25,2,0)+VLOOKUP($F$41,'表3）燃料価格'!$AF$28:$AG$29,2,0),0)*IF($F$43="需要地価格",1,$F$8/$F$141))),"")</f>
        <v>61.361664268073817</v>
      </c>
      <c r="AU30" s="71"/>
      <c r="AV30" s="10">
        <f t="shared" si="9"/>
        <v>85744405.152155086</v>
      </c>
      <c r="AW30" s="10">
        <f t="shared" si="10"/>
        <v>53433078.513917886</v>
      </c>
      <c r="AX30" s="71"/>
      <c r="AY30" s="7">
        <f>IF(ISERROR(IF($K30&lt;=$F$15,VLOOKUP($I30,'表4）CO2価格'!$A$7:$E$67,VLOOKUP($F$48,'表4）CO2価格'!$H$10:$I$12,2,0),0)*$F$8/1000,"")),0,IF($K30&lt;=$F$15,VLOOKUP($I30,'表4）CO2価格'!$A$7:$E$67,VLOOKUP($F$48,'表4）CO2価格'!$H$10:$I$12,2,0),0)*$F$8/1000,""))</f>
        <v>6.2060000000000004</v>
      </c>
      <c r="AZ30" s="71"/>
      <c r="BA30" s="11">
        <f t="shared" si="11"/>
        <v>23651101.885393318</v>
      </c>
      <c r="BB30" s="10">
        <f t="shared" si="28"/>
        <v>14738584.77110363</v>
      </c>
      <c r="BC30" s="71"/>
      <c r="BD30" s="10">
        <f t="shared" si="12"/>
        <v>24329974.961923998</v>
      </c>
      <c r="BE30" s="10">
        <f t="shared" si="29"/>
        <v>15161636.028324196</v>
      </c>
      <c r="BF30" s="71"/>
      <c r="BG30" s="11">
        <f t="shared" si="13"/>
        <v>6711000.159980352</v>
      </c>
      <c r="BH30" s="10">
        <f t="shared" si="30"/>
        <v>4182073.4288006537</v>
      </c>
      <c r="BJ30" s="7" t="str">
        <f t="shared" si="31"/>
        <v/>
      </c>
      <c r="BK30" s="158" t="str">
        <f t="shared" si="32"/>
        <v/>
      </c>
      <c r="BL30" s="158" t="str">
        <f t="shared" si="14"/>
        <v/>
      </c>
      <c r="BM30" s="10"/>
      <c r="BN30" s="10" t="str">
        <f t="shared" si="33"/>
        <v/>
      </c>
      <c r="BO30" s="10" t="str">
        <f t="shared" si="34"/>
        <v/>
      </c>
      <c r="BQ30" s="10">
        <f t="shared" si="15"/>
        <v>4588488</v>
      </c>
      <c r="BR30" s="10">
        <f t="shared" si="35"/>
        <v>2859394.0226082238</v>
      </c>
    </row>
    <row r="31" spans="3:70" x14ac:dyDescent="0.15">
      <c r="C31" s="89" t="s">
        <v>507</v>
      </c>
      <c r="D31" s="101"/>
      <c r="E31" s="101"/>
      <c r="F31" s="89"/>
      <c r="G31" s="101"/>
      <c r="I31" s="38">
        <f t="shared" si="36"/>
        <v>2046</v>
      </c>
      <c r="J31" s="39"/>
      <c r="K31" s="39">
        <f t="shared" si="37"/>
        <v>17</v>
      </c>
      <c r="L31" s="39"/>
      <c r="M31" s="40">
        <f t="shared" si="0"/>
        <v>0.60501644584477121</v>
      </c>
      <c r="N31" s="39"/>
      <c r="O31" s="72">
        <f t="shared" si="16"/>
        <v>0</v>
      </c>
      <c r="P31" s="41" t="str">
        <f t="shared" si="1"/>
        <v>-</v>
      </c>
      <c r="Q31" s="39"/>
      <c r="R31" s="72">
        <f t="shared" si="17"/>
        <v>16725070.022522429</v>
      </c>
      <c r="S31" s="39"/>
      <c r="T31" s="72">
        <f t="shared" si="18"/>
        <v>16725000</v>
      </c>
      <c r="U31" s="39"/>
      <c r="V31" s="72">
        <f t="shared" si="2"/>
        <v>0</v>
      </c>
      <c r="W31" s="72">
        <f t="shared" si="19"/>
        <v>0</v>
      </c>
      <c r="X31" s="39"/>
      <c r="Y31" s="72">
        <f t="shared" si="3"/>
        <v>234100</v>
      </c>
      <c r="Z31" s="72">
        <f t="shared" si="20"/>
        <v>141634.34997226094</v>
      </c>
      <c r="AA31" s="39"/>
      <c r="AB31" s="72">
        <f t="shared" si="4"/>
        <v>0</v>
      </c>
      <c r="AC31" s="72">
        <f t="shared" si="21"/>
        <v>0</v>
      </c>
      <c r="AD31" s="39"/>
      <c r="AE31" s="72">
        <f t="shared" si="5"/>
        <v>0</v>
      </c>
      <c r="AF31" s="72">
        <f t="shared" si="22"/>
        <v>0</v>
      </c>
      <c r="AG31" s="39"/>
      <c r="AH31" s="72">
        <f t="shared" si="6"/>
        <v>0</v>
      </c>
      <c r="AI31" s="72">
        <f t="shared" si="23"/>
        <v>0</v>
      </c>
      <c r="AJ31" s="39"/>
      <c r="AK31" s="72">
        <f t="shared" si="24"/>
        <v>11850000</v>
      </c>
      <c r="AL31" s="72">
        <f t="shared" si="25"/>
        <v>7169444.8832605388</v>
      </c>
      <c r="AM31" s="39"/>
      <c r="AN31" s="72">
        <f t="shared" si="7"/>
        <v>0</v>
      </c>
      <c r="AO31" s="72">
        <f t="shared" si="26"/>
        <v>0</v>
      </c>
      <c r="AP31" s="39"/>
      <c r="AQ31" s="72">
        <f t="shared" si="8"/>
        <v>0</v>
      </c>
      <c r="AR31" s="72">
        <f t="shared" si="27"/>
        <v>0</v>
      </c>
      <c r="AS31" s="39"/>
      <c r="AT31" s="40">
        <f>IF($K31&lt;=$F$15,IF($F$40&lt;&gt;"",$F$40/1000,IF(ISERROR(VLOOKUP($F$3&amp;IF($G$4&lt;&gt;"",$G$4,"")&amp;IF($F$43&lt;&gt;"","_"&amp;$F$43,""),'表3）燃料価格'!$AF$9:$AG$25,2,0)),0,VLOOKUP($I31,'表3）燃料価格'!$A$6:$U$66,VLOOKUP($F$3&amp;IF($G$4&lt;&gt;"",$G$4,"")&amp;IF($F$43&lt;&gt;"","_"&amp;$F$43,""),'表3）燃料価格'!$AF$9:$AG$25,2,0)+VLOOKUP($F$41,'表3）燃料価格'!$AF$28:$AG$29,2,0),0)*IF($F$43="需要地価格",1,$F$8/$F$141))),"")</f>
        <v>61.647749489198752</v>
      </c>
      <c r="AU31" s="39"/>
      <c r="AV31" s="72">
        <f t="shared" si="9"/>
        <v>86100113.027951479</v>
      </c>
      <c r="AW31" s="72">
        <f t="shared" si="10"/>
        <v>52091984.371004283</v>
      </c>
      <c r="AX31" s="39"/>
      <c r="AY31" s="40">
        <f>IF(ISERROR(IF($K31&lt;=$F$15,VLOOKUP($I31,'表4）CO2価格'!$A$7:$E$67,VLOOKUP($F$48,'表4）CO2価格'!$H$10:$I$12,2,0),0)*$F$8/1000,"")),0,IF($K31&lt;=$F$15,VLOOKUP($I31,'表4）CO2価格'!$A$7:$E$67,VLOOKUP($F$48,'表4）CO2価格'!$H$10:$I$12,2,0),0)*$F$8/1000,""))</f>
        <v>6.3343999999999809</v>
      </c>
      <c r="AZ31" s="39"/>
      <c r="BA31" s="42">
        <f t="shared" si="11"/>
        <v>24140435.027849656</v>
      </c>
      <c r="BB31" s="72">
        <f t="shared" si="28"/>
        <v>14605360.201696219</v>
      </c>
      <c r="BC31" s="39"/>
      <c r="BD31" s="72">
        <f t="shared" si="12"/>
        <v>24430907.071681224</v>
      </c>
      <c r="BE31" s="72">
        <f t="shared" si="29"/>
        <v>14781100.565272462</v>
      </c>
      <c r="BF31" s="39"/>
      <c r="BG31" s="42">
        <f t="shared" si="13"/>
        <v>6849848.4391523376</v>
      </c>
      <c r="BH31" s="72">
        <f t="shared" si="30"/>
        <v>4144270.9572313009</v>
      </c>
      <c r="BI31" s="39"/>
      <c r="BJ31" s="40" t="str">
        <f t="shared" si="31"/>
        <v/>
      </c>
      <c r="BK31" s="157" t="str">
        <f t="shared" si="32"/>
        <v/>
      </c>
      <c r="BL31" s="157" t="str">
        <f t="shared" si="14"/>
        <v/>
      </c>
      <c r="BM31" s="72"/>
      <c r="BN31" s="72" t="str">
        <f t="shared" si="33"/>
        <v/>
      </c>
      <c r="BO31" s="72" t="str">
        <f t="shared" si="34"/>
        <v/>
      </c>
      <c r="BP31" s="39"/>
      <c r="BQ31" s="72">
        <f t="shared" si="15"/>
        <v>4588488</v>
      </c>
      <c r="BR31" s="72">
        <f t="shared" si="35"/>
        <v>2776110.7015613825</v>
      </c>
    </row>
    <row r="32" spans="3:70" x14ac:dyDescent="0.15">
      <c r="I32" s="322">
        <f t="shared" si="36"/>
        <v>2047</v>
      </c>
      <c r="J32" s="71"/>
      <c r="K32" s="71">
        <f t="shared" si="37"/>
        <v>18</v>
      </c>
      <c r="L32" s="71"/>
      <c r="M32" s="7">
        <f t="shared" si="0"/>
        <v>0.5873946076162827</v>
      </c>
      <c r="N32" s="71"/>
      <c r="O32" s="10">
        <f t="shared" si="16"/>
        <v>0</v>
      </c>
      <c r="P32" s="29" t="str">
        <f t="shared" si="1"/>
        <v>-</v>
      </c>
      <c r="Q32" s="71"/>
      <c r="R32" s="10">
        <f t="shared" si="17"/>
        <v>14345023.961963</v>
      </c>
      <c r="S32" s="71"/>
      <c r="T32" s="10">
        <f t="shared" si="18"/>
        <v>14345000</v>
      </c>
      <c r="U32" s="71"/>
      <c r="V32" s="10">
        <f t="shared" si="2"/>
        <v>0</v>
      </c>
      <c r="W32" s="10">
        <f t="shared" si="19"/>
        <v>0</v>
      </c>
      <c r="X32" s="71"/>
      <c r="Y32" s="10">
        <f t="shared" si="3"/>
        <v>200800</v>
      </c>
      <c r="Z32" s="10">
        <f t="shared" si="20"/>
        <v>117948.83720934957</v>
      </c>
      <c r="AA32" s="71"/>
      <c r="AB32" s="10">
        <f t="shared" si="4"/>
        <v>0</v>
      </c>
      <c r="AC32" s="10">
        <f t="shared" si="21"/>
        <v>0</v>
      </c>
      <c r="AD32" s="71"/>
      <c r="AE32" s="10">
        <f t="shared" si="5"/>
        <v>0</v>
      </c>
      <c r="AF32" s="10">
        <f t="shared" si="22"/>
        <v>0</v>
      </c>
      <c r="AG32" s="71"/>
      <c r="AH32" s="10">
        <f t="shared" si="6"/>
        <v>0</v>
      </c>
      <c r="AI32" s="10">
        <f t="shared" si="23"/>
        <v>0</v>
      </c>
      <c r="AJ32" s="71"/>
      <c r="AK32" s="10">
        <f t="shared" si="24"/>
        <v>11850000</v>
      </c>
      <c r="AL32" s="10">
        <f t="shared" si="25"/>
        <v>6960626.1002529496</v>
      </c>
      <c r="AM32" s="71"/>
      <c r="AN32" s="10">
        <f t="shared" si="7"/>
        <v>0</v>
      </c>
      <c r="AO32" s="10">
        <f t="shared" si="26"/>
        <v>0</v>
      </c>
      <c r="AP32" s="71"/>
      <c r="AQ32" s="10">
        <f t="shared" si="8"/>
        <v>0</v>
      </c>
      <c r="AR32" s="10">
        <f t="shared" si="27"/>
        <v>0</v>
      </c>
      <c r="AS32" s="71"/>
      <c r="AT32" s="7">
        <f>IF($K32&lt;=$F$15,IF($F$40&lt;&gt;"",$F$40/1000,IF(ISERROR(VLOOKUP($F$3&amp;IF($G$4&lt;&gt;"",$G$4,"")&amp;IF($F$43&lt;&gt;"","_"&amp;$F$43,""),'表3）燃料価格'!$AF$9:$AG$25,2,0)),0,VLOOKUP($I32,'表3）燃料価格'!$A$6:$U$66,VLOOKUP($F$3&amp;IF($G$4&lt;&gt;"",$G$4,"")&amp;IF($F$43&lt;&gt;"","_"&amp;$F$43,""),'表3）燃料価格'!$AF$9:$AG$25,2,0)+VLOOKUP($F$41,'表3）燃料価格'!$AF$28:$AG$29,2,0),0)*IF($F$43="需要地価格",1,$F$8/$F$141))),"")</f>
        <v>61.925030676818828</v>
      </c>
      <c r="AU32" s="71"/>
      <c r="AV32" s="10">
        <f t="shared" si="9"/>
        <v>86444874.291251987</v>
      </c>
      <c r="AW32" s="10">
        <f t="shared" si="10"/>
        <v>50777253.014748849</v>
      </c>
      <c r="AX32" s="71"/>
      <c r="AY32" s="7">
        <f>IF(ISERROR(IF($K32&lt;=$F$15,VLOOKUP($I32,'表4）CO2価格'!$A$7:$E$67,VLOOKUP($F$48,'表4）CO2価格'!$H$10:$I$12,2,0),0)*$F$8/1000,"")),0,IF($K32&lt;=$F$15,VLOOKUP($I32,'表4）CO2価格'!$A$7:$E$67,VLOOKUP($F$48,'表4）CO2価格'!$H$10:$I$12,2,0),0)*$F$8/1000,""))</f>
        <v>6.4628000000000103</v>
      </c>
      <c r="AZ32" s="71"/>
      <c r="BA32" s="11">
        <f t="shared" si="11"/>
        <v>24629768.170306183</v>
      </c>
      <c r="BB32" s="10">
        <f t="shared" si="28"/>
        <v>14467393.010077009</v>
      </c>
      <c r="BC32" s="71"/>
      <c r="BD32" s="10">
        <f t="shared" si="12"/>
        <v>24528733.080142744</v>
      </c>
      <c r="BE32" s="10">
        <f t="shared" si="29"/>
        <v>14408045.54293498</v>
      </c>
      <c r="BF32" s="71"/>
      <c r="BG32" s="11">
        <f t="shared" si="13"/>
        <v>6988696.7183243772</v>
      </c>
      <c r="BH32" s="10">
        <f t="shared" si="30"/>
        <v>4105122.7666093502</v>
      </c>
      <c r="BJ32" s="7" t="str">
        <f t="shared" si="31"/>
        <v/>
      </c>
      <c r="BK32" s="158" t="str">
        <f t="shared" si="32"/>
        <v/>
      </c>
      <c r="BL32" s="158" t="str">
        <f t="shared" si="14"/>
        <v/>
      </c>
      <c r="BM32" s="10"/>
      <c r="BN32" s="10" t="str">
        <f t="shared" si="33"/>
        <v/>
      </c>
      <c r="BO32" s="10" t="str">
        <f t="shared" si="34"/>
        <v/>
      </c>
      <c r="BQ32" s="10">
        <f t="shared" si="15"/>
        <v>4588488</v>
      </c>
      <c r="BR32" s="10">
        <f t="shared" si="35"/>
        <v>2695253.1083120219</v>
      </c>
    </row>
    <row r="33" spans="3:70" x14ac:dyDescent="0.15">
      <c r="D33" s="81" t="s">
        <v>88</v>
      </c>
      <c r="F33" s="66"/>
      <c r="G33" s="81" t="s">
        <v>119</v>
      </c>
      <c r="I33" s="38">
        <f t="shared" si="36"/>
        <v>2048</v>
      </c>
      <c r="J33" s="39"/>
      <c r="K33" s="39">
        <f t="shared" si="37"/>
        <v>19</v>
      </c>
      <c r="L33" s="39"/>
      <c r="M33" s="40">
        <f t="shared" si="0"/>
        <v>0.57028602681192497</v>
      </c>
      <c r="N33" s="39"/>
      <c r="O33" s="72">
        <f t="shared" si="16"/>
        <v>0</v>
      </c>
      <c r="P33" s="41" t="str">
        <f t="shared" si="1"/>
        <v>-</v>
      </c>
      <c r="Q33" s="39"/>
      <c r="R33" s="72">
        <f t="shared" si="17"/>
        <v>12303668.217363764</v>
      </c>
      <c r="S33" s="39"/>
      <c r="T33" s="72">
        <f t="shared" si="18"/>
        <v>12303000</v>
      </c>
      <c r="U33" s="39"/>
      <c r="V33" s="72">
        <f t="shared" si="2"/>
        <v>0</v>
      </c>
      <c r="W33" s="72">
        <f t="shared" si="19"/>
        <v>0</v>
      </c>
      <c r="X33" s="39"/>
      <c r="Y33" s="72">
        <f t="shared" si="3"/>
        <v>172200</v>
      </c>
      <c r="Z33" s="72">
        <f t="shared" si="20"/>
        <v>98203.253817013479</v>
      </c>
      <c r="AA33" s="39"/>
      <c r="AB33" s="72">
        <f t="shared" si="4"/>
        <v>0</v>
      </c>
      <c r="AC33" s="72">
        <f t="shared" si="21"/>
        <v>0</v>
      </c>
      <c r="AD33" s="39"/>
      <c r="AE33" s="72">
        <f t="shared" si="5"/>
        <v>0</v>
      </c>
      <c r="AF33" s="72">
        <f t="shared" si="22"/>
        <v>0</v>
      </c>
      <c r="AG33" s="39"/>
      <c r="AH33" s="72">
        <f t="shared" si="6"/>
        <v>0</v>
      </c>
      <c r="AI33" s="72">
        <f t="shared" si="23"/>
        <v>0</v>
      </c>
      <c r="AJ33" s="39"/>
      <c r="AK33" s="72">
        <f t="shared" si="24"/>
        <v>11850000</v>
      </c>
      <c r="AL33" s="72">
        <f t="shared" si="25"/>
        <v>6757889.4177213106</v>
      </c>
      <c r="AM33" s="39"/>
      <c r="AN33" s="72">
        <f t="shared" si="7"/>
        <v>0</v>
      </c>
      <c r="AO33" s="72">
        <f t="shared" si="26"/>
        <v>0</v>
      </c>
      <c r="AP33" s="39"/>
      <c r="AQ33" s="72">
        <f t="shared" si="8"/>
        <v>0</v>
      </c>
      <c r="AR33" s="72">
        <f t="shared" si="27"/>
        <v>0</v>
      </c>
      <c r="AS33" s="39"/>
      <c r="AT33" s="40">
        <f>IF($K33&lt;=$F$15,IF($F$40&lt;&gt;"",$F$40/1000,IF(ISERROR(VLOOKUP($F$3&amp;IF($G$4&lt;&gt;"",$G$4,"")&amp;IF($F$43&lt;&gt;"","_"&amp;$F$43,""),'表3）燃料価格'!$AF$9:$AG$25,2,0)),0,VLOOKUP($I33,'表3）燃料価格'!$A$6:$U$66,VLOOKUP($F$3&amp;IF($G$4&lt;&gt;"",$G$4,"")&amp;IF($F$43&lt;&gt;"","_"&amp;$F$43,""),'表3）燃料価格'!$AF$9:$AG$25,2,0)+VLOOKUP($F$41,'表3）燃料価格'!$AF$28:$AG$29,2,0),0)*IF($F$43="需要地価格",1,$F$8/$F$141))),"")</f>
        <v>62.194033565670757</v>
      </c>
      <c r="AU33" s="39"/>
      <c r="AV33" s="72">
        <f t="shared" si="9"/>
        <v>86779342.621354312</v>
      </c>
      <c r="AW33" s="72">
        <f t="shared" si="10"/>
        <v>49489046.512882888</v>
      </c>
      <c r="AX33" s="39"/>
      <c r="AY33" s="40">
        <f>IF(ISERROR(IF($K33&lt;=$F$15,VLOOKUP($I33,'表4）CO2価格'!$A$7:$E$67,VLOOKUP($F$48,'表4）CO2価格'!$H$10:$I$12,2,0),0)*$F$8/1000,"")),0,IF($K33&lt;=$F$15,VLOOKUP($I33,'表4）CO2価格'!$A$7:$E$67,VLOOKUP($F$48,'表4）CO2価格'!$H$10:$I$12,2,0),0)*$F$8/1000,""))</f>
        <v>6.59119999999999</v>
      </c>
      <c r="AZ33" s="39"/>
      <c r="BA33" s="42">
        <f t="shared" si="11"/>
        <v>25119101.312762517</v>
      </c>
      <c r="BB33" s="72">
        <f t="shared" si="28"/>
        <v>14325072.484741544</v>
      </c>
      <c r="BC33" s="39"/>
      <c r="BD33" s="72">
        <f t="shared" si="12"/>
        <v>24623638.468809281</v>
      </c>
      <c r="BE33" s="72">
        <f t="shared" si="29"/>
        <v>14042516.948030517</v>
      </c>
      <c r="BF33" s="39"/>
      <c r="BG33" s="42">
        <f t="shared" si="13"/>
        <v>7127544.9974963618</v>
      </c>
      <c r="BH33" s="72">
        <f t="shared" si="30"/>
        <v>4064739.3175454121</v>
      </c>
      <c r="BI33" s="39"/>
      <c r="BJ33" s="40" t="str">
        <f t="shared" si="31"/>
        <v/>
      </c>
      <c r="BK33" s="157" t="str">
        <f t="shared" si="32"/>
        <v/>
      </c>
      <c r="BL33" s="157" t="str">
        <f t="shared" si="14"/>
        <v/>
      </c>
      <c r="BM33" s="72"/>
      <c r="BN33" s="72" t="str">
        <f t="shared" si="33"/>
        <v/>
      </c>
      <c r="BO33" s="72" t="str">
        <f t="shared" si="34"/>
        <v/>
      </c>
      <c r="BP33" s="39"/>
      <c r="BQ33" s="72">
        <f t="shared" si="15"/>
        <v>4588488</v>
      </c>
      <c r="BR33" s="72">
        <f t="shared" si="35"/>
        <v>2616750.5905941962</v>
      </c>
    </row>
    <row r="34" spans="3:70" x14ac:dyDescent="0.15">
      <c r="D34" s="81" t="s">
        <v>120</v>
      </c>
      <c r="F34" s="109">
        <v>0.79</v>
      </c>
      <c r="G34" s="81" t="s">
        <v>227</v>
      </c>
      <c r="I34" s="322">
        <f t="shared" si="36"/>
        <v>2049</v>
      </c>
      <c r="J34" s="71"/>
      <c r="K34" s="71">
        <f t="shared" si="37"/>
        <v>20</v>
      </c>
      <c r="L34" s="71"/>
      <c r="M34" s="7">
        <f t="shared" si="0"/>
        <v>0.55367575418633497</v>
      </c>
      <c r="N34" s="71"/>
      <c r="O34" s="10">
        <f t="shared" si="16"/>
        <v>0</v>
      </c>
      <c r="P34" s="29" t="str">
        <f t="shared" si="1"/>
        <v>-</v>
      </c>
      <c r="Q34" s="71"/>
      <c r="R34" s="10">
        <f t="shared" si="17"/>
        <v>10552805.767656038</v>
      </c>
      <c r="S34" s="71"/>
      <c r="T34" s="10">
        <f t="shared" si="18"/>
        <v>10552000</v>
      </c>
      <c r="U34" s="71"/>
      <c r="V34" s="10">
        <f t="shared" si="2"/>
        <v>0</v>
      </c>
      <c r="W34" s="10">
        <f t="shared" si="19"/>
        <v>0</v>
      </c>
      <c r="X34" s="71"/>
      <c r="Y34" s="10">
        <f t="shared" si="3"/>
        <v>147700</v>
      </c>
      <c r="Z34" s="10">
        <f t="shared" si="20"/>
        <v>81777.90889332167</v>
      </c>
      <c r="AA34" s="71"/>
      <c r="AB34" s="10">
        <f t="shared" si="4"/>
        <v>0</v>
      </c>
      <c r="AC34" s="10">
        <f t="shared" si="21"/>
        <v>0</v>
      </c>
      <c r="AD34" s="71"/>
      <c r="AE34" s="10">
        <f t="shared" si="5"/>
        <v>0</v>
      </c>
      <c r="AF34" s="10">
        <f t="shared" si="22"/>
        <v>0</v>
      </c>
      <c r="AG34" s="71"/>
      <c r="AH34" s="10">
        <f t="shared" si="6"/>
        <v>0</v>
      </c>
      <c r="AI34" s="10">
        <f t="shared" si="23"/>
        <v>0</v>
      </c>
      <c r="AJ34" s="71"/>
      <c r="AK34" s="10">
        <f t="shared" si="24"/>
        <v>11850000</v>
      </c>
      <c r="AL34" s="10">
        <f t="shared" si="25"/>
        <v>6561057.6871080697</v>
      </c>
      <c r="AM34" s="71"/>
      <c r="AN34" s="10">
        <f t="shared" si="7"/>
        <v>0</v>
      </c>
      <c r="AO34" s="10">
        <f t="shared" si="26"/>
        <v>0</v>
      </c>
      <c r="AP34" s="71"/>
      <c r="AQ34" s="10">
        <f t="shared" si="8"/>
        <v>0</v>
      </c>
      <c r="AR34" s="10">
        <f t="shared" si="27"/>
        <v>0</v>
      </c>
      <c r="AS34" s="71"/>
      <c r="AT34" s="7">
        <f>IF($K34&lt;=$F$15,IF($F$40&lt;&gt;"",$F$40/1000,IF(ISERROR(VLOOKUP($F$3&amp;IF($G$4&lt;&gt;"",$G$4,"")&amp;IF($F$43&lt;&gt;"","_"&amp;$F$43,""),'表3）燃料価格'!$AF$9:$AG$25,2,0)),0,VLOOKUP($I34,'表3）燃料価格'!$A$6:$U$66,VLOOKUP($F$3&amp;IF($G$4&lt;&gt;"",$G$4,"")&amp;IF($F$43&lt;&gt;"","_"&amp;$F$43,""),'表3）燃料価格'!$AF$9:$AG$25,2,0)+VLOOKUP($F$41,'表3）燃料価格'!$AF$28:$AG$29,2,0),0)*IF($F$43="需要地価格",1,$F$8/$F$141))),"")</f>
        <v>62.455238161023964</v>
      </c>
      <c r="AU34" s="71"/>
      <c r="AV34" s="10">
        <f t="shared" si="9"/>
        <v>87104114.839213014</v>
      </c>
      <c r="AW34" s="10">
        <f t="shared" si="10"/>
        <v>48227436.476334393</v>
      </c>
      <c r="AX34" s="71"/>
      <c r="AY34" s="7">
        <f>IF(ISERROR(IF($K34&lt;=$F$15,VLOOKUP($I34,'表4）CO2価格'!$A$7:$E$67,VLOOKUP($F$48,'表4）CO2価格'!$H$10:$I$12,2,0),0)*$F$8/1000,"")),0,IF($K34&lt;=$F$15,VLOOKUP($I34,'表4）CO2価格'!$A$7:$E$67,VLOOKUP($F$48,'表4）CO2価格'!$H$10:$I$12,2,0),0)*$F$8/1000,""))</f>
        <v>6.7195999999999714</v>
      </c>
      <c r="AZ34" s="71"/>
      <c r="BA34" s="11">
        <f t="shared" si="11"/>
        <v>25608434.455218859</v>
      </c>
      <c r="BB34" s="10">
        <f t="shared" si="28"/>
        <v>14178769.260524629</v>
      </c>
      <c r="BC34" s="71"/>
      <c r="BD34" s="10">
        <f t="shared" si="12"/>
        <v>24715792.585626688</v>
      </c>
      <c r="BE34" s="10">
        <f t="shared" si="29"/>
        <v>13684535.100159882</v>
      </c>
      <c r="BF34" s="71"/>
      <c r="BG34" s="11">
        <f t="shared" si="13"/>
        <v>7266393.2766683493</v>
      </c>
      <c r="BH34" s="10">
        <f t="shared" si="30"/>
        <v>4023225.7776738619</v>
      </c>
      <c r="BJ34" s="7" t="str">
        <f t="shared" si="31"/>
        <v/>
      </c>
      <c r="BK34" s="158" t="str">
        <f t="shared" si="32"/>
        <v/>
      </c>
      <c r="BL34" s="158" t="str">
        <f t="shared" si="14"/>
        <v/>
      </c>
      <c r="BM34" s="10"/>
      <c r="BN34" s="10" t="str">
        <f t="shared" si="33"/>
        <v/>
      </c>
      <c r="BO34" s="10" t="str">
        <f t="shared" si="34"/>
        <v/>
      </c>
      <c r="BQ34" s="10">
        <f t="shared" si="15"/>
        <v>4588488</v>
      </c>
      <c r="BR34" s="10">
        <f t="shared" si="35"/>
        <v>2540534.5539749479</v>
      </c>
    </row>
    <row r="35" spans="3:70" x14ac:dyDescent="0.15">
      <c r="D35" s="81" t="s">
        <v>122</v>
      </c>
      <c r="F35" s="66"/>
      <c r="G35" s="81" t="s">
        <v>121</v>
      </c>
      <c r="I35" s="38">
        <f t="shared" si="36"/>
        <v>2050</v>
      </c>
      <c r="J35" s="39"/>
      <c r="K35" s="39">
        <f t="shared" si="37"/>
        <v>21</v>
      </c>
      <c r="L35" s="39"/>
      <c r="M35" s="40">
        <f t="shared" si="0"/>
        <v>0.5375492759090631</v>
      </c>
      <c r="N35" s="39"/>
      <c r="O35" s="72">
        <f t="shared" si="16"/>
        <v>0</v>
      </c>
      <c r="P35" s="41" t="str">
        <f t="shared" si="1"/>
        <v>-</v>
      </c>
      <c r="Q35" s="39"/>
      <c r="R35" s="72">
        <f t="shared" si="17"/>
        <v>9750000</v>
      </c>
      <c r="S35" s="39"/>
      <c r="T35" s="72">
        <f t="shared" si="18"/>
        <v>9750000</v>
      </c>
      <c r="U35" s="39"/>
      <c r="V35" s="72">
        <f t="shared" si="2"/>
        <v>0</v>
      </c>
      <c r="W35" s="72">
        <f t="shared" si="19"/>
        <v>0</v>
      </c>
      <c r="X35" s="39"/>
      <c r="Y35" s="72">
        <f t="shared" si="3"/>
        <v>136500</v>
      </c>
      <c r="Z35" s="72">
        <f t="shared" si="20"/>
        <v>73375.47616158711</v>
      </c>
      <c r="AA35" s="39"/>
      <c r="AB35" s="72">
        <f t="shared" si="4"/>
        <v>0</v>
      </c>
      <c r="AC35" s="72">
        <f t="shared" si="21"/>
        <v>0</v>
      </c>
      <c r="AD35" s="39"/>
      <c r="AE35" s="72">
        <f t="shared" si="5"/>
        <v>0</v>
      </c>
      <c r="AF35" s="72">
        <f t="shared" si="22"/>
        <v>0</v>
      </c>
      <c r="AG35" s="39"/>
      <c r="AH35" s="72">
        <f t="shared" si="6"/>
        <v>0</v>
      </c>
      <c r="AI35" s="72">
        <f t="shared" si="23"/>
        <v>0</v>
      </c>
      <c r="AJ35" s="39"/>
      <c r="AK35" s="72">
        <f t="shared" si="24"/>
        <v>11850000</v>
      </c>
      <c r="AL35" s="72">
        <f t="shared" si="25"/>
        <v>6369958.9195223972</v>
      </c>
      <c r="AM35" s="39"/>
      <c r="AN35" s="72">
        <f t="shared" si="7"/>
        <v>0</v>
      </c>
      <c r="AO35" s="72">
        <f t="shared" si="26"/>
        <v>0</v>
      </c>
      <c r="AP35" s="39"/>
      <c r="AQ35" s="72">
        <f t="shared" si="8"/>
        <v>0</v>
      </c>
      <c r="AR35" s="72">
        <f t="shared" si="27"/>
        <v>0</v>
      </c>
      <c r="AS35" s="39"/>
      <c r="AT35" s="40">
        <f>IF($K35&lt;=$F$15,IF($F$40&lt;&gt;"",$F$40/1000,IF(ISERROR(VLOOKUP($F$3&amp;IF($G$4&lt;&gt;"",$G$4,"")&amp;IF($F$43&lt;&gt;"","_"&amp;$F$43,""),'表3）燃料価格'!$AF$9:$AG$25,2,0)),0,VLOOKUP($I35,'表3）燃料価格'!$A$6:$U$66,VLOOKUP($F$3&amp;IF($G$4&lt;&gt;"",$G$4,"")&amp;IF($F$43&lt;&gt;"","_"&amp;$F$43,""),'表3）燃料価格'!$AF$9:$AG$25,2,0)+VLOOKUP($F$41,'表3）燃料価格'!$AF$28:$AG$29,2,0),0)*IF($F$43="需要地価格",1,$F$8/$F$141))),"")</f>
        <v>62.7090838931055</v>
      </c>
      <c r="AU35" s="39"/>
      <c r="AV35" s="72">
        <f t="shared" si="9"/>
        <v>87419737.316262498</v>
      </c>
      <c r="AW35" s="72">
        <f t="shared" si="10"/>
        <v>46992416.494517408</v>
      </c>
      <c r="AX35" s="39"/>
      <c r="AY35" s="40">
        <f>IF(ISERROR(IF($K35&lt;=$F$15,VLOOKUP($I35,'表4）CO2価格'!$A$7:$E$67,VLOOKUP($F$48,'表4）CO2価格'!$H$10:$I$12,2,0),0)*$F$8/1000,"")),0,IF($K35&lt;=$F$15,VLOOKUP($I35,'表4）CO2価格'!$A$7:$E$67,VLOOKUP($F$48,'表4）CO2価格'!$H$10:$I$12,2,0),0)*$F$8/1000,""))</f>
        <v>6.8479999999999999</v>
      </c>
      <c r="AZ35" s="39"/>
      <c r="BA35" s="42">
        <f t="shared" si="11"/>
        <v>26097767.597675383</v>
      </c>
      <c r="BB35" s="72">
        <f t="shared" si="28"/>
        <v>14028836.074973412</v>
      </c>
      <c r="BC35" s="39"/>
      <c r="BD35" s="72">
        <f t="shared" si="12"/>
        <v>24805350.463489477</v>
      </c>
      <c r="BE35" s="72">
        <f t="shared" si="29"/>
        <v>13334098.180319311</v>
      </c>
      <c r="BF35" s="39"/>
      <c r="BG35" s="42">
        <f t="shared" si="13"/>
        <v>7405241.555840387</v>
      </c>
      <c r="BH35" s="72">
        <f t="shared" si="30"/>
        <v>3980682.2362737041</v>
      </c>
      <c r="BI35" s="39"/>
      <c r="BJ35" s="40" t="str">
        <f t="shared" si="31"/>
        <v/>
      </c>
      <c r="BK35" s="157" t="str">
        <f t="shared" si="32"/>
        <v/>
      </c>
      <c r="BL35" s="157" t="str">
        <f t="shared" si="14"/>
        <v/>
      </c>
      <c r="BM35" s="72"/>
      <c r="BN35" s="72" t="str">
        <f t="shared" si="33"/>
        <v/>
      </c>
      <c r="BO35" s="72" t="str">
        <f t="shared" si="34"/>
        <v/>
      </c>
      <c r="BP35" s="39"/>
      <c r="BQ35" s="72">
        <f t="shared" si="15"/>
        <v>4588488</v>
      </c>
      <c r="BR35" s="72">
        <f t="shared" si="35"/>
        <v>2466538.401917425</v>
      </c>
    </row>
    <row r="36" spans="3:70" x14ac:dyDescent="0.15">
      <c r="D36" s="81" t="s">
        <v>177</v>
      </c>
      <c r="F36" s="106"/>
      <c r="G36" s="81" t="s">
        <v>123</v>
      </c>
      <c r="I36" s="322">
        <f t="shared" si="36"/>
        <v>2051</v>
      </c>
      <c r="J36" s="71"/>
      <c r="K36" s="71">
        <f t="shared" si="37"/>
        <v>22</v>
      </c>
      <c r="L36" s="71"/>
      <c r="M36" s="7">
        <f t="shared" si="0"/>
        <v>0.52189250088258554</v>
      </c>
      <c r="N36" s="71"/>
      <c r="O36" s="10">
        <f t="shared" si="16"/>
        <v>0</v>
      </c>
      <c r="P36" s="29" t="str">
        <f t="shared" si="1"/>
        <v>-</v>
      </c>
      <c r="Q36" s="71"/>
      <c r="R36" s="10">
        <f t="shared" si="17"/>
        <v>9750000</v>
      </c>
      <c r="S36" s="71"/>
      <c r="T36" s="10">
        <f t="shared" si="18"/>
        <v>9750000</v>
      </c>
      <c r="U36" s="71"/>
      <c r="V36" s="10">
        <f t="shared" si="2"/>
        <v>0</v>
      </c>
      <c r="W36" s="10">
        <f t="shared" si="19"/>
        <v>0</v>
      </c>
      <c r="X36" s="71"/>
      <c r="Y36" s="10">
        <f t="shared" si="3"/>
        <v>136500</v>
      </c>
      <c r="Z36" s="10">
        <f t="shared" si="20"/>
        <v>71238.326370472932</v>
      </c>
      <c r="AA36" s="71"/>
      <c r="AB36" s="10">
        <f t="shared" si="4"/>
        <v>0</v>
      </c>
      <c r="AC36" s="10">
        <f t="shared" si="21"/>
        <v>0</v>
      </c>
      <c r="AD36" s="71"/>
      <c r="AE36" s="10">
        <f t="shared" si="5"/>
        <v>0</v>
      </c>
      <c r="AF36" s="10">
        <f t="shared" si="22"/>
        <v>0</v>
      </c>
      <c r="AG36" s="71"/>
      <c r="AH36" s="10">
        <f t="shared" si="6"/>
        <v>0</v>
      </c>
      <c r="AI36" s="10">
        <f t="shared" si="23"/>
        <v>0</v>
      </c>
      <c r="AJ36" s="71"/>
      <c r="AK36" s="10">
        <f t="shared" si="24"/>
        <v>11850000</v>
      </c>
      <c r="AL36" s="10">
        <f t="shared" si="25"/>
        <v>6184426.1354586389</v>
      </c>
      <c r="AM36" s="71"/>
      <c r="AN36" s="10">
        <f t="shared" si="7"/>
        <v>0</v>
      </c>
      <c r="AO36" s="10">
        <f t="shared" si="26"/>
        <v>0</v>
      </c>
      <c r="AP36" s="71"/>
      <c r="AQ36" s="10">
        <f t="shared" si="8"/>
        <v>0</v>
      </c>
      <c r="AR36" s="10">
        <f t="shared" si="27"/>
        <v>0</v>
      </c>
      <c r="AS36" s="71"/>
      <c r="AT36" s="7">
        <f>IF($K36&lt;=$F$15,IF($F$40&lt;&gt;"",$F$40/1000,IF(ISERROR(VLOOKUP($F$3&amp;IF($G$4&lt;&gt;"",$G$4,"")&amp;IF($F$43&lt;&gt;"","_"&amp;$F$43,""),'表3）燃料価格'!$AF$9:$AG$25,2,0)),0,VLOOKUP($I36,'表3）燃料価格'!$A$6:$U$66,VLOOKUP($F$3&amp;IF($G$4&lt;&gt;"",$G$4,"")&amp;IF($F$43&lt;&gt;"","_"&amp;$F$43,""),'表3）燃料価格'!$AF$9:$AG$25,2,0)+VLOOKUP($F$41,'表3）燃料価格'!$AF$28:$AG$29,2,0),0)*IF($F$43="需要地価格",1,$F$8/$F$141))),"")</f>
        <v>62.955974065153995</v>
      </c>
      <c r="AU36" s="71"/>
      <c r="AV36" s="10">
        <f t="shared" si="9"/>
        <v>87726711.504964203</v>
      </c>
      <c r="AW36" s="10">
        <f t="shared" si="10"/>
        <v>45783912.861530855</v>
      </c>
      <c r="AX36" s="71"/>
      <c r="AY36" s="7">
        <f>IF(ISERROR(IF($K36&lt;=$F$15,VLOOKUP($I36,'表4）CO2価格'!$A$7:$E$67,VLOOKUP($F$48,'表4）CO2価格'!$H$10:$I$12,2,0),0)*$F$8/1000,"")),0,IF($K36&lt;=$F$15,VLOOKUP($I36,'表4）CO2価格'!$A$7:$E$67,VLOOKUP($F$48,'表4）CO2価格'!$H$10:$I$12,2,0),0)*$F$8/1000,""))</f>
        <v>7.0184806169104448</v>
      </c>
      <c r="AZ36" s="71"/>
      <c r="BA36" s="11">
        <f t="shared" si="11"/>
        <v>26747470.214503232</v>
      </c>
      <c r="BB36" s="10">
        <f t="shared" si="28"/>
        <v>13959304.122529559</v>
      </c>
      <c r="BC36" s="71"/>
      <c r="BD36" s="10">
        <f t="shared" si="12"/>
        <v>24892454.389533587</v>
      </c>
      <c r="BE36" s="10">
        <f t="shared" si="29"/>
        <v>12991185.274459377</v>
      </c>
      <c r="BF36" s="71"/>
      <c r="BG36" s="11">
        <f t="shared" si="13"/>
        <v>7589594.6733652903</v>
      </c>
      <c r="BH36" s="10">
        <f t="shared" si="30"/>
        <v>3960952.5447677611</v>
      </c>
      <c r="BJ36" s="7" t="str">
        <f t="shared" si="31"/>
        <v/>
      </c>
      <c r="BK36" s="158" t="str">
        <f t="shared" si="32"/>
        <v/>
      </c>
      <c r="BL36" s="158" t="str">
        <f t="shared" si="14"/>
        <v/>
      </c>
      <c r="BM36" s="10"/>
      <c r="BN36" s="10" t="str">
        <f t="shared" si="33"/>
        <v/>
      </c>
      <c r="BO36" s="10" t="str">
        <f t="shared" si="34"/>
        <v/>
      </c>
      <c r="BQ36" s="10">
        <f t="shared" si="15"/>
        <v>4588488</v>
      </c>
      <c r="BR36" s="10">
        <f t="shared" si="35"/>
        <v>2394697.477589733</v>
      </c>
    </row>
    <row r="37" spans="3:70" x14ac:dyDescent="0.15">
      <c r="I37" s="38">
        <f t="shared" si="36"/>
        <v>2052</v>
      </c>
      <c r="J37" s="39"/>
      <c r="K37" s="39">
        <f t="shared" si="37"/>
        <v>23</v>
      </c>
      <c r="L37" s="39"/>
      <c r="M37" s="40">
        <f t="shared" si="0"/>
        <v>0.50669174842969467</v>
      </c>
      <c r="N37" s="39"/>
      <c r="O37" s="72">
        <f t="shared" si="16"/>
        <v>0</v>
      </c>
      <c r="P37" s="41" t="str">
        <f t="shared" si="1"/>
        <v>-</v>
      </c>
      <c r="Q37" s="39"/>
      <c r="R37" s="72">
        <f t="shared" si="17"/>
        <v>9750000</v>
      </c>
      <c r="S37" s="39"/>
      <c r="T37" s="72">
        <f t="shared" si="18"/>
        <v>9750000</v>
      </c>
      <c r="U37" s="39"/>
      <c r="V37" s="72">
        <f t="shared" si="2"/>
        <v>0</v>
      </c>
      <c r="W37" s="72">
        <f t="shared" si="19"/>
        <v>0</v>
      </c>
      <c r="X37" s="39"/>
      <c r="Y37" s="72">
        <f t="shared" si="3"/>
        <v>136500</v>
      </c>
      <c r="Z37" s="72">
        <f t="shared" si="20"/>
        <v>69163.423660653323</v>
      </c>
      <c r="AA37" s="39"/>
      <c r="AB37" s="72">
        <f t="shared" si="4"/>
        <v>0</v>
      </c>
      <c r="AC37" s="72">
        <f t="shared" si="21"/>
        <v>0</v>
      </c>
      <c r="AD37" s="39"/>
      <c r="AE37" s="72">
        <f t="shared" si="5"/>
        <v>0</v>
      </c>
      <c r="AF37" s="72">
        <f t="shared" si="22"/>
        <v>0</v>
      </c>
      <c r="AG37" s="39"/>
      <c r="AH37" s="72">
        <f t="shared" si="6"/>
        <v>0</v>
      </c>
      <c r="AI37" s="72">
        <f t="shared" si="23"/>
        <v>0</v>
      </c>
      <c r="AJ37" s="39"/>
      <c r="AK37" s="72">
        <f t="shared" si="24"/>
        <v>11850000</v>
      </c>
      <c r="AL37" s="72">
        <f t="shared" si="25"/>
        <v>6004297.2188918814</v>
      </c>
      <c r="AM37" s="39"/>
      <c r="AN37" s="72">
        <f t="shared" si="7"/>
        <v>0</v>
      </c>
      <c r="AO37" s="72">
        <f t="shared" si="26"/>
        <v>0</v>
      </c>
      <c r="AP37" s="39"/>
      <c r="AQ37" s="72">
        <f t="shared" si="8"/>
        <v>0</v>
      </c>
      <c r="AR37" s="72">
        <f t="shared" si="27"/>
        <v>0</v>
      </c>
      <c r="AS37" s="39"/>
      <c r="AT37" s="40">
        <f>IF($K37&lt;=$F$15,IF($F$40&lt;&gt;"",$F$40/1000,IF(ISERROR(VLOOKUP($F$3&amp;IF($G$4&lt;&gt;"",$G$4,"")&amp;IF($F$43&lt;&gt;"","_"&amp;$F$43,""),'表3）燃料価格'!$AF$9:$AG$25,2,0)),0,VLOOKUP($I37,'表3）燃料価格'!$A$6:$U$66,VLOOKUP($F$3&amp;IF($G$4&lt;&gt;"",$G$4,"")&amp;IF($F$43&lt;&gt;"","_"&amp;$F$43,""),'表3）燃料価格'!$AF$9:$AG$25,2,0)+VLOOKUP($F$41,'表3）燃料価格'!$AF$28:$AG$29,2,0),0)*IF($F$43="需要地価格",1,$F$8/$F$141))),"")</f>
        <v>63.196279708173371</v>
      </c>
      <c r="AU37" s="39"/>
      <c r="AV37" s="72">
        <f t="shared" si="9"/>
        <v>88025498.731666073</v>
      </c>
      <c r="AW37" s="72">
        <f t="shared" si="10"/>
        <v>44601793.85874375</v>
      </c>
      <c r="AX37" s="39"/>
      <c r="AY37" s="40">
        <f>IF(ISERROR(IF($K37&lt;=$F$15,VLOOKUP($I37,'表4）CO2価格'!$A$7:$E$67,VLOOKUP($F$48,'表4）CO2価格'!$H$10:$I$12,2,0),0)*$F$8/1000,"")),0,IF($K37&lt;=$F$15,VLOOKUP($I37,'表4）CO2価格'!$A$7:$E$67,VLOOKUP($F$48,'表4）CO2価格'!$H$10:$I$12,2,0),0)*$F$8/1000,""))</f>
        <v>7.1500080975609199</v>
      </c>
      <c r="AZ37" s="39"/>
      <c r="BA37" s="42">
        <f t="shared" si="11"/>
        <v>27248722.203802861</v>
      </c>
      <c r="BB37" s="72">
        <f t="shared" si="28"/>
        <v>13806702.695919914</v>
      </c>
      <c r="BC37" s="39"/>
      <c r="BD37" s="72">
        <f t="shared" si="12"/>
        <v>24977235.265110243</v>
      </c>
      <c r="BE37" s="72">
        <f t="shared" si="29"/>
        <v>12655759.007418538</v>
      </c>
      <c r="BF37" s="39"/>
      <c r="BG37" s="42">
        <f t="shared" si="13"/>
        <v>7731824.9253290594</v>
      </c>
      <c r="BH37" s="72">
        <f t="shared" si="30"/>
        <v>3917651.8899672744</v>
      </c>
      <c r="BI37" s="39"/>
      <c r="BJ37" s="40" t="str">
        <f t="shared" si="31"/>
        <v/>
      </c>
      <c r="BK37" s="157" t="str">
        <f t="shared" si="32"/>
        <v/>
      </c>
      <c r="BL37" s="157" t="str">
        <f t="shared" si="14"/>
        <v/>
      </c>
      <c r="BM37" s="72"/>
      <c r="BN37" s="72" t="str">
        <f t="shared" si="33"/>
        <v/>
      </c>
      <c r="BO37" s="72" t="str">
        <f t="shared" si="34"/>
        <v/>
      </c>
      <c r="BP37" s="39"/>
      <c r="BQ37" s="72">
        <f t="shared" si="15"/>
        <v>4588488</v>
      </c>
      <c r="BR37" s="72">
        <f t="shared" si="35"/>
        <v>2324949.0073686726</v>
      </c>
    </row>
    <row r="38" spans="3:70" x14ac:dyDescent="0.15">
      <c r="C38" s="89" t="s">
        <v>508</v>
      </c>
      <c r="D38" s="101"/>
      <c r="E38" s="101"/>
      <c r="F38" s="89"/>
      <c r="G38" s="101"/>
      <c r="I38" s="322">
        <f t="shared" si="36"/>
        <v>2053</v>
      </c>
      <c r="J38" s="71"/>
      <c r="K38" s="71">
        <f t="shared" si="37"/>
        <v>24</v>
      </c>
      <c r="L38" s="71"/>
      <c r="M38" s="7">
        <f t="shared" si="0"/>
        <v>0.49193373633950943</v>
      </c>
      <c r="N38" s="71"/>
      <c r="O38" s="10">
        <f t="shared" si="16"/>
        <v>0</v>
      </c>
      <c r="P38" s="29" t="str">
        <f t="shared" si="1"/>
        <v>-</v>
      </c>
      <c r="Q38" s="71"/>
      <c r="R38" s="10">
        <f t="shared" si="17"/>
        <v>9750000</v>
      </c>
      <c r="S38" s="71"/>
      <c r="T38" s="10">
        <f t="shared" si="18"/>
        <v>9750000</v>
      </c>
      <c r="U38" s="71"/>
      <c r="V38" s="10">
        <f t="shared" si="2"/>
        <v>0</v>
      </c>
      <c r="W38" s="10">
        <f t="shared" si="19"/>
        <v>0</v>
      </c>
      <c r="X38" s="71"/>
      <c r="Y38" s="10">
        <f t="shared" si="3"/>
        <v>136500</v>
      </c>
      <c r="Z38" s="10">
        <f t="shared" si="20"/>
        <v>67148.955010343037</v>
      </c>
      <c r="AA38" s="71"/>
      <c r="AB38" s="10">
        <f t="shared" si="4"/>
        <v>0</v>
      </c>
      <c r="AC38" s="10">
        <f t="shared" si="21"/>
        <v>0</v>
      </c>
      <c r="AD38" s="71"/>
      <c r="AE38" s="10">
        <f t="shared" si="5"/>
        <v>0</v>
      </c>
      <c r="AF38" s="10">
        <f t="shared" si="22"/>
        <v>0</v>
      </c>
      <c r="AG38" s="71"/>
      <c r="AH38" s="10">
        <f t="shared" si="6"/>
        <v>0</v>
      </c>
      <c r="AI38" s="10">
        <f t="shared" si="23"/>
        <v>0</v>
      </c>
      <c r="AJ38" s="71"/>
      <c r="AK38" s="10">
        <f t="shared" si="24"/>
        <v>11850000</v>
      </c>
      <c r="AL38" s="10">
        <f t="shared" si="25"/>
        <v>5829414.7756231865</v>
      </c>
      <c r="AM38" s="71"/>
      <c r="AN38" s="10">
        <f t="shared" si="7"/>
        <v>0</v>
      </c>
      <c r="AO38" s="10">
        <f t="shared" si="26"/>
        <v>0</v>
      </c>
      <c r="AP38" s="71"/>
      <c r="AQ38" s="10">
        <f t="shared" si="8"/>
        <v>0</v>
      </c>
      <c r="AR38" s="10">
        <f t="shared" si="27"/>
        <v>0</v>
      </c>
      <c r="AS38" s="71"/>
      <c r="AT38" s="7">
        <f>IF($K38&lt;=$F$15,IF($F$40&lt;&gt;"",$F$40/1000,IF(ISERROR(VLOOKUP($F$3&amp;IF($G$4&lt;&gt;"",$G$4,"")&amp;IF($F$43&lt;&gt;"","_"&amp;$F$43,""),'表3）燃料価格'!$AF$9:$AG$25,2,0)),0,VLOOKUP($I38,'表3）燃料価格'!$A$6:$U$66,VLOOKUP($F$3&amp;IF($G$4&lt;&gt;"",$G$4,"")&amp;IF($F$43&lt;&gt;"","_"&amp;$F$43,""),'表3）燃料価格'!$AF$9:$AG$25,2,0)+VLOOKUP($F$41,'表3）燃料価格'!$AF$28:$AG$29,2,0),0)*IF($F$43="需要地価格",1,$F$8/$F$141))),"")</f>
        <v>63.430342934888131</v>
      </c>
      <c r="AU38" s="71"/>
      <c r="AV38" s="10">
        <f t="shared" si="9"/>
        <v>88316524.366787553</v>
      </c>
      <c r="AW38" s="10">
        <f t="shared" si="10"/>
        <v>43445877.81227313</v>
      </c>
      <c r="AX38" s="71"/>
      <c r="AY38" s="7">
        <f>IF(ISERROR(IF($K38&lt;=$F$15,VLOOKUP($I38,'表4）CO2価格'!$A$7:$E$67,VLOOKUP($F$48,'表4）CO2価格'!$H$10:$I$12,2,0),0)*$F$8/1000,"")),0,IF($K38&lt;=$F$15,VLOOKUP($I38,'表4）CO2価格'!$A$7:$E$67,VLOOKUP($F$48,'表4）CO2価格'!$H$10:$I$12,2,0),0)*$F$8/1000,""))</f>
        <v>7.2814714966103056</v>
      </c>
      <c r="AZ38" s="71"/>
      <c r="BA38" s="11">
        <f t="shared" si="11"/>
        <v>27749729.97775019</v>
      </c>
      <c r="BB38" s="10">
        <f t="shared" si="28"/>
        <v>13651028.350367142</v>
      </c>
      <c r="BC38" s="71"/>
      <c r="BD38" s="10">
        <f t="shared" si="12"/>
        <v>25059813.789075963</v>
      </c>
      <c r="BE38" s="10">
        <f t="shared" si="29"/>
        <v>12327767.829232497</v>
      </c>
      <c r="BF38" s="71"/>
      <c r="BG38" s="11">
        <f t="shared" si="13"/>
        <v>7873985.8811866138</v>
      </c>
      <c r="BH38" s="10">
        <f t="shared" si="30"/>
        <v>3873479.2944166753</v>
      </c>
      <c r="BJ38" s="7" t="str">
        <f t="shared" si="31"/>
        <v/>
      </c>
      <c r="BK38" s="158" t="str">
        <f t="shared" si="32"/>
        <v/>
      </c>
      <c r="BL38" s="158" t="str">
        <f t="shared" si="14"/>
        <v/>
      </c>
      <c r="BM38" s="10"/>
      <c r="BN38" s="10" t="str">
        <f t="shared" si="33"/>
        <v/>
      </c>
      <c r="BO38" s="10" t="str">
        <f t="shared" si="34"/>
        <v/>
      </c>
      <c r="BQ38" s="10">
        <f t="shared" si="15"/>
        <v>4588488</v>
      </c>
      <c r="BR38" s="10">
        <f t="shared" si="35"/>
        <v>2257232.045989003</v>
      </c>
    </row>
    <row r="39" spans="3:70" x14ac:dyDescent="0.15">
      <c r="I39" s="38">
        <f t="shared" si="36"/>
        <v>2054</v>
      </c>
      <c r="J39" s="39"/>
      <c r="K39" s="39">
        <f t="shared" si="37"/>
        <v>25</v>
      </c>
      <c r="L39" s="39"/>
      <c r="M39" s="40">
        <f t="shared" si="0"/>
        <v>0.47760556926165965</v>
      </c>
      <c r="N39" s="39"/>
      <c r="O39" s="72">
        <f t="shared" si="16"/>
        <v>0</v>
      </c>
      <c r="P39" s="41" t="str">
        <f t="shared" si="1"/>
        <v>-</v>
      </c>
      <c r="Q39" s="39"/>
      <c r="R39" s="72">
        <f t="shared" si="17"/>
        <v>9750000</v>
      </c>
      <c r="S39" s="39"/>
      <c r="T39" s="72">
        <f t="shared" si="18"/>
        <v>9750000</v>
      </c>
      <c r="U39" s="39"/>
      <c r="V39" s="72">
        <f t="shared" si="2"/>
        <v>0</v>
      </c>
      <c r="W39" s="72">
        <f t="shared" si="19"/>
        <v>0</v>
      </c>
      <c r="X39" s="39"/>
      <c r="Y39" s="72">
        <f t="shared" si="3"/>
        <v>136500</v>
      </c>
      <c r="Z39" s="72">
        <f t="shared" si="20"/>
        <v>65193.16020421654</v>
      </c>
      <c r="AA39" s="39"/>
      <c r="AB39" s="72">
        <f t="shared" si="4"/>
        <v>0</v>
      </c>
      <c r="AC39" s="72">
        <f t="shared" si="21"/>
        <v>0</v>
      </c>
      <c r="AD39" s="39"/>
      <c r="AE39" s="72">
        <f t="shared" si="5"/>
        <v>0</v>
      </c>
      <c r="AF39" s="72">
        <f t="shared" si="22"/>
        <v>0</v>
      </c>
      <c r="AG39" s="39"/>
      <c r="AH39" s="72">
        <f t="shared" si="6"/>
        <v>0</v>
      </c>
      <c r="AI39" s="72">
        <f t="shared" si="23"/>
        <v>0</v>
      </c>
      <c r="AJ39" s="39"/>
      <c r="AK39" s="72">
        <f t="shared" si="24"/>
        <v>11850000</v>
      </c>
      <c r="AL39" s="72">
        <f t="shared" si="25"/>
        <v>5659625.9957506666</v>
      </c>
      <c r="AM39" s="39"/>
      <c r="AN39" s="72">
        <f t="shared" si="7"/>
        <v>0</v>
      </c>
      <c r="AO39" s="72">
        <f t="shared" si="26"/>
        <v>0</v>
      </c>
      <c r="AP39" s="39"/>
      <c r="AQ39" s="72">
        <f t="shared" si="8"/>
        <v>0</v>
      </c>
      <c r="AR39" s="72">
        <f t="shared" si="27"/>
        <v>0</v>
      </c>
      <c r="AS39" s="39"/>
      <c r="AT39" s="40">
        <f>IF($K39&lt;=$F$15,IF($F$40&lt;&gt;"",$F$40/1000,IF(ISERROR(VLOOKUP($F$3&amp;IF($G$4&lt;&gt;"",$G$4,"")&amp;IF($F$43&lt;&gt;"","_"&amp;$F$43,""),'表3）燃料価格'!$AF$9:$AG$25,2,0)),0,VLOOKUP($I39,'表3）燃料価格'!$A$6:$U$66,VLOOKUP($F$3&amp;IF($G$4&lt;&gt;"",$G$4,"")&amp;IF($F$43&lt;&gt;"","_"&amp;$F$43,""),'表3）燃料価格'!$AF$9:$AG$25,2,0)+VLOOKUP($F$41,'表3）燃料価格'!$AF$28:$AG$29,2,0),0)*IF($F$43="需要地価格",1,$F$8/$F$141))),"")</f>
        <v>63.658479869001667</v>
      </c>
      <c r="AU39" s="39"/>
      <c r="AV39" s="72">
        <f t="shared" si="9"/>
        <v>88600181.466952085</v>
      </c>
      <c r="AW39" s="72">
        <f t="shared" si="10"/>
        <v>42315940.106210001</v>
      </c>
      <c r="AX39" s="39"/>
      <c r="AY39" s="40">
        <f>IF(ISERROR(IF($K39&lt;=$F$15,VLOOKUP($I39,'表4）CO2価格'!$A$7:$E$67,VLOOKUP($F$48,'表4）CO2価格'!$H$10:$I$12,2,0),0)*$F$8/1000,"")),0,IF($K39&lt;=$F$15,VLOOKUP($I39,'表4）CO2価格'!$A$7:$E$67,VLOOKUP($F$48,'表4）CO2価格'!$H$10:$I$12,2,0),0)*$F$8/1000,""))</f>
        <v>7.4128708764708131</v>
      </c>
      <c r="AZ39" s="39"/>
      <c r="BA39" s="42">
        <f t="shared" si="11"/>
        <v>28250493.774198525</v>
      </c>
      <c r="BB39" s="72">
        <f t="shared" si="28"/>
        <v>13492593.160949059</v>
      </c>
      <c r="BC39" s="39"/>
      <c r="BD39" s="72">
        <f t="shared" si="12"/>
        <v>25140301.491247647</v>
      </c>
      <c r="BE39" s="72">
        <f t="shared" si="29"/>
        <v>12007148.005137082</v>
      </c>
      <c r="BF39" s="39"/>
      <c r="BG39" s="42">
        <f t="shared" si="13"/>
        <v>8016077.6084288293</v>
      </c>
      <c r="BH39" s="72">
        <f t="shared" si="30"/>
        <v>3828523.3094192944</v>
      </c>
      <c r="BI39" s="39"/>
      <c r="BJ39" s="40" t="str">
        <f t="shared" si="31"/>
        <v/>
      </c>
      <c r="BK39" s="157" t="str">
        <f t="shared" si="32"/>
        <v/>
      </c>
      <c r="BL39" s="157" t="str">
        <f t="shared" si="14"/>
        <v/>
      </c>
      <c r="BM39" s="72"/>
      <c r="BN39" s="72" t="str">
        <f t="shared" si="33"/>
        <v/>
      </c>
      <c r="BO39" s="72" t="str">
        <f t="shared" si="34"/>
        <v/>
      </c>
      <c r="BP39" s="39"/>
      <c r="BQ39" s="72">
        <f t="shared" si="15"/>
        <v>4588488</v>
      </c>
      <c r="BR39" s="72">
        <f t="shared" si="35"/>
        <v>2191487.4232902941</v>
      </c>
    </row>
    <row r="40" spans="3:70" x14ac:dyDescent="0.15">
      <c r="D40" s="81" t="s">
        <v>124</v>
      </c>
      <c r="F40" s="108"/>
      <c r="G40" s="82" t="s">
        <v>178</v>
      </c>
      <c r="I40" s="322">
        <f t="shared" si="36"/>
        <v>2055</v>
      </c>
      <c r="J40" s="71"/>
      <c r="K40" s="71">
        <f t="shared" si="37"/>
        <v>26</v>
      </c>
      <c r="L40" s="71"/>
      <c r="M40" s="7">
        <f t="shared" si="0"/>
        <v>0.46369472743850448</v>
      </c>
      <c r="N40" s="71"/>
      <c r="O40" s="10">
        <f t="shared" si="16"/>
        <v>0</v>
      </c>
      <c r="P40" s="29" t="str">
        <f t="shared" si="1"/>
        <v>-</v>
      </c>
      <c r="Q40" s="71"/>
      <c r="R40" s="10">
        <f t="shared" si="17"/>
        <v>9750000</v>
      </c>
      <c r="S40" s="71"/>
      <c r="T40" s="10">
        <f t="shared" si="18"/>
        <v>9750000</v>
      </c>
      <c r="U40" s="71"/>
      <c r="V40" s="10">
        <f t="shared" si="2"/>
        <v>0</v>
      </c>
      <c r="W40" s="10">
        <f t="shared" si="19"/>
        <v>0</v>
      </c>
      <c r="X40" s="71"/>
      <c r="Y40" s="10">
        <f t="shared" si="3"/>
        <v>136500</v>
      </c>
      <c r="Z40" s="10">
        <f t="shared" si="20"/>
        <v>63294.33029535586</v>
      </c>
      <c r="AA40" s="71"/>
      <c r="AB40" s="10">
        <f t="shared" si="4"/>
        <v>0</v>
      </c>
      <c r="AC40" s="10">
        <f t="shared" si="21"/>
        <v>0</v>
      </c>
      <c r="AD40" s="71"/>
      <c r="AE40" s="10">
        <f t="shared" si="5"/>
        <v>0</v>
      </c>
      <c r="AF40" s="10">
        <f t="shared" si="22"/>
        <v>0</v>
      </c>
      <c r="AG40" s="71"/>
      <c r="AH40" s="10">
        <f t="shared" si="6"/>
        <v>0</v>
      </c>
      <c r="AI40" s="10">
        <f t="shared" si="23"/>
        <v>0</v>
      </c>
      <c r="AJ40" s="71"/>
      <c r="AK40" s="10">
        <f t="shared" si="24"/>
        <v>11850000</v>
      </c>
      <c r="AL40" s="10">
        <f t="shared" si="25"/>
        <v>5494782.5201462777</v>
      </c>
      <c r="AM40" s="71"/>
      <c r="AN40" s="10">
        <f t="shared" si="7"/>
        <v>0</v>
      </c>
      <c r="AO40" s="10">
        <f t="shared" si="26"/>
        <v>0</v>
      </c>
      <c r="AP40" s="71"/>
      <c r="AQ40" s="10">
        <f t="shared" si="8"/>
        <v>0</v>
      </c>
      <c r="AR40" s="10">
        <f t="shared" si="27"/>
        <v>0</v>
      </c>
      <c r="AS40" s="71"/>
      <c r="AT40" s="7">
        <f>IF($K40&lt;=$F$15,IF($F$40&lt;&gt;"",$F$40/1000,IF(ISERROR(VLOOKUP($F$3&amp;IF($G$4&lt;&gt;"",$G$4,"")&amp;IF($F$43&lt;&gt;"","_"&amp;$F$43,""),'表3）燃料価格'!$AF$9:$AG$25,2,0)),0,VLOOKUP($I40,'表3）燃料価格'!$A$6:$U$66,VLOOKUP($F$3&amp;IF($G$4&lt;&gt;"",$G$4,"")&amp;IF($F$43&lt;&gt;"","_"&amp;$F$43,""),'表3）燃料価格'!$AF$9:$AG$25,2,0)+VLOOKUP($F$41,'表3）燃料価格'!$AF$28:$AG$29,2,0),0)*IF($F$43="需要地価格",1,$F$8/$F$141))),"")</f>
        <v>63.880983212700151</v>
      </c>
      <c r="AU40" s="71"/>
      <c r="AV40" s="10">
        <f t="shared" si="9"/>
        <v>88876833.967327207</v>
      </c>
      <c r="AW40" s="10">
        <f t="shared" si="10"/>
        <v>41211719.302077003</v>
      </c>
      <c r="AX40" s="71"/>
      <c r="AY40" s="7">
        <f>IF(ISERROR(IF($K40&lt;=$F$15,VLOOKUP($I40,'表4）CO2価格'!$A$7:$E$67,VLOOKUP($F$48,'表4）CO2価格'!$H$10:$I$12,2,0),0)*$F$8/1000,"")),0,IF($K40&lt;=$F$15,VLOOKUP($I40,'表4）CO2価格'!$A$7:$E$67,VLOOKUP($F$48,'表4）CO2価格'!$H$10:$I$12,2,0),0)*$F$8/1000,""))</f>
        <v>7.5442062994635668</v>
      </c>
      <c r="AZ40" s="71"/>
      <c r="BA40" s="11">
        <f t="shared" si="11"/>
        <v>28751013.830654029</v>
      </c>
      <c r="BB40" s="10">
        <f t="shared" si="28"/>
        <v>13331693.521785792</v>
      </c>
      <c r="BC40" s="71"/>
      <c r="BD40" s="10">
        <f t="shared" si="12"/>
        <v>25218801.638229091</v>
      </c>
      <c r="BE40" s="10">
        <f t="shared" si="29"/>
        <v>11693825.351964349</v>
      </c>
      <c r="BF40" s="71"/>
      <c r="BG40" s="11">
        <f t="shared" si="13"/>
        <v>8158100.1744480776</v>
      </c>
      <c r="BH40" s="10">
        <f t="shared" si="30"/>
        <v>3782868.036806717</v>
      </c>
      <c r="BJ40" s="7" t="str">
        <f t="shared" si="31"/>
        <v/>
      </c>
      <c r="BK40" s="158" t="str">
        <f t="shared" si="32"/>
        <v/>
      </c>
      <c r="BL40" s="158" t="str">
        <f t="shared" si="14"/>
        <v/>
      </c>
      <c r="BM40" s="10"/>
      <c r="BN40" s="10" t="str">
        <f t="shared" si="33"/>
        <v/>
      </c>
      <c r="BO40" s="10" t="str">
        <f t="shared" si="34"/>
        <v/>
      </c>
      <c r="BQ40" s="10">
        <f t="shared" si="15"/>
        <v>4588488</v>
      </c>
      <c r="BR40" s="10">
        <f t="shared" si="35"/>
        <v>2127657.6925148484</v>
      </c>
    </row>
    <row r="41" spans="3:70" x14ac:dyDescent="0.15">
      <c r="D41" s="81" t="s">
        <v>179</v>
      </c>
      <c r="F41" s="88" t="str">
        <f>まとめ!B4</f>
        <v>WEO2020　STEPS</v>
      </c>
      <c r="I41" s="38">
        <f t="shared" si="36"/>
        <v>2056</v>
      </c>
      <c r="J41" s="39"/>
      <c r="K41" s="39">
        <f t="shared" si="37"/>
        <v>27</v>
      </c>
      <c r="L41" s="39"/>
      <c r="M41" s="40">
        <f t="shared" si="0"/>
        <v>0.45018905576553836</v>
      </c>
      <c r="N41" s="39"/>
      <c r="O41" s="72">
        <f t="shared" si="16"/>
        <v>0</v>
      </c>
      <c r="P41" s="41" t="str">
        <f t="shared" si="1"/>
        <v>-</v>
      </c>
      <c r="Q41" s="39"/>
      <c r="R41" s="72">
        <f t="shared" si="17"/>
        <v>9750000</v>
      </c>
      <c r="S41" s="39"/>
      <c r="T41" s="72">
        <f t="shared" si="18"/>
        <v>9750000</v>
      </c>
      <c r="U41" s="39"/>
      <c r="V41" s="72">
        <f t="shared" si="2"/>
        <v>0</v>
      </c>
      <c r="W41" s="72">
        <f t="shared" si="19"/>
        <v>0</v>
      </c>
      <c r="X41" s="39"/>
      <c r="Y41" s="72">
        <f t="shared" si="3"/>
        <v>136500</v>
      </c>
      <c r="Z41" s="72">
        <f t="shared" si="20"/>
        <v>61450.806111995989</v>
      </c>
      <c r="AA41" s="39"/>
      <c r="AB41" s="72">
        <f t="shared" si="4"/>
        <v>0</v>
      </c>
      <c r="AC41" s="72">
        <f t="shared" si="21"/>
        <v>0</v>
      </c>
      <c r="AD41" s="39"/>
      <c r="AE41" s="72">
        <f t="shared" si="5"/>
        <v>0</v>
      </c>
      <c r="AF41" s="72">
        <f t="shared" si="22"/>
        <v>0</v>
      </c>
      <c r="AG41" s="39"/>
      <c r="AH41" s="72">
        <f t="shared" si="6"/>
        <v>0</v>
      </c>
      <c r="AI41" s="72">
        <f t="shared" si="23"/>
        <v>0</v>
      </c>
      <c r="AJ41" s="39"/>
      <c r="AK41" s="72">
        <f t="shared" si="24"/>
        <v>11850000</v>
      </c>
      <c r="AL41" s="72">
        <f t="shared" si="25"/>
        <v>5334740.3108216291</v>
      </c>
      <c r="AM41" s="39"/>
      <c r="AN41" s="72">
        <f t="shared" si="7"/>
        <v>0</v>
      </c>
      <c r="AO41" s="72">
        <f t="shared" si="26"/>
        <v>0</v>
      </c>
      <c r="AP41" s="39"/>
      <c r="AQ41" s="72">
        <f t="shared" si="8"/>
        <v>0</v>
      </c>
      <c r="AR41" s="72">
        <f t="shared" si="27"/>
        <v>0</v>
      </c>
      <c r="AS41" s="39"/>
      <c r="AT41" s="40">
        <f>IF($K41&lt;=$F$15,IF($F$40&lt;&gt;"",$F$40/1000,IF(ISERROR(VLOOKUP($F$3&amp;IF($G$4&lt;&gt;"",$G$4,"")&amp;IF($F$43&lt;&gt;"","_"&amp;$F$43,""),'表3）燃料価格'!$AF$9:$AG$25,2,0)),0,VLOOKUP($I41,'表3）燃料価格'!$A$6:$U$66,VLOOKUP($F$3&amp;IF($G$4&lt;&gt;"",$G$4,"")&amp;IF($F$43&lt;&gt;"","_"&amp;$F$43,""),'表3）燃料価格'!$AF$9:$AG$25,2,0)+VLOOKUP($F$41,'表3）燃料価格'!$AF$28:$AG$29,2,0),0)*IF($F$43="需要地価格",1,$F$8/$F$141))),"")</f>
        <v>64.098124504722776</v>
      </c>
      <c r="AU41" s="39"/>
      <c r="AV41" s="72">
        <f t="shared" si="9"/>
        <v>89146819.489226356</v>
      </c>
      <c r="AW41" s="72">
        <f t="shared" si="10"/>
        <v>40132922.490355708</v>
      </c>
      <c r="AX41" s="39"/>
      <c r="AY41" s="40">
        <f>IF(ISERROR(IF($K41&lt;=$F$15,VLOOKUP($I41,'表4）CO2価格'!$A$7:$E$67,VLOOKUP($F$48,'表4）CO2価格'!$H$10:$I$12,2,0),0)*$F$8/1000,"")),0,IF($K41&lt;=$F$15,VLOOKUP($I41,'表4）CO2価格'!$A$7:$E$67,VLOOKUP($F$48,'表4）CO2価格'!$H$10:$I$12,2,0),0)*$F$8/1000,""))</f>
        <v>7.675477827818213</v>
      </c>
      <c r="AZ41" s="39"/>
      <c r="BA41" s="42">
        <f t="shared" si="11"/>
        <v>29251290.384274241</v>
      </c>
      <c r="BB41" s="72">
        <f t="shared" si="28"/>
        <v>13168610.798019992</v>
      </c>
      <c r="BC41" s="39"/>
      <c r="BD41" s="72">
        <f t="shared" si="12"/>
        <v>25295410.030067973</v>
      </c>
      <c r="BE41" s="72">
        <f t="shared" si="29"/>
        <v>11387716.756638428</v>
      </c>
      <c r="BF41" s="39"/>
      <c r="BG41" s="42">
        <f t="shared" si="13"/>
        <v>8300053.6465378124</v>
      </c>
      <c r="BH41" s="72">
        <f t="shared" si="30"/>
        <v>3736593.3139381711</v>
      </c>
      <c r="BI41" s="39"/>
      <c r="BJ41" s="40" t="str">
        <f t="shared" si="31"/>
        <v/>
      </c>
      <c r="BK41" s="157" t="str">
        <f t="shared" si="32"/>
        <v/>
      </c>
      <c r="BL41" s="157" t="str">
        <f t="shared" si="14"/>
        <v/>
      </c>
      <c r="BM41" s="72"/>
      <c r="BN41" s="72" t="str">
        <f t="shared" si="33"/>
        <v/>
      </c>
      <c r="BO41" s="72" t="str">
        <f t="shared" si="34"/>
        <v/>
      </c>
      <c r="BP41" s="39"/>
      <c r="BQ41" s="72">
        <f t="shared" si="15"/>
        <v>4588488</v>
      </c>
      <c r="BR41" s="72">
        <f t="shared" si="35"/>
        <v>2065687.0801115036</v>
      </c>
    </row>
    <row r="42" spans="3:70" x14ac:dyDescent="0.15">
      <c r="D42" s="81" t="s">
        <v>180</v>
      </c>
      <c r="F42" s="59">
        <f>IF($F$43="需要地価格",0,7600)</f>
        <v>7600</v>
      </c>
      <c r="G42" s="81" t="s">
        <v>181</v>
      </c>
      <c r="I42" s="322">
        <f t="shared" si="36"/>
        <v>2057</v>
      </c>
      <c r="J42" s="71"/>
      <c r="K42" s="71">
        <f t="shared" si="37"/>
        <v>28</v>
      </c>
      <c r="L42" s="71"/>
      <c r="M42" s="7">
        <f t="shared" si="0"/>
        <v>0.4370767531704256</v>
      </c>
      <c r="N42" s="71"/>
      <c r="O42" s="10">
        <f t="shared" si="16"/>
        <v>0</v>
      </c>
      <c r="P42" s="29" t="str">
        <f t="shared" si="1"/>
        <v>-</v>
      </c>
      <c r="Q42" s="71"/>
      <c r="R42" s="10">
        <f t="shared" si="17"/>
        <v>9750000</v>
      </c>
      <c r="S42" s="71"/>
      <c r="T42" s="10">
        <f t="shared" si="18"/>
        <v>9750000</v>
      </c>
      <c r="U42" s="71"/>
      <c r="V42" s="10">
        <f t="shared" si="2"/>
        <v>0</v>
      </c>
      <c r="W42" s="10">
        <f t="shared" si="19"/>
        <v>0</v>
      </c>
      <c r="X42" s="71"/>
      <c r="Y42" s="10">
        <f t="shared" si="3"/>
        <v>136500</v>
      </c>
      <c r="Z42" s="10">
        <f t="shared" si="20"/>
        <v>59660.976807763094</v>
      </c>
      <c r="AA42" s="71"/>
      <c r="AB42" s="10">
        <f t="shared" si="4"/>
        <v>0</v>
      </c>
      <c r="AC42" s="10">
        <f t="shared" si="21"/>
        <v>0</v>
      </c>
      <c r="AD42" s="71"/>
      <c r="AE42" s="10">
        <f t="shared" si="5"/>
        <v>0</v>
      </c>
      <c r="AF42" s="10">
        <f t="shared" si="22"/>
        <v>0</v>
      </c>
      <c r="AG42" s="71"/>
      <c r="AH42" s="10">
        <f t="shared" si="6"/>
        <v>0</v>
      </c>
      <c r="AI42" s="10">
        <f t="shared" si="23"/>
        <v>0</v>
      </c>
      <c r="AJ42" s="71"/>
      <c r="AK42" s="10">
        <f t="shared" si="24"/>
        <v>11850000</v>
      </c>
      <c r="AL42" s="10">
        <f t="shared" si="25"/>
        <v>5179359.5250695432</v>
      </c>
      <c r="AM42" s="71"/>
      <c r="AN42" s="10">
        <f t="shared" si="7"/>
        <v>0</v>
      </c>
      <c r="AO42" s="10">
        <f t="shared" si="26"/>
        <v>0</v>
      </c>
      <c r="AP42" s="71"/>
      <c r="AQ42" s="10">
        <f t="shared" si="8"/>
        <v>0</v>
      </c>
      <c r="AR42" s="10">
        <f t="shared" si="27"/>
        <v>0</v>
      </c>
      <c r="AS42" s="71"/>
      <c r="AT42" s="7">
        <f>IF($K42&lt;=$F$15,IF($F$40&lt;&gt;"",$F$40/1000,IF(ISERROR(VLOOKUP($F$3&amp;IF($G$4&lt;&gt;"",$G$4,"")&amp;IF($F$43&lt;&gt;"","_"&amp;$F$43,""),'表3）燃料価格'!$AF$9:$AG$25,2,0)),0,VLOOKUP($I42,'表3）燃料価格'!$A$6:$U$66,VLOOKUP($F$3&amp;IF($G$4&lt;&gt;"",$G$4,"")&amp;IF($F$43&lt;&gt;"","_"&amp;$F$43,""),'表3）燃料価格'!$AF$9:$AG$25,2,0)+VLOOKUP($F$41,'表3）燃料価格'!$AF$28:$AG$29,2,0),0)*IF($F$43="需要地価格",1,$F$8/$F$141))),"")</f>
        <v>64.310156112698436</v>
      </c>
      <c r="AU42" s="71"/>
      <c r="AV42" s="10">
        <f t="shared" si="9"/>
        <v>89410451.817307293</v>
      </c>
      <c r="AW42" s="10">
        <f t="shared" si="10"/>
        <v>39079229.979809448</v>
      </c>
      <c r="AX42" s="71"/>
      <c r="AY42" s="7">
        <f>IF(ISERROR(IF($K42&lt;=$F$15,VLOOKUP($I42,'表4）CO2価格'!$A$7:$E$67,VLOOKUP($F$48,'表4）CO2価格'!$H$10:$I$12,2,0),0)*$F$8/1000,"")),0,IF($K42&lt;=$F$15,VLOOKUP($I42,'表4）CO2価格'!$A$7:$E$67,VLOOKUP($F$48,'表4）CO2価格'!$H$10:$I$12,2,0),0)*$F$8/1000,""))</f>
        <v>7.8066855236744779</v>
      </c>
      <c r="AZ42" s="71"/>
      <c r="BA42" s="11">
        <f t="shared" si="11"/>
        <v>29751323.671874017</v>
      </c>
      <c r="BB42" s="10">
        <f t="shared" si="28"/>
        <v>13003611.953025119</v>
      </c>
      <c r="BC42" s="71"/>
      <c r="BD42" s="10">
        <f t="shared" si="12"/>
        <v>25370215.703160938</v>
      </c>
      <c r="BE42" s="10">
        <f t="shared" si="29"/>
        <v>11088731.506770929</v>
      </c>
      <c r="BF42" s="71"/>
      <c r="BG42" s="11">
        <f t="shared" si="13"/>
        <v>8441938.0918942504</v>
      </c>
      <c r="BH42" s="10">
        <f t="shared" si="30"/>
        <v>3689774.8916708771</v>
      </c>
      <c r="BJ42" s="7" t="str">
        <f t="shared" si="31"/>
        <v/>
      </c>
      <c r="BK42" s="158" t="str">
        <f t="shared" si="32"/>
        <v/>
      </c>
      <c r="BL42" s="158" t="str">
        <f t="shared" si="14"/>
        <v/>
      </c>
      <c r="BM42" s="10"/>
      <c r="BN42" s="10" t="str">
        <f t="shared" si="33"/>
        <v/>
      </c>
      <c r="BO42" s="10" t="str">
        <f t="shared" si="34"/>
        <v/>
      </c>
      <c r="BQ42" s="10">
        <f t="shared" si="15"/>
        <v>4588488</v>
      </c>
      <c r="BR42" s="10">
        <f t="shared" si="35"/>
        <v>2005521.4370014598</v>
      </c>
    </row>
    <row r="43" spans="3:70" x14ac:dyDescent="0.15">
      <c r="D43" s="82" t="s">
        <v>126</v>
      </c>
      <c r="F43" s="88" t="str">
        <f>まとめ!B8</f>
        <v>CIF価格</v>
      </c>
      <c r="I43" s="38">
        <f t="shared" si="36"/>
        <v>2058</v>
      </c>
      <c r="J43" s="39"/>
      <c r="K43" s="39">
        <f t="shared" si="37"/>
        <v>29</v>
      </c>
      <c r="L43" s="39"/>
      <c r="M43" s="40">
        <f t="shared" si="0"/>
        <v>0.42434636230138412</v>
      </c>
      <c r="N43" s="39"/>
      <c r="O43" s="72">
        <f t="shared" si="16"/>
        <v>0</v>
      </c>
      <c r="P43" s="41" t="str">
        <f t="shared" si="1"/>
        <v>-</v>
      </c>
      <c r="Q43" s="39"/>
      <c r="R43" s="72">
        <f t="shared" si="17"/>
        <v>9750000</v>
      </c>
      <c r="S43" s="39"/>
      <c r="T43" s="72">
        <f t="shared" si="18"/>
        <v>9750000</v>
      </c>
      <c r="U43" s="39"/>
      <c r="V43" s="72">
        <f t="shared" si="2"/>
        <v>0</v>
      </c>
      <c r="W43" s="72">
        <f t="shared" si="19"/>
        <v>0</v>
      </c>
      <c r="X43" s="39"/>
      <c r="Y43" s="72">
        <f t="shared" si="3"/>
        <v>136500</v>
      </c>
      <c r="Z43" s="72">
        <f t="shared" si="20"/>
        <v>57923.278454138934</v>
      </c>
      <c r="AA43" s="39"/>
      <c r="AB43" s="72">
        <f t="shared" si="4"/>
        <v>0</v>
      </c>
      <c r="AC43" s="72">
        <f t="shared" si="21"/>
        <v>0</v>
      </c>
      <c r="AD43" s="39"/>
      <c r="AE43" s="72">
        <f t="shared" si="5"/>
        <v>0</v>
      </c>
      <c r="AF43" s="72">
        <f t="shared" si="22"/>
        <v>0</v>
      </c>
      <c r="AG43" s="39"/>
      <c r="AH43" s="72">
        <f t="shared" si="6"/>
        <v>0</v>
      </c>
      <c r="AI43" s="72">
        <f t="shared" si="23"/>
        <v>0</v>
      </c>
      <c r="AJ43" s="39"/>
      <c r="AK43" s="72">
        <f t="shared" si="24"/>
        <v>11850000</v>
      </c>
      <c r="AL43" s="72">
        <f t="shared" si="25"/>
        <v>5028504.3932714015</v>
      </c>
      <c r="AM43" s="39"/>
      <c r="AN43" s="72">
        <f t="shared" si="7"/>
        <v>0</v>
      </c>
      <c r="AO43" s="72">
        <f t="shared" si="26"/>
        <v>0</v>
      </c>
      <c r="AP43" s="39"/>
      <c r="AQ43" s="72">
        <f t="shared" si="8"/>
        <v>0</v>
      </c>
      <c r="AR43" s="72">
        <f t="shared" si="27"/>
        <v>0</v>
      </c>
      <c r="AS43" s="39"/>
      <c r="AT43" s="40">
        <f>IF($K43&lt;=$F$15,IF($F$40&lt;&gt;"",$F$40/1000,IF(ISERROR(VLOOKUP($F$3&amp;IF($G$4&lt;&gt;"",$G$4,"")&amp;IF($F$43&lt;&gt;"","_"&amp;$F$43,""),'表3）燃料価格'!$AF$9:$AG$25,2,0)),0,VLOOKUP($I43,'表3）燃料価格'!$A$6:$U$66,VLOOKUP($F$3&amp;IF($G$4&lt;&gt;"",$G$4,"")&amp;IF($F$43&lt;&gt;"","_"&amp;$F$43,""),'表3）燃料価格'!$AF$9:$AG$25,2,0)+VLOOKUP($F$41,'表3）燃料価格'!$AF$28:$AG$29,2,0),0)*IF($F$43="需要地価格",1,$F$8/$F$141))),"")</f>
        <v>64.517312996413821</v>
      </c>
      <c r="AU43" s="39"/>
      <c r="AV43" s="72">
        <f t="shared" si="9"/>
        <v>89668023.091954917</v>
      </c>
      <c r="AW43" s="72">
        <f t="shared" si="10"/>
        <v>38050299.413827576</v>
      </c>
      <c r="AX43" s="39"/>
      <c r="AY43" s="40">
        <f>IF(ISERROR(IF($K43&lt;=$F$15,VLOOKUP($I43,'表4）CO2価格'!$A$7:$E$67,VLOOKUP($F$48,'表4）CO2価格'!$H$10:$I$12,2,0),0)*$F$8/1000,"")),0,IF($K43&lt;=$F$15,VLOOKUP($I43,'表4）CO2価格'!$A$7:$E$67,VLOOKUP($F$48,'表4）CO2価格'!$H$10:$I$12,2,0),0)*$F$8/1000,""))</f>
        <v>7.9378294490802217</v>
      </c>
      <c r="AZ43" s="39"/>
      <c r="BA43" s="42">
        <f t="shared" si="11"/>
        <v>30251113.929918114</v>
      </c>
      <c r="BB43" s="72">
        <f t="shared" si="28"/>
        <v>12836950.15172548</v>
      </c>
      <c r="BC43" s="39"/>
      <c r="BD43" s="72">
        <f t="shared" si="12"/>
        <v>25443301.552342203</v>
      </c>
      <c r="BE43" s="72">
        <f t="shared" si="29"/>
        <v>10796772.458673574</v>
      </c>
      <c r="BF43" s="39"/>
      <c r="BG43" s="42">
        <f t="shared" si="13"/>
        <v>8583753.5776142627</v>
      </c>
      <c r="BH43" s="72">
        <f t="shared" si="30"/>
        <v>3642484.6055521038</v>
      </c>
      <c r="BI43" s="39"/>
      <c r="BJ43" s="40" t="str">
        <f t="shared" si="31"/>
        <v/>
      </c>
      <c r="BK43" s="157" t="str">
        <f t="shared" si="32"/>
        <v/>
      </c>
      <c r="BL43" s="157" t="str">
        <f t="shared" si="14"/>
        <v/>
      </c>
      <c r="BM43" s="72"/>
      <c r="BN43" s="72" t="str">
        <f t="shared" si="33"/>
        <v/>
      </c>
      <c r="BO43" s="72" t="str">
        <f t="shared" si="34"/>
        <v/>
      </c>
      <c r="BP43" s="39"/>
      <c r="BQ43" s="72">
        <f t="shared" si="15"/>
        <v>4588488</v>
      </c>
      <c r="BR43" s="72">
        <f t="shared" si="35"/>
        <v>1947108.1912635535</v>
      </c>
    </row>
    <row r="44" spans="3:70" x14ac:dyDescent="0.15">
      <c r="I44" s="322">
        <f t="shared" si="36"/>
        <v>2059</v>
      </c>
      <c r="J44" s="71"/>
      <c r="K44" s="71">
        <f t="shared" si="37"/>
        <v>30</v>
      </c>
      <c r="L44" s="71"/>
      <c r="M44" s="7">
        <f t="shared" si="0"/>
        <v>0.41198675951590691</v>
      </c>
      <c r="N44" s="71"/>
      <c r="O44" s="10">
        <f t="shared" si="16"/>
        <v>0</v>
      </c>
      <c r="P44" s="29" t="str">
        <f t="shared" si="1"/>
        <v>-</v>
      </c>
      <c r="Q44" s="71"/>
      <c r="R44" s="10">
        <f t="shared" si="17"/>
        <v>9750000</v>
      </c>
      <c r="S44" s="71"/>
      <c r="T44" s="10">
        <f t="shared" si="18"/>
        <v>9750000</v>
      </c>
      <c r="U44" s="71"/>
      <c r="V44" s="10">
        <f t="shared" si="2"/>
        <v>0</v>
      </c>
      <c r="W44" s="10">
        <f t="shared" si="19"/>
        <v>0</v>
      </c>
      <c r="X44" s="71"/>
      <c r="Y44" s="10">
        <f t="shared" si="3"/>
        <v>136500</v>
      </c>
      <c r="Z44" s="10">
        <f t="shared" si="20"/>
        <v>56236.192673921294</v>
      </c>
      <c r="AA44" s="71"/>
      <c r="AB44" s="10">
        <f t="shared" si="4"/>
        <v>0</v>
      </c>
      <c r="AC44" s="10">
        <f t="shared" si="21"/>
        <v>0</v>
      </c>
      <c r="AD44" s="71"/>
      <c r="AE44" s="10">
        <f t="shared" si="5"/>
        <v>0</v>
      </c>
      <c r="AF44" s="10">
        <f t="shared" si="22"/>
        <v>0</v>
      </c>
      <c r="AG44" s="71"/>
      <c r="AH44" s="10">
        <f t="shared" si="6"/>
        <v>0</v>
      </c>
      <c r="AI44" s="10">
        <f t="shared" si="23"/>
        <v>0</v>
      </c>
      <c r="AJ44" s="71"/>
      <c r="AK44" s="10">
        <f t="shared" si="24"/>
        <v>11850000</v>
      </c>
      <c r="AL44" s="10">
        <f t="shared" si="25"/>
        <v>4882043.1002634969</v>
      </c>
      <c r="AM44" s="71"/>
      <c r="AN44" s="10">
        <f t="shared" si="7"/>
        <v>0</v>
      </c>
      <c r="AO44" s="10">
        <f t="shared" si="26"/>
        <v>0</v>
      </c>
      <c r="AP44" s="71"/>
      <c r="AQ44" s="10">
        <f t="shared" si="8"/>
        <v>0</v>
      </c>
      <c r="AR44" s="10">
        <f t="shared" si="27"/>
        <v>0</v>
      </c>
      <c r="AS44" s="71"/>
      <c r="AT44" s="7">
        <f>IF($K44&lt;=$F$15,IF($F$40&lt;&gt;"",$F$40/1000,IF(ISERROR(VLOOKUP($F$3&amp;IF($G$4&lt;&gt;"",$G$4,"")&amp;IF($F$43&lt;&gt;"","_"&amp;$F$43,""),'表3）燃料価格'!$AF$9:$AG$25,2,0)),0,VLOOKUP($I44,'表3）燃料価格'!$A$6:$U$66,VLOOKUP($F$3&amp;IF($G$4&lt;&gt;"",$G$4,"")&amp;IF($F$43&lt;&gt;"","_"&amp;$F$43,""),'表3）燃料価格'!$AF$9:$AG$25,2,0)+VLOOKUP($F$41,'表3）燃料価格'!$AF$28:$AG$29,2,0),0)*IF($F$43="需要地価格",1,$F$8/$F$141))),"")</f>
        <v>64.719814272908408</v>
      </c>
      <c r="AU44" s="71"/>
      <c r="AV44" s="10">
        <f t="shared" si="9"/>
        <v>89919805.755263105</v>
      </c>
      <c r="AW44" s="10">
        <f t="shared" si="10"/>
        <v>37045769.389410645</v>
      </c>
      <c r="AX44" s="71"/>
      <c r="AY44" s="7">
        <f>IF(ISERROR(IF($K44&lt;=$F$15,VLOOKUP($I44,'表4）CO2価格'!$A$7:$E$67,VLOOKUP($F$48,'表4）CO2価格'!$H$10:$I$12,2,0),0)*$F$8/1000,"")),0,IF($K44&lt;=$F$15,VLOOKUP($I44,'表4）CO2価格'!$A$7:$E$67,VLOOKUP($F$48,'表4）CO2価格'!$H$10:$I$12,2,0),0)*$F$8/1000,""))</f>
        <v>8.0689096659945534</v>
      </c>
      <c r="AZ44" s="71"/>
      <c r="BA44" s="11">
        <f t="shared" si="11"/>
        <v>30750661.394533053</v>
      </c>
      <c r="BB44" s="10">
        <f t="shared" si="28"/>
        <v>12668865.340904571</v>
      </c>
      <c r="BC44" s="71"/>
      <c r="BD44" s="10">
        <f t="shared" si="12"/>
        <v>25514744.883055899</v>
      </c>
      <c r="BE44" s="10">
        <f t="shared" si="29"/>
        <v>10511737.064245267</v>
      </c>
      <c r="BF44" s="71"/>
      <c r="BG44" s="11">
        <f t="shared" si="13"/>
        <v>8725500.1706987508</v>
      </c>
      <c r="BH44" s="10">
        <f t="shared" si="30"/>
        <v>3594790.5404816708</v>
      </c>
      <c r="BJ44" s="7" t="str">
        <f t="shared" si="31"/>
        <v/>
      </c>
      <c r="BK44" s="158" t="str">
        <f t="shared" si="32"/>
        <v/>
      </c>
      <c r="BL44" s="158" t="str">
        <f t="shared" si="14"/>
        <v/>
      </c>
      <c r="BM44" s="10"/>
      <c r="BN44" s="10" t="str">
        <f t="shared" si="33"/>
        <v/>
      </c>
      <c r="BO44" s="10" t="str">
        <f t="shared" si="34"/>
        <v/>
      </c>
      <c r="BQ44" s="10">
        <f t="shared" si="15"/>
        <v>4588488</v>
      </c>
      <c r="BR44" s="10">
        <f t="shared" si="35"/>
        <v>1890396.3021976247</v>
      </c>
    </row>
    <row r="45" spans="3:70" x14ac:dyDescent="0.15">
      <c r="C45" s="89" t="s">
        <v>509</v>
      </c>
      <c r="D45" s="101"/>
      <c r="E45" s="101"/>
      <c r="F45" s="89"/>
      <c r="G45" s="101"/>
      <c r="I45" s="38">
        <f t="shared" si="36"/>
        <v>2060</v>
      </c>
      <c r="J45" s="39"/>
      <c r="K45" s="39">
        <f t="shared" si="37"/>
        <v>31</v>
      </c>
      <c r="L45" s="39"/>
      <c r="M45" s="40">
        <f t="shared" si="0"/>
        <v>0.39998714516107459</v>
      </c>
      <c r="N45" s="39"/>
      <c r="O45" s="72" t="str">
        <f t="shared" si="16"/>
        <v/>
      </c>
      <c r="P45" s="41" t="str">
        <f t="shared" si="1"/>
        <v/>
      </c>
      <c r="Q45" s="39"/>
      <c r="R45" s="72" t="str">
        <f t="shared" si="17"/>
        <v/>
      </c>
      <c r="S45" s="39"/>
      <c r="T45" s="72" t="str">
        <f t="shared" si="18"/>
        <v/>
      </c>
      <c r="U45" s="39"/>
      <c r="V45" s="72" t="str">
        <f t="shared" si="2"/>
        <v/>
      </c>
      <c r="W45" s="72" t="str">
        <f t="shared" si="19"/>
        <v/>
      </c>
      <c r="X45" s="39"/>
      <c r="Y45" s="72" t="str">
        <f t="shared" si="3"/>
        <v/>
      </c>
      <c r="Z45" s="72" t="str">
        <f t="shared" si="20"/>
        <v/>
      </c>
      <c r="AA45" s="39"/>
      <c r="AB45" s="72">
        <f t="shared" si="4"/>
        <v>9750000</v>
      </c>
      <c r="AC45" s="72">
        <f t="shared" si="21"/>
        <v>3899874.6653204774</v>
      </c>
      <c r="AD45" s="39"/>
      <c r="AE45" s="72" t="str">
        <f t="shared" si="5"/>
        <v/>
      </c>
      <c r="AF45" s="72" t="str">
        <f t="shared" si="22"/>
        <v/>
      </c>
      <c r="AG45" s="39"/>
      <c r="AH45" s="72" t="str">
        <f t="shared" si="6"/>
        <v/>
      </c>
      <c r="AI45" s="72" t="str">
        <f t="shared" si="23"/>
        <v/>
      </c>
      <c r="AJ45" s="39"/>
      <c r="AK45" s="72" t="str">
        <f t="shared" si="24"/>
        <v/>
      </c>
      <c r="AL45" s="72" t="str">
        <f t="shared" si="25"/>
        <v/>
      </c>
      <c r="AM45" s="39"/>
      <c r="AN45" s="72" t="str">
        <f t="shared" si="7"/>
        <v/>
      </c>
      <c r="AO45" s="72" t="str">
        <f t="shared" si="26"/>
        <v/>
      </c>
      <c r="AP45" s="39"/>
      <c r="AQ45" s="72" t="str">
        <f t="shared" si="8"/>
        <v/>
      </c>
      <c r="AR45" s="72" t="str">
        <f t="shared" si="27"/>
        <v/>
      </c>
      <c r="AS45" s="39"/>
      <c r="AT45" s="40" t="str">
        <f>IF($K45&lt;=$F$15,IF($F$40&lt;&gt;"",$F$40/1000,IF(ISERROR(VLOOKUP($F$3&amp;IF($G$4&lt;&gt;"",$G$4,"")&amp;IF($F$43&lt;&gt;"","_"&amp;$F$43,""),'表3）燃料価格'!$AF$9:$AG$25,2,0)),0,VLOOKUP($I45,'表3）燃料価格'!$A$6:$U$66,VLOOKUP($F$3&amp;IF($G$4&lt;&gt;"",$G$4,"")&amp;IF($F$43&lt;&gt;"","_"&amp;$F$43,""),'表3）燃料価格'!$AF$9:$AG$25,2,0)+VLOOKUP($F$41,'表3）燃料価格'!$AF$28:$AG$29,2,0),0)*IF($F$43="需要地価格",1,$F$8/$F$141))),"")</f>
        <v/>
      </c>
      <c r="AU45" s="39"/>
      <c r="AV45" s="72" t="str">
        <f t="shared" si="9"/>
        <v/>
      </c>
      <c r="AW45" s="72" t="str">
        <f t="shared" si="10"/>
        <v/>
      </c>
      <c r="AX45" s="39"/>
      <c r="AY45" s="40" t="str">
        <f>IF(ISERROR(IF($K45&lt;=$F$15,VLOOKUP($I45,'表4）CO2価格'!$A$7:$E$67,VLOOKUP($F$48,'表4）CO2価格'!$H$10:$I$12,2,0),0)*$F$8/1000,"")),0,IF($K45&lt;=$F$15,VLOOKUP($I45,'表4）CO2価格'!$A$7:$E$67,VLOOKUP($F$48,'表4）CO2価格'!$H$10:$I$12,2,0),0)*$F$8/1000,""))</f>
        <v/>
      </c>
      <c r="AZ45" s="39"/>
      <c r="BA45" s="42" t="str">
        <f t="shared" si="11"/>
        <v/>
      </c>
      <c r="BB45" s="72" t="str">
        <f t="shared" si="28"/>
        <v/>
      </c>
      <c r="BC45" s="39"/>
      <c r="BD45" s="72" t="str">
        <f t="shared" si="12"/>
        <v/>
      </c>
      <c r="BE45" s="72" t="str">
        <f t="shared" si="29"/>
        <v/>
      </c>
      <c r="BF45" s="39"/>
      <c r="BG45" s="42" t="str">
        <f t="shared" si="13"/>
        <v/>
      </c>
      <c r="BH45" s="72" t="str">
        <f t="shared" si="30"/>
        <v/>
      </c>
      <c r="BI45" s="39"/>
      <c r="BJ45" s="40" t="str">
        <f t="shared" si="31"/>
        <v/>
      </c>
      <c r="BK45" s="157" t="str">
        <f t="shared" si="32"/>
        <v/>
      </c>
      <c r="BL45" s="157" t="str">
        <f t="shared" si="14"/>
        <v/>
      </c>
      <c r="BM45" s="72"/>
      <c r="BN45" s="72" t="str">
        <f t="shared" si="33"/>
        <v/>
      </c>
      <c r="BO45" s="72" t="str">
        <f t="shared" si="34"/>
        <v/>
      </c>
      <c r="BP45" s="39"/>
      <c r="BQ45" s="72" t="str">
        <f t="shared" si="15"/>
        <v/>
      </c>
      <c r="BR45" s="72" t="str">
        <f t="shared" si="35"/>
        <v/>
      </c>
    </row>
    <row r="46" spans="3:70" x14ac:dyDescent="0.15">
      <c r="I46" s="322">
        <f t="shared" si="36"/>
        <v>2061</v>
      </c>
      <c r="J46" s="71"/>
      <c r="K46" s="71">
        <f t="shared" si="37"/>
        <v>32</v>
      </c>
      <c r="L46" s="71"/>
      <c r="M46" s="7">
        <f t="shared" si="0"/>
        <v>0.38833703413696569</v>
      </c>
      <c r="N46" s="71"/>
      <c r="O46" s="10" t="str">
        <f t="shared" si="16"/>
        <v/>
      </c>
      <c r="P46" s="29" t="str">
        <f t="shared" si="1"/>
        <v/>
      </c>
      <c r="Q46" s="71"/>
      <c r="R46" s="10" t="str">
        <f t="shared" si="17"/>
        <v/>
      </c>
      <c r="S46" s="71"/>
      <c r="T46" s="10" t="str">
        <f t="shared" si="18"/>
        <v/>
      </c>
      <c r="U46" s="71"/>
      <c r="V46" s="10" t="str">
        <f t="shared" si="2"/>
        <v/>
      </c>
      <c r="W46" s="10" t="str">
        <f t="shared" si="19"/>
        <v/>
      </c>
      <c r="X46" s="71"/>
      <c r="Y46" s="10" t="str">
        <f t="shared" si="3"/>
        <v/>
      </c>
      <c r="Z46" s="10" t="str">
        <f t="shared" si="20"/>
        <v/>
      </c>
      <c r="AA46" s="71"/>
      <c r="AB46" s="10" t="str">
        <f t="shared" si="4"/>
        <v/>
      </c>
      <c r="AC46" s="10" t="str">
        <f t="shared" si="21"/>
        <v/>
      </c>
      <c r="AD46" s="71"/>
      <c r="AE46" s="10" t="str">
        <f t="shared" si="5"/>
        <v/>
      </c>
      <c r="AF46" s="10" t="str">
        <f t="shared" si="22"/>
        <v/>
      </c>
      <c r="AG46" s="71"/>
      <c r="AH46" s="10" t="str">
        <f t="shared" si="6"/>
        <v/>
      </c>
      <c r="AI46" s="10" t="str">
        <f t="shared" si="23"/>
        <v/>
      </c>
      <c r="AJ46" s="71"/>
      <c r="AK46" s="10" t="str">
        <f t="shared" si="24"/>
        <v/>
      </c>
      <c r="AL46" s="10" t="str">
        <f t="shared" si="25"/>
        <v/>
      </c>
      <c r="AM46" s="71"/>
      <c r="AN46" s="10" t="str">
        <f t="shared" si="7"/>
        <v/>
      </c>
      <c r="AO46" s="10" t="str">
        <f t="shared" si="26"/>
        <v/>
      </c>
      <c r="AP46" s="71"/>
      <c r="AQ46" s="10" t="str">
        <f t="shared" si="8"/>
        <v/>
      </c>
      <c r="AR46" s="10" t="str">
        <f t="shared" si="27"/>
        <v/>
      </c>
      <c r="AS46" s="71"/>
      <c r="AT46" s="7" t="str">
        <f>IF($K46&lt;=$F$15,IF($F$40&lt;&gt;"",$F$40/1000,IF(ISERROR(VLOOKUP($F$3&amp;IF($G$4&lt;&gt;"",$G$4,"")&amp;IF($F$43&lt;&gt;"","_"&amp;$F$43,""),'表3）燃料価格'!$AF$9:$AG$25,2,0)),0,VLOOKUP($I46,'表3）燃料価格'!$A$6:$U$66,VLOOKUP($F$3&amp;IF($G$4&lt;&gt;"",$G$4,"")&amp;IF($F$43&lt;&gt;"","_"&amp;$F$43,""),'表3）燃料価格'!$AF$9:$AG$25,2,0)+VLOOKUP($F$41,'表3）燃料価格'!$AF$28:$AG$29,2,0),0)*IF($F$43="需要地価格",1,$F$8/$F$141))),"")</f>
        <v/>
      </c>
      <c r="AU46" s="71"/>
      <c r="AV46" s="10" t="str">
        <f t="shared" si="9"/>
        <v/>
      </c>
      <c r="AW46" s="10" t="str">
        <f t="shared" si="10"/>
        <v/>
      </c>
      <c r="AX46" s="71"/>
      <c r="AY46" s="7" t="str">
        <f>IF(ISERROR(IF($K46&lt;=$F$15,VLOOKUP($I46,'表4）CO2価格'!$A$7:$E$67,VLOOKUP($F$48,'表4）CO2価格'!$H$10:$I$12,2,0),0)*$F$8/1000,"")),0,IF($K46&lt;=$F$15,VLOOKUP($I46,'表4）CO2価格'!$A$7:$E$67,VLOOKUP($F$48,'表4）CO2価格'!$H$10:$I$12,2,0),0)*$F$8/1000,""))</f>
        <v/>
      </c>
      <c r="AZ46" s="71"/>
      <c r="BA46" s="11" t="str">
        <f t="shared" si="11"/>
        <v/>
      </c>
      <c r="BB46" s="10" t="str">
        <f t="shared" si="28"/>
        <v/>
      </c>
      <c r="BC46" s="71"/>
      <c r="BD46" s="10" t="str">
        <f t="shared" si="12"/>
        <v/>
      </c>
      <c r="BE46" s="10" t="str">
        <f t="shared" si="29"/>
        <v/>
      </c>
      <c r="BF46" s="71"/>
      <c r="BG46" s="11" t="str">
        <f t="shared" si="13"/>
        <v/>
      </c>
      <c r="BH46" s="10" t="str">
        <f t="shared" si="30"/>
        <v/>
      </c>
      <c r="BJ46" s="7" t="str">
        <f t="shared" si="31"/>
        <v/>
      </c>
      <c r="BK46" s="158" t="str">
        <f t="shared" si="32"/>
        <v/>
      </c>
      <c r="BL46" s="158" t="str">
        <f t="shared" si="14"/>
        <v/>
      </c>
      <c r="BM46" s="10"/>
      <c r="BN46" s="10" t="str">
        <f t="shared" si="33"/>
        <v/>
      </c>
      <c r="BO46" s="10" t="str">
        <f t="shared" si="34"/>
        <v/>
      </c>
      <c r="BQ46" s="10" t="str">
        <f t="shared" si="15"/>
        <v/>
      </c>
      <c r="BR46" s="10" t="str">
        <f t="shared" si="35"/>
        <v/>
      </c>
    </row>
    <row r="47" spans="3:70" x14ac:dyDescent="0.15">
      <c r="D47" s="81" t="s">
        <v>182</v>
      </c>
      <c r="F47" s="66">
        <v>20.079999999999998</v>
      </c>
      <c r="G47" s="81" t="s">
        <v>226</v>
      </c>
      <c r="I47" s="38">
        <f t="shared" si="36"/>
        <v>2062</v>
      </c>
      <c r="J47" s="39"/>
      <c r="K47" s="39">
        <f t="shared" si="37"/>
        <v>33</v>
      </c>
      <c r="L47" s="39"/>
      <c r="M47" s="40">
        <f t="shared" si="0"/>
        <v>0.37702624673491814</v>
      </c>
      <c r="N47" s="39"/>
      <c r="O47" s="72" t="str">
        <f t="shared" si="16"/>
        <v/>
      </c>
      <c r="P47" s="41" t="str">
        <f t="shared" ref="P47:P78" si="38">IF(K47&lt;=$F$15,IF(OR(P46=$F$124,P46="-"),"-",IF(O47*$F$123&gt;$F$127,$F$123,$F$124)),"")</f>
        <v/>
      </c>
      <c r="Q47" s="39"/>
      <c r="R47" s="72" t="str">
        <f t="shared" si="17"/>
        <v/>
      </c>
      <c r="S47" s="39"/>
      <c r="T47" s="72" t="str">
        <f t="shared" si="18"/>
        <v/>
      </c>
      <c r="U47" s="39"/>
      <c r="V47" s="72" t="str">
        <f t="shared" ref="V47:V78" si="39">IF(K47&lt;=$F$15,IF(K47&lt;$F$119,IF(P47="-",V46,O47*P47),IF(K47=$F$119,MIN(IF(P47="-",V46,O47*P47),O47),0)),"")</f>
        <v/>
      </c>
      <c r="W47" s="72" t="str">
        <f t="shared" si="19"/>
        <v/>
      </c>
      <c r="X47" s="39"/>
      <c r="Y47" s="72" t="str">
        <f t="shared" ref="Y47:Y78" si="40">IF($K47&lt;=$F$15,ROUNDDOWN(T47*$F$25/100,-2),"")</f>
        <v/>
      </c>
      <c r="Z47" s="72" t="str">
        <f t="shared" si="20"/>
        <v/>
      </c>
      <c r="AA47" s="39"/>
      <c r="AB47" s="72" t="str">
        <f t="shared" si="4"/>
        <v/>
      </c>
      <c r="AC47" s="72" t="str">
        <f t="shared" si="21"/>
        <v/>
      </c>
      <c r="AD47" s="39"/>
      <c r="AE47" s="72" t="str">
        <f t="shared" ref="AE47:AE78" si="41">IF($K47&lt;=$F$15,$F$26,"")</f>
        <v/>
      </c>
      <c r="AF47" s="72" t="str">
        <f t="shared" si="22"/>
        <v/>
      </c>
      <c r="AG47" s="39"/>
      <c r="AH47" s="72" t="str">
        <f t="shared" ref="AH47:AH78" si="42">IF($K47&lt;=$F$15,$F$33*10^8,"")</f>
        <v/>
      </c>
      <c r="AI47" s="72" t="str">
        <f t="shared" si="23"/>
        <v/>
      </c>
      <c r="AJ47" s="39"/>
      <c r="AK47" s="72" t="str">
        <f t="shared" si="24"/>
        <v/>
      </c>
      <c r="AL47" s="72" t="str">
        <f t="shared" si="25"/>
        <v/>
      </c>
      <c r="AM47" s="39"/>
      <c r="AN47" s="72" t="str">
        <f t="shared" ref="AN47:AN78" si="43">IF($K47&lt;=$F$15,$F$117*$F$35/100,"")</f>
        <v/>
      </c>
      <c r="AO47" s="72" t="str">
        <f t="shared" si="26"/>
        <v/>
      </c>
      <c r="AP47" s="39"/>
      <c r="AQ47" s="72" t="str">
        <f t="shared" ref="AQ47:AQ78" si="44">IF($K47&lt;=$F$15,SUM(AH47,AK47,AN47)*($F$36/100),"")</f>
        <v/>
      </c>
      <c r="AR47" s="72" t="str">
        <f t="shared" si="27"/>
        <v/>
      </c>
      <c r="AS47" s="39"/>
      <c r="AT47" s="40" t="str">
        <f>IF($K47&lt;=$F$15,IF($F$40&lt;&gt;"",$F$40/1000,IF(ISERROR(VLOOKUP($F$3&amp;IF($G$4&lt;&gt;"",$G$4,"")&amp;IF($F$43&lt;&gt;"","_"&amp;$F$43,""),'表3）燃料価格'!$AF$9:$AG$25,2,0)),0,VLOOKUP($I47,'表3）燃料価格'!$A$6:$U$66,VLOOKUP($F$3&amp;IF($G$4&lt;&gt;"",$G$4,"")&amp;IF($F$43&lt;&gt;"","_"&amp;$F$43,""),'表3）燃料価格'!$AF$9:$AG$25,2,0)+VLOOKUP($F$41,'表3）燃料価格'!$AF$28:$AG$29,2,0),0)*IF($F$43="需要地価格",1,$F$8/$F$141))),"")</f>
        <v/>
      </c>
      <c r="AU47" s="39"/>
      <c r="AV47" s="72" t="str">
        <f t="shared" ref="AV47:AV78" si="45">IF($K47&lt;=$F$15,($AT47+$F$142)*$F$137,"")</f>
        <v/>
      </c>
      <c r="AW47" s="72" t="str">
        <f t="shared" si="10"/>
        <v/>
      </c>
      <c r="AX47" s="39"/>
      <c r="AY47" s="40" t="str">
        <f>IF(ISERROR(IF($K47&lt;=$F$15,VLOOKUP($I47,'表4）CO2価格'!$A$7:$E$67,VLOOKUP($F$48,'表4）CO2価格'!$H$10:$I$12,2,0),0)*$F$8/1000,"")),0,IF($K47&lt;=$F$15,VLOOKUP($I47,'表4）CO2価格'!$A$7:$E$67,VLOOKUP($F$48,'表4）CO2価格'!$H$10:$I$12,2,0),0)*$F$8/1000,""))</f>
        <v/>
      </c>
      <c r="AZ47" s="39"/>
      <c r="BA47" s="42" t="str">
        <f t="shared" ref="BA47:BA78" si="46">IF($K47&lt;=$F$15,$F$145*AY47,"")</f>
        <v/>
      </c>
      <c r="BB47" s="72" t="str">
        <f t="shared" si="28"/>
        <v/>
      </c>
      <c r="BC47" s="39"/>
      <c r="BD47" s="72" t="str">
        <f t="shared" ref="BD47:BD78" si="47">IF($K47&lt;=$F$15,($AT47+$F$152)*$F$151,"")</f>
        <v/>
      </c>
      <c r="BE47" s="72" t="str">
        <f t="shared" si="29"/>
        <v/>
      </c>
      <c r="BF47" s="39"/>
      <c r="BG47" s="42" t="str">
        <f t="shared" ref="BG47:BG78" si="48">IF($K47&lt;=$F$15,$F$153*AY47,"")</f>
        <v/>
      </c>
      <c r="BH47" s="72" t="str">
        <f t="shared" si="30"/>
        <v/>
      </c>
      <c r="BI47" s="39"/>
      <c r="BJ47" s="40" t="str">
        <f t="shared" si="31"/>
        <v/>
      </c>
      <c r="BK47" s="157" t="str">
        <f t="shared" si="32"/>
        <v/>
      </c>
      <c r="BL47" s="157" t="str">
        <f t="shared" si="14"/>
        <v/>
      </c>
      <c r="BM47" s="72"/>
      <c r="BN47" s="72" t="str">
        <f t="shared" si="33"/>
        <v/>
      </c>
      <c r="BO47" s="72" t="str">
        <f t="shared" si="34"/>
        <v/>
      </c>
      <c r="BP47" s="39"/>
      <c r="BQ47" s="72" t="str">
        <f t="shared" ref="BQ47:BQ78" si="49">IF($K47&lt;=$F$15,$F$134,"")</f>
        <v/>
      </c>
      <c r="BR47" s="72" t="str">
        <f t="shared" si="35"/>
        <v/>
      </c>
    </row>
    <row r="48" spans="3:70" x14ac:dyDescent="0.15">
      <c r="D48" s="81" t="s">
        <v>184</v>
      </c>
      <c r="F48" s="88" t="str">
        <f>まとめ!B5</f>
        <v>WEO2020　STEPS</v>
      </c>
      <c r="I48" s="322">
        <f t="shared" si="36"/>
        <v>2063</v>
      </c>
      <c r="J48" s="71"/>
      <c r="K48" s="71">
        <f t="shared" si="37"/>
        <v>34</v>
      </c>
      <c r="L48" s="71"/>
      <c r="M48" s="7">
        <f t="shared" si="0"/>
        <v>0.36604489974263904</v>
      </c>
      <c r="N48" s="71"/>
      <c r="O48" s="10" t="str">
        <f t="shared" si="16"/>
        <v/>
      </c>
      <c r="P48" s="29" t="str">
        <f t="shared" si="38"/>
        <v/>
      </c>
      <c r="Q48" s="71"/>
      <c r="R48" s="10" t="str">
        <f t="shared" ref="R48:R79" si="50">IF($K48&lt;=$F$15,MAX($F$117*5%,R47*$F$129),"")</f>
        <v/>
      </c>
      <c r="S48" s="71"/>
      <c r="T48" s="10" t="str">
        <f t="shared" si="18"/>
        <v/>
      </c>
      <c r="U48" s="71"/>
      <c r="V48" s="10" t="str">
        <f t="shared" si="39"/>
        <v/>
      </c>
      <c r="W48" s="10" t="str">
        <f t="shared" si="19"/>
        <v/>
      </c>
      <c r="X48" s="71"/>
      <c r="Y48" s="10" t="str">
        <f t="shared" si="40"/>
        <v/>
      </c>
      <c r="Z48" s="10" t="str">
        <f t="shared" si="20"/>
        <v/>
      </c>
      <c r="AA48" s="71"/>
      <c r="AB48" s="10" t="str">
        <f t="shared" si="4"/>
        <v/>
      </c>
      <c r="AC48" s="10" t="str">
        <f t="shared" si="21"/>
        <v/>
      </c>
      <c r="AD48" s="71"/>
      <c r="AE48" s="10" t="str">
        <f t="shared" si="41"/>
        <v/>
      </c>
      <c r="AF48" s="10" t="str">
        <f t="shared" si="22"/>
        <v/>
      </c>
      <c r="AG48" s="71"/>
      <c r="AH48" s="10" t="str">
        <f t="shared" si="42"/>
        <v/>
      </c>
      <c r="AI48" s="10" t="str">
        <f t="shared" si="23"/>
        <v/>
      </c>
      <c r="AJ48" s="71"/>
      <c r="AK48" s="10" t="str">
        <f t="shared" si="24"/>
        <v/>
      </c>
      <c r="AL48" s="10" t="str">
        <f t="shared" si="25"/>
        <v/>
      </c>
      <c r="AM48" s="71"/>
      <c r="AN48" s="10" t="str">
        <f t="shared" si="43"/>
        <v/>
      </c>
      <c r="AO48" s="10" t="str">
        <f t="shared" si="26"/>
        <v/>
      </c>
      <c r="AP48" s="71"/>
      <c r="AQ48" s="10" t="str">
        <f t="shared" si="44"/>
        <v/>
      </c>
      <c r="AR48" s="10" t="str">
        <f t="shared" si="27"/>
        <v/>
      </c>
      <c r="AS48" s="71"/>
      <c r="AT48" s="7" t="str">
        <f>IF($K48&lt;=$F$15,IF($F$40&lt;&gt;"",$F$40/1000,IF(ISERROR(VLOOKUP($F$3&amp;IF($G$4&lt;&gt;"",$G$4,"")&amp;IF($F$43&lt;&gt;"","_"&amp;$F$43,""),'表3）燃料価格'!$AF$9:$AG$25,2,0)),0,VLOOKUP($I48,'表3）燃料価格'!$A$6:$U$66,VLOOKUP($F$3&amp;IF($G$4&lt;&gt;"",$G$4,"")&amp;IF($F$43&lt;&gt;"","_"&amp;$F$43,""),'表3）燃料価格'!$AF$9:$AG$25,2,0)+VLOOKUP($F$41,'表3）燃料価格'!$AF$28:$AG$29,2,0),0)*IF($F$43="需要地価格",1,$F$8/$F$141))),"")</f>
        <v/>
      </c>
      <c r="AU48" s="71"/>
      <c r="AV48" s="10" t="str">
        <f t="shared" si="45"/>
        <v/>
      </c>
      <c r="AW48" s="10" t="str">
        <f t="shared" si="10"/>
        <v/>
      </c>
      <c r="AX48" s="71"/>
      <c r="AY48" s="7" t="str">
        <f>IF(ISERROR(IF($K48&lt;=$F$15,VLOOKUP($I48,'表4）CO2価格'!$A$7:$E$67,VLOOKUP($F$48,'表4）CO2価格'!$H$10:$I$12,2,0),0)*$F$8/1000,"")),0,IF($K48&lt;=$F$15,VLOOKUP($I48,'表4）CO2価格'!$A$7:$E$67,VLOOKUP($F$48,'表4）CO2価格'!$H$10:$I$12,2,0),0)*$F$8/1000,""))</f>
        <v/>
      </c>
      <c r="AZ48" s="71"/>
      <c r="BA48" s="11" t="str">
        <f t="shared" si="46"/>
        <v/>
      </c>
      <c r="BB48" s="10" t="str">
        <f t="shared" si="28"/>
        <v/>
      </c>
      <c r="BC48" s="71"/>
      <c r="BD48" s="10" t="str">
        <f t="shared" si="47"/>
        <v/>
      </c>
      <c r="BE48" s="10" t="str">
        <f t="shared" si="29"/>
        <v/>
      </c>
      <c r="BF48" s="71"/>
      <c r="BG48" s="11" t="str">
        <f t="shared" si="48"/>
        <v/>
      </c>
      <c r="BH48" s="10" t="str">
        <f t="shared" si="30"/>
        <v/>
      </c>
      <c r="BJ48" s="7" t="str">
        <f t="shared" si="31"/>
        <v/>
      </c>
      <c r="BK48" s="158" t="str">
        <f t="shared" si="32"/>
        <v/>
      </c>
      <c r="BL48" s="158" t="str">
        <f t="shared" si="14"/>
        <v/>
      </c>
      <c r="BM48" s="10"/>
      <c r="BN48" s="10" t="str">
        <f t="shared" si="33"/>
        <v/>
      </c>
      <c r="BO48" s="10" t="str">
        <f t="shared" si="34"/>
        <v/>
      </c>
      <c r="BQ48" s="10" t="str">
        <f t="shared" si="49"/>
        <v/>
      </c>
      <c r="BR48" s="10" t="str">
        <f t="shared" si="35"/>
        <v/>
      </c>
    </row>
    <row r="49" spans="3:70" x14ac:dyDescent="0.15">
      <c r="I49" s="38">
        <f t="shared" si="36"/>
        <v>2064</v>
      </c>
      <c r="J49" s="39"/>
      <c r="K49" s="39">
        <f t="shared" si="37"/>
        <v>35</v>
      </c>
      <c r="L49" s="39"/>
      <c r="M49" s="40">
        <f t="shared" si="0"/>
        <v>0.35538339780838735</v>
      </c>
      <c r="N49" s="39"/>
      <c r="O49" s="72" t="str">
        <f t="shared" si="16"/>
        <v/>
      </c>
      <c r="P49" s="41" t="str">
        <f t="shared" si="38"/>
        <v/>
      </c>
      <c r="Q49" s="39"/>
      <c r="R49" s="72" t="str">
        <f t="shared" si="50"/>
        <v/>
      </c>
      <c r="S49" s="39"/>
      <c r="T49" s="72" t="str">
        <f t="shared" si="18"/>
        <v/>
      </c>
      <c r="U49" s="39"/>
      <c r="V49" s="72" t="str">
        <f t="shared" si="39"/>
        <v/>
      </c>
      <c r="W49" s="72" t="str">
        <f t="shared" si="19"/>
        <v/>
      </c>
      <c r="X49" s="39"/>
      <c r="Y49" s="72" t="str">
        <f t="shared" si="40"/>
        <v/>
      </c>
      <c r="Z49" s="72" t="str">
        <f t="shared" si="20"/>
        <v/>
      </c>
      <c r="AA49" s="39"/>
      <c r="AB49" s="72" t="str">
        <f t="shared" si="4"/>
        <v/>
      </c>
      <c r="AC49" s="72" t="str">
        <f t="shared" si="21"/>
        <v/>
      </c>
      <c r="AD49" s="39"/>
      <c r="AE49" s="72" t="str">
        <f t="shared" si="41"/>
        <v/>
      </c>
      <c r="AF49" s="72" t="str">
        <f t="shared" si="22"/>
        <v/>
      </c>
      <c r="AG49" s="39"/>
      <c r="AH49" s="72" t="str">
        <f t="shared" si="42"/>
        <v/>
      </c>
      <c r="AI49" s="72" t="str">
        <f t="shared" si="23"/>
        <v/>
      </c>
      <c r="AJ49" s="39"/>
      <c r="AK49" s="72" t="str">
        <f t="shared" si="24"/>
        <v/>
      </c>
      <c r="AL49" s="72" t="str">
        <f t="shared" si="25"/>
        <v/>
      </c>
      <c r="AM49" s="39"/>
      <c r="AN49" s="72" t="str">
        <f t="shared" si="43"/>
        <v/>
      </c>
      <c r="AO49" s="72" t="str">
        <f t="shared" si="26"/>
        <v/>
      </c>
      <c r="AP49" s="39"/>
      <c r="AQ49" s="72" t="str">
        <f t="shared" si="44"/>
        <v/>
      </c>
      <c r="AR49" s="72" t="str">
        <f t="shared" si="27"/>
        <v/>
      </c>
      <c r="AS49" s="39"/>
      <c r="AT49" s="40" t="str">
        <f>IF($K49&lt;=$F$15,IF($F$40&lt;&gt;"",$F$40/1000,IF(ISERROR(VLOOKUP($F$3&amp;IF($G$4&lt;&gt;"",$G$4,"")&amp;IF($F$43&lt;&gt;"","_"&amp;$F$43,""),'表3）燃料価格'!$AF$9:$AG$25,2,0)),0,VLOOKUP($I49,'表3）燃料価格'!$A$6:$U$66,VLOOKUP($F$3&amp;IF($G$4&lt;&gt;"",$G$4,"")&amp;IF($F$43&lt;&gt;"","_"&amp;$F$43,""),'表3）燃料価格'!$AF$9:$AG$25,2,0)+VLOOKUP($F$41,'表3）燃料価格'!$AF$28:$AG$29,2,0),0)*IF($F$43="需要地価格",1,$F$8/$F$141))),"")</f>
        <v/>
      </c>
      <c r="AU49" s="39"/>
      <c r="AV49" s="72" t="str">
        <f t="shared" si="45"/>
        <v/>
      </c>
      <c r="AW49" s="72" t="str">
        <f t="shared" si="10"/>
        <v/>
      </c>
      <c r="AX49" s="39"/>
      <c r="AY49" s="40" t="str">
        <f>IF(ISERROR(IF($K49&lt;=$F$15,VLOOKUP($I49,'表4）CO2価格'!$A$7:$E$67,VLOOKUP($F$48,'表4）CO2価格'!$H$10:$I$12,2,0),0)*$F$8/1000,"")),0,IF($K49&lt;=$F$15,VLOOKUP($I49,'表4）CO2価格'!$A$7:$E$67,VLOOKUP($F$48,'表4）CO2価格'!$H$10:$I$12,2,0),0)*$F$8/1000,""))</f>
        <v/>
      </c>
      <c r="AZ49" s="39"/>
      <c r="BA49" s="42" t="str">
        <f t="shared" si="46"/>
        <v/>
      </c>
      <c r="BB49" s="72" t="str">
        <f t="shared" si="28"/>
        <v/>
      </c>
      <c r="BC49" s="39"/>
      <c r="BD49" s="72" t="str">
        <f t="shared" si="47"/>
        <v/>
      </c>
      <c r="BE49" s="72" t="str">
        <f t="shared" si="29"/>
        <v/>
      </c>
      <c r="BF49" s="39"/>
      <c r="BG49" s="42" t="str">
        <f t="shared" si="48"/>
        <v/>
      </c>
      <c r="BH49" s="72" t="str">
        <f t="shared" si="30"/>
        <v/>
      </c>
      <c r="BI49" s="39"/>
      <c r="BJ49" s="40" t="str">
        <f t="shared" si="31"/>
        <v/>
      </c>
      <c r="BK49" s="157" t="str">
        <f t="shared" si="32"/>
        <v/>
      </c>
      <c r="BL49" s="157" t="str">
        <f t="shared" si="14"/>
        <v/>
      </c>
      <c r="BM49" s="72"/>
      <c r="BN49" s="72" t="str">
        <f t="shared" si="33"/>
        <v/>
      </c>
      <c r="BO49" s="72" t="str">
        <f t="shared" si="34"/>
        <v/>
      </c>
      <c r="BP49" s="39"/>
      <c r="BQ49" s="72" t="str">
        <f t="shared" si="49"/>
        <v/>
      </c>
      <c r="BR49" s="72" t="str">
        <f t="shared" si="35"/>
        <v/>
      </c>
    </row>
    <row r="50" spans="3:70" x14ac:dyDescent="0.15">
      <c r="C50" s="89" t="s">
        <v>510</v>
      </c>
      <c r="D50" s="101"/>
      <c r="E50" s="101"/>
      <c r="F50" s="89"/>
      <c r="G50" s="101"/>
      <c r="I50" s="322">
        <f t="shared" si="36"/>
        <v>2065</v>
      </c>
      <c r="J50" s="71"/>
      <c r="K50" s="71">
        <f t="shared" si="37"/>
        <v>36</v>
      </c>
      <c r="L50" s="71"/>
      <c r="M50" s="7">
        <f t="shared" si="0"/>
        <v>0.34503242505668674</v>
      </c>
      <c r="N50" s="71"/>
      <c r="O50" s="10" t="str">
        <f t="shared" si="16"/>
        <v/>
      </c>
      <c r="P50" s="29" t="str">
        <f t="shared" si="38"/>
        <v/>
      </c>
      <c r="Q50" s="71"/>
      <c r="R50" s="10" t="str">
        <f t="shared" si="50"/>
        <v/>
      </c>
      <c r="S50" s="71"/>
      <c r="T50" s="10" t="str">
        <f t="shared" si="18"/>
        <v/>
      </c>
      <c r="U50" s="71"/>
      <c r="V50" s="10" t="str">
        <f t="shared" si="39"/>
        <v/>
      </c>
      <c r="W50" s="10" t="str">
        <f t="shared" si="19"/>
        <v/>
      </c>
      <c r="X50" s="71"/>
      <c r="Y50" s="10" t="str">
        <f t="shared" si="40"/>
        <v/>
      </c>
      <c r="Z50" s="10" t="str">
        <f t="shared" si="20"/>
        <v/>
      </c>
      <c r="AA50" s="71"/>
      <c r="AB50" s="10" t="str">
        <f t="shared" si="4"/>
        <v/>
      </c>
      <c r="AC50" s="10" t="str">
        <f t="shared" si="21"/>
        <v/>
      </c>
      <c r="AD50" s="71"/>
      <c r="AE50" s="10" t="str">
        <f t="shared" si="41"/>
        <v/>
      </c>
      <c r="AF50" s="10" t="str">
        <f t="shared" si="22"/>
        <v/>
      </c>
      <c r="AG50" s="71"/>
      <c r="AH50" s="10" t="str">
        <f t="shared" si="42"/>
        <v/>
      </c>
      <c r="AI50" s="10" t="str">
        <f t="shared" si="23"/>
        <v/>
      </c>
      <c r="AJ50" s="71"/>
      <c r="AK50" s="10" t="str">
        <f t="shared" si="24"/>
        <v/>
      </c>
      <c r="AL50" s="10" t="str">
        <f t="shared" si="25"/>
        <v/>
      </c>
      <c r="AM50" s="71"/>
      <c r="AN50" s="10" t="str">
        <f t="shared" si="43"/>
        <v/>
      </c>
      <c r="AO50" s="10" t="str">
        <f t="shared" si="26"/>
        <v/>
      </c>
      <c r="AP50" s="71"/>
      <c r="AQ50" s="10" t="str">
        <f t="shared" si="44"/>
        <v/>
      </c>
      <c r="AR50" s="10" t="str">
        <f t="shared" si="27"/>
        <v/>
      </c>
      <c r="AS50" s="71"/>
      <c r="AT50" s="7" t="str">
        <f>IF($K50&lt;=$F$15,IF($F$40&lt;&gt;"",$F$40/1000,IF(ISERROR(VLOOKUP($F$3&amp;IF($G$4&lt;&gt;"",$G$4,"")&amp;IF($F$43&lt;&gt;"","_"&amp;$F$43,""),'表3）燃料価格'!$AF$9:$AG$25,2,0)),0,VLOOKUP($I50,'表3）燃料価格'!$A$6:$U$66,VLOOKUP($F$3&amp;IF($G$4&lt;&gt;"",$G$4,"")&amp;IF($F$43&lt;&gt;"","_"&amp;$F$43,""),'表3）燃料価格'!$AF$9:$AG$25,2,0)+VLOOKUP($F$41,'表3）燃料価格'!$AF$28:$AG$29,2,0),0)*IF($F$43="需要地価格",1,$F$8/$F$141))),"")</f>
        <v/>
      </c>
      <c r="AU50" s="71"/>
      <c r="AV50" s="10" t="str">
        <f t="shared" si="45"/>
        <v/>
      </c>
      <c r="AW50" s="10" t="str">
        <f t="shared" si="10"/>
        <v/>
      </c>
      <c r="AX50" s="71"/>
      <c r="AY50" s="7" t="str">
        <f>IF(ISERROR(IF($K50&lt;=$F$15,VLOOKUP($I50,'表4）CO2価格'!$A$7:$E$67,VLOOKUP($F$48,'表4）CO2価格'!$H$10:$I$12,2,0),0)*$F$8/1000,"")),0,IF($K50&lt;=$F$15,VLOOKUP($I50,'表4）CO2価格'!$A$7:$E$67,VLOOKUP($F$48,'表4）CO2価格'!$H$10:$I$12,2,0),0)*$F$8/1000,""))</f>
        <v/>
      </c>
      <c r="AZ50" s="71"/>
      <c r="BA50" s="11" t="str">
        <f t="shared" si="46"/>
        <v/>
      </c>
      <c r="BB50" s="10" t="str">
        <f t="shared" si="28"/>
        <v/>
      </c>
      <c r="BC50" s="71"/>
      <c r="BD50" s="10" t="str">
        <f t="shared" si="47"/>
        <v/>
      </c>
      <c r="BE50" s="10" t="str">
        <f t="shared" si="29"/>
        <v/>
      </c>
      <c r="BF50" s="71"/>
      <c r="BG50" s="11" t="str">
        <f t="shared" si="48"/>
        <v/>
      </c>
      <c r="BH50" s="10" t="str">
        <f t="shared" si="30"/>
        <v/>
      </c>
      <c r="BJ50" s="7" t="str">
        <f t="shared" si="31"/>
        <v/>
      </c>
      <c r="BK50" s="158" t="str">
        <f t="shared" si="32"/>
        <v/>
      </c>
      <c r="BL50" s="158" t="str">
        <f t="shared" si="14"/>
        <v/>
      </c>
      <c r="BM50" s="10"/>
      <c r="BN50" s="10" t="str">
        <f t="shared" si="33"/>
        <v/>
      </c>
      <c r="BO50" s="10" t="str">
        <f t="shared" si="34"/>
        <v/>
      </c>
      <c r="BQ50" s="10" t="str">
        <f t="shared" si="49"/>
        <v/>
      </c>
      <c r="BR50" s="10" t="str">
        <f t="shared" si="35"/>
        <v/>
      </c>
    </row>
    <row r="51" spans="3:70" x14ac:dyDescent="0.15">
      <c r="I51" s="38">
        <f t="shared" si="36"/>
        <v>2066</v>
      </c>
      <c r="J51" s="39"/>
      <c r="K51" s="39">
        <f t="shared" si="37"/>
        <v>37</v>
      </c>
      <c r="L51" s="39"/>
      <c r="M51" s="40">
        <f t="shared" si="0"/>
        <v>0.33498293694823961</v>
      </c>
      <c r="N51" s="39"/>
      <c r="O51" s="72" t="str">
        <f t="shared" si="16"/>
        <v/>
      </c>
      <c r="P51" s="41" t="str">
        <f t="shared" si="38"/>
        <v/>
      </c>
      <c r="Q51" s="39"/>
      <c r="R51" s="72" t="str">
        <f t="shared" si="50"/>
        <v/>
      </c>
      <c r="S51" s="39"/>
      <c r="T51" s="72" t="str">
        <f t="shared" si="18"/>
        <v/>
      </c>
      <c r="U51" s="39"/>
      <c r="V51" s="72" t="str">
        <f t="shared" si="39"/>
        <v/>
      </c>
      <c r="W51" s="72" t="str">
        <f t="shared" si="19"/>
        <v/>
      </c>
      <c r="X51" s="39"/>
      <c r="Y51" s="72" t="str">
        <f t="shared" si="40"/>
        <v/>
      </c>
      <c r="Z51" s="72" t="str">
        <f t="shared" si="20"/>
        <v/>
      </c>
      <c r="AA51" s="39"/>
      <c r="AB51" s="72" t="str">
        <f t="shared" si="4"/>
        <v/>
      </c>
      <c r="AC51" s="72" t="str">
        <f t="shared" si="21"/>
        <v/>
      </c>
      <c r="AD51" s="39"/>
      <c r="AE51" s="72" t="str">
        <f t="shared" si="41"/>
        <v/>
      </c>
      <c r="AF51" s="72" t="str">
        <f t="shared" si="22"/>
        <v/>
      </c>
      <c r="AG51" s="39"/>
      <c r="AH51" s="72" t="str">
        <f t="shared" si="42"/>
        <v/>
      </c>
      <c r="AI51" s="72" t="str">
        <f t="shared" si="23"/>
        <v/>
      </c>
      <c r="AJ51" s="39"/>
      <c r="AK51" s="72" t="str">
        <f t="shared" si="24"/>
        <v/>
      </c>
      <c r="AL51" s="72" t="str">
        <f t="shared" si="25"/>
        <v/>
      </c>
      <c r="AM51" s="39"/>
      <c r="AN51" s="72" t="str">
        <f t="shared" si="43"/>
        <v/>
      </c>
      <c r="AO51" s="72" t="str">
        <f t="shared" si="26"/>
        <v/>
      </c>
      <c r="AP51" s="39"/>
      <c r="AQ51" s="72" t="str">
        <f t="shared" si="44"/>
        <v/>
      </c>
      <c r="AR51" s="72" t="str">
        <f t="shared" si="27"/>
        <v/>
      </c>
      <c r="AS51" s="39"/>
      <c r="AT51" s="40" t="str">
        <f>IF($K51&lt;=$F$15,IF($F$40&lt;&gt;"",$F$40/1000,IF(ISERROR(VLOOKUP($F$3&amp;IF($G$4&lt;&gt;"",$G$4,"")&amp;IF($F$43&lt;&gt;"","_"&amp;$F$43,""),'表3）燃料価格'!$AF$9:$AG$25,2,0)),0,VLOOKUP($I51,'表3）燃料価格'!$A$6:$U$66,VLOOKUP($F$3&amp;IF($G$4&lt;&gt;"",$G$4,"")&amp;IF($F$43&lt;&gt;"","_"&amp;$F$43,""),'表3）燃料価格'!$AF$9:$AG$25,2,0)+VLOOKUP($F$41,'表3）燃料価格'!$AF$28:$AG$29,2,0),0)*IF($F$43="需要地価格",1,$F$8/$F$141))),"")</f>
        <v/>
      </c>
      <c r="AU51" s="39"/>
      <c r="AV51" s="72" t="str">
        <f t="shared" si="45"/>
        <v/>
      </c>
      <c r="AW51" s="72" t="str">
        <f t="shared" si="10"/>
        <v/>
      </c>
      <c r="AX51" s="39"/>
      <c r="AY51" s="40" t="str">
        <f>IF(ISERROR(IF($K51&lt;=$F$15,VLOOKUP($I51,'表4）CO2価格'!$A$7:$E$67,VLOOKUP($F$48,'表4）CO2価格'!$H$10:$I$12,2,0),0)*$F$8/1000,"")),0,IF($K51&lt;=$F$15,VLOOKUP($I51,'表4）CO2価格'!$A$7:$E$67,VLOOKUP($F$48,'表4）CO2価格'!$H$10:$I$12,2,0),0)*$F$8/1000,""))</f>
        <v/>
      </c>
      <c r="AZ51" s="39"/>
      <c r="BA51" s="42" t="str">
        <f t="shared" si="46"/>
        <v/>
      </c>
      <c r="BB51" s="72" t="str">
        <f t="shared" si="28"/>
        <v/>
      </c>
      <c r="BC51" s="39"/>
      <c r="BD51" s="72" t="str">
        <f t="shared" si="47"/>
        <v/>
      </c>
      <c r="BE51" s="72" t="str">
        <f t="shared" si="29"/>
        <v/>
      </c>
      <c r="BF51" s="39"/>
      <c r="BG51" s="42" t="str">
        <f t="shared" si="48"/>
        <v/>
      </c>
      <c r="BH51" s="72" t="str">
        <f t="shared" si="30"/>
        <v/>
      </c>
      <c r="BI51" s="39"/>
      <c r="BJ51" s="40" t="str">
        <f t="shared" si="31"/>
        <v/>
      </c>
      <c r="BK51" s="157" t="str">
        <f t="shared" si="32"/>
        <v/>
      </c>
      <c r="BL51" s="157" t="str">
        <f t="shared" si="14"/>
        <v/>
      </c>
      <c r="BM51" s="72"/>
      <c r="BN51" s="72" t="str">
        <f t="shared" si="33"/>
        <v/>
      </c>
      <c r="BO51" s="72" t="str">
        <f t="shared" si="34"/>
        <v/>
      </c>
      <c r="BP51" s="39"/>
      <c r="BQ51" s="72" t="str">
        <f t="shared" si="49"/>
        <v/>
      </c>
      <c r="BR51" s="72" t="str">
        <f t="shared" si="35"/>
        <v/>
      </c>
    </row>
    <row r="52" spans="3:70" x14ac:dyDescent="0.15">
      <c r="D52" s="81" t="s">
        <v>185</v>
      </c>
      <c r="F52" s="67">
        <v>22.7</v>
      </c>
      <c r="G52" s="81" t="s">
        <v>172</v>
      </c>
      <c r="I52" s="322">
        <f t="shared" si="36"/>
        <v>2067</v>
      </c>
      <c r="J52" s="71"/>
      <c r="K52" s="71">
        <f t="shared" si="37"/>
        <v>38</v>
      </c>
      <c r="L52" s="71"/>
      <c r="M52" s="7">
        <f t="shared" si="0"/>
        <v>0.3252261523769317</v>
      </c>
      <c r="N52" s="71"/>
      <c r="O52" s="10" t="str">
        <f t="shared" si="16"/>
        <v/>
      </c>
      <c r="P52" s="29" t="str">
        <f t="shared" si="38"/>
        <v/>
      </c>
      <c r="Q52" s="71"/>
      <c r="R52" s="10" t="str">
        <f t="shared" si="50"/>
        <v/>
      </c>
      <c r="S52" s="71"/>
      <c r="T52" s="10" t="str">
        <f t="shared" si="18"/>
        <v/>
      </c>
      <c r="U52" s="71"/>
      <c r="V52" s="10" t="str">
        <f t="shared" si="39"/>
        <v/>
      </c>
      <c r="W52" s="10" t="str">
        <f t="shared" si="19"/>
        <v/>
      </c>
      <c r="X52" s="71"/>
      <c r="Y52" s="10" t="str">
        <f t="shared" si="40"/>
        <v/>
      </c>
      <c r="Z52" s="10" t="str">
        <f t="shared" si="20"/>
        <v/>
      </c>
      <c r="AA52" s="71"/>
      <c r="AB52" s="10" t="str">
        <f t="shared" si="4"/>
        <v/>
      </c>
      <c r="AC52" s="10" t="str">
        <f t="shared" si="21"/>
        <v/>
      </c>
      <c r="AD52" s="71"/>
      <c r="AE52" s="10" t="str">
        <f t="shared" si="41"/>
        <v/>
      </c>
      <c r="AF52" s="10" t="str">
        <f t="shared" si="22"/>
        <v/>
      </c>
      <c r="AG52" s="71"/>
      <c r="AH52" s="10" t="str">
        <f t="shared" si="42"/>
        <v/>
      </c>
      <c r="AI52" s="10" t="str">
        <f t="shared" si="23"/>
        <v/>
      </c>
      <c r="AJ52" s="71"/>
      <c r="AK52" s="10" t="str">
        <f t="shared" si="24"/>
        <v/>
      </c>
      <c r="AL52" s="10" t="str">
        <f t="shared" si="25"/>
        <v/>
      </c>
      <c r="AM52" s="71"/>
      <c r="AN52" s="10" t="str">
        <f t="shared" si="43"/>
        <v/>
      </c>
      <c r="AO52" s="10" t="str">
        <f t="shared" si="26"/>
        <v/>
      </c>
      <c r="AP52" s="71"/>
      <c r="AQ52" s="10" t="str">
        <f t="shared" si="44"/>
        <v/>
      </c>
      <c r="AR52" s="10" t="str">
        <f t="shared" si="27"/>
        <v/>
      </c>
      <c r="AS52" s="71"/>
      <c r="AT52" s="7" t="str">
        <f>IF($K52&lt;=$F$15,IF($F$40&lt;&gt;"",$F$40/1000,IF(ISERROR(VLOOKUP($F$3&amp;IF($G$4&lt;&gt;"",$G$4,"")&amp;IF($F$43&lt;&gt;"","_"&amp;$F$43,""),'表3）燃料価格'!$AF$9:$AG$25,2,0)),0,VLOOKUP($I52,'表3）燃料価格'!$A$6:$U$66,VLOOKUP($F$3&amp;IF($G$4&lt;&gt;"",$G$4,"")&amp;IF($F$43&lt;&gt;"","_"&amp;$F$43,""),'表3）燃料価格'!$AF$9:$AG$25,2,0)+VLOOKUP($F$41,'表3）燃料価格'!$AF$28:$AG$29,2,0),0)*IF($F$43="需要地価格",1,$F$8/$F$141))),"")</f>
        <v/>
      </c>
      <c r="AU52" s="71"/>
      <c r="AV52" s="10" t="str">
        <f t="shared" si="45"/>
        <v/>
      </c>
      <c r="AW52" s="10" t="str">
        <f t="shared" si="10"/>
        <v/>
      </c>
      <c r="AX52" s="71"/>
      <c r="AY52" s="7" t="str">
        <f>IF(ISERROR(IF($K52&lt;=$F$15,VLOOKUP($I52,'表4）CO2価格'!$A$7:$E$67,VLOOKUP($F$48,'表4）CO2価格'!$H$10:$I$12,2,0),0)*$F$8/1000,"")),0,IF($K52&lt;=$F$15,VLOOKUP($I52,'表4）CO2価格'!$A$7:$E$67,VLOOKUP($F$48,'表4）CO2価格'!$H$10:$I$12,2,0),0)*$F$8/1000,""))</f>
        <v/>
      </c>
      <c r="AZ52" s="71"/>
      <c r="BA52" s="11" t="str">
        <f t="shared" si="46"/>
        <v/>
      </c>
      <c r="BB52" s="10" t="str">
        <f t="shared" si="28"/>
        <v/>
      </c>
      <c r="BC52" s="71"/>
      <c r="BD52" s="10" t="str">
        <f t="shared" si="47"/>
        <v/>
      </c>
      <c r="BE52" s="10" t="str">
        <f t="shared" si="29"/>
        <v/>
      </c>
      <c r="BF52" s="71"/>
      <c r="BG52" s="11" t="str">
        <f t="shared" si="48"/>
        <v/>
      </c>
      <c r="BH52" s="10" t="str">
        <f t="shared" si="30"/>
        <v/>
      </c>
      <c r="BJ52" s="7" t="str">
        <f t="shared" si="31"/>
        <v/>
      </c>
      <c r="BK52" s="158" t="str">
        <f t="shared" si="32"/>
        <v/>
      </c>
      <c r="BL52" s="158" t="str">
        <f t="shared" si="14"/>
        <v/>
      </c>
      <c r="BM52" s="10"/>
      <c r="BN52" s="10" t="str">
        <f t="shared" si="33"/>
        <v/>
      </c>
      <c r="BO52" s="10" t="str">
        <f t="shared" si="34"/>
        <v/>
      </c>
      <c r="BQ52" s="10" t="str">
        <f t="shared" si="49"/>
        <v/>
      </c>
      <c r="BR52" s="10" t="str">
        <f t="shared" si="35"/>
        <v/>
      </c>
    </row>
    <row r="53" spans="3:70" x14ac:dyDescent="0.15">
      <c r="D53" s="81" t="s">
        <v>186</v>
      </c>
      <c r="F53" s="66">
        <v>100</v>
      </c>
      <c r="G53" s="81" t="s">
        <v>172</v>
      </c>
      <c r="I53" s="38">
        <f t="shared" si="36"/>
        <v>2068</v>
      </c>
      <c r="J53" s="39"/>
      <c r="K53" s="39">
        <f t="shared" si="37"/>
        <v>39</v>
      </c>
      <c r="L53" s="39"/>
      <c r="M53" s="40">
        <f t="shared" si="0"/>
        <v>0.31575354599702099</v>
      </c>
      <c r="N53" s="39"/>
      <c r="O53" s="72" t="str">
        <f t="shared" si="16"/>
        <v/>
      </c>
      <c r="P53" s="41" t="str">
        <f t="shared" si="38"/>
        <v/>
      </c>
      <c r="Q53" s="39"/>
      <c r="R53" s="72" t="str">
        <f t="shared" si="50"/>
        <v/>
      </c>
      <c r="S53" s="39"/>
      <c r="T53" s="72" t="str">
        <f t="shared" si="18"/>
        <v/>
      </c>
      <c r="U53" s="39"/>
      <c r="V53" s="72" t="str">
        <f t="shared" si="39"/>
        <v/>
      </c>
      <c r="W53" s="72" t="str">
        <f t="shared" si="19"/>
        <v/>
      </c>
      <c r="X53" s="39"/>
      <c r="Y53" s="72" t="str">
        <f t="shared" si="40"/>
        <v/>
      </c>
      <c r="Z53" s="72" t="str">
        <f t="shared" si="20"/>
        <v/>
      </c>
      <c r="AA53" s="39"/>
      <c r="AB53" s="72" t="str">
        <f t="shared" si="4"/>
        <v/>
      </c>
      <c r="AC53" s="72" t="str">
        <f t="shared" si="21"/>
        <v/>
      </c>
      <c r="AD53" s="39"/>
      <c r="AE53" s="72" t="str">
        <f t="shared" si="41"/>
        <v/>
      </c>
      <c r="AF53" s="72" t="str">
        <f t="shared" si="22"/>
        <v/>
      </c>
      <c r="AG53" s="39"/>
      <c r="AH53" s="72" t="str">
        <f t="shared" si="42"/>
        <v/>
      </c>
      <c r="AI53" s="72" t="str">
        <f t="shared" si="23"/>
        <v/>
      </c>
      <c r="AJ53" s="39"/>
      <c r="AK53" s="72" t="str">
        <f t="shared" si="24"/>
        <v/>
      </c>
      <c r="AL53" s="72" t="str">
        <f t="shared" si="25"/>
        <v/>
      </c>
      <c r="AM53" s="39"/>
      <c r="AN53" s="72" t="str">
        <f t="shared" si="43"/>
        <v/>
      </c>
      <c r="AO53" s="72" t="str">
        <f t="shared" si="26"/>
        <v/>
      </c>
      <c r="AP53" s="39"/>
      <c r="AQ53" s="72" t="str">
        <f t="shared" si="44"/>
        <v/>
      </c>
      <c r="AR53" s="72" t="str">
        <f t="shared" si="27"/>
        <v/>
      </c>
      <c r="AS53" s="39"/>
      <c r="AT53" s="40" t="str">
        <f>IF($K53&lt;=$F$15,IF($F$40&lt;&gt;"",$F$40/1000,IF(ISERROR(VLOOKUP($F$3&amp;IF($G$4&lt;&gt;"",$G$4,"")&amp;IF($F$43&lt;&gt;"","_"&amp;$F$43,""),'表3）燃料価格'!$AF$9:$AG$25,2,0)),0,VLOOKUP($I53,'表3）燃料価格'!$A$6:$U$66,VLOOKUP($F$3&amp;IF($G$4&lt;&gt;"",$G$4,"")&amp;IF($F$43&lt;&gt;"","_"&amp;$F$43,""),'表3）燃料価格'!$AF$9:$AG$25,2,0)+VLOOKUP($F$41,'表3）燃料価格'!$AF$28:$AG$29,2,0),0)*IF($F$43="需要地価格",1,$F$8/$F$141))),"")</f>
        <v/>
      </c>
      <c r="AU53" s="39"/>
      <c r="AV53" s="72" t="str">
        <f t="shared" si="45"/>
        <v/>
      </c>
      <c r="AW53" s="72" t="str">
        <f t="shared" si="10"/>
        <v/>
      </c>
      <c r="AX53" s="39"/>
      <c r="AY53" s="40" t="str">
        <f>IF(ISERROR(IF($K53&lt;=$F$15,VLOOKUP($I53,'表4）CO2価格'!$A$7:$E$67,VLOOKUP($F$48,'表4）CO2価格'!$H$10:$I$12,2,0),0)*$F$8/1000,"")),0,IF($K53&lt;=$F$15,VLOOKUP($I53,'表4）CO2価格'!$A$7:$E$67,VLOOKUP($F$48,'表4）CO2価格'!$H$10:$I$12,2,0),0)*$F$8/1000,""))</f>
        <v/>
      </c>
      <c r="AZ53" s="39"/>
      <c r="BA53" s="42" t="str">
        <f t="shared" si="46"/>
        <v/>
      </c>
      <c r="BB53" s="72" t="str">
        <f t="shared" si="28"/>
        <v/>
      </c>
      <c r="BC53" s="39"/>
      <c r="BD53" s="72" t="str">
        <f t="shared" si="47"/>
        <v/>
      </c>
      <c r="BE53" s="72" t="str">
        <f t="shared" si="29"/>
        <v/>
      </c>
      <c r="BF53" s="39"/>
      <c r="BG53" s="42" t="str">
        <f t="shared" si="48"/>
        <v/>
      </c>
      <c r="BH53" s="72" t="str">
        <f t="shared" si="30"/>
        <v/>
      </c>
      <c r="BI53" s="39"/>
      <c r="BJ53" s="40" t="str">
        <f t="shared" si="31"/>
        <v/>
      </c>
      <c r="BK53" s="157" t="str">
        <f t="shared" si="32"/>
        <v/>
      </c>
      <c r="BL53" s="157" t="str">
        <f t="shared" si="14"/>
        <v/>
      </c>
      <c r="BM53" s="72"/>
      <c r="BN53" s="72" t="str">
        <f t="shared" si="33"/>
        <v/>
      </c>
      <c r="BO53" s="72" t="str">
        <f t="shared" si="34"/>
        <v/>
      </c>
      <c r="BP53" s="39"/>
      <c r="BQ53" s="72" t="str">
        <f t="shared" si="49"/>
        <v/>
      </c>
      <c r="BR53" s="72" t="str">
        <f t="shared" si="35"/>
        <v/>
      </c>
    </row>
    <row r="54" spans="3:70" x14ac:dyDescent="0.15">
      <c r="D54" s="81" t="s">
        <v>187</v>
      </c>
      <c r="F54" s="67">
        <v>80</v>
      </c>
      <c r="G54" s="81" t="s">
        <v>172</v>
      </c>
      <c r="I54" s="322">
        <f t="shared" si="36"/>
        <v>2069</v>
      </c>
      <c r="J54" s="71"/>
      <c r="K54" s="71">
        <f t="shared" si="37"/>
        <v>40</v>
      </c>
      <c r="L54" s="71"/>
      <c r="M54" s="7">
        <f t="shared" si="0"/>
        <v>0.30655684077380685</v>
      </c>
      <c r="N54" s="71"/>
      <c r="O54" s="10" t="str">
        <f t="shared" si="16"/>
        <v/>
      </c>
      <c r="P54" s="29" t="str">
        <f t="shared" si="38"/>
        <v/>
      </c>
      <c r="Q54" s="71"/>
      <c r="R54" s="10" t="str">
        <f t="shared" si="50"/>
        <v/>
      </c>
      <c r="S54" s="71"/>
      <c r="T54" s="10" t="str">
        <f t="shared" si="18"/>
        <v/>
      </c>
      <c r="U54" s="71"/>
      <c r="V54" s="10" t="str">
        <f t="shared" si="39"/>
        <v/>
      </c>
      <c r="W54" s="10" t="str">
        <f t="shared" si="19"/>
        <v/>
      </c>
      <c r="X54" s="71"/>
      <c r="Y54" s="10" t="str">
        <f t="shared" si="40"/>
        <v/>
      </c>
      <c r="Z54" s="10" t="str">
        <f t="shared" si="20"/>
        <v/>
      </c>
      <c r="AA54" s="71"/>
      <c r="AB54" s="10" t="str">
        <f t="shared" si="4"/>
        <v/>
      </c>
      <c r="AC54" s="10" t="str">
        <f t="shared" si="21"/>
        <v/>
      </c>
      <c r="AD54" s="71"/>
      <c r="AE54" s="10" t="str">
        <f t="shared" si="41"/>
        <v/>
      </c>
      <c r="AF54" s="10" t="str">
        <f t="shared" si="22"/>
        <v/>
      </c>
      <c r="AG54" s="71"/>
      <c r="AH54" s="10" t="str">
        <f t="shared" si="42"/>
        <v/>
      </c>
      <c r="AI54" s="10" t="str">
        <f t="shared" si="23"/>
        <v/>
      </c>
      <c r="AJ54" s="71"/>
      <c r="AK54" s="10" t="str">
        <f t="shared" si="24"/>
        <v/>
      </c>
      <c r="AL54" s="10" t="str">
        <f t="shared" si="25"/>
        <v/>
      </c>
      <c r="AM54" s="71"/>
      <c r="AN54" s="10" t="str">
        <f t="shared" si="43"/>
        <v/>
      </c>
      <c r="AO54" s="10" t="str">
        <f t="shared" si="26"/>
        <v/>
      </c>
      <c r="AP54" s="71"/>
      <c r="AQ54" s="10" t="str">
        <f t="shared" si="44"/>
        <v/>
      </c>
      <c r="AR54" s="10" t="str">
        <f t="shared" si="27"/>
        <v/>
      </c>
      <c r="AS54" s="71"/>
      <c r="AT54" s="7" t="str">
        <f>IF($K54&lt;=$F$15,IF($F$40&lt;&gt;"",$F$40/1000,IF(ISERROR(VLOOKUP($F$3&amp;IF($G$4&lt;&gt;"",$G$4,"")&amp;IF($F$43&lt;&gt;"","_"&amp;$F$43,""),'表3）燃料価格'!$AF$9:$AG$25,2,0)),0,VLOOKUP($I54,'表3）燃料価格'!$A$6:$U$66,VLOOKUP($F$3&amp;IF($G$4&lt;&gt;"",$G$4,"")&amp;IF($F$43&lt;&gt;"","_"&amp;$F$43,""),'表3）燃料価格'!$AF$9:$AG$25,2,0)+VLOOKUP($F$41,'表3）燃料価格'!$AF$28:$AG$29,2,0),0)*IF($F$43="需要地価格",1,$F$8/$F$141))),"")</f>
        <v/>
      </c>
      <c r="AU54" s="71"/>
      <c r="AV54" s="10" t="str">
        <f t="shared" si="45"/>
        <v/>
      </c>
      <c r="AW54" s="10" t="str">
        <f t="shared" si="10"/>
        <v/>
      </c>
      <c r="AX54" s="71"/>
      <c r="AY54" s="7" t="str">
        <f>IF(ISERROR(IF($K54&lt;=$F$15,VLOOKUP($I54,'表4）CO2価格'!$A$7:$E$67,VLOOKUP($F$48,'表4）CO2価格'!$H$10:$I$12,2,0),0)*$F$8/1000,"")),0,IF($K54&lt;=$F$15,VLOOKUP($I54,'表4）CO2価格'!$A$7:$E$67,VLOOKUP($F$48,'表4）CO2価格'!$H$10:$I$12,2,0),0)*$F$8/1000,""))</f>
        <v/>
      </c>
      <c r="AZ54" s="71"/>
      <c r="BA54" s="11" t="str">
        <f t="shared" si="46"/>
        <v/>
      </c>
      <c r="BB54" s="10" t="str">
        <f t="shared" si="28"/>
        <v/>
      </c>
      <c r="BC54" s="71"/>
      <c r="BD54" s="10" t="str">
        <f t="shared" si="47"/>
        <v/>
      </c>
      <c r="BE54" s="10" t="str">
        <f t="shared" si="29"/>
        <v/>
      </c>
      <c r="BF54" s="71"/>
      <c r="BG54" s="11" t="str">
        <f t="shared" si="48"/>
        <v/>
      </c>
      <c r="BH54" s="10" t="str">
        <f t="shared" si="30"/>
        <v/>
      </c>
      <c r="BJ54" s="7" t="str">
        <f t="shared" si="31"/>
        <v/>
      </c>
      <c r="BK54" s="158" t="str">
        <f t="shared" si="32"/>
        <v/>
      </c>
      <c r="BL54" s="158" t="str">
        <f t="shared" si="14"/>
        <v/>
      </c>
      <c r="BM54" s="10"/>
      <c r="BN54" s="10" t="str">
        <f t="shared" si="33"/>
        <v/>
      </c>
      <c r="BO54" s="10" t="str">
        <f t="shared" si="34"/>
        <v/>
      </c>
      <c r="BQ54" s="10" t="str">
        <f t="shared" si="49"/>
        <v/>
      </c>
      <c r="BR54" s="10" t="str">
        <f t="shared" si="35"/>
        <v/>
      </c>
    </row>
    <row r="55" spans="3:70" ht="16.5" x14ac:dyDescent="0.15">
      <c r="D55" s="81" t="s">
        <v>188</v>
      </c>
      <c r="F55" s="109">
        <f>IF($F$43="需要地価格",38.9,41.63)</f>
        <v>41.63</v>
      </c>
      <c r="G55" s="9" t="s">
        <v>372</v>
      </c>
      <c r="I55" s="38">
        <f>I54+1</f>
        <v>2070</v>
      </c>
      <c r="J55" s="39"/>
      <c r="K55" s="39">
        <f>IF(I55&lt;&gt;"",K54+1,"")</f>
        <v>41</v>
      </c>
      <c r="L55" s="39"/>
      <c r="M55" s="40">
        <f t="shared" si="0"/>
        <v>0.29762800075126877</v>
      </c>
      <c r="N55" s="39"/>
      <c r="O55" s="72" t="str">
        <f t="shared" si="16"/>
        <v/>
      </c>
      <c r="P55" s="41" t="str">
        <f t="shared" si="38"/>
        <v/>
      </c>
      <c r="Q55" s="39"/>
      <c r="R55" s="72" t="str">
        <f t="shared" si="50"/>
        <v/>
      </c>
      <c r="S55" s="39"/>
      <c r="T55" s="72" t="str">
        <f t="shared" si="18"/>
        <v/>
      </c>
      <c r="U55" s="39"/>
      <c r="V55" s="72" t="str">
        <f t="shared" si="39"/>
        <v/>
      </c>
      <c r="W55" s="72" t="str">
        <f t="shared" si="19"/>
        <v/>
      </c>
      <c r="X55" s="39"/>
      <c r="Y55" s="72" t="str">
        <f t="shared" si="40"/>
        <v/>
      </c>
      <c r="Z55" s="72" t="str">
        <f t="shared" si="20"/>
        <v/>
      </c>
      <c r="AA55" s="39"/>
      <c r="AB55" s="72" t="str">
        <f t="shared" si="4"/>
        <v/>
      </c>
      <c r="AC55" s="72" t="str">
        <f t="shared" si="21"/>
        <v/>
      </c>
      <c r="AD55" s="39"/>
      <c r="AE55" s="72" t="str">
        <f t="shared" si="41"/>
        <v/>
      </c>
      <c r="AF55" s="72" t="str">
        <f t="shared" si="22"/>
        <v/>
      </c>
      <c r="AG55" s="39"/>
      <c r="AH55" s="72" t="str">
        <f t="shared" si="42"/>
        <v/>
      </c>
      <c r="AI55" s="72" t="str">
        <f t="shared" si="23"/>
        <v/>
      </c>
      <c r="AJ55" s="39"/>
      <c r="AK55" s="72" t="str">
        <f t="shared" si="24"/>
        <v/>
      </c>
      <c r="AL55" s="72" t="str">
        <f t="shared" si="25"/>
        <v/>
      </c>
      <c r="AM55" s="39"/>
      <c r="AN55" s="72" t="str">
        <f t="shared" si="43"/>
        <v/>
      </c>
      <c r="AO55" s="72" t="str">
        <f t="shared" si="26"/>
        <v/>
      </c>
      <c r="AP55" s="39"/>
      <c r="AQ55" s="72" t="str">
        <f t="shared" si="44"/>
        <v/>
      </c>
      <c r="AR55" s="72" t="str">
        <f t="shared" si="27"/>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45"/>
        <v/>
      </c>
      <c r="AW55" s="72" t="str">
        <f t="shared" si="10"/>
        <v/>
      </c>
      <c r="AX55" s="39"/>
      <c r="AY55" s="40" t="str">
        <f>IF(ISERROR(IF($K55&lt;=$F$15,VLOOKUP($I55,'表4）CO2価格'!$A$7:$E$67,VLOOKUP($F$48,'表4）CO2価格'!$H$10:$I$12,2,0),0)*$F$8/1000,"")),0,IF($K55&lt;=$F$15,VLOOKUP($I55,'表4）CO2価格'!$A$7:$E$67,VLOOKUP($F$48,'表4）CO2価格'!$H$10:$I$12,2,0),0)*$F$8/1000,""))</f>
        <v/>
      </c>
      <c r="AZ55" s="39"/>
      <c r="BA55" s="42" t="str">
        <f t="shared" si="46"/>
        <v/>
      </c>
      <c r="BB55" s="72" t="str">
        <f t="shared" si="28"/>
        <v/>
      </c>
      <c r="BC55" s="39"/>
      <c r="BD55" s="72" t="str">
        <f t="shared" si="47"/>
        <v/>
      </c>
      <c r="BE55" s="72" t="str">
        <f t="shared" si="29"/>
        <v/>
      </c>
      <c r="BF55" s="39"/>
      <c r="BG55" s="42" t="str">
        <f t="shared" si="48"/>
        <v/>
      </c>
      <c r="BH55" s="72" t="str">
        <f t="shared" si="30"/>
        <v/>
      </c>
      <c r="BI55" s="39"/>
      <c r="BJ55" s="40" t="str">
        <f t="shared" si="31"/>
        <v/>
      </c>
      <c r="BK55" s="157" t="str">
        <f t="shared" si="32"/>
        <v/>
      </c>
      <c r="BL55" s="157" t="str">
        <f t="shared" si="14"/>
        <v/>
      </c>
      <c r="BM55" s="72"/>
      <c r="BN55" s="72" t="str">
        <f t="shared" si="33"/>
        <v/>
      </c>
      <c r="BO55" s="72" t="str">
        <f t="shared" si="34"/>
        <v/>
      </c>
      <c r="BP55" s="39"/>
      <c r="BQ55" s="72" t="str">
        <f t="shared" si="49"/>
        <v/>
      </c>
      <c r="BR55" s="72" t="str">
        <f t="shared" si="35"/>
        <v/>
      </c>
    </row>
    <row r="56" spans="3:70" x14ac:dyDescent="0.15">
      <c r="D56" s="81" t="s">
        <v>189</v>
      </c>
      <c r="F56" s="59">
        <f>IF($F$43="需要地価格",0,7600)</f>
        <v>7600</v>
      </c>
      <c r="G56" s="81" t="s">
        <v>181</v>
      </c>
      <c r="I56" s="322">
        <f t="shared" si="36"/>
        <v>2071</v>
      </c>
      <c r="J56" s="71"/>
      <c r="K56" s="71">
        <f t="shared" si="37"/>
        <v>42</v>
      </c>
      <c r="L56" s="71"/>
      <c r="M56" s="7">
        <f t="shared" si="0"/>
        <v>0.28895922403035801</v>
      </c>
      <c r="N56" s="71"/>
      <c r="O56" s="10" t="str">
        <f t="shared" si="16"/>
        <v/>
      </c>
      <c r="P56" s="29" t="str">
        <f t="shared" si="38"/>
        <v/>
      </c>
      <c r="Q56" s="71"/>
      <c r="R56" s="10" t="str">
        <f t="shared" si="50"/>
        <v/>
      </c>
      <c r="S56" s="71"/>
      <c r="T56" s="10" t="str">
        <f t="shared" si="18"/>
        <v/>
      </c>
      <c r="U56" s="71"/>
      <c r="V56" s="10" t="str">
        <f t="shared" si="39"/>
        <v/>
      </c>
      <c r="W56" s="10" t="str">
        <f t="shared" si="19"/>
        <v/>
      </c>
      <c r="X56" s="71"/>
      <c r="Y56" s="10" t="str">
        <f t="shared" si="40"/>
        <v/>
      </c>
      <c r="Z56" s="10" t="str">
        <f t="shared" si="20"/>
        <v/>
      </c>
      <c r="AA56" s="71"/>
      <c r="AB56" s="10" t="str">
        <f t="shared" si="4"/>
        <v/>
      </c>
      <c r="AC56" s="10" t="str">
        <f t="shared" si="21"/>
        <v/>
      </c>
      <c r="AD56" s="71"/>
      <c r="AE56" s="10" t="str">
        <f t="shared" si="41"/>
        <v/>
      </c>
      <c r="AF56" s="10" t="str">
        <f t="shared" si="22"/>
        <v/>
      </c>
      <c r="AG56" s="71"/>
      <c r="AH56" s="10" t="str">
        <f t="shared" si="42"/>
        <v/>
      </c>
      <c r="AI56" s="10" t="str">
        <f t="shared" si="23"/>
        <v/>
      </c>
      <c r="AJ56" s="71"/>
      <c r="AK56" s="10" t="str">
        <f t="shared" si="24"/>
        <v/>
      </c>
      <c r="AL56" s="10" t="str">
        <f t="shared" si="25"/>
        <v/>
      </c>
      <c r="AM56" s="71"/>
      <c r="AN56" s="10" t="str">
        <f t="shared" si="43"/>
        <v/>
      </c>
      <c r="AO56" s="10" t="str">
        <f t="shared" si="26"/>
        <v/>
      </c>
      <c r="AP56" s="71"/>
      <c r="AQ56" s="10" t="str">
        <f t="shared" si="44"/>
        <v/>
      </c>
      <c r="AR56" s="10" t="str">
        <f t="shared" si="27"/>
        <v/>
      </c>
      <c r="AS56" s="71"/>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U56" s="71"/>
      <c r="AV56" s="10" t="str">
        <f t="shared" si="45"/>
        <v/>
      </c>
      <c r="AW56" s="10" t="str">
        <f t="shared" si="10"/>
        <v/>
      </c>
      <c r="AX56" s="71"/>
      <c r="AY56" s="7" t="str">
        <f>IF(ISERROR(IF($K56&lt;=$F$15,VLOOKUP($I56,'表4）CO2価格'!$A$7:$E$67,VLOOKUP($F$48,'表4）CO2価格'!$H$10:$I$12,2,0),0)*$F$8/1000,"")),0,IF($K56&lt;=$F$15,VLOOKUP($I56,'表4）CO2価格'!$A$7:$E$67,VLOOKUP($F$48,'表4）CO2価格'!$H$10:$I$12,2,0),0)*$F$8/1000,""))</f>
        <v/>
      </c>
      <c r="AZ56" s="71"/>
      <c r="BA56" s="11" t="str">
        <f t="shared" si="46"/>
        <v/>
      </c>
      <c r="BB56" s="10" t="str">
        <f t="shared" si="28"/>
        <v/>
      </c>
      <c r="BC56" s="71"/>
      <c r="BD56" s="10" t="str">
        <f t="shared" si="47"/>
        <v/>
      </c>
      <c r="BE56" s="10" t="str">
        <f t="shared" si="29"/>
        <v/>
      </c>
      <c r="BF56" s="71"/>
      <c r="BG56" s="11" t="str">
        <f t="shared" si="48"/>
        <v/>
      </c>
      <c r="BH56" s="10" t="str">
        <f t="shared" si="30"/>
        <v/>
      </c>
      <c r="BJ56" s="7" t="str">
        <f t="shared" si="31"/>
        <v/>
      </c>
      <c r="BK56" s="158" t="str">
        <f t="shared" si="32"/>
        <v/>
      </c>
      <c r="BL56" s="158" t="str">
        <f t="shared" si="14"/>
        <v/>
      </c>
      <c r="BM56" s="10"/>
      <c r="BN56" s="10" t="str">
        <f t="shared" si="33"/>
        <v/>
      </c>
      <c r="BO56" s="10" t="str">
        <f t="shared" si="34"/>
        <v/>
      </c>
      <c r="BQ56" s="10" t="str">
        <f t="shared" si="49"/>
        <v/>
      </c>
      <c r="BR56" s="10" t="str">
        <f t="shared" si="35"/>
        <v/>
      </c>
    </row>
    <row r="57" spans="3:70" x14ac:dyDescent="0.15">
      <c r="I57" s="38">
        <f t="shared" si="36"/>
        <v>2072</v>
      </c>
      <c r="J57" s="39"/>
      <c r="K57" s="39">
        <f t="shared" si="37"/>
        <v>43</v>
      </c>
      <c r="L57" s="39"/>
      <c r="M57" s="40">
        <f t="shared" si="0"/>
        <v>0.28054293595180391</v>
      </c>
      <c r="N57" s="39"/>
      <c r="O57" s="72" t="str">
        <f t="shared" si="16"/>
        <v/>
      </c>
      <c r="P57" s="41" t="str">
        <f t="shared" si="38"/>
        <v/>
      </c>
      <c r="Q57" s="39"/>
      <c r="R57" s="72" t="str">
        <f t="shared" si="50"/>
        <v/>
      </c>
      <c r="S57" s="39"/>
      <c r="T57" s="72" t="str">
        <f t="shared" si="18"/>
        <v/>
      </c>
      <c r="U57" s="39"/>
      <c r="V57" s="72" t="str">
        <f t="shared" si="39"/>
        <v/>
      </c>
      <c r="W57" s="72" t="str">
        <f t="shared" si="19"/>
        <v/>
      </c>
      <c r="X57" s="39"/>
      <c r="Y57" s="72" t="str">
        <f t="shared" si="40"/>
        <v/>
      </c>
      <c r="Z57" s="72" t="str">
        <f t="shared" si="20"/>
        <v/>
      </c>
      <c r="AA57" s="39"/>
      <c r="AB57" s="72" t="str">
        <f t="shared" si="4"/>
        <v/>
      </c>
      <c r="AC57" s="72" t="str">
        <f t="shared" si="21"/>
        <v/>
      </c>
      <c r="AD57" s="39"/>
      <c r="AE57" s="72" t="str">
        <f t="shared" si="41"/>
        <v/>
      </c>
      <c r="AF57" s="72" t="str">
        <f t="shared" si="22"/>
        <v/>
      </c>
      <c r="AG57" s="39"/>
      <c r="AH57" s="72" t="str">
        <f t="shared" si="42"/>
        <v/>
      </c>
      <c r="AI57" s="72" t="str">
        <f t="shared" si="23"/>
        <v/>
      </c>
      <c r="AJ57" s="39"/>
      <c r="AK57" s="72" t="str">
        <f t="shared" si="24"/>
        <v/>
      </c>
      <c r="AL57" s="72" t="str">
        <f t="shared" si="25"/>
        <v/>
      </c>
      <c r="AM57" s="39"/>
      <c r="AN57" s="72" t="str">
        <f t="shared" si="43"/>
        <v/>
      </c>
      <c r="AO57" s="72" t="str">
        <f t="shared" si="26"/>
        <v/>
      </c>
      <c r="AP57" s="39"/>
      <c r="AQ57" s="72" t="str">
        <f t="shared" si="44"/>
        <v/>
      </c>
      <c r="AR57" s="72" t="str">
        <f t="shared" si="27"/>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45"/>
        <v/>
      </c>
      <c r="AW57" s="72" t="str">
        <f t="shared" si="10"/>
        <v/>
      </c>
      <c r="AX57" s="39"/>
      <c r="AY57" s="40" t="str">
        <f>IF(ISERROR(IF($K57&lt;=$F$15,VLOOKUP($I57,'表4）CO2価格'!$A$7:$E$67,VLOOKUP($F$48,'表4）CO2価格'!$H$10:$I$12,2,0),0)*$F$8/1000,"")),0,IF($K57&lt;=$F$15,VLOOKUP($I57,'表4）CO2価格'!$A$7:$E$67,VLOOKUP($F$48,'表4）CO2価格'!$H$10:$I$12,2,0),0)*$F$8/1000,""))</f>
        <v/>
      </c>
      <c r="AZ57" s="39"/>
      <c r="BA57" s="42" t="str">
        <f t="shared" si="46"/>
        <v/>
      </c>
      <c r="BB57" s="72" t="str">
        <f t="shared" si="28"/>
        <v/>
      </c>
      <c r="BC57" s="39"/>
      <c r="BD57" s="72" t="str">
        <f t="shared" si="47"/>
        <v/>
      </c>
      <c r="BE57" s="72" t="str">
        <f t="shared" si="29"/>
        <v/>
      </c>
      <c r="BF57" s="39"/>
      <c r="BG57" s="42" t="str">
        <f t="shared" si="48"/>
        <v/>
      </c>
      <c r="BH57" s="72" t="str">
        <f t="shared" si="30"/>
        <v/>
      </c>
      <c r="BI57" s="39"/>
      <c r="BJ57" s="40" t="str">
        <f t="shared" si="31"/>
        <v/>
      </c>
      <c r="BK57" s="157" t="str">
        <f t="shared" si="32"/>
        <v/>
      </c>
      <c r="BL57" s="157" t="str">
        <f t="shared" si="14"/>
        <v/>
      </c>
      <c r="BM57" s="72"/>
      <c r="BN57" s="72" t="str">
        <f t="shared" si="33"/>
        <v/>
      </c>
      <c r="BO57" s="72" t="str">
        <f t="shared" si="34"/>
        <v/>
      </c>
      <c r="BP57" s="39"/>
      <c r="BQ57" s="72" t="str">
        <f t="shared" si="49"/>
        <v/>
      </c>
      <c r="BR57" s="72" t="str">
        <f t="shared" si="35"/>
        <v/>
      </c>
    </row>
    <row r="58" spans="3:70" x14ac:dyDescent="0.15">
      <c r="C58" s="89" t="s">
        <v>512</v>
      </c>
      <c r="D58" s="101"/>
      <c r="E58" s="101"/>
      <c r="F58" s="89"/>
      <c r="G58" s="101"/>
      <c r="I58" s="322">
        <f t="shared" si="36"/>
        <v>2073</v>
      </c>
      <c r="J58" s="71"/>
      <c r="K58" s="71">
        <f t="shared" si="37"/>
        <v>44</v>
      </c>
      <c r="L58" s="71"/>
      <c r="M58" s="7">
        <f t="shared" si="0"/>
        <v>0.27237178247747956</v>
      </c>
      <c r="N58" s="71"/>
      <c r="O58" s="10" t="str">
        <f t="shared" si="16"/>
        <v/>
      </c>
      <c r="P58" s="29" t="str">
        <f t="shared" si="38"/>
        <v/>
      </c>
      <c r="Q58" s="71"/>
      <c r="R58" s="10" t="str">
        <f t="shared" si="50"/>
        <v/>
      </c>
      <c r="S58" s="71"/>
      <c r="T58" s="10" t="str">
        <f t="shared" si="18"/>
        <v/>
      </c>
      <c r="U58" s="71"/>
      <c r="V58" s="10" t="str">
        <f t="shared" si="39"/>
        <v/>
      </c>
      <c r="W58" s="10" t="str">
        <f t="shared" si="19"/>
        <v/>
      </c>
      <c r="X58" s="71"/>
      <c r="Y58" s="10" t="str">
        <f t="shared" si="40"/>
        <v/>
      </c>
      <c r="Z58" s="10" t="str">
        <f t="shared" si="20"/>
        <v/>
      </c>
      <c r="AA58" s="71"/>
      <c r="AB58" s="10" t="str">
        <f t="shared" si="4"/>
        <v/>
      </c>
      <c r="AC58" s="10" t="str">
        <f t="shared" si="21"/>
        <v/>
      </c>
      <c r="AD58" s="71"/>
      <c r="AE58" s="10" t="str">
        <f t="shared" si="41"/>
        <v/>
      </c>
      <c r="AF58" s="10" t="str">
        <f t="shared" si="22"/>
        <v/>
      </c>
      <c r="AG58" s="71"/>
      <c r="AH58" s="10" t="str">
        <f t="shared" si="42"/>
        <v/>
      </c>
      <c r="AI58" s="10" t="str">
        <f t="shared" si="23"/>
        <v/>
      </c>
      <c r="AJ58" s="71"/>
      <c r="AK58" s="10" t="str">
        <f t="shared" si="24"/>
        <v/>
      </c>
      <c r="AL58" s="10" t="str">
        <f t="shared" si="25"/>
        <v/>
      </c>
      <c r="AM58" s="71"/>
      <c r="AN58" s="10" t="str">
        <f t="shared" si="43"/>
        <v/>
      </c>
      <c r="AO58" s="10" t="str">
        <f t="shared" si="26"/>
        <v/>
      </c>
      <c r="AP58" s="71"/>
      <c r="AQ58" s="10" t="str">
        <f t="shared" si="44"/>
        <v/>
      </c>
      <c r="AR58" s="10" t="str">
        <f t="shared" si="27"/>
        <v/>
      </c>
      <c r="AS58" s="71"/>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U58" s="71"/>
      <c r="AV58" s="10" t="str">
        <f t="shared" si="45"/>
        <v/>
      </c>
      <c r="AW58" s="10" t="str">
        <f t="shared" si="10"/>
        <v/>
      </c>
      <c r="AX58" s="71"/>
      <c r="AY58" s="7" t="str">
        <f>IF(ISERROR(IF($K58&lt;=$F$15,VLOOKUP($I58,'表4）CO2価格'!$A$7:$E$67,VLOOKUP($F$48,'表4）CO2価格'!$H$10:$I$12,2,0),0)*$F$8/1000,"")),0,IF($K58&lt;=$F$15,VLOOKUP($I58,'表4）CO2価格'!$A$7:$E$67,VLOOKUP($F$48,'表4）CO2価格'!$H$10:$I$12,2,0),0)*$F$8/1000,""))</f>
        <v/>
      </c>
      <c r="AZ58" s="71"/>
      <c r="BA58" s="11" t="str">
        <f t="shared" si="46"/>
        <v/>
      </c>
      <c r="BB58" s="10" t="str">
        <f t="shared" si="28"/>
        <v/>
      </c>
      <c r="BC58" s="71"/>
      <c r="BD58" s="10" t="str">
        <f t="shared" si="47"/>
        <v/>
      </c>
      <c r="BE58" s="10" t="str">
        <f t="shared" si="29"/>
        <v/>
      </c>
      <c r="BF58" s="71"/>
      <c r="BG58" s="11" t="str">
        <f t="shared" si="48"/>
        <v/>
      </c>
      <c r="BH58" s="10" t="str">
        <f t="shared" si="30"/>
        <v/>
      </c>
      <c r="BJ58" s="7" t="str">
        <f t="shared" si="31"/>
        <v/>
      </c>
      <c r="BK58" s="158" t="str">
        <f t="shared" si="32"/>
        <v/>
      </c>
      <c r="BL58" s="158" t="str">
        <f t="shared" si="14"/>
        <v/>
      </c>
      <c r="BM58" s="10"/>
      <c r="BN58" s="10" t="str">
        <f t="shared" si="33"/>
        <v/>
      </c>
      <c r="BO58" s="10" t="str">
        <f t="shared" si="34"/>
        <v/>
      </c>
      <c r="BQ58" s="10" t="str">
        <f t="shared" si="49"/>
        <v/>
      </c>
      <c r="BR58" s="10" t="str">
        <f t="shared" si="35"/>
        <v/>
      </c>
    </row>
    <row r="59" spans="3:70" x14ac:dyDescent="0.15">
      <c r="I59" s="38">
        <f t="shared" si="36"/>
        <v>2074</v>
      </c>
      <c r="J59" s="39"/>
      <c r="K59" s="39">
        <f t="shared" si="37"/>
        <v>45</v>
      </c>
      <c r="L59" s="39"/>
      <c r="M59" s="40">
        <f t="shared" si="0"/>
        <v>0.26443862376454325</v>
      </c>
      <c r="N59" s="39"/>
      <c r="O59" s="72" t="str">
        <f t="shared" si="16"/>
        <v/>
      </c>
      <c r="P59" s="41" t="str">
        <f t="shared" si="38"/>
        <v/>
      </c>
      <c r="Q59" s="39"/>
      <c r="R59" s="72" t="str">
        <f t="shared" si="50"/>
        <v/>
      </c>
      <c r="S59" s="39"/>
      <c r="T59" s="72" t="str">
        <f t="shared" si="18"/>
        <v/>
      </c>
      <c r="U59" s="39"/>
      <c r="V59" s="72" t="str">
        <f t="shared" si="39"/>
        <v/>
      </c>
      <c r="W59" s="72" t="str">
        <f t="shared" si="19"/>
        <v/>
      </c>
      <c r="X59" s="39"/>
      <c r="Y59" s="72" t="str">
        <f t="shared" si="40"/>
        <v/>
      </c>
      <c r="Z59" s="72" t="str">
        <f t="shared" si="20"/>
        <v/>
      </c>
      <c r="AA59" s="39"/>
      <c r="AB59" s="72" t="str">
        <f t="shared" si="4"/>
        <v/>
      </c>
      <c r="AC59" s="72" t="str">
        <f t="shared" si="21"/>
        <v/>
      </c>
      <c r="AD59" s="39"/>
      <c r="AE59" s="72" t="str">
        <f t="shared" si="41"/>
        <v/>
      </c>
      <c r="AF59" s="72" t="str">
        <f t="shared" si="22"/>
        <v/>
      </c>
      <c r="AG59" s="39"/>
      <c r="AH59" s="72" t="str">
        <f t="shared" si="42"/>
        <v/>
      </c>
      <c r="AI59" s="72" t="str">
        <f t="shared" si="23"/>
        <v/>
      </c>
      <c r="AJ59" s="39"/>
      <c r="AK59" s="72" t="str">
        <f t="shared" si="24"/>
        <v/>
      </c>
      <c r="AL59" s="72" t="str">
        <f t="shared" si="25"/>
        <v/>
      </c>
      <c r="AM59" s="39"/>
      <c r="AN59" s="72" t="str">
        <f t="shared" si="43"/>
        <v/>
      </c>
      <c r="AO59" s="72" t="str">
        <f t="shared" si="26"/>
        <v/>
      </c>
      <c r="AP59" s="39"/>
      <c r="AQ59" s="72" t="str">
        <f t="shared" si="44"/>
        <v/>
      </c>
      <c r="AR59" s="72" t="str">
        <f t="shared" si="27"/>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45"/>
        <v/>
      </c>
      <c r="AW59" s="72" t="str">
        <f t="shared" si="10"/>
        <v/>
      </c>
      <c r="AX59" s="39"/>
      <c r="AY59" s="40" t="str">
        <f>IF(ISERROR(IF($K59&lt;=$F$15,VLOOKUP($I59,'表4）CO2価格'!$A$7:$E$67,VLOOKUP($F$48,'表4）CO2価格'!$H$10:$I$12,2,0),0)*$F$8/1000,"")),0,IF($K59&lt;=$F$15,VLOOKUP($I59,'表4）CO2価格'!$A$7:$E$67,VLOOKUP($F$48,'表4）CO2価格'!$H$10:$I$12,2,0),0)*$F$8/1000,""))</f>
        <v/>
      </c>
      <c r="AZ59" s="39"/>
      <c r="BA59" s="42" t="str">
        <f t="shared" si="46"/>
        <v/>
      </c>
      <c r="BB59" s="72" t="str">
        <f t="shared" si="28"/>
        <v/>
      </c>
      <c r="BC59" s="39"/>
      <c r="BD59" s="72" t="str">
        <f t="shared" si="47"/>
        <v/>
      </c>
      <c r="BE59" s="72" t="str">
        <f t="shared" si="29"/>
        <v/>
      </c>
      <c r="BF59" s="39"/>
      <c r="BG59" s="42" t="str">
        <f t="shared" si="48"/>
        <v/>
      </c>
      <c r="BH59" s="72" t="str">
        <f t="shared" si="30"/>
        <v/>
      </c>
      <c r="BI59" s="39"/>
      <c r="BJ59" s="40" t="str">
        <f t="shared" si="31"/>
        <v/>
      </c>
      <c r="BK59" s="157" t="str">
        <f t="shared" si="32"/>
        <v/>
      </c>
      <c r="BL59" s="157" t="str">
        <f t="shared" si="14"/>
        <v/>
      </c>
      <c r="BM59" s="72"/>
      <c r="BN59" s="72" t="str">
        <f t="shared" si="33"/>
        <v/>
      </c>
      <c r="BO59" s="72" t="str">
        <f t="shared" si="34"/>
        <v/>
      </c>
      <c r="BP59" s="39"/>
      <c r="BQ59" s="72" t="str">
        <f t="shared" si="49"/>
        <v/>
      </c>
      <c r="BR59" s="72" t="str">
        <f t="shared" si="35"/>
        <v/>
      </c>
    </row>
    <row r="60" spans="3:70" x14ac:dyDescent="0.15">
      <c r="D60" s="81" t="s">
        <v>128</v>
      </c>
      <c r="F60" s="59"/>
      <c r="G60" s="81" t="s">
        <v>176</v>
      </c>
      <c r="I60" s="322">
        <f t="shared" si="36"/>
        <v>2075</v>
      </c>
      <c r="J60" s="71"/>
      <c r="K60" s="71">
        <f t="shared" si="37"/>
        <v>46</v>
      </c>
      <c r="L60" s="71"/>
      <c r="M60" s="7">
        <f t="shared" si="0"/>
        <v>0.25673652792674101</v>
      </c>
      <c r="N60" s="71"/>
      <c r="O60" s="10" t="str">
        <f t="shared" si="16"/>
        <v/>
      </c>
      <c r="P60" s="29" t="str">
        <f t="shared" si="38"/>
        <v/>
      </c>
      <c r="Q60" s="71"/>
      <c r="R60" s="10" t="str">
        <f t="shared" si="50"/>
        <v/>
      </c>
      <c r="S60" s="71"/>
      <c r="T60" s="10" t="str">
        <f t="shared" si="18"/>
        <v/>
      </c>
      <c r="U60" s="71"/>
      <c r="V60" s="10" t="str">
        <f t="shared" si="39"/>
        <v/>
      </c>
      <c r="W60" s="10" t="str">
        <f t="shared" si="19"/>
        <v/>
      </c>
      <c r="X60" s="71"/>
      <c r="Y60" s="10" t="str">
        <f t="shared" si="40"/>
        <v/>
      </c>
      <c r="Z60" s="10" t="str">
        <f t="shared" si="20"/>
        <v/>
      </c>
      <c r="AA60" s="71"/>
      <c r="AB60" s="10" t="str">
        <f t="shared" si="4"/>
        <v/>
      </c>
      <c r="AC60" s="10" t="str">
        <f t="shared" si="21"/>
        <v/>
      </c>
      <c r="AD60" s="71"/>
      <c r="AE60" s="10" t="str">
        <f t="shared" si="41"/>
        <v/>
      </c>
      <c r="AF60" s="10" t="str">
        <f t="shared" si="22"/>
        <v/>
      </c>
      <c r="AG60" s="71"/>
      <c r="AH60" s="10" t="str">
        <f t="shared" si="42"/>
        <v/>
      </c>
      <c r="AI60" s="10" t="str">
        <f t="shared" si="23"/>
        <v/>
      </c>
      <c r="AJ60" s="71"/>
      <c r="AK60" s="10" t="str">
        <f t="shared" si="24"/>
        <v/>
      </c>
      <c r="AL60" s="10" t="str">
        <f t="shared" si="25"/>
        <v/>
      </c>
      <c r="AM60" s="71"/>
      <c r="AN60" s="10" t="str">
        <f t="shared" si="43"/>
        <v/>
      </c>
      <c r="AO60" s="10" t="str">
        <f t="shared" si="26"/>
        <v/>
      </c>
      <c r="AP60" s="71"/>
      <c r="AQ60" s="10" t="str">
        <f t="shared" si="44"/>
        <v/>
      </c>
      <c r="AR60" s="10" t="str">
        <f t="shared" si="27"/>
        <v/>
      </c>
      <c r="AS60" s="71"/>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U60" s="71"/>
      <c r="AV60" s="10" t="str">
        <f t="shared" si="45"/>
        <v/>
      </c>
      <c r="AW60" s="10" t="str">
        <f t="shared" si="10"/>
        <v/>
      </c>
      <c r="AX60" s="71"/>
      <c r="AY60" s="7" t="str">
        <f>IF(ISERROR(IF($K60&lt;=$F$15,VLOOKUP($I60,'表4）CO2価格'!$A$7:$E$67,VLOOKUP($F$48,'表4）CO2価格'!$H$10:$I$12,2,0),0)*$F$8/1000,"")),0,IF($K60&lt;=$F$15,VLOOKUP($I60,'表4）CO2価格'!$A$7:$E$67,VLOOKUP($F$48,'表4）CO2価格'!$H$10:$I$12,2,0),0)*$F$8/1000,""))</f>
        <v/>
      </c>
      <c r="AZ60" s="71"/>
      <c r="BA60" s="11" t="str">
        <f t="shared" si="46"/>
        <v/>
      </c>
      <c r="BB60" s="10" t="str">
        <f t="shared" si="28"/>
        <v/>
      </c>
      <c r="BC60" s="71"/>
      <c r="BD60" s="10" t="str">
        <f t="shared" si="47"/>
        <v/>
      </c>
      <c r="BE60" s="10" t="str">
        <f t="shared" si="29"/>
        <v/>
      </c>
      <c r="BF60" s="71"/>
      <c r="BG60" s="11" t="str">
        <f t="shared" si="48"/>
        <v/>
      </c>
      <c r="BH60" s="10" t="str">
        <f t="shared" si="30"/>
        <v/>
      </c>
      <c r="BJ60" s="7" t="str">
        <f t="shared" si="31"/>
        <v/>
      </c>
      <c r="BK60" s="158" t="str">
        <f t="shared" si="32"/>
        <v/>
      </c>
      <c r="BL60" s="158" t="str">
        <f t="shared" si="14"/>
        <v/>
      </c>
      <c r="BM60" s="10"/>
      <c r="BN60" s="10" t="str">
        <f t="shared" si="33"/>
        <v/>
      </c>
      <c r="BO60" s="10" t="str">
        <f t="shared" si="34"/>
        <v/>
      </c>
      <c r="BQ60" s="10" t="str">
        <f t="shared" si="49"/>
        <v/>
      </c>
      <c r="BR60" s="10" t="str">
        <f t="shared" si="35"/>
        <v/>
      </c>
    </row>
    <row r="61" spans="3:70" x14ac:dyDescent="0.15">
      <c r="D61" s="81" t="s">
        <v>190</v>
      </c>
      <c r="F61" s="66"/>
      <c r="G61" s="81" t="s">
        <v>108</v>
      </c>
      <c r="I61" s="38">
        <f t="shared" si="36"/>
        <v>2076</v>
      </c>
      <c r="J61" s="39"/>
      <c r="K61" s="39">
        <f t="shared" si="37"/>
        <v>47</v>
      </c>
      <c r="L61" s="39"/>
      <c r="M61" s="40">
        <f t="shared" si="0"/>
        <v>0.24925876497741845</v>
      </c>
      <c r="N61" s="39"/>
      <c r="O61" s="72" t="str">
        <f t="shared" si="16"/>
        <v/>
      </c>
      <c r="P61" s="41" t="str">
        <f t="shared" si="38"/>
        <v/>
      </c>
      <c r="Q61" s="39"/>
      <c r="R61" s="72" t="str">
        <f t="shared" si="50"/>
        <v/>
      </c>
      <c r="S61" s="39"/>
      <c r="T61" s="72" t="str">
        <f t="shared" si="18"/>
        <v/>
      </c>
      <c r="U61" s="39"/>
      <c r="V61" s="72" t="str">
        <f t="shared" si="39"/>
        <v/>
      </c>
      <c r="W61" s="72" t="str">
        <f t="shared" si="19"/>
        <v/>
      </c>
      <c r="X61" s="39"/>
      <c r="Y61" s="72" t="str">
        <f t="shared" si="40"/>
        <v/>
      </c>
      <c r="Z61" s="72" t="str">
        <f t="shared" si="20"/>
        <v/>
      </c>
      <c r="AA61" s="39"/>
      <c r="AB61" s="72" t="str">
        <f t="shared" si="4"/>
        <v/>
      </c>
      <c r="AC61" s="72" t="str">
        <f t="shared" si="21"/>
        <v/>
      </c>
      <c r="AD61" s="39"/>
      <c r="AE61" s="72" t="str">
        <f t="shared" si="41"/>
        <v/>
      </c>
      <c r="AF61" s="72" t="str">
        <f t="shared" si="22"/>
        <v/>
      </c>
      <c r="AG61" s="39"/>
      <c r="AH61" s="72" t="str">
        <f t="shared" si="42"/>
        <v/>
      </c>
      <c r="AI61" s="72" t="str">
        <f t="shared" si="23"/>
        <v/>
      </c>
      <c r="AJ61" s="39"/>
      <c r="AK61" s="72" t="str">
        <f t="shared" si="24"/>
        <v/>
      </c>
      <c r="AL61" s="72" t="str">
        <f t="shared" si="25"/>
        <v/>
      </c>
      <c r="AM61" s="39"/>
      <c r="AN61" s="72" t="str">
        <f t="shared" si="43"/>
        <v/>
      </c>
      <c r="AO61" s="72" t="str">
        <f t="shared" si="26"/>
        <v/>
      </c>
      <c r="AP61" s="39"/>
      <c r="AQ61" s="72" t="str">
        <f t="shared" si="44"/>
        <v/>
      </c>
      <c r="AR61" s="72" t="str">
        <f t="shared" si="27"/>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45"/>
        <v/>
      </c>
      <c r="AW61" s="72" t="str">
        <f t="shared" si="10"/>
        <v/>
      </c>
      <c r="AX61" s="39"/>
      <c r="AY61" s="40" t="str">
        <f>IF(ISERROR(IF($K61&lt;=$F$15,VLOOKUP($I61,'表4）CO2価格'!$A$7:$E$67,VLOOKUP($F$48,'表4）CO2価格'!$H$10:$I$12,2,0),0)*$F$8/1000,"")),0,IF($K61&lt;=$F$15,VLOOKUP($I61,'表4）CO2価格'!$A$7:$E$67,VLOOKUP($F$48,'表4）CO2価格'!$H$10:$I$12,2,0),0)*$F$8/1000,""))</f>
        <v/>
      </c>
      <c r="AZ61" s="39"/>
      <c r="BA61" s="42" t="str">
        <f t="shared" si="46"/>
        <v/>
      </c>
      <c r="BB61" s="72" t="str">
        <f t="shared" si="28"/>
        <v/>
      </c>
      <c r="BC61" s="39"/>
      <c r="BD61" s="72" t="str">
        <f t="shared" si="47"/>
        <v/>
      </c>
      <c r="BE61" s="72" t="str">
        <f t="shared" si="29"/>
        <v/>
      </c>
      <c r="BF61" s="39"/>
      <c r="BG61" s="42" t="str">
        <f t="shared" si="48"/>
        <v/>
      </c>
      <c r="BH61" s="72" t="str">
        <f t="shared" si="30"/>
        <v/>
      </c>
      <c r="BI61" s="39"/>
      <c r="BJ61" s="40" t="str">
        <f t="shared" si="31"/>
        <v/>
      </c>
      <c r="BK61" s="157" t="str">
        <f t="shared" si="32"/>
        <v/>
      </c>
      <c r="BL61" s="157" t="str">
        <f t="shared" si="14"/>
        <v/>
      </c>
      <c r="BM61" s="72"/>
      <c r="BN61" s="72" t="str">
        <f t="shared" si="33"/>
        <v/>
      </c>
      <c r="BO61" s="72" t="str">
        <f t="shared" si="34"/>
        <v/>
      </c>
      <c r="BP61" s="39"/>
      <c r="BQ61" s="72" t="str">
        <f t="shared" si="49"/>
        <v/>
      </c>
      <c r="BR61" s="72" t="str">
        <f t="shared" si="35"/>
        <v/>
      </c>
    </row>
    <row r="62" spans="3:70" x14ac:dyDescent="0.15">
      <c r="D62" s="81" t="s">
        <v>131</v>
      </c>
      <c r="F62" s="59"/>
      <c r="G62" s="81" t="s">
        <v>191</v>
      </c>
      <c r="I62" s="322">
        <f t="shared" si="36"/>
        <v>2077</v>
      </c>
      <c r="J62" s="71"/>
      <c r="K62" s="71">
        <f t="shared" si="37"/>
        <v>48</v>
      </c>
      <c r="L62" s="71"/>
      <c r="M62" s="7">
        <f t="shared" si="0"/>
        <v>0.24199880094894996</v>
      </c>
      <c r="N62" s="71"/>
      <c r="O62" s="10" t="str">
        <f t="shared" si="16"/>
        <v/>
      </c>
      <c r="P62" s="29" t="str">
        <f t="shared" si="38"/>
        <v/>
      </c>
      <c r="Q62" s="71"/>
      <c r="R62" s="10" t="str">
        <f t="shared" si="50"/>
        <v/>
      </c>
      <c r="S62" s="71"/>
      <c r="T62" s="10" t="str">
        <f t="shared" si="18"/>
        <v/>
      </c>
      <c r="U62" s="71"/>
      <c r="V62" s="10" t="str">
        <f t="shared" si="39"/>
        <v/>
      </c>
      <c r="W62" s="10" t="str">
        <f t="shared" si="19"/>
        <v/>
      </c>
      <c r="X62" s="71"/>
      <c r="Y62" s="10" t="str">
        <f t="shared" si="40"/>
        <v/>
      </c>
      <c r="Z62" s="10" t="str">
        <f t="shared" si="20"/>
        <v/>
      </c>
      <c r="AA62" s="71"/>
      <c r="AB62" s="10" t="str">
        <f t="shared" si="4"/>
        <v/>
      </c>
      <c r="AC62" s="10" t="str">
        <f t="shared" si="21"/>
        <v/>
      </c>
      <c r="AD62" s="71"/>
      <c r="AE62" s="10" t="str">
        <f t="shared" si="41"/>
        <v/>
      </c>
      <c r="AF62" s="10" t="str">
        <f t="shared" si="22"/>
        <v/>
      </c>
      <c r="AG62" s="71"/>
      <c r="AH62" s="10" t="str">
        <f t="shared" si="42"/>
        <v/>
      </c>
      <c r="AI62" s="10" t="str">
        <f t="shared" si="23"/>
        <v/>
      </c>
      <c r="AJ62" s="71"/>
      <c r="AK62" s="10" t="str">
        <f t="shared" si="24"/>
        <v/>
      </c>
      <c r="AL62" s="10" t="str">
        <f t="shared" si="25"/>
        <v/>
      </c>
      <c r="AM62" s="71"/>
      <c r="AN62" s="10" t="str">
        <f t="shared" si="43"/>
        <v/>
      </c>
      <c r="AO62" s="10" t="str">
        <f t="shared" si="26"/>
        <v/>
      </c>
      <c r="AP62" s="71"/>
      <c r="AQ62" s="10" t="str">
        <f t="shared" si="44"/>
        <v/>
      </c>
      <c r="AR62" s="10" t="str">
        <f t="shared" si="27"/>
        <v/>
      </c>
      <c r="AS62" s="71"/>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U62" s="71"/>
      <c r="AV62" s="10" t="str">
        <f t="shared" si="45"/>
        <v/>
      </c>
      <c r="AW62" s="10" t="str">
        <f t="shared" si="10"/>
        <v/>
      </c>
      <c r="AX62" s="71"/>
      <c r="AY62" s="7" t="str">
        <f>IF(ISERROR(IF($K62&lt;=$F$15,VLOOKUP($I62,'表4）CO2価格'!$A$7:$E$67,VLOOKUP($F$48,'表4）CO2価格'!$H$10:$I$12,2,0),0)*$F$8/1000,"")),0,IF($K62&lt;=$F$15,VLOOKUP($I62,'表4）CO2価格'!$A$7:$E$67,VLOOKUP($F$48,'表4）CO2価格'!$H$10:$I$12,2,0),0)*$F$8/1000,""))</f>
        <v/>
      </c>
      <c r="AZ62" s="71"/>
      <c r="BA62" s="11" t="str">
        <f t="shared" si="46"/>
        <v/>
      </c>
      <c r="BB62" s="10" t="str">
        <f t="shared" si="28"/>
        <v/>
      </c>
      <c r="BC62" s="71"/>
      <c r="BD62" s="10" t="str">
        <f t="shared" si="47"/>
        <v/>
      </c>
      <c r="BE62" s="10" t="str">
        <f t="shared" si="29"/>
        <v/>
      </c>
      <c r="BF62" s="71"/>
      <c r="BG62" s="11" t="str">
        <f t="shared" si="48"/>
        <v/>
      </c>
      <c r="BH62" s="10" t="str">
        <f t="shared" si="30"/>
        <v/>
      </c>
      <c r="BJ62" s="7" t="str">
        <f t="shared" si="31"/>
        <v/>
      </c>
      <c r="BK62" s="158" t="str">
        <f t="shared" si="32"/>
        <v/>
      </c>
      <c r="BL62" s="158" t="str">
        <f t="shared" si="14"/>
        <v/>
      </c>
      <c r="BM62" s="10"/>
      <c r="BN62" s="10" t="str">
        <f t="shared" si="33"/>
        <v/>
      </c>
      <c r="BO62" s="10" t="str">
        <f t="shared" si="34"/>
        <v/>
      </c>
      <c r="BQ62" s="10" t="str">
        <f t="shared" si="49"/>
        <v/>
      </c>
      <c r="BR62" s="10" t="str">
        <f t="shared" si="35"/>
        <v/>
      </c>
    </row>
    <row r="63" spans="3:70" x14ac:dyDescent="0.15">
      <c r="I63" s="38">
        <f t="shared" si="36"/>
        <v>2078</v>
      </c>
      <c r="J63" s="39"/>
      <c r="K63" s="39">
        <f t="shared" si="37"/>
        <v>49</v>
      </c>
      <c r="L63" s="39"/>
      <c r="M63" s="40">
        <f t="shared" si="0"/>
        <v>0.2349502921834466</v>
      </c>
      <c r="N63" s="39"/>
      <c r="O63" s="72" t="str">
        <f t="shared" si="16"/>
        <v/>
      </c>
      <c r="P63" s="41" t="str">
        <f t="shared" si="38"/>
        <v/>
      </c>
      <c r="Q63" s="39"/>
      <c r="R63" s="72" t="str">
        <f t="shared" si="50"/>
        <v/>
      </c>
      <c r="S63" s="39"/>
      <c r="T63" s="72" t="str">
        <f t="shared" si="18"/>
        <v/>
      </c>
      <c r="U63" s="39"/>
      <c r="V63" s="72" t="str">
        <f t="shared" si="39"/>
        <v/>
      </c>
      <c r="W63" s="72" t="str">
        <f t="shared" si="19"/>
        <v/>
      </c>
      <c r="X63" s="39"/>
      <c r="Y63" s="72" t="str">
        <f t="shared" si="40"/>
        <v/>
      </c>
      <c r="Z63" s="72" t="str">
        <f t="shared" si="20"/>
        <v/>
      </c>
      <c r="AA63" s="39"/>
      <c r="AB63" s="72" t="str">
        <f t="shared" si="4"/>
        <v/>
      </c>
      <c r="AC63" s="72" t="str">
        <f t="shared" si="21"/>
        <v/>
      </c>
      <c r="AD63" s="39"/>
      <c r="AE63" s="72" t="str">
        <f t="shared" si="41"/>
        <v/>
      </c>
      <c r="AF63" s="72" t="str">
        <f t="shared" si="22"/>
        <v/>
      </c>
      <c r="AG63" s="39"/>
      <c r="AH63" s="72" t="str">
        <f t="shared" si="42"/>
        <v/>
      </c>
      <c r="AI63" s="72" t="str">
        <f t="shared" si="23"/>
        <v/>
      </c>
      <c r="AJ63" s="39"/>
      <c r="AK63" s="72" t="str">
        <f t="shared" si="24"/>
        <v/>
      </c>
      <c r="AL63" s="72" t="str">
        <f t="shared" si="25"/>
        <v/>
      </c>
      <c r="AM63" s="39"/>
      <c r="AN63" s="72" t="str">
        <f t="shared" si="43"/>
        <v/>
      </c>
      <c r="AO63" s="72" t="str">
        <f t="shared" si="26"/>
        <v/>
      </c>
      <c r="AP63" s="39"/>
      <c r="AQ63" s="72" t="str">
        <f t="shared" si="44"/>
        <v/>
      </c>
      <c r="AR63" s="72" t="str">
        <f t="shared" si="27"/>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45"/>
        <v/>
      </c>
      <c r="AW63" s="72" t="str">
        <f t="shared" si="10"/>
        <v/>
      </c>
      <c r="AX63" s="39"/>
      <c r="AY63" s="40" t="str">
        <f>IF(ISERROR(IF($K63&lt;=$F$15,VLOOKUP($I63,'表4）CO2価格'!$A$7:$E$67,VLOOKUP($F$48,'表4）CO2価格'!$H$10:$I$12,2,0),0)*$F$8/1000,"")),0,IF($K63&lt;=$F$15,VLOOKUP($I63,'表4）CO2価格'!$A$7:$E$67,VLOOKUP($F$48,'表4）CO2価格'!$H$10:$I$12,2,0),0)*$F$8/1000,""))</f>
        <v/>
      </c>
      <c r="AZ63" s="39"/>
      <c r="BA63" s="42" t="str">
        <f t="shared" si="46"/>
        <v/>
      </c>
      <c r="BB63" s="72" t="str">
        <f t="shared" si="28"/>
        <v/>
      </c>
      <c r="BC63" s="39"/>
      <c r="BD63" s="72" t="str">
        <f t="shared" si="47"/>
        <v/>
      </c>
      <c r="BE63" s="72" t="str">
        <f t="shared" si="29"/>
        <v/>
      </c>
      <c r="BF63" s="39"/>
      <c r="BG63" s="42" t="str">
        <f t="shared" si="48"/>
        <v/>
      </c>
      <c r="BH63" s="72" t="str">
        <f t="shared" si="30"/>
        <v/>
      </c>
      <c r="BI63" s="39"/>
      <c r="BJ63" s="40" t="str">
        <f t="shared" si="31"/>
        <v/>
      </c>
      <c r="BK63" s="157" t="str">
        <f t="shared" si="32"/>
        <v/>
      </c>
      <c r="BL63" s="157" t="str">
        <f t="shared" si="14"/>
        <v/>
      </c>
      <c r="BM63" s="72"/>
      <c r="BN63" s="72" t="str">
        <f t="shared" si="33"/>
        <v/>
      </c>
      <c r="BO63" s="72" t="str">
        <f t="shared" si="34"/>
        <v/>
      </c>
      <c r="BP63" s="39"/>
      <c r="BQ63" s="72" t="str">
        <f t="shared" si="49"/>
        <v/>
      </c>
      <c r="BR63" s="72" t="str">
        <f t="shared" si="35"/>
        <v/>
      </c>
    </row>
    <row r="64" spans="3:70" x14ac:dyDescent="0.15">
      <c r="C64" s="9" t="s">
        <v>513</v>
      </c>
      <c r="F64" s="90">
        <v>0.03</v>
      </c>
      <c r="G64" s="81" t="s">
        <v>132</v>
      </c>
      <c r="I64" s="322">
        <f t="shared" si="36"/>
        <v>2079</v>
      </c>
      <c r="J64" s="71"/>
      <c r="K64" s="71">
        <f t="shared" si="37"/>
        <v>50</v>
      </c>
      <c r="L64" s="71"/>
      <c r="M64" s="7">
        <f t="shared" si="0"/>
        <v>0.22810707978975397</v>
      </c>
      <c r="N64" s="71"/>
      <c r="O64" s="10" t="str">
        <f t="shared" si="16"/>
        <v/>
      </c>
      <c r="P64" s="29" t="str">
        <f t="shared" si="38"/>
        <v/>
      </c>
      <c r="Q64" s="71"/>
      <c r="R64" s="10" t="str">
        <f t="shared" si="50"/>
        <v/>
      </c>
      <c r="S64" s="71"/>
      <c r="T64" s="10" t="str">
        <f t="shared" si="18"/>
        <v/>
      </c>
      <c r="U64" s="71"/>
      <c r="V64" s="10" t="str">
        <f t="shared" si="39"/>
        <v/>
      </c>
      <c r="W64" s="10" t="str">
        <f t="shared" si="19"/>
        <v/>
      </c>
      <c r="X64" s="71"/>
      <c r="Y64" s="10" t="str">
        <f t="shared" si="40"/>
        <v/>
      </c>
      <c r="Z64" s="10" t="str">
        <f t="shared" si="20"/>
        <v/>
      </c>
      <c r="AA64" s="71"/>
      <c r="AB64" s="10" t="str">
        <f t="shared" si="4"/>
        <v/>
      </c>
      <c r="AC64" s="10" t="str">
        <f t="shared" si="21"/>
        <v/>
      </c>
      <c r="AD64" s="71"/>
      <c r="AE64" s="10" t="str">
        <f t="shared" si="41"/>
        <v/>
      </c>
      <c r="AF64" s="10" t="str">
        <f t="shared" si="22"/>
        <v/>
      </c>
      <c r="AG64" s="71"/>
      <c r="AH64" s="10" t="str">
        <f t="shared" si="42"/>
        <v/>
      </c>
      <c r="AI64" s="10" t="str">
        <f t="shared" si="23"/>
        <v/>
      </c>
      <c r="AJ64" s="71"/>
      <c r="AK64" s="10" t="str">
        <f t="shared" si="24"/>
        <v/>
      </c>
      <c r="AL64" s="10" t="str">
        <f t="shared" si="25"/>
        <v/>
      </c>
      <c r="AM64" s="71"/>
      <c r="AN64" s="10" t="str">
        <f t="shared" si="43"/>
        <v/>
      </c>
      <c r="AO64" s="10" t="str">
        <f t="shared" si="26"/>
        <v/>
      </c>
      <c r="AP64" s="71"/>
      <c r="AQ64" s="10" t="str">
        <f t="shared" si="44"/>
        <v/>
      </c>
      <c r="AR64" s="10" t="str">
        <f t="shared" si="27"/>
        <v/>
      </c>
      <c r="AS64" s="71"/>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U64" s="71"/>
      <c r="AV64" s="10" t="str">
        <f t="shared" si="45"/>
        <v/>
      </c>
      <c r="AW64" s="10" t="str">
        <f t="shared" si="10"/>
        <v/>
      </c>
      <c r="AX64" s="71"/>
      <c r="AY64" s="7" t="str">
        <f>IF(ISERROR(IF($K64&lt;=$F$15,VLOOKUP($I64,'表4）CO2価格'!$A$7:$E$67,VLOOKUP($F$48,'表4）CO2価格'!$H$10:$I$12,2,0),0)*$F$8/1000,"")),0,IF($K64&lt;=$F$15,VLOOKUP($I64,'表4）CO2価格'!$A$7:$E$67,VLOOKUP($F$48,'表4）CO2価格'!$H$10:$I$12,2,0),0)*$F$8/1000,""))</f>
        <v/>
      </c>
      <c r="AZ64" s="71"/>
      <c r="BA64" s="11" t="str">
        <f t="shared" si="46"/>
        <v/>
      </c>
      <c r="BB64" s="10" t="str">
        <f t="shared" si="28"/>
        <v/>
      </c>
      <c r="BC64" s="71"/>
      <c r="BD64" s="10" t="str">
        <f t="shared" si="47"/>
        <v/>
      </c>
      <c r="BE64" s="10" t="str">
        <f t="shared" si="29"/>
        <v/>
      </c>
      <c r="BF64" s="71"/>
      <c r="BG64" s="11" t="str">
        <f t="shared" si="48"/>
        <v/>
      </c>
      <c r="BH64" s="10" t="str">
        <f t="shared" si="30"/>
        <v/>
      </c>
      <c r="BJ64" s="7" t="str">
        <f t="shared" si="31"/>
        <v/>
      </c>
      <c r="BK64" s="158" t="str">
        <f t="shared" si="32"/>
        <v/>
      </c>
      <c r="BL64" s="158" t="str">
        <f t="shared" si="14"/>
        <v/>
      </c>
      <c r="BM64" s="10"/>
      <c r="BN64" s="10" t="str">
        <f t="shared" si="33"/>
        <v/>
      </c>
      <c r="BO64" s="10" t="str">
        <f t="shared" si="34"/>
        <v/>
      </c>
      <c r="BQ64" s="10" t="str">
        <f t="shared" si="49"/>
        <v/>
      </c>
      <c r="BR64" s="10" t="str">
        <f t="shared" si="35"/>
        <v/>
      </c>
    </row>
    <row r="65" spans="2:70" x14ac:dyDescent="0.15">
      <c r="I65" s="38">
        <f t="shared" si="36"/>
        <v>2080</v>
      </c>
      <c r="J65" s="39"/>
      <c r="K65" s="39">
        <f t="shared" si="37"/>
        <v>51</v>
      </c>
      <c r="L65" s="39"/>
      <c r="M65" s="40">
        <f t="shared" si="0"/>
        <v>0.22146318426189707</v>
      </c>
      <c r="N65" s="39"/>
      <c r="O65" s="72" t="str">
        <f t="shared" si="16"/>
        <v/>
      </c>
      <c r="P65" s="41" t="str">
        <f t="shared" si="38"/>
        <v/>
      </c>
      <c r="Q65" s="39"/>
      <c r="R65" s="72" t="str">
        <f t="shared" si="50"/>
        <v/>
      </c>
      <c r="S65" s="39"/>
      <c r="T65" s="72" t="str">
        <f t="shared" si="18"/>
        <v/>
      </c>
      <c r="U65" s="39"/>
      <c r="V65" s="72" t="str">
        <f t="shared" si="39"/>
        <v/>
      </c>
      <c r="W65" s="72" t="str">
        <f t="shared" si="19"/>
        <v/>
      </c>
      <c r="X65" s="39"/>
      <c r="Y65" s="72" t="str">
        <f t="shared" si="40"/>
        <v/>
      </c>
      <c r="Z65" s="72" t="str">
        <f t="shared" si="20"/>
        <v/>
      </c>
      <c r="AA65" s="39"/>
      <c r="AB65" s="72" t="str">
        <f t="shared" si="4"/>
        <v/>
      </c>
      <c r="AC65" s="72" t="str">
        <f t="shared" si="21"/>
        <v/>
      </c>
      <c r="AD65" s="39"/>
      <c r="AE65" s="72" t="str">
        <f t="shared" si="41"/>
        <v/>
      </c>
      <c r="AF65" s="72" t="str">
        <f t="shared" si="22"/>
        <v/>
      </c>
      <c r="AG65" s="39"/>
      <c r="AH65" s="72" t="str">
        <f t="shared" si="42"/>
        <v/>
      </c>
      <c r="AI65" s="72" t="str">
        <f t="shared" si="23"/>
        <v/>
      </c>
      <c r="AJ65" s="39"/>
      <c r="AK65" s="72" t="str">
        <f t="shared" si="24"/>
        <v/>
      </c>
      <c r="AL65" s="72" t="str">
        <f t="shared" si="25"/>
        <v/>
      </c>
      <c r="AM65" s="39"/>
      <c r="AN65" s="72" t="str">
        <f t="shared" si="43"/>
        <v/>
      </c>
      <c r="AO65" s="72" t="str">
        <f t="shared" si="26"/>
        <v/>
      </c>
      <c r="AP65" s="39"/>
      <c r="AQ65" s="72" t="str">
        <f t="shared" si="44"/>
        <v/>
      </c>
      <c r="AR65" s="72" t="str">
        <f t="shared" si="27"/>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45"/>
        <v/>
      </c>
      <c r="AW65" s="72" t="str">
        <f t="shared" si="10"/>
        <v/>
      </c>
      <c r="AX65" s="39"/>
      <c r="AY65" s="40" t="str">
        <f>IF(ISERROR(IF($K65&lt;=$F$15,VLOOKUP($I65,'表4）CO2価格'!$A$7:$E$67,VLOOKUP($F$48,'表4）CO2価格'!$H$10:$I$12,2,0),0)*$F$8/1000,"")),0,IF($K65&lt;=$F$15,VLOOKUP($I65,'表4）CO2価格'!$A$7:$E$67,VLOOKUP($F$48,'表4）CO2価格'!$H$10:$I$12,2,0),0)*$F$8/1000,""))</f>
        <v/>
      </c>
      <c r="AZ65" s="39"/>
      <c r="BA65" s="42" t="str">
        <f t="shared" si="46"/>
        <v/>
      </c>
      <c r="BB65" s="72" t="str">
        <f t="shared" si="28"/>
        <v/>
      </c>
      <c r="BC65" s="39"/>
      <c r="BD65" s="72" t="str">
        <f t="shared" si="47"/>
        <v/>
      </c>
      <c r="BE65" s="72" t="str">
        <f t="shared" si="29"/>
        <v/>
      </c>
      <c r="BF65" s="39"/>
      <c r="BG65" s="42" t="str">
        <f t="shared" si="48"/>
        <v/>
      </c>
      <c r="BH65" s="72" t="str">
        <f t="shared" si="30"/>
        <v/>
      </c>
      <c r="BI65" s="39"/>
      <c r="BJ65" s="40" t="str">
        <f t="shared" si="31"/>
        <v/>
      </c>
      <c r="BK65" s="157" t="str">
        <f t="shared" si="32"/>
        <v/>
      </c>
      <c r="BL65" s="157" t="str">
        <f t="shared" si="14"/>
        <v/>
      </c>
      <c r="BM65" s="72"/>
      <c r="BN65" s="72" t="str">
        <f t="shared" si="33"/>
        <v/>
      </c>
      <c r="BO65" s="72" t="str">
        <f t="shared" si="34"/>
        <v/>
      </c>
      <c r="BP65" s="39"/>
      <c r="BQ65" s="72" t="str">
        <f t="shared" si="49"/>
        <v/>
      </c>
      <c r="BR65" s="72" t="str">
        <f t="shared" si="35"/>
        <v/>
      </c>
    </row>
    <row r="66" spans="2:70" x14ac:dyDescent="0.15">
      <c r="I66" s="322">
        <f t="shared" si="36"/>
        <v>2081</v>
      </c>
      <c r="J66" s="71"/>
      <c r="K66" s="71">
        <f t="shared" si="37"/>
        <v>52</v>
      </c>
      <c r="L66" s="71"/>
      <c r="M66" s="7">
        <f t="shared" si="0"/>
        <v>0.215012800254269</v>
      </c>
      <c r="N66" s="71"/>
      <c r="O66" s="10" t="str">
        <f t="shared" si="16"/>
        <v/>
      </c>
      <c r="P66" s="29" t="str">
        <f t="shared" si="38"/>
        <v/>
      </c>
      <c r="Q66" s="71"/>
      <c r="R66" s="10" t="str">
        <f t="shared" si="50"/>
        <v/>
      </c>
      <c r="S66" s="71"/>
      <c r="T66" s="10" t="str">
        <f t="shared" si="18"/>
        <v/>
      </c>
      <c r="U66" s="71"/>
      <c r="V66" s="10" t="str">
        <f t="shared" si="39"/>
        <v/>
      </c>
      <c r="W66" s="10" t="str">
        <f t="shared" si="19"/>
        <v/>
      </c>
      <c r="X66" s="71"/>
      <c r="Y66" s="10" t="str">
        <f t="shared" si="40"/>
        <v/>
      </c>
      <c r="Z66" s="10" t="str">
        <f t="shared" si="20"/>
        <v/>
      </c>
      <c r="AA66" s="71"/>
      <c r="AB66" s="10" t="str">
        <f t="shared" si="4"/>
        <v/>
      </c>
      <c r="AC66" s="10" t="str">
        <f t="shared" si="21"/>
        <v/>
      </c>
      <c r="AD66" s="71"/>
      <c r="AE66" s="10" t="str">
        <f t="shared" si="41"/>
        <v/>
      </c>
      <c r="AF66" s="10" t="str">
        <f t="shared" si="22"/>
        <v/>
      </c>
      <c r="AG66" s="71"/>
      <c r="AH66" s="10" t="str">
        <f t="shared" si="42"/>
        <v/>
      </c>
      <c r="AI66" s="10" t="str">
        <f t="shared" si="23"/>
        <v/>
      </c>
      <c r="AJ66" s="71"/>
      <c r="AK66" s="10" t="str">
        <f t="shared" si="24"/>
        <v/>
      </c>
      <c r="AL66" s="10" t="str">
        <f t="shared" si="25"/>
        <v/>
      </c>
      <c r="AM66" s="71"/>
      <c r="AN66" s="10" t="str">
        <f t="shared" si="43"/>
        <v/>
      </c>
      <c r="AO66" s="10" t="str">
        <f t="shared" si="26"/>
        <v/>
      </c>
      <c r="AP66" s="71"/>
      <c r="AQ66" s="10" t="str">
        <f t="shared" si="44"/>
        <v/>
      </c>
      <c r="AR66" s="10" t="str">
        <f t="shared" si="27"/>
        <v/>
      </c>
      <c r="AS66" s="71"/>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U66" s="71"/>
      <c r="AV66" s="10" t="str">
        <f t="shared" si="45"/>
        <v/>
      </c>
      <c r="AW66" s="10" t="str">
        <f t="shared" si="10"/>
        <v/>
      </c>
      <c r="AX66" s="71"/>
      <c r="AY66" s="7" t="str">
        <f>IF(ISERROR(IF($K66&lt;=$F$15,VLOOKUP($I66,'表4）CO2価格'!$A$7:$E$67,VLOOKUP($F$48,'表4）CO2価格'!$H$10:$I$12,2,0),0)*$F$8/1000,"")),0,IF($K66&lt;=$F$15,VLOOKUP($I66,'表4）CO2価格'!$A$7:$E$67,VLOOKUP($F$48,'表4）CO2価格'!$H$10:$I$12,2,0),0)*$F$8/1000,""))</f>
        <v/>
      </c>
      <c r="AZ66" s="71"/>
      <c r="BA66" s="11" t="str">
        <f t="shared" si="46"/>
        <v/>
      </c>
      <c r="BB66" s="10" t="str">
        <f t="shared" si="28"/>
        <v/>
      </c>
      <c r="BC66" s="71"/>
      <c r="BD66" s="10" t="str">
        <f t="shared" si="47"/>
        <v/>
      </c>
      <c r="BE66" s="10" t="str">
        <f t="shared" si="29"/>
        <v/>
      </c>
      <c r="BF66" s="71"/>
      <c r="BG66" s="11" t="str">
        <f t="shared" si="48"/>
        <v/>
      </c>
      <c r="BH66" s="10" t="str">
        <f t="shared" si="30"/>
        <v/>
      </c>
      <c r="BJ66" s="7" t="str">
        <f t="shared" si="31"/>
        <v/>
      </c>
      <c r="BK66" s="158" t="str">
        <f t="shared" si="32"/>
        <v/>
      </c>
      <c r="BL66" s="158" t="str">
        <f t="shared" si="14"/>
        <v/>
      </c>
      <c r="BM66" s="10"/>
      <c r="BN66" s="10" t="str">
        <f t="shared" si="33"/>
        <v/>
      </c>
      <c r="BO66" s="10" t="str">
        <f t="shared" si="34"/>
        <v/>
      </c>
      <c r="BQ66" s="10" t="str">
        <f t="shared" si="49"/>
        <v/>
      </c>
      <c r="BR66" s="10" t="str">
        <f t="shared" si="35"/>
        <v/>
      </c>
    </row>
    <row r="67" spans="2:70" ht="15.75" thickBot="1" x14ac:dyDescent="0.2">
      <c r="B67" s="460" t="s">
        <v>133</v>
      </c>
      <c r="C67" s="86"/>
      <c r="D67" s="104"/>
      <c r="E67" s="104"/>
      <c r="F67" s="86"/>
      <c r="G67" s="104"/>
      <c r="I67" s="38">
        <f t="shared" si="36"/>
        <v>2082</v>
      </c>
      <c r="J67" s="39"/>
      <c r="K67" s="39">
        <f t="shared" si="37"/>
        <v>53</v>
      </c>
      <c r="L67" s="39"/>
      <c r="M67" s="40">
        <f t="shared" si="0"/>
        <v>0.20875029150899907</v>
      </c>
      <c r="N67" s="39"/>
      <c r="O67" s="72" t="str">
        <f t="shared" si="16"/>
        <v/>
      </c>
      <c r="P67" s="41" t="str">
        <f t="shared" si="38"/>
        <v/>
      </c>
      <c r="Q67" s="39"/>
      <c r="R67" s="72" t="str">
        <f t="shared" si="50"/>
        <v/>
      </c>
      <c r="S67" s="39"/>
      <c r="T67" s="72" t="str">
        <f t="shared" si="18"/>
        <v/>
      </c>
      <c r="U67" s="39"/>
      <c r="V67" s="72" t="str">
        <f t="shared" si="39"/>
        <v/>
      </c>
      <c r="W67" s="72" t="str">
        <f t="shared" si="19"/>
        <v/>
      </c>
      <c r="X67" s="39"/>
      <c r="Y67" s="72" t="str">
        <f t="shared" si="40"/>
        <v/>
      </c>
      <c r="Z67" s="72" t="str">
        <f t="shared" si="20"/>
        <v/>
      </c>
      <c r="AA67" s="39"/>
      <c r="AB67" s="72" t="str">
        <f t="shared" si="4"/>
        <v/>
      </c>
      <c r="AC67" s="72" t="str">
        <f t="shared" si="21"/>
        <v/>
      </c>
      <c r="AD67" s="39"/>
      <c r="AE67" s="72" t="str">
        <f t="shared" si="41"/>
        <v/>
      </c>
      <c r="AF67" s="72" t="str">
        <f t="shared" si="22"/>
        <v/>
      </c>
      <c r="AG67" s="39"/>
      <c r="AH67" s="72" t="str">
        <f t="shared" si="42"/>
        <v/>
      </c>
      <c r="AI67" s="72" t="str">
        <f t="shared" si="23"/>
        <v/>
      </c>
      <c r="AJ67" s="39"/>
      <c r="AK67" s="72" t="str">
        <f t="shared" si="24"/>
        <v/>
      </c>
      <c r="AL67" s="72" t="str">
        <f t="shared" si="25"/>
        <v/>
      </c>
      <c r="AM67" s="39"/>
      <c r="AN67" s="72" t="str">
        <f t="shared" si="43"/>
        <v/>
      </c>
      <c r="AO67" s="72" t="str">
        <f t="shared" si="26"/>
        <v/>
      </c>
      <c r="AP67" s="39"/>
      <c r="AQ67" s="72" t="str">
        <f t="shared" si="44"/>
        <v/>
      </c>
      <c r="AR67" s="72" t="str">
        <f t="shared" si="27"/>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45"/>
        <v/>
      </c>
      <c r="AW67" s="72" t="str">
        <f t="shared" si="10"/>
        <v/>
      </c>
      <c r="AX67" s="39"/>
      <c r="AY67" s="40" t="str">
        <f>IF(ISERROR(IF($K67&lt;=$F$15,VLOOKUP($I67,'表4）CO2価格'!$A$7:$E$67,VLOOKUP($F$48,'表4）CO2価格'!$H$10:$I$12,2,0),0)*$F$8/1000,"")),0,IF($K67&lt;=$F$15,VLOOKUP($I67,'表4）CO2価格'!$A$7:$E$67,VLOOKUP($F$48,'表4）CO2価格'!$H$10:$I$12,2,0),0)*$F$8/1000,""))</f>
        <v/>
      </c>
      <c r="AZ67" s="39"/>
      <c r="BA67" s="42" t="str">
        <f t="shared" si="46"/>
        <v/>
      </c>
      <c r="BB67" s="72" t="str">
        <f t="shared" si="28"/>
        <v/>
      </c>
      <c r="BC67" s="39"/>
      <c r="BD67" s="72" t="str">
        <f t="shared" si="47"/>
        <v/>
      </c>
      <c r="BE67" s="72" t="str">
        <f t="shared" si="29"/>
        <v/>
      </c>
      <c r="BF67" s="39"/>
      <c r="BG67" s="42" t="str">
        <f t="shared" si="48"/>
        <v/>
      </c>
      <c r="BH67" s="72" t="str">
        <f t="shared" si="30"/>
        <v/>
      </c>
      <c r="BI67" s="39"/>
      <c r="BJ67" s="40" t="str">
        <f t="shared" si="31"/>
        <v/>
      </c>
      <c r="BK67" s="157" t="str">
        <f t="shared" si="32"/>
        <v/>
      </c>
      <c r="BL67" s="157" t="str">
        <f t="shared" si="14"/>
        <v/>
      </c>
      <c r="BM67" s="72"/>
      <c r="BN67" s="72" t="str">
        <f t="shared" si="33"/>
        <v/>
      </c>
      <c r="BO67" s="72" t="str">
        <f t="shared" si="34"/>
        <v/>
      </c>
      <c r="BP67" s="39"/>
      <c r="BQ67" s="72" t="str">
        <f t="shared" si="49"/>
        <v/>
      </c>
      <c r="BR67" s="72" t="str">
        <f t="shared" si="35"/>
        <v/>
      </c>
    </row>
    <row r="68" spans="2:70" x14ac:dyDescent="0.15">
      <c r="I68" s="322">
        <f t="shared" si="36"/>
        <v>2083</v>
      </c>
      <c r="J68" s="71"/>
      <c r="K68" s="71">
        <f t="shared" si="37"/>
        <v>54</v>
      </c>
      <c r="L68" s="71"/>
      <c r="M68" s="7">
        <f t="shared" si="0"/>
        <v>0.20267018593106703</v>
      </c>
      <c r="N68" s="71"/>
      <c r="O68" s="10" t="str">
        <f t="shared" si="16"/>
        <v/>
      </c>
      <c r="P68" s="29" t="str">
        <f t="shared" si="38"/>
        <v/>
      </c>
      <c r="Q68" s="71"/>
      <c r="R68" s="10" t="str">
        <f t="shared" si="50"/>
        <v/>
      </c>
      <c r="S68" s="71"/>
      <c r="T68" s="10" t="str">
        <f t="shared" si="18"/>
        <v/>
      </c>
      <c r="U68" s="71"/>
      <c r="V68" s="10" t="str">
        <f t="shared" si="39"/>
        <v/>
      </c>
      <c r="W68" s="10" t="str">
        <f t="shared" si="19"/>
        <v/>
      </c>
      <c r="X68" s="71"/>
      <c r="Y68" s="10" t="str">
        <f t="shared" si="40"/>
        <v/>
      </c>
      <c r="Z68" s="10" t="str">
        <f t="shared" si="20"/>
        <v/>
      </c>
      <c r="AA68" s="71"/>
      <c r="AB68" s="10" t="str">
        <f t="shared" si="4"/>
        <v/>
      </c>
      <c r="AC68" s="10" t="str">
        <f t="shared" si="21"/>
        <v/>
      </c>
      <c r="AD68" s="71"/>
      <c r="AE68" s="10" t="str">
        <f t="shared" si="41"/>
        <v/>
      </c>
      <c r="AF68" s="10" t="str">
        <f t="shared" si="22"/>
        <v/>
      </c>
      <c r="AG68" s="71"/>
      <c r="AH68" s="10" t="str">
        <f t="shared" si="42"/>
        <v/>
      </c>
      <c r="AI68" s="10" t="str">
        <f t="shared" si="23"/>
        <v/>
      </c>
      <c r="AJ68" s="71"/>
      <c r="AK68" s="10" t="str">
        <f t="shared" si="24"/>
        <v/>
      </c>
      <c r="AL68" s="10" t="str">
        <f t="shared" si="25"/>
        <v/>
      </c>
      <c r="AM68" s="71"/>
      <c r="AN68" s="10" t="str">
        <f t="shared" si="43"/>
        <v/>
      </c>
      <c r="AO68" s="10" t="str">
        <f t="shared" si="26"/>
        <v/>
      </c>
      <c r="AP68" s="71"/>
      <c r="AQ68" s="10" t="str">
        <f t="shared" si="44"/>
        <v/>
      </c>
      <c r="AR68" s="10" t="str">
        <f t="shared" si="27"/>
        <v/>
      </c>
      <c r="AS68" s="71"/>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U68" s="71"/>
      <c r="AV68" s="10" t="str">
        <f t="shared" si="45"/>
        <v/>
      </c>
      <c r="AW68" s="10" t="str">
        <f t="shared" si="10"/>
        <v/>
      </c>
      <c r="AX68" s="71"/>
      <c r="AY68" s="7" t="str">
        <f>IF(ISERROR(IF($K68&lt;=$F$15,VLOOKUP($I68,'表4）CO2価格'!$A$7:$E$67,VLOOKUP($F$48,'表4）CO2価格'!$H$10:$I$12,2,0),0)*$F$8/1000,"")),0,IF($K68&lt;=$F$15,VLOOKUP($I68,'表4）CO2価格'!$A$7:$E$67,VLOOKUP($F$48,'表4）CO2価格'!$H$10:$I$12,2,0),0)*$F$8/1000,""))</f>
        <v/>
      </c>
      <c r="AZ68" s="71"/>
      <c r="BA68" s="11" t="str">
        <f t="shared" si="46"/>
        <v/>
      </c>
      <c r="BB68" s="10" t="str">
        <f t="shared" si="28"/>
        <v/>
      </c>
      <c r="BC68" s="71"/>
      <c r="BD68" s="10" t="str">
        <f t="shared" si="47"/>
        <v/>
      </c>
      <c r="BE68" s="10" t="str">
        <f t="shared" si="29"/>
        <v/>
      </c>
      <c r="BF68" s="71"/>
      <c r="BG68" s="11" t="str">
        <f t="shared" si="48"/>
        <v/>
      </c>
      <c r="BH68" s="10" t="str">
        <f t="shared" si="30"/>
        <v/>
      </c>
      <c r="BJ68" s="7" t="str">
        <f t="shared" si="31"/>
        <v/>
      </c>
      <c r="BK68" s="158" t="str">
        <f t="shared" si="32"/>
        <v/>
      </c>
      <c r="BL68" s="158" t="str">
        <f t="shared" si="14"/>
        <v/>
      </c>
      <c r="BM68" s="10"/>
      <c r="BN68" s="10" t="str">
        <f t="shared" si="33"/>
        <v/>
      </c>
      <c r="BO68" s="10" t="str">
        <f t="shared" si="34"/>
        <v/>
      </c>
      <c r="BQ68" s="10" t="str">
        <f t="shared" si="49"/>
        <v/>
      </c>
      <c r="BR68" s="10" t="str">
        <f t="shared" si="35"/>
        <v/>
      </c>
    </row>
    <row r="69" spans="2:70" x14ac:dyDescent="0.15">
      <c r="C69" s="461" t="s">
        <v>134</v>
      </c>
      <c r="D69" s="9"/>
      <c r="E69" s="9"/>
      <c r="F69" s="94">
        <f>SUBTOTAL(9,F74:F112)-F105</f>
        <v>21.505009690671045</v>
      </c>
      <c r="G69" s="9" t="s">
        <v>132</v>
      </c>
      <c r="I69" s="38">
        <f t="shared" si="36"/>
        <v>2084</v>
      </c>
      <c r="J69" s="39"/>
      <c r="K69" s="39">
        <f t="shared" si="37"/>
        <v>55</v>
      </c>
      <c r="L69" s="39"/>
      <c r="M69" s="40">
        <f t="shared" si="0"/>
        <v>0.19676717080686118</v>
      </c>
      <c r="N69" s="39"/>
      <c r="O69" s="72" t="str">
        <f t="shared" si="16"/>
        <v/>
      </c>
      <c r="P69" s="41" t="str">
        <f t="shared" si="38"/>
        <v/>
      </c>
      <c r="Q69" s="39"/>
      <c r="R69" s="72" t="str">
        <f t="shared" si="50"/>
        <v/>
      </c>
      <c r="S69" s="39"/>
      <c r="T69" s="72" t="str">
        <f t="shared" si="18"/>
        <v/>
      </c>
      <c r="U69" s="39"/>
      <c r="V69" s="72" t="str">
        <f t="shared" si="39"/>
        <v/>
      </c>
      <c r="W69" s="72" t="str">
        <f t="shared" si="19"/>
        <v/>
      </c>
      <c r="X69" s="39"/>
      <c r="Y69" s="72" t="str">
        <f t="shared" si="40"/>
        <v/>
      </c>
      <c r="Z69" s="72" t="str">
        <f t="shared" si="20"/>
        <v/>
      </c>
      <c r="AA69" s="39"/>
      <c r="AB69" s="72" t="str">
        <f t="shared" si="4"/>
        <v/>
      </c>
      <c r="AC69" s="72" t="str">
        <f t="shared" si="21"/>
        <v/>
      </c>
      <c r="AD69" s="39"/>
      <c r="AE69" s="72" t="str">
        <f t="shared" si="41"/>
        <v/>
      </c>
      <c r="AF69" s="72" t="str">
        <f t="shared" si="22"/>
        <v/>
      </c>
      <c r="AG69" s="39"/>
      <c r="AH69" s="72" t="str">
        <f t="shared" si="42"/>
        <v/>
      </c>
      <c r="AI69" s="72" t="str">
        <f t="shared" si="23"/>
        <v/>
      </c>
      <c r="AJ69" s="39"/>
      <c r="AK69" s="72" t="str">
        <f t="shared" si="24"/>
        <v/>
      </c>
      <c r="AL69" s="72" t="str">
        <f t="shared" si="25"/>
        <v/>
      </c>
      <c r="AM69" s="39"/>
      <c r="AN69" s="72" t="str">
        <f t="shared" si="43"/>
        <v/>
      </c>
      <c r="AO69" s="72" t="str">
        <f t="shared" si="26"/>
        <v/>
      </c>
      <c r="AP69" s="39"/>
      <c r="AQ69" s="72" t="str">
        <f t="shared" si="44"/>
        <v/>
      </c>
      <c r="AR69" s="72" t="str">
        <f t="shared" si="27"/>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45"/>
        <v/>
      </c>
      <c r="AW69" s="72" t="str">
        <f t="shared" si="10"/>
        <v/>
      </c>
      <c r="AX69" s="39"/>
      <c r="AY69" s="40" t="str">
        <f>IF(ISERROR(IF($K69&lt;=$F$15,VLOOKUP($I69,'表4）CO2価格'!$A$7:$E$67,VLOOKUP($F$48,'表4）CO2価格'!$H$10:$I$12,2,0),0)*$F$8/1000,"")),0,IF($K69&lt;=$F$15,VLOOKUP($I69,'表4）CO2価格'!$A$7:$E$67,VLOOKUP($F$48,'表4）CO2価格'!$H$10:$I$12,2,0),0)*$F$8/1000,""))</f>
        <v/>
      </c>
      <c r="AZ69" s="39"/>
      <c r="BA69" s="42" t="str">
        <f t="shared" si="46"/>
        <v/>
      </c>
      <c r="BB69" s="72" t="str">
        <f t="shared" si="28"/>
        <v/>
      </c>
      <c r="BC69" s="39"/>
      <c r="BD69" s="72" t="str">
        <f t="shared" si="47"/>
        <v/>
      </c>
      <c r="BE69" s="72" t="str">
        <f t="shared" si="29"/>
        <v/>
      </c>
      <c r="BF69" s="39"/>
      <c r="BG69" s="42" t="str">
        <f t="shared" si="48"/>
        <v/>
      </c>
      <c r="BH69" s="72" t="str">
        <f t="shared" si="30"/>
        <v/>
      </c>
      <c r="BI69" s="39"/>
      <c r="BJ69" s="40" t="str">
        <f t="shared" si="31"/>
        <v/>
      </c>
      <c r="BK69" s="157" t="str">
        <f t="shared" si="32"/>
        <v/>
      </c>
      <c r="BL69" s="157" t="str">
        <f t="shared" si="14"/>
        <v/>
      </c>
      <c r="BM69" s="72"/>
      <c r="BN69" s="72" t="str">
        <f t="shared" si="33"/>
        <v/>
      </c>
      <c r="BO69" s="72" t="str">
        <f t="shared" si="34"/>
        <v/>
      </c>
      <c r="BP69" s="39"/>
      <c r="BQ69" s="72" t="str">
        <f t="shared" si="49"/>
        <v/>
      </c>
      <c r="BR69" s="72" t="str">
        <f t="shared" si="35"/>
        <v/>
      </c>
    </row>
    <row r="70" spans="2:70" x14ac:dyDescent="0.15">
      <c r="C70" s="461" t="s">
        <v>135</v>
      </c>
      <c r="D70" s="9"/>
      <c r="E70" s="9"/>
      <c r="F70" s="94">
        <f>SUBTOTAL(9,F74:F112)</f>
        <v>21.535009690671046</v>
      </c>
      <c r="G70" s="9" t="s">
        <v>132</v>
      </c>
      <c r="I70" s="322">
        <f t="shared" si="36"/>
        <v>2085</v>
      </c>
      <c r="J70" s="71"/>
      <c r="K70" s="71">
        <f t="shared" si="37"/>
        <v>56</v>
      </c>
      <c r="L70" s="71"/>
      <c r="M70" s="7">
        <f t="shared" si="0"/>
        <v>0.19103608816200118</v>
      </c>
      <c r="N70" s="71"/>
      <c r="O70" s="10" t="str">
        <f t="shared" si="16"/>
        <v/>
      </c>
      <c r="P70" s="29" t="str">
        <f t="shared" si="38"/>
        <v/>
      </c>
      <c r="Q70" s="71"/>
      <c r="R70" s="10" t="str">
        <f t="shared" si="50"/>
        <v/>
      </c>
      <c r="S70" s="71"/>
      <c r="T70" s="10" t="str">
        <f t="shared" si="18"/>
        <v/>
      </c>
      <c r="U70" s="71"/>
      <c r="V70" s="10" t="str">
        <f t="shared" si="39"/>
        <v/>
      </c>
      <c r="W70" s="10" t="str">
        <f t="shared" si="19"/>
        <v/>
      </c>
      <c r="X70" s="71"/>
      <c r="Y70" s="10" t="str">
        <f t="shared" si="40"/>
        <v/>
      </c>
      <c r="Z70" s="10" t="str">
        <f t="shared" si="20"/>
        <v/>
      </c>
      <c r="AA70" s="71"/>
      <c r="AB70" s="10" t="str">
        <f t="shared" si="4"/>
        <v/>
      </c>
      <c r="AC70" s="10" t="str">
        <f t="shared" si="21"/>
        <v/>
      </c>
      <c r="AD70" s="71"/>
      <c r="AE70" s="10" t="str">
        <f t="shared" si="41"/>
        <v/>
      </c>
      <c r="AF70" s="10" t="str">
        <f t="shared" si="22"/>
        <v/>
      </c>
      <c r="AG70" s="71"/>
      <c r="AH70" s="10" t="str">
        <f t="shared" si="42"/>
        <v/>
      </c>
      <c r="AI70" s="10" t="str">
        <f t="shared" si="23"/>
        <v/>
      </c>
      <c r="AJ70" s="71"/>
      <c r="AK70" s="10" t="str">
        <f t="shared" si="24"/>
        <v/>
      </c>
      <c r="AL70" s="10" t="str">
        <f t="shared" si="25"/>
        <v/>
      </c>
      <c r="AM70" s="71"/>
      <c r="AN70" s="10" t="str">
        <f t="shared" si="43"/>
        <v/>
      </c>
      <c r="AO70" s="10" t="str">
        <f t="shared" si="26"/>
        <v/>
      </c>
      <c r="AP70" s="71"/>
      <c r="AQ70" s="10" t="str">
        <f t="shared" si="44"/>
        <v/>
      </c>
      <c r="AR70" s="10" t="str">
        <f t="shared" si="27"/>
        <v/>
      </c>
      <c r="AS70" s="71"/>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U70" s="71"/>
      <c r="AV70" s="10" t="str">
        <f t="shared" si="45"/>
        <v/>
      </c>
      <c r="AW70" s="10" t="str">
        <f t="shared" si="10"/>
        <v/>
      </c>
      <c r="AX70" s="71"/>
      <c r="AY70" s="7" t="str">
        <f>IF(ISERROR(IF($K70&lt;=$F$15,VLOOKUP($I70,'表4）CO2価格'!$A$7:$E$67,VLOOKUP($F$48,'表4）CO2価格'!$H$10:$I$12,2,0),0)*$F$8/1000,"")),0,IF($K70&lt;=$F$15,VLOOKUP($I70,'表4）CO2価格'!$A$7:$E$67,VLOOKUP($F$48,'表4）CO2価格'!$H$10:$I$12,2,0),0)*$F$8/1000,""))</f>
        <v/>
      </c>
      <c r="AZ70" s="71"/>
      <c r="BA70" s="11" t="str">
        <f t="shared" si="46"/>
        <v/>
      </c>
      <c r="BB70" s="10" t="str">
        <f t="shared" si="28"/>
        <v/>
      </c>
      <c r="BC70" s="71"/>
      <c r="BD70" s="10" t="str">
        <f t="shared" si="47"/>
        <v/>
      </c>
      <c r="BE70" s="10" t="str">
        <f t="shared" si="29"/>
        <v/>
      </c>
      <c r="BF70" s="71"/>
      <c r="BG70" s="11" t="str">
        <f t="shared" si="48"/>
        <v/>
      </c>
      <c r="BH70" s="10" t="str">
        <f t="shared" si="30"/>
        <v/>
      </c>
      <c r="BJ70" s="7" t="str">
        <f t="shared" si="31"/>
        <v/>
      </c>
      <c r="BK70" s="158" t="str">
        <f t="shared" si="32"/>
        <v/>
      </c>
      <c r="BL70" s="158" t="str">
        <f t="shared" si="14"/>
        <v/>
      </c>
      <c r="BM70" s="10"/>
      <c r="BN70" s="10" t="str">
        <f t="shared" si="33"/>
        <v/>
      </c>
      <c r="BO70" s="10" t="str">
        <f t="shared" si="34"/>
        <v/>
      </c>
      <c r="BQ70" s="10" t="str">
        <f t="shared" si="49"/>
        <v/>
      </c>
      <c r="BR70" s="10" t="str">
        <f t="shared" si="35"/>
        <v/>
      </c>
    </row>
    <row r="71" spans="2:70" x14ac:dyDescent="0.15">
      <c r="F71" s="145"/>
      <c r="I71" s="38">
        <f t="shared" si="36"/>
        <v>2086</v>
      </c>
      <c r="J71" s="39"/>
      <c r="K71" s="39">
        <f t="shared" si="37"/>
        <v>57</v>
      </c>
      <c r="L71" s="39"/>
      <c r="M71" s="40">
        <f t="shared" si="0"/>
        <v>0.18547193025437006</v>
      </c>
      <c r="N71" s="39"/>
      <c r="O71" s="72" t="str">
        <f t="shared" si="16"/>
        <v/>
      </c>
      <c r="P71" s="41" t="str">
        <f t="shared" si="38"/>
        <v/>
      </c>
      <c r="Q71" s="39"/>
      <c r="R71" s="72" t="str">
        <f t="shared" si="50"/>
        <v/>
      </c>
      <c r="S71" s="39"/>
      <c r="T71" s="72" t="str">
        <f t="shared" si="18"/>
        <v/>
      </c>
      <c r="U71" s="39"/>
      <c r="V71" s="72" t="str">
        <f t="shared" si="39"/>
        <v/>
      </c>
      <c r="W71" s="72" t="str">
        <f t="shared" si="19"/>
        <v/>
      </c>
      <c r="X71" s="39"/>
      <c r="Y71" s="72" t="str">
        <f t="shared" si="40"/>
        <v/>
      </c>
      <c r="Z71" s="72" t="str">
        <f t="shared" si="20"/>
        <v/>
      </c>
      <c r="AA71" s="39"/>
      <c r="AB71" s="72" t="str">
        <f t="shared" si="4"/>
        <v/>
      </c>
      <c r="AC71" s="72" t="str">
        <f t="shared" si="21"/>
        <v/>
      </c>
      <c r="AD71" s="39"/>
      <c r="AE71" s="72" t="str">
        <f t="shared" si="41"/>
        <v/>
      </c>
      <c r="AF71" s="72" t="str">
        <f t="shared" si="22"/>
        <v/>
      </c>
      <c r="AG71" s="39"/>
      <c r="AH71" s="72" t="str">
        <f t="shared" si="42"/>
        <v/>
      </c>
      <c r="AI71" s="72" t="str">
        <f t="shared" si="23"/>
        <v/>
      </c>
      <c r="AJ71" s="39"/>
      <c r="AK71" s="72" t="str">
        <f t="shared" si="24"/>
        <v/>
      </c>
      <c r="AL71" s="72" t="str">
        <f t="shared" si="25"/>
        <v/>
      </c>
      <c r="AM71" s="39"/>
      <c r="AN71" s="72" t="str">
        <f t="shared" si="43"/>
        <v/>
      </c>
      <c r="AO71" s="72" t="str">
        <f t="shared" si="26"/>
        <v/>
      </c>
      <c r="AP71" s="39"/>
      <c r="AQ71" s="72" t="str">
        <f t="shared" si="44"/>
        <v/>
      </c>
      <c r="AR71" s="72" t="str">
        <f t="shared" si="27"/>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45"/>
        <v/>
      </c>
      <c r="AW71" s="72" t="str">
        <f t="shared" si="10"/>
        <v/>
      </c>
      <c r="AX71" s="39"/>
      <c r="AY71" s="40" t="str">
        <f>IF(ISERROR(IF($K71&lt;=$F$15,VLOOKUP($I71,'表4）CO2価格'!$A$7:$E$67,VLOOKUP($F$48,'表4）CO2価格'!$H$10:$I$12,2,0),0)*$F$8/1000,"")),0,IF($K71&lt;=$F$15,VLOOKUP($I71,'表4）CO2価格'!$A$7:$E$67,VLOOKUP($F$48,'表4）CO2価格'!$H$10:$I$12,2,0),0)*$F$8/1000,""))</f>
        <v/>
      </c>
      <c r="AZ71" s="39"/>
      <c r="BA71" s="42" t="str">
        <f t="shared" si="46"/>
        <v/>
      </c>
      <c r="BB71" s="72" t="str">
        <f t="shared" si="28"/>
        <v/>
      </c>
      <c r="BC71" s="39"/>
      <c r="BD71" s="72" t="str">
        <f t="shared" si="47"/>
        <v/>
      </c>
      <c r="BE71" s="72" t="str">
        <f t="shared" si="29"/>
        <v/>
      </c>
      <c r="BF71" s="39"/>
      <c r="BG71" s="42" t="str">
        <f t="shared" si="48"/>
        <v/>
      </c>
      <c r="BH71" s="72" t="str">
        <f t="shared" si="30"/>
        <v/>
      </c>
      <c r="BI71" s="39"/>
      <c r="BJ71" s="40" t="str">
        <f t="shared" si="31"/>
        <v/>
      </c>
      <c r="BK71" s="157" t="str">
        <f t="shared" si="32"/>
        <v/>
      </c>
      <c r="BL71" s="157" t="str">
        <f t="shared" si="14"/>
        <v/>
      </c>
      <c r="BM71" s="72"/>
      <c r="BN71" s="72" t="str">
        <f t="shared" si="33"/>
        <v/>
      </c>
      <c r="BO71" s="72" t="str">
        <f t="shared" si="34"/>
        <v/>
      </c>
      <c r="BP71" s="39"/>
      <c r="BQ71" s="72" t="str">
        <f t="shared" si="49"/>
        <v/>
      </c>
      <c r="BR71" s="72" t="str">
        <f t="shared" si="35"/>
        <v/>
      </c>
    </row>
    <row r="72" spans="2:70" x14ac:dyDescent="0.15">
      <c r="C72" s="89" t="s">
        <v>136</v>
      </c>
      <c r="D72" s="101"/>
      <c r="E72" s="101"/>
      <c r="F72" s="92"/>
      <c r="G72" s="101"/>
      <c r="I72" s="322">
        <f t="shared" si="36"/>
        <v>2087</v>
      </c>
      <c r="J72" s="71"/>
      <c r="K72" s="71">
        <f t="shared" si="37"/>
        <v>58</v>
      </c>
      <c r="L72" s="71"/>
      <c r="M72" s="7">
        <f t="shared" si="0"/>
        <v>0.18006983519841754</v>
      </c>
      <c r="N72" s="71"/>
      <c r="O72" s="10" t="str">
        <f t="shared" si="16"/>
        <v/>
      </c>
      <c r="P72" s="29" t="str">
        <f t="shared" si="38"/>
        <v/>
      </c>
      <c r="Q72" s="71"/>
      <c r="R72" s="10" t="str">
        <f t="shared" si="50"/>
        <v/>
      </c>
      <c r="S72" s="71"/>
      <c r="T72" s="10" t="str">
        <f t="shared" si="18"/>
        <v/>
      </c>
      <c r="U72" s="71"/>
      <c r="V72" s="10" t="str">
        <f t="shared" si="39"/>
        <v/>
      </c>
      <c r="W72" s="10" t="str">
        <f t="shared" si="19"/>
        <v/>
      </c>
      <c r="X72" s="71"/>
      <c r="Y72" s="10" t="str">
        <f t="shared" si="40"/>
        <v/>
      </c>
      <c r="Z72" s="10" t="str">
        <f t="shared" si="20"/>
        <v/>
      </c>
      <c r="AA72" s="71"/>
      <c r="AB72" s="10" t="str">
        <f t="shared" si="4"/>
        <v/>
      </c>
      <c r="AC72" s="10" t="str">
        <f t="shared" si="21"/>
        <v/>
      </c>
      <c r="AD72" s="71"/>
      <c r="AE72" s="10" t="str">
        <f t="shared" si="41"/>
        <v/>
      </c>
      <c r="AF72" s="10" t="str">
        <f t="shared" si="22"/>
        <v/>
      </c>
      <c r="AG72" s="71"/>
      <c r="AH72" s="10" t="str">
        <f t="shared" si="42"/>
        <v/>
      </c>
      <c r="AI72" s="10" t="str">
        <f t="shared" si="23"/>
        <v/>
      </c>
      <c r="AJ72" s="71"/>
      <c r="AK72" s="10" t="str">
        <f t="shared" si="24"/>
        <v/>
      </c>
      <c r="AL72" s="10" t="str">
        <f t="shared" si="25"/>
        <v/>
      </c>
      <c r="AM72" s="71"/>
      <c r="AN72" s="10" t="str">
        <f t="shared" si="43"/>
        <v/>
      </c>
      <c r="AO72" s="10" t="str">
        <f t="shared" si="26"/>
        <v/>
      </c>
      <c r="AP72" s="71"/>
      <c r="AQ72" s="10" t="str">
        <f t="shared" si="44"/>
        <v/>
      </c>
      <c r="AR72" s="10" t="str">
        <f t="shared" si="27"/>
        <v/>
      </c>
      <c r="AS72" s="71"/>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U72" s="71"/>
      <c r="AV72" s="10" t="str">
        <f t="shared" si="45"/>
        <v/>
      </c>
      <c r="AW72" s="10" t="str">
        <f t="shared" si="10"/>
        <v/>
      </c>
      <c r="AX72" s="71"/>
      <c r="AY72" s="7" t="str">
        <f>IF(ISERROR(IF($K72&lt;=$F$15,VLOOKUP($I72,'表4）CO2価格'!$A$7:$E$67,VLOOKUP($F$48,'表4）CO2価格'!$H$10:$I$12,2,0),0)*$F$8/1000,"")),0,IF($K72&lt;=$F$15,VLOOKUP($I72,'表4）CO2価格'!$A$7:$E$67,VLOOKUP($F$48,'表4）CO2価格'!$H$10:$I$12,2,0),0)*$F$8/1000,""))</f>
        <v/>
      </c>
      <c r="AZ72" s="71"/>
      <c r="BA72" s="11" t="str">
        <f t="shared" si="46"/>
        <v/>
      </c>
      <c r="BB72" s="10" t="str">
        <f t="shared" si="28"/>
        <v/>
      </c>
      <c r="BC72" s="71"/>
      <c r="BD72" s="10" t="str">
        <f t="shared" si="47"/>
        <v/>
      </c>
      <c r="BE72" s="10" t="str">
        <f t="shared" si="29"/>
        <v/>
      </c>
      <c r="BF72" s="71"/>
      <c r="BG72" s="11" t="str">
        <f t="shared" si="48"/>
        <v/>
      </c>
      <c r="BH72" s="10" t="str">
        <f t="shared" si="30"/>
        <v/>
      </c>
      <c r="BJ72" s="7" t="str">
        <f t="shared" si="31"/>
        <v/>
      </c>
      <c r="BK72" s="158" t="str">
        <f t="shared" si="32"/>
        <v/>
      </c>
      <c r="BL72" s="158" t="str">
        <f t="shared" si="14"/>
        <v/>
      </c>
      <c r="BM72" s="10"/>
      <c r="BN72" s="10" t="str">
        <f t="shared" si="33"/>
        <v/>
      </c>
      <c r="BO72" s="10" t="str">
        <f t="shared" si="34"/>
        <v/>
      </c>
      <c r="BQ72" s="10" t="str">
        <f t="shared" si="49"/>
        <v/>
      </c>
      <c r="BR72" s="10" t="str">
        <f t="shared" si="35"/>
        <v/>
      </c>
    </row>
    <row r="73" spans="2:70" x14ac:dyDescent="0.15">
      <c r="F73" s="93"/>
      <c r="I73" s="38">
        <f t="shared" si="36"/>
        <v>2088</v>
      </c>
      <c r="J73" s="39"/>
      <c r="K73" s="39">
        <f t="shared" si="37"/>
        <v>59</v>
      </c>
      <c r="L73" s="39"/>
      <c r="M73" s="40">
        <f t="shared" si="0"/>
        <v>0.17482508271691022</v>
      </c>
      <c r="N73" s="39"/>
      <c r="O73" s="72" t="str">
        <f t="shared" si="16"/>
        <v/>
      </c>
      <c r="P73" s="41" t="str">
        <f t="shared" si="38"/>
        <v/>
      </c>
      <c r="Q73" s="39"/>
      <c r="R73" s="72" t="str">
        <f t="shared" si="50"/>
        <v/>
      </c>
      <c r="S73" s="39"/>
      <c r="T73" s="72" t="str">
        <f t="shared" si="18"/>
        <v/>
      </c>
      <c r="U73" s="39"/>
      <c r="V73" s="72" t="str">
        <f t="shared" si="39"/>
        <v/>
      </c>
      <c r="W73" s="72" t="str">
        <f t="shared" si="19"/>
        <v/>
      </c>
      <c r="X73" s="39"/>
      <c r="Y73" s="72" t="str">
        <f t="shared" si="40"/>
        <v/>
      </c>
      <c r="Z73" s="72" t="str">
        <f t="shared" si="20"/>
        <v/>
      </c>
      <c r="AA73" s="39"/>
      <c r="AB73" s="72" t="str">
        <f t="shared" si="4"/>
        <v/>
      </c>
      <c r="AC73" s="72" t="str">
        <f t="shared" si="21"/>
        <v/>
      </c>
      <c r="AD73" s="39"/>
      <c r="AE73" s="72" t="str">
        <f t="shared" si="41"/>
        <v/>
      </c>
      <c r="AF73" s="72" t="str">
        <f t="shared" si="22"/>
        <v/>
      </c>
      <c r="AG73" s="39"/>
      <c r="AH73" s="72" t="str">
        <f t="shared" si="42"/>
        <v/>
      </c>
      <c r="AI73" s="72" t="str">
        <f t="shared" si="23"/>
        <v/>
      </c>
      <c r="AJ73" s="39"/>
      <c r="AK73" s="72" t="str">
        <f t="shared" si="24"/>
        <v/>
      </c>
      <c r="AL73" s="72" t="str">
        <f t="shared" si="25"/>
        <v/>
      </c>
      <c r="AM73" s="39"/>
      <c r="AN73" s="72" t="str">
        <f t="shared" si="43"/>
        <v/>
      </c>
      <c r="AO73" s="72" t="str">
        <f t="shared" si="26"/>
        <v/>
      </c>
      <c r="AP73" s="39"/>
      <c r="AQ73" s="72" t="str">
        <f t="shared" si="44"/>
        <v/>
      </c>
      <c r="AR73" s="72" t="str">
        <f t="shared" si="27"/>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45"/>
        <v/>
      </c>
      <c r="AW73" s="72" t="str">
        <f t="shared" si="10"/>
        <v/>
      </c>
      <c r="AX73" s="39"/>
      <c r="AY73" s="40" t="str">
        <f>IF(ISERROR(IF($K73&lt;=$F$15,VLOOKUP($I73,'表4）CO2価格'!$A$7:$E$67,VLOOKUP($F$48,'表4）CO2価格'!$H$10:$I$12,2,0),0)*$F$8/1000,"")),0,IF($K73&lt;=$F$15,VLOOKUP($I73,'表4）CO2価格'!$A$7:$E$67,VLOOKUP($F$48,'表4）CO2価格'!$H$10:$I$12,2,0),0)*$F$8/1000,""))</f>
        <v/>
      </c>
      <c r="AZ73" s="39"/>
      <c r="BA73" s="42" t="str">
        <f t="shared" si="46"/>
        <v/>
      </c>
      <c r="BB73" s="72" t="str">
        <f t="shared" si="28"/>
        <v/>
      </c>
      <c r="BC73" s="39"/>
      <c r="BD73" s="72" t="str">
        <f t="shared" si="47"/>
        <v/>
      </c>
      <c r="BE73" s="72" t="str">
        <f t="shared" si="29"/>
        <v/>
      </c>
      <c r="BF73" s="39"/>
      <c r="BG73" s="42" t="str">
        <f t="shared" si="48"/>
        <v/>
      </c>
      <c r="BH73" s="72" t="str">
        <f t="shared" si="30"/>
        <v/>
      </c>
      <c r="BI73" s="39"/>
      <c r="BJ73" s="40" t="str">
        <f t="shared" si="31"/>
        <v/>
      </c>
      <c r="BK73" s="157" t="str">
        <f t="shared" si="32"/>
        <v/>
      </c>
      <c r="BL73" s="157" t="str">
        <f t="shared" si="14"/>
        <v/>
      </c>
      <c r="BM73" s="72"/>
      <c r="BN73" s="72" t="str">
        <f t="shared" si="33"/>
        <v/>
      </c>
      <c r="BO73" s="72" t="str">
        <f t="shared" si="34"/>
        <v/>
      </c>
      <c r="BP73" s="39"/>
      <c r="BQ73" s="72" t="str">
        <f t="shared" si="49"/>
        <v/>
      </c>
      <c r="BR73" s="72" t="str">
        <f t="shared" si="35"/>
        <v/>
      </c>
    </row>
    <row r="74" spans="2:70" ht="15" x14ac:dyDescent="0.15">
      <c r="D74" s="116" t="s">
        <v>192</v>
      </c>
      <c r="F74" s="94">
        <f>SUBTOTAL(9,F78:F81)</f>
        <v>2.3903650892631565</v>
      </c>
      <c r="G74" s="81" t="s">
        <v>132</v>
      </c>
      <c r="I74" s="322">
        <f t="shared" si="36"/>
        <v>2089</v>
      </c>
      <c r="J74" s="71"/>
      <c r="K74" s="71">
        <f t="shared" si="37"/>
        <v>60</v>
      </c>
      <c r="L74" s="71"/>
      <c r="M74" s="7">
        <f t="shared" si="0"/>
        <v>0.1697330900164177</v>
      </c>
      <c r="N74" s="71"/>
      <c r="O74" s="10" t="str">
        <f t="shared" si="16"/>
        <v/>
      </c>
      <c r="P74" s="29" t="str">
        <f t="shared" si="38"/>
        <v/>
      </c>
      <c r="Q74" s="71"/>
      <c r="R74" s="10" t="str">
        <f t="shared" si="50"/>
        <v/>
      </c>
      <c r="S74" s="71"/>
      <c r="T74" s="10" t="str">
        <f t="shared" si="18"/>
        <v/>
      </c>
      <c r="U74" s="71"/>
      <c r="V74" s="10" t="str">
        <f t="shared" si="39"/>
        <v/>
      </c>
      <c r="W74" s="10" t="str">
        <f t="shared" si="19"/>
        <v/>
      </c>
      <c r="X74" s="71"/>
      <c r="Y74" s="10" t="str">
        <f t="shared" si="40"/>
        <v/>
      </c>
      <c r="Z74" s="10" t="str">
        <f t="shared" si="20"/>
        <v/>
      </c>
      <c r="AA74" s="71"/>
      <c r="AB74" s="10" t="str">
        <f t="shared" si="4"/>
        <v/>
      </c>
      <c r="AC74" s="10" t="str">
        <f t="shared" si="21"/>
        <v/>
      </c>
      <c r="AD74" s="71"/>
      <c r="AE74" s="10" t="str">
        <f t="shared" si="41"/>
        <v/>
      </c>
      <c r="AF74" s="10" t="str">
        <f t="shared" si="22"/>
        <v/>
      </c>
      <c r="AG74" s="71"/>
      <c r="AH74" s="10" t="str">
        <f t="shared" si="42"/>
        <v/>
      </c>
      <c r="AI74" s="10" t="str">
        <f t="shared" si="23"/>
        <v/>
      </c>
      <c r="AJ74" s="71"/>
      <c r="AK74" s="10" t="str">
        <f t="shared" si="24"/>
        <v/>
      </c>
      <c r="AL74" s="10" t="str">
        <f t="shared" si="25"/>
        <v/>
      </c>
      <c r="AM74" s="71"/>
      <c r="AN74" s="10" t="str">
        <f t="shared" si="43"/>
        <v/>
      </c>
      <c r="AO74" s="10" t="str">
        <f t="shared" si="26"/>
        <v/>
      </c>
      <c r="AP74" s="71"/>
      <c r="AQ74" s="10" t="str">
        <f t="shared" si="44"/>
        <v/>
      </c>
      <c r="AR74" s="10" t="str">
        <f t="shared" si="27"/>
        <v/>
      </c>
      <c r="AS74" s="71"/>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U74" s="71"/>
      <c r="AV74" s="10" t="str">
        <f t="shared" si="45"/>
        <v/>
      </c>
      <c r="AW74" s="10" t="str">
        <f t="shared" si="10"/>
        <v/>
      </c>
      <c r="AX74" s="71"/>
      <c r="AY74" s="7" t="str">
        <f>IF(ISERROR(IF($K74&lt;=$F$15,VLOOKUP($I74,'表4）CO2価格'!$A$7:$E$67,VLOOKUP($F$48,'表4）CO2価格'!$H$10:$I$12,2,0),0)*$F$8/1000,"")),0,IF($K74&lt;=$F$15,VLOOKUP($I74,'表4）CO2価格'!$A$7:$E$67,VLOOKUP($F$48,'表4）CO2価格'!$H$10:$I$12,2,0),0)*$F$8/1000,""))</f>
        <v/>
      </c>
      <c r="AZ74" s="71"/>
      <c r="BA74" s="11" t="str">
        <f t="shared" si="46"/>
        <v/>
      </c>
      <c r="BB74" s="10" t="str">
        <f t="shared" si="28"/>
        <v/>
      </c>
      <c r="BC74" s="71"/>
      <c r="BD74" s="10" t="str">
        <f t="shared" si="47"/>
        <v/>
      </c>
      <c r="BE74" s="10" t="str">
        <f t="shared" si="29"/>
        <v/>
      </c>
      <c r="BF74" s="71"/>
      <c r="BG74" s="11" t="str">
        <f t="shared" si="48"/>
        <v/>
      </c>
      <c r="BH74" s="10" t="str">
        <f t="shared" si="30"/>
        <v/>
      </c>
      <c r="BJ74" s="7" t="str">
        <f t="shared" si="31"/>
        <v/>
      </c>
      <c r="BK74" s="158" t="str">
        <f t="shared" si="32"/>
        <v/>
      </c>
      <c r="BL74" s="158" t="str">
        <f t="shared" si="14"/>
        <v/>
      </c>
      <c r="BM74" s="10"/>
      <c r="BN74" s="10" t="str">
        <f t="shared" si="33"/>
        <v/>
      </c>
      <c r="BO74" s="10" t="str">
        <f t="shared" si="34"/>
        <v/>
      </c>
      <c r="BQ74" s="10" t="str">
        <f t="shared" si="49"/>
        <v/>
      </c>
      <c r="BR74" s="10" t="str">
        <f t="shared" si="35"/>
        <v/>
      </c>
    </row>
    <row r="75" spans="2:70" x14ac:dyDescent="0.15">
      <c r="F75" s="93"/>
      <c r="I75" s="38">
        <f t="shared" si="36"/>
        <v>2090</v>
      </c>
      <c r="J75" s="39"/>
      <c r="K75" s="39">
        <f t="shared" si="37"/>
        <v>61</v>
      </c>
      <c r="L75" s="39"/>
      <c r="M75" s="40">
        <f t="shared" si="0"/>
        <v>0.16478940778292983</v>
      </c>
      <c r="N75" s="39"/>
      <c r="O75" s="72" t="str">
        <f t="shared" si="16"/>
        <v/>
      </c>
      <c r="P75" s="41" t="str">
        <f t="shared" si="38"/>
        <v/>
      </c>
      <c r="Q75" s="39"/>
      <c r="R75" s="72" t="str">
        <f t="shared" si="50"/>
        <v/>
      </c>
      <c r="S75" s="39"/>
      <c r="T75" s="72" t="str">
        <f t="shared" si="18"/>
        <v/>
      </c>
      <c r="U75" s="39"/>
      <c r="V75" s="72" t="str">
        <f t="shared" si="39"/>
        <v/>
      </c>
      <c r="W75" s="72" t="str">
        <f t="shared" si="19"/>
        <v/>
      </c>
      <c r="X75" s="39"/>
      <c r="Y75" s="72" t="str">
        <f t="shared" si="40"/>
        <v/>
      </c>
      <c r="Z75" s="72" t="str">
        <f t="shared" si="20"/>
        <v/>
      </c>
      <c r="AA75" s="39"/>
      <c r="AB75" s="72" t="str">
        <f t="shared" si="4"/>
        <v/>
      </c>
      <c r="AC75" s="72" t="str">
        <f t="shared" si="21"/>
        <v/>
      </c>
      <c r="AD75" s="39"/>
      <c r="AE75" s="72" t="str">
        <f t="shared" si="41"/>
        <v/>
      </c>
      <c r="AF75" s="72" t="str">
        <f t="shared" si="22"/>
        <v/>
      </c>
      <c r="AG75" s="39"/>
      <c r="AH75" s="72" t="str">
        <f t="shared" si="42"/>
        <v/>
      </c>
      <c r="AI75" s="72" t="str">
        <f t="shared" si="23"/>
        <v/>
      </c>
      <c r="AJ75" s="39"/>
      <c r="AK75" s="72" t="str">
        <f t="shared" si="24"/>
        <v/>
      </c>
      <c r="AL75" s="72" t="str">
        <f t="shared" si="25"/>
        <v/>
      </c>
      <c r="AM75" s="39"/>
      <c r="AN75" s="72" t="str">
        <f t="shared" si="43"/>
        <v/>
      </c>
      <c r="AO75" s="72" t="str">
        <f t="shared" si="26"/>
        <v/>
      </c>
      <c r="AP75" s="39"/>
      <c r="AQ75" s="72" t="str">
        <f t="shared" si="44"/>
        <v/>
      </c>
      <c r="AR75" s="72" t="str">
        <f t="shared" si="27"/>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45"/>
        <v/>
      </c>
      <c r="AW75" s="72" t="str">
        <f t="shared" si="10"/>
        <v/>
      </c>
      <c r="AX75" s="39"/>
      <c r="AY75" s="40" t="str">
        <f>IF(ISERROR(IF($K75&lt;=$F$15,VLOOKUP($I75,'表4）CO2価格'!$A$7:$E$67,VLOOKUP($F$48,'表4）CO2価格'!$H$10:$I$12,2,0),0)*$F$8/1000,"")),0,IF($K75&lt;=$F$15,VLOOKUP($I75,'表4）CO2価格'!$A$7:$E$67,VLOOKUP($F$48,'表4）CO2価格'!$H$10:$I$12,2,0),0)*$F$8/1000,""))</f>
        <v/>
      </c>
      <c r="AZ75" s="39"/>
      <c r="BA75" s="42" t="str">
        <f t="shared" si="46"/>
        <v/>
      </c>
      <c r="BB75" s="72" t="str">
        <f t="shared" si="28"/>
        <v/>
      </c>
      <c r="BC75" s="39"/>
      <c r="BD75" s="72" t="str">
        <f t="shared" si="47"/>
        <v/>
      </c>
      <c r="BE75" s="72" t="str">
        <f t="shared" si="29"/>
        <v/>
      </c>
      <c r="BF75" s="39"/>
      <c r="BG75" s="42" t="str">
        <f t="shared" si="48"/>
        <v/>
      </c>
      <c r="BH75" s="72" t="str">
        <f t="shared" si="30"/>
        <v/>
      </c>
      <c r="BI75" s="39"/>
      <c r="BJ75" s="40" t="str">
        <f t="shared" si="31"/>
        <v/>
      </c>
      <c r="BK75" s="157" t="str">
        <f t="shared" si="32"/>
        <v/>
      </c>
      <c r="BL75" s="157" t="str">
        <f t="shared" si="14"/>
        <v/>
      </c>
      <c r="BM75" s="72"/>
      <c r="BN75" s="72" t="str">
        <f t="shared" si="33"/>
        <v/>
      </c>
      <c r="BO75" s="72" t="str">
        <f t="shared" si="34"/>
        <v/>
      </c>
      <c r="BP75" s="39"/>
      <c r="BQ75" s="72" t="str">
        <f t="shared" si="49"/>
        <v/>
      </c>
      <c r="BR75" s="72" t="str">
        <f t="shared" si="35"/>
        <v/>
      </c>
    </row>
    <row r="76" spans="2:70" x14ac:dyDescent="0.15">
      <c r="D76" s="101" t="s">
        <v>193</v>
      </c>
      <c r="E76" s="101"/>
      <c r="F76" s="92"/>
      <c r="G76" s="101"/>
      <c r="I76" s="322">
        <f t="shared" si="36"/>
        <v>2091</v>
      </c>
      <c r="J76" s="71"/>
      <c r="K76" s="71">
        <f t="shared" si="37"/>
        <v>62</v>
      </c>
      <c r="L76" s="71"/>
      <c r="M76" s="7">
        <f t="shared" si="0"/>
        <v>0.15998971629410663</v>
      </c>
      <c r="N76" s="71"/>
      <c r="O76" s="10" t="str">
        <f t="shared" si="16"/>
        <v/>
      </c>
      <c r="P76" s="29" t="str">
        <f t="shared" si="38"/>
        <v/>
      </c>
      <c r="Q76" s="71"/>
      <c r="R76" s="10" t="str">
        <f t="shared" si="50"/>
        <v/>
      </c>
      <c r="S76" s="71"/>
      <c r="T76" s="10" t="str">
        <f t="shared" si="18"/>
        <v/>
      </c>
      <c r="U76" s="71"/>
      <c r="V76" s="10" t="str">
        <f t="shared" si="39"/>
        <v/>
      </c>
      <c r="W76" s="10" t="str">
        <f t="shared" si="19"/>
        <v/>
      </c>
      <c r="X76" s="71"/>
      <c r="Y76" s="10" t="str">
        <f t="shared" si="40"/>
        <v/>
      </c>
      <c r="Z76" s="10" t="str">
        <f t="shared" si="20"/>
        <v/>
      </c>
      <c r="AA76" s="71"/>
      <c r="AB76" s="10" t="str">
        <f t="shared" si="4"/>
        <v/>
      </c>
      <c r="AC76" s="10" t="str">
        <f t="shared" si="21"/>
        <v/>
      </c>
      <c r="AD76" s="71"/>
      <c r="AE76" s="10" t="str">
        <f t="shared" si="41"/>
        <v/>
      </c>
      <c r="AF76" s="10" t="str">
        <f t="shared" si="22"/>
        <v/>
      </c>
      <c r="AG76" s="71"/>
      <c r="AH76" s="10" t="str">
        <f t="shared" si="42"/>
        <v/>
      </c>
      <c r="AI76" s="10" t="str">
        <f t="shared" si="23"/>
        <v/>
      </c>
      <c r="AJ76" s="71"/>
      <c r="AK76" s="10" t="str">
        <f t="shared" si="24"/>
        <v/>
      </c>
      <c r="AL76" s="10" t="str">
        <f t="shared" si="25"/>
        <v/>
      </c>
      <c r="AM76" s="71"/>
      <c r="AN76" s="10" t="str">
        <f t="shared" si="43"/>
        <v/>
      </c>
      <c r="AO76" s="10" t="str">
        <f t="shared" si="26"/>
        <v/>
      </c>
      <c r="AP76" s="71"/>
      <c r="AQ76" s="10" t="str">
        <f t="shared" si="44"/>
        <v/>
      </c>
      <c r="AR76" s="10" t="str">
        <f t="shared" si="27"/>
        <v/>
      </c>
      <c r="AS76" s="71"/>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U76" s="71"/>
      <c r="AV76" s="10" t="str">
        <f t="shared" si="45"/>
        <v/>
      </c>
      <c r="AW76" s="10" t="str">
        <f t="shared" si="10"/>
        <v/>
      </c>
      <c r="AX76" s="71"/>
      <c r="AY76" s="7" t="str">
        <f>IF(ISERROR(IF($K76&lt;=$F$15,VLOOKUP($I76,'表4）CO2価格'!$A$7:$E$67,VLOOKUP($F$48,'表4）CO2価格'!$H$10:$I$12,2,0),0)*$F$8/1000,"")),0,IF($K76&lt;=$F$15,VLOOKUP($I76,'表4）CO2価格'!$A$7:$E$67,VLOOKUP($F$48,'表4）CO2価格'!$H$10:$I$12,2,0),0)*$F$8/1000,""))</f>
        <v/>
      </c>
      <c r="AZ76" s="71"/>
      <c r="BA76" s="11" t="str">
        <f t="shared" si="46"/>
        <v/>
      </c>
      <c r="BB76" s="10" t="str">
        <f t="shared" si="28"/>
        <v/>
      </c>
      <c r="BC76" s="71"/>
      <c r="BD76" s="10" t="str">
        <f t="shared" si="47"/>
        <v/>
      </c>
      <c r="BE76" s="10" t="str">
        <f t="shared" si="29"/>
        <v/>
      </c>
      <c r="BF76" s="71"/>
      <c r="BG76" s="11" t="str">
        <f t="shared" si="48"/>
        <v/>
      </c>
      <c r="BH76" s="10" t="str">
        <f t="shared" si="30"/>
        <v/>
      </c>
      <c r="BJ76" s="7" t="str">
        <f t="shared" si="31"/>
        <v/>
      </c>
      <c r="BK76" s="158" t="str">
        <f t="shared" si="32"/>
        <v/>
      </c>
      <c r="BL76" s="158" t="str">
        <f t="shared" si="14"/>
        <v/>
      </c>
      <c r="BM76" s="10"/>
      <c r="BN76" s="10" t="str">
        <f t="shared" si="33"/>
        <v/>
      </c>
      <c r="BO76" s="10" t="str">
        <f t="shared" si="34"/>
        <v/>
      </c>
      <c r="BQ76" s="10" t="str">
        <f t="shared" si="49"/>
        <v/>
      </c>
      <c r="BR76" s="10" t="str">
        <f t="shared" si="35"/>
        <v/>
      </c>
    </row>
    <row r="77" spans="2:70" x14ac:dyDescent="0.15">
      <c r="F77" s="93"/>
      <c r="I77" s="38">
        <f t="shared" si="36"/>
        <v>2092</v>
      </c>
      <c r="J77" s="39"/>
      <c r="K77" s="39">
        <f t="shared" si="37"/>
        <v>63</v>
      </c>
      <c r="L77" s="39"/>
      <c r="M77" s="40">
        <f t="shared" si="0"/>
        <v>0.15532982164476369</v>
      </c>
      <c r="N77" s="39"/>
      <c r="O77" s="72" t="str">
        <f t="shared" si="16"/>
        <v/>
      </c>
      <c r="P77" s="41" t="str">
        <f t="shared" si="38"/>
        <v/>
      </c>
      <c r="Q77" s="39"/>
      <c r="R77" s="72" t="str">
        <f t="shared" si="50"/>
        <v/>
      </c>
      <c r="S77" s="39"/>
      <c r="T77" s="72" t="str">
        <f t="shared" si="18"/>
        <v/>
      </c>
      <c r="U77" s="39"/>
      <c r="V77" s="72" t="str">
        <f t="shared" si="39"/>
        <v/>
      </c>
      <c r="W77" s="72" t="str">
        <f t="shared" si="19"/>
        <v/>
      </c>
      <c r="X77" s="39"/>
      <c r="Y77" s="72" t="str">
        <f t="shared" si="40"/>
        <v/>
      </c>
      <c r="Z77" s="72" t="str">
        <f t="shared" si="20"/>
        <v/>
      </c>
      <c r="AA77" s="39"/>
      <c r="AB77" s="72" t="str">
        <f t="shared" si="4"/>
        <v/>
      </c>
      <c r="AC77" s="72" t="str">
        <f t="shared" si="21"/>
        <v/>
      </c>
      <c r="AD77" s="39"/>
      <c r="AE77" s="72" t="str">
        <f t="shared" si="41"/>
        <v/>
      </c>
      <c r="AF77" s="72" t="str">
        <f t="shared" si="22"/>
        <v/>
      </c>
      <c r="AG77" s="39"/>
      <c r="AH77" s="72" t="str">
        <f t="shared" si="42"/>
        <v/>
      </c>
      <c r="AI77" s="72" t="str">
        <f t="shared" si="23"/>
        <v/>
      </c>
      <c r="AJ77" s="39"/>
      <c r="AK77" s="72" t="str">
        <f t="shared" si="24"/>
        <v/>
      </c>
      <c r="AL77" s="72" t="str">
        <f t="shared" si="25"/>
        <v/>
      </c>
      <c r="AM77" s="39"/>
      <c r="AN77" s="72" t="str">
        <f t="shared" si="43"/>
        <v/>
      </c>
      <c r="AO77" s="72" t="str">
        <f t="shared" si="26"/>
        <v/>
      </c>
      <c r="AP77" s="39"/>
      <c r="AQ77" s="72" t="str">
        <f t="shared" si="44"/>
        <v/>
      </c>
      <c r="AR77" s="72" t="str">
        <f t="shared" si="27"/>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45"/>
        <v/>
      </c>
      <c r="AW77" s="72" t="str">
        <f t="shared" si="10"/>
        <v/>
      </c>
      <c r="AX77" s="39"/>
      <c r="AY77" s="40" t="str">
        <f>IF(ISERROR(IF($K77&lt;=$F$15,VLOOKUP($I77,'表4）CO2価格'!$A$7:$E$67,VLOOKUP($F$48,'表4）CO2価格'!$H$10:$I$12,2,0),0)*$F$8/1000,"")),0,IF($K77&lt;=$F$15,VLOOKUP($I77,'表4）CO2価格'!$A$7:$E$67,VLOOKUP($F$48,'表4）CO2価格'!$H$10:$I$12,2,0),0)*$F$8/1000,""))</f>
        <v/>
      </c>
      <c r="AZ77" s="39"/>
      <c r="BA77" s="42" t="str">
        <f t="shared" si="46"/>
        <v/>
      </c>
      <c r="BB77" s="72" t="str">
        <f t="shared" si="28"/>
        <v/>
      </c>
      <c r="BC77" s="39"/>
      <c r="BD77" s="72" t="str">
        <f t="shared" si="47"/>
        <v/>
      </c>
      <c r="BE77" s="72" t="str">
        <f t="shared" si="29"/>
        <v/>
      </c>
      <c r="BF77" s="39"/>
      <c r="BG77" s="42" t="str">
        <f t="shared" si="48"/>
        <v/>
      </c>
      <c r="BH77" s="72" t="str">
        <f t="shared" si="30"/>
        <v/>
      </c>
      <c r="BI77" s="39"/>
      <c r="BJ77" s="40" t="str">
        <f t="shared" si="31"/>
        <v/>
      </c>
      <c r="BK77" s="157" t="str">
        <f t="shared" si="32"/>
        <v/>
      </c>
      <c r="BL77" s="157" t="str">
        <f t="shared" si="14"/>
        <v/>
      </c>
      <c r="BM77" s="72"/>
      <c r="BN77" s="72" t="str">
        <f t="shared" si="33"/>
        <v/>
      </c>
      <c r="BO77" s="72" t="str">
        <f t="shared" si="34"/>
        <v/>
      </c>
      <c r="BP77" s="39"/>
      <c r="BQ77" s="72" t="str">
        <f t="shared" si="49"/>
        <v/>
      </c>
      <c r="BR77" s="72" t="str">
        <f t="shared" si="35"/>
        <v/>
      </c>
    </row>
    <row r="78" spans="2:70" x14ac:dyDescent="0.15">
      <c r="E78" s="74" t="s">
        <v>138</v>
      </c>
      <c r="F78" s="91">
        <f>R15/$BR$116</f>
        <v>2.1681991033755019</v>
      </c>
      <c r="G78" s="81" t="s">
        <v>132</v>
      </c>
      <c r="I78" s="322">
        <f t="shared" si="36"/>
        <v>2093</v>
      </c>
      <c r="J78" s="71"/>
      <c r="K78" s="71">
        <f t="shared" si="37"/>
        <v>64</v>
      </c>
      <c r="L78" s="71"/>
      <c r="M78" s="7">
        <f t="shared" si="0"/>
        <v>0.15080565208229488</v>
      </c>
      <c r="N78" s="71"/>
      <c r="O78" s="10" t="str">
        <f t="shared" si="16"/>
        <v/>
      </c>
      <c r="P78" s="29" t="str">
        <f t="shared" si="38"/>
        <v/>
      </c>
      <c r="Q78" s="71"/>
      <c r="R78" s="10" t="str">
        <f t="shared" si="50"/>
        <v/>
      </c>
      <c r="S78" s="71"/>
      <c r="T78" s="10" t="str">
        <f t="shared" si="18"/>
        <v/>
      </c>
      <c r="U78" s="71"/>
      <c r="V78" s="10" t="str">
        <f t="shared" si="39"/>
        <v/>
      </c>
      <c r="W78" s="10" t="str">
        <f t="shared" si="19"/>
        <v/>
      </c>
      <c r="X78" s="71"/>
      <c r="Y78" s="10" t="str">
        <f t="shared" si="40"/>
        <v/>
      </c>
      <c r="Z78" s="10" t="str">
        <f t="shared" si="20"/>
        <v/>
      </c>
      <c r="AA78" s="71"/>
      <c r="AB78" s="10" t="str">
        <f t="shared" si="4"/>
        <v/>
      </c>
      <c r="AC78" s="10" t="str">
        <f t="shared" si="21"/>
        <v/>
      </c>
      <c r="AD78" s="71"/>
      <c r="AE78" s="10" t="str">
        <f t="shared" si="41"/>
        <v/>
      </c>
      <c r="AF78" s="10" t="str">
        <f t="shared" si="22"/>
        <v/>
      </c>
      <c r="AG78" s="71"/>
      <c r="AH78" s="10" t="str">
        <f t="shared" si="42"/>
        <v/>
      </c>
      <c r="AI78" s="10" t="str">
        <f t="shared" si="23"/>
        <v/>
      </c>
      <c r="AJ78" s="71"/>
      <c r="AK78" s="10" t="str">
        <f t="shared" si="24"/>
        <v/>
      </c>
      <c r="AL78" s="10" t="str">
        <f t="shared" si="25"/>
        <v/>
      </c>
      <c r="AM78" s="71"/>
      <c r="AN78" s="10" t="str">
        <f t="shared" si="43"/>
        <v/>
      </c>
      <c r="AO78" s="10" t="str">
        <f t="shared" si="26"/>
        <v/>
      </c>
      <c r="AP78" s="71"/>
      <c r="AQ78" s="10" t="str">
        <f t="shared" si="44"/>
        <v/>
      </c>
      <c r="AR78" s="10" t="str">
        <f t="shared" si="27"/>
        <v/>
      </c>
      <c r="AS78" s="71"/>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U78" s="71"/>
      <c r="AV78" s="10" t="str">
        <f t="shared" si="45"/>
        <v/>
      </c>
      <c r="AW78" s="10" t="str">
        <f t="shared" si="10"/>
        <v/>
      </c>
      <c r="AX78" s="71"/>
      <c r="AY78" s="7" t="str">
        <f>IF(ISERROR(IF($K78&lt;=$F$15,VLOOKUP($I78,'表4）CO2価格'!$A$7:$E$67,VLOOKUP($F$48,'表4）CO2価格'!$H$10:$I$12,2,0),0)*$F$8/1000,"")),0,IF($K78&lt;=$F$15,VLOOKUP($I78,'表4）CO2価格'!$A$7:$E$67,VLOOKUP($F$48,'表4）CO2価格'!$H$10:$I$12,2,0),0)*$F$8/1000,""))</f>
        <v/>
      </c>
      <c r="AZ78" s="71"/>
      <c r="BA78" s="11" t="str">
        <f t="shared" si="46"/>
        <v/>
      </c>
      <c r="BB78" s="10" t="str">
        <f t="shared" si="28"/>
        <v/>
      </c>
      <c r="BC78" s="71"/>
      <c r="BD78" s="10" t="str">
        <f t="shared" si="47"/>
        <v/>
      </c>
      <c r="BE78" s="10" t="str">
        <f t="shared" si="29"/>
        <v/>
      </c>
      <c r="BF78" s="71"/>
      <c r="BG78" s="11" t="str">
        <f t="shared" si="48"/>
        <v/>
      </c>
      <c r="BH78" s="10" t="str">
        <f t="shared" si="30"/>
        <v/>
      </c>
      <c r="BJ78" s="7" t="str">
        <f t="shared" si="31"/>
        <v/>
      </c>
      <c r="BK78" s="158" t="str">
        <f t="shared" si="32"/>
        <v/>
      </c>
      <c r="BL78" s="158" t="str">
        <f t="shared" si="14"/>
        <v/>
      </c>
      <c r="BM78" s="10"/>
      <c r="BN78" s="10" t="str">
        <f t="shared" si="33"/>
        <v/>
      </c>
      <c r="BO78" s="10" t="str">
        <f t="shared" si="34"/>
        <v/>
      </c>
      <c r="BQ78" s="10" t="str">
        <f t="shared" si="49"/>
        <v/>
      </c>
      <c r="BR78" s="10" t="str">
        <f t="shared" si="35"/>
        <v/>
      </c>
    </row>
    <row r="79" spans="2:70" x14ac:dyDescent="0.15">
      <c r="E79" s="81" t="s">
        <v>139</v>
      </c>
      <c r="F79" s="91">
        <f>Z116/$BR$116</f>
        <v>0.17880339741265597</v>
      </c>
      <c r="G79" s="81" t="s">
        <v>132</v>
      </c>
      <c r="I79" s="38">
        <f t="shared" si="36"/>
        <v>2094</v>
      </c>
      <c r="J79" s="39"/>
      <c r="K79" s="39">
        <f t="shared" si="37"/>
        <v>65</v>
      </c>
      <c r="L79" s="39"/>
      <c r="M79" s="40">
        <f t="shared" ref="M79:M114" si="51">1/(1+($F$9/100))^K79</f>
        <v>0.14641325444882999</v>
      </c>
      <c r="N79" s="39"/>
      <c r="O79" s="72" t="str">
        <f t="shared" si="16"/>
        <v/>
      </c>
      <c r="P79" s="41" t="str">
        <f t="shared" ref="P79:P110" si="52">IF(K79&lt;=$F$15,IF(OR(P78=$F$124,P78="-"),"-",IF(O79*$F$123&gt;$F$127,$F$123,$F$124)),"")</f>
        <v/>
      </c>
      <c r="Q79" s="39"/>
      <c r="R79" s="72" t="str">
        <f t="shared" si="50"/>
        <v/>
      </c>
      <c r="S79" s="39"/>
      <c r="T79" s="72" t="str">
        <f t="shared" si="18"/>
        <v/>
      </c>
      <c r="U79" s="39"/>
      <c r="V79" s="72" t="str">
        <f t="shared" ref="V79:V114" si="53">IF(K79&lt;=$F$15,IF(K79&lt;$F$119,IF(P79="-",V78,O79*P79),IF(K79=$F$119,MIN(IF(P79="-",V78,O79*P79),O79),0)),"")</f>
        <v/>
      </c>
      <c r="W79" s="72" t="str">
        <f t="shared" si="19"/>
        <v/>
      </c>
      <c r="X79" s="39"/>
      <c r="Y79" s="72" t="str">
        <f t="shared" ref="Y79:Y114" si="54">IF($K79&lt;=$F$15,ROUNDDOWN(T79*$F$25/100,-2),"")</f>
        <v/>
      </c>
      <c r="Z79" s="72" t="str">
        <f t="shared" si="20"/>
        <v/>
      </c>
      <c r="AA79" s="39"/>
      <c r="AB79" s="72" t="str">
        <f t="shared" ref="AB79:AB114" si="55">IF($K79&lt;=$F$15,0,IF(AND($K79&gt;$F$15,$K79&lt;=$F$15+$F$28),$F$27*10^8/$F$28,""))</f>
        <v/>
      </c>
      <c r="AC79" s="72" t="str">
        <f t="shared" si="21"/>
        <v/>
      </c>
      <c r="AD79" s="39"/>
      <c r="AE79" s="72" t="str">
        <f t="shared" ref="AE79:AE114" si="56">IF($K79&lt;=$F$15,$F$26,"")</f>
        <v/>
      </c>
      <c r="AF79" s="72" t="str">
        <f t="shared" si="22"/>
        <v/>
      </c>
      <c r="AG79" s="39"/>
      <c r="AH79" s="72" t="str">
        <f t="shared" ref="AH79:AH114" si="57">IF($K79&lt;=$F$15,$F$33*10^8,"")</f>
        <v/>
      </c>
      <c r="AI79" s="72" t="str">
        <f t="shared" si="23"/>
        <v/>
      </c>
      <c r="AJ79" s="39"/>
      <c r="AK79" s="72" t="str">
        <f t="shared" si="24"/>
        <v/>
      </c>
      <c r="AL79" s="72" t="str">
        <f t="shared" si="25"/>
        <v/>
      </c>
      <c r="AM79" s="39"/>
      <c r="AN79" s="72" t="str">
        <f t="shared" ref="AN79:AN114" si="58">IF($K79&lt;=$F$15,$F$117*$F$35/100,"")</f>
        <v/>
      </c>
      <c r="AO79" s="72" t="str">
        <f t="shared" si="26"/>
        <v/>
      </c>
      <c r="AP79" s="39"/>
      <c r="AQ79" s="72" t="str">
        <f t="shared" ref="AQ79:AQ114" si="59">IF($K79&lt;=$F$15,SUM(AH79,AK79,AN79)*($F$36/100),"")</f>
        <v/>
      </c>
      <c r="AR79" s="72" t="str">
        <f t="shared" si="27"/>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60">IF($K79&lt;=$F$15,($AT79+$F$142)*$F$137,"")</f>
        <v/>
      </c>
      <c r="AW79" s="72" t="str">
        <f t="shared" ref="AW79:AW114" si="61">IF(ISNUMBER(AV79),AV79*$M79,"")</f>
        <v/>
      </c>
      <c r="AX79" s="39"/>
      <c r="AY79" s="40" t="str">
        <f>IF(ISERROR(IF($K79&lt;=$F$15,VLOOKUP($I79,'表4）CO2価格'!$A$7:$E$67,VLOOKUP($F$48,'表4）CO2価格'!$H$10:$I$12,2,0),0)*$F$8/1000,"")),0,IF($K79&lt;=$F$15,VLOOKUP($I79,'表4）CO2価格'!$A$7:$E$67,VLOOKUP($F$48,'表4）CO2価格'!$H$10:$I$12,2,0),0)*$F$8/1000,""))</f>
        <v/>
      </c>
      <c r="AZ79" s="39"/>
      <c r="BA79" s="42" t="str">
        <f t="shared" ref="BA79:BA114" si="62">IF($K79&lt;=$F$15,$F$145*AY79,"")</f>
        <v/>
      </c>
      <c r="BB79" s="72" t="str">
        <f t="shared" si="28"/>
        <v/>
      </c>
      <c r="BC79" s="39"/>
      <c r="BD79" s="72" t="str">
        <f t="shared" ref="BD79:BD114" si="63">IF($K79&lt;=$F$15,($AT79+$F$152)*$F$151,"")</f>
        <v/>
      </c>
      <c r="BE79" s="72" t="str">
        <f t="shared" si="29"/>
        <v/>
      </c>
      <c r="BF79" s="39"/>
      <c r="BG79" s="42" t="str">
        <f t="shared" ref="BG79:BG114" si="64">IF($K79&lt;=$F$15,$F$153*AY79,"")</f>
        <v/>
      </c>
      <c r="BH79" s="72" t="str">
        <f t="shared" si="30"/>
        <v/>
      </c>
      <c r="BI79" s="39"/>
      <c r="BJ79" s="40" t="str">
        <f t="shared" si="31"/>
        <v/>
      </c>
      <c r="BK79" s="157" t="str">
        <f t="shared" si="32"/>
        <v/>
      </c>
      <c r="BL79" s="157" t="str">
        <f t="shared" ref="BL79:BL114" si="65">IF(AND(ISNUMBER(BJ79),$K79&lt;=$F$16),BQ79*BJ79,"")</f>
        <v/>
      </c>
      <c r="BM79" s="72"/>
      <c r="BN79" s="72" t="str">
        <f t="shared" si="33"/>
        <v/>
      </c>
      <c r="BO79" s="72" t="str">
        <f t="shared" si="34"/>
        <v/>
      </c>
      <c r="BP79" s="39"/>
      <c r="BQ79" s="72" t="str">
        <f t="shared" ref="BQ79:BQ114" si="66">IF($K79&lt;=$F$15,$F$134,"")</f>
        <v/>
      </c>
      <c r="BR79" s="72" t="str">
        <f t="shared" si="35"/>
        <v/>
      </c>
    </row>
    <row r="80" spans="2:70" x14ac:dyDescent="0.15">
      <c r="E80" s="81" t="s">
        <v>115</v>
      </c>
      <c r="F80" s="91">
        <f>AF116/$BR$116</f>
        <v>0</v>
      </c>
      <c r="G80" s="81" t="s">
        <v>132</v>
      </c>
      <c r="I80" s="322">
        <f t="shared" si="36"/>
        <v>2095</v>
      </c>
      <c r="J80" s="71"/>
      <c r="K80" s="71">
        <f t="shared" si="37"/>
        <v>66</v>
      </c>
      <c r="L80" s="71"/>
      <c r="M80" s="7">
        <f t="shared" si="51"/>
        <v>0.14214879072701941</v>
      </c>
      <c r="N80" s="71"/>
      <c r="O80" s="10" t="str">
        <f t="shared" ref="O80:O114" si="67">IF(K80&lt;=$F$15,O79-V79,"")</f>
        <v/>
      </c>
      <c r="P80" s="29" t="str">
        <f t="shared" si="52"/>
        <v/>
      </c>
      <c r="Q80" s="71"/>
      <c r="R80" s="10" t="str">
        <f t="shared" ref="R80:R114" si="68">IF($K80&lt;=$F$15,MAX($F$117*5%,R79*$F$129),"")</f>
        <v/>
      </c>
      <c r="S80" s="71"/>
      <c r="T80" s="10" t="str">
        <f t="shared" ref="T80:T114" si="69">IF(ISNUMBER(R80),ROUNDDOWN(R80,-3),"")</f>
        <v/>
      </c>
      <c r="U80" s="71"/>
      <c r="V80" s="10" t="str">
        <f t="shared" si="53"/>
        <v/>
      </c>
      <c r="W80" s="10" t="str">
        <f t="shared" ref="W80:W114" si="70">IF(ISNUMBER(V80),V80*$M80,"")</f>
        <v/>
      </c>
      <c r="X80" s="71"/>
      <c r="Y80" s="10" t="str">
        <f t="shared" si="54"/>
        <v/>
      </c>
      <c r="Z80" s="10" t="str">
        <f t="shared" ref="Z80:Z114" si="71">IF(ISNUMBER(Y80),Y80*$M80,"")</f>
        <v/>
      </c>
      <c r="AA80" s="71"/>
      <c r="AB80" s="10" t="str">
        <f t="shared" si="55"/>
        <v/>
      </c>
      <c r="AC80" s="10" t="str">
        <f t="shared" ref="AC80:AC114" si="72">IF(ISNUMBER(AB80),AB80*$M80,"")</f>
        <v/>
      </c>
      <c r="AD80" s="71"/>
      <c r="AE80" s="10" t="str">
        <f t="shared" si="56"/>
        <v/>
      </c>
      <c r="AF80" s="10" t="str">
        <f t="shared" ref="AF80:AF114" si="73">IF(ISNUMBER(AE80),AE80*$M80,"")</f>
        <v/>
      </c>
      <c r="AG80" s="71"/>
      <c r="AH80" s="10" t="str">
        <f t="shared" si="57"/>
        <v/>
      </c>
      <c r="AI80" s="10" t="str">
        <f t="shared" ref="AI80:AI114" si="74">IF(ISNUMBER(AH80),AH80*$M80,"")</f>
        <v/>
      </c>
      <c r="AJ80" s="71"/>
      <c r="AK80" s="10" t="str">
        <f t="shared" ref="AK80:AK114" si="75">IF($K80&lt;=$F$15,$F$34*10^4*$F$13*10^4,"")</f>
        <v/>
      </c>
      <c r="AL80" s="10" t="str">
        <f t="shared" ref="AL80:AL114" si="76">IF(ISNUMBER(AK80),AK80*$M80,"")</f>
        <v/>
      </c>
      <c r="AM80" s="71"/>
      <c r="AN80" s="10" t="str">
        <f t="shared" si="58"/>
        <v/>
      </c>
      <c r="AO80" s="10" t="str">
        <f t="shared" ref="AO80:AO114" si="77">IF(ISNUMBER(AN80),AN80*$M80,"")</f>
        <v/>
      </c>
      <c r="AP80" s="71"/>
      <c r="AQ80" s="10" t="str">
        <f t="shared" si="59"/>
        <v/>
      </c>
      <c r="AR80" s="10" t="str">
        <f t="shared" ref="AR80:AR114" si="78">IF(ISNUMBER(AQ80),AQ80*$M80,"")</f>
        <v/>
      </c>
      <c r="AS80" s="71"/>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U80" s="71"/>
      <c r="AV80" s="10" t="str">
        <f t="shared" si="60"/>
        <v/>
      </c>
      <c r="AW80" s="10" t="str">
        <f t="shared" si="61"/>
        <v/>
      </c>
      <c r="AX80" s="71"/>
      <c r="AY80" s="7" t="str">
        <f>IF(ISERROR(IF($K80&lt;=$F$15,VLOOKUP($I80,'表4）CO2価格'!$A$7:$E$67,VLOOKUP($F$48,'表4）CO2価格'!$H$10:$I$12,2,0),0)*$F$8/1000,"")),0,IF($K80&lt;=$F$15,VLOOKUP($I80,'表4）CO2価格'!$A$7:$E$67,VLOOKUP($F$48,'表4）CO2価格'!$H$10:$I$12,2,0),0)*$F$8/1000,""))</f>
        <v/>
      </c>
      <c r="AZ80" s="71"/>
      <c r="BA80" s="11" t="str">
        <f t="shared" si="62"/>
        <v/>
      </c>
      <c r="BB80" s="10" t="str">
        <f t="shared" ref="BB80:BB114" si="79">IF(ISNUMBER(BA80),BA80*$M80,"")</f>
        <v/>
      </c>
      <c r="BC80" s="71"/>
      <c r="BD80" s="10" t="str">
        <f t="shared" si="63"/>
        <v/>
      </c>
      <c r="BE80" s="10" t="str">
        <f t="shared" ref="BE80:BE114" si="80">IF(ISNUMBER(BD80),BD80*$M80,"")</f>
        <v/>
      </c>
      <c r="BF80" s="71"/>
      <c r="BG80" s="11" t="str">
        <f t="shared" si="64"/>
        <v/>
      </c>
      <c r="BH80" s="10" t="str">
        <f t="shared" ref="BH80:BH114" si="81">IF(ISNUMBER(BG80),BG80*$M80,"")</f>
        <v/>
      </c>
      <c r="BJ80" s="7" t="str">
        <f t="shared" ref="BJ80:BJ114" si="82">IF(ISNUMBER($F$16),IF($K80&lt;=$F$16+$F$28,1/(1+($F$17/100))^K80,""),"")</f>
        <v/>
      </c>
      <c r="BK80" s="158" t="str">
        <f t="shared" ref="BK80:BK114" si="83">IF(ISNUMBER($F$16),IF($K80&lt;=$F$16+$F$28,IF($K80&lt;=$F$16,SUM(Y80,AB80,AE80,AH80,AK80,AN80,AQ80,AV80,BA80,BD80,BG80),$F$27/$F$28*10^8)*BJ80,""),"")</f>
        <v/>
      </c>
      <c r="BL80" s="158" t="str">
        <f t="shared" si="65"/>
        <v/>
      </c>
      <c r="BM80" s="10"/>
      <c r="BN80" s="10" t="str">
        <f t="shared" ref="BN80:BN114" si="84">IF(AND(ISNUMBER($F$16),$K80&lt;=$F$16),BQ80*($O$15+$BK$116)/$BL$116,"")</f>
        <v/>
      </c>
      <c r="BO80" s="10" t="str">
        <f t="shared" ref="BO80:BO114" si="85">IF(ISNUMBER(BN80),BN80*$M80,"")</f>
        <v/>
      </c>
      <c r="BQ80" s="10" t="str">
        <f t="shared" si="66"/>
        <v/>
      </c>
      <c r="BR80" s="10" t="str">
        <f t="shared" ref="BR80:BR114" si="86">IF(ISNUMBER(BQ80),BQ80*$M80,"")</f>
        <v/>
      </c>
    </row>
    <row r="81" spans="4:70" x14ac:dyDescent="0.15">
      <c r="E81" s="82" t="s">
        <v>86</v>
      </c>
      <c r="F81" s="91">
        <f>AC116/$BR$116</f>
        <v>4.3362588474998437E-2</v>
      </c>
      <c r="G81" s="81" t="s">
        <v>132</v>
      </c>
      <c r="I81" s="38">
        <f t="shared" ref="I81:I114" si="87">I80+1</f>
        <v>2096</v>
      </c>
      <c r="J81" s="39"/>
      <c r="K81" s="39">
        <f t="shared" ref="K81:K114" si="88">IF(I81&lt;&gt;"",K80+1,"")</f>
        <v>67</v>
      </c>
      <c r="L81" s="39"/>
      <c r="M81" s="40">
        <f t="shared" si="51"/>
        <v>0.1380085346864266</v>
      </c>
      <c r="N81" s="39"/>
      <c r="O81" s="72" t="str">
        <f t="shared" si="67"/>
        <v/>
      </c>
      <c r="P81" s="41" t="str">
        <f t="shared" si="52"/>
        <v/>
      </c>
      <c r="Q81" s="39"/>
      <c r="R81" s="72" t="str">
        <f t="shared" si="68"/>
        <v/>
      </c>
      <c r="S81" s="39"/>
      <c r="T81" s="72" t="str">
        <f t="shared" si="69"/>
        <v/>
      </c>
      <c r="U81" s="39"/>
      <c r="V81" s="72" t="str">
        <f t="shared" si="53"/>
        <v/>
      </c>
      <c r="W81" s="72" t="str">
        <f t="shared" si="70"/>
        <v/>
      </c>
      <c r="X81" s="39"/>
      <c r="Y81" s="72" t="str">
        <f t="shared" si="54"/>
        <v/>
      </c>
      <c r="Z81" s="72" t="str">
        <f t="shared" si="71"/>
        <v/>
      </c>
      <c r="AA81" s="39"/>
      <c r="AB81" s="72" t="str">
        <f t="shared" si="55"/>
        <v/>
      </c>
      <c r="AC81" s="72" t="str">
        <f t="shared" si="72"/>
        <v/>
      </c>
      <c r="AD81" s="39"/>
      <c r="AE81" s="72" t="str">
        <f t="shared" si="56"/>
        <v/>
      </c>
      <c r="AF81" s="72" t="str">
        <f t="shared" si="73"/>
        <v/>
      </c>
      <c r="AG81" s="39"/>
      <c r="AH81" s="72" t="str">
        <f t="shared" si="57"/>
        <v/>
      </c>
      <c r="AI81" s="72" t="str">
        <f t="shared" si="74"/>
        <v/>
      </c>
      <c r="AJ81" s="39"/>
      <c r="AK81" s="72" t="str">
        <f t="shared" si="75"/>
        <v/>
      </c>
      <c r="AL81" s="72" t="str">
        <f t="shared" si="76"/>
        <v/>
      </c>
      <c r="AM81" s="39"/>
      <c r="AN81" s="72" t="str">
        <f t="shared" si="58"/>
        <v/>
      </c>
      <c r="AO81" s="72" t="str">
        <f t="shared" si="77"/>
        <v/>
      </c>
      <c r="AP81" s="39"/>
      <c r="AQ81" s="72" t="str">
        <f t="shared" si="59"/>
        <v/>
      </c>
      <c r="AR81" s="72" t="str">
        <f t="shared" si="78"/>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60"/>
        <v/>
      </c>
      <c r="AW81" s="72" t="str">
        <f t="shared" si="61"/>
        <v/>
      </c>
      <c r="AX81" s="39"/>
      <c r="AY81" s="40" t="str">
        <f>IF(ISERROR(IF($K81&lt;=$F$15,VLOOKUP($I81,'表4）CO2価格'!$A$7:$E$67,VLOOKUP($F$48,'表4）CO2価格'!$H$10:$I$12,2,0),0)*$F$8/1000,"")),0,IF($K81&lt;=$F$15,VLOOKUP($I81,'表4）CO2価格'!$A$7:$E$67,VLOOKUP($F$48,'表4）CO2価格'!$H$10:$I$12,2,0),0)*$F$8/1000,""))</f>
        <v/>
      </c>
      <c r="AZ81" s="39"/>
      <c r="BA81" s="42" t="str">
        <f t="shared" si="62"/>
        <v/>
      </c>
      <c r="BB81" s="72" t="str">
        <f t="shared" si="79"/>
        <v/>
      </c>
      <c r="BC81" s="39"/>
      <c r="BD81" s="72" t="str">
        <f t="shared" si="63"/>
        <v/>
      </c>
      <c r="BE81" s="72" t="str">
        <f t="shared" si="80"/>
        <v/>
      </c>
      <c r="BF81" s="39"/>
      <c r="BG81" s="42" t="str">
        <f t="shared" si="64"/>
        <v/>
      </c>
      <c r="BH81" s="72" t="str">
        <f t="shared" si="81"/>
        <v/>
      </c>
      <c r="BI81" s="39"/>
      <c r="BJ81" s="40" t="str">
        <f t="shared" si="82"/>
        <v/>
      </c>
      <c r="BK81" s="157" t="str">
        <f t="shared" si="83"/>
        <v/>
      </c>
      <c r="BL81" s="157" t="str">
        <f t="shared" si="65"/>
        <v/>
      </c>
      <c r="BM81" s="72"/>
      <c r="BN81" s="72" t="str">
        <f t="shared" si="84"/>
        <v/>
      </c>
      <c r="BO81" s="72" t="str">
        <f t="shared" si="85"/>
        <v/>
      </c>
      <c r="BP81" s="39"/>
      <c r="BQ81" s="72" t="str">
        <f t="shared" si="66"/>
        <v/>
      </c>
      <c r="BR81" s="72" t="str">
        <f t="shared" si="86"/>
        <v/>
      </c>
    </row>
    <row r="82" spans="4:70" x14ac:dyDescent="0.15">
      <c r="F82" s="93"/>
      <c r="I82" s="322">
        <f t="shared" si="87"/>
        <v>2097</v>
      </c>
      <c r="J82" s="71"/>
      <c r="K82" s="71">
        <f t="shared" si="88"/>
        <v>68</v>
      </c>
      <c r="L82" s="71"/>
      <c r="M82" s="7">
        <f t="shared" si="51"/>
        <v>0.13398886862759865</v>
      </c>
      <c r="N82" s="71"/>
      <c r="O82" s="10" t="str">
        <f t="shared" si="67"/>
        <v/>
      </c>
      <c r="P82" s="29" t="str">
        <f t="shared" si="52"/>
        <v/>
      </c>
      <c r="Q82" s="71"/>
      <c r="R82" s="10" t="str">
        <f t="shared" si="68"/>
        <v/>
      </c>
      <c r="S82" s="71"/>
      <c r="T82" s="10" t="str">
        <f t="shared" si="69"/>
        <v/>
      </c>
      <c r="U82" s="71"/>
      <c r="V82" s="10" t="str">
        <f t="shared" si="53"/>
        <v/>
      </c>
      <c r="W82" s="10" t="str">
        <f t="shared" si="70"/>
        <v/>
      </c>
      <c r="X82" s="71"/>
      <c r="Y82" s="10" t="str">
        <f t="shared" si="54"/>
        <v/>
      </c>
      <c r="Z82" s="10" t="str">
        <f t="shared" si="71"/>
        <v/>
      </c>
      <c r="AA82" s="71"/>
      <c r="AB82" s="10" t="str">
        <f t="shared" si="55"/>
        <v/>
      </c>
      <c r="AC82" s="10" t="str">
        <f t="shared" si="72"/>
        <v/>
      </c>
      <c r="AD82" s="71"/>
      <c r="AE82" s="10" t="str">
        <f t="shared" si="56"/>
        <v/>
      </c>
      <c r="AF82" s="10" t="str">
        <f t="shared" si="73"/>
        <v/>
      </c>
      <c r="AG82" s="71"/>
      <c r="AH82" s="10" t="str">
        <f t="shared" si="57"/>
        <v/>
      </c>
      <c r="AI82" s="10" t="str">
        <f t="shared" si="74"/>
        <v/>
      </c>
      <c r="AJ82" s="71"/>
      <c r="AK82" s="10" t="str">
        <f t="shared" si="75"/>
        <v/>
      </c>
      <c r="AL82" s="10" t="str">
        <f t="shared" si="76"/>
        <v/>
      </c>
      <c r="AM82" s="71"/>
      <c r="AN82" s="10" t="str">
        <f t="shared" si="58"/>
        <v/>
      </c>
      <c r="AO82" s="10" t="str">
        <f t="shared" si="77"/>
        <v/>
      </c>
      <c r="AP82" s="71"/>
      <c r="AQ82" s="10" t="str">
        <f t="shared" si="59"/>
        <v/>
      </c>
      <c r="AR82" s="10" t="str">
        <f t="shared" si="78"/>
        <v/>
      </c>
      <c r="AS82" s="71"/>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U82" s="71"/>
      <c r="AV82" s="10" t="str">
        <f t="shared" si="60"/>
        <v/>
      </c>
      <c r="AW82" s="10" t="str">
        <f t="shared" si="61"/>
        <v/>
      </c>
      <c r="AX82" s="71"/>
      <c r="AY82" s="7" t="str">
        <f>IF(ISERROR(IF($K82&lt;=$F$15,VLOOKUP($I82,'表4）CO2価格'!$A$7:$E$67,VLOOKUP($F$48,'表4）CO2価格'!$H$10:$I$12,2,0),0)*$F$8/1000,"")),0,IF($K82&lt;=$F$15,VLOOKUP($I82,'表4）CO2価格'!$A$7:$E$67,VLOOKUP($F$48,'表4）CO2価格'!$H$10:$I$12,2,0),0)*$F$8/1000,""))</f>
        <v/>
      </c>
      <c r="AZ82" s="71"/>
      <c r="BA82" s="11" t="str">
        <f t="shared" si="62"/>
        <v/>
      </c>
      <c r="BB82" s="10" t="str">
        <f t="shared" si="79"/>
        <v/>
      </c>
      <c r="BC82" s="71"/>
      <c r="BD82" s="10" t="str">
        <f t="shared" si="63"/>
        <v/>
      </c>
      <c r="BE82" s="10" t="str">
        <f t="shared" si="80"/>
        <v/>
      </c>
      <c r="BF82" s="71"/>
      <c r="BG82" s="11" t="str">
        <f t="shared" si="64"/>
        <v/>
      </c>
      <c r="BH82" s="10" t="str">
        <f t="shared" si="81"/>
        <v/>
      </c>
      <c r="BJ82" s="7" t="str">
        <f t="shared" si="82"/>
        <v/>
      </c>
      <c r="BK82" s="158" t="str">
        <f t="shared" si="83"/>
        <v/>
      </c>
      <c r="BL82" s="158" t="str">
        <f t="shared" si="65"/>
        <v/>
      </c>
      <c r="BM82" s="10"/>
      <c r="BN82" s="10" t="str">
        <f t="shared" si="84"/>
        <v/>
      </c>
      <c r="BO82" s="10" t="str">
        <f t="shared" si="85"/>
        <v/>
      </c>
      <c r="BQ82" s="10" t="str">
        <f t="shared" si="66"/>
        <v/>
      </c>
      <c r="BR82" s="10" t="str">
        <f t="shared" si="86"/>
        <v/>
      </c>
    </row>
    <row r="83" spans="4:70" ht="15" x14ac:dyDescent="0.15">
      <c r="D83" s="116" t="s">
        <v>194</v>
      </c>
      <c r="F83" s="94">
        <f>SUBTOTAL(9,F87:F90)</f>
        <v>2.5825500687808263</v>
      </c>
      <c r="G83" s="81" t="s">
        <v>132</v>
      </c>
      <c r="I83" s="38">
        <f>I82+1</f>
        <v>2098</v>
      </c>
      <c r="J83" s="39"/>
      <c r="K83" s="39">
        <f>IF(I83&lt;&gt;"",K82+1,"")</f>
        <v>69</v>
      </c>
      <c r="L83" s="39"/>
      <c r="M83" s="40">
        <f t="shared" si="51"/>
        <v>0.13008628022096957</v>
      </c>
      <c r="N83" s="39"/>
      <c r="O83" s="72" t="str">
        <f t="shared" si="67"/>
        <v/>
      </c>
      <c r="P83" s="41" t="str">
        <f t="shared" si="52"/>
        <v/>
      </c>
      <c r="Q83" s="39"/>
      <c r="R83" s="72" t="str">
        <f t="shared" si="68"/>
        <v/>
      </c>
      <c r="S83" s="39"/>
      <c r="T83" s="72" t="str">
        <f t="shared" si="69"/>
        <v/>
      </c>
      <c r="U83" s="39"/>
      <c r="V83" s="72" t="str">
        <f t="shared" si="53"/>
        <v/>
      </c>
      <c r="W83" s="72" t="str">
        <f t="shared" si="70"/>
        <v/>
      </c>
      <c r="X83" s="39"/>
      <c r="Y83" s="72" t="str">
        <f t="shared" si="54"/>
        <v/>
      </c>
      <c r="Z83" s="72" t="str">
        <f t="shared" si="71"/>
        <v/>
      </c>
      <c r="AA83" s="39"/>
      <c r="AB83" s="72" t="str">
        <f t="shared" si="55"/>
        <v/>
      </c>
      <c r="AC83" s="72" t="str">
        <f t="shared" si="72"/>
        <v/>
      </c>
      <c r="AD83" s="39"/>
      <c r="AE83" s="72" t="str">
        <f t="shared" si="56"/>
        <v/>
      </c>
      <c r="AF83" s="72" t="str">
        <f t="shared" si="73"/>
        <v/>
      </c>
      <c r="AG83" s="39"/>
      <c r="AH83" s="72" t="str">
        <f t="shared" si="57"/>
        <v/>
      </c>
      <c r="AI83" s="72" t="str">
        <f t="shared" si="74"/>
        <v/>
      </c>
      <c r="AJ83" s="39"/>
      <c r="AK83" s="72" t="str">
        <f t="shared" si="75"/>
        <v/>
      </c>
      <c r="AL83" s="72" t="str">
        <f t="shared" si="76"/>
        <v/>
      </c>
      <c r="AM83" s="39"/>
      <c r="AN83" s="72" t="str">
        <f t="shared" si="58"/>
        <v/>
      </c>
      <c r="AO83" s="72" t="str">
        <f t="shared" si="77"/>
        <v/>
      </c>
      <c r="AP83" s="39"/>
      <c r="AQ83" s="72" t="str">
        <f t="shared" si="59"/>
        <v/>
      </c>
      <c r="AR83" s="72" t="str">
        <f t="shared" si="78"/>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60"/>
        <v/>
      </c>
      <c r="AW83" s="72" t="str">
        <f t="shared" si="61"/>
        <v/>
      </c>
      <c r="AX83" s="39"/>
      <c r="AY83" s="40" t="str">
        <f>IF(ISERROR(IF($K83&lt;=$F$15,VLOOKUP($I83,'表4）CO2価格'!$A$7:$E$67,VLOOKUP($F$48,'表4）CO2価格'!$H$10:$I$12,2,0),0)*$F$8/1000,"")),0,IF($K83&lt;=$F$15,VLOOKUP($I83,'表4）CO2価格'!$A$7:$E$67,VLOOKUP($F$48,'表4）CO2価格'!$H$10:$I$12,2,0),0)*$F$8/1000,""))</f>
        <v/>
      </c>
      <c r="AZ83" s="39"/>
      <c r="BA83" s="42" t="str">
        <f t="shared" si="62"/>
        <v/>
      </c>
      <c r="BB83" s="72" t="str">
        <f t="shared" si="79"/>
        <v/>
      </c>
      <c r="BC83" s="39"/>
      <c r="BD83" s="72" t="str">
        <f t="shared" si="63"/>
        <v/>
      </c>
      <c r="BE83" s="72" t="str">
        <f t="shared" si="80"/>
        <v/>
      </c>
      <c r="BF83" s="39"/>
      <c r="BG83" s="42" t="str">
        <f t="shared" si="64"/>
        <v/>
      </c>
      <c r="BH83" s="72" t="str">
        <f t="shared" si="81"/>
        <v/>
      </c>
      <c r="BI83" s="39"/>
      <c r="BJ83" s="40" t="str">
        <f t="shared" si="82"/>
        <v/>
      </c>
      <c r="BK83" s="157" t="str">
        <f t="shared" si="83"/>
        <v/>
      </c>
      <c r="BL83" s="157" t="str">
        <f t="shared" si="65"/>
        <v/>
      </c>
      <c r="BM83" s="72"/>
      <c r="BN83" s="72" t="str">
        <f t="shared" si="84"/>
        <v/>
      </c>
      <c r="BO83" s="72" t="str">
        <f t="shared" si="85"/>
        <v/>
      </c>
      <c r="BP83" s="39"/>
      <c r="BQ83" s="72" t="str">
        <f t="shared" si="66"/>
        <v/>
      </c>
      <c r="BR83" s="72" t="str">
        <f t="shared" si="86"/>
        <v/>
      </c>
    </row>
    <row r="84" spans="4:70" x14ac:dyDescent="0.15">
      <c r="F84" s="93"/>
      <c r="I84" s="322">
        <f t="shared" si="87"/>
        <v>2099</v>
      </c>
      <c r="J84" s="71"/>
      <c r="K84" s="71">
        <f t="shared" si="88"/>
        <v>70</v>
      </c>
      <c r="L84" s="71"/>
      <c r="M84" s="7">
        <f t="shared" si="51"/>
        <v>0.12629735943783454</v>
      </c>
      <c r="N84" s="71"/>
      <c r="O84" s="10" t="str">
        <f t="shared" si="67"/>
        <v/>
      </c>
      <c r="P84" s="29" t="str">
        <f t="shared" si="52"/>
        <v/>
      </c>
      <c r="Q84" s="71"/>
      <c r="R84" s="10" t="str">
        <f t="shared" si="68"/>
        <v/>
      </c>
      <c r="S84" s="71"/>
      <c r="T84" s="10" t="str">
        <f t="shared" si="69"/>
        <v/>
      </c>
      <c r="U84" s="71"/>
      <c r="V84" s="10" t="str">
        <f t="shared" si="53"/>
        <v/>
      </c>
      <c r="W84" s="10" t="str">
        <f t="shared" si="70"/>
        <v/>
      </c>
      <c r="X84" s="71"/>
      <c r="Y84" s="10" t="str">
        <f t="shared" si="54"/>
        <v/>
      </c>
      <c r="Z84" s="10" t="str">
        <f t="shared" si="71"/>
        <v/>
      </c>
      <c r="AA84" s="71"/>
      <c r="AB84" s="10" t="str">
        <f t="shared" si="55"/>
        <v/>
      </c>
      <c r="AC84" s="10" t="str">
        <f t="shared" si="72"/>
        <v/>
      </c>
      <c r="AD84" s="71"/>
      <c r="AE84" s="10" t="str">
        <f t="shared" si="56"/>
        <v/>
      </c>
      <c r="AF84" s="10" t="str">
        <f t="shared" si="73"/>
        <v/>
      </c>
      <c r="AG84" s="71"/>
      <c r="AH84" s="10" t="str">
        <f t="shared" si="57"/>
        <v/>
      </c>
      <c r="AI84" s="10" t="str">
        <f t="shared" si="74"/>
        <v/>
      </c>
      <c r="AJ84" s="71"/>
      <c r="AK84" s="10" t="str">
        <f t="shared" si="75"/>
        <v/>
      </c>
      <c r="AL84" s="10" t="str">
        <f t="shared" si="76"/>
        <v/>
      </c>
      <c r="AM84" s="71"/>
      <c r="AN84" s="10" t="str">
        <f t="shared" si="58"/>
        <v/>
      </c>
      <c r="AO84" s="10" t="str">
        <f t="shared" si="77"/>
        <v/>
      </c>
      <c r="AP84" s="71"/>
      <c r="AQ84" s="10" t="str">
        <f t="shared" si="59"/>
        <v/>
      </c>
      <c r="AR84" s="10" t="str">
        <f t="shared" si="78"/>
        <v/>
      </c>
      <c r="AS84" s="71"/>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U84" s="71"/>
      <c r="AV84" s="10" t="str">
        <f t="shared" si="60"/>
        <v/>
      </c>
      <c r="AW84" s="10" t="str">
        <f t="shared" si="61"/>
        <v/>
      </c>
      <c r="AX84" s="71"/>
      <c r="AY84" s="7" t="str">
        <f>IF(ISERROR(IF($K84&lt;=$F$15,VLOOKUP($I84,'表4）CO2価格'!$A$7:$E$67,VLOOKUP($F$48,'表4）CO2価格'!$H$10:$I$12,2,0),0)*$F$8/1000,"")),0,IF($K84&lt;=$F$15,VLOOKUP($I84,'表4）CO2価格'!$A$7:$E$67,VLOOKUP($F$48,'表4）CO2価格'!$H$10:$I$12,2,0),0)*$F$8/1000,""))</f>
        <v/>
      </c>
      <c r="AZ84" s="71"/>
      <c r="BA84" s="11" t="str">
        <f t="shared" si="62"/>
        <v/>
      </c>
      <c r="BB84" s="10" t="str">
        <f t="shared" si="79"/>
        <v/>
      </c>
      <c r="BC84" s="71"/>
      <c r="BD84" s="10" t="str">
        <f t="shared" si="63"/>
        <v/>
      </c>
      <c r="BE84" s="10" t="str">
        <f t="shared" si="80"/>
        <v/>
      </c>
      <c r="BF84" s="71"/>
      <c r="BG84" s="11" t="str">
        <f t="shared" si="64"/>
        <v/>
      </c>
      <c r="BH84" s="10" t="str">
        <f t="shared" si="81"/>
        <v/>
      </c>
      <c r="BJ84" s="7" t="str">
        <f t="shared" si="82"/>
        <v/>
      </c>
      <c r="BK84" s="158" t="str">
        <f t="shared" si="83"/>
        <v/>
      </c>
      <c r="BL84" s="158" t="str">
        <f t="shared" si="65"/>
        <v/>
      </c>
      <c r="BM84" s="10"/>
      <c r="BN84" s="10" t="str">
        <f t="shared" si="84"/>
        <v/>
      </c>
      <c r="BO84" s="10" t="str">
        <f t="shared" si="85"/>
        <v/>
      </c>
      <c r="BQ84" s="10" t="str">
        <f t="shared" si="66"/>
        <v/>
      </c>
      <c r="BR84" s="10" t="str">
        <f t="shared" si="86"/>
        <v/>
      </c>
    </row>
    <row r="85" spans="4:70" x14ac:dyDescent="0.15">
      <c r="D85" s="101" t="s">
        <v>195</v>
      </c>
      <c r="E85" s="113"/>
      <c r="F85" s="92"/>
      <c r="G85" s="101"/>
      <c r="I85" s="38">
        <f t="shared" si="87"/>
        <v>2100</v>
      </c>
      <c r="J85" s="39"/>
      <c r="K85" s="39">
        <f t="shared" si="88"/>
        <v>71</v>
      </c>
      <c r="L85" s="39"/>
      <c r="M85" s="40">
        <f t="shared" si="51"/>
        <v>0.12261879557071313</v>
      </c>
      <c r="N85" s="39"/>
      <c r="O85" s="72" t="str">
        <f t="shared" si="67"/>
        <v/>
      </c>
      <c r="P85" s="41" t="str">
        <f t="shared" si="52"/>
        <v/>
      </c>
      <c r="Q85" s="39"/>
      <c r="R85" s="72" t="str">
        <f t="shared" si="68"/>
        <v/>
      </c>
      <c r="S85" s="39"/>
      <c r="T85" s="72" t="str">
        <f t="shared" si="69"/>
        <v/>
      </c>
      <c r="U85" s="39"/>
      <c r="V85" s="72" t="str">
        <f t="shared" si="53"/>
        <v/>
      </c>
      <c r="W85" s="72" t="str">
        <f t="shared" si="70"/>
        <v/>
      </c>
      <c r="X85" s="39"/>
      <c r="Y85" s="72" t="str">
        <f t="shared" si="54"/>
        <v/>
      </c>
      <c r="Z85" s="72" t="str">
        <f t="shared" si="71"/>
        <v/>
      </c>
      <c r="AA85" s="39"/>
      <c r="AB85" s="72" t="str">
        <f t="shared" si="55"/>
        <v/>
      </c>
      <c r="AC85" s="72" t="str">
        <f t="shared" si="72"/>
        <v/>
      </c>
      <c r="AD85" s="39"/>
      <c r="AE85" s="72" t="str">
        <f t="shared" si="56"/>
        <v/>
      </c>
      <c r="AF85" s="72" t="str">
        <f t="shared" si="73"/>
        <v/>
      </c>
      <c r="AG85" s="39"/>
      <c r="AH85" s="72" t="str">
        <f t="shared" si="57"/>
        <v/>
      </c>
      <c r="AI85" s="72" t="str">
        <f t="shared" si="74"/>
        <v/>
      </c>
      <c r="AJ85" s="39"/>
      <c r="AK85" s="72" t="str">
        <f t="shared" si="75"/>
        <v/>
      </c>
      <c r="AL85" s="72" t="str">
        <f t="shared" si="76"/>
        <v/>
      </c>
      <c r="AM85" s="39"/>
      <c r="AN85" s="72" t="str">
        <f t="shared" si="58"/>
        <v/>
      </c>
      <c r="AO85" s="72" t="str">
        <f t="shared" si="77"/>
        <v/>
      </c>
      <c r="AP85" s="39"/>
      <c r="AQ85" s="72" t="str">
        <f t="shared" si="59"/>
        <v/>
      </c>
      <c r="AR85" s="72" t="str">
        <f t="shared" si="78"/>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60"/>
        <v/>
      </c>
      <c r="AW85" s="72" t="str">
        <f t="shared" si="61"/>
        <v/>
      </c>
      <c r="AX85" s="39"/>
      <c r="AY85" s="40" t="str">
        <f>IF(ISERROR(IF($K85&lt;=$F$15,VLOOKUP($I85,'表4）CO2価格'!$A$7:$E$67,VLOOKUP($F$48,'表4）CO2価格'!$H$10:$I$12,2,0),0)*$F$8/1000,"")),0,IF($K85&lt;=$F$15,VLOOKUP($I85,'表4）CO2価格'!$A$7:$E$67,VLOOKUP($F$48,'表4）CO2価格'!$H$10:$I$12,2,0),0)*$F$8/1000,""))</f>
        <v/>
      </c>
      <c r="AZ85" s="39"/>
      <c r="BA85" s="42" t="str">
        <f t="shared" si="62"/>
        <v/>
      </c>
      <c r="BB85" s="72" t="str">
        <f t="shared" si="79"/>
        <v/>
      </c>
      <c r="BC85" s="39"/>
      <c r="BD85" s="72" t="str">
        <f t="shared" si="63"/>
        <v/>
      </c>
      <c r="BE85" s="72" t="str">
        <f t="shared" si="80"/>
        <v/>
      </c>
      <c r="BF85" s="39"/>
      <c r="BG85" s="42" t="str">
        <f t="shared" si="64"/>
        <v/>
      </c>
      <c r="BH85" s="72" t="str">
        <f t="shared" si="81"/>
        <v/>
      </c>
      <c r="BI85" s="39"/>
      <c r="BJ85" s="40" t="str">
        <f t="shared" si="82"/>
        <v/>
      </c>
      <c r="BK85" s="157" t="str">
        <f t="shared" si="83"/>
        <v/>
      </c>
      <c r="BL85" s="157" t="str">
        <f t="shared" si="65"/>
        <v/>
      </c>
      <c r="BM85" s="72"/>
      <c r="BN85" s="72" t="str">
        <f t="shared" si="84"/>
        <v/>
      </c>
      <c r="BO85" s="72" t="str">
        <f t="shared" si="85"/>
        <v/>
      </c>
      <c r="BP85" s="39"/>
      <c r="BQ85" s="72" t="str">
        <f t="shared" si="66"/>
        <v/>
      </c>
      <c r="BR85" s="72" t="str">
        <f t="shared" si="86"/>
        <v/>
      </c>
    </row>
    <row r="86" spans="4:70" x14ac:dyDescent="0.15">
      <c r="F86" s="93"/>
      <c r="I86" s="322">
        <f t="shared" si="87"/>
        <v>2101</v>
      </c>
      <c r="J86" s="71"/>
      <c r="K86" s="71">
        <f t="shared" si="88"/>
        <v>72</v>
      </c>
      <c r="L86" s="71"/>
      <c r="M86" s="7">
        <f t="shared" si="51"/>
        <v>0.1190473743404982</v>
      </c>
      <c r="N86" s="71"/>
      <c r="O86" s="10" t="str">
        <f t="shared" si="67"/>
        <v/>
      </c>
      <c r="P86" s="29" t="str">
        <f t="shared" si="52"/>
        <v/>
      </c>
      <c r="Q86" s="71"/>
      <c r="R86" s="10" t="str">
        <f t="shared" si="68"/>
        <v/>
      </c>
      <c r="S86" s="71"/>
      <c r="T86" s="10" t="str">
        <f t="shared" si="69"/>
        <v/>
      </c>
      <c r="U86" s="71"/>
      <c r="V86" s="10" t="str">
        <f t="shared" si="53"/>
        <v/>
      </c>
      <c r="W86" s="10" t="str">
        <f t="shared" si="70"/>
        <v/>
      </c>
      <c r="X86" s="71"/>
      <c r="Y86" s="10" t="str">
        <f t="shared" si="54"/>
        <v/>
      </c>
      <c r="Z86" s="10" t="str">
        <f t="shared" si="71"/>
        <v/>
      </c>
      <c r="AA86" s="71"/>
      <c r="AB86" s="10" t="str">
        <f t="shared" si="55"/>
        <v/>
      </c>
      <c r="AC86" s="10" t="str">
        <f t="shared" si="72"/>
        <v/>
      </c>
      <c r="AD86" s="71"/>
      <c r="AE86" s="10" t="str">
        <f t="shared" si="56"/>
        <v/>
      </c>
      <c r="AF86" s="10" t="str">
        <f t="shared" si="73"/>
        <v/>
      </c>
      <c r="AG86" s="71"/>
      <c r="AH86" s="10" t="str">
        <f t="shared" si="57"/>
        <v/>
      </c>
      <c r="AI86" s="10" t="str">
        <f t="shared" si="74"/>
        <v/>
      </c>
      <c r="AJ86" s="71"/>
      <c r="AK86" s="10" t="str">
        <f t="shared" si="75"/>
        <v/>
      </c>
      <c r="AL86" s="10" t="str">
        <f t="shared" si="76"/>
        <v/>
      </c>
      <c r="AM86" s="71"/>
      <c r="AN86" s="10" t="str">
        <f t="shared" si="58"/>
        <v/>
      </c>
      <c r="AO86" s="10" t="str">
        <f t="shared" si="77"/>
        <v/>
      </c>
      <c r="AP86" s="71"/>
      <c r="AQ86" s="10" t="str">
        <f t="shared" si="59"/>
        <v/>
      </c>
      <c r="AR86" s="10" t="str">
        <f t="shared" si="78"/>
        <v/>
      </c>
      <c r="AS86" s="71"/>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U86" s="71"/>
      <c r="AV86" s="10" t="str">
        <f t="shared" si="60"/>
        <v/>
      </c>
      <c r="AW86" s="10" t="str">
        <f t="shared" si="61"/>
        <v/>
      </c>
      <c r="AX86" s="71"/>
      <c r="AY86" s="7" t="str">
        <f>IF(ISERROR(IF($K86&lt;=$F$15,VLOOKUP($I86,'表4）CO2価格'!$A$7:$E$67,VLOOKUP($F$48,'表4）CO2価格'!$H$10:$I$12,2,0),0)*$F$8/1000,"")),0,IF($K86&lt;=$F$15,VLOOKUP($I86,'表4）CO2価格'!$A$7:$E$67,VLOOKUP($F$48,'表4）CO2価格'!$H$10:$I$12,2,0),0)*$F$8/1000,""))</f>
        <v/>
      </c>
      <c r="AZ86" s="71"/>
      <c r="BA86" s="11" t="str">
        <f t="shared" si="62"/>
        <v/>
      </c>
      <c r="BB86" s="10" t="str">
        <f t="shared" si="79"/>
        <v/>
      </c>
      <c r="BC86" s="71"/>
      <c r="BD86" s="10" t="str">
        <f t="shared" si="63"/>
        <v/>
      </c>
      <c r="BE86" s="10" t="str">
        <f t="shared" si="80"/>
        <v/>
      </c>
      <c r="BF86" s="71"/>
      <c r="BG86" s="11" t="str">
        <f t="shared" si="64"/>
        <v/>
      </c>
      <c r="BH86" s="10" t="str">
        <f t="shared" si="81"/>
        <v/>
      </c>
      <c r="BJ86" s="7" t="str">
        <f t="shared" si="82"/>
        <v/>
      </c>
      <c r="BK86" s="158" t="str">
        <f t="shared" si="83"/>
        <v/>
      </c>
      <c r="BL86" s="158" t="str">
        <f t="shared" si="65"/>
        <v/>
      </c>
      <c r="BM86" s="10"/>
      <c r="BN86" s="10" t="str">
        <f t="shared" si="84"/>
        <v/>
      </c>
      <c r="BO86" s="10" t="str">
        <f t="shared" si="85"/>
        <v/>
      </c>
      <c r="BQ86" s="10" t="str">
        <f t="shared" si="66"/>
        <v/>
      </c>
      <c r="BR86" s="10" t="str">
        <f t="shared" si="86"/>
        <v/>
      </c>
    </row>
    <row r="87" spans="4:70" x14ac:dyDescent="0.15">
      <c r="E87" s="81" t="s">
        <v>141</v>
      </c>
      <c r="F87" s="91">
        <f>AI116/$BR$116</f>
        <v>0</v>
      </c>
      <c r="G87" s="81" t="s">
        <v>132</v>
      </c>
      <c r="I87" s="38">
        <f t="shared" si="87"/>
        <v>2102</v>
      </c>
      <c r="J87" s="39"/>
      <c r="K87" s="39">
        <f t="shared" si="88"/>
        <v>73</v>
      </c>
      <c r="L87" s="39"/>
      <c r="M87" s="40">
        <f t="shared" si="51"/>
        <v>0.11557997508786232</v>
      </c>
      <c r="N87" s="39"/>
      <c r="O87" s="72" t="str">
        <f t="shared" si="67"/>
        <v/>
      </c>
      <c r="P87" s="41" t="str">
        <f t="shared" si="52"/>
        <v/>
      </c>
      <c r="Q87" s="39"/>
      <c r="R87" s="72" t="str">
        <f t="shared" si="68"/>
        <v/>
      </c>
      <c r="S87" s="39"/>
      <c r="T87" s="72" t="str">
        <f t="shared" si="69"/>
        <v/>
      </c>
      <c r="U87" s="39"/>
      <c r="V87" s="72" t="str">
        <f t="shared" si="53"/>
        <v/>
      </c>
      <c r="W87" s="72" t="str">
        <f t="shared" si="70"/>
        <v/>
      </c>
      <c r="X87" s="39"/>
      <c r="Y87" s="72" t="str">
        <f t="shared" si="54"/>
        <v/>
      </c>
      <c r="Z87" s="72" t="str">
        <f t="shared" si="71"/>
        <v/>
      </c>
      <c r="AA87" s="39"/>
      <c r="AB87" s="72" t="str">
        <f t="shared" si="55"/>
        <v/>
      </c>
      <c r="AC87" s="72" t="str">
        <f t="shared" si="72"/>
        <v/>
      </c>
      <c r="AD87" s="39"/>
      <c r="AE87" s="72" t="str">
        <f t="shared" si="56"/>
        <v/>
      </c>
      <c r="AF87" s="72" t="str">
        <f t="shared" si="73"/>
        <v/>
      </c>
      <c r="AG87" s="39"/>
      <c r="AH87" s="72" t="str">
        <f t="shared" si="57"/>
        <v/>
      </c>
      <c r="AI87" s="72" t="str">
        <f t="shared" si="74"/>
        <v/>
      </c>
      <c r="AJ87" s="39"/>
      <c r="AK87" s="72" t="str">
        <f t="shared" si="75"/>
        <v/>
      </c>
      <c r="AL87" s="72" t="str">
        <f t="shared" si="76"/>
        <v/>
      </c>
      <c r="AM87" s="39"/>
      <c r="AN87" s="72" t="str">
        <f t="shared" si="58"/>
        <v/>
      </c>
      <c r="AO87" s="72" t="str">
        <f t="shared" si="77"/>
        <v/>
      </c>
      <c r="AP87" s="39"/>
      <c r="AQ87" s="72" t="str">
        <f t="shared" si="59"/>
        <v/>
      </c>
      <c r="AR87" s="72" t="str">
        <f t="shared" si="78"/>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60"/>
        <v/>
      </c>
      <c r="AW87" s="72" t="str">
        <f t="shared" si="61"/>
        <v/>
      </c>
      <c r="AX87" s="39"/>
      <c r="AY87" s="40" t="str">
        <f>IF(ISERROR(IF($K87&lt;=$F$15,VLOOKUP($I87,'表4）CO2価格'!$A$7:$E$67,VLOOKUP($F$48,'表4）CO2価格'!$H$10:$I$12,2,0),0)*$F$8/1000,"")),0,IF($K87&lt;=$F$15,VLOOKUP($I87,'表4）CO2価格'!$A$7:$E$67,VLOOKUP($F$48,'表4）CO2価格'!$H$10:$I$12,2,0),0)*$F$8/1000,""))</f>
        <v/>
      </c>
      <c r="AZ87" s="39"/>
      <c r="BA87" s="42" t="str">
        <f t="shared" si="62"/>
        <v/>
      </c>
      <c r="BB87" s="72" t="str">
        <f t="shared" si="79"/>
        <v/>
      </c>
      <c r="BC87" s="39"/>
      <c r="BD87" s="72" t="str">
        <f t="shared" si="63"/>
        <v/>
      </c>
      <c r="BE87" s="72" t="str">
        <f t="shared" si="80"/>
        <v/>
      </c>
      <c r="BF87" s="39"/>
      <c r="BG87" s="42" t="str">
        <f t="shared" si="64"/>
        <v/>
      </c>
      <c r="BH87" s="72" t="str">
        <f t="shared" si="81"/>
        <v/>
      </c>
      <c r="BI87" s="39"/>
      <c r="BJ87" s="40" t="str">
        <f t="shared" si="82"/>
        <v/>
      </c>
      <c r="BK87" s="157" t="str">
        <f t="shared" si="83"/>
        <v/>
      </c>
      <c r="BL87" s="157" t="str">
        <f t="shared" si="65"/>
        <v/>
      </c>
      <c r="BM87" s="72"/>
      <c r="BN87" s="72" t="str">
        <f t="shared" si="84"/>
        <v/>
      </c>
      <c r="BO87" s="72" t="str">
        <f t="shared" si="85"/>
        <v/>
      </c>
      <c r="BP87" s="39"/>
      <c r="BQ87" s="72" t="str">
        <f t="shared" si="66"/>
        <v/>
      </c>
      <c r="BR87" s="72" t="str">
        <f t="shared" si="86"/>
        <v/>
      </c>
    </row>
    <row r="88" spans="4:70" x14ac:dyDescent="0.15">
      <c r="E88" s="81" t="s">
        <v>120</v>
      </c>
      <c r="F88" s="91">
        <f>AL116/$BR$116</f>
        <v>2.5825500687808263</v>
      </c>
      <c r="G88" s="81" t="s">
        <v>132</v>
      </c>
      <c r="I88" s="322">
        <f t="shared" si="87"/>
        <v>2103</v>
      </c>
      <c r="J88" s="71"/>
      <c r="K88" s="71">
        <f t="shared" si="88"/>
        <v>74</v>
      </c>
      <c r="L88" s="71"/>
      <c r="M88" s="7">
        <f t="shared" si="51"/>
        <v>0.11221356804646829</v>
      </c>
      <c r="N88" s="71"/>
      <c r="O88" s="10" t="str">
        <f t="shared" si="67"/>
        <v/>
      </c>
      <c r="P88" s="29" t="str">
        <f t="shared" si="52"/>
        <v/>
      </c>
      <c r="Q88" s="71"/>
      <c r="R88" s="10" t="str">
        <f t="shared" si="68"/>
        <v/>
      </c>
      <c r="S88" s="71"/>
      <c r="T88" s="10" t="str">
        <f t="shared" si="69"/>
        <v/>
      </c>
      <c r="U88" s="71"/>
      <c r="V88" s="10" t="str">
        <f t="shared" si="53"/>
        <v/>
      </c>
      <c r="W88" s="10" t="str">
        <f t="shared" si="70"/>
        <v/>
      </c>
      <c r="X88" s="71"/>
      <c r="Y88" s="10" t="str">
        <f t="shared" si="54"/>
        <v/>
      </c>
      <c r="Z88" s="10" t="str">
        <f t="shared" si="71"/>
        <v/>
      </c>
      <c r="AA88" s="71"/>
      <c r="AB88" s="10" t="str">
        <f t="shared" si="55"/>
        <v/>
      </c>
      <c r="AC88" s="10" t="str">
        <f t="shared" si="72"/>
        <v/>
      </c>
      <c r="AD88" s="71"/>
      <c r="AE88" s="10" t="str">
        <f t="shared" si="56"/>
        <v/>
      </c>
      <c r="AF88" s="10" t="str">
        <f t="shared" si="73"/>
        <v/>
      </c>
      <c r="AG88" s="71"/>
      <c r="AH88" s="10" t="str">
        <f t="shared" si="57"/>
        <v/>
      </c>
      <c r="AI88" s="10" t="str">
        <f t="shared" si="74"/>
        <v/>
      </c>
      <c r="AJ88" s="71"/>
      <c r="AK88" s="10" t="str">
        <f t="shared" si="75"/>
        <v/>
      </c>
      <c r="AL88" s="10" t="str">
        <f t="shared" si="76"/>
        <v/>
      </c>
      <c r="AM88" s="71"/>
      <c r="AN88" s="10" t="str">
        <f t="shared" si="58"/>
        <v/>
      </c>
      <c r="AO88" s="10" t="str">
        <f t="shared" si="77"/>
        <v/>
      </c>
      <c r="AP88" s="71"/>
      <c r="AQ88" s="10" t="str">
        <f t="shared" si="59"/>
        <v/>
      </c>
      <c r="AR88" s="10" t="str">
        <f t="shared" si="78"/>
        <v/>
      </c>
      <c r="AS88" s="71"/>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U88" s="71"/>
      <c r="AV88" s="10" t="str">
        <f t="shared" si="60"/>
        <v/>
      </c>
      <c r="AW88" s="10" t="str">
        <f t="shared" si="61"/>
        <v/>
      </c>
      <c r="AX88" s="71"/>
      <c r="AY88" s="7" t="str">
        <f>IF(ISERROR(IF($K88&lt;=$F$15,VLOOKUP($I88,'表4）CO2価格'!$A$7:$E$67,VLOOKUP($F$48,'表4）CO2価格'!$H$10:$I$12,2,0),0)*$F$8/1000,"")),0,IF($K88&lt;=$F$15,VLOOKUP($I88,'表4）CO2価格'!$A$7:$E$67,VLOOKUP($F$48,'表4）CO2価格'!$H$10:$I$12,2,0),0)*$F$8/1000,""))</f>
        <v/>
      </c>
      <c r="AZ88" s="71"/>
      <c r="BA88" s="11" t="str">
        <f t="shared" si="62"/>
        <v/>
      </c>
      <c r="BB88" s="10" t="str">
        <f t="shared" si="79"/>
        <v/>
      </c>
      <c r="BC88" s="71"/>
      <c r="BD88" s="10" t="str">
        <f t="shared" si="63"/>
        <v/>
      </c>
      <c r="BE88" s="10" t="str">
        <f t="shared" si="80"/>
        <v/>
      </c>
      <c r="BF88" s="71"/>
      <c r="BG88" s="11" t="str">
        <f t="shared" si="64"/>
        <v/>
      </c>
      <c r="BH88" s="10" t="str">
        <f t="shared" si="81"/>
        <v/>
      </c>
      <c r="BJ88" s="7" t="str">
        <f t="shared" si="82"/>
        <v/>
      </c>
      <c r="BK88" s="158" t="str">
        <f t="shared" si="83"/>
        <v/>
      </c>
      <c r="BL88" s="158" t="str">
        <f t="shared" si="65"/>
        <v/>
      </c>
      <c r="BM88" s="10"/>
      <c r="BN88" s="10" t="str">
        <f t="shared" si="84"/>
        <v/>
      </c>
      <c r="BO88" s="10" t="str">
        <f t="shared" si="85"/>
        <v/>
      </c>
      <c r="BQ88" s="10" t="str">
        <f t="shared" si="66"/>
        <v/>
      </c>
      <c r="BR88" s="10" t="str">
        <f t="shared" si="86"/>
        <v/>
      </c>
    </row>
    <row r="89" spans="4:70" x14ac:dyDescent="0.15">
      <c r="E89" s="81" t="s">
        <v>122</v>
      </c>
      <c r="F89" s="91">
        <f>AO116/$BR$116</f>
        <v>0</v>
      </c>
      <c r="G89" s="81" t="s">
        <v>132</v>
      </c>
      <c r="I89" s="38">
        <f t="shared" si="87"/>
        <v>2104</v>
      </c>
      <c r="J89" s="39"/>
      <c r="K89" s="39">
        <f t="shared" si="88"/>
        <v>75</v>
      </c>
      <c r="L89" s="39"/>
      <c r="M89" s="40">
        <f t="shared" si="51"/>
        <v>0.10894521169560026</v>
      </c>
      <c r="N89" s="39"/>
      <c r="O89" s="72" t="str">
        <f t="shared" si="67"/>
        <v/>
      </c>
      <c r="P89" s="41" t="str">
        <f t="shared" si="52"/>
        <v/>
      </c>
      <c r="Q89" s="39"/>
      <c r="R89" s="72" t="str">
        <f t="shared" si="68"/>
        <v/>
      </c>
      <c r="S89" s="39"/>
      <c r="T89" s="72" t="str">
        <f t="shared" si="69"/>
        <v/>
      </c>
      <c r="U89" s="39"/>
      <c r="V89" s="72" t="str">
        <f t="shared" si="53"/>
        <v/>
      </c>
      <c r="W89" s="72" t="str">
        <f t="shared" si="70"/>
        <v/>
      </c>
      <c r="X89" s="39"/>
      <c r="Y89" s="72" t="str">
        <f t="shared" si="54"/>
        <v/>
      </c>
      <c r="Z89" s="72" t="str">
        <f t="shared" si="71"/>
        <v/>
      </c>
      <c r="AA89" s="39"/>
      <c r="AB89" s="72" t="str">
        <f t="shared" si="55"/>
        <v/>
      </c>
      <c r="AC89" s="72" t="str">
        <f t="shared" si="72"/>
        <v/>
      </c>
      <c r="AD89" s="39"/>
      <c r="AE89" s="72" t="str">
        <f t="shared" si="56"/>
        <v/>
      </c>
      <c r="AF89" s="72" t="str">
        <f t="shared" si="73"/>
        <v/>
      </c>
      <c r="AG89" s="39"/>
      <c r="AH89" s="72" t="str">
        <f t="shared" si="57"/>
        <v/>
      </c>
      <c r="AI89" s="72" t="str">
        <f t="shared" si="74"/>
        <v/>
      </c>
      <c r="AJ89" s="39"/>
      <c r="AK89" s="72" t="str">
        <f t="shared" si="75"/>
        <v/>
      </c>
      <c r="AL89" s="72" t="str">
        <f t="shared" si="76"/>
        <v/>
      </c>
      <c r="AM89" s="39"/>
      <c r="AN89" s="72" t="str">
        <f t="shared" si="58"/>
        <v/>
      </c>
      <c r="AO89" s="72" t="str">
        <f t="shared" si="77"/>
        <v/>
      </c>
      <c r="AP89" s="39"/>
      <c r="AQ89" s="72" t="str">
        <f t="shared" si="59"/>
        <v/>
      </c>
      <c r="AR89" s="72" t="str">
        <f t="shared" si="78"/>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60"/>
        <v/>
      </c>
      <c r="AW89" s="72" t="str">
        <f t="shared" si="61"/>
        <v/>
      </c>
      <c r="AX89" s="39"/>
      <c r="AY89" s="40" t="str">
        <f>IF(ISERROR(IF($K89&lt;=$F$15,VLOOKUP($I89,'表4）CO2価格'!$A$7:$E$67,VLOOKUP($F$48,'表4）CO2価格'!$H$10:$I$12,2,0),0)*$F$8/1000,"")),0,IF($K89&lt;=$F$15,VLOOKUP($I89,'表4）CO2価格'!$A$7:$E$67,VLOOKUP($F$48,'表4）CO2価格'!$H$10:$I$12,2,0),0)*$F$8/1000,""))</f>
        <v/>
      </c>
      <c r="AZ89" s="39"/>
      <c r="BA89" s="42" t="str">
        <f t="shared" si="62"/>
        <v/>
      </c>
      <c r="BB89" s="72" t="str">
        <f t="shared" si="79"/>
        <v/>
      </c>
      <c r="BC89" s="39"/>
      <c r="BD89" s="72" t="str">
        <f t="shared" si="63"/>
        <v/>
      </c>
      <c r="BE89" s="72" t="str">
        <f t="shared" si="80"/>
        <v/>
      </c>
      <c r="BF89" s="39"/>
      <c r="BG89" s="42" t="str">
        <f t="shared" si="64"/>
        <v/>
      </c>
      <c r="BH89" s="72" t="str">
        <f t="shared" si="81"/>
        <v/>
      </c>
      <c r="BI89" s="39"/>
      <c r="BJ89" s="40" t="str">
        <f t="shared" si="82"/>
        <v/>
      </c>
      <c r="BK89" s="157" t="str">
        <f t="shared" si="83"/>
        <v/>
      </c>
      <c r="BL89" s="157" t="str">
        <f t="shared" si="65"/>
        <v/>
      </c>
      <c r="BM89" s="72"/>
      <c r="BN89" s="72" t="str">
        <f t="shared" si="84"/>
        <v/>
      </c>
      <c r="BO89" s="72" t="str">
        <f t="shared" si="85"/>
        <v/>
      </c>
      <c r="BP89" s="39"/>
      <c r="BQ89" s="72" t="str">
        <f t="shared" si="66"/>
        <v/>
      </c>
      <c r="BR89" s="72" t="str">
        <f t="shared" si="86"/>
        <v/>
      </c>
    </row>
    <row r="90" spans="4:70" x14ac:dyDescent="0.15">
      <c r="E90" s="81" t="s">
        <v>142</v>
      </c>
      <c r="F90" s="91">
        <f>AR116/$BR$116</f>
        <v>0</v>
      </c>
      <c r="G90" s="81" t="s">
        <v>132</v>
      </c>
      <c r="I90" s="322">
        <f t="shared" si="87"/>
        <v>2105</v>
      </c>
      <c r="J90" s="71"/>
      <c r="K90" s="71">
        <f t="shared" si="88"/>
        <v>76</v>
      </c>
      <c r="L90" s="71"/>
      <c r="M90" s="7">
        <f t="shared" si="51"/>
        <v>0.10577205018990318</v>
      </c>
      <c r="N90" s="71"/>
      <c r="O90" s="10" t="str">
        <f t="shared" si="67"/>
        <v/>
      </c>
      <c r="P90" s="29" t="str">
        <f t="shared" si="52"/>
        <v/>
      </c>
      <c r="Q90" s="71"/>
      <c r="R90" s="10" t="str">
        <f t="shared" si="68"/>
        <v/>
      </c>
      <c r="S90" s="71"/>
      <c r="T90" s="10" t="str">
        <f t="shared" si="69"/>
        <v/>
      </c>
      <c r="U90" s="71"/>
      <c r="V90" s="10" t="str">
        <f t="shared" si="53"/>
        <v/>
      </c>
      <c r="W90" s="10" t="str">
        <f t="shared" si="70"/>
        <v/>
      </c>
      <c r="X90" s="71"/>
      <c r="Y90" s="10" t="str">
        <f t="shared" si="54"/>
        <v/>
      </c>
      <c r="Z90" s="10" t="str">
        <f t="shared" si="71"/>
        <v/>
      </c>
      <c r="AA90" s="71"/>
      <c r="AB90" s="10" t="str">
        <f t="shared" si="55"/>
        <v/>
      </c>
      <c r="AC90" s="10" t="str">
        <f t="shared" si="72"/>
        <v/>
      </c>
      <c r="AD90" s="71"/>
      <c r="AE90" s="10" t="str">
        <f t="shared" si="56"/>
        <v/>
      </c>
      <c r="AF90" s="10" t="str">
        <f t="shared" si="73"/>
        <v/>
      </c>
      <c r="AG90" s="71"/>
      <c r="AH90" s="10" t="str">
        <f t="shared" si="57"/>
        <v/>
      </c>
      <c r="AI90" s="10" t="str">
        <f t="shared" si="74"/>
        <v/>
      </c>
      <c r="AJ90" s="71"/>
      <c r="AK90" s="10" t="str">
        <f t="shared" si="75"/>
        <v/>
      </c>
      <c r="AL90" s="10" t="str">
        <f t="shared" si="76"/>
        <v/>
      </c>
      <c r="AM90" s="71"/>
      <c r="AN90" s="10" t="str">
        <f t="shared" si="58"/>
        <v/>
      </c>
      <c r="AO90" s="10" t="str">
        <f t="shared" si="77"/>
        <v/>
      </c>
      <c r="AP90" s="71"/>
      <c r="AQ90" s="10" t="str">
        <f t="shared" si="59"/>
        <v/>
      </c>
      <c r="AR90" s="10" t="str">
        <f t="shared" si="78"/>
        <v/>
      </c>
      <c r="AS90" s="71"/>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U90" s="71"/>
      <c r="AV90" s="10" t="str">
        <f t="shared" si="60"/>
        <v/>
      </c>
      <c r="AW90" s="10" t="str">
        <f t="shared" si="61"/>
        <v/>
      </c>
      <c r="AX90" s="71"/>
      <c r="AY90" s="7" t="str">
        <f>IF(ISERROR(IF($K90&lt;=$F$15,VLOOKUP($I90,'表4）CO2価格'!$A$7:$E$67,VLOOKUP($F$48,'表4）CO2価格'!$H$10:$I$12,2,0),0)*$F$8/1000,"")),0,IF($K90&lt;=$F$15,VLOOKUP($I90,'表4）CO2価格'!$A$7:$E$67,VLOOKUP($F$48,'表4）CO2価格'!$H$10:$I$12,2,0),0)*$F$8/1000,""))</f>
        <v/>
      </c>
      <c r="AZ90" s="71"/>
      <c r="BA90" s="11" t="str">
        <f t="shared" si="62"/>
        <v/>
      </c>
      <c r="BB90" s="10" t="str">
        <f t="shared" si="79"/>
        <v/>
      </c>
      <c r="BC90" s="71"/>
      <c r="BD90" s="10" t="str">
        <f t="shared" si="63"/>
        <v/>
      </c>
      <c r="BE90" s="10" t="str">
        <f t="shared" si="80"/>
        <v/>
      </c>
      <c r="BF90" s="71"/>
      <c r="BG90" s="11" t="str">
        <f t="shared" si="64"/>
        <v/>
      </c>
      <c r="BH90" s="10" t="str">
        <f t="shared" si="81"/>
        <v/>
      </c>
      <c r="BJ90" s="7" t="str">
        <f t="shared" si="82"/>
        <v/>
      </c>
      <c r="BK90" s="158" t="str">
        <f t="shared" si="83"/>
        <v/>
      </c>
      <c r="BL90" s="158" t="str">
        <f t="shared" si="65"/>
        <v/>
      </c>
      <c r="BM90" s="10"/>
      <c r="BN90" s="10" t="str">
        <f t="shared" si="84"/>
        <v/>
      </c>
      <c r="BO90" s="10" t="str">
        <f t="shared" si="85"/>
        <v/>
      </c>
      <c r="BQ90" s="10" t="str">
        <f t="shared" si="66"/>
        <v/>
      </c>
      <c r="BR90" s="10" t="str">
        <f t="shared" si="86"/>
        <v/>
      </c>
    </row>
    <row r="91" spans="4:70" x14ac:dyDescent="0.15">
      <c r="F91" s="93"/>
      <c r="I91" s="38">
        <f t="shared" si="87"/>
        <v>2106</v>
      </c>
      <c r="J91" s="39"/>
      <c r="K91" s="39">
        <f t="shared" si="88"/>
        <v>77</v>
      </c>
      <c r="L91" s="39"/>
      <c r="M91" s="40">
        <f t="shared" si="51"/>
        <v>0.10269131086398368</v>
      </c>
      <c r="N91" s="39"/>
      <c r="O91" s="72" t="str">
        <f t="shared" si="67"/>
        <v/>
      </c>
      <c r="P91" s="41" t="str">
        <f t="shared" si="52"/>
        <v/>
      </c>
      <c r="Q91" s="39"/>
      <c r="R91" s="72" t="str">
        <f t="shared" si="68"/>
        <v/>
      </c>
      <c r="S91" s="39"/>
      <c r="T91" s="72" t="str">
        <f t="shared" si="69"/>
        <v/>
      </c>
      <c r="U91" s="39"/>
      <c r="V91" s="72" t="str">
        <f t="shared" si="53"/>
        <v/>
      </c>
      <c r="W91" s="72" t="str">
        <f t="shared" si="70"/>
        <v/>
      </c>
      <c r="X91" s="39"/>
      <c r="Y91" s="72" t="str">
        <f t="shared" si="54"/>
        <v/>
      </c>
      <c r="Z91" s="72" t="str">
        <f t="shared" si="71"/>
        <v/>
      </c>
      <c r="AA91" s="39"/>
      <c r="AB91" s="72" t="str">
        <f t="shared" si="55"/>
        <v/>
      </c>
      <c r="AC91" s="72" t="str">
        <f t="shared" si="72"/>
        <v/>
      </c>
      <c r="AD91" s="39"/>
      <c r="AE91" s="72" t="str">
        <f t="shared" si="56"/>
        <v/>
      </c>
      <c r="AF91" s="72" t="str">
        <f t="shared" si="73"/>
        <v/>
      </c>
      <c r="AG91" s="39"/>
      <c r="AH91" s="72" t="str">
        <f t="shared" si="57"/>
        <v/>
      </c>
      <c r="AI91" s="72" t="str">
        <f t="shared" si="74"/>
        <v/>
      </c>
      <c r="AJ91" s="39"/>
      <c r="AK91" s="72" t="str">
        <f t="shared" si="75"/>
        <v/>
      </c>
      <c r="AL91" s="72" t="str">
        <f t="shared" si="76"/>
        <v/>
      </c>
      <c r="AM91" s="39"/>
      <c r="AN91" s="72" t="str">
        <f t="shared" si="58"/>
        <v/>
      </c>
      <c r="AO91" s="72" t="str">
        <f t="shared" si="77"/>
        <v/>
      </c>
      <c r="AP91" s="39"/>
      <c r="AQ91" s="72" t="str">
        <f t="shared" si="59"/>
        <v/>
      </c>
      <c r="AR91" s="72" t="str">
        <f t="shared" si="78"/>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60"/>
        <v/>
      </c>
      <c r="AW91" s="72" t="str">
        <f t="shared" si="61"/>
        <v/>
      </c>
      <c r="AX91" s="39"/>
      <c r="AY91" s="40" t="str">
        <f>IF(ISERROR(IF($K91&lt;=$F$15,VLOOKUP($I91,'表4）CO2価格'!$A$7:$E$67,VLOOKUP($F$48,'表4）CO2価格'!$H$10:$I$12,2,0),0)*$F$8/1000,"")),0,IF($K91&lt;=$F$15,VLOOKUP($I91,'表4）CO2価格'!$A$7:$E$67,VLOOKUP($F$48,'表4）CO2価格'!$H$10:$I$12,2,0),0)*$F$8/1000,""))</f>
        <v/>
      </c>
      <c r="AZ91" s="39"/>
      <c r="BA91" s="42" t="str">
        <f t="shared" si="62"/>
        <v/>
      </c>
      <c r="BB91" s="72" t="str">
        <f t="shared" si="79"/>
        <v/>
      </c>
      <c r="BC91" s="39"/>
      <c r="BD91" s="72" t="str">
        <f t="shared" si="63"/>
        <v/>
      </c>
      <c r="BE91" s="72" t="str">
        <f t="shared" si="80"/>
        <v/>
      </c>
      <c r="BF91" s="39"/>
      <c r="BG91" s="42" t="str">
        <f t="shared" si="64"/>
        <v/>
      </c>
      <c r="BH91" s="72" t="str">
        <f t="shared" si="81"/>
        <v/>
      </c>
      <c r="BI91" s="39"/>
      <c r="BJ91" s="40" t="str">
        <f t="shared" si="82"/>
        <v/>
      </c>
      <c r="BK91" s="157" t="str">
        <f t="shared" si="83"/>
        <v/>
      </c>
      <c r="BL91" s="157" t="str">
        <f t="shared" si="65"/>
        <v/>
      </c>
      <c r="BM91" s="72"/>
      <c r="BN91" s="72" t="str">
        <f t="shared" si="84"/>
        <v/>
      </c>
      <c r="BO91" s="72" t="str">
        <f t="shared" si="85"/>
        <v/>
      </c>
      <c r="BP91" s="39"/>
      <c r="BQ91" s="72" t="str">
        <f t="shared" si="66"/>
        <v/>
      </c>
      <c r="BR91" s="72" t="str">
        <f t="shared" si="86"/>
        <v/>
      </c>
    </row>
    <row r="92" spans="4:70" ht="15" x14ac:dyDescent="0.15">
      <c r="D92" s="116" t="s">
        <v>196</v>
      </c>
      <c r="F92" s="94">
        <f>SUBTOTAL(9,F96:F97)</f>
        <v>18.203977331762854</v>
      </c>
      <c r="I92" s="322">
        <f t="shared" si="87"/>
        <v>2107</v>
      </c>
      <c r="J92" s="71"/>
      <c r="K92" s="71">
        <f t="shared" si="88"/>
        <v>78</v>
      </c>
      <c r="L92" s="71"/>
      <c r="M92" s="7">
        <f t="shared" si="51"/>
        <v>9.9700301809692873E-2</v>
      </c>
      <c r="N92" s="71"/>
      <c r="O92" s="10" t="str">
        <f t="shared" si="67"/>
        <v/>
      </c>
      <c r="P92" s="29" t="str">
        <f t="shared" si="52"/>
        <v/>
      </c>
      <c r="Q92" s="71"/>
      <c r="R92" s="10" t="str">
        <f t="shared" si="68"/>
        <v/>
      </c>
      <c r="S92" s="71"/>
      <c r="T92" s="10" t="str">
        <f t="shared" si="69"/>
        <v/>
      </c>
      <c r="U92" s="71"/>
      <c r="V92" s="10" t="str">
        <f t="shared" si="53"/>
        <v/>
      </c>
      <c r="W92" s="10" t="str">
        <f t="shared" si="70"/>
        <v/>
      </c>
      <c r="X92" s="71"/>
      <c r="Y92" s="10" t="str">
        <f t="shared" si="54"/>
        <v/>
      </c>
      <c r="Z92" s="10" t="str">
        <f t="shared" si="71"/>
        <v/>
      </c>
      <c r="AA92" s="71"/>
      <c r="AB92" s="10" t="str">
        <f t="shared" si="55"/>
        <v/>
      </c>
      <c r="AC92" s="10" t="str">
        <f t="shared" si="72"/>
        <v/>
      </c>
      <c r="AD92" s="71"/>
      <c r="AE92" s="10" t="str">
        <f t="shared" si="56"/>
        <v/>
      </c>
      <c r="AF92" s="10" t="str">
        <f t="shared" si="73"/>
        <v/>
      </c>
      <c r="AG92" s="71"/>
      <c r="AH92" s="10" t="str">
        <f t="shared" si="57"/>
        <v/>
      </c>
      <c r="AI92" s="10" t="str">
        <f t="shared" si="74"/>
        <v/>
      </c>
      <c r="AJ92" s="71"/>
      <c r="AK92" s="10" t="str">
        <f t="shared" si="75"/>
        <v/>
      </c>
      <c r="AL92" s="10" t="str">
        <f t="shared" si="76"/>
        <v/>
      </c>
      <c r="AM92" s="71"/>
      <c r="AN92" s="10" t="str">
        <f t="shared" si="58"/>
        <v/>
      </c>
      <c r="AO92" s="10" t="str">
        <f t="shared" si="77"/>
        <v/>
      </c>
      <c r="AP92" s="71"/>
      <c r="AQ92" s="10" t="str">
        <f t="shared" si="59"/>
        <v/>
      </c>
      <c r="AR92" s="10" t="str">
        <f t="shared" si="78"/>
        <v/>
      </c>
      <c r="AS92" s="71"/>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U92" s="71"/>
      <c r="AV92" s="10" t="str">
        <f t="shared" si="60"/>
        <v/>
      </c>
      <c r="AW92" s="10" t="str">
        <f t="shared" si="61"/>
        <v/>
      </c>
      <c r="AX92" s="71"/>
      <c r="AY92" s="7" t="str">
        <f>IF(ISERROR(IF($K92&lt;=$F$15,VLOOKUP($I92,'表4）CO2価格'!$A$7:$E$67,VLOOKUP($F$48,'表4）CO2価格'!$H$10:$I$12,2,0),0)*$F$8/1000,"")),0,IF($K92&lt;=$F$15,VLOOKUP($I92,'表4）CO2価格'!$A$7:$E$67,VLOOKUP($F$48,'表4）CO2価格'!$H$10:$I$12,2,0),0)*$F$8/1000,""))</f>
        <v/>
      </c>
      <c r="AZ92" s="71"/>
      <c r="BA92" s="11" t="str">
        <f t="shared" si="62"/>
        <v/>
      </c>
      <c r="BB92" s="10" t="str">
        <f t="shared" si="79"/>
        <v/>
      </c>
      <c r="BC92" s="71"/>
      <c r="BD92" s="10" t="str">
        <f t="shared" si="63"/>
        <v/>
      </c>
      <c r="BE92" s="10" t="str">
        <f t="shared" si="80"/>
        <v/>
      </c>
      <c r="BF92" s="71"/>
      <c r="BG92" s="11" t="str">
        <f t="shared" si="64"/>
        <v/>
      </c>
      <c r="BH92" s="10" t="str">
        <f t="shared" si="81"/>
        <v/>
      </c>
      <c r="BJ92" s="7" t="str">
        <f t="shared" si="82"/>
        <v/>
      </c>
      <c r="BK92" s="158" t="str">
        <f t="shared" si="83"/>
        <v/>
      </c>
      <c r="BL92" s="158" t="str">
        <f t="shared" si="65"/>
        <v/>
      </c>
      <c r="BM92" s="10"/>
      <c r="BN92" s="10" t="str">
        <f t="shared" si="84"/>
        <v/>
      </c>
      <c r="BO92" s="10" t="str">
        <f t="shared" si="85"/>
        <v/>
      </c>
      <c r="BQ92" s="10" t="str">
        <f t="shared" si="66"/>
        <v/>
      </c>
      <c r="BR92" s="10" t="str">
        <f t="shared" si="86"/>
        <v/>
      </c>
    </row>
    <row r="93" spans="4:70" ht="15" x14ac:dyDescent="0.15">
      <c r="D93" s="116"/>
      <c r="F93" s="93"/>
      <c r="I93" s="38">
        <f t="shared" si="87"/>
        <v>2108</v>
      </c>
      <c r="J93" s="39"/>
      <c r="K93" s="39">
        <f t="shared" si="88"/>
        <v>79</v>
      </c>
      <c r="L93" s="39"/>
      <c r="M93" s="40">
        <f t="shared" si="51"/>
        <v>9.679640952397367E-2</v>
      </c>
      <c r="N93" s="39"/>
      <c r="O93" s="72" t="str">
        <f t="shared" si="67"/>
        <v/>
      </c>
      <c r="P93" s="41" t="str">
        <f t="shared" si="52"/>
        <v/>
      </c>
      <c r="Q93" s="39"/>
      <c r="R93" s="72" t="str">
        <f t="shared" si="68"/>
        <v/>
      </c>
      <c r="S93" s="39"/>
      <c r="T93" s="72" t="str">
        <f t="shared" si="69"/>
        <v/>
      </c>
      <c r="U93" s="39"/>
      <c r="V93" s="72" t="str">
        <f t="shared" si="53"/>
        <v/>
      </c>
      <c r="W93" s="72" t="str">
        <f t="shared" si="70"/>
        <v/>
      </c>
      <c r="X93" s="39"/>
      <c r="Y93" s="72" t="str">
        <f t="shared" si="54"/>
        <v/>
      </c>
      <c r="Z93" s="72" t="str">
        <f t="shared" si="71"/>
        <v/>
      </c>
      <c r="AA93" s="39"/>
      <c r="AB93" s="72" t="str">
        <f t="shared" si="55"/>
        <v/>
      </c>
      <c r="AC93" s="72" t="str">
        <f t="shared" si="72"/>
        <v/>
      </c>
      <c r="AD93" s="39"/>
      <c r="AE93" s="72" t="str">
        <f t="shared" si="56"/>
        <v/>
      </c>
      <c r="AF93" s="72" t="str">
        <f t="shared" si="73"/>
        <v/>
      </c>
      <c r="AG93" s="39"/>
      <c r="AH93" s="72" t="str">
        <f t="shared" si="57"/>
        <v/>
      </c>
      <c r="AI93" s="72" t="str">
        <f t="shared" si="74"/>
        <v/>
      </c>
      <c r="AJ93" s="39"/>
      <c r="AK93" s="72" t="str">
        <f t="shared" si="75"/>
        <v/>
      </c>
      <c r="AL93" s="72" t="str">
        <f t="shared" si="76"/>
        <v/>
      </c>
      <c r="AM93" s="39"/>
      <c r="AN93" s="72" t="str">
        <f t="shared" si="58"/>
        <v/>
      </c>
      <c r="AO93" s="72" t="str">
        <f t="shared" si="77"/>
        <v/>
      </c>
      <c r="AP93" s="39"/>
      <c r="AQ93" s="72" t="str">
        <f t="shared" si="59"/>
        <v/>
      </c>
      <c r="AR93" s="72" t="str">
        <f t="shared" si="78"/>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60"/>
        <v/>
      </c>
      <c r="AW93" s="72" t="str">
        <f t="shared" si="61"/>
        <v/>
      </c>
      <c r="AX93" s="39"/>
      <c r="AY93" s="40" t="str">
        <f>IF(ISERROR(IF($K93&lt;=$F$15,VLOOKUP($I93,'表4）CO2価格'!$A$7:$E$67,VLOOKUP($F$48,'表4）CO2価格'!$H$10:$I$12,2,0),0)*$F$8/1000,"")),0,IF($K93&lt;=$F$15,VLOOKUP($I93,'表4）CO2価格'!$A$7:$E$67,VLOOKUP($F$48,'表4）CO2価格'!$H$10:$I$12,2,0),0)*$F$8/1000,""))</f>
        <v/>
      </c>
      <c r="AZ93" s="39"/>
      <c r="BA93" s="42" t="str">
        <f t="shared" si="62"/>
        <v/>
      </c>
      <c r="BB93" s="72" t="str">
        <f t="shared" si="79"/>
        <v/>
      </c>
      <c r="BC93" s="39"/>
      <c r="BD93" s="72" t="str">
        <f t="shared" si="63"/>
        <v/>
      </c>
      <c r="BE93" s="72" t="str">
        <f t="shared" si="80"/>
        <v/>
      </c>
      <c r="BF93" s="39"/>
      <c r="BG93" s="42" t="str">
        <f t="shared" si="64"/>
        <v/>
      </c>
      <c r="BH93" s="72" t="str">
        <f t="shared" si="81"/>
        <v/>
      </c>
      <c r="BI93" s="39"/>
      <c r="BJ93" s="40" t="str">
        <f t="shared" si="82"/>
        <v/>
      </c>
      <c r="BK93" s="157" t="str">
        <f t="shared" si="83"/>
        <v/>
      </c>
      <c r="BL93" s="157" t="str">
        <f t="shared" si="65"/>
        <v/>
      </c>
      <c r="BM93" s="72"/>
      <c r="BN93" s="72" t="str">
        <f t="shared" si="84"/>
        <v/>
      </c>
      <c r="BO93" s="72" t="str">
        <f t="shared" si="85"/>
        <v/>
      </c>
      <c r="BP93" s="39"/>
      <c r="BQ93" s="72" t="str">
        <f t="shared" si="66"/>
        <v/>
      </c>
      <c r="BR93" s="72" t="str">
        <f t="shared" si="86"/>
        <v/>
      </c>
    </row>
    <row r="94" spans="4:70" x14ac:dyDescent="0.15">
      <c r="D94" s="101" t="s">
        <v>197</v>
      </c>
      <c r="E94" s="101"/>
      <c r="F94" s="92"/>
      <c r="G94" s="101"/>
      <c r="I94" s="322">
        <f t="shared" si="87"/>
        <v>2109</v>
      </c>
      <c r="J94" s="71"/>
      <c r="K94" s="71">
        <f t="shared" si="88"/>
        <v>80</v>
      </c>
      <c r="L94" s="71"/>
      <c r="M94" s="7">
        <f t="shared" si="51"/>
        <v>9.3977096625217166E-2</v>
      </c>
      <c r="N94" s="71"/>
      <c r="O94" s="10" t="str">
        <f t="shared" si="67"/>
        <v/>
      </c>
      <c r="P94" s="29" t="str">
        <f t="shared" si="52"/>
        <v/>
      </c>
      <c r="Q94" s="71"/>
      <c r="R94" s="10" t="str">
        <f t="shared" si="68"/>
        <v/>
      </c>
      <c r="S94" s="71"/>
      <c r="T94" s="10" t="str">
        <f t="shared" si="69"/>
        <v/>
      </c>
      <c r="U94" s="71"/>
      <c r="V94" s="10" t="str">
        <f t="shared" si="53"/>
        <v/>
      </c>
      <c r="W94" s="10" t="str">
        <f t="shared" si="70"/>
        <v/>
      </c>
      <c r="X94" s="71"/>
      <c r="Y94" s="10" t="str">
        <f t="shared" si="54"/>
        <v/>
      </c>
      <c r="Z94" s="10" t="str">
        <f t="shared" si="71"/>
        <v/>
      </c>
      <c r="AA94" s="71"/>
      <c r="AB94" s="10" t="str">
        <f t="shared" si="55"/>
        <v/>
      </c>
      <c r="AC94" s="10" t="str">
        <f t="shared" si="72"/>
        <v/>
      </c>
      <c r="AD94" s="71"/>
      <c r="AE94" s="10" t="str">
        <f t="shared" si="56"/>
        <v/>
      </c>
      <c r="AF94" s="10" t="str">
        <f t="shared" si="73"/>
        <v/>
      </c>
      <c r="AG94" s="71"/>
      <c r="AH94" s="10" t="str">
        <f t="shared" si="57"/>
        <v/>
      </c>
      <c r="AI94" s="10" t="str">
        <f t="shared" si="74"/>
        <v/>
      </c>
      <c r="AJ94" s="71"/>
      <c r="AK94" s="10" t="str">
        <f t="shared" si="75"/>
        <v/>
      </c>
      <c r="AL94" s="10" t="str">
        <f t="shared" si="76"/>
        <v/>
      </c>
      <c r="AM94" s="71"/>
      <c r="AN94" s="10" t="str">
        <f t="shared" si="58"/>
        <v/>
      </c>
      <c r="AO94" s="10" t="str">
        <f t="shared" si="77"/>
        <v/>
      </c>
      <c r="AP94" s="71"/>
      <c r="AQ94" s="10" t="str">
        <f t="shared" si="59"/>
        <v/>
      </c>
      <c r="AR94" s="10" t="str">
        <f t="shared" si="78"/>
        <v/>
      </c>
      <c r="AS94" s="71"/>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U94" s="71"/>
      <c r="AV94" s="10" t="str">
        <f t="shared" si="60"/>
        <v/>
      </c>
      <c r="AW94" s="10" t="str">
        <f t="shared" si="61"/>
        <v/>
      </c>
      <c r="AX94" s="71"/>
      <c r="AY94" s="7" t="str">
        <f>IF(ISERROR(IF($K94&lt;=$F$15,VLOOKUP($I94,'表4）CO2価格'!$A$7:$E$67,VLOOKUP($F$48,'表4）CO2価格'!$H$10:$I$12,2,0),0)*$F$8/1000,"")),0,IF($K94&lt;=$F$15,VLOOKUP($I94,'表4）CO2価格'!$A$7:$E$67,VLOOKUP($F$48,'表4）CO2価格'!$H$10:$I$12,2,0),0)*$F$8/1000,""))</f>
        <v/>
      </c>
      <c r="AZ94" s="71"/>
      <c r="BA94" s="11" t="str">
        <f t="shared" si="62"/>
        <v/>
      </c>
      <c r="BB94" s="10" t="str">
        <f t="shared" si="79"/>
        <v/>
      </c>
      <c r="BC94" s="71"/>
      <c r="BD94" s="10" t="str">
        <f t="shared" si="63"/>
        <v/>
      </c>
      <c r="BE94" s="10" t="str">
        <f t="shared" si="80"/>
        <v/>
      </c>
      <c r="BF94" s="71"/>
      <c r="BG94" s="11" t="str">
        <f t="shared" si="64"/>
        <v/>
      </c>
      <c r="BH94" s="10" t="str">
        <f t="shared" si="81"/>
        <v/>
      </c>
      <c r="BJ94" s="7" t="str">
        <f t="shared" si="82"/>
        <v/>
      </c>
      <c r="BK94" s="158" t="str">
        <f t="shared" si="83"/>
        <v/>
      </c>
      <c r="BL94" s="158" t="str">
        <f t="shared" si="65"/>
        <v/>
      </c>
      <c r="BM94" s="10"/>
      <c r="BN94" s="10" t="str">
        <f t="shared" si="84"/>
        <v/>
      </c>
      <c r="BO94" s="10" t="str">
        <f t="shared" si="85"/>
        <v/>
      </c>
      <c r="BQ94" s="10" t="str">
        <f t="shared" si="66"/>
        <v/>
      </c>
      <c r="BR94" s="10" t="str">
        <f t="shared" si="86"/>
        <v/>
      </c>
    </row>
    <row r="95" spans="4:70" ht="15" x14ac:dyDescent="0.15">
      <c r="D95" s="116"/>
      <c r="F95" s="93"/>
      <c r="I95" s="38">
        <f t="shared" si="87"/>
        <v>2110</v>
      </c>
      <c r="J95" s="39"/>
      <c r="K95" s="39">
        <f t="shared" si="88"/>
        <v>81</v>
      </c>
      <c r="L95" s="39"/>
      <c r="M95" s="40">
        <f t="shared" si="51"/>
        <v>9.1239899636133173E-2</v>
      </c>
      <c r="N95" s="39"/>
      <c r="O95" s="72" t="str">
        <f t="shared" si="67"/>
        <v/>
      </c>
      <c r="P95" s="41" t="str">
        <f t="shared" si="52"/>
        <v/>
      </c>
      <c r="Q95" s="39"/>
      <c r="R95" s="72" t="str">
        <f t="shared" si="68"/>
        <v/>
      </c>
      <c r="S95" s="39"/>
      <c r="T95" s="72" t="str">
        <f t="shared" si="69"/>
        <v/>
      </c>
      <c r="U95" s="39"/>
      <c r="V95" s="72" t="str">
        <f t="shared" si="53"/>
        <v/>
      </c>
      <c r="W95" s="72" t="str">
        <f t="shared" si="70"/>
        <v/>
      </c>
      <c r="X95" s="39"/>
      <c r="Y95" s="72" t="str">
        <f t="shared" si="54"/>
        <v/>
      </c>
      <c r="Z95" s="72" t="str">
        <f t="shared" si="71"/>
        <v/>
      </c>
      <c r="AA95" s="39"/>
      <c r="AB95" s="72" t="str">
        <f t="shared" si="55"/>
        <v/>
      </c>
      <c r="AC95" s="72" t="str">
        <f t="shared" si="72"/>
        <v/>
      </c>
      <c r="AD95" s="39"/>
      <c r="AE95" s="72" t="str">
        <f t="shared" si="56"/>
        <v/>
      </c>
      <c r="AF95" s="72" t="str">
        <f t="shared" si="73"/>
        <v/>
      </c>
      <c r="AG95" s="39"/>
      <c r="AH95" s="72" t="str">
        <f t="shared" si="57"/>
        <v/>
      </c>
      <c r="AI95" s="72" t="str">
        <f t="shared" si="74"/>
        <v/>
      </c>
      <c r="AJ95" s="39"/>
      <c r="AK95" s="72" t="str">
        <f t="shared" si="75"/>
        <v/>
      </c>
      <c r="AL95" s="72" t="str">
        <f t="shared" si="76"/>
        <v/>
      </c>
      <c r="AM95" s="39"/>
      <c r="AN95" s="72" t="str">
        <f t="shared" si="58"/>
        <v/>
      </c>
      <c r="AO95" s="72" t="str">
        <f t="shared" si="77"/>
        <v/>
      </c>
      <c r="AP95" s="39"/>
      <c r="AQ95" s="72" t="str">
        <f t="shared" si="59"/>
        <v/>
      </c>
      <c r="AR95" s="72" t="str">
        <f t="shared" si="78"/>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60"/>
        <v/>
      </c>
      <c r="AW95" s="72" t="str">
        <f t="shared" si="61"/>
        <v/>
      </c>
      <c r="AX95" s="39"/>
      <c r="AY95" s="40" t="str">
        <f>IF(ISERROR(IF($K95&lt;=$F$15,VLOOKUP($I95,'表4）CO2価格'!$A$7:$E$67,VLOOKUP($F$48,'表4）CO2価格'!$H$10:$I$12,2,0),0)*$F$8/1000,"")),0,IF($K95&lt;=$F$15,VLOOKUP($I95,'表4）CO2価格'!$A$7:$E$67,VLOOKUP($F$48,'表4）CO2価格'!$H$10:$I$12,2,0),0)*$F$8/1000,""))</f>
        <v/>
      </c>
      <c r="AZ95" s="39"/>
      <c r="BA95" s="42" t="str">
        <f t="shared" si="62"/>
        <v/>
      </c>
      <c r="BB95" s="72" t="str">
        <f t="shared" si="79"/>
        <v/>
      </c>
      <c r="BC95" s="39"/>
      <c r="BD95" s="72" t="str">
        <f t="shared" si="63"/>
        <v/>
      </c>
      <c r="BE95" s="72" t="str">
        <f t="shared" si="80"/>
        <v/>
      </c>
      <c r="BF95" s="39"/>
      <c r="BG95" s="42" t="str">
        <f t="shared" si="64"/>
        <v/>
      </c>
      <c r="BH95" s="72" t="str">
        <f t="shared" si="81"/>
        <v/>
      </c>
      <c r="BI95" s="39"/>
      <c r="BJ95" s="40" t="str">
        <f t="shared" si="82"/>
        <v/>
      </c>
      <c r="BK95" s="157" t="str">
        <f t="shared" si="83"/>
        <v/>
      </c>
      <c r="BL95" s="157" t="str">
        <f t="shared" si="65"/>
        <v/>
      </c>
      <c r="BM95" s="72"/>
      <c r="BN95" s="72" t="str">
        <f t="shared" si="84"/>
        <v/>
      </c>
      <c r="BO95" s="72" t="str">
        <f t="shared" si="85"/>
        <v/>
      </c>
      <c r="BP95" s="39"/>
      <c r="BQ95" s="72" t="str">
        <f t="shared" si="66"/>
        <v/>
      </c>
      <c r="BR95" s="72" t="str">
        <f t="shared" si="86"/>
        <v/>
      </c>
    </row>
    <row r="96" spans="4:70" ht="15" x14ac:dyDescent="0.15">
      <c r="D96" s="116"/>
      <c r="E96" s="81" t="s">
        <v>198</v>
      </c>
      <c r="F96" s="91">
        <f>IF(F3&lt;&gt;"原子力",AW116/$BR$116,0)</f>
        <v>18.203977331762854</v>
      </c>
      <c r="G96" s="81" t="s">
        <v>132</v>
      </c>
      <c r="I96" s="322">
        <f t="shared" si="87"/>
        <v>2111</v>
      </c>
      <c r="J96" s="71"/>
      <c r="K96" s="71">
        <f t="shared" si="88"/>
        <v>82</v>
      </c>
      <c r="L96" s="71"/>
      <c r="M96" s="7">
        <f t="shared" si="51"/>
        <v>8.8582426831197242E-2</v>
      </c>
      <c r="N96" s="71"/>
      <c r="O96" s="10" t="str">
        <f t="shared" si="67"/>
        <v/>
      </c>
      <c r="P96" s="29" t="str">
        <f t="shared" si="52"/>
        <v/>
      </c>
      <c r="Q96" s="71"/>
      <c r="R96" s="10" t="str">
        <f t="shared" si="68"/>
        <v/>
      </c>
      <c r="S96" s="71"/>
      <c r="T96" s="10" t="str">
        <f t="shared" si="69"/>
        <v/>
      </c>
      <c r="U96" s="71"/>
      <c r="V96" s="10" t="str">
        <f t="shared" si="53"/>
        <v/>
      </c>
      <c r="W96" s="10" t="str">
        <f t="shared" si="70"/>
        <v/>
      </c>
      <c r="X96" s="71"/>
      <c r="Y96" s="10" t="str">
        <f t="shared" si="54"/>
        <v/>
      </c>
      <c r="Z96" s="10" t="str">
        <f t="shared" si="71"/>
        <v/>
      </c>
      <c r="AA96" s="71"/>
      <c r="AB96" s="10" t="str">
        <f t="shared" si="55"/>
        <v/>
      </c>
      <c r="AC96" s="10" t="str">
        <f t="shared" si="72"/>
        <v/>
      </c>
      <c r="AD96" s="71"/>
      <c r="AE96" s="10" t="str">
        <f t="shared" si="56"/>
        <v/>
      </c>
      <c r="AF96" s="10" t="str">
        <f t="shared" si="73"/>
        <v/>
      </c>
      <c r="AG96" s="71"/>
      <c r="AH96" s="10" t="str">
        <f t="shared" si="57"/>
        <v/>
      </c>
      <c r="AI96" s="10" t="str">
        <f t="shared" si="74"/>
        <v/>
      </c>
      <c r="AJ96" s="71"/>
      <c r="AK96" s="10" t="str">
        <f t="shared" si="75"/>
        <v/>
      </c>
      <c r="AL96" s="10" t="str">
        <f t="shared" si="76"/>
        <v/>
      </c>
      <c r="AM96" s="71"/>
      <c r="AN96" s="10" t="str">
        <f t="shared" si="58"/>
        <v/>
      </c>
      <c r="AO96" s="10" t="str">
        <f t="shared" si="77"/>
        <v/>
      </c>
      <c r="AP96" s="71"/>
      <c r="AQ96" s="10" t="str">
        <f t="shared" si="59"/>
        <v/>
      </c>
      <c r="AR96" s="10" t="str">
        <f t="shared" si="78"/>
        <v/>
      </c>
      <c r="AS96" s="71"/>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U96" s="71"/>
      <c r="AV96" s="10" t="str">
        <f t="shared" si="60"/>
        <v/>
      </c>
      <c r="AW96" s="10" t="str">
        <f t="shared" si="61"/>
        <v/>
      </c>
      <c r="AX96" s="71"/>
      <c r="AY96" s="7" t="str">
        <f>IF(ISERROR(IF($K96&lt;=$F$15,VLOOKUP($I96,'表4）CO2価格'!$A$7:$E$67,VLOOKUP($F$48,'表4）CO2価格'!$H$10:$I$12,2,0),0)*$F$8/1000,"")),0,IF($K96&lt;=$F$15,VLOOKUP($I96,'表4）CO2価格'!$A$7:$E$67,VLOOKUP($F$48,'表4）CO2価格'!$H$10:$I$12,2,0),0)*$F$8/1000,""))</f>
        <v/>
      </c>
      <c r="AZ96" s="71"/>
      <c r="BA96" s="11" t="str">
        <f t="shared" si="62"/>
        <v/>
      </c>
      <c r="BB96" s="10" t="str">
        <f t="shared" si="79"/>
        <v/>
      </c>
      <c r="BC96" s="71"/>
      <c r="BD96" s="10" t="str">
        <f t="shared" si="63"/>
        <v/>
      </c>
      <c r="BE96" s="10" t="str">
        <f t="shared" si="80"/>
        <v/>
      </c>
      <c r="BF96" s="71"/>
      <c r="BG96" s="11" t="str">
        <f t="shared" si="64"/>
        <v/>
      </c>
      <c r="BH96" s="10" t="str">
        <f t="shared" si="81"/>
        <v/>
      </c>
      <c r="BJ96" s="7" t="str">
        <f t="shared" si="82"/>
        <v/>
      </c>
      <c r="BK96" s="158" t="str">
        <f t="shared" si="83"/>
        <v/>
      </c>
      <c r="BL96" s="158" t="str">
        <f t="shared" si="65"/>
        <v/>
      </c>
      <c r="BM96" s="10"/>
      <c r="BN96" s="10" t="str">
        <f t="shared" si="84"/>
        <v/>
      </c>
      <c r="BO96" s="10" t="str">
        <f t="shared" si="85"/>
        <v/>
      </c>
      <c r="BQ96" s="10" t="str">
        <f t="shared" si="66"/>
        <v/>
      </c>
      <c r="BR96" s="10" t="str">
        <f t="shared" si="86"/>
        <v/>
      </c>
    </row>
    <row r="97" spans="4:70" ht="15" x14ac:dyDescent="0.15">
      <c r="D97" s="116"/>
      <c r="E97" s="81" t="s">
        <v>199</v>
      </c>
      <c r="F97" s="91">
        <f>IF(F3="原子力",#REF!,0)</f>
        <v>0</v>
      </c>
      <c r="G97" s="81" t="s">
        <v>132</v>
      </c>
      <c r="I97" s="38">
        <f t="shared" si="87"/>
        <v>2112</v>
      </c>
      <c r="J97" s="39"/>
      <c r="K97" s="39">
        <f t="shared" si="88"/>
        <v>83</v>
      </c>
      <c r="L97" s="39"/>
      <c r="M97" s="40">
        <f t="shared" si="51"/>
        <v>8.6002356146793454E-2</v>
      </c>
      <c r="N97" s="39"/>
      <c r="O97" s="72" t="str">
        <f t="shared" si="67"/>
        <v/>
      </c>
      <c r="P97" s="41" t="str">
        <f t="shared" si="52"/>
        <v/>
      </c>
      <c r="Q97" s="39"/>
      <c r="R97" s="72" t="str">
        <f t="shared" si="68"/>
        <v/>
      </c>
      <c r="S97" s="39"/>
      <c r="T97" s="72" t="str">
        <f t="shared" si="69"/>
        <v/>
      </c>
      <c r="U97" s="39"/>
      <c r="V97" s="72" t="str">
        <f t="shared" si="53"/>
        <v/>
      </c>
      <c r="W97" s="72" t="str">
        <f t="shared" si="70"/>
        <v/>
      </c>
      <c r="X97" s="39"/>
      <c r="Y97" s="72" t="str">
        <f t="shared" si="54"/>
        <v/>
      </c>
      <c r="Z97" s="72" t="str">
        <f t="shared" si="71"/>
        <v/>
      </c>
      <c r="AA97" s="39"/>
      <c r="AB97" s="72" t="str">
        <f t="shared" si="55"/>
        <v/>
      </c>
      <c r="AC97" s="72" t="str">
        <f t="shared" si="72"/>
        <v/>
      </c>
      <c r="AD97" s="39"/>
      <c r="AE97" s="72" t="str">
        <f t="shared" si="56"/>
        <v/>
      </c>
      <c r="AF97" s="72" t="str">
        <f t="shared" si="73"/>
        <v/>
      </c>
      <c r="AG97" s="39"/>
      <c r="AH97" s="72" t="str">
        <f t="shared" si="57"/>
        <v/>
      </c>
      <c r="AI97" s="72" t="str">
        <f t="shared" si="74"/>
        <v/>
      </c>
      <c r="AJ97" s="39"/>
      <c r="AK97" s="72" t="str">
        <f t="shared" si="75"/>
        <v/>
      </c>
      <c r="AL97" s="72" t="str">
        <f t="shared" si="76"/>
        <v/>
      </c>
      <c r="AM97" s="39"/>
      <c r="AN97" s="72" t="str">
        <f t="shared" si="58"/>
        <v/>
      </c>
      <c r="AO97" s="72" t="str">
        <f t="shared" si="77"/>
        <v/>
      </c>
      <c r="AP97" s="39"/>
      <c r="AQ97" s="72" t="str">
        <f t="shared" si="59"/>
        <v/>
      </c>
      <c r="AR97" s="72" t="str">
        <f t="shared" si="78"/>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60"/>
        <v/>
      </c>
      <c r="AW97" s="72" t="str">
        <f t="shared" si="61"/>
        <v/>
      </c>
      <c r="AX97" s="39"/>
      <c r="AY97" s="40" t="str">
        <f>IF(ISERROR(IF($K97&lt;=$F$15,VLOOKUP($I97,'表4）CO2価格'!$A$7:$E$67,VLOOKUP($F$48,'表4）CO2価格'!$H$10:$I$12,2,0),0)*$F$8/1000,"")),0,IF($K97&lt;=$F$15,VLOOKUP($I97,'表4）CO2価格'!$A$7:$E$67,VLOOKUP($F$48,'表4）CO2価格'!$H$10:$I$12,2,0),0)*$F$8/1000,""))</f>
        <v/>
      </c>
      <c r="AZ97" s="39"/>
      <c r="BA97" s="42" t="str">
        <f t="shared" si="62"/>
        <v/>
      </c>
      <c r="BB97" s="72" t="str">
        <f t="shared" si="79"/>
        <v/>
      </c>
      <c r="BC97" s="39"/>
      <c r="BD97" s="72" t="str">
        <f t="shared" si="63"/>
        <v/>
      </c>
      <c r="BE97" s="72" t="str">
        <f t="shared" si="80"/>
        <v/>
      </c>
      <c r="BF97" s="39"/>
      <c r="BG97" s="42" t="str">
        <f t="shared" si="64"/>
        <v/>
      </c>
      <c r="BH97" s="72" t="str">
        <f t="shared" si="81"/>
        <v/>
      </c>
      <c r="BI97" s="39"/>
      <c r="BJ97" s="40" t="str">
        <f t="shared" si="82"/>
        <v/>
      </c>
      <c r="BK97" s="157" t="str">
        <f t="shared" si="83"/>
        <v/>
      </c>
      <c r="BL97" s="157" t="str">
        <f t="shared" si="65"/>
        <v/>
      </c>
      <c r="BM97" s="72"/>
      <c r="BN97" s="72" t="str">
        <f t="shared" si="84"/>
        <v/>
      </c>
      <c r="BO97" s="72" t="str">
        <f t="shared" si="85"/>
        <v/>
      </c>
      <c r="BP97" s="39"/>
      <c r="BQ97" s="72" t="str">
        <f t="shared" si="66"/>
        <v/>
      </c>
      <c r="BR97" s="72" t="str">
        <f t="shared" si="86"/>
        <v/>
      </c>
    </row>
    <row r="98" spans="4:70" x14ac:dyDescent="0.15">
      <c r="F98" s="93"/>
      <c r="I98" s="322">
        <f t="shared" si="87"/>
        <v>2113</v>
      </c>
      <c r="J98" s="71"/>
      <c r="K98" s="71">
        <f t="shared" si="88"/>
        <v>84</v>
      </c>
      <c r="L98" s="71"/>
      <c r="M98" s="7">
        <f t="shared" si="51"/>
        <v>8.3497433152226644E-2</v>
      </c>
      <c r="N98" s="71"/>
      <c r="O98" s="10" t="str">
        <f t="shared" si="67"/>
        <v/>
      </c>
      <c r="P98" s="29" t="str">
        <f t="shared" si="52"/>
        <v/>
      </c>
      <c r="Q98" s="71"/>
      <c r="R98" s="10" t="str">
        <f t="shared" si="68"/>
        <v/>
      </c>
      <c r="S98" s="71"/>
      <c r="T98" s="10" t="str">
        <f t="shared" si="69"/>
        <v/>
      </c>
      <c r="U98" s="71"/>
      <c r="V98" s="10" t="str">
        <f t="shared" si="53"/>
        <v/>
      </c>
      <c r="W98" s="10" t="str">
        <f t="shared" si="70"/>
        <v/>
      </c>
      <c r="X98" s="71"/>
      <c r="Y98" s="10" t="str">
        <f t="shared" si="54"/>
        <v/>
      </c>
      <c r="Z98" s="10" t="str">
        <f t="shared" si="71"/>
        <v/>
      </c>
      <c r="AA98" s="71"/>
      <c r="AB98" s="10" t="str">
        <f t="shared" si="55"/>
        <v/>
      </c>
      <c r="AC98" s="10" t="str">
        <f t="shared" si="72"/>
        <v/>
      </c>
      <c r="AD98" s="71"/>
      <c r="AE98" s="10" t="str">
        <f t="shared" si="56"/>
        <v/>
      </c>
      <c r="AF98" s="10" t="str">
        <f t="shared" si="73"/>
        <v/>
      </c>
      <c r="AG98" s="71"/>
      <c r="AH98" s="10" t="str">
        <f t="shared" si="57"/>
        <v/>
      </c>
      <c r="AI98" s="10" t="str">
        <f t="shared" si="74"/>
        <v/>
      </c>
      <c r="AJ98" s="71"/>
      <c r="AK98" s="10" t="str">
        <f t="shared" si="75"/>
        <v/>
      </c>
      <c r="AL98" s="10" t="str">
        <f t="shared" si="76"/>
        <v/>
      </c>
      <c r="AM98" s="71"/>
      <c r="AN98" s="10" t="str">
        <f t="shared" si="58"/>
        <v/>
      </c>
      <c r="AO98" s="10" t="str">
        <f t="shared" si="77"/>
        <v/>
      </c>
      <c r="AP98" s="71"/>
      <c r="AQ98" s="10" t="str">
        <f t="shared" si="59"/>
        <v/>
      </c>
      <c r="AR98" s="10" t="str">
        <f t="shared" si="78"/>
        <v/>
      </c>
      <c r="AS98" s="71"/>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U98" s="71"/>
      <c r="AV98" s="10" t="str">
        <f t="shared" si="60"/>
        <v/>
      </c>
      <c r="AW98" s="10" t="str">
        <f t="shared" si="61"/>
        <v/>
      </c>
      <c r="AX98" s="71"/>
      <c r="AY98" s="7" t="str">
        <f>IF(ISERROR(IF($K98&lt;=$F$15,VLOOKUP($I98,'表4）CO2価格'!$A$7:$E$67,VLOOKUP($F$48,'表4）CO2価格'!$H$10:$I$12,2,0),0)*$F$8/1000,"")),0,IF($K98&lt;=$F$15,VLOOKUP($I98,'表4）CO2価格'!$A$7:$E$67,VLOOKUP($F$48,'表4）CO2価格'!$H$10:$I$12,2,0),0)*$F$8/1000,""))</f>
        <v/>
      </c>
      <c r="AZ98" s="71"/>
      <c r="BA98" s="11" t="str">
        <f t="shared" si="62"/>
        <v/>
      </c>
      <c r="BB98" s="10" t="str">
        <f t="shared" si="79"/>
        <v/>
      </c>
      <c r="BC98" s="71"/>
      <c r="BD98" s="10" t="str">
        <f t="shared" si="63"/>
        <v/>
      </c>
      <c r="BE98" s="10" t="str">
        <f t="shared" si="80"/>
        <v/>
      </c>
      <c r="BF98" s="71"/>
      <c r="BG98" s="11" t="str">
        <f t="shared" si="64"/>
        <v/>
      </c>
      <c r="BH98" s="10" t="str">
        <f t="shared" si="81"/>
        <v/>
      </c>
      <c r="BJ98" s="7" t="str">
        <f t="shared" si="82"/>
        <v/>
      </c>
      <c r="BK98" s="158" t="str">
        <f t="shared" si="83"/>
        <v/>
      </c>
      <c r="BL98" s="158" t="str">
        <f t="shared" si="65"/>
        <v/>
      </c>
      <c r="BM98" s="10"/>
      <c r="BN98" s="10" t="str">
        <f t="shared" si="84"/>
        <v/>
      </c>
      <c r="BO98" s="10" t="str">
        <f t="shared" si="85"/>
        <v/>
      </c>
      <c r="BQ98" s="10" t="str">
        <f t="shared" si="66"/>
        <v/>
      </c>
      <c r="BR98" s="10" t="str">
        <f t="shared" si="86"/>
        <v/>
      </c>
    </row>
    <row r="99" spans="4:70" ht="15" x14ac:dyDescent="0.15">
      <c r="D99" s="116" t="s">
        <v>200</v>
      </c>
      <c r="F99" s="94">
        <f>SUBTOTAL(9,F103:F105)</f>
        <v>4.9074810034930776</v>
      </c>
      <c r="G99" s="81" t="s">
        <v>132</v>
      </c>
      <c r="I99" s="38">
        <f t="shared" si="87"/>
        <v>2114</v>
      </c>
      <c r="J99" s="39"/>
      <c r="K99" s="39">
        <f t="shared" si="88"/>
        <v>85</v>
      </c>
      <c r="L99" s="39"/>
      <c r="M99" s="40">
        <f t="shared" si="51"/>
        <v>8.1065469079831712E-2</v>
      </c>
      <c r="N99" s="39"/>
      <c r="O99" s="72" t="str">
        <f t="shared" si="67"/>
        <v/>
      </c>
      <c r="P99" s="41" t="str">
        <f t="shared" si="52"/>
        <v/>
      </c>
      <c r="Q99" s="39"/>
      <c r="R99" s="72" t="str">
        <f t="shared" si="68"/>
        <v/>
      </c>
      <c r="S99" s="39"/>
      <c r="T99" s="72" t="str">
        <f t="shared" si="69"/>
        <v/>
      </c>
      <c r="U99" s="39"/>
      <c r="V99" s="72" t="str">
        <f t="shared" si="53"/>
        <v/>
      </c>
      <c r="W99" s="72" t="str">
        <f t="shared" si="70"/>
        <v/>
      </c>
      <c r="X99" s="39"/>
      <c r="Y99" s="72" t="str">
        <f t="shared" si="54"/>
        <v/>
      </c>
      <c r="Z99" s="72" t="str">
        <f t="shared" si="71"/>
        <v/>
      </c>
      <c r="AA99" s="39"/>
      <c r="AB99" s="72" t="str">
        <f t="shared" si="55"/>
        <v/>
      </c>
      <c r="AC99" s="72" t="str">
        <f t="shared" si="72"/>
        <v/>
      </c>
      <c r="AD99" s="39"/>
      <c r="AE99" s="72" t="str">
        <f t="shared" si="56"/>
        <v/>
      </c>
      <c r="AF99" s="72" t="str">
        <f t="shared" si="73"/>
        <v/>
      </c>
      <c r="AG99" s="39"/>
      <c r="AH99" s="72" t="str">
        <f t="shared" si="57"/>
        <v/>
      </c>
      <c r="AI99" s="72" t="str">
        <f t="shared" si="74"/>
        <v/>
      </c>
      <c r="AJ99" s="39"/>
      <c r="AK99" s="72" t="str">
        <f t="shared" si="75"/>
        <v/>
      </c>
      <c r="AL99" s="72" t="str">
        <f t="shared" si="76"/>
        <v/>
      </c>
      <c r="AM99" s="39"/>
      <c r="AN99" s="72" t="str">
        <f t="shared" si="58"/>
        <v/>
      </c>
      <c r="AO99" s="72" t="str">
        <f t="shared" si="77"/>
        <v/>
      </c>
      <c r="AP99" s="39"/>
      <c r="AQ99" s="72" t="str">
        <f t="shared" si="59"/>
        <v/>
      </c>
      <c r="AR99" s="72" t="str">
        <f t="shared" si="78"/>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60"/>
        <v/>
      </c>
      <c r="AW99" s="72" t="str">
        <f t="shared" si="61"/>
        <v/>
      </c>
      <c r="AX99" s="39"/>
      <c r="AY99" s="40" t="str">
        <f>IF(ISERROR(IF($K99&lt;=$F$15,VLOOKUP($I99,'表4）CO2価格'!$A$7:$E$67,VLOOKUP($F$48,'表4）CO2価格'!$H$10:$I$12,2,0),0)*$F$8/1000,"")),0,IF($K99&lt;=$F$15,VLOOKUP($I99,'表4）CO2価格'!$A$7:$E$67,VLOOKUP($F$48,'表4）CO2価格'!$H$10:$I$12,2,0),0)*$F$8/1000,""))</f>
        <v/>
      </c>
      <c r="AZ99" s="39"/>
      <c r="BA99" s="42" t="str">
        <f t="shared" si="62"/>
        <v/>
      </c>
      <c r="BB99" s="72" t="str">
        <f t="shared" si="79"/>
        <v/>
      </c>
      <c r="BC99" s="39"/>
      <c r="BD99" s="72" t="str">
        <f t="shared" si="63"/>
        <v/>
      </c>
      <c r="BE99" s="72" t="str">
        <f t="shared" si="80"/>
        <v/>
      </c>
      <c r="BF99" s="39"/>
      <c r="BG99" s="42" t="str">
        <f t="shared" si="64"/>
        <v/>
      </c>
      <c r="BH99" s="72" t="str">
        <f t="shared" si="81"/>
        <v/>
      </c>
      <c r="BI99" s="39"/>
      <c r="BJ99" s="40" t="str">
        <f t="shared" si="82"/>
        <v/>
      </c>
      <c r="BK99" s="157" t="str">
        <f t="shared" si="83"/>
        <v/>
      </c>
      <c r="BL99" s="157" t="str">
        <f t="shared" si="65"/>
        <v/>
      </c>
      <c r="BM99" s="72"/>
      <c r="BN99" s="72" t="str">
        <f t="shared" si="84"/>
        <v/>
      </c>
      <c r="BO99" s="72" t="str">
        <f t="shared" si="85"/>
        <v/>
      </c>
      <c r="BP99" s="39"/>
      <c r="BQ99" s="72" t="str">
        <f t="shared" si="66"/>
        <v/>
      </c>
      <c r="BR99" s="72" t="str">
        <f t="shared" si="86"/>
        <v/>
      </c>
    </row>
    <row r="100" spans="4:70" x14ac:dyDescent="0.15">
      <c r="F100" s="93"/>
      <c r="I100" s="322">
        <f t="shared" si="87"/>
        <v>2115</v>
      </c>
      <c r="J100" s="71"/>
      <c r="K100" s="71">
        <f t="shared" si="88"/>
        <v>86</v>
      </c>
      <c r="L100" s="71"/>
      <c r="M100" s="7">
        <f t="shared" si="51"/>
        <v>7.8704338912457969E-2</v>
      </c>
      <c r="N100" s="71"/>
      <c r="O100" s="10" t="str">
        <f t="shared" si="67"/>
        <v/>
      </c>
      <c r="P100" s="29" t="str">
        <f t="shared" si="52"/>
        <v/>
      </c>
      <c r="Q100" s="71"/>
      <c r="R100" s="10" t="str">
        <f t="shared" si="68"/>
        <v/>
      </c>
      <c r="S100" s="71"/>
      <c r="T100" s="10" t="str">
        <f t="shared" si="69"/>
        <v/>
      </c>
      <c r="U100" s="71"/>
      <c r="V100" s="10" t="str">
        <f t="shared" si="53"/>
        <v/>
      </c>
      <c r="W100" s="10" t="str">
        <f t="shared" si="70"/>
        <v/>
      </c>
      <c r="X100" s="71"/>
      <c r="Y100" s="10" t="str">
        <f t="shared" si="54"/>
        <v/>
      </c>
      <c r="Z100" s="10" t="str">
        <f t="shared" si="71"/>
        <v/>
      </c>
      <c r="AA100" s="71"/>
      <c r="AB100" s="10" t="str">
        <f t="shared" si="55"/>
        <v/>
      </c>
      <c r="AC100" s="10" t="str">
        <f t="shared" si="72"/>
        <v/>
      </c>
      <c r="AD100" s="71"/>
      <c r="AE100" s="10" t="str">
        <f t="shared" si="56"/>
        <v/>
      </c>
      <c r="AF100" s="10" t="str">
        <f t="shared" si="73"/>
        <v/>
      </c>
      <c r="AG100" s="71"/>
      <c r="AH100" s="10" t="str">
        <f t="shared" si="57"/>
        <v/>
      </c>
      <c r="AI100" s="10" t="str">
        <f t="shared" si="74"/>
        <v/>
      </c>
      <c r="AJ100" s="71"/>
      <c r="AK100" s="10" t="str">
        <f t="shared" si="75"/>
        <v/>
      </c>
      <c r="AL100" s="10" t="str">
        <f t="shared" si="76"/>
        <v/>
      </c>
      <c r="AM100" s="71"/>
      <c r="AN100" s="10" t="str">
        <f t="shared" si="58"/>
        <v/>
      </c>
      <c r="AO100" s="10" t="str">
        <f t="shared" si="77"/>
        <v/>
      </c>
      <c r="AP100" s="71"/>
      <c r="AQ100" s="10" t="str">
        <f t="shared" si="59"/>
        <v/>
      </c>
      <c r="AR100" s="10" t="str">
        <f t="shared" si="78"/>
        <v/>
      </c>
      <c r="AS100" s="71"/>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U100" s="71"/>
      <c r="AV100" s="10" t="str">
        <f t="shared" si="60"/>
        <v/>
      </c>
      <c r="AW100" s="10" t="str">
        <f t="shared" si="61"/>
        <v/>
      </c>
      <c r="AX100" s="71"/>
      <c r="AY100" s="7" t="str">
        <f>IF(ISERROR(IF($K100&lt;=$F$15,VLOOKUP($I100,'表4）CO2価格'!$A$7:$E$67,VLOOKUP($F$48,'表4）CO2価格'!$H$10:$I$12,2,0),0)*$F$8/1000,"")),0,IF($K100&lt;=$F$15,VLOOKUP($I100,'表4）CO2価格'!$A$7:$E$67,VLOOKUP($F$48,'表4）CO2価格'!$H$10:$I$12,2,0),0)*$F$8/1000,""))</f>
        <v/>
      </c>
      <c r="AZ100" s="71"/>
      <c r="BA100" s="11" t="str">
        <f t="shared" si="62"/>
        <v/>
      </c>
      <c r="BB100" s="10" t="str">
        <f t="shared" si="79"/>
        <v/>
      </c>
      <c r="BC100" s="71"/>
      <c r="BD100" s="10" t="str">
        <f t="shared" si="63"/>
        <v/>
      </c>
      <c r="BE100" s="10" t="str">
        <f t="shared" si="80"/>
        <v/>
      </c>
      <c r="BF100" s="71"/>
      <c r="BG100" s="11" t="str">
        <f t="shared" si="64"/>
        <v/>
      </c>
      <c r="BH100" s="10" t="str">
        <f t="shared" si="81"/>
        <v/>
      </c>
      <c r="BJ100" s="7" t="str">
        <f t="shared" si="82"/>
        <v/>
      </c>
      <c r="BK100" s="158" t="str">
        <f t="shared" si="83"/>
        <v/>
      </c>
      <c r="BL100" s="158" t="str">
        <f t="shared" si="65"/>
        <v/>
      </c>
      <c r="BM100" s="10"/>
      <c r="BN100" s="10" t="str">
        <f t="shared" si="84"/>
        <v/>
      </c>
      <c r="BO100" s="10" t="str">
        <f t="shared" si="85"/>
        <v/>
      </c>
      <c r="BQ100" s="10" t="str">
        <f t="shared" si="66"/>
        <v/>
      </c>
      <c r="BR100" s="10" t="str">
        <f t="shared" si="86"/>
        <v/>
      </c>
    </row>
    <row r="101" spans="4:70" x14ac:dyDescent="0.15">
      <c r="D101" s="101" t="s">
        <v>201</v>
      </c>
      <c r="E101" s="101"/>
      <c r="F101" s="92"/>
      <c r="G101" s="101"/>
      <c r="I101" s="38">
        <f t="shared" si="87"/>
        <v>2116</v>
      </c>
      <c r="J101" s="39"/>
      <c r="K101" s="39">
        <f t="shared" si="88"/>
        <v>87</v>
      </c>
      <c r="L101" s="39"/>
      <c r="M101" s="40">
        <f t="shared" si="51"/>
        <v>7.6411979526658208E-2</v>
      </c>
      <c r="N101" s="39"/>
      <c r="O101" s="72" t="str">
        <f t="shared" si="67"/>
        <v/>
      </c>
      <c r="P101" s="41" t="str">
        <f t="shared" si="52"/>
        <v/>
      </c>
      <c r="Q101" s="39"/>
      <c r="R101" s="72" t="str">
        <f t="shared" si="68"/>
        <v/>
      </c>
      <c r="S101" s="39"/>
      <c r="T101" s="72" t="str">
        <f t="shared" si="69"/>
        <v/>
      </c>
      <c r="U101" s="39"/>
      <c r="V101" s="72" t="str">
        <f t="shared" si="53"/>
        <v/>
      </c>
      <c r="W101" s="72" t="str">
        <f t="shared" si="70"/>
        <v/>
      </c>
      <c r="X101" s="39"/>
      <c r="Y101" s="72" t="str">
        <f t="shared" si="54"/>
        <v/>
      </c>
      <c r="Z101" s="72" t="str">
        <f t="shared" si="71"/>
        <v/>
      </c>
      <c r="AA101" s="39"/>
      <c r="AB101" s="72" t="str">
        <f t="shared" si="55"/>
        <v/>
      </c>
      <c r="AC101" s="72" t="str">
        <f t="shared" si="72"/>
        <v/>
      </c>
      <c r="AD101" s="39"/>
      <c r="AE101" s="72" t="str">
        <f t="shared" si="56"/>
        <v/>
      </c>
      <c r="AF101" s="72" t="str">
        <f t="shared" si="73"/>
        <v/>
      </c>
      <c r="AG101" s="39"/>
      <c r="AH101" s="72" t="str">
        <f t="shared" si="57"/>
        <v/>
      </c>
      <c r="AI101" s="72" t="str">
        <f t="shared" si="74"/>
        <v/>
      </c>
      <c r="AJ101" s="39"/>
      <c r="AK101" s="72" t="str">
        <f t="shared" si="75"/>
        <v/>
      </c>
      <c r="AL101" s="72" t="str">
        <f t="shared" si="76"/>
        <v/>
      </c>
      <c r="AM101" s="39"/>
      <c r="AN101" s="72" t="str">
        <f t="shared" si="58"/>
        <v/>
      </c>
      <c r="AO101" s="72" t="str">
        <f t="shared" si="77"/>
        <v/>
      </c>
      <c r="AP101" s="39"/>
      <c r="AQ101" s="72" t="str">
        <f t="shared" si="59"/>
        <v/>
      </c>
      <c r="AR101" s="72" t="str">
        <f t="shared" si="78"/>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60"/>
        <v/>
      </c>
      <c r="AW101" s="72" t="str">
        <f t="shared" si="61"/>
        <v/>
      </c>
      <c r="AX101" s="39"/>
      <c r="AY101" s="40" t="str">
        <f>IF(ISERROR(IF($K101&lt;=$F$15,VLOOKUP($I101,'表4）CO2価格'!$A$7:$E$67,VLOOKUP($F$48,'表4）CO2価格'!$H$10:$I$12,2,0),0)*$F$8/1000,"")),0,IF($K101&lt;=$F$15,VLOOKUP($I101,'表4）CO2価格'!$A$7:$E$67,VLOOKUP($F$48,'表4）CO2価格'!$H$10:$I$12,2,0),0)*$F$8/1000,""))</f>
        <v/>
      </c>
      <c r="AZ101" s="39"/>
      <c r="BA101" s="42" t="str">
        <f t="shared" si="62"/>
        <v/>
      </c>
      <c r="BB101" s="72" t="str">
        <f t="shared" si="79"/>
        <v/>
      </c>
      <c r="BC101" s="39"/>
      <c r="BD101" s="72" t="str">
        <f t="shared" si="63"/>
        <v/>
      </c>
      <c r="BE101" s="72" t="str">
        <f t="shared" si="80"/>
        <v/>
      </c>
      <c r="BF101" s="39"/>
      <c r="BG101" s="42" t="str">
        <f t="shared" si="64"/>
        <v/>
      </c>
      <c r="BH101" s="72" t="str">
        <f t="shared" si="81"/>
        <v/>
      </c>
      <c r="BI101" s="39"/>
      <c r="BJ101" s="40" t="str">
        <f t="shared" si="82"/>
        <v/>
      </c>
      <c r="BK101" s="157" t="str">
        <f t="shared" si="83"/>
        <v/>
      </c>
      <c r="BL101" s="157" t="str">
        <f t="shared" si="65"/>
        <v/>
      </c>
      <c r="BM101" s="72"/>
      <c r="BN101" s="72" t="str">
        <f t="shared" si="84"/>
        <v/>
      </c>
      <c r="BO101" s="72" t="str">
        <f t="shared" si="85"/>
        <v/>
      </c>
      <c r="BP101" s="39"/>
      <c r="BQ101" s="72" t="str">
        <f t="shared" si="66"/>
        <v/>
      </c>
      <c r="BR101" s="72" t="str">
        <f t="shared" si="86"/>
        <v/>
      </c>
    </row>
    <row r="102" spans="4:70" x14ac:dyDescent="0.15">
      <c r="F102" s="93"/>
      <c r="I102" s="322">
        <f t="shared" si="87"/>
        <v>2117</v>
      </c>
      <c r="J102" s="71"/>
      <c r="K102" s="71">
        <f t="shared" si="88"/>
        <v>88</v>
      </c>
      <c r="L102" s="71"/>
      <c r="M102" s="7">
        <f t="shared" si="51"/>
        <v>7.4186387889959446E-2</v>
      </c>
      <c r="N102" s="71"/>
      <c r="O102" s="10" t="str">
        <f t="shared" si="67"/>
        <v/>
      </c>
      <c r="P102" s="29" t="str">
        <f t="shared" si="52"/>
        <v/>
      </c>
      <c r="Q102" s="71"/>
      <c r="R102" s="10" t="str">
        <f t="shared" si="68"/>
        <v/>
      </c>
      <c r="S102" s="71"/>
      <c r="T102" s="10" t="str">
        <f t="shared" si="69"/>
        <v/>
      </c>
      <c r="U102" s="71"/>
      <c r="V102" s="10" t="str">
        <f t="shared" si="53"/>
        <v/>
      </c>
      <c r="W102" s="10" t="str">
        <f t="shared" si="70"/>
        <v/>
      </c>
      <c r="X102" s="71"/>
      <c r="Y102" s="10" t="str">
        <f t="shared" si="54"/>
        <v/>
      </c>
      <c r="Z102" s="10" t="str">
        <f t="shared" si="71"/>
        <v/>
      </c>
      <c r="AA102" s="71"/>
      <c r="AB102" s="10" t="str">
        <f t="shared" si="55"/>
        <v/>
      </c>
      <c r="AC102" s="10" t="str">
        <f t="shared" si="72"/>
        <v/>
      </c>
      <c r="AD102" s="71"/>
      <c r="AE102" s="10" t="str">
        <f t="shared" si="56"/>
        <v/>
      </c>
      <c r="AF102" s="10" t="str">
        <f t="shared" si="73"/>
        <v/>
      </c>
      <c r="AG102" s="71"/>
      <c r="AH102" s="10" t="str">
        <f t="shared" si="57"/>
        <v/>
      </c>
      <c r="AI102" s="10" t="str">
        <f t="shared" si="74"/>
        <v/>
      </c>
      <c r="AJ102" s="71"/>
      <c r="AK102" s="10" t="str">
        <f t="shared" si="75"/>
        <v/>
      </c>
      <c r="AL102" s="10" t="str">
        <f t="shared" si="76"/>
        <v/>
      </c>
      <c r="AM102" s="71"/>
      <c r="AN102" s="10" t="str">
        <f t="shared" si="58"/>
        <v/>
      </c>
      <c r="AO102" s="10" t="str">
        <f t="shared" si="77"/>
        <v/>
      </c>
      <c r="AP102" s="71"/>
      <c r="AQ102" s="10" t="str">
        <f t="shared" si="59"/>
        <v/>
      </c>
      <c r="AR102" s="10" t="str">
        <f t="shared" si="78"/>
        <v/>
      </c>
      <c r="AS102" s="71"/>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U102" s="71"/>
      <c r="AV102" s="10" t="str">
        <f t="shared" si="60"/>
        <v/>
      </c>
      <c r="AW102" s="10" t="str">
        <f t="shared" si="61"/>
        <v/>
      </c>
      <c r="AX102" s="71"/>
      <c r="AY102" s="7" t="str">
        <f>IF(ISERROR(IF($K102&lt;=$F$15,VLOOKUP($I102,'表4）CO2価格'!$A$7:$E$67,VLOOKUP($F$48,'表4）CO2価格'!$H$10:$I$12,2,0),0)*$F$8/1000,"")),0,IF($K102&lt;=$F$15,VLOOKUP($I102,'表4）CO2価格'!$A$7:$E$67,VLOOKUP($F$48,'表4）CO2価格'!$H$10:$I$12,2,0),0)*$F$8/1000,""))</f>
        <v/>
      </c>
      <c r="AZ102" s="71"/>
      <c r="BA102" s="11" t="str">
        <f t="shared" si="62"/>
        <v/>
      </c>
      <c r="BB102" s="10" t="str">
        <f t="shared" si="79"/>
        <v/>
      </c>
      <c r="BC102" s="71"/>
      <c r="BD102" s="10" t="str">
        <f t="shared" si="63"/>
        <v/>
      </c>
      <c r="BE102" s="10" t="str">
        <f t="shared" si="80"/>
        <v/>
      </c>
      <c r="BF102" s="71"/>
      <c r="BG102" s="11" t="str">
        <f t="shared" si="64"/>
        <v/>
      </c>
      <c r="BH102" s="10" t="str">
        <f t="shared" si="81"/>
        <v/>
      </c>
      <c r="BJ102" s="7" t="str">
        <f t="shared" si="82"/>
        <v/>
      </c>
      <c r="BK102" s="158" t="str">
        <f t="shared" si="83"/>
        <v/>
      </c>
      <c r="BL102" s="158" t="str">
        <f t="shared" si="65"/>
        <v/>
      </c>
      <c r="BM102" s="10"/>
      <c r="BN102" s="10" t="str">
        <f t="shared" si="84"/>
        <v/>
      </c>
      <c r="BO102" s="10" t="str">
        <f t="shared" si="85"/>
        <v/>
      </c>
      <c r="BQ102" s="10" t="str">
        <f t="shared" si="66"/>
        <v/>
      </c>
      <c r="BR102" s="10" t="str">
        <f t="shared" si="86"/>
        <v/>
      </c>
    </row>
    <row r="103" spans="4:70" x14ac:dyDescent="0.15">
      <c r="E103" s="81" t="s">
        <v>202</v>
      </c>
      <c r="F103" s="91">
        <f>BB116/$BR$116</f>
        <v>4.8774810034930773</v>
      </c>
      <c r="G103" s="81" t="s">
        <v>132</v>
      </c>
      <c r="I103" s="38">
        <f t="shared" si="87"/>
        <v>2118</v>
      </c>
      <c r="J103" s="39"/>
      <c r="K103" s="39">
        <f t="shared" si="88"/>
        <v>89</v>
      </c>
      <c r="L103" s="39"/>
      <c r="M103" s="40">
        <f t="shared" si="51"/>
        <v>7.2025619310640235E-2</v>
      </c>
      <c r="N103" s="39"/>
      <c r="O103" s="72" t="str">
        <f t="shared" si="67"/>
        <v/>
      </c>
      <c r="P103" s="41" t="str">
        <f t="shared" si="52"/>
        <v/>
      </c>
      <c r="Q103" s="39"/>
      <c r="R103" s="72" t="str">
        <f t="shared" si="68"/>
        <v/>
      </c>
      <c r="S103" s="39"/>
      <c r="T103" s="72" t="str">
        <f t="shared" si="69"/>
        <v/>
      </c>
      <c r="U103" s="39"/>
      <c r="V103" s="72" t="str">
        <f t="shared" si="53"/>
        <v/>
      </c>
      <c r="W103" s="72" t="str">
        <f t="shared" si="70"/>
        <v/>
      </c>
      <c r="X103" s="39"/>
      <c r="Y103" s="72" t="str">
        <f t="shared" si="54"/>
        <v/>
      </c>
      <c r="Z103" s="72" t="str">
        <f t="shared" si="71"/>
        <v/>
      </c>
      <c r="AA103" s="39"/>
      <c r="AB103" s="72" t="str">
        <f t="shared" si="55"/>
        <v/>
      </c>
      <c r="AC103" s="72" t="str">
        <f t="shared" si="72"/>
        <v/>
      </c>
      <c r="AD103" s="39"/>
      <c r="AE103" s="72" t="str">
        <f t="shared" si="56"/>
        <v/>
      </c>
      <c r="AF103" s="72" t="str">
        <f t="shared" si="73"/>
        <v/>
      </c>
      <c r="AG103" s="39"/>
      <c r="AH103" s="72" t="str">
        <f t="shared" si="57"/>
        <v/>
      </c>
      <c r="AI103" s="72" t="str">
        <f t="shared" si="74"/>
        <v/>
      </c>
      <c r="AJ103" s="39"/>
      <c r="AK103" s="72" t="str">
        <f t="shared" si="75"/>
        <v/>
      </c>
      <c r="AL103" s="72" t="str">
        <f t="shared" si="76"/>
        <v/>
      </c>
      <c r="AM103" s="39"/>
      <c r="AN103" s="72" t="str">
        <f t="shared" si="58"/>
        <v/>
      </c>
      <c r="AO103" s="72" t="str">
        <f t="shared" si="77"/>
        <v/>
      </c>
      <c r="AP103" s="39"/>
      <c r="AQ103" s="72" t="str">
        <f t="shared" si="59"/>
        <v/>
      </c>
      <c r="AR103" s="72" t="str">
        <f t="shared" si="78"/>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60"/>
        <v/>
      </c>
      <c r="AW103" s="72" t="str">
        <f t="shared" si="61"/>
        <v/>
      </c>
      <c r="AX103" s="39"/>
      <c r="AY103" s="40" t="str">
        <f>IF(ISERROR(IF($K103&lt;=$F$15,VLOOKUP($I103,'表4）CO2価格'!$A$7:$E$67,VLOOKUP($F$48,'表4）CO2価格'!$H$10:$I$12,2,0),0)*$F$8/1000,"")),0,IF($K103&lt;=$F$15,VLOOKUP($I103,'表4）CO2価格'!$A$7:$E$67,VLOOKUP($F$48,'表4）CO2価格'!$H$10:$I$12,2,0),0)*$F$8/1000,""))</f>
        <v/>
      </c>
      <c r="AZ103" s="39"/>
      <c r="BA103" s="42" t="str">
        <f t="shared" si="62"/>
        <v/>
      </c>
      <c r="BB103" s="72" t="str">
        <f t="shared" si="79"/>
        <v/>
      </c>
      <c r="BC103" s="39"/>
      <c r="BD103" s="72" t="str">
        <f t="shared" si="63"/>
        <v/>
      </c>
      <c r="BE103" s="72" t="str">
        <f t="shared" si="80"/>
        <v/>
      </c>
      <c r="BF103" s="39"/>
      <c r="BG103" s="42" t="str">
        <f t="shared" si="64"/>
        <v/>
      </c>
      <c r="BH103" s="72" t="str">
        <f t="shared" si="81"/>
        <v/>
      </c>
      <c r="BI103" s="39"/>
      <c r="BJ103" s="40" t="str">
        <f t="shared" si="82"/>
        <v/>
      </c>
      <c r="BK103" s="157" t="str">
        <f t="shared" si="83"/>
        <v/>
      </c>
      <c r="BL103" s="157" t="str">
        <f t="shared" si="65"/>
        <v/>
      </c>
      <c r="BM103" s="72"/>
      <c r="BN103" s="72" t="str">
        <f t="shared" si="84"/>
        <v/>
      </c>
      <c r="BO103" s="72" t="str">
        <f t="shared" si="85"/>
        <v/>
      </c>
      <c r="BP103" s="39"/>
      <c r="BQ103" s="72" t="str">
        <f t="shared" si="66"/>
        <v/>
      </c>
      <c r="BR103" s="72" t="str">
        <f t="shared" si="86"/>
        <v/>
      </c>
    </row>
    <row r="104" spans="4:70" x14ac:dyDescent="0.15">
      <c r="E104" s="81" t="s">
        <v>203</v>
      </c>
      <c r="F104" s="91">
        <f>IF(ISERROR(F60*(1/F61)/F62),0,F60*(1/F61)/F62)</f>
        <v>0</v>
      </c>
      <c r="G104" s="81" t="s">
        <v>132</v>
      </c>
      <c r="I104" s="322">
        <f t="shared" si="87"/>
        <v>2119</v>
      </c>
      <c r="J104" s="71"/>
      <c r="K104" s="71">
        <f t="shared" si="88"/>
        <v>90</v>
      </c>
      <c r="L104" s="71"/>
      <c r="M104" s="7">
        <f t="shared" si="51"/>
        <v>6.9927785738485654E-2</v>
      </c>
      <c r="N104" s="71"/>
      <c r="O104" s="10" t="str">
        <f t="shared" si="67"/>
        <v/>
      </c>
      <c r="P104" s="29" t="str">
        <f t="shared" si="52"/>
        <v/>
      </c>
      <c r="Q104" s="71"/>
      <c r="R104" s="10" t="str">
        <f t="shared" si="68"/>
        <v/>
      </c>
      <c r="S104" s="71"/>
      <c r="T104" s="10" t="str">
        <f t="shared" si="69"/>
        <v/>
      </c>
      <c r="U104" s="71"/>
      <c r="V104" s="10" t="str">
        <f t="shared" si="53"/>
        <v/>
      </c>
      <c r="W104" s="10" t="str">
        <f t="shared" si="70"/>
        <v/>
      </c>
      <c r="X104" s="71"/>
      <c r="Y104" s="10" t="str">
        <f t="shared" si="54"/>
        <v/>
      </c>
      <c r="Z104" s="10" t="str">
        <f t="shared" si="71"/>
        <v/>
      </c>
      <c r="AA104" s="71"/>
      <c r="AB104" s="10" t="str">
        <f t="shared" si="55"/>
        <v/>
      </c>
      <c r="AC104" s="10" t="str">
        <f t="shared" si="72"/>
        <v/>
      </c>
      <c r="AD104" s="71"/>
      <c r="AE104" s="10" t="str">
        <f t="shared" si="56"/>
        <v/>
      </c>
      <c r="AF104" s="10" t="str">
        <f t="shared" si="73"/>
        <v/>
      </c>
      <c r="AG104" s="71"/>
      <c r="AH104" s="10" t="str">
        <f t="shared" si="57"/>
        <v/>
      </c>
      <c r="AI104" s="10" t="str">
        <f t="shared" si="74"/>
        <v/>
      </c>
      <c r="AJ104" s="71"/>
      <c r="AK104" s="10" t="str">
        <f t="shared" si="75"/>
        <v/>
      </c>
      <c r="AL104" s="10" t="str">
        <f t="shared" si="76"/>
        <v/>
      </c>
      <c r="AM104" s="71"/>
      <c r="AN104" s="10" t="str">
        <f t="shared" si="58"/>
        <v/>
      </c>
      <c r="AO104" s="10" t="str">
        <f t="shared" si="77"/>
        <v/>
      </c>
      <c r="AP104" s="71"/>
      <c r="AQ104" s="10" t="str">
        <f t="shared" si="59"/>
        <v/>
      </c>
      <c r="AR104" s="10" t="str">
        <f t="shared" si="78"/>
        <v/>
      </c>
      <c r="AS104" s="71"/>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U104" s="71"/>
      <c r="AV104" s="10" t="str">
        <f t="shared" si="60"/>
        <v/>
      </c>
      <c r="AW104" s="10" t="str">
        <f t="shared" si="61"/>
        <v/>
      </c>
      <c r="AX104" s="71"/>
      <c r="AY104" s="7" t="str">
        <f>IF(ISERROR(IF($K104&lt;=$F$15,VLOOKUP($I104,'表4）CO2価格'!$A$7:$E$67,VLOOKUP($F$48,'表4）CO2価格'!$H$10:$I$12,2,0),0)*$F$8/1000,"")),0,IF($K104&lt;=$F$15,VLOOKUP($I104,'表4）CO2価格'!$A$7:$E$67,VLOOKUP($F$48,'表4）CO2価格'!$H$10:$I$12,2,0),0)*$F$8/1000,""))</f>
        <v/>
      </c>
      <c r="AZ104" s="71"/>
      <c r="BA104" s="11" t="str">
        <f t="shared" si="62"/>
        <v/>
      </c>
      <c r="BB104" s="10" t="str">
        <f t="shared" si="79"/>
        <v/>
      </c>
      <c r="BC104" s="71"/>
      <c r="BD104" s="10" t="str">
        <f t="shared" si="63"/>
        <v/>
      </c>
      <c r="BE104" s="10" t="str">
        <f t="shared" si="80"/>
        <v/>
      </c>
      <c r="BF104" s="71"/>
      <c r="BG104" s="11" t="str">
        <f t="shared" si="64"/>
        <v/>
      </c>
      <c r="BH104" s="10" t="str">
        <f t="shared" si="81"/>
        <v/>
      </c>
      <c r="BJ104" s="7" t="str">
        <f t="shared" si="82"/>
        <v/>
      </c>
      <c r="BK104" s="158" t="str">
        <f t="shared" si="83"/>
        <v/>
      </c>
      <c r="BL104" s="158" t="str">
        <f t="shared" si="65"/>
        <v/>
      </c>
      <c r="BM104" s="10"/>
      <c r="BN104" s="10" t="str">
        <f t="shared" si="84"/>
        <v/>
      </c>
      <c r="BO104" s="10" t="str">
        <f t="shared" si="85"/>
        <v/>
      </c>
      <c r="BQ104" s="10" t="str">
        <f t="shared" si="66"/>
        <v/>
      </c>
      <c r="BR104" s="10" t="str">
        <f t="shared" si="86"/>
        <v/>
      </c>
    </row>
    <row r="105" spans="4:70" x14ac:dyDescent="0.15">
      <c r="E105" s="9" t="s">
        <v>367</v>
      </c>
      <c r="F105" s="183">
        <f>F64</f>
        <v>0.03</v>
      </c>
      <c r="G105" s="81" t="s">
        <v>132</v>
      </c>
      <c r="I105" s="38">
        <f t="shared" si="87"/>
        <v>2120</v>
      </c>
      <c r="J105" s="39"/>
      <c r="K105" s="39">
        <f t="shared" si="88"/>
        <v>91</v>
      </c>
      <c r="L105" s="39"/>
      <c r="M105" s="40">
        <f t="shared" si="51"/>
        <v>6.7891054115034627E-2</v>
      </c>
      <c r="N105" s="39"/>
      <c r="O105" s="72" t="str">
        <f t="shared" si="67"/>
        <v/>
      </c>
      <c r="P105" s="41" t="str">
        <f t="shared" si="52"/>
        <v/>
      </c>
      <c r="Q105" s="39"/>
      <c r="R105" s="72" t="str">
        <f t="shared" si="68"/>
        <v/>
      </c>
      <c r="S105" s="39"/>
      <c r="T105" s="72" t="str">
        <f t="shared" si="69"/>
        <v/>
      </c>
      <c r="U105" s="39"/>
      <c r="V105" s="72" t="str">
        <f t="shared" si="53"/>
        <v/>
      </c>
      <c r="W105" s="72" t="str">
        <f t="shared" si="70"/>
        <v/>
      </c>
      <c r="X105" s="39"/>
      <c r="Y105" s="72" t="str">
        <f t="shared" si="54"/>
        <v/>
      </c>
      <c r="Z105" s="72" t="str">
        <f t="shared" si="71"/>
        <v/>
      </c>
      <c r="AA105" s="39"/>
      <c r="AB105" s="72" t="str">
        <f t="shared" si="55"/>
        <v/>
      </c>
      <c r="AC105" s="72" t="str">
        <f t="shared" si="72"/>
        <v/>
      </c>
      <c r="AD105" s="39"/>
      <c r="AE105" s="72" t="str">
        <f t="shared" si="56"/>
        <v/>
      </c>
      <c r="AF105" s="72" t="str">
        <f t="shared" si="73"/>
        <v/>
      </c>
      <c r="AG105" s="39"/>
      <c r="AH105" s="72" t="str">
        <f t="shared" si="57"/>
        <v/>
      </c>
      <c r="AI105" s="72" t="str">
        <f t="shared" si="74"/>
        <v/>
      </c>
      <c r="AJ105" s="39"/>
      <c r="AK105" s="72" t="str">
        <f t="shared" si="75"/>
        <v/>
      </c>
      <c r="AL105" s="72" t="str">
        <f t="shared" si="76"/>
        <v/>
      </c>
      <c r="AM105" s="39"/>
      <c r="AN105" s="72" t="str">
        <f t="shared" si="58"/>
        <v/>
      </c>
      <c r="AO105" s="72" t="str">
        <f t="shared" si="77"/>
        <v/>
      </c>
      <c r="AP105" s="39"/>
      <c r="AQ105" s="72" t="str">
        <f t="shared" si="59"/>
        <v/>
      </c>
      <c r="AR105" s="72" t="str">
        <f t="shared" si="78"/>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60"/>
        <v/>
      </c>
      <c r="AW105" s="72" t="str">
        <f t="shared" si="61"/>
        <v/>
      </c>
      <c r="AX105" s="39"/>
      <c r="AY105" s="40" t="str">
        <f>IF(ISERROR(IF($K105&lt;=$F$15,VLOOKUP($I105,'表4）CO2価格'!$A$7:$E$67,VLOOKUP($F$48,'表4）CO2価格'!$H$10:$I$12,2,0),0)*$F$8/1000,"")),0,IF($K105&lt;=$F$15,VLOOKUP($I105,'表4）CO2価格'!$A$7:$E$67,VLOOKUP($F$48,'表4）CO2価格'!$H$10:$I$12,2,0),0)*$F$8/1000,""))</f>
        <v/>
      </c>
      <c r="AZ105" s="39"/>
      <c r="BA105" s="42" t="str">
        <f t="shared" si="62"/>
        <v/>
      </c>
      <c r="BB105" s="72" t="str">
        <f t="shared" si="79"/>
        <v/>
      </c>
      <c r="BC105" s="39"/>
      <c r="BD105" s="72" t="str">
        <f t="shared" si="63"/>
        <v/>
      </c>
      <c r="BE105" s="72" t="str">
        <f t="shared" si="80"/>
        <v/>
      </c>
      <c r="BF105" s="39"/>
      <c r="BG105" s="42" t="str">
        <f t="shared" si="64"/>
        <v/>
      </c>
      <c r="BH105" s="72" t="str">
        <f t="shared" si="81"/>
        <v/>
      </c>
      <c r="BI105" s="39"/>
      <c r="BJ105" s="40" t="str">
        <f t="shared" si="82"/>
        <v/>
      </c>
      <c r="BK105" s="157" t="str">
        <f t="shared" si="83"/>
        <v/>
      </c>
      <c r="BL105" s="157" t="str">
        <f t="shared" si="65"/>
        <v/>
      </c>
      <c r="BM105" s="72"/>
      <c r="BN105" s="72" t="str">
        <f t="shared" si="84"/>
        <v/>
      </c>
      <c r="BO105" s="72" t="str">
        <f t="shared" si="85"/>
        <v/>
      </c>
      <c r="BP105" s="39"/>
      <c r="BQ105" s="72" t="str">
        <f t="shared" si="66"/>
        <v/>
      </c>
      <c r="BR105" s="72" t="str">
        <f t="shared" si="86"/>
        <v/>
      </c>
    </row>
    <row r="106" spans="4:70" x14ac:dyDescent="0.15">
      <c r="F106" s="93"/>
      <c r="I106" s="322">
        <f t="shared" si="87"/>
        <v>2121</v>
      </c>
      <c r="J106" s="71"/>
      <c r="K106" s="71">
        <f t="shared" si="88"/>
        <v>92</v>
      </c>
      <c r="L106" s="71"/>
      <c r="M106" s="7">
        <f t="shared" si="51"/>
        <v>6.5913644771878277E-2</v>
      </c>
      <c r="N106" s="71"/>
      <c r="O106" s="10" t="str">
        <f t="shared" si="67"/>
        <v/>
      </c>
      <c r="P106" s="29" t="str">
        <f t="shared" si="52"/>
        <v/>
      </c>
      <c r="Q106" s="71"/>
      <c r="R106" s="10" t="str">
        <f t="shared" si="68"/>
        <v/>
      </c>
      <c r="S106" s="71"/>
      <c r="T106" s="10" t="str">
        <f t="shared" si="69"/>
        <v/>
      </c>
      <c r="U106" s="71"/>
      <c r="V106" s="10" t="str">
        <f t="shared" si="53"/>
        <v/>
      </c>
      <c r="W106" s="10" t="str">
        <f t="shared" si="70"/>
        <v/>
      </c>
      <c r="X106" s="71"/>
      <c r="Y106" s="10" t="str">
        <f t="shared" si="54"/>
        <v/>
      </c>
      <c r="Z106" s="10" t="str">
        <f t="shared" si="71"/>
        <v/>
      </c>
      <c r="AA106" s="71"/>
      <c r="AB106" s="10" t="str">
        <f t="shared" si="55"/>
        <v/>
      </c>
      <c r="AC106" s="10" t="str">
        <f t="shared" si="72"/>
        <v/>
      </c>
      <c r="AD106" s="71"/>
      <c r="AE106" s="10" t="str">
        <f t="shared" si="56"/>
        <v/>
      </c>
      <c r="AF106" s="10" t="str">
        <f t="shared" si="73"/>
        <v/>
      </c>
      <c r="AG106" s="71"/>
      <c r="AH106" s="10" t="str">
        <f t="shared" si="57"/>
        <v/>
      </c>
      <c r="AI106" s="10" t="str">
        <f t="shared" si="74"/>
        <v/>
      </c>
      <c r="AJ106" s="71"/>
      <c r="AK106" s="10" t="str">
        <f t="shared" si="75"/>
        <v/>
      </c>
      <c r="AL106" s="10" t="str">
        <f t="shared" si="76"/>
        <v/>
      </c>
      <c r="AM106" s="71"/>
      <c r="AN106" s="10" t="str">
        <f t="shared" si="58"/>
        <v/>
      </c>
      <c r="AO106" s="10" t="str">
        <f t="shared" si="77"/>
        <v/>
      </c>
      <c r="AP106" s="71"/>
      <c r="AQ106" s="10" t="str">
        <f t="shared" si="59"/>
        <v/>
      </c>
      <c r="AR106" s="10" t="str">
        <f t="shared" si="78"/>
        <v/>
      </c>
      <c r="AS106" s="71"/>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U106" s="71"/>
      <c r="AV106" s="10" t="str">
        <f t="shared" si="60"/>
        <v/>
      </c>
      <c r="AW106" s="10" t="str">
        <f t="shared" si="61"/>
        <v/>
      </c>
      <c r="AX106" s="71"/>
      <c r="AY106" s="7" t="str">
        <f>IF(ISERROR(IF($K106&lt;=$F$15,VLOOKUP($I106,'表4）CO2価格'!$A$7:$E$67,VLOOKUP($F$48,'表4）CO2価格'!$H$10:$I$12,2,0),0)*$F$8/1000,"")),0,IF($K106&lt;=$F$15,VLOOKUP($I106,'表4）CO2価格'!$A$7:$E$67,VLOOKUP($F$48,'表4）CO2価格'!$H$10:$I$12,2,0),0)*$F$8/1000,""))</f>
        <v/>
      </c>
      <c r="AZ106" s="71"/>
      <c r="BA106" s="11" t="str">
        <f t="shared" si="62"/>
        <v/>
      </c>
      <c r="BB106" s="10" t="str">
        <f t="shared" si="79"/>
        <v/>
      </c>
      <c r="BC106" s="71"/>
      <c r="BD106" s="10" t="str">
        <f t="shared" si="63"/>
        <v/>
      </c>
      <c r="BE106" s="10" t="str">
        <f t="shared" si="80"/>
        <v/>
      </c>
      <c r="BF106" s="71"/>
      <c r="BG106" s="11" t="str">
        <f t="shared" si="64"/>
        <v/>
      </c>
      <c r="BH106" s="10" t="str">
        <f t="shared" si="81"/>
        <v/>
      </c>
      <c r="BJ106" s="7" t="str">
        <f t="shared" si="82"/>
        <v/>
      </c>
      <c r="BK106" s="158" t="str">
        <f t="shared" si="83"/>
        <v/>
      </c>
      <c r="BL106" s="158" t="str">
        <f t="shared" si="65"/>
        <v/>
      </c>
      <c r="BM106" s="10"/>
      <c r="BN106" s="10" t="str">
        <f t="shared" si="84"/>
        <v/>
      </c>
      <c r="BO106" s="10" t="str">
        <f t="shared" si="85"/>
        <v/>
      </c>
      <c r="BQ106" s="10" t="str">
        <f t="shared" si="66"/>
        <v/>
      </c>
      <c r="BR106" s="10" t="str">
        <f t="shared" si="86"/>
        <v/>
      </c>
    </row>
    <row r="107" spans="4:70" ht="15" x14ac:dyDescent="0.15">
      <c r="D107" s="116" t="s">
        <v>204</v>
      </c>
      <c r="F107" s="94">
        <f>SUBTOTAL(9,F111:F112)</f>
        <v>-6.5493638026288679</v>
      </c>
      <c r="G107" s="81" t="s">
        <v>132</v>
      </c>
      <c r="I107" s="38">
        <f t="shared" si="87"/>
        <v>2122</v>
      </c>
      <c r="J107" s="39"/>
      <c r="K107" s="39">
        <f t="shared" si="88"/>
        <v>93</v>
      </c>
      <c r="L107" s="39"/>
      <c r="M107" s="40">
        <f t="shared" si="51"/>
        <v>6.3993829875609989E-2</v>
      </c>
      <c r="N107" s="39"/>
      <c r="O107" s="72" t="str">
        <f t="shared" si="67"/>
        <v/>
      </c>
      <c r="P107" s="41" t="str">
        <f t="shared" si="52"/>
        <v/>
      </c>
      <c r="Q107" s="39"/>
      <c r="R107" s="72" t="str">
        <f t="shared" si="68"/>
        <v/>
      </c>
      <c r="S107" s="39"/>
      <c r="T107" s="72" t="str">
        <f t="shared" si="69"/>
        <v/>
      </c>
      <c r="U107" s="39"/>
      <c r="V107" s="72" t="str">
        <f t="shared" si="53"/>
        <v/>
      </c>
      <c r="W107" s="72" t="str">
        <f t="shared" si="70"/>
        <v/>
      </c>
      <c r="X107" s="39"/>
      <c r="Y107" s="72" t="str">
        <f t="shared" si="54"/>
        <v/>
      </c>
      <c r="Z107" s="72" t="str">
        <f t="shared" si="71"/>
        <v/>
      </c>
      <c r="AA107" s="39"/>
      <c r="AB107" s="72" t="str">
        <f t="shared" si="55"/>
        <v/>
      </c>
      <c r="AC107" s="72" t="str">
        <f t="shared" si="72"/>
        <v/>
      </c>
      <c r="AD107" s="39"/>
      <c r="AE107" s="72" t="str">
        <f t="shared" si="56"/>
        <v/>
      </c>
      <c r="AF107" s="72" t="str">
        <f t="shared" si="73"/>
        <v/>
      </c>
      <c r="AG107" s="39"/>
      <c r="AH107" s="72" t="str">
        <f t="shared" si="57"/>
        <v/>
      </c>
      <c r="AI107" s="72" t="str">
        <f t="shared" si="74"/>
        <v/>
      </c>
      <c r="AJ107" s="39"/>
      <c r="AK107" s="72" t="str">
        <f t="shared" si="75"/>
        <v/>
      </c>
      <c r="AL107" s="72" t="str">
        <f t="shared" si="76"/>
        <v/>
      </c>
      <c r="AM107" s="39"/>
      <c r="AN107" s="72" t="str">
        <f t="shared" si="58"/>
        <v/>
      </c>
      <c r="AO107" s="72" t="str">
        <f t="shared" si="77"/>
        <v/>
      </c>
      <c r="AP107" s="39"/>
      <c r="AQ107" s="72" t="str">
        <f t="shared" si="59"/>
        <v/>
      </c>
      <c r="AR107" s="72" t="str">
        <f t="shared" si="78"/>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60"/>
        <v/>
      </c>
      <c r="AW107" s="72" t="str">
        <f t="shared" si="61"/>
        <v/>
      </c>
      <c r="AX107" s="39"/>
      <c r="AY107" s="40" t="str">
        <f>IF(ISERROR(IF($K107&lt;=$F$15,VLOOKUP($I107,'表4）CO2価格'!$A$7:$E$67,VLOOKUP($F$48,'表4）CO2価格'!$H$10:$I$12,2,0),0)*$F$8/1000,"")),0,IF($K107&lt;=$F$15,VLOOKUP($I107,'表4）CO2価格'!$A$7:$E$67,VLOOKUP($F$48,'表4）CO2価格'!$H$10:$I$12,2,0),0)*$F$8/1000,""))</f>
        <v/>
      </c>
      <c r="AZ107" s="39"/>
      <c r="BA107" s="42" t="str">
        <f t="shared" si="62"/>
        <v/>
      </c>
      <c r="BB107" s="72" t="str">
        <f t="shared" si="79"/>
        <v/>
      </c>
      <c r="BC107" s="39"/>
      <c r="BD107" s="72" t="str">
        <f t="shared" si="63"/>
        <v/>
      </c>
      <c r="BE107" s="72" t="str">
        <f t="shared" si="80"/>
        <v/>
      </c>
      <c r="BF107" s="39"/>
      <c r="BG107" s="42" t="str">
        <f t="shared" si="64"/>
        <v/>
      </c>
      <c r="BH107" s="72" t="str">
        <f t="shared" si="81"/>
        <v/>
      </c>
      <c r="BI107" s="39"/>
      <c r="BJ107" s="40" t="str">
        <f t="shared" si="82"/>
        <v/>
      </c>
      <c r="BK107" s="157" t="str">
        <f t="shared" si="83"/>
        <v/>
      </c>
      <c r="BL107" s="157" t="str">
        <f t="shared" si="65"/>
        <v/>
      </c>
      <c r="BM107" s="72"/>
      <c r="BN107" s="72" t="str">
        <f t="shared" si="84"/>
        <v/>
      </c>
      <c r="BO107" s="72" t="str">
        <f t="shared" si="85"/>
        <v/>
      </c>
      <c r="BP107" s="39"/>
      <c r="BQ107" s="72" t="str">
        <f t="shared" si="66"/>
        <v/>
      </c>
      <c r="BR107" s="72" t="str">
        <f t="shared" si="86"/>
        <v/>
      </c>
    </row>
    <row r="108" spans="4:70" ht="15" x14ac:dyDescent="0.15">
      <c r="D108" s="116"/>
      <c r="F108" s="93"/>
      <c r="I108" s="322">
        <f t="shared" si="87"/>
        <v>2123</v>
      </c>
      <c r="J108" s="71"/>
      <c r="K108" s="71">
        <f t="shared" si="88"/>
        <v>94</v>
      </c>
      <c r="L108" s="71"/>
      <c r="M108" s="7">
        <f t="shared" si="51"/>
        <v>6.212993191806794E-2</v>
      </c>
      <c r="N108" s="71"/>
      <c r="O108" s="10" t="str">
        <f t="shared" si="67"/>
        <v/>
      </c>
      <c r="P108" s="29" t="str">
        <f t="shared" si="52"/>
        <v/>
      </c>
      <c r="Q108" s="71"/>
      <c r="R108" s="10" t="str">
        <f t="shared" si="68"/>
        <v/>
      </c>
      <c r="S108" s="71"/>
      <c r="T108" s="10" t="str">
        <f t="shared" si="69"/>
        <v/>
      </c>
      <c r="U108" s="71"/>
      <c r="V108" s="10" t="str">
        <f t="shared" si="53"/>
        <v/>
      </c>
      <c r="W108" s="10" t="str">
        <f t="shared" si="70"/>
        <v/>
      </c>
      <c r="X108" s="71"/>
      <c r="Y108" s="10" t="str">
        <f t="shared" si="54"/>
        <v/>
      </c>
      <c r="Z108" s="10" t="str">
        <f t="shared" si="71"/>
        <v/>
      </c>
      <c r="AA108" s="71"/>
      <c r="AB108" s="10" t="str">
        <f t="shared" si="55"/>
        <v/>
      </c>
      <c r="AC108" s="10" t="str">
        <f t="shared" si="72"/>
        <v/>
      </c>
      <c r="AD108" s="71"/>
      <c r="AE108" s="10" t="str">
        <f t="shared" si="56"/>
        <v/>
      </c>
      <c r="AF108" s="10" t="str">
        <f t="shared" si="73"/>
        <v/>
      </c>
      <c r="AG108" s="71"/>
      <c r="AH108" s="10" t="str">
        <f t="shared" si="57"/>
        <v/>
      </c>
      <c r="AI108" s="10" t="str">
        <f t="shared" si="74"/>
        <v/>
      </c>
      <c r="AJ108" s="71"/>
      <c r="AK108" s="10" t="str">
        <f t="shared" si="75"/>
        <v/>
      </c>
      <c r="AL108" s="10" t="str">
        <f t="shared" si="76"/>
        <v/>
      </c>
      <c r="AM108" s="71"/>
      <c r="AN108" s="10" t="str">
        <f t="shared" si="58"/>
        <v/>
      </c>
      <c r="AO108" s="10" t="str">
        <f t="shared" si="77"/>
        <v/>
      </c>
      <c r="AP108" s="71"/>
      <c r="AQ108" s="10" t="str">
        <f t="shared" si="59"/>
        <v/>
      </c>
      <c r="AR108" s="10" t="str">
        <f t="shared" si="78"/>
        <v/>
      </c>
      <c r="AS108" s="71"/>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U108" s="71"/>
      <c r="AV108" s="10" t="str">
        <f t="shared" si="60"/>
        <v/>
      </c>
      <c r="AW108" s="10" t="str">
        <f t="shared" si="61"/>
        <v/>
      </c>
      <c r="AX108" s="71"/>
      <c r="AY108" s="7" t="str">
        <f>IF(ISERROR(IF($K108&lt;=$F$15,VLOOKUP($I108,'表4）CO2価格'!$A$7:$E$67,VLOOKUP($F$48,'表4）CO2価格'!$H$10:$I$12,2,0),0)*$F$8/1000,"")),0,IF($K108&lt;=$F$15,VLOOKUP($I108,'表4）CO2価格'!$A$7:$E$67,VLOOKUP($F$48,'表4）CO2価格'!$H$10:$I$12,2,0),0)*$F$8/1000,""))</f>
        <v/>
      </c>
      <c r="AZ108" s="71"/>
      <c r="BA108" s="11" t="str">
        <f t="shared" si="62"/>
        <v/>
      </c>
      <c r="BB108" s="10" t="str">
        <f t="shared" si="79"/>
        <v/>
      </c>
      <c r="BC108" s="71"/>
      <c r="BD108" s="10" t="str">
        <f t="shared" si="63"/>
        <v/>
      </c>
      <c r="BE108" s="10" t="str">
        <f t="shared" si="80"/>
        <v/>
      </c>
      <c r="BF108" s="71"/>
      <c r="BG108" s="11" t="str">
        <f t="shared" si="64"/>
        <v/>
      </c>
      <c r="BH108" s="10" t="str">
        <f t="shared" si="81"/>
        <v/>
      </c>
      <c r="BJ108" s="7" t="str">
        <f t="shared" si="82"/>
        <v/>
      </c>
      <c r="BK108" s="158" t="str">
        <f t="shared" si="83"/>
        <v/>
      </c>
      <c r="BL108" s="158" t="str">
        <f t="shared" si="65"/>
        <v/>
      </c>
      <c r="BM108" s="10"/>
      <c r="BN108" s="10" t="str">
        <f t="shared" si="84"/>
        <v/>
      </c>
      <c r="BO108" s="10" t="str">
        <f t="shared" si="85"/>
        <v/>
      </c>
      <c r="BQ108" s="10" t="str">
        <f t="shared" si="66"/>
        <v/>
      </c>
      <c r="BR108" s="10" t="str">
        <f t="shared" si="86"/>
        <v/>
      </c>
    </row>
    <row r="109" spans="4:70" x14ac:dyDescent="0.15">
      <c r="D109" s="101" t="s">
        <v>205</v>
      </c>
      <c r="E109" s="101"/>
      <c r="F109" s="92"/>
      <c r="G109" s="101"/>
      <c r="I109" s="38">
        <f t="shared" si="87"/>
        <v>2124</v>
      </c>
      <c r="J109" s="39"/>
      <c r="K109" s="39">
        <f t="shared" si="88"/>
        <v>95</v>
      </c>
      <c r="L109" s="39"/>
      <c r="M109" s="40">
        <f t="shared" si="51"/>
        <v>6.0320322250551395E-2</v>
      </c>
      <c r="N109" s="39"/>
      <c r="O109" s="72" t="str">
        <f t="shared" si="67"/>
        <v/>
      </c>
      <c r="P109" s="41" t="str">
        <f t="shared" si="52"/>
        <v/>
      </c>
      <c r="Q109" s="39"/>
      <c r="R109" s="72" t="str">
        <f t="shared" si="68"/>
        <v/>
      </c>
      <c r="S109" s="39"/>
      <c r="T109" s="72" t="str">
        <f t="shared" si="69"/>
        <v/>
      </c>
      <c r="U109" s="39"/>
      <c r="V109" s="72" t="str">
        <f t="shared" si="53"/>
        <v/>
      </c>
      <c r="W109" s="72" t="str">
        <f t="shared" si="70"/>
        <v/>
      </c>
      <c r="X109" s="39"/>
      <c r="Y109" s="72" t="str">
        <f t="shared" si="54"/>
        <v/>
      </c>
      <c r="Z109" s="72" t="str">
        <f t="shared" si="71"/>
        <v/>
      </c>
      <c r="AA109" s="39"/>
      <c r="AB109" s="72" t="str">
        <f t="shared" si="55"/>
        <v/>
      </c>
      <c r="AC109" s="72" t="str">
        <f t="shared" si="72"/>
        <v/>
      </c>
      <c r="AD109" s="39"/>
      <c r="AE109" s="72" t="str">
        <f t="shared" si="56"/>
        <v/>
      </c>
      <c r="AF109" s="72" t="str">
        <f t="shared" si="73"/>
        <v/>
      </c>
      <c r="AG109" s="39"/>
      <c r="AH109" s="72" t="str">
        <f t="shared" si="57"/>
        <v/>
      </c>
      <c r="AI109" s="72" t="str">
        <f t="shared" si="74"/>
        <v/>
      </c>
      <c r="AJ109" s="39"/>
      <c r="AK109" s="72" t="str">
        <f t="shared" si="75"/>
        <v/>
      </c>
      <c r="AL109" s="72" t="str">
        <f t="shared" si="76"/>
        <v/>
      </c>
      <c r="AM109" s="39"/>
      <c r="AN109" s="72" t="str">
        <f t="shared" si="58"/>
        <v/>
      </c>
      <c r="AO109" s="72" t="str">
        <f t="shared" si="77"/>
        <v/>
      </c>
      <c r="AP109" s="39"/>
      <c r="AQ109" s="72" t="str">
        <f t="shared" si="59"/>
        <v/>
      </c>
      <c r="AR109" s="72" t="str">
        <f t="shared" si="78"/>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60"/>
        <v/>
      </c>
      <c r="AW109" s="72" t="str">
        <f t="shared" si="61"/>
        <v/>
      </c>
      <c r="AX109" s="39"/>
      <c r="AY109" s="40" t="str">
        <f>IF(ISERROR(IF($K109&lt;=$F$15,VLOOKUP($I109,'表4）CO2価格'!$A$7:$E$67,VLOOKUP($F$48,'表4）CO2価格'!$H$10:$I$12,2,0),0)*$F$8/1000,"")),0,IF($K109&lt;=$F$15,VLOOKUP($I109,'表4）CO2価格'!$A$7:$E$67,VLOOKUP($F$48,'表4）CO2価格'!$H$10:$I$12,2,0),0)*$F$8/1000,""))</f>
        <v/>
      </c>
      <c r="AZ109" s="39"/>
      <c r="BA109" s="42" t="str">
        <f t="shared" si="62"/>
        <v/>
      </c>
      <c r="BB109" s="72" t="str">
        <f t="shared" si="79"/>
        <v/>
      </c>
      <c r="BC109" s="39"/>
      <c r="BD109" s="72" t="str">
        <f t="shared" si="63"/>
        <v/>
      </c>
      <c r="BE109" s="72" t="str">
        <f t="shared" si="80"/>
        <v/>
      </c>
      <c r="BF109" s="39"/>
      <c r="BG109" s="42" t="str">
        <f t="shared" si="64"/>
        <v/>
      </c>
      <c r="BH109" s="72" t="str">
        <f t="shared" si="81"/>
        <v/>
      </c>
      <c r="BI109" s="39"/>
      <c r="BJ109" s="40" t="str">
        <f t="shared" si="82"/>
        <v/>
      </c>
      <c r="BK109" s="157" t="str">
        <f t="shared" si="83"/>
        <v/>
      </c>
      <c r="BL109" s="157" t="str">
        <f t="shared" si="65"/>
        <v/>
      </c>
      <c r="BM109" s="72"/>
      <c r="BN109" s="72" t="str">
        <f t="shared" si="84"/>
        <v/>
      </c>
      <c r="BO109" s="72" t="str">
        <f t="shared" si="85"/>
        <v/>
      </c>
      <c r="BP109" s="39"/>
      <c r="BQ109" s="72" t="str">
        <f t="shared" si="66"/>
        <v/>
      </c>
      <c r="BR109" s="72" t="str">
        <f t="shared" si="86"/>
        <v/>
      </c>
    </row>
    <row r="110" spans="4:70" ht="15" x14ac:dyDescent="0.15">
      <c r="D110" s="116"/>
      <c r="F110" s="93"/>
      <c r="I110" s="322">
        <f t="shared" si="87"/>
        <v>2125</v>
      </c>
      <c r="J110" s="71"/>
      <c r="K110" s="71">
        <f t="shared" si="88"/>
        <v>96</v>
      </c>
      <c r="L110" s="71"/>
      <c r="M110" s="7">
        <f t="shared" si="51"/>
        <v>5.8563419660729518E-2</v>
      </c>
      <c r="N110" s="71"/>
      <c r="O110" s="10" t="str">
        <f t="shared" si="67"/>
        <v/>
      </c>
      <c r="P110" s="29" t="str">
        <f t="shared" si="52"/>
        <v/>
      </c>
      <c r="Q110" s="71"/>
      <c r="R110" s="10" t="str">
        <f t="shared" si="68"/>
        <v/>
      </c>
      <c r="S110" s="71"/>
      <c r="T110" s="10" t="str">
        <f t="shared" si="69"/>
        <v/>
      </c>
      <c r="U110" s="71"/>
      <c r="V110" s="10" t="str">
        <f t="shared" si="53"/>
        <v/>
      </c>
      <c r="W110" s="10" t="str">
        <f t="shared" si="70"/>
        <v/>
      </c>
      <c r="X110" s="71"/>
      <c r="Y110" s="10" t="str">
        <f t="shared" si="54"/>
        <v/>
      </c>
      <c r="Z110" s="10" t="str">
        <f t="shared" si="71"/>
        <v/>
      </c>
      <c r="AA110" s="71"/>
      <c r="AB110" s="10" t="str">
        <f t="shared" si="55"/>
        <v/>
      </c>
      <c r="AC110" s="10" t="str">
        <f t="shared" si="72"/>
        <v/>
      </c>
      <c r="AD110" s="71"/>
      <c r="AE110" s="10" t="str">
        <f t="shared" si="56"/>
        <v/>
      </c>
      <c r="AF110" s="10" t="str">
        <f t="shared" si="73"/>
        <v/>
      </c>
      <c r="AG110" s="71"/>
      <c r="AH110" s="10" t="str">
        <f t="shared" si="57"/>
        <v/>
      </c>
      <c r="AI110" s="10" t="str">
        <f t="shared" si="74"/>
        <v/>
      </c>
      <c r="AJ110" s="71"/>
      <c r="AK110" s="10" t="str">
        <f t="shared" si="75"/>
        <v/>
      </c>
      <c r="AL110" s="10" t="str">
        <f t="shared" si="76"/>
        <v/>
      </c>
      <c r="AM110" s="71"/>
      <c r="AN110" s="10" t="str">
        <f t="shared" si="58"/>
        <v/>
      </c>
      <c r="AO110" s="10" t="str">
        <f t="shared" si="77"/>
        <v/>
      </c>
      <c r="AP110" s="71"/>
      <c r="AQ110" s="10" t="str">
        <f t="shared" si="59"/>
        <v/>
      </c>
      <c r="AR110" s="10" t="str">
        <f t="shared" si="78"/>
        <v/>
      </c>
      <c r="AS110" s="71"/>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U110" s="71"/>
      <c r="AV110" s="10" t="str">
        <f t="shared" si="60"/>
        <v/>
      </c>
      <c r="AW110" s="10" t="str">
        <f t="shared" si="61"/>
        <v/>
      </c>
      <c r="AX110" s="71"/>
      <c r="AY110" s="7" t="str">
        <f>IF(ISERROR(IF($K110&lt;=$F$15,VLOOKUP($I110,'表4）CO2価格'!$A$7:$E$67,VLOOKUP($F$48,'表4）CO2価格'!$H$10:$I$12,2,0),0)*$F$8/1000,"")),0,IF($K110&lt;=$F$15,VLOOKUP($I110,'表4）CO2価格'!$A$7:$E$67,VLOOKUP($F$48,'表4）CO2価格'!$H$10:$I$12,2,0),0)*$F$8/1000,""))</f>
        <v/>
      </c>
      <c r="AZ110" s="71"/>
      <c r="BA110" s="11" t="str">
        <f t="shared" si="62"/>
        <v/>
      </c>
      <c r="BB110" s="10" t="str">
        <f t="shared" si="79"/>
        <v/>
      </c>
      <c r="BC110" s="71"/>
      <c r="BD110" s="10" t="str">
        <f t="shared" si="63"/>
        <v/>
      </c>
      <c r="BE110" s="10" t="str">
        <f t="shared" si="80"/>
        <v/>
      </c>
      <c r="BF110" s="71"/>
      <c r="BG110" s="11" t="str">
        <f t="shared" si="64"/>
        <v/>
      </c>
      <c r="BH110" s="10" t="str">
        <f t="shared" si="81"/>
        <v/>
      </c>
      <c r="BJ110" s="7" t="str">
        <f t="shared" si="82"/>
        <v/>
      </c>
      <c r="BK110" s="158" t="str">
        <f t="shared" si="83"/>
        <v/>
      </c>
      <c r="BL110" s="158" t="str">
        <f t="shared" si="65"/>
        <v/>
      </c>
      <c r="BM110" s="10"/>
      <c r="BN110" s="10" t="str">
        <f t="shared" si="84"/>
        <v/>
      </c>
      <c r="BO110" s="10" t="str">
        <f t="shared" si="85"/>
        <v/>
      </c>
      <c r="BQ110" s="10" t="str">
        <f t="shared" si="66"/>
        <v/>
      </c>
      <c r="BR110" s="10" t="str">
        <f t="shared" si="86"/>
        <v/>
      </c>
    </row>
    <row r="111" spans="4:70" ht="15" x14ac:dyDescent="0.15">
      <c r="D111" s="116"/>
      <c r="E111" s="81" t="s">
        <v>206</v>
      </c>
      <c r="F111" s="91">
        <f>-BE116/BR116</f>
        <v>-5.1653785678877071</v>
      </c>
      <c r="G111" s="81" t="s">
        <v>132</v>
      </c>
      <c r="I111" s="38">
        <f t="shared" si="87"/>
        <v>2126</v>
      </c>
      <c r="J111" s="39"/>
      <c r="K111" s="39">
        <f t="shared" si="88"/>
        <v>97</v>
      </c>
      <c r="L111" s="39"/>
      <c r="M111" s="40">
        <f t="shared" si="51"/>
        <v>5.6857688990999529E-2</v>
      </c>
      <c r="N111" s="39"/>
      <c r="O111" s="72" t="str">
        <f t="shared" si="67"/>
        <v/>
      </c>
      <c r="P111" s="41" t="str">
        <f>IF(K111&lt;=$F$15,IF(OR(P110=$F$124,P110="-"),"-",IF(O111*$F$123&gt;$F$127,$F$123,$F$124)),"")</f>
        <v/>
      </c>
      <c r="Q111" s="39"/>
      <c r="R111" s="72" t="str">
        <f t="shared" si="68"/>
        <v/>
      </c>
      <c r="S111" s="39"/>
      <c r="T111" s="72" t="str">
        <f t="shared" si="69"/>
        <v/>
      </c>
      <c r="U111" s="39"/>
      <c r="V111" s="72" t="str">
        <f t="shared" si="53"/>
        <v/>
      </c>
      <c r="W111" s="72" t="str">
        <f t="shared" si="70"/>
        <v/>
      </c>
      <c r="X111" s="39"/>
      <c r="Y111" s="72" t="str">
        <f t="shared" si="54"/>
        <v/>
      </c>
      <c r="Z111" s="72" t="str">
        <f t="shared" si="71"/>
        <v/>
      </c>
      <c r="AA111" s="39"/>
      <c r="AB111" s="72" t="str">
        <f t="shared" si="55"/>
        <v/>
      </c>
      <c r="AC111" s="72" t="str">
        <f t="shared" si="72"/>
        <v/>
      </c>
      <c r="AD111" s="39"/>
      <c r="AE111" s="72" t="str">
        <f t="shared" si="56"/>
        <v/>
      </c>
      <c r="AF111" s="72" t="str">
        <f t="shared" si="73"/>
        <v/>
      </c>
      <c r="AG111" s="39"/>
      <c r="AH111" s="72" t="str">
        <f t="shared" si="57"/>
        <v/>
      </c>
      <c r="AI111" s="72" t="str">
        <f t="shared" si="74"/>
        <v/>
      </c>
      <c r="AJ111" s="39"/>
      <c r="AK111" s="72" t="str">
        <f t="shared" si="75"/>
        <v/>
      </c>
      <c r="AL111" s="72" t="str">
        <f t="shared" si="76"/>
        <v/>
      </c>
      <c r="AM111" s="39"/>
      <c r="AN111" s="72" t="str">
        <f t="shared" si="58"/>
        <v/>
      </c>
      <c r="AO111" s="72" t="str">
        <f t="shared" si="77"/>
        <v/>
      </c>
      <c r="AP111" s="39"/>
      <c r="AQ111" s="72" t="str">
        <f t="shared" si="59"/>
        <v/>
      </c>
      <c r="AR111" s="72" t="str">
        <f t="shared" si="78"/>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60"/>
        <v/>
      </c>
      <c r="AW111" s="72" t="str">
        <f t="shared" si="61"/>
        <v/>
      </c>
      <c r="AX111" s="39"/>
      <c r="AY111" s="40" t="str">
        <f>IF(ISERROR(IF($K111&lt;=$F$15,VLOOKUP($I111,'表4）CO2価格'!$A$7:$E$67,VLOOKUP($F$48,'表4）CO2価格'!$H$10:$I$12,2,0),0)*$F$8/1000,"")),0,IF($K111&lt;=$F$15,VLOOKUP($I111,'表4）CO2価格'!$A$7:$E$67,VLOOKUP($F$48,'表4）CO2価格'!$H$10:$I$12,2,0),0)*$F$8/1000,""))</f>
        <v/>
      </c>
      <c r="AZ111" s="39"/>
      <c r="BA111" s="42" t="str">
        <f t="shared" si="62"/>
        <v/>
      </c>
      <c r="BB111" s="72" t="str">
        <f t="shared" si="79"/>
        <v/>
      </c>
      <c r="BC111" s="39"/>
      <c r="BD111" s="72" t="str">
        <f t="shared" si="63"/>
        <v/>
      </c>
      <c r="BE111" s="72" t="str">
        <f t="shared" si="80"/>
        <v/>
      </c>
      <c r="BF111" s="39"/>
      <c r="BG111" s="42" t="str">
        <f t="shared" si="64"/>
        <v/>
      </c>
      <c r="BH111" s="72" t="str">
        <f t="shared" si="81"/>
        <v/>
      </c>
      <c r="BI111" s="39"/>
      <c r="BJ111" s="40" t="str">
        <f t="shared" si="82"/>
        <v/>
      </c>
      <c r="BK111" s="157" t="str">
        <f t="shared" si="83"/>
        <v/>
      </c>
      <c r="BL111" s="157" t="str">
        <f t="shared" si="65"/>
        <v/>
      </c>
      <c r="BM111" s="72"/>
      <c r="BN111" s="72" t="str">
        <f t="shared" si="84"/>
        <v/>
      </c>
      <c r="BO111" s="72" t="str">
        <f t="shared" si="85"/>
        <v/>
      </c>
      <c r="BP111" s="39"/>
      <c r="BQ111" s="72" t="str">
        <f t="shared" si="66"/>
        <v/>
      </c>
      <c r="BR111" s="72" t="str">
        <f t="shared" si="86"/>
        <v/>
      </c>
    </row>
    <row r="112" spans="4:70" ht="15" x14ac:dyDescent="0.15">
      <c r="D112" s="116"/>
      <c r="E112" s="81" t="s">
        <v>207</v>
      </c>
      <c r="F112" s="91">
        <f>-BH116/BR116</f>
        <v>-1.3839852347411603</v>
      </c>
      <c r="G112" s="81" t="s">
        <v>132</v>
      </c>
      <c r="I112" s="322">
        <f t="shared" si="87"/>
        <v>2127</v>
      </c>
      <c r="J112" s="71"/>
      <c r="K112" s="71">
        <f t="shared" si="88"/>
        <v>98</v>
      </c>
      <c r="L112" s="71"/>
      <c r="M112" s="7">
        <f t="shared" si="51"/>
        <v>5.5201639797086935E-2</v>
      </c>
      <c r="N112" s="71"/>
      <c r="O112" s="10" t="str">
        <f t="shared" si="67"/>
        <v/>
      </c>
      <c r="P112" s="29" t="str">
        <f>IF(K112&lt;=$F$15,IF(OR(P111=$F$124,P111="-"),"-",IF(O112*$F$123&gt;$F$127,$F$123,$F$124)),"")</f>
        <v/>
      </c>
      <c r="Q112" s="71"/>
      <c r="R112" s="10" t="str">
        <f t="shared" si="68"/>
        <v/>
      </c>
      <c r="S112" s="71"/>
      <c r="T112" s="10" t="str">
        <f t="shared" si="69"/>
        <v/>
      </c>
      <c r="U112" s="71"/>
      <c r="V112" s="10" t="str">
        <f t="shared" si="53"/>
        <v/>
      </c>
      <c r="W112" s="10" t="str">
        <f t="shared" si="70"/>
        <v/>
      </c>
      <c r="X112" s="71"/>
      <c r="Y112" s="10" t="str">
        <f t="shared" si="54"/>
        <v/>
      </c>
      <c r="Z112" s="10" t="str">
        <f t="shared" si="71"/>
        <v/>
      </c>
      <c r="AA112" s="71"/>
      <c r="AB112" s="10" t="str">
        <f t="shared" si="55"/>
        <v/>
      </c>
      <c r="AC112" s="10" t="str">
        <f t="shared" si="72"/>
        <v/>
      </c>
      <c r="AD112" s="71"/>
      <c r="AE112" s="10" t="str">
        <f t="shared" si="56"/>
        <v/>
      </c>
      <c r="AF112" s="10" t="str">
        <f t="shared" si="73"/>
        <v/>
      </c>
      <c r="AG112" s="71"/>
      <c r="AH112" s="10" t="str">
        <f t="shared" si="57"/>
        <v/>
      </c>
      <c r="AI112" s="10" t="str">
        <f t="shared" si="74"/>
        <v/>
      </c>
      <c r="AJ112" s="71"/>
      <c r="AK112" s="10" t="str">
        <f t="shared" si="75"/>
        <v/>
      </c>
      <c r="AL112" s="10" t="str">
        <f t="shared" si="76"/>
        <v/>
      </c>
      <c r="AM112" s="71"/>
      <c r="AN112" s="10" t="str">
        <f t="shared" si="58"/>
        <v/>
      </c>
      <c r="AO112" s="10" t="str">
        <f t="shared" si="77"/>
        <v/>
      </c>
      <c r="AP112" s="71"/>
      <c r="AQ112" s="10" t="str">
        <f t="shared" si="59"/>
        <v/>
      </c>
      <c r="AR112" s="10" t="str">
        <f t="shared" si="78"/>
        <v/>
      </c>
      <c r="AS112" s="71"/>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U112" s="71"/>
      <c r="AV112" s="10" t="str">
        <f t="shared" si="60"/>
        <v/>
      </c>
      <c r="AW112" s="10" t="str">
        <f t="shared" si="61"/>
        <v/>
      </c>
      <c r="AX112" s="71"/>
      <c r="AY112" s="7" t="str">
        <f>IF(ISERROR(IF($K112&lt;=$F$15,VLOOKUP($I112,'表4）CO2価格'!$A$7:$E$67,VLOOKUP($F$48,'表4）CO2価格'!$H$10:$I$12,2,0),0)*$F$8/1000,"")),0,IF($K112&lt;=$F$15,VLOOKUP($I112,'表4）CO2価格'!$A$7:$E$67,VLOOKUP($F$48,'表4）CO2価格'!$H$10:$I$12,2,0),0)*$F$8/1000,""))</f>
        <v/>
      </c>
      <c r="AZ112" s="71"/>
      <c r="BA112" s="11" t="str">
        <f t="shared" si="62"/>
        <v/>
      </c>
      <c r="BB112" s="10" t="str">
        <f t="shared" si="79"/>
        <v/>
      </c>
      <c r="BC112" s="71"/>
      <c r="BD112" s="10" t="str">
        <f t="shared" si="63"/>
        <v/>
      </c>
      <c r="BE112" s="10" t="str">
        <f t="shared" si="80"/>
        <v/>
      </c>
      <c r="BF112" s="71"/>
      <c r="BG112" s="11" t="str">
        <f t="shared" si="64"/>
        <v/>
      </c>
      <c r="BH112" s="10" t="str">
        <f t="shared" si="81"/>
        <v/>
      </c>
      <c r="BJ112" s="7" t="str">
        <f t="shared" si="82"/>
        <v/>
      </c>
      <c r="BK112" s="158" t="str">
        <f t="shared" si="83"/>
        <v/>
      </c>
      <c r="BL112" s="158" t="str">
        <f t="shared" si="65"/>
        <v/>
      </c>
      <c r="BM112" s="10"/>
      <c r="BN112" s="10" t="str">
        <f t="shared" si="84"/>
        <v/>
      </c>
      <c r="BO112" s="10" t="str">
        <f t="shared" si="85"/>
        <v/>
      </c>
      <c r="BQ112" s="10" t="str">
        <f t="shared" si="66"/>
        <v/>
      </c>
      <c r="BR112" s="10" t="str">
        <f t="shared" si="86"/>
        <v/>
      </c>
    </row>
    <row r="113" spans="2:70" x14ac:dyDescent="0.15">
      <c r="I113" s="38">
        <f t="shared" si="87"/>
        <v>2128</v>
      </c>
      <c r="J113" s="39"/>
      <c r="K113" s="39">
        <f t="shared" si="88"/>
        <v>99</v>
      </c>
      <c r="L113" s="39"/>
      <c r="M113" s="40">
        <f t="shared" si="51"/>
        <v>5.3593825045715457E-2</v>
      </c>
      <c r="N113" s="39"/>
      <c r="O113" s="72" t="str">
        <f t="shared" si="67"/>
        <v/>
      </c>
      <c r="P113" s="41" t="str">
        <f>IF(K113&lt;=$F$15,IF(OR(P112=$F$124,P112="-"),"-",IF(O113*$F$123&gt;$F$127,$F$123,$F$124)),"")</f>
        <v/>
      </c>
      <c r="Q113" s="39"/>
      <c r="R113" s="72" t="str">
        <f t="shared" si="68"/>
        <v/>
      </c>
      <c r="S113" s="39"/>
      <c r="T113" s="72" t="str">
        <f t="shared" si="69"/>
        <v/>
      </c>
      <c r="U113" s="39"/>
      <c r="V113" s="72" t="str">
        <f t="shared" si="53"/>
        <v/>
      </c>
      <c r="W113" s="72" t="str">
        <f t="shared" si="70"/>
        <v/>
      </c>
      <c r="X113" s="39"/>
      <c r="Y113" s="72" t="str">
        <f t="shared" si="54"/>
        <v/>
      </c>
      <c r="Z113" s="72" t="str">
        <f t="shared" si="71"/>
        <v/>
      </c>
      <c r="AA113" s="39"/>
      <c r="AB113" s="72" t="str">
        <f t="shared" si="55"/>
        <v/>
      </c>
      <c r="AC113" s="72" t="str">
        <f t="shared" si="72"/>
        <v/>
      </c>
      <c r="AD113" s="39"/>
      <c r="AE113" s="72" t="str">
        <f t="shared" si="56"/>
        <v/>
      </c>
      <c r="AF113" s="72" t="str">
        <f t="shared" si="73"/>
        <v/>
      </c>
      <c r="AG113" s="39"/>
      <c r="AH113" s="72" t="str">
        <f t="shared" si="57"/>
        <v/>
      </c>
      <c r="AI113" s="72" t="str">
        <f t="shared" si="74"/>
        <v/>
      </c>
      <c r="AJ113" s="39"/>
      <c r="AK113" s="72" t="str">
        <f t="shared" si="75"/>
        <v/>
      </c>
      <c r="AL113" s="72" t="str">
        <f t="shared" si="76"/>
        <v/>
      </c>
      <c r="AM113" s="39"/>
      <c r="AN113" s="72" t="str">
        <f t="shared" si="58"/>
        <v/>
      </c>
      <c r="AO113" s="72" t="str">
        <f t="shared" si="77"/>
        <v/>
      </c>
      <c r="AP113" s="39"/>
      <c r="AQ113" s="72" t="str">
        <f t="shared" si="59"/>
        <v/>
      </c>
      <c r="AR113" s="72" t="str">
        <f t="shared" si="78"/>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60"/>
        <v/>
      </c>
      <c r="AW113" s="72" t="str">
        <f t="shared" si="61"/>
        <v/>
      </c>
      <c r="AX113" s="39"/>
      <c r="AY113" s="40" t="str">
        <f>IF(ISERROR(IF($K113&lt;=$F$15,VLOOKUP($I113,'表4）CO2価格'!$A$7:$E$67,VLOOKUP($F$48,'表4）CO2価格'!$H$10:$I$12,2,0),0)*$F$8/1000,"")),0,IF($K113&lt;=$F$15,VLOOKUP($I113,'表4）CO2価格'!$A$7:$E$67,VLOOKUP($F$48,'表4）CO2価格'!$H$10:$I$12,2,0),0)*$F$8/1000,""))</f>
        <v/>
      </c>
      <c r="AZ113" s="39"/>
      <c r="BA113" s="42" t="str">
        <f t="shared" si="62"/>
        <v/>
      </c>
      <c r="BB113" s="72" t="str">
        <f t="shared" si="79"/>
        <v/>
      </c>
      <c r="BC113" s="39"/>
      <c r="BD113" s="72" t="str">
        <f t="shared" si="63"/>
        <v/>
      </c>
      <c r="BE113" s="72" t="str">
        <f t="shared" si="80"/>
        <v/>
      </c>
      <c r="BF113" s="39"/>
      <c r="BG113" s="42" t="str">
        <f t="shared" si="64"/>
        <v/>
      </c>
      <c r="BH113" s="72" t="str">
        <f t="shared" si="81"/>
        <v/>
      </c>
      <c r="BI113" s="39"/>
      <c r="BJ113" s="40" t="str">
        <f t="shared" si="82"/>
        <v/>
      </c>
      <c r="BK113" s="157" t="str">
        <f t="shared" si="83"/>
        <v/>
      </c>
      <c r="BL113" s="157" t="str">
        <f t="shared" si="65"/>
        <v/>
      </c>
      <c r="BM113" s="72"/>
      <c r="BN113" s="72" t="str">
        <f t="shared" si="84"/>
        <v/>
      </c>
      <c r="BO113" s="72" t="str">
        <f t="shared" si="85"/>
        <v/>
      </c>
      <c r="BP113" s="39"/>
      <c r="BQ113" s="72" t="str">
        <f t="shared" si="66"/>
        <v/>
      </c>
      <c r="BR113" s="72" t="str">
        <f t="shared" si="86"/>
        <v/>
      </c>
    </row>
    <row r="114" spans="2:70" x14ac:dyDescent="0.15">
      <c r="I114" s="322">
        <f t="shared" si="87"/>
        <v>2129</v>
      </c>
      <c r="J114" s="71"/>
      <c r="K114" s="71">
        <f t="shared" si="88"/>
        <v>100</v>
      </c>
      <c r="L114" s="71"/>
      <c r="M114" s="7">
        <f t="shared" si="51"/>
        <v>5.2032839850209185E-2</v>
      </c>
      <c r="N114" s="71"/>
      <c r="O114" s="10" t="str">
        <f t="shared" si="67"/>
        <v/>
      </c>
      <c r="P114" s="29" t="str">
        <f>IF(K114&lt;=$F$15,IF(OR(P113=$F$124,P113="-"),"-",IF(O114*$F$123&gt;$F$127,$F$123,$F$124)),"")</f>
        <v/>
      </c>
      <c r="Q114" s="71"/>
      <c r="R114" s="10" t="str">
        <f t="shared" si="68"/>
        <v/>
      </c>
      <c r="S114" s="71"/>
      <c r="T114" s="10" t="str">
        <f t="shared" si="69"/>
        <v/>
      </c>
      <c r="U114" s="71"/>
      <c r="V114" s="10" t="str">
        <f t="shared" si="53"/>
        <v/>
      </c>
      <c r="W114" s="10" t="str">
        <f t="shared" si="70"/>
        <v/>
      </c>
      <c r="X114" s="71"/>
      <c r="Y114" s="10" t="str">
        <f t="shared" si="54"/>
        <v/>
      </c>
      <c r="Z114" s="10" t="str">
        <f t="shared" si="71"/>
        <v/>
      </c>
      <c r="AA114" s="71"/>
      <c r="AB114" s="10" t="str">
        <f t="shared" si="55"/>
        <v/>
      </c>
      <c r="AC114" s="10" t="str">
        <f t="shared" si="72"/>
        <v/>
      </c>
      <c r="AD114" s="71"/>
      <c r="AE114" s="10" t="str">
        <f t="shared" si="56"/>
        <v/>
      </c>
      <c r="AF114" s="10" t="str">
        <f t="shared" si="73"/>
        <v/>
      </c>
      <c r="AG114" s="71"/>
      <c r="AH114" s="10" t="str">
        <f t="shared" si="57"/>
        <v/>
      </c>
      <c r="AI114" s="10" t="str">
        <f t="shared" si="74"/>
        <v/>
      </c>
      <c r="AJ114" s="71"/>
      <c r="AK114" s="10" t="str">
        <f t="shared" si="75"/>
        <v/>
      </c>
      <c r="AL114" s="10" t="str">
        <f t="shared" si="76"/>
        <v/>
      </c>
      <c r="AM114" s="71"/>
      <c r="AN114" s="10" t="str">
        <f t="shared" si="58"/>
        <v/>
      </c>
      <c r="AO114" s="10" t="str">
        <f t="shared" si="77"/>
        <v/>
      </c>
      <c r="AP114" s="71"/>
      <c r="AQ114" s="10" t="str">
        <f t="shared" si="59"/>
        <v/>
      </c>
      <c r="AR114" s="10" t="str">
        <f t="shared" si="78"/>
        <v/>
      </c>
      <c r="AS114" s="71"/>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U114" s="71"/>
      <c r="AV114" s="10" t="str">
        <f t="shared" si="60"/>
        <v/>
      </c>
      <c r="AW114" s="10" t="str">
        <f t="shared" si="61"/>
        <v/>
      </c>
      <c r="AX114" s="71"/>
      <c r="AY114" s="7" t="str">
        <f>IF(ISERROR(IF($K114&lt;=$F$15,VLOOKUP($I114,'表4）CO2価格'!$A$7:$E$67,VLOOKUP($F$48,'表4）CO2価格'!$H$10:$I$12,2,0),0)*$F$8/1000,"")),0,IF($K114&lt;=$F$15,VLOOKUP($I114,'表4）CO2価格'!$A$7:$E$67,VLOOKUP($F$48,'表4）CO2価格'!$H$10:$I$12,2,0),0)*$F$8/1000,""))</f>
        <v/>
      </c>
      <c r="AZ114" s="71"/>
      <c r="BA114" s="11" t="str">
        <f t="shared" si="62"/>
        <v/>
      </c>
      <c r="BB114" s="10" t="str">
        <f t="shared" si="79"/>
        <v/>
      </c>
      <c r="BC114" s="71"/>
      <c r="BD114" s="10" t="str">
        <f t="shared" si="63"/>
        <v/>
      </c>
      <c r="BE114" s="10" t="str">
        <f t="shared" si="80"/>
        <v/>
      </c>
      <c r="BF114" s="71"/>
      <c r="BG114" s="11" t="str">
        <f t="shared" si="64"/>
        <v/>
      </c>
      <c r="BH114" s="10" t="str">
        <f t="shared" si="81"/>
        <v/>
      </c>
      <c r="BJ114" s="7" t="str">
        <f t="shared" si="82"/>
        <v/>
      </c>
      <c r="BK114" s="158" t="str">
        <f t="shared" si="83"/>
        <v/>
      </c>
      <c r="BL114" s="158" t="str">
        <f t="shared" si="65"/>
        <v/>
      </c>
      <c r="BM114" s="10"/>
      <c r="BN114" s="10" t="str">
        <f t="shared" si="84"/>
        <v/>
      </c>
      <c r="BO114" s="10" t="str">
        <f t="shared" si="85"/>
        <v/>
      </c>
      <c r="BQ114" s="10" t="str">
        <f t="shared" si="66"/>
        <v/>
      </c>
      <c r="BR114" s="10" t="str">
        <f t="shared" si="86"/>
        <v/>
      </c>
    </row>
    <row r="115" spans="2:70" ht="15.75" thickBot="1" x14ac:dyDescent="0.2">
      <c r="B115" s="460" t="s">
        <v>515</v>
      </c>
      <c r="C115" s="86"/>
      <c r="D115" s="104"/>
      <c r="E115" s="104"/>
      <c r="F115" s="86"/>
      <c r="G115" s="104"/>
      <c r="I115" s="321"/>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71" t="s">
        <v>143</v>
      </c>
      <c r="J116" s="71"/>
      <c r="K116" s="71"/>
      <c r="L116" s="71"/>
      <c r="M116" s="71"/>
      <c r="N116" s="71"/>
      <c r="O116" s="71"/>
      <c r="P116" s="71"/>
      <c r="Q116" s="71"/>
      <c r="R116" s="71"/>
      <c r="S116" s="71"/>
      <c r="T116" s="71"/>
      <c r="U116" s="71"/>
      <c r="V116" s="71"/>
      <c r="W116" s="11"/>
      <c r="X116" s="71"/>
      <c r="Y116" s="71"/>
      <c r="Z116" s="11">
        <f>SUM(Z15:Z114)</f>
        <v>16080932.069931537</v>
      </c>
      <c r="AA116" s="71"/>
      <c r="AB116" s="71"/>
      <c r="AC116" s="11">
        <f>SUM(AC15:AC114)</f>
        <v>3899874.6653204774</v>
      </c>
      <c r="AD116" s="71"/>
      <c r="AE116" s="71"/>
      <c r="AF116" s="11">
        <f>SUM(AF15:AF114)</f>
        <v>0</v>
      </c>
      <c r="AG116" s="71"/>
      <c r="AH116" s="71"/>
      <c r="AI116" s="11">
        <f>SUM(AI15:AI114)</f>
        <v>0</v>
      </c>
      <c r="AJ116" s="71"/>
      <c r="AK116" s="71"/>
      <c r="AL116" s="11">
        <f>SUM(AL15:AL114)</f>
        <v>232265229.99121687</v>
      </c>
      <c r="AM116" s="71"/>
      <c r="AN116" s="71"/>
      <c r="AO116" s="11">
        <f>SUM(AO15:AO114)</f>
        <v>0</v>
      </c>
      <c r="AP116" s="71"/>
      <c r="AQ116" s="71"/>
      <c r="AR116" s="11">
        <f>SUM(AR15:AR114)</f>
        <v>0</v>
      </c>
      <c r="AS116" s="71"/>
      <c r="AT116" s="71"/>
      <c r="AU116" s="71"/>
      <c r="AV116" s="71"/>
      <c r="AW116" s="11">
        <f>SUM(AW15:AW114)</f>
        <v>1637200003.5270674</v>
      </c>
      <c r="AX116" s="71"/>
      <c r="AY116" s="71"/>
      <c r="AZ116" s="71"/>
      <c r="BA116" s="71"/>
      <c r="BB116" s="11">
        <f>SUM(BB15:BB114)</f>
        <v>438663033.39044929</v>
      </c>
      <c r="BC116" s="71"/>
      <c r="BD116" s="71"/>
      <c r="BE116" s="11">
        <f>SUM(BE15:BE114)</f>
        <v>464555501.0008052</v>
      </c>
      <c r="BF116" s="71"/>
      <c r="BG116" s="71"/>
      <c r="BH116" s="11">
        <f>SUM(BH15:BH114)</f>
        <v>124470635.72453995</v>
      </c>
      <c r="BK116" s="11">
        <f>SUM(BK15:BK114)</f>
        <v>0</v>
      </c>
      <c r="BL116" s="11">
        <f>SUM(BL15:BL114)</f>
        <v>0</v>
      </c>
      <c r="BO116" s="11">
        <f>SUM(BO15:BO114)</f>
        <v>0</v>
      </c>
      <c r="BQ116" s="71"/>
      <c r="BR116" s="11">
        <f>SUM(BR15:BR114)</f>
        <v>89936389.926745906</v>
      </c>
    </row>
    <row r="117" spans="2:70" x14ac:dyDescent="0.15">
      <c r="C117" s="9" t="s">
        <v>529</v>
      </c>
      <c r="F117" s="44">
        <f>F21*10^4*F13*10^4+F29*10^8</f>
        <v>195000000</v>
      </c>
      <c r="G117" s="81" t="s">
        <v>208</v>
      </c>
      <c r="I117" s="48" t="s">
        <v>145</v>
      </c>
      <c r="J117" s="71"/>
      <c r="K117" s="71"/>
      <c r="L117" s="71"/>
      <c r="M117" s="71"/>
      <c r="N117" s="71"/>
      <c r="O117" s="71"/>
      <c r="P117" s="71"/>
      <c r="Q117" s="71"/>
      <c r="R117" s="71"/>
      <c r="S117" s="71"/>
      <c r="T117" s="71"/>
      <c r="U117" s="71"/>
      <c r="V117" s="71"/>
      <c r="W117" s="11"/>
      <c r="X117" s="71"/>
      <c r="Y117" s="71"/>
      <c r="Z117" s="11" t="str">
        <f ca="1">IF(ISNUMBER($F$16),SUM(INDIRECT(ADDRESS($F$16+15,COLUMN())):INDIRECT(ADDRESS(114,COLUMN()))),"")</f>
        <v/>
      </c>
      <c r="AA117" s="71"/>
      <c r="AB117" s="71"/>
      <c r="AC117" s="11" t="str">
        <f ca="1">IF(ISNUMBER($F$16),SUM(INDIRECT(ADDRESS($F$16+15,COLUMN())):INDIRECT(ADDRESS(114,COLUMN()))),"")</f>
        <v/>
      </c>
      <c r="AD117" s="71"/>
      <c r="AE117" s="71"/>
      <c r="AF117" s="11" t="str">
        <f ca="1">IF(ISNUMBER($F$16),SUM(INDIRECT(ADDRESS($F$16+15,COLUMN())):INDIRECT(ADDRESS(114,COLUMN()))),"")</f>
        <v/>
      </c>
      <c r="AG117" s="71"/>
      <c r="AH117" s="71"/>
      <c r="AI117" s="11" t="str">
        <f ca="1">IF(ISNUMBER($F$16),SUM(INDIRECT(ADDRESS($F$16+15,COLUMN())):INDIRECT(ADDRESS(114,COLUMN()))),"")</f>
        <v/>
      </c>
      <c r="AJ117" s="71"/>
      <c r="AK117" s="71"/>
      <c r="AL117" s="11" t="str">
        <f ca="1">IF(ISNUMBER($F$16),SUM(INDIRECT(ADDRESS($F$16+15,COLUMN())):INDIRECT(ADDRESS(114,COLUMN()))),"")</f>
        <v/>
      </c>
      <c r="AM117" s="71"/>
      <c r="AN117" s="71"/>
      <c r="AO117" s="11" t="str">
        <f ca="1">IF(ISNUMBER($F$16),SUM(INDIRECT(ADDRESS($F$16+15,COLUMN())):INDIRECT(ADDRESS(114,COLUMN()))),"")</f>
        <v/>
      </c>
      <c r="AP117" s="71"/>
      <c r="AQ117" s="71"/>
      <c r="AR117" s="11" t="str">
        <f ca="1">IF(ISNUMBER($F$16),SUM(INDIRECT(ADDRESS($F$16+15,COLUMN())):INDIRECT(ADDRESS(114,COLUMN()))),"")</f>
        <v/>
      </c>
      <c r="AS117" s="71"/>
      <c r="AT117" s="71"/>
      <c r="AU117" s="71"/>
      <c r="AV117" s="71"/>
      <c r="AW117" s="11" t="str">
        <f ca="1">IF(ISNUMBER($F$16),SUM(INDIRECT(ADDRESS($F$16+15,COLUMN())):INDIRECT(ADDRESS(114,COLUMN()))),"")</f>
        <v/>
      </c>
      <c r="AX117" s="71"/>
      <c r="AY117" s="71"/>
      <c r="AZ117" s="71"/>
      <c r="BA117" s="71"/>
      <c r="BB117" s="11" t="str">
        <f ca="1">IF(ISNUMBER($F$16),SUM(INDIRECT(ADDRESS($F$16+15,COLUMN())):INDIRECT(ADDRESS(114,COLUMN()))),"")</f>
        <v/>
      </c>
      <c r="BC117" s="71"/>
      <c r="BD117" s="71"/>
      <c r="BE117" s="11" t="str">
        <f ca="1">IF(ISNUMBER($F$16),SUM(INDIRECT(ADDRESS($F$16+15,COLUMN())):INDIRECT(ADDRESS(114,COLUMN()))),"")</f>
        <v/>
      </c>
      <c r="BF117" s="71"/>
      <c r="BG117" s="71"/>
      <c r="BH117" s="11" t="str">
        <f ca="1">IF(ISNUMBER($F$16),SUM(INDIRECT(ADDRESS($F$16+15,COLUMN())):INDIRECT(ADDRESS(114,COLUMN()))),"")</f>
        <v/>
      </c>
      <c r="BK117" s="11" t="str">
        <f ca="1">IF(ISNUMBER($F$16),SUM(INDIRECT(ADDRESS($F$16+15,COLUMN())):INDIRECT(ADDRESS(114,COLUMN()))),"")</f>
        <v/>
      </c>
      <c r="BL117" s="11" t="str">
        <f ca="1">IF(ISNUMBER($F$16),SUM(INDIRECT(ADDRESS($F$16+15,COLUMN())):INDIRECT(ADDRESS(114,COLUMN()))),"")</f>
        <v/>
      </c>
      <c r="BO117" s="11" t="str">
        <f ca="1">IF(ISNUMBER($F$16),SUM(INDIRECT(ADDRESS($F$16+15,COLUMN())):INDIRECT(ADDRESS(114,COLUMN()))),"")</f>
        <v/>
      </c>
      <c r="BQ117" s="71"/>
      <c r="BR117" s="11" t="str">
        <f ca="1">IF(ISNUMBER($F$16),SUM(INDIRECT(ADDRESS($F$16+15,COLUMN())):INDIRECT(ADDRESS(114,COLUMN()))),"")</f>
        <v/>
      </c>
    </row>
    <row r="119" spans="2:70" x14ac:dyDescent="0.15">
      <c r="C119" s="9" t="s">
        <v>521</v>
      </c>
      <c r="F119" s="44">
        <f>VLOOKUP(F3,'表2）法定耐用年数'!$A$2:$B$17,2,0)</f>
        <v>15</v>
      </c>
      <c r="G119" s="81" t="s">
        <v>108</v>
      </c>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Q119" s="71"/>
      <c r="BR119" s="71"/>
    </row>
    <row r="121" spans="2:70" x14ac:dyDescent="0.15">
      <c r="C121" s="89" t="s">
        <v>522</v>
      </c>
      <c r="D121" s="101"/>
      <c r="E121" s="101"/>
      <c r="F121" s="89"/>
      <c r="G121" s="10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Q121" s="71"/>
      <c r="BR121" s="71"/>
    </row>
    <row r="123" spans="2:70" x14ac:dyDescent="0.15">
      <c r="D123" s="81" t="s">
        <v>209</v>
      </c>
      <c r="F123" s="95">
        <f>VLOOKUP($F$119,'表1）減価償却率表'!$A$9:$E$107,3,0)</f>
        <v>0.16700000000000001</v>
      </c>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Q123" s="71"/>
      <c r="BR123" s="71"/>
    </row>
    <row r="124" spans="2:70" x14ac:dyDescent="0.15">
      <c r="D124" s="81" t="s">
        <v>210</v>
      </c>
      <c r="F124" s="95">
        <f>VLOOKUP($F$119,'表1）減価償却率表'!$A$9:$E$107,4,0)</f>
        <v>0.2</v>
      </c>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Q124" s="71"/>
      <c r="BR124" s="71"/>
    </row>
    <row r="125" spans="2:70" x14ac:dyDescent="0.15">
      <c r="D125" s="81" t="s">
        <v>211</v>
      </c>
      <c r="F125" s="88">
        <f>VLOOKUP($F$119,'表1）減価償却率表'!$A$9:$E$107,5,0)</f>
        <v>3.2169999999999997E-2</v>
      </c>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Q125" s="71"/>
      <c r="BR125" s="71"/>
    </row>
    <row r="126" spans="2:70" x14ac:dyDescent="0.15">
      <c r="F126" s="96"/>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Q126" s="71"/>
      <c r="BR126" s="71"/>
    </row>
    <row r="127" spans="2:70" x14ac:dyDescent="0.15">
      <c r="C127" s="111" t="s">
        <v>523</v>
      </c>
      <c r="D127" s="85"/>
      <c r="E127" s="114"/>
      <c r="F127" s="44">
        <f>F117*F125</f>
        <v>6273149.9999999991</v>
      </c>
      <c r="G127" s="81" t="s">
        <v>208</v>
      </c>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Q127" s="71"/>
      <c r="BR127" s="71"/>
    </row>
    <row r="129" spans="3:7" x14ac:dyDescent="0.15">
      <c r="C129" s="111" t="s">
        <v>152</v>
      </c>
      <c r="D129" s="85"/>
      <c r="E129" s="85"/>
      <c r="F129" s="95">
        <f>0.1^(1/F119)</f>
        <v>0.85769589859089412</v>
      </c>
      <c r="G129" s="85"/>
    </row>
    <row r="131" spans="3:7" x14ac:dyDescent="0.15">
      <c r="C131" s="89" t="s">
        <v>524</v>
      </c>
      <c r="D131" s="101"/>
      <c r="E131" s="101"/>
      <c r="F131" s="89"/>
      <c r="G131" s="101"/>
    </row>
    <row r="133" spans="3:7" x14ac:dyDescent="0.15">
      <c r="D133" s="81" t="s">
        <v>212</v>
      </c>
      <c r="F133" s="44">
        <f>F13*10000*24*365*F14/100</f>
        <v>4730400</v>
      </c>
      <c r="G133" s="81" t="s">
        <v>213</v>
      </c>
    </row>
    <row r="134" spans="3:7" x14ac:dyDescent="0.15">
      <c r="D134" s="81" t="s">
        <v>214</v>
      </c>
      <c r="F134" s="44">
        <f>F133*(1-F24/100)</f>
        <v>4588488</v>
      </c>
      <c r="G134" s="81" t="s">
        <v>213</v>
      </c>
    </row>
    <row r="135" spans="3:7" x14ac:dyDescent="0.15">
      <c r="F135" s="97"/>
    </row>
    <row r="137" spans="3:7" ht="16.5" x14ac:dyDescent="0.15">
      <c r="C137" s="9" t="s">
        <v>525</v>
      </c>
      <c r="F137" s="44">
        <f>IF(ISERROR(F133*3.6/(F23/100)/F22),0,F133*3.6/(F23/100)/F22)</f>
        <v>1243363.3390696885</v>
      </c>
      <c r="G137" s="9" t="s">
        <v>370</v>
      </c>
    </row>
    <row r="139" spans="3:7" x14ac:dyDescent="0.15">
      <c r="C139" s="89" t="s">
        <v>526</v>
      </c>
      <c r="D139" s="101"/>
      <c r="E139" s="101"/>
      <c r="F139" s="89"/>
      <c r="G139" s="101"/>
    </row>
    <row r="141" spans="3:7" x14ac:dyDescent="0.15">
      <c r="D141" s="81" t="s">
        <v>215</v>
      </c>
      <c r="F141" s="98">
        <f>IF(OR(F3="石炭火力",F3= "LNG火力", F3="ガスコジェネ",F3="バイオマス（石炭混焼）",F3="バイオマス（木質専焼）",F3="燃料電池"),IF($F$43="需要地価格","",1000),IF(OR(F3="石油火力",F3="石油コジェネ"),IF($F$43="需要地価格","",158.987294928),""))</f>
        <v>158.98729492800001</v>
      </c>
      <c r="G141" s="81" t="s">
        <v>216</v>
      </c>
    </row>
    <row r="142" spans="3:7" x14ac:dyDescent="0.15">
      <c r="D142" s="81" t="s">
        <v>180</v>
      </c>
      <c r="F142" s="91">
        <f>IF(ISERROR(F42/1000),0,F42/1000)</f>
        <v>7.6</v>
      </c>
      <c r="G142" s="81" t="s">
        <v>217</v>
      </c>
    </row>
    <row r="145" spans="3:7" x14ac:dyDescent="0.15">
      <c r="C145" s="9" t="s">
        <v>368</v>
      </c>
      <c r="F145" s="98">
        <f>IF(ISERROR(F133*(F47*3.6/(F23/100)/1000*(44/12))),0,F133*(F47*3.6/(F23/100)/1000*(44/12)))</f>
        <v>3811005.7823708211</v>
      </c>
      <c r="G145" s="81" t="s">
        <v>218</v>
      </c>
    </row>
    <row r="147" spans="3:7" x14ac:dyDescent="0.15">
      <c r="C147" s="89" t="s">
        <v>369</v>
      </c>
      <c r="D147" s="101"/>
      <c r="E147" s="101"/>
      <c r="F147" s="89"/>
      <c r="G147" s="101"/>
    </row>
    <row r="149" spans="3:7" x14ac:dyDescent="0.15">
      <c r="D149" s="81" t="s">
        <v>219</v>
      </c>
      <c r="F149" s="91">
        <f>IF(ISERROR(F52/F23),0,F52/F23)</f>
        <v>0.6899696048632219</v>
      </c>
    </row>
    <row r="150" spans="3:7" x14ac:dyDescent="0.15">
      <c r="D150" s="81" t="s">
        <v>220</v>
      </c>
      <c r="F150" s="98">
        <f>F133*F149*(F53/100)*3.6</f>
        <v>11749795.987841945</v>
      </c>
      <c r="G150" s="81" t="s">
        <v>221</v>
      </c>
    </row>
    <row r="151" spans="3:7" ht="16.5" x14ac:dyDescent="0.15">
      <c r="D151" s="81" t="s">
        <v>222</v>
      </c>
      <c r="F151" s="44">
        <f>IF(ISERROR(F150/(F54/100)/F55),0,F150/(F54/100)/F55)</f>
        <v>352804.34746102401</v>
      </c>
      <c r="G151" s="9" t="s">
        <v>370</v>
      </c>
    </row>
    <row r="152" spans="3:7" x14ac:dyDescent="0.15">
      <c r="D152" s="81" t="s">
        <v>223</v>
      </c>
      <c r="F152" s="146">
        <f>IF(ISERROR(F56/1000),0,F56/1000)</f>
        <v>7.6</v>
      </c>
      <c r="G152" s="81" t="s">
        <v>217</v>
      </c>
    </row>
    <row r="153" spans="3:7" x14ac:dyDescent="0.15">
      <c r="D153" s="81" t="s">
        <v>224</v>
      </c>
      <c r="F153" s="98">
        <f>IF(ISERROR(F150*F47/1000*(44/12)/(F54/100)),0,F150*F47/1000*(44/12)/(F54/100))</f>
        <v>1081372.8907477201</v>
      </c>
      <c r="G153" s="81" t="s">
        <v>218</v>
      </c>
    </row>
  </sheetData>
  <mergeCells count="48">
    <mergeCell ref="BO12:BO13"/>
    <mergeCell ref="BJ12:BJ13"/>
    <mergeCell ref="BE12:BE13"/>
    <mergeCell ref="BH12:BH13"/>
    <mergeCell ref="BR12:BR13"/>
    <mergeCell ref="BL12:BL13"/>
    <mergeCell ref="AI12:AI13"/>
    <mergeCell ref="AL12:AL13"/>
    <mergeCell ref="AO12:AO13"/>
    <mergeCell ref="AR12:AR13"/>
    <mergeCell ref="AW12:AW13"/>
    <mergeCell ref="V9:W10"/>
    <mergeCell ref="Y9:Z10"/>
    <mergeCell ref="BB12:BB13"/>
    <mergeCell ref="BK12:BK13"/>
    <mergeCell ref="P12:P13"/>
    <mergeCell ref="W12:W13"/>
    <mergeCell ref="Z12:Z13"/>
    <mergeCell ref="AC12:AC13"/>
    <mergeCell ref="AF12:AF13"/>
    <mergeCell ref="AB9:AC10"/>
    <mergeCell ref="T9:T10"/>
    <mergeCell ref="AN9:AO10"/>
    <mergeCell ref="AH9:AI10"/>
    <mergeCell ref="AQ9:AR10"/>
    <mergeCell ref="AV9:AW10"/>
    <mergeCell ref="AY9:AY10"/>
    <mergeCell ref="BQ7:BR7"/>
    <mergeCell ref="I9:I10"/>
    <mergeCell ref="K9:K10"/>
    <mergeCell ref="M9:M10"/>
    <mergeCell ref="O9:P10"/>
    <mergeCell ref="R9:R10"/>
    <mergeCell ref="BD9:BE10"/>
    <mergeCell ref="BG9:BH10"/>
    <mergeCell ref="BJ7:BO7"/>
    <mergeCell ref="BJ9:BL10"/>
    <mergeCell ref="BN9:BO10"/>
    <mergeCell ref="AT9:AT10"/>
    <mergeCell ref="AE9:AF10"/>
    <mergeCell ref="BD7:BH7"/>
    <mergeCell ref="AK9:AL10"/>
    <mergeCell ref="BA9:BB10"/>
    <mergeCell ref="F3:G3"/>
    <mergeCell ref="V7:AF7"/>
    <mergeCell ref="AH7:AR7"/>
    <mergeCell ref="AT7:AW7"/>
    <mergeCell ref="AY7:BB7"/>
  </mergeCells>
  <phoneticPr fontId="18"/>
  <dataValidations count="4">
    <dataValidation type="list" allowBlank="1" showDropDown="1" showInputMessage="1" showErrorMessage="1" sqref="F48 F41" xr:uid="{00000000-0002-0000-0C00-000000000000}">
      <formula1>"現行政策シナリオ, 新政策シナリオ"</formula1>
    </dataValidation>
    <dataValidation type="whole" allowBlank="1" showInputMessage="1" showErrorMessage="1" sqref="F7" xr:uid="{00000000-0002-0000-0C00-000001000000}">
      <formula1>2010</formula1>
      <formula2>2030</formula2>
    </dataValidation>
    <dataValidation type="list" allowBlank="1" showDropDown="1" showInputMessage="1" showErrorMessage="1" sqref="F43" xr:uid="{00000000-0002-0000-0C00-000002000000}">
      <formula1>"CIF価格, 需要地価格"</formula1>
    </dataValidation>
    <dataValidation type="list" allowBlank="1" showDropDown="1" showInputMessage="1" showErrorMessage="1" sqref="F3:G3" xr:uid="{00000000-0002-0000-0C00-000003000000}">
      <formula1>"原子力,石炭火力,LNG火力,石油火力,一般水力,太陽光（メガソーラー）,太陽光（住宅）,風力（陸上）,風力（洋上）,小水力,地熱,バイオマス（石炭混焼）,バイオマス（木質専焼）,ガスコジェネ,石油コジェネ,燃料電池"</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R153"/>
  <sheetViews>
    <sheetView showGridLines="0" zoomScale="85" zoomScaleNormal="85" workbookViewId="0">
      <pane xSplit="10" ySplit="14" topLeftCell="K93" activePane="bottomRight" state="frozen"/>
      <selection pane="topRight" activeCell="AF12" sqref="AF12:AF13"/>
      <selection pane="bottomLeft" activeCell="AF12" sqref="AF12:AF13"/>
      <selection pane="bottomRight" sqref="A1:H1048576"/>
    </sheetView>
  </sheetViews>
  <sheetFormatPr defaultColWidth="9" defaultRowHeight="14.25" outlineLevelCol="1" x14ac:dyDescent="0.15"/>
  <cols>
    <col min="1" max="3" width="6.25" style="9" customWidth="1"/>
    <col min="4" max="4" width="6.25" style="81" customWidth="1"/>
    <col min="5" max="5" width="24.375" style="81" customWidth="1"/>
    <col min="6" max="6" width="18.75" style="9" customWidth="1"/>
    <col min="7" max="7" width="24.375" style="81" bestFit="1" customWidth="1"/>
    <col min="8" max="8" width="9" style="9"/>
    <col min="9" max="9" width="6.25" style="2" customWidth="1"/>
    <col min="10" max="10" width="3" style="2" customWidth="1"/>
    <col min="11" max="11" width="6.25" style="2" customWidth="1"/>
    <col min="12" max="12" width="3" style="2" customWidth="1"/>
    <col min="13" max="13" width="6.25" style="2" customWidth="1"/>
    <col min="14" max="14" width="3" style="2" customWidth="1"/>
    <col min="15" max="15" width="17.375" style="2" bestFit="1" customWidth="1"/>
    <col min="16" max="16" width="8.625" style="2" customWidth="1"/>
    <col min="17" max="17" width="3" style="2" customWidth="1"/>
    <col min="18" max="18" width="17.375" style="2" bestFit="1" customWidth="1"/>
    <col min="19" max="19" width="3" style="2" customWidth="1"/>
    <col min="20" max="20" width="17.375" style="2" bestFit="1" customWidth="1"/>
    <col min="21" max="21" width="3" style="2" customWidth="1"/>
    <col min="22" max="22" width="15" style="2" customWidth="1" outlineLevel="1"/>
    <col min="23" max="23" width="17.375" style="2" bestFit="1" customWidth="1"/>
    <col min="24" max="24" width="3" style="2" customWidth="1"/>
    <col min="25" max="25" width="15" style="2" customWidth="1" outlineLevel="1"/>
    <col min="26" max="26" width="15" style="2" customWidth="1"/>
    <col min="27" max="27" width="3" style="2" customWidth="1"/>
    <col min="28" max="28" width="15" style="2" customWidth="1" outlineLevel="1"/>
    <col min="29" max="29" width="15" style="2" customWidth="1"/>
    <col min="30" max="30" width="3" style="2" customWidth="1"/>
    <col min="31" max="31" width="15" style="2" customWidth="1" outlineLevel="1"/>
    <col min="32" max="32" width="15" style="2" customWidth="1"/>
    <col min="33" max="33" width="3" style="2" customWidth="1"/>
    <col min="34" max="34" width="14.875" style="2" customWidth="1" outlineLevel="1"/>
    <col min="35" max="35" width="15" style="2" customWidth="1"/>
    <col min="36" max="36" width="3" style="2" customWidth="1"/>
    <col min="37" max="37" width="15" style="2" customWidth="1" outlineLevel="1"/>
    <col min="38" max="38" width="15" style="2" customWidth="1"/>
    <col min="39" max="39" width="3" style="2" customWidth="1"/>
    <col min="40" max="40" width="15" style="2" customWidth="1" outlineLevel="1"/>
    <col min="41" max="41" width="15" style="2" customWidth="1"/>
    <col min="42" max="42" width="3" style="2" customWidth="1"/>
    <col min="43" max="43" width="15" style="2" customWidth="1" outlineLevel="1"/>
    <col min="44" max="44" width="15" style="2" customWidth="1"/>
    <col min="45" max="45" width="3" style="2" customWidth="1"/>
    <col min="46" max="46" width="10.75" style="2" bestFit="1" customWidth="1"/>
    <col min="47" max="47" width="3" style="2" customWidth="1"/>
    <col min="48" max="48" width="15" style="2" customWidth="1" outlineLevel="1"/>
    <col min="49" max="49" width="17.375" style="2" bestFit="1" customWidth="1"/>
    <col min="50" max="50" width="3" style="2" customWidth="1"/>
    <col min="51" max="51" width="9.625" style="2" bestFit="1" customWidth="1"/>
    <col min="52" max="52" width="3" style="2" customWidth="1"/>
    <col min="53" max="53" width="15" style="2" customWidth="1" outlineLevel="1"/>
    <col min="54" max="54" width="17.375" style="2" bestFit="1" customWidth="1"/>
    <col min="55" max="55" width="3" style="2" customWidth="1"/>
    <col min="56" max="56" width="19.25" style="2" customWidth="1" outlineLevel="1"/>
    <col min="57" max="57" width="19.25" style="2" bestFit="1" customWidth="1"/>
    <col min="58" max="58" width="3" style="2" customWidth="1"/>
    <col min="59" max="59" width="19.25" style="2" customWidth="1" outlineLevel="1"/>
    <col min="60" max="60" width="19.25" style="2"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2" customWidth="1" outlineLevel="1"/>
    <col min="70" max="70" width="17.375" style="2" bestFit="1" customWidth="1"/>
    <col min="71" max="16384" width="9" style="2"/>
  </cols>
  <sheetData>
    <row r="1" spans="1:70" ht="18.75" x14ac:dyDescent="0.15">
      <c r="A1" s="465" t="s">
        <v>60</v>
      </c>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Q1" s="71"/>
      <c r="BR1" s="71"/>
    </row>
    <row r="3" spans="1:70" ht="23.25" x14ac:dyDescent="0.15">
      <c r="B3" s="462" t="s">
        <v>517</v>
      </c>
      <c r="F3" s="728" t="s">
        <v>228</v>
      </c>
      <c r="G3" s="725"/>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Q3" s="71"/>
      <c r="BR3" s="71"/>
    </row>
    <row r="4" spans="1:70" x14ac:dyDescent="0.15">
      <c r="F4" s="9" t="str">
        <f>F43</f>
        <v>CIF価格</v>
      </c>
      <c r="G4" s="112"/>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Q4" s="71"/>
      <c r="BR4" s="71"/>
    </row>
    <row r="5" spans="1:70" ht="15.75" thickBot="1" x14ac:dyDescent="0.2">
      <c r="B5" s="460" t="s">
        <v>518</v>
      </c>
      <c r="C5" s="86"/>
      <c r="D5" s="104"/>
      <c r="E5" s="104"/>
      <c r="F5" s="86"/>
      <c r="G5" s="104"/>
      <c r="I5" s="5" t="s">
        <v>64</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9" t="s">
        <v>65</v>
      </c>
      <c r="F7" s="87">
        <v>2020</v>
      </c>
      <c r="I7" s="8"/>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9" t="s">
        <v>519</v>
      </c>
      <c r="F8" s="88">
        <f>まとめ!B3</f>
        <v>107</v>
      </c>
      <c r="G8" s="81" t="s">
        <v>171</v>
      </c>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9" t="s">
        <v>520</v>
      </c>
      <c r="F9" s="88">
        <f>まとめ!B2</f>
        <v>3</v>
      </c>
      <c r="G9" s="81" t="s">
        <v>172</v>
      </c>
      <c r="I9" s="720" t="s">
        <v>78</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07" t="s">
        <v>118</v>
      </c>
      <c r="AI9" s="707"/>
      <c r="AJ9" s="8"/>
      <c r="AK9" s="707" t="s">
        <v>89</v>
      </c>
      <c r="AL9" s="707"/>
      <c r="AM9" s="8"/>
      <c r="AN9" s="707" t="s">
        <v>90</v>
      </c>
      <c r="AO9" s="707"/>
      <c r="AP9" s="8"/>
      <c r="AQ9" s="707" t="s">
        <v>91</v>
      </c>
      <c r="AR9" s="707"/>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I10" s="708"/>
      <c r="J10" s="71"/>
      <c r="K10" s="708"/>
      <c r="L10" s="71"/>
      <c r="M10" s="708"/>
      <c r="N10" s="71"/>
      <c r="O10" s="717"/>
      <c r="P10" s="717"/>
      <c r="Q10" s="71"/>
      <c r="R10" s="708"/>
      <c r="S10" s="71"/>
      <c r="T10" s="708"/>
      <c r="U10" s="71"/>
      <c r="V10" s="717"/>
      <c r="W10" s="717"/>
      <c r="X10" s="71"/>
      <c r="Y10" s="717"/>
      <c r="Z10" s="717"/>
      <c r="AA10" s="71"/>
      <c r="AB10" s="723"/>
      <c r="AC10" s="723"/>
      <c r="AD10" s="81"/>
      <c r="AE10" s="723"/>
      <c r="AF10" s="723"/>
      <c r="AG10" s="71"/>
      <c r="AH10" s="717"/>
      <c r="AI10" s="717"/>
      <c r="AJ10" s="71"/>
      <c r="AK10" s="717"/>
      <c r="AL10" s="717"/>
      <c r="AM10" s="71"/>
      <c r="AN10" s="717"/>
      <c r="AO10" s="717"/>
      <c r="AP10" s="71"/>
      <c r="AQ10" s="717"/>
      <c r="AR10" s="717"/>
      <c r="AS10" s="71"/>
      <c r="AT10" s="717"/>
      <c r="AU10" s="71"/>
      <c r="AV10" s="717"/>
      <c r="AW10" s="717"/>
      <c r="AX10" s="322"/>
      <c r="AY10" s="708"/>
      <c r="AZ10" s="71"/>
      <c r="BA10" s="708"/>
      <c r="BB10" s="708"/>
      <c r="BC10" s="71"/>
      <c r="BD10" s="717"/>
      <c r="BE10" s="717"/>
      <c r="BF10" s="71"/>
      <c r="BG10" s="717"/>
      <c r="BH10" s="717"/>
      <c r="BJ10" s="708"/>
      <c r="BK10" s="708"/>
      <c r="BL10" s="708"/>
      <c r="BM10" s="322"/>
      <c r="BN10" s="717"/>
      <c r="BO10" s="717"/>
      <c r="BQ10" s="322"/>
      <c r="BR10" s="322"/>
    </row>
    <row r="11" spans="1:70" ht="15.75" customHeight="1" thickBot="1" x14ac:dyDescent="0.2">
      <c r="B11" s="460" t="s">
        <v>95</v>
      </c>
      <c r="C11" s="86"/>
      <c r="D11" s="104"/>
      <c r="E11" s="104"/>
      <c r="F11" s="86"/>
      <c r="G11" s="104"/>
      <c r="I11" s="71"/>
      <c r="J11" s="71"/>
      <c r="K11" s="71"/>
      <c r="L11" s="71"/>
      <c r="M11" s="71"/>
      <c r="N11" s="71"/>
      <c r="O11" s="322" t="s">
        <v>96</v>
      </c>
      <c r="P11" s="322"/>
      <c r="Q11" s="322"/>
      <c r="R11" s="322" t="s">
        <v>96</v>
      </c>
      <c r="S11" s="322"/>
      <c r="T11" s="322"/>
      <c r="U11" s="71"/>
      <c r="V11" s="322"/>
      <c r="W11" s="322"/>
      <c r="X11" s="71"/>
      <c r="Y11" s="322"/>
      <c r="Z11" s="322"/>
      <c r="AA11" s="71"/>
      <c r="AB11" s="322"/>
      <c r="AC11" s="322"/>
      <c r="AD11" s="71"/>
      <c r="AE11" s="322"/>
      <c r="AF11" s="322"/>
      <c r="AG11" s="71"/>
      <c r="AH11" s="322"/>
      <c r="AI11" s="322"/>
      <c r="AJ11" s="71"/>
      <c r="AK11" s="322"/>
      <c r="AL11" s="322"/>
      <c r="AM11" s="71"/>
      <c r="AN11" s="322"/>
      <c r="AO11" s="322"/>
      <c r="AP11" s="71"/>
      <c r="AQ11" s="322"/>
      <c r="AR11" s="322"/>
      <c r="AS11" s="71"/>
      <c r="AT11" s="322"/>
      <c r="AU11" s="71"/>
      <c r="AV11" s="322"/>
      <c r="AW11" s="322"/>
      <c r="AX11" s="322"/>
      <c r="AY11" s="71"/>
      <c r="AZ11" s="71"/>
      <c r="BA11" s="71"/>
      <c r="BB11" s="322"/>
      <c r="BC11" s="71"/>
      <c r="BD11" s="322"/>
      <c r="BE11" s="322"/>
      <c r="BF11" s="71"/>
      <c r="BG11" s="322"/>
      <c r="BH11" s="322"/>
      <c r="BJ11" s="156"/>
      <c r="BM11" s="322"/>
      <c r="BN11" s="322"/>
      <c r="BO11" s="322"/>
      <c r="BQ11" s="322"/>
      <c r="BR11" s="322"/>
    </row>
    <row r="12" spans="1:70" ht="14.25" customHeight="1" x14ac:dyDescent="0.15">
      <c r="I12" s="71"/>
      <c r="J12" s="71"/>
      <c r="K12" s="71"/>
      <c r="L12" s="71"/>
      <c r="M12" s="71"/>
      <c r="N12" s="71"/>
      <c r="O12" s="322"/>
      <c r="P12" s="707" t="s">
        <v>97</v>
      </c>
      <c r="Q12" s="71"/>
      <c r="R12" s="71"/>
      <c r="S12" s="71"/>
      <c r="T12" s="71"/>
      <c r="U12" s="71"/>
      <c r="V12" s="71"/>
      <c r="W12" s="707" t="s">
        <v>98</v>
      </c>
      <c r="X12" s="71"/>
      <c r="Y12" s="71"/>
      <c r="Z12" s="707" t="s">
        <v>98</v>
      </c>
      <c r="AA12" s="71"/>
      <c r="AB12" s="71"/>
      <c r="AC12" s="707" t="s">
        <v>98</v>
      </c>
      <c r="AD12" s="71"/>
      <c r="AE12" s="71"/>
      <c r="AF12" s="707" t="s">
        <v>98</v>
      </c>
      <c r="AG12" s="71"/>
      <c r="AH12" s="71"/>
      <c r="AI12" s="707" t="s">
        <v>98</v>
      </c>
      <c r="AJ12" s="71"/>
      <c r="AK12" s="71"/>
      <c r="AL12" s="707" t="s">
        <v>98</v>
      </c>
      <c r="AM12" s="71"/>
      <c r="AN12" s="71"/>
      <c r="AO12" s="707" t="s">
        <v>98</v>
      </c>
      <c r="AP12" s="71"/>
      <c r="AQ12" s="71"/>
      <c r="AR12" s="707" t="s">
        <v>98</v>
      </c>
      <c r="AS12" s="71"/>
      <c r="AT12" s="71"/>
      <c r="AU12" s="71"/>
      <c r="AV12" s="71"/>
      <c r="AW12" s="707" t="s">
        <v>98</v>
      </c>
      <c r="AX12" s="71"/>
      <c r="AY12" s="71"/>
      <c r="AZ12" s="71"/>
      <c r="BA12" s="71"/>
      <c r="BB12" s="707" t="s">
        <v>98</v>
      </c>
      <c r="BC12" s="71"/>
      <c r="BD12" s="71"/>
      <c r="BE12" s="707" t="s">
        <v>98</v>
      </c>
      <c r="BF12" s="71"/>
      <c r="BG12" s="71"/>
      <c r="BH12" s="707" t="s">
        <v>98</v>
      </c>
      <c r="BJ12" s="709" t="s">
        <v>99</v>
      </c>
      <c r="BK12" s="709" t="s">
        <v>100</v>
      </c>
      <c r="BL12" s="709" t="s">
        <v>101</v>
      </c>
      <c r="BO12" s="709" t="s">
        <v>102</v>
      </c>
      <c r="BQ12" s="71"/>
      <c r="BR12" s="707" t="s">
        <v>103</v>
      </c>
    </row>
    <row r="13" spans="1:70" ht="14.25" customHeight="1" x14ac:dyDescent="0.15">
      <c r="C13" s="9" t="s">
        <v>504</v>
      </c>
      <c r="F13" s="66">
        <v>6.9999999999999994E-5</v>
      </c>
      <c r="G13" s="81" t="s">
        <v>173</v>
      </c>
      <c r="I13" s="71"/>
      <c r="J13" s="71"/>
      <c r="K13" s="71"/>
      <c r="L13" s="71"/>
      <c r="M13" s="71"/>
      <c r="N13" s="71"/>
      <c r="O13" s="322"/>
      <c r="P13" s="708"/>
      <c r="Q13" s="322"/>
      <c r="R13" s="322"/>
      <c r="S13" s="322"/>
      <c r="T13" s="322"/>
      <c r="U13" s="71"/>
      <c r="V13" s="322"/>
      <c r="W13" s="708"/>
      <c r="X13" s="71"/>
      <c r="Y13" s="322"/>
      <c r="Z13" s="708"/>
      <c r="AA13" s="71"/>
      <c r="AB13" s="322"/>
      <c r="AC13" s="708"/>
      <c r="AD13" s="71"/>
      <c r="AE13" s="322"/>
      <c r="AF13" s="708"/>
      <c r="AG13" s="71"/>
      <c r="AH13" s="322"/>
      <c r="AI13" s="708"/>
      <c r="AJ13" s="71"/>
      <c r="AK13" s="322"/>
      <c r="AL13" s="708"/>
      <c r="AM13" s="71"/>
      <c r="AN13" s="322"/>
      <c r="AO13" s="708"/>
      <c r="AP13" s="71"/>
      <c r="AQ13" s="322"/>
      <c r="AR13" s="708"/>
      <c r="AS13" s="71"/>
      <c r="AT13" s="322"/>
      <c r="AU13" s="71"/>
      <c r="AV13" s="322"/>
      <c r="AW13" s="708"/>
      <c r="AX13" s="71"/>
      <c r="AY13" s="71"/>
      <c r="AZ13" s="71"/>
      <c r="BA13" s="71"/>
      <c r="BB13" s="708"/>
      <c r="BC13" s="71"/>
      <c r="BD13" s="322"/>
      <c r="BE13" s="708"/>
      <c r="BF13" s="71"/>
      <c r="BG13" s="322"/>
      <c r="BH13" s="708"/>
      <c r="BJ13" s="712"/>
      <c r="BK13" s="710"/>
      <c r="BL13" s="708"/>
      <c r="BM13" s="322"/>
      <c r="BO13" s="708"/>
      <c r="BQ13" s="322"/>
      <c r="BR13" s="708"/>
    </row>
    <row r="14" spans="1:70" ht="16.5" x14ac:dyDescent="0.15">
      <c r="C14" s="9" t="s">
        <v>505</v>
      </c>
      <c r="F14" s="88">
        <f>VLOOKUP(F3&amp;IF(G4&lt;&gt;"","_"&amp;G4,""),まとめ!$A$12:$G$34,IF(F7=2030,4,IF(F7=2020,3,IF(F7=2014,2,"-"))),0)</f>
        <v>72.400000000000006</v>
      </c>
      <c r="G14" s="81" t="s">
        <v>172</v>
      </c>
      <c r="I14" s="71"/>
      <c r="J14" s="71"/>
      <c r="K14" s="71"/>
      <c r="L14" s="71"/>
      <c r="M14" s="71"/>
      <c r="N14" s="71"/>
      <c r="O14" s="322"/>
      <c r="P14" s="322"/>
      <c r="Q14" s="322"/>
      <c r="R14" s="322"/>
      <c r="S14" s="322"/>
      <c r="T14" s="322"/>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50" t="s">
        <v>104</v>
      </c>
      <c r="AU14" s="71"/>
      <c r="AV14" s="71"/>
      <c r="AW14" s="71"/>
      <c r="AX14" s="71"/>
      <c r="AY14" s="71" t="s">
        <v>105</v>
      </c>
      <c r="AZ14" s="71"/>
      <c r="BA14" s="71"/>
      <c r="BB14" s="71"/>
      <c r="BC14" s="71"/>
      <c r="BD14" s="71"/>
      <c r="BE14" s="71"/>
      <c r="BF14" s="71"/>
      <c r="BG14" s="71"/>
      <c r="BH14" s="71"/>
      <c r="BQ14" s="71"/>
      <c r="BR14" s="71"/>
    </row>
    <row r="15" spans="1:70" x14ac:dyDescent="0.15">
      <c r="C15" s="9" t="s">
        <v>506</v>
      </c>
      <c r="F15" s="88">
        <f>VLOOKUP(F3&amp;IF(G4&lt;&gt;"","_"&amp;G4,""),まとめ!$A$12:$G$34,IF(F7=2030,7,IF(F7=2020,6,IF(F7=2014,5,"-"))),0)</f>
        <v>12</v>
      </c>
      <c r="G15" s="81" t="s">
        <v>108</v>
      </c>
      <c r="I15" s="38">
        <f>F7</f>
        <v>2020</v>
      </c>
      <c r="J15" s="39"/>
      <c r="K15" s="39">
        <f>IF(I15&lt;&gt;"",1,"")</f>
        <v>1</v>
      </c>
      <c r="L15" s="39"/>
      <c r="M15" s="40">
        <f t="shared" ref="M15:M78" si="0">1/(1+($F$9/100))^K15</f>
        <v>0.970873786407767</v>
      </c>
      <c r="N15" s="39"/>
      <c r="O15" s="72">
        <f>F117</f>
        <v>655200</v>
      </c>
      <c r="P15" s="41">
        <f t="shared" ref="P15:P46" si="1">IF(K15&lt;=$F$15,IF(OR(P14=$F$124,P14="-"),"-",IF(O15*$F$123&gt;$F$127,$F$123,$F$124)),"")</f>
        <v>0.41699999999999998</v>
      </c>
      <c r="Q15" s="39"/>
      <c r="R15" s="72">
        <f>F117</f>
        <v>655200</v>
      </c>
      <c r="S15" s="39"/>
      <c r="T15" s="72">
        <f>IF(ISNUMBER(R15),ROUNDDOWN(R15,-3),"")</f>
        <v>655000</v>
      </c>
      <c r="U15" s="39"/>
      <c r="V15" s="72">
        <f t="shared" ref="V15:V46" si="2">IF(K15&lt;=$F$15,IF(K15&lt;$F$119,IF(P15="-",V14,O15*P15),IF(K15=$F$119,MIN(IF(P15="-",V14,O15*P15),O15),0)),"")</f>
        <v>273218.39999999997</v>
      </c>
      <c r="W15" s="72">
        <f>IF(ISNUMBER(V15),V15*$M15,"")</f>
        <v>265260.5825242718</v>
      </c>
      <c r="X15" s="39"/>
      <c r="Y15" s="72">
        <f t="shared" ref="Y15:Y46" si="3">IF($K15&lt;=$F$15,ROUNDDOWN(T15*$F$25/100,-2),"")</f>
        <v>0</v>
      </c>
      <c r="Z15" s="72">
        <f>IF(ISNUMBER(Y15),Y15*$M15,"")</f>
        <v>0</v>
      </c>
      <c r="AA15" s="39"/>
      <c r="AB15" s="72">
        <f t="shared" ref="AB15:AB78" si="4">IF($K15&lt;=$F$15,0,IF(AND($K15&gt;$F$15,$K15&lt;=$F$15+$F$28),$F$27*10^8/$F$28,""))</f>
        <v>0</v>
      </c>
      <c r="AC15" s="72">
        <f>IF(ISNUMBER(AB15),AB15*$M15,"")</f>
        <v>0</v>
      </c>
      <c r="AD15" s="39"/>
      <c r="AE15" s="72">
        <f t="shared" ref="AE15:AE46" si="5">IF($K15&lt;=$F$15,$F$26,"")</f>
        <v>0</v>
      </c>
      <c r="AF15" s="72">
        <f>IF(ISNUMBER(AE15),AE15*$M15,"")</f>
        <v>0</v>
      </c>
      <c r="AG15" s="39"/>
      <c r="AH15" s="72">
        <f t="shared" ref="AH15:AH46" si="6">IF($K15&lt;=$F$15,$F$33*10^8,"")</f>
        <v>0</v>
      </c>
      <c r="AI15" s="72">
        <f>IF(ISNUMBER(AH15),AH15*$M15,"")</f>
        <v>0</v>
      </c>
      <c r="AJ15" s="39"/>
      <c r="AK15" s="72">
        <f>IF($K15&lt;=$F$15,$F$34*10^4*$F$13*10^4,"")</f>
        <v>5529.9999999999991</v>
      </c>
      <c r="AL15" s="72">
        <f>IF(ISNUMBER(AK15),AK15*$M15,"")</f>
        <v>5368.9320388349506</v>
      </c>
      <c r="AM15" s="39"/>
      <c r="AN15" s="72">
        <f t="shared" ref="AN15:AN46" si="7">IF($K15&lt;=$F$15,$F$117*$F$35/100,"")</f>
        <v>0</v>
      </c>
      <c r="AO15" s="72">
        <f>IF(ISNUMBER(AN15),AN15*$M15,"")</f>
        <v>0</v>
      </c>
      <c r="AP15" s="39"/>
      <c r="AQ15" s="72">
        <f t="shared" ref="AQ15:AQ46" si="8">IF($K15&lt;=$F$15,SUM(AH15,AK15,AN15)*($F$36/100),"")</f>
        <v>0</v>
      </c>
      <c r="AR15" s="72">
        <f>IF(ISNUMBER(AQ15),AQ15*$M15,"")</f>
        <v>0</v>
      </c>
      <c r="AS15" s="39"/>
      <c r="AT15" s="40">
        <f>IF($K15&lt;=$F$15,IF($F$40&lt;&gt;"",$F$40/1000,IF(ISERROR(VLOOKUP($F$3&amp;IF($G$4&lt;&gt;"",$G$4,"")&amp;IF($F$43&lt;&gt;"","_"&amp;$F$43,""),'表3）燃料価格'!$AF$9:$AG$25,2,0)),0,VLOOKUP($I15,'表3）燃料価格'!$A$6:$U$66,VLOOKUP($F$3&amp;IF($G$4&lt;&gt;"",$G$4,"")&amp;IF($F$43&lt;&gt;"","_"&amp;$F$43,""),'表3）燃料価格'!$AF$9:$AG$25,2,0)+VLOOKUP($F$41,'表3）燃料価格'!$AF$28:$AG$29,2,0),0)*IF($F$43="需要地価格",1,$F$8/$F$141))),"")</f>
        <v>54.053092418621503</v>
      </c>
      <c r="AU15" s="39"/>
      <c r="AV15" s="72">
        <f t="shared" ref="AV15:AV46" si="9">IF($K15&lt;=$F$15,($AT15+$F$142)*$F$137,"")</f>
        <v>42161.277076156824</v>
      </c>
      <c r="AW15" s="72">
        <f t="shared" ref="AW15:AW78" si="10">IF(ISNUMBER(AV15),AV15*$M15,"")</f>
        <v>40933.278714715365</v>
      </c>
      <c r="AX15" s="39"/>
      <c r="AY15" s="40">
        <f>IF(ISERROR(IF($K15&lt;=$F$15,VLOOKUP($I15,'表4）CO2価格'!$A$7:$E$67,VLOOKUP($F$48,'表4）CO2価格'!$H$10:$I$12,2,0),0)*$F$8/1000,"")),0,IF($K15&lt;=$F$15,VLOOKUP($I15,'表4）CO2価格'!$A$7:$E$67,VLOOKUP($F$48,'表4）CO2価格'!$H$10:$I$12,2,0),0)*$F$8/1000,""))</f>
        <v>1.8297000000000001</v>
      </c>
      <c r="AZ15" s="39"/>
      <c r="BA15" s="42">
        <f t="shared" ref="BA15:BA46" si="11">IF($K15&lt;=$F$15,$F$145*AY15,"")</f>
        <v>3774.6333343975798</v>
      </c>
      <c r="BB15" s="72">
        <f>IF(ISNUMBER(BA15),BA15*$M15,"")</f>
        <v>3664.692557667553</v>
      </c>
      <c r="BC15" s="39"/>
      <c r="BD15" s="72">
        <f t="shared" ref="BD15:BD46" si="12">IF($K15&lt;=$F$15,($AT15+$F$152)*$F$151,"")</f>
        <v>20059.178940634356</v>
      </c>
      <c r="BE15" s="72">
        <f>IF(ISNUMBER(BD15),BD15*$M15,"")</f>
        <v>19474.931010324617</v>
      </c>
      <c r="BF15" s="39"/>
      <c r="BG15" s="42">
        <f t="shared" ref="BG15:BG46" si="13">IF($K15&lt;=$F$15,$F$153*AY15,"")</f>
        <v>1806.0446576064974</v>
      </c>
      <c r="BH15" s="72">
        <f>IF(ISNUMBER(BG15),BG15*$M15,"")</f>
        <v>1753.4414151519393</v>
      </c>
      <c r="BI15" s="39"/>
      <c r="BJ15" s="40" t="str">
        <f>IF(ISNUMBER($F$16),IF($K15&lt;=$F$16+$F$28,1/(1+($F$17/100))^K15,""),"")</f>
        <v/>
      </c>
      <c r="BK15" s="157" t="str">
        <f>IF(ISNUMBER($F$16),IF($K15&lt;=$F$16+$F$28,IF($K15&lt;=$F$16,SUM(Y15,AB15,AE15,AH15,AK15,AN15,AQ15,AV15,BA15,BD15,BG15),$F$27/$F$28*10^8)*BJ15,""),"")</f>
        <v/>
      </c>
      <c r="BL15" s="157" t="str">
        <f t="shared" ref="BL15:BL78" si="14">IF(AND(ISNUMBER(BJ15),$K15&lt;=$F$16),BQ15*BJ15,"")</f>
        <v/>
      </c>
      <c r="BM15" s="72"/>
      <c r="BN15" s="72" t="str">
        <f>IF(AND(ISNUMBER($F$16),$K15&lt;=$F$16),BQ15*($O$15+$BK$116)/$BL$116,"")</f>
        <v/>
      </c>
      <c r="BO15" s="72" t="str">
        <f>IF(ISNUMBER(BN15),BN15*$M15,"")</f>
        <v/>
      </c>
      <c r="BP15" s="39"/>
      <c r="BQ15" s="72">
        <f t="shared" ref="BQ15:BQ46" si="15">IF($K15&lt;=$F$15,$F$134,"")</f>
        <v>4439.5680000000002</v>
      </c>
      <c r="BR15" s="72">
        <f>IF(ISNUMBER(BQ15),BQ15*$M15,"")</f>
        <v>4310.260194174758</v>
      </c>
    </row>
    <row r="16" spans="1:70" x14ac:dyDescent="0.15">
      <c r="C16" s="236" t="s">
        <v>107</v>
      </c>
      <c r="F16" s="88" t="str">
        <f>IF(ISERROR(VLOOKUP(F3&amp;IF(G4&lt;&gt;"","_"&amp;G4,""),'表7）買取期間・IRR'!$A$3:$A$10,1,0)),"",VLOOKUP(F3&amp;IF(G4&lt;&gt;"","_"&amp;G4,""),'表7）買取期間・IRR'!$A$3:$C$10,IF(F7=2030,4,IF(F7=2020,3,IF(F7=2014,2,"-"))),0))</f>
        <v/>
      </c>
      <c r="G16" s="81" t="s">
        <v>108</v>
      </c>
      <c r="I16" s="322">
        <f>I15+1</f>
        <v>2021</v>
      </c>
      <c r="J16" s="71"/>
      <c r="K16" s="71">
        <f>IF(I16&lt;&gt;"",K15+1,"")</f>
        <v>2</v>
      </c>
      <c r="L16" s="71"/>
      <c r="M16" s="7">
        <f t="shared" si="0"/>
        <v>0.94259590913375435</v>
      </c>
      <c r="N16" s="71"/>
      <c r="O16" s="10">
        <f t="shared" ref="O16:O79" si="16">IF(K16&lt;=$F$15,O15-V15,"")</f>
        <v>381981.60000000003</v>
      </c>
      <c r="P16" s="29">
        <f t="shared" si="1"/>
        <v>0.41699999999999998</v>
      </c>
      <c r="Q16" s="71"/>
      <c r="R16" s="10">
        <f t="shared" ref="R16:R47" si="17">IF($K16&lt;=$F$15,MAX($F$117*5%,R15*$F$129),"")</f>
        <v>446382.56364677631</v>
      </c>
      <c r="S16" s="71"/>
      <c r="T16" s="10">
        <f t="shared" ref="T16:T79" si="18">IF(ISNUMBER(R16),ROUNDDOWN(R16,-3),"")</f>
        <v>446000</v>
      </c>
      <c r="U16" s="71"/>
      <c r="V16" s="10">
        <f t="shared" si="2"/>
        <v>159286.3272</v>
      </c>
      <c r="W16" s="10">
        <f t="shared" ref="W16:W79" si="19">IF(ISNUMBER(V16),V16*$M16,"")</f>
        <v>150142.64039966065</v>
      </c>
      <c r="X16" s="71"/>
      <c r="Y16" s="10">
        <f t="shared" si="3"/>
        <v>0</v>
      </c>
      <c r="Z16" s="10">
        <f t="shared" ref="Z16:Z79" si="20">IF(ISNUMBER(Y16),Y16*$M16,"")</f>
        <v>0</v>
      </c>
      <c r="AA16" s="71"/>
      <c r="AB16" s="10">
        <f t="shared" si="4"/>
        <v>0</v>
      </c>
      <c r="AC16" s="10">
        <f t="shared" ref="AC16:AC79" si="21">IF(ISNUMBER(AB16),AB16*$M16,"")</f>
        <v>0</v>
      </c>
      <c r="AD16" s="71"/>
      <c r="AE16" s="10">
        <f t="shared" si="5"/>
        <v>0</v>
      </c>
      <c r="AF16" s="10">
        <f t="shared" ref="AF16:AF79" si="22">IF(ISNUMBER(AE16),AE16*$M16,"")</f>
        <v>0</v>
      </c>
      <c r="AG16" s="71"/>
      <c r="AH16" s="10">
        <f t="shared" si="6"/>
        <v>0</v>
      </c>
      <c r="AI16" s="10">
        <f t="shared" ref="AI16:AI79" si="23">IF(ISNUMBER(AH16),AH16*$M16,"")</f>
        <v>0</v>
      </c>
      <c r="AJ16" s="71"/>
      <c r="AK16" s="10">
        <f t="shared" ref="AK16:AK79" si="24">IF($K16&lt;=$F$15,$F$34*10^4*$F$13*10^4,"")</f>
        <v>5529.9999999999991</v>
      </c>
      <c r="AL16" s="10">
        <f t="shared" ref="AL16:AL79" si="25">IF(ISNUMBER(AK16),AK16*$M16,"")</f>
        <v>5212.5553775096605</v>
      </c>
      <c r="AM16" s="71"/>
      <c r="AN16" s="10">
        <f t="shared" si="7"/>
        <v>0</v>
      </c>
      <c r="AO16" s="10">
        <f t="shared" ref="AO16:AO79" si="26">IF(ISNUMBER(AN16),AN16*$M16,"")</f>
        <v>0</v>
      </c>
      <c r="AP16" s="71"/>
      <c r="AQ16" s="10">
        <f t="shared" si="8"/>
        <v>0</v>
      </c>
      <c r="AR16" s="10">
        <f t="shared" ref="AR16:AR79" si="27">IF(ISNUMBER(AQ16),AQ16*$M16,"")</f>
        <v>0</v>
      </c>
      <c r="AS16" s="71"/>
      <c r="AT16" s="7">
        <f>IF($K16&lt;=$F$15,IF($F$40&lt;&gt;"",$F$40/1000,IF(ISERROR(VLOOKUP($F$3&amp;IF($G$4&lt;&gt;"",$G$4,"")&amp;IF($F$43&lt;&gt;"","_"&amp;$F$43,""),'表3）燃料価格'!$AF$9:$AG$25,2,0)),0,VLOOKUP($I16,'表3）燃料価格'!$A$6:$U$66,VLOOKUP($F$3&amp;IF($G$4&lt;&gt;"",$G$4,"")&amp;IF($F$43&lt;&gt;"","_"&amp;$F$43,""),'表3）燃料価格'!$AF$9:$AG$25,2,0)+VLOOKUP($F$41,'表3）燃料価格'!$AF$28:$AG$29,2,0),0)*IF($F$43="需要地価格",1,$F$8/$F$141))),"")</f>
        <v>53.216254837243</v>
      </c>
      <c r="AU16" s="71"/>
      <c r="AV16" s="10">
        <f t="shared" si="9"/>
        <v>41540.692695689882</v>
      </c>
      <c r="AW16" s="10">
        <f t="shared" si="10"/>
        <v>39156.086997539715</v>
      </c>
      <c r="AX16" s="71"/>
      <c r="AY16" s="7">
        <f>IF(ISERROR(IF($K16&lt;=$F$15,VLOOKUP($I16,'表4）CO2価格'!$A$7:$E$67,VLOOKUP($F$48,'表4）CO2価格'!$H$10:$I$12,2,0),0)*$F$8/1000,"")),0,IF($K16&lt;=$F$15,VLOOKUP($I16,'表4）CO2価格'!$A$7:$E$67,VLOOKUP($F$48,'表4）CO2価格'!$H$10:$I$12,2,0),0)*$F$8/1000,""))</f>
        <v>3.1243999999999805</v>
      </c>
      <c r="AZ16" s="71"/>
      <c r="BA16" s="11">
        <f t="shared" si="11"/>
        <v>6445.5727113689263</v>
      </c>
      <c r="BB16" s="10">
        <f t="shared" ref="BB16:BB79" si="28">IF(ISNUMBER(BA16),BA16*$M16,"")</f>
        <v>6075.5704697605115</v>
      </c>
      <c r="BC16" s="71"/>
      <c r="BD16" s="10">
        <f t="shared" si="12"/>
        <v>19763.921918104814</v>
      </c>
      <c r="BE16" s="10">
        <f t="shared" ref="BE16:BE79" si="29">IF(ISNUMBER(BD16),BD16*$M16,"")</f>
        <v>18629.39194844454</v>
      </c>
      <c r="BF16" s="71"/>
      <c r="BG16" s="11">
        <f t="shared" si="13"/>
        <v>3084.0060819947012</v>
      </c>
      <c r="BH16" s="10">
        <f t="shared" ref="BH16:BH79" si="30">IF(ISNUMBER(BG16),BG16*$M16,"")</f>
        <v>2906.9715166318233</v>
      </c>
      <c r="BJ16" s="7" t="str">
        <f t="shared" ref="BJ16:BJ79" si="31">IF(ISNUMBER($F$16),IF($K16&lt;=$F$16+$F$28,1/(1+($F$17/100))^K16,""),"")</f>
        <v/>
      </c>
      <c r="BK16" s="158" t="str">
        <f t="shared" ref="BK16:BK79" si="32">IF(ISNUMBER($F$16),IF($K16&lt;=$F$16+$F$28,IF($K16&lt;=$F$16,SUM(Y16,AB16,AE16,AH16,AK16,AN16,AQ16,AV16,BA16,BD16,BG16),$F$27/$F$28*10^8)*BJ16,""),"")</f>
        <v/>
      </c>
      <c r="BL16" s="158" t="str">
        <f t="shared" si="14"/>
        <v/>
      </c>
      <c r="BM16" s="10"/>
      <c r="BN16" s="10" t="str">
        <f t="shared" ref="BN16:BN79" si="33">IF(AND(ISNUMBER($F$16),$K16&lt;=$F$16),BQ16*($O$15+$BK$116)/$BL$116,"")</f>
        <v/>
      </c>
      <c r="BO16" s="10" t="str">
        <f t="shared" ref="BO16:BO79" si="34">IF(ISNUMBER(BN16),BN16*$M16,"")</f>
        <v/>
      </c>
      <c r="BQ16" s="10">
        <f t="shared" si="15"/>
        <v>4439.5680000000002</v>
      </c>
      <c r="BR16" s="10">
        <f t="shared" ref="BR16:BR79" si="35">IF(ISNUMBER(BQ16),BQ16*$M16,"")</f>
        <v>4184.718635121124</v>
      </c>
    </row>
    <row r="17" spans="3:70" x14ac:dyDescent="0.15">
      <c r="C17" s="9" t="s">
        <v>109</v>
      </c>
      <c r="F17" s="143" t="str">
        <f>IF(ISERROR(VLOOKUP(F3&amp;IF(G4&lt;&gt;"","_"&amp;G4,""),'表7）買取期間・IRR'!$A$14:$A$21,1,0)),"",VLOOKUP(F3&amp;IF(G4&lt;&gt;"","_"&amp;G4,""),'表7）買取期間・IRR'!$A$14:$C$21,IF(F7=2030,4,IF(F7=2020,3,IF(F7=2014,2,"-"))),0))</f>
        <v/>
      </c>
      <c r="G17" s="81" t="s">
        <v>172</v>
      </c>
      <c r="I17" s="38">
        <f t="shared" ref="I17:I80" si="36">I16+1</f>
        <v>2022</v>
      </c>
      <c r="J17" s="39"/>
      <c r="K17" s="39">
        <f t="shared" ref="K17:K80" si="37">IF(I17&lt;&gt;"",K16+1,"")</f>
        <v>3</v>
      </c>
      <c r="L17" s="39"/>
      <c r="M17" s="40">
        <f t="shared" si="0"/>
        <v>0.91514165935315961</v>
      </c>
      <c r="N17" s="39"/>
      <c r="O17" s="72">
        <f t="shared" si="16"/>
        <v>222695.27280000004</v>
      </c>
      <c r="P17" s="41">
        <f t="shared" si="1"/>
        <v>0.41699999999999998</v>
      </c>
      <c r="Q17" s="39"/>
      <c r="R17" s="72">
        <f t="shared" si="17"/>
        <v>304116.90037830936</v>
      </c>
      <c r="S17" s="39"/>
      <c r="T17" s="72">
        <f t="shared" si="18"/>
        <v>304000</v>
      </c>
      <c r="U17" s="39"/>
      <c r="V17" s="72">
        <f t="shared" si="2"/>
        <v>92863.928757600006</v>
      </c>
      <c r="W17" s="72">
        <f t="shared" si="19"/>
        <v>84983.649857283672</v>
      </c>
      <c r="X17" s="39"/>
      <c r="Y17" s="72">
        <f t="shared" si="3"/>
        <v>0</v>
      </c>
      <c r="Z17" s="72">
        <f t="shared" si="20"/>
        <v>0</v>
      </c>
      <c r="AA17" s="39"/>
      <c r="AB17" s="72">
        <f t="shared" si="4"/>
        <v>0</v>
      </c>
      <c r="AC17" s="72">
        <f t="shared" si="21"/>
        <v>0</v>
      </c>
      <c r="AD17" s="39"/>
      <c r="AE17" s="72">
        <f t="shared" si="5"/>
        <v>0</v>
      </c>
      <c r="AF17" s="72">
        <f t="shared" si="22"/>
        <v>0</v>
      </c>
      <c r="AG17" s="39"/>
      <c r="AH17" s="72">
        <f t="shared" si="6"/>
        <v>0</v>
      </c>
      <c r="AI17" s="72">
        <f t="shared" si="23"/>
        <v>0</v>
      </c>
      <c r="AJ17" s="39"/>
      <c r="AK17" s="72">
        <f t="shared" si="24"/>
        <v>5529.9999999999991</v>
      </c>
      <c r="AL17" s="72">
        <f t="shared" si="25"/>
        <v>5060.7333762229719</v>
      </c>
      <c r="AM17" s="39"/>
      <c r="AN17" s="72">
        <f t="shared" si="7"/>
        <v>0</v>
      </c>
      <c r="AO17" s="72">
        <f t="shared" si="26"/>
        <v>0</v>
      </c>
      <c r="AP17" s="39"/>
      <c r="AQ17" s="72">
        <f t="shared" si="8"/>
        <v>0</v>
      </c>
      <c r="AR17" s="72">
        <f t="shared" si="27"/>
        <v>0</v>
      </c>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52.379417255864496</v>
      </c>
      <c r="AU17" s="39"/>
      <c r="AV17" s="72">
        <f t="shared" si="9"/>
        <v>40920.10831522294</v>
      </c>
      <c r="AW17" s="72">
        <f t="shared" si="10"/>
        <v>37447.695824504146</v>
      </c>
      <c r="AX17" s="39"/>
      <c r="AY17" s="40">
        <f>IF(ISERROR(IF($K17&lt;=$F$15,VLOOKUP($I17,'表4）CO2価格'!$A$7:$E$67,VLOOKUP($F$48,'表4）CO2価格'!$H$10:$I$12,2,0),0)*$F$8/1000,"")),0,IF($K17&lt;=$F$15,VLOOKUP($I17,'表4）CO2価格'!$A$7:$E$67,VLOOKUP($F$48,'表4）CO2価格'!$H$10:$I$12,2,0),0)*$F$8/1000,""))</f>
        <v>3.2528000000000099</v>
      </c>
      <c r="AZ17" s="39"/>
      <c r="BA17" s="42">
        <f t="shared" si="11"/>
        <v>6710.4592611512735</v>
      </c>
      <c r="BB17" s="72">
        <f t="shared" si="28"/>
        <v>6141.0208232717541</v>
      </c>
      <c r="BC17" s="39"/>
      <c r="BD17" s="72">
        <f t="shared" si="12"/>
        <v>19468.664895575272</v>
      </c>
      <c r="BE17" s="72">
        <f t="shared" si="29"/>
        <v>17816.586297927362</v>
      </c>
      <c r="BF17" s="39"/>
      <c r="BG17" s="42">
        <f t="shared" si="13"/>
        <v>3210.746057967116</v>
      </c>
      <c r="BH17" s="72">
        <f t="shared" si="30"/>
        <v>2938.2874752496427</v>
      </c>
      <c r="BI17" s="39"/>
      <c r="BJ17" s="40" t="str">
        <f t="shared" si="31"/>
        <v/>
      </c>
      <c r="BK17" s="157" t="str">
        <f t="shared" si="32"/>
        <v/>
      </c>
      <c r="BL17" s="157" t="str">
        <f t="shared" si="14"/>
        <v/>
      </c>
      <c r="BM17" s="72"/>
      <c r="BN17" s="72" t="str">
        <f t="shared" si="33"/>
        <v/>
      </c>
      <c r="BO17" s="72" t="str">
        <f t="shared" si="34"/>
        <v/>
      </c>
      <c r="BP17" s="39"/>
      <c r="BQ17" s="72">
        <f t="shared" si="15"/>
        <v>4439.5680000000002</v>
      </c>
      <c r="BR17" s="72">
        <f t="shared" si="35"/>
        <v>4062.8336263311885</v>
      </c>
    </row>
    <row r="18" spans="3:70" x14ac:dyDescent="0.15">
      <c r="I18" s="322">
        <f t="shared" si="36"/>
        <v>2023</v>
      </c>
      <c r="J18" s="71"/>
      <c r="K18" s="71">
        <f t="shared" si="37"/>
        <v>4</v>
      </c>
      <c r="L18" s="71"/>
      <c r="M18" s="7">
        <f t="shared" si="0"/>
        <v>0.888487047915689</v>
      </c>
      <c r="N18" s="71"/>
      <c r="O18" s="10">
        <f t="shared" si="16"/>
        <v>129831.34404240003</v>
      </c>
      <c r="P18" s="29">
        <f t="shared" si="1"/>
        <v>0.41699999999999998</v>
      </c>
      <c r="Q18" s="71"/>
      <c r="R18" s="10">
        <f t="shared" si="17"/>
        <v>207192.43229423231</v>
      </c>
      <c r="S18" s="71"/>
      <c r="T18" s="10">
        <f t="shared" si="18"/>
        <v>207000</v>
      </c>
      <c r="U18" s="71"/>
      <c r="V18" s="10">
        <f t="shared" si="2"/>
        <v>54139.670465680807</v>
      </c>
      <c r="W18" s="10">
        <f t="shared" si="19"/>
        <v>48102.395987180957</v>
      </c>
      <c r="X18" s="71"/>
      <c r="Y18" s="10">
        <f t="shared" si="3"/>
        <v>0</v>
      </c>
      <c r="Z18" s="10">
        <f t="shared" si="20"/>
        <v>0</v>
      </c>
      <c r="AA18" s="71"/>
      <c r="AB18" s="10">
        <f t="shared" si="4"/>
        <v>0</v>
      </c>
      <c r="AC18" s="10">
        <f t="shared" si="21"/>
        <v>0</v>
      </c>
      <c r="AD18" s="71"/>
      <c r="AE18" s="10">
        <f t="shared" si="5"/>
        <v>0</v>
      </c>
      <c r="AF18" s="10">
        <f t="shared" si="22"/>
        <v>0</v>
      </c>
      <c r="AG18" s="71"/>
      <c r="AH18" s="10">
        <f t="shared" si="6"/>
        <v>0</v>
      </c>
      <c r="AI18" s="10">
        <f t="shared" si="23"/>
        <v>0</v>
      </c>
      <c r="AJ18" s="71"/>
      <c r="AK18" s="10">
        <f t="shared" si="24"/>
        <v>5529.9999999999991</v>
      </c>
      <c r="AL18" s="10">
        <f t="shared" si="25"/>
        <v>4913.3333749737594</v>
      </c>
      <c r="AM18" s="71"/>
      <c r="AN18" s="10">
        <f t="shared" si="7"/>
        <v>0</v>
      </c>
      <c r="AO18" s="10">
        <f t="shared" si="26"/>
        <v>0</v>
      </c>
      <c r="AP18" s="71"/>
      <c r="AQ18" s="10">
        <f t="shared" si="8"/>
        <v>0</v>
      </c>
      <c r="AR18" s="10">
        <f t="shared" si="27"/>
        <v>0</v>
      </c>
      <c r="AS18" s="71"/>
      <c r="AT18" s="7">
        <f>IF($K18&lt;=$F$15,IF($F$40&lt;&gt;"",$F$40/1000,IF(ISERROR(VLOOKUP($F$3&amp;IF($G$4&lt;&gt;"",$G$4,"")&amp;IF($F$43&lt;&gt;"","_"&amp;$F$43,""),'表3）燃料価格'!$AF$9:$AG$25,2,0)),0,VLOOKUP($I18,'表3）燃料価格'!$A$6:$U$66,VLOOKUP($F$3&amp;IF($G$4&lt;&gt;"",$G$4,"")&amp;IF($F$43&lt;&gt;"","_"&amp;$F$43,""),'表3）燃料価格'!$AF$9:$AG$25,2,0)+VLOOKUP($F$41,'表3）燃料価格'!$AF$28:$AG$29,2,0),0)*IF($F$43="需要地価格",1,$F$8/$F$141))),"")</f>
        <v>51.542579674485992</v>
      </c>
      <c r="AU18" s="71"/>
      <c r="AV18" s="10">
        <f t="shared" si="9"/>
        <v>40299.523934755998</v>
      </c>
      <c r="AW18" s="10">
        <f t="shared" si="10"/>
        <v>35805.605053199011</v>
      </c>
      <c r="AX18" s="71"/>
      <c r="AY18" s="7">
        <f>IF(ISERROR(IF($K18&lt;=$F$15,VLOOKUP($I18,'表4）CO2価格'!$A$7:$E$67,VLOOKUP($F$48,'表4）CO2価格'!$H$10:$I$12,2,0),0)*$F$8/1000,"")),0,IF($K18&lt;=$F$15,VLOOKUP($I18,'表4）CO2価格'!$A$7:$E$67,VLOOKUP($F$48,'表4）CO2価格'!$H$10:$I$12,2,0),0)*$F$8/1000,""))</f>
        <v>3.3811999999999904</v>
      </c>
      <c r="AZ18" s="71"/>
      <c r="BA18" s="11">
        <f t="shared" si="11"/>
        <v>6975.3458109335197</v>
      </c>
      <c r="BB18" s="10">
        <f t="shared" si="28"/>
        <v>6197.5044077473904</v>
      </c>
      <c r="BC18" s="71"/>
      <c r="BD18" s="10">
        <f t="shared" si="12"/>
        <v>19173.40787304573</v>
      </c>
      <c r="BE18" s="10">
        <f t="shared" si="29"/>
        <v>17035.32455960583</v>
      </c>
      <c r="BF18" s="71"/>
      <c r="BG18" s="11">
        <f t="shared" si="13"/>
        <v>3337.4860339394822</v>
      </c>
      <c r="BH18" s="10">
        <f t="shared" si="30"/>
        <v>2965.3131137547316</v>
      </c>
      <c r="BJ18" s="7" t="str">
        <f t="shared" si="31"/>
        <v/>
      </c>
      <c r="BK18" s="158" t="str">
        <f t="shared" si="32"/>
        <v/>
      </c>
      <c r="BL18" s="158" t="str">
        <f t="shared" si="14"/>
        <v/>
      </c>
      <c r="BM18" s="10"/>
      <c r="BN18" s="10" t="str">
        <f t="shared" si="33"/>
        <v/>
      </c>
      <c r="BO18" s="10" t="str">
        <f t="shared" si="34"/>
        <v/>
      </c>
      <c r="BQ18" s="10">
        <f t="shared" si="15"/>
        <v>4439.5680000000002</v>
      </c>
      <c r="BR18" s="10">
        <f t="shared" si="35"/>
        <v>3944.49866634096</v>
      </c>
    </row>
    <row r="19" spans="3:70" x14ac:dyDescent="0.15">
      <c r="C19" s="89" t="s">
        <v>371</v>
      </c>
      <c r="D19" s="101"/>
      <c r="E19" s="101"/>
      <c r="F19" s="89"/>
      <c r="G19" s="101"/>
      <c r="I19" s="38">
        <f t="shared" si="36"/>
        <v>2024</v>
      </c>
      <c r="J19" s="39"/>
      <c r="K19" s="39">
        <f t="shared" si="37"/>
        <v>5</v>
      </c>
      <c r="L19" s="39"/>
      <c r="M19" s="40">
        <f t="shared" si="0"/>
        <v>0.86260878438416411</v>
      </c>
      <c r="N19" s="39"/>
      <c r="O19" s="72">
        <f t="shared" si="16"/>
        <v>75691.673576719215</v>
      </c>
      <c r="P19" s="41">
        <f t="shared" si="1"/>
        <v>0.5</v>
      </c>
      <c r="Q19" s="39"/>
      <c r="R19" s="72">
        <f t="shared" si="17"/>
        <v>141158.56089088909</v>
      </c>
      <c r="S19" s="39"/>
      <c r="T19" s="72">
        <f t="shared" si="18"/>
        <v>141000</v>
      </c>
      <c r="U19" s="39"/>
      <c r="V19" s="72">
        <f t="shared" si="2"/>
        <v>37845.836788359607</v>
      </c>
      <c r="W19" s="72">
        <f t="shared" si="19"/>
        <v>32646.151266008357</v>
      </c>
      <c r="X19" s="39"/>
      <c r="Y19" s="72">
        <f t="shared" si="3"/>
        <v>0</v>
      </c>
      <c r="Z19" s="72">
        <f t="shared" si="20"/>
        <v>0</v>
      </c>
      <c r="AA19" s="39"/>
      <c r="AB19" s="72">
        <f t="shared" si="4"/>
        <v>0</v>
      </c>
      <c r="AC19" s="72">
        <f t="shared" si="21"/>
        <v>0</v>
      </c>
      <c r="AD19" s="39"/>
      <c r="AE19" s="72">
        <f t="shared" si="5"/>
        <v>0</v>
      </c>
      <c r="AF19" s="72">
        <f t="shared" si="22"/>
        <v>0</v>
      </c>
      <c r="AG19" s="39"/>
      <c r="AH19" s="72">
        <f t="shared" si="6"/>
        <v>0</v>
      </c>
      <c r="AI19" s="72">
        <f t="shared" si="23"/>
        <v>0</v>
      </c>
      <c r="AJ19" s="39"/>
      <c r="AK19" s="72">
        <f t="shared" si="24"/>
        <v>5529.9999999999991</v>
      </c>
      <c r="AL19" s="72">
        <f t="shared" si="25"/>
        <v>4770.2265776444265</v>
      </c>
      <c r="AM19" s="39"/>
      <c r="AN19" s="72">
        <f t="shared" si="7"/>
        <v>0</v>
      </c>
      <c r="AO19" s="72">
        <f t="shared" si="26"/>
        <v>0</v>
      </c>
      <c r="AP19" s="39"/>
      <c r="AQ19" s="72">
        <f t="shared" si="8"/>
        <v>0</v>
      </c>
      <c r="AR19" s="72">
        <f t="shared" si="27"/>
        <v>0</v>
      </c>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50.705742093107496</v>
      </c>
      <c r="AU19" s="39"/>
      <c r="AV19" s="72">
        <f t="shared" si="9"/>
        <v>39678.939554289056</v>
      </c>
      <c r="AW19" s="72">
        <f t="shared" si="10"/>
        <v>34227.401814578006</v>
      </c>
      <c r="AX19" s="39"/>
      <c r="AY19" s="40">
        <f>IF(ISERROR(IF($K19&lt;=$F$15,VLOOKUP($I19,'表4）CO2価格'!$A$7:$E$67,VLOOKUP($F$48,'表4）CO2価格'!$H$10:$I$12,2,0),0)*$F$8/1000,"")),0,IF($K19&lt;=$F$15,VLOOKUP($I19,'表4）CO2価格'!$A$7:$E$67,VLOOKUP($F$48,'表4）CO2価格'!$H$10:$I$12,2,0),0)*$F$8/1000,""))</f>
        <v>3.509599999999971</v>
      </c>
      <c r="AZ19" s="39"/>
      <c r="BA19" s="42">
        <f t="shared" si="11"/>
        <v>7240.2323607157659</v>
      </c>
      <c r="BB19" s="72">
        <f t="shared" si="28"/>
        <v>6245.488035335914</v>
      </c>
      <c r="BC19" s="39"/>
      <c r="BD19" s="72">
        <f t="shared" si="12"/>
        <v>18878.150850516191</v>
      </c>
      <c r="BE19" s="72">
        <f t="shared" si="29"/>
        <v>16284.458756584645</v>
      </c>
      <c r="BF19" s="39"/>
      <c r="BG19" s="42">
        <f t="shared" si="13"/>
        <v>3464.2260099118489</v>
      </c>
      <c r="BH19" s="72">
        <f t="shared" si="30"/>
        <v>2988.2717872420631</v>
      </c>
      <c r="BI19" s="39"/>
      <c r="BJ19" s="40" t="str">
        <f t="shared" si="31"/>
        <v/>
      </c>
      <c r="BK19" s="157" t="str">
        <f t="shared" si="32"/>
        <v/>
      </c>
      <c r="BL19" s="157" t="str">
        <f t="shared" si="14"/>
        <v/>
      </c>
      <c r="BM19" s="72"/>
      <c r="BN19" s="72" t="str">
        <f t="shared" si="33"/>
        <v/>
      </c>
      <c r="BO19" s="72" t="str">
        <f t="shared" si="34"/>
        <v/>
      </c>
      <c r="BP19" s="39"/>
      <c r="BQ19" s="72">
        <f t="shared" si="15"/>
        <v>4439.5680000000002</v>
      </c>
      <c r="BR19" s="72">
        <f t="shared" si="35"/>
        <v>3829.6103556708349</v>
      </c>
    </row>
    <row r="20" spans="3:70" x14ac:dyDescent="0.15">
      <c r="I20" s="322">
        <f t="shared" si="36"/>
        <v>2025</v>
      </c>
      <c r="J20" s="71"/>
      <c r="K20" s="71">
        <f t="shared" si="37"/>
        <v>6</v>
      </c>
      <c r="L20" s="71"/>
      <c r="M20" s="7">
        <f t="shared" si="0"/>
        <v>0.83748425668365445</v>
      </c>
      <c r="N20" s="71"/>
      <c r="O20" s="10">
        <f t="shared" si="16"/>
        <v>37845.836788359607</v>
      </c>
      <c r="P20" s="29" t="str">
        <f t="shared" si="1"/>
        <v>-</v>
      </c>
      <c r="Q20" s="71"/>
      <c r="R20" s="10">
        <f t="shared" si="17"/>
        <v>96170.208014598044</v>
      </c>
      <c r="S20" s="71"/>
      <c r="T20" s="10">
        <f t="shared" si="18"/>
        <v>96000</v>
      </c>
      <c r="U20" s="71"/>
      <c r="V20" s="10">
        <f t="shared" si="2"/>
        <v>37845.836788359607</v>
      </c>
      <c r="W20" s="10">
        <f t="shared" si="19"/>
        <v>31695.292491270251</v>
      </c>
      <c r="X20" s="71"/>
      <c r="Y20" s="10">
        <f t="shared" si="3"/>
        <v>0</v>
      </c>
      <c r="Z20" s="10">
        <f t="shared" si="20"/>
        <v>0</v>
      </c>
      <c r="AA20" s="71"/>
      <c r="AB20" s="10">
        <f t="shared" si="4"/>
        <v>0</v>
      </c>
      <c r="AC20" s="10">
        <f t="shared" si="21"/>
        <v>0</v>
      </c>
      <c r="AD20" s="71"/>
      <c r="AE20" s="10">
        <f t="shared" si="5"/>
        <v>0</v>
      </c>
      <c r="AF20" s="10">
        <f t="shared" si="22"/>
        <v>0</v>
      </c>
      <c r="AG20" s="71"/>
      <c r="AH20" s="10">
        <f t="shared" si="6"/>
        <v>0</v>
      </c>
      <c r="AI20" s="10">
        <f t="shared" si="23"/>
        <v>0</v>
      </c>
      <c r="AJ20" s="71"/>
      <c r="AK20" s="10">
        <f t="shared" si="24"/>
        <v>5529.9999999999991</v>
      </c>
      <c r="AL20" s="10">
        <f t="shared" si="25"/>
        <v>4631.287939460608</v>
      </c>
      <c r="AM20" s="71"/>
      <c r="AN20" s="10">
        <f t="shared" si="7"/>
        <v>0</v>
      </c>
      <c r="AO20" s="10">
        <f t="shared" si="26"/>
        <v>0</v>
      </c>
      <c r="AP20" s="71"/>
      <c r="AQ20" s="10">
        <f t="shared" si="8"/>
        <v>0</v>
      </c>
      <c r="AR20" s="10">
        <f t="shared" si="27"/>
        <v>0</v>
      </c>
      <c r="AS20" s="71"/>
      <c r="AT20" s="7">
        <f>IF($K20&lt;=$F$15,IF($F$40&lt;&gt;"",$F$40/1000,IF(ISERROR(VLOOKUP($F$3&amp;IF($G$4&lt;&gt;"",$G$4,"")&amp;IF($F$43&lt;&gt;"","_"&amp;$F$43,""),'表3）燃料価格'!$AF$9:$AG$25,2,0)),0,VLOOKUP($I20,'表3）燃料価格'!$A$6:$U$66,VLOOKUP($F$3&amp;IF($G$4&lt;&gt;"",$G$4,"")&amp;IF($F$43&lt;&gt;"","_"&amp;$F$43,""),'表3）燃料価格'!$AF$9:$AG$25,2,0)+VLOOKUP($F$41,'表3）燃料価格'!$AF$28:$AG$29,2,0),0)*IF($F$43="需要地価格",1,$F$8/$F$141))),"")</f>
        <v>49.868904511728999</v>
      </c>
      <c r="AU20" s="71"/>
      <c r="AV20" s="10">
        <f t="shared" si="9"/>
        <v>39058.355173822121</v>
      </c>
      <c r="AW20" s="10">
        <f t="shared" si="10"/>
        <v>32710.757550034588</v>
      </c>
      <c r="AX20" s="71"/>
      <c r="AY20" s="7">
        <f>IF(ISERROR(IF($K20&lt;=$F$15,VLOOKUP($I20,'表4）CO2価格'!$A$7:$E$67,VLOOKUP($F$48,'表4）CO2価格'!$H$10:$I$12,2,0),0)*$F$8/1000,"")),0,IF($K20&lt;=$F$15,VLOOKUP($I20,'表4）CO2価格'!$A$7:$E$67,VLOOKUP($F$48,'表4）CO2価格'!$H$10:$I$12,2,0),0)*$F$8/1000,""))</f>
        <v>3.6379999999999999</v>
      </c>
      <c r="AZ20" s="71"/>
      <c r="BA20" s="11">
        <f t="shared" si="11"/>
        <v>7505.1189104981113</v>
      </c>
      <c r="BB20" s="10">
        <f t="shared" si="28"/>
        <v>6285.4189320809492</v>
      </c>
      <c r="BC20" s="71"/>
      <c r="BD20" s="10">
        <f t="shared" si="12"/>
        <v>18582.893827986649</v>
      </c>
      <c r="BE20" s="10">
        <f t="shared" si="29"/>
        <v>15562.881024562668</v>
      </c>
      <c r="BF20" s="71"/>
      <c r="BG20" s="11">
        <f t="shared" si="13"/>
        <v>3590.9659858842633</v>
      </c>
      <c r="BH20" s="10">
        <f t="shared" si="30"/>
        <v>3007.3774794645688</v>
      </c>
      <c r="BJ20" s="7" t="str">
        <f t="shared" si="31"/>
        <v/>
      </c>
      <c r="BK20" s="158" t="str">
        <f t="shared" si="32"/>
        <v/>
      </c>
      <c r="BL20" s="158" t="str">
        <f t="shared" si="14"/>
        <v/>
      </c>
      <c r="BM20" s="10"/>
      <c r="BN20" s="10" t="str">
        <f t="shared" si="33"/>
        <v/>
      </c>
      <c r="BO20" s="10" t="str">
        <f t="shared" si="34"/>
        <v/>
      </c>
      <c r="BQ20" s="10">
        <f t="shared" si="15"/>
        <v>4439.5680000000002</v>
      </c>
      <c r="BR20" s="10">
        <f t="shared" si="35"/>
        <v>3718.0683064765385</v>
      </c>
    </row>
    <row r="21" spans="3:70" x14ac:dyDescent="0.15">
      <c r="D21" s="81" t="s">
        <v>110</v>
      </c>
      <c r="F21" s="67">
        <v>93.6</v>
      </c>
      <c r="G21" s="81" t="s">
        <v>174</v>
      </c>
      <c r="I21" s="38">
        <f t="shared" si="36"/>
        <v>2026</v>
      </c>
      <c r="J21" s="39"/>
      <c r="K21" s="39">
        <f t="shared" si="37"/>
        <v>7</v>
      </c>
      <c r="L21" s="39"/>
      <c r="M21" s="40">
        <f t="shared" si="0"/>
        <v>0.81309151134335378</v>
      </c>
      <c r="N21" s="39"/>
      <c r="O21" s="72">
        <f t="shared" si="16"/>
        <v>0</v>
      </c>
      <c r="P21" s="41" t="str">
        <f t="shared" si="1"/>
        <v>-</v>
      </c>
      <c r="Q21" s="39"/>
      <c r="R21" s="72">
        <f t="shared" si="17"/>
        <v>65520.000000000036</v>
      </c>
      <c r="S21" s="39"/>
      <c r="T21" s="72">
        <f t="shared" si="18"/>
        <v>65000</v>
      </c>
      <c r="U21" s="39"/>
      <c r="V21" s="72">
        <f t="shared" si="2"/>
        <v>0</v>
      </c>
      <c r="W21" s="72">
        <f t="shared" si="19"/>
        <v>0</v>
      </c>
      <c r="X21" s="39"/>
      <c r="Y21" s="72">
        <f t="shared" si="3"/>
        <v>0</v>
      </c>
      <c r="Z21" s="72">
        <f t="shared" si="20"/>
        <v>0</v>
      </c>
      <c r="AA21" s="39"/>
      <c r="AB21" s="72">
        <f t="shared" si="4"/>
        <v>0</v>
      </c>
      <c r="AC21" s="72">
        <f t="shared" si="21"/>
        <v>0</v>
      </c>
      <c r="AD21" s="39"/>
      <c r="AE21" s="72">
        <f t="shared" si="5"/>
        <v>0</v>
      </c>
      <c r="AF21" s="72">
        <f t="shared" si="22"/>
        <v>0</v>
      </c>
      <c r="AG21" s="39"/>
      <c r="AH21" s="72">
        <f t="shared" si="6"/>
        <v>0</v>
      </c>
      <c r="AI21" s="72">
        <f t="shared" si="23"/>
        <v>0</v>
      </c>
      <c r="AJ21" s="39"/>
      <c r="AK21" s="72">
        <f t="shared" si="24"/>
        <v>5529.9999999999991</v>
      </c>
      <c r="AL21" s="72">
        <f t="shared" si="25"/>
        <v>4496.3960577287453</v>
      </c>
      <c r="AM21" s="39"/>
      <c r="AN21" s="72">
        <f t="shared" si="7"/>
        <v>0</v>
      </c>
      <c r="AO21" s="72">
        <f t="shared" si="26"/>
        <v>0</v>
      </c>
      <c r="AP21" s="39"/>
      <c r="AQ21" s="72">
        <f t="shared" si="8"/>
        <v>0</v>
      </c>
      <c r="AR21" s="72">
        <f t="shared" si="27"/>
        <v>0</v>
      </c>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49.794518948939796</v>
      </c>
      <c r="AU21" s="39"/>
      <c r="AV21" s="72">
        <f t="shared" si="9"/>
        <v>39003.192117780614</v>
      </c>
      <c r="AW21" s="72">
        <f t="shared" si="10"/>
        <v>31713.164426261425</v>
      </c>
      <c r="AX21" s="39"/>
      <c r="AY21" s="40">
        <f>IF(ISERROR(IF($K21&lt;=$F$15,VLOOKUP($I21,'表4）CO2価格'!$A$7:$E$67,VLOOKUP($F$48,'表4）CO2価格'!$H$10:$I$12,2,0),0)*$F$8/1000,"")),0,IF($K21&lt;=$F$15,VLOOKUP($I21,'表4）CO2価格'!$A$7:$E$67,VLOOKUP($F$48,'表4）CO2価格'!$H$10:$I$12,2,0),0)*$F$8/1000,""))</f>
        <v>3.7663999999999804</v>
      </c>
      <c r="AZ21" s="39"/>
      <c r="BA21" s="42">
        <f t="shared" si="11"/>
        <v>7770.0054602803575</v>
      </c>
      <c r="BB21" s="72">
        <f t="shared" si="28"/>
        <v>6317.725482845467</v>
      </c>
      <c r="BC21" s="39"/>
      <c r="BD21" s="72">
        <f t="shared" si="12"/>
        <v>18556.648759317355</v>
      </c>
      <c r="BE21" s="72">
        <f t="shared" si="29"/>
        <v>15088.253585181119</v>
      </c>
      <c r="BF21" s="39"/>
      <c r="BG21" s="42">
        <f t="shared" si="13"/>
        <v>3717.70596185663</v>
      </c>
      <c r="BH21" s="72">
        <f t="shared" si="30"/>
        <v>3022.835159256204</v>
      </c>
      <c r="BI21" s="39"/>
      <c r="BJ21" s="40" t="str">
        <f t="shared" si="31"/>
        <v/>
      </c>
      <c r="BK21" s="157" t="str">
        <f t="shared" si="32"/>
        <v/>
      </c>
      <c r="BL21" s="157" t="str">
        <f t="shared" si="14"/>
        <v/>
      </c>
      <c r="BM21" s="72"/>
      <c r="BN21" s="72" t="str">
        <f t="shared" si="33"/>
        <v/>
      </c>
      <c r="BO21" s="72" t="str">
        <f t="shared" si="34"/>
        <v/>
      </c>
      <c r="BP21" s="39"/>
      <c r="BQ21" s="72">
        <f t="shared" si="15"/>
        <v>4439.5680000000002</v>
      </c>
      <c r="BR21" s="72">
        <f t="shared" si="35"/>
        <v>3609.7750548315908</v>
      </c>
    </row>
    <row r="22" spans="3:70" ht="16.5" x14ac:dyDescent="0.15">
      <c r="D22" s="81" t="s">
        <v>111</v>
      </c>
      <c r="F22" s="148">
        <v>54.7</v>
      </c>
      <c r="G22" s="9" t="s">
        <v>372</v>
      </c>
      <c r="I22" s="322">
        <f t="shared" si="36"/>
        <v>2027</v>
      </c>
      <c r="J22" s="71"/>
      <c r="K22" s="71">
        <f t="shared" si="37"/>
        <v>8</v>
      </c>
      <c r="L22" s="71"/>
      <c r="M22" s="7">
        <f t="shared" si="0"/>
        <v>0.78940923431393573</v>
      </c>
      <c r="N22" s="71"/>
      <c r="O22" s="10">
        <f t="shared" si="16"/>
        <v>0</v>
      </c>
      <c r="P22" s="29" t="str">
        <f t="shared" si="1"/>
        <v>-</v>
      </c>
      <c r="Q22" s="71"/>
      <c r="R22" s="10">
        <f t="shared" si="17"/>
        <v>44638.256364677654</v>
      </c>
      <c r="S22" s="71"/>
      <c r="T22" s="10">
        <f t="shared" si="18"/>
        <v>44000</v>
      </c>
      <c r="U22" s="71"/>
      <c r="V22" s="10">
        <f t="shared" si="2"/>
        <v>0</v>
      </c>
      <c r="W22" s="10">
        <f t="shared" si="19"/>
        <v>0</v>
      </c>
      <c r="X22" s="71"/>
      <c r="Y22" s="10">
        <f t="shared" si="3"/>
        <v>0</v>
      </c>
      <c r="Z22" s="10">
        <f t="shared" si="20"/>
        <v>0</v>
      </c>
      <c r="AA22" s="71"/>
      <c r="AB22" s="10">
        <f t="shared" si="4"/>
        <v>0</v>
      </c>
      <c r="AC22" s="10">
        <f t="shared" si="21"/>
        <v>0</v>
      </c>
      <c r="AD22" s="71"/>
      <c r="AE22" s="10">
        <f t="shared" si="5"/>
        <v>0</v>
      </c>
      <c r="AF22" s="10">
        <f t="shared" si="22"/>
        <v>0</v>
      </c>
      <c r="AG22" s="71"/>
      <c r="AH22" s="10">
        <f t="shared" si="6"/>
        <v>0</v>
      </c>
      <c r="AI22" s="10">
        <f t="shared" si="23"/>
        <v>0</v>
      </c>
      <c r="AJ22" s="71"/>
      <c r="AK22" s="10">
        <f t="shared" si="24"/>
        <v>5529.9999999999991</v>
      </c>
      <c r="AL22" s="10">
        <f t="shared" si="25"/>
        <v>4365.433065756064</v>
      </c>
      <c r="AM22" s="71"/>
      <c r="AN22" s="10">
        <f t="shared" si="7"/>
        <v>0</v>
      </c>
      <c r="AO22" s="10">
        <f t="shared" si="26"/>
        <v>0</v>
      </c>
      <c r="AP22" s="71"/>
      <c r="AQ22" s="10">
        <f t="shared" si="8"/>
        <v>0</v>
      </c>
      <c r="AR22" s="10">
        <f t="shared" si="27"/>
        <v>0</v>
      </c>
      <c r="AS22" s="71"/>
      <c r="AT22" s="7">
        <f>IF($K22&lt;=$F$15,IF($F$40&lt;&gt;"",$F$40/1000,IF(ISERROR(VLOOKUP($F$3&amp;IF($G$4&lt;&gt;"",$G$4,"")&amp;IF($F$43&lt;&gt;"","_"&amp;$F$43,""),'表3）燃料価格'!$AF$9:$AG$25,2,0)),0,VLOOKUP($I22,'表3）燃料価格'!$A$6:$U$66,VLOOKUP($F$3&amp;IF($G$4&lt;&gt;"",$G$4,"")&amp;IF($F$43&lt;&gt;"","_"&amp;$F$43,""),'表3）燃料価格'!$AF$9:$AG$25,2,0)+VLOOKUP($F$41,'表3）燃料価格'!$AF$28:$AG$29,2,0),0)*IF($F$43="需要地価格",1,$F$8/$F$141))),"")</f>
        <v>49.720133386150593</v>
      </c>
      <c r="AU22" s="71"/>
      <c r="AV22" s="10">
        <f t="shared" si="9"/>
        <v>38948.029061739107</v>
      </c>
      <c r="AW22" s="10">
        <f t="shared" si="10"/>
        <v>30745.933799664384</v>
      </c>
      <c r="AX22" s="71"/>
      <c r="AY22" s="7">
        <f>IF(ISERROR(IF($K22&lt;=$F$15,VLOOKUP($I22,'表4）CO2価格'!$A$7:$E$67,VLOOKUP($F$48,'表4）CO2価格'!$H$10:$I$12,2,0),0)*$F$8/1000,"")),0,IF($K22&lt;=$F$15,VLOOKUP($I22,'表4）CO2価格'!$A$7:$E$67,VLOOKUP($F$48,'表4）CO2価格'!$H$10:$I$12,2,0),0)*$F$8/1000,""))</f>
        <v>3.8948000000000098</v>
      </c>
      <c r="AZ22" s="71"/>
      <c r="BA22" s="11">
        <f t="shared" si="11"/>
        <v>8034.8920100627047</v>
      </c>
      <c r="BB22" s="10">
        <f t="shared" si="28"/>
        <v>6342.8179494587594</v>
      </c>
      <c r="BC22" s="71"/>
      <c r="BD22" s="10">
        <f t="shared" si="12"/>
        <v>18530.403690648061</v>
      </c>
      <c r="BE22" s="10">
        <f t="shared" si="29"/>
        <v>14628.071788962616</v>
      </c>
      <c r="BF22" s="71"/>
      <c r="BG22" s="11">
        <f t="shared" si="13"/>
        <v>3844.4459378290449</v>
      </c>
      <c r="BH22" s="10">
        <f t="shared" si="30"/>
        <v>3034.8411241429467</v>
      </c>
      <c r="BJ22" s="7" t="str">
        <f t="shared" si="31"/>
        <v/>
      </c>
      <c r="BK22" s="158" t="str">
        <f t="shared" si="32"/>
        <v/>
      </c>
      <c r="BL22" s="158" t="str">
        <f t="shared" si="14"/>
        <v/>
      </c>
      <c r="BM22" s="10"/>
      <c r="BN22" s="10" t="str">
        <f t="shared" si="33"/>
        <v/>
      </c>
      <c r="BO22" s="10" t="str">
        <f t="shared" si="34"/>
        <v/>
      </c>
      <c r="BQ22" s="10">
        <f t="shared" si="15"/>
        <v>4439.5680000000002</v>
      </c>
      <c r="BR22" s="10">
        <f t="shared" si="35"/>
        <v>3504.6359755646513</v>
      </c>
    </row>
    <row r="23" spans="3:70" x14ac:dyDescent="0.15">
      <c r="D23" s="81" t="s">
        <v>112</v>
      </c>
      <c r="F23" s="147">
        <v>39.4</v>
      </c>
      <c r="G23" s="81" t="s">
        <v>172</v>
      </c>
      <c r="I23" s="38">
        <f t="shared" si="36"/>
        <v>2028</v>
      </c>
      <c r="J23" s="39"/>
      <c r="K23" s="39">
        <f t="shared" si="37"/>
        <v>9</v>
      </c>
      <c r="L23" s="39"/>
      <c r="M23" s="40">
        <f t="shared" si="0"/>
        <v>0.76641673234362695</v>
      </c>
      <c r="N23" s="39"/>
      <c r="O23" s="72">
        <f t="shared" si="16"/>
        <v>0</v>
      </c>
      <c r="P23" s="41" t="str">
        <f t="shared" si="1"/>
        <v>-</v>
      </c>
      <c r="Q23" s="39"/>
      <c r="R23" s="72">
        <f t="shared" si="17"/>
        <v>32760</v>
      </c>
      <c r="S23" s="39"/>
      <c r="T23" s="72">
        <f t="shared" si="18"/>
        <v>32000</v>
      </c>
      <c r="U23" s="39"/>
      <c r="V23" s="72">
        <f t="shared" si="2"/>
        <v>0</v>
      </c>
      <c r="W23" s="72">
        <f t="shared" si="19"/>
        <v>0</v>
      </c>
      <c r="X23" s="39"/>
      <c r="Y23" s="72">
        <f t="shared" si="3"/>
        <v>0</v>
      </c>
      <c r="Z23" s="72">
        <f t="shared" si="20"/>
        <v>0</v>
      </c>
      <c r="AA23" s="39"/>
      <c r="AB23" s="72">
        <f t="shared" si="4"/>
        <v>0</v>
      </c>
      <c r="AC23" s="72">
        <f t="shared" si="21"/>
        <v>0</v>
      </c>
      <c r="AD23" s="39"/>
      <c r="AE23" s="72">
        <f t="shared" si="5"/>
        <v>0</v>
      </c>
      <c r="AF23" s="72">
        <f t="shared" si="22"/>
        <v>0</v>
      </c>
      <c r="AG23" s="39"/>
      <c r="AH23" s="72">
        <f t="shared" si="6"/>
        <v>0</v>
      </c>
      <c r="AI23" s="72">
        <f t="shared" si="23"/>
        <v>0</v>
      </c>
      <c r="AJ23" s="39"/>
      <c r="AK23" s="72">
        <f t="shared" si="24"/>
        <v>5529.9999999999991</v>
      </c>
      <c r="AL23" s="72">
        <f t="shared" si="25"/>
        <v>4238.284529860256</v>
      </c>
      <c r="AM23" s="39"/>
      <c r="AN23" s="72">
        <f t="shared" si="7"/>
        <v>0</v>
      </c>
      <c r="AO23" s="72">
        <f t="shared" si="26"/>
        <v>0</v>
      </c>
      <c r="AP23" s="39"/>
      <c r="AQ23" s="72">
        <f t="shared" si="8"/>
        <v>0</v>
      </c>
      <c r="AR23" s="72">
        <f t="shared" si="27"/>
        <v>0</v>
      </c>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49.645747823361397</v>
      </c>
      <c r="AU23" s="39"/>
      <c r="AV23" s="72">
        <f t="shared" si="9"/>
        <v>38892.8660056976</v>
      </c>
      <c r="AW23" s="72">
        <f t="shared" si="10"/>
        <v>29808.143275565286</v>
      </c>
      <c r="AX23" s="39"/>
      <c r="AY23" s="40">
        <f>IF(ISERROR(IF($K23&lt;=$F$15,VLOOKUP($I23,'表4）CO2価格'!$A$7:$E$67,VLOOKUP($F$48,'表4）CO2価格'!$H$10:$I$12,2,0),0)*$F$8/1000,"")),0,IF($K23&lt;=$F$15,VLOOKUP($I23,'表4）CO2価格'!$A$7:$E$67,VLOOKUP($F$48,'表4）CO2価格'!$H$10:$I$12,2,0),0)*$F$8/1000,""))</f>
        <v>4.0231999999999903</v>
      </c>
      <c r="AZ23" s="39"/>
      <c r="BA23" s="42">
        <f t="shared" si="11"/>
        <v>8299.77855984495</v>
      </c>
      <c r="BB23" s="72">
        <f t="shared" si="28"/>
        <v>6361.0891630120605</v>
      </c>
      <c r="BC23" s="39"/>
      <c r="BD23" s="72">
        <f t="shared" si="12"/>
        <v>18504.158621978771</v>
      </c>
      <c r="BE23" s="72">
        <f t="shared" si="29"/>
        <v>14181.896785825122</v>
      </c>
      <c r="BF23" s="39"/>
      <c r="BG23" s="42">
        <f t="shared" si="13"/>
        <v>3971.1859138014111</v>
      </c>
      <c r="BH23" s="72">
        <f t="shared" si="30"/>
        <v>3043.5833315847176</v>
      </c>
      <c r="BI23" s="39"/>
      <c r="BJ23" s="40" t="str">
        <f t="shared" si="31"/>
        <v/>
      </c>
      <c r="BK23" s="157" t="str">
        <f t="shared" si="32"/>
        <v/>
      </c>
      <c r="BL23" s="157" t="str">
        <f t="shared" si="14"/>
        <v/>
      </c>
      <c r="BM23" s="72"/>
      <c r="BN23" s="72" t="str">
        <f t="shared" si="33"/>
        <v/>
      </c>
      <c r="BO23" s="72" t="str">
        <f t="shared" si="34"/>
        <v/>
      </c>
      <c r="BP23" s="39"/>
      <c r="BQ23" s="72">
        <f t="shared" si="15"/>
        <v>4439.5680000000002</v>
      </c>
      <c r="BR23" s="72">
        <f t="shared" si="35"/>
        <v>3402.5591995773316</v>
      </c>
    </row>
    <row r="24" spans="3:70" x14ac:dyDescent="0.15">
      <c r="D24" s="81" t="s">
        <v>113</v>
      </c>
      <c r="F24" s="106">
        <v>0</v>
      </c>
      <c r="G24" s="81" t="s">
        <v>172</v>
      </c>
      <c r="I24" s="322">
        <f t="shared" si="36"/>
        <v>2029</v>
      </c>
      <c r="J24" s="71"/>
      <c r="K24" s="71">
        <f t="shared" si="37"/>
        <v>10</v>
      </c>
      <c r="L24" s="71"/>
      <c r="M24" s="7">
        <f t="shared" si="0"/>
        <v>0.74409391489672516</v>
      </c>
      <c r="N24" s="71"/>
      <c r="O24" s="10">
        <f t="shared" si="16"/>
        <v>0</v>
      </c>
      <c r="P24" s="29" t="str">
        <f t="shared" si="1"/>
        <v>-</v>
      </c>
      <c r="Q24" s="71"/>
      <c r="R24" s="10">
        <f t="shared" si="17"/>
        <v>32760</v>
      </c>
      <c r="S24" s="71"/>
      <c r="T24" s="10">
        <f t="shared" si="18"/>
        <v>32000</v>
      </c>
      <c r="U24" s="71"/>
      <c r="V24" s="10">
        <f t="shared" si="2"/>
        <v>0</v>
      </c>
      <c r="W24" s="10">
        <f t="shared" si="19"/>
        <v>0</v>
      </c>
      <c r="X24" s="71"/>
      <c r="Y24" s="10">
        <f t="shared" si="3"/>
        <v>0</v>
      </c>
      <c r="Z24" s="10">
        <f t="shared" si="20"/>
        <v>0</v>
      </c>
      <c r="AA24" s="71"/>
      <c r="AB24" s="10">
        <f t="shared" si="4"/>
        <v>0</v>
      </c>
      <c r="AC24" s="10">
        <f t="shared" si="21"/>
        <v>0</v>
      </c>
      <c r="AD24" s="71"/>
      <c r="AE24" s="10">
        <f t="shared" si="5"/>
        <v>0</v>
      </c>
      <c r="AF24" s="10">
        <f t="shared" si="22"/>
        <v>0</v>
      </c>
      <c r="AG24" s="71"/>
      <c r="AH24" s="10">
        <f t="shared" si="6"/>
        <v>0</v>
      </c>
      <c r="AI24" s="10">
        <f t="shared" si="23"/>
        <v>0</v>
      </c>
      <c r="AJ24" s="71"/>
      <c r="AK24" s="10">
        <f t="shared" si="24"/>
        <v>5529.9999999999991</v>
      </c>
      <c r="AL24" s="10">
        <f t="shared" si="25"/>
        <v>4114.8393493788899</v>
      </c>
      <c r="AM24" s="71"/>
      <c r="AN24" s="10">
        <f t="shared" si="7"/>
        <v>0</v>
      </c>
      <c r="AO24" s="10">
        <f t="shared" si="26"/>
        <v>0</v>
      </c>
      <c r="AP24" s="71"/>
      <c r="AQ24" s="10">
        <f t="shared" si="8"/>
        <v>0</v>
      </c>
      <c r="AR24" s="10">
        <f t="shared" si="27"/>
        <v>0</v>
      </c>
      <c r="AS24" s="71"/>
      <c r="AT24" s="7">
        <f>IF($K24&lt;=$F$15,IF($F$40&lt;&gt;"",$F$40/1000,IF(ISERROR(VLOOKUP($F$3&amp;IF($G$4&lt;&gt;"",$G$4,"")&amp;IF($F$43&lt;&gt;"","_"&amp;$F$43,""),'表3）燃料価格'!$AF$9:$AG$25,2,0)),0,VLOOKUP($I24,'表3）燃料価格'!$A$6:$U$66,VLOOKUP($F$3&amp;IF($G$4&lt;&gt;"",$G$4,"")&amp;IF($F$43&lt;&gt;"","_"&amp;$F$43,""),'表3）燃料価格'!$AF$9:$AG$25,2,0)+VLOOKUP($F$41,'表3）燃料価格'!$AF$28:$AG$29,2,0),0)*IF($F$43="需要地価格",1,$F$8/$F$141))),"")</f>
        <v>49.571362260572194</v>
      </c>
      <c r="AU24" s="71"/>
      <c r="AV24" s="10">
        <f t="shared" si="9"/>
        <v>38837.702949656094</v>
      </c>
      <c r="AW24" s="10">
        <f t="shared" si="10"/>
        <v>28898.898433405691</v>
      </c>
      <c r="AX24" s="71"/>
      <c r="AY24" s="7">
        <f>IF(ISERROR(IF($K24&lt;=$F$15,VLOOKUP($I24,'表4）CO2価格'!$A$7:$E$67,VLOOKUP($F$48,'表4）CO2価格'!$H$10:$I$12,2,0),0)*$F$8/1000,"")),0,IF($K24&lt;=$F$15,VLOOKUP($I24,'表4）CO2価格'!$A$7:$E$67,VLOOKUP($F$48,'表4）CO2価格'!$H$10:$I$12,2,0),0)*$F$8/1000,""))</f>
        <v>4.1515999999999709</v>
      </c>
      <c r="AZ24" s="71"/>
      <c r="BA24" s="11">
        <f t="shared" si="11"/>
        <v>8564.6651096271962</v>
      </c>
      <c r="BB24" s="10">
        <f t="shared" si="28"/>
        <v>6372.9151912018906</v>
      </c>
      <c r="BC24" s="71"/>
      <c r="BD24" s="10">
        <f t="shared" si="12"/>
        <v>18477.913553309478</v>
      </c>
      <c r="BE24" s="10">
        <f t="shared" si="29"/>
        <v>13749.303035005307</v>
      </c>
      <c r="BF24" s="71"/>
      <c r="BG24" s="11">
        <f t="shared" si="13"/>
        <v>4097.9258897737782</v>
      </c>
      <c r="BH24" s="10">
        <f t="shared" si="30"/>
        <v>3049.2417182784166</v>
      </c>
      <c r="BJ24" s="7" t="str">
        <f t="shared" si="31"/>
        <v/>
      </c>
      <c r="BK24" s="158" t="str">
        <f t="shared" si="32"/>
        <v/>
      </c>
      <c r="BL24" s="158" t="str">
        <f t="shared" si="14"/>
        <v/>
      </c>
      <c r="BM24" s="10"/>
      <c r="BN24" s="10" t="str">
        <f t="shared" si="33"/>
        <v/>
      </c>
      <c r="BO24" s="10" t="str">
        <f t="shared" si="34"/>
        <v/>
      </c>
      <c r="BQ24" s="10">
        <f t="shared" si="15"/>
        <v>4439.5680000000002</v>
      </c>
      <c r="BR24" s="10">
        <f t="shared" si="35"/>
        <v>3303.4555335702244</v>
      </c>
    </row>
    <row r="25" spans="3:70" x14ac:dyDescent="0.15">
      <c r="D25" s="81" t="s">
        <v>114</v>
      </c>
      <c r="F25" s="66">
        <v>0</v>
      </c>
      <c r="G25" s="81" t="s">
        <v>172</v>
      </c>
      <c r="I25" s="38">
        <f t="shared" si="36"/>
        <v>2030</v>
      </c>
      <c r="J25" s="39"/>
      <c r="K25" s="39">
        <f t="shared" si="37"/>
        <v>11</v>
      </c>
      <c r="L25" s="39"/>
      <c r="M25" s="40">
        <f t="shared" si="0"/>
        <v>0.72242127659876232</v>
      </c>
      <c r="N25" s="39"/>
      <c r="O25" s="72">
        <f t="shared" si="16"/>
        <v>0</v>
      </c>
      <c r="P25" s="41" t="str">
        <f t="shared" si="1"/>
        <v>-</v>
      </c>
      <c r="Q25" s="39"/>
      <c r="R25" s="72">
        <f t="shared" si="17"/>
        <v>32760</v>
      </c>
      <c r="S25" s="39"/>
      <c r="T25" s="72">
        <f t="shared" si="18"/>
        <v>32000</v>
      </c>
      <c r="U25" s="39"/>
      <c r="V25" s="72">
        <f t="shared" si="2"/>
        <v>0</v>
      </c>
      <c r="W25" s="72">
        <f t="shared" si="19"/>
        <v>0</v>
      </c>
      <c r="X25" s="39"/>
      <c r="Y25" s="72">
        <f t="shared" si="3"/>
        <v>0</v>
      </c>
      <c r="Z25" s="72">
        <f t="shared" si="20"/>
        <v>0</v>
      </c>
      <c r="AA25" s="39"/>
      <c r="AB25" s="72">
        <f t="shared" si="4"/>
        <v>0</v>
      </c>
      <c r="AC25" s="72">
        <f t="shared" si="21"/>
        <v>0</v>
      </c>
      <c r="AD25" s="39"/>
      <c r="AE25" s="72">
        <f t="shared" si="5"/>
        <v>0</v>
      </c>
      <c r="AF25" s="72">
        <f t="shared" si="22"/>
        <v>0</v>
      </c>
      <c r="AG25" s="39"/>
      <c r="AH25" s="72">
        <f t="shared" si="6"/>
        <v>0</v>
      </c>
      <c r="AI25" s="72">
        <f t="shared" si="23"/>
        <v>0</v>
      </c>
      <c r="AJ25" s="39"/>
      <c r="AK25" s="72">
        <f t="shared" si="24"/>
        <v>5529.9999999999991</v>
      </c>
      <c r="AL25" s="72">
        <f t="shared" si="25"/>
        <v>3994.989659591155</v>
      </c>
      <c r="AM25" s="39"/>
      <c r="AN25" s="72">
        <f t="shared" si="7"/>
        <v>0</v>
      </c>
      <c r="AO25" s="72">
        <f t="shared" si="26"/>
        <v>0</v>
      </c>
      <c r="AP25" s="39"/>
      <c r="AQ25" s="72">
        <f t="shared" si="8"/>
        <v>0</v>
      </c>
      <c r="AR25" s="72">
        <f t="shared" si="27"/>
        <v>0</v>
      </c>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49.496976697782991</v>
      </c>
      <c r="AU25" s="39"/>
      <c r="AV25" s="72">
        <f t="shared" si="9"/>
        <v>38782.539893614587</v>
      </c>
      <c r="AW25" s="72">
        <f t="shared" si="10"/>
        <v>28017.331979687478</v>
      </c>
      <c r="AX25" s="39"/>
      <c r="AY25" s="40">
        <f>IF(ISERROR(IF($K25&lt;=$F$15,VLOOKUP($I25,'表4）CO2価格'!$A$7:$E$67,VLOOKUP($F$48,'表4）CO2価格'!$H$10:$I$12,2,0),0)*$F$8/1000,"")),0,IF($K25&lt;=$F$15,VLOOKUP($I25,'表4）CO2価格'!$A$7:$E$67,VLOOKUP($F$48,'表4）CO2価格'!$H$10:$I$12,2,0),0)*$F$8/1000,""))</f>
        <v>4.28</v>
      </c>
      <c r="AZ25" s="39"/>
      <c r="BA25" s="42">
        <f t="shared" si="11"/>
        <v>8829.5516594095443</v>
      </c>
      <c r="BB25" s="72">
        <f t="shared" si="28"/>
        <v>6378.6559815853634</v>
      </c>
      <c r="BC25" s="39"/>
      <c r="BD25" s="72">
        <f t="shared" si="12"/>
        <v>18451.668484640184</v>
      </c>
      <c r="BE25" s="72">
        <f t="shared" si="29"/>
        <v>13329.877902050912</v>
      </c>
      <c r="BF25" s="39"/>
      <c r="BG25" s="42">
        <f t="shared" si="13"/>
        <v>4224.6658657461921</v>
      </c>
      <c r="BH25" s="72">
        <f t="shared" si="30"/>
        <v>3051.9885079355795</v>
      </c>
      <c r="BI25" s="39"/>
      <c r="BJ25" s="40" t="str">
        <f t="shared" si="31"/>
        <v/>
      </c>
      <c r="BK25" s="157" t="str">
        <f t="shared" si="32"/>
        <v/>
      </c>
      <c r="BL25" s="157" t="str">
        <f t="shared" si="14"/>
        <v/>
      </c>
      <c r="BM25" s="72"/>
      <c r="BN25" s="72" t="str">
        <f t="shared" si="33"/>
        <v/>
      </c>
      <c r="BO25" s="72" t="str">
        <f t="shared" si="34"/>
        <v/>
      </c>
      <c r="BP25" s="39"/>
      <c r="BQ25" s="72">
        <f t="shared" si="15"/>
        <v>4439.5680000000002</v>
      </c>
      <c r="BR25" s="72">
        <f t="shared" si="35"/>
        <v>3207.2383821070143</v>
      </c>
    </row>
    <row r="26" spans="3:70" x14ac:dyDescent="0.15">
      <c r="D26" s="81" t="s">
        <v>115</v>
      </c>
      <c r="F26" s="59"/>
      <c r="G26" s="81" t="s">
        <v>175</v>
      </c>
      <c r="I26" s="322">
        <f t="shared" si="36"/>
        <v>2031</v>
      </c>
      <c r="J26" s="71"/>
      <c r="K26" s="71">
        <f t="shared" si="37"/>
        <v>12</v>
      </c>
      <c r="L26" s="71"/>
      <c r="M26" s="7">
        <f t="shared" si="0"/>
        <v>0.70137988019297326</v>
      </c>
      <c r="N26" s="71"/>
      <c r="O26" s="10">
        <f t="shared" si="16"/>
        <v>0</v>
      </c>
      <c r="P26" s="29" t="str">
        <f t="shared" si="1"/>
        <v>-</v>
      </c>
      <c r="Q26" s="71"/>
      <c r="R26" s="10">
        <f t="shared" si="17"/>
        <v>32760</v>
      </c>
      <c r="S26" s="71"/>
      <c r="T26" s="10">
        <f t="shared" si="18"/>
        <v>32000</v>
      </c>
      <c r="U26" s="71"/>
      <c r="V26" s="10">
        <f t="shared" si="2"/>
        <v>0</v>
      </c>
      <c r="W26" s="10">
        <f t="shared" si="19"/>
        <v>0</v>
      </c>
      <c r="X26" s="71"/>
      <c r="Y26" s="10">
        <f t="shared" si="3"/>
        <v>0</v>
      </c>
      <c r="Z26" s="10">
        <f t="shared" si="20"/>
        <v>0</v>
      </c>
      <c r="AA26" s="71"/>
      <c r="AB26" s="10">
        <f t="shared" si="4"/>
        <v>0</v>
      </c>
      <c r="AC26" s="10">
        <f t="shared" si="21"/>
        <v>0</v>
      </c>
      <c r="AD26" s="71"/>
      <c r="AE26" s="10">
        <f t="shared" si="5"/>
        <v>0</v>
      </c>
      <c r="AF26" s="10">
        <f t="shared" si="22"/>
        <v>0</v>
      </c>
      <c r="AG26" s="71"/>
      <c r="AH26" s="10">
        <f t="shared" si="6"/>
        <v>0</v>
      </c>
      <c r="AI26" s="10">
        <f t="shared" si="23"/>
        <v>0</v>
      </c>
      <c r="AJ26" s="71"/>
      <c r="AK26" s="10">
        <f t="shared" si="24"/>
        <v>5529.9999999999991</v>
      </c>
      <c r="AL26" s="10">
        <f t="shared" si="25"/>
        <v>3878.6307374671414</v>
      </c>
      <c r="AM26" s="71"/>
      <c r="AN26" s="10">
        <f t="shared" si="7"/>
        <v>0</v>
      </c>
      <c r="AO26" s="10">
        <f t="shared" si="26"/>
        <v>0</v>
      </c>
      <c r="AP26" s="71"/>
      <c r="AQ26" s="10">
        <f t="shared" si="8"/>
        <v>0</v>
      </c>
      <c r="AR26" s="10">
        <f t="shared" si="27"/>
        <v>0</v>
      </c>
      <c r="AS26" s="71"/>
      <c r="AT26" s="7">
        <f>IF($K26&lt;=$F$15,IF($F$40&lt;&gt;"",$F$40/1000,IF(ISERROR(VLOOKUP($F$3&amp;IF($G$4&lt;&gt;"",$G$4,"")&amp;IF($F$43&lt;&gt;"","_"&amp;$F$43,""),'表3）燃料価格'!$AF$9:$AG$25,2,0)),0,VLOOKUP($I26,'表3）燃料価格'!$A$6:$U$66,VLOOKUP($F$3&amp;IF($G$4&lt;&gt;"",$G$4,"")&amp;IF($F$43&lt;&gt;"","_"&amp;$F$43,""),'表3）燃料価格'!$AF$9:$AG$25,2,0)+VLOOKUP($F$41,'表3）燃料価格'!$AF$28:$AG$29,2,0),0)*IF($F$43="需要地価格",1,$F$8/$F$141))),"")</f>
        <v>49.422591134993795</v>
      </c>
      <c r="AU26" s="71"/>
      <c r="AV26" s="10">
        <f t="shared" si="9"/>
        <v>38727.376837573087</v>
      </c>
      <c r="AW26" s="10">
        <f t="shared" si="10"/>
        <v>27162.602926525138</v>
      </c>
      <c r="AX26" s="71"/>
      <c r="AY26" s="7">
        <f>IF(ISERROR(IF($K26&lt;=$F$15,VLOOKUP($I26,'表4）CO2価格'!$A$7:$E$67,VLOOKUP($F$48,'表4）CO2価格'!$H$10:$I$12,2,0),0)*$F$8/1000,"")),0,IF($K26&lt;=$F$15,VLOOKUP($I26,'表4）CO2価格'!$A$7:$E$67,VLOOKUP($F$48,'表4）CO2価格'!$H$10:$I$12,2,0),0)*$F$8/1000,""))</f>
        <v>4.4083999999999808</v>
      </c>
      <c r="AZ26" s="71"/>
      <c r="BA26" s="11">
        <f t="shared" si="11"/>
        <v>9094.4382091917905</v>
      </c>
      <c r="BB26" s="10">
        <f t="shared" si="28"/>
        <v>6378.6559815853361</v>
      </c>
      <c r="BC26" s="71"/>
      <c r="BD26" s="10">
        <f t="shared" si="12"/>
        <v>18425.423415970894</v>
      </c>
      <c r="BE26" s="10">
        <f t="shared" si="29"/>
        <v>12923.22126799847</v>
      </c>
      <c r="BF26" s="71"/>
      <c r="BG26" s="11">
        <f t="shared" si="13"/>
        <v>4351.4058417185588</v>
      </c>
      <c r="BH26" s="10">
        <f t="shared" si="30"/>
        <v>3051.9885079355668</v>
      </c>
      <c r="BJ26" s="7" t="str">
        <f t="shared" si="31"/>
        <v/>
      </c>
      <c r="BK26" s="158" t="str">
        <f t="shared" si="32"/>
        <v/>
      </c>
      <c r="BL26" s="158" t="str">
        <f t="shared" si="14"/>
        <v/>
      </c>
      <c r="BM26" s="10"/>
      <c r="BN26" s="10" t="str">
        <f t="shared" si="33"/>
        <v/>
      </c>
      <c r="BO26" s="10" t="str">
        <f t="shared" si="34"/>
        <v/>
      </c>
      <c r="BQ26" s="10">
        <f t="shared" si="15"/>
        <v>4439.5680000000002</v>
      </c>
      <c r="BR26" s="10">
        <f t="shared" si="35"/>
        <v>3113.8236719485581</v>
      </c>
    </row>
    <row r="27" spans="3:70" x14ac:dyDescent="0.15">
      <c r="D27" s="82" t="s">
        <v>86</v>
      </c>
      <c r="F27" s="107">
        <v>5.6999999999999998E-4</v>
      </c>
      <c r="G27" s="81" t="s">
        <v>176</v>
      </c>
      <c r="I27" s="38">
        <f t="shared" si="36"/>
        <v>2032</v>
      </c>
      <c r="J27" s="39"/>
      <c r="K27" s="39">
        <f t="shared" si="37"/>
        <v>13</v>
      </c>
      <c r="L27" s="39"/>
      <c r="M27" s="40">
        <f t="shared" si="0"/>
        <v>0.68095133999317792</v>
      </c>
      <c r="N27" s="39"/>
      <c r="O27" s="72" t="str">
        <f t="shared" si="16"/>
        <v/>
      </c>
      <c r="P27" s="41" t="str">
        <f t="shared" si="1"/>
        <v/>
      </c>
      <c r="Q27" s="39"/>
      <c r="R27" s="72" t="str">
        <f t="shared" si="17"/>
        <v/>
      </c>
      <c r="S27" s="39"/>
      <c r="T27" s="72" t="str">
        <f t="shared" si="18"/>
        <v/>
      </c>
      <c r="U27" s="39"/>
      <c r="V27" s="72" t="str">
        <f t="shared" si="2"/>
        <v/>
      </c>
      <c r="W27" s="72" t="str">
        <f t="shared" si="19"/>
        <v/>
      </c>
      <c r="X27" s="39"/>
      <c r="Y27" s="72" t="str">
        <f t="shared" si="3"/>
        <v/>
      </c>
      <c r="Z27" s="72" t="str">
        <f t="shared" si="20"/>
        <v/>
      </c>
      <c r="AA27" s="39"/>
      <c r="AB27" s="72">
        <f t="shared" si="4"/>
        <v>57000</v>
      </c>
      <c r="AC27" s="72">
        <f t="shared" si="21"/>
        <v>38814.226379611144</v>
      </c>
      <c r="AD27" s="39"/>
      <c r="AE27" s="72" t="str">
        <f t="shared" si="5"/>
        <v/>
      </c>
      <c r="AF27" s="72" t="str">
        <f t="shared" si="22"/>
        <v/>
      </c>
      <c r="AG27" s="39"/>
      <c r="AH27" s="72" t="str">
        <f t="shared" si="6"/>
        <v/>
      </c>
      <c r="AI27" s="72" t="str">
        <f t="shared" si="23"/>
        <v/>
      </c>
      <c r="AJ27" s="39"/>
      <c r="AK27" s="72" t="str">
        <f t="shared" si="24"/>
        <v/>
      </c>
      <c r="AL27" s="72" t="str">
        <f t="shared" si="25"/>
        <v/>
      </c>
      <c r="AM27" s="39"/>
      <c r="AN27" s="72" t="str">
        <f t="shared" si="7"/>
        <v/>
      </c>
      <c r="AO27" s="72" t="str">
        <f t="shared" si="26"/>
        <v/>
      </c>
      <c r="AP27" s="39"/>
      <c r="AQ27" s="72" t="str">
        <f t="shared" si="8"/>
        <v/>
      </c>
      <c r="AR27" s="72" t="str">
        <f t="shared" si="27"/>
        <v/>
      </c>
      <c r="AS27" s="39"/>
      <c r="AT27" s="40" t="str">
        <f>IF($K27&lt;=$F$15,IF($F$40&lt;&gt;"",$F$40/1000,IF(ISERROR(VLOOKUP($F$3&amp;IF($G$4&lt;&gt;"",$G$4,"")&amp;IF($F$43&lt;&gt;"","_"&amp;$F$43,""),'表3）燃料価格'!$AF$9:$AG$25,2,0)),0,VLOOKUP($I27,'表3）燃料価格'!$A$6:$U$66,VLOOKUP($F$3&amp;IF($G$4&lt;&gt;"",$G$4,"")&amp;IF($F$43&lt;&gt;"","_"&amp;$F$43,""),'表3）燃料価格'!$AF$9:$AG$25,2,0)+VLOOKUP($F$41,'表3）燃料価格'!$AF$28:$AG$29,2,0),0)*IF($F$43="需要地価格",1,$F$8/$F$141))),"")</f>
        <v/>
      </c>
      <c r="AU27" s="39"/>
      <c r="AV27" s="72" t="str">
        <f t="shared" si="9"/>
        <v/>
      </c>
      <c r="AW27" s="72" t="str">
        <f t="shared" si="10"/>
        <v/>
      </c>
      <c r="AX27" s="39"/>
      <c r="AY27" s="40" t="str">
        <f>IF(ISERROR(IF($K27&lt;=$F$15,VLOOKUP($I27,'表4）CO2価格'!$A$7:$E$67,VLOOKUP($F$48,'表4）CO2価格'!$H$10:$I$12,2,0),0)*$F$8/1000,"")),0,IF($K27&lt;=$F$15,VLOOKUP($I27,'表4）CO2価格'!$A$7:$E$67,VLOOKUP($F$48,'表4）CO2価格'!$H$10:$I$12,2,0),0)*$F$8/1000,""))</f>
        <v/>
      </c>
      <c r="AZ27" s="39"/>
      <c r="BA27" s="42" t="str">
        <f t="shared" si="11"/>
        <v/>
      </c>
      <c r="BB27" s="72" t="str">
        <f t="shared" si="28"/>
        <v/>
      </c>
      <c r="BC27" s="39"/>
      <c r="BD27" s="72" t="str">
        <f t="shared" si="12"/>
        <v/>
      </c>
      <c r="BE27" s="72" t="str">
        <f t="shared" si="29"/>
        <v/>
      </c>
      <c r="BF27" s="39"/>
      <c r="BG27" s="42" t="str">
        <f t="shared" si="13"/>
        <v/>
      </c>
      <c r="BH27" s="72" t="str">
        <f t="shared" si="30"/>
        <v/>
      </c>
      <c r="BI27" s="39"/>
      <c r="BJ27" s="40" t="str">
        <f t="shared" si="31"/>
        <v/>
      </c>
      <c r="BK27" s="157" t="str">
        <f t="shared" si="32"/>
        <v/>
      </c>
      <c r="BL27" s="157" t="str">
        <f t="shared" si="14"/>
        <v/>
      </c>
      <c r="BM27" s="72"/>
      <c r="BN27" s="72" t="str">
        <f t="shared" si="33"/>
        <v/>
      </c>
      <c r="BO27" s="72" t="str">
        <f t="shared" si="34"/>
        <v/>
      </c>
      <c r="BP27" s="39"/>
      <c r="BQ27" s="72" t="str">
        <f t="shared" si="15"/>
        <v/>
      </c>
      <c r="BR27" s="72" t="str">
        <f t="shared" si="35"/>
        <v/>
      </c>
    </row>
    <row r="28" spans="3:70" x14ac:dyDescent="0.15">
      <c r="D28" s="81" t="s">
        <v>116</v>
      </c>
      <c r="F28" s="59">
        <v>1</v>
      </c>
      <c r="G28" s="81" t="s">
        <v>108</v>
      </c>
      <c r="I28" s="322">
        <f t="shared" si="36"/>
        <v>2033</v>
      </c>
      <c r="J28" s="71"/>
      <c r="K28" s="71">
        <f t="shared" si="37"/>
        <v>14</v>
      </c>
      <c r="L28" s="71"/>
      <c r="M28" s="7">
        <f t="shared" si="0"/>
        <v>0.66111780581861923</v>
      </c>
      <c r="N28" s="71"/>
      <c r="O28" s="10" t="str">
        <f t="shared" si="16"/>
        <v/>
      </c>
      <c r="P28" s="29" t="str">
        <f t="shared" si="1"/>
        <v/>
      </c>
      <c r="Q28" s="71"/>
      <c r="R28" s="10" t="str">
        <f t="shared" si="17"/>
        <v/>
      </c>
      <c r="S28" s="71"/>
      <c r="T28" s="10" t="str">
        <f t="shared" si="18"/>
        <v/>
      </c>
      <c r="U28" s="71"/>
      <c r="V28" s="10" t="str">
        <f t="shared" si="2"/>
        <v/>
      </c>
      <c r="W28" s="10" t="str">
        <f t="shared" si="19"/>
        <v/>
      </c>
      <c r="X28" s="71"/>
      <c r="Y28" s="10" t="str">
        <f t="shared" si="3"/>
        <v/>
      </c>
      <c r="Z28" s="10" t="str">
        <f t="shared" si="20"/>
        <v/>
      </c>
      <c r="AA28" s="71"/>
      <c r="AB28" s="10" t="str">
        <f t="shared" si="4"/>
        <v/>
      </c>
      <c r="AC28" s="10" t="str">
        <f t="shared" si="21"/>
        <v/>
      </c>
      <c r="AD28" s="71"/>
      <c r="AE28" s="10" t="str">
        <f t="shared" si="5"/>
        <v/>
      </c>
      <c r="AF28" s="10" t="str">
        <f t="shared" si="22"/>
        <v/>
      </c>
      <c r="AG28" s="71"/>
      <c r="AH28" s="10" t="str">
        <f t="shared" si="6"/>
        <v/>
      </c>
      <c r="AI28" s="10" t="str">
        <f t="shared" si="23"/>
        <v/>
      </c>
      <c r="AJ28" s="71"/>
      <c r="AK28" s="10" t="str">
        <f t="shared" si="24"/>
        <v/>
      </c>
      <c r="AL28" s="10" t="str">
        <f t="shared" si="25"/>
        <v/>
      </c>
      <c r="AM28" s="71"/>
      <c r="AN28" s="10" t="str">
        <f t="shared" si="7"/>
        <v/>
      </c>
      <c r="AO28" s="10" t="str">
        <f t="shared" si="26"/>
        <v/>
      </c>
      <c r="AP28" s="71"/>
      <c r="AQ28" s="10" t="str">
        <f t="shared" si="8"/>
        <v/>
      </c>
      <c r="AR28" s="10" t="str">
        <f t="shared" si="27"/>
        <v/>
      </c>
      <c r="AS28" s="71"/>
      <c r="AT28" s="7" t="str">
        <f>IF($K28&lt;=$F$15,IF($F$40&lt;&gt;"",$F$40/1000,IF(ISERROR(VLOOKUP($F$3&amp;IF($G$4&lt;&gt;"",$G$4,"")&amp;IF($F$43&lt;&gt;"","_"&amp;$F$43,""),'表3）燃料価格'!$AF$9:$AG$25,2,0)),0,VLOOKUP($I28,'表3）燃料価格'!$A$6:$U$66,VLOOKUP($F$3&amp;IF($G$4&lt;&gt;"",$G$4,"")&amp;IF($F$43&lt;&gt;"","_"&amp;$F$43,""),'表3）燃料価格'!$AF$9:$AG$25,2,0)+VLOOKUP($F$41,'表3）燃料価格'!$AF$28:$AG$29,2,0),0)*IF($F$43="需要地価格",1,$F$8/$F$141))),"")</f>
        <v/>
      </c>
      <c r="AU28" s="71"/>
      <c r="AV28" s="10" t="str">
        <f t="shared" si="9"/>
        <v/>
      </c>
      <c r="AW28" s="10" t="str">
        <f t="shared" si="10"/>
        <v/>
      </c>
      <c r="AX28" s="71"/>
      <c r="AY28" s="7" t="str">
        <f>IF(ISERROR(IF($K28&lt;=$F$15,VLOOKUP($I28,'表4）CO2価格'!$A$7:$E$67,VLOOKUP($F$48,'表4）CO2価格'!$H$10:$I$12,2,0),0)*$F$8/1000,"")),0,IF($K28&lt;=$F$15,VLOOKUP($I28,'表4）CO2価格'!$A$7:$E$67,VLOOKUP($F$48,'表4）CO2価格'!$H$10:$I$12,2,0),0)*$F$8/1000,""))</f>
        <v/>
      </c>
      <c r="AZ28" s="71"/>
      <c r="BA28" s="11" t="str">
        <f t="shared" si="11"/>
        <v/>
      </c>
      <c r="BB28" s="10" t="str">
        <f t="shared" si="28"/>
        <v/>
      </c>
      <c r="BC28" s="71"/>
      <c r="BD28" s="10" t="str">
        <f t="shared" si="12"/>
        <v/>
      </c>
      <c r="BE28" s="10" t="str">
        <f t="shared" si="29"/>
        <v/>
      </c>
      <c r="BF28" s="71"/>
      <c r="BG28" s="11" t="str">
        <f t="shared" si="13"/>
        <v/>
      </c>
      <c r="BH28" s="10" t="str">
        <f t="shared" si="30"/>
        <v/>
      </c>
      <c r="BJ28" s="7" t="str">
        <f t="shared" si="31"/>
        <v/>
      </c>
      <c r="BK28" s="158" t="str">
        <f t="shared" si="32"/>
        <v/>
      </c>
      <c r="BL28" s="158" t="str">
        <f t="shared" si="14"/>
        <v/>
      </c>
      <c r="BM28" s="10"/>
      <c r="BN28" s="10" t="str">
        <f t="shared" si="33"/>
        <v/>
      </c>
      <c r="BO28" s="10" t="str">
        <f t="shared" si="34"/>
        <v/>
      </c>
      <c r="BQ28" s="10" t="str">
        <f t="shared" si="15"/>
        <v/>
      </c>
      <c r="BR28" s="10" t="str">
        <f t="shared" si="35"/>
        <v/>
      </c>
    </row>
    <row r="29" spans="3:70" x14ac:dyDescent="0.15">
      <c r="D29" s="81" t="s">
        <v>117</v>
      </c>
      <c r="F29" s="59"/>
      <c r="G29" s="81" t="s">
        <v>176</v>
      </c>
      <c r="I29" s="38">
        <f t="shared" si="36"/>
        <v>2034</v>
      </c>
      <c r="J29" s="39"/>
      <c r="K29" s="39">
        <f t="shared" si="37"/>
        <v>15</v>
      </c>
      <c r="L29" s="39"/>
      <c r="M29" s="40">
        <f t="shared" si="0"/>
        <v>0.64186194739671765</v>
      </c>
      <c r="N29" s="39"/>
      <c r="O29" s="72" t="str">
        <f t="shared" si="16"/>
        <v/>
      </c>
      <c r="P29" s="41" t="str">
        <f t="shared" si="1"/>
        <v/>
      </c>
      <c r="Q29" s="39"/>
      <c r="R29" s="72" t="str">
        <f t="shared" si="17"/>
        <v/>
      </c>
      <c r="S29" s="39"/>
      <c r="T29" s="72" t="str">
        <f t="shared" si="18"/>
        <v/>
      </c>
      <c r="U29" s="39"/>
      <c r="V29" s="72" t="str">
        <f t="shared" si="2"/>
        <v/>
      </c>
      <c r="W29" s="72" t="str">
        <f t="shared" si="19"/>
        <v/>
      </c>
      <c r="X29" s="39"/>
      <c r="Y29" s="72" t="str">
        <f t="shared" si="3"/>
        <v/>
      </c>
      <c r="Z29" s="72" t="str">
        <f t="shared" si="20"/>
        <v/>
      </c>
      <c r="AA29" s="39"/>
      <c r="AB29" s="72" t="str">
        <f t="shared" si="4"/>
        <v/>
      </c>
      <c r="AC29" s="72" t="str">
        <f t="shared" si="21"/>
        <v/>
      </c>
      <c r="AD29" s="39"/>
      <c r="AE29" s="72" t="str">
        <f t="shared" si="5"/>
        <v/>
      </c>
      <c r="AF29" s="72" t="str">
        <f t="shared" si="22"/>
        <v/>
      </c>
      <c r="AG29" s="39"/>
      <c r="AH29" s="72" t="str">
        <f t="shared" si="6"/>
        <v/>
      </c>
      <c r="AI29" s="72" t="str">
        <f t="shared" si="23"/>
        <v/>
      </c>
      <c r="AJ29" s="39"/>
      <c r="AK29" s="72" t="str">
        <f t="shared" si="24"/>
        <v/>
      </c>
      <c r="AL29" s="72" t="str">
        <f t="shared" si="25"/>
        <v/>
      </c>
      <c r="AM29" s="39"/>
      <c r="AN29" s="72" t="str">
        <f t="shared" si="7"/>
        <v/>
      </c>
      <c r="AO29" s="72" t="str">
        <f t="shared" si="26"/>
        <v/>
      </c>
      <c r="AP29" s="39"/>
      <c r="AQ29" s="72" t="str">
        <f t="shared" si="8"/>
        <v/>
      </c>
      <c r="AR29" s="72" t="str">
        <f t="shared" si="27"/>
        <v/>
      </c>
      <c r="AS29" s="39"/>
      <c r="AT29" s="40" t="str">
        <f>IF($K29&lt;=$F$15,IF($F$40&lt;&gt;"",$F$40/1000,IF(ISERROR(VLOOKUP($F$3&amp;IF($G$4&lt;&gt;"",$G$4,"")&amp;IF($F$43&lt;&gt;"","_"&amp;$F$43,""),'表3）燃料価格'!$AF$9:$AG$25,2,0)),0,VLOOKUP($I29,'表3）燃料価格'!$A$6:$U$66,VLOOKUP($F$3&amp;IF($G$4&lt;&gt;"",$G$4,"")&amp;IF($F$43&lt;&gt;"","_"&amp;$F$43,""),'表3）燃料価格'!$AF$9:$AG$25,2,0)+VLOOKUP($F$41,'表3）燃料価格'!$AF$28:$AG$29,2,0),0)*IF($F$43="需要地価格",1,$F$8/$F$141))),"")</f>
        <v/>
      </c>
      <c r="AU29" s="39"/>
      <c r="AV29" s="72" t="str">
        <f t="shared" si="9"/>
        <v/>
      </c>
      <c r="AW29" s="72" t="str">
        <f t="shared" si="10"/>
        <v/>
      </c>
      <c r="AX29" s="39"/>
      <c r="AY29" s="40" t="str">
        <f>IF(ISERROR(IF($K29&lt;=$F$15,VLOOKUP($I29,'表4）CO2価格'!$A$7:$E$67,VLOOKUP($F$48,'表4）CO2価格'!$H$10:$I$12,2,0),0)*$F$8/1000,"")),0,IF($K29&lt;=$F$15,VLOOKUP($I29,'表4）CO2価格'!$A$7:$E$67,VLOOKUP($F$48,'表4）CO2価格'!$H$10:$I$12,2,0),0)*$F$8/1000,""))</f>
        <v/>
      </c>
      <c r="AZ29" s="39"/>
      <c r="BA29" s="42" t="str">
        <f t="shared" si="11"/>
        <v/>
      </c>
      <c r="BB29" s="72" t="str">
        <f t="shared" si="28"/>
        <v/>
      </c>
      <c r="BC29" s="39"/>
      <c r="BD29" s="72" t="str">
        <f t="shared" si="12"/>
        <v/>
      </c>
      <c r="BE29" s="72" t="str">
        <f t="shared" si="29"/>
        <v/>
      </c>
      <c r="BF29" s="39"/>
      <c r="BG29" s="42" t="str">
        <f t="shared" si="13"/>
        <v/>
      </c>
      <c r="BH29" s="72" t="str">
        <f t="shared" si="30"/>
        <v/>
      </c>
      <c r="BI29" s="39"/>
      <c r="BJ29" s="40" t="str">
        <f t="shared" si="31"/>
        <v/>
      </c>
      <c r="BK29" s="157" t="str">
        <f t="shared" si="32"/>
        <v/>
      </c>
      <c r="BL29" s="157" t="str">
        <f t="shared" si="14"/>
        <v/>
      </c>
      <c r="BM29" s="72"/>
      <c r="BN29" s="72" t="str">
        <f t="shared" si="33"/>
        <v/>
      </c>
      <c r="BO29" s="72" t="str">
        <f t="shared" si="34"/>
        <v/>
      </c>
      <c r="BP29" s="39"/>
      <c r="BQ29" s="72" t="str">
        <f t="shared" si="15"/>
        <v/>
      </c>
      <c r="BR29" s="72" t="str">
        <f t="shared" si="35"/>
        <v/>
      </c>
    </row>
    <row r="30" spans="3:70" x14ac:dyDescent="0.15">
      <c r="I30" s="322">
        <f t="shared" si="36"/>
        <v>2035</v>
      </c>
      <c r="J30" s="71"/>
      <c r="K30" s="71">
        <f t="shared" si="37"/>
        <v>16</v>
      </c>
      <c r="L30" s="71"/>
      <c r="M30" s="7">
        <f t="shared" si="0"/>
        <v>0.62316693922011435</v>
      </c>
      <c r="N30" s="71"/>
      <c r="O30" s="10" t="str">
        <f t="shared" si="16"/>
        <v/>
      </c>
      <c r="P30" s="29" t="str">
        <f t="shared" si="1"/>
        <v/>
      </c>
      <c r="Q30" s="71"/>
      <c r="R30" s="10" t="str">
        <f t="shared" si="17"/>
        <v/>
      </c>
      <c r="S30" s="71"/>
      <c r="T30" s="10" t="str">
        <f t="shared" si="18"/>
        <v/>
      </c>
      <c r="U30" s="71"/>
      <c r="V30" s="10" t="str">
        <f t="shared" si="2"/>
        <v/>
      </c>
      <c r="W30" s="10" t="str">
        <f t="shared" si="19"/>
        <v/>
      </c>
      <c r="X30" s="71"/>
      <c r="Y30" s="10" t="str">
        <f t="shared" si="3"/>
        <v/>
      </c>
      <c r="Z30" s="10" t="str">
        <f t="shared" si="20"/>
        <v/>
      </c>
      <c r="AA30" s="71"/>
      <c r="AB30" s="10" t="str">
        <f t="shared" si="4"/>
        <v/>
      </c>
      <c r="AC30" s="10" t="str">
        <f t="shared" si="21"/>
        <v/>
      </c>
      <c r="AD30" s="71"/>
      <c r="AE30" s="10" t="str">
        <f t="shared" si="5"/>
        <v/>
      </c>
      <c r="AF30" s="10" t="str">
        <f t="shared" si="22"/>
        <v/>
      </c>
      <c r="AG30" s="71"/>
      <c r="AH30" s="10" t="str">
        <f t="shared" si="6"/>
        <v/>
      </c>
      <c r="AI30" s="10" t="str">
        <f t="shared" si="23"/>
        <v/>
      </c>
      <c r="AJ30" s="71"/>
      <c r="AK30" s="10" t="str">
        <f t="shared" si="24"/>
        <v/>
      </c>
      <c r="AL30" s="10" t="str">
        <f t="shared" si="25"/>
        <v/>
      </c>
      <c r="AM30" s="71"/>
      <c r="AN30" s="10" t="str">
        <f t="shared" si="7"/>
        <v/>
      </c>
      <c r="AO30" s="10" t="str">
        <f t="shared" si="26"/>
        <v/>
      </c>
      <c r="AP30" s="71"/>
      <c r="AQ30" s="10" t="str">
        <f t="shared" si="8"/>
        <v/>
      </c>
      <c r="AR30" s="10" t="str">
        <f t="shared" si="27"/>
        <v/>
      </c>
      <c r="AS30" s="71"/>
      <c r="AT30" s="7" t="str">
        <f>IF($K30&lt;=$F$15,IF($F$40&lt;&gt;"",$F$40/1000,IF(ISERROR(VLOOKUP($F$3&amp;IF($G$4&lt;&gt;"",$G$4,"")&amp;IF($F$43&lt;&gt;"","_"&amp;$F$43,""),'表3）燃料価格'!$AF$9:$AG$25,2,0)),0,VLOOKUP($I30,'表3）燃料価格'!$A$6:$U$66,VLOOKUP($F$3&amp;IF($G$4&lt;&gt;"",$G$4,"")&amp;IF($F$43&lt;&gt;"","_"&amp;$F$43,""),'表3）燃料価格'!$AF$9:$AG$25,2,0)+VLOOKUP($F$41,'表3）燃料価格'!$AF$28:$AG$29,2,0),0)*IF($F$43="需要地価格",1,$F$8/$F$141))),"")</f>
        <v/>
      </c>
      <c r="AU30" s="71"/>
      <c r="AV30" s="10" t="str">
        <f t="shared" si="9"/>
        <v/>
      </c>
      <c r="AW30" s="10" t="str">
        <f t="shared" si="10"/>
        <v/>
      </c>
      <c r="AX30" s="71"/>
      <c r="AY30" s="7" t="str">
        <f>IF(ISERROR(IF($K30&lt;=$F$15,VLOOKUP($I30,'表4）CO2価格'!$A$7:$E$67,VLOOKUP($F$48,'表4）CO2価格'!$H$10:$I$12,2,0),0)*$F$8/1000,"")),0,IF($K30&lt;=$F$15,VLOOKUP($I30,'表4）CO2価格'!$A$7:$E$67,VLOOKUP($F$48,'表4）CO2価格'!$H$10:$I$12,2,0),0)*$F$8/1000,""))</f>
        <v/>
      </c>
      <c r="AZ30" s="71"/>
      <c r="BA30" s="11" t="str">
        <f t="shared" si="11"/>
        <v/>
      </c>
      <c r="BB30" s="10" t="str">
        <f t="shared" si="28"/>
        <v/>
      </c>
      <c r="BC30" s="71"/>
      <c r="BD30" s="10" t="str">
        <f t="shared" si="12"/>
        <v/>
      </c>
      <c r="BE30" s="10" t="str">
        <f t="shared" si="29"/>
        <v/>
      </c>
      <c r="BF30" s="71"/>
      <c r="BG30" s="11" t="str">
        <f t="shared" si="13"/>
        <v/>
      </c>
      <c r="BH30" s="10" t="str">
        <f t="shared" si="30"/>
        <v/>
      </c>
      <c r="BJ30" s="7" t="str">
        <f t="shared" si="31"/>
        <v/>
      </c>
      <c r="BK30" s="158" t="str">
        <f t="shared" si="32"/>
        <v/>
      </c>
      <c r="BL30" s="158" t="str">
        <f t="shared" si="14"/>
        <v/>
      </c>
      <c r="BM30" s="10"/>
      <c r="BN30" s="10" t="str">
        <f t="shared" si="33"/>
        <v/>
      </c>
      <c r="BO30" s="10" t="str">
        <f t="shared" si="34"/>
        <v/>
      </c>
      <c r="BQ30" s="10" t="str">
        <f t="shared" si="15"/>
        <v/>
      </c>
      <c r="BR30" s="10" t="str">
        <f t="shared" si="35"/>
        <v/>
      </c>
    </row>
    <row r="31" spans="3:70" x14ac:dyDescent="0.15">
      <c r="C31" s="89" t="s">
        <v>507</v>
      </c>
      <c r="D31" s="101"/>
      <c r="E31" s="101"/>
      <c r="F31" s="89"/>
      <c r="G31" s="101"/>
      <c r="I31" s="38">
        <f t="shared" si="36"/>
        <v>2036</v>
      </c>
      <c r="J31" s="39"/>
      <c r="K31" s="39">
        <f t="shared" si="37"/>
        <v>17</v>
      </c>
      <c r="L31" s="39"/>
      <c r="M31" s="40">
        <f t="shared" si="0"/>
        <v>0.60501644584477121</v>
      </c>
      <c r="N31" s="39"/>
      <c r="O31" s="72" t="str">
        <f t="shared" si="16"/>
        <v/>
      </c>
      <c r="P31" s="41" t="str">
        <f t="shared" si="1"/>
        <v/>
      </c>
      <c r="Q31" s="39"/>
      <c r="R31" s="72" t="str">
        <f t="shared" si="17"/>
        <v/>
      </c>
      <c r="S31" s="39"/>
      <c r="T31" s="72" t="str">
        <f t="shared" si="18"/>
        <v/>
      </c>
      <c r="U31" s="39"/>
      <c r="V31" s="72" t="str">
        <f t="shared" si="2"/>
        <v/>
      </c>
      <c r="W31" s="72" t="str">
        <f t="shared" si="19"/>
        <v/>
      </c>
      <c r="X31" s="39"/>
      <c r="Y31" s="72" t="str">
        <f t="shared" si="3"/>
        <v/>
      </c>
      <c r="Z31" s="72" t="str">
        <f t="shared" si="20"/>
        <v/>
      </c>
      <c r="AA31" s="39"/>
      <c r="AB31" s="72" t="str">
        <f t="shared" si="4"/>
        <v/>
      </c>
      <c r="AC31" s="72" t="str">
        <f t="shared" si="21"/>
        <v/>
      </c>
      <c r="AD31" s="39"/>
      <c r="AE31" s="72" t="str">
        <f t="shared" si="5"/>
        <v/>
      </c>
      <c r="AF31" s="72" t="str">
        <f t="shared" si="22"/>
        <v/>
      </c>
      <c r="AG31" s="39"/>
      <c r="AH31" s="72" t="str">
        <f t="shared" si="6"/>
        <v/>
      </c>
      <c r="AI31" s="72" t="str">
        <f t="shared" si="23"/>
        <v/>
      </c>
      <c r="AJ31" s="39"/>
      <c r="AK31" s="72" t="str">
        <f t="shared" si="24"/>
        <v/>
      </c>
      <c r="AL31" s="72" t="str">
        <f t="shared" si="25"/>
        <v/>
      </c>
      <c r="AM31" s="39"/>
      <c r="AN31" s="72" t="str">
        <f t="shared" si="7"/>
        <v/>
      </c>
      <c r="AO31" s="72" t="str">
        <f t="shared" si="26"/>
        <v/>
      </c>
      <c r="AP31" s="39"/>
      <c r="AQ31" s="72" t="str">
        <f t="shared" si="8"/>
        <v/>
      </c>
      <c r="AR31" s="72" t="str">
        <f t="shared" si="27"/>
        <v/>
      </c>
      <c r="AS31" s="39"/>
      <c r="AT31" s="40" t="str">
        <f>IF($K31&lt;=$F$15,IF($F$40&lt;&gt;"",$F$40/1000,IF(ISERROR(VLOOKUP($F$3&amp;IF($G$4&lt;&gt;"",$G$4,"")&amp;IF($F$43&lt;&gt;"","_"&amp;$F$43,""),'表3）燃料価格'!$AF$9:$AG$25,2,0)),0,VLOOKUP($I31,'表3）燃料価格'!$A$6:$U$66,VLOOKUP($F$3&amp;IF($G$4&lt;&gt;"",$G$4,"")&amp;IF($F$43&lt;&gt;"","_"&amp;$F$43,""),'表3）燃料価格'!$AF$9:$AG$25,2,0)+VLOOKUP($F$41,'表3）燃料価格'!$AF$28:$AG$29,2,0),0)*IF($F$43="需要地価格",1,$F$8/$F$141))),"")</f>
        <v/>
      </c>
      <c r="AU31" s="39"/>
      <c r="AV31" s="72" t="str">
        <f t="shared" si="9"/>
        <v/>
      </c>
      <c r="AW31" s="72" t="str">
        <f t="shared" si="10"/>
        <v/>
      </c>
      <c r="AX31" s="39"/>
      <c r="AY31" s="40" t="str">
        <f>IF(ISERROR(IF($K31&lt;=$F$15,VLOOKUP($I31,'表4）CO2価格'!$A$7:$E$67,VLOOKUP($F$48,'表4）CO2価格'!$H$10:$I$12,2,0),0)*$F$8/1000,"")),0,IF($K31&lt;=$F$15,VLOOKUP($I31,'表4）CO2価格'!$A$7:$E$67,VLOOKUP($F$48,'表4）CO2価格'!$H$10:$I$12,2,0),0)*$F$8/1000,""))</f>
        <v/>
      </c>
      <c r="AZ31" s="39"/>
      <c r="BA31" s="42" t="str">
        <f t="shared" si="11"/>
        <v/>
      </c>
      <c r="BB31" s="72" t="str">
        <f t="shared" si="28"/>
        <v/>
      </c>
      <c r="BC31" s="39"/>
      <c r="BD31" s="72" t="str">
        <f t="shared" si="12"/>
        <v/>
      </c>
      <c r="BE31" s="72" t="str">
        <f t="shared" si="29"/>
        <v/>
      </c>
      <c r="BF31" s="39"/>
      <c r="BG31" s="42" t="str">
        <f t="shared" si="13"/>
        <v/>
      </c>
      <c r="BH31" s="72" t="str">
        <f t="shared" si="30"/>
        <v/>
      </c>
      <c r="BI31" s="39"/>
      <c r="BJ31" s="40" t="str">
        <f t="shared" si="31"/>
        <v/>
      </c>
      <c r="BK31" s="157" t="str">
        <f t="shared" si="32"/>
        <v/>
      </c>
      <c r="BL31" s="157" t="str">
        <f t="shared" si="14"/>
        <v/>
      </c>
      <c r="BM31" s="72"/>
      <c r="BN31" s="72" t="str">
        <f t="shared" si="33"/>
        <v/>
      </c>
      <c r="BO31" s="72" t="str">
        <f t="shared" si="34"/>
        <v/>
      </c>
      <c r="BP31" s="39"/>
      <c r="BQ31" s="72" t="str">
        <f t="shared" si="15"/>
        <v/>
      </c>
      <c r="BR31" s="72" t="str">
        <f t="shared" si="35"/>
        <v/>
      </c>
    </row>
    <row r="32" spans="3:70" x14ac:dyDescent="0.15">
      <c r="I32" s="322">
        <f t="shared" si="36"/>
        <v>2037</v>
      </c>
      <c r="J32" s="71"/>
      <c r="K32" s="71">
        <f t="shared" si="37"/>
        <v>18</v>
      </c>
      <c r="L32" s="71"/>
      <c r="M32" s="7">
        <f t="shared" si="0"/>
        <v>0.5873946076162827</v>
      </c>
      <c r="N32" s="71"/>
      <c r="O32" s="10" t="str">
        <f t="shared" si="16"/>
        <v/>
      </c>
      <c r="P32" s="29" t="str">
        <f t="shared" si="1"/>
        <v/>
      </c>
      <c r="Q32" s="71"/>
      <c r="R32" s="10" t="str">
        <f t="shared" si="17"/>
        <v/>
      </c>
      <c r="S32" s="71"/>
      <c r="T32" s="10" t="str">
        <f t="shared" si="18"/>
        <v/>
      </c>
      <c r="U32" s="71"/>
      <c r="V32" s="10" t="str">
        <f t="shared" si="2"/>
        <v/>
      </c>
      <c r="W32" s="10" t="str">
        <f t="shared" si="19"/>
        <v/>
      </c>
      <c r="X32" s="71"/>
      <c r="Y32" s="10" t="str">
        <f t="shared" si="3"/>
        <v/>
      </c>
      <c r="Z32" s="10" t="str">
        <f t="shared" si="20"/>
        <v/>
      </c>
      <c r="AA32" s="71"/>
      <c r="AB32" s="10" t="str">
        <f t="shared" si="4"/>
        <v/>
      </c>
      <c r="AC32" s="10" t="str">
        <f t="shared" si="21"/>
        <v/>
      </c>
      <c r="AD32" s="71"/>
      <c r="AE32" s="10" t="str">
        <f t="shared" si="5"/>
        <v/>
      </c>
      <c r="AF32" s="10" t="str">
        <f t="shared" si="22"/>
        <v/>
      </c>
      <c r="AG32" s="71"/>
      <c r="AH32" s="10" t="str">
        <f t="shared" si="6"/>
        <v/>
      </c>
      <c r="AI32" s="10" t="str">
        <f t="shared" si="23"/>
        <v/>
      </c>
      <c r="AJ32" s="71"/>
      <c r="AK32" s="10" t="str">
        <f t="shared" si="24"/>
        <v/>
      </c>
      <c r="AL32" s="10" t="str">
        <f t="shared" si="25"/>
        <v/>
      </c>
      <c r="AM32" s="71"/>
      <c r="AN32" s="10" t="str">
        <f t="shared" si="7"/>
        <v/>
      </c>
      <c r="AO32" s="10" t="str">
        <f t="shared" si="26"/>
        <v/>
      </c>
      <c r="AP32" s="71"/>
      <c r="AQ32" s="10" t="str">
        <f t="shared" si="8"/>
        <v/>
      </c>
      <c r="AR32" s="10" t="str">
        <f t="shared" si="27"/>
        <v/>
      </c>
      <c r="AS32" s="71"/>
      <c r="AT32" s="7" t="str">
        <f>IF($K32&lt;=$F$15,IF($F$40&lt;&gt;"",$F$40/1000,IF(ISERROR(VLOOKUP($F$3&amp;IF($G$4&lt;&gt;"",$G$4,"")&amp;IF($F$43&lt;&gt;"","_"&amp;$F$43,""),'表3）燃料価格'!$AF$9:$AG$25,2,0)),0,VLOOKUP($I32,'表3）燃料価格'!$A$6:$U$66,VLOOKUP($F$3&amp;IF($G$4&lt;&gt;"",$G$4,"")&amp;IF($F$43&lt;&gt;"","_"&amp;$F$43,""),'表3）燃料価格'!$AF$9:$AG$25,2,0)+VLOOKUP($F$41,'表3）燃料価格'!$AF$28:$AG$29,2,0),0)*IF($F$43="需要地価格",1,$F$8/$F$141))),"")</f>
        <v/>
      </c>
      <c r="AU32" s="71"/>
      <c r="AV32" s="10" t="str">
        <f t="shared" si="9"/>
        <v/>
      </c>
      <c r="AW32" s="10" t="str">
        <f t="shared" si="10"/>
        <v/>
      </c>
      <c r="AX32" s="71"/>
      <c r="AY32" s="7" t="str">
        <f>IF(ISERROR(IF($K32&lt;=$F$15,VLOOKUP($I32,'表4）CO2価格'!$A$7:$E$67,VLOOKUP($F$48,'表4）CO2価格'!$H$10:$I$12,2,0),0)*$F$8/1000,"")),0,IF($K32&lt;=$F$15,VLOOKUP($I32,'表4）CO2価格'!$A$7:$E$67,VLOOKUP($F$48,'表4）CO2価格'!$H$10:$I$12,2,0),0)*$F$8/1000,""))</f>
        <v/>
      </c>
      <c r="AZ32" s="71"/>
      <c r="BA32" s="11" t="str">
        <f t="shared" si="11"/>
        <v/>
      </c>
      <c r="BB32" s="10" t="str">
        <f t="shared" si="28"/>
        <v/>
      </c>
      <c r="BC32" s="71"/>
      <c r="BD32" s="10" t="str">
        <f t="shared" si="12"/>
        <v/>
      </c>
      <c r="BE32" s="10" t="str">
        <f t="shared" si="29"/>
        <v/>
      </c>
      <c r="BF32" s="71"/>
      <c r="BG32" s="11" t="str">
        <f t="shared" si="13"/>
        <v/>
      </c>
      <c r="BH32" s="10" t="str">
        <f t="shared" si="30"/>
        <v/>
      </c>
      <c r="BJ32" s="7" t="str">
        <f t="shared" si="31"/>
        <v/>
      </c>
      <c r="BK32" s="158" t="str">
        <f t="shared" si="32"/>
        <v/>
      </c>
      <c r="BL32" s="158" t="str">
        <f t="shared" si="14"/>
        <v/>
      </c>
      <c r="BM32" s="10"/>
      <c r="BN32" s="10" t="str">
        <f t="shared" si="33"/>
        <v/>
      </c>
      <c r="BO32" s="10" t="str">
        <f t="shared" si="34"/>
        <v/>
      </c>
      <c r="BQ32" s="10" t="str">
        <f t="shared" si="15"/>
        <v/>
      </c>
      <c r="BR32" s="10" t="str">
        <f t="shared" si="35"/>
        <v/>
      </c>
    </row>
    <row r="33" spans="3:70" x14ac:dyDescent="0.15">
      <c r="D33" s="81" t="s">
        <v>88</v>
      </c>
      <c r="F33" s="66"/>
      <c r="G33" s="81" t="s">
        <v>119</v>
      </c>
      <c r="I33" s="38">
        <f t="shared" si="36"/>
        <v>2038</v>
      </c>
      <c r="J33" s="39"/>
      <c r="K33" s="39">
        <f t="shared" si="37"/>
        <v>19</v>
      </c>
      <c r="L33" s="39"/>
      <c r="M33" s="40">
        <f t="shared" si="0"/>
        <v>0.57028602681192497</v>
      </c>
      <c r="N33" s="39"/>
      <c r="O33" s="72" t="str">
        <f t="shared" si="16"/>
        <v/>
      </c>
      <c r="P33" s="41" t="str">
        <f t="shared" si="1"/>
        <v/>
      </c>
      <c r="Q33" s="39"/>
      <c r="R33" s="72" t="str">
        <f t="shared" si="17"/>
        <v/>
      </c>
      <c r="S33" s="39"/>
      <c r="T33" s="72" t="str">
        <f t="shared" si="18"/>
        <v/>
      </c>
      <c r="U33" s="39"/>
      <c r="V33" s="72" t="str">
        <f t="shared" si="2"/>
        <v/>
      </c>
      <c r="W33" s="72" t="str">
        <f t="shared" si="19"/>
        <v/>
      </c>
      <c r="X33" s="39"/>
      <c r="Y33" s="72" t="str">
        <f t="shared" si="3"/>
        <v/>
      </c>
      <c r="Z33" s="72" t="str">
        <f t="shared" si="20"/>
        <v/>
      </c>
      <c r="AA33" s="39"/>
      <c r="AB33" s="72" t="str">
        <f t="shared" si="4"/>
        <v/>
      </c>
      <c r="AC33" s="72" t="str">
        <f t="shared" si="21"/>
        <v/>
      </c>
      <c r="AD33" s="39"/>
      <c r="AE33" s="72" t="str">
        <f t="shared" si="5"/>
        <v/>
      </c>
      <c r="AF33" s="72" t="str">
        <f t="shared" si="22"/>
        <v/>
      </c>
      <c r="AG33" s="39"/>
      <c r="AH33" s="72" t="str">
        <f t="shared" si="6"/>
        <v/>
      </c>
      <c r="AI33" s="72" t="str">
        <f t="shared" si="23"/>
        <v/>
      </c>
      <c r="AJ33" s="39"/>
      <c r="AK33" s="72" t="str">
        <f t="shared" si="24"/>
        <v/>
      </c>
      <c r="AL33" s="72" t="str">
        <f t="shared" si="25"/>
        <v/>
      </c>
      <c r="AM33" s="39"/>
      <c r="AN33" s="72" t="str">
        <f t="shared" si="7"/>
        <v/>
      </c>
      <c r="AO33" s="72" t="str">
        <f t="shared" si="26"/>
        <v/>
      </c>
      <c r="AP33" s="39"/>
      <c r="AQ33" s="72" t="str">
        <f t="shared" si="8"/>
        <v/>
      </c>
      <c r="AR33" s="72" t="str">
        <f t="shared" si="27"/>
        <v/>
      </c>
      <c r="AS33" s="39"/>
      <c r="AT33" s="40" t="str">
        <f>IF($K33&lt;=$F$15,IF($F$40&lt;&gt;"",$F$40/1000,IF(ISERROR(VLOOKUP($F$3&amp;IF($G$4&lt;&gt;"",$G$4,"")&amp;IF($F$43&lt;&gt;"","_"&amp;$F$43,""),'表3）燃料価格'!$AF$9:$AG$25,2,0)),0,VLOOKUP($I33,'表3）燃料価格'!$A$6:$U$66,VLOOKUP($F$3&amp;IF($G$4&lt;&gt;"",$G$4,"")&amp;IF($F$43&lt;&gt;"","_"&amp;$F$43,""),'表3）燃料価格'!$AF$9:$AG$25,2,0)+VLOOKUP($F$41,'表3）燃料価格'!$AF$28:$AG$29,2,0),0)*IF($F$43="需要地価格",1,$F$8/$F$141))),"")</f>
        <v/>
      </c>
      <c r="AU33" s="39"/>
      <c r="AV33" s="72" t="str">
        <f t="shared" si="9"/>
        <v/>
      </c>
      <c r="AW33" s="72" t="str">
        <f t="shared" si="10"/>
        <v/>
      </c>
      <c r="AX33" s="39"/>
      <c r="AY33" s="40" t="str">
        <f>IF(ISERROR(IF($K33&lt;=$F$15,VLOOKUP($I33,'表4）CO2価格'!$A$7:$E$67,VLOOKUP($F$48,'表4）CO2価格'!$H$10:$I$12,2,0),0)*$F$8/1000,"")),0,IF($K33&lt;=$F$15,VLOOKUP($I33,'表4）CO2価格'!$A$7:$E$67,VLOOKUP($F$48,'表4）CO2価格'!$H$10:$I$12,2,0),0)*$F$8/1000,""))</f>
        <v/>
      </c>
      <c r="AZ33" s="39"/>
      <c r="BA33" s="42" t="str">
        <f t="shared" si="11"/>
        <v/>
      </c>
      <c r="BB33" s="72" t="str">
        <f t="shared" si="28"/>
        <v/>
      </c>
      <c r="BC33" s="39"/>
      <c r="BD33" s="72" t="str">
        <f t="shared" si="12"/>
        <v/>
      </c>
      <c r="BE33" s="72" t="str">
        <f t="shared" si="29"/>
        <v/>
      </c>
      <c r="BF33" s="39"/>
      <c r="BG33" s="42" t="str">
        <f t="shared" si="13"/>
        <v/>
      </c>
      <c r="BH33" s="72" t="str">
        <f t="shared" si="30"/>
        <v/>
      </c>
      <c r="BI33" s="39"/>
      <c r="BJ33" s="40" t="str">
        <f t="shared" si="31"/>
        <v/>
      </c>
      <c r="BK33" s="157" t="str">
        <f t="shared" si="32"/>
        <v/>
      </c>
      <c r="BL33" s="157" t="str">
        <f t="shared" si="14"/>
        <v/>
      </c>
      <c r="BM33" s="72"/>
      <c r="BN33" s="72" t="str">
        <f t="shared" si="33"/>
        <v/>
      </c>
      <c r="BO33" s="72" t="str">
        <f t="shared" si="34"/>
        <v/>
      </c>
      <c r="BP33" s="39"/>
      <c r="BQ33" s="72" t="str">
        <f t="shared" si="15"/>
        <v/>
      </c>
      <c r="BR33" s="72" t="str">
        <f t="shared" si="35"/>
        <v/>
      </c>
    </row>
    <row r="34" spans="3:70" x14ac:dyDescent="0.15">
      <c r="D34" s="81" t="s">
        <v>120</v>
      </c>
      <c r="F34" s="109">
        <v>0.79</v>
      </c>
      <c r="G34" s="81" t="s">
        <v>227</v>
      </c>
      <c r="I34" s="322">
        <f t="shared" si="36"/>
        <v>2039</v>
      </c>
      <c r="J34" s="71"/>
      <c r="K34" s="71">
        <f t="shared" si="37"/>
        <v>20</v>
      </c>
      <c r="L34" s="71"/>
      <c r="M34" s="7">
        <f t="shared" si="0"/>
        <v>0.55367575418633497</v>
      </c>
      <c r="N34" s="71"/>
      <c r="O34" s="10" t="str">
        <f t="shared" si="16"/>
        <v/>
      </c>
      <c r="P34" s="29" t="str">
        <f t="shared" si="1"/>
        <v/>
      </c>
      <c r="Q34" s="71"/>
      <c r="R34" s="10" t="str">
        <f t="shared" si="17"/>
        <v/>
      </c>
      <c r="S34" s="71"/>
      <c r="T34" s="10" t="str">
        <f t="shared" si="18"/>
        <v/>
      </c>
      <c r="U34" s="71"/>
      <c r="V34" s="10" t="str">
        <f t="shared" si="2"/>
        <v/>
      </c>
      <c r="W34" s="10" t="str">
        <f t="shared" si="19"/>
        <v/>
      </c>
      <c r="X34" s="71"/>
      <c r="Y34" s="10" t="str">
        <f t="shared" si="3"/>
        <v/>
      </c>
      <c r="Z34" s="10" t="str">
        <f t="shared" si="20"/>
        <v/>
      </c>
      <c r="AA34" s="71"/>
      <c r="AB34" s="10" t="str">
        <f t="shared" si="4"/>
        <v/>
      </c>
      <c r="AC34" s="10" t="str">
        <f t="shared" si="21"/>
        <v/>
      </c>
      <c r="AD34" s="71"/>
      <c r="AE34" s="10" t="str">
        <f t="shared" si="5"/>
        <v/>
      </c>
      <c r="AF34" s="10" t="str">
        <f t="shared" si="22"/>
        <v/>
      </c>
      <c r="AG34" s="71"/>
      <c r="AH34" s="10" t="str">
        <f t="shared" si="6"/>
        <v/>
      </c>
      <c r="AI34" s="10" t="str">
        <f t="shared" si="23"/>
        <v/>
      </c>
      <c r="AJ34" s="71"/>
      <c r="AK34" s="10" t="str">
        <f t="shared" si="24"/>
        <v/>
      </c>
      <c r="AL34" s="10" t="str">
        <f t="shared" si="25"/>
        <v/>
      </c>
      <c r="AM34" s="71"/>
      <c r="AN34" s="10" t="str">
        <f t="shared" si="7"/>
        <v/>
      </c>
      <c r="AO34" s="10" t="str">
        <f t="shared" si="26"/>
        <v/>
      </c>
      <c r="AP34" s="71"/>
      <c r="AQ34" s="10" t="str">
        <f t="shared" si="8"/>
        <v/>
      </c>
      <c r="AR34" s="10" t="str">
        <f t="shared" si="27"/>
        <v/>
      </c>
      <c r="AS34" s="71"/>
      <c r="AT34" s="7" t="str">
        <f>IF($K34&lt;=$F$15,IF($F$40&lt;&gt;"",$F$40/1000,IF(ISERROR(VLOOKUP($F$3&amp;IF($G$4&lt;&gt;"",$G$4,"")&amp;IF($F$43&lt;&gt;"","_"&amp;$F$43,""),'表3）燃料価格'!$AF$9:$AG$25,2,0)),0,VLOOKUP($I34,'表3）燃料価格'!$A$6:$U$66,VLOOKUP($F$3&amp;IF($G$4&lt;&gt;"",$G$4,"")&amp;IF($F$43&lt;&gt;"","_"&amp;$F$43,""),'表3）燃料価格'!$AF$9:$AG$25,2,0)+VLOOKUP($F$41,'表3）燃料価格'!$AF$28:$AG$29,2,0),0)*IF($F$43="需要地価格",1,$F$8/$F$141))),"")</f>
        <v/>
      </c>
      <c r="AU34" s="71"/>
      <c r="AV34" s="10" t="str">
        <f t="shared" si="9"/>
        <v/>
      </c>
      <c r="AW34" s="10" t="str">
        <f t="shared" si="10"/>
        <v/>
      </c>
      <c r="AX34" s="71"/>
      <c r="AY34" s="7" t="str">
        <f>IF(ISERROR(IF($K34&lt;=$F$15,VLOOKUP($I34,'表4）CO2価格'!$A$7:$E$67,VLOOKUP($F$48,'表4）CO2価格'!$H$10:$I$12,2,0),0)*$F$8/1000,"")),0,IF($K34&lt;=$F$15,VLOOKUP($I34,'表4）CO2価格'!$A$7:$E$67,VLOOKUP($F$48,'表4）CO2価格'!$H$10:$I$12,2,0),0)*$F$8/1000,""))</f>
        <v/>
      </c>
      <c r="AZ34" s="71"/>
      <c r="BA34" s="11" t="str">
        <f t="shared" si="11"/>
        <v/>
      </c>
      <c r="BB34" s="10" t="str">
        <f t="shared" si="28"/>
        <v/>
      </c>
      <c r="BC34" s="71"/>
      <c r="BD34" s="10" t="str">
        <f t="shared" si="12"/>
        <v/>
      </c>
      <c r="BE34" s="10" t="str">
        <f t="shared" si="29"/>
        <v/>
      </c>
      <c r="BF34" s="71"/>
      <c r="BG34" s="11" t="str">
        <f t="shared" si="13"/>
        <v/>
      </c>
      <c r="BH34" s="10" t="str">
        <f t="shared" si="30"/>
        <v/>
      </c>
      <c r="BJ34" s="7" t="str">
        <f t="shared" si="31"/>
        <v/>
      </c>
      <c r="BK34" s="158" t="str">
        <f t="shared" si="32"/>
        <v/>
      </c>
      <c r="BL34" s="158" t="str">
        <f t="shared" si="14"/>
        <v/>
      </c>
      <c r="BM34" s="10"/>
      <c r="BN34" s="10" t="str">
        <f t="shared" si="33"/>
        <v/>
      </c>
      <c r="BO34" s="10" t="str">
        <f t="shared" si="34"/>
        <v/>
      </c>
      <c r="BQ34" s="10" t="str">
        <f t="shared" si="15"/>
        <v/>
      </c>
      <c r="BR34" s="10" t="str">
        <f t="shared" si="35"/>
        <v/>
      </c>
    </row>
    <row r="35" spans="3:70" x14ac:dyDescent="0.15">
      <c r="D35" s="81" t="s">
        <v>122</v>
      </c>
      <c r="F35" s="66"/>
      <c r="G35" s="81" t="s">
        <v>121</v>
      </c>
      <c r="I35" s="38">
        <f t="shared" si="36"/>
        <v>2040</v>
      </c>
      <c r="J35" s="39"/>
      <c r="K35" s="39">
        <f t="shared" si="37"/>
        <v>21</v>
      </c>
      <c r="L35" s="39"/>
      <c r="M35" s="40">
        <f t="shared" si="0"/>
        <v>0.5375492759090631</v>
      </c>
      <c r="N35" s="39"/>
      <c r="O35" s="72" t="str">
        <f t="shared" si="16"/>
        <v/>
      </c>
      <c r="P35" s="41" t="str">
        <f t="shared" si="1"/>
        <v/>
      </c>
      <c r="Q35" s="39"/>
      <c r="R35" s="72" t="str">
        <f t="shared" si="17"/>
        <v/>
      </c>
      <c r="S35" s="39"/>
      <c r="T35" s="72" t="str">
        <f t="shared" si="18"/>
        <v/>
      </c>
      <c r="U35" s="39"/>
      <c r="V35" s="72" t="str">
        <f t="shared" si="2"/>
        <v/>
      </c>
      <c r="W35" s="72" t="str">
        <f t="shared" si="19"/>
        <v/>
      </c>
      <c r="X35" s="39"/>
      <c r="Y35" s="72" t="str">
        <f t="shared" si="3"/>
        <v/>
      </c>
      <c r="Z35" s="72" t="str">
        <f t="shared" si="20"/>
        <v/>
      </c>
      <c r="AA35" s="39"/>
      <c r="AB35" s="72" t="str">
        <f t="shared" si="4"/>
        <v/>
      </c>
      <c r="AC35" s="72" t="str">
        <f t="shared" si="21"/>
        <v/>
      </c>
      <c r="AD35" s="39"/>
      <c r="AE35" s="72" t="str">
        <f t="shared" si="5"/>
        <v/>
      </c>
      <c r="AF35" s="72" t="str">
        <f t="shared" si="22"/>
        <v/>
      </c>
      <c r="AG35" s="39"/>
      <c r="AH35" s="72" t="str">
        <f t="shared" si="6"/>
        <v/>
      </c>
      <c r="AI35" s="72" t="str">
        <f t="shared" si="23"/>
        <v/>
      </c>
      <c r="AJ35" s="39"/>
      <c r="AK35" s="72" t="str">
        <f t="shared" si="24"/>
        <v/>
      </c>
      <c r="AL35" s="72" t="str">
        <f t="shared" si="25"/>
        <v/>
      </c>
      <c r="AM35" s="39"/>
      <c r="AN35" s="72" t="str">
        <f t="shared" si="7"/>
        <v/>
      </c>
      <c r="AO35" s="72" t="str">
        <f t="shared" si="26"/>
        <v/>
      </c>
      <c r="AP35" s="39"/>
      <c r="AQ35" s="72" t="str">
        <f t="shared" si="8"/>
        <v/>
      </c>
      <c r="AR35" s="72" t="str">
        <f t="shared" si="27"/>
        <v/>
      </c>
      <c r="AS35" s="39"/>
      <c r="AT35" s="40" t="str">
        <f>IF($K35&lt;=$F$15,IF($F$40&lt;&gt;"",$F$40/1000,IF(ISERROR(VLOOKUP($F$3&amp;IF($G$4&lt;&gt;"",$G$4,"")&amp;IF($F$43&lt;&gt;"","_"&amp;$F$43,""),'表3）燃料価格'!$AF$9:$AG$25,2,0)),0,VLOOKUP($I35,'表3）燃料価格'!$A$6:$U$66,VLOOKUP($F$3&amp;IF($G$4&lt;&gt;"",$G$4,"")&amp;IF($F$43&lt;&gt;"","_"&amp;$F$43,""),'表3）燃料価格'!$AF$9:$AG$25,2,0)+VLOOKUP($F$41,'表3）燃料価格'!$AF$28:$AG$29,2,0),0)*IF($F$43="需要地価格",1,$F$8/$F$141))),"")</f>
        <v/>
      </c>
      <c r="AU35" s="39"/>
      <c r="AV35" s="72" t="str">
        <f t="shared" si="9"/>
        <v/>
      </c>
      <c r="AW35" s="72" t="str">
        <f t="shared" si="10"/>
        <v/>
      </c>
      <c r="AX35" s="39"/>
      <c r="AY35" s="40" t="str">
        <f>IF(ISERROR(IF($K35&lt;=$F$15,VLOOKUP($I35,'表4）CO2価格'!$A$7:$E$67,VLOOKUP($F$48,'表4）CO2価格'!$H$10:$I$12,2,0),0)*$F$8/1000,"")),0,IF($K35&lt;=$F$15,VLOOKUP($I35,'表4）CO2価格'!$A$7:$E$67,VLOOKUP($F$48,'表4）CO2価格'!$H$10:$I$12,2,0),0)*$F$8/1000,""))</f>
        <v/>
      </c>
      <c r="AZ35" s="39"/>
      <c r="BA35" s="42" t="str">
        <f t="shared" si="11"/>
        <v/>
      </c>
      <c r="BB35" s="72" t="str">
        <f t="shared" si="28"/>
        <v/>
      </c>
      <c r="BC35" s="39"/>
      <c r="BD35" s="72" t="str">
        <f t="shared" si="12"/>
        <v/>
      </c>
      <c r="BE35" s="72" t="str">
        <f t="shared" si="29"/>
        <v/>
      </c>
      <c r="BF35" s="39"/>
      <c r="BG35" s="42" t="str">
        <f t="shared" si="13"/>
        <v/>
      </c>
      <c r="BH35" s="72" t="str">
        <f t="shared" si="30"/>
        <v/>
      </c>
      <c r="BI35" s="39"/>
      <c r="BJ35" s="40" t="str">
        <f t="shared" si="31"/>
        <v/>
      </c>
      <c r="BK35" s="157" t="str">
        <f t="shared" si="32"/>
        <v/>
      </c>
      <c r="BL35" s="157" t="str">
        <f t="shared" si="14"/>
        <v/>
      </c>
      <c r="BM35" s="72"/>
      <c r="BN35" s="72" t="str">
        <f t="shared" si="33"/>
        <v/>
      </c>
      <c r="BO35" s="72" t="str">
        <f t="shared" si="34"/>
        <v/>
      </c>
      <c r="BP35" s="39"/>
      <c r="BQ35" s="72" t="str">
        <f t="shared" si="15"/>
        <v/>
      </c>
      <c r="BR35" s="72" t="str">
        <f t="shared" si="35"/>
        <v/>
      </c>
    </row>
    <row r="36" spans="3:70" x14ac:dyDescent="0.15">
      <c r="D36" s="81" t="s">
        <v>177</v>
      </c>
      <c r="F36" s="106"/>
      <c r="G36" s="81" t="s">
        <v>123</v>
      </c>
      <c r="I36" s="322">
        <f t="shared" si="36"/>
        <v>2041</v>
      </c>
      <c r="J36" s="71"/>
      <c r="K36" s="71">
        <f t="shared" si="37"/>
        <v>22</v>
      </c>
      <c r="L36" s="71"/>
      <c r="M36" s="7">
        <f t="shared" si="0"/>
        <v>0.52189250088258554</v>
      </c>
      <c r="N36" s="71"/>
      <c r="O36" s="10" t="str">
        <f t="shared" si="16"/>
        <v/>
      </c>
      <c r="P36" s="29" t="str">
        <f t="shared" si="1"/>
        <v/>
      </c>
      <c r="Q36" s="71"/>
      <c r="R36" s="10" t="str">
        <f t="shared" si="17"/>
        <v/>
      </c>
      <c r="S36" s="71"/>
      <c r="T36" s="10" t="str">
        <f t="shared" si="18"/>
        <v/>
      </c>
      <c r="U36" s="71"/>
      <c r="V36" s="10" t="str">
        <f t="shared" si="2"/>
        <v/>
      </c>
      <c r="W36" s="10" t="str">
        <f t="shared" si="19"/>
        <v/>
      </c>
      <c r="X36" s="71"/>
      <c r="Y36" s="10" t="str">
        <f t="shared" si="3"/>
        <v/>
      </c>
      <c r="Z36" s="10" t="str">
        <f t="shared" si="20"/>
        <v/>
      </c>
      <c r="AA36" s="71"/>
      <c r="AB36" s="10" t="str">
        <f t="shared" si="4"/>
        <v/>
      </c>
      <c r="AC36" s="10" t="str">
        <f t="shared" si="21"/>
        <v/>
      </c>
      <c r="AD36" s="71"/>
      <c r="AE36" s="10" t="str">
        <f t="shared" si="5"/>
        <v/>
      </c>
      <c r="AF36" s="10" t="str">
        <f t="shared" si="22"/>
        <v/>
      </c>
      <c r="AG36" s="71"/>
      <c r="AH36" s="10" t="str">
        <f t="shared" si="6"/>
        <v/>
      </c>
      <c r="AI36" s="10" t="str">
        <f t="shared" si="23"/>
        <v/>
      </c>
      <c r="AJ36" s="71"/>
      <c r="AK36" s="10" t="str">
        <f t="shared" si="24"/>
        <v/>
      </c>
      <c r="AL36" s="10" t="str">
        <f t="shared" si="25"/>
        <v/>
      </c>
      <c r="AM36" s="71"/>
      <c r="AN36" s="10" t="str">
        <f t="shared" si="7"/>
        <v/>
      </c>
      <c r="AO36" s="10" t="str">
        <f t="shared" si="26"/>
        <v/>
      </c>
      <c r="AP36" s="71"/>
      <c r="AQ36" s="10" t="str">
        <f t="shared" si="8"/>
        <v/>
      </c>
      <c r="AR36" s="10" t="str">
        <f t="shared" si="27"/>
        <v/>
      </c>
      <c r="AS36" s="71"/>
      <c r="AT36" s="7" t="str">
        <f>IF($K36&lt;=$F$15,IF($F$40&lt;&gt;"",$F$40/1000,IF(ISERROR(VLOOKUP($F$3&amp;IF($G$4&lt;&gt;"",$G$4,"")&amp;IF($F$43&lt;&gt;"","_"&amp;$F$43,""),'表3）燃料価格'!$AF$9:$AG$25,2,0)),0,VLOOKUP($I36,'表3）燃料価格'!$A$6:$U$66,VLOOKUP($F$3&amp;IF($G$4&lt;&gt;"",$G$4,"")&amp;IF($F$43&lt;&gt;"","_"&amp;$F$43,""),'表3）燃料価格'!$AF$9:$AG$25,2,0)+VLOOKUP($F$41,'表3）燃料価格'!$AF$28:$AG$29,2,0),0)*IF($F$43="需要地価格",1,$F$8/$F$141))),"")</f>
        <v/>
      </c>
      <c r="AU36" s="71"/>
      <c r="AV36" s="10" t="str">
        <f t="shared" si="9"/>
        <v/>
      </c>
      <c r="AW36" s="10" t="str">
        <f t="shared" si="10"/>
        <v/>
      </c>
      <c r="AX36" s="71"/>
      <c r="AY36" s="7" t="str">
        <f>IF(ISERROR(IF($K36&lt;=$F$15,VLOOKUP($I36,'表4）CO2価格'!$A$7:$E$67,VLOOKUP($F$48,'表4）CO2価格'!$H$10:$I$12,2,0),0)*$F$8/1000,"")),0,IF($K36&lt;=$F$15,VLOOKUP($I36,'表4）CO2価格'!$A$7:$E$67,VLOOKUP($F$48,'表4）CO2価格'!$H$10:$I$12,2,0),0)*$F$8/1000,""))</f>
        <v/>
      </c>
      <c r="AZ36" s="71"/>
      <c r="BA36" s="11" t="str">
        <f t="shared" si="11"/>
        <v/>
      </c>
      <c r="BB36" s="10" t="str">
        <f t="shared" si="28"/>
        <v/>
      </c>
      <c r="BC36" s="71"/>
      <c r="BD36" s="10" t="str">
        <f t="shared" si="12"/>
        <v/>
      </c>
      <c r="BE36" s="10" t="str">
        <f t="shared" si="29"/>
        <v/>
      </c>
      <c r="BF36" s="71"/>
      <c r="BG36" s="11" t="str">
        <f t="shared" si="13"/>
        <v/>
      </c>
      <c r="BH36" s="10" t="str">
        <f t="shared" si="30"/>
        <v/>
      </c>
      <c r="BJ36" s="7" t="str">
        <f t="shared" si="31"/>
        <v/>
      </c>
      <c r="BK36" s="158" t="str">
        <f t="shared" si="32"/>
        <v/>
      </c>
      <c r="BL36" s="158" t="str">
        <f t="shared" si="14"/>
        <v/>
      </c>
      <c r="BM36" s="10"/>
      <c r="BN36" s="10" t="str">
        <f t="shared" si="33"/>
        <v/>
      </c>
      <c r="BO36" s="10" t="str">
        <f t="shared" si="34"/>
        <v/>
      </c>
      <c r="BQ36" s="10" t="str">
        <f t="shared" si="15"/>
        <v/>
      </c>
      <c r="BR36" s="10" t="str">
        <f t="shared" si="35"/>
        <v/>
      </c>
    </row>
    <row r="37" spans="3:70" x14ac:dyDescent="0.15">
      <c r="I37" s="38">
        <f t="shared" si="36"/>
        <v>2042</v>
      </c>
      <c r="J37" s="39"/>
      <c r="K37" s="39">
        <f t="shared" si="37"/>
        <v>23</v>
      </c>
      <c r="L37" s="39"/>
      <c r="M37" s="40">
        <f t="shared" si="0"/>
        <v>0.50669174842969467</v>
      </c>
      <c r="N37" s="39"/>
      <c r="O37" s="72" t="str">
        <f t="shared" si="16"/>
        <v/>
      </c>
      <c r="P37" s="41" t="str">
        <f t="shared" si="1"/>
        <v/>
      </c>
      <c r="Q37" s="39"/>
      <c r="R37" s="72" t="str">
        <f t="shared" si="17"/>
        <v/>
      </c>
      <c r="S37" s="39"/>
      <c r="T37" s="72" t="str">
        <f t="shared" si="18"/>
        <v/>
      </c>
      <c r="U37" s="39"/>
      <c r="V37" s="72" t="str">
        <f t="shared" si="2"/>
        <v/>
      </c>
      <c r="W37" s="72" t="str">
        <f t="shared" si="19"/>
        <v/>
      </c>
      <c r="X37" s="39"/>
      <c r="Y37" s="72" t="str">
        <f t="shared" si="3"/>
        <v/>
      </c>
      <c r="Z37" s="72" t="str">
        <f t="shared" si="20"/>
        <v/>
      </c>
      <c r="AA37" s="39"/>
      <c r="AB37" s="72" t="str">
        <f t="shared" si="4"/>
        <v/>
      </c>
      <c r="AC37" s="72" t="str">
        <f t="shared" si="21"/>
        <v/>
      </c>
      <c r="AD37" s="39"/>
      <c r="AE37" s="72" t="str">
        <f t="shared" si="5"/>
        <v/>
      </c>
      <c r="AF37" s="72" t="str">
        <f t="shared" si="22"/>
        <v/>
      </c>
      <c r="AG37" s="39"/>
      <c r="AH37" s="72" t="str">
        <f t="shared" si="6"/>
        <v/>
      </c>
      <c r="AI37" s="72" t="str">
        <f t="shared" si="23"/>
        <v/>
      </c>
      <c r="AJ37" s="39"/>
      <c r="AK37" s="72" t="str">
        <f t="shared" si="24"/>
        <v/>
      </c>
      <c r="AL37" s="72" t="str">
        <f t="shared" si="25"/>
        <v/>
      </c>
      <c r="AM37" s="39"/>
      <c r="AN37" s="72" t="str">
        <f t="shared" si="7"/>
        <v/>
      </c>
      <c r="AO37" s="72" t="str">
        <f t="shared" si="26"/>
        <v/>
      </c>
      <c r="AP37" s="39"/>
      <c r="AQ37" s="72" t="str">
        <f t="shared" si="8"/>
        <v/>
      </c>
      <c r="AR37" s="72" t="str">
        <f t="shared" si="27"/>
        <v/>
      </c>
      <c r="AS37" s="39"/>
      <c r="AT37" s="40" t="str">
        <f>IF($K37&lt;=$F$15,IF($F$40&lt;&gt;"",$F$40/1000,IF(ISERROR(VLOOKUP($F$3&amp;IF($G$4&lt;&gt;"",$G$4,"")&amp;IF($F$43&lt;&gt;"","_"&amp;$F$43,""),'表3）燃料価格'!$AF$9:$AG$25,2,0)),0,VLOOKUP($I37,'表3）燃料価格'!$A$6:$U$66,VLOOKUP($F$3&amp;IF($G$4&lt;&gt;"",$G$4,"")&amp;IF($F$43&lt;&gt;"","_"&amp;$F$43,""),'表3）燃料価格'!$AF$9:$AG$25,2,0)+VLOOKUP($F$41,'表3）燃料価格'!$AF$28:$AG$29,2,0),0)*IF($F$43="需要地価格",1,$F$8/$F$141))),"")</f>
        <v/>
      </c>
      <c r="AU37" s="39"/>
      <c r="AV37" s="72" t="str">
        <f t="shared" si="9"/>
        <v/>
      </c>
      <c r="AW37" s="72" t="str">
        <f t="shared" si="10"/>
        <v/>
      </c>
      <c r="AX37" s="39"/>
      <c r="AY37" s="40" t="str">
        <f>IF(ISERROR(IF($K37&lt;=$F$15,VLOOKUP($I37,'表4）CO2価格'!$A$7:$E$67,VLOOKUP($F$48,'表4）CO2価格'!$H$10:$I$12,2,0),0)*$F$8/1000,"")),0,IF($K37&lt;=$F$15,VLOOKUP($I37,'表4）CO2価格'!$A$7:$E$67,VLOOKUP($F$48,'表4）CO2価格'!$H$10:$I$12,2,0),0)*$F$8/1000,""))</f>
        <v/>
      </c>
      <c r="AZ37" s="39"/>
      <c r="BA37" s="42" t="str">
        <f t="shared" si="11"/>
        <v/>
      </c>
      <c r="BB37" s="72" t="str">
        <f t="shared" si="28"/>
        <v/>
      </c>
      <c r="BC37" s="39"/>
      <c r="BD37" s="72" t="str">
        <f t="shared" si="12"/>
        <v/>
      </c>
      <c r="BE37" s="72" t="str">
        <f t="shared" si="29"/>
        <v/>
      </c>
      <c r="BF37" s="39"/>
      <c r="BG37" s="42" t="str">
        <f t="shared" si="13"/>
        <v/>
      </c>
      <c r="BH37" s="72" t="str">
        <f t="shared" si="30"/>
        <v/>
      </c>
      <c r="BI37" s="39"/>
      <c r="BJ37" s="40" t="str">
        <f t="shared" si="31"/>
        <v/>
      </c>
      <c r="BK37" s="157" t="str">
        <f t="shared" si="32"/>
        <v/>
      </c>
      <c r="BL37" s="157" t="str">
        <f t="shared" si="14"/>
        <v/>
      </c>
      <c r="BM37" s="72"/>
      <c r="BN37" s="72" t="str">
        <f t="shared" si="33"/>
        <v/>
      </c>
      <c r="BO37" s="72" t="str">
        <f t="shared" si="34"/>
        <v/>
      </c>
      <c r="BP37" s="39"/>
      <c r="BQ37" s="72" t="str">
        <f t="shared" si="15"/>
        <v/>
      </c>
      <c r="BR37" s="72" t="str">
        <f t="shared" si="35"/>
        <v/>
      </c>
    </row>
    <row r="38" spans="3:70" x14ac:dyDescent="0.15">
      <c r="C38" s="89" t="s">
        <v>508</v>
      </c>
      <c r="D38" s="101"/>
      <c r="E38" s="101"/>
      <c r="F38" s="89"/>
      <c r="G38" s="101"/>
      <c r="I38" s="322">
        <f t="shared" si="36"/>
        <v>2043</v>
      </c>
      <c r="J38" s="71"/>
      <c r="K38" s="71">
        <f t="shared" si="37"/>
        <v>24</v>
      </c>
      <c r="L38" s="71"/>
      <c r="M38" s="7">
        <f t="shared" si="0"/>
        <v>0.49193373633950943</v>
      </c>
      <c r="N38" s="71"/>
      <c r="O38" s="10" t="str">
        <f t="shared" si="16"/>
        <v/>
      </c>
      <c r="P38" s="29" t="str">
        <f t="shared" si="1"/>
        <v/>
      </c>
      <c r="Q38" s="71"/>
      <c r="R38" s="10" t="str">
        <f t="shared" si="17"/>
        <v/>
      </c>
      <c r="S38" s="71"/>
      <c r="T38" s="10" t="str">
        <f t="shared" si="18"/>
        <v/>
      </c>
      <c r="U38" s="71"/>
      <c r="V38" s="10" t="str">
        <f t="shared" si="2"/>
        <v/>
      </c>
      <c r="W38" s="10" t="str">
        <f t="shared" si="19"/>
        <v/>
      </c>
      <c r="X38" s="71"/>
      <c r="Y38" s="10" t="str">
        <f t="shared" si="3"/>
        <v/>
      </c>
      <c r="Z38" s="10" t="str">
        <f t="shared" si="20"/>
        <v/>
      </c>
      <c r="AA38" s="71"/>
      <c r="AB38" s="10" t="str">
        <f t="shared" si="4"/>
        <v/>
      </c>
      <c r="AC38" s="10" t="str">
        <f t="shared" si="21"/>
        <v/>
      </c>
      <c r="AD38" s="71"/>
      <c r="AE38" s="10" t="str">
        <f t="shared" si="5"/>
        <v/>
      </c>
      <c r="AF38" s="10" t="str">
        <f t="shared" si="22"/>
        <v/>
      </c>
      <c r="AG38" s="71"/>
      <c r="AH38" s="10" t="str">
        <f t="shared" si="6"/>
        <v/>
      </c>
      <c r="AI38" s="10" t="str">
        <f t="shared" si="23"/>
        <v/>
      </c>
      <c r="AJ38" s="71"/>
      <c r="AK38" s="10" t="str">
        <f t="shared" si="24"/>
        <v/>
      </c>
      <c r="AL38" s="10" t="str">
        <f t="shared" si="25"/>
        <v/>
      </c>
      <c r="AM38" s="71"/>
      <c r="AN38" s="10" t="str">
        <f t="shared" si="7"/>
        <v/>
      </c>
      <c r="AO38" s="10" t="str">
        <f t="shared" si="26"/>
        <v/>
      </c>
      <c r="AP38" s="71"/>
      <c r="AQ38" s="10" t="str">
        <f t="shared" si="8"/>
        <v/>
      </c>
      <c r="AR38" s="10" t="str">
        <f t="shared" si="27"/>
        <v/>
      </c>
      <c r="AS38" s="71"/>
      <c r="AT38" s="7" t="str">
        <f>IF($K38&lt;=$F$15,IF($F$40&lt;&gt;"",$F$40/1000,IF(ISERROR(VLOOKUP($F$3&amp;IF($G$4&lt;&gt;"",$G$4,"")&amp;IF($F$43&lt;&gt;"","_"&amp;$F$43,""),'表3）燃料価格'!$AF$9:$AG$25,2,0)),0,VLOOKUP($I38,'表3）燃料価格'!$A$6:$U$66,VLOOKUP($F$3&amp;IF($G$4&lt;&gt;"",$G$4,"")&amp;IF($F$43&lt;&gt;"","_"&amp;$F$43,""),'表3）燃料価格'!$AF$9:$AG$25,2,0)+VLOOKUP($F$41,'表3）燃料価格'!$AF$28:$AG$29,2,0),0)*IF($F$43="需要地価格",1,$F$8/$F$141))),"")</f>
        <v/>
      </c>
      <c r="AU38" s="71"/>
      <c r="AV38" s="10" t="str">
        <f t="shared" si="9"/>
        <v/>
      </c>
      <c r="AW38" s="10" t="str">
        <f t="shared" si="10"/>
        <v/>
      </c>
      <c r="AX38" s="71"/>
      <c r="AY38" s="7" t="str">
        <f>IF(ISERROR(IF($K38&lt;=$F$15,VLOOKUP($I38,'表4）CO2価格'!$A$7:$E$67,VLOOKUP($F$48,'表4）CO2価格'!$H$10:$I$12,2,0),0)*$F$8/1000,"")),0,IF($K38&lt;=$F$15,VLOOKUP($I38,'表4）CO2価格'!$A$7:$E$67,VLOOKUP($F$48,'表4）CO2価格'!$H$10:$I$12,2,0),0)*$F$8/1000,""))</f>
        <v/>
      </c>
      <c r="AZ38" s="71"/>
      <c r="BA38" s="11" t="str">
        <f t="shared" si="11"/>
        <v/>
      </c>
      <c r="BB38" s="10" t="str">
        <f t="shared" si="28"/>
        <v/>
      </c>
      <c r="BC38" s="71"/>
      <c r="BD38" s="10" t="str">
        <f t="shared" si="12"/>
        <v/>
      </c>
      <c r="BE38" s="10" t="str">
        <f t="shared" si="29"/>
        <v/>
      </c>
      <c r="BF38" s="71"/>
      <c r="BG38" s="11" t="str">
        <f t="shared" si="13"/>
        <v/>
      </c>
      <c r="BH38" s="10" t="str">
        <f t="shared" si="30"/>
        <v/>
      </c>
      <c r="BJ38" s="7" t="str">
        <f t="shared" si="31"/>
        <v/>
      </c>
      <c r="BK38" s="158" t="str">
        <f t="shared" si="32"/>
        <v/>
      </c>
      <c r="BL38" s="158" t="str">
        <f t="shared" si="14"/>
        <v/>
      </c>
      <c r="BM38" s="10"/>
      <c r="BN38" s="10" t="str">
        <f t="shared" si="33"/>
        <v/>
      </c>
      <c r="BO38" s="10" t="str">
        <f t="shared" si="34"/>
        <v/>
      </c>
      <c r="BQ38" s="10" t="str">
        <f t="shared" si="15"/>
        <v/>
      </c>
      <c r="BR38" s="10" t="str">
        <f t="shared" si="35"/>
        <v/>
      </c>
    </row>
    <row r="39" spans="3:70" x14ac:dyDescent="0.15">
      <c r="I39" s="38">
        <f t="shared" si="36"/>
        <v>2044</v>
      </c>
      <c r="J39" s="39"/>
      <c r="K39" s="39">
        <f t="shared" si="37"/>
        <v>25</v>
      </c>
      <c r="L39" s="39"/>
      <c r="M39" s="40">
        <f t="shared" si="0"/>
        <v>0.47760556926165965</v>
      </c>
      <c r="N39" s="39"/>
      <c r="O39" s="72" t="str">
        <f t="shared" si="16"/>
        <v/>
      </c>
      <c r="P39" s="41" t="str">
        <f t="shared" si="1"/>
        <v/>
      </c>
      <c r="Q39" s="39"/>
      <c r="R39" s="72" t="str">
        <f t="shared" si="17"/>
        <v/>
      </c>
      <c r="S39" s="39"/>
      <c r="T39" s="72" t="str">
        <f t="shared" si="18"/>
        <v/>
      </c>
      <c r="U39" s="39"/>
      <c r="V39" s="72" t="str">
        <f t="shared" si="2"/>
        <v/>
      </c>
      <c r="W39" s="72" t="str">
        <f t="shared" si="19"/>
        <v/>
      </c>
      <c r="X39" s="39"/>
      <c r="Y39" s="72" t="str">
        <f t="shared" si="3"/>
        <v/>
      </c>
      <c r="Z39" s="72" t="str">
        <f t="shared" si="20"/>
        <v/>
      </c>
      <c r="AA39" s="39"/>
      <c r="AB39" s="72" t="str">
        <f t="shared" si="4"/>
        <v/>
      </c>
      <c r="AC39" s="72" t="str">
        <f t="shared" si="21"/>
        <v/>
      </c>
      <c r="AD39" s="39"/>
      <c r="AE39" s="72" t="str">
        <f t="shared" si="5"/>
        <v/>
      </c>
      <c r="AF39" s="72" t="str">
        <f t="shared" si="22"/>
        <v/>
      </c>
      <c r="AG39" s="39"/>
      <c r="AH39" s="72" t="str">
        <f t="shared" si="6"/>
        <v/>
      </c>
      <c r="AI39" s="72" t="str">
        <f t="shared" si="23"/>
        <v/>
      </c>
      <c r="AJ39" s="39"/>
      <c r="AK39" s="72" t="str">
        <f t="shared" si="24"/>
        <v/>
      </c>
      <c r="AL39" s="72" t="str">
        <f t="shared" si="25"/>
        <v/>
      </c>
      <c r="AM39" s="39"/>
      <c r="AN39" s="72" t="str">
        <f t="shared" si="7"/>
        <v/>
      </c>
      <c r="AO39" s="72" t="str">
        <f t="shared" si="26"/>
        <v/>
      </c>
      <c r="AP39" s="39"/>
      <c r="AQ39" s="72" t="str">
        <f t="shared" si="8"/>
        <v/>
      </c>
      <c r="AR39" s="72" t="str">
        <f t="shared" si="27"/>
        <v/>
      </c>
      <c r="AS39" s="39"/>
      <c r="AT39" s="40" t="str">
        <f>IF($K39&lt;=$F$15,IF($F$40&lt;&gt;"",$F$40/1000,IF(ISERROR(VLOOKUP($F$3&amp;IF($G$4&lt;&gt;"",$G$4,"")&amp;IF($F$43&lt;&gt;"","_"&amp;$F$43,""),'表3）燃料価格'!$AF$9:$AG$25,2,0)),0,VLOOKUP($I39,'表3）燃料価格'!$A$6:$U$66,VLOOKUP($F$3&amp;IF($G$4&lt;&gt;"",$G$4,"")&amp;IF($F$43&lt;&gt;"","_"&amp;$F$43,""),'表3）燃料価格'!$AF$9:$AG$25,2,0)+VLOOKUP($F$41,'表3）燃料価格'!$AF$28:$AG$29,2,0),0)*IF($F$43="需要地価格",1,$F$8/$F$141))),"")</f>
        <v/>
      </c>
      <c r="AU39" s="39"/>
      <c r="AV39" s="72" t="str">
        <f t="shared" si="9"/>
        <v/>
      </c>
      <c r="AW39" s="72" t="str">
        <f t="shared" si="10"/>
        <v/>
      </c>
      <c r="AX39" s="39"/>
      <c r="AY39" s="40" t="str">
        <f>IF(ISERROR(IF($K39&lt;=$F$15,VLOOKUP($I39,'表4）CO2価格'!$A$7:$E$67,VLOOKUP($F$48,'表4）CO2価格'!$H$10:$I$12,2,0),0)*$F$8/1000,"")),0,IF($K39&lt;=$F$15,VLOOKUP($I39,'表4）CO2価格'!$A$7:$E$67,VLOOKUP($F$48,'表4）CO2価格'!$H$10:$I$12,2,0),0)*$F$8/1000,""))</f>
        <v/>
      </c>
      <c r="AZ39" s="39"/>
      <c r="BA39" s="42" t="str">
        <f t="shared" si="11"/>
        <v/>
      </c>
      <c r="BB39" s="72" t="str">
        <f t="shared" si="28"/>
        <v/>
      </c>
      <c r="BC39" s="39"/>
      <c r="BD39" s="72" t="str">
        <f t="shared" si="12"/>
        <v/>
      </c>
      <c r="BE39" s="72" t="str">
        <f t="shared" si="29"/>
        <v/>
      </c>
      <c r="BF39" s="39"/>
      <c r="BG39" s="42" t="str">
        <f t="shared" si="13"/>
        <v/>
      </c>
      <c r="BH39" s="72" t="str">
        <f t="shared" si="30"/>
        <v/>
      </c>
      <c r="BI39" s="39"/>
      <c r="BJ39" s="40" t="str">
        <f t="shared" si="31"/>
        <v/>
      </c>
      <c r="BK39" s="157" t="str">
        <f t="shared" si="32"/>
        <v/>
      </c>
      <c r="BL39" s="157" t="str">
        <f t="shared" si="14"/>
        <v/>
      </c>
      <c r="BM39" s="72"/>
      <c r="BN39" s="72" t="str">
        <f t="shared" si="33"/>
        <v/>
      </c>
      <c r="BO39" s="72" t="str">
        <f t="shared" si="34"/>
        <v/>
      </c>
      <c r="BP39" s="39"/>
      <c r="BQ39" s="72" t="str">
        <f t="shared" si="15"/>
        <v/>
      </c>
      <c r="BR39" s="72" t="str">
        <f t="shared" si="35"/>
        <v/>
      </c>
    </row>
    <row r="40" spans="3:70" x14ac:dyDescent="0.15">
      <c r="D40" s="81" t="s">
        <v>124</v>
      </c>
      <c r="F40" s="108"/>
      <c r="G40" s="82" t="s">
        <v>178</v>
      </c>
      <c r="I40" s="322">
        <f t="shared" si="36"/>
        <v>2045</v>
      </c>
      <c r="J40" s="71"/>
      <c r="K40" s="71">
        <f t="shared" si="37"/>
        <v>26</v>
      </c>
      <c r="L40" s="71"/>
      <c r="M40" s="7">
        <f t="shared" si="0"/>
        <v>0.46369472743850448</v>
      </c>
      <c r="N40" s="71"/>
      <c r="O40" s="10" t="str">
        <f t="shared" si="16"/>
        <v/>
      </c>
      <c r="P40" s="29" t="str">
        <f t="shared" si="1"/>
        <v/>
      </c>
      <c r="Q40" s="71"/>
      <c r="R40" s="10" t="str">
        <f t="shared" si="17"/>
        <v/>
      </c>
      <c r="S40" s="71"/>
      <c r="T40" s="10" t="str">
        <f t="shared" si="18"/>
        <v/>
      </c>
      <c r="U40" s="71"/>
      <c r="V40" s="10" t="str">
        <f t="shared" si="2"/>
        <v/>
      </c>
      <c r="W40" s="10" t="str">
        <f t="shared" si="19"/>
        <v/>
      </c>
      <c r="X40" s="71"/>
      <c r="Y40" s="10" t="str">
        <f t="shared" si="3"/>
        <v/>
      </c>
      <c r="Z40" s="10" t="str">
        <f t="shared" si="20"/>
        <v/>
      </c>
      <c r="AA40" s="71"/>
      <c r="AB40" s="10" t="str">
        <f t="shared" si="4"/>
        <v/>
      </c>
      <c r="AC40" s="10" t="str">
        <f t="shared" si="21"/>
        <v/>
      </c>
      <c r="AD40" s="71"/>
      <c r="AE40" s="10" t="str">
        <f t="shared" si="5"/>
        <v/>
      </c>
      <c r="AF40" s="10" t="str">
        <f t="shared" si="22"/>
        <v/>
      </c>
      <c r="AG40" s="71"/>
      <c r="AH40" s="10" t="str">
        <f t="shared" si="6"/>
        <v/>
      </c>
      <c r="AI40" s="10" t="str">
        <f t="shared" si="23"/>
        <v/>
      </c>
      <c r="AJ40" s="71"/>
      <c r="AK40" s="10" t="str">
        <f t="shared" si="24"/>
        <v/>
      </c>
      <c r="AL40" s="10" t="str">
        <f t="shared" si="25"/>
        <v/>
      </c>
      <c r="AM40" s="71"/>
      <c r="AN40" s="10" t="str">
        <f t="shared" si="7"/>
        <v/>
      </c>
      <c r="AO40" s="10" t="str">
        <f t="shared" si="26"/>
        <v/>
      </c>
      <c r="AP40" s="71"/>
      <c r="AQ40" s="10" t="str">
        <f t="shared" si="8"/>
        <v/>
      </c>
      <c r="AR40" s="10" t="str">
        <f t="shared" si="27"/>
        <v/>
      </c>
      <c r="AS40" s="71"/>
      <c r="AT40" s="7" t="str">
        <f>IF($K40&lt;=$F$15,IF($F$40&lt;&gt;"",$F$40/1000,IF(ISERROR(VLOOKUP($F$3&amp;IF($G$4&lt;&gt;"",$G$4,"")&amp;IF($F$43&lt;&gt;"","_"&amp;$F$43,""),'表3）燃料価格'!$AF$9:$AG$25,2,0)),0,VLOOKUP($I40,'表3）燃料価格'!$A$6:$U$66,VLOOKUP($F$3&amp;IF($G$4&lt;&gt;"",$G$4,"")&amp;IF($F$43&lt;&gt;"","_"&amp;$F$43,""),'表3）燃料価格'!$AF$9:$AG$25,2,0)+VLOOKUP($F$41,'表3）燃料価格'!$AF$28:$AG$29,2,0),0)*IF($F$43="需要地価格",1,$F$8/$F$141))),"")</f>
        <v/>
      </c>
      <c r="AU40" s="71"/>
      <c r="AV40" s="10" t="str">
        <f t="shared" si="9"/>
        <v/>
      </c>
      <c r="AW40" s="10" t="str">
        <f t="shared" si="10"/>
        <v/>
      </c>
      <c r="AX40" s="71"/>
      <c r="AY40" s="7" t="str">
        <f>IF(ISERROR(IF($K40&lt;=$F$15,VLOOKUP($I40,'表4）CO2価格'!$A$7:$E$67,VLOOKUP($F$48,'表4）CO2価格'!$H$10:$I$12,2,0),0)*$F$8/1000,"")),0,IF($K40&lt;=$F$15,VLOOKUP($I40,'表4）CO2価格'!$A$7:$E$67,VLOOKUP($F$48,'表4）CO2価格'!$H$10:$I$12,2,0),0)*$F$8/1000,""))</f>
        <v/>
      </c>
      <c r="AZ40" s="71"/>
      <c r="BA40" s="11" t="str">
        <f t="shared" si="11"/>
        <v/>
      </c>
      <c r="BB40" s="10" t="str">
        <f t="shared" si="28"/>
        <v/>
      </c>
      <c r="BC40" s="71"/>
      <c r="BD40" s="10" t="str">
        <f t="shared" si="12"/>
        <v/>
      </c>
      <c r="BE40" s="10" t="str">
        <f t="shared" si="29"/>
        <v/>
      </c>
      <c r="BF40" s="71"/>
      <c r="BG40" s="11" t="str">
        <f t="shared" si="13"/>
        <v/>
      </c>
      <c r="BH40" s="10" t="str">
        <f t="shared" si="30"/>
        <v/>
      </c>
      <c r="BJ40" s="7" t="str">
        <f t="shared" si="31"/>
        <v/>
      </c>
      <c r="BK40" s="158" t="str">
        <f t="shared" si="32"/>
        <v/>
      </c>
      <c r="BL40" s="158" t="str">
        <f t="shared" si="14"/>
        <v/>
      </c>
      <c r="BM40" s="10"/>
      <c r="BN40" s="10" t="str">
        <f t="shared" si="33"/>
        <v/>
      </c>
      <c r="BO40" s="10" t="str">
        <f t="shared" si="34"/>
        <v/>
      </c>
      <c r="BQ40" s="10" t="str">
        <f t="shared" si="15"/>
        <v/>
      </c>
      <c r="BR40" s="10" t="str">
        <f t="shared" si="35"/>
        <v/>
      </c>
    </row>
    <row r="41" spans="3:70" x14ac:dyDescent="0.15">
      <c r="D41" s="81" t="s">
        <v>179</v>
      </c>
      <c r="F41" s="88" t="str">
        <f>まとめ!B4</f>
        <v>WEO2020　STEPS</v>
      </c>
      <c r="I41" s="38">
        <f t="shared" si="36"/>
        <v>2046</v>
      </c>
      <c r="J41" s="39"/>
      <c r="K41" s="39">
        <f t="shared" si="37"/>
        <v>27</v>
      </c>
      <c r="L41" s="39"/>
      <c r="M41" s="40">
        <f t="shared" si="0"/>
        <v>0.45018905576553836</v>
      </c>
      <c r="N41" s="39"/>
      <c r="O41" s="72" t="str">
        <f t="shared" si="16"/>
        <v/>
      </c>
      <c r="P41" s="41" t="str">
        <f t="shared" si="1"/>
        <v/>
      </c>
      <c r="Q41" s="39"/>
      <c r="R41" s="72" t="str">
        <f t="shared" si="17"/>
        <v/>
      </c>
      <c r="S41" s="39"/>
      <c r="T41" s="72" t="str">
        <f t="shared" si="18"/>
        <v/>
      </c>
      <c r="U41" s="39"/>
      <c r="V41" s="72" t="str">
        <f t="shared" si="2"/>
        <v/>
      </c>
      <c r="W41" s="72" t="str">
        <f t="shared" si="19"/>
        <v/>
      </c>
      <c r="X41" s="39"/>
      <c r="Y41" s="72" t="str">
        <f t="shared" si="3"/>
        <v/>
      </c>
      <c r="Z41" s="72" t="str">
        <f t="shared" si="20"/>
        <v/>
      </c>
      <c r="AA41" s="39"/>
      <c r="AB41" s="72" t="str">
        <f t="shared" si="4"/>
        <v/>
      </c>
      <c r="AC41" s="72" t="str">
        <f t="shared" si="21"/>
        <v/>
      </c>
      <c r="AD41" s="39"/>
      <c r="AE41" s="72" t="str">
        <f t="shared" si="5"/>
        <v/>
      </c>
      <c r="AF41" s="72" t="str">
        <f t="shared" si="22"/>
        <v/>
      </c>
      <c r="AG41" s="39"/>
      <c r="AH41" s="72" t="str">
        <f t="shared" si="6"/>
        <v/>
      </c>
      <c r="AI41" s="72" t="str">
        <f t="shared" si="23"/>
        <v/>
      </c>
      <c r="AJ41" s="39"/>
      <c r="AK41" s="72" t="str">
        <f t="shared" si="24"/>
        <v/>
      </c>
      <c r="AL41" s="72" t="str">
        <f t="shared" si="25"/>
        <v/>
      </c>
      <c r="AM41" s="39"/>
      <c r="AN41" s="72" t="str">
        <f t="shared" si="7"/>
        <v/>
      </c>
      <c r="AO41" s="72" t="str">
        <f t="shared" si="26"/>
        <v/>
      </c>
      <c r="AP41" s="39"/>
      <c r="AQ41" s="72" t="str">
        <f t="shared" si="8"/>
        <v/>
      </c>
      <c r="AR41" s="72" t="str">
        <f t="shared" si="27"/>
        <v/>
      </c>
      <c r="AS41" s="39"/>
      <c r="AT41" s="40" t="str">
        <f>IF($K41&lt;=$F$15,IF($F$40&lt;&gt;"",$F$40/1000,IF(ISERROR(VLOOKUP($F$3&amp;IF($G$4&lt;&gt;"",$G$4,"")&amp;IF($F$43&lt;&gt;"","_"&amp;$F$43,""),'表3）燃料価格'!$AF$9:$AG$25,2,0)),0,VLOOKUP($I41,'表3）燃料価格'!$A$6:$U$66,VLOOKUP($F$3&amp;IF($G$4&lt;&gt;"",$G$4,"")&amp;IF($F$43&lt;&gt;"","_"&amp;$F$43,""),'表3）燃料価格'!$AF$9:$AG$25,2,0)+VLOOKUP($F$41,'表3）燃料価格'!$AF$28:$AG$29,2,0),0)*IF($F$43="需要地価格",1,$F$8/$F$141))),"")</f>
        <v/>
      </c>
      <c r="AU41" s="39"/>
      <c r="AV41" s="72" t="str">
        <f t="shared" si="9"/>
        <v/>
      </c>
      <c r="AW41" s="72" t="str">
        <f t="shared" si="10"/>
        <v/>
      </c>
      <c r="AX41" s="39"/>
      <c r="AY41" s="40" t="str">
        <f>IF(ISERROR(IF($K41&lt;=$F$15,VLOOKUP($I41,'表4）CO2価格'!$A$7:$E$67,VLOOKUP($F$48,'表4）CO2価格'!$H$10:$I$12,2,0),0)*$F$8/1000,"")),0,IF($K41&lt;=$F$15,VLOOKUP($I41,'表4）CO2価格'!$A$7:$E$67,VLOOKUP($F$48,'表4）CO2価格'!$H$10:$I$12,2,0),0)*$F$8/1000,""))</f>
        <v/>
      </c>
      <c r="AZ41" s="39"/>
      <c r="BA41" s="42" t="str">
        <f t="shared" si="11"/>
        <v/>
      </c>
      <c r="BB41" s="72" t="str">
        <f t="shared" si="28"/>
        <v/>
      </c>
      <c r="BC41" s="39"/>
      <c r="BD41" s="72" t="str">
        <f t="shared" si="12"/>
        <v/>
      </c>
      <c r="BE41" s="72" t="str">
        <f t="shared" si="29"/>
        <v/>
      </c>
      <c r="BF41" s="39"/>
      <c r="BG41" s="42" t="str">
        <f t="shared" si="13"/>
        <v/>
      </c>
      <c r="BH41" s="72" t="str">
        <f t="shared" si="30"/>
        <v/>
      </c>
      <c r="BI41" s="39"/>
      <c r="BJ41" s="40" t="str">
        <f t="shared" si="31"/>
        <v/>
      </c>
      <c r="BK41" s="157" t="str">
        <f t="shared" si="32"/>
        <v/>
      </c>
      <c r="BL41" s="157" t="str">
        <f t="shared" si="14"/>
        <v/>
      </c>
      <c r="BM41" s="72"/>
      <c r="BN41" s="72" t="str">
        <f t="shared" si="33"/>
        <v/>
      </c>
      <c r="BO41" s="72" t="str">
        <f t="shared" si="34"/>
        <v/>
      </c>
      <c r="BP41" s="39"/>
      <c r="BQ41" s="72" t="str">
        <f t="shared" si="15"/>
        <v/>
      </c>
      <c r="BR41" s="72" t="str">
        <f t="shared" si="35"/>
        <v/>
      </c>
    </row>
    <row r="42" spans="3:70" x14ac:dyDescent="0.15">
      <c r="D42" s="81" t="s">
        <v>180</v>
      </c>
      <c r="F42" s="59">
        <f>IF($F$43="需要地価格",0,2800)</f>
        <v>2800</v>
      </c>
      <c r="G42" s="81" t="s">
        <v>181</v>
      </c>
      <c r="I42" s="322">
        <f t="shared" si="36"/>
        <v>2047</v>
      </c>
      <c r="J42" s="71"/>
      <c r="K42" s="71">
        <f t="shared" si="37"/>
        <v>28</v>
      </c>
      <c r="L42" s="71"/>
      <c r="M42" s="7">
        <f t="shared" si="0"/>
        <v>0.4370767531704256</v>
      </c>
      <c r="N42" s="71"/>
      <c r="O42" s="10" t="str">
        <f t="shared" si="16"/>
        <v/>
      </c>
      <c r="P42" s="29" t="str">
        <f t="shared" si="1"/>
        <v/>
      </c>
      <c r="Q42" s="71"/>
      <c r="R42" s="10" t="str">
        <f t="shared" si="17"/>
        <v/>
      </c>
      <c r="S42" s="71"/>
      <c r="T42" s="10" t="str">
        <f t="shared" si="18"/>
        <v/>
      </c>
      <c r="U42" s="71"/>
      <c r="V42" s="10" t="str">
        <f t="shared" si="2"/>
        <v/>
      </c>
      <c r="W42" s="10" t="str">
        <f t="shared" si="19"/>
        <v/>
      </c>
      <c r="X42" s="71"/>
      <c r="Y42" s="10" t="str">
        <f t="shared" si="3"/>
        <v/>
      </c>
      <c r="Z42" s="10" t="str">
        <f t="shared" si="20"/>
        <v/>
      </c>
      <c r="AA42" s="71"/>
      <c r="AB42" s="10" t="str">
        <f t="shared" si="4"/>
        <v/>
      </c>
      <c r="AC42" s="10" t="str">
        <f t="shared" si="21"/>
        <v/>
      </c>
      <c r="AD42" s="71"/>
      <c r="AE42" s="10" t="str">
        <f t="shared" si="5"/>
        <v/>
      </c>
      <c r="AF42" s="10" t="str">
        <f t="shared" si="22"/>
        <v/>
      </c>
      <c r="AG42" s="71"/>
      <c r="AH42" s="10" t="str">
        <f t="shared" si="6"/>
        <v/>
      </c>
      <c r="AI42" s="10" t="str">
        <f t="shared" si="23"/>
        <v/>
      </c>
      <c r="AJ42" s="71"/>
      <c r="AK42" s="10" t="str">
        <f t="shared" si="24"/>
        <v/>
      </c>
      <c r="AL42" s="10" t="str">
        <f t="shared" si="25"/>
        <v/>
      </c>
      <c r="AM42" s="71"/>
      <c r="AN42" s="10" t="str">
        <f t="shared" si="7"/>
        <v/>
      </c>
      <c r="AO42" s="10" t="str">
        <f t="shared" si="26"/>
        <v/>
      </c>
      <c r="AP42" s="71"/>
      <c r="AQ42" s="10" t="str">
        <f t="shared" si="8"/>
        <v/>
      </c>
      <c r="AR42" s="10" t="str">
        <f t="shared" si="27"/>
        <v/>
      </c>
      <c r="AS42" s="71"/>
      <c r="AT42" s="7" t="str">
        <f>IF($K42&lt;=$F$15,IF($F$40&lt;&gt;"",$F$40/1000,IF(ISERROR(VLOOKUP($F$3&amp;IF($G$4&lt;&gt;"",$G$4,"")&amp;IF($F$43&lt;&gt;"","_"&amp;$F$43,""),'表3）燃料価格'!$AF$9:$AG$25,2,0)),0,VLOOKUP($I42,'表3）燃料価格'!$A$6:$U$66,VLOOKUP($F$3&amp;IF($G$4&lt;&gt;"",$G$4,"")&amp;IF($F$43&lt;&gt;"","_"&amp;$F$43,""),'表3）燃料価格'!$AF$9:$AG$25,2,0)+VLOOKUP($F$41,'表3）燃料価格'!$AF$28:$AG$29,2,0),0)*IF($F$43="需要地価格",1,$F$8/$F$141))),"")</f>
        <v/>
      </c>
      <c r="AU42" s="71"/>
      <c r="AV42" s="10" t="str">
        <f t="shared" si="9"/>
        <v/>
      </c>
      <c r="AW42" s="10" t="str">
        <f t="shared" si="10"/>
        <v/>
      </c>
      <c r="AX42" s="71"/>
      <c r="AY42" s="7" t="str">
        <f>IF(ISERROR(IF($K42&lt;=$F$15,VLOOKUP($I42,'表4）CO2価格'!$A$7:$E$67,VLOOKUP($F$48,'表4）CO2価格'!$H$10:$I$12,2,0),0)*$F$8/1000,"")),0,IF($K42&lt;=$F$15,VLOOKUP($I42,'表4）CO2価格'!$A$7:$E$67,VLOOKUP($F$48,'表4）CO2価格'!$H$10:$I$12,2,0),0)*$F$8/1000,""))</f>
        <v/>
      </c>
      <c r="AZ42" s="71"/>
      <c r="BA42" s="11" t="str">
        <f t="shared" si="11"/>
        <v/>
      </c>
      <c r="BB42" s="10" t="str">
        <f t="shared" si="28"/>
        <v/>
      </c>
      <c r="BC42" s="71"/>
      <c r="BD42" s="10" t="str">
        <f t="shared" si="12"/>
        <v/>
      </c>
      <c r="BE42" s="10" t="str">
        <f t="shared" si="29"/>
        <v/>
      </c>
      <c r="BF42" s="71"/>
      <c r="BG42" s="11" t="str">
        <f t="shared" si="13"/>
        <v/>
      </c>
      <c r="BH42" s="10" t="str">
        <f t="shared" si="30"/>
        <v/>
      </c>
      <c r="BJ42" s="7" t="str">
        <f t="shared" si="31"/>
        <v/>
      </c>
      <c r="BK42" s="158" t="str">
        <f t="shared" si="32"/>
        <v/>
      </c>
      <c r="BL42" s="158" t="str">
        <f t="shared" si="14"/>
        <v/>
      </c>
      <c r="BM42" s="10"/>
      <c r="BN42" s="10" t="str">
        <f t="shared" si="33"/>
        <v/>
      </c>
      <c r="BO42" s="10" t="str">
        <f t="shared" si="34"/>
        <v/>
      </c>
      <c r="BQ42" s="10" t="str">
        <f t="shared" si="15"/>
        <v/>
      </c>
      <c r="BR42" s="10" t="str">
        <f t="shared" si="35"/>
        <v/>
      </c>
    </row>
    <row r="43" spans="3:70" x14ac:dyDescent="0.15">
      <c r="D43" s="82" t="s">
        <v>126</v>
      </c>
      <c r="F43" s="88" t="str">
        <f>まとめ!B8</f>
        <v>CIF価格</v>
      </c>
      <c r="I43" s="38">
        <f t="shared" si="36"/>
        <v>2048</v>
      </c>
      <c r="J43" s="39"/>
      <c r="K43" s="39">
        <f t="shared" si="37"/>
        <v>29</v>
      </c>
      <c r="L43" s="39"/>
      <c r="M43" s="40">
        <f t="shared" si="0"/>
        <v>0.42434636230138412</v>
      </c>
      <c r="N43" s="39"/>
      <c r="O43" s="72" t="str">
        <f t="shared" si="16"/>
        <v/>
      </c>
      <c r="P43" s="41" t="str">
        <f t="shared" si="1"/>
        <v/>
      </c>
      <c r="Q43" s="39"/>
      <c r="R43" s="72" t="str">
        <f t="shared" si="17"/>
        <v/>
      </c>
      <c r="S43" s="39"/>
      <c r="T43" s="72" t="str">
        <f t="shared" si="18"/>
        <v/>
      </c>
      <c r="U43" s="39"/>
      <c r="V43" s="72" t="str">
        <f t="shared" si="2"/>
        <v/>
      </c>
      <c r="W43" s="72" t="str">
        <f t="shared" si="19"/>
        <v/>
      </c>
      <c r="X43" s="39"/>
      <c r="Y43" s="72" t="str">
        <f t="shared" si="3"/>
        <v/>
      </c>
      <c r="Z43" s="72" t="str">
        <f t="shared" si="20"/>
        <v/>
      </c>
      <c r="AA43" s="39"/>
      <c r="AB43" s="72" t="str">
        <f t="shared" si="4"/>
        <v/>
      </c>
      <c r="AC43" s="72" t="str">
        <f t="shared" si="21"/>
        <v/>
      </c>
      <c r="AD43" s="39"/>
      <c r="AE43" s="72" t="str">
        <f t="shared" si="5"/>
        <v/>
      </c>
      <c r="AF43" s="72" t="str">
        <f t="shared" si="22"/>
        <v/>
      </c>
      <c r="AG43" s="39"/>
      <c r="AH43" s="72" t="str">
        <f t="shared" si="6"/>
        <v/>
      </c>
      <c r="AI43" s="72" t="str">
        <f t="shared" si="23"/>
        <v/>
      </c>
      <c r="AJ43" s="39"/>
      <c r="AK43" s="72" t="str">
        <f t="shared" si="24"/>
        <v/>
      </c>
      <c r="AL43" s="72" t="str">
        <f t="shared" si="25"/>
        <v/>
      </c>
      <c r="AM43" s="39"/>
      <c r="AN43" s="72" t="str">
        <f t="shared" si="7"/>
        <v/>
      </c>
      <c r="AO43" s="72" t="str">
        <f t="shared" si="26"/>
        <v/>
      </c>
      <c r="AP43" s="39"/>
      <c r="AQ43" s="72" t="str">
        <f t="shared" si="8"/>
        <v/>
      </c>
      <c r="AR43" s="72" t="str">
        <f t="shared" si="27"/>
        <v/>
      </c>
      <c r="AS43" s="39"/>
      <c r="AT43" s="40" t="str">
        <f>IF($K43&lt;=$F$15,IF($F$40&lt;&gt;"",$F$40/1000,IF(ISERROR(VLOOKUP($F$3&amp;IF($G$4&lt;&gt;"",$G$4,"")&amp;IF($F$43&lt;&gt;"","_"&amp;$F$43,""),'表3）燃料価格'!$AF$9:$AG$25,2,0)),0,VLOOKUP($I43,'表3）燃料価格'!$A$6:$U$66,VLOOKUP($F$3&amp;IF($G$4&lt;&gt;"",$G$4,"")&amp;IF($F$43&lt;&gt;"","_"&amp;$F$43,""),'表3）燃料価格'!$AF$9:$AG$25,2,0)+VLOOKUP($F$41,'表3）燃料価格'!$AF$28:$AG$29,2,0),0)*IF($F$43="需要地価格",1,$F$8/$F$141))),"")</f>
        <v/>
      </c>
      <c r="AU43" s="39"/>
      <c r="AV43" s="72" t="str">
        <f t="shared" si="9"/>
        <v/>
      </c>
      <c r="AW43" s="72" t="str">
        <f t="shared" si="10"/>
        <v/>
      </c>
      <c r="AX43" s="39"/>
      <c r="AY43" s="40" t="str">
        <f>IF(ISERROR(IF($K43&lt;=$F$15,VLOOKUP($I43,'表4）CO2価格'!$A$7:$E$67,VLOOKUP($F$48,'表4）CO2価格'!$H$10:$I$12,2,0),0)*$F$8/1000,"")),0,IF($K43&lt;=$F$15,VLOOKUP($I43,'表4）CO2価格'!$A$7:$E$67,VLOOKUP($F$48,'表4）CO2価格'!$H$10:$I$12,2,0),0)*$F$8/1000,""))</f>
        <v/>
      </c>
      <c r="AZ43" s="39"/>
      <c r="BA43" s="42" t="str">
        <f t="shared" si="11"/>
        <v/>
      </c>
      <c r="BB43" s="72" t="str">
        <f t="shared" si="28"/>
        <v/>
      </c>
      <c r="BC43" s="39"/>
      <c r="BD43" s="72" t="str">
        <f t="shared" si="12"/>
        <v/>
      </c>
      <c r="BE43" s="72" t="str">
        <f t="shared" si="29"/>
        <v/>
      </c>
      <c r="BF43" s="39"/>
      <c r="BG43" s="42" t="str">
        <f t="shared" si="13"/>
        <v/>
      </c>
      <c r="BH43" s="72" t="str">
        <f t="shared" si="30"/>
        <v/>
      </c>
      <c r="BI43" s="39"/>
      <c r="BJ43" s="40" t="str">
        <f t="shared" si="31"/>
        <v/>
      </c>
      <c r="BK43" s="157" t="str">
        <f t="shared" si="32"/>
        <v/>
      </c>
      <c r="BL43" s="157" t="str">
        <f t="shared" si="14"/>
        <v/>
      </c>
      <c r="BM43" s="72"/>
      <c r="BN43" s="72" t="str">
        <f t="shared" si="33"/>
        <v/>
      </c>
      <c r="BO43" s="72" t="str">
        <f t="shared" si="34"/>
        <v/>
      </c>
      <c r="BP43" s="39"/>
      <c r="BQ43" s="72" t="str">
        <f t="shared" si="15"/>
        <v/>
      </c>
      <c r="BR43" s="72" t="str">
        <f t="shared" si="35"/>
        <v/>
      </c>
    </row>
    <row r="44" spans="3:70" x14ac:dyDescent="0.15">
      <c r="I44" s="322">
        <f t="shared" si="36"/>
        <v>2049</v>
      </c>
      <c r="J44" s="71"/>
      <c r="K44" s="71">
        <f t="shared" si="37"/>
        <v>30</v>
      </c>
      <c r="L44" s="71"/>
      <c r="M44" s="7">
        <f t="shared" si="0"/>
        <v>0.41198675951590691</v>
      </c>
      <c r="N44" s="71"/>
      <c r="O44" s="10" t="str">
        <f t="shared" si="16"/>
        <v/>
      </c>
      <c r="P44" s="29" t="str">
        <f t="shared" si="1"/>
        <v/>
      </c>
      <c r="Q44" s="71"/>
      <c r="R44" s="10" t="str">
        <f t="shared" si="17"/>
        <v/>
      </c>
      <c r="S44" s="71"/>
      <c r="T44" s="10" t="str">
        <f t="shared" si="18"/>
        <v/>
      </c>
      <c r="U44" s="71"/>
      <c r="V44" s="10" t="str">
        <f t="shared" si="2"/>
        <v/>
      </c>
      <c r="W44" s="10" t="str">
        <f t="shared" si="19"/>
        <v/>
      </c>
      <c r="X44" s="71"/>
      <c r="Y44" s="10" t="str">
        <f t="shared" si="3"/>
        <v/>
      </c>
      <c r="Z44" s="10" t="str">
        <f t="shared" si="20"/>
        <v/>
      </c>
      <c r="AA44" s="71"/>
      <c r="AB44" s="10" t="str">
        <f t="shared" si="4"/>
        <v/>
      </c>
      <c r="AC44" s="10" t="str">
        <f t="shared" si="21"/>
        <v/>
      </c>
      <c r="AD44" s="71"/>
      <c r="AE44" s="10" t="str">
        <f t="shared" si="5"/>
        <v/>
      </c>
      <c r="AF44" s="10" t="str">
        <f t="shared" si="22"/>
        <v/>
      </c>
      <c r="AG44" s="71"/>
      <c r="AH44" s="10" t="str">
        <f t="shared" si="6"/>
        <v/>
      </c>
      <c r="AI44" s="10" t="str">
        <f t="shared" si="23"/>
        <v/>
      </c>
      <c r="AJ44" s="71"/>
      <c r="AK44" s="10" t="str">
        <f t="shared" si="24"/>
        <v/>
      </c>
      <c r="AL44" s="10" t="str">
        <f t="shared" si="25"/>
        <v/>
      </c>
      <c r="AM44" s="71"/>
      <c r="AN44" s="10" t="str">
        <f t="shared" si="7"/>
        <v/>
      </c>
      <c r="AO44" s="10" t="str">
        <f t="shared" si="26"/>
        <v/>
      </c>
      <c r="AP44" s="71"/>
      <c r="AQ44" s="10" t="str">
        <f t="shared" si="8"/>
        <v/>
      </c>
      <c r="AR44" s="10" t="str">
        <f t="shared" si="27"/>
        <v/>
      </c>
      <c r="AS44" s="71"/>
      <c r="AT44" s="7" t="str">
        <f>IF($K44&lt;=$F$15,IF($F$40&lt;&gt;"",$F$40/1000,IF(ISERROR(VLOOKUP($F$3&amp;IF($G$4&lt;&gt;"",$G$4,"")&amp;IF($F$43&lt;&gt;"","_"&amp;$F$43,""),'表3）燃料価格'!$AF$9:$AG$25,2,0)),0,VLOOKUP($I44,'表3）燃料価格'!$A$6:$U$66,VLOOKUP($F$3&amp;IF($G$4&lt;&gt;"",$G$4,"")&amp;IF($F$43&lt;&gt;"","_"&amp;$F$43,""),'表3）燃料価格'!$AF$9:$AG$25,2,0)+VLOOKUP($F$41,'表3）燃料価格'!$AF$28:$AG$29,2,0),0)*IF($F$43="需要地価格",1,$F$8/$F$141))),"")</f>
        <v/>
      </c>
      <c r="AU44" s="71"/>
      <c r="AV44" s="10" t="str">
        <f t="shared" si="9"/>
        <v/>
      </c>
      <c r="AW44" s="10" t="str">
        <f t="shared" si="10"/>
        <v/>
      </c>
      <c r="AX44" s="71"/>
      <c r="AY44" s="7" t="str">
        <f>IF(ISERROR(IF($K44&lt;=$F$15,VLOOKUP($I44,'表4）CO2価格'!$A$7:$E$67,VLOOKUP($F$48,'表4）CO2価格'!$H$10:$I$12,2,0),0)*$F$8/1000,"")),0,IF($K44&lt;=$F$15,VLOOKUP($I44,'表4）CO2価格'!$A$7:$E$67,VLOOKUP($F$48,'表4）CO2価格'!$H$10:$I$12,2,0),0)*$F$8/1000,""))</f>
        <v/>
      </c>
      <c r="AZ44" s="71"/>
      <c r="BA44" s="11" t="str">
        <f t="shared" si="11"/>
        <v/>
      </c>
      <c r="BB44" s="10" t="str">
        <f t="shared" si="28"/>
        <v/>
      </c>
      <c r="BC44" s="71"/>
      <c r="BD44" s="10" t="str">
        <f t="shared" si="12"/>
        <v/>
      </c>
      <c r="BE44" s="10" t="str">
        <f t="shared" si="29"/>
        <v/>
      </c>
      <c r="BF44" s="71"/>
      <c r="BG44" s="11" t="str">
        <f t="shared" si="13"/>
        <v/>
      </c>
      <c r="BH44" s="10" t="str">
        <f t="shared" si="30"/>
        <v/>
      </c>
      <c r="BJ44" s="7" t="str">
        <f t="shared" si="31"/>
        <v/>
      </c>
      <c r="BK44" s="158" t="str">
        <f t="shared" si="32"/>
        <v/>
      </c>
      <c r="BL44" s="158" t="str">
        <f t="shared" si="14"/>
        <v/>
      </c>
      <c r="BM44" s="10"/>
      <c r="BN44" s="10" t="str">
        <f t="shared" si="33"/>
        <v/>
      </c>
      <c r="BO44" s="10" t="str">
        <f t="shared" si="34"/>
        <v/>
      </c>
      <c r="BQ44" s="10" t="str">
        <f t="shared" si="15"/>
        <v/>
      </c>
      <c r="BR44" s="10" t="str">
        <f t="shared" si="35"/>
        <v/>
      </c>
    </row>
    <row r="45" spans="3:70" x14ac:dyDescent="0.15">
      <c r="C45" s="89" t="s">
        <v>509</v>
      </c>
      <c r="D45" s="101"/>
      <c r="E45" s="101"/>
      <c r="F45" s="89"/>
      <c r="G45" s="101"/>
      <c r="I45" s="38">
        <f t="shared" si="36"/>
        <v>2050</v>
      </c>
      <c r="J45" s="39"/>
      <c r="K45" s="39">
        <f t="shared" si="37"/>
        <v>31</v>
      </c>
      <c r="L45" s="39"/>
      <c r="M45" s="40">
        <f t="shared" si="0"/>
        <v>0.39998714516107459</v>
      </c>
      <c r="N45" s="39"/>
      <c r="O45" s="72" t="str">
        <f t="shared" si="16"/>
        <v/>
      </c>
      <c r="P45" s="41" t="str">
        <f t="shared" si="1"/>
        <v/>
      </c>
      <c r="Q45" s="39"/>
      <c r="R45" s="72" t="str">
        <f t="shared" si="17"/>
        <v/>
      </c>
      <c r="S45" s="39"/>
      <c r="T45" s="72" t="str">
        <f t="shared" si="18"/>
        <v/>
      </c>
      <c r="U45" s="39"/>
      <c r="V45" s="72" t="str">
        <f t="shared" si="2"/>
        <v/>
      </c>
      <c r="W45" s="72" t="str">
        <f t="shared" si="19"/>
        <v/>
      </c>
      <c r="X45" s="39"/>
      <c r="Y45" s="72" t="str">
        <f t="shared" si="3"/>
        <v/>
      </c>
      <c r="Z45" s="72" t="str">
        <f t="shared" si="20"/>
        <v/>
      </c>
      <c r="AA45" s="39"/>
      <c r="AB45" s="72" t="str">
        <f t="shared" si="4"/>
        <v/>
      </c>
      <c r="AC45" s="72" t="str">
        <f t="shared" si="21"/>
        <v/>
      </c>
      <c r="AD45" s="39"/>
      <c r="AE45" s="72" t="str">
        <f t="shared" si="5"/>
        <v/>
      </c>
      <c r="AF45" s="72" t="str">
        <f t="shared" si="22"/>
        <v/>
      </c>
      <c r="AG45" s="39"/>
      <c r="AH45" s="72" t="str">
        <f t="shared" si="6"/>
        <v/>
      </c>
      <c r="AI45" s="72" t="str">
        <f t="shared" si="23"/>
        <v/>
      </c>
      <c r="AJ45" s="39"/>
      <c r="AK45" s="72" t="str">
        <f t="shared" si="24"/>
        <v/>
      </c>
      <c r="AL45" s="72" t="str">
        <f t="shared" si="25"/>
        <v/>
      </c>
      <c r="AM45" s="39"/>
      <c r="AN45" s="72" t="str">
        <f t="shared" si="7"/>
        <v/>
      </c>
      <c r="AO45" s="72" t="str">
        <f t="shared" si="26"/>
        <v/>
      </c>
      <c r="AP45" s="39"/>
      <c r="AQ45" s="72" t="str">
        <f t="shared" si="8"/>
        <v/>
      </c>
      <c r="AR45" s="72" t="str">
        <f t="shared" si="27"/>
        <v/>
      </c>
      <c r="AS45" s="39"/>
      <c r="AT45" s="40" t="str">
        <f>IF($K45&lt;=$F$15,IF($F$40&lt;&gt;"",$F$40/1000,IF(ISERROR(VLOOKUP($F$3&amp;IF($G$4&lt;&gt;"",$G$4,"")&amp;IF($F$43&lt;&gt;"","_"&amp;$F$43,""),'表3）燃料価格'!$AF$9:$AG$25,2,0)),0,VLOOKUP($I45,'表3）燃料価格'!$A$6:$U$66,VLOOKUP($F$3&amp;IF($G$4&lt;&gt;"",$G$4,"")&amp;IF($F$43&lt;&gt;"","_"&amp;$F$43,""),'表3）燃料価格'!$AF$9:$AG$25,2,0)+VLOOKUP($F$41,'表3）燃料価格'!$AF$28:$AG$29,2,0),0)*IF($F$43="需要地価格",1,$F$8/$F$141))),"")</f>
        <v/>
      </c>
      <c r="AU45" s="39"/>
      <c r="AV45" s="72" t="str">
        <f t="shared" si="9"/>
        <v/>
      </c>
      <c r="AW45" s="72" t="str">
        <f t="shared" si="10"/>
        <v/>
      </c>
      <c r="AX45" s="39"/>
      <c r="AY45" s="40" t="str">
        <f>IF(ISERROR(IF($K45&lt;=$F$15,VLOOKUP($I45,'表4）CO2価格'!$A$7:$E$67,VLOOKUP($F$48,'表4）CO2価格'!$H$10:$I$12,2,0),0)*$F$8/1000,"")),0,IF($K45&lt;=$F$15,VLOOKUP($I45,'表4）CO2価格'!$A$7:$E$67,VLOOKUP($F$48,'表4）CO2価格'!$H$10:$I$12,2,0),0)*$F$8/1000,""))</f>
        <v/>
      </c>
      <c r="AZ45" s="39"/>
      <c r="BA45" s="42" t="str">
        <f t="shared" si="11"/>
        <v/>
      </c>
      <c r="BB45" s="72" t="str">
        <f t="shared" si="28"/>
        <v/>
      </c>
      <c r="BC45" s="39"/>
      <c r="BD45" s="72" t="str">
        <f t="shared" si="12"/>
        <v/>
      </c>
      <c r="BE45" s="72" t="str">
        <f t="shared" si="29"/>
        <v/>
      </c>
      <c r="BF45" s="39"/>
      <c r="BG45" s="42" t="str">
        <f t="shared" si="13"/>
        <v/>
      </c>
      <c r="BH45" s="72" t="str">
        <f t="shared" si="30"/>
        <v/>
      </c>
      <c r="BI45" s="39"/>
      <c r="BJ45" s="40" t="str">
        <f t="shared" si="31"/>
        <v/>
      </c>
      <c r="BK45" s="157" t="str">
        <f t="shared" si="32"/>
        <v/>
      </c>
      <c r="BL45" s="157" t="str">
        <f t="shared" si="14"/>
        <v/>
      </c>
      <c r="BM45" s="72"/>
      <c r="BN45" s="72" t="str">
        <f t="shared" si="33"/>
        <v/>
      </c>
      <c r="BO45" s="72" t="str">
        <f t="shared" si="34"/>
        <v/>
      </c>
      <c r="BP45" s="39"/>
      <c r="BQ45" s="72" t="str">
        <f t="shared" si="15"/>
        <v/>
      </c>
      <c r="BR45" s="72" t="str">
        <f t="shared" si="35"/>
        <v/>
      </c>
    </row>
    <row r="46" spans="3:70" x14ac:dyDescent="0.15">
      <c r="I46" s="322">
        <f t="shared" si="36"/>
        <v>2051</v>
      </c>
      <c r="J46" s="71"/>
      <c r="K46" s="71">
        <f t="shared" si="37"/>
        <v>32</v>
      </c>
      <c r="L46" s="71"/>
      <c r="M46" s="7">
        <f t="shared" si="0"/>
        <v>0.38833703413696569</v>
      </c>
      <c r="N46" s="71"/>
      <c r="O46" s="10" t="str">
        <f t="shared" si="16"/>
        <v/>
      </c>
      <c r="P46" s="29" t="str">
        <f t="shared" si="1"/>
        <v/>
      </c>
      <c r="Q46" s="71"/>
      <c r="R46" s="10" t="str">
        <f t="shared" si="17"/>
        <v/>
      </c>
      <c r="S46" s="71"/>
      <c r="T46" s="10" t="str">
        <f t="shared" si="18"/>
        <v/>
      </c>
      <c r="U46" s="71"/>
      <c r="V46" s="10" t="str">
        <f t="shared" si="2"/>
        <v/>
      </c>
      <c r="W46" s="10" t="str">
        <f t="shared" si="19"/>
        <v/>
      </c>
      <c r="X46" s="71"/>
      <c r="Y46" s="10" t="str">
        <f t="shared" si="3"/>
        <v/>
      </c>
      <c r="Z46" s="10" t="str">
        <f t="shared" si="20"/>
        <v/>
      </c>
      <c r="AA46" s="71"/>
      <c r="AB46" s="10" t="str">
        <f t="shared" si="4"/>
        <v/>
      </c>
      <c r="AC46" s="10" t="str">
        <f t="shared" si="21"/>
        <v/>
      </c>
      <c r="AD46" s="71"/>
      <c r="AE46" s="10" t="str">
        <f t="shared" si="5"/>
        <v/>
      </c>
      <c r="AF46" s="10" t="str">
        <f t="shared" si="22"/>
        <v/>
      </c>
      <c r="AG46" s="71"/>
      <c r="AH46" s="10" t="str">
        <f t="shared" si="6"/>
        <v/>
      </c>
      <c r="AI46" s="10" t="str">
        <f t="shared" si="23"/>
        <v/>
      </c>
      <c r="AJ46" s="71"/>
      <c r="AK46" s="10" t="str">
        <f t="shared" si="24"/>
        <v/>
      </c>
      <c r="AL46" s="10" t="str">
        <f t="shared" si="25"/>
        <v/>
      </c>
      <c r="AM46" s="71"/>
      <c r="AN46" s="10" t="str">
        <f t="shared" si="7"/>
        <v/>
      </c>
      <c r="AO46" s="10" t="str">
        <f t="shared" si="26"/>
        <v/>
      </c>
      <c r="AP46" s="71"/>
      <c r="AQ46" s="10" t="str">
        <f t="shared" si="8"/>
        <v/>
      </c>
      <c r="AR46" s="10" t="str">
        <f t="shared" si="27"/>
        <v/>
      </c>
      <c r="AS46" s="71"/>
      <c r="AT46" s="7" t="str">
        <f>IF($K46&lt;=$F$15,IF($F$40&lt;&gt;"",$F$40/1000,IF(ISERROR(VLOOKUP($F$3&amp;IF($G$4&lt;&gt;"",$G$4,"")&amp;IF($F$43&lt;&gt;"","_"&amp;$F$43,""),'表3）燃料価格'!$AF$9:$AG$25,2,0)),0,VLOOKUP($I46,'表3）燃料価格'!$A$6:$U$66,VLOOKUP($F$3&amp;IF($G$4&lt;&gt;"",$G$4,"")&amp;IF($F$43&lt;&gt;"","_"&amp;$F$43,""),'表3）燃料価格'!$AF$9:$AG$25,2,0)+VLOOKUP($F$41,'表3）燃料価格'!$AF$28:$AG$29,2,0),0)*IF($F$43="需要地価格",1,$F$8/$F$141))),"")</f>
        <v/>
      </c>
      <c r="AU46" s="71"/>
      <c r="AV46" s="10" t="str">
        <f t="shared" si="9"/>
        <v/>
      </c>
      <c r="AW46" s="10" t="str">
        <f t="shared" si="10"/>
        <v/>
      </c>
      <c r="AX46" s="71"/>
      <c r="AY46" s="7" t="str">
        <f>IF(ISERROR(IF($K46&lt;=$F$15,VLOOKUP($I46,'表4）CO2価格'!$A$7:$E$67,VLOOKUP($F$48,'表4）CO2価格'!$H$10:$I$12,2,0),0)*$F$8/1000,"")),0,IF($K46&lt;=$F$15,VLOOKUP($I46,'表4）CO2価格'!$A$7:$E$67,VLOOKUP($F$48,'表4）CO2価格'!$H$10:$I$12,2,0),0)*$F$8/1000,""))</f>
        <v/>
      </c>
      <c r="AZ46" s="71"/>
      <c r="BA46" s="11" t="str">
        <f t="shared" si="11"/>
        <v/>
      </c>
      <c r="BB46" s="10" t="str">
        <f t="shared" si="28"/>
        <v/>
      </c>
      <c r="BC46" s="71"/>
      <c r="BD46" s="10" t="str">
        <f t="shared" si="12"/>
        <v/>
      </c>
      <c r="BE46" s="10" t="str">
        <f t="shared" si="29"/>
        <v/>
      </c>
      <c r="BF46" s="71"/>
      <c r="BG46" s="11" t="str">
        <f t="shared" si="13"/>
        <v/>
      </c>
      <c r="BH46" s="10" t="str">
        <f t="shared" si="30"/>
        <v/>
      </c>
      <c r="BJ46" s="7" t="str">
        <f t="shared" si="31"/>
        <v/>
      </c>
      <c r="BK46" s="158" t="str">
        <f t="shared" si="32"/>
        <v/>
      </c>
      <c r="BL46" s="158" t="str">
        <f t="shared" si="14"/>
        <v/>
      </c>
      <c r="BM46" s="10"/>
      <c r="BN46" s="10" t="str">
        <f t="shared" si="33"/>
        <v/>
      </c>
      <c r="BO46" s="10" t="str">
        <f t="shared" si="34"/>
        <v/>
      </c>
      <c r="BQ46" s="10" t="str">
        <f t="shared" si="15"/>
        <v/>
      </c>
      <c r="BR46" s="10" t="str">
        <f t="shared" si="35"/>
        <v/>
      </c>
    </row>
    <row r="47" spans="3:70" x14ac:dyDescent="0.15">
      <c r="D47" s="81" t="s">
        <v>182</v>
      </c>
      <c r="F47" s="109">
        <v>13.87</v>
      </c>
      <c r="G47" s="81" t="s">
        <v>226</v>
      </c>
      <c r="I47" s="38">
        <f t="shared" si="36"/>
        <v>2052</v>
      </c>
      <c r="J47" s="39"/>
      <c r="K47" s="39">
        <f t="shared" si="37"/>
        <v>33</v>
      </c>
      <c r="L47" s="39"/>
      <c r="M47" s="40">
        <f t="shared" si="0"/>
        <v>0.37702624673491814</v>
      </c>
      <c r="N47" s="39"/>
      <c r="O47" s="72" t="str">
        <f t="shared" si="16"/>
        <v/>
      </c>
      <c r="P47" s="41" t="str">
        <f t="shared" ref="P47:P78" si="38">IF(K47&lt;=$F$15,IF(OR(P46=$F$124,P46="-"),"-",IF(O47*$F$123&gt;$F$127,$F$123,$F$124)),"")</f>
        <v/>
      </c>
      <c r="Q47" s="39"/>
      <c r="R47" s="72" t="str">
        <f t="shared" si="17"/>
        <v/>
      </c>
      <c r="S47" s="39"/>
      <c r="T47" s="72" t="str">
        <f t="shared" si="18"/>
        <v/>
      </c>
      <c r="U47" s="39"/>
      <c r="V47" s="72" t="str">
        <f t="shared" ref="V47:V78" si="39">IF(K47&lt;=$F$15,IF(K47&lt;$F$119,IF(P47="-",V46,O47*P47),IF(K47=$F$119,MIN(IF(P47="-",V46,O47*P47),O47),0)),"")</f>
        <v/>
      </c>
      <c r="W47" s="72" t="str">
        <f t="shared" si="19"/>
        <v/>
      </c>
      <c r="X47" s="39"/>
      <c r="Y47" s="72" t="str">
        <f t="shared" ref="Y47:Y78" si="40">IF($K47&lt;=$F$15,ROUNDDOWN(T47*$F$25/100,-2),"")</f>
        <v/>
      </c>
      <c r="Z47" s="72" t="str">
        <f t="shared" si="20"/>
        <v/>
      </c>
      <c r="AA47" s="39"/>
      <c r="AB47" s="72" t="str">
        <f t="shared" si="4"/>
        <v/>
      </c>
      <c r="AC47" s="72" t="str">
        <f t="shared" si="21"/>
        <v/>
      </c>
      <c r="AD47" s="39"/>
      <c r="AE47" s="72" t="str">
        <f t="shared" ref="AE47:AE78" si="41">IF($K47&lt;=$F$15,$F$26,"")</f>
        <v/>
      </c>
      <c r="AF47" s="72" t="str">
        <f t="shared" si="22"/>
        <v/>
      </c>
      <c r="AG47" s="39"/>
      <c r="AH47" s="72" t="str">
        <f t="shared" ref="AH47:AH78" si="42">IF($K47&lt;=$F$15,$F$33*10^8,"")</f>
        <v/>
      </c>
      <c r="AI47" s="72" t="str">
        <f t="shared" si="23"/>
        <v/>
      </c>
      <c r="AJ47" s="39"/>
      <c r="AK47" s="72" t="str">
        <f t="shared" si="24"/>
        <v/>
      </c>
      <c r="AL47" s="72" t="str">
        <f t="shared" si="25"/>
        <v/>
      </c>
      <c r="AM47" s="39"/>
      <c r="AN47" s="72" t="str">
        <f t="shared" ref="AN47:AN78" si="43">IF($K47&lt;=$F$15,$F$117*$F$35/100,"")</f>
        <v/>
      </c>
      <c r="AO47" s="72" t="str">
        <f t="shared" si="26"/>
        <v/>
      </c>
      <c r="AP47" s="39"/>
      <c r="AQ47" s="72" t="str">
        <f t="shared" ref="AQ47:AQ78" si="44">IF($K47&lt;=$F$15,SUM(AH47,AK47,AN47)*($F$36/100),"")</f>
        <v/>
      </c>
      <c r="AR47" s="72" t="str">
        <f t="shared" si="27"/>
        <v/>
      </c>
      <c r="AS47" s="39"/>
      <c r="AT47" s="40" t="str">
        <f>IF($K47&lt;=$F$15,IF($F$40&lt;&gt;"",$F$40/1000,IF(ISERROR(VLOOKUP($F$3&amp;IF($G$4&lt;&gt;"",$G$4,"")&amp;IF($F$43&lt;&gt;"","_"&amp;$F$43,""),'表3）燃料価格'!$AF$9:$AG$25,2,0)),0,VLOOKUP($I47,'表3）燃料価格'!$A$6:$U$66,VLOOKUP($F$3&amp;IF($G$4&lt;&gt;"",$G$4,"")&amp;IF($F$43&lt;&gt;"","_"&amp;$F$43,""),'表3）燃料価格'!$AF$9:$AG$25,2,0)+VLOOKUP($F$41,'表3）燃料価格'!$AF$28:$AG$29,2,0),0)*IF($F$43="需要地価格",1,$F$8/$F$141))),"")</f>
        <v/>
      </c>
      <c r="AU47" s="39"/>
      <c r="AV47" s="72" t="str">
        <f t="shared" ref="AV47:AV78" si="45">IF($K47&lt;=$F$15,($AT47+$F$142)*$F$137,"")</f>
        <v/>
      </c>
      <c r="AW47" s="72" t="str">
        <f t="shared" si="10"/>
        <v/>
      </c>
      <c r="AX47" s="39"/>
      <c r="AY47" s="40" t="str">
        <f>IF(ISERROR(IF($K47&lt;=$F$15,VLOOKUP($I47,'表4）CO2価格'!$A$7:$E$67,VLOOKUP($F$48,'表4）CO2価格'!$H$10:$I$12,2,0),0)*$F$8/1000,"")),0,IF($K47&lt;=$F$15,VLOOKUP($I47,'表4）CO2価格'!$A$7:$E$67,VLOOKUP($F$48,'表4）CO2価格'!$H$10:$I$12,2,0),0)*$F$8/1000,""))</f>
        <v/>
      </c>
      <c r="AZ47" s="39"/>
      <c r="BA47" s="42" t="str">
        <f t="shared" ref="BA47:BA78" si="46">IF($K47&lt;=$F$15,$F$145*AY47,"")</f>
        <v/>
      </c>
      <c r="BB47" s="72" t="str">
        <f t="shared" si="28"/>
        <v/>
      </c>
      <c r="BC47" s="39"/>
      <c r="BD47" s="72" t="str">
        <f t="shared" ref="BD47:BD78" si="47">IF($K47&lt;=$F$15,($AT47+$F$152)*$F$151,"")</f>
        <v/>
      </c>
      <c r="BE47" s="72" t="str">
        <f t="shared" si="29"/>
        <v/>
      </c>
      <c r="BF47" s="39"/>
      <c r="BG47" s="42" t="str">
        <f t="shared" ref="BG47:BG78" si="48">IF($K47&lt;=$F$15,$F$153*AY47,"")</f>
        <v/>
      </c>
      <c r="BH47" s="72" t="str">
        <f t="shared" si="30"/>
        <v/>
      </c>
      <c r="BI47" s="39"/>
      <c r="BJ47" s="40" t="str">
        <f t="shared" si="31"/>
        <v/>
      </c>
      <c r="BK47" s="157" t="str">
        <f t="shared" si="32"/>
        <v/>
      </c>
      <c r="BL47" s="157" t="str">
        <f t="shared" si="14"/>
        <v/>
      </c>
      <c r="BM47" s="72"/>
      <c r="BN47" s="72" t="str">
        <f t="shared" si="33"/>
        <v/>
      </c>
      <c r="BO47" s="72" t="str">
        <f t="shared" si="34"/>
        <v/>
      </c>
      <c r="BP47" s="39"/>
      <c r="BQ47" s="72" t="str">
        <f t="shared" ref="BQ47:BQ78" si="49">IF($K47&lt;=$F$15,$F$134,"")</f>
        <v/>
      </c>
      <c r="BR47" s="72" t="str">
        <f t="shared" si="35"/>
        <v/>
      </c>
    </row>
    <row r="48" spans="3:70" x14ac:dyDescent="0.15">
      <c r="D48" s="81" t="s">
        <v>184</v>
      </c>
      <c r="F48" s="88" t="str">
        <f>まとめ!B5</f>
        <v>WEO2020　STEPS</v>
      </c>
      <c r="I48" s="322">
        <f t="shared" si="36"/>
        <v>2053</v>
      </c>
      <c r="J48" s="71"/>
      <c r="K48" s="71">
        <f t="shared" si="37"/>
        <v>34</v>
      </c>
      <c r="L48" s="71"/>
      <c r="M48" s="7">
        <f t="shared" si="0"/>
        <v>0.36604489974263904</v>
      </c>
      <c r="N48" s="71"/>
      <c r="O48" s="10" t="str">
        <f t="shared" si="16"/>
        <v/>
      </c>
      <c r="P48" s="29" t="str">
        <f t="shared" si="38"/>
        <v/>
      </c>
      <c r="Q48" s="71"/>
      <c r="R48" s="10" t="str">
        <f t="shared" ref="R48:R79" si="50">IF($K48&lt;=$F$15,MAX($F$117*5%,R47*$F$129),"")</f>
        <v/>
      </c>
      <c r="S48" s="71"/>
      <c r="T48" s="10" t="str">
        <f t="shared" si="18"/>
        <v/>
      </c>
      <c r="U48" s="71"/>
      <c r="V48" s="10" t="str">
        <f t="shared" si="39"/>
        <v/>
      </c>
      <c r="W48" s="10" t="str">
        <f t="shared" si="19"/>
        <v/>
      </c>
      <c r="X48" s="71"/>
      <c r="Y48" s="10" t="str">
        <f t="shared" si="40"/>
        <v/>
      </c>
      <c r="Z48" s="10" t="str">
        <f t="shared" si="20"/>
        <v/>
      </c>
      <c r="AA48" s="71"/>
      <c r="AB48" s="10" t="str">
        <f t="shared" si="4"/>
        <v/>
      </c>
      <c r="AC48" s="10" t="str">
        <f t="shared" si="21"/>
        <v/>
      </c>
      <c r="AD48" s="71"/>
      <c r="AE48" s="10" t="str">
        <f t="shared" si="41"/>
        <v/>
      </c>
      <c r="AF48" s="10" t="str">
        <f t="shared" si="22"/>
        <v/>
      </c>
      <c r="AG48" s="71"/>
      <c r="AH48" s="10" t="str">
        <f t="shared" si="42"/>
        <v/>
      </c>
      <c r="AI48" s="10" t="str">
        <f t="shared" si="23"/>
        <v/>
      </c>
      <c r="AJ48" s="71"/>
      <c r="AK48" s="10" t="str">
        <f t="shared" si="24"/>
        <v/>
      </c>
      <c r="AL48" s="10" t="str">
        <f t="shared" si="25"/>
        <v/>
      </c>
      <c r="AM48" s="71"/>
      <c r="AN48" s="10" t="str">
        <f t="shared" si="43"/>
        <v/>
      </c>
      <c r="AO48" s="10" t="str">
        <f t="shared" si="26"/>
        <v/>
      </c>
      <c r="AP48" s="71"/>
      <c r="AQ48" s="10" t="str">
        <f t="shared" si="44"/>
        <v/>
      </c>
      <c r="AR48" s="10" t="str">
        <f t="shared" si="27"/>
        <v/>
      </c>
      <c r="AS48" s="71"/>
      <c r="AT48" s="7" t="str">
        <f>IF($K48&lt;=$F$15,IF($F$40&lt;&gt;"",$F$40/1000,IF(ISERROR(VLOOKUP($F$3&amp;IF($G$4&lt;&gt;"",$G$4,"")&amp;IF($F$43&lt;&gt;"","_"&amp;$F$43,""),'表3）燃料価格'!$AF$9:$AG$25,2,0)),0,VLOOKUP($I48,'表3）燃料価格'!$A$6:$U$66,VLOOKUP($F$3&amp;IF($G$4&lt;&gt;"",$G$4,"")&amp;IF($F$43&lt;&gt;"","_"&amp;$F$43,""),'表3）燃料価格'!$AF$9:$AG$25,2,0)+VLOOKUP($F$41,'表3）燃料価格'!$AF$28:$AG$29,2,0),0)*IF($F$43="需要地価格",1,$F$8/$F$141))),"")</f>
        <v/>
      </c>
      <c r="AU48" s="71"/>
      <c r="AV48" s="10" t="str">
        <f t="shared" si="45"/>
        <v/>
      </c>
      <c r="AW48" s="10" t="str">
        <f t="shared" si="10"/>
        <v/>
      </c>
      <c r="AX48" s="71"/>
      <c r="AY48" s="7" t="str">
        <f>IF(ISERROR(IF($K48&lt;=$F$15,VLOOKUP($I48,'表4）CO2価格'!$A$7:$E$67,VLOOKUP($F$48,'表4）CO2価格'!$H$10:$I$12,2,0),0)*$F$8/1000,"")),0,IF($K48&lt;=$F$15,VLOOKUP($I48,'表4）CO2価格'!$A$7:$E$67,VLOOKUP($F$48,'表4）CO2価格'!$H$10:$I$12,2,0),0)*$F$8/1000,""))</f>
        <v/>
      </c>
      <c r="AZ48" s="71"/>
      <c r="BA48" s="11" t="str">
        <f t="shared" si="46"/>
        <v/>
      </c>
      <c r="BB48" s="10" t="str">
        <f t="shared" si="28"/>
        <v/>
      </c>
      <c r="BC48" s="71"/>
      <c r="BD48" s="10" t="str">
        <f t="shared" si="47"/>
        <v/>
      </c>
      <c r="BE48" s="10" t="str">
        <f t="shared" si="29"/>
        <v/>
      </c>
      <c r="BF48" s="71"/>
      <c r="BG48" s="11" t="str">
        <f t="shared" si="48"/>
        <v/>
      </c>
      <c r="BH48" s="10" t="str">
        <f t="shared" si="30"/>
        <v/>
      </c>
      <c r="BJ48" s="7" t="str">
        <f t="shared" si="31"/>
        <v/>
      </c>
      <c r="BK48" s="158" t="str">
        <f t="shared" si="32"/>
        <v/>
      </c>
      <c r="BL48" s="158" t="str">
        <f t="shared" si="14"/>
        <v/>
      </c>
      <c r="BM48" s="10"/>
      <c r="BN48" s="10" t="str">
        <f t="shared" si="33"/>
        <v/>
      </c>
      <c r="BO48" s="10" t="str">
        <f t="shared" si="34"/>
        <v/>
      </c>
      <c r="BQ48" s="10" t="str">
        <f t="shared" si="49"/>
        <v/>
      </c>
      <c r="BR48" s="10" t="str">
        <f t="shared" si="35"/>
        <v/>
      </c>
    </row>
    <row r="49" spans="3:70" x14ac:dyDescent="0.15">
      <c r="I49" s="38">
        <f t="shared" si="36"/>
        <v>2054</v>
      </c>
      <c r="J49" s="39"/>
      <c r="K49" s="39">
        <f t="shared" si="37"/>
        <v>35</v>
      </c>
      <c r="L49" s="39"/>
      <c r="M49" s="40">
        <f t="shared" si="0"/>
        <v>0.35538339780838735</v>
      </c>
      <c r="N49" s="39"/>
      <c r="O49" s="72" t="str">
        <f t="shared" si="16"/>
        <v/>
      </c>
      <c r="P49" s="41" t="str">
        <f t="shared" si="38"/>
        <v/>
      </c>
      <c r="Q49" s="39"/>
      <c r="R49" s="72" t="str">
        <f t="shared" si="50"/>
        <v/>
      </c>
      <c r="S49" s="39"/>
      <c r="T49" s="72" t="str">
        <f t="shared" si="18"/>
        <v/>
      </c>
      <c r="U49" s="39"/>
      <c r="V49" s="72" t="str">
        <f t="shared" si="39"/>
        <v/>
      </c>
      <c r="W49" s="72" t="str">
        <f t="shared" si="19"/>
        <v/>
      </c>
      <c r="X49" s="39"/>
      <c r="Y49" s="72" t="str">
        <f t="shared" si="40"/>
        <v/>
      </c>
      <c r="Z49" s="72" t="str">
        <f t="shared" si="20"/>
        <v/>
      </c>
      <c r="AA49" s="39"/>
      <c r="AB49" s="72" t="str">
        <f t="shared" si="4"/>
        <v/>
      </c>
      <c r="AC49" s="72" t="str">
        <f t="shared" si="21"/>
        <v/>
      </c>
      <c r="AD49" s="39"/>
      <c r="AE49" s="72" t="str">
        <f t="shared" si="41"/>
        <v/>
      </c>
      <c r="AF49" s="72" t="str">
        <f t="shared" si="22"/>
        <v/>
      </c>
      <c r="AG49" s="39"/>
      <c r="AH49" s="72" t="str">
        <f t="shared" si="42"/>
        <v/>
      </c>
      <c r="AI49" s="72" t="str">
        <f t="shared" si="23"/>
        <v/>
      </c>
      <c r="AJ49" s="39"/>
      <c r="AK49" s="72" t="str">
        <f t="shared" si="24"/>
        <v/>
      </c>
      <c r="AL49" s="72" t="str">
        <f t="shared" si="25"/>
        <v/>
      </c>
      <c r="AM49" s="39"/>
      <c r="AN49" s="72" t="str">
        <f t="shared" si="43"/>
        <v/>
      </c>
      <c r="AO49" s="72" t="str">
        <f t="shared" si="26"/>
        <v/>
      </c>
      <c r="AP49" s="39"/>
      <c r="AQ49" s="72" t="str">
        <f t="shared" si="44"/>
        <v/>
      </c>
      <c r="AR49" s="72" t="str">
        <f t="shared" si="27"/>
        <v/>
      </c>
      <c r="AS49" s="39"/>
      <c r="AT49" s="40" t="str">
        <f>IF($K49&lt;=$F$15,IF($F$40&lt;&gt;"",$F$40/1000,IF(ISERROR(VLOOKUP($F$3&amp;IF($G$4&lt;&gt;"",$G$4,"")&amp;IF($F$43&lt;&gt;"","_"&amp;$F$43,""),'表3）燃料価格'!$AF$9:$AG$25,2,0)),0,VLOOKUP($I49,'表3）燃料価格'!$A$6:$U$66,VLOOKUP($F$3&amp;IF($G$4&lt;&gt;"",$G$4,"")&amp;IF($F$43&lt;&gt;"","_"&amp;$F$43,""),'表3）燃料価格'!$AF$9:$AG$25,2,0)+VLOOKUP($F$41,'表3）燃料価格'!$AF$28:$AG$29,2,0),0)*IF($F$43="需要地価格",1,$F$8/$F$141))),"")</f>
        <v/>
      </c>
      <c r="AU49" s="39"/>
      <c r="AV49" s="72" t="str">
        <f t="shared" si="45"/>
        <v/>
      </c>
      <c r="AW49" s="72" t="str">
        <f t="shared" si="10"/>
        <v/>
      </c>
      <c r="AX49" s="39"/>
      <c r="AY49" s="40" t="str">
        <f>IF(ISERROR(IF($K49&lt;=$F$15,VLOOKUP($I49,'表4）CO2価格'!$A$7:$E$67,VLOOKUP($F$48,'表4）CO2価格'!$H$10:$I$12,2,0),0)*$F$8/1000,"")),0,IF($K49&lt;=$F$15,VLOOKUP($I49,'表4）CO2価格'!$A$7:$E$67,VLOOKUP($F$48,'表4）CO2価格'!$H$10:$I$12,2,0),0)*$F$8/1000,""))</f>
        <v/>
      </c>
      <c r="AZ49" s="39"/>
      <c r="BA49" s="42" t="str">
        <f t="shared" si="46"/>
        <v/>
      </c>
      <c r="BB49" s="72" t="str">
        <f t="shared" si="28"/>
        <v/>
      </c>
      <c r="BC49" s="39"/>
      <c r="BD49" s="72" t="str">
        <f t="shared" si="47"/>
        <v/>
      </c>
      <c r="BE49" s="72" t="str">
        <f t="shared" si="29"/>
        <v/>
      </c>
      <c r="BF49" s="39"/>
      <c r="BG49" s="42" t="str">
        <f t="shared" si="48"/>
        <v/>
      </c>
      <c r="BH49" s="72" t="str">
        <f t="shared" si="30"/>
        <v/>
      </c>
      <c r="BI49" s="39"/>
      <c r="BJ49" s="40" t="str">
        <f t="shared" si="31"/>
        <v/>
      </c>
      <c r="BK49" s="157" t="str">
        <f t="shared" si="32"/>
        <v/>
      </c>
      <c r="BL49" s="157" t="str">
        <f t="shared" si="14"/>
        <v/>
      </c>
      <c r="BM49" s="72"/>
      <c r="BN49" s="72" t="str">
        <f t="shared" si="33"/>
        <v/>
      </c>
      <c r="BO49" s="72" t="str">
        <f t="shared" si="34"/>
        <v/>
      </c>
      <c r="BP49" s="39"/>
      <c r="BQ49" s="72" t="str">
        <f t="shared" si="49"/>
        <v/>
      </c>
      <c r="BR49" s="72" t="str">
        <f t="shared" si="35"/>
        <v/>
      </c>
    </row>
    <row r="50" spans="3:70" x14ac:dyDescent="0.15">
      <c r="C50" s="89" t="s">
        <v>510</v>
      </c>
      <c r="D50" s="101"/>
      <c r="E50" s="101"/>
      <c r="F50" s="89"/>
      <c r="G50" s="101"/>
      <c r="I50" s="322">
        <f t="shared" si="36"/>
        <v>2055</v>
      </c>
      <c r="J50" s="71"/>
      <c r="K50" s="71">
        <f t="shared" si="37"/>
        <v>36</v>
      </c>
      <c r="L50" s="71"/>
      <c r="M50" s="7">
        <f t="shared" si="0"/>
        <v>0.34503242505668674</v>
      </c>
      <c r="N50" s="71"/>
      <c r="O50" s="10" t="str">
        <f t="shared" si="16"/>
        <v/>
      </c>
      <c r="P50" s="29" t="str">
        <f t="shared" si="38"/>
        <v/>
      </c>
      <c r="Q50" s="71"/>
      <c r="R50" s="10" t="str">
        <f t="shared" si="50"/>
        <v/>
      </c>
      <c r="S50" s="71"/>
      <c r="T50" s="10" t="str">
        <f t="shared" si="18"/>
        <v/>
      </c>
      <c r="U50" s="71"/>
      <c r="V50" s="10" t="str">
        <f t="shared" si="39"/>
        <v/>
      </c>
      <c r="W50" s="10" t="str">
        <f t="shared" si="19"/>
        <v/>
      </c>
      <c r="X50" s="71"/>
      <c r="Y50" s="10" t="str">
        <f t="shared" si="40"/>
        <v/>
      </c>
      <c r="Z50" s="10" t="str">
        <f t="shared" si="20"/>
        <v/>
      </c>
      <c r="AA50" s="71"/>
      <c r="AB50" s="10" t="str">
        <f t="shared" si="4"/>
        <v/>
      </c>
      <c r="AC50" s="10" t="str">
        <f t="shared" si="21"/>
        <v/>
      </c>
      <c r="AD50" s="71"/>
      <c r="AE50" s="10" t="str">
        <f t="shared" si="41"/>
        <v/>
      </c>
      <c r="AF50" s="10" t="str">
        <f t="shared" si="22"/>
        <v/>
      </c>
      <c r="AG50" s="71"/>
      <c r="AH50" s="10" t="str">
        <f t="shared" si="42"/>
        <v/>
      </c>
      <c r="AI50" s="10" t="str">
        <f t="shared" si="23"/>
        <v/>
      </c>
      <c r="AJ50" s="71"/>
      <c r="AK50" s="10" t="str">
        <f t="shared" si="24"/>
        <v/>
      </c>
      <c r="AL50" s="10" t="str">
        <f t="shared" si="25"/>
        <v/>
      </c>
      <c r="AM50" s="71"/>
      <c r="AN50" s="10" t="str">
        <f t="shared" si="43"/>
        <v/>
      </c>
      <c r="AO50" s="10" t="str">
        <f t="shared" si="26"/>
        <v/>
      </c>
      <c r="AP50" s="71"/>
      <c r="AQ50" s="10" t="str">
        <f t="shared" si="44"/>
        <v/>
      </c>
      <c r="AR50" s="10" t="str">
        <f t="shared" si="27"/>
        <v/>
      </c>
      <c r="AS50" s="71"/>
      <c r="AT50" s="7" t="str">
        <f>IF($K50&lt;=$F$15,IF($F$40&lt;&gt;"",$F$40/1000,IF(ISERROR(VLOOKUP($F$3&amp;IF($G$4&lt;&gt;"",$G$4,"")&amp;IF($F$43&lt;&gt;"","_"&amp;$F$43,""),'表3）燃料価格'!$AF$9:$AG$25,2,0)),0,VLOOKUP($I50,'表3）燃料価格'!$A$6:$U$66,VLOOKUP($F$3&amp;IF($G$4&lt;&gt;"",$G$4,"")&amp;IF($F$43&lt;&gt;"","_"&amp;$F$43,""),'表3）燃料価格'!$AF$9:$AG$25,2,0)+VLOOKUP($F$41,'表3）燃料価格'!$AF$28:$AG$29,2,0),0)*IF($F$43="需要地価格",1,$F$8/$F$141))),"")</f>
        <v/>
      </c>
      <c r="AU50" s="71"/>
      <c r="AV50" s="10" t="str">
        <f t="shared" si="45"/>
        <v/>
      </c>
      <c r="AW50" s="10" t="str">
        <f t="shared" si="10"/>
        <v/>
      </c>
      <c r="AX50" s="71"/>
      <c r="AY50" s="7" t="str">
        <f>IF(ISERROR(IF($K50&lt;=$F$15,VLOOKUP($I50,'表4）CO2価格'!$A$7:$E$67,VLOOKUP($F$48,'表4）CO2価格'!$H$10:$I$12,2,0),0)*$F$8/1000,"")),0,IF($K50&lt;=$F$15,VLOOKUP($I50,'表4）CO2価格'!$A$7:$E$67,VLOOKUP($F$48,'表4）CO2価格'!$H$10:$I$12,2,0),0)*$F$8/1000,""))</f>
        <v/>
      </c>
      <c r="AZ50" s="71"/>
      <c r="BA50" s="11" t="str">
        <f t="shared" si="46"/>
        <v/>
      </c>
      <c r="BB50" s="10" t="str">
        <f t="shared" si="28"/>
        <v/>
      </c>
      <c r="BC50" s="71"/>
      <c r="BD50" s="10" t="str">
        <f t="shared" si="47"/>
        <v/>
      </c>
      <c r="BE50" s="10" t="str">
        <f t="shared" si="29"/>
        <v/>
      </c>
      <c r="BF50" s="71"/>
      <c r="BG50" s="11" t="str">
        <f t="shared" si="48"/>
        <v/>
      </c>
      <c r="BH50" s="10" t="str">
        <f t="shared" si="30"/>
        <v/>
      </c>
      <c r="BJ50" s="7" t="str">
        <f t="shared" si="31"/>
        <v/>
      </c>
      <c r="BK50" s="158" t="str">
        <f t="shared" si="32"/>
        <v/>
      </c>
      <c r="BL50" s="158" t="str">
        <f t="shared" si="14"/>
        <v/>
      </c>
      <c r="BM50" s="10"/>
      <c r="BN50" s="10" t="str">
        <f t="shared" si="33"/>
        <v/>
      </c>
      <c r="BO50" s="10" t="str">
        <f t="shared" si="34"/>
        <v/>
      </c>
      <c r="BQ50" s="10" t="str">
        <f t="shared" si="49"/>
        <v/>
      </c>
      <c r="BR50" s="10" t="str">
        <f t="shared" si="35"/>
        <v/>
      </c>
    </row>
    <row r="51" spans="3:70" x14ac:dyDescent="0.15">
      <c r="I51" s="38">
        <f t="shared" si="36"/>
        <v>2056</v>
      </c>
      <c r="J51" s="39"/>
      <c r="K51" s="39">
        <f t="shared" si="37"/>
        <v>37</v>
      </c>
      <c r="L51" s="39"/>
      <c r="M51" s="40">
        <f t="shared" si="0"/>
        <v>0.33498293694823961</v>
      </c>
      <c r="N51" s="39"/>
      <c r="O51" s="72" t="str">
        <f t="shared" si="16"/>
        <v/>
      </c>
      <c r="P51" s="41" t="str">
        <f t="shared" si="38"/>
        <v/>
      </c>
      <c r="Q51" s="39"/>
      <c r="R51" s="72" t="str">
        <f t="shared" si="50"/>
        <v/>
      </c>
      <c r="S51" s="39"/>
      <c r="T51" s="72" t="str">
        <f t="shared" si="18"/>
        <v/>
      </c>
      <c r="U51" s="39"/>
      <c r="V51" s="72" t="str">
        <f t="shared" si="39"/>
        <v/>
      </c>
      <c r="W51" s="72" t="str">
        <f t="shared" si="19"/>
        <v/>
      </c>
      <c r="X51" s="39"/>
      <c r="Y51" s="72" t="str">
        <f t="shared" si="40"/>
        <v/>
      </c>
      <c r="Z51" s="72" t="str">
        <f t="shared" si="20"/>
        <v/>
      </c>
      <c r="AA51" s="39"/>
      <c r="AB51" s="72" t="str">
        <f t="shared" si="4"/>
        <v/>
      </c>
      <c r="AC51" s="72" t="str">
        <f t="shared" si="21"/>
        <v/>
      </c>
      <c r="AD51" s="39"/>
      <c r="AE51" s="72" t="str">
        <f t="shared" si="41"/>
        <v/>
      </c>
      <c r="AF51" s="72" t="str">
        <f t="shared" si="22"/>
        <v/>
      </c>
      <c r="AG51" s="39"/>
      <c r="AH51" s="72" t="str">
        <f t="shared" si="42"/>
        <v/>
      </c>
      <c r="AI51" s="72" t="str">
        <f t="shared" si="23"/>
        <v/>
      </c>
      <c r="AJ51" s="39"/>
      <c r="AK51" s="72" t="str">
        <f t="shared" si="24"/>
        <v/>
      </c>
      <c r="AL51" s="72" t="str">
        <f t="shared" si="25"/>
        <v/>
      </c>
      <c r="AM51" s="39"/>
      <c r="AN51" s="72" t="str">
        <f t="shared" si="43"/>
        <v/>
      </c>
      <c r="AO51" s="72" t="str">
        <f t="shared" si="26"/>
        <v/>
      </c>
      <c r="AP51" s="39"/>
      <c r="AQ51" s="72" t="str">
        <f t="shared" si="44"/>
        <v/>
      </c>
      <c r="AR51" s="72" t="str">
        <f t="shared" si="27"/>
        <v/>
      </c>
      <c r="AS51" s="39"/>
      <c r="AT51" s="40" t="str">
        <f>IF($K51&lt;=$F$15,IF($F$40&lt;&gt;"",$F$40/1000,IF(ISERROR(VLOOKUP($F$3&amp;IF($G$4&lt;&gt;"",$G$4,"")&amp;IF($F$43&lt;&gt;"","_"&amp;$F$43,""),'表3）燃料価格'!$AF$9:$AG$25,2,0)),0,VLOOKUP($I51,'表3）燃料価格'!$A$6:$U$66,VLOOKUP($F$3&amp;IF($G$4&lt;&gt;"",$G$4,"")&amp;IF($F$43&lt;&gt;"","_"&amp;$F$43,""),'表3）燃料価格'!$AF$9:$AG$25,2,0)+VLOOKUP($F$41,'表3）燃料価格'!$AF$28:$AG$29,2,0),0)*IF($F$43="需要地価格",1,$F$8/$F$141))),"")</f>
        <v/>
      </c>
      <c r="AU51" s="39"/>
      <c r="AV51" s="72" t="str">
        <f t="shared" si="45"/>
        <v/>
      </c>
      <c r="AW51" s="72" t="str">
        <f t="shared" si="10"/>
        <v/>
      </c>
      <c r="AX51" s="39"/>
      <c r="AY51" s="40" t="str">
        <f>IF(ISERROR(IF($K51&lt;=$F$15,VLOOKUP($I51,'表4）CO2価格'!$A$7:$E$67,VLOOKUP($F$48,'表4）CO2価格'!$H$10:$I$12,2,0),0)*$F$8/1000,"")),0,IF($K51&lt;=$F$15,VLOOKUP($I51,'表4）CO2価格'!$A$7:$E$67,VLOOKUP($F$48,'表4）CO2価格'!$H$10:$I$12,2,0),0)*$F$8/1000,""))</f>
        <v/>
      </c>
      <c r="AZ51" s="39"/>
      <c r="BA51" s="42" t="str">
        <f t="shared" si="46"/>
        <v/>
      </c>
      <c r="BB51" s="72" t="str">
        <f t="shared" si="28"/>
        <v/>
      </c>
      <c r="BC51" s="39"/>
      <c r="BD51" s="72" t="str">
        <f t="shared" si="47"/>
        <v/>
      </c>
      <c r="BE51" s="72" t="str">
        <f t="shared" si="29"/>
        <v/>
      </c>
      <c r="BF51" s="39"/>
      <c r="BG51" s="42" t="str">
        <f t="shared" si="48"/>
        <v/>
      </c>
      <c r="BH51" s="72" t="str">
        <f t="shared" si="30"/>
        <v/>
      </c>
      <c r="BI51" s="39"/>
      <c r="BJ51" s="40" t="str">
        <f t="shared" si="31"/>
        <v/>
      </c>
      <c r="BK51" s="157" t="str">
        <f t="shared" si="32"/>
        <v/>
      </c>
      <c r="BL51" s="157" t="str">
        <f t="shared" si="14"/>
        <v/>
      </c>
      <c r="BM51" s="72"/>
      <c r="BN51" s="72" t="str">
        <f t="shared" si="33"/>
        <v/>
      </c>
      <c r="BO51" s="72" t="str">
        <f t="shared" si="34"/>
        <v/>
      </c>
      <c r="BP51" s="39"/>
      <c r="BQ51" s="72" t="str">
        <f t="shared" si="49"/>
        <v/>
      </c>
      <c r="BR51" s="72" t="str">
        <f t="shared" si="35"/>
        <v/>
      </c>
    </row>
    <row r="52" spans="3:70" x14ac:dyDescent="0.15">
      <c r="D52" s="81" t="s">
        <v>185</v>
      </c>
      <c r="F52" s="67">
        <v>40</v>
      </c>
      <c r="G52" s="81" t="s">
        <v>172</v>
      </c>
      <c r="I52" s="322">
        <f t="shared" si="36"/>
        <v>2057</v>
      </c>
      <c r="J52" s="71"/>
      <c r="K52" s="71">
        <f t="shared" si="37"/>
        <v>38</v>
      </c>
      <c r="L52" s="71"/>
      <c r="M52" s="7">
        <f t="shared" si="0"/>
        <v>0.3252261523769317</v>
      </c>
      <c r="N52" s="71"/>
      <c r="O52" s="10" t="str">
        <f t="shared" si="16"/>
        <v/>
      </c>
      <c r="P52" s="29" t="str">
        <f t="shared" si="38"/>
        <v/>
      </c>
      <c r="Q52" s="71"/>
      <c r="R52" s="10" t="str">
        <f t="shared" si="50"/>
        <v/>
      </c>
      <c r="S52" s="71"/>
      <c r="T52" s="10" t="str">
        <f t="shared" si="18"/>
        <v/>
      </c>
      <c r="U52" s="71"/>
      <c r="V52" s="10" t="str">
        <f t="shared" si="39"/>
        <v/>
      </c>
      <c r="W52" s="10" t="str">
        <f t="shared" si="19"/>
        <v/>
      </c>
      <c r="X52" s="71"/>
      <c r="Y52" s="10" t="str">
        <f t="shared" si="40"/>
        <v/>
      </c>
      <c r="Z52" s="10" t="str">
        <f t="shared" si="20"/>
        <v/>
      </c>
      <c r="AA52" s="71"/>
      <c r="AB52" s="10" t="str">
        <f t="shared" si="4"/>
        <v/>
      </c>
      <c r="AC52" s="10" t="str">
        <f t="shared" si="21"/>
        <v/>
      </c>
      <c r="AD52" s="71"/>
      <c r="AE52" s="10" t="str">
        <f t="shared" si="41"/>
        <v/>
      </c>
      <c r="AF52" s="10" t="str">
        <f t="shared" si="22"/>
        <v/>
      </c>
      <c r="AG52" s="71"/>
      <c r="AH52" s="10" t="str">
        <f t="shared" si="42"/>
        <v/>
      </c>
      <c r="AI52" s="10" t="str">
        <f t="shared" si="23"/>
        <v/>
      </c>
      <c r="AJ52" s="71"/>
      <c r="AK52" s="10" t="str">
        <f t="shared" si="24"/>
        <v/>
      </c>
      <c r="AL52" s="10" t="str">
        <f t="shared" si="25"/>
        <v/>
      </c>
      <c r="AM52" s="71"/>
      <c r="AN52" s="10" t="str">
        <f t="shared" si="43"/>
        <v/>
      </c>
      <c r="AO52" s="10" t="str">
        <f t="shared" si="26"/>
        <v/>
      </c>
      <c r="AP52" s="71"/>
      <c r="AQ52" s="10" t="str">
        <f t="shared" si="44"/>
        <v/>
      </c>
      <c r="AR52" s="10" t="str">
        <f t="shared" si="27"/>
        <v/>
      </c>
      <c r="AS52" s="71"/>
      <c r="AT52" s="7" t="str">
        <f>IF($K52&lt;=$F$15,IF($F$40&lt;&gt;"",$F$40/1000,IF(ISERROR(VLOOKUP($F$3&amp;IF($G$4&lt;&gt;"",$G$4,"")&amp;IF($F$43&lt;&gt;"","_"&amp;$F$43,""),'表3）燃料価格'!$AF$9:$AG$25,2,0)),0,VLOOKUP($I52,'表3）燃料価格'!$A$6:$U$66,VLOOKUP($F$3&amp;IF($G$4&lt;&gt;"",$G$4,"")&amp;IF($F$43&lt;&gt;"","_"&amp;$F$43,""),'表3）燃料価格'!$AF$9:$AG$25,2,0)+VLOOKUP($F$41,'表3）燃料価格'!$AF$28:$AG$29,2,0),0)*IF($F$43="需要地価格",1,$F$8/$F$141))),"")</f>
        <v/>
      </c>
      <c r="AU52" s="71"/>
      <c r="AV52" s="10" t="str">
        <f t="shared" si="45"/>
        <v/>
      </c>
      <c r="AW52" s="10" t="str">
        <f t="shared" si="10"/>
        <v/>
      </c>
      <c r="AX52" s="71"/>
      <c r="AY52" s="7" t="str">
        <f>IF(ISERROR(IF($K52&lt;=$F$15,VLOOKUP($I52,'表4）CO2価格'!$A$7:$E$67,VLOOKUP($F$48,'表4）CO2価格'!$H$10:$I$12,2,0),0)*$F$8/1000,"")),0,IF($K52&lt;=$F$15,VLOOKUP($I52,'表4）CO2価格'!$A$7:$E$67,VLOOKUP($F$48,'表4）CO2価格'!$H$10:$I$12,2,0),0)*$F$8/1000,""))</f>
        <v/>
      </c>
      <c r="AZ52" s="71"/>
      <c r="BA52" s="11" t="str">
        <f t="shared" si="46"/>
        <v/>
      </c>
      <c r="BB52" s="10" t="str">
        <f t="shared" si="28"/>
        <v/>
      </c>
      <c r="BC52" s="71"/>
      <c r="BD52" s="10" t="str">
        <f t="shared" si="47"/>
        <v/>
      </c>
      <c r="BE52" s="10" t="str">
        <f t="shared" si="29"/>
        <v/>
      </c>
      <c r="BF52" s="71"/>
      <c r="BG52" s="11" t="str">
        <f t="shared" si="48"/>
        <v/>
      </c>
      <c r="BH52" s="10" t="str">
        <f t="shared" si="30"/>
        <v/>
      </c>
      <c r="BJ52" s="7" t="str">
        <f t="shared" si="31"/>
        <v/>
      </c>
      <c r="BK52" s="158" t="str">
        <f t="shared" si="32"/>
        <v/>
      </c>
      <c r="BL52" s="158" t="str">
        <f t="shared" si="14"/>
        <v/>
      </c>
      <c r="BM52" s="10"/>
      <c r="BN52" s="10" t="str">
        <f t="shared" si="33"/>
        <v/>
      </c>
      <c r="BO52" s="10" t="str">
        <f t="shared" si="34"/>
        <v/>
      </c>
      <c r="BQ52" s="10" t="str">
        <f t="shared" si="49"/>
        <v/>
      </c>
      <c r="BR52" s="10" t="str">
        <f t="shared" si="35"/>
        <v/>
      </c>
    </row>
    <row r="53" spans="3:70" x14ac:dyDescent="0.15">
      <c r="D53" s="81" t="s">
        <v>186</v>
      </c>
      <c r="F53" s="66">
        <v>100</v>
      </c>
      <c r="G53" s="81" t="s">
        <v>172</v>
      </c>
      <c r="I53" s="38">
        <f t="shared" si="36"/>
        <v>2058</v>
      </c>
      <c r="J53" s="39"/>
      <c r="K53" s="39">
        <f t="shared" si="37"/>
        <v>39</v>
      </c>
      <c r="L53" s="39"/>
      <c r="M53" s="40">
        <f t="shared" si="0"/>
        <v>0.31575354599702099</v>
      </c>
      <c r="N53" s="39"/>
      <c r="O53" s="72" t="str">
        <f t="shared" si="16"/>
        <v/>
      </c>
      <c r="P53" s="41" t="str">
        <f t="shared" si="38"/>
        <v/>
      </c>
      <c r="Q53" s="39"/>
      <c r="R53" s="72" t="str">
        <f t="shared" si="50"/>
        <v/>
      </c>
      <c r="S53" s="39"/>
      <c r="T53" s="72" t="str">
        <f t="shared" si="18"/>
        <v/>
      </c>
      <c r="U53" s="39"/>
      <c r="V53" s="72" t="str">
        <f t="shared" si="39"/>
        <v/>
      </c>
      <c r="W53" s="72" t="str">
        <f t="shared" si="19"/>
        <v/>
      </c>
      <c r="X53" s="39"/>
      <c r="Y53" s="72" t="str">
        <f t="shared" si="40"/>
        <v/>
      </c>
      <c r="Z53" s="72" t="str">
        <f t="shared" si="20"/>
        <v/>
      </c>
      <c r="AA53" s="39"/>
      <c r="AB53" s="72" t="str">
        <f t="shared" si="4"/>
        <v/>
      </c>
      <c r="AC53" s="72" t="str">
        <f t="shared" si="21"/>
        <v/>
      </c>
      <c r="AD53" s="39"/>
      <c r="AE53" s="72" t="str">
        <f t="shared" si="41"/>
        <v/>
      </c>
      <c r="AF53" s="72" t="str">
        <f t="shared" si="22"/>
        <v/>
      </c>
      <c r="AG53" s="39"/>
      <c r="AH53" s="72" t="str">
        <f t="shared" si="42"/>
        <v/>
      </c>
      <c r="AI53" s="72" t="str">
        <f t="shared" si="23"/>
        <v/>
      </c>
      <c r="AJ53" s="39"/>
      <c r="AK53" s="72" t="str">
        <f t="shared" si="24"/>
        <v/>
      </c>
      <c r="AL53" s="72" t="str">
        <f t="shared" si="25"/>
        <v/>
      </c>
      <c r="AM53" s="39"/>
      <c r="AN53" s="72" t="str">
        <f t="shared" si="43"/>
        <v/>
      </c>
      <c r="AO53" s="72" t="str">
        <f t="shared" si="26"/>
        <v/>
      </c>
      <c r="AP53" s="39"/>
      <c r="AQ53" s="72" t="str">
        <f t="shared" si="44"/>
        <v/>
      </c>
      <c r="AR53" s="72" t="str">
        <f t="shared" si="27"/>
        <v/>
      </c>
      <c r="AS53" s="39"/>
      <c r="AT53" s="40" t="str">
        <f>IF($K53&lt;=$F$15,IF($F$40&lt;&gt;"",$F$40/1000,IF(ISERROR(VLOOKUP($F$3&amp;IF($G$4&lt;&gt;"",$G$4,"")&amp;IF($F$43&lt;&gt;"","_"&amp;$F$43,""),'表3）燃料価格'!$AF$9:$AG$25,2,0)),0,VLOOKUP($I53,'表3）燃料価格'!$A$6:$U$66,VLOOKUP($F$3&amp;IF($G$4&lt;&gt;"",$G$4,"")&amp;IF($F$43&lt;&gt;"","_"&amp;$F$43,""),'表3）燃料価格'!$AF$9:$AG$25,2,0)+VLOOKUP($F$41,'表3）燃料価格'!$AF$28:$AG$29,2,0),0)*IF($F$43="需要地価格",1,$F$8/$F$141))),"")</f>
        <v/>
      </c>
      <c r="AU53" s="39"/>
      <c r="AV53" s="72" t="str">
        <f t="shared" si="45"/>
        <v/>
      </c>
      <c r="AW53" s="72" t="str">
        <f t="shared" si="10"/>
        <v/>
      </c>
      <c r="AX53" s="39"/>
      <c r="AY53" s="40" t="str">
        <f>IF(ISERROR(IF($K53&lt;=$F$15,VLOOKUP($I53,'表4）CO2価格'!$A$7:$E$67,VLOOKUP($F$48,'表4）CO2価格'!$H$10:$I$12,2,0),0)*$F$8/1000,"")),0,IF($K53&lt;=$F$15,VLOOKUP($I53,'表4）CO2価格'!$A$7:$E$67,VLOOKUP($F$48,'表4）CO2価格'!$H$10:$I$12,2,0),0)*$F$8/1000,""))</f>
        <v/>
      </c>
      <c r="AZ53" s="39"/>
      <c r="BA53" s="42" t="str">
        <f t="shared" si="46"/>
        <v/>
      </c>
      <c r="BB53" s="72" t="str">
        <f t="shared" si="28"/>
        <v/>
      </c>
      <c r="BC53" s="39"/>
      <c r="BD53" s="72" t="str">
        <f t="shared" si="47"/>
        <v/>
      </c>
      <c r="BE53" s="72" t="str">
        <f t="shared" si="29"/>
        <v/>
      </c>
      <c r="BF53" s="39"/>
      <c r="BG53" s="42" t="str">
        <f t="shared" si="48"/>
        <v/>
      </c>
      <c r="BH53" s="72" t="str">
        <f t="shared" si="30"/>
        <v/>
      </c>
      <c r="BI53" s="39"/>
      <c r="BJ53" s="40" t="str">
        <f t="shared" si="31"/>
        <v/>
      </c>
      <c r="BK53" s="157" t="str">
        <f t="shared" si="32"/>
        <v/>
      </c>
      <c r="BL53" s="157" t="str">
        <f t="shared" si="14"/>
        <v/>
      </c>
      <c r="BM53" s="72"/>
      <c r="BN53" s="72" t="str">
        <f t="shared" si="33"/>
        <v/>
      </c>
      <c r="BO53" s="72" t="str">
        <f t="shared" si="34"/>
        <v/>
      </c>
      <c r="BP53" s="39"/>
      <c r="BQ53" s="72" t="str">
        <f t="shared" si="49"/>
        <v/>
      </c>
      <c r="BR53" s="72" t="str">
        <f t="shared" si="35"/>
        <v/>
      </c>
    </row>
    <row r="54" spans="3:70" x14ac:dyDescent="0.15">
      <c r="D54" s="81" t="s">
        <v>187</v>
      </c>
      <c r="F54" s="66">
        <v>83.6</v>
      </c>
      <c r="G54" s="81" t="s">
        <v>172</v>
      </c>
      <c r="I54" s="322">
        <f t="shared" si="36"/>
        <v>2059</v>
      </c>
      <c r="J54" s="71"/>
      <c r="K54" s="71">
        <f t="shared" si="37"/>
        <v>40</v>
      </c>
      <c r="L54" s="71"/>
      <c r="M54" s="7">
        <f t="shared" si="0"/>
        <v>0.30655684077380685</v>
      </c>
      <c r="N54" s="71"/>
      <c r="O54" s="10" t="str">
        <f t="shared" si="16"/>
        <v/>
      </c>
      <c r="P54" s="29" t="str">
        <f t="shared" si="38"/>
        <v/>
      </c>
      <c r="Q54" s="71"/>
      <c r="R54" s="10" t="str">
        <f t="shared" si="50"/>
        <v/>
      </c>
      <c r="S54" s="71"/>
      <c r="T54" s="10" t="str">
        <f t="shared" si="18"/>
        <v/>
      </c>
      <c r="U54" s="71"/>
      <c r="V54" s="10" t="str">
        <f t="shared" si="39"/>
        <v/>
      </c>
      <c r="W54" s="10" t="str">
        <f t="shared" si="19"/>
        <v/>
      </c>
      <c r="X54" s="71"/>
      <c r="Y54" s="10" t="str">
        <f t="shared" si="40"/>
        <v/>
      </c>
      <c r="Z54" s="10" t="str">
        <f t="shared" si="20"/>
        <v/>
      </c>
      <c r="AA54" s="71"/>
      <c r="AB54" s="10" t="str">
        <f t="shared" si="4"/>
        <v/>
      </c>
      <c r="AC54" s="10" t="str">
        <f t="shared" si="21"/>
        <v/>
      </c>
      <c r="AD54" s="71"/>
      <c r="AE54" s="10" t="str">
        <f t="shared" si="41"/>
        <v/>
      </c>
      <c r="AF54" s="10" t="str">
        <f t="shared" si="22"/>
        <v/>
      </c>
      <c r="AG54" s="71"/>
      <c r="AH54" s="10" t="str">
        <f t="shared" si="42"/>
        <v/>
      </c>
      <c r="AI54" s="10" t="str">
        <f t="shared" si="23"/>
        <v/>
      </c>
      <c r="AJ54" s="71"/>
      <c r="AK54" s="10" t="str">
        <f t="shared" si="24"/>
        <v/>
      </c>
      <c r="AL54" s="10" t="str">
        <f t="shared" si="25"/>
        <v/>
      </c>
      <c r="AM54" s="71"/>
      <c r="AN54" s="10" t="str">
        <f t="shared" si="43"/>
        <v/>
      </c>
      <c r="AO54" s="10" t="str">
        <f t="shared" si="26"/>
        <v/>
      </c>
      <c r="AP54" s="71"/>
      <c r="AQ54" s="10" t="str">
        <f t="shared" si="44"/>
        <v/>
      </c>
      <c r="AR54" s="10" t="str">
        <f t="shared" si="27"/>
        <v/>
      </c>
      <c r="AS54" s="71"/>
      <c r="AT54" s="7" t="str">
        <f>IF($K54&lt;=$F$15,IF($F$40&lt;&gt;"",$F$40/1000,IF(ISERROR(VLOOKUP($F$3&amp;IF($G$4&lt;&gt;"",$G$4,"")&amp;IF($F$43&lt;&gt;"","_"&amp;$F$43,""),'表3）燃料価格'!$AF$9:$AG$25,2,0)),0,VLOOKUP($I54,'表3）燃料価格'!$A$6:$U$66,VLOOKUP($F$3&amp;IF($G$4&lt;&gt;"",$G$4,"")&amp;IF($F$43&lt;&gt;"","_"&amp;$F$43,""),'表3）燃料価格'!$AF$9:$AG$25,2,0)+VLOOKUP($F$41,'表3）燃料価格'!$AF$28:$AG$29,2,0),0)*IF($F$43="需要地価格",1,$F$8/$F$141))),"")</f>
        <v/>
      </c>
      <c r="AU54" s="71"/>
      <c r="AV54" s="10" t="str">
        <f t="shared" si="45"/>
        <v/>
      </c>
      <c r="AW54" s="10" t="str">
        <f t="shared" si="10"/>
        <v/>
      </c>
      <c r="AX54" s="71"/>
      <c r="AY54" s="7" t="str">
        <f>IF(ISERROR(IF($K54&lt;=$F$15,VLOOKUP($I54,'表4）CO2価格'!$A$7:$E$67,VLOOKUP($F$48,'表4）CO2価格'!$H$10:$I$12,2,0),0)*$F$8/1000,"")),0,IF($K54&lt;=$F$15,VLOOKUP($I54,'表4）CO2価格'!$A$7:$E$67,VLOOKUP($F$48,'表4）CO2価格'!$H$10:$I$12,2,0),0)*$F$8/1000,""))</f>
        <v/>
      </c>
      <c r="AZ54" s="71"/>
      <c r="BA54" s="11" t="str">
        <f t="shared" si="46"/>
        <v/>
      </c>
      <c r="BB54" s="10" t="str">
        <f t="shared" si="28"/>
        <v/>
      </c>
      <c r="BC54" s="71"/>
      <c r="BD54" s="10" t="str">
        <f t="shared" si="47"/>
        <v/>
      </c>
      <c r="BE54" s="10" t="str">
        <f t="shared" si="29"/>
        <v/>
      </c>
      <c r="BF54" s="71"/>
      <c r="BG54" s="11" t="str">
        <f t="shared" si="48"/>
        <v/>
      </c>
      <c r="BH54" s="10" t="str">
        <f t="shared" si="30"/>
        <v/>
      </c>
      <c r="BJ54" s="7" t="str">
        <f t="shared" si="31"/>
        <v/>
      </c>
      <c r="BK54" s="158" t="str">
        <f t="shared" si="32"/>
        <v/>
      </c>
      <c r="BL54" s="158" t="str">
        <f t="shared" si="14"/>
        <v/>
      </c>
      <c r="BM54" s="10"/>
      <c r="BN54" s="10" t="str">
        <f t="shared" si="33"/>
        <v/>
      </c>
      <c r="BO54" s="10" t="str">
        <f t="shared" si="34"/>
        <v/>
      </c>
      <c r="BQ54" s="10" t="str">
        <f t="shared" si="49"/>
        <v/>
      </c>
      <c r="BR54" s="10" t="str">
        <f t="shared" si="35"/>
        <v/>
      </c>
    </row>
    <row r="55" spans="3:70" ht="16.5" x14ac:dyDescent="0.15">
      <c r="D55" s="81" t="s">
        <v>188</v>
      </c>
      <c r="F55" s="109">
        <f>IF($F$43="需要地価格",45,55.01)</f>
        <v>55.01</v>
      </c>
      <c r="G55" s="9" t="s">
        <v>372</v>
      </c>
      <c r="I55" s="38">
        <f>I54+1</f>
        <v>2060</v>
      </c>
      <c r="J55" s="39"/>
      <c r="K55" s="39">
        <f>IF(I55&lt;&gt;"",K54+1,"")</f>
        <v>41</v>
      </c>
      <c r="L55" s="39"/>
      <c r="M55" s="40">
        <f t="shared" si="0"/>
        <v>0.29762800075126877</v>
      </c>
      <c r="N55" s="39"/>
      <c r="O55" s="72" t="str">
        <f t="shared" si="16"/>
        <v/>
      </c>
      <c r="P55" s="41" t="str">
        <f t="shared" si="38"/>
        <v/>
      </c>
      <c r="Q55" s="39"/>
      <c r="R55" s="72" t="str">
        <f t="shared" si="50"/>
        <v/>
      </c>
      <c r="S55" s="39"/>
      <c r="T55" s="72" t="str">
        <f t="shared" si="18"/>
        <v/>
      </c>
      <c r="U55" s="39"/>
      <c r="V55" s="72" t="str">
        <f t="shared" si="39"/>
        <v/>
      </c>
      <c r="W55" s="72" t="str">
        <f t="shared" si="19"/>
        <v/>
      </c>
      <c r="X55" s="39"/>
      <c r="Y55" s="72" t="str">
        <f t="shared" si="40"/>
        <v/>
      </c>
      <c r="Z55" s="72" t="str">
        <f t="shared" si="20"/>
        <v/>
      </c>
      <c r="AA55" s="39"/>
      <c r="AB55" s="72" t="str">
        <f t="shared" si="4"/>
        <v/>
      </c>
      <c r="AC55" s="72" t="str">
        <f t="shared" si="21"/>
        <v/>
      </c>
      <c r="AD55" s="39"/>
      <c r="AE55" s="72" t="str">
        <f t="shared" si="41"/>
        <v/>
      </c>
      <c r="AF55" s="72" t="str">
        <f t="shared" si="22"/>
        <v/>
      </c>
      <c r="AG55" s="39"/>
      <c r="AH55" s="72" t="str">
        <f t="shared" si="42"/>
        <v/>
      </c>
      <c r="AI55" s="72" t="str">
        <f t="shared" si="23"/>
        <v/>
      </c>
      <c r="AJ55" s="39"/>
      <c r="AK55" s="72" t="str">
        <f t="shared" si="24"/>
        <v/>
      </c>
      <c r="AL55" s="72" t="str">
        <f t="shared" si="25"/>
        <v/>
      </c>
      <c r="AM55" s="39"/>
      <c r="AN55" s="72" t="str">
        <f t="shared" si="43"/>
        <v/>
      </c>
      <c r="AO55" s="72" t="str">
        <f t="shared" si="26"/>
        <v/>
      </c>
      <c r="AP55" s="39"/>
      <c r="AQ55" s="72" t="str">
        <f t="shared" si="44"/>
        <v/>
      </c>
      <c r="AR55" s="72" t="str">
        <f t="shared" si="27"/>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45"/>
        <v/>
      </c>
      <c r="AW55" s="72" t="str">
        <f t="shared" si="10"/>
        <v/>
      </c>
      <c r="AX55" s="39"/>
      <c r="AY55" s="40" t="str">
        <f>IF(ISERROR(IF($K55&lt;=$F$15,VLOOKUP($I55,'表4）CO2価格'!$A$7:$E$67,VLOOKUP($F$48,'表4）CO2価格'!$H$10:$I$12,2,0),0)*$F$8/1000,"")),0,IF($K55&lt;=$F$15,VLOOKUP($I55,'表4）CO2価格'!$A$7:$E$67,VLOOKUP($F$48,'表4）CO2価格'!$H$10:$I$12,2,0),0)*$F$8/1000,""))</f>
        <v/>
      </c>
      <c r="AZ55" s="39"/>
      <c r="BA55" s="42" t="str">
        <f t="shared" si="46"/>
        <v/>
      </c>
      <c r="BB55" s="72" t="str">
        <f t="shared" si="28"/>
        <v/>
      </c>
      <c r="BC55" s="39"/>
      <c r="BD55" s="72" t="str">
        <f t="shared" si="47"/>
        <v/>
      </c>
      <c r="BE55" s="72" t="str">
        <f t="shared" si="29"/>
        <v/>
      </c>
      <c r="BF55" s="39"/>
      <c r="BG55" s="42" t="str">
        <f t="shared" si="48"/>
        <v/>
      </c>
      <c r="BH55" s="72" t="str">
        <f t="shared" si="30"/>
        <v/>
      </c>
      <c r="BI55" s="39"/>
      <c r="BJ55" s="40" t="str">
        <f t="shared" si="31"/>
        <v/>
      </c>
      <c r="BK55" s="157" t="str">
        <f t="shared" si="32"/>
        <v/>
      </c>
      <c r="BL55" s="157" t="str">
        <f t="shared" si="14"/>
        <v/>
      </c>
      <c r="BM55" s="72"/>
      <c r="BN55" s="72" t="str">
        <f t="shared" si="33"/>
        <v/>
      </c>
      <c r="BO55" s="72" t="str">
        <f t="shared" si="34"/>
        <v/>
      </c>
      <c r="BP55" s="39"/>
      <c r="BQ55" s="72" t="str">
        <f t="shared" si="49"/>
        <v/>
      </c>
      <c r="BR55" s="72" t="str">
        <f t="shared" si="35"/>
        <v/>
      </c>
    </row>
    <row r="56" spans="3:70" x14ac:dyDescent="0.15">
      <c r="D56" s="81" t="s">
        <v>189</v>
      </c>
      <c r="F56" s="59">
        <f>IF($F$43="需要地価格",0,2800)</f>
        <v>2800</v>
      </c>
      <c r="G56" s="81" t="s">
        <v>181</v>
      </c>
      <c r="I56" s="322">
        <f t="shared" si="36"/>
        <v>2061</v>
      </c>
      <c r="J56" s="71"/>
      <c r="K56" s="71">
        <f t="shared" si="37"/>
        <v>42</v>
      </c>
      <c r="L56" s="71"/>
      <c r="M56" s="7">
        <f t="shared" si="0"/>
        <v>0.28895922403035801</v>
      </c>
      <c r="N56" s="71"/>
      <c r="O56" s="10" t="str">
        <f t="shared" si="16"/>
        <v/>
      </c>
      <c r="P56" s="29" t="str">
        <f t="shared" si="38"/>
        <v/>
      </c>
      <c r="Q56" s="71"/>
      <c r="R56" s="10" t="str">
        <f t="shared" si="50"/>
        <v/>
      </c>
      <c r="S56" s="71"/>
      <c r="T56" s="10" t="str">
        <f t="shared" si="18"/>
        <v/>
      </c>
      <c r="U56" s="71"/>
      <c r="V56" s="10" t="str">
        <f t="shared" si="39"/>
        <v/>
      </c>
      <c r="W56" s="10" t="str">
        <f t="shared" si="19"/>
        <v/>
      </c>
      <c r="X56" s="71"/>
      <c r="Y56" s="10" t="str">
        <f t="shared" si="40"/>
        <v/>
      </c>
      <c r="Z56" s="10" t="str">
        <f t="shared" si="20"/>
        <v/>
      </c>
      <c r="AA56" s="71"/>
      <c r="AB56" s="10" t="str">
        <f t="shared" si="4"/>
        <v/>
      </c>
      <c r="AC56" s="10" t="str">
        <f t="shared" si="21"/>
        <v/>
      </c>
      <c r="AD56" s="71"/>
      <c r="AE56" s="10" t="str">
        <f t="shared" si="41"/>
        <v/>
      </c>
      <c r="AF56" s="10" t="str">
        <f t="shared" si="22"/>
        <v/>
      </c>
      <c r="AG56" s="71"/>
      <c r="AH56" s="10" t="str">
        <f t="shared" si="42"/>
        <v/>
      </c>
      <c r="AI56" s="10" t="str">
        <f t="shared" si="23"/>
        <v/>
      </c>
      <c r="AJ56" s="71"/>
      <c r="AK56" s="10" t="str">
        <f t="shared" si="24"/>
        <v/>
      </c>
      <c r="AL56" s="10" t="str">
        <f t="shared" si="25"/>
        <v/>
      </c>
      <c r="AM56" s="71"/>
      <c r="AN56" s="10" t="str">
        <f t="shared" si="43"/>
        <v/>
      </c>
      <c r="AO56" s="10" t="str">
        <f t="shared" si="26"/>
        <v/>
      </c>
      <c r="AP56" s="71"/>
      <c r="AQ56" s="10" t="str">
        <f t="shared" si="44"/>
        <v/>
      </c>
      <c r="AR56" s="10" t="str">
        <f t="shared" si="27"/>
        <v/>
      </c>
      <c r="AS56" s="71"/>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U56" s="71"/>
      <c r="AV56" s="10" t="str">
        <f t="shared" si="45"/>
        <v/>
      </c>
      <c r="AW56" s="10" t="str">
        <f t="shared" si="10"/>
        <v/>
      </c>
      <c r="AX56" s="71"/>
      <c r="AY56" s="7" t="str">
        <f>IF(ISERROR(IF($K56&lt;=$F$15,VLOOKUP($I56,'表4）CO2価格'!$A$7:$E$67,VLOOKUP($F$48,'表4）CO2価格'!$H$10:$I$12,2,0),0)*$F$8/1000,"")),0,IF($K56&lt;=$F$15,VLOOKUP($I56,'表4）CO2価格'!$A$7:$E$67,VLOOKUP($F$48,'表4）CO2価格'!$H$10:$I$12,2,0),0)*$F$8/1000,""))</f>
        <v/>
      </c>
      <c r="AZ56" s="71"/>
      <c r="BA56" s="11" t="str">
        <f t="shared" si="46"/>
        <v/>
      </c>
      <c r="BB56" s="10" t="str">
        <f t="shared" si="28"/>
        <v/>
      </c>
      <c r="BC56" s="71"/>
      <c r="BD56" s="10" t="str">
        <f t="shared" si="47"/>
        <v/>
      </c>
      <c r="BE56" s="10" t="str">
        <f t="shared" si="29"/>
        <v/>
      </c>
      <c r="BF56" s="71"/>
      <c r="BG56" s="11" t="str">
        <f t="shared" si="48"/>
        <v/>
      </c>
      <c r="BH56" s="10" t="str">
        <f t="shared" si="30"/>
        <v/>
      </c>
      <c r="BJ56" s="7" t="str">
        <f t="shared" si="31"/>
        <v/>
      </c>
      <c r="BK56" s="158" t="str">
        <f t="shared" si="32"/>
        <v/>
      </c>
      <c r="BL56" s="158" t="str">
        <f t="shared" si="14"/>
        <v/>
      </c>
      <c r="BM56" s="10"/>
      <c r="BN56" s="10" t="str">
        <f t="shared" si="33"/>
        <v/>
      </c>
      <c r="BO56" s="10" t="str">
        <f t="shared" si="34"/>
        <v/>
      </c>
      <c r="BQ56" s="10" t="str">
        <f t="shared" si="49"/>
        <v/>
      </c>
      <c r="BR56" s="10" t="str">
        <f t="shared" si="35"/>
        <v/>
      </c>
    </row>
    <row r="57" spans="3:70" x14ac:dyDescent="0.15">
      <c r="I57" s="38">
        <f t="shared" si="36"/>
        <v>2062</v>
      </c>
      <c r="J57" s="39"/>
      <c r="K57" s="39">
        <f t="shared" si="37"/>
        <v>43</v>
      </c>
      <c r="L57" s="39"/>
      <c r="M57" s="40">
        <f t="shared" si="0"/>
        <v>0.28054293595180391</v>
      </c>
      <c r="N57" s="39"/>
      <c r="O57" s="72" t="str">
        <f t="shared" si="16"/>
        <v/>
      </c>
      <c r="P57" s="41" t="str">
        <f t="shared" si="38"/>
        <v/>
      </c>
      <c r="Q57" s="39"/>
      <c r="R57" s="72" t="str">
        <f t="shared" si="50"/>
        <v/>
      </c>
      <c r="S57" s="39"/>
      <c r="T57" s="72" t="str">
        <f t="shared" si="18"/>
        <v/>
      </c>
      <c r="U57" s="39"/>
      <c r="V57" s="72" t="str">
        <f t="shared" si="39"/>
        <v/>
      </c>
      <c r="W57" s="72" t="str">
        <f t="shared" si="19"/>
        <v/>
      </c>
      <c r="X57" s="39"/>
      <c r="Y57" s="72" t="str">
        <f t="shared" si="40"/>
        <v/>
      </c>
      <c r="Z57" s="72" t="str">
        <f t="shared" si="20"/>
        <v/>
      </c>
      <c r="AA57" s="39"/>
      <c r="AB57" s="72" t="str">
        <f t="shared" si="4"/>
        <v/>
      </c>
      <c r="AC57" s="72" t="str">
        <f t="shared" si="21"/>
        <v/>
      </c>
      <c r="AD57" s="39"/>
      <c r="AE57" s="72" t="str">
        <f t="shared" si="41"/>
        <v/>
      </c>
      <c r="AF57" s="72" t="str">
        <f t="shared" si="22"/>
        <v/>
      </c>
      <c r="AG57" s="39"/>
      <c r="AH57" s="72" t="str">
        <f t="shared" si="42"/>
        <v/>
      </c>
      <c r="AI57" s="72" t="str">
        <f t="shared" si="23"/>
        <v/>
      </c>
      <c r="AJ57" s="39"/>
      <c r="AK57" s="72" t="str">
        <f t="shared" si="24"/>
        <v/>
      </c>
      <c r="AL57" s="72" t="str">
        <f t="shared" si="25"/>
        <v/>
      </c>
      <c r="AM57" s="39"/>
      <c r="AN57" s="72" t="str">
        <f t="shared" si="43"/>
        <v/>
      </c>
      <c r="AO57" s="72" t="str">
        <f t="shared" si="26"/>
        <v/>
      </c>
      <c r="AP57" s="39"/>
      <c r="AQ57" s="72" t="str">
        <f t="shared" si="44"/>
        <v/>
      </c>
      <c r="AR57" s="72" t="str">
        <f t="shared" si="27"/>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45"/>
        <v/>
      </c>
      <c r="AW57" s="72" t="str">
        <f t="shared" si="10"/>
        <v/>
      </c>
      <c r="AX57" s="39"/>
      <c r="AY57" s="40" t="str">
        <f>IF(ISERROR(IF($K57&lt;=$F$15,VLOOKUP($I57,'表4）CO2価格'!$A$7:$E$67,VLOOKUP($F$48,'表4）CO2価格'!$H$10:$I$12,2,0),0)*$F$8/1000,"")),0,IF($K57&lt;=$F$15,VLOOKUP($I57,'表4）CO2価格'!$A$7:$E$67,VLOOKUP($F$48,'表4）CO2価格'!$H$10:$I$12,2,0),0)*$F$8/1000,""))</f>
        <v/>
      </c>
      <c r="AZ57" s="39"/>
      <c r="BA57" s="42" t="str">
        <f t="shared" si="46"/>
        <v/>
      </c>
      <c r="BB57" s="72" t="str">
        <f t="shared" si="28"/>
        <v/>
      </c>
      <c r="BC57" s="39"/>
      <c r="BD57" s="72" t="str">
        <f t="shared" si="47"/>
        <v/>
      </c>
      <c r="BE57" s="72" t="str">
        <f t="shared" si="29"/>
        <v/>
      </c>
      <c r="BF57" s="39"/>
      <c r="BG57" s="42" t="str">
        <f t="shared" si="48"/>
        <v/>
      </c>
      <c r="BH57" s="72" t="str">
        <f t="shared" si="30"/>
        <v/>
      </c>
      <c r="BI57" s="39"/>
      <c r="BJ57" s="40" t="str">
        <f t="shared" si="31"/>
        <v/>
      </c>
      <c r="BK57" s="157" t="str">
        <f t="shared" si="32"/>
        <v/>
      </c>
      <c r="BL57" s="157" t="str">
        <f t="shared" si="14"/>
        <v/>
      </c>
      <c r="BM57" s="72"/>
      <c r="BN57" s="72" t="str">
        <f t="shared" si="33"/>
        <v/>
      </c>
      <c r="BO57" s="72" t="str">
        <f t="shared" si="34"/>
        <v/>
      </c>
      <c r="BP57" s="39"/>
      <c r="BQ57" s="72" t="str">
        <f t="shared" si="49"/>
        <v/>
      </c>
      <c r="BR57" s="72" t="str">
        <f t="shared" si="35"/>
        <v/>
      </c>
    </row>
    <row r="58" spans="3:70" x14ac:dyDescent="0.15">
      <c r="C58" s="89" t="s">
        <v>512</v>
      </c>
      <c r="D58" s="101"/>
      <c r="E58" s="101"/>
      <c r="F58" s="89"/>
      <c r="G58" s="101"/>
      <c r="I58" s="322">
        <f t="shared" si="36"/>
        <v>2063</v>
      </c>
      <c r="J58" s="71"/>
      <c r="K58" s="71">
        <f t="shared" si="37"/>
        <v>44</v>
      </c>
      <c r="L58" s="71"/>
      <c r="M58" s="7">
        <f t="shared" si="0"/>
        <v>0.27237178247747956</v>
      </c>
      <c r="N58" s="71"/>
      <c r="O58" s="10" t="str">
        <f t="shared" si="16"/>
        <v/>
      </c>
      <c r="P58" s="29" t="str">
        <f t="shared" si="38"/>
        <v/>
      </c>
      <c r="Q58" s="71"/>
      <c r="R58" s="10" t="str">
        <f t="shared" si="50"/>
        <v/>
      </c>
      <c r="S58" s="71"/>
      <c r="T58" s="10" t="str">
        <f t="shared" si="18"/>
        <v/>
      </c>
      <c r="U58" s="71"/>
      <c r="V58" s="10" t="str">
        <f t="shared" si="39"/>
        <v/>
      </c>
      <c r="W58" s="10" t="str">
        <f t="shared" si="19"/>
        <v/>
      </c>
      <c r="X58" s="71"/>
      <c r="Y58" s="10" t="str">
        <f t="shared" si="40"/>
        <v/>
      </c>
      <c r="Z58" s="10" t="str">
        <f t="shared" si="20"/>
        <v/>
      </c>
      <c r="AA58" s="71"/>
      <c r="AB58" s="10" t="str">
        <f t="shared" si="4"/>
        <v/>
      </c>
      <c r="AC58" s="10" t="str">
        <f t="shared" si="21"/>
        <v/>
      </c>
      <c r="AD58" s="71"/>
      <c r="AE58" s="10" t="str">
        <f t="shared" si="41"/>
        <v/>
      </c>
      <c r="AF58" s="10" t="str">
        <f t="shared" si="22"/>
        <v/>
      </c>
      <c r="AG58" s="71"/>
      <c r="AH58" s="10" t="str">
        <f t="shared" si="42"/>
        <v/>
      </c>
      <c r="AI58" s="10" t="str">
        <f t="shared" si="23"/>
        <v/>
      </c>
      <c r="AJ58" s="71"/>
      <c r="AK58" s="10" t="str">
        <f t="shared" si="24"/>
        <v/>
      </c>
      <c r="AL58" s="10" t="str">
        <f t="shared" si="25"/>
        <v/>
      </c>
      <c r="AM58" s="71"/>
      <c r="AN58" s="10" t="str">
        <f t="shared" si="43"/>
        <v/>
      </c>
      <c r="AO58" s="10" t="str">
        <f t="shared" si="26"/>
        <v/>
      </c>
      <c r="AP58" s="71"/>
      <c r="AQ58" s="10" t="str">
        <f t="shared" si="44"/>
        <v/>
      </c>
      <c r="AR58" s="10" t="str">
        <f t="shared" si="27"/>
        <v/>
      </c>
      <c r="AS58" s="71"/>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U58" s="71"/>
      <c r="AV58" s="10" t="str">
        <f t="shared" si="45"/>
        <v/>
      </c>
      <c r="AW58" s="10" t="str">
        <f t="shared" si="10"/>
        <v/>
      </c>
      <c r="AX58" s="71"/>
      <c r="AY58" s="7" t="str">
        <f>IF(ISERROR(IF($K58&lt;=$F$15,VLOOKUP($I58,'表4）CO2価格'!$A$7:$E$67,VLOOKUP($F$48,'表4）CO2価格'!$H$10:$I$12,2,0),0)*$F$8/1000,"")),0,IF($K58&lt;=$F$15,VLOOKUP($I58,'表4）CO2価格'!$A$7:$E$67,VLOOKUP($F$48,'表4）CO2価格'!$H$10:$I$12,2,0),0)*$F$8/1000,""))</f>
        <v/>
      </c>
      <c r="AZ58" s="71"/>
      <c r="BA58" s="11" t="str">
        <f t="shared" si="46"/>
        <v/>
      </c>
      <c r="BB58" s="10" t="str">
        <f t="shared" si="28"/>
        <v/>
      </c>
      <c r="BC58" s="71"/>
      <c r="BD58" s="10" t="str">
        <f t="shared" si="47"/>
        <v/>
      </c>
      <c r="BE58" s="10" t="str">
        <f t="shared" si="29"/>
        <v/>
      </c>
      <c r="BF58" s="71"/>
      <c r="BG58" s="11" t="str">
        <f t="shared" si="48"/>
        <v/>
      </c>
      <c r="BH58" s="10" t="str">
        <f t="shared" si="30"/>
        <v/>
      </c>
      <c r="BJ58" s="7" t="str">
        <f t="shared" si="31"/>
        <v/>
      </c>
      <c r="BK58" s="158" t="str">
        <f t="shared" si="32"/>
        <v/>
      </c>
      <c r="BL58" s="158" t="str">
        <f t="shared" si="14"/>
        <v/>
      </c>
      <c r="BM58" s="10"/>
      <c r="BN58" s="10" t="str">
        <f t="shared" si="33"/>
        <v/>
      </c>
      <c r="BO58" s="10" t="str">
        <f t="shared" si="34"/>
        <v/>
      </c>
      <c r="BQ58" s="10" t="str">
        <f t="shared" si="49"/>
        <v/>
      </c>
      <c r="BR58" s="10" t="str">
        <f t="shared" si="35"/>
        <v/>
      </c>
    </row>
    <row r="59" spans="3:70" x14ac:dyDescent="0.15">
      <c r="I59" s="38">
        <f t="shared" si="36"/>
        <v>2064</v>
      </c>
      <c r="J59" s="39"/>
      <c r="K59" s="39">
        <f t="shared" si="37"/>
        <v>45</v>
      </c>
      <c r="L59" s="39"/>
      <c r="M59" s="40">
        <f t="shared" si="0"/>
        <v>0.26443862376454325</v>
      </c>
      <c r="N59" s="39"/>
      <c r="O59" s="72" t="str">
        <f t="shared" si="16"/>
        <v/>
      </c>
      <c r="P59" s="41" t="str">
        <f t="shared" si="38"/>
        <v/>
      </c>
      <c r="Q59" s="39"/>
      <c r="R59" s="72" t="str">
        <f t="shared" si="50"/>
        <v/>
      </c>
      <c r="S59" s="39"/>
      <c r="T59" s="72" t="str">
        <f t="shared" si="18"/>
        <v/>
      </c>
      <c r="U59" s="39"/>
      <c r="V59" s="72" t="str">
        <f t="shared" si="39"/>
        <v/>
      </c>
      <c r="W59" s="72" t="str">
        <f t="shared" si="19"/>
        <v/>
      </c>
      <c r="X59" s="39"/>
      <c r="Y59" s="72" t="str">
        <f t="shared" si="40"/>
        <v/>
      </c>
      <c r="Z59" s="72" t="str">
        <f t="shared" si="20"/>
        <v/>
      </c>
      <c r="AA59" s="39"/>
      <c r="AB59" s="72" t="str">
        <f t="shared" si="4"/>
        <v/>
      </c>
      <c r="AC59" s="72" t="str">
        <f t="shared" si="21"/>
        <v/>
      </c>
      <c r="AD59" s="39"/>
      <c r="AE59" s="72" t="str">
        <f t="shared" si="41"/>
        <v/>
      </c>
      <c r="AF59" s="72" t="str">
        <f t="shared" si="22"/>
        <v/>
      </c>
      <c r="AG59" s="39"/>
      <c r="AH59" s="72" t="str">
        <f t="shared" si="42"/>
        <v/>
      </c>
      <c r="AI59" s="72" t="str">
        <f t="shared" si="23"/>
        <v/>
      </c>
      <c r="AJ59" s="39"/>
      <c r="AK59" s="72" t="str">
        <f t="shared" si="24"/>
        <v/>
      </c>
      <c r="AL59" s="72" t="str">
        <f t="shared" si="25"/>
        <v/>
      </c>
      <c r="AM59" s="39"/>
      <c r="AN59" s="72" t="str">
        <f t="shared" si="43"/>
        <v/>
      </c>
      <c r="AO59" s="72" t="str">
        <f t="shared" si="26"/>
        <v/>
      </c>
      <c r="AP59" s="39"/>
      <c r="AQ59" s="72" t="str">
        <f t="shared" si="44"/>
        <v/>
      </c>
      <c r="AR59" s="72" t="str">
        <f t="shared" si="27"/>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45"/>
        <v/>
      </c>
      <c r="AW59" s="72" t="str">
        <f t="shared" si="10"/>
        <v/>
      </c>
      <c r="AX59" s="39"/>
      <c r="AY59" s="40" t="str">
        <f>IF(ISERROR(IF($K59&lt;=$F$15,VLOOKUP($I59,'表4）CO2価格'!$A$7:$E$67,VLOOKUP($F$48,'表4）CO2価格'!$H$10:$I$12,2,0),0)*$F$8/1000,"")),0,IF($K59&lt;=$F$15,VLOOKUP($I59,'表4）CO2価格'!$A$7:$E$67,VLOOKUP($F$48,'表4）CO2価格'!$H$10:$I$12,2,0),0)*$F$8/1000,""))</f>
        <v/>
      </c>
      <c r="AZ59" s="39"/>
      <c r="BA59" s="42" t="str">
        <f t="shared" si="46"/>
        <v/>
      </c>
      <c r="BB59" s="72" t="str">
        <f t="shared" si="28"/>
        <v/>
      </c>
      <c r="BC59" s="39"/>
      <c r="BD59" s="72" t="str">
        <f t="shared" si="47"/>
        <v/>
      </c>
      <c r="BE59" s="72" t="str">
        <f t="shared" si="29"/>
        <v/>
      </c>
      <c r="BF59" s="39"/>
      <c r="BG59" s="42" t="str">
        <f t="shared" si="48"/>
        <v/>
      </c>
      <c r="BH59" s="72" t="str">
        <f t="shared" si="30"/>
        <v/>
      </c>
      <c r="BI59" s="39"/>
      <c r="BJ59" s="40" t="str">
        <f t="shared" si="31"/>
        <v/>
      </c>
      <c r="BK59" s="157" t="str">
        <f t="shared" si="32"/>
        <v/>
      </c>
      <c r="BL59" s="157" t="str">
        <f t="shared" si="14"/>
        <v/>
      </c>
      <c r="BM59" s="72"/>
      <c r="BN59" s="72" t="str">
        <f t="shared" si="33"/>
        <v/>
      </c>
      <c r="BO59" s="72" t="str">
        <f t="shared" si="34"/>
        <v/>
      </c>
      <c r="BP59" s="39"/>
      <c r="BQ59" s="72" t="str">
        <f t="shared" si="49"/>
        <v/>
      </c>
      <c r="BR59" s="72" t="str">
        <f t="shared" si="35"/>
        <v/>
      </c>
    </row>
    <row r="60" spans="3:70" x14ac:dyDescent="0.15">
      <c r="D60" s="81" t="s">
        <v>128</v>
      </c>
      <c r="F60" s="59"/>
      <c r="G60" s="81" t="s">
        <v>176</v>
      </c>
      <c r="I60" s="322">
        <f t="shared" si="36"/>
        <v>2065</v>
      </c>
      <c r="J60" s="71"/>
      <c r="K60" s="71">
        <f t="shared" si="37"/>
        <v>46</v>
      </c>
      <c r="L60" s="71"/>
      <c r="M60" s="7">
        <f t="shared" si="0"/>
        <v>0.25673652792674101</v>
      </c>
      <c r="N60" s="71"/>
      <c r="O60" s="10" t="str">
        <f t="shared" si="16"/>
        <v/>
      </c>
      <c r="P60" s="29" t="str">
        <f t="shared" si="38"/>
        <v/>
      </c>
      <c r="Q60" s="71"/>
      <c r="R60" s="10" t="str">
        <f t="shared" si="50"/>
        <v/>
      </c>
      <c r="S60" s="71"/>
      <c r="T60" s="10" t="str">
        <f t="shared" si="18"/>
        <v/>
      </c>
      <c r="U60" s="71"/>
      <c r="V60" s="10" t="str">
        <f t="shared" si="39"/>
        <v/>
      </c>
      <c r="W60" s="10" t="str">
        <f t="shared" si="19"/>
        <v/>
      </c>
      <c r="X60" s="71"/>
      <c r="Y60" s="10" t="str">
        <f t="shared" si="40"/>
        <v/>
      </c>
      <c r="Z60" s="10" t="str">
        <f t="shared" si="20"/>
        <v/>
      </c>
      <c r="AA60" s="71"/>
      <c r="AB60" s="10" t="str">
        <f t="shared" si="4"/>
        <v/>
      </c>
      <c r="AC60" s="10" t="str">
        <f t="shared" si="21"/>
        <v/>
      </c>
      <c r="AD60" s="71"/>
      <c r="AE60" s="10" t="str">
        <f t="shared" si="41"/>
        <v/>
      </c>
      <c r="AF60" s="10" t="str">
        <f t="shared" si="22"/>
        <v/>
      </c>
      <c r="AG60" s="71"/>
      <c r="AH60" s="10" t="str">
        <f t="shared" si="42"/>
        <v/>
      </c>
      <c r="AI60" s="10" t="str">
        <f t="shared" si="23"/>
        <v/>
      </c>
      <c r="AJ60" s="71"/>
      <c r="AK60" s="10" t="str">
        <f t="shared" si="24"/>
        <v/>
      </c>
      <c r="AL60" s="10" t="str">
        <f t="shared" si="25"/>
        <v/>
      </c>
      <c r="AM60" s="71"/>
      <c r="AN60" s="10" t="str">
        <f t="shared" si="43"/>
        <v/>
      </c>
      <c r="AO60" s="10" t="str">
        <f t="shared" si="26"/>
        <v/>
      </c>
      <c r="AP60" s="71"/>
      <c r="AQ60" s="10" t="str">
        <f t="shared" si="44"/>
        <v/>
      </c>
      <c r="AR60" s="10" t="str">
        <f t="shared" si="27"/>
        <v/>
      </c>
      <c r="AS60" s="71"/>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U60" s="71"/>
      <c r="AV60" s="10" t="str">
        <f t="shared" si="45"/>
        <v/>
      </c>
      <c r="AW60" s="10" t="str">
        <f t="shared" si="10"/>
        <v/>
      </c>
      <c r="AX60" s="71"/>
      <c r="AY60" s="7" t="str">
        <f>IF(ISERROR(IF($K60&lt;=$F$15,VLOOKUP($I60,'表4）CO2価格'!$A$7:$E$67,VLOOKUP($F$48,'表4）CO2価格'!$H$10:$I$12,2,0),0)*$F$8/1000,"")),0,IF($K60&lt;=$F$15,VLOOKUP($I60,'表4）CO2価格'!$A$7:$E$67,VLOOKUP($F$48,'表4）CO2価格'!$H$10:$I$12,2,0),0)*$F$8/1000,""))</f>
        <v/>
      </c>
      <c r="AZ60" s="71"/>
      <c r="BA60" s="11" t="str">
        <f t="shared" si="46"/>
        <v/>
      </c>
      <c r="BB60" s="10" t="str">
        <f t="shared" si="28"/>
        <v/>
      </c>
      <c r="BC60" s="71"/>
      <c r="BD60" s="10" t="str">
        <f t="shared" si="47"/>
        <v/>
      </c>
      <c r="BE60" s="10" t="str">
        <f t="shared" si="29"/>
        <v/>
      </c>
      <c r="BF60" s="71"/>
      <c r="BG60" s="11" t="str">
        <f t="shared" si="48"/>
        <v/>
      </c>
      <c r="BH60" s="10" t="str">
        <f t="shared" si="30"/>
        <v/>
      </c>
      <c r="BJ60" s="7" t="str">
        <f t="shared" si="31"/>
        <v/>
      </c>
      <c r="BK60" s="158" t="str">
        <f t="shared" si="32"/>
        <v/>
      </c>
      <c r="BL60" s="158" t="str">
        <f t="shared" si="14"/>
        <v/>
      </c>
      <c r="BM60" s="10"/>
      <c r="BN60" s="10" t="str">
        <f t="shared" si="33"/>
        <v/>
      </c>
      <c r="BO60" s="10" t="str">
        <f t="shared" si="34"/>
        <v/>
      </c>
      <c r="BQ60" s="10" t="str">
        <f t="shared" si="49"/>
        <v/>
      </c>
      <c r="BR60" s="10" t="str">
        <f t="shared" si="35"/>
        <v/>
      </c>
    </row>
    <row r="61" spans="3:70" x14ac:dyDescent="0.15">
      <c r="D61" s="81" t="s">
        <v>190</v>
      </c>
      <c r="F61" s="66"/>
      <c r="G61" s="81" t="s">
        <v>108</v>
      </c>
      <c r="I61" s="38">
        <f t="shared" si="36"/>
        <v>2066</v>
      </c>
      <c r="J61" s="39"/>
      <c r="K61" s="39">
        <f t="shared" si="37"/>
        <v>47</v>
      </c>
      <c r="L61" s="39"/>
      <c r="M61" s="40">
        <f t="shared" si="0"/>
        <v>0.24925876497741845</v>
      </c>
      <c r="N61" s="39"/>
      <c r="O61" s="72" t="str">
        <f t="shared" si="16"/>
        <v/>
      </c>
      <c r="P61" s="41" t="str">
        <f t="shared" si="38"/>
        <v/>
      </c>
      <c r="Q61" s="39"/>
      <c r="R61" s="72" t="str">
        <f t="shared" si="50"/>
        <v/>
      </c>
      <c r="S61" s="39"/>
      <c r="T61" s="72" t="str">
        <f t="shared" si="18"/>
        <v/>
      </c>
      <c r="U61" s="39"/>
      <c r="V61" s="72" t="str">
        <f t="shared" si="39"/>
        <v/>
      </c>
      <c r="W61" s="72" t="str">
        <f t="shared" si="19"/>
        <v/>
      </c>
      <c r="X61" s="39"/>
      <c r="Y61" s="72" t="str">
        <f t="shared" si="40"/>
        <v/>
      </c>
      <c r="Z61" s="72" t="str">
        <f t="shared" si="20"/>
        <v/>
      </c>
      <c r="AA61" s="39"/>
      <c r="AB61" s="72" t="str">
        <f t="shared" si="4"/>
        <v/>
      </c>
      <c r="AC61" s="72" t="str">
        <f t="shared" si="21"/>
        <v/>
      </c>
      <c r="AD61" s="39"/>
      <c r="AE61" s="72" t="str">
        <f t="shared" si="41"/>
        <v/>
      </c>
      <c r="AF61" s="72" t="str">
        <f t="shared" si="22"/>
        <v/>
      </c>
      <c r="AG61" s="39"/>
      <c r="AH61" s="72" t="str">
        <f t="shared" si="42"/>
        <v/>
      </c>
      <c r="AI61" s="72" t="str">
        <f t="shared" si="23"/>
        <v/>
      </c>
      <c r="AJ61" s="39"/>
      <c r="AK61" s="72" t="str">
        <f t="shared" si="24"/>
        <v/>
      </c>
      <c r="AL61" s="72" t="str">
        <f t="shared" si="25"/>
        <v/>
      </c>
      <c r="AM61" s="39"/>
      <c r="AN61" s="72" t="str">
        <f t="shared" si="43"/>
        <v/>
      </c>
      <c r="AO61" s="72" t="str">
        <f t="shared" si="26"/>
        <v/>
      </c>
      <c r="AP61" s="39"/>
      <c r="AQ61" s="72" t="str">
        <f t="shared" si="44"/>
        <v/>
      </c>
      <c r="AR61" s="72" t="str">
        <f t="shared" si="27"/>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45"/>
        <v/>
      </c>
      <c r="AW61" s="72" t="str">
        <f t="shared" si="10"/>
        <v/>
      </c>
      <c r="AX61" s="39"/>
      <c r="AY61" s="40" t="str">
        <f>IF(ISERROR(IF($K61&lt;=$F$15,VLOOKUP($I61,'表4）CO2価格'!$A$7:$E$67,VLOOKUP($F$48,'表4）CO2価格'!$H$10:$I$12,2,0),0)*$F$8/1000,"")),0,IF($K61&lt;=$F$15,VLOOKUP($I61,'表4）CO2価格'!$A$7:$E$67,VLOOKUP($F$48,'表4）CO2価格'!$H$10:$I$12,2,0),0)*$F$8/1000,""))</f>
        <v/>
      </c>
      <c r="AZ61" s="39"/>
      <c r="BA61" s="42" t="str">
        <f t="shared" si="46"/>
        <v/>
      </c>
      <c r="BB61" s="72" t="str">
        <f t="shared" si="28"/>
        <v/>
      </c>
      <c r="BC61" s="39"/>
      <c r="BD61" s="72" t="str">
        <f t="shared" si="47"/>
        <v/>
      </c>
      <c r="BE61" s="72" t="str">
        <f t="shared" si="29"/>
        <v/>
      </c>
      <c r="BF61" s="39"/>
      <c r="BG61" s="42" t="str">
        <f t="shared" si="48"/>
        <v/>
      </c>
      <c r="BH61" s="72" t="str">
        <f t="shared" si="30"/>
        <v/>
      </c>
      <c r="BI61" s="39"/>
      <c r="BJ61" s="40" t="str">
        <f t="shared" si="31"/>
        <v/>
      </c>
      <c r="BK61" s="157" t="str">
        <f t="shared" si="32"/>
        <v/>
      </c>
      <c r="BL61" s="157" t="str">
        <f t="shared" si="14"/>
        <v/>
      </c>
      <c r="BM61" s="72"/>
      <c r="BN61" s="72" t="str">
        <f t="shared" si="33"/>
        <v/>
      </c>
      <c r="BO61" s="72" t="str">
        <f t="shared" si="34"/>
        <v/>
      </c>
      <c r="BP61" s="39"/>
      <c r="BQ61" s="72" t="str">
        <f t="shared" si="49"/>
        <v/>
      </c>
      <c r="BR61" s="72" t="str">
        <f t="shared" si="35"/>
        <v/>
      </c>
    </row>
    <row r="62" spans="3:70" x14ac:dyDescent="0.15">
      <c r="D62" s="81" t="s">
        <v>131</v>
      </c>
      <c r="F62" s="59"/>
      <c r="G62" s="81" t="s">
        <v>191</v>
      </c>
      <c r="I62" s="322">
        <f t="shared" si="36"/>
        <v>2067</v>
      </c>
      <c r="J62" s="71"/>
      <c r="K62" s="71">
        <f t="shared" si="37"/>
        <v>48</v>
      </c>
      <c r="L62" s="71"/>
      <c r="M62" s="7">
        <f t="shared" si="0"/>
        <v>0.24199880094894996</v>
      </c>
      <c r="N62" s="71"/>
      <c r="O62" s="10" t="str">
        <f t="shared" si="16"/>
        <v/>
      </c>
      <c r="P62" s="29" t="str">
        <f t="shared" si="38"/>
        <v/>
      </c>
      <c r="Q62" s="71"/>
      <c r="R62" s="10" t="str">
        <f t="shared" si="50"/>
        <v/>
      </c>
      <c r="S62" s="71"/>
      <c r="T62" s="10" t="str">
        <f t="shared" si="18"/>
        <v/>
      </c>
      <c r="U62" s="71"/>
      <c r="V62" s="10" t="str">
        <f t="shared" si="39"/>
        <v/>
      </c>
      <c r="W62" s="10" t="str">
        <f t="shared" si="19"/>
        <v/>
      </c>
      <c r="X62" s="71"/>
      <c r="Y62" s="10" t="str">
        <f t="shared" si="40"/>
        <v/>
      </c>
      <c r="Z62" s="10" t="str">
        <f t="shared" si="20"/>
        <v/>
      </c>
      <c r="AA62" s="71"/>
      <c r="AB62" s="10" t="str">
        <f t="shared" si="4"/>
        <v/>
      </c>
      <c r="AC62" s="10" t="str">
        <f t="shared" si="21"/>
        <v/>
      </c>
      <c r="AD62" s="71"/>
      <c r="AE62" s="10" t="str">
        <f t="shared" si="41"/>
        <v/>
      </c>
      <c r="AF62" s="10" t="str">
        <f t="shared" si="22"/>
        <v/>
      </c>
      <c r="AG62" s="71"/>
      <c r="AH62" s="10" t="str">
        <f t="shared" si="42"/>
        <v/>
      </c>
      <c r="AI62" s="10" t="str">
        <f t="shared" si="23"/>
        <v/>
      </c>
      <c r="AJ62" s="71"/>
      <c r="AK62" s="10" t="str">
        <f t="shared" si="24"/>
        <v/>
      </c>
      <c r="AL62" s="10" t="str">
        <f t="shared" si="25"/>
        <v/>
      </c>
      <c r="AM62" s="71"/>
      <c r="AN62" s="10" t="str">
        <f t="shared" si="43"/>
        <v/>
      </c>
      <c r="AO62" s="10" t="str">
        <f t="shared" si="26"/>
        <v/>
      </c>
      <c r="AP62" s="71"/>
      <c r="AQ62" s="10" t="str">
        <f t="shared" si="44"/>
        <v/>
      </c>
      <c r="AR62" s="10" t="str">
        <f t="shared" si="27"/>
        <v/>
      </c>
      <c r="AS62" s="71"/>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U62" s="71"/>
      <c r="AV62" s="10" t="str">
        <f t="shared" si="45"/>
        <v/>
      </c>
      <c r="AW62" s="10" t="str">
        <f t="shared" si="10"/>
        <v/>
      </c>
      <c r="AX62" s="71"/>
      <c r="AY62" s="7" t="str">
        <f>IF(ISERROR(IF($K62&lt;=$F$15,VLOOKUP($I62,'表4）CO2価格'!$A$7:$E$67,VLOOKUP($F$48,'表4）CO2価格'!$H$10:$I$12,2,0),0)*$F$8/1000,"")),0,IF($K62&lt;=$F$15,VLOOKUP($I62,'表4）CO2価格'!$A$7:$E$67,VLOOKUP($F$48,'表4）CO2価格'!$H$10:$I$12,2,0),0)*$F$8/1000,""))</f>
        <v/>
      </c>
      <c r="AZ62" s="71"/>
      <c r="BA62" s="11" t="str">
        <f t="shared" si="46"/>
        <v/>
      </c>
      <c r="BB62" s="10" t="str">
        <f t="shared" si="28"/>
        <v/>
      </c>
      <c r="BC62" s="71"/>
      <c r="BD62" s="10" t="str">
        <f t="shared" si="47"/>
        <v/>
      </c>
      <c r="BE62" s="10" t="str">
        <f t="shared" si="29"/>
        <v/>
      </c>
      <c r="BF62" s="71"/>
      <c r="BG62" s="11" t="str">
        <f t="shared" si="48"/>
        <v/>
      </c>
      <c r="BH62" s="10" t="str">
        <f t="shared" si="30"/>
        <v/>
      </c>
      <c r="BJ62" s="7" t="str">
        <f t="shared" si="31"/>
        <v/>
      </c>
      <c r="BK62" s="158" t="str">
        <f t="shared" si="32"/>
        <v/>
      </c>
      <c r="BL62" s="158" t="str">
        <f t="shared" si="14"/>
        <v/>
      </c>
      <c r="BM62" s="10"/>
      <c r="BN62" s="10" t="str">
        <f t="shared" si="33"/>
        <v/>
      </c>
      <c r="BO62" s="10" t="str">
        <f t="shared" si="34"/>
        <v/>
      </c>
      <c r="BQ62" s="10" t="str">
        <f t="shared" si="49"/>
        <v/>
      </c>
      <c r="BR62" s="10" t="str">
        <f t="shared" si="35"/>
        <v/>
      </c>
    </row>
    <row r="63" spans="3:70" x14ac:dyDescent="0.15">
      <c r="I63" s="38">
        <f t="shared" si="36"/>
        <v>2068</v>
      </c>
      <c r="J63" s="39"/>
      <c r="K63" s="39">
        <f t="shared" si="37"/>
        <v>49</v>
      </c>
      <c r="L63" s="39"/>
      <c r="M63" s="40">
        <f t="shared" si="0"/>
        <v>0.2349502921834466</v>
      </c>
      <c r="N63" s="39"/>
      <c r="O63" s="72" t="str">
        <f t="shared" si="16"/>
        <v/>
      </c>
      <c r="P63" s="41" t="str">
        <f t="shared" si="38"/>
        <v/>
      </c>
      <c r="Q63" s="39"/>
      <c r="R63" s="72" t="str">
        <f t="shared" si="50"/>
        <v/>
      </c>
      <c r="S63" s="39"/>
      <c r="T63" s="72" t="str">
        <f t="shared" si="18"/>
        <v/>
      </c>
      <c r="U63" s="39"/>
      <c r="V63" s="72" t="str">
        <f t="shared" si="39"/>
        <v/>
      </c>
      <c r="W63" s="72" t="str">
        <f t="shared" si="19"/>
        <v/>
      </c>
      <c r="X63" s="39"/>
      <c r="Y63" s="72" t="str">
        <f t="shared" si="40"/>
        <v/>
      </c>
      <c r="Z63" s="72" t="str">
        <f t="shared" si="20"/>
        <v/>
      </c>
      <c r="AA63" s="39"/>
      <c r="AB63" s="72" t="str">
        <f t="shared" si="4"/>
        <v/>
      </c>
      <c r="AC63" s="72" t="str">
        <f t="shared" si="21"/>
        <v/>
      </c>
      <c r="AD63" s="39"/>
      <c r="AE63" s="72" t="str">
        <f t="shared" si="41"/>
        <v/>
      </c>
      <c r="AF63" s="72" t="str">
        <f t="shared" si="22"/>
        <v/>
      </c>
      <c r="AG63" s="39"/>
      <c r="AH63" s="72" t="str">
        <f t="shared" si="42"/>
        <v/>
      </c>
      <c r="AI63" s="72" t="str">
        <f t="shared" si="23"/>
        <v/>
      </c>
      <c r="AJ63" s="39"/>
      <c r="AK63" s="72" t="str">
        <f t="shared" si="24"/>
        <v/>
      </c>
      <c r="AL63" s="72" t="str">
        <f t="shared" si="25"/>
        <v/>
      </c>
      <c r="AM63" s="39"/>
      <c r="AN63" s="72" t="str">
        <f t="shared" si="43"/>
        <v/>
      </c>
      <c r="AO63" s="72" t="str">
        <f t="shared" si="26"/>
        <v/>
      </c>
      <c r="AP63" s="39"/>
      <c r="AQ63" s="72" t="str">
        <f t="shared" si="44"/>
        <v/>
      </c>
      <c r="AR63" s="72" t="str">
        <f t="shared" si="27"/>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45"/>
        <v/>
      </c>
      <c r="AW63" s="72" t="str">
        <f t="shared" si="10"/>
        <v/>
      </c>
      <c r="AX63" s="39"/>
      <c r="AY63" s="40" t="str">
        <f>IF(ISERROR(IF($K63&lt;=$F$15,VLOOKUP($I63,'表4）CO2価格'!$A$7:$E$67,VLOOKUP($F$48,'表4）CO2価格'!$H$10:$I$12,2,0),0)*$F$8/1000,"")),0,IF($K63&lt;=$F$15,VLOOKUP($I63,'表4）CO2価格'!$A$7:$E$67,VLOOKUP($F$48,'表4）CO2価格'!$H$10:$I$12,2,0),0)*$F$8/1000,""))</f>
        <v/>
      </c>
      <c r="AZ63" s="39"/>
      <c r="BA63" s="42" t="str">
        <f t="shared" si="46"/>
        <v/>
      </c>
      <c r="BB63" s="72" t="str">
        <f t="shared" si="28"/>
        <v/>
      </c>
      <c r="BC63" s="39"/>
      <c r="BD63" s="72" t="str">
        <f t="shared" si="47"/>
        <v/>
      </c>
      <c r="BE63" s="72" t="str">
        <f t="shared" si="29"/>
        <v/>
      </c>
      <c r="BF63" s="39"/>
      <c r="BG63" s="42" t="str">
        <f t="shared" si="48"/>
        <v/>
      </c>
      <c r="BH63" s="72" t="str">
        <f t="shared" si="30"/>
        <v/>
      </c>
      <c r="BI63" s="39"/>
      <c r="BJ63" s="40" t="str">
        <f t="shared" si="31"/>
        <v/>
      </c>
      <c r="BK63" s="157" t="str">
        <f t="shared" si="32"/>
        <v/>
      </c>
      <c r="BL63" s="157" t="str">
        <f t="shared" si="14"/>
        <v/>
      </c>
      <c r="BM63" s="72"/>
      <c r="BN63" s="72" t="str">
        <f t="shared" si="33"/>
        <v/>
      </c>
      <c r="BO63" s="72" t="str">
        <f t="shared" si="34"/>
        <v/>
      </c>
      <c r="BP63" s="39"/>
      <c r="BQ63" s="72" t="str">
        <f t="shared" si="49"/>
        <v/>
      </c>
      <c r="BR63" s="72" t="str">
        <f t="shared" si="35"/>
        <v/>
      </c>
    </row>
    <row r="64" spans="3:70" x14ac:dyDescent="0.15">
      <c r="C64" s="9" t="s">
        <v>513</v>
      </c>
      <c r="F64" s="67">
        <v>1.2881210000000001</v>
      </c>
      <c r="G64" s="81" t="s">
        <v>132</v>
      </c>
      <c r="I64" s="322">
        <f t="shared" si="36"/>
        <v>2069</v>
      </c>
      <c r="J64" s="71"/>
      <c r="K64" s="71">
        <f t="shared" si="37"/>
        <v>50</v>
      </c>
      <c r="L64" s="71"/>
      <c r="M64" s="7">
        <f t="shared" si="0"/>
        <v>0.22810707978975397</v>
      </c>
      <c r="N64" s="71"/>
      <c r="O64" s="10" t="str">
        <f t="shared" si="16"/>
        <v/>
      </c>
      <c r="P64" s="29" t="str">
        <f t="shared" si="38"/>
        <v/>
      </c>
      <c r="Q64" s="71"/>
      <c r="R64" s="10" t="str">
        <f t="shared" si="50"/>
        <v/>
      </c>
      <c r="S64" s="71"/>
      <c r="T64" s="10" t="str">
        <f t="shared" si="18"/>
        <v/>
      </c>
      <c r="U64" s="71"/>
      <c r="V64" s="10" t="str">
        <f t="shared" si="39"/>
        <v/>
      </c>
      <c r="W64" s="10" t="str">
        <f t="shared" si="19"/>
        <v/>
      </c>
      <c r="X64" s="71"/>
      <c r="Y64" s="10" t="str">
        <f t="shared" si="40"/>
        <v/>
      </c>
      <c r="Z64" s="10" t="str">
        <f t="shared" si="20"/>
        <v/>
      </c>
      <c r="AA64" s="71"/>
      <c r="AB64" s="10" t="str">
        <f t="shared" si="4"/>
        <v/>
      </c>
      <c r="AC64" s="10" t="str">
        <f t="shared" si="21"/>
        <v/>
      </c>
      <c r="AD64" s="71"/>
      <c r="AE64" s="10" t="str">
        <f t="shared" si="41"/>
        <v/>
      </c>
      <c r="AF64" s="10" t="str">
        <f t="shared" si="22"/>
        <v/>
      </c>
      <c r="AG64" s="71"/>
      <c r="AH64" s="10" t="str">
        <f t="shared" si="42"/>
        <v/>
      </c>
      <c r="AI64" s="10" t="str">
        <f t="shared" si="23"/>
        <v/>
      </c>
      <c r="AJ64" s="71"/>
      <c r="AK64" s="10" t="str">
        <f t="shared" si="24"/>
        <v/>
      </c>
      <c r="AL64" s="10" t="str">
        <f t="shared" si="25"/>
        <v/>
      </c>
      <c r="AM64" s="71"/>
      <c r="AN64" s="10" t="str">
        <f t="shared" si="43"/>
        <v/>
      </c>
      <c r="AO64" s="10" t="str">
        <f t="shared" si="26"/>
        <v/>
      </c>
      <c r="AP64" s="71"/>
      <c r="AQ64" s="10" t="str">
        <f t="shared" si="44"/>
        <v/>
      </c>
      <c r="AR64" s="10" t="str">
        <f t="shared" si="27"/>
        <v/>
      </c>
      <c r="AS64" s="71"/>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U64" s="71"/>
      <c r="AV64" s="10" t="str">
        <f t="shared" si="45"/>
        <v/>
      </c>
      <c r="AW64" s="10" t="str">
        <f t="shared" si="10"/>
        <v/>
      </c>
      <c r="AX64" s="71"/>
      <c r="AY64" s="7" t="str">
        <f>IF(ISERROR(IF($K64&lt;=$F$15,VLOOKUP($I64,'表4）CO2価格'!$A$7:$E$67,VLOOKUP($F$48,'表4）CO2価格'!$H$10:$I$12,2,0),0)*$F$8/1000,"")),0,IF($K64&lt;=$F$15,VLOOKUP($I64,'表4）CO2価格'!$A$7:$E$67,VLOOKUP($F$48,'表4）CO2価格'!$H$10:$I$12,2,0),0)*$F$8/1000,""))</f>
        <v/>
      </c>
      <c r="AZ64" s="71"/>
      <c r="BA64" s="11" t="str">
        <f t="shared" si="46"/>
        <v/>
      </c>
      <c r="BB64" s="10" t="str">
        <f t="shared" si="28"/>
        <v/>
      </c>
      <c r="BC64" s="71"/>
      <c r="BD64" s="10" t="str">
        <f t="shared" si="47"/>
        <v/>
      </c>
      <c r="BE64" s="10" t="str">
        <f t="shared" si="29"/>
        <v/>
      </c>
      <c r="BF64" s="71"/>
      <c r="BG64" s="11" t="str">
        <f t="shared" si="48"/>
        <v/>
      </c>
      <c r="BH64" s="10" t="str">
        <f t="shared" si="30"/>
        <v/>
      </c>
      <c r="BJ64" s="7" t="str">
        <f t="shared" si="31"/>
        <v/>
      </c>
      <c r="BK64" s="158" t="str">
        <f t="shared" si="32"/>
        <v/>
      </c>
      <c r="BL64" s="158" t="str">
        <f t="shared" si="14"/>
        <v/>
      </c>
      <c r="BM64" s="10"/>
      <c r="BN64" s="10" t="str">
        <f t="shared" si="33"/>
        <v/>
      </c>
      <c r="BO64" s="10" t="str">
        <f t="shared" si="34"/>
        <v/>
      </c>
      <c r="BQ64" s="10" t="str">
        <f t="shared" si="49"/>
        <v/>
      </c>
      <c r="BR64" s="10" t="str">
        <f t="shared" si="35"/>
        <v/>
      </c>
    </row>
    <row r="65" spans="2:70" x14ac:dyDescent="0.15">
      <c r="I65" s="38">
        <f t="shared" si="36"/>
        <v>2070</v>
      </c>
      <c r="J65" s="39"/>
      <c r="K65" s="39">
        <f t="shared" si="37"/>
        <v>51</v>
      </c>
      <c r="L65" s="39"/>
      <c r="M65" s="40">
        <f t="shared" si="0"/>
        <v>0.22146318426189707</v>
      </c>
      <c r="N65" s="39"/>
      <c r="O65" s="72" t="str">
        <f t="shared" si="16"/>
        <v/>
      </c>
      <c r="P65" s="41" t="str">
        <f t="shared" si="38"/>
        <v/>
      </c>
      <c r="Q65" s="39"/>
      <c r="R65" s="72" t="str">
        <f t="shared" si="50"/>
        <v/>
      </c>
      <c r="S65" s="39"/>
      <c r="T65" s="72" t="str">
        <f t="shared" si="18"/>
        <v/>
      </c>
      <c r="U65" s="39"/>
      <c r="V65" s="72" t="str">
        <f t="shared" si="39"/>
        <v/>
      </c>
      <c r="W65" s="72" t="str">
        <f t="shared" si="19"/>
        <v/>
      </c>
      <c r="X65" s="39"/>
      <c r="Y65" s="72" t="str">
        <f t="shared" si="40"/>
        <v/>
      </c>
      <c r="Z65" s="72" t="str">
        <f t="shared" si="20"/>
        <v/>
      </c>
      <c r="AA65" s="39"/>
      <c r="AB65" s="72" t="str">
        <f t="shared" si="4"/>
        <v/>
      </c>
      <c r="AC65" s="72" t="str">
        <f t="shared" si="21"/>
        <v/>
      </c>
      <c r="AD65" s="39"/>
      <c r="AE65" s="72" t="str">
        <f t="shared" si="41"/>
        <v/>
      </c>
      <c r="AF65" s="72" t="str">
        <f t="shared" si="22"/>
        <v/>
      </c>
      <c r="AG65" s="39"/>
      <c r="AH65" s="72" t="str">
        <f t="shared" si="42"/>
        <v/>
      </c>
      <c r="AI65" s="72" t="str">
        <f t="shared" si="23"/>
        <v/>
      </c>
      <c r="AJ65" s="39"/>
      <c r="AK65" s="72" t="str">
        <f t="shared" si="24"/>
        <v/>
      </c>
      <c r="AL65" s="72" t="str">
        <f t="shared" si="25"/>
        <v/>
      </c>
      <c r="AM65" s="39"/>
      <c r="AN65" s="72" t="str">
        <f t="shared" si="43"/>
        <v/>
      </c>
      <c r="AO65" s="72" t="str">
        <f t="shared" si="26"/>
        <v/>
      </c>
      <c r="AP65" s="39"/>
      <c r="AQ65" s="72" t="str">
        <f t="shared" si="44"/>
        <v/>
      </c>
      <c r="AR65" s="72" t="str">
        <f t="shared" si="27"/>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45"/>
        <v/>
      </c>
      <c r="AW65" s="72" t="str">
        <f t="shared" si="10"/>
        <v/>
      </c>
      <c r="AX65" s="39"/>
      <c r="AY65" s="40" t="str">
        <f>IF(ISERROR(IF($K65&lt;=$F$15,VLOOKUP($I65,'表4）CO2価格'!$A$7:$E$67,VLOOKUP($F$48,'表4）CO2価格'!$H$10:$I$12,2,0),0)*$F$8/1000,"")),0,IF($K65&lt;=$F$15,VLOOKUP($I65,'表4）CO2価格'!$A$7:$E$67,VLOOKUP($F$48,'表4）CO2価格'!$H$10:$I$12,2,0),0)*$F$8/1000,""))</f>
        <v/>
      </c>
      <c r="AZ65" s="39"/>
      <c r="BA65" s="42" t="str">
        <f t="shared" si="46"/>
        <v/>
      </c>
      <c r="BB65" s="72" t="str">
        <f t="shared" si="28"/>
        <v/>
      </c>
      <c r="BC65" s="39"/>
      <c r="BD65" s="72" t="str">
        <f t="shared" si="47"/>
        <v/>
      </c>
      <c r="BE65" s="72" t="str">
        <f t="shared" si="29"/>
        <v/>
      </c>
      <c r="BF65" s="39"/>
      <c r="BG65" s="42" t="str">
        <f t="shared" si="48"/>
        <v/>
      </c>
      <c r="BH65" s="72" t="str">
        <f t="shared" si="30"/>
        <v/>
      </c>
      <c r="BI65" s="39"/>
      <c r="BJ65" s="40" t="str">
        <f t="shared" si="31"/>
        <v/>
      </c>
      <c r="BK65" s="157" t="str">
        <f t="shared" si="32"/>
        <v/>
      </c>
      <c r="BL65" s="157" t="str">
        <f t="shared" si="14"/>
        <v/>
      </c>
      <c r="BM65" s="72"/>
      <c r="BN65" s="72" t="str">
        <f t="shared" si="33"/>
        <v/>
      </c>
      <c r="BO65" s="72" t="str">
        <f t="shared" si="34"/>
        <v/>
      </c>
      <c r="BP65" s="39"/>
      <c r="BQ65" s="72" t="str">
        <f t="shared" si="49"/>
        <v/>
      </c>
      <c r="BR65" s="72" t="str">
        <f t="shared" si="35"/>
        <v/>
      </c>
    </row>
    <row r="66" spans="2:70" x14ac:dyDescent="0.15">
      <c r="I66" s="322">
        <f t="shared" si="36"/>
        <v>2071</v>
      </c>
      <c r="J66" s="71"/>
      <c r="K66" s="71">
        <f t="shared" si="37"/>
        <v>52</v>
      </c>
      <c r="L66" s="71"/>
      <c r="M66" s="7">
        <f t="shared" si="0"/>
        <v>0.215012800254269</v>
      </c>
      <c r="N66" s="71"/>
      <c r="O66" s="10" t="str">
        <f t="shared" si="16"/>
        <v/>
      </c>
      <c r="P66" s="29" t="str">
        <f t="shared" si="38"/>
        <v/>
      </c>
      <c r="Q66" s="71"/>
      <c r="R66" s="10" t="str">
        <f t="shared" si="50"/>
        <v/>
      </c>
      <c r="S66" s="71"/>
      <c r="T66" s="10" t="str">
        <f t="shared" si="18"/>
        <v/>
      </c>
      <c r="U66" s="71"/>
      <c r="V66" s="10" t="str">
        <f t="shared" si="39"/>
        <v/>
      </c>
      <c r="W66" s="10" t="str">
        <f t="shared" si="19"/>
        <v/>
      </c>
      <c r="X66" s="71"/>
      <c r="Y66" s="10" t="str">
        <f t="shared" si="40"/>
        <v/>
      </c>
      <c r="Z66" s="10" t="str">
        <f t="shared" si="20"/>
        <v/>
      </c>
      <c r="AA66" s="71"/>
      <c r="AB66" s="10" t="str">
        <f t="shared" si="4"/>
        <v/>
      </c>
      <c r="AC66" s="10" t="str">
        <f t="shared" si="21"/>
        <v/>
      </c>
      <c r="AD66" s="71"/>
      <c r="AE66" s="10" t="str">
        <f t="shared" si="41"/>
        <v/>
      </c>
      <c r="AF66" s="10" t="str">
        <f t="shared" si="22"/>
        <v/>
      </c>
      <c r="AG66" s="71"/>
      <c r="AH66" s="10" t="str">
        <f t="shared" si="42"/>
        <v/>
      </c>
      <c r="AI66" s="10" t="str">
        <f t="shared" si="23"/>
        <v/>
      </c>
      <c r="AJ66" s="71"/>
      <c r="AK66" s="10" t="str">
        <f t="shared" si="24"/>
        <v/>
      </c>
      <c r="AL66" s="10" t="str">
        <f t="shared" si="25"/>
        <v/>
      </c>
      <c r="AM66" s="71"/>
      <c r="AN66" s="10" t="str">
        <f t="shared" si="43"/>
        <v/>
      </c>
      <c r="AO66" s="10" t="str">
        <f t="shared" si="26"/>
        <v/>
      </c>
      <c r="AP66" s="71"/>
      <c r="AQ66" s="10" t="str">
        <f t="shared" si="44"/>
        <v/>
      </c>
      <c r="AR66" s="10" t="str">
        <f t="shared" si="27"/>
        <v/>
      </c>
      <c r="AS66" s="71"/>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U66" s="71"/>
      <c r="AV66" s="10" t="str">
        <f t="shared" si="45"/>
        <v/>
      </c>
      <c r="AW66" s="10" t="str">
        <f t="shared" si="10"/>
        <v/>
      </c>
      <c r="AX66" s="71"/>
      <c r="AY66" s="7" t="str">
        <f>IF(ISERROR(IF($K66&lt;=$F$15,VLOOKUP($I66,'表4）CO2価格'!$A$7:$E$67,VLOOKUP($F$48,'表4）CO2価格'!$H$10:$I$12,2,0),0)*$F$8/1000,"")),0,IF($K66&lt;=$F$15,VLOOKUP($I66,'表4）CO2価格'!$A$7:$E$67,VLOOKUP($F$48,'表4）CO2価格'!$H$10:$I$12,2,0),0)*$F$8/1000,""))</f>
        <v/>
      </c>
      <c r="AZ66" s="71"/>
      <c r="BA66" s="11" t="str">
        <f t="shared" si="46"/>
        <v/>
      </c>
      <c r="BB66" s="10" t="str">
        <f t="shared" si="28"/>
        <v/>
      </c>
      <c r="BC66" s="71"/>
      <c r="BD66" s="10" t="str">
        <f t="shared" si="47"/>
        <v/>
      </c>
      <c r="BE66" s="10" t="str">
        <f t="shared" si="29"/>
        <v/>
      </c>
      <c r="BF66" s="71"/>
      <c r="BG66" s="11" t="str">
        <f t="shared" si="48"/>
        <v/>
      </c>
      <c r="BH66" s="10" t="str">
        <f t="shared" si="30"/>
        <v/>
      </c>
      <c r="BJ66" s="7" t="str">
        <f t="shared" si="31"/>
        <v/>
      </c>
      <c r="BK66" s="158" t="str">
        <f t="shared" si="32"/>
        <v/>
      </c>
      <c r="BL66" s="158" t="str">
        <f t="shared" si="14"/>
        <v/>
      </c>
      <c r="BM66" s="10"/>
      <c r="BN66" s="10" t="str">
        <f t="shared" si="33"/>
        <v/>
      </c>
      <c r="BO66" s="10" t="str">
        <f t="shared" si="34"/>
        <v/>
      </c>
      <c r="BQ66" s="10" t="str">
        <f t="shared" si="49"/>
        <v/>
      </c>
      <c r="BR66" s="10" t="str">
        <f t="shared" si="35"/>
        <v/>
      </c>
    </row>
    <row r="67" spans="2:70" ht="15.75" thickBot="1" x14ac:dyDescent="0.2">
      <c r="B67" s="460" t="s">
        <v>133</v>
      </c>
      <c r="C67" s="86"/>
      <c r="D67" s="104"/>
      <c r="E67" s="104"/>
      <c r="F67" s="86"/>
      <c r="G67" s="104"/>
      <c r="I67" s="38">
        <f t="shared" si="36"/>
        <v>2072</v>
      </c>
      <c r="J67" s="39"/>
      <c r="K67" s="39">
        <f t="shared" si="37"/>
        <v>53</v>
      </c>
      <c r="L67" s="39"/>
      <c r="M67" s="40">
        <f t="shared" si="0"/>
        <v>0.20875029150899907</v>
      </c>
      <c r="N67" s="39"/>
      <c r="O67" s="72" t="str">
        <f t="shared" si="16"/>
        <v/>
      </c>
      <c r="P67" s="41" t="str">
        <f t="shared" si="38"/>
        <v/>
      </c>
      <c r="Q67" s="39"/>
      <c r="R67" s="72" t="str">
        <f t="shared" si="50"/>
        <v/>
      </c>
      <c r="S67" s="39"/>
      <c r="T67" s="72" t="str">
        <f t="shared" si="18"/>
        <v/>
      </c>
      <c r="U67" s="39"/>
      <c r="V67" s="72" t="str">
        <f t="shared" si="39"/>
        <v/>
      </c>
      <c r="W67" s="72" t="str">
        <f t="shared" si="19"/>
        <v/>
      </c>
      <c r="X67" s="39"/>
      <c r="Y67" s="72" t="str">
        <f t="shared" si="40"/>
        <v/>
      </c>
      <c r="Z67" s="72" t="str">
        <f t="shared" si="20"/>
        <v/>
      </c>
      <c r="AA67" s="39"/>
      <c r="AB67" s="72" t="str">
        <f t="shared" si="4"/>
        <v/>
      </c>
      <c r="AC67" s="72" t="str">
        <f t="shared" si="21"/>
        <v/>
      </c>
      <c r="AD67" s="39"/>
      <c r="AE67" s="72" t="str">
        <f t="shared" si="41"/>
        <v/>
      </c>
      <c r="AF67" s="72" t="str">
        <f t="shared" si="22"/>
        <v/>
      </c>
      <c r="AG67" s="39"/>
      <c r="AH67" s="72" t="str">
        <f t="shared" si="42"/>
        <v/>
      </c>
      <c r="AI67" s="72" t="str">
        <f t="shared" si="23"/>
        <v/>
      </c>
      <c r="AJ67" s="39"/>
      <c r="AK67" s="72" t="str">
        <f t="shared" si="24"/>
        <v/>
      </c>
      <c r="AL67" s="72" t="str">
        <f t="shared" si="25"/>
        <v/>
      </c>
      <c r="AM67" s="39"/>
      <c r="AN67" s="72" t="str">
        <f t="shared" si="43"/>
        <v/>
      </c>
      <c r="AO67" s="72" t="str">
        <f t="shared" si="26"/>
        <v/>
      </c>
      <c r="AP67" s="39"/>
      <c r="AQ67" s="72" t="str">
        <f t="shared" si="44"/>
        <v/>
      </c>
      <c r="AR67" s="72" t="str">
        <f t="shared" si="27"/>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45"/>
        <v/>
      </c>
      <c r="AW67" s="72" t="str">
        <f t="shared" si="10"/>
        <v/>
      </c>
      <c r="AX67" s="39"/>
      <c r="AY67" s="40" t="str">
        <f>IF(ISERROR(IF($K67&lt;=$F$15,VLOOKUP($I67,'表4）CO2価格'!$A$7:$E$67,VLOOKUP($F$48,'表4）CO2価格'!$H$10:$I$12,2,0),0)*$F$8/1000,"")),0,IF($K67&lt;=$F$15,VLOOKUP($I67,'表4）CO2価格'!$A$7:$E$67,VLOOKUP($F$48,'表4）CO2価格'!$H$10:$I$12,2,0),0)*$F$8/1000,""))</f>
        <v/>
      </c>
      <c r="AZ67" s="39"/>
      <c r="BA67" s="42" t="str">
        <f t="shared" si="46"/>
        <v/>
      </c>
      <c r="BB67" s="72" t="str">
        <f t="shared" si="28"/>
        <v/>
      </c>
      <c r="BC67" s="39"/>
      <c r="BD67" s="72" t="str">
        <f t="shared" si="47"/>
        <v/>
      </c>
      <c r="BE67" s="72" t="str">
        <f t="shared" si="29"/>
        <v/>
      </c>
      <c r="BF67" s="39"/>
      <c r="BG67" s="42" t="str">
        <f t="shared" si="48"/>
        <v/>
      </c>
      <c r="BH67" s="72" t="str">
        <f t="shared" si="30"/>
        <v/>
      </c>
      <c r="BI67" s="39"/>
      <c r="BJ67" s="40" t="str">
        <f t="shared" si="31"/>
        <v/>
      </c>
      <c r="BK67" s="157" t="str">
        <f t="shared" si="32"/>
        <v/>
      </c>
      <c r="BL67" s="157" t="str">
        <f t="shared" si="14"/>
        <v/>
      </c>
      <c r="BM67" s="72"/>
      <c r="BN67" s="72" t="str">
        <f t="shared" si="33"/>
        <v/>
      </c>
      <c r="BO67" s="72" t="str">
        <f t="shared" si="34"/>
        <v/>
      </c>
      <c r="BP67" s="39"/>
      <c r="BQ67" s="72" t="str">
        <f t="shared" si="49"/>
        <v/>
      </c>
      <c r="BR67" s="72" t="str">
        <f t="shared" si="35"/>
        <v/>
      </c>
    </row>
    <row r="68" spans="2:70" x14ac:dyDescent="0.15">
      <c r="I68" s="322">
        <f t="shared" si="36"/>
        <v>2073</v>
      </c>
      <c r="J68" s="71"/>
      <c r="K68" s="71">
        <f t="shared" si="37"/>
        <v>54</v>
      </c>
      <c r="L68" s="71"/>
      <c r="M68" s="7">
        <f t="shared" si="0"/>
        <v>0.20267018593106703</v>
      </c>
      <c r="N68" s="71"/>
      <c r="O68" s="10" t="str">
        <f t="shared" si="16"/>
        <v/>
      </c>
      <c r="P68" s="29" t="str">
        <f t="shared" si="38"/>
        <v/>
      </c>
      <c r="Q68" s="71"/>
      <c r="R68" s="10" t="str">
        <f t="shared" si="50"/>
        <v/>
      </c>
      <c r="S68" s="71"/>
      <c r="T68" s="10" t="str">
        <f t="shared" si="18"/>
        <v/>
      </c>
      <c r="U68" s="71"/>
      <c r="V68" s="10" t="str">
        <f t="shared" si="39"/>
        <v/>
      </c>
      <c r="W68" s="10" t="str">
        <f t="shared" si="19"/>
        <v/>
      </c>
      <c r="X68" s="71"/>
      <c r="Y68" s="10" t="str">
        <f t="shared" si="40"/>
        <v/>
      </c>
      <c r="Z68" s="10" t="str">
        <f t="shared" si="20"/>
        <v/>
      </c>
      <c r="AA68" s="71"/>
      <c r="AB68" s="10" t="str">
        <f t="shared" si="4"/>
        <v/>
      </c>
      <c r="AC68" s="10" t="str">
        <f t="shared" si="21"/>
        <v/>
      </c>
      <c r="AD68" s="71"/>
      <c r="AE68" s="10" t="str">
        <f t="shared" si="41"/>
        <v/>
      </c>
      <c r="AF68" s="10" t="str">
        <f t="shared" si="22"/>
        <v/>
      </c>
      <c r="AG68" s="71"/>
      <c r="AH68" s="10" t="str">
        <f t="shared" si="42"/>
        <v/>
      </c>
      <c r="AI68" s="10" t="str">
        <f t="shared" si="23"/>
        <v/>
      </c>
      <c r="AJ68" s="71"/>
      <c r="AK68" s="10" t="str">
        <f t="shared" si="24"/>
        <v/>
      </c>
      <c r="AL68" s="10" t="str">
        <f t="shared" si="25"/>
        <v/>
      </c>
      <c r="AM68" s="71"/>
      <c r="AN68" s="10" t="str">
        <f t="shared" si="43"/>
        <v/>
      </c>
      <c r="AO68" s="10" t="str">
        <f t="shared" si="26"/>
        <v/>
      </c>
      <c r="AP68" s="71"/>
      <c r="AQ68" s="10" t="str">
        <f t="shared" si="44"/>
        <v/>
      </c>
      <c r="AR68" s="10" t="str">
        <f t="shared" si="27"/>
        <v/>
      </c>
      <c r="AS68" s="71"/>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U68" s="71"/>
      <c r="AV68" s="10" t="str">
        <f t="shared" si="45"/>
        <v/>
      </c>
      <c r="AW68" s="10" t="str">
        <f t="shared" si="10"/>
        <v/>
      </c>
      <c r="AX68" s="71"/>
      <c r="AY68" s="7" t="str">
        <f>IF(ISERROR(IF($K68&lt;=$F$15,VLOOKUP($I68,'表4）CO2価格'!$A$7:$E$67,VLOOKUP($F$48,'表4）CO2価格'!$H$10:$I$12,2,0),0)*$F$8/1000,"")),0,IF($K68&lt;=$F$15,VLOOKUP($I68,'表4）CO2価格'!$A$7:$E$67,VLOOKUP($F$48,'表4）CO2価格'!$H$10:$I$12,2,0),0)*$F$8/1000,""))</f>
        <v/>
      </c>
      <c r="AZ68" s="71"/>
      <c r="BA68" s="11" t="str">
        <f t="shared" si="46"/>
        <v/>
      </c>
      <c r="BB68" s="10" t="str">
        <f t="shared" si="28"/>
        <v/>
      </c>
      <c r="BC68" s="71"/>
      <c r="BD68" s="10" t="str">
        <f t="shared" si="47"/>
        <v/>
      </c>
      <c r="BE68" s="10" t="str">
        <f t="shared" si="29"/>
        <v/>
      </c>
      <c r="BF68" s="71"/>
      <c r="BG68" s="11" t="str">
        <f t="shared" si="48"/>
        <v/>
      </c>
      <c r="BH68" s="10" t="str">
        <f t="shared" si="30"/>
        <v/>
      </c>
      <c r="BJ68" s="7" t="str">
        <f t="shared" si="31"/>
        <v/>
      </c>
      <c r="BK68" s="158" t="str">
        <f t="shared" si="32"/>
        <v/>
      </c>
      <c r="BL68" s="158" t="str">
        <f t="shared" si="14"/>
        <v/>
      </c>
      <c r="BM68" s="10"/>
      <c r="BN68" s="10" t="str">
        <f t="shared" si="33"/>
        <v/>
      </c>
      <c r="BO68" s="10" t="str">
        <f t="shared" si="34"/>
        <v/>
      </c>
      <c r="BQ68" s="10" t="str">
        <f t="shared" si="49"/>
        <v/>
      </c>
      <c r="BR68" s="10" t="str">
        <f t="shared" si="35"/>
        <v/>
      </c>
    </row>
    <row r="69" spans="2:70" x14ac:dyDescent="0.15">
      <c r="C69" s="461" t="s">
        <v>134</v>
      </c>
      <c r="D69" s="9"/>
      <c r="E69" s="9"/>
      <c r="F69" s="94">
        <f>SUBTOTAL(9,F74:F112)-F105</f>
        <v>22.514069208167079</v>
      </c>
      <c r="G69" s="9" t="s">
        <v>132</v>
      </c>
      <c r="I69" s="38">
        <f t="shared" si="36"/>
        <v>2074</v>
      </c>
      <c r="J69" s="39"/>
      <c r="K69" s="39">
        <f t="shared" si="37"/>
        <v>55</v>
      </c>
      <c r="L69" s="39"/>
      <c r="M69" s="40">
        <f t="shared" si="0"/>
        <v>0.19676717080686118</v>
      </c>
      <c r="N69" s="39"/>
      <c r="O69" s="72" t="str">
        <f t="shared" si="16"/>
        <v/>
      </c>
      <c r="P69" s="41" t="str">
        <f t="shared" si="38"/>
        <v/>
      </c>
      <c r="Q69" s="39"/>
      <c r="R69" s="72" t="str">
        <f t="shared" si="50"/>
        <v/>
      </c>
      <c r="S69" s="39"/>
      <c r="T69" s="72" t="str">
        <f t="shared" si="18"/>
        <v/>
      </c>
      <c r="U69" s="39"/>
      <c r="V69" s="72" t="str">
        <f t="shared" si="39"/>
        <v/>
      </c>
      <c r="W69" s="72" t="str">
        <f t="shared" si="19"/>
        <v/>
      </c>
      <c r="X69" s="39"/>
      <c r="Y69" s="72" t="str">
        <f t="shared" si="40"/>
        <v/>
      </c>
      <c r="Z69" s="72" t="str">
        <f t="shared" si="20"/>
        <v/>
      </c>
      <c r="AA69" s="39"/>
      <c r="AB69" s="72" t="str">
        <f t="shared" si="4"/>
        <v/>
      </c>
      <c r="AC69" s="72" t="str">
        <f t="shared" si="21"/>
        <v/>
      </c>
      <c r="AD69" s="39"/>
      <c r="AE69" s="72" t="str">
        <f t="shared" si="41"/>
        <v/>
      </c>
      <c r="AF69" s="72" t="str">
        <f t="shared" si="22"/>
        <v/>
      </c>
      <c r="AG69" s="39"/>
      <c r="AH69" s="72" t="str">
        <f t="shared" si="42"/>
        <v/>
      </c>
      <c r="AI69" s="72" t="str">
        <f t="shared" si="23"/>
        <v/>
      </c>
      <c r="AJ69" s="39"/>
      <c r="AK69" s="72" t="str">
        <f t="shared" si="24"/>
        <v/>
      </c>
      <c r="AL69" s="72" t="str">
        <f t="shared" si="25"/>
        <v/>
      </c>
      <c r="AM69" s="39"/>
      <c r="AN69" s="72" t="str">
        <f t="shared" si="43"/>
        <v/>
      </c>
      <c r="AO69" s="72" t="str">
        <f t="shared" si="26"/>
        <v/>
      </c>
      <c r="AP69" s="39"/>
      <c r="AQ69" s="72" t="str">
        <f t="shared" si="44"/>
        <v/>
      </c>
      <c r="AR69" s="72" t="str">
        <f t="shared" si="27"/>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45"/>
        <v/>
      </c>
      <c r="AW69" s="72" t="str">
        <f t="shared" si="10"/>
        <v/>
      </c>
      <c r="AX69" s="39"/>
      <c r="AY69" s="40" t="str">
        <f>IF(ISERROR(IF($K69&lt;=$F$15,VLOOKUP($I69,'表4）CO2価格'!$A$7:$E$67,VLOOKUP($F$48,'表4）CO2価格'!$H$10:$I$12,2,0),0)*$F$8/1000,"")),0,IF($K69&lt;=$F$15,VLOOKUP($I69,'表4）CO2価格'!$A$7:$E$67,VLOOKUP($F$48,'表4）CO2価格'!$H$10:$I$12,2,0),0)*$F$8/1000,""))</f>
        <v/>
      </c>
      <c r="AZ69" s="39"/>
      <c r="BA69" s="42" t="str">
        <f t="shared" si="46"/>
        <v/>
      </c>
      <c r="BB69" s="72" t="str">
        <f t="shared" si="28"/>
        <v/>
      </c>
      <c r="BC69" s="39"/>
      <c r="BD69" s="72" t="str">
        <f t="shared" si="47"/>
        <v/>
      </c>
      <c r="BE69" s="72" t="str">
        <f t="shared" si="29"/>
        <v/>
      </c>
      <c r="BF69" s="39"/>
      <c r="BG69" s="42" t="str">
        <f t="shared" si="48"/>
        <v/>
      </c>
      <c r="BH69" s="72" t="str">
        <f t="shared" si="30"/>
        <v/>
      </c>
      <c r="BI69" s="39"/>
      <c r="BJ69" s="40" t="str">
        <f t="shared" si="31"/>
        <v/>
      </c>
      <c r="BK69" s="157" t="str">
        <f t="shared" si="32"/>
        <v/>
      </c>
      <c r="BL69" s="157" t="str">
        <f t="shared" si="14"/>
        <v/>
      </c>
      <c r="BM69" s="72"/>
      <c r="BN69" s="72" t="str">
        <f t="shared" si="33"/>
        <v/>
      </c>
      <c r="BO69" s="72" t="str">
        <f t="shared" si="34"/>
        <v/>
      </c>
      <c r="BP69" s="39"/>
      <c r="BQ69" s="72" t="str">
        <f t="shared" si="49"/>
        <v/>
      </c>
      <c r="BR69" s="72" t="str">
        <f t="shared" si="35"/>
        <v/>
      </c>
    </row>
    <row r="70" spans="2:70" x14ac:dyDescent="0.15">
      <c r="C70" s="461" t="s">
        <v>135</v>
      </c>
      <c r="D70" s="9"/>
      <c r="E70" s="9"/>
      <c r="F70" s="94">
        <f>SUBTOTAL(9,F74:F112)</f>
        <v>23.80219020816708</v>
      </c>
      <c r="G70" s="9" t="s">
        <v>132</v>
      </c>
      <c r="I70" s="322">
        <f t="shared" si="36"/>
        <v>2075</v>
      </c>
      <c r="J70" s="71"/>
      <c r="K70" s="71">
        <f t="shared" si="37"/>
        <v>56</v>
      </c>
      <c r="L70" s="71"/>
      <c r="M70" s="7">
        <f t="shared" si="0"/>
        <v>0.19103608816200118</v>
      </c>
      <c r="N70" s="71"/>
      <c r="O70" s="10" t="str">
        <f t="shared" si="16"/>
        <v/>
      </c>
      <c r="P70" s="29" t="str">
        <f t="shared" si="38"/>
        <v/>
      </c>
      <c r="Q70" s="71"/>
      <c r="R70" s="10" t="str">
        <f t="shared" si="50"/>
        <v/>
      </c>
      <c r="S70" s="71"/>
      <c r="T70" s="10" t="str">
        <f t="shared" si="18"/>
        <v/>
      </c>
      <c r="U70" s="71"/>
      <c r="V70" s="10" t="str">
        <f t="shared" si="39"/>
        <v/>
      </c>
      <c r="W70" s="10" t="str">
        <f t="shared" si="19"/>
        <v/>
      </c>
      <c r="X70" s="71"/>
      <c r="Y70" s="10" t="str">
        <f t="shared" si="40"/>
        <v/>
      </c>
      <c r="Z70" s="10" t="str">
        <f t="shared" si="20"/>
        <v/>
      </c>
      <c r="AA70" s="71"/>
      <c r="AB70" s="10" t="str">
        <f t="shared" si="4"/>
        <v/>
      </c>
      <c r="AC70" s="10" t="str">
        <f t="shared" si="21"/>
        <v/>
      </c>
      <c r="AD70" s="71"/>
      <c r="AE70" s="10" t="str">
        <f t="shared" si="41"/>
        <v/>
      </c>
      <c r="AF70" s="10" t="str">
        <f t="shared" si="22"/>
        <v/>
      </c>
      <c r="AG70" s="71"/>
      <c r="AH70" s="10" t="str">
        <f t="shared" si="42"/>
        <v/>
      </c>
      <c r="AI70" s="10" t="str">
        <f t="shared" si="23"/>
        <v/>
      </c>
      <c r="AJ70" s="71"/>
      <c r="AK70" s="10" t="str">
        <f t="shared" si="24"/>
        <v/>
      </c>
      <c r="AL70" s="10" t="str">
        <f t="shared" si="25"/>
        <v/>
      </c>
      <c r="AM70" s="71"/>
      <c r="AN70" s="10" t="str">
        <f t="shared" si="43"/>
        <v/>
      </c>
      <c r="AO70" s="10" t="str">
        <f t="shared" si="26"/>
        <v/>
      </c>
      <c r="AP70" s="71"/>
      <c r="AQ70" s="10" t="str">
        <f t="shared" si="44"/>
        <v/>
      </c>
      <c r="AR70" s="10" t="str">
        <f t="shared" si="27"/>
        <v/>
      </c>
      <c r="AS70" s="71"/>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U70" s="71"/>
      <c r="AV70" s="10" t="str">
        <f t="shared" si="45"/>
        <v/>
      </c>
      <c r="AW70" s="10" t="str">
        <f t="shared" si="10"/>
        <v/>
      </c>
      <c r="AX70" s="71"/>
      <c r="AY70" s="7" t="str">
        <f>IF(ISERROR(IF($K70&lt;=$F$15,VLOOKUP($I70,'表4）CO2価格'!$A$7:$E$67,VLOOKUP($F$48,'表4）CO2価格'!$H$10:$I$12,2,0),0)*$F$8/1000,"")),0,IF($K70&lt;=$F$15,VLOOKUP($I70,'表4）CO2価格'!$A$7:$E$67,VLOOKUP($F$48,'表4）CO2価格'!$H$10:$I$12,2,0),0)*$F$8/1000,""))</f>
        <v/>
      </c>
      <c r="AZ70" s="71"/>
      <c r="BA70" s="11" t="str">
        <f t="shared" si="46"/>
        <v/>
      </c>
      <c r="BB70" s="10" t="str">
        <f t="shared" si="28"/>
        <v/>
      </c>
      <c r="BC70" s="71"/>
      <c r="BD70" s="10" t="str">
        <f t="shared" si="47"/>
        <v/>
      </c>
      <c r="BE70" s="10" t="str">
        <f t="shared" si="29"/>
        <v/>
      </c>
      <c r="BF70" s="71"/>
      <c r="BG70" s="11" t="str">
        <f t="shared" si="48"/>
        <v/>
      </c>
      <c r="BH70" s="10" t="str">
        <f t="shared" si="30"/>
        <v/>
      </c>
      <c r="BJ70" s="7" t="str">
        <f t="shared" si="31"/>
        <v/>
      </c>
      <c r="BK70" s="158" t="str">
        <f t="shared" si="32"/>
        <v/>
      </c>
      <c r="BL70" s="158" t="str">
        <f t="shared" si="14"/>
        <v/>
      </c>
      <c r="BM70" s="10"/>
      <c r="BN70" s="10" t="str">
        <f t="shared" si="33"/>
        <v/>
      </c>
      <c r="BO70" s="10" t="str">
        <f t="shared" si="34"/>
        <v/>
      </c>
      <c r="BQ70" s="10" t="str">
        <f t="shared" si="49"/>
        <v/>
      </c>
      <c r="BR70" s="10" t="str">
        <f t="shared" si="35"/>
        <v/>
      </c>
    </row>
    <row r="71" spans="2:70" x14ac:dyDescent="0.15">
      <c r="F71" s="145"/>
      <c r="I71" s="38">
        <f t="shared" si="36"/>
        <v>2076</v>
      </c>
      <c r="J71" s="39"/>
      <c r="K71" s="39">
        <f t="shared" si="37"/>
        <v>57</v>
      </c>
      <c r="L71" s="39"/>
      <c r="M71" s="40">
        <f t="shared" si="0"/>
        <v>0.18547193025437006</v>
      </c>
      <c r="N71" s="39"/>
      <c r="O71" s="72" t="str">
        <f t="shared" si="16"/>
        <v/>
      </c>
      <c r="P71" s="41" t="str">
        <f t="shared" si="38"/>
        <v/>
      </c>
      <c r="Q71" s="39"/>
      <c r="R71" s="72" t="str">
        <f t="shared" si="50"/>
        <v/>
      </c>
      <c r="S71" s="39"/>
      <c r="T71" s="72" t="str">
        <f t="shared" si="18"/>
        <v/>
      </c>
      <c r="U71" s="39"/>
      <c r="V71" s="72" t="str">
        <f t="shared" si="39"/>
        <v/>
      </c>
      <c r="W71" s="72" t="str">
        <f t="shared" si="19"/>
        <v/>
      </c>
      <c r="X71" s="39"/>
      <c r="Y71" s="72" t="str">
        <f t="shared" si="40"/>
        <v/>
      </c>
      <c r="Z71" s="72" t="str">
        <f t="shared" si="20"/>
        <v/>
      </c>
      <c r="AA71" s="39"/>
      <c r="AB71" s="72" t="str">
        <f t="shared" si="4"/>
        <v/>
      </c>
      <c r="AC71" s="72" t="str">
        <f t="shared" si="21"/>
        <v/>
      </c>
      <c r="AD71" s="39"/>
      <c r="AE71" s="72" t="str">
        <f t="shared" si="41"/>
        <v/>
      </c>
      <c r="AF71" s="72" t="str">
        <f t="shared" si="22"/>
        <v/>
      </c>
      <c r="AG71" s="39"/>
      <c r="AH71" s="72" t="str">
        <f t="shared" si="42"/>
        <v/>
      </c>
      <c r="AI71" s="72" t="str">
        <f t="shared" si="23"/>
        <v/>
      </c>
      <c r="AJ71" s="39"/>
      <c r="AK71" s="72" t="str">
        <f t="shared" si="24"/>
        <v/>
      </c>
      <c r="AL71" s="72" t="str">
        <f t="shared" si="25"/>
        <v/>
      </c>
      <c r="AM71" s="39"/>
      <c r="AN71" s="72" t="str">
        <f t="shared" si="43"/>
        <v/>
      </c>
      <c r="AO71" s="72" t="str">
        <f t="shared" si="26"/>
        <v/>
      </c>
      <c r="AP71" s="39"/>
      <c r="AQ71" s="72" t="str">
        <f t="shared" si="44"/>
        <v/>
      </c>
      <c r="AR71" s="72" t="str">
        <f t="shared" si="27"/>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45"/>
        <v/>
      </c>
      <c r="AW71" s="72" t="str">
        <f t="shared" si="10"/>
        <v/>
      </c>
      <c r="AX71" s="39"/>
      <c r="AY71" s="40" t="str">
        <f>IF(ISERROR(IF($K71&lt;=$F$15,VLOOKUP($I71,'表4）CO2価格'!$A$7:$E$67,VLOOKUP($F$48,'表4）CO2価格'!$H$10:$I$12,2,0),0)*$F$8/1000,"")),0,IF($K71&lt;=$F$15,VLOOKUP($I71,'表4）CO2価格'!$A$7:$E$67,VLOOKUP($F$48,'表4）CO2価格'!$H$10:$I$12,2,0),0)*$F$8/1000,""))</f>
        <v/>
      </c>
      <c r="AZ71" s="39"/>
      <c r="BA71" s="42" t="str">
        <f t="shared" si="46"/>
        <v/>
      </c>
      <c r="BB71" s="72" t="str">
        <f t="shared" si="28"/>
        <v/>
      </c>
      <c r="BC71" s="39"/>
      <c r="BD71" s="72" t="str">
        <f t="shared" si="47"/>
        <v/>
      </c>
      <c r="BE71" s="72" t="str">
        <f t="shared" si="29"/>
        <v/>
      </c>
      <c r="BF71" s="39"/>
      <c r="BG71" s="42" t="str">
        <f t="shared" si="48"/>
        <v/>
      </c>
      <c r="BH71" s="72" t="str">
        <f t="shared" si="30"/>
        <v/>
      </c>
      <c r="BI71" s="39"/>
      <c r="BJ71" s="40" t="str">
        <f t="shared" si="31"/>
        <v/>
      </c>
      <c r="BK71" s="157" t="str">
        <f t="shared" si="32"/>
        <v/>
      </c>
      <c r="BL71" s="157" t="str">
        <f t="shared" si="14"/>
        <v/>
      </c>
      <c r="BM71" s="72"/>
      <c r="BN71" s="72" t="str">
        <f t="shared" si="33"/>
        <v/>
      </c>
      <c r="BO71" s="72" t="str">
        <f t="shared" si="34"/>
        <v/>
      </c>
      <c r="BP71" s="39"/>
      <c r="BQ71" s="72" t="str">
        <f t="shared" si="49"/>
        <v/>
      </c>
      <c r="BR71" s="72" t="str">
        <f t="shared" si="35"/>
        <v/>
      </c>
    </row>
    <row r="72" spans="2:70" x14ac:dyDescent="0.15">
      <c r="C72" s="89" t="s">
        <v>136</v>
      </c>
      <c r="D72" s="101"/>
      <c r="E72" s="101"/>
      <c r="F72" s="92"/>
      <c r="G72" s="101"/>
      <c r="I72" s="322">
        <f t="shared" si="36"/>
        <v>2077</v>
      </c>
      <c r="J72" s="71"/>
      <c r="K72" s="71">
        <f t="shared" si="37"/>
        <v>58</v>
      </c>
      <c r="L72" s="71"/>
      <c r="M72" s="7">
        <f t="shared" si="0"/>
        <v>0.18006983519841754</v>
      </c>
      <c r="N72" s="71"/>
      <c r="O72" s="10" t="str">
        <f t="shared" si="16"/>
        <v/>
      </c>
      <c r="P72" s="29" t="str">
        <f t="shared" si="38"/>
        <v/>
      </c>
      <c r="Q72" s="71"/>
      <c r="R72" s="10" t="str">
        <f t="shared" si="50"/>
        <v/>
      </c>
      <c r="S72" s="71"/>
      <c r="T72" s="10" t="str">
        <f t="shared" si="18"/>
        <v/>
      </c>
      <c r="U72" s="71"/>
      <c r="V72" s="10" t="str">
        <f t="shared" si="39"/>
        <v/>
      </c>
      <c r="W72" s="10" t="str">
        <f t="shared" si="19"/>
        <v/>
      </c>
      <c r="X72" s="71"/>
      <c r="Y72" s="10" t="str">
        <f t="shared" si="40"/>
        <v/>
      </c>
      <c r="Z72" s="10" t="str">
        <f t="shared" si="20"/>
        <v/>
      </c>
      <c r="AA72" s="71"/>
      <c r="AB72" s="10" t="str">
        <f t="shared" si="4"/>
        <v/>
      </c>
      <c r="AC72" s="10" t="str">
        <f t="shared" si="21"/>
        <v/>
      </c>
      <c r="AD72" s="71"/>
      <c r="AE72" s="10" t="str">
        <f t="shared" si="41"/>
        <v/>
      </c>
      <c r="AF72" s="10" t="str">
        <f t="shared" si="22"/>
        <v/>
      </c>
      <c r="AG72" s="71"/>
      <c r="AH72" s="10" t="str">
        <f t="shared" si="42"/>
        <v/>
      </c>
      <c r="AI72" s="10" t="str">
        <f t="shared" si="23"/>
        <v/>
      </c>
      <c r="AJ72" s="71"/>
      <c r="AK72" s="10" t="str">
        <f t="shared" si="24"/>
        <v/>
      </c>
      <c r="AL72" s="10" t="str">
        <f t="shared" si="25"/>
        <v/>
      </c>
      <c r="AM72" s="71"/>
      <c r="AN72" s="10" t="str">
        <f t="shared" si="43"/>
        <v/>
      </c>
      <c r="AO72" s="10" t="str">
        <f t="shared" si="26"/>
        <v/>
      </c>
      <c r="AP72" s="71"/>
      <c r="AQ72" s="10" t="str">
        <f t="shared" si="44"/>
        <v/>
      </c>
      <c r="AR72" s="10" t="str">
        <f t="shared" si="27"/>
        <v/>
      </c>
      <c r="AS72" s="71"/>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U72" s="71"/>
      <c r="AV72" s="10" t="str">
        <f t="shared" si="45"/>
        <v/>
      </c>
      <c r="AW72" s="10" t="str">
        <f t="shared" si="10"/>
        <v/>
      </c>
      <c r="AX72" s="71"/>
      <c r="AY72" s="7" t="str">
        <f>IF(ISERROR(IF($K72&lt;=$F$15,VLOOKUP($I72,'表4）CO2価格'!$A$7:$E$67,VLOOKUP($F$48,'表4）CO2価格'!$H$10:$I$12,2,0),0)*$F$8/1000,"")),0,IF($K72&lt;=$F$15,VLOOKUP($I72,'表4）CO2価格'!$A$7:$E$67,VLOOKUP($F$48,'表4）CO2価格'!$H$10:$I$12,2,0),0)*$F$8/1000,""))</f>
        <v/>
      </c>
      <c r="AZ72" s="71"/>
      <c r="BA72" s="11" t="str">
        <f t="shared" si="46"/>
        <v/>
      </c>
      <c r="BB72" s="10" t="str">
        <f t="shared" si="28"/>
        <v/>
      </c>
      <c r="BC72" s="71"/>
      <c r="BD72" s="10" t="str">
        <f t="shared" si="47"/>
        <v/>
      </c>
      <c r="BE72" s="10" t="str">
        <f t="shared" si="29"/>
        <v/>
      </c>
      <c r="BF72" s="71"/>
      <c r="BG72" s="11" t="str">
        <f t="shared" si="48"/>
        <v/>
      </c>
      <c r="BH72" s="10" t="str">
        <f t="shared" si="30"/>
        <v/>
      </c>
      <c r="BJ72" s="7" t="str">
        <f t="shared" si="31"/>
        <v/>
      </c>
      <c r="BK72" s="158" t="str">
        <f t="shared" si="32"/>
        <v/>
      </c>
      <c r="BL72" s="158" t="str">
        <f t="shared" si="14"/>
        <v/>
      </c>
      <c r="BM72" s="10"/>
      <c r="BN72" s="10" t="str">
        <f t="shared" si="33"/>
        <v/>
      </c>
      <c r="BO72" s="10" t="str">
        <f t="shared" si="34"/>
        <v/>
      </c>
      <c r="BQ72" s="10" t="str">
        <f t="shared" si="49"/>
        <v/>
      </c>
      <c r="BR72" s="10" t="str">
        <f t="shared" si="35"/>
        <v/>
      </c>
    </row>
    <row r="73" spans="2:70" x14ac:dyDescent="0.15">
      <c r="F73" s="93"/>
      <c r="I73" s="38">
        <f t="shared" si="36"/>
        <v>2078</v>
      </c>
      <c r="J73" s="39"/>
      <c r="K73" s="39">
        <f t="shared" si="37"/>
        <v>59</v>
      </c>
      <c r="L73" s="39"/>
      <c r="M73" s="40">
        <f t="shared" si="0"/>
        <v>0.17482508271691022</v>
      </c>
      <c r="N73" s="39"/>
      <c r="O73" s="72" t="str">
        <f t="shared" si="16"/>
        <v/>
      </c>
      <c r="P73" s="41" t="str">
        <f t="shared" si="38"/>
        <v/>
      </c>
      <c r="Q73" s="39"/>
      <c r="R73" s="72" t="str">
        <f t="shared" si="50"/>
        <v/>
      </c>
      <c r="S73" s="39"/>
      <c r="T73" s="72" t="str">
        <f t="shared" si="18"/>
        <v/>
      </c>
      <c r="U73" s="39"/>
      <c r="V73" s="72" t="str">
        <f t="shared" si="39"/>
        <v/>
      </c>
      <c r="W73" s="72" t="str">
        <f t="shared" si="19"/>
        <v/>
      </c>
      <c r="X73" s="39"/>
      <c r="Y73" s="72" t="str">
        <f t="shared" si="40"/>
        <v/>
      </c>
      <c r="Z73" s="72" t="str">
        <f t="shared" si="20"/>
        <v/>
      </c>
      <c r="AA73" s="39"/>
      <c r="AB73" s="72" t="str">
        <f t="shared" si="4"/>
        <v/>
      </c>
      <c r="AC73" s="72" t="str">
        <f t="shared" si="21"/>
        <v/>
      </c>
      <c r="AD73" s="39"/>
      <c r="AE73" s="72" t="str">
        <f t="shared" si="41"/>
        <v/>
      </c>
      <c r="AF73" s="72" t="str">
        <f t="shared" si="22"/>
        <v/>
      </c>
      <c r="AG73" s="39"/>
      <c r="AH73" s="72" t="str">
        <f t="shared" si="42"/>
        <v/>
      </c>
      <c r="AI73" s="72" t="str">
        <f t="shared" si="23"/>
        <v/>
      </c>
      <c r="AJ73" s="39"/>
      <c r="AK73" s="72" t="str">
        <f t="shared" si="24"/>
        <v/>
      </c>
      <c r="AL73" s="72" t="str">
        <f t="shared" si="25"/>
        <v/>
      </c>
      <c r="AM73" s="39"/>
      <c r="AN73" s="72" t="str">
        <f t="shared" si="43"/>
        <v/>
      </c>
      <c r="AO73" s="72" t="str">
        <f t="shared" si="26"/>
        <v/>
      </c>
      <c r="AP73" s="39"/>
      <c r="AQ73" s="72" t="str">
        <f t="shared" si="44"/>
        <v/>
      </c>
      <c r="AR73" s="72" t="str">
        <f t="shared" si="27"/>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45"/>
        <v/>
      </c>
      <c r="AW73" s="72" t="str">
        <f t="shared" si="10"/>
        <v/>
      </c>
      <c r="AX73" s="39"/>
      <c r="AY73" s="40" t="str">
        <f>IF(ISERROR(IF($K73&lt;=$F$15,VLOOKUP($I73,'表4）CO2価格'!$A$7:$E$67,VLOOKUP($F$48,'表4）CO2価格'!$H$10:$I$12,2,0),0)*$F$8/1000,"")),0,IF($K73&lt;=$F$15,VLOOKUP($I73,'表4）CO2価格'!$A$7:$E$67,VLOOKUP($F$48,'表4）CO2価格'!$H$10:$I$12,2,0),0)*$F$8/1000,""))</f>
        <v/>
      </c>
      <c r="AZ73" s="39"/>
      <c r="BA73" s="42" t="str">
        <f t="shared" si="46"/>
        <v/>
      </c>
      <c r="BB73" s="72" t="str">
        <f t="shared" si="28"/>
        <v/>
      </c>
      <c r="BC73" s="39"/>
      <c r="BD73" s="72" t="str">
        <f t="shared" si="47"/>
        <v/>
      </c>
      <c r="BE73" s="72" t="str">
        <f t="shared" si="29"/>
        <v/>
      </c>
      <c r="BF73" s="39"/>
      <c r="BG73" s="42" t="str">
        <f t="shared" si="48"/>
        <v/>
      </c>
      <c r="BH73" s="72" t="str">
        <f t="shared" si="30"/>
        <v/>
      </c>
      <c r="BI73" s="39"/>
      <c r="BJ73" s="40" t="str">
        <f t="shared" si="31"/>
        <v/>
      </c>
      <c r="BK73" s="157" t="str">
        <f t="shared" si="32"/>
        <v/>
      </c>
      <c r="BL73" s="157" t="str">
        <f t="shared" si="14"/>
        <v/>
      </c>
      <c r="BM73" s="72"/>
      <c r="BN73" s="72" t="str">
        <f t="shared" si="33"/>
        <v/>
      </c>
      <c r="BO73" s="72" t="str">
        <f t="shared" si="34"/>
        <v/>
      </c>
      <c r="BP73" s="39"/>
      <c r="BQ73" s="72" t="str">
        <f t="shared" si="49"/>
        <v/>
      </c>
      <c r="BR73" s="72" t="str">
        <f t="shared" si="35"/>
        <v/>
      </c>
    </row>
    <row r="74" spans="2:70" ht="15" x14ac:dyDescent="0.15">
      <c r="D74" s="116" t="s">
        <v>192</v>
      </c>
      <c r="F74" s="94">
        <f>SUBTOTAL(9,F78:F81)</f>
        <v>15.704707424236053</v>
      </c>
      <c r="G74" s="81" t="s">
        <v>132</v>
      </c>
      <c r="I74" s="322">
        <f t="shared" si="36"/>
        <v>2079</v>
      </c>
      <c r="J74" s="71"/>
      <c r="K74" s="71">
        <f t="shared" si="37"/>
        <v>60</v>
      </c>
      <c r="L74" s="71"/>
      <c r="M74" s="7">
        <f t="shared" si="0"/>
        <v>0.1697330900164177</v>
      </c>
      <c r="N74" s="71"/>
      <c r="O74" s="10" t="str">
        <f t="shared" si="16"/>
        <v/>
      </c>
      <c r="P74" s="29" t="str">
        <f t="shared" si="38"/>
        <v/>
      </c>
      <c r="Q74" s="71"/>
      <c r="R74" s="10" t="str">
        <f t="shared" si="50"/>
        <v/>
      </c>
      <c r="S74" s="71"/>
      <c r="T74" s="10" t="str">
        <f t="shared" si="18"/>
        <v/>
      </c>
      <c r="U74" s="71"/>
      <c r="V74" s="10" t="str">
        <f t="shared" si="39"/>
        <v/>
      </c>
      <c r="W74" s="10" t="str">
        <f t="shared" si="19"/>
        <v/>
      </c>
      <c r="X74" s="71"/>
      <c r="Y74" s="10" t="str">
        <f t="shared" si="40"/>
        <v/>
      </c>
      <c r="Z74" s="10" t="str">
        <f t="shared" si="20"/>
        <v/>
      </c>
      <c r="AA74" s="71"/>
      <c r="AB74" s="10" t="str">
        <f t="shared" si="4"/>
        <v/>
      </c>
      <c r="AC74" s="10" t="str">
        <f t="shared" si="21"/>
        <v/>
      </c>
      <c r="AD74" s="71"/>
      <c r="AE74" s="10" t="str">
        <f t="shared" si="41"/>
        <v/>
      </c>
      <c r="AF74" s="10" t="str">
        <f t="shared" si="22"/>
        <v/>
      </c>
      <c r="AG74" s="71"/>
      <c r="AH74" s="10" t="str">
        <f t="shared" si="42"/>
        <v/>
      </c>
      <c r="AI74" s="10" t="str">
        <f t="shared" si="23"/>
        <v/>
      </c>
      <c r="AJ74" s="71"/>
      <c r="AK74" s="10" t="str">
        <f t="shared" si="24"/>
        <v/>
      </c>
      <c r="AL74" s="10" t="str">
        <f t="shared" si="25"/>
        <v/>
      </c>
      <c r="AM74" s="71"/>
      <c r="AN74" s="10" t="str">
        <f t="shared" si="43"/>
        <v/>
      </c>
      <c r="AO74" s="10" t="str">
        <f t="shared" si="26"/>
        <v/>
      </c>
      <c r="AP74" s="71"/>
      <c r="AQ74" s="10" t="str">
        <f t="shared" si="44"/>
        <v/>
      </c>
      <c r="AR74" s="10" t="str">
        <f t="shared" si="27"/>
        <v/>
      </c>
      <c r="AS74" s="71"/>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U74" s="71"/>
      <c r="AV74" s="10" t="str">
        <f t="shared" si="45"/>
        <v/>
      </c>
      <c r="AW74" s="10" t="str">
        <f t="shared" si="10"/>
        <v/>
      </c>
      <c r="AX74" s="71"/>
      <c r="AY74" s="7" t="str">
        <f>IF(ISERROR(IF($K74&lt;=$F$15,VLOOKUP($I74,'表4）CO2価格'!$A$7:$E$67,VLOOKUP($F$48,'表4）CO2価格'!$H$10:$I$12,2,0),0)*$F$8/1000,"")),0,IF($K74&lt;=$F$15,VLOOKUP($I74,'表4）CO2価格'!$A$7:$E$67,VLOOKUP($F$48,'表4）CO2価格'!$H$10:$I$12,2,0),0)*$F$8/1000,""))</f>
        <v/>
      </c>
      <c r="AZ74" s="71"/>
      <c r="BA74" s="11" t="str">
        <f t="shared" si="46"/>
        <v/>
      </c>
      <c r="BB74" s="10" t="str">
        <f t="shared" si="28"/>
        <v/>
      </c>
      <c r="BC74" s="71"/>
      <c r="BD74" s="10" t="str">
        <f t="shared" si="47"/>
        <v/>
      </c>
      <c r="BE74" s="10" t="str">
        <f t="shared" si="29"/>
        <v/>
      </c>
      <c r="BF74" s="71"/>
      <c r="BG74" s="11" t="str">
        <f t="shared" si="48"/>
        <v/>
      </c>
      <c r="BH74" s="10" t="str">
        <f t="shared" si="30"/>
        <v/>
      </c>
      <c r="BJ74" s="7" t="str">
        <f t="shared" si="31"/>
        <v/>
      </c>
      <c r="BK74" s="158" t="str">
        <f t="shared" si="32"/>
        <v/>
      </c>
      <c r="BL74" s="158" t="str">
        <f t="shared" si="14"/>
        <v/>
      </c>
      <c r="BM74" s="10"/>
      <c r="BN74" s="10" t="str">
        <f t="shared" si="33"/>
        <v/>
      </c>
      <c r="BO74" s="10" t="str">
        <f t="shared" si="34"/>
        <v/>
      </c>
      <c r="BQ74" s="10" t="str">
        <f t="shared" si="49"/>
        <v/>
      </c>
      <c r="BR74" s="10" t="str">
        <f t="shared" si="35"/>
        <v/>
      </c>
    </row>
    <row r="75" spans="2:70" x14ac:dyDescent="0.15">
      <c r="F75" s="93"/>
      <c r="I75" s="38">
        <f t="shared" si="36"/>
        <v>2080</v>
      </c>
      <c r="J75" s="39"/>
      <c r="K75" s="39">
        <f t="shared" si="37"/>
        <v>61</v>
      </c>
      <c r="L75" s="39"/>
      <c r="M75" s="40">
        <f t="shared" si="0"/>
        <v>0.16478940778292983</v>
      </c>
      <c r="N75" s="39"/>
      <c r="O75" s="72" t="str">
        <f t="shared" si="16"/>
        <v/>
      </c>
      <c r="P75" s="41" t="str">
        <f t="shared" si="38"/>
        <v/>
      </c>
      <c r="Q75" s="39"/>
      <c r="R75" s="72" t="str">
        <f t="shared" si="50"/>
        <v/>
      </c>
      <c r="S75" s="39"/>
      <c r="T75" s="72" t="str">
        <f t="shared" si="18"/>
        <v/>
      </c>
      <c r="U75" s="39"/>
      <c r="V75" s="72" t="str">
        <f t="shared" si="39"/>
        <v/>
      </c>
      <c r="W75" s="72" t="str">
        <f t="shared" si="19"/>
        <v/>
      </c>
      <c r="X75" s="39"/>
      <c r="Y75" s="72" t="str">
        <f t="shared" si="40"/>
        <v/>
      </c>
      <c r="Z75" s="72" t="str">
        <f t="shared" si="20"/>
        <v/>
      </c>
      <c r="AA75" s="39"/>
      <c r="AB75" s="72" t="str">
        <f t="shared" si="4"/>
        <v/>
      </c>
      <c r="AC75" s="72" t="str">
        <f t="shared" si="21"/>
        <v/>
      </c>
      <c r="AD75" s="39"/>
      <c r="AE75" s="72" t="str">
        <f t="shared" si="41"/>
        <v/>
      </c>
      <c r="AF75" s="72" t="str">
        <f t="shared" si="22"/>
        <v/>
      </c>
      <c r="AG75" s="39"/>
      <c r="AH75" s="72" t="str">
        <f t="shared" si="42"/>
        <v/>
      </c>
      <c r="AI75" s="72" t="str">
        <f t="shared" si="23"/>
        <v/>
      </c>
      <c r="AJ75" s="39"/>
      <c r="AK75" s="72" t="str">
        <f t="shared" si="24"/>
        <v/>
      </c>
      <c r="AL75" s="72" t="str">
        <f t="shared" si="25"/>
        <v/>
      </c>
      <c r="AM75" s="39"/>
      <c r="AN75" s="72" t="str">
        <f t="shared" si="43"/>
        <v/>
      </c>
      <c r="AO75" s="72" t="str">
        <f t="shared" si="26"/>
        <v/>
      </c>
      <c r="AP75" s="39"/>
      <c r="AQ75" s="72" t="str">
        <f t="shared" si="44"/>
        <v/>
      </c>
      <c r="AR75" s="72" t="str">
        <f t="shared" si="27"/>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45"/>
        <v/>
      </c>
      <c r="AW75" s="72" t="str">
        <f t="shared" si="10"/>
        <v/>
      </c>
      <c r="AX75" s="39"/>
      <c r="AY75" s="40" t="str">
        <f>IF(ISERROR(IF($K75&lt;=$F$15,VLOOKUP($I75,'表4）CO2価格'!$A$7:$E$67,VLOOKUP($F$48,'表4）CO2価格'!$H$10:$I$12,2,0),0)*$F$8/1000,"")),0,IF($K75&lt;=$F$15,VLOOKUP($I75,'表4）CO2価格'!$A$7:$E$67,VLOOKUP($F$48,'表4）CO2価格'!$H$10:$I$12,2,0),0)*$F$8/1000,""))</f>
        <v/>
      </c>
      <c r="AZ75" s="39"/>
      <c r="BA75" s="42" t="str">
        <f t="shared" si="46"/>
        <v/>
      </c>
      <c r="BB75" s="72" t="str">
        <f t="shared" si="28"/>
        <v/>
      </c>
      <c r="BC75" s="39"/>
      <c r="BD75" s="72" t="str">
        <f t="shared" si="47"/>
        <v/>
      </c>
      <c r="BE75" s="72" t="str">
        <f t="shared" si="29"/>
        <v/>
      </c>
      <c r="BF75" s="39"/>
      <c r="BG75" s="42" t="str">
        <f t="shared" si="48"/>
        <v/>
      </c>
      <c r="BH75" s="72" t="str">
        <f t="shared" si="30"/>
        <v/>
      </c>
      <c r="BI75" s="39"/>
      <c r="BJ75" s="40" t="str">
        <f t="shared" si="31"/>
        <v/>
      </c>
      <c r="BK75" s="157" t="str">
        <f t="shared" si="32"/>
        <v/>
      </c>
      <c r="BL75" s="157" t="str">
        <f t="shared" si="14"/>
        <v/>
      </c>
      <c r="BM75" s="72"/>
      <c r="BN75" s="72" t="str">
        <f t="shared" si="33"/>
        <v/>
      </c>
      <c r="BO75" s="72" t="str">
        <f t="shared" si="34"/>
        <v/>
      </c>
      <c r="BP75" s="39"/>
      <c r="BQ75" s="72" t="str">
        <f t="shared" si="49"/>
        <v/>
      </c>
      <c r="BR75" s="72" t="str">
        <f t="shared" si="35"/>
        <v/>
      </c>
    </row>
    <row r="76" spans="2:70" x14ac:dyDescent="0.15">
      <c r="D76" s="101" t="s">
        <v>193</v>
      </c>
      <c r="E76" s="101"/>
      <c r="F76" s="92"/>
      <c r="G76" s="101"/>
      <c r="I76" s="322">
        <f t="shared" si="36"/>
        <v>2081</v>
      </c>
      <c r="J76" s="71"/>
      <c r="K76" s="71">
        <f t="shared" si="37"/>
        <v>62</v>
      </c>
      <c r="L76" s="71"/>
      <c r="M76" s="7">
        <f t="shared" si="0"/>
        <v>0.15998971629410663</v>
      </c>
      <c r="N76" s="71"/>
      <c r="O76" s="10" t="str">
        <f t="shared" si="16"/>
        <v/>
      </c>
      <c r="P76" s="29" t="str">
        <f t="shared" si="38"/>
        <v/>
      </c>
      <c r="Q76" s="71"/>
      <c r="R76" s="10" t="str">
        <f t="shared" si="50"/>
        <v/>
      </c>
      <c r="S76" s="71"/>
      <c r="T76" s="10" t="str">
        <f t="shared" si="18"/>
        <v/>
      </c>
      <c r="U76" s="71"/>
      <c r="V76" s="10" t="str">
        <f t="shared" si="39"/>
        <v/>
      </c>
      <c r="W76" s="10" t="str">
        <f t="shared" si="19"/>
        <v/>
      </c>
      <c r="X76" s="71"/>
      <c r="Y76" s="10" t="str">
        <f t="shared" si="40"/>
        <v/>
      </c>
      <c r="Z76" s="10" t="str">
        <f t="shared" si="20"/>
        <v/>
      </c>
      <c r="AA76" s="71"/>
      <c r="AB76" s="10" t="str">
        <f t="shared" si="4"/>
        <v/>
      </c>
      <c r="AC76" s="10" t="str">
        <f t="shared" si="21"/>
        <v/>
      </c>
      <c r="AD76" s="71"/>
      <c r="AE76" s="10" t="str">
        <f t="shared" si="41"/>
        <v/>
      </c>
      <c r="AF76" s="10" t="str">
        <f t="shared" si="22"/>
        <v/>
      </c>
      <c r="AG76" s="71"/>
      <c r="AH76" s="10" t="str">
        <f t="shared" si="42"/>
        <v/>
      </c>
      <c r="AI76" s="10" t="str">
        <f t="shared" si="23"/>
        <v/>
      </c>
      <c r="AJ76" s="71"/>
      <c r="AK76" s="10" t="str">
        <f t="shared" si="24"/>
        <v/>
      </c>
      <c r="AL76" s="10" t="str">
        <f t="shared" si="25"/>
        <v/>
      </c>
      <c r="AM76" s="71"/>
      <c r="AN76" s="10" t="str">
        <f t="shared" si="43"/>
        <v/>
      </c>
      <c r="AO76" s="10" t="str">
        <f t="shared" si="26"/>
        <v/>
      </c>
      <c r="AP76" s="71"/>
      <c r="AQ76" s="10" t="str">
        <f t="shared" si="44"/>
        <v/>
      </c>
      <c r="AR76" s="10" t="str">
        <f t="shared" si="27"/>
        <v/>
      </c>
      <c r="AS76" s="71"/>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U76" s="71"/>
      <c r="AV76" s="10" t="str">
        <f t="shared" si="45"/>
        <v/>
      </c>
      <c r="AW76" s="10" t="str">
        <f t="shared" si="10"/>
        <v/>
      </c>
      <c r="AX76" s="71"/>
      <c r="AY76" s="7" t="str">
        <f>IF(ISERROR(IF($K76&lt;=$F$15,VLOOKUP($I76,'表4）CO2価格'!$A$7:$E$67,VLOOKUP($F$48,'表4）CO2価格'!$H$10:$I$12,2,0),0)*$F$8/1000,"")),0,IF($K76&lt;=$F$15,VLOOKUP($I76,'表4）CO2価格'!$A$7:$E$67,VLOOKUP($F$48,'表4）CO2価格'!$H$10:$I$12,2,0),0)*$F$8/1000,""))</f>
        <v/>
      </c>
      <c r="AZ76" s="71"/>
      <c r="BA76" s="11" t="str">
        <f t="shared" si="46"/>
        <v/>
      </c>
      <c r="BB76" s="10" t="str">
        <f t="shared" si="28"/>
        <v/>
      </c>
      <c r="BC76" s="71"/>
      <c r="BD76" s="10" t="str">
        <f t="shared" si="47"/>
        <v/>
      </c>
      <c r="BE76" s="10" t="str">
        <f t="shared" si="29"/>
        <v/>
      </c>
      <c r="BF76" s="71"/>
      <c r="BG76" s="11" t="str">
        <f t="shared" si="48"/>
        <v/>
      </c>
      <c r="BH76" s="10" t="str">
        <f t="shared" si="30"/>
        <v/>
      </c>
      <c r="BJ76" s="7" t="str">
        <f t="shared" si="31"/>
        <v/>
      </c>
      <c r="BK76" s="158" t="str">
        <f t="shared" si="32"/>
        <v/>
      </c>
      <c r="BL76" s="158" t="str">
        <f t="shared" si="14"/>
        <v/>
      </c>
      <c r="BM76" s="10"/>
      <c r="BN76" s="10" t="str">
        <f t="shared" si="33"/>
        <v/>
      </c>
      <c r="BO76" s="10" t="str">
        <f t="shared" si="34"/>
        <v/>
      </c>
      <c r="BQ76" s="10" t="str">
        <f t="shared" si="49"/>
        <v/>
      </c>
      <c r="BR76" s="10" t="str">
        <f t="shared" si="35"/>
        <v/>
      </c>
    </row>
    <row r="77" spans="2:70" x14ac:dyDescent="0.15">
      <c r="F77" s="93"/>
      <c r="I77" s="38">
        <f t="shared" si="36"/>
        <v>2082</v>
      </c>
      <c r="J77" s="39"/>
      <c r="K77" s="39">
        <f t="shared" si="37"/>
        <v>63</v>
      </c>
      <c r="L77" s="39"/>
      <c r="M77" s="40">
        <f t="shared" si="0"/>
        <v>0.15532982164476369</v>
      </c>
      <c r="N77" s="39"/>
      <c r="O77" s="72" t="str">
        <f t="shared" si="16"/>
        <v/>
      </c>
      <c r="P77" s="41" t="str">
        <f t="shared" si="38"/>
        <v/>
      </c>
      <c r="Q77" s="39"/>
      <c r="R77" s="72" t="str">
        <f t="shared" si="50"/>
        <v/>
      </c>
      <c r="S77" s="39"/>
      <c r="T77" s="72" t="str">
        <f t="shared" si="18"/>
        <v/>
      </c>
      <c r="U77" s="39"/>
      <c r="V77" s="72" t="str">
        <f t="shared" si="39"/>
        <v/>
      </c>
      <c r="W77" s="72" t="str">
        <f t="shared" si="19"/>
        <v/>
      </c>
      <c r="X77" s="39"/>
      <c r="Y77" s="72" t="str">
        <f t="shared" si="40"/>
        <v/>
      </c>
      <c r="Z77" s="72" t="str">
        <f t="shared" si="20"/>
        <v/>
      </c>
      <c r="AA77" s="39"/>
      <c r="AB77" s="72" t="str">
        <f t="shared" si="4"/>
        <v/>
      </c>
      <c r="AC77" s="72" t="str">
        <f t="shared" si="21"/>
        <v/>
      </c>
      <c r="AD77" s="39"/>
      <c r="AE77" s="72" t="str">
        <f t="shared" si="41"/>
        <v/>
      </c>
      <c r="AF77" s="72" t="str">
        <f t="shared" si="22"/>
        <v/>
      </c>
      <c r="AG77" s="39"/>
      <c r="AH77" s="72" t="str">
        <f t="shared" si="42"/>
        <v/>
      </c>
      <c r="AI77" s="72" t="str">
        <f t="shared" si="23"/>
        <v/>
      </c>
      <c r="AJ77" s="39"/>
      <c r="AK77" s="72" t="str">
        <f t="shared" si="24"/>
        <v/>
      </c>
      <c r="AL77" s="72" t="str">
        <f t="shared" si="25"/>
        <v/>
      </c>
      <c r="AM77" s="39"/>
      <c r="AN77" s="72" t="str">
        <f t="shared" si="43"/>
        <v/>
      </c>
      <c r="AO77" s="72" t="str">
        <f t="shared" si="26"/>
        <v/>
      </c>
      <c r="AP77" s="39"/>
      <c r="AQ77" s="72" t="str">
        <f t="shared" si="44"/>
        <v/>
      </c>
      <c r="AR77" s="72" t="str">
        <f t="shared" si="27"/>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45"/>
        <v/>
      </c>
      <c r="AW77" s="72" t="str">
        <f t="shared" si="10"/>
        <v/>
      </c>
      <c r="AX77" s="39"/>
      <c r="AY77" s="40" t="str">
        <f>IF(ISERROR(IF($K77&lt;=$F$15,VLOOKUP($I77,'表4）CO2価格'!$A$7:$E$67,VLOOKUP($F$48,'表4）CO2価格'!$H$10:$I$12,2,0),0)*$F$8/1000,"")),0,IF($K77&lt;=$F$15,VLOOKUP($I77,'表4）CO2価格'!$A$7:$E$67,VLOOKUP($F$48,'表4）CO2価格'!$H$10:$I$12,2,0),0)*$F$8/1000,""))</f>
        <v/>
      </c>
      <c r="AZ77" s="39"/>
      <c r="BA77" s="42" t="str">
        <f t="shared" si="46"/>
        <v/>
      </c>
      <c r="BB77" s="72" t="str">
        <f t="shared" si="28"/>
        <v/>
      </c>
      <c r="BC77" s="39"/>
      <c r="BD77" s="72" t="str">
        <f t="shared" si="47"/>
        <v/>
      </c>
      <c r="BE77" s="72" t="str">
        <f t="shared" si="29"/>
        <v/>
      </c>
      <c r="BF77" s="39"/>
      <c r="BG77" s="42" t="str">
        <f t="shared" si="48"/>
        <v/>
      </c>
      <c r="BH77" s="72" t="str">
        <f t="shared" si="30"/>
        <v/>
      </c>
      <c r="BI77" s="39"/>
      <c r="BJ77" s="40" t="str">
        <f t="shared" si="31"/>
        <v/>
      </c>
      <c r="BK77" s="157" t="str">
        <f t="shared" si="32"/>
        <v/>
      </c>
      <c r="BL77" s="157" t="str">
        <f t="shared" si="14"/>
        <v/>
      </c>
      <c r="BM77" s="72"/>
      <c r="BN77" s="72" t="str">
        <f t="shared" si="33"/>
        <v/>
      </c>
      <c r="BO77" s="72" t="str">
        <f t="shared" si="34"/>
        <v/>
      </c>
      <c r="BP77" s="39"/>
      <c r="BQ77" s="72" t="str">
        <f t="shared" si="49"/>
        <v/>
      </c>
      <c r="BR77" s="72" t="str">
        <f t="shared" si="35"/>
        <v/>
      </c>
    </row>
    <row r="78" spans="2:70" x14ac:dyDescent="0.15">
      <c r="E78" s="74" t="s">
        <v>138</v>
      </c>
      <c r="F78" s="105">
        <f>R15/$BR$116</f>
        <v>14.826388153506237</v>
      </c>
      <c r="G78" s="81" t="s">
        <v>132</v>
      </c>
      <c r="I78" s="322">
        <f t="shared" si="36"/>
        <v>2083</v>
      </c>
      <c r="J78" s="71"/>
      <c r="K78" s="71">
        <f t="shared" si="37"/>
        <v>64</v>
      </c>
      <c r="L78" s="71"/>
      <c r="M78" s="7">
        <f t="shared" si="0"/>
        <v>0.15080565208229488</v>
      </c>
      <c r="N78" s="71"/>
      <c r="O78" s="10" t="str">
        <f t="shared" si="16"/>
        <v/>
      </c>
      <c r="P78" s="29" t="str">
        <f t="shared" si="38"/>
        <v/>
      </c>
      <c r="Q78" s="71"/>
      <c r="R78" s="10" t="str">
        <f t="shared" si="50"/>
        <v/>
      </c>
      <c r="S78" s="71"/>
      <c r="T78" s="10" t="str">
        <f t="shared" si="18"/>
        <v/>
      </c>
      <c r="U78" s="71"/>
      <c r="V78" s="10" t="str">
        <f t="shared" si="39"/>
        <v/>
      </c>
      <c r="W78" s="10" t="str">
        <f t="shared" si="19"/>
        <v/>
      </c>
      <c r="X78" s="71"/>
      <c r="Y78" s="10" t="str">
        <f t="shared" si="40"/>
        <v/>
      </c>
      <c r="Z78" s="10" t="str">
        <f t="shared" si="20"/>
        <v/>
      </c>
      <c r="AA78" s="71"/>
      <c r="AB78" s="10" t="str">
        <f t="shared" si="4"/>
        <v/>
      </c>
      <c r="AC78" s="10" t="str">
        <f t="shared" si="21"/>
        <v/>
      </c>
      <c r="AD78" s="71"/>
      <c r="AE78" s="10" t="str">
        <f t="shared" si="41"/>
        <v/>
      </c>
      <c r="AF78" s="10" t="str">
        <f t="shared" si="22"/>
        <v/>
      </c>
      <c r="AG78" s="71"/>
      <c r="AH78" s="10" t="str">
        <f t="shared" si="42"/>
        <v/>
      </c>
      <c r="AI78" s="10" t="str">
        <f t="shared" si="23"/>
        <v/>
      </c>
      <c r="AJ78" s="71"/>
      <c r="AK78" s="10" t="str">
        <f t="shared" si="24"/>
        <v/>
      </c>
      <c r="AL78" s="10" t="str">
        <f t="shared" si="25"/>
        <v/>
      </c>
      <c r="AM78" s="71"/>
      <c r="AN78" s="10" t="str">
        <f t="shared" si="43"/>
        <v/>
      </c>
      <c r="AO78" s="10" t="str">
        <f t="shared" si="26"/>
        <v/>
      </c>
      <c r="AP78" s="71"/>
      <c r="AQ78" s="10" t="str">
        <f t="shared" si="44"/>
        <v/>
      </c>
      <c r="AR78" s="10" t="str">
        <f t="shared" si="27"/>
        <v/>
      </c>
      <c r="AS78" s="71"/>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U78" s="71"/>
      <c r="AV78" s="10" t="str">
        <f t="shared" si="45"/>
        <v/>
      </c>
      <c r="AW78" s="10" t="str">
        <f t="shared" si="10"/>
        <v/>
      </c>
      <c r="AX78" s="71"/>
      <c r="AY78" s="7" t="str">
        <f>IF(ISERROR(IF($K78&lt;=$F$15,VLOOKUP($I78,'表4）CO2価格'!$A$7:$E$67,VLOOKUP($F$48,'表4）CO2価格'!$H$10:$I$12,2,0),0)*$F$8/1000,"")),0,IF($K78&lt;=$F$15,VLOOKUP($I78,'表4）CO2価格'!$A$7:$E$67,VLOOKUP($F$48,'表4）CO2価格'!$H$10:$I$12,2,0),0)*$F$8/1000,""))</f>
        <v/>
      </c>
      <c r="AZ78" s="71"/>
      <c r="BA78" s="11" t="str">
        <f t="shared" si="46"/>
        <v/>
      </c>
      <c r="BB78" s="10" t="str">
        <f t="shared" si="28"/>
        <v/>
      </c>
      <c r="BC78" s="71"/>
      <c r="BD78" s="10" t="str">
        <f t="shared" si="47"/>
        <v/>
      </c>
      <c r="BE78" s="10" t="str">
        <f t="shared" si="29"/>
        <v/>
      </c>
      <c r="BF78" s="71"/>
      <c r="BG78" s="11" t="str">
        <f t="shared" si="48"/>
        <v/>
      </c>
      <c r="BH78" s="10" t="str">
        <f t="shared" si="30"/>
        <v/>
      </c>
      <c r="BJ78" s="7" t="str">
        <f t="shared" si="31"/>
        <v/>
      </c>
      <c r="BK78" s="158" t="str">
        <f t="shared" si="32"/>
        <v/>
      </c>
      <c r="BL78" s="158" t="str">
        <f t="shared" si="14"/>
        <v/>
      </c>
      <c r="BM78" s="10"/>
      <c r="BN78" s="10" t="str">
        <f t="shared" si="33"/>
        <v/>
      </c>
      <c r="BO78" s="10" t="str">
        <f t="shared" si="34"/>
        <v/>
      </c>
      <c r="BQ78" s="10" t="str">
        <f t="shared" si="49"/>
        <v/>
      </c>
      <c r="BR78" s="10" t="str">
        <f t="shared" si="35"/>
        <v/>
      </c>
    </row>
    <row r="79" spans="2:70" x14ac:dyDescent="0.15">
      <c r="E79" s="81" t="s">
        <v>139</v>
      </c>
      <c r="F79" s="91">
        <f>Z116/$BR$116</f>
        <v>0</v>
      </c>
      <c r="G79" s="81" t="s">
        <v>132</v>
      </c>
      <c r="I79" s="38">
        <f t="shared" si="36"/>
        <v>2084</v>
      </c>
      <c r="J79" s="39"/>
      <c r="K79" s="39">
        <f t="shared" si="37"/>
        <v>65</v>
      </c>
      <c r="L79" s="39"/>
      <c r="M79" s="40">
        <f t="shared" ref="M79:M114" si="51">1/(1+($F$9/100))^K79</f>
        <v>0.14641325444882999</v>
      </c>
      <c r="N79" s="39"/>
      <c r="O79" s="72" t="str">
        <f t="shared" si="16"/>
        <v/>
      </c>
      <c r="P79" s="41" t="str">
        <f t="shared" ref="P79:P110" si="52">IF(K79&lt;=$F$15,IF(OR(P78=$F$124,P78="-"),"-",IF(O79*$F$123&gt;$F$127,$F$123,$F$124)),"")</f>
        <v/>
      </c>
      <c r="Q79" s="39"/>
      <c r="R79" s="72" t="str">
        <f t="shared" si="50"/>
        <v/>
      </c>
      <c r="S79" s="39"/>
      <c r="T79" s="72" t="str">
        <f t="shared" si="18"/>
        <v/>
      </c>
      <c r="U79" s="39"/>
      <c r="V79" s="72" t="str">
        <f t="shared" ref="V79:V114" si="53">IF(K79&lt;=$F$15,IF(K79&lt;$F$119,IF(P79="-",V78,O79*P79),IF(K79=$F$119,MIN(IF(P79="-",V78,O79*P79),O79),0)),"")</f>
        <v/>
      </c>
      <c r="W79" s="72" t="str">
        <f t="shared" si="19"/>
        <v/>
      </c>
      <c r="X79" s="39"/>
      <c r="Y79" s="72" t="str">
        <f t="shared" ref="Y79:Y114" si="54">IF($K79&lt;=$F$15,ROUNDDOWN(T79*$F$25/100,-2),"")</f>
        <v/>
      </c>
      <c r="Z79" s="72" t="str">
        <f t="shared" si="20"/>
        <v/>
      </c>
      <c r="AA79" s="39"/>
      <c r="AB79" s="72" t="str">
        <f t="shared" ref="AB79:AB114" si="55">IF($K79&lt;=$F$15,0,IF(AND($K79&gt;$F$15,$K79&lt;=$F$15+$F$28),$F$27*10^8/$F$28,""))</f>
        <v/>
      </c>
      <c r="AC79" s="72" t="str">
        <f t="shared" si="21"/>
        <v/>
      </c>
      <c r="AD79" s="39"/>
      <c r="AE79" s="72" t="str">
        <f t="shared" ref="AE79:AE114" si="56">IF($K79&lt;=$F$15,$F$26,"")</f>
        <v/>
      </c>
      <c r="AF79" s="72" t="str">
        <f t="shared" si="22"/>
        <v/>
      </c>
      <c r="AG79" s="39"/>
      <c r="AH79" s="72" t="str">
        <f t="shared" ref="AH79:AH114" si="57">IF($K79&lt;=$F$15,$F$33*10^8,"")</f>
        <v/>
      </c>
      <c r="AI79" s="72" t="str">
        <f t="shared" si="23"/>
        <v/>
      </c>
      <c r="AJ79" s="39"/>
      <c r="AK79" s="72" t="str">
        <f t="shared" si="24"/>
        <v/>
      </c>
      <c r="AL79" s="72" t="str">
        <f t="shared" si="25"/>
        <v/>
      </c>
      <c r="AM79" s="39"/>
      <c r="AN79" s="72" t="str">
        <f t="shared" ref="AN79:AN114" si="58">IF($K79&lt;=$F$15,$F$117*$F$35/100,"")</f>
        <v/>
      </c>
      <c r="AO79" s="72" t="str">
        <f t="shared" si="26"/>
        <v/>
      </c>
      <c r="AP79" s="39"/>
      <c r="AQ79" s="72" t="str">
        <f t="shared" ref="AQ79:AQ114" si="59">IF($K79&lt;=$F$15,SUM(AH79,AK79,AN79)*($F$36/100),"")</f>
        <v/>
      </c>
      <c r="AR79" s="72" t="str">
        <f t="shared" si="27"/>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60">IF($K79&lt;=$F$15,($AT79+$F$142)*$F$137,"")</f>
        <v/>
      </c>
      <c r="AW79" s="72" t="str">
        <f t="shared" ref="AW79:AW114" si="61">IF(ISNUMBER(AV79),AV79*$M79,"")</f>
        <v/>
      </c>
      <c r="AX79" s="39"/>
      <c r="AY79" s="40" t="str">
        <f>IF(ISERROR(IF($K79&lt;=$F$15,VLOOKUP($I79,'表4）CO2価格'!$A$7:$E$67,VLOOKUP($F$48,'表4）CO2価格'!$H$10:$I$12,2,0),0)*$F$8/1000,"")),0,IF($K79&lt;=$F$15,VLOOKUP($I79,'表4）CO2価格'!$A$7:$E$67,VLOOKUP($F$48,'表4）CO2価格'!$H$10:$I$12,2,0),0)*$F$8/1000,""))</f>
        <v/>
      </c>
      <c r="AZ79" s="39"/>
      <c r="BA79" s="42" t="str">
        <f t="shared" ref="BA79:BA114" si="62">IF($K79&lt;=$F$15,$F$145*AY79,"")</f>
        <v/>
      </c>
      <c r="BB79" s="72" t="str">
        <f t="shared" si="28"/>
        <v/>
      </c>
      <c r="BC79" s="39"/>
      <c r="BD79" s="72" t="str">
        <f t="shared" ref="BD79:BD114" si="63">IF($K79&lt;=$F$15,($AT79+$F$152)*$F$151,"")</f>
        <v/>
      </c>
      <c r="BE79" s="72" t="str">
        <f t="shared" si="29"/>
        <v/>
      </c>
      <c r="BF79" s="39"/>
      <c r="BG79" s="42" t="str">
        <f t="shared" ref="BG79:BG114" si="64">IF($K79&lt;=$F$15,$F$153*AY79,"")</f>
        <v/>
      </c>
      <c r="BH79" s="72" t="str">
        <f t="shared" si="30"/>
        <v/>
      </c>
      <c r="BI79" s="39"/>
      <c r="BJ79" s="40" t="str">
        <f t="shared" si="31"/>
        <v/>
      </c>
      <c r="BK79" s="157" t="str">
        <f t="shared" si="32"/>
        <v/>
      </c>
      <c r="BL79" s="157" t="str">
        <f t="shared" ref="BL79:BL114" si="65">IF(AND(ISNUMBER(BJ79),$K79&lt;=$F$16),BQ79*BJ79,"")</f>
        <v/>
      </c>
      <c r="BM79" s="72"/>
      <c r="BN79" s="72" t="str">
        <f t="shared" si="33"/>
        <v/>
      </c>
      <c r="BO79" s="72" t="str">
        <f t="shared" si="34"/>
        <v/>
      </c>
      <c r="BP79" s="39"/>
      <c r="BQ79" s="72" t="str">
        <f t="shared" ref="BQ79:BQ114" si="66">IF($K79&lt;=$F$15,$F$134,"")</f>
        <v/>
      </c>
      <c r="BR79" s="72" t="str">
        <f t="shared" si="35"/>
        <v/>
      </c>
    </row>
    <row r="80" spans="2:70" x14ac:dyDescent="0.15">
      <c r="E80" s="81" t="s">
        <v>115</v>
      </c>
      <c r="F80" s="91">
        <f>AF116/$BR$116</f>
        <v>0</v>
      </c>
      <c r="G80" s="81" t="s">
        <v>132</v>
      </c>
      <c r="I80" s="322">
        <f t="shared" si="36"/>
        <v>2085</v>
      </c>
      <c r="J80" s="71"/>
      <c r="K80" s="71">
        <f t="shared" si="37"/>
        <v>66</v>
      </c>
      <c r="L80" s="71"/>
      <c r="M80" s="7">
        <f t="shared" si="51"/>
        <v>0.14214879072701941</v>
      </c>
      <c r="N80" s="71"/>
      <c r="O80" s="10" t="str">
        <f t="shared" ref="O80:O114" si="67">IF(K80&lt;=$F$15,O79-V79,"")</f>
        <v/>
      </c>
      <c r="P80" s="29" t="str">
        <f t="shared" si="52"/>
        <v/>
      </c>
      <c r="Q80" s="71"/>
      <c r="R80" s="10" t="str">
        <f t="shared" ref="R80:R114" si="68">IF($K80&lt;=$F$15,MAX($F$117*5%,R79*$F$129),"")</f>
        <v/>
      </c>
      <c r="S80" s="71"/>
      <c r="T80" s="10" t="str">
        <f t="shared" ref="T80:T114" si="69">IF(ISNUMBER(R80),ROUNDDOWN(R80,-3),"")</f>
        <v/>
      </c>
      <c r="U80" s="71"/>
      <c r="V80" s="10" t="str">
        <f t="shared" si="53"/>
        <v/>
      </c>
      <c r="W80" s="10" t="str">
        <f t="shared" ref="W80:W114" si="70">IF(ISNUMBER(V80),V80*$M80,"")</f>
        <v/>
      </c>
      <c r="X80" s="71"/>
      <c r="Y80" s="10" t="str">
        <f t="shared" si="54"/>
        <v/>
      </c>
      <c r="Z80" s="10" t="str">
        <f t="shared" ref="Z80:Z114" si="71">IF(ISNUMBER(Y80),Y80*$M80,"")</f>
        <v/>
      </c>
      <c r="AA80" s="71"/>
      <c r="AB80" s="10" t="str">
        <f t="shared" si="55"/>
        <v/>
      </c>
      <c r="AC80" s="10" t="str">
        <f t="shared" ref="AC80:AC114" si="72">IF(ISNUMBER(AB80),AB80*$M80,"")</f>
        <v/>
      </c>
      <c r="AD80" s="71"/>
      <c r="AE80" s="10" t="str">
        <f t="shared" si="56"/>
        <v/>
      </c>
      <c r="AF80" s="10" t="str">
        <f t="shared" ref="AF80:AF114" si="73">IF(ISNUMBER(AE80),AE80*$M80,"")</f>
        <v/>
      </c>
      <c r="AG80" s="71"/>
      <c r="AH80" s="10" t="str">
        <f t="shared" si="57"/>
        <v/>
      </c>
      <c r="AI80" s="10" t="str">
        <f t="shared" ref="AI80:AI114" si="74">IF(ISNUMBER(AH80),AH80*$M80,"")</f>
        <v/>
      </c>
      <c r="AJ80" s="71"/>
      <c r="AK80" s="10" t="str">
        <f t="shared" ref="AK80:AK114" si="75">IF($K80&lt;=$F$15,$F$34*10^4*$F$13*10^4,"")</f>
        <v/>
      </c>
      <c r="AL80" s="10" t="str">
        <f t="shared" ref="AL80:AL114" si="76">IF(ISNUMBER(AK80),AK80*$M80,"")</f>
        <v/>
      </c>
      <c r="AM80" s="71"/>
      <c r="AN80" s="10" t="str">
        <f t="shared" si="58"/>
        <v/>
      </c>
      <c r="AO80" s="10" t="str">
        <f t="shared" ref="AO80:AO114" si="77">IF(ISNUMBER(AN80),AN80*$M80,"")</f>
        <v/>
      </c>
      <c r="AP80" s="71"/>
      <c r="AQ80" s="10" t="str">
        <f t="shared" si="59"/>
        <v/>
      </c>
      <c r="AR80" s="10" t="str">
        <f t="shared" ref="AR80:AR114" si="78">IF(ISNUMBER(AQ80),AQ80*$M80,"")</f>
        <v/>
      </c>
      <c r="AS80" s="71"/>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U80" s="71"/>
      <c r="AV80" s="10" t="str">
        <f t="shared" si="60"/>
        <v/>
      </c>
      <c r="AW80" s="10" t="str">
        <f t="shared" si="61"/>
        <v/>
      </c>
      <c r="AX80" s="71"/>
      <c r="AY80" s="7" t="str">
        <f>IF(ISERROR(IF($K80&lt;=$F$15,VLOOKUP($I80,'表4）CO2価格'!$A$7:$E$67,VLOOKUP($F$48,'表4）CO2価格'!$H$10:$I$12,2,0),0)*$F$8/1000,"")),0,IF($K80&lt;=$F$15,VLOOKUP($I80,'表4）CO2価格'!$A$7:$E$67,VLOOKUP($F$48,'表4）CO2価格'!$H$10:$I$12,2,0),0)*$F$8/1000,""))</f>
        <v/>
      </c>
      <c r="AZ80" s="71"/>
      <c r="BA80" s="11" t="str">
        <f t="shared" si="62"/>
        <v/>
      </c>
      <c r="BB80" s="10" t="str">
        <f t="shared" ref="BB80:BB114" si="79">IF(ISNUMBER(BA80),BA80*$M80,"")</f>
        <v/>
      </c>
      <c r="BC80" s="71"/>
      <c r="BD80" s="10" t="str">
        <f t="shared" si="63"/>
        <v/>
      </c>
      <c r="BE80" s="10" t="str">
        <f t="shared" ref="BE80:BE114" si="80">IF(ISNUMBER(BD80),BD80*$M80,"")</f>
        <v/>
      </c>
      <c r="BF80" s="71"/>
      <c r="BG80" s="11" t="str">
        <f t="shared" si="64"/>
        <v/>
      </c>
      <c r="BH80" s="10" t="str">
        <f t="shared" ref="BH80:BH114" si="81">IF(ISNUMBER(BG80),BG80*$M80,"")</f>
        <v/>
      </c>
      <c r="BJ80" s="7" t="str">
        <f t="shared" ref="BJ80:BJ114" si="82">IF(ISNUMBER($F$16),IF($K80&lt;=$F$16+$F$28,1/(1+($F$17/100))^K80,""),"")</f>
        <v/>
      </c>
      <c r="BK80" s="158" t="str">
        <f t="shared" ref="BK80:BK114" si="83">IF(ISNUMBER($F$16),IF($K80&lt;=$F$16+$F$28,IF($K80&lt;=$F$16,SUM(Y80,AB80,AE80,AH80,AK80,AN80,AQ80,AV80,BA80,BD80,BG80),$F$27/$F$28*10^8)*BJ80,""),"")</f>
        <v/>
      </c>
      <c r="BL80" s="158" t="str">
        <f t="shared" si="65"/>
        <v/>
      </c>
      <c r="BM80" s="10"/>
      <c r="BN80" s="10" t="str">
        <f t="shared" ref="BN80:BN114" si="84">IF(AND(ISNUMBER($F$16),$K80&lt;=$F$16),BQ80*($O$15+$BK$116)/$BL$116,"")</f>
        <v/>
      </c>
      <c r="BO80" s="10" t="str">
        <f t="shared" ref="BO80:BO114" si="85">IF(ISNUMBER(BN80),BN80*$M80,"")</f>
        <v/>
      </c>
      <c r="BQ80" s="10" t="str">
        <f t="shared" si="66"/>
        <v/>
      </c>
      <c r="BR80" s="10" t="str">
        <f t="shared" ref="BR80:BR114" si="86">IF(ISNUMBER(BQ80),BQ80*$M80,"")</f>
        <v/>
      </c>
    </row>
    <row r="81" spans="4:70" x14ac:dyDescent="0.15">
      <c r="E81" s="82" t="s">
        <v>86</v>
      </c>
      <c r="F81" s="91">
        <f>AC116/$BR$116</f>
        <v>0.87831927072981675</v>
      </c>
      <c r="G81" s="81" t="s">
        <v>132</v>
      </c>
      <c r="I81" s="38">
        <f t="shared" ref="I81:I114" si="87">I80+1</f>
        <v>2086</v>
      </c>
      <c r="J81" s="39"/>
      <c r="K81" s="39">
        <f t="shared" ref="K81:K114" si="88">IF(I81&lt;&gt;"",K80+1,"")</f>
        <v>67</v>
      </c>
      <c r="L81" s="39"/>
      <c r="M81" s="40">
        <f t="shared" si="51"/>
        <v>0.1380085346864266</v>
      </c>
      <c r="N81" s="39"/>
      <c r="O81" s="72" t="str">
        <f t="shared" si="67"/>
        <v/>
      </c>
      <c r="P81" s="41" t="str">
        <f t="shared" si="52"/>
        <v/>
      </c>
      <c r="Q81" s="39"/>
      <c r="R81" s="72" t="str">
        <f t="shared" si="68"/>
        <v/>
      </c>
      <c r="S81" s="39"/>
      <c r="T81" s="72" t="str">
        <f t="shared" si="69"/>
        <v/>
      </c>
      <c r="U81" s="39"/>
      <c r="V81" s="72" t="str">
        <f t="shared" si="53"/>
        <v/>
      </c>
      <c r="W81" s="72" t="str">
        <f t="shared" si="70"/>
        <v/>
      </c>
      <c r="X81" s="39"/>
      <c r="Y81" s="72" t="str">
        <f t="shared" si="54"/>
        <v/>
      </c>
      <c r="Z81" s="72" t="str">
        <f t="shared" si="71"/>
        <v/>
      </c>
      <c r="AA81" s="39"/>
      <c r="AB81" s="72" t="str">
        <f t="shared" si="55"/>
        <v/>
      </c>
      <c r="AC81" s="72" t="str">
        <f t="shared" si="72"/>
        <v/>
      </c>
      <c r="AD81" s="39"/>
      <c r="AE81" s="72" t="str">
        <f t="shared" si="56"/>
        <v/>
      </c>
      <c r="AF81" s="72" t="str">
        <f t="shared" si="73"/>
        <v/>
      </c>
      <c r="AG81" s="39"/>
      <c r="AH81" s="72" t="str">
        <f t="shared" si="57"/>
        <v/>
      </c>
      <c r="AI81" s="72" t="str">
        <f t="shared" si="74"/>
        <v/>
      </c>
      <c r="AJ81" s="39"/>
      <c r="AK81" s="72" t="str">
        <f t="shared" si="75"/>
        <v/>
      </c>
      <c r="AL81" s="72" t="str">
        <f t="shared" si="76"/>
        <v/>
      </c>
      <c r="AM81" s="39"/>
      <c r="AN81" s="72" t="str">
        <f t="shared" si="58"/>
        <v/>
      </c>
      <c r="AO81" s="72" t="str">
        <f t="shared" si="77"/>
        <v/>
      </c>
      <c r="AP81" s="39"/>
      <c r="AQ81" s="72" t="str">
        <f t="shared" si="59"/>
        <v/>
      </c>
      <c r="AR81" s="72" t="str">
        <f t="shared" si="78"/>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60"/>
        <v/>
      </c>
      <c r="AW81" s="72" t="str">
        <f t="shared" si="61"/>
        <v/>
      </c>
      <c r="AX81" s="39"/>
      <c r="AY81" s="40" t="str">
        <f>IF(ISERROR(IF($K81&lt;=$F$15,VLOOKUP($I81,'表4）CO2価格'!$A$7:$E$67,VLOOKUP($F$48,'表4）CO2価格'!$H$10:$I$12,2,0),0)*$F$8/1000,"")),0,IF($K81&lt;=$F$15,VLOOKUP($I81,'表4）CO2価格'!$A$7:$E$67,VLOOKUP($F$48,'表4）CO2価格'!$H$10:$I$12,2,0),0)*$F$8/1000,""))</f>
        <v/>
      </c>
      <c r="AZ81" s="39"/>
      <c r="BA81" s="42" t="str">
        <f t="shared" si="62"/>
        <v/>
      </c>
      <c r="BB81" s="72" t="str">
        <f t="shared" si="79"/>
        <v/>
      </c>
      <c r="BC81" s="39"/>
      <c r="BD81" s="72" t="str">
        <f t="shared" si="63"/>
        <v/>
      </c>
      <c r="BE81" s="72" t="str">
        <f t="shared" si="80"/>
        <v/>
      </c>
      <c r="BF81" s="39"/>
      <c r="BG81" s="42" t="str">
        <f t="shared" si="64"/>
        <v/>
      </c>
      <c r="BH81" s="72" t="str">
        <f t="shared" si="81"/>
        <v/>
      </c>
      <c r="BI81" s="39"/>
      <c r="BJ81" s="40" t="str">
        <f t="shared" si="82"/>
        <v/>
      </c>
      <c r="BK81" s="157" t="str">
        <f t="shared" si="83"/>
        <v/>
      </c>
      <c r="BL81" s="157" t="str">
        <f t="shared" si="65"/>
        <v/>
      </c>
      <c r="BM81" s="72"/>
      <c r="BN81" s="72" t="str">
        <f t="shared" si="84"/>
        <v/>
      </c>
      <c r="BO81" s="72" t="str">
        <f t="shared" si="85"/>
        <v/>
      </c>
      <c r="BP81" s="39"/>
      <c r="BQ81" s="72" t="str">
        <f t="shared" si="66"/>
        <v/>
      </c>
      <c r="BR81" s="72" t="str">
        <f t="shared" si="86"/>
        <v/>
      </c>
    </row>
    <row r="82" spans="4:70" x14ac:dyDescent="0.15">
      <c r="F82" s="93"/>
      <c r="I82" s="322">
        <f t="shared" si="87"/>
        <v>2087</v>
      </c>
      <c r="J82" s="71"/>
      <c r="K82" s="71">
        <f t="shared" si="88"/>
        <v>68</v>
      </c>
      <c r="L82" s="71"/>
      <c r="M82" s="7">
        <f t="shared" si="51"/>
        <v>0.13398886862759865</v>
      </c>
      <c r="N82" s="71"/>
      <c r="O82" s="10" t="str">
        <f t="shared" si="67"/>
        <v/>
      </c>
      <c r="P82" s="29" t="str">
        <f t="shared" si="52"/>
        <v/>
      </c>
      <c r="Q82" s="71"/>
      <c r="R82" s="10" t="str">
        <f t="shared" si="68"/>
        <v/>
      </c>
      <c r="S82" s="71"/>
      <c r="T82" s="10" t="str">
        <f t="shared" si="69"/>
        <v/>
      </c>
      <c r="U82" s="71"/>
      <c r="V82" s="10" t="str">
        <f t="shared" si="53"/>
        <v/>
      </c>
      <c r="W82" s="10" t="str">
        <f t="shared" si="70"/>
        <v/>
      </c>
      <c r="X82" s="71"/>
      <c r="Y82" s="10" t="str">
        <f t="shared" si="54"/>
        <v/>
      </c>
      <c r="Z82" s="10" t="str">
        <f t="shared" si="71"/>
        <v/>
      </c>
      <c r="AA82" s="71"/>
      <c r="AB82" s="10" t="str">
        <f t="shared" si="55"/>
        <v/>
      </c>
      <c r="AC82" s="10" t="str">
        <f t="shared" si="72"/>
        <v/>
      </c>
      <c r="AD82" s="71"/>
      <c r="AE82" s="10" t="str">
        <f t="shared" si="56"/>
        <v/>
      </c>
      <c r="AF82" s="10" t="str">
        <f t="shared" si="73"/>
        <v/>
      </c>
      <c r="AG82" s="71"/>
      <c r="AH82" s="10" t="str">
        <f t="shared" si="57"/>
        <v/>
      </c>
      <c r="AI82" s="10" t="str">
        <f t="shared" si="74"/>
        <v/>
      </c>
      <c r="AJ82" s="71"/>
      <c r="AK82" s="10" t="str">
        <f t="shared" si="75"/>
        <v/>
      </c>
      <c r="AL82" s="10" t="str">
        <f t="shared" si="76"/>
        <v/>
      </c>
      <c r="AM82" s="71"/>
      <c r="AN82" s="10" t="str">
        <f t="shared" si="58"/>
        <v/>
      </c>
      <c r="AO82" s="10" t="str">
        <f t="shared" si="77"/>
        <v/>
      </c>
      <c r="AP82" s="71"/>
      <c r="AQ82" s="10" t="str">
        <f t="shared" si="59"/>
        <v/>
      </c>
      <c r="AR82" s="10" t="str">
        <f t="shared" si="78"/>
        <v/>
      </c>
      <c r="AS82" s="71"/>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U82" s="71"/>
      <c r="AV82" s="10" t="str">
        <f t="shared" si="60"/>
        <v/>
      </c>
      <c r="AW82" s="10" t="str">
        <f t="shared" si="61"/>
        <v/>
      </c>
      <c r="AX82" s="71"/>
      <c r="AY82" s="7" t="str">
        <f>IF(ISERROR(IF($K82&lt;=$F$15,VLOOKUP($I82,'表4）CO2価格'!$A$7:$E$67,VLOOKUP($F$48,'表4）CO2価格'!$H$10:$I$12,2,0),0)*$F$8/1000,"")),0,IF($K82&lt;=$F$15,VLOOKUP($I82,'表4）CO2価格'!$A$7:$E$67,VLOOKUP($F$48,'表4）CO2価格'!$H$10:$I$12,2,0),0)*$F$8/1000,""))</f>
        <v/>
      </c>
      <c r="AZ82" s="71"/>
      <c r="BA82" s="11" t="str">
        <f t="shared" si="62"/>
        <v/>
      </c>
      <c r="BB82" s="10" t="str">
        <f t="shared" si="79"/>
        <v/>
      </c>
      <c r="BC82" s="71"/>
      <c r="BD82" s="10" t="str">
        <f t="shared" si="63"/>
        <v/>
      </c>
      <c r="BE82" s="10" t="str">
        <f t="shared" si="80"/>
        <v/>
      </c>
      <c r="BF82" s="71"/>
      <c r="BG82" s="11" t="str">
        <f t="shared" si="64"/>
        <v/>
      </c>
      <c r="BH82" s="10" t="str">
        <f t="shared" si="81"/>
        <v/>
      </c>
      <c r="BJ82" s="7" t="str">
        <f t="shared" si="82"/>
        <v/>
      </c>
      <c r="BK82" s="158" t="str">
        <f t="shared" si="83"/>
        <v/>
      </c>
      <c r="BL82" s="158" t="str">
        <f t="shared" si="65"/>
        <v/>
      </c>
      <c r="BM82" s="10"/>
      <c r="BN82" s="10" t="str">
        <f t="shared" si="84"/>
        <v/>
      </c>
      <c r="BO82" s="10" t="str">
        <f t="shared" si="85"/>
        <v/>
      </c>
      <c r="BQ82" s="10" t="str">
        <f t="shared" si="66"/>
        <v/>
      </c>
      <c r="BR82" s="10" t="str">
        <f t="shared" si="86"/>
        <v/>
      </c>
    </row>
    <row r="83" spans="4:70" ht="15" x14ac:dyDescent="0.15">
      <c r="D83" s="116" t="s">
        <v>194</v>
      </c>
      <c r="F83" s="94">
        <f>SUBTOTAL(9,F87:F90)</f>
        <v>1.2456166906329622</v>
      </c>
      <c r="G83" s="81" t="s">
        <v>132</v>
      </c>
      <c r="I83" s="38">
        <f>I82+1</f>
        <v>2088</v>
      </c>
      <c r="J83" s="39"/>
      <c r="K83" s="39">
        <f>IF(I83&lt;&gt;"",K82+1,"")</f>
        <v>69</v>
      </c>
      <c r="L83" s="39"/>
      <c r="M83" s="40">
        <f t="shared" si="51"/>
        <v>0.13008628022096957</v>
      </c>
      <c r="N83" s="39"/>
      <c r="O83" s="72" t="str">
        <f t="shared" si="67"/>
        <v/>
      </c>
      <c r="P83" s="41" t="str">
        <f t="shared" si="52"/>
        <v/>
      </c>
      <c r="Q83" s="39"/>
      <c r="R83" s="72" t="str">
        <f t="shared" si="68"/>
        <v/>
      </c>
      <c r="S83" s="39"/>
      <c r="T83" s="72" t="str">
        <f t="shared" si="69"/>
        <v/>
      </c>
      <c r="U83" s="39"/>
      <c r="V83" s="72" t="str">
        <f t="shared" si="53"/>
        <v/>
      </c>
      <c r="W83" s="72" t="str">
        <f t="shared" si="70"/>
        <v/>
      </c>
      <c r="X83" s="39"/>
      <c r="Y83" s="72" t="str">
        <f t="shared" si="54"/>
        <v/>
      </c>
      <c r="Z83" s="72" t="str">
        <f t="shared" si="71"/>
        <v/>
      </c>
      <c r="AA83" s="39"/>
      <c r="AB83" s="72" t="str">
        <f t="shared" si="55"/>
        <v/>
      </c>
      <c r="AC83" s="72" t="str">
        <f t="shared" si="72"/>
        <v/>
      </c>
      <c r="AD83" s="39"/>
      <c r="AE83" s="72" t="str">
        <f t="shared" si="56"/>
        <v/>
      </c>
      <c r="AF83" s="72" t="str">
        <f t="shared" si="73"/>
        <v/>
      </c>
      <c r="AG83" s="39"/>
      <c r="AH83" s="72" t="str">
        <f t="shared" si="57"/>
        <v/>
      </c>
      <c r="AI83" s="72" t="str">
        <f t="shared" si="74"/>
        <v/>
      </c>
      <c r="AJ83" s="39"/>
      <c r="AK83" s="72" t="str">
        <f t="shared" si="75"/>
        <v/>
      </c>
      <c r="AL83" s="72" t="str">
        <f t="shared" si="76"/>
        <v/>
      </c>
      <c r="AM83" s="39"/>
      <c r="AN83" s="72" t="str">
        <f t="shared" si="58"/>
        <v/>
      </c>
      <c r="AO83" s="72" t="str">
        <f t="shared" si="77"/>
        <v/>
      </c>
      <c r="AP83" s="39"/>
      <c r="AQ83" s="72" t="str">
        <f t="shared" si="59"/>
        <v/>
      </c>
      <c r="AR83" s="72" t="str">
        <f t="shared" si="78"/>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60"/>
        <v/>
      </c>
      <c r="AW83" s="72" t="str">
        <f t="shared" si="61"/>
        <v/>
      </c>
      <c r="AX83" s="39"/>
      <c r="AY83" s="40" t="str">
        <f>IF(ISERROR(IF($K83&lt;=$F$15,VLOOKUP($I83,'表4）CO2価格'!$A$7:$E$67,VLOOKUP($F$48,'表4）CO2価格'!$H$10:$I$12,2,0),0)*$F$8/1000,"")),0,IF($K83&lt;=$F$15,VLOOKUP($I83,'表4）CO2価格'!$A$7:$E$67,VLOOKUP($F$48,'表4）CO2価格'!$H$10:$I$12,2,0),0)*$F$8/1000,""))</f>
        <v/>
      </c>
      <c r="AZ83" s="39"/>
      <c r="BA83" s="42" t="str">
        <f t="shared" si="62"/>
        <v/>
      </c>
      <c r="BB83" s="72" t="str">
        <f t="shared" si="79"/>
        <v/>
      </c>
      <c r="BC83" s="39"/>
      <c r="BD83" s="72" t="str">
        <f t="shared" si="63"/>
        <v/>
      </c>
      <c r="BE83" s="72" t="str">
        <f t="shared" si="80"/>
        <v/>
      </c>
      <c r="BF83" s="39"/>
      <c r="BG83" s="42" t="str">
        <f t="shared" si="64"/>
        <v/>
      </c>
      <c r="BH83" s="72" t="str">
        <f t="shared" si="81"/>
        <v/>
      </c>
      <c r="BI83" s="39"/>
      <c r="BJ83" s="40" t="str">
        <f t="shared" si="82"/>
        <v/>
      </c>
      <c r="BK83" s="157" t="str">
        <f t="shared" si="83"/>
        <v/>
      </c>
      <c r="BL83" s="157" t="str">
        <f t="shared" si="65"/>
        <v/>
      </c>
      <c r="BM83" s="72"/>
      <c r="BN83" s="72" t="str">
        <f t="shared" si="84"/>
        <v/>
      </c>
      <c r="BO83" s="72" t="str">
        <f t="shared" si="85"/>
        <v/>
      </c>
      <c r="BP83" s="39"/>
      <c r="BQ83" s="72" t="str">
        <f t="shared" si="66"/>
        <v/>
      </c>
      <c r="BR83" s="72" t="str">
        <f t="shared" si="86"/>
        <v/>
      </c>
    </row>
    <row r="84" spans="4:70" x14ac:dyDescent="0.15">
      <c r="F84" s="93"/>
      <c r="I84" s="322">
        <f t="shared" si="87"/>
        <v>2089</v>
      </c>
      <c r="J84" s="71"/>
      <c r="K84" s="71">
        <f t="shared" si="88"/>
        <v>70</v>
      </c>
      <c r="L84" s="71"/>
      <c r="M84" s="7">
        <f t="shared" si="51"/>
        <v>0.12629735943783454</v>
      </c>
      <c r="N84" s="71"/>
      <c r="O84" s="10" t="str">
        <f t="shared" si="67"/>
        <v/>
      </c>
      <c r="P84" s="29" t="str">
        <f t="shared" si="52"/>
        <v/>
      </c>
      <c r="Q84" s="71"/>
      <c r="R84" s="10" t="str">
        <f t="shared" si="68"/>
        <v/>
      </c>
      <c r="S84" s="71"/>
      <c r="T84" s="10" t="str">
        <f t="shared" si="69"/>
        <v/>
      </c>
      <c r="U84" s="71"/>
      <c r="V84" s="10" t="str">
        <f t="shared" si="53"/>
        <v/>
      </c>
      <c r="W84" s="10" t="str">
        <f t="shared" si="70"/>
        <v/>
      </c>
      <c r="X84" s="71"/>
      <c r="Y84" s="10" t="str">
        <f t="shared" si="54"/>
        <v/>
      </c>
      <c r="Z84" s="10" t="str">
        <f t="shared" si="71"/>
        <v/>
      </c>
      <c r="AA84" s="71"/>
      <c r="AB84" s="10" t="str">
        <f t="shared" si="55"/>
        <v/>
      </c>
      <c r="AC84" s="10" t="str">
        <f t="shared" si="72"/>
        <v/>
      </c>
      <c r="AD84" s="71"/>
      <c r="AE84" s="10" t="str">
        <f t="shared" si="56"/>
        <v/>
      </c>
      <c r="AF84" s="10" t="str">
        <f t="shared" si="73"/>
        <v/>
      </c>
      <c r="AG84" s="71"/>
      <c r="AH84" s="10" t="str">
        <f t="shared" si="57"/>
        <v/>
      </c>
      <c r="AI84" s="10" t="str">
        <f t="shared" si="74"/>
        <v/>
      </c>
      <c r="AJ84" s="71"/>
      <c r="AK84" s="10" t="str">
        <f t="shared" si="75"/>
        <v/>
      </c>
      <c r="AL84" s="10" t="str">
        <f t="shared" si="76"/>
        <v/>
      </c>
      <c r="AM84" s="71"/>
      <c r="AN84" s="10" t="str">
        <f t="shared" si="58"/>
        <v/>
      </c>
      <c r="AO84" s="10" t="str">
        <f t="shared" si="77"/>
        <v/>
      </c>
      <c r="AP84" s="71"/>
      <c r="AQ84" s="10" t="str">
        <f t="shared" si="59"/>
        <v/>
      </c>
      <c r="AR84" s="10" t="str">
        <f t="shared" si="78"/>
        <v/>
      </c>
      <c r="AS84" s="71"/>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U84" s="71"/>
      <c r="AV84" s="10" t="str">
        <f t="shared" si="60"/>
        <v/>
      </c>
      <c r="AW84" s="10" t="str">
        <f t="shared" si="61"/>
        <v/>
      </c>
      <c r="AX84" s="71"/>
      <c r="AY84" s="7" t="str">
        <f>IF(ISERROR(IF($K84&lt;=$F$15,VLOOKUP($I84,'表4）CO2価格'!$A$7:$E$67,VLOOKUP($F$48,'表4）CO2価格'!$H$10:$I$12,2,0),0)*$F$8/1000,"")),0,IF($K84&lt;=$F$15,VLOOKUP($I84,'表4）CO2価格'!$A$7:$E$67,VLOOKUP($F$48,'表4）CO2価格'!$H$10:$I$12,2,0),0)*$F$8/1000,""))</f>
        <v/>
      </c>
      <c r="AZ84" s="71"/>
      <c r="BA84" s="11" t="str">
        <f t="shared" si="62"/>
        <v/>
      </c>
      <c r="BB84" s="10" t="str">
        <f t="shared" si="79"/>
        <v/>
      </c>
      <c r="BC84" s="71"/>
      <c r="BD84" s="10" t="str">
        <f t="shared" si="63"/>
        <v/>
      </c>
      <c r="BE84" s="10" t="str">
        <f t="shared" si="80"/>
        <v/>
      </c>
      <c r="BF84" s="71"/>
      <c r="BG84" s="11" t="str">
        <f t="shared" si="64"/>
        <v/>
      </c>
      <c r="BH84" s="10" t="str">
        <f t="shared" si="81"/>
        <v/>
      </c>
      <c r="BJ84" s="7" t="str">
        <f t="shared" si="82"/>
        <v/>
      </c>
      <c r="BK84" s="158" t="str">
        <f t="shared" si="83"/>
        <v/>
      </c>
      <c r="BL84" s="158" t="str">
        <f t="shared" si="65"/>
        <v/>
      </c>
      <c r="BM84" s="10"/>
      <c r="BN84" s="10" t="str">
        <f t="shared" si="84"/>
        <v/>
      </c>
      <c r="BO84" s="10" t="str">
        <f t="shared" si="85"/>
        <v/>
      </c>
      <c r="BQ84" s="10" t="str">
        <f t="shared" si="66"/>
        <v/>
      </c>
      <c r="BR84" s="10" t="str">
        <f t="shared" si="86"/>
        <v/>
      </c>
    </row>
    <row r="85" spans="4:70" x14ac:dyDescent="0.15">
      <c r="D85" s="101" t="s">
        <v>195</v>
      </c>
      <c r="E85" s="113"/>
      <c r="F85" s="92"/>
      <c r="G85" s="101"/>
      <c r="I85" s="38">
        <f t="shared" si="87"/>
        <v>2090</v>
      </c>
      <c r="J85" s="39"/>
      <c r="K85" s="39">
        <f t="shared" si="88"/>
        <v>71</v>
      </c>
      <c r="L85" s="39"/>
      <c r="M85" s="40">
        <f t="shared" si="51"/>
        <v>0.12261879557071313</v>
      </c>
      <c r="N85" s="39"/>
      <c r="O85" s="72" t="str">
        <f t="shared" si="67"/>
        <v/>
      </c>
      <c r="P85" s="41" t="str">
        <f t="shared" si="52"/>
        <v/>
      </c>
      <c r="Q85" s="39"/>
      <c r="R85" s="72" t="str">
        <f t="shared" si="68"/>
        <v/>
      </c>
      <c r="S85" s="39"/>
      <c r="T85" s="72" t="str">
        <f t="shared" si="69"/>
        <v/>
      </c>
      <c r="U85" s="39"/>
      <c r="V85" s="72" t="str">
        <f t="shared" si="53"/>
        <v/>
      </c>
      <c r="W85" s="72" t="str">
        <f t="shared" si="70"/>
        <v/>
      </c>
      <c r="X85" s="39"/>
      <c r="Y85" s="72" t="str">
        <f t="shared" si="54"/>
        <v/>
      </c>
      <c r="Z85" s="72" t="str">
        <f t="shared" si="71"/>
        <v/>
      </c>
      <c r="AA85" s="39"/>
      <c r="AB85" s="72" t="str">
        <f t="shared" si="55"/>
        <v/>
      </c>
      <c r="AC85" s="72" t="str">
        <f t="shared" si="72"/>
        <v/>
      </c>
      <c r="AD85" s="39"/>
      <c r="AE85" s="72" t="str">
        <f t="shared" si="56"/>
        <v/>
      </c>
      <c r="AF85" s="72" t="str">
        <f t="shared" si="73"/>
        <v/>
      </c>
      <c r="AG85" s="39"/>
      <c r="AH85" s="72" t="str">
        <f t="shared" si="57"/>
        <v/>
      </c>
      <c r="AI85" s="72" t="str">
        <f t="shared" si="74"/>
        <v/>
      </c>
      <c r="AJ85" s="39"/>
      <c r="AK85" s="72" t="str">
        <f t="shared" si="75"/>
        <v/>
      </c>
      <c r="AL85" s="72" t="str">
        <f t="shared" si="76"/>
        <v/>
      </c>
      <c r="AM85" s="39"/>
      <c r="AN85" s="72" t="str">
        <f t="shared" si="58"/>
        <v/>
      </c>
      <c r="AO85" s="72" t="str">
        <f t="shared" si="77"/>
        <v/>
      </c>
      <c r="AP85" s="39"/>
      <c r="AQ85" s="72" t="str">
        <f t="shared" si="59"/>
        <v/>
      </c>
      <c r="AR85" s="72" t="str">
        <f t="shared" si="78"/>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60"/>
        <v/>
      </c>
      <c r="AW85" s="72" t="str">
        <f t="shared" si="61"/>
        <v/>
      </c>
      <c r="AX85" s="39"/>
      <c r="AY85" s="40" t="str">
        <f>IF(ISERROR(IF($K85&lt;=$F$15,VLOOKUP($I85,'表4）CO2価格'!$A$7:$E$67,VLOOKUP($F$48,'表4）CO2価格'!$H$10:$I$12,2,0),0)*$F$8/1000,"")),0,IF($K85&lt;=$F$15,VLOOKUP($I85,'表4）CO2価格'!$A$7:$E$67,VLOOKUP($F$48,'表4）CO2価格'!$H$10:$I$12,2,0),0)*$F$8/1000,""))</f>
        <v/>
      </c>
      <c r="AZ85" s="39"/>
      <c r="BA85" s="42" t="str">
        <f t="shared" si="62"/>
        <v/>
      </c>
      <c r="BB85" s="72" t="str">
        <f t="shared" si="79"/>
        <v/>
      </c>
      <c r="BC85" s="39"/>
      <c r="BD85" s="72" t="str">
        <f t="shared" si="63"/>
        <v/>
      </c>
      <c r="BE85" s="72" t="str">
        <f t="shared" si="80"/>
        <v/>
      </c>
      <c r="BF85" s="39"/>
      <c r="BG85" s="42" t="str">
        <f t="shared" si="64"/>
        <v/>
      </c>
      <c r="BH85" s="72" t="str">
        <f t="shared" si="81"/>
        <v/>
      </c>
      <c r="BI85" s="39"/>
      <c r="BJ85" s="40" t="str">
        <f t="shared" si="82"/>
        <v/>
      </c>
      <c r="BK85" s="157" t="str">
        <f t="shared" si="83"/>
        <v/>
      </c>
      <c r="BL85" s="157" t="str">
        <f t="shared" si="65"/>
        <v/>
      </c>
      <c r="BM85" s="72"/>
      <c r="BN85" s="72" t="str">
        <f t="shared" si="84"/>
        <v/>
      </c>
      <c r="BO85" s="72" t="str">
        <f t="shared" si="85"/>
        <v/>
      </c>
      <c r="BP85" s="39"/>
      <c r="BQ85" s="72" t="str">
        <f t="shared" si="66"/>
        <v/>
      </c>
      <c r="BR85" s="72" t="str">
        <f t="shared" si="86"/>
        <v/>
      </c>
    </row>
    <row r="86" spans="4:70" x14ac:dyDescent="0.15">
      <c r="F86" s="93"/>
      <c r="I86" s="322">
        <f t="shared" si="87"/>
        <v>2091</v>
      </c>
      <c r="J86" s="71"/>
      <c r="K86" s="71">
        <f t="shared" si="88"/>
        <v>72</v>
      </c>
      <c r="L86" s="71"/>
      <c r="M86" s="7">
        <f t="shared" si="51"/>
        <v>0.1190473743404982</v>
      </c>
      <c r="N86" s="71"/>
      <c r="O86" s="10" t="str">
        <f t="shared" si="67"/>
        <v/>
      </c>
      <c r="P86" s="29" t="str">
        <f t="shared" si="52"/>
        <v/>
      </c>
      <c r="Q86" s="71"/>
      <c r="R86" s="10" t="str">
        <f t="shared" si="68"/>
        <v/>
      </c>
      <c r="S86" s="71"/>
      <c r="T86" s="10" t="str">
        <f t="shared" si="69"/>
        <v/>
      </c>
      <c r="U86" s="71"/>
      <c r="V86" s="10" t="str">
        <f t="shared" si="53"/>
        <v/>
      </c>
      <c r="W86" s="10" t="str">
        <f t="shared" si="70"/>
        <v/>
      </c>
      <c r="X86" s="71"/>
      <c r="Y86" s="10" t="str">
        <f t="shared" si="54"/>
        <v/>
      </c>
      <c r="Z86" s="10" t="str">
        <f t="shared" si="71"/>
        <v/>
      </c>
      <c r="AA86" s="71"/>
      <c r="AB86" s="10" t="str">
        <f t="shared" si="55"/>
        <v/>
      </c>
      <c r="AC86" s="10" t="str">
        <f t="shared" si="72"/>
        <v/>
      </c>
      <c r="AD86" s="71"/>
      <c r="AE86" s="10" t="str">
        <f t="shared" si="56"/>
        <v/>
      </c>
      <c r="AF86" s="10" t="str">
        <f t="shared" si="73"/>
        <v/>
      </c>
      <c r="AG86" s="71"/>
      <c r="AH86" s="10" t="str">
        <f t="shared" si="57"/>
        <v/>
      </c>
      <c r="AI86" s="10" t="str">
        <f t="shared" si="74"/>
        <v/>
      </c>
      <c r="AJ86" s="71"/>
      <c r="AK86" s="10" t="str">
        <f t="shared" si="75"/>
        <v/>
      </c>
      <c r="AL86" s="10" t="str">
        <f t="shared" si="76"/>
        <v/>
      </c>
      <c r="AM86" s="71"/>
      <c r="AN86" s="10" t="str">
        <f t="shared" si="58"/>
        <v/>
      </c>
      <c r="AO86" s="10" t="str">
        <f t="shared" si="77"/>
        <v/>
      </c>
      <c r="AP86" s="71"/>
      <c r="AQ86" s="10" t="str">
        <f t="shared" si="59"/>
        <v/>
      </c>
      <c r="AR86" s="10" t="str">
        <f t="shared" si="78"/>
        <v/>
      </c>
      <c r="AS86" s="71"/>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U86" s="71"/>
      <c r="AV86" s="10" t="str">
        <f t="shared" si="60"/>
        <v/>
      </c>
      <c r="AW86" s="10" t="str">
        <f t="shared" si="61"/>
        <v/>
      </c>
      <c r="AX86" s="71"/>
      <c r="AY86" s="7" t="str">
        <f>IF(ISERROR(IF($K86&lt;=$F$15,VLOOKUP($I86,'表4）CO2価格'!$A$7:$E$67,VLOOKUP($F$48,'表4）CO2価格'!$H$10:$I$12,2,0),0)*$F$8/1000,"")),0,IF($K86&lt;=$F$15,VLOOKUP($I86,'表4）CO2価格'!$A$7:$E$67,VLOOKUP($F$48,'表4）CO2価格'!$H$10:$I$12,2,0),0)*$F$8/1000,""))</f>
        <v/>
      </c>
      <c r="AZ86" s="71"/>
      <c r="BA86" s="11" t="str">
        <f t="shared" si="62"/>
        <v/>
      </c>
      <c r="BB86" s="10" t="str">
        <f t="shared" si="79"/>
        <v/>
      </c>
      <c r="BC86" s="71"/>
      <c r="BD86" s="10" t="str">
        <f t="shared" si="63"/>
        <v/>
      </c>
      <c r="BE86" s="10" t="str">
        <f t="shared" si="80"/>
        <v/>
      </c>
      <c r="BF86" s="71"/>
      <c r="BG86" s="11" t="str">
        <f t="shared" si="64"/>
        <v/>
      </c>
      <c r="BH86" s="10" t="str">
        <f t="shared" si="81"/>
        <v/>
      </c>
      <c r="BJ86" s="7" t="str">
        <f t="shared" si="82"/>
        <v/>
      </c>
      <c r="BK86" s="158" t="str">
        <f t="shared" si="83"/>
        <v/>
      </c>
      <c r="BL86" s="158" t="str">
        <f t="shared" si="65"/>
        <v/>
      </c>
      <c r="BM86" s="10"/>
      <c r="BN86" s="10" t="str">
        <f t="shared" si="84"/>
        <v/>
      </c>
      <c r="BO86" s="10" t="str">
        <f t="shared" si="85"/>
        <v/>
      </c>
      <c r="BQ86" s="10" t="str">
        <f t="shared" si="66"/>
        <v/>
      </c>
      <c r="BR86" s="10" t="str">
        <f t="shared" si="86"/>
        <v/>
      </c>
    </row>
    <row r="87" spans="4:70" x14ac:dyDescent="0.15">
      <c r="E87" s="81" t="s">
        <v>141</v>
      </c>
      <c r="F87" s="91">
        <f>AI116/$BR$116</f>
        <v>0</v>
      </c>
      <c r="G87" s="81" t="s">
        <v>132</v>
      </c>
      <c r="I87" s="38">
        <f t="shared" si="87"/>
        <v>2092</v>
      </c>
      <c r="J87" s="39"/>
      <c r="K87" s="39">
        <f t="shared" si="88"/>
        <v>73</v>
      </c>
      <c r="L87" s="39"/>
      <c r="M87" s="40">
        <f t="shared" si="51"/>
        <v>0.11557997508786232</v>
      </c>
      <c r="N87" s="39"/>
      <c r="O87" s="72" t="str">
        <f t="shared" si="67"/>
        <v/>
      </c>
      <c r="P87" s="41" t="str">
        <f t="shared" si="52"/>
        <v/>
      </c>
      <c r="Q87" s="39"/>
      <c r="R87" s="72" t="str">
        <f t="shared" si="68"/>
        <v/>
      </c>
      <c r="S87" s="39"/>
      <c r="T87" s="72" t="str">
        <f t="shared" si="69"/>
        <v/>
      </c>
      <c r="U87" s="39"/>
      <c r="V87" s="72" t="str">
        <f t="shared" si="53"/>
        <v/>
      </c>
      <c r="W87" s="72" t="str">
        <f t="shared" si="70"/>
        <v/>
      </c>
      <c r="X87" s="39"/>
      <c r="Y87" s="72" t="str">
        <f t="shared" si="54"/>
        <v/>
      </c>
      <c r="Z87" s="72" t="str">
        <f t="shared" si="71"/>
        <v/>
      </c>
      <c r="AA87" s="39"/>
      <c r="AB87" s="72" t="str">
        <f t="shared" si="55"/>
        <v/>
      </c>
      <c r="AC87" s="72" t="str">
        <f t="shared" si="72"/>
        <v/>
      </c>
      <c r="AD87" s="39"/>
      <c r="AE87" s="72" t="str">
        <f t="shared" si="56"/>
        <v/>
      </c>
      <c r="AF87" s="72" t="str">
        <f t="shared" si="73"/>
        <v/>
      </c>
      <c r="AG87" s="39"/>
      <c r="AH87" s="72" t="str">
        <f t="shared" si="57"/>
        <v/>
      </c>
      <c r="AI87" s="72" t="str">
        <f t="shared" si="74"/>
        <v/>
      </c>
      <c r="AJ87" s="39"/>
      <c r="AK87" s="72" t="str">
        <f t="shared" si="75"/>
        <v/>
      </c>
      <c r="AL87" s="72" t="str">
        <f t="shared" si="76"/>
        <v/>
      </c>
      <c r="AM87" s="39"/>
      <c r="AN87" s="72" t="str">
        <f t="shared" si="58"/>
        <v/>
      </c>
      <c r="AO87" s="72" t="str">
        <f t="shared" si="77"/>
        <v/>
      </c>
      <c r="AP87" s="39"/>
      <c r="AQ87" s="72" t="str">
        <f t="shared" si="59"/>
        <v/>
      </c>
      <c r="AR87" s="72" t="str">
        <f t="shared" si="78"/>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60"/>
        <v/>
      </c>
      <c r="AW87" s="72" t="str">
        <f t="shared" si="61"/>
        <v/>
      </c>
      <c r="AX87" s="39"/>
      <c r="AY87" s="40" t="str">
        <f>IF(ISERROR(IF($K87&lt;=$F$15,VLOOKUP($I87,'表4）CO2価格'!$A$7:$E$67,VLOOKUP($F$48,'表4）CO2価格'!$H$10:$I$12,2,0),0)*$F$8/1000,"")),0,IF($K87&lt;=$F$15,VLOOKUP($I87,'表4）CO2価格'!$A$7:$E$67,VLOOKUP($F$48,'表4）CO2価格'!$H$10:$I$12,2,0),0)*$F$8/1000,""))</f>
        <v/>
      </c>
      <c r="AZ87" s="39"/>
      <c r="BA87" s="42" t="str">
        <f t="shared" si="62"/>
        <v/>
      </c>
      <c r="BB87" s="72" t="str">
        <f t="shared" si="79"/>
        <v/>
      </c>
      <c r="BC87" s="39"/>
      <c r="BD87" s="72" t="str">
        <f t="shared" si="63"/>
        <v/>
      </c>
      <c r="BE87" s="72" t="str">
        <f t="shared" si="80"/>
        <v/>
      </c>
      <c r="BF87" s="39"/>
      <c r="BG87" s="42" t="str">
        <f t="shared" si="64"/>
        <v/>
      </c>
      <c r="BH87" s="72" t="str">
        <f t="shared" si="81"/>
        <v/>
      </c>
      <c r="BI87" s="39"/>
      <c r="BJ87" s="40" t="str">
        <f t="shared" si="82"/>
        <v/>
      </c>
      <c r="BK87" s="157" t="str">
        <f t="shared" si="83"/>
        <v/>
      </c>
      <c r="BL87" s="157" t="str">
        <f t="shared" si="65"/>
        <v/>
      </c>
      <c r="BM87" s="72"/>
      <c r="BN87" s="72" t="str">
        <f t="shared" si="84"/>
        <v/>
      </c>
      <c r="BO87" s="72" t="str">
        <f t="shared" si="85"/>
        <v/>
      </c>
      <c r="BP87" s="39"/>
      <c r="BQ87" s="72" t="str">
        <f t="shared" si="66"/>
        <v/>
      </c>
      <c r="BR87" s="72" t="str">
        <f t="shared" si="86"/>
        <v/>
      </c>
    </row>
    <row r="88" spans="4:70" x14ac:dyDescent="0.15">
      <c r="E88" s="81" t="s">
        <v>120</v>
      </c>
      <c r="F88" s="91">
        <f>AL116/$BR$116</f>
        <v>1.2456166906329622</v>
      </c>
      <c r="G88" s="81" t="s">
        <v>132</v>
      </c>
      <c r="I88" s="322">
        <f t="shared" si="87"/>
        <v>2093</v>
      </c>
      <c r="J88" s="71"/>
      <c r="K88" s="71">
        <f t="shared" si="88"/>
        <v>74</v>
      </c>
      <c r="L88" s="71"/>
      <c r="M88" s="7">
        <f t="shared" si="51"/>
        <v>0.11221356804646829</v>
      </c>
      <c r="N88" s="71"/>
      <c r="O88" s="10" t="str">
        <f t="shared" si="67"/>
        <v/>
      </c>
      <c r="P88" s="29" t="str">
        <f t="shared" si="52"/>
        <v/>
      </c>
      <c r="Q88" s="71"/>
      <c r="R88" s="10" t="str">
        <f t="shared" si="68"/>
        <v/>
      </c>
      <c r="S88" s="71"/>
      <c r="T88" s="10" t="str">
        <f t="shared" si="69"/>
        <v/>
      </c>
      <c r="U88" s="71"/>
      <c r="V88" s="10" t="str">
        <f t="shared" si="53"/>
        <v/>
      </c>
      <c r="W88" s="10" t="str">
        <f t="shared" si="70"/>
        <v/>
      </c>
      <c r="X88" s="71"/>
      <c r="Y88" s="10" t="str">
        <f t="shared" si="54"/>
        <v/>
      </c>
      <c r="Z88" s="10" t="str">
        <f t="shared" si="71"/>
        <v/>
      </c>
      <c r="AA88" s="71"/>
      <c r="AB88" s="10" t="str">
        <f t="shared" si="55"/>
        <v/>
      </c>
      <c r="AC88" s="10" t="str">
        <f t="shared" si="72"/>
        <v/>
      </c>
      <c r="AD88" s="71"/>
      <c r="AE88" s="10" t="str">
        <f t="shared" si="56"/>
        <v/>
      </c>
      <c r="AF88" s="10" t="str">
        <f t="shared" si="73"/>
        <v/>
      </c>
      <c r="AG88" s="71"/>
      <c r="AH88" s="10" t="str">
        <f t="shared" si="57"/>
        <v/>
      </c>
      <c r="AI88" s="10" t="str">
        <f t="shared" si="74"/>
        <v/>
      </c>
      <c r="AJ88" s="71"/>
      <c r="AK88" s="10" t="str">
        <f t="shared" si="75"/>
        <v/>
      </c>
      <c r="AL88" s="10" t="str">
        <f t="shared" si="76"/>
        <v/>
      </c>
      <c r="AM88" s="71"/>
      <c r="AN88" s="10" t="str">
        <f t="shared" si="58"/>
        <v/>
      </c>
      <c r="AO88" s="10" t="str">
        <f t="shared" si="77"/>
        <v/>
      </c>
      <c r="AP88" s="71"/>
      <c r="AQ88" s="10" t="str">
        <f t="shared" si="59"/>
        <v/>
      </c>
      <c r="AR88" s="10" t="str">
        <f t="shared" si="78"/>
        <v/>
      </c>
      <c r="AS88" s="71"/>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U88" s="71"/>
      <c r="AV88" s="10" t="str">
        <f t="shared" si="60"/>
        <v/>
      </c>
      <c r="AW88" s="10" t="str">
        <f t="shared" si="61"/>
        <v/>
      </c>
      <c r="AX88" s="71"/>
      <c r="AY88" s="7" t="str">
        <f>IF(ISERROR(IF($K88&lt;=$F$15,VLOOKUP($I88,'表4）CO2価格'!$A$7:$E$67,VLOOKUP($F$48,'表4）CO2価格'!$H$10:$I$12,2,0),0)*$F$8/1000,"")),0,IF($K88&lt;=$F$15,VLOOKUP($I88,'表4）CO2価格'!$A$7:$E$67,VLOOKUP($F$48,'表4）CO2価格'!$H$10:$I$12,2,0),0)*$F$8/1000,""))</f>
        <v/>
      </c>
      <c r="AZ88" s="71"/>
      <c r="BA88" s="11" t="str">
        <f t="shared" si="62"/>
        <v/>
      </c>
      <c r="BB88" s="10" t="str">
        <f t="shared" si="79"/>
        <v/>
      </c>
      <c r="BC88" s="71"/>
      <c r="BD88" s="10" t="str">
        <f t="shared" si="63"/>
        <v/>
      </c>
      <c r="BE88" s="10" t="str">
        <f t="shared" si="80"/>
        <v/>
      </c>
      <c r="BF88" s="71"/>
      <c r="BG88" s="11" t="str">
        <f t="shared" si="64"/>
        <v/>
      </c>
      <c r="BH88" s="10" t="str">
        <f t="shared" si="81"/>
        <v/>
      </c>
      <c r="BJ88" s="7" t="str">
        <f t="shared" si="82"/>
        <v/>
      </c>
      <c r="BK88" s="158" t="str">
        <f t="shared" si="83"/>
        <v/>
      </c>
      <c r="BL88" s="158" t="str">
        <f t="shared" si="65"/>
        <v/>
      </c>
      <c r="BM88" s="10"/>
      <c r="BN88" s="10" t="str">
        <f t="shared" si="84"/>
        <v/>
      </c>
      <c r="BO88" s="10" t="str">
        <f t="shared" si="85"/>
        <v/>
      </c>
      <c r="BQ88" s="10" t="str">
        <f t="shared" si="66"/>
        <v/>
      </c>
      <c r="BR88" s="10" t="str">
        <f t="shared" si="86"/>
        <v/>
      </c>
    </row>
    <row r="89" spans="4:70" x14ac:dyDescent="0.15">
      <c r="E89" s="81" t="s">
        <v>122</v>
      </c>
      <c r="F89" s="91">
        <f>AO116/$BR$116</f>
        <v>0</v>
      </c>
      <c r="G89" s="81" t="s">
        <v>132</v>
      </c>
      <c r="I89" s="38">
        <f t="shared" si="87"/>
        <v>2094</v>
      </c>
      <c r="J89" s="39"/>
      <c r="K89" s="39">
        <f t="shared" si="88"/>
        <v>75</v>
      </c>
      <c r="L89" s="39"/>
      <c r="M89" s="40">
        <f t="shared" si="51"/>
        <v>0.10894521169560026</v>
      </c>
      <c r="N89" s="39"/>
      <c r="O89" s="72" t="str">
        <f t="shared" si="67"/>
        <v/>
      </c>
      <c r="P89" s="41" t="str">
        <f t="shared" si="52"/>
        <v/>
      </c>
      <c r="Q89" s="39"/>
      <c r="R89" s="72" t="str">
        <f t="shared" si="68"/>
        <v/>
      </c>
      <c r="S89" s="39"/>
      <c r="T89" s="72" t="str">
        <f t="shared" si="69"/>
        <v/>
      </c>
      <c r="U89" s="39"/>
      <c r="V89" s="72" t="str">
        <f t="shared" si="53"/>
        <v/>
      </c>
      <c r="W89" s="72" t="str">
        <f t="shared" si="70"/>
        <v/>
      </c>
      <c r="X89" s="39"/>
      <c r="Y89" s="72" t="str">
        <f t="shared" si="54"/>
        <v/>
      </c>
      <c r="Z89" s="72" t="str">
        <f t="shared" si="71"/>
        <v/>
      </c>
      <c r="AA89" s="39"/>
      <c r="AB89" s="72" t="str">
        <f t="shared" si="55"/>
        <v/>
      </c>
      <c r="AC89" s="72" t="str">
        <f t="shared" si="72"/>
        <v/>
      </c>
      <c r="AD89" s="39"/>
      <c r="AE89" s="72" t="str">
        <f t="shared" si="56"/>
        <v/>
      </c>
      <c r="AF89" s="72" t="str">
        <f t="shared" si="73"/>
        <v/>
      </c>
      <c r="AG89" s="39"/>
      <c r="AH89" s="72" t="str">
        <f t="shared" si="57"/>
        <v/>
      </c>
      <c r="AI89" s="72" t="str">
        <f t="shared" si="74"/>
        <v/>
      </c>
      <c r="AJ89" s="39"/>
      <c r="AK89" s="72" t="str">
        <f t="shared" si="75"/>
        <v/>
      </c>
      <c r="AL89" s="72" t="str">
        <f t="shared" si="76"/>
        <v/>
      </c>
      <c r="AM89" s="39"/>
      <c r="AN89" s="72" t="str">
        <f t="shared" si="58"/>
        <v/>
      </c>
      <c r="AO89" s="72" t="str">
        <f t="shared" si="77"/>
        <v/>
      </c>
      <c r="AP89" s="39"/>
      <c r="AQ89" s="72" t="str">
        <f t="shared" si="59"/>
        <v/>
      </c>
      <c r="AR89" s="72" t="str">
        <f t="shared" si="78"/>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60"/>
        <v/>
      </c>
      <c r="AW89" s="72" t="str">
        <f t="shared" si="61"/>
        <v/>
      </c>
      <c r="AX89" s="39"/>
      <c r="AY89" s="40" t="str">
        <f>IF(ISERROR(IF($K89&lt;=$F$15,VLOOKUP($I89,'表4）CO2価格'!$A$7:$E$67,VLOOKUP($F$48,'表4）CO2価格'!$H$10:$I$12,2,0),0)*$F$8/1000,"")),0,IF($K89&lt;=$F$15,VLOOKUP($I89,'表4）CO2価格'!$A$7:$E$67,VLOOKUP($F$48,'表4）CO2価格'!$H$10:$I$12,2,0),0)*$F$8/1000,""))</f>
        <v/>
      </c>
      <c r="AZ89" s="39"/>
      <c r="BA89" s="42" t="str">
        <f t="shared" si="62"/>
        <v/>
      </c>
      <c r="BB89" s="72" t="str">
        <f t="shared" si="79"/>
        <v/>
      </c>
      <c r="BC89" s="39"/>
      <c r="BD89" s="72" t="str">
        <f t="shared" si="63"/>
        <v/>
      </c>
      <c r="BE89" s="72" t="str">
        <f t="shared" si="80"/>
        <v/>
      </c>
      <c r="BF89" s="39"/>
      <c r="BG89" s="42" t="str">
        <f t="shared" si="64"/>
        <v/>
      </c>
      <c r="BH89" s="72" t="str">
        <f t="shared" si="81"/>
        <v/>
      </c>
      <c r="BI89" s="39"/>
      <c r="BJ89" s="40" t="str">
        <f t="shared" si="82"/>
        <v/>
      </c>
      <c r="BK89" s="157" t="str">
        <f t="shared" si="83"/>
        <v/>
      </c>
      <c r="BL89" s="157" t="str">
        <f t="shared" si="65"/>
        <v/>
      </c>
      <c r="BM89" s="72"/>
      <c r="BN89" s="72" t="str">
        <f t="shared" si="84"/>
        <v/>
      </c>
      <c r="BO89" s="72" t="str">
        <f t="shared" si="85"/>
        <v/>
      </c>
      <c r="BP89" s="39"/>
      <c r="BQ89" s="72" t="str">
        <f t="shared" si="66"/>
        <v/>
      </c>
      <c r="BR89" s="72" t="str">
        <f t="shared" si="86"/>
        <v/>
      </c>
    </row>
    <row r="90" spans="4:70" x14ac:dyDescent="0.15">
      <c r="E90" s="81" t="s">
        <v>142</v>
      </c>
      <c r="F90" s="91">
        <f>AR116/$BR$116</f>
        <v>0</v>
      </c>
      <c r="G90" s="81" t="s">
        <v>132</v>
      </c>
      <c r="I90" s="322">
        <f t="shared" si="87"/>
        <v>2095</v>
      </c>
      <c r="J90" s="71"/>
      <c r="K90" s="71">
        <f t="shared" si="88"/>
        <v>76</v>
      </c>
      <c r="L90" s="71"/>
      <c r="M90" s="7">
        <f t="shared" si="51"/>
        <v>0.10577205018990318</v>
      </c>
      <c r="N90" s="71"/>
      <c r="O90" s="10" t="str">
        <f t="shared" si="67"/>
        <v/>
      </c>
      <c r="P90" s="29" t="str">
        <f t="shared" si="52"/>
        <v/>
      </c>
      <c r="Q90" s="71"/>
      <c r="R90" s="10" t="str">
        <f t="shared" si="68"/>
        <v/>
      </c>
      <c r="S90" s="71"/>
      <c r="T90" s="10" t="str">
        <f t="shared" si="69"/>
        <v/>
      </c>
      <c r="U90" s="71"/>
      <c r="V90" s="10" t="str">
        <f t="shared" si="53"/>
        <v/>
      </c>
      <c r="W90" s="10" t="str">
        <f t="shared" si="70"/>
        <v/>
      </c>
      <c r="X90" s="71"/>
      <c r="Y90" s="10" t="str">
        <f t="shared" si="54"/>
        <v/>
      </c>
      <c r="Z90" s="10" t="str">
        <f t="shared" si="71"/>
        <v/>
      </c>
      <c r="AA90" s="71"/>
      <c r="AB90" s="10" t="str">
        <f t="shared" si="55"/>
        <v/>
      </c>
      <c r="AC90" s="10" t="str">
        <f t="shared" si="72"/>
        <v/>
      </c>
      <c r="AD90" s="71"/>
      <c r="AE90" s="10" t="str">
        <f t="shared" si="56"/>
        <v/>
      </c>
      <c r="AF90" s="10" t="str">
        <f t="shared" si="73"/>
        <v/>
      </c>
      <c r="AG90" s="71"/>
      <c r="AH90" s="10" t="str">
        <f t="shared" si="57"/>
        <v/>
      </c>
      <c r="AI90" s="10" t="str">
        <f t="shared" si="74"/>
        <v/>
      </c>
      <c r="AJ90" s="71"/>
      <c r="AK90" s="10" t="str">
        <f t="shared" si="75"/>
        <v/>
      </c>
      <c r="AL90" s="10" t="str">
        <f t="shared" si="76"/>
        <v/>
      </c>
      <c r="AM90" s="71"/>
      <c r="AN90" s="10" t="str">
        <f t="shared" si="58"/>
        <v/>
      </c>
      <c r="AO90" s="10" t="str">
        <f t="shared" si="77"/>
        <v/>
      </c>
      <c r="AP90" s="71"/>
      <c r="AQ90" s="10" t="str">
        <f t="shared" si="59"/>
        <v/>
      </c>
      <c r="AR90" s="10" t="str">
        <f t="shared" si="78"/>
        <v/>
      </c>
      <c r="AS90" s="71"/>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U90" s="71"/>
      <c r="AV90" s="10" t="str">
        <f t="shared" si="60"/>
        <v/>
      </c>
      <c r="AW90" s="10" t="str">
        <f t="shared" si="61"/>
        <v/>
      </c>
      <c r="AX90" s="71"/>
      <c r="AY90" s="7" t="str">
        <f>IF(ISERROR(IF($K90&lt;=$F$15,VLOOKUP($I90,'表4）CO2価格'!$A$7:$E$67,VLOOKUP($F$48,'表4）CO2価格'!$H$10:$I$12,2,0),0)*$F$8/1000,"")),0,IF($K90&lt;=$F$15,VLOOKUP($I90,'表4）CO2価格'!$A$7:$E$67,VLOOKUP($F$48,'表4）CO2価格'!$H$10:$I$12,2,0),0)*$F$8/1000,""))</f>
        <v/>
      </c>
      <c r="AZ90" s="71"/>
      <c r="BA90" s="11" t="str">
        <f t="shared" si="62"/>
        <v/>
      </c>
      <c r="BB90" s="10" t="str">
        <f t="shared" si="79"/>
        <v/>
      </c>
      <c r="BC90" s="71"/>
      <c r="BD90" s="10" t="str">
        <f t="shared" si="63"/>
        <v/>
      </c>
      <c r="BE90" s="10" t="str">
        <f t="shared" si="80"/>
        <v/>
      </c>
      <c r="BF90" s="71"/>
      <c r="BG90" s="11" t="str">
        <f t="shared" si="64"/>
        <v/>
      </c>
      <c r="BH90" s="10" t="str">
        <f t="shared" si="81"/>
        <v/>
      </c>
      <c r="BJ90" s="7" t="str">
        <f t="shared" si="82"/>
        <v/>
      </c>
      <c r="BK90" s="158" t="str">
        <f t="shared" si="83"/>
        <v/>
      </c>
      <c r="BL90" s="158" t="str">
        <f t="shared" si="65"/>
        <v/>
      </c>
      <c r="BM90" s="10"/>
      <c r="BN90" s="10" t="str">
        <f t="shared" si="84"/>
        <v/>
      </c>
      <c r="BO90" s="10" t="str">
        <f t="shared" si="85"/>
        <v/>
      </c>
      <c r="BQ90" s="10" t="str">
        <f t="shared" si="66"/>
        <v/>
      </c>
      <c r="BR90" s="10" t="str">
        <f t="shared" si="86"/>
        <v/>
      </c>
    </row>
    <row r="91" spans="4:70" x14ac:dyDescent="0.15">
      <c r="F91" s="93"/>
      <c r="I91" s="38">
        <f t="shared" si="87"/>
        <v>2096</v>
      </c>
      <c r="J91" s="39"/>
      <c r="K91" s="39">
        <f t="shared" si="88"/>
        <v>77</v>
      </c>
      <c r="L91" s="39"/>
      <c r="M91" s="40">
        <f t="shared" si="51"/>
        <v>0.10269131086398368</v>
      </c>
      <c r="N91" s="39"/>
      <c r="O91" s="72" t="str">
        <f t="shared" si="67"/>
        <v/>
      </c>
      <c r="P91" s="41" t="str">
        <f t="shared" si="52"/>
        <v/>
      </c>
      <c r="Q91" s="39"/>
      <c r="R91" s="72" t="str">
        <f t="shared" si="68"/>
        <v/>
      </c>
      <c r="S91" s="39"/>
      <c r="T91" s="72" t="str">
        <f t="shared" si="69"/>
        <v/>
      </c>
      <c r="U91" s="39"/>
      <c r="V91" s="72" t="str">
        <f t="shared" si="53"/>
        <v/>
      </c>
      <c r="W91" s="72" t="str">
        <f t="shared" si="70"/>
        <v/>
      </c>
      <c r="X91" s="39"/>
      <c r="Y91" s="72" t="str">
        <f t="shared" si="54"/>
        <v/>
      </c>
      <c r="Z91" s="72" t="str">
        <f t="shared" si="71"/>
        <v/>
      </c>
      <c r="AA91" s="39"/>
      <c r="AB91" s="72" t="str">
        <f t="shared" si="55"/>
        <v/>
      </c>
      <c r="AC91" s="72" t="str">
        <f t="shared" si="72"/>
        <v/>
      </c>
      <c r="AD91" s="39"/>
      <c r="AE91" s="72" t="str">
        <f t="shared" si="56"/>
        <v/>
      </c>
      <c r="AF91" s="72" t="str">
        <f t="shared" si="73"/>
        <v/>
      </c>
      <c r="AG91" s="39"/>
      <c r="AH91" s="72" t="str">
        <f t="shared" si="57"/>
        <v/>
      </c>
      <c r="AI91" s="72" t="str">
        <f t="shared" si="74"/>
        <v/>
      </c>
      <c r="AJ91" s="39"/>
      <c r="AK91" s="72" t="str">
        <f t="shared" si="75"/>
        <v/>
      </c>
      <c r="AL91" s="72" t="str">
        <f t="shared" si="76"/>
        <v/>
      </c>
      <c r="AM91" s="39"/>
      <c r="AN91" s="72" t="str">
        <f t="shared" si="58"/>
        <v/>
      </c>
      <c r="AO91" s="72" t="str">
        <f t="shared" si="77"/>
        <v/>
      </c>
      <c r="AP91" s="39"/>
      <c r="AQ91" s="72" t="str">
        <f t="shared" si="59"/>
        <v/>
      </c>
      <c r="AR91" s="72" t="str">
        <f t="shared" si="78"/>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60"/>
        <v/>
      </c>
      <c r="AW91" s="72" t="str">
        <f t="shared" si="61"/>
        <v/>
      </c>
      <c r="AX91" s="39"/>
      <c r="AY91" s="40" t="str">
        <f>IF(ISERROR(IF($K91&lt;=$F$15,VLOOKUP($I91,'表4）CO2価格'!$A$7:$E$67,VLOOKUP($F$48,'表4）CO2価格'!$H$10:$I$12,2,0),0)*$F$8/1000,"")),0,IF($K91&lt;=$F$15,VLOOKUP($I91,'表4）CO2価格'!$A$7:$E$67,VLOOKUP($F$48,'表4）CO2価格'!$H$10:$I$12,2,0),0)*$F$8/1000,""))</f>
        <v/>
      </c>
      <c r="AZ91" s="39"/>
      <c r="BA91" s="42" t="str">
        <f t="shared" si="62"/>
        <v/>
      </c>
      <c r="BB91" s="72" t="str">
        <f t="shared" si="79"/>
        <v/>
      </c>
      <c r="BC91" s="39"/>
      <c r="BD91" s="72" t="str">
        <f t="shared" si="63"/>
        <v/>
      </c>
      <c r="BE91" s="72" t="str">
        <f t="shared" si="80"/>
        <v/>
      </c>
      <c r="BF91" s="39"/>
      <c r="BG91" s="42" t="str">
        <f t="shared" si="64"/>
        <v/>
      </c>
      <c r="BH91" s="72" t="str">
        <f t="shared" si="81"/>
        <v/>
      </c>
      <c r="BI91" s="39"/>
      <c r="BJ91" s="40" t="str">
        <f t="shared" si="82"/>
        <v/>
      </c>
      <c r="BK91" s="157" t="str">
        <f t="shared" si="83"/>
        <v/>
      </c>
      <c r="BL91" s="157" t="str">
        <f t="shared" si="65"/>
        <v/>
      </c>
      <c r="BM91" s="72"/>
      <c r="BN91" s="72" t="str">
        <f t="shared" si="84"/>
        <v/>
      </c>
      <c r="BO91" s="72" t="str">
        <f t="shared" si="85"/>
        <v/>
      </c>
      <c r="BP91" s="39"/>
      <c r="BQ91" s="72" t="str">
        <f t="shared" si="66"/>
        <v/>
      </c>
      <c r="BR91" s="72" t="str">
        <f t="shared" si="86"/>
        <v/>
      </c>
    </row>
    <row r="92" spans="4:70" ht="15" x14ac:dyDescent="0.15">
      <c r="D92" s="116" t="s">
        <v>196</v>
      </c>
      <c r="F92" s="94">
        <f>SUBTOTAL(9,F96:F97)</f>
        <v>8.9751898402304136</v>
      </c>
      <c r="I92" s="322">
        <f t="shared" si="87"/>
        <v>2097</v>
      </c>
      <c r="J92" s="71"/>
      <c r="K92" s="71">
        <f t="shared" si="88"/>
        <v>78</v>
      </c>
      <c r="L92" s="71"/>
      <c r="M92" s="7">
        <f t="shared" si="51"/>
        <v>9.9700301809692873E-2</v>
      </c>
      <c r="N92" s="71"/>
      <c r="O92" s="10" t="str">
        <f t="shared" si="67"/>
        <v/>
      </c>
      <c r="P92" s="29" t="str">
        <f t="shared" si="52"/>
        <v/>
      </c>
      <c r="Q92" s="71"/>
      <c r="R92" s="10" t="str">
        <f t="shared" si="68"/>
        <v/>
      </c>
      <c r="S92" s="71"/>
      <c r="T92" s="10" t="str">
        <f t="shared" si="69"/>
        <v/>
      </c>
      <c r="U92" s="71"/>
      <c r="V92" s="10" t="str">
        <f t="shared" si="53"/>
        <v/>
      </c>
      <c r="W92" s="10" t="str">
        <f t="shared" si="70"/>
        <v/>
      </c>
      <c r="X92" s="71"/>
      <c r="Y92" s="10" t="str">
        <f t="shared" si="54"/>
        <v/>
      </c>
      <c r="Z92" s="10" t="str">
        <f t="shared" si="71"/>
        <v/>
      </c>
      <c r="AA92" s="71"/>
      <c r="AB92" s="10" t="str">
        <f t="shared" si="55"/>
        <v/>
      </c>
      <c r="AC92" s="10" t="str">
        <f t="shared" si="72"/>
        <v/>
      </c>
      <c r="AD92" s="71"/>
      <c r="AE92" s="10" t="str">
        <f t="shared" si="56"/>
        <v/>
      </c>
      <c r="AF92" s="10" t="str">
        <f t="shared" si="73"/>
        <v/>
      </c>
      <c r="AG92" s="71"/>
      <c r="AH92" s="10" t="str">
        <f t="shared" si="57"/>
        <v/>
      </c>
      <c r="AI92" s="10" t="str">
        <f t="shared" si="74"/>
        <v/>
      </c>
      <c r="AJ92" s="71"/>
      <c r="AK92" s="10" t="str">
        <f t="shared" si="75"/>
        <v/>
      </c>
      <c r="AL92" s="10" t="str">
        <f t="shared" si="76"/>
        <v/>
      </c>
      <c r="AM92" s="71"/>
      <c r="AN92" s="10" t="str">
        <f t="shared" si="58"/>
        <v/>
      </c>
      <c r="AO92" s="10" t="str">
        <f t="shared" si="77"/>
        <v/>
      </c>
      <c r="AP92" s="71"/>
      <c r="AQ92" s="10" t="str">
        <f t="shared" si="59"/>
        <v/>
      </c>
      <c r="AR92" s="10" t="str">
        <f t="shared" si="78"/>
        <v/>
      </c>
      <c r="AS92" s="71"/>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U92" s="71"/>
      <c r="AV92" s="10" t="str">
        <f t="shared" si="60"/>
        <v/>
      </c>
      <c r="AW92" s="10" t="str">
        <f t="shared" si="61"/>
        <v/>
      </c>
      <c r="AX92" s="71"/>
      <c r="AY92" s="7" t="str">
        <f>IF(ISERROR(IF($K92&lt;=$F$15,VLOOKUP($I92,'表4）CO2価格'!$A$7:$E$67,VLOOKUP($F$48,'表4）CO2価格'!$H$10:$I$12,2,0),0)*$F$8/1000,"")),0,IF($K92&lt;=$F$15,VLOOKUP($I92,'表4）CO2価格'!$A$7:$E$67,VLOOKUP($F$48,'表4）CO2価格'!$H$10:$I$12,2,0),0)*$F$8/1000,""))</f>
        <v/>
      </c>
      <c r="AZ92" s="71"/>
      <c r="BA92" s="11" t="str">
        <f t="shared" si="62"/>
        <v/>
      </c>
      <c r="BB92" s="10" t="str">
        <f t="shared" si="79"/>
        <v/>
      </c>
      <c r="BC92" s="71"/>
      <c r="BD92" s="10" t="str">
        <f t="shared" si="63"/>
        <v/>
      </c>
      <c r="BE92" s="10" t="str">
        <f t="shared" si="80"/>
        <v/>
      </c>
      <c r="BF92" s="71"/>
      <c r="BG92" s="11" t="str">
        <f t="shared" si="64"/>
        <v/>
      </c>
      <c r="BH92" s="10" t="str">
        <f t="shared" si="81"/>
        <v/>
      </c>
      <c r="BJ92" s="7" t="str">
        <f t="shared" si="82"/>
        <v/>
      </c>
      <c r="BK92" s="158" t="str">
        <f t="shared" si="83"/>
        <v/>
      </c>
      <c r="BL92" s="158" t="str">
        <f t="shared" si="65"/>
        <v/>
      </c>
      <c r="BM92" s="10"/>
      <c r="BN92" s="10" t="str">
        <f t="shared" si="84"/>
        <v/>
      </c>
      <c r="BO92" s="10" t="str">
        <f t="shared" si="85"/>
        <v/>
      </c>
      <c r="BQ92" s="10" t="str">
        <f t="shared" si="66"/>
        <v/>
      </c>
      <c r="BR92" s="10" t="str">
        <f t="shared" si="86"/>
        <v/>
      </c>
    </row>
    <row r="93" spans="4:70" ht="15" x14ac:dyDescent="0.15">
      <c r="D93" s="116"/>
      <c r="F93" s="93"/>
      <c r="I93" s="38">
        <f t="shared" si="87"/>
        <v>2098</v>
      </c>
      <c r="J93" s="39"/>
      <c r="K93" s="39">
        <f t="shared" si="88"/>
        <v>79</v>
      </c>
      <c r="L93" s="39"/>
      <c r="M93" s="40">
        <f t="shared" si="51"/>
        <v>9.679640952397367E-2</v>
      </c>
      <c r="N93" s="39"/>
      <c r="O93" s="72" t="str">
        <f t="shared" si="67"/>
        <v/>
      </c>
      <c r="P93" s="41" t="str">
        <f t="shared" si="52"/>
        <v/>
      </c>
      <c r="Q93" s="39"/>
      <c r="R93" s="72" t="str">
        <f t="shared" si="68"/>
        <v/>
      </c>
      <c r="S93" s="39"/>
      <c r="T93" s="72" t="str">
        <f t="shared" si="69"/>
        <v/>
      </c>
      <c r="U93" s="39"/>
      <c r="V93" s="72" t="str">
        <f t="shared" si="53"/>
        <v/>
      </c>
      <c r="W93" s="72" t="str">
        <f t="shared" si="70"/>
        <v/>
      </c>
      <c r="X93" s="39"/>
      <c r="Y93" s="72" t="str">
        <f t="shared" si="54"/>
        <v/>
      </c>
      <c r="Z93" s="72" t="str">
        <f t="shared" si="71"/>
        <v/>
      </c>
      <c r="AA93" s="39"/>
      <c r="AB93" s="72" t="str">
        <f t="shared" si="55"/>
        <v/>
      </c>
      <c r="AC93" s="72" t="str">
        <f t="shared" si="72"/>
        <v/>
      </c>
      <c r="AD93" s="39"/>
      <c r="AE93" s="72" t="str">
        <f t="shared" si="56"/>
        <v/>
      </c>
      <c r="AF93" s="72" t="str">
        <f t="shared" si="73"/>
        <v/>
      </c>
      <c r="AG93" s="39"/>
      <c r="AH93" s="72" t="str">
        <f t="shared" si="57"/>
        <v/>
      </c>
      <c r="AI93" s="72" t="str">
        <f t="shared" si="74"/>
        <v/>
      </c>
      <c r="AJ93" s="39"/>
      <c r="AK93" s="72" t="str">
        <f t="shared" si="75"/>
        <v/>
      </c>
      <c r="AL93" s="72" t="str">
        <f t="shared" si="76"/>
        <v/>
      </c>
      <c r="AM93" s="39"/>
      <c r="AN93" s="72" t="str">
        <f t="shared" si="58"/>
        <v/>
      </c>
      <c r="AO93" s="72" t="str">
        <f t="shared" si="77"/>
        <v/>
      </c>
      <c r="AP93" s="39"/>
      <c r="AQ93" s="72" t="str">
        <f t="shared" si="59"/>
        <v/>
      </c>
      <c r="AR93" s="72" t="str">
        <f t="shared" si="78"/>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60"/>
        <v/>
      </c>
      <c r="AW93" s="72" t="str">
        <f t="shared" si="61"/>
        <v/>
      </c>
      <c r="AX93" s="39"/>
      <c r="AY93" s="40" t="str">
        <f>IF(ISERROR(IF($K93&lt;=$F$15,VLOOKUP($I93,'表4）CO2価格'!$A$7:$E$67,VLOOKUP($F$48,'表4）CO2価格'!$H$10:$I$12,2,0),0)*$F$8/1000,"")),0,IF($K93&lt;=$F$15,VLOOKUP($I93,'表4）CO2価格'!$A$7:$E$67,VLOOKUP($F$48,'表4）CO2価格'!$H$10:$I$12,2,0),0)*$F$8/1000,""))</f>
        <v/>
      </c>
      <c r="AZ93" s="39"/>
      <c r="BA93" s="42" t="str">
        <f t="shared" si="62"/>
        <v/>
      </c>
      <c r="BB93" s="72" t="str">
        <f t="shared" si="79"/>
        <v/>
      </c>
      <c r="BC93" s="39"/>
      <c r="BD93" s="72" t="str">
        <f t="shared" si="63"/>
        <v/>
      </c>
      <c r="BE93" s="72" t="str">
        <f t="shared" si="80"/>
        <v/>
      </c>
      <c r="BF93" s="39"/>
      <c r="BG93" s="42" t="str">
        <f t="shared" si="64"/>
        <v/>
      </c>
      <c r="BH93" s="72" t="str">
        <f t="shared" si="81"/>
        <v/>
      </c>
      <c r="BI93" s="39"/>
      <c r="BJ93" s="40" t="str">
        <f t="shared" si="82"/>
        <v/>
      </c>
      <c r="BK93" s="157" t="str">
        <f t="shared" si="83"/>
        <v/>
      </c>
      <c r="BL93" s="157" t="str">
        <f t="shared" si="65"/>
        <v/>
      </c>
      <c r="BM93" s="72"/>
      <c r="BN93" s="72" t="str">
        <f t="shared" si="84"/>
        <v/>
      </c>
      <c r="BO93" s="72" t="str">
        <f t="shared" si="85"/>
        <v/>
      </c>
      <c r="BP93" s="39"/>
      <c r="BQ93" s="72" t="str">
        <f t="shared" si="66"/>
        <v/>
      </c>
      <c r="BR93" s="72" t="str">
        <f t="shared" si="86"/>
        <v/>
      </c>
    </row>
    <row r="94" spans="4:70" x14ac:dyDescent="0.15">
      <c r="D94" s="101" t="s">
        <v>197</v>
      </c>
      <c r="E94" s="101"/>
      <c r="F94" s="92"/>
      <c r="G94" s="101"/>
      <c r="I94" s="322">
        <f t="shared" si="87"/>
        <v>2099</v>
      </c>
      <c r="J94" s="71"/>
      <c r="K94" s="71">
        <f t="shared" si="88"/>
        <v>80</v>
      </c>
      <c r="L94" s="71"/>
      <c r="M94" s="7">
        <f t="shared" si="51"/>
        <v>9.3977096625217166E-2</v>
      </c>
      <c r="N94" s="71"/>
      <c r="O94" s="10" t="str">
        <f t="shared" si="67"/>
        <v/>
      </c>
      <c r="P94" s="29" t="str">
        <f t="shared" si="52"/>
        <v/>
      </c>
      <c r="Q94" s="71"/>
      <c r="R94" s="10" t="str">
        <f t="shared" si="68"/>
        <v/>
      </c>
      <c r="S94" s="71"/>
      <c r="T94" s="10" t="str">
        <f t="shared" si="69"/>
        <v/>
      </c>
      <c r="U94" s="71"/>
      <c r="V94" s="10" t="str">
        <f t="shared" si="53"/>
        <v/>
      </c>
      <c r="W94" s="10" t="str">
        <f t="shared" si="70"/>
        <v/>
      </c>
      <c r="X94" s="71"/>
      <c r="Y94" s="10" t="str">
        <f t="shared" si="54"/>
        <v/>
      </c>
      <c r="Z94" s="10" t="str">
        <f t="shared" si="71"/>
        <v/>
      </c>
      <c r="AA94" s="71"/>
      <c r="AB94" s="10" t="str">
        <f t="shared" si="55"/>
        <v/>
      </c>
      <c r="AC94" s="10" t="str">
        <f t="shared" si="72"/>
        <v/>
      </c>
      <c r="AD94" s="71"/>
      <c r="AE94" s="10" t="str">
        <f t="shared" si="56"/>
        <v/>
      </c>
      <c r="AF94" s="10" t="str">
        <f t="shared" si="73"/>
        <v/>
      </c>
      <c r="AG94" s="71"/>
      <c r="AH94" s="10" t="str">
        <f t="shared" si="57"/>
        <v/>
      </c>
      <c r="AI94" s="10" t="str">
        <f t="shared" si="74"/>
        <v/>
      </c>
      <c r="AJ94" s="71"/>
      <c r="AK94" s="10" t="str">
        <f t="shared" si="75"/>
        <v/>
      </c>
      <c r="AL94" s="10" t="str">
        <f t="shared" si="76"/>
        <v/>
      </c>
      <c r="AM94" s="71"/>
      <c r="AN94" s="10" t="str">
        <f t="shared" si="58"/>
        <v/>
      </c>
      <c r="AO94" s="10" t="str">
        <f t="shared" si="77"/>
        <v/>
      </c>
      <c r="AP94" s="71"/>
      <c r="AQ94" s="10" t="str">
        <f t="shared" si="59"/>
        <v/>
      </c>
      <c r="AR94" s="10" t="str">
        <f t="shared" si="78"/>
        <v/>
      </c>
      <c r="AS94" s="71"/>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U94" s="71"/>
      <c r="AV94" s="10" t="str">
        <f t="shared" si="60"/>
        <v/>
      </c>
      <c r="AW94" s="10" t="str">
        <f t="shared" si="61"/>
        <v/>
      </c>
      <c r="AX94" s="71"/>
      <c r="AY94" s="7" t="str">
        <f>IF(ISERROR(IF($K94&lt;=$F$15,VLOOKUP($I94,'表4）CO2価格'!$A$7:$E$67,VLOOKUP($F$48,'表4）CO2価格'!$H$10:$I$12,2,0),0)*$F$8/1000,"")),0,IF($K94&lt;=$F$15,VLOOKUP($I94,'表4）CO2価格'!$A$7:$E$67,VLOOKUP($F$48,'表4）CO2価格'!$H$10:$I$12,2,0),0)*$F$8/1000,""))</f>
        <v/>
      </c>
      <c r="AZ94" s="71"/>
      <c r="BA94" s="11" t="str">
        <f t="shared" si="62"/>
        <v/>
      </c>
      <c r="BB94" s="10" t="str">
        <f t="shared" si="79"/>
        <v/>
      </c>
      <c r="BC94" s="71"/>
      <c r="BD94" s="10" t="str">
        <f t="shared" si="63"/>
        <v/>
      </c>
      <c r="BE94" s="10" t="str">
        <f t="shared" si="80"/>
        <v/>
      </c>
      <c r="BF94" s="71"/>
      <c r="BG94" s="11" t="str">
        <f t="shared" si="64"/>
        <v/>
      </c>
      <c r="BH94" s="10" t="str">
        <f t="shared" si="81"/>
        <v/>
      </c>
      <c r="BJ94" s="7" t="str">
        <f t="shared" si="82"/>
        <v/>
      </c>
      <c r="BK94" s="158" t="str">
        <f t="shared" si="83"/>
        <v/>
      </c>
      <c r="BL94" s="158" t="str">
        <f t="shared" si="65"/>
        <v/>
      </c>
      <c r="BM94" s="10"/>
      <c r="BN94" s="10" t="str">
        <f t="shared" si="84"/>
        <v/>
      </c>
      <c r="BO94" s="10" t="str">
        <f t="shared" si="85"/>
        <v/>
      </c>
      <c r="BQ94" s="10" t="str">
        <f t="shared" si="66"/>
        <v/>
      </c>
      <c r="BR94" s="10" t="str">
        <f t="shared" si="86"/>
        <v/>
      </c>
    </row>
    <row r="95" spans="4:70" ht="15" x14ac:dyDescent="0.15">
      <c r="D95" s="116"/>
      <c r="F95" s="93"/>
      <c r="I95" s="38">
        <f t="shared" si="87"/>
        <v>2100</v>
      </c>
      <c r="J95" s="39"/>
      <c r="K95" s="39">
        <f t="shared" si="88"/>
        <v>81</v>
      </c>
      <c r="L95" s="39"/>
      <c r="M95" s="40">
        <f t="shared" si="51"/>
        <v>9.1239899636133173E-2</v>
      </c>
      <c r="N95" s="39"/>
      <c r="O95" s="72" t="str">
        <f t="shared" si="67"/>
        <v/>
      </c>
      <c r="P95" s="41" t="str">
        <f t="shared" si="52"/>
        <v/>
      </c>
      <c r="Q95" s="39"/>
      <c r="R95" s="72" t="str">
        <f t="shared" si="68"/>
        <v/>
      </c>
      <c r="S95" s="39"/>
      <c r="T95" s="72" t="str">
        <f t="shared" si="69"/>
        <v/>
      </c>
      <c r="U95" s="39"/>
      <c r="V95" s="72" t="str">
        <f t="shared" si="53"/>
        <v/>
      </c>
      <c r="W95" s="72" t="str">
        <f t="shared" si="70"/>
        <v/>
      </c>
      <c r="X95" s="39"/>
      <c r="Y95" s="72" t="str">
        <f t="shared" si="54"/>
        <v/>
      </c>
      <c r="Z95" s="72" t="str">
        <f t="shared" si="71"/>
        <v/>
      </c>
      <c r="AA95" s="39"/>
      <c r="AB95" s="72" t="str">
        <f t="shared" si="55"/>
        <v/>
      </c>
      <c r="AC95" s="72" t="str">
        <f t="shared" si="72"/>
        <v/>
      </c>
      <c r="AD95" s="39"/>
      <c r="AE95" s="72" t="str">
        <f t="shared" si="56"/>
        <v/>
      </c>
      <c r="AF95" s="72" t="str">
        <f t="shared" si="73"/>
        <v/>
      </c>
      <c r="AG95" s="39"/>
      <c r="AH95" s="72" t="str">
        <f t="shared" si="57"/>
        <v/>
      </c>
      <c r="AI95" s="72" t="str">
        <f t="shared" si="74"/>
        <v/>
      </c>
      <c r="AJ95" s="39"/>
      <c r="AK95" s="72" t="str">
        <f t="shared" si="75"/>
        <v/>
      </c>
      <c r="AL95" s="72" t="str">
        <f t="shared" si="76"/>
        <v/>
      </c>
      <c r="AM95" s="39"/>
      <c r="AN95" s="72" t="str">
        <f t="shared" si="58"/>
        <v/>
      </c>
      <c r="AO95" s="72" t="str">
        <f t="shared" si="77"/>
        <v/>
      </c>
      <c r="AP95" s="39"/>
      <c r="AQ95" s="72" t="str">
        <f t="shared" si="59"/>
        <v/>
      </c>
      <c r="AR95" s="72" t="str">
        <f t="shared" si="78"/>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60"/>
        <v/>
      </c>
      <c r="AW95" s="72" t="str">
        <f t="shared" si="61"/>
        <v/>
      </c>
      <c r="AX95" s="39"/>
      <c r="AY95" s="40" t="str">
        <f>IF(ISERROR(IF($K95&lt;=$F$15,VLOOKUP($I95,'表4）CO2価格'!$A$7:$E$67,VLOOKUP($F$48,'表4）CO2価格'!$H$10:$I$12,2,0),0)*$F$8/1000,"")),0,IF($K95&lt;=$F$15,VLOOKUP($I95,'表4）CO2価格'!$A$7:$E$67,VLOOKUP($F$48,'表4）CO2価格'!$H$10:$I$12,2,0),0)*$F$8/1000,""))</f>
        <v/>
      </c>
      <c r="AZ95" s="39"/>
      <c r="BA95" s="42" t="str">
        <f t="shared" si="62"/>
        <v/>
      </c>
      <c r="BB95" s="72" t="str">
        <f t="shared" si="79"/>
        <v/>
      </c>
      <c r="BC95" s="39"/>
      <c r="BD95" s="72" t="str">
        <f t="shared" si="63"/>
        <v/>
      </c>
      <c r="BE95" s="72" t="str">
        <f t="shared" si="80"/>
        <v/>
      </c>
      <c r="BF95" s="39"/>
      <c r="BG95" s="42" t="str">
        <f t="shared" si="64"/>
        <v/>
      </c>
      <c r="BH95" s="72" t="str">
        <f t="shared" si="81"/>
        <v/>
      </c>
      <c r="BI95" s="39"/>
      <c r="BJ95" s="40" t="str">
        <f t="shared" si="82"/>
        <v/>
      </c>
      <c r="BK95" s="157" t="str">
        <f t="shared" si="83"/>
        <v/>
      </c>
      <c r="BL95" s="157" t="str">
        <f t="shared" si="65"/>
        <v/>
      </c>
      <c r="BM95" s="72"/>
      <c r="BN95" s="72" t="str">
        <f t="shared" si="84"/>
        <v/>
      </c>
      <c r="BO95" s="72" t="str">
        <f t="shared" si="85"/>
        <v/>
      </c>
      <c r="BP95" s="39"/>
      <c r="BQ95" s="72" t="str">
        <f t="shared" si="66"/>
        <v/>
      </c>
      <c r="BR95" s="72" t="str">
        <f t="shared" si="86"/>
        <v/>
      </c>
    </row>
    <row r="96" spans="4:70" ht="15" x14ac:dyDescent="0.15">
      <c r="D96" s="116"/>
      <c r="E96" s="81" t="s">
        <v>198</v>
      </c>
      <c r="F96" s="91">
        <f>IF(F3&lt;&gt;"原子力",AW116/$BR$116,0)</f>
        <v>8.9751898402304136</v>
      </c>
      <c r="G96" s="81" t="s">
        <v>132</v>
      </c>
      <c r="I96" s="322">
        <f t="shared" si="87"/>
        <v>2101</v>
      </c>
      <c r="J96" s="71"/>
      <c r="K96" s="71">
        <f t="shared" si="88"/>
        <v>82</v>
      </c>
      <c r="L96" s="71"/>
      <c r="M96" s="7">
        <f t="shared" si="51"/>
        <v>8.8582426831197242E-2</v>
      </c>
      <c r="N96" s="71"/>
      <c r="O96" s="10" t="str">
        <f t="shared" si="67"/>
        <v/>
      </c>
      <c r="P96" s="29" t="str">
        <f t="shared" si="52"/>
        <v/>
      </c>
      <c r="Q96" s="71"/>
      <c r="R96" s="10" t="str">
        <f t="shared" si="68"/>
        <v/>
      </c>
      <c r="S96" s="71"/>
      <c r="T96" s="10" t="str">
        <f t="shared" si="69"/>
        <v/>
      </c>
      <c r="U96" s="71"/>
      <c r="V96" s="10" t="str">
        <f t="shared" si="53"/>
        <v/>
      </c>
      <c r="W96" s="10" t="str">
        <f t="shared" si="70"/>
        <v/>
      </c>
      <c r="X96" s="71"/>
      <c r="Y96" s="10" t="str">
        <f t="shared" si="54"/>
        <v/>
      </c>
      <c r="Z96" s="10" t="str">
        <f t="shared" si="71"/>
        <v/>
      </c>
      <c r="AA96" s="71"/>
      <c r="AB96" s="10" t="str">
        <f t="shared" si="55"/>
        <v/>
      </c>
      <c r="AC96" s="10" t="str">
        <f t="shared" si="72"/>
        <v/>
      </c>
      <c r="AD96" s="71"/>
      <c r="AE96" s="10" t="str">
        <f t="shared" si="56"/>
        <v/>
      </c>
      <c r="AF96" s="10" t="str">
        <f t="shared" si="73"/>
        <v/>
      </c>
      <c r="AG96" s="71"/>
      <c r="AH96" s="10" t="str">
        <f t="shared" si="57"/>
        <v/>
      </c>
      <c r="AI96" s="10" t="str">
        <f t="shared" si="74"/>
        <v/>
      </c>
      <c r="AJ96" s="71"/>
      <c r="AK96" s="10" t="str">
        <f t="shared" si="75"/>
        <v/>
      </c>
      <c r="AL96" s="10" t="str">
        <f t="shared" si="76"/>
        <v/>
      </c>
      <c r="AM96" s="71"/>
      <c r="AN96" s="10" t="str">
        <f t="shared" si="58"/>
        <v/>
      </c>
      <c r="AO96" s="10" t="str">
        <f t="shared" si="77"/>
        <v/>
      </c>
      <c r="AP96" s="71"/>
      <c r="AQ96" s="10" t="str">
        <f t="shared" si="59"/>
        <v/>
      </c>
      <c r="AR96" s="10" t="str">
        <f t="shared" si="78"/>
        <v/>
      </c>
      <c r="AS96" s="71"/>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U96" s="71"/>
      <c r="AV96" s="10" t="str">
        <f t="shared" si="60"/>
        <v/>
      </c>
      <c r="AW96" s="10" t="str">
        <f t="shared" si="61"/>
        <v/>
      </c>
      <c r="AX96" s="71"/>
      <c r="AY96" s="7" t="str">
        <f>IF(ISERROR(IF($K96&lt;=$F$15,VLOOKUP($I96,'表4）CO2価格'!$A$7:$E$67,VLOOKUP($F$48,'表4）CO2価格'!$H$10:$I$12,2,0),0)*$F$8/1000,"")),0,IF($K96&lt;=$F$15,VLOOKUP($I96,'表4）CO2価格'!$A$7:$E$67,VLOOKUP($F$48,'表4）CO2価格'!$H$10:$I$12,2,0),0)*$F$8/1000,""))</f>
        <v/>
      </c>
      <c r="AZ96" s="71"/>
      <c r="BA96" s="11" t="str">
        <f t="shared" si="62"/>
        <v/>
      </c>
      <c r="BB96" s="10" t="str">
        <f t="shared" si="79"/>
        <v/>
      </c>
      <c r="BC96" s="71"/>
      <c r="BD96" s="10" t="str">
        <f t="shared" si="63"/>
        <v/>
      </c>
      <c r="BE96" s="10" t="str">
        <f t="shared" si="80"/>
        <v/>
      </c>
      <c r="BF96" s="71"/>
      <c r="BG96" s="11" t="str">
        <f t="shared" si="64"/>
        <v/>
      </c>
      <c r="BH96" s="10" t="str">
        <f t="shared" si="81"/>
        <v/>
      </c>
      <c r="BJ96" s="7" t="str">
        <f t="shared" si="82"/>
        <v/>
      </c>
      <c r="BK96" s="158" t="str">
        <f t="shared" si="83"/>
        <v/>
      </c>
      <c r="BL96" s="158" t="str">
        <f t="shared" si="65"/>
        <v/>
      </c>
      <c r="BM96" s="10"/>
      <c r="BN96" s="10" t="str">
        <f t="shared" si="84"/>
        <v/>
      </c>
      <c r="BO96" s="10" t="str">
        <f t="shared" si="85"/>
        <v/>
      </c>
      <c r="BQ96" s="10" t="str">
        <f t="shared" si="66"/>
        <v/>
      </c>
      <c r="BR96" s="10" t="str">
        <f t="shared" si="86"/>
        <v/>
      </c>
    </row>
    <row r="97" spans="4:70" ht="15" x14ac:dyDescent="0.15">
      <c r="D97" s="116"/>
      <c r="E97" s="81" t="s">
        <v>199</v>
      </c>
      <c r="F97" s="91">
        <f>IF(F3="原子力",#REF!,0)</f>
        <v>0</v>
      </c>
      <c r="G97" s="81" t="s">
        <v>132</v>
      </c>
      <c r="I97" s="38">
        <f t="shared" si="87"/>
        <v>2102</v>
      </c>
      <c r="J97" s="39"/>
      <c r="K97" s="39">
        <f t="shared" si="88"/>
        <v>83</v>
      </c>
      <c r="L97" s="39"/>
      <c r="M97" s="40">
        <f t="shared" si="51"/>
        <v>8.6002356146793454E-2</v>
      </c>
      <c r="N97" s="39"/>
      <c r="O97" s="72" t="str">
        <f t="shared" si="67"/>
        <v/>
      </c>
      <c r="P97" s="41" t="str">
        <f t="shared" si="52"/>
        <v/>
      </c>
      <c r="Q97" s="39"/>
      <c r="R97" s="72" t="str">
        <f t="shared" si="68"/>
        <v/>
      </c>
      <c r="S97" s="39"/>
      <c r="T97" s="72" t="str">
        <f t="shared" si="69"/>
        <v/>
      </c>
      <c r="U97" s="39"/>
      <c r="V97" s="72" t="str">
        <f t="shared" si="53"/>
        <v/>
      </c>
      <c r="W97" s="72" t="str">
        <f t="shared" si="70"/>
        <v/>
      </c>
      <c r="X97" s="39"/>
      <c r="Y97" s="72" t="str">
        <f t="shared" si="54"/>
        <v/>
      </c>
      <c r="Z97" s="72" t="str">
        <f t="shared" si="71"/>
        <v/>
      </c>
      <c r="AA97" s="39"/>
      <c r="AB97" s="72" t="str">
        <f t="shared" si="55"/>
        <v/>
      </c>
      <c r="AC97" s="72" t="str">
        <f t="shared" si="72"/>
        <v/>
      </c>
      <c r="AD97" s="39"/>
      <c r="AE97" s="72" t="str">
        <f t="shared" si="56"/>
        <v/>
      </c>
      <c r="AF97" s="72" t="str">
        <f t="shared" si="73"/>
        <v/>
      </c>
      <c r="AG97" s="39"/>
      <c r="AH97" s="72" t="str">
        <f t="shared" si="57"/>
        <v/>
      </c>
      <c r="AI97" s="72" t="str">
        <f t="shared" si="74"/>
        <v/>
      </c>
      <c r="AJ97" s="39"/>
      <c r="AK97" s="72" t="str">
        <f t="shared" si="75"/>
        <v/>
      </c>
      <c r="AL97" s="72" t="str">
        <f t="shared" si="76"/>
        <v/>
      </c>
      <c r="AM97" s="39"/>
      <c r="AN97" s="72" t="str">
        <f t="shared" si="58"/>
        <v/>
      </c>
      <c r="AO97" s="72" t="str">
        <f t="shared" si="77"/>
        <v/>
      </c>
      <c r="AP97" s="39"/>
      <c r="AQ97" s="72" t="str">
        <f t="shared" si="59"/>
        <v/>
      </c>
      <c r="AR97" s="72" t="str">
        <f t="shared" si="78"/>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60"/>
        <v/>
      </c>
      <c r="AW97" s="72" t="str">
        <f t="shared" si="61"/>
        <v/>
      </c>
      <c r="AX97" s="39"/>
      <c r="AY97" s="40" t="str">
        <f>IF(ISERROR(IF($K97&lt;=$F$15,VLOOKUP($I97,'表4）CO2価格'!$A$7:$E$67,VLOOKUP($F$48,'表4）CO2価格'!$H$10:$I$12,2,0),0)*$F$8/1000,"")),0,IF($K97&lt;=$F$15,VLOOKUP($I97,'表4）CO2価格'!$A$7:$E$67,VLOOKUP($F$48,'表4）CO2価格'!$H$10:$I$12,2,0),0)*$F$8/1000,""))</f>
        <v/>
      </c>
      <c r="AZ97" s="39"/>
      <c r="BA97" s="42" t="str">
        <f t="shared" si="62"/>
        <v/>
      </c>
      <c r="BB97" s="72" t="str">
        <f t="shared" si="79"/>
        <v/>
      </c>
      <c r="BC97" s="39"/>
      <c r="BD97" s="72" t="str">
        <f t="shared" si="63"/>
        <v/>
      </c>
      <c r="BE97" s="72" t="str">
        <f t="shared" si="80"/>
        <v/>
      </c>
      <c r="BF97" s="39"/>
      <c r="BG97" s="42" t="str">
        <f t="shared" si="64"/>
        <v/>
      </c>
      <c r="BH97" s="72" t="str">
        <f t="shared" si="81"/>
        <v/>
      </c>
      <c r="BI97" s="39"/>
      <c r="BJ97" s="40" t="str">
        <f t="shared" si="82"/>
        <v/>
      </c>
      <c r="BK97" s="157" t="str">
        <f t="shared" si="83"/>
        <v/>
      </c>
      <c r="BL97" s="157" t="str">
        <f t="shared" si="65"/>
        <v/>
      </c>
      <c r="BM97" s="72"/>
      <c r="BN97" s="72" t="str">
        <f t="shared" si="84"/>
        <v/>
      </c>
      <c r="BO97" s="72" t="str">
        <f t="shared" si="85"/>
        <v/>
      </c>
      <c r="BP97" s="39"/>
      <c r="BQ97" s="72" t="str">
        <f t="shared" si="66"/>
        <v/>
      </c>
      <c r="BR97" s="72" t="str">
        <f t="shared" si="86"/>
        <v/>
      </c>
    </row>
    <row r="98" spans="4:70" x14ac:dyDescent="0.15">
      <c r="F98" s="93"/>
      <c r="I98" s="322">
        <f t="shared" si="87"/>
        <v>2103</v>
      </c>
      <c r="J98" s="71"/>
      <c r="K98" s="71">
        <f t="shared" si="88"/>
        <v>84</v>
      </c>
      <c r="L98" s="71"/>
      <c r="M98" s="7">
        <f t="shared" si="51"/>
        <v>8.3497433152226644E-2</v>
      </c>
      <c r="N98" s="71"/>
      <c r="O98" s="10" t="str">
        <f t="shared" si="67"/>
        <v/>
      </c>
      <c r="P98" s="29" t="str">
        <f t="shared" si="52"/>
        <v/>
      </c>
      <c r="Q98" s="71"/>
      <c r="R98" s="10" t="str">
        <f t="shared" si="68"/>
        <v/>
      </c>
      <c r="S98" s="71"/>
      <c r="T98" s="10" t="str">
        <f t="shared" si="69"/>
        <v/>
      </c>
      <c r="U98" s="71"/>
      <c r="V98" s="10" t="str">
        <f t="shared" si="53"/>
        <v/>
      </c>
      <c r="W98" s="10" t="str">
        <f t="shared" si="70"/>
        <v/>
      </c>
      <c r="X98" s="71"/>
      <c r="Y98" s="10" t="str">
        <f t="shared" si="54"/>
        <v/>
      </c>
      <c r="Z98" s="10" t="str">
        <f t="shared" si="71"/>
        <v/>
      </c>
      <c r="AA98" s="71"/>
      <c r="AB98" s="10" t="str">
        <f t="shared" si="55"/>
        <v/>
      </c>
      <c r="AC98" s="10" t="str">
        <f t="shared" si="72"/>
        <v/>
      </c>
      <c r="AD98" s="71"/>
      <c r="AE98" s="10" t="str">
        <f t="shared" si="56"/>
        <v/>
      </c>
      <c r="AF98" s="10" t="str">
        <f t="shared" si="73"/>
        <v/>
      </c>
      <c r="AG98" s="71"/>
      <c r="AH98" s="10" t="str">
        <f t="shared" si="57"/>
        <v/>
      </c>
      <c r="AI98" s="10" t="str">
        <f t="shared" si="74"/>
        <v/>
      </c>
      <c r="AJ98" s="71"/>
      <c r="AK98" s="10" t="str">
        <f t="shared" si="75"/>
        <v/>
      </c>
      <c r="AL98" s="10" t="str">
        <f t="shared" si="76"/>
        <v/>
      </c>
      <c r="AM98" s="71"/>
      <c r="AN98" s="10" t="str">
        <f t="shared" si="58"/>
        <v/>
      </c>
      <c r="AO98" s="10" t="str">
        <f t="shared" si="77"/>
        <v/>
      </c>
      <c r="AP98" s="71"/>
      <c r="AQ98" s="10" t="str">
        <f t="shared" si="59"/>
        <v/>
      </c>
      <c r="AR98" s="10" t="str">
        <f t="shared" si="78"/>
        <v/>
      </c>
      <c r="AS98" s="71"/>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U98" s="71"/>
      <c r="AV98" s="10" t="str">
        <f t="shared" si="60"/>
        <v/>
      </c>
      <c r="AW98" s="10" t="str">
        <f t="shared" si="61"/>
        <v/>
      </c>
      <c r="AX98" s="71"/>
      <c r="AY98" s="7" t="str">
        <f>IF(ISERROR(IF($K98&lt;=$F$15,VLOOKUP($I98,'表4）CO2価格'!$A$7:$E$67,VLOOKUP($F$48,'表4）CO2価格'!$H$10:$I$12,2,0),0)*$F$8/1000,"")),0,IF($K98&lt;=$F$15,VLOOKUP($I98,'表4）CO2価格'!$A$7:$E$67,VLOOKUP($F$48,'表4）CO2価格'!$H$10:$I$12,2,0),0)*$F$8/1000,""))</f>
        <v/>
      </c>
      <c r="AZ98" s="71"/>
      <c r="BA98" s="11" t="str">
        <f t="shared" si="62"/>
        <v/>
      </c>
      <c r="BB98" s="10" t="str">
        <f t="shared" si="79"/>
        <v/>
      </c>
      <c r="BC98" s="71"/>
      <c r="BD98" s="10" t="str">
        <f t="shared" si="63"/>
        <v/>
      </c>
      <c r="BE98" s="10" t="str">
        <f t="shared" si="80"/>
        <v/>
      </c>
      <c r="BF98" s="71"/>
      <c r="BG98" s="11" t="str">
        <f t="shared" si="64"/>
        <v/>
      </c>
      <c r="BH98" s="10" t="str">
        <f t="shared" si="81"/>
        <v/>
      </c>
      <c r="BJ98" s="7" t="str">
        <f t="shared" si="82"/>
        <v/>
      </c>
      <c r="BK98" s="158" t="str">
        <f t="shared" si="83"/>
        <v/>
      </c>
      <c r="BL98" s="158" t="str">
        <f t="shared" si="65"/>
        <v/>
      </c>
      <c r="BM98" s="10"/>
      <c r="BN98" s="10" t="str">
        <f t="shared" si="84"/>
        <v/>
      </c>
      <c r="BO98" s="10" t="str">
        <f t="shared" si="85"/>
        <v/>
      </c>
      <c r="BQ98" s="10" t="str">
        <f t="shared" si="66"/>
        <v/>
      </c>
      <c r="BR98" s="10" t="str">
        <f t="shared" si="86"/>
        <v/>
      </c>
    </row>
    <row r="99" spans="4:70" ht="15" x14ac:dyDescent="0.15">
      <c r="D99" s="116" t="s">
        <v>200</v>
      </c>
      <c r="F99" s="94">
        <f>SUBTOTAL(9,F103:F105)</f>
        <v>2.9346274968257497</v>
      </c>
      <c r="G99" s="81" t="s">
        <v>132</v>
      </c>
      <c r="I99" s="38">
        <f t="shared" si="87"/>
        <v>2104</v>
      </c>
      <c r="J99" s="39"/>
      <c r="K99" s="39">
        <f t="shared" si="88"/>
        <v>85</v>
      </c>
      <c r="L99" s="39"/>
      <c r="M99" s="40">
        <f t="shared" si="51"/>
        <v>8.1065469079831712E-2</v>
      </c>
      <c r="N99" s="39"/>
      <c r="O99" s="72" t="str">
        <f t="shared" si="67"/>
        <v/>
      </c>
      <c r="P99" s="41" t="str">
        <f t="shared" si="52"/>
        <v/>
      </c>
      <c r="Q99" s="39"/>
      <c r="R99" s="72" t="str">
        <f t="shared" si="68"/>
        <v/>
      </c>
      <c r="S99" s="39"/>
      <c r="T99" s="72" t="str">
        <f t="shared" si="69"/>
        <v/>
      </c>
      <c r="U99" s="39"/>
      <c r="V99" s="72" t="str">
        <f t="shared" si="53"/>
        <v/>
      </c>
      <c r="W99" s="72" t="str">
        <f t="shared" si="70"/>
        <v/>
      </c>
      <c r="X99" s="39"/>
      <c r="Y99" s="72" t="str">
        <f t="shared" si="54"/>
        <v/>
      </c>
      <c r="Z99" s="72" t="str">
        <f t="shared" si="71"/>
        <v/>
      </c>
      <c r="AA99" s="39"/>
      <c r="AB99" s="72" t="str">
        <f t="shared" si="55"/>
        <v/>
      </c>
      <c r="AC99" s="72" t="str">
        <f t="shared" si="72"/>
        <v/>
      </c>
      <c r="AD99" s="39"/>
      <c r="AE99" s="72" t="str">
        <f t="shared" si="56"/>
        <v/>
      </c>
      <c r="AF99" s="72" t="str">
        <f t="shared" si="73"/>
        <v/>
      </c>
      <c r="AG99" s="39"/>
      <c r="AH99" s="72" t="str">
        <f t="shared" si="57"/>
        <v/>
      </c>
      <c r="AI99" s="72" t="str">
        <f t="shared" si="74"/>
        <v/>
      </c>
      <c r="AJ99" s="39"/>
      <c r="AK99" s="72" t="str">
        <f t="shared" si="75"/>
        <v/>
      </c>
      <c r="AL99" s="72" t="str">
        <f t="shared" si="76"/>
        <v/>
      </c>
      <c r="AM99" s="39"/>
      <c r="AN99" s="72" t="str">
        <f t="shared" si="58"/>
        <v/>
      </c>
      <c r="AO99" s="72" t="str">
        <f t="shared" si="77"/>
        <v/>
      </c>
      <c r="AP99" s="39"/>
      <c r="AQ99" s="72" t="str">
        <f t="shared" si="59"/>
        <v/>
      </c>
      <c r="AR99" s="72" t="str">
        <f t="shared" si="78"/>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60"/>
        <v/>
      </c>
      <c r="AW99" s="72" t="str">
        <f t="shared" si="61"/>
        <v/>
      </c>
      <c r="AX99" s="39"/>
      <c r="AY99" s="40" t="str">
        <f>IF(ISERROR(IF($K99&lt;=$F$15,VLOOKUP($I99,'表4）CO2価格'!$A$7:$E$67,VLOOKUP($F$48,'表4）CO2価格'!$H$10:$I$12,2,0),0)*$F$8/1000,"")),0,IF($K99&lt;=$F$15,VLOOKUP($I99,'表4）CO2価格'!$A$7:$E$67,VLOOKUP($F$48,'表4）CO2価格'!$H$10:$I$12,2,0),0)*$F$8/1000,""))</f>
        <v/>
      </c>
      <c r="AZ99" s="39"/>
      <c r="BA99" s="42" t="str">
        <f t="shared" si="62"/>
        <v/>
      </c>
      <c r="BB99" s="72" t="str">
        <f t="shared" si="79"/>
        <v/>
      </c>
      <c r="BC99" s="39"/>
      <c r="BD99" s="72" t="str">
        <f t="shared" si="63"/>
        <v/>
      </c>
      <c r="BE99" s="72" t="str">
        <f t="shared" si="80"/>
        <v/>
      </c>
      <c r="BF99" s="39"/>
      <c r="BG99" s="42" t="str">
        <f t="shared" si="64"/>
        <v/>
      </c>
      <c r="BH99" s="72" t="str">
        <f t="shared" si="81"/>
        <v/>
      </c>
      <c r="BI99" s="39"/>
      <c r="BJ99" s="40" t="str">
        <f t="shared" si="82"/>
        <v/>
      </c>
      <c r="BK99" s="157" t="str">
        <f t="shared" si="83"/>
        <v/>
      </c>
      <c r="BL99" s="157" t="str">
        <f t="shared" si="65"/>
        <v/>
      </c>
      <c r="BM99" s="72"/>
      <c r="BN99" s="72" t="str">
        <f t="shared" si="84"/>
        <v/>
      </c>
      <c r="BO99" s="72" t="str">
        <f t="shared" si="85"/>
        <v/>
      </c>
      <c r="BP99" s="39"/>
      <c r="BQ99" s="72" t="str">
        <f t="shared" si="66"/>
        <v/>
      </c>
      <c r="BR99" s="72" t="str">
        <f t="shared" si="86"/>
        <v/>
      </c>
    </row>
    <row r="100" spans="4:70" x14ac:dyDescent="0.15">
      <c r="F100" s="93"/>
      <c r="I100" s="322">
        <f t="shared" si="87"/>
        <v>2105</v>
      </c>
      <c r="J100" s="71"/>
      <c r="K100" s="71">
        <f t="shared" si="88"/>
        <v>86</v>
      </c>
      <c r="L100" s="71"/>
      <c r="M100" s="7">
        <f t="shared" si="51"/>
        <v>7.8704338912457969E-2</v>
      </c>
      <c r="N100" s="71"/>
      <c r="O100" s="10" t="str">
        <f t="shared" si="67"/>
        <v/>
      </c>
      <c r="P100" s="29" t="str">
        <f t="shared" si="52"/>
        <v/>
      </c>
      <c r="Q100" s="71"/>
      <c r="R100" s="10" t="str">
        <f t="shared" si="68"/>
        <v/>
      </c>
      <c r="S100" s="71"/>
      <c r="T100" s="10" t="str">
        <f t="shared" si="69"/>
        <v/>
      </c>
      <c r="U100" s="71"/>
      <c r="V100" s="10" t="str">
        <f t="shared" si="53"/>
        <v/>
      </c>
      <c r="W100" s="10" t="str">
        <f t="shared" si="70"/>
        <v/>
      </c>
      <c r="X100" s="71"/>
      <c r="Y100" s="10" t="str">
        <f t="shared" si="54"/>
        <v/>
      </c>
      <c r="Z100" s="10" t="str">
        <f t="shared" si="71"/>
        <v/>
      </c>
      <c r="AA100" s="71"/>
      <c r="AB100" s="10" t="str">
        <f t="shared" si="55"/>
        <v/>
      </c>
      <c r="AC100" s="10" t="str">
        <f t="shared" si="72"/>
        <v/>
      </c>
      <c r="AD100" s="71"/>
      <c r="AE100" s="10" t="str">
        <f t="shared" si="56"/>
        <v/>
      </c>
      <c r="AF100" s="10" t="str">
        <f t="shared" si="73"/>
        <v/>
      </c>
      <c r="AG100" s="71"/>
      <c r="AH100" s="10" t="str">
        <f t="shared" si="57"/>
        <v/>
      </c>
      <c r="AI100" s="10" t="str">
        <f t="shared" si="74"/>
        <v/>
      </c>
      <c r="AJ100" s="71"/>
      <c r="AK100" s="10" t="str">
        <f t="shared" si="75"/>
        <v/>
      </c>
      <c r="AL100" s="10" t="str">
        <f t="shared" si="76"/>
        <v/>
      </c>
      <c r="AM100" s="71"/>
      <c r="AN100" s="10" t="str">
        <f t="shared" si="58"/>
        <v/>
      </c>
      <c r="AO100" s="10" t="str">
        <f t="shared" si="77"/>
        <v/>
      </c>
      <c r="AP100" s="71"/>
      <c r="AQ100" s="10" t="str">
        <f t="shared" si="59"/>
        <v/>
      </c>
      <c r="AR100" s="10" t="str">
        <f t="shared" si="78"/>
        <v/>
      </c>
      <c r="AS100" s="71"/>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U100" s="71"/>
      <c r="AV100" s="10" t="str">
        <f t="shared" si="60"/>
        <v/>
      </c>
      <c r="AW100" s="10" t="str">
        <f t="shared" si="61"/>
        <v/>
      </c>
      <c r="AX100" s="71"/>
      <c r="AY100" s="7" t="str">
        <f>IF(ISERROR(IF($K100&lt;=$F$15,VLOOKUP($I100,'表4）CO2価格'!$A$7:$E$67,VLOOKUP($F$48,'表4）CO2価格'!$H$10:$I$12,2,0),0)*$F$8/1000,"")),0,IF($K100&lt;=$F$15,VLOOKUP($I100,'表4）CO2価格'!$A$7:$E$67,VLOOKUP($F$48,'表4）CO2価格'!$H$10:$I$12,2,0),0)*$F$8/1000,""))</f>
        <v/>
      </c>
      <c r="AZ100" s="71"/>
      <c r="BA100" s="11" t="str">
        <f t="shared" si="62"/>
        <v/>
      </c>
      <c r="BB100" s="10" t="str">
        <f t="shared" si="79"/>
        <v/>
      </c>
      <c r="BC100" s="71"/>
      <c r="BD100" s="10" t="str">
        <f t="shared" si="63"/>
        <v/>
      </c>
      <c r="BE100" s="10" t="str">
        <f t="shared" si="80"/>
        <v/>
      </c>
      <c r="BF100" s="71"/>
      <c r="BG100" s="11" t="str">
        <f t="shared" si="64"/>
        <v/>
      </c>
      <c r="BH100" s="10" t="str">
        <f t="shared" si="81"/>
        <v/>
      </c>
      <c r="BJ100" s="7" t="str">
        <f t="shared" si="82"/>
        <v/>
      </c>
      <c r="BK100" s="158" t="str">
        <f t="shared" si="83"/>
        <v/>
      </c>
      <c r="BL100" s="158" t="str">
        <f t="shared" si="65"/>
        <v/>
      </c>
      <c r="BM100" s="10"/>
      <c r="BN100" s="10" t="str">
        <f t="shared" si="84"/>
        <v/>
      </c>
      <c r="BO100" s="10" t="str">
        <f t="shared" si="85"/>
        <v/>
      </c>
      <c r="BQ100" s="10" t="str">
        <f t="shared" si="66"/>
        <v/>
      </c>
      <c r="BR100" s="10" t="str">
        <f t="shared" si="86"/>
        <v/>
      </c>
    </row>
    <row r="101" spans="4:70" x14ac:dyDescent="0.15">
      <c r="D101" s="101" t="s">
        <v>201</v>
      </c>
      <c r="E101" s="101"/>
      <c r="F101" s="92"/>
      <c r="G101" s="101"/>
      <c r="I101" s="38">
        <f t="shared" si="87"/>
        <v>2106</v>
      </c>
      <c r="J101" s="39"/>
      <c r="K101" s="39">
        <f t="shared" si="88"/>
        <v>87</v>
      </c>
      <c r="L101" s="39"/>
      <c r="M101" s="40">
        <f t="shared" si="51"/>
        <v>7.6411979526658208E-2</v>
      </c>
      <c r="N101" s="39"/>
      <c r="O101" s="72" t="str">
        <f t="shared" si="67"/>
        <v/>
      </c>
      <c r="P101" s="41" t="str">
        <f t="shared" si="52"/>
        <v/>
      </c>
      <c r="Q101" s="39"/>
      <c r="R101" s="72" t="str">
        <f t="shared" si="68"/>
        <v/>
      </c>
      <c r="S101" s="39"/>
      <c r="T101" s="72" t="str">
        <f t="shared" si="69"/>
        <v/>
      </c>
      <c r="U101" s="39"/>
      <c r="V101" s="72" t="str">
        <f t="shared" si="53"/>
        <v/>
      </c>
      <c r="W101" s="72" t="str">
        <f t="shared" si="70"/>
        <v/>
      </c>
      <c r="X101" s="39"/>
      <c r="Y101" s="72" t="str">
        <f t="shared" si="54"/>
        <v/>
      </c>
      <c r="Z101" s="72" t="str">
        <f t="shared" si="71"/>
        <v/>
      </c>
      <c r="AA101" s="39"/>
      <c r="AB101" s="72" t="str">
        <f t="shared" si="55"/>
        <v/>
      </c>
      <c r="AC101" s="72" t="str">
        <f t="shared" si="72"/>
        <v/>
      </c>
      <c r="AD101" s="39"/>
      <c r="AE101" s="72" t="str">
        <f t="shared" si="56"/>
        <v/>
      </c>
      <c r="AF101" s="72" t="str">
        <f t="shared" si="73"/>
        <v/>
      </c>
      <c r="AG101" s="39"/>
      <c r="AH101" s="72" t="str">
        <f t="shared" si="57"/>
        <v/>
      </c>
      <c r="AI101" s="72" t="str">
        <f t="shared" si="74"/>
        <v/>
      </c>
      <c r="AJ101" s="39"/>
      <c r="AK101" s="72" t="str">
        <f t="shared" si="75"/>
        <v/>
      </c>
      <c r="AL101" s="72" t="str">
        <f t="shared" si="76"/>
        <v/>
      </c>
      <c r="AM101" s="39"/>
      <c r="AN101" s="72" t="str">
        <f t="shared" si="58"/>
        <v/>
      </c>
      <c r="AO101" s="72" t="str">
        <f t="shared" si="77"/>
        <v/>
      </c>
      <c r="AP101" s="39"/>
      <c r="AQ101" s="72" t="str">
        <f t="shared" si="59"/>
        <v/>
      </c>
      <c r="AR101" s="72" t="str">
        <f t="shared" si="78"/>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60"/>
        <v/>
      </c>
      <c r="AW101" s="72" t="str">
        <f t="shared" si="61"/>
        <v/>
      </c>
      <c r="AX101" s="39"/>
      <c r="AY101" s="40" t="str">
        <f>IF(ISERROR(IF($K101&lt;=$F$15,VLOOKUP($I101,'表4）CO2価格'!$A$7:$E$67,VLOOKUP($F$48,'表4）CO2価格'!$H$10:$I$12,2,0),0)*$F$8/1000,"")),0,IF($K101&lt;=$F$15,VLOOKUP($I101,'表4）CO2価格'!$A$7:$E$67,VLOOKUP($F$48,'表4）CO2価格'!$H$10:$I$12,2,0),0)*$F$8/1000,""))</f>
        <v/>
      </c>
      <c r="AZ101" s="39"/>
      <c r="BA101" s="42" t="str">
        <f t="shared" si="62"/>
        <v/>
      </c>
      <c r="BB101" s="72" t="str">
        <f t="shared" si="79"/>
        <v/>
      </c>
      <c r="BC101" s="39"/>
      <c r="BD101" s="72" t="str">
        <f t="shared" si="63"/>
        <v/>
      </c>
      <c r="BE101" s="72" t="str">
        <f t="shared" si="80"/>
        <v/>
      </c>
      <c r="BF101" s="39"/>
      <c r="BG101" s="42" t="str">
        <f t="shared" si="64"/>
        <v/>
      </c>
      <c r="BH101" s="72" t="str">
        <f t="shared" si="81"/>
        <v/>
      </c>
      <c r="BI101" s="39"/>
      <c r="BJ101" s="40" t="str">
        <f t="shared" si="82"/>
        <v/>
      </c>
      <c r="BK101" s="157" t="str">
        <f t="shared" si="83"/>
        <v/>
      </c>
      <c r="BL101" s="157" t="str">
        <f t="shared" si="65"/>
        <v/>
      </c>
      <c r="BM101" s="72"/>
      <c r="BN101" s="72" t="str">
        <f t="shared" si="84"/>
        <v/>
      </c>
      <c r="BO101" s="72" t="str">
        <f t="shared" si="85"/>
        <v/>
      </c>
      <c r="BP101" s="39"/>
      <c r="BQ101" s="72" t="str">
        <f t="shared" si="66"/>
        <v/>
      </c>
      <c r="BR101" s="72" t="str">
        <f t="shared" si="86"/>
        <v/>
      </c>
    </row>
    <row r="102" spans="4:70" x14ac:dyDescent="0.15">
      <c r="F102" s="93"/>
      <c r="I102" s="322">
        <f t="shared" si="87"/>
        <v>2107</v>
      </c>
      <c r="J102" s="71"/>
      <c r="K102" s="71">
        <f t="shared" si="88"/>
        <v>88</v>
      </c>
      <c r="L102" s="71"/>
      <c r="M102" s="7">
        <f t="shared" si="51"/>
        <v>7.4186387889959446E-2</v>
      </c>
      <c r="N102" s="71"/>
      <c r="O102" s="10" t="str">
        <f t="shared" si="67"/>
        <v/>
      </c>
      <c r="P102" s="29" t="str">
        <f t="shared" si="52"/>
        <v/>
      </c>
      <c r="Q102" s="71"/>
      <c r="R102" s="10" t="str">
        <f t="shared" si="68"/>
        <v/>
      </c>
      <c r="S102" s="71"/>
      <c r="T102" s="10" t="str">
        <f t="shared" si="69"/>
        <v/>
      </c>
      <c r="U102" s="71"/>
      <c r="V102" s="10" t="str">
        <f t="shared" si="53"/>
        <v/>
      </c>
      <c r="W102" s="10" t="str">
        <f t="shared" si="70"/>
        <v/>
      </c>
      <c r="X102" s="71"/>
      <c r="Y102" s="10" t="str">
        <f t="shared" si="54"/>
        <v/>
      </c>
      <c r="Z102" s="10" t="str">
        <f t="shared" si="71"/>
        <v/>
      </c>
      <c r="AA102" s="71"/>
      <c r="AB102" s="10" t="str">
        <f t="shared" si="55"/>
        <v/>
      </c>
      <c r="AC102" s="10" t="str">
        <f t="shared" si="72"/>
        <v/>
      </c>
      <c r="AD102" s="71"/>
      <c r="AE102" s="10" t="str">
        <f t="shared" si="56"/>
        <v/>
      </c>
      <c r="AF102" s="10" t="str">
        <f t="shared" si="73"/>
        <v/>
      </c>
      <c r="AG102" s="71"/>
      <c r="AH102" s="10" t="str">
        <f t="shared" si="57"/>
        <v/>
      </c>
      <c r="AI102" s="10" t="str">
        <f t="shared" si="74"/>
        <v/>
      </c>
      <c r="AJ102" s="71"/>
      <c r="AK102" s="10" t="str">
        <f t="shared" si="75"/>
        <v/>
      </c>
      <c r="AL102" s="10" t="str">
        <f t="shared" si="76"/>
        <v/>
      </c>
      <c r="AM102" s="71"/>
      <c r="AN102" s="10" t="str">
        <f t="shared" si="58"/>
        <v/>
      </c>
      <c r="AO102" s="10" t="str">
        <f t="shared" si="77"/>
        <v/>
      </c>
      <c r="AP102" s="71"/>
      <c r="AQ102" s="10" t="str">
        <f t="shared" si="59"/>
        <v/>
      </c>
      <c r="AR102" s="10" t="str">
        <f t="shared" si="78"/>
        <v/>
      </c>
      <c r="AS102" s="71"/>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U102" s="71"/>
      <c r="AV102" s="10" t="str">
        <f t="shared" si="60"/>
        <v/>
      </c>
      <c r="AW102" s="10" t="str">
        <f t="shared" si="61"/>
        <v/>
      </c>
      <c r="AX102" s="71"/>
      <c r="AY102" s="7" t="str">
        <f>IF(ISERROR(IF($K102&lt;=$F$15,VLOOKUP($I102,'表4）CO2価格'!$A$7:$E$67,VLOOKUP($F$48,'表4）CO2価格'!$H$10:$I$12,2,0),0)*$F$8/1000,"")),0,IF($K102&lt;=$F$15,VLOOKUP($I102,'表4）CO2価格'!$A$7:$E$67,VLOOKUP($F$48,'表4）CO2価格'!$H$10:$I$12,2,0),0)*$F$8/1000,""))</f>
        <v/>
      </c>
      <c r="AZ102" s="71"/>
      <c r="BA102" s="11" t="str">
        <f t="shared" si="62"/>
        <v/>
      </c>
      <c r="BB102" s="10" t="str">
        <f t="shared" si="79"/>
        <v/>
      </c>
      <c r="BC102" s="71"/>
      <c r="BD102" s="10" t="str">
        <f t="shared" si="63"/>
        <v/>
      </c>
      <c r="BE102" s="10" t="str">
        <f t="shared" si="80"/>
        <v/>
      </c>
      <c r="BF102" s="71"/>
      <c r="BG102" s="11" t="str">
        <f t="shared" si="64"/>
        <v/>
      </c>
      <c r="BH102" s="10" t="str">
        <f t="shared" si="81"/>
        <v/>
      </c>
      <c r="BJ102" s="7" t="str">
        <f t="shared" si="82"/>
        <v/>
      </c>
      <c r="BK102" s="158" t="str">
        <f t="shared" si="83"/>
        <v/>
      </c>
      <c r="BL102" s="158" t="str">
        <f t="shared" si="65"/>
        <v/>
      </c>
      <c r="BM102" s="10"/>
      <c r="BN102" s="10" t="str">
        <f t="shared" si="84"/>
        <v/>
      </c>
      <c r="BO102" s="10" t="str">
        <f t="shared" si="85"/>
        <v/>
      </c>
      <c r="BQ102" s="10" t="str">
        <f t="shared" si="66"/>
        <v/>
      </c>
      <c r="BR102" s="10" t="str">
        <f t="shared" si="86"/>
        <v/>
      </c>
    </row>
    <row r="103" spans="4:70" x14ac:dyDescent="0.15">
      <c r="E103" s="81" t="s">
        <v>202</v>
      </c>
      <c r="F103" s="91">
        <f>BB116/$BR$116</f>
        <v>1.6465064968257497</v>
      </c>
      <c r="G103" s="81" t="s">
        <v>132</v>
      </c>
      <c r="I103" s="38">
        <f t="shared" si="87"/>
        <v>2108</v>
      </c>
      <c r="J103" s="39"/>
      <c r="K103" s="39">
        <f t="shared" si="88"/>
        <v>89</v>
      </c>
      <c r="L103" s="39"/>
      <c r="M103" s="40">
        <f t="shared" si="51"/>
        <v>7.2025619310640235E-2</v>
      </c>
      <c r="N103" s="39"/>
      <c r="O103" s="72" t="str">
        <f t="shared" si="67"/>
        <v/>
      </c>
      <c r="P103" s="41" t="str">
        <f t="shared" si="52"/>
        <v/>
      </c>
      <c r="Q103" s="39"/>
      <c r="R103" s="72" t="str">
        <f t="shared" si="68"/>
        <v/>
      </c>
      <c r="S103" s="39"/>
      <c r="T103" s="72" t="str">
        <f t="shared" si="69"/>
        <v/>
      </c>
      <c r="U103" s="39"/>
      <c r="V103" s="72" t="str">
        <f t="shared" si="53"/>
        <v/>
      </c>
      <c r="W103" s="72" t="str">
        <f t="shared" si="70"/>
        <v/>
      </c>
      <c r="X103" s="39"/>
      <c r="Y103" s="72" t="str">
        <f t="shared" si="54"/>
        <v/>
      </c>
      <c r="Z103" s="72" t="str">
        <f t="shared" si="71"/>
        <v/>
      </c>
      <c r="AA103" s="39"/>
      <c r="AB103" s="72" t="str">
        <f t="shared" si="55"/>
        <v/>
      </c>
      <c r="AC103" s="72" t="str">
        <f t="shared" si="72"/>
        <v/>
      </c>
      <c r="AD103" s="39"/>
      <c r="AE103" s="72" t="str">
        <f t="shared" si="56"/>
        <v/>
      </c>
      <c r="AF103" s="72" t="str">
        <f t="shared" si="73"/>
        <v/>
      </c>
      <c r="AG103" s="39"/>
      <c r="AH103" s="72" t="str">
        <f t="shared" si="57"/>
        <v/>
      </c>
      <c r="AI103" s="72" t="str">
        <f t="shared" si="74"/>
        <v/>
      </c>
      <c r="AJ103" s="39"/>
      <c r="AK103" s="72" t="str">
        <f t="shared" si="75"/>
        <v/>
      </c>
      <c r="AL103" s="72" t="str">
        <f t="shared" si="76"/>
        <v/>
      </c>
      <c r="AM103" s="39"/>
      <c r="AN103" s="72" t="str">
        <f t="shared" si="58"/>
        <v/>
      </c>
      <c r="AO103" s="72" t="str">
        <f t="shared" si="77"/>
        <v/>
      </c>
      <c r="AP103" s="39"/>
      <c r="AQ103" s="72" t="str">
        <f t="shared" si="59"/>
        <v/>
      </c>
      <c r="AR103" s="72" t="str">
        <f t="shared" si="78"/>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60"/>
        <v/>
      </c>
      <c r="AW103" s="72" t="str">
        <f t="shared" si="61"/>
        <v/>
      </c>
      <c r="AX103" s="39"/>
      <c r="AY103" s="40" t="str">
        <f>IF(ISERROR(IF($K103&lt;=$F$15,VLOOKUP($I103,'表4）CO2価格'!$A$7:$E$67,VLOOKUP($F$48,'表4）CO2価格'!$H$10:$I$12,2,0),0)*$F$8/1000,"")),0,IF($K103&lt;=$F$15,VLOOKUP($I103,'表4）CO2価格'!$A$7:$E$67,VLOOKUP($F$48,'表4）CO2価格'!$H$10:$I$12,2,0),0)*$F$8/1000,""))</f>
        <v/>
      </c>
      <c r="AZ103" s="39"/>
      <c r="BA103" s="42" t="str">
        <f t="shared" si="62"/>
        <v/>
      </c>
      <c r="BB103" s="72" t="str">
        <f t="shared" si="79"/>
        <v/>
      </c>
      <c r="BC103" s="39"/>
      <c r="BD103" s="72" t="str">
        <f t="shared" si="63"/>
        <v/>
      </c>
      <c r="BE103" s="72" t="str">
        <f t="shared" si="80"/>
        <v/>
      </c>
      <c r="BF103" s="39"/>
      <c r="BG103" s="42" t="str">
        <f t="shared" si="64"/>
        <v/>
      </c>
      <c r="BH103" s="72" t="str">
        <f t="shared" si="81"/>
        <v/>
      </c>
      <c r="BI103" s="39"/>
      <c r="BJ103" s="40" t="str">
        <f t="shared" si="82"/>
        <v/>
      </c>
      <c r="BK103" s="157" t="str">
        <f t="shared" si="83"/>
        <v/>
      </c>
      <c r="BL103" s="157" t="str">
        <f t="shared" si="65"/>
        <v/>
      </c>
      <c r="BM103" s="72"/>
      <c r="BN103" s="72" t="str">
        <f t="shared" si="84"/>
        <v/>
      </c>
      <c r="BO103" s="72" t="str">
        <f t="shared" si="85"/>
        <v/>
      </c>
      <c r="BP103" s="39"/>
      <c r="BQ103" s="72" t="str">
        <f t="shared" si="66"/>
        <v/>
      </c>
      <c r="BR103" s="72" t="str">
        <f t="shared" si="86"/>
        <v/>
      </c>
    </row>
    <row r="104" spans="4:70" x14ac:dyDescent="0.15">
      <c r="E104" s="81" t="s">
        <v>203</v>
      </c>
      <c r="F104" s="91">
        <f>IF(ISERROR(F60*(1/F61)/F62),0,F60*(1/F61)/F62)</f>
        <v>0</v>
      </c>
      <c r="G104" s="81" t="s">
        <v>132</v>
      </c>
      <c r="I104" s="322">
        <f t="shared" si="87"/>
        <v>2109</v>
      </c>
      <c r="J104" s="71"/>
      <c r="K104" s="71">
        <f t="shared" si="88"/>
        <v>90</v>
      </c>
      <c r="L104" s="71"/>
      <c r="M104" s="7">
        <f t="shared" si="51"/>
        <v>6.9927785738485654E-2</v>
      </c>
      <c r="N104" s="71"/>
      <c r="O104" s="10" t="str">
        <f t="shared" si="67"/>
        <v/>
      </c>
      <c r="P104" s="29" t="str">
        <f t="shared" si="52"/>
        <v/>
      </c>
      <c r="Q104" s="71"/>
      <c r="R104" s="10" t="str">
        <f t="shared" si="68"/>
        <v/>
      </c>
      <c r="S104" s="71"/>
      <c r="T104" s="10" t="str">
        <f t="shared" si="69"/>
        <v/>
      </c>
      <c r="U104" s="71"/>
      <c r="V104" s="10" t="str">
        <f t="shared" si="53"/>
        <v/>
      </c>
      <c r="W104" s="10" t="str">
        <f t="shared" si="70"/>
        <v/>
      </c>
      <c r="X104" s="71"/>
      <c r="Y104" s="10" t="str">
        <f t="shared" si="54"/>
        <v/>
      </c>
      <c r="Z104" s="10" t="str">
        <f t="shared" si="71"/>
        <v/>
      </c>
      <c r="AA104" s="71"/>
      <c r="AB104" s="10" t="str">
        <f t="shared" si="55"/>
        <v/>
      </c>
      <c r="AC104" s="10" t="str">
        <f t="shared" si="72"/>
        <v/>
      </c>
      <c r="AD104" s="71"/>
      <c r="AE104" s="10" t="str">
        <f t="shared" si="56"/>
        <v/>
      </c>
      <c r="AF104" s="10" t="str">
        <f t="shared" si="73"/>
        <v/>
      </c>
      <c r="AG104" s="71"/>
      <c r="AH104" s="10" t="str">
        <f t="shared" si="57"/>
        <v/>
      </c>
      <c r="AI104" s="10" t="str">
        <f t="shared" si="74"/>
        <v/>
      </c>
      <c r="AJ104" s="71"/>
      <c r="AK104" s="10" t="str">
        <f t="shared" si="75"/>
        <v/>
      </c>
      <c r="AL104" s="10" t="str">
        <f t="shared" si="76"/>
        <v/>
      </c>
      <c r="AM104" s="71"/>
      <c r="AN104" s="10" t="str">
        <f t="shared" si="58"/>
        <v/>
      </c>
      <c r="AO104" s="10" t="str">
        <f t="shared" si="77"/>
        <v/>
      </c>
      <c r="AP104" s="71"/>
      <c r="AQ104" s="10" t="str">
        <f t="shared" si="59"/>
        <v/>
      </c>
      <c r="AR104" s="10" t="str">
        <f t="shared" si="78"/>
        <v/>
      </c>
      <c r="AS104" s="71"/>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U104" s="71"/>
      <c r="AV104" s="10" t="str">
        <f t="shared" si="60"/>
        <v/>
      </c>
      <c r="AW104" s="10" t="str">
        <f t="shared" si="61"/>
        <v/>
      </c>
      <c r="AX104" s="71"/>
      <c r="AY104" s="7" t="str">
        <f>IF(ISERROR(IF($K104&lt;=$F$15,VLOOKUP($I104,'表4）CO2価格'!$A$7:$E$67,VLOOKUP($F$48,'表4）CO2価格'!$H$10:$I$12,2,0),0)*$F$8/1000,"")),0,IF($K104&lt;=$F$15,VLOOKUP($I104,'表4）CO2価格'!$A$7:$E$67,VLOOKUP($F$48,'表4）CO2価格'!$H$10:$I$12,2,0),0)*$F$8/1000,""))</f>
        <v/>
      </c>
      <c r="AZ104" s="71"/>
      <c r="BA104" s="11" t="str">
        <f t="shared" si="62"/>
        <v/>
      </c>
      <c r="BB104" s="10" t="str">
        <f t="shared" si="79"/>
        <v/>
      </c>
      <c r="BC104" s="71"/>
      <c r="BD104" s="10" t="str">
        <f t="shared" si="63"/>
        <v/>
      </c>
      <c r="BE104" s="10" t="str">
        <f t="shared" si="80"/>
        <v/>
      </c>
      <c r="BF104" s="71"/>
      <c r="BG104" s="11" t="str">
        <f t="shared" si="64"/>
        <v/>
      </c>
      <c r="BH104" s="10" t="str">
        <f t="shared" si="81"/>
        <v/>
      </c>
      <c r="BJ104" s="7" t="str">
        <f t="shared" si="82"/>
        <v/>
      </c>
      <c r="BK104" s="158" t="str">
        <f t="shared" si="83"/>
        <v/>
      </c>
      <c r="BL104" s="158" t="str">
        <f t="shared" si="65"/>
        <v/>
      </c>
      <c r="BM104" s="10"/>
      <c r="BN104" s="10" t="str">
        <f t="shared" si="84"/>
        <v/>
      </c>
      <c r="BO104" s="10" t="str">
        <f t="shared" si="85"/>
        <v/>
      </c>
      <c r="BQ104" s="10" t="str">
        <f t="shared" si="66"/>
        <v/>
      </c>
      <c r="BR104" s="10" t="str">
        <f t="shared" si="86"/>
        <v/>
      </c>
    </row>
    <row r="105" spans="4:70" x14ac:dyDescent="0.15">
      <c r="E105" s="9" t="s">
        <v>367</v>
      </c>
      <c r="F105" s="91">
        <f>F64</f>
        <v>1.2881210000000001</v>
      </c>
      <c r="G105" s="81" t="s">
        <v>132</v>
      </c>
      <c r="I105" s="38">
        <f t="shared" si="87"/>
        <v>2110</v>
      </c>
      <c r="J105" s="39"/>
      <c r="K105" s="39">
        <f t="shared" si="88"/>
        <v>91</v>
      </c>
      <c r="L105" s="39"/>
      <c r="M105" s="40">
        <f t="shared" si="51"/>
        <v>6.7891054115034627E-2</v>
      </c>
      <c r="N105" s="39"/>
      <c r="O105" s="72" t="str">
        <f t="shared" si="67"/>
        <v/>
      </c>
      <c r="P105" s="41" t="str">
        <f t="shared" si="52"/>
        <v/>
      </c>
      <c r="Q105" s="39"/>
      <c r="R105" s="72" t="str">
        <f t="shared" si="68"/>
        <v/>
      </c>
      <c r="S105" s="39"/>
      <c r="T105" s="72" t="str">
        <f t="shared" si="69"/>
        <v/>
      </c>
      <c r="U105" s="39"/>
      <c r="V105" s="72" t="str">
        <f t="shared" si="53"/>
        <v/>
      </c>
      <c r="W105" s="72" t="str">
        <f t="shared" si="70"/>
        <v/>
      </c>
      <c r="X105" s="39"/>
      <c r="Y105" s="72" t="str">
        <f t="shared" si="54"/>
        <v/>
      </c>
      <c r="Z105" s="72" t="str">
        <f t="shared" si="71"/>
        <v/>
      </c>
      <c r="AA105" s="39"/>
      <c r="AB105" s="72" t="str">
        <f t="shared" si="55"/>
        <v/>
      </c>
      <c r="AC105" s="72" t="str">
        <f t="shared" si="72"/>
        <v/>
      </c>
      <c r="AD105" s="39"/>
      <c r="AE105" s="72" t="str">
        <f t="shared" si="56"/>
        <v/>
      </c>
      <c r="AF105" s="72" t="str">
        <f t="shared" si="73"/>
        <v/>
      </c>
      <c r="AG105" s="39"/>
      <c r="AH105" s="72" t="str">
        <f t="shared" si="57"/>
        <v/>
      </c>
      <c r="AI105" s="72" t="str">
        <f t="shared" si="74"/>
        <v/>
      </c>
      <c r="AJ105" s="39"/>
      <c r="AK105" s="72" t="str">
        <f t="shared" si="75"/>
        <v/>
      </c>
      <c r="AL105" s="72" t="str">
        <f t="shared" si="76"/>
        <v/>
      </c>
      <c r="AM105" s="39"/>
      <c r="AN105" s="72" t="str">
        <f t="shared" si="58"/>
        <v/>
      </c>
      <c r="AO105" s="72" t="str">
        <f t="shared" si="77"/>
        <v/>
      </c>
      <c r="AP105" s="39"/>
      <c r="AQ105" s="72" t="str">
        <f t="shared" si="59"/>
        <v/>
      </c>
      <c r="AR105" s="72" t="str">
        <f t="shared" si="78"/>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60"/>
        <v/>
      </c>
      <c r="AW105" s="72" t="str">
        <f t="shared" si="61"/>
        <v/>
      </c>
      <c r="AX105" s="39"/>
      <c r="AY105" s="40" t="str">
        <f>IF(ISERROR(IF($K105&lt;=$F$15,VLOOKUP($I105,'表4）CO2価格'!$A$7:$E$67,VLOOKUP($F$48,'表4）CO2価格'!$H$10:$I$12,2,0),0)*$F$8/1000,"")),0,IF($K105&lt;=$F$15,VLOOKUP($I105,'表4）CO2価格'!$A$7:$E$67,VLOOKUP($F$48,'表4）CO2価格'!$H$10:$I$12,2,0),0)*$F$8/1000,""))</f>
        <v/>
      </c>
      <c r="AZ105" s="39"/>
      <c r="BA105" s="42" t="str">
        <f t="shared" si="62"/>
        <v/>
      </c>
      <c r="BB105" s="72" t="str">
        <f t="shared" si="79"/>
        <v/>
      </c>
      <c r="BC105" s="39"/>
      <c r="BD105" s="72" t="str">
        <f t="shared" si="63"/>
        <v/>
      </c>
      <c r="BE105" s="72" t="str">
        <f t="shared" si="80"/>
        <v/>
      </c>
      <c r="BF105" s="39"/>
      <c r="BG105" s="42" t="str">
        <f t="shared" si="64"/>
        <v/>
      </c>
      <c r="BH105" s="72" t="str">
        <f t="shared" si="81"/>
        <v/>
      </c>
      <c r="BI105" s="39"/>
      <c r="BJ105" s="40" t="str">
        <f t="shared" si="82"/>
        <v/>
      </c>
      <c r="BK105" s="157" t="str">
        <f t="shared" si="83"/>
        <v/>
      </c>
      <c r="BL105" s="157" t="str">
        <f t="shared" si="65"/>
        <v/>
      </c>
      <c r="BM105" s="72"/>
      <c r="BN105" s="72" t="str">
        <f t="shared" si="84"/>
        <v/>
      </c>
      <c r="BO105" s="72" t="str">
        <f t="shared" si="85"/>
        <v/>
      </c>
      <c r="BP105" s="39"/>
      <c r="BQ105" s="72" t="str">
        <f t="shared" si="66"/>
        <v/>
      </c>
      <c r="BR105" s="72" t="str">
        <f t="shared" si="86"/>
        <v/>
      </c>
    </row>
    <row r="106" spans="4:70" x14ac:dyDescent="0.15">
      <c r="F106" s="93"/>
      <c r="I106" s="322">
        <f t="shared" si="87"/>
        <v>2111</v>
      </c>
      <c r="J106" s="71"/>
      <c r="K106" s="71">
        <f t="shared" si="88"/>
        <v>92</v>
      </c>
      <c r="L106" s="71"/>
      <c r="M106" s="7">
        <f t="shared" si="51"/>
        <v>6.5913644771878277E-2</v>
      </c>
      <c r="N106" s="71"/>
      <c r="O106" s="10" t="str">
        <f t="shared" si="67"/>
        <v/>
      </c>
      <c r="P106" s="29" t="str">
        <f t="shared" si="52"/>
        <v/>
      </c>
      <c r="Q106" s="71"/>
      <c r="R106" s="10" t="str">
        <f t="shared" si="68"/>
        <v/>
      </c>
      <c r="S106" s="71"/>
      <c r="T106" s="10" t="str">
        <f t="shared" si="69"/>
        <v/>
      </c>
      <c r="U106" s="71"/>
      <c r="V106" s="10" t="str">
        <f t="shared" si="53"/>
        <v/>
      </c>
      <c r="W106" s="10" t="str">
        <f t="shared" si="70"/>
        <v/>
      </c>
      <c r="X106" s="71"/>
      <c r="Y106" s="10" t="str">
        <f t="shared" si="54"/>
        <v/>
      </c>
      <c r="Z106" s="10" t="str">
        <f t="shared" si="71"/>
        <v/>
      </c>
      <c r="AA106" s="71"/>
      <c r="AB106" s="10" t="str">
        <f t="shared" si="55"/>
        <v/>
      </c>
      <c r="AC106" s="10" t="str">
        <f t="shared" si="72"/>
        <v/>
      </c>
      <c r="AD106" s="71"/>
      <c r="AE106" s="10" t="str">
        <f t="shared" si="56"/>
        <v/>
      </c>
      <c r="AF106" s="10" t="str">
        <f t="shared" si="73"/>
        <v/>
      </c>
      <c r="AG106" s="71"/>
      <c r="AH106" s="10" t="str">
        <f t="shared" si="57"/>
        <v/>
      </c>
      <c r="AI106" s="10" t="str">
        <f t="shared" si="74"/>
        <v/>
      </c>
      <c r="AJ106" s="71"/>
      <c r="AK106" s="10" t="str">
        <f t="shared" si="75"/>
        <v/>
      </c>
      <c r="AL106" s="10" t="str">
        <f t="shared" si="76"/>
        <v/>
      </c>
      <c r="AM106" s="71"/>
      <c r="AN106" s="10" t="str">
        <f t="shared" si="58"/>
        <v/>
      </c>
      <c r="AO106" s="10" t="str">
        <f t="shared" si="77"/>
        <v/>
      </c>
      <c r="AP106" s="71"/>
      <c r="AQ106" s="10" t="str">
        <f t="shared" si="59"/>
        <v/>
      </c>
      <c r="AR106" s="10" t="str">
        <f t="shared" si="78"/>
        <v/>
      </c>
      <c r="AS106" s="71"/>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U106" s="71"/>
      <c r="AV106" s="10" t="str">
        <f t="shared" si="60"/>
        <v/>
      </c>
      <c r="AW106" s="10" t="str">
        <f t="shared" si="61"/>
        <v/>
      </c>
      <c r="AX106" s="71"/>
      <c r="AY106" s="7" t="str">
        <f>IF(ISERROR(IF($K106&lt;=$F$15,VLOOKUP($I106,'表4）CO2価格'!$A$7:$E$67,VLOOKUP($F$48,'表4）CO2価格'!$H$10:$I$12,2,0),0)*$F$8/1000,"")),0,IF($K106&lt;=$F$15,VLOOKUP($I106,'表4）CO2価格'!$A$7:$E$67,VLOOKUP($F$48,'表4）CO2価格'!$H$10:$I$12,2,0),0)*$F$8/1000,""))</f>
        <v/>
      </c>
      <c r="AZ106" s="71"/>
      <c r="BA106" s="11" t="str">
        <f t="shared" si="62"/>
        <v/>
      </c>
      <c r="BB106" s="10" t="str">
        <f t="shared" si="79"/>
        <v/>
      </c>
      <c r="BC106" s="71"/>
      <c r="BD106" s="10" t="str">
        <f t="shared" si="63"/>
        <v/>
      </c>
      <c r="BE106" s="10" t="str">
        <f t="shared" si="80"/>
        <v/>
      </c>
      <c r="BF106" s="71"/>
      <c r="BG106" s="11" t="str">
        <f t="shared" si="64"/>
        <v/>
      </c>
      <c r="BH106" s="10" t="str">
        <f t="shared" si="81"/>
        <v/>
      </c>
      <c r="BJ106" s="7" t="str">
        <f t="shared" si="82"/>
        <v/>
      </c>
      <c r="BK106" s="158" t="str">
        <f t="shared" si="83"/>
        <v/>
      </c>
      <c r="BL106" s="158" t="str">
        <f t="shared" si="65"/>
        <v/>
      </c>
      <c r="BM106" s="10"/>
      <c r="BN106" s="10" t="str">
        <f t="shared" si="84"/>
        <v/>
      </c>
      <c r="BO106" s="10" t="str">
        <f t="shared" si="85"/>
        <v/>
      </c>
      <c r="BQ106" s="10" t="str">
        <f t="shared" si="66"/>
        <v/>
      </c>
      <c r="BR106" s="10" t="str">
        <f t="shared" si="86"/>
        <v/>
      </c>
    </row>
    <row r="107" spans="4:70" ht="15" x14ac:dyDescent="0.15">
      <c r="D107" s="116" t="s">
        <v>204</v>
      </c>
      <c r="F107" s="94">
        <f>SUBTOTAL(9,F111:F112)</f>
        <v>-5.0579512437581</v>
      </c>
      <c r="G107" s="81" t="s">
        <v>132</v>
      </c>
      <c r="I107" s="38">
        <f t="shared" si="87"/>
        <v>2112</v>
      </c>
      <c r="J107" s="39"/>
      <c r="K107" s="39">
        <f t="shared" si="88"/>
        <v>93</v>
      </c>
      <c r="L107" s="39"/>
      <c r="M107" s="40">
        <f t="shared" si="51"/>
        <v>6.3993829875609989E-2</v>
      </c>
      <c r="N107" s="39"/>
      <c r="O107" s="72" t="str">
        <f t="shared" si="67"/>
        <v/>
      </c>
      <c r="P107" s="41" t="str">
        <f t="shared" si="52"/>
        <v/>
      </c>
      <c r="Q107" s="39"/>
      <c r="R107" s="72" t="str">
        <f t="shared" si="68"/>
        <v/>
      </c>
      <c r="S107" s="39"/>
      <c r="T107" s="72" t="str">
        <f t="shared" si="69"/>
        <v/>
      </c>
      <c r="U107" s="39"/>
      <c r="V107" s="72" t="str">
        <f t="shared" si="53"/>
        <v/>
      </c>
      <c r="W107" s="72" t="str">
        <f t="shared" si="70"/>
        <v/>
      </c>
      <c r="X107" s="39"/>
      <c r="Y107" s="72" t="str">
        <f t="shared" si="54"/>
        <v/>
      </c>
      <c r="Z107" s="72" t="str">
        <f t="shared" si="71"/>
        <v/>
      </c>
      <c r="AA107" s="39"/>
      <c r="AB107" s="72" t="str">
        <f t="shared" si="55"/>
        <v/>
      </c>
      <c r="AC107" s="72" t="str">
        <f t="shared" si="72"/>
        <v/>
      </c>
      <c r="AD107" s="39"/>
      <c r="AE107" s="72" t="str">
        <f t="shared" si="56"/>
        <v/>
      </c>
      <c r="AF107" s="72" t="str">
        <f t="shared" si="73"/>
        <v/>
      </c>
      <c r="AG107" s="39"/>
      <c r="AH107" s="72" t="str">
        <f t="shared" si="57"/>
        <v/>
      </c>
      <c r="AI107" s="72" t="str">
        <f t="shared" si="74"/>
        <v/>
      </c>
      <c r="AJ107" s="39"/>
      <c r="AK107" s="72" t="str">
        <f t="shared" si="75"/>
        <v/>
      </c>
      <c r="AL107" s="72" t="str">
        <f t="shared" si="76"/>
        <v/>
      </c>
      <c r="AM107" s="39"/>
      <c r="AN107" s="72" t="str">
        <f t="shared" si="58"/>
        <v/>
      </c>
      <c r="AO107" s="72" t="str">
        <f t="shared" si="77"/>
        <v/>
      </c>
      <c r="AP107" s="39"/>
      <c r="AQ107" s="72" t="str">
        <f t="shared" si="59"/>
        <v/>
      </c>
      <c r="AR107" s="72" t="str">
        <f t="shared" si="78"/>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60"/>
        <v/>
      </c>
      <c r="AW107" s="72" t="str">
        <f t="shared" si="61"/>
        <v/>
      </c>
      <c r="AX107" s="39"/>
      <c r="AY107" s="40" t="str">
        <f>IF(ISERROR(IF($K107&lt;=$F$15,VLOOKUP($I107,'表4）CO2価格'!$A$7:$E$67,VLOOKUP($F$48,'表4）CO2価格'!$H$10:$I$12,2,0),0)*$F$8/1000,"")),0,IF($K107&lt;=$F$15,VLOOKUP($I107,'表4）CO2価格'!$A$7:$E$67,VLOOKUP($F$48,'表4）CO2価格'!$H$10:$I$12,2,0),0)*$F$8/1000,""))</f>
        <v/>
      </c>
      <c r="AZ107" s="39"/>
      <c r="BA107" s="42" t="str">
        <f t="shared" si="62"/>
        <v/>
      </c>
      <c r="BB107" s="72" t="str">
        <f t="shared" si="79"/>
        <v/>
      </c>
      <c r="BC107" s="39"/>
      <c r="BD107" s="72" t="str">
        <f t="shared" si="63"/>
        <v/>
      </c>
      <c r="BE107" s="72" t="str">
        <f t="shared" si="80"/>
        <v/>
      </c>
      <c r="BF107" s="39"/>
      <c r="BG107" s="42" t="str">
        <f t="shared" si="64"/>
        <v/>
      </c>
      <c r="BH107" s="72" t="str">
        <f t="shared" si="81"/>
        <v/>
      </c>
      <c r="BI107" s="39"/>
      <c r="BJ107" s="40" t="str">
        <f t="shared" si="82"/>
        <v/>
      </c>
      <c r="BK107" s="157" t="str">
        <f t="shared" si="83"/>
        <v/>
      </c>
      <c r="BL107" s="157" t="str">
        <f t="shared" si="65"/>
        <v/>
      </c>
      <c r="BM107" s="72"/>
      <c r="BN107" s="72" t="str">
        <f t="shared" si="84"/>
        <v/>
      </c>
      <c r="BO107" s="72" t="str">
        <f t="shared" si="85"/>
        <v/>
      </c>
      <c r="BP107" s="39"/>
      <c r="BQ107" s="72" t="str">
        <f t="shared" si="66"/>
        <v/>
      </c>
      <c r="BR107" s="72" t="str">
        <f t="shared" si="86"/>
        <v/>
      </c>
    </row>
    <row r="108" spans="4:70" ht="15" x14ac:dyDescent="0.15">
      <c r="D108" s="116"/>
      <c r="F108" s="93"/>
      <c r="I108" s="322">
        <f t="shared" si="87"/>
        <v>2113</v>
      </c>
      <c r="J108" s="71"/>
      <c r="K108" s="71">
        <f t="shared" si="88"/>
        <v>94</v>
      </c>
      <c r="L108" s="71"/>
      <c r="M108" s="7">
        <f t="shared" si="51"/>
        <v>6.212993191806794E-2</v>
      </c>
      <c r="N108" s="71"/>
      <c r="O108" s="10" t="str">
        <f t="shared" si="67"/>
        <v/>
      </c>
      <c r="P108" s="29" t="str">
        <f t="shared" si="52"/>
        <v/>
      </c>
      <c r="Q108" s="71"/>
      <c r="R108" s="10" t="str">
        <f t="shared" si="68"/>
        <v/>
      </c>
      <c r="S108" s="71"/>
      <c r="T108" s="10" t="str">
        <f t="shared" si="69"/>
        <v/>
      </c>
      <c r="U108" s="71"/>
      <c r="V108" s="10" t="str">
        <f t="shared" si="53"/>
        <v/>
      </c>
      <c r="W108" s="10" t="str">
        <f t="shared" si="70"/>
        <v/>
      </c>
      <c r="X108" s="71"/>
      <c r="Y108" s="10" t="str">
        <f t="shared" si="54"/>
        <v/>
      </c>
      <c r="Z108" s="10" t="str">
        <f t="shared" si="71"/>
        <v/>
      </c>
      <c r="AA108" s="71"/>
      <c r="AB108" s="10" t="str">
        <f t="shared" si="55"/>
        <v/>
      </c>
      <c r="AC108" s="10" t="str">
        <f t="shared" si="72"/>
        <v/>
      </c>
      <c r="AD108" s="71"/>
      <c r="AE108" s="10" t="str">
        <f t="shared" si="56"/>
        <v/>
      </c>
      <c r="AF108" s="10" t="str">
        <f t="shared" si="73"/>
        <v/>
      </c>
      <c r="AG108" s="71"/>
      <c r="AH108" s="10" t="str">
        <f t="shared" si="57"/>
        <v/>
      </c>
      <c r="AI108" s="10" t="str">
        <f t="shared" si="74"/>
        <v/>
      </c>
      <c r="AJ108" s="71"/>
      <c r="AK108" s="10" t="str">
        <f t="shared" si="75"/>
        <v/>
      </c>
      <c r="AL108" s="10" t="str">
        <f t="shared" si="76"/>
        <v/>
      </c>
      <c r="AM108" s="71"/>
      <c r="AN108" s="10" t="str">
        <f t="shared" si="58"/>
        <v/>
      </c>
      <c r="AO108" s="10" t="str">
        <f t="shared" si="77"/>
        <v/>
      </c>
      <c r="AP108" s="71"/>
      <c r="AQ108" s="10" t="str">
        <f t="shared" si="59"/>
        <v/>
      </c>
      <c r="AR108" s="10" t="str">
        <f t="shared" si="78"/>
        <v/>
      </c>
      <c r="AS108" s="71"/>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U108" s="71"/>
      <c r="AV108" s="10" t="str">
        <f t="shared" si="60"/>
        <v/>
      </c>
      <c r="AW108" s="10" t="str">
        <f t="shared" si="61"/>
        <v/>
      </c>
      <c r="AX108" s="71"/>
      <c r="AY108" s="7" t="str">
        <f>IF(ISERROR(IF($K108&lt;=$F$15,VLOOKUP($I108,'表4）CO2価格'!$A$7:$E$67,VLOOKUP($F$48,'表4）CO2価格'!$H$10:$I$12,2,0),0)*$F$8/1000,"")),0,IF($K108&lt;=$F$15,VLOOKUP($I108,'表4）CO2価格'!$A$7:$E$67,VLOOKUP($F$48,'表4）CO2価格'!$H$10:$I$12,2,0),0)*$F$8/1000,""))</f>
        <v/>
      </c>
      <c r="AZ108" s="71"/>
      <c r="BA108" s="11" t="str">
        <f t="shared" si="62"/>
        <v/>
      </c>
      <c r="BB108" s="10" t="str">
        <f t="shared" si="79"/>
        <v/>
      </c>
      <c r="BC108" s="71"/>
      <c r="BD108" s="10" t="str">
        <f t="shared" si="63"/>
        <v/>
      </c>
      <c r="BE108" s="10" t="str">
        <f t="shared" si="80"/>
        <v/>
      </c>
      <c r="BF108" s="71"/>
      <c r="BG108" s="11" t="str">
        <f t="shared" si="64"/>
        <v/>
      </c>
      <c r="BH108" s="10" t="str">
        <f t="shared" si="81"/>
        <v/>
      </c>
      <c r="BJ108" s="7" t="str">
        <f t="shared" si="82"/>
        <v/>
      </c>
      <c r="BK108" s="158" t="str">
        <f t="shared" si="83"/>
        <v/>
      </c>
      <c r="BL108" s="158" t="str">
        <f t="shared" si="65"/>
        <v/>
      </c>
      <c r="BM108" s="10"/>
      <c r="BN108" s="10" t="str">
        <f t="shared" si="84"/>
        <v/>
      </c>
      <c r="BO108" s="10" t="str">
        <f t="shared" si="85"/>
        <v/>
      </c>
      <c r="BQ108" s="10" t="str">
        <f t="shared" si="66"/>
        <v/>
      </c>
      <c r="BR108" s="10" t="str">
        <f t="shared" si="86"/>
        <v/>
      </c>
    </row>
    <row r="109" spans="4:70" x14ac:dyDescent="0.15">
      <c r="D109" s="101" t="s">
        <v>205</v>
      </c>
      <c r="E109" s="101"/>
      <c r="F109" s="92"/>
      <c r="G109" s="101"/>
      <c r="I109" s="38">
        <f t="shared" si="87"/>
        <v>2114</v>
      </c>
      <c r="J109" s="39"/>
      <c r="K109" s="39">
        <f t="shared" si="88"/>
        <v>95</v>
      </c>
      <c r="L109" s="39"/>
      <c r="M109" s="40">
        <f t="shared" si="51"/>
        <v>6.0320322250551395E-2</v>
      </c>
      <c r="N109" s="39"/>
      <c r="O109" s="72" t="str">
        <f t="shared" si="67"/>
        <v/>
      </c>
      <c r="P109" s="41" t="str">
        <f t="shared" si="52"/>
        <v/>
      </c>
      <c r="Q109" s="39"/>
      <c r="R109" s="72" t="str">
        <f t="shared" si="68"/>
        <v/>
      </c>
      <c r="S109" s="39"/>
      <c r="T109" s="72" t="str">
        <f t="shared" si="69"/>
        <v/>
      </c>
      <c r="U109" s="39"/>
      <c r="V109" s="72" t="str">
        <f t="shared" si="53"/>
        <v/>
      </c>
      <c r="W109" s="72" t="str">
        <f t="shared" si="70"/>
        <v/>
      </c>
      <c r="X109" s="39"/>
      <c r="Y109" s="72" t="str">
        <f t="shared" si="54"/>
        <v/>
      </c>
      <c r="Z109" s="72" t="str">
        <f t="shared" si="71"/>
        <v/>
      </c>
      <c r="AA109" s="39"/>
      <c r="AB109" s="72" t="str">
        <f t="shared" si="55"/>
        <v/>
      </c>
      <c r="AC109" s="72" t="str">
        <f t="shared" si="72"/>
        <v/>
      </c>
      <c r="AD109" s="39"/>
      <c r="AE109" s="72" t="str">
        <f t="shared" si="56"/>
        <v/>
      </c>
      <c r="AF109" s="72" t="str">
        <f t="shared" si="73"/>
        <v/>
      </c>
      <c r="AG109" s="39"/>
      <c r="AH109" s="72" t="str">
        <f t="shared" si="57"/>
        <v/>
      </c>
      <c r="AI109" s="72" t="str">
        <f t="shared" si="74"/>
        <v/>
      </c>
      <c r="AJ109" s="39"/>
      <c r="AK109" s="72" t="str">
        <f t="shared" si="75"/>
        <v/>
      </c>
      <c r="AL109" s="72" t="str">
        <f t="shared" si="76"/>
        <v/>
      </c>
      <c r="AM109" s="39"/>
      <c r="AN109" s="72" t="str">
        <f t="shared" si="58"/>
        <v/>
      </c>
      <c r="AO109" s="72" t="str">
        <f t="shared" si="77"/>
        <v/>
      </c>
      <c r="AP109" s="39"/>
      <c r="AQ109" s="72" t="str">
        <f t="shared" si="59"/>
        <v/>
      </c>
      <c r="AR109" s="72" t="str">
        <f t="shared" si="78"/>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60"/>
        <v/>
      </c>
      <c r="AW109" s="72" t="str">
        <f t="shared" si="61"/>
        <v/>
      </c>
      <c r="AX109" s="39"/>
      <c r="AY109" s="40" t="str">
        <f>IF(ISERROR(IF($K109&lt;=$F$15,VLOOKUP($I109,'表4）CO2価格'!$A$7:$E$67,VLOOKUP($F$48,'表4）CO2価格'!$H$10:$I$12,2,0),0)*$F$8/1000,"")),0,IF($K109&lt;=$F$15,VLOOKUP($I109,'表4）CO2価格'!$A$7:$E$67,VLOOKUP($F$48,'表4）CO2価格'!$H$10:$I$12,2,0),0)*$F$8/1000,""))</f>
        <v/>
      </c>
      <c r="AZ109" s="39"/>
      <c r="BA109" s="42" t="str">
        <f t="shared" si="62"/>
        <v/>
      </c>
      <c r="BB109" s="72" t="str">
        <f t="shared" si="79"/>
        <v/>
      </c>
      <c r="BC109" s="39"/>
      <c r="BD109" s="72" t="str">
        <f t="shared" si="63"/>
        <v/>
      </c>
      <c r="BE109" s="72" t="str">
        <f t="shared" si="80"/>
        <v/>
      </c>
      <c r="BF109" s="39"/>
      <c r="BG109" s="42" t="str">
        <f t="shared" si="64"/>
        <v/>
      </c>
      <c r="BH109" s="72" t="str">
        <f t="shared" si="81"/>
        <v/>
      </c>
      <c r="BI109" s="39"/>
      <c r="BJ109" s="40" t="str">
        <f t="shared" si="82"/>
        <v/>
      </c>
      <c r="BK109" s="157" t="str">
        <f t="shared" si="83"/>
        <v/>
      </c>
      <c r="BL109" s="157" t="str">
        <f t="shared" si="65"/>
        <v/>
      </c>
      <c r="BM109" s="72"/>
      <c r="BN109" s="72" t="str">
        <f t="shared" si="84"/>
        <v/>
      </c>
      <c r="BO109" s="72" t="str">
        <f t="shared" si="85"/>
        <v/>
      </c>
      <c r="BP109" s="39"/>
      <c r="BQ109" s="72" t="str">
        <f t="shared" si="66"/>
        <v/>
      </c>
      <c r="BR109" s="72" t="str">
        <f t="shared" si="86"/>
        <v/>
      </c>
    </row>
    <row r="110" spans="4:70" ht="15" x14ac:dyDescent="0.15">
      <c r="D110" s="116"/>
      <c r="F110" s="93"/>
      <c r="I110" s="322">
        <f t="shared" si="87"/>
        <v>2115</v>
      </c>
      <c r="J110" s="71"/>
      <c r="K110" s="71">
        <f t="shared" si="88"/>
        <v>96</v>
      </c>
      <c r="L110" s="71"/>
      <c r="M110" s="7">
        <f t="shared" si="51"/>
        <v>5.8563419660729518E-2</v>
      </c>
      <c r="N110" s="71"/>
      <c r="O110" s="10" t="str">
        <f t="shared" si="67"/>
        <v/>
      </c>
      <c r="P110" s="29" t="str">
        <f t="shared" si="52"/>
        <v/>
      </c>
      <c r="Q110" s="71"/>
      <c r="R110" s="10" t="str">
        <f t="shared" si="68"/>
        <v/>
      </c>
      <c r="S110" s="71"/>
      <c r="T110" s="10" t="str">
        <f t="shared" si="69"/>
        <v/>
      </c>
      <c r="U110" s="71"/>
      <c r="V110" s="10" t="str">
        <f t="shared" si="53"/>
        <v/>
      </c>
      <c r="W110" s="10" t="str">
        <f t="shared" si="70"/>
        <v/>
      </c>
      <c r="X110" s="71"/>
      <c r="Y110" s="10" t="str">
        <f t="shared" si="54"/>
        <v/>
      </c>
      <c r="Z110" s="10" t="str">
        <f t="shared" si="71"/>
        <v/>
      </c>
      <c r="AA110" s="71"/>
      <c r="AB110" s="10" t="str">
        <f t="shared" si="55"/>
        <v/>
      </c>
      <c r="AC110" s="10" t="str">
        <f t="shared" si="72"/>
        <v/>
      </c>
      <c r="AD110" s="71"/>
      <c r="AE110" s="10" t="str">
        <f t="shared" si="56"/>
        <v/>
      </c>
      <c r="AF110" s="10" t="str">
        <f t="shared" si="73"/>
        <v/>
      </c>
      <c r="AG110" s="71"/>
      <c r="AH110" s="10" t="str">
        <f t="shared" si="57"/>
        <v/>
      </c>
      <c r="AI110" s="10" t="str">
        <f t="shared" si="74"/>
        <v/>
      </c>
      <c r="AJ110" s="71"/>
      <c r="AK110" s="10" t="str">
        <f t="shared" si="75"/>
        <v/>
      </c>
      <c r="AL110" s="10" t="str">
        <f t="shared" si="76"/>
        <v/>
      </c>
      <c r="AM110" s="71"/>
      <c r="AN110" s="10" t="str">
        <f t="shared" si="58"/>
        <v/>
      </c>
      <c r="AO110" s="10" t="str">
        <f t="shared" si="77"/>
        <v/>
      </c>
      <c r="AP110" s="71"/>
      <c r="AQ110" s="10" t="str">
        <f t="shared" si="59"/>
        <v/>
      </c>
      <c r="AR110" s="10" t="str">
        <f t="shared" si="78"/>
        <v/>
      </c>
      <c r="AS110" s="71"/>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U110" s="71"/>
      <c r="AV110" s="10" t="str">
        <f t="shared" si="60"/>
        <v/>
      </c>
      <c r="AW110" s="10" t="str">
        <f t="shared" si="61"/>
        <v/>
      </c>
      <c r="AX110" s="71"/>
      <c r="AY110" s="7" t="str">
        <f>IF(ISERROR(IF($K110&lt;=$F$15,VLOOKUP($I110,'表4）CO2価格'!$A$7:$E$67,VLOOKUP($F$48,'表4）CO2価格'!$H$10:$I$12,2,0),0)*$F$8/1000,"")),0,IF($K110&lt;=$F$15,VLOOKUP($I110,'表4）CO2価格'!$A$7:$E$67,VLOOKUP($F$48,'表4）CO2価格'!$H$10:$I$12,2,0),0)*$F$8/1000,""))</f>
        <v/>
      </c>
      <c r="AZ110" s="71"/>
      <c r="BA110" s="11" t="str">
        <f t="shared" si="62"/>
        <v/>
      </c>
      <c r="BB110" s="10" t="str">
        <f t="shared" si="79"/>
        <v/>
      </c>
      <c r="BC110" s="71"/>
      <c r="BD110" s="10" t="str">
        <f t="shared" si="63"/>
        <v/>
      </c>
      <c r="BE110" s="10" t="str">
        <f t="shared" si="80"/>
        <v/>
      </c>
      <c r="BF110" s="71"/>
      <c r="BG110" s="11" t="str">
        <f t="shared" si="64"/>
        <v/>
      </c>
      <c r="BH110" s="10" t="str">
        <f t="shared" si="81"/>
        <v/>
      </c>
      <c r="BJ110" s="7" t="str">
        <f t="shared" si="82"/>
        <v/>
      </c>
      <c r="BK110" s="158" t="str">
        <f t="shared" si="83"/>
        <v/>
      </c>
      <c r="BL110" s="158" t="str">
        <f t="shared" si="65"/>
        <v/>
      </c>
      <c r="BM110" s="10"/>
      <c r="BN110" s="10" t="str">
        <f t="shared" si="84"/>
        <v/>
      </c>
      <c r="BO110" s="10" t="str">
        <f t="shared" si="85"/>
        <v/>
      </c>
      <c r="BQ110" s="10" t="str">
        <f t="shared" si="66"/>
        <v/>
      </c>
      <c r="BR110" s="10" t="str">
        <f t="shared" si="86"/>
        <v/>
      </c>
    </row>
    <row r="111" spans="4:70" ht="15" x14ac:dyDescent="0.15">
      <c r="D111" s="116"/>
      <c r="E111" s="81" t="s">
        <v>206</v>
      </c>
      <c r="F111" s="91">
        <f>-BE116/BR116</f>
        <v>-4.2701490921668324</v>
      </c>
      <c r="G111" s="81" t="s">
        <v>132</v>
      </c>
      <c r="I111" s="38">
        <f t="shared" si="87"/>
        <v>2116</v>
      </c>
      <c r="J111" s="39"/>
      <c r="K111" s="39">
        <f t="shared" si="88"/>
        <v>97</v>
      </c>
      <c r="L111" s="39"/>
      <c r="M111" s="40">
        <f t="shared" si="51"/>
        <v>5.6857688990999529E-2</v>
      </c>
      <c r="N111" s="39"/>
      <c r="O111" s="72" t="str">
        <f t="shared" si="67"/>
        <v/>
      </c>
      <c r="P111" s="41" t="str">
        <f>IF(K111&lt;=$F$15,IF(OR(P110=$F$124,P110="-"),"-",IF(O111*$F$123&gt;$F$127,$F$123,$F$124)),"")</f>
        <v/>
      </c>
      <c r="Q111" s="39"/>
      <c r="R111" s="72" t="str">
        <f t="shared" si="68"/>
        <v/>
      </c>
      <c r="S111" s="39"/>
      <c r="T111" s="72" t="str">
        <f t="shared" si="69"/>
        <v/>
      </c>
      <c r="U111" s="39"/>
      <c r="V111" s="72" t="str">
        <f t="shared" si="53"/>
        <v/>
      </c>
      <c r="W111" s="72" t="str">
        <f t="shared" si="70"/>
        <v/>
      </c>
      <c r="X111" s="39"/>
      <c r="Y111" s="72" t="str">
        <f t="shared" si="54"/>
        <v/>
      </c>
      <c r="Z111" s="72" t="str">
        <f t="shared" si="71"/>
        <v/>
      </c>
      <c r="AA111" s="39"/>
      <c r="AB111" s="72" t="str">
        <f t="shared" si="55"/>
        <v/>
      </c>
      <c r="AC111" s="72" t="str">
        <f t="shared" si="72"/>
        <v/>
      </c>
      <c r="AD111" s="39"/>
      <c r="AE111" s="72" t="str">
        <f t="shared" si="56"/>
        <v/>
      </c>
      <c r="AF111" s="72" t="str">
        <f t="shared" si="73"/>
        <v/>
      </c>
      <c r="AG111" s="39"/>
      <c r="AH111" s="72" t="str">
        <f t="shared" si="57"/>
        <v/>
      </c>
      <c r="AI111" s="72" t="str">
        <f t="shared" si="74"/>
        <v/>
      </c>
      <c r="AJ111" s="39"/>
      <c r="AK111" s="72" t="str">
        <f t="shared" si="75"/>
        <v/>
      </c>
      <c r="AL111" s="72" t="str">
        <f t="shared" si="76"/>
        <v/>
      </c>
      <c r="AM111" s="39"/>
      <c r="AN111" s="72" t="str">
        <f t="shared" si="58"/>
        <v/>
      </c>
      <c r="AO111" s="72" t="str">
        <f t="shared" si="77"/>
        <v/>
      </c>
      <c r="AP111" s="39"/>
      <c r="AQ111" s="72" t="str">
        <f t="shared" si="59"/>
        <v/>
      </c>
      <c r="AR111" s="72" t="str">
        <f t="shared" si="78"/>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60"/>
        <v/>
      </c>
      <c r="AW111" s="72" t="str">
        <f t="shared" si="61"/>
        <v/>
      </c>
      <c r="AX111" s="39"/>
      <c r="AY111" s="40" t="str">
        <f>IF(ISERROR(IF($K111&lt;=$F$15,VLOOKUP($I111,'表4）CO2価格'!$A$7:$E$67,VLOOKUP($F$48,'表4）CO2価格'!$H$10:$I$12,2,0),0)*$F$8/1000,"")),0,IF($K111&lt;=$F$15,VLOOKUP($I111,'表4）CO2価格'!$A$7:$E$67,VLOOKUP($F$48,'表4）CO2価格'!$H$10:$I$12,2,0),0)*$F$8/1000,""))</f>
        <v/>
      </c>
      <c r="AZ111" s="39"/>
      <c r="BA111" s="42" t="str">
        <f t="shared" si="62"/>
        <v/>
      </c>
      <c r="BB111" s="72" t="str">
        <f t="shared" si="79"/>
        <v/>
      </c>
      <c r="BC111" s="39"/>
      <c r="BD111" s="72" t="str">
        <f t="shared" si="63"/>
        <v/>
      </c>
      <c r="BE111" s="72" t="str">
        <f t="shared" si="80"/>
        <v/>
      </c>
      <c r="BF111" s="39"/>
      <c r="BG111" s="42" t="str">
        <f t="shared" si="64"/>
        <v/>
      </c>
      <c r="BH111" s="72" t="str">
        <f t="shared" si="81"/>
        <v/>
      </c>
      <c r="BI111" s="39"/>
      <c r="BJ111" s="40" t="str">
        <f t="shared" si="82"/>
        <v/>
      </c>
      <c r="BK111" s="157" t="str">
        <f t="shared" si="83"/>
        <v/>
      </c>
      <c r="BL111" s="157" t="str">
        <f t="shared" si="65"/>
        <v/>
      </c>
      <c r="BM111" s="72"/>
      <c r="BN111" s="72" t="str">
        <f t="shared" si="84"/>
        <v/>
      </c>
      <c r="BO111" s="72" t="str">
        <f t="shared" si="85"/>
        <v/>
      </c>
      <c r="BP111" s="39"/>
      <c r="BQ111" s="72" t="str">
        <f t="shared" si="66"/>
        <v/>
      </c>
      <c r="BR111" s="72" t="str">
        <f t="shared" si="86"/>
        <v/>
      </c>
    </row>
    <row r="112" spans="4:70" ht="15" x14ac:dyDescent="0.15">
      <c r="D112" s="116"/>
      <c r="E112" s="81" t="s">
        <v>207</v>
      </c>
      <c r="F112" s="91">
        <f>-BH116/BR116</f>
        <v>-0.78780215159126743</v>
      </c>
      <c r="G112" s="81" t="s">
        <v>132</v>
      </c>
      <c r="I112" s="322">
        <f t="shared" si="87"/>
        <v>2117</v>
      </c>
      <c r="J112" s="71"/>
      <c r="K112" s="71">
        <f t="shared" si="88"/>
        <v>98</v>
      </c>
      <c r="L112" s="71"/>
      <c r="M112" s="7">
        <f t="shared" si="51"/>
        <v>5.5201639797086935E-2</v>
      </c>
      <c r="N112" s="71"/>
      <c r="O112" s="10" t="str">
        <f t="shared" si="67"/>
        <v/>
      </c>
      <c r="P112" s="29" t="str">
        <f>IF(K112&lt;=$F$15,IF(OR(P111=$F$124,P111="-"),"-",IF(O112*$F$123&gt;$F$127,$F$123,$F$124)),"")</f>
        <v/>
      </c>
      <c r="Q112" s="71"/>
      <c r="R112" s="10" t="str">
        <f t="shared" si="68"/>
        <v/>
      </c>
      <c r="S112" s="71"/>
      <c r="T112" s="10" t="str">
        <f t="shared" si="69"/>
        <v/>
      </c>
      <c r="U112" s="71"/>
      <c r="V112" s="10" t="str">
        <f t="shared" si="53"/>
        <v/>
      </c>
      <c r="W112" s="10" t="str">
        <f t="shared" si="70"/>
        <v/>
      </c>
      <c r="X112" s="71"/>
      <c r="Y112" s="10" t="str">
        <f t="shared" si="54"/>
        <v/>
      </c>
      <c r="Z112" s="10" t="str">
        <f t="shared" si="71"/>
        <v/>
      </c>
      <c r="AA112" s="71"/>
      <c r="AB112" s="10" t="str">
        <f t="shared" si="55"/>
        <v/>
      </c>
      <c r="AC112" s="10" t="str">
        <f t="shared" si="72"/>
        <v/>
      </c>
      <c r="AD112" s="71"/>
      <c r="AE112" s="10" t="str">
        <f t="shared" si="56"/>
        <v/>
      </c>
      <c r="AF112" s="10" t="str">
        <f t="shared" si="73"/>
        <v/>
      </c>
      <c r="AG112" s="71"/>
      <c r="AH112" s="10" t="str">
        <f t="shared" si="57"/>
        <v/>
      </c>
      <c r="AI112" s="10" t="str">
        <f t="shared" si="74"/>
        <v/>
      </c>
      <c r="AJ112" s="71"/>
      <c r="AK112" s="10" t="str">
        <f t="shared" si="75"/>
        <v/>
      </c>
      <c r="AL112" s="10" t="str">
        <f t="shared" si="76"/>
        <v/>
      </c>
      <c r="AM112" s="71"/>
      <c r="AN112" s="10" t="str">
        <f t="shared" si="58"/>
        <v/>
      </c>
      <c r="AO112" s="10" t="str">
        <f t="shared" si="77"/>
        <v/>
      </c>
      <c r="AP112" s="71"/>
      <c r="AQ112" s="10" t="str">
        <f t="shared" si="59"/>
        <v/>
      </c>
      <c r="AR112" s="10" t="str">
        <f t="shared" si="78"/>
        <v/>
      </c>
      <c r="AS112" s="71"/>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U112" s="71"/>
      <c r="AV112" s="10" t="str">
        <f t="shared" si="60"/>
        <v/>
      </c>
      <c r="AW112" s="10" t="str">
        <f t="shared" si="61"/>
        <v/>
      </c>
      <c r="AX112" s="71"/>
      <c r="AY112" s="7" t="str">
        <f>IF(ISERROR(IF($K112&lt;=$F$15,VLOOKUP($I112,'表4）CO2価格'!$A$7:$E$67,VLOOKUP($F$48,'表4）CO2価格'!$H$10:$I$12,2,0),0)*$F$8/1000,"")),0,IF($K112&lt;=$F$15,VLOOKUP($I112,'表4）CO2価格'!$A$7:$E$67,VLOOKUP($F$48,'表4）CO2価格'!$H$10:$I$12,2,0),0)*$F$8/1000,""))</f>
        <v/>
      </c>
      <c r="AZ112" s="71"/>
      <c r="BA112" s="11" t="str">
        <f t="shared" si="62"/>
        <v/>
      </c>
      <c r="BB112" s="10" t="str">
        <f t="shared" si="79"/>
        <v/>
      </c>
      <c r="BC112" s="71"/>
      <c r="BD112" s="10" t="str">
        <f t="shared" si="63"/>
        <v/>
      </c>
      <c r="BE112" s="10" t="str">
        <f t="shared" si="80"/>
        <v/>
      </c>
      <c r="BF112" s="71"/>
      <c r="BG112" s="11" t="str">
        <f t="shared" si="64"/>
        <v/>
      </c>
      <c r="BH112" s="10" t="str">
        <f t="shared" si="81"/>
        <v/>
      </c>
      <c r="BJ112" s="7" t="str">
        <f t="shared" si="82"/>
        <v/>
      </c>
      <c r="BK112" s="158" t="str">
        <f t="shared" si="83"/>
        <v/>
      </c>
      <c r="BL112" s="158" t="str">
        <f t="shared" si="65"/>
        <v/>
      </c>
      <c r="BM112" s="10"/>
      <c r="BN112" s="10" t="str">
        <f t="shared" si="84"/>
        <v/>
      </c>
      <c r="BO112" s="10" t="str">
        <f t="shared" si="85"/>
        <v/>
      </c>
      <c r="BQ112" s="10" t="str">
        <f t="shared" si="66"/>
        <v/>
      </c>
      <c r="BR112" s="10" t="str">
        <f t="shared" si="86"/>
        <v/>
      </c>
    </row>
    <row r="113" spans="2:70" x14ac:dyDescent="0.15">
      <c r="I113" s="38">
        <f t="shared" si="87"/>
        <v>2118</v>
      </c>
      <c r="J113" s="39"/>
      <c r="K113" s="39">
        <f t="shared" si="88"/>
        <v>99</v>
      </c>
      <c r="L113" s="39"/>
      <c r="M113" s="40">
        <f t="shared" si="51"/>
        <v>5.3593825045715457E-2</v>
      </c>
      <c r="N113" s="39"/>
      <c r="O113" s="72" t="str">
        <f t="shared" si="67"/>
        <v/>
      </c>
      <c r="P113" s="41" t="str">
        <f>IF(K113&lt;=$F$15,IF(OR(P112=$F$124,P112="-"),"-",IF(O113*$F$123&gt;$F$127,$F$123,$F$124)),"")</f>
        <v/>
      </c>
      <c r="Q113" s="39"/>
      <c r="R113" s="72" t="str">
        <f t="shared" si="68"/>
        <v/>
      </c>
      <c r="S113" s="39"/>
      <c r="T113" s="72" t="str">
        <f t="shared" si="69"/>
        <v/>
      </c>
      <c r="U113" s="39"/>
      <c r="V113" s="72" t="str">
        <f t="shared" si="53"/>
        <v/>
      </c>
      <c r="W113" s="72" t="str">
        <f t="shared" si="70"/>
        <v/>
      </c>
      <c r="X113" s="39"/>
      <c r="Y113" s="72" t="str">
        <f t="shared" si="54"/>
        <v/>
      </c>
      <c r="Z113" s="72" t="str">
        <f t="shared" si="71"/>
        <v/>
      </c>
      <c r="AA113" s="39"/>
      <c r="AB113" s="72" t="str">
        <f t="shared" si="55"/>
        <v/>
      </c>
      <c r="AC113" s="72" t="str">
        <f t="shared" si="72"/>
        <v/>
      </c>
      <c r="AD113" s="39"/>
      <c r="AE113" s="72" t="str">
        <f t="shared" si="56"/>
        <v/>
      </c>
      <c r="AF113" s="72" t="str">
        <f t="shared" si="73"/>
        <v/>
      </c>
      <c r="AG113" s="39"/>
      <c r="AH113" s="72" t="str">
        <f t="shared" si="57"/>
        <v/>
      </c>
      <c r="AI113" s="72" t="str">
        <f t="shared" si="74"/>
        <v/>
      </c>
      <c r="AJ113" s="39"/>
      <c r="AK113" s="72" t="str">
        <f t="shared" si="75"/>
        <v/>
      </c>
      <c r="AL113" s="72" t="str">
        <f t="shared" si="76"/>
        <v/>
      </c>
      <c r="AM113" s="39"/>
      <c r="AN113" s="72" t="str">
        <f t="shared" si="58"/>
        <v/>
      </c>
      <c r="AO113" s="72" t="str">
        <f t="shared" si="77"/>
        <v/>
      </c>
      <c r="AP113" s="39"/>
      <c r="AQ113" s="72" t="str">
        <f t="shared" si="59"/>
        <v/>
      </c>
      <c r="AR113" s="72" t="str">
        <f t="shared" si="78"/>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60"/>
        <v/>
      </c>
      <c r="AW113" s="72" t="str">
        <f t="shared" si="61"/>
        <v/>
      </c>
      <c r="AX113" s="39"/>
      <c r="AY113" s="40" t="str">
        <f>IF(ISERROR(IF($K113&lt;=$F$15,VLOOKUP($I113,'表4）CO2価格'!$A$7:$E$67,VLOOKUP($F$48,'表4）CO2価格'!$H$10:$I$12,2,0),0)*$F$8/1000,"")),0,IF($K113&lt;=$F$15,VLOOKUP($I113,'表4）CO2価格'!$A$7:$E$67,VLOOKUP($F$48,'表4）CO2価格'!$H$10:$I$12,2,0),0)*$F$8/1000,""))</f>
        <v/>
      </c>
      <c r="AZ113" s="39"/>
      <c r="BA113" s="42" t="str">
        <f t="shared" si="62"/>
        <v/>
      </c>
      <c r="BB113" s="72" t="str">
        <f t="shared" si="79"/>
        <v/>
      </c>
      <c r="BC113" s="39"/>
      <c r="BD113" s="72" t="str">
        <f t="shared" si="63"/>
        <v/>
      </c>
      <c r="BE113" s="72" t="str">
        <f t="shared" si="80"/>
        <v/>
      </c>
      <c r="BF113" s="39"/>
      <c r="BG113" s="42" t="str">
        <f t="shared" si="64"/>
        <v/>
      </c>
      <c r="BH113" s="72" t="str">
        <f t="shared" si="81"/>
        <v/>
      </c>
      <c r="BI113" s="39"/>
      <c r="BJ113" s="40" t="str">
        <f t="shared" si="82"/>
        <v/>
      </c>
      <c r="BK113" s="157" t="str">
        <f t="shared" si="83"/>
        <v/>
      </c>
      <c r="BL113" s="157" t="str">
        <f t="shared" si="65"/>
        <v/>
      </c>
      <c r="BM113" s="72"/>
      <c r="BN113" s="72" t="str">
        <f t="shared" si="84"/>
        <v/>
      </c>
      <c r="BO113" s="72" t="str">
        <f t="shared" si="85"/>
        <v/>
      </c>
      <c r="BP113" s="39"/>
      <c r="BQ113" s="72" t="str">
        <f t="shared" si="66"/>
        <v/>
      </c>
      <c r="BR113" s="72" t="str">
        <f t="shared" si="86"/>
        <v/>
      </c>
    </row>
    <row r="114" spans="2:70" x14ac:dyDescent="0.15">
      <c r="I114" s="322">
        <f t="shared" si="87"/>
        <v>2119</v>
      </c>
      <c r="J114" s="71"/>
      <c r="K114" s="71">
        <f t="shared" si="88"/>
        <v>100</v>
      </c>
      <c r="L114" s="71"/>
      <c r="M114" s="7">
        <f t="shared" si="51"/>
        <v>5.2032839850209185E-2</v>
      </c>
      <c r="N114" s="71"/>
      <c r="O114" s="10" t="str">
        <f t="shared" si="67"/>
        <v/>
      </c>
      <c r="P114" s="29" t="str">
        <f>IF(K114&lt;=$F$15,IF(OR(P113=$F$124,P113="-"),"-",IF(O114*$F$123&gt;$F$127,$F$123,$F$124)),"")</f>
        <v/>
      </c>
      <c r="Q114" s="71"/>
      <c r="R114" s="10" t="str">
        <f t="shared" si="68"/>
        <v/>
      </c>
      <c r="S114" s="71"/>
      <c r="T114" s="10" t="str">
        <f t="shared" si="69"/>
        <v/>
      </c>
      <c r="U114" s="71"/>
      <c r="V114" s="10" t="str">
        <f t="shared" si="53"/>
        <v/>
      </c>
      <c r="W114" s="10" t="str">
        <f t="shared" si="70"/>
        <v/>
      </c>
      <c r="X114" s="71"/>
      <c r="Y114" s="10" t="str">
        <f t="shared" si="54"/>
        <v/>
      </c>
      <c r="Z114" s="10" t="str">
        <f t="shared" si="71"/>
        <v/>
      </c>
      <c r="AA114" s="71"/>
      <c r="AB114" s="10" t="str">
        <f t="shared" si="55"/>
        <v/>
      </c>
      <c r="AC114" s="10" t="str">
        <f t="shared" si="72"/>
        <v/>
      </c>
      <c r="AD114" s="71"/>
      <c r="AE114" s="10" t="str">
        <f t="shared" si="56"/>
        <v/>
      </c>
      <c r="AF114" s="10" t="str">
        <f t="shared" si="73"/>
        <v/>
      </c>
      <c r="AG114" s="71"/>
      <c r="AH114" s="10" t="str">
        <f t="shared" si="57"/>
        <v/>
      </c>
      <c r="AI114" s="10" t="str">
        <f t="shared" si="74"/>
        <v/>
      </c>
      <c r="AJ114" s="71"/>
      <c r="AK114" s="10" t="str">
        <f t="shared" si="75"/>
        <v/>
      </c>
      <c r="AL114" s="10" t="str">
        <f t="shared" si="76"/>
        <v/>
      </c>
      <c r="AM114" s="71"/>
      <c r="AN114" s="10" t="str">
        <f t="shared" si="58"/>
        <v/>
      </c>
      <c r="AO114" s="10" t="str">
        <f t="shared" si="77"/>
        <v/>
      </c>
      <c r="AP114" s="71"/>
      <c r="AQ114" s="10" t="str">
        <f t="shared" si="59"/>
        <v/>
      </c>
      <c r="AR114" s="10" t="str">
        <f t="shared" si="78"/>
        <v/>
      </c>
      <c r="AS114" s="71"/>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U114" s="71"/>
      <c r="AV114" s="10" t="str">
        <f t="shared" si="60"/>
        <v/>
      </c>
      <c r="AW114" s="10" t="str">
        <f t="shared" si="61"/>
        <v/>
      </c>
      <c r="AX114" s="71"/>
      <c r="AY114" s="7" t="str">
        <f>IF(ISERROR(IF($K114&lt;=$F$15,VLOOKUP($I114,'表4）CO2価格'!$A$7:$E$67,VLOOKUP($F$48,'表4）CO2価格'!$H$10:$I$12,2,0),0)*$F$8/1000,"")),0,IF($K114&lt;=$F$15,VLOOKUP($I114,'表4）CO2価格'!$A$7:$E$67,VLOOKUP($F$48,'表4）CO2価格'!$H$10:$I$12,2,0),0)*$F$8/1000,""))</f>
        <v/>
      </c>
      <c r="AZ114" s="71"/>
      <c r="BA114" s="11" t="str">
        <f t="shared" si="62"/>
        <v/>
      </c>
      <c r="BB114" s="10" t="str">
        <f t="shared" si="79"/>
        <v/>
      </c>
      <c r="BC114" s="71"/>
      <c r="BD114" s="10" t="str">
        <f t="shared" si="63"/>
        <v/>
      </c>
      <c r="BE114" s="10" t="str">
        <f t="shared" si="80"/>
        <v/>
      </c>
      <c r="BF114" s="71"/>
      <c r="BG114" s="11" t="str">
        <f t="shared" si="64"/>
        <v/>
      </c>
      <c r="BH114" s="10" t="str">
        <f t="shared" si="81"/>
        <v/>
      </c>
      <c r="BJ114" s="7" t="str">
        <f t="shared" si="82"/>
        <v/>
      </c>
      <c r="BK114" s="158" t="str">
        <f t="shared" si="83"/>
        <v/>
      </c>
      <c r="BL114" s="158" t="str">
        <f t="shared" si="65"/>
        <v/>
      </c>
      <c r="BM114" s="10"/>
      <c r="BN114" s="10" t="str">
        <f t="shared" si="84"/>
        <v/>
      </c>
      <c r="BO114" s="10" t="str">
        <f t="shared" si="85"/>
        <v/>
      </c>
      <c r="BQ114" s="10" t="str">
        <f t="shared" si="66"/>
        <v/>
      </c>
      <c r="BR114" s="10" t="str">
        <f t="shared" si="86"/>
        <v/>
      </c>
    </row>
    <row r="115" spans="2:70" ht="15.75" thickBot="1" x14ac:dyDescent="0.2">
      <c r="B115" s="460" t="s">
        <v>515</v>
      </c>
      <c r="C115" s="86"/>
      <c r="D115" s="104"/>
      <c r="E115" s="104"/>
      <c r="F115" s="86"/>
      <c r="G115" s="104"/>
      <c r="I115" s="321"/>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71" t="s">
        <v>143</v>
      </c>
      <c r="J116" s="71"/>
      <c r="K116" s="71"/>
      <c r="L116" s="71"/>
      <c r="M116" s="71"/>
      <c r="N116" s="71"/>
      <c r="O116" s="71"/>
      <c r="P116" s="71"/>
      <c r="Q116" s="71"/>
      <c r="R116" s="71"/>
      <c r="S116" s="71"/>
      <c r="T116" s="71"/>
      <c r="U116" s="71"/>
      <c r="V116" s="71"/>
      <c r="W116" s="11"/>
      <c r="X116" s="71"/>
      <c r="Y116" s="71"/>
      <c r="Z116" s="11">
        <f>SUM(Z15:Z114)</f>
        <v>0</v>
      </c>
      <c r="AA116" s="71"/>
      <c r="AB116" s="71"/>
      <c r="AC116" s="11">
        <f>SUM(AC15:AC114)</f>
        <v>38814.226379611144</v>
      </c>
      <c r="AD116" s="71"/>
      <c r="AE116" s="71"/>
      <c r="AF116" s="11">
        <f>SUM(AF15:AF114)</f>
        <v>0</v>
      </c>
      <c r="AG116" s="71"/>
      <c r="AH116" s="71"/>
      <c r="AI116" s="11">
        <f>SUM(AI15:AI114)</f>
        <v>0</v>
      </c>
      <c r="AJ116" s="71"/>
      <c r="AK116" s="71"/>
      <c r="AL116" s="11">
        <f>SUM(AL15:AL114)</f>
        <v>55045.642084428619</v>
      </c>
      <c r="AM116" s="71"/>
      <c r="AN116" s="71"/>
      <c r="AO116" s="11">
        <f>SUM(AO15:AO114)</f>
        <v>0</v>
      </c>
      <c r="AP116" s="71"/>
      <c r="AQ116" s="71"/>
      <c r="AR116" s="11">
        <f>SUM(AR15:AR114)</f>
        <v>0</v>
      </c>
      <c r="AS116" s="71"/>
      <c r="AT116" s="71"/>
      <c r="AU116" s="71"/>
      <c r="AV116" s="71"/>
      <c r="AW116" s="11">
        <f>SUM(AW15:AW114)</f>
        <v>396626.90079568024</v>
      </c>
      <c r="AX116" s="71"/>
      <c r="AY116" s="71"/>
      <c r="AZ116" s="71"/>
      <c r="BA116" s="71"/>
      <c r="BB116" s="11">
        <f>SUM(BB15:BB114)</f>
        <v>72761.554975552965</v>
      </c>
      <c r="BC116" s="71"/>
      <c r="BD116" s="71"/>
      <c r="BE116" s="11">
        <f>SUM(BE15:BE114)</f>
        <v>188704.1979624732</v>
      </c>
      <c r="BF116" s="71"/>
      <c r="BG116" s="71"/>
      <c r="BH116" s="11">
        <f>SUM(BH15:BH114)</f>
        <v>34814.141136628197</v>
      </c>
      <c r="BK116" s="11">
        <f>SUM(BK15:BK114)</f>
        <v>0</v>
      </c>
      <c r="BL116" s="11">
        <f>SUM(BL15:BL114)</f>
        <v>0</v>
      </c>
      <c r="BO116" s="11">
        <f>SUM(BO15:BO114)</f>
        <v>0</v>
      </c>
      <c r="BQ116" s="71"/>
      <c r="BR116" s="11">
        <f>SUM(BR15:BR114)</f>
        <v>44191.477601714767</v>
      </c>
    </row>
    <row r="117" spans="2:70" x14ac:dyDescent="0.15">
      <c r="C117" s="9" t="s">
        <v>529</v>
      </c>
      <c r="F117" s="44">
        <f>F21*10^4*F13*10^4+F29*10^8</f>
        <v>655200</v>
      </c>
      <c r="G117" s="81" t="s">
        <v>208</v>
      </c>
      <c r="I117" s="48" t="s">
        <v>145</v>
      </c>
      <c r="J117" s="71"/>
      <c r="K117" s="71"/>
      <c r="L117" s="71"/>
      <c r="M117" s="71"/>
      <c r="N117" s="71"/>
      <c r="O117" s="71"/>
      <c r="P117" s="71"/>
      <c r="Q117" s="71"/>
      <c r="R117" s="71"/>
      <c r="S117" s="71"/>
      <c r="T117" s="71"/>
      <c r="U117" s="71"/>
      <c r="V117" s="71"/>
      <c r="W117" s="11"/>
      <c r="X117" s="71"/>
      <c r="Y117" s="71"/>
      <c r="Z117" s="11" t="str">
        <f ca="1">IF(ISNUMBER($F$16),SUM(INDIRECT(ADDRESS($F$16+15,COLUMN())):INDIRECT(ADDRESS(114,COLUMN()))),"")</f>
        <v/>
      </c>
      <c r="AA117" s="71"/>
      <c r="AB117" s="71"/>
      <c r="AC117" s="11" t="str">
        <f ca="1">IF(ISNUMBER($F$16),SUM(INDIRECT(ADDRESS($F$16+15,COLUMN())):INDIRECT(ADDRESS(114,COLUMN()))),"")</f>
        <v/>
      </c>
      <c r="AD117" s="71"/>
      <c r="AE117" s="71"/>
      <c r="AF117" s="11" t="str">
        <f ca="1">IF(ISNUMBER($F$16),SUM(INDIRECT(ADDRESS($F$16+15,COLUMN())):INDIRECT(ADDRESS(114,COLUMN()))),"")</f>
        <v/>
      </c>
      <c r="AG117" s="71"/>
      <c r="AH117" s="71"/>
      <c r="AI117" s="11" t="str">
        <f ca="1">IF(ISNUMBER($F$16),SUM(INDIRECT(ADDRESS($F$16+15,COLUMN())):INDIRECT(ADDRESS(114,COLUMN()))),"")</f>
        <v/>
      </c>
      <c r="AJ117" s="71"/>
      <c r="AK117" s="71"/>
      <c r="AL117" s="11" t="str">
        <f ca="1">IF(ISNUMBER($F$16),SUM(INDIRECT(ADDRESS($F$16+15,COLUMN())):INDIRECT(ADDRESS(114,COLUMN()))),"")</f>
        <v/>
      </c>
      <c r="AM117" s="71"/>
      <c r="AN117" s="71"/>
      <c r="AO117" s="11" t="str">
        <f ca="1">IF(ISNUMBER($F$16),SUM(INDIRECT(ADDRESS($F$16+15,COLUMN())):INDIRECT(ADDRESS(114,COLUMN()))),"")</f>
        <v/>
      </c>
      <c r="AP117" s="71"/>
      <c r="AQ117" s="71"/>
      <c r="AR117" s="11" t="str">
        <f ca="1">IF(ISNUMBER($F$16),SUM(INDIRECT(ADDRESS($F$16+15,COLUMN())):INDIRECT(ADDRESS(114,COLUMN()))),"")</f>
        <v/>
      </c>
      <c r="AS117" s="71"/>
      <c r="AT117" s="71"/>
      <c r="AU117" s="71"/>
      <c r="AV117" s="71"/>
      <c r="AW117" s="11" t="str">
        <f ca="1">IF(ISNUMBER($F$16),SUM(INDIRECT(ADDRESS($F$16+15,COLUMN())):INDIRECT(ADDRESS(114,COLUMN()))),"")</f>
        <v/>
      </c>
      <c r="AX117" s="71"/>
      <c r="AY117" s="71"/>
      <c r="AZ117" s="71"/>
      <c r="BA117" s="71"/>
      <c r="BB117" s="11" t="str">
        <f ca="1">IF(ISNUMBER($F$16),SUM(INDIRECT(ADDRESS($F$16+15,COLUMN())):INDIRECT(ADDRESS(114,COLUMN()))),"")</f>
        <v/>
      </c>
      <c r="BC117" s="71"/>
      <c r="BD117" s="71"/>
      <c r="BE117" s="11" t="str">
        <f ca="1">IF(ISNUMBER($F$16),SUM(INDIRECT(ADDRESS($F$16+15,COLUMN())):INDIRECT(ADDRESS(114,COLUMN()))),"")</f>
        <v/>
      </c>
      <c r="BF117" s="71"/>
      <c r="BG117" s="71"/>
      <c r="BH117" s="11" t="str">
        <f ca="1">IF(ISNUMBER($F$16),SUM(INDIRECT(ADDRESS($F$16+15,COLUMN())):INDIRECT(ADDRESS(114,COLUMN()))),"")</f>
        <v/>
      </c>
      <c r="BK117" s="11" t="str">
        <f ca="1">IF(ISNUMBER($F$16),SUM(INDIRECT(ADDRESS($F$16+15,COLUMN())):INDIRECT(ADDRESS(114,COLUMN()))),"")</f>
        <v/>
      </c>
      <c r="BL117" s="11" t="str">
        <f ca="1">IF(ISNUMBER($F$16),SUM(INDIRECT(ADDRESS($F$16+15,COLUMN())):INDIRECT(ADDRESS(114,COLUMN()))),"")</f>
        <v/>
      </c>
      <c r="BO117" s="11" t="str">
        <f ca="1">IF(ISNUMBER($F$16),SUM(INDIRECT(ADDRESS($F$16+15,COLUMN())):INDIRECT(ADDRESS(114,COLUMN()))),"")</f>
        <v/>
      </c>
      <c r="BQ117" s="71"/>
      <c r="BR117" s="11" t="str">
        <f ca="1">IF(ISNUMBER($F$16),SUM(INDIRECT(ADDRESS($F$16+15,COLUMN())):INDIRECT(ADDRESS(114,COLUMN()))),"")</f>
        <v/>
      </c>
    </row>
    <row r="119" spans="2:70" x14ac:dyDescent="0.15">
      <c r="C119" s="9" t="s">
        <v>521</v>
      </c>
      <c r="F119" s="44">
        <f>VLOOKUP(F3,'表2）法定耐用年数'!$A$2:$B$24,2,0)</f>
        <v>6</v>
      </c>
      <c r="G119" s="81" t="s">
        <v>108</v>
      </c>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Q119" s="71"/>
      <c r="BR119" s="71"/>
    </row>
    <row r="121" spans="2:70" x14ac:dyDescent="0.15">
      <c r="C121" s="89" t="s">
        <v>522</v>
      </c>
      <c r="D121" s="101"/>
      <c r="E121" s="101"/>
      <c r="F121" s="89"/>
      <c r="G121" s="10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Q121" s="71"/>
      <c r="BR121" s="71"/>
    </row>
    <row r="123" spans="2:70" x14ac:dyDescent="0.15">
      <c r="D123" s="81" t="s">
        <v>209</v>
      </c>
      <c r="F123" s="95">
        <f>VLOOKUP($F$119,'表1）減価償却率表'!$A$9:$E$107,3,0)</f>
        <v>0.41699999999999998</v>
      </c>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Q123" s="71"/>
      <c r="BR123" s="71"/>
    </row>
    <row r="124" spans="2:70" x14ac:dyDescent="0.15">
      <c r="D124" s="81" t="s">
        <v>210</v>
      </c>
      <c r="F124" s="95">
        <f>VLOOKUP($F$119,'表1）減価償却率表'!$A$9:$E$107,4,0)</f>
        <v>0.5</v>
      </c>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Q124" s="71"/>
      <c r="BR124" s="71"/>
    </row>
    <row r="125" spans="2:70" x14ac:dyDescent="0.15">
      <c r="D125" s="81" t="s">
        <v>211</v>
      </c>
      <c r="F125" s="88">
        <f>VLOOKUP($F$119,'表1）減価償却率表'!$A$9:$E$107,5,0)</f>
        <v>5.7759999999999999E-2</v>
      </c>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Q125" s="71"/>
      <c r="BR125" s="71"/>
    </row>
    <row r="126" spans="2:70" x14ac:dyDescent="0.15">
      <c r="F126" s="96"/>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Q126" s="71"/>
      <c r="BR126" s="71"/>
    </row>
    <row r="127" spans="2:70" x14ac:dyDescent="0.15">
      <c r="C127" s="111" t="s">
        <v>523</v>
      </c>
      <c r="D127" s="85"/>
      <c r="E127" s="114"/>
      <c r="F127" s="44">
        <f>F117*F125</f>
        <v>37844.351999999999</v>
      </c>
      <c r="G127" s="81" t="s">
        <v>208</v>
      </c>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Q127" s="71"/>
      <c r="BR127" s="71"/>
    </row>
    <row r="129" spans="3:7" x14ac:dyDescent="0.15">
      <c r="C129" s="111" t="s">
        <v>152</v>
      </c>
      <c r="D129" s="85"/>
      <c r="E129" s="85"/>
      <c r="F129" s="95">
        <f>0.1^(1/F119)</f>
        <v>0.68129206905796136</v>
      </c>
      <c r="G129" s="85"/>
    </row>
    <row r="131" spans="3:7" x14ac:dyDescent="0.15">
      <c r="C131" s="89" t="s">
        <v>524</v>
      </c>
      <c r="D131" s="101"/>
      <c r="E131" s="101"/>
      <c r="F131" s="89"/>
      <c r="G131" s="101"/>
    </row>
    <row r="133" spans="3:7" x14ac:dyDescent="0.15">
      <c r="D133" s="81" t="s">
        <v>212</v>
      </c>
      <c r="F133" s="44">
        <f>F13*10000*24*365*F14/100</f>
        <v>4439.5680000000002</v>
      </c>
      <c r="G133" s="81" t="s">
        <v>213</v>
      </c>
    </row>
    <row r="134" spans="3:7" x14ac:dyDescent="0.15">
      <c r="D134" s="81" t="s">
        <v>214</v>
      </c>
      <c r="F134" s="44">
        <f>F133*(1-F24/100)</f>
        <v>4439.5680000000002</v>
      </c>
      <c r="G134" s="81" t="s">
        <v>213</v>
      </c>
    </row>
    <row r="135" spans="3:7" x14ac:dyDescent="0.15">
      <c r="F135" s="97"/>
    </row>
    <row r="137" spans="3:7" ht="16.5" x14ac:dyDescent="0.15">
      <c r="C137" s="9" t="s">
        <v>525</v>
      </c>
      <c r="F137" s="44">
        <f>IF(ISERROR(F133*3.6/(F23/100)/F22),0,F133*3.6/(F23/100)/F22)</f>
        <v>741.5828283484442</v>
      </c>
      <c r="G137" s="9" t="s">
        <v>370</v>
      </c>
    </row>
    <row r="139" spans="3:7" x14ac:dyDescent="0.15">
      <c r="C139" s="89" t="s">
        <v>526</v>
      </c>
      <c r="D139" s="101"/>
      <c r="E139" s="101"/>
      <c r="F139" s="89"/>
      <c r="G139" s="101"/>
    </row>
    <row r="141" spans="3:7" x14ac:dyDescent="0.15">
      <c r="D141" s="81" t="s">
        <v>215</v>
      </c>
      <c r="F141" s="98">
        <f>IF(OR(F3="石炭火力",F3= "LNG火力", F3="ガスコジェネ",F3="バイオマス（石炭混焼）",F3="バイオマス（木質専焼）",F3="燃料電池"),IF($F$43="需要地価格","",1000),IF(OR(F3="石油火力",F3="石油コジェネ"),IF($F$43="需要地価格","",158.987294928),""))</f>
        <v>1000</v>
      </c>
      <c r="G141" s="81" t="s">
        <v>216</v>
      </c>
    </row>
    <row r="142" spans="3:7" x14ac:dyDescent="0.15">
      <c r="D142" s="81" t="s">
        <v>180</v>
      </c>
      <c r="F142" s="91">
        <f>IF(ISERROR(F42/1000),0,F42/1000)</f>
        <v>2.8</v>
      </c>
      <c r="G142" s="81" t="s">
        <v>217</v>
      </c>
    </row>
    <row r="145" spans="3:7" x14ac:dyDescent="0.15">
      <c r="C145" s="9" t="s">
        <v>368</v>
      </c>
      <c r="F145" s="98">
        <f>IF(ISERROR(F133*(F47*3.6/(F23/100)/1000*(44/12))),0,F133*(F47*3.6/(F23/100)/1000*(44/12)))</f>
        <v>2062.9793596751269</v>
      </c>
      <c r="G145" s="81" t="s">
        <v>218</v>
      </c>
    </row>
    <row r="147" spans="3:7" x14ac:dyDescent="0.15">
      <c r="C147" s="89" t="s">
        <v>369</v>
      </c>
      <c r="D147" s="101"/>
      <c r="E147" s="101"/>
      <c r="F147" s="89"/>
      <c r="G147" s="101"/>
    </row>
    <row r="149" spans="3:7" x14ac:dyDescent="0.15">
      <c r="D149" s="81" t="s">
        <v>219</v>
      </c>
      <c r="F149" s="91">
        <f>IF(ISERROR(F52/F23),0,F52/F23)</f>
        <v>1.015228426395939</v>
      </c>
    </row>
    <row r="150" spans="3:7" x14ac:dyDescent="0.15">
      <c r="D150" s="81" t="s">
        <v>220</v>
      </c>
      <c r="F150" s="98">
        <f>F133*F149*(F53/100)*3.6</f>
        <v>16225.832284263959</v>
      </c>
      <c r="G150" s="81" t="s">
        <v>221</v>
      </c>
    </row>
    <row r="151" spans="3:7" ht="16.5" x14ac:dyDescent="0.15">
      <c r="D151" s="81" t="s">
        <v>222</v>
      </c>
      <c r="F151" s="44">
        <f>IF(ISERROR(F150/(F54/100)/F55),0,F150/(F54/100)/F55)</f>
        <v>352.82476444613292</v>
      </c>
      <c r="G151" s="9" t="s">
        <v>370</v>
      </c>
    </row>
    <row r="152" spans="3:7" x14ac:dyDescent="0.15">
      <c r="D152" s="81" t="s">
        <v>223</v>
      </c>
      <c r="F152" s="146">
        <f>IF(ISERROR(F56/1000),0,F56/1000)</f>
        <v>2.8</v>
      </c>
      <c r="G152" s="81" t="s">
        <v>217</v>
      </c>
    </row>
    <row r="153" spans="3:7" x14ac:dyDescent="0.15">
      <c r="D153" s="81" t="s">
        <v>224</v>
      </c>
      <c r="F153" s="98">
        <f>IF(ISERROR(F150*F47/1000*(44/12)/(F54/100)),0,F150*F47/1000*(44/12)/(F54/100))</f>
        <v>987.07146395939071</v>
      </c>
      <c r="G153" s="81" t="s">
        <v>218</v>
      </c>
    </row>
  </sheetData>
  <mergeCells count="48">
    <mergeCell ref="BR12:BR13"/>
    <mergeCell ref="AI12:AI13"/>
    <mergeCell ref="AL12:AL13"/>
    <mergeCell ref="AO12:AO13"/>
    <mergeCell ref="AR12:AR13"/>
    <mergeCell ref="AW12:AW13"/>
    <mergeCell ref="BB12:BB13"/>
    <mergeCell ref="BL12:BL13"/>
    <mergeCell ref="BK12:BK13"/>
    <mergeCell ref="BO12:BO13"/>
    <mergeCell ref="BJ12:BJ13"/>
    <mergeCell ref="BA9:BB10"/>
    <mergeCell ref="AE9:AF10"/>
    <mergeCell ref="V9:W10"/>
    <mergeCell ref="BE12:BE13"/>
    <mergeCell ref="BH12:BH13"/>
    <mergeCell ref="P12:P13"/>
    <mergeCell ref="W12:W13"/>
    <mergeCell ref="Z12:Z13"/>
    <mergeCell ref="AC12:AC13"/>
    <mergeCell ref="AF12:AF13"/>
    <mergeCell ref="BQ7:BR7"/>
    <mergeCell ref="BJ7:BO7"/>
    <mergeCell ref="I9:I10"/>
    <mergeCell ref="K9:K10"/>
    <mergeCell ref="M9:M10"/>
    <mergeCell ref="O9:P10"/>
    <mergeCell ref="R9:R10"/>
    <mergeCell ref="AN9:AO10"/>
    <mergeCell ref="AQ9:AR10"/>
    <mergeCell ref="AY7:BB7"/>
    <mergeCell ref="AY9:AY10"/>
    <mergeCell ref="BD7:BH7"/>
    <mergeCell ref="BJ9:BL10"/>
    <mergeCell ref="BN9:BO10"/>
    <mergeCell ref="BD9:BE10"/>
    <mergeCell ref="BG9:BH10"/>
    <mergeCell ref="F3:G3"/>
    <mergeCell ref="V7:AF7"/>
    <mergeCell ref="AH7:AR7"/>
    <mergeCell ref="AT7:AW7"/>
    <mergeCell ref="AK9:AL10"/>
    <mergeCell ref="T9:T10"/>
    <mergeCell ref="AV9:AW10"/>
    <mergeCell ref="AT9:AT10"/>
    <mergeCell ref="AH9:AI10"/>
    <mergeCell ref="AB9:AC10"/>
    <mergeCell ref="Y9:Z10"/>
  </mergeCells>
  <phoneticPr fontId="18"/>
  <dataValidations count="4">
    <dataValidation type="list" allowBlank="1" showDropDown="1" showInputMessage="1" showErrorMessage="1" sqref="F48 F41" xr:uid="{00000000-0002-0000-0D00-000000000000}">
      <formula1>"現行政策シナリオ, 新政策シナリオ"</formula1>
    </dataValidation>
    <dataValidation type="whole" allowBlank="1" showInputMessage="1" showErrorMessage="1" sqref="F7" xr:uid="{00000000-0002-0000-0D00-000001000000}">
      <formula1>2010</formula1>
      <formula2>2030</formula2>
    </dataValidation>
    <dataValidation type="list" allowBlank="1" showDropDown="1" showInputMessage="1" showErrorMessage="1" sqref="F43" xr:uid="{00000000-0002-0000-0D00-000002000000}">
      <formula1>"CIF価格, 需要地価格"</formula1>
    </dataValidation>
    <dataValidation type="list" allowBlank="1" showDropDown="1" showInputMessage="1" showErrorMessage="1" sqref="F3:G3" xr:uid="{00000000-0002-0000-0D00-000003000000}">
      <formula1>"原子力,石炭火力,LNG火力,石油火力,一般水力,太陽光（メガソーラー）,太陽光（住宅）,風力（陸上）,風力（洋上）,小水力,地熱,バイオマス（石炭混焼）,バイオマス（木質専焼）,ガスコジェネ,石油コジェネ,燃料電池"</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BR153"/>
  <sheetViews>
    <sheetView showGridLines="0" zoomScale="85" zoomScaleNormal="85" workbookViewId="0">
      <pane xSplit="10" ySplit="14" topLeftCell="AI60" activePane="bottomRight" state="frozen"/>
      <selection pane="topRight" activeCell="G41" sqref="G41"/>
      <selection pane="bottomLeft" activeCell="G41" sqref="G41"/>
      <selection pane="bottomRight" sqref="A1:H1048576"/>
    </sheetView>
  </sheetViews>
  <sheetFormatPr defaultColWidth="9" defaultRowHeight="14.25" outlineLevelCol="1" x14ac:dyDescent="0.15"/>
  <cols>
    <col min="1" max="3" width="6.25" style="9" customWidth="1"/>
    <col min="4" max="4" width="6.25" style="81" customWidth="1"/>
    <col min="5" max="5" width="24.375" style="81" customWidth="1"/>
    <col min="6" max="6" width="18.75" style="9" customWidth="1"/>
    <col min="7" max="7" width="24.375" style="81" bestFit="1" customWidth="1"/>
    <col min="8" max="8" width="9" style="9"/>
    <col min="9" max="9" width="6.25" style="2" customWidth="1"/>
    <col min="10" max="10" width="3" style="2" customWidth="1"/>
    <col min="11" max="11" width="6.25" style="2" customWidth="1"/>
    <col min="12" max="12" width="3" style="2" customWidth="1"/>
    <col min="13" max="13" width="6.25" style="2" customWidth="1"/>
    <col min="14" max="14" width="3" style="2" customWidth="1"/>
    <col min="15" max="15" width="17.375" style="2" bestFit="1" customWidth="1"/>
    <col min="16" max="16" width="8.625" style="2" customWidth="1"/>
    <col min="17" max="17" width="3" style="2" customWidth="1"/>
    <col min="18" max="18" width="17.375" style="2" bestFit="1" customWidth="1"/>
    <col min="19" max="19" width="3" style="2" customWidth="1"/>
    <col min="20" max="20" width="17.375" style="2" bestFit="1" customWidth="1"/>
    <col min="21" max="21" width="3" style="2" customWidth="1"/>
    <col min="22" max="22" width="15" style="2" customWidth="1" outlineLevel="1"/>
    <col min="23" max="23" width="17.375" style="2" bestFit="1" customWidth="1"/>
    <col min="24" max="24" width="3" style="2" customWidth="1"/>
    <col min="25" max="25" width="15" style="2" customWidth="1" outlineLevel="1"/>
    <col min="26" max="26" width="15" style="2" customWidth="1"/>
    <col min="27" max="27" width="3" style="2" customWidth="1"/>
    <col min="28" max="28" width="15" style="2" customWidth="1" outlineLevel="1"/>
    <col min="29" max="29" width="15" style="2" customWidth="1"/>
    <col min="30" max="30" width="3" style="2" customWidth="1"/>
    <col min="31" max="31" width="15" style="2" customWidth="1" outlineLevel="1"/>
    <col min="32" max="32" width="15" style="2" customWidth="1"/>
    <col min="33" max="33" width="3" style="2" customWidth="1"/>
    <col min="34" max="34" width="14.875" style="2" customWidth="1" outlineLevel="1"/>
    <col min="35" max="35" width="15" style="2" customWidth="1"/>
    <col min="36" max="36" width="3" style="2" customWidth="1"/>
    <col min="37" max="37" width="15" style="2" customWidth="1" outlineLevel="1"/>
    <col min="38" max="38" width="15" style="2" customWidth="1"/>
    <col min="39" max="39" width="3" style="2" customWidth="1"/>
    <col min="40" max="40" width="15" style="2" customWidth="1" outlineLevel="1"/>
    <col min="41" max="41" width="15" style="2" customWidth="1"/>
    <col min="42" max="42" width="3" style="2" customWidth="1"/>
    <col min="43" max="43" width="15" style="2" customWidth="1" outlineLevel="1"/>
    <col min="44" max="44" width="15" style="2" customWidth="1"/>
    <col min="45" max="45" width="3" style="2" customWidth="1"/>
    <col min="46" max="46" width="10.75" style="2" bestFit="1" customWidth="1"/>
    <col min="47" max="47" width="3" style="2" customWidth="1"/>
    <col min="48" max="48" width="15" style="2" customWidth="1" outlineLevel="1"/>
    <col min="49" max="49" width="17.375" style="2" bestFit="1" customWidth="1"/>
    <col min="50" max="50" width="3" style="2" customWidth="1"/>
    <col min="51" max="51" width="9.625" style="2" bestFit="1" customWidth="1"/>
    <col min="52" max="52" width="3" style="2" customWidth="1"/>
    <col min="53" max="53" width="15" style="2" customWidth="1" outlineLevel="1"/>
    <col min="54" max="54" width="17.375" style="2" bestFit="1" customWidth="1"/>
    <col min="55" max="55" width="3" style="2" customWidth="1"/>
    <col min="56" max="56" width="19.25" style="2" customWidth="1" outlineLevel="1"/>
    <col min="57" max="57" width="19.25" style="2" bestFit="1" customWidth="1"/>
    <col min="58" max="58" width="3" style="2" customWidth="1"/>
    <col min="59" max="59" width="19.25" style="2" customWidth="1" outlineLevel="1"/>
    <col min="60" max="60" width="19.25" style="2"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2" customWidth="1" outlineLevel="1"/>
    <col min="70" max="70" width="17.375" style="2" bestFit="1" customWidth="1"/>
    <col min="71" max="16384" width="9" style="2"/>
  </cols>
  <sheetData>
    <row r="1" spans="1:70" ht="18.75" x14ac:dyDescent="0.15">
      <c r="A1" s="465" t="s">
        <v>60</v>
      </c>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Q1" s="71"/>
      <c r="BR1" s="71"/>
    </row>
    <row r="3" spans="1:70" ht="23.25" x14ac:dyDescent="0.15">
      <c r="B3" s="462" t="s">
        <v>517</v>
      </c>
      <c r="F3" s="724" t="s">
        <v>538</v>
      </c>
      <c r="G3" s="725"/>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Q3" s="71"/>
      <c r="BR3" s="71"/>
    </row>
    <row r="4" spans="1:70" x14ac:dyDescent="0.15">
      <c r="F4" s="9" t="str">
        <f>F43</f>
        <v>CIF価格</v>
      </c>
      <c r="G4" s="112"/>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Q4" s="71"/>
      <c r="BR4" s="71"/>
    </row>
    <row r="5" spans="1:70" ht="15.75" thickBot="1" x14ac:dyDescent="0.2">
      <c r="B5" s="460" t="s">
        <v>518</v>
      </c>
      <c r="C5" s="86"/>
      <c r="D5" s="104"/>
      <c r="E5" s="104"/>
      <c r="F5" s="86"/>
      <c r="G5" s="104"/>
      <c r="I5" s="5" t="s">
        <v>64</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9" t="s">
        <v>65</v>
      </c>
      <c r="F7" s="87">
        <v>2030</v>
      </c>
      <c r="I7" s="8"/>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9" t="s">
        <v>519</v>
      </c>
      <c r="F8" s="88">
        <f>まとめ!B3</f>
        <v>107</v>
      </c>
      <c r="G8" s="81" t="s">
        <v>171</v>
      </c>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9" t="s">
        <v>520</v>
      </c>
      <c r="F9" s="88">
        <f>まとめ!B2</f>
        <v>3</v>
      </c>
      <c r="G9" s="81" t="s">
        <v>172</v>
      </c>
      <c r="I9" s="720" t="s">
        <v>78</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07" t="s">
        <v>118</v>
      </c>
      <c r="AI9" s="707"/>
      <c r="AJ9" s="8"/>
      <c r="AK9" s="707" t="s">
        <v>89</v>
      </c>
      <c r="AL9" s="707"/>
      <c r="AM9" s="8"/>
      <c r="AN9" s="707" t="s">
        <v>90</v>
      </c>
      <c r="AO9" s="707"/>
      <c r="AP9" s="8"/>
      <c r="AQ9" s="707" t="s">
        <v>91</v>
      </c>
      <c r="AR9" s="707"/>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I10" s="708"/>
      <c r="J10" s="71"/>
      <c r="K10" s="708"/>
      <c r="L10" s="71"/>
      <c r="M10" s="708"/>
      <c r="N10" s="71"/>
      <c r="O10" s="717"/>
      <c r="P10" s="717"/>
      <c r="Q10" s="71"/>
      <c r="R10" s="708"/>
      <c r="S10" s="71"/>
      <c r="T10" s="708"/>
      <c r="U10" s="71"/>
      <c r="V10" s="717"/>
      <c r="W10" s="717"/>
      <c r="X10" s="71"/>
      <c r="Y10" s="717"/>
      <c r="Z10" s="717"/>
      <c r="AA10" s="71"/>
      <c r="AB10" s="723"/>
      <c r="AC10" s="723"/>
      <c r="AD10" s="81"/>
      <c r="AE10" s="723"/>
      <c r="AF10" s="723"/>
      <c r="AG10" s="71"/>
      <c r="AH10" s="717"/>
      <c r="AI10" s="717"/>
      <c r="AJ10" s="71"/>
      <c r="AK10" s="717"/>
      <c r="AL10" s="717"/>
      <c r="AM10" s="71"/>
      <c r="AN10" s="717"/>
      <c r="AO10" s="717"/>
      <c r="AP10" s="71"/>
      <c r="AQ10" s="717"/>
      <c r="AR10" s="717"/>
      <c r="AS10" s="71"/>
      <c r="AT10" s="717"/>
      <c r="AU10" s="71"/>
      <c r="AV10" s="717"/>
      <c r="AW10" s="717"/>
      <c r="AX10" s="322"/>
      <c r="AY10" s="708"/>
      <c r="AZ10" s="71"/>
      <c r="BA10" s="708"/>
      <c r="BB10" s="708"/>
      <c r="BC10" s="71"/>
      <c r="BD10" s="717"/>
      <c r="BE10" s="717"/>
      <c r="BF10" s="71"/>
      <c r="BG10" s="717"/>
      <c r="BH10" s="717"/>
      <c r="BJ10" s="708"/>
      <c r="BK10" s="708"/>
      <c r="BL10" s="708"/>
      <c r="BM10" s="322"/>
      <c r="BN10" s="717"/>
      <c r="BO10" s="717"/>
      <c r="BQ10" s="322"/>
      <c r="BR10" s="322"/>
    </row>
    <row r="11" spans="1:70" ht="15.75" customHeight="1" thickBot="1" x14ac:dyDescent="0.2">
      <c r="B11" s="460" t="s">
        <v>95</v>
      </c>
      <c r="C11" s="86"/>
      <c r="D11" s="104"/>
      <c r="E11" s="104"/>
      <c r="F11" s="86"/>
      <c r="G11" s="104"/>
      <c r="I11" s="71"/>
      <c r="J11" s="71"/>
      <c r="K11" s="71"/>
      <c r="L11" s="71"/>
      <c r="M11" s="71"/>
      <c r="N11" s="71"/>
      <c r="O11" s="322" t="s">
        <v>96</v>
      </c>
      <c r="P11" s="322"/>
      <c r="Q11" s="322"/>
      <c r="R11" s="322" t="s">
        <v>96</v>
      </c>
      <c r="S11" s="322"/>
      <c r="T11" s="322"/>
      <c r="U11" s="71"/>
      <c r="V11" s="322"/>
      <c r="W11" s="322"/>
      <c r="X11" s="71"/>
      <c r="Y11" s="322"/>
      <c r="Z11" s="322"/>
      <c r="AA11" s="71"/>
      <c r="AB11" s="322"/>
      <c r="AC11" s="322"/>
      <c r="AD11" s="71"/>
      <c r="AE11" s="322"/>
      <c r="AF11" s="322"/>
      <c r="AG11" s="71"/>
      <c r="AH11" s="322"/>
      <c r="AI11" s="322"/>
      <c r="AJ11" s="71"/>
      <c r="AK11" s="322"/>
      <c r="AL11" s="322"/>
      <c r="AM11" s="71"/>
      <c r="AN11" s="322"/>
      <c r="AO11" s="322"/>
      <c r="AP11" s="71"/>
      <c r="AQ11" s="322"/>
      <c r="AR11" s="322"/>
      <c r="AS11" s="71"/>
      <c r="AT11" s="322"/>
      <c r="AU11" s="71"/>
      <c r="AV11" s="322"/>
      <c r="AW11" s="322"/>
      <c r="AX11" s="322"/>
      <c r="AY11" s="71"/>
      <c r="AZ11" s="71"/>
      <c r="BA11" s="71"/>
      <c r="BB11" s="322"/>
      <c r="BC11" s="71"/>
      <c r="BD11" s="322"/>
      <c r="BE11" s="322"/>
      <c r="BF11" s="71"/>
      <c r="BG11" s="322"/>
      <c r="BH11" s="322"/>
      <c r="BJ11" s="156"/>
      <c r="BM11" s="322"/>
      <c r="BN11" s="322"/>
      <c r="BO11" s="322"/>
      <c r="BQ11" s="322"/>
      <c r="BR11" s="322"/>
    </row>
    <row r="12" spans="1:70" ht="14.25" customHeight="1" x14ac:dyDescent="0.15">
      <c r="I12" s="71"/>
      <c r="J12" s="71"/>
      <c r="K12" s="71"/>
      <c r="L12" s="71"/>
      <c r="M12" s="71"/>
      <c r="N12" s="71"/>
      <c r="O12" s="322"/>
      <c r="P12" s="707" t="s">
        <v>97</v>
      </c>
      <c r="Q12" s="71"/>
      <c r="R12" s="71"/>
      <c r="S12" s="71"/>
      <c r="T12" s="71"/>
      <c r="U12" s="71"/>
      <c r="V12" s="71"/>
      <c r="W12" s="707" t="s">
        <v>98</v>
      </c>
      <c r="X12" s="71"/>
      <c r="Y12" s="71"/>
      <c r="Z12" s="707" t="s">
        <v>98</v>
      </c>
      <c r="AA12" s="71"/>
      <c r="AB12" s="71"/>
      <c r="AC12" s="707" t="s">
        <v>98</v>
      </c>
      <c r="AD12" s="71"/>
      <c r="AE12" s="71"/>
      <c r="AF12" s="707" t="s">
        <v>98</v>
      </c>
      <c r="AG12" s="71"/>
      <c r="AH12" s="71"/>
      <c r="AI12" s="707" t="s">
        <v>98</v>
      </c>
      <c r="AJ12" s="71"/>
      <c r="AK12" s="71"/>
      <c r="AL12" s="707" t="s">
        <v>98</v>
      </c>
      <c r="AM12" s="71"/>
      <c r="AN12" s="71"/>
      <c r="AO12" s="707" t="s">
        <v>98</v>
      </c>
      <c r="AP12" s="71"/>
      <c r="AQ12" s="71"/>
      <c r="AR12" s="707" t="s">
        <v>98</v>
      </c>
      <c r="AS12" s="71"/>
      <c r="AT12" s="71"/>
      <c r="AU12" s="71"/>
      <c r="AV12" s="71"/>
      <c r="AW12" s="707" t="s">
        <v>98</v>
      </c>
      <c r="AX12" s="71"/>
      <c r="AY12" s="71"/>
      <c r="AZ12" s="71"/>
      <c r="BA12" s="71"/>
      <c r="BB12" s="707" t="s">
        <v>98</v>
      </c>
      <c r="BC12" s="71"/>
      <c r="BD12" s="71"/>
      <c r="BE12" s="707" t="s">
        <v>98</v>
      </c>
      <c r="BF12" s="71"/>
      <c r="BG12" s="71"/>
      <c r="BH12" s="707" t="s">
        <v>98</v>
      </c>
      <c r="BJ12" s="709" t="s">
        <v>99</v>
      </c>
      <c r="BK12" s="709" t="s">
        <v>100</v>
      </c>
      <c r="BL12" s="709" t="s">
        <v>101</v>
      </c>
      <c r="BO12" s="709" t="s">
        <v>102</v>
      </c>
      <c r="BQ12" s="71"/>
      <c r="BR12" s="707" t="s">
        <v>103</v>
      </c>
    </row>
    <row r="13" spans="1:70" ht="14.25" customHeight="1" x14ac:dyDescent="0.15">
      <c r="C13" s="9" t="s">
        <v>504</v>
      </c>
      <c r="F13" s="66">
        <v>6.9999999999999994E-5</v>
      </c>
      <c r="G13" s="81" t="s">
        <v>173</v>
      </c>
      <c r="I13" s="71"/>
      <c r="J13" s="71"/>
      <c r="K13" s="71"/>
      <c r="L13" s="71"/>
      <c r="M13" s="71"/>
      <c r="N13" s="71"/>
      <c r="O13" s="322"/>
      <c r="P13" s="708"/>
      <c r="Q13" s="322"/>
      <c r="R13" s="322"/>
      <c r="S13" s="322"/>
      <c r="T13" s="322"/>
      <c r="U13" s="71"/>
      <c r="V13" s="322"/>
      <c r="W13" s="708"/>
      <c r="X13" s="71"/>
      <c r="Y13" s="322"/>
      <c r="Z13" s="708"/>
      <c r="AA13" s="71"/>
      <c r="AB13" s="322"/>
      <c r="AC13" s="708"/>
      <c r="AD13" s="71"/>
      <c r="AE13" s="322"/>
      <c r="AF13" s="708"/>
      <c r="AG13" s="71"/>
      <c r="AH13" s="322"/>
      <c r="AI13" s="708"/>
      <c r="AJ13" s="71"/>
      <c r="AK13" s="322"/>
      <c r="AL13" s="708"/>
      <c r="AM13" s="71"/>
      <c r="AN13" s="322"/>
      <c r="AO13" s="708"/>
      <c r="AP13" s="71"/>
      <c r="AQ13" s="322"/>
      <c r="AR13" s="708"/>
      <c r="AS13" s="71"/>
      <c r="AT13" s="322"/>
      <c r="AU13" s="71"/>
      <c r="AV13" s="322"/>
      <c r="AW13" s="708"/>
      <c r="AX13" s="71"/>
      <c r="AY13" s="71"/>
      <c r="AZ13" s="71"/>
      <c r="BA13" s="71"/>
      <c r="BB13" s="708"/>
      <c r="BC13" s="71"/>
      <c r="BD13" s="322"/>
      <c r="BE13" s="708"/>
      <c r="BF13" s="71"/>
      <c r="BG13" s="322"/>
      <c r="BH13" s="708"/>
      <c r="BJ13" s="712"/>
      <c r="BK13" s="710"/>
      <c r="BL13" s="708"/>
      <c r="BM13" s="322"/>
      <c r="BO13" s="708"/>
      <c r="BQ13" s="322"/>
      <c r="BR13" s="708"/>
    </row>
    <row r="14" spans="1:70" ht="16.5" x14ac:dyDescent="0.15">
      <c r="C14" s="9" t="s">
        <v>505</v>
      </c>
      <c r="F14" s="88">
        <f>VLOOKUP(F3&amp;IF(G4&lt;&gt;"","_"&amp;G4,""),まとめ!$A$12:$G$34,IF(F7=2030,4,IF(F7=2020,3,IF(F7=2014,2,"-"))),0)</f>
        <v>74.8</v>
      </c>
      <c r="G14" s="81" t="s">
        <v>172</v>
      </c>
      <c r="I14" s="71"/>
      <c r="J14" s="71"/>
      <c r="K14" s="71"/>
      <c r="L14" s="71"/>
      <c r="M14" s="71"/>
      <c r="N14" s="71"/>
      <c r="O14" s="322"/>
      <c r="P14" s="322"/>
      <c r="Q14" s="322"/>
      <c r="R14" s="322"/>
      <c r="S14" s="322"/>
      <c r="T14" s="322"/>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50" t="s">
        <v>104</v>
      </c>
      <c r="AU14" s="71"/>
      <c r="AV14" s="71"/>
      <c r="AW14" s="71"/>
      <c r="AX14" s="71"/>
      <c r="AY14" s="71" t="s">
        <v>105</v>
      </c>
      <c r="AZ14" s="71"/>
      <c r="BA14" s="71"/>
      <c r="BB14" s="71"/>
      <c r="BC14" s="71"/>
      <c r="BD14" s="71"/>
      <c r="BE14" s="71"/>
      <c r="BF14" s="71"/>
      <c r="BG14" s="71"/>
      <c r="BH14" s="71"/>
      <c r="BQ14" s="71"/>
      <c r="BR14" s="71"/>
    </row>
    <row r="15" spans="1:70" x14ac:dyDescent="0.15">
      <c r="C15" s="9" t="s">
        <v>506</v>
      </c>
      <c r="F15" s="88">
        <f>VLOOKUP(F3&amp;IF(G4&lt;&gt;"","_"&amp;G4,""),まとめ!$A$12:$G$34,IF(F7=2030,7,IF(F7=2020,6,IF(F7=2014,5,"-"))),0)</f>
        <v>15</v>
      </c>
      <c r="G15" s="81" t="s">
        <v>108</v>
      </c>
      <c r="I15" s="38">
        <f>F7</f>
        <v>2030</v>
      </c>
      <c r="J15" s="39"/>
      <c r="K15" s="39">
        <f>IF(I15&lt;&gt;"",1,"")</f>
        <v>1</v>
      </c>
      <c r="L15" s="39"/>
      <c r="M15" s="40">
        <f t="shared" ref="M15:M78" si="0">1/(1+($F$9/100))^K15</f>
        <v>0.970873786407767</v>
      </c>
      <c r="N15" s="39"/>
      <c r="O15" s="72">
        <f>F117</f>
        <v>300300</v>
      </c>
      <c r="P15" s="41">
        <f t="shared" ref="P15:P46" si="1">IF(K15&lt;=$F$15,IF(OR(P14=$F$124,P14="-"),"-",IF(O15*$F$123&gt;$F$127,$F$123,$F$124)),"")</f>
        <v>0.41699999999999998</v>
      </c>
      <c r="Q15" s="39"/>
      <c r="R15" s="72">
        <f>F117</f>
        <v>300300</v>
      </c>
      <c r="S15" s="39"/>
      <c r="T15" s="72">
        <f>IF(ISNUMBER(R15),ROUNDDOWN(R15,-3),"")</f>
        <v>300000</v>
      </c>
      <c r="U15" s="39"/>
      <c r="V15" s="72">
        <f t="shared" ref="V15:V46" si="2">IF(K15&lt;=$F$15,IF(K15&lt;$F$119,IF(P15="-",V14,O15*P15),IF(K15=$F$119,MIN(IF(P15="-",V14,O15*P15),O15),0)),"")</f>
        <v>125225.09999999999</v>
      </c>
      <c r="W15" s="72">
        <f>IF(ISNUMBER(V15),V15*$M15,"")</f>
        <v>121577.76699029126</v>
      </c>
      <c r="X15" s="39"/>
      <c r="Y15" s="72">
        <f t="shared" ref="Y15:Y46" si="3">IF($K15&lt;=$F$15,ROUNDDOWN(T15*$F$25/100,-2),"")</f>
        <v>0</v>
      </c>
      <c r="Z15" s="72">
        <f>IF(ISNUMBER(Y15),Y15*$M15,"")</f>
        <v>0</v>
      </c>
      <c r="AA15" s="39"/>
      <c r="AB15" s="72">
        <f t="shared" ref="AB15:AB78" si="4">IF($K15&lt;=$F$15,0,IF(AND($K15&gt;$F$15,$K15&lt;=$F$15+$F$28),$F$27*10^8/$F$28,""))</f>
        <v>0</v>
      </c>
      <c r="AC15" s="72">
        <f>IF(ISNUMBER(AB15),AB15*$M15,"")</f>
        <v>0</v>
      </c>
      <c r="AD15" s="39"/>
      <c r="AE15" s="72">
        <f t="shared" ref="AE15:AE46" si="5">IF($K15&lt;=$F$15,$F$26,"")</f>
        <v>0</v>
      </c>
      <c r="AF15" s="72">
        <f>IF(ISNUMBER(AE15),AE15*$M15,"")</f>
        <v>0</v>
      </c>
      <c r="AG15" s="39"/>
      <c r="AH15" s="72">
        <f t="shared" ref="AH15:AH46" si="6">IF($K15&lt;=$F$15,$F$33*10^8,"")</f>
        <v>0</v>
      </c>
      <c r="AI15" s="72">
        <f>IF(ISNUMBER(AH15),AH15*$M15,"")</f>
        <v>0</v>
      </c>
      <c r="AJ15" s="39"/>
      <c r="AK15" s="72">
        <f>IF($K15&lt;=$F$15,$F$34*10^4*$F$13*10^4,"")</f>
        <v>5529.9999999999991</v>
      </c>
      <c r="AL15" s="72">
        <f>IF(ISNUMBER(AK15),AK15*$M15,"")</f>
        <v>5368.9320388349506</v>
      </c>
      <c r="AM15" s="39"/>
      <c r="AN15" s="72">
        <f t="shared" ref="AN15:AN46" si="7">IF($K15&lt;=$F$15,$F$117*$F$35/100,"")</f>
        <v>0</v>
      </c>
      <c r="AO15" s="72">
        <f>IF(ISNUMBER(AN15),AN15*$M15,"")</f>
        <v>0</v>
      </c>
      <c r="AP15" s="39"/>
      <c r="AQ15" s="72">
        <f t="shared" ref="AQ15:AQ46" si="8">IF($K15&lt;=$F$15,SUM(AH15,AK15,AN15)*($F$36/100),"")</f>
        <v>0</v>
      </c>
      <c r="AR15" s="72">
        <f>IF(ISNUMBER(AQ15),AQ15*$M15,"")</f>
        <v>0</v>
      </c>
      <c r="AS15" s="39"/>
      <c r="AT15" s="40">
        <f>IF($K15&lt;=$F$15,IF($F$40&lt;&gt;"",$F$40/1000,IF(ISERROR(VLOOKUP($F$3&amp;IF($G$4&lt;&gt;"",$G$4,"")&amp;IF($F$43&lt;&gt;"","_"&amp;$F$43,""),'表3）燃料価格'!$AF$9:$AG$25,2,0)),0,VLOOKUP($I15,'表3）燃料価格'!$A$6:$U$66,VLOOKUP($F$3&amp;IF($G$4&lt;&gt;"",$G$4,"")&amp;IF($F$43&lt;&gt;"","_"&amp;$F$43,""),'表3）燃料価格'!$AF$9:$AG$25,2,0)+VLOOKUP($F$41,'表3）燃料価格'!$AF$28:$AG$29,2,0),0)*IF($F$43="需要地価格",1,$F$8/$F$141))),"")</f>
        <v>49.496976697782991</v>
      </c>
      <c r="AU15" s="39"/>
      <c r="AV15" s="72">
        <f t="shared" ref="AV15:AV46" si="9">IF($K15&lt;=$F$15,($AT15+$F$142)*$F$137,"")</f>
        <v>36713.60624799865</v>
      </c>
      <c r="AW15" s="72">
        <f t="shared" ref="AW15:AW78" si="10">IF(ISNUMBER(AV15),AV15*$M15,"")</f>
        <v>35644.277910678298</v>
      </c>
      <c r="AX15" s="39"/>
      <c r="AY15" s="40">
        <f>IF(ISERROR(IF($K15&lt;=$F$15,VLOOKUP($I15,'表4）CO2価格'!$A$7:$E$67,VLOOKUP($F$48,'表4）CO2価格'!$H$10:$I$12,2,0),0)*$F$8/1000,"")),0,IF($K15&lt;=$F$15,VLOOKUP($I15,'表4）CO2価格'!$A$7:$E$67,VLOOKUP($F$48,'表4）CO2価格'!$H$10:$I$12,2,0),0)*$F$8/1000,""))</f>
        <v>4.28</v>
      </c>
      <c r="AZ15" s="39"/>
      <c r="BA15" s="42">
        <f t="shared" ref="BA15:BA46" si="11">IF($K15&lt;=$F$15,$F$145*AY15,"")</f>
        <v>8358.5212278295785</v>
      </c>
      <c r="BB15" s="72">
        <f>IF(ISNUMBER(BA15),BA15*$M15,"")</f>
        <v>8115.0691532326009</v>
      </c>
      <c r="BC15" s="39"/>
      <c r="BD15" s="72">
        <f t="shared" ref="BD15:BD46" si="12">IF($K15&lt;=$F$15,($AT15+$F$152)*$F$151,"")</f>
        <v>17467.32661713117</v>
      </c>
      <c r="BE15" s="72">
        <f>IF(ISNUMBER(BD15),BD15*$M15,"")</f>
        <v>16958.56953119531</v>
      </c>
      <c r="BF15" s="39"/>
      <c r="BG15" s="42">
        <f t="shared" ref="BG15:BG46" si="13">IF($K15&lt;=$F$15,$F$153*AY15,"")</f>
        <v>3999.292453506976</v>
      </c>
      <c r="BH15" s="72">
        <f>IF(ISNUMBER(BG15),BG15*$M15,"")</f>
        <v>3882.8082072883262</v>
      </c>
      <c r="BI15" s="39"/>
      <c r="BJ15" s="40" t="str">
        <f>IF(ISNUMBER($F$16),IF($K15&lt;=$F$16+$F$28,1/(1+($F$17/100))^K15,""),"")</f>
        <v/>
      </c>
      <c r="BK15" s="157" t="str">
        <f>IF(ISNUMBER($F$16),IF($K15&lt;=$F$16+$F$28,IF($K15&lt;=$F$16,SUM(Y15,AB15,AE15,AH15,AK15,AN15,AQ15,AV15,BA15,BD15,BG15),$F$27/$F$28*10^8)*BJ15,""),"")</f>
        <v/>
      </c>
      <c r="BL15" s="157" t="str">
        <f t="shared" ref="BL15:BL78" si="14">IF(AND(ISNUMBER(BJ15),$K15&lt;=$F$16),BQ15*BJ15,"")</f>
        <v/>
      </c>
      <c r="BM15" s="72"/>
      <c r="BN15" s="72" t="str">
        <f>IF(AND(ISNUMBER($F$16),$K15&lt;=$F$16),BQ15*($O$15+$BK$116)/$BL$116,"")</f>
        <v/>
      </c>
      <c r="BO15" s="72" t="str">
        <f>IF(ISNUMBER(BN15),BN15*$M15,"")</f>
        <v/>
      </c>
      <c r="BP15" s="39"/>
      <c r="BQ15" s="72">
        <f t="shared" ref="BQ15:BQ46" si="15">IF($K15&lt;=$F$15,$F$134,"")</f>
        <v>4586.735999999999</v>
      </c>
      <c r="BR15" s="72">
        <f>IF(ISNUMBER(BQ15),BQ15*$M15,"")</f>
        <v>4453.1417475728149</v>
      </c>
    </row>
    <row r="16" spans="1:70" x14ac:dyDescent="0.15">
      <c r="C16" s="236" t="s">
        <v>107</v>
      </c>
      <c r="F16" s="88" t="str">
        <f>IF(ISERROR(VLOOKUP(F3&amp;IF(G4&lt;&gt;"","_"&amp;G4,""),'表7）買取期間・IRR'!$A$3:$A$10,1,0)),"",VLOOKUP(F3&amp;IF(G4&lt;&gt;"","_"&amp;G4,""),'表7）買取期間・IRR'!$A$3:$C$10,IF(F7=2030,4,IF(F7=2020,3,IF(F7=2014,2,"-"))),0))</f>
        <v/>
      </c>
      <c r="G16" s="81" t="s">
        <v>108</v>
      </c>
      <c r="I16" s="322">
        <f>I15+1</f>
        <v>2031</v>
      </c>
      <c r="J16" s="71"/>
      <c r="K16" s="71">
        <f>IF(I16&lt;&gt;"",K15+1,"")</f>
        <v>2</v>
      </c>
      <c r="L16" s="71"/>
      <c r="M16" s="7">
        <f t="shared" si="0"/>
        <v>0.94259590913375435</v>
      </c>
      <c r="N16" s="71"/>
      <c r="O16" s="10">
        <f t="shared" ref="O16:O79" si="16">IF(K16&lt;=$F$15,O15-V15,"")</f>
        <v>175074.90000000002</v>
      </c>
      <c r="P16" s="29">
        <f t="shared" si="1"/>
        <v>0.41699999999999998</v>
      </c>
      <c r="Q16" s="71"/>
      <c r="R16" s="10">
        <f t="shared" ref="R16:R47" si="17">IF($K16&lt;=$F$15,MAX($F$117*5%,R15*$F$129),"")</f>
        <v>204592.00833810581</v>
      </c>
      <c r="S16" s="71"/>
      <c r="T16" s="10">
        <f t="shared" ref="T16:T79" si="18">IF(ISNUMBER(R16),ROUNDDOWN(R16,-3),"")</f>
        <v>204000</v>
      </c>
      <c r="U16" s="71"/>
      <c r="V16" s="10">
        <f t="shared" si="2"/>
        <v>73006.233300000007</v>
      </c>
      <c r="W16" s="10">
        <f t="shared" ref="W16:W79" si="19">IF(ISNUMBER(V16),V16*$M16,"")</f>
        <v>68815.376849844484</v>
      </c>
      <c r="X16" s="71"/>
      <c r="Y16" s="10">
        <f t="shared" si="3"/>
        <v>0</v>
      </c>
      <c r="Z16" s="10">
        <f t="shared" ref="Z16:Z79" si="20">IF(ISNUMBER(Y16),Y16*$M16,"")</f>
        <v>0</v>
      </c>
      <c r="AA16" s="71"/>
      <c r="AB16" s="10">
        <f t="shared" si="4"/>
        <v>0</v>
      </c>
      <c r="AC16" s="10">
        <f t="shared" ref="AC16:AC79" si="21">IF(ISNUMBER(AB16),AB16*$M16,"")</f>
        <v>0</v>
      </c>
      <c r="AD16" s="71"/>
      <c r="AE16" s="10">
        <f t="shared" si="5"/>
        <v>0</v>
      </c>
      <c r="AF16" s="10">
        <f t="shared" ref="AF16:AF79" si="22">IF(ISNUMBER(AE16),AE16*$M16,"")</f>
        <v>0</v>
      </c>
      <c r="AG16" s="71"/>
      <c r="AH16" s="10">
        <f t="shared" si="6"/>
        <v>0</v>
      </c>
      <c r="AI16" s="10">
        <f t="shared" ref="AI16:AI79" si="23">IF(ISNUMBER(AH16),AH16*$M16,"")</f>
        <v>0</v>
      </c>
      <c r="AJ16" s="71"/>
      <c r="AK16" s="10">
        <f t="shared" ref="AK16:AK79" si="24">IF($K16&lt;=$F$15,$F$34*10^4*$F$13*10^4,"")</f>
        <v>5529.9999999999991</v>
      </c>
      <c r="AL16" s="10">
        <f t="shared" ref="AL16:AL79" si="25">IF(ISNUMBER(AK16),AK16*$M16,"")</f>
        <v>5212.5553775096605</v>
      </c>
      <c r="AM16" s="71"/>
      <c r="AN16" s="10">
        <f t="shared" si="7"/>
        <v>0</v>
      </c>
      <c r="AO16" s="10">
        <f t="shared" ref="AO16:AO79" si="26">IF(ISNUMBER(AN16),AN16*$M16,"")</f>
        <v>0</v>
      </c>
      <c r="AP16" s="71"/>
      <c r="AQ16" s="10">
        <f t="shared" si="8"/>
        <v>0</v>
      </c>
      <c r="AR16" s="10">
        <f>IF(ISNUMBER(AQ16),AQ16*$M16,"")</f>
        <v>0</v>
      </c>
      <c r="AS16" s="71"/>
      <c r="AT16" s="7">
        <f>IF($K16&lt;=$F$15,IF($F$40&lt;&gt;"",$F$40/1000,IF(ISERROR(VLOOKUP($F$3&amp;IF($G$4&lt;&gt;"",$G$4,"")&amp;IF($F$43&lt;&gt;"","_"&amp;$F$43,""),'表3）燃料価格'!$AF$9:$AG$25,2,0)),0,VLOOKUP($I16,'表3）燃料価格'!$A$6:$U$66,VLOOKUP($F$3&amp;IF($G$4&lt;&gt;"",$G$4,"")&amp;IF($F$43&lt;&gt;"","_"&amp;$F$43,""),'表3）燃料価格'!$AF$9:$AG$25,2,0)+VLOOKUP($F$41,'表3）燃料価格'!$AF$28:$AG$29,2,0),0)*IF($F$43="需要地価格",1,$F$8/$F$141))),"")</f>
        <v>49.422591134993795</v>
      </c>
      <c r="AU16" s="71"/>
      <c r="AV16" s="10">
        <f t="shared" si="9"/>
        <v>36661.385977626989</v>
      </c>
      <c r="AW16" s="10">
        <f t="shared" si="10"/>
        <v>34556.872445684785</v>
      </c>
      <c r="AX16" s="71"/>
      <c r="AY16" s="7">
        <f>IF(ISERROR(IF($K16&lt;=$F$15,VLOOKUP($I16,'表4）CO2価格'!$A$7:$E$67,VLOOKUP($F$48,'表4）CO2価格'!$H$10:$I$12,2,0),0)*$F$8/1000,"")),0,IF($K16&lt;=$F$15,VLOOKUP($I16,'表4）CO2価格'!$A$7:$E$67,VLOOKUP($F$48,'表4）CO2価格'!$H$10:$I$12,2,0),0)*$F$8/1000,""))</f>
        <v>4.4083999999999808</v>
      </c>
      <c r="AZ16" s="71"/>
      <c r="BA16" s="11">
        <f t="shared" si="11"/>
        <v>8609.2768646644272</v>
      </c>
      <c r="BB16" s="10">
        <f t="shared" ref="BB16:BB79" si="27">IF(ISNUMBER(BA16),BA16*$M16,"")</f>
        <v>8115.0691532325636</v>
      </c>
      <c r="BC16" s="71"/>
      <c r="BD16" s="10">
        <f t="shared" si="12"/>
        <v>17442.48164514844</v>
      </c>
      <c r="BE16" s="10">
        <f t="shared" ref="BE16:BE79" si="28">IF(ISNUMBER(BD16),BD16*$M16,"")</f>
        <v>16441.211843857516</v>
      </c>
      <c r="BF16" s="71"/>
      <c r="BG16" s="11">
        <f t="shared" si="13"/>
        <v>4119.2712271121673</v>
      </c>
      <c r="BH16" s="10">
        <f t="shared" ref="BH16:BH79" si="29">IF(ISNUMBER(BG16),BG16*$M16,"")</f>
        <v>3882.8082072883094</v>
      </c>
      <c r="BJ16" s="7" t="str">
        <f t="shared" ref="BJ16:BJ79" si="30">IF(ISNUMBER($F$16),IF($K16&lt;=$F$16+$F$28,1/(1+($F$17/100))^K16,""),"")</f>
        <v/>
      </c>
      <c r="BK16" s="158" t="str">
        <f t="shared" ref="BK16:BK79" si="31">IF(ISNUMBER($F$16),IF($K16&lt;=$F$16+$F$28,IF($K16&lt;=$F$16,SUM(Y16,AB16,AE16,AH16,AK16,AN16,AQ16,AV16,BA16,BD16,BG16),$F$27/$F$28*10^8)*BJ16,""),"")</f>
        <v/>
      </c>
      <c r="BL16" s="158" t="str">
        <f t="shared" si="14"/>
        <v/>
      </c>
      <c r="BM16" s="10"/>
      <c r="BN16" s="10" t="str">
        <f t="shared" ref="BN16:BN79" si="32">IF(AND(ISNUMBER($F$16),$K16&lt;=$F$16),BQ16*($O$15+$BK$116)/$BL$116,"")</f>
        <v/>
      </c>
      <c r="BO16" s="10" t="str">
        <f t="shared" ref="BO16:BO79" si="33">IF(ISNUMBER(BN16),BN16*$M16,"")</f>
        <v/>
      </c>
      <c r="BQ16" s="10">
        <f t="shared" si="15"/>
        <v>4586.735999999999</v>
      </c>
      <c r="BR16" s="10">
        <f t="shared" ref="BR16:BR79" si="34">IF(ISNUMBER(BQ16),BQ16*$M16,"")</f>
        <v>4323.4385898765186</v>
      </c>
    </row>
    <row r="17" spans="3:70" x14ac:dyDescent="0.15">
      <c r="C17" s="9" t="s">
        <v>109</v>
      </c>
      <c r="F17" s="143" t="str">
        <f>IF(ISERROR(VLOOKUP(F3&amp;IF(G4&lt;&gt;"","_"&amp;G4,""),'表7）買取期間・IRR'!$A$14:$A$21,1,0)),"",VLOOKUP(F3&amp;IF(G4&lt;&gt;"","_"&amp;G4,""),'表7）買取期間・IRR'!$A$14:$C$21,IF(F7=2030,4,IF(F7=2020,3,IF(F7=2014,2,"-"))),0))</f>
        <v/>
      </c>
      <c r="G17" s="81" t="s">
        <v>172</v>
      </c>
      <c r="I17" s="38">
        <f t="shared" ref="I17:I80" si="35">I16+1</f>
        <v>2032</v>
      </c>
      <c r="J17" s="39"/>
      <c r="K17" s="39">
        <f t="shared" ref="K17:K80" si="36">IF(I17&lt;&gt;"",K16+1,"")</f>
        <v>3</v>
      </c>
      <c r="L17" s="39"/>
      <c r="M17" s="40">
        <f t="shared" si="0"/>
        <v>0.91514165935315961</v>
      </c>
      <c r="N17" s="39"/>
      <c r="O17" s="72">
        <f t="shared" si="16"/>
        <v>102068.66670000002</v>
      </c>
      <c r="P17" s="41">
        <f t="shared" si="1"/>
        <v>0.41699999999999998</v>
      </c>
      <c r="Q17" s="39"/>
      <c r="R17" s="72">
        <f t="shared" si="17"/>
        <v>139386.91267339178</v>
      </c>
      <c r="S17" s="39"/>
      <c r="T17" s="72">
        <f t="shared" si="18"/>
        <v>139000</v>
      </c>
      <c r="U17" s="39"/>
      <c r="V17" s="72">
        <f t="shared" si="2"/>
        <v>42562.634013900002</v>
      </c>
      <c r="W17" s="72">
        <f t="shared" si="19"/>
        <v>38950.839517921682</v>
      </c>
      <c r="X17" s="39"/>
      <c r="Y17" s="72">
        <f t="shared" si="3"/>
        <v>0</v>
      </c>
      <c r="Z17" s="72">
        <f t="shared" si="20"/>
        <v>0</v>
      </c>
      <c r="AA17" s="39"/>
      <c r="AB17" s="72">
        <f t="shared" si="4"/>
        <v>0</v>
      </c>
      <c r="AC17" s="72">
        <f t="shared" si="21"/>
        <v>0</v>
      </c>
      <c r="AD17" s="39"/>
      <c r="AE17" s="72">
        <f t="shared" si="5"/>
        <v>0</v>
      </c>
      <c r="AF17" s="72">
        <f t="shared" si="22"/>
        <v>0</v>
      </c>
      <c r="AG17" s="39"/>
      <c r="AH17" s="72">
        <f t="shared" si="6"/>
        <v>0</v>
      </c>
      <c r="AI17" s="72">
        <f t="shared" si="23"/>
        <v>0</v>
      </c>
      <c r="AJ17" s="39"/>
      <c r="AK17" s="72">
        <f t="shared" si="24"/>
        <v>5529.9999999999991</v>
      </c>
      <c r="AL17" s="72">
        <f t="shared" si="25"/>
        <v>5060.7333762229719</v>
      </c>
      <c r="AM17" s="39"/>
      <c r="AN17" s="72">
        <f t="shared" si="7"/>
        <v>0</v>
      </c>
      <c r="AO17" s="72">
        <f t="shared" si="26"/>
        <v>0</v>
      </c>
      <c r="AP17" s="39"/>
      <c r="AQ17" s="72">
        <f t="shared" si="8"/>
        <v>0</v>
      </c>
      <c r="AR17" s="72">
        <f t="shared" ref="AR17:AR79" si="37">IF(ISNUMBER(AQ17),AQ17*$M17,"")</f>
        <v>0</v>
      </c>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49.348205572204598</v>
      </c>
      <c r="AU17" s="39"/>
      <c r="AV17" s="72">
        <f t="shared" si="9"/>
        <v>36609.165707255335</v>
      </c>
      <c r="AW17" s="72">
        <f t="shared" si="10"/>
        <v>33502.572652872434</v>
      </c>
      <c r="AX17" s="39"/>
      <c r="AY17" s="40">
        <f>IF(ISERROR(IF($K17&lt;=$F$15,VLOOKUP($I17,'表4）CO2価格'!$A$7:$E$67,VLOOKUP($F$48,'表4）CO2価格'!$H$10:$I$12,2,0),0)*$F$8/1000,"")),0,IF($K17&lt;=$F$15,VLOOKUP($I17,'表4）CO2価格'!$A$7:$E$67,VLOOKUP($F$48,'表4）CO2価格'!$H$10:$I$12,2,0),0)*$F$8/1000,""))</f>
        <v>4.5368000000000102</v>
      </c>
      <c r="AZ17" s="39"/>
      <c r="BA17" s="42">
        <f t="shared" si="11"/>
        <v>8860.0325014993723</v>
      </c>
      <c r="BB17" s="72">
        <f t="shared" si="27"/>
        <v>8108.1848453450611</v>
      </c>
      <c r="BC17" s="39"/>
      <c r="BD17" s="72">
        <f t="shared" si="12"/>
        <v>17417.636673165707</v>
      </c>
      <c r="BE17" s="72">
        <f t="shared" si="28"/>
        <v>15939.604927091312</v>
      </c>
      <c r="BF17" s="39"/>
      <c r="BG17" s="42">
        <f t="shared" si="13"/>
        <v>4239.250000717404</v>
      </c>
      <c r="BH17" s="72">
        <f t="shared" si="29"/>
        <v>3879.514280069408</v>
      </c>
      <c r="BI17" s="39"/>
      <c r="BJ17" s="40" t="str">
        <f t="shared" si="30"/>
        <v/>
      </c>
      <c r="BK17" s="157" t="str">
        <f t="shared" si="31"/>
        <v/>
      </c>
      <c r="BL17" s="157" t="str">
        <f t="shared" si="14"/>
        <v/>
      </c>
      <c r="BM17" s="72"/>
      <c r="BN17" s="72" t="str">
        <f t="shared" si="32"/>
        <v/>
      </c>
      <c r="BO17" s="72" t="str">
        <f t="shared" si="33"/>
        <v/>
      </c>
      <c r="BP17" s="39"/>
      <c r="BQ17" s="72">
        <f t="shared" si="15"/>
        <v>4586.735999999999</v>
      </c>
      <c r="BR17" s="72">
        <f t="shared" si="34"/>
        <v>4197.5131940548727</v>
      </c>
    </row>
    <row r="18" spans="3:70" x14ac:dyDescent="0.15">
      <c r="I18" s="322">
        <f t="shared" si="35"/>
        <v>2033</v>
      </c>
      <c r="J18" s="71"/>
      <c r="K18" s="71">
        <f t="shared" si="36"/>
        <v>4</v>
      </c>
      <c r="L18" s="71"/>
      <c r="M18" s="7">
        <f t="shared" si="0"/>
        <v>0.888487047915689</v>
      </c>
      <c r="N18" s="71"/>
      <c r="O18" s="10">
        <f t="shared" si="16"/>
        <v>59506.032686100014</v>
      </c>
      <c r="P18" s="29">
        <f t="shared" si="1"/>
        <v>0.41699999999999998</v>
      </c>
      <c r="Q18" s="71"/>
      <c r="R18" s="10">
        <f t="shared" si="17"/>
        <v>94963.198134856459</v>
      </c>
      <c r="S18" s="71"/>
      <c r="T18" s="10">
        <f t="shared" si="18"/>
        <v>94000</v>
      </c>
      <c r="U18" s="71"/>
      <c r="V18" s="10">
        <f t="shared" si="2"/>
        <v>24814.015630103706</v>
      </c>
      <c r="W18" s="10">
        <f t="shared" si="19"/>
        <v>22046.931494124608</v>
      </c>
      <c r="X18" s="71"/>
      <c r="Y18" s="10">
        <f t="shared" si="3"/>
        <v>0</v>
      </c>
      <c r="Z18" s="10">
        <f t="shared" si="20"/>
        <v>0</v>
      </c>
      <c r="AA18" s="71"/>
      <c r="AB18" s="10">
        <f t="shared" si="4"/>
        <v>0</v>
      </c>
      <c r="AC18" s="10">
        <f t="shared" si="21"/>
        <v>0</v>
      </c>
      <c r="AD18" s="71"/>
      <c r="AE18" s="10">
        <f t="shared" si="5"/>
        <v>0</v>
      </c>
      <c r="AF18" s="10">
        <f t="shared" si="22"/>
        <v>0</v>
      </c>
      <c r="AG18" s="71"/>
      <c r="AH18" s="10">
        <f t="shared" si="6"/>
        <v>0</v>
      </c>
      <c r="AI18" s="10">
        <f t="shared" si="23"/>
        <v>0</v>
      </c>
      <c r="AJ18" s="71"/>
      <c r="AK18" s="10">
        <f t="shared" si="24"/>
        <v>5529.9999999999991</v>
      </c>
      <c r="AL18" s="10">
        <f t="shared" si="25"/>
        <v>4913.3333749737594</v>
      </c>
      <c r="AM18" s="71"/>
      <c r="AN18" s="10">
        <f t="shared" si="7"/>
        <v>0</v>
      </c>
      <c r="AO18" s="10">
        <f t="shared" si="26"/>
        <v>0</v>
      </c>
      <c r="AP18" s="71"/>
      <c r="AQ18" s="10">
        <f t="shared" si="8"/>
        <v>0</v>
      </c>
      <c r="AR18" s="10">
        <f t="shared" si="37"/>
        <v>0</v>
      </c>
      <c r="AS18" s="71"/>
      <c r="AT18" s="7">
        <f>IF($K18&lt;=$F$15,IF($F$40&lt;&gt;"",$F$40/1000,IF(ISERROR(VLOOKUP($F$3&amp;IF($G$4&lt;&gt;"",$G$4,"")&amp;IF($F$43&lt;&gt;"","_"&amp;$F$43,""),'表3）燃料価格'!$AF$9:$AG$25,2,0)),0,VLOOKUP($I18,'表3）燃料価格'!$A$6:$U$66,VLOOKUP($F$3&amp;IF($G$4&lt;&gt;"",$G$4,"")&amp;IF($F$43&lt;&gt;"","_"&amp;$F$43,""),'表3）燃料価格'!$AF$9:$AG$25,2,0)+VLOOKUP($F$41,'表3）燃料価格'!$AF$28:$AG$29,2,0),0)*IF($F$43="需要地価格",1,$F$8/$F$141))),"")</f>
        <v>49.27382000941541</v>
      </c>
      <c r="AU18" s="71"/>
      <c r="AV18" s="10">
        <f t="shared" si="9"/>
        <v>36556.945436883689</v>
      </c>
      <c r="AW18" s="10">
        <f t="shared" si="10"/>
        <v>32480.372532031706</v>
      </c>
      <c r="AX18" s="71"/>
      <c r="AY18" s="7">
        <f>IF(ISERROR(IF($K18&lt;=$F$15,VLOOKUP($I18,'表4）CO2価格'!$A$7:$E$67,VLOOKUP($F$48,'表4）CO2価格'!$H$10:$I$12,2,0),0)*$F$8/1000,"")),0,IF($K18&lt;=$F$15,VLOOKUP($I18,'表4）CO2価格'!$A$7:$E$67,VLOOKUP($F$48,'表4）CO2価格'!$H$10:$I$12,2,0),0)*$F$8/1000,""))</f>
        <v>4.6651999999999898</v>
      </c>
      <c r="AZ18" s="71"/>
      <c r="BA18" s="11">
        <f t="shared" si="11"/>
        <v>9110.788138334221</v>
      </c>
      <c r="BB18" s="10">
        <f t="shared" si="27"/>
        <v>8094.8172572138483</v>
      </c>
      <c r="BC18" s="71"/>
      <c r="BD18" s="10">
        <f t="shared" si="12"/>
        <v>17392.791701182978</v>
      </c>
      <c r="BE18" s="10">
        <f t="shared" si="28"/>
        <v>15453.270153596559</v>
      </c>
      <c r="BF18" s="71"/>
      <c r="BG18" s="11">
        <f t="shared" si="13"/>
        <v>4359.2287743225943</v>
      </c>
      <c r="BH18" s="10">
        <f t="shared" si="29"/>
        <v>3873.1183048870089</v>
      </c>
      <c r="BJ18" s="7" t="str">
        <f t="shared" si="30"/>
        <v/>
      </c>
      <c r="BK18" s="158" t="str">
        <f t="shared" si="31"/>
        <v/>
      </c>
      <c r="BL18" s="158" t="str">
        <f t="shared" si="14"/>
        <v/>
      </c>
      <c r="BM18" s="10"/>
      <c r="BN18" s="10" t="str">
        <f t="shared" si="32"/>
        <v/>
      </c>
      <c r="BO18" s="10" t="str">
        <f t="shared" si="33"/>
        <v/>
      </c>
      <c r="BQ18" s="10">
        <f t="shared" si="15"/>
        <v>4586.735999999999</v>
      </c>
      <c r="BR18" s="10">
        <f t="shared" si="34"/>
        <v>4075.2555282086146</v>
      </c>
    </row>
    <row r="19" spans="3:70" x14ac:dyDescent="0.15">
      <c r="C19" s="89" t="s">
        <v>371</v>
      </c>
      <c r="D19" s="101"/>
      <c r="E19" s="101"/>
      <c r="F19" s="89"/>
      <c r="G19" s="101"/>
      <c r="I19" s="38">
        <f t="shared" si="35"/>
        <v>2034</v>
      </c>
      <c r="J19" s="39"/>
      <c r="K19" s="39">
        <f t="shared" si="36"/>
        <v>5</v>
      </c>
      <c r="L19" s="39"/>
      <c r="M19" s="40">
        <f t="shared" si="0"/>
        <v>0.86260878438416411</v>
      </c>
      <c r="N19" s="39"/>
      <c r="O19" s="72">
        <f t="shared" si="16"/>
        <v>34692.017055996308</v>
      </c>
      <c r="P19" s="41">
        <f t="shared" si="1"/>
        <v>0.5</v>
      </c>
      <c r="Q19" s="39"/>
      <c r="R19" s="72">
        <f t="shared" si="17"/>
        <v>64697.673741657491</v>
      </c>
      <c r="S19" s="39"/>
      <c r="T19" s="72">
        <f t="shared" si="18"/>
        <v>64000</v>
      </c>
      <c r="U19" s="39"/>
      <c r="V19" s="72">
        <f t="shared" si="2"/>
        <v>17346.008527998154</v>
      </c>
      <c r="W19" s="72">
        <f t="shared" si="19"/>
        <v>14962.819330253831</v>
      </c>
      <c r="X19" s="39"/>
      <c r="Y19" s="72">
        <f t="shared" si="3"/>
        <v>0</v>
      </c>
      <c r="Z19" s="72">
        <f t="shared" si="20"/>
        <v>0</v>
      </c>
      <c r="AA19" s="39"/>
      <c r="AB19" s="72">
        <f t="shared" si="4"/>
        <v>0</v>
      </c>
      <c r="AC19" s="72">
        <f t="shared" si="21"/>
        <v>0</v>
      </c>
      <c r="AD19" s="39"/>
      <c r="AE19" s="72">
        <f t="shared" si="5"/>
        <v>0</v>
      </c>
      <c r="AF19" s="72">
        <f t="shared" si="22"/>
        <v>0</v>
      </c>
      <c r="AG19" s="39"/>
      <c r="AH19" s="72">
        <f t="shared" si="6"/>
        <v>0</v>
      </c>
      <c r="AI19" s="72">
        <f t="shared" si="23"/>
        <v>0</v>
      </c>
      <c r="AJ19" s="39"/>
      <c r="AK19" s="72">
        <f t="shared" si="24"/>
        <v>5529.9999999999991</v>
      </c>
      <c r="AL19" s="72">
        <f t="shared" si="25"/>
        <v>4770.2265776444265</v>
      </c>
      <c r="AM19" s="39"/>
      <c r="AN19" s="72">
        <f t="shared" si="7"/>
        <v>0</v>
      </c>
      <c r="AO19" s="72">
        <f t="shared" si="26"/>
        <v>0</v>
      </c>
      <c r="AP19" s="39"/>
      <c r="AQ19" s="72">
        <f t="shared" si="8"/>
        <v>0</v>
      </c>
      <c r="AR19" s="72">
        <f t="shared" si="37"/>
        <v>0</v>
      </c>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49.199434446626192</v>
      </c>
      <c r="AU19" s="39"/>
      <c r="AV19" s="72">
        <f t="shared" si="9"/>
        <v>36504.72516651202</v>
      </c>
      <c r="AW19" s="72">
        <f t="shared" si="10"/>
        <v>31489.296600162936</v>
      </c>
      <c r="AX19" s="39"/>
      <c r="AY19" s="40">
        <f>IF(ISERROR(IF($K19&lt;=$F$15,VLOOKUP($I19,'表4）CO2価格'!$A$7:$E$67,VLOOKUP($F$48,'表4）CO2価格'!$H$10:$I$12,2,0),0)*$F$8/1000,"")),0,IF($K19&lt;=$F$15,VLOOKUP($I19,'表4）CO2価格'!$A$7:$E$67,VLOOKUP($F$48,'表4）CO2価格'!$H$10:$I$12,2,0),0)*$F$8/1000,""))</f>
        <v>4.7935999999999712</v>
      </c>
      <c r="AZ19" s="39"/>
      <c r="BA19" s="42">
        <f t="shared" si="11"/>
        <v>9361.5437751690715</v>
      </c>
      <c r="BB19" s="72">
        <f t="shared" si="27"/>
        <v>8075.3498958577311</v>
      </c>
      <c r="BC19" s="39"/>
      <c r="BD19" s="72">
        <f t="shared" si="12"/>
        <v>17367.946729200237</v>
      </c>
      <c r="BE19" s="72">
        <f t="shared" si="28"/>
        <v>14981.743415324336</v>
      </c>
      <c r="BF19" s="39"/>
      <c r="BG19" s="42">
        <f t="shared" si="13"/>
        <v>4479.2075479277855</v>
      </c>
      <c r="BH19" s="72">
        <f t="shared" si="29"/>
        <v>3863.8037779223596</v>
      </c>
      <c r="BI19" s="39"/>
      <c r="BJ19" s="40" t="str">
        <f t="shared" si="30"/>
        <v/>
      </c>
      <c r="BK19" s="157" t="str">
        <f t="shared" si="31"/>
        <v/>
      </c>
      <c r="BL19" s="157" t="str">
        <f t="shared" si="14"/>
        <v/>
      </c>
      <c r="BM19" s="72"/>
      <c r="BN19" s="72" t="str">
        <f t="shared" si="32"/>
        <v/>
      </c>
      <c r="BO19" s="72" t="str">
        <f t="shared" si="33"/>
        <v/>
      </c>
      <c r="BP19" s="39"/>
      <c r="BQ19" s="72">
        <f t="shared" si="15"/>
        <v>4586.735999999999</v>
      </c>
      <c r="BR19" s="72">
        <f t="shared" si="34"/>
        <v>3956.5587652510826</v>
      </c>
    </row>
    <row r="20" spans="3:70" x14ac:dyDescent="0.15">
      <c r="I20" s="322">
        <f t="shared" si="35"/>
        <v>2035</v>
      </c>
      <c r="J20" s="71"/>
      <c r="K20" s="71">
        <f t="shared" si="36"/>
        <v>6</v>
      </c>
      <c r="L20" s="71"/>
      <c r="M20" s="7">
        <f t="shared" si="0"/>
        <v>0.83748425668365445</v>
      </c>
      <c r="N20" s="71"/>
      <c r="O20" s="10">
        <f t="shared" si="16"/>
        <v>17346.008527998154</v>
      </c>
      <c r="P20" s="29" t="str">
        <f t="shared" si="1"/>
        <v>-</v>
      </c>
      <c r="Q20" s="71"/>
      <c r="R20" s="10">
        <f t="shared" si="17"/>
        <v>44078.012006690769</v>
      </c>
      <c r="S20" s="71"/>
      <c r="T20" s="10">
        <f t="shared" si="18"/>
        <v>44000</v>
      </c>
      <c r="U20" s="71"/>
      <c r="V20" s="10">
        <f t="shared" si="2"/>
        <v>17346.008527998154</v>
      </c>
      <c r="W20" s="10">
        <f t="shared" si="19"/>
        <v>14527.009058498865</v>
      </c>
      <c r="X20" s="71"/>
      <c r="Y20" s="10">
        <f t="shared" si="3"/>
        <v>0</v>
      </c>
      <c r="Z20" s="10">
        <f t="shared" si="20"/>
        <v>0</v>
      </c>
      <c r="AA20" s="71"/>
      <c r="AB20" s="10">
        <f t="shared" si="4"/>
        <v>0</v>
      </c>
      <c r="AC20" s="10">
        <f t="shared" si="21"/>
        <v>0</v>
      </c>
      <c r="AD20" s="71"/>
      <c r="AE20" s="10">
        <f t="shared" si="5"/>
        <v>0</v>
      </c>
      <c r="AF20" s="10">
        <f t="shared" si="22"/>
        <v>0</v>
      </c>
      <c r="AG20" s="71"/>
      <c r="AH20" s="10">
        <f t="shared" si="6"/>
        <v>0</v>
      </c>
      <c r="AI20" s="10">
        <f t="shared" si="23"/>
        <v>0</v>
      </c>
      <c r="AJ20" s="71"/>
      <c r="AK20" s="10">
        <f t="shared" si="24"/>
        <v>5529.9999999999991</v>
      </c>
      <c r="AL20" s="10">
        <f t="shared" si="25"/>
        <v>4631.287939460608</v>
      </c>
      <c r="AM20" s="71"/>
      <c r="AN20" s="10">
        <f t="shared" si="7"/>
        <v>0</v>
      </c>
      <c r="AO20" s="10">
        <f t="shared" si="26"/>
        <v>0</v>
      </c>
      <c r="AP20" s="71"/>
      <c r="AQ20" s="10">
        <f t="shared" si="8"/>
        <v>0</v>
      </c>
      <c r="AR20" s="10">
        <f t="shared" si="37"/>
        <v>0</v>
      </c>
      <c r="AS20" s="71"/>
      <c r="AT20" s="7">
        <f>IF($K20&lt;=$F$15,IF($F$40&lt;&gt;"",$F$40/1000,IF(ISERROR(VLOOKUP($F$3&amp;IF($G$4&lt;&gt;"",$G$4,"")&amp;IF($F$43&lt;&gt;"","_"&amp;$F$43,""),'表3）燃料価格'!$AF$9:$AG$25,2,0)),0,VLOOKUP($I20,'表3）燃料価格'!$A$6:$U$66,VLOOKUP($F$3&amp;IF($G$4&lt;&gt;"",$G$4,"")&amp;IF($F$43&lt;&gt;"","_"&amp;$F$43,""),'表3）燃料価格'!$AF$9:$AG$25,2,0)+VLOOKUP($F$41,'表3）燃料価格'!$AF$28:$AG$29,2,0),0)*IF($F$43="需要地価格",1,$F$8/$F$141))),"")</f>
        <v>49.125048883837003</v>
      </c>
      <c r="AU20" s="71"/>
      <c r="AV20" s="10">
        <f t="shared" si="9"/>
        <v>36452.504896140374</v>
      </c>
      <c r="AW20" s="10">
        <f t="shared" si="10"/>
        <v>30528.398967201396</v>
      </c>
      <c r="AX20" s="71"/>
      <c r="AY20" s="7">
        <f>IF(ISERROR(IF($K20&lt;=$F$15,VLOOKUP($I20,'表4）CO2価格'!$A$7:$E$67,VLOOKUP($F$48,'表4）CO2価格'!$H$10:$I$12,2,0),0)*$F$8/1000,"")),0,IF($K20&lt;=$F$15,VLOOKUP($I20,'表4）CO2価格'!$A$7:$E$67,VLOOKUP($F$48,'表4）CO2価格'!$H$10:$I$12,2,0),0)*$F$8/1000,""))</f>
        <v>4.9219999999999997</v>
      </c>
      <c r="AZ20" s="71"/>
      <c r="BA20" s="11">
        <f t="shared" si="11"/>
        <v>9612.2994120040148</v>
      </c>
      <c r="BB20" s="10">
        <f t="shared" si="27"/>
        <v>8050.1494280829111</v>
      </c>
      <c r="BC20" s="71"/>
      <c r="BD20" s="10">
        <f t="shared" si="12"/>
        <v>17343.101757217508</v>
      </c>
      <c r="BE20" s="10">
        <f t="shared" si="28"/>
        <v>14524.574683732286</v>
      </c>
      <c r="BF20" s="71"/>
      <c r="BG20" s="11">
        <f t="shared" si="13"/>
        <v>4599.1863215330213</v>
      </c>
      <c r="BH20" s="10">
        <f t="shared" si="29"/>
        <v>3851.7461378387134</v>
      </c>
      <c r="BJ20" s="7" t="str">
        <f t="shared" si="30"/>
        <v/>
      </c>
      <c r="BK20" s="158" t="str">
        <f t="shared" si="31"/>
        <v/>
      </c>
      <c r="BL20" s="158" t="str">
        <f t="shared" si="14"/>
        <v/>
      </c>
      <c r="BM20" s="10"/>
      <c r="BN20" s="10" t="str">
        <f t="shared" si="32"/>
        <v/>
      </c>
      <c r="BO20" s="10" t="str">
        <f t="shared" si="33"/>
        <v/>
      </c>
      <c r="BQ20" s="10">
        <f t="shared" si="15"/>
        <v>4586.735999999999</v>
      </c>
      <c r="BR20" s="10">
        <f t="shared" si="34"/>
        <v>3841.3191895641576</v>
      </c>
    </row>
    <row r="21" spans="3:70" x14ac:dyDescent="0.15">
      <c r="D21" s="81" t="s">
        <v>110</v>
      </c>
      <c r="F21" s="67">
        <v>42.9</v>
      </c>
      <c r="G21" s="81" t="s">
        <v>174</v>
      </c>
      <c r="I21" s="38">
        <f t="shared" si="35"/>
        <v>2036</v>
      </c>
      <c r="J21" s="39"/>
      <c r="K21" s="39">
        <f t="shared" si="36"/>
        <v>7</v>
      </c>
      <c r="L21" s="39"/>
      <c r="M21" s="40">
        <f t="shared" si="0"/>
        <v>0.81309151134335378</v>
      </c>
      <c r="N21" s="39"/>
      <c r="O21" s="72">
        <f t="shared" si="16"/>
        <v>0</v>
      </c>
      <c r="P21" s="41" t="str">
        <f t="shared" si="1"/>
        <v>-</v>
      </c>
      <c r="Q21" s="39"/>
      <c r="R21" s="72">
        <f t="shared" si="17"/>
        <v>30030.000000000018</v>
      </c>
      <c r="S21" s="39"/>
      <c r="T21" s="72">
        <f t="shared" si="18"/>
        <v>30000</v>
      </c>
      <c r="U21" s="39"/>
      <c r="V21" s="72">
        <f t="shared" si="2"/>
        <v>0</v>
      </c>
      <c r="W21" s="72">
        <f t="shared" si="19"/>
        <v>0</v>
      </c>
      <c r="X21" s="39"/>
      <c r="Y21" s="72">
        <f t="shared" si="3"/>
        <v>0</v>
      </c>
      <c r="Z21" s="72">
        <f t="shared" si="20"/>
        <v>0</v>
      </c>
      <c r="AA21" s="39"/>
      <c r="AB21" s="72">
        <f t="shared" si="4"/>
        <v>0</v>
      </c>
      <c r="AC21" s="72">
        <f t="shared" si="21"/>
        <v>0</v>
      </c>
      <c r="AD21" s="39"/>
      <c r="AE21" s="72">
        <f t="shared" si="5"/>
        <v>0</v>
      </c>
      <c r="AF21" s="72">
        <f t="shared" si="22"/>
        <v>0</v>
      </c>
      <c r="AG21" s="39"/>
      <c r="AH21" s="72">
        <f t="shared" si="6"/>
        <v>0</v>
      </c>
      <c r="AI21" s="72">
        <f t="shared" si="23"/>
        <v>0</v>
      </c>
      <c r="AJ21" s="39"/>
      <c r="AK21" s="72">
        <f t="shared" si="24"/>
        <v>5529.9999999999991</v>
      </c>
      <c r="AL21" s="72">
        <f t="shared" si="25"/>
        <v>4496.3960577287453</v>
      </c>
      <c r="AM21" s="39"/>
      <c r="AN21" s="72">
        <f t="shared" si="7"/>
        <v>0</v>
      </c>
      <c r="AO21" s="72">
        <f t="shared" si="26"/>
        <v>0</v>
      </c>
      <c r="AP21" s="39"/>
      <c r="AQ21" s="72">
        <f t="shared" si="8"/>
        <v>0</v>
      </c>
      <c r="AR21" s="72">
        <f t="shared" si="37"/>
        <v>0</v>
      </c>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49.050663321047786</v>
      </c>
      <c r="AU21" s="39"/>
      <c r="AV21" s="72">
        <f t="shared" si="9"/>
        <v>36400.284625768705</v>
      </c>
      <c r="AW21" s="72">
        <f t="shared" si="10"/>
        <v>29596.762439694521</v>
      </c>
      <c r="AX21" s="39"/>
      <c r="AY21" s="40">
        <f>IF(ISERROR(IF($K21&lt;=$F$15,VLOOKUP($I21,'表4）CO2価格'!$A$7:$E$67,VLOOKUP($F$48,'表4）CO2価格'!$H$10:$I$12,2,0),0)*$F$8/1000,"")),0,IF($K21&lt;=$F$15,VLOOKUP($I21,'表4）CO2価格'!$A$7:$E$67,VLOOKUP($F$48,'表4）CO2価格'!$H$10:$I$12,2,0),0)*$F$8/1000,""))</f>
        <v>5.0503999999999802</v>
      </c>
      <c r="AZ21" s="39"/>
      <c r="BA21" s="42">
        <f t="shared" si="11"/>
        <v>9863.0550488388635</v>
      </c>
      <c r="BB21" s="72">
        <f t="shared" si="27"/>
        <v>8019.5663361230872</v>
      </c>
      <c r="BC21" s="39"/>
      <c r="BD21" s="72">
        <f t="shared" si="12"/>
        <v>17318.256785234771</v>
      </c>
      <c r="BE21" s="72">
        <f t="shared" si="28"/>
        <v>14081.327583338831</v>
      </c>
      <c r="BF21" s="39"/>
      <c r="BG21" s="42">
        <f t="shared" si="13"/>
        <v>4719.1650951382126</v>
      </c>
      <c r="BH21" s="72">
        <f t="shared" si="29"/>
        <v>3837.1130794847313</v>
      </c>
      <c r="BI21" s="39"/>
      <c r="BJ21" s="40" t="str">
        <f t="shared" si="30"/>
        <v/>
      </c>
      <c r="BK21" s="157" t="str">
        <f t="shared" si="31"/>
        <v/>
      </c>
      <c r="BL21" s="157" t="str">
        <f t="shared" si="14"/>
        <v/>
      </c>
      <c r="BM21" s="72"/>
      <c r="BN21" s="72" t="str">
        <f t="shared" si="32"/>
        <v/>
      </c>
      <c r="BO21" s="72" t="str">
        <f t="shared" si="33"/>
        <v/>
      </c>
      <c r="BP21" s="39"/>
      <c r="BQ21" s="72">
        <f t="shared" si="15"/>
        <v>4586.735999999999</v>
      </c>
      <c r="BR21" s="72">
        <f t="shared" si="34"/>
        <v>3729.4361063729684</v>
      </c>
    </row>
    <row r="22" spans="3:70" ht="16.5" x14ac:dyDescent="0.15">
      <c r="D22" s="81" t="s">
        <v>111</v>
      </c>
      <c r="F22" s="148">
        <v>54.7</v>
      </c>
      <c r="G22" s="9" t="s">
        <v>372</v>
      </c>
      <c r="I22" s="322">
        <f t="shared" si="35"/>
        <v>2037</v>
      </c>
      <c r="J22" s="71"/>
      <c r="K22" s="71">
        <f t="shared" si="36"/>
        <v>8</v>
      </c>
      <c r="L22" s="71"/>
      <c r="M22" s="7">
        <f t="shared" si="0"/>
        <v>0.78940923431393573</v>
      </c>
      <c r="N22" s="71"/>
      <c r="O22" s="10">
        <f t="shared" si="16"/>
        <v>0</v>
      </c>
      <c r="P22" s="29" t="str">
        <f t="shared" si="1"/>
        <v>-</v>
      </c>
      <c r="Q22" s="71"/>
      <c r="R22" s="10">
        <f t="shared" si="17"/>
        <v>20459.200833810592</v>
      </c>
      <c r="S22" s="71"/>
      <c r="T22" s="10">
        <f t="shared" si="18"/>
        <v>20000</v>
      </c>
      <c r="U22" s="71"/>
      <c r="V22" s="10">
        <f t="shared" si="2"/>
        <v>0</v>
      </c>
      <c r="W22" s="10">
        <f t="shared" si="19"/>
        <v>0</v>
      </c>
      <c r="X22" s="71"/>
      <c r="Y22" s="10">
        <f t="shared" si="3"/>
        <v>0</v>
      </c>
      <c r="Z22" s="10">
        <f t="shared" si="20"/>
        <v>0</v>
      </c>
      <c r="AA22" s="71"/>
      <c r="AB22" s="10">
        <f t="shared" si="4"/>
        <v>0</v>
      </c>
      <c r="AC22" s="10">
        <f t="shared" si="21"/>
        <v>0</v>
      </c>
      <c r="AD22" s="71"/>
      <c r="AE22" s="10">
        <f t="shared" si="5"/>
        <v>0</v>
      </c>
      <c r="AF22" s="10">
        <f t="shared" si="22"/>
        <v>0</v>
      </c>
      <c r="AG22" s="71"/>
      <c r="AH22" s="10">
        <f t="shared" si="6"/>
        <v>0</v>
      </c>
      <c r="AI22" s="10">
        <f t="shared" si="23"/>
        <v>0</v>
      </c>
      <c r="AJ22" s="71"/>
      <c r="AK22" s="10">
        <f t="shared" si="24"/>
        <v>5529.9999999999991</v>
      </c>
      <c r="AL22" s="10">
        <f t="shared" si="25"/>
        <v>4365.433065756064</v>
      </c>
      <c r="AM22" s="71"/>
      <c r="AN22" s="10">
        <f t="shared" si="7"/>
        <v>0</v>
      </c>
      <c r="AO22" s="10">
        <f t="shared" si="26"/>
        <v>0</v>
      </c>
      <c r="AP22" s="71"/>
      <c r="AQ22" s="10">
        <f t="shared" si="8"/>
        <v>0</v>
      </c>
      <c r="AR22" s="10">
        <f t="shared" si="37"/>
        <v>0</v>
      </c>
      <c r="AS22" s="71"/>
      <c r="AT22" s="7">
        <f>IF($K22&lt;=$F$15,IF($F$40&lt;&gt;"",$F$40/1000,IF(ISERROR(VLOOKUP($F$3&amp;IF($G$4&lt;&gt;"",$G$4,"")&amp;IF($F$43&lt;&gt;"","_"&amp;$F$43,""),'表3）燃料価格'!$AF$9:$AG$25,2,0)),0,VLOOKUP($I22,'表3）燃料価格'!$A$6:$U$66,VLOOKUP($F$3&amp;IF($G$4&lt;&gt;"",$G$4,"")&amp;IF($F$43&lt;&gt;"","_"&amp;$F$43,""),'表3）燃料価格'!$AF$9:$AG$25,2,0)+VLOOKUP($F$41,'表3）燃料価格'!$AF$28:$AG$29,2,0),0)*IF($F$43="需要地価格",1,$F$8/$F$141))),"")</f>
        <v>48.976277758258597</v>
      </c>
      <c r="AU22" s="71"/>
      <c r="AV22" s="10">
        <f t="shared" si="9"/>
        <v>36348.064355397051</v>
      </c>
      <c r="AW22" s="10">
        <f t="shared" si="10"/>
        <v>28693.497651587644</v>
      </c>
      <c r="AX22" s="71"/>
      <c r="AY22" s="7">
        <f>IF(ISERROR(IF($K22&lt;=$F$15,VLOOKUP($I22,'表4）CO2価格'!$A$7:$E$67,VLOOKUP($F$48,'表4）CO2価格'!$H$10:$I$12,2,0),0)*$F$8/1000,"")),0,IF($K22&lt;=$F$15,VLOOKUP($I22,'表4）CO2価格'!$A$7:$E$67,VLOOKUP($F$48,'表4）CO2価格'!$H$10:$I$12,2,0),0)*$F$8/1000,""))</f>
        <v>5.1788000000000105</v>
      </c>
      <c r="AZ22" s="71"/>
      <c r="BA22" s="11">
        <f t="shared" si="11"/>
        <v>10113.81068567381</v>
      </c>
      <c r="BB22" s="10">
        <f t="shared" si="27"/>
        <v>7983.935549373864</v>
      </c>
      <c r="BC22" s="71"/>
      <c r="BD22" s="10">
        <f t="shared" si="12"/>
        <v>17293.411813252042</v>
      </c>
      <c r="BE22" s="10">
        <f t="shared" si="28"/>
        <v>13651.578978174864</v>
      </c>
      <c r="BF22" s="71"/>
      <c r="BG22" s="11">
        <f t="shared" si="13"/>
        <v>4839.1438687434502</v>
      </c>
      <c r="BH22" s="10">
        <f t="shared" si="29"/>
        <v>3820.0648561597436</v>
      </c>
      <c r="BJ22" s="7" t="str">
        <f t="shared" si="30"/>
        <v/>
      </c>
      <c r="BK22" s="158" t="str">
        <f t="shared" si="31"/>
        <v/>
      </c>
      <c r="BL22" s="158" t="str">
        <f t="shared" si="14"/>
        <v/>
      </c>
      <c r="BM22" s="10"/>
      <c r="BN22" s="10" t="str">
        <f t="shared" si="32"/>
        <v/>
      </c>
      <c r="BO22" s="10" t="str">
        <f t="shared" si="33"/>
        <v/>
      </c>
      <c r="BQ22" s="10">
        <f t="shared" si="15"/>
        <v>4586.735999999999</v>
      </c>
      <c r="BR22" s="10">
        <f t="shared" si="34"/>
        <v>3620.8117537601634</v>
      </c>
    </row>
    <row r="23" spans="3:70" x14ac:dyDescent="0.15">
      <c r="D23" s="81" t="s">
        <v>112</v>
      </c>
      <c r="F23" s="147">
        <v>43</v>
      </c>
      <c r="G23" s="81" t="s">
        <v>172</v>
      </c>
      <c r="I23" s="38">
        <f t="shared" si="35"/>
        <v>2038</v>
      </c>
      <c r="J23" s="39"/>
      <c r="K23" s="39">
        <f t="shared" si="36"/>
        <v>9</v>
      </c>
      <c r="L23" s="39"/>
      <c r="M23" s="40">
        <f t="shared" si="0"/>
        <v>0.76641673234362695</v>
      </c>
      <c r="N23" s="39"/>
      <c r="O23" s="72">
        <f t="shared" si="16"/>
        <v>0</v>
      </c>
      <c r="P23" s="41" t="str">
        <f t="shared" si="1"/>
        <v>-</v>
      </c>
      <c r="Q23" s="39"/>
      <c r="R23" s="72">
        <f t="shared" si="17"/>
        <v>15015</v>
      </c>
      <c r="S23" s="39"/>
      <c r="T23" s="72">
        <f t="shared" si="18"/>
        <v>15000</v>
      </c>
      <c r="U23" s="39"/>
      <c r="V23" s="72">
        <f t="shared" si="2"/>
        <v>0</v>
      </c>
      <c r="W23" s="72">
        <f t="shared" si="19"/>
        <v>0</v>
      </c>
      <c r="X23" s="39"/>
      <c r="Y23" s="72">
        <f t="shared" si="3"/>
        <v>0</v>
      </c>
      <c r="Z23" s="72">
        <f t="shared" si="20"/>
        <v>0</v>
      </c>
      <c r="AA23" s="39"/>
      <c r="AB23" s="72">
        <f t="shared" si="4"/>
        <v>0</v>
      </c>
      <c r="AC23" s="72">
        <f t="shared" si="21"/>
        <v>0</v>
      </c>
      <c r="AD23" s="39"/>
      <c r="AE23" s="72">
        <f t="shared" si="5"/>
        <v>0</v>
      </c>
      <c r="AF23" s="72">
        <f t="shared" si="22"/>
        <v>0</v>
      </c>
      <c r="AG23" s="39"/>
      <c r="AH23" s="72">
        <f t="shared" si="6"/>
        <v>0</v>
      </c>
      <c r="AI23" s="72">
        <f t="shared" si="23"/>
        <v>0</v>
      </c>
      <c r="AJ23" s="39"/>
      <c r="AK23" s="72">
        <f t="shared" si="24"/>
        <v>5529.9999999999991</v>
      </c>
      <c r="AL23" s="72">
        <f t="shared" si="25"/>
        <v>4238.284529860256</v>
      </c>
      <c r="AM23" s="39"/>
      <c r="AN23" s="72">
        <f t="shared" si="7"/>
        <v>0</v>
      </c>
      <c r="AO23" s="72">
        <f t="shared" si="26"/>
        <v>0</v>
      </c>
      <c r="AP23" s="39"/>
      <c r="AQ23" s="72">
        <f t="shared" si="8"/>
        <v>0</v>
      </c>
      <c r="AR23" s="72">
        <f t="shared" si="37"/>
        <v>0</v>
      </c>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48.901892195469408</v>
      </c>
      <c r="AU23" s="39"/>
      <c r="AV23" s="72">
        <f t="shared" si="9"/>
        <v>36295.844085025405</v>
      </c>
      <c r="AW23" s="72">
        <f t="shared" si="10"/>
        <v>27817.74222129893</v>
      </c>
      <c r="AX23" s="39"/>
      <c r="AY23" s="40">
        <f>IF(ISERROR(IF($K23&lt;=$F$15,VLOOKUP($I23,'表4）CO2価格'!$A$7:$E$67,VLOOKUP($F$48,'表4）CO2価格'!$H$10:$I$12,2,0),0)*$F$8/1000,"")),0,IF($K23&lt;=$F$15,VLOOKUP($I23,'表4）CO2価格'!$A$7:$E$67,VLOOKUP($F$48,'表4）CO2価格'!$H$10:$I$12,2,0),0)*$F$8/1000,""))</f>
        <v>5.3071999999999901</v>
      </c>
      <c r="AZ23" s="39"/>
      <c r="BA23" s="42">
        <f t="shared" si="11"/>
        <v>10364.566322508657</v>
      </c>
      <c r="BB23" s="72">
        <f t="shared" si="27"/>
        <v>7943.5770530558875</v>
      </c>
      <c r="BC23" s="39"/>
      <c r="BD23" s="72">
        <f t="shared" si="12"/>
        <v>17268.566841269312</v>
      </c>
      <c r="BE23" s="72">
        <f t="shared" si="28"/>
        <v>13234.918570743133</v>
      </c>
      <c r="BF23" s="39"/>
      <c r="BG23" s="42">
        <f t="shared" si="13"/>
        <v>4959.1226423486405</v>
      </c>
      <c r="BH23" s="72">
        <f t="shared" si="29"/>
        <v>3800.7545708401381</v>
      </c>
      <c r="BI23" s="39"/>
      <c r="BJ23" s="40" t="str">
        <f t="shared" si="30"/>
        <v/>
      </c>
      <c r="BK23" s="157" t="str">
        <f t="shared" si="31"/>
        <v/>
      </c>
      <c r="BL23" s="157" t="str">
        <f t="shared" si="14"/>
        <v/>
      </c>
      <c r="BM23" s="72"/>
      <c r="BN23" s="72" t="str">
        <f t="shared" si="32"/>
        <v/>
      </c>
      <c r="BO23" s="72" t="str">
        <f t="shared" si="33"/>
        <v/>
      </c>
      <c r="BP23" s="39"/>
      <c r="BQ23" s="72">
        <f t="shared" si="15"/>
        <v>4586.735999999999</v>
      </c>
      <c r="BR23" s="72">
        <f t="shared" si="34"/>
        <v>3515.3512172428773</v>
      </c>
    </row>
    <row r="24" spans="3:70" x14ac:dyDescent="0.15">
      <c r="D24" s="81" t="s">
        <v>113</v>
      </c>
      <c r="F24" s="106">
        <v>0</v>
      </c>
      <c r="G24" s="81" t="s">
        <v>172</v>
      </c>
      <c r="I24" s="322">
        <f t="shared" si="35"/>
        <v>2039</v>
      </c>
      <c r="J24" s="71"/>
      <c r="K24" s="71">
        <f t="shared" si="36"/>
        <v>10</v>
      </c>
      <c r="L24" s="71"/>
      <c r="M24" s="7">
        <f t="shared" si="0"/>
        <v>0.74409391489672516</v>
      </c>
      <c r="N24" s="71"/>
      <c r="O24" s="10">
        <f t="shared" si="16"/>
        <v>0</v>
      </c>
      <c r="P24" s="29" t="str">
        <f t="shared" si="1"/>
        <v>-</v>
      </c>
      <c r="Q24" s="71"/>
      <c r="R24" s="10">
        <f t="shared" si="17"/>
        <v>15015</v>
      </c>
      <c r="S24" s="71"/>
      <c r="T24" s="10">
        <f t="shared" si="18"/>
        <v>15000</v>
      </c>
      <c r="U24" s="71"/>
      <c r="V24" s="10">
        <f t="shared" si="2"/>
        <v>0</v>
      </c>
      <c r="W24" s="10">
        <f t="shared" si="19"/>
        <v>0</v>
      </c>
      <c r="X24" s="71"/>
      <c r="Y24" s="10">
        <f t="shared" si="3"/>
        <v>0</v>
      </c>
      <c r="Z24" s="10">
        <f t="shared" si="20"/>
        <v>0</v>
      </c>
      <c r="AA24" s="71"/>
      <c r="AB24" s="10">
        <f t="shared" si="4"/>
        <v>0</v>
      </c>
      <c r="AC24" s="10">
        <f t="shared" si="21"/>
        <v>0</v>
      </c>
      <c r="AD24" s="71"/>
      <c r="AE24" s="10">
        <f t="shared" si="5"/>
        <v>0</v>
      </c>
      <c r="AF24" s="10">
        <f t="shared" si="22"/>
        <v>0</v>
      </c>
      <c r="AG24" s="71"/>
      <c r="AH24" s="10">
        <f t="shared" si="6"/>
        <v>0</v>
      </c>
      <c r="AI24" s="10">
        <f t="shared" si="23"/>
        <v>0</v>
      </c>
      <c r="AJ24" s="71"/>
      <c r="AK24" s="10">
        <f t="shared" si="24"/>
        <v>5529.9999999999991</v>
      </c>
      <c r="AL24" s="10">
        <f t="shared" si="25"/>
        <v>4114.8393493788899</v>
      </c>
      <c r="AM24" s="71"/>
      <c r="AN24" s="10">
        <f t="shared" si="7"/>
        <v>0</v>
      </c>
      <c r="AO24" s="10">
        <f t="shared" si="26"/>
        <v>0</v>
      </c>
      <c r="AP24" s="71"/>
      <c r="AQ24" s="10">
        <f t="shared" si="8"/>
        <v>0</v>
      </c>
      <c r="AR24" s="10">
        <f t="shared" si="37"/>
        <v>0</v>
      </c>
      <c r="AS24" s="71"/>
      <c r="AT24" s="7">
        <f>IF($K24&lt;=$F$15,IF($F$40&lt;&gt;"",$F$40/1000,IF(ISERROR(VLOOKUP($F$3&amp;IF($G$4&lt;&gt;"",$G$4,"")&amp;IF($F$43&lt;&gt;"","_"&amp;$F$43,""),'表3）燃料価格'!$AF$9:$AG$25,2,0)),0,VLOOKUP($I24,'表3）燃料価格'!$A$6:$U$66,VLOOKUP($F$3&amp;IF($G$4&lt;&gt;"",$G$4,"")&amp;IF($F$43&lt;&gt;"","_"&amp;$F$43,""),'表3）燃料価格'!$AF$9:$AG$25,2,0)+VLOOKUP($F$41,'表3）燃料価格'!$AF$28:$AG$29,2,0),0)*IF($F$43="需要地価格",1,$F$8/$F$141))),"")</f>
        <v>48.827506632680205</v>
      </c>
      <c r="AU24" s="71"/>
      <c r="AV24" s="10">
        <f t="shared" si="9"/>
        <v>36243.623814653743</v>
      </c>
      <c r="AW24" s="10">
        <f t="shared" si="10"/>
        <v>26968.659934289884</v>
      </c>
      <c r="AX24" s="71"/>
      <c r="AY24" s="7">
        <f>IF(ISERROR(IF($K24&lt;=$F$15,VLOOKUP($I24,'表4）CO2価格'!$A$7:$E$67,VLOOKUP($F$48,'表4）CO2価格'!$H$10:$I$12,2,0),0)*$F$8/1000,"")),0,IF($K24&lt;=$F$15,VLOOKUP($I24,'表4）CO2価格'!$A$7:$E$67,VLOOKUP($F$48,'表4）CO2価格'!$H$10:$I$12,2,0),0)*$F$8/1000,""))</f>
        <v>5.4355999999999716</v>
      </c>
      <c r="AZ24" s="71"/>
      <c r="BA24" s="11">
        <f t="shared" si="11"/>
        <v>10615.321959343508</v>
      </c>
      <c r="BB24" s="10">
        <f t="shared" si="27"/>
        <v>7898.7964746170856</v>
      </c>
      <c r="BC24" s="71"/>
      <c r="BD24" s="10">
        <f t="shared" si="12"/>
        <v>17243.721869286575</v>
      </c>
      <c r="BE24" s="10">
        <f t="shared" si="28"/>
        <v>12830.948513107724</v>
      </c>
      <c r="BF24" s="71"/>
      <c r="BG24" s="11">
        <f t="shared" si="13"/>
        <v>5079.1014159538327</v>
      </c>
      <c r="BH24" s="10">
        <f t="shared" si="29"/>
        <v>3779.3284567545875</v>
      </c>
      <c r="BJ24" s="7" t="str">
        <f t="shared" si="30"/>
        <v/>
      </c>
      <c r="BK24" s="158" t="str">
        <f t="shared" si="31"/>
        <v/>
      </c>
      <c r="BL24" s="158" t="str">
        <f t="shared" si="14"/>
        <v/>
      </c>
      <c r="BM24" s="10"/>
      <c r="BN24" s="10" t="str">
        <f t="shared" si="32"/>
        <v/>
      </c>
      <c r="BO24" s="10" t="str">
        <f t="shared" si="33"/>
        <v/>
      </c>
      <c r="BQ24" s="10">
        <f t="shared" si="15"/>
        <v>4586.735999999999</v>
      </c>
      <c r="BR24" s="10">
        <f t="shared" si="34"/>
        <v>3412.9623468377449</v>
      </c>
    </row>
    <row r="25" spans="3:70" x14ac:dyDescent="0.15">
      <c r="D25" s="81" t="s">
        <v>114</v>
      </c>
      <c r="F25" s="66">
        <v>0</v>
      </c>
      <c r="G25" s="81" t="s">
        <v>172</v>
      </c>
      <c r="I25" s="38">
        <f t="shared" si="35"/>
        <v>2040</v>
      </c>
      <c r="J25" s="39"/>
      <c r="K25" s="39">
        <f t="shared" si="36"/>
        <v>11</v>
      </c>
      <c r="L25" s="39"/>
      <c r="M25" s="40">
        <f t="shared" si="0"/>
        <v>0.72242127659876232</v>
      </c>
      <c r="N25" s="39"/>
      <c r="O25" s="72">
        <f t="shared" si="16"/>
        <v>0</v>
      </c>
      <c r="P25" s="41" t="str">
        <f t="shared" si="1"/>
        <v>-</v>
      </c>
      <c r="Q25" s="39"/>
      <c r="R25" s="72">
        <f t="shared" si="17"/>
        <v>15015</v>
      </c>
      <c r="S25" s="39"/>
      <c r="T25" s="72">
        <f t="shared" si="18"/>
        <v>15000</v>
      </c>
      <c r="U25" s="39"/>
      <c r="V25" s="72">
        <f t="shared" si="2"/>
        <v>0</v>
      </c>
      <c r="W25" s="72">
        <f t="shared" si="19"/>
        <v>0</v>
      </c>
      <c r="X25" s="39"/>
      <c r="Y25" s="72">
        <f t="shared" si="3"/>
        <v>0</v>
      </c>
      <c r="Z25" s="72">
        <f t="shared" si="20"/>
        <v>0</v>
      </c>
      <c r="AA25" s="39"/>
      <c r="AB25" s="72">
        <f t="shared" si="4"/>
        <v>0</v>
      </c>
      <c r="AC25" s="72">
        <f t="shared" si="21"/>
        <v>0</v>
      </c>
      <c r="AD25" s="39"/>
      <c r="AE25" s="72">
        <f t="shared" si="5"/>
        <v>0</v>
      </c>
      <c r="AF25" s="72">
        <f t="shared" si="22"/>
        <v>0</v>
      </c>
      <c r="AG25" s="39"/>
      <c r="AH25" s="72">
        <f t="shared" si="6"/>
        <v>0</v>
      </c>
      <c r="AI25" s="72">
        <f t="shared" si="23"/>
        <v>0</v>
      </c>
      <c r="AJ25" s="39"/>
      <c r="AK25" s="72">
        <f t="shared" si="24"/>
        <v>5529.9999999999991</v>
      </c>
      <c r="AL25" s="72">
        <f t="shared" si="25"/>
        <v>3994.989659591155</v>
      </c>
      <c r="AM25" s="39"/>
      <c r="AN25" s="72">
        <f t="shared" si="7"/>
        <v>0</v>
      </c>
      <c r="AO25" s="72">
        <f t="shared" si="26"/>
        <v>0</v>
      </c>
      <c r="AP25" s="39"/>
      <c r="AQ25" s="72">
        <f t="shared" si="8"/>
        <v>0</v>
      </c>
      <c r="AR25" s="72">
        <f t="shared" si="37"/>
        <v>0</v>
      </c>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48.753121069891002</v>
      </c>
      <c r="AU25" s="39"/>
      <c r="AV25" s="72">
        <f t="shared" si="9"/>
        <v>36191.403544282082</v>
      </c>
      <c r="AW25" s="72">
        <f t="shared" si="10"/>
        <v>26145.439950361233</v>
      </c>
      <c r="AX25" s="39"/>
      <c r="AY25" s="40">
        <f>IF(ISERROR(IF($K25&lt;=$F$15,VLOOKUP($I25,'表4）CO2価格'!$A$7:$E$67,VLOOKUP($F$48,'表4）CO2価格'!$H$10:$I$12,2,0),0)*$F$8/1000,"")),0,IF($K25&lt;=$F$15,VLOOKUP($I25,'表4）CO2価格'!$A$7:$E$67,VLOOKUP($F$48,'表4）CO2価格'!$H$10:$I$12,2,0),0)*$F$8/1000,""))</f>
        <v>5.5640000000000001</v>
      </c>
      <c r="AZ25" s="39"/>
      <c r="BA25" s="42">
        <f t="shared" si="11"/>
        <v>10866.077596178451</v>
      </c>
      <c r="BB25" s="72">
        <f t="shared" si="27"/>
        <v>7849.8856486524473</v>
      </c>
      <c r="BC25" s="39"/>
      <c r="BD25" s="72">
        <f t="shared" si="12"/>
        <v>17218.876897303842</v>
      </c>
      <c r="BE25" s="72">
        <f t="shared" si="28"/>
        <v>12439.283029747177</v>
      </c>
      <c r="BF25" s="39"/>
      <c r="BG25" s="42">
        <f t="shared" si="13"/>
        <v>5199.0801895590685</v>
      </c>
      <c r="BH25" s="72">
        <f t="shared" si="29"/>
        <v>3755.9261476805973</v>
      </c>
      <c r="BI25" s="39"/>
      <c r="BJ25" s="40" t="str">
        <f t="shared" si="30"/>
        <v/>
      </c>
      <c r="BK25" s="157" t="str">
        <f t="shared" si="31"/>
        <v/>
      </c>
      <c r="BL25" s="157" t="str">
        <f t="shared" si="14"/>
        <v/>
      </c>
      <c r="BM25" s="72"/>
      <c r="BN25" s="72" t="str">
        <f t="shared" si="32"/>
        <v/>
      </c>
      <c r="BO25" s="72" t="str">
        <f t="shared" si="33"/>
        <v/>
      </c>
      <c r="BP25" s="39"/>
      <c r="BQ25" s="72">
        <f t="shared" si="15"/>
        <v>4586.735999999999</v>
      </c>
      <c r="BR25" s="72">
        <f t="shared" si="34"/>
        <v>3313.5556765414999</v>
      </c>
    </row>
    <row r="26" spans="3:70" x14ac:dyDescent="0.15">
      <c r="D26" s="81" t="s">
        <v>115</v>
      </c>
      <c r="F26" s="59"/>
      <c r="G26" s="82" t="s">
        <v>229</v>
      </c>
      <c r="I26" s="322">
        <f t="shared" si="35"/>
        <v>2041</v>
      </c>
      <c r="J26" s="71"/>
      <c r="K26" s="71">
        <f t="shared" si="36"/>
        <v>12</v>
      </c>
      <c r="L26" s="71"/>
      <c r="M26" s="7">
        <f t="shared" si="0"/>
        <v>0.70137988019297326</v>
      </c>
      <c r="N26" s="71"/>
      <c r="O26" s="10">
        <f t="shared" si="16"/>
        <v>0</v>
      </c>
      <c r="P26" s="29" t="str">
        <f t="shared" si="1"/>
        <v>-</v>
      </c>
      <c r="Q26" s="71"/>
      <c r="R26" s="10">
        <f t="shared" si="17"/>
        <v>15015</v>
      </c>
      <c r="S26" s="71"/>
      <c r="T26" s="10">
        <f t="shared" si="18"/>
        <v>15000</v>
      </c>
      <c r="U26" s="71"/>
      <c r="V26" s="10">
        <f t="shared" si="2"/>
        <v>0</v>
      </c>
      <c r="W26" s="10">
        <f t="shared" si="19"/>
        <v>0</v>
      </c>
      <c r="X26" s="71"/>
      <c r="Y26" s="10">
        <f t="shared" si="3"/>
        <v>0</v>
      </c>
      <c r="Z26" s="10">
        <f t="shared" si="20"/>
        <v>0</v>
      </c>
      <c r="AA26" s="71"/>
      <c r="AB26" s="10">
        <f t="shared" si="4"/>
        <v>0</v>
      </c>
      <c r="AC26" s="10">
        <f t="shared" si="21"/>
        <v>0</v>
      </c>
      <c r="AD26" s="71"/>
      <c r="AE26" s="10">
        <f t="shared" si="5"/>
        <v>0</v>
      </c>
      <c r="AF26" s="10">
        <f t="shared" si="22"/>
        <v>0</v>
      </c>
      <c r="AG26" s="71"/>
      <c r="AH26" s="10">
        <f t="shared" si="6"/>
        <v>0</v>
      </c>
      <c r="AI26" s="10">
        <f t="shared" si="23"/>
        <v>0</v>
      </c>
      <c r="AJ26" s="71"/>
      <c r="AK26" s="10">
        <f t="shared" si="24"/>
        <v>5529.9999999999991</v>
      </c>
      <c r="AL26" s="10">
        <f t="shared" si="25"/>
        <v>3878.6307374671414</v>
      </c>
      <c r="AM26" s="71"/>
      <c r="AN26" s="10">
        <f t="shared" si="7"/>
        <v>0</v>
      </c>
      <c r="AO26" s="10">
        <f t="shared" si="26"/>
        <v>0</v>
      </c>
      <c r="AP26" s="71"/>
      <c r="AQ26" s="10">
        <f t="shared" si="8"/>
        <v>0</v>
      </c>
      <c r="AR26" s="10">
        <f t="shared" si="37"/>
        <v>0</v>
      </c>
      <c r="AS26" s="71"/>
      <c r="AT26" s="7">
        <f>IF($K26&lt;=$F$15,IF($F$40&lt;&gt;"",$F$40/1000,IF(ISERROR(VLOOKUP($F$3&amp;IF($G$4&lt;&gt;"",$G$4,"")&amp;IF($F$43&lt;&gt;"","_"&amp;$F$43,""),'表3）燃料価格'!$AF$9:$AG$25,2,0)),0,VLOOKUP($I26,'表3）燃料価格'!$A$6:$U$66,VLOOKUP($F$3&amp;IF($G$4&lt;&gt;"",$G$4,"")&amp;IF($F$43&lt;&gt;"","_"&amp;$F$43,""),'表3）燃料価格'!$AF$9:$AG$25,2,0)+VLOOKUP($F$41,'表3）燃料価格'!$AF$28:$AG$29,2,0),0)*IF($F$43="需要地価格",1,$F$8/$F$141))),"")</f>
        <v>48.601524950900931</v>
      </c>
      <c r="AU26" s="71"/>
      <c r="AV26" s="10">
        <f t="shared" si="9"/>
        <v>36084.979797198401</v>
      </c>
      <c r="AW26" s="10">
        <f t="shared" si="10"/>
        <v>25309.278806924875</v>
      </c>
      <c r="AX26" s="71"/>
      <c r="AY26" s="7">
        <f>IF(ISERROR(IF($K26&lt;=$F$15,VLOOKUP($I26,'表4）CO2価格'!$A$7:$E$67,VLOOKUP($F$48,'表4）CO2価格'!$H$10:$I$12,2,0),0)*$F$8/1000,"")),0,IF($K26&lt;=$F$15,VLOOKUP($I26,'表4）CO2価格'!$A$7:$E$67,VLOOKUP($F$48,'表4）CO2価格'!$H$10:$I$12,2,0),0)*$F$8/1000,""))</f>
        <v>5.6923999999999806</v>
      </c>
      <c r="AZ26" s="71"/>
      <c r="BA26" s="11">
        <f t="shared" si="11"/>
        <v>11116.833233013302</v>
      </c>
      <c r="BB26" s="10">
        <f t="shared" si="27"/>
        <v>7797.1231610961331</v>
      </c>
      <c r="BC26" s="71"/>
      <c r="BD26" s="10">
        <f t="shared" si="12"/>
        <v>17168.24339817078</v>
      </c>
      <c r="BE26" s="10">
        <f t="shared" si="28"/>
        <v>12041.460497732825</v>
      </c>
      <c r="BF26" s="71"/>
      <c r="BG26" s="11">
        <f t="shared" si="13"/>
        <v>5319.0589631642597</v>
      </c>
      <c r="BH26" s="10">
        <f t="shared" si="29"/>
        <v>3730.6809383235091</v>
      </c>
      <c r="BJ26" s="7" t="str">
        <f t="shared" si="30"/>
        <v/>
      </c>
      <c r="BK26" s="158" t="str">
        <f t="shared" si="31"/>
        <v/>
      </c>
      <c r="BL26" s="158" t="str">
        <f t="shared" si="14"/>
        <v/>
      </c>
      <c r="BM26" s="10"/>
      <c r="BN26" s="10" t="str">
        <f t="shared" si="32"/>
        <v/>
      </c>
      <c r="BO26" s="10" t="str">
        <f t="shared" si="33"/>
        <v/>
      </c>
      <c r="BQ26" s="10">
        <f t="shared" si="15"/>
        <v>4586.735999999999</v>
      </c>
      <c r="BR26" s="10">
        <f t="shared" si="34"/>
        <v>3217.0443461567966</v>
      </c>
    </row>
    <row r="27" spans="3:70" x14ac:dyDescent="0.15">
      <c r="D27" s="82" t="s">
        <v>86</v>
      </c>
      <c r="F27" s="107">
        <v>5.9999999999999995E-4</v>
      </c>
      <c r="G27" s="81" t="s">
        <v>176</v>
      </c>
      <c r="I27" s="38">
        <f t="shared" si="35"/>
        <v>2042</v>
      </c>
      <c r="J27" s="39"/>
      <c r="K27" s="39">
        <f t="shared" si="36"/>
        <v>13</v>
      </c>
      <c r="L27" s="39"/>
      <c r="M27" s="40">
        <f t="shared" si="0"/>
        <v>0.68095133999317792</v>
      </c>
      <c r="N27" s="39"/>
      <c r="O27" s="72">
        <f t="shared" si="16"/>
        <v>0</v>
      </c>
      <c r="P27" s="41" t="str">
        <f t="shared" si="1"/>
        <v>-</v>
      </c>
      <c r="Q27" s="39"/>
      <c r="R27" s="72">
        <f t="shared" si="17"/>
        <v>15015</v>
      </c>
      <c r="S27" s="39"/>
      <c r="T27" s="72">
        <f t="shared" si="18"/>
        <v>15000</v>
      </c>
      <c r="U27" s="39"/>
      <c r="V27" s="72">
        <f t="shared" si="2"/>
        <v>0</v>
      </c>
      <c r="W27" s="72">
        <f t="shared" si="19"/>
        <v>0</v>
      </c>
      <c r="X27" s="39"/>
      <c r="Y27" s="72">
        <f t="shared" si="3"/>
        <v>0</v>
      </c>
      <c r="Z27" s="72">
        <f t="shared" si="20"/>
        <v>0</v>
      </c>
      <c r="AA27" s="39"/>
      <c r="AB27" s="72">
        <f t="shared" si="4"/>
        <v>0</v>
      </c>
      <c r="AC27" s="72">
        <f t="shared" si="21"/>
        <v>0</v>
      </c>
      <c r="AD27" s="39"/>
      <c r="AE27" s="72">
        <f t="shared" si="5"/>
        <v>0</v>
      </c>
      <c r="AF27" s="72">
        <f t="shared" si="22"/>
        <v>0</v>
      </c>
      <c r="AG27" s="39"/>
      <c r="AH27" s="72">
        <f t="shared" si="6"/>
        <v>0</v>
      </c>
      <c r="AI27" s="72">
        <f t="shared" si="23"/>
        <v>0</v>
      </c>
      <c r="AJ27" s="39"/>
      <c r="AK27" s="72">
        <f t="shared" si="24"/>
        <v>5529.9999999999991</v>
      </c>
      <c r="AL27" s="72">
        <f t="shared" si="25"/>
        <v>3765.6609101622735</v>
      </c>
      <c r="AM27" s="39"/>
      <c r="AN27" s="72">
        <f t="shared" si="7"/>
        <v>0</v>
      </c>
      <c r="AO27" s="72">
        <f t="shared" si="26"/>
        <v>0</v>
      </c>
      <c r="AP27" s="39"/>
      <c r="AQ27" s="72">
        <f t="shared" si="8"/>
        <v>0</v>
      </c>
      <c r="AR27" s="72">
        <f t="shared" si="37"/>
        <v>0</v>
      </c>
      <c r="AS27" s="39"/>
      <c r="AT27" s="40">
        <f>IF($K27&lt;=$F$15,IF($F$40&lt;&gt;"",$F$40/1000,IF(ISERROR(VLOOKUP($F$3&amp;IF($G$4&lt;&gt;"",$G$4,"")&amp;IF($F$43&lt;&gt;"","_"&amp;$F$43,""),'表3）燃料価格'!$AF$9:$AG$25,2,0)),0,VLOOKUP($I27,'表3）燃料価格'!$A$6:$U$66,VLOOKUP($F$3&amp;IF($G$4&lt;&gt;"",$G$4,"")&amp;IF($F$43&lt;&gt;"","_"&amp;$F$43,""),'表3）燃料価格'!$AF$9:$AG$25,2,0)+VLOOKUP($F$41,'表3）燃料価格'!$AF$28:$AG$29,2,0),0)*IF($F$43="需要地価格",1,$F$8/$F$141))),"")</f>
        <v>48.45544265623667</v>
      </c>
      <c r="AU27" s="39"/>
      <c r="AV27" s="72">
        <f t="shared" si="9"/>
        <v>35982.426873783705</v>
      </c>
      <c r="AW27" s="72">
        <f t="shared" si="10"/>
        <v>24502.281795909548</v>
      </c>
      <c r="AX27" s="39"/>
      <c r="AY27" s="40">
        <f>IF(ISERROR(IF($K27&lt;=$F$15,VLOOKUP($I27,'表4）CO2価格'!$A$7:$E$67,VLOOKUP($F$48,'表4）CO2価格'!$H$10:$I$12,2,0),0)*$F$8/1000,"")),0,IF($K27&lt;=$F$15,VLOOKUP($I27,'表4）CO2価格'!$A$7:$E$67,VLOOKUP($F$48,'表4）CO2価格'!$H$10:$I$12,2,0),0)*$F$8/1000,""))</f>
        <v>5.82080000000001</v>
      </c>
      <c r="AZ27" s="39"/>
      <c r="BA27" s="42">
        <f t="shared" si="11"/>
        <v>11367.588869848245</v>
      </c>
      <c r="BB27" s="72">
        <f t="shared" si="27"/>
        <v>7740.7748734146971</v>
      </c>
      <c r="BC27" s="39"/>
      <c r="BD27" s="72">
        <f t="shared" si="12"/>
        <v>17119.451530743598</v>
      </c>
      <c r="BE27" s="72">
        <f t="shared" si="28"/>
        <v>11657.513459808113</v>
      </c>
      <c r="BF27" s="39"/>
      <c r="BG27" s="42">
        <f t="shared" si="13"/>
        <v>5439.0377367694964</v>
      </c>
      <c r="BH27" s="72">
        <f t="shared" si="29"/>
        <v>3703.7200351266501</v>
      </c>
      <c r="BI27" s="39"/>
      <c r="BJ27" s="40" t="str">
        <f t="shared" si="30"/>
        <v/>
      </c>
      <c r="BK27" s="157" t="str">
        <f t="shared" si="31"/>
        <v/>
      </c>
      <c r="BL27" s="157" t="str">
        <f t="shared" si="14"/>
        <v/>
      </c>
      <c r="BM27" s="72"/>
      <c r="BN27" s="72" t="str">
        <f t="shared" si="32"/>
        <v/>
      </c>
      <c r="BO27" s="72" t="str">
        <f t="shared" si="33"/>
        <v/>
      </c>
      <c r="BP27" s="39"/>
      <c r="BQ27" s="72">
        <f t="shared" si="15"/>
        <v>4586.735999999999</v>
      </c>
      <c r="BR27" s="72">
        <f t="shared" si="34"/>
        <v>3123.3440253949484</v>
      </c>
    </row>
    <row r="28" spans="3:70" x14ac:dyDescent="0.15">
      <c r="D28" s="81" t="s">
        <v>116</v>
      </c>
      <c r="F28" s="59">
        <v>1</v>
      </c>
      <c r="G28" s="81" t="s">
        <v>108</v>
      </c>
      <c r="I28" s="322">
        <f t="shared" si="35"/>
        <v>2043</v>
      </c>
      <c r="J28" s="71"/>
      <c r="K28" s="71">
        <f t="shared" si="36"/>
        <v>14</v>
      </c>
      <c r="L28" s="71"/>
      <c r="M28" s="7">
        <f t="shared" si="0"/>
        <v>0.66111780581861923</v>
      </c>
      <c r="N28" s="71"/>
      <c r="O28" s="10">
        <f t="shared" si="16"/>
        <v>0</v>
      </c>
      <c r="P28" s="29" t="str">
        <f t="shared" si="1"/>
        <v>-</v>
      </c>
      <c r="Q28" s="71"/>
      <c r="R28" s="10">
        <f t="shared" si="17"/>
        <v>15015</v>
      </c>
      <c r="S28" s="71"/>
      <c r="T28" s="10">
        <f t="shared" si="18"/>
        <v>15000</v>
      </c>
      <c r="U28" s="71"/>
      <c r="V28" s="10">
        <f t="shared" si="2"/>
        <v>0</v>
      </c>
      <c r="W28" s="10">
        <f t="shared" si="19"/>
        <v>0</v>
      </c>
      <c r="X28" s="71"/>
      <c r="Y28" s="10">
        <f t="shared" si="3"/>
        <v>0</v>
      </c>
      <c r="Z28" s="10">
        <f t="shared" si="20"/>
        <v>0</v>
      </c>
      <c r="AA28" s="71"/>
      <c r="AB28" s="10">
        <f t="shared" si="4"/>
        <v>0</v>
      </c>
      <c r="AC28" s="10">
        <f t="shared" si="21"/>
        <v>0</v>
      </c>
      <c r="AD28" s="71"/>
      <c r="AE28" s="10">
        <f t="shared" si="5"/>
        <v>0</v>
      </c>
      <c r="AF28" s="10">
        <f t="shared" si="22"/>
        <v>0</v>
      </c>
      <c r="AG28" s="71"/>
      <c r="AH28" s="10">
        <f t="shared" si="6"/>
        <v>0</v>
      </c>
      <c r="AI28" s="10">
        <f t="shared" si="23"/>
        <v>0</v>
      </c>
      <c r="AJ28" s="71"/>
      <c r="AK28" s="10">
        <f t="shared" si="24"/>
        <v>5529.9999999999991</v>
      </c>
      <c r="AL28" s="10">
        <f t="shared" si="25"/>
        <v>3655.9814661769637</v>
      </c>
      <c r="AM28" s="71"/>
      <c r="AN28" s="10">
        <f t="shared" si="7"/>
        <v>0</v>
      </c>
      <c r="AO28" s="10">
        <f t="shared" si="26"/>
        <v>0</v>
      </c>
      <c r="AP28" s="71"/>
      <c r="AQ28" s="10">
        <f t="shared" si="8"/>
        <v>0</v>
      </c>
      <c r="AR28" s="10">
        <f t="shared" si="37"/>
        <v>0</v>
      </c>
      <c r="AS28" s="71"/>
      <c r="AT28" s="7">
        <f>IF($K28&lt;=$F$15,IF($F$40&lt;&gt;"",$F$40/1000,IF(ISERROR(VLOOKUP($F$3&amp;IF($G$4&lt;&gt;"",$G$4,"")&amp;IF($F$43&lt;&gt;"","_"&amp;$F$43,""),'表3）燃料価格'!$AF$9:$AG$25,2,0)),0,VLOOKUP($I28,'表3）燃料価格'!$A$6:$U$66,VLOOKUP($F$3&amp;IF($G$4&lt;&gt;"",$G$4,"")&amp;IF($F$43&lt;&gt;"","_"&amp;$F$43,""),'表3）燃料価格'!$AF$9:$AG$25,2,0)+VLOOKUP($F$41,'表3）燃料価格'!$AF$28:$AG$29,2,0),0)*IF($F$43="需要地価格",1,$F$8/$F$141))),"")</f>
        <v>48.314487127285105</v>
      </c>
      <c r="AU28" s="71"/>
      <c r="AV28" s="10">
        <f t="shared" si="9"/>
        <v>35883.473050538596</v>
      </c>
      <c r="AW28" s="10">
        <f t="shared" si="10"/>
        <v>23723.202968323632</v>
      </c>
      <c r="AX28" s="71"/>
      <c r="AY28" s="7">
        <f>IF(ISERROR(IF($K28&lt;=$F$15,VLOOKUP($I28,'表4）CO2価格'!$A$7:$E$67,VLOOKUP($F$48,'表4）CO2価格'!$H$10:$I$12,2,0),0)*$F$8/1000,"")),0,IF($K28&lt;=$F$15,VLOOKUP($I28,'表4）CO2価格'!$A$7:$E$67,VLOOKUP($F$48,'表4）CO2価格'!$H$10:$I$12,2,0),0)*$F$8/1000,""))</f>
        <v>5.9491999999999896</v>
      </c>
      <c r="AZ28" s="71"/>
      <c r="BA28" s="11">
        <f t="shared" si="11"/>
        <v>11618.344506683094</v>
      </c>
      <c r="BB28" s="10">
        <f t="shared" si="27"/>
        <v>7681.0944275031352</v>
      </c>
      <c r="BC28" s="71"/>
      <c r="BD28" s="10">
        <f t="shared" si="12"/>
        <v>17072.372016435998</v>
      </c>
      <c r="BE28" s="10">
        <f t="shared" si="28"/>
        <v>11286.849127625363</v>
      </c>
      <c r="BF28" s="71"/>
      <c r="BG28" s="11">
        <f t="shared" si="13"/>
        <v>5559.0165103746867</v>
      </c>
      <c r="BH28" s="10">
        <f t="shared" si="29"/>
        <v>3675.1647978483907</v>
      </c>
      <c r="BJ28" s="7" t="str">
        <f t="shared" si="30"/>
        <v/>
      </c>
      <c r="BK28" s="158" t="str">
        <f t="shared" si="31"/>
        <v/>
      </c>
      <c r="BL28" s="158" t="str">
        <f t="shared" si="14"/>
        <v/>
      </c>
      <c r="BM28" s="10"/>
      <c r="BN28" s="10" t="str">
        <f t="shared" si="32"/>
        <v/>
      </c>
      <c r="BO28" s="10" t="str">
        <f t="shared" si="33"/>
        <v/>
      </c>
      <c r="BQ28" s="10">
        <f t="shared" si="15"/>
        <v>4586.735999999999</v>
      </c>
      <c r="BR28" s="10">
        <f t="shared" si="34"/>
        <v>3032.3728401892695</v>
      </c>
    </row>
    <row r="29" spans="3:70" x14ac:dyDescent="0.15">
      <c r="D29" s="81" t="s">
        <v>117</v>
      </c>
      <c r="F29" s="59"/>
      <c r="G29" s="81" t="s">
        <v>176</v>
      </c>
      <c r="I29" s="38">
        <f t="shared" si="35"/>
        <v>2044</v>
      </c>
      <c r="J29" s="39"/>
      <c r="K29" s="39">
        <f t="shared" si="36"/>
        <v>15</v>
      </c>
      <c r="L29" s="39"/>
      <c r="M29" s="40">
        <f t="shared" si="0"/>
        <v>0.64186194739671765</v>
      </c>
      <c r="N29" s="39"/>
      <c r="O29" s="72">
        <f t="shared" si="16"/>
        <v>0</v>
      </c>
      <c r="P29" s="41" t="str">
        <f t="shared" si="1"/>
        <v>-</v>
      </c>
      <c r="Q29" s="39"/>
      <c r="R29" s="72">
        <f t="shared" si="17"/>
        <v>15015</v>
      </c>
      <c r="S29" s="39"/>
      <c r="T29" s="72">
        <f t="shared" si="18"/>
        <v>15000</v>
      </c>
      <c r="U29" s="39"/>
      <c r="V29" s="72">
        <f t="shared" si="2"/>
        <v>0</v>
      </c>
      <c r="W29" s="72">
        <f t="shared" si="19"/>
        <v>0</v>
      </c>
      <c r="X29" s="39"/>
      <c r="Y29" s="72">
        <f t="shared" si="3"/>
        <v>0</v>
      </c>
      <c r="Z29" s="72">
        <f t="shared" si="20"/>
        <v>0</v>
      </c>
      <c r="AA29" s="39"/>
      <c r="AB29" s="72">
        <f t="shared" si="4"/>
        <v>0</v>
      </c>
      <c r="AC29" s="72">
        <f t="shared" si="21"/>
        <v>0</v>
      </c>
      <c r="AD29" s="39"/>
      <c r="AE29" s="72">
        <f t="shared" si="5"/>
        <v>0</v>
      </c>
      <c r="AF29" s="72">
        <f t="shared" si="22"/>
        <v>0</v>
      </c>
      <c r="AG29" s="39"/>
      <c r="AH29" s="72">
        <f t="shared" si="6"/>
        <v>0</v>
      </c>
      <c r="AI29" s="72">
        <f t="shared" si="23"/>
        <v>0</v>
      </c>
      <c r="AJ29" s="39"/>
      <c r="AK29" s="72">
        <f t="shared" si="24"/>
        <v>5529.9999999999991</v>
      </c>
      <c r="AL29" s="72">
        <f t="shared" si="25"/>
        <v>3549.4965691038478</v>
      </c>
      <c r="AM29" s="39"/>
      <c r="AN29" s="72">
        <f t="shared" si="7"/>
        <v>0</v>
      </c>
      <c r="AO29" s="72">
        <f t="shared" si="26"/>
        <v>0</v>
      </c>
      <c r="AP29" s="39"/>
      <c r="AQ29" s="72">
        <f t="shared" si="8"/>
        <v>0</v>
      </c>
      <c r="AR29" s="72">
        <f t="shared" si="37"/>
        <v>0</v>
      </c>
      <c r="AS29" s="39"/>
      <c r="AT29" s="40">
        <f>IF($K29&lt;=$F$15,IF($F$40&lt;&gt;"",$F$40/1000,IF(ISERROR(VLOOKUP($F$3&amp;IF($G$4&lt;&gt;"",$G$4,"")&amp;IF($F$43&lt;&gt;"","_"&amp;$F$43,""),'表3）燃料価格'!$AF$9:$AG$25,2,0)),0,VLOOKUP($I29,'表3）燃料価格'!$A$6:$U$66,VLOOKUP($F$3&amp;IF($G$4&lt;&gt;"",$G$4,"")&amp;IF($F$43&lt;&gt;"","_"&amp;$F$43,""),'表3）燃料価格'!$AF$9:$AG$25,2,0)+VLOOKUP($F$41,'表3）燃料価格'!$AF$28:$AG$29,2,0),0)*IF($F$43="需要地価格",1,$F$8/$F$141))),"")</f>
        <v>48.178310683240682</v>
      </c>
      <c r="AU29" s="39"/>
      <c r="AV29" s="72">
        <f t="shared" si="9"/>
        <v>35787.874248034364</v>
      </c>
      <c r="AW29" s="72">
        <f t="shared" si="10"/>
        <v>22970.874658032179</v>
      </c>
      <c r="AX29" s="39"/>
      <c r="AY29" s="40">
        <f>IF(ISERROR(IF($K29&lt;=$F$15,VLOOKUP($I29,'表4）CO2価格'!$A$7:$E$67,VLOOKUP($F$48,'表4）CO2価格'!$H$10:$I$12,2,0),0)*$F$8/1000,"")),0,IF($K29&lt;=$F$15,VLOOKUP($I29,'表4）CO2価格'!$A$7:$E$67,VLOOKUP($F$48,'表4）CO2価格'!$H$10:$I$12,2,0),0)*$F$8/1000,""))</f>
        <v>6.077599999999971</v>
      </c>
      <c r="AZ29" s="39"/>
      <c r="BA29" s="42">
        <f t="shared" si="11"/>
        <v>11869.100143517944</v>
      </c>
      <c r="BB29" s="72">
        <f t="shared" si="27"/>
        <v>7618.3237319650889</v>
      </c>
      <c r="BC29" s="39"/>
      <c r="BD29" s="72">
        <f t="shared" si="12"/>
        <v>17026.888728952108</v>
      </c>
      <c r="BE29" s="72">
        <f t="shared" si="28"/>
        <v>10928.911957672422</v>
      </c>
      <c r="BF29" s="39"/>
      <c r="BG29" s="42">
        <f t="shared" si="13"/>
        <v>5678.995283979878</v>
      </c>
      <c r="BH29" s="72">
        <f t="shared" si="29"/>
        <v>3645.1309722321002</v>
      </c>
      <c r="BI29" s="39"/>
      <c r="BJ29" s="40" t="str">
        <f t="shared" si="30"/>
        <v/>
      </c>
      <c r="BK29" s="157" t="str">
        <f t="shared" si="31"/>
        <v/>
      </c>
      <c r="BL29" s="157" t="str">
        <f t="shared" si="14"/>
        <v/>
      </c>
      <c r="BM29" s="72"/>
      <c r="BN29" s="72" t="str">
        <f t="shared" si="32"/>
        <v/>
      </c>
      <c r="BO29" s="72" t="str">
        <f t="shared" si="33"/>
        <v/>
      </c>
      <c r="BP29" s="39"/>
      <c r="BQ29" s="72">
        <f t="shared" si="15"/>
        <v>4586.735999999999</v>
      </c>
      <c r="BR29" s="72">
        <f t="shared" si="34"/>
        <v>2944.0513011546304</v>
      </c>
    </row>
    <row r="30" spans="3:70" x14ac:dyDescent="0.15">
      <c r="I30" s="322">
        <f t="shared" si="35"/>
        <v>2045</v>
      </c>
      <c r="J30" s="71"/>
      <c r="K30" s="71">
        <f t="shared" si="36"/>
        <v>16</v>
      </c>
      <c r="L30" s="71"/>
      <c r="M30" s="7">
        <f t="shared" si="0"/>
        <v>0.62316693922011435</v>
      </c>
      <c r="N30" s="71"/>
      <c r="O30" s="10" t="str">
        <f t="shared" si="16"/>
        <v/>
      </c>
      <c r="P30" s="29" t="str">
        <f t="shared" si="1"/>
        <v/>
      </c>
      <c r="Q30" s="71"/>
      <c r="R30" s="10" t="str">
        <f t="shared" si="17"/>
        <v/>
      </c>
      <c r="S30" s="71"/>
      <c r="T30" s="10" t="str">
        <f t="shared" si="18"/>
        <v/>
      </c>
      <c r="U30" s="71"/>
      <c r="V30" s="10" t="str">
        <f t="shared" si="2"/>
        <v/>
      </c>
      <c r="W30" s="10" t="str">
        <f t="shared" si="19"/>
        <v/>
      </c>
      <c r="X30" s="71"/>
      <c r="Y30" s="10" t="str">
        <f t="shared" si="3"/>
        <v/>
      </c>
      <c r="Z30" s="10" t="str">
        <f t="shared" si="20"/>
        <v/>
      </c>
      <c r="AA30" s="71"/>
      <c r="AB30" s="10">
        <f t="shared" si="4"/>
        <v>59999.999999999993</v>
      </c>
      <c r="AC30" s="10">
        <f t="shared" si="21"/>
        <v>37390.016353206855</v>
      </c>
      <c r="AD30" s="71"/>
      <c r="AE30" s="10" t="str">
        <f t="shared" si="5"/>
        <v/>
      </c>
      <c r="AF30" s="10" t="str">
        <f t="shared" si="22"/>
        <v/>
      </c>
      <c r="AG30" s="71"/>
      <c r="AH30" s="10" t="str">
        <f t="shared" si="6"/>
        <v/>
      </c>
      <c r="AI30" s="10" t="str">
        <f t="shared" si="23"/>
        <v/>
      </c>
      <c r="AJ30" s="71"/>
      <c r="AK30" s="10" t="str">
        <f t="shared" si="24"/>
        <v/>
      </c>
      <c r="AL30" s="10" t="str">
        <f t="shared" si="25"/>
        <v/>
      </c>
      <c r="AM30" s="71"/>
      <c r="AN30" s="10" t="str">
        <f t="shared" si="7"/>
        <v/>
      </c>
      <c r="AO30" s="10" t="str">
        <f t="shared" si="26"/>
        <v/>
      </c>
      <c r="AP30" s="71"/>
      <c r="AQ30" s="10" t="str">
        <f t="shared" si="8"/>
        <v/>
      </c>
      <c r="AR30" s="10" t="str">
        <f t="shared" si="37"/>
        <v/>
      </c>
      <c r="AS30" s="71"/>
      <c r="AT30" s="7" t="str">
        <f>IF($K30&lt;=$F$15,IF($F$40&lt;&gt;"",$F$40/1000,IF(ISERROR(VLOOKUP($F$3&amp;IF($G$4&lt;&gt;"",$G$4,"")&amp;IF($F$43&lt;&gt;"","_"&amp;$F$43,""),'表3）燃料価格'!$AF$9:$AG$25,2,0)),0,VLOOKUP($I30,'表3）燃料価格'!$A$6:$U$66,VLOOKUP($F$3&amp;IF($G$4&lt;&gt;"",$G$4,"")&amp;IF($F$43&lt;&gt;"","_"&amp;$F$43,""),'表3）燃料価格'!$AF$9:$AG$25,2,0)+VLOOKUP($F$41,'表3）燃料価格'!$AF$28:$AG$29,2,0),0)*IF($F$43="需要地価格",1,$F$8/$F$141))),"")</f>
        <v/>
      </c>
      <c r="AU30" s="71"/>
      <c r="AV30" s="10" t="str">
        <f t="shared" si="9"/>
        <v/>
      </c>
      <c r="AW30" s="10" t="str">
        <f t="shared" si="10"/>
        <v/>
      </c>
      <c r="AX30" s="71"/>
      <c r="AY30" s="7" t="str">
        <f>IF(ISERROR(IF($K30&lt;=$F$15,VLOOKUP($I30,'表4）CO2価格'!$A$7:$E$67,VLOOKUP($F$48,'表4）CO2価格'!$H$10:$I$12,2,0),0)*$F$8/1000,"")),0,IF($K30&lt;=$F$15,VLOOKUP($I30,'表4）CO2価格'!$A$7:$E$67,VLOOKUP($F$48,'表4）CO2価格'!$H$10:$I$12,2,0),0)*$F$8/1000,""))</f>
        <v/>
      </c>
      <c r="AZ30" s="71"/>
      <c r="BA30" s="11" t="str">
        <f t="shared" si="11"/>
        <v/>
      </c>
      <c r="BB30" s="10" t="str">
        <f t="shared" si="27"/>
        <v/>
      </c>
      <c r="BC30" s="71"/>
      <c r="BD30" s="10" t="str">
        <f t="shared" si="12"/>
        <v/>
      </c>
      <c r="BE30" s="10" t="str">
        <f t="shared" si="28"/>
        <v/>
      </c>
      <c r="BF30" s="71"/>
      <c r="BG30" s="11" t="str">
        <f t="shared" si="13"/>
        <v/>
      </c>
      <c r="BH30" s="10" t="str">
        <f t="shared" si="29"/>
        <v/>
      </c>
      <c r="BJ30" s="7" t="str">
        <f t="shared" si="30"/>
        <v/>
      </c>
      <c r="BK30" s="158" t="str">
        <f t="shared" si="31"/>
        <v/>
      </c>
      <c r="BL30" s="158" t="str">
        <f t="shared" si="14"/>
        <v/>
      </c>
      <c r="BM30" s="10"/>
      <c r="BN30" s="10" t="str">
        <f t="shared" si="32"/>
        <v/>
      </c>
      <c r="BO30" s="10" t="str">
        <f t="shared" si="33"/>
        <v/>
      </c>
      <c r="BQ30" s="10" t="str">
        <f t="shared" si="15"/>
        <v/>
      </c>
      <c r="BR30" s="10" t="str">
        <f t="shared" si="34"/>
        <v/>
      </c>
    </row>
    <row r="31" spans="3:70" x14ac:dyDescent="0.15">
      <c r="C31" s="89" t="s">
        <v>507</v>
      </c>
      <c r="D31" s="101"/>
      <c r="E31" s="101"/>
      <c r="F31" s="89"/>
      <c r="G31" s="101"/>
      <c r="I31" s="38">
        <f t="shared" si="35"/>
        <v>2046</v>
      </c>
      <c r="J31" s="39"/>
      <c r="K31" s="39">
        <f t="shared" si="36"/>
        <v>17</v>
      </c>
      <c r="L31" s="39"/>
      <c r="M31" s="40">
        <f t="shared" si="0"/>
        <v>0.60501644584477121</v>
      </c>
      <c r="N31" s="39"/>
      <c r="O31" s="72" t="str">
        <f t="shared" si="16"/>
        <v/>
      </c>
      <c r="P31" s="41" t="str">
        <f t="shared" si="1"/>
        <v/>
      </c>
      <c r="Q31" s="39"/>
      <c r="R31" s="72" t="str">
        <f t="shared" si="17"/>
        <v/>
      </c>
      <c r="S31" s="39"/>
      <c r="T31" s="72" t="str">
        <f t="shared" si="18"/>
        <v/>
      </c>
      <c r="U31" s="39"/>
      <c r="V31" s="72" t="str">
        <f t="shared" si="2"/>
        <v/>
      </c>
      <c r="W31" s="72" t="str">
        <f t="shared" si="19"/>
        <v/>
      </c>
      <c r="X31" s="39"/>
      <c r="Y31" s="72" t="str">
        <f t="shared" si="3"/>
        <v/>
      </c>
      <c r="Z31" s="72" t="str">
        <f t="shared" si="20"/>
        <v/>
      </c>
      <c r="AA31" s="39"/>
      <c r="AB31" s="72" t="str">
        <f t="shared" si="4"/>
        <v/>
      </c>
      <c r="AC31" s="72" t="str">
        <f t="shared" si="21"/>
        <v/>
      </c>
      <c r="AD31" s="39"/>
      <c r="AE31" s="72" t="str">
        <f t="shared" si="5"/>
        <v/>
      </c>
      <c r="AF31" s="72" t="str">
        <f t="shared" si="22"/>
        <v/>
      </c>
      <c r="AG31" s="39"/>
      <c r="AH31" s="72" t="str">
        <f t="shared" si="6"/>
        <v/>
      </c>
      <c r="AI31" s="72" t="str">
        <f t="shared" si="23"/>
        <v/>
      </c>
      <c r="AJ31" s="39"/>
      <c r="AK31" s="72" t="str">
        <f t="shared" si="24"/>
        <v/>
      </c>
      <c r="AL31" s="72" t="str">
        <f t="shared" si="25"/>
        <v/>
      </c>
      <c r="AM31" s="39"/>
      <c r="AN31" s="72" t="str">
        <f t="shared" si="7"/>
        <v/>
      </c>
      <c r="AO31" s="72" t="str">
        <f t="shared" si="26"/>
        <v/>
      </c>
      <c r="AP31" s="39"/>
      <c r="AQ31" s="72" t="str">
        <f t="shared" si="8"/>
        <v/>
      </c>
      <c r="AR31" s="72" t="str">
        <f t="shared" si="37"/>
        <v/>
      </c>
      <c r="AS31" s="39"/>
      <c r="AT31" s="40" t="str">
        <f>IF($K31&lt;=$F$15,IF($F$40&lt;&gt;"",$F$40/1000,IF(ISERROR(VLOOKUP($F$3&amp;IF($G$4&lt;&gt;"",$G$4,"")&amp;IF($F$43&lt;&gt;"","_"&amp;$F$43,""),'表3）燃料価格'!$AF$9:$AG$25,2,0)),0,VLOOKUP($I31,'表3）燃料価格'!$A$6:$U$66,VLOOKUP($F$3&amp;IF($G$4&lt;&gt;"",$G$4,"")&amp;IF($F$43&lt;&gt;"","_"&amp;$F$43,""),'表3）燃料価格'!$AF$9:$AG$25,2,0)+VLOOKUP($F$41,'表3）燃料価格'!$AF$28:$AG$29,2,0),0)*IF($F$43="需要地価格",1,$F$8/$F$141))),"")</f>
        <v/>
      </c>
      <c r="AU31" s="39"/>
      <c r="AV31" s="72" t="str">
        <f t="shared" si="9"/>
        <v/>
      </c>
      <c r="AW31" s="72" t="str">
        <f t="shared" si="10"/>
        <v/>
      </c>
      <c r="AX31" s="39"/>
      <c r="AY31" s="40" t="str">
        <f>IF(ISERROR(IF($K31&lt;=$F$15,VLOOKUP($I31,'表4）CO2価格'!$A$7:$E$67,VLOOKUP($F$48,'表4）CO2価格'!$H$10:$I$12,2,0),0)*$F$8/1000,"")),0,IF($K31&lt;=$F$15,VLOOKUP($I31,'表4）CO2価格'!$A$7:$E$67,VLOOKUP($F$48,'表4）CO2価格'!$H$10:$I$12,2,0),0)*$F$8/1000,""))</f>
        <v/>
      </c>
      <c r="AZ31" s="39"/>
      <c r="BA31" s="42" t="str">
        <f t="shared" si="11"/>
        <v/>
      </c>
      <c r="BB31" s="72" t="str">
        <f t="shared" si="27"/>
        <v/>
      </c>
      <c r="BC31" s="39"/>
      <c r="BD31" s="72" t="str">
        <f t="shared" si="12"/>
        <v/>
      </c>
      <c r="BE31" s="72" t="str">
        <f t="shared" si="28"/>
        <v/>
      </c>
      <c r="BF31" s="39"/>
      <c r="BG31" s="42" t="str">
        <f t="shared" si="13"/>
        <v/>
      </c>
      <c r="BH31" s="72" t="str">
        <f t="shared" si="29"/>
        <v/>
      </c>
      <c r="BI31" s="39"/>
      <c r="BJ31" s="40" t="str">
        <f t="shared" si="30"/>
        <v/>
      </c>
      <c r="BK31" s="157" t="str">
        <f t="shared" si="31"/>
        <v/>
      </c>
      <c r="BL31" s="157" t="str">
        <f t="shared" si="14"/>
        <v/>
      </c>
      <c r="BM31" s="72"/>
      <c r="BN31" s="72" t="str">
        <f t="shared" si="32"/>
        <v/>
      </c>
      <c r="BO31" s="72" t="str">
        <f t="shared" si="33"/>
        <v/>
      </c>
      <c r="BP31" s="39"/>
      <c r="BQ31" s="72" t="str">
        <f t="shared" si="15"/>
        <v/>
      </c>
      <c r="BR31" s="72" t="str">
        <f t="shared" si="34"/>
        <v/>
      </c>
    </row>
    <row r="32" spans="3:70" x14ac:dyDescent="0.15">
      <c r="I32" s="322">
        <f t="shared" si="35"/>
        <v>2047</v>
      </c>
      <c r="J32" s="71"/>
      <c r="K32" s="71">
        <f t="shared" si="36"/>
        <v>18</v>
      </c>
      <c r="L32" s="71"/>
      <c r="M32" s="7">
        <f t="shared" si="0"/>
        <v>0.5873946076162827</v>
      </c>
      <c r="N32" s="71"/>
      <c r="O32" s="10" t="str">
        <f t="shared" si="16"/>
        <v/>
      </c>
      <c r="P32" s="29" t="str">
        <f t="shared" si="1"/>
        <v/>
      </c>
      <c r="Q32" s="71"/>
      <c r="R32" s="10" t="str">
        <f t="shared" si="17"/>
        <v/>
      </c>
      <c r="S32" s="71"/>
      <c r="T32" s="10" t="str">
        <f t="shared" si="18"/>
        <v/>
      </c>
      <c r="U32" s="71"/>
      <c r="V32" s="10" t="str">
        <f t="shared" si="2"/>
        <v/>
      </c>
      <c r="W32" s="10" t="str">
        <f t="shared" si="19"/>
        <v/>
      </c>
      <c r="X32" s="71"/>
      <c r="Y32" s="10" t="str">
        <f t="shared" si="3"/>
        <v/>
      </c>
      <c r="Z32" s="10" t="str">
        <f t="shared" si="20"/>
        <v/>
      </c>
      <c r="AA32" s="71"/>
      <c r="AB32" s="10" t="str">
        <f t="shared" si="4"/>
        <v/>
      </c>
      <c r="AC32" s="10" t="str">
        <f t="shared" si="21"/>
        <v/>
      </c>
      <c r="AD32" s="71"/>
      <c r="AE32" s="10" t="str">
        <f t="shared" si="5"/>
        <v/>
      </c>
      <c r="AF32" s="10" t="str">
        <f t="shared" si="22"/>
        <v/>
      </c>
      <c r="AG32" s="71"/>
      <c r="AH32" s="10" t="str">
        <f t="shared" si="6"/>
        <v/>
      </c>
      <c r="AI32" s="10" t="str">
        <f t="shared" si="23"/>
        <v/>
      </c>
      <c r="AJ32" s="71"/>
      <c r="AK32" s="10" t="str">
        <f t="shared" si="24"/>
        <v/>
      </c>
      <c r="AL32" s="10" t="str">
        <f t="shared" si="25"/>
        <v/>
      </c>
      <c r="AM32" s="71"/>
      <c r="AN32" s="10" t="str">
        <f t="shared" si="7"/>
        <v/>
      </c>
      <c r="AO32" s="10" t="str">
        <f t="shared" si="26"/>
        <v/>
      </c>
      <c r="AP32" s="71"/>
      <c r="AQ32" s="10" t="str">
        <f t="shared" si="8"/>
        <v/>
      </c>
      <c r="AR32" s="10" t="str">
        <f t="shared" si="37"/>
        <v/>
      </c>
      <c r="AS32" s="71"/>
      <c r="AT32" s="7" t="str">
        <f>IF($K32&lt;=$F$15,IF($F$40&lt;&gt;"",$F$40/1000,IF(ISERROR(VLOOKUP($F$3&amp;IF($G$4&lt;&gt;"",$G$4,"")&amp;IF($F$43&lt;&gt;"","_"&amp;$F$43,""),'表3）燃料価格'!$AF$9:$AG$25,2,0)),0,VLOOKUP($I32,'表3）燃料価格'!$A$6:$U$66,VLOOKUP($F$3&amp;IF($G$4&lt;&gt;"",$G$4,"")&amp;IF($F$43&lt;&gt;"","_"&amp;$F$43,""),'表3）燃料価格'!$AF$9:$AG$25,2,0)+VLOOKUP($F$41,'表3）燃料価格'!$AF$28:$AG$29,2,0),0)*IF($F$43="需要地価格",1,$F$8/$F$141))),"")</f>
        <v/>
      </c>
      <c r="AU32" s="71"/>
      <c r="AV32" s="10" t="str">
        <f t="shared" si="9"/>
        <v/>
      </c>
      <c r="AW32" s="10" t="str">
        <f t="shared" si="10"/>
        <v/>
      </c>
      <c r="AX32" s="71"/>
      <c r="AY32" s="7" t="str">
        <f>IF(ISERROR(IF($K32&lt;=$F$15,VLOOKUP($I32,'表4）CO2価格'!$A$7:$E$67,VLOOKUP($F$48,'表4）CO2価格'!$H$10:$I$12,2,0),0)*$F$8/1000,"")),0,IF($K32&lt;=$F$15,VLOOKUP($I32,'表4）CO2価格'!$A$7:$E$67,VLOOKUP($F$48,'表4）CO2価格'!$H$10:$I$12,2,0),0)*$F$8/1000,""))</f>
        <v/>
      </c>
      <c r="AZ32" s="71"/>
      <c r="BA32" s="11" t="str">
        <f t="shared" si="11"/>
        <v/>
      </c>
      <c r="BB32" s="10" t="str">
        <f t="shared" si="27"/>
        <v/>
      </c>
      <c r="BC32" s="71"/>
      <c r="BD32" s="10" t="str">
        <f t="shared" si="12"/>
        <v/>
      </c>
      <c r="BE32" s="10" t="str">
        <f t="shared" si="28"/>
        <v/>
      </c>
      <c r="BF32" s="71"/>
      <c r="BG32" s="11" t="str">
        <f t="shared" si="13"/>
        <v/>
      </c>
      <c r="BH32" s="10" t="str">
        <f t="shared" si="29"/>
        <v/>
      </c>
      <c r="BJ32" s="7" t="str">
        <f t="shared" si="30"/>
        <v/>
      </c>
      <c r="BK32" s="158" t="str">
        <f t="shared" si="31"/>
        <v/>
      </c>
      <c r="BL32" s="158" t="str">
        <f t="shared" si="14"/>
        <v/>
      </c>
      <c r="BM32" s="10"/>
      <c r="BN32" s="10" t="str">
        <f t="shared" si="32"/>
        <v/>
      </c>
      <c r="BO32" s="10" t="str">
        <f t="shared" si="33"/>
        <v/>
      </c>
      <c r="BQ32" s="10" t="str">
        <f t="shared" si="15"/>
        <v/>
      </c>
      <c r="BR32" s="10" t="str">
        <f t="shared" si="34"/>
        <v/>
      </c>
    </row>
    <row r="33" spans="3:70" x14ac:dyDescent="0.15">
      <c r="D33" s="81" t="s">
        <v>88</v>
      </c>
      <c r="F33" s="66"/>
      <c r="G33" s="81" t="s">
        <v>119</v>
      </c>
      <c r="I33" s="38">
        <f t="shared" si="35"/>
        <v>2048</v>
      </c>
      <c r="J33" s="39"/>
      <c r="K33" s="39">
        <f t="shared" si="36"/>
        <v>19</v>
      </c>
      <c r="L33" s="39"/>
      <c r="M33" s="40">
        <f t="shared" si="0"/>
        <v>0.57028602681192497</v>
      </c>
      <c r="N33" s="39"/>
      <c r="O33" s="72" t="str">
        <f t="shared" si="16"/>
        <v/>
      </c>
      <c r="P33" s="41" t="str">
        <f t="shared" si="1"/>
        <v/>
      </c>
      <c r="Q33" s="39"/>
      <c r="R33" s="72" t="str">
        <f t="shared" si="17"/>
        <v/>
      </c>
      <c r="S33" s="39"/>
      <c r="T33" s="72" t="str">
        <f t="shared" si="18"/>
        <v/>
      </c>
      <c r="U33" s="39"/>
      <c r="V33" s="72" t="str">
        <f t="shared" si="2"/>
        <v/>
      </c>
      <c r="W33" s="72" t="str">
        <f t="shared" si="19"/>
        <v/>
      </c>
      <c r="X33" s="39"/>
      <c r="Y33" s="72" t="str">
        <f t="shared" si="3"/>
        <v/>
      </c>
      <c r="Z33" s="72" t="str">
        <f t="shared" si="20"/>
        <v/>
      </c>
      <c r="AA33" s="39"/>
      <c r="AB33" s="72" t="str">
        <f t="shared" si="4"/>
        <v/>
      </c>
      <c r="AC33" s="72" t="str">
        <f t="shared" si="21"/>
        <v/>
      </c>
      <c r="AD33" s="39"/>
      <c r="AE33" s="72" t="str">
        <f t="shared" si="5"/>
        <v/>
      </c>
      <c r="AF33" s="72" t="str">
        <f t="shared" si="22"/>
        <v/>
      </c>
      <c r="AG33" s="39"/>
      <c r="AH33" s="72" t="str">
        <f t="shared" si="6"/>
        <v/>
      </c>
      <c r="AI33" s="72" t="str">
        <f t="shared" si="23"/>
        <v/>
      </c>
      <c r="AJ33" s="39"/>
      <c r="AK33" s="72" t="str">
        <f t="shared" si="24"/>
        <v/>
      </c>
      <c r="AL33" s="72" t="str">
        <f t="shared" si="25"/>
        <v/>
      </c>
      <c r="AM33" s="39"/>
      <c r="AN33" s="72" t="str">
        <f t="shared" si="7"/>
        <v/>
      </c>
      <c r="AO33" s="72" t="str">
        <f t="shared" si="26"/>
        <v/>
      </c>
      <c r="AP33" s="39"/>
      <c r="AQ33" s="72" t="str">
        <f t="shared" si="8"/>
        <v/>
      </c>
      <c r="AR33" s="72" t="str">
        <f t="shared" si="37"/>
        <v/>
      </c>
      <c r="AS33" s="39"/>
      <c r="AT33" s="40" t="str">
        <f>IF($K33&lt;=$F$15,IF($F$40&lt;&gt;"",$F$40/1000,IF(ISERROR(VLOOKUP($F$3&amp;IF($G$4&lt;&gt;"",$G$4,"")&amp;IF($F$43&lt;&gt;"","_"&amp;$F$43,""),'表3）燃料価格'!$AF$9:$AG$25,2,0)),0,VLOOKUP($I33,'表3）燃料価格'!$A$6:$U$66,VLOOKUP($F$3&amp;IF($G$4&lt;&gt;"",$G$4,"")&amp;IF($F$43&lt;&gt;"","_"&amp;$F$43,""),'表3）燃料価格'!$AF$9:$AG$25,2,0)+VLOOKUP($F$41,'表3）燃料価格'!$AF$28:$AG$29,2,0),0)*IF($F$43="需要地価格",1,$F$8/$F$141))),"")</f>
        <v/>
      </c>
      <c r="AU33" s="39"/>
      <c r="AV33" s="72" t="str">
        <f t="shared" si="9"/>
        <v/>
      </c>
      <c r="AW33" s="72" t="str">
        <f t="shared" si="10"/>
        <v/>
      </c>
      <c r="AX33" s="39"/>
      <c r="AY33" s="40" t="str">
        <f>IF(ISERROR(IF($K33&lt;=$F$15,VLOOKUP($I33,'表4）CO2価格'!$A$7:$E$67,VLOOKUP($F$48,'表4）CO2価格'!$H$10:$I$12,2,0),0)*$F$8/1000,"")),0,IF($K33&lt;=$F$15,VLOOKUP($I33,'表4）CO2価格'!$A$7:$E$67,VLOOKUP($F$48,'表4）CO2価格'!$H$10:$I$12,2,0),0)*$F$8/1000,""))</f>
        <v/>
      </c>
      <c r="AZ33" s="39"/>
      <c r="BA33" s="42" t="str">
        <f t="shared" si="11"/>
        <v/>
      </c>
      <c r="BB33" s="72" t="str">
        <f t="shared" si="27"/>
        <v/>
      </c>
      <c r="BC33" s="39"/>
      <c r="BD33" s="72" t="str">
        <f t="shared" si="12"/>
        <v/>
      </c>
      <c r="BE33" s="72" t="str">
        <f t="shared" si="28"/>
        <v/>
      </c>
      <c r="BF33" s="39"/>
      <c r="BG33" s="42" t="str">
        <f t="shared" si="13"/>
        <v/>
      </c>
      <c r="BH33" s="72" t="str">
        <f t="shared" si="29"/>
        <v/>
      </c>
      <c r="BI33" s="39"/>
      <c r="BJ33" s="40" t="str">
        <f t="shared" si="30"/>
        <v/>
      </c>
      <c r="BK33" s="157" t="str">
        <f t="shared" si="31"/>
        <v/>
      </c>
      <c r="BL33" s="157" t="str">
        <f t="shared" si="14"/>
        <v/>
      </c>
      <c r="BM33" s="72"/>
      <c r="BN33" s="72" t="str">
        <f t="shared" si="32"/>
        <v/>
      </c>
      <c r="BO33" s="72" t="str">
        <f t="shared" si="33"/>
        <v/>
      </c>
      <c r="BP33" s="39"/>
      <c r="BQ33" s="72" t="str">
        <f t="shared" si="15"/>
        <v/>
      </c>
      <c r="BR33" s="72" t="str">
        <f t="shared" si="34"/>
        <v/>
      </c>
    </row>
    <row r="34" spans="3:70" x14ac:dyDescent="0.15">
      <c r="D34" s="81" t="s">
        <v>120</v>
      </c>
      <c r="F34" s="109">
        <v>0.79</v>
      </c>
      <c r="G34" s="81" t="s">
        <v>227</v>
      </c>
      <c r="I34" s="322">
        <f t="shared" si="35"/>
        <v>2049</v>
      </c>
      <c r="J34" s="71"/>
      <c r="K34" s="71">
        <f t="shared" si="36"/>
        <v>20</v>
      </c>
      <c r="L34" s="71"/>
      <c r="M34" s="7">
        <f t="shared" si="0"/>
        <v>0.55367575418633497</v>
      </c>
      <c r="N34" s="71"/>
      <c r="O34" s="10" t="str">
        <f t="shared" si="16"/>
        <v/>
      </c>
      <c r="P34" s="29" t="str">
        <f t="shared" si="1"/>
        <v/>
      </c>
      <c r="Q34" s="71"/>
      <c r="R34" s="10" t="str">
        <f t="shared" si="17"/>
        <v/>
      </c>
      <c r="S34" s="71"/>
      <c r="T34" s="10" t="str">
        <f t="shared" si="18"/>
        <v/>
      </c>
      <c r="U34" s="71"/>
      <c r="V34" s="10" t="str">
        <f t="shared" si="2"/>
        <v/>
      </c>
      <c r="W34" s="10" t="str">
        <f t="shared" si="19"/>
        <v/>
      </c>
      <c r="X34" s="71"/>
      <c r="Y34" s="10" t="str">
        <f t="shared" si="3"/>
        <v/>
      </c>
      <c r="Z34" s="10" t="str">
        <f t="shared" si="20"/>
        <v/>
      </c>
      <c r="AA34" s="71"/>
      <c r="AB34" s="10" t="str">
        <f t="shared" si="4"/>
        <v/>
      </c>
      <c r="AC34" s="10" t="str">
        <f t="shared" si="21"/>
        <v/>
      </c>
      <c r="AD34" s="71"/>
      <c r="AE34" s="10" t="str">
        <f t="shared" si="5"/>
        <v/>
      </c>
      <c r="AF34" s="10" t="str">
        <f t="shared" si="22"/>
        <v/>
      </c>
      <c r="AG34" s="71"/>
      <c r="AH34" s="10" t="str">
        <f t="shared" si="6"/>
        <v/>
      </c>
      <c r="AI34" s="10" t="str">
        <f t="shared" si="23"/>
        <v/>
      </c>
      <c r="AJ34" s="71"/>
      <c r="AK34" s="10" t="str">
        <f t="shared" si="24"/>
        <v/>
      </c>
      <c r="AL34" s="10" t="str">
        <f t="shared" si="25"/>
        <v/>
      </c>
      <c r="AM34" s="71"/>
      <c r="AN34" s="10" t="str">
        <f t="shared" si="7"/>
        <v/>
      </c>
      <c r="AO34" s="10" t="str">
        <f t="shared" si="26"/>
        <v/>
      </c>
      <c r="AP34" s="71"/>
      <c r="AQ34" s="10" t="str">
        <f t="shared" si="8"/>
        <v/>
      </c>
      <c r="AR34" s="10" t="str">
        <f t="shared" si="37"/>
        <v/>
      </c>
      <c r="AS34" s="71"/>
      <c r="AT34" s="7" t="str">
        <f>IF($K34&lt;=$F$15,IF($F$40&lt;&gt;"",$F$40/1000,IF(ISERROR(VLOOKUP($F$3&amp;IF($G$4&lt;&gt;"",$G$4,"")&amp;IF($F$43&lt;&gt;"","_"&amp;$F$43,""),'表3）燃料価格'!$AF$9:$AG$25,2,0)),0,VLOOKUP($I34,'表3）燃料価格'!$A$6:$U$66,VLOOKUP($F$3&amp;IF($G$4&lt;&gt;"",$G$4,"")&amp;IF($F$43&lt;&gt;"","_"&amp;$F$43,""),'表3）燃料価格'!$AF$9:$AG$25,2,0)+VLOOKUP($F$41,'表3）燃料価格'!$AF$28:$AG$29,2,0),0)*IF($F$43="需要地価格",1,$F$8/$F$141))),"")</f>
        <v/>
      </c>
      <c r="AU34" s="71"/>
      <c r="AV34" s="10" t="str">
        <f t="shared" si="9"/>
        <v/>
      </c>
      <c r="AW34" s="10" t="str">
        <f t="shared" si="10"/>
        <v/>
      </c>
      <c r="AX34" s="71"/>
      <c r="AY34" s="7" t="str">
        <f>IF(ISERROR(IF($K34&lt;=$F$15,VLOOKUP($I34,'表4）CO2価格'!$A$7:$E$67,VLOOKUP($F$48,'表4）CO2価格'!$H$10:$I$12,2,0),0)*$F$8/1000,"")),0,IF($K34&lt;=$F$15,VLOOKUP($I34,'表4）CO2価格'!$A$7:$E$67,VLOOKUP($F$48,'表4）CO2価格'!$H$10:$I$12,2,0),0)*$F$8/1000,""))</f>
        <v/>
      </c>
      <c r="AZ34" s="71"/>
      <c r="BA34" s="11" t="str">
        <f t="shared" si="11"/>
        <v/>
      </c>
      <c r="BB34" s="10" t="str">
        <f t="shared" si="27"/>
        <v/>
      </c>
      <c r="BC34" s="71"/>
      <c r="BD34" s="10" t="str">
        <f t="shared" si="12"/>
        <v/>
      </c>
      <c r="BE34" s="10" t="str">
        <f t="shared" si="28"/>
        <v/>
      </c>
      <c r="BF34" s="71"/>
      <c r="BG34" s="11" t="str">
        <f t="shared" si="13"/>
        <v/>
      </c>
      <c r="BH34" s="10" t="str">
        <f t="shared" si="29"/>
        <v/>
      </c>
      <c r="BJ34" s="7" t="str">
        <f t="shared" si="30"/>
        <v/>
      </c>
      <c r="BK34" s="158" t="str">
        <f t="shared" si="31"/>
        <v/>
      </c>
      <c r="BL34" s="158" t="str">
        <f t="shared" si="14"/>
        <v/>
      </c>
      <c r="BM34" s="10"/>
      <c r="BN34" s="10" t="str">
        <f t="shared" si="32"/>
        <v/>
      </c>
      <c r="BO34" s="10" t="str">
        <f t="shared" si="33"/>
        <v/>
      </c>
      <c r="BQ34" s="10" t="str">
        <f t="shared" si="15"/>
        <v/>
      </c>
      <c r="BR34" s="10" t="str">
        <f t="shared" si="34"/>
        <v/>
      </c>
    </row>
    <row r="35" spans="3:70" x14ac:dyDescent="0.15">
      <c r="D35" s="81" t="s">
        <v>122</v>
      </c>
      <c r="F35" s="66"/>
      <c r="G35" s="81" t="s">
        <v>121</v>
      </c>
      <c r="I35" s="38">
        <f t="shared" si="35"/>
        <v>2050</v>
      </c>
      <c r="J35" s="39"/>
      <c r="K35" s="39">
        <f t="shared" si="36"/>
        <v>21</v>
      </c>
      <c r="L35" s="39"/>
      <c r="M35" s="40">
        <f t="shared" si="0"/>
        <v>0.5375492759090631</v>
      </c>
      <c r="N35" s="39"/>
      <c r="O35" s="72" t="str">
        <f t="shared" si="16"/>
        <v/>
      </c>
      <c r="P35" s="41" t="str">
        <f t="shared" si="1"/>
        <v/>
      </c>
      <c r="Q35" s="39"/>
      <c r="R35" s="72" t="str">
        <f t="shared" si="17"/>
        <v/>
      </c>
      <c r="S35" s="39"/>
      <c r="T35" s="72" t="str">
        <f t="shared" si="18"/>
        <v/>
      </c>
      <c r="U35" s="39"/>
      <c r="V35" s="72" t="str">
        <f t="shared" si="2"/>
        <v/>
      </c>
      <c r="W35" s="72" t="str">
        <f t="shared" si="19"/>
        <v/>
      </c>
      <c r="X35" s="39"/>
      <c r="Y35" s="72" t="str">
        <f t="shared" si="3"/>
        <v/>
      </c>
      <c r="Z35" s="72" t="str">
        <f t="shared" si="20"/>
        <v/>
      </c>
      <c r="AA35" s="39"/>
      <c r="AB35" s="72" t="str">
        <f t="shared" si="4"/>
        <v/>
      </c>
      <c r="AC35" s="72" t="str">
        <f t="shared" si="21"/>
        <v/>
      </c>
      <c r="AD35" s="39"/>
      <c r="AE35" s="72" t="str">
        <f t="shared" si="5"/>
        <v/>
      </c>
      <c r="AF35" s="72" t="str">
        <f t="shared" si="22"/>
        <v/>
      </c>
      <c r="AG35" s="39"/>
      <c r="AH35" s="72" t="str">
        <f t="shared" si="6"/>
        <v/>
      </c>
      <c r="AI35" s="72" t="str">
        <f t="shared" si="23"/>
        <v/>
      </c>
      <c r="AJ35" s="39"/>
      <c r="AK35" s="72" t="str">
        <f t="shared" si="24"/>
        <v/>
      </c>
      <c r="AL35" s="72" t="str">
        <f t="shared" si="25"/>
        <v/>
      </c>
      <c r="AM35" s="39"/>
      <c r="AN35" s="72" t="str">
        <f t="shared" si="7"/>
        <v/>
      </c>
      <c r="AO35" s="72" t="str">
        <f t="shared" si="26"/>
        <v/>
      </c>
      <c r="AP35" s="39"/>
      <c r="AQ35" s="72" t="str">
        <f t="shared" si="8"/>
        <v/>
      </c>
      <c r="AR35" s="72" t="str">
        <f t="shared" si="37"/>
        <v/>
      </c>
      <c r="AS35" s="39"/>
      <c r="AT35" s="40" t="str">
        <f>IF($K35&lt;=$F$15,IF($F$40&lt;&gt;"",$F$40/1000,IF(ISERROR(VLOOKUP($F$3&amp;IF($G$4&lt;&gt;"",$G$4,"")&amp;IF($F$43&lt;&gt;"","_"&amp;$F$43,""),'表3）燃料価格'!$AF$9:$AG$25,2,0)),0,VLOOKUP($I35,'表3）燃料価格'!$A$6:$U$66,VLOOKUP($F$3&amp;IF($G$4&lt;&gt;"",$G$4,"")&amp;IF($F$43&lt;&gt;"","_"&amp;$F$43,""),'表3）燃料価格'!$AF$9:$AG$25,2,0)+VLOOKUP($F$41,'表3）燃料価格'!$AF$28:$AG$29,2,0),0)*IF($F$43="需要地価格",1,$F$8/$F$141))),"")</f>
        <v/>
      </c>
      <c r="AU35" s="39"/>
      <c r="AV35" s="72" t="str">
        <f t="shared" si="9"/>
        <v/>
      </c>
      <c r="AW35" s="72" t="str">
        <f t="shared" si="10"/>
        <v/>
      </c>
      <c r="AX35" s="39"/>
      <c r="AY35" s="40" t="str">
        <f>IF(ISERROR(IF($K35&lt;=$F$15,VLOOKUP($I35,'表4）CO2価格'!$A$7:$E$67,VLOOKUP($F$48,'表4）CO2価格'!$H$10:$I$12,2,0),0)*$F$8/1000,"")),0,IF($K35&lt;=$F$15,VLOOKUP($I35,'表4）CO2価格'!$A$7:$E$67,VLOOKUP($F$48,'表4）CO2価格'!$H$10:$I$12,2,0),0)*$F$8/1000,""))</f>
        <v/>
      </c>
      <c r="AZ35" s="39"/>
      <c r="BA35" s="42" t="str">
        <f t="shared" si="11"/>
        <v/>
      </c>
      <c r="BB35" s="72" t="str">
        <f t="shared" si="27"/>
        <v/>
      </c>
      <c r="BC35" s="39"/>
      <c r="BD35" s="72" t="str">
        <f t="shared" si="12"/>
        <v/>
      </c>
      <c r="BE35" s="72" t="str">
        <f t="shared" si="28"/>
        <v/>
      </c>
      <c r="BF35" s="39"/>
      <c r="BG35" s="42" t="str">
        <f t="shared" si="13"/>
        <v/>
      </c>
      <c r="BH35" s="72" t="str">
        <f t="shared" si="29"/>
        <v/>
      </c>
      <c r="BI35" s="39"/>
      <c r="BJ35" s="40" t="str">
        <f t="shared" si="30"/>
        <v/>
      </c>
      <c r="BK35" s="157" t="str">
        <f t="shared" si="31"/>
        <v/>
      </c>
      <c r="BL35" s="157" t="str">
        <f t="shared" si="14"/>
        <v/>
      </c>
      <c r="BM35" s="72"/>
      <c r="BN35" s="72" t="str">
        <f t="shared" si="32"/>
        <v/>
      </c>
      <c r="BO35" s="72" t="str">
        <f t="shared" si="33"/>
        <v/>
      </c>
      <c r="BP35" s="39"/>
      <c r="BQ35" s="72" t="str">
        <f t="shared" si="15"/>
        <v/>
      </c>
      <c r="BR35" s="72" t="str">
        <f t="shared" si="34"/>
        <v/>
      </c>
    </row>
    <row r="36" spans="3:70" x14ac:dyDescent="0.15">
      <c r="D36" s="81" t="s">
        <v>177</v>
      </c>
      <c r="F36" s="106"/>
      <c r="G36" s="81" t="s">
        <v>123</v>
      </c>
      <c r="I36" s="322">
        <f t="shared" si="35"/>
        <v>2051</v>
      </c>
      <c r="J36" s="71"/>
      <c r="K36" s="71">
        <f t="shared" si="36"/>
        <v>22</v>
      </c>
      <c r="L36" s="71"/>
      <c r="M36" s="7">
        <f t="shared" si="0"/>
        <v>0.52189250088258554</v>
      </c>
      <c r="N36" s="71"/>
      <c r="O36" s="10" t="str">
        <f t="shared" si="16"/>
        <v/>
      </c>
      <c r="P36" s="29" t="str">
        <f t="shared" si="1"/>
        <v/>
      </c>
      <c r="Q36" s="71"/>
      <c r="R36" s="10" t="str">
        <f t="shared" si="17"/>
        <v/>
      </c>
      <c r="S36" s="71"/>
      <c r="T36" s="10" t="str">
        <f t="shared" si="18"/>
        <v/>
      </c>
      <c r="U36" s="71"/>
      <c r="V36" s="10" t="str">
        <f t="shared" si="2"/>
        <v/>
      </c>
      <c r="W36" s="10" t="str">
        <f t="shared" si="19"/>
        <v/>
      </c>
      <c r="X36" s="71"/>
      <c r="Y36" s="10" t="str">
        <f t="shared" si="3"/>
        <v/>
      </c>
      <c r="Z36" s="10" t="str">
        <f t="shared" si="20"/>
        <v/>
      </c>
      <c r="AA36" s="71"/>
      <c r="AB36" s="10" t="str">
        <f t="shared" si="4"/>
        <v/>
      </c>
      <c r="AC36" s="10" t="str">
        <f t="shared" si="21"/>
        <v/>
      </c>
      <c r="AD36" s="71"/>
      <c r="AE36" s="10" t="str">
        <f t="shared" si="5"/>
        <v/>
      </c>
      <c r="AF36" s="10" t="str">
        <f t="shared" si="22"/>
        <v/>
      </c>
      <c r="AG36" s="71"/>
      <c r="AH36" s="10" t="str">
        <f t="shared" si="6"/>
        <v/>
      </c>
      <c r="AI36" s="10" t="str">
        <f t="shared" si="23"/>
        <v/>
      </c>
      <c r="AJ36" s="71"/>
      <c r="AK36" s="10" t="str">
        <f t="shared" si="24"/>
        <v/>
      </c>
      <c r="AL36" s="10" t="str">
        <f t="shared" si="25"/>
        <v/>
      </c>
      <c r="AM36" s="71"/>
      <c r="AN36" s="10" t="str">
        <f t="shared" si="7"/>
        <v/>
      </c>
      <c r="AO36" s="10" t="str">
        <f t="shared" si="26"/>
        <v/>
      </c>
      <c r="AP36" s="71"/>
      <c r="AQ36" s="10" t="str">
        <f t="shared" si="8"/>
        <v/>
      </c>
      <c r="AR36" s="10" t="str">
        <f t="shared" si="37"/>
        <v/>
      </c>
      <c r="AS36" s="71"/>
      <c r="AT36" s="7" t="str">
        <f>IF($K36&lt;=$F$15,IF($F$40&lt;&gt;"",$F$40/1000,IF(ISERROR(VLOOKUP($F$3&amp;IF($G$4&lt;&gt;"",$G$4,"")&amp;IF($F$43&lt;&gt;"","_"&amp;$F$43,""),'表3）燃料価格'!$AF$9:$AG$25,2,0)),0,VLOOKUP($I36,'表3）燃料価格'!$A$6:$U$66,VLOOKUP($F$3&amp;IF($G$4&lt;&gt;"",$G$4,"")&amp;IF($F$43&lt;&gt;"","_"&amp;$F$43,""),'表3）燃料価格'!$AF$9:$AG$25,2,0)+VLOOKUP($F$41,'表3）燃料価格'!$AF$28:$AG$29,2,0),0)*IF($F$43="需要地価格",1,$F$8/$F$141))),"")</f>
        <v/>
      </c>
      <c r="AU36" s="71"/>
      <c r="AV36" s="10" t="str">
        <f t="shared" si="9"/>
        <v/>
      </c>
      <c r="AW36" s="10" t="str">
        <f t="shared" si="10"/>
        <v/>
      </c>
      <c r="AX36" s="71"/>
      <c r="AY36" s="7" t="str">
        <f>IF(ISERROR(IF($K36&lt;=$F$15,VLOOKUP($I36,'表4）CO2価格'!$A$7:$E$67,VLOOKUP($F$48,'表4）CO2価格'!$H$10:$I$12,2,0),0)*$F$8/1000,"")),0,IF($K36&lt;=$F$15,VLOOKUP($I36,'表4）CO2価格'!$A$7:$E$67,VLOOKUP($F$48,'表4）CO2価格'!$H$10:$I$12,2,0),0)*$F$8/1000,""))</f>
        <v/>
      </c>
      <c r="AZ36" s="71"/>
      <c r="BA36" s="11" t="str">
        <f t="shared" si="11"/>
        <v/>
      </c>
      <c r="BB36" s="10" t="str">
        <f t="shared" si="27"/>
        <v/>
      </c>
      <c r="BC36" s="71"/>
      <c r="BD36" s="10" t="str">
        <f t="shared" si="12"/>
        <v/>
      </c>
      <c r="BE36" s="10" t="str">
        <f t="shared" si="28"/>
        <v/>
      </c>
      <c r="BF36" s="71"/>
      <c r="BG36" s="11" t="str">
        <f t="shared" si="13"/>
        <v/>
      </c>
      <c r="BH36" s="10" t="str">
        <f t="shared" si="29"/>
        <v/>
      </c>
      <c r="BJ36" s="7" t="str">
        <f t="shared" si="30"/>
        <v/>
      </c>
      <c r="BK36" s="158" t="str">
        <f t="shared" si="31"/>
        <v/>
      </c>
      <c r="BL36" s="158" t="str">
        <f t="shared" si="14"/>
        <v/>
      </c>
      <c r="BM36" s="10"/>
      <c r="BN36" s="10" t="str">
        <f t="shared" si="32"/>
        <v/>
      </c>
      <c r="BO36" s="10" t="str">
        <f t="shared" si="33"/>
        <v/>
      </c>
      <c r="BQ36" s="10" t="str">
        <f t="shared" si="15"/>
        <v/>
      </c>
      <c r="BR36" s="10" t="str">
        <f t="shared" si="34"/>
        <v/>
      </c>
    </row>
    <row r="37" spans="3:70" x14ac:dyDescent="0.15">
      <c r="I37" s="38">
        <f t="shared" si="35"/>
        <v>2052</v>
      </c>
      <c r="J37" s="39"/>
      <c r="K37" s="39">
        <f t="shared" si="36"/>
        <v>23</v>
      </c>
      <c r="L37" s="39"/>
      <c r="M37" s="40">
        <f t="shared" si="0"/>
        <v>0.50669174842969467</v>
      </c>
      <c r="N37" s="39"/>
      <c r="O37" s="72" t="str">
        <f t="shared" si="16"/>
        <v/>
      </c>
      <c r="P37" s="41" t="str">
        <f t="shared" si="1"/>
        <v/>
      </c>
      <c r="Q37" s="39"/>
      <c r="R37" s="72" t="str">
        <f t="shared" si="17"/>
        <v/>
      </c>
      <c r="S37" s="39"/>
      <c r="T37" s="72" t="str">
        <f t="shared" si="18"/>
        <v/>
      </c>
      <c r="U37" s="39"/>
      <c r="V37" s="72" t="str">
        <f t="shared" si="2"/>
        <v/>
      </c>
      <c r="W37" s="72" t="str">
        <f t="shared" si="19"/>
        <v/>
      </c>
      <c r="X37" s="39"/>
      <c r="Y37" s="72" t="str">
        <f t="shared" si="3"/>
        <v/>
      </c>
      <c r="Z37" s="72" t="str">
        <f t="shared" si="20"/>
        <v/>
      </c>
      <c r="AA37" s="39"/>
      <c r="AB37" s="72" t="str">
        <f t="shared" si="4"/>
        <v/>
      </c>
      <c r="AC37" s="72" t="str">
        <f t="shared" si="21"/>
        <v/>
      </c>
      <c r="AD37" s="39"/>
      <c r="AE37" s="72" t="str">
        <f t="shared" si="5"/>
        <v/>
      </c>
      <c r="AF37" s="72" t="str">
        <f t="shared" si="22"/>
        <v/>
      </c>
      <c r="AG37" s="39"/>
      <c r="AH37" s="72" t="str">
        <f t="shared" si="6"/>
        <v/>
      </c>
      <c r="AI37" s="72" t="str">
        <f t="shared" si="23"/>
        <v/>
      </c>
      <c r="AJ37" s="39"/>
      <c r="AK37" s="72" t="str">
        <f t="shared" si="24"/>
        <v/>
      </c>
      <c r="AL37" s="72" t="str">
        <f t="shared" si="25"/>
        <v/>
      </c>
      <c r="AM37" s="39"/>
      <c r="AN37" s="72" t="str">
        <f t="shared" si="7"/>
        <v/>
      </c>
      <c r="AO37" s="72" t="str">
        <f t="shared" si="26"/>
        <v/>
      </c>
      <c r="AP37" s="39"/>
      <c r="AQ37" s="72" t="str">
        <f t="shared" si="8"/>
        <v/>
      </c>
      <c r="AR37" s="72" t="str">
        <f t="shared" si="37"/>
        <v/>
      </c>
      <c r="AS37" s="39"/>
      <c r="AT37" s="40" t="str">
        <f>IF($K37&lt;=$F$15,IF($F$40&lt;&gt;"",$F$40/1000,IF(ISERROR(VLOOKUP($F$3&amp;IF($G$4&lt;&gt;"",$G$4,"")&amp;IF($F$43&lt;&gt;"","_"&amp;$F$43,""),'表3）燃料価格'!$AF$9:$AG$25,2,0)),0,VLOOKUP($I37,'表3）燃料価格'!$A$6:$U$66,VLOOKUP($F$3&amp;IF($G$4&lt;&gt;"",$G$4,"")&amp;IF($F$43&lt;&gt;"","_"&amp;$F$43,""),'表3）燃料価格'!$AF$9:$AG$25,2,0)+VLOOKUP($F$41,'表3）燃料価格'!$AF$28:$AG$29,2,0),0)*IF($F$43="需要地価格",1,$F$8/$F$141))),"")</f>
        <v/>
      </c>
      <c r="AU37" s="39"/>
      <c r="AV37" s="72" t="str">
        <f t="shared" si="9"/>
        <v/>
      </c>
      <c r="AW37" s="72" t="str">
        <f t="shared" si="10"/>
        <v/>
      </c>
      <c r="AX37" s="39"/>
      <c r="AY37" s="40" t="str">
        <f>IF(ISERROR(IF($K37&lt;=$F$15,VLOOKUP($I37,'表4）CO2価格'!$A$7:$E$67,VLOOKUP($F$48,'表4）CO2価格'!$H$10:$I$12,2,0),0)*$F$8/1000,"")),0,IF($K37&lt;=$F$15,VLOOKUP($I37,'表4）CO2価格'!$A$7:$E$67,VLOOKUP($F$48,'表4）CO2価格'!$H$10:$I$12,2,0),0)*$F$8/1000,""))</f>
        <v/>
      </c>
      <c r="AZ37" s="39"/>
      <c r="BA37" s="42" t="str">
        <f t="shared" si="11"/>
        <v/>
      </c>
      <c r="BB37" s="72" t="str">
        <f t="shared" si="27"/>
        <v/>
      </c>
      <c r="BC37" s="39"/>
      <c r="BD37" s="72" t="str">
        <f t="shared" si="12"/>
        <v/>
      </c>
      <c r="BE37" s="72" t="str">
        <f t="shared" si="28"/>
        <v/>
      </c>
      <c r="BF37" s="39"/>
      <c r="BG37" s="42" t="str">
        <f t="shared" si="13"/>
        <v/>
      </c>
      <c r="BH37" s="72" t="str">
        <f t="shared" si="29"/>
        <v/>
      </c>
      <c r="BI37" s="39"/>
      <c r="BJ37" s="40" t="str">
        <f t="shared" si="30"/>
        <v/>
      </c>
      <c r="BK37" s="157" t="str">
        <f t="shared" si="31"/>
        <v/>
      </c>
      <c r="BL37" s="157" t="str">
        <f t="shared" si="14"/>
        <v/>
      </c>
      <c r="BM37" s="72"/>
      <c r="BN37" s="72" t="str">
        <f t="shared" si="32"/>
        <v/>
      </c>
      <c r="BO37" s="72" t="str">
        <f t="shared" si="33"/>
        <v/>
      </c>
      <c r="BP37" s="39"/>
      <c r="BQ37" s="72" t="str">
        <f t="shared" si="15"/>
        <v/>
      </c>
      <c r="BR37" s="72" t="str">
        <f t="shared" si="34"/>
        <v/>
      </c>
    </row>
    <row r="38" spans="3:70" x14ac:dyDescent="0.15">
      <c r="C38" s="89" t="s">
        <v>508</v>
      </c>
      <c r="D38" s="101"/>
      <c r="E38" s="101"/>
      <c r="F38" s="89"/>
      <c r="G38" s="101"/>
      <c r="I38" s="322">
        <f t="shared" si="35"/>
        <v>2053</v>
      </c>
      <c r="J38" s="71"/>
      <c r="K38" s="71">
        <f t="shared" si="36"/>
        <v>24</v>
      </c>
      <c r="L38" s="71"/>
      <c r="M38" s="7">
        <f t="shared" si="0"/>
        <v>0.49193373633950943</v>
      </c>
      <c r="N38" s="71"/>
      <c r="O38" s="10" t="str">
        <f t="shared" si="16"/>
        <v/>
      </c>
      <c r="P38" s="29" t="str">
        <f t="shared" si="1"/>
        <v/>
      </c>
      <c r="Q38" s="71"/>
      <c r="R38" s="10" t="str">
        <f t="shared" si="17"/>
        <v/>
      </c>
      <c r="S38" s="71"/>
      <c r="T38" s="10" t="str">
        <f t="shared" si="18"/>
        <v/>
      </c>
      <c r="U38" s="71"/>
      <c r="V38" s="10" t="str">
        <f t="shared" si="2"/>
        <v/>
      </c>
      <c r="W38" s="10" t="str">
        <f t="shared" si="19"/>
        <v/>
      </c>
      <c r="X38" s="71"/>
      <c r="Y38" s="10" t="str">
        <f t="shared" si="3"/>
        <v/>
      </c>
      <c r="Z38" s="10" t="str">
        <f t="shared" si="20"/>
        <v/>
      </c>
      <c r="AA38" s="71"/>
      <c r="AB38" s="10" t="str">
        <f t="shared" si="4"/>
        <v/>
      </c>
      <c r="AC38" s="10" t="str">
        <f t="shared" si="21"/>
        <v/>
      </c>
      <c r="AD38" s="71"/>
      <c r="AE38" s="10" t="str">
        <f t="shared" si="5"/>
        <v/>
      </c>
      <c r="AF38" s="10" t="str">
        <f t="shared" si="22"/>
        <v/>
      </c>
      <c r="AG38" s="71"/>
      <c r="AH38" s="10" t="str">
        <f t="shared" si="6"/>
        <v/>
      </c>
      <c r="AI38" s="10" t="str">
        <f t="shared" si="23"/>
        <v/>
      </c>
      <c r="AJ38" s="71"/>
      <c r="AK38" s="10" t="str">
        <f t="shared" si="24"/>
        <v/>
      </c>
      <c r="AL38" s="10" t="str">
        <f t="shared" si="25"/>
        <v/>
      </c>
      <c r="AM38" s="71"/>
      <c r="AN38" s="10" t="str">
        <f t="shared" si="7"/>
        <v/>
      </c>
      <c r="AO38" s="10" t="str">
        <f t="shared" si="26"/>
        <v/>
      </c>
      <c r="AP38" s="71"/>
      <c r="AQ38" s="10" t="str">
        <f t="shared" si="8"/>
        <v/>
      </c>
      <c r="AR38" s="10" t="str">
        <f t="shared" si="37"/>
        <v/>
      </c>
      <c r="AS38" s="71"/>
      <c r="AT38" s="7" t="str">
        <f>IF($K38&lt;=$F$15,IF($F$40&lt;&gt;"",$F$40/1000,IF(ISERROR(VLOOKUP($F$3&amp;IF($G$4&lt;&gt;"",$G$4,"")&amp;IF($F$43&lt;&gt;"","_"&amp;$F$43,""),'表3）燃料価格'!$AF$9:$AG$25,2,0)),0,VLOOKUP($I38,'表3）燃料価格'!$A$6:$U$66,VLOOKUP($F$3&amp;IF($G$4&lt;&gt;"",$G$4,"")&amp;IF($F$43&lt;&gt;"","_"&amp;$F$43,""),'表3）燃料価格'!$AF$9:$AG$25,2,0)+VLOOKUP($F$41,'表3）燃料価格'!$AF$28:$AG$29,2,0),0)*IF($F$43="需要地価格",1,$F$8/$F$141))),"")</f>
        <v/>
      </c>
      <c r="AU38" s="71"/>
      <c r="AV38" s="10" t="str">
        <f t="shared" si="9"/>
        <v/>
      </c>
      <c r="AW38" s="10" t="str">
        <f t="shared" si="10"/>
        <v/>
      </c>
      <c r="AX38" s="71"/>
      <c r="AY38" s="7" t="str">
        <f>IF(ISERROR(IF($K38&lt;=$F$15,VLOOKUP($I38,'表4）CO2価格'!$A$7:$E$67,VLOOKUP($F$48,'表4）CO2価格'!$H$10:$I$12,2,0),0)*$F$8/1000,"")),0,IF($K38&lt;=$F$15,VLOOKUP($I38,'表4）CO2価格'!$A$7:$E$67,VLOOKUP($F$48,'表4）CO2価格'!$H$10:$I$12,2,0),0)*$F$8/1000,""))</f>
        <v/>
      </c>
      <c r="AZ38" s="71"/>
      <c r="BA38" s="11" t="str">
        <f t="shared" si="11"/>
        <v/>
      </c>
      <c r="BB38" s="10" t="str">
        <f t="shared" si="27"/>
        <v/>
      </c>
      <c r="BC38" s="71"/>
      <c r="BD38" s="10" t="str">
        <f t="shared" si="12"/>
        <v/>
      </c>
      <c r="BE38" s="10" t="str">
        <f t="shared" si="28"/>
        <v/>
      </c>
      <c r="BF38" s="71"/>
      <c r="BG38" s="11" t="str">
        <f t="shared" si="13"/>
        <v/>
      </c>
      <c r="BH38" s="10" t="str">
        <f t="shared" si="29"/>
        <v/>
      </c>
      <c r="BJ38" s="7" t="str">
        <f t="shared" si="30"/>
        <v/>
      </c>
      <c r="BK38" s="158" t="str">
        <f t="shared" si="31"/>
        <v/>
      </c>
      <c r="BL38" s="158" t="str">
        <f t="shared" si="14"/>
        <v/>
      </c>
      <c r="BM38" s="10"/>
      <c r="BN38" s="10" t="str">
        <f t="shared" si="32"/>
        <v/>
      </c>
      <c r="BO38" s="10" t="str">
        <f t="shared" si="33"/>
        <v/>
      </c>
      <c r="BQ38" s="10" t="str">
        <f t="shared" si="15"/>
        <v/>
      </c>
      <c r="BR38" s="10" t="str">
        <f t="shared" si="34"/>
        <v/>
      </c>
    </row>
    <row r="39" spans="3:70" x14ac:dyDescent="0.15">
      <c r="I39" s="38">
        <f t="shared" si="35"/>
        <v>2054</v>
      </c>
      <c r="J39" s="39"/>
      <c r="K39" s="39">
        <f t="shared" si="36"/>
        <v>25</v>
      </c>
      <c r="L39" s="39"/>
      <c r="M39" s="40">
        <f t="shared" si="0"/>
        <v>0.47760556926165965</v>
      </c>
      <c r="N39" s="39"/>
      <c r="O39" s="72" t="str">
        <f t="shared" si="16"/>
        <v/>
      </c>
      <c r="P39" s="41" t="str">
        <f t="shared" si="1"/>
        <v/>
      </c>
      <c r="Q39" s="39"/>
      <c r="R39" s="72" t="str">
        <f t="shared" si="17"/>
        <v/>
      </c>
      <c r="S39" s="39"/>
      <c r="T39" s="72" t="str">
        <f t="shared" si="18"/>
        <v/>
      </c>
      <c r="U39" s="39"/>
      <c r="V39" s="72" t="str">
        <f t="shared" si="2"/>
        <v/>
      </c>
      <c r="W39" s="72" t="str">
        <f t="shared" si="19"/>
        <v/>
      </c>
      <c r="X39" s="39"/>
      <c r="Y39" s="72" t="str">
        <f t="shared" si="3"/>
        <v/>
      </c>
      <c r="Z39" s="72" t="str">
        <f t="shared" si="20"/>
        <v/>
      </c>
      <c r="AA39" s="39"/>
      <c r="AB39" s="72" t="str">
        <f t="shared" si="4"/>
        <v/>
      </c>
      <c r="AC39" s="72" t="str">
        <f t="shared" si="21"/>
        <v/>
      </c>
      <c r="AD39" s="39"/>
      <c r="AE39" s="72" t="str">
        <f t="shared" si="5"/>
        <v/>
      </c>
      <c r="AF39" s="72" t="str">
        <f t="shared" si="22"/>
        <v/>
      </c>
      <c r="AG39" s="39"/>
      <c r="AH39" s="72" t="str">
        <f t="shared" si="6"/>
        <v/>
      </c>
      <c r="AI39" s="72" t="str">
        <f t="shared" si="23"/>
        <v/>
      </c>
      <c r="AJ39" s="39"/>
      <c r="AK39" s="72" t="str">
        <f t="shared" si="24"/>
        <v/>
      </c>
      <c r="AL39" s="72" t="str">
        <f t="shared" si="25"/>
        <v/>
      </c>
      <c r="AM39" s="39"/>
      <c r="AN39" s="72" t="str">
        <f t="shared" si="7"/>
        <v/>
      </c>
      <c r="AO39" s="72" t="str">
        <f t="shared" si="26"/>
        <v/>
      </c>
      <c r="AP39" s="39"/>
      <c r="AQ39" s="72" t="str">
        <f t="shared" si="8"/>
        <v/>
      </c>
      <c r="AR39" s="72" t="str">
        <f t="shared" si="37"/>
        <v/>
      </c>
      <c r="AS39" s="39"/>
      <c r="AT39" s="40" t="str">
        <f>IF($K39&lt;=$F$15,IF($F$40&lt;&gt;"",$F$40/1000,IF(ISERROR(VLOOKUP($F$3&amp;IF($G$4&lt;&gt;"",$G$4,"")&amp;IF($F$43&lt;&gt;"","_"&amp;$F$43,""),'表3）燃料価格'!$AF$9:$AG$25,2,0)),0,VLOOKUP($I39,'表3）燃料価格'!$A$6:$U$66,VLOOKUP($F$3&amp;IF($G$4&lt;&gt;"",$G$4,"")&amp;IF($F$43&lt;&gt;"","_"&amp;$F$43,""),'表3）燃料価格'!$AF$9:$AG$25,2,0)+VLOOKUP($F$41,'表3）燃料価格'!$AF$28:$AG$29,2,0),0)*IF($F$43="需要地価格",1,$F$8/$F$141))),"")</f>
        <v/>
      </c>
      <c r="AU39" s="39"/>
      <c r="AV39" s="72" t="str">
        <f t="shared" si="9"/>
        <v/>
      </c>
      <c r="AW39" s="72" t="str">
        <f t="shared" si="10"/>
        <v/>
      </c>
      <c r="AX39" s="39"/>
      <c r="AY39" s="40" t="str">
        <f>IF(ISERROR(IF($K39&lt;=$F$15,VLOOKUP($I39,'表4）CO2価格'!$A$7:$E$67,VLOOKUP($F$48,'表4）CO2価格'!$H$10:$I$12,2,0),0)*$F$8/1000,"")),0,IF($K39&lt;=$F$15,VLOOKUP($I39,'表4）CO2価格'!$A$7:$E$67,VLOOKUP($F$48,'表4）CO2価格'!$H$10:$I$12,2,0),0)*$F$8/1000,""))</f>
        <v/>
      </c>
      <c r="AZ39" s="39"/>
      <c r="BA39" s="42" t="str">
        <f t="shared" si="11"/>
        <v/>
      </c>
      <c r="BB39" s="72" t="str">
        <f t="shared" si="27"/>
        <v/>
      </c>
      <c r="BC39" s="39"/>
      <c r="BD39" s="72" t="str">
        <f t="shared" si="12"/>
        <v/>
      </c>
      <c r="BE39" s="72" t="str">
        <f t="shared" si="28"/>
        <v/>
      </c>
      <c r="BF39" s="39"/>
      <c r="BG39" s="42" t="str">
        <f t="shared" si="13"/>
        <v/>
      </c>
      <c r="BH39" s="72" t="str">
        <f t="shared" si="29"/>
        <v/>
      </c>
      <c r="BI39" s="39"/>
      <c r="BJ39" s="40" t="str">
        <f t="shared" si="30"/>
        <v/>
      </c>
      <c r="BK39" s="157" t="str">
        <f t="shared" si="31"/>
        <v/>
      </c>
      <c r="BL39" s="157" t="str">
        <f t="shared" si="14"/>
        <v/>
      </c>
      <c r="BM39" s="72"/>
      <c r="BN39" s="72" t="str">
        <f t="shared" si="32"/>
        <v/>
      </c>
      <c r="BO39" s="72" t="str">
        <f t="shared" si="33"/>
        <v/>
      </c>
      <c r="BP39" s="39"/>
      <c r="BQ39" s="72" t="str">
        <f t="shared" si="15"/>
        <v/>
      </c>
      <c r="BR39" s="72" t="str">
        <f t="shared" si="34"/>
        <v/>
      </c>
    </row>
    <row r="40" spans="3:70" x14ac:dyDescent="0.15">
      <c r="D40" s="81" t="s">
        <v>124</v>
      </c>
      <c r="F40" s="108"/>
      <c r="G40" s="81" t="s">
        <v>230</v>
      </c>
      <c r="I40" s="322">
        <f t="shared" si="35"/>
        <v>2055</v>
      </c>
      <c r="J40" s="71"/>
      <c r="K40" s="71">
        <f t="shared" si="36"/>
        <v>26</v>
      </c>
      <c r="L40" s="71"/>
      <c r="M40" s="7">
        <f t="shared" si="0"/>
        <v>0.46369472743850448</v>
      </c>
      <c r="N40" s="71"/>
      <c r="O40" s="10" t="str">
        <f t="shared" si="16"/>
        <v/>
      </c>
      <c r="P40" s="29" t="str">
        <f t="shared" si="1"/>
        <v/>
      </c>
      <c r="Q40" s="71"/>
      <c r="R40" s="10" t="str">
        <f t="shared" si="17"/>
        <v/>
      </c>
      <c r="S40" s="71"/>
      <c r="T40" s="10" t="str">
        <f t="shared" si="18"/>
        <v/>
      </c>
      <c r="U40" s="71"/>
      <c r="V40" s="10" t="str">
        <f t="shared" si="2"/>
        <v/>
      </c>
      <c r="W40" s="10" t="str">
        <f t="shared" si="19"/>
        <v/>
      </c>
      <c r="X40" s="71"/>
      <c r="Y40" s="10" t="str">
        <f t="shared" si="3"/>
        <v/>
      </c>
      <c r="Z40" s="10" t="str">
        <f t="shared" si="20"/>
        <v/>
      </c>
      <c r="AA40" s="71"/>
      <c r="AB40" s="10" t="str">
        <f t="shared" si="4"/>
        <v/>
      </c>
      <c r="AC40" s="10" t="str">
        <f t="shared" si="21"/>
        <v/>
      </c>
      <c r="AD40" s="71"/>
      <c r="AE40" s="10" t="str">
        <f t="shared" si="5"/>
        <v/>
      </c>
      <c r="AF40" s="10" t="str">
        <f t="shared" si="22"/>
        <v/>
      </c>
      <c r="AG40" s="71"/>
      <c r="AH40" s="10" t="str">
        <f t="shared" si="6"/>
        <v/>
      </c>
      <c r="AI40" s="10" t="str">
        <f t="shared" si="23"/>
        <v/>
      </c>
      <c r="AJ40" s="71"/>
      <c r="AK40" s="10" t="str">
        <f t="shared" si="24"/>
        <v/>
      </c>
      <c r="AL40" s="10" t="str">
        <f t="shared" si="25"/>
        <v/>
      </c>
      <c r="AM40" s="71"/>
      <c r="AN40" s="10" t="str">
        <f t="shared" si="7"/>
        <v/>
      </c>
      <c r="AO40" s="10" t="str">
        <f t="shared" si="26"/>
        <v/>
      </c>
      <c r="AP40" s="71"/>
      <c r="AQ40" s="10" t="str">
        <f t="shared" si="8"/>
        <v/>
      </c>
      <c r="AR40" s="10" t="str">
        <f t="shared" si="37"/>
        <v/>
      </c>
      <c r="AS40" s="71"/>
      <c r="AT40" s="7" t="str">
        <f>IF($K40&lt;=$F$15,IF($F$40&lt;&gt;"",$F$40/1000,IF(ISERROR(VLOOKUP($F$3&amp;IF($G$4&lt;&gt;"",$G$4,"")&amp;IF($F$43&lt;&gt;"","_"&amp;$F$43,""),'表3）燃料価格'!$AF$9:$AG$25,2,0)),0,VLOOKUP($I40,'表3）燃料価格'!$A$6:$U$66,VLOOKUP($F$3&amp;IF($G$4&lt;&gt;"",$G$4,"")&amp;IF($F$43&lt;&gt;"","_"&amp;$F$43,""),'表3）燃料価格'!$AF$9:$AG$25,2,0)+VLOOKUP($F$41,'表3）燃料価格'!$AF$28:$AG$29,2,0),0)*IF($F$43="需要地価格",1,$F$8/$F$141))),"")</f>
        <v/>
      </c>
      <c r="AU40" s="71"/>
      <c r="AV40" s="10" t="str">
        <f t="shared" si="9"/>
        <v/>
      </c>
      <c r="AW40" s="10" t="str">
        <f t="shared" si="10"/>
        <v/>
      </c>
      <c r="AX40" s="71"/>
      <c r="AY40" s="7" t="str">
        <f>IF(ISERROR(IF($K40&lt;=$F$15,VLOOKUP($I40,'表4）CO2価格'!$A$7:$E$67,VLOOKUP($F$48,'表4）CO2価格'!$H$10:$I$12,2,0),0)*$F$8/1000,"")),0,IF($K40&lt;=$F$15,VLOOKUP($I40,'表4）CO2価格'!$A$7:$E$67,VLOOKUP($F$48,'表4）CO2価格'!$H$10:$I$12,2,0),0)*$F$8/1000,""))</f>
        <v/>
      </c>
      <c r="AZ40" s="71"/>
      <c r="BA40" s="11" t="str">
        <f t="shared" si="11"/>
        <v/>
      </c>
      <c r="BB40" s="10" t="str">
        <f t="shared" si="27"/>
        <v/>
      </c>
      <c r="BC40" s="71"/>
      <c r="BD40" s="10" t="str">
        <f t="shared" si="12"/>
        <v/>
      </c>
      <c r="BE40" s="10" t="str">
        <f t="shared" si="28"/>
        <v/>
      </c>
      <c r="BF40" s="71"/>
      <c r="BG40" s="11" t="str">
        <f t="shared" si="13"/>
        <v/>
      </c>
      <c r="BH40" s="10" t="str">
        <f t="shared" si="29"/>
        <v/>
      </c>
      <c r="BJ40" s="7" t="str">
        <f t="shared" si="30"/>
        <v/>
      </c>
      <c r="BK40" s="158" t="str">
        <f t="shared" si="31"/>
        <v/>
      </c>
      <c r="BL40" s="158" t="str">
        <f t="shared" si="14"/>
        <v/>
      </c>
      <c r="BM40" s="10"/>
      <c r="BN40" s="10" t="str">
        <f t="shared" si="32"/>
        <v/>
      </c>
      <c r="BO40" s="10" t="str">
        <f t="shared" si="33"/>
        <v/>
      </c>
      <c r="BQ40" s="10" t="str">
        <f t="shared" si="15"/>
        <v/>
      </c>
      <c r="BR40" s="10" t="str">
        <f t="shared" si="34"/>
        <v/>
      </c>
    </row>
    <row r="41" spans="3:70" x14ac:dyDescent="0.15">
      <c r="D41" s="81" t="s">
        <v>179</v>
      </c>
      <c r="F41" s="88" t="str">
        <f>まとめ!B4</f>
        <v>WEO2020　STEPS</v>
      </c>
      <c r="I41" s="38">
        <f t="shared" si="35"/>
        <v>2056</v>
      </c>
      <c r="J41" s="39"/>
      <c r="K41" s="39">
        <f t="shared" si="36"/>
        <v>27</v>
      </c>
      <c r="L41" s="39"/>
      <c r="M41" s="40">
        <f t="shared" si="0"/>
        <v>0.45018905576553836</v>
      </c>
      <c r="N41" s="39"/>
      <c r="O41" s="72" t="str">
        <f t="shared" si="16"/>
        <v/>
      </c>
      <c r="P41" s="41" t="str">
        <f t="shared" si="1"/>
        <v/>
      </c>
      <c r="Q41" s="39"/>
      <c r="R41" s="72" t="str">
        <f t="shared" si="17"/>
        <v/>
      </c>
      <c r="S41" s="39"/>
      <c r="T41" s="72" t="str">
        <f t="shared" si="18"/>
        <v/>
      </c>
      <c r="U41" s="39"/>
      <c r="V41" s="72" t="str">
        <f t="shared" si="2"/>
        <v/>
      </c>
      <c r="W41" s="72" t="str">
        <f t="shared" si="19"/>
        <v/>
      </c>
      <c r="X41" s="39"/>
      <c r="Y41" s="72" t="str">
        <f t="shared" si="3"/>
        <v/>
      </c>
      <c r="Z41" s="72" t="str">
        <f t="shared" si="20"/>
        <v/>
      </c>
      <c r="AA41" s="39"/>
      <c r="AB41" s="72" t="str">
        <f t="shared" si="4"/>
        <v/>
      </c>
      <c r="AC41" s="72" t="str">
        <f t="shared" si="21"/>
        <v/>
      </c>
      <c r="AD41" s="39"/>
      <c r="AE41" s="72" t="str">
        <f t="shared" si="5"/>
        <v/>
      </c>
      <c r="AF41" s="72" t="str">
        <f t="shared" si="22"/>
        <v/>
      </c>
      <c r="AG41" s="39"/>
      <c r="AH41" s="72" t="str">
        <f t="shared" si="6"/>
        <v/>
      </c>
      <c r="AI41" s="72" t="str">
        <f t="shared" si="23"/>
        <v/>
      </c>
      <c r="AJ41" s="39"/>
      <c r="AK41" s="72" t="str">
        <f t="shared" si="24"/>
        <v/>
      </c>
      <c r="AL41" s="72" t="str">
        <f t="shared" si="25"/>
        <v/>
      </c>
      <c r="AM41" s="39"/>
      <c r="AN41" s="72" t="str">
        <f t="shared" si="7"/>
        <v/>
      </c>
      <c r="AO41" s="72" t="str">
        <f t="shared" si="26"/>
        <v/>
      </c>
      <c r="AP41" s="39"/>
      <c r="AQ41" s="72" t="str">
        <f t="shared" si="8"/>
        <v/>
      </c>
      <c r="AR41" s="72" t="str">
        <f t="shared" si="37"/>
        <v/>
      </c>
      <c r="AS41" s="39"/>
      <c r="AT41" s="40" t="str">
        <f>IF($K41&lt;=$F$15,IF($F$40&lt;&gt;"",$F$40/1000,IF(ISERROR(VLOOKUP($F$3&amp;IF($G$4&lt;&gt;"",$G$4,"")&amp;IF($F$43&lt;&gt;"","_"&amp;$F$43,""),'表3）燃料価格'!$AF$9:$AG$25,2,0)),0,VLOOKUP($I41,'表3）燃料価格'!$A$6:$U$66,VLOOKUP($F$3&amp;IF($G$4&lt;&gt;"",$G$4,"")&amp;IF($F$43&lt;&gt;"","_"&amp;$F$43,""),'表3）燃料価格'!$AF$9:$AG$25,2,0)+VLOOKUP($F$41,'表3）燃料価格'!$AF$28:$AG$29,2,0),0)*IF($F$43="需要地価格",1,$F$8/$F$141))),"")</f>
        <v/>
      </c>
      <c r="AU41" s="39"/>
      <c r="AV41" s="72" t="str">
        <f t="shared" si="9"/>
        <v/>
      </c>
      <c r="AW41" s="72" t="str">
        <f t="shared" si="10"/>
        <v/>
      </c>
      <c r="AX41" s="39"/>
      <c r="AY41" s="40" t="str">
        <f>IF(ISERROR(IF($K41&lt;=$F$15,VLOOKUP($I41,'表4）CO2価格'!$A$7:$E$67,VLOOKUP($F$48,'表4）CO2価格'!$H$10:$I$12,2,0),0)*$F$8/1000,"")),0,IF($K41&lt;=$F$15,VLOOKUP($I41,'表4）CO2価格'!$A$7:$E$67,VLOOKUP($F$48,'表4）CO2価格'!$H$10:$I$12,2,0),0)*$F$8/1000,""))</f>
        <v/>
      </c>
      <c r="AZ41" s="39"/>
      <c r="BA41" s="42" t="str">
        <f t="shared" si="11"/>
        <v/>
      </c>
      <c r="BB41" s="72" t="str">
        <f t="shared" si="27"/>
        <v/>
      </c>
      <c r="BC41" s="39"/>
      <c r="BD41" s="72" t="str">
        <f t="shared" si="12"/>
        <v/>
      </c>
      <c r="BE41" s="72" t="str">
        <f t="shared" si="28"/>
        <v/>
      </c>
      <c r="BF41" s="39"/>
      <c r="BG41" s="42" t="str">
        <f t="shared" si="13"/>
        <v/>
      </c>
      <c r="BH41" s="72" t="str">
        <f t="shared" si="29"/>
        <v/>
      </c>
      <c r="BI41" s="39"/>
      <c r="BJ41" s="40" t="str">
        <f t="shared" si="30"/>
        <v/>
      </c>
      <c r="BK41" s="157" t="str">
        <f t="shared" si="31"/>
        <v/>
      </c>
      <c r="BL41" s="157" t="str">
        <f t="shared" si="14"/>
        <v/>
      </c>
      <c r="BM41" s="72"/>
      <c r="BN41" s="72" t="str">
        <f t="shared" si="32"/>
        <v/>
      </c>
      <c r="BO41" s="72" t="str">
        <f t="shared" si="33"/>
        <v/>
      </c>
      <c r="BP41" s="39"/>
      <c r="BQ41" s="72" t="str">
        <f t="shared" si="15"/>
        <v/>
      </c>
      <c r="BR41" s="72" t="str">
        <f t="shared" si="34"/>
        <v/>
      </c>
    </row>
    <row r="42" spans="3:70" x14ac:dyDescent="0.15">
      <c r="D42" s="81" t="s">
        <v>180</v>
      </c>
      <c r="F42" s="59">
        <f>IF($F$43="需要地価格",0,2800)</f>
        <v>2800</v>
      </c>
      <c r="G42" s="81" t="s">
        <v>181</v>
      </c>
      <c r="I42" s="322">
        <f t="shared" si="35"/>
        <v>2057</v>
      </c>
      <c r="J42" s="71"/>
      <c r="K42" s="71">
        <f t="shared" si="36"/>
        <v>28</v>
      </c>
      <c r="L42" s="71"/>
      <c r="M42" s="7">
        <f t="shared" si="0"/>
        <v>0.4370767531704256</v>
      </c>
      <c r="N42" s="71"/>
      <c r="O42" s="10" t="str">
        <f t="shared" si="16"/>
        <v/>
      </c>
      <c r="P42" s="29" t="str">
        <f t="shared" si="1"/>
        <v/>
      </c>
      <c r="Q42" s="71"/>
      <c r="R42" s="10" t="str">
        <f t="shared" si="17"/>
        <v/>
      </c>
      <c r="S42" s="71"/>
      <c r="T42" s="10" t="str">
        <f t="shared" si="18"/>
        <v/>
      </c>
      <c r="U42" s="71"/>
      <c r="V42" s="10" t="str">
        <f t="shared" si="2"/>
        <v/>
      </c>
      <c r="W42" s="10" t="str">
        <f t="shared" si="19"/>
        <v/>
      </c>
      <c r="X42" s="71"/>
      <c r="Y42" s="10" t="str">
        <f t="shared" si="3"/>
        <v/>
      </c>
      <c r="Z42" s="10" t="str">
        <f t="shared" si="20"/>
        <v/>
      </c>
      <c r="AA42" s="71"/>
      <c r="AB42" s="10" t="str">
        <f t="shared" si="4"/>
        <v/>
      </c>
      <c r="AC42" s="10" t="str">
        <f t="shared" si="21"/>
        <v/>
      </c>
      <c r="AD42" s="71"/>
      <c r="AE42" s="10" t="str">
        <f t="shared" si="5"/>
        <v/>
      </c>
      <c r="AF42" s="10" t="str">
        <f t="shared" si="22"/>
        <v/>
      </c>
      <c r="AG42" s="71"/>
      <c r="AH42" s="10" t="str">
        <f t="shared" si="6"/>
        <v/>
      </c>
      <c r="AI42" s="10" t="str">
        <f t="shared" si="23"/>
        <v/>
      </c>
      <c r="AJ42" s="71"/>
      <c r="AK42" s="10" t="str">
        <f t="shared" si="24"/>
        <v/>
      </c>
      <c r="AL42" s="10" t="str">
        <f t="shared" si="25"/>
        <v/>
      </c>
      <c r="AM42" s="71"/>
      <c r="AN42" s="10" t="str">
        <f t="shared" si="7"/>
        <v/>
      </c>
      <c r="AO42" s="10" t="str">
        <f t="shared" si="26"/>
        <v/>
      </c>
      <c r="AP42" s="71"/>
      <c r="AQ42" s="10" t="str">
        <f t="shared" si="8"/>
        <v/>
      </c>
      <c r="AR42" s="10" t="str">
        <f t="shared" si="37"/>
        <v/>
      </c>
      <c r="AS42" s="71"/>
      <c r="AT42" s="7" t="str">
        <f>IF($K42&lt;=$F$15,IF($F$40&lt;&gt;"",$F$40/1000,IF(ISERROR(VLOOKUP($F$3&amp;IF($G$4&lt;&gt;"",$G$4,"")&amp;IF($F$43&lt;&gt;"","_"&amp;$F$43,""),'表3）燃料価格'!$AF$9:$AG$25,2,0)),0,VLOOKUP($I42,'表3）燃料価格'!$A$6:$U$66,VLOOKUP($F$3&amp;IF($G$4&lt;&gt;"",$G$4,"")&amp;IF($F$43&lt;&gt;"","_"&amp;$F$43,""),'表3）燃料価格'!$AF$9:$AG$25,2,0)+VLOOKUP($F$41,'表3）燃料価格'!$AF$28:$AG$29,2,0),0)*IF($F$43="需要地価格",1,$F$8/$F$141))),"")</f>
        <v/>
      </c>
      <c r="AU42" s="71"/>
      <c r="AV42" s="10" t="str">
        <f t="shared" si="9"/>
        <v/>
      </c>
      <c r="AW42" s="10" t="str">
        <f t="shared" si="10"/>
        <v/>
      </c>
      <c r="AX42" s="71"/>
      <c r="AY42" s="7" t="str">
        <f>IF(ISERROR(IF($K42&lt;=$F$15,VLOOKUP($I42,'表4）CO2価格'!$A$7:$E$67,VLOOKUP($F$48,'表4）CO2価格'!$H$10:$I$12,2,0),0)*$F$8/1000,"")),0,IF($K42&lt;=$F$15,VLOOKUP($I42,'表4）CO2価格'!$A$7:$E$67,VLOOKUP($F$48,'表4）CO2価格'!$H$10:$I$12,2,0),0)*$F$8/1000,""))</f>
        <v/>
      </c>
      <c r="AZ42" s="71"/>
      <c r="BA42" s="11" t="str">
        <f t="shared" si="11"/>
        <v/>
      </c>
      <c r="BB42" s="10" t="str">
        <f t="shared" si="27"/>
        <v/>
      </c>
      <c r="BC42" s="71"/>
      <c r="BD42" s="10" t="str">
        <f t="shared" si="12"/>
        <v/>
      </c>
      <c r="BE42" s="10" t="str">
        <f t="shared" si="28"/>
        <v/>
      </c>
      <c r="BF42" s="71"/>
      <c r="BG42" s="11" t="str">
        <f t="shared" si="13"/>
        <v/>
      </c>
      <c r="BH42" s="10" t="str">
        <f t="shared" si="29"/>
        <v/>
      </c>
      <c r="BJ42" s="7" t="str">
        <f t="shared" si="30"/>
        <v/>
      </c>
      <c r="BK42" s="158" t="str">
        <f t="shared" si="31"/>
        <v/>
      </c>
      <c r="BL42" s="158" t="str">
        <f t="shared" si="14"/>
        <v/>
      </c>
      <c r="BM42" s="10"/>
      <c r="BN42" s="10" t="str">
        <f t="shared" si="32"/>
        <v/>
      </c>
      <c r="BO42" s="10" t="str">
        <f t="shared" si="33"/>
        <v/>
      </c>
      <c r="BQ42" s="10" t="str">
        <f t="shared" si="15"/>
        <v/>
      </c>
      <c r="BR42" s="10" t="str">
        <f t="shared" si="34"/>
        <v/>
      </c>
    </row>
    <row r="43" spans="3:70" x14ac:dyDescent="0.15">
      <c r="D43" s="82" t="s">
        <v>126</v>
      </c>
      <c r="F43" s="88" t="str">
        <f>まとめ!B8</f>
        <v>CIF価格</v>
      </c>
      <c r="I43" s="38">
        <f t="shared" si="35"/>
        <v>2058</v>
      </c>
      <c r="J43" s="39"/>
      <c r="K43" s="39">
        <f t="shared" si="36"/>
        <v>29</v>
      </c>
      <c r="L43" s="39"/>
      <c r="M43" s="40">
        <f t="shared" si="0"/>
        <v>0.42434636230138412</v>
      </c>
      <c r="N43" s="39"/>
      <c r="O43" s="72" t="str">
        <f t="shared" si="16"/>
        <v/>
      </c>
      <c r="P43" s="41" t="str">
        <f t="shared" si="1"/>
        <v/>
      </c>
      <c r="Q43" s="39"/>
      <c r="R43" s="72" t="str">
        <f t="shared" si="17"/>
        <v/>
      </c>
      <c r="S43" s="39"/>
      <c r="T43" s="72" t="str">
        <f t="shared" si="18"/>
        <v/>
      </c>
      <c r="U43" s="39"/>
      <c r="V43" s="72" t="str">
        <f t="shared" si="2"/>
        <v/>
      </c>
      <c r="W43" s="72" t="str">
        <f t="shared" si="19"/>
        <v/>
      </c>
      <c r="X43" s="39"/>
      <c r="Y43" s="72" t="str">
        <f t="shared" si="3"/>
        <v/>
      </c>
      <c r="Z43" s="72" t="str">
        <f t="shared" si="20"/>
        <v/>
      </c>
      <c r="AA43" s="39"/>
      <c r="AB43" s="72" t="str">
        <f t="shared" si="4"/>
        <v/>
      </c>
      <c r="AC43" s="72" t="str">
        <f t="shared" si="21"/>
        <v/>
      </c>
      <c r="AD43" s="39"/>
      <c r="AE43" s="72" t="str">
        <f t="shared" si="5"/>
        <v/>
      </c>
      <c r="AF43" s="72" t="str">
        <f t="shared" si="22"/>
        <v/>
      </c>
      <c r="AG43" s="39"/>
      <c r="AH43" s="72" t="str">
        <f t="shared" si="6"/>
        <v/>
      </c>
      <c r="AI43" s="72" t="str">
        <f t="shared" si="23"/>
        <v/>
      </c>
      <c r="AJ43" s="39"/>
      <c r="AK43" s="72" t="str">
        <f t="shared" si="24"/>
        <v/>
      </c>
      <c r="AL43" s="72" t="str">
        <f t="shared" si="25"/>
        <v/>
      </c>
      <c r="AM43" s="39"/>
      <c r="AN43" s="72" t="str">
        <f t="shared" si="7"/>
        <v/>
      </c>
      <c r="AO43" s="72" t="str">
        <f t="shared" si="26"/>
        <v/>
      </c>
      <c r="AP43" s="39"/>
      <c r="AQ43" s="72" t="str">
        <f t="shared" si="8"/>
        <v/>
      </c>
      <c r="AR43" s="72" t="str">
        <f t="shared" si="37"/>
        <v/>
      </c>
      <c r="AS43" s="39"/>
      <c r="AT43" s="40" t="str">
        <f>IF($K43&lt;=$F$15,IF($F$40&lt;&gt;"",$F$40/1000,IF(ISERROR(VLOOKUP($F$3&amp;IF($G$4&lt;&gt;"",$G$4,"")&amp;IF($F$43&lt;&gt;"","_"&amp;$F$43,""),'表3）燃料価格'!$AF$9:$AG$25,2,0)),0,VLOOKUP($I43,'表3）燃料価格'!$A$6:$U$66,VLOOKUP($F$3&amp;IF($G$4&lt;&gt;"",$G$4,"")&amp;IF($F$43&lt;&gt;"","_"&amp;$F$43,""),'表3）燃料価格'!$AF$9:$AG$25,2,0)+VLOOKUP($F$41,'表3）燃料価格'!$AF$28:$AG$29,2,0),0)*IF($F$43="需要地価格",1,$F$8/$F$141))),"")</f>
        <v/>
      </c>
      <c r="AU43" s="39"/>
      <c r="AV43" s="72" t="str">
        <f t="shared" si="9"/>
        <v/>
      </c>
      <c r="AW43" s="72" t="str">
        <f t="shared" si="10"/>
        <v/>
      </c>
      <c r="AX43" s="39"/>
      <c r="AY43" s="40" t="str">
        <f>IF(ISERROR(IF($K43&lt;=$F$15,VLOOKUP($I43,'表4）CO2価格'!$A$7:$E$67,VLOOKUP($F$48,'表4）CO2価格'!$H$10:$I$12,2,0),0)*$F$8/1000,"")),0,IF($K43&lt;=$F$15,VLOOKUP($I43,'表4）CO2価格'!$A$7:$E$67,VLOOKUP($F$48,'表4）CO2価格'!$H$10:$I$12,2,0),0)*$F$8/1000,""))</f>
        <v/>
      </c>
      <c r="AZ43" s="39"/>
      <c r="BA43" s="42" t="str">
        <f t="shared" si="11"/>
        <v/>
      </c>
      <c r="BB43" s="72" t="str">
        <f t="shared" si="27"/>
        <v/>
      </c>
      <c r="BC43" s="39"/>
      <c r="BD43" s="72" t="str">
        <f t="shared" si="12"/>
        <v/>
      </c>
      <c r="BE43" s="72" t="str">
        <f t="shared" si="28"/>
        <v/>
      </c>
      <c r="BF43" s="39"/>
      <c r="BG43" s="42" t="str">
        <f t="shared" si="13"/>
        <v/>
      </c>
      <c r="BH43" s="72" t="str">
        <f t="shared" si="29"/>
        <v/>
      </c>
      <c r="BI43" s="39"/>
      <c r="BJ43" s="40" t="str">
        <f t="shared" si="30"/>
        <v/>
      </c>
      <c r="BK43" s="157" t="str">
        <f t="shared" si="31"/>
        <v/>
      </c>
      <c r="BL43" s="157" t="str">
        <f t="shared" si="14"/>
        <v/>
      </c>
      <c r="BM43" s="72"/>
      <c r="BN43" s="72" t="str">
        <f t="shared" si="32"/>
        <v/>
      </c>
      <c r="BO43" s="72" t="str">
        <f t="shared" si="33"/>
        <v/>
      </c>
      <c r="BP43" s="39"/>
      <c r="BQ43" s="72" t="str">
        <f t="shared" si="15"/>
        <v/>
      </c>
      <c r="BR43" s="72" t="str">
        <f t="shared" si="34"/>
        <v/>
      </c>
    </row>
    <row r="44" spans="3:70" x14ac:dyDescent="0.15">
      <c r="I44" s="322">
        <f t="shared" si="35"/>
        <v>2059</v>
      </c>
      <c r="J44" s="71"/>
      <c r="K44" s="71">
        <f t="shared" si="36"/>
        <v>30</v>
      </c>
      <c r="L44" s="71"/>
      <c r="M44" s="7">
        <f t="shared" si="0"/>
        <v>0.41198675951590691</v>
      </c>
      <c r="N44" s="71"/>
      <c r="O44" s="10" t="str">
        <f t="shared" si="16"/>
        <v/>
      </c>
      <c r="P44" s="29" t="str">
        <f t="shared" si="1"/>
        <v/>
      </c>
      <c r="Q44" s="71"/>
      <c r="R44" s="10" t="str">
        <f t="shared" si="17"/>
        <v/>
      </c>
      <c r="S44" s="71"/>
      <c r="T44" s="10" t="str">
        <f t="shared" si="18"/>
        <v/>
      </c>
      <c r="U44" s="71"/>
      <c r="V44" s="10" t="str">
        <f t="shared" si="2"/>
        <v/>
      </c>
      <c r="W44" s="10" t="str">
        <f t="shared" si="19"/>
        <v/>
      </c>
      <c r="X44" s="71"/>
      <c r="Y44" s="10" t="str">
        <f t="shared" si="3"/>
        <v/>
      </c>
      <c r="Z44" s="10" t="str">
        <f t="shared" si="20"/>
        <v/>
      </c>
      <c r="AA44" s="71"/>
      <c r="AB44" s="10" t="str">
        <f t="shared" si="4"/>
        <v/>
      </c>
      <c r="AC44" s="10" t="str">
        <f t="shared" si="21"/>
        <v/>
      </c>
      <c r="AD44" s="71"/>
      <c r="AE44" s="10" t="str">
        <f t="shared" si="5"/>
        <v/>
      </c>
      <c r="AF44" s="10" t="str">
        <f t="shared" si="22"/>
        <v/>
      </c>
      <c r="AG44" s="71"/>
      <c r="AH44" s="10" t="str">
        <f t="shared" si="6"/>
        <v/>
      </c>
      <c r="AI44" s="10" t="str">
        <f t="shared" si="23"/>
        <v/>
      </c>
      <c r="AJ44" s="71"/>
      <c r="AK44" s="10" t="str">
        <f t="shared" si="24"/>
        <v/>
      </c>
      <c r="AL44" s="10" t="str">
        <f t="shared" si="25"/>
        <v/>
      </c>
      <c r="AM44" s="71"/>
      <c r="AN44" s="10" t="str">
        <f t="shared" si="7"/>
        <v/>
      </c>
      <c r="AO44" s="10" t="str">
        <f t="shared" si="26"/>
        <v/>
      </c>
      <c r="AP44" s="71"/>
      <c r="AQ44" s="10" t="str">
        <f t="shared" si="8"/>
        <v/>
      </c>
      <c r="AR44" s="10" t="str">
        <f t="shared" si="37"/>
        <v/>
      </c>
      <c r="AS44" s="71"/>
      <c r="AT44" s="7" t="str">
        <f>IF($K44&lt;=$F$15,IF($F$40&lt;&gt;"",$F$40/1000,IF(ISERROR(VLOOKUP($F$3&amp;IF($G$4&lt;&gt;"",$G$4,"")&amp;IF($F$43&lt;&gt;"","_"&amp;$F$43,""),'表3）燃料価格'!$AF$9:$AG$25,2,0)),0,VLOOKUP($I44,'表3）燃料価格'!$A$6:$U$66,VLOOKUP($F$3&amp;IF($G$4&lt;&gt;"",$G$4,"")&amp;IF($F$43&lt;&gt;"","_"&amp;$F$43,""),'表3）燃料価格'!$AF$9:$AG$25,2,0)+VLOOKUP($F$41,'表3）燃料価格'!$AF$28:$AG$29,2,0),0)*IF($F$43="需要地価格",1,$F$8/$F$141))),"")</f>
        <v/>
      </c>
      <c r="AU44" s="71"/>
      <c r="AV44" s="10" t="str">
        <f t="shared" si="9"/>
        <v/>
      </c>
      <c r="AW44" s="10" t="str">
        <f t="shared" si="10"/>
        <v/>
      </c>
      <c r="AX44" s="71"/>
      <c r="AY44" s="7" t="str">
        <f>IF(ISERROR(IF($K44&lt;=$F$15,VLOOKUP($I44,'表4）CO2価格'!$A$7:$E$67,VLOOKUP($F$48,'表4）CO2価格'!$H$10:$I$12,2,0),0)*$F$8/1000,"")),0,IF($K44&lt;=$F$15,VLOOKUP($I44,'表4）CO2価格'!$A$7:$E$67,VLOOKUP($F$48,'表4）CO2価格'!$H$10:$I$12,2,0),0)*$F$8/1000,""))</f>
        <v/>
      </c>
      <c r="AZ44" s="71"/>
      <c r="BA44" s="11" t="str">
        <f t="shared" si="11"/>
        <v/>
      </c>
      <c r="BB44" s="10" t="str">
        <f t="shared" si="27"/>
        <v/>
      </c>
      <c r="BC44" s="71"/>
      <c r="BD44" s="10" t="str">
        <f t="shared" si="12"/>
        <v/>
      </c>
      <c r="BE44" s="10" t="str">
        <f t="shared" si="28"/>
        <v/>
      </c>
      <c r="BF44" s="71"/>
      <c r="BG44" s="11" t="str">
        <f t="shared" si="13"/>
        <v/>
      </c>
      <c r="BH44" s="10" t="str">
        <f t="shared" si="29"/>
        <v/>
      </c>
      <c r="BJ44" s="7" t="str">
        <f t="shared" si="30"/>
        <v/>
      </c>
      <c r="BK44" s="158" t="str">
        <f t="shared" si="31"/>
        <v/>
      </c>
      <c r="BL44" s="158" t="str">
        <f t="shared" si="14"/>
        <v/>
      </c>
      <c r="BM44" s="10"/>
      <c r="BN44" s="10" t="str">
        <f t="shared" si="32"/>
        <v/>
      </c>
      <c r="BO44" s="10" t="str">
        <f t="shared" si="33"/>
        <v/>
      </c>
      <c r="BQ44" s="10" t="str">
        <f t="shared" si="15"/>
        <v/>
      </c>
      <c r="BR44" s="10" t="str">
        <f t="shared" si="34"/>
        <v/>
      </c>
    </row>
    <row r="45" spans="3:70" x14ac:dyDescent="0.15">
      <c r="C45" s="89" t="s">
        <v>509</v>
      </c>
      <c r="D45" s="101"/>
      <c r="E45" s="101"/>
      <c r="F45" s="89"/>
      <c r="G45" s="101"/>
      <c r="I45" s="38">
        <f t="shared" si="35"/>
        <v>2060</v>
      </c>
      <c r="J45" s="39"/>
      <c r="K45" s="39">
        <f t="shared" si="36"/>
        <v>31</v>
      </c>
      <c r="L45" s="39"/>
      <c r="M45" s="40">
        <f t="shared" si="0"/>
        <v>0.39998714516107459</v>
      </c>
      <c r="N45" s="39"/>
      <c r="O45" s="72" t="str">
        <f t="shared" si="16"/>
        <v/>
      </c>
      <c r="P45" s="41" t="str">
        <f t="shared" si="1"/>
        <v/>
      </c>
      <c r="Q45" s="39"/>
      <c r="R45" s="72" t="str">
        <f t="shared" si="17"/>
        <v/>
      </c>
      <c r="S45" s="39"/>
      <c r="T45" s="72" t="str">
        <f t="shared" si="18"/>
        <v/>
      </c>
      <c r="U45" s="39"/>
      <c r="V45" s="72" t="str">
        <f t="shared" si="2"/>
        <v/>
      </c>
      <c r="W45" s="72" t="str">
        <f t="shared" si="19"/>
        <v/>
      </c>
      <c r="X45" s="39"/>
      <c r="Y45" s="72" t="str">
        <f t="shared" si="3"/>
        <v/>
      </c>
      <c r="Z45" s="72" t="str">
        <f t="shared" si="20"/>
        <v/>
      </c>
      <c r="AA45" s="39"/>
      <c r="AB45" s="72" t="str">
        <f t="shared" si="4"/>
        <v/>
      </c>
      <c r="AC45" s="72" t="str">
        <f t="shared" si="21"/>
        <v/>
      </c>
      <c r="AD45" s="39"/>
      <c r="AE45" s="72" t="str">
        <f t="shared" si="5"/>
        <v/>
      </c>
      <c r="AF45" s="72" t="str">
        <f t="shared" si="22"/>
        <v/>
      </c>
      <c r="AG45" s="39"/>
      <c r="AH45" s="72" t="str">
        <f t="shared" si="6"/>
        <v/>
      </c>
      <c r="AI45" s="72" t="str">
        <f t="shared" si="23"/>
        <v/>
      </c>
      <c r="AJ45" s="39"/>
      <c r="AK45" s="72" t="str">
        <f t="shared" si="24"/>
        <v/>
      </c>
      <c r="AL45" s="72" t="str">
        <f t="shared" si="25"/>
        <v/>
      </c>
      <c r="AM45" s="39"/>
      <c r="AN45" s="72" t="str">
        <f t="shared" si="7"/>
        <v/>
      </c>
      <c r="AO45" s="72" t="str">
        <f t="shared" si="26"/>
        <v/>
      </c>
      <c r="AP45" s="39"/>
      <c r="AQ45" s="72" t="str">
        <f t="shared" si="8"/>
        <v/>
      </c>
      <c r="AR45" s="72" t="str">
        <f t="shared" si="37"/>
        <v/>
      </c>
      <c r="AS45" s="39"/>
      <c r="AT45" s="40" t="str">
        <f>IF($K45&lt;=$F$15,IF($F$40&lt;&gt;"",$F$40/1000,IF(ISERROR(VLOOKUP($F$3&amp;IF($G$4&lt;&gt;"",$G$4,"")&amp;IF($F$43&lt;&gt;"","_"&amp;$F$43,""),'表3）燃料価格'!$AF$9:$AG$25,2,0)),0,VLOOKUP($I45,'表3）燃料価格'!$A$6:$U$66,VLOOKUP($F$3&amp;IF($G$4&lt;&gt;"",$G$4,"")&amp;IF($F$43&lt;&gt;"","_"&amp;$F$43,""),'表3）燃料価格'!$AF$9:$AG$25,2,0)+VLOOKUP($F$41,'表3）燃料価格'!$AF$28:$AG$29,2,0),0)*IF($F$43="需要地価格",1,$F$8/$F$141))),"")</f>
        <v/>
      </c>
      <c r="AU45" s="39"/>
      <c r="AV45" s="72" t="str">
        <f t="shared" si="9"/>
        <v/>
      </c>
      <c r="AW45" s="72" t="str">
        <f t="shared" si="10"/>
        <v/>
      </c>
      <c r="AX45" s="39"/>
      <c r="AY45" s="40" t="str">
        <f>IF(ISERROR(IF($K45&lt;=$F$15,VLOOKUP($I45,'表4）CO2価格'!$A$7:$E$67,VLOOKUP($F$48,'表4）CO2価格'!$H$10:$I$12,2,0),0)*$F$8/1000,"")),0,IF($K45&lt;=$F$15,VLOOKUP($I45,'表4）CO2価格'!$A$7:$E$67,VLOOKUP($F$48,'表4）CO2価格'!$H$10:$I$12,2,0),0)*$F$8/1000,""))</f>
        <v/>
      </c>
      <c r="AZ45" s="39"/>
      <c r="BA45" s="42" t="str">
        <f t="shared" si="11"/>
        <v/>
      </c>
      <c r="BB45" s="72" t="str">
        <f t="shared" si="27"/>
        <v/>
      </c>
      <c r="BC45" s="39"/>
      <c r="BD45" s="72" t="str">
        <f t="shared" si="12"/>
        <v/>
      </c>
      <c r="BE45" s="72" t="str">
        <f t="shared" si="28"/>
        <v/>
      </c>
      <c r="BF45" s="39"/>
      <c r="BG45" s="42" t="str">
        <f t="shared" si="13"/>
        <v/>
      </c>
      <c r="BH45" s="72" t="str">
        <f t="shared" si="29"/>
        <v/>
      </c>
      <c r="BI45" s="39"/>
      <c r="BJ45" s="40" t="str">
        <f t="shared" si="30"/>
        <v/>
      </c>
      <c r="BK45" s="157" t="str">
        <f t="shared" si="31"/>
        <v/>
      </c>
      <c r="BL45" s="157" t="str">
        <f t="shared" si="14"/>
        <v/>
      </c>
      <c r="BM45" s="72"/>
      <c r="BN45" s="72" t="str">
        <f t="shared" si="32"/>
        <v/>
      </c>
      <c r="BO45" s="72" t="str">
        <f t="shared" si="33"/>
        <v/>
      </c>
      <c r="BP45" s="39"/>
      <c r="BQ45" s="72" t="str">
        <f t="shared" si="15"/>
        <v/>
      </c>
      <c r="BR45" s="72" t="str">
        <f t="shared" si="34"/>
        <v/>
      </c>
    </row>
    <row r="46" spans="3:70" x14ac:dyDescent="0.15">
      <c r="I46" s="322">
        <f t="shared" si="35"/>
        <v>2061</v>
      </c>
      <c r="J46" s="71"/>
      <c r="K46" s="71">
        <f t="shared" si="36"/>
        <v>32</v>
      </c>
      <c r="L46" s="71"/>
      <c r="M46" s="7">
        <f t="shared" si="0"/>
        <v>0.38833703413696569</v>
      </c>
      <c r="N46" s="71"/>
      <c r="O46" s="10" t="str">
        <f t="shared" si="16"/>
        <v/>
      </c>
      <c r="P46" s="29" t="str">
        <f t="shared" si="1"/>
        <v/>
      </c>
      <c r="Q46" s="71"/>
      <c r="R46" s="10" t="str">
        <f t="shared" si="17"/>
        <v/>
      </c>
      <c r="S46" s="71"/>
      <c r="T46" s="10" t="str">
        <f t="shared" si="18"/>
        <v/>
      </c>
      <c r="U46" s="71"/>
      <c r="V46" s="10" t="str">
        <f t="shared" si="2"/>
        <v/>
      </c>
      <c r="W46" s="10" t="str">
        <f t="shared" si="19"/>
        <v/>
      </c>
      <c r="X46" s="71"/>
      <c r="Y46" s="10" t="str">
        <f t="shared" si="3"/>
        <v/>
      </c>
      <c r="Z46" s="10" t="str">
        <f t="shared" si="20"/>
        <v/>
      </c>
      <c r="AA46" s="71"/>
      <c r="AB46" s="10" t="str">
        <f t="shared" si="4"/>
        <v/>
      </c>
      <c r="AC46" s="10" t="str">
        <f t="shared" si="21"/>
        <v/>
      </c>
      <c r="AD46" s="71"/>
      <c r="AE46" s="10" t="str">
        <f t="shared" si="5"/>
        <v/>
      </c>
      <c r="AF46" s="10" t="str">
        <f t="shared" si="22"/>
        <v/>
      </c>
      <c r="AG46" s="71"/>
      <c r="AH46" s="10" t="str">
        <f t="shared" si="6"/>
        <v/>
      </c>
      <c r="AI46" s="10" t="str">
        <f t="shared" si="23"/>
        <v/>
      </c>
      <c r="AJ46" s="71"/>
      <c r="AK46" s="10" t="str">
        <f t="shared" si="24"/>
        <v/>
      </c>
      <c r="AL46" s="10" t="str">
        <f t="shared" si="25"/>
        <v/>
      </c>
      <c r="AM46" s="71"/>
      <c r="AN46" s="10" t="str">
        <f t="shared" si="7"/>
        <v/>
      </c>
      <c r="AO46" s="10" t="str">
        <f t="shared" si="26"/>
        <v/>
      </c>
      <c r="AP46" s="71"/>
      <c r="AQ46" s="10" t="str">
        <f t="shared" si="8"/>
        <v/>
      </c>
      <c r="AR46" s="10" t="str">
        <f t="shared" si="37"/>
        <v/>
      </c>
      <c r="AS46" s="71"/>
      <c r="AT46" s="7" t="str">
        <f>IF($K46&lt;=$F$15,IF($F$40&lt;&gt;"",$F$40/1000,IF(ISERROR(VLOOKUP($F$3&amp;IF($G$4&lt;&gt;"",$G$4,"")&amp;IF($F$43&lt;&gt;"","_"&amp;$F$43,""),'表3）燃料価格'!$AF$9:$AG$25,2,0)),0,VLOOKUP($I46,'表3）燃料価格'!$A$6:$U$66,VLOOKUP($F$3&amp;IF($G$4&lt;&gt;"",$G$4,"")&amp;IF($F$43&lt;&gt;"","_"&amp;$F$43,""),'表3）燃料価格'!$AF$9:$AG$25,2,0)+VLOOKUP($F$41,'表3）燃料価格'!$AF$28:$AG$29,2,0),0)*IF($F$43="需要地価格",1,$F$8/$F$141))),"")</f>
        <v/>
      </c>
      <c r="AU46" s="71"/>
      <c r="AV46" s="10" t="str">
        <f t="shared" si="9"/>
        <v/>
      </c>
      <c r="AW46" s="10" t="str">
        <f t="shared" si="10"/>
        <v/>
      </c>
      <c r="AX46" s="71"/>
      <c r="AY46" s="7" t="str">
        <f>IF(ISERROR(IF($K46&lt;=$F$15,VLOOKUP($I46,'表4）CO2価格'!$A$7:$E$67,VLOOKUP($F$48,'表4）CO2価格'!$H$10:$I$12,2,0),0)*$F$8/1000,"")),0,IF($K46&lt;=$F$15,VLOOKUP($I46,'表4）CO2価格'!$A$7:$E$67,VLOOKUP($F$48,'表4）CO2価格'!$H$10:$I$12,2,0),0)*$F$8/1000,""))</f>
        <v/>
      </c>
      <c r="AZ46" s="71"/>
      <c r="BA46" s="11" t="str">
        <f t="shared" si="11"/>
        <v/>
      </c>
      <c r="BB46" s="10" t="str">
        <f t="shared" si="27"/>
        <v/>
      </c>
      <c r="BC46" s="71"/>
      <c r="BD46" s="10" t="str">
        <f t="shared" si="12"/>
        <v/>
      </c>
      <c r="BE46" s="10" t="str">
        <f t="shared" si="28"/>
        <v/>
      </c>
      <c r="BF46" s="71"/>
      <c r="BG46" s="11" t="str">
        <f t="shared" si="13"/>
        <v/>
      </c>
      <c r="BH46" s="10" t="str">
        <f t="shared" si="29"/>
        <v/>
      </c>
      <c r="BJ46" s="7" t="str">
        <f t="shared" si="30"/>
        <v/>
      </c>
      <c r="BK46" s="158" t="str">
        <f t="shared" si="31"/>
        <v/>
      </c>
      <c r="BL46" s="158" t="str">
        <f t="shared" si="14"/>
        <v/>
      </c>
      <c r="BM46" s="10"/>
      <c r="BN46" s="10" t="str">
        <f t="shared" si="32"/>
        <v/>
      </c>
      <c r="BO46" s="10" t="str">
        <f t="shared" si="33"/>
        <v/>
      </c>
      <c r="BQ46" s="10" t="str">
        <f t="shared" si="15"/>
        <v/>
      </c>
      <c r="BR46" s="10" t="str">
        <f t="shared" si="34"/>
        <v/>
      </c>
    </row>
    <row r="47" spans="3:70" x14ac:dyDescent="0.15">
      <c r="D47" s="81" t="s">
        <v>182</v>
      </c>
      <c r="F47" s="109">
        <v>13.87</v>
      </c>
      <c r="G47" s="81" t="s">
        <v>226</v>
      </c>
      <c r="I47" s="38">
        <f t="shared" si="35"/>
        <v>2062</v>
      </c>
      <c r="J47" s="39"/>
      <c r="K47" s="39">
        <f t="shared" si="36"/>
        <v>33</v>
      </c>
      <c r="L47" s="39"/>
      <c r="M47" s="40">
        <f t="shared" si="0"/>
        <v>0.37702624673491814</v>
      </c>
      <c r="N47" s="39"/>
      <c r="O47" s="72" t="str">
        <f t="shared" si="16"/>
        <v/>
      </c>
      <c r="P47" s="41" t="str">
        <f t="shared" ref="P47:P78" si="38">IF(K47&lt;=$F$15,IF(OR(P46=$F$124,P46="-"),"-",IF(O47*$F$123&gt;$F$127,$F$123,$F$124)),"")</f>
        <v/>
      </c>
      <c r="Q47" s="39"/>
      <c r="R47" s="72" t="str">
        <f t="shared" si="17"/>
        <v/>
      </c>
      <c r="S47" s="39"/>
      <c r="T47" s="72" t="str">
        <f t="shared" si="18"/>
        <v/>
      </c>
      <c r="U47" s="39"/>
      <c r="V47" s="72" t="str">
        <f t="shared" ref="V47:V78" si="39">IF(K47&lt;=$F$15,IF(K47&lt;$F$119,IF(P47="-",V46,O47*P47),IF(K47=$F$119,MIN(IF(P47="-",V46,O47*P47),O47),0)),"")</f>
        <v/>
      </c>
      <c r="W47" s="72" t="str">
        <f t="shared" si="19"/>
        <v/>
      </c>
      <c r="X47" s="39"/>
      <c r="Y47" s="72" t="str">
        <f t="shared" ref="Y47:Y78" si="40">IF($K47&lt;=$F$15,ROUNDDOWN(T47*$F$25/100,-2),"")</f>
        <v/>
      </c>
      <c r="Z47" s="72" t="str">
        <f t="shared" si="20"/>
        <v/>
      </c>
      <c r="AA47" s="39"/>
      <c r="AB47" s="72" t="str">
        <f t="shared" si="4"/>
        <v/>
      </c>
      <c r="AC47" s="72" t="str">
        <f t="shared" si="21"/>
        <v/>
      </c>
      <c r="AD47" s="39"/>
      <c r="AE47" s="72" t="str">
        <f t="shared" ref="AE47:AE78" si="41">IF($K47&lt;=$F$15,$F$26,"")</f>
        <v/>
      </c>
      <c r="AF47" s="72" t="str">
        <f t="shared" si="22"/>
        <v/>
      </c>
      <c r="AG47" s="39"/>
      <c r="AH47" s="72" t="str">
        <f t="shared" ref="AH47:AH78" si="42">IF($K47&lt;=$F$15,$F$33*10^8,"")</f>
        <v/>
      </c>
      <c r="AI47" s="72" t="str">
        <f t="shared" si="23"/>
        <v/>
      </c>
      <c r="AJ47" s="39"/>
      <c r="AK47" s="72" t="str">
        <f t="shared" si="24"/>
        <v/>
      </c>
      <c r="AL47" s="72" t="str">
        <f t="shared" si="25"/>
        <v/>
      </c>
      <c r="AM47" s="39"/>
      <c r="AN47" s="72" t="str">
        <f t="shared" ref="AN47:AN78" si="43">IF($K47&lt;=$F$15,$F$117*$F$35/100,"")</f>
        <v/>
      </c>
      <c r="AO47" s="72" t="str">
        <f t="shared" si="26"/>
        <v/>
      </c>
      <c r="AP47" s="39"/>
      <c r="AQ47" s="72" t="str">
        <f t="shared" ref="AQ47:AQ78" si="44">IF($K47&lt;=$F$15,SUM(AH47,AK47,AN47)*($F$36/100),"")</f>
        <v/>
      </c>
      <c r="AR47" s="72" t="str">
        <f t="shared" si="37"/>
        <v/>
      </c>
      <c r="AS47" s="39"/>
      <c r="AT47" s="40" t="str">
        <f>IF($K47&lt;=$F$15,IF($F$40&lt;&gt;"",$F$40/1000,IF(ISERROR(VLOOKUP($F$3&amp;IF($G$4&lt;&gt;"",$G$4,"")&amp;IF($F$43&lt;&gt;"","_"&amp;$F$43,""),'表3）燃料価格'!$AF$9:$AG$25,2,0)),0,VLOOKUP($I47,'表3）燃料価格'!$A$6:$U$66,VLOOKUP($F$3&amp;IF($G$4&lt;&gt;"",$G$4,"")&amp;IF($F$43&lt;&gt;"","_"&amp;$F$43,""),'表3）燃料価格'!$AF$9:$AG$25,2,0)+VLOOKUP($F$41,'表3）燃料価格'!$AF$28:$AG$29,2,0),0)*IF($F$43="需要地価格",1,$F$8/$F$141))),"")</f>
        <v/>
      </c>
      <c r="AU47" s="39"/>
      <c r="AV47" s="72" t="str">
        <f t="shared" ref="AV47:AV78" si="45">IF($K47&lt;=$F$15,($AT47+$F$142)*$F$137,"")</f>
        <v/>
      </c>
      <c r="AW47" s="72" t="str">
        <f t="shared" si="10"/>
        <v/>
      </c>
      <c r="AX47" s="39"/>
      <c r="AY47" s="40" t="str">
        <f>IF(ISERROR(IF($K47&lt;=$F$15,VLOOKUP($I47,'表4）CO2価格'!$A$7:$E$67,VLOOKUP($F$48,'表4）CO2価格'!$H$10:$I$12,2,0),0)*$F$8/1000,"")),0,IF($K47&lt;=$F$15,VLOOKUP($I47,'表4）CO2価格'!$A$7:$E$67,VLOOKUP($F$48,'表4）CO2価格'!$H$10:$I$12,2,0),0)*$F$8/1000,""))</f>
        <v/>
      </c>
      <c r="AZ47" s="39"/>
      <c r="BA47" s="42" t="str">
        <f t="shared" ref="BA47:BA78" si="46">IF($K47&lt;=$F$15,$F$145*AY47,"")</f>
        <v/>
      </c>
      <c r="BB47" s="72" t="str">
        <f t="shared" si="27"/>
        <v/>
      </c>
      <c r="BC47" s="39"/>
      <c r="BD47" s="72" t="str">
        <f t="shared" ref="BD47:BD78" si="47">IF($K47&lt;=$F$15,($AT47+$F$152)*$F$151,"")</f>
        <v/>
      </c>
      <c r="BE47" s="72" t="str">
        <f t="shared" si="28"/>
        <v/>
      </c>
      <c r="BF47" s="39"/>
      <c r="BG47" s="42" t="str">
        <f t="shared" ref="BG47:BG78" si="48">IF($K47&lt;=$F$15,$F$153*AY47,"")</f>
        <v/>
      </c>
      <c r="BH47" s="72" t="str">
        <f t="shared" si="29"/>
        <v/>
      </c>
      <c r="BI47" s="39"/>
      <c r="BJ47" s="40" t="str">
        <f t="shared" si="30"/>
        <v/>
      </c>
      <c r="BK47" s="157" t="str">
        <f t="shared" si="31"/>
        <v/>
      </c>
      <c r="BL47" s="157" t="str">
        <f t="shared" si="14"/>
        <v/>
      </c>
      <c r="BM47" s="72"/>
      <c r="BN47" s="72" t="str">
        <f t="shared" si="32"/>
        <v/>
      </c>
      <c r="BO47" s="72" t="str">
        <f t="shared" si="33"/>
        <v/>
      </c>
      <c r="BP47" s="39"/>
      <c r="BQ47" s="72" t="str">
        <f t="shared" ref="BQ47:BQ78" si="49">IF($K47&lt;=$F$15,$F$134,"")</f>
        <v/>
      </c>
      <c r="BR47" s="72" t="str">
        <f t="shared" si="34"/>
        <v/>
      </c>
    </row>
    <row r="48" spans="3:70" x14ac:dyDescent="0.15">
      <c r="D48" s="81" t="s">
        <v>184</v>
      </c>
      <c r="F48" s="88" t="str">
        <f>まとめ!B5</f>
        <v>WEO2020　STEPS</v>
      </c>
      <c r="I48" s="322">
        <f t="shared" si="35"/>
        <v>2063</v>
      </c>
      <c r="J48" s="71"/>
      <c r="K48" s="71">
        <f t="shared" si="36"/>
        <v>34</v>
      </c>
      <c r="L48" s="71"/>
      <c r="M48" s="7">
        <f t="shared" si="0"/>
        <v>0.36604489974263904</v>
      </c>
      <c r="N48" s="71"/>
      <c r="O48" s="10" t="str">
        <f t="shared" si="16"/>
        <v/>
      </c>
      <c r="P48" s="29" t="str">
        <f t="shared" si="38"/>
        <v/>
      </c>
      <c r="Q48" s="71"/>
      <c r="R48" s="10" t="str">
        <f t="shared" ref="R48:R79" si="50">IF($K48&lt;=$F$15,MAX($F$117*5%,R47*$F$129),"")</f>
        <v/>
      </c>
      <c r="S48" s="71"/>
      <c r="T48" s="10" t="str">
        <f t="shared" si="18"/>
        <v/>
      </c>
      <c r="U48" s="71"/>
      <c r="V48" s="10" t="str">
        <f t="shared" si="39"/>
        <v/>
      </c>
      <c r="W48" s="10" t="str">
        <f t="shared" si="19"/>
        <v/>
      </c>
      <c r="X48" s="71"/>
      <c r="Y48" s="10" t="str">
        <f t="shared" si="40"/>
        <v/>
      </c>
      <c r="Z48" s="10" t="str">
        <f t="shared" si="20"/>
        <v/>
      </c>
      <c r="AA48" s="71"/>
      <c r="AB48" s="10" t="str">
        <f t="shared" si="4"/>
        <v/>
      </c>
      <c r="AC48" s="10" t="str">
        <f t="shared" si="21"/>
        <v/>
      </c>
      <c r="AD48" s="71"/>
      <c r="AE48" s="10" t="str">
        <f t="shared" si="41"/>
        <v/>
      </c>
      <c r="AF48" s="10" t="str">
        <f t="shared" si="22"/>
        <v/>
      </c>
      <c r="AG48" s="71"/>
      <c r="AH48" s="10" t="str">
        <f t="shared" si="42"/>
        <v/>
      </c>
      <c r="AI48" s="10" t="str">
        <f t="shared" si="23"/>
        <v/>
      </c>
      <c r="AJ48" s="71"/>
      <c r="AK48" s="10" t="str">
        <f t="shared" si="24"/>
        <v/>
      </c>
      <c r="AL48" s="10" t="str">
        <f t="shared" si="25"/>
        <v/>
      </c>
      <c r="AM48" s="71"/>
      <c r="AN48" s="10" t="str">
        <f t="shared" si="43"/>
        <v/>
      </c>
      <c r="AO48" s="10" t="str">
        <f t="shared" si="26"/>
        <v/>
      </c>
      <c r="AP48" s="71"/>
      <c r="AQ48" s="10" t="str">
        <f t="shared" si="44"/>
        <v/>
      </c>
      <c r="AR48" s="10" t="str">
        <f t="shared" si="37"/>
        <v/>
      </c>
      <c r="AS48" s="71"/>
      <c r="AT48" s="7" t="str">
        <f>IF($K48&lt;=$F$15,IF($F$40&lt;&gt;"",$F$40/1000,IF(ISERROR(VLOOKUP($F$3&amp;IF($G$4&lt;&gt;"",$G$4,"")&amp;IF($F$43&lt;&gt;"","_"&amp;$F$43,""),'表3）燃料価格'!$AF$9:$AG$25,2,0)),0,VLOOKUP($I48,'表3）燃料価格'!$A$6:$U$66,VLOOKUP($F$3&amp;IF($G$4&lt;&gt;"",$G$4,"")&amp;IF($F$43&lt;&gt;"","_"&amp;$F$43,""),'表3）燃料価格'!$AF$9:$AG$25,2,0)+VLOOKUP($F$41,'表3）燃料価格'!$AF$28:$AG$29,2,0),0)*IF($F$43="需要地価格",1,$F$8/$F$141))),"")</f>
        <v/>
      </c>
      <c r="AU48" s="71"/>
      <c r="AV48" s="10" t="str">
        <f t="shared" si="45"/>
        <v/>
      </c>
      <c r="AW48" s="10" t="str">
        <f t="shared" si="10"/>
        <v/>
      </c>
      <c r="AX48" s="71"/>
      <c r="AY48" s="7" t="str">
        <f>IF(ISERROR(IF($K48&lt;=$F$15,VLOOKUP($I48,'表4）CO2価格'!$A$7:$E$67,VLOOKUP($F$48,'表4）CO2価格'!$H$10:$I$12,2,0),0)*$F$8/1000,"")),0,IF($K48&lt;=$F$15,VLOOKUP($I48,'表4）CO2価格'!$A$7:$E$67,VLOOKUP($F$48,'表4）CO2価格'!$H$10:$I$12,2,0),0)*$F$8/1000,""))</f>
        <v/>
      </c>
      <c r="AZ48" s="71"/>
      <c r="BA48" s="11" t="str">
        <f t="shared" si="46"/>
        <v/>
      </c>
      <c r="BB48" s="10" t="str">
        <f t="shared" si="27"/>
        <v/>
      </c>
      <c r="BC48" s="71"/>
      <c r="BD48" s="10" t="str">
        <f t="shared" si="47"/>
        <v/>
      </c>
      <c r="BE48" s="10" t="str">
        <f t="shared" si="28"/>
        <v/>
      </c>
      <c r="BF48" s="71"/>
      <c r="BG48" s="11" t="str">
        <f t="shared" si="48"/>
        <v/>
      </c>
      <c r="BH48" s="10" t="str">
        <f t="shared" si="29"/>
        <v/>
      </c>
      <c r="BJ48" s="7" t="str">
        <f t="shared" si="30"/>
        <v/>
      </c>
      <c r="BK48" s="158" t="str">
        <f t="shared" si="31"/>
        <v/>
      </c>
      <c r="BL48" s="158" t="str">
        <f t="shared" si="14"/>
        <v/>
      </c>
      <c r="BM48" s="10"/>
      <c r="BN48" s="10" t="str">
        <f t="shared" si="32"/>
        <v/>
      </c>
      <c r="BO48" s="10" t="str">
        <f t="shared" si="33"/>
        <v/>
      </c>
      <c r="BQ48" s="10" t="str">
        <f t="shared" si="49"/>
        <v/>
      </c>
      <c r="BR48" s="10" t="str">
        <f t="shared" si="34"/>
        <v/>
      </c>
    </row>
    <row r="49" spans="3:70" x14ac:dyDescent="0.15">
      <c r="I49" s="38">
        <f t="shared" si="35"/>
        <v>2064</v>
      </c>
      <c r="J49" s="39"/>
      <c r="K49" s="39">
        <f t="shared" si="36"/>
        <v>35</v>
      </c>
      <c r="L49" s="39"/>
      <c r="M49" s="40">
        <f t="shared" si="0"/>
        <v>0.35538339780838735</v>
      </c>
      <c r="N49" s="39"/>
      <c r="O49" s="72" t="str">
        <f t="shared" si="16"/>
        <v/>
      </c>
      <c r="P49" s="41" t="str">
        <f t="shared" si="38"/>
        <v/>
      </c>
      <c r="Q49" s="39"/>
      <c r="R49" s="72" t="str">
        <f t="shared" si="50"/>
        <v/>
      </c>
      <c r="S49" s="39"/>
      <c r="T49" s="72" t="str">
        <f t="shared" si="18"/>
        <v/>
      </c>
      <c r="U49" s="39"/>
      <c r="V49" s="72" t="str">
        <f t="shared" si="39"/>
        <v/>
      </c>
      <c r="W49" s="72" t="str">
        <f t="shared" si="19"/>
        <v/>
      </c>
      <c r="X49" s="39"/>
      <c r="Y49" s="72" t="str">
        <f t="shared" si="40"/>
        <v/>
      </c>
      <c r="Z49" s="72" t="str">
        <f t="shared" si="20"/>
        <v/>
      </c>
      <c r="AA49" s="39"/>
      <c r="AB49" s="72" t="str">
        <f t="shared" si="4"/>
        <v/>
      </c>
      <c r="AC49" s="72" t="str">
        <f t="shared" si="21"/>
        <v/>
      </c>
      <c r="AD49" s="39"/>
      <c r="AE49" s="72" t="str">
        <f t="shared" si="41"/>
        <v/>
      </c>
      <c r="AF49" s="72" t="str">
        <f t="shared" si="22"/>
        <v/>
      </c>
      <c r="AG49" s="39"/>
      <c r="AH49" s="72" t="str">
        <f t="shared" si="42"/>
        <v/>
      </c>
      <c r="AI49" s="72" t="str">
        <f t="shared" si="23"/>
        <v/>
      </c>
      <c r="AJ49" s="39"/>
      <c r="AK49" s="72" t="str">
        <f t="shared" si="24"/>
        <v/>
      </c>
      <c r="AL49" s="72" t="str">
        <f t="shared" si="25"/>
        <v/>
      </c>
      <c r="AM49" s="39"/>
      <c r="AN49" s="72" t="str">
        <f t="shared" si="43"/>
        <v/>
      </c>
      <c r="AO49" s="72" t="str">
        <f t="shared" si="26"/>
        <v/>
      </c>
      <c r="AP49" s="39"/>
      <c r="AQ49" s="72" t="str">
        <f t="shared" si="44"/>
        <v/>
      </c>
      <c r="AR49" s="72" t="str">
        <f t="shared" si="37"/>
        <v/>
      </c>
      <c r="AS49" s="39"/>
      <c r="AT49" s="40" t="str">
        <f>IF($K49&lt;=$F$15,IF($F$40&lt;&gt;"",$F$40/1000,IF(ISERROR(VLOOKUP($F$3&amp;IF($G$4&lt;&gt;"",$G$4,"")&amp;IF($F$43&lt;&gt;"","_"&amp;$F$43,""),'表3）燃料価格'!$AF$9:$AG$25,2,0)),0,VLOOKUP($I49,'表3）燃料価格'!$A$6:$U$66,VLOOKUP($F$3&amp;IF($G$4&lt;&gt;"",$G$4,"")&amp;IF($F$43&lt;&gt;"","_"&amp;$F$43,""),'表3）燃料価格'!$AF$9:$AG$25,2,0)+VLOOKUP($F$41,'表3）燃料価格'!$AF$28:$AG$29,2,0),0)*IF($F$43="需要地価格",1,$F$8/$F$141))),"")</f>
        <v/>
      </c>
      <c r="AU49" s="39"/>
      <c r="AV49" s="72" t="str">
        <f t="shared" si="45"/>
        <v/>
      </c>
      <c r="AW49" s="72" t="str">
        <f t="shared" si="10"/>
        <v/>
      </c>
      <c r="AX49" s="39"/>
      <c r="AY49" s="40" t="str">
        <f>IF(ISERROR(IF($K49&lt;=$F$15,VLOOKUP($I49,'表4）CO2価格'!$A$7:$E$67,VLOOKUP($F$48,'表4）CO2価格'!$H$10:$I$12,2,0),0)*$F$8/1000,"")),0,IF($K49&lt;=$F$15,VLOOKUP($I49,'表4）CO2価格'!$A$7:$E$67,VLOOKUP($F$48,'表4）CO2価格'!$H$10:$I$12,2,0),0)*$F$8/1000,""))</f>
        <v/>
      </c>
      <c r="AZ49" s="39"/>
      <c r="BA49" s="42" t="str">
        <f t="shared" si="46"/>
        <v/>
      </c>
      <c r="BB49" s="72" t="str">
        <f t="shared" si="27"/>
        <v/>
      </c>
      <c r="BC49" s="39"/>
      <c r="BD49" s="72" t="str">
        <f t="shared" si="47"/>
        <v/>
      </c>
      <c r="BE49" s="72" t="str">
        <f t="shared" si="28"/>
        <v/>
      </c>
      <c r="BF49" s="39"/>
      <c r="BG49" s="42" t="str">
        <f t="shared" si="48"/>
        <v/>
      </c>
      <c r="BH49" s="72" t="str">
        <f t="shared" si="29"/>
        <v/>
      </c>
      <c r="BI49" s="39"/>
      <c r="BJ49" s="40" t="str">
        <f t="shared" si="30"/>
        <v/>
      </c>
      <c r="BK49" s="157" t="str">
        <f t="shared" si="31"/>
        <v/>
      </c>
      <c r="BL49" s="157" t="str">
        <f t="shared" si="14"/>
        <v/>
      </c>
      <c r="BM49" s="72"/>
      <c r="BN49" s="72" t="str">
        <f t="shared" si="32"/>
        <v/>
      </c>
      <c r="BO49" s="72" t="str">
        <f t="shared" si="33"/>
        <v/>
      </c>
      <c r="BP49" s="39"/>
      <c r="BQ49" s="72" t="str">
        <f t="shared" si="49"/>
        <v/>
      </c>
      <c r="BR49" s="72" t="str">
        <f t="shared" si="34"/>
        <v/>
      </c>
    </row>
    <row r="50" spans="3:70" x14ac:dyDescent="0.15">
      <c r="C50" s="89" t="s">
        <v>510</v>
      </c>
      <c r="D50" s="101"/>
      <c r="E50" s="101"/>
      <c r="F50" s="89"/>
      <c r="G50" s="101"/>
      <c r="I50" s="322">
        <f t="shared" si="35"/>
        <v>2065</v>
      </c>
      <c r="J50" s="71"/>
      <c r="K50" s="71">
        <f t="shared" si="36"/>
        <v>36</v>
      </c>
      <c r="L50" s="71"/>
      <c r="M50" s="7">
        <f t="shared" si="0"/>
        <v>0.34503242505668674</v>
      </c>
      <c r="N50" s="71"/>
      <c r="O50" s="10" t="str">
        <f t="shared" si="16"/>
        <v/>
      </c>
      <c r="P50" s="29" t="str">
        <f t="shared" si="38"/>
        <v/>
      </c>
      <c r="Q50" s="71"/>
      <c r="R50" s="10" t="str">
        <f t="shared" si="50"/>
        <v/>
      </c>
      <c r="S50" s="71"/>
      <c r="T50" s="10" t="str">
        <f t="shared" si="18"/>
        <v/>
      </c>
      <c r="U50" s="71"/>
      <c r="V50" s="10" t="str">
        <f t="shared" si="39"/>
        <v/>
      </c>
      <c r="W50" s="10" t="str">
        <f t="shared" si="19"/>
        <v/>
      </c>
      <c r="X50" s="71"/>
      <c r="Y50" s="10" t="str">
        <f t="shared" si="40"/>
        <v/>
      </c>
      <c r="Z50" s="10" t="str">
        <f t="shared" si="20"/>
        <v/>
      </c>
      <c r="AA50" s="71"/>
      <c r="AB50" s="10" t="str">
        <f t="shared" si="4"/>
        <v/>
      </c>
      <c r="AC50" s="10" t="str">
        <f t="shared" si="21"/>
        <v/>
      </c>
      <c r="AD50" s="71"/>
      <c r="AE50" s="10" t="str">
        <f t="shared" si="41"/>
        <v/>
      </c>
      <c r="AF50" s="10" t="str">
        <f t="shared" si="22"/>
        <v/>
      </c>
      <c r="AG50" s="71"/>
      <c r="AH50" s="10" t="str">
        <f t="shared" si="42"/>
        <v/>
      </c>
      <c r="AI50" s="10" t="str">
        <f t="shared" si="23"/>
        <v/>
      </c>
      <c r="AJ50" s="71"/>
      <c r="AK50" s="10" t="str">
        <f t="shared" si="24"/>
        <v/>
      </c>
      <c r="AL50" s="10" t="str">
        <f t="shared" si="25"/>
        <v/>
      </c>
      <c r="AM50" s="71"/>
      <c r="AN50" s="10" t="str">
        <f t="shared" si="43"/>
        <v/>
      </c>
      <c r="AO50" s="10" t="str">
        <f t="shared" si="26"/>
        <v/>
      </c>
      <c r="AP50" s="71"/>
      <c r="AQ50" s="10" t="str">
        <f t="shared" si="44"/>
        <v/>
      </c>
      <c r="AR50" s="10" t="str">
        <f t="shared" si="37"/>
        <v/>
      </c>
      <c r="AS50" s="71"/>
      <c r="AT50" s="7" t="str">
        <f>IF($K50&lt;=$F$15,IF($F$40&lt;&gt;"",$F$40/1000,IF(ISERROR(VLOOKUP($F$3&amp;IF($G$4&lt;&gt;"",$G$4,"")&amp;IF($F$43&lt;&gt;"","_"&amp;$F$43,""),'表3）燃料価格'!$AF$9:$AG$25,2,0)),0,VLOOKUP($I50,'表3）燃料価格'!$A$6:$U$66,VLOOKUP($F$3&amp;IF($G$4&lt;&gt;"",$G$4,"")&amp;IF($F$43&lt;&gt;"","_"&amp;$F$43,""),'表3）燃料価格'!$AF$9:$AG$25,2,0)+VLOOKUP($F$41,'表3）燃料価格'!$AF$28:$AG$29,2,0),0)*IF($F$43="需要地価格",1,$F$8/$F$141))),"")</f>
        <v/>
      </c>
      <c r="AU50" s="71"/>
      <c r="AV50" s="10" t="str">
        <f t="shared" si="45"/>
        <v/>
      </c>
      <c r="AW50" s="10" t="str">
        <f t="shared" si="10"/>
        <v/>
      </c>
      <c r="AX50" s="71"/>
      <c r="AY50" s="7" t="str">
        <f>IF(ISERROR(IF($K50&lt;=$F$15,VLOOKUP($I50,'表4）CO2価格'!$A$7:$E$67,VLOOKUP($F$48,'表4）CO2価格'!$H$10:$I$12,2,0),0)*$F$8/1000,"")),0,IF($K50&lt;=$F$15,VLOOKUP($I50,'表4）CO2価格'!$A$7:$E$67,VLOOKUP($F$48,'表4）CO2価格'!$H$10:$I$12,2,0),0)*$F$8/1000,""))</f>
        <v/>
      </c>
      <c r="AZ50" s="71"/>
      <c r="BA50" s="11" t="str">
        <f t="shared" si="46"/>
        <v/>
      </c>
      <c r="BB50" s="10" t="str">
        <f t="shared" si="27"/>
        <v/>
      </c>
      <c r="BC50" s="71"/>
      <c r="BD50" s="10" t="str">
        <f t="shared" si="47"/>
        <v/>
      </c>
      <c r="BE50" s="10" t="str">
        <f t="shared" si="28"/>
        <v/>
      </c>
      <c r="BF50" s="71"/>
      <c r="BG50" s="11" t="str">
        <f t="shared" si="48"/>
        <v/>
      </c>
      <c r="BH50" s="10" t="str">
        <f t="shared" si="29"/>
        <v/>
      </c>
      <c r="BJ50" s="7" t="str">
        <f t="shared" si="30"/>
        <v/>
      </c>
      <c r="BK50" s="158" t="str">
        <f t="shared" si="31"/>
        <v/>
      </c>
      <c r="BL50" s="158" t="str">
        <f t="shared" si="14"/>
        <v/>
      </c>
      <c r="BM50" s="10"/>
      <c r="BN50" s="10" t="str">
        <f t="shared" si="32"/>
        <v/>
      </c>
      <c r="BO50" s="10" t="str">
        <f t="shared" si="33"/>
        <v/>
      </c>
      <c r="BQ50" s="10" t="str">
        <f t="shared" si="49"/>
        <v/>
      </c>
      <c r="BR50" s="10" t="str">
        <f t="shared" si="34"/>
        <v/>
      </c>
    </row>
    <row r="51" spans="3:70" x14ac:dyDescent="0.15">
      <c r="I51" s="38">
        <f t="shared" si="35"/>
        <v>2066</v>
      </c>
      <c r="J51" s="39"/>
      <c r="K51" s="39">
        <f t="shared" si="36"/>
        <v>37</v>
      </c>
      <c r="L51" s="39"/>
      <c r="M51" s="40">
        <f t="shared" si="0"/>
        <v>0.33498293694823961</v>
      </c>
      <c r="N51" s="39"/>
      <c r="O51" s="72" t="str">
        <f t="shared" si="16"/>
        <v/>
      </c>
      <c r="P51" s="41" t="str">
        <f t="shared" si="38"/>
        <v/>
      </c>
      <c r="Q51" s="39"/>
      <c r="R51" s="72" t="str">
        <f t="shared" si="50"/>
        <v/>
      </c>
      <c r="S51" s="39"/>
      <c r="T51" s="72" t="str">
        <f t="shared" si="18"/>
        <v/>
      </c>
      <c r="U51" s="39"/>
      <c r="V51" s="72" t="str">
        <f t="shared" si="39"/>
        <v/>
      </c>
      <c r="W51" s="72" t="str">
        <f t="shared" si="19"/>
        <v/>
      </c>
      <c r="X51" s="39"/>
      <c r="Y51" s="72" t="str">
        <f t="shared" si="40"/>
        <v/>
      </c>
      <c r="Z51" s="72" t="str">
        <f t="shared" si="20"/>
        <v/>
      </c>
      <c r="AA51" s="39"/>
      <c r="AB51" s="72" t="str">
        <f t="shared" si="4"/>
        <v/>
      </c>
      <c r="AC51" s="72" t="str">
        <f t="shared" si="21"/>
        <v/>
      </c>
      <c r="AD51" s="39"/>
      <c r="AE51" s="72" t="str">
        <f t="shared" si="41"/>
        <v/>
      </c>
      <c r="AF51" s="72" t="str">
        <f t="shared" si="22"/>
        <v/>
      </c>
      <c r="AG51" s="39"/>
      <c r="AH51" s="72" t="str">
        <f t="shared" si="42"/>
        <v/>
      </c>
      <c r="AI51" s="72" t="str">
        <f t="shared" si="23"/>
        <v/>
      </c>
      <c r="AJ51" s="39"/>
      <c r="AK51" s="72" t="str">
        <f t="shared" si="24"/>
        <v/>
      </c>
      <c r="AL51" s="72" t="str">
        <f t="shared" si="25"/>
        <v/>
      </c>
      <c r="AM51" s="39"/>
      <c r="AN51" s="72" t="str">
        <f t="shared" si="43"/>
        <v/>
      </c>
      <c r="AO51" s="72" t="str">
        <f t="shared" si="26"/>
        <v/>
      </c>
      <c r="AP51" s="39"/>
      <c r="AQ51" s="72" t="str">
        <f t="shared" si="44"/>
        <v/>
      </c>
      <c r="AR51" s="72" t="str">
        <f t="shared" si="37"/>
        <v/>
      </c>
      <c r="AS51" s="39"/>
      <c r="AT51" s="40" t="str">
        <f>IF($K51&lt;=$F$15,IF($F$40&lt;&gt;"",$F$40/1000,IF(ISERROR(VLOOKUP($F$3&amp;IF($G$4&lt;&gt;"",$G$4,"")&amp;IF($F$43&lt;&gt;"","_"&amp;$F$43,""),'表3）燃料価格'!$AF$9:$AG$25,2,0)),0,VLOOKUP($I51,'表3）燃料価格'!$A$6:$U$66,VLOOKUP($F$3&amp;IF($G$4&lt;&gt;"",$G$4,"")&amp;IF($F$43&lt;&gt;"","_"&amp;$F$43,""),'表3）燃料価格'!$AF$9:$AG$25,2,0)+VLOOKUP($F$41,'表3）燃料価格'!$AF$28:$AG$29,2,0),0)*IF($F$43="需要地価格",1,$F$8/$F$141))),"")</f>
        <v/>
      </c>
      <c r="AU51" s="39"/>
      <c r="AV51" s="72" t="str">
        <f t="shared" si="45"/>
        <v/>
      </c>
      <c r="AW51" s="72" t="str">
        <f t="shared" si="10"/>
        <v/>
      </c>
      <c r="AX51" s="39"/>
      <c r="AY51" s="40" t="str">
        <f>IF(ISERROR(IF($K51&lt;=$F$15,VLOOKUP($I51,'表4）CO2価格'!$A$7:$E$67,VLOOKUP($F$48,'表4）CO2価格'!$H$10:$I$12,2,0),0)*$F$8/1000,"")),0,IF($K51&lt;=$F$15,VLOOKUP($I51,'表4）CO2価格'!$A$7:$E$67,VLOOKUP($F$48,'表4）CO2価格'!$H$10:$I$12,2,0),0)*$F$8/1000,""))</f>
        <v/>
      </c>
      <c r="AZ51" s="39"/>
      <c r="BA51" s="42" t="str">
        <f t="shared" si="46"/>
        <v/>
      </c>
      <c r="BB51" s="72" t="str">
        <f t="shared" si="27"/>
        <v/>
      </c>
      <c r="BC51" s="39"/>
      <c r="BD51" s="72" t="str">
        <f t="shared" si="47"/>
        <v/>
      </c>
      <c r="BE51" s="72" t="str">
        <f t="shared" si="28"/>
        <v/>
      </c>
      <c r="BF51" s="39"/>
      <c r="BG51" s="42" t="str">
        <f t="shared" si="48"/>
        <v/>
      </c>
      <c r="BH51" s="72" t="str">
        <f t="shared" si="29"/>
        <v/>
      </c>
      <c r="BI51" s="39"/>
      <c r="BJ51" s="40" t="str">
        <f t="shared" si="30"/>
        <v/>
      </c>
      <c r="BK51" s="157" t="str">
        <f t="shared" si="31"/>
        <v/>
      </c>
      <c r="BL51" s="157" t="str">
        <f t="shared" si="14"/>
        <v/>
      </c>
      <c r="BM51" s="72"/>
      <c r="BN51" s="72" t="str">
        <f t="shared" si="32"/>
        <v/>
      </c>
      <c r="BO51" s="72" t="str">
        <f t="shared" si="33"/>
        <v/>
      </c>
      <c r="BP51" s="39"/>
      <c r="BQ51" s="72" t="str">
        <f t="shared" si="49"/>
        <v/>
      </c>
      <c r="BR51" s="72" t="str">
        <f t="shared" si="34"/>
        <v/>
      </c>
    </row>
    <row r="52" spans="3:70" x14ac:dyDescent="0.15">
      <c r="D52" s="81" t="s">
        <v>185</v>
      </c>
      <c r="F52" s="67">
        <v>40</v>
      </c>
      <c r="G52" s="81" t="s">
        <v>172</v>
      </c>
      <c r="I52" s="322">
        <f t="shared" si="35"/>
        <v>2067</v>
      </c>
      <c r="J52" s="71"/>
      <c r="K52" s="71">
        <f t="shared" si="36"/>
        <v>38</v>
      </c>
      <c r="L52" s="71"/>
      <c r="M52" s="7">
        <f t="shared" si="0"/>
        <v>0.3252261523769317</v>
      </c>
      <c r="N52" s="71"/>
      <c r="O52" s="10" t="str">
        <f t="shared" si="16"/>
        <v/>
      </c>
      <c r="P52" s="29" t="str">
        <f t="shared" si="38"/>
        <v/>
      </c>
      <c r="Q52" s="71"/>
      <c r="R52" s="10" t="str">
        <f t="shared" si="50"/>
        <v/>
      </c>
      <c r="S52" s="71"/>
      <c r="T52" s="10" t="str">
        <f t="shared" si="18"/>
        <v/>
      </c>
      <c r="U52" s="71"/>
      <c r="V52" s="10" t="str">
        <f t="shared" si="39"/>
        <v/>
      </c>
      <c r="W52" s="10" t="str">
        <f t="shared" si="19"/>
        <v/>
      </c>
      <c r="X52" s="71"/>
      <c r="Y52" s="10" t="str">
        <f t="shared" si="40"/>
        <v/>
      </c>
      <c r="Z52" s="10" t="str">
        <f t="shared" si="20"/>
        <v/>
      </c>
      <c r="AA52" s="71"/>
      <c r="AB52" s="10" t="str">
        <f t="shared" si="4"/>
        <v/>
      </c>
      <c r="AC52" s="10" t="str">
        <f t="shared" si="21"/>
        <v/>
      </c>
      <c r="AD52" s="71"/>
      <c r="AE52" s="10" t="str">
        <f t="shared" si="41"/>
        <v/>
      </c>
      <c r="AF52" s="10" t="str">
        <f t="shared" si="22"/>
        <v/>
      </c>
      <c r="AG52" s="71"/>
      <c r="AH52" s="10" t="str">
        <f t="shared" si="42"/>
        <v/>
      </c>
      <c r="AI52" s="10" t="str">
        <f t="shared" si="23"/>
        <v/>
      </c>
      <c r="AJ52" s="71"/>
      <c r="AK52" s="10" t="str">
        <f t="shared" si="24"/>
        <v/>
      </c>
      <c r="AL52" s="10" t="str">
        <f t="shared" si="25"/>
        <v/>
      </c>
      <c r="AM52" s="71"/>
      <c r="AN52" s="10" t="str">
        <f t="shared" si="43"/>
        <v/>
      </c>
      <c r="AO52" s="10" t="str">
        <f t="shared" si="26"/>
        <v/>
      </c>
      <c r="AP52" s="71"/>
      <c r="AQ52" s="10" t="str">
        <f t="shared" si="44"/>
        <v/>
      </c>
      <c r="AR52" s="10" t="str">
        <f t="shared" si="37"/>
        <v/>
      </c>
      <c r="AS52" s="71"/>
      <c r="AT52" s="7" t="str">
        <f>IF($K52&lt;=$F$15,IF($F$40&lt;&gt;"",$F$40/1000,IF(ISERROR(VLOOKUP($F$3&amp;IF($G$4&lt;&gt;"",$G$4,"")&amp;IF($F$43&lt;&gt;"","_"&amp;$F$43,""),'表3）燃料価格'!$AF$9:$AG$25,2,0)),0,VLOOKUP($I52,'表3）燃料価格'!$A$6:$U$66,VLOOKUP($F$3&amp;IF($G$4&lt;&gt;"",$G$4,"")&amp;IF($F$43&lt;&gt;"","_"&amp;$F$43,""),'表3）燃料価格'!$AF$9:$AG$25,2,0)+VLOOKUP($F$41,'表3）燃料価格'!$AF$28:$AG$29,2,0),0)*IF($F$43="需要地価格",1,$F$8/$F$141))),"")</f>
        <v/>
      </c>
      <c r="AU52" s="71"/>
      <c r="AV52" s="10" t="str">
        <f t="shared" si="45"/>
        <v/>
      </c>
      <c r="AW52" s="10" t="str">
        <f t="shared" si="10"/>
        <v/>
      </c>
      <c r="AX52" s="71"/>
      <c r="AY52" s="7" t="str">
        <f>IF(ISERROR(IF($K52&lt;=$F$15,VLOOKUP($I52,'表4）CO2価格'!$A$7:$E$67,VLOOKUP($F$48,'表4）CO2価格'!$H$10:$I$12,2,0),0)*$F$8/1000,"")),0,IF($K52&lt;=$F$15,VLOOKUP($I52,'表4）CO2価格'!$A$7:$E$67,VLOOKUP($F$48,'表4）CO2価格'!$H$10:$I$12,2,0),0)*$F$8/1000,""))</f>
        <v/>
      </c>
      <c r="AZ52" s="71"/>
      <c r="BA52" s="11" t="str">
        <f t="shared" si="46"/>
        <v/>
      </c>
      <c r="BB52" s="10" t="str">
        <f t="shared" si="27"/>
        <v/>
      </c>
      <c r="BC52" s="71"/>
      <c r="BD52" s="10" t="str">
        <f t="shared" si="47"/>
        <v/>
      </c>
      <c r="BE52" s="10" t="str">
        <f t="shared" si="28"/>
        <v/>
      </c>
      <c r="BF52" s="71"/>
      <c r="BG52" s="11" t="str">
        <f t="shared" si="48"/>
        <v/>
      </c>
      <c r="BH52" s="10" t="str">
        <f t="shared" si="29"/>
        <v/>
      </c>
      <c r="BJ52" s="7" t="str">
        <f t="shared" si="30"/>
        <v/>
      </c>
      <c r="BK52" s="158" t="str">
        <f t="shared" si="31"/>
        <v/>
      </c>
      <c r="BL52" s="158" t="str">
        <f t="shared" si="14"/>
        <v/>
      </c>
      <c r="BM52" s="10"/>
      <c r="BN52" s="10" t="str">
        <f t="shared" si="32"/>
        <v/>
      </c>
      <c r="BO52" s="10" t="str">
        <f t="shared" si="33"/>
        <v/>
      </c>
      <c r="BQ52" s="10" t="str">
        <f t="shared" si="49"/>
        <v/>
      </c>
      <c r="BR52" s="10" t="str">
        <f t="shared" si="34"/>
        <v/>
      </c>
    </row>
    <row r="53" spans="3:70" x14ac:dyDescent="0.15">
      <c r="D53" s="81" t="s">
        <v>186</v>
      </c>
      <c r="F53" s="66">
        <v>100</v>
      </c>
      <c r="G53" s="81" t="s">
        <v>172</v>
      </c>
      <c r="I53" s="38">
        <f t="shared" si="35"/>
        <v>2068</v>
      </c>
      <c r="J53" s="39"/>
      <c r="K53" s="39">
        <f t="shared" si="36"/>
        <v>39</v>
      </c>
      <c r="L53" s="39"/>
      <c r="M53" s="40">
        <f t="shared" si="0"/>
        <v>0.31575354599702099</v>
      </c>
      <c r="N53" s="39"/>
      <c r="O53" s="72" t="str">
        <f t="shared" si="16"/>
        <v/>
      </c>
      <c r="P53" s="41" t="str">
        <f t="shared" si="38"/>
        <v/>
      </c>
      <c r="Q53" s="39"/>
      <c r="R53" s="72" t="str">
        <f t="shared" si="50"/>
        <v/>
      </c>
      <c r="S53" s="39"/>
      <c r="T53" s="72" t="str">
        <f t="shared" si="18"/>
        <v/>
      </c>
      <c r="U53" s="39"/>
      <c r="V53" s="72" t="str">
        <f t="shared" si="39"/>
        <v/>
      </c>
      <c r="W53" s="72" t="str">
        <f t="shared" si="19"/>
        <v/>
      </c>
      <c r="X53" s="39"/>
      <c r="Y53" s="72" t="str">
        <f t="shared" si="40"/>
        <v/>
      </c>
      <c r="Z53" s="72" t="str">
        <f t="shared" si="20"/>
        <v/>
      </c>
      <c r="AA53" s="39"/>
      <c r="AB53" s="72" t="str">
        <f t="shared" si="4"/>
        <v/>
      </c>
      <c r="AC53" s="72" t="str">
        <f t="shared" si="21"/>
        <v/>
      </c>
      <c r="AD53" s="39"/>
      <c r="AE53" s="72" t="str">
        <f t="shared" si="41"/>
        <v/>
      </c>
      <c r="AF53" s="72" t="str">
        <f t="shared" si="22"/>
        <v/>
      </c>
      <c r="AG53" s="39"/>
      <c r="AH53" s="72" t="str">
        <f t="shared" si="42"/>
        <v/>
      </c>
      <c r="AI53" s="72" t="str">
        <f t="shared" si="23"/>
        <v/>
      </c>
      <c r="AJ53" s="39"/>
      <c r="AK53" s="72" t="str">
        <f t="shared" si="24"/>
        <v/>
      </c>
      <c r="AL53" s="72" t="str">
        <f t="shared" si="25"/>
        <v/>
      </c>
      <c r="AM53" s="39"/>
      <c r="AN53" s="72" t="str">
        <f t="shared" si="43"/>
        <v/>
      </c>
      <c r="AO53" s="72" t="str">
        <f t="shared" si="26"/>
        <v/>
      </c>
      <c r="AP53" s="39"/>
      <c r="AQ53" s="72" t="str">
        <f t="shared" si="44"/>
        <v/>
      </c>
      <c r="AR53" s="72" t="str">
        <f t="shared" si="37"/>
        <v/>
      </c>
      <c r="AS53" s="39"/>
      <c r="AT53" s="40" t="str">
        <f>IF($K53&lt;=$F$15,IF($F$40&lt;&gt;"",$F$40/1000,IF(ISERROR(VLOOKUP($F$3&amp;IF($G$4&lt;&gt;"",$G$4,"")&amp;IF($F$43&lt;&gt;"","_"&amp;$F$43,""),'表3）燃料価格'!$AF$9:$AG$25,2,0)),0,VLOOKUP($I53,'表3）燃料価格'!$A$6:$U$66,VLOOKUP($F$3&amp;IF($G$4&lt;&gt;"",$G$4,"")&amp;IF($F$43&lt;&gt;"","_"&amp;$F$43,""),'表3）燃料価格'!$AF$9:$AG$25,2,0)+VLOOKUP($F$41,'表3）燃料価格'!$AF$28:$AG$29,2,0),0)*IF($F$43="需要地価格",1,$F$8/$F$141))),"")</f>
        <v/>
      </c>
      <c r="AU53" s="39"/>
      <c r="AV53" s="72" t="str">
        <f t="shared" si="45"/>
        <v/>
      </c>
      <c r="AW53" s="72" t="str">
        <f t="shared" si="10"/>
        <v/>
      </c>
      <c r="AX53" s="39"/>
      <c r="AY53" s="40" t="str">
        <f>IF(ISERROR(IF($K53&lt;=$F$15,VLOOKUP($I53,'表4）CO2価格'!$A$7:$E$67,VLOOKUP($F$48,'表4）CO2価格'!$H$10:$I$12,2,0),0)*$F$8/1000,"")),0,IF($K53&lt;=$F$15,VLOOKUP($I53,'表4）CO2価格'!$A$7:$E$67,VLOOKUP($F$48,'表4）CO2価格'!$H$10:$I$12,2,0),0)*$F$8/1000,""))</f>
        <v/>
      </c>
      <c r="AZ53" s="39"/>
      <c r="BA53" s="42" t="str">
        <f t="shared" si="46"/>
        <v/>
      </c>
      <c r="BB53" s="72" t="str">
        <f t="shared" si="27"/>
        <v/>
      </c>
      <c r="BC53" s="39"/>
      <c r="BD53" s="72" t="str">
        <f t="shared" si="47"/>
        <v/>
      </c>
      <c r="BE53" s="72" t="str">
        <f t="shared" si="28"/>
        <v/>
      </c>
      <c r="BF53" s="39"/>
      <c r="BG53" s="42" t="str">
        <f t="shared" si="48"/>
        <v/>
      </c>
      <c r="BH53" s="72" t="str">
        <f t="shared" si="29"/>
        <v/>
      </c>
      <c r="BI53" s="39"/>
      <c r="BJ53" s="40" t="str">
        <f t="shared" si="30"/>
        <v/>
      </c>
      <c r="BK53" s="157" t="str">
        <f t="shared" si="31"/>
        <v/>
      </c>
      <c r="BL53" s="157" t="str">
        <f t="shared" si="14"/>
        <v/>
      </c>
      <c r="BM53" s="72"/>
      <c r="BN53" s="72" t="str">
        <f t="shared" si="32"/>
        <v/>
      </c>
      <c r="BO53" s="72" t="str">
        <f t="shared" si="33"/>
        <v/>
      </c>
      <c r="BP53" s="39"/>
      <c r="BQ53" s="72" t="str">
        <f t="shared" si="49"/>
        <v/>
      </c>
      <c r="BR53" s="72" t="str">
        <f t="shared" si="34"/>
        <v/>
      </c>
    </row>
    <row r="54" spans="3:70" x14ac:dyDescent="0.15">
      <c r="D54" s="81" t="s">
        <v>187</v>
      </c>
      <c r="F54" s="66">
        <v>83.6</v>
      </c>
      <c r="G54" s="81" t="s">
        <v>172</v>
      </c>
      <c r="I54" s="322">
        <f t="shared" si="35"/>
        <v>2069</v>
      </c>
      <c r="J54" s="71"/>
      <c r="K54" s="71">
        <f t="shared" si="36"/>
        <v>40</v>
      </c>
      <c r="L54" s="71"/>
      <c r="M54" s="7">
        <f t="shared" si="0"/>
        <v>0.30655684077380685</v>
      </c>
      <c r="N54" s="71"/>
      <c r="O54" s="10" t="str">
        <f t="shared" si="16"/>
        <v/>
      </c>
      <c r="P54" s="29" t="str">
        <f t="shared" si="38"/>
        <v/>
      </c>
      <c r="Q54" s="71"/>
      <c r="R54" s="10" t="str">
        <f t="shared" si="50"/>
        <v/>
      </c>
      <c r="S54" s="71"/>
      <c r="T54" s="10" t="str">
        <f t="shared" si="18"/>
        <v/>
      </c>
      <c r="U54" s="71"/>
      <c r="V54" s="10" t="str">
        <f t="shared" si="39"/>
        <v/>
      </c>
      <c r="W54" s="10" t="str">
        <f t="shared" si="19"/>
        <v/>
      </c>
      <c r="X54" s="71"/>
      <c r="Y54" s="10" t="str">
        <f t="shared" si="40"/>
        <v/>
      </c>
      <c r="Z54" s="10" t="str">
        <f t="shared" si="20"/>
        <v/>
      </c>
      <c r="AA54" s="71"/>
      <c r="AB54" s="10" t="str">
        <f t="shared" si="4"/>
        <v/>
      </c>
      <c r="AC54" s="10" t="str">
        <f t="shared" si="21"/>
        <v/>
      </c>
      <c r="AD54" s="71"/>
      <c r="AE54" s="10" t="str">
        <f t="shared" si="41"/>
        <v/>
      </c>
      <c r="AF54" s="10" t="str">
        <f t="shared" si="22"/>
        <v/>
      </c>
      <c r="AG54" s="71"/>
      <c r="AH54" s="10" t="str">
        <f t="shared" si="42"/>
        <v/>
      </c>
      <c r="AI54" s="10" t="str">
        <f t="shared" si="23"/>
        <v/>
      </c>
      <c r="AJ54" s="71"/>
      <c r="AK54" s="10" t="str">
        <f t="shared" si="24"/>
        <v/>
      </c>
      <c r="AL54" s="10" t="str">
        <f t="shared" si="25"/>
        <v/>
      </c>
      <c r="AM54" s="71"/>
      <c r="AN54" s="10" t="str">
        <f t="shared" si="43"/>
        <v/>
      </c>
      <c r="AO54" s="10" t="str">
        <f t="shared" si="26"/>
        <v/>
      </c>
      <c r="AP54" s="71"/>
      <c r="AQ54" s="10" t="str">
        <f t="shared" si="44"/>
        <v/>
      </c>
      <c r="AR54" s="10" t="str">
        <f t="shared" si="37"/>
        <v/>
      </c>
      <c r="AS54" s="71"/>
      <c r="AT54" s="7" t="str">
        <f>IF($K54&lt;=$F$15,IF($F$40&lt;&gt;"",$F$40/1000,IF(ISERROR(VLOOKUP($F$3&amp;IF($G$4&lt;&gt;"",$G$4,"")&amp;IF($F$43&lt;&gt;"","_"&amp;$F$43,""),'表3）燃料価格'!$AF$9:$AG$25,2,0)),0,VLOOKUP($I54,'表3）燃料価格'!$A$6:$U$66,VLOOKUP($F$3&amp;IF($G$4&lt;&gt;"",$G$4,"")&amp;IF($F$43&lt;&gt;"","_"&amp;$F$43,""),'表3）燃料価格'!$AF$9:$AG$25,2,0)+VLOOKUP($F$41,'表3）燃料価格'!$AF$28:$AG$29,2,0),0)*IF($F$43="需要地価格",1,$F$8/$F$141))),"")</f>
        <v/>
      </c>
      <c r="AU54" s="71"/>
      <c r="AV54" s="10" t="str">
        <f t="shared" si="45"/>
        <v/>
      </c>
      <c r="AW54" s="10" t="str">
        <f t="shared" si="10"/>
        <v/>
      </c>
      <c r="AX54" s="71"/>
      <c r="AY54" s="7" t="str">
        <f>IF(ISERROR(IF($K54&lt;=$F$15,VLOOKUP($I54,'表4）CO2価格'!$A$7:$E$67,VLOOKUP($F$48,'表4）CO2価格'!$H$10:$I$12,2,0),0)*$F$8/1000,"")),0,IF($K54&lt;=$F$15,VLOOKUP($I54,'表4）CO2価格'!$A$7:$E$67,VLOOKUP($F$48,'表4）CO2価格'!$H$10:$I$12,2,0),0)*$F$8/1000,""))</f>
        <v/>
      </c>
      <c r="AZ54" s="71"/>
      <c r="BA54" s="11" t="str">
        <f t="shared" si="46"/>
        <v/>
      </c>
      <c r="BB54" s="10" t="str">
        <f t="shared" si="27"/>
        <v/>
      </c>
      <c r="BC54" s="71"/>
      <c r="BD54" s="10" t="str">
        <f t="shared" si="47"/>
        <v/>
      </c>
      <c r="BE54" s="10" t="str">
        <f t="shared" si="28"/>
        <v/>
      </c>
      <c r="BF54" s="71"/>
      <c r="BG54" s="11" t="str">
        <f t="shared" si="48"/>
        <v/>
      </c>
      <c r="BH54" s="10" t="str">
        <f t="shared" si="29"/>
        <v/>
      </c>
      <c r="BJ54" s="7" t="str">
        <f t="shared" si="30"/>
        <v/>
      </c>
      <c r="BK54" s="158" t="str">
        <f t="shared" si="31"/>
        <v/>
      </c>
      <c r="BL54" s="158" t="str">
        <f t="shared" si="14"/>
        <v/>
      </c>
      <c r="BM54" s="10"/>
      <c r="BN54" s="10" t="str">
        <f t="shared" si="32"/>
        <v/>
      </c>
      <c r="BO54" s="10" t="str">
        <f t="shared" si="33"/>
        <v/>
      </c>
      <c r="BQ54" s="10" t="str">
        <f t="shared" si="49"/>
        <v/>
      </c>
      <c r="BR54" s="10" t="str">
        <f t="shared" si="34"/>
        <v/>
      </c>
    </row>
    <row r="55" spans="3:70" ht="16.5" x14ac:dyDescent="0.15">
      <c r="D55" s="81" t="s">
        <v>188</v>
      </c>
      <c r="F55" s="109">
        <f>IF($F$43="需要地価格",45,55.01)</f>
        <v>55.01</v>
      </c>
      <c r="G55" s="9" t="s">
        <v>372</v>
      </c>
      <c r="I55" s="38">
        <f>I54+1</f>
        <v>2070</v>
      </c>
      <c r="J55" s="39"/>
      <c r="K55" s="39">
        <f>IF(I55&lt;&gt;"",K54+1,"")</f>
        <v>41</v>
      </c>
      <c r="L55" s="39"/>
      <c r="M55" s="40">
        <f t="shared" si="0"/>
        <v>0.29762800075126877</v>
      </c>
      <c r="N55" s="39"/>
      <c r="O55" s="72" t="str">
        <f t="shared" si="16"/>
        <v/>
      </c>
      <c r="P55" s="41" t="str">
        <f t="shared" si="38"/>
        <v/>
      </c>
      <c r="Q55" s="39"/>
      <c r="R55" s="72" t="str">
        <f t="shared" si="50"/>
        <v/>
      </c>
      <c r="S55" s="39"/>
      <c r="T55" s="72" t="str">
        <f t="shared" si="18"/>
        <v/>
      </c>
      <c r="U55" s="39"/>
      <c r="V55" s="72" t="str">
        <f t="shared" si="39"/>
        <v/>
      </c>
      <c r="W55" s="72" t="str">
        <f t="shared" si="19"/>
        <v/>
      </c>
      <c r="X55" s="39"/>
      <c r="Y55" s="72" t="str">
        <f t="shared" si="40"/>
        <v/>
      </c>
      <c r="Z55" s="72" t="str">
        <f t="shared" si="20"/>
        <v/>
      </c>
      <c r="AA55" s="39"/>
      <c r="AB55" s="72" t="str">
        <f t="shared" si="4"/>
        <v/>
      </c>
      <c r="AC55" s="72" t="str">
        <f t="shared" si="21"/>
        <v/>
      </c>
      <c r="AD55" s="39"/>
      <c r="AE55" s="72" t="str">
        <f t="shared" si="41"/>
        <v/>
      </c>
      <c r="AF55" s="72" t="str">
        <f t="shared" si="22"/>
        <v/>
      </c>
      <c r="AG55" s="39"/>
      <c r="AH55" s="72" t="str">
        <f t="shared" si="42"/>
        <v/>
      </c>
      <c r="AI55" s="72" t="str">
        <f t="shared" si="23"/>
        <v/>
      </c>
      <c r="AJ55" s="39"/>
      <c r="AK55" s="72" t="str">
        <f t="shared" si="24"/>
        <v/>
      </c>
      <c r="AL55" s="72" t="str">
        <f t="shared" si="25"/>
        <v/>
      </c>
      <c r="AM55" s="39"/>
      <c r="AN55" s="72" t="str">
        <f t="shared" si="43"/>
        <v/>
      </c>
      <c r="AO55" s="72" t="str">
        <f t="shared" si="26"/>
        <v/>
      </c>
      <c r="AP55" s="39"/>
      <c r="AQ55" s="72" t="str">
        <f t="shared" si="44"/>
        <v/>
      </c>
      <c r="AR55" s="72" t="str">
        <f t="shared" si="37"/>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45"/>
        <v/>
      </c>
      <c r="AW55" s="72" t="str">
        <f t="shared" si="10"/>
        <v/>
      </c>
      <c r="AX55" s="39"/>
      <c r="AY55" s="40" t="str">
        <f>IF(ISERROR(IF($K55&lt;=$F$15,VLOOKUP($I55,'表4）CO2価格'!$A$7:$E$67,VLOOKUP($F$48,'表4）CO2価格'!$H$10:$I$12,2,0),0)*$F$8/1000,"")),0,IF($K55&lt;=$F$15,VLOOKUP($I55,'表4）CO2価格'!$A$7:$E$67,VLOOKUP($F$48,'表4）CO2価格'!$H$10:$I$12,2,0),0)*$F$8/1000,""))</f>
        <v/>
      </c>
      <c r="AZ55" s="39"/>
      <c r="BA55" s="42" t="str">
        <f t="shared" si="46"/>
        <v/>
      </c>
      <c r="BB55" s="72" t="str">
        <f t="shared" si="27"/>
        <v/>
      </c>
      <c r="BC55" s="39"/>
      <c r="BD55" s="72" t="str">
        <f t="shared" si="47"/>
        <v/>
      </c>
      <c r="BE55" s="72" t="str">
        <f t="shared" si="28"/>
        <v/>
      </c>
      <c r="BF55" s="39"/>
      <c r="BG55" s="42" t="str">
        <f t="shared" si="48"/>
        <v/>
      </c>
      <c r="BH55" s="72" t="str">
        <f t="shared" si="29"/>
        <v/>
      </c>
      <c r="BI55" s="39"/>
      <c r="BJ55" s="40" t="str">
        <f t="shared" si="30"/>
        <v/>
      </c>
      <c r="BK55" s="157" t="str">
        <f t="shared" si="31"/>
        <v/>
      </c>
      <c r="BL55" s="157" t="str">
        <f t="shared" si="14"/>
        <v/>
      </c>
      <c r="BM55" s="72"/>
      <c r="BN55" s="72" t="str">
        <f t="shared" si="32"/>
        <v/>
      </c>
      <c r="BO55" s="72" t="str">
        <f t="shared" si="33"/>
        <v/>
      </c>
      <c r="BP55" s="39"/>
      <c r="BQ55" s="72" t="str">
        <f t="shared" si="49"/>
        <v/>
      </c>
      <c r="BR55" s="72" t="str">
        <f t="shared" si="34"/>
        <v/>
      </c>
    </row>
    <row r="56" spans="3:70" x14ac:dyDescent="0.15">
      <c r="D56" s="81" t="s">
        <v>189</v>
      </c>
      <c r="F56" s="59">
        <f>IF($F$43="需要地価格",0,2800)</f>
        <v>2800</v>
      </c>
      <c r="G56" s="81" t="s">
        <v>181</v>
      </c>
      <c r="I56" s="322">
        <f t="shared" si="35"/>
        <v>2071</v>
      </c>
      <c r="J56" s="71"/>
      <c r="K56" s="71">
        <f t="shared" si="36"/>
        <v>42</v>
      </c>
      <c r="L56" s="71"/>
      <c r="M56" s="7">
        <f t="shared" si="0"/>
        <v>0.28895922403035801</v>
      </c>
      <c r="N56" s="71"/>
      <c r="O56" s="10" t="str">
        <f t="shared" si="16"/>
        <v/>
      </c>
      <c r="P56" s="29" t="str">
        <f t="shared" si="38"/>
        <v/>
      </c>
      <c r="Q56" s="71"/>
      <c r="R56" s="10" t="str">
        <f t="shared" si="50"/>
        <v/>
      </c>
      <c r="S56" s="71"/>
      <c r="T56" s="10" t="str">
        <f t="shared" si="18"/>
        <v/>
      </c>
      <c r="U56" s="71"/>
      <c r="V56" s="10" t="str">
        <f t="shared" si="39"/>
        <v/>
      </c>
      <c r="W56" s="10" t="str">
        <f t="shared" si="19"/>
        <v/>
      </c>
      <c r="X56" s="71"/>
      <c r="Y56" s="10" t="str">
        <f t="shared" si="40"/>
        <v/>
      </c>
      <c r="Z56" s="10" t="str">
        <f t="shared" si="20"/>
        <v/>
      </c>
      <c r="AA56" s="71"/>
      <c r="AB56" s="10" t="str">
        <f t="shared" si="4"/>
        <v/>
      </c>
      <c r="AC56" s="10" t="str">
        <f t="shared" si="21"/>
        <v/>
      </c>
      <c r="AD56" s="71"/>
      <c r="AE56" s="10" t="str">
        <f t="shared" si="41"/>
        <v/>
      </c>
      <c r="AF56" s="10" t="str">
        <f t="shared" si="22"/>
        <v/>
      </c>
      <c r="AG56" s="71"/>
      <c r="AH56" s="10" t="str">
        <f t="shared" si="42"/>
        <v/>
      </c>
      <c r="AI56" s="10" t="str">
        <f t="shared" si="23"/>
        <v/>
      </c>
      <c r="AJ56" s="71"/>
      <c r="AK56" s="10" t="str">
        <f t="shared" si="24"/>
        <v/>
      </c>
      <c r="AL56" s="10" t="str">
        <f t="shared" si="25"/>
        <v/>
      </c>
      <c r="AM56" s="71"/>
      <c r="AN56" s="10" t="str">
        <f t="shared" si="43"/>
        <v/>
      </c>
      <c r="AO56" s="10" t="str">
        <f t="shared" si="26"/>
        <v/>
      </c>
      <c r="AP56" s="71"/>
      <c r="AQ56" s="10" t="str">
        <f t="shared" si="44"/>
        <v/>
      </c>
      <c r="AR56" s="10" t="str">
        <f t="shared" si="37"/>
        <v/>
      </c>
      <c r="AS56" s="71"/>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U56" s="71"/>
      <c r="AV56" s="10" t="str">
        <f t="shared" si="45"/>
        <v/>
      </c>
      <c r="AW56" s="10" t="str">
        <f t="shared" si="10"/>
        <v/>
      </c>
      <c r="AX56" s="71"/>
      <c r="AY56" s="7" t="str">
        <f>IF(ISERROR(IF($K56&lt;=$F$15,VLOOKUP($I56,'表4）CO2価格'!$A$7:$E$67,VLOOKUP($F$48,'表4）CO2価格'!$H$10:$I$12,2,0),0)*$F$8/1000,"")),0,IF($K56&lt;=$F$15,VLOOKUP($I56,'表4）CO2価格'!$A$7:$E$67,VLOOKUP($F$48,'表4）CO2価格'!$H$10:$I$12,2,0),0)*$F$8/1000,""))</f>
        <v/>
      </c>
      <c r="AZ56" s="71"/>
      <c r="BA56" s="11" t="str">
        <f t="shared" si="46"/>
        <v/>
      </c>
      <c r="BB56" s="10" t="str">
        <f t="shared" si="27"/>
        <v/>
      </c>
      <c r="BC56" s="71"/>
      <c r="BD56" s="10" t="str">
        <f t="shared" si="47"/>
        <v/>
      </c>
      <c r="BE56" s="10" t="str">
        <f t="shared" si="28"/>
        <v/>
      </c>
      <c r="BF56" s="71"/>
      <c r="BG56" s="11" t="str">
        <f t="shared" si="48"/>
        <v/>
      </c>
      <c r="BH56" s="10" t="str">
        <f t="shared" si="29"/>
        <v/>
      </c>
      <c r="BJ56" s="7" t="str">
        <f t="shared" si="30"/>
        <v/>
      </c>
      <c r="BK56" s="158" t="str">
        <f t="shared" si="31"/>
        <v/>
      </c>
      <c r="BL56" s="158" t="str">
        <f t="shared" si="14"/>
        <v/>
      </c>
      <c r="BM56" s="10"/>
      <c r="BN56" s="10" t="str">
        <f t="shared" si="32"/>
        <v/>
      </c>
      <c r="BO56" s="10" t="str">
        <f t="shared" si="33"/>
        <v/>
      </c>
      <c r="BQ56" s="10" t="str">
        <f t="shared" si="49"/>
        <v/>
      </c>
      <c r="BR56" s="10" t="str">
        <f t="shared" si="34"/>
        <v/>
      </c>
    </row>
    <row r="57" spans="3:70" x14ac:dyDescent="0.15">
      <c r="I57" s="38">
        <f t="shared" si="35"/>
        <v>2072</v>
      </c>
      <c r="J57" s="39"/>
      <c r="K57" s="39">
        <f t="shared" si="36"/>
        <v>43</v>
      </c>
      <c r="L57" s="39"/>
      <c r="M57" s="40">
        <f t="shared" si="0"/>
        <v>0.28054293595180391</v>
      </c>
      <c r="N57" s="39"/>
      <c r="O57" s="72" t="str">
        <f t="shared" si="16"/>
        <v/>
      </c>
      <c r="P57" s="41" t="str">
        <f t="shared" si="38"/>
        <v/>
      </c>
      <c r="Q57" s="39"/>
      <c r="R57" s="72" t="str">
        <f t="shared" si="50"/>
        <v/>
      </c>
      <c r="S57" s="39"/>
      <c r="T57" s="72" t="str">
        <f t="shared" si="18"/>
        <v/>
      </c>
      <c r="U57" s="39"/>
      <c r="V57" s="72" t="str">
        <f t="shared" si="39"/>
        <v/>
      </c>
      <c r="W57" s="72" t="str">
        <f t="shared" si="19"/>
        <v/>
      </c>
      <c r="X57" s="39"/>
      <c r="Y57" s="72" t="str">
        <f t="shared" si="40"/>
        <v/>
      </c>
      <c r="Z57" s="72" t="str">
        <f t="shared" si="20"/>
        <v/>
      </c>
      <c r="AA57" s="39"/>
      <c r="AB57" s="72" t="str">
        <f t="shared" si="4"/>
        <v/>
      </c>
      <c r="AC57" s="72" t="str">
        <f t="shared" si="21"/>
        <v/>
      </c>
      <c r="AD57" s="39"/>
      <c r="AE57" s="72" t="str">
        <f t="shared" si="41"/>
        <v/>
      </c>
      <c r="AF57" s="72" t="str">
        <f t="shared" si="22"/>
        <v/>
      </c>
      <c r="AG57" s="39"/>
      <c r="AH57" s="72" t="str">
        <f t="shared" si="42"/>
        <v/>
      </c>
      <c r="AI57" s="72" t="str">
        <f t="shared" si="23"/>
        <v/>
      </c>
      <c r="AJ57" s="39"/>
      <c r="AK57" s="72" t="str">
        <f t="shared" si="24"/>
        <v/>
      </c>
      <c r="AL57" s="72" t="str">
        <f t="shared" si="25"/>
        <v/>
      </c>
      <c r="AM57" s="39"/>
      <c r="AN57" s="72" t="str">
        <f t="shared" si="43"/>
        <v/>
      </c>
      <c r="AO57" s="72" t="str">
        <f t="shared" si="26"/>
        <v/>
      </c>
      <c r="AP57" s="39"/>
      <c r="AQ57" s="72" t="str">
        <f t="shared" si="44"/>
        <v/>
      </c>
      <c r="AR57" s="72" t="str">
        <f t="shared" si="37"/>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45"/>
        <v/>
      </c>
      <c r="AW57" s="72" t="str">
        <f t="shared" si="10"/>
        <v/>
      </c>
      <c r="AX57" s="39"/>
      <c r="AY57" s="40" t="str">
        <f>IF(ISERROR(IF($K57&lt;=$F$15,VLOOKUP($I57,'表4）CO2価格'!$A$7:$E$67,VLOOKUP($F$48,'表4）CO2価格'!$H$10:$I$12,2,0),0)*$F$8/1000,"")),0,IF($K57&lt;=$F$15,VLOOKUP($I57,'表4）CO2価格'!$A$7:$E$67,VLOOKUP($F$48,'表4）CO2価格'!$H$10:$I$12,2,0),0)*$F$8/1000,""))</f>
        <v/>
      </c>
      <c r="AZ57" s="39"/>
      <c r="BA57" s="42" t="str">
        <f t="shared" si="46"/>
        <v/>
      </c>
      <c r="BB57" s="72" t="str">
        <f t="shared" si="27"/>
        <v/>
      </c>
      <c r="BC57" s="39"/>
      <c r="BD57" s="72" t="str">
        <f t="shared" si="47"/>
        <v/>
      </c>
      <c r="BE57" s="72" t="str">
        <f t="shared" si="28"/>
        <v/>
      </c>
      <c r="BF57" s="39"/>
      <c r="BG57" s="42" t="str">
        <f t="shared" si="48"/>
        <v/>
      </c>
      <c r="BH57" s="72" t="str">
        <f t="shared" si="29"/>
        <v/>
      </c>
      <c r="BI57" s="39"/>
      <c r="BJ57" s="40" t="str">
        <f t="shared" si="30"/>
        <v/>
      </c>
      <c r="BK57" s="157" t="str">
        <f t="shared" si="31"/>
        <v/>
      </c>
      <c r="BL57" s="157" t="str">
        <f t="shared" si="14"/>
        <v/>
      </c>
      <c r="BM57" s="72"/>
      <c r="BN57" s="72" t="str">
        <f t="shared" si="32"/>
        <v/>
      </c>
      <c r="BO57" s="72" t="str">
        <f t="shared" si="33"/>
        <v/>
      </c>
      <c r="BP57" s="39"/>
      <c r="BQ57" s="72" t="str">
        <f t="shared" si="49"/>
        <v/>
      </c>
      <c r="BR57" s="72" t="str">
        <f t="shared" si="34"/>
        <v/>
      </c>
    </row>
    <row r="58" spans="3:70" x14ac:dyDescent="0.15">
      <c r="C58" s="89" t="s">
        <v>512</v>
      </c>
      <c r="D58" s="101"/>
      <c r="E58" s="101"/>
      <c r="F58" s="89"/>
      <c r="G58" s="101"/>
      <c r="I58" s="322">
        <f t="shared" si="35"/>
        <v>2073</v>
      </c>
      <c r="J58" s="71"/>
      <c r="K58" s="71">
        <f t="shared" si="36"/>
        <v>44</v>
      </c>
      <c r="L58" s="71"/>
      <c r="M58" s="7">
        <f t="shared" si="0"/>
        <v>0.27237178247747956</v>
      </c>
      <c r="N58" s="71"/>
      <c r="O58" s="10" t="str">
        <f t="shared" si="16"/>
        <v/>
      </c>
      <c r="P58" s="29" t="str">
        <f t="shared" si="38"/>
        <v/>
      </c>
      <c r="Q58" s="71"/>
      <c r="R58" s="10" t="str">
        <f t="shared" si="50"/>
        <v/>
      </c>
      <c r="S58" s="71"/>
      <c r="T58" s="10" t="str">
        <f t="shared" si="18"/>
        <v/>
      </c>
      <c r="U58" s="71"/>
      <c r="V58" s="10" t="str">
        <f t="shared" si="39"/>
        <v/>
      </c>
      <c r="W58" s="10" t="str">
        <f t="shared" si="19"/>
        <v/>
      </c>
      <c r="X58" s="71"/>
      <c r="Y58" s="10" t="str">
        <f t="shared" si="40"/>
        <v/>
      </c>
      <c r="Z58" s="10" t="str">
        <f t="shared" si="20"/>
        <v/>
      </c>
      <c r="AA58" s="71"/>
      <c r="AB58" s="10" t="str">
        <f t="shared" si="4"/>
        <v/>
      </c>
      <c r="AC58" s="10" t="str">
        <f t="shared" si="21"/>
        <v/>
      </c>
      <c r="AD58" s="71"/>
      <c r="AE58" s="10" t="str">
        <f t="shared" si="41"/>
        <v/>
      </c>
      <c r="AF58" s="10" t="str">
        <f t="shared" si="22"/>
        <v/>
      </c>
      <c r="AG58" s="71"/>
      <c r="AH58" s="10" t="str">
        <f t="shared" si="42"/>
        <v/>
      </c>
      <c r="AI58" s="10" t="str">
        <f t="shared" si="23"/>
        <v/>
      </c>
      <c r="AJ58" s="71"/>
      <c r="AK58" s="10" t="str">
        <f t="shared" si="24"/>
        <v/>
      </c>
      <c r="AL58" s="10" t="str">
        <f t="shared" si="25"/>
        <v/>
      </c>
      <c r="AM58" s="71"/>
      <c r="AN58" s="10" t="str">
        <f t="shared" si="43"/>
        <v/>
      </c>
      <c r="AO58" s="10" t="str">
        <f t="shared" si="26"/>
        <v/>
      </c>
      <c r="AP58" s="71"/>
      <c r="AQ58" s="10" t="str">
        <f t="shared" si="44"/>
        <v/>
      </c>
      <c r="AR58" s="10" t="str">
        <f t="shared" si="37"/>
        <v/>
      </c>
      <c r="AS58" s="71"/>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U58" s="71"/>
      <c r="AV58" s="10" t="str">
        <f t="shared" si="45"/>
        <v/>
      </c>
      <c r="AW58" s="10" t="str">
        <f t="shared" si="10"/>
        <v/>
      </c>
      <c r="AX58" s="71"/>
      <c r="AY58" s="7" t="str">
        <f>IF(ISERROR(IF($K58&lt;=$F$15,VLOOKUP($I58,'表4）CO2価格'!$A$7:$E$67,VLOOKUP($F$48,'表4）CO2価格'!$H$10:$I$12,2,0),0)*$F$8/1000,"")),0,IF($K58&lt;=$F$15,VLOOKUP($I58,'表4）CO2価格'!$A$7:$E$67,VLOOKUP($F$48,'表4）CO2価格'!$H$10:$I$12,2,0),0)*$F$8/1000,""))</f>
        <v/>
      </c>
      <c r="AZ58" s="71"/>
      <c r="BA58" s="11" t="str">
        <f t="shared" si="46"/>
        <v/>
      </c>
      <c r="BB58" s="10" t="str">
        <f t="shared" si="27"/>
        <v/>
      </c>
      <c r="BC58" s="71"/>
      <c r="BD58" s="10" t="str">
        <f t="shared" si="47"/>
        <v/>
      </c>
      <c r="BE58" s="10" t="str">
        <f t="shared" si="28"/>
        <v/>
      </c>
      <c r="BF58" s="71"/>
      <c r="BG58" s="11" t="str">
        <f t="shared" si="48"/>
        <v/>
      </c>
      <c r="BH58" s="10" t="str">
        <f t="shared" si="29"/>
        <v/>
      </c>
      <c r="BJ58" s="7" t="str">
        <f t="shared" si="30"/>
        <v/>
      </c>
      <c r="BK58" s="158" t="str">
        <f t="shared" si="31"/>
        <v/>
      </c>
      <c r="BL58" s="158" t="str">
        <f t="shared" si="14"/>
        <v/>
      </c>
      <c r="BM58" s="10"/>
      <c r="BN58" s="10" t="str">
        <f t="shared" si="32"/>
        <v/>
      </c>
      <c r="BO58" s="10" t="str">
        <f t="shared" si="33"/>
        <v/>
      </c>
      <c r="BQ58" s="10" t="str">
        <f t="shared" si="49"/>
        <v/>
      </c>
      <c r="BR58" s="10" t="str">
        <f t="shared" si="34"/>
        <v/>
      </c>
    </row>
    <row r="59" spans="3:70" x14ac:dyDescent="0.15">
      <c r="I59" s="38">
        <f t="shared" si="35"/>
        <v>2074</v>
      </c>
      <c r="J59" s="39"/>
      <c r="K59" s="39">
        <f t="shared" si="36"/>
        <v>45</v>
      </c>
      <c r="L59" s="39"/>
      <c r="M59" s="40">
        <f t="shared" si="0"/>
        <v>0.26443862376454325</v>
      </c>
      <c r="N59" s="39"/>
      <c r="O59" s="72" t="str">
        <f t="shared" si="16"/>
        <v/>
      </c>
      <c r="P59" s="41" t="str">
        <f t="shared" si="38"/>
        <v/>
      </c>
      <c r="Q59" s="39"/>
      <c r="R59" s="72" t="str">
        <f t="shared" si="50"/>
        <v/>
      </c>
      <c r="S59" s="39"/>
      <c r="T59" s="72" t="str">
        <f t="shared" si="18"/>
        <v/>
      </c>
      <c r="U59" s="39"/>
      <c r="V59" s="72" t="str">
        <f t="shared" si="39"/>
        <v/>
      </c>
      <c r="W59" s="72" t="str">
        <f t="shared" si="19"/>
        <v/>
      </c>
      <c r="X59" s="39"/>
      <c r="Y59" s="72" t="str">
        <f t="shared" si="40"/>
        <v/>
      </c>
      <c r="Z59" s="72" t="str">
        <f t="shared" si="20"/>
        <v/>
      </c>
      <c r="AA59" s="39"/>
      <c r="AB59" s="72" t="str">
        <f t="shared" si="4"/>
        <v/>
      </c>
      <c r="AC59" s="72" t="str">
        <f t="shared" si="21"/>
        <v/>
      </c>
      <c r="AD59" s="39"/>
      <c r="AE59" s="72" t="str">
        <f t="shared" si="41"/>
        <v/>
      </c>
      <c r="AF59" s="72" t="str">
        <f t="shared" si="22"/>
        <v/>
      </c>
      <c r="AG59" s="39"/>
      <c r="AH59" s="72" t="str">
        <f t="shared" si="42"/>
        <v/>
      </c>
      <c r="AI59" s="72" t="str">
        <f t="shared" si="23"/>
        <v/>
      </c>
      <c r="AJ59" s="39"/>
      <c r="AK59" s="72" t="str">
        <f t="shared" si="24"/>
        <v/>
      </c>
      <c r="AL59" s="72" t="str">
        <f t="shared" si="25"/>
        <v/>
      </c>
      <c r="AM59" s="39"/>
      <c r="AN59" s="72" t="str">
        <f t="shared" si="43"/>
        <v/>
      </c>
      <c r="AO59" s="72" t="str">
        <f t="shared" si="26"/>
        <v/>
      </c>
      <c r="AP59" s="39"/>
      <c r="AQ59" s="72" t="str">
        <f t="shared" si="44"/>
        <v/>
      </c>
      <c r="AR59" s="72" t="str">
        <f t="shared" si="37"/>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45"/>
        <v/>
      </c>
      <c r="AW59" s="72" t="str">
        <f t="shared" si="10"/>
        <v/>
      </c>
      <c r="AX59" s="39"/>
      <c r="AY59" s="40" t="str">
        <f>IF(ISERROR(IF($K59&lt;=$F$15,VLOOKUP($I59,'表4）CO2価格'!$A$7:$E$67,VLOOKUP($F$48,'表4）CO2価格'!$H$10:$I$12,2,0),0)*$F$8/1000,"")),0,IF($K59&lt;=$F$15,VLOOKUP($I59,'表4）CO2価格'!$A$7:$E$67,VLOOKUP($F$48,'表4）CO2価格'!$H$10:$I$12,2,0),0)*$F$8/1000,""))</f>
        <v/>
      </c>
      <c r="AZ59" s="39"/>
      <c r="BA59" s="42" t="str">
        <f t="shared" si="46"/>
        <v/>
      </c>
      <c r="BB59" s="72" t="str">
        <f t="shared" si="27"/>
        <v/>
      </c>
      <c r="BC59" s="39"/>
      <c r="BD59" s="72" t="str">
        <f t="shared" si="47"/>
        <v/>
      </c>
      <c r="BE59" s="72" t="str">
        <f t="shared" si="28"/>
        <v/>
      </c>
      <c r="BF59" s="39"/>
      <c r="BG59" s="42" t="str">
        <f t="shared" si="48"/>
        <v/>
      </c>
      <c r="BH59" s="72" t="str">
        <f t="shared" si="29"/>
        <v/>
      </c>
      <c r="BI59" s="39"/>
      <c r="BJ59" s="40" t="str">
        <f t="shared" si="30"/>
        <v/>
      </c>
      <c r="BK59" s="157" t="str">
        <f t="shared" si="31"/>
        <v/>
      </c>
      <c r="BL59" s="157" t="str">
        <f t="shared" si="14"/>
        <v/>
      </c>
      <c r="BM59" s="72"/>
      <c r="BN59" s="72" t="str">
        <f t="shared" si="32"/>
        <v/>
      </c>
      <c r="BO59" s="72" t="str">
        <f t="shared" si="33"/>
        <v/>
      </c>
      <c r="BP59" s="39"/>
      <c r="BQ59" s="72" t="str">
        <f t="shared" si="49"/>
        <v/>
      </c>
      <c r="BR59" s="72" t="str">
        <f t="shared" si="34"/>
        <v/>
      </c>
    </row>
    <row r="60" spans="3:70" x14ac:dyDescent="0.15">
      <c r="D60" s="81" t="s">
        <v>128</v>
      </c>
      <c r="F60" s="59"/>
      <c r="G60" s="81" t="s">
        <v>176</v>
      </c>
      <c r="I60" s="322">
        <f t="shared" si="35"/>
        <v>2075</v>
      </c>
      <c r="J60" s="71"/>
      <c r="K60" s="71">
        <f t="shared" si="36"/>
        <v>46</v>
      </c>
      <c r="L60" s="71"/>
      <c r="M60" s="7">
        <f t="shared" si="0"/>
        <v>0.25673652792674101</v>
      </c>
      <c r="N60" s="71"/>
      <c r="O60" s="10" t="str">
        <f t="shared" si="16"/>
        <v/>
      </c>
      <c r="P60" s="29" t="str">
        <f t="shared" si="38"/>
        <v/>
      </c>
      <c r="Q60" s="71"/>
      <c r="R60" s="10" t="str">
        <f t="shared" si="50"/>
        <v/>
      </c>
      <c r="S60" s="71"/>
      <c r="T60" s="10" t="str">
        <f t="shared" si="18"/>
        <v/>
      </c>
      <c r="U60" s="71"/>
      <c r="V60" s="10" t="str">
        <f t="shared" si="39"/>
        <v/>
      </c>
      <c r="W60" s="10" t="str">
        <f t="shared" si="19"/>
        <v/>
      </c>
      <c r="X60" s="71"/>
      <c r="Y60" s="10" t="str">
        <f t="shared" si="40"/>
        <v/>
      </c>
      <c r="Z60" s="10" t="str">
        <f t="shared" si="20"/>
        <v/>
      </c>
      <c r="AA60" s="71"/>
      <c r="AB60" s="10" t="str">
        <f t="shared" si="4"/>
        <v/>
      </c>
      <c r="AC60" s="10" t="str">
        <f t="shared" si="21"/>
        <v/>
      </c>
      <c r="AD60" s="71"/>
      <c r="AE60" s="10" t="str">
        <f t="shared" si="41"/>
        <v/>
      </c>
      <c r="AF60" s="10" t="str">
        <f t="shared" si="22"/>
        <v/>
      </c>
      <c r="AG60" s="71"/>
      <c r="AH60" s="10" t="str">
        <f t="shared" si="42"/>
        <v/>
      </c>
      <c r="AI60" s="10" t="str">
        <f t="shared" si="23"/>
        <v/>
      </c>
      <c r="AJ60" s="71"/>
      <c r="AK60" s="10" t="str">
        <f t="shared" si="24"/>
        <v/>
      </c>
      <c r="AL60" s="10" t="str">
        <f t="shared" si="25"/>
        <v/>
      </c>
      <c r="AM60" s="71"/>
      <c r="AN60" s="10" t="str">
        <f t="shared" si="43"/>
        <v/>
      </c>
      <c r="AO60" s="10" t="str">
        <f t="shared" si="26"/>
        <v/>
      </c>
      <c r="AP60" s="71"/>
      <c r="AQ60" s="10" t="str">
        <f t="shared" si="44"/>
        <v/>
      </c>
      <c r="AR60" s="10" t="str">
        <f t="shared" si="37"/>
        <v/>
      </c>
      <c r="AS60" s="71"/>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U60" s="71"/>
      <c r="AV60" s="10" t="str">
        <f t="shared" si="45"/>
        <v/>
      </c>
      <c r="AW60" s="10" t="str">
        <f t="shared" si="10"/>
        <v/>
      </c>
      <c r="AX60" s="71"/>
      <c r="AY60" s="7" t="str">
        <f>IF(ISERROR(IF($K60&lt;=$F$15,VLOOKUP($I60,'表4）CO2価格'!$A$7:$E$67,VLOOKUP($F$48,'表4）CO2価格'!$H$10:$I$12,2,0),0)*$F$8/1000,"")),0,IF($K60&lt;=$F$15,VLOOKUP($I60,'表4）CO2価格'!$A$7:$E$67,VLOOKUP($F$48,'表4）CO2価格'!$H$10:$I$12,2,0),0)*$F$8/1000,""))</f>
        <v/>
      </c>
      <c r="AZ60" s="71"/>
      <c r="BA60" s="11" t="str">
        <f t="shared" si="46"/>
        <v/>
      </c>
      <c r="BB60" s="10" t="str">
        <f t="shared" si="27"/>
        <v/>
      </c>
      <c r="BC60" s="71"/>
      <c r="BD60" s="10" t="str">
        <f t="shared" si="47"/>
        <v/>
      </c>
      <c r="BE60" s="10" t="str">
        <f t="shared" si="28"/>
        <v/>
      </c>
      <c r="BF60" s="71"/>
      <c r="BG60" s="11" t="str">
        <f t="shared" si="48"/>
        <v/>
      </c>
      <c r="BH60" s="10" t="str">
        <f t="shared" si="29"/>
        <v/>
      </c>
      <c r="BJ60" s="7" t="str">
        <f t="shared" si="30"/>
        <v/>
      </c>
      <c r="BK60" s="158" t="str">
        <f t="shared" si="31"/>
        <v/>
      </c>
      <c r="BL60" s="158" t="str">
        <f t="shared" si="14"/>
        <v/>
      </c>
      <c r="BM60" s="10"/>
      <c r="BN60" s="10" t="str">
        <f t="shared" si="32"/>
        <v/>
      </c>
      <c r="BO60" s="10" t="str">
        <f t="shared" si="33"/>
        <v/>
      </c>
      <c r="BQ60" s="10" t="str">
        <f t="shared" si="49"/>
        <v/>
      </c>
      <c r="BR60" s="10" t="str">
        <f t="shared" si="34"/>
        <v/>
      </c>
    </row>
    <row r="61" spans="3:70" x14ac:dyDescent="0.15">
      <c r="D61" s="81" t="s">
        <v>190</v>
      </c>
      <c r="F61" s="66"/>
      <c r="G61" s="81" t="s">
        <v>108</v>
      </c>
      <c r="I61" s="38">
        <f t="shared" si="35"/>
        <v>2076</v>
      </c>
      <c r="J61" s="39"/>
      <c r="K61" s="39">
        <f t="shared" si="36"/>
        <v>47</v>
      </c>
      <c r="L61" s="39"/>
      <c r="M61" s="40">
        <f t="shared" si="0"/>
        <v>0.24925876497741845</v>
      </c>
      <c r="N61" s="39"/>
      <c r="O61" s="72" t="str">
        <f t="shared" si="16"/>
        <v/>
      </c>
      <c r="P61" s="41" t="str">
        <f t="shared" si="38"/>
        <v/>
      </c>
      <c r="Q61" s="39"/>
      <c r="R61" s="72" t="str">
        <f t="shared" si="50"/>
        <v/>
      </c>
      <c r="S61" s="39"/>
      <c r="T61" s="72" t="str">
        <f t="shared" si="18"/>
        <v/>
      </c>
      <c r="U61" s="39"/>
      <c r="V61" s="72" t="str">
        <f t="shared" si="39"/>
        <v/>
      </c>
      <c r="W61" s="72" t="str">
        <f t="shared" si="19"/>
        <v/>
      </c>
      <c r="X61" s="39"/>
      <c r="Y61" s="72" t="str">
        <f t="shared" si="40"/>
        <v/>
      </c>
      <c r="Z61" s="72" t="str">
        <f t="shared" si="20"/>
        <v/>
      </c>
      <c r="AA61" s="39"/>
      <c r="AB61" s="72" t="str">
        <f t="shared" si="4"/>
        <v/>
      </c>
      <c r="AC61" s="72" t="str">
        <f t="shared" si="21"/>
        <v/>
      </c>
      <c r="AD61" s="39"/>
      <c r="AE61" s="72" t="str">
        <f t="shared" si="41"/>
        <v/>
      </c>
      <c r="AF61" s="72" t="str">
        <f t="shared" si="22"/>
        <v/>
      </c>
      <c r="AG61" s="39"/>
      <c r="AH61" s="72" t="str">
        <f t="shared" si="42"/>
        <v/>
      </c>
      <c r="AI61" s="72" t="str">
        <f t="shared" si="23"/>
        <v/>
      </c>
      <c r="AJ61" s="39"/>
      <c r="AK61" s="72" t="str">
        <f t="shared" si="24"/>
        <v/>
      </c>
      <c r="AL61" s="72" t="str">
        <f t="shared" si="25"/>
        <v/>
      </c>
      <c r="AM61" s="39"/>
      <c r="AN61" s="72" t="str">
        <f t="shared" si="43"/>
        <v/>
      </c>
      <c r="AO61" s="72" t="str">
        <f t="shared" si="26"/>
        <v/>
      </c>
      <c r="AP61" s="39"/>
      <c r="AQ61" s="72" t="str">
        <f t="shared" si="44"/>
        <v/>
      </c>
      <c r="AR61" s="72" t="str">
        <f t="shared" si="37"/>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45"/>
        <v/>
      </c>
      <c r="AW61" s="72" t="str">
        <f t="shared" si="10"/>
        <v/>
      </c>
      <c r="AX61" s="39"/>
      <c r="AY61" s="40" t="str">
        <f>IF(ISERROR(IF($K61&lt;=$F$15,VLOOKUP($I61,'表4）CO2価格'!$A$7:$E$67,VLOOKUP($F$48,'表4）CO2価格'!$H$10:$I$12,2,0),0)*$F$8/1000,"")),0,IF($K61&lt;=$F$15,VLOOKUP($I61,'表4）CO2価格'!$A$7:$E$67,VLOOKUP($F$48,'表4）CO2価格'!$H$10:$I$12,2,0),0)*$F$8/1000,""))</f>
        <v/>
      </c>
      <c r="AZ61" s="39"/>
      <c r="BA61" s="42" t="str">
        <f t="shared" si="46"/>
        <v/>
      </c>
      <c r="BB61" s="72" t="str">
        <f t="shared" si="27"/>
        <v/>
      </c>
      <c r="BC61" s="39"/>
      <c r="BD61" s="72" t="str">
        <f t="shared" si="47"/>
        <v/>
      </c>
      <c r="BE61" s="72" t="str">
        <f t="shared" si="28"/>
        <v/>
      </c>
      <c r="BF61" s="39"/>
      <c r="BG61" s="42" t="str">
        <f t="shared" si="48"/>
        <v/>
      </c>
      <c r="BH61" s="72" t="str">
        <f t="shared" si="29"/>
        <v/>
      </c>
      <c r="BI61" s="39"/>
      <c r="BJ61" s="40" t="str">
        <f t="shared" si="30"/>
        <v/>
      </c>
      <c r="BK61" s="157" t="str">
        <f t="shared" si="31"/>
        <v/>
      </c>
      <c r="BL61" s="157" t="str">
        <f t="shared" si="14"/>
        <v/>
      </c>
      <c r="BM61" s="72"/>
      <c r="BN61" s="72" t="str">
        <f t="shared" si="32"/>
        <v/>
      </c>
      <c r="BO61" s="72" t="str">
        <f t="shared" si="33"/>
        <v/>
      </c>
      <c r="BP61" s="39"/>
      <c r="BQ61" s="72" t="str">
        <f t="shared" si="49"/>
        <v/>
      </c>
      <c r="BR61" s="72" t="str">
        <f t="shared" si="34"/>
        <v/>
      </c>
    </row>
    <row r="62" spans="3:70" x14ac:dyDescent="0.15">
      <c r="D62" s="81" t="s">
        <v>131</v>
      </c>
      <c r="F62" s="59"/>
      <c r="G62" s="81" t="s">
        <v>191</v>
      </c>
      <c r="I62" s="322">
        <f t="shared" si="35"/>
        <v>2077</v>
      </c>
      <c r="J62" s="71"/>
      <c r="K62" s="71">
        <f t="shared" si="36"/>
        <v>48</v>
      </c>
      <c r="L62" s="71"/>
      <c r="M62" s="7">
        <f t="shared" si="0"/>
        <v>0.24199880094894996</v>
      </c>
      <c r="N62" s="71"/>
      <c r="O62" s="10" t="str">
        <f t="shared" si="16"/>
        <v/>
      </c>
      <c r="P62" s="29" t="str">
        <f t="shared" si="38"/>
        <v/>
      </c>
      <c r="Q62" s="71"/>
      <c r="R62" s="10" t="str">
        <f t="shared" si="50"/>
        <v/>
      </c>
      <c r="S62" s="71"/>
      <c r="T62" s="10" t="str">
        <f t="shared" si="18"/>
        <v/>
      </c>
      <c r="U62" s="71"/>
      <c r="V62" s="10" t="str">
        <f t="shared" si="39"/>
        <v/>
      </c>
      <c r="W62" s="10" t="str">
        <f t="shared" si="19"/>
        <v/>
      </c>
      <c r="X62" s="71"/>
      <c r="Y62" s="10" t="str">
        <f t="shared" si="40"/>
        <v/>
      </c>
      <c r="Z62" s="10" t="str">
        <f t="shared" si="20"/>
        <v/>
      </c>
      <c r="AA62" s="71"/>
      <c r="AB62" s="10" t="str">
        <f t="shared" si="4"/>
        <v/>
      </c>
      <c r="AC62" s="10" t="str">
        <f t="shared" si="21"/>
        <v/>
      </c>
      <c r="AD62" s="71"/>
      <c r="AE62" s="10" t="str">
        <f t="shared" si="41"/>
        <v/>
      </c>
      <c r="AF62" s="10" t="str">
        <f t="shared" si="22"/>
        <v/>
      </c>
      <c r="AG62" s="71"/>
      <c r="AH62" s="10" t="str">
        <f t="shared" si="42"/>
        <v/>
      </c>
      <c r="AI62" s="10" t="str">
        <f t="shared" si="23"/>
        <v/>
      </c>
      <c r="AJ62" s="71"/>
      <c r="AK62" s="10" t="str">
        <f t="shared" si="24"/>
        <v/>
      </c>
      <c r="AL62" s="10" t="str">
        <f t="shared" si="25"/>
        <v/>
      </c>
      <c r="AM62" s="71"/>
      <c r="AN62" s="10" t="str">
        <f t="shared" si="43"/>
        <v/>
      </c>
      <c r="AO62" s="10" t="str">
        <f t="shared" si="26"/>
        <v/>
      </c>
      <c r="AP62" s="71"/>
      <c r="AQ62" s="10" t="str">
        <f t="shared" si="44"/>
        <v/>
      </c>
      <c r="AR62" s="10" t="str">
        <f t="shared" si="37"/>
        <v/>
      </c>
      <c r="AS62" s="71"/>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U62" s="71"/>
      <c r="AV62" s="10" t="str">
        <f t="shared" si="45"/>
        <v/>
      </c>
      <c r="AW62" s="10" t="str">
        <f t="shared" si="10"/>
        <v/>
      </c>
      <c r="AX62" s="71"/>
      <c r="AY62" s="7" t="str">
        <f>IF(ISERROR(IF($K62&lt;=$F$15,VLOOKUP($I62,'表4）CO2価格'!$A$7:$E$67,VLOOKUP($F$48,'表4）CO2価格'!$H$10:$I$12,2,0),0)*$F$8/1000,"")),0,IF($K62&lt;=$F$15,VLOOKUP($I62,'表4）CO2価格'!$A$7:$E$67,VLOOKUP($F$48,'表4）CO2価格'!$H$10:$I$12,2,0),0)*$F$8/1000,""))</f>
        <v/>
      </c>
      <c r="AZ62" s="71"/>
      <c r="BA62" s="11" t="str">
        <f t="shared" si="46"/>
        <v/>
      </c>
      <c r="BB62" s="10" t="str">
        <f t="shared" si="27"/>
        <v/>
      </c>
      <c r="BC62" s="71"/>
      <c r="BD62" s="10" t="str">
        <f t="shared" si="47"/>
        <v/>
      </c>
      <c r="BE62" s="10" t="str">
        <f t="shared" si="28"/>
        <v/>
      </c>
      <c r="BF62" s="71"/>
      <c r="BG62" s="11" t="str">
        <f t="shared" si="48"/>
        <v/>
      </c>
      <c r="BH62" s="10" t="str">
        <f t="shared" si="29"/>
        <v/>
      </c>
      <c r="BJ62" s="7" t="str">
        <f t="shared" si="30"/>
        <v/>
      </c>
      <c r="BK62" s="158" t="str">
        <f t="shared" si="31"/>
        <v/>
      </c>
      <c r="BL62" s="158" t="str">
        <f t="shared" si="14"/>
        <v/>
      </c>
      <c r="BM62" s="10"/>
      <c r="BN62" s="10" t="str">
        <f t="shared" si="32"/>
        <v/>
      </c>
      <c r="BO62" s="10" t="str">
        <f t="shared" si="33"/>
        <v/>
      </c>
      <c r="BQ62" s="10" t="str">
        <f t="shared" si="49"/>
        <v/>
      </c>
      <c r="BR62" s="10" t="str">
        <f t="shared" si="34"/>
        <v/>
      </c>
    </row>
    <row r="63" spans="3:70" x14ac:dyDescent="0.15">
      <c r="I63" s="38">
        <f t="shared" si="35"/>
        <v>2078</v>
      </c>
      <c r="J63" s="39"/>
      <c r="K63" s="39">
        <f t="shared" si="36"/>
        <v>49</v>
      </c>
      <c r="L63" s="39"/>
      <c r="M63" s="40">
        <f t="shared" si="0"/>
        <v>0.2349502921834466</v>
      </c>
      <c r="N63" s="39"/>
      <c r="O63" s="72" t="str">
        <f t="shared" si="16"/>
        <v/>
      </c>
      <c r="P63" s="41" t="str">
        <f t="shared" si="38"/>
        <v/>
      </c>
      <c r="Q63" s="39"/>
      <c r="R63" s="72" t="str">
        <f t="shared" si="50"/>
        <v/>
      </c>
      <c r="S63" s="39"/>
      <c r="T63" s="72" t="str">
        <f t="shared" si="18"/>
        <v/>
      </c>
      <c r="U63" s="39"/>
      <c r="V63" s="72" t="str">
        <f t="shared" si="39"/>
        <v/>
      </c>
      <c r="W63" s="72" t="str">
        <f t="shared" si="19"/>
        <v/>
      </c>
      <c r="X63" s="39"/>
      <c r="Y63" s="72" t="str">
        <f t="shared" si="40"/>
        <v/>
      </c>
      <c r="Z63" s="72" t="str">
        <f t="shared" si="20"/>
        <v/>
      </c>
      <c r="AA63" s="39"/>
      <c r="AB63" s="72" t="str">
        <f t="shared" si="4"/>
        <v/>
      </c>
      <c r="AC63" s="72" t="str">
        <f t="shared" si="21"/>
        <v/>
      </c>
      <c r="AD63" s="39"/>
      <c r="AE63" s="72" t="str">
        <f t="shared" si="41"/>
        <v/>
      </c>
      <c r="AF63" s="72" t="str">
        <f t="shared" si="22"/>
        <v/>
      </c>
      <c r="AG63" s="39"/>
      <c r="AH63" s="72" t="str">
        <f t="shared" si="42"/>
        <v/>
      </c>
      <c r="AI63" s="72" t="str">
        <f t="shared" si="23"/>
        <v/>
      </c>
      <c r="AJ63" s="39"/>
      <c r="AK63" s="72" t="str">
        <f t="shared" si="24"/>
        <v/>
      </c>
      <c r="AL63" s="72" t="str">
        <f t="shared" si="25"/>
        <v/>
      </c>
      <c r="AM63" s="39"/>
      <c r="AN63" s="72" t="str">
        <f t="shared" si="43"/>
        <v/>
      </c>
      <c r="AO63" s="72" t="str">
        <f t="shared" si="26"/>
        <v/>
      </c>
      <c r="AP63" s="39"/>
      <c r="AQ63" s="72" t="str">
        <f t="shared" si="44"/>
        <v/>
      </c>
      <c r="AR63" s="72" t="str">
        <f t="shared" si="37"/>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45"/>
        <v/>
      </c>
      <c r="AW63" s="72" t="str">
        <f t="shared" si="10"/>
        <v/>
      </c>
      <c r="AX63" s="39"/>
      <c r="AY63" s="40" t="str">
        <f>IF(ISERROR(IF($K63&lt;=$F$15,VLOOKUP($I63,'表4）CO2価格'!$A$7:$E$67,VLOOKUP($F$48,'表4）CO2価格'!$H$10:$I$12,2,0),0)*$F$8/1000,"")),0,IF($K63&lt;=$F$15,VLOOKUP($I63,'表4）CO2価格'!$A$7:$E$67,VLOOKUP($F$48,'表4）CO2価格'!$H$10:$I$12,2,0),0)*$F$8/1000,""))</f>
        <v/>
      </c>
      <c r="AZ63" s="39"/>
      <c r="BA63" s="42" t="str">
        <f t="shared" si="46"/>
        <v/>
      </c>
      <c r="BB63" s="72" t="str">
        <f t="shared" si="27"/>
        <v/>
      </c>
      <c r="BC63" s="39"/>
      <c r="BD63" s="72" t="str">
        <f t="shared" si="47"/>
        <v/>
      </c>
      <c r="BE63" s="72" t="str">
        <f t="shared" si="28"/>
        <v/>
      </c>
      <c r="BF63" s="39"/>
      <c r="BG63" s="42" t="str">
        <f t="shared" si="48"/>
        <v/>
      </c>
      <c r="BH63" s="72" t="str">
        <f t="shared" si="29"/>
        <v/>
      </c>
      <c r="BI63" s="39"/>
      <c r="BJ63" s="40" t="str">
        <f t="shared" si="30"/>
        <v/>
      </c>
      <c r="BK63" s="157" t="str">
        <f t="shared" si="31"/>
        <v/>
      </c>
      <c r="BL63" s="157" t="str">
        <f t="shared" si="14"/>
        <v/>
      </c>
      <c r="BM63" s="72"/>
      <c r="BN63" s="72" t="str">
        <f t="shared" si="32"/>
        <v/>
      </c>
      <c r="BO63" s="72" t="str">
        <f t="shared" si="33"/>
        <v/>
      </c>
      <c r="BP63" s="39"/>
      <c r="BQ63" s="72" t="str">
        <f t="shared" si="49"/>
        <v/>
      </c>
      <c r="BR63" s="72" t="str">
        <f t="shared" si="34"/>
        <v/>
      </c>
    </row>
    <row r="64" spans="3:70" x14ac:dyDescent="0.15">
      <c r="C64" s="9" t="s">
        <v>513</v>
      </c>
      <c r="F64" s="67">
        <v>0.6</v>
      </c>
      <c r="G64" s="81" t="s">
        <v>132</v>
      </c>
      <c r="I64" s="322">
        <f t="shared" si="35"/>
        <v>2079</v>
      </c>
      <c r="J64" s="71"/>
      <c r="K64" s="71">
        <f t="shared" si="36"/>
        <v>50</v>
      </c>
      <c r="L64" s="71"/>
      <c r="M64" s="7">
        <f t="shared" si="0"/>
        <v>0.22810707978975397</v>
      </c>
      <c r="N64" s="71"/>
      <c r="O64" s="10" t="str">
        <f t="shared" si="16"/>
        <v/>
      </c>
      <c r="P64" s="29" t="str">
        <f t="shared" si="38"/>
        <v/>
      </c>
      <c r="Q64" s="71"/>
      <c r="R64" s="10" t="str">
        <f t="shared" si="50"/>
        <v/>
      </c>
      <c r="S64" s="71"/>
      <c r="T64" s="10" t="str">
        <f t="shared" si="18"/>
        <v/>
      </c>
      <c r="U64" s="71"/>
      <c r="V64" s="10" t="str">
        <f t="shared" si="39"/>
        <v/>
      </c>
      <c r="W64" s="10" t="str">
        <f t="shared" si="19"/>
        <v/>
      </c>
      <c r="X64" s="71"/>
      <c r="Y64" s="10" t="str">
        <f t="shared" si="40"/>
        <v/>
      </c>
      <c r="Z64" s="10" t="str">
        <f t="shared" si="20"/>
        <v/>
      </c>
      <c r="AA64" s="71"/>
      <c r="AB64" s="10" t="str">
        <f t="shared" si="4"/>
        <v/>
      </c>
      <c r="AC64" s="10" t="str">
        <f t="shared" si="21"/>
        <v/>
      </c>
      <c r="AD64" s="71"/>
      <c r="AE64" s="10" t="str">
        <f t="shared" si="41"/>
        <v/>
      </c>
      <c r="AF64" s="10" t="str">
        <f t="shared" si="22"/>
        <v/>
      </c>
      <c r="AG64" s="71"/>
      <c r="AH64" s="10" t="str">
        <f t="shared" si="42"/>
        <v/>
      </c>
      <c r="AI64" s="10" t="str">
        <f t="shared" si="23"/>
        <v/>
      </c>
      <c r="AJ64" s="71"/>
      <c r="AK64" s="10" t="str">
        <f t="shared" si="24"/>
        <v/>
      </c>
      <c r="AL64" s="10" t="str">
        <f t="shared" si="25"/>
        <v/>
      </c>
      <c r="AM64" s="71"/>
      <c r="AN64" s="10" t="str">
        <f t="shared" si="43"/>
        <v/>
      </c>
      <c r="AO64" s="10" t="str">
        <f t="shared" si="26"/>
        <v/>
      </c>
      <c r="AP64" s="71"/>
      <c r="AQ64" s="10" t="str">
        <f t="shared" si="44"/>
        <v/>
      </c>
      <c r="AR64" s="10" t="str">
        <f t="shared" si="37"/>
        <v/>
      </c>
      <c r="AS64" s="71"/>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U64" s="71"/>
      <c r="AV64" s="10" t="str">
        <f t="shared" si="45"/>
        <v/>
      </c>
      <c r="AW64" s="10" t="str">
        <f t="shared" si="10"/>
        <v/>
      </c>
      <c r="AX64" s="71"/>
      <c r="AY64" s="7" t="str">
        <f>IF(ISERROR(IF($K64&lt;=$F$15,VLOOKUP($I64,'表4）CO2価格'!$A$7:$E$67,VLOOKUP($F$48,'表4）CO2価格'!$H$10:$I$12,2,0),0)*$F$8/1000,"")),0,IF($K64&lt;=$F$15,VLOOKUP($I64,'表4）CO2価格'!$A$7:$E$67,VLOOKUP($F$48,'表4）CO2価格'!$H$10:$I$12,2,0),0)*$F$8/1000,""))</f>
        <v/>
      </c>
      <c r="AZ64" s="71"/>
      <c r="BA64" s="11" t="str">
        <f t="shared" si="46"/>
        <v/>
      </c>
      <c r="BB64" s="10" t="str">
        <f t="shared" si="27"/>
        <v/>
      </c>
      <c r="BC64" s="71"/>
      <c r="BD64" s="10" t="str">
        <f t="shared" si="47"/>
        <v/>
      </c>
      <c r="BE64" s="10" t="str">
        <f t="shared" si="28"/>
        <v/>
      </c>
      <c r="BF64" s="71"/>
      <c r="BG64" s="11" t="str">
        <f t="shared" si="48"/>
        <v/>
      </c>
      <c r="BH64" s="10" t="str">
        <f t="shared" si="29"/>
        <v/>
      </c>
      <c r="BJ64" s="7" t="str">
        <f t="shared" si="30"/>
        <v/>
      </c>
      <c r="BK64" s="158" t="str">
        <f t="shared" si="31"/>
        <v/>
      </c>
      <c r="BL64" s="158" t="str">
        <f t="shared" si="14"/>
        <v/>
      </c>
      <c r="BM64" s="10"/>
      <c r="BN64" s="10" t="str">
        <f t="shared" si="32"/>
        <v/>
      </c>
      <c r="BO64" s="10" t="str">
        <f t="shared" si="33"/>
        <v/>
      </c>
      <c r="BQ64" s="10" t="str">
        <f t="shared" si="49"/>
        <v/>
      </c>
      <c r="BR64" s="10" t="str">
        <f t="shared" si="34"/>
        <v/>
      </c>
    </row>
    <row r="65" spans="2:70" x14ac:dyDescent="0.15">
      <c r="I65" s="38">
        <f t="shared" si="35"/>
        <v>2080</v>
      </c>
      <c r="J65" s="39"/>
      <c r="K65" s="39">
        <f t="shared" si="36"/>
        <v>51</v>
      </c>
      <c r="L65" s="39"/>
      <c r="M65" s="40">
        <f t="shared" si="0"/>
        <v>0.22146318426189707</v>
      </c>
      <c r="N65" s="39"/>
      <c r="O65" s="72" t="str">
        <f t="shared" si="16"/>
        <v/>
      </c>
      <c r="P65" s="41" t="str">
        <f t="shared" si="38"/>
        <v/>
      </c>
      <c r="Q65" s="39"/>
      <c r="R65" s="72" t="str">
        <f t="shared" si="50"/>
        <v/>
      </c>
      <c r="S65" s="39"/>
      <c r="T65" s="72" t="str">
        <f t="shared" si="18"/>
        <v/>
      </c>
      <c r="U65" s="39"/>
      <c r="V65" s="72" t="str">
        <f t="shared" si="39"/>
        <v/>
      </c>
      <c r="W65" s="72" t="str">
        <f t="shared" si="19"/>
        <v/>
      </c>
      <c r="X65" s="39"/>
      <c r="Y65" s="72" t="str">
        <f t="shared" si="40"/>
        <v/>
      </c>
      <c r="Z65" s="72" t="str">
        <f t="shared" si="20"/>
        <v/>
      </c>
      <c r="AA65" s="39"/>
      <c r="AB65" s="72" t="str">
        <f t="shared" si="4"/>
        <v/>
      </c>
      <c r="AC65" s="72" t="str">
        <f t="shared" si="21"/>
        <v/>
      </c>
      <c r="AD65" s="39"/>
      <c r="AE65" s="72" t="str">
        <f t="shared" si="41"/>
        <v/>
      </c>
      <c r="AF65" s="72" t="str">
        <f t="shared" si="22"/>
        <v/>
      </c>
      <c r="AG65" s="39"/>
      <c r="AH65" s="72" t="str">
        <f t="shared" si="42"/>
        <v/>
      </c>
      <c r="AI65" s="72" t="str">
        <f t="shared" si="23"/>
        <v/>
      </c>
      <c r="AJ65" s="39"/>
      <c r="AK65" s="72" t="str">
        <f t="shared" si="24"/>
        <v/>
      </c>
      <c r="AL65" s="72" t="str">
        <f t="shared" si="25"/>
        <v/>
      </c>
      <c r="AM65" s="39"/>
      <c r="AN65" s="72" t="str">
        <f t="shared" si="43"/>
        <v/>
      </c>
      <c r="AO65" s="72" t="str">
        <f t="shared" si="26"/>
        <v/>
      </c>
      <c r="AP65" s="39"/>
      <c r="AQ65" s="72" t="str">
        <f t="shared" si="44"/>
        <v/>
      </c>
      <c r="AR65" s="72" t="str">
        <f t="shared" si="37"/>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45"/>
        <v/>
      </c>
      <c r="AW65" s="72" t="str">
        <f t="shared" si="10"/>
        <v/>
      </c>
      <c r="AX65" s="39"/>
      <c r="AY65" s="40" t="str">
        <f>IF(ISERROR(IF($K65&lt;=$F$15,VLOOKUP($I65,'表4）CO2価格'!$A$7:$E$67,VLOOKUP($F$48,'表4）CO2価格'!$H$10:$I$12,2,0),0)*$F$8/1000,"")),0,IF($K65&lt;=$F$15,VLOOKUP($I65,'表4）CO2価格'!$A$7:$E$67,VLOOKUP($F$48,'表4）CO2価格'!$H$10:$I$12,2,0),0)*$F$8/1000,""))</f>
        <v/>
      </c>
      <c r="AZ65" s="39"/>
      <c r="BA65" s="42" t="str">
        <f t="shared" si="46"/>
        <v/>
      </c>
      <c r="BB65" s="72" t="str">
        <f t="shared" si="27"/>
        <v/>
      </c>
      <c r="BC65" s="39"/>
      <c r="BD65" s="72" t="str">
        <f t="shared" si="47"/>
        <v/>
      </c>
      <c r="BE65" s="72" t="str">
        <f t="shared" si="28"/>
        <v/>
      </c>
      <c r="BF65" s="39"/>
      <c r="BG65" s="42" t="str">
        <f t="shared" si="48"/>
        <v/>
      </c>
      <c r="BH65" s="72" t="str">
        <f t="shared" si="29"/>
        <v/>
      </c>
      <c r="BI65" s="39"/>
      <c r="BJ65" s="40" t="str">
        <f t="shared" si="30"/>
        <v/>
      </c>
      <c r="BK65" s="157" t="str">
        <f t="shared" si="31"/>
        <v/>
      </c>
      <c r="BL65" s="157" t="str">
        <f t="shared" si="14"/>
        <v/>
      </c>
      <c r="BM65" s="72"/>
      <c r="BN65" s="72" t="str">
        <f t="shared" si="32"/>
        <v/>
      </c>
      <c r="BO65" s="72" t="str">
        <f t="shared" si="33"/>
        <v/>
      </c>
      <c r="BP65" s="39"/>
      <c r="BQ65" s="72" t="str">
        <f t="shared" si="49"/>
        <v/>
      </c>
      <c r="BR65" s="72" t="str">
        <f t="shared" si="34"/>
        <v/>
      </c>
    </row>
    <row r="66" spans="2:70" x14ac:dyDescent="0.15">
      <c r="I66" s="322">
        <f t="shared" si="35"/>
        <v>2081</v>
      </c>
      <c r="J66" s="71"/>
      <c r="K66" s="71">
        <f t="shared" si="36"/>
        <v>52</v>
      </c>
      <c r="L66" s="71"/>
      <c r="M66" s="7">
        <f t="shared" si="0"/>
        <v>0.215012800254269</v>
      </c>
      <c r="N66" s="71"/>
      <c r="O66" s="10" t="str">
        <f t="shared" si="16"/>
        <v/>
      </c>
      <c r="P66" s="29" t="str">
        <f t="shared" si="38"/>
        <v/>
      </c>
      <c r="Q66" s="71"/>
      <c r="R66" s="10" t="str">
        <f t="shared" si="50"/>
        <v/>
      </c>
      <c r="S66" s="71"/>
      <c r="T66" s="10" t="str">
        <f t="shared" si="18"/>
        <v/>
      </c>
      <c r="U66" s="71"/>
      <c r="V66" s="10" t="str">
        <f t="shared" si="39"/>
        <v/>
      </c>
      <c r="W66" s="10" t="str">
        <f t="shared" si="19"/>
        <v/>
      </c>
      <c r="X66" s="71"/>
      <c r="Y66" s="10" t="str">
        <f t="shared" si="40"/>
        <v/>
      </c>
      <c r="Z66" s="10" t="str">
        <f t="shared" si="20"/>
        <v/>
      </c>
      <c r="AA66" s="71"/>
      <c r="AB66" s="10" t="str">
        <f t="shared" si="4"/>
        <v/>
      </c>
      <c r="AC66" s="10" t="str">
        <f t="shared" si="21"/>
        <v/>
      </c>
      <c r="AD66" s="71"/>
      <c r="AE66" s="10" t="str">
        <f t="shared" si="41"/>
        <v/>
      </c>
      <c r="AF66" s="10" t="str">
        <f t="shared" si="22"/>
        <v/>
      </c>
      <c r="AG66" s="71"/>
      <c r="AH66" s="10" t="str">
        <f t="shared" si="42"/>
        <v/>
      </c>
      <c r="AI66" s="10" t="str">
        <f t="shared" si="23"/>
        <v/>
      </c>
      <c r="AJ66" s="71"/>
      <c r="AK66" s="10" t="str">
        <f t="shared" si="24"/>
        <v/>
      </c>
      <c r="AL66" s="10" t="str">
        <f t="shared" si="25"/>
        <v/>
      </c>
      <c r="AM66" s="71"/>
      <c r="AN66" s="10" t="str">
        <f t="shared" si="43"/>
        <v/>
      </c>
      <c r="AO66" s="10" t="str">
        <f t="shared" si="26"/>
        <v/>
      </c>
      <c r="AP66" s="71"/>
      <c r="AQ66" s="10" t="str">
        <f t="shared" si="44"/>
        <v/>
      </c>
      <c r="AR66" s="10" t="str">
        <f t="shared" si="37"/>
        <v/>
      </c>
      <c r="AS66" s="71"/>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U66" s="71"/>
      <c r="AV66" s="10" t="str">
        <f t="shared" si="45"/>
        <v/>
      </c>
      <c r="AW66" s="10" t="str">
        <f t="shared" si="10"/>
        <v/>
      </c>
      <c r="AX66" s="71"/>
      <c r="AY66" s="7" t="str">
        <f>IF(ISERROR(IF($K66&lt;=$F$15,VLOOKUP($I66,'表4）CO2価格'!$A$7:$E$67,VLOOKUP($F$48,'表4）CO2価格'!$H$10:$I$12,2,0),0)*$F$8/1000,"")),0,IF($K66&lt;=$F$15,VLOOKUP($I66,'表4）CO2価格'!$A$7:$E$67,VLOOKUP($F$48,'表4）CO2価格'!$H$10:$I$12,2,0),0)*$F$8/1000,""))</f>
        <v/>
      </c>
      <c r="AZ66" s="71"/>
      <c r="BA66" s="11" t="str">
        <f t="shared" si="46"/>
        <v/>
      </c>
      <c r="BB66" s="10" t="str">
        <f t="shared" si="27"/>
        <v/>
      </c>
      <c r="BC66" s="71"/>
      <c r="BD66" s="10" t="str">
        <f t="shared" si="47"/>
        <v/>
      </c>
      <c r="BE66" s="10" t="str">
        <f t="shared" si="28"/>
        <v/>
      </c>
      <c r="BF66" s="71"/>
      <c r="BG66" s="11" t="str">
        <f t="shared" si="48"/>
        <v/>
      </c>
      <c r="BH66" s="10" t="str">
        <f t="shared" si="29"/>
        <v/>
      </c>
      <c r="BJ66" s="7" t="str">
        <f t="shared" si="30"/>
        <v/>
      </c>
      <c r="BK66" s="158" t="str">
        <f t="shared" si="31"/>
        <v/>
      </c>
      <c r="BL66" s="158" t="str">
        <f t="shared" si="14"/>
        <v/>
      </c>
      <c r="BM66" s="10"/>
      <c r="BN66" s="10" t="str">
        <f t="shared" si="32"/>
        <v/>
      </c>
      <c r="BO66" s="10" t="str">
        <f t="shared" si="33"/>
        <v/>
      </c>
      <c r="BQ66" s="10" t="str">
        <f t="shared" si="49"/>
        <v/>
      </c>
      <c r="BR66" s="10" t="str">
        <f t="shared" si="34"/>
        <v/>
      </c>
    </row>
    <row r="67" spans="2:70" ht="15" thickBot="1" x14ac:dyDescent="0.2">
      <c r="B67" s="471" t="s">
        <v>133</v>
      </c>
      <c r="C67" s="86"/>
      <c r="D67" s="104"/>
      <c r="E67" s="104"/>
      <c r="F67" s="86"/>
      <c r="G67" s="104"/>
      <c r="I67" s="38">
        <f t="shared" si="35"/>
        <v>2082</v>
      </c>
      <c r="J67" s="39"/>
      <c r="K67" s="39">
        <f t="shared" si="36"/>
        <v>53</v>
      </c>
      <c r="L67" s="39"/>
      <c r="M67" s="40">
        <f t="shared" si="0"/>
        <v>0.20875029150899907</v>
      </c>
      <c r="N67" s="39"/>
      <c r="O67" s="72" t="str">
        <f t="shared" si="16"/>
        <v/>
      </c>
      <c r="P67" s="41" t="str">
        <f t="shared" si="38"/>
        <v/>
      </c>
      <c r="Q67" s="39"/>
      <c r="R67" s="72" t="str">
        <f t="shared" si="50"/>
        <v/>
      </c>
      <c r="S67" s="39"/>
      <c r="T67" s="72" t="str">
        <f t="shared" si="18"/>
        <v/>
      </c>
      <c r="U67" s="39"/>
      <c r="V67" s="72" t="str">
        <f t="shared" si="39"/>
        <v/>
      </c>
      <c r="W67" s="72" t="str">
        <f t="shared" si="19"/>
        <v/>
      </c>
      <c r="X67" s="39"/>
      <c r="Y67" s="72" t="str">
        <f t="shared" si="40"/>
        <v/>
      </c>
      <c r="Z67" s="72" t="str">
        <f t="shared" si="20"/>
        <v/>
      </c>
      <c r="AA67" s="39"/>
      <c r="AB67" s="72" t="str">
        <f t="shared" si="4"/>
        <v/>
      </c>
      <c r="AC67" s="72" t="str">
        <f t="shared" si="21"/>
        <v/>
      </c>
      <c r="AD67" s="39"/>
      <c r="AE67" s="72" t="str">
        <f t="shared" si="41"/>
        <v/>
      </c>
      <c r="AF67" s="72" t="str">
        <f t="shared" si="22"/>
        <v/>
      </c>
      <c r="AG67" s="39"/>
      <c r="AH67" s="72" t="str">
        <f t="shared" si="42"/>
        <v/>
      </c>
      <c r="AI67" s="72" t="str">
        <f t="shared" si="23"/>
        <v/>
      </c>
      <c r="AJ67" s="39"/>
      <c r="AK67" s="72" t="str">
        <f t="shared" si="24"/>
        <v/>
      </c>
      <c r="AL67" s="72" t="str">
        <f t="shared" si="25"/>
        <v/>
      </c>
      <c r="AM67" s="39"/>
      <c r="AN67" s="72" t="str">
        <f t="shared" si="43"/>
        <v/>
      </c>
      <c r="AO67" s="72" t="str">
        <f t="shared" si="26"/>
        <v/>
      </c>
      <c r="AP67" s="39"/>
      <c r="AQ67" s="72" t="str">
        <f t="shared" si="44"/>
        <v/>
      </c>
      <c r="AR67" s="72" t="str">
        <f t="shared" si="37"/>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45"/>
        <v/>
      </c>
      <c r="AW67" s="72" t="str">
        <f t="shared" si="10"/>
        <v/>
      </c>
      <c r="AX67" s="39"/>
      <c r="AY67" s="40" t="str">
        <f>IF(ISERROR(IF($K67&lt;=$F$15,VLOOKUP($I67,'表4）CO2価格'!$A$7:$E$67,VLOOKUP($F$48,'表4）CO2価格'!$H$10:$I$12,2,0),0)*$F$8/1000,"")),0,IF($K67&lt;=$F$15,VLOOKUP($I67,'表4）CO2価格'!$A$7:$E$67,VLOOKUP($F$48,'表4）CO2価格'!$H$10:$I$12,2,0),0)*$F$8/1000,""))</f>
        <v/>
      </c>
      <c r="AZ67" s="39"/>
      <c r="BA67" s="42" t="str">
        <f t="shared" si="46"/>
        <v/>
      </c>
      <c r="BB67" s="72" t="str">
        <f t="shared" si="27"/>
        <v/>
      </c>
      <c r="BC67" s="39"/>
      <c r="BD67" s="72" t="str">
        <f t="shared" si="47"/>
        <v/>
      </c>
      <c r="BE67" s="72" t="str">
        <f t="shared" si="28"/>
        <v/>
      </c>
      <c r="BF67" s="39"/>
      <c r="BG67" s="42" t="str">
        <f t="shared" si="48"/>
        <v/>
      </c>
      <c r="BH67" s="72" t="str">
        <f t="shared" si="29"/>
        <v/>
      </c>
      <c r="BI67" s="39"/>
      <c r="BJ67" s="40" t="str">
        <f t="shared" si="30"/>
        <v/>
      </c>
      <c r="BK67" s="157" t="str">
        <f t="shared" si="31"/>
        <v/>
      </c>
      <c r="BL67" s="157" t="str">
        <f t="shared" si="14"/>
        <v/>
      </c>
      <c r="BM67" s="72"/>
      <c r="BN67" s="72" t="str">
        <f t="shared" si="32"/>
        <v/>
      </c>
      <c r="BO67" s="72" t="str">
        <f t="shared" si="33"/>
        <v/>
      </c>
      <c r="BP67" s="39"/>
      <c r="BQ67" s="72" t="str">
        <f t="shared" si="49"/>
        <v/>
      </c>
      <c r="BR67" s="72" t="str">
        <f t="shared" si="34"/>
        <v/>
      </c>
    </row>
    <row r="68" spans="2:70" x14ac:dyDescent="0.15">
      <c r="I68" s="322">
        <f t="shared" si="35"/>
        <v>2083</v>
      </c>
      <c r="J68" s="71"/>
      <c r="K68" s="71">
        <f t="shared" si="36"/>
        <v>54</v>
      </c>
      <c r="L68" s="71"/>
      <c r="M68" s="7">
        <f t="shared" si="0"/>
        <v>0.20267018593106703</v>
      </c>
      <c r="N68" s="71"/>
      <c r="O68" s="10" t="str">
        <f t="shared" si="16"/>
        <v/>
      </c>
      <c r="P68" s="29" t="str">
        <f t="shared" si="38"/>
        <v/>
      </c>
      <c r="Q68" s="71"/>
      <c r="R68" s="10" t="str">
        <f t="shared" si="50"/>
        <v/>
      </c>
      <c r="S68" s="71"/>
      <c r="T68" s="10" t="str">
        <f t="shared" si="18"/>
        <v/>
      </c>
      <c r="U68" s="71"/>
      <c r="V68" s="10" t="str">
        <f t="shared" si="39"/>
        <v/>
      </c>
      <c r="W68" s="10" t="str">
        <f t="shared" si="19"/>
        <v/>
      </c>
      <c r="X68" s="71"/>
      <c r="Y68" s="10" t="str">
        <f t="shared" si="40"/>
        <v/>
      </c>
      <c r="Z68" s="10" t="str">
        <f t="shared" si="20"/>
        <v/>
      </c>
      <c r="AA68" s="71"/>
      <c r="AB68" s="10" t="str">
        <f t="shared" si="4"/>
        <v/>
      </c>
      <c r="AC68" s="10" t="str">
        <f t="shared" si="21"/>
        <v/>
      </c>
      <c r="AD68" s="71"/>
      <c r="AE68" s="10" t="str">
        <f t="shared" si="41"/>
        <v/>
      </c>
      <c r="AF68" s="10" t="str">
        <f t="shared" si="22"/>
        <v/>
      </c>
      <c r="AG68" s="71"/>
      <c r="AH68" s="10" t="str">
        <f t="shared" si="42"/>
        <v/>
      </c>
      <c r="AI68" s="10" t="str">
        <f t="shared" si="23"/>
        <v/>
      </c>
      <c r="AJ68" s="71"/>
      <c r="AK68" s="10" t="str">
        <f t="shared" si="24"/>
        <v/>
      </c>
      <c r="AL68" s="10" t="str">
        <f t="shared" si="25"/>
        <v/>
      </c>
      <c r="AM68" s="71"/>
      <c r="AN68" s="10" t="str">
        <f t="shared" si="43"/>
        <v/>
      </c>
      <c r="AO68" s="10" t="str">
        <f t="shared" si="26"/>
        <v/>
      </c>
      <c r="AP68" s="71"/>
      <c r="AQ68" s="10" t="str">
        <f t="shared" si="44"/>
        <v/>
      </c>
      <c r="AR68" s="10" t="str">
        <f t="shared" si="37"/>
        <v/>
      </c>
      <c r="AS68" s="71"/>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U68" s="71"/>
      <c r="AV68" s="10" t="str">
        <f t="shared" si="45"/>
        <v/>
      </c>
      <c r="AW68" s="10" t="str">
        <f t="shared" si="10"/>
        <v/>
      </c>
      <c r="AX68" s="71"/>
      <c r="AY68" s="7" t="str">
        <f>IF(ISERROR(IF($K68&lt;=$F$15,VLOOKUP($I68,'表4）CO2価格'!$A$7:$E$67,VLOOKUP($F$48,'表4）CO2価格'!$H$10:$I$12,2,0),0)*$F$8/1000,"")),0,IF($K68&lt;=$F$15,VLOOKUP($I68,'表4）CO2価格'!$A$7:$E$67,VLOOKUP($F$48,'表4）CO2価格'!$H$10:$I$12,2,0),0)*$F$8/1000,""))</f>
        <v/>
      </c>
      <c r="AZ68" s="71"/>
      <c r="BA68" s="11" t="str">
        <f t="shared" si="46"/>
        <v/>
      </c>
      <c r="BB68" s="10" t="str">
        <f t="shared" si="27"/>
        <v/>
      </c>
      <c r="BC68" s="71"/>
      <c r="BD68" s="10" t="str">
        <f t="shared" si="47"/>
        <v/>
      </c>
      <c r="BE68" s="10" t="str">
        <f t="shared" si="28"/>
        <v/>
      </c>
      <c r="BF68" s="71"/>
      <c r="BG68" s="11" t="str">
        <f t="shared" si="48"/>
        <v/>
      </c>
      <c r="BH68" s="10" t="str">
        <f t="shared" si="29"/>
        <v/>
      </c>
      <c r="BJ68" s="7" t="str">
        <f t="shared" si="30"/>
        <v/>
      </c>
      <c r="BK68" s="158" t="str">
        <f t="shared" si="31"/>
        <v/>
      </c>
      <c r="BL68" s="158" t="str">
        <f t="shared" si="14"/>
        <v/>
      </c>
      <c r="BM68" s="10"/>
      <c r="BN68" s="10" t="str">
        <f t="shared" si="32"/>
        <v/>
      </c>
      <c r="BO68" s="10" t="str">
        <f t="shared" si="33"/>
        <v/>
      </c>
      <c r="BQ68" s="10" t="str">
        <f t="shared" si="49"/>
        <v/>
      </c>
      <c r="BR68" s="10" t="str">
        <f t="shared" si="34"/>
        <v/>
      </c>
    </row>
    <row r="69" spans="2:70" x14ac:dyDescent="0.15">
      <c r="C69" s="461" t="s">
        <v>134</v>
      </c>
      <c r="D69" s="9"/>
      <c r="E69" s="9"/>
      <c r="F69" s="94">
        <f>SUBTOTAL(9,F74:F112)-F105</f>
        <v>12.661491228688952</v>
      </c>
      <c r="G69" s="9" t="s">
        <v>132</v>
      </c>
      <c r="I69" s="38">
        <f t="shared" si="35"/>
        <v>2084</v>
      </c>
      <c r="J69" s="39"/>
      <c r="K69" s="39">
        <f t="shared" si="36"/>
        <v>55</v>
      </c>
      <c r="L69" s="39"/>
      <c r="M69" s="40">
        <f t="shared" si="0"/>
        <v>0.19676717080686118</v>
      </c>
      <c r="N69" s="39"/>
      <c r="O69" s="72" t="str">
        <f t="shared" si="16"/>
        <v/>
      </c>
      <c r="P69" s="41" t="str">
        <f t="shared" si="38"/>
        <v/>
      </c>
      <c r="Q69" s="39"/>
      <c r="R69" s="72" t="str">
        <f t="shared" si="50"/>
        <v/>
      </c>
      <c r="S69" s="39"/>
      <c r="T69" s="72" t="str">
        <f t="shared" si="18"/>
        <v/>
      </c>
      <c r="U69" s="39"/>
      <c r="V69" s="72" t="str">
        <f t="shared" si="39"/>
        <v/>
      </c>
      <c r="W69" s="72" t="str">
        <f t="shared" si="19"/>
        <v/>
      </c>
      <c r="X69" s="39"/>
      <c r="Y69" s="72" t="str">
        <f t="shared" si="40"/>
        <v/>
      </c>
      <c r="Z69" s="72" t="str">
        <f t="shared" si="20"/>
        <v/>
      </c>
      <c r="AA69" s="39"/>
      <c r="AB69" s="72" t="str">
        <f t="shared" si="4"/>
        <v/>
      </c>
      <c r="AC69" s="72" t="str">
        <f t="shared" si="21"/>
        <v/>
      </c>
      <c r="AD69" s="39"/>
      <c r="AE69" s="72" t="str">
        <f t="shared" si="41"/>
        <v/>
      </c>
      <c r="AF69" s="72" t="str">
        <f t="shared" si="22"/>
        <v/>
      </c>
      <c r="AG69" s="39"/>
      <c r="AH69" s="72" t="str">
        <f t="shared" si="42"/>
        <v/>
      </c>
      <c r="AI69" s="72" t="str">
        <f t="shared" si="23"/>
        <v/>
      </c>
      <c r="AJ69" s="39"/>
      <c r="AK69" s="72" t="str">
        <f t="shared" si="24"/>
        <v/>
      </c>
      <c r="AL69" s="72" t="str">
        <f t="shared" si="25"/>
        <v/>
      </c>
      <c r="AM69" s="39"/>
      <c r="AN69" s="72" t="str">
        <f t="shared" si="43"/>
        <v/>
      </c>
      <c r="AO69" s="72" t="str">
        <f t="shared" si="26"/>
        <v/>
      </c>
      <c r="AP69" s="39"/>
      <c r="AQ69" s="72" t="str">
        <f t="shared" si="44"/>
        <v/>
      </c>
      <c r="AR69" s="72" t="str">
        <f t="shared" si="37"/>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45"/>
        <v/>
      </c>
      <c r="AW69" s="72" t="str">
        <f t="shared" si="10"/>
        <v/>
      </c>
      <c r="AX69" s="39"/>
      <c r="AY69" s="40" t="str">
        <f>IF(ISERROR(IF($K69&lt;=$F$15,VLOOKUP($I69,'表4）CO2価格'!$A$7:$E$67,VLOOKUP($F$48,'表4）CO2価格'!$H$10:$I$12,2,0),0)*$F$8/1000,"")),0,IF($K69&lt;=$F$15,VLOOKUP($I69,'表4）CO2価格'!$A$7:$E$67,VLOOKUP($F$48,'表4）CO2価格'!$H$10:$I$12,2,0),0)*$F$8/1000,""))</f>
        <v/>
      </c>
      <c r="AZ69" s="39"/>
      <c r="BA69" s="42" t="str">
        <f t="shared" si="46"/>
        <v/>
      </c>
      <c r="BB69" s="72" t="str">
        <f t="shared" si="27"/>
        <v/>
      </c>
      <c r="BC69" s="39"/>
      <c r="BD69" s="72" t="str">
        <f t="shared" si="47"/>
        <v/>
      </c>
      <c r="BE69" s="72" t="str">
        <f t="shared" si="28"/>
        <v/>
      </c>
      <c r="BF69" s="39"/>
      <c r="BG69" s="42" t="str">
        <f t="shared" si="48"/>
        <v/>
      </c>
      <c r="BH69" s="72" t="str">
        <f t="shared" si="29"/>
        <v/>
      </c>
      <c r="BI69" s="39"/>
      <c r="BJ69" s="40" t="str">
        <f t="shared" si="30"/>
        <v/>
      </c>
      <c r="BK69" s="157" t="str">
        <f t="shared" si="31"/>
        <v/>
      </c>
      <c r="BL69" s="157" t="str">
        <f t="shared" si="14"/>
        <v/>
      </c>
      <c r="BM69" s="72"/>
      <c r="BN69" s="72" t="str">
        <f t="shared" si="32"/>
        <v/>
      </c>
      <c r="BO69" s="72" t="str">
        <f t="shared" si="33"/>
        <v/>
      </c>
      <c r="BP69" s="39"/>
      <c r="BQ69" s="72" t="str">
        <f t="shared" si="49"/>
        <v/>
      </c>
      <c r="BR69" s="72" t="str">
        <f t="shared" si="34"/>
        <v/>
      </c>
    </row>
    <row r="70" spans="2:70" x14ac:dyDescent="0.15">
      <c r="C70" s="461" t="s">
        <v>135</v>
      </c>
      <c r="D70" s="9"/>
      <c r="E70" s="9"/>
      <c r="F70" s="94">
        <f>SUBTOTAL(9,F74:F112)</f>
        <v>13.261491228688952</v>
      </c>
      <c r="G70" s="9" t="s">
        <v>132</v>
      </c>
      <c r="I70" s="322">
        <f t="shared" si="35"/>
        <v>2085</v>
      </c>
      <c r="J70" s="71"/>
      <c r="K70" s="71">
        <f t="shared" si="36"/>
        <v>56</v>
      </c>
      <c r="L70" s="71"/>
      <c r="M70" s="7">
        <f t="shared" si="0"/>
        <v>0.19103608816200118</v>
      </c>
      <c r="N70" s="71"/>
      <c r="O70" s="10" t="str">
        <f t="shared" si="16"/>
        <v/>
      </c>
      <c r="P70" s="29" t="str">
        <f t="shared" si="38"/>
        <v/>
      </c>
      <c r="Q70" s="71"/>
      <c r="R70" s="10" t="str">
        <f t="shared" si="50"/>
        <v/>
      </c>
      <c r="S70" s="71"/>
      <c r="T70" s="10" t="str">
        <f t="shared" si="18"/>
        <v/>
      </c>
      <c r="U70" s="71"/>
      <c r="V70" s="10" t="str">
        <f t="shared" si="39"/>
        <v/>
      </c>
      <c r="W70" s="10" t="str">
        <f t="shared" si="19"/>
        <v/>
      </c>
      <c r="X70" s="71"/>
      <c r="Y70" s="10" t="str">
        <f t="shared" si="40"/>
        <v/>
      </c>
      <c r="Z70" s="10" t="str">
        <f t="shared" si="20"/>
        <v/>
      </c>
      <c r="AA70" s="71"/>
      <c r="AB70" s="10" t="str">
        <f t="shared" si="4"/>
        <v/>
      </c>
      <c r="AC70" s="10" t="str">
        <f t="shared" si="21"/>
        <v/>
      </c>
      <c r="AD70" s="71"/>
      <c r="AE70" s="10" t="str">
        <f t="shared" si="41"/>
        <v/>
      </c>
      <c r="AF70" s="10" t="str">
        <f t="shared" si="22"/>
        <v/>
      </c>
      <c r="AG70" s="71"/>
      <c r="AH70" s="10" t="str">
        <f t="shared" si="42"/>
        <v/>
      </c>
      <c r="AI70" s="10" t="str">
        <f t="shared" si="23"/>
        <v/>
      </c>
      <c r="AJ70" s="71"/>
      <c r="AK70" s="10" t="str">
        <f t="shared" si="24"/>
        <v/>
      </c>
      <c r="AL70" s="10" t="str">
        <f t="shared" si="25"/>
        <v/>
      </c>
      <c r="AM70" s="71"/>
      <c r="AN70" s="10" t="str">
        <f t="shared" si="43"/>
        <v/>
      </c>
      <c r="AO70" s="10" t="str">
        <f t="shared" si="26"/>
        <v/>
      </c>
      <c r="AP70" s="71"/>
      <c r="AQ70" s="10" t="str">
        <f t="shared" si="44"/>
        <v/>
      </c>
      <c r="AR70" s="10" t="str">
        <f t="shared" si="37"/>
        <v/>
      </c>
      <c r="AS70" s="71"/>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U70" s="71"/>
      <c r="AV70" s="10" t="str">
        <f t="shared" si="45"/>
        <v/>
      </c>
      <c r="AW70" s="10" t="str">
        <f t="shared" si="10"/>
        <v/>
      </c>
      <c r="AX70" s="71"/>
      <c r="AY70" s="7" t="str">
        <f>IF(ISERROR(IF($K70&lt;=$F$15,VLOOKUP($I70,'表4）CO2価格'!$A$7:$E$67,VLOOKUP($F$48,'表4）CO2価格'!$H$10:$I$12,2,0),0)*$F$8/1000,"")),0,IF($K70&lt;=$F$15,VLOOKUP($I70,'表4）CO2価格'!$A$7:$E$67,VLOOKUP($F$48,'表4）CO2価格'!$H$10:$I$12,2,0),0)*$F$8/1000,""))</f>
        <v/>
      </c>
      <c r="AZ70" s="71"/>
      <c r="BA70" s="11" t="str">
        <f t="shared" si="46"/>
        <v/>
      </c>
      <c r="BB70" s="10" t="str">
        <f t="shared" si="27"/>
        <v/>
      </c>
      <c r="BC70" s="71"/>
      <c r="BD70" s="10" t="str">
        <f t="shared" si="47"/>
        <v/>
      </c>
      <c r="BE70" s="10" t="str">
        <f t="shared" si="28"/>
        <v/>
      </c>
      <c r="BF70" s="71"/>
      <c r="BG70" s="11" t="str">
        <f t="shared" si="48"/>
        <v/>
      </c>
      <c r="BH70" s="10" t="str">
        <f t="shared" si="29"/>
        <v/>
      </c>
      <c r="BJ70" s="7" t="str">
        <f t="shared" si="30"/>
        <v/>
      </c>
      <c r="BK70" s="158" t="str">
        <f t="shared" si="31"/>
        <v/>
      </c>
      <c r="BL70" s="158" t="str">
        <f t="shared" si="14"/>
        <v/>
      </c>
      <c r="BM70" s="10"/>
      <c r="BN70" s="10" t="str">
        <f t="shared" si="32"/>
        <v/>
      </c>
      <c r="BO70" s="10" t="str">
        <f t="shared" si="33"/>
        <v/>
      </c>
      <c r="BQ70" s="10" t="str">
        <f t="shared" si="49"/>
        <v/>
      </c>
      <c r="BR70" s="10" t="str">
        <f t="shared" si="34"/>
        <v/>
      </c>
    </row>
    <row r="71" spans="2:70" x14ac:dyDescent="0.15">
      <c r="F71" s="145"/>
      <c r="I71" s="38">
        <f t="shared" si="35"/>
        <v>2086</v>
      </c>
      <c r="J71" s="39"/>
      <c r="K71" s="39">
        <f t="shared" si="36"/>
        <v>57</v>
      </c>
      <c r="L71" s="39"/>
      <c r="M71" s="40">
        <f t="shared" si="0"/>
        <v>0.18547193025437006</v>
      </c>
      <c r="N71" s="39"/>
      <c r="O71" s="72" t="str">
        <f t="shared" si="16"/>
        <v/>
      </c>
      <c r="P71" s="41" t="str">
        <f t="shared" si="38"/>
        <v/>
      </c>
      <c r="Q71" s="39"/>
      <c r="R71" s="72" t="str">
        <f t="shared" si="50"/>
        <v/>
      </c>
      <c r="S71" s="39"/>
      <c r="T71" s="72" t="str">
        <f t="shared" si="18"/>
        <v/>
      </c>
      <c r="U71" s="39"/>
      <c r="V71" s="72" t="str">
        <f t="shared" si="39"/>
        <v/>
      </c>
      <c r="W71" s="72" t="str">
        <f t="shared" si="19"/>
        <v/>
      </c>
      <c r="X71" s="39"/>
      <c r="Y71" s="72" t="str">
        <f t="shared" si="40"/>
        <v/>
      </c>
      <c r="Z71" s="72" t="str">
        <f t="shared" si="20"/>
        <v/>
      </c>
      <c r="AA71" s="39"/>
      <c r="AB71" s="72" t="str">
        <f t="shared" si="4"/>
        <v/>
      </c>
      <c r="AC71" s="72" t="str">
        <f t="shared" si="21"/>
        <v/>
      </c>
      <c r="AD71" s="39"/>
      <c r="AE71" s="72" t="str">
        <f t="shared" si="41"/>
        <v/>
      </c>
      <c r="AF71" s="72" t="str">
        <f t="shared" si="22"/>
        <v/>
      </c>
      <c r="AG71" s="39"/>
      <c r="AH71" s="72" t="str">
        <f t="shared" si="42"/>
        <v/>
      </c>
      <c r="AI71" s="72" t="str">
        <f t="shared" si="23"/>
        <v/>
      </c>
      <c r="AJ71" s="39"/>
      <c r="AK71" s="72" t="str">
        <f t="shared" si="24"/>
        <v/>
      </c>
      <c r="AL71" s="72" t="str">
        <f t="shared" si="25"/>
        <v/>
      </c>
      <c r="AM71" s="39"/>
      <c r="AN71" s="72" t="str">
        <f t="shared" si="43"/>
        <v/>
      </c>
      <c r="AO71" s="72" t="str">
        <f t="shared" si="26"/>
        <v/>
      </c>
      <c r="AP71" s="39"/>
      <c r="AQ71" s="72" t="str">
        <f t="shared" si="44"/>
        <v/>
      </c>
      <c r="AR71" s="72" t="str">
        <f t="shared" si="37"/>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45"/>
        <v/>
      </c>
      <c r="AW71" s="72" t="str">
        <f t="shared" si="10"/>
        <v/>
      </c>
      <c r="AX71" s="39"/>
      <c r="AY71" s="40" t="str">
        <f>IF(ISERROR(IF($K71&lt;=$F$15,VLOOKUP($I71,'表4）CO2価格'!$A$7:$E$67,VLOOKUP($F$48,'表4）CO2価格'!$H$10:$I$12,2,0),0)*$F$8/1000,"")),0,IF($K71&lt;=$F$15,VLOOKUP($I71,'表4）CO2価格'!$A$7:$E$67,VLOOKUP($F$48,'表4）CO2価格'!$H$10:$I$12,2,0),0)*$F$8/1000,""))</f>
        <v/>
      </c>
      <c r="AZ71" s="39"/>
      <c r="BA71" s="42" t="str">
        <f t="shared" si="46"/>
        <v/>
      </c>
      <c r="BB71" s="72" t="str">
        <f t="shared" si="27"/>
        <v/>
      </c>
      <c r="BC71" s="39"/>
      <c r="BD71" s="72" t="str">
        <f t="shared" si="47"/>
        <v/>
      </c>
      <c r="BE71" s="72" t="str">
        <f t="shared" si="28"/>
        <v/>
      </c>
      <c r="BF71" s="39"/>
      <c r="BG71" s="42" t="str">
        <f t="shared" si="48"/>
        <v/>
      </c>
      <c r="BH71" s="72" t="str">
        <f t="shared" si="29"/>
        <v/>
      </c>
      <c r="BI71" s="39"/>
      <c r="BJ71" s="40" t="str">
        <f t="shared" si="30"/>
        <v/>
      </c>
      <c r="BK71" s="157" t="str">
        <f t="shared" si="31"/>
        <v/>
      </c>
      <c r="BL71" s="157" t="str">
        <f t="shared" si="14"/>
        <v/>
      </c>
      <c r="BM71" s="72"/>
      <c r="BN71" s="72" t="str">
        <f t="shared" si="32"/>
        <v/>
      </c>
      <c r="BO71" s="72" t="str">
        <f t="shared" si="33"/>
        <v/>
      </c>
      <c r="BP71" s="39"/>
      <c r="BQ71" s="72" t="str">
        <f t="shared" si="49"/>
        <v/>
      </c>
      <c r="BR71" s="72" t="str">
        <f t="shared" si="34"/>
        <v/>
      </c>
    </row>
    <row r="72" spans="2:70" x14ac:dyDescent="0.15">
      <c r="C72" s="89" t="s">
        <v>136</v>
      </c>
      <c r="D72" s="101"/>
      <c r="E72" s="101"/>
      <c r="F72" s="92"/>
      <c r="G72" s="101"/>
      <c r="I72" s="322">
        <f t="shared" si="35"/>
        <v>2087</v>
      </c>
      <c r="J72" s="71"/>
      <c r="K72" s="71">
        <f t="shared" si="36"/>
        <v>58</v>
      </c>
      <c r="L72" s="71"/>
      <c r="M72" s="7">
        <f t="shared" si="0"/>
        <v>0.18006983519841754</v>
      </c>
      <c r="N72" s="71"/>
      <c r="O72" s="10" t="str">
        <f t="shared" si="16"/>
        <v/>
      </c>
      <c r="P72" s="29" t="str">
        <f t="shared" si="38"/>
        <v/>
      </c>
      <c r="Q72" s="71"/>
      <c r="R72" s="10" t="str">
        <f t="shared" si="50"/>
        <v/>
      </c>
      <c r="S72" s="71"/>
      <c r="T72" s="10" t="str">
        <f t="shared" si="18"/>
        <v/>
      </c>
      <c r="U72" s="71"/>
      <c r="V72" s="10" t="str">
        <f t="shared" si="39"/>
        <v/>
      </c>
      <c r="W72" s="10" t="str">
        <f t="shared" si="19"/>
        <v/>
      </c>
      <c r="X72" s="71"/>
      <c r="Y72" s="10" t="str">
        <f t="shared" si="40"/>
        <v/>
      </c>
      <c r="Z72" s="10" t="str">
        <f t="shared" si="20"/>
        <v/>
      </c>
      <c r="AA72" s="71"/>
      <c r="AB72" s="10" t="str">
        <f t="shared" si="4"/>
        <v/>
      </c>
      <c r="AC72" s="10" t="str">
        <f t="shared" si="21"/>
        <v/>
      </c>
      <c r="AD72" s="71"/>
      <c r="AE72" s="10" t="str">
        <f t="shared" si="41"/>
        <v/>
      </c>
      <c r="AF72" s="10" t="str">
        <f t="shared" si="22"/>
        <v/>
      </c>
      <c r="AG72" s="71"/>
      <c r="AH72" s="10" t="str">
        <f t="shared" si="42"/>
        <v/>
      </c>
      <c r="AI72" s="10" t="str">
        <f t="shared" si="23"/>
        <v/>
      </c>
      <c r="AJ72" s="71"/>
      <c r="AK72" s="10" t="str">
        <f t="shared" si="24"/>
        <v/>
      </c>
      <c r="AL72" s="10" t="str">
        <f t="shared" si="25"/>
        <v/>
      </c>
      <c r="AM72" s="71"/>
      <c r="AN72" s="10" t="str">
        <f t="shared" si="43"/>
        <v/>
      </c>
      <c r="AO72" s="10" t="str">
        <f t="shared" si="26"/>
        <v/>
      </c>
      <c r="AP72" s="71"/>
      <c r="AQ72" s="10" t="str">
        <f t="shared" si="44"/>
        <v/>
      </c>
      <c r="AR72" s="10" t="str">
        <f t="shared" si="37"/>
        <v/>
      </c>
      <c r="AS72" s="71"/>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U72" s="71"/>
      <c r="AV72" s="10" t="str">
        <f t="shared" si="45"/>
        <v/>
      </c>
      <c r="AW72" s="10" t="str">
        <f t="shared" si="10"/>
        <v/>
      </c>
      <c r="AX72" s="71"/>
      <c r="AY72" s="7" t="str">
        <f>IF(ISERROR(IF($K72&lt;=$F$15,VLOOKUP($I72,'表4）CO2価格'!$A$7:$E$67,VLOOKUP($F$48,'表4）CO2価格'!$H$10:$I$12,2,0),0)*$F$8/1000,"")),0,IF($K72&lt;=$F$15,VLOOKUP($I72,'表4）CO2価格'!$A$7:$E$67,VLOOKUP($F$48,'表4）CO2価格'!$H$10:$I$12,2,0),0)*$F$8/1000,""))</f>
        <v/>
      </c>
      <c r="AZ72" s="71"/>
      <c r="BA72" s="11" t="str">
        <f t="shared" si="46"/>
        <v/>
      </c>
      <c r="BB72" s="10" t="str">
        <f t="shared" si="27"/>
        <v/>
      </c>
      <c r="BC72" s="71"/>
      <c r="BD72" s="10" t="str">
        <f t="shared" si="47"/>
        <v/>
      </c>
      <c r="BE72" s="10" t="str">
        <f t="shared" si="28"/>
        <v/>
      </c>
      <c r="BF72" s="71"/>
      <c r="BG72" s="11" t="str">
        <f t="shared" si="48"/>
        <v/>
      </c>
      <c r="BH72" s="10" t="str">
        <f t="shared" si="29"/>
        <v/>
      </c>
      <c r="BJ72" s="7" t="str">
        <f t="shared" si="30"/>
        <v/>
      </c>
      <c r="BK72" s="158" t="str">
        <f t="shared" si="31"/>
        <v/>
      </c>
      <c r="BL72" s="158" t="str">
        <f t="shared" si="14"/>
        <v/>
      </c>
      <c r="BM72" s="10"/>
      <c r="BN72" s="10" t="str">
        <f t="shared" si="32"/>
        <v/>
      </c>
      <c r="BO72" s="10" t="str">
        <f t="shared" si="33"/>
        <v/>
      </c>
      <c r="BQ72" s="10" t="str">
        <f t="shared" si="49"/>
        <v/>
      </c>
      <c r="BR72" s="10" t="str">
        <f t="shared" si="34"/>
        <v/>
      </c>
    </row>
    <row r="73" spans="2:70" x14ac:dyDescent="0.15">
      <c r="F73" s="93"/>
      <c r="I73" s="38">
        <f t="shared" si="35"/>
        <v>2088</v>
      </c>
      <c r="J73" s="39"/>
      <c r="K73" s="39">
        <f t="shared" si="36"/>
        <v>59</v>
      </c>
      <c r="L73" s="39"/>
      <c r="M73" s="40">
        <f t="shared" si="0"/>
        <v>0.17482508271691022</v>
      </c>
      <c r="N73" s="39"/>
      <c r="O73" s="72" t="str">
        <f t="shared" si="16"/>
        <v/>
      </c>
      <c r="P73" s="41" t="str">
        <f t="shared" si="38"/>
        <v/>
      </c>
      <c r="Q73" s="39"/>
      <c r="R73" s="72" t="str">
        <f t="shared" si="50"/>
        <v/>
      </c>
      <c r="S73" s="39"/>
      <c r="T73" s="72" t="str">
        <f t="shared" si="18"/>
        <v/>
      </c>
      <c r="U73" s="39"/>
      <c r="V73" s="72" t="str">
        <f t="shared" si="39"/>
        <v/>
      </c>
      <c r="W73" s="72" t="str">
        <f t="shared" si="19"/>
        <v/>
      </c>
      <c r="X73" s="39"/>
      <c r="Y73" s="72" t="str">
        <f t="shared" si="40"/>
        <v/>
      </c>
      <c r="Z73" s="72" t="str">
        <f t="shared" si="20"/>
        <v/>
      </c>
      <c r="AA73" s="39"/>
      <c r="AB73" s="72" t="str">
        <f t="shared" si="4"/>
        <v/>
      </c>
      <c r="AC73" s="72" t="str">
        <f t="shared" si="21"/>
        <v/>
      </c>
      <c r="AD73" s="39"/>
      <c r="AE73" s="72" t="str">
        <f t="shared" si="41"/>
        <v/>
      </c>
      <c r="AF73" s="72" t="str">
        <f t="shared" si="22"/>
        <v/>
      </c>
      <c r="AG73" s="39"/>
      <c r="AH73" s="72" t="str">
        <f t="shared" si="42"/>
        <v/>
      </c>
      <c r="AI73" s="72" t="str">
        <f t="shared" si="23"/>
        <v/>
      </c>
      <c r="AJ73" s="39"/>
      <c r="AK73" s="72" t="str">
        <f t="shared" si="24"/>
        <v/>
      </c>
      <c r="AL73" s="72" t="str">
        <f t="shared" si="25"/>
        <v/>
      </c>
      <c r="AM73" s="39"/>
      <c r="AN73" s="72" t="str">
        <f t="shared" si="43"/>
        <v/>
      </c>
      <c r="AO73" s="72" t="str">
        <f t="shared" si="26"/>
        <v/>
      </c>
      <c r="AP73" s="39"/>
      <c r="AQ73" s="72" t="str">
        <f t="shared" si="44"/>
        <v/>
      </c>
      <c r="AR73" s="72" t="str">
        <f t="shared" si="37"/>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45"/>
        <v/>
      </c>
      <c r="AW73" s="72" t="str">
        <f t="shared" si="10"/>
        <v/>
      </c>
      <c r="AX73" s="39"/>
      <c r="AY73" s="40" t="str">
        <f>IF(ISERROR(IF($K73&lt;=$F$15,VLOOKUP($I73,'表4）CO2価格'!$A$7:$E$67,VLOOKUP($F$48,'表4）CO2価格'!$H$10:$I$12,2,0),0)*$F$8/1000,"")),0,IF($K73&lt;=$F$15,VLOOKUP($I73,'表4）CO2価格'!$A$7:$E$67,VLOOKUP($F$48,'表4）CO2価格'!$H$10:$I$12,2,0),0)*$F$8/1000,""))</f>
        <v/>
      </c>
      <c r="AZ73" s="39"/>
      <c r="BA73" s="42" t="str">
        <f t="shared" si="46"/>
        <v/>
      </c>
      <c r="BB73" s="72" t="str">
        <f t="shared" si="27"/>
        <v/>
      </c>
      <c r="BC73" s="39"/>
      <c r="BD73" s="72" t="str">
        <f t="shared" si="47"/>
        <v/>
      </c>
      <c r="BE73" s="72" t="str">
        <f t="shared" si="28"/>
        <v/>
      </c>
      <c r="BF73" s="39"/>
      <c r="BG73" s="42" t="str">
        <f t="shared" si="48"/>
        <v/>
      </c>
      <c r="BH73" s="72" t="str">
        <f t="shared" si="29"/>
        <v/>
      </c>
      <c r="BI73" s="39"/>
      <c r="BJ73" s="40" t="str">
        <f t="shared" si="30"/>
        <v/>
      </c>
      <c r="BK73" s="157" t="str">
        <f t="shared" si="31"/>
        <v/>
      </c>
      <c r="BL73" s="157" t="str">
        <f t="shared" si="14"/>
        <v/>
      </c>
      <c r="BM73" s="72"/>
      <c r="BN73" s="72" t="str">
        <f t="shared" si="32"/>
        <v/>
      </c>
      <c r="BO73" s="72" t="str">
        <f t="shared" si="33"/>
        <v/>
      </c>
      <c r="BP73" s="39"/>
      <c r="BQ73" s="72" t="str">
        <f t="shared" si="49"/>
        <v/>
      </c>
      <c r="BR73" s="72" t="str">
        <f t="shared" si="34"/>
        <v/>
      </c>
    </row>
    <row r="74" spans="2:70" ht="15" x14ac:dyDescent="0.15">
      <c r="D74" s="116" t="s">
        <v>192</v>
      </c>
      <c r="F74" s="94">
        <f>SUBTOTAL(9,F78:F81)</f>
        <v>6.1671606837982971</v>
      </c>
      <c r="G74" s="81" t="s">
        <v>132</v>
      </c>
      <c r="I74" s="322">
        <f t="shared" si="35"/>
        <v>2089</v>
      </c>
      <c r="J74" s="71"/>
      <c r="K74" s="71">
        <f t="shared" si="36"/>
        <v>60</v>
      </c>
      <c r="L74" s="71"/>
      <c r="M74" s="7">
        <f t="shared" si="0"/>
        <v>0.1697330900164177</v>
      </c>
      <c r="N74" s="71"/>
      <c r="O74" s="10" t="str">
        <f t="shared" si="16"/>
        <v/>
      </c>
      <c r="P74" s="29" t="str">
        <f t="shared" si="38"/>
        <v/>
      </c>
      <c r="Q74" s="71"/>
      <c r="R74" s="10" t="str">
        <f t="shared" si="50"/>
        <v/>
      </c>
      <c r="S74" s="71"/>
      <c r="T74" s="10" t="str">
        <f t="shared" si="18"/>
        <v/>
      </c>
      <c r="U74" s="71"/>
      <c r="V74" s="10" t="str">
        <f t="shared" si="39"/>
        <v/>
      </c>
      <c r="W74" s="10" t="str">
        <f t="shared" si="19"/>
        <v/>
      </c>
      <c r="X74" s="71"/>
      <c r="Y74" s="10" t="str">
        <f t="shared" si="40"/>
        <v/>
      </c>
      <c r="Z74" s="10" t="str">
        <f t="shared" si="20"/>
        <v/>
      </c>
      <c r="AA74" s="71"/>
      <c r="AB74" s="10" t="str">
        <f t="shared" si="4"/>
        <v/>
      </c>
      <c r="AC74" s="10" t="str">
        <f t="shared" si="21"/>
        <v/>
      </c>
      <c r="AD74" s="71"/>
      <c r="AE74" s="10" t="str">
        <f t="shared" si="41"/>
        <v/>
      </c>
      <c r="AF74" s="10" t="str">
        <f t="shared" si="22"/>
        <v/>
      </c>
      <c r="AG74" s="71"/>
      <c r="AH74" s="10" t="str">
        <f t="shared" si="42"/>
        <v/>
      </c>
      <c r="AI74" s="10" t="str">
        <f t="shared" si="23"/>
        <v/>
      </c>
      <c r="AJ74" s="71"/>
      <c r="AK74" s="10" t="str">
        <f t="shared" si="24"/>
        <v/>
      </c>
      <c r="AL74" s="10" t="str">
        <f t="shared" si="25"/>
        <v/>
      </c>
      <c r="AM74" s="71"/>
      <c r="AN74" s="10" t="str">
        <f t="shared" si="43"/>
        <v/>
      </c>
      <c r="AO74" s="10" t="str">
        <f t="shared" si="26"/>
        <v/>
      </c>
      <c r="AP74" s="71"/>
      <c r="AQ74" s="10" t="str">
        <f t="shared" si="44"/>
        <v/>
      </c>
      <c r="AR74" s="10" t="str">
        <f t="shared" si="37"/>
        <v/>
      </c>
      <c r="AS74" s="71"/>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U74" s="71"/>
      <c r="AV74" s="10" t="str">
        <f t="shared" si="45"/>
        <v/>
      </c>
      <c r="AW74" s="10" t="str">
        <f t="shared" si="10"/>
        <v/>
      </c>
      <c r="AX74" s="71"/>
      <c r="AY74" s="7" t="str">
        <f>IF(ISERROR(IF($K74&lt;=$F$15,VLOOKUP($I74,'表4）CO2価格'!$A$7:$E$67,VLOOKUP($F$48,'表4）CO2価格'!$H$10:$I$12,2,0),0)*$F$8/1000,"")),0,IF($K74&lt;=$F$15,VLOOKUP($I74,'表4）CO2価格'!$A$7:$E$67,VLOOKUP($F$48,'表4）CO2価格'!$H$10:$I$12,2,0),0)*$F$8/1000,""))</f>
        <v/>
      </c>
      <c r="AZ74" s="71"/>
      <c r="BA74" s="11" t="str">
        <f t="shared" si="46"/>
        <v/>
      </c>
      <c r="BB74" s="10" t="str">
        <f t="shared" si="27"/>
        <v/>
      </c>
      <c r="BC74" s="71"/>
      <c r="BD74" s="10" t="str">
        <f t="shared" si="47"/>
        <v/>
      </c>
      <c r="BE74" s="10" t="str">
        <f t="shared" si="28"/>
        <v/>
      </c>
      <c r="BF74" s="71"/>
      <c r="BG74" s="11" t="str">
        <f t="shared" si="48"/>
        <v/>
      </c>
      <c r="BH74" s="10" t="str">
        <f t="shared" si="29"/>
        <v/>
      </c>
      <c r="BJ74" s="7" t="str">
        <f t="shared" si="30"/>
        <v/>
      </c>
      <c r="BK74" s="158" t="str">
        <f t="shared" si="31"/>
        <v/>
      </c>
      <c r="BL74" s="158" t="str">
        <f t="shared" si="14"/>
        <v/>
      </c>
      <c r="BM74" s="10"/>
      <c r="BN74" s="10" t="str">
        <f t="shared" si="32"/>
        <v/>
      </c>
      <c r="BO74" s="10" t="str">
        <f t="shared" si="33"/>
        <v/>
      </c>
      <c r="BQ74" s="10" t="str">
        <f t="shared" si="49"/>
        <v/>
      </c>
      <c r="BR74" s="10" t="str">
        <f t="shared" si="34"/>
        <v/>
      </c>
    </row>
    <row r="75" spans="2:70" x14ac:dyDescent="0.15">
      <c r="F75" s="93"/>
      <c r="I75" s="38">
        <f t="shared" si="35"/>
        <v>2090</v>
      </c>
      <c r="J75" s="39"/>
      <c r="K75" s="39">
        <f t="shared" si="36"/>
        <v>61</v>
      </c>
      <c r="L75" s="39"/>
      <c r="M75" s="40">
        <f t="shared" si="0"/>
        <v>0.16478940778292983</v>
      </c>
      <c r="N75" s="39"/>
      <c r="O75" s="72" t="str">
        <f t="shared" si="16"/>
        <v/>
      </c>
      <c r="P75" s="41" t="str">
        <f t="shared" si="38"/>
        <v/>
      </c>
      <c r="Q75" s="39"/>
      <c r="R75" s="72" t="str">
        <f t="shared" si="50"/>
        <v/>
      </c>
      <c r="S75" s="39"/>
      <c r="T75" s="72" t="str">
        <f t="shared" si="18"/>
        <v/>
      </c>
      <c r="U75" s="39"/>
      <c r="V75" s="72" t="str">
        <f t="shared" si="39"/>
        <v/>
      </c>
      <c r="W75" s="72" t="str">
        <f t="shared" si="19"/>
        <v/>
      </c>
      <c r="X75" s="39"/>
      <c r="Y75" s="72" t="str">
        <f t="shared" si="40"/>
        <v/>
      </c>
      <c r="Z75" s="72" t="str">
        <f t="shared" si="20"/>
        <v/>
      </c>
      <c r="AA75" s="39"/>
      <c r="AB75" s="72" t="str">
        <f t="shared" si="4"/>
        <v/>
      </c>
      <c r="AC75" s="72" t="str">
        <f t="shared" si="21"/>
        <v/>
      </c>
      <c r="AD75" s="39"/>
      <c r="AE75" s="72" t="str">
        <f t="shared" si="41"/>
        <v/>
      </c>
      <c r="AF75" s="72" t="str">
        <f t="shared" si="22"/>
        <v/>
      </c>
      <c r="AG75" s="39"/>
      <c r="AH75" s="72" t="str">
        <f t="shared" si="42"/>
        <v/>
      </c>
      <c r="AI75" s="72" t="str">
        <f t="shared" si="23"/>
        <v/>
      </c>
      <c r="AJ75" s="39"/>
      <c r="AK75" s="72" t="str">
        <f t="shared" si="24"/>
        <v/>
      </c>
      <c r="AL75" s="72" t="str">
        <f t="shared" si="25"/>
        <v/>
      </c>
      <c r="AM75" s="39"/>
      <c r="AN75" s="72" t="str">
        <f t="shared" si="43"/>
        <v/>
      </c>
      <c r="AO75" s="72" t="str">
        <f t="shared" si="26"/>
        <v/>
      </c>
      <c r="AP75" s="39"/>
      <c r="AQ75" s="72" t="str">
        <f t="shared" si="44"/>
        <v/>
      </c>
      <c r="AR75" s="72" t="str">
        <f t="shared" si="37"/>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45"/>
        <v/>
      </c>
      <c r="AW75" s="72" t="str">
        <f t="shared" si="10"/>
        <v/>
      </c>
      <c r="AX75" s="39"/>
      <c r="AY75" s="40" t="str">
        <f>IF(ISERROR(IF($K75&lt;=$F$15,VLOOKUP($I75,'表4）CO2価格'!$A$7:$E$67,VLOOKUP($F$48,'表4）CO2価格'!$H$10:$I$12,2,0),0)*$F$8/1000,"")),0,IF($K75&lt;=$F$15,VLOOKUP($I75,'表4）CO2価格'!$A$7:$E$67,VLOOKUP($F$48,'表4）CO2価格'!$H$10:$I$12,2,0),0)*$F$8/1000,""))</f>
        <v/>
      </c>
      <c r="AZ75" s="39"/>
      <c r="BA75" s="42" t="str">
        <f t="shared" si="46"/>
        <v/>
      </c>
      <c r="BB75" s="72" t="str">
        <f t="shared" si="27"/>
        <v/>
      </c>
      <c r="BC75" s="39"/>
      <c r="BD75" s="72" t="str">
        <f t="shared" si="47"/>
        <v/>
      </c>
      <c r="BE75" s="72" t="str">
        <f t="shared" si="28"/>
        <v/>
      </c>
      <c r="BF75" s="39"/>
      <c r="BG75" s="42" t="str">
        <f t="shared" si="48"/>
        <v/>
      </c>
      <c r="BH75" s="72" t="str">
        <f t="shared" si="29"/>
        <v/>
      </c>
      <c r="BI75" s="39"/>
      <c r="BJ75" s="40" t="str">
        <f t="shared" si="30"/>
        <v/>
      </c>
      <c r="BK75" s="157" t="str">
        <f t="shared" si="31"/>
        <v/>
      </c>
      <c r="BL75" s="157" t="str">
        <f t="shared" si="14"/>
        <v/>
      </c>
      <c r="BM75" s="72"/>
      <c r="BN75" s="72" t="str">
        <f t="shared" si="32"/>
        <v/>
      </c>
      <c r="BO75" s="72" t="str">
        <f t="shared" si="33"/>
        <v/>
      </c>
      <c r="BP75" s="39"/>
      <c r="BQ75" s="72" t="str">
        <f t="shared" si="49"/>
        <v/>
      </c>
      <c r="BR75" s="72" t="str">
        <f t="shared" si="34"/>
        <v/>
      </c>
    </row>
    <row r="76" spans="2:70" x14ac:dyDescent="0.15">
      <c r="D76" s="101" t="s">
        <v>193</v>
      </c>
      <c r="E76" s="101"/>
      <c r="F76" s="92"/>
      <c r="G76" s="101"/>
      <c r="I76" s="322">
        <f t="shared" si="35"/>
        <v>2091</v>
      </c>
      <c r="J76" s="71"/>
      <c r="K76" s="71">
        <f t="shared" si="36"/>
        <v>62</v>
      </c>
      <c r="L76" s="71"/>
      <c r="M76" s="7">
        <f t="shared" si="0"/>
        <v>0.15998971629410663</v>
      </c>
      <c r="N76" s="71"/>
      <c r="O76" s="10" t="str">
        <f t="shared" si="16"/>
        <v/>
      </c>
      <c r="P76" s="29" t="str">
        <f t="shared" si="38"/>
        <v/>
      </c>
      <c r="Q76" s="71"/>
      <c r="R76" s="10" t="str">
        <f t="shared" si="50"/>
        <v/>
      </c>
      <c r="S76" s="71"/>
      <c r="T76" s="10" t="str">
        <f t="shared" si="18"/>
        <v/>
      </c>
      <c r="U76" s="71"/>
      <c r="V76" s="10" t="str">
        <f t="shared" si="39"/>
        <v/>
      </c>
      <c r="W76" s="10" t="str">
        <f t="shared" si="19"/>
        <v/>
      </c>
      <c r="X76" s="71"/>
      <c r="Y76" s="10" t="str">
        <f t="shared" si="40"/>
        <v/>
      </c>
      <c r="Z76" s="10" t="str">
        <f t="shared" si="20"/>
        <v/>
      </c>
      <c r="AA76" s="71"/>
      <c r="AB76" s="10" t="str">
        <f t="shared" si="4"/>
        <v/>
      </c>
      <c r="AC76" s="10" t="str">
        <f t="shared" si="21"/>
        <v/>
      </c>
      <c r="AD76" s="71"/>
      <c r="AE76" s="10" t="str">
        <f t="shared" si="41"/>
        <v/>
      </c>
      <c r="AF76" s="10" t="str">
        <f t="shared" si="22"/>
        <v/>
      </c>
      <c r="AG76" s="71"/>
      <c r="AH76" s="10" t="str">
        <f t="shared" si="42"/>
        <v/>
      </c>
      <c r="AI76" s="10" t="str">
        <f t="shared" si="23"/>
        <v/>
      </c>
      <c r="AJ76" s="71"/>
      <c r="AK76" s="10" t="str">
        <f t="shared" si="24"/>
        <v/>
      </c>
      <c r="AL76" s="10" t="str">
        <f t="shared" si="25"/>
        <v/>
      </c>
      <c r="AM76" s="71"/>
      <c r="AN76" s="10" t="str">
        <f t="shared" si="43"/>
        <v/>
      </c>
      <c r="AO76" s="10" t="str">
        <f t="shared" si="26"/>
        <v/>
      </c>
      <c r="AP76" s="71"/>
      <c r="AQ76" s="10" t="str">
        <f t="shared" si="44"/>
        <v/>
      </c>
      <c r="AR76" s="10" t="str">
        <f t="shared" si="37"/>
        <v/>
      </c>
      <c r="AS76" s="71"/>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U76" s="71"/>
      <c r="AV76" s="10" t="str">
        <f t="shared" si="45"/>
        <v/>
      </c>
      <c r="AW76" s="10" t="str">
        <f t="shared" si="10"/>
        <v/>
      </c>
      <c r="AX76" s="71"/>
      <c r="AY76" s="7" t="str">
        <f>IF(ISERROR(IF($K76&lt;=$F$15,VLOOKUP($I76,'表4）CO2価格'!$A$7:$E$67,VLOOKUP($F$48,'表4）CO2価格'!$H$10:$I$12,2,0),0)*$F$8/1000,"")),0,IF($K76&lt;=$F$15,VLOOKUP($I76,'表4）CO2価格'!$A$7:$E$67,VLOOKUP($F$48,'表4）CO2価格'!$H$10:$I$12,2,0),0)*$F$8/1000,""))</f>
        <v/>
      </c>
      <c r="AZ76" s="71"/>
      <c r="BA76" s="11" t="str">
        <f t="shared" si="46"/>
        <v/>
      </c>
      <c r="BB76" s="10" t="str">
        <f t="shared" si="27"/>
        <v/>
      </c>
      <c r="BC76" s="71"/>
      <c r="BD76" s="10" t="str">
        <f t="shared" si="47"/>
        <v/>
      </c>
      <c r="BE76" s="10" t="str">
        <f t="shared" si="28"/>
        <v/>
      </c>
      <c r="BF76" s="71"/>
      <c r="BG76" s="11" t="str">
        <f t="shared" si="48"/>
        <v/>
      </c>
      <c r="BH76" s="10" t="str">
        <f t="shared" si="29"/>
        <v/>
      </c>
      <c r="BJ76" s="7" t="str">
        <f t="shared" si="30"/>
        <v/>
      </c>
      <c r="BK76" s="158" t="str">
        <f t="shared" si="31"/>
        <v/>
      </c>
      <c r="BL76" s="158" t="str">
        <f t="shared" si="14"/>
        <v/>
      </c>
      <c r="BM76" s="10"/>
      <c r="BN76" s="10" t="str">
        <f t="shared" si="32"/>
        <v/>
      </c>
      <c r="BO76" s="10" t="str">
        <f t="shared" si="33"/>
        <v/>
      </c>
      <c r="BQ76" s="10" t="str">
        <f t="shared" si="49"/>
        <v/>
      </c>
      <c r="BR76" s="10" t="str">
        <f t="shared" si="34"/>
        <v/>
      </c>
    </row>
    <row r="77" spans="2:70" x14ac:dyDescent="0.15">
      <c r="F77" s="93"/>
      <c r="I77" s="38">
        <f t="shared" si="35"/>
        <v>2092</v>
      </c>
      <c r="J77" s="39"/>
      <c r="K77" s="39">
        <f t="shared" si="36"/>
        <v>63</v>
      </c>
      <c r="L77" s="39"/>
      <c r="M77" s="40">
        <f t="shared" si="0"/>
        <v>0.15532982164476369</v>
      </c>
      <c r="N77" s="39"/>
      <c r="O77" s="72" t="str">
        <f t="shared" si="16"/>
        <v/>
      </c>
      <c r="P77" s="41" t="str">
        <f t="shared" si="38"/>
        <v/>
      </c>
      <c r="Q77" s="39"/>
      <c r="R77" s="72" t="str">
        <f t="shared" si="50"/>
        <v/>
      </c>
      <c r="S77" s="39"/>
      <c r="T77" s="72" t="str">
        <f t="shared" si="18"/>
        <v/>
      </c>
      <c r="U77" s="39"/>
      <c r="V77" s="72" t="str">
        <f t="shared" si="39"/>
        <v/>
      </c>
      <c r="W77" s="72" t="str">
        <f t="shared" si="19"/>
        <v/>
      </c>
      <c r="X77" s="39"/>
      <c r="Y77" s="72" t="str">
        <f t="shared" si="40"/>
        <v/>
      </c>
      <c r="Z77" s="72" t="str">
        <f t="shared" si="20"/>
        <v/>
      </c>
      <c r="AA77" s="39"/>
      <c r="AB77" s="72" t="str">
        <f t="shared" si="4"/>
        <v/>
      </c>
      <c r="AC77" s="72" t="str">
        <f t="shared" si="21"/>
        <v/>
      </c>
      <c r="AD77" s="39"/>
      <c r="AE77" s="72" t="str">
        <f t="shared" si="41"/>
        <v/>
      </c>
      <c r="AF77" s="72" t="str">
        <f t="shared" si="22"/>
        <v/>
      </c>
      <c r="AG77" s="39"/>
      <c r="AH77" s="72" t="str">
        <f t="shared" si="42"/>
        <v/>
      </c>
      <c r="AI77" s="72" t="str">
        <f t="shared" si="23"/>
        <v/>
      </c>
      <c r="AJ77" s="39"/>
      <c r="AK77" s="72" t="str">
        <f t="shared" si="24"/>
        <v/>
      </c>
      <c r="AL77" s="72" t="str">
        <f t="shared" si="25"/>
        <v/>
      </c>
      <c r="AM77" s="39"/>
      <c r="AN77" s="72" t="str">
        <f t="shared" si="43"/>
        <v/>
      </c>
      <c r="AO77" s="72" t="str">
        <f t="shared" si="26"/>
        <v/>
      </c>
      <c r="AP77" s="39"/>
      <c r="AQ77" s="72" t="str">
        <f t="shared" si="44"/>
        <v/>
      </c>
      <c r="AR77" s="72" t="str">
        <f t="shared" si="37"/>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45"/>
        <v/>
      </c>
      <c r="AW77" s="72" t="str">
        <f t="shared" si="10"/>
        <v/>
      </c>
      <c r="AX77" s="39"/>
      <c r="AY77" s="40" t="str">
        <f>IF(ISERROR(IF($K77&lt;=$F$15,VLOOKUP($I77,'表4）CO2価格'!$A$7:$E$67,VLOOKUP($F$48,'表4）CO2価格'!$H$10:$I$12,2,0),0)*$F$8/1000,"")),0,IF($K77&lt;=$F$15,VLOOKUP($I77,'表4）CO2価格'!$A$7:$E$67,VLOOKUP($F$48,'表4）CO2価格'!$H$10:$I$12,2,0),0)*$F$8/1000,""))</f>
        <v/>
      </c>
      <c r="AZ77" s="39"/>
      <c r="BA77" s="42" t="str">
        <f t="shared" si="46"/>
        <v/>
      </c>
      <c r="BB77" s="72" t="str">
        <f t="shared" si="27"/>
        <v/>
      </c>
      <c r="BC77" s="39"/>
      <c r="BD77" s="72" t="str">
        <f t="shared" si="47"/>
        <v/>
      </c>
      <c r="BE77" s="72" t="str">
        <f t="shared" si="28"/>
        <v/>
      </c>
      <c r="BF77" s="39"/>
      <c r="BG77" s="42" t="str">
        <f t="shared" si="48"/>
        <v/>
      </c>
      <c r="BH77" s="72" t="str">
        <f t="shared" si="29"/>
        <v/>
      </c>
      <c r="BI77" s="39"/>
      <c r="BJ77" s="40" t="str">
        <f t="shared" si="30"/>
        <v/>
      </c>
      <c r="BK77" s="157" t="str">
        <f t="shared" si="31"/>
        <v/>
      </c>
      <c r="BL77" s="157" t="str">
        <f t="shared" si="14"/>
        <v/>
      </c>
      <c r="BM77" s="72"/>
      <c r="BN77" s="72" t="str">
        <f t="shared" si="32"/>
        <v/>
      </c>
      <c r="BO77" s="72" t="str">
        <f t="shared" si="33"/>
        <v/>
      </c>
      <c r="BP77" s="39"/>
      <c r="BQ77" s="72" t="str">
        <f t="shared" si="49"/>
        <v/>
      </c>
      <c r="BR77" s="72" t="str">
        <f t="shared" si="34"/>
        <v/>
      </c>
    </row>
    <row r="78" spans="2:70" x14ac:dyDescent="0.15">
      <c r="E78" s="74" t="s">
        <v>138</v>
      </c>
      <c r="F78" s="105">
        <f>R15/$BR$116</f>
        <v>5.4843147965841279</v>
      </c>
      <c r="G78" s="81" t="s">
        <v>132</v>
      </c>
      <c r="I78" s="322">
        <f t="shared" si="35"/>
        <v>2093</v>
      </c>
      <c r="J78" s="71"/>
      <c r="K78" s="71">
        <f t="shared" si="36"/>
        <v>64</v>
      </c>
      <c r="L78" s="71"/>
      <c r="M78" s="7">
        <f t="shared" si="0"/>
        <v>0.15080565208229488</v>
      </c>
      <c r="N78" s="71"/>
      <c r="O78" s="10" t="str">
        <f t="shared" si="16"/>
        <v/>
      </c>
      <c r="P78" s="29" t="str">
        <f t="shared" si="38"/>
        <v/>
      </c>
      <c r="Q78" s="71"/>
      <c r="R78" s="10" t="str">
        <f t="shared" si="50"/>
        <v/>
      </c>
      <c r="S78" s="71"/>
      <c r="T78" s="10" t="str">
        <f t="shared" si="18"/>
        <v/>
      </c>
      <c r="U78" s="71"/>
      <c r="V78" s="10" t="str">
        <f t="shared" si="39"/>
        <v/>
      </c>
      <c r="W78" s="10" t="str">
        <f t="shared" si="19"/>
        <v/>
      </c>
      <c r="X78" s="71"/>
      <c r="Y78" s="10" t="str">
        <f t="shared" si="40"/>
        <v/>
      </c>
      <c r="Z78" s="10" t="str">
        <f t="shared" si="20"/>
        <v/>
      </c>
      <c r="AA78" s="71"/>
      <c r="AB78" s="10" t="str">
        <f t="shared" si="4"/>
        <v/>
      </c>
      <c r="AC78" s="10" t="str">
        <f t="shared" si="21"/>
        <v/>
      </c>
      <c r="AD78" s="71"/>
      <c r="AE78" s="10" t="str">
        <f t="shared" si="41"/>
        <v/>
      </c>
      <c r="AF78" s="10" t="str">
        <f t="shared" si="22"/>
        <v/>
      </c>
      <c r="AG78" s="71"/>
      <c r="AH78" s="10" t="str">
        <f t="shared" si="42"/>
        <v/>
      </c>
      <c r="AI78" s="10" t="str">
        <f t="shared" si="23"/>
        <v/>
      </c>
      <c r="AJ78" s="71"/>
      <c r="AK78" s="10" t="str">
        <f t="shared" si="24"/>
        <v/>
      </c>
      <c r="AL78" s="10" t="str">
        <f t="shared" si="25"/>
        <v/>
      </c>
      <c r="AM78" s="71"/>
      <c r="AN78" s="10" t="str">
        <f t="shared" si="43"/>
        <v/>
      </c>
      <c r="AO78" s="10" t="str">
        <f t="shared" si="26"/>
        <v/>
      </c>
      <c r="AP78" s="71"/>
      <c r="AQ78" s="10" t="str">
        <f t="shared" si="44"/>
        <v/>
      </c>
      <c r="AR78" s="10" t="str">
        <f t="shared" si="37"/>
        <v/>
      </c>
      <c r="AS78" s="71"/>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U78" s="71"/>
      <c r="AV78" s="10" t="str">
        <f t="shared" si="45"/>
        <v/>
      </c>
      <c r="AW78" s="10" t="str">
        <f t="shared" si="10"/>
        <v/>
      </c>
      <c r="AX78" s="71"/>
      <c r="AY78" s="7" t="str">
        <f>IF(ISERROR(IF($K78&lt;=$F$15,VLOOKUP($I78,'表4）CO2価格'!$A$7:$E$67,VLOOKUP($F$48,'表4）CO2価格'!$H$10:$I$12,2,0),0)*$F$8/1000,"")),0,IF($K78&lt;=$F$15,VLOOKUP($I78,'表4）CO2価格'!$A$7:$E$67,VLOOKUP($F$48,'表4）CO2価格'!$H$10:$I$12,2,0),0)*$F$8/1000,""))</f>
        <v/>
      </c>
      <c r="AZ78" s="71"/>
      <c r="BA78" s="11" t="str">
        <f t="shared" si="46"/>
        <v/>
      </c>
      <c r="BB78" s="10" t="str">
        <f t="shared" si="27"/>
        <v/>
      </c>
      <c r="BC78" s="71"/>
      <c r="BD78" s="10" t="str">
        <f t="shared" si="47"/>
        <v/>
      </c>
      <c r="BE78" s="10" t="str">
        <f t="shared" si="28"/>
        <v/>
      </c>
      <c r="BF78" s="71"/>
      <c r="BG78" s="11" t="str">
        <f t="shared" si="48"/>
        <v/>
      </c>
      <c r="BH78" s="10" t="str">
        <f t="shared" si="29"/>
        <v/>
      </c>
      <c r="BJ78" s="7" t="str">
        <f t="shared" si="30"/>
        <v/>
      </c>
      <c r="BK78" s="158" t="str">
        <f t="shared" si="31"/>
        <v/>
      </c>
      <c r="BL78" s="158" t="str">
        <f t="shared" si="14"/>
        <v/>
      </c>
      <c r="BM78" s="10"/>
      <c r="BN78" s="10" t="str">
        <f t="shared" si="32"/>
        <v/>
      </c>
      <c r="BO78" s="10" t="str">
        <f t="shared" si="33"/>
        <v/>
      </c>
      <c r="BQ78" s="10" t="str">
        <f t="shared" si="49"/>
        <v/>
      </c>
      <c r="BR78" s="10" t="str">
        <f t="shared" si="34"/>
        <v/>
      </c>
    </row>
    <row r="79" spans="2:70" x14ac:dyDescent="0.15">
      <c r="E79" s="81" t="s">
        <v>139</v>
      </c>
      <c r="F79" s="91">
        <f>Z116/$BR$116</f>
        <v>0</v>
      </c>
      <c r="G79" s="81" t="s">
        <v>132</v>
      </c>
      <c r="I79" s="38">
        <f t="shared" si="35"/>
        <v>2094</v>
      </c>
      <c r="J79" s="39"/>
      <c r="K79" s="39">
        <f t="shared" si="36"/>
        <v>65</v>
      </c>
      <c r="L79" s="39"/>
      <c r="M79" s="40">
        <f t="shared" ref="M79:M114" si="51">1/(1+($F$9/100))^K79</f>
        <v>0.14641325444882999</v>
      </c>
      <c r="N79" s="39"/>
      <c r="O79" s="72" t="str">
        <f t="shared" si="16"/>
        <v/>
      </c>
      <c r="P79" s="41" t="str">
        <f t="shared" ref="P79:P110" si="52">IF(K79&lt;=$F$15,IF(OR(P78=$F$124,P78="-"),"-",IF(O79*$F$123&gt;$F$127,$F$123,$F$124)),"")</f>
        <v/>
      </c>
      <c r="Q79" s="39"/>
      <c r="R79" s="72" t="str">
        <f t="shared" si="50"/>
        <v/>
      </c>
      <c r="S79" s="39"/>
      <c r="T79" s="72" t="str">
        <f t="shared" si="18"/>
        <v/>
      </c>
      <c r="U79" s="39"/>
      <c r="V79" s="72" t="str">
        <f t="shared" ref="V79:V114" si="53">IF(K79&lt;=$F$15,IF(K79&lt;$F$119,IF(P79="-",V78,O79*P79),IF(K79=$F$119,MIN(IF(P79="-",V78,O79*P79),O79),0)),"")</f>
        <v/>
      </c>
      <c r="W79" s="72" t="str">
        <f t="shared" si="19"/>
        <v/>
      </c>
      <c r="X79" s="39"/>
      <c r="Y79" s="72" t="str">
        <f t="shared" ref="Y79:Y114" si="54">IF($K79&lt;=$F$15,ROUNDDOWN(T79*$F$25/100,-2),"")</f>
        <v/>
      </c>
      <c r="Z79" s="72" t="str">
        <f t="shared" si="20"/>
        <v/>
      </c>
      <c r="AA79" s="39"/>
      <c r="AB79" s="72" t="str">
        <f t="shared" ref="AB79:AB114" si="55">IF($K79&lt;=$F$15,0,IF(AND($K79&gt;$F$15,$K79&lt;=$F$15+$F$28),$F$27*10^8/$F$28,""))</f>
        <v/>
      </c>
      <c r="AC79" s="72" t="str">
        <f t="shared" si="21"/>
        <v/>
      </c>
      <c r="AD79" s="39"/>
      <c r="AE79" s="72" t="str">
        <f t="shared" ref="AE79:AE114" si="56">IF($K79&lt;=$F$15,$F$26,"")</f>
        <v/>
      </c>
      <c r="AF79" s="72" t="str">
        <f t="shared" si="22"/>
        <v/>
      </c>
      <c r="AG79" s="39"/>
      <c r="AH79" s="72" t="str">
        <f t="shared" ref="AH79:AH114" si="57">IF($K79&lt;=$F$15,$F$33*10^8,"")</f>
        <v/>
      </c>
      <c r="AI79" s="72" t="str">
        <f t="shared" si="23"/>
        <v/>
      </c>
      <c r="AJ79" s="39"/>
      <c r="AK79" s="72" t="str">
        <f t="shared" si="24"/>
        <v/>
      </c>
      <c r="AL79" s="72" t="str">
        <f t="shared" si="25"/>
        <v/>
      </c>
      <c r="AM79" s="39"/>
      <c r="AN79" s="72" t="str">
        <f t="shared" ref="AN79:AN114" si="58">IF($K79&lt;=$F$15,$F$117*$F$35/100,"")</f>
        <v/>
      </c>
      <c r="AO79" s="72" t="str">
        <f t="shared" si="26"/>
        <v/>
      </c>
      <c r="AP79" s="39"/>
      <c r="AQ79" s="72" t="str">
        <f t="shared" ref="AQ79:AQ114" si="59">IF($K79&lt;=$F$15,SUM(AH79,AK79,AN79)*($F$36/100),"")</f>
        <v/>
      </c>
      <c r="AR79" s="72" t="str">
        <f t="shared" si="37"/>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60">IF($K79&lt;=$F$15,($AT79+$F$142)*$F$137,"")</f>
        <v/>
      </c>
      <c r="AW79" s="72" t="str">
        <f t="shared" ref="AW79:AW114" si="61">IF(ISNUMBER(AV79),AV79*$M79,"")</f>
        <v/>
      </c>
      <c r="AX79" s="39"/>
      <c r="AY79" s="40" t="str">
        <f>IF(ISERROR(IF($K79&lt;=$F$15,VLOOKUP($I79,'表4）CO2価格'!$A$7:$E$67,VLOOKUP($F$48,'表4）CO2価格'!$H$10:$I$12,2,0),0)*$F$8/1000,"")),0,IF($K79&lt;=$F$15,VLOOKUP($I79,'表4）CO2価格'!$A$7:$E$67,VLOOKUP($F$48,'表4）CO2価格'!$H$10:$I$12,2,0),0)*$F$8/1000,""))</f>
        <v/>
      </c>
      <c r="AZ79" s="39"/>
      <c r="BA79" s="42" t="str">
        <f t="shared" ref="BA79:BA114" si="62">IF($K79&lt;=$F$15,$F$145*AY79,"")</f>
        <v/>
      </c>
      <c r="BB79" s="72" t="str">
        <f t="shared" si="27"/>
        <v/>
      </c>
      <c r="BC79" s="39"/>
      <c r="BD79" s="72" t="str">
        <f t="shared" ref="BD79:BD114" si="63">IF($K79&lt;=$F$15,($AT79+$F$152)*$F$151,"")</f>
        <v/>
      </c>
      <c r="BE79" s="72" t="str">
        <f t="shared" si="28"/>
        <v/>
      </c>
      <c r="BF79" s="39"/>
      <c r="BG79" s="42" t="str">
        <f t="shared" ref="BG79:BG114" si="64">IF($K79&lt;=$F$15,$F$153*AY79,"")</f>
        <v/>
      </c>
      <c r="BH79" s="72" t="str">
        <f t="shared" si="29"/>
        <v/>
      </c>
      <c r="BI79" s="39"/>
      <c r="BJ79" s="40" t="str">
        <f t="shared" si="30"/>
        <v/>
      </c>
      <c r="BK79" s="157" t="str">
        <f t="shared" si="31"/>
        <v/>
      </c>
      <c r="BL79" s="157" t="str">
        <f t="shared" ref="BL79:BL114" si="65">IF(AND(ISNUMBER(BJ79),$K79&lt;=$F$16),BQ79*BJ79,"")</f>
        <v/>
      </c>
      <c r="BM79" s="72"/>
      <c r="BN79" s="72" t="str">
        <f t="shared" si="32"/>
        <v/>
      </c>
      <c r="BO79" s="72" t="str">
        <f t="shared" si="33"/>
        <v/>
      </c>
      <c r="BP79" s="39"/>
      <c r="BQ79" s="72" t="str">
        <f t="shared" ref="BQ79:BQ114" si="66">IF($K79&lt;=$F$15,$F$134,"")</f>
        <v/>
      </c>
      <c r="BR79" s="72" t="str">
        <f t="shared" si="34"/>
        <v/>
      </c>
    </row>
    <row r="80" spans="2:70" x14ac:dyDescent="0.15">
      <c r="E80" s="81" t="s">
        <v>115</v>
      </c>
      <c r="F80" s="91">
        <f>AF116/$BR$116</f>
        <v>0</v>
      </c>
      <c r="G80" s="81" t="s">
        <v>132</v>
      </c>
      <c r="I80" s="322">
        <f t="shared" si="35"/>
        <v>2095</v>
      </c>
      <c r="J80" s="71"/>
      <c r="K80" s="71">
        <f t="shared" si="36"/>
        <v>66</v>
      </c>
      <c r="L80" s="71"/>
      <c r="M80" s="7">
        <f t="shared" si="51"/>
        <v>0.14214879072701941</v>
      </c>
      <c r="N80" s="71"/>
      <c r="O80" s="10" t="str">
        <f t="shared" ref="O80:O114" si="67">IF(K80&lt;=$F$15,O79-V79,"")</f>
        <v/>
      </c>
      <c r="P80" s="29" t="str">
        <f t="shared" si="52"/>
        <v/>
      </c>
      <c r="Q80" s="71"/>
      <c r="R80" s="10" t="str">
        <f t="shared" ref="R80:R114" si="68">IF($K80&lt;=$F$15,MAX($F$117*5%,R79*$F$129),"")</f>
        <v/>
      </c>
      <c r="S80" s="71"/>
      <c r="T80" s="10" t="str">
        <f t="shared" ref="T80:T114" si="69">IF(ISNUMBER(R80),ROUNDDOWN(R80,-3),"")</f>
        <v/>
      </c>
      <c r="U80" s="71"/>
      <c r="V80" s="10" t="str">
        <f t="shared" si="53"/>
        <v/>
      </c>
      <c r="W80" s="10" t="str">
        <f t="shared" ref="W80:W114" si="70">IF(ISNUMBER(V80),V80*$M80,"")</f>
        <v/>
      </c>
      <c r="X80" s="71"/>
      <c r="Y80" s="10" t="str">
        <f t="shared" si="54"/>
        <v/>
      </c>
      <c r="Z80" s="10" t="str">
        <f t="shared" ref="Z80:Z114" si="71">IF(ISNUMBER(Y80),Y80*$M80,"")</f>
        <v/>
      </c>
      <c r="AA80" s="71"/>
      <c r="AB80" s="10" t="str">
        <f t="shared" si="55"/>
        <v/>
      </c>
      <c r="AC80" s="10" t="str">
        <f t="shared" ref="AC80:AC114" si="72">IF(ISNUMBER(AB80),AB80*$M80,"")</f>
        <v/>
      </c>
      <c r="AD80" s="71"/>
      <c r="AE80" s="10" t="str">
        <f t="shared" si="56"/>
        <v/>
      </c>
      <c r="AF80" s="10" t="str">
        <f t="shared" ref="AF80:AF114" si="73">IF(ISNUMBER(AE80),AE80*$M80,"")</f>
        <v/>
      </c>
      <c r="AG80" s="71"/>
      <c r="AH80" s="10" t="str">
        <f t="shared" si="57"/>
        <v/>
      </c>
      <c r="AI80" s="10" t="str">
        <f t="shared" ref="AI80:AI114" si="74">IF(ISNUMBER(AH80),AH80*$M80,"")</f>
        <v/>
      </c>
      <c r="AJ80" s="71"/>
      <c r="AK80" s="10" t="str">
        <f t="shared" ref="AK80:AK114" si="75">IF($K80&lt;=$F$15,$F$34*10^4*$F$13*10^4,"")</f>
        <v/>
      </c>
      <c r="AL80" s="10" t="str">
        <f t="shared" ref="AL80:AL114" si="76">IF(ISNUMBER(AK80),AK80*$M80,"")</f>
        <v/>
      </c>
      <c r="AM80" s="71"/>
      <c r="AN80" s="10" t="str">
        <f t="shared" si="58"/>
        <v/>
      </c>
      <c r="AO80" s="10" t="str">
        <f t="shared" ref="AO80:AO114" si="77">IF(ISNUMBER(AN80),AN80*$M80,"")</f>
        <v/>
      </c>
      <c r="AP80" s="71"/>
      <c r="AQ80" s="10" t="str">
        <f t="shared" si="59"/>
        <v/>
      </c>
      <c r="AR80" s="10" t="str">
        <f t="shared" ref="AR80:AR114" si="78">IF(ISNUMBER(AQ80),AQ80*$M80,"")</f>
        <v/>
      </c>
      <c r="AS80" s="71"/>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U80" s="71"/>
      <c r="AV80" s="10" t="str">
        <f t="shared" si="60"/>
        <v/>
      </c>
      <c r="AW80" s="10" t="str">
        <f t="shared" si="61"/>
        <v/>
      </c>
      <c r="AX80" s="71"/>
      <c r="AY80" s="7" t="str">
        <f>IF(ISERROR(IF($K80&lt;=$F$15,VLOOKUP($I80,'表4）CO2価格'!$A$7:$E$67,VLOOKUP($F$48,'表4）CO2価格'!$H$10:$I$12,2,0),0)*$F$8/1000,"")),0,IF($K80&lt;=$F$15,VLOOKUP($I80,'表4）CO2価格'!$A$7:$E$67,VLOOKUP($F$48,'表4）CO2価格'!$H$10:$I$12,2,0),0)*$F$8/1000,""))</f>
        <v/>
      </c>
      <c r="AZ80" s="71"/>
      <c r="BA80" s="11" t="str">
        <f t="shared" si="62"/>
        <v/>
      </c>
      <c r="BB80" s="10" t="str">
        <f t="shared" ref="BB80:BB114" si="79">IF(ISNUMBER(BA80),BA80*$M80,"")</f>
        <v/>
      </c>
      <c r="BC80" s="71"/>
      <c r="BD80" s="10" t="str">
        <f t="shared" si="63"/>
        <v/>
      </c>
      <c r="BE80" s="10" t="str">
        <f t="shared" ref="BE80:BE114" si="80">IF(ISNUMBER(BD80),BD80*$M80,"")</f>
        <v/>
      </c>
      <c r="BF80" s="71"/>
      <c r="BG80" s="11" t="str">
        <f t="shared" si="64"/>
        <v/>
      </c>
      <c r="BH80" s="10" t="str">
        <f t="shared" ref="BH80:BH114" si="81">IF(ISNUMBER(BG80),BG80*$M80,"")</f>
        <v/>
      </c>
      <c r="BJ80" s="7" t="str">
        <f t="shared" ref="BJ80:BJ114" si="82">IF(ISNUMBER($F$16),IF($K80&lt;=$F$16+$F$28,1/(1+($F$17/100))^K80,""),"")</f>
        <v/>
      </c>
      <c r="BK80" s="158" t="str">
        <f t="shared" ref="BK80:BK114" si="83">IF(ISNUMBER($F$16),IF($K80&lt;=$F$16+$F$28,IF($K80&lt;=$F$16,SUM(Y80,AB80,AE80,AH80,AK80,AN80,AQ80,AV80,BA80,BD80,BG80),$F$27/$F$28*10^8)*BJ80,""),"")</f>
        <v/>
      </c>
      <c r="BL80" s="158" t="str">
        <f t="shared" si="65"/>
        <v/>
      </c>
      <c r="BM80" s="10"/>
      <c r="BN80" s="10" t="str">
        <f t="shared" ref="BN80:BN114" si="84">IF(AND(ISNUMBER($F$16),$K80&lt;=$F$16),BQ80*($O$15+$BK$116)/$BL$116,"")</f>
        <v/>
      </c>
      <c r="BO80" s="10" t="str">
        <f t="shared" ref="BO80:BO114" si="85">IF(ISNUMBER(BN80),BN80*$M80,"")</f>
        <v/>
      </c>
      <c r="BQ80" s="10" t="str">
        <f t="shared" si="66"/>
        <v/>
      </c>
      <c r="BR80" s="10" t="str">
        <f t="shared" ref="BR80:BR114" si="86">IF(ISNUMBER(BQ80),BQ80*$M80,"")</f>
        <v/>
      </c>
    </row>
    <row r="81" spans="4:70" x14ac:dyDescent="0.15">
      <c r="E81" s="82" t="s">
        <v>86</v>
      </c>
      <c r="F81" s="91">
        <f>AC116/$BR$116</f>
        <v>0.68284588721416872</v>
      </c>
      <c r="G81" s="81" t="s">
        <v>132</v>
      </c>
      <c r="I81" s="38">
        <f t="shared" ref="I81:I114" si="87">I80+1</f>
        <v>2096</v>
      </c>
      <c r="J81" s="39"/>
      <c r="K81" s="39">
        <f t="shared" ref="K81:K114" si="88">IF(I81&lt;&gt;"",K80+1,"")</f>
        <v>67</v>
      </c>
      <c r="L81" s="39"/>
      <c r="M81" s="40">
        <f t="shared" si="51"/>
        <v>0.1380085346864266</v>
      </c>
      <c r="N81" s="39"/>
      <c r="O81" s="72" t="str">
        <f t="shared" si="67"/>
        <v/>
      </c>
      <c r="P81" s="41" t="str">
        <f t="shared" si="52"/>
        <v/>
      </c>
      <c r="Q81" s="39"/>
      <c r="R81" s="72" t="str">
        <f t="shared" si="68"/>
        <v/>
      </c>
      <c r="S81" s="39"/>
      <c r="T81" s="72" t="str">
        <f t="shared" si="69"/>
        <v/>
      </c>
      <c r="U81" s="39"/>
      <c r="V81" s="72" t="str">
        <f t="shared" si="53"/>
        <v/>
      </c>
      <c r="W81" s="72" t="str">
        <f t="shared" si="70"/>
        <v/>
      </c>
      <c r="X81" s="39"/>
      <c r="Y81" s="72" t="str">
        <f t="shared" si="54"/>
        <v/>
      </c>
      <c r="Z81" s="72" t="str">
        <f t="shared" si="71"/>
        <v/>
      </c>
      <c r="AA81" s="39"/>
      <c r="AB81" s="72" t="str">
        <f t="shared" si="55"/>
        <v/>
      </c>
      <c r="AC81" s="72" t="str">
        <f t="shared" si="72"/>
        <v/>
      </c>
      <c r="AD81" s="39"/>
      <c r="AE81" s="72" t="str">
        <f t="shared" si="56"/>
        <v/>
      </c>
      <c r="AF81" s="72" t="str">
        <f t="shared" si="73"/>
        <v/>
      </c>
      <c r="AG81" s="39"/>
      <c r="AH81" s="72" t="str">
        <f t="shared" si="57"/>
        <v/>
      </c>
      <c r="AI81" s="72" t="str">
        <f t="shared" si="74"/>
        <v/>
      </c>
      <c r="AJ81" s="39"/>
      <c r="AK81" s="72" t="str">
        <f t="shared" si="75"/>
        <v/>
      </c>
      <c r="AL81" s="72" t="str">
        <f t="shared" si="76"/>
        <v/>
      </c>
      <c r="AM81" s="39"/>
      <c r="AN81" s="72" t="str">
        <f t="shared" si="58"/>
        <v/>
      </c>
      <c r="AO81" s="72" t="str">
        <f t="shared" si="77"/>
        <v/>
      </c>
      <c r="AP81" s="39"/>
      <c r="AQ81" s="72" t="str">
        <f t="shared" si="59"/>
        <v/>
      </c>
      <c r="AR81" s="72" t="str">
        <f t="shared" si="78"/>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60"/>
        <v/>
      </c>
      <c r="AW81" s="72" t="str">
        <f t="shared" si="61"/>
        <v/>
      </c>
      <c r="AX81" s="39"/>
      <c r="AY81" s="40" t="str">
        <f>IF(ISERROR(IF($K81&lt;=$F$15,VLOOKUP($I81,'表4）CO2価格'!$A$7:$E$67,VLOOKUP($F$48,'表4）CO2価格'!$H$10:$I$12,2,0),0)*$F$8/1000,"")),0,IF($K81&lt;=$F$15,VLOOKUP($I81,'表4）CO2価格'!$A$7:$E$67,VLOOKUP($F$48,'表4）CO2価格'!$H$10:$I$12,2,0),0)*$F$8/1000,""))</f>
        <v/>
      </c>
      <c r="AZ81" s="39"/>
      <c r="BA81" s="42" t="str">
        <f t="shared" si="62"/>
        <v/>
      </c>
      <c r="BB81" s="72" t="str">
        <f t="shared" si="79"/>
        <v/>
      </c>
      <c r="BC81" s="39"/>
      <c r="BD81" s="72" t="str">
        <f t="shared" si="63"/>
        <v/>
      </c>
      <c r="BE81" s="72" t="str">
        <f t="shared" si="80"/>
        <v/>
      </c>
      <c r="BF81" s="39"/>
      <c r="BG81" s="42" t="str">
        <f t="shared" si="64"/>
        <v/>
      </c>
      <c r="BH81" s="72" t="str">
        <f t="shared" si="81"/>
        <v/>
      </c>
      <c r="BI81" s="39"/>
      <c r="BJ81" s="40" t="str">
        <f t="shared" si="82"/>
        <v/>
      </c>
      <c r="BK81" s="157" t="str">
        <f t="shared" si="83"/>
        <v/>
      </c>
      <c r="BL81" s="157" t="str">
        <f t="shared" si="65"/>
        <v/>
      </c>
      <c r="BM81" s="72"/>
      <c r="BN81" s="72" t="str">
        <f t="shared" si="84"/>
        <v/>
      </c>
      <c r="BO81" s="72" t="str">
        <f t="shared" si="85"/>
        <v/>
      </c>
      <c r="BP81" s="39"/>
      <c r="BQ81" s="72" t="str">
        <f t="shared" si="66"/>
        <v/>
      </c>
      <c r="BR81" s="72" t="str">
        <f t="shared" si="86"/>
        <v/>
      </c>
    </row>
    <row r="82" spans="4:70" x14ac:dyDescent="0.15">
      <c r="F82" s="93"/>
      <c r="I82" s="322">
        <f t="shared" si="87"/>
        <v>2097</v>
      </c>
      <c r="J82" s="71"/>
      <c r="K82" s="71">
        <f t="shared" si="88"/>
        <v>68</v>
      </c>
      <c r="L82" s="71"/>
      <c r="M82" s="7">
        <f t="shared" si="51"/>
        <v>0.13398886862759865</v>
      </c>
      <c r="N82" s="71"/>
      <c r="O82" s="10" t="str">
        <f t="shared" si="67"/>
        <v/>
      </c>
      <c r="P82" s="29" t="str">
        <f t="shared" si="52"/>
        <v/>
      </c>
      <c r="Q82" s="71"/>
      <c r="R82" s="10" t="str">
        <f t="shared" si="68"/>
        <v/>
      </c>
      <c r="S82" s="71"/>
      <c r="T82" s="10" t="str">
        <f t="shared" si="69"/>
        <v/>
      </c>
      <c r="U82" s="71"/>
      <c r="V82" s="10" t="str">
        <f t="shared" si="53"/>
        <v/>
      </c>
      <c r="W82" s="10" t="str">
        <f t="shared" si="70"/>
        <v/>
      </c>
      <c r="X82" s="71"/>
      <c r="Y82" s="10" t="str">
        <f t="shared" si="54"/>
        <v/>
      </c>
      <c r="Z82" s="10" t="str">
        <f t="shared" si="71"/>
        <v/>
      </c>
      <c r="AA82" s="71"/>
      <c r="AB82" s="10" t="str">
        <f t="shared" si="55"/>
        <v/>
      </c>
      <c r="AC82" s="10" t="str">
        <f t="shared" si="72"/>
        <v/>
      </c>
      <c r="AD82" s="71"/>
      <c r="AE82" s="10" t="str">
        <f t="shared" si="56"/>
        <v/>
      </c>
      <c r="AF82" s="10" t="str">
        <f t="shared" si="73"/>
        <v/>
      </c>
      <c r="AG82" s="71"/>
      <c r="AH82" s="10" t="str">
        <f t="shared" si="57"/>
        <v/>
      </c>
      <c r="AI82" s="10" t="str">
        <f t="shared" si="74"/>
        <v/>
      </c>
      <c r="AJ82" s="71"/>
      <c r="AK82" s="10" t="str">
        <f t="shared" si="75"/>
        <v/>
      </c>
      <c r="AL82" s="10" t="str">
        <f t="shared" si="76"/>
        <v/>
      </c>
      <c r="AM82" s="71"/>
      <c r="AN82" s="10" t="str">
        <f t="shared" si="58"/>
        <v/>
      </c>
      <c r="AO82" s="10" t="str">
        <f t="shared" si="77"/>
        <v/>
      </c>
      <c r="AP82" s="71"/>
      <c r="AQ82" s="10" t="str">
        <f t="shared" si="59"/>
        <v/>
      </c>
      <c r="AR82" s="10" t="str">
        <f t="shared" si="78"/>
        <v/>
      </c>
      <c r="AS82" s="71"/>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U82" s="71"/>
      <c r="AV82" s="10" t="str">
        <f t="shared" si="60"/>
        <v/>
      </c>
      <c r="AW82" s="10" t="str">
        <f t="shared" si="61"/>
        <v/>
      </c>
      <c r="AX82" s="71"/>
      <c r="AY82" s="7" t="str">
        <f>IF(ISERROR(IF($K82&lt;=$F$15,VLOOKUP($I82,'表4）CO2価格'!$A$7:$E$67,VLOOKUP($F$48,'表4）CO2価格'!$H$10:$I$12,2,0),0)*$F$8/1000,"")),0,IF($K82&lt;=$F$15,VLOOKUP($I82,'表4）CO2価格'!$A$7:$E$67,VLOOKUP($F$48,'表4）CO2価格'!$H$10:$I$12,2,0),0)*$F$8/1000,""))</f>
        <v/>
      </c>
      <c r="AZ82" s="71"/>
      <c r="BA82" s="11" t="str">
        <f t="shared" si="62"/>
        <v/>
      </c>
      <c r="BB82" s="10" t="str">
        <f t="shared" si="79"/>
        <v/>
      </c>
      <c r="BC82" s="71"/>
      <c r="BD82" s="10" t="str">
        <f t="shared" si="63"/>
        <v/>
      </c>
      <c r="BE82" s="10" t="str">
        <f t="shared" si="80"/>
        <v/>
      </c>
      <c r="BF82" s="71"/>
      <c r="BG82" s="11" t="str">
        <f t="shared" si="64"/>
        <v/>
      </c>
      <c r="BH82" s="10" t="str">
        <f t="shared" si="81"/>
        <v/>
      </c>
      <c r="BJ82" s="7" t="str">
        <f t="shared" si="82"/>
        <v/>
      </c>
      <c r="BK82" s="158" t="str">
        <f t="shared" si="83"/>
        <v/>
      </c>
      <c r="BL82" s="158" t="str">
        <f t="shared" si="65"/>
        <v/>
      </c>
      <c r="BM82" s="10"/>
      <c r="BN82" s="10" t="str">
        <f t="shared" si="84"/>
        <v/>
      </c>
      <c r="BO82" s="10" t="str">
        <f t="shared" si="85"/>
        <v/>
      </c>
      <c r="BQ82" s="10" t="str">
        <f t="shared" si="66"/>
        <v/>
      </c>
      <c r="BR82" s="10" t="str">
        <f t="shared" si="86"/>
        <v/>
      </c>
    </row>
    <row r="83" spans="4:70" ht="15" x14ac:dyDescent="0.15">
      <c r="D83" s="116" t="s">
        <v>194</v>
      </c>
      <c r="F83" s="94">
        <f>SUBTOTAL(9,F87:F90)</f>
        <v>1.2056503797035623</v>
      </c>
      <c r="G83" s="81" t="s">
        <v>132</v>
      </c>
      <c r="I83" s="38">
        <f>I82+1</f>
        <v>2098</v>
      </c>
      <c r="J83" s="39"/>
      <c r="K83" s="39">
        <f>IF(I83&lt;&gt;"",K82+1,"")</f>
        <v>69</v>
      </c>
      <c r="L83" s="39"/>
      <c r="M83" s="40">
        <f t="shared" si="51"/>
        <v>0.13008628022096957</v>
      </c>
      <c r="N83" s="39"/>
      <c r="O83" s="72" t="str">
        <f t="shared" si="67"/>
        <v/>
      </c>
      <c r="P83" s="41" t="str">
        <f t="shared" si="52"/>
        <v/>
      </c>
      <c r="Q83" s="39"/>
      <c r="R83" s="72" t="str">
        <f t="shared" si="68"/>
        <v/>
      </c>
      <c r="S83" s="39"/>
      <c r="T83" s="72" t="str">
        <f t="shared" si="69"/>
        <v/>
      </c>
      <c r="U83" s="39"/>
      <c r="V83" s="72" t="str">
        <f t="shared" si="53"/>
        <v/>
      </c>
      <c r="W83" s="72" t="str">
        <f t="shared" si="70"/>
        <v/>
      </c>
      <c r="X83" s="39"/>
      <c r="Y83" s="72" t="str">
        <f t="shared" si="54"/>
        <v/>
      </c>
      <c r="Z83" s="72" t="str">
        <f t="shared" si="71"/>
        <v/>
      </c>
      <c r="AA83" s="39"/>
      <c r="AB83" s="72" t="str">
        <f t="shared" si="55"/>
        <v/>
      </c>
      <c r="AC83" s="72" t="str">
        <f t="shared" si="72"/>
        <v/>
      </c>
      <c r="AD83" s="39"/>
      <c r="AE83" s="72" t="str">
        <f t="shared" si="56"/>
        <v/>
      </c>
      <c r="AF83" s="72" t="str">
        <f t="shared" si="73"/>
        <v/>
      </c>
      <c r="AG83" s="39"/>
      <c r="AH83" s="72" t="str">
        <f t="shared" si="57"/>
        <v/>
      </c>
      <c r="AI83" s="72" t="str">
        <f t="shared" si="74"/>
        <v/>
      </c>
      <c r="AJ83" s="39"/>
      <c r="AK83" s="72" t="str">
        <f t="shared" si="75"/>
        <v/>
      </c>
      <c r="AL83" s="72" t="str">
        <f t="shared" si="76"/>
        <v/>
      </c>
      <c r="AM83" s="39"/>
      <c r="AN83" s="72" t="str">
        <f t="shared" si="58"/>
        <v/>
      </c>
      <c r="AO83" s="72" t="str">
        <f t="shared" si="77"/>
        <v/>
      </c>
      <c r="AP83" s="39"/>
      <c r="AQ83" s="72" t="str">
        <f t="shared" si="59"/>
        <v/>
      </c>
      <c r="AR83" s="72" t="str">
        <f t="shared" si="78"/>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60"/>
        <v/>
      </c>
      <c r="AW83" s="72" t="str">
        <f t="shared" si="61"/>
        <v/>
      </c>
      <c r="AX83" s="39"/>
      <c r="AY83" s="40" t="str">
        <f>IF(ISERROR(IF($K83&lt;=$F$15,VLOOKUP($I83,'表4）CO2価格'!$A$7:$E$67,VLOOKUP($F$48,'表4）CO2価格'!$H$10:$I$12,2,0),0)*$F$8/1000,"")),0,IF($K83&lt;=$F$15,VLOOKUP($I83,'表4）CO2価格'!$A$7:$E$67,VLOOKUP($F$48,'表4）CO2価格'!$H$10:$I$12,2,0),0)*$F$8/1000,""))</f>
        <v/>
      </c>
      <c r="AZ83" s="39"/>
      <c r="BA83" s="42" t="str">
        <f t="shared" si="62"/>
        <v/>
      </c>
      <c r="BB83" s="72" t="str">
        <f t="shared" si="79"/>
        <v/>
      </c>
      <c r="BC83" s="39"/>
      <c r="BD83" s="72" t="str">
        <f t="shared" si="63"/>
        <v/>
      </c>
      <c r="BE83" s="72" t="str">
        <f t="shared" si="80"/>
        <v/>
      </c>
      <c r="BF83" s="39"/>
      <c r="BG83" s="42" t="str">
        <f t="shared" si="64"/>
        <v/>
      </c>
      <c r="BH83" s="72" t="str">
        <f t="shared" si="81"/>
        <v/>
      </c>
      <c r="BI83" s="39"/>
      <c r="BJ83" s="40" t="str">
        <f t="shared" si="82"/>
        <v/>
      </c>
      <c r="BK83" s="157" t="str">
        <f t="shared" si="83"/>
        <v/>
      </c>
      <c r="BL83" s="157" t="str">
        <f t="shared" si="65"/>
        <v/>
      </c>
      <c r="BM83" s="72"/>
      <c r="BN83" s="72" t="str">
        <f t="shared" si="84"/>
        <v/>
      </c>
      <c r="BO83" s="72" t="str">
        <f t="shared" si="85"/>
        <v/>
      </c>
      <c r="BP83" s="39"/>
      <c r="BQ83" s="72" t="str">
        <f t="shared" si="66"/>
        <v/>
      </c>
      <c r="BR83" s="72" t="str">
        <f t="shared" si="86"/>
        <v/>
      </c>
    </row>
    <row r="84" spans="4:70" x14ac:dyDescent="0.15">
      <c r="F84" s="93"/>
      <c r="I84" s="322">
        <f t="shared" si="87"/>
        <v>2099</v>
      </c>
      <c r="J84" s="71"/>
      <c r="K84" s="71">
        <f t="shared" si="88"/>
        <v>70</v>
      </c>
      <c r="L84" s="71"/>
      <c r="M84" s="7">
        <f t="shared" si="51"/>
        <v>0.12629735943783454</v>
      </c>
      <c r="N84" s="71"/>
      <c r="O84" s="10" t="str">
        <f t="shared" si="67"/>
        <v/>
      </c>
      <c r="P84" s="29" t="str">
        <f t="shared" si="52"/>
        <v/>
      </c>
      <c r="Q84" s="71"/>
      <c r="R84" s="10" t="str">
        <f t="shared" si="68"/>
        <v/>
      </c>
      <c r="S84" s="71"/>
      <c r="T84" s="10" t="str">
        <f t="shared" si="69"/>
        <v/>
      </c>
      <c r="U84" s="71"/>
      <c r="V84" s="10" t="str">
        <f t="shared" si="53"/>
        <v/>
      </c>
      <c r="W84" s="10" t="str">
        <f t="shared" si="70"/>
        <v/>
      </c>
      <c r="X84" s="71"/>
      <c r="Y84" s="10" t="str">
        <f t="shared" si="54"/>
        <v/>
      </c>
      <c r="Z84" s="10" t="str">
        <f t="shared" si="71"/>
        <v/>
      </c>
      <c r="AA84" s="71"/>
      <c r="AB84" s="10" t="str">
        <f t="shared" si="55"/>
        <v/>
      </c>
      <c r="AC84" s="10" t="str">
        <f t="shared" si="72"/>
        <v/>
      </c>
      <c r="AD84" s="71"/>
      <c r="AE84" s="10" t="str">
        <f t="shared" si="56"/>
        <v/>
      </c>
      <c r="AF84" s="10" t="str">
        <f t="shared" si="73"/>
        <v/>
      </c>
      <c r="AG84" s="71"/>
      <c r="AH84" s="10" t="str">
        <f t="shared" si="57"/>
        <v/>
      </c>
      <c r="AI84" s="10" t="str">
        <f t="shared" si="74"/>
        <v/>
      </c>
      <c r="AJ84" s="71"/>
      <c r="AK84" s="10" t="str">
        <f t="shared" si="75"/>
        <v/>
      </c>
      <c r="AL84" s="10" t="str">
        <f t="shared" si="76"/>
        <v/>
      </c>
      <c r="AM84" s="71"/>
      <c r="AN84" s="10" t="str">
        <f t="shared" si="58"/>
        <v/>
      </c>
      <c r="AO84" s="10" t="str">
        <f t="shared" si="77"/>
        <v/>
      </c>
      <c r="AP84" s="71"/>
      <c r="AQ84" s="10" t="str">
        <f t="shared" si="59"/>
        <v/>
      </c>
      <c r="AR84" s="10" t="str">
        <f t="shared" si="78"/>
        <v/>
      </c>
      <c r="AS84" s="71"/>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U84" s="71"/>
      <c r="AV84" s="10" t="str">
        <f t="shared" si="60"/>
        <v/>
      </c>
      <c r="AW84" s="10" t="str">
        <f t="shared" si="61"/>
        <v/>
      </c>
      <c r="AX84" s="71"/>
      <c r="AY84" s="7" t="str">
        <f>IF(ISERROR(IF($K84&lt;=$F$15,VLOOKUP($I84,'表4）CO2価格'!$A$7:$E$67,VLOOKUP($F$48,'表4）CO2価格'!$H$10:$I$12,2,0),0)*$F$8/1000,"")),0,IF($K84&lt;=$F$15,VLOOKUP($I84,'表4）CO2価格'!$A$7:$E$67,VLOOKUP($F$48,'表4）CO2価格'!$H$10:$I$12,2,0),0)*$F$8/1000,""))</f>
        <v/>
      </c>
      <c r="AZ84" s="71"/>
      <c r="BA84" s="11" t="str">
        <f t="shared" si="62"/>
        <v/>
      </c>
      <c r="BB84" s="10" t="str">
        <f t="shared" si="79"/>
        <v/>
      </c>
      <c r="BC84" s="71"/>
      <c r="BD84" s="10" t="str">
        <f t="shared" si="63"/>
        <v/>
      </c>
      <c r="BE84" s="10" t="str">
        <f t="shared" si="80"/>
        <v/>
      </c>
      <c r="BF84" s="71"/>
      <c r="BG84" s="11" t="str">
        <f t="shared" si="64"/>
        <v/>
      </c>
      <c r="BH84" s="10" t="str">
        <f t="shared" si="81"/>
        <v/>
      </c>
      <c r="BJ84" s="7" t="str">
        <f t="shared" si="82"/>
        <v/>
      </c>
      <c r="BK84" s="158" t="str">
        <f t="shared" si="83"/>
        <v/>
      </c>
      <c r="BL84" s="158" t="str">
        <f t="shared" si="65"/>
        <v/>
      </c>
      <c r="BM84" s="10"/>
      <c r="BN84" s="10" t="str">
        <f t="shared" si="84"/>
        <v/>
      </c>
      <c r="BO84" s="10" t="str">
        <f t="shared" si="85"/>
        <v/>
      </c>
      <c r="BQ84" s="10" t="str">
        <f t="shared" si="66"/>
        <v/>
      </c>
      <c r="BR84" s="10" t="str">
        <f t="shared" si="86"/>
        <v/>
      </c>
    </row>
    <row r="85" spans="4:70" x14ac:dyDescent="0.15">
      <c r="D85" s="101" t="s">
        <v>195</v>
      </c>
      <c r="E85" s="113"/>
      <c r="F85" s="92"/>
      <c r="G85" s="101"/>
      <c r="I85" s="38">
        <f t="shared" si="87"/>
        <v>2100</v>
      </c>
      <c r="J85" s="39"/>
      <c r="K85" s="39">
        <f t="shared" si="88"/>
        <v>71</v>
      </c>
      <c r="L85" s="39"/>
      <c r="M85" s="40">
        <f t="shared" si="51"/>
        <v>0.12261879557071313</v>
      </c>
      <c r="N85" s="39"/>
      <c r="O85" s="72" t="str">
        <f t="shared" si="67"/>
        <v/>
      </c>
      <c r="P85" s="41" t="str">
        <f t="shared" si="52"/>
        <v/>
      </c>
      <c r="Q85" s="39"/>
      <c r="R85" s="72" t="str">
        <f t="shared" si="68"/>
        <v/>
      </c>
      <c r="S85" s="39"/>
      <c r="T85" s="72" t="str">
        <f t="shared" si="69"/>
        <v/>
      </c>
      <c r="U85" s="39"/>
      <c r="V85" s="72" t="str">
        <f t="shared" si="53"/>
        <v/>
      </c>
      <c r="W85" s="72" t="str">
        <f t="shared" si="70"/>
        <v/>
      </c>
      <c r="X85" s="39"/>
      <c r="Y85" s="72" t="str">
        <f t="shared" si="54"/>
        <v/>
      </c>
      <c r="Z85" s="72" t="str">
        <f t="shared" si="71"/>
        <v/>
      </c>
      <c r="AA85" s="39"/>
      <c r="AB85" s="72" t="str">
        <f t="shared" si="55"/>
        <v/>
      </c>
      <c r="AC85" s="72" t="str">
        <f t="shared" si="72"/>
        <v/>
      </c>
      <c r="AD85" s="39"/>
      <c r="AE85" s="72" t="str">
        <f t="shared" si="56"/>
        <v/>
      </c>
      <c r="AF85" s="72" t="str">
        <f t="shared" si="73"/>
        <v/>
      </c>
      <c r="AG85" s="39"/>
      <c r="AH85" s="72" t="str">
        <f t="shared" si="57"/>
        <v/>
      </c>
      <c r="AI85" s="72" t="str">
        <f t="shared" si="74"/>
        <v/>
      </c>
      <c r="AJ85" s="39"/>
      <c r="AK85" s="72" t="str">
        <f t="shared" si="75"/>
        <v/>
      </c>
      <c r="AL85" s="72" t="str">
        <f t="shared" si="76"/>
        <v/>
      </c>
      <c r="AM85" s="39"/>
      <c r="AN85" s="72" t="str">
        <f t="shared" si="58"/>
        <v/>
      </c>
      <c r="AO85" s="72" t="str">
        <f t="shared" si="77"/>
        <v/>
      </c>
      <c r="AP85" s="39"/>
      <c r="AQ85" s="72" t="str">
        <f t="shared" si="59"/>
        <v/>
      </c>
      <c r="AR85" s="72" t="str">
        <f t="shared" si="78"/>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60"/>
        <v/>
      </c>
      <c r="AW85" s="72" t="str">
        <f t="shared" si="61"/>
        <v/>
      </c>
      <c r="AX85" s="39"/>
      <c r="AY85" s="40" t="str">
        <f>IF(ISERROR(IF($K85&lt;=$F$15,VLOOKUP($I85,'表4）CO2価格'!$A$7:$E$67,VLOOKUP($F$48,'表4）CO2価格'!$H$10:$I$12,2,0),0)*$F$8/1000,"")),0,IF($K85&lt;=$F$15,VLOOKUP($I85,'表4）CO2価格'!$A$7:$E$67,VLOOKUP($F$48,'表4）CO2価格'!$H$10:$I$12,2,0),0)*$F$8/1000,""))</f>
        <v/>
      </c>
      <c r="AZ85" s="39"/>
      <c r="BA85" s="42" t="str">
        <f t="shared" si="62"/>
        <v/>
      </c>
      <c r="BB85" s="72" t="str">
        <f t="shared" si="79"/>
        <v/>
      </c>
      <c r="BC85" s="39"/>
      <c r="BD85" s="72" t="str">
        <f t="shared" si="63"/>
        <v/>
      </c>
      <c r="BE85" s="72" t="str">
        <f t="shared" si="80"/>
        <v/>
      </c>
      <c r="BF85" s="39"/>
      <c r="BG85" s="42" t="str">
        <f t="shared" si="64"/>
        <v/>
      </c>
      <c r="BH85" s="72" t="str">
        <f t="shared" si="81"/>
        <v/>
      </c>
      <c r="BI85" s="39"/>
      <c r="BJ85" s="40" t="str">
        <f t="shared" si="82"/>
        <v/>
      </c>
      <c r="BK85" s="157" t="str">
        <f t="shared" si="83"/>
        <v/>
      </c>
      <c r="BL85" s="157" t="str">
        <f t="shared" si="65"/>
        <v/>
      </c>
      <c r="BM85" s="72"/>
      <c r="BN85" s="72" t="str">
        <f t="shared" si="84"/>
        <v/>
      </c>
      <c r="BO85" s="72" t="str">
        <f t="shared" si="85"/>
        <v/>
      </c>
      <c r="BP85" s="39"/>
      <c r="BQ85" s="72" t="str">
        <f t="shared" si="66"/>
        <v/>
      </c>
      <c r="BR85" s="72" t="str">
        <f t="shared" si="86"/>
        <v/>
      </c>
    </row>
    <row r="86" spans="4:70" x14ac:dyDescent="0.15">
      <c r="F86" s="93"/>
      <c r="I86" s="322">
        <f t="shared" si="87"/>
        <v>2101</v>
      </c>
      <c r="J86" s="71"/>
      <c r="K86" s="71">
        <f t="shared" si="88"/>
        <v>72</v>
      </c>
      <c r="L86" s="71"/>
      <c r="M86" s="7">
        <f t="shared" si="51"/>
        <v>0.1190473743404982</v>
      </c>
      <c r="N86" s="71"/>
      <c r="O86" s="10" t="str">
        <f t="shared" si="67"/>
        <v/>
      </c>
      <c r="P86" s="29" t="str">
        <f t="shared" si="52"/>
        <v/>
      </c>
      <c r="Q86" s="71"/>
      <c r="R86" s="10" t="str">
        <f t="shared" si="68"/>
        <v/>
      </c>
      <c r="S86" s="71"/>
      <c r="T86" s="10" t="str">
        <f t="shared" si="69"/>
        <v/>
      </c>
      <c r="U86" s="71"/>
      <c r="V86" s="10" t="str">
        <f t="shared" si="53"/>
        <v/>
      </c>
      <c r="W86" s="10" t="str">
        <f t="shared" si="70"/>
        <v/>
      </c>
      <c r="X86" s="71"/>
      <c r="Y86" s="10" t="str">
        <f t="shared" si="54"/>
        <v/>
      </c>
      <c r="Z86" s="10" t="str">
        <f t="shared" si="71"/>
        <v/>
      </c>
      <c r="AA86" s="71"/>
      <c r="AB86" s="10" t="str">
        <f t="shared" si="55"/>
        <v/>
      </c>
      <c r="AC86" s="10" t="str">
        <f t="shared" si="72"/>
        <v/>
      </c>
      <c r="AD86" s="71"/>
      <c r="AE86" s="10" t="str">
        <f t="shared" si="56"/>
        <v/>
      </c>
      <c r="AF86" s="10" t="str">
        <f t="shared" si="73"/>
        <v/>
      </c>
      <c r="AG86" s="71"/>
      <c r="AH86" s="10" t="str">
        <f t="shared" si="57"/>
        <v/>
      </c>
      <c r="AI86" s="10" t="str">
        <f t="shared" si="74"/>
        <v/>
      </c>
      <c r="AJ86" s="71"/>
      <c r="AK86" s="10" t="str">
        <f t="shared" si="75"/>
        <v/>
      </c>
      <c r="AL86" s="10" t="str">
        <f t="shared" si="76"/>
        <v/>
      </c>
      <c r="AM86" s="71"/>
      <c r="AN86" s="10" t="str">
        <f t="shared" si="58"/>
        <v/>
      </c>
      <c r="AO86" s="10" t="str">
        <f t="shared" si="77"/>
        <v/>
      </c>
      <c r="AP86" s="71"/>
      <c r="AQ86" s="10" t="str">
        <f t="shared" si="59"/>
        <v/>
      </c>
      <c r="AR86" s="10" t="str">
        <f t="shared" si="78"/>
        <v/>
      </c>
      <c r="AS86" s="71"/>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U86" s="71"/>
      <c r="AV86" s="10" t="str">
        <f t="shared" si="60"/>
        <v/>
      </c>
      <c r="AW86" s="10" t="str">
        <f t="shared" si="61"/>
        <v/>
      </c>
      <c r="AX86" s="71"/>
      <c r="AY86" s="7" t="str">
        <f>IF(ISERROR(IF($K86&lt;=$F$15,VLOOKUP($I86,'表4）CO2価格'!$A$7:$E$67,VLOOKUP($F$48,'表4）CO2価格'!$H$10:$I$12,2,0),0)*$F$8/1000,"")),0,IF($K86&lt;=$F$15,VLOOKUP($I86,'表4）CO2価格'!$A$7:$E$67,VLOOKUP($F$48,'表4）CO2価格'!$H$10:$I$12,2,0),0)*$F$8/1000,""))</f>
        <v/>
      </c>
      <c r="AZ86" s="71"/>
      <c r="BA86" s="11" t="str">
        <f t="shared" si="62"/>
        <v/>
      </c>
      <c r="BB86" s="10" t="str">
        <f t="shared" si="79"/>
        <v/>
      </c>
      <c r="BC86" s="71"/>
      <c r="BD86" s="10" t="str">
        <f t="shared" si="63"/>
        <v/>
      </c>
      <c r="BE86" s="10" t="str">
        <f t="shared" si="80"/>
        <v/>
      </c>
      <c r="BF86" s="71"/>
      <c r="BG86" s="11" t="str">
        <f t="shared" si="64"/>
        <v/>
      </c>
      <c r="BH86" s="10" t="str">
        <f t="shared" si="81"/>
        <v/>
      </c>
      <c r="BJ86" s="7" t="str">
        <f t="shared" si="82"/>
        <v/>
      </c>
      <c r="BK86" s="158" t="str">
        <f t="shared" si="83"/>
        <v/>
      </c>
      <c r="BL86" s="158" t="str">
        <f t="shared" si="65"/>
        <v/>
      </c>
      <c r="BM86" s="10"/>
      <c r="BN86" s="10" t="str">
        <f t="shared" si="84"/>
        <v/>
      </c>
      <c r="BO86" s="10" t="str">
        <f t="shared" si="85"/>
        <v/>
      </c>
      <c r="BQ86" s="10" t="str">
        <f t="shared" si="66"/>
        <v/>
      </c>
      <c r="BR86" s="10" t="str">
        <f t="shared" si="86"/>
        <v/>
      </c>
    </row>
    <row r="87" spans="4:70" x14ac:dyDescent="0.15">
      <c r="E87" s="81" t="s">
        <v>141</v>
      </c>
      <c r="F87" s="91">
        <f>AI116/$BR$116</f>
        <v>0</v>
      </c>
      <c r="G87" s="81" t="s">
        <v>132</v>
      </c>
      <c r="I87" s="38">
        <f t="shared" si="87"/>
        <v>2102</v>
      </c>
      <c r="J87" s="39"/>
      <c r="K87" s="39">
        <f t="shared" si="88"/>
        <v>73</v>
      </c>
      <c r="L87" s="39"/>
      <c r="M87" s="40">
        <f t="shared" si="51"/>
        <v>0.11557997508786232</v>
      </c>
      <c r="N87" s="39"/>
      <c r="O87" s="72" t="str">
        <f t="shared" si="67"/>
        <v/>
      </c>
      <c r="P87" s="41" t="str">
        <f t="shared" si="52"/>
        <v/>
      </c>
      <c r="Q87" s="39"/>
      <c r="R87" s="72" t="str">
        <f t="shared" si="68"/>
        <v/>
      </c>
      <c r="S87" s="39"/>
      <c r="T87" s="72" t="str">
        <f t="shared" si="69"/>
        <v/>
      </c>
      <c r="U87" s="39"/>
      <c r="V87" s="72" t="str">
        <f t="shared" si="53"/>
        <v/>
      </c>
      <c r="W87" s="72" t="str">
        <f t="shared" si="70"/>
        <v/>
      </c>
      <c r="X87" s="39"/>
      <c r="Y87" s="72" t="str">
        <f t="shared" si="54"/>
        <v/>
      </c>
      <c r="Z87" s="72" t="str">
        <f t="shared" si="71"/>
        <v/>
      </c>
      <c r="AA87" s="39"/>
      <c r="AB87" s="72" t="str">
        <f t="shared" si="55"/>
        <v/>
      </c>
      <c r="AC87" s="72" t="str">
        <f t="shared" si="72"/>
        <v/>
      </c>
      <c r="AD87" s="39"/>
      <c r="AE87" s="72" t="str">
        <f t="shared" si="56"/>
        <v/>
      </c>
      <c r="AF87" s="72" t="str">
        <f t="shared" si="73"/>
        <v/>
      </c>
      <c r="AG87" s="39"/>
      <c r="AH87" s="72" t="str">
        <f t="shared" si="57"/>
        <v/>
      </c>
      <c r="AI87" s="72" t="str">
        <f t="shared" si="74"/>
        <v/>
      </c>
      <c r="AJ87" s="39"/>
      <c r="AK87" s="72" t="str">
        <f t="shared" si="75"/>
        <v/>
      </c>
      <c r="AL87" s="72" t="str">
        <f t="shared" si="76"/>
        <v/>
      </c>
      <c r="AM87" s="39"/>
      <c r="AN87" s="72" t="str">
        <f t="shared" si="58"/>
        <v/>
      </c>
      <c r="AO87" s="72" t="str">
        <f t="shared" si="77"/>
        <v/>
      </c>
      <c r="AP87" s="39"/>
      <c r="AQ87" s="72" t="str">
        <f t="shared" si="59"/>
        <v/>
      </c>
      <c r="AR87" s="72" t="str">
        <f t="shared" si="78"/>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60"/>
        <v/>
      </c>
      <c r="AW87" s="72" t="str">
        <f t="shared" si="61"/>
        <v/>
      </c>
      <c r="AX87" s="39"/>
      <c r="AY87" s="40" t="str">
        <f>IF(ISERROR(IF($K87&lt;=$F$15,VLOOKUP($I87,'表4）CO2価格'!$A$7:$E$67,VLOOKUP($F$48,'表4）CO2価格'!$H$10:$I$12,2,0),0)*$F$8/1000,"")),0,IF($K87&lt;=$F$15,VLOOKUP($I87,'表4）CO2価格'!$A$7:$E$67,VLOOKUP($F$48,'表4）CO2価格'!$H$10:$I$12,2,0),0)*$F$8/1000,""))</f>
        <v/>
      </c>
      <c r="AZ87" s="39"/>
      <c r="BA87" s="42" t="str">
        <f t="shared" si="62"/>
        <v/>
      </c>
      <c r="BB87" s="72" t="str">
        <f t="shared" si="79"/>
        <v/>
      </c>
      <c r="BC87" s="39"/>
      <c r="BD87" s="72" t="str">
        <f t="shared" si="63"/>
        <v/>
      </c>
      <c r="BE87" s="72" t="str">
        <f t="shared" si="80"/>
        <v/>
      </c>
      <c r="BF87" s="39"/>
      <c r="BG87" s="42" t="str">
        <f t="shared" si="64"/>
        <v/>
      </c>
      <c r="BH87" s="72" t="str">
        <f t="shared" si="81"/>
        <v/>
      </c>
      <c r="BI87" s="39"/>
      <c r="BJ87" s="40" t="str">
        <f t="shared" si="82"/>
        <v/>
      </c>
      <c r="BK87" s="157" t="str">
        <f t="shared" si="83"/>
        <v/>
      </c>
      <c r="BL87" s="157" t="str">
        <f t="shared" si="65"/>
        <v/>
      </c>
      <c r="BM87" s="72"/>
      <c r="BN87" s="72" t="str">
        <f t="shared" si="84"/>
        <v/>
      </c>
      <c r="BO87" s="72" t="str">
        <f t="shared" si="85"/>
        <v/>
      </c>
      <c r="BP87" s="39"/>
      <c r="BQ87" s="72" t="str">
        <f t="shared" si="66"/>
        <v/>
      </c>
      <c r="BR87" s="72" t="str">
        <f t="shared" si="86"/>
        <v/>
      </c>
    </row>
    <row r="88" spans="4:70" x14ac:dyDescent="0.15">
      <c r="E88" s="81" t="s">
        <v>120</v>
      </c>
      <c r="F88" s="91">
        <f>AL116/$BR$116</f>
        <v>1.2056503797035623</v>
      </c>
      <c r="G88" s="81" t="s">
        <v>132</v>
      </c>
      <c r="I88" s="322">
        <f t="shared" si="87"/>
        <v>2103</v>
      </c>
      <c r="J88" s="71"/>
      <c r="K88" s="71">
        <f t="shared" si="88"/>
        <v>74</v>
      </c>
      <c r="L88" s="71"/>
      <c r="M88" s="7">
        <f t="shared" si="51"/>
        <v>0.11221356804646829</v>
      </c>
      <c r="N88" s="71"/>
      <c r="O88" s="10" t="str">
        <f t="shared" si="67"/>
        <v/>
      </c>
      <c r="P88" s="29" t="str">
        <f t="shared" si="52"/>
        <v/>
      </c>
      <c r="Q88" s="71"/>
      <c r="R88" s="10" t="str">
        <f t="shared" si="68"/>
        <v/>
      </c>
      <c r="S88" s="71"/>
      <c r="T88" s="10" t="str">
        <f t="shared" si="69"/>
        <v/>
      </c>
      <c r="U88" s="71"/>
      <c r="V88" s="10" t="str">
        <f t="shared" si="53"/>
        <v/>
      </c>
      <c r="W88" s="10" t="str">
        <f t="shared" si="70"/>
        <v/>
      </c>
      <c r="X88" s="71"/>
      <c r="Y88" s="10" t="str">
        <f t="shared" si="54"/>
        <v/>
      </c>
      <c r="Z88" s="10" t="str">
        <f t="shared" si="71"/>
        <v/>
      </c>
      <c r="AA88" s="71"/>
      <c r="AB88" s="10" t="str">
        <f t="shared" si="55"/>
        <v/>
      </c>
      <c r="AC88" s="10" t="str">
        <f t="shared" si="72"/>
        <v/>
      </c>
      <c r="AD88" s="71"/>
      <c r="AE88" s="10" t="str">
        <f t="shared" si="56"/>
        <v/>
      </c>
      <c r="AF88" s="10" t="str">
        <f t="shared" si="73"/>
        <v/>
      </c>
      <c r="AG88" s="71"/>
      <c r="AH88" s="10" t="str">
        <f t="shared" si="57"/>
        <v/>
      </c>
      <c r="AI88" s="10" t="str">
        <f t="shared" si="74"/>
        <v/>
      </c>
      <c r="AJ88" s="71"/>
      <c r="AK88" s="10" t="str">
        <f t="shared" si="75"/>
        <v/>
      </c>
      <c r="AL88" s="10" t="str">
        <f t="shared" si="76"/>
        <v/>
      </c>
      <c r="AM88" s="71"/>
      <c r="AN88" s="10" t="str">
        <f t="shared" si="58"/>
        <v/>
      </c>
      <c r="AO88" s="10" t="str">
        <f t="shared" si="77"/>
        <v/>
      </c>
      <c r="AP88" s="71"/>
      <c r="AQ88" s="10" t="str">
        <f t="shared" si="59"/>
        <v/>
      </c>
      <c r="AR88" s="10" t="str">
        <f t="shared" si="78"/>
        <v/>
      </c>
      <c r="AS88" s="71"/>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U88" s="71"/>
      <c r="AV88" s="10" t="str">
        <f t="shared" si="60"/>
        <v/>
      </c>
      <c r="AW88" s="10" t="str">
        <f t="shared" si="61"/>
        <v/>
      </c>
      <c r="AX88" s="71"/>
      <c r="AY88" s="7" t="str">
        <f>IF(ISERROR(IF($K88&lt;=$F$15,VLOOKUP($I88,'表4）CO2価格'!$A$7:$E$67,VLOOKUP($F$48,'表4）CO2価格'!$H$10:$I$12,2,0),0)*$F$8/1000,"")),0,IF($K88&lt;=$F$15,VLOOKUP($I88,'表4）CO2価格'!$A$7:$E$67,VLOOKUP($F$48,'表4）CO2価格'!$H$10:$I$12,2,0),0)*$F$8/1000,""))</f>
        <v/>
      </c>
      <c r="AZ88" s="71"/>
      <c r="BA88" s="11" t="str">
        <f t="shared" si="62"/>
        <v/>
      </c>
      <c r="BB88" s="10" t="str">
        <f t="shared" si="79"/>
        <v/>
      </c>
      <c r="BC88" s="71"/>
      <c r="BD88" s="10" t="str">
        <f t="shared" si="63"/>
        <v/>
      </c>
      <c r="BE88" s="10" t="str">
        <f t="shared" si="80"/>
        <v/>
      </c>
      <c r="BF88" s="71"/>
      <c r="BG88" s="11" t="str">
        <f t="shared" si="64"/>
        <v/>
      </c>
      <c r="BH88" s="10" t="str">
        <f t="shared" si="81"/>
        <v/>
      </c>
      <c r="BJ88" s="7" t="str">
        <f t="shared" si="82"/>
        <v/>
      </c>
      <c r="BK88" s="158" t="str">
        <f t="shared" si="83"/>
        <v/>
      </c>
      <c r="BL88" s="158" t="str">
        <f t="shared" si="65"/>
        <v/>
      </c>
      <c r="BM88" s="10"/>
      <c r="BN88" s="10" t="str">
        <f t="shared" si="84"/>
        <v/>
      </c>
      <c r="BO88" s="10" t="str">
        <f t="shared" si="85"/>
        <v/>
      </c>
      <c r="BQ88" s="10" t="str">
        <f t="shared" si="66"/>
        <v/>
      </c>
      <c r="BR88" s="10" t="str">
        <f t="shared" si="86"/>
        <v/>
      </c>
    </row>
    <row r="89" spans="4:70" x14ac:dyDescent="0.15">
      <c r="E89" s="81" t="s">
        <v>122</v>
      </c>
      <c r="F89" s="91">
        <f>AO116/$BR$116</f>
        <v>0</v>
      </c>
      <c r="G89" s="81" t="s">
        <v>132</v>
      </c>
      <c r="I89" s="38">
        <f t="shared" si="87"/>
        <v>2104</v>
      </c>
      <c r="J89" s="39"/>
      <c r="K89" s="39">
        <f t="shared" si="88"/>
        <v>75</v>
      </c>
      <c r="L89" s="39"/>
      <c r="M89" s="40">
        <f t="shared" si="51"/>
        <v>0.10894521169560026</v>
      </c>
      <c r="N89" s="39"/>
      <c r="O89" s="72" t="str">
        <f t="shared" si="67"/>
        <v/>
      </c>
      <c r="P89" s="41" t="str">
        <f t="shared" si="52"/>
        <v/>
      </c>
      <c r="Q89" s="39"/>
      <c r="R89" s="72" t="str">
        <f t="shared" si="68"/>
        <v/>
      </c>
      <c r="S89" s="39"/>
      <c r="T89" s="72" t="str">
        <f t="shared" si="69"/>
        <v/>
      </c>
      <c r="U89" s="39"/>
      <c r="V89" s="72" t="str">
        <f t="shared" si="53"/>
        <v/>
      </c>
      <c r="W89" s="72" t="str">
        <f t="shared" si="70"/>
        <v/>
      </c>
      <c r="X89" s="39"/>
      <c r="Y89" s="72" t="str">
        <f t="shared" si="54"/>
        <v/>
      </c>
      <c r="Z89" s="72" t="str">
        <f t="shared" si="71"/>
        <v/>
      </c>
      <c r="AA89" s="39"/>
      <c r="AB89" s="72" t="str">
        <f t="shared" si="55"/>
        <v/>
      </c>
      <c r="AC89" s="72" t="str">
        <f t="shared" si="72"/>
        <v/>
      </c>
      <c r="AD89" s="39"/>
      <c r="AE89" s="72" t="str">
        <f t="shared" si="56"/>
        <v/>
      </c>
      <c r="AF89" s="72" t="str">
        <f t="shared" si="73"/>
        <v/>
      </c>
      <c r="AG89" s="39"/>
      <c r="AH89" s="72" t="str">
        <f t="shared" si="57"/>
        <v/>
      </c>
      <c r="AI89" s="72" t="str">
        <f t="shared" si="74"/>
        <v/>
      </c>
      <c r="AJ89" s="39"/>
      <c r="AK89" s="72" t="str">
        <f t="shared" si="75"/>
        <v/>
      </c>
      <c r="AL89" s="72" t="str">
        <f t="shared" si="76"/>
        <v/>
      </c>
      <c r="AM89" s="39"/>
      <c r="AN89" s="72" t="str">
        <f t="shared" si="58"/>
        <v/>
      </c>
      <c r="AO89" s="72" t="str">
        <f t="shared" si="77"/>
        <v/>
      </c>
      <c r="AP89" s="39"/>
      <c r="AQ89" s="72" t="str">
        <f t="shared" si="59"/>
        <v/>
      </c>
      <c r="AR89" s="72" t="str">
        <f t="shared" si="78"/>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60"/>
        <v/>
      </c>
      <c r="AW89" s="72" t="str">
        <f t="shared" si="61"/>
        <v/>
      </c>
      <c r="AX89" s="39"/>
      <c r="AY89" s="40" t="str">
        <f>IF(ISERROR(IF($K89&lt;=$F$15,VLOOKUP($I89,'表4）CO2価格'!$A$7:$E$67,VLOOKUP($F$48,'表4）CO2価格'!$H$10:$I$12,2,0),0)*$F$8/1000,"")),0,IF($K89&lt;=$F$15,VLOOKUP($I89,'表4）CO2価格'!$A$7:$E$67,VLOOKUP($F$48,'表4）CO2価格'!$H$10:$I$12,2,0),0)*$F$8/1000,""))</f>
        <v/>
      </c>
      <c r="AZ89" s="39"/>
      <c r="BA89" s="42" t="str">
        <f t="shared" si="62"/>
        <v/>
      </c>
      <c r="BB89" s="72" t="str">
        <f t="shared" si="79"/>
        <v/>
      </c>
      <c r="BC89" s="39"/>
      <c r="BD89" s="72" t="str">
        <f t="shared" si="63"/>
        <v/>
      </c>
      <c r="BE89" s="72" t="str">
        <f t="shared" si="80"/>
        <v/>
      </c>
      <c r="BF89" s="39"/>
      <c r="BG89" s="42" t="str">
        <f t="shared" si="64"/>
        <v/>
      </c>
      <c r="BH89" s="72" t="str">
        <f t="shared" si="81"/>
        <v/>
      </c>
      <c r="BI89" s="39"/>
      <c r="BJ89" s="40" t="str">
        <f t="shared" si="82"/>
        <v/>
      </c>
      <c r="BK89" s="157" t="str">
        <f t="shared" si="83"/>
        <v/>
      </c>
      <c r="BL89" s="157" t="str">
        <f t="shared" si="65"/>
        <v/>
      </c>
      <c r="BM89" s="72"/>
      <c r="BN89" s="72" t="str">
        <f t="shared" si="84"/>
        <v/>
      </c>
      <c r="BO89" s="72" t="str">
        <f t="shared" si="85"/>
        <v/>
      </c>
      <c r="BP89" s="39"/>
      <c r="BQ89" s="72" t="str">
        <f t="shared" si="66"/>
        <v/>
      </c>
      <c r="BR89" s="72" t="str">
        <f t="shared" si="86"/>
        <v/>
      </c>
    </row>
    <row r="90" spans="4:70" x14ac:dyDescent="0.15">
      <c r="E90" s="81" t="s">
        <v>142</v>
      </c>
      <c r="F90" s="91">
        <f>AR116/$BR$116</f>
        <v>0</v>
      </c>
      <c r="G90" s="81" t="s">
        <v>132</v>
      </c>
      <c r="I90" s="322">
        <f t="shared" si="87"/>
        <v>2105</v>
      </c>
      <c r="J90" s="71"/>
      <c r="K90" s="71">
        <f t="shared" si="88"/>
        <v>76</v>
      </c>
      <c r="L90" s="71"/>
      <c r="M90" s="7">
        <f t="shared" si="51"/>
        <v>0.10577205018990318</v>
      </c>
      <c r="N90" s="71"/>
      <c r="O90" s="10" t="str">
        <f t="shared" si="67"/>
        <v/>
      </c>
      <c r="P90" s="29" t="str">
        <f t="shared" si="52"/>
        <v/>
      </c>
      <c r="Q90" s="71"/>
      <c r="R90" s="10" t="str">
        <f t="shared" si="68"/>
        <v/>
      </c>
      <c r="S90" s="71"/>
      <c r="T90" s="10" t="str">
        <f t="shared" si="69"/>
        <v/>
      </c>
      <c r="U90" s="71"/>
      <c r="V90" s="10" t="str">
        <f t="shared" si="53"/>
        <v/>
      </c>
      <c r="W90" s="10" t="str">
        <f t="shared" si="70"/>
        <v/>
      </c>
      <c r="X90" s="71"/>
      <c r="Y90" s="10" t="str">
        <f t="shared" si="54"/>
        <v/>
      </c>
      <c r="Z90" s="10" t="str">
        <f t="shared" si="71"/>
        <v/>
      </c>
      <c r="AA90" s="71"/>
      <c r="AB90" s="10" t="str">
        <f t="shared" si="55"/>
        <v/>
      </c>
      <c r="AC90" s="10" t="str">
        <f t="shared" si="72"/>
        <v/>
      </c>
      <c r="AD90" s="71"/>
      <c r="AE90" s="10" t="str">
        <f t="shared" si="56"/>
        <v/>
      </c>
      <c r="AF90" s="10" t="str">
        <f t="shared" si="73"/>
        <v/>
      </c>
      <c r="AG90" s="71"/>
      <c r="AH90" s="10" t="str">
        <f t="shared" si="57"/>
        <v/>
      </c>
      <c r="AI90" s="10" t="str">
        <f t="shared" si="74"/>
        <v/>
      </c>
      <c r="AJ90" s="71"/>
      <c r="AK90" s="10" t="str">
        <f t="shared" si="75"/>
        <v/>
      </c>
      <c r="AL90" s="10" t="str">
        <f t="shared" si="76"/>
        <v/>
      </c>
      <c r="AM90" s="71"/>
      <c r="AN90" s="10" t="str">
        <f t="shared" si="58"/>
        <v/>
      </c>
      <c r="AO90" s="10" t="str">
        <f t="shared" si="77"/>
        <v/>
      </c>
      <c r="AP90" s="71"/>
      <c r="AQ90" s="10" t="str">
        <f t="shared" si="59"/>
        <v/>
      </c>
      <c r="AR90" s="10" t="str">
        <f t="shared" si="78"/>
        <v/>
      </c>
      <c r="AS90" s="71"/>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U90" s="71"/>
      <c r="AV90" s="10" t="str">
        <f t="shared" si="60"/>
        <v/>
      </c>
      <c r="AW90" s="10" t="str">
        <f t="shared" si="61"/>
        <v/>
      </c>
      <c r="AX90" s="71"/>
      <c r="AY90" s="7" t="str">
        <f>IF(ISERROR(IF($K90&lt;=$F$15,VLOOKUP($I90,'表4）CO2価格'!$A$7:$E$67,VLOOKUP($F$48,'表4）CO2価格'!$H$10:$I$12,2,0),0)*$F$8/1000,"")),0,IF($K90&lt;=$F$15,VLOOKUP($I90,'表4）CO2価格'!$A$7:$E$67,VLOOKUP($F$48,'表4）CO2価格'!$H$10:$I$12,2,0),0)*$F$8/1000,""))</f>
        <v/>
      </c>
      <c r="AZ90" s="71"/>
      <c r="BA90" s="11" t="str">
        <f t="shared" si="62"/>
        <v/>
      </c>
      <c r="BB90" s="10" t="str">
        <f t="shared" si="79"/>
        <v/>
      </c>
      <c r="BC90" s="71"/>
      <c r="BD90" s="10" t="str">
        <f t="shared" si="63"/>
        <v/>
      </c>
      <c r="BE90" s="10" t="str">
        <f t="shared" si="80"/>
        <v/>
      </c>
      <c r="BF90" s="71"/>
      <c r="BG90" s="11" t="str">
        <f t="shared" si="64"/>
        <v/>
      </c>
      <c r="BH90" s="10" t="str">
        <f t="shared" si="81"/>
        <v/>
      </c>
      <c r="BJ90" s="7" t="str">
        <f t="shared" si="82"/>
        <v/>
      </c>
      <c r="BK90" s="158" t="str">
        <f t="shared" si="83"/>
        <v/>
      </c>
      <c r="BL90" s="158" t="str">
        <f t="shared" si="65"/>
        <v/>
      </c>
      <c r="BM90" s="10"/>
      <c r="BN90" s="10" t="str">
        <f t="shared" si="84"/>
        <v/>
      </c>
      <c r="BO90" s="10" t="str">
        <f t="shared" si="85"/>
        <v/>
      </c>
      <c r="BQ90" s="10" t="str">
        <f t="shared" si="66"/>
        <v/>
      </c>
      <c r="BR90" s="10" t="str">
        <f t="shared" si="86"/>
        <v/>
      </c>
    </row>
    <row r="91" spans="4:70" x14ac:dyDescent="0.15">
      <c r="F91" s="93"/>
      <c r="I91" s="38">
        <f t="shared" si="87"/>
        <v>2106</v>
      </c>
      <c r="J91" s="39"/>
      <c r="K91" s="39">
        <f t="shared" si="88"/>
        <v>77</v>
      </c>
      <c r="L91" s="39"/>
      <c r="M91" s="40">
        <f t="shared" si="51"/>
        <v>0.10269131086398368</v>
      </c>
      <c r="N91" s="39"/>
      <c r="O91" s="72" t="str">
        <f t="shared" si="67"/>
        <v/>
      </c>
      <c r="P91" s="41" t="str">
        <f t="shared" si="52"/>
        <v/>
      </c>
      <c r="Q91" s="39"/>
      <c r="R91" s="72" t="str">
        <f t="shared" si="68"/>
        <v/>
      </c>
      <c r="S91" s="39"/>
      <c r="T91" s="72" t="str">
        <f t="shared" si="69"/>
        <v/>
      </c>
      <c r="U91" s="39"/>
      <c r="V91" s="72" t="str">
        <f t="shared" si="53"/>
        <v/>
      </c>
      <c r="W91" s="72" t="str">
        <f t="shared" si="70"/>
        <v/>
      </c>
      <c r="X91" s="39"/>
      <c r="Y91" s="72" t="str">
        <f t="shared" si="54"/>
        <v/>
      </c>
      <c r="Z91" s="72" t="str">
        <f t="shared" si="71"/>
        <v/>
      </c>
      <c r="AA91" s="39"/>
      <c r="AB91" s="72" t="str">
        <f t="shared" si="55"/>
        <v/>
      </c>
      <c r="AC91" s="72" t="str">
        <f t="shared" si="72"/>
        <v/>
      </c>
      <c r="AD91" s="39"/>
      <c r="AE91" s="72" t="str">
        <f t="shared" si="56"/>
        <v/>
      </c>
      <c r="AF91" s="72" t="str">
        <f t="shared" si="73"/>
        <v/>
      </c>
      <c r="AG91" s="39"/>
      <c r="AH91" s="72" t="str">
        <f t="shared" si="57"/>
        <v/>
      </c>
      <c r="AI91" s="72" t="str">
        <f t="shared" si="74"/>
        <v/>
      </c>
      <c r="AJ91" s="39"/>
      <c r="AK91" s="72" t="str">
        <f t="shared" si="75"/>
        <v/>
      </c>
      <c r="AL91" s="72" t="str">
        <f t="shared" si="76"/>
        <v/>
      </c>
      <c r="AM91" s="39"/>
      <c r="AN91" s="72" t="str">
        <f t="shared" si="58"/>
        <v/>
      </c>
      <c r="AO91" s="72" t="str">
        <f t="shared" si="77"/>
        <v/>
      </c>
      <c r="AP91" s="39"/>
      <c r="AQ91" s="72" t="str">
        <f t="shared" si="59"/>
        <v/>
      </c>
      <c r="AR91" s="72" t="str">
        <f t="shared" si="78"/>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60"/>
        <v/>
      </c>
      <c r="AW91" s="72" t="str">
        <f t="shared" si="61"/>
        <v/>
      </c>
      <c r="AX91" s="39"/>
      <c r="AY91" s="40" t="str">
        <f>IF(ISERROR(IF($K91&lt;=$F$15,VLOOKUP($I91,'表4）CO2価格'!$A$7:$E$67,VLOOKUP($F$48,'表4）CO2価格'!$H$10:$I$12,2,0),0)*$F$8/1000,"")),0,IF($K91&lt;=$F$15,VLOOKUP($I91,'表4）CO2価格'!$A$7:$E$67,VLOOKUP($F$48,'表4）CO2価格'!$H$10:$I$12,2,0),0)*$F$8/1000,""))</f>
        <v/>
      </c>
      <c r="AZ91" s="39"/>
      <c r="BA91" s="42" t="str">
        <f t="shared" si="62"/>
        <v/>
      </c>
      <c r="BB91" s="72" t="str">
        <f t="shared" si="79"/>
        <v/>
      </c>
      <c r="BC91" s="39"/>
      <c r="BD91" s="72" t="str">
        <f t="shared" si="63"/>
        <v/>
      </c>
      <c r="BE91" s="72" t="str">
        <f t="shared" si="80"/>
        <v/>
      </c>
      <c r="BF91" s="39"/>
      <c r="BG91" s="42" t="str">
        <f t="shared" si="64"/>
        <v/>
      </c>
      <c r="BH91" s="72" t="str">
        <f t="shared" si="81"/>
        <v/>
      </c>
      <c r="BI91" s="39"/>
      <c r="BJ91" s="40" t="str">
        <f t="shared" si="82"/>
        <v/>
      </c>
      <c r="BK91" s="157" t="str">
        <f t="shared" si="83"/>
        <v/>
      </c>
      <c r="BL91" s="157" t="str">
        <f t="shared" si="65"/>
        <v/>
      </c>
      <c r="BM91" s="72"/>
      <c r="BN91" s="72" t="str">
        <f t="shared" si="84"/>
        <v/>
      </c>
      <c r="BO91" s="72" t="str">
        <f t="shared" si="85"/>
        <v/>
      </c>
      <c r="BP91" s="39"/>
      <c r="BQ91" s="72" t="str">
        <f t="shared" si="66"/>
        <v/>
      </c>
      <c r="BR91" s="72" t="str">
        <f t="shared" si="86"/>
        <v/>
      </c>
    </row>
    <row r="92" spans="4:70" ht="15" x14ac:dyDescent="0.15">
      <c r="D92" s="116" t="s">
        <v>196</v>
      </c>
      <c r="F92" s="94">
        <f>SUBTOTAL(9,F96:F97)</f>
        <v>7.9247624058358825</v>
      </c>
      <c r="I92" s="322">
        <f t="shared" si="87"/>
        <v>2107</v>
      </c>
      <c r="J92" s="71"/>
      <c r="K92" s="71">
        <f t="shared" si="88"/>
        <v>78</v>
      </c>
      <c r="L92" s="71"/>
      <c r="M92" s="7">
        <f t="shared" si="51"/>
        <v>9.9700301809692873E-2</v>
      </c>
      <c r="N92" s="71"/>
      <c r="O92" s="10" t="str">
        <f t="shared" si="67"/>
        <v/>
      </c>
      <c r="P92" s="29" t="str">
        <f t="shared" si="52"/>
        <v/>
      </c>
      <c r="Q92" s="71"/>
      <c r="R92" s="10" t="str">
        <f t="shared" si="68"/>
        <v/>
      </c>
      <c r="S92" s="71"/>
      <c r="T92" s="10" t="str">
        <f t="shared" si="69"/>
        <v/>
      </c>
      <c r="U92" s="71"/>
      <c r="V92" s="10" t="str">
        <f t="shared" si="53"/>
        <v/>
      </c>
      <c r="W92" s="10" t="str">
        <f t="shared" si="70"/>
        <v/>
      </c>
      <c r="X92" s="71"/>
      <c r="Y92" s="10" t="str">
        <f t="shared" si="54"/>
        <v/>
      </c>
      <c r="Z92" s="10" t="str">
        <f t="shared" si="71"/>
        <v/>
      </c>
      <c r="AA92" s="71"/>
      <c r="AB92" s="10" t="str">
        <f t="shared" si="55"/>
        <v/>
      </c>
      <c r="AC92" s="10" t="str">
        <f t="shared" si="72"/>
        <v/>
      </c>
      <c r="AD92" s="71"/>
      <c r="AE92" s="10" t="str">
        <f t="shared" si="56"/>
        <v/>
      </c>
      <c r="AF92" s="10" t="str">
        <f t="shared" si="73"/>
        <v/>
      </c>
      <c r="AG92" s="71"/>
      <c r="AH92" s="10" t="str">
        <f t="shared" si="57"/>
        <v/>
      </c>
      <c r="AI92" s="10" t="str">
        <f t="shared" si="74"/>
        <v/>
      </c>
      <c r="AJ92" s="71"/>
      <c r="AK92" s="10" t="str">
        <f t="shared" si="75"/>
        <v/>
      </c>
      <c r="AL92" s="10" t="str">
        <f t="shared" si="76"/>
        <v/>
      </c>
      <c r="AM92" s="71"/>
      <c r="AN92" s="10" t="str">
        <f t="shared" si="58"/>
        <v/>
      </c>
      <c r="AO92" s="10" t="str">
        <f t="shared" si="77"/>
        <v/>
      </c>
      <c r="AP92" s="71"/>
      <c r="AQ92" s="10" t="str">
        <f t="shared" si="59"/>
        <v/>
      </c>
      <c r="AR92" s="10" t="str">
        <f t="shared" si="78"/>
        <v/>
      </c>
      <c r="AS92" s="71"/>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U92" s="71"/>
      <c r="AV92" s="10" t="str">
        <f t="shared" si="60"/>
        <v/>
      </c>
      <c r="AW92" s="10" t="str">
        <f t="shared" si="61"/>
        <v/>
      </c>
      <c r="AX92" s="71"/>
      <c r="AY92" s="7" t="str">
        <f>IF(ISERROR(IF($K92&lt;=$F$15,VLOOKUP($I92,'表4）CO2価格'!$A$7:$E$67,VLOOKUP($F$48,'表4）CO2価格'!$H$10:$I$12,2,0),0)*$F$8/1000,"")),0,IF($K92&lt;=$F$15,VLOOKUP($I92,'表4）CO2価格'!$A$7:$E$67,VLOOKUP($F$48,'表4）CO2価格'!$H$10:$I$12,2,0),0)*$F$8/1000,""))</f>
        <v/>
      </c>
      <c r="AZ92" s="71"/>
      <c r="BA92" s="11" t="str">
        <f t="shared" si="62"/>
        <v/>
      </c>
      <c r="BB92" s="10" t="str">
        <f t="shared" si="79"/>
        <v/>
      </c>
      <c r="BC92" s="71"/>
      <c r="BD92" s="10" t="str">
        <f t="shared" si="63"/>
        <v/>
      </c>
      <c r="BE92" s="10" t="str">
        <f t="shared" si="80"/>
        <v/>
      </c>
      <c r="BF92" s="71"/>
      <c r="BG92" s="11" t="str">
        <f t="shared" si="64"/>
        <v/>
      </c>
      <c r="BH92" s="10" t="str">
        <f t="shared" si="81"/>
        <v/>
      </c>
      <c r="BJ92" s="7" t="str">
        <f t="shared" si="82"/>
        <v/>
      </c>
      <c r="BK92" s="158" t="str">
        <f t="shared" si="83"/>
        <v/>
      </c>
      <c r="BL92" s="158" t="str">
        <f t="shared" si="65"/>
        <v/>
      </c>
      <c r="BM92" s="10"/>
      <c r="BN92" s="10" t="str">
        <f t="shared" si="84"/>
        <v/>
      </c>
      <c r="BO92" s="10" t="str">
        <f t="shared" si="85"/>
        <v/>
      </c>
      <c r="BQ92" s="10" t="str">
        <f t="shared" si="66"/>
        <v/>
      </c>
      <c r="BR92" s="10" t="str">
        <f t="shared" si="86"/>
        <v/>
      </c>
    </row>
    <row r="93" spans="4:70" ht="15" x14ac:dyDescent="0.15">
      <c r="D93" s="116"/>
      <c r="F93" s="93"/>
      <c r="I93" s="38">
        <f t="shared" si="87"/>
        <v>2108</v>
      </c>
      <c r="J93" s="39"/>
      <c r="K93" s="39">
        <f t="shared" si="88"/>
        <v>79</v>
      </c>
      <c r="L93" s="39"/>
      <c r="M93" s="40">
        <f t="shared" si="51"/>
        <v>9.679640952397367E-2</v>
      </c>
      <c r="N93" s="39"/>
      <c r="O93" s="72" t="str">
        <f t="shared" si="67"/>
        <v/>
      </c>
      <c r="P93" s="41" t="str">
        <f t="shared" si="52"/>
        <v/>
      </c>
      <c r="Q93" s="39"/>
      <c r="R93" s="72" t="str">
        <f t="shared" si="68"/>
        <v/>
      </c>
      <c r="S93" s="39"/>
      <c r="T93" s="72" t="str">
        <f t="shared" si="69"/>
        <v/>
      </c>
      <c r="U93" s="39"/>
      <c r="V93" s="72" t="str">
        <f t="shared" si="53"/>
        <v/>
      </c>
      <c r="W93" s="72" t="str">
        <f t="shared" si="70"/>
        <v/>
      </c>
      <c r="X93" s="39"/>
      <c r="Y93" s="72" t="str">
        <f t="shared" si="54"/>
        <v/>
      </c>
      <c r="Z93" s="72" t="str">
        <f t="shared" si="71"/>
        <v/>
      </c>
      <c r="AA93" s="39"/>
      <c r="AB93" s="72" t="str">
        <f t="shared" si="55"/>
        <v/>
      </c>
      <c r="AC93" s="72" t="str">
        <f t="shared" si="72"/>
        <v/>
      </c>
      <c r="AD93" s="39"/>
      <c r="AE93" s="72" t="str">
        <f t="shared" si="56"/>
        <v/>
      </c>
      <c r="AF93" s="72" t="str">
        <f t="shared" si="73"/>
        <v/>
      </c>
      <c r="AG93" s="39"/>
      <c r="AH93" s="72" t="str">
        <f t="shared" si="57"/>
        <v/>
      </c>
      <c r="AI93" s="72" t="str">
        <f t="shared" si="74"/>
        <v/>
      </c>
      <c r="AJ93" s="39"/>
      <c r="AK93" s="72" t="str">
        <f t="shared" si="75"/>
        <v/>
      </c>
      <c r="AL93" s="72" t="str">
        <f t="shared" si="76"/>
        <v/>
      </c>
      <c r="AM93" s="39"/>
      <c r="AN93" s="72" t="str">
        <f t="shared" si="58"/>
        <v/>
      </c>
      <c r="AO93" s="72" t="str">
        <f t="shared" si="77"/>
        <v/>
      </c>
      <c r="AP93" s="39"/>
      <c r="AQ93" s="72" t="str">
        <f t="shared" si="59"/>
        <v/>
      </c>
      <c r="AR93" s="72" t="str">
        <f t="shared" si="78"/>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60"/>
        <v/>
      </c>
      <c r="AW93" s="72" t="str">
        <f t="shared" si="61"/>
        <v/>
      </c>
      <c r="AX93" s="39"/>
      <c r="AY93" s="40" t="str">
        <f>IF(ISERROR(IF($K93&lt;=$F$15,VLOOKUP($I93,'表4）CO2価格'!$A$7:$E$67,VLOOKUP($F$48,'表4）CO2価格'!$H$10:$I$12,2,0),0)*$F$8/1000,"")),0,IF($K93&lt;=$F$15,VLOOKUP($I93,'表4）CO2価格'!$A$7:$E$67,VLOOKUP($F$48,'表4）CO2価格'!$H$10:$I$12,2,0),0)*$F$8/1000,""))</f>
        <v/>
      </c>
      <c r="AZ93" s="39"/>
      <c r="BA93" s="42" t="str">
        <f t="shared" si="62"/>
        <v/>
      </c>
      <c r="BB93" s="72" t="str">
        <f t="shared" si="79"/>
        <v/>
      </c>
      <c r="BC93" s="39"/>
      <c r="BD93" s="72" t="str">
        <f t="shared" si="63"/>
        <v/>
      </c>
      <c r="BE93" s="72" t="str">
        <f t="shared" si="80"/>
        <v/>
      </c>
      <c r="BF93" s="39"/>
      <c r="BG93" s="42" t="str">
        <f t="shared" si="64"/>
        <v/>
      </c>
      <c r="BH93" s="72" t="str">
        <f t="shared" si="81"/>
        <v/>
      </c>
      <c r="BI93" s="39"/>
      <c r="BJ93" s="40" t="str">
        <f t="shared" si="82"/>
        <v/>
      </c>
      <c r="BK93" s="157" t="str">
        <f t="shared" si="83"/>
        <v/>
      </c>
      <c r="BL93" s="157" t="str">
        <f t="shared" si="65"/>
        <v/>
      </c>
      <c r="BM93" s="72"/>
      <c r="BN93" s="72" t="str">
        <f t="shared" si="84"/>
        <v/>
      </c>
      <c r="BO93" s="72" t="str">
        <f t="shared" si="85"/>
        <v/>
      </c>
      <c r="BP93" s="39"/>
      <c r="BQ93" s="72" t="str">
        <f t="shared" si="66"/>
        <v/>
      </c>
      <c r="BR93" s="72" t="str">
        <f t="shared" si="86"/>
        <v/>
      </c>
    </row>
    <row r="94" spans="4:70" x14ac:dyDescent="0.15">
      <c r="D94" s="101" t="s">
        <v>197</v>
      </c>
      <c r="E94" s="101"/>
      <c r="F94" s="92"/>
      <c r="G94" s="101"/>
      <c r="I94" s="322">
        <f t="shared" si="87"/>
        <v>2109</v>
      </c>
      <c r="J94" s="71"/>
      <c r="K94" s="71">
        <f t="shared" si="88"/>
        <v>80</v>
      </c>
      <c r="L94" s="71"/>
      <c r="M94" s="7">
        <f t="shared" si="51"/>
        <v>9.3977096625217166E-2</v>
      </c>
      <c r="N94" s="71"/>
      <c r="O94" s="10" t="str">
        <f t="shared" si="67"/>
        <v/>
      </c>
      <c r="P94" s="29" t="str">
        <f t="shared" si="52"/>
        <v/>
      </c>
      <c r="Q94" s="71"/>
      <c r="R94" s="10" t="str">
        <f t="shared" si="68"/>
        <v/>
      </c>
      <c r="S94" s="71"/>
      <c r="T94" s="10" t="str">
        <f t="shared" si="69"/>
        <v/>
      </c>
      <c r="U94" s="71"/>
      <c r="V94" s="10" t="str">
        <f t="shared" si="53"/>
        <v/>
      </c>
      <c r="W94" s="10" t="str">
        <f t="shared" si="70"/>
        <v/>
      </c>
      <c r="X94" s="71"/>
      <c r="Y94" s="10" t="str">
        <f t="shared" si="54"/>
        <v/>
      </c>
      <c r="Z94" s="10" t="str">
        <f t="shared" si="71"/>
        <v/>
      </c>
      <c r="AA94" s="71"/>
      <c r="AB94" s="10" t="str">
        <f t="shared" si="55"/>
        <v/>
      </c>
      <c r="AC94" s="10" t="str">
        <f t="shared" si="72"/>
        <v/>
      </c>
      <c r="AD94" s="71"/>
      <c r="AE94" s="10" t="str">
        <f t="shared" si="56"/>
        <v/>
      </c>
      <c r="AF94" s="10" t="str">
        <f t="shared" si="73"/>
        <v/>
      </c>
      <c r="AG94" s="71"/>
      <c r="AH94" s="10" t="str">
        <f t="shared" si="57"/>
        <v/>
      </c>
      <c r="AI94" s="10" t="str">
        <f t="shared" si="74"/>
        <v/>
      </c>
      <c r="AJ94" s="71"/>
      <c r="AK94" s="10" t="str">
        <f t="shared" si="75"/>
        <v/>
      </c>
      <c r="AL94" s="10" t="str">
        <f t="shared" si="76"/>
        <v/>
      </c>
      <c r="AM94" s="71"/>
      <c r="AN94" s="10" t="str">
        <f t="shared" si="58"/>
        <v/>
      </c>
      <c r="AO94" s="10" t="str">
        <f t="shared" si="77"/>
        <v/>
      </c>
      <c r="AP94" s="71"/>
      <c r="AQ94" s="10" t="str">
        <f t="shared" si="59"/>
        <v/>
      </c>
      <c r="AR94" s="10" t="str">
        <f t="shared" si="78"/>
        <v/>
      </c>
      <c r="AS94" s="71"/>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U94" s="71"/>
      <c r="AV94" s="10" t="str">
        <f t="shared" si="60"/>
        <v/>
      </c>
      <c r="AW94" s="10" t="str">
        <f t="shared" si="61"/>
        <v/>
      </c>
      <c r="AX94" s="71"/>
      <c r="AY94" s="7" t="str">
        <f>IF(ISERROR(IF($K94&lt;=$F$15,VLOOKUP($I94,'表4）CO2価格'!$A$7:$E$67,VLOOKUP($F$48,'表4）CO2価格'!$H$10:$I$12,2,0),0)*$F$8/1000,"")),0,IF($K94&lt;=$F$15,VLOOKUP($I94,'表4）CO2価格'!$A$7:$E$67,VLOOKUP($F$48,'表4）CO2価格'!$H$10:$I$12,2,0),0)*$F$8/1000,""))</f>
        <v/>
      </c>
      <c r="AZ94" s="71"/>
      <c r="BA94" s="11" t="str">
        <f t="shared" si="62"/>
        <v/>
      </c>
      <c r="BB94" s="10" t="str">
        <f t="shared" si="79"/>
        <v/>
      </c>
      <c r="BC94" s="71"/>
      <c r="BD94" s="10" t="str">
        <f t="shared" si="63"/>
        <v/>
      </c>
      <c r="BE94" s="10" t="str">
        <f t="shared" si="80"/>
        <v/>
      </c>
      <c r="BF94" s="71"/>
      <c r="BG94" s="11" t="str">
        <f t="shared" si="64"/>
        <v/>
      </c>
      <c r="BH94" s="10" t="str">
        <f t="shared" si="81"/>
        <v/>
      </c>
      <c r="BJ94" s="7" t="str">
        <f t="shared" si="82"/>
        <v/>
      </c>
      <c r="BK94" s="158" t="str">
        <f t="shared" si="83"/>
        <v/>
      </c>
      <c r="BL94" s="158" t="str">
        <f t="shared" si="65"/>
        <v/>
      </c>
      <c r="BM94" s="10"/>
      <c r="BN94" s="10" t="str">
        <f t="shared" si="84"/>
        <v/>
      </c>
      <c r="BO94" s="10" t="str">
        <f t="shared" si="85"/>
        <v/>
      </c>
      <c r="BQ94" s="10" t="str">
        <f t="shared" si="66"/>
        <v/>
      </c>
      <c r="BR94" s="10" t="str">
        <f t="shared" si="86"/>
        <v/>
      </c>
    </row>
    <row r="95" spans="4:70" ht="15" x14ac:dyDescent="0.15">
      <c r="D95" s="116"/>
      <c r="F95" s="93"/>
      <c r="I95" s="38">
        <f t="shared" si="87"/>
        <v>2110</v>
      </c>
      <c r="J95" s="39"/>
      <c r="K95" s="39">
        <f t="shared" si="88"/>
        <v>81</v>
      </c>
      <c r="L95" s="39"/>
      <c r="M95" s="40">
        <f t="shared" si="51"/>
        <v>9.1239899636133173E-2</v>
      </c>
      <c r="N95" s="39"/>
      <c r="O95" s="72" t="str">
        <f t="shared" si="67"/>
        <v/>
      </c>
      <c r="P95" s="41" t="str">
        <f t="shared" si="52"/>
        <v/>
      </c>
      <c r="Q95" s="39"/>
      <c r="R95" s="72" t="str">
        <f t="shared" si="68"/>
        <v/>
      </c>
      <c r="S95" s="39"/>
      <c r="T95" s="72" t="str">
        <f t="shared" si="69"/>
        <v/>
      </c>
      <c r="U95" s="39"/>
      <c r="V95" s="72" t="str">
        <f t="shared" si="53"/>
        <v/>
      </c>
      <c r="W95" s="72" t="str">
        <f t="shared" si="70"/>
        <v/>
      </c>
      <c r="X95" s="39"/>
      <c r="Y95" s="72" t="str">
        <f t="shared" si="54"/>
        <v/>
      </c>
      <c r="Z95" s="72" t="str">
        <f t="shared" si="71"/>
        <v/>
      </c>
      <c r="AA95" s="39"/>
      <c r="AB95" s="72" t="str">
        <f t="shared" si="55"/>
        <v/>
      </c>
      <c r="AC95" s="72" t="str">
        <f t="shared" si="72"/>
        <v/>
      </c>
      <c r="AD95" s="39"/>
      <c r="AE95" s="72" t="str">
        <f t="shared" si="56"/>
        <v/>
      </c>
      <c r="AF95" s="72" t="str">
        <f t="shared" si="73"/>
        <v/>
      </c>
      <c r="AG95" s="39"/>
      <c r="AH95" s="72" t="str">
        <f t="shared" si="57"/>
        <v/>
      </c>
      <c r="AI95" s="72" t="str">
        <f t="shared" si="74"/>
        <v/>
      </c>
      <c r="AJ95" s="39"/>
      <c r="AK95" s="72" t="str">
        <f t="shared" si="75"/>
        <v/>
      </c>
      <c r="AL95" s="72" t="str">
        <f t="shared" si="76"/>
        <v/>
      </c>
      <c r="AM95" s="39"/>
      <c r="AN95" s="72" t="str">
        <f t="shared" si="58"/>
        <v/>
      </c>
      <c r="AO95" s="72" t="str">
        <f t="shared" si="77"/>
        <v/>
      </c>
      <c r="AP95" s="39"/>
      <c r="AQ95" s="72" t="str">
        <f t="shared" si="59"/>
        <v/>
      </c>
      <c r="AR95" s="72" t="str">
        <f t="shared" si="78"/>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60"/>
        <v/>
      </c>
      <c r="AW95" s="72" t="str">
        <f t="shared" si="61"/>
        <v/>
      </c>
      <c r="AX95" s="39"/>
      <c r="AY95" s="40" t="str">
        <f>IF(ISERROR(IF($K95&lt;=$F$15,VLOOKUP($I95,'表4）CO2価格'!$A$7:$E$67,VLOOKUP($F$48,'表4）CO2価格'!$H$10:$I$12,2,0),0)*$F$8/1000,"")),0,IF($K95&lt;=$F$15,VLOOKUP($I95,'表4）CO2価格'!$A$7:$E$67,VLOOKUP($F$48,'表4）CO2価格'!$H$10:$I$12,2,0),0)*$F$8/1000,""))</f>
        <v/>
      </c>
      <c r="AZ95" s="39"/>
      <c r="BA95" s="42" t="str">
        <f t="shared" si="62"/>
        <v/>
      </c>
      <c r="BB95" s="72" t="str">
        <f t="shared" si="79"/>
        <v/>
      </c>
      <c r="BC95" s="39"/>
      <c r="BD95" s="72" t="str">
        <f t="shared" si="63"/>
        <v/>
      </c>
      <c r="BE95" s="72" t="str">
        <f t="shared" si="80"/>
        <v/>
      </c>
      <c r="BF95" s="39"/>
      <c r="BG95" s="42" t="str">
        <f t="shared" si="64"/>
        <v/>
      </c>
      <c r="BH95" s="72" t="str">
        <f t="shared" si="81"/>
        <v/>
      </c>
      <c r="BI95" s="39"/>
      <c r="BJ95" s="40" t="str">
        <f t="shared" si="82"/>
        <v/>
      </c>
      <c r="BK95" s="157" t="str">
        <f t="shared" si="83"/>
        <v/>
      </c>
      <c r="BL95" s="157" t="str">
        <f t="shared" si="65"/>
        <v/>
      </c>
      <c r="BM95" s="72"/>
      <c r="BN95" s="72" t="str">
        <f t="shared" si="84"/>
        <v/>
      </c>
      <c r="BO95" s="72" t="str">
        <f t="shared" si="85"/>
        <v/>
      </c>
      <c r="BP95" s="39"/>
      <c r="BQ95" s="72" t="str">
        <f t="shared" si="66"/>
        <v/>
      </c>
      <c r="BR95" s="72" t="str">
        <f t="shared" si="86"/>
        <v/>
      </c>
    </row>
    <row r="96" spans="4:70" ht="15" x14ac:dyDescent="0.15">
      <c r="D96" s="116"/>
      <c r="E96" s="81" t="s">
        <v>198</v>
      </c>
      <c r="F96" s="91">
        <f>IF(F3&lt;&gt;"原子力",AW116/$BR$116,0)</f>
        <v>7.9247624058358825</v>
      </c>
      <c r="G96" s="81" t="s">
        <v>132</v>
      </c>
      <c r="I96" s="322">
        <f t="shared" si="87"/>
        <v>2111</v>
      </c>
      <c r="J96" s="71"/>
      <c r="K96" s="71">
        <f t="shared" si="88"/>
        <v>82</v>
      </c>
      <c r="L96" s="71"/>
      <c r="M96" s="7">
        <f t="shared" si="51"/>
        <v>8.8582426831197242E-2</v>
      </c>
      <c r="N96" s="71"/>
      <c r="O96" s="10" t="str">
        <f t="shared" si="67"/>
        <v/>
      </c>
      <c r="P96" s="29" t="str">
        <f t="shared" si="52"/>
        <v/>
      </c>
      <c r="Q96" s="71"/>
      <c r="R96" s="10" t="str">
        <f t="shared" si="68"/>
        <v/>
      </c>
      <c r="S96" s="71"/>
      <c r="T96" s="10" t="str">
        <f t="shared" si="69"/>
        <v/>
      </c>
      <c r="U96" s="71"/>
      <c r="V96" s="10" t="str">
        <f t="shared" si="53"/>
        <v/>
      </c>
      <c r="W96" s="10" t="str">
        <f t="shared" si="70"/>
        <v/>
      </c>
      <c r="X96" s="71"/>
      <c r="Y96" s="10" t="str">
        <f t="shared" si="54"/>
        <v/>
      </c>
      <c r="Z96" s="10" t="str">
        <f t="shared" si="71"/>
        <v/>
      </c>
      <c r="AA96" s="71"/>
      <c r="AB96" s="10" t="str">
        <f t="shared" si="55"/>
        <v/>
      </c>
      <c r="AC96" s="10" t="str">
        <f t="shared" si="72"/>
        <v/>
      </c>
      <c r="AD96" s="71"/>
      <c r="AE96" s="10" t="str">
        <f t="shared" si="56"/>
        <v/>
      </c>
      <c r="AF96" s="10" t="str">
        <f t="shared" si="73"/>
        <v/>
      </c>
      <c r="AG96" s="71"/>
      <c r="AH96" s="10" t="str">
        <f t="shared" si="57"/>
        <v/>
      </c>
      <c r="AI96" s="10" t="str">
        <f t="shared" si="74"/>
        <v/>
      </c>
      <c r="AJ96" s="71"/>
      <c r="AK96" s="10" t="str">
        <f t="shared" si="75"/>
        <v/>
      </c>
      <c r="AL96" s="10" t="str">
        <f t="shared" si="76"/>
        <v/>
      </c>
      <c r="AM96" s="71"/>
      <c r="AN96" s="10" t="str">
        <f t="shared" si="58"/>
        <v/>
      </c>
      <c r="AO96" s="10" t="str">
        <f t="shared" si="77"/>
        <v/>
      </c>
      <c r="AP96" s="71"/>
      <c r="AQ96" s="10" t="str">
        <f t="shared" si="59"/>
        <v/>
      </c>
      <c r="AR96" s="10" t="str">
        <f t="shared" si="78"/>
        <v/>
      </c>
      <c r="AS96" s="71"/>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U96" s="71"/>
      <c r="AV96" s="10" t="str">
        <f t="shared" si="60"/>
        <v/>
      </c>
      <c r="AW96" s="10" t="str">
        <f t="shared" si="61"/>
        <v/>
      </c>
      <c r="AX96" s="71"/>
      <c r="AY96" s="7" t="str">
        <f>IF(ISERROR(IF($K96&lt;=$F$15,VLOOKUP($I96,'表4）CO2価格'!$A$7:$E$67,VLOOKUP($F$48,'表4）CO2価格'!$H$10:$I$12,2,0),0)*$F$8/1000,"")),0,IF($K96&lt;=$F$15,VLOOKUP($I96,'表4）CO2価格'!$A$7:$E$67,VLOOKUP($F$48,'表4）CO2価格'!$H$10:$I$12,2,0),0)*$F$8/1000,""))</f>
        <v/>
      </c>
      <c r="AZ96" s="71"/>
      <c r="BA96" s="11" t="str">
        <f t="shared" si="62"/>
        <v/>
      </c>
      <c r="BB96" s="10" t="str">
        <f t="shared" si="79"/>
        <v/>
      </c>
      <c r="BC96" s="71"/>
      <c r="BD96" s="10" t="str">
        <f t="shared" si="63"/>
        <v/>
      </c>
      <c r="BE96" s="10" t="str">
        <f t="shared" si="80"/>
        <v/>
      </c>
      <c r="BF96" s="71"/>
      <c r="BG96" s="11" t="str">
        <f t="shared" si="64"/>
        <v/>
      </c>
      <c r="BH96" s="10" t="str">
        <f t="shared" si="81"/>
        <v/>
      </c>
      <c r="BJ96" s="7" t="str">
        <f t="shared" si="82"/>
        <v/>
      </c>
      <c r="BK96" s="158" t="str">
        <f t="shared" si="83"/>
        <v/>
      </c>
      <c r="BL96" s="158" t="str">
        <f t="shared" si="65"/>
        <v/>
      </c>
      <c r="BM96" s="10"/>
      <c r="BN96" s="10" t="str">
        <f t="shared" si="84"/>
        <v/>
      </c>
      <c r="BO96" s="10" t="str">
        <f t="shared" si="85"/>
        <v/>
      </c>
      <c r="BQ96" s="10" t="str">
        <f t="shared" si="66"/>
        <v/>
      </c>
      <c r="BR96" s="10" t="str">
        <f t="shared" si="86"/>
        <v/>
      </c>
    </row>
    <row r="97" spans="4:70" ht="15" x14ac:dyDescent="0.15">
      <c r="D97" s="116"/>
      <c r="E97" s="81" t="s">
        <v>199</v>
      </c>
      <c r="F97" s="91">
        <f>IF(F3="原子力",#REF!,0)</f>
        <v>0</v>
      </c>
      <c r="G97" s="81" t="s">
        <v>132</v>
      </c>
      <c r="I97" s="38">
        <f t="shared" si="87"/>
        <v>2112</v>
      </c>
      <c r="J97" s="39"/>
      <c r="K97" s="39">
        <f t="shared" si="88"/>
        <v>83</v>
      </c>
      <c r="L97" s="39"/>
      <c r="M97" s="40">
        <f t="shared" si="51"/>
        <v>8.6002356146793454E-2</v>
      </c>
      <c r="N97" s="39"/>
      <c r="O97" s="72" t="str">
        <f t="shared" si="67"/>
        <v/>
      </c>
      <c r="P97" s="41" t="str">
        <f t="shared" si="52"/>
        <v/>
      </c>
      <c r="Q97" s="39"/>
      <c r="R97" s="72" t="str">
        <f t="shared" si="68"/>
        <v/>
      </c>
      <c r="S97" s="39"/>
      <c r="T97" s="72" t="str">
        <f t="shared" si="69"/>
        <v/>
      </c>
      <c r="U97" s="39"/>
      <c r="V97" s="72" t="str">
        <f t="shared" si="53"/>
        <v/>
      </c>
      <c r="W97" s="72" t="str">
        <f t="shared" si="70"/>
        <v/>
      </c>
      <c r="X97" s="39"/>
      <c r="Y97" s="72" t="str">
        <f t="shared" si="54"/>
        <v/>
      </c>
      <c r="Z97" s="72" t="str">
        <f t="shared" si="71"/>
        <v/>
      </c>
      <c r="AA97" s="39"/>
      <c r="AB97" s="72" t="str">
        <f t="shared" si="55"/>
        <v/>
      </c>
      <c r="AC97" s="72" t="str">
        <f t="shared" si="72"/>
        <v/>
      </c>
      <c r="AD97" s="39"/>
      <c r="AE97" s="72" t="str">
        <f t="shared" si="56"/>
        <v/>
      </c>
      <c r="AF97" s="72" t="str">
        <f t="shared" si="73"/>
        <v/>
      </c>
      <c r="AG97" s="39"/>
      <c r="AH97" s="72" t="str">
        <f t="shared" si="57"/>
        <v/>
      </c>
      <c r="AI97" s="72" t="str">
        <f t="shared" si="74"/>
        <v/>
      </c>
      <c r="AJ97" s="39"/>
      <c r="AK97" s="72" t="str">
        <f t="shared" si="75"/>
        <v/>
      </c>
      <c r="AL97" s="72" t="str">
        <f t="shared" si="76"/>
        <v/>
      </c>
      <c r="AM97" s="39"/>
      <c r="AN97" s="72" t="str">
        <f t="shared" si="58"/>
        <v/>
      </c>
      <c r="AO97" s="72" t="str">
        <f t="shared" si="77"/>
        <v/>
      </c>
      <c r="AP97" s="39"/>
      <c r="AQ97" s="72" t="str">
        <f t="shared" si="59"/>
        <v/>
      </c>
      <c r="AR97" s="72" t="str">
        <f t="shared" si="78"/>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60"/>
        <v/>
      </c>
      <c r="AW97" s="72" t="str">
        <f t="shared" si="61"/>
        <v/>
      </c>
      <c r="AX97" s="39"/>
      <c r="AY97" s="40" t="str">
        <f>IF(ISERROR(IF($K97&lt;=$F$15,VLOOKUP($I97,'表4）CO2価格'!$A$7:$E$67,VLOOKUP($F$48,'表4）CO2価格'!$H$10:$I$12,2,0),0)*$F$8/1000,"")),0,IF($K97&lt;=$F$15,VLOOKUP($I97,'表4）CO2価格'!$A$7:$E$67,VLOOKUP($F$48,'表4）CO2価格'!$H$10:$I$12,2,0),0)*$F$8/1000,""))</f>
        <v/>
      </c>
      <c r="AZ97" s="39"/>
      <c r="BA97" s="42" t="str">
        <f t="shared" si="62"/>
        <v/>
      </c>
      <c r="BB97" s="72" t="str">
        <f t="shared" si="79"/>
        <v/>
      </c>
      <c r="BC97" s="39"/>
      <c r="BD97" s="72" t="str">
        <f t="shared" si="63"/>
        <v/>
      </c>
      <c r="BE97" s="72" t="str">
        <f t="shared" si="80"/>
        <v/>
      </c>
      <c r="BF97" s="39"/>
      <c r="BG97" s="42" t="str">
        <f t="shared" si="64"/>
        <v/>
      </c>
      <c r="BH97" s="72" t="str">
        <f t="shared" si="81"/>
        <v/>
      </c>
      <c r="BI97" s="39"/>
      <c r="BJ97" s="40" t="str">
        <f t="shared" si="82"/>
        <v/>
      </c>
      <c r="BK97" s="157" t="str">
        <f t="shared" si="83"/>
        <v/>
      </c>
      <c r="BL97" s="157" t="str">
        <f t="shared" si="65"/>
        <v/>
      </c>
      <c r="BM97" s="72"/>
      <c r="BN97" s="72" t="str">
        <f t="shared" si="84"/>
        <v/>
      </c>
      <c r="BO97" s="72" t="str">
        <f t="shared" si="85"/>
        <v/>
      </c>
      <c r="BP97" s="39"/>
      <c r="BQ97" s="72" t="str">
        <f t="shared" si="66"/>
        <v/>
      </c>
      <c r="BR97" s="72" t="str">
        <f t="shared" si="86"/>
        <v/>
      </c>
    </row>
    <row r="98" spans="4:70" x14ac:dyDescent="0.15">
      <c r="F98" s="93"/>
      <c r="I98" s="322">
        <f t="shared" si="87"/>
        <v>2113</v>
      </c>
      <c r="J98" s="71"/>
      <c r="K98" s="71">
        <f t="shared" si="88"/>
        <v>84</v>
      </c>
      <c r="L98" s="71"/>
      <c r="M98" s="7">
        <f t="shared" si="51"/>
        <v>8.3497433152226644E-2</v>
      </c>
      <c r="N98" s="71"/>
      <c r="O98" s="10" t="str">
        <f t="shared" si="67"/>
        <v/>
      </c>
      <c r="P98" s="29" t="str">
        <f t="shared" si="52"/>
        <v/>
      </c>
      <c r="Q98" s="71"/>
      <c r="R98" s="10" t="str">
        <f t="shared" si="68"/>
        <v/>
      </c>
      <c r="S98" s="71"/>
      <c r="T98" s="10" t="str">
        <f t="shared" si="69"/>
        <v/>
      </c>
      <c r="U98" s="71"/>
      <c r="V98" s="10" t="str">
        <f t="shared" si="53"/>
        <v/>
      </c>
      <c r="W98" s="10" t="str">
        <f t="shared" si="70"/>
        <v/>
      </c>
      <c r="X98" s="71"/>
      <c r="Y98" s="10" t="str">
        <f t="shared" si="54"/>
        <v/>
      </c>
      <c r="Z98" s="10" t="str">
        <f t="shared" si="71"/>
        <v/>
      </c>
      <c r="AA98" s="71"/>
      <c r="AB98" s="10" t="str">
        <f t="shared" si="55"/>
        <v/>
      </c>
      <c r="AC98" s="10" t="str">
        <f t="shared" si="72"/>
        <v/>
      </c>
      <c r="AD98" s="71"/>
      <c r="AE98" s="10" t="str">
        <f t="shared" si="56"/>
        <v/>
      </c>
      <c r="AF98" s="10" t="str">
        <f t="shared" si="73"/>
        <v/>
      </c>
      <c r="AG98" s="71"/>
      <c r="AH98" s="10" t="str">
        <f t="shared" si="57"/>
        <v/>
      </c>
      <c r="AI98" s="10" t="str">
        <f t="shared" si="74"/>
        <v/>
      </c>
      <c r="AJ98" s="71"/>
      <c r="AK98" s="10" t="str">
        <f t="shared" si="75"/>
        <v/>
      </c>
      <c r="AL98" s="10" t="str">
        <f t="shared" si="76"/>
        <v/>
      </c>
      <c r="AM98" s="71"/>
      <c r="AN98" s="10" t="str">
        <f t="shared" si="58"/>
        <v/>
      </c>
      <c r="AO98" s="10" t="str">
        <f t="shared" si="77"/>
        <v/>
      </c>
      <c r="AP98" s="71"/>
      <c r="AQ98" s="10" t="str">
        <f t="shared" si="59"/>
        <v/>
      </c>
      <c r="AR98" s="10" t="str">
        <f t="shared" si="78"/>
        <v/>
      </c>
      <c r="AS98" s="71"/>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U98" s="71"/>
      <c r="AV98" s="10" t="str">
        <f t="shared" si="60"/>
        <v/>
      </c>
      <c r="AW98" s="10" t="str">
        <f t="shared" si="61"/>
        <v/>
      </c>
      <c r="AX98" s="71"/>
      <c r="AY98" s="7" t="str">
        <f>IF(ISERROR(IF($K98&lt;=$F$15,VLOOKUP($I98,'表4）CO2価格'!$A$7:$E$67,VLOOKUP($F$48,'表4）CO2価格'!$H$10:$I$12,2,0),0)*$F$8/1000,"")),0,IF($K98&lt;=$F$15,VLOOKUP($I98,'表4）CO2価格'!$A$7:$E$67,VLOOKUP($F$48,'表4）CO2価格'!$H$10:$I$12,2,0),0)*$F$8/1000,""))</f>
        <v/>
      </c>
      <c r="AZ98" s="71"/>
      <c r="BA98" s="11" t="str">
        <f t="shared" si="62"/>
        <v/>
      </c>
      <c r="BB98" s="10" t="str">
        <f t="shared" si="79"/>
        <v/>
      </c>
      <c r="BC98" s="71"/>
      <c r="BD98" s="10" t="str">
        <f t="shared" si="63"/>
        <v/>
      </c>
      <c r="BE98" s="10" t="str">
        <f t="shared" si="80"/>
        <v/>
      </c>
      <c r="BF98" s="71"/>
      <c r="BG98" s="11" t="str">
        <f t="shared" si="64"/>
        <v/>
      </c>
      <c r="BH98" s="10" t="str">
        <f t="shared" si="81"/>
        <v/>
      </c>
      <c r="BJ98" s="7" t="str">
        <f t="shared" si="82"/>
        <v/>
      </c>
      <c r="BK98" s="158" t="str">
        <f t="shared" si="83"/>
        <v/>
      </c>
      <c r="BL98" s="158" t="str">
        <f t="shared" si="65"/>
        <v/>
      </c>
      <c r="BM98" s="10"/>
      <c r="BN98" s="10" t="str">
        <f t="shared" si="84"/>
        <v/>
      </c>
      <c r="BO98" s="10" t="str">
        <f t="shared" si="85"/>
        <v/>
      </c>
      <c r="BQ98" s="10" t="str">
        <f t="shared" si="66"/>
        <v/>
      </c>
      <c r="BR98" s="10" t="str">
        <f t="shared" si="86"/>
        <v/>
      </c>
    </row>
    <row r="99" spans="4:70" ht="15" x14ac:dyDescent="0.15">
      <c r="D99" s="116" t="s">
        <v>200</v>
      </c>
      <c r="F99" s="94">
        <f>SUBTOTAL(9,F103:F105)</f>
        <v>2.7749466055014973</v>
      </c>
      <c r="G99" s="81" t="s">
        <v>132</v>
      </c>
      <c r="I99" s="38">
        <f t="shared" si="87"/>
        <v>2114</v>
      </c>
      <c r="J99" s="39"/>
      <c r="K99" s="39">
        <f t="shared" si="88"/>
        <v>85</v>
      </c>
      <c r="L99" s="39"/>
      <c r="M99" s="40">
        <f t="shared" si="51"/>
        <v>8.1065469079831712E-2</v>
      </c>
      <c r="N99" s="39"/>
      <c r="O99" s="72" t="str">
        <f t="shared" si="67"/>
        <v/>
      </c>
      <c r="P99" s="41" t="str">
        <f t="shared" si="52"/>
        <v/>
      </c>
      <c r="Q99" s="39"/>
      <c r="R99" s="72" t="str">
        <f t="shared" si="68"/>
        <v/>
      </c>
      <c r="S99" s="39"/>
      <c r="T99" s="72" t="str">
        <f t="shared" si="69"/>
        <v/>
      </c>
      <c r="U99" s="39"/>
      <c r="V99" s="72" t="str">
        <f t="shared" si="53"/>
        <v/>
      </c>
      <c r="W99" s="72" t="str">
        <f t="shared" si="70"/>
        <v/>
      </c>
      <c r="X99" s="39"/>
      <c r="Y99" s="72" t="str">
        <f t="shared" si="54"/>
        <v/>
      </c>
      <c r="Z99" s="72" t="str">
        <f t="shared" si="71"/>
        <v/>
      </c>
      <c r="AA99" s="39"/>
      <c r="AB99" s="72" t="str">
        <f t="shared" si="55"/>
        <v/>
      </c>
      <c r="AC99" s="72" t="str">
        <f t="shared" si="72"/>
        <v/>
      </c>
      <c r="AD99" s="39"/>
      <c r="AE99" s="72" t="str">
        <f t="shared" si="56"/>
        <v/>
      </c>
      <c r="AF99" s="72" t="str">
        <f t="shared" si="73"/>
        <v/>
      </c>
      <c r="AG99" s="39"/>
      <c r="AH99" s="72" t="str">
        <f t="shared" si="57"/>
        <v/>
      </c>
      <c r="AI99" s="72" t="str">
        <f t="shared" si="74"/>
        <v/>
      </c>
      <c r="AJ99" s="39"/>
      <c r="AK99" s="72" t="str">
        <f t="shared" si="75"/>
        <v/>
      </c>
      <c r="AL99" s="72" t="str">
        <f t="shared" si="76"/>
        <v/>
      </c>
      <c r="AM99" s="39"/>
      <c r="AN99" s="72" t="str">
        <f t="shared" si="58"/>
        <v/>
      </c>
      <c r="AO99" s="72" t="str">
        <f t="shared" si="77"/>
        <v/>
      </c>
      <c r="AP99" s="39"/>
      <c r="AQ99" s="72" t="str">
        <f t="shared" si="59"/>
        <v/>
      </c>
      <c r="AR99" s="72" t="str">
        <f t="shared" si="78"/>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60"/>
        <v/>
      </c>
      <c r="AW99" s="72" t="str">
        <f t="shared" si="61"/>
        <v/>
      </c>
      <c r="AX99" s="39"/>
      <c r="AY99" s="40" t="str">
        <f>IF(ISERROR(IF($K99&lt;=$F$15,VLOOKUP($I99,'表4）CO2価格'!$A$7:$E$67,VLOOKUP($F$48,'表4）CO2価格'!$H$10:$I$12,2,0),0)*$F$8/1000,"")),0,IF($K99&lt;=$F$15,VLOOKUP($I99,'表4）CO2価格'!$A$7:$E$67,VLOOKUP($F$48,'表4）CO2価格'!$H$10:$I$12,2,0),0)*$F$8/1000,""))</f>
        <v/>
      </c>
      <c r="AZ99" s="39"/>
      <c r="BA99" s="42" t="str">
        <f t="shared" si="62"/>
        <v/>
      </c>
      <c r="BB99" s="72" t="str">
        <f t="shared" si="79"/>
        <v/>
      </c>
      <c r="BC99" s="39"/>
      <c r="BD99" s="72" t="str">
        <f t="shared" si="63"/>
        <v/>
      </c>
      <c r="BE99" s="72" t="str">
        <f t="shared" si="80"/>
        <v/>
      </c>
      <c r="BF99" s="39"/>
      <c r="BG99" s="42" t="str">
        <f t="shared" si="64"/>
        <v/>
      </c>
      <c r="BH99" s="72" t="str">
        <f t="shared" si="81"/>
        <v/>
      </c>
      <c r="BI99" s="39"/>
      <c r="BJ99" s="40" t="str">
        <f t="shared" si="82"/>
        <v/>
      </c>
      <c r="BK99" s="157" t="str">
        <f t="shared" si="83"/>
        <v/>
      </c>
      <c r="BL99" s="157" t="str">
        <f t="shared" si="65"/>
        <v/>
      </c>
      <c r="BM99" s="72"/>
      <c r="BN99" s="72" t="str">
        <f t="shared" si="84"/>
        <v/>
      </c>
      <c r="BO99" s="72" t="str">
        <f t="shared" si="85"/>
        <v/>
      </c>
      <c r="BP99" s="39"/>
      <c r="BQ99" s="72" t="str">
        <f t="shared" si="66"/>
        <v/>
      </c>
      <c r="BR99" s="72" t="str">
        <f t="shared" si="86"/>
        <v/>
      </c>
    </row>
    <row r="100" spans="4:70" x14ac:dyDescent="0.15">
      <c r="F100" s="93"/>
      <c r="I100" s="322">
        <f t="shared" si="87"/>
        <v>2115</v>
      </c>
      <c r="J100" s="71"/>
      <c r="K100" s="71">
        <f t="shared" si="88"/>
        <v>86</v>
      </c>
      <c r="L100" s="71"/>
      <c r="M100" s="7">
        <f t="shared" si="51"/>
        <v>7.8704338912457969E-2</v>
      </c>
      <c r="N100" s="71"/>
      <c r="O100" s="10" t="str">
        <f t="shared" si="67"/>
        <v/>
      </c>
      <c r="P100" s="29" t="str">
        <f t="shared" si="52"/>
        <v/>
      </c>
      <c r="Q100" s="71"/>
      <c r="R100" s="10" t="str">
        <f t="shared" si="68"/>
        <v/>
      </c>
      <c r="S100" s="71"/>
      <c r="T100" s="10" t="str">
        <f t="shared" si="69"/>
        <v/>
      </c>
      <c r="U100" s="71"/>
      <c r="V100" s="10" t="str">
        <f t="shared" si="53"/>
        <v/>
      </c>
      <c r="W100" s="10" t="str">
        <f t="shared" si="70"/>
        <v/>
      </c>
      <c r="X100" s="71"/>
      <c r="Y100" s="10" t="str">
        <f t="shared" si="54"/>
        <v/>
      </c>
      <c r="Z100" s="10" t="str">
        <f t="shared" si="71"/>
        <v/>
      </c>
      <c r="AA100" s="71"/>
      <c r="AB100" s="10" t="str">
        <f t="shared" si="55"/>
        <v/>
      </c>
      <c r="AC100" s="10" t="str">
        <f t="shared" si="72"/>
        <v/>
      </c>
      <c r="AD100" s="71"/>
      <c r="AE100" s="10" t="str">
        <f t="shared" si="56"/>
        <v/>
      </c>
      <c r="AF100" s="10" t="str">
        <f t="shared" si="73"/>
        <v/>
      </c>
      <c r="AG100" s="71"/>
      <c r="AH100" s="10" t="str">
        <f t="shared" si="57"/>
        <v/>
      </c>
      <c r="AI100" s="10" t="str">
        <f t="shared" si="74"/>
        <v/>
      </c>
      <c r="AJ100" s="71"/>
      <c r="AK100" s="10" t="str">
        <f t="shared" si="75"/>
        <v/>
      </c>
      <c r="AL100" s="10" t="str">
        <f t="shared" si="76"/>
        <v/>
      </c>
      <c r="AM100" s="71"/>
      <c r="AN100" s="10" t="str">
        <f t="shared" si="58"/>
        <v/>
      </c>
      <c r="AO100" s="10" t="str">
        <f t="shared" si="77"/>
        <v/>
      </c>
      <c r="AP100" s="71"/>
      <c r="AQ100" s="10" t="str">
        <f t="shared" si="59"/>
        <v/>
      </c>
      <c r="AR100" s="10" t="str">
        <f t="shared" si="78"/>
        <v/>
      </c>
      <c r="AS100" s="71"/>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U100" s="71"/>
      <c r="AV100" s="10" t="str">
        <f t="shared" si="60"/>
        <v/>
      </c>
      <c r="AW100" s="10" t="str">
        <f t="shared" si="61"/>
        <v/>
      </c>
      <c r="AX100" s="71"/>
      <c r="AY100" s="7" t="str">
        <f>IF(ISERROR(IF($K100&lt;=$F$15,VLOOKUP($I100,'表4）CO2価格'!$A$7:$E$67,VLOOKUP($F$48,'表4）CO2価格'!$H$10:$I$12,2,0),0)*$F$8/1000,"")),0,IF($K100&lt;=$F$15,VLOOKUP($I100,'表4）CO2価格'!$A$7:$E$67,VLOOKUP($F$48,'表4）CO2価格'!$H$10:$I$12,2,0),0)*$F$8/1000,""))</f>
        <v/>
      </c>
      <c r="AZ100" s="71"/>
      <c r="BA100" s="11" t="str">
        <f t="shared" si="62"/>
        <v/>
      </c>
      <c r="BB100" s="10" t="str">
        <f t="shared" si="79"/>
        <v/>
      </c>
      <c r="BC100" s="71"/>
      <c r="BD100" s="10" t="str">
        <f t="shared" si="63"/>
        <v/>
      </c>
      <c r="BE100" s="10" t="str">
        <f t="shared" si="80"/>
        <v/>
      </c>
      <c r="BF100" s="71"/>
      <c r="BG100" s="11" t="str">
        <f t="shared" si="64"/>
        <v/>
      </c>
      <c r="BH100" s="10" t="str">
        <f t="shared" si="81"/>
        <v/>
      </c>
      <c r="BJ100" s="7" t="str">
        <f t="shared" si="82"/>
        <v/>
      </c>
      <c r="BK100" s="158" t="str">
        <f t="shared" si="83"/>
        <v/>
      </c>
      <c r="BL100" s="158" t="str">
        <f t="shared" si="65"/>
        <v/>
      </c>
      <c r="BM100" s="10"/>
      <c r="BN100" s="10" t="str">
        <f t="shared" si="84"/>
        <v/>
      </c>
      <c r="BO100" s="10" t="str">
        <f t="shared" si="85"/>
        <v/>
      </c>
      <c r="BQ100" s="10" t="str">
        <f t="shared" si="66"/>
        <v/>
      </c>
      <c r="BR100" s="10" t="str">
        <f t="shared" si="86"/>
        <v/>
      </c>
    </row>
    <row r="101" spans="4:70" x14ac:dyDescent="0.15">
      <c r="D101" s="101" t="s">
        <v>201</v>
      </c>
      <c r="E101" s="101"/>
      <c r="F101" s="92"/>
      <c r="G101" s="101"/>
      <c r="I101" s="38">
        <f t="shared" si="87"/>
        <v>2116</v>
      </c>
      <c r="J101" s="39"/>
      <c r="K101" s="39">
        <f t="shared" si="88"/>
        <v>87</v>
      </c>
      <c r="L101" s="39"/>
      <c r="M101" s="40">
        <f t="shared" si="51"/>
        <v>7.6411979526658208E-2</v>
      </c>
      <c r="N101" s="39"/>
      <c r="O101" s="72" t="str">
        <f t="shared" si="67"/>
        <v/>
      </c>
      <c r="P101" s="41" t="str">
        <f t="shared" si="52"/>
        <v/>
      </c>
      <c r="Q101" s="39"/>
      <c r="R101" s="72" t="str">
        <f t="shared" si="68"/>
        <v/>
      </c>
      <c r="S101" s="39"/>
      <c r="T101" s="72" t="str">
        <f t="shared" si="69"/>
        <v/>
      </c>
      <c r="U101" s="39"/>
      <c r="V101" s="72" t="str">
        <f t="shared" si="53"/>
        <v/>
      </c>
      <c r="W101" s="72" t="str">
        <f t="shared" si="70"/>
        <v/>
      </c>
      <c r="X101" s="39"/>
      <c r="Y101" s="72" t="str">
        <f t="shared" si="54"/>
        <v/>
      </c>
      <c r="Z101" s="72" t="str">
        <f t="shared" si="71"/>
        <v/>
      </c>
      <c r="AA101" s="39"/>
      <c r="AB101" s="72" t="str">
        <f t="shared" si="55"/>
        <v/>
      </c>
      <c r="AC101" s="72" t="str">
        <f t="shared" si="72"/>
        <v/>
      </c>
      <c r="AD101" s="39"/>
      <c r="AE101" s="72" t="str">
        <f t="shared" si="56"/>
        <v/>
      </c>
      <c r="AF101" s="72" t="str">
        <f t="shared" si="73"/>
        <v/>
      </c>
      <c r="AG101" s="39"/>
      <c r="AH101" s="72" t="str">
        <f t="shared" si="57"/>
        <v/>
      </c>
      <c r="AI101" s="72" t="str">
        <f t="shared" si="74"/>
        <v/>
      </c>
      <c r="AJ101" s="39"/>
      <c r="AK101" s="72" t="str">
        <f t="shared" si="75"/>
        <v/>
      </c>
      <c r="AL101" s="72" t="str">
        <f t="shared" si="76"/>
        <v/>
      </c>
      <c r="AM101" s="39"/>
      <c r="AN101" s="72" t="str">
        <f t="shared" si="58"/>
        <v/>
      </c>
      <c r="AO101" s="72" t="str">
        <f t="shared" si="77"/>
        <v/>
      </c>
      <c r="AP101" s="39"/>
      <c r="AQ101" s="72" t="str">
        <f t="shared" si="59"/>
        <v/>
      </c>
      <c r="AR101" s="72" t="str">
        <f t="shared" si="78"/>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60"/>
        <v/>
      </c>
      <c r="AW101" s="72" t="str">
        <f t="shared" si="61"/>
        <v/>
      </c>
      <c r="AX101" s="39"/>
      <c r="AY101" s="40" t="str">
        <f>IF(ISERROR(IF($K101&lt;=$F$15,VLOOKUP($I101,'表4）CO2価格'!$A$7:$E$67,VLOOKUP($F$48,'表4）CO2価格'!$H$10:$I$12,2,0),0)*$F$8/1000,"")),0,IF($K101&lt;=$F$15,VLOOKUP($I101,'表4）CO2価格'!$A$7:$E$67,VLOOKUP($F$48,'表4）CO2価格'!$H$10:$I$12,2,0),0)*$F$8/1000,""))</f>
        <v/>
      </c>
      <c r="AZ101" s="39"/>
      <c r="BA101" s="42" t="str">
        <f t="shared" si="62"/>
        <v/>
      </c>
      <c r="BB101" s="72" t="str">
        <f t="shared" si="79"/>
        <v/>
      </c>
      <c r="BC101" s="39"/>
      <c r="BD101" s="72" t="str">
        <f t="shared" si="63"/>
        <v/>
      </c>
      <c r="BE101" s="72" t="str">
        <f t="shared" si="80"/>
        <v/>
      </c>
      <c r="BF101" s="39"/>
      <c r="BG101" s="42" t="str">
        <f t="shared" si="64"/>
        <v/>
      </c>
      <c r="BH101" s="72" t="str">
        <f t="shared" si="81"/>
        <v/>
      </c>
      <c r="BI101" s="39"/>
      <c r="BJ101" s="40" t="str">
        <f t="shared" si="82"/>
        <v/>
      </c>
      <c r="BK101" s="157" t="str">
        <f t="shared" si="83"/>
        <v/>
      </c>
      <c r="BL101" s="157" t="str">
        <f t="shared" si="65"/>
        <v/>
      </c>
      <c r="BM101" s="72"/>
      <c r="BN101" s="72" t="str">
        <f t="shared" si="84"/>
        <v/>
      </c>
      <c r="BO101" s="72" t="str">
        <f t="shared" si="85"/>
        <v/>
      </c>
      <c r="BP101" s="39"/>
      <c r="BQ101" s="72" t="str">
        <f t="shared" si="66"/>
        <v/>
      </c>
      <c r="BR101" s="72" t="str">
        <f t="shared" si="86"/>
        <v/>
      </c>
    </row>
    <row r="102" spans="4:70" x14ac:dyDescent="0.15">
      <c r="F102" s="93"/>
      <c r="I102" s="322">
        <f t="shared" si="87"/>
        <v>2117</v>
      </c>
      <c r="J102" s="71"/>
      <c r="K102" s="71">
        <f t="shared" si="88"/>
        <v>88</v>
      </c>
      <c r="L102" s="71"/>
      <c r="M102" s="7">
        <f t="shared" si="51"/>
        <v>7.4186387889959446E-2</v>
      </c>
      <c r="N102" s="71"/>
      <c r="O102" s="10" t="str">
        <f t="shared" si="67"/>
        <v/>
      </c>
      <c r="P102" s="29" t="str">
        <f t="shared" si="52"/>
        <v/>
      </c>
      <c r="Q102" s="71"/>
      <c r="R102" s="10" t="str">
        <f t="shared" si="68"/>
        <v/>
      </c>
      <c r="S102" s="71"/>
      <c r="T102" s="10" t="str">
        <f t="shared" si="69"/>
        <v/>
      </c>
      <c r="U102" s="71"/>
      <c r="V102" s="10" t="str">
        <f t="shared" si="53"/>
        <v/>
      </c>
      <c r="W102" s="10" t="str">
        <f t="shared" si="70"/>
        <v/>
      </c>
      <c r="X102" s="71"/>
      <c r="Y102" s="10" t="str">
        <f t="shared" si="54"/>
        <v/>
      </c>
      <c r="Z102" s="10" t="str">
        <f t="shared" si="71"/>
        <v/>
      </c>
      <c r="AA102" s="71"/>
      <c r="AB102" s="10" t="str">
        <f t="shared" si="55"/>
        <v/>
      </c>
      <c r="AC102" s="10" t="str">
        <f t="shared" si="72"/>
        <v/>
      </c>
      <c r="AD102" s="71"/>
      <c r="AE102" s="10" t="str">
        <f t="shared" si="56"/>
        <v/>
      </c>
      <c r="AF102" s="10" t="str">
        <f t="shared" si="73"/>
        <v/>
      </c>
      <c r="AG102" s="71"/>
      <c r="AH102" s="10" t="str">
        <f t="shared" si="57"/>
        <v/>
      </c>
      <c r="AI102" s="10" t="str">
        <f t="shared" si="74"/>
        <v/>
      </c>
      <c r="AJ102" s="71"/>
      <c r="AK102" s="10" t="str">
        <f t="shared" si="75"/>
        <v/>
      </c>
      <c r="AL102" s="10" t="str">
        <f t="shared" si="76"/>
        <v/>
      </c>
      <c r="AM102" s="71"/>
      <c r="AN102" s="10" t="str">
        <f t="shared" si="58"/>
        <v/>
      </c>
      <c r="AO102" s="10" t="str">
        <f t="shared" si="77"/>
        <v/>
      </c>
      <c r="AP102" s="71"/>
      <c r="AQ102" s="10" t="str">
        <f t="shared" si="59"/>
        <v/>
      </c>
      <c r="AR102" s="10" t="str">
        <f t="shared" si="78"/>
        <v/>
      </c>
      <c r="AS102" s="71"/>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U102" s="71"/>
      <c r="AV102" s="10" t="str">
        <f t="shared" si="60"/>
        <v/>
      </c>
      <c r="AW102" s="10" t="str">
        <f t="shared" si="61"/>
        <v/>
      </c>
      <c r="AX102" s="71"/>
      <c r="AY102" s="7" t="str">
        <f>IF(ISERROR(IF($K102&lt;=$F$15,VLOOKUP($I102,'表4）CO2価格'!$A$7:$E$67,VLOOKUP($F$48,'表4）CO2価格'!$H$10:$I$12,2,0),0)*$F$8/1000,"")),0,IF($K102&lt;=$F$15,VLOOKUP($I102,'表4）CO2価格'!$A$7:$E$67,VLOOKUP($F$48,'表4）CO2価格'!$H$10:$I$12,2,0),0)*$F$8/1000,""))</f>
        <v/>
      </c>
      <c r="AZ102" s="71"/>
      <c r="BA102" s="11" t="str">
        <f t="shared" si="62"/>
        <v/>
      </c>
      <c r="BB102" s="10" t="str">
        <f t="shared" si="79"/>
        <v/>
      </c>
      <c r="BC102" s="71"/>
      <c r="BD102" s="10" t="str">
        <f t="shared" si="63"/>
        <v/>
      </c>
      <c r="BE102" s="10" t="str">
        <f t="shared" si="80"/>
        <v/>
      </c>
      <c r="BF102" s="71"/>
      <c r="BG102" s="11" t="str">
        <f t="shared" si="64"/>
        <v/>
      </c>
      <c r="BH102" s="10" t="str">
        <f t="shared" si="81"/>
        <v/>
      </c>
      <c r="BJ102" s="7" t="str">
        <f t="shared" si="82"/>
        <v/>
      </c>
      <c r="BK102" s="158" t="str">
        <f t="shared" si="83"/>
        <v/>
      </c>
      <c r="BL102" s="158" t="str">
        <f t="shared" si="65"/>
        <v/>
      </c>
      <c r="BM102" s="10"/>
      <c r="BN102" s="10" t="str">
        <f t="shared" si="84"/>
        <v/>
      </c>
      <c r="BO102" s="10" t="str">
        <f t="shared" si="85"/>
        <v/>
      </c>
      <c r="BQ102" s="10" t="str">
        <f t="shared" si="66"/>
        <v/>
      </c>
      <c r="BR102" s="10" t="str">
        <f t="shared" si="86"/>
        <v/>
      </c>
    </row>
    <row r="103" spans="4:70" x14ac:dyDescent="0.15">
      <c r="E103" s="81" t="s">
        <v>202</v>
      </c>
      <c r="F103" s="91">
        <f>BB116/$BR$116</f>
        <v>2.1749466055014972</v>
      </c>
      <c r="G103" s="81" t="s">
        <v>132</v>
      </c>
      <c r="I103" s="38">
        <f t="shared" si="87"/>
        <v>2118</v>
      </c>
      <c r="J103" s="39"/>
      <c r="K103" s="39">
        <f t="shared" si="88"/>
        <v>89</v>
      </c>
      <c r="L103" s="39"/>
      <c r="M103" s="40">
        <f t="shared" si="51"/>
        <v>7.2025619310640235E-2</v>
      </c>
      <c r="N103" s="39"/>
      <c r="O103" s="72" t="str">
        <f t="shared" si="67"/>
        <v/>
      </c>
      <c r="P103" s="41" t="str">
        <f t="shared" si="52"/>
        <v/>
      </c>
      <c r="Q103" s="39"/>
      <c r="R103" s="72" t="str">
        <f t="shared" si="68"/>
        <v/>
      </c>
      <c r="S103" s="39"/>
      <c r="T103" s="72" t="str">
        <f t="shared" si="69"/>
        <v/>
      </c>
      <c r="U103" s="39"/>
      <c r="V103" s="72" t="str">
        <f t="shared" si="53"/>
        <v/>
      </c>
      <c r="W103" s="72" t="str">
        <f t="shared" si="70"/>
        <v/>
      </c>
      <c r="X103" s="39"/>
      <c r="Y103" s="72" t="str">
        <f t="shared" si="54"/>
        <v/>
      </c>
      <c r="Z103" s="72" t="str">
        <f t="shared" si="71"/>
        <v/>
      </c>
      <c r="AA103" s="39"/>
      <c r="AB103" s="72" t="str">
        <f t="shared" si="55"/>
        <v/>
      </c>
      <c r="AC103" s="72" t="str">
        <f t="shared" si="72"/>
        <v/>
      </c>
      <c r="AD103" s="39"/>
      <c r="AE103" s="72" t="str">
        <f t="shared" si="56"/>
        <v/>
      </c>
      <c r="AF103" s="72" t="str">
        <f t="shared" si="73"/>
        <v/>
      </c>
      <c r="AG103" s="39"/>
      <c r="AH103" s="72" t="str">
        <f t="shared" si="57"/>
        <v/>
      </c>
      <c r="AI103" s="72" t="str">
        <f t="shared" si="74"/>
        <v/>
      </c>
      <c r="AJ103" s="39"/>
      <c r="AK103" s="72" t="str">
        <f t="shared" si="75"/>
        <v/>
      </c>
      <c r="AL103" s="72" t="str">
        <f t="shared" si="76"/>
        <v/>
      </c>
      <c r="AM103" s="39"/>
      <c r="AN103" s="72" t="str">
        <f t="shared" si="58"/>
        <v/>
      </c>
      <c r="AO103" s="72" t="str">
        <f t="shared" si="77"/>
        <v/>
      </c>
      <c r="AP103" s="39"/>
      <c r="AQ103" s="72" t="str">
        <f t="shared" si="59"/>
        <v/>
      </c>
      <c r="AR103" s="72" t="str">
        <f t="shared" si="78"/>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60"/>
        <v/>
      </c>
      <c r="AW103" s="72" t="str">
        <f t="shared" si="61"/>
        <v/>
      </c>
      <c r="AX103" s="39"/>
      <c r="AY103" s="40" t="str">
        <f>IF(ISERROR(IF($K103&lt;=$F$15,VLOOKUP($I103,'表4）CO2価格'!$A$7:$E$67,VLOOKUP($F$48,'表4）CO2価格'!$H$10:$I$12,2,0),0)*$F$8/1000,"")),0,IF($K103&lt;=$F$15,VLOOKUP($I103,'表4）CO2価格'!$A$7:$E$67,VLOOKUP($F$48,'表4）CO2価格'!$H$10:$I$12,2,0),0)*$F$8/1000,""))</f>
        <v/>
      </c>
      <c r="AZ103" s="39"/>
      <c r="BA103" s="42" t="str">
        <f t="shared" si="62"/>
        <v/>
      </c>
      <c r="BB103" s="72" t="str">
        <f t="shared" si="79"/>
        <v/>
      </c>
      <c r="BC103" s="39"/>
      <c r="BD103" s="72" t="str">
        <f t="shared" si="63"/>
        <v/>
      </c>
      <c r="BE103" s="72" t="str">
        <f t="shared" si="80"/>
        <v/>
      </c>
      <c r="BF103" s="39"/>
      <c r="BG103" s="42" t="str">
        <f t="shared" si="64"/>
        <v/>
      </c>
      <c r="BH103" s="72" t="str">
        <f t="shared" si="81"/>
        <v/>
      </c>
      <c r="BI103" s="39"/>
      <c r="BJ103" s="40" t="str">
        <f t="shared" si="82"/>
        <v/>
      </c>
      <c r="BK103" s="157" t="str">
        <f t="shared" si="83"/>
        <v/>
      </c>
      <c r="BL103" s="157" t="str">
        <f t="shared" si="65"/>
        <v/>
      </c>
      <c r="BM103" s="72"/>
      <c r="BN103" s="72" t="str">
        <f t="shared" si="84"/>
        <v/>
      </c>
      <c r="BO103" s="72" t="str">
        <f t="shared" si="85"/>
        <v/>
      </c>
      <c r="BP103" s="39"/>
      <c r="BQ103" s="72" t="str">
        <f t="shared" si="66"/>
        <v/>
      </c>
      <c r="BR103" s="72" t="str">
        <f t="shared" si="86"/>
        <v/>
      </c>
    </row>
    <row r="104" spans="4:70" x14ac:dyDescent="0.15">
      <c r="E104" s="81" t="s">
        <v>203</v>
      </c>
      <c r="F104" s="91">
        <f>IF(ISERROR(F60*(1/F61)/F62),0,F60*(1/F61)/F62)</f>
        <v>0</v>
      </c>
      <c r="G104" s="81" t="s">
        <v>132</v>
      </c>
      <c r="I104" s="322">
        <f t="shared" si="87"/>
        <v>2119</v>
      </c>
      <c r="J104" s="71"/>
      <c r="K104" s="71">
        <f t="shared" si="88"/>
        <v>90</v>
      </c>
      <c r="L104" s="71"/>
      <c r="M104" s="7">
        <f t="shared" si="51"/>
        <v>6.9927785738485654E-2</v>
      </c>
      <c r="N104" s="71"/>
      <c r="O104" s="10" t="str">
        <f t="shared" si="67"/>
        <v/>
      </c>
      <c r="P104" s="29" t="str">
        <f t="shared" si="52"/>
        <v/>
      </c>
      <c r="Q104" s="71"/>
      <c r="R104" s="10" t="str">
        <f t="shared" si="68"/>
        <v/>
      </c>
      <c r="S104" s="71"/>
      <c r="T104" s="10" t="str">
        <f t="shared" si="69"/>
        <v/>
      </c>
      <c r="U104" s="71"/>
      <c r="V104" s="10" t="str">
        <f t="shared" si="53"/>
        <v/>
      </c>
      <c r="W104" s="10" t="str">
        <f t="shared" si="70"/>
        <v/>
      </c>
      <c r="X104" s="71"/>
      <c r="Y104" s="10" t="str">
        <f t="shared" si="54"/>
        <v/>
      </c>
      <c r="Z104" s="10" t="str">
        <f t="shared" si="71"/>
        <v/>
      </c>
      <c r="AA104" s="71"/>
      <c r="AB104" s="10" t="str">
        <f t="shared" si="55"/>
        <v/>
      </c>
      <c r="AC104" s="10" t="str">
        <f t="shared" si="72"/>
        <v/>
      </c>
      <c r="AD104" s="71"/>
      <c r="AE104" s="10" t="str">
        <f t="shared" si="56"/>
        <v/>
      </c>
      <c r="AF104" s="10" t="str">
        <f t="shared" si="73"/>
        <v/>
      </c>
      <c r="AG104" s="71"/>
      <c r="AH104" s="10" t="str">
        <f t="shared" si="57"/>
        <v/>
      </c>
      <c r="AI104" s="10" t="str">
        <f t="shared" si="74"/>
        <v/>
      </c>
      <c r="AJ104" s="71"/>
      <c r="AK104" s="10" t="str">
        <f t="shared" si="75"/>
        <v/>
      </c>
      <c r="AL104" s="10" t="str">
        <f t="shared" si="76"/>
        <v/>
      </c>
      <c r="AM104" s="71"/>
      <c r="AN104" s="10" t="str">
        <f t="shared" si="58"/>
        <v/>
      </c>
      <c r="AO104" s="10" t="str">
        <f t="shared" si="77"/>
        <v/>
      </c>
      <c r="AP104" s="71"/>
      <c r="AQ104" s="10" t="str">
        <f t="shared" si="59"/>
        <v/>
      </c>
      <c r="AR104" s="10" t="str">
        <f t="shared" si="78"/>
        <v/>
      </c>
      <c r="AS104" s="71"/>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U104" s="71"/>
      <c r="AV104" s="10" t="str">
        <f t="shared" si="60"/>
        <v/>
      </c>
      <c r="AW104" s="10" t="str">
        <f t="shared" si="61"/>
        <v/>
      </c>
      <c r="AX104" s="71"/>
      <c r="AY104" s="7" t="str">
        <f>IF(ISERROR(IF($K104&lt;=$F$15,VLOOKUP($I104,'表4）CO2価格'!$A$7:$E$67,VLOOKUP($F$48,'表4）CO2価格'!$H$10:$I$12,2,0),0)*$F$8/1000,"")),0,IF($K104&lt;=$F$15,VLOOKUP($I104,'表4）CO2価格'!$A$7:$E$67,VLOOKUP($F$48,'表4）CO2価格'!$H$10:$I$12,2,0),0)*$F$8/1000,""))</f>
        <v/>
      </c>
      <c r="AZ104" s="71"/>
      <c r="BA104" s="11" t="str">
        <f t="shared" si="62"/>
        <v/>
      </c>
      <c r="BB104" s="10" t="str">
        <f t="shared" si="79"/>
        <v/>
      </c>
      <c r="BC104" s="71"/>
      <c r="BD104" s="10" t="str">
        <f t="shared" si="63"/>
        <v/>
      </c>
      <c r="BE104" s="10" t="str">
        <f t="shared" si="80"/>
        <v/>
      </c>
      <c r="BF104" s="71"/>
      <c r="BG104" s="11" t="str">
        <f t="shared" si="64"/>
        <v/>
      </c>
      <c r="BH104" s="10" t="str">
        <f t="shared" si="81"/>
        <v/>
      </c>
      <c r="BJ104" s="7" t="str">
        <f t="shared" si="82"/>
        <v/>
      </c>
      <c r="BK104" s="158" t="str">
        <f t="shared" si="83"/>
        <v/>
      </c>
      <c r="BL104" s="158" t="str">
        <f t="shared" si="65"/>
        <v/>
      </c>
      <c r="BM104" s="10"/>
      <c r="BN104" s="10" t="str">
        <f t="shared" si="84"/>
        <v/>
      </c>
      <c r="BO104" s="10" t="str">
        <f t="shared" si="85"/>
        <v/>
      </c>
      <c r="BQ104" s="10" t="str">
        <f t="shared" si="66"/>
        <v/>
      </c>
      <c r="BR104" s="10" t="str">
        <f t="shared" si="86"/>
        <v/>
      </c>
    </row>
    <row r="105" spans="4:70" x14ac:dyDescent="0.15">
      <c r="E105" s="9" t="s">
        <v>367</v>
      </c>
      <c r="F105" s="91">
        <f>F64</f>
        <v>0.6</v>
      </c>
      <c r="G105" s="81" t="s">
        <v>132</v>
      </c>
      <c r="I105" s="38">
        <f t="shared" si="87"/>
        <v>2120</v>
      </c>
      <c r="J105" s="39"/>
      <c r="K105" s="39">
        <f t="shared" si="88"/>
        <v>91</v>
      </c>
      <c r="L105" s="39"/>
      <c r="M105" s="40">
        <f t="shared" si="51"/>
        <v>6.7891054115034627E-2</v>
      </c>
      <c r="N105" s="39"/>
      <c r="O105" s="72" t="str">
        <f t="shared" si="67"/>
        <v/>
      </c>
      <c r="P105" s="41" t="str">
        <f t="shared" si="52"/>
        <v/>
      </c>
      <c r="Q105" s="39"/>
      <c r="R105" s="72" t="str">
        <f t="shared" si="68"/>
        <v/>
      </c>
      <c r="S105" s="39"/>
      <c r="T105" s="72" t="str">
        <f t="shared" si="69"/>
        <v/>
      </c>
      <c r="U105" s="39"/>
      <c r="V105" s="72" t="str">
        <f t="shared" si="53"/>
        <v/>
      </c>
      <c r="W105" s="72" t="str">
        <f t="shared" si="70"/>
        <v/>
      </c>
      <c r="X105" s="39"/>
      <c r="Y105" s="72" t="str">
        <f t="shared" si="54"/>
        <v/>
      </c>
      <c r="Z105" s="72" t="str">
        <f t="shared" si="71"/>
        <v/>
      </c>
      <c r="AA105" s="39"/>
      <c r="AB105" s="72" t="str">
        <f t="shared" si="55"/>
        <v/>
      </c>
      <c r="AC105" s="72" t="str">
        <f t="shared" si="72"/>
        <v/>
      </c>
      <c r="AD105" s="39"/>
      <c r="AE105" s="72" t="str">
        <f t="shared" si="56"/>
        <v/>
      </c>
      <c r="AF105" s="72" t="str">
        <f t="shared" si="73"/>
        <v/>
      </c>
      <c r="AG105" s="39"/>
      <c r="AH105" s="72" t="str">
        <f t="shared" si="57"/>
        <v/>
      </c>
      <c r="AI105" s="72" t="str">
        <f t="shared" si="74"/>
        <v/>
      </c>
      <c r="AJ105" s="39"/>
      <c r="AK105" s="72" t="str">
        <f t="shared" si="75"/>
        <v/>
      </c>
      <c r="AL105" s="72" t="str">
        <f t="shared" si="76"/>
        <v/>
      </c>
      <c r="AM105" s="39"/>
      <c r="AN105" s="72" t="str">
        <f t="shared" si="58"/>
        <v/>
      </c>
      <c r="AO105" s="72" t="str">
        <f t="shared" si="77"/>
        <v/>
      </c>
      <c r="AP105" s="39"/>
      <c r="AQ105" s="72" t="str">
        <f t="shared" si="59"/>
        <v/>
      </c>
      <c r="AR105" s="72" t="str">
        <f t="shared" si="78"/>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60"/>
        <v/>
      </c>
      <c r="AW105" s="72" t="str">
        <f t="shared" si="61"/>
        <v/>
      </c>
      <c r="AX105" s="39"/>
      <c r="AY105" s="40" t="str">
        <f>IF(ISERROR(IF($K105&lt;=$F$15,VLOOKUP($I105,'表4）CO2価格'!$A$7:$E$67,VLOOKUP($F$48,'表4）CO2価格'!$H$10:$I$12,2,0),0)*$F$8/1000,"")),0,IF($K105&lt;=$F$15,VLOOKUP($I105,'表4）CO2価格'!$A$7:$E$67,VLOOKUP($F$48,'表4）CO2価格'!$H$10:$I$12,2,0),0)*$F$8/1000,""))</f>
        <v/>
      </c>
      <c r="AZ105" s="39"/>
      <c r="BA105" s="42" t="str">
        <f t="shared" si="62"/>
        <v/>
      </c>
      <c r="BB105" s="72" t="str">
        <f t="shared" si="79"/>
        <v/>
      </c>
      <c r="BC105" s="39"/>
      <c r="BD105" s="72" t="str">
        <f t="shared" si="63"/>
        <v/>
      </c>
      <c r="BE105" s="72" t="str">
        <f t="shared" si="80"/>
        <v/>
      </c>
      <c r="BF105" s="39"/>
      <c r="BG105" s="42" t="str">
        <f t="shared" si="64"/>
        <v/>
      </c>
      <c r="BH105" s="72" t="str">
        <f t="shared" si="81"/>
        <v/>
      </c>
      <c r="BI105" s="39"/>
      <c r="BJ105" s="40" t="str">
        <f t="shared" si="82"/>
        <v/>
      </c>
      <c r="BK105" s="157" t="str">
        <f t="shared" si="83"/>
        <v/>
      </c>
      <c r="BL105" s="157" t="str">
        <f t="shared" si="65"/>
        <v/>
      </c>
      <c r="BM105" s="72"/>
      <c r="BN105" s="72" t="str">
        <f t="shared" si="84"/>
        <v/>
      </c>
      <c r="BO105" s="72" t="str">
        <f t="shared" si="85"/>
        <v/>
      </c>
      <c r="BP105" s="39"/>
      <c r="BQ105" s="72" t="str">
        <f t="shared" si="66"/>
        <v/>
      </c>
      <c r="BR105" s="72" t="str">
        <f t="shared" si="86"/>
        <v/>
      </c>
    </row>
    <row r="106" spans="4:70" x14ac:dyDescent="0.15">
      <c r="F106" s="93"/>
      <c r="I106" s="322">
        <f t="shared" si="87"/>
        <v>2121</v>
      </c>
      <c r="J106" s="71"/>
      <c r="K106" s="71">
        <f t="shared" si="88"/>
        <v>92</v>
      </c>
      <c r="L106" s="71"/>
      <c r="M106" s="7">
        <f t="shared" si="51"/>
        <v>6.5913644771878277E-2</v>
      </c>
      <c r="N106" s="71"/>
      <c r="O106" s="10" t="str">
        <f t="shared" si="67"/>
        <v/>
      </c>
      <c r="P106" s="29" t="str">
        <f t="shared" si="52"/>
        <v/>
      </c>
      <c r="Q106" s="71"/>
      <c r="R106" s="10" t="str">
        <f t="shared" si="68"/>
        <v/>
      </c>
      <c r="S106" s="71"/>
      <c r="T106" s="10" t="str">
        <f t="shared" si="69"/>
        <v/>
      </c>
      <c r="U106" s="71"/>
      <c r="V106" s="10" t="str">
        <f t="shared" si="53"/>
        <v/>
      </c>
      <c r="W106" s="10" t="str">
        <f t="shared" si="70"/>
        <v/>
      </c>
      <c r="X106" s="71"/>
      <c r="Y106" s="10" t="str">
        <f t="shared" si="54"/>
        <v/>
      </c>
      <c r="Z106" s="10" t="str">
        <f t="shared" si="71"/>
        <v/>
      </c>
      <c r="AA106" s="71"/>
      <c r="AB106" s="10" t="str">
        <f t="shared" si="55"/>
        <v/>
      </c>
      <c r="AC106" s="10" t="str">
        <f t="shared" si="72"/>
        <v/>
      </c>
      <c r="AD106" s="71"/>
      <c r="AE106" s="10" t="str">
        <f t="shared" si="56"/>
        <v/>
      </c>
      <c r="AF106" s="10" t="str">
        <f t="shared" si="73"/>
        <v/>
      </c>
      <c r="AG106" s="71"/>
      <c r="AH106" s="10" t="str">
        <f t="shared" si="57"/>
        <v/>
      </c>
      <c r="AI106" s="10" t="str">
        <f t="shared" si="74"/>
        <v/>
      </c>
      <c r="AJ106" s="71"/>
      <c r="AK106" s="10" t="str">
        <f t="shared" si="75"/>
        <v/>
      </c>
      <c r="AL106" s="10" t="str">
        <f t="shared" si="76"/>
        <v/>
      </c>
      <c r="AM106" s="71"/>
      <c r="AN106" s="10" t="str">
        <f t="shared" si="58"/>
        <v/>
      </c>
      <c r="AO106" s="10" t="str">
        <f t="shared" si="77"/>
        <v/>
      </c>
      <c r="AP106" s="71"/>
      <c r="AQ106" s="10" t="str">
        <f t="shared" si="59"/>
        <v/>
      </c>
      <c r="AR106" s="10" t="str">
        <f t="shared" si="78"/>
        <v/>
      </c>
      <c r="AS106" s="71"/>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U106" s="71"/>
      <c r="AV106" s="10" t="str">
        <f t="shared" si="60"/>
        <v/>
      </c>
      <c r="AW106" s="10" t="str">
        <f t="shared" si="61"/>
        <v/>
      </c>
      <c r="AX106" s="71"/>
      <c r="AY106" s="7" t="str">
        <f>IF(ISERROR(IF($K106&lt;=$F$15,VLOOKUP($I106,'表4）CO2価格'!$A$7:$E$67,VLOOKUP($F$48,'表4）CO2価格'!$H$10:$I$12,2,0),0)*$F$8/1000,"")),0,IF($K106&lt;=$F$15,VLOOKUP($I106,'表4）CO2価格'!$A$7:$E$67,VLOOKUP($F$48,'表4）CO2価格'!$H$10:$I$12,2,0),0)*$F$8/1000,""))</f>
        <v/>
      </c>
      <c r="AZ106" s="71"/>
      <c r="BA106" s="11" t="str">
        <f t="shared" si="62"/>
        <v/>
      </c>
      <c r="BB106" s="10" t="str">
        <f t="shared" si="79"/>
        <v/>
      </c>
      <c r="BC106" s="71"/>
      <c r="BD106" s="10" t="str">
        <f t="shared" si="63"/>
        <v/>
      </c>
      <c r="BE106" s="10" t="str">
        <f t="shared" si="80"/>
        <v/>
      </c>
      <c r="BF106" s="71"/>
      <c r="BG106" s="11" t="str">
        <f t="shared" si="64"/>
        <v/>
      </c>
      <c r="BH106" s="10" t="str">
        <f t="shared" si="81"/>
        <v/>
      </c>
      <c r="BJ106" s="7" t="str">
        <f t="shared" si="82"/>
        <v/>
      </c>
      <c r="BK106" s="158" t="str">
        <f t="shared" si="83"/>
        <v/>
      </c>
      <c r="BL106" s="158" t="str">
        <f t="shared" si="65"/>
        <v/>
      </c>
      <c r="BM106" s="10"/>
      <c r="BN106" s="10" t="str">
        <f t="shared" si="84"/>
        <v/>
      </c>
      <c r="BO106" s="10" t="str">
        <f t="shared" si="85"/>
        <v/>
      </c>
      <c r="BQ106" s="10" t="str">
        <f t="shared" si="66"/>
        <v/>
      </c>
      <c r="BR106" s="10" t="str">
        <f t="shared" si="86"/>
        <v/>
      </c>
    </row>
    <row r="107" spans="4:70" ht="15" x14ac:dyDescent="0.15">
      <c r="D107" s="116" t="s">
        <v>204</v>
      </c>
      <c r="F107" s="94">
        <f>SUBTOTAL(9,F111:F112)</f>
        <v>-4.8110288461502879</v>
      </c>
      <c r="G107" s="81" t="s">
        <v>132</v>
      </c>
      <c r="I107" s="38">
        <f t="shared" si="87"/>
        <v>2122</v>
      </c>
      <c r="J107" s="39"/>
      <c r="K107" s="39">
        <f t="shared" si="88"/>
        <v>93</v>
      </c>
      <c r="L107" s="39"/>
      <c r="M107" s="40">
        <f t="shared" si="51"/>
        <v>6.3993829875609989E-2</v>
      </c>
      <c r="N107" s="39"/>
      <c r="O107" s="72" t="str">
        <f t="shared" si="67"/>
        <v/>
      </c>
      <c r="P107" s="41" t="str">
        <f t="shared" si="52"/>
        <v/>
      </c>
      <c r="Q107" s="39"/>
      <c r="R107" s="72" t="str">
        <f t="shared" si="68"/>
        <v/>
      </c>
      <c r="S107" s="39"/>
      <c r="T107" s="72" t="str">
        <f t="shared" si="69"/>
        <v/>
      </c>
      <c r="U107" s="39"/>
      <c r="V107" s="72" t="str">
        <f t="shared" si="53"/>
        <v/>
      </c>
      <c r="W107" s="72" t="str">
        <f t="shared" si="70"/>
        <v/>
      </c>
      <c r="X107" s="39"/>
      <c r="Y107" s="72" t="str">
        <f t="shared" si="54"/>
        <v/>
      </c>
      <c r="Z107" s="72" t="str">
        <f t="shared" si="71"/>
        <v/>
      </c>
      <c r="AA107" s="39"/>
      <c r="AB107" s="72" t="str">
        <f t="shared" si="55"/>
        <v/>
      </c>
      <c r="AC107" s="72" t="str">
        <f t="shared" si="72"/>
        <v/>
      </c>
      <c r="AD107" s="39"/>
      <c r="AE107" s="72" t="str">
        <f t="shared" si="56"/>
        <v/>
      </c>
      <c r="AF107" s="72" t="str">
        <f t="shared" si="73"/>
        <v/>
      </c>
      <c r="AG107" s="39"/>
      <c r="AH107" s="72" t="str">
        <f t="shared" si="57"/>
        <v/>
      </c>
      <c r="AI107" s="72" t="str">
        <f t="shared" si="74"/>
        <v/>
      </c>
      <c r="AJ107" s="39"/>
      <c r="AK107" s="72" t="str">
        <f t="shared" si="75"/>
        <v/>
      </c>
      <c r="AL107" s="72" t="str">
        <f t="shared" si="76"/>
        <v/>
      </c>
      <c r="AM107" s="39"/>
      <c r="AN107" s="72" t="str">
        <f t="shared" si="58"/>
        <v/>
      </c>
      <c r="AO107" s="72" t="str">
        <f t="shared" si="77"/>
        <v/>
      </c>
      <c r="AP107" s="39"/>
      <c r="AQ107" s="72" t="str">
        <f t="shared" si="59"/>
        <v/>
      </c>
      <c r="AR107" s="72" t="str">
        <f t="shared" si="78"/>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60"/>
        <v/>
      </c>
      <c r="AW107" s="72" t="str">
        <f t="shared" si="61"/>
        <v/>
      </c>
      <c r="AX107" s="39"/>
      <c r="AY107" s="40" t="str">
        <f>IF(ISERROR(IF($K107&lt;=$F$15,VLOOKUP($I107,'表4）CO2価格'!$A$7:$E$67,VLOOKUP($F$48,'表4）CO2価格'!$H$10:$I$12,2,0),0)*$F$8/1000,"")),0,IF($K107&lt;=$F$15,VLOOKUP($I107,'表4）CO2価格'!$A$7:$E$67,VLOOKUP($F$48,'表4）CO2価格'!$H$10:$I$12,2,0),0)*$F$8/1000,""))</f>
        <v/>
      </c>
      <c r="AZ107" s="39"/>
      <c r="BA107" s="42" t="str">
        <f t="shared" si="62"/>
        <v/>
      </c>
      <c r="BB107" s="72" t="str">
        <f t="shared" si="79"/>
        <v/>
      </c>
      <c r="BC107" s="39"/>
      <c r="BD107" s="72" t="str">
        <f t="shared" si="63"/>
        <v/>
      </c>
      <c r="BE107" s="72" t="str">
        <f t="shared" si="80"/>
        <v/>
      </c>
      <c r="BF107" s="39"/>
      <c r="BG107" s="42" t="str">
        <f t="shared" si="64"/>
        <v/>
      </c>
      <c r="BH107" s="72" t="str">
        <f t="shared" si="81"/>
        <v/>
      </c>
      <c r="BI107" s="39"/>
      <c r="BJ107" s="40" t="str">
        <f t="shared" si="82"/>
        <v/>
      </c>
      <c r="BK107" s="157" t="str">
        <f t="shared" si="83"/>
        <v/>
      </c>
      <c r="BL107" s="157" t="str">
        <f t="shared" si="65"/>
        <v/>
      </c>
      <c r="BM107" s="72"/>
      <c r="BN107" s="72" t="str">
        <f t="shared" si="84"/>
        <v/>
      </c>
      <c r="BO107" s="72" t="str">
        <f t="shared" si="85"/>
        <v/>
      </c>
      <c r="BP107" s="39"/>
      <c r="BQ107" s="72" t="str">
        <f t="shared" si="66"/>
        <v/>
      </c>
      <c r="BR107" s="72" t="str">
        <f t="shared" si="86"/>
        <v/>
      </c>
    </row>
    <row r="108" spans="4:70" ht="15" x14ac:dyDescent="0.15">
      <c r="D108" s="116"/>
      <c r="F108" s="93"/>
      <c r="I108" s="322">
        <f t="shared" si="87"/>
        <v>2123</v>
      </c>
      <c r="J108" s="71"/>
      <c r="K108" s="71">
        <f t="shared" si="88"/>
        <v>94</v>
      </c>
      <c r="L108" s="71"/>
      <c r="M108" s="7">
        <f t="shared" si="51"/>
        <v>6.212993191806794E-2</v>
      </c>
      <c r="N108" s="71"/>
      <c r="O108" s="10" t="str">
        <f t="shared" si="67"/>
        <v/>
      </c>
      <c r="P108" s="29" t="str">
        <f t="shared" si="52"/>
        <v/>
      </c>
      <c r="Q108" s="71"/>
      <c r="R108" s="10" t="str">
        <f t="shared" si="68"/>
        <v/>
      </c>
      <c r="S108" s="71"/>
      <c r="T108" s="10" t="str">
        <f t="shared" si="69"/>
        <v/>
      </c>
      <c r="U108" s="71"/>
      <c r="V108" s="10" t="str">
        <f t="shared" si="53"/>
        <v/>
      </c>
      <c r="W108" s="10" t="str">
        <f t="shared" si="70"/>
        <v/>
      </c>
      <c r="X108" s="71"/>
      <c r="Y108" s="10" t="str">
        <f t="shared" si="54"/>
        <v/>
      </c>
      <c r="Z108" s="10" t="str">
        <f t="shared" si="71"/>
        <v/>
      </c>
      <c r="AA108" s="71"/>
      <c r="AB108" s="10" t="str">
        <f t="shared" si="55"/>
        <v/>
      </c>
      <c r="AC108" s="10" t="str">
        <f t="shared" si="72"/>
        <v/>
      </c>
      <c r="AD108" s="71"/>
      <c r="AE108" s="10" t="str">
        <f t="shared" si="56"/>
        <v/>
      </c>
      <c r="AF108" s="10" t="str">
        <f t="shared" si="73"/>
        <v/>
      </c>
      <c r="AG108" s="71"/>
      <c r="AH108" s="10" t="str">
        <f t="shared" si="57"/>
        <v/>
      </c>
      <c r="AI108" s="10" t="str">
        <f t="shared" si="74"/>
        <v/>
      </c>
      <c r="AJ108" s="71"/>
      <c r="AK108" s="10" t="str">
        <f t="shared" si="75"/>
        <v/>
      </c>
      <c r="AL108" s="10" t="str">
        <f t="shared" si="76"/>
        <v/>
      </c>
      <c r="AM108" s="71"/>
      <c r="AN108" s="10" t="str">
        <f t="shared" si="58"/>
        <v/>
      </c>
      <c r="AO108" s="10" t="str">
        <f t="shared" si="77"/>
        <v/>
      </c>
      <c r="AP108" s="71"/>
      <c r="AQ108" s="10" t="str">
        <f t="shared" si="59"/>
        <v/>
      </c>
      <c r="AR108" s="10" t="str">
        <f t="shared" si="78"/>
        <v/>
      </c>
      <c r="AS108" s="71"/>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U108" s="71"/>
      <c r="AV108" s="10" t="str">
        <f t="shared" si="60"/>
        <v/>
      </c>
      <c r="AW108" s="10" t="str">
        <f t="shared" si="61"/>
        <v/>
      </c>
      <c r="AX108" s="71"/>
      <c r="AY108" s="7" t="str">
        <f>IF(ISERROR(IF($K108&lt;=$F$15,VLOOKUP($I108,'表4）CO2価格'!$A$7:$E$67,VLOOKUP($F$48,'表4）CO2価格'!$H$10:$I$12,2,0),0)*$F$8/1000,"")),0,IF($K108&lt;=$F$15,VLOOKUP($I108,'表4）CO2価格'!$A$7:$E$67,VLOOKUP($F$48,'表4）CO2価格'!$H$10:$I$12,2,0),0)*$F$8/1000,""))</f>
        <v/>
      </c>
      <c r="AZ108" s="71"/>
      <c r="BA108" s="11" t="str">
        <f t="shared" si="62"/>
        <v/>
      </c>
      <c r="BB108" s="10" t="str">
        <f t="shared" si="79"/>
        <v/>
      </c>
      <c r="BC108" s="71"/>
      <c r="BD108" s="10" t="str">
        <f t="shared" si="63"/>
        <v/>
      </c>
      <c r="BE108" s="10" t="str">
        <f t="shared" si="80"/>
        <v/>
      </c>
      <c r="BF108" s="71"/>
      <c r="BG108" s="11" t="str">
        <f t="shared" si="64"/>
        <v/>
      </c>
      <c r="BH108" s="10" t="str">
        <f t="shared" si="81"/>
        <v/>
      </c>
      <c r="BJ108" s="7" t="str">
        <f t="shared" si="82"/>
        <v/>
      </c>
      <c r="BK108" s="158" t="str">
        <f t="shared" si="83"/>
        <v/>
      </c>
      <c r="BL108" s="158" t="str">
        <f t="shared" si="65"/>
        <v/>
      </c>
      <c r="BM108" s="10"/>
      <c r="BN108" s="10" t="str">
        <f t="shared" si="84"/>
        <v/>
      </c>
      <c r="BO108" s="10" t="str">
        <f t="shared" si="85"/>
        <v/>
      </c>
      <c r="BQ108" s="10" t="str">
        <f t="shared" si="66"/>
        <v/>
      </c>
      <c r="BR108" s="10" t="str">
        <f t="shared" si="86"/>
        <v/>
      </c>
    </row>
    <row r="109" spans="4:70" x14ac:dyDescent="0.15">
      <c r="D109" s="101" t="s">
        <v>205</v>
      </c>
      <c r="E109" s="101"/>
      <c r="F109" s="92"/>
      <c r="G109" s="101"/>
      <c r="I109" s="38">
        <f t="shared" si="87"/>
        <v>2124</v>
      </c>
      <c r="J109" s="39"/>
      <c r="K109" s="39">
        <f t="shared" si="88"/>
        <v>95</v>
      </c>
      <c r="L109" s="39"/>
      <c r="M109" s="40">
        <f t="shared" si="51"/>
        <v>6.0320322250551395E-2</v>
      </c>
      <c r="N109" s="39"/>
      <c r="O109" s="72" t="str">
        <f t="shared" si="67"/>
        <v/>
      </c>
      <c r="P109" s="41" t="str">
        <f t="shared" si="52"/>
        <v/>
      </c>
      <c r="Q109" s="39"/>
      <c r="R109" s="72" t="str">
        <f t="shared" si="68"/>
        <v/>
      </c>
      <c r="S109" s="39"/>
      <c r="T109" s="72" t="str">
        <f t="shared" si="69"/>
        <v/>
      </c>
      <c r="U109" s="39"/>
      <c r="V109" s="72" t="str">
        <f t="shared" si="53"/>
        <v/>
      </c>
      <c r="W109" s="72" t="str">
        <f t="shared" si="70"/>
        <v/>
      </c>
      <c r="X109" s="39"/>
      <c r="Y109" s="72" t="str">
        <f t="shared" si="54"/>
        <v/>
      </c>
      <c r="Z109" s="72" t="str">
        <f t="shared" si="71"/>
        <v/>
      </c>
      <c r="AA109" s="39"/>
      <c r="AB109" s="72" t="str">
        <f t="shared" si="55"/>
        <v/>
      </c>
      <c r="AC109" s="72" t="str">
        <f t="shared" si="72"/>
        <v/>
      </c>
      <c r="AD109" s="39"/>
      <c r="AE109" s="72" t="str">
        <f t="shared" si="56"/>
        <v/>
      </c>
      <c r="AF109" s="72" t="str">
        <f t="shared" si="73"/>
        <v/>
      </c>
      <c r="AG109" s="39"/>
      <c r="AH109" s="72" t="str">
        <f t="shared" si="57"/>
        <v/>
      </c>
      <c r="AI109" s="72" t="str">
        <f t="shared" si="74"/>
        <v/>
      </c>
      <c r="AJ109" s="39"/>
      <c r="AK109" s="72" t="str">
        <f t="shared" si="75"/>
        <v/>
      </c>
      <c r="AL109" s="72" t="str">
        <f t="shared" si="76"/>
        <v/>
      </c>
      <c r="AM109" s="39"/>
      <c r="AN109" s="72" t="str">
        <f t="shared" si="58"/>
        <v/>
      </c>
      <c r="AO109" s="72" t="str">
        <f t="shared" si="77"/>
        <v/>
      </c>
      <c r="AP109" s="39"/>
      <c r="AQ109" s="72" t="str">
        <f t="shared" si="59"/>
        <v/>
      </c>
      <c r="AR109" s="72" t="str">
        <f t="shared" si="78"/>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60"/>
        <v/>
      </c>
      <c r="AW109" s="72" t="str">
        <f t="shared" si="61"/>
        <v/>
      </c>
      <c r="AX109" s="39"/>
      <c r="AY109" s="40" t="str">
        <f>IF(ISERROR(IF($K109&lt;=$F$15,VLOOKUP($I109,'表4）CO2価格'!$A$7:$E$67,VLOOKUP($F$48,'表4）CO2価格'!$H$10:$I$12,2,0),0)*$F$8/1000,"")),0,IF($K109&lt;=$F$15,VLOOKUP($I109,'表4）CO2価格'!$A$7:$E$67,VLOOKUP($F$48,'表4）CO2価格'!$H$10:$I$12,2,0),0)*$F$8/1000,""))</f>
        <v/>
      </c>
      <c r="AZ109" s="39"/>
      <c r="BA109" s="42" t="str">
        <f t="shared" si="62"/>
        <v/>
      </c>
      <c r="BB109" s="72" t="str">
        <f t="shared" si="79"/>
        <v/>
      </c>
      <c r="BC109" s="39"/>
      <c r="BD109" s="72" t="str">
        <f t="shared" si="63"/>
        <v/>
      </c>
      <c r="BE109" s="72" t="str">
        <f t="shared" si="80"/>
        <v/>
      </c>
      <c r="BF109" s="39"/>
      <c r="BG109" s="42" t="str">
        <f t="shared" si="64"/>
        <v/>
      </c>
      <c r="BH109" s="72" t="str">
        <f t="shared" si="81"/>
        <v/>
      </c>
      <c r="BI109" s="39"/>
      <c r="BJ109" s="40" t="str">
        <f t="shared" si="82"/>
        <v/>
      </c>
      <c r="BK109" s="157" t="str">
        <f t="shared" si="83"/>
        <v/>
      </c>
      <c r="BL109" s="157" t="str">
        <f t="shared" si="65"/>
        <v/>
      </c>
      <c r="BM109" s="72"/>
      <c r="BN109" s="72" t="str">
        <f t="shared" si="84"/>
        <v/>
      </c>
      <c r="BO109" s="72" t="str">
        <f t="shared" si="85"/>
        <v/>
      </c>
      <c r="BP109" s="39"/>
      <c r="BQ109" s="72" t="str">
        <f t="shared" si="66"/>
        <v/>
      </c>
      <c r="BR109" s="72" t="str">
        <f t="shared" si="86"/>
        <v/>
      </c>
    </row>
    <row r="110" spans="4:70" ht="15" x14ac:dyDescent="0.15">
      <c r="D110" s="116"/>
      <c r="F110" s="93"/>
      <c r="I110" s="322">
        <f t="shared" si="87"/>
        <v>2125</v>
      </c>
      <c r="J110" s="71"/>
      <c r="K110" s="71">
        <f t="shared" si="88"/>
        <v>96</v>
      </c>
      <c r="L110" s="71"/>
      <c r="M110" s="7">
        <f t="shared" si="51"/>
        <v>5.8563419660729518E-2</v>
      </c>
      <c r="N110" s="71"/>
      <c r="O110" s="10" t="str">
        <f t="shared" si="67"/>
        <v/>
      </c>
      <c r="P110" s="29" t="str">
        <f t="shared" si="52"/>
        <v/>
      </c>
      <c r="Q110" s="71"/>
      <c r="R110" s="10" t="str">
        <f t="shared" si="68"/>
        <v/>
      </c>
      <c r="S110" s="71"/>
      <c r="T110" s="10" t="str">
        <f t="shared" si="69"/>
        <v/>
      </c>
      <c r="U110" s="71"/>
      <c r="V110" s="10" t="str">
        <f t="shared" si="53"/>
        <v/>
      </c>
      <c r="W110" s="10" t="str">
        <f t="shared" si="70"/>
        <v/>
      </c>
      <c r="X110" s="71"/>
      <c r="Y110" s="10" t="str">
        <f t="shared" si="54"/>
        <v/>
      </c>
      <c r="Z110" s="10" t="str">
        <f t="shared" si="71"/>
        <v/>
      </c>
      <c r="AA110" s="71"/>
      <c r="AB110" s="10" t="str">
        <f t="shared" si="55"/>
        <v/>
      </c>
      <c r="AC110" s="10" t="str">
        <f t="shared" si="72"/>
        <v/>
      </c>
      <c r="AD110" s="71"/>
      <c r="AE110" s="10" t="str">
        <f t="shared" si="56"/>
        <v/>
      </c>
      <c r="AF110" s="10" t="str">
        <f t="shared" si="73"/>
        <v/>
      </c>
      <c r="AG110" s="71"/>
      <c r="AH110" s="10" t="str">
        <f t="shared" si="57"/>
        <v/>
      </c>
      <c r="AI110" s="10" t="str">
        <f t="shared" si="74"/>
        <v/>
      </c>
      <c r="AJ110" s="71"/>
      <c r="AK110" s="10" t="str">
        <f t="shared" si="75"/>
        <v/>
      </c>
      <c r="AL110" s="10" t="str">
        <f t="shared" si="76"/>
        <v/>
      </c>
      <c r="AM110" s="71"/>
      <c r="AN110" s="10" t="str">
        <f t="shared" si="58"/>
        <v/>
      </c>
      <c r="AO110" s="10" t="str">
        <f t="shared" si="77"/>
        <v/>
      </c>
      <c r="AP110" s="71"/>
      <c r="AQ110" s="10" t="str">
        <f t="shared" si="59"/>
        <v/>
      </c>
      <c r="AR110" s="10" t="str">
        <f t="shared" si="78"/>
        <v/>
      </c>
      <c r="AS110" s="71"/>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U110" s="71"/>
      <c r="AV110" s="10" t="str">
        <f t="shared" si="60"/>
        <v/>
      </c>
      <c r="AW110" s="10" t="str">
        <f t="shared" si="61"/>
        <v/>
      </c>
      <c r="AX110" s="71"/>
      <c r="AY110" s="7" t="str">
        <f>IF(ISERROR(IF($K110&lt;=$F$15,VLOOKUP($I110,'表4）CO2価格'!$A$7:$E$67,VLOOKUP($F$48,'表4）CO2価格'!$H$10:$I$12,2,0),0)*$F$8/1000,"")),0,IF($K110&lt;=$F$15,VLOOKUP($I110,'表4）CO2価格'!$A$7:$E$67,VLOOKUP($F$48,'表4）CO2価格'!$H$10:$I$12,2,0),0)*$F$8/1000,""))</f>
        <v/>
      </c>
      <c r="AZ110" s="71"/>
      <c r="BA110" s="11" t="str">
        <f t="shared" si="62"/>
        <v/>
      </c>
      <c r="BB110" s="10" t="str">
        <f t="shared" si="79"/>
        <v/>
      </c>
      <c r="BC110" s="71"/>
      <c r="BD110" s="10" t="str">
        <f t="shared" si="63"/>
        <v/>
      </c>
      <c r="BE110" s="10" t="str">
        <f t="shared" si="80"/>
        <v/>
      </c>
      <c r="BF110" s="71"/>
      <c r="BG110" s="11" t="str">
        <f t="shared" si="64"/>
        <v/>
      </c>
      <c r="BH110" s="10" t="str">
        <f t="shared" si="81"/>
        <v/>
      </c>
      <c r="BJ110" s="7" t="str">
        <f t="shared" si="82"/>
        <v/>
      </c>
      <c r="BK110" s="158" t="str">
        <f t="shared" si="83"/>
        <v/>
      </c>
      <c r="BL110" s="158" t="str">
        <f t="shared" si="65"/>
        <v/>
      </c>
      <c r="BM110" s="10"/>
      <c r="BN110" s="10" t="str">
        <f t="shared" si="84"/>
        <v/>
      </c>
      <c r="BO110" s="10" t="str">
        <f t="shared" si="85"/>
        <v/>
      </c>
      <c r="BQ110" s="10" t="str">
        <f t="shared" si="66"/>
        <v/>
      </c>
      <c r="BR110" s="10" t="str">
        <f t="shared" si="86"/>
        <v/>
      </c>
    </row>
    <row r="111" spans="4:70" ht="15" x14ac:dyDescent="0.15">
      <c r="D111" s="116"/>
      <c r="E111" s="81" t="s">
        <v>206</v>
      </c>
      <c r="F111" s="91">
        <f>-BE116/BR116</f>
        <v>-3.7703845372978968</v>
      </c>
      <c r="G111" s="81" t="s">
        <v>132</v>
      </c>
      <c r="I111" s="38">
        <f t="shared" si="87"/>
        <v>2126</v>
      </c>
      <c r="J111" s="39"/>
      <c r="K111" s="39">
        <f t="shared" si="88"/>
        <v>97</v>
      </c>
      <c r="L111" s="39"/>
      <c r="M111" s="40">
        <f t="shared" si="51"/>
        <v>5.6857688990999529E-2</v>
      </c>
      <c r="N111" s="39"/>
      <c r="O111" s="72" t="str">
        <f t="shared" si="67"/>
        <v/>
      </c>
      <c r="P111" s="41" t="str">
        <f>IF(K111&lt;=$F$15,IF(OR(P110=$F$124,P110="-"),"-",IF(O111*$F$123&gt;$F$127,$F$123,$F$124)),"")</f>
        <v/>
      </c>
      <c r="Q111" s="39"/>
      <c r="R111" s="72" t="str">
        <f t="shared" si="68"/>
        <v/>
      </c>
      <c r="S111" s="39"/>
      <c r="T111" s="72" t="str">
        <f t="shared" si="69"/>
        <v/>
      </c>
      <c r="U111" s="39"/>
      <c r="V111" s="72" t="str">
        <f t="shared" si="53"/>
        <v/>
      </c>
      <c r="W111" s="72" t="str">
        <f t="shared" si="70"/>
        <v/>
      </c>
      <c r="X111" s="39"/>
      <c r="Y111" s="72" t="str">
        <f t="shared" si="54"/>
        <v/>
      </c>
      <c r="Z111" s="72" t="str">
        <f t="shared" si="71"/>
        <v/>
      </c>
      <c r="AA111" s="39"/>
      <c r="AB111" s="72" t="str">
        <f t="shared" si="55"/>
        <v/>
      </c>
      <c r="AC111" s="72" t="str">
        <f t="shared" si="72"/>
        <v/>
      </c>
      <c r="AD111" s="39"/>
      <c r="AE111" s="72" t="str">
        <f t="shared" si="56"/>
        <v/>
      </c>
      <c r="AF111" s="72" t="str">
        <f t="shared" si="73"/>
        <v/>
      </c>
      <c r="AG111" s="39"/>
      <c r="AH111" s="72" t="str">
        <f t="shared" si="57"/>
        <v/>
      </c>
      <c r="AI111" s="72" t="str">
        <f t="shared" si="74"/>
        <v/>
      </c>
      <c r="AJ111" s="39"/>
      <c r="AK111" s="72" t="str">
        <f t="shared" si="75"/>
        <v/>
      </c>
      <c r="AL111" s="72" t="str">
        <f t="shared" si="76"/>
        <v/>
      </c>
      <c r="AM111" s="39"/>
      <c r="AN111" s="72" t="str">
        <f t="shared" si="58"/>
        <v/>
      </c>
      <c r="AO111" s="72" t="str">
        <f t="shared" si="77"/>
        <v/>
      </c>
      <c r="AP111" s="39"/>
      <c r="AQ111" s="72" t="str">
        <f t="shared" si="59"/>
        <v/>
      </c>
      <c r="AR111" s="72" t="str">
        <f t="shared" si="78"/>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60"/>
        <v/>
      </c>
      <c r="AW111" s="72" t="str">
        <f t="shared" si="61"/>
        <v/>
      </c>
      <c r="AX111" s="39"/>
      <c r="AY111" s="40" t="str">
        <f>IF(ISERROR(IF($K111&lt;=$F$15,VLOOKUP($I111,'表4）CO2価格'!$A$7:$E$67,VLOOKUP($F$48,'表4）CO2価格'!$H$10:$I$12,2,0),0)*$F$8/1000,"")),0,IF($K111&lt;=$F$15,VLOOKUP($I111,'表4）CO2価格'!$A$7:$E$67,VLOOKUP($F$48,'表4）CO2価格'!$H$10:$I$12,2,0),0)*$F$8/1000,""))</f>
        <v/>
      </c>
      <c r="AZ111" s="39"/>
      <c r="BA111" s="42" t="str">
        <f t="shared" si="62"/>
        <v/>
      </c>
      <c r="BB111" s="72" t="str">
        <f t="shared" si="79"/>
        <v/>
      </c>
      <c r="BC111" s="39"/>
      <c r="BD111" s="72" t="str">
        <f t="shared" si="63"/>
        <v/>
      </c>
      <c r="BE111" s="72" t="str">
        <f t="shared" si="80"/>
        <v/>
      </c>
      <c r="BF111" s="39"/>
      <c r="BG111" s="42" t="str">
        <f t="shared" si="64"/>
        <v/>
      </c>
      <c r="BH111" s="72" t="str">
        <f t="shared" si="81"/>
        <v/>
      </c>
      <c r="BI111" s="39"/>
      <c r="BJ111" s="40" t="str">
        <f t="shared" si="82"/>
        <v/>
      </c>
      <c r="BK111" s="157" t="str">
        <f t="shared" si="83"/>
        <v/>
      </c>
      <c r="BL111" s="157" t="str">
        <f t="shared" si="65"/>
        <v/>
      </c>
      <c r="BM111" s="72"/>
      <c r="BN111" s="72" t="str">
        <f t="shared" si="84"/>
        <v/>
      </c>
      <c r="BO111" s="72" t="str">
        <f t="shared" si="85"/>
        <v/>
      </c>
      <c r="BP111" s="39"/>
      <c r="BQ111" s="72" t="str">
        <f t="shared" si="66"/>
        <v/>
      </c>
      <c r="BR111" s="72" t="str">
        <f t="shared" si="86"/>
        <v/>
      </c>
    </row>
    <row r="112" spans="4:70" ht="15" x14ac:dyDescent="0.15">
      <c r="D112" s="116"/>
      <c r="E112" s="81" t="s">
        <v>207</v>
      </c>
      <c r="F112" s="91">
        <f>-BH116/BR116</f>
        <v>-1.0406443088523911</v>
      </c>
      <c r="G112" s="81" t="s">
        <v>132</v>
      </c>
      <c r="I112" s="322">
        <f t="shared" si="87"/>
        <v>2127</v>
      </c>
      <c r="J112" s="71"/>
      <c r="K112" s="71">
        <f t="shared" si="88"/>
        <v>98</v>
      </c>
      <c r="L112" s="71"/>
      <c r="M112" s="7">
        <f t="shared" si="51"/>
        <v>5.5201639797086935E-2</v>
      </c>
      <c r="N112" s="71"/>
      <c r="O112" s="10" t="str">
        <f t="shared" si="67"/>
        <v/>
      </c>
      <c r="P112" s="29" t="str">
        <f>IF(K112&lt;=$F$15,IF(OR(P111=$F$124,P111="-"),"-",IF(O112*$F$123&gt;$F$127,$F$123,$F$124)),"")</f>
        <v/>
      </c>
      <c r="Q112" s="71"/>
      <c r="R112" s="10" t="str">
        <f t="shared" si="68"/>
        <v/>
      </c>
      <c r="S112" s="71"/>
      <c r="T112" s="10" t="str">
        <f t="shared" si="69"/>
        <v/>
      </c>
      <c r="U112" s="71"/>
      <c r="V112" s="10" t="str">
        <f t="shared" si="53"/>
        <v/>
      </c>
      <c r="W112" s="10" t="str">
        <f t="shared" si="70"/>
        <v/>
      </c>
      <c r="X112" s="71"/>
      <c r="Y112" s="10" t="str">
        <f t="shared" si="54"/>
        <v/>
      </c>
      <c r="Z112" s="10" t="str">
        <f t="shared" si="71"/>
        <v/>
      </c>
      <c r="AA112" s="71"/>
      <c r="AB112" s="10" t="str">
        <f t="shared" si="55"/>
        <v/>
      </c>
      <c r="AC112" s="10" t="str">
        <f t="shared" si="72"/>
        <v/>
      </c>
      <c r="AD112" s="71"/>
      <c r="AE112" s="10" t="str">
        <f t="shared" si="56"/>
        <v/>
      </c>
      <c r="AF112" s="10" t="str">
        <f t="shared" si="73"/>
        <v/>
      </c>
      <c r="AG112" s="71"/>
      <c r="AH112" s="10" t="str">
        <f t="shared" si="57"/>
        <v/>
      </c>
      <c r="AI112" s="10" t="str">
        <f t="shared" si="74"/>
        <v/>
      </c>
      <c r="AJ112" s="71"/>
      <c r="AK112" s="10" t="str">
        <f t="shared" si="75"/>
        <v/>
      </c>
      <c r="AL112" s="10" t="str">
        <f t="shared" si="76"/>
        <v/>
      </c>
      <c r="AM112" s="71"/>
      <c r="AN112" s="10" t="str">
        <f t="shared" si="58"/>
        <v/>
      </c>
      <c r="AO112" s="10" t="str">
        <f t="shared" si="77"/>
        <v/>
      </c>
      <c r="AP112" s="71"/>
      <c r="AQ112" s="10" t="str">
        <f t="shared" si="59"/>
        <v/>
      </c>
      <c r="AR112" s="10" t="str">
        <f t="shared" si="78"/>
        <v/>
      </c>
      <c r="AS112" s="71"/>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U112" s="71"/>
      <c r="AV112" s="10" t="str">
        <f t="shared" si="60"/>
        <v/>
      </c>
      <c r="AW112" s="10" t="str">
        <f t="shared" si="61"/>
        <v/>
      </c>
      <c r="AX112" s="71"/>
      <c r="AY112" s="7" t="str">
        <f>IF(ISERROR(IF($K112&lt;=$F$15,VLOOKUP($I112,'表4）CO2価格'!$A$7:$E$67,VLOOKUP($F$48,'表4）CO2価格'!$H$10:$I$12,2,0),0)*$F$8/1000,"")),0,IF($K112&lt;=$F$15,VLOOKUP($I112,'表4）CO2価格'!$A$7:$E$67,VLOOKUP($F$48,'表4）CO2価格'!$H$10:$I$12,2,0),0)*$F$8/1000,""))</f>
        <v/>
      </c>
      <c r="AZ112" s="71"/>
      <c r="BA112" s="11" t="str">
        <f t="shared" si="62"/>
        <v/>
      </c>
      <c r="BB112" s="10" t="str">
        <f t="shared" si="79"/>
        <v/>
      </c>
      <c r="BC112" s="71"/>
      <c r="BD112" s="10" t="str">
        <f t="shared" si="63"/>
        <v/>
      </c>
      <c r="BE112" s="10" t="str">
        <f t="shared" si="80"/>
        <v/>
      </c>
      <c r="BF112" s="71"/>
      <c r="BG112" s="11" t="str">
        <f t="shared" si="64"/>
        <v/>
      </c>
      <c r="BH112" s="10" t="str">
        <f t="shared" si="81"/>
        <v/>
      </c>
      <c r="BJ112" s="7" t="str">
        <f t="shared" si="82"/>
        <v/>
      </c>
      <c r="BK112" s="158" t="str">
        <f t="shared" si="83"/>
        <v/>
      </c>
      <c r="BL112" s="158" t="str">
        <f t="shared" si="65"/>
        <v/>
      </c>
      <c r="BM112" s="10"/>
      <c r="BN112" s="10" t="str">
        <f t="shared" si="84"/>
        <v/>
      </c>
      <c r="BO112" s="10" t="str">
        <f t="shared" si="85"/>
        <v/>
      </c>
      <c r="BQ112" s="10" t="str">
        <f t="shared" si="66"/>
        <v/>
      </c>
      <c r="BR112" s="10" t="str">
        <f t="shared" si="86"/>
        <v/>
      </c>
    </row>
    <row r="113" spans="2:70" x14ac:dyDescent="0.15">
      <c r="I113" s="38">
        <f t="shared" si="87"/>
        <v>2128</v>
      </c>
      <c r="J113" s="39"/>
      <c r="K113" s="39">
        <f t="shared" si="88"/>
        <v>99</v>
      </c>
      <c r="L113" s="39"/>
      <c r="M113" s="40">
        <f t="shared" si="51"/>
        <v>5.3593825045715457E-2</v>
      </c>
      <c r="N113" s="39"/>
      <c r="O113" s="72" t="str">
        <f t="shared" si="67"/>
        <v/>
      </c>
      <c r="P113" s="41" t="str">
        <f>IF(K113&lt;=$F$15,IF(OR(P112=$F$124,P112="-"),"-",IF(O113*$F$123&gt;$F$127,$F$123,$F$124)),"")</f>
        <v/>
      </c>
      <c r="Q113" s="39"/>
      <c r="R113" s="72" t="str">
        <f t="shared" si="68"/>
        <v/>
      </c>
      <c r="S113" s="39"/>
      <c r="T113" s="72" t="str">
        <f t="shared" si="69"/>
        <v/>
      </c>
      <c r="U113" s="39"/>
      <c r="V113" s="72" t="str">
        <f t="shared" si="53"/>
        <v/>
      </c>
      <c r="W113" s="72" t="str">
        <f t="shared" si="70"/>
        <v/>
      </c>
      <c r="X113" s="39"/>
      <c r="Y113" s="72" t="str">
        <f t="shared" si="54"/>
        <v/>
      </c>
      <c r="Z113" s="72" t="str">
        <f t="shared" si="71"/>
        <v/>
      </c>
      <c r="AA113" s="39"/>
      <c r="AB113" s="72" t="str">
        <f t="shared" si="55"/>
        <v/>
      </c>
      <c r="AC113" s="72" t="str">
        <f t="shared" si="72"/>
        <v/>
      </c>
      <c r="AD113" s="39"/>
      <c r="AE113" s="72" t="str">
        <f t="shared" si="56"/>
        <v/>
      </c>
      <c r="AF113" s="72" t="str">
        <f t="shared" si="73"/>
        <v/>
      </c>
      <c r="AG113" s="39"/>
      <c r="AH113" s="72" t="str">
        <f t="shared" si="57"/>
        <v/>
      </c>
      <c r="AI113" s="72" t="str">
        <f t="shared" si="74"/>
        <v/>
      </c>
      <c r="AJ113" s="39"/>
      <c r="AK113" s="72" t="str">
        <f t="shared" si="75"/>
        <v/>
      </c>
      <c r="AL113" s="72" t="str">
        <f t="shared" si="76"/>
        <v/>
      </c>
      <c r="AM113" s="39"/>
      <c r="AN113" s="72" t="str">
        <f t="shared" si="58"/>
        <v/>
      </c>
      <c r="AO113" s="72" t="str">
        <f t="shared" si="77"/>
        <v/>
      </c>
      <c r="AP113" s="39"/>
      <c r="AQ113" s="72" t="str">
        <f t="shared" si="59"/>
        <v/>
      </c>
      <c r="AR113" s="72" t="str">
        <f t="shared" si="78"/>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60"/>
        <v/>
      </c>
      <c r="AW113" s="72" t="str">
        <f t="shared" si="61"/>
        <v/>
      </c>
      <c r="AX113" s="39"/>
      <c r="AY113" s="40" t="str">
        <f>IF(ISERROR(IF($K113&lt;=$F$15,VLOOKUP($I113,'表4）CO2価格'!$A$7:$E$67,VLOOKUP($F$48,'表4）CO2価格'!$H$10:$I$12,2,0),0)*$F$8/1000,"")),0,IF($K113&lt;=$F$15,VLOOKUP($I113,'表4）CO2価格'!$A$7:$E$67,VLOOKUP($F$48,'表4）CO2価格'!$H$10:$I$12,2,0),0)*$F$8/1000,""))</f>
        <v/>
      </c>
      <c r="AZ113" s="39"/>
      <c r="BA113" s="42" t="str">
        <f t="shared" si="62"/>
        <v/>
      </c>
      <c r="BB113" s="72" t="str">
        <f t="shared" si="79"/>
        <v/>
      </c>
      <c r="BC113" s="39"/>
      <c r="BD113" s="72" t="str">
        <f t="shared" si="63"/>
        <v/>
      </c>
      <c r="BE113" s="72" t="str">
        <f t="shared" si="80"/>
        <v/>
      </c>
      <c r="BF113" s="39"/>
      <c r="BG113" s="42" t="str">
        <f t="shared" si="64"/>
        <v/>
      </c>
      <c r="BH113" s="72" t="str">
        <f t="shared" si="81"/>
        <v/>
      </c>
      <c r="BI113" s="39"/>
      <c r="BJ113" s="40" t="str">
        <f t="shared" si="82"/>
        <v/>
      </c>
      <c r="BK113" s="157" t="str">
        <f t="shared" si="83"/>
        <v/>
      </c>
      <c r="BL113" s="157" t="str">
        <f t="shared" si="65"/>
        <v/>
      </c>
      <c r="BM113" s="72"/>
      <c r="BN113" s="72" t="str">
        <f t="shared" si="84"/>
        <v/>
      </c>
      <c r="BO113" s="72" t="str">
        <f t="shared" si="85"/>
        <v/>
      </c>
      <c r="BP113" s="39"/>
      <c r="BQ113" s="72" t="str">
        <f t="shared" si="66"/>
        <v/>
      </c>
      <c r="BR113" s="72" t="str">
        <f t="shared" si="86"/>
        <v/>
      </c>
    </row>
    <row r="114" spans="2:70" x14ac:dyDescent="0.15">
      <c r="I114" s="322">
        <f t="shared" si="87"/>
        <v>2129</v>
      </c>
      <c r="J114" s="71"/>
      <c r="K114" s="71">
        <f t="shared" si="88"/>
        <v>100</v>
      </c>
      <c r="L114" s="71"/>
      <c r="M114" s="7">
        <f t="shared" si="51"/>
        <v>5.2032839850209185E-2</v>
      </c>
      <c r="N114" s="71"/>
      <c r="O114" s="10" t="str">
        <f t="shared" si="67"/>
        <v/>
      </c>
      <c r="P114" s="29" t="str">
        <f>IF(K114&lt;=$F$15,IF(OR(P113=$F$124,P113="-"),"-",IF(O114*$F$123&gt;$F$127,$F$123,$F$124)),"")</f>
        <v/>
      </c>
      <c r="Q114" s="71"/>
      <c r="R114" s="10" t="str">
        <f t="shared" si="68"/>
        <v/>
      </c>
      <c r="S114" s="71"/>
      <c r="T114" s="10" t="str">
        <f t="shared" si="69"/>
        <v/>
      </c>
      <c r="U114" s="71"/>
      <c r="V114" s="10" t="str">
        <f t="shared" si="53"/>
        <v/>
      </c>
      <c r="W114" s="10" t="str">
        <f t="shared" si="70"/>
        <v/>
      </c>
      <c r="X114" s="71"/>
      <c r="Y114" s="10" t="str">
        <f t="shared" si="54"/>
        <v/>
      </c>
      <c r="Z114" s="10" t="str">
        <f t="shared" si="71"/>
        <v/>
      </c>
      <c r="AA114" s="71"/>
      <c r="AB114" s="10" t="str">
        <f t="shared" si="55"/>
        <v/>
      </c>
      <c r="AC114" s="10" t="str">
        <f t="shared" si="72"/>
        <v/>
      </c>
      <c r="AD114" s="71"/>
      <c r="AE114" s="10" t="str">
        <f t="shared" si="56"/>
        <v/>
      </c>
      <c r="AF114" s="10" t="str">
        <f t="shared" si="73"/>
        <v/>
      </c>
      <c r="AG114" s="71"/>
      <c r="AH114" s="10" t="str">
        <f t="shared" si="57"/>
        <v/>
      </c>
      <c r="AI114" s="10" t="str">
        <f t="shared" si="74"/>
        <v/>
      </c>
      <c r="AJ114" s="71"/>
      <c r="AK114" s="10" t="str">
        <f t="shared" si="75"/>
        <v/>
      </c>
      <c r="AL114" s="10" t="str">
        <f t="shared" si="76"/>
        <v/>
      </c>
      <c r="AM114" s="71"/>
      <c r="AN114" s="10" t="str">
        <f t="shared" si="58"/>
        <v/>
      </c>
      <c r="AO114" s="10" t="str">
        <f t="shared" si="77"/>
        <v/>
      </c>
      <c r="AP114" s="71"/>
      <c r="AQ114" s="10" t="str">
        <f t="shared" si="59"/>
        <v/>
      </c>
      <c r="AR114" s="10" t="str">
        <f t="shared" si="78"/>
        <v/>
      </c>
      <c r="AS114" s="71"/>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U114" s="71"/>
      <c r="AV114" s="10" t="str">
        <f t="shared" si="60"/>
        <v/>
      </c>
      <c r="AW114" s="10" t="str">
        <f t="shared" si="61"/>
        <v/>
      </c>
      <c r="AX114" s="71"/>
      <c r="AY114" s="7" t="str">
        <f>IF(ISERROR(IF($K114&lt;=$F$15,VLOOKUP($I114,'表4）CO2価格'!$A$7:$E$67,VLOOKUP($F$48,'表4）CO2価格'!$H$10:$I$12,2,0),0)*$F$8/1000,"")),0,IF($K114&lt;=$F$15,VLOOKUP($I114,'表4）CO2価格'!$A$7:$E$67,VLOOKUP($F$48,'表4）CO2価格'!$H$10:$I$12,2,0),0)*$F$8/1000,""))</f>
        <v/>
      </c>
      <c r="AZ114" s="71"/>
      <c r="BA114" s="11" t="str">
        <f t="shared" si="62"/>
        <v/>
      </c>
      <c r="BB114" s="10" t="str">
        <f t="shared" si="79"/>
        <v/>
      </c>
      <c r="BC114" s="71"/>
      <c r="BD114" s="10" t="str">
        <f t="shared" si="63"/>
        <v/>
      </c>
      <c r="BE114" s="10" t="str">
        <f t="shared" si="80"/>
        <v/>
      </c>
      <c r="BF114" s="71"/>
      <c r="BG114" s="11" t="str">
        <f t="shared" si="64"/>
        <v/>
      </c>
      <c r="BH114" s="10" t="str">
        <f t="shared" si="81"/>
        <v/>
      </c>
      <c r="BJ114" s="7" t="str">
        <f t="shared" si="82"/>
        <v/>
      </c>
      <c r="BK114" s="158" t="str">
        <f t="shared" si="83"/>
        <v/>
      </c>
      <c r="BL114" s="158" t="str">
        <f t="shared" si="65"/>
        <v/>
      </c>
      <c r="BM114" s="10"/>
      <c r="BN114" s="10" t="str">
        <f t="shared" si="84"/>
        <v/>
      </c>
      <c r="BO114" s="10" t="str">
        <f t="shared" si="85"/>
        <v/>
      </c>
      <c r="BQ114" s="10" t="str">
        <f t="shared" si="66"/>
        <v/>
      </c>
      <c r="BR114" s="10" t="str">
        <f t="shared" si="86"/>
        <v/>
      </c>
    </row>
    <row r="115" spans="2:70" ht="15.75" thickBot="1" x14ac:dyDescent="0.2">
      <c r="B115" s="460" t="s">
        <v>515</v>
      </c>
      <c r="C115" s="86"/>
      <c r="D115" s="104"/>
      <c r="E115" s="104"/>
      <c r="F115" s="86"/>
      <c r="G115" s="104"/>
      <c r="I115" s="321"/>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71" t="s">
        <v>143</v>
      </c>
      <c r="J116" s="71"/>
      <c r="K116" s="71"/>
      <c r="L116" s="71"/>
      <c r="M116" s="71"/>
      <c r="N116" s="71"/>
      <c r="O116" s="71"/>
      <c r="P116" s="71"/>
      <c r="Q116" s="71"/>
      <c r="R116" s="71"/>
      <c r="S116" s="71"/>
      <c r="T116" s="71"/>
      <c r="U116" s="71"/>
      <c r="V116" s="71"/>
      <c r="W116" s="11"/>
      <c r="X116" s="71"/>
      <c r="Y116" s="71"/>
      <c r="Z116" s="11">
        <f>SUM(Z15:Z114)</f>
        <v>0</v>
      </c>
      <c r="AA116" s="71"/>
      <c r="AB116" s="71"/>
      <c r="AC116" s="11">
        <f>SUM(AC15:AC114)</f>
        <v>37390.016353206855</v>
      </c>
      <c r="AD116" s="71"/>
      <c r="AE116" s="71"/>
      <c r="AF116" s="11">
        <f>SUM(AF15:AF114)</f>
        <v>0</v>
      </c>
      <c r="AG116" s="71"/>
      <c r="AH116" s="71"/>
      <c r="AI116" s="11">
        <f>SUM(AI15:AI114)</f>
        <v>0</v>
      </c>
      <c r="AJ116" s="71"/>
      <c r="AK116" s="71"/>
      <c r="AL116" s="11">
        <f>SUM(AL15:AL114)</f>
        <v>66016.781029871709</v>
      </c>
      <c r="AM116" s="71"/>
      <c r="AN116" s="71"/>
      <c r="AO116" s="11">
        <f>SUM(AO15:AO114)</f>
        <v>0</v>
      </c>
      <c r="AP116" s="71"/>
      <c r="AQ116" s="71"/>
      <c r="AR116" s="11">
        <f>SUM(AR15:AR114)</f>
        <v>0</v>
      </c>
      <c r="AS116" s="71"/>
      <c r="AT116" s="71"/>
      <c r="AU116" s="71"/>
      <c r="AV116" s="71"/>
      <c r="AW116" s="11">
        <f>SUM(AW15:AW114)</f>
        <v>433929.53153505397</v>
      </c>
      <c r="AX116" s="71"/>
      <c r="AY116" s="71"/>
      <c r="AZ116" s="71"/>
      <c r="BA116" s="71"/>
      <c r="BB116" s="11">
        <f>SUM(BB15:BB114)</f>
        <v>119091.71698876616</v>
      </c>
      <c r="BC116" s="71"/>
      <c r="BD116" s="71"/>
      <c r="BE116" s="11">
        <f>SUM(BE15:BE114)</f>
        <v>206451.76627274774</v>
      </c>
      <c r="BF116" s="71"/>
      <c r="BG116" s="71"/>
      <c r="BH116" s="11">
        <f>SUM(BH15:BH114)</f>
        <v>56981.682769744577</v>
      </c>
      <c r="BK116" s="11">
        <f>SUM(BK15:BK114)</f>
        <v>0</v>
      </c>
      <c r="BL116" s="11">
        <f>SUM(BL15:BL114)</f>
        <v>0</v>
      </c>
      <c r="BO116" s="11">
        <f>SUM(BO15:BO114)</f>
        <v>0</v>
      </c>
      <c r="BQ116" s="71"/>
      <c r="BR116" s="11">
        <f>SUM(BR15:BR114)</f>
        <v>54756.156628178971</v>
      </c>
    </row>
    <row r="117" spans="2:70" x14ac:dyDescent="0.15">
      <c r="C117" s="9" t="s">
        <v>529</v>
      </c>
      <c r="F117" s="44">
        <f>F21*10^4*F13*10^4+F29*10^8</f>
        <v>300300</v>
      </c>
      <c r="G117" s="81" t="s">
        <v>208</v>
      </c>
      <c r="I117" s="48" t="s">
        <v>145</v>
      </c>
      <c r="J117" s="71"/>
      <c r="K117" s="71"/>
      <c r="L117" s="71"/>
      <c r="M117" s="71"/>
      <c r="N117" s="71"/>
      <c r="O117" s="71"/>
      <c r="P117" s="71"/>
      <c r="Q117" s="71"/>
      <c r="R117" s="71"/>
      <c r="S117" s="71"/>
      <c r="T117" s="71"/>
      <c r="U117" s="71"/>
      <c r="V117" s="71"/>
      <c r="W117" s="11"/>
      <c r="X117" s="71"/>
      <c r="Y117" s="71"/>
      <c r="Z117" s="11" t="str">
        <f ca="1">IF(ISNUMBER($F$16),SUM(INDIRECT(ADDRESS($F$16+15,COLUMN())):INDIRECT(ADDRESS(114,COLUMN()))),"")</f>
        <v/>
      </c>
      <c r="AA117" s="71"/>
      <c r="AB117" s="71"/>
      <c r="AC117" s="11" t="str">
        <f ca="1">IF(ISNUMBER($F$16),SUM(INDIRECT(ADDRESS($F$16+15,COLUMN())):INDIRECT(ADDRESS(114,COLUMN()))),"")</f>
        <v/>
      </c>
      <c r="AD117" s="71"/>
      <c r="AE117" s="71"/>
      <c r="AF117" s="11" t="str">
        <f ca="1">IF(ISNUMBER($F$16),SUM(INDIRECT(ADDRESS($F$16+15,COLUMN())):INDIRECT(ADDRESS(114,COLUMN()))),"")</f>
        <v/>
      </c>
      <c r="AG117" s="71"/>
      <c r="AH117" s="71"/>
      <c r="AI117" s="11" t="str">
        <f ca="1">IF(ISNUMBER($F$16),SUM(INDIRECT(ADDRESS($F$16+15,COLUMN())):INDIRECT(ADDRESS(114,COLUMN()))),"")</f>
        <v/>
      </c>
      <c r="AJ117" s="71"/>
      <c r="AK117" s="71"/>
      <c r="AL117" s="11" t="str">
        <f ca="1">IF(ISNUMBER($F$16),SUM(INDIRECT(ADDRESS($F$16+15,COLUMN())):INDIRECT(ADDRESS(114,COLUMN()))),"")</f>
        <v/>
      </c>
      <c r="AM117" s="71"/>
      <c r="AN117" s="71"/>
      <c r="AO117" s="11" t="str">
        <f ca="1">IF(ISNUMBER($F$16),SUM(INDIRECT(ADDRESS($F$16+15,COLUMN())):INDIRECT(ADDRESS(114,COLUMN()))),"")</f>
        <v/>
      </c>
      <c r="AP117" s="71"/>
      <c r="AQ117" s="71"/>
      <c r="AR117" s="11" t="str">
        <f ca="1">IF(ISNUMBER($F$16),SUM(INDIRECT(ADDRESS($F$16+15,COLUMN())):INDIRECT(ADDRESS(114,COLUMN()))),"")</f>
        <v/>
      </c>
      <c r="AS117" s="71"/>
      <c r="AT117" s="71"/>
      <c r="AU117" s="71"/>
      <c r="AV117" s="71"/>
      <c r="AW117" s="11" t="str">
        <f ca="1">IF(ISNUMBER($F$16),SUM(INDIRECT(ADDRESS($F$16+15,COLUMN())):INDIRECT(ADDRESS(114,COLUMN()))),"")</f>
        <v/>
      </c>
      <c r="AX117" s="71"/>
      <c r="AY117" s="71"/>
      <c r="AZ117" s="71"/>
      <c r="BA117" s="71"/>
      <c r="BB117" s="11" t="str">
        <f ca="1">IF(ISNUMBER($F$16),SUM(INDIRECT(ADDRESS($F$16+15,COLUMN())):INDIRECT(ADDRESS(114,COLUMN()))),"")</f>
        <v/>
      </c>
      <c r="BC117" s="71"/>
      <c r="BD117" s="71"/>
      <c r="BE117" s="11" t="str">
        <f ca="1">IF(ISNUMBER($F$16),SUM(INDIRECT(ADDRESS($F$16+15,COLUMN())):INDIRECT(ADDRESS(114,COLUMN()))),"")</f>
        <v/>
      </c>
      <c r="BF117" s="71"/>
      <c r="BG117" s="71"/>
      <c r="BH117" s="11" t="str">
        <f ca="1">IF(ISNUMBER($F$16),SUM(INDIRECT(ADDRESS($F$16+15,COLUMN())):INDIRECT(ADDRESS(114,COLUMN()))),"")</f>
        <v/>
      </c>
      <c r="BK117" s="11" t="str">
        <f ca="1">IF(ISNUMBER($F$16),SUM(INDIRECT(ADDRESS($F$16+15,COLUMN())):INDIRECT(ADDRESS(114,COLUMN()))),"")</f>
        <v/>
      </c>
      <c r="BL117" s="11" t="str">
        <f ca="1">IF(ISNUMBER($F$16),SUM(INDIRECT(ADDRESS($F$16+15,COLUMN())):INDIRECT(ADDRESS(114,COLUMN()))),"")</f>
        <v/>
      </c>
      <c r="BO117" s="11" t="str">
        <f ca="1">IF(ISNUMBER($F$16),SUM(INDIRECT(ADDRESS($F$16+15,COLUMN())):INDIRECT(ADDRESS(114,COLUMN()))),"")</f>
        <v/>
      </c>
      <c r="BQ117" s="71"/>
      <c r="BR117" s="11" t="str">
        <f ca="1">IF(ISNUMBER($F$16),SUM(INDIRECT(ADDRESS($F$16+15,COLUMN())):INDIRECT(ADDRESS(114,COLUMN()))),"")</f>
        <v/>
      </c>
    </row>
    <row r="119" spans="2:70" x14ac:dyDescent="0.15">
      <c r="C119" s="9" t="s">
        <v>521</v>
      </c>
      <c r="F119" s="44">
        <f>VLOOKUP(F3,'表2）法定耐用年数'!$A$2:$B$24,2,0)</f>
        <v>6</v>
      </c>
      <c r="G119" s="81" t="s">
        <v>108</v>
      </c>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Q119" s="71"/>
      <c r="BR119" s="71"/>
    </row>
    <row r="121" spans="2:70" x14ac:dyDescent="0.15">
      <c r="C121" s="89" t="s">
        <v>522</v>
      </c>
      <c r="D121" s="101"/>
      <c r="E121" s="101"/>
      <c r="F121" s="89"/>
      <c r="G121" s="10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Q121" s="71"/>
      <c r="BR121" s="71"/>
    </row>
    <row r="123" spans="2:70" x14ac:dyDescent="0.15">
      <c r="D123" s="81" t="s">
        <v>209</v>
      </c>
      <c r="F123" s="95">
        <f>VLOOKUP($F$119,'表1）減価償却率表'!$A$9:$E$107,3,0)</f>
        <v>0.41699999999999998</v>
      </c>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Q123" s="71"/>
      <c r="BR123" s="71"/>
    </row>
    <row r="124" spans="2:70" x14ac:dyDescent="0.15">
      <c r="D124" s="81" t="s">
        <v>210</v>
      </c>
      <c r="F124" s="95">
        <f>VLOOKUP($F$119,'表1）減価償却率表'!$A$9:$E$107,4,0)</f>
        <v>0.5</v>
      </c>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Q124" s="71"/>
      <c r="BR124" s="71"/>
    </row>
    <row r="125" spans="2:70" x14ac:dyDescent="0.15">
      <c r="D125" s="81" t="s">
        <v>211</v>
      </c>
      <c r="F125" s="88">
        <f>VLOOKUP($F$119,'表1）減価償却率表'!$A$9:$E$107,5,0)</f>
        <v>5.7759999999999999E-2</v>
      </c>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Q125" s="71"/>
      <c r="BR125" s="71"/>
    </row>
    <row r="126" spans="2:70" x14ac:dyDescent="0.15">
      <c r="F126" s="96"/>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Q126" s="71"/>
      <c r="BR126" s="71"/>
    </row>
    <row r="127" spans="2:70" x14ac:dyDescent="0.15">
      <c r="C127" s="111" t="s">
        <v>523</v>
      </c>
      <c r="D127" s="85"/>
      <c r="E127" s="114"/>
      <c r="F127" s="44">
        <f>F117*F125</f>
        <v>17345.328000000001</v>
      </c>
      <c r="G127" s="81" t="s">
        <v>208</v>
      </c>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Q127" s="71"/>
      <c r="BR127" s="71"/>
    </row>
    <row r="129" spans="3:7" x14ac:dyDescent="0.15">
      <c r="C129" s="469" t="s">
        <v>152</v>
      </c>
      <c r="D129" s="85"/>
      <c r="E129" s="85"/>
      <c r="F129" s="95">
        <f>0.1^(1/F119)</f>
        <v>0.68129206905796136</v>
      </c>
      <c r="G129" s="85"/>
    </row>
    <row r="131" spans="3:7" x14ac:dyDescent="0.15">
      <c r="C131" s="89" t="s">
        <v>524</v>
      </c>
      <c r="D131" s="101"/>
      <c r="E131" s="101"/>
      <c r="F131" s="89"/>
      <c r="G131" s="101"/>
    </row>
    <row r="133" spans="3:7" x14ac:dyDescent="0.15">
      <c r="D133" s="81" t="s">
        <v>212</v>
      </c>
      <c r="F133" s="44">
        <f>F13*10000*24*365*F14/100</f>
        <v>4586.735999999999</v>
      </c>
      <c r="G133" s="81" t="s">
        <v>213</v>
      </c>
    </row>
    <row r="134" spans="3:7" x14ac:dyDescent="0.15">
      <c r="D134" s="81" t="s">
        <v>214</v>
      </c>
      <c r="F134" s="44">
        <f>F133*(1-F24/100)</f>
        <v>4586.735999999999</v>
      </c>
      <c r="G134" s="81" t="s">
        <v>213</v>
      </c>
    </row>
    <row r="135" spans="3:7" x14ac:dyDescent="0.15">
      <c r="F135" s="97"/>
    </row>
    <row r="137" spans="3:7" ht="16.5" x14ac:dyDescent="0.15">
      <c r="C137" s="9" t="s">
        <v>525</v>
      </c>
      <c r="F137" s="44">
        <f>IF(ISERROR(F133*3.6/(F23/100)/F22),0,F133*3.6/(F23/100)/F22)</f>
        <v>702.02158071510542</v>
      </c>
      <c r="G137" s="9" t="s">
        <v>370</v>
      </c>
    </row>
    <row r="139" spans="3:7" x14ac:dyDescent="0.15">
      <c r="C139" s="89" t="s">
        <v>526</v>
      </c>
      <c r="D139" s="101"/>
      <c r="E139" s="101"/>
      <c r="F139" s="89"/>
      <c r="G139" s="101"/>
    </row>
    <row r="141" spans="3:7" x14ac:dyDescent="0.15">
      <c r="D141" s="81" t="s">
        <v>215</v>
      </c>
      <c r="F141" s="98">
        <f>IF(OR(F3="石炭火力",F3= "LNG火力", F3="ガスコジェネ",F3="バイオマス（石炭混焼）",F3="バイオマス（木質専焼）",F3="燃料電池"),IF($F$43="需要地価格","",1000),IF(OR(F3="石油火力",F3="石油コジェネ"),IF($F$43="需要地価格","",158.987294928),""))</f>
        <v>1000</v>
      </c>
      <c r="G141" s="81" t="s">
        <v>216</v>
      </c>
    </row>
    <row r="142" spans="3:7" x14ac:dyDescent="0.15">
      <c r="D142" s="81" t="s">
        <v>180</v>
      </c>
      <c r="F142" s="91">
        <f>IF(ISERROR(F42/1000),0,F42/1000)</f>
        <v>2.8</v>
      </c>
      <c r="G142" s="81" t="s">
        <v>217</v>
      </c>
    </row>
    <row r="145" spans="3:7" x14ac:dyDescent="0.15">
      <c r="C145" s="9" t="s">
        <v>368</v>
      </c>
      <c r="F145" s="98">
        <f>IF(ISERROR(F133*(F47*3.6/(F23/100)/1000*(44/12))),0,F133*(F47*3.6/(F23/100)/1000*(44/12)))</f>
        <v>1952.9255205209295</v>
      </c>
      <c r="G145" s="81" t="s">
        <v>218</v>
      </c>
    </row>
    <row r="147" spans="3:7" x14ac:dyDescent="0.15">
      <c r="C147" s="89" t="s">
        <v>369</v>
      </c>
      <c r="D147" s="101"/>
      <c r="E147" s="101"/>
      <c r="F147" s="89"/>
      <c r="G147" s="101"/>
    </row>
    <row r="149" spans="3:7" x14ac:dyDescent="0.15">
      <c r="D149" s="81" t="s">
        <v>219</v>
      </c>
      <c r="F149" s="91">
        <f>IF(ISERROR(F52/F23),0,F52/F23)</f>
        <v>0.93023255813953487</v>
      </c>
    </row>
    <row r="150" spans="3:7" x14ac:dyDescent="0.15">
      <c r="D150" s="81" t="s">
        <v>220</v>
      </c>
      <c r="F150" s="98">
        <f>F133*F149*(F53/100)*3.6</f>
        <v>15360.232186046507</v>
      </c>
      <c r="G150" s="81" t="s">
        <v>221</v>
      </c>
    </row>
    <row r="151" spans="3:7" ht="16.5" x14ac:dyDescent="0.15">
      <c r="D151" s="81" t="s">
        <v>222</v>
      </c>
      <c r="F151" s="44">
        <f>IF(ISERROR(F150/(F54/100)/F55),0,F150/(F54/100)/F55)</f>
        <v>334.00260818273381</v>
      </c>
      <c r="G151" s="9" t="s">
        <v>370</v>
      </c>
    </row>
    <row r="152" spans="3:7" x14ac:dyDescent="0.15">
      <c r="D152" s="81" t="s">
        <v>223</v>
      </c>
      <c r="F152" s="146">
        <f>IF(ISERROR(F56/1000),0,F56/1000)</f>
        <v>2.8</v>
      </c>
      <c r="G152" s="81" t="s">
        <v>217</v>
      </c>
    </row>
    <row r="153" spans="3:7" x14ac:dyDescent="0.15">
      <c r="D153" s="81" t="s">
        <v>224</v>
      </c>
      <c r="F153" s="98">
        <f>IF(ISERROR(F150*F47/1000*(44/12)/(F54/100)),0,F150*F47/1000*(44/12)/(F54/100))</f>
        <v>934.41412465116252</v>
      </c>
      <c r="G153" s="81" t="s">
        <v>218</v>
      </c>
    </row>
  </sheetData>
  <mergeCells count="48">
    <mergeCell ref="BR12:BR13"/>
    <mergeCell ref="AI12:AI13"/>
    <mergeCell ref="AL12:AL13"/>
    <mergeCell ref="AO12:AO13"/>
    <mergeCell ref="AR12:AR13"/>
    <mergeCell ref="AW12:AW13"/>
    <mergeCell ref="BB12:BB13"/>
    <mergeCell ref="BL12:BL13"/>
    <mergeCell ref="BK12:BK13"/>
    <mergeCell ref="BO12:BO13"/>
    <mergeCell ref="BJ12:BJ13"/>
    <mergeCell ref="BA9:BB10"/>
    <mergeCell ref="AE9:AF10"/>
    <mergeCell ref="V9:W10"/>
    <mergeCell ref="BE12:BE13"/>
    <mergeCell ref="BH12:BH13"/>
    <mergeCell ref="P12:P13"/>
    <mergeCell ref="W12:W13"/>
    <mergeCell ref="Z12:Z13"/>
    <mergeCell ref="AC12:AC13"/>
    <mergeCell ref="AF12:AF13"/>
    <mergeCell ref="BQ7:BR7"/>
    <mergeCell ref="BJ7:BO7"/>
    <mergeCell ref="I9:I10"/>
    <mergeCell ref="K9:K10"/>
    <mergeCell ref="M9:M10"/>
    <mergeCell ref="O9:P10"/>
    <mergeCell ref="R9:R10"/>
    <mergeCell ref="AN9:AO10"/>
    <mergeCell ref="AQ9:AR10"/>
    <mergeCell ref="AY7:BB7"/>
    <mergeCell ref="AY9:AY10"/>
    <mergeCell ref="BD7:BH7"/>
    <mergeCell ref="BJ9:BL10"/>
    <mergeCell ref="BN9:BO10"/>
    <mergeCell ref="BD9:BE10"/>
    <mergeCell ref="BG9:BH10"/>
    <mergeCell ref="F3:G3"/>
    <mergeCell ref="V7:AF7"/>
    <mergeCell ref="AH7:AR7"/>
    <mergeCell ref="AT7:AW7"/>
    <mergeCell ref="AK9:AL10"/>
    <mergeCell ref="T9:T10"/>
    <mergeCell ref="AV9:AW10"/>
    <mergeCell ref="AT9:AT10"/>
    <mergeCell ref="AH9:AI10"/>
    <mergeCell ref="AB9:AC10"/>
    <mergeCell ref="Y9:Z10"/>
  </mergeCells>
  <phoneticPr fontId="18"/>
  <dataValidations count="4">
    <dataValidation type="list" allowBlank="1" showDropDown="1" showInputMessage="1" showErrorMessage="1" sqref="F48 F41" xr:uid="{00000000-0002-0000-0E00-000000000000}">
      <formula1>"現行政策シナリオ, 新政策シナリオ"</formula1>
    </dataValidation>
    <dataValidation type="whole" allowBlank="1" showInputMessage="1" showErrorMessage="1" sqref="F7" xr:uid="{00000000-0002-0000-0E00-000001000000}">
      <formula1>2010</formula1>
      <formula2>2030</formula2>
    </dataValidation>
    <dataValidation type="list" allowBlank="1" showDropDown="1" showInputMessage="1" showErrorMessage="1" sqref="F43" xr:uid="{00000000-0002-0000-0E00-000002000000}">
      <formula1>"CIF価格, 需要地価格"</formula1>
    </dataValidation>
    <dataValidation type="list" allowBlank="1" showDropDown="1" showInputMessage="1" showErrorMessage="1" sqref="F3:G3" xr:uid="{00000000-0002-0000-0E00-000003000000}">
      <formula1>"原子力,石炭火力,LNG火力,石油火力,一般水力,太陽光（メガソーラー）,太陽光（住宅）,風力（陸上）,風力（洋上）,小水力,地熱,バイオマス（石炭混焼）,バイオマス（木質専焼）,ガスコジェネ,石油コジェネ,燃料電池"</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BR153"/>
  <sheetViews>
    <sheetView showGridLines="0" zoomScale="85" zoomScaleNormal="85" workbookViewId="0">
      <pane xSplit="10" ySplit="14" topLeftCell="AD15" activePane="bottomRight" state="frozen"/>
      <selection pane="topRight" activeCell="G69" sqref="G69"/>
      <selection pane="bottomLeft" activeCell="G69" sqref="G69"/>
      <selection pane="bottomRight" sqref="A1:I1048576"/>
    </sheetView>
  </sheetViews>
  <sheetFormatPr defaultColWidth="9" defaultRowHeight="14.25" outlineLevelCol="1" x14ac:dyDescent="0.15"/>
  <cols>
    <col min="1" max="3" width="6.25" style="9" customWidth="1"/>
    <col min="4" max="4" width="6.25" style="81" customWidth="1"/>
    <col min="5" max="5" width="24.375" style="81" customWidth="1"/>
    <col min="6" max="6" width="18.75" style="9" customWidth="1"/>
    <col min="7" max="7" width="24.375" style="81" bestFit="1" customWidth="1"/>
    <col min="8" max="8" width="9" style="9"/>
    <col min="9" max="9" width="6.25" style="9" customWidth="1"/>
    <col min="10" max="10" width="3" style="2" customWidth="1"/>
    <col min="11" max="11" width="6.25" style="2" customWidth="1"/>
    <col min="12" max="12" width="3" style="2" customWidth="1"/>
    <col min="13" max="13" width="6.25" style="2" customWidth="1"/>
    <col min="14" max="14" width="3" style="2" customWidth="1"/>
    <col min="15" max="15" width="17.375" style="2" bestFit="1" customWidth="1"/>
    <col min="16" max="16" width="8.625" style="2" customWidth="1"/>
    <col min="17" max="17" width="3" style="2" customWidth="1"/>
    <col min="18" max="18" width="17.375" style="2" bestFit="1" customWidth="1"/>
    <col min="19" max="19" width="3" style="2" customWidth="1"/>
    <col min="20" max="20" width="17.375" style="2" bestFit="1" customWidth="1"/>
    <col min="21" max="21" width="3" style="2" customWidth="1"/>
    <col min="22" max="22" width="15" style="2" customWidth="1" outlineLevel="1"/>
    <col min="23" max="23" width="17.375" style="2" bestFit="1" customWidth="1"/>
    <col min="24" max="24" width="3" style="2" customWidth="1"/>
    <col min="25" max="25" width="15" style="2" customWidth="1" outlineLevel="1"/>
    <col min="26" max="26" width="15" style="2" customWidth="1"/>
    <col min="27" max="27" width="3" style="2" customWidth="1"/>
    <col min="28" max="28" width="15" style="2" customWidth="1" outlineLevel="1"/>
    <col min="29" max="29" width="15" style="2" customWidth="1"/>
    <col min="30" max="30" width="3" style="2" customWidth="1"/>
    <col min="31" max="31" width="15" style="2" customWidth="1" outlineLevel="1"/>
    <col min="32" max="32" width="15" style="2" customWidth="1"/>
    <col min="33" max="33" width="3" style="2" customWidth="1"/>
    <col min="34" max="34" width="14.875" style="2" customWidth="1" outlineLevel="1"/>
    <col min="35" max="35" width="15" style="2" customWidth="1"/>
    <col min="36" max="36" width="3" style="2" customWidth="1"/>
    <col min="37" max="37" width="15" style="2" customWidth="1" outlineLevel="1"/>
    <col min="38" max="38" width="15" style="2" customWidth="1"/>
    <col min="39" max="39" width="3" style="2" customWidth="1"/>
    <col min="40" max="40" width="15" style="2" customWidth="1" outlineLevel="1"/>
    <col min="41" max="41" width="15" style="2" customWidth="1"/>
    <col min="42" max="42" width="3" style="2" customWidth="1"/>
    <col min="43" max="43" width="15" style="2" customWidth="1" outlineLevel="1"/>
    <col min="44" max="44" width="15" style="2" customWidth="1"/>
    <col min="45" max="45" width="3" style="2" customWidth="1"/>
    <col min="46" max="46" width="10.75" style="2" bestFit="1" customWidth="1"/>
    <col min="47" max="47" width="3" style="2" customWidth="1"/>
    <col min="48" max="48" width="15" style="2" customWidth="1" outlineLevel="1"/>
    <col min="49" max="49" width="17.375" style="2" bestFit="1" customWidth="1"/>
    <col min="50" max="50" width="3" style="2" customWidth="1"/>
    <col min="51" max="51" width="9.625" style="2" bestFit="1" customWidth="1"/>
    <col min="52" max="52" width="3" style="2" customWidth="1"/>
    <col min="53" max="53" width="15" style="2" customWidth="1" outlineLevel="1"/>
    <col min="54" max="54" width="17.375" style="2" bestFit="1" customWidth="1"/>
    <col min="55" max="55" width="3" style="2" customWidth="1"/>
    <col min="56" max="56" width="19.25" style="2" customWidth="1" outlineLevel="1"/>
    <col min="57" max="57" width="19.25" style="2" bestFit="1" customWidth="1"/>
    <col min="58" max="58" width="3" style="2" customWidth="1"/>
    <col min="59" max="59" width="19.25" style="2" customWidth="1" outlineLevel="1"/>
    <col min="60" max="60" width="19.25" style="2"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2" customWidth="1" outlineLevel="1"/>
    <col min="70" max="70" width="17.375" style="2" bestFit="1" customWidth="1"/>
    <col min="71" max="16384" width="9" style="2"/>
  </cols>
  <sheetData>
    <row r="1" spans="1:70" ht="18.75" x14ac:dyDescent="0.15">
      <c r="A1" s="465" t="s">
        <v>60</v>
      </c>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Q1" s="71"/>
      <c r="BR1" s="71"/>
    </row>
    <row r="3" spans="1:70" ht="23.25" x14ac:dyDescent="0.15">
      <c r="B3" s="462" t="s">
        <v>517</v>
      </c>
      <c r="F3" s="728" t="s">
        <v>231</v>
      </c>
      <c r="G3" s="725"/>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Q3" s="71"/>
      <c r="BR3" s="71"/>
    </row>
    <row r="4" spans="1:70" x14ac:dyDescent="0.15">
      <c r="G4" s="112"/>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Q4" s="71"/>
      <c r="BR4" s="71"/>
    </row>
    <row r="5" spans="1:70" ht="15.75" thickBot="1" x14ac:dyDescent="0.2">
      <c r="B5" s="460" t="s">
        <v>518</v>
      </c>
      <c r="C5" s="86"/>
      <c r="D5" s="104"/>
      <c r="E5" s="104"/>
      <c r="F5" s="86"/>
      <c r="G5" s="104"/>
      <c r="I5" s="460" t="s">
        <v>531</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111"/>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9" t="s">
        <v>65</v>
      </c>
      <c r="F7" s="87">
        <v>2020</v>
      </c>
      <c r="I7" s="111"/>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9" t="s">
        <v>519</v>
      </c>
      <c r="F8" s="88">
        <f>まとめ!B3</f>
        <v>107</v>
      </c>
      <c r="G8" s="81" t="s">
        <v>171</v>
      </c>
      <c r="I8" s="111"/>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9" t="s">
        <v>520</v>
      </c>
      <c r="F9" s="88">
        <f>まとめ!B2</f>
        <v>3</v>
      </c>
      <c r="G9" s="81" t="s">
        <v>172</v>
      </c>
      <c r="I9" s="726" t="s">
        <v>532</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30" t="s">
        <v>232</v>
      </c>
      <c r="AI9" s="729"/>
      <c r="AJ9" s="111"/>
      <c r="AK9" s="730" t="s">
        <v>233</v>
      </c>
      <c r="AL9" s="729"/>
      <c r="AM9" s="111"/>
      <c r="AN9" s="730" t="s">
        <v>233</v>
      </c>
      <c r="AO9" s="729"/>
      <c r="AP9" s="111"/>
      <c r="AQ9" s="730" t="s">
        <v>233</v>
      </c>
      <c r="AR9" s="729"/>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I10" s="727"/>
      <c r="J10" s="71"/>
      <c r="K10" s="708"/>
      <c r="L10" s="71"/>
      <c r="M10" s="708"/>
      <c r="N10" s="71"/>
      <c r="O10" s="717"/>
      <c r="P10" s="717"/>
      <c r="Q10" s="71"/>
      <c r="R10" s="708"/>
      <c r="S10" s="71"/>
      <c r="T10" s="708"/>
      <c r="U10" s="71"/>
      <c r="V10" s="717"/>
      <c r="W10" s="717"/>
      <c r="X10" s="71"/>
      <c r="Y10" s="717"/>
      <c r="Z10" s="717"/>
      <c r="AA10" s="71"/>
      <c r="AB10" s="723"/>
      <c r="AC10" s="723"/>
      <c r="AD10" s="81"/>
      <c r="AE10" s="723"/>
      <c r="AF10" s="723"/>
      <c r="AG10" s="71"/>
      <c r="AH10" s="731"/>
      <c r="AI10" s="731"/>
      <c r="AJ10" s="9"/>
      <c r="AK10" s="731"/>
      <c r="AL10" s="731"/>
      <c r="AM10" s="9"/>
      <c r="AN10" s="731"/>
      <c r="AO10" s="731"/>
      <c r="AP10" s="9"/>
      <c r="AQ10" s="731"/>
      <c r="AR10" s="731"/>
      <c r="AS10" s="71"/>
      <c r="AT10" s="717"/>
      <c r="AU10" s="71"/>
      <c r="AV10" s="717"/>
      <c r="AW10" s="717"/>
      <c r="AX10" s="322"/>
      <c r="AY10" s="708"/>
      <c r="AZ10" s="71"/>
      <c r="BA10" s="708"/>
      <c r="BB10" s="708"/>
      <c r="BC10" s="71"/>
      <c r="BD10" s="717"/>
      <c r="BE10" s="717"/>
      <c r="BF10" s="71"/>
      <c r="BG10" s="717"/>
      <c r="BH10" s="717"/>
      <c r="BJ10" s="708"/>
      <c r="BK10" s="708"/>
      <c r="BL10" s="708"/>
      <c r="BM10" s="322"/>
      <c r="BN10" s="717"/>
      <c r="BO10" s="717"/>
      <c r="BQ10" s="322"/>
      <c r="BR10" s="322"/>
    </row>
    <row r="11" spans="1:70" ht="15.75" customHeight="1" thickBot="1" x14ac:dyDescent="0.2">
      <c r="B11" s="460" t="s">
        <v>95</v>
      </c>
      <c r="C11" s="86"/>
      <c r="D11" s="104"/>
      <c r="E11" s="104"/>
      <c r="F11" s="86"/>
      <c r="G11" s="104"/>
      <c r="J11" s="71"/>
      <c r="K11" s="71"/>
      <c r="L11" s="71"/>
      <c r="M11" s="71"/>
      <c r="N11" s="71"/>
      <c r="O11" s="322" t="s">
        <v>96</v>
      </c>
      <c r="P11" s="322"/>
      <c r="Q11" s="322"/>
      <c r="R11" s="322" t="s">
        <v>96</v>
      </c>
      <c r="S11" s="322"/>
      <c r="T11" s="322"/>
      <c r="U11" s="71"/>
      <c r="V11" s="322"/>
      <c r="W11" s="322"/>
      <c r="X11" s="71"/>
      <c r="Y11" s="322"/>
      <c r="Z11" s="322"/>
      <c r="AA11" s="71"/>
      <c r="AB11" s="322"/>
      <c r="AC11" s="322"/>
      <c r="AD11" s="71"/>
      <c r="AE11" s="322"/>
      <c r="AF11" s="322"/>
      <c r="AG11" s="71"/>
      <c r="AH11" s="322"/>
      <c r="AI11" s="322"/>
      <c r="AJ11" s="71"/>
      <c r="AK11" s="322"/>
      <c r="AL11" s="322"/>
      <c r="AM11" s="71"/>
      <c r="AN11" s="322"/>
      <c r="AO11" s="322"/>
      <c r="AP11" s="71"/>
      <c r="AQ11" s="322"/>
      <c r="AR11" s="322"/>
      <c r="AS11" s="71"/>
      <c r="AT11" s="322"/>
      <c r="AU11" s="71"/>
      <c r="AV11" s="322"/>
      <c r="AW11" s="322"/>
      <c r="AX11" s="322"/>
      <c r="AY11" s="71"/>
      <c r="AZ11" s="71"/>
      <c r="BA11" s="71"/>
      <c r="BB11" s="322"/>
      <c r="BC11" s="71"/>
      <c r="BD11" s="322"/>
      <c r="BE11" s="322"/>
      <c r="BF11" s="71"/>
      <c r="BG11" s="322"/>
      <c r="BH11" s="322"/>
      <c r="BJ11" s="156"/>
      <c r="BM11" s="322"/>
      <c r="BN11" s="322"/>
      <c r="BO11" s="322"/>
      <c r="BQ11" s="322"/>
      <c r="BR11" s="322"/>
    </row>
    <row r="12" spans="1:70" ht="14.25" customHeight="1" x14ac:dyDescent="0.15">
      <c r="J12" s="71"/>
      <c r="K12" s="71"/>
      <c r="L12" s="71"/>
      <c r="M12" s="71"/>
      <c r="N12" s="71"/>
      <c r="O12" s="322"/>
      <c r="P12" s="707" t="s">
        <v>97</v>
      </c>
      <c r="Q12" s="71"/>
      <c r="R12" s="71"/>
      <c r="S12" s="71"/>
      <c r="T12" s="71"/>
      <c r="U12" s="71"/>
      <c r="V12" s="71"/>
      <c r="W12" s="707" t="s">
        <v>98</v>
      </c>
      <c r="X12" s="71"/>
      <c r="Y12" s="71"/>
      <c r="Z12" s="707" t="s">
        <v>98</v>
      </c>
      <c r="AA12" s="71"/>
      <c r="AB12" s="71"/>
      <c r="AC12" s="707" t="s">
        <v>98</v>
      </c>
      <c r="AD12" s="71"/>
      <c r="AE12" s="71"/>
      <c r="AF12" s="707" t="s">
        <v>98</v>
      </c>
      <c r="AG12" s="71"/>
      <c r="AH12" s="71"/>
      <c r="AI12" s="707" t="s">
        <v>98</v>
      </c>
      <c r="AJ12" s="71"/>
      <c r="AK12" s="71"/>
      <c r="AL12" s="707" t="s">
        <v>98</v>
      </c>
      <c r="AM12" s="71"/>
      <c r="AN12" s="71"/>
      <c r="AO12" s="707" t="s">
        <v>98</v>
      </c>
      <c r="AP12" s="71"/>
      <c r="AQ12" s="71"/>
      <c r="AR12" s="707" t="s">
        <v>98</v>
      </c>
      <c r="AS12" s="71"/>
      <c r="AT12" s="71"/>
      <c r="AU12" s="71"/>
      <c r="AV12" s="71"/>
      <c r="AW12" s="707" t="s">
        <v>98</v>
      </c>
      <c r="AX12" s="71"/>
      <c r="AY12" s="71"/>
      <c r="AZ12" s="71"/>
      <c r="BA12" s="71"/>
      <c r="BB12" s="707" t="s">
        <v>98</v>
      </c>
      <c r="BC12" s="71"/>
      <c r="BD12" s="71"/>
      <c r="BE12" s="707" t="s">
        <v>98</v>
      </c>
      <c r="BF12" s="71"/>
      <c r="BG12" s="71"/>
      <c r="BH12" s="707" t="s">
        <v>98</v>
      </c>
      <c r="BJ12" s="709" t="s">
        <v>99</v>
      </c>
      <c r="BK12" s="709" t="s">
        <v>100</v>
      </c>
      <c r="BL12" s="709" t="s">
        <v>101</v>
      </c>
      <c r="BO12" s="709" t="s">
        <v>102</v>
      </c>
      <c r="BQ12" s="71"/>
      <c r="BR12" s="707" t="s">
        <v>103</v>
      </c>
    </row>
    <row r="13" spans="1:70" ht="14.25" customHeight="1" x14ac:dyDescent="0.15">
      <c r="C13" s="9" t="s">
        <v>504</v>
      </c>
      <c r="F13" s="66">
        <v>2.5000000000000001E-2</v>
      </c>
      <c r="G13" s="81" t="s">
        <v>173</v>
      </c>
      <c r="J13" s="71"/>
      <c r="K13" s="71"/>
      <c r="L13" s="71"/>
      <c r="M13" s="71"/>
      <c r="N13" s="71"/>
      <c r="O13" s="322"/>
      <c r="P13" s="708"/>
      <c r="Q13" s="322"/>
      <c r="R13" s="322"/>
      <c r="S13" s="322"/>
      <c r="T13" s="322"/>
      <c r="U13" s="71"/>
      <c r="V13" s="322"/>
      <c r="W13" s="708"/>
      <c r="X13" s="71"/>
      <c r="Y13" s="322"/>
      <c r="Z13" s="708"/>
      <c r="AA13" s="71"/>
      <c r="AB13" s="322"/>
      <c r="AC13" s="708"/>
      <c r="AD13" s="71"/>
      <c r="AE13" s="322"/>
      <c r="AF13" s="708"/>
      <c r="AG13" s="71"/>
      <c r="AH13" s="322"/>
      <c r="AI13" s="708"/>
      <c r="AJ13" s="71"/>
      <c r="AK13" s="322"/>
      <c r="AL13" s="708"/>
      <c r="AM13" s="71"/>
      <c r="AN13" s="322"/>
      <c r="AO13" s="708"/>
      <c r="AP13" s="71"/>
      <c r="AQ13" s="322"/>
      <c r="AR13" s="708"/>
      <c r="AS13" s="71"/>
      <c r="AT13" s="322"/>
      <c r="AU13" s="71"/>
      <c r="AV13" s="322"/>
      <c r="AW13" s="708"/>
      <c r="AX13" s="71"/>
      <c r="AY13" s="71"/>
      <c r="AZ13" s="71"/>
      <c r="BA13" s="71"/>
      <c r="BB13" s="708"/>
      <c r="BC13" s="71"/>
      <c r="BD13" s="322"/>
      <c r="BE13" s="708"/>
      <c r="BF13" s="71"/>
      <c r="BG13" s="322"/>
      <c r="BH13" s="708"/>
      <c r="BJ13" s="712"/>
      <c r="BK13" s="710"/>
      <c r="BL13" s="708"/>
      <c r="BM13" s="322"/>
      <c r="BO13" s="708"/>
      <c r="BQ13" s="322"/>
      <c r="BR13" s="708"/>
    </row>
    <row r="14" spans="1:70" ht="16.5" x14ac:dyDescent="0.15">
      <c r="C14" s="9" t="s">
        <v>505</v>
      </c>
      <c r="F14" s="88">
        <f>VLOOKUP(F3&amp;IF(G4&lt;&gt;"","_"&amp;G4,""),まとめ!$A$12:$G$34,IF(F7=2030,4,IF(F7=2020,3,IF(F7=2014,2,"-"))),0)</f>
        <v>17.2</v>
      </c>
      <c r="G14" s="81" t="s">
        <v>172</v>
      </c>
      <c r="J14" s="71"/>
      <c r="K14" s="71"/>
      <c r="L14" s="71"/>
      <c r="M14" s="71"/>
      <c r="N14" s="71"/>
      <c r="O14" s="322"/>
      <c r="P14" s="322"/>
      <c r="Q14" s="322"/>
      <c r="R14" s="322"/>
      <c r="S14" s="322"/>
      <c r="T14" s="322"/>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50" t="s">
        <v>104</v>
      </c>
      <c r="AU14" s="71"/>
      <c r="AV14" s="71"/>
      <c r="AW14" s="71"/>
      <c r="AX14" s="71"/>
      <c r="AY14" s="71" t="s">
        <v>105</v>
      </c>
      <c r="AZ14" s="71"/>
      <c r="BA14" s="71"/>
      <c r="BB14" s="71"/>
      <c r="BC14" s="71"/>
      <c r="BD14" s="71"/>
      <c r="BE14" s="71"/>
      <c r="BF14" s="71"/>
      <c r="BG14" s="71"/>
      <c r="BH14" s="71"/>
      <c r="BQ14" s="71"/>
      <c r="BR14" s="71"/>
    </row>
    <row r="15" spans="1:70" x14ac:dyDescent="0.15">
      <c r="C15" s="9" t="s">
        <v>506</v>
      </c>
      <c r="F15" s="88">
        <f>VLOOKUP(F3&amp;IF(G4&lt;&gt;"","_"&amp;G4,""),まとめ!$A$12:$G$34,IF(F7=2030,7,IF(F7=2020,6,IF(F7=2014,5,"-"))),0)</f>
        <v>25</v>
      </c>
      <c r="G15" s="81" t="s">
        <v>108</v>
      </c>
      <c r="I15" s="458">
        <f>F7</f>
        <v>2020</v>
      </c>
      <c r="J15" s="39"/>
      <c r="K15" s="39">
        <f>IF(I15&lt;&gt;"",1,"")</f>
        <v>1</v>
      </c>
      <c r="L15" s="39"/>
      <c r="M15" s="40">
        <f t="shared" ref="M15:M78" si="0">1/(1+($F$9/100))^K15</f>
        <v>0.970873786407767</v>
      </c>
      <c r="N15" s="39"/>
      <c r="O15" s="72">
        <f>F117</f>
        <v>52000000</v>
      </c>
      <c r="P15" s="41">
        <f t="shared" ref="P15:P46" si="1">IF(K15&lt;=$F$15,IF(OR(P14=$F$124,P14="-"),"-",IF(O15*$F$123&gt;$F$127,$F$123,$F$124)),"")</f>
        <v>0.14699999999999999</v>
      </c>
      <c r="Q15" s="39"/>
      <c r="R15" s="123">
        <f>F117</f>
        <v>52000000</v>
      </c>
      <c r="S15" s="39"/>
      <c r="T15" s="72">
        <f>IF(ISNUMBER(R15),ROUNDDOWN(R15,-3),"")</f>
        <v>52000000</v>
      </c>
      <c r="U15" s="39"/>
      <c r="V15" s="72">
        <f t="shared" ref="V15:V46" si="2">IF(K15&lt;=$F$15,IF(K15&lt;$F$119,IF(P15="-",V14,O15*P15),IF(K15=$F$119,MIN(IF(P15="-",V14,O15*P15),O15),0)),"")</f>
        <v>7644000</v>
      </c>
      <c r="W15" s="72">
        <f>IF(ISNUMBER(V15),V15*$M15,"")</f>
        <v>7421359.2233009711</v>
      </c>
      <c r="X15" s="39"/>
      <c r="Y15" s="72">
        <f t="shared" ref="Y15:Y46" si="3">IF($K15&lt;=$F$15,ROUNDDOWN(T15*$F$25/100,-2),"")</f>
        <v>728000</v>
      </c>
      <c r="Z15" s="72">
        <f>IF(ISNUMBER(Y15),Y15*$M15,"")</f>
        <v>706796.11650485441</v>
      </c>
      <c r="AA15" s="39"/>
      <c r="AB15" s="72">
        <f t="shared" ref="AB15:AB78" si="4">IF($K15&lt;=$F$15,0,IF(AND($K15&gt;$F$15,$K15&lt;=$F$15+$F$28),$F$27*10^8/$F$28,""))</f>
        <v>0</v>
      </c>
      <c r="AC15" s="72">
        <f>IF(ISNUMBER(AB15),AB15*$M15,"")</f>
        <v>0</v>
      </c>
      <c r="AD15" s="39"/>
      <c r="AE15" s="72">
        <f t="shared" ref="AE15:AE46" si="5">IF($K15&lt;=$F$15,$F$26,"")</f>
        <v>0</v>
      </c>
      <c r="AF15" s="72">
        <f>IF(ISNUMBER(AE15),AE15*$M15,"")</f>
        <v>0</v>
      </c>
      <c r="AG15" s="39"/>
      <c r="AH15" s="72">
        <f t="shared" ref="AH15:AH46" si="6">IF($K15&lt;=$F$15,$F$33*10^4*$F$13*10^4,"")</f>
        <v>1200000</v>
      </c>
      <c r="AI15" s="72">
        <f>IF(ISNUMBER(AH15),AH15*$M15,"")</f>
        <v>1165048.5436893203</v>
      </c>
      <c r="AJ15" s="39"/>
      <c r="AK15" s="72">
        <f t="shared" ref="AK15:AK46" si="7">IF($K15&lt;=$F$15,$F$117*$F$34/100,"")</f>
        <v>0</v>
      </c>
      <c r="AL15" s="72">
        <f>IF(ISNUMBER(AK15),AK15*$M15,"")</f>
        <v>0</v>
      </c>
      <c r="AM15" s="39"/>
      <c r="AN15" s="72">
        <f t="shared" ref="AN15:AN46" si="8">IF($K15&lt;=$F$15,$F$117*$F$35/100,"")</f>
        <v>0</v>
      </c>
      <c r="AO15" s="72">
        <f>IF(ISNUMBER(AN15),AN15*$M15,"")</f>
        <v>0</v>
      </c>
      <c r="AP15" s="39"/>
      <c r="AQ15" s="72">
        <f t="shared" ref="AQ15:AQ46" si="9">IF($K15&lt;=$F$15,SUM(AH15,AK15,AN15)*($F$36/100),"")</f>
        <v>0</v>
      </c>
      <c r="AR15" s="72">
        <f>IF(ISNUMBER(AQ15),AQ15*$M15,"")</f>
        <v>0</v>
      </c>
      <c r="AS15" s="39"/>
      <c r="AT15" s="40">
        <f>IF($K15&lt;=$F$15,IF($F$40&lt;&gt;"",$F$40/1000,IF(ISERROR(VLOOKUP($F$3&amp;IF($G$4&lt;&gt;"",$G$4,"")&amp;IF($F$43&lt;&gt;"","_"&amp;$F$43,""),'表3）燃料価格'!$AF$9:$AG$25,2,0)),0,VLOOKUP($I15,'表3）燃料価格'!$A$6:$U$66,VLOOKUP($F$3&amp;IF($G$4&lt;&gt;"",$G$4,"")&amp;IF($F$43&lt;&gt;"","_"&amp;$F$43,""),'表3）燃料価格'!$AF$9:$AG$25,2,0)+VLOOKUP($F$41,'表3）燃料価格'!$AF$28:$AG$29,2,0),0)*IF($F$43="需要地価格",1,$F$8/$F$141))),"")</f>
        <v>0</v>
      </c>
      <c r="AU15" s="39"/>
      <c r="AV15" s="72">
        <f t="shared" ref="AV15:AV46" si="10">IF($K15&lt;=$F$15,($AT15+$F$142)*$F$137,"")</f>
        <v>0</v>
      </c>
      <c r="AW15" s="72">
        <f>IF(ISNUMBER(AV15),AV15*$M15,"")</f>
        <v>0</v>
      </c>
      <c r="AX15" s="39"/>
      <c r="AY15" s="40">
        <f>IF(ISERROR(IF($K15&lt;=$F$15,VLOOKUP($I15,'表4）CO2価格'!$A$7:$E$67,VLOOKUP($F$48,'表4）CO2価格'!$H$10:$I$12,2,0),0)*$F$8/1000,"")),0,IF($K15&lt;=$F$15,VLOOKUP($I15,'表4）CO2価格'!$A$7:$E$67,VLOOKUP($F$48,'表4）CO2価格'!$H$10:$I$12,2,0),0)*$F$8/1000,""))</f>
        <v>0</v>
      </c>
      <c r="AZ15" s="39"/>
      <c r="BA15" s="42">
        <f t="shared" ref="BA15:BA46" si="11">IF($K15&lt;=$F$15,$F$145*AY15,"")</f>
        <v>0</v>
      </c>
      <c r="BB15" s="72">
        <f>IF(ISNUMBER(BA15),BA15*$M15,"")</f>
        <v>0</v>
      </c>
      <c r="BC15" s="39"/>
      <c r="BD15" s="72">
        <f t="shared" ref="BD15:BD46" si="12">IF($K15&lt;=$F$15,($AT15+$F$152)*$F$151,"")</f>
        <v>0</v>
      </c>
      <c r="BE15" s="72">
        <f>IF(ISNUMBER(BD15),BD15*$M15,"")</f>
        <v>0</v>
      </c>
      <c r="BF15" s="39"/>
      <c r="BG15" s="42">
        <f t="shared" ref="BG15:BG46" si="13">IF($K15&lt;=$F$15,$F$153*AY15,"")</f>
        <v>0</v>
      </c>
      <c r="BH15" s="72">
        <f>IF(ISNUMBER(BG15),BG15*$M15,"")</f>
        <v>0</v>
      </c>
      <c r="BI15" s="39"/>
      <c r="BJ15" s="40">
        <f>IF(ISNUMBER($F$16),IF($K15&lt;=$F$16+$F$28,1/(1+($F$17/100))^K15,""),"")</f>
        <v>0.96153846153846145</v>
      </c>
      <c r="BK15" s="157">
        <f>IF(ISNUMBER($F$16),IF($K15&lt;=$F$16+$F$28,IF($K15&lt;=$F$16,SUM(Y15,AB15,AE15,AH15,AK15,AN15,AQ15,AV15,BA15,BD15,BG15),$F$27/$F$28*10^8)*BJ15,""),"")</f>
        <v>1853846.1538461538</v>
      </c>
      <c r="BL15" s="157">
        <f t="shared" ref="BL15:BL78" si="14">IF(AND(ISNUMBER(BJ15),$K15&lt;=$F$16),BQ15*BJ15,"")</f>
        <v>362192.30769230769</v>
      </c>
      <c r="BM15" s="72"/>
      <c r="BN15" s="72">
        <f>IF(AND(ISNUMBER($F$16),$K15&lt;=$F$16),BQ15*($O$15+$BK$116)/$BL$116,"")</f>
        <v>5418541.3541934285</v>
      </c>
      <c r="BO15" s="72">
        <f>IF(ISNUMBER(BN15),BN15*$M15,"")</f>
        <v>5260719.7613528436</v>
      </c>
      <c r="BP15" s="39"/>
      <c r="BQ15" s="72">
        <f t="shared" ref="BQ15:BQ46" si="15">IF($K15&lt;=$F$15,$F$134,"")</f>
        <v>376680</v>
      </c>
      <c r="BR15" s="72">
        <f>IF(ISNUMBER(BQ15),BQ15*$M15,"")</f>
        <v>365708.73786407767</v>
      </c>
    </row>
    <row r="16" spans="1:70" x14ac:dyDescent="0.15">
      <c r="C16" s="236" t="s">
        <v>107</v>
      </c>
      <c r="F16" s="88">
        <f>IF(ISERROR(VLOOKUP(F3&amp;IF(G4&lt;&gt;"","_"&amp;G4,""),'表7）買取期間・IRR'!$A$3:$A$10,1,0)),"",VLOOKUP(F3&amp;IF(G4&lt;&gt;"","_"&amp;G4,""),'表7）買取期間・IRR'!$A$3:$C$10,IF(F7=2030,3,IF(F7=2020,3,IF(F7=2014,2,"-"))),0))</f>
        <v>20</v>
      </c>
      <c r="G16" s="81" t="s">
        <v>108</v>
      </c>
      <c r="I16" s="459">
        <f>I15+1</f>
        <v>2021</v>
      </c>
      <c r="J16" s="71"/>
      <c r="K16" s="71">
        <f>IF(I16&lt;&gt;"",K15+1,"")</f>
        <v>2</v>
      </c>
      <c r="L16" s="71"/>
      <c r="M16" s="7">
        <f t="shared" si="0"/>
        <v>0.94259590913375435</v>
      </c>
      <c r="N16" s="71"/>
      <c r="O16" s="10">
        <f t="shared" ref="O16:O79" si="16">IF(K16&lt;=$F$15,O15-V15,"")</f>
        <v>44356000</v>
      </c>
      <c r="P16" s="29">
        <f t="shared" si="1"/>
        <v>0.14699999999999999</v>
      </c>
      <c r="Q16" s="71"/>
      <c r="R16" s="10">
        <f t="shared" ref="R16:R47" si="17">IF($K16&lt;=$F$15,MAX($F$117*5%,R15*$F$129),"")</f>
        <v>45412960.443907849</v>
      </c>
      <c r="S16" s="71"/>
      <c r="T16" s="10">
        <f t="shared" ref="T16:T79" si="18">IF(ISNUMBER(R16),ROUNDDOWN(R16,-3),"")</f>
        <v>45412000</v>
      </c>
      <c r="U16" s="71"/>
      <c r="V16" s="10">
        <f t="shared" si="2"/>
        <v>6520332</v>
      </c>
      <c r="W16" s="10">
        <f t="shared" ref="W16:W79" si="19">IF(ISNUMBER(V16),V16*$M16,"")</f>
        <v>6146038.2693939107</v>
      </c>
      <c r="X16" s="71"/>
      <c r="Y16" s="10">
        <f t="shared" si="3"/>
        <v>635700</v>
      </c>
      <c r="Z16" s="10">
        <f t="shared" ref="Z16:Z79" si="20">IF(ISNUMBER(Y16),Y16*$M16,"")</f>
        <v>599208.21943632769</v>
      </c>
      <c r="AA16" s="71"/>
      <c r="AB16" s="10">
        <f t="shared" si="4"/>
        <v>0</v>
      </c>
      <c r="AC16" s="10">
        <f t="shared" ref="AC16:AC79" si="21">IF(ISNUMBER(AB16),AB16*$M16,"")</f>
        <v>0</v>
      </c>
      <c r="AD16" s="71"/>
      <c r="AE16" s="10">
        <f t="shared" si="5"/>
        <v>0</v>
      </c>
      <c r="AF16" s="10">
        <f t="shared" ref="AF16:AF79" si="22">IF(ISNUMBER(AE16),AE16*$M16,"")</f>
        <v>0</v>
      </c>
      <c r="AG16" s="71"/>
      <c r="AH16" s="10">
        <f t="shared" si="6"/>
        <v>1200000</v>
      </c>
      <c r="AI16" s="10">
        <f t="shared" ref="AI16:AI79" si="23">IF(ISNUMBER(AH16),AH16*$M16,"")</f>
        <v>1131115.0909605052</v>
      </c>
      <c r="AJ16" s="71"/>
      <c r="AK16" s="10">
        <f t="shared" si="7"/>
        <v>0</v>
      </c>
      <c r="AL16" s="10">
        <f t="shared" ref="AL16:AL79" si="24">IF(ISNUMBER(AK16),AK16*$M16,"")</f>
        <v>0</v>
      </c>
      <c r="AM16" s="71"/>
      <c r="AN16" s="10">
        <f t="shared" si="8"/>
        <v>0</v>
      </c>
      <c r="AO16" s="10">
        <f t="shared" ref="AO16:AO79" si="25">IF(ISNUMBER(AN16),AN16*$M16,"")</f>
        <v>0</v>
      </c>
      <c r="AP16" s="71"/>
      <c r="AQ16" s="10">
        <f t="shared" si="9"/>
        <v>0</v>
      </c>
      <c r="AR16" s="10">
        <f t="shared" ref="AR16:AR79" si="26">IF(ISNUMBER(AQ16),AQ16*$M16,"")</f>
        <v>0</v>
      </c>
      <c r="AS16" s="71"/>
      <c r="AT16" s="7">
        <f>IF($K16&lt;=$F$15,IF($F$40&lt;&gt;"",$F$40/1000,IF(ISERROR(VLOOKUP($F$3&amp;IF($G$4&lt;&gt;"",$G$4,"")&amp;IF($F$43&lt;&gt;"","_"&amp;$F$43,""),'表3）燃料価格'!$AF$9:$AG$25,2,0)),0,VLOOKUP($I16,'表3）燃料価格'!$A$6:$U$66,VLOOKUP($F$3&amp;IF($G$4&lt;&gt;"",$G$4,"")&amp;IF($F$43&lt;&gt;"","_"&amp;$F$43,""),'表3）燃料価格'!$AF$9:$AG$25,2,0)+VLOOKUP($F$41,'表3）燃料価格'!$AF$28:$AG$29,2,0),0)*IF($F$43="需要地価格",1,$F$8/$F$141))),"")</f>
        <v>0</v>
      </c>
      <c r="AU16" s="71"/>
      <c r="AV16" s="10">
        <f t="shared" si="10"/>
        <v>0</v>
      </c>
      <c r="AW16" s="10">
        <f t="shared" ref="AW16:AW79" si="27">IF(ISNUMBER(AV16),AV16*$M16,"")</f>
        <v>0</v>
      </c>
      <c r="AX16" s="71"/>
      <c r="AY16" s="7">
        <f>IF(ISERROR(IF($K16&lt;=$F$15,VLOOKUP($I16,'表4）CO2価格'!$A$7:$E$67,VLOOKUP($F$48,'表4）CO2価格'!$H$10:$I$12,2,0),0)*$F$8/1000,"")),0,IF($K16&lt;=$F$15,VLOOKUP($I16,'表4）CO2価格'!$A$7:$E$67,VLOOKUP($F$48,'表4）CO2価格'!$H$10:$I$12,2,0),0)*$F$8/1000,""))</f>
        <v>0</v>
      </c>
      <c r="AZ16" s="71"/>
      <c r="BA16" s="11">
        <f t="shared" si="11"/>
        <v>0</v>
      </c>
      <c r="BB16" s="10">
        <f t="shared" ref="BB16:BB79" si="28">IF(ISNUMBER(BA16),BA16*$M16,"")</f>
        <v>0</v>
      </c>
      <c r="BC16" s="71"/>
      <c r="BD16" s="10">
        <f t="shared" si="12"/>
        <v>0</v>
      </c>
      <c r="BE16" s="10">
        <f t="shared" ref="BE16:BE79" si="29">IF(ISNUMBER(BD16),BD16*$M16,"")</f>
        <v>0</v>
      </c>
      <c r="BF16" s="71"/>
      <c r="BG16" s="11">
        <f t="shared" si="13"/>
        <v>0</v>
      </c>
      <c r="BH16" s="10">
        <f t="shared" ref="BH16:BH79" si="30">IF(ISNUMBER(BG16),BG16*$M16,"")</f>
        <v>0</v>
      </c>
      <c r="BJ16" s="7">
        <f t="shared" ref="BJ16:BJ79" si="31">IF(ISNUMBER($F$16),IF($K16&lt;=$F$16+$F$28,1/(1+($F$17/100))^K16,""),"")</f>
        <v>0.92455621301775137</v>
      </c>
      <c r="BK16" s="158">
        <f t="shared" ref="BK16:BK79" si="32">IF(ISNUMBER($F$16),IF($K16&lt;=$F$16+$F$28,IF($K16&lt;=$F$16,SUM(Y16,AB16,AE16,AH16,AK16,AN16,AQ16,AV16,BA16,BD16,BG16),$F$27/$F$28*10^8)*BJ16,""),"")</f>
        <v>1697207.8402366862</v>
      </c>
      <c r="BL16" s="158">
        <f t="shared" si="14"/>
        <v>348261.83431952656</v>
      </c>
      <c r="BM16" s="10"/>
      <c r="BN16" s="10">
        <f t="shared" ref="BN16:BN79" si="33">IF(AND(ISNUMBER($F$16),$K16&lt;=$F$16),BQ16*($O$15+$BK$116)/$BL$116,"")</f>
        <v>5418541.3541934285</v>
      </c>
      <c r="BO16" s="10">
        <f t="shared" ref="BO16:BO79" si="34">IF(ISNUMBER(BN16),BN16*$M16,"")</f>
        <v>5107494.9139347989</v>
      </c>
      <c r="BQ16" s="10">
        <f t="shared" si="15"/>
        <v>376680</v>
      </c>
      <c r="BR16" s="10">
        <f t="shared" ref="BR16:BR79" si="35">IF(ISNUMBER(BQ16),BQ16*$M16,"")</f>
        <v>355057.02705250261</v>
      </c>
    </row>
    <row r="17" spans="3:70" x14ac:dyDescent="0.15">
      <c r="C17" s="9" t="s">
        <v>109</v>
      </c>
      <c r="F17" s="143">
        <f>IF(ISERROR(VLOOKUP(F3&amp;IF(G4&lt;&gt;"","_"&amp;G4,""),'表7）買取期間・IRR'!$A$14:$C$21,1,0)),"",VLOOKUP(F3&amp;IF(G4&lt;&gt;"","_"&amp;G4,""),'表7）買取期間・IRR'!$A$14:$C$21,IF(F7=2030,3,IF(F7=2020,2,"-")),0))</f>
        <v>4</v>
      </c>
      <c r="G17" s="81" t="s">
        <v>172</v>
      </c>
      <c r="I17" s="458">
        <f t="shared" ref="I17:I80" si="36">I16+1</f>
        <v>2022</v>
      </c>
      <c r="J17" s="39"/>
      <c r="K17" s="39">
        <f t="shared" ref="K17:K80" si="37">IF(I17&lt;&gt;"",K16+1,"")</f>
        <v>3</v>
      </c>
      <c r="L17" s="39"/>
      <c r="M17" s="40">
        <f t="shared" si="0"/>
        <v>0.91514165935315961</v>
      </c>
      <c r="N17" s="39"/>
      <c r="O17" s="72">
        <f t="shared" si="16"/>
        <v>37835668</v>
      </c>
      <c r="P17" s="41">
        <f t="shared" si="1"/>
        <v>0.14699999999999999</v>
      </c>
      <c r="Q17" s="39"/>
      <c r="R17" s="72">
        <f t="shared" si="17"/>
        <v>39660326.466921911</v>
      </c>
      <c r="S17" s="39"/>
      <c r="T17" s="72">
        <f t="shared" si="18"/>
        <v>39660000</v>
      </c>
      <c r="U17" s="39"/>
      <c r="V17" s="72">
        <f t="shared" si="2"/>
        <v>5561843.1959999995</v>
      </c>
      <c r="W17" s="72">
        <f t="shared" si="19"/>
        <v>5089874.4114495199</v>
      </c>
      <c r="X17" s="39"/>
      <c r="Y17" s="72">
        <f t="shared" si="3"/>
        <v>555200</v>
      </c>
      <c r="Z17" s="72">
        <f t="shared" si="20"/>
        <v>508086.64927287423</v>
      </c>
      <c r="AA17" s="39"/>
      <c r="AB17" s="72">
        <f t="shared" si="4"/>
        <v>0</v>
      </c>
      <c r="AC17" s="72">
        <f t="shared" si="21"/>
        <v>0</v>
      </c>
      <c r="AD17" s="39"/>
      <c r="AE17" s="72">
        <f t="shared" si="5"/>
        <v>0</v>
      </c>
      <c r="AF17" s="72">
        <f t="shared" si="22"/>
        <v>0</v>
      </c>
      <c r="AG17" s="39"/>
      <c r="AH17" s="72">
        <f t="shared" si="6"/>
        <v>1200000</v>
      </c>
      <c r="AI17" s="72">
        <f t="shared" si="23"/>
        <v>1098169.9912237916</v>
      </c>
      <c r="AJ17" s="39"/>
      <c r="AK17" s="72">
        <f t="shared" si="7"/>
        <v>0</v>
      </c>
      <c r="AL17" s="72">
        <f t="shared" si="24"/>
        <v>0</v>
      </c>
      <c r="AM17" s="39"/>
      <c r="AN17" s="72">
        <f t="shared" si="8"/>
        <v>0</v>
      </c>
      <c r="AO17" s="72">
        <f t="shared" si="25"/>
        <v>0</v>
      </c>
      <c r="AP17" s="39"/>
      <c r="AQ17" s="72">
        <f t="shared" si="9"/>
        <v>0</v>
      </c>
      <c r="AR17" s="72">
        <f t="shared" si="26"/>
        <v>0</v>
      </c>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0</v>
      </c>
      <c r="AU17" s="39"/>
      <c r="AV17" s="72">
        <f t="shared" si="10"/>
        <v>0</v>
      </c>
      <c r="AW17" s="72">
        <f t="shared" si="27"/>
        <v>0</v>
      </c>
      <c r="AX17" s="39"/>
      <c r="AY17" s="40">
        <f>IF(ISERROR(IF($K17&lt;=$F$15,VLOOKUP($I17,'表4）CO2価格'!$A$7:$E$67,VLOOKUP($F$48,'表4）CO2価格'!$H$10:$I$12,2,0),0)*$F$8/1000,"")),0,IF($K17&lt;=$F$15,VLOOKUP($I17,'表4）CO2価格'!$A$7:$E$67,VLOOKUP($F$48,'表4）CO2価格'!$H$10:$I$12,2,0),0)*$F$8/1000,""))</f>
        <v>0</v>
      </c>
      <c r="AZ17" s="39"/>
      <c r="BA17" s="42">
        <f t="shared" si="11"/>
        <v>0</v>
      </c>
      <c r="BB17" s="72">
        <f t="shared" si="28"/>
        <v>0</v>
      </c>
      <c r="BC17" s="39"/>
      <c r="BD17" s="72">
        <f t="shared" si="12"/>
        <v>0</v>
      </c>
      <c r="BE17" s="72">
        <f t="shared" si="29"/>
        <v>0</v>
      </c>
      <c r="BF17" s="39"/>
      <c r="BG17" s="42">
        <f t="shared" si="13"/>
        <v>0</v>
      </c>
      <c r="BH17" s="72">
        <f t="shared" si="30"/>
        <v>0</v>
      </c>
      <c r="BI17" s="39"/>
      <c r="BJ17" s="40">
        <f t="shared" si="31"/>
        <v>0.88899635867091487</v>
      </c>
      <c r="BK17" s="157">
        <f t="shared" si="32"/>
        <v>1560366.4087391899</v>
      </c>
      <c r="BL17" s="157">
        <f t="shared" si="14"/>
        <v>334867.14838416019</v>
      </c>
      <c r="BM17" s="72"/>
      <c r="BN17" s="72">
        <f t="shared" si="33"/>
        <v>5418541.3541934285</v>
      </c>
      <c r="BO17" s="72">
        <f t="shared" si="34"/>
        <v>4958732.9261502903</v>
      </c>
      <c r="BP17" s="39"/>
      <c r="BQ17" s="72">
        <f t="shared" si="15"/>
        <v>376680</v>
      </c>
      <c r="BR17" s="72">
        <f t="shared" si="35"/>
        <v>344715.56024514814</v>
      </c>
    </row>
    <row r="18" spans="3:70" x14ac:dyDescent="0.15">
      <c r="I18" s="459">
        <f t="shared" si="36"/>
        <v>2023</v>
      </c>
      <c r="J18" s="71"/>
      <c r="K18" s="71">
        <f t="shared" si="37"/>
        <v>4</v>
      </c>
      <c r="L18" s="71"/>
      <c r="M18" s="7">
        <f t="shared" si="0"/>
        <v>0.888487047915689</v>
      </c>
      <c r="N18" s="71"/>
      <c r="O18" s="10">
        <f t="shared" si="16"/>
        <v>32273824.804000001</v>
      </c>
      <c r="P18" s="29">
        <f t="shared" si="1"/>
        <v>0.14699999999999999</v>
      </c>
      <c r="Q18" s="71"/>
      <c r="R18" s="10">
        <f t="shared" si="17"/>
        <v>34636400.712207623</v>
      </c>
      <c r="S18" s="71"/>
      <c r="T18" s="10">
        <f t="shared" si="18"/>
        <v>34636000</v>
      </c>
      <c r="U18" s="71"/>
      <c r="V18" s="10">
        <f t="shared" si="2"/>
        <v>4744252.2461879998</v>
      </c>
      <c r="W18" s="10">
        <f t="shared" si="19"/>
        <v>4215206.6727829529</v>
      </c>
      <c r="X18" s="71"/>
      <c r="Y18" s="10">
        <f t="shared" si="3"/>
        <v>484900</v>
      </c>
      <c r="Z18" s="10">
        <f t="shared" si="20"/>
        <v>430827.36953431758</v>
      </c>
      <c r="AA18" s="71"/>
      <c r="AB18" s="10">
        <f t="shared" si="4"/>
        <v>0</v>
      </c>
      <c r="AC18" s="10">
        <f t="shared" si="21"/>
        <v>0</v>
      </c>
      <c r="AD18" s="71"/>
      <c r="AE18" s="10">
        <f t="shared" si="5"/>
        <v>0</v>
      </c>
      <c r="AF18" s="10">
        <f t="shared" si="22"/>
        <v>0</v>
      </c>
      <c r="AG18" s="71"/>
      <c r="AH18" s="10">
        <f t="shared" si="6"/>
        <v>1200000</v>
      </c>
      <c r="AI18" s="10">
        <f t="shared" si="23"/>
        <v>1066184.4574988268</v>
      </c>
      <c r="AJ18" s="71"/>
      <c r="AK18" s="10">
        <f t="shared" si="7"/>
        <v>0</v>
      </c>
      <c r="AL18" s="10">
        <f t="shared" si="24"/>
        <v>0</v>
      </c>
      <c r="AM18" s="71"/>
      <c r="AN18" s="10">
        <f t="shared" si="8"/>
        <v>0</v>
      </c>
      <c r="AO18" s="10">
        <f t="shared" si="25"/>
        <v>0</v>
      </c>
      <c r="AP18" s="71"/>
      <c r="AQ18" s="10">
        <f t="shared" si="9"/>
        <v>0</v>
      </c>
      <c r="AR18" s="10">
        <f t="shared" si="26"/>
        <v>0</v>
      </c>
      <c r="AS18" s="71"/>
      <c r="AT18" s="7">
        <f>IF($K18&lt;=$F$15,IF($F$40&lt;&gt;"",$F$40/1000,IF(ISERROR(VLOOKUP($F$3&amp;IF($G$4&lt;&gt;"",$G$4,"")&amp;IF($F$43&lt;&gt;"","_"&amp;$F$43,""),'表3）燃料価格'!$AF$9:$AG$25,2,0)),0,VLOOKUP($I18,'表3）燃料価格'!$A$6:$U$66,VLOOKUP($F$3&amp;IF($G$4&lt;&gt;"",$G$4,"")&amp;IF($F$43&lt;&gt;"","_"&amp;$F$43,""),'表3）燃料価格'!$AF$9:$AG$25,2,0)+VLOOKUP($F$41,'表3）燃料価格'!$AF$28:$AG$29,2,0),0)*IF($F$43="需要地価格",1,$F$8/$F$141))),"")</f>
        <v>0</v>
      </c>
      <c r="AU18" s="71"/>
      <c r="AV18" s="10">
        <f t="shared" si="10"/>
        <v>0</v>
      </c>
      <c r="AW18" s="10">
        <f t="shared" si="27"/>
        <v>0</v>
      </c>
      <c r="AX18" s="71"/>
      <c r="AY18" s="7">
        <f>IF(ISERROR(IF($K18&lt;=$F$15,VLOOKUP($I18,'表4）CO2価格'!$A$7:$E$67,VLOOKUP($F$48,'表4）CO2価格'!$H$10:$I$12,2,0),0)*$F$8/1000,"")),0,IF($K18&lt;=$F$15,VLOOKUP($I18,'表4）CO2価格'!$A$7:$E$67,VLOOKUP($F$48,'表4）CO2価格'!$H$10:$I$12,2,0),0)*$F$8/1000,""))</f>
        <v>0</v>
      </c>
      <c r="AZ18" s="71"/>
      <c r="BA18" s="11">
        <f t="shared" si="11"/>
        <v>0</v>
      </c>
      <c r="BB18" s="10">
        <f t="shared" si="28"/>
        <v>0</v>
      </c>
      <c r="BC18" s="71"/>
      <c r="BD18" s="10">
        <f t="shared" si="12"/>
        <v>0</v>
      </c>
      <c r="BE18" s="10">
        <f t="shared" si="29"/>
        <v>0</v>
      </c>
      <c r="BF18" s="71"/>
      <c r="BG18" s="11">
        <f t="shared" si="13"/>
        <v>0</v>
      </c>
      <c r="BH18" s="10">
        <f t="shared" si="30"/>
        <v>0</v>
      </c>
      <c r="BJ18" s="7">
        <f t="shared" si="31"/>
        <v>0.85480419102972571</v>
      </c>
      <c r="BK18" s="158">
        <f t="shared" si="32"/>
        <v>1440259.5814659849</v>
      </c>
      <c r="BL18" s="158">
        <f t="shared" si="14"/>
        <v>321987.64267707709</v>
      </c>
      <c r="BM18" s="10"/>
      <c r="BN18" s="10">
        <f t="shared" si="33"/>
        <v>5418541.3541934285</v>
      </c>
      <c r="BO18" s="10">
        <f t="shared" si="34"/>
        <v>4814303.8117963988</v>
      </c>
      <c r="BQ18" s="10">
        <f t="shared" si="15"/>
        <v>376680</v>
      </c>
      <c r="BR18" s="10">
        <f t="shared" si="35"/>
        <v>334675.30120888172</v>
      </c>
    </row>
    <row r="19" spans="3:70" x14ac:dyDescent="0.15">
      <c r="C19" s="89" t="s">
        <v>371</v>
      </c>
      <c r="D19" s="101"/>
      <c r="E19" s="101"/>
      <c r="F19" s="89"/>
      <c r="G19" s="101"/>
      <c r="I19" s="458">
        <f t="shared" si="36"/>
        <v>2024</v>
      </c>
      <c r="J19" s="39"/>
      <c r="K19" s="39">
        <f t="shared" si="37"/>
        <v>5</v>
      </c>
      <c r="L19" s="39"/>
      <c r="M19" s="40">
        <f t="shared" si="0"/>
        <v>0.86260878438416411</v>
      </c>
      <c r="N19" s="39"/>
      <c r="O19" s="72">
        <f t="shared" si="16"/>
        <v>27529572.557812002</v>
      </c>
      <c r="P19" s="41">
        <f t="shared" si="1"/>
        <v>0.14699999999999999</v>
      </c>
      <c r="Q19" s="39"/>
      <c r="R19" s="72">
        <f t="shared" si="17"/>
        <v>30248874.912746664</v>
      </c>
      <c r="S19" s="39"/>
      <c r="T19" s="72">
        <f t="shared" si="18"/>
        <v>30248000</v>
      </c>
      <c r="U19" s="39"/>
      <c r="V19" s="72">
        <f t="shared" si="2"/>
        <v>4046847.1659983639</v>
      </c>
      <c r="W19" s="72">
        <f t="shared" si="19"/>
        <v>3490845.9144503484</v>
      </c>
      <c r="X19" s="39"/>
      <c r="Y19" s="72">
        <f t="shared" si="3"/>
        <v>423400</v>
      </c>
      <c r="Z19" s="72">
        <f t="shared" si="20"/>
        <v>365228.55930825509</v>
      </c>
      <c r="AA19" s="39"/>
      <c r="AB19" s="72">
        <f t="shared" si="4"/>
        <v>0</v>
      </c>
      <c r="AC19" s="72">
        <f t="shared" si="21"/>
        <v>0</v>
      </c>
      <c r="AD19" s="39"/>
      <c r="AE19" s="72">
        <f t="shared" si="5"/>
        <v>0</v>
      </c>
      <c r="AF19" s="72">
        <f t="shared" si="22"/>
        <v>0</v>
      </c>
      <c r="AG19" s="39"/>
      <c r="AH19" s="72">
        <f t="shared" si="6"/>
        <v>1200000</v>
      </c>
      <c r="AI19" s="72">
        <f t="shared" si="23"/>
        <v>1035130.5412609969</v>
      </c>
      <c r="AJ19" s="39"/>
      <c r="AK19" s="72">
        <f t="shared" si="7"/>
        <v>0</v>
      </c>
      <c r="AL19" s="72">
        <f t="shared" si="24"/>
        <v>0</v>
      </c>
      <c r="AM19" s="39"/>
      <c r="AN19" s="72">
        <f t="shared" si="8"/>
        <v>0</v>
      </c>
      <c r="AO19" s="72">
        <f t="shared" si="25"/>
        <v>0</v>
      </c>
      <c r="AP19" s="39"/>
      <c r="AQ19" s="72">
        <f t="shared" si="9"/>
        <v>0</v>
      </c>
      <c r="AR19" s="72">
        <f t="shared" si="26"/>
        <v>0</v>
      </c>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0</v>
      </c>
      <c r="AU19" s="39"/>
      <c r="AV19" s="72">
        <f t="shared" si="10"/>
        <v>0</v>
      </c>
      <c r="AW19" s="72">
        <f t="shared" si="27"/>
        <v>0</v>
      </c>
      <c r="AX19" s="39"/>
      <c r="AY19" s="40">
        <f>IF(ISERROR(IF($K19&lt;=$F$15,VLOOKUP($I19,'表4）CO2価格'!$A$7:$E$67,VLOOKUP($F$48,'表4）CO2価格'!$H$10:$I$12,2,0),0)*$F$8/1000,"")),0,IF($K19&lt;=$F$15,VLOOKUP($I19,'表4）CO2価格'!$A$7:$E$67,VLOOKUP($F$48,'表4）CO2価格'!$H$10:$I$12,2,0),0)*$F$8/1000,""))</f>
        <v>0</v>
      </c>
      <c r="AZ19" s="39"/>
      <c r="BA19" s="42">
        <f t="shared" si="11"/>
        <v>0</v>
      </c>
      <c r="BB19" s="72">
        <f t="shared" si="28"/>
        <v>0</v>
      </c>
      <c r="BC19" s="39"/>
      <c r="BD19" s="72">
        <f t="shared" si="12"/>
        <v>0</v>
      </c>
      <c r="BE19" s="72">
        <f t="shared" si="29"/>
        <v>0</v>
      </c>
      <c r="BF19" s="39"/>
      <c r="BG19" s="42">
        <f t="shared" si="13"/>
        <v>0</v>
      </c>
      <c r="BH19" s="72">
        <f t="shared" si="30"/>
        <v>0</v>
      </c>
      <c r="BI19" s="39"/>
      <c r="BJ19" s="40">
        <f t="shared" si="31"/>
        <v>0.82192710675935154</v>
      </c>
      <c r="BK19" s="157">
        <f t="shared" si="32"/>
        <v>1334316.4651131313</v>
      </c>
      <c r="BL19" s="157">
        <f t="shared" si="14"/>
        <v>309603.50257411256</v>
      </c>
      <c r="BM19" s="72"/>
      <c r="BN19" s="72">
        <f t="shared" si="33"/>
        <v>5418541.3541934285</v>
      </c>
      <c r="BO19" s="72">
        <f t="shared" si="34"/>
        <v>4674081.3706761161</v>
      </c>
      <c r="BP19" s="39"/>
      <c r="BQ19" s="72">
        <f t="shared" si="15"/>
        <v>376680</v>
      </c>
      <c r="BR19" s="72">
        <f t="shared" si="35"/>
        <v>324927.47690182691</v>
      </c>
    </row>
    <row r="20" spans="3:70" x14ac:dyDescent="0.15">
      <c r="I20" s="459">
        <f t="shared" si="36"/>
        <v>2025</v>
      </c>
      <c r="J20" s="71"/>
      <c r="K20" s="71">
        <f t="shared" si="37"/>
        <v>6</v>
      </c>
      <c r="L20" s="71"/>
      <c r="M20" s="7">
        <f t="shared" si="0"/>
        <v>0.83748425668365445</v>
      </c>
      <c r="N20" s="71"/>
      <c r="O20" s="10">
        <f t="shared" si="16"/>
        <v>23482725.391813636</v>
      </c>
      <c r="P20" s="29">
        <f t="shared" si="1"/>
        <v>0.14699999999999999</v>
      </c>
      <c r="Q20" s="71"/>
      <c r="R20" s="10">
        <f t="shared" si="17"/>
        <v>26417133.843947709</v>
      </c>
      <c r="S20" s="71"/>
      <c r="T20" s="10">
        <f t="shared" si="18"/>
        <v>26417000</v>
      </c>
      <c r="U20" s="71"/>
      <c r="V20" s="10">
        <f t="shared" si="2"/>
        <v>3451960.6325966041</v>
      </c>
      <c r="W20" s="10">
        <f t="shared" si="19"/>
        <v>2890962.6844914043</v>
      </c>
      <c r="X20" s="71"/>
      <c r="Y20" s="10">
        <f t="shared" si="3"/>
        <v>369800</v>
      </c>
      <c r="Z20" s="10">
        <f t="shared" si="20"/>
        <v>309701.67812161543</v>
      </c>
      <c r="AA20" s="71"/>
      <c r="AB20" s="10">
        <f t="shared" si="4"/>
        <v>0</v>
      </c>
      <c r="AC20" s="10">
        <f t="shared" si="21"/>
        <v>0</v>
      </c>
      <c r="AD20" s="71"/>
      <c r="AE20" s="10">
        <f t="shared" si="5"/>
        <v>0</v>
      </c>
      <c r="AF20" s="10">
        <f t="shared" si="22"/>
        <v>0</v>
      </c>
      <c r="AG20" s="71"/>
      <c r="AH20" s="10">
        <f t="shared" si="6"/>
        <v>1200000</v>
      </c>
      <c r="AI20" s="10">
        <f t="shared" si="23"/>
        <v>1004981.1080203854</v>
      </c>
      <c r="AJ20" s="71"/>
      <c r="AK20" s="10">
        <f t="shared" si="7"/>
        <v>0</v>
      </c>
      <c r="AL20" s="10">
        <f t="shared" si="24"/>
        <v>0</v>
      </c>
      <c r="AM20" s="71"/>
      <c r="AN20" s="10">
        <f t="shared" si="8"/>
        <v>0</v>
      </c>
      <c r="AO20" s="10">
        <f t="shared" si="25"/>
        <v>0</v>
      </c>
      <c r="AP20" s="71"/>
      <c r="AQ20" s="10">
        <f t="shared" si="9"/>
        <v>0</v>
      </c>
      <c r="AR20" s="10">
        <f t="shared" si="26"/>
        <v>0</v>
      </c>
      <c r="AS20" s="71"/>
      <c r="AT20" s="7">
        <f>IF($K20&lt;=$F$15,IF($F$40&lt;&gt;"",$F$40/1000,IF(ISERROR(VLOOKUP($F$3&amp;IF($G$4&lt;&gt;"",$G$4,"")&amp;IF($F$43&lt;&gt;"","_"&amp;$F$43,""),'表3）燃料価格'!$AF$9:$AG$25,2,0)),0,VLOOKUP($I20,'表3）燃料価格'!$A$6:$U$66,VLOOKUP($F$3&amp;IF($G$4&lt;&gt;"",$G$4,"")&amp;IF($F$43&lt;&gt;"","_"&amp;$F$43,""),'表3）燃料価格'!$AF$9:$AG$25,2,0)+VLOOKUP($F$41,'表3）燃料価格'!$AF$28:$AG$29,2,0),0)*IF($F$43="需要地価格",1,$F$8/$F$141))),"")</f>
        <v>0</v>
      </c>
      <c r="AU20" s="71"/>
      <c r="AV20" s="10">
        <f t="shared" si="10"/>
        <v>0</v>
      </c>
      <c r="AW20" s="10">
        <f t="shared" si="27"/>
        <v>0</v>
      </c>
      <c r="AX20" s="71"/>
      <c r="AY20" s="7">
        <f>IF(ISERROR(IF($K20&lt;=$F$15,VLOOKUP($I20,'表4）CO2価格'!$A$7:$E$67,VLOOKUP($F$48,'表4）CO2価格'!$H$10:$I$12,2,0),0)*$F$8/1000,"")),0,IF($K20&lt;=$F$15,VLOOKUP($I20,'表4）CO2価格'!$A$7:$E$67,VLOOKUP($F$48,'表4）CO2価格'!$H$10:$I$12,2,0),0)*$F$8/1000,""))</f>
        <v>0</v>
      </c>
      <c r="AZ20" s="71"/>
      <c r="BA20" s="11">
        <f t="shared" si="11"/>
        <v>0</v>
      </c>
      <c r="BB20" s="10">
        <f t="shared" si="28"/>
        <v>0</v>
      </c>
      <c r="BC20" s="71"/>
      <c r="BD20" s="10">
        <f t="shared" si="12"/>
        <v>0</v>
      </c>
      <c r="BE20" s="10">
        <f t="shared" si="29"/>
        <v>0</v>
      </c>
      <c r="BF20" s="71"/>
      <c r="BG20" s="11">
        <f t="shared" si="13"/>
        <v>0</v>
      </c>
      <c r="BH20" s="10">
        <f t="shared" si="30"/>
        <v>0</v>
      </c>
      <c r="BJ20" s="7">
        <f t="shared" si="31"/>
        <v>0.79031452573014571</v>
      </c>
      <c r="BK20" s="158">
        <f t="shared" si="32"/>
        <v>1240635.7424911826</v>
      </c>
      <c r="BL20" s="158">
        <f t="shared" si="14"/>
        <v>297695.67555203126</v>
      </c>
      <c r="BM20" s="10"/>
      <c r="BN20" s="10">
        <f t="shared" si="33"/>
        <v>5418541.3541934285</v>
      </c>
      <c r="BO20" s="10">
        <f t="shared" si="34"/>
        <v>4537943.0783263259</v>
      </c>
      <c r="BQ20" s="10">
        <f t="shared" si="15"/>
        <v>376680</v>
      </c>
      <c r="BR20" s="10">
        <f t="shared" si="35"/>
        <v>315463.56980759895</v>
      </c>
    </row>
    <row r="21" spans="3:70" x14ac:dyDescent="0.15">
      <c r="D21" s="81" t="s">
        <v>110</v>
      </c>
      <c r="F21" s="147">
        <v>20.8</v>
      </c>
      <c r="G21" s="81" t="s">
        <v>174</v>
      </c>
      <c r="I21" s="458">
        <f t="shared" si="36"/>
        <v>2026</v>
      </c>
      <c r="J21" s="39"/>
      <c r="K21" s="39">
        <f t="shared" si="37"/>
        <v>7</v>
      </c>
      <c r="L21" s="39"/>
      <c r="M21" s="40">
        <f t="shared" si="0"/>
        <v>0.81309151134335378</v>
      </c>
      <c r="N21" s="39"/>
      <c r="O21" s="72">
        <f t="shared" si="16"/>
        <v>20030764.759217031</v>
      </c>
      <c r="P21" s="41">
        <f t="shared" si="1"/>
        <v>0.14699999999999999</v>
      </c>
      <c r="Q21" s="39"/>
      <c r="R21" s="72">
        <f t="shared" si="17"/>
        <v>23070774.121088784</v>
      </c>
      <c r="S21" s="39"/>
      <c r="T21" s="72">
        <f t="shared" si="18"/>
        <v>23070000</v>
      </c>
      <c r="U21" s="39"/>
      <c r="V21" s="72">
        <f t="shared" si="2"/>
        <v>2944522.4196049036</v>
      </c>
      <c r="W21" s="72">
        <f t="shared" si="19"/>
        <v>2394166.1843409399</v>
      </c>
      <c r="X21" s="39"/>
      <c r="Y21" s="72">
        <f t="shared" si="3"/>
        <v>322900</v>
      </c>
      <c r="Z21" s="72">
        <f t="shared" si="20"/>
        <v>262547.24901276891</v>
      </c>
      <c r="AA21" s="39"/>
      <c r="AB21" s="72">
        <f t="shared" si="4"/>
        <v>0</v>
      </c>
      <c r="AC21" s="72">
        <f t="shared" si="21"/>
        <v>0</v>
      </c>
      <c r="AD21" s="39"/>
      <c r="AE21" s="72">
        <f t="shared" si="5"/>
        <v>0</v>
      </c>
      <c r="AF21" s="72">
        <f t="shared" si="22"/>
        <v>0</v>
      </c>
      <c r="AG21" s="39"/>
      <c r="AH21" s="72">
        <f t="shared" si="6"/>
        <v>1200000</v>
      </c>
      <c r="AI21" s="72">
        <f t="shared" si="23"/>
        <v>975709.81361202453</v>
      </c>
      <c r="AJ21" s="39"/>
      <c r="AK21" s="72">
        <f t="shared" si="7"/>
        <v>0</v>
      </c>
      <c r="AL21" s="72">
        <f t="shared" si="24"/>
        <v>0</v>
      </c>
      <c r="AM21" s="39"/>
      <c r="AN21" s="72">
        <f t="shared" si="8"/>
        <v>0</v>
      </c>
      <c r="AO21" s="72">
        <f t="shared" si="25"/>
        <v>0</v>
      </c>
      <c r="AP21" s="39"/>
      <c r="AQ21" s="72">
        <f t="shared" si="9"/>
        <v>0</v>
      </c>
      <c r="AR21" s="72">
        <f t="shared" si="26"/>
        <v>0</v>
      </c>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0</v>
      </c>
      <c r="AU21" s="39"/>
      <c r="AV21" s="72">
        <f t="shared" si="10"/>
        <v>0</v>
      </c>
      <c r="AW21" s="72">
        <f t="shared" si="27"/>
        <v>0</v>
      </c>
      <c r="AX21" s="39"/>
      <c r="AY21" s="40">
        <f>IF(ISERROR(IF($K21&lt;=$F$15,VLOOKUP($I21,'表4）CO2価格'!$A$7:$E$67,VLOOKUP($F$48,'表4）CO2価格'!$H$10:$I$12,2,0),0)*$F$8/1000,"")),0,IF($K21&lt;=$F$15,VLOOKUP($I21,'表4）CO2価格'!$A$7:$E$67,VLOOKUP($F$48,'表4）CO2価格'!$H$10:$I$12,2,0),0)*$F$8/1000,""))</f>
        <v>0</v>
      </c>
      <c r="AZ21" s="39"/>
      <c r="BA21" s="42">
        <f t="shared" si="11"/>
        <v>0</v>
      </c>
      <c r="BB21" s="72">
        <f t="shared" si="28"/>
        <v>0</v>
      </c>
      <c r="BC21" s="39"/>
      <c r="BD21" s="72">
        <f t="shared" si="12"/>
        <v>0</v>
      </c>
      <c r="BE21" s="72">
        <f t="shared" si="29"/>
        <v>0</v>
      </c>
      <c r="BF21" s="39"/>
      <c r="BG21" s="42">
        <f t="shared" si="13"/>
        <v>0</v>
      </c>
      <c r="BH21" s="72">
        <f t="shared" si="30"/>
        <v>0</v>
      </c>
      <c r="BI21" s="39"/>
      <c r="BJ21" s="40">
        <f t="shared" si="31"/>
        <v>0.75991781320206331</v>
      </c>
      <c r="BK21" s="157">
        <f t="shared" si="32"/>
        <v>1157278.8377254221</v>
      </c>
      <c r="BL21" s="157">
        <f t="shared" si="14"/>
        <v>286245.8418769532</v>
      </c>
      <c r="BM21" s="72"/>
      <c r="BN21" s="72">
        <f t="shared" si="33"/>
        <v>5418541.3541934285</v>
      </c>
      <c r="BO21" s="72">
        <f t="shared" si="34"/>
        <v>4405769.9789575981</v>
      </c>
      <c r="BP21" s="39"/>
      <c r="BQ21" s="72">
        <f t="shared" si="15"/>
        <v>376680</v>
      </c>
      <c r="BR21" s="72">
        <f t="shared" si="35"/>
        <v>306275.31049281452</v>
      </c>
    </row>
    <row r="22" spans="3:70" ht="16.5" x14ac:dyDescent="0.15">
      <c r="D22" s="81" t="s">
        <v>111</v>
      </c>
      <c r="F22" s="90"/>
      <c r="G22" s="9" t="s">
        <v>372</v>
      </c>
      <c r="I22" s="459">
        <f t="shared" si="36"/>
        <v>2027</v>
      </c>
      <c r="J22" s="71"/>
      <c r="K22" s="71">
        <f t="shared" si="37"/>
        <v>8</v>
      </c>
      <c r="L22" s="71"/>
      <c r="M22" s="7">
        <f t="shared" si="0"/>
        <v>0.78940923431393573</v>
      </c>
      <c r="N22" s="71"/>
      <c r="O22" s="10">
        <f t="shared" si="16"/>
        <v>17086242.339612126</v>
      </c>
      <c r="P22" s="29">
        <f t="shared" si="1"/>
        <v>0.14699999999999999</v>
      </c>
      <c r="Q22" s="71"/>
      <c r="R22" s="10">
        <f t="shared" si="17"/>
        <v>20148310.626371883</v>
      </c>
      <c r="S22" s="71"/>
      <c r="T22" s="10">
        <f t="shared" si="18"/>
        <v>20148000</v>
      </c>
      <c r="U22" s="71"/>
      <c r="V22" s="10">
        <f t="shared" si="2"/>
        <v>2511677.6239229823</v>
      </c>
      <c r="W22" s="10">
        <f t="shared" si="19"/>
        <v>1982741.5099444869</v>
      </c>
      <c r="X22" s="71"/>
      <c r="Y22" s="10">
        <f t="shared" si="3"/>
        <v>282000</v>
      </c>
      <c r="Z22" s="10">
        <f t="shared" si="20"/>
        <v>222613.40407652987</v>
      </c>
      <c r="AA22" s="71"/>
      <c r="AB22" s="10">
        <f t="shared" si="4"/>
        <v>0</v>
      </c>
      <c r="AC22" s="10">
        <f t="shared" si="21"/>
        <v>0</v>
      </c>
      <c r="AD22" s="71"/>
      <c r="AE22" s="10">
        <f t="shared" si="5"/>
        <v>0</v>
      </c>
      <c r="AF22" s="10">
        <f t="shared" si="22"/>
        <v>0</v>
      </c>
      <c r="AG22" s="71"/>
      <c r="AH22" s="10">
        <f t="shared" si="6"/>
        <v>1200000</v>
      </c>
      <c r="AI22" s="10">
        <f t="shared" si="23"/>
        <v>947291.08117672289</v>
      </c>
      <c r="AJ22" s="71"/>
      <c r="AK22" s="10">
        <f t="shared" si="7"/>
        <v>0</v>
      </c>
      <c r="AL22" s="10">
        <f t="shared" si="24"/>
        <v>0</v>
      </c>
      <c r="AM22" s="71"/>
      <c r="AN22" s="10">
        <f t="shared" si="8"/>
        <v>0</v>
      </c>
      <c r="AO22" s="10">
        <f t="shared" si="25"/>
        <v>0</v>
      </c>
      <c r="AP22" s="71"/>
      <c r="AQ22" s="10">
        <f t="shared" si="9"/>
        <v>0</v>
      </c>
      <c r="AR22" s="10">
        <f t="shared" si="26"/>
        <v>0</v>
      </c>
      <c r="AS22" s="71"/>
      <c r="AT22" s="7">
        <f>IF($K22&lt;=$F$15,IF($F$40&lt;&gt;"",$F$40/1000,IF(ISERROR(VLOOKUP($F$3&amp;IF($G$4&lt;&gt;"",$G$4,"")&amp;IF($F$43&lt;&gt;"","_"&amp;$F$43,""),'表3）燃料価格'!$AF$9:$AG$25,2,0)),0,VLOOKUP($I22,'表3）燃料価格'!$A$6:$U$66,VLOOKUP($F$3&amp;IF($G$4&lt;&gt;"",$G$4,"")&amp;IF($F$43&lt;&gt;"","_"&amp;$F$43,""),'表3）燃料価格'!$AF$9:$AG$25,2,0)+VLOOKUP($F$41,'表3）燃料価格'!$AF$28:$AG$29,2,0),0)*IF($F$43="需要地価格",1,$F$8/$F$141))),"")</f>
        <v>0</v>
      </c>
      <c r="AU22" s="71"/>
      <c r="AV22" s="10">
        <f t="shared" si="10"/>
        <v>0</v>
      </c>
      <c r="AW22" s="10">
        <f t="shared" si="27"/>
        <v>0</v>
      </c>
      <c r="AX22" s="71"/>
      <c r="AY22" s="7">
        <f>IF(ISERROR(IF($K22&lt;=$F$15,VLOOKUP($I22,'表4）CO2価格'!$A$7:$E$67,VLOOKUP($F$48,'表4）CO2価格'!$H$10:$I$12,2,0),0)*$F$8/1000,"")),0,IF($K22&lt;=$F$15,VLOOKUP($I22,'表4）CO2価格'!$A$7:$E$67,VLOOKUP($F$48,'表4）CO2価格'!$H$10:$I$12,2,0),0)*$F$8/1000,""))</f>
        <v>0</v>
      </c>
      <c r="AZ22" s="71"/>
      <c r="BA22" s="11">
        <f t="shared" si="11"/>
        <v>0</v>
      </c>
      <c r="BB22" s="10">
        <f t="shared" si="28"/>
        <v>0</v>
      </c>
      <c r="BC22" s="71"/>
      <c r="BD22" s="10">
        <f t="shared" si="12"/>
        <v>0</v>
      </c>
      <c r="BE22" s="10">
        <f t="shared" si="29"/>
        <v>0</v>
      </c>
      <c r="BF22" s="71"/>
      <c r="BG22" s="11">
        <f t="shared" si="13"/>
        <v>0</v>
      </c>
      <c r="BH22" s="10">
        <f t="shared" si="30"/>
        <v>0</v>
      </c>
      <c r="BJ22" s="7">
        <f t="shared" si="31"/>
        <v>0.73069020500198378</v>
      </c>
      <c r="BK22" s="158">
        <f t="shared" si="32"/>
        <v>1082882.88381294</v>
      </c>
      <c r="BL22" s="158">
        <f t="shared" si="14"/>
        <v>275236.38642014726</v>
      </c>
      <c r="BM22" s="10"/>
      <c r="BN22" s="10">
        <f t="shared" si="33"/>
        <v>5418541.3541934285</v>
      </c>
      <c r="BO22" s="10">
        <f t="shared" si="34"/>
        <v>4277446.5815122304</v>
      </c>
      <c r="BQ22" s="10">
        <f t="shared" si="15"/>
        <v>376680</v>
      </c>
      <c r="BR22" s="10">
        <f t="shared" si="35"/>
        <v>297354.67038137332</v>
      </c>
    </row>
    <row r="23" spans="3:70" x14ac:dyDescent="0.15">
      <c r="D23" s="81" t="s">
        <v>112</v>
      </c>
      <c r="F23" s="147"/>
      <c r="G23" s="81" t="s">
        <v>172</v>
      </c>
      <c r="I23" s="458">
        <f t="shared" si="36"/>
        <v>2028</v>
      </c>
      <c r="J23" s="39"/>
      <c r="K23" s="39">
        <f t="shared" si="37"/>
        <v>9</v>
      </c>
      <c r="L23" s="39"/>
      <c r="M23" s="40">
        <f t="shared" si="0"/>
        <v>0.76641673234362695</v>
      </c>
      <c r="N23" s="39"/>
      <c r="O23" s="72">
        <f t="shared" si="16"/>
        <v>14574564.715689145</v>
      </c>
      <c r="P23" s="41">
        <f t="shared" si="1"/>
        <v>0.14699999999999999</v>
      </c>
      <c r="Q23" s="39"/>
      <c r="R23" s="72">
        <f t="shared" si="17"/>
        <v>17596046.797826819</v>
      </c>
      <c r="S23" s="39"/>
      <c r="T23" s="72">
        <f t="shared" si="18"/>
        <v>17596000</v>
      </c>
      <c r="U23" s="39"/>
      <c r="V23" s="72">
        <f t="shared" si="2"/>
        <v>2142461.0132063041</v>
      </c>
      <c r="W23" s="72">
        <f t="shared" si="19"/>
        <v>1642017.9689151917</v>
      </c>
      <c r="X23" s="39"/>
      <c r="Y23" s="72">
        <f t="shared" si="3"/>
        <v>246300</v>
      </c>
      <c r="Z23" s="72">
        <f t="shared" si="20"/>
        <v>188768.44117623533</v>
      </c>
      <c r="AA23" s="39"/>
      <c r="AB23" s="72">
        <f t="shared" si="4"/>
        <v>0</v>
      </c>
      <c r="AC23" s="72">
        <f t="shared" si="21"/>
        <v>0</v>
      </c>
      <c r="AD23" s="39"/>
      <c r="AE23" s="72">
        <f t="shared" si="5"/>
        <v>0</v>
      </c>
      <c r="AF23" s="72">
        <f t="shared" si="22"/>
        <v>0</v>
      </c>
      <c r="AG23" s="39"/>
      <c r="AH23" s="72">
        <f t="shared" si="6"/>
        <v>1200000</v>
      </c>
      <c r="AI23" s="72">
        <f t="shared" si="23"/>
        <v>919700.07881235238</v>
      </c>
      <c r="AJ23" s="39"/>
      <c r="AK23" s="72">
        <f t="shared" si="7"/>
        <v>0</v>
      </c>
      <c r="AL23" s="72">
        <f t="shared" si="24"/>
        <v>0</v>
      </c>
      <c r="AM23" s="39"/>
      <c r="AN23" s="72">
        <f t="shared" si="8"/>
        <v>0</v>
      </c>
      <c r="AO23" s="72">
        <f t="shared" si="25"/>
        <v>0</v>
      </c>
      <c r="AP23" s="39"/>
      <c r="AQ23" s="72">
        <f t="shared" si="9"/>
        <v>0</v>
      </c>
      <c r="AR23" s="72">
        <f t="shared" si="26"/>
        <v>0</v>
      </c>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0</v>
      </c>
      <c r="AU23" s="39"/>
      <c r="AV23" s="72">
        <f t="shared" si="10"/>
        <v>0</v>
      </c>
      <c r="AW23" s="72">
        <f t="shared" si="27"/>
        <v>0</v>
      </c>
      <c r="AX23" s="39"/>
      <c r="AY23" s="40">
        <f>IF(ISERROR(IF($K23&lt;=$F$15,VLOOKUP($I23,'表4）CO2価格'!$A$7:$E$67,VLOOKUP($F$48,'表4）CO2価格'!$H$10:$I$12,2,0),0)*$F$8/1000,"")),0,IF($K23&lt;=$F$15,VLOOKUP($I23,'表4）CO2価格'!$A$7:$E$67,VLOOKUP($F$48,'表4）CO2価格'!$H$10:$I$12,2,0),0)*$F$8/1000,""))</f>
        <v>0</v>
      </c>
      <c r="AZ23" s="39"/>
      <c r="BA23" s="42">
        <f t="shared" si="11"/>
        <v>0</v>
      </c>
      <c r="BB23" s="72">
        <f t="shared" si="28"/>
        <v>0</v>
      </c>
      <c r="BC23" s="39"/>
      <c r="BD23" s="72">
        <f t="shared" si="12"/>
        <v>0</v>
      </c>
      <c r="BE23" s="72">
        <f t="shared" si="29"/>
        <v>0</v>
      </c>
      <c r="BF23" s="39"/>
      <c r="BG23" s="42">
        <f t="shared" si="13"/>
        <v>0</v>
      </c>
      <c r="BH23" s="72">
        <f t="shared" si="30"/>
        <v>0</v>
      </c>
      <c r="BI23" s="39"/>
      <c r="BJ23" s="40">
        <f t="shared" si="31"/>
        <v>0.70258673557883045</v>
      </c>
      <c r="BK23" s="157">
        <f t="shared" si="32"/>
        <v>1016151.1956676624</v>
      </c>
      <c r="BL23" s="157">
        <f t="shared" si="14"/>
        <v>264650.37155783386</v>
      </c>
      <c r="BM23" s="72"/>
      <c r="BN23" s="72">
        <f t="shared" si="33"/>
        <v>5418541.3541934285</v>
      </c>
      <c r="BO23" s="72">
        <f t="shared" si="34"/>
        <v>4152860.7587497388</v>
      </c>
      <c r="BP23" s="39"/>
      <c r="BQ23" s="72">
        <f t="shared" si="15"/>
        <v>376680</v>
      </c>
      <c r="BR23" s="72">
        <f t="shared" si="35"/>
        <v>288693.85473919741</v>
      </c>
    </row>
    <row r="24" spans="3:70" x14ac:dyDescent="0.15">
      <c r="D24" s="81" t="s">
        <v>113</v>
      </c>
      <c r="F24" s="68">
        <v>0</v>
      </c>
      <c r="G24" s="81" t="s">
        <v>172</v>
      </c>
      <c r="I24" s="459">
        <f t="shared" si="36"/>
        <v>2029</v>
      </c>
      <c r="J24" s="71"/>
      <c r="K24" s="71">
        <f t="shared" si="37"/>
        <v>10</v>
      </c>
      <c r="L24" s="71"/>
      <c r="M24" s="7">
        <f t="shared" si="0"/>
        <v>0.74409391489672516</v>
      </c>
      <c r="N24" s="71"/>
      <c r="O24" s="10">
        <f t="shared" si="16"/>
        <v>12432103.702482842</v>
      </c>
      <c r="P24" s="29">
        <f t="shared" si="1"/>
        <v>0.14699999999999999</v>
      </c>
      <c r="Q24" s="71"/>
      <c r="R24" s="10">
        <f t="shared" si="17"/>
        <v>15367088.023055015</v>
      </c>
      <c r="S24" s="71"/>
      <c r="T24" s="10">
        <f t="shared" si="18"/>
        <v>15367000</v>
      </c>
      <c r="U24" s="71"/>
      <c r="V24" s="10">
        <f t="shared" si="2"/>
        <v>1827519.2442649778</v>
      </c>
      <c r="W24" s="10">
        <f t="shared" si="19"/>
        <v>1359845.9490142318</v>
      </c>
      <c r="X24" s="71"/>
      <c r="Y24" s="10">
        <f t="shared" si="3"/>
        <v>215100</v>
      </c>
      <c r="Z24" s="10">
        <f t="shared" si="20"/>
        <v>160054.60109428558</v>
      </c>
      <c r="AA24" s="71"/>
      <c r="AB24" s="10">
        <f t="shared" si="4"/>
        <v>0</v>
      </c>
      <c r="AC24" s="10">
        <f t="shared" si="21"/>
        <v>0</v>
      </c>
      <c r="AD24" s="71"/>
      <c r="AE24" s="10">
        <f t="shared" si="5"/>
        <v>0</v>
      </c>
      <c r="AF24" s="10">
        <f t="shared" si="22"/>
        <v>0</v>
      </c>
      <c r="AG24" s="71"/>
      <c r="AH24" s="10">
        <f t="shared" si="6"/>
        <v>1200000</v>
      </c>
      <c r="AI24" s="10">
        <f t="shared" si="23"/>
        <v>892912.69787607016</v>
      </c>
      <c r="AJ24" s="71"/>
      <c r="AK24" s="10">
        <f t="shared" si="7"/>
        <v>0</v>
      </c>
      <c r="AL24" s="10">
        <f t="shared" si="24"/>
        <v>0</v>
      </c>
      <c r="AM24" s="71"/>
      <c r="AN24" s="10">
        <f t="shared" si="8"/>
        <v>0</v>
      </c>
      <c r="AO24" s="10">
        <f t="shared" si="25"/>
        <v>0</v>
      </c>
      <c r="AP24" s="71"/>
      <c r="AQ24" s="10">
        <f t="shared" si="9"/>
        <v>0</v>
      </c>
      <c r="AR24" s="10">
        <f t="shared" si="26"/>
        <v>0</v>
      </c>
      <c r="AS24" s="71"/>
      <c r="AT24" s="7">
        <f>IF($K24&lt;=$F$15,IF($F$40&lt;&gt;"",$F$40/1000,IF(ISERROR(VLOOKUP($F$3&amp;IF($G$4&lt;&gt;"",$G$4,"")&amp;IF($F$43&lt;&gt;"","_"&amp;$F$43,""),'表3）燃料価格'!$AF$9:$AG$25,2,0)),0,VLOOKUP($I24,'表3）燃料価格'!$A$6:$U$66,VLOOKUP($F$3&amp;IF($G$4&lt;&gt;"",$G$4,"")&amp;IF($F$43&lt;&gt;"","_"&amp;$F$43,""),'表3）燃料価格'!$AF$9:$AG$25,2,0)+VLOOKUP($F$41,'表3）燃料価格'!$AF$28:$AG$29,2,0),0)*IF($F$43="需要地価格",1,$F$8/$F$141))),"")</f>
        <v>0</v>
      </c>
      <c r="AU24" s="71"/>
      <c r="AV24" s="10">
        <f t="shared" si="10"/>
        <v>0</v>
      </c>
      <c r="AW24" s="10">
        <f t="shared" si="27"/>
        <v>0</v>
      </c>
      <c r="AX24" s="71"/>
      <c r="AY24" s="7">
        <f>IF(ISERROR(IF($K24&lt;=$F$15,VLOOKUP($I24,'表4）CO2価格'!$A$7:$E$67,VLOOKUP($F$48,'表4）CO2価格'!$H$10:$I$12,2,0),0)*$F$8/1000,"")),0,IF($K24&lt;=$F$15,VLOOKUP($I24,'表4）CO2価格'!$A$7:$E$67,VLOOKUP($F$48,'表4）CO2価格'!$H$10:$I$12,2,0),0)*$F$8/1000,""))</f>
        <v>0</v>
      </c>
      <c r="AZ24" s="71"/>
      <c r="BA24" s="11">
        <f t="shared" si="11"/>
        <v>0</v>
      </c>
      <c r="BB24" s="10">
        <f t="shared" si="28"/>
        <v>0</v>
      </c>
      <c r="BC24" s="71"/>
      <c r="BD24" s="10">
        <f t="shared" si="12"/>
        <v>0</v>
      </c>
      <c r="BE24" s="10">
        <f t="shared" si="29"/>
        <v>0</v>
      </c>
      <c r="BF24" s="71"/>
      <c r="BG24" s="11">
        <f t="shared" si="13"/>
        <v>0</v>
      </c>
      <c r="BH24" s="10">
        <f t="shared" si="30"/>
        <v>0</v>
      </c>
      <c r="BJ24" s="7">
        <f t="shared" si="31"/>
        <v>0.67556416882579851</v>
      </c>
      <c r="BK24" s="158">
        <f t="shared" si="32"/>
        <v>955990.85530538752</v>
      </c>
      <c r="BL24" s="158">
        <f t="shared" si="14"/>
        <v>254471.51111330179</v>
      </c>
      <c r="BM24" s="10"/>
      <c r="BN24" s="10">
        <f t="shared" si="33"/>
        <v>5418541.3541934285</v>
      </c>
      <c r="BO24" s="10">
        <f t="shared" si="34"/>
        <v>4031903.6492715911</v>
      </c>
      <c r="BQ24" s="10">
        <f t="shared" si="15"/>
        <v>376680</v>
      </c>
      <c r="BR24" s="10">
        <f t="shared" si="35"/>
        <v>280285.29586329841</v>
      </c>
    </row>
    <row r="25" spans="3:70" x14ac:dyDescent="0.15">
      <c r="D25" s="81" t="s">
        <v>114</v>
      </c>
      <c r="F25" s="66">
        <v>1.4</v>
      </c>
      <c r="G25" s="81" t="s">
        <v>172</v>
      </c>
      <c r="I25" s="458">
        <f t="shared" si="36"/>
        <v>2030</v>
      </c>
      <c r="J25" s="39"/>
      <c r="K25" s="39">
        <f t="shared" si="37"/>
        <v>11</v>
      </c>
      <c r="L25" s="39"/>
      <c r="M25" s="40">
        <f t="shared" si="0"/>
        <v>0.72242127659876232</v>
      </c>
      <c r="N25" s="39"/>
      <c r="O25" s="72">
        <f t="shared" si="16"/>
        <v>10604584.458217865</v>
      </c>
      <c r="P25" s="41">
        <f t="shared" si="1"/>
        <v>0.14699999999999999</v>
      </c>
      <c r="Q25" s="39"/>
      <c r="R25" s="72">
        <f t="shared" si="17"/>
        <v>13420480.010173991</v>
      </c>
      <c r="S25" s="39"/>
      <c r="T25" s="72">
        <f t="shared" si="18"/>
        <v>13420000</v>
      </c>
      <c r="U25" s="39"/>
      <c r="V25" s="72">
        <f t="shared" si="2"/>
        <v>1558873.915358026</v>
      </c>
      <c r="W25" s="72">
        <f t="shared" si="19"/>
        <v>1126163.6839894562</v>
      </c>
      <c r="X25" s="39"/>
      <c r="Y25" s="72">
        <f t="shared" si="3"/>
        <v>187800</v>
      </c>
      <c r="Z25" s="72">
        <f t="shared" si="20"/>
        <v>135670.71574524755</v>
      </c>
      <c r="AA25" s="39"/>
      <c r="AB25" s="72">
        <f t="shared" si="4"/>
        <v>0</v>
      </c>
      <c r="AC25" s="72">
        <f t="shared" si="21"/>
        <v>0</v>
      </c>
      <c r="AD25" s="39"/>
      <c r="AE25" s="72">
        <f t="shared" si="5"/>
        <v>0</v>
      </c>
      <c r="AF25" s="72">
        <f t="shared" si="22"/>
        <v>0</v>
      </c>
      <c r="AG25" s="39"/>
      <c r="AH25" s="72">
        <f t="shared" si="6"/>
        <v>1200000</v>
      </c>
      <c r="AI25" s="72">
        <f t="shared" si="23"/>
        <v>866905.53191851475</v>
      </c>
      <c r="AJ25" s="39"/>
      <c r="AK25" s="72">
        <f t="shared" si="7"/>
        <v>0</v>
      </c>
      <c r="AL25" s="72">
        <f t="shared" si="24"/>
        <v>0</v>
      </c>
      <c r="AM25" s="39"/>
      <c r="AN25" s="72">
        <f t="shared" si="8"/>
        <v>0</v>
      </c>
      <c r="AO25" s="72">
        <f t="shared" si="25"/>
        <v>0</v>
      </c>
      <c r="AP25" s="39"/>
      <c r="AQ25" s="72">
        <f t="shared" si="9"/>
        <v>0</v>
      </c>
      <c r="AR25" s="72">
        <f t="shared" si="26"/>
        <v>0</v>
      </c>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0</v>
      </c>
      <c r="AU25" s="39"/>
      <c r="AV25" s="72">
        <f t="shared" si="10"/>
        <v>0</v>
      </c>
      <c r="AW25" s="72">
        <f t="shared" si="27"/>
        <v>0</v>
      </c>
      <c r="AX25" s="39"/>
      <c r="AY25" s="40">
        <f>IF(ISERROR(IF($K25&lt;=$F$15,VLOOKUP($I25,'表4）CO2価格'!$A$7:$E$67,VLOOKUP($F$48,'表4）CO2価格'!$H$10:$I$12,2,0),0)*$F$8/1000,"")),0,IF($K25&lt;=$F$15,VLOOKUP($I25,'表4）CO2価格'!$A$7:$E$67,VLOOKUP($F$48,'表4）CO2価格'!$H$10:$I$12,2,0),0)*$F$8/1000,""))</f>
        <v>0</v>
      </c>
      <c r="AZ25" s="39"/>
      <c r="BA25" s="42">
        <f t="shared" si="11"/>
        <v>0</v>
      </c>
      <c r="BB25" s="72">
        <f t="shared" si="28"/>
        <v>0</v>
      </c>
      <c r="BC25" s="39"/>
      <c r="BD25" s="72">
        <f t="shared" si="12"/>
        <v>0</v>
      </c>
      <c r="BE25" s="72">
        <f t="shared" si="29"/>
        <v>0</v>
      </c>
      <c r="BF25" s="39"/>
      <c r="BG25" s="42">
        <f t="shared" si="13"/>
        <v>0</v>
      </c>
      <c r="BH25" s="72">
        <f t="shared" si="30"/>
        <v>0</v>
      </c>
      <c r="BI25" s="39"/>
      <c r="BJ25" s="40">
        <f t="shared" si="31"/>
        <v>0.6495809315632679</v>
      </c>
      <c r="BK25" s="157">
        <f t="shared" si="32"/>
        <v>901488.41682350321</v>
      </c>
      <c r="BL25" s="157">
        <f t="shared" si="14"/>
        <v>244684.14530125176</v>
      </c>
      <c r="BM25" s="72"/>
      <c r="BN25" s="72">
        <f t="shared" si="33"/>
        <v>5418541.3541934285</v>
      </c>
      <c r="BO25" s="72">
        <f t="shared" si="34"/>
        <v>3914469.562399603</v>
      </c>
      <c r="BP25" s="39"/>
      <c r="BQ25" s="72">
        <f t="shared" si="15"/>
        <v>376680</v>
      </c>
      <c r="BR25" s="72">
        <f t="shared" si="35"/>
        <v>272121.6464692218</v>
      </c>
    </row>
    <row r="26" spans="3:70" x14ac:dyDescent="0.15">
      <c r="D26" s="81" t="s">
        <v>115</v>
      </c>
      <c r="F26" s="59"/>
      <c r="G26" s="81" t="s">
        <v>175</v>
      </c>
      <c r="I26" s="459">
        <f t="shared" si="36"/>
        <v>2031</v>
      </c>
      <c r="J26" s="71"/>
      <c r="K26" s="71">
        <f t="shared" si="37"/>
        <v>12</v>
      </c>
      <c r="L26" s="71"/>
      <c r="M26" s="7">
        <f t="shared" si="0"/>
        <v>0.70137988019297326</v>
      </c>
      <c r="N26" s="71"/>
      <c r="O26" s="10">
        <f t="shared" si="16"/>
        <v>9045710.5428598393</v>
      </c>
      <c r="P26" s="29">
        <f t="shared" si="1"/>
        <v>0.16700000000000001</v>
      </c>
      <c r="Q26" s="71"/>
      <c r="R26" s="10">
        <f t="shared" si="17"/>
        <v>11720456.304620914</v>
      </c>
      <c r="S26" s="71"/>
      <c r="T26" s="10">
        <f t="shared" si="18"/>
        <v>11720000</v>
      </c>
      <c r="U26" s="71"/>
      <c r="V26" s="10">
        <f t="shared" si="2"/>
        <v>1510633.6606575933</v>
      </c>
      <c r="W26" s="10">
        <f t="shared" si="19"/>
        <v>1059528.0559274955</v>
      </c>
      <c r="X26" s="71"/>
      <c r="Y26" s="10">
        <f t="shared" si="3"/>
        <v>164000</v>
      </c>
      <c r="Z26" s="10">
        <f t="shared" si="20"/>
        <v>115026.30035164762</v>
      </c>
      <c r="AA26" s="71"/>
      <c r="AB26" s="10">
        <f t="shared" si="4"/>
        <v>0</v>
      </c>
      <c r="AC26" s="10">
        <f t="shared" si="21"/>
        <v>0</v>
      </c>
      <c r="AD26" s="71"/>
      <c r="AE26" s="10">
        <f t="shared" si="5"/>
        <v>0</v>
      </c>
      <c r="AF26" s="10">
        <f t="shared" si="22"/>
        <v>0</v>
      </c>
      <c r="AG26" s="71"/>
      <c r="AH26" s="10">
        <f t="shared" si="6"/>
        <v>1200000</v>
      </c>
      <c r="AI26" s="10">
        <f t="shared" si="23"/>
        <v>841655.85623156792</v>
      </c>
      <c r="AJ26" s="71"/>
      <c r="AK26" s="10">
        <f t="shared" si="7"/>
        <v>0</v>
      </c>
      <c r="AL26" s="10">
        <f t="shared" si="24"/>
        <v>0</v>
      </c>
      <c r="AM26" s="71"/>
      <c r="AN26" s="10">
        <f t="shared" si="8"/>
        <v>0</v>
      </c>
      <c r="AO26" s="10">
        <f t="shared" si="25"/>
        <v>0</v>
      </c>
      <c r="AP26" s="71"/>
      <c r="AQ26" s="10">
        <f t="shared" si="9"/>
        <v>0</v>
      </c>
      <c r="AR26" s="10">
        <f t="shared" si="26"/>
        <v>0</v>
      </c>
      <c r="AS26" s="71"/>
      <c r="AT26" s="7">
        <f>IF($K26&lt;=$F$15,IF($F$40&lt;&gt;"",$F$40/1000,IF(ISERROR(VLOOKUP($F$3&amp;IF($G$4&lt;&gt;"",$G$4,"")&amp;IF($F$43&lt;&gt;"","_"&amp;$F$43,""),'表3）燃料価格'!$AF$9:$AG$25,2,0)),0,VLOOKUP($I26,'表3）燃料価格'!$A$6:$U$66,VLOOKUP($F$3&amp;IF($G$4&lt;&gt;"",$G$4,"")&amp;IF($F$43&lt;&gt;"","_"&amp;$F$43,""),'表3）燃料価格'!$AF$9:$AG$25,2,0)+VLOOKUP($F$41,'表3）燃料価格'!$AF$28:$AG$29,2,0),0)*IF($F$43="需要地価格",1,$F$8/$F$141))),"")</f>
        <v>0</v>
      </c>
      <c r="AU26" s="71"/>
      <c r="AV26" s="10">
        <f t="shared" si="10"/>
        <v>0</v>
      </c>
      <c r="AW26" s="10">
        <f t="shared" si="27"/>
        <v>0</v>
      </c>
      <c r="AX26" s="71"/>
      <c r="AY26" s="7">
        <f>IF(ISERROR(IF($K26&lt;=$F$15,VLOOKUP($I26,'表4）CO2価格'!$A$7:$E$67,VLOOKUP($F$48,'表4）CO2価格'!$H$10:$I$12,2,0),0)*$F$8/1000,"")),0,IF($K26&lt;=$F$15,VLOOKUP($I26,'表4）CO2価格'!$A$7:$E$67,VLOOKUP($F$48,'表4）CO2価格'!$H$10:$I$12,2,0),0)*$F$8/1000,""))</f>
        <v>0</v>
      </c>
      <c r="AZ26" s="71"/>
      <c r="BA26" s="11">
        <f t="shared" si="11"/>
        <v>0</v>
      </c>
      <c r="BB26" s="10">
        <f t="shared" si="28"/>
        <v>0</v>
      </c>
      <c r="BC26" s="71"/>
      <c r="BD26" s="10">
        <f t="shared" si="12"/>
        <v>0</v>
      </c>
      <c r="BE26" s="10">
        <f t="shared" si="29"/>
        <v>0</v>
      </c>
      <c r="BF26" s="71"/>
      <c r="BG26" s="11">
        <f t="shared" si="13"/>
        <v>0</v>
      </c>
      <c r="BH26" s="10">
        <f t="shared" si="30"/>
        <v>0</v>
      </c>
      <c r="BJ26" s="7">
        <f t="shared" si="31"/>
        <v>0.62459704958006512</v>
      </c>
      <c r="BK26" s="158">
        <f t="shared" si="32"/>
        <v>851950.37562720885</v>
      </c>
      <c r="BL26" s="158">
        <f t="shared" si="14"/>
        <v>235273.21663581894</v>
      </c>
      <c r="BM26" s="10"/>
      <c r="BN26" s="10">
        <f t="shared" si="33"/>
        <v>5418541.3541934285</v>
      </c>
      <c r="BO26" s="10">
        <f t="shared" si="34"/>
        <v>3800455.8858248582</v>
      </c>
      <c r="BQ26" s="10">
        <f t="shared" si="15"/>
        <v>376680</v>
      </c>
      <c r="BR26" s="10">
        <f t="shared" si="35"/>
        <v>264195.77327108919</v>
      </c>
    </row>
    <row r="27" spans="3:70" x14ac:dyDescent="0.15">
      <c r="D27" s="82" t="s">
        <v>86</v>
      </c>
      <c r="F27" s="250">
        <f>1*F13</f>
        <v>2.5000000000000001E-2</v>
      </c>
      <c r="G27" s="81" t="s">
        <v>176</v>
      </c>
      <c r="I27" s="458">
        <f t="shared" si="36"/>
        <v>2032</v>
      </c>
      <c r="J27" s="39"/>
      <c r="K27" s="39">
        <f t="shared" si="37"/>
        <v>13</v>
      </c>
      <c r="L27" s="39"/>
      <c r="M27" s="40">
        <f t="shared" si="0"/>
        <v>0.68095133999317792</v>
      </c>
      <c r="N27" s="39"/>
      <c r="O27" s="72">
        <f t="shared" si="16"/>
        <v>7535076.8822022462</v>
      </c>
      <c r="P27" s="41" t="str">
        <f t="shared" si="1"/>
        <v>-</v>
      </c>
      <c r="Q27" s="39"/>
      <c r="R27" s="72">
        <f t="shared" si="17"/>
        <v>10235781.125890383</v>
      </c>
      <c r="S27" s="39"/>
      <c r="T27" s="72">
        <f t="shared" si="18"/>
        <v>10235000</v>
      </c>
      <c r="U27" s="39"/>
      <c r="V27" s="72">
        <f t="shared" si="2"/>
        <v>1510633.6606575933</v>
      </c>
      <c r="W27" s="72">
        <f t="shared" si="19"/>
        <v>1028668.0154635877</v>
      </c>
      <c r="X27" s="39"/>
      <c r="Y27" s="72">
        <f t="shared" si="3"/>
        <v>143200</v>
      </c>
      <c r="Z27" s="72">
        <f t="shared" si="20"/>
        <v>97512.231887023081</v>
      </c>
      <c r="AA27" s="39"/>
      <c r="AB27" s="72">
        <f t="shared" si="4"/>
        <v>0</v>
      </c>
      <c r="AC27" s="72">
        <f t="shared" si="21"/>
        <v>0</v>
      </c>
      <c r="AD27" s="39"/>
      <c r="AE27" s="72">
        <f t="shared" si="5"/>
        <v>0</v>
      </c>
      <c r="AF27" s="72">
        <f t="shared" si="22"/>
        <v>0</v>
      </c>
      <c r="AG27" s="39"/>
      <c r="AH27" s="72">
        <f t="shared" si="6"/>
        <v>1200000</v>
      </c>
      <c r="AI27" s="72">
        <f t="shared" si="23"/>
        <v>817141.60799181345</v>
      </c>
      <c r="AJ27" s="39"/>
      <c r="AK27" s="72">
        <f t="shared" si="7"/>
        <v>0</v>
      </c>
      <c r="AL27" s="72">
        <f t="shared" si="24"/>
        <v>0</v>
      </c>
      <c r="AM27" s="39"/>
      <c r="AN27" s="72">
        <f t="shared" si="8"/>
        <v>0</v>
      </c>
      <c r="AO27" s="72">
        <f t="shared" si="25"/>
        <v>0</v>
      </c>
      <c r="AP27" s="39"/>
      <c r="AQ27" s="72">
        <f t="shared" si="9"/>
        <v>0</v>
      </c>
      <c r="AR27" s="72">
        <f t="shared" si="26"/>
        <v>0</v>
      </c>
      <c r="AS27" s="39"/>
      <c r="AT27" s="40">
        <f>IF($K27&lt;=$F$15,IF($F$40&lt;&gt;"",$F$40/1000,IF(ISERROR(VLOOKUP($F$3&amp;IF($G$4&lt;&gt;"",$G$4,"")&amp;IF($F$43&lt;&gt;"","_"&amp;$F$43,""),'表3）燃料価格'!$AF$9:$AG$25,2,0)),0,VLOOKUP($I27,'表3）燃料価格'!$A$6:$U$66,VLOOKUP($F$3&amp;IF($G$4&lt;&gt;"",$G$4,"")&amp;IF($F$43&lt;&gt;"","_"&amp;$F$43,""),'表3）燃料価格'!$AF$9:$AG$25,2,0)+VLOOKUP($F$41,'表3）燃料価格'!$AF$28:$AG$29,2,0),0)*IF($F$43="需要地価格",1,$F$8/$F$141))),"")</f>
        <v>0</v>
      </c>
      <c r="AU27" s="39"/>
      <c r="AV27" s="72">
        <f t="shared" si="10"/>
        <v>0</v>
      </c>
      <c r="AW27" s="72">
        <f t="shared" si="27"/>
        <v>0</v>
      </c>
      <c r="AX27" s="39"/>
      <c r="AY27" s="40">
        <f>IF(ISERROR(IF($K27&lt;=$F$15,VLOOKUP($I27,'表4）CO2価格'!$A$7:$E$67,VLOOKUP($F$48,'表4）CO2価格'!$H$10:$I$12,2,0),0)*$F$8/1000,"")),0,IF($K27&lt;=$F$15,VLOOKUP($I27,'表4）CO2価格'!$A$7:$E$67,VLOOKUP($F$48,'表4）CO2価格'!$H$10:$I$12,2,0),0)*$F$8/1000,""))</f>
        <v>0</v>
      </c>
      <c r="AZ27" s="39"/>
      <c r="BA27" s="42">
        <f t="shared" si="11"/>
        <v>0</v>
      </c>
      <c r="BB27" s="72">
        <f t="shared" si="28"/>
        <v>0</v>
      </c>
      <c r="BC27" s="39"/>
      <c r="BD27" s="72">
        <f t="shared" si="12"/>
        <v>0</v>
      </c>
      <c r="BE27" s="72">
        <f t="shared" si="29"/>
        <v>0</v>
      </c>
      <c r="BF27" s="39"/>
      <c r="BG27" s="42">
        <f t="shared" si="13"/>
        <v>0</v>
      </c>
      <c r="BH27" s="72">
        <f t="shared" si="30"/>
        <v>0</v>
      </c>
      <c r="BI27" s="39"/>
      <c r="BJ27" s="40">
        <f t="shared" si="31"/>
        <v>0.600574086134678</v>
      </c>
      <c r="BK27" s="157">
        <f t="shared" si="32"/>
        <v>806691.11249609943</v>
      </c>
      <c r="BL27" s="157">
        <f t="shared" si="14"/>
        <v>226224.2467652105</v>
      </c>
      <c r="BM27" s="72"/>
      <c r="BN27" s="72">
        <f t="shared" si="33"/>
        <v>5418541.3541934285</v>
      </c>
      <c r="BO27" s="72">
        <f t="shared" si="34"/>
        <v>3689762.9959464641</v>
      </c>
      <c r="BP27" s="39"/>
      <c r="BQ27" s="72">
        <f t="shared" si="15"/>
        <v>376680</v>
      </c>
      <c r="BR27" s="72">
        <f t="shared" si="35"/>
        <v>256500.75074863026</v>
      </c>
    </row>
    <row r="28" spans="3:70" x14ac:dyDescent="0.15">
      <c r="D28" s="81" t="s">
        <v>116</v>
      </c>
      <c r="F28" s="59">
        <v>1</v>
      </c>
      <c r="G28" s="81" t="s">
        <v>108</v>
      </c>
      <c r="I28" s="459">
        <f t="shared" si="36"/>
        <v>2033</v>
      </c>
      <c r="J28" s="71"/>
      <c r="K28" s="71">
        <f t="shared" si="37"/>
        <v>14</v>
      </c>
      <c r="L28" s="71"/>
      <c r="M28" s="7">
        <f t="shared" si="0"/>
        <v>0.66111780581861923</v>
      </c>
      <c r="N28" s="71"/>
      <c r="O28" s="10">
        <f t="shared" si="16"/>
        <v>6024443.2215446532</v>
      </c>
      <c r="P28" s="29" t="str">
        <f t="shared" si="1"/>
        <v>-</v>
      </c>
      <c r="Q28" s="71"/>
      <c r="R28" s="10">
        <f t="shared" si="17"/>
        <v>8939175.4496645872</v>
      </c>
      <c r="S28" s="71"/>
      <c r="T28" s="10">
        <f t="shared" si="18"/>
        <v>8939000</v>
      </c>
      <c r="U28" s="71"/>
      <c r="V28" s="10">
        <f t="shared" si="2"/>
        <v>1510633.6606575933</v>
      </c>
      <c r="W28" s="10">
        <f t="shared" si="19"/>
        <v>998706.81112969667</v>
      </c>
      <c r="X28" s="71"/>
      <c r="Y28" s="10">
        <f t="shared" si="3"/>
        <v>125100</v>
      </c>
      <c r="Z28" s="10">
        <f t="shared" si="20"/>
        <v>82705.837507909266</v>
      </c>
      <c r="AA28" s="71"/>
      <c r="AB28" s="10">
        <f t="shared" si="4"/>
        <v>0</v>
      </c>
      <c r="AC28" s="10">
        <f t="shared" si="21"/>
        <v>0</v>
      </c>
      <c r="AD28" s="71"/>
      <c r="AE28" s="10">
        <f t="shared" si="5"/>
        <v>0</v>
      </c>
      <c r="AF28" s="10">
        <f t="shared" si="22"/>
        <v>0</v>
      </c>
      <c r="AG28" s="71"/>
      <c r="AH28" s="10">
        <f t="shared" si="6"/>
        <v>1200000</v>
      </c>
      <c r="AI28" s="10">
        <f t="shared" si="23"/>
        <v>793341.36698234302</v>
      </c>
      <c r="AJ28" s="71"/>
      <c r="AK28" s="10">
        <f t="shared" si="7"/>
        <v>0</v>
      </c>
      <c r="AL28" s="10">
        <f t="shared" si="24"/>
        <v>0</v>
      </c>
      <c r="AM28" s="71"/>
      <c r="AN28" s="10">
        <f t="shared" si="8"/>
        <v>0</v>
      </c>
      <c r="AO28" s="10">
        <f t="shared" si="25"/>
        <v>0</v>
      </c>
      <c r="AP28" s="71"/>
      <c r="AQ28" s="10">
        <f t="shared" si="9"/>
        <v>0</v>
      </c>
      <c r="AR28" s="10">
        <f t="shared" si="26"/>
        <v>0</v>
      </c>
      <c r="AS28" s="71"/>
      <c r="AT28" s="7">
        <f>IF($K28&lt;=$F$15,IF($F$40&lt;&gt;"",$F$40/1000,IF(ISERROR(VLOOKUP($F$3&amp;IF($G$4&lt;&gt;"",$G$4,"")&amp;IF($F$43&lt;&gt;"","_"&amp;$F$43,""),'表3）燃料価格'!$AF$9:$AG$25,2,0)),0,VLOOKUP($I28,'表3）燃料価格'!$A$6:$U$66,VLOOKUP($F$3&amp;IF($G$4&lt;&gt;"",$G$4,"")&amp;IF($F$43&lt;&gt;"","_"&amp;$F$43,""),'表3）燃料価格'!$AF$9:$AG$25,2,0)+VLOOKUP($F$41,'表3）燃料価格'!$AF$28:$AG$29,2,0),0)*IF($F$43="需要地価格",1,$F$8/$F$141))),"")</f>
        <v>0</v>
      </c>
      <c r="AU28" s="71"/>
      <c r="AV28" s="10">
        <f t="shared" si="10"/>
        <v>0</v>
      </c>
      <c r="AW28" s="10">
        <f t="shared" si="27"/>
        <v>0</v>
      </c>
      <c r="AX28" s="71"/>
      <c r="AY28" s="7">
        <f>IF(ISERROR(IF($K28&lt;=$F$15,VLOOKUP($I28,'表4）CO2価格'!$A$7:$E$67,VLOOKUP($F$48,'表4）CO2価格'!$H$10:$I$12,2,0),0)*$F$8/1000,"")),0,IF($K28&lt;=$F$15,VLOOKUP($I28,'表4）CO2価格'!$A$7:$E$67,VLOOKUP($F$48,'表4）CO2価格'!$H$10:$I$12,2,0),0)*$F$8/1000,""))</f>
        <v>0</v>
      </c>
      <c r="AZ28" s="71"/>
      <c r="BA28" s="11">
        <f t="shared" si="11"/>
        <v>0</v>
      </c>
      <c r="BB28" s="10">
        <f t="shared" si="28"/>
        <v>0</v>
      </c>
      <c r="BC28" s="71"/>
      <c r="BD28" s="10">
        <f t="shared" si="12"/>
        <v>0</v>
      </c>
      <c r="BE28" s="10">
        <f t="shared" si="29"/>
        <v>0</v>
      </c>
      <c r="BF28" s="71"/>
      <c r="BG28" s="11">
        <f t="shared" si="13"/>
        <v>0</v>
      </c>
      <c r="BH28" s="10">
        <f t="shared" si="30"/>
        <v>0</v>
      </c>
      <c r="BJ28" s="7">
        <f t="shared" si="31"/>
        <v>0.57747508282180582</v>
      </c>
      <c r="BK28" s="158">
        <f t="shared" si="32"/>
        <v>765212.23224717483</v>
      </c>
      <c r="BL28" s="158">
        <f t="shared" si="14"/>
        <v>217523.31419731781</v>
      </c>
      <c r="BM28" s="10"/>
      <c r="BN28" s="10">
        <f t="shared" si="33"/>
        <v>5418541.3541934285</v>
      </c>
      <c r="BO28" s="10">
        <f t="shared" si="34"/>
        <v>3582294.1708218092</v>
      </c>
      <c r="BQ28" s="10">
        <f t="shared" si="15"/>
        <v>376680</v>
      </c>
      <c r="BR28" s="10">
        <f t="shared" si="35"/>
        <v>249029.85509575749</v>
      </c>
    </row>
    <row r="29" spans="3:70" x14ac:dyDescent="0.15">
      <c r="D29" s="81" t="s">
        <v>117</v>
      </c>
      <c r="F29" s="59"/>
      <c r="G29" s="81" t="s">
        <v>176</v>
      </c>
      <c r="I29" s="458">
        <f t="shared" si="36"/>
        <v>2034</v>
      </c>
      <c r="J29" s="39"/>
      <c r="K29" s="39">
        <f t="shared" si="37"/>
        <v>15</v>
      </c>
      <c r="L29" s="39"/>
      <c r="M29" s="40">
        <f t="shared" si="0"/>
        <v>0.64186194739671765</v>
      </c>
      <c r="N29" s="39"/>
      <c r="O29" s="72">
        <f t="shared" si="16"/>
        <v>4513809.5608870601</v>
      </c>
      <c r="P29" s="41" t="str">
        <f t="shared" si="1"/>
        <v>-</v>
      </c>
      <c r="Q29" s="39"/>
      <c r="R29" s="72">
        <f t="shared" si="17"/>
        <v>7806815.7903225021</v>
      </c>
      <c r="S29" s="39"/>
      <c r="T29" s="72">
        <f t="shared" si="18"/>
        <v>7806000</v>
      </c>
      <c r="U29" s="39"/>
      <c r="V29" s="72">
        <f t="shared" si="2"/>
        <v>1510633.6606575933</v>
      </c>
      <c r="W29" s="72">
        <f t="shared" si="19"/>
        <v>969618.2632327152</v>
      </c>
      <c r="X29" s="39"/>
      <c r="Y29" s="72">
        <f t="shared" si="3"/>
        <v>109200</v>
      </c>
      <c r="Z29" s="72">
        <f t="shared" si="20"/>
        <v>70091.324655721561</v>
      </c>
      <c r="AA29" s="39"/>
      <c r="AB29" s="72">
        <f t="shared" si="4"/>
        <v>0</v>
      </c>
      <c r="AC29" s="72">
        <f t="shared" si="21"/>
        <v>0</v>
      </c>
      <c r="AD29" s="39"/>
      <c r="AE29" s="72">
        <f t="shared" si="5"/>
        <v>0</v>
      </c>
      <c r="AF29" s="72">
        <f t="shared" si="22"/>
        <v>0</v>
      </c>
      <c r="AG29" s="39"/>
      <c r="AH29" s="72">
        <f t="shared" si="6"/>
        <v>1200000</v>
      </c>
      <c r="AI29" s="72">
        <f t="shared" si="23"/>
        <v>770234.33687606116</v>
      </c>
      <c r="AJ29" s="39"/>
      <c r="AK29" s="72">
        <f t="shared" si="7"/>
        <v>0</v>
      </c>
      <c r="AL29" s="72">
        <f t="shared" si="24"/>
        <v>0</v>
      </c>
      <c r="AM29" s="39"/>
      <c r="AN29" s="72">
        <f t="shared" si="8"/>
        <v>0</v>
      </c>
      <c r="AO29" s="72">
        <f t="shared" si="25"/>
        <v>0</v>
      </c>
      <c r="AP29" s="39"/>
      <c r="AQ29" s="72">
        <f t="shared" si="9"/>
        <v>0</v>
      </c>
      <c r="AR29" s="72">
        <f t="shared" si="26"/>
        <v>0</v>
      </c>
      <c r="AS29" s="39"/>
      <c r="AT29" s="40">
        <f>IF($K29&lt;=$F$15,IF($F$40&lt;&gt;"",$F$40/1000,IF(ISERROR(VLOOKUP($F$3&amp;IF($G$4&lt;&gt;"",$G$4,"")&amp;IF($F$43&lt;&gt;"","_"&amp;$F$43,""),'表3）燃料価格'!$AF$9:$AG$25,2,0)),0,VLOOKUP($I29,'表3）燃料価格'!$A$6:$U$66,VLOOKUP($F$3&amp;IF($G$4&lt;&gt;"",$G$4,"")&amp;IF($F$43&lt;&gt;"","_"&amp;$F$43,""),'表3）燃料価格'!$AF$9:$AG$25,2,0)+VLOOKUP($F$41,'表3）燃料価格'!$AF$28:$AG$29,2,0),0)*IF($F$43="需要地価格",1,$F$8/$F$141))),"")</f>
        <v>0</v>
      </c>
      <c r="AU29" s="39"/>
      <c r="AV29" s="72">
        <f t="shared" si="10"/>
        <v>0</v>
      </c>
      <c r="AW29" s="72">
        <f t="shared" si="27"/>
        <v>0</v>
      </c>
      <c r="AX29" s="39"/>
      <c r="AY29" s="40">
        <f>IF(ISERROR(IF($K29&lt;=$F$15,VLOOKUP($I29,'表4）CO2価格'!$A$7:$E$67,VLOOKUP($F$48,'表4）CO2価格'!$H$10:$I$12,2,0),0)*$F$8/1000,"")),0,IF($K29&lt;=$F$15,VLOOKUP($I29,'表4）CO2価格'!$A$7:$E$67,VLOOKUP($F$48,'表4）CO2価格'!$H$10:$I$12,2,0),0)*$F$8/1000,""))</f>
        <v>0</v>
      </c>
      <c r="AZ29" s="39"/>
      <c r="BA29" s="42">
        <f t="shared" si="11"/>
        <v>0</v>
      </c>
      <c r="BB29" s="72">
        <f t="shared" si="28"/>
        <v>0</v>
      </c>
      <c r="BC29" s="39"/>
      <c r="BD29" s="72">
        <f t="shared" si="12"/>
        <v>0</v>
      </c>
      <c r="BE29" s="72">
        <f t="shared" si="29"/>
        <v>0</v>
      </c>
      <c r="BF29" s="39"/>
      <c r="BG29" s="42">
        <f t="shared" si="13"/>
        <v>0</v>
      </c>
      <c r="BH29" s="72">
        <f t="shared" si="30"/>
        <v>0</v>
      </c>
      <c r="BI29" s="39"/>
      <c r="BJ29" s="40">
        <f t="shared" si="31"/>
        <v>0.55526450271327477</v>
      </c>
      <c r="BK29" s="157">
        <f t="shared" si="32"/>
        <v>726952.28695221932</v>
      </c>
      <c r="BL29" s="157">
        <f t="shared" si="14"/>
        <v>209157.03288203635</v>
      </c>
      <c r="BM29" s="72"/>
      <c r="BN29" s="72">
        <f t="shared" si="33"/>
        <v>5418541.3541934285</v>
      </c>
      <c r="BO29" s="72">
        <f t="shared" si="34"/>
        <v>3477955.5056522414</v>
      </c>
      <c r="BP29" s="39"/>
      <c r="BQ29" s="72">
        <f t="shared" si="15"/>
        <v>376680</v>
      </c>
      <c r="BR29" s="72">
        <f t="shared" si="35"/>
        <v>241776.55834539561</v>
      </c>
    </row>
    <row r="30" spans="3:70" x14ac:dyDescent="0.15">
      <c r="I30" s="459">
        <f t="shared" si="36"/>
        <v>2035</v>
      </c>
      <c r="J30" s="71"/>
      <c r="K30" s="71">
        <f t="shared" si="37"/>
        <v>16</v>
      </c>
      <c r="L30" s="71"/>
      <c r="M30" s="7">
        <f t="shared" si="0"/>
        <v>0.62316693922011435</v>
      </c>
      <c r="N30" s="71"/>
      <c r="O30" s="10">
        <f t="shared" si="16"/>
        <v>3003175.9002294671</v>
      </c>
      <c r="P30" s="29" t="str">
        <f t="shared" si="1"/>
        <v>-</v>
      </c>
      <c r="Q30" s="71"/>
      <c r="R30" s="10">
        <f t="shared" si="17"/>
        <v>6817896.4745921353</v>
      </c>
      <c r="S30" s="71"/>
      <c r="T30" s="10">
        <f t="shared" si="18"/>
        <v>6817000</v>
      </c>
      <c r="U30" s="71"/>
      <c r="V30" s="10">
        <f t="shared" si="2"/>
        <v>1510633.6606575933</v>
      </c>
      <c r="W30" s="10">
        <f t="shared" si="19"/>
        <v>941376.95459486928</v>
      </c>
      <c r="X30" s="71"/>
      <c r="Y30" s="10">
        <f t="shared" si="3"/>
        <v>95400</v>
      </c>
      <c r="Z30" s="10">
        <f t="shared" si="20"/>
        <v>59450.12600159891</v>
      </c>
      <c r="AA30" s="71"/>
      <c r="AB30" s="10">
        <f t="shared" si="4"/>
        <v>0</v>
      </c>
      <c r="AC30" s="10">
        <f t="shared" si="21"/>
        <v>0</v>
      </c>
      <c r="AD30" s="71"/>
      <c r="AE30" s="10">
        <f t="shared" si="5"/>
        <v>0</v>
      </c>
      <c r="AF30" s="10">
        <f t="shared" si="22"/>
        <v>0</v>
      </c>
      <c r="AG30" s="71"/>
      <c r="AH30" s="10">
        <f t="shared" si="6"/>
        <v>1200000</v>
      </c>
      <c r="AI30" s="10">
        <f t="shared" si="23"/>
        <v>747800.32706413721</v>
      </c>
      <c r="AJ30" s="71"/>
      <c r="AK30" s="10">
        <f t="shared" si="7"/>
        <v>0</v>
      </c>
      <c r="AL30" s="10">
        <f t="shared" si="24"/>
        <v>0</v>
      </c>
      <c r="AM30" s="71"/>
      <c r="AN30" s="10">
        <f t="shared" si="8"/>
        <v>0</v>
      </c>
      <c r="AO30" s="10">
        <f t="shared" si="25"/>
        <v>0</v>
      </c>
      <c r="AP30" s="71"/>
      <c r="AQ30" s="10">
        <f t="shared" si="9"/>
        <v>0</v>
      </c>
      <c r="AR30" s="10">
        <f t="shared" si="26"/>
        <v>0</v>
      </c>
      <c r="AS30" s="71"/>
      <c r="AT30" s="7">
        <f>IF($K30&lt;=$F$15,IF($F$40&lt;&gt;"",$F$40/1000,IF(ISERROR(VLOOKUP($F$3&amp;IF($G$4&lt;&gt;"",$G$4,"")&amp;IF($F$43&lt;&gt;"","_"&amp;$F$43,""),'表3）燃料価格'!$AF$9:$AG$25,2,0)),0,VLOOKUP($I30,'表3）燃料価格'!$A$6:$U$66,VLOOKUP($F$3&amp;IF($G$4&lt;&gt;"",$G$4,"")&amp;IF($F$43&lt;&gt;"","_"&amp;$F$43,""),'表3）燃料価格'!$AF$9:$AG$25,2,0)+VLOOKUP($F$41,'表3）燃料価格'!$AF$28:$AG$29,2,0),0)*IF($F$43="需要地価格",1,$F$8/$F$141))),"")</f>
        <v>0</v>
      </c>
      <c r="AU30" s="71"/>
      <c r="AV30" s="10">
        <f t="shared" si="10"/>
        <v>0</v>
      </c>
      <c r="AW30" s="10">
        <f t="shared" si="27"/>
        <v>0</v>
      </c>
      <c r="AX30" s="71"/>
      <c r="AY30" s="7">
        <f>IF(ISERROR(IF($K30&lt;=$F$15,VLOOKUP($I30,'表4）CO2価格'!$A$7:$E$67,VLOOKUP($F$48,'表4）CO2価格'!$H$10:$I$12,2,0),0)*$F$8/1000,"")),0,IF($K30&lt;=$F$15,VLOOKUP($I30,'表4）CO2価格'!$A$7:$E$67,VLOOKUP($F$48,'表4）CO2価格'!$H$10:$I$12,2,0),0)*$F$8/1000,""))</f>
        <v>0</v>
      </c>
      <c r="AZ30" s="71"/>
      <c r="BA30" s="11">
        <f t="shared" si="11"/>
        <v>0</v>
      </c>
      <c r="BB30" s="10">
        <f t="shared" si="28"/>
        <v>0</v>
      </c>
      <c r="BC30" s="71"/>
      <c r="BD30" s="10">
        <f t="shared" si="12"/>
        <v>0</v>
      </c>
      <c r="BE30" s="10">
        <f t="shared" si="29"/>
        <v>0</v>
      </c>
      <c r="BF30" s="71"/>
      <c r="BG30" s="11">
        <f t="shared" si="13"/>
        <v>0</v>
      </c>
      <c r="BH30" s="10">
        <f t="shared" si="30"/>
        <v>0</v>
      </c>
      <c r="BJ30" s="7">
        <f t="shared" si="31"/>
        <v>0.53390817568584104</v>
      </c>
      <c r="BK30" s="158">
        <f t="shared" si="32"/>
        <v>691624.65078343847</v>
      </c>
      <c r="BL30" s="158">
        <f t="shared" si="14"/>
        <v>201112.53161734261</v>
      </c>
      <c r="BM30" s="10"/>
      <c r="BN30" s="10">
        <f t="shared" si="33"/>
        <v>5418541.3541934285</v>
      </c>
      <c r="BO30" s="10">
        <f t="shared" si="34"/>
        <v>3376655.8307303325</v>
      </c>
      <c r="BQ30" s="10">
        <f t="shared" si="15"/>
        <v>376680</v>
      </c>
      <c r="BR30" s="10">
        <f t="shared" si="35"/>
        <v>234734.52266543268</v>
      </c>
    </row>
    <row r="31" spans="3:70" x14ac:dyDescent="0.15">
      <c r="C31" s="89" t="s">
        <v>507</v>
      </c>
      <c r="D31" s="101"/>
      <c r="E31" s="101"/>
      <c r="F31" s="89"/>
      <c r="G31" s="101"/>
      <c r="I31" s="458">
        <f t="shared" si="36"/>
        <v>2036</v>
      </c>
      <c r="J31" s="39"/>
      <c r="K31" s="39">
        <f t="shared" si="37"/>
        <v>17</v>
      </c>
      <c r="L31" s="39"/>
      <c r="M31" s="40">
        <f t="shared" si="0"/>
        <v>0.60501644584477121</v>
      </c>
      <c r="N31" s="39"/>
      <c r="O31" s="72">
        <f t="shared" si="16"/>
        <v>1492542.2395718738</v>
      </c>
      <c r="P31" s="41" t="str">
        <f t="shared" si="1"/>
        <v>-</v>
      </c>
      <c r="Q31" s="39"/>
      <c r="R31" s="72">
        <f t="shared" si="17"/>
        <v>5954247.3636790663</v>
      </c>
      <c r="S31" s="39"/>
      <c r="T31" s="72">
        <f t="shared" si="18"/>
        <v>5954000</v>
      </c>
      <c r="U31" s="39"/>
      <c r="V31" s="72">
        <f t="shared" si="2"/>
        <v>1492542.2395718738</v>
      </c>
      <c r="W31" s="72">
        <f t="shared" si="19"/>
        <v>903012.60105897009</v>
      </c>
      <c r="X31" s="39"/>
      <c r="Y31" s="72">
        <f t="shared" si="3"/>
        <v>83300</v>
      </c>
      <c r="Z31" s="72">
        <f t="shared" si="20"/>
        <v>50397.869938869444</v>
      </c>
      <c r="AA31" s="39"/>
      <c r="AB31" s="72">
        <f t="shared" si="4"/>
        <v>0</v>
      </c>
      <c r="AC31" s="72">
        <f t="shared" si="21"/>
        <v>0</v>
      </c>
      <c r="AD31" s="39"/>
      <c r="AE31" s="72">
        <f t="shared" si="5"/>
        <v>0</v>
      </c>
      <c r="AF31" s="72">
        <f t="shared" si="22"/>
        <v>0</v>
      </c>
      <c r="AG31" s="39"/>
      <c r="AH31" s="72">
        <f t="shared" si="6"/>
        <v>1200000</v>
      </c>
      <c r="AI31" s="72">
        <f t="shared" si="23"/>
        <v>726019.73501372547</v>
      </c>
      <c r="AJ31" s="39"/>
      <c r="AK31" s="72">
        <f t="shared" si="7"/>
        <v>0</v>
      </c>
      <c r="AL31" s="72">
        <f t="shared" si="24"/>
        <v>0</v>
      </c>
      <c r="AM31" s="39"/>
      <c r="AN31" s="72">
        <f t="shared" si="8"/>
        <v>0</v>
      </c>
      <c r="AO31" s="72">
        <f t="shared" si="25"/>
        <v>0</v>
      </c>
      <c r="AP31" s="39"/>
      <c r="AQ31" s="72">
        <f t="shared" si="9"/>
        <v>0</v>
      </c>
      <c r="AR31" s="72">
        <f t="shared" si="26"/>
        <v>0</v>
      </c>
      <c r="AS31" s="39"/>
      <c r="AT31" s="40">
        <f>IF($K31&lt;=$F$15,IF($F$40&lt;&gt;"",$F$40/1000,IF(ISERROR(VLOOKUP($F$3&amp;IF($G$4&lt;&gt;"",$G$4,"")&amp;IF($F$43&lt;&gt;"","_"&amp;$F$43,""),'表3）燃料価格'!$AF$9:$AG$25,2,0)),0,VLOOKUP($I31,'表3）燃料価格'!$A$6:$U$66,VLOOKUP($F$3&amp;IF($G$4&lt;&gt;"",$G$4,"")&amp;IF($F$43&lt;&gt;"","_"&amp;$F$43,""),'表3）燃料価格'!$AF$9:$AG$25,2,0)+VLOOKUP($F$41,'表3）燃料価格'!$AF$28:$AG$29,2,0),0)*IF($F$43="需要地価格",1,$F$8/$F$141))),"")</f>
        <v>0</v>
      </c>
      <c r="AU31" s="39"/>
      <c r="AV31" s="72">
        <f t="shared" si="10"/>
        <v>0</v>
      </c>
      <c r="AW31" s="72">
        <f t="shared" si="27"/>
        <v>0</v>
      </c>
      <c r="AX31" s="39"/>
      <c r="AY31" s="40">
        <f>IF(ISERROR(IF($K31&lt;=$F$15,VLOOKUP($I31,'表4）CO2価格'!$A$7:$E$67,VLOOKUP($F$48,'表4）CO2価格'!$H$10:$I$12,2,0),0)*$F$8/1000,"")),0,IF($K31&lt;=$F$15,VLOOKUP($I31,'表4）CO2価格'!$A$7:$E$67,VLOOKUP($F$48,'表4）CO2価格'!$H$10:$I$12,2,0),0)*$F$8/1000,""))</f>
        <v>0</v>
      </c>
      <c r="AZ31" s="39"/>
      <c r="BA31" s="42">
        <f t="shared" si="11"/>
        <v>0</v>
      </c>
      <c r="BB31" s="72">
        <f t="shared" si="28"/>
        <v>0</v>
      </c>
      <c r="BC31" s="39"/>
      <c r="BD31" s="72">
        <f t="shared" si="12"/>
        <v>0</v>
      </c>
      <c r="BE31" s="72">
        <f t="shared" si="29"/>
        <v>0</v>
      </c>
      <c r="BF31" s="39"/>
      <c r="BG31" s="42">
        <f t="shared" si="13"/>
        <v>0</v>
      </c>
      <c r="BH31" s="72">
        <f t="shared" si="30"/>
        <v>0</v>
      </c>
      <c r="BI31" s="39"/>
      <c r="BJ31" s="40">
        <f t="shared" si="31"/>
        <v>0.51337324585177024</v>
      </c>
      <c r="BK31" s="157">
        <f t="shared" si="32"/>
        <v>658811.8864015768</v>
      </c>
      <c r="BL31" s="157">
        <f t="shared" si="14"/>
        <v>193377.43424744482</v>
      </c>
      <c r="BM31" s="72"/>
      <c r="BN31" s="72">
        <f t="shared" si="33"/>
        <v>5418541.3541934285</v>
      </c>
      <c r="BO31" s="72">
        <f t="shared" si="34"/>
        <v>3278306.6317770216</v>
      </c>
      <c r="BP31" s="39"/>
      <c r="BQ31" s="72">
        <f t="shared" si="15"/>
        <v>376680</v>
      </c>
      <c r="BR31" s="72">
        <f t="shared" si="35"/>
        <v>227897.59482080842</v>
      </c>
    </row>
    <row r="32" spans="3:70" x14ac:dyDescent="0.15">
      <c r="I32" s="459">
        <f t="shared" si="36"/>
        <v>2037</v>
      </c>
      <c r="J32" s="71"/>
      <c r="K32" s="71">
        <f t="shared" si="37"/>
        <v>18</v>
      </c>
      <c r="L32" s="71"/>
      <c r="M32" s="7">
        <f t="shared" si="0"/>
        <v>0.5873946076162827</v>
      </c>
      <c r="N32" s="71"/>
      <c r="O32" s="10">
        <f t="shared" si="16"/>
        <v>0</v>
      </c>
      <c r="P32" s="29" t="str">
        <f t="shared" si="1"/>
        <v>-</v>
      </c>
      <c r="Q32" s="71"/>
      <c r="R32" s="10">
        <f t="shared" si="17"/>
        <v>5200000.0000000009</v>
      </c>
      <c r="S32" s="71"/>
      <c r="T32" s="10">
        <f t="shared" si="18"/>
        <v>5200000</v>
      </c>
      <c r="U32" s="71"/>
      <c r="V32" s="10">
        <f t="shared" si="2"/>
        <v>0</v>
      </c>
      <c r="W32" s="10">
        <f t="shared" si="19"/>
        <v>0</v>
      </c>
      <c r="X32" s="71"/>
      <c r="Y32" s="10">
        <f t="shared" si="3"/>
        <v>72800</v>
      </c>
      <c r="Z32" s="10">
        <f t="shared" si="20"/>
        <v>42762.327434465384</v>
      </c>
      <c r="AA32" s="71"/>
      <c r="AB32" s="10">
        <f t="shared" si="4"/>
        <v>0</v>
      </c>
      <c r="AC32" s="10">
        <f t="shared" si="21"/>
        <v>0</v>
      </c>
      <c r="AD32" s="71"/>
      <c r="AE32" s="10">
        <f t="shared" si="5"/>
        <v>0</v>
      </c>
      <c r="AF32" s="10">
        <f t="shared" si="22"/>
        <v>0</v>
      </c>
      <c r="AG32" s="71"/>
      <c r="AH32" s="10">
        <f t="shared" si="6"/>
        <v>1200000</v>
      </c>
      <c r="AI32" s="10">
        <f t="shared" si="23"/>
        <v>704873.52913953923</v>
      </c>
      <c r="AJ32" s="71"/>
      <c r="AK32" s="10">
        <f t="shared" si="7"/>
        <v>0</v>
      </c>
      <c r="AL32" s="10">
        <f t="shared" si="24"/>
        <v>0</v>
      </c>
      <c r="AM32" s="71"/>
      <c r="AN32" s="10">
        <f t="shared" si="8"/>
        <v>0</v>
      </c>
      <c r="AO32" s="10">
        <f t="shared" si="25"/>
        <v>0</v>
      </c>
      <c r="AP32" s="71"/>
      <c r="AQ32" s="10">
        <f t="shared" si="9"/>
        <v>0</v>
      </c>
      <c r="AR32" s="10">
        <f t="shared" si="26"/>
        <v>0</v>
      </c>
      <c r="AS32" s="71"/>
      <c r="AT32" s="7">
        <f>IF($K32&lt;=$F$15,IF($F$40&lt;&gt;"",$F$40/1000,IF(ISERROR(VLOOKUP($F$3&amp;IF($G$4&lt;&gt;"",$G$4,"")&amp;IF($F$43&lt;&gt;"","_"&amp;$F$43,""),'表3）燃料価格'!$AF$9:$AG$25,2,0)),0,VLOOKUP($I32,'表3）燃料価格'!$A$6:$U$66,VLOOKUP($F$3&amp;IF($G$4&lt;&gt;"",$G$4,"")&amp;IF($F$43&lt;&gt;"","_"&amp;$F$43,""),'表3）燃料価格'!$AF$9:$AG$25,2,0)+VLOOKUP($F$41,'表3）燃料価格'!$AF$28:$AG$29,2,0),0)*IF($F$43="需要地価格",1,$F$8/$F$141))),"")</f>
        <v>0</v>
      </c>
      <c r="AU32" s="71"/>
      <c r="AV32" s="10">
        <f t="shared" si="10"/>
        <v>0</v>
      </c>
      <c r="AW32" s="10">
        <f t="shared" si="27"/>
        <v>0</v>
      </c>
      <c r="AX32" s="71"/>
      <c r="AY32" s="7">
        <f>IF(ISERROR(IF($K32&lt;=$F$15,VLOOKUP($I32,'表4）CO2価格'!$A$7:$E$67,VLOOKUP($F$48,'表4）CO2価格'!$H$10:$I$12,2,0),0)*$F$8/1000,"")),0,IF($K32&lt;=$F$15,VLOOKUP($I32,'表4）CO2価格'!$A$7:$E$67,VLOOKUP($F$48,'表4）CO2価格'!$H$10:$I$12,2,0),0)*$F$8/1000,""))</f>
        <v>0</v>
      </c>
      <c r="AZ32" s="71"/>
      <c r="BA32" s="11">
        <f t="shared" si="11"/>
        <v>0</v>
      </c>
      <c r="BB32" s="10">
        <f t="shared" si="28"/>
        <v>0</v>
      </c>
      <c r="BC32" s="71"/>
      <c r="BD32" s="10">
        <f t="shared" si="12"/>
        <v>0</v>
      </c>
      <c r="BE32" s="10">
        <f t="shared" si="29"/>
        <v>0</v>
      </c>
      <c r="BF32" s="71"/>
      <c r="BG32" s="11">
        <f t="shared" si="13"/>
        <v>0</v>
      </c>
      <c r="BH32" s="10">
        <f t="shared" si="30"/>
        <v>0</v>
      </c>
      <c r="BJ32" s="7">
        <f t="shared" si="31"/>
        <v>0.49362812101131748</v>
      </c>
      <c r="BK32" s="158">
        <f t="shared" si="32"/>
        <v>628289.87242320494</v>
      </c>
      <c r="BL32" s="158">
        <f t="shared" si="14"/>
        <v>185939.84062254307</v>
      </c>
      <c r="BM32" s="10"/>
      <c r="BN32" s="10">
        <f t="shared" si="33"/>
        <v>5418541.3541934285</v>
      </c>
      <c r="BO32" s="10">
        <f t="shared" si="34"/>
        <v>3182821.97259905</v>
      </c>
      <c r="BQ32" s="10">
        <f t="shared" si="15"/>
        <v>376680</v>
      </c>
      <c r="BR32" s="10">
        <f t="shared" si="35"/>
        <v>221259.80079690137</v>
      </c>
    </row>
    <row r="33" spans="3:70" x14ac:dyDescent="0.15">
      <c r="D33" s="82" t="s">
        <v>232</v>
      </c>
      <c r="F33" s="110">
        <v>0.48</v>
      </c>
      <c r="G33" s="81" t="s">
        <v>227</v>
      </c>
      <c r="I33" s="458">
        <f t="shared" si="36"/>
        <v>2038</v>
      </c>
      <c r="J33" s="39"/>
      <c r="K33" s="39">
        <f t="shared" si="37"/>
        <v>19</v>
      </c>
      <c r="L33" s="39"/>
      <c r="M33" s="40">
        <f t="shared" si="0"/>
        <v>0.57028602681192497</v>
      </c>
      <c r="N33" s="39"/>
      <c r="O33" s="72">
        <f t="shared" si="16"/>
        <v>0</v>
      </c>
      <c r="P33" s="41" t="str">
        <f t="shared" si="1"/>
        <v>-</v>
      </c>
      <c r="Q33" s="39"/>
      <c r="R33" s="72">
        <f t="shared" si="17"/>
        <v>4541296.0443907864</v>
      </c>
      <c r="S33" s="39"/>
      <c r="T33" s="72">
        <f t="shared" si="18"/>
        <v>4541000</v>
      </c>
      <c r="U33" s="39"/>
      <c r="V33" s="72">
        <f t="shared" si="2"/>
        <v>0</v>
      </c>
      <c r="W33" s="72">
        <f t="shared" si="19"/>
        <v>0</v>
      </c>
      <c r="X33" s="39"/>
      <c r="Y33" s="72">
        <f t="shared" si="3"/>
        <v>63500</v>
      </c>
      <c r="Z33" s="72">
        <f t="shared" si="20"/>
        <v>36213.162702557238</v>
      </c>
      <c r="AA33" s="39"/>
      <c r="AB33" s="72">
        <f t="shared" si="4"/>
        <v>0</v>
      </c>
      <c r="AC33" s="72">
        <f t="shared" si="21"/>
        <v>0</v>
      </c>
      <c r="AD33" s="39"/>
      <c r="AE33" s="72">
        <f t="shared" si="5"/>
        <v>0</v>
      </c>
      <c r="AF33" s="72">
        <f t="shared" si="22"/>
        <v>0</v>
      </c>
      <c r="AG33" s="39"/>
      <c r="AH33" s="72">
        <f t="shared" si="6"/>
        <v>1200000</v>
      </c>
      <c r="AI33" s="72">
        <f t="shared" si="23"/>
        <v>684343.23217431002</v>
      </c>
      <c r="AJ33" s="39"/>
      <c r="AK33" s="72">
        <f t="shared" si="7"/>
        <v>0</v>
      </c>
      <c r="AL33" s="72">
        <f t="shared" si="24"/>
        <v>0</v>
      </c>
      <c r="AM33" s="39"/>
      <c r="AN33" s="72">
        <f t="shared" si="8"/>
        <v>0</v>
      </c>
      <c r="AO33" s="72">
        <f t="shared" si="25"/>
        <v>0</v>
      </c>
      <c r="AP33" s="39"/>
      <c r="AQ33" s="72">
        <f t="shared" si="9"/>
        <v>0</v>
      </c>
      <c r="AR33" s="72">
        <f t="shared" si="26"/>
        <v>0</v>
      </c>
      <c r="AS33" s="39"/>
      <c r="AT33" s="40">
        <f>IF($K33&lt;=$F$15,IF($F$40&lt;&gt;"",$F$40/1000,IF(ISERROR(VLOOKUP($F$3&amp;IF($G$4&lt;&gt;"",$G$4,"")&amp;IF($F$43&lt;&gt;"","_"&amp;$F$43,""),'表3）燃料価格'!$AF$9:$AG$25,2,0)),0,VLOOKUP($I33,'表3）燃料価格'!$A$6:$U$66,VLOOKUP($F$3&amp;IF($G$4&lt;&gt;"",$G$4,"")&amp;IF($F$43&lt;&gt;"","_"&amp;$F$43,""),'表3）燃料価格'!$AF$9:$AG$25,2,0)+VLOOKUP($F$41,'表3）燃料価格'!$AF$28:$AG$29,2,0),0)*IF($F$43="需要地価格",1,$F$8/$F$141))),"")</f>
        <v>0</v>
      </c>
      <c r="AU33" s="39"/>
      <c r="AV33" s="72">
        <f t="shared" si="10"/>
        <v>0</v>
      </c>
      <c r="AW33" s="72">
        <f t="shared" si="27"/>
        <v>0</v>
      </c>
      <c r="AX33" s="39"/>
      <c r="AY33" s="40">
        <f>IF(ISERROR(IF($K33&lt;=$F$15,VLOOKUP($I33,'表4）CO2価格'!$A$7:$E$67,VLOOKUP($F$48,'表4）CO2価格'!$H$10:$I$12,2,0),0)*$F$8/1000,"")),0,IF($K33&lt;=$F$15,VLOOKUP($I33,'表4）CO2価格'!$A$7:$E$67,VLOOKUP($F$48,'表4）CO2価格'!$H$10:$I$12,2,0),0)*$F$8/1000,""))</f>
        <v>0</v>
      </c>
      <c r="AZ33" s="39"/>
      <c r="BA33" s="42">
        <f t="shared" si="11"/>
        <v>0</v>
      </c>
      <c r="BB33" s="72">
        <f t="shared" si="28"/>
        <v>0</v>
      </c>
      <c r="BC33" s="39"/>
      <c r="BD33" s="72">
        <f t="shared" si="12"/>
        <v>0</v>
      </c>
      <c r="BE33" s="72">
        <f t="shared" si="29"/>
        <v>0</v>
      </c>
      <c r="BF33" s="39"/>
      <c r="BG33" s="42">
        <f t="shared" si="13"/>
        <v>0</v>
      </c>
      <c r="BH33" s="72">
        <f t="shared" si="30"/>
        <v>0</v>
      </c>
      <c r="BI33" s="39"/>
      <c r="BJ33" s="40">
        <f t="shared" si="31"/>
        <v>0.47464242404934376</v>
      </c>
      <c r="BK33" s="157">
        <f t="shared" si="32"/>
        <v>599710.70278634585</v>
      </c>
      <c r="BL33" s="157">
        <f t="shared" si="14"/>
        <v>178788.3082909068</v>
      </c>
      <c r="BM33" s="72"/>
      <c r="BN33" s="72">
        <f t="shared" si="33"/>
        <v>5418541.3541934285</v>
      </c>
      <c r="BO33" s="72">
        <f t="shared" si="34"/>
        <v>3090118.4199990779</v>
      </c>
      <c r="BP33" s="39"/>
      <c r="BQ33" s="72">
        <f t="shared" si="15"/>
        <v>376680</v>
      </c>
      <c r="BR33" s="72">
        <f t="shared" si="35"/>
        <v>214815.34057951591</v>
      </c>
    </row>
    <row r="34" spans="3:70" x14ac:dyDescent="0.15">
      <c r="D34" s="82"/>
      <c r="F34" s="66"/>
      <c r="I34" s="459">
        <f t="shared" si="36"/>
        <v>2039</v>
      </c>
      <c r="J34" s="71"/>
      <c r="K34" s="71">
        <f t="shared" si="37"/>
        <v>20</v>
      </c>
      <c r="L34" s="71"/>
      <c r="M34" s="7">
        <f t="shared" si="0"/>
        <v>0.55367575418633497</v>
      </c>
      <c r="N34" s="71"/>
      <c r="O34" s="10">
        <f t="shared" si="16"/>
        <v>0</v>
      </c>
      <c r="P34" s="29" t="str">
        <f t="shared" si="1"/>
        <v>-</v>
      </c>
      <c r="Q34" s="71"/>
      <c r="R34" s="10">
        <f t="shared" si="17"/>
        <v>3966032.6466921922</v>
      </c>
      <c r="S34" s="71"/>
      <c r="T34" s="10">
        <f t="shared" si="18"/>
        <v>3966000</v>
      </c>
      <c r="U34" s="71"/>
      <c r="V34" s="10">
        <f t="shared" si="2"/>
        <v>0</v>
      </c>
      <c r="W34" s="10">
        <f t="shared" si="19"/>
        <v>0</v>
      </c>
      <c r="X34" s="71"/>
      <c r="Y34" s="10">
        <f t="shared" si="3"/>
        <v>55500</v>
      </c>
      <c r="Z34" s="10">
        <f t="shared" si="20"/>
        <v>30729.00435734159</v>
      </c>
      <c r="AA34" s="71"/>
      <c r="AB34" s="10">
        <f t="shared" si="4"/>
        <v>0</v>
      </c>
      <c r="AC34" s="10">
        <f t="shared" si="21"/>
        <v>0</v>
      </c>
      <c r="AD34" s="71"/>
      <c r="AE34" s="10">
        <f t="shared" si="5"/>
        <v>0</v>
      </c>
      <c r="AF34" s="10">
        <f t="shared" si="22"/>
        <v>0</v>
      </c>
      <c r="AG34" s="71"/>
      <c r="AH34" s="10">
        <f t="shared" si="6"/>
        <v>1200000</v>
      </c>
      <c r="AI34" s="10">
        <f t="shared" si="23"/>
        <v>664410.90502360195</v>
      </c>
      <c r="AJ34" s="71"/>
      <c r="AK34" s="10">
        <f t="shared" si="7"/>
        <v>0</v>
      </c>
      <c r="AL34" s="10">
        <f t="shared" si="24"/>
        <v>0</v>
      </c>
      <c r="AM34" s="71"/>
      <c r="AN34" s="10">
        <f t="shared" si="8"/>
        <v>0</v>
      </c>
      <c r="AO34" s="10">
        <f t="shared" si="25"/>
        <v>0</v>
      </c>
      <c r="AP34" s="71"/>
      <c r="AQ34" s="10">
        <f t="shared" si="9"/>
        <v>0</v>
      </c>
      <c r="AR34" s="10">
        <f t="shared" si="26"/>
        <v>0</v>
      </c>
      <c r="AS34" s="71"/>
      <c r="AT34" s="7">
        <f>IF($K34&lt;=$F$15,IF($F$40&lt;&gt;"",$F$40/1000,IF(ISERROR(VLOOKUP($F$3&amp;IF($G$4&lt;&gt;"",$G$4,"")&amp;IF($F$43&lt;&gt;"","_"&amp;$F$43,""),'表3）燃料価格'!$AF$9:$AG$25,2,0)),0,VLOOKUP($I34,'表3）燃料価格'!$A$6:$U$66,VLOOKUP($F$3&amp;IF($G$4&lt;&gt;"",$G$4,"")&amp;IF($F$43&lt;&gt;"","_"&amp;$F$43,""),'表3）燃料価格'!$AF$9:$AG$25,2,0)+VLOOKUP($F$41,'表3）燃料価格'!$AF$28:$AG$29,2,0),0)*IF($F$43="需要地価格",1,$F$8/$F$141))),"")</f>
        <v>0</v>
      </c>
      <c r="AU34" s="71"/>
      <c r="AV34" s="10">
        <f t="shared" si="10"/>
        <v>0</v>
      </c>
      <c r="AW34" s="10">
        <f t="shared" si="27"/>
        <v>0</v>
      </c>
      <c r="AX34" s="71"/>
      <c r="AY34" s="7">
        <f>IF(ISERROR(IF($K34&lt;=$F$15,VLOOKUP($I34,'表4）CO2価格'!$A$7:$E$67,VLOOKUP($F$48,'表4）CO2価格'!$H$10:$I$12,2,0),0)*$F$8/1000,"")),0,IF($K34&lt;=$F$15,VLOOKUP($I34,'表4）CO2価格'!$A$7:$E$67,VLOOKUP($F$48,'表4）CO2価格'!$H$10:$I$12,2,0),0)*$F$8/1000,""))</f>
        <v>0</v>
      </c>
      <c r="AZ34" s="71"/>
      <c r="BA34" s="11">
        <f t="shared" si="11"/>
        <v>0</v>
      </c>
      <c r="BB34" s="10">
        <f t="shared" si="28"/>
        <v>0</v>
      </c>
      <c r="BC34" s="71"/>
      <c r="BD34" s="10">
        <f t="shared" si="12"/>
        <v>0</v>
      </c>
      <c r="BE34" s="10">
        <f t="shared" si="29"/>
        <v>0</v>
      </c>
      <c r="BF34" s="71"/>
      <c r="BG34" s="11">
        <f t="shared" si="13"/>
        <v>0</v>
      </c>
      <c r="BH34" s="10">
        <f t="shared" si="30"/>
        <v>0</v>
      </c>
      <c r="BJ34" s="7">
        <f t="shared" si="31"/>
        <v>0.45638694620129205</v>
      </c>
      <c r="BK34" s="158">
        <f t="shared" si="32"/>
        <v>572993.81095572212</v>
      </c>
      <c r="BL34" s="158">
        <f t="shared" si="14"/>
        <v>171911.83489510269</v>
      </c>
      <c r="BM34" s="10"/>
      <c r="BN34" s="10">
        <f t="shared" si="33"/>
        <v>5418541.3541934285</v>
      </c>
      <c r="BO34" s="10">
        <f t="shared" si="34"/>
        <v>3000114.9708728911</v>
      </c>
      <c r="BQ34" s="10">
        <f t="shared" si="15"/>
        <v>376680</v>
      </c>
      <c r="BR34" s="10">
        <f t="shared" si="35"/>
        <v>208558.58308690865</v>
      </c>
    </row>
    <row r="35" spans="3:70" x14ac:dyDescent="0.15">
      <c r="D35" s="82"/>
      <c r="F35" s="66"/>
      <c r="I35" s="458">
        <f t="shared" si="36"/>
        <v>2040</v>
      </c>
      <c r="J35" s="39"/>
      <c r="K35" s="39">
        <f t="shared" si="37"/>
        <v>21</v>
      </c>
      <c r="L35" s="39"/>
      <c r="M35" s="40">
        <f t="shared" si="0"/>
        <v>0.5375492759090631</v>
      </c>
      <c r="N35" s="39"/>
      <c r="O35" s="72">
        <f t="shared" si="16"/>
        <v>0</v>
      </c>
      <c r="P35" s="41" t="str">
        <f t="shared" si="1"/>
        <v>-</v>
      </c>
      <c r="Q35" s="39"/>
      <c r="R35" s="72">
        <f t="shared" si="17"/>
        <v>3463640.0712207635</v>
      </c>
      <c r="S35" s="39"/>
      <c r="T35" s="72">
        <f t="shared" si="18"/>
        <v>3463000</v>
      </c>
      <c r="U35" s="39"/>
      <c r="V35" s="72">
        <f t="shared" si="2"/>
        <v>0</v>
      </c>
      <c r="W35" s="72">
        <f t="shared" si="19"/>
        <v>0</v>
      </c>
      <c r="X35" s="39"/>
      <c r="Y35" s="72">
        <f t="shared" si="3"/>
        <v>48400</v>
      </c>
      <c r="Z35" s="72">
        <f t="shared" si="20"/>
        <v>26017.384953998655</v>
      </c>
      <c r="AA35" s="39"/>
      <c r="AB35" s="72">
        <f>IF($K35&lt;=$F$15,0,IF(AND($K35&gt;$F$15,$K35&lt;=$F$15+$F$28),$F$27*10^8/$F$28,""))</f>
        <v>0</v>
      </c>
      <c r="AC35" s="72">
        <f t="shared" si="21"/>
        <v>0</v>
      </c>
      <c r="AD35" s="39"/>
      <c r="AE35" s="72">
        <f t="shared" si="5"/>
        <v>0</v>
      </c>
      <c r="AF35" s="72">
        <f t="shared" si="22"/>
        <v>0</v>
      </c>
      <c r="AG35" s="39"/>
      <c r="AH35" s="72">
        <f t="shared" si="6"/>
        <v>1200000</v>
      </c>
      <c r="AI35" s="72">
        <f t="shared" si="23"/>
        <v>645059.13109087572</v>
      </c>
      <c r="AJ35" s="39"/>
      <c r="AK35" s="72">
        <f t="shared" si="7"/>
        <v>0</v>
      </c>
      <c r="AL35" s="72">
        <f t="shared" si="24"/>
        <v>0</v>
      </c>
      <c r="AM35" s="39"/>
      <c r="AN35" s="72">
        <f t="shared" si="8"/>
        <v>0</v>
      </c>
      <c r="AO35" s="72">
        <f t="shared" si="25"/>
        <v>0</v>
      </c>
      <c r="AP35" s="39"/>
      <c r="AQ35" s="72">
        <f t="shared" si="9"/>
        <v>0</v>
      </c>
      <c r="AR35" s="72">
        <f t="shared" si="26"/>
        <v>0</v>
      </c>
      <c r="AS35" s="39"/>
      <c r="AT35" s="40">
        <f>IF($K35&lt;=$F$15,IF($F$40&lt;&gt;"",$F$40/1000,IF(ISERROR(VLOOKUP($F$3&amp;IF($G$4&lt;&gt;"",$G$4,"")&amp;IF($F$43&lt;&gt;"","_"&amp;$F$43,""),'表3）燃料価格'!$AF$9:$AG$25,2,0)),0,VLOOKUP($I35,'表3）燃料価格'!$A$6:$U$66,VLOOKUP($F$3&amp;IF($G$4&lt;&gt;"",$G$4,"")&amp;IF($F$43&lt;&gt;"","_"&amp;$F$43,""),'表3）燃料価格'!$AF$9:$AG$25,2,0)+VLOOKUP($F$41,'表3）燃料価格'!$AF$28:$AG$29,2,0),0)*IF($F$43="需要地価格",1,$F$8/$F$141))),"")</f>
        <v>0</v>
      </c>
      <c r="AU35" s="39"/>
      <c r="AV35" s="72">
        <f t="shared" si="10"/>
        <v>0</v>
      </c>
      <c r="AW35" s="72">
        <f t="shared" si="27"/>
        <v>0</v>
      </c>
      <c r="AX35" s="39"/>
      <c r="AY35" s="40">
        <f>IF(ISERROR(IF($K35&lt;=$F$15,VLOOKUP($I35,'表4）CO2価格'!$A$7:$E$67,VLOOKUP($F$48,'表4）CO2価格'!$H$10:$I$12,2,0),0)*$F$8/1000,"")),0,IF($K35&lt;=$F$15,VLOOKUP($I35,'表4）CO2価格'!$A$7:$E$67,VLOOKUP($F$48,'表4）CO2価格'!$H$10:$I$12,2,0),0)*$F$8/1000,""))</f>
        <v>0</v>
      </c>
      <c r="AZ35" s="39"/>
      <c r="BA35" s="42">
        <f t="shared" si="11"/>
        <v>0</v>
      </c>
      <c r="BB35" s="72">
        <f t="shared" si="28"/>
        <v>0</v>
      </c>
      <c r="BC35" s="39"/>
      <c r="BD35" s="72">
        <f t="shared" si="12"/>
        <v>0</v>
      </c>
      <c r="BE35" s="72">
        <f t="shared" si="29"/>
        <v>0</v>
      </c>
      <c r="BF35" s="39"/>
      <c r="BG35" s="42">
        <f t="shared" si="13"/>
        <v>0</v>
      </c>
      <c r="BH35" s="72">
        <f t="shared" si="30"/>
        <v>0</v>
      </c>
      <c r="BI35" s="39"/>
      <c r="BJ35" s="40">
        <f t="shared" si="31"/>
        <v>0.43883360211662686</v>
      </c>
      <c r="BK35" s="157">
        <f t="shared" si="32"/>
        <v>1097084.0052915672</v>
      </c>
      <c r="BL35" s="157" t="str">
        <f t="shared" si="14"/>
        <v/>
      </c>
      <c r="BM35" s="72"/>
      <c r="BN35" s="72" t="str">
        <f t="shared" si="33"/>
        <v/>
      </c>
      <c r="BO35" s="72" t="str">
        <f t="shared" si="34"/>
        <v/>
      </c>
      <c r="BP35" s="39"/>
      <c r="BQ35" s="72">
        <f t="shared" si="15"/>
        <v>376680</v>
      </c>
      <c r="BR35" s="72">
        <f t="shared" si="35"/>
        <v>202484.0612494259</v>
      </c>
    </row>
    <row r="36" spans="3:70" x14ac:dyDescent="0.15">
      <c r="D36" s="82"/>
      <c r="F36" s="68"/>
      <c r="I36" s="459">
        <f t="shared" si="36"/>
        <v>2041</v>
      </c>
      <c r="J36" s="71"/>
      <c r="K36" s="71">
        <f t="shared" si="37"/>
        <v>22</v>
      </c>
      <c r="L36" s="71"/>
      <c r="M36" s="7">
        <f t="shared" si="0"/>
        <v>0.52189250088258554</v>
      </c>
      <c r="N36" s="71"/>
      <c r="O36" s="10">
        <f t="shared" si="16"/>
        <v>0</v>
      </c>
      <c r="P36" s="29" t="str">
        <f t="shared" si="1"/>
        <v>-</v>
      </c>
      <c r="Q36" s="71"/>
      <c r="R36" s="10">
        <f t="shared" si="17"/>
        <v>3024887.4912746674</v>
      </c>
      <c r="S36" s="71"/>
      <c r="T36" s="10">
        <f t="shared" si="18"/>
        <v>3024000</v>
      </c>
      <c r="U36" s="71"/>
      <c r="V36" s="10">
        <f t="shared" si="2"/>
        <v>0</v>
      </c>
      <c r="W36" s="10">
        <f t="shared" si="19"/>
        <v>0</v>
      </c>
      <c r="X36" s="71"/>
      <c r="Y36" s="10">
        <f t="shared" si="3"/>
        <v>42300</v>
      </c>
      <c r="Z36" s="10">
        <f t="shared" si="20"/>
        <v>22076.052787333367</v>
      </c>
      <c r="AA36" s="71"/>
      <c r="AB36" s="10">
        <f t="shared" si="4"/>
        <v>0</v>
      </c>
      <c r="AC36" s="10">
        <f t="shared" si="21"/>
        <v>0</v>
      </c>
      <c r="AD36" s="71"/>
      <c r="AE36" s="10">
        <f t="shared" si="5"/>
        <v>0</v>
      </c>
      <c r="AF36" s="10">
        <f t="shared" si="22"/>
        <v>0</v>
      </c>
      <c r="AG36" s="71"/>
      <c r="AH36" s="10">
        <f t="shared" si="6"/>
        <v>1200000</v>
      </c>
      <c r="AI36" s="10">
        <f t="shared" si="23"/>
        <v>626271.00105910259</v>
      </c>
      <c r="AJ36" s="71"/>
      <c r="AK36" s="10">
        <f t="shared" si="7"/>
        <v>0</v>
      </c>
      <c r="AL36" s="10">
        <f t="shared" si="24"/>
        <v>0</v>
      </c>
      <c r="AM36" s="71"/>
      <c r="AN36" s="10">
        <f t="shared" si="8"/>
        <v>0</v>
      </c>
      <c r="AO36" s="10">
        <f t="shared" si="25"/>
        <v>0</v>
      </c>
      <c r="AP36" s="71"/>
      <c r="AQ36" s="10">
        <f t="shared" si="9"/>
        <v>0</v>
      </c>
      <c r="AR36" s="10">
        <f t="shared" si="26"/>
        <v>0</v>
      </c>
      <c r="AS36" s="71"/>
      <c r="AT36" s="7">
        <f>IF($K36&lt;=$F$15,IF($F$40&lt;&gt;"",$F$40/1000,IF(ISERROR(VLOOKUP($F$3&amp;IF($G$4&lt;&gt;"",$G$4,"")&amp;IF($F$43&lt;&gt;"","_"&amp;$F$43,""),'表3）燃料価格'!$AF$9:$AG$25,2,0)),0,VLOOKUP($I36,'表3）燃料価格'!$A$6:$U$66,VLOOKUP($F$3&amp;IF($G$4&lt;&gt;"",$G$4,"")&amp;IF($F$43&lt;&gt;"","_"&amp;$F$43,""),'表3）燃料価格'!$AF$9:$AG$25,2,0)+VLOOKUP($F$41,'表3）燃料価格'!$AF$28:$AG$29,2,0),0)*IF($F$43="需要地価格",1,$F$8/$F$141))),"")</f>
        <v>0</v>
      </c>
      <c r="AU36" s="71"/>
      <c r="AV36" s="10">
        <f t="shared" si="10"/>
        <v>0</v>
      </c>
      <c r="AW36" s="10">
        <f t="shared" si="27"/>
        <v>0</v>
      </c>
      <c r="AX36" s="71"/>
      <c r="AY36" s="7">
        <f>IF(ISERROR(IF($K36&lt;=$F$15,VLOOKUP($I36,'表4）CO2価格'!$A$7:$E$67,VLOOKUP($F$48,'表4）CO2価格'!$H$10:$I$12,2,0),0)*$F$8/1000,"")),0,IF($K36&lt;=$F$15,VLOOKUP($I36,'表4）CO2価格'!$A$7:$E$67,VLOOKUP($F$48,'表4）CO2価格'!$H$10:$I$12,2,0),0)*$F$8/1000,""))</f>
        <v>0</v>
      </c>
      <c r="AZ36" s="71"/>
      <c r="BA36" s="11">
        <f t="shared" si="11"/>
        <v>0</v>
      </c>
      <c r="BB36" s="10">
        <f t="shared" si="28"/>
        <v>0</v>
      </c>
      <c r="BC36" s="71"/>
      <c r="BD36" s="10">
        <f t="shared" si="12"/>
        <v>0</v>
      </c>
      <c r="BE36" s="10">
        <f t="shared" si="29"/>
        <v>0</v>
      </c>
      <c r="BF36" s="71"/>
      <c r="BG36" s="11">
        <f t="shared" si="13"/>
        <v>0</v>
      </c>
      <c r="BH36" s="10">
        <f t="shared" si="30"/>
        <v>0</v>
      </c>
      <c r="BJ36" s="7" t="str">
        <f t="shared" si="31"/>
        <v/>
      </c>
      <c r="BK36" s="158" t="str">
        <f t="shared" si="32"/>
        <v/>
      </c>
      <c r="BL36" s="158" t="str">
        <f t="shared" si="14"/>
        <v/>
      </c>
      <c r="BM36" s="10"/>
      <c r="BN36" s="10" t="str">
        <f t="shared" si="33"/>
        <v/>
      </c>
      <c r="BO36" s="10" t="str">
        <f t="shared" si="34"/>
        <v/>
      </c>
      <c r="BQ36" s="10">
        <f t="shared" si="15"/>
        <v>376680</v>
      </c>
      <c r="BR36" s="10">
        <f t="shared" si="35"/>
        <v>196586.46723245233</v>
      </c>
    </row>
    <row r="37" spans="3:70" x14ac:dyDescent="0.15">
      <c r="I37" s="458">
        <f t="shared" si="36"/>
        <v>2042</v>
      </c>
      <c r="J37" s="39"/>
      <c r="K37" s="39">
        <f t="shared" si="37"/>
        <v>23</v>
      </c>
      <c r="L37" s="39"/>
      <c r="M37" s="40">
        <f t="shared" si="0"/>
        <v>0.50669174842969467</v>
      </c>
      <c r="N37" s="39"/>
      <c r="O37" s="72">
        <f t="shared" si="16"/>
        <v>0</v>
      </c>
      <c r="P37" s="41" t="str">
        <f t="shared" si="1"/>
        <v>-</v>
      </c>
      <c r="Q37" s="39"/>
      <c r="R37" s="72">
        <f t="shared" si="17"/>
        <v>2641713.3843947719</v>
      </c>
      <c r="S37" s="39"/>
      <c r="T37" s="72">
        <f t="shared" si="18"/>
        <v>2641000</v>
      </c>
      <c r="U37" s="39"/>
      <c r="V37" s="72">
        <f t="shared" si="2"/>
        <v>0</v>
      </c>
      <c r="W37" s="72">
        <f t="shared" si="19"/>
        <v>0</v>
      </c>
      <c r="X37" s="39"/>
      <c r="Y37" s="72">
        <f t="shared" si="3"/>
        <v>36900</v>
      </c>
      <c r="Z37" s="72">
        <f t="shared" si="20"/>
        <v>18696.925517055734</v>
      </c>
      <c r="AA37" s="39"/>
      <c r="AB37" s="72">
        <f t="shared" si="4"/>
        <v>0</v>
      </c>
      <c r="AC37" s="72">
        <f t="shared" si="21"/>
        <v>0</v>
      </c>
      <c r="AD37" s="39"/>
      <c r="AE37" s="72">
        <f t="shared" si="5"/>
        <v>0</v>
      </c>
      <c r="AF37" s="72">
        <f t="shared" si="22"/>
        <v>0</v>
      </c>
      <c r="AG37" s="39"/>
      <c r="AH37" s="72">
        <f t="shared" si="6"/>
        <v>1200000</v>
      </c>
      <c r="AI37" s="72">
        <f t="shared" si="23"/>
        <v>608030.09811563359</v>
      </c>
      <c r="AJ37" s="39"/>
      <c r="AK37" s="72">
        <f t="shared" si="7"/>
        <v>0</v>
      </c>
      <c r="AL37" s="72">
        <f t="shared" si="24"/>
        <v>0</v>
      </c>
      <c r="AM37" s="39"/>
      <c r="AN37" s="72">
        <f t="shared" si="8"/>
        <v>0</v>
      </c>
      <c r="AO37" s="72">
        <f t="shared" si="25"/>
        <v>0</v>
      </c>
      <c r="AP37" s="39"/>
      <c r="AQ37" s="72">
        <f t="shared" si="9"/>
        <v>0</v>
      </c>
      <c r="AR37" s="72">
        <f t="shared" si="26"/>
        <v>0</v>
      </c>
      <c r="AS37" s="39"/>
      <c r="AT37" s="40">
        <f>IF($K37&lt;=$F$15,IF($F$40&lt;&gt;"",$F$40/1000,IF(ISERROR(VLOOKUP($F$3&amp;IF($G$4&lt;&gt;"",$G$4,"")&amp;IF($F$43&lt;&gt;"","_"&amp;$F$43,""),'表3）燃料価格'!$AF$9:$AG$25,2,0)),0,VLOOKUP($I37,'表3）燃料価格'!$A$6:$U$66,VLOOKUP($F$3&amp;IF($G$4&lt;&gt;"",$G$4,"")&amp;IF($F$43&lt;&gt;"","_"&amp;$F$43,""),'表3）燃料価格'!$AF$9:$AG$25,2,0)+VLOOKUP($F$41,'表3）燃料価格'!$AF$28:$AG$29,2,0),0)*IF($F$43="需要地価格",1,$F$8/$F$141))),"")</f>
        <v>0</v>
      </c>
      <c r="AU37" s="39"/>
      <c r="AV37" s="72">
        <f t="shared" si="10"/>
        <v>0</v>
      </c>
      <c r="AW37" s="72">
        <f t="shared" si="27"/>
        <v>0</v>
      </c>
      <c r="AX37" s="39"/>
      <c r="AY37" s="40">
        <f>IF(ISERROR(IF($K37&lt;=$F$15,VLOOKUP($I37,'表4）CO2価格'!$A$7:$E$67,VLOOKUP($F$48,'表4）CO2価格'!$H$10:$I$12,2,0),0)*$F$8/1000,"")),0,IF($K37&lt;=$F$15,VLOOKUP($I37,'表4）CO2価格'!$A$7:$E$67,VLOOKUP($F$48,'表4）CO2価格'!$H$10:$I$12,2,0),0)*$F$8/1000,""))</f>
        <v>0</v>
      </c>
      <c r="AZ37" s="39"/>
      <c r="BA37" s="42">
        <f t="shared" si="11"/>
        <v>0</v>
      </c>
      <c r="BB37" s="72">
        <f t="shared" si="28"/>
        <v>0</v>
      </c>
      <c r="BC37" s="39"/>
      <c r="BD37" s="72">
        <f t="shared" si="12"/>
        <v>0</v>
      </c>
      <c r="BE37" s="72">
        <f t="shared" si="29"/>
        <v>0</v>
      </c>
      <c r="BF37" s="39"/>
      <c r="BG37" s="42">
        <f t="shared" si="13"/>
        <v>0</v>
      </c>
      <c r="BH37" s="72">
        <f t="shared" si="30"/>
        <v>0</v>
      </c>
      <c r="BI37" s="39"/>
      <c r="BJ37" s="40" t="str">
        <f t="shared" si="31"/>
        <v/>
      </c>
      <c r="BK37" s="157" t="str">
        <f t="shared" si="32"/>
        <v/>
      </c>
      <c r="BL37" s="157" t="str">
        <f t="shared" si="14"/>
        <v/>
      </c>
      <c r="BM37" s="72"/>
      <c r="BN37" s="72" t="str">
        <f t="shared" si="33"/>
        <v/>
      </c>
      <c r="BO37" s="72" t="str">
        <f t="shared" si="34"/>
        <v/>
      </c>
      <c r="BP37" s="39"/>
      <c r="BQ37" s="72">
        <f t="shared" si="15"/>
        <v>376680</v>
      </c>
      <c r="BR37" s="72">
        <f t="shared" si="35"/>
        <v>190860.64779849738</v>
      </c>
    </row>
    <row r="38" spans="3:70" x14ac:dyDescent="0.15">
      <c r="C38" s="89" t="s">
        <v>508</v>
      </c>
      <c r="D38" s="101"/>
      <c r="E38" s="101"/>
      <c r="F38" s="89"/>
      <c r="G38" s="101"/>
      <c r="I38" s="459">
        <f t="shared" si="36"/>
        <v>2043</v>
      </c>
      <c r="J38" s="71"/>
      <c r="K38" s="71">
        <f t="shared" si="37"/>
        <v>24</v>
      </c>
      <c r="L38" s="71"/>
      <c r="M38" s="7">
        <f t="shared" si="0"/>
        <v>0.49193373633950943</v>
      </c>
      <c r="N38" s="71"/>
      <c r="O38" s="10">
        <f t="shared" si="16"/>
        <v>0</v>
      </c>
      <c r="P38" s="29" t="str">
        <f t="shared" si="1"/>
        <v>-</v>
      </c>
      <c r="Q38" s="71"/>
      <c r="R38" s="10">
        <f t="shared" si="17"/>
        <v>2600000</v>
      </c>
      <c r="S38" s="71"/>
      <c r="T38" s="10">
        <f t="shared" si="18"/>
        <v>2600000</v>
      </c>
      <c r="U38" s="71"/>
      <c r="V38" s="10">
        <f t="shared" si="2"/>
        <v>0</v>
      </c>
      <c r="W38" s="10">
        <f t="shared" si="19"/>
        <v>0</v>
      </c>
      <c r="X38" s="71"/>
      <c r="Y38" s="10">
        <f t="shared" si="3"/>
        <v>36400</v>
      </c>
      <c r="Z38" s="10">
        <f t="shared" si="20"/>
        <v>17906.388002758144</v>
      </c>
      <c r="AA38" s="71"/>
      <c r="AB38" s="10">
        <f t="shared" si="4"/>
        <v>0</v>
      </c>
      <c r="AC38" s="10">
        <f t="shared" si="21"/>
        <v>0</v>
      </c>
      <c r="AD38" s="71"/>
      <c r="AE38" s="10">
        <f t="shared" si="5"/>
        <v>0</v>
      </c>
      <c r="AF38" s="10">
        <f t="shared" si="22"/>
        <v>0</v>
      </c>
      <c r="AG38" s="71"/>
      <c r="AH38" s="10">
        <f t="shared" si="6"/>
        <v>1200000</v>
      </c>
      <c r="AI38" s="10">
        <f t="shared" si="23"/>
        <v>590320.48360741127</v>
      </c>
      <c r="AJ38" s="71"/>
      <c r="AK38" s="10">
        <f t="shared" si="7"/>
        <v>0</v>
      </c>
      <c r="AL38" s="10">
        <f t="shared" si="24"/>
        <v>0</v>
      </c>
      <c r="AM38" s="71"/>
      <c r="AN38" s="10">
        <f t="shared" si="8"/>
        <v>0</v>
      </c>
      <c r="AO38" s="10">
        <f t="shared" si="25"/>
        <v>0</v>
      </c>
      <c r="AP38" s="71"/>
      <c r="AQ38" s="10">
        <f t="shared" si="9"/>
        <v>0</v>
      </c>
      <c r="AR38" s="10">
        <f t="shared" si="26"/>
        <v>0</v>
      </c>
      <c r="AS38" s="71"/>
      <c r="AT38" s="7">
        <f>IF($K38&lt;=$F$15,IF($F$40&lt;&gt;"",$F$40/1000,IF(ISERROR(VLOOKUP($F$3&amp;IF($G$4&lt;&gt;"",$G$4,"")&amp;IF($F$43&lt;&gt;"","_"&amp;$F$43,""),'表3）燃料価格'!$AF$9:$AG$25,2,0)),0,VLOOKUP($I38,'表3）燃料価格'!$A$6:$U$66,VLOOKUP($F$3&amp;IF($G$4&lt;&gt;"",$G$4,"")&amp;IF($F$43&lt;&gt;"","_"&amp;$F$43,""),'表3）燃料価格'!$AF$9:$AG$25,2,0)+VLOOKUP($F$41,'表3）燃料価格'!$AF$28:$AG$29,2,0),0)*IF($F$43="需要地価格",1,$F$8/$F$141))),"")</f>
        <v>0</v>
      </c>
      <c r="AU38" s="71"/>
      <c r="AV38" s="10">
        <f t="shared" si="10"/>
        <v>0</v>
      </c>
      <c r="AW38" s="10">
        <f t="shared" si="27"/>
        <v>0</v>
      </c>
      <c r="AX38" s="71"/>
      <c r="AY38" s="7">
        <f>IF(ISERROR(IF($K38&lt;=$F$15,VLOOKUP($I38,'表4）CO2価格'!$A$7:$E$67,VLOOKUP($F$48,'表4）CO2価格'!$H$10:$I$12,2,0),0)*$F$8/1000,"")),0,IF($K38&lt;=$F$15,VLOOKUP($I38,'表4）CO2価格'!$A$7:$E$67,VLOOKUP($F$48,'表4）CO2価格'!$H$10:$I$12,2,0),0)*$F$8/1000,""))</f>
        <v>0</v>
      </c>
      <c r="AZ38" s="71"/>
      <c r="BA38" s="11">
        <f t="shared" si="11"/>
        <v>0</v>
      </c>
      <c r="BB38" s="10">
        <f t="shared" si="28"/>
        <v>0</v>
      </c>
      <c r="BC38" s="71"/>
      <c r="BD38" s="10">
        <f t="shared" si="12"/>
        <v>0</v>
      </c>
      <c r="BE38" s="10">
        <f t="shared" si="29"/>
        <v>0</v>
      </c>
      <c r="BF38" s="71"/>
      <c r="BG38" s="11">
        <f t="shared" si="13"/>
        <v>0</v>
      </c>
      <c r="BH38" s="10">
        <f t="shared" si="30"/>
        <v>0</v>
      </c>
      <c r="BJ38" s="7" t="str">
        <f t="shared" si="31"/>
        <v/>
      </c>
      <c r="BK38" s="158" t="str">
        <f t="shared" si="32"/>
        <v/>
      </c>
      <c r="BL38" s="158" t="str">
        <f t="shared" si="14"/>
        <v/>
      </c>
      <c r="BM38" s="10"/>
      <c r="BN38" s="10" t="str">
        <f t="shared" si="33"/>
        <v/>
      </c>
      <c r="BO38" s="10" t="str">
        <f t="shared" si="34"/>
        <v/>
      </c>
      <c r="BQ38" s="10">
        <f t="shared" si="15"/>
        <v>376680</v>
      </c>
      <c r="BR38" s="10">
        <f t="shared" si="35"/>
        <v>185301.59980436641</v>
      </c>
    </row>
    <row r="39" spans="3:70" x14ac:dyDescent="0.15">
      <c r="I39" s="458">
        <f t="shared" si="36"/>
        <v>2044</v>
      </c>
      <c r="J39" s="39"/>
      <c r="K39" s="39">
        <f t="shared" si="37"/>
        <v>25</v>
      </c>
      <c r="L39" s="39"/>
      <c r="M39" s="40">
        <f t="shared" si="0"/>
        <v>0.47760556926165965</v>
      </c>
      <c r="N39" s="39"/>
      <c r="O39" s="72">
        <f t="shared" si="16"/>
        <v>0</v>
      </c>
      <c r="P39" s="41" t="str">
        <f t="shared" si="1"/>
        <v>-</v>
      </c>
      <c r="Q39" s="39"/>
      <c r="R39" s="72">
        <f t="shared" si="17"/>
        <v>2600000</v>
      </c>
      <c r="S39" s="39"/>
      <c r="T39" s="72">
        <f t="shared" si="18"/>
        <v>2600000</v>
      </c>
      <c r="U39" s="39"/>
      <c r="V39" s="72">
        <f t="shared" si="2"/>
        <v>0</v>
      </c>
      <c r="W39" s="72">
        <f t="shared" si="19"/>
        <v>0</v>
      </c>
      <c r="X39" s="39"/>
      <c r="Y39" s="72">
        <f t="shared" si="3"/>
        <v>36400</v>
      </c>
      <c r="Z39" s="72">
        <f t="shared" si="20"/>
        <v>17384.842721124412</v>
      </c>
      <c r="AA39" s="39"/>
      <c r="AB39" s="72">
        <f t="shared" si="4"/>
        <v>0</v>
      </c>
      <c r="AC39" s="72">
        <f t="shared" si="21"/>
        <v>0</v>
      </c>
      <c r="AD39" s="39"/>
      <c r="AE39" s="72">
        <f t="shared" si="5"/>
        <v>0</v>
      </c>
      <c r="AF39" s="72">
        <f t="shared" si="22"/>
        <v>0</v>
      </c>
      <c r="AG39" s="39"/>
      <c r="AH39" s="72">
        <f t="shared" si="6"/>
        <v>1200000</v>
      </c>
      <c r="AI39" s="72">
        <f t="shared" si="23"/>
        <v>573126.68311399163</v>
      </c>
      <c r="AJ39" s="39"/>
      <c r="AK39" s="72">
        <f t="shared" si="7"/>
        <v>0</v>
      </c>
      <c r="AL39" s="72">
        <f t="shared" si="24"/>
        <v>0</v>
      </c>
      <c r="AM39" s="39"/>
      <c r="AN39" s="72">
        <f t="shared" si="8"/>
        <v>0</v>
      </c>
      <c r="AO39" s="72">
        <f t="shared" si="25"/>
        <v>0</v>
      </c>
      <c r="AP39" s="39"/>
      <c r="AQ39" s="72">
        <f t="shared" si="9"/>
        <v>0</v>
      </c>
      <c r="AR39" s="72">
        <f t="shared" si="26"/>
        <v>0</v>
      </c>
      <c r="AS39" s="39"/>
      <c r="AT39" s="40">
        <f>IF($K39&lt;=$F$15,IF($F$40&lt;&gt;"",$F$40/1000,IF(ISERROR(VLOOKUP($F$3&amp;IF($G$4&lt;&gt;"",$G$4,"")&amp;IF($F$43&lt;&gt;"","_"&amp;$F$43,""),'表3）燃料価格'!$AF$9:$AG$25,2,0)),0,VLOOKUP($I39,'表3）燃料価格'!$A$6:$U$66,VLOOKUP($F$3&amp;IF($G$4&lt;&gt;"",$G$4,"")&amp;IF($F$43&lt;&gt;"","_"&amp;$F$43,""),'表3）燃料価格'!$AF$9:$AG$25,2,0)+VLOOKUP($F$41,'表3）燃料価格'!$AF$28:$AG$29,2,0),0)*IF($F$43="需要地価格",1,$F$8/$F$141))),"")</f>
        <v>0</v>
      </c>
      <c r="AU39" s="39"/>
      <c r="AV39" s="72">
        <f t="shared" si="10"/>
        <v>0</v>
      </c>
      <c r="AW39" s="72">
        <f t="shared" si="27"/>
        <v>0</v>
      </c>
      <c r="AX39" s="39"/>
      <c r="AY39" s="40">
        <f>IF(ISERROR(IF($K39&lt;=$F$15,VLOOKUP($I39,'表4）CO2価格'!$A$7:$E$67,VLOOKUP($F$48,'表4）CO2価格'!$H$10:$I$12,2,0),0)*$F$8/1000,"")),0,IF($K39&lt;=$F$15,VLOOKUP($I39,'表4）CO2価格'!$A$7:$E$67,VLOOKUP($F$48,'表4）CO2価格'!$H$10:$I$12,2,0),0)*$F$8/1000,""))</f>
        <v>0</v>
      </c>
      <c r="AZ39" s="39"/>
      <c r="BA39" s="42">
        <f t="shared" si="11"/>
        <v>0</v>
      </c>
      <c r="BB39" s="72">
        <f t="shared" si="28"/>
        <v>0</v>
      </c>
      <c r="BC39" s="39"/>
      <c r="BD39" s="72">
        <f t="shared" si="12"/>
        <v>0</v>
      </c>
      <c r="BE39" s="72">
        <f t="shared" si="29"/>
        <v>0</v>
      </c>
      <c r="BF39" s="39"/>
      <c r="BG39" s="42">
        <f t="shared" si="13"/>
        <v>0</v>
      </c>
      <c r="BH39" s="72">
        <f t="shared" si="30"/>
        <v>0</v>
      </c>
      <c r="BI39" s="39"/>
      <c r="BJ39" s="40" t="str">
        <f t="shared" si="31"/>
        <v/>
      </c>
      <c r="BK39" s="157" t="str">
        <f t="shared" si="32"/>
        <v/>
      </c>
      <c r="BL39" s="157" t="str">
        <f t="shared" si="14"/>
        <v/>
      </c>
      <c r="BM39" s="72"/>
      <c r="BN39" s="72" t="str">
        <f t="shared" si="33"/>
        <v/>
      </c>
      <c r="BO39" s="72" t="str">
        <f t="shared" si="34"/>
        <v/>
      </c>
      <c r="BP39" s="39"/>
      <c r="BQ39" s="72">
        <f t="shared" si="15"/>
        <v>376680</v>
      </c>
      <c r="BR39" s="72">
        <f t="shared" si="35"/>
        <v>179904.46582948195</v>
      </c>
    </row>
    <row r="40" spans="3:70" x14ac:dyDescent="0.15">
      <c r="D40" s="81" t="s">
        <v>124</v>
      </c>
      <c r="F40" s="108"/>
      <c r="G40" s="82" t="s">
        <v>178</v>
      </c>
      <c r="I40" s="459">
        <f t="shared" si="36"/>
        <v>2045</v>
      </c>
      <c r="J40" s="71"/>
      <c r="K40" s="71">
        <f t="shared" si="37"/>
        <v>26</v>
      </c>
      <c r="L40" s="71"/>
      <c r="M40" s="7">
        <f t="shared" si="0"/>
        <v>0.46369472743850448</v>
      </c>
      <c r="N40" s="71"/>
      <c r="O40" s="10" t="str">
        <f t="shared" si="16"/>
        <v/>
      </c>
      <c r="P40" s="29" t="str">
        <f t="shared" si="1"/>
        <v/>
      </c>
      <c r="Q40" s="71"/>
      <c r="R40" s="10" t="str">
        <f t="shared" si="17"/>
        <v/>
      </c>
      <c r="S40" s="71"/>
      <c r="T40" s="10" t="str">
        <f t="shared" si="18"/>
        <v/>
      </c>
      <c r="U40" s="71"/>
      <c r="V40" s="10" t="str">
        <f t="shared" si="2"/>
        <v/>
      </c>
      <c r="W40" s="10" t="str">
        <f t="shared" si="19"/>
        <v/>
      </c>
      <c r="X40" s="71"/>
      <c r="Y40" s="10" t="str">
        <f t="shared" si="3"/>
        <v/>
      </c>
      <c r="Z40" s="10" t="str">
        <f t="shared" si="20"/>
        <v/>
      </c>
      <c r="AA40" s="71"/>
      <c r="AB40" s="10">
        <f t="shared" si="4"/>
        <v>2500000</v>
      </c>
      <c r="AC40" s="10">
        <f t="shared" si="21"/>
        <v>1159236.8185962613</v>
      </c>
      <c r="AD40" s="71"/>
      <c r="AE40" s="10" t="str">
        <f t="shared" si="5"/>
        <v/>
      </c>
      <c r="AF40" s="10" t="str">
        <f t="shared" si="22"/>
        <v/>
      </c>
      <c r="AG40" s="71"/>
      <c r="AH40" s="10" t="str">
        <f t="shared" si="6"/>
        <v/>
      </c>
      <c r="AI40" s="10" t="str">
        <f t="shared" si="23"/>
        <v/>
      </c>
      <c r="AJ40" s="71"/>
      <c r="AK40" s="10" t="str">
        <f t="shared" si="7"/>
        <v/>
      </c>
      <c r="AL40" s="10" t="str">
        <f t="shared" si="24"/>
        <v/>
      </c>
      <c r="AM40" s="71"/>
      <c r="AN40" s="10" t="str">
        <f t="shared" si="8"/>
        <v/>
      </c>
      <c r="AO40" s="10" t="str">
        <f t="shared" si="25"/>
        <v/>
      </c>
      <c r="AP40" s="71"/>
      <c r="AQ40" s="10" t="str">
        <f t="shared" si="9"/>
        <v/>
      </c>
      <c r="AR40" s="10" t="str">
        <f t="shared" si="26"/>
        <v/>
      </c>
      <c r="AS40" s="71"/>
      <c r="AT40" s="7" t="str">
        <f>IF($K40&lt;=$F$15,IF($F$40&lt;&gt;"",$F$40/1000,IF(ISERROR(VLOOKUP($F$3&amp;IF($G$4&lt;&gt;"",$G$4,"")&amp;IF($F$43&lt;&gt;"","_"&amp;$F$43,""),'表3）燃料価格'!$AF$9:$AG$25,2,0)),0,VLOOKUP($I40,'表3）燃料価格'!$A$6:$U$66,VLOOKUP($F$3&amp;IF($G$4&lt;&gt;"",$G$4,"")&amp;IF($F$43&lt;&gt;"","_"&amp;$F$43,""),'表3）燃料価格'!$AF$9:$AG$25,2,0)+VLOOKUP($F$41,'表3）燃料価格'!$AF$28:$AG$29,2,0),0)*IF($F$43="需要地価格",1,$F$8/$F$141))),"")</f>
        <v/>
      </c>
      <c r="AU40" s="71"/>
      <c r="AV40" s="10" t="str">
        <f t="shared" si="10"/>
        <v/>
      </c>
      <c r="AW40" s="10" t="str">
        <f t="shared" si="27"/>
        <v/>
      </c>
      <c r="AX40" s="71"/>
      <c r="AY40" s="7" t="str">
        <f>IF(ISERROR(IF($K40&lt;=$F$15,VLOOKUP($I40,'表4）CO2価格'!$A$7:$E$67,VLOOKUP($F$48,'表4）CO2価格'!$H$10:$I$12,2,0),0)*$F$8/1000,"")),0,IF($K40&lt;=$F$15,VLOOKUP($I40,'表4）CO2価格'!$A$7:$E$67,VLOOKUP($F$48,'表4）CO2価格'!$H$10:$I$12,2,0),0)*$F$8/1000,""))</f>
        <v/>
      </c>
      <c r="AZ40" s="71"/>
      <c r="BA40" s="11" t="str">
        <f t="shared" si="11"/>
        <v/>
      </c>
      <c r="BB40" s="10" t="str">
        <f t="shared" si="28"/>
        <v/>
      </c>
      <c r="BC40" s="71"/>
      <c r="BD40" s="10" t="str">
        <f t="shared" si="12"/>
        <v/>
      </c>
      <c r="BE40" s="10" t="str">
        <f t="shared" si="29"/>
        <v/>
      </c>
      <c r="BF40" s="71"/>
      <c r="BG40" s="11" t="str">
        <f t="shared" si="13"/>
        <v/>
      </c>
      <c r="BH40" s="10" t="str">
        <f t="shared" si="30"/>
        <v/>
      </c>
      <c r="BJ40" s="7" t="str">
        <f t="shared" si="31"/>
        <v/>
      </c>
      <c r="BK40" s="158" t="str">
        <f t="shared" si="32"/>
        <v/>
      </c>
      <c r="BL40" s="158" t="str">
        <f t="shared" si="14"/>
        <v/>
      </c>
      <c r="BM40" s="10"/>
      <c r="BN40" s="10" t="str">
        <f t="shared" si="33"/>
        <v/>
      </c>
      <c r="BO40" s="10" t="str">
        <f t="shared" si="34"/>
        <v/>
      </c>
      <c r="BQ40" s="10" t="str">
        <f t="shared" si="15"/>
        <v/>
      </c>
      <c r="BR40" s="10" t="str">
        <f t="shared" si="35"/>
        <v/>
      </c>
    </row>
    <row r="41" spans="3:70" x14ac:dyDescent="0.15">
      <c r="D41" s="81" t="s">
        <v>179</v>
      </c>
      <c r="F41" s="88"/>
      <c r="I41" s="458">
        <f t="shared" si="36"/>
        <v>2046</v>
      </c>
      <c r="J41" s="39"/>
      <c r="K41" s="39">
        <f t="shared" si="37"/>
        <v>27</v>
      </c>
      <c r="L41" s="39"/>
      <c r="M41" s="40">
        <f t="shared" si="0"/>
        <v>0.45018905576553836</v>
      </c>
      <c r="N41" s="39"/>
      <c r="O41" s="72" t="str">
        <f t="shared" si="16"/>
        <v/>
      </c>
      <c r="P41" s="41" t="str">
        <f t="shared" si="1"/>
        <v/>
      </c>
      <c r="Q41" s="39"/>
      <c r="R41" s="72" t="str">
        <f t="shared" si="17"/>
        <v/>
      </c>
      <c r="S41" s="39"/>
      <c r="T41" s="72" t="str">
        <f t="shared" si="18"/>
        <v/>
      </c>
      <c r="U41" s="39"/>
      <c r="V41" s="72" t="str">
        <f t="shared" si="2"/>
        <v/>
      </c>
      <c r="W41" s="72" t="str">
        <f t="shared" si="19"/>
        <v/>
      </c>
      <c r="X41" s="39"/>
      <c r="Y41" s="72" t="str">
        <f t="shared" si="3"/>
        <v/>
      </c>
      <c r="Z41" s="72" t="str">
        <f t="shared" si="20"/>
        <v/>
      </c>
      <c r="AA41" s="39"/>
      <c r="AB41" s="72" t="str">
        <f t="shared" si="4"/>
        <v/>
      </c>
      <c r="AC41" s="72" t="str">
        <f t="shared" si="21"/>
        <v/>
      </c>
      <c r="AD41" s="39"/>
      <c r="AE41" s="72" t="str">
        <f t="shared" si="5"/>
        <v/>
      </c>
      <c r="AF41" s="72" t="str">
        <f t="shared" si="22"/>
        <v/>
      </c>
      <c r="AG41" s="39"/>
      <c r="AH41" s="72" t="str">
        <f t="shared" si="6"/>
        <v/>
      </c>
      <c r="AI41" s="72" t="str">
        <f t="shared" si="23"/>
        <v/>
      </c>
      <c r="AJ41" s="39"/>
      <c r="AK41" s="72" t="str">
        <f t="shared" si="7"/>
        <v/>
      </c>
      <c r="AL41" s="72" t="str">
        <f t="shared" si="24"/>
        <v/>
      </c>
      <c r="AM41" s="39"/>
      <c r="AN41" s="72" t="str">
        <f t="shared" si="8"/>
        <v/>
      </c>
      <c r="AO41" s="72" t="str">
        <f t="shared" si="25"/>
        <v/>
      </c>
      <c r="AP41" s="39"/>
      <c r="AQ41" s="72" t="str">
        <f t="shared" si="9"/>
        <v/>
      </c>
      <c r="AR41" s="72" t="str">
        <f t="shared" si="26"/>
        <v/>
      </c>
      <c r="AS41" s="39"/>
      <c r="AT41" s="40" t="str">
        <f>IF($K41&lt;=$F$15,IF($F$40&lt;&gt;"",$F$40/1000,IF(ISERROR(VLOOKUP($F$3&amp;IF($G$4&lt;&gt;"",$G$4,"")&amp;IF($F$43&lt;&gt;"","_"&amp;$F$43,""),'表3）燃料価格'!$AF$9:$AG$25,2,0)),0,VLOOKUP($I41,'表3）燃料価格'!$A$6:$U$66,VLOOKUP($F$3&amp;IF($G$4&lt;&gt;"",$G$4,"")&amp;IF($F$43&lt;&gt;"","_"&amp;$F$43,""),'表3）燃料価格'!$AF$9:$AG$25,2,0)+VLOOKUP($F$41,'表3）燃料価格'!$AF$28:$AG$29,2,0),0)*IF($F$43="需要地価格",1,$F$8/$F$141))),"")</f>
        <v/>
      </c>
      <c r="AU41" s="39"/>
      <c r="AV41" s="72" t="str">
        <f t="shared" si="10"/>
        <v/>
      </c>
      <c r="AW41" s="72" t="str">
        <f t="shared" si="27"/>
        <v/>
      </c>
      <c r="AX41" s="39"/>
      <c r="AY41" s="40" t="str">
        <f>IF(ISERROR(IF($K41&lt;=$F$15,VLOOKUP($I41,'表4）CO2価格'!$A$7:$E$67,VLOOKUP($F$48,'表4）CO2価格'!$H$10:$I$12,2,0),0)*$F$8/1000,"")),0,IF($K41&lt;=$F$15,VLOOKUP($I41,'表4）CO2価格'!$A$7:$E$67,VLOOKUP($F$48,'表4）CO2価格'!$H$10:$I$12,2,0),0)*$F$8/1000,""))</f>
        <v/>
      </c>
      <c r="AZ41" s="39"/>
      <c r="BA41" s="42" t="str">
        <f t="shared" si="11"/>
        <v/>
      </c>
      <c r="BB41" s="72" t="str">
        <f t="shared" si="28"/>
        <v/>
      </c>
      <c r="BC41" s="39"/>
      <c r="BD41" s="72" t="str">
        <f t="shared" si="12"/>
        <v/>
      </c>
      <c r="BE41" s="72" t="str">
        <f t="shared" si="29"/>
        <v/>
      </c>
      <c r="BF41" s="39"/>
      <c r="BG41" s="42" t="str">
        <f t="shared" si="13"/>
        <v/>
      </c>
      <c r="BH41" s="72" t="str">
        <f t="shared" si="30"/>
        <v/>
      </c>
      <c r="BI41" s="39"/>
      <c r="BJ41" s="40" t="str">
        <f t="shared" si="31"/>
        <v/>
      </c>
      <c r="BK41" s="157" t="str">
        <f t="shared" si="32"/>
        <v/>
      </c>
      <c r="BL41" s="157" t="str">
        <f t="shared" si="14"/>
        <v/>
      </c>
      <c r="BM41" s="72"/>
      <c r="BN41" s="72" t="str">
        <f t="shared" si="33"/>
        <v/>
      </c>
      <c r="BO41" s="72" t="str">
        <f t="shared" si="34"/>
        <v/>
      </c>
      <c r="BP41" s="39"/>
      <c r="BQ41" s="72" t="str">
        <f t="shared" si="15"/>
        <v/>
      </c>
      <c r="BR41" s="72" t="str">
        <f t="shared" si="35"/>
        <v/>
      </c>
    </row>
    <row r="42" spans="3:70" x14ac:dyDescent="0.15">
      <c r="D42" s="81" t="s">
        <v>180</v>
      </c>
      <c r="F42" s="59"/>
      <c r="G42" s="81" t="s">
        <v>181</v>
      </c>
      <c r="I42" s="459">
        <f t="shared" si="36"/>
        <v>2047</v>
      </c>
      <c r="J42" s="71"/>
      <c r="K42" s="71">
        <f t="shared" si="37"/>
        <v>28</v>
      </c>
      <c r="L42" s="71"/>
      <c r="M42" s="7">
        <f t="shared" si="0"/>
        <v>0.4370767531704256</v>
      </c>
      <c r="N42" s="71"/>
      <c r="O42" s="10" t="str">
        <f t="shared" si="16"/>
        <v/>
      </c>
      <c r="P42" s="29" t="str">
        <f t="shared" si="1"/>
        <v/>
      </c>
      <c r="Q42" s="71"/>
      <c r="R42" s="10" t="str">
        <f t="shared" si="17"/>
        <v/>
      </c>
      <c r="S42" s="71"/>
      <c r="T42" s="10" t="str">
        <f t="shared" si="18"/>
        <v/>
      </c>
      <c r="U42" s="71"/>
      <c r="V42" s="10" t="str">
        <f t="shared" si="2"/>
        <v/>
      </c>
      <c r="W42" s="10" t="str">
        <f t="shared" si="19"/>
        <v/>
      </c>
      <c r="X42" s="71"/>
      <c r="Y42" s="10" t="str">
        <f t="shared" si="3"/>
        <v/>
      </c>
      <c r="Z42" s="10" t="str">
        <f t="shared" si="20"/>
        <v/>
      </c>
      <c r="AA42" s="71"/>
      <c r="AB42" s="10" t="str">
        <f t="shared" si="4"/>
        <v/>
      </c>
      <c r="AC42" s="10" t="str">
        <f t="shared" si="21"/>
        <v/>
      </c>
      <c r="AD42" s="71"/>
      <c r="AE42" s="10" t="str">
        <f t="shared" si="5"/>
        <v/>
      </c>
      <c r="AF42" s="10" t="str">
        <f t="shared" si="22"/>
        <v/>
      </c>
      <c r="AG42" s="71"/>
      <c r="AH42" s="10" t="str">
        <f t="shared" si="6"/>
        <v/>
      </c>
      <c r="AI42" s="10" t="str">
        <f t="shared" si="23"/>
        <v/>
      </c>
      <c r="AJ42" s="71"/>
      <c r="AK42" s="10" t="str">
        <f t="shared" si="7"/>
        <v/>
      </c>
      <c r="AL42" s="10" t="str">
        <f t="shared" si="24"/>
        <v/>
      </c>
      <c r="AM42" s="71"/>
      <c r="AN42" s="10" t="str">
        <f t="shared" si="8"/>
        <v/>
      </c>
      <c r="AO42" s="10" t="str">
        <f t="shared" si="25"/>
        <v/>
      </c>
      <c r="AP42" s="71"/>
      <c r="AQ42" s="10" t="str">
        <f t="shared" si="9"/>
        <v/>
      </c>
      <c r="AR42" s="10" t="str">
        <f t="shared" si="26"/>
        <v/>
      </c>
      <c r="AS42" s="71"/>
      <c r="AT42" s="7" t="str">
        <f>IF($K42&lt;=$F$15,IF($F$40&lt;&gt;"",$F$40/1000,IF(ISERROR(VLOOKUP($F$3&amp;IF($G$4&lt;&gt;"",$G$4,"")&amp;IF($F$43&lt;&gt;"","_"&amp;$F$43,""),'表3）燃料価格'!$AF$9:$AG$25,2,0)),0,VLOOKUP($I42,'表3）燃料価格'!$A$6:$U$66,VLOOKUP($F$3&amp;IF($G$4&lt;&gt;"",$G$4,"")&amp;IF($F$43&lt;&gt;"","_"&amp;$F$43,""),'表3）燃料価格'!$AF$9:$AG$25,2,0)+VLOOKUP($F$41,'表3）燃料価格'!$AF$28:$AG$29,2,0),0)*IF($F$43="需要地価格",1,$F$8/$F$141))),"")</f>
        <v/>
      </c>
      <c r="AU42" s="71"/>
      <c r="AV42" s="10" t="str">
        <f t="shared" si="10"/>
        <v/>
      </c>
      <c r="AW42" s="10" t="str">
        <f t="shared" si="27"/>
        <v/>
      </c>
      <c r="AX42" s="71"/>
      <c r="AY42" s="7" t="str">
        <f>IF(ISERROR(IF($K42&lt;=$F$15,VLOOKUP($I42,'表4）CO2価格'!$A$7:$E$67,VLOOKUP($F$48,'表4）CO2価格'!$H$10:$I$12,2,0),0)*$F$8/1000,"")),0,IF($K42&lt;=$F$15,VLOOKUP($I42,'表4）CO2価格'!$A$7:$E$67,VLOOKUP($F$48,'表4）CO2価格'!$H$10:$I$12,2,0),0)*$F$8/1000,""))</f>
        <v/>
      </c>
      <c r="AZ42" s="71"/>
      <c r="BA42" s="11" t="str">
        <f t="shared" si="11"/>
        <v/>
      </c>
      <c r="BB42" s="10" t="str">
        <f t="shared" si="28"/>
        <v/>
      </c>
      <c r="BC42" s="71"/>
      <c r="BD42" s="10" t="str">
        <f t="shared" si="12"/>
        <v/>
      </c>
      <c r="BE42" s="10" t="str">
        <f t="shared" si="29"/>
        <v/>
      </c>
      <c r="BF42" s="71"/>
      <c r="BG42" s="11" t="str">
        <f t="shared" si="13"/>
        <v/>
      </c>
      <c r="BH42" s="10" t="str">
        <f t="shared" si="30"/>
        <v/>
      </c>
      <c r="BJ42" s="7" t="str">
        <f t="shared" si="31"/>
        <v/>
      </c>
      <c r="BK42" s="158" t="str">
        <f t="shared" si="32"/>
        <v/>
      </c>
      <c r="BL42" s="158" t="str">
        <f t="shared" si="14"/>
        <v/>
      </c>
      <c r="BM42" s="10"/>
      <c r="BN42" s="10" t="str">
        <f t="shared" si="33"/>
        <v/>
      </c>
      <c r="BO42" s="10" t="str">
        <f t="shared" si="34"/>
        <v/>
      </c>
      <c r="BQ42" s="10" t="str">
        <f t="shared" si="15"/>
        <v/>
      </c>
      <c r="BR42" s="10" t="str">
        <f t="shared" si="35"/>
        <v/>
      </c>
    </row>
    <row r="43" spans="3:70" x14ac:dyDescent="0.15">
      <c r="D43" s="82" t="s">
        <v>126</v>
      </c>
      <c r="F43" s="88"/>
      <c r="I43" s="458">
        <f t="shared" si="36"/>
        <v>2048</v>
      </c>
      <c r="J43" s="39"/>
      <c r="K43" s="39">
        <f t="shared" si="37"/>
        <v>29</v>
      </c>
      <c r="L43" s="39"/>
      <c r="M43" s="40">
        <f t="shared" si="0"/>
        <v>0.42434636230138412</v>
      </c>
      <c r="N43" s="39"/>
      <c r="O43" s="72" t="str">
        <f t="shared" si="16"/>
        <v/>
      </c>
      <c r="P43" s="41" t="str">
        <f t="shared" si="1"/>
        <v/>
      </c>
      <c r="Q43" s="39"/>
      <c r="R43" s="72" t="str">
        <f t="shared" si="17"/>
        <v/>
      </c>
      <c r="S43" s="39"/>
      <c r="T43" s="72" t="str">
        <f t="shared" si="18"/>
        <v/>
      </c>
      <c r="U43" s="39"/>
      <c r="V43" s="72" t="str">
        <f t="shared" si="2"/>
        <v/>
      </c>
      <c r="W43" s="72" t="str">
        <f t="shared" si="19"/>
        <v/>
      </c>
      <c r="X43" s="39"/>
      <c r="Y43" s="72" t="str">
        <f t="shared" si="3"/>
        <v/>
      </c>
      <c r="Z43" s="72" t="str">
        <f t="shared" si="20"/>
        <v/>
      </c>
      <c r="AA43" s="39"/>
      <c r="AB43" s="72" t="str">
        <f t="shared" si="4"/>
        <v/>
      </c>
      <c r="AC43" s="72" t="str">
        <f t="shared" si="21"/>
        <v/>
      </c>
      <c r="AD43" s="39"/>
      <c r="AE43" s="72" t="str">
        <f t="shared" si="5"/>
        <v/>
      </c>
      <c r="AF43" s="72" t="str">
        <f t="shared" si="22"/>
        <v/>
      </c>
      <c r="AG43" s="39"/>
      <c r="AH43" s="72" t="str">
        <f t="shared" si="6"/>
        <v/>
      </c>
      <c r="AI43" s="72" t="str">
        <f t="shared" si="23"/>
        <v/>
      </c>
      <c r="AJ43" s="39"/>
      <c r="AK43" s="72" t="str">
        <f t="shared" si="7"/>
        <v/>
      </c>
      <c r="AL43" s="72" t="str">
        <f t="shared" si="24"/>
        <v/>
      </c>
      <c r="AM43" s="39"/>
      <c r="AN43" s="72" t="str">
        <f t="shared" si="8"/>
        <v/>
      </c>
      <c r="AO43" s="72" t="str">
        <f t="shared" si="25"/>
        <v/>
      </c>
      <c r="AP43" s="39"/>
      <c r="AQ43" s="72" t="str">
        <f t="shared" si="9"/>
        <v/>
      </c>
      <c r="AR43" s="72" t="str">
        <f t="shared" si="26"/>
        <v/>
      </c>
      <c r="AS43" s="39"/>
      <c r="AT43" s="40" t="str">
        <f>IF($K43&lt;=$F$15,IF($F$40&lt;&gt;"",$F$40/1000,IF(ISERROR(VLOOKUP($F$3&amp;IF($G$4&lt;&gt;"",$G$4,"")&amp;IF($F$43&lt;&gt;"","_"&amp;$F$43,""),'表3）燃料価格'!$AF$9:$AG$25,2,0)),0,VLOOKUP($I43,'表3）燃料価格'!$A$6:$U$66,VLOOKUP($F$3&amp;IF($G$4&lt;&gt;"",$G$4,"")&amp;IF($F$43&lt;&gt;"","_"&amp;$F$43,""),'表3）燃料価格'!$AF$9:$AG$25,2,0)+VLOOKUP($F$41,'表3）燃料価格'!$AF$28:$AG$29,2,0),0)*IF($F$43="需要地価格",1,$F$8/$F$141))),"")</f>
        <v/>
      </c>
      <c r="AU43" s="39"/>
      <c r="AV43" s="72" t="str">
        <f t="shared" si="10"/>
        <v/>
      </c>
      <c r="AW43" s="72" t="str">
        <f t="shared" si="27"/>
        <v/>
      </c>
      <c r="AX43" s="39"/>
      <c r="AY43" s="40" t="str">
        <f>IF(ISERROR(IF($K43&lt;=$F$15,VLOOKUP($I43,'表4）CO2価格'!$A$7:$E$67,VLOOKUP($F$48,'表4）CO2価格'!$H$10:$I$12,2,0),0)*$F$8/1000,"")),0,IF($K43&lt;=$F$15,VLOOKUP($I43,'表4）CO2価格'!$A$7:$E$67,VLOOKUP($F$48,'表4）CO2価格'!$H$10:$I$12,2,0),0)*$F$8/1000,""))</f>
        <v/>
      </c>
      <c r="AZ43" s="39"/>
      <c r="BA43" s="42" t="str">
        <f t="shared" si="11"/>
        <v/>
      </c>
      <c r="BB43" s="72" t="str">
        <f t="shared" si="28"/>
        <v/>
      </c>
      <c r="BC43" s="39"/>
      <c r="BD43" s="72" t="str">
        <f t="shared" si="12"/>
        <v/>
      </c>
      <c r="BE43" s="72" t="str">
        <f t="shared" si="29"/>
        <v/>
      </c>
      <c r="BF43" s="39"/>
      <c r="BG43" s="42" t="str">
        <f t="shared" si="13"/>
        <v/>
      </c>
      <c r="BH43" s="72" t="str">
        <f t="shared" si="30"/>
        <v/>
      </c>
      <c r="BI43" s="39"/>
      <c r="BJ43" s="40" t="str">
        <f t="shared" si="31"/>
        <v/>
      </c>
      <c r="BK43" s="157" t="str">
        <f t="shared" si="32"/>
        <v/>
      </c>
      <c r="BL43" s="157" t="str">
        <f t="shared" si="14"/>
        <v/>
      </c>
      <c r="BM43" s="72"/>
      <c r="BN43" s="72" t="str">
        <f t="shared" si="33"/>
        <v/>
      </c>
      <c r="BO43" s="72" t="str">
        <f t="shared" si="34"/>
        <v/>
      </c>
      <c r="BP43" s="39"/>
      <c r="BQ43" s="72" t="str">
        <f t="shared" si="15"/>
        <v/>
      </c>
      <c r="BR43" s="72" t="str">
        <f t="shared" si="35"/>
        <v/>
      </c>
    </row>
    <row r="44" spans="3:70" x14ac:dyDescent="0.15">
      <c r="I44" s="459">
        <f t="shared" si="36"/>
        <v>2049</v>
      </c>
      <c r="J44" s="71"/>
      <c r="K44" s="71">
        <f t="shared" si="37"/>
        <v>30</v>
      </c>
      <c r="L44" s="71"/>
      <c r="M44" s="7">
        <f t="shared" si="0"/>
        <v>0.41198675951590691</v>
      </c>
      <c r="N44" s="71"/>
      <c r="O44" s="10" t="str">
        <f t="shared" si="16"/>
        <v/>
      </c>
      <c r="P44" s="29" t="str">
        <f t="shared" si="1"/>
        <v/>
      </c>
      <c r="Q44" s="71"/>
      <c r="R44" s="10" t="str">
        <f t="shared" si="17"/>
        <v/>
      </c>
      <c r="S44" s="71"/>
      <c r="T44" s="10" t="str">
        <f t="shared" si="18"/>
        <v/>
      </c>
      <c r="U44" s="71"/>
      <c r="V44" s="10" t="str">
        <f t="shared" si="2"/>
        <v/>
      </c>
      <c r="W44" s="10" t="str">
        <f t="shared" si="19"/>
        <v/>
      </c>
      <c r="X44" s="71"/>
      <c r="Y44" s="10" t="str">
        <f t="shared" si="3"/>
        <v/>
      </c>
      <c r="Z44" s="10" t="str">
        <f t="shared" si="20"/>
        <v/>
      </c>
      <c r="AA44" s="71"/>
      <c r="AB44" s="10" t="str">
        <f t="shared" si="4"/>
        <v/>
      </c>
      <c r="AC44" s="10" t="str">
        <f t="shared" si="21"/>
        <v/>
      </c>
      <c r="AD44" s="71"/>
      <c r="AE44" s="10" t="str">
        <f t="shared" si="5"/>
        <v/>
      </c>
      <c r="AF44" s="10" t="str">
        <f t="shared" si="22"/>
        <v/>
      </c>
      <c r="AG44" s="71"/>
      <c r="AH44" s="10" t="str">
        <f t="shared" si="6"/>
        <v/>
      </c>
      <c r="AI44" s="10" t="str">
        <f t="shared" si="23"/>
        <v/>
      </c>
      <c r="AJ44" s="71"/>
      <c r="AK44" s="10" t="str">
        <f t="shared" si="7"/>
        <v/>
      </c>
      <c r="AL44" s="10" t="str">
        <f t="shared" si="24"/>
        <v/>
      </c>
      <c r="AM44" s="71"/>
      <c r="AN44" s="10" t="str">
        <f t="shared" si="8"/>
        <v/>
      </c>
      <c r="AO44" s="10" t="str">
        <f t="shared" si="25"/>
        <v/>
      </c>
      <c r="AP44" s="71"/>
      <c r="AQ44" s="10" t="str">
        <f t="shared" si="9"/>
        <v/>
      </c>
      <c r="AR44" s="10" t="str">
        <f t="shared" si="26"/>
        <v/>
      </c>
      <c r="AS44" s="71"/>
      <c r="AT44" s="7" t="str">
        <f>IF($K44&lt;=$F$15,IF($F$40&lt;&gt;"",$F$40/1000,IF(ISERROR(VLOOKUP($F$3&amp;IF($G$4&lt;&gt;"",$G$4,"")&amp;IF($F$43&lt;&gt;"","_"&amp;$F$43,""),'表3）燃料価格'!$AF$9:$AG$25,2,0)),0,VLOOKUP($I44,'表3）燃料価格'!$A$6:$U$66,VLOOKUP($F$3&amp;IF($G$4&lt;&gt;"",$G$4,"")&amp;IF($F$43&lt;&gt;"","_"&amp;$F$43,""),'表3）燃料価格'!$AF$9:$AG$25,2,0)+VLOOKUP($F$41,'表3）燃料価格'!$AF$28:$AG$29,2,0),0)*IF($F$43="需要地価格",1,$F$8/$F$141))),"")</f>
        <v/>
      </c>
      <c r="AU44" s="71"/>
      <c r="AV44" s="10" t="str">
        <f t="shared" si="10"/>
        <v/>
      </c>
      <c r="AW44" s="10" t="str">
        <f t="shared" si="27"/>
        <v/>
      </c>
      <c r="AX44" s="71"/>
      <c r="AY44" s="7" t="str">
        <f>IF(ISERROR(IF($K44&lt;=$F$15,VLOOKUP($I44,'表4）CO2価格'!$A$7:$E$67,VLOOKUP($F$48,'表4）CO2価格'!$H$10:$I$12,2,0),0)*$F$8/1000,"")),0,IF($K44&lt;=$F$15,VLOOKUP($I44,'表4）CO2価格'!$A$7:$E$67,VLOOKUP($F$48,'表4）CO2価格'!$H$10:$I$12,2,0),0)*$F$8/1000,""))</f>
        <v/>
      </c>
      <c r="AZ44" s="71"/>
      <c r="BA44" s="11" t="str">
        <f t="shared" si="11"/>
        <v/>
      </c>
      <c r="BB44" s="10" t="str">
        <f t="shared" si="28"/>
        <v/>
      </c>
      <c r="BC44" s="71"/>
      <c r="BD44" s="10" t="str">
        <f t="shared" si="12"/>
        <v/>
      </c>
      <c r="BE44" s="10" t="str">
        <f t="shared" si="29"/>
        <v/>
      </c>
      <c r="BF44" s="71"/>
      <c r="BG44" s="11" t="str">
        <f t="shared" si="13"/>
        <v/>
      </c>
      <c r="BH44" s="10" t="str">
        <f t="shared" si="30"/>
        <v/>
      </c>
      <c r="BJ44" s="7" t="str">
        <f t="shared" si="31"/>
        <v/>
      </c>
      <c r="BK44" s="158" t="str">
        <f t="shared" si="32"/>
        <v/>
      </c>
      <c r="BL44" s="158" t="str">
        <f t="shared" si="14"/>
        <v/>
      </c>
      <c r="BM44" s="10"/>
      <c r="BN44" s="10" t="str">
        <f t="shared" si="33"/>
        <v/>
      </c>
      <c r="BO44" s="10" t="str">
        <f t="shared" si="34"/>
        <v/>
      </c>
      <c r="BQ44" s="10" t="str">
        <f t="shared" si="15"/>
        <v/>
      </c>
      <c r="BR44" s="10" t="str">
        <f t="shared" si="35"/>
        <v/>
      </c>
    </row>
    <row r="45" spans="3:70" x14ac:dyDescent="0.15">
      <c r="C45" s="89" t="s">
        <v>509</v>
      </c>
      <c r="D45" s="101"/>
      <c r="E45" s="101"/>
      <c r="F45" s="89"/>
      <c r="G45" s="101"/>
      <c r="I45" s="458">
        <f t="shared" si="36"/>
        <v>2050</v>
      </c>
      <c r="J45" s="39"/>
      <c r="K45" s="39">
        <f t="shared" si="37"/>
        <v>31</v>
      </c>
      <c r="L45" s="39"/>
      <c r="M45" s="40">
        <f t="shared" si="0"/>
        <v>0.39998714516107459</v>
      </c>
      <c r="N45" s="39"/>
      <c r="O45" s="72" t="str">
        <f t="shared" si="16"/>
        <v/>
      </c>
      <c r="P45" s="41" t="str">
        <f t="shared" si="1"/>
        <v/>
      </c>
      <c r="Q45" s="39"/>
      <c r="R45" s="72" t="str">
        <f t="shared" si="17"/>
        <v/>
      </c>
      <c r="S45" s="39"/>
      <c r="T45" s="72" t="str">
        <f t="shared" si="18"/>
        <v/>
      </c>
      <c r="U45" s="39"/>
      <c r="V45" s="72" t="str">
        <f t="shared" si="2"/>
        <v/>
      </c>
      <c r="W45" s="72" t="str">
        <f t="shared" si="19"/>
        <v/>
      </c>
      <c r="X45" s="39"/>
      <c r="Y45" s="72" t="str">
        <f t="shared" si="3"/>
        <v/>
      </c>
      <c r="Z45" s="72" t="str">
        <f t="shared" si="20"/>
        <v/>
      </c>
      <c r="AA45" s="39"/>
      <c r="AB45" s="72" t="str">
        <f t="shared" si="4"/>
        <v/>
      </c>
      <c r="AC45" s="72" t="str">
        <f t="shared" si="21"/>
        <v/>
      </c>
      <c r="AD45" s="39"/>
      <c r="AE45" s="72" t="str">
        <f t="shared" si="5"/>
        <v/>
      </c>
      <c r="AF45" s="72" t="str">
        <f t="shared" si="22"/>
        <v/>
      </c>
      <c r="AG45" s="39"/>
      <c r="AH45" s="72" t="str">
        <f t="shared" si="6"/>
        <v/>
      </c>
      <c r="AI45" s="72" t="str">
        <f t="shared" si="23"/>
        <v/>
      </c>
      <c r="AJ45" s="39"/>
      <c r="AK45" s="72" t="str">
        <f t="shared" si="7"/>
        <v/>
      </c>
      <c r="AL45" s="72" t="str">
        <f t="shared" si="24"/>
        <v/>
      </c>
      <c r="AM45" s="39"/>
      <c r="AN45" s="72" t="str">
        <f t="shared" si="8"/>
        <v/>
      </c>
      <c r="AO45" s="72" t="str">
        <f t="shared" si="25"/>
        <v/>
      </c>
      <c r="AP45" s="39"/>
      <c r="AQ45" s="72" t="str">
        <f t="shared" si="9"/>
        <v/>
      </c>
      <c r="AR45" s="72" t="str">
        <f t="shared" si="26"/>
        <v/>
      </c>
      <c r="AS45" s="39"/>
      <c r="AT45" s="40" t="str">
        <f>IF($K45&lt;=$F$15,IF($F$40&lt;&gt;"",$F$40/1000,IF(ISERROR(VLOOKUP($F$3&amp;IF($G$4&lt;&gt;"",$G$4,"")&amp;IF($F$43&lt;&gt;"","_"&amp;$F$43,""),'表3）燃料価格'!$AF$9:$AG$25,2,0)),0,VLOOKUP($I45,'表3）燃料価格'!$A$6:$U$66,VLOOKUP($F$3&amp;IF($G$4&lt;&gt;"",$G$4,"")&amp;IF($F$43&lt;&gt;"","_"&amp;$F$43,""),'表3）燃料価格'!$AF$9:$AG$25,2,0)+VLOOKUP($F$41,'表3）燃料価格'!$AF$28:$AG$29,2,0),0)*IF($F$43="需要地価格",1,$F$8/$F$141))),"")</f>
        <v/>
      </c>
      <c r="AU45" s="39"/>
      <c r="AV45" s="72" t="str">
        <f t="shared" si="10"/>
        <v/>
      </c>
      <c r="AW45" s="72" t="str">
        <f t="shared" si="27"/>
        <v/>
      </c>
      <c r="AX45" s="39"/>
      <c r="AY45" s="40" t="str">
        <f>IF(ISERROR(IF($K45&lt;=$F$15,VLOOKUP($I45,'表4）CO2価格'!$A$7:$E$67,VLOOKUP($F$48,'表4）CO2価格'!$H$10:$I$12,2,0),0)*$F$8/1000,"")),0,IF($K45&lt;=$F$15,VLOOKUP($I45,'表4）CO2価格'!$A$7:$E$67,VLOOKUP($F$48,'表4）CO2価格'!$H$10:$I$12,2,0),0)*$F$8/1000,""))</f>
        <v/>
      </c>
      <c r="AZ45" s="39"/>
      <c r="BA45" s="42" t="str">
        <f t="shared" si="11"/>
        <v/>
      </c>
      <c r="BB45" s="72" t="str">
        <f t="shared" si="28"/>
        <v/>
      </c>
      <c r="BC45" s="39"/>
      <c r="BD45" s="72" t="str">
        <f t="shared" si="12"/>
        <v/>
      </c>
      <c r="BE45" s="72" t="str">
        <f t="shared" si="29"/>
        <v/>
      </c>
      <c r="BF45" s="39"/>
      <c r="BG45" s="42" t="str">
        <f t="shared" si="13"/>
        <v/>
      </c>
      <c r="BH45" s="72" t="str">
        <f t="shared" si="30"/>
        <v/>
      </c>
      <c r="BI45" s="39"/>
      <c r="BJ45" s="40" t="str">
        <f t="shared" si="31"/>
        <v/>
      </c>
      <c r="BK45" s="157" t="str">
        <f t="shared" si="32"/>
        <v/>
      </c>
      <c r="BL45" s="157" t="str">
        <f t="shared" si="14"/>
        <v/>
      </c>
      <c r="BM45" s="72"/>
      <c r="BN45" s="72" t="str">
        <f t="shared" si="33"/>
        <v/>
      </c>
      <c r="BO45" s="72" t="str">
        <f t="shared" si="34"/>
        <v/>
      </c>
      <c r="BP45" s="39"/>
      <c r="BQ45" s="72" t="str">
        <f t="shared" si="15"/>
        <v/>
      </c>
      <c r="BR45" s="72" t="str">
        <f t="shared" si="35"/>
        <v/>
      </c>
    </row>
    <row r="46" spans="3:70" x14ac:dyDescent="0.15">
      <c r="I46" s="459">
        <f t="shared" si="36"/>
        <v>2051</v>
      </c>
      <c r="J46" s="71"/>
      <c r="K46" s="71">
        <f t="shared" si="37"/>
        <v>32</v>
      </c>
      <c r="L46" s="71"/>
      <c r="M46" s="7">
        <f t="shared" si="0"/>
        <v>0.38833703413696569</v>
      </c>
      <c r="N46" s="71"/>
      <c r="O46" s="10" t="str">
        <f t="shared" si="16"/>
        <v/>
      </c>
      <c r="P46" s="29" t="str">
        <f t="shared" si="1"/>
        <v/>
      </c>
      <c r="Q46" s="71"/>
      <c r="R46" s="10" t="str">
        <f t="shared" si="17"/>
        <v/>
      </c>
      <c r="S46" s="71"/>
      <c r="T46" s="10" t="str">
        <f t="shared" si="18"/>
        <v/>
      </c>
      <c r="U46" s="71"/>
      <c r="V46" s="10" t="str">
        <f t="shared" si="2"/>
        <v/>
      </c>
      <c r="W46" s="10" t="str">
        <f t="shared" si="19"/>
        <v/>
      </c>
      <c r="X46" s="71"/>
      <c r="Y46" s="10" t="str">
        <f t="shared" si="3"/>
        <v/>
      </c>
      <c r="Z46" s="10" t="str">
        <f t="shared" si="20"/>
        <v/>
      </c>
      <c r="AA46" s="71"/>
      <c r="AB46" s="10" t="str">
        <f t="shared" si="4"/>
        <v/>
      </c>
      <c r="AC46" s="10" t="str">
        <f t="shared" si="21"/>
        <v/>
      </c>
      <c r="AD46" s="71"/>
      <c r="AE46" s="10" t="str">
        <f t="shared" si="5"/>
        <v/>
      </c>
      <c r="AF46" s="10" t="str">
        <f t="shared" si="22"/>
        <v/>
      </c>
      <c r="AG46" s="71"/>
      <c r="AH46" s="10" t="str">
        <f t="shared" si="6"/>
        <v/>
      </c>
      <c r="AI46" s="10" t="str">
        <f t="shared" si="23"/>
        <v/>
      </c>
      <c r="AJ46" s="71"/>
      <c r="AK46" s="10" t="str">
        <f t="shared" si="7"/>
        <v/>
      </c>
      <c r="AL46" s="10" t="str">
        <f t="shared" si="24"/>
        <v/>
      </c>
      <c r="AM46" s="71"/>
      <c r="AN46" s="10" t="str">
        <f t="shared" si="8"/>
        <v/>
      </c>
      <c r="AO46" s="10" t="str">
        <f t="shared" si="25"/>
        <v/>
      </c>
      <c r="AP46" s="71"/>
      <c r="AQ46" s="10" t="str">
        <f t="shared" si="9"/>
        <v/>
      </c>
      <c r="AR46" s="10" t="str">
        <f t="shared" si="26"/>
        <v/>
      </c>
      <c r="AS46" s="71"/>
      <c r="AT46" s="7" t="str">
        <f>IF($K46&lt;=$F$15,IF($F$40&lt;&gt;"",$F$40/1000,IF(ISERROR(VLOOKUP($F$3&amp;IF($G$4&lt;&gt;"",$G$4,"")&amp;IF($F$43&lt;&gt;"","_"&amp;$F$43,""),'表3）燃料価格'!$AF$9:$AG$25,2,0)),0,VLOOKUP($I46,'表3）燃料価格'!$A$6:$U$66,VLOOKUP($F$3&amp;IF($G$4&lt;&gt;"",$G$4,"")&amp;IF($F$43&lt;&gt;"","_"&amp;$F$43,""),'表3）燃料価格'!$AF$9:$AG$25,2,0)+VLOOKUP($F$41,'表3）燃料価格'!$AF$28:$AG$29,2,0),0)*IF($F$43="需要地価格",1,$F$8/$F$141))),"")</f>
        <v/>
      </c>
      <c r="AU46" s="71"/>
      <c r="AV46" s="10" t="str">
        <f t="shared" si="10"/>
        <v/>
      </c>
      <c r="AW46" s="10" t="str">
        <f t="shared" si="27"/>
        <v/>
      </c>
      <c r="AX46" s="71"/>
      <c r="AY46" s="7" t="str">
        <f>IF(ISERROR(IF($K46&lt;=$F$15,VLOOKUP($I46,'表4）CO2価格'!$A$7:$E$67,VLOOKUP($F$48,'表4）CO2価格'!$H$10:$I$12,2,0),0)*$F$8/1000,"")),0,IF($K46&lt;=$F$15,VLOOKUP($I46,'表4）CO2価格'!$A$7:$E$67,VLOOKUP($F$48,'表4）CO2価格'!$H$10:$I$12,2,0),0)*$F$8/1000,""))</f>
        <v/>
      </c>
      <c r="AZ46" s="71"/>
      <c r="BA46" s="11" t="str">
        <f t="shared" si="11"/>
        <v/>
      </c>
      <c r="BB46" s="10" t="str">
        <f t="shared" si="28"/>
        <v/>
      </c>
      <c r="BC46" s="71"/>
      <c r="BD46" s="10" t="str">
        <f t="shared" si="12"/>
        <v/>
      </c>
      <c r="BE46" s="10" t="str">
        <f t="shared" si="29"/>
        <v/>
      </c>
      <c r="BF46" s="71"/>
      <c r="BG46" s="11" t="str">
        <f t="shared" si="13"/>
        <v/>
      </c>
      <c r="BH46" s="10" t="str">
        <f t="shared" si="30"/>
        <v/>
      </c>
      <c r="BJ46" s="7" t="str">
        <f t="shared" si="31"/>
        <v/>
      </c>
      <c r="BK46" s="158" t="str">
        <f t="shared" si="32"/>
        <v/>
      </c>
      <c r="BL46" s="158" t="str">
        <f t="shared" si="14"/>
        <v/>
      </c>
      <c r="BM46" s="10"/>
      <c r="BN46" s="10" t="str">
        <f t="shared" si="33"/>
        <v/>
      </c>
      <c r="BO46" s="10" t="str">
        <f t="shared" si="34"/>
        <v/>
      </c>
      <c r="BQ46" s="10" t="str">
        <f t="shared" si="15"/>
        <v/>
      </c>
      <c r="BR46" s="10" t="str">
        <f t="shared" si="35"/>
        <v/>
      </c>
    </row>
    <row r="47" spans="3:70" x14ac:dyDescent="0.15">
      <c r="D47" s="81" t="s">
        <v>182</v>
      </c>
      <c r="F47" s="66"/>
      <c r="G47" s="81" t="s">
        <v>226</v>
      </c>
      <c r="I47" s="458">
        <f t="shared" si="36"/>
        <v>2052</v>
      </c>
      <c r="J47" s="39"/>
      <c r="K47" s="39">
        <f t="shared" si="37"/>
        <v>33</v>
      </c>
      <c r="L47" s="39"/>
      <c r="M47" s="40">
        <f t="shared" si="0"/>
        <v>0.37702624673491814</v>
      </c>
      <c r="N47" s="39"/>
      <c r="O47" s="72" t="str">
        <f t="shared" si="16"/>
        <v/>
      </c>
      <c r="P47" s="41" t="str">
        <f t="shared" ref="P47:P78" si="38">IF(K47&lt;=$F$15,IF(OR(P46=$F$124,P46="-"),"-",IF(O47*$F$123&gt;$F$127,$F$123,$F$124)),"")</f>
        <v/>
      </c>
      <c r="Q47" s="39"/>
      <c r="R47" s="72" t="str">
        <f t="shared" si="17"/>
        <v/>
      </c>
      <c r="S47" s="39"/>
      <c r="T47" s="72" t="str">
        <f t="shared" si="18"/>
        <v/>
      </c>
      <c r="U47" s="39"/>
      <c r="V47" s="72" t="str">
        <f t="shared" ref="V47:V78" si="39">IF(K47&lt;=$F$15,IF(K47&lt;$F$119,IF(P47="-",V46,O47*P47),IF(K47=$F$119,MIN(IF(P47="-",V46,O47*P47),O47),0)),"")</f>
        <v/>
      </c>
      <c r="W47" s="72" t="str">
        <f t="shared" si="19"/>
        <v/>
      </c>
      <c r="X47" s="39"/>
      <c r="Y47" s="72" t="str">
        <f t="shared" ref="Y47:Y78" si="40">IF($K47&lt;=$F$15,ROUNDDOWN(T47*$F$25/100,-2),"")</f>
        <v/>
      </c>
      <c r="Z47" s="72" t="str">
        <f t="shared" si="20"/>
        <v/>
      </c>
      <c r="AA47" s="39"/>
      <c r="AB47" s="72" t="str">
        <f t="shared" si="4"/>
        <v/>
      </c>
      <c r="AC47" s="72" t="str">
        <f t="shared" si="21"/>
        <v/>
      </c>
      <c r="AD47" s="39"/>
      <c r="AE47" s="72" t="str">
        <f t="shared" ref="AE47:AE78" si="41">IF($K47&lt;=$F$15,$F$26,"")</f>
        <v/>
      </c>
      <c r="AF47" s="72" t="str">
        <f t="shared" si="22"/>
        <v/>
      </c>
      <c r="AG47" s="39"/>
      <c r="AH47" s="72" t="str">
        <f t="shared" ref="AH47:AH78" si="42">IF($K47&lt;=$F$15,$F$33*10^4*$F$13*10^4,"")</f>
        <v/>
      </c>
      <c r="AI47" s="72" t="str">
        <f t="shared" si="23"/>
        <v/>
      </c>
      <c r="AJ47" s="39"/>
      <c r="AK47" s="72" t="str">
        <f t="shared" ref="AK47:AK78" si="43">IF($K47&lt;=$F$15,$F$117*$F$34/100,"")</f>
        <v/>
      </c>
      <c r="AL47" s="72" t="str">
        <f t="shared" si="24"/>
        <v/>
      </c>
      <c r="AM47" s="39"/>
      <c r="AN47" s="72" t="str">
        <f t="shared" ref="AN47:AN78" si="44">IF($K47&lt;=$F$15,$F$117*$F$35/100,"")</f>
        <v/>
      </c>
      <c r="AO47" s="72" t="str">
        <f t="shared" si="25"/>
        <v/>
      </c>
      <c r="AP47" s="39"/>
      <c r="AQ47" s="72" t="str">
        <f t="shared" ref="AQ47:AQ78" si="45">IF($K47&lt;=$F$15,SUM(AH47,AK47,AN47)*($F$36/100),"")</f>
        <v/>
      </c>
      <c r="AR47" s="72" t="str">
        <f t="shared" si="26"/>
        <v/>
      </c>
      <c r="AS47" s="39"/>
      <c r="AT47" s="40" t="str">
        <f>IF($K47&lt;=$F$15,IF($F$40&lt;&gt;"",$F$40/1000,IF(ISERROR(VLOOKUP($F$3&amp;IF($G$4&lt;&gt;"",$G$4,"")&amp;IF($F$43&lt;&gt;"","_"&amp;$F$43,""),'表3）燃料価格'!$AF$9:$AG$25,2,0)),0,VLOOKUP($I47,'表3）燃料価格'!$A$6:$U$66,VLOOKUP($F$3&amp;IF($G$4&lt;&gt;"",$G$4,"")&amp;IF($F$43&lt;&gt;"","_"&amp;$F$43,""),'表3）燃料価格'!$AF$9:$AG$25,2,0)+VLOOKUP($F$41,'表3）燃料価格'!$AF$28:$AG$29,2,0),0)*IF($F$43="需要地価格",1,$F$8/$F$141))),"")</f>
        <v/>
      </c>
      <c r="AU47" s="39"/>
      <c r="AV47" s="72" t="str">
        <f t="shared" ref="AV47:AV78" si="46">IF($K47&lt;=$F$15,($AT47+$F$142)*$F$137,"")</f>
        <v/>
      </c>
      <c r="AW47" s="72" t="str">
        <f t="shared" si="27"/>
        <v/>
      </c>
      <c r="AX47" s="39"/>
      <c r="AY47" s="40" t="str">
        <f>IF(ISERROR(IF($K47&lt;=$F$15,VLOOKUP($I47,'表4）CO2価格'!$A$7:$E$67,VLOOKUP($F$48,'表4）CO2価格'!$H$10:$I$12,2,0),0)*$F$8/1000,"")),0,IF($K47&lt;=$F$15,VLOOKUP($I47,'表4）CO2価格'!$A$7:$E$67,VLOOKUP($F$48,'表4）CO2価格'!$H$10:$I$12,2,0),0)*$F$8/1000,""))</f>
        <v/>
      </c>
      <c r="AZ47" s="39"/>
      <c r="BA47" s="42" t="str">
        <f t="shared" ref="BA47:BA78" si="47">IF($K47&lt;=$F$15,$F$145*AY47,"")</f>
        <v/>
      </c>
      <c r="BB47" s="72" t="str">
        <f t="shared" si="28"/>
        <v/>
      </c>
      <c r="BC47" s="39"/>
      <c r="BD47" s="72" t="str">
        <f t="shared" ref="BD47:BD78" si="48">IF($K47&lt;=$F$15,($AT47+$F$152)*$F$151,"")</f>
        <v/>
      </c>
      <c r="BE47" s="72" t="str">
        <f t="shared" si="29"/>
        <v/>
      </c>
      <c r="BF47" s="39"/>
      <c r="BG47" s="42" t="str">
        <f t="shared" ref="BG47:BG78" si="49">IF($K47&lt;=$F$15,$F$153*AY47,"")</f>
        <v/>
      </c>
      <c r="BH47" s="72" t="str">
        <f t="shared" si="30"/>
        <v/>
      </c>
      <c r="BI47" s="39"/>
      <c r="BJ47" s="40" t="str">
        <f t="shared" si="31"/>
        <v/>
      </c>
      <c r="BK47" s="157" t="str">
        <f t="shared" si="32"/>
        <v/>
      </c>
      <c r="BL47" s="157" t="str">
        <f t="shared" si="14"/>
        <v/>
      </c>
      <c r="BM47" s="72"/>
      <c r="BN47" s="72" t="str">
        <f t="shared" si="33"/>
        <v/>
      </c>
      <c r="BO47" s="72" t="str">
        <f t="shared" si="34"/>
        <v/>
      </c>
      <c r="BP47" s="39"/>
      <c r="BQ47" s="72" t="str">
        <f t="shared" ref="BQ47:BQ78" si="50">IF($K47&lt;=$F$15,$F$134,"")</f>
        <v/>
      </c>
      <c r="BR47" s="72" t="str">
        <f t="shared" si="35"/>
        <v/>
      </c>
    </row>
    <row r="48" spans="3:70" x14ac:dyDescent="0.15">
      <c r="D48" s="81" t="s">
        <v>184</v>
      </c>
      <c r="F48" s="88"/>
      <c r="I48" s="459">
        <f t="shared" si="36"/>
        <v>2053</v>
      </c>
      <c r="J48" s="71"/>
      <c r="K48" s="71">
        <f t="shared" si="37"/>
        <v>34</v>
      </c>
      <c r="L48" s="71"/>
      <c r="M48" s="7">
        <f t="shared" si="0"/>
        <v>0.36604489974263904</v>
      </c>
      <c r="N48" s="71"/>
      <c r="O48" s="10" t="str">
        <f t="shared" si="16"/>
        <v/>
      </c>
      <c r="P48" s="29" t="str">
        <f t="shared" si="38"/>
        <v/>
      </c>
      <c r="Q48" s="71"/>
      <c r="R48" s="10" t="str">
        <f t="shared" ref="R48:R79" si="51">IF($K48&lt;=$F$15,MAX($F$117*5%,R47*$F$129),"")</f>
        <v/>
      </c>
      <c r="S48" s="71"/>
      <c r="T48" s="10" t="str">
        <f t="shared" si="18"/>
        <v/>
      </c>
      <c r="U48" s="71"/>
      <c r="V48" s="10" t="str">
        <f t="shared" si="39"/>
        <v/>
      </c>
      <c r="W48" s="10" t="str">
        <f t="shared" si="19"/>
        <v/>
      </c>
      <c r="X48" s="71"/>
      <c r="Y48" s="10" t="str">
        <f t="shared" si="40"/>
        <v/>
      </c>
      <c r="Z48" s="10" t="str">
        <f t="shared" si="20"/>
        <v/>
      </c>
      <c r="AA48" s="71"/>
      <c r="AB48" s="10" t="str">
        <f t="shared" si="4"/>
        <v/>
      </c>
      <c r="AC48" s="10" t="str">
        <f t="shared" si="21"/>
        <v/>
      </c>
      <c r="AD48" s="71"/>
      <c r="AE48" s="10" t="str">
        <f t="shared" si="41"/>
        <v/>
      </c>
      <c r="AF48" s="10" t="str">
        <f t="shared" si="22"/>
        <v/>
      </c>
      <c r="AG48" s="71"/>
      <c r="AH48" s="10" t="str">
        <f t="shared" si="42"/>
        <v/>
      </c>
      <c r="AI48" s="10" t="str">
        <f t="shared" si="23"/>
        <v/>
      </c>
      <c r="AJ48" s="71"/>
      <c r="AK48" s="10" t="str">
        <f t="shared" si="43"/>
        <v/>
      </c>
      <c r="AL48" s="10" t="str">
        <f t="shared" si="24"/>
        <v/>
      </c>
      <c r="AM48" s="71"/>
      <c r="AN48" s="10" t="str">
        <f t="shared" si="44"/>
        <v/>
      </c>
      <c r="AO48" s="10" t="str">
        <f t="shared" si="25"/>
        <v/>
      </c>
      <c r="AP48" s="71"/>
      <c r="AQ48" s="10" t="str">
        <f t="shared" si="45"/>
        <v/>
      </c>
      <c r="AR48" s="10" t="str">
        <f t="shared" si="26"/>
        <v/>
      </c>
      <c r="AS48" s="71"/>
      <c r="AT48" s="7" t="str">
        <f>IF($K48&lt;=$F$15,IF($F$40&lt;&gt;"",$F$40/1000,IF(ISERROR(VLOOKUP($F$3&amp;IF($G$4&lt;&gt;"",$G$4,"")&amp;IF($F$43&lt;&gt;"","_"&amp;$F$43,""),'表3）燃料価格'!$AF$9:$AG$25,2,0)),0,VLOOKUP($I48,'表3）燃料価格'!$A$6:$U$66,VLOOKUP($F$3&amp;IF($G$4&lt;&gt;"",$G$4,"")&amp;IF($F$43&lt;&gt;"","_"&amp;$F$43,""),'表3）燃料価格'!$AF$9:$AG$25,2,0)+VLOOKUP($F$41,'表3）燃料価格'!$AF$28:$AG$29,2,0),0)*IF($F$43="需要地価格",1,$F$8/$F$141))),"")</f>
        <v/>
      </c>
      <c r="AU48" s="71"/>
      <c r="AV48" s="10" t="str">
        <f t="shared" si="46"/>
        <v/>
      </c>
      <c r="AW48" s="10" t="str">
        <f t="shared" si="27"/>
        <v/>
      </c>
      <c r="AX48" s="71"/>
      <c r="AY48" s="7" t="str">
        <f>IF(ISERROR(IF($K48&lt;=$F$15,VLOOKUP($I48,'表4）CO2価格'!$A$7:$E$67,VLOOKUP($F$48,'表4）CO2価格'!$H$10:$I$12,2,0),0)*$F$8/1000,"")),0,IF($K48&lt;=$F$15,VLOOKUP($I48,'表4）CO2価格'!$A$7:$E$67,VLOOKUP($F$48,'表4）CO2価格'!$H$10:$I$12,2,0),0)*$F$8/1000,""))</f>
        <v/>
      </c>
      <c r="AZ48" s="71"/>
      <c r="BA48" s="11" t="str">
        <f t="shared" si="47"/>
        <v/>
      </c>
      <c r="BB48" s="10" t="str">
        <f t="shared" si="28"/>
        <v/>
      </c>
      <c r="BC48" s="71"/>
      <c r="BD48" s="10" t="str">
        <f t="shared" si="48"/>
        <v/>
      </c>
      <c r="BE48" s="10" t="str">
        <f t="shared" si="29"/>
        <v/>
      </c>
      <c r="BF48" s="71"/>
      <c r="BG48" s="11" t="str">
        <f t="shared" si="49"/>
        <v/>
      </c>
      <c r="BH48" s="10" t="str">
        <f t="shared" si="30"/>
        <v/>
      </c>
      <c r="BJ48" s="7" t="str">
        <f t="shared" si="31"/>
        <v/>
      </c>
      <c r="BK48" s="158" t="str">
        <f t="shared" si="32"/>
        <v/>
      </c>
      <c r="BL48" s="158" t="str">
        <f t="shared" si="14"/>
        <v/>
      </c>
      <c r="BM48" s="10"/>
      <c r="BN48" s="10" t="str">
        <f t="shared" si="33"/>
        <v/>
      </c>
      <c r="BO48" s="10" t="str">
        <f t="shared" si="34"/>
        <v/>
      </c>
      <c r="BQ48" s="10" t="str">
        <f t="shared" si="50"/>
        <v/>
      </c>
      <c r="BR48" s="10" t="str">
        <f t="shared" si="35"/>
        <v/>
      </c>
    </row>
    <row r="49" spans="3:70" x14ac:dyDescent="0.15">
      <c r="I49" s="458">
        <f t="shared" si="36"/>
        <v>2054</v>
      </c>
      <c r="J49" s="39"/>
      <c r="K49" s="39">
        <f t="shared" si="37"/>
        <v>35</v>
      </c>
      <c r="L49" s="39"/>
      <c r="M49" s="40">
        <f t="shared" si="0"/>
        <v>0.35538339780838735</v>
      </c>
      <c r="N49" s="39"/>
      <c r="O49" s="72" t="str">
        <f t="shared" si="16"/>
        <v/>
      </c>
      <c r="P49" s="41" t="str">
        <f t="shared" si="38"/>
        <v/>
      </c>
      <c r="Q49" s="39"/>
      <c r="R49" s="72" t="str">
        <f t="shared" si="51"/>
        <v/>
      </c>
      <c r="S49" s="39"/>
      <c r="T49" s="72" t="str">
        <f t="shared" si="18"/>
        <v/>
      </c>
      <c r="U49" s="39"/>
      <c r="V49" s="72" t="str">
        <f t="shared" si="39"/>
        <v/>
      </c>
      <c r="W49" s="72" t="str">
        <f t="shared" si="19"/>
        <v/>
      </c>
      <c r="X49" s="39"/>
      <c r="Y49" s="72" t="str">
        <f t="shared" si="40"/>
        <v/>
      </c>
      <c r="Z49" s="72" t="str">
        <f t="shared" si="20"/>
        <v/>
      </c>
      <c r="AA49" s="39"/>
      <c r="AB49" s="72" t="str">
        <f t="shared" si="4"/>
        <v/>
      </c>
      <c r="AC49" s="72" t="str">
        <f t="shared" si="21"/>
        <v/>
      </c>
      <c r="AD49" s="39"/>
      <c r="AE49" s="72" t="str">
        <f t="shared" si="41"/>
        <v/>
      </c>
      <c r="AF49" s="72" t="str">
        <f t="shared" si="22"/>
        <v/>
      </c>
      <c r="AG49" s="39"/>
      <c r="AH49" s="72" t="str">
        <f t="shared" si="42"/>
        <v/>
      </c>
      <c r="AI49" s="72" t="str">
        <f t="shared" si="23"/>
        <v/>
      </c>
      <c r="AJ49" s="39"/>
      <c r="AK49" s="72" t="str">
        <f t="shared" si="43"/>
        <v/>
      </c>
      <c r="AL49" s="72" t="str">
        <f t="shared" si="24"/>
        <v/>
      </c>
      <c r="AM49" s="39"/>
      <c r="AN49" s="72" t="str">
        <f t="shared" si="44"/>
        <v/>
      </c>
      <c r="AO49" s="72" t="str">
        <f t="shared" si="25"/>
        <v/>
      </c>
      <c r="AP49" s="39"/>
      <c r="AQ49" s="72" t="str">
        <f t="shared" si="45"/>
        <v/>
      </c>
      <c r="AR49" s="72" t="str">
        <f t="shared" si="26"/>
        <v/>
      </c>
      <c r="AS49" s="39"/>
      <c r="AT49" s="40" t="str">
        <f>IF($K49&lt;=$F$15,IF($F$40&lt;&gt;"",$F$40/1000,IF(ISERROR(VLOOKUP($F$3&amp;IF($G$4&lt;&gt;"",$G$4,"")&amp;IF($F$43&lt;&gt;"","_"&amp;$F$43,""),'表3）燃料価格'!$AF$9:$AG$25,2,0)),0,VLOOKUP($I49,'表3）燃料価格'!$A$6:$U$66,VLOOKUP($F$3&amp;IF($G$4&lt;&gt;"",$G$4,"")&amp;IF($F$43&lt;&gt;"","_"&amp;$F$43,""),'表3）燃料価格'!$AF$9:$AG$25,2,0)+VLOOKUP($F$41,'表3）燃料価格'!$AF$28:$AG$29,2,0),0)*IF($F$43="需要地価格",1,$F$8/$F$141))),"")</f>
        <v/>
      </c>
      <c r="AU49" s="39"/>
      <c r="AV49" s="72" t="str">
        <f t="shared" si="46"/>
        <v/>
      </c>
      <c r="AW49" s="72" t="str">
        <f t="shared" si="27"/>
        <v/>
      </c>
      <c r="AX49" s="39"/>
      <c r="AY49" s="40" t="str">
        <f>IF(ISERROR(IF($K49&lt;=$F$15,VLOOKUP($I49,'表4）CO2価格'!$A$7:$E$67,VLOOKUP($F$48,'表4）CO2価格'!$H$10:$I$12,2,0),0)*$F$8/1000,"")),0,IF($K49&lt;=$F$15,VLOOKUP($I49,'表4）CO2価格'!$A$7:$E$67,VLOOKUP($F$48,'表4）CO2価格'!$H$10:$I$12,2,0),0)*$F$8/1000,""))</f>
        <v/>
      </c>
      <c r="AZ49" s="39"/>
      <c r="BA49" s="42" t="str">
        <f t="shared" si="47"/>
        <v/>
      </c>
      <c r="BB49" s="72" t="str">
        <f t="shared" si="28"/>
        <v/>
      </c>
      <c r="BC49" s="39"/>
      <c r="BD49" s="72" t="str">
        <f t="shared" si="48"/>
        <v/>
      </c>
      <c r="BE49" s="72" t="str">
        <f t="shared" si="29"/>
        <v/>
      </c>
      <c r="BF49" s="39"/>
      <c r="BG49" s="42" t="str">
        <f t="shared" si="49"/>
        <v/>
      </c>
      <c r="BH49" s="72" t="str">
        <f t="shared" si="30"/>
        <v/>
      </c>
      <c r="BI49" s="39"/>
      <c r="BJ49" s="40" t="str">
        <f t="shared" si="31"/>
        <v/>
      </c>
      <c r="BK49" s="157" t="str">
        <f t="shared" si="32"/>
        <v/>
      </c>
      <c r="BL49" s="157" t="str">
        <f t="shared" si="14"/>
        <v/>
      </c>
      <c r="BM49" s="72"/>
      <c r="BN49" s="72" t="str">
        <f t="shared" si="33"/>
        <v/>
      </c>
      <c r="BO49" s="72" t="str">
        <f t="shared" si="34"/>
        <v/>
      </c>
      <c r="BP49" s="39"/>
      <c r="BQ49" s="72" t="str">
        <f t="shared" si="50"/>
        <v/>
      </c>
      <c r="BR49" s="72" t="str">
        <f t="shared" si="35"/>
        <v/>
      </c>
    </row>
    <row r="50" spans="3:70" x14ac:dyDescent="0.15">
      <c r="C50" s="89" t="s">
        <v>510</v>
      </c>
      <c r="D50" s="101"/>
      <c r="E50" s="101"/>
      <c r="F50" s="89"/>
      <c r="G50" s="101"/>
      <c r="I50" s="459">
        <f t="shared" si="36"/>
        <v>2055</v>
      </c>
      <c r="J50" s="71"/>
      <c r="K50" s="71">
        <f t="shared" si="37"/>
        <v>36</v>
      </c>
      <c r="L50" s="71"/>
      <c r="M50" s="7">
        <f t="shared" si="0"/>
        <v>0.34503242505668674</v>
      </c>
      <c r="N50" s="71"/>
      <c r="O50" s="10" t="str">
        <f t="shared" si="16"/>
        <v/>
      </c>
      <c r="P50" s="29" t="str">
        <f t="shared" si="38"/>
        <v/>
      </c>
      <c r="Q50" s="71"/>
      <c r="R50" s="10" t="str">
        <f t="shared" si="51"/>
        <v/>
      </c>
      <c r="S50" s="71"/>
      <c r="T50" s="10" t="str">
        <f t="shared" si="18"/>
        <v/>
      </c>
      <c r="U50" s="71"/>
      <c r="V50" s="10" t="str">
        <f t="shared" si="39"/>
        <v/>
      </c>
      <c r="W50" s="10" t="str">
        <f t="shared" si="19"/>
        <v/>
      </c>
      <c r="X50" s="71"/>
      <c r="Y50" s="10" t="str">
        <f t="shared" si="40"/>
        <v/>
      </c>
      <c r="Z50" s="10" t="str">
        <f t="shared" si="20"/>
        <v/>
      </c>
      <c r="AA50" s="71"/>
      <c r="AB50" s="10" t="str">
        <f t="shared" si="4"/>
        <v/>
      </c>
      <c r="AC50" s="10" t="str">
        <f t="shared" si="21"/>
        <v/>
      </c>
      <c r="AD50" s="71"/>
      <c r="AE50" s="10" t="str">
        <f t="shared" si="41"/>
        <v/>
      </c>
      <c r="AF50" s="10" t="str">
        <f t="shared" si="22"/>
        <v/>
      </c>
      <c r="AG50" s="71"/>
      <c r="AH50" s="10" t="str">
        <f t="shared" si="42"/>
        <v/>
      </c>
      <c r="AI50" s="10" t="str">
        <f t="shared" si="23"/>
        <v/>
      </c>
      <c r="AJ50" s="71"/>
      <c r="AK50" s="10" t="str">
        <f t="shared" si="43"/>
        <v/>
      </c>
      <c r="AL50" s="10" t="str">
        <f t="shared" si="24"/>
        <v/>
      </c>
      <c r="AM50" s="71"/>
      <c r="AN50" s="10" t="str">
        <f t="shared" si="44"/>
        <v/>
      </c>
      <c r="AO50" s="10" t="str">
        <f t="shared" si="25"/>
        <v/>
      </c>
      <c r="AP50" s="71"/>
      <c r="AQ50" s="10" t="str">
        <f t="shared" si="45"/>
        <v/>
      </c>
      <c r="AR50" s="10" t="str">
        <f t="shared" si="26"/>
        <v/>
      </c>
      <c r="AS50" s="71"/>
      <c r="AT50" s="7" t="str">
        <f>IF($K50&lt;=$F$15,IF($F$40&lt;&gt;"",$F$40/1000,IF(ISERROR(VLOOKUP($F$3&amp;IF($G$4&lt;&gt;"",$G$4,"")&amp;IF($F$43&lt;&gt;"","_"&amp;$F$43,""),'表3）燃料価格'!$AF$9:$AG$25,2,0)),0,VLOOKUP($I50,'表3）燃料価格'!$A$6:$U$66,VLOOKUP($F$3&amp;IF($G$4&lt;&gt;"",$G$4,"")&amp;IF($F$43&lt;&gt;"","_"&amp;$F$43,""),'表3）燃料価格'!$AF$9:$AG$25,2,0)+VLOOKUP($F$41,'表3）燃料価格'!$AF$28:$AG$29,2,0),0)*IF($F$43="需要地価格",1,$F$8/$F$141))),"")</f>
        <v/>
      </c>
      <c r="AU50" s="71"/>
      <c r="AV50" s="10" t="str">
        <f t="shared" si="46"/>
        <v/>
      </c>
      <c r="AW50" s="10" t="str">
        <f t="shared" si="27"/>
        <v/>
      </c>
      <c r="AX50" s="71"/>
      <c r="AY50" s="7" t="str">
        <f>IF(ISERROR(IF($K50&lt;=$F$15,VLOOKUP($I50,'表4）CO2価格'!$A$7:$E$67,VLOOKUP($F$48,'表4）CO2価格'!$H$10:$I$12,2,0),0)*$F$8/1000,"")),0,IF($K50&lt;=$F$15,VLOOKUP($I50,'表4）CO2価格'!$A$7:$E$67,VLOOKUP($F$48,'表4）CO2価格'!$H$10:$I$12,2,0),0)*$F$8/1000,""))</f>
        <v/>
      </c>
      <c r="AZ50" s="71"/>
      <c r="BA50" s="11" t="str">
        <f t="shared" si="47"/>
        <v/>
      </c>
      <c r="BB50" s="10" t="str">
        <f t="shared" si="28"/>
        <v/>
      </c>
      <c r="BC50" s="71"/>
      <c r="BD50" s="10" t="str">
        <f t="shared" si="48"/>
        <v/>
      </c>
      <c r="BE50" s="10" t="str">
        <f t="shared" si="29"/>
        <v/>
      </c>
      <c r="BF50" s="71"/>
      <c r="BG50" s="11" t="str">
        <f t="shared" si="49"/>
        <v/>
      </c>
      <c r="BH50" s="10" t="str">
        <f t="shared" si="30"/>
        <v/>
      </c>
      <c r="BJ50" s="7" t="str">
        <f t="shared" si="31"/>
        <v/>
      </c>
      <c r="BK50" s="158" t="str">
        <f t="shared" si="32"/>
        <v/>
      </c>
      <c r="BL50" s="158" t="str">
        <f t="shared" si="14"/>
        <v/>
      </c>
      <c r="BM50" s="10"/>
      <c r="BN50" s="10" t="str">
        <f t="shared" si="33"/>
        <v/>
      </c>
      <c r="BO50" s="10" t="str">
        <f t="shared" si="34"/>
        <v/>
      </c>
      <c r="BQ50" s="10" t="str">
        <f t="shared" si="50"/>
        <v/>
      </c>
      <c r="BR50" s="10" t="str">
        <f t="shared" si="35"/>
        <v/>
      </c>
    </row>
    <row r="51" spans="3:70" x14ac:dyDescent="0.15">
      <c r="I51" s="458">
        <f t="shared" si="36"/>
        <v>2056</v>
      </c>
      <c r="J51" s="39"/>
      <c r="K51" s="39">
        <f t="shared" si="37"/>
        <v>37</v>
      </c>
      <c r="L51" s="39"/>
      <c r="M51" s="40">
        <f t="shared" si="0"/>
        <v>0.33498293694823961</v>
      </c>
      <c r="N51" s="39"/>
      <c r="O51" s="72" t="str">
        <f t="shared" si="16"/>
        <v/>
      </c>
      <c r="P51" s="41" t="str">
        <f t="shared" si="38"/>
        <v/>
      </c>
      <c r="Q51" s="39"/>
      <c r="R51" s="72" t="str">
        <f t="shared" si="51"/>
        <v/>
      </c>
      <c r="S51" s="39"/>
      <c r="T51" s="72" t="str">
        <f t="shared" si="18"/>
        <v/>
      </c>
      <c r="U51" s="39"/>
      <c r="V51" s="72" t="str">
        <f t="shared" si="39"/>
        <v/>
      </c>
      <c r="W51" s="72" t="str">
        <f t="shared" si="19"/>
        <v/>
      </c>
      <c r="X51" s="39"/>
      <c r="Y51" s="72" t="str">
        <f t="shared" si="40"/>
        <v/>
      </c>
      <c r="Z51" s="72" t="str">
        <f t="shared" si="20"/>
        <v/>
      </c>
      <c r="AA51" s="39"/>
      <c r="AB51" s="72" t="str">
        <f t="shared" si="4"/>
        <v/>
      </c>
      <c r="AC51" s="72" t="str">
        <f t="shared" si="21"/>
        <v/>
      </c>
      <c r="AD51" s="39"/>
      <c r="AE51" s="72" t="str">
        <f t="shared" si="41"/>
        <v/>
      </c>
      <c r="AF51" s="72" t="str">
        <f t="shared" si="22"/>
        <v/>
      </c>
      <c r="AG51" s="39"/>
      <c r="AH51" s="72" t="str">
        <f t="shared" si="42"/>
        <v/>
      </c>
      <c r="AI51" s="72" t="str">
        <f t="shared" si="23"/>
        <v/>
      </c>
      <c r="AJ51" s="39"/>
      <c r="AK51" s="72" t="str">
        <f t="shared" si="43"/>
        <v/>
      </c>
      <c r="AL51" s="72" t="str">
        <f t="shared" si="24"/>
        <v/>
      </c>
      <c r="AM51" s="39"/>
      <c r="AN51" s="72" t="str">
        <f t="shared" si="44"/>
        <v/>
      </c>
      <c r="AO51" s="72" t="str">
        <f t="shared" si="25"/>
        <v/>
      </c>
      <c r="AP51" s="39"/>
      <c r="AQ51" s="72" t="str">
        <f t="shared" si="45"/>
        <v/>
      </c>
      <c r="AR51" s="72" t="str">
        <f t="shared" si="26"/>
        <v/>
      </c>
      <c r="AS51" s="39"/>
      <c r="AT51" s="40" t="str">
        <f>IF($K51&lt;=$F$15,IF($F$40&lt;&gt;"",$F$40/1000,IF(ISERROR(VLOOKUP($F$3&amp;IF($G$4&lt;&gt;"",$G$4,"")&amp;IF($F$43&lt;&gt;"","_"&amp;$F$43,""),'表3）燃料価格'!$AF$9:$AG$25,2,0)),0,VLOOKUP($I51,'表3）燃料価格'!$A$6:$U$66,VLOOKUP($F$3&amp;IF($G$4&lt;&gt;"",$G$4,"")&amp;IF($F$43&lt;&gt;"","_"&amp;$F$43,""),'表3）燃料価格'!$AF$9:$AG$25,2,0)+VLOOKUP($F$41,'表3）燃料価格'!$AF$28:$AG$29,2,0),0)*IF($F$43="需要地価格",1,$F$8/$F$141))),"")</f>
        <v/>
      </c>
      <c r="AU51" s="39"/>
      <c r="AV51" s="72" t="str">
        <f t="shared" si="46"/>
        <v/>
      </c>
      <c r="AW51" s="72" t="str">
        <f t="shared" si="27"/>
        <v/>
      </c>
      <c r="AX51" s="39"/>
      <c r="AY51" s="40" t="str">
        <f>IF(ISERROR(IF($K51&lt;=$F$15,VLOOKUP($I51,'表4）CO2価格'!$A$7:$E$67,VLOOKUP($F$48,'表4）CO2価格'!$H$10:$I$12,2,0),0)*$F$8/1000,"")),0,IF($K51&lt;=$F$15,VLOOKUP($I51,'表4）CO2価格'!$A$7:$E$67,VLOOKUP($F$48,'表4）CO2価格'!$H$10:$I$12,2,0),0)*$F$8/1000,""))</f>
        <v/>
      </c>
      <c r="AZ51" s="39"/>
      <c r="BA51" s="42" t="str">
        <f t="shared" si="47"/>
        <v/>
      </c>
      <c r="BB51" s="72" t="str">
        <f t="shared" si="28"/>
        <v/>
      </c>
      <c r="BC51" s="39"/>
      <c r="BD51" s="72" t="str">
        <f t="shared" si="48"/>
        <v/>
      </c>
      <c r="BE51" s="72" t="str">
        <f t="shared" si="29"/>
        <v/>
      </c>
      <c r="BF51" s="39"/>
      <c r="BG51" s="42" t="str">
        <f t="shared" si="49"/>
        <v/>
      </c>
      <c r="BH51" s="72" t="str">
        <f t="shared" si="30"/>
        <v/>
      </c>
      <c r="BI51" s="39"/>
      <c r="BJ51" s="40" t="str">
        <f t="shared" si="31"/>
        <v/>
      </c>
      <c r="BK51" s="157" t="str">
        <f t="shared" si="32"/>
        <v/>
      </c>
      <c r="BL51" s="157" t="str">
        <f t="shared" si="14"/>
        <v/>
      </c>
      <c r="BM51" s="72"/>
      <c r="BN51" s="72" t="str">
        <f t="shared" si="33"/>
        <v/>
      </c>
      <c r="BO51" s="72" t="str">
        <f t="shared" si="34"/>
        <v/>
      </c>
      <c r="BP51" s="39"/>
      <c r="BQ51" s="72" t="str">
        <f t="shared" si="50"/>
        <v/>
      </c>
      <c r="BR51" s="72" t="str">
        <f t="shared" si="35"/>
        <v/>
      </c>
    </row>
    <row r="52" spans="3:70" x14ac:dyDescent="0.15">
      <c r="D52" s="81" t="s">
        <v>185</v>
      </c>
      <c r="F52" s="90"/>
      <c r="G52" s="81" t="s">
        <v>172</v>
      </c>
      <c r="I52" s="459">
        <f t="shared" si="36"/>
        <v>2057</v>
      </c>
      <c r="J52" s="71"/>
      <c r="K52" s="71">
        <f t="shared" si="37"/>
        <v>38</v>
      </c>
      <c r="L52" s="71"/>
      <c r="M52" s="7">
        <f t="shared" si="0"/>
        <v>0.3252261523769317</v>
      </c>
      <c r="N52" s="71"/>
      <c r="O52" s="10" t="str">
        <f t="shared" si="16"/>
        <v/>
      </c>
      <c r="P52" s="29" t="str">
        <f t="shared" si="38"/>
        <v/>
      </c>
      <c r="Q52" s="71"/>
      <c r="R52" s="10" t="str">
        <f t="shared" si="51"/>
        <v/>
      </c>
      <c r="S52" s="71"/>
      <c r="T52" s="10" t="str">
        <f t="shared" si="18"/>
        <v/>
      </c>
      <c r="U52" s="71"/>
      <c r="V52" s="10" t="str">
        <f t="shared" si="39"/>
        <v/>
      </c>
      <c r="W52" s="10" t="str">
        <f t="shared" si="19"/>
        <v/>
      </c>
      <c r="X52" s="71"/>
      <c r="Y52" s="10" t="str">
        <f t="shared" si="40"/>
        <v/>
      </c>
      <c r="Z52" s="10" t="str">
        <f t="shared" si="20"/>
        <v/>
      </c>
      <c r="AA52" s="71"/>
      <c r="AB52" s="10" t="str">
        <f t="shared" si="4"/>
        <v/>
      </c>
      <c r="AC52" s="10" t="str">
        <f t="shared" si="21"/>
        <v/>
      </c>
      <c r="AD52" s="71"/>
      <c r="AE52" s="10" t="str">
        <f t="shared" si="41"/>
        <v/>
      </c>
      <c r="AF52" s="10" t="str">
        <f t="shared" si="22"/>
        <v/>
      </c>
      <c r="AG52" s="71"/>
      <c r="AH52" s="10" t="str">
        <f t="shared" si="42"/>
        <v/>
      </c>
      <c r="AI52" s="10" t="str">
        <f t="shared" si="23"/>
        <v/>
      </c>
      <c r="AJ52" s="71"/>
      <c r="AK52" s="10" t="str">
        <f t="shared" si="43"/>
        <v/>
      </c>
      <c r="AL52" s="10" t="str">
        <f t="shared" si="24"/>
        <v/>
      </c>
      <c r="AM52" s="71"/>
      <c r="AN52" s="10" t="str">
        <f t="shared" si="44"/>
        <v/>
      </c>
      <c r="AO52" s="10" t="str">
        <f t="shared" si="25"/>
        <v/>
      </c>
      <c r="AP52" s="71"/>
      <c r="AQ52" s="10" t="str">
        <f t="shared" si="45"/>
        <v/>
      </c>
      <c r="AR52" s="10" t="str">
        <f t="shared" si="26"/>
        <v/>
      </c>
      <c r="AS52" s="71"/>
      <c r="AT52" s="7" t="str">
        <f>IF($K52&lt;=$F$15,IF($F$40&lt;&gt;"",$F$40/1000,IF(ISERROR(VLOOKUP($F$3&amp;IF($G$4&lt;&gt;"",$G$4,"")&amp;IF($F$43&lt;&gt;"","_"&amp;$F$43,""),'表3）燃料価格'!$AF$9:$AG$25,2,0)),0,VLOOKUP($I52,'表3）燃料価格'!$A$6:$U$66,VLOOKUP($F$3&amp;IF($G$4&lt;&gt;"",$G$4,"")&amp;IF($F$43&lt;&gt;"","_"&amp;$F$43,""),'表3）燃料価格'!$AF$9:$AG$25,2,0)+VLOOKUP($F$41,'表3）燃料価格'!$AF$28:$AG$29,2,0),0)*IF($F$43="需要地価格",1,$F$8/$F$141))),"")</f>
        <v/>
      </c>
      <c r="AU52" s="71"/>
      <c r="AV52" s="10" t="str">
        <f t="shared" si="46"/>
        <v/>
      </c>
      <c r="AW52" s="10" t="str">
        <f t="shared" si="27"/>
        <v/>
      </c>
      <c r="AX52" s="71"/>
      <c r="AY52" s="7" t="str">
        <f>IF(ISERROR(IF($K52&lt;=$F$15,VLOOKUP($I52,'表4）CO2価格'!$A$7:$E$67,VLOOKUP($F$48,'表4）CO2価格'!$H$10:$I$12,2,0),0)*$F$8/1000,"")),0,IF($K52&lt;=$F$15,VLOOKUP($I52,'表4）CO2価格'!$A$7:$E$67,VLOOKUP($F$48,'表4）CO2価格'!$H$10:$I$12,2,0),0)*$F$8/1000,""))</f>
        <v/>
      </c>
      <c r="AZ52" s="71"/>
      <c r="BA52" s="11" t="str">
        <f t="shared" si="47"/>
        <v/>
      </c>
      <c r="BB52" s="10" t="str">
        <f t="shared" si="28"/>
        <v/>
      </c>
      <c r="BC52" s="71"/>
      <c r="BD52" s="10" t="str">
        <f t="shared" si="48"/>
        <v/>
      </c>
      <c r="BE52" s="10" t="str">
        <f t="shared" si="29"/>
        <v/>
      </c>
      <c r="BF52" s="71"/>
      <c r="BG52" s="11" t="str">
        <f t="shared" si="49"/>
        <v/>
      </c>
      <c r="BH52" s="10" t="str">
        <f t="shared" si="30"/>
        <v/>
      </c>
      <c r="BJ52" s="7" t="str">
        <f t="shared" si="31"/>
        <v/>
      </c>
      <c r="BK52" s="158" t="str">
        <f t="shared" si="32"/>
        <v/>
      </c>
      <c r="BL52" s="158" t="str">
        <f t="shared" si="14"/>
        <v/>
      </c>
      <c r="BM52" s="10"/>
      <c r="BN52" s="10" t="str">
        <f t="shared" si="33"/>
        <v/>
      </c>
      <c r="BO52" s="10" t="str">
        <f t="shared" si="34"/>
        <v/>
      </c>
      <c r="BQ52" s="10" t="str">
        <f t="shared" si="50"/>
        <v/>
      </c>
      <c r="BR52" s="10" t="str">
        <f t="shared" si="35"/>
        <v/>
      </c>
    </row>
    <row r="53" spans="3:70" x14ac:dyDescent="0.15">
      <c r="D53" s="81" t="s">
        <v>186</v>
      </c>
      <c r="F53" s="66"/>
      <c r="G53" s="81" t="s">
        <v>172</v>
      </c>
      <c r="I53" s="458">
        <f t="shared" si="36"/>
        <v>2058</v>
      </c>
      <c r="J53" s="39"/>
      <c r="K53" s="39">
        <f t="shared" si="37"/>
        <v>39</v>
      </c>
      <c r="L53" s="39"/>
      <c r="M53" s="40">
        <f t="shared" si="0"/>
        <v>0.31575354599702099</v>
      </c>
      <c r="N53" s="39"/>
      <c r="O53" s="72" t="str">
        <f t="shared" si="16"/>
        <v/>
      </c>
      <c r="P53" s="41" t="str">
        <f t="shared" si="38"/>
        <v/>
      </c>
      <c r="Q53" s="39"/>
      <c r="R53" s="72" t="str">
        <f t="shared" si="51"/>
        <v/>
      </c>
      <c r="S53" s="39"/>
      <c r="T53" s="72" t="str">
        <f t="shared" si="18"/>
        <v/>
      </c>
      <c r="U53" s="39"/>
      <c r="V53" s="72" t="str">
        <f t="shared" si="39"/>
        <v/>
      </c>
      <c r="W53" s="72" t="str">
        <f t="shared" si="19"/>
        <v/>
      </c>
      <c r="X53" s="39"/>
      <c r="Y53" s="72" t="str">
        <f t="shared" si="40"/>
        <v/>
      </c>
      <c r="Z53" s="72" t="str">
        <f t="shared" si="20"/>
        <v/>
      </c>
      <c r="AA53" s="39"/>
      <c r="AB53" s="72" t="str">
        <f t="shared" si="4"/>
        <v/>
      </c>
      <c r="AC53" s="72" t="str">
        <f t="shared" si="21"/>
        <v/>
      </c>
      <c r="AD53" s="39"/>
      <c r="AE53" s="72" t="str">
        <f t="shared" si="41"/>
        <v/>
      </c>
      <c r="AF53" s="72" t="str">
        <f t="shared" si="22"/>
        <v/>
      </c>
      <c r="AG53" s="39"/>
      <c r="AH53" s="72" t="str">
        <f t="shared" si="42"/>
        <v/>
      </c>
      <c r="AI53" s="72" t="str">
        <f t="shared" si="23"/>
        <v/>
      </c>
      <c r="AJ53" s="39"/>
      <c r="AK53" s="72" t="str">
        <f t="shared" si="43"/>
        <v/>
      </c>
      <c r="AL53" s="72" t="str">
        <f t="shared" si="24"/>
        <v/>
      </c>
      <c r="AM53" s="39"/>
      <c r="AN53" s="72" t="str">
        <f t="shared" si="44"/>
        <v/>
      </c>
      <c r="AO53" s="72" t="str">
        <f t="shared" si="25"/>
        <v/>
      </c>
      <c r="AP53" s="39"/>
      <c r="AQ53" s="72" t="str">
        <f t="shared" si="45"/>
        <v/>
      </c>
      <c r="AR53" s="72" t="str">
        <f t="shared" si="26"/>
        <v/>
      </c>
      <c r="AS53" s="39"/>
      <c r="AT53" s="40" t="str">
        <f>IF($K53&lt;=$F$15,IF($F$40&lt;&gt;"",$F$40/1000,IF(ISERROR(VLOOKUP($F$3&amp;IF($G$4&lt;&gt;"",$G$4,"")&amp;IF($F$43&lt;&gt;"","_"&amp;$F$43,""),'表3）燃料価格'!$AF$9:$AG$25,2,0)),0,VLOOKUP($I53,'表3）燃料価格'!$A$6:$U$66,VLOOKUP($F$3&amp;IF($G$4&lt;&gt;"",$G$4,"")&amp;IF($F$43&lt;&gt;"","_"&amp;$F$43,""),'表3）燃料価格'!$AF$9:$AG$25,2,0)+VLOOKUP($F$41,'表3）燃料価格'!$AF$28:$AG$29,2,0),0)*IF($F$43="需要地価格",1,$F$8/$F$141))),"")</f>
        <v/>
      </c>
      <c r="AU53" s="39"/>
      <c r="AV53" s="72" t="str">
        <f t="shared" si="46"/>
        <v/>
      </c>
      <c r="AW53" s="72" t="str">
        <f t="shared" si="27"/>
        <v/>
      </c>
      <c r="AX53" s="39"/>
      <c r="AY53" s="40" t="str">
        <f>IF(ISERROR(IF($K53&lt;=$F$15,VLOOKUP($I53,'表4）CO2価格'!$A$7:$E$67,VLOOKUP($F$48,'表4）CO2価格'!$H$10:$I$12,2,0),0)*$F$8/1000,"")),0,IF($K53&lt;=$F$15,VLOOKUP($I53,'表4）CO2価格'!$A$7:$E$67,VLOOKUP($F$48,'表4）CO2価格'!$H$10:$I$12,2,0),0)*$F$8/1000,""))</f>
        <v/>
      </c>
      <c r="AZ53" s="39"/>
      <c r="BA53" s="42" t="str">
        <f t="shared" si="47"/>
        <v/>
      </c>
      <c r="BB53" s="72" t="str">
        <f t="shared" si="28"/>
        <v/>
      </c>
      <c r="BC53" s="39"/>
      <c r="BD53" s="72" t="str">
        <f t="shared" si="48"/>
        <v/>
      </c>
      <c r="BE53" s="72" t="str">
        <f t="shared" si="29"/>
        <v/>
      </c>
      <c r="BF53" s="39"/>
      <c r="BG53" s="42" t="str">
        <f t="shared" si="49"/>
        <v/>
      </c>
      <c r="BH53" s="72" t="str">
        <f t="shared" si="30"/>
        <v/>
      </c>
      <c r="BI53" s="39"/>
      <c r="BJ53" s="40" t="str">
        <f t="shared" si="31"/>
        <v/>
      </c>
      <c r="BK53" s="157" t="str">
        <f t="shared" si="32"/>
        <v/>
      </c>
      <c r="BL53" s="157" t="str">
        <f t="shared" si="14"/>
        <v/>
      </c>
      <c r="BM53" s="72"/>
      <c r="BN53" s="72" t="str">
        <f t="shared" si="33"/>
        <v/>
      </c>
      <c r="BO53" s="72" t="str">
        <f t="shared" si="34"/>
        <v/>
      </c>
      <c r="BP53" s="39"/>
      <c r="BQ53" s="72" t="str">
        <f t="shared" si="50"/>
        <v/>
      </c>
      <c r="BR53" s="72" t="str">
        <f t="shared" si="35"/>
        <v/>
      </c>
    </row>
    <row r="54" spans="3:70" x14ac:dyDescent="0.15">
      <c r="D54" s="81" t="s">
        <v>187</v>
      </c>
      <c r="F54" s="66"/>
      <c r="G54" s="81" t="s">
        <v>172</v>
      </c>
      <c r="I54" s="459">
        <f t="shared" si="36"/>
        <v>2059</v>
      </c>
      <c r="J54" s="71"/>
      <c r="K54" s="71">
        <f t="shared" si="37"/>
        <v>40</v>
      </c>
      <c r="L54" s="71"/>
      <c r="M54" s="7">
        <f t="shared" si="0"/>
        <v>0.30655684077380685</v>
      </c>
      <c r="N54" s="71"/>
      <c r="O54" s="10" t="str">
        <f t="shared" si="16"/>
        <v/>
      </c>
      <c r="P54" s="29" t="str">
        <f t="shared" si="38"/>
        <v/>
      </c>
      <c r="Q54" s="71"/>
      <c r="R54" s="10" t="str">
        <f t="shared" si="51"/>
        <v/>
      </c>
      <c r="S54" s="71"/>
      <c r="T54" s="10" t="str">
        <f t="shared" si="18"/>
        <v/>
      </c>
      <c r="U54" s="71"/>
      <c r="V54" s="10" t="str">
        <f t="shared" si="39"/>
        <v/>
      </c>
      <c r="W54" s="10" t="str">
        <f t="shared" si="19"/>
        <v/>
      </c>
      <c r="X54" s="71"/>
      <c r="Y54" s="10" t="str">
        <f t="shared" si="40"/>
        <v/>
      </c>
      <c r="Z54" s="10" t="str">
        <f t="shared" si="20"/>
        <v/>
      </c>
      <c r="AA54" s="71"/>
      <c r="AB54" s="10" t="str">
        <f t="shared" si="4"/>
        <v/>
      </c>
      <c r="AC54" s="10" t="str">
        <f t="shared" si="21"/>
        <v/>
      </c>
      <c r="AD54" s="71"/>
      <c r="AE54" s="10" t="str">
        <f t="shared" si="41"/>
        <v/>
      </c>
      <c r="AF54" s="10" t="str">
        <f t="shared" si="22"/>
        <v/>
      </c>
      <c r="AG54" s="71"/>
      <c r="AH54" s="10" t="str">
        <f t="shared" si="42"/>
        <v/>
      </c>
      <c r="AI54" s="10" t="str">
        <f t="shared" si="23"/>
        <v/>
      </c>
      <c r="AJ54" s="71"/>
      <c r="AK54" s="10" t="str">
        <f t="shared" si="43"/>
        <v/>
      </c>
      <c r="AL54" s="10" t="str">
        <f t="shared" si="24"/>
        <v/>
      </c>
      <c r="AM54" s="71"/>
      <c r="AN54" s="10" t="str">
        <f t="shared" si="44"/>
        <v/>
      </c>
      <c r="AO54" s="10" t="str">
        <f t="shared" si="25"/>
        <v/>
      </c>
      <c r="AP54" s="71"/>
      <c r="AQ54" s="10" t="str">
        <f t="shared" si="45"/>
        <v/>
      </c>
      <c r="AR54" s="10" t="str">
        <f t="shared" si="26"/>
        <v/>
      </c>
      <c r="AS54" s="71"/>
      <c r="AT54" s="7" t="str">
        <f>IF($K54&lt;=$F$15,IF($F$40&lt;&gt;"",$F$40/1000,IF(ISERROR(VLOOKUP($F$3&amp;IF($G$4&lt;&gt;"",$G$4,"")&amp;IF($F$43&lt;&gt;"","_"&amp;$F$43,""),'表3）燃料価格'!$AF$9:$AG$25,2,0)),0,VLOOKUP($I54,'表3）燃料価格'!$A$6:$U$66,VLOOKUP($F$3&amp;IF($G$4&lt;&gt;"",$G$4,"")&amp;IF($F$43&lt;&gt;"","_"&amp;$F$43,""),'表3）燃料価格'!$AF$9:$AG$25,2,0)+VLOOKUP($F$41,'表3）燃料価格'!$AF$28:$AG$29,2,0),0)*IF($F$43="需要地価格",1,$F$8/$F$141))),"")</f>
        <v/>
      </c>
      <c r="AU54" s="71"/>
      <c r="AV54" s="10" t="str">
        <f t="shared" si="46"/>
        <v/>
      </c>
      <c r="AW54" s="10" t="str">
        <f t="shared" si="27"/>
        <v/>
      </c>
      <c r="AX54" s="71"/>
      <c r="AY54" s="7" t="str">
        <f>IF(ISERROR(IF($K54&lt;=$F$15,VLOOKUP($I54,'表4）CO2価格'!$A$7:$E$67,VLOOKUP($F$48,'表4）CO2価格'!$H$10:$I$12,2,0),0)*$F$8/1000,"")),0,IF($K54&lt;=$F$15,VLOOKUP($I54,'表4）CO2価格'!$A$7:$E$67,VLOOKUP($F$48,'表4）CO2価格'!$H$10:$I$12,2,0),0)*$F$8/1000,""))</f>
        <v/>
      </c>
      <c r="AZ54" s="71"/>
      <c r="BA54" s="11" t="str">
        <f t="shared" si="47"/>
        <v/>
      </c>
      <c r="BB54" s="10" t="str">
        <f t="shared" si="28"/>
        <v/>
      </c>
      <c r="BC54" s="71"/>
      <c r="BD54" s="10" t="str">
        <f t="shared" si="48"/>
        <v/>
      </c>
      <c r="BE54" s="10" t="str">
        <f t="shared" si="29"/>
        <v/>
      </c>
      <c r="BF54" s="71"/>
      <c r="BG54" s="11" t="str">
        <f t="shared" si="49"/>
        <v/>
      </c>
      <c r="BH54" s="10" t="str">
        <f t="shared" si="30"/>
        <v/>
      </c>
      <c r="BJ54" s="7" t="str">
        <f t="shared" si="31"/>
        <v/>
      </c>
      <c r="BK54" s="158" t="str">
        <f t="shared" si="32"/>
        <v/>
      </c>
      <c r="BL54" s="158" t="str">
        <f t="shared" si="14"/>
        <v/>
      </c>
      <c r="BM54" s="10"/>
      <c r="BN54" s="10" t="str">
        <f t="shared" si="33"/>
        <v/>
      </c>
      <c r="BO54" s="10" t="str">
        <f t="shared" si="34"/>
        <v/>
      </c>
      <c r="BQ54" s="10" t="str">
        <f t="shared" si="50"/>
        <v/>
      </c>
      <c r="BR54" s="10" t="str">
        <f t="shared" si="35"/>
        <v/>
      </c>
    </row>
    <row r="55" spans="3:70" ht="16.5" x14ac:dyDescent="0.15">
      <c r="D55" s="81" t="s">
        <v>188</v>
      </c>
      <c r="F55" s="66"/>
      <c r="G55" s="9" t="s">
        <v>372</v>
      </c>
      <c r="I55" s="458">
        <f>I54+1</f>
        <v>2060</v>
      </c>
      <c r="J55" s="39"/>
      <c r="K55" s="39">
        <f>IF(I55&lt;&gt;"",K54+1,"")</f>
        <v>41</v>
      </c>
      <c r="L55" s="39"/>
      <c r="M55" s="40">
        <f t="shared" si="0"/>
        <v>0.29762800075126877</v>
      </c>
      <c r="N55" s="39"/>
      <c r="O55" s="72" t="str">
        <f t="shared" si="16"/>
        <v/>
      </c>
      <c r="P55" s="41" t="str">
        <f t="shared" si="38"/>
        <v/>
      </c>
      <c r="Q55" s="39"/>
      <c r="R55" s="72" t="str">
        <f t="shared" si="51"/>
        <v/>
      </c>
      <c r="S55" s="39"/>
      <c r="T55" s="72" t="str">
        <f t="shared" si="18"/>
        <v/>
      </c>
      <c r="U55" s="39"/>
      <c r="V55" s="72" t="str">
        <f t="shared" si="39"/>
        <v/>
      </c>
      <c r="W55" s="72" t="str">
        <f t="shared" si="19"/>
        <v/>
      </c>
      <c r="X55" s="39"/>
      <c r="Y55" s="72" t="str">
        <f t="shared" si="40"/>
        <v/>
      </c>
      <c r="Z55" s="72" t="str">
        <f t="shared" si="20"/>
        <v/>
      </c>
      <c r="AA55" s="39"/>
      <c r="AB55" s="72" t="str">
        <f t="shared" si="4"/>
        <v/>
      </c>
      <c r="AC55" s="72" t="str">
        <f t="shared" si="21"/>
        <v/>
      </c>
      <c r="AD55" s="39"/>
      <c r="AE55" s="72" t="str">
        <f t="shared" si="41"/>
        <v/>
      </c>
      <c r="AF55" s="72" t="str">
        <f t="shared" si="22"/>
        <v/>
      </c>
      <c r="AG55" s="39"/>
      <c r="AH55" s="72" t="str">
        <f t="shared" si="42"/>
        <v/>
      </c>
      <c r="AI55" s="72" t="str">
        <f t="shared" si="23"/>
        <v/>
      </c>
      <c r="AJ55" s="39"/>
      <c r="AK55" s="72" t="str">
        <f t="shared" si="43"/>
        <v/>
      </c>
      <c r="AL55" s="72" t="str">
        <f t="shared" si="24"/>
        <v/>
      </c>
      <c r="AM55" s="39"/>
      <c r="AN55" s="72" t="str">
        <f t="shared" si="44"/>
        <v/>
      </c>
      <c r="AO55" s="72" t="str">
        <f t="shared" si="25"/>
        <v/>
      </c>
      <c r="AP55" s="39"/>
      <c r="AQ55" s="72" t="str">
        <f t="shared" si="45"/>
        <v/>
      </c>
      <c r="AR55" s="72" t="str">
        <f t="shared" si="26"/>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46"/>
        <v/>
      </c>
      <c r="AW55" s="72" t="str">
        <f t="shared" si="27"/>
        <v/>
      </c>
      <c r="AX55" s="39"/>
      <c r="AY55" s="40" t="str">
        <f>IF(ISERROR(IF($K55&lt;=$F$15,VLOOKUP($I55,'表4）CO2価格'!$A$7:$E$67,VLOOKUP($F$48,'表4）CO2価格'!$H$10:$I$12,2,0),0)*$F$8/1000,"")),0,IF($K55&lt;=$F$15,VLOOKUP($I55,'表4）CO2価格'!$A$7:$E$67,VLOOKUP($F$48,'表4）CO2価格'!$H$10:$I$12,2,0),0)*$F$8/1000,""))</f>
        <v/>
      </c>
      <c r="AZ55" s="39"/>
      <c r="BA55" s="42" t="str">
        <f t="shared" si="47"/>
        <v/>
      </c>
      <c r="BB55" s="72" t="str">
        <f t="shared" si="28"/>
        <v/>
      </c>
      <c r="BC55" s="39"/>
      <c r="BD55" s="72" t="str">
        <f t="shared" si="48"/>
        <v/>
      </c>
      <c r="BE55" s="72" t="str">
        <f t="shared" si="29"/>
        <v/>
      </c>
      <c r="BF55" s="39"/>
      <c r="BG55" s="42" t="str">
        <f t="shared" si="49"/>
        <v/>
      </c>
      <c r="BH55" s="72" t="str">
        <f t="shared" si="30"/>
        <v/>
      </c>
      <c r="BI55" s="39"/>
      <c r="BJ55" s="40" t="str">
        <f t="shared" si="31"/>
        <v/>
      </c>
      <c r="BK55" s="157" t="str">
        <f t="shared" si="32"/>
        <v/>
      </c>
      <c r="BL55" s="157" t="str">
        <f t="shared" si="14"/>
        <v/>
      </c>
      <c r="BM55" s="72"/>
      <c r="BN55" s="72" t="str">
        <f t="shared" si="33"/>
        <v/>
      </c>
      <c r="BO55" s="72" t="str">
        <f t="shared" si="34"/>
        <v/>
      </c>
      <c r="BP55" s="39"/>
      <c r="BQ55" s="72" t="str">
        <f t="shared" si="50"/>
        <v/>
      </c>
      <c r="BR55" s="72" t="str">
        <f t="shared" si="35"/>
        <v/>
      </c>
    </row>
    <row r="56" spans="3:70" x14ac:dyDescent="0.15">
      <c r="D56" s="81" t="s">
        <v>189</v>
      </c>
      <c r="F56" s="59"/>
      <c r="G56" s="81" t="s">
        <v>181</v>
      </c>
      <c r="I56" s="459">
        <f t="shared" si="36"/>
        <v>2061</v>
      </c>
      <c r="J56" s="71"/>
      <c r="K56" s="71">
        <f t="shared" si="37"/>
        <v>42</v>
      </c>
      <c r="L56" s="71"/>
      <c r="M56" s="7">
        <f t="shared" si="0"/>
        <v>0.28895922403035801</v>
      </c>
      <c r="N56" s="71"/>
      <c r="O56" s="10" t="str">
        <f t="shared" si="16"/>
        <v/>
      </c>
      <c r="P56" s="29" t="str">
        <f t="shared" si="38"/>
        <v/>
      </c>
      <c r="Q56" s="71"/>
      <c r="R56" s="10" t="str">
        <f t="shared" si="51"/>
        <v/>
      </c>
      <c r="S56" s="71"/>
      <c r="T56" s="10" t="str">
        <f t="shared" si="18"/>
        <v/>
      </c>
      <c r="U56" s="71"/>
      <c r="V56" s="10" t="str">
        <f t="shared" si="39"/>
        <v/>
      </c>
      <c r="W56" s="10" t="str">
        <f t="shared" si="19"/>
        <v/>
      </c>
      <c r="X56" s="71"/>
      <c r="Y56" s="10" t="str">
        <f t="shared" si="40"/>
        <v/>
      </c>
      <c r="Z56" s="10" t="str">
        <f t="shared" si="20"/>
        <v/>
      </c>
      <c r="AA56" s="71"/>
      <c r="AB56" s="10" t="str">
        <f t="shared" si="4"/>
        <v/>
      </c>
      <c r="AC56" s="10" t="str">
        <f t="shared" si="21"/>
        <v/>
      </c>
      <c r="AD56" s="71"/>
      <c r="AE56" s="10" t="str">
        <f t="shared" si="41"/>
        <v/>
      </c>
      <c r="AF56" s="10" t="str">
        <f t="shared" si="22"/>
        <v/>
      </c>
      <c r="AG56" s="71"/>
      <c r="AH56" s="10" t="str">
        <f t="shared" si="42"/>
        <v/>
      </c>
      <c r="AI56" s="10" t="str">
        <f t="shared" si="23"/>
        <v/>
      </c>
      <c r="AJ56" s="71"/>
      <c r="AK56" s="10" t="str">
        <f t="shared" si="43"/>
        <v/>
      </c>
      <c r="AL56" s="10" t="str">
        <f t="shared" si="24"/>
        <v/>
      </c>
      <c r="AM56" s="71"/>
      <c r="AN56" s="10" t="str">
        <f t="shared" si="44"/>
        <v/>
      </c>
      <c r="AO56" s="10" t="str">
        <f t="shared" si="25"/>
        <v/>
      </c>
      <c r="AP56" s="71"/>
      <c r="AQ56" s="10" t="str">
        <f t="shared" si="45"/>
        <v/>
      </c>
      <c r="AR56" s="10" t="str">
        <f t="shared" si="26"/>
        <v/>
      </c>
      <c r="AS56" s="71"/>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U56" s="71"/>
      <c r="AV56" s="10" t="str">
        <f t="shared" si="46"/>
        <v/>
      </c>
      <c r="AW56" s="10" t="str">
        <f t="shared" si="27"/>
        <v/>
      </c>
      <c r="AX56" s="71"/>
      <c r="AY56" s="7" t="str">
        <f>IF(ISERROR(IF($K56&lt;=$F$15,VLOOKUP($I56,'表4）CO2価格'!$A$7:$E$67,VLOOKUP($F$48,'表4）CO2価格'!$H$10:$I$12,2,0),0)*$F$8/1000,"")),0,IF($K56&lt;=$F$15,VLOOKUP($I56,'表4）CO2価格'!$A$7:$E$67,VLOOKUP($F$48,'表4）CO2価格'!$H$10:$I$12,2,0),0)*$F$8/1000,""))</f>
        <v/>
      </c>
      <c r="AZ56" s="71"/>
      <c r="BA56" s="11" t="str">
        <f t="shared" si="47"/>
        <v/>
      </c>
      <c r="BB56" s="10" t="str">
        <f t="shared" si="28"/>
        <v/>
      </c>
      <c r="BC56" s="71"/>
      <c r="BD56" s="10" t="str">
        <f t="shared" si="48"/>
        <v/>
      </c>
      <c r="BE56" s="10" t="str">
        <f t="shared" si="29"/>
        <v/>
      </c>
      <c r="BF56" s="71"/>
      <c r="BG56" s="11" t="str">
        <f t="shared" si="49"/>
        <v/>
      </c>
      <c r="BH56" s="10" t="str">
        <f t="shared" si="30"/>
        <v/>
      </c>
      <c r="BJ56" s="7" t="str">
        <f t="shared" si="31"/>
        <v/>
      </c>
      <c r="BK56" s="158" t="str">
        <f t="shared" si="32"/>
        <v/>
      </c>
      <c r="BL56" s="158" t="str">
        <f t="shared" si="14"/>
        <v/>
      </c>
      <c r="BM56" s="10"/>
      <c r="BN56" s="10" t="str">
        <f t="shared" si="33"/>
        <v/>
      </c>
      <c r="BO56" s="10" t="str">
        <f t="shared" si="34"/>
        <v/>
      </c>
      <c r="BQ56" s="10" t="str">
        <f t="shared" si="50"/>
        <v/>
      </c>
      <c r="BR56" s="10" t="str">
        <f t="shared" si="35"/>
        <v/>
      </c>
    </row>
    <row r="57" spans="3:70" x14ac:dyDescent="0.15">
      <c r="I57" s="458">
        <f t="shared" si="36"/>
        <v>2062</v>
      </c>
      <c r="J57" s="39"/>
      <c r="K57" s="39">
        <f t="shared" si="37"/>
        <v>43</v>
      </c>
      <c r="L57" s="39"/>
      <c r="M57" s="40">
        <f t="shared" si="0"/>
        <v>0.28054293595180391</v>
      </c>
      <c r="N57" s="39"/>
      <c r="O57" s="72" t="str">
        <f t="shared" si="16"/>
        <v/>
      </c>
      <c r="P57" s="41" t="str">
        <f t="shared" si="38"/>
        <v/>
      </c>
      <c r="Q57" s="39"/>
      <c r="R57" s="72" t="str">
        <f t="shared" si="51"/>
        <v/>
      </c>
      <c r="S57" s="39"/>
      <c r="T57" s="72" t="str">
        <f t="shared" si="18"/>
        <v/>
      </c>
      <c r="U57" s="39"/>
      <c r="V57" s="72" t="str">
        <f t="shared" si="39"/>
        <v/>
      </c>
      <c r="W57" s="72" t="str">
        <f t="shared" si="19"/>
        <v/>
      </c>
      <c r="X57" s="39"/>
      <c r="Y57" s="72" t="str">
        <f t="shared" si="40"/>
        <v/>
      </c>
      <c r="Z57" s="72" t="str">
        <f t="shared" si="20"/>
        <v/>
      </c>
      <c r="AA57" s="39"/>
      <c r="AB57" s="72" t="str">
        <f t="shared" si="4"/>
        <v/>
      </c>
      <c r="AC57" s="72" t="str">
        <f t="shared" si="21"/>
        <v/>
      </c>
      <c r="AD57" s="39"/>
      <c r="AE57" s="72" t="str">
        <f t="shared" si="41"/>
        <v/>
      </c>
      <c r="AF57" s="72" t="str">
        <f t="shared" si="22"/>
        <v/>
      </c>
      <c r="AG57" s="39"/>
      <c r="AH57" s="72" t="str">
        <f t="shared" si="42"/>
        <v/>
      </c>
      <c r="AI57" s="72" t="str">
        <f t="shared" si="23"/>
        <v/>
      </c>
      <c r="AJ57" s="39"/>
      <c r="AK57" s="72" t="str">
        <f t="shared" si="43"/>
        <v/>
      </c>
      <c r="AL57" s="72" t="str">
        <f t="shared" si="24"/>
        <v/>
      </c>
      <c r="AM57" s="39"/>
      <c r="AN57" s="72" t="str">
        <f t="shared" si="44"/>
        <v/>
      </c>
      <c r="AO57" s="72" t="str">
        <f t="shared" si="25"/>
        <v/>
      </c>
      <c r="AP57" s="39"/>
      <c r="AQ57" s="72" t="str">
        <f t="shared" si="45"/>
        <v/>
      </c>
      <c r="AR57" s="72" t="str">
        <f t="shared" si="26"/>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46"/>
        <v/>
      </c>
      <c r="AW57" s="72" t="str">
        <f t="shared" si="27"/>
        <v/>
      </c>
      <c r="AX57" s="39"/>
      <c r="AY57" s="40" t="str">
        <f>IF(ISERROR(IF($K57&lt;=$F$15,VLOOKUP($I57,'表4）CO2価格'!$A$7:$E$67,VLOOKUP($F$48,'表4）CO2価格'!$H$10:$I$12,2,0),0)*$F$8/1000,"")),0,IF($K57&lt;=$F$15,VLOOKUP($I57,'表4）CO2価格'!$A$7:$E$67,VLOOKUP($F$48,'表4）CO2価格'!$H$10:$I$12,2,0),0)*$F$8/1000,""))</f>
        <v/>
      </c>
      <c r="AZ57" s="39"/>
      <c r="BA57" s="42" t="str">
        <f t="shared" si="47"/>
        <v/>
      </c>
      <c r="BB57" s="72" t="str">
        <f t="shared" si="28"/>
        <v/>
      </c>
      <c r="BC57" s="39"/>
      <c r="BD57" s="72" t="str">
        <f t="shared" si="48"/>
        <v/>
      </c>
      <c r="BE57" s="72" t="str">
        <f t="shared" si="29"/>
        <v/>
      </c>
      <c r="BF57" s="39"/>
      <c r="BG57" s="42" t="str">
        <f t="shared" si="49"/>
        <v/>
      </c>
      <c r="BH57" s="72" t="str">
        <f t="shared" si="30"/>
        <v/>
      </c>
      <c r="BI57" s="39"/>
      <c r="BJ57" s="40" t="str">
        <f t="shared" si="31"/>
        <v/>
      </c>
      <c r="BK57" s="157" t="str">
        <f t="shared" si="32"/>
        <v/>
      </c>
      <c r="BL57" s="157" t="str">
        <f t="shared" si="14"/>
        <v/>
      </c>
      <c r="BM57" s="72"/>
      <c r="BN57" s="72" t="str">
        <f t="shared" si="33"/>
        <v/>
      </c>
      <c r="BO57" s="72" t="str">
        <f t="shared" si="34"/>
        <v/>
      </c>
      <c r="BP57" s="39"/>
      <c r="BQ57" s="72" t="str">
        <f t="shared" si="50"/>
        <v/>
      </c>
      <c r="BR57" s="72" t="str">
        <f t="shared" si="35"/>
        <v/>
      </c>
    </row>
    <row r="58" spans="3:70" x14ac:dyDescent="0.15">
      <c r="C58" s="89" t="s">
        <v>512</v>
      </c>
      <c r="D58" s="101"/>
      <c r="E58" s="101"/>
      <c r="F58" s="89"/>
      <c r="G58" s="101"/>
      <c r="I58" s="459">
        <f t="shared" si="36"/>
        <v>2063</v>
      </c>
      <c r="J58" s="71"/>
      <c r="K58" s="71">
        <f t="shared" si="37"/>
        <v>44</v>
      </c>
      <c r="L58" s="71"/>
      <c r="M58" s="7">
        <f t="shared" si="0"/>
        <v>0.27237178247747956</v>
      </c>
      <c r="N58" s="71"/>
      <c r="O58" s="10" t="str">
        <f t="shared" si="16"/>
        <v/>
      </c>
      <c r="P58" s="29" t="str">
        <f t="shared" si="38"/>
        <v/>
      </c>
      <c r="Q58" s="71"/>
      <c r="R58" s="10" t="str">
        <f t="shared" si="51"/>
        <v/>
      </c>
      <c r="S58" s="71"/>
      <c r="T58" s="10" t="str">
        <f t="shared" si="18"/>
        <v/>
      </c>
      <c r="U58" s="71"/>
      <c r="V58" s="10" t="str">
        <f t="shared" si="39"/>
        <v/>
      </c>
      <c r="W58" s="10" t="str">
        <f t="shared" si="19"/>
        <v/>
      </c>
      <c r="X58" s="71"/>
      <c r="Y58" s="10" t="str">
        <f t="shared" si="40"/>
        <v/>
      </c>
      <c r="Z58" s="10" t="str">
        <f t="shared" si="20"/>
        <v/>
      </c>
      <c r="AA58" s="71"/>
      <c r="AB58" s="10" t="str">
        <f t="shared" si="4"/>
        <v/>
      </c>
      <c r="AC58" s="10" t="str">
        <f t="shared" si="21"/>
        <v/>
      </c>
      <c r="AD58" s="71"/>
      <c r="AE58" s="10" t="str">
        <f t="shared" si="41"/>
        <v/>
      </c>
      <c r="AF58" s="10" t="str">
        <f t="shared" si="22"/>
        <v/>
      </c>
      <c r="AG58" s="71"/>
      <c r="AH58" s="10" t="str">
        <f t="shared" si="42"/>
        <v/>
      </c>
      <c r="AI58" s="10" t="str">
        <f t="shared" si="23"/>
        <v/>
      </c>
      <c r="AJ58" s="71"/>
      <c r="AK58" s="10" t="str">
        <f t="shared" si="43"/>
        <v/>
      </c>
      <c r="AL58" s="10" t="str">
        <f t="shared" si="24"/>
        <v/>
      </c>
      <c r="AM58" s="71"/>
      <c r="AN58" s="10" t="str">
        <f t="shared" si="44"/>
        <v/>
      </c>
      <c r="AO58" s="10" t="str">
        <f t="shared" si="25"/>
        <v/>
      </c>
      <c r="AP58" s="71"/>
      <c r="AQ58" s="10" t="str">
        <f t="shared" si="45"/>
        <v/>
      </c>
      <c r="AR58" s="10" t="str">
        <f t="shared" si="26"/>
        <v/>
      </c>
      <c r="AS58" s="71"/>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U58" s="71"/>
      <c r="AV58" s="10" t="str">
        <f t="shared" si="46"/>
        <v/>
      </c>
      <c r="AW58" s="10" t="str">
        <f t="shared" si="27"/>
        <v/>
      </c>
      <c r="AX58" s="71"/>
      <c r="AY58" s="7" t="str">
        <f>IF(ISERROR(IF($K58&lt;=$F$15,VLOOKUP($I58,'表4）CO2価格'!$A$7:$E$67,VLOOKUP($F$48,'表4）CO2価格'!$H$10:$I$12,2,0),0)*$F$8/1000,"")),0,IF($K58&lt;=$F$15,VLOOKUP($I58,'表4）CO2価格'!$A$7:$E$67,VLOOKUP($F$48,'表4）CO2価格'!$H$10:$I$12,2,0),0)*$F$8/1000,""))</f>
        <v/>
      </c>
      <c r="AZ58" s="71"/>
      <c r="BA58" s="11" t="str">
        <f t="shared" si="47"/>
        <v/>
      </c>
      <c r="BB58" s="10" t="str">
        <f t="shared" si="28"/>
        <v/>
      </c>
      <c r="BC58" s="71"/>
      <c r="BD58" s="10" t="str">
        <f t="shared" si="48"/>
        <v/>
      </c>
      <c r="BE58" s="10" t="str">
        <f t="shared" si="29"/>
        <v/>
      </c>
      <c r="BF58" s="71"/>
      <c r="BG58" s="11" t="str">
        <f t="shared" si="49"/>
        <v/>
      </c>
      <c r="BH58" s="10" t="str">
        <f t="shared" si="30"/>
        <v/>
      </c>
      <c r="BJ58" s="7" t="str">
        <f t="shared" si="31"/>
        <v/>
      </c>
      <c r="BK58" s="158" t="str">
        <f t="shared" si="32"/>
        <v/>
      </c>
      <c r="BL58" s="158" t="str">
        <f t="shared" si="14"/>
        <v/>
      </c>
      <c r="BM58" s="10"/>
      <c r="BN58" s="10" t="str">
        <f t="shared" si="33"/>
        <v/>
      </c>
      <c r="BO58" s="10" t="str">
        <f t="shared" si="34"/>
        <v/>
      </c>
      <c r="BQ58" s="10" t="str">
        <f t="shared" si="50"/>
        <v/>
      </c>
      <c r="BR58" s="10" t="str">
        <f t="shared" si="35"/>
        <v/>
      </c>
    </row>
    <row r="59" spans="3:70" x14ac:dyDescent="0.15">
      <c r="I59" s="458">
        <f t="shared" si="36"/>
        <v>2064</v>
      </c>
      <c r="J59" s="39"/>
      <c r="K59" s="39">
        <f t="shared" si="37"/>
        <v>45</v>
      </c>
      <c r="L59" s="39"/>
      <c r="M59" s="40">
        <f t="shared" si="0"/>
        <v>0.26443862376454325</v>
      </c>
      <c r="N59" s="39"/>
      <c r="O59" s="72" t="str">
        <f t="shared" si="16"/>
        <v/>
      </c>
      <c r="P59" s="41" t="str">
        <f t="shared" si="38"/>
        <v/>
      </c>
      <c r="Q59" s="39"/>
      <c r="R59" s="72" t="str">
        <f t="shared" si="51"/>
        <v/>
      </c>
      <c r="S59" s="39"/>
      <c r="T59" s="72" t="str">
        <f t="shared" si="18"/>
        <v/>
      </c>
      <c r="U59" s="39"/>
      <c r="V59" s="72" t="str">
        <f t="shared" si="39"/>
        <v/>
      </c>
      <c r="W59" s="72" t="str">
        <f t="shared" si="19"/>
        <v/>
      </c>
      <c r="X59" s="39"/>
      <c r="Y59" s="72" t="str">
        <f t="shared" si="40"/>
        <v/>
      </c>
      <c r="Z59" s="72" t="str">
        <f t="shared" si="20"/>
        <v/>
      </c>
      <c r="AA59" s="39"/>
      <c r="AB59" s="72" t="str">
        <f t="shared" si="4"/>
        <v/>
      </c>
      <c r="AC59" s="72" t="str">
        <f t="shared" si="21"/>
        <v/>
      </c>
      <c r="AD59" s="39"/>
      <c r="AE59" s="72" t="str">
        <f t="shared" si="41"/>
        <v/>
      </c>
      <c r="AF59" s="72" t="str">
        <f t="shared" si="22"/>
        <v/>
      </c>
      <c r="AG59" s="39"/>
      <c r="AH59" s="72" t="str">
        <f t="shared" si="42"/>
        <v/>
      </c>
      <c r="AI59" s="72" t="str">
        <f t="shared" si="23"/>
        <v/>
      </c>
      <c r="AJ59" s="39"/>
      <c r="AK59" s="72" t="str">
        <f t="shared" si="43"/>
        <v/>
      </c>
      <c r="AL59" s="72" t="str">
        <f t="shared" si="24"/>
        <v/>
      </c>
      <c r="AM59" s="39"/>
      <c r="AN59" s="72" t="str">
        <f t="shared" si="44"/>
        <v/>
      </c>
      <c r="AO59" s="72" t="str">
        <f t="shared" si="25"/>
        <v/>
      </c>
      <c r="AP59" s="39"/>
      <c r="AQ59" s="72" t="str">
        <f t="shared" si="45"/>
        <v/>
      </c>
      <c r="AR59" s="72" t="str">
        <f t="shared" si="26"/>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46"/>
        <v/>
      </c>
      <c r="AW59" s="72" t="str">
        <f t="shared" si="27"/>
        <v/>
      </c>
      <c r="AX59" s="39"/>
      <c r="AY59" s="40" t="str">
        <f>IF(ISERROR(IF($K59&lt;=$F$15,VLOOKUP($I59,'表4）CO2価格'!$A$7:$E$67,VLOOKUP($F$48,'表4）CO2価格'!$H$10:$I$12,2,0),0)*$F$8/1000,"")),0,IF($K59&lt;=$F$15,VLOOKUP($I59,'表4）CO2価格'!$A$7:$E$67,VLOOKUP($F$48,'表4）CO2価格'!$H$10:$I$12,2,0),0)*$F$8/1000,""))</f>
        <v/>
      </c>
      <c r="AZ59" s="39"/>
      <c r="BA59" s="42" t="str">
        <f t="shared" si="47"/>
        <v/>
      </c>
      <c r="BB59" s="72" t="str">
        <f t="shared" si="28"/>
        <v/>
      </c>
      <c r="BC59" s="39"/>
      <c r="BD59" s="72" t="str">
        <f t="shared" si="48"/>
        <v/>
      </c>
      <c r="BE59" s="72" t="str">
        <f t="shared" si="29"/>
        <v/>
      </c>
      <c r="BF59" s="39"/>
      <c r="BG59" s="42" t="str">
        <f t="shared" si="49"/>
        <v/>
      </c>
      <c r="BH59" s="72" t="str">
        <f t="shared" si="30"/>
        <v/>
      </c>
      <c r="BI59" s="39"/>
      <c r="BJ59" s="40" t="str">
        <f t="shared" si="31"/>
        <v/>
      </c>
      <c r="BK59" s="157" t="str">
        <f t="shared" si="32"/>
        <v/>
      </c>
      <c r="BL59" s="157" t="str">
        <f t="shared" si="14"/>
        <v/>
      </c>
      <c r="BM59" s="72"/>
      <c r="BN59" s="72" t="str">
        <f t="shared" si="33"/>
        <v/>
      </c>
      <c r="BO59" s="72" t="str">
        <f t="shared" si="34"/>
        <v/>
      </c>
      <c r="BP59" s="39"/>
      <c r="BQ59" s="72" t="str">
        <f t="shared" si="50"/>
        <v/>
      </c>
      <c r="BR59" s="72" t="str">
        <f t="shared" si="35"/>
        <v/>
      </c>
    </row>
    <row r="60" spans="3:70" x14ac:dyDescent="0.15">
      <c r="D60" s="81" t="s">
        <v>128</v>
      </c>
      <c r="F60" s="59"/>
      <c r="G60" s="81" t="s">
        <v>176</v>
      </c>
      <c r="I60" s="459">
        <f t="shared" si="36"/>
        <v>2065</v>
      </c>
      <c r="J60" s="71"/>
      <c r="K60" s="71">
        <f t="shared" si="37"/>
        <v>46</v>
      </c>
      <c r="L60" s="71"/>
      <c r="M60" s="7">
        <f t="shared" si="0"/>
        <v>0.25673652792674101</v>
      </c>
      <c r="N60" s="71"/>
      <c r="O60" s="10" t="str">
        <f t="shared" si="16"/>
        <v/>
      </c>
      <c r="P60" s="29" t="str">
        <f t="shared" si="38"/>
        <v/>
      </c>
      <c r="Q60" s="71"/>
      <c r="R60" s="10" t="str">
        <f t="shared" si="51"/>
        <v/>
      </c>
      <c r="S60" s="71"/>
      <c r="T60" s="10" t="str">
        <f t="shared" si="18"/>
        <v/>
      </c>
      <c r="U60" s="71"/>
      <c r="V60" s="10" t="str">
        <f t="shared" si="39"/>
        <v/>
      </c>
      <c r="W60" s="10" t="str">
        <f t="shared" si="19"/>
        <v/>
      </c>
      <c r="X60" s="71"/>
      <c r="Y60" s="10" t="str">
        <f t="shared" si="40"/>
        <v/>
      </c>
      <c r="Z60" s="10" t="str">
        <f t="shared" si="20"/>
        <v/>
      </c>
      <c r="AA60" s="71"/>
      <c r="AB60" s="10" t="str">
        <f t="shared" si="4"/>
        <v/>
      </c>
      <c r="AC60" s="10" t="str">
        <f t="shared" si="21"/>
        <v/>
      </c>
      <c r="AD60" s="71"/>
      <c r="AE60" s="10" t="str">
        <f t="shared" si="41"/>
        <v/>
      </c>
      <c r="AF60" s="10" t="str">
        <f t="shared" si="22"/>
        <v/>
      </c>
      <c r="AG60" s="71"/>
      <c r="AH60" s="10" t="str">
        <f t="shared" si="42"/>
        <v/>
      </c>
      <c r="AI60" s="10" t="str">
        <f t="shared" si="23"/>
        <v/>
      </c>
      <c r="AJ60" s="71"/>
      <c r="AK60" s="10" t="str">
        <f t="shared" si="43"/>
        <v/>
      </c>
      <c r="AL60" s="10" t="str">
        <f t="shared" si="24"/>
        <v/>
      </c>
      <c r="AM60" s="71"/>
      <c r="AN60" s="10" t="str">
        <f t="shared" si="44"/>
        <v/>
      </c>
      <c r="AO60" s="10" t="str">
        <f t="shared" si="25"/>
        <v/>
      </c>
      <c r="AP60" s="71"/>
      <c r="AQ60" s="10" t="str">
        <f t="shared" si="45"/>
        <v/>
      </c>
      <c r="AR60" s="10" t="str">
        <f t="shared" si="26"/>
        <v/>
      </c>
      <c r="AS60" s="71"/>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U60" s="71"/>
      <c r="AV60" s="10" t="str">
        <f t="shared" si="46"/>
        <v/>
      </c>
      <c r="AW60" s="10" t="str">
        <f t="shared" si="27"/>
        <v/>
      </c>
      <c r="AX60" s="71"/>
      <c r="AY60" s="7" t="str">
        <f>IF(ISERROR(IF($K60&lt;=$F$15,VLOOKUP($I60,'表4）CO2価格'!$A$7:$E$67,VLOOKUP($F$48,'表4）CO2価格'!$H$10:$I$12,2,0),0)*$F$8/1000,"")),0,IF($K60&lt;=$F$15,VLOOKUP($I60,'表4）CO2価格'!$A$7:$E$67,VLOOKUP($F$48,'表4）CO2価格'!$H$10:$I$12,2,0),0)*$F$8/1000,""))</f>
        <v/>
      </c>
      <c r="AZ60" s="71"/>
      <c r="BA60" s="11" t="str">
        <f t="shared" si="47"/>
        <v/>
      </c>
      <c r="BB60" s="10" t="str">
        <f t="shared" si="28"/>
        <v/>
      </c>
      <c r="BC60" s="71"/>
      <c r="BD60" s="10" t="str">
        <f t="shared" si="48"/>
        <v/>
      </c>
      <c r="BE60" s="10" t="str">
        <f t="shared" si="29"/>
        <v/>
      </c>
      <c r="BF60" s="71"/>
      <c r="BG60" s="11" t="str">
        <f t="shared" si="49"/>
        <v/>
      </c>
      <c r="BH60" s="10" t="str">
        <f t="shared" si="30"/>
        <v/>
      </c>
      <c r="BJ60" s="7" t="str">
        <f t="shared" si="31"/>
        <v/>
      </c>
      <c r="BK60" s="158" t="str">
        <f t="shared" si="32"/>
        <v/>
      </c>
      <c r="BL60" s="158" t="str">
        <f t="shared" si="14"/>
        <v/>
      </c>
      <c r="BM60" s="10"/>
      <c r="BN60" s="10" t="str">
        <f t="shared" si="33"/>
        <v/>
      </c>
      <c r="BO60" s="10" t="str">
        <f t="shared" si="34"/>
        <v/>
      </c>
      <c r="BQ60" s="10" t="str">
        <f t="shared" si="50"/>
        <v/>
      </c>
      <c r="BR60" s="10" t="str">
        <f t="shared" si="35"/>
        <v/>
      </c>
    </row>
    <row r="61" spans="3:70" x14ac:dyDescent="0.15">
      <c r="D61" s="81" t="s">
        <v>190</v>
      </c>
      <c r="F61" s="66"/>
      <c r="G61" s="81" t="s">
        <v>108</v>
      </c>
      <c r="I61" s="458">
        <f t="shared" si="36"/>
        <v>2066</v>
      </c>
      <c r="J61" s="39"/>
      <c r="K61" s="39">
        <f t="shared" si="37"/>
        <v>47</v>
      </c>
      <c r="L61" s="39"/>
      <c r="M61" s="40">
        <f t="shared" si="0"/>
        <v>0.24925876497741845</v>
      </c>
      <c r="N61" s="39"/>
      <c r="O61" s="72" t="str">
        <f t="shared" si="16"/>
        <v/>
      </c>
      <c r="P61" s="41" t="str">
        <f t="shared" si="38"/>
        <v/>
      </c>
      <c r="Q61" s="39"/>
      <c r="R61" s="72" t="str">
        <f t="shared" si="51"/>
        <v/>
      </c>
      <c r="S61" s="39"/>
      <c r="T61" s="72" t="str">
        <f t="shared" si="18"/>
        <v/>
      </c>
      <c r="U61" s="39"/>
      <c r="V61" s="72" t="str">
        <f t="shared" si="39"/>
        <v/>
      </c>
      <c r="W61" s="72" t="str">
        <f t="shared" si="19"/>
        <v/>
      </c>
      <c r="X61" s="39"/>
      <c r="Y61" s="72" t="str">
        <f t="shared" si="40"/>
        <v/>
      </c>
      <c r="Z61" s="72" t="str">
        <f t="shared" si="20"/>
        <v/>
      </c>
      <c r="AA61" s="39"/>
      <c r="AB61" s="72" t="str">
        <f t="shared" si="4"/>
        <v/>
      </c>
      <c r="AC61" s="72" t="str">
        <f t="shared" si="21"/>
        <v/>
      </c>
      <c r="AD61" s="39"/>
      <c r="AE61" s="72" t="str">
        <f t="shared" si="41"/>
        <v/>
      </c>
      <c r="AF61" s="72" t="str">
        <f t="shared" si="22"/>
        <v/>
      </c>
      <c r="AG61" s="39"/>
      <c r="AH61" s="72" t="str">
        <f t="shared" si="42"/>
        <v/>
      </c>
      <c r="AI61" s="72" t="str">
        <f t="shared" si="23"/>
        <v/>
      </c>
      <c r="AJ61" s="39"/>
      <c r="AK61" s="72" t="str">
        <f t="shared" si="43"/>
        <v/>
      </c>
      <c r="AL61" s="72" t="str">
        <f t="shared" si="24"/>
        <v/>
      </c>
      <c r="AM61" s="39"/>
      <c r="AN61" s="72" t="str">
        <f t="shared" si="44"/>
        <v/>
      </c>
      <c r="AO61" s="72" t="str">
        <f t="shared" si="25"/>
        <v/>
      </c>
      <c r="AP61" s="39"/>
      <c r="AQ61" s="72" t="str">
        <f t="shared" si="45"/>
        <v/>
      </c>
      <c r="AR61" s="72" t="str">
        <f t="shared" si="26"/>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46"/>
        <v/>
      </c>
      <c r="AW61" s="72" t="str">
        <f t="shared" si="27"/>
        <v/>
      </c>
      <c r="AX61" s="39"/>
      <c r="AY61" s="40" t="str">
        <f>IF(ISERROR(IF($K61&lt;=$F$15,VLOOKUP($I61,'表4）CO2価格'!$A$7:$E$67,VLOOKUP($F$48,'表4）CO2価格'!$H$10:$I$12,2,0),0)*$F$8/1000,"")),0,IF($K61&lt;=$F$15,VLOOKUP($I61,'表4）CO2価格'!$A$7:$E$67,VLOOKUP($F$48,'表4）CO2価格'!$H$10:$I$12,2,0),0)*$F$8/1000,""))</f>
        <v/>
      </c>
      <c r="AZ61" s="39"/>
      <c r="BA61" s="42" t="str">
        <f t="shared" si="47"/>
        <v/>
      </c>
      <c r="BB61" s="72" t="str">
        <f t="shared" si="28"/>
        <v/>
      </c>
      <c r="BC61" s="39"/>
      <c r="BD61" s="72" t="str">
        <f t="shared" si="48"/>
        <v/>
      </c>
      <c r="BE61" s="72" t="str">
        <f t="shared" si="29"/>
        <v/>
      </c>
      <c r="BF61" s="39"/>
      <c r="BG61" s="42" t="str">
        <f t="shared" si="49"/>
        <v/>
      </c>
      <c r="BH61" s="72" t="str">
        <f t="shared" si="30"/>
        <v/>
      </c>
      <c r="BI61" s="39"/>
      <c r="BJ61" s="40" t="str">
        <f t="shared" si="31"/>
        <v/>
      </c>
      <c r="BK61" s="157" t="str">
        <f t="shared" si="32"/>
        <v/>
      </c>
      <c r="BL61" s="157" t="str">
        <f t="shared" si="14"/>
        <v/>
      </c>
      <c r="BM61" s="72"/>
      <c r="BN61" s="72" t="str">
        <f t="shared" si="33"/>
        <v/>
      </c>
      <c r="BO61" s="72" t="str">
        <f t="shared" si="34"/>
        <v/>
      </c>
      <c r="BP61" s="39"/>
      <c r="BQ61" s="72" t="str">
        <f t="shared" si="50"/>
        <v/>
      </c>
      <c r="BR61" s="72" t="str">
        <f t="shared" si="35"/>
        <v/>
      </c>
    </row>
    <row r="62" spans="3:70" x14ac:dyDescent="0.15">
      <c r="D62" s="81" t="s">
        <v>131</v>
      </c>
      <c r="F62" s="59"/>
      <c r="G62" s="81" t="s">
        <v>191</v>
      </c>
      <c r="I62" s="459">
        <f t="shared" si="36"/>
        <v>2067</v>
      </c>
      <c r="J62" s="71"/>
      <c r="K62" s="71">
        <f t="shared" si="37"/>
        <v>48</v>
      </c>
      <c r="L62" s="71"/>
      <c r="M62" s="7">
        <f t="shared" si="0"/>
        <v>0.24199880094894996</v>
      </c>
      <c r="N62" s="71"/>
      <c r="O62" s="10" t="str">
        <f t="shared" si="16"/>
        <v/>
      </c>
      <c r="P62" s="29" t="str">
        <f t="shared" si="38"/>
        <v/>
      </c>
      <c r="Q62" s="71"/>
      <c r="R62" s="10" t="str">
        <f t="shared" si="51"/>
        <v/>
      </c>
      <c r="S62" s="71"/>
      <c r="T62" s="10" t="str">
        <f t="shared" si="18"/>
        <v/>
      </c>
      <c r="U62" s="71"/>
      <c r="V62" s="10" t="str">
        <f t="shared" si="39"/>
        <v/>
      </c>
      <c r="W62" s="10" t="str">
        <f t="shared" si="19"/>
        <v/>
      </c>
      <c r="X62" s="71"/>
      <c r="Y62" s="10" t="str">
        <f t="shared" si="40"/>
        <v/>
      </c>
      <c r="Z62" s="10" t="str">
        <f t="shared" si="20"/>
        <v/>
      </c>
      <c r="AA62" s="71"/>
      <c r="AB62" s="10" t="str">
        <f t="shared" si="4"/>
        <v/>
      </c>
      <c r="AC62" s="10" t="str">
        <f t="shared" si="21"/>
        <v/>
      </c>
      <c r="AD62" s="71"/>
      <c r="AE62" s="10" t="str">
        <f t="shared" si="41"/>
        <v/>
      </c>
      <c r="AF62" s="10" t="str">
        <f t="shared" si="22"/>
        <v/>
      </c>
      <c r="AG62" s="71"/>
      <c r="AH62" s="10" t="str">
        <f t="shared" si="42"/>
        <v/>
      </c>
      <c r="AI62" s="10" t="str">
        <f t="shared" si="23"/>
        <v/>
      </c>
      <c r="AJ62" s="71"/>
      <c r="AK62" s="10" t="str">
        <f t="shared" si="43"/>
        <v/>
      </c>
      <c r="AL62" s="10" t="str">
        <f t="shared" si="24"/>
        <v/>
      </c>
      <c r="AM62" s="71"/>
      <c r="AN62" s="10" t="str">
        <f t="shared" si="44"/>
        <v/>
      </c>
      <c r="AO62" s="10" t="str">
        <f t="shared" si="25"/>
        <v/>
      </c>
      <c r="AP62" s="71"/>
      <c r="AQ62" s="10" t="str">
        <f t="shared" si="45"/>
        <v/>
      </c>
      <c r="AR62" s="10" t="str">
        <f t="shared" si="26"/>
        <v/>
      </c>
      <c r="AS62" s="71"/>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U62" s="71"/>
      <c r="AV62" s="10" t="str">
        <f t="shared" si="46"/>
        <v/>
      </c>
      <c r="AW62" s="10" t="str">
        <f t="shared" si="27"/>
        <v/>
      </c>
      <c r="AX62" s="71"/>
      <c r="AY62" s="7" t="str">
        <f>IF(ISERROR(IF($K62&lt;=$F$15,VLOOKUP($I62,'表4）CO2価格'!$A$7:$E$67,VLOOKUP($F$48,'表4）CO2価格'!$H$10:$I$12,2,0),0)*$F$8/1000,"")),0,IF($K62&lt;=$F$15,VLOOKUP($I62,'表4）CO2価格'!$A$7:$E$67,VLOOKUP($F$48,'表4）CO2価格'!$H$10:$I$12,2,0),0)*$F$8/1000,""))</f>
        <v/>
      </c>
      <c r="AZ62" s="71"/>
      <c r="BA62" s="11" t="str">
        <f t="shared" si="47"/>
        <v/>
      </c>
      <c r="BB62" s="10" t="str">
        <f t="shared" si="28"/>
        <v/>
      </c>
      <c r="BC62" s="71"/>
      <c r="BD62" s="10" t="str">
        <f t="shared" si="48"/>
        <v/>
      </c>
      <c r="BE62" s="10" t="str">
        <f t="shared" si="29"/>
        <v/>
      </c>
      <c r="BF62" s="71"/>
      <c r="BG62" s="11" t="str">
        <f t="shared" si="49"/>
        <v/>
      </c>
      <c r="BH62" s="10" t="str">
        <f t="shared" si="30"/>
        <v/>
      </c>
      <c r="BJ62" s="7" t="str">
        <f t="shared" si="31"/>
        <v/>
      </c>
      <c r="BK62" s="158" t="str">
        <f t="shared" si="32"/>
        <v/>
      </c>
      <c r="BL62" s="158" t="str">
        <f t="shared" si="14"/>
        <v/>
      </c>
      <c r="BM62" s="10"/>
      <c r="BN62" s="10" t="str">
        <f t="shared" si="33"/>
        <v/>
      </c>
      <c r="BO62" s="10" t="str">
        <f t="shared" si="34"/>
        <v/>
      </c>
      <c r="BQ62" s="10" t="str">
        <f t="shared" si="50"/>
        <v/>
      </c>
      <c r="BR62" s="10" t="str">
        <f t="shared" si="35"/>
        <v/>
      </c>
    </row>
    <row r="63" spans="3:70" x14ac:dyDescent="0.15">
      <c r="I63" s="458">
        <f t="shared" si="36"/>
        <v>2068</v>
      </c>
      <c r="J63" s="39"/>
      <c r="K63" s="39">
        <f t="shared" si="37"/>
        <v>49</v>
      </c>
      <c r="L63" s="39"/>
      <c r="M63" s="40">
        <f t="shared" si="0"/>
        <v>0.2349502921834466</v>
      </c>
      <c r="N63" s="39"/>
      <c r="O63" s="72" t="str">
        <f t="shared" si="16"/>
        <v/>
      </c>
      <c r="P63" s="41" t="str">
        <f t="shared" si="38"/>
        <v/>
      </c>
      <c r="Q63" s="39"/>
      <c r="R63" s="72" t="str">
        <f t="shared" si="51"/>
        <v/>
      </c>
      <c r="S63" s="39"/>
      <c r="T63" s="72" t="str">
        <f t="shared" si="18"/>
        <v/>
      </c>
      <c r="U63" s="39"/>
      <c r="V63" s="72" t="str">
        <f t="shared" si="39"/>
        <v/>
      </c>
      <c r="W63" s="72" t="str">
        <f t="shared" si="19"/>
        <v/>
      </c>
      <c r="X63" s="39"/>
      <c r="Y63" s="72" t="str">
        <f t="shared" si="40"/>
        <v/>
      </c>
      <c r="Z63" s="72" t="str">
        <f t="shared" si="20"/>
        <v/>
      </c>
      <c r="AA63" s="39"/>
      <c r="AB63" s="72" t="str">
        <f t="shared" si="4"/>
        <v/>
      </c>
      <c r="AC63" s="72" t="str">
        <f t="shared" si="21"/>
        <v/>
      </c>
      <c r="AD63" s="39"/>
      <c r="AE63" s="72" t="str">
        <f t="shared" si="41"/>
        <v/>
      </c>
      <c r="AF63" s="72" t="str">
        <f t="shared" si="22"/>
        <v/>
      </c>
      <c r="AG63" s="39"/>
      <c r="AH63" s="72" t="str">
        <f t="shared" si="42"/>
        <v/>
      </c>
      <c r="AI63" s="72" t="str">
        <f t="shared" si="23"/>
        <v/>
      </c>
      <c r="AJ63" s="39"/>
      <c r="AK63" s="72" t="str">
        <f t="shared" si="43"/>
        <v/>
      </c>
      <c r="AL63" s="72" t="str">
        <f t="shared" si="24"/>
        <v/>
      </c>
      <c r="AM63" s="39"/>
      <c r="AN63" s="72" t="str">
        <f t="shared" si="44"/>
        <v/>
      </c>
      <c r="AO63" s="72" t="str">
        <f t="shared" si="25"/>
        <v/>
      </c>
      <c r="AP63" s="39"/>
      <c r="AQ63" s="72" t="str">
        <f t="shared" si="45"/>
        <v/>
      </c>
      <c r="AR63" s="72" t="str">
        <f t="shared" si="26"/>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46"/>
        <v/>
      </c>
      <c r="AW63" s="72" t="str">
        <f t="shared" si="27"/>
        <v/>
      </c>
      <c r="AX63" s="39"/>
      <c r="AY63" s="40" t="str">
        <f>IF(ISERROR(IF($K63&lt;=$F$15,VLOOKUP($I63,'表4）CO2価格'!$A$7:$E$67,VLOOKUP($F$48,'表4）CO2価格'!$H$10:$I$12,2,0),0)*$F$8/1000,"")),0,IF($K63&lt;=$F$15,VLOOKUP($I63,'表4）CO2価格'!$A$7:$E$67,VLOOKUP($F$48,'表4）CO2価格'!$H$10:$I$12,2,0),0)*$F$8/1000,""))</f>
        <v/>
      </c>
      <c r="AZ63" s="39"/>
      <c r="BA63" s="42" t="str">
        <f t="shared" si="47"/>
        <v/>
      </c>
      <c r="BB63" s="72" t="str">
        <f t="shared" si="28"/>
        <v/>
      </c>
      <c r="BC63" s="39"/>
      <c r="BD63" s="72" t="str">
        <f t="shared" si="48"/>
        <v/>
      </c>
      <c r="BE63" s="72" t="str">
        <f t="shared" si="29"/>
        <v/>
      </c>
      <c r="BF63" s="39"/>
      <c r="BG63" s="42" t="str">
        <f t="shared" si="49"/>
        <v/>
      </c>
      <c r="BH63" s="72" t="str">
        <f t="shared" si="30"/>
        <v/>
      </c>
      <c r="BI63" s="39"/>
      <c r="BJ63" s="40" t="str">
        <f t="shared" si="31"/>
        <v/>
      </c>
      <c r="BK63" s="157" t="str">
        <f t="shared" si="32"/>
        <v/>
      </c>
      <c r="BL63" s="157" t="str">
        <f t="shared" si="14"/>
        <v/>
      </c>
      <c r="BM63" s="72"/>
      <c r="BN63" s="72" t="str">
        <f t="shared" si="33"/>
        <v/>
      </c>
      <c r="BO63" s="72" t="str">
        <f t="shared" si="34"/>
        <v/>
      </c>
      <c r="BP63" s="39"/>
      <c r="BQ63" s="72" t="str">
        <f t="shared" si="50"/>
        <v/>
      </c>
      <c r="BR63" s="72" t="str">
        <f t="shared" si="35"/>
        <v/>
      </c>
    </row>
    <row r="64" spans="3:70" x14ac:dyDescent="0.15">
      <c r="C64" s="9" t="s">
        <v>513</v>
      </c>
      <c r="F64" s="67">
        <v>8.3978999999999998E-2</v>
      </c>
      <c r="G64" s="81" t="s">
        <v>132</v>
      </c>
      <c r="I64" s="459">
        <f t="shared" si="36"/>
        <v>2069</v>
      </c>
      <c r="J64" s="71"/>
      <c r="K64" s="71">
        <f t="shared" si="37"/>
        <v>50</v>
      </c>
      <c r="L64" s="71"/>
      <c r="M64" s="7">
        <f t="shared" si="0"/>
        <v>0.22810707978975397</v>
      </c>
      <c r="N64" s="71"/>
      <c r="O64" s="10" t="str">
        <f t="shared" si="16"/>
        <v/>
      </c>
      <c r="P64" s="29" t="str">
        <f t="shared" si="38"/>
        <v/>
      </c>
      <c r="Q64" s="71"/>
      <c r="R64" s="10" t="str">
        <f t="shared" si="51"/>
        <v/>
      </c>
      <c r="S64" s="71"/>
      <c r="T64" s="10" t="str">
        <f t="shared" si="18"/>
        <v/>
      </c>
      <c r="U64" s="71"/>
      <c r="V64" s="10" t="str">
        <f t="shared" si="39"/>
        <v/>
      </c>
      <c r="W64" s="10" t="str">
        <f t="shared" si="19"/>
        <v/>
      </c>
      <c r="X64" s="71"/>
      <c r="Y64" s="10" t="str">
        <f t="shared" si="40"/>
        <v/>
      </c>
      <c r="Z64" s="10" t="str">
        <f t="shared" si="20"/>
        <v/>
      </c>
      <c r="AA64" s="71"/>
      <c r="AB64" s="10" t="str">
        <f t="shared" si="4"/>
        <v/>
      </c>
      <c r="AC64" s="10" t="str">
        <f t="shared" si="21"/>
        <v/>
      </c>
      <c r="AD64" s="71"/>
      <c r="AE64" s="10" t="str">
        <f t="shared" si="41"/>
        <v/>
      </c>
      <c r="AF64" s="10" t="str">
        <f t="shared" si="22"/>
        <v/>
      </c>
      <c r="AG64" s="71"/>
      <c r="AH64" s="10" t="str">
        <f t="shared" si="42"/>
        <v/>
      </c>
      <c r="AI64" s="10" t="str">
        <f t="shared" si="23"/>
        <v/>
      </c>
      <c r="AJ64" s="71"/>
      <c r="AK64" s="10" t="str">
        <f t="shared" si="43"/>
        <v/>
      </c>
      <c r="AL64" s="10" t="str">
        <f t="shared" si="24"/>
        <v/>
      </c>
      <c r="AM64" s="71"/>
      <c r="AN64" s="10" t="str">
        <f t="shared" si="44"/>
        <v/>
      </c>
      <c r="AO64" s="10" t="str">
        <f t="shared" si="25"/>
        <v/>
      </c>
      <c r="AP64" s="71"/>
      <c r="AQ64" s="10" t="str">
        <f t="shared" si="45"/>
        <v/>
      </c>
      <c r="AR64" s="10" t="str">
        <f t="shared" si="26"/>
        <v/>
      </c>
      <c r="AS64" s="71"/>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U64" s="71"/>
      <c r="AV64" s="10" t="str">
        <f t="shared" si="46"/>
        <v/>
      </c>
      <c r="AW64" s="10" t="str">
        <f t="shared" si="27"/>
        <v/>
      </c>
      <c r="AX64" s="71"/>
      <c r="AY64" s="7" t="str">
        <f>IF(ISERROR(IF($K64&lt;=$F$15,VLOOKUP($I64,'表4）CO2価格'!$A$7:$E$67,VLOOKUP($F$48,'表4）CO2価格'!$H$10:$I$12,2,0),0)*$F$8/1000,"")),0,IF($K64&lt;=$F$15,VLOOKUP($I64,'表4）CO2価格'!$A$7:$E$67,VLOOKUP($F$48,'表4）CO2価格'!$H$10:$I$12,2,0),0)*$F$8/1000,""))</f>
        <v/>
      </c>
      <c r="AZ64" s="71"/>
      <c r="BA64" s="11" t="str">
        <f t="shared" si="47"/>
        <v/>
      </c>
      <c r="BB64" s="10" t="str">
        <f t="shared" si="28"/>
        <v/>
      </c>
      <c r="BC64" s="71"/>
      <c r="BD64" s="10" t="str">
        <f t="shared" si="48"/>
        <v/>
      </c>
      <c r="BE64" s="10" t="str">
        <f t="shared" si="29"/>
        <v/>
      </c>
      <c r="BF64" s="71"/>
      <c r="BG64" s="11" t="str">
        <f t="shared" si="49"/>
        <v/>
      </c>
      <c r="BH64" s="10" t="str">
        <f t="shared" si="30"/>
        <v/>
      </c>
      <c r="BJ64" s="7" t="str">
        <f t="shared" si="31"/>
        <v/>
      </c>
      <c r="BK64" s="158" t="str">
        <f t="shared" si="32"/>
        <v/>
      </c>
      <c r="BL64" s="158" t="str">
        <f t="shared" si="14"/>
        <v/>
      </c>
      <c r="BM64" s="10"/>
      <c r="BN64" s="10" t="str">
        <f t="shared" si="33"/>
        <v/>
      </c>
      <c r="BO64" s="10" t="str">
        <f t="shared" si="34"/>
        <v/>
      </c>
      <c r="BQ64" s="10" t="str">
        <f t="shared" si="50"/>
        <v/>
      </c>
      <c r="BR64" s="10" t="str">
        <f t="shared" si="35"/>
        <v/>
      </c>
    </row>
    <row r="65" spans="2:70" x14ac:dyDescent="0.15">
      <c r="I65" s="458">
        <f t="shared" si="36"/>
        <v>2070</v>
      </c>
      <c r="J65" s="39"/>
      <c r="K65" s="39">
        <f t="shared" si="37"/>
        <v>51</v>
      </c>
      <c r="L65" s="39"/>
      <c r="M65" s="40">
        <f t="shared" si="0"/>
        <v>0.22146318426189707</v>
      </c>
      <c r="N65" s="39"/>
      <c r="O65" s="72" t="str">
        <f t="shared" si="16"/>
        <v/>
      </c>
      <c r="P65" s="41" t="str">
        <f t="shared" si="38"/>
        <v/>
      </c>
      <c r="Q65" s="39"/>
      <c r="R65" s="72" t="str">
        <f t="shared" si="51"/>
        <v/>
      </c>
      <c r="S65" s="39"/>
      <c r="T65" s="72" t="str">
        <f t="shared" si="18"/>
        <v/>
      </c>
      <c r="U65" s="39"/>
      <c r="V65" s="72" t="str">
        <f t="shared" si="39"/>
        <v/>
      </c>
      <c r="W65" s="72" t="str">
        <f t="shared" si="19"/>
        <v/>
      </c>
      <c r="X65" s="39"/>
      <c r="Y65" s="72" t="str">
        <f t="shared" si="40"/>
        <v/>
      </c>
      <c r="Z65" s="72" t="str">
        <f t="shared" si="20"/>
        <v/>
      </c>
      <c r="AA65" s="39"/>
      <c r="AB65" s="72" t="str">
        <f t="shared" si="4"/>
        <v/>
      </c>
      <c r="AC65" s="72" t="str">
        <f t="shared" si="21"/>
        <v/>
      </c>
      <c r="AD65" s="39"/>
      <c r="AE65" s="72" t="str">
        <f t="shared" si="41"/>
        <v/>
      </c>
      <c r="AF65" s="72" t="str">
        <f t="shared" si="22"/>
        <v/>
      </c>
      <c r="AG65" s="39"/>
      <c r="AH65" s="72" t="str">
        <f t="shared" si="42"/>
        <v/>
      </c>
      <c r="AI65" s="72" t="str">
        <f t="shared" si="23"/>
        <v/>
      </c>
      <c r="AJ65" s="39"/>
      <c r="AK65" s="72" t="str">
        <f t="shared" si="43"/>
        <v/>
      </c>
      <c r="AL65" s="72" t="str">
        <f t="shared" si="24"/>
        <v/>
      </c>
      <c r="AM65" s="39"/>
      <c r="AN65" s="72" t="str">
        <f t="shared" si="44"/>
        <v/>
      </c>
      <c r="AO65" s="72" t="str">
        <f t="shared" si="25"/>
        <v/>
      </c>
      <c r="AP65" s="39"/>
      <c r="AQ65" s="72" t="str">
        <f t="shared" si="45"/>
        <v/>
      </c>
      <c r="AR65" s="72" t="str">
        <f t="shared" si="26"/>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46"/>
        <v/>
      </c>
      <c r="AW65" s="72" t="str">
        <f t="shared" si="27"/>
        <v/>
      </c>
      <c r="AX65" s="39"/>
      <c r="AY65" s="40" t="str">
        <f>IF(ISERROR(IF($K65&lt;=$F$15,VLOOKUP($I65,'表4）CO2価格'!$A$7:$E$67,VLOOKUP($F$48,'表4）CO2価格'!$H$10:$I$12,2,0),0)*$F$8/1000,"")),0,IF($K65&lt;=$F$15,VLOOKUP($I65,'表4）CO2価格'!$A$7:$E$67,VLOOKUP($F$48,'表4）CO2価格'!$H$10:$I$12,2,0),0)*$F$8/1000,""))</f>
        <v/>
      </c>
      <c r="AZ65" s="39"/>
      <c r="BA65" s="42" t="str">
        <f t="shared" si="47"/>
        <v/>
      </c>
      <c r="BB65" s="72" t="str">
        <f t="shared" si="28"/>
        <v/>
      </c>
      <c r="BC65" s="39"/>
      <c r="BD65" s="72" t="str">
        <f t="shared" si="48"/>
        <v/>
      </c>
      <c r="BE65" s="72" t="str">
        <f t="shared" si="29"/>
        <v/>
      </c>
      <c r="BF65" s="39"/>
      <c r="BG65" s="42" t="str">
        <f t="shared" si="49"/>
        <v/>
      </c>
      <c r="BH65" s="72" t="str">
        <f t="shared" si="30"/>
        <v/>
      </c>
      <c r="BI65" s="39"/>
      <c r="BJ65" s="40" t="str">
        <f t="shared" si="31"/>
        <v/>
      </c>
      <c r="BK65" s="157" t="str">
        <f t="shared" si="32"/>
        <v/>
      </c>
      <c r="BL65" s="157" t="str">
        <f t="shared" si="14"/>
        <v/>
      </c>
      <c r="BM65" s="72"/>
      <c r="BN65" s="72" t="str">
        <f t="shared" si="33"/>
        <v/>
      </c>
      <c r="BO65" s="72" t="str">
        <f t="shared" si="34"/>
        <v/>
      </c>
      <c r="BP65" s="39"/>
      <c r="BQ65" s="72" t="str">
        <f t="shared" si="50"/>
        <v/>
      </c>
      <c r="BR65" s="72" t="str">
        <f t="shared" si="35"/>
        <v/>
      </c>
    </row>
    <row r="66" spans="2:70" x14ac:dyDescent="0.15">
      <c r="I66" s="459">
        <f t="shared" si="36"/>
        <v>2071</v>
      </c>
      <c r="J66" s="71"/>
      <c r="K66" s="71">
        <f t="shared" si="37"/>
        <v>52</v>
      </c>
      <c r="L66" s="71"/>
      <c r="M66" s="7">
        <f t="shared" si="0"/>
        <v>0.215012800254269</v>
      </c>
      <c r="N66" s="71"/>
      <c r="O66" s="10" t="str">
        <f t="shared" si="16"/>
        <v/>
      </c>
      <c r="P66" s="29" t="str">
        <f t="shared" si="38"/>
        <v/>
      </c>
      <c r="Q66" s="71"/>
      <c r="R66" s="10" t="str">
        <f t="shared" si="51"/>
        <v/>
      </c>
      <c r="S66" s="71"/>
      <c r="T66" s="10" t="str">
        <f t="shared" si="18"/>
        <v/>
      </c>
      <c r="U66" s="71"/>
      <c r="V66" s="10" t="str">
        <f t="shared" si="39"/>
        <v/>
      </c>
      <c r="W66" s="10" t="str">
        <f t="shared" si="19"/>
        <v/>
      </c>
      <c r="X66" s="71"/>
      <c r="Y66" s="10" t="str">
        <f t="shared" si="40"/>
        <v/>
      </c>
      <c r="Z66" s="10" t="str">
        <f t="shared" si="20"/>
        <v/>
      </c>
      <c r="AA66" s="71"/>
      <c r="AB66" s="10" t="str">
        <f t="shared" si="4"/>
        <v/>
      </c>
      <c r="AC66" s="10" t="str">
        <f t="shared" si="21"/>
        <v/>
      </c>
      <c r="AD66" s="71"/>
      <c r="AE66" s="10" t="str">
        <f t="shared" si="41"/>
        <v/>
      </c>
      <c r="AF66" s="10" t="str">
        <f t="shared" si="22"/>
        <v/>
      </c>
      <c r="AG66" s="71"/>
      <c r="AH66" s="10" t="str">
        <f t="shared" si="42"/>
        <v/>
      </c>
      <c r="AI66" s="10" t="str">
        <f t="shared" si="23"/>
        <v/>
      </c>
      <c r="AJ66" s="71"/>
      <c r="AK66" s="10" t="str">
        <f t="shared" si="43"/>
        <v/>
      </c>
      <c r="AL66" s="10" t="str">
        <f t="shared" si="24"/>
        <v/>
      </c>
      <c r="AM66" s="71"/>
      <c r="AN66" s="10" t="str">
        <f t="shared" si="44"/>
        <v/>
      </c>
      <c r="AO66" s="10" t="str">
        <f t="shared" si="25"/>
        <v/>
      </c>
      <c r="AP66" s="71"/>
      <c r="AQ66" s="10" t="str">
        <f t="shared" si="45"/>
        <v/>
      </c>
      <c r="AR66" s="10" t="str">
        <f t="shared" si="26"/>
        <v/>
      </c>
      <c r="AS66" s="71"/>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U66" s="71"/>
      <c r="AV66" s="10" t="str">
        <f t="shared" si="46"/>
        <v/>
      </c>
      <c r="AW66" s="10" t="str">
        <f t="shared" si="27"/>
        <v/>
      </c>
      <c r="AX66" s="71"/>
      <c r="AY66" s="7" t="str">
        <f>IF(ISERROR(IF($K66&lt;=$F$15,VLOOKUP($I66,'表4）CO2価格'!$A$7:$E$67,VLOOKUP($F$48,'表4）CO2価格'!$H$10:$I$12,2,0),0)*$F$8/1000,"")),0,IF($K66&lt;=$F$15,VLOOKUP($I66,'表4）CO2価格'!$A$7:$E$67,VLOOKUP($F$48,'表4）CO2価格'!$H$10:$I$12,2,0),0)*$F$8/1000,""))</f>
        <v/>
      </c>
      <c r="AZ66" s="71"/>
      <c r="BA66" s="11" t="str">
        <f t="shared" si="47"/>
        <v/>
      </c>
      <c r="BB66" s="10" t="str">
        <f t="shared" si="28"/>
        <v/>
      </c>
      <c r="BC66" s="71"/>
      <c r="BD66" s="10" t="str">
        <f t="shared" si="48"/>
        <v/>
      </c>
      <c r="BE66" s="10" t="str">
        <f t="shared" si="29"/>
        <v/>
      </c>
      <c r="BF66" s="71"/>
      <c r="BG66" s="11" t="str">
        <f t="shared" si="49"/>
        <v/>
      </c>
      <c r="BH66" s="10" t="str">
        <f t="shared" si="30"/>
        <v/>
      </c>
      <c r="BJ66" s="7" t="str">
        <f t="shared" si="31"/>
        <v/>
      </c>
      <c r="BK66" s="158" t="str">
        <f t="shared" si="32"/>
        <v/>
      </c>
      <c r="BL66" s="158" t="str">
        <f t="shared" si="14"/>
        <v/>
      </c>
      <c r="BM66" s="10"/>
      <c r="BN66" s="10" t="str">
        <f t="shared" si="33"/>
        <v/>
      </c>
      <c r="BO66" s="10" t="str">
        <f t="shared" si="34"/>
        <v/>
      </c>
      <c r="BQ66" s="10" t="str">
        <f t="shared" si="50"/>
        <v/>
      </c>
      <c r="BR66" s="10" t="str">
        <f t="shared" si="35"/>
        <v/>
      </c>
    </row>
    <row r="67" spans="2:70" ht="15.75" thickBot="1" x14ac:dyDescent="0.2">
      <c r="B67" s="460" t="s">
        <v>133</v>
      </c>
      <c r="C67" s="86"/>
      <c r="D67" s="104"/>
      <c r="E67" s="104"/>
      <c r="F67" s="86"/>
      <c r="G67" s="104"/>
      <c r="I67" s="458">
        <f t="shared" si="36"/>
        <v>2072</v>
      </c>
      <c r="J67" s="39"/>
      <c r="K67" s="39">
        <f t="shared" si="37"/>
        <v>53</v>
      </c>
      <c r="L67" s="39"/>
      <c r="M67" s="40">
        <f t="shared" si="0"/>
        <v>0.20875029150899907</v>
      </c>
      <c r="N67" s="39"/>
      <c r="O67" s="72" t="str">
        <f t="shared" si="16"/>
        <v/>
      </c>
      <c r="P67" s="41" t="str">
        <f t="shared" si="38"/>
        <v/>
      </c>
      <c r="Q67" s="39"/>
      <c r="R67" s="72" t="str">
        <f t="shared" si="51"/>
        <v/>
      </c>
      <c r="S67" s="39"/>
      <c r="T67" s="72" t="str">
        <f t="shared" si="18"/>
        <v/>
      </c>
      <c r="U67" s="39"/>
      <c r="V67" s="72" t="str">
        <f t="shared" si="39"/>
        <v/>
      </c>
      <c r="W67" s="72" t="str">
        <f t="shared" si="19"/>
        <v/>
      </c>
      <c r="X67" s="39"/>
      <c r="Y67" s="72" t="str">
        <f t="shared" si="40"/>
        <v/>
      </c>
      <c r="Z67" s="72" t="str">
        <f t="shared" si="20"/>
        <v/>
      </c>
      <c r="AA67" s="39"/>
      <c r="AB67" s="72" t="str">
        <f t="shared" si="4"/>
        <v/>
      </c>
      <c r="AC67" s="72" t="str">
        <f t="shared" si="21"/>
        <v/>
      </c>
      <c r="AD67" s="39"/>
      <c r="AE67" s="72" t="str">
        <f t="shared" si="41"/>
        <v/>
      </c>
      <c r="AF67" s="72" t="str">
        <f t="shared" si="22"/>
        <v/>
      </c>
      <c r="AG67" s="39"/>
      <c r="AH67" s="72" t="str">
        <f t="shared" si="42"/>
        <v/>
      </c>
      <c r="AI67" s="72" t="str">
        <f t="shared" si="23"/>
        <v/>
      </c>
      <c r="AJ67" s="39"/>
      <c r="AK67" s="72" t="str">
        <f t="shared" si="43"/>
        <v/>
      </c>
      <c r="AL67" s="72" t="str">
        <f t="shared" si="24"/>
        <v/>
      </c>
      <c r="AM67" s="39"/>
      <c r="AN67" s="72" t="str">
        <f t="shared" si="44"/>
        <v/>
      </c>
      <c r="AO67" s="72" t="str">
        <f t="shared" si="25"/>
        <v/>
      </c>
      <c r="AP67" s="39"/>
      <c r="AQ67" s="72" t="str">
        <f t="shared" si="45"/>
        <v/>
      </c>
      <c r="AR67" s="72" t="str">
        <f t="shared" si="26"/>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46"/>
        <v/>
      </c>
      <c r="AW67" s="72" t="str">
        <f t="shared" si="27"/>
        <v/>
      </c>
      <c r="AX67" s="39"/>
      <c r="AY67" s="40" t="str">
        <f>IF(ISERROR(IF($K67&lt;=$F$15,VLOOKUP($I67,'表4）CO2価格'!$A$7:$E$67,VLOOKUP($F$48,'表4）CO2価格'!$H$10:$I$12,2,0),0)*$F$8/1000,"")),0,IF($K67&lt;=$F$15,VLOOKUP($I67,'表4）CO2価格'!$A$7:$E$67,VLOOKUP($F$48,'表4）CO2価格'!$H$10:$I$12,2,0),0)*$F$8/1000,""))</f>
        <v/>
      </c>
      <c r="AZ67" s="39"/>
      <c r="BA67" s="42" t="str">
        <f t="shared" si="47"/>
        <v/>
      </c>
      <c r="BB67" s="72" t="str">
        <f t="shared" si="28"/>
        <v/>
      </c>
      <c r="BC67" s="39"/>
      <c r="BD67" s="72" t="str">
        <f t="shared" si="48"/>
        <v/>
      </c>
      <c r="BE67" s="72" t="str">
        <f t="shared" si="29"/>
        <v/>
      </c>
      <c r="BF67" s="39"/>
      <c r="BG67" s="42" t="str">
        <f t="shared" si="49"/>
        <v/>
      </c>
      <c r="BH67" s="72" t="str">
        <f t="shared" si="30"/>
        <v/>
      </c>
      <c r="BI67" s="39"/>
      <c r="BJ67" s="40" t="str">
        <f t="shared" si="31"/>
        <v/>
      </c>
      <c r="BK67" s="157" t="str">
        <f t="shared" si="32"/>
        <v/>
      </c>
      <c r="BL67" s="157" t="str">
        <f t="shared" si="14"/>
        <v/>
      </c>
      <c r="BM67" s="72"/>
      <c r="BN67" s="72" t="str">
        <f t="shared" si="33"/>
        <v/>
      </c>
      <c r="BO67" s="72" t="str">
        <f t="shared" si="34"/>
        <v/>
      </c>
      <c r="BP67" s="39"/>
      <c r="BQ67" s="72" t="str">
        <f t="shared" si="50"/>
        <v/>
      </c>
      <c r="BR67" s="72" t="str">
        <f t="shared" si="35"/>
        <v/>
      </c>
    </row>
    <row r="68" spans="2:70" x14ac:dyDescent="0.15">
      <c r="I68" s="459">
        <f t="shared" si="36"/>
        <v>2073</v>
      </c>
      <c r="J68" s="71"/>
      <c r="K68" s="71">
        <f t="shared" si="37"/>
        <v>54</v>
      </c>
      <c r="L68" s="71"/>
      <c r="M68" s="7">
        <f t="shared" si="0"/>
        <v>0.20267018593106703</v>
      </c>
      <c r="N68" s="71"/>
      <c r="O68" s="10" t="str">
        <f t="shared" si="16"/>
        <v/>
      </c>
      <c r="P68" s="29" t="str">
        <f t="shared" si="38"/>
        <v/>
      </c>
      <c r="Q68" s="71"/>
      <c r="R68" s="10" t="str">
        <f t="shared" si="51"/>
        <v/>
      </c>
      <c r="S68" s="71"/>
      <c r="T68" s="10" t="str">
        <f t="shared" si="18"/>
        <v/>
      </c>
      <c r="U68" s="71"/>
      <c r="V68" s="10" t="str">
        <f t="shared" si="39"/>
        <v/>
      </c>
      <c r="W68" s="10" t="str">
        <f t="shared" si="19"/>
        <v/>
      </c>
      <c r="X68" s="71"/>
      <c r="Y68" s="10" t="str">
        <f t="shared" si="40"/>
        <v/>
      </c>
      <c r="Z68" s="10" t="str">
        <f t="shared" si="20"/>
        <v/>
      </c>
      <c r="AA68" s="71"/>
      <c r="AB68" s="10" t="str">
        <f t="shared" si="4"/>
        <v/>
      </c>
      <c r="AC68" s="10" t="str">
        <f t="shared" si="21"/>
        <v/>
      </c>
      <c r="AD68" s="71"/>
      <c r="AE68" s="10" t="str">
        <f t="shared" si="41"/>
        <v/>
      </c>
      <c r="AF68" s="10" t="str">
        <f t="shared" si="22"/>
        <v/>
      </c>
      <c r="AG68" s="71"/>
      <c r="AH68" s="10" t="str">
        <f t="shared" si="42"/>
        <v/>
      </c>
      <c r="AI68" s="10" t="str">
        <f t="shared" si="23"/>
        <v/>
      </c>
      <c r="AJ68" s="71"/>
      <c r="AK68" s="10" t="str">
        <f t="shared" si="43"/>
        <v/>
      </c>
      <c r="AL68" s="10" t="str">
        <f t="shared" si="24"/>
        <v/>
      </c>
      <c r="AM68" s="71"/>
      <c r="AN68" s="10" t="str">
        <f t="shared" si="44"/>
        <v/>
      </c>
      <c r="AO68" s="10" t="str">
        <f t="shared" si="25"/>
        <v/>
      </c>
      <c r="AP68" s="71"/>
      <c r="AQ68" s="10" t="str">
        <f t="shared" si="45"/>
        <v/>
      </c>
      <c r="AR68" s="10" t="str">
        <f t="shared" si="26"/>
        <v/>
      </c>
      <c r="AS68" s="71"/>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U68" s="71"/>
      <c r="AV68" s="10" t="str">
        <f t="shared" si="46"/>
        <v/>
      </c>
      <c r="AW68" s="10" t="str">
        <f t="shared" si="27"/>
        <v/>
      </c>
      <c r="AX68" s="71"/>
      <c r="AY68" s="7" t="str">
        <f>IF(ISERROR(IF($K68&lt;=$F$15,VLOOKUP($I68,'表4）CO2価格'!$A$7:$E$67,VLOOKUP($F$48,'表4）CO2価格'!$H$10:$I$12,2,0),0)*$F$8/1000,"")),0,IF($K68&lt;=$F$15,VLOOKUP($I68,'表4）CO2価格'!$A$7:$E$67,VLOOKUP($F$48,'表4）CO2価格'!$H$10:$I$12,2,0),0)*$F$8/1000,""))</f>
        <v/>
      </c>
      <c r="AZ68" s="71"/>
      <c r="BA68" s="11" t="str">
        <f t="shared" si="47"/>
        <v/>
      </c>
      <c r="BB68" s="10" t="str">
        <f t="shared" si="28"/>
        <v/>
      </c>
      <c r="BC68" s="71"/>
      <c r="BD68" s="10" t="str">
        <f t="shared" si="48"/>
        <v/>
      </c>
      <c r="BE68" s="10" t="str">
        <f t="shared" si="29"/>
        <v/>
      </c>
      <c r="BF68" s="71"/>
      <c r="BG68" s="11" t="str">
        <f t="shared" si="49"/>
        <v/>
      </c>
      <c r="BH68" s="10" t="str">
        <f t="shared" si="30"/>
        <v/>
      </c>
      <c r="BJ68" s="7" t="str">
        <f t="shared" si="31"/>
        <v/>
      </c>
      <c r="BK68" s="158" t="str">
        <f t="shared" si="32"/>
        <v/>
      </c>
      <c r="BL68" s="158" t="str">
        <f t="shared" si="14"/>
        <v/>
      </c>
      <c r="BM68" s="10"/>
      <c r="BN68" s="10" t="str">
        <f t="shared" si="33"/>
        <v/>
      </c>
      <c r="BO68" s="10" t="str">
        <f t="shared" si="34"/>
        <v/>
      </c>
      <c r="BQ68" s="10" t="str">
        <f t="shared" si="50"/>
        <v/>
      </c>
      <c r="BR68" s="10" t="str">
        <f t="shared" si="35"/>
        <v/>
      </c>
    </row>
    <row r="69" spans="2:70" x14ac:dyDescent="0.15">
      <c r="C69" s="461" t="s">
        <v>134</v>
      </c>
      <c r="D69" s="9"/>
      <c r="E69" s="9"/>
      <c r="F69" s="94">
        <f>SUBTOTAL(9,F74:F112)-F105</f>
        <v>11.987997465491855</v>
      </c>
      <c r="G69" s="9" t="s">
        <v>132</v>
      </c>
      <c r="I69" s="458">
        <f t="shared" si="36"/>
        <v>2074</v>
      </c>
      <c r="J69" s="39"/>
      <c r="K69" s="39">
        <f t="shared" si="37"/>
        <v>55</v>
      </c>
      <c r="L69" s="39"/>
      <c r="M69" s="40">
        <f t="shared" si="0"/>
        <v>0.19676717080686118</v>
      </c>
      <c r="N69" s="39"/>
      <c r="O69" s="72" t="str">
        <f t="shared" si="16"/>
        <v/>
      </c>
      <c r="P69" s="41" t="str">
        <f t="shared" si="38"/>
        <v/>
      </c>
      <c r="Q69" s="39"/>
      <c r="R69" s="72" t="str">
        <f t="shared" si="51"/>
        <v/>
      </c>
      <c r="S69" s="39"/>
      <c r="T69" s="72" t="str">
        <f t="shared" si="18"/>
        <v/>
      </c>
      <c r="U69" s="39"/>
      <c r="V69" s="72" t="str">
        <f t="shared" si="39"/>
        <v/>
      </c>
      <c r="W69" s="72" t="str">
        <f t="shared" si="19"/>
        <v/>
      </c>
      <c r="X69" s="39"/>
      <c r="Y69" s="72" t="str">
        <f t="shared" si="40"/>
        <v/>
      </c>
      <c r="Z69" s="72" t="str">
        <f t="shared" si="20"/>
        <v/>
      </c>
      <c r="AA69" s="39"/>
      <c r="AB69" s="72" t="str">
        <f t="shared" si="4"/>
        <v/>
      </c>
      <c r="AC69" s="72" t="str">
        <f t="shared" si="21"/>
        <v/>
      </c>
      <c r="AD69" s="39"/>
      <c r="AE69" s="72" t="str">
        <f t="shared" si="41"/>
        <v/>
      </c>
      <c r="AF69" s="72" t="str">
        <f t="shared" si="22"/>
        <v/>
      </c>
      <c r="AG69" s="39"/>
      <c r="AH69" s="72" t="str">
        <f t="shared" si="42"/>
        <v/>
      </c>
      <c r="AI69" s="72" t="str">
        <f t="shared" si="23"/>
        <v/>
      </c>
      <c r="AJ69" s="39"/>
      <c r="AK69" s="72" t="str">
        <f t="shared" si="43"/>
        <v/>
      </c>
      <c r="AL69" s="72" t="str">
        <f t="shared" si="24"/>
        <v/>
      </c>
      <c r="AM69" s="39"/>
      <c r="AN69" s="72" t="str">
        <f t="shared" si="44"/>
        <v/>
      </c>
      <c r="AO69" s="72" t="str">
        <f t="shared" si="25"/>
        <v/>
      </c>
      <c r="AP69" s="39"/>
      <c r="AQ69" s="72" t="str">
        <f t="shared" si="45"/>
        <v/>
      </c>
      <c r="AR69" s="72" t="str">
        <f t="shared" si="26"/>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46"/>
        <v/>
      </c>
      <c r="AW69" s="72" t="str">
        <f t="shared" si="27"/>
        <v/>
      </c>
      <c r="AX69" s="39"/>
      <c r="AY69" s="40" t="str">
        <f>IF(ISERROR(IF($K69&lt;=$F$15,VLOOKUP($I69,'表4）CO2価格'!$A$7:$E$67,VLOOKUP($F$48,'表4）CO2価格'!$H$10:$I$12,2,0),0)*$F$8/1000,"")),0,IF($K69&lt;=$F$15,VLOOKUP($I69,'表4）CO2価格'!$A$7:$E$67,VLOOKUP($F$48,'表4）CO2価格'!$H$10:$I$12,2,0),0)*$F$8/1000,""))</f>
        <v/>
      </c>
      <c r="AZ69" s="39"/>
      <c r="BA69" s="42" t="str">
        <f t="shared" si="47"/>
        <v/>
      </c>
      <c r="BB69" s="72" t="str">
        <f t="shared" si="28"/>
        <v/>
      </c>
      <c r="BC69" s="39"/>
      <c r="BD69" s="72" t="str">
        <f t="shared" si="48"/>
        <v/>
      </c>
      <c r="BE69" s="72" t="str">
        <f t="shared" si="29"/>
        <v/>
      </c>
      <c r="BF69" s="39"/>
      <c r="BG69" s="42" t="str">
        <f t="shared" si="49"/>
        <v/>
      </c>
      <c r="BH69" s="72" t="str">
        <f t="shared" si="30"/>
        <v/>
      </c>
      <c r="BI69" s="39"/>
      <c r="BJ69" s="40" t="str">
        <f t="shared" si="31"/>
        <v/>
      </c>
      <c r="BK69" s="157" t="str">
        <f t="shared" si="32"/>
        <v/>
      </c>
      <c r="BL69" s="157" t="str">
        <f t="shared" si="14"/>
        <v/>
      </c>
      <c r="BM69" s="72"/>
      <c r="BN69" s="72" t="str">
        <f t="shared" si="33"/>
        <v/>
      </c>
      <c r="BO69" s="72" t="str">
        <f t="shared" si="34"/>
        <v/>
      </c>
      <c r="BP69" s="39"/>
      <c r="BQ69" s="72" t="str">
        <f t="shared" si="50"/>
        <v/>
      </c>
      <c r="BR69" s="72" t="str">
        <f t="shared" si="35"/>
        <v/>
      </c>
    </row>
    <row r="70" spans="2:70" x14ac:dyDescent="0.15">
      <c r="C70" s="461" t="s">
        <v>135</v>
      </c>
      <c r="D70" s="9"/>
      <c r="E70" s="9"/>
      <c r="F70" s="94">
        <f ca="1">MAX(SUM($Z$117,$AF$117,$AI$117,$AL$117,$AO$117,$AR$117,$AW$117,$BB$117,$BE$117,$BH$117,$BO$116)/$BR$116+$F$105,SUBTOTAL(9,F74:F112))</f>
        <v>12.853722269364694</v>
      </c>
      <c r="G70" s="9" t="s">
        <v>132</v>
      </c>
      <c r="I70" s="459">
        <f t="shared" si="36"/>
        <v>2075</v>
      </c>
      <c r="J70" s="71"/>
      <c r="K70" s="71">
        <f t="shared" si="37"/>
        <v>56</v>
      </c>
      <c r="L70" s="71"/>
      <c r="M70" s="7">
        <f t="shared" si="0"/>
        <v>0.19103608816200118</v>
      </c>
      <c r="N70" s="71"/>
      <c r="O70" s="10" t="str">
        <f t="shared" si="16"/>
        <v/>
      </c>
      <c r="P70" s="29" t="str">
        <f t="shared" si="38"/>
        <v/>
      </c>
      <c r="Q70" s="71"/>
      <c r="R70" s="10" t="str">
        <f t="shared" si="51"/>
        <v/>
      </c>
      <c r="S70" s="71"/>
      <c r="T70" s="10" t="str">
        <f t="shared" si="18"/>
        <v/>
      </c>
      <c r="U70" s="71"/>
      <c r="V70" s="10" t="str">
        <f t="shared" si="39"/>
        <v/>
      </c>
      <c r="W70" s="10" t="str">
        <f t="shared" si="19"/>
        <v/>
      </c>
      <c r="X70" s="71"/>
      <c r="Y70" s="10" t="str">
        <f t="shared" si="40"/>
        <v/>
      </c>
      <c r="Z70" s="10" t="str">
        <f t="shared" si="20"/>
        <v/>
      </c>
      <c r="AA70" s="71"/>
      <c r="AB70" s="10" t="str">
        <f t="shared" si="4"/>
        <v/>
      </c>
      <c r="AC70" s="10" t="str">
        <f t="shared" si="21"/>
        <v/>
      </c>
      <c r="AD70" s="71"/>
      <c r="AE70" s="10" t="str">
        <f t="shared" si="41"/>
        <v/>
      </c>
      <c r="AF70" s="10" t="str">
        <f t="shared" si="22"/>
        <v/>
      </c>
      <c r="AG70" s="71"/>
      <c r="AH70" s="10" t="str">
        <f t="shared" si="42"/>
        <v/>
      </c>
      <c r="AI70" s="10" t="str">
        <f t="shared" si="23"/>
        <v/>
      </c>
      <c r="AJ70" s="71"/>
      <c r="AK70" s="10" t="str">
        <f t="shared" si="43"/>
        <v/>
      </c>
      <c r="AL70" s="10" t="str">
        <f t="shared" si="24"/>
        <v/>
      </c>
      <c r="AM70" s="71"/>
      <c r="AN70" s="10" t="str">
        <f t="shared" si="44"/>
        <v/>
      </c>
      <c r="AO70" s="10" t="str">
        <f t="shared" si="25"/>
        <v/>
      </c>
      <c r="AP70" s="71"/>
      <c r="AQ70" s="10" t="str">
        <f t="shared" si="45"/>
        <v/>
      </c>
      <c r="AR70" s="10" t="str">
        <f t="shared" si="26"/>
        <v/>
      </c>
      <c r="AS70" s="71"/>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U70" s="71"/>
      <c r="AV70" s="10" t="str">
        <f t="shared" si="46"/>
        <v/>
      </c>
      <c r="AW70" s="10" t="str">
        <f t="shared" si="27"/>
        <v/>
      </c>
      <c r="AX70" s="71"/>
      <c r="AY70" s="7" t="str">
        <f>IF(ISERROR(IF($K70&lt;=$F$15,VLOOKUP($I70,'表4）CO2価格'!$A$7:$E$67,VLOOKUP($F$48,'表4）CO2価格'!$H$10:$I$12,2,0),0)*$F$8/1000,"")),0,IF($K70&lt;=$F$15,VLOOKUP($I70,'表4）CO2価格'!$A$7:$E$67,VLOOKUP($F$48,'表4）CO2価格'!$H$10:$I$12,2,0),0)*$F$8/1000,""))</f>
        <v/>
      </c>
      <c r="AZ70" s="71"/>
      <c r="BA70" s="11" t="str">
        <f t="shared" si="47"/>
        <v/>
      </c>
      <c r="BB70" s="10" t="str">
        <f t="shared" si="28"/>
        <v/>
      </c>
      <c r="BC70" s="71"/>
      <c r="BD70" s="10" t="str">
        <f t="shared" si="48"/>
        <v/>
      </c>
      <c r="BE70" s="10" t="str">
        <f t="shared" si="29"/>
        <v/>
      </c>
      <c r="BF70" s="71"/>
      <c r="BG70" s="11" t="str">
        <f t="shared" si="49"/>
        <v/>
      </c>
      <c r="BH70" s="10" t="str">
        <f t="shared" si="30"/>
        <v/>
      </c>
      <c r="BJ70" s="7" t="str">
        <f t="shared" si="31"/>
        <v/>
      </c>
      <c r="BK70" s="158" t="str">
        <f t="shared" si="32"/>
        <v/>
      </c>
      <c r="BL70" s="158" t="str">
        <f t="shared" si="14"/>
        <v/>
      </c>
      <c r="BM70" s="10"/>
      <c r="BN70" s="10" t="str">
        <f t="shared" si="33"/>
        <v/>
      </c>
      <c r="BO70" s="10" t="str">
        <f t="shared" si="34"/>
        <v/>
      </c>
      <c r="BQ70" s="10" t="str">
        <f t="shared" si="50"/>
        <v/>
      </c>
      <c r="BR70" s="10" t="str">
        <f t="shared" si="35"/>
        <v/>
      </c>
    </row>
    <row r="71" spans="2:70" x14ac:dyDescent="0.15">
      <c r="F71" s="145"/>
      <c r="I71" s="458">
        <f t="shared" si="36"/>
        <v>2076</v>
      </c>
      <c r="J71" s="39"/>
      <c r="K71" s="39">
        <f t="shared" si="37"/>
        <v>57</v>
      </c>
      <c r="L71" s="39"/>
      <c r="M71" s="40">
        <f t="shared" si="0"/>
        <v>0.18547193025437006</v>
      </c>
      <c r="N71" s="39"/>
      <c r="O71" s="72" t="str">
        <f t="shared" si="16"/>
        <v/>
      </c>
      <c r="P71" s="41" t="str">
        <f t="shared" si="38"/>
        <v/>
      </c>
      <c r="Q71" s="39"/>
      <c r="R71" s="72" t="str">
        <f t="shared" si="51"/>
        <v/>
      </c>
      <c r="S71" s="39"/>
      <c r="T71" s="72" t="str">
        <f t="shared" si="18"/>
        <v/>
      </c>
      <c r="U71" s="39"/>
      <c r="V71" s="72" t="str">
        <f t="shared" si="39"/>
        <v/>
      </c>
      <c r="W71" s="72" t="str">
        <f t="shared" si="19"/>
        <v/>
      </c>
      <c r="X71" s="39"/>
      <c r="Y71" s="72" t="str">
        <f t="shared" si="40"/>
        <v/>
      </c>
      <c r="Z71" s="72" t="str">
        <f t="shared" si="20"/>
        <v/>
      </c>
      <c r="AA71" s="39"/>
      <c r="AB71" s="72" t="str">
        <f t="shared" si="4"/>
        <v/>
      </c>
      <c r="AC71" s="72" t="str">
        <f t="shared" si="21"/>
        <v/>
      </c>
      <c r="AD71" s="39"/>
      <c r="AE71" s="72" t="str">
        <f t="shared" si="41"/>
        <v/>
      </c>
      <c r="AF71" s="72" t="str">
        <f t="shared" si="22"/>
        <v/>
      </c>
      <c r="AG71" s="39"/>
      <c r="AH71" s="72" t="str">
        <f t="shared" si="42"/>
        <v/>
      </c>
      <c r="AI71" s="72" t="str">
        <f t="shared" si="23"/>
        <v/>
      </c>
      <c r="AJ71" s="39"/>
      <c r="AK71" s="72" t="str">
        <f t="shared" si="43"/>
        <v/>
      </c>
      <c r="AL71" s="72" t="str">
        <f t="shared" si="24"/>
        <v/>
      </c>
      <c r="AM71" s="39"/>
      <c r="AN71" s="72" t="str">
        <f t="shared" si="44"/>
        <v/>
      </c>
      <c r="AO71" s="72" t="str">
        <f t="shared" si="25"/>
        <v/>
      </c>
      <c r="AP71" s="39"/>
      <c r="AQ71" s="72" t="str">
        <f t="shared" si="45"/>
        <v/>
      </c>
      <c r="AR71" s="72" t="str">
        <f t="shared" si="26"/>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46"/>
        <v/>
      </c>
      <c r="AW71" s="72" t="str">
        <f t="shared" si="27"/>
        <v/>
      </c>
      <c r="AX71" s="39"/>
      <c r="AY71" s="40" t="str">
        <f>IF(ISERROR(IF($K71&lt;=$F$15,VLOOKUP($I71,'表4）CO2価格'!$A$7:$E$67,VLOOKUP($F$48,'表4）CO2価格'!$H$10:$I$12,2,0),0)*$F$8/1000,"")),0,IF($K71&lt;=$F$15,VLOOKUP($I71,'表4）CO2価格'!$A$7:$E$67,VLOOKUP($F$48,'表4）CO2価格'!$H$10:$I$12,2,0),0)*$F$8/1000,""))</f>
        <v/>
      </c>
      <c r="AZ71" s="39"/>
      <c r="BA71" s="42" t="str">
        <f t="shared" si="47"/>
        <v/>
      </c>
      <c r="BB71" s="72" t="str">
        <f t="shared" si="28"/>
        <v/>
      </c>
      <c r="BC71" s="39"/>
      <c r="BD71" s="72" t="str">
        <f t="shared" si="48"/>
        <v/>
      </c>
      <c r="BE71" s="72" t="str">
        <f t="shared" si="29"/>
        <v/>
      </c>
      <c r="BF71" s="39"/>
      <c r="BG71" s="42" t="str">
        <f t="shared" si="49"/>
        <v/>
      </c>
      <c r="BH71" s="72" t="str">
        <f t="shared" si="30"/>
        <v/>
      </c>
      <c r="BI71" s="39"/>
      <c r="BJ71" s="40" t="str">
        <f t="shared" si="31"/>
        <v/>
      </c>
      <c r="BK71" s="157" t="str">
        <f t="shared" si="32"/>
        <v/>
      </c>
      <c r="BL71" s="157" t="str">
        <f t="shared" si="14"/>
        <v/>
      </c>
      <c r="BM71" s="72"/>
      <c r="BN71" s="72" t="str">
        <f t="shared" si="33"/>
        <v/>
      </c>
      <c r="BO71" s="72" t="str">
        <f t="shared" si="34"/>
        <v/>
      </c>
      <c r="BP71" s="39"/>
      <c r="BQ71" s="72" t="str">
        <f t="shared" si="50"/>
        <v/>
      </c>
      <c r="BR71" s="72" t="str">
        <f t="shared" si="35"/>
        <v/>
      </c>
    </row>
    <row r="72" spans="2:70" x14ac:dyDescent="0.15">
      <c r="C72" s="89" t="s">
        <v>136</v>
      </c>
      <c r="D72" s="101"/>
      <c r="E72" s="101"/>
      <c r="F72" s="92"/>
      <c r="G72" s="101"/>
      <c r="I72" s="459">
        <f t="shared" si="36"/>
        <v>2077</v>
      </c>
      <c r="J72" s="71"/>
      <c r="K72" s="71">
        <f t="shared" si="37"/>
        <v>58</v>
      </c>
      <c r="L72" s="71"/>
      <c r="M72" s="7">
        <f t="shared" si="0"/>
        <v>0.18006983519841754</v>
      </c>
      <c r="N72" s="71"/>
      <c r="O72" s="10" t="str">
        <f t="shared" si="16"/>
        <v/>
      </c>
      <c r="P72" s="29" t="str">
        <f t="shared" si="38"/>
        <v/>
      </c>
      <c r="Q72" s="71"/>
      <c r="R72" s="10" t="str">
        <f t="shared" si="51"/>
        <v/>
      </c>
      <c r="S72" s="71"/>
      <c r="T72" s="10" t="str">
        <f t="shared" si="18"/>
        <v/>
      </c>
      <c r="U72" s="71"/>
      <c r="V72" s="10" t="str">
        <f t="shared" si="39"/>
        <v/>
      </c>
      <c r="W72" s="10" t="str">
        <f t="shared" si="19"/>
        <v/>
      </c>
      <c r="X72" s="71"/>
      <c r="Y72" s="10" t="str">
        <f t="shared" si="40"/>
        <v/>
      </c>
      <c r="Z72" s="10" t="str">
        <f t="shared" si="20"/>
        <v/>
      </c>
      <c r="AA72" s="71"/>
      <c r="AB72" s="10" t="str">
        <f t="shared" si="4"/>
        <v/>
      </c>
      <c r="AC72" s="10" t="str">
        <f t="shared" si="21"/>
        <v/>
      </c>
      <c r="AD72" s="71"/>
      <c r="AE72" s="10" t="str">
        <f t="shared" si="41"/>
        <v/>
      </c>
      <c r="AF72" s="10" t="str">
        <f t="shared" si="22"/>
        <v/>
      </c>
      <c r="AG72" s="71"/>
      <c r="AH72" s="10" t="str">
        <f t="shared" si="42"/>
        <v/>
      </c>
      <c r="AI72" s="10" t="str">
        <f t="shared" si="23"/>
        <v/>
      </c>
      <c r="AJ72" s="71"/>
      <c r="AK72" s="10" t="str">
        <f t="shared" si="43"/>
        <v/>
      </c>
      <c r="AL72" s="10" t="str">
        <f t="shared" si="24"/>
        <v/>
      </c>
      <c r="AM72" s="71"/>
      <c r="AN72" s="10" t="str">
        <f t="shared" si="44"/>
        <v/>
      </c>
      <c r="AO72" s="10" t="str">
        <f t="shared" si="25"/>
        <v/>
      </c>
      <c r="AP72" s="71"/>
      <c r="AQ72" s="10" t="str">
        <f t="shared" si="45"/>
        <v/>
      </c>
      <c r="AR72" s="10" t="str">
        <f t="shared" si="26"/>
        <v/>
      </c>
      <c r="AS72" s="71"/>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U72" s="71"/>
      <c r="AV72" s="10" t="str">
        <f t="shared" si="46"/>
        <v/>
      </c>
      <c r="AW72" s="10" t="str">
        <f t="shared" si="27"/>
        <v/>
      </c>
      <c r="AX72" s="71"/>
      <c r="AY72" s="7" t="str">
        <f>IF(ISERROR(IF($K72&lt;=$F$15,VLOOKUP($I72,'表4）CO2価格'!$A$7:$E$67,VLOOKUP($F$48,'表4）CO2価格'!$H$10:$I$12,2,0),0)*$F$8/1000,"")),0,IF($K72&lt;=$F$15,VLOOKUP($I72,'表4）CO2価格'!$A$7:$E$67,VLOOKUP($F$48,'表4）CO2価格'!$H$10:$I$12,2,0),0)*$F$8/1000,""))</f>
        <v/>
      </c>
      <c r="AZ72" s="71"/>
      <c r="BA72" s="11" t="str">
        <f t="shared" si="47"/>
        <v/>
      </c>
      <c r="BB72" s="10" t="str">
        <f t="shared" si="28"/>
        <v/>
      </c>
      <c r="BC72" s="71"/>
      <c r="BD72" s="10" t="str">
        <f t="shared" si="48"/>
        <v/>
      </c>
      <c r="BE72" s="10" t="str">
        <f t="shared" si="29"/>
        <v/>
      </c>
      <c r="BF72" s="71"/>
      <c r="BG72" s="11" t="str">
        <f t="shared" si="49"/>
        <v/>
      </c>
      <c r="BH72" s="10" t="str">
        <f t="shared" si="30"/>
        <v/>
      </c>
      <c r="BJ72" s="7" t="str">
        <f t="shared" si="31"/>
        <v/>
      </c>
      <c r="BK72" s="158" t="str">
        <f t="shared" si="32"/>
        <v/>
      </c>
      <c r="BL72" s="158" t="str">
        <f t="shared" si="14"/>
        <v/>
      </c>
      <c r="BM72" s="10"/>
      <c r="BN72" s="10" t="str">
        <f t="shared" si="33"/>
        <v/>
      </c>
      <c r="BO72" s="10" t="str">
        <f t="shared" si="34"/>
        <v/>
      </c>
      <c r="BQ72" s="10" t="str">
        <f t="shared" si="50"/>
        <v/>
      </c>
      <c r="BR72" s="10" t="str">
        <f t="shared" si="35"/>
        <v/>
      </c>
    </row>
    <row r="73" spans="2:70" x14ac:dyDescent="0.15">
      <c r="F73" s="93"/>
      <c r="I73" s="458">
        <f t="shared" si="36"/>
        <v>2078</v>
      </c>
      <c r="J73" s="39"/>
      <c r="K73" s="39">
        <f t="shared" si="37"/>
        <v>59</v>
      </c>
      <c r="L73" s="39"/>
      <c r="M73" s="40">
        <f t="shared" si="0"/>
        <v>0.17482508271691022</v>
      </c>
      <c r="N73" s="39"/>
      <c r="O73" s="72" t="str">
        <f t="shared" si="16"/>
        <v/>
      </c>
      <c r="P73" s="41" t="str">
        <f t="shared" si="38"/>
        <v/>
      </c>
      <c r="Q73" s="39"/>
      <c r="R73" s="72" t="str">
        <f t="shared" si="51"/>
        <v/>
      </c>
      <c r="S73" s="39"/>
      <c r="T73" s="72" t="str">
        <f t="shared" si="18"/>
        <v/>
      </c>
      <c r="U73" s="39"/>
      <c r="V73" s="72" t="str">
        <f t="shared" si="39"/>
        <v/>
      </c>
      <c r="W73" s="72" t="str">
        <f t="shared" si="19"/>
        <v/>
      </c>
      <c r="X73" s="39"/>
      <c r="Y73" s="72" t="str">
        <f t="shared" si="40"/>
        <v/>
      </c>
      <c r="Z73" s="72" t="str">
        <f t="shared" si="20"/>
        <v/>
      </c>
      <c r="AA73" s="39"/>
      <c r="AB73" s="72" t="str">
        <f t="shared" si="4"/>
        <v/>
      </c>
      <c r="AC73" s="72" t="str">
        <f t="shared" si="21"/>
        <v/>
      </c>
      <c r="AD73" s="39"/>
      <c r="AE73" s="72" t="str">
        <f t="shared" si="41"/>
        <v/>
      </c>
      <c r="AF73" s="72" t="str">
        <f t="shared" si="22"/>
        <v/>
      </c>
      <c r="AG73" s="39"/>
      <c r="AH73" s="72" t="str">
        <f t="shared" si="42"/>
        <v/>
      </c>
      <c r="AI73" s="72" t="str">
        <f t="shared" si="23"/>
        <v/>
      </c>
      <c r="AJ73" s="39"/>
      <c r="AK73" s="72" t="str">
        <f t="shared" si="43"/>
        <v/>
      </c>
      <c r="AL73" s="72" t="str">
        <f t="shared" si="24"/>
        <v/>
      </c>
      <c r="AM73" s="39"/>
      <c r="AN73" s="72" t="str">
        <f t="shared" si="44"/>
        <v/>
      </c>
      <c r="AO73" s="72" t="str">
        <f t="shared" si="25"/>
        <v/>
      </c>
      <c r="AP73" s="39"/>
      <c r="AQ73" s="72" t="str">
        <f t="shared" si="45"/>
        <v/>
      </c>
      <c r="AR73" s="72" t="str">
        <f t="shared" si="26"/>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46"/>
        <v/>
      </c>
      <c r="AW73" s="72" t="str">
        <f t="shared" si="27"/>
        <v/>
      </c>
      <c r="AX73" s="39"/>
      <c r="AY73" s="40" t="str">
        <f>IF(ISERROR(IF($K73&lt;=$F$15,VLOOKUP($I73,'表4）CO2価格'!$A$7:$E$67,VLOOKUP($F$48,'表4）CO2価格'!$H$10:$I$12,2,0),0)*$F$8/1000,"")),0,IF($K73&lt;=$F$15,VLOOKUP($I73,'表4）CO2価格'!$A$7:$E$67,VLOOKUP($F$48,'表4）CO2価格'!$H$10:$I$12,2,0),0)*$F$8/1000,""))</f>
        <v/>
      </c>
      <c r="AZ73" s="39"/>
      <c r="BA73" s="42" t="str">
        <f t="shared" si="47"/>
        <v/>
      </c>
      <c r="BB73" s="72" t="str">
        <f t="shared" si="28"/>
        <v/>
      </c>
      <c r="BC73" s="39"/>
      <c r="BD73" s="72" t="str">
        <f t="shared" si="48"/>
        <v/>
      </c>
      <c r="BE73" s="72" t="str">
        <f t="shared" si="29"/>
        <v/>
      </c>
      <c r="BF73" s="39"/>
      <c r="BG73" s="42" t="str">
        <f t="shared" si="49"/>
        <v/>
      </c>
      <c r="BH73" s="72" t="str">
        <f t="shared" si="30"/>
        <v/>
      </c>
      <c r="BI73" s="39"/>
      <c r="BJ73" s="40" t="str">
        <f t="shared" si="31"/>
        <v/>
      </c>
      <c r="BK73" s="157" t="str">
        <f t="shared" si="32"/>
        <v/>
      </c>
      <c r="BL73" s="157" t="str">
        <f t="shared" si="14"/>
        <v/>
      </c>
      <c r="BM73" s="72"/>
      <c r="BN73" s="72" t="str">
        <f t="shared" si="33"/>
        <v/>
      </c>
      <c r="BO73" s="72" t="str">
        <f t="shared" si="34"/>
        <v/>
      </c>
      <c r="BP73" s="39"/>
      <c r="BQ73" s="72" t="str">
        <f t="shared" si="50"/>
        <v/>
      </c>
      <c r="BR73" s="72" t="str">
        <f t="shared" si="35"/>
        <v/>
      </c>
    </row>
    <row r="74" spans="2:70" ht="15" x14ac:dyDescent="0.15">
      <c r="D74" s="116" t="s">
        <v>192</v>
      </c>
      <c r="F74" s="94">
        <f>SUBTOTAL(9,F78:F81)</f>
        <v>8.8022695266578328</v>
      </c>
      <c r="G74" s="81" t="s">
        <v>132</v>
      </c>
      <c r="I74" s="459">
        <f t="shared" si="36"/>
        <v>2079</v>
      </c>
      <c r="J74" s="71"/>
      <c r="K74" s="71">
        <f t="shared" si="37"/>
        <v>60</v>
      </c>
      <c r="L74" s="71"/>
      <c r="M74" s="7">
        <f t="shared" si="0"/>
        <v>0.1697330900164177</v>
      </c>
      <c r="N74" s="71"/>
      <c r="O74" s="10" t="str">
        <f t="shared" si="16"/>
        <v/>
      </c>
      <c r="P74" s="29" t="str">
        <f t="shared" si="38"/>
        <v/>
      </c>
      <c r="Q74" s="71"/>
      <c r="R74" s="10" t="str">
        <f t="shared" si="51"/>
        <v/>
      </c>
      <c r="S74" s="71"/>
      <c r="T74" s="10" t="str">
        <f t="shared" si="18"/>
        <v/>
      </c>
      <c r="U74" s="71"/>
      <c r="V74" s="10" t="str">
        <f t="shared" si="39"/>
        <v/>
      </c>
      <c r="W74" s="10" t="str">
        <f t="shared" si="19"/>
        <v/>
      </c>
      <c r="X74" s="71"/>
      <c r="Y74" s="10" t="str">
        <f t="shared" si="40"/>
        <v/>
      </c>
      <c r="Z74" s="10" t="str">
        <f t="shared" si="20"/>
        <v/>
      </c>
      <c r="AA74" s="71"/>
      <c r="AB74" s="10" t="str">
        <f t="shared" si="4"/>
        <v/>
      </c>
      <c r="AC74" s="10" t="str">
        <f t="shared" si="21"/>
        <v/>
      </c>
      <c r="AD74" s="71"/>
      <c r="AE74" s="10" t="str">
        <f t="shared" si="41"/>
        <v/>
      </c>
      <c r="AF74" s="10" t="str">
        <f t="shared" si="22"/>
        <v/>
      </c>
      <c r="AG74" s="71"/>
      <c r="AH74" s="10" t="str">
        <f t="shared" si="42"/>
        <v/>
      </c>
      <c r="AI74" s="10" t="str">
        <f t="shared" si="23"/>
        <v/>
      </c>
      <c r="AJ74" s="71"/>
      <c r="AK74" s="10" t="str">
        <f t="shared" si="43"/>
        <v/>
      </c>
      <c r="AL74" s="10" t="str">
        <f t="shared" si="24"/>
        <v/>
      </c>
      <c r="AM74" s="71"/>
      <c r="AN74" s="10" t="str">
        <f t="shared" si="44"/>
        <v/>
      </c>
      <c r="AO74" s="10" t="str">
        <f t="shared" si="25"/>
        <v/>
      </c>
      <c r="AP74" s="71"/>
      <c r="AQ74" s="10" t="str">
        <f t="shared" si="45"/>
        <v/>
      </c>
      <c r="AR74" s="10" t="str">
        <f t="shared" si="26"/>
        <v/>
      </c>
      <c r="AS74" s="71"/>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U74" s="71"/>
      <c r="AV74" s="10" t="str">
        <f t="shared" si="46"/>
        <v/>
      </c>
      <c r="AW74" s="10" t="str">
        <f t="shared" si="27"/>
        <v/>
      </c>
      <c r="AX74" s="71"/>
      <c r="AY74" s="7" t="str">
        <f>IF(ISERROR(IF($K74&lt;=$F$15,VLOOKUP($I74,'表4）CO2価格'!$A$7:$E$67,VLOOKUP($F$48,'表4）CO2価格'!$H$10:$I$12,2,0),0)*$F$8/1000,"")),0,IF($K74&lt;=$F$15,VLOOKUP($I74,'表4）CO2価格'!$A$7:$E$67,VLOOKUP($F$48,'表4）CO2価格'!$H$10:$I$12,2,0),0)*$F$8/1000,""))</f>
        <v/>
      </c>
      <c r="AZ74" s="71"/>
      <c r="BA74" s="11" t="str">
        <f t="shared" si="47"/>
        <v/>
      </c>
      <c r="BB74" s="10" t="str">
        <f t="shared" si="28"/>
        <v/>
      </c>
      <c r="BC74" s="71"/>
      <c r="BD74" s="10" t="str">
        <f t="shared" si="48"/>
        <v/>
      </c>
      <c r="BE74" s="10" t="str">
        <f t="shared" si="29"/>
        <v/>
      </c>
      <c r="BF74" s="71"/>
      <c r="BG74" s="11" t="str">
        <f t="shared" si="49"/>
        <v/>
      </c>
      <c r="BH74" s="10" t="str">
        <f t="shared" si="30"/>
        <v/>
      </c>
      <c r="BJ74" s="7" t="str">
        <f t="shared" si="31"/>
        <v/>
      </c>
      <c r="BK74" s="158" t="str">
        <f t="shared" si="32"/>
        <v/>
      </c>
      <c r="BL74" s="158" t="str">
        <f t="shared" si="14"/>
        <v/>
      </c>
      <c r="BM74" s="10"/>
      <c r="BN74" s="10" t="str">
        <f t="shared" si="33"/>
        <v/>
      </c>
      <c r="BO74" s="10" t="str">
        <f t="shared" si="34"/>
        <v/>
      </c>
      <c r="BQ74" s="10" t="str">
        <f t="shared" si="50"/>
        <v/>
      </c>
      <c r="BR74" s="10" t="str">
        <f t="shared" si="35"/>
        <v/>
      </c>
    </row>
    <row r="75" spans="2:70" x14ac:dyDescent="0.15">
      <c r="F75" s="145"/>
      <c r="I75" s="458">
        <f t="shared" si="36"/>
        <v>2080</v>
      </c>
      <c r="J75" s="39"/>
      <c r="K75" s="39">
        <f t="shared" si="37"/>
        <v>61</v>
      </c>
      <c r="L75" s="39"/>
      <c r="M75" s="40">
        <f t="shared" si="0"/>
        <v>0.16478940778292983</v>
      </c>
      <c r="N75" s="39"/>
      <c r="O75" s="72" t="str">
        <f t="shared" si="16"/>
        <v/>
      </c>
      <c r="P75" s="41" t="str">
        <f t="shared" si="38"/>
        <v/>
      </c>
      <c r="Q75" s="39"/>
      <c r="R75" s="72" t="str">
        <f t="shared" si="51"/>
        <v/>
      </c>
      <c r="S75" s="39"/>
      <c r="T75" s="72" t="str">
        <f t="shared" si="18"/>
        <v/>
      </c>
      <c r="U75" s="39"/>
      <c r="V75" s="72" t="str">
        <f t="shared" si="39"/>
        <v/>
      </c>
      <c r="W75" s="72" t="str">
        <f t="shared" si="19"/>
        <v/>
      </c>
      <c r="X75" s="39"/>
      <c r="Y75" s="72" t="str">
        <f t="shared" si="40"/>
        <v/>
      </c>
      <c r="Z75" s="72" t="str">
        <f t="shared" si="20"/>
        <v/>
      </c>
      <c r="AA75" s="39"/>
      <c r="AB75" s="72" t="str">
        <f t="shared" si="4"/>
        <v/>
      </c>
      <c r="AC75" s="72" t="str">
        <f t="shared" si="21"/>
        <v/>
      </c>
      <c r="AD75" s="39"/>
      <c r="AE75" s="72" t="str">
        <f t="shared" si="41"/>
        <v/>
      </c>
      <c r="AF75" s="72" t="str">
        <f t="shared" si="22"/>
        <v/>
      </c>
      <c r="AG75" s="39"/>
      <c r="AH75" s="72" t="str">
        <f t="shared" si="42"/>
        <v/>
      </c>
      <c r="AI75" s="72" t="str">
        <f t="shared" si="23"/>
        <v/>
      </c>
      <c r="AJ75" s="39"/>
      <c r="AK75" s="72" t="str">
        <f t="shared" si="43"/>
        <v/>
      </c>
      <c r="AL75" s="72" t="str">
        <f t="shared" si="24"/>
        <v/>
      </c>
      <c r="AM75" s="39"/>
      <c r="AN75" s="72" t="str">
        <f t="shared" si="44"/>
        <v/>
      </c>
      <c r="AO75" s="72" t="str">
        <f t="shared" si="25"/>
        <v/>
      </c>
      <c r="AP75" s="39"/>
      <c r="AQ75" s="72" t="str">
        <f t="shared" si="45"/>
        <v/>
      </c>
      <c r="AR75" s="72" t="str">
        <f t="shared" si="26"/>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46"/>
        <v/>
      </c>
      <c r="AW75" s="72" t="str">
        <f t="shared" si="27"/>
        <v/>
      </c>
      <c r="AX75" s="39"/>
      <c r="AY75" s="40" t="str">
        <f>IF(ISERROR(IF($K75&lt;=$F$15,VLOOKUP($I75,'表4）CO2価格'!$A$7:$E$67,VLOOKUP($F$48,'表4）CO2価格'!$H$10:$I$12,2,0),0)*$F$8/1000,"")),0,IF($K75&lt;=$F$15,VLOOKUP($I75,'表4）CO2価格'!$A$7:$E$67,VLOOKUP($F$48,'表4）CO2価格'!$H$10:$I$12,2,0),0)*$F$8/1000,""))</f>
        <v/>
      </c>
      <c r="AZ75" s="39"/>
      <c r="BA75" s="42" t="str">
        <f t="shared" si="47"/>
        <v/>
      </c>
      <c r="BB75" s="72" t="str">
        <f t="shared" si="28"/>
        <v/>
      </c>
      <c r="BC75" s="39"/>
      <c r="BD75" s="72" t="str">
        <f t="shared" si="48"/>
        <v/>
      </c>
      <c r="BE75" s="72" t="str">
        <f t="shared" si="29"/>
        <v/>
      </c>
      <c r="BF75" s="39"/>
      <c r="BG75" s="42" t="str">
        <f t="shared" si="49"/>
        <v/>
      </c>
      <c r="BH75" s="72" t="str">
        <f t="shared" si="30"/>
        <v/>
      </c>
      <c r="BI75" s="39"/>
      <c r="BJ75" s="40" t="str">
        <f t="shared" si="31"/>
        <v/>
      </c>
      <c r="BK75" s="157" t="str">
        <f t="shared" si="32"/>
        <v/>
      </c>
      <c r="BL75" s="157" t="str">
        <f t="shared" si="14"/>
        <v/>
      </c>
      <c r="BM75" s="72"/>
      <c r="BN75" s="72" t="str">
        <f t="shared" si="33"/>
        <v/>
      </c>
      <c r="BO75" s="72" t="str">
        <f t="shared" si="34"/>
        <v/>
      </c>
      <c r="BP75" s="39"/>
      <c r="BQ75" s="72" t="str">
        <f t="shared" si="50"/>
        <v/>
      </c>
      <c r="BR75" s="72" t="str">
        <f t="shared" si="35"/>
        <v/>
      </c>
    </row>
    <row r="76" spans="2:70" x14ac:dyDescent="0.15">
      <c r="D76" s="101" t="s">
        <v>193</v>
      </c>
      <c r="E76" s="101"/>
      <c r="F76" s="92"/>
      <c r="G76" s="101"/>
      <c r="I76" s="459">
        <f t="shared" si="36"/>
        <v>2081</v>
      </c>
      <c r="J76" s="71"/>
      <c r="K76" s="71">
        <f t="shared" si="37"/>
        <v>62</v>
      </c>
      <c r="L76" s="71"/>
      <c r="M76" s="7">
        <f t="shared" si="0"/>
        <v>0.15998971629410663</v>
      </c>
      <c r="N76" s="71"/>
      <c r="O76" s="10" t="str">
        <f t="shared" si="16"/>
        <v/>
      </c>
      <c r="P76" s="29" t="str">
        <f t="shared" si="38"/>
        <v/>
      </c>
      <c r="Q76" s="71"/>
      <c r="R76" s="10" t="str">
        <f t="shared" si="51"/>
        <v/>
      </c>
      <c r="S76" s="71"/>
      <c r="T76" s="10" t="str">
        <f t="shared" si="18"/>
        <v/>
      </c>
      <c r="U76" s="71"/>
      <c r="V76" s="10" t="str">
        <f t="shared" si="39"/>
        <v/>
      </c>
      <c r="W76" s="10" t="str">
        <f t="shared" si="19"/>
        <v/>
      </c>
      <c r="X76" s="71"/>
      <c r="Y76" s="10" t="str">
        <f t="shared" si="40"/>
        <v/>
      </c>
      <c r="Z76" s="10" t="str">
        <f t="shared" si="20"/>
        <v/>
      </c>
      <c r="AA76" s="71"/>
      <c r="AB76" s="10" t="str">
        <f t="shared" si="4"/>
        <v/>
      </c>
      <c r="AC76" s="10" t="str">
        <f t="shared" si="21"/>
        <v/>
      </c>
      <c r="AD76" s="71"/>
      <c r="AE76" s="10" t="str">
        <f t="shared" si="41"/>
        <v/>
      </c>
      <c r="AF76" s="10" t="str">
        <f t="shared" si="22"/>
        <v/>
      </c>
      <c r="AG76" s="71"/>
      <c r="AH76" s="10" t="str">
        <f t="shared" si="42"/>
        <v/>
      </c>
      <c r="AI76" s="10" t="str">
        <f t="shared" si="23"/>
        <v/>
      </c>
      <c r="AJ76" s="71"/>
      <c r="AK76" s="10" t="str">
        <f t="shared" si="43"/>
        <v/>
      </c>
      <c r="AL76" s="10" t="str">
        <f t="shared" si="24"/>
        <v/>
      </c>
      <c r="AM76" s="71"/>
      <c r="AN76" s="10" t="str">
        <f t="shared" si="44"/>
        <v/>
      </c>
      <c r="AO76" s="10" t="str">
        <f t="shared" si="25"/>
        <v/>
      </c>
      <c r="AP76" s="71"/>
      <c r="AQ76" s="10" t="str">
        <f t="shared" si="45"/>
        <v/>
      </c>
      <c r="AR76" s="10" t="str">
        <f t="shared" si="26"/>
        <v/>
      </c>
      <c r="AS76" s="71"/>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U76" s="71"/>
      <c r="AV76" s="10" t="str">
        <f t="shared" si="46"/>
        <v/>
      </c>
      <c r="AW76" s="10" t="str">
        <f t="shared" si="27"/>
        <v/>
      </c>
      <c r="AX76" s="71"/>
      <c r="AY76" s="7" t="str">
        <f>IF(ISERROR(IF($K76&lt;=$F$15,VLOOKUP($I76,'表4）CO2価格'!$A$7:$E$67,VLOOKUP($F$48,'表4）CO2価格'!$H$10:$I$12,2,0),0)*$F$8/1000,"")),0,IF($K76&lt;=$F$15,VLOOKUP($I76,'表4）CO2価格'!$A$7:$E$67,VLOOKUP($F$48,'表4）CO2価格'!$H$10:$I$12,2,0),0)*$F$8/1000,""))</f>
        <v/>
      </c>
      <c r="AZ76" s="71"/>
      <c r="BA76" s="11" t="str">
        <f t="shared" si="47"/>
        <v/>
      </c>
      <c r="BB76" s="10" t="str">
        <f t="shared" si="28"/>
        <v/>
      </c>
      <c r="BC76" s="71"/>
      <c r="BD76" s="10" t="str">
        <f t="shared" si="48"/>
        <v/>
      </c>
      <c r="BE76" s="10" t="str">
        <f t="shared" si="29"/>
        <v/>
      </c>
      <c r="BF76" s="71"/>
      <c r="BG76" s="11" t="str">
        <f t="shared" si="49"/>
        <v/>
      </c>
      <c r="BH76" s="10" t="str">
        <f t="shared" si="30"/>
        <v/>
      </c>
      <c r="BJ76" s="7" t="str">
        <f t="shared" si="31"/>
        <v/>
      </c>
      <c r="BK76" s="158" t="str">
        <f t="shared" si="32"/>
        <v/>
      </c>
      <c r="BL76" s="158" t="str">
        <f t="shared" si="14"/>
        <v/>
      </c>
      <c r="BM76" s="10"/>
      <c r="BN76" s="10" t="str">
        <f t="shared" si="33"/>
        <v/>
      </c>
      <c r="BO76" s="10" t="str">
        <f t="shared" si="34"/>
        <v/>
      </c>
      <c r="BQ76" s="10" t="str">
        <f t="shared" si="50"/>
        <v/>
      </c>
      <c r="BR76" s="10" t="str">
        <f t="shared" si="35"/>
        <v/>
      </c>
    </row>
    <row r="77" spans="2:70" x14ac:dyDescent="0.15">
      <c r="F77" s="93"/>
      <c r="I77" s="458">
        <f t="shared" si="36"/>
        <v>2082</v>
      </c>
      <c r="J77" s="39"/>
      <c r="K77" s="39">
        <f t="shared" si="37"/>
        <v>63</v>
      </c>
      <c r="L77" s="39"/>
      <c r="M77" s="40">
        <f t="shared" si="0"/>
        <v>0.15532982164476369</v>
      </c>
      <c r="N77" s="39"/>
      <c r="O77" s="72" t="str">
        <f t="shared" si="16"/>
        <v/>
      </c>
      <c r="P77" s="41" t="str">
        <f t="shared" si="38"/>
        <v/>
      </c>
      <c r="Q77" s="39"/>
      <c r="R77" s="72" t="str">
        <f t="shared" si="51"/>
        <v/>
      </c>
      <c r="S77" s="39"/>
      <c r="T77" s="72" t="str">
        <f t="shared" si="18"/>
        <v/>
      </c>
      <c r="U77" s="39"/>
      <c r="V77" s="72" t="str">
        <f t="shared" si="39"/>
        <v/>
      </c>
      <c r="W77" s="72" t="str">
        <f t="shared" si="19"/>
        <v/>
      </c>
      <c r="X77" s="39"/>
      <c r="Y77" s="72" t="str">
        <f t="shared" si="40"/>
        <v/>
      </c>
      <c r="Z77" s="72" t="str">
        <f t="shared" si="20"/>
        <v/>
      </c>
      <c r="AA77" s="39"/>
      <c r="AB77" s="72" t="str">
        <f t="shared" si="4"/>
        <v/>
      </c>
      <c r="AC77" s="72" t="str">
        <f t="shared" si="21"/>
        <v/>
      </c>
      <c r="AD77" s="39"/>
      <c r="AE77" s="72" t="str">
        <f t="shared" si="41"/>
        <v/>
      </c>
      <c r="AF77" s="72" t="str">
        <f t="shared" si="22"/>
        <v/>
      </c>
      <c r="AG77" s="39"/>
      <c r="AH77" s="72" t="str">
        <f t="shared" si="42"/>
        <v/>
      </c>
      <c r="AI77" s="72" t="str">
        <f t="shared" si="23"/>
        <v/>
      </c>
      <c r="AJ77" s="39"/>
      <c r="AK77" s="72" t="str">
        <f t="shared" si="43"/>
        <v/>
      </c>
      <c r="AL77" s="72" t="str">
        <f t="shared" si="24"/>
        <v/>
      </c>
      <c r="AM77" s="39"/>
      <c r="AN77" s="72" t="str">
        <f t="shared" si="44"/>
        <v/>
      </c>
      <c r="AO77" s="72" t="str">
        <f t="shared" si="25"/>
        <v/>
      </c>
      <c r="AP77" s="39"/>
      <c r="AQ77" s="72" t="str">
        <f t="shared" si="45"/>
        <v/>
      </c>
      <c r="AR77" s="72" t="str">
        <f t="shared" si="26"/>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46"/>
        <v/>
      </c>
      <c r="AW77" s="72" t="str">
        <f t="shared" si="27"/>
        <v/>
      </c>
      <c r="AX77" s="39"/>
      <c r="AY77" s="40" t="str">
        <f>IF(ISERROR(IF($K77&lt;=$F$15,VLOOKUP($I77,'表4）CO2価格'!$A$7:$E$67,VLOOKUP($F$48,'表4）CO2価格'!$H$10:$I$12,2,0),0)*$F$8/1000,"")),0,IF($K77&lt;=$F$15,VLOOKUP($I77,'表4）CO2価格'!$A$7:$E$67,VLOOKUP($F$48,'表4）CO2価格'!$H$10:$I$12,2,0),0)*$F$8/1000,""))</f>
        <v/>
      </c>
      <c r="AZ77" s="39"/>
      <c r="BA77" s="42" t="str">
        <f t="shared" si="47"/>
        <v/>
      </c>
      <c r="BB77" s="72" t="str">
        <f t="shared" si="28"/>
        <v/>
      </c>
      <c r="BC77" s="39"/>
      <c r="BD77" s="72" t="str">
        <f t="shared" si="48"/>
        <v/>
      </c>
      <c r="BE77" s="72" t="str">
        <f t="shared" si="29"/>
        <v/>
      </c>
      <c r="BF77" s="39"/>
      <c r="BG77" s="42" t="str">
        <f t="shared" si="49"/>
        <v/>
      </c>
      <c r="BH77" s="72" t="str">
        <f t="shared" si="30"/>
        <v/>
      </c>
      <c r="BI77" s="39"/>
      <c r="BJ77" s="40" t="str">
        <f t="shared" si="31"/>
        <v/>
      </c>
      <c r="BK77" s="157" t="str">
        <f t="shared" si="32"/>
        <v/>
      </c>
      <c r="BL77" s="157" t="str">
        <f t="shared" si="14"/>
        <v/>
      </c>
      <c r="BM77" s="72"/>
      <c r="BN77" s="72" t="str">
        <f t="shared" si="33"/>
        <v/>
      </c>
      <c r="BO77" s="72" t="str">
        <f t="shared" si="34"/>
        <v/>
      </c>
      <c r="BP77" s="39"/>
      <c r="BQ77" s="72" t="str">
        <f t="shared" si="50"/>
        <v/>
      </c>
      <c r="BR77" s="72" t="str">
        <f t="shared" si="35"/>
        <v/>
      </c>
    </row>
    <row r="78" spans="2:70" x14ac:dyDescent="0.15">
      <c r="E78" s="74" t="s">
        <v>138</v>
      </c>
      <c r="F78" s="91">
        <f>R15/$BR$116</f>
        <v>7.927814840274622</v>
      </c>
      <c r="G78" s="81" t="s">
        <v>132</v>
      </c>
      <c r="I78" s="459">
        <f t="shared" si="36"/>
        <v>2083</v>
      </c>
      <c r="J78" s="71"/>
      <c r="K78" s="71">
        <f t="shared" si="37"/>
        <v>64</v>
      </c>
      <c r="L78" s="71"/>
      <c r="M78" s="7">
        <f t="shared" si="0"/>
        <v>0.15080565208229488</v>
      </c>
      <c r="N78" s="71"/>
      <c r="O78" s="10" t="str">
        <f t="shared" si="16"/>
        <v/>
      </c>
      <c r="P78" s="29" t="str">
        <f t="shared" si="38"/>
        <v/>
      </c>
      <c r="Q78" s="71"/>
      <c r="R78" s="10" t="str">
        <f t="shared" si="51"/>
        <v/>
      </c>
      <c r="S78" s="71"/>
      <c r="T78" s="10" t="str">
        <f t="shared" si="18"/>
        <v/>
      </c>
      <c r="U78" s="71"/>
      <c r="V78" s="10" t="str">
        <f t="shared" si="39"/>
        <v/>
      </c>
      <c r="W78" s="10" t="str">
        <f t="shared" si="19"/>
        <v/>
      </c>
      <c r="X78" s="71"/>
      <c r="Y78" s="10" t="str">
        <f t="shared" si="40"/>
        <v/>
      </c>
      <c r="Z78" s="10" t="str">
        <f t="shared" si="20"/>
        <v/>
      </c>
      <c r="AA78" s="71"/>
      <c r="AB78" s="10" t="str">
        <f t="shared" si="4"/>
        <v/>
      </c>
      <c r="AC78" s="10" t="str">
        <f t="shared" si="21"/>
        <v/>
      </c>
      <c r="AD78" s="71"/>
      <c r="AE78" s="10" t="str">
        <f t="shared" si="41"/>
        <v/>
      </c>
      <c r="AF78" s="10" t="str">
        <f t="shared" si="22"/>
        <v/>
      </c>
      <c r="AG78" s="71"/>
      <c r="AH78" s="10" t="str">
        <f t="shared" si="42"/>
        <v/>
      </c>
      <c r="AI78" s="10" t="str">
        <f t="shared" si="23"/>
        <v/>
      </c>
      <c r="AJ78" s="71"/>
      <c r="AK78" s="10" t="str">
        <f t="shared" si="43"/>
        <v/>
      </c>
      <c r="AL78" s="10" t="str">
        <f t="shared" si="24"/>
        <v/>
      </c>
      <c r="AM78" s="71"/>
      <c r="AN78" s="10" t="str">
        <f t="shared" si="44"/>
        <v/>
      </c>
      <c r="AO78" s="10" t="str">
        <f t="shared" si="25"/>
        <v/>
      </c>
      <c r="AP78" s="71"/>
      <c r="AQ78" s="10" t="str">
        <f t="shared" si="45"/>
        <v/>
      </c>
      <c r="AR78" s="10" t="str">
        <f t="shared" si="26"/>
        <v/>
      </c>
      <c r="AS78" s="71"/>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U78" s="71"/>
      <c r="AV78" s="10" t="str">
        <f t="shared" si="46"/>
        <v/>
      </c>
      <c r="AW78" s="10" t="str">
        <f t="shared" si="27"/>
        <v/>
      </c>
      <c r="AX78" s="71"/>
      <c r="AY78" s="7" t="str">
        <f>IF(ISERROR(IF($K78&lt;=$F$15,VLOOKUP($I78,'表4）CO2価格'!$A$7:$E$67,VLOOKUP($F$48,'表4）CO2価格'!$H$10:$I$12,2,0),0)*$F$8/1000,"")),0,IF($K78&lt;=$F$15,VLOOKUP($I78,'表4）CO2価格'!$A$7:$E$67,VLOOKUP($F$48,'表4）CO2価格'!$H$10:$I$12,2,0),0)*$F$8/1000,""))</f>
        <v/>
      </c>
      <c r="AZ78" s="71"/>
      <c r="BA78" s="11" t="str">
        <f t="shared" si="47"/>
        <v/>
      </c>
      <c r="BB78" s="10" t="str">
        <f t="shared" si="28"/>
        <v/>
      </c>
      <c r="BC78" s="71"/>
      <c r="BD78" s="10" t="str">
        <f t="shared" si="48"/>
        <v/>
      </c>
      <c r="BE78" s="10" t="str">
        <f t="shared" si="29"/>
        <v/>
      </c>
      <c r="BF78" s="71"/>
      <c r="BG78" s="11" t="str">
        <f t="shared" si="49"/>
        <v/>
      </c>
      <c r="BH78" s="10" t="str">
        <f t="shared" si="30"/>
        <v/>
      </c>
      <c r="BJ78" s="7" t="str">
        <f t="shared" si="31"/>
        <v/>
      </c>
      <c r="BK78" s="158" t="str">
        <f t="shared" si="32"/>
        <v/>
      </c>
      <c r="BL78" s="158" t="str">
        <f t="shared" si="14"/>
        <v/>
      </c>
      <c r="BM78" s="10"/>
      <c r="BN78" s="10" t="str">
        <f t="shared" si="33"/>
        <v/>
      </c>
      <c r="BO78" s="10" t="str">
        <f t="shared" si="34"/>
        <v/>
      </c>
      <c r="BQ78" s="10" t="str">
        <f t="shared" si="50"/>
        <v/>
      </c>
      <c r="BR78" s="10" t="str">
        <f t="shared" si="35"/>
        <v/>
      </c>
    </row>
    <row r="79" spans="2:70" x14ac:dyDescent="0.15">
      <c r="E79" s="81" t="s">
        <v>139</v>
      </c>
      <c r="F79" s="91">
        <f>Z116/$BR$116</f>
        <v>0.6977197853474385</v>
      </c>
      <c r="G79" s="81" t="s">
        <v>132</v>
      </c>
      <c r="I79" s="458">
        <f t="shared" si="36"/>
        <v>2084</v>
      </c>
      <c r="J79" s="39"/>
      <c r="K79" s="39">
        <f t="shared" si="37"/>
        <v>65</v>
      </c>
      <c r="L79" s="39"/>
      <c r="M79" s="40">
        <f t="shared" ref="M79:M114" si="52">1/(1+($F$9/100))^K79</f>
        <v>0.14641325444882999</v>
      </c>
      <c r="N79" s="39"/>
      <c r="O79" s="72" t="str">
        <f t="shared" si="16"/>
        <v/>
      </c>
      <c r="P79" s="41" t="str">
        <f t="shared" ref="P79:P110" si="53">IF(K79&lt;=$F$15,IF(OR(P78=$F$124,P78="-"),"-",IF(O79*$F$123&gt;$F$127,$F$123,$F$124)),"")</f>
        <v/>
      </c>
      <c r="Q79" s="39"/>
      <c r="R79" s="72" t="str">
        <f t="shared" si="51"/>
        <v/>
      </c>
      <c r="S79" s="39"/>
      <c r="T79" s="72" t="str">
        <f t="shared" si="18"/>
        <v/>
      </c>
      <c r="U79" s="39"/>
      <c r="V79" s="72" t="str">
        <f t="shared" ref="V79:V114" si="54">IF(K79&lt;=$F$15,IF(K79&lt;$F$119,IF(P79="-",V78,O79*P79),IF(K79=$F$119,MIN(IF(P79="-",V78,O79*P79),O79),0)),"")</f>
        <v/>
      </c>
      <c r="W79" s="72" t="str">
        <f t="shared" si="19"/>
        <v/>
      </c>
      <c r="X79" s="39"/>
      <c r="Y79" s="72" t="str">
        <f t="shared" ref="Y79:Y114" si="55">IF($K79&lt;=$F$15,ROUNDDOWN(T79*$F$25/100,-2),"")</f>
        <v/>
      </c>
      <c r="Z79" s="72" t="str">
        <f t="shared" si="20"/>
        <v/>
      </c>
      <c r="AA79" s="39"/>
      <c r="AB79" s="72" t="str">
        <f t="shared" ref="AB79:AB114" si="56">IF($K79&lt;=$F$15,0,IF(AND($K79&gt;$F$15,$K79&lt;=$F$15+$F$28),$F$27*10^8/$F$28,""))</f>
        <v/>
      </c>
      <c r="AC79" s="72" t="str">
        <f t="shared" si="21"/>
        <v/>
      </c>
      <c r="AD79" s="39"/>
      <c r="AE79" s="72" t="str">
        <f t="shared" ref="AE79:AE114" si="57">IF($K79&lt;=$F$15,$F$26,"")</f>
        <v/>
      </c>
      <c r="AF79" s="72" t="str">
        <f t="shared" si="22"/>
        <v/>
      </c>
      <c r="AG79" s="39"/>
      <c r="AH79" s="72" t="str">
        <f t="shared" ref="AH79:AH114" si="58">IF($K79&lt;=$F$15,$F$33*10^4*$F$13*10^4,"")</f>
        <v/>
      </c>
      <c r="AI79" s="72" t="str">
        <f t="shared" si="23"/>
        <v/>
      </c>
      <c r="AJ79" s="39"/>
      <c r="AK79" s="72" t="str">
        <f t="shared" ref="AK79:AK114" si="59">IF($K79&lt;=$F$15,$F$117*$F$34/100,"")</f>
        <v/>
      </c>
      <c r="AL79" s="72" t="str">
        <f t="shared" si="24"/>
        <v/>
      </c>
      <c r="AM79" s="39"/>
      <c r="AN79" s="72" t="str">
        <f t="shared" ref="AN79:AN114" si="60">IF($K79&lt;=$F$15,$F$117*$F$35/100,"")</f>
        <v/>
      </c>
      <c r="AO79" s="72" t="str">
        <f t="shared" si="25"/>
        <v/>
      </c>
      <c r="AP79" s="39"/>
      <c r="AQ79" s="72" t="str">
        <f t="shared" ref="AQ79:AQ114" si="61">IF($K79&lt;=$F$15,SUM(AH79,AK79,AN79)*($F$36/100),"")</f>
        <v/>
      </c>
      <c r="AR79" s="72" t="str">
        <f t="shared" si="26"/>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62">IF($K79&lt;=$F$15,($AT79+$F$142)*$F$137,"")</f>
        <v/>
      </c>
      <c r="AW79" s="72" t="str">
        <f t="shared" si="27"/>
        <v/>
      </c>
      <c r="AX79" s="39"/>
      <c r="AY79" s="40" t="str">
        <f>IF(ISERROR(IF($K79&lt;=$F$15,VLOOKUP($I79,'表4）CO2価格'!$A$7:$E$67,VLOOKUP($F$48,'表4）CO2価格'!$H$10:$I$12,2,0),0)*$F$8/1000,"")),0,IF($K79&lt;=$F$15,VLOOKUP($I79,'表4）CO2価格'!$A$7:$E$67,VLOOKUP($F$48,'表4）CO2価格'!$H$10:$I$12,2,0),0)*$F$8/1000,""))</f>
        <v/>
      </c>
      <c r="AZ79" s="39"/>
      <c r="BA79" s="42" t="str">
        <f t="shared" ref="BA79:BA114" si="63">IF($K79&lt;=$F$15,$F$145*AY79,"")</f>
        <v/>
      </c>
      <c r="BB79" s="72" t="str">
        <f t="shared" si="28"/>
        <v/>
      </c>
      <c r="BC79" s="39"/>
      <c r="BD79" s="72" t="str">
        <f t="shared" ref="BD79:BD114" si="64">IF($K79&lt;=$F$15,($AT79+$F$152)*$F$151,"")</f>
        <v/>
      </c>
      <c r="BE79" s="72" t="str">
        <f t="shared" si="29"/>
        <v/>
      </c>
      <c r="BF79" s="39"/>
      <c r="BG79" s="42" t="str">
        <f t="shared" ref="BG79:BG114" si="65">IF($K79&lt;=$F$15,$F$153*AY79,"")</f>
        <v/>
      </c>
      <c r="BH79" s="72" t="str">
        <f t="shared" si="30"/>
        <v/>
      </c>
      <c r="BI79" s="39"/>
      <c r="BJ79" s="40" t="str">
        <f t="shared" si="31"/>
        <v/>
      </c>
      <c r="BK79" s="157" t="str">
        <f t="shared" si="32"/>
        <v/>
      </c>
      <c r="BL79" s="157" t="str">
        <f t="shared" ref="BL79:BL114" si="66">IF(AND(ISNUMBER(BJ79),$K79&lt;=$F$16),BQ79*BJ79,"")</f>
        <v/>
      </c>
      <c r="BM79" s="72"/>
      <c r="BN79" s="72" t="str">
        <f t="shared" si="33"/>
        <v/>
      </c>
      <c r="BO79" s="72" t="str">
        <f t="shared" si="34"/>
        <v/>
      </c>
      <c r="BP79" s="39"/>
      <c r="BQ79" s="72" t="str">
        <f t="shared" ref="BQ79:BQ114" si="67">IF($K79&lt;=$F$15,$F$134,"")</f>
        <v/>
      </c>
      <c r="BR79" s="72" t="str">
        <f t="shared" si="35"/>
        <v/>
      </c>
    </row>
    <row r="80" spans="2:70" x14ac:dyDescent="0.15">
      <c r="E80" s="81" t="s">
        <v>115</v>
      </c>
      <c r="F80" s="91">
        <f>AF116/$BR$116</f>
        <v>0</v>
      </c>
      <c r="G80" s="81" t="s">
        <v>132</v>
      </c>
      <c r="I80" s="459">
        <f t="shared" si="36"/>
        <v>2085</v>
      </c>
      <c r="J80" s="71"/>
      <c r="K80" s="71">
        <f t="shared" si="37"/>
        <v>66</v>
      </c>
      <c r="L80" s="71"/>
      <c r="M80" s="7">
        <f t="shared" si="52"/>
        <v>0.14214879072701941</v>
      </c>
      <c r="N80" s="71"/>
      <c r="O80" s="10" t="str">
        <f t="shared" ref="O80:O114" si="68">IF(K80&lt;=$F$15,O79-V79,"")</f>
        <v/>
      </c>
      <c r="P80" s="29" t="str">
        <f t="shared" si="53"/>
        <v/>
      </c>
      <c r="Q80" s="71"/>
      <c r="R80" s="10" t="str">
        <f t="shared" ref="R80:R114" si="69">IF($K80&lt;=$F$15,MAX($F$117*5%,R79*$F$129),"")</f>
        <v/>
      </c>
      <c r="S80" s="71"/>
      <c r="T80" s="10" t="str">
        <f t="shared" ref="T80:T114" si="70">IF(ISNUMBER(R80),ROUNDDOWN(R80,-3),"")</f>
        <v/>
      </c>
      <c r="U80" s="71"/>
      <c r="V80" s="10" t="str">
        <f t="shared" si="54"/>
        <v/>
      </c>
      <c r="W80" s="10" t="str">
        <f t="shared" ref="W80:W114" si="71">IF(ISNUMBER(V80),V80*$M80,"")</f>
        <v/>
      </c>
      <c r="X80" s="71"/>
      <c r="Y80" s="10" t="str">
        <f t="shared" si="55"/>
        <v/>
      </c>
      <c r="Z80" s="10" t="str">
        <f t="shared" ref="Z80:Z114" si="72">IF(ISNUMBER(Y80),Y80*$M80,"")</f>
        <v/>
      </c>
      <c r="AA80" s="71"/>
      <c r="AB80" s="10" t="str">
        <f t="shared" si="56"/>
        <v/>
      </c>
      <c r="AC80" s="10" t="str">
        <f t="shared" ref="AC80:AC114" si="73">IF(ISNUMBER(AB80),AB80*$M80,"")</f>
        <v/>
      </c>
      <c r="AD80" s="71"/>
      <c r="AE80" s="10" t="str">
        <f t="shared" si="57"/>
        <v/>
      </c>
      <c r="AF80" s="10" t="str">
        <f t="shared" ref="AF80:AF114" si="74">IF(ISNUMBER(AE80),AE80*$M80,"")</f>
        <v/>
      </c>
      <c r="AG80" s="71"/>
      <c r="AH80" s="10" t="str">
        <f t="shared" si="58"/>
        <v/>
      </c>
      <c r="AI80" s="10" t="str">
        <f t="shared" ref="AI80:AI114" si="75">IF(ISNUMBER(AH80),AH80*$M80,"")</f>
        <v/>
      </c>
      <c r="AJ80" s="71"/>
      <c r="AK80" s="10" t="str">
        <f t="shared" si="59"/>
        <v/>
      </c>
      <c r="AL80" s="10" t="str">
        <f t="shared" ref="AL80:AL114" si="76">IF(ISNUMBER(AK80),AK80*$M80,"")</f>
        <v/>
      </c>
      <c r="AM80" s="71"/>
      <c r="AN80" s="10" t="str">
        <f t="shared" si="60"/>
        <v/>
      </c>
      <c r="AO80" s="10" t="str">
        <f t="shared" ref="AO80:AO114" si="77">IF(ISNUMBER(AN80),AN80*$M80,"")</f>
        <v/>
      </c>
      <c r="AP80" s="71"/>
      <c r="AQ80" s="10" t="str">
        <f t="shared" si="61"/>
        <v/>
      </c>
      <c r="AR80" s="10" t="str">
        <f t="shared" ref="AR80:AR114" si="78">IF(ISNUMBER(AQ80),AQ80*$M80,"")</f>
        <v/>
      </c>
      <c r="AS80" s="71"/>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U80" s="71"/>
      <c r="AV80" s="10" t="str">
        <f t="shared" si="62"/>
        <v/>
      </c>
      <c r="AW80" s="10" t="str">
        <f t="shared" ref="AW80:AW114" si="79">IF(ISNUMBER(AV80),AV80*$M80,"")</f>
        <v/>
      </c>
      <c r="AX80" s="71"/>
      <c r="AY80" s="7" t="str">
        <f>IF(ISERROR(IF($K80&lt;=$F$15,VLOOKUP($I80,'表4）CO2価格'!$A$7:$E$67,VLOOKUP($F$48,'表4）CO2価格'!$H$10:$I$12,2,0),0)*$F$8/1000,"")),0,IF($K80&lt;=$F$15,VLOOKUP($I80,'表4）CO2価格'!$A$7:$E$67,VLOOKUP($F$48,'表4）CO2価格'!$H$10:$I$12,2,0),0)*$F$8/1000,""))</f>
        <v/>
      </c>
      <c r="AZ80" s="71"/>
      <c r="BA80" s="11" t="str">
        <f t="shared" si="63"/>
        <v/>
      </c>
      <c r="BB80" s="10" t="str">
        <f t="shared" ref="BB80:BB114" si="80">IF(ISNUMBER(BA80),BA80*$M80,"")</f>
        <v/>
      </c>
      <c r="BC80" s="71"/>
      <c r="BD80" s="10" t="str">
        <f t="shared" si="64"/>
        <v/>
      </c>
      <c r="BE80" s="10" t="str">
        <f t="shared" ref="BE80:BE114" si="81">IF(ISNUMBER(BD80),BD80*$M80,"")</f>
        <v/>
      </c>
      <c r="BF80" s="71"/>
      <c r="BG80" s="11" t="str">
        <f t="shared" si="65"/>
        <v/>
      </c>
      <c r="BH80" s="10" t="str">
        <f t="shared" ref="BH80:BH114" si="82">IF(ISNUMBER(BG80),BG80*$M80,"")</f>
        <v/>
      </c>
      <c r="BJ80" s="7" t="str">
        <f t="shared" ref="BJ80:BJ114" si="83">IF(ISNUMBER($F$16),IF($K80&lt;=$F$16+$F$28,1/(1+($F$17/100))^K80,""),"")</f>
        <v/>
      </c>
      <c r="BK80" s="158" t="str">
        <f t="shared" ref="BK80:BK114" si="84">IF(ISNUMBER($F$16),IF($K80&lt;=$F$16+$F$28,IF($K80&lt;=$F$16,SUM(Y80,AB80,AE80,AH80,AK80,AN80,AQ80,AV80,BA80,BD80,BG80),$F$27/$F$28*10^8)*BJ80,""),"")</f>
        <v/>
      </c>
      <c r="BL80" s="158" t="str">
        <f t="shared" si="66"/>
        <v/>
      </c>
      <c r="BM80" s="10"/>
      <c r="BN80" s="10" t="str">
        <f t="shared" ref="BN80:BN114" si="85">IF(AND(ISNUMBER($F$16),$K80&lt;=$F$16),BQ80*($O$15+$BK$116)/$BL$116,"")</f>
        <v/>
      </c>
      <c r="BO80" s="10" t="str">
        <f t="shared" ref="BO80:BO114" si="86">IF(ISNUMBER(BN80),BN80*$M80,"")</f>
        <v/>
      </c>
      <c r="BQ80" s="10" t="str">
        <f t="shared" si="67"/>
        <v/>
      </c>
      <c r="BR80" s="10" t="str">
        <f t="shared" ref="BR80:BR114" si="87">IF(ISNUMBER(BQ80),BQ80*$M80,"")</f>
        <v/>
      </c>
    </row>
    <row r="81" spans="4:70" x14ac:dyDescent="0.15">
      <c r="E81" s="82" t="s">
        <v>86</v>
      </c>
      <c r="F81" s="91">
        <f>AC116/$BR$116</f>
        <v>0.17673490103577272</v>
      </c>
      <c r="G81" s="81" t="s">
        <v>132</v>
      </c>
      <c r="I81" s="458">
        <f t="shared" ref="I81:I114" si="88">I80+1</f>
        <v>2086</v>
      </c>
      <c r="J81" s="39"/>
      <c r="K81" s="39">
        <f t="shared" ref="K81:K114" si="89">IF(I81&lt;&gt;"",K80+1,"")</f>
        <v>67</v>
      </c>
      <c r="L81" s="39"/>
      <c r="M81" s="40">
        <f t="shared" si="52"/>
        <v>0.1380085346864266</v>
      </c>
      <c r="N81" s="39"/>
      <c r="O81" s="72" t="str">
        <f t="shared" si="68"/>
        <v/>
      </c>
      <c r="P81" s="41" t="str">
        <f t="shared" si="53"/>
        <v/>
      </c>
      <c r="Q81" s="39"/>
      <c r="R81" s="72" t="str">
        <f t="shared" si="69"/>
        <v/>
      </c>
      <c r="S81" s="39"/>
      <c r="T81" s="72" t="str">
        <f t="shared" si="70"/>
        <v/>
      </c>
      <c r="U81" s="39"/>
      <c r="V81" s="72" t="str">
        <f t="shared" si="54"/>
        <v/>
      </c>
      <c r="W81" s="72" t="str">
        <f t="shared" si="71"/>
        <v/>
      </c>
      <c r="X81" s="39"/>
      <c r="Y81" s="72" t="str">
        <f t="shared" si="55"/>
        <v/>
      </c>
      <c r="Z81" s="72" t="str">
        <f t="shared" si="72"/>
        <v/>
      </c>
      <c r="AA81" s="39"/>
      <c r="AB81" s="72" t="str">
        <f t="shared" si="56"/>
        <v/>
      </c>
      <c r="AC81" s="72" t="str">
        <f t="shared" si="73"/>
        <v/>
      </c>
      <c r="AD81" s="39"/>
      <c r="AE81" s="72" t="str">
        <f t="shared" si="57"/>
        <v/>
      </c>
      <c r="AF81" s="72" t="str">
        <f t="shared" si="74"/>
        <v/>
      </c>
      <c r="AG81" s="39"/>
      <c r="AH81" s="72" t="str">
        <f t="shared" si="58"/>
        <v/>
      </c>
      <c r="AI81" s="72" t="str">
        <f t="shared" si="75"/>
        <v/>
      </c>
      <c r="AJ81" s="39"/>
      <c r="AK81" s="72" t="str">
        <f t="shared" si="59"/>
        <v/>
      </c>
      <c r="AL81" s="72" t="str">
        <f t="shared" si="76"/>
        <v/>
      </c>
      <c r="AM81" s="39"/>
      <c r="AN81" s="72" t="str">
        <f t="shared" si="60"/>
        <v/>
      </c>
      <c r="AO81" s="72" t="str">
        <f t="shared" si="77"/>
        <v/>
      </c>
      <c r="AP81" s="39"/>
      <c r="AQ81" s="72" t="str">
        <f t="shared" si="61"/>
        <v/>
      </c>
      <c r="AR81" s="72" t="str">
        <f t="shared" si="78"/>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62"/>
        <v/>
      </c>
      <c r="AW81" s="72" t="str">
        <f t="shared" si="79"/>
        <v/>
      </c>
      <c r="AX81" s="39"/>
      <c r="AY81" s="40" t="str">
        <f>IF(ISERROR(IF($K81&lt;=$F$15,VLOOKUP($I81,'表4）CO2価格'!$A$7:$E$67,VLOOKUP($F$48,'表4）CO2価格'!$H$10:$I$12,2,0),0)*$F$8/1000,"")),0,IF($K81&lt;=$F$15,VLOOKUP($I81,'表4）CO2価格'!$A$7:$E$67,VLOOKUP($F$48,'表4）CO2価格'!$H$10:$I$12,2,0),0)*$F$8/1000,""))</f>
        <v/>
      </c>
      <c r="AZ81" s="39"/>
      <c r="BA81" s="42" t="str">
        <f t="shared" si="63"/>
        <v/>
      </c>
      <c r="BB81" s="72" t="str">
        <f t="shared" si="80"/>
        <v/>
      </c>
      <c r="BC81" s="39"/>
      <c r="BD81" s="72" t="str">
        <f t="shared" si="64"/>
        <v/>
      </c>
      <c r="BE81" s="72" t="str">
        <f t="shared" si="81"/>
        <v/>
      </c>
      <c r="BF81" s="39"/>
      <c r="BG81" s="42" t="str">
        <f t="shared" si="65"/>
        <v/>
      </c>
      <c r="BH81" s="72" t="str">
        <f t="shared" si="82"/>
        <v/>
      </c>
      <c r="BI81" s="39"/>
      <c r="BJ81" s="40" t="str">
        <f t="shared" si="83"/>
        <v/>
      </c>
      <c r="BK81" s="157" t="str">
        <f t="shared" si="84"/>
        <v/>
      </c>
      <c r="BL81" s="157" t="str">
        <f t="shared" si="66"/>
        <v/>
      </c>
      <c r="BM81" s="72"/>
      <c r="BN81" s="72" t="str">
        <f t="shared" si="85"/>
        <v/>
      </c>
      <c r="BO81" s="72" t="str">
        <f t="shared" si="86"/>
        <v/>
      </c>
      <c r="BP81" s="39"/>
      <c r="BQ81" s="72" t="str">
        <f t="shared" si="67"/>
        <v/>
      </c>
      <c r="BR81" s="72" t="str">
        <f t="shared" si="87"/>
        <v/>
      </c>
    </row>
    <row r="82" spans="4:70" x14ac:dyDescent="0.15">
      <c r="F82" s="93"/>
      <c r="I82" s="459">
        <f t="shared" si="88"/>
        <v>2087</v>
      </c>
      <c r="J82" s="71"/>
      <c r="K82" s="71">
        <f t="shared" si="89"/>
        <v>68</v>
      </c>
      <c r="L82" s="71"/>
      <c r="M82" s="7">
        <f t="shared" si="52"/>
        <v>0.13398886862759865</v>
      </c>
      <c r="N82" s="71"/>
      <c r="O82" s="10" t="str">
        <f t="shared" si="68"/>
        <v/>
      </c>
      <c r="P82" s="29" t="str">
        <f t="shared" si="53"/>
        <v/>
      </c>
      <c r="Q82" s="71"/>
      <c r="R82" s="10" t="str">
        <f t="shared" si="69"/>
        <v/>
      </c>
      <c r="S82" s="71"/>
      <c r="T82" s="10" t="str">
        <f t="shared" si="70"/>
        <v/>
      </c>
      <c r="U82" s="71"/>
      <c r="V82" s="10" t="str">
        <f t="shared" si="54"/>
        <v/>
      </c>
      <c r="W82" s="10" t="str">
        <f t="shared" si="71"/>
        <v/>
      </c>
      <c r="X82" s="71"/>
      <c r="Y82" s="10" t="str">
        <f t="shared" si="55"/>
        <v/>
      </c>
      <c r="Z82" s="10" t="str">
        <f t="shared" si="72"/>
        <v/>
      </c>
      <c r="AA82" s="71"/>
      <c r="AB82" s="10" t="str">
        <f t="shared" si="56"/>
        <v/>
      </c>
      <c r="AC82" s="10" t="str">
        <f t="shared" si="73"/>
        <v/>
      </c>
      <c r="AD82" s="71"/>
      <c r="AE82" s="10" t="str">
        <f t="shared" si="57"/>
        <v/>
      </c>
      <c r="AF82" s="10" t="str">
        <f t="shared" si="74"/>
        <v/>
      </c>
      <c r="AG82" s="71"/>
      <c r="AH82" s="10" t="str">
        <f t="shared" si="58"/>
        <v/>
      </c>
      <c r="AI82" s="10" t="str">
        <f t="shared" si="75"/>
        <v/>
      </c>
      <c r="AJ82" s="71"/>
      <c r="AK82" s="10" t="str">
        <f t="shared" si="59"/>
        <v/>
      </c>
      <c r="AL82" s="10" t="str">
        <f t="shared" si="76"/>
        <v/>
      </c>
      <c r="AM82" s="71"/>
      <c r="AN82" s="10" t="str">
        <f t="shared" si="60"/>
        <v/>
      </c>
      <c r="AO82" s="10" t="str">
        <f t="shared" si="77"/>
        <v/>
      </c>
      <c r="AP82" s="71"/>
      <c r="AQ82" s="10" t="str">
        <f t="shared" si="61"/>
        <v/>
      </c>
      <c r="AR82" s="10" t="str">
        <f t="shared" si="78"/>
        <v/>
      </c>
      <c r="AS82" s="71"/>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U82" s="71"/>
      <c r="AV82" s="10" t="str">
        <f t="shared" si="62"/>
        <v/>
      </c>
      <c r="AW82" s="10" t="str">
        <f t="shared" si="79"/>
        <v/>
      </c>
      <c r="AX82" s="71"/>
      <c r="AY82" s="7" t="str">
        <f>IF(ISERROR(IF($K82&lt;=$F$15,VLOOKUP($I82,'表4）CO2価格'!$A$7:$E$67,VLOOKUP($F$48,'表4）CO2価格'!$H$10:$I$12,2,0),0)*$F$8/1000,"")),0,IF($K82&lt;=$F$15,VLOOKUP($I82,'表4）CO2価格'!$A$7:$E$67,VLOOKUP($F$48,'表4）CO2価格'!$H$10:$I$12,2,0),0)*$F$8/1000,""))</f>
        <v/>
      </c>
      <c r="AZ82" s="71"/>
      <c r="BA82" s="11" t="str">
        <f t="shared" si="63"/>
        <v/>
      </c>
      <c r="BB82" s="10" t="str">
        <f t="shared" si="80"/>
        <v/>
      </c>
      <c r="BC82" s="71"/>
      <c r="BD82" s="10" t="str">
        <f t="shared" si="64"/>
        <v/>
      </c>
      <c r="BE82" s="10" t="str">
        <f t="shared" si="81"/>
        <v/>
      </c>
      <c r="BF82" s="71"/>
      <c r="BG82" s="11" t="str">
        <f t="shared" si="65"/>
        <v/>
      </c>
      <c r="BH82" s="10" t="str">
        <f t="shared" si="82"/>
        <v/>
      </c>
      <c r="BJ82" s="7" t="str">
        <f t="shared" si="83"/>
        <v/>
      </c>
      <c r="BK82" s="158" t="str">
        <f t="shared" si="84"/>
        <v/>
      </c>
      <c r="BL82" s="158" t="str">
        <f t="shared" si="66"/>
        <v/>
      </c>
      <c r="BM82" s="10"/>
      <c r="BN82" s="10" t="str">
        <f t="shared" si="85"/>
        <v/>
      </c>
      <c r="BO82" s="10" t="str">
        <f t="shared" si="86"/>
        <v/>
      </c>
      <c r="BQ82" s="10" t="str">
        <f t="shared" si="67"/>
        <v/>
      </c>
      <c r="BR82" s="10" t="str">
        <f t="shared" si="87"/>
        <v/>
      </c>
    </row>
    <row r="83" spans="4:70" ht="15" x14ac:dyDescent="0.15">
      <c r="D83" s="116" t="s">
        <v>194</v>
      </c>
      <c r="F83" s="94">
        <f>SUBTOTAL(9,F87:F90)</f>
        <v>3.1857279388340229</v>
      </c>
      <c r="G83" s="81" t="s">
        <v>132</v>
      </c>
      <c r="I83" s="458">
        <f>I82+1</f>
        <v>2088</v>
      </c>
      <c r="J83" s="39"/>
      <c r="K83" s="39">
        <f>IF(I83&lt;&gt;"",K82+1,"")</f>
        <v>69</v>
      </c>
      <c r="L83" s="39"/>
      <c r="M83" s="40">
        <f t="shared" si="52"/>
        <v>0.13008628022096957</v>
      </c>
      <c r="N83" s="39"/>
      <c r="O83" s="72" t="str">
        <f t="shared" si="68"/>
        <v/>
      </c>
      <c r="P83" s="41" t="str">
        <f t="shared" si="53"/>
        <v/>
      </c>
      <c r="Q83" s="39"/>
      <c r="R83" s="72" t="str">
        <f t="shared" si="69"/>
        <v/>
      </c>
      <c r="S83" s="39"/>
      <c r="T83" s="72" t="str">
        <f t="shared" si="70"/>
        <v/>
      </c>
      <c r="U83" s="39"/>
      <c r="V83" s="72" t="str">
        <f t="shared" si="54"/>
        <v/>
      </c>
      <c r="W83" s="72" t="str">
        <f t="shared" si="71"/>
        <v/>
      </c>
      <c r="X83" s="39"/>
      <c r="Y83" s="72" t="str">
        <f t="shared" si="55"/>
        <v/>
      </c>
      <c r="Z83" s="72" t="str">
        <f t="shared" si="72"/>
        <v/>
      </c>
      <c r="AA83" s="39"/>
      <c r="AB83" s="72" t="str">
        <f t="shared" si="56"/>
        <v/>
      </c>
      <c r="AC83" s="72" t="str">
        <f t="shared" si="73"/>
        <v/>
      </c>
      <c r="AD83" s="39"/>
      <c r="AE83" s="72" t="str">
        <f t="shared" si="57"/>
        <v/>
      </c>
      <c r="AF83" s="72" t="str">
        <f t="shared" si="74"/>
        <v/>
      </c>
      <c r="AG83" s="39"/>
      <c r="AH83" s="72" t="str">
        <f t="shared" si="58"/>
        <v/>
      </c>
      <c r="AI83" s="72" t="str">
        <f t="shared" si="75"/>
        <v/>
      </c>
      <c r="AJ83" s="39"/>
      <c r="AK83" s="72" t="str">
        <f t="shared" si="59"/>
        <v/>
      </c>
      <c r="AL83" s="72" t="str">
        <f t="shared" si="76"/>
        <v/>
      </c>
      <c r="AM83" s="39"/>
      <c r="AN83" s="72" t="str">
        <f t="shared" si="60"/>
        <v/>
      </c>
      <c r="AO83" s="72" t="str">
        <f t="shared" si="77"/>
        <v/>
      </c>
      <c r="AP83" s="39"/>
      <c r="AQ83" s="72" t="str">
        <f t="shared" si="61"/>
        <v/>
      </c>
      <c r="AR83" s="72" t="str">
        <f t="shared" si="78"/>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62"/>
        <v/>
      </c>
      <c r="AW83" s="72" t="str">
        <f t="shared" si="79"/>
        <v/>
      </c>
      <c r="AX83" s="39"/>
      <c r="AY83" s="40" t="str">
        <f>IF(ISERROR(IF($K83&lt;=$F$15,VLOOKUP($I83,'表4）CO2価格'!$A$7:$E$67,VLOOKUP($F$48,'表4）CO2価格'!$H$10:$I$12,2,0),0)*$F$8/1000,"")),0,IF($K83&lt;=$F$15,VLOOKUP($I83,'表4）CO2価格'!$A$7:$E$67,VLOOKUP($F$48,'表4）CO2価格'!$H$10:$I$12,2,0),0)*$F$8/1000,""))</f>
        <v/>
      </c>
      <c r="AZ83" s="39"/>
      <c r="BA83" s="42" t="str">
        <f t="shared" si="63"/>
        <v/>
      </c>
      <c r="BB83" s="72" t="str">
        <f t="shared" si="80"/>
        <v/>
      </c>
      <c r="BC83" s="39"/>
      <c r="BD83" s="72" t="str">
        <f t="shared" si="64"/>
        <v/>
      </c>
      <c r="BE83" s="72" t="str">
        <f t="shared" si="81"/>
        <v/>
      </c>
      <c r="BF83" s="39"/>
      <c r="BG83" s="42" t="str">
        <f t="shared" si="65"/>
        <v/>
      </c>
      <c r="BH83" s="72" t="str">
        <f t="shared" si="82"/>
        <v/>
      </c>
      <c r="BI83" s="39"/>
      <c r="BJ83" s="40" t="str">
        <f t="shared" si="83"/>
        <v/>
      </c>
      <c r="BK83" s="157" t="str">
        <f t="shared" si="84"/>
        <v/>
      </c>
      <c r="BL83" s="157" t="str">
        <f t="shared" si="66"/>
        <v/>
      </c>
      <c r="BM83" s="72"/>
      <c r="BN83" s="72" t="str">
        <f t="shared" si="85"/>
        <v/>
      </c>
      <c r="BO83" s="72" t="str">
        <f t="shared" si="86"/>
        <v/>
      </c>
      <c r="BP83" s="39"/>
      <c r="BQ83" s="72" t="str">
        <f t="shared" si="67"/>
        <v/>
      </c>
      <c r="BR83" s="72" t="str">
        <f t="shared" si="87"/>
        <v/>
      </c>
    </row>
    <row r="84" spans="4:70" x14ac:dyDescent="0.15">
      <c r="F84" s="93"/>
      <c r="I84" s="459">
        <f t="shared" si="88"/>
        <v>2089</v>
      </c>
      <c r="J84" s="71"/>
      <c r="K84" s="71">
        <f t="shared" si="89"/>
        <v>70</v>
      </c>
      <c r="L84" s="71"/>
      <c r="M84" s="7">
        <f t="shared" si="52"/>
        <v>0.12629735943783454</v>
      </c>
      <c r="N84" s="71"/>
      <c r="O84" s="10" t="str">
        <f t="shared" si="68"/>
        <v/>
      </c>
      <c r="P84" s="29" t="str">
        <f t="shared" si="53"/>
        <v/>
      </c>
      <c r="Q84" s="71"/>
      <c r="R84" s="10" t="str">
        <f t="shared" si="69"/>
        <v/>
      </c>
      <c r="S84" s="71"/>
      <c r="T84" s="10" t="str">
        <f t="shared" si="70"/>
        <v/>
      </c>
      <c r="U84" s="71"/>
      <c r="V84" s="10" t="str">
        <f t="shared" si="54"/>
        <v/>
      </c>
      <c r="W84" s="10" t="str">
        <f t="shared" si="71"/>
        <v/>
      </c>
      <c r="X84" s="71"/>
      <c r="Y84" s="10" t="str">
        <f t="shared" si="55"/>
        <v/>
      </c>
      <c r="Z84" s="10" t="str">
        <f t="shared" si="72"/>
        <v/>
      </c>
      <c r="AA84" s="71"/>
      <c r="AB84" s="10" t="str">
        <f t="shared" si="56"/>
        <v/>
      </c>
      <c r="AC84" s="10" t="str">
        <f t="shared" si="73"/>
        <v/>
      </c>
      <c r="AD84" s="71"/>
      <c r="AE84" s="10" t="str">
        <f t="shared" si="57"/>
        <v/>
      </c>
      <c r="AF84" s="10" t="str">
        <f t="shared" si="74"/>
        <v/>
      </c>
      <c r="AG84" s="71"/>
      <c r="AH84" s="10" t="str">
        <f t="shared" si="58"/>
        <v/>
      </c>
      <c r="AI84" s="10" t="str">
        <f t="shared" si="75"/>
        <v/>
      </c>
      <c r="AJ84" s="71"/>
      <c r="AK84" s="10" t="str">
        <f t="shared" si="59"/>
        <v/>
      </c>
      <c r="AL84" s="10" t="str">
        <f t="shared" si="76"/>
        <v/>
      </c>
      <c r="AM84" s="71"/>
      <c r="AN84" s="10" t="str">
        <f t="shared" si="60"/>
        <v/>
      </c>
      <c r="AO84" s="10" t="str">
        <f t="shared" si="77"/>
        <v/>
      </c>
      <c r="AP84" s="71"/>
      <c r="AQ84" s="10" t="str">
        <f t="shared" si="61"/>
        <v/>
      </c>
      <c r="AR84" s="10" t="str">
        <f t="shared" si="78"/>
        <v/>
      </c>
      <c r="AS84" s="71"/>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U84" s="71"/>
      <c r="AV84" s="10" t="str">
        <f t="shared" si="62"/>
        <v/>
      </c>
      <c r="AW84" s="10" t="str">
        <f t="shared" si="79"/>
        <v/>
      </c>
      <c r="AX84" s="71"/>
      <c r="AY84" s="7" t="str">
        <f>IF(ISERROR(IF($K84&lt;=$F$15,VLOOKUP($I84,'表4）CO2価格'!$A$7:$E$67,VLOOKUP($F$48,'表4）CO2価格'!$H$10:$I$12,2,0),0)*$F$8/1000,"")),0,IF($K84&lt;=$F$15,VLOOKUP($I84,'表4）CO2価格'!$A$7:$E$67,VLOOKUP($F$48,'表4）CO2価格'!$H$10:$I$12,2,0),0)*$F$8/1000,""))</f>
        <v/>
      </c>
      <c r="AZ84" s="71"/>
      <c r="BA84" s="11" t="str">
        <f t="shared" si="63"/>
        <v/>
      </c>
      <c r="BB84" s="10" t="str">
        <f t="shared" si="80"/>
        <v/>
      </c>
      <c r="BC84" s="71"/>
      <c r="BD84" s="10" t="str">
        <f t="shared" si="64"/>
        <v/>
      </c>
      <c r="BE84" s="10" t="str">
        <f t="shared" si="81"/>
        <v/>
      </c>
      <c r="BF84" s="71"/>
      <c r="BG84" s="11" t="str">
        <f t="shared" si="65"/>
        <v/>
      </c>
      <c r="BH84" s="10" t="str">
        <f t="shared" si="82"/>
        <v/>
      </c>
      <c r="BJ84" s="7" t="str">
        <f t="shared" si="83"/>
        <v/>
      </c>
      <c r="BK84" s="158" t="str">
        <f t="shared" si="84"/>
        <v/>
      </c>
      <c r="BL84" s="158" t="str">
        <f t="shared" si="66"/>
        <v/>
      </c>
      <c r="BM84" s="10"/>
      <c r="BN84" s="10" t="str">
        <f t="shared" si="85"/>
        <v/>
      </c>
      <c r="BO84" s="10" t="str">
        <f t="shared" si="86"/>
        <v/>
      </c>
      <c r="BQ84" s="10" t="str">
        <f t="shared" si="67"/>
        <v/>
      </c>
      <c r="BR84" s="10" t="str">
        <f t="shared" si="87"/>
        <v/>
      </c>
    </row>
    <row r="85" spans="4:70" x14ac:dyDescent="0.15">
      <c r="D85" s="101" t="s">
        <v>195</v>
      </c>
      <c r="E85" s="113"/>
      <c r="F85" s="92"/>
      <c r="G85" s="101"/>
      <c r="I85" s="458">
        <f t="shared" si="88"/>
        <v>2090</v>
      </c>
      <c r="J85" s="39"/>
      <c r="K85" s="39">
        <f t="shared" si="89"/>
        <v>71</v>
      </c>
      <c r="L85" s="39"/>
      <c r="M85" s="40">
        <f t="shared" si="52"/>
        <v>0.12261879557071313</v>
      </c>
      <c r="N85" s="39"/>
      <c r="O85" s="72" t="str">
        <f t="shared" si="68"/>
        <v/>
      </c>
      <c r="P85" s="41" t="str">
        <f t="shared" si="53"/>
        <v/>
      </c>
      <c r="Q85" s="39"/>
      <c r="R85" s="72" t="str">
        <f t="shared" si="69"/>
        <v/>
      </c>
      <c r="S85" s="39"/>
      <c r="T85" s="72" t="str">
        <f t="shared" si="70"/>
        <v/>
      </c>
      <c r="U85" s="39"/>
      <c r="V85" s="72" t="str">
        <f t="shared" si="54"/>
        <v/>
      </c>
      <c r="W85" s="72" t="str">
        <f t="shared" si="71"/>
        <v/>
      </c>
      <c r="X85" s="39"/>
      <c r="Y85" s="72" t="str">
        <f t="shared" si="55"/>
        <v/>
      </c>
      <c r="Z85" s="72" t="str">
        <f t="shared" si="72"/>
        <v/>
      </c>
      <c r="AA85" s="39"/>
      <c r="AB85" s="72" t="str">
        <f t="shared" si="56"/>
        <v/>
      </c>
      <c r="AC85" s="72" t="str">
        <f t="shared" si="73"/>
        <v/>
      </c>
      <c r="AD85" s="39"/>
      <c r="AE85" s="72" t="str">
        <f t="shared" si="57"/>
        <v/>
      </c>
      <c r="AF85" s="72" t="str">
        <f t="shared" si="74"/>
        <v/>
      </c>
      <c r="AG85" s="39"/>
      <c r="AH85" s="72" t="str">
        <f t="shared" si="58"/>
        <v/>
      </c>
      <c r="AI85" s="72" t="str">
        <f t="shared" si="75"/>
        <v/>
      </c>
      <c r="AJ85" s="39"/>
      <c r="AK85" s="72" t="str">
        <f t="shared" si="59"/>
        <v/>
      </c>
      <c r="AL85" s="72" t="str">
        <f t="shared" si="76"/>
        <v/>
      </c>
      <c r="AM85" s="39"/>
      <c r="AN85" s="72" t="str">
        <f t="shared" si="60"/>
        <v/>
      </c>
      <c r="AO85" s="72" t="str">
        <f t="shared" si="77"/>
        <v/>
      </c>
      <c r="AP85" s="39"/>
      <c r="AQ85" s="72" t="str">
        <f t="shared" si="61"/>
        <v/>
      </c>
      <c r="AR85" s="72" t="str">
        <f t="shared" si="78"/>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62"/>
        <v/>
      </c>
      <c r="AW85" s="72" t="str">
        <f t="shared" si="79"/>
        <v/>
      </c>
      <c r="AX85" s="39"/>
      <c r="AY85" s="40" t="str">
        <f>IF(ISERROR(IF($K85&lt;=$F$15,VLOOKUP($I85,'表4）CO2価格'!$A$7:$E$67,VLOOKUP($F$48,'表4）CO2価格'!$H$10:$I$12,2,0),0)*$F$8/1000,"")),0,IF($K85&lt;=$F$15,VLOOKUP($I85,'表4）CO2価格'!$A$7:$E$67,VLOOKUP($F$48,'表4）CO2価格'!$H$10:$I$12,2,0),0)*$F$8/1000,""))</f>
        <v/>
      </c>
      <c r="AZ85" s="39"/>
      <c r="BA85" s="42" t="str">
        <f t="shared" si="63"/>
        <v/>
      </c>
      <c r="BB85" s="72" t="str">
        <f t="shared" si="80"/>
        <v/>
      </c>
      <c r="BC85" s="39"/>
      <c r="BD85" s="72" t="str">
        <f t="shared" si="64"/>
        <v/>
      </c>
      <c r="BE85" s="72" t="str">
        <f t="shared" si="81"/>
        <v/>
      </c>
      <c r="BF85" s="39"/>
      <c r="BG85" s="42" t="str">
        <f t="shared" si="65"/>
        <v/>
      </c>
      <c r="BH85" s="72" t="str">
        <f t="shared" si="82"/>
        <v/>
      </c>
      <c r="BI85" s="39"/>
      <c r="BJ85" s="40" t="str">
        <f t="shared" si="83"/>
        <v/>
      </c>
      <c r="BK85" s="157" t="str">
        <f t="shared" si="84"/>
        <v/>
      </c>
      <c r="BL85" s="157" t="str">
        <f t="shared" si="66"/>
        <v/>
      </c>
      <c r="BM85" s="72"/>
      <c r="BN85" s="72" t="str">
        <f t="shared" si="85"/>
        <v/>
      </c>
      <c r="BO85" s="72" t="str">
        <f t="shared" si="86"/>
        <v/>
      </c>
      <c r="BP85" s="39"/>
      <c r="BQ85" s="72" t="str">
        <f t="shared" si="67"/>
        <v/>
      </c>
      <c r="BR85" s="72" t="str">
        <f t="shared" si="87"/>
        <v/>
      </c>
    </row>
    <row r="86" spans="4:70" x14ac:dyDescent="0.15">
      <c r="F86" s="93"/>
      <c r="I86" s="459">
        <f t="shared" si="88"/>
        <v>2091</v>
      </c>
      <c r="J86" s="71"/>
      <c r="K86" s="71">
        <f t="shared" si="89"/>
        <v>72</v>
      </c>
      <c r="L86" s="71"/>
      <c r="M86" s="7">
        <f t="shared" si="52"/>
        <v>0.1190473743404982</v>
      </c>
      <c r="N86" s="71"/>
      <c r="O86" s="10" t="str">
        <f t="shared" si="68"/>
        <v/>
      </c>
      <c r="P86" s="29" t="str">
        <f t="shared" si="53"/>
        <v/>
      </c>
      <c r="Q86" s="71"/>
      <c r="R86" s="10" t="str">
        <f t="shared" si="69"/>
        <v/>
      </c>
      <c r="S86" s="71"/>
      <c r="T86" s="10" t="str">
        <f t="shared" si="70"/>
        <v/>
      </c>
      <c r="U86" s="71"/>
      <c r="V86" s="10" t="str">
        <f t="shared" si="54"/>
        <v/>
      </c>
      <c r="W86" s="10" t="str">
        <f t="shared" si="71"/>
        <v/>
      </c>
      <c r="X86" s="71"/>
      <c r="Y86" s="10" t="str">
        <f t="shared" si="55"/>
        <v/>
      </c>
      <c r="Z86" s="10" t="str">
        <f t="shared" si="72"/>
        <v/>
      </c>
      <c r="AA86" s="71"/>
      <c r="AB86" s="10" t="str">
        <f t="shared" si="56"/>
        <v/>
      </c>
      <c r="AC86" s="10" t="str">
        <f t="shared" si="73"/>
        <v/>
      </c>
      <c r="AD86" s="71"/>
      <c r="AE86" s="10" t="str">
        <f t="shared" si="57"/>
        <v/>
      </c>
      <c r="AF86" s="10" t="str">
        <f t="shared" si="74"/>
        <v/>
      </c>
      <c r="AG86" s="71"/>
      <c r="AH86" s="10" t="str">
        <f t="shared" si="58"/>
        <v/>
      </c>
      <c r="AI86" s="10" t="str">
        <f t="shared" si="75"/>
        <v/>
      </c>
      <c r="AJ86" s="71"/>
      <c r="AK86" s="10" t="str">
        <f t="shared" si="59"/>
        <v/>
      </c>
      <c r="AL86" s="10" t="str">
        <f t="shared" si="76"/>
        <v/>
      </c>
      <c r="AM86" s="71"/>
      <c r="AN86" s="10" t="str">
        <f t="shared" si="60"/>
        <v/>
      </c>
      <c r="AO86" s="10" t="str">
        <f t="shared" si="77"/>
        <v/>
      </c>
      <c r="AP86" s="71"/>
      <c r="AQ86" s="10" t="str">
        <f t="shared" si="61"/>
        <v/>
      </c>
      <c r="AR86" s="10" t="str">
        <f t="shared" si="78"/>
        <v/>
      </c>
      <c r="AS86" s="71"/>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U86" s="71"/>
      <c r="AV86" s="10" t="str">
        <f t="shared" si="62"/>
        <v/>
      </c>
      <c r="AW86" s="10" t="str">
        <f t="shared" si="79"/>
        <v/>
      </c>
      <c r="AX86" s="71"/>
      <c r="AY86" s="7" t="str">
        <f>IF(ISERROR(IF($K86&lt;=$F$15,VLOOKUP($I86,'表4）CO2価格'!$A$7:$E$67,VLOOKUP($F$48,'表4）CO2価格'!$H$10:$I$12,2,0),0)*$F$8/1000,"")),0,IF($K86&lt;=$F$15,VLOOKUP($I86,'表4）CO2価格'!$A$7:$E$67,VLOOKUP($F$48,'表4）CO2価格'!$H$10:$I$12,2,0),0)*$F$8/1000,""))</f>
        <v/>
      </c>
      <c r="AZ86" s="71"/>
      <c r="BA86" s="11" t="str">
        <f t="shared" si="63"/>
        <v/>
      </c>
      <c r="BB86" s="10" t="str">
        <f t="shared" si="80"/>
        <v/>
      </c>
      <c r="BC86" s="71"/>
      <c r="BD86" s="10" t="str">
        <f t="shared" si="64"/>
        <v/>
      </c>
      <c r="BE86" s="10" t="str">
        <f t="shared" si="81"/>
        <v/>
      </c>
      <c r="BF86" s="71"/>
      <c r="BG86" s="11" t="str">
        <f t="shared" si="65"/>
        <v/>
      </c>
      <c r="BH86" s="10" t="str">
        <f t="shared" si="82"/>
        <v/>
      </c>
      <c r="BJ86" s="7" t="str">
        <f t="shared" si="83"/>
        <v/>
      </c>
      <c r="BK86" s="158" t="str">
        <f t="shared" si="84"/>
        <v/>
      </c>
      <c r="BL86" s="158" t="str">
        <f t="shared" si="66"/>
        <v/>
      </c>
      <c r="BM86" s="10"/>
      <c r="BN86" s="10" t="str">
        <f t="shared" si="85"/>
        <v/>
      </c>
      <c r="BO86" s="10" t="str">
        <f t="shared" si="86"/>
        <v/>
      </c>
      <c r="BQ86" s="10" t="str">
        <f t="shared" si="67"/>
        <v/>
      </c>
      <c r="BR86" s="10" t="str">
        <f t="shared" si="87"/>
        <v/>
      </c>
    </row>
    <row r="87" spans="4:70" x14ac:dyDescent="0.15">
      <c r="E87" s="82" t="s">
        <v>232</v>
      </c>
      <c r="F87" s="91">
        <f>AI116/$BR$116</f>
        <v>3.1857279388340229</v>
      </c>
      <c r="G87" s="81" t="s">
        <v>132</v>
      </c>
      <c r="I87" s="458">
        <f t="shared" si="88"/>
        <v>2092</v>
      </c>
      <c r="J87" s="39"/>
      <c r="K87" s="39">
        <f t="shared" si="89"/>
        <v>73</v>
      </c>
      <c r="L87" s="39"/>
      <c r="M87" s="40">
        <f t="shared" si="52"/>
        <v>0.11557997508786232</v>
      </c>
      <c r="N87" s="39"/>
      <c r="O87" s="72" t="str">
        <f t="shared" si="68"/>
        <v/>
      </c>
      <c r="P87" s="41" t="str">
        <f t="shared" si="53"/>
        <v/>
      </c>
      <c r="Q87" s="39"/>
      <c r="R87" s="72" t="str">
        <f t="shared" si="69"/>
        <v/>
      </c>
      <c r="S87" s="39"/>
      <c r="T87" s="72" t="str">
        <f t="shared" si="70"/>
        <v/>
      </c>
      <c r="U87" s="39"/>
      <c r="V87" s="72" t="str">
        <f t="shared" si="54"/>
        <v/>
      </c>
      <c r="W87" s="72" t="str">
        <f t="shared" si="71"/>
        <v/>
      </c>
      <c r="X87" s="39"/>
      <c r="Y87" s="72" t="str">
        <f t="shared" si="55"/>
        <v/>
      </c>
      <c r="Z87" s="72" t="str">
        <f t="shared" si="72"/>
        <v/>
      </c>
      <c r="AA87" s="39"/>
      <c r="AB87" s="72" t="str">
        <f t="shared" si="56"/>
        <v/>
      </c>
      <c r="AC87" s="72" t="str">
        <f t="shared" si="73"/>
        <v/>
      </c>
      <c r="AD87" s="39"/>
      <c r="AE87" s="72" t="str">
        <f t="shared" si="57"/>
        <v/>
      </c>
      <c r="AF87" s="72" t="str">
        <f t="shared" si="74"/>
        <v/>
      </c>
      <c r="AG87" s="39"/>
      <c r="AH87" s="72" t="str">
        <f t="shared" si="58"/>
        <v/>
      </c>
      <c r="AI87" s="72" t="str">
        <f t="shared" si="75"/>
        <v/>
      </c>
      <c r="AJ87" s="39"/>
      <c r="AK87" s="72" t="str">
        <f t="shared" si="59"/>
        <v/>
      </c>
      <c r="AL87" s="72" t="str">
        <f t="shared" si="76"/>
        <v/>
      </c>
      <c r="AM87" s="39"/>
      <c r="AN87" s="72" t="str">
        <f t="shared" si="60"/>
        <v/>
      </c>
      <c r="AO87" s="72" t="str">
        <f t="shared" si="77"/>
        <v/>
      </c>
      <c r="AP87" s="39"/>
      <c r="AQ87" s="72" t="str">
        <f t="shared" si="61"/>
        <v/>
      </c>
      <c r="AR87" s="72" t="str">
        <f t="shared" si="78"/>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62"/>
        <v/>
      </c>
      <c r="AW87" s="72" t="str">
        <f t="shared" si="79"/>
        <v/>
      </c>
      <c r="AX87" s="39"/>
      <c r="AY87" s="40" t="str">
        <f>IF(ISERROR(IF($K87&lt;=$F$15,VLOOKUP($I87,'表4）CO2価格'!$A$7:$E$67,VLOOKUP($F$48,'表4）CO2価格'!$H$10:$I$12,2,0),0)*$F$8/1000,"")),0,IF($K87&lt;=$F$15,VLOOKUP($I87,'表4）CO2価格'!$A$7:$E$67,VLOOKUP($F$48,'表4）CO2価格'!$H$10:$I$12,2,0),0)*$F$8/1000,""))</f>
        <v/>
      </c>
      <c r="AZ87" s="39"/>
      <c r="BA87" s="42" t="str">
        <f t="shared" si="63"/>
        <v/>
      </c>
      <c r="BB87" s="72" t="str">
        <f t="shared" si="80"/>
        <v/>
      </c>
      <c r="BC87" s="39"/>
      <c r="BD87" s="72" t="str">
        <f t="shared" si="64"/>
        <v/>
      </c>
      <c r="BE87" s="72" t="str">
        <f t="shared" si="81"/>
        <v/>
      </c>
      <c r="BF87" s="39"/>
      <c r="BG87" s="42" t="str">
        <f t="shared" si="65"/>
        <v/>
      </c>
      <c r="BH87" s="72" t="str">
        <f t="shared" si="82"/>
        <v/>
      </c>
      <c r="BI87" s="39"/>
      <c r="BJ87" s="40" t="str">
        <f t="shared" si="83"/>
        <v/>
      </c>
      <c r="BK87" s="157" t="str">
        <f t="shared" si="84"/>
        <v/>
      </c>
      <c r="BL87" s="157" t="str">
        <f t="shared" si="66"/>
        <v/>
      </c>
      <c r="BM87" s="72"/>
      <c r="BN87" s="72" t="str">
        <f t="shared" si="85"/>
        <v/>
      </c>
      <c r="BO87" s="72" t="str">
        <f t="shared" si="86"/>
        <v/>
      </c>
      <c r="BP87" s="39"/>
      <c r="BQ87" s="72" t="str">
        <f t="shared" si="67"/>
        <v/>
      </c>
      <c r="BR87" s="72" t="str">
        <f t="shared" si="87"/>
        <v/>
      </c>
    </row>
    <row r="88" spans="4:70" x14ac:dyDescent="0.15">
      <c r="E88" s="82" t="s">
        <v>234</v>
      </c>
      <c r="F88" s="91">
        <f>AL116/$BR$116</f>
        <v>0</v>
      </c>
      <c r="G88" s="81" t="s">
        <v>132</v>
      </c>
      <c r="I88" s="459">
        <f t="shared" si="88"/>
        <v>2093</v>
      </c>
      <c r="J88" s="71"/>
      <c r="K88" s="71">
        <f t="shared" si="89"/>
        <v>74</v>
      </c>
      <c r="L88" s="71"/>
      <c r="M88" s="7">
        <f t="shared" si="52"/>
        <v>0.11221356804646829</v>
      </c>
      <c r="N88" s="71"/>
      <c r="O88" s="10" t="str">
        <f t="shared" si="68"/>
        <v/>
      </c>
      <c r="P88" s="29" t="str">
        <f t="shared" si="53"/>
        <v/>
      </c>
      <c r="Q88" s="71"/>
      <c r="R88" s="10" t="str">
        <f t="shared" si="69"/>
        <v/>
      </c>
      <c r="S88" s="71"/>
      <c r="T88" s="10" t="str">
        <f t="shared" si="70"/>
        <v/>
      </c>
      <c r="U88" s="71"/>
      <c r="V88" s="10" t="str">
        <f t="shared" si="54"/>
        <v/>
      </c>
      <c r="W88" s="10" t="str">
        <f t="shared" si="71"/>
        <v/>
      </c>
      <c r="X88" s="71"/>
      <c r="Y88" s="10" t="str">
        <f t="shared" si="55"/>
        <v/>
      </c>
      <c r="Z88" s="10" t="str">
        <f t="shared" si="72"/>
        <v/>
      </c>
      <c r="AA88" s="71"/>
      <c r="AB88" s="10" t="str">
        <f t="shared" si="56"/>
        <v/>
      </c>
      <c r="AC88" s="10" t="str">
        <f t="shared" si="73"/>
        <v/>
      </c>
      <c r="AD88" s="71"/>
      <c r="AE88" s="10" t="str">
        <f t="shared" si="57"/>
        <v/>
      </c>
      <c r="AF88" s="10" t="str">
        <f t="shared" si="74"/>
        <v/>
      </c>
      <c r="AG88" s="71"/>
      <c r="AH88" s="10" t="str">
        <f t="shared" si="58"/>
        <v/>
      </c>
      <c r="AI88" s="10" t="str">
        <f t="shared" si="75"/>
        <v/>
      </c>
      <c r="AJ88" s="71"/>
      <c r="AK88" s="10" t="str">
        <f t="shared" si="59"/>
        <v/>
      </c>
      <c r="AL88" s="10" t="str">
        <f t="shared" si="76"/>
        <v/>
      </c>
      <c r="AM88" s="71"/>
      <c r="AN88" s="10" t="str">
        <f t="shared" si="60"/>
        <v/>
      </c>
      <c r="AO88" s="10" t="str">
        <f t="shared" si="77"/>
        <v/>
      </c>
      <c r="AP88" s="71"/>
      <c r="AQ88" s="10" t="str">
        <f t="shared" si="61"/>
        <v/>
      </c>
      <c r="AR88" s="10" t="str">
        <f t="shared" si="78"/>
        <v/>
      </c>
      <c r="AS88" s="71"/>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U88" s="71"/>
      <c r="AV88" s="10" t="str">
        <f t="shared" si="62"/>
        <v/>
      </c>
      <c r="AW88" s="10" t="str">
        <f t="shared" si="79"/>
        <v/>
      </c>
      <c r="AX88" s="71"/>
      <c r="AY88" s="7" t="str">
        <f>IF(ISERROR(IF($K88&lt;=$F$15,VLOOKUP($I88,'表4）CO2価格'!$A$7:$E$67,VLOOKUP($F$48,'表4）CO2価格'!$H$10:$I$12,2,0),0)*$F$8/1000,"")),0,IF($K88&lt;=$F$15,VLOOKUP($I88,'表4）CO2価格'!$A$7:$E$67,VLOOKUP($F$48,'表4）CO2価格'!$H$10:$I$12,2,0),0)*$F$8/1000,""))</f>
        <v/>
      </c>
      <c r="AZ88" s="71"/>
      <c r="BA88" s="11" t="str">
        <f t="shared" si="63"/>
        <v/>
      </c>
      <c r="BB88" s="10" t="str">
        <f t="shared" si="80"/>
        <v/>
      </c>
      <c r="BC88" s="71"/>
      <c r="BD88" s="10" t="str">
        <f t="shared" si="64"/>
        <v/>
      </c>
      <c r="BE88" s="10" t="str">
        <f t="shared" si="81"/>
        <v/>
      </c>
      <c r="BF88" s="71"/>
      <c r="BG88" s="11" t="str">
        <f t="shared" si="65"/>
        <v/>
      </c>
      <c r="BH88" s="10" t="str">
        <f t="shared" si="82"/>
        <v/>
      </c>
      <c r="BJ88" s="7" t="str">
        <f t="shared" si="83"/>
        <v/>
      </c>
      <c r="BK88" s="158" t="str">
        <f t="shared" si="84"/>
        <v/>
      </c>
      <c r="BL88" s="158" t="str">
        <f t="shared" si="66"/>
        <v/>
      </c>
      <c r="BM88" s="10"/>
      <c r="BN88" s="10" t="str">
        <f t="shared" si="85"/>
        <v/>
      </c>
      <c r="BO88" s="10" t="str">
        <f t="shared" si="86"/>
        <v/>
      </c>
      <c r="BQ88" s="10" t="str">
        <f t="shared" si="67"/>
        <v/>
      </c>
      <c r="BR88" s="10" t="str">
        <f t="shared" si="87"/>
        <v/>
      </c>
    </row>
    <row r="89" spans="4:70" x14ac:dyDescent="0.15">
      <c r="E89" s="82" t="s">
        <v>235</v>
      </c>
      <c r="F89" s="91">
        <f>AO116/$BR$116</f>
        <v>0</v>
      </c>
      <c r="G89" s="81" t="s">
        <v>132</v>
      </c>
      <c r="I89" s="458">
        <f t="shared" si="88"/>
        <v>2094</v>
      </c>
      <c r="J89" s="39"/>
      <c r="K89" s="39">
        <f t="shared" si="89"/>
        <v>75</v>
      </c>
      <c r="L89" s="39"/>
      <c r="M89" s="40">
        <f t="shared" si="52"/>
        <v>0.10894521169560026</v>
      </c>
      <c r="N89" s="39"/>
      <c r="O89" s="72" t="str">
        <f t="shared" si="68"/>
        <v/>
      </c>
      <c r="P89" s="41" t="str">
        <f t="shared" si="53"/>
        <v/>
      </c>
      <c r="Q89" s="39"/>
      <c r="R89" s="72" t="str">
        <f t="shared" si="69"/>
        <v/>
      </c>
      <c r="S89" s="39"/>
      <c r="T89" s="72" t="str">
        <f t="shared" si="70"/>
        <v/>
      </c>
      <c r="U89" s="39"/>
      <c r="V89" s="72" t="str">
        <f t="shared" si="54"/>
        <v/>
      </c>
      <c r="W89" s="72" t="str">
        <f t="shared" si="71"/>
        <v/>
      </c>
      <c r="X89" s="39"/>
      <c r="Y89" s="72" t="str">
        <f t="shared" si="55"/>
        <v/>
      </c>
      <c r="Z89" s="72" t="str">
        <f t="shared" si="72"/>
        <v/>
      </c>
      <c r="AA89" s="39"/>
      <c r="AB89" s="72" t="str">
        <f t="shared" si="56"/>
        <v/>
      </c>
      <c r="AC89" s="72" t="str">
        <f t="shared" si="73"/>
        <v/>
      </c>
      <c r="AD89" s="39"/>
      <c r="AE89" s="72" t="str">
        <f t="shared" si="57"/>
        <v/>
      </c>
      <c r="AF89" s="72" t="str">
        <f t="shared" si="74"/>
        <v/>
      </c>
      <c r="AG89" s="39"/>
      <c r="AH89" s="72" t="str">
        <f t="shared" si="58"/>
        <v/>
      </c>
      <c r="AI89" s="72" t="str">
        <f t="shared" si="75"/>
        <v/>
      </c>
      <c r="AJ89" s="39"/>
      <c r="AK89" s="72" t="str">
        <f t="shared" si="59"/>
        <v/>
      </c>
      <c r="AL89" s="72" t="str">
        <f t="shared" si="76"/>
        <v/>
      </c>
      <c r="AM89" s="39"/>
      <c r="AN89" s="72" t="str">
        <f t="shared" si="60"/>
        <v/>
      </c>
      <c r="AO89" s="72" t="str">
        <f t="shared" si="77"/>
        <v/>
      </c>
      <c r="AP89" s="39"/>
      <c r="AQ89" s="72" t="str">
        <f t="shared" si="61"/>
        <v/>
      </c>
      <c r="AR89" s="72" t="str">
        <f t="shared" si="78"/>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62"/>
        <v/>
      </c>
      <c r="AW89" s="72" t="str">
        <f t="shared" si="79"/>
        <v/>
      </c>
      <c r="AX89" s="39"/>
      <c r="AY89" s="40" t="str">
        <f>IF(ISERROR(IF($K89&lt;=$F$15,VLOOKUP($I89,'表4）CO2価格'!$A$7:$E$67,VLOOKUP($F$48,'表4）CO2価格'!$H$10:$I$12,2,0),0)*$F$8/1000,"")),0,IF($K89&lt;=$F$15,VLOOKUP($I89,'表4）CO2価格'!$A$7:$E$67,VLOOKUP($F$48,'表4）CO2価格'!$H$10:$I$12,2,0),0)*$F$8/1000,""))</f>
        <v/>
      </c>
      <c r="AZ89" s="39"/>
      <c r="BA89" s="42" t="str">
        <f t="shared" si="63"/>
        <v/>
      </c>
      <c r="BB89" s="72" t="str">
        <f t="shared" si="80"/>
        <v/>
      </c>
      <c r="BC89" s="39"/>
      <c r="BD89" s="72" t="str">
        <f t="shared" si="64"/>
        <v/>
      </c>
      <c r="BE89" s="72" t="str">
        <f t="shared" si="81"/>
        <v/>
      </c>
      <c r="BF89" s="39"/>
      <c r="BG89" s="42" t="str">
        <f t="shared" si="65"/>
        <v/>
      </c>
      <c r="BH89" s="72" t="str">
        <f t="shared" si="82"/>
        <v/>
      </c>
      <c r="BI89" s="39"/>
      <c r="BJ89" s="40" t="str">
        <f t="shared" si="83"/>
        <v/>
      </c>
      <c r="BK89" s="157" t="str">
        <f t="shared" si="84"/>
        <v/>
      </c>
      <c r="BL89" s="157" t="str">
        <f t="shared" si="66"/>
        <v/>
      </c>
      <c r="BM89" s="72"/>
      <c r="BN89" s="72" t="str">
        <f t="shared" si="85"/>
        <v/>
      </c>
      <c r="BO89" s="72" t="str">
        <f t="shared" si="86"/>
        <v/>
      </c>
      <c r="BP89" s="39"/>
      <c r="BQ89" s="72" t="str">
        <f t="shared" si="67"/>
        <v/>
      </c>
      <c r="BR89" s="72" t="str">
        <f t="shared" si="87"/>
        <v/>
      </c>
    </row>
    <row r="90" spans="4:70" x14ac:dyDescent="0.15">
      <c r="E90" s="82" t="s">
        <v>236</v>
      </c>
      <c r="F90" s="91">
        <f>AR116/$BR$116</f>
        <v>0</v>
      </c>
      <c r="G90" s="81" t="s">
        <v>132</v>
      </c>
      <c r="I90" s="459">
        <f t="shared" si="88"/>
        <v>2095</v>
      </c>
      <c r="J90" s="71"/>
      <c r="K90" s="71">
        <f t="shared" si="89"/>
        <v>76</v>
      </c>
      <c r="L90" s="71"/>
      <c r="M90" s="7">
        <f t="shared" si="52"/>
        <v>0.10577205018990318</v>
      </c>
      <c r="N90" s="71"/>
      <c r="O90" s="10" t="str">
        <f t="shared" si="68"/>
        <v/>
      </c>
      <c r="P90" s="29" t="str">
        <f t="shared" si="53"/>
        <v/>
      </c>
      <c r="Q90" s="71"/>
      <c r="R90" s="10" t="str">
        <f t="shared" si="69"/>
        <v/>
      </c>
      <c r="S90" s="71"/>
      <c r="T90" s="10" t="str">
        <f t="shared" si="70"/>
        <v/>
      </c>
      <c r="U90" s="71"/>
      <c r="V90" s="10" t="str">
        <f t="shared" si="54"/>
        <v/>
      </c>
      <c r="W90" s="10" t="str">
        <f t="shared" si="71"/>
        <v/>
      </c>
      <c r="X90" s="71"/>
      <c r="Y90" s="10" t="str">
        <f t="shared" si="55"/>
        <v/>
      </c>
      <c r="Z90" s="10" t="str">
        <f t="shared" si="72"/>
        <v/>
      </c>
      <c r="AA90" s="71"/>
      <c r="AB90" s="10" t="str">
        <f t="shared" si="56"/>
        <v/>
      </c>
      <c r="AC90" s="10" t="str">
        <f t="shared" si="73"/>
        <v/>
      </c>
      <c r="AD90" s="71"/>
      <c r="AE90" s="10" t="str">
        <f t="shared" si="57"/>
        <v/>
      </c>
      <c r="AF90" s="10" t="str">
        <f t="shared" si="74"/>
        <v/>
      </c>
      <c r="AG90" s="71"/>
      <c r="AH90" s="10" t="str">
        <f t="shared" si="58"/>
        <v/>
      </c>
      <c r="AI90" s="10" t="str">
        <f t="shared" si="75"/>
        <v/>
      </c>
      <c r="AJ90" s="71"/>
      <c r="AK90" s="10" t="str">
        <f t="shared" si="59"/>
        <v/>
      </c>
      <c r="AL90" s="10" t="str">
        <f t="shared" si="76"/>
        <v/>
      </c>
      <c r="AM90" s="71"/>
      <c r="AN90" s="10" t="str">
        <f t="shared" si="60"/>
        <v/>
      </c>
      <c r="AO90" s="10" t="str">
        <f t="shared" si="77"/>
        <v/>
      </c>
      <c r="AP90" s="71"/>
      <c r="AQ90" s="10" t="str">
        <f t="shared" si="61"/>
        <v/>
      </c>
      <c r="AR90" s="10" t="str">
        <f t="shared" si="78"/>
        <v/>
      </c>
      <c r="AS90" s="71"/>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U90" s="71"/>
      <c r="AV90" s="10" t="str">
        <f t="shared" si="62"/>
        <v/>
      </c>
      <c r="AW90" s="10" t="str">
        <f t="shared" si="79"/>
        <v/>
      </c>
      <c r="AX90" s="71"/>
      <c r="AY90" s="7" t="str">
        <f>IF(ISERROR(IF($K90&lt;=$F$15,VLOOKUP($I90,'表4）CO2価格'!$A$7:$E$67,VLOOKUP($F$48,'表4）CO2価格'!$H$10:$I$12,2,0),0)*$F$8/1000,"")),0,IF($K90&lt;=$F$15,VLOOKUP($I90,'表4）CO2価格'!$A$7:$E$67,VLOOKUP($F$48,'表4）CO2価格'!$H$10:$I$12,2,0),0)*$F$8/1000,""))</f>
        <v/>
      </c>
      <c r="AZ90" s="71"/>
      <c r="BA90" s="11" t="str">
        <f t="shared" si="63"/>
        <v/>
      </c>
      <c r="BB90" s="10" t="str">
        <f t="shared" si="80"/>
        <v/>
      </c>
      <c r="BC90" s="71"/>
      <c r="BD90" s="10" t="str">
        <f t="shared" si="64"/>
        <v/>
      </c>
      <c r="BE90" s="10" t="str">
        <f t="shared" si="81"/>
        <v/>
      </c>
      <c r="BF90" s="71"/>
      <c r="BG90" s="11" t="str">
        <f t="shared" si="65"/>
        <v/>
      </c>
      <c r="BH90" s="10" t="str">
        <f t="shared" si="82"/>
        <v/>
      </c>
      <c r="BJ90" s="7" t="str">
        <f t="shared" si="83"/>
        <v/>
      </c>
      <c r="BK90" s="158" t="str">
        <f t="shared" si="84"/>
        <v/>
      </c>
      <c r="BL90" s="158" t="str">
        <f t="shared" si="66"/>
        <v/>
      </c>
      <c r="BM90" s="10"/>
      <c r="BN90" s="10" t="str">
        <f t="shared" si="85"/>
        <v/>
      </c>
      <c r="BO90" s="10" t="str">
        <f t="shared" si="86"/>
        <v/>
      </c>
      <c r="BQ90" s="10" t="str">
        <f t="shared" si="67"/>
        <v/>
      </c>
      <c r="BR90" s="10" t="str">
        <f t="shared" si="87"/>
        <v/>
      </c>
    </row>
    <row r="91" spans="4:70" x14ac:dyDescent="0.15">
      <c r="F91" s="93"/>
      <c r="I91" s="458">
        <f t="shared" si="88"/>
        <v>2096</v>
      </c>
      <c r="J91" s="39"/>
      <c r="K91" s="39">
        <f t="shared" si="89"/>
        <v>77</v>
      </c>
      <c r="L91" s="39"/>
      <c r="M91" s="40">
        <f t="shared" si="52"/>
        <v>0.10269131086398368</v>
      </c>
      <c r="N91" s="39"/>
      <c r="O91" s="72" t="str">
        <f t="shared" si="68"/>
        <v/>
      </c>
      <c r="P91" s="41" t="str">
        <f t="shared" si="53"/>
        <v/>
      </c>
      <c r="Q91" s="39"/>
      <c r="R91" s="72" t="str">
        <f t="shared" si="69"/>
        <v/>
      </c>
      <c r="S91" s="39"/>
      <c r="T91" s="72" t="str">
        <f t="shared" si="70"/>
        <v/>
      </c>
      <c r="U91" s="39"/>
      <c r="V91" s="72" t="str">
        <f t="shared" si="54"/>
        <v/>
      </c>
      <c r="W91" s="72" t="str">
        <f t="shared" si="71"/>
        <v/>
      </c>
      <c r="X91" s="39"/>
      <c r="Y91" s="72" t="str">
        <f t="shared" si="55"/>
        <v/>
      </c>
      <c r="Z91" s="72" t="str">
        <f t="shared" si="72"/>
        <v/>
      </c>
      <c r="AA91" s="39"/>
      <c r="AB91" s="72" t="str">
        <f t="shared" si="56"/>
        <v/>
      </c>
      <c r="AC91" s="72" t="str">
        <f t="shared" si="73"/>
        <v/>
      </c>
      <c r="AD91" s="39"/>
      <c r="AE91" s="72" t="str">
        <f t="shared" si="57"/>
        <v/>
      </c>
      <c r="AF91" s="72" t="str">
        <f t="shared" si="74"/>
        <v/>
      </c>
      <c r="AG91" s="39"/>
      <c r="AH91" s="72" t="str">
        <f t="shared" si="58"/>
        <v/>
      </c>
      <c r="AI91" s="72" t="str">
        <f t="shared" si="75"/>
        <v/>
      </c>
      <c r="AJ91" s="39"/>
      <c r="AK91" s="72" t="str">
        <f t="shared" si="59"/>
        <v/>
      </c>
      <c r="AL91" s="72" t="str">
        <f t="shared" si="76"/>
        <v/>
      </c>
      <c r="AM91" s="39"/>
      <c r="AN91" s="72" t="str">
        <f t="shared" si="60"/>
        <v/>
      </c>
      <c r="AO91" s="72" t="str">
        <f t="shared" si="77"/>
        <v/>
      </c>
      <c r="AP91" s="39"/>
      <c r="AQ91" s="72" t="str">
        <f t="shared" si="61"/>
        <v/>
      </c>
      <c r="AR91" s="72" t="str">
        <f t="shared" si="78"/>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62"/>
        <v/>
      </c>
      <c r="AW91" s="72" t="str">
        <f t="shared" si="79"/>
        <v/>
      </c>
      <c r="AX91" s="39"/>
      <c r="AY91" s="40" t="str">
        <f>IF(ISERROR(IF($K91&lt;=$F$15,VLOOKUP($I91,'表4）CO2価格'!$A$7:$E$67,VLOOKUP($F$48,'表4）CO2価格'!$H$10:$I$12,2,0),0)*$F$8/1000,"")),0,IF($K91&lt;=$F$15,VLOOKUP($I91,'表4）CO2価格'!$A$7:$E$67,VLOOKUP($F$48,'表4）CO2価格'!$H$10:$I$12,2,0),0)*$F$8/1000,""))</f>
        <v/>
      </c>
      <c r="AZ91" s="39"/>
      <c r="BA91" s="42" t="str">
        <f t="shared" si="63"/>
        <v/>
      </c>
      <c r="BB91" s="72" t="str">
        <f t="shared" si="80"/>
        <v/>
      </c>
      <c r="BC91" s="39"/>
      <c r="BD91" s="72" t="str">
        <f t="shared" si="64"/>
        <v/>
      </c>
      <c r="BE91" s="72" t="str">
        <f t="shared" si="81"/>
        <v/>
      </c>
      <c r="BF91" s="39"/>
      <c r="BG91" s="42" t="str">
        <f t="shared" si="65"/>
        <v/>
      </c>
      <c r="BH91" s="72" t="str">
        <f t="shared" si="82"/>
        <v/>
      </c>
      <c r="BI91" s="39"/>
      <c r="BJ91" s="40" t="str">
        <f t="shared" si="83"/>
        <v/>
      </c>
      <c r="BK91" s="157" t="str">
        <f t="shared" si="84"/>
        <v/>
      </c>
      <c r="BL91" s="157" t="str">
        <f t="shared" si="66"/>
        <v/>
      </c>
      <c r="BM91" s="72"/>
      <c r="BN91" s="72" t="str">
        <f t="shared" si="85"/>
        <v/>
      </c>
      <c r="BO91" s="72" t="str">
        <f t="shared" si="86"/>
        <v/>
      </c>
      <c r="BP91" s="39"/>
      <c r="BQ91" s="72" t="str">
        <f t="shared" si="67"/>
        <v/>
      </c>
      <c r="BR91" s="72" t="str">
        <f t="shared" si="87"/>
        <v/>
      </c>
    </row>
    <row r="92" spans="4:70" ht="15" x14ac:dyDescent="0.15">
      <c r="D92" s="116" t="s">
        <v>196</v>
      </c>
      <c r="F92" s="94">
        <f>SUBTOTAL(9,F96:F97)</f>
        <v>0</v>
      </c>
      <c r="I92" s="459">
        <f t="shared" si="88"/>
        <v>2097</v>
      </c>
      <c r="J92" s="71"/>
      <c r="K92" s="71">
        <f t="shared" si="89"/>
        <v>78</v>
      </c>
      <c r="L92" s="71"/>
      <c r="M92" s="7">
        <f t="shared" si="52"/>
        <v>9.9700301809692873E-2</v>
      </c>
      <c r="N92" s="71"/>
      <c r="O92" s="10" t="str">
        <f t="shared" si="68"/>
        <v/>
      </c>
      <c r="P92" s="29" t="str">
        <f t="shared" si="53"/>
        <v/>
      </c>
      <c r="Q92" s="71"/>
      <c r="R92" s="10" t="str">
        <f t="shared" si="69"/>
        <v/>
      </c>
      <c r="S92" s="71"/>
      <c r="T92" s="10" t="str">
        <f t="shared" si="70"/>
        <v/>
      </c>
      <c r="U92" s="71"/>
      <c r="V92" s="10" t="str">
        <f t="shared" si="54"/>
        <v/>
      </c>
      <c r="W92" s="10" t="str">
        <f t="shared" si="71"/>
        <v/>
      </c>
      <c r="X92" s="71"/>
      <c r="Y92" s="10" t="str">
        <f t="shared" si="55"/>
        <v/>
      </c>
      <c r="Z92" s="10" t="str">
        <f t="shared" si="72"/>
        <v/>
      </c>
      <c r="AA92" s="71"/>
      <c r="AB92" s="10" t="str">
        <f t="shared" si="56"/>
        <v/>
      </c>
      <c r="AC92" s="10" t="str">
        <f t="shared" si="73"/>
        <v/>
      </c>
      <c r="AD92" s="71"/>
      <c r="AE92" s="10" t="str">
        <f t="shared" si="57"/>
        <v/>
      </c>
      <c r="AF92" s="10" t="str">
        <f t="shared" si="74"/>
        <v/>
      </c>
      <c r="AG92" s="71"/>
      <c r="AH92" s="10" t="str">
        <f t="shared" si="58"/>
        <v/>
      </c>
      <c r="AI92" s="10" t="str">
        <f t="shared" si="75"/>
        <v/>
      </c>
      <c r="AJ92" s="71"/>
      <c r="AK92" s="10" t="str">
        <f t="shared" si="59"/>
        <v/>
      </c>
      <c r="AL92" s="10" t="str">
        <f t="shared" si="76"/>
        <v/>
      </c>
      <c r="AM92" s="71"/>
      <c r="AN92" s="10" t="str">
        <f t="shared" si="60"/>
        <v/>
      </c>
      <c r="AO92" s="10" t="str">
        <f t="shared" si="77"/>
        <v/>
      </c>
      <c r="AP92" s="71"/>
      <c r="AQ92" s="10" t="str">
        <f t="shared" si="61"/>
        <v/>
      </c>
      <c r="AR92" s="10" t="str">
        <f t="shared" si="78"/>
        <v/>
      </c>
      <c r="AS92" s="71"/>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U92" s="71"/>
      <c r="AV92" s="10" t="str">
        <f t="shared" si="62"/>
        <v/>
      </c>
      <c r="AW92" s="10" t="str">
        <f t="shared" si="79"/>
        <v/>
      </c>
      <c r="AX92" s="71"/>
      <c r="AY92" s="7" t="str">
        <f>IF(ISERROR(IF($K92&lt;=$F$15,VLOOKUP($I92,'表4）CO2価格'!$A$7:$E$67,VLOOKUP($F$48,'表4）CO2価格'!$H$10:$I$12,2,0),0)*$F$8/1000,"")),0,IF($K92&lt;=$F$15,VLOOKUP($I92,'表4）CO2価格'!$A$7:$E$67,VLOOKUP($F$48,'表4）CO2価格'!$H$10:$I$12,2,0),0)*$F$8/1000,""))</f>
        <v/>
      </c>
      <c r="AZ92" s="71"/>
      <c r="BA92" s="11" t="str">
        <f t="shared" si="63"/>
        <v/>
      </c>
      <c r="BB92" s="10" t="str">
        <f t="shared" si="80"/>
        <v/>
      </c>
      <c r="BC92" s="71"/>
      <c r="BD92" s="10" t="str">
        <f t="shared" si="64"/>
        <v/>
      </c>
      <c r="BE92" s="10" t="str">
        <f t="shared" si="81"/>
        <v/>
      </c>
      <c r="BF92" s="71"/>
      <c r="BG92" s="11" t="str">
        <f t="shared" si="65"/>
        <v/>
      </c>
      <c r="BH92" s="10" t="str">
        <f t="shared" si="82"/>
        <v/>
      </c>
      <c r="BJ92" s="7" t="str">
        <f t="shared" si="83"/>
        <v/>
      </c>
      <c r="BK92" s="158" t="str">
        <f t="shared" si="84"/>
        <v/>
      </c>
      <c r="BL92" s="158" t="str">
        <f t="shared" si="66"/>
        <v/>
      </c>
      <c r="BM92" s="10"/>
      <c r="BN92" s="10" t="str">
        <f t="shared" si="85"/>
        <v/>
      </c>
      <c r="BO92" s="10" t="str">
        <f t="shared" si="86"/>
        <v/>
      </c>
      <c r="BQ92" s="10" t="str">
        <f t="shared" si="67"/>
        <v/>
      </c>
      <c r="BR92" s="10" t="str">
        <f t="shared" si="87"/>
        <v/>
      </c>
    </row>
    <row r="93" spans="4:70" ht="15" x14ac:dyDescent="0.15">
      <c r="D93" s="116"/>
      <c r="F93" s="93"/>
      <c r="I93" s="458">
        <f t="shared" si="88"/>
        <v>2098</v>
      </c>
      <c r="J93" s="39"/>
      <c r="K93" s="39">
        <f t="shared" si="89"/>
        <v>79</v>
      </c>
      <c r="L93" s="39"/>
      <c r="M93" s="40">
        <f t="shared" si="52"/>
        <v>9.679640952397367E-2</v>
      </c>
      <c r="N93" s="39"/>
      <c r="O93" s="72" t="str">
        <f t="shared" si="68"/>
        <v/>
      </c>
      <c r="P93" s="41" t="str">
        <f t="shared" si="53"/>
        <v/>
      </c>
      <c r="Q93" s="39"/>
      <c r="R93" s="72" t="str">
        <f t="shared" si="69"/>
        <v/>
      </c>
      <c r="S93" s="39"/>
      <c r="T93" s="72" t="str">
        <f t="shared" si="70"/>
        <v/>
      </c>
      <c r="U93" s="39"/>
      <c r="V93" s="72" t="str">
        <f t="shared" si="54"/>
        <v/>
      </c>
      <c r="W93" s="72" t="str">
        <f t="shared" si="71"/>
        <v/>
      </c>
      <c r="X93" s="39"/>
      <c r="Y93" s="72" t="str">
        <f t="shared" si="55"/>
        <v/>
      </c>
      <c r="Z93" s="72" t="str">
        <f t="shared" si="72"/>
        <v/>
      </c>
      <c r="AA93" s="39"/>
      <c r="AB93" s="72" t="str">
        <f t="shared" si="56"/>
        <v/>
      </c>
      <c r="AC93" s="72" t="str">
        <f t="shared" si="73"/>
        <v/>
      </c>
      <c r="AD93" s="39"/>
      <c r="AE93" s="72" t="str">
        <f t="shared" si="57"/>
        <v/>
      </c>
      <c r="AF93" s="72" t="str">
        <f t="shared" si="74"/>
        <v/>
      </c>
      <c r="AG93" s="39"/>
      <c r="AH93" s="72" t="str">
        <f t="shared" si="58"/>
        <v/>
      </c>
      <c r="AI93" s="72" t="str">
        <f t="shared" si="75"/>
        <v/>
      </c>
      <c r="AJ93" s="39"/>
      <c r="AK93" s="72" t="str">
        <f t="shared" si="59"/>
        <v/>
      </c>
      <c r="AL93" s="72" t="str">
        <f t="shared" si="76"/>
        <v/>
      </c>
      <c r="AM93" s="39"/>
      <c r="AN93" s="72" t="str">
        <f t="shared" si="60"/>
        <v/>
      </c>
      <c r="AO93" s="72" t="str">
        <f t="shared" si="77"/>
        <v/>
      </c>
      <c r="AP93" s="39"/>
      <c r="AQ93" s="72" t="str">
        <f t="shared" si="61"/>
        <v/>
      </c>
      <c r="AR93" s="72" t="str">
        <f t="shared" si="78"/>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62"/>
        <v/>
      </c>
      <c r="AW93" s="72" t="str">
        <f t="shared" si="79"/>
        <v/>
      </c>
      <c r="AX93" s="39"/>
      <c r="AY93" s="40" t="str">
        <f>IF(ISERROR(IF($K93&lt;=$F$15,VLOOKUP($I93,'表4）CO2価格'!$A$7:$E$67,VLOOKUP($F$48,'表4）CO2価格'!$H$10:$I$12,2,0),0)*$F$8/1000,"")),0,IF($K93&lt;=$F$15,VLOOKUP($I93,'表4）CO2価格'!$A$7:$E$67,VLOOKUP($F$48,'表4）CO2価格'!$H$10:$I$12,2,0),0)*$F$8/1000,""))</f>
        <v/>
      </c>
      <c r="AZ93" s="39"/>
      <c r="BA93" s="42" t="str">
        <f t="shared" si="63"/>
        <v/>
      </c>
      <c r="BB93" s="72" t="str">
        <f t="shared" si="80"/>
        <v/>
      </c>
      <c r="BC93" s="39"/>
      <c r="BD93" s="72" t="str">
        <f t="shared" si="64"/>
        <v/>
      </c>
      <c r="BE93" s="72" t="str">
        <f t="shared" si="81"/>
        <v/>
      </c>
      <c r="BF93" s="39"/>
      <c r="BG93" s="42" t="str">
        <f t="shared" si="65"/>
        <v/>
      </c>
      <c r="BH93" s="72" t="str">
        <f t="shared" si="82"/>
        <v/>
      </c>
      <c r="BI93" s="39"/>
      <c r="BJ93" s="40" t="str">
        <f t="shared" si="83"/>
        <v/>
      </c>
      <c r="BK93" s="157" t="str">
        <f t="shared" si="84"/>
        <v/>
      </c>
      <c r="BL93" s="157" t="str">
        <f t="shared" si="66"/>
        <v/>
      </c>
      <c r="BM93" s="72"/>
      <c r="BN93" s="72" t="str">
        <f t="shared" si="85"/>
        <v/>
      </c>
      <c r="BO93" s="72" t="str">
        <f t="shared" si="86"/>
        <v/>
      </c>
      <c r="BP93" s="39"/>
      <c r="BQ93" s="72" t="str">
        <f t="shared" si="67"/>
        <v/>
      </c>
      <c r="BR93" s="72" t="str">
        <f t="shared" si="87"/>
        <v/>
      </c>
    </row>
    <row r="94" spans="4:70" x14ac:dyDescent="0.15">
      <c r="D94" s="101" t="s">
        <v>197</v>
      </c>
      <c r="E94" s="101"/>
      <c r="F94" s="92"/>
      <c r="G94" s="101"/>
      <c r="I94" s="459">
        <f t="shared" si="88"/>
        <v>2099</v>
      </c>
      <c r="J94" s="71"/>
      <c r="K94" s="71">
        <f t="shared" si="89"/>
        <v>80</v>
      </c>
      <c r="L94" s="71"/>
      <c r="M94" s="7">
        <f t="shared" si="52"/>
        <v>9.3977096625217166E-2</v>
      </c>
      <c r="N94" s="71"/>
      <c r="O94" s="10" t="str">
        <f t="shared" si="68"/>
        <v/>
      </c>
      <c r="P94" s="29" t="str">
        <f t="shared" si="53"/>
        <v/>
      </c>
      <c r="Q94" s="71"/>
      <c r="R94" s="10" t="str">
        <f t="shared" si="69"/>
        <v/>
      </c>
      <c r="S94" s="71"/>
      <c r="T94" s="10" t="str">
        <f t="shared" si="70"/>
        <v/>
      </c>
      <c r="U94" s="71"/>
      <c r="V94" s="10" t="str">
        <f t="shared" si="54"/>
        <v/>
      </c>
      <c r="W94" s="10" t="str">
        <f t="shared" si="71"/>
        <v/>
      </c>
      <c r="X94" s="71"/>
      <c r="Y94" s="10" t="str">
        <f t="shared" si="55"/>
        <v/>
      </c>
      <c r="Z94" s="10" t="str">
        <f t="shared" si="72"/>
        <v/>
      </c>
      <c r="AA94" s="71"/>
      <c r="AB94" s="10" t="str">
        <f t="shared" si="56"/>
        <v/>
      </c>
      <c r="AC94" s="10" t="str">
        <f t="shared" si="73"/>
        <v/>
      </c>
      <c r="AD94" s="71"/>
      <c r="AE94" s="10" t="str">
        <f t="shared" si="57"/>
        <v/>
      </c>
      <c r="AF94" s="10" t="str">
        <f t="shared" si="74"/>
        <v/>
      </c>
      <c r="AG94" s="71"/>
      <c r="AH94" s="10" t="str">
        <f t="shared" si="58"/>
        <v/>
      </c>
      <c r="AI94" s="10" t="str">
        <f t="shared" si="75"/>
        <v/>
      </c>
      <c r="AJ94" s="71"/>
      <c r="AK94" s="10" t="str">
        <f t="shared" si="59"/>
        <v/>
      </c>
      <c r="AL94" s="10" t="str">
        <f t="shared" si="76"/>
        <v/>
      </c>
      <c r="AM94" s="71"/>
      <c r="AN94" s="10" t="str">
        <f t="shared" si="60"/>
        <v/>
      </c>
      <c r="AO94" s="10" t="str">
        <f t="shared" si="77"/>
        <v/>
      </c>
      <c r="AP94" s="71"/>
      <c r="AQ94" s="10" t="str">
        <f t="shared" si="61"/>
        <v/>
      </c>
      <c r="AR94" s="10" t="str">
        <f t="shared" si="78"/>
        <v/>
      </c>
      <c r="AS94" s="71"/>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U94" s="71"/>
      <c r="AV94" s="10" t="str">
        <f t="shared" si="62"/>
        <v/>
      </c>
      <c r="AW94" s="10" t="str">
        <f t="shared" si="79"/>
        <v/>
      </c>
      <c r="AX94" s="71"/>
      <c r="AY94" s="7" t="str">
        <f>IF(ISERROR(IF($K94&lt;=$F$15,VLOOKUP($I94,'表4）CO2価格'!$A$7:$E$67,VLOOKUP($F$48,'表4）CO2価格'!$H$10:$I$12,2,0),0)*$F$8/1000,"")),0,IF($K94&lt;=$F$15,VLOOKUP($I94,'表4）CO2価格'!$A$7:$E$67,VLOOKUP($F$48,'表4）CO2価格'!$H$10:$I$12,2,0),0)*$F$8/1000,""))</f>
        <v/>
      </c>
      <c r="AZ94" s="71"/>
      <c r="BA94" s="11" t="str">
        <f t="shared" si="63"/>
        <v/>
      </c>
      <c r="BB94" s="10" t="str">
        <f t="shared" si="80"/>
        <v/>
      </c>
      <c r="BC94" s="71"/>
      <c r="BD94" s="10" t="str">
        <f t="shared" si="64"/>
        <v/>
      </c>
      <c r="BE94" s="10" t="str">
        <f t="shared" si="81"/>
        <v/>
      </c>
      <c r="BF94" s="71"/>
      <c r="BG94" s="11" t="str">
        <f t="shared" si="65"/>
        <v/>
      </c>
      <c r="BH94" s="10" t="str">
        <f t="shared" si="82"/>
        <v/>
      </c>
      <c r="BJ94" s="7" t="str">
        <f t="shared" si="83"/>
        <v/>
      </c>
      <c r="BK94" s="158" t="str">
        <f t="shared" si="84"/>
        <v/>
      </c>
      <c r="BL94" s="158" t="str">
        <f t="shared" si="66"/>
        <v/>
      </c>
      <c r="BM94" s="10"/>
      <c r="BN94" s="10" t="str">
        <f t="shared" si="85"/>
        <v/>
      </c>
      <c r="BO94" s="10" t="str">
        <f t="shared" si="86"/>
        <v/>
      </c>
      <c r="BQ94" s="10" t="str">
        <f t="shared" si="67"/>
        <v/>
      </c>
      <c r="BR94" s="10" t="str">
        <f t="shared" si="87"/>
        <v/>
      </c>
    </row>
    <row r="95" spans="4:70" ht="15" x14ac:dyDescent="0.15">
      <c r="D95" s="116"/>
      <c r="F95" s="93"/>
      <c r="I95" s="458">
        <f t="shared" si="88"/>
        <v>2100</v>
      </c>
      <c r="J95" s="39"/>
      <c r="K95" s="39">
        <f t="shared" si="89"/>
        <v>81</v>
      </c>
      <c r="L95" s="39"/>
      <c r="M95" s="40">
        <f t="shared" si="52"/>
        <v>9.1239899636133173E-2</v>
      </c>
      <c r="N95" s="39"/>
      <c r="O95" s="72" t="str">
        <f t="shared" si="68"/>
        <v/>
      </c>
      <c r="P95" s="41" t="str">
        <f t="shared" si="53"/>
        <v/>
      </c>
      <c r="Q95" s="39"/>
      <c r="R95" s="72" t="str">
        <f t="shared" si="69"/>
        <v/>
      </c>
      <c r="S95" s="39"/>
      <c r="T95" s="72" t="str">
        <f t="shared" si="70"/>
        <v/>
      </c>
      <c r="U95" s="39"/>
      <c r="V95" s="72" t="str">
        <f t="shared" si="54"/>
        <v/>
      </c>
      <c r="W95" s="72" t="str">
        <f t="shared" si="71"/>
        <v/>
      </c>
      <c r="X95" s="39"/>
      <c r="Y95" s="72" t="str">
        <f t="shared" si="55"/>
        <v/>
      </c>
      <c r="Z95" s="72" t="str">
        <f t="shared" si="72"/>
        <v/>
      </c>
      <c r="AA95" s="39"/>
      <c r="AB95" s="72" t="str">
        <f t="shared" si="56"/>
        <v/>
      </c>
      <c r="AC95" s="72" t="str">
        <f t="shared" si="73"/>
        <v/>
      </c>
      <c r="AD95" s="39"/>
      <c r="AE95" s="72" t="str">
        <f t="shared" si="57"/>
        <v/>
      </c>
      <c r="AF95" s="72" t="str">
        <f t="shared" si="74"/>
        <v/>
      </c>
      <c r="AG95" s="39"/>
      <c r="AH95" s="72" t="str">
        <f t="shared" si="58"/>
        <v/>
      </c>
      <c r="AI95" s="72" t="str">
        <f t="shared" si="75"/>
        <v/>
      </c>
      <c r="AJ95" s="39"/>
      <c r="AK95" s="72" t="str">
        <f t="shared" si="59"/>
        <v/>
      </c>
      <c r="AL95" s="72" t="str">
        <f t="shared" si="76"/>
        <v/>
      </c>
      <c r="AM95" s="39"/>
      <c r="AN95" s="72" t="str">
        <f t="shared" si="60"/>
        <v/>
      </c>
      <c r="AO95" s="72" t="str">
        <f t="shared" si="77"/>
        <v/>
      </c>
      <c r="AP95" s="39"/>
      <c r="AQ95" s="72" t="str">
        <f t="shared" si="61"/>
        <v/>
      </c>
      <c r="AR95" s="72" t="str">
        <f t="shared" si="78"/>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62"/>
        <v/>
      </c>
      <c r="AW95" s="72" t="str">
        <f t="shared" si="79"/>
        <v/>
      </c>
      <c r="AX95" s="39"/>
      <c r="AY95" s="40" t="str">
        <f>IF(ISERROR(IF($K95&lt;=$F$15,VLOOKUP($I95,'表4）CO2価格'!$A$7:$E$67,VLOOKUP($F$48,'表4）CO2価格'!$H$10:$I$12,2,0),0)*$F$8/1000,"")),0,IF($K95&lt;=$F$15,VLOOKUP($I95,'表4）CO2価格'!$A$7:$E$67,VLOOKUP($F$48,'表4）CO2価格'!$H$10:$I$12,2,0),0)*$F$8/1000,""))</f>
        <v/>
      </c>
      <c r="AZ95" s="39"/>
      <c r="BA95" s="42" t="str">
        <f t="shared" si="63"/>
        <v/>
      </c>
      <c r="BB95" s="72" t="str">
        <f t="shared" si="80"/>
        <v/>
      </c>
      <c r="BC95" s="39"/>
      <c r="BD95" s="72" t="str">
        <f t="shared" si="64"/>
        <v/>
      </c>
      <c r="BE95" s="72" t="str">
        <f t="shared" si="81"/>
        <v/>
      </c>
      <c r="BF95" s="39"/>
      <c r="BG95" s="42" t="str">
        <f t="shared" si="65"/>
        <v/>
      </c>
      <c r="BH95" s="72" t="str">
        <f t="shared" si="82"/>
        <v/>
      </c>
      <c r="BI95" s="39"/>
      <c r="BJ95" s="40" t="str">
        <f t="shared" si="83"/>
        <v/>
      </c>
      <c r="BK95" s="157" t="str">
        <f t="shared" si="84"/>
        <v/>
      </c>
      <c r="BL95" s="157" t="str">
        <f t="shared" si="66"/>
        <v/>
      </c>
      <c r="BM95" s="72"/>
      <c r="BN95" s="72" t="str">
        <f t="shared" si="85"/>
        <v/>
      </c>
      <c r="BO95" s="72" t="str">
        <f t="shared" si="86"/>
        <v/>
      </c>
      <c r="BP95" s="39"/>
      <c r="BQ95" s="72" t="str">
        <f t="shared" si="67"/>
        <v/>
      </c>
      <c r="BR95" s="72" t="str">
        <f t="shared" si="87"/>
        <v/>
      </c>
    </row>
    <row r="96" spans="4:70" ht="15" x14ac:dyDescent="0.15">
      <c r="D96" s="116"/>
      <c r="E96" s="81" t="s">
        <v>198</v>
      </c>
      <c r="F96" s="91">
        <f>IF(F3&lt;&gt;"原子力",AW116/$BR$116,0)</f>
        <v>0</v>
      </c>
      <c r="G96" s="81" t="s">
        <v>132</v>
      </c>
      <c r="I96" s="459">
        <f t="shared" si="88"/>
        <v>2101</v>
      </c>
      <c r="J96" s="71"/>
      <c r="K96" s="71">
        <f t="shared" si="89"/>
        <v>82</v>
      </c>
      <c r="L96" s="71"/>
      <c r="M96" s="7">
        <f t="shared" si="52"/>
        <v>8.8582426831197242E-2</v>
      </c>
      <c r="N96" s="71"/>
      <c r="O96" s="10" t="str">
        <f t="shared" si="68"/>
        <v/>
      </c>
      <c r="P96" s="29" t="str">
        <f t="shared" si="53"/>
        <v/>
      </c>
      <c r="Q96" s="71"/>
      <c r="R96" s="10" t="str">
        <f t="shared" si="69"/>
        <v/>
      </c>
      <c r="S96" s="71"/>
      <c r="T96" s="10" t="str">
        <f t="shared" si="70"/>
        <v/>
      </c>
      <c r="U96" s="71"/>
      <c r="V96" s="10" t="str">
        <f t="shared" si="54"/>
        <v/>
      </c>
      <c r="W96" s="10" t="str">
        <f t="shared" si="71"/>
        <v/>
      </c>
      <c r="X96" s="71"/>
      <c r="Y96" s="10" t="str">
        <f t="shared" si="55"/>
        <v/>
      </c>
      <c r="Z96" s="10" t="str">
        <f t="shared" si="72"/>
        <v/>
      </c>
      <c r="AA96" s="71"/>
      <c r="AB96" s="10" t="str">
        <f t="shared" si="56"/>
        <v/>
      </c>
      <c r="AC96" s="10" t="str">
        <f t="shared" si="73"/>
        <v/>
      </c>
      <c r="AD96" s="71"/>
      <c r="AE96" s="10" t="str">
        <f t="shared" si="57"/>
        <v/>
      </c>
      <c r="AF96" s="10" t="str">
        <f t="shared" si="74"/>
        <v/>
      </c>
      <c r="AG96" s="71"/>
      <c r="AH96" s="10" t="str">
        <f t="shared" si="58"/>
        <v/>
      </c>
      <c r="AI96" s="10" t="str">
        <f t="shared" si="75"/>
        <v/>
      </c>
      <c r="AJ96" s="71"/>
      <c r="AK96" s="10" t="str">
        <f t="shared" si="59"/>
        <v/>
      </c>
      <c r="AL96" s="10" t="str">
        <f t="shared" si="76"/>
        <v/>
      </c>
      <c r="AM96" s="71"/>
      <c r="AN96" s="10" t="str">
        <f t="shared" si="60"/>
        <v/>
      </c>
      <c r="AO96" s="10" t="str">
        <f t="shared" si="77"/>
        <v/>
      </c>
      <c r="AP96" s="71"/>
      <c r="AQ96" s="10" t="str">
        <f t="shared" si="61"/>
        <v/>
      </c>
      <c r="AR96" s="10" t="str">
        <f t="shared" si="78"/>
        <v/>
      </c>
      <c r="AS96" s="71"/>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U96" s="71"/>
      <c r="AV96" s="10" t="str">
        <f t="shared" si="62"/>
        <v/>
      </c>
      <c r="AW96" s="10" t="str">
        <f t="shared" si="79"/>
        <v/>
      </c>
      <c r="AX96" s="71"/>
      <c r="AY96" s="7" t="str">
        <f>IF(ISERROR(IF($K96&lt;=$F$15,VLOOKUP($I96,'表4）CO2価格'!$A$7:$E$67,VLOOKUP($F$48,'表4）CO2価格'!$H$10:$I$12,2,0),0)*$F$8/1000,"")),0,IF($K96&lt;=$F$15,VLOOKUP($I96,'表4）CO2価格'!$A$7:$E$67,VLOOKUP($F$48,'表4）CO2価格'!$H$10:$I$12,2,0),0)*$F$8/1000,""))</f>
        <v/>
      </c>
      <c r="AZ96" s="71"/>
      <c r="BA96" s="11" t="str">
        <f t="shared" si="63"/>
        <v/>
      </c>
      <c r="BB96" s="10" t="str">
        <f t="shared" si="80"/>
        <v/>
      </c>
      <c r="BC96" s="71"/>
      <c r="BD96" s="10" t="str">
        <f t="shared" si="64"/>
        <v/>
      </c>
      <c r="BE96" s="10" t="str">
        <f t="shared" si="81"/>
        <v/>
      </c>
      <c r="BF96" s="71"/>
      <c r="BG96" s="11" t="str">
        <f t="shared" si="65"/>
        <v/>
      </c>
      <c r="BH96" s="10" t="str">
        <f t="shared" si="82"/>
        <v/>
      </c>
      <c r="BJ96" s="7" t="str">
        <f t="shared" si="83"/>
        <v/>
      </c>
      <c r="BK96" s="158" t="str">
        <f t="shared" si="84"/>
        <v/>
      </c>
      <c r="BL96" s="158" t="str">
        <f t="shared" si="66"/>
        <v/>
      </c>
      <c r="BM96" s="10"/>
      <c r="BN96" s="10" t="str">
        <f t="shared" si="85"/>
        <v/>
      </c>
      <c r="BO96" s="10" t="str">
        <f t="shared" si="86"/>
        <v/>
      </c>
      <c r="BQ96" s="10" t="str">
        <f t="shared" si="67"/>
        <v/>
      </c>
      <c r="BR96" s="10" t="str">
        <f t="shared" si="87"/>
        <v/>
      </c>
    </row>
    <row r="97" spans="4:70" ht="15" x14ac:dyDescent="0.15">
      <c r="D97" s="116"/>
      <c r="E97" s="81" t="s">
        <v>199</v>
      </c>
      <c r="F97" s="91">
        <f>IF(F3="原子力",#REF!,0)</f>
        <v>0</v>
      </c>
      <c r="G97" s="81" t="s">
        <v>132</v>
      </c>
      <c r="I97" s="458">
        <f t="shared" si="88"/>
        <v>2102</v>
      </c>
      <c r="J97" s="39"/>
      <c r="K97" s="39">
        <f t="shared" si="89"/>
        <v>83</v>
      </c>
      <c r="L97" s="39"/>
      <c r="M97" s="40">
        <f t="shared" si="52"/>
        <v>8.6002356146793454E-2</v>
      </c>
      <c r="N97" s="39"/>
      <c r="O97" s="72" t="str">
        <f t="shared" si="68"/>
        <v/>
      </c>
      <c r="P97" s="41" t="str">
        <f t="shared" si="53"/>
        <v/>
      </c>
      <c r="Q97" s="39"/>
      <c r="R97" s="72" t="str">
        <f t="shared" si="69"/>
        <v/>
      </c>
      <c r="S97" s="39"/>
      <c r="T97" s="72" t="str">
        <f t="shared" si="70"/>
        <v/>
      </c>
      <c r="U97" s="39"/>
      <c r="V97" s="72" t="str">
        <f t="shared" si="54"/>
        <v/>
      </c>
      <c r="W97" s="72" t="str">
        <f t="shared" si="71"/>
        <v/>
      </c>
      <c r="X97" s="39"/>
      <c r="Y97" s="72" t="str">
        <f t="shared" si="55"/>
        <v/>
      </c>
      <c r="Z97" s="72" t="str">
        <f t="shared" si="72"/>
        <v/>
      </c>
      <c r="AA97" s="39"/>
      <c r="AB97" s="72" t="str">
        <f t="shared" si="56"/>
        <v/>
      </c>
      <c r="AC97" s="72" t="str">
        <f t="shared" si="73"/>
        <v/>
      </c>
      <c r="AD97" s="39"/>
      <c r="AE97" s="72" t="str">
        <f t="shared" si="57"/>
        <v/>
      </c>
      <c r="AF97" s="72" t="str">
        <f t="shared" si="74"/>
        <v/>
      </c>
      <c r="AG97" s="39"/>
      <c r="AH97" s="72" t="str">
        <f t="shared" si="58"/>
        <v/>
      </c>
      <c r="AI97" s="72" t="str">
        <f t="shared" si="75"/>
        <v/>
      </c>
      <c r="AJ97" s="39"/>
      <c r="AK97" s="72" t="str">
        <f t="shared" si="59"/>
        <v/>
      </c>
      <c r="AL97" s="72" t="str">
        <f t="shared" si="76"/>
        <v/>
      </c>
      <c r="AM97" s="39"/>
      <c r="AN97" s="72" t="str">
        <f t="shared" si="60"/>
        <v/>
      </c>
      <c r="AO97" s="72" t="str">
        <f t="shared" si="77"/>
        <v/>
      </c>
      <c r="AP97" s="39"/>
      <c r="AQ97" s="72" t="str">
        <f t="shared" si="61"/>
        <v/>
      </c>
      <c r="AR97" s="72" t="str">
        <f t="shared" si="78"/>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62"/>
        <v/>
      </c>
      <c r="AW97" s="72" t="str">
        <f t="shared" si="79"/>
        <v/>
      </c>
      <c r="AX97" s="39"/>
      <c r="AY97" s="40" t="str">
        <f>IF(ISERROR(IF($K97&lt;=$F$15,VLOOKUP($I97,'表4）CO2価格'!$A$7:$E$67,VLOOKUP($F$48,'表4）CO2価格'!$H$10:$I$12,2,0),0)*$F$8/1000,"")),0,IF($K97&lt;=$F$15,VLOOKUP($I97,'表4）CO2価格'!$A$7:$E$67,VLOOKUP($F$48,'表4）CO2価格'!$H$10:$I$12,2,0),0)*$F$8/1000,""))</f>
        <v/>
      </c>
      <c r="AZ97" s="39"/>
      <c r="BA97" s="42" t="str">
        <f t="shared" si="63"/>
        <v/>
      </c>
      <c r="BB97" s="72" t="str">
        <f t="shared" si="80"/>
        <v/>
      </c>
      <c r="BC97" s="39"/>
      <c r="BD97" s="72" t="str">
        <f t="shared" si="64"/>
        <v/>
      </c>
      <c r="BE97" s="72" t="str">
        <f t="shared" si="81"/>
        <v/>
      </c>
      <c r="BF97" s="39"/>
      <c r="BG97" s="42" t="str">
        <f t="shared" si="65"/>
        <v/>
      </c>
      <c r="BH97" s="72" t="str">
        <f t="shared" si="82"/>
        <v/>
      </c>
      <c r="BI97" s="39"/>
      <c r="BJ97" s="40" t="str">
        <f t="shared" si="83"/>
        <v/>
      </c>
      <c r="BK97" s="157" t="str">
        <f t="shared" si="84"/>
        <v/>
      </c>
      <c r="BL97" s="157" t="str">
        <f t="shared" si="66"/>
        <v/>
      </c>
      <c r="BM97" s="72"/>
      <c r="BN97" s="72" t="str">
        <f t="shared" si="85"/>
        <v/>
      </c>
      <c r="BO97" s="72" t="str">
        <f t="shared" si="86"/>
        <v/>
      </c>
      <c r="BP97" s="39"/>
      <c r="BQ97" s="72" t="str">
        <f t="shared" si="67"/>
        <v/>
      </c>
      <c r="BR97" s="72" t="str">
        <f t="shared" si="87"/>
        <v/>
      </c>
    </row>
    <row r="98" spans="4:70" x14ac:dyDescent="0.15">
      <c r="F98" s="93"/>
      <c r="I98" s="459">
        <f t="shared" si="88"/>
        <v>2103</v>
      </c>
      <c r="J98" s="71"/>
      <c r="K98" s="71">
        <f t="shared" si="89"/>
        <v>84</v>
      </c>
      <c r="L98" s="71"/>
      <c r="M98" s="7">
        <f t="shared" si="52"/>
        <v>8.3497433152226644E-2</v>
      </c>
      <c r="N98" s="71"/>
      <c r="O98" s="10" t="str">
        <f t="shared" si="68"/>
        <v/>
      </c>
      <c r="P98" s="29" t="str">
        <f t="shared" si="53"/>
        <v/>
      </c>
      <c r="Q98" s="71"/>
      <c r="R98" s="10" t="str">
        <f t="shared" si="69"/>
        <v/>
      </c>
      <c r="S98" s="71"/>
      <c r="T98" s="10" t="str">
        <f t="shared" si="70"/>
        <v/>
      </c>
      <c r="U98" s="71"/>
      <c r="V98" s="10" t="str">
        <f t="shared" si="54"/>
        <v/>
      </c>
      <c r="W98" s="10" t="str">
        <f t="shared" si="71"/>
        <v/>
      </c>
      <c r="X98" s="71"/>
      <c r="Y98" s="10" t="str">
        <f t="shared" si="55"/>
        <v/>
      </c>
      <c r="Z98" s="10" t="str">
        <f t="shared" si="72"/>
        <v/>
      </c>
      <c r="AA98" s="71"/>
      <c r="AB98" s="10" t="str">
        <f t="shared" si="56"/>
        <v/>
      </c>
      <c r="AC98" s="10" t="str">
        <f t="shared" si="73"/>
        <v/>
      </c>
      <c r="AD98" s="71"/>
      <c r="AE98" s="10" t="str">
        <f t="shared" si="57"/>
        <v/>
      </c>
      <c r="AF98" s="10" t="str">
        <f t="shared" si="74"/>
        <v/>
      </c>
      <c r="AG98" s="71"/>
      <c r="AH98" s="10" t="str">
        <f t="shared" si="58"/>
        <v/>
      </c>
      <c r="AI98" s="10" t="str">
        <f t="shared" si="75"/>
        <v/>
      </c>
      <c r="AJ98" s="71"/>
      <c r="AK98" s="10" t="str">
        <f t="shared" si="59"/>
        <v/>
      </c>
      <c r="AL98" s="10" t="str">
        <f t="shared" si="76"/>
        <v/>
      </c>
      <c r="AM98" s="71"/>
      <c r="AN98" s="10" t="str">
        <f t="shared" si="60"/>
        <v/>
      </c>
      <c r="AO98" s="10" t="str">
        <f t="shared" si="77"/>
        <v/>
      </c>
      <c r="AP98" s="71"/>
      <c r="AQ98" s="10" t="str">
        <f t="shared" si="61"/>
        <v/>
      </c>
      <c r="AR98" s="10" t="str">
        <f t="shared" si="78"/>
        <v/>
      </c>
      <c r="AS98" s="71"/>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U98" s="71"/>
      <c r="AV98" s="10" t="str">
        <f t="shared" si="62"/>
        <v/>
      </c>
      <c r="AW98" s="10" t="str">
        <f t="shared" si="79"/>
        <v/>
      </c>
      <c r="AX98" s="71"/>
      <c r="AY98" s="7" t="str">
        <f>IF(ISERROR(IF($K98&lt;=$F$15,VLOOKUP($I98,'表4）CO2価格'!$A$7:$E$67,VLOOKUP($F$48,'表4）CO2価格'!$H$10:$I$12,2,0),0)*$F$8/1000,"")),0,IF($K98&lt;=$F$15,VLOOKUP($I98,'表4）CO2価格'!$A$7:$E$67,VLOOKUP($F$48,'表4）CO2価格'!$H$10:$I$12,2,0),0)*$F$8/1000,""))</f>
        <v/>
      </c>
      <c r="AZ98" s="71"/>
      <c r="BA98" s="11" t="str">
        <f t="shared" si="63"/>
        <v/>
      </c>
      <c r="BB98" s="10" t="str">
        <f t="shared" si="80"/>
        <v/>
      </c>
      <c r="BC98" s="71"/>
      <c r="BD98" s="10" t="str">
        <f t="shared" si="64"/>
        <v/>
      </c>
      <c r="BE98" s="10" t="str">
        <f t="shared" si="81"/>
        <v/>
      </c>
      <c r="BF98" s="71"/>
      <c r="BG98" s="11" t="str">
        <f t="shared" si="65"/>
        <v/>
      </c>
      <c r="BH98" s="10" t="str">
        <f t="shared" si="82"/>
        <v/>
      </c>
      <c r="BJ98" s="7" t="str">
        <f t="shared" si="83"/>
        <v/>
      </c>
      <c r="BK98" s="158" t="str">
        <f t="shared" si="84"/>
        <v/>
      </c>
      <c r="BL98" s="158" t="str">
        <f t="shared" si="66"/>
        <v/>
      </c>
      <c r="BM98" s="10"/>
      <c r="BN98" s="10" t="str">
        <f t="shared" si="85"/>
        <v/>
      </c>
      <c r="BO98" s="10" t="str">
        <f t="shared" si="86"/>
        <v/>
      </c>
      <c r="BQ98" s="10" t="str">
        <f t="shared" si="67"/>
        <v/>
      </c>
      <c r="BR98" s="10" t="str">
        <f t="shared" si="87"/>
        <v/>
      </c>
    </row>
    <row r="99" spans="4:70" ht="15" x14ac:dyDescent="0.15">
      <c r="D99" s="116" t="s">
        <v>200</v>
      </c>
      <c r="F99" s="94">
        <f>SUBTOTAL(9,F103:F105)</f>
        <v>8.3978999999999998E-2</v>
      </c>
      <c r="G99" s="81" t="s">
        <v>132</v>
      </c>
      <c r="I99" s="458">
        <f t="shared" si="88"/>
        <v>2104</v>
      </c>
      <c r="J99" s="39"/>
      <c r="K99" s="39">
        <f t="shared" si="89"/>
        <v>85</v>
      </c>
      <c r="L99" s="39"/>
      <c r="M99" s="40">
        <f t="shared" si="52"/>
        <v>8.1065469079831712E-2</v>
      </c>
      <c r="N99" s="39"/>
      <c r="O99" s="72" t="str">
        <f t="shared" si="68"/>
        <v/>
      </c>
      <c r="P99" s="41" t="str">
        <f t="shared" si="53"/>
        <v/>
      </c>
      <c r="Q99" s="39"/>
      <c r="R99" s="72" t="str">
        <f t="shared" si="69"/>
        <v/>
      </c>
      <c r="S99" s="39"/>
      <c r="T99" s="72" t="str">
        <f t="shared" si="70"/>
        <v/>
      </c>
      <c r="U99" s="39"/>
      <c r="V99" s="72" t="str">
        <f t="shared" si="54"/>
        <v/>
      </c>
      <c r="W99" s="72" t="str">
        <f t="shared" si="71"/>
        <v/>
      </c>
      <c r="X99" s="39"/>
      <c r="Y99" s="72" t="str">
        <f t="shared" si="55"/>
        <v/>
      </c>
      <c r="Z99" s="72" t="str">
        <f t="shared" si="72"/>
        <v/>
      </c>
      <c r="AA99" s="39"/>
      <c r="AB99" s="72" t="str">
        <f t="shared" si="56"/>
        <v/>
      </c>
      <c r="AC99" s="72" t="str">
        <f t="shared" si="73"/>
        <v/>
      </c>
      <c r="AD99" s="39"/>
      <c r="AE99" s="72" t="str">
        <f t="shared" si="57"/>
        <v/>
      </c>
      <c r="AF99" s="72" t="str">
        <f t="shared" si="74"/>
        <v/>
      </c>
      <c r="AG99" s="39"/>
      <c r="AH99" s="72" t="str">
        <f t="shared" si="58"/>
        <v/>
      </c>
      <c r="AI99" s="72" t="str">
        <f t="shared" si="75"/>
        <v/>
      </c>
      <c r="AJ99" s="39"/>
      <c r="AK99" s="72" t="str">
        <f t="shared" si="59"/>
        <v/>
      </c>
      <c r="AL99" s="72" t="str">
        <f t="shared" si="76"/>
        <v/>
      </c>
      <c r="AM99" s="39"/>
      <c r="AN99" s="72" t="str">
        <f t="shared" si="60"/>
        <v/>
      </c>
      <c r="AO99" s="72" t="str">
        <f t="shared" si="77"/>
        <v/>
      </c>
      <c r="AP99" s="39"/>
      <c r="AQ99" s="72" t="str">
        <f t="shared" si="61"/>
        <v/>
      </c>
      <c r="AR99" s="72" t="str">
        <f t="shared" si="78"/>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62"/>
        <v/>
      </c>
      <c r="AW99" s="72" t="str">
        <f t="shared" si="79"/>
        <v/>
      </c>
      <c r="AX99" s="39"/>
      <c r="AY99" s="40" t="str">
        <f>IF(ISERROR(IF($K99&lt;=$F$15,VLOOKUP($I99,'表4）CO2価格'!$A$7:$E$67,VLOOKUP($F$48,'表4）CO2価格'!$H$10:$I$12,2,0),0)*$F$8/1000,"")),0,IF($K99&lt;=$F$15,VLOOKUP($I99,'表4）CO2価格'!$A$7:$E$67,VLOOKUP($F$48,'表4）CO2価格'!$H$10:$I$12,2,0),0)*$F$8/1000,""))</f>
        <v/>
      </c>
      <c r="AZ99" s="39"/>
      <c r="BA99" s="42" t="str">
        <f t="shared" si="63"/>
        <v/>
      </c>
      <c r="BB99" s="72" t="str">
        <f t="shared" si="80"/>
        <v/>
      </c>
      <c r="BC99" s="39"/>
      <c r="BD99" s="72" t="str">
        <f t="shared" si="64"/>
        <v/>
      </c>
      <c r="BE99" s="72" t="str">
        <f t="shared" si="81"/>
        <v/>
      </c>
      <c r="BF99" s="39"/>
      <c r="BG99" s="42" t="str">
        <f t="shared" si="65"/>
        <v/>
      </c>
      <c r="BH99" s="72" t="str">
        <f t="shared" si="82"/>
        <v/>
      </c>
      <c r="BI99" s="39"/>
      <c r="BJ99" s="40" t="str">
        <f t="shared" si="83"/>
        <v/>
      </c>
      <c r="BK99" s="157" t="str">
        <f t="shared" si="84"/>
        <v/>
      </c>
      <c r="BL99" s="157" t="str">
        <f t="shared" si="66"/>
        <v/>
      </c>
      <c r="BM99" s="72"/>
      <c r="BN99" s="72" t="str">
        <f t="shared" si="85"/>
        <v/>
      </c>
      <c r="BO99" s="72" t="str">
        <f t="shared" si="86"/>
        <v/>
      </c>
      <c r="BP99" s="39"/>
      <c r="BQ99" s="72" t="str">
        <f t="shared" si="67"/>
        <v/>
      </c>
      <c r="BR99" s="72" t="str">
        <f t="shared" si="87"/>
        <v/>
      </c>
    </row>
    <row r="100" spans="4:70" x14ac:dyDescent="0.15">
      <c r="F100" s="93"/>
      <c r="I100" s="459">
        <f t="shared" si="88"/>
        <v>2105</v>
      </c>
      <c r="J100" s="71"/>
      <c r="K100" s="71">
        <f t="shared" si="89"/>
        <v>86</v>
      </c>
      <c r="L100" s="71"/>
      <c r="M100" s="7">
        <f t="shared" si="52"/>
        <v>7.8704338912457969E-2</v>
      </c>
      <c r="N100" s="71"/>
      <c r="O100" s="10" t="str">
        <f t="shared" si="68"/>
        <v/>
      </c>
      <c r="P100" s="29" t="str">
        <f t="shared" si="53"/>
        <v/>
      </c>
      <c r="Q100" s="71"/>
      <c r="R100" s="10" t="str">
        <f t="shared" si="69"/>
        <v/>
      </c>
      <c r="S100" s="71"/>
      <c r="T100" s="10" t="str">
        <f t="shared" si="70"/>
        <v/>
      </c>
      <c r="U100" s="71"/>
      <c r="V100" s="10" t="str">
        <f t="shared" si="54"/>
        <v/>
      </c>
      <c r="W100" s="10" t="str">
        <f t="shared" si="71"/>
        <v/>
      </c>
      <c r="X100" s="71"/>
      <c r="Y100" s="10" t="str">
        <f t="shared" si="55"/>
        <v/>
      </c>
      <c r="Z100" s="10" t="str">
        <f t="shared" si="72"/>
        <v/>
      </c>
      <c r="AA100" s="71"/>
      <c r="AB100" s="10" t="str">
        <f t="shared" si="56"/>
        <v/>
      </c>
      <c r="AC100" s="10" t="str">
        <f t="shared" si="73"/>
        <v/>
      </c>
      <c r="AD100" s="71"/>
      <c r="AE100" s="10" t="str">
        <f t="shared" si="57"/>
        <v/>
      </c>
      <c r="AF100" s="10" t="str">
        <f t="shared" si="74"/>
        <v/>
      </c>
      <c r="AG100" s="71"/>
      <c r="AH100" s="10" t="str">
        <f t="shared" si="58"/>
        <v/>
      </c>
      <c r="AI100" s="10" t="str">
        <f t="shared" si="75"/>
        <v/>
      </c>
      <c r="AJ100" s="71"/>
      <c r="AK100" s="10" t="str">
        <f t="shared" si="59"/>
        <v/>
      </c>
      <c r="AL100" s="10" t="str">
        <f t="shared" si="76"/>
        <v/>
      </c>
      <c r="AM100" s="71"/>
      <c r="AN100" s="10" t="str">
        <f t="shared" si="60"/>
        <v/>
      </c>
      <c r="AO100" s="10" t="str">
        <f t="shared" si="77"/>
        <v/>
      </c>
      <c r="AP100" s="71"/>
      <c r="AQ100" s="10" t="str">
        <f t="shared" si="61"/>
        <v/>
      </c>
      <c r="AR100" s="10" t="str">
        <f t="shared" si="78"/>
        <v/>
      </c>
      <c r="AS100" s="71"/>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U100" s="71"/>
      <c r="AV100" s="10" t="str">
        <f t="shared" si="62"/>
        <v/>
      </c>
      <c r="AW100" s="10" t="str">
        <f t="shared" si="79"/>
        <v/>
      </c>
      <c r="AX100" s="71"/>
      <c r="AY100" s="7" t="str">
        <f>IF(ISERROR(IF($K100&lt;=$F$15,VLOOKUP($I100,'表4）CO2価格'!$A$7:$E$67,VLOOKUP($F$48,'表4）CO2価格'!$H$10:$I$12,2,0),0)*$F$8/1000,"")),0,IF($K100&lt;=$F$15,VLOOKUP($I100,'表4）CO2価格'!$A$7:$E$67,VLOOKUP($F$48,'表4）CO2価格'!$H$10:$I$12,2,0),0)*$F$8/1000,""))</f>
        <v/>
      </c>
      <c r="AZ100" s="71"/>
      <c r="BA100" s="11" t="str">
        <f t="shared" si="63"/>
        <v/>
      </c>
      <c r="BB100" s="10" t="str">
        <f t="shared" si="80"/>
        <v/>
      </c>
      <c r="BC100" s="71"/>
      <c r="BD100" s="10" t="str">
        <f t="shared" si="64"/>
        <v/>
      </c>
      <c r="BE100" s="10" t="str">
        <f t="shared" si="81"/>
        <v/>
      </c>
      <c r="BF100" s="71"/>
      <c r="BG100" s="11" t="str">
        <f t="shared" si="65"/>
        <v/>
      </c>
      <c r="BH100" s="10" t="str">
        <f t="shared" si="82"/>
        <v/>
      </c>
      <c r="BJ100" s="7" t="str">
        <f t="shared" si="83"/>
        <v/>
      </c>
      <c r="BK100" s="158" t="str">
        <f t="shared" si="84"/>
        <v/>
      </c>
      <c r="BL100" s="158" t="str">
        <f t="shared" si="66"/>
        <v/>
      </c>
      <c r="BM100" s="10"/>
      <c r="BN100" s="10" t="str">
        <f t="shared" si="85"/>
        <v/>
      </c>
      <c r="BO100" s="10" t="str">
        <f t="shared" si="86"/>
        <v/>
      </c>
      <c r="BQ100" s="10" t="str">
        <f t="shared" si="67"/>
        <v/>
      </c>
      <c r="BR100" s="10" t="str">
        <f t="shared" si="87"/>
        <v/>
      </c>
    </row>
    <row r="101" spans="4:70" x14ac:dyDescent="0.15">
      <c r="D101" s="101" t="s">
        <v>201</v>
      </c>
      <c r="E101" s="101"/>
      <c r="F101" s="92"/>
      <c r="G101" s="101"/>
      <c r="I101" s="458">
        <f t="shared" si="88"/>
        <v>2106</v>
      </c>
      <c r="J101" s="39"/>
      <c r="K101" s="39">
        <f t="shared" si="89"/>
        <v>87</v>
      </c>
      <c r="L101" s="39"/>
      <c r="M101" s="40">
        <f t="shared" si="52"/>
        <v>7.6411979526658208E-2</v>
      </c>
      <c r="N101" s="39"/>
      <c r="O101" s="72" t="str">
        <f t="shared" si="68"/>
        <v/>
      </c>
      <c r="P101" s="41" t="str">
        <f t="shared" si="53"/>
        <v/>
      </c>
      <c r="Q101" s="39"/>
      <c r="R101" s="72" t="str">
        <f t="shared" si="69"/>
        <v/>
      </c>
      <c r="S101" s="39"/>
      <c r="T101" s="72" t="str">
        <f t="shared" si="70"/>
        <v/>
      </c>
      <c r="U101" s="39"/>
      <c r="V101" s="72" t="str">
        <f t="shared" si="54"/>
        <v/>
      </c>
      <c r="W101" s="72" t="str">
        <f t="shared" si="71"/>
        <v/>
      </c>
      <c r="X101" s="39"/>
      <c r="Y101" s="72" t="str">
        <f t="shared" si="55"/>
        <v/>
      </c>
      <c r="Z101" s="72" t="str">
        <f t="shared" si="72"/>
        <v/>
      </c>
      <c r="AA101" s="39"/>
      <c r="AB101" s="72" t="str">
        <f t="shared" si="56"/>
        <v/>
      </c>
      <c r="AC101" s="72" t="str">
        <f t="shared" si="73"/>
        <v/>
      </c>
      <c r="AD101" s="39"/>
      <c r="AE101" s="72" t="str">
        <f t="shared" si="57"/>
        <v/>
      </c>
      <c r="AF101" s="72" t="str">
        <f t="shared" si="74"/>
        <v/>
      </c>
      <c r="AG101" s="39"/>
      <c r="AH101" s="72" t="str">
        <f t="shared" si="58"/>
        <v/>
      </c>
      <c r="AI101" s="72" t="str">
        <f t="shared" si="75"/>
        <v/>
      </c>
      <c r="AJ101" s="39"/>
      <c r="AK101" s="72" t="str">
        <f t="shared" si="59"/>
        <v/>
      </c>
      <c r="AL101" s="72" t="str">
        <f t="shared" si="76"/>
        <v/>
      </c>
      <c r="AM101" s="39"/>
      <c r="AN101" s="72" t="str">
        <f t="shared" si="60"/>
        <v/>
      </c>
      <c r="AO101" s="72" t="str">
        <f t="shared" si="77"/>
        <v/>
      </c>
      <c r="AP101" s="39"/>
      <c r="AQ101" s="72" t="str">
        <f t="shared" si="61"/>
        <v/>
      </c>
      <c r="AR101" s="72" t="str">
        <f t="shared" si="78"/>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62"/>
        <v/>
      </c>
      <c r="AW101" s="72" t="str">
        <f t="shared" si="79"/>
        <v/>
      </c>
      <c r="AX101" s="39"/>
      <c r="AY101" s="40" t="str">
        <f>IF(ISERROR(IF($K101&lt;=$F$15,VLOOKUP($I101,'表4）CO2価格'!$A$7:$E$67,VLOOKUP($F$48,'表4）CO2価格'!$H$10:$I$12,2,0),0)*$F$8/1000,"")),0,IF($K101&lt;=$F$15,VLOOKUP($I101,'表4）CO2価格'!$A$7:$E$67,VLOOKUP($F$48,'表4）CO2価格'!$H$10:$I$12,2,0),0)*$F$8/1000,""))</f>
        <v/>
      </c>
      <c r="AZ101" s="39"/>
      <c r="BA101" s="42" t="str">
        <f t="shared" si="63"/>
        <v/>
      </c>
      <c r="BB101" s="72" t="str">
        <f t="shared" si="80"/>
        <v/>
      </c>
      <c r="BC101" s="39"/>
      <c r="BD101" s="72" t="str">
        <f t="shared" si="64"/>
        <v/>
      </c>
      <c r="BE101" s="72" t="str">
        <f t="shared" si="81"/>
        <v/>
      </c>
      <c r="BF101" s="39"/>
      <c r="BG101" s="42" t="str">
        <f t="shared" si="65"/>
        <v/>
      </c>
      <c r="BH101" s="72" t="str">
        <f t="shared" si="82"/>
        <v/>
      </c>
      <c r="BI101" s="39"/>
      <c r="BJ101" s="40" t="str">
        <f t="shared" si="83"/>
        <v/>
      </c>
      <c r="BK101" s="157" t="str">
        <f t="shared" si="84"/>
        <v/>
      </c>
      <c r="BL101" s="157" t="str">
        <f t="shared" si="66"/>
        <v/>
      </c>
      <c r="BM101" s="72"/>
      <c r="BN101" s="72" t="str">
        <f t="shared" si="85"/>
        <v/>
      </c>
      <c r="BO101" s="72" t="str">
        <f t="shared" si="86"/>
        <v/>
      </c>
      <c r="BP101" s="39"/>
      <c r="BQ101" s="72" t="str">
        <f t="shared" si="67"/>
        <v/>
      </c>
      <c r="BR101" s="72" t="str">
        <f t="shared" si="87"/>
        <v/>
      </c>
    </row>
    <row r="102" spans="4:70" x14ac:dyDescent="0.15">
      <c r="F102" s="93"/>
      <c r="I102" s="459">
        <f t="shared" si="88"/>
        <v>2107</v>
      </c>
      <c r="J102" s="71"/>
      <c r="K102" s="71">
        <f t="shared" si="89"/>
        <v>88</v>
      </c>
      <c r="L102" s="71"/>
      <c r="M102" s="7">
        <f t="shared" si="52"/>
        <v>7.4186387889959446E-2</v>
      </c>
      <c r="N102" s="71"/>
      <c r="O102" s="10" t="str">
        <f t="shared" si="68"/>
        <v/>
      </c>
      <c r="P102" s="29" t="str">
        <f t="shared" si="53"/>
        <v/>
      </c>
      <c r="Q102" s="71"/>
      <c r="R102" s="10" t="str">
        <f t="shared" si="69"/>
        <v/>
      </c>
      <c r="S102" s="71"/>
      <c r="T102" s="10" t="str">
        <f t="shared" si="70"/>
        <v/>
      </c>
      <c r="U102" s="71"/>
      <c r="V102" s="10" t="str">
        <f t="shared" si="54"/>
        <v/>
      </c>
      <c r="W102" s="10" t="str">
        <f t="shared" si="71"/>
        <v/>
      </c>
      <c r="X102" s="71"/>
      <c r="Y102" s="10" t="str">
        <f t="shared" si="55"/>
        <v/>
      </c>
      <c r="Z102" s="10" t="str">
        <f t="shared" si="72"/>
        <v/>
      </c>
      <c r="AA102" s="71"/>
      <c r="AB102" s="10" t="str">
        <f t="shared" si="56"/>
        <v/>
      </c>
      <c r="AC102" s="10" t="str">
        <f t="shared" si="73"/>
        <v/>
      </c>
      <c r="AD102" s="71"/>
      <c r="AE102" s="10" t="str">
        <f t="shared" si="57"/>
        <v/>
      </c>
      <c r="AF102" s="10" t="str">
        <f t="shared" si="74"/>
        <v/>
      </c>
      <c r="AG102" s="71"/>
      <c r="AH102" s="10" t="str">
        <f t="shared" si="58"/>
        <v/>
      </c>
      <c r="AI102" s="10" t="str">
        <f t="shared" si="75"/>
        <v/>
      </c>
      <c r="AJ102" s="71"/>
      <c r="AK102" s="10" t="str">
        <f t="shared" si="59"/>
        <v/>
      </c>
      <c r="AL102" s="10" t="str">
        <f t="shared" si="76"/>
        <v/>
      </c>
      <c r="AM102" s="71"/>
      <c r="AN102" s="10" t="str">
        <f t="shared" si="60"/>
        <v/>
      </c>
      <c r="AO102" s="10" t="str">
        <f t="shared" si="77"/>
        <v/>
      </c>
      <c r="AP102" s="71"/>
      <c r="AQ102" s="10" t="str">
        <f t="shared" si="61"/>
        <v/>
      </c>
      <c r="AR102" s="10" t="str">
        <f t="shared" si="78"/>
        <v/>
      </c>
      <c r="AS102" s="71"/>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U102" s="71"/>
      <c r="AV102" s="10" t="str">
        <f t="shared" si="62"/>
        <v/>
      </c>
      <c r="AW102" s="10" t="str">
        <f t="shared" si="79"/>
        <v/>
      </c>
      <c r="AX102" s="71"/>
      <c r="AY102" s="7" t="str">
        <f>IF(ISERROR(IF($K102&lt;=$F$15,VLOOKUP($I102,'表4）CO2価格'!$A$7:$E$67,VLOOKUP($F$48,'表4）CO2価格'!$H$10:$I$12,2,0),0)*$F$8/1000,"")),0,IF($K102&lt;=$F$15,VLOOKUP($I102,'表4）CO2価格'!$A$7:$E$67,VLOOKUP($F$48,'表4）CO2価格'!$H$10:$I$12,2,0),0)*$F$8/1000,""))</f>
        <v/>
      </c>
      <c r="AZ102" s="71"/>
      <c r="BA102" s="11" t="str">
        <f t="shared" si="63"/>
        <v/>
      </c>
      <c r="BB102" s="10" t="str">
        <f t="shared" si="80"/>
        <v/>
      </c>
      <c r="BC102" s="71"/>
      <c r="BD102" s="10" t="str">
        <f t="shared" si="64"/>
        <v/>
      </c>
      <c r="BE102" s="10" t="str">
        <f t="shared" si="81"/>
        <v/>
      </c>
      <c r="BF102" s="71"/>
      <c r="BG102" s="11" t="str">
        <f t="shared" si="65"/>
        <v/>
      </c>
      <c r="BH102" s="10" t="str">
        <f t="shared" si="82"/>
        <v/>
      </c>
      <c r="BJ102" s="7" t="str">
        <f t="shared" si="83"/>
        <v/>
      </c>
      <c r="BK102" s="158" t="str">
        <f t="shared" si="84"/>
        <v/>
      </c>
      <c r="BL102" s="158" t="str">
        <f t="shared" si="66"/>
        <v/>
      </c>
      <c r="BM102" s="10"/>
      <c r="BN102" s="10" t="str">
        <f t="shared" si="85"/>
        <v/>
      </c>
      <c r="BO102" s="10" t="str">
        <f t="shared" si="86"/>
        <v/>
      </c>
      <c r="BQ102" s="10" t="str">
        <f t="shared" si="67"/>
        <v/>
      </c>
      <c r="BR102" s="10" t="str">
        <f t="shared" si="87"/>
        <v/>
      </c>
    </row>
    <row r="103" spans="4:70" x14ac:dyDescent="0.15">
      <c r="E103" s="81" t="s">
        <v>202</v>
      </c>
      <c r="F103" s="91">
        <f>BB116/$BR$116</f>
        <v>0</v>
      </c>
      <c r="G103" s="81" t="s">
        <v>132</v>
      </c>
      <c r="I103" s="458">
        <f t="shared" si="88"/>
        <v>2108</v>
      </c>
      <c r="J103" s="39"/>
      <c r="K103" s="39">
        <f t="shared" si="89"/>
        <v>89</v>
      </c>
      <c r="L103" s="39"/>
      <c r="M103" s="40">
        <f t="shared" si="52"/>
        <v>7.2025619310640235E-2</v>
      </c>
      <c r="N103" s="39"/>
      <c r="O103" s="72" t="str">
        <f t="shared" si="68"/>
        <v/>
      </c>
      <c r="P103" s="41" t="str">
        <f t="shared" si="53"/>
        <v/>
      </c>
      <c r="Q103" s="39"/>
      <c r="R103" s="72" t="str">
        <f t="shared" si="69"/>
        <v/>
      </c>
      <c r="S103" s="39"/>
      <c r="T103" s="72" t="str">
        <f t="shared" si="70"/>
        <v/>
      </c>
      <c r="U103" s="39"/>
      <c r="V103" s="72" t="str">
        <f t="shared" si="54"/>
        <v/>
      </c>
      <c r="W103" s="72" t="str">
        <f t="shared" si="71"/>
        <v/>
      </c>
      <c r="X103" s="39"/>
      <c r="Y103" s="72" t="str">
        <f t="shared" si="55"/>
        <v/>
      </c>
      <c r="Z103" s="72" t="str">
        <f t="shared" si="72"/>
        <v/>
      </c>
      <c r="AA103" s="39"/>
      <c r="AB103" s="72" t="str">
        <f t="shared" si="56"/>
        <v/>
      </c>
      <c r="AC103" s="72" t="str">
        <f t="shared" si="73"/>
        <v/>
      </c>
      <c r="AD103" s="39"/>
      <c r="AE103" s="72" t="str">
        <f t="shared" si="57"/>
        <v/>
      </c>
      <c r="AF103" s="72" t="str">
        <f t="shared" si="74"/>
        <v/>
      </c>
      <c r="AG103" s="39"/>
      <c r="AH103" s="72" t="str">
        <f t="shared" si="58"/>
        <v/>
      </c>
      <c r="AI103" s="72" t="str">
        <f t="shared" si="75"/>
        <v/>
      </c>
      <c r="AJ103" s="39"/>
      <c r="AK103" s="72" t="str">
        <f t="shared" si="59"/>
        <v/>
      </c>
      <c r="AL103" s="72" t="str">
        <f t="shared" si="76"/>
        <v/>
      </c>
      <c r="AM103" s="39"/>
      <c r="AN103" s="72" t="str">
        <f t="shared" si="60"/>
        <v/>
      </c>
      <c r="AO103" s="72" t="str">
        <f t="shared" si="77"/>
        <v/>
      </c>
      <c r="AP103" s="39"/>
      <c r="AQ103" s="72" t="str">
        <f t="shared" si="61"/>
        <v/>
      </c>
      <c r="AR103" s="72" t="str">
        <f t="shared" si="78"/>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62"/>
        <v/>
      </c>
      <c r="AW103" s="72" t="str">
        <f t="shared" si="79"/>
        <v/>
      </c>
      <c r="AX103" s="39"/>
      <c r="AY103" s="40" t="str">
        <f>IF(ISERROR(IF($K103&lt;=$F$15,VLOOKUP($I103,'表4）CO2価格'!$A$7:$E$67,VLOOKUP($F$48,'表4）CO2価格'!$H$10:$I$12,2,0),0)*$F$8/1000,"")),0,IF($K103&lt;=$F$15,VLOOKUP($I103,'表4）CO2価格'!$A$7:$E$67,VLOOKUP($F$48,'表4）CO2価格'!$H$10:$I$12,2,0),0)*$F$8/1000,""))</f>
        <v/>
      </c>
      <c r="AZ103" s="39"/>
      <c r="BA103" s="42" t="str">
        <f t="shared" si="63"/>
        <v/>
      </c>
      <c r="BB103" s="72" t="str">
        <f t="shared" si="80"/>
        <v/>
      </c>
      <c r="BC103" s="39"/>
      <c r="BD103" s="72" t="str">
        <f t="shared" si="64"/>
        <v/>
      </c>
      <c r="BE103" s="72" t="str">
        <f t="shared" si="81"/>
        <v/>
      </c>
      <c r="BF103" s="39"/>
      <c r="BG103" s="42" t="str">
        <f t="shared" si="65"/>
        <v/>
      </c>
      <c r="BH103" s="72" t="str">
        <f t="shared" si="82"/>
        <v/>
      </c>
      <c r="BI103" s="39"/>
      <c r="BJ103" s="40" t="str">
        <f t="shared" si="83"/>
        <v/>
      </c>
      <c r="BK103" s="157" t="str">
        <f t="shared" si="84"/>
        <v/>
      </c>
      <c r="BL103" s="157" t="str">
        <f t="shared" si="66"/>
        <v/>
      </c>
      <c r="BM103" s="72"/>
      <c r="BN103" s="72" t="str">
        <f t="shared" si="85"/>
        <v/>
      </c>
      <c r="BO103" s="72" t="str">
        <f t="shared" si="86"/>
        <v/>
      </c>
      <c r="BP103" s="39"/>
      <c r="BQ103" s="72" t="str">
        <f t="shared" si="67"/>
        <v/>
      </c>
      <c r="BR103" s="72" t="str">
        <f t="shared" si="87"/>
        <v/>
      </c>
    </row>
    <row r="104" spans="4:70" x14ac:dyDescent="0.15">
      <c r="E104" s="81" t="s">
        <v>203</v>
      </c>
      <c r="F104" s="91">
        <f>IF(ISERROR(F60*(1/F61)/F62),0,F60*(1/F61)/F62)</f>
        <v>0</v>
      </c>
      <c r="G104" s="81" t="s">
        <v>132</v>
      </c>
      <c r="I104" s="459">
        <f t="shared" si="88"/>
        <v>2109</v>
      </c>
      <c r="J104" s="71"/>
      <c r="K104" s="71">
        <f t="shared" si="89"/>
        <v>90</v>
      </c>
      <c r="L104" s="71"/>
      <c r="M104" s="7">
        <f t="shared" si="52"/>
        <v>6.9927785738485654E-2</v>
      </c>
      <c r="N104" s="71"/>
      <c r="O104" s="10" t="str">
        <f t="shared" si="68"/>
        <v/>
      </c>
      <c r="P104" s="29" t="str">
        <f t="shared" si="53"/>
        <v/>
      </c>
      <c r="Q104" s="71"/>
      <c r="R104" s="10" t="str">
        <f t="shared" si="69"/>
        <v/>
      </c>
      <c r="S104" s="71"/>
      <c r="T104" s="10" t="str">
        <f t="shared" si="70"/>
        <v/>
      </c>
      <c r="U104" s="71"/>
      <c r="V104" s="10" t="str">
        <f t="shared" si="54"/>
        <v/>
      </c>
      <c r="W104" s="10" t="str">
        <f t="shared" si="71"/>
        <v/>
      </c>
      <c r="X104" s="71"/>
      <c r="Y104" s="10" t="str">
        <f t="shared" si="55"/>
        <v/>
      </c>
      <c r="Z104" s="10" t="str">
        <f t="shared" si="72"/>
        <v/>
      </c>
      <c r="AA104" s="71"/>
      <c r="AB104" s="10" t="str">
        <f t="shared" si="56"/>
        <v/>
      </c>
      <c r="AC104" s="10" t="str">
        <f t="shared" si="73"/>
        <v/>
      </c>
      <c r="AD104" s="71"/>
      <c r="AE104" s="10" t="str">
        <f t="shared" si="57"/>
        <v/>
      </c>
      <c r="AF104" s="10" t="str">
        <f t="shared" si="74"/>
        <v/>
      </c>
      <c r="AG104" s="71"/>
      <c r="AH104" s="10" t="str">
        <f t="shared" si="58"/>
        <v/>
      </c>
      <c r="AI104" s="10" t="str">
        <f t="shared" si="75"/>
        <v/>
      </c>
      <c r="AJ104" s="71"/>
      <c r="AK104" s="10" t="str">
        <f t="shared" si="59"/>
        <v/>
      </c>
      <c r="AL104" s="10" t="str">
        <f t="shared" si="76"/>
        <v/>
      </c>
      <c r="AM104" s="71"/>
      <c r="AN104" s="10" t="str">
        <f t="shared" si="60"/>
        <v/>
      </c>
      <c r="AO104" s="10" t="str">
        <f t="shared" si="77"/>
        <v/>
      </c>
      <c r="AP104" s="71"/>
      <c r="AQ104" s="10" t="str">
        <f t="shared" si="61"/>
        <v/>
      </c>
      <c r="AR104" s="10" t="str">
        <f t="shared" si="78"/>
        <v/>
      </c>
      <c r="AS104" s="71"/>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U104" s="71"/>
      <c r="AV104" s="10" t="str">
        <f t="shared" si="62"/>
        <v/>
      </c>
      <c r="AW104" s="10" t="str">
        <f t="shared" si="79"/>
        <v/>
      </c>
      <c r="AX104" s="71"/>
      <c r="AY104" s="7" t="str">
        <f>IF(ISERROR(IF($K104&lt;=$F$15,VLOOKUP($I104,'表4）CO2価格'!$A$7:$E$67,VLOOKUP($F$48,'表4）CO2価格'!$H$10:$I$12,2,0),0)*$F$8/1000,"")),0,IF($K104&lt;=$F$15,VLOOKUP($I104,'表4）CO2価格'!$A$7:$E$67,VLOOKUP($F$48,'表4）CO2価格'!$H$10:$I$12,2,0),0)*$F$8/1000,""))</f>
        <v/>
      </c>
      <c r="AZ104" s="71"/>
      <c r="BA104" s="11" t="str">
        <f t="shared" si="63"/>
        <v/>
      </c>
      <c r="BB104" s="10" t="str">
        <f t="shared" si="80"/>
        <v/>
      </c>
      <c r="BC104" s="71"/>
      <c r="BD104" s="10" t="str">
        <f t="shared" si="64"/>
        <v/>
      </c>
      <c r="BE104" s="10" t="str">
        <f t="shared" si="81"/>
        <v/>
      </c>
      <c r="BF104" s="71"/>
      <c r="BG104" s="11" t="str">
        <f t="shared" si="65"/>
        <v/>
      </c>
      <c r="BH104" s="10" t="str">
        <f t="shared" si="82"/>
        <v/>
      </c>
      <c r="BJ104" s="7" t="str">
        <f t="shared" si="83"/>
        <v/>
      </c>
      <c r="BK104" s="158" t="str">
        <f t="shared" si="84"/>
        <v/>
      </c>
      <c r="BL104" s="158" t="str">
        <f t="shared" si="66"/>
        <v/>
      </c>
      <c r="BM104" s="10"/>
      <c r="BN104" s="10" t="str">
        <f t="shared" si="85"/>
        <v/>
      </c>
      <c r="BO104" s="10" t="str">
        <f t="shared" si="86"/>
        <v/>
      </c>
      <c r="BQ104" s="10" t="str">
        <f t="shared" si="67"/>
        <v/>
      </c>
      <c r="BR104" s="10" t="str">
        <f t="shared" si="87"/>
        <v/>
      </c>
    </row>
    <row r="105" spans="4:70" x14ac:dyDescent="0.15">
      <c r="E105" s="9" t="s">
        <v>367</v>
      </c>
      <c r="F105" s="91">
        <f>F64</f>
        <v>8.3978999999999998E-2</v>
      </c>
      <c r="G105" s="81" t="s">
        <v>132</v>
      </c>
      <c r="I105" s="458">
        <f t="shared" si="88"/>
        <v>2110</v>
      </c>
      <c r="J105" s="39"/>
      <c r="K105" s="39">
        <f t="shared" si="89"/>
        <v>91</v>
      </c>
      <c r="L105" s="39"/>
      <c r="M105" s="40">
        <f t="shared" si="52"/>
        <v>6.7891054115034627E-2</v>
      </c>
      <c r="N105" s="39"/>
      <c r="O105" s="72" t="str">
        <f t="shared" si="68"/>
        <v/>
      </c>
      <c r="P105" s="41" t="str">
        <f t="shared" si="53"/>
        <v/>
      </c>
      <c r="Q105" s="39"/>
      <c r="R105" s="72" t="str">
        <f t="shared" si="69"/>
        <v/>
      </c>
      <c r="S105" s="39"/>
      <c r="T105" s="72" t="str">
        <f t="shared" si="70"/>
        <v/>
      </c>
      <c r="U105" s="39"/>
      <c r="V105" s="72" t="str">
        <f t="shared" si="54"/>
        <v/>
      </c>
      <c r="W105" s="72" t="str">
        <f t="shared" si="71"/>
        <v/>
      </c>
      <c r="X105" s="39"/>
      <c r="Y105" s="72" t="str">
        <f t="shared" si="55"/>
        <v/>
      </c>
      <c r="Z105" s="72" t="str">
        <f t="shared" si="72"/>
        <v/>
      </c>
      <c r="AA105" s="39"/>
      <c r="AB105" s="72" t="str">
        <f t="shared" si="56"/>
        <v/>
      </c>
      <c r="AC105" s="72" t="str">
        <f t="shared" si="73"/>
        <v/>
      </c>
      <c r="AD105" s="39"/>
      <c r="AE105" s="72" t="str">
        <f t="shared" si="57"/>
        <v/>
      </c>
      <c r="AF105" s="72" t="str">
        <f t="shared" si="74"/>
        <v/>
      </c>
      <c r="AG105" s="39"/>
      <c r="AH105" s="72" t="str">
        <f t="shared" si="58"/>
        <v/>
      </c>
      <c r="AI105" s="72" t="str">
        <f t="shared" si="75"/>
        <v/>
      </c>
      <c r="AJ105" s="39"/>
      <c r="AK105" s="72" t="str">
        <f t="shared" si="59"/>
        <v/>
      </c>
      <c r="AL105" s="72" t="str">
        <f t="shared" si="76"/>
        <v/>
      </c>
      <c r="AM105" s="39"/>
      <c r="AN105" s="72" t="str">
        <f t="shared" si="60"/>
        <v/>
      </c>
      <c r="AO105" s="72" t="str">
        <f t="shared" si="77"/>
        <v/>
      </c>
      <c r="AP105" s="39"/>
      <c r="AQ105" s="72" t="str">
        <f t="shared" si="61"/>
        <v/>
      </c>
      <c r="AR105" s="72" t="str">
        <f t="shared" si="78"/>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62"/>
        <v/>
      </c>
      <c r="AW105" s="72" t="str">
        <f t="shared" si="79"/>
        <v/>
      </c>
      <c r="AX105" s="39"/>
      <c r="AY105" s="40" t="str">
        <f>IF(ISERROR(IF($K105&lt;=$F$15,VLOOKUP($I105,'表4）CO2価格'!$A$7:$E$67,VLOOKUP($F$48,'表4）CO2価格'!$H$10:$I$12,2,0),0)*$F$8/1000,"")),0,IF($K105&lt;=$F$15,VLOOKUP($I105,'表4）CO2価格'!$A$7:$E$67,VLOOKUP($F$48,'表4）CO2価格'!$H$10:$I$12,2,0),0)*$F$8/1000,""))</f>
        <v/>
      </c>
      <c r="AZ105" s="39"/>
      <c r="BA105" s="42" t="str">
        <f t="shared" si="63"/>
        <v/>
      </c>
      <c r="BB105" s="72" t="str">
        <f t="shared" si="80"/>
        <v/>
      </c>
      <c r="BC105" s="39"/>
      <c r="BD105" s="72" t="str">
        <f t="shared" si="64"/>
        <v/>
      </c>
      <c r="BE105" s="72" t="str">
        <f t="shared" si="81"/>
        <v/>
      </c>
      <c r="BF105" s="39"/>
      <c r="BG105" s="42" t="str">
        <f t="shared" si="65"/>
        <v/>
      </c>
      <c r="BH105" s="72" t="str">
        <f t="shared" si="82"/>
        <v/>
      </c>
      <c r="BI105" s="39"/>
      <c r="BJ105" s="40" t="str">
        <f t="shared" si="83"/>
        <v/>
      </c>
      <c r="BK105" s="157" t="str">
        <f t="shared" si="84"/>
        <v/>
      </c>
      <c r="BL105" s="157" t="str">
        <f t="shared" si="66"/>
        <v/>
      </c>
      <c r="BM105" s="72"/>
      <c r="BN105" s="72" t="str">
        <f t="shared" si="85"/>
        <v/>
      </c>
      <c r="BO105" s="72" t="str">
        <f t="shared" si="86"/>
        <v/>
      </c>
      <c r="BP105" s="39"/>
      <c r="BQ105" s="72" t="str">
        <f t="shared" si="67"/>
        <v/>
      </c>
      <c r="BR105" s="72" t="str">
        <f t="shared" si="87"/>
        <v/>
      </c>
    </row>
    <row r="106" spans="4:70" x14ac:dyDescent="0.15">
      <c r="F106" s="93"/>
      <c r="I106" s="459">
        <f t="shared" si="88"/>
        <v>2111</v>
      </c>
      <c r="J106" s="71"/>
      <c r="K106" s="71">
        <f t="shared" si="89"/>
        <v>92</v>
      </c>
      <c r="L106" s="71"/>
      <c r="M106" s="7">
        <f t="shared" si="52"/>
        <v>6.5913644771878277E-2</v>
      </c>
      <c r="N106" s="71"/>
      <c r="O106" s="10" t="str">
        <f t="shared" si="68"/>
        <v/>
      </c>
      <c r="P106" s="29" t="str">
        <f t="shared" si="53"/>
        <v/>
      </c>
      <c r="Q106" s="71"/>
      <c r="R106" s="10" t="str">
        <f t="shared" si="69"/>
        <v/>
      </c>
      <c r="S106" s="71"/>
      <c r="T106" s="10" t="str">
        <f t="shared" si="70"/>
        <v/>
      </c>
      <c r="U106" s="71"/>
      <c r="V106" s="10" t="str">
        <f t="shared" si="54"/>
        <v/>
      </c>
      <c r="W106" s="10" t="str">
        <f t="shared" si="71"/>
        <v/>
      </c>
      <c r="X106" s="71"/>
      <c r="Y106" s="10" t="str">
        <f t="shared" si="55"/>
        <v/>
      </c>
      <c r="Z106" s="10" t="str">
        <f t="shared" si="72"/>
        <v/>
      </c>
      <c r="AA106" s="71"/>
      <c r="AB106" s="10" t="str">
        <f t="shared" si="56"/>
        <v/>
      </c>
      <c r="AC106" s="10" t="str">
        <f t="shared" si="73"/>
        <v/>
      </c>
      <c r="AD106" s="71"/>
      <c r="AE106" s="10" t="str">
        <f t="shared" si="57"/>
        <v/>
      </c>
      <c r="AF106" s="10" t="str">
        <f t="shared" si="74"/>
        <v/>
      </c>
      <c r="AG106" s="71"/>
      <c r="AH106" s="10" t="str">
        <f t="shared" si="58"/>
        <v/>
      </c>
      <c r="AI106" s="10" t="str">
        <f t="shared" si="75"/>
        <v/>
      </c>
      <c r="AJ106" s="71"/>
      <c r="AK106" s="10" t="str">
        <f t="shared" si="59"/>
        <v/>
      </c>
      <c r="AL106" s="10" t="str">
        <f t="shared" si="76"/>
        <v/>
      </c>
      <c r="AM106" s="71"/>
      <c r="AN106" s="10" t="str">
        <f t="shared" si="60"/>
        <v/>
      </c>
      <c r="AO106" s="10" t="str">
        <f t="shared" si="77"/>
        <v/>
      </c>
      <c r="AP106" s="71"/>
      <c r="AQ106" s="10" t="str">
        <f t="shared" si="61"/>
        <v/>
      </c>
      <c r="AR106" s="10" t="str">
        <f t="shared" si="78"/>
        <v/>
      </c>
      <c r="AS106" s="71"/>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U106" s="71"/>
      <c r="AV106" s="10" t="str">
        <f t="shared" si="62"/>
        <v/>
      </c>
      <c r="AW106" s="10" t="str">
        <f t="shared" si="79"/>
        <v/>
      </c>
      <c r="AX106" s="71"/>
      <c r="AY106" s="7" t="str">
        <f>IF(ISERROR(IF($K106&lt;=$F$15,VLOOKUP($I106,'表4）CO2価格'!$A$7:$E$67,VLOOKUP($F$48,'表4）CO2価格'!$H$10:$I$12,2,0),0)*$F$8/1000,"")),0,IF($K106&lt;=$F$15,VLOOKUP($I106,'表4）CO2価格'!$A$7:$E$67,VLOOKUP($F$48,'表4）CO2価格'!$H$10:$I$12,2,0),0)*$F$8/1000,""))</f>
        <v/>
      </c>
      <c r="AZ106" s="71"/>
      <c r="BA106" s="11" t="str">
        <f t="shared" si="63"/>
        <v/>
      </c>
      <c r="BB106" s="10" t="str">
        <f t="shared" si="80"/>
        <v/>
      </c>
      <c r="BC106" s="71"/>
      <c r="BD106" s="10" t="str">
        <f t="shared" si="64"/>
        <v/>
      </c>
      <c r="BE106" s="10" t="str">
        <f t="shared" si="81"/>
        <v/>
      </c>
      <c r="BF106" s="71"/>
      <c r="BG106" s="11" t="str">
        <f t="shared" si="65"/>
        <v/>
      </c>
      <c r="BH106" s="10" t="str">
        <f t="shared" si="82"/>
        <v/>
      </c>
      <c r="BJ106" s="7" t="str">
        <f t="shared" si="83"/>
        <v/>
      </c>
      <c r="BK106" s="158" t="str">
        <f t="shared" si="84"/>
        <v/>
      </c>
      <c r="BL106" s="158" t="str">
        <f t="shared" si="66"/>
        <v/>
      </c>
      <c r="BM106" s="10"/>
      <c r="BN106" s="10" t="str">
        <f t="shared" si="85"/>
        <v/>
      </c>
      <c r="BO106" s="10" t="str">
        <f t="shared" si="86"/>
        <v/>
      </c>
      <c r="BQ106" s="10" t="str">
        <f t="shared" si="67"/>
        <v/>
      </c>
      <c r="BR106" s="10" t="str">
        <f t="shared" si="87"/>
        <v/>
      </c>
    </row>
    <row r="107" spans="4:70" ht="15" x14ac:dyDescent="0.15">
      <c r="D107" s="116" t="s">
        <v>204</v>
      </c>
      <c r="F107" s="94">
        <f>SUBTOTAL(9,F111:F112)</f>
        <v>0</v>
      </c>
      <c r="G107" s="81" t="s">
        <v>132</v>
      </c>
      <c r="I107" s="458">
        <f t="shared" si="88"/>
        <v>2112</v>
      </c>
      <c r="J107" s="39"/>
      <c r="K107" s="39">
        <f t="shared" si="89"/>
        <v>93</v>
      </c>
      <c r="L107" s="39"/>
      <c r="M107" s="40">
        <f t="shared" si="52"/>
        <v>6.3993829875609989E-2</v>
      </c>
      <c r="N107" s="39"/>
      <c r="O107" s="72" t="str">
        <f t="shared" si="68"/>
        <v/>
      </c>
      <c r="P107" s="41" t="str">
        <f t="shared" si="53"/>
        <v/>
      </c>
      <c r="Q107" s="39"/>
      <c r="R107" s="72" t="str">
        <f t="shared" si="69"/>
        <v/>
      </c>
      <c r="S107" s="39"/>
      <c r="T107" s="72" t="str">
        <f t="shared" si="70"/>
        <v/>
      </c>
      <c r="U107" s="39"/>
      <c r="V107" s="72" t="str">
        <f t="shared" si="54"/>
        <v/>
      </c>
      <c r="W107" s="72" t="str">
        <f t="shared" si="71"/>
        <v/>
      </c>
      <c r="X107" s="39"/>
      <c r="Y107" s="72" t="str">
        <f t="shared" si="55"/>
        <v/>
      </c>
      <c r="Z107" s="72" t="str">
        <f t="shared" si="72"/>
        <v/>
      </c>
      <c r="AA107" s="39"/>
      <c r="AB107" s="72" t="str">
        <f t="shared" si="56"/>
        <v/>
      </c>
      <c r="AC107" s="72" t="str">
        <f t="shared" si="73"/>
        <v/>
      </c>
      <c r="AD107" s="39"/>
      <c r="AE107" s="72" t="str">
        <f t="shared" si="57"/>
        <v/>
      </c>
      <c r="AF107" s="72" t="str">
        <f t="shared" si="74"/>
        <v/>
      </c>
      <c r="AG107" s="39"/>
      <c r="AH107" s="72" t="str">
        <f t="shared" si="58"/>
        <v/>
      </c>
      <c r="AI107" s="72" t="str">
        <f t="shared" si="75"/>
        <v/>
      </c>
      <c r="AJ107" s="39"/>
      <c r="AK107" s="72" t="str">
        <f t="shared" si="59"/>
        <v/>
      </c>
      <c r="AL107" s="72" t="str">
        <f t="shared" si="76"/>
        <v/>
      </c>
      <c r="AM107" s="39"/>
      <c r="AN107" s="72" t="str">
        <f t="shared" si="60"/>
        <v/>
      </c>
      <c r="AO107" s="72" t="str">
        <f t="shared" si="77"/>
        <v/>
      </c>
      <c r="AP107" s="39"/>
      <c r="AQ107" s="72" t="str">
        <f t="shared" si="61"/>
        <v/>
      </c>
      <c r="AR107" s="72" t="str">
        <f t="shared" si="78"/>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62"/>
        <v/>
      </c>
      <c r="AW107" s="72" t="str">
        <f t="shared" si="79"/>
        <v/>
      </c>
      <c r="AX107" s="39"/>
      <c r="AY107" s="40" t="str">
        <f>IF(ISERROR(IF($K107&lt;=$F$15,VLOOKUP($I107,'表4）CO2価格'!$A$7:$E$67,VLOOKUP($F$48,'表4）CO2価格'!$H$10:$I$12,2,0),0)*$F$8/1000,"")),0,IF($K107&lt;=$F$15,VLOOKUP($I107,'表4）CO2価格'!$A$7:$E$67,VLOOKUP($F$48,'表4）CO2価格'!$H$10:$I$12,2,0),0)*$F$8/1000,""))</f>
        <v/>
      </c>
      <c r="AZ107" s="39"/>
      <c r="BA107" s="42" t="str">
        <f t="shared" si="63"/>
        <v/>
      </c>
      <c r="BB107" s="72" t="str">
        <f t="shared" si="80"/>
        <v/>
      </c>
      <c r="BC107" s="39"/>
      <c r="BD107" s="72" t="str">
        <f t="shared" si="64"/>
        <v/>
      </c>
      <c r="BE107" s="72" t="str">
        <f t="shared" si="81"/>
        <v/>
      </c>
      <c r="BF107" s="39"/>
      <c r="BG107" s="42" t="str">
        <f t="shared" si="65"/>
        <v/>
      </c>
      <c r="BH107" s="72" t="str">
        <f t="shared" si="82"/>
        <v/>
      </c>
      <c r="BI107" s="39"/>
      <c r="BJ107" s="40" t="str">
        <f t="shared" si="83"/>
        <v/>
      </c>
      <c r="BK107" s="157" t="str">
        <f t="shared" si="84"/>
        <v/>
      </c>
      <c r="BL107" s="157" t="str">
        <f t="shared" si="66"/>
        <v/>
      </c>
      <c r="BM107" s="72"/>
      <c r="BN107" s="72" t="str">
        <f t="shared" si="85"/>
        <v/>
      </c>
      <c r="BO107" s="72" t="str">
        <f t="shared" si="86"/>
        <v/>
      </c>
      <c r="BP107" s="39"/>
      <c r="BQ107" s="72" t="str">
        <f t="shared" si="67"/>
        <v/>
      </c>
      <c r="BR107" s="72" t="str">
        <f t="shared" si="87"/>
        <v/>
      </c>
    </row>
    <row r="108" spans="4:70" ht="15" x14ac:dyDescent="0.15">
      <c r="D108" s="116"/>
      <c r="F108" s="93"/>
      <c r="I108" s="459">
        <f t="shared" si="88"/>
        <v>2113</v>
      </c>
      <c r="J108" s="71"/>
      <c r="K108" s="71">
        <f t="shared" si="89"/>
        <v>94</v>
      </c>
      <c r="L108" s="71"/>
      <c r="M108" s="7">
        <f t="shared" si="52"/>
        <v>6.212993191806794E-2</v>
      </c>
      <c r="N108" s="71"/>
      <c r="O108" s="10" t="str">
        <f t="shared" si="68"/>
        <v/>
      </c>
      <c r="P108" s="29" t="str">
        <f t="shared" si="53"/>
        <v/>
      </c>
      <c r="Q108" s="71"/>
      <c r="R108" s="10" t="str">
        <f t="shared" si="69"/>
        <v/>
      </c>
      <c r="S108" s="71"/>
      <c r="T108" s="10" t="str">
        <f t="shared" si="70"/>
        <v/>
      </c>
      <c r="U108" s="71"/>
      <c r="V108" s="10" t="str">
        <f t="shared" si="54"/>
        <v/>
      </c>
      <c r="W108" s="10" t="str">
        <f t="shared" si="71"/>
        <v/>
      </c>
      <c r="X108" s="71"/>
      <c r="Y108" s="10" t="str">
        <f t="shared" si="55"/>
        <v/>
      </c>
      <c r="Z108" s="10" t="str">
        <f t="shared" si="72"/>
        <v/>
      </c>
      <c r="AA108" s="71"/>
      <c r="AB108" s="10" t="str">
        <f t="shared" si="56"/>
        <v/>
      </c>
      <c r="AC108" s="10" t="str">
        <f t="shared" si="73"/>
        <v/>
      </c>
      <c r="AD108" s="71"/>
      <c r="AE108" s="10" t="str">
        <f t="shared" si="57"/>
        <v/>
      </c>
      <c r="AF108" s="10" t="str">
        <f t="shared" si="74"/>
        <v/>
      </c>
      <c r="AG108" s="71"/>
      <c r="AH108" s="10" t="str">
        <f t="shared" si="58"/>
        <v/>
      </c>
      <c r="AI108" s="10" t="str">
        <f t="shared" si="75"/>
        <v/>
      </c>
      <c r="AJ108" s="71"/>
      <c r="AK108" s="10" t="str">
        <f t="shared" si="59"/>
        <v/>
      </c>
      <c r="AL108" s="10" t="str">
        <f t="shared" si="76"/>
        <v/>
      </c>
      <c r="AM108" s="71"/>
      <c r="AN108" s="10" t="str">
        <f t="shared" si="60"/>
        <v/>
      </c>
      <c r="AO108" s="10" t="str">
        <f t="shared" si="77"/>
        <v/>
      </c>
      <c r="AP108" s="71"/>
      <c r="AQ108" s="10" t="str">
        <f t="shared" si="61"/>
        <v/>
      </c>
      <c r="AR108" s="10" t="str">
        <f t="shared" si="78"/>
        <v/>
      </c>
      <c r="AS108" s="71"/>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U108" s="71"/>
      <c r="AV108" s="10" t="str">
        <f t="shared" si="62"/>
        <v/>
      </c>
      <c r="AW108" s="10" t="str">
        <f t="shared" si="79"/>
        <v/>
      </c>
      <c r="AX108" s="71"/>
      <c r="AY108" s="7" t="str">
        <f>IF(ISERROR(IF($K108&lt;=$F$15,VLOOKUP($I108,'表4）CO2価格'!$A$7:$E$67,VLOOKUP($F$48,'表4）CO2価格'!$H$10:$I$12,2,0),0)*$F$8/1000,"")),0,IF($K108&lt;=$F$15,VLOOKUP($I108,'表4）CO2価格'!$A$7:$E$67,VLOOKUP($F$48,'表4）CO2価格'!$H$10:$I$12,2,0),0)*$F$8/1000,""))</f>
        <v/>
      </c>
      <c r="AZ108" s="71"/>
      <c r="BA108" s="11" t="str">
        <f t="shared" si="63"/>
        <v/>
      </c>
      <c r="BB108" s="10" t="str">
        <f t="shared" si="80"/>
        <v/>
      </c>
      <c r="BC108" s="71"/>
      <c r="BD108" s="10" t="str">
        <f t="shared" si="64"/>
        <v/>
      </c>
      <c r="BE108" s="10" t="str">
        <f t="shared" si="81"/>
        <v/>
      </c>
      <c r="BF108" s="71"/>
      <c r="BG108" s="11" t="str">
        <f t="shared" si="65"/>
        <v/>
      </c>
      <c r="BH108" s="10" t="str">
        <f t="shared" si="82"/>
        <v/>
      </c>
      <c r="BJ108" s="7" t="str">
        <f t="shared" si="83"/>
        <v/>
      </c>
      <c r="BK108" s="158" t="str">
        <f t="shared" si="84"/>
        <v/>
      </c>
      <c r="BL108" s="158" t="str">
        <f t="shared" si="66"/>
        <v/>
      </c>
      <c r="BM108" s="10"/>
      <c r="BN108" s="10" t="str">
        <f t="shared" si="85"/>
        <v/>
      </c>
      <c r="BO108" s="10" t="str">
        <f t="shared" si="86"/>
        <v/>
      </c>
      <c r="BQ108" s="10" t="str">
        <f t="shared" si="67"/>
        <v/>
      </c>
      <c r="BR108" s="10" t="str">
        <f t="shared" si="87"/>
        <v/>
      </c>
    </row>
    <row r="109" spans="4:70" x14ac:dyDescent="0.15">
      <c r="D109" s="101" t="s">
        <v>205</v>
      </c>
      <c r="E109" s="101"/>
      <c r="F109" s="92"/>
      <c r="G109" s="101"/>
      <c r="I109" s="458">
        <f t="shared" si="88"/>
        <v>2114</v>
      </c>
      <c r="J109" s="39"/>
      <c r="K109" s="39">
        <f t="shared" si="89"/>
        <v>95</v>
      </c>
      <c r="L109" s="39"/>
      <c r="M109" s="40">
        <f t="shared" si="52"/>
        <v>6.0320322250551395E-2</v>
      </c>
      <c r="N109" s="39"/>
      <c r="O109" s="72" t="str">
        <f t="shared" si="68"/>
        <v/>
      </c>
      <c r="P109" s="41" t="str">
        <f t="shared" si="53"/>
        <v/>
      </c>
      <c r="Q109" s="39"/>
      <c r="R109" s="72" t="str">
        <f t="shared" si="69"/>
        <v/>
      </c>
      <c r="S109" s="39"/>
      <c r="T109" s="72" t="str">
        <f t="shared" si="70"/>
        <v/>
      </c>
      <c r="U109" s="39"/>
      <c r="V109" s="72" t="str">
        <f t="shared" si="54"/>
        <v/>
      </c>
      <c r="W109" s="72" t="str">
        <f t="shared" si="71"/>
        <v/>
      </c>
      <c r="X109" s="39"/>
      <c r="Y109" s="72" t="str">
        <f t="shared" si="55"/>
        <v/>
      </c>
      <c r="Z109" s="72" t="str">
        <f t="shared" si="72"/>
        <v/>
      </c>
      <c r="AA109" s="39"/>
      <c r="AB109" s="72" t="str">
        <f t="shared" si="56"/>
        <v/>
      </c>
      <c r="AC109" s="72" t="str">
        <f t="shared" si="73"/>
        <v/>
      </c>
      <c r="AD109" s="39"/>
      <c r="AE109" s="72" t="str">
        <f t="shared" si="57"/>
        <v/>
      </c>
      <c r="AF109" s="72" t="str">
        <f t="shared" si="74"/>
        <v/>
      </c>
      <c r="AG109" s="39"/>
      <c r="AH109" s="72" t="str">
        <f t="shared" si="58"/>
        <v/>
      </c>
      <c r="AI109" s="72" t="str">
        <f t="shared" si="75"/>
        <v/>
      </c>
      <c r="AJ109" s="39"/>
      <c r="AK109" s="72" t="str">
        <f t="shared" si="59"/>
        <v/>
      </c>
      <c r="AL109" s="72" t="str">
        <f t="shared" si="76"/>
        <v/>
      </c>
      <c r="AM109" s="39"/>
      <c r="AN109" s="72" t="str">
        <f t="shared" si="60"/>
        <v/>
      </c>
      <c r="AO109" s="72" t="str">
        <f t="shared" si="77"/>
        <v/>
      </c>
      <c r="AP109" s="39"/>
      <c r="AQ109" s="72" t="str">
        <f t="shared" si="61"/>
        <v/>
      </c>
      <c r="AR109" s="72" t="str">
        <f t="shared" si="78"/>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62"/>
        <v/>
      </c>
      <c r="AW109" s="72" t="str">
        <f t="shared" si="79"/>
        <v/>
      </c>
      <c r="AX109" s="39"/>
      <c r="AY109" s="40" t="str">
        <f>IF(ISERROR(IF($K109&lt;=$F$15,VLOOKUP($I109,'表4）CO2価格'!$A$7:$E$67,VLOOKUP($F$48,'表4）CO2価格'!$H$10:$I$12,2,0),0)*$F$8/1000,"")),0,IF($K109&lt;=$F$15,VLOOKUP($I109,'表4）CO2価格'!$A$7:$E$67,VLOOKUP($F$48,'表4）CO2価格'!$H$10:$I$12,2,0),0)*$F$8/1000,""))</f>
        <v/>
      </c>
      <c r="AZ109" s="39"/>
      <c r="BA109" s="42" t="str">
        <f t="shared" si="63"/>
        <v/>
      </c>
      <c r="BB109" s="72" t="str">
        <f t="shared" si="80"/>
        <v/>
      </c>
      <c r="BC109" s="39"/>
      <c r="BD109" s="72" t="str">
        <f t="shared" si="64"/>
        <v/>
      </c>
      <c r="BE109" s="72" t="str">
        <f t="shared" si="81"/>
        <v/>
      </c>
      <c r="BF109" s="39"/>
      <c r="BG109" s="42" t="str">
        <f t="shared" si="65"/>
        <v/>
      </c>
      <c r="BH109" s="72" t="str">
        <f t="shared" si="82"/>
        <v/>
      </c>
      <c r="BI109" s="39"/>
      <c r="BJ109" s="40" t="str">
        <f t="shared" si="83"/>
        <v/>
      </c>
      <c r="BK109" s="157" t="str">
        <f t="shared" si="84"/>
        <v/>
      </c>
      <c r="BL109" s="157" t="str">
        <f t="shared" si="66"/>
        <v/>
      </c>
      <c r="BM109" s="72"/>
      <c r="BN109" s="72" t="str">
        <f t="shared" si="85"/>
        <v/>
      </c>
      <c r="BO109" s="72" t="str">
        <f t="shared" si="86"/>
        <v/>
      </c>
      <c r="BP109" s="39"/>
      <c r="BQ109" s="72" t="str">
        <f t="shared" si="67"/>
        <v/>
      </c>
      <c r="BR109" s="72" t="str">
        <f t="shared" si="87"/>
        <v/>
      </c>
    </row>
    <row r="110" spans="4:70" ht="15" x14ac:dyDescent="0.15">
      <c r="D110" s="116"/>
      <c r="F110" s="93"/>
      <c r="I110" s="459">
        <f t="shared" si="88"/>
        <v>2115</v>
      </c>
      <c r="J110" s="71"/>
      <c r="K110" s="71">
        <f t="shared" si="89"/>
        <v>96</v>
      </c>
      <c r="L110" s="71"/>
      <c r="M110" s="7">
        <f t="shared" si="52"/>
        <v>5.8563419660729518E-2</v>
      </c>
      <c r="N110" s="71"/>
      <c r="O110" s="10" t="str">
        <f t="shared" si="68"/>
        <v/>
      </c>
      <c r="P110" s="29" t="str">
        <f t="shared" si="53"/>
        <v/>
      </c>
      <c r="Q110" s="71"/>
      <c r="R110" s="10" t="str">
        <f t="shared" si="69"/>
        <v/>
      </c>
      <c r="S110" s="71"/>
      <c r="T110" s="10" t="str">
        <f t="shared" si="70"/>
        <v/>
      </c>
      <c r="U110" s="71"/>
      <c r="V110" s="10" t="str">
        <f t="shared" si="54"/>
        <v/>
      </c>
      <c r="W110" s="10" t="str">
        <f t="shared" si="71"/>
        <v/>
      </c>
      <c r="X110" s="71"/>
      <c r="Y110" s="10" t="str">
        <f t="shared" si="55"/>
        <v/>
      </c>
      <c r="Z110" s="10" t="str">
        <f t="shared" si="72"/>
        <v/>
      </c>
      <c r="AA110" s="71"/>
      <c r="AB110" s="10" t="str">
        <f t="shared" si="56"/>
        <v/>
      </c>
      <c r="AC110" s="10" t="str">
        <f t="shared" si="73"/>
        <v/>
      </c>
      <c r="AD110" s="71"/>
      <c r="AE110" s="10" t="str">
        <f t="shared" si="57"/>
        <v/>
      </c>
      <c r="AF110" s="10" t="str">
        <f t="shared" si="74"/>
        <v/>
      </c>
      <c r="AG110" s="71"/>
      <c r="AH110" s="10" t="str">
        <f t="shared" si="58"/>
        <v/>
      </c>
      <c r="AI110" s="10" t="str">
        <f t="shared" si="75"/>
        <v/>
      </c>
      <c r="AJ110" s="71"/>
      <c r="AK110" s="10" t="str">
        <f t="shared" si="59"/>
        <v/>
      </c>
      <c r="AL110" s="10" t="str">
        <f t="shared" si="76"/>
        <v/>
      </c>
      <c r="AM110" s="71"/>
      <c r="AN110" s="10" t="str">
        <f t="shared" si="60"/>
        <v/>
      </c>
      <c r="AO110" s="10" t="str">
        <f t="shared" si="77"/>
        <v/>
      </c>
      <c r="AP110" s="71"/>
      <c r="AQ110" s="10" t="str">
        <f t="shared" si="61"/>
        <v/>
      </c>
      <c r="AR110" s="10" t="str">
        <f t="shared" si="78"/>
        <v/>
      </c>
      <c r="AS110" s="71"/>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U110" s="71"/>
      <c r="AV110" s="10" t="str">
        <f t="shared" si="62"/>
        <v/>
      </c>
      <c r="AW110" s="10" t="str">
        <f t="shared" si="79"/>
        <v/>
      </c>
      <c r="AX110" s="71"/>
      <c r="AY110" s="7" t="str">
        <f>IF(ISERROR(IF($K110&lt;=$F$15,VLOOKUP($I110,'表4）CO2価格'!$A$7:$E$67,VLOOKUP($F$48,'表4）CO2価格'!$H$10:$I$12,2,0),0)*$F$8/1000,"")),0,IF($K110&lt;=$F$15,VLOOKUP($I110,'表4）CO2価格'!$A$7:$E$67,VLOOKUP($F$48,'表4）CO2価格'!$H$10:$I$12,2,0),0)*$F$8/1000,""))</f>
        <v/>
      </c>
      <c r="AZ110" s="71"/>
      <c r="BA110" s="11" t="str">
        <f t="shared" si="63"/>
        <v/>
      </c>
      <c r="BB110" s="10" t="str">
        <f t="shared" si="80"/>
        <v/>
      </c>
      <c r="BC110" s="71"/>
      <c r="BD110" s="10" t="str">
        <f t="shared" si="64"/>
        <v/>
      </c>
      <c r="BE110" s="10" t="str">
        <f t="shared" si="81"/>
        <v/>
      </c>
      <c r="BF110" s="71"/>
      <c r="BG110" s="11" t="str">
        <f t="shared" si="65"/>
        <v/>
      </c>
      <c r="BH110" s="10" t="str">
        <f t="shared" si="82"/>
        <v/>
      </c>
      <c r="BJ110" s="7" t="str">
        <f t="shared" si="83"/>
        <v/>
      </c>
      <c r="BK110" s="158" t="str">
        <f t="shared" si="84"/>
        <v/>
      </c>
      <c r="BL110" s="158" t="str">
        <f t="shared" si="66"/>
        <v/>
      </c>
      <c r="BM110" s="10"/>
      <c r="BN110" s="10" t="str">
        <f t="shared" si="85"/>
        <v/>
      </c>
      <c r="BO110" s="10" t="str">
        <f t="shared" si="86"/>
        <v/>
      </c>
      <c r="BQ110" s="10" t="str">
        <f t="shared" si="67"/>
        <v/>
      </c>
      <c r="BR110" s="10" t="str">
        <f t="shared" si="87"/>
        <v/>
      </c>
    </row>
    <row r="111" spans="4:70" ht="15" x14ac:dyDescent="0.15">
      <c r="D111" s="116"/>
      <c r="E111" s="81" t="s">
        <v>206</v>
      </c>
      <c r="F111" s="91">
        <f>-BE116/BR116</f>
        <v>0</v>
      </c>
      <c r="G111" s="81" t="s">
        <v>132</v>
      </c>
      <c r="I111" s="458">
        <f t="shared" si="88"/>
        <v>2116</v>
      </c>
      <c r="J111" s="39"/>
      <c r="K111" s="39">
        <f t="shared" si="89"/>
        <v>97</v>
      </c>
      <c r="L111" s="39"/>
      <c r="M111" s="40">
        <f t="shared" si="52"/>
        <v>5.6857688990999529E-2</v>
      </c>
      <c r="N111" s="39"/>
      <c r="O111" s="72" t="str">
        <f t="shared" si="68"/>
        <v/>
      </c>
      <c r="P111" s="41" t="str">
        <f>IF(K111&lt;=$F$15,IF(OR(P110=$F$124,P110="-"),"-",IF(O111*$F$123&gt;$F$127,$F$123,$F$124)),"")</f>
        <v/>
      </c>
      <c r="Q111" s="39"/>
      <c r="R111" s="72" t="str">
        <f t="shared" si="69"/>
        <v/>
      </c>
      <c r="S111" s="39"/>
      <c r="T111" s="72" t="str">
        <f t="shared" si="70"/>
        <v/>
      </c>
      <c r="U111" s="39"/>
      <c r="V111" s="72" t="str">
        <f t="shared" si="54"/>
        <v/>
      </c>
      <c r="W111" s="72" t="str">
        <f t="shared" si="71"/>
        <v/>
      </c>
      <c r="X111" s="39"/>
      <c r="Y111" s="72" t="str">
        <f t="shared" si="55"/>
        <v/>
      </c>
      <c r="Z111" s="72" t="str">
        <f t="shared" si="72"/>
        <v/>
      </c>
      <c r="AA111" s="39"/>
      <c r="AB111" s="72" t="str">
        <f t="shared" si="56"/>
        <v/>
      </c>
      <c r="AC111" s="72" t="str">
        <f t="shared" si="73"/>
        <v/>
      </c>
      <c r="AD111" s="39"/>
      <c r="AE111" s="72" t="str">
        <f t="shared" si="57"/>
        <v/>
      </c>
      <c r="AF111" s="72" t="str">
        <f t="shared" si="74"/>
        <v/>
      </c>
      <c r="AG111" s="39"/>
      <c r="AH111" s="72" t="str">
        <f t="shared" si="58"/>
        <v/>
      </c>
      <c r="AI111" s="72" t="str">
        <f t="shared" si="75"/>
        <v/>
      </c>
      <c r="AJ111" s="39"/>
      <c r="AK111" s="72" t="str">
        <f t="shared" si="59"/>
        <v/>
      </c>
      <c r="AL111" s="72" t="str">
        <f t="shared" si="76"/>
        <v/>
      </c>
      <c r="AM111" s="39"/>
      <c r="AN111" s="72" t="str">
        <f t="shared" si="60"/>
        <v/>
      </c>
      <c r="AO111" s="72" t="str">
        <f t="shared" si="77"/>
        <v/>
      </c>
      <c r="AP111" s="39"/>
      <c r="AQ111" s="72" t="str">
        <f t="shared" si="61"/>
        <v/>
      </c>
      <c r="AR111" s="72" t="str">
        <f t="shared" si="78"/>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62"/>
        <v/>
      </c>
      <c r="AW111" s="72" t="str">
        <f t="shared" si="79"/>
        <v/>
      </c>
      <c r="AX111" s="39"/>
      <c r="AY111" s="40" t="str">
        <f>IF(ISERROR(IF($K111&lt;=$F$15,VLOOKUP($I111,'表4）CO2価格'!$A$7:$E$67,VLOOKUP($F$48,'表4）CO2価格'!$H$10:$I$12,2,0),0)*$F$8/1000,"")),0,IF($K111&lt;=$F$15,VLOOKUP($I111,'表4）CO2価格'!$A$7:$E$67,VLOOKUP($F$48,'表4）CO2価格'!$H$10:$I$12,2,0),0)*$F$8/1000,""))</f>
        <v/>
      </c>
      <c r="AZ111" s="39"/>
      <c r="BA111" s="42" t="str">
        <f t="shared" si="63"/>
        <v/>
      </c>
      <c r="BB111" s="72" t="str">
        <f t="shared" si="80"/>
        <v/>
      </c>
      <c r="BC111" s="39"/>
      <c r="BD111" s="72" t="str">
        <f t="shared" si="64"/>
        <v/>
      </c>
      <c r="BE111" s="72" t="str">
        <f t="shared" si="81"/>
        <v/>
      </c>
      <c r="BF111" s="39"/>
      <c r="BG111" s="42" t="str">
        <f t="shared" si="65"/>
        <v/>
      </c>
      <c r="BH111" s="72" t="str">
        <f t="shared" si="82"/>
        <v/>
      </c>
      <c r="BI111" s="39"/>
      <c r="BJ111" s="40" t="str">
        <f t="shared" si="83"/>
        <v/>
      </c>
      <c r="BK111" s="157" t="str">
        <f t="shared" si="84"/>
        <v/>
      </c>
      <c r="BL111" s="157" t="str">
        <f t="shared" si="66"/>
        <v/>
      </c>
      <c r="BM111" s="72"/>
      <c r="BN111" s="72" t="str">
        <f t="shared" si="85"/>
        <v/>
      </c>
      <c r="BO111" s="72" t="str">
        <f t="shared" si="86"/>
        <v/>
      </c>
      <c r="BP111" s="39"/>
      <c r="BQ111" s="72" t="str">
        <f t="shared" si="67"/>
        <v/>
      </c>
      <c r="BR111" s="72" t="str">
        <f t="shared" si="87"/>
        <v/>
      </c>
    </row>
    <row r="112" spans="4:70" ht="15" x14ac:dyDescent="0.15">
      <c r="D112" s="116"/>
      <c r="E112" s="81" t="s">
        <v>207</v>
      </c>
      <c r="F112" s="91">
        <f>-BH116/BR116</f>
        <v>0</v>
      </c>
      <c r="G112" s="81" t="s">
        <v>132</v>
      </c>
      <c r="I112" s="459">
        <f t="shared" si="88"/>
        <v>2117</v>
      </c>
      <c r="J112" s="71"/>
      <c r="K112" s="71">
        <f t="shared" si="89"/>
        <v>98</v>
      </c>
      <c r="L112" s="71"/>
      <c r="M112" s="7">
        <f t="shared" si="52"/>
        <v>5.5201639797086935E-2</v>
      </c>
      <c r="N112" s="71"/>
      <c r="O112" s="10" t="str">
        <f t="shared" si="68"/>
        <v/>
      </c>
      <c r="P112" s="29" t="str">
        <f>IF(K112&lt;=$F$15,IF(OR(P111=$F$124,P111="-"),"-",IF(O112*$F$123&gt;$F$127,$F$123,$F$124)),"")</f>
        <v/>
      </c>
      <c r="Q112" s="71"/>
      <c r="R112" s="10" t="str">
        <f t="shared" si="69"/>
        <v/>
      </c>
      <c r="S112" s="71"/>
      <c r="T112" s="10" t="str">
        <f t="shared" si="70"/>
        <v/>
      </c>
      <c r="U112" s="71"/>
      <c r="V112" s="10" t="str">
        <f t="shared" si="54"/>
        <v/>
      </c>
      <c r="W112" s="10" t="str">
        <f t="shared" si="71"/>
        <v/>
      </c>
      <c r="X112" s="71"/>
      <c r="Y112" s="10" t="str">
        <f t="shared" si="55"/>
        <v/>
      </c>
      <c r="Z112" s="10" t="str">
        <f t="shared" si="72"/>
        <v/>
      </c>
      <c r="AA112" s="71"/>
      <c r="AB112" s="10" t="str">
        <f t="shared" si="56"/>
        <v/>
      </c>
      <c r="AC112" s="10" t="str">
        <f t="shared" si="73"/>
        <v/>
      </c>
      <c r="AD112" s="71"/>
      <c r="AE112" s="10" t="str">
        <f t="shared" si="57"/>
        <v/>
      </c>
      <c r="AF112" s="10" t="str">
        <f t="shared" si="74"/>
        <v/>
      </c>
      <c r="AG112" s="71"/>
      <c r="AH112" s="10" t="str">
        <f t="shared" si="58"/>
        <v/>
      </c>
      <c r="AI112" s="10" t="str">
        <f t="shared" si="75"/>
        <v/>
      </c>
      <c r="AJ112" s="71"/>
      <c r="AK112" s="10" t="str">
        <f t="shared" si="59"/>
        <v/>
      </c>
      <c r="AL112" s="10" t="str">
        <f t="shared" si="76"/>
        <v/>
      </c>
      <c r="AM112" s="71"/>
      <c r="AN112" s="10" t="str">
        <f t="shared" si="60"/>
        <v/>
      </c>
      <c r="AO112" s="10" t="str">
        <f t="shared" si="77"/>
        <v/>
      </c>
      <c r="AP112" s="71"/>
      <c r="AQ112" s="10" t="str">
        <f t="shared" si="61"/>
        <v/>
      </c>
      <c r="AR112" s="10" t="str">
        <f t="shared" si="78"/>
        <v/>
      </c>
      <c r="AS112" s="71"/>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U112" s="71"/>
      <c r="AV112" s="10" t="str">
        <f t="shared" si="62"/>
        <v/>
      </c>
      <c r="AW112" s="10" t="str">
        <f t="shared" si="79"/>
        <v/>
      </c>
      <c r="AX112" s="71"/>
      <c r="AY112" s="7" t="str">
        <f>IF(ISERROR(IF($K112&lt;=$F$15,VLOOKUP($I112,'表4）CO2価格'!$A$7:$E$67,VLOOKUP($F$48,'表4）CO2価格'!$H$10:$I$12,2,0),0)*$F$8/1000,"")),0,IF($K112&lt;=$F$15,VLOOKUP($I112,'表4）CO2価格'!$A$7:$E$67,VLOOKUP($F$48,'表4）CO2価格'!$H$10:$I$12,2,0),0)*$F$8/1000,""))</f>
        <v/>
      </c>
      <c r="AZ112" s="71"/>
      <c r="BA112" s="11" t="str">
        <f t="shared" si="63"/>
        <v/>
      </c>
      <c r="BB112" s="10" t="str">
        <f t="shared" si="80"/>
        <v/>
      </c>
      <c r="BC112" s="71"/>
      <c r="BD112" s="10" t="str">
        <f t="shared" si="64"/>
        <v/>
      </c>
      <c r="BE112" s="10" t="str">
        <f t="shared" si="81"/>
        <v/>
      </c>
      <c r="BF112" s="71"/>
      <c r="BG112" s="11" t="str">
        <f t="shared" si="65"/>
        <v/>
      </c>
      <c r="BH112" s="10" t="str">
        <f t="shared" si="82"/>
        <v/>
      </c>
      <c r="BJ112" s="7" t="str">
        <f t="shared" si="83"/>
        <v/>
      </c>
      <c r="BK112" s="158" t="str">
        <f t="shared" si="84"/>
        <v/>
      </c>
      <c r="BL112" s="158" t="str">
        <f t="shared" si="66"/>
        <v/>
      </c>
      <c r="BM112" s="10"/>
      <c r="BN112" s="10" t="str">
        <f t="shared" si="85"/>
        <v/>
      </c>
      <c r="BO112" s="10" t="str">
        <f t="shared" si="86"/>
        <v/>
      </c>
      <c r="BQ112" s="10" t="str">
        <f t="shared" si="67"/>
        <v/>
      </c>
      <c r="BR112" s="10" t="str">
        <f t="shared" si="87"/>
        <v/>
      </c>
    </row>
    <row r="113" spans="2:70" x14ac:dyDescent="0.15">
      <c r="I113" s="458">
        <f t="shared" si="88"/>
        <v>2118</v>
      </c>
      <c r="J113" s="39"/>
      <c r="K113" s="39">
        <f t="shared" si="89"/>
        <v>99</v>
      </c>
      <c r="L113" s="39"/>
      <c r="M113" s="40">
        <f t="shared" si="52"/>
        <v>5.3593825045715457E-2</v>
      </c>
      <c r="N113" s="39"/>
      <c r="O113" s="72" t="str">
        <f t="shared" si="68"/>
        <v/>
      </c>
      <c r="P113" s="41" t="str">
        <f>IF(K113&lt;=$F$15,IF(OR(P112=$F$124,P112="-"),"-",IF(O113*$F$123&gt;$F$127,$F$123,$F$124)),"")</f>
        <v/>
      </c>
      <c r="Q113" s="39"/>
      <c r="R113" s="72" t="str">
        <f t="shared" si="69"/>
        <v/>
      </c>
      <c r="S113" s="39"/>
      <c r="T113" s="72" t="str">
        <f t="shared" si="70"/>
        <v/>
      </c>
      <c r="U113" s="39"/>
      <c r="V113" s="72" t="str">
        <f t="shared" si="54"/>
        <v/>
      </c>
      <c r="W113" s="72" t="str">
        <f t="shared" si="71"/>
        <v/>
      </c>
      <c r="X113" s="39"/>
      <c r="Y113" s="72" t="str">
        <f t="shared" si="55"/>
        <v/>
      </c>
      <c r="Z113" s="72" t="str">
        <f t="shared" si="72"/>
        <v/>
      </c>
      <c r="AA113" s="39"/>
      <c r="AB113" s="72" t="str">
        <f t="shared" si="56"/>
        <v/>
      </c>
      <c r="AC113" s="72" t="str">
        <f t="shared" si="73"/>
        <v/>
      </c>
      <c r="AD113" s="39"/>
      <c r="AE113" s="72" t="str">
        <f t="shared" si="57"/>
        <v/>
      </c>
      <c r="AF113" s="72" t="str">
        <f t="shared" si="74"/>
        <v/>
      </c>
      <c r="AG113" s="39"/>
      <c r="AH113" s="72" t="str">
        <f t="shared" si="58"/>
        <v/>
      </c>
      <c r="AI113" s="72" t="str">
        <f t="shared" si="75"/>
        <v/>
      </c>
      <c r="AJ113" s="39"/>
      <c r="AK113" s="72" t="str">
        <f t="shared" si="59"/>
        <v/>
      </c>
      <c r="AL113" s="72" t="str">
        <f t="shared" si="76"/>
        <v/>
      </c>
      <c r="AM113" s="39"/>
      <c r="AN113" s="72" t="str">
        <f t="shared" si="60"/>
        <v/>
      </c>
      <c r="AO113" s="72" t="str">
        <f t="shared" si="77"/>
        <v/>
      </c>
      <c r="AP113" s="39"/>
      <c r="AQ113" s="72" t="str">
        <f t="shared" si="61"/>
        <v/>
      </c>
      <c r="AR113" s="72" t="str">
        <f t="shared" si="78"/>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62"/>
        <v/>
      </c>
      <c r="AW113" s="72" t="str">
        <f t="shared" si="79"/>
        <v/>
      </c>
      <c r="AX113" s="39"/>
      <c r="AY113" s="40" t="str">
        <f>IF(ISERROR(IF($K113&lt;=$F$15,VLOOKUP($I113,'表4）CO2価格'!$A$7:$E$67,VLOOKUP($F$48,'表4）CO2価格'!$H$10:$I$12,2,0),0)*$F$8/1000,"")),0,IF($K113&lt;=$F$15,VLOOKUP($I113,'表4）CO2価格'!$A$7:$E$67,VLOOKUP($F$48,'表4）CO2価格'!$H$10:$I$12,2,0),0)*$F$8/1000,""))</f>
        <v/>
      </c>
      <c r="AZ113" s="39"/>
      <c r="BA113" s="42" t="str">
        <f t="shared" si="63"/>
        <v/>
      </c>
      <c r="BB113" s="72" t="str">
        <f t="shared" si="80"/>
        <v/>
      </c>
      <c r="BC113" s="39"/>
      <c r="BD113" s="72" t="str">
        <f t="shared" si="64"/>
        <v/>
      </c>
      <c r="BE113" s="72" t="str">
        <f t="shared" si="81"/>
        <v/>
      </c>
      <c r="BF113" s="39"/>
      <c r="BG113" s="42" t="str">
        <f t="shared" si="65"/>
        <v/>
      </c>
      <c r="BH113" s="72" t="str">
        <f t="shared" si="82"/>
        <v/>
      </c>
      <c r="BI113" s="39"/>
      <c r="BJ113" s="40" t="str">
        <f t="shared" si="83"/>
        <v/>
      </c>
      <c r="BK113" s="157" t="str">
        <f t="shared" si="84"/>
        <v/>
      </c>
      <c r="BL113" s="157" t="str">
        <f t="shared" si="66"/>
        <v/>
      </c>
      <c r="BM113" s="72"/>
      <c r="BN113" s="72" t="str">
        <f t="shared" si="85"/>
        <v/>
      </c>
      <c r="BO113" s="72" t="str">
        <f t="shared" si="86"/>
        <v/>
      </c>
      <c r="BP113" s="39"/>
      <c r="BQ113" s="72" t="str">
        <f t="shared" si="67"/>
        <v/>
      </c>
      <c r="BR113" s="72" t="str">
        <f t="shared" si="87"/>
        <v/>
      </c>
    </row>
    <row r="114" spans="2:70" ht="15.75" thickBot="1" x14ac:dyDescent="0.2">
      <c r="B114" s="460" t="s">
        <v>515</v>
      </c>
      <c r="I114" s="459">
        <f t="shared" si="88"/>
        <v>2119</v>
      </c>
      <c r="J114" s="71"/>
      <c r="K114" s="71">
        <f t="shared" si="89"/>
        <v>100</v>
      </c>
      <c r="L114" s="71"/>
      <c r="M114" s="7">
        <f t="shared" si="52"/>
        <v>5.2032839850209185E-2</v>
      </c>
      <c r="N114" s="71"/>
      <c r="O114" s="10" t="str">
        <f t="shared" si="68"/>
        <v/>
      </c>
      <c r="P114" s="29" t="str">
        <f>IF(K114&lt;=$F$15,IF(OR(P113=$F$124,P113="-"),"-",IF(O114*$F$123&gt;$F$127,$F$123,$F$124)),"")</f>
        <v/>
      </c>
      <c r="Q114" s="71"/>
      <c r="R114" s="10" t="str">
        <f t="shared" si="69"/>
        <v/>
      </c>
      <c r="S114" s="71"/>
      <c r="T114" s="10" t="str">
        <f t="shared" si="70"/>
        <v/>
      </c>
      <c r="U114" s="71"/>
      <c r="V114" s="10" t="str">
        <f t="shared" si="54"/>
        <v/>
      </c>
      <c r="W114" s="10" t="str">
        <f t="shared" si="71"/>
        <v/>
      </c>
      <c r="X114" s="71"/>
      <c r="Y114" s="10" t="str">
        <f t="shared" si="55"/>
        <v/>
      </c>
      <c r="Z114" s="10" t="str">
        <f t="shared" si="72"/>
        <v/>
      </c>
      <c r="AA114" s="71"/>
      <c r="AB114" s="10" t="str">
        <f t="shared" si="56"/>
        <v/>
      </c>
      <c r="AC114" s="10" t="str">
        <f t="shared" si="73"/>
        <v/>
      </c>
      <c r="AD114" s="71"/>
      <c r="AE114" s="10" t="str">
        <f t="shared" si="57"/>
        <v/>
      </c>
      <c r="AF114" s="10" t="str">
        <f t="shared" si="74"/>
        <v/>
      </c>
      <c r="AG114" s="71"/>
      <c r="AH114" s="10" t="str">
        <f t="shared" si="58"/>
        <v/>
      </c>
      <c r="AI114" s="10" t="str">
        <f t="shared" si="75"/>
        <v/>
      </c>
      <c r="AJ114" s="71"/>
      <c r="AK114" s="10" t="str">
        <f t="shared" si="59"/>
        <v/>
      </c>
      <c r="AL114" s="10" t="str">
        <f t="shared" si="76"/>
        <v/>
      </c>
      <c r="AM114" s="71"/>
      <c r="AN114" s="10" t="str">
        <f t="shared" si="60"/>
        <v/>
      </c>
      <c r="AO114" s="10" t="str">
        <f t="shared" si="77"/>
        <v/>
      </c>
      <c r="AP114" s="71"/>
      <c r="AQ114" s="10" t="str">
        <f t="shared" si="61"/>
        <v/>
      </c>
      <c r="AR114" s="10" t="str">
        <f t="shared" si="78"/>
        <v/>
      </c>
      <c r="AS114" s="71"/>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U114" s="71"/>
      <c r="AV114" s="10" t="str">
        <f t="shared" si="62"/>
        <v/>
      </c>
      <c r="AW114" s="10" t="str">
        <f t="shared" si="79"/>
        <v/>
      </c>
      <c r="AX114" s="71"/>
      <c r="AY114" s="7" t="str">
        <f>IF(ISERROR(IF($K114&lt;=$F$15,VLOOKUP($I114,'表4）CO2価格'!$A$7:$E$67,VLOOKUP($F$48,'表4）CO2価格'!$H$10:$I$12,2,0),0)*$F$8/1000,"")),0,IF($K114&lt;=$F$15,VLOOKUP($I114,'表4）CO2価格'!$A$7:$E$67,VLOOKUP($F$48,'表4）CO2価格'!$H$10:$I$12,2,0),0)*$F$8/1000,""))</f>
        <v/>
      </c>
      <c r="AZ114" s="71"/>
      <c r="BA114" s="11" t="str">
        <f t="shared" si="63"/>
        <v/>
      </c>
      <c r="BB114" s="10" t="str">
        <f t="shared" si="80"/>
        <v/>
      </c>
      <c r="BC114" s="71"/>
      <c r="BD114" s="10" t="str">
        <f t="shared" si="64"/>
        <v/>
      </c>
      <c r="BE114" s="10" t="str">
        <f t="shared" si="81"/>
        <v/>
      </c>
      <c r="BF114" s="71"/>
      <c r="BG114" s="11" t="str">
        <f t="shared" si="65"/>
        <v/>
      </c>
      <c r="BH114" s="10" t="str">
        <f t="shared" si="82"/>
        <v/>
      </c>
      <c r="BJ114" s="7" t="str">
        <f t="shared" si="83"/>
        <v/>
      </c>
      <c r="BK114" s="158" t="str">
        <f t="shared" si="84"/>
        <v/>
      </c>
      <c r="BL114" s="158" t="str">
        <f t="shared" si="66"/>
        <v/>
      </c>
      <c r="BM114" s="10"/>
      <c r="BN114" s="10" t="str">
        <f t="shared" si="85"/>
        <v/>
      </c>
      <c r="BO114" s="10" t="str">
        <f t="shared" si="86"/>
        <v/>
      </c>
      <c r="BQ114" s="10" t="str">
        <f t="shared" si="67"/>
        <v/>
      </c>
      <c r="BR114" s="10" t="str">
        <f t="shared" si="87"/>
        <v/>
      </c>
    </row>
    <row r="115" spans="2:70" ht="15" thickBot="1" x14ac:dyDescent="0.2">
      <c r="C115" s="86"/>
      <c r="D115" s="104"/>
      <c r="E115" s="104"/>
      <c r="F115" s="86"/>
      <c r="G115" s="104"/>
      <c r="I115" s="464"/>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9" t="s">
        <v>516</v>
      </c>
      <c r="J116" s="71"/>
      <c r="K116" s="71"/>
      <c r="L116" s="71"/>
      <c r="M116" s="71"/>
      <c r="N116" s="71"/>
      <c r="O116" s="71"/>
      <c r="P116" s="71"/>
      <c r="Q116" s="71"/>
      <c r="R116" s="71"/>
      <c r="S116" s="71"/>
      <c r="T116" s="71"/>
      <c r="U116" s="71"/>
      <c r="V116" s="11"/>
      <c r="W116" s="11"/>
      <c r="X116" s="71"/>
      <c r="Y116" s="71"/>
      <c r="Z116" s="11">
        <f>SUM(Z15:Z114)</f>
        <v>4576472.7821027162</v>
      </c>
      <c r="AA116" s="71"/>
      <c r="AB116" s="71"/>
      <c r="AC116" s="11">
        <f>SUM(AC15:AC114)</f>
        <v>1159236.8185962613</v>
      </c>
      <c r="AD116" s="71"/>
      <c r="AE116" s="71"/>
      <c r="AF116" s="11">
        <f>SUM(AF15:AF114)</f>
        <v>0</v>
      </c>
      <c r="AG116" s="71"/>
      <c r="AH116" s="71"/>
      <c r="AI116" s="11">
        <f>SUM(AI15:AI114)</f>
        <v>20895777.229533624</v>
      </c>
      <c r="AJ116" s="71"/>
      <c r="AK116" s="71"/>
      <c r="AL116" s="11">
        <f>SUM(AL15:AL114)</f>
        <v>0</v>
      </c>
      <c r="AM116" s="71"/>
      <c r="AN116" s="71"/>
      <c r="AO116" s="11">
        <f>SUM(AO15:AO114)</f>
        <v>0</v>
      </c>
      <c r="AP116" s="71"/>
      <c r="AQ116" s="71"/>
      <c r="AR116" s="11">
        <f>SUM(AR15:AR114)</f>
        <v>0</v>
      </c>
      <c r="AS116" s="71"/>
      <c r="AT116" s="71"/>
      <c r="AU116" s="71"/>
      <c r="AV116" s="71"/>
      <c r="AW116" s="11">
        <f>SUM(AW15:AW114)</f>
        <v>0</v>
      </c>
      <c r="AX116" s="71"/>
      <c r="AY116" s="71"/>
      <c r="AZ116" s="71"/>
      <c r="BA116" s="71"/>
      <c r="BB116" s="11">
        <f>SUM(BB15:BB114)</f>
        <v>0</v>
      </c>
      <c r="BC116" s="71"/>
      <c r="BD116" s="71"/>
      <c r="BE116" s="11">
        <f>SUM(BE15:BE114)</f>
        <v>0</v>
      </c>
      <c r="BF116" s="71"/>
      <c r="BG116" s="71"/>
      <c r="BH116" s="11">
        <f>SUM(BH15:BH114)</f>
        <v>0</v>
      </c>
      <c r="BK116" s="11">
        <f>SUM(BK15:BK114)</f>
        <v>21639745.317191795</v>
      </c>
      <c r="BL116" s="11">
        <f>SUM(BL15:BL114)</f>
        <v>5119204.1276224256</v>
      </c>
      <c r="BO116" s="11">
        <f>SUM(BO15:BO114)</f>
        <v>80614212.777351275</v>
      </c>
      <c r="BQ116" s="71"/>
      <c r="BR116" s="11">
        <f>SUM(BR15:BR114)</f>
        <v>6559184.4723506058</v>
      </c>
    </row>
    <row r="117" spans="2:70" x14ac:dyDescent="0.15">
      <c r="C117" s="9" t="s">
        <v>529</v>
      </c>
      <c r="F117" s="44">
        <f>F21*10^4*F13*10^4+F29*10^8</f>
        <v>52000000</v>
      </c>
      <c r="G117" s="81" t="s">
        <v>208</v>
      </c>
      <c r="I117" s="236" t="s">
        <v>145</v>
      </c>
      <c r="J117" s="71"/>
      <c r="K117" s="71"/>
      <c r="L117" s="71"/>
      <c r="M117" s="71"/>
      <c r="N117" s="71"/>
      <c r="O117" s="71"/>
      <c r="P117" s="71"/>
      <c r="Q117" s="71"/>
      <c r="R117" s="71"/>
      <c r="S117" s="71"/>
      <c r="T117" s="71"/>
      <c r="U117" s="71"/>
      <c r="V117" s="71"/>
      <c r="W117" s="11"/>
      <c r="X117" s="71"/>
      <c r="Y117" s="71"/>
      <c r="Z117" s="11">
        <f ca="1">IF(ISNUMBER($F$16),SUM(INDIRECT(ADDRESS($F$16+15,COLUMN())):INDIRECT(ADDRESS(114,COLUMN()))),"")</f>
        <v>102081.59398227031</v>
      </c>
      <c r="AA117" s="71"/>
      <c r="AB117" s="71"/>
      <c r="AC117" s="11">
        <f ca="1">IF(ISNUMBER($F$16),SUM(INDIRECT(ADDRESS($F$16+15,COLUMN())):INDIRECT(ADDRESS(114,COLUMN()))),"")</f>
        <v>1159236.8185962613</v>
      </c>
      <c r="AD117" s="71"/>
      <c r="AE117" s="71"/>
      <c r="AF117" s="11">
        <f ca="1">IF(ISNUMBER($F$16),SUM(INDIRECT(ADDRESS($F$16+15,COLUMN())):INDIRECT(ADDRESS(114,COLUMN()))),"")</f>
        <v>0</v>
      </c>
      <c r="AG117" s="71"/>
      <c r="AH117" s="71"/>
      <c r="AI117" s="11">
        <f ca="1">IF(ISNUMBER($F$16),SUM(INDIRECT(ADDRESS($F$16+15,COLUMN())):INDIRECT(ADDRESS(114,COLUMN()))),"")</f>
        <v>3042807.3969870149</v>
      </c>
      <c r="AJ117" s="71"/>
      <c r="AK117" s="71"/>
      <c r="AL117" s="11">
        <f ca="1">IF(ISNUMBER($F$16),SUM(INDIRECT(ADDRESS($F$16+15,COLUMN())):INDIRECT(ADDRESS(114,COLUMN()))),"")</f>
        <v>0</v>
      </c>
      <c r="AM117" s="71"/>
      <c r="AN117" s="71"/>
      <c r="AO117" s="11">
        <f ca="1">IF(ISNUMBER($F$16),SUM(INDIRECT(ADDRESS($F$16+15,COLUMN())):INDIRECT(ADDRESS(114,COLUMN()))),"")</f>
        <v>0</v>
      </c>
      <c r="AP117" s="71"/>
      <c r="AQ117" s="71"/>
      <c r="AR117" s="11">
        <f ca="1">IF(ISNUMBER($F$16),SUM(INDIRECT(ADDRESS($F$16+15,COLUMN())):INDIRECT(ADDRESS(114,COLUMN()))),"")</f>
        <v>0</v>
      </c>
      <c r="AS117" s="71"/>
      <c r="AT117" s="71"/>
      <c r="AU117" s="71"/>
      <c r="AV117" s="71"/>
      <c r="AW117" s="11">
        <f ca="1">IF(ISNUMBER($F$16),SUM(INDIRECT(ADDRESS($F$16+15,COLUMN())):INDIRECT(ADDRESS(114,COLUMN()))),"")</f>
        <v>0</v>
      </c>
      <c r="AX117" s="71"/>
      <c r="AY117" s="71"/>
      <c r="AZ117" s="71"/>
      <c r="BA117" s="71"/>
      <c r="BB117" s="11">
        <f ca="1">IF(ISNUMBER($F$16),SUM(INDIRECT(ADDRESS($F$16+15,COLUMN())):INDIRECT(ADDRESS(114,COLUMN()))),"")</f>
        <v>0</v>
      </c>
      <c r="BC117" s="71"/>
      <c r="BD117" s="71"/>
      <c r="BE117" s="11">
        <f ca="1">IF(ISNUMBER($F$16),SUM(INDIRECT(ADDRESS($F$16+15,COLUMN())):INDIRECT(ADDRESS(114,COLUMN()))),"")</f>
        <v>0</v>
      </c>
      <c r="BF117" s="71"/>
      <c r="BG117" s="71"/>
      <c r="BH117" s="11">
        <f ca="1">IF(ISNUMBER($F$16),SUM(INDIRECT(ADDRESS($F$16+15,COLUMN())):INDIRECT(ADDRESS(114,COLUMN()))),"")</f>
        <v>0</v>
      </c>
      <c r="BK117" s="11">
        <f ca="1">IF(ISNUMBER($F$16),SUM(INDIRECT(ADDRESS($F$16+15,COLUMN())):INDIRECT(ADDRESS(114,COLUMN()))),"")</f>
        <v>1097084.0052915672</v>
      </c>
      <c r="BL117" s="11">
        <f ca="1">IF(ISNUMBER($F$16),SUM(INDIRECT(ADDRESS($F$16+15,COLUMN())):INDIRECT(ADDRESS(114,COLUMN()))),"")</f>
        <v>0</v>
      </c>
      <c r="BO117" s="11">
        <f ca="1">IF(ISNUMBER($F$16),SUM(INDIRECT(ADDRESS($F$16+15,COLUMN())):INDIRECT(ADDRESS(114,COLUMN()))),"")</f>
        <v>0</v>
      </c>
      <c r="BQ117" s="71"/>
      <c r="BR117" s="11">
        <f ca="1">IF(ISNUMBER($F$16),SUM(INDIRECT(ADDRESS($F$16+15,COLUMN())):INDIRECT(ADDRESS(114,COLUMN()))),"")</f>
        <v>955137.241914224</v>
      </c>
    </row>
    <row r="119" spans="2:70" x14ac:dyDescent="0.15">
      <c r="C119" s="9" t="s">
        <v>521</v>
      </c>
      <c r="F119" s="44">
        <f>VLOOKUP(F3,'表2）法定耐用年数'!$A$2:$B$24,2,0)</f>
        <v>17</v>
      </c>
      <c r="G119" s="81" t="s">
        <v>108</v>
      </c>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Q119" s="71"/>
      <c r="BR119" s="71"/>
    </row>
    <row r="121" spans="2:70" x14ac:dyDescent="0.15">
      <c r="C121" s="89" t="s">
        <v>522</v>
      </c>
      <c r="D121" s="101"/>
      <c r="E121" s="101"/>
      <c r="F121" s="89"/>
      <c r="G121" s="10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Q121" s="71"/>
      <c r="BR121" s="71"/>
    </row>
    <row r="123" spans="2:70" x14ac:dyDescent="0.15">
      <c r="D123" s="81" t="s">
        <v>209</v>
      </c>
      <c r="F123" s="95">
        <f>VLOOKUP($F$119,'表1）減価償却率表'!$A$9:$E$107,3,0)</f>
        <v>0.14699999999999999</v>
      </c>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Q123" s="71"/>
      <c r="BR123" s="71"/>
    </row>
    <row r="124" spans="2:70" x14ac:dyDescent="0.15">
      <c r="D124" s="81" t="s">
        <v>210</v>
      </c>
      <c r="F124" s="95">
        <f>VLOOKUP($F$119,'表1）減価償却率表'!$A$9:$E$107,4,0)</f>
        <v>0.16700000000000001</v>
      </c>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Q124" s="71"/>
      <c r="BR124" s="71"/>
    </row>
    <row r="125" spans="2:70" x14ac:dyDescent="0.15">
      <c r="D125" s="81" t="s">
        <v>211</v>
      </c>
      <c r="F125" s="88">
        <f>VLOOKUP($F$119,'表1）減価償却率表'!$A$9:$E$107,5,0)</f>
        <v>2.9049999999999999E-2</v>
      </c>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Q125" s="71"/>
      <c r="BR125" s="71"/>
    </row>
    <row r="126" spans="2:70" x14ac:dyDescent="0.15">
      <c r="F126" s="96"/>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Q126" s="71"/>
      <c r="BR126" s="71"/>
    </row>
    <row r="127" spans="2:70" x14ac:dyDescent="0.15">
      <c r="C127" s="111" t="s">
        <v>523</v>
      </c>
      <c r="D127" s="85"/>
      <c r="E127" s="114"/>
      <c r="F127" s="44">
        <f>F117*F125</f>
        <v>1510600</v>
      </c>
      <c r="G127" s="81" t="s">
        <v>208</v>
      </c>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Q127" s="71"/>
      <c r="BR127" s="71"/>
    </row>
    <row r="129" spans="3:7" x14ac:dyDescent="0.15">
      <c r="C129" s="111" t="s">
        <v>152</v>
      </c>
      <c r="D129" s="85"/>
      <c r="E129" s="85"/>
      <c r="F129" s="95">
        <f>0.1^(1/F119)</f>
        <v>0.87332616238284333</v>
      </c>
      <c r="G129" s="85"/>
    </row>
    <row r="131" spans="3:7" x14ac:dyDescent="0.15">
      <c r="C131" s="89" t="s">
        <v>524</v>
      </c>
      <c r="D131" s="101"/>
      <c r="E131" s="101"/>
      <c r="F131" s="89"/>
      <c r="G131" s="101"/>
    </row>
    <row r="133" spans="3:7" x14ac:dyDescent="0.15">
      <c r="D133" s="81" t="s">
        <v>212</v>
      </c>
      <c r="F133" s="44">
        <f>F13*10000*24*365*F14/100</f>
        <v>376680</v>
      </c>
      <c r="G133" s="81" t="s">
        <v>213</v>
      </c>
    </row>
    <row r="134" spans="3:7" x14ac:dyDescent="0.15">
      <c r="D134" s="81" t="s">
        <v>214</v>
      </c>
      <c r="F134" s="44">
        <f>F133*(1-F24/100)</f>
        <v>376680</v>
      </c>
      <c r="G134" s="81" t="s">
        <v>213</v>
      </c>
    </row>
    <row r="135" spans="3:7" x14ac:dyDescent="0.15">
      <c r="F135" s="97"/>
    </row>
    <row r="137" spans="3:7" ht="16.5" x14ac:dyDescent="0.15">
      <c r="C137" s="9" t="s">
        <v>525</v>
      </c>
      <c r="F137" s="44">
        <f>IF(ISERROR(F133*3.6/(F23/100)/F22),0,F133*3.6/(F23/100)/F22)</f>
        <v>0</v>
      </c>
      <c r="G137" s="9" t="s">
        <v>370</v>
      </c>
    </row>
    <row r="139" spans="3:7" x14ac:dyDescent="0.15">
      <c r="C139" s="89" t="s">
        <v>526</v>
      </c>
      <c r="D139" s="101"/>
      <c r="E139" s="101"/>
      <c r="F139" s="89"/>
      <c r="G139" s="101"/>
    </row>
    <row r="141" spans="3:7" x14ac:dyDescent="0.15">
      <c r="D141" s="81" t="s">
        <v>215</v>
      </c>
      <c r="F141" s="98" t="str">
        <f>IF(OR(F3="石炭火力",F3= "LNG火力", F3="ガスコジェネ",F3="バイオマス（石炭混焼）",F3="バイオマス（木質専焼）",F3="燃料電池"),IF($F$43="需要地価格","",1000),IF(OR(F3="石油火力",F3="石油コジェネ"),IF($F$43="需要地価格","",158.987294928),""))</f>
        <v/>
      </c>
      <c r="G141" s="81" t="s">
        <v>216</v>
      </c>
    </row>
    <row r="142" spans="3:7" x14ac:dyDescent="0.15">
      <c r="D142" s="81" t="s">
        <v>180</v>
      </c>
      <c r="F142" s="91">
        <f>IF(ISERROR(F42/1000),0,F42/1000)</f>
        <v>0</v>
      </c>
      <c r="G142" s="81" t="s">
        <v>217</v>
      </c>
    </row>
    <row r="145" spans="3:7" x14ac:dyDescent="0.15">
      <c r="C145" s="9" t="s">
        <v>368</v>
      </c>
      <c r="F145" s="98">
        <f>IF(ISERROR(F133*(F47*3.6/(F23/100)/1000*(44/12))),0,F133*(F47*3.6/(F23/100)/1000*(44/12)))</f>
        <v>0</v>
      </c>
      <c r="G145" s="81" t="s">
        <v>218</v>
      </c>
    </row>
    <row r="147" spans="3:7" x14ac:dyDescent="0.15">
      <c r="C147" s="89" t="s">
        <v>369</v>
      </c>
      <c r="D147" s="101"/>
      <c r="E147" s="101"/>
      <c r="F147" s="89"/>
      <c r="G147" s="101"/>
    </row>
    <row r="149" spans="3:7" x14ac:dyDescent="0.15">
      <c r="D149" s="81" t="s">
        <v>219</v>
      </c>
      <c r="F149" s="98">
        <f>IF(ISERROR(F52/F23),0,F52/F23)</f>
        <v>0</v>
      </c>
    </row>
    <row r="150" spans="3:7" x14ac:dyDescent="0.15">
      <c r="D150" s="81" t="s">
        <v>220</v>
      </c>
      <c r="F150" s="98">
        <f>F133*F149*(F53/100)*3.6</f>
        <v>0</v>
      </c>
      <c r="G150" s="81" t="s">
        <v>221</v>
      </c>
    </row>
    <row r="151" spans="3:7" ht="16.5" x14ac:dyDescent="0.15">
      <c r="D151" s="81" t="s">
        <v>222</v>
      </c>
      <c r="F151" s="44">
        <f>IF(ISERROR(F150/(F54/100)/F55),0,F150/(F54/100)/F55)</f>
        <v>0</v>
      </c>
      <c r="G151" s="9" t="s">
        <v>370</v>
      </c>
    </row>
    <row r="152" spans="3:7" x14ac:dyDescent="0.15">
      <c r="D152" s="81" t="s">
        <v>223</v>
      </c>
      <c r="F152" s="146">
        <f>IF(ISERROR(F56/1000),0,F56/1000)</f>
        <v>0</v>
      </c>
      <c r="G152" s="81" t="s">
        <v>217</v>
      </c>
    </row>
    <row r="153" spans="3:7" x14ac:dyDescent="0.15">
      <c r="D153" s="81" t="s">
        <v>224</v>
      </c>
      <c r="F153" s="98">
        <f>IF(ISERROR(F150*F47/1000*(44/12)/(F54/100)),0,F150*F47/1000*(44/12)/(F54/100))</f>
        <v>0</v>
      </c>
      <c r="G153" s="81" t="s">
        <v>218</v>
      </c>
    </row>
  </sheetData>
  <mergeCells count="48">
    <mergeCell ref="BJ7:BO7"/>
    <mergeCell ref="BO12:BO13"/>
    <mergeCell ref="F3:G3"/>
    <mergeCell ref="V7:AF7"/>
    <mergeCell ref="AH7:AR7"/>
    <mergeCell ref="AT7:AW7"/>
    <mergeCell ref="AY7:BB7"/>
    <mergeCell ref="BD7:BH7"/>
    <mergeCell ref="AE9:AF10"/>
    <mergeCell ref="AH9:AI10"/>
    <mergeCell ref="BA9:BB10"/>
    <mergeCell ref="BD9:BE10"/>
    <mergeCell ref="BG9:BH10"/>
    <mergeCell ref="P12:P13"/>
    <mergeCell ref="W12:W13"/>
    <mergeCell ref="Z12:Z13"/>
    <mergeCell ref="BQ7:BR7"/>
    <mergeCell ref="I9:I10"/>
    <mergeCell ref="K9:K10"/>
    <mergeCell ref="M9:M10"/>
    <mergeCell ref="O9:P10"/>
    <mergeCell ref="R9:R10"/>
    <mergeCell ref="T9:T10"/>
    <mergeCell ref="V9:W10"/>
    <mergeCell ref="Y9:Z10"/>
    <mergeCell ref="AB9:AC10"/>
    <mergeCell ref="AK9:AL10"/>
    <mergeCell ref="AN9:AO10"/>
    <mergeCell ref="AQ9:AR10"/>
    <mergeCell ref="AT9:AT10"/>
    <mergeCell ref="AV9:AW10"/>
    <mergeCell ref="AY9:AY10"/>
    <mergeCell ref="AC12:AC13"/>
    <mergeCell ref="AF12:AF13"/>
    <mergeCell ref="BE12:BE13"/>
    <mergeCell ref="BH12:BH13"/>
    <mergeCell ref="AI12:AI13"/>
    <mergeCell ref="AL12:AL13"/>
    <mergeCell ref="AO12:AO13"/>
    <mergeCell ref="AR12:AR13"/>
    <mergeCell ref="AW12:AW13"/>
    <mergeCell ref="BB12:BB13"/>
    <mergeCell ref="BR12:BR13"/>
    <mergeCell ref="BJ9:BL10"/>
    <mergeCell ref="BN9:BO10"/>
    <mergeCell ref="BJ12:BJ13"/>
    <mergeCell ref="BK12:BK13"/>
    <mergeCell ref="BL12:BL13"/>
  </mergeCells>
  <phoneticPr fontId="16"/>
  <dataValidations disablePrompts="1" count="4">
    <dataValidation type="list" allowBlank="1" showDropDown="1" showInputMessage="1" showErrorMessage="1" sqref="F48 F41" xr:uid="{00000000-0002-0000-0F00-000000000000}">
      <formula1>"現行政策シナリオ, 新政策シナリオ"</formula1>
    </dataValidation>
    <dataValidation type="whole" allowBlank="1" showInputMessage="1" showErrorMessage="1" sqref="F7" xr:uid="{00000000-0002-0000-0F00-000001000000}">
      <formula1>2010</formula1>
      <formula2>2030</formula2>
    </dataValidation>
    <dataValidation type="list" allowBlank="1" showDropDown="1" showInputMessage="1" showErrorMessage="1" sqref="F43" xr:uid="{00000000-0002-0000-0F00-000002000000}">
      <formula1>"CIF価格, 需要地価格"</formula1>
    </dataValidation>
    <dataValidation type="list" allowBlank="1" showDropDown="1" showInputMessage="1" showErrorMessage="1" sqref="F3:G3" xr:uid="{00000000-0002-0000-0F00-000003000000}">
      <formula1>"原子力,石炭火力,LNG火力,石油火力,一般水力,太陽光（事業用）,太陽光（住宅）,風力（陸上）,風力（洋上）,小水力,地熱,バイオマス（石炭混焼）,バイオマス（木質専焼）,ガスコジェネ,石油コジェネ,燃料電池"</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BR153"/>
  <sheetViews>
    <sheetView showGridLines="0" zoomScale="85" zoomScaleNormal="85" workbookViewId="0">
      <pane xSplit="10" ySplit="14" topLeftCell="K15" activePane="bottomRight" state="frozen"/>
      <selection pane="topRight" activeCell="G69" sqref="G69"/>
      <selection pane="bottomLeft" activeCell="G69" sqref="G69"/>
      <selection pane="bottomRight" sqref="A1:I1048576"/>
    </sheetView>
  </sheetViews>
  <sheetFormatPr defaultColWidth="9" defaultRowHeight="14.25" outlineLevelCol="1" x14ac:dyDescent="0.15"/>
  <cols>
    <col min="1" max="3" width="6.25" style="9" customWidth="1"/>
    <col min="4" max="4" width="6.25" style="81" customWidth="1"/>
    <col min="5" max="5" width="24.375" style="81" customWidth="1"/>
    <col min="6" max="6" width="18.75" style="9" customWidth="1"/>
    <col min="7" max="7" width="24.375" style="81" bestFit="1" customWidth="1"/>
    <col min="8" max="8" width="9" style="9"/>
    <col min="9" max="9" width="6.25" style="9" customWidth="1"/>
    <col min="10" max="10" width="3" style="2" customWidth="1"/>
    <col min="11" max="11" width="6.25" style="2" customWidth="1"/>
    <col min="12" max="12" width="3" style="2" customWidth="1"/>
    <col min="13" max="13" width="6.25" style="2" customWidth="1"/>
    <col min="14" max="14" width="3" style="2" customWidth="1"/>
    <col min="15" max="15" width="17.375" style="2" bestFit="1" customWidth="1"/>
    <col min="16" max="16" width="8.625" style="2" customWidth="1"/>
    <col min="17" max="17" width="3" style="2" customWidth="1"/>
    <col min="18" max="18" width="17.375" style="2" bestFit="1" customWidth="1"/>
    <col min="19" max="19" width="3" style="2" customWidth="1"/>
    <col min="20" max="20" width="17.375" style="2" bestFit="1" customWidth="1"/>
    <col min="21" max="21" width="3" style="2" customWidth="1"/>
    <col min="22" max="22" width="15" style="2" customWidth="1" outlineLevel="1"/>
    <col min="23" max="23" width="17.375" style="2" bestFit="1" customWidth="1"/>
    <col min="24" max="24" width="3" style="2" customWidth="1"/>
    <col min="25" max="25" width="15" style="2" customWidth="1" outlineLevel="1"/>
    <col min="26" max="26" width="15" style="2" customWidth="1"/>
    <col min="27" max="27" width="3" style="2" customWidth="1"/>
    <col min="28" max="28" width="15" style="2" customWidth="1" outlineLevel="1"/>
    <col min="29" max="29" width="15" style="2" customWidth="1"/>
    <col min="30" max="30" width="3" style="2" customWidth="1"/>
    <col min="31" max="31" width="15" style="2" customWidth="1" outlineLevel="1"/>
    <col min="32" max="32" width="15" style="2" customWidth="1"/>
    <col min="33" max="33" width="3" style="2" customWidth="1"/>
    <col min="34" max="34" width="14.875" style="2" customWidth="1" outlineLevel="1"/>
    <col min="35" max="35" width="15" style="2" customWidth="1"/>
    <col min="36" max="36" width="3" style="2" customWidth="1"/>
    <col min="37" max="37" width="15" style="2" customWidth="1" outlineLevel="1"/>
    <col min="38" max="38" width="15" style="2" customWidth="1"/>
    <col min="39" max="39" width="3" style="2" customWidth="1"/>
    <col min="40" max="40" width="15" style="2" customWidth="1" outlineLevel="1"/>
    <col min="41" max="41" width="15" style="2" customWidth="1"/>
    <col min="42" max="42" width="3" style="2" customWidth="1"/>
    <col min="43" max="43" width="15" style="2" customWidth="1" outlineLevel="1"/>
    <col min="44" max="44" width="15" style="2" customWidth="1"/>
    <col min="45" max="45" width="3" style="2" customWidth="1"/>
    <col min="46" max="46" width="10.75" style="2" bestFit="1" customWidth="1"/>
    <col min="47" max="47" width="3" style="2" customWidth="1"/>
    <col min="48" max="48" width="15" style="2" customWidth="1" outlineLevel="1"/>
    <col min="49" max="49" width="17.375" style="2" bestFit="1" customWidth="1"/>
    <col min="50" max="50" width="3" style="2" customWidth="1"/>
    <col min="51" max="51" width="9.625" style="2" bestFit="1" customWidth="1"/>
    <col min="52" max="52" width="3" style="2" customWidth="1"/>
    <col min="53" max="53" width="15" style="2" customWidth="1" outlineLevel="1"/>
    <col min="54" max="54" width="17.375" style="2" bestFit="1" customWidth="1"/>
    <col min="55" max="55" width="3" style="2" customWidth="1"/>
    <col min="56" max="56" width="19.25" style="2" customWidth="1" outlineLevel="1"/>
    <col min="57" max="57" width="19.25" style="2" bestFit="1" customWidth="1"/>
    <col min="58" max="58" width="3" style="2" customWidth="1"/>
    <col min="59" max="59" width="19.25" style="2" customWidth="1" outlineLevel="1"/>
    <col min="60" max="60" width="19.25" style="2"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2" customWidth="1" outlineLevel="1"/>
    <col min="70" max="70" width="17.375" style="2" bestFit="1" customWidth="1"/>
    <col min="71" max="16384" width="9" style="2"/>
  </cols>
  <sheetData>
    <row r="1" spans="1:70" ht="18.75" x14ac:dyDescent="0.15">
      <c r="A1" s="465" t="s">
        <v>60</v>
      </c>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Q1" s="71"/>
      <c r="BR1" s="71"/>
    </row>
    <row r="3" spans="1:70" ht="23.25" x14ac:dyDescent="0.15">
      <c r="B3" s="462" t="s">
        <v>517</v>
      </c>
      <c r="F3" s="728" t="s">
        <v>231</v>
      </c>
      <c r="G3" s="725"/>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Q3" s="71"/>
      <c r="BR3" s="71"/>
    </row>
    <row r="4" spans="1:70" x14ac:dyDescent="0.15">
      <c r="F4" s="9" t="str">
        <f>まとめ!$B$6</f>
        <v>WEO2020　STEPS</v>
      </c>
      <c r="G4" s="112"/>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Q4" s="71"/>
      <c r="BR4" s="71"/>
    </row>
    <row r="5" spans="1:70" ht="15.75" thickBot="1" x14ac:dyDescent="0.2">
      <c r="B5" s="460" t="s">
        <v>518</v>
      </c>
      <c r="C5" s="86"/>
      <c r="D5" s="104"/>
      <c r="E5" s="104"/>
      <c r="F5" s="86" t="str">
        <f>まとめ!$E$6</f>
        <v>収斂なし</v>
      </c>
      <c r="G5" s="104"/>
      <c r="I5" s="460" t="s">
        <v>531</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111"/>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9" t="s">
        <v>65</v>
      </c>
      <c r="F7" s="87">
        <v>2030</v>
      </c>
      <c r="I7" s="111"/>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9" t="s">
        <v>519</v>
      </c>
      <c r="F8" s="88">
        <f>まとめ!B3</f>
        <v>107</v>
      </c>
      <c r="G8" s="81" t="s">
        <v>171</v>
      </c>
      <c r="I8" s="111"/>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9" t="s">
        <v>520</v>
      </c>
      <c r="F9" s="88">
        <f>まとめ!B2</f>
        <v>3</v>
      </c>
      <c r="G9" s="81" t="s">
        <v>172</v>
      </c>
      <c r="I9" s="726" t="s">
        <v>532</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30" t="s">
        <v>232</v>
      </c>
      <c r="AI9" s="729"/>
      <c r="AJ9" s="111"/>
      <c r="AK9" s="730" t="s">
        <v>233</v>
      </c>
      <c r="AL9" s="729"/>
      <c r="AM9" s="111"/>
      <c r="AN9" s="730" t="s">
        <v>233</v>
      </c>
      <c r="AO9" s="729"/>
      <c r="AP9" s="111"/>
      <c r="AQ9" s="730" t="s">
        <v>233</v>
      </c>
      <c r="AR9" s="729"/>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I10" s="727"/>
      <c r="J10" s="71"/>
      <c r="K10" s="708"/>
      <c r="L10" s="71"/>
      <c r="M10" s="708"/>
      <c r="N10" s="71"/>
      <c r="O10" s="717"/>
      <c r="P10" s="717"/>
      <c r="Q10" s="71"/>
      <c r="R10" s="708"/>
      <c r="S10" s="71"/>
      <c r="T10" s="708"/>
      <c r="U10" s="71"/>
      <c r="V10" s="717"/>
      <c r="W10" s="717"/>
      <c r="X10" s="71"/>
      <c r="Y10" s="717"/>
      <c r="Z10" s="717"/>
      <c r="AA10" s="71"/>
      <c r="AB10" s="723"/>
      <c r="AC10" s="723"/>
      <c r="AD10" s="81"/>
      <c r="AE10" s="723"/>
      <c r="AF10" s="723"/>
      <c r="AG10" s="71"/>
      <c r="AH10" s="731"/>
      <c r="AI10" s="731"/>
      <c r="AJ10" s="9"/>
      <c r="AK10" s="731"/>
      <c r="AL10" s="731"/>
      <c r="AM10" s="9"/>
      <c r="AN10" s="731"/>
      <c r="AO10" s="731"/>
      <c r="AP10" s="9"/>
      <c r="AQ10" s="731"/>
      <c r="AR10" s="731"/>
      <c r="AS10" s="71"/>
      <c r="AT10" s="717"/>
      <c r="AU10" s="71"/>
      <c r="AV10" s="717"/>
      <c r="AW10" s="717"/>
      <c r="AX10" s="322"/>
      <c r="AY10" s="708"/>
      <c r="AZ10" s="71"/>
      <c r="BA10" s="708"/>
      <c r="BB10" s="708"/>
      <c r="BC10" s="71"/>
      <c r="BD10" s="717"/>
      <c r="BE10" s="717"/>
      <c r="BF10" s="71"/>
      <c r="BG10" s="717"/>
      <c r="BH10" s="717"/>
      <c r="BJ10" s="708"/>
      <c r="BK10" s="708"/>
      <c r="BL10" s="708"/>
      <c r="BM10" s="322"/>
      <c r="BN10" s="717"/>
      <c r="BO10" s="717"/>
      <c r="BQ10" s="322"/>
      <c r="BR10" s="322"/>
    </row>
    <row r="11" spans="1:70" ht="15.75" customHeight="1" thickBot="1" x14ac:dyDescent="0.2">
      <c r="B11" s="460" t="s">
        <v>95</v>
      </c>
      <c r="C11" s="86"/>
      <c r="D11" s="104"/>
      <c r="E11" s="104"/>
      <c r="F11" s="86"/>
      <c r="G11" s="104"/>
      <c r="J11" s="71"/>
      <c r="K11" s="71"/>
      <c r="L11" s="71"/>
      <c r="M11" s="71"/>
      <c r="N11" s="71"/>
      <c r="O11" s="322" t="s">
        <v>96</v>
      </c>
      <c r="P11" s="322"/>
      <c r="Q11" s="322"/>
      <c r="R11" s="322" t="s">
        <v>96</v>
      </c>
      <c r="S11" s="322"/>
      <c r="T11" s="322"/>
      <c r="U11" s="71"/>
      <c r="V11" s="322"/>
      <c r="W11" s="322"/>
      <c r="X11" s="71"/>
      <c r="Y11" s="322"/>
      <c r="Z11" s="322"/>
      <c r="AA11" s="71"/>
      <c r="AB11" s="322"/>
      <c r="AC11" s="322"/>
      <c r="AD11" s="71"/>
      <c r="AE11" s="322"/>
      <c r="AF11" s="322"/>
      <c r="AG11" s="71"/>
      <c r="AH11" s="322"/>
      <c r="AI11" s="322"/>
      <c r="AJ11" s="71"/>
      <c r="AK11" s="322"/>
      <c r="AL11" s="322"/>
      <c r="AM11" s="71"/>
      <c r="AN11" s="322"/>
      <c r="AO11" s="322"/>
      <c r="AP11" s="71"/>
      <c r="AQ11" s="322"/>
      <c r="AR11" s="322"/>
      <c r="AS11" s="71"/>
      <c r="AT11" s="322"/>
      <c r="AU11" s="71"/>
      <c r="AV11" s="322"/>
      <c r="AW11" s="322"/>
      <c r="AX11" s="322"/>
      <c r="AY11" s="71"/>
      <c r="AZ11" s="71"/>
      <c r="BA11" s="71"/>
      <c r="BB11" s="322"/>
      <c r="BC11" s="71"/>
      <c r="BD11" s="322"/>
      <c r="BE11" s="322"/>
      <c r="BF11" s="71"/>
      <c r="BG11" s="322"/>
      <c r="BH11" s="322"/>
      <c r="BJ11" s="156"/>
      <c r="BM11" s="322"/>
      <c r="BN11" s="322"/>
      <c r="BO11" s="322"/>
      <c r="BQ11" s="322"/>
      <c r="BR11" s="322"/>
    </row>
    <row r="12" spans="1:70" ht="14.25" customHeight="1" x14ac:dyDescent="0.15">
      <c r="J12" s="71"/>
      <c r="K12" s="71"/>
      <c r="L12" s="71"/>
      <c r="M12" s="71"/>
      <c r="N12" s="71"/>
      <c r="O12" s="322"/>
      <c r="P12" s="707" t="s">
        <v>97</v>
      </c>
      <c r="Q12" s="71"/>
      <c r="R12" s="71"/>
      <c r="S12" s="71"/>
      <c r="T12" s="71"/>
      <c r="U12" s="71"/>
      <c r="V12" s="71"/>
      <c r="W12" s="707" t="s">
        <v>98</v>
      </c>
      <c r="X12" s="71"/>
      <c r="Y12" s="71"/>
      <c r="Z12" s="707" t="s">
        <v>98</v>
      </c>
      <c r="AA12" s="71"/>
      <c r="AB12" s="71"/>
      <c r="AC12" s="707" t="s">
        <v>98</v>
      </c>
      <c r="AD12" s="71"/>
      <c r="AE12" s="71"/>
      <c r="AF12" s="707" t="s">
        <v>98</v>
      </c>
      <c r="AG12" s="71"/>
      <c r="AH12" s="71"/>
      <c r="AI12" s="707" t="s">
        <v>98</v>
      </c>
      <c r="AJ12" s="71"/>
      <c r="AK12" s="71"/>
      <c r="AL12" s="707" t="s">
        <v>98</v>
      </c>
      <c r="AM12" s="71"/>
      <c r="AN12" s="71"/>
      <c r="AO12" s="707" t="s">
        <v>98</v>
      </c>
      <c r="AP12" s="71"/>
      <c r="AQ12" s="71"/>
      <c r="AR12" s="707" t="s">
        <v>98</v>
      </c>
      <c r="AS12" s="71"/>
      <c r="AT12" s="71"/>
      <c r="AU12" s="71"/>
      <c r="AV12" s="71"/>
      <c r="AW12" s="707" t="s">
        <v>98</v>
      </c>
      <c r="AX12" s="71"/>
      <c r="AY12" s="71"/>
      <c r="AZ12" s="71"/>
      <c r="BA12" s="71"/>
      <c r="BB12" s="707" t="s">
        <v>98</v>
      </c>
      <c r="BC12" s="71"/>
      <c r="BD12" s="71"/>
      <c r="BE12" s="707" t="s">
        <v>98</v>
      </c>
      <c r="BF12" s="71"/>
      <c r="BG12" s="71"/>
      <c r="BH12" s="707" t="s">
        <v>98</v>
      </c>
      <c r="BJ12" s="709" t="s">
        <v>99</v>
      </c>
      <c r="BK12" s="709" t="s">
        <v>100</v>
      </c>
      <c r="BL12" s="709" t="s">
        <v>101</v>
      </c>
      <c r="BO12" s="709" t="s">
        <v>102</v>
      </c>
      <c r="BQ12" s="71"/>
      <c r="BR12" s="707" t="s">
        <v>103</v>
      </c>
    </row>
    <row r="13" spans="1:70" ht="14.25" customHeight="1" x14ac:dyDescent="0.15">
      <c r="C13" s="9" t="s">
        <v>504</v>
      </c>
      <c r="F13" s="66">
        <v>2.5000000000000001E-2</v>
      </c>
      <c r="G13" s="81" t="s">
        <v>173</v>
      </c>
      <c r="J13" s="71"/>
      <c r="K13" s="71"/>
      <c r="L13" s="71"/>
      <c r="M13" s="71"/>
      <c r="N13" s="71"/>
      <c r="O13" s="322"/>
      <c r="P13" s="708"/>
      <c r="Q13" s="322"/>
      <c r="R13" s="322"/>
      <c r="S13" s="322"/>
      <c r="T13" s="322"/>
      <c r="U13" s="71"/>
      <c r="V13" s="322"/>
      <c r="W13" s="708"/>
      <c r="X13" s="71"/>
      <c r="Y13" s="322"/>
      <c r="Z13" s="708"/>
      <c r="AA13" s="71"/>
      <c r="AB13" s="322"/>
      <c r="AC13" s="708"/>
      <c r="AD13" s="71"/>
      <c r="AE13" s="322"/>
      <c r="AF13" s="708"/>
      <c r="AG13" s="71"/>
      <c r="AH13" s="322"/>
      <c r="AI13" s="708"/>
      <c r="AJ13" s="71"/>
      <c r="AK13" s="322"/>
      <c r="AL13" s="708"/>
      <c r="AM13" s="71"/>
      <c r="AN13" s="322"/>
      <c r="AO13" s="708"/>
      <c r="AP13" s="71"/>
      <c r="AQ13" s="322"/>
      <c r="AR13" s="708"/>
      <c r="AS13" s="71"/>
      <c r="AT13" s="322"/>
      <c r="AU13" s="71"/>
      <c r="AV13" s="322"/>
      <c r="AW13" s="708"/>
      <c r="AX13" s="71"/>
      <c r="AY13" s="71"/>
      <c r="AZ13" s="71"/>
      <c r="BA13" s="71"/>
      <c r="BB13" s="708"/>
      <c r="BC13" s="71"/>
      <c r="BD13" s="322"/>
      <c r="BE13" s="708"/>
      <c r="BF13" s="71"/>
      <c r="BG13" s="322"/>
      <c r="BH13" s="708"/>
      <c r="BJ13" s="712"/>
      <c r="BK13" s="710"/>
      <c r="BL13" s="708"/>
      <c r="BM13" s="322"/>
      <c r="BO13" s="708"/>
      <c r="BQ13" s="322"/>
      <c r="BR13" s="708"/>
    </row>
    <row r="14" spans="1:70" ht="16.5" x14ac:dyDescent="0.15">
      <c r="C14" s="9" t="s">
        <v>505</v>
      </c>
      <c r="F14" s="88">
        <f>VLOOKUP(F3&amp;IF(G4&lt;&gt;"","_"&amp;G4,""),まとめ!$A$12:$G$34,IF(F7=2030,4,IF(F7=2020,3,IF(F7=2014,2,"-"))),0)</f>
        <v>17.2</v>
      </c>
      <c r="G14" s="81" t="s">
        <v>172</v>
      </c>
      <c r="J14" s="71"/>
      <c r="K14" s="71"/>
      <c r="L14" s="71"/>
      <c r="M14" s="71"/>
      <c r="N14" s="71"/>
      <c r="O14" s="322"/>
      <c r="P14" s="322"/>
      <c r="Q14" s="322"/>
      <c r="R14" s="322"/>
      <c r="S14" s="322"/>
      <c r="T14" s="322"/>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50" t="s">
        <v>104</v>
      </c>
      <c r="AU14" s="71"/>
      <c r="AV14" s="71"/>
      <c r="AW14" s="71"/>
      <c r="AX14" s="71"/>
      <c r="AY14" s="71" t="s">
        <v>105</v>
      </c>
      <c r="AZ14" s="71"/>
      <c r="BA14" s="71"/>
      <c r="BB14" s="71"/>
      <c r="BC14" s="71"/>
      <c r="BD14" s="71"/>
      <c r="BE14" s="71"/>
      <c r="BF14" s="71"/>
      <c r="BG14" s="71"/>
      <c r="BH14" s="71"/>
      <c r="BQ14" s="71"/>
      <c r="BR14" s="71"/>
    </row>
    <row r="15" spans="1:70" x14ac:dyDescent="0.15">
      <c r="C15" s="9" t="s">
        <v>506</v>
      </c>
      <c r="F15" s="88">
        <f>VLOOKUP(F3&amp;IF(G4&lt;&gt;"","_"&amp;G4,""),まとめ!$A$12:$G$34,IF(F7=2030,7,IF(F7=2020,6,IF(F7=2014,5,"-"))),0)</f>
        <v>25</v>
      </c>
      <c r="G15" s="81" t="s">
        <v>108</v>
      </c>
      <c r="I15" s="458">
        <f>F7</f>
        <v>2030</v>
      </c>
      <c r="J15" s="39"/>
      <c r="K15" s="39">
        <f>IF(I15&lt;&gt;"",1,"")</f>
        <v>1</v>
      </c>
      <c r="L15" s="39"/>
      <c r="M15" s="40">
        <f t="shared" ref="M15:M78" si="0">1/(1+($F$9/100))^K15</f>
        <v>0.970873786407767</v>
      </c>
      <c r="N15" s="39"/>
      <c r="O15" s="72">
        <f>F117</f>
        <v>43000000</v>
      </c>
      <c r="P15" s="41">
        <f t="shared" ref="P15:P46" si="1">IF(K15&lt;=$F$15,IF(OR(P14=$F$124,P14="-"),"-",IF(O15*$F$123&gt;$F$127,$F$123,$F$124)),"")</f>
        <v>0.14699999999999999</v>
      </c>
      <c r="Q15" s="39"/>
      <c r="R15" s="123">
        <f>F117</f>
        <v>43000000</v>
      </c>
      <c r="S15" s="39"/>
      <c r="T15" s="72">
        <f>IF(ISNUMBER(R15),ROUNDDOWN(R15,-3),"")</f>
        <v>43000000</v>
      </c>
      <c r="U15" s="39"/>
      <c r="V15" s="72">
        <f t="shared" ref="V15:V46" si="2">IF(K15&lt;=$F$15,IF(K15&lt;$F$119,IF(P15="-",V14,O15*P15),IF(K15=$F$119,MIN(IF(P15="-",V14,O15*P15),O15),0)),"")</f>
        <v>6321000</v>
      </c>
      <c r="W15" s="72">
        <f>IF(ISNUMBER(V15),V15*$M15,"")</f>
        <v>6136893.2038834952</v>
      </c>
      <c r="X15" s="39"/>
      <c r="Y15" s="72">
        <f t="shared" ref="Y15:Y46" si="3">IF($K15&lt;=$F$15,ROUNDDOWN(T15*$F$25/100,-2),"")</f>
        <v>602000</v>
      </c>
      <c r="Z15" s="72">
        <f>IF(ISNUMBER(Y15),Y15*$M15,"")</f>
        <v>584466.01941747579</v>
      </c>
      <c r="AA15" s="39"/>
      <c r="AB15" s="72">
        <f t="shared" ref="AB15:AB78" si="4">IF($K15&lt;=$F$15,0,IF(AND($K15&gt;$F$15,$K15&lt;=$F$15+$F$28),$F$27*10^8/$F$28,""))</f>
        <v>0</v>
      </c>
      <c r="AC15" s="72">
        <f>IF(ISNUMBER(AB15),AB15*$M15,"")</f>
        <v>0</v>
      </c>
      <c r="AD15" s="39"/>
      <c r="AE15" s="72">
        <f t="shared" ref="AE15:AE46" si="5">IF($K15&lt;=$F$15,$F$26,"")</f>
        <v>0</v>
      </c>
      <c r="AF15" s="72">
        <f>IF(ISNUMBER(AE15),AE15*$M15,"")</f>
        <v>0</v>
      </c>
      <c r="AG15" s="39"/>
      <c r="AH15" s="72">
        <f t="shared" ref="AH15:AH46" si="6">IF($K15&lt;=$F$15,$F$33*10^4*$F$13*10^4,"")</f>
        <v>1200000</v>
      </c>
      <c r="AI15" s="72">
        <f>IF(ISNUMBER(AH15),AH15*$M15,"")</f>
        <v>1165048.5436893203</v>
      </c>
      <c r="AJ15" s="39"/>
      <c r="AK15" s="72">
        <f t="shared" ref="AK15:AK46" si="7">IF($K15&lt;=$F$15,$F$117*$F$34/100,"")</f>
        <v>0</v>
      </c>
      <c r="AL15" s="72">
        <f>IF(ISNUMBER(AK15),AK15*$M15,"")</f>
        <v>0</v>
      </c>
      <c r="AM15" s="39"/>
      <c r="AN15" s="72">
        <f t="shared" ref="AN15:AN46" si="8">IF($K15&lt;=$F$15,$F$117*$F$35/100,"")</f>
        <v>0</v>
      </c>
      <c r="AO15" s="72">
        <f>IF(ISNUMBER(AN15),AN15*$M15,"")</f>
        <v>0</v>
      </c>
      <c r="AP15" s="39"/>
      <c r="AQ15" s="72">
        <f t="shared" ref="AQ15:AQ46" si="9">IF($K15&lt;=$F$15,SUM(AH15,AK15,AN15)*($F$36/100),"")</f>
        <v>0</v>
      </c>
      <c r="AR15" s="72">
        <f>IF(ISNUMBER(AQ15),AQ15*$M15,"")</f>
        <v>0</v>
      </c>
      <c r="AS15" s="39"/>
      <c r="AT15" s="40">
        <f>IF($K15&lt;=$F$15,IF($F$40&lt;&gt;"",$F$40/1000,IF(ISERROR(VLOOKUP($F$3&amp;IF($G$4&lt;&gt;"",$G$4,"")&amp;IF($F$43&lt;&gt;"","_"&amp;$F$43,""),'表3）燃料価格'!$AF$9:$AG$25,2,0)),0,VLOOKUP($I15,'表3）燃料価格'!$A$6:$U$66,VLOOKUP($F$3&amp;IF($G$4&lt;&gt;"",$G$4,"")&amp;IF($F$43&lt;&gt;"","_"&amp;$F$43,""),'表3）燃料価格'!$AF$9:$AG$25,2,0)+VLOOKUP($F$41,'表3）燃料価格'!$AF$28:$AG$29,2,0),0)*IF($F$43="需要地価格",1,$F$8/$F$141))),"")</f>
        <v>0</v>
      </c>
      <c r="AU15" s="39"/>
      <c r="AV15" s="72">
        <f t="shared" ref="AV15:AV46" si="10">IF($K15&lt;=$F$15,($AT15+$F$142)*$F$137,"")</f>
        <v>0</v>
      </c>
      <c r="AW15" s="72">
        <f>IF(ISNUMBER(AV15),AV15*$M15,"")</f>
        <v>0</v>
      </c>
      <c r="AX15" s="39"/>
      <c r="AY15" s="40">
        <f>IF(ISERROR(IF($K15&lt;=$F$15,VLOOKUP($I15,'表4）CO2価格'!$A$7:$E$67,VLOOKUP($F$48,'表4）CO2価格'!$H$10:$I$12,2,0),0)*$F$8/1000,"")),0,IF($K15&lt;=$F$15,VLOOKUP($I15,'表4）CO2価格'!$A$7:$E$67,VLOOKUP($F$48,'表4）CO2価格'!$H$10:$I$12,2,0),0)*$F$8/1000,""))</f>
        <v>0</v>
      </c>
      <c r="AZ15" s="39"/>
      <c r="BA15" s="42">
        <f t="shared" ref="BA15:BA46" si="11">IF($K15&lt;=$F$15,$F$145*AY15,"")</f>
        <v>0</v>
      </c>
      <c r="BB15" s="72">
        <f>IF(ISNUMBER(BA15),BA15*$M15,"")</f>
        <v>0</v>
      </c>
      <c r="BC15" s="39"/>
      <c r="BD15" s="72">
        <f t="shared" ref="BD15:BD46" si="12">IF($K15&lt;=$F$15,($AT15+$F$152)*$F$151,"")</f>
        <v>0</v>
      </c>
      <c r="BE15" s="72">
        <f>IF(ISNUMBER(BD15),BD15*$M15,"")</f>
        <v>0</v>
      </c>
      <c r="BF15" s="39"/>
      <c r="BG15" s="42">
        <f t="shared" ref="BG15:BG46" si="13">IF($K15&lt;=$F$15,$F$153*AY15,"")</f>
        <v>0</v>
      </c>
      <c r="BH15" s="72">
        <f>IF(ISNUMBER(BG15),BG15*$M15,"")</f>
        <v>0</v>
      </c>
      <c r="BI15" s="39"/>
      <c r="BJ15" s="40">
        <f>IF(ISNUMBER($F$16),IF($K15&lt;=$F$16+$F$28,1/(1+($F$17/100))^K15,""),"")</f>
        <v>0.96153846153846145</v>
      </c>
      <c r="BK15" s="157">
        <f>IF(ISNUMBER($F$16),IF($K15&lt;=$F$16+$F$28,IF($K15&lt;=$F$16,SUM(Y15,AB15,AE15,AH15,AK15,AN15,AQ15,AV15,BA15,BD15,BG15),$F$27/$F$28*10^8)*BJ15,""),"")</f>
        <v>1732692.3076923075</v>
      </c>
      <c r="BL15" s="157">
        <f t="shared" ref="BL15:BL78" si="14">IF(AND(ISNUMBER(BJ15),$K15&lt;=$F$16),BQ15*BJ15,"")</f>
        <v>362192.30769230769</v>
      </c>
      <c r="BM15" s="72"/>
      <c r="BN15" s="72">
        <f>IF(AND(ISNUMBER($F$16),$K15&lt;=$F$16),BQ15*($O$15+$BK$116)/$BL$116,"")</f>
        <v>4702371.7689352985</v>
      </c>
      <c r="BO15" s="72">
        <f>IF(ISNUMBER(BN15),BN15*$M15,"")</f>
        <v>4565409.4844032023</v>
      </c>
      <c r="BP15" s="39"/>
      <c r="BQ15" s="72">
        <f t="shared" ref="BQ15:BQ46" si="15">IF($K15&lt;=$F$15,$F$134,"")</f>
        <v>376680</v>
      </c>
      <c r="BR15" s="72">
        <f>IF(ISNUMBER(BQ15),BQ15*$M15,"")</f>
        <v>365708.73786407767</v>
      </c>
    </row>
    <row r="16" spans="1:70" x14ac:dyDescent="0.15">
      <c r="C16" s="236" t="s">
        <v>107</v>
      </c>
      <c r="F16" s="88">
        <f>IF(ISERROR(VLOOKUP(F3&amp;IF(G4&lt;&gt;"","_"&amp;G4,""),'表7）買取期間・IRR'!$A$3:$A$10,1,0)),"",VLOOKUP(F3&amp;IF(G4&lt;&gt;"","_"&amp;G4,""),'表7）買取期間・IRR'!$A$3:$C$10,IF(F7=2030,3,IF(F7=2020,3,IF(F7=2014,2,"-"))),0))</f>
        <v>20</v>
      </c>
      <c r="G16" s="81" t="s">
        <v>108</v>
      </c>
      <c r="I16" s="459">
        <f>I15+1</f>
        <v>2031</v>
      </c>
      <c r="J16" s="71"/>
      <c r="K16" s="71">
        <f>IF(I16&lt;&gt;"",K15+1,"")</f>
        <v>2</v>
      </c>
      <c r="L16" s="71"/>
      <c r="M16" s="7">
        <f t="shared" si="0"/>
        <v>0.94259590913375435</v>
      </c>
      <c r="N16" s="71"/>
      <c r="O16" s="10">
        <f>IF(K16&lt;=$F$15,O15-V15,"")</f>
        <v>36679000</v>
      </c>
      <c r="P16" s="29">
        <f t="shared" si="1"/>
        <v>0.14699999999999999</v>
      </c>
      <c r="Q16" s="71"/>
      <c r="R16" s="10">
        <f t="shared" ref="R16:R47" si="16">IF($K16&lt;=$F$15,MAX($F$117*5%,R15*$F$129),"")</f>
        <v>37553024.982462265</v>
      </c>
      <c r="S16" s="71"/>
      <c r="T16" s="10">
        <f t="shared" ref="T16:T79" si="17">IF(ISNUMBER(R16),ROUNDDOWN(R16,-3),"")</f>
        <v>37553000</v>
      </c>
      <c r="U16" s="71"/>
      <c r="V16" s="10">
        <f t="shared" si="2"/>
        <v>5391813</v>
      </c>
      <c r="W16" s="10">
        <f t="shared" ref="W16:W79" si="18">IF(ISNUMBER(V16),V16*$M16,"")</f>
        <v>5082300.8766141953</v>
      </c>
      <c r="X16" s="71"/>
      <c r="Y16" s="10">
        <f t="shared" si="3"/>
        <v>525700</v>
      </c>
      <c r="Z16" s="10">
        <f t="shared" ref="Z16:Z79" si="19">IF(ISNUMBER(Y16),Y16*$M16,"")</f>
        <v>495522.66943161469</v>
      </c>
      <c r="AA16" s="71"/>
      <c r="AB16" s="10">
        <f t="shared" si="4"/>
        <v>0</v>
      </c>
      <c r="AC16" s="10">
        <f t="shared" ref="AC16:AC79" si="20">IF(ISNUMBER(AB16),AB16*$M16,"")</f>
        <v>0</v>
      </c>
      <c r="AD16" s="71"/>
      <c r="AE16" s="10">
        <f t="shared" si="5"/>
        <v>0</v>
      </c>
      <c r="AF16" s="10">
        <f t="shared" ref="AF16:AF79" si="21">IF(ISNUMBER(AE16),AE16*$M16,"")</f>
        <v>0</v>
      </c>
      <c r="AG16" s="71"/>
      <c r="AH16" s="10">
        <f t="shared" si="6"/>
        <v>1200000</v>
      </c>
      <c r="AI16" s="10">
        <f t="shared" ref="AI16:AI79" si="22">IF(ISNUMBER(AH16),AH16*$M16,"")</f>
        <v>1131115.0909605052</v>
      </c>
      <c r="AJ16" s="71"/>
      <c r="AK16" s="10">
        <f t="shared" si="7"/>
        <v>0</v>
      </c>
      <c r="AL16" s="10">
        <f t="shared" ref="AL16:AL79" si="23">IF(ISNUMBER(AK16),AK16*$M16,"")</f>
        <v>0</v>
      </c>
      <c r="AM16" s="71"/>
      <c r="AN16" s="10">
        <f t="shared" si="8"/>
        <v>0</v>
      </c>
      <c r="AO16" s="10">
        <f t="shared" ref="AO16:AO79" si="24">IF(ISNUMBER(AN16),AN16*$M16,"")</f>
        <v>0</v>
      </c>
      <c r="AP16" s="71"/>
      <c r="AQ16" s="10">
        <f t="shared" si="9"/>
        <v>0</v>
      </c>
      <c r="AR16" s="10">
        <f t="shared" ref="AR16:AR79" si="25">IF(ISNUMBER(AQ16),AQ16*$M16,"")</f>
        <v>0</v>
      </c>
      <c r="AS16" s="71"/>
      <c r="AT16" s="7">
        <f>IF($K16&lt;=$F$15,IF($F$40&lt;&gt;"",$F$40/1000,IF(ISERROR(VLOOKUP($F$3&amp;IF($G$4&lt;&gt;"",$G$4,"")&amp;IF($F$43&lt;&gt;"","_"&amp;$F$43,""),'表3）燃料価格'!$AF$9:$AG$25,2,0)),0,VLOOKUP($I16,'表3）燃料価格'!$A$6:$U$66,VLOOKUP($F$3&amp;IF($G$4&lt;&gt;"",$G$4,"")&amp;IF($F$43&lt;&gt;"","_"&amp;$F$43,""),'表3）燃料価格'!$AF$9:$AG$25,2,0)+VLOOKUP($F$41,'表3）燃料価格'!$AF$28:$AG$29,2,0),0)*IF($F$43="需要地価格",1,$F$8/$F$141))),"")</f>
        <v>0</v>
      </c>
      <c r="AU16" s="71"/>
      <c r="AV16" s="10">
        <f t="shared" si="10"/>
        <v>0</v>
      </c>
      <c r="AW16" s="10">
        <f t="shared" ref="AW16:AW79" si="26">IF(ISNUMBER(AV16),AV16*$M16,"")</f>
        <v>0</v>
      </c>
      <c r="AX16" s="71"/>
      <c r="AY16" s="7">
        <f>IF(ISERROR(IF($K16&lt;=$F$15,VLOOKUP($I16,'表4）CO2価格'!$A$7:$E$67,VLOOKUP($F$48,'表4）CO2価格'!$H$10:$I$12,2,0),0)*$F$8/1000,"")),0,IF($K16&lt;=$F$15,VLOOKUP($I16,'表4）CO2価格'!$A$7:$E$67,VLOOKUP($F$48,'表4）CO2価格'!$H$10:$I$12,2,0),0)*$F$8/1000,""))</f>
        <v>0</v>
      </c>
      <c r="AZ16" s="71"/>
      <c r="BA16" s="11">
        <f t="shared" si="11"/>
        <v>0</v>
      </c>
      <c r="BB16" s="10">
        <f t="shared" ref="BB16:BB79" si="27">IF(ISNUMBER(BA16),BA16*$M16,"")</f>
        <v>0</v>
      </c>
      <c r="BC16" s="71"/>
      <c r="BD16" s="10">
        <f t="shared" si="12"/>
        <v>0</v>
      </c>
      <c r="BE16" s="10">
        <f t="shared" ref="BE16:BE79" si="28">IF(ISNUMBER(BD16),BD16*$M16,"")</f>
        <v>0</v>
      </c>
      <c r="BF16" s="71"/>
      <c r="BG16" s="11">
        <f t="shared" si="13"/>
        <v>0</v>
      </c>
      <c r="BH16" s="10">
        <f t="shared" ref="BH16:BH79" si="29">IF(ISNUMBER(BG16),BG16*$M16,"")</f>
        <v>0</v>
      </c>
      <c r="BJ16" s="7">
        <f t="shared" ref="BJ16:BJ79" si="30">IF(ISNUMBER($F$16),IF($K16&lt;=$F$16+$F$28,1/(1+($F$17/100))^K16,""),"")</f>
        <v>0.92455621301775137</v>
      </c>
      <c r="BK16" s="158">
        <f t="shared" ref="BK16:BK79" si="31">IF(ISNUMBER($F$16),IF($K16&lt;=$F$16+$F$28,IF($K16&lt;=$F$16,SUM(Y16,AB16,AE16,AH16,AK16,AN16,AQ16,AV16,BA16,BD16,BG16),$F$27/$F$28*10^8)*BJ16,""),"")</f>
        <v>1595506.6568047334</v>
      </c>
      <c r="BL16" s="158">
        <f t="shared" si="14"/>
        <v>348261.83431952656</v>
      </c>
      <c r="BM16" s="10"/>
      <c r="BN16" s="10">
        <f t="shared" ref="BN16:BN79" si="32">IF(AND(ISNUMBER($F$16),$K16&lt;=$F$16),BQ16*($O$15+$BK$116)/$BL$116,"")</f>
        <v>4702371.7689352985</v>
      </c>
      <c r="BO16" s="10">
        <f t="shared" ref="BO16:BO79" si="33">IF(ISNUMBER(BN16),BN16*$M16,"")</f>
        <v>4432436.3926244685</v>
      </c>
      <c r="BQ16" s="10">
        <f t="shared" si="15"/>
        <v>376680</v>
      </c>
      <c r="BR16" s="10">
        <f t="shared" ref="BR16:BR79" si="34">IF(ISNUMBER(BQ16),BQ16*$M16,"")</f>
        <v>355057.02705250261</v>
      </c>
    </row>
    <row r="17" spans="3:70" x14ac:dyDescent="0.15">
      <c r="C17" s="9" t="s">
        <v>109</v>
      </c>
      <c r="F17" s="143">
        <f>IF(ISERROR(VLOOKUP(F3&amp;IF(G4&lt;&gt;"","_"&amp;G4,""),'表7）買取期間・IRR'!$A$14:$C$21,1,0)),"",VLOOKUP(F3&amp;IF(G4&lt;&gt;"","_"&amp;G4,""),'表7）買取期間・IRR'!$A$14:$C$21,IF(F7=2030,3,IF(F7=2020,2,"-")),0))</f>
        <v>4</v>
      </c>
      <c r="G17" s="81" t="s">
        <v>172</v>
      </c>
      <c r="I17" s="458">
        <f t="shared" ref="I17:I80" si="35">I16+1</f>
        <v>2032</v>
      </c>
      <c r="J17" s="39"/>
      <c r="K17" s="39">
        <f t="shared" ref="K17:K80" si="36">IF(I17&lt;&gt;"",K16+1,"")</f>
        <v>3</v>
      </c>
      <c r="L17" s="39"/>
      <c r="M17" s="40">
        <f t="shared" si="0"/>
        <v>0.91514165935315961</v>
      </c>
      <c r="N17" s="39"/>
      <c r="O17" s="72">
        <f t="shared" ref="O17:O79" si="37">IF(K17&lt;=$F$15,O16-V16,"")</f>
        <v>31287187</v>
      </c>
      <c r="P17" s="41">
        <f t="shared" si="1"/>
        <v>0.14699999999999999</v>
      </c>
      <c r="Q17" s="39"/>
      <c r="R17" s="72">
        <f t="shared" si="16"/>
        <v>32796039.193800811</v>
      </c>
      <c r="S17" s="39"/>
      <c r="T17" s="72">
        <f t="shared" si="17"/>
        <v>32796000</v>
      </c>
      <c r="U17" s="39"/>
      <c r="V17" s="72">
        <f t="shared" si="2"/>
        <v>4599216.4890000001</v>
      </c>
      <c r="W17" s="72">
        <f t="shared" si="18"/>
        <v>4208934.6094678724</v>
      </c>
      <c r="X17" s="39"/>
      <c r="Y17" s="72">
        <f t="shared" si="3"/>
        <v>459100</v>
      </c>
      <c r="Z17" s="72">
        <f t="shared" si="19"/>
        <v>420141.53580903559</v>
      </c>
      <c r="AA17" s="39"/>
      <c r="AB17" s="72">
        <f t="shared" si="4"/>
        <v>0</v>
      </c>
      <c r="AC17" s="72">
        <f t="shared" si="20"/>
        <v>0</v>
      </c>
      <c r="AD17" s="39"/>
      <c r="AE17" s="72">
        <f t="shared" si="5"/>
        <v>0</v>
      </c>
      <c r="AF17" s="72">
        <f t="shared" si="21"/>
        <v>0</v>
      </c>
      <c r="AG17" s="39"/>
      <c r="AH17" s="72">
        <f t="shared" si="6"/>
        <v>1200000</v>
      </c>
      <c r="AI17" s="72">
        <f t="shared" si="22"/>
        <v>1098169.9912237916</v>
      </c>
      <c r="AJ17" s="39"/>
      <c r="AK17" s="72">
        <f t="shared" si="7"/>
        <v>0</v>
      </c>
      <c r="AL17" s="72">
        <f t="shared" si="23"/>
        <v>0</v>
      </c>
      <c r="AM17" s="39"/>
      <c r="AN17" s="72">
        <f t="shared" si="8"/>
        <v>0</v>
      </c>
      <c r="AO17" s="72">
        <f t="shared" si="24"/>
        <v>0</v>
      </c>
      <c r="AP17" s="39"/>
      <c r="AQ17" s="72">
        <f t="shared" si="9"/>
        <v>0</v>
      </c>
      <c r="AR17" s="72">
        <f t="shared" si="25"/>
        <v>0</v>
      </c>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0</v>
      </c>
      <c r="AU17" s="39"/>
      <c r="AV17" s="72">
        <f t="shared" si="10"/>
        <v>0</v>
      </c>
      <c r="AW17" s="72">
        <f t="shared" si="26"/>
        <v>0</v>
      </c>
      <c r="AX17" s="39"/>
      <c r="AY17" s="40">
        <f>IF(ISERROR(IF($K17&lt;=$F$15,VLOOKUP($I17,'表4）CO2価格'!$A$7:$E$67,VLOOKUP($F$48,'表4）CO2価格'!$H$10:$I$12,2,0),0)*$F$8/1000,"")),0,IF($K17&lt;=$F$15,VLOOKUP($I17,'表4）CO2価格'!$A$7:$E$67,VLOOKUP($F$48,'表4）CO2価格'!$H$10:$I$12,2,0),0)*$F$8/1000,""))</f>
        <v>0</v>
      </c>
      <c r="AZ17" s="39"/>
      <c r="BA17" s="42">
        <f t="shared" si="11"/>
        <v>0</v>
      </c>
      <c r="BB17" s="72">
        <f t="shared" si="27"/>
        <v>0</v>
      </c>
      <c r="BC17" s="39"/>
      <c r="BD17" s="72">
        <f t="shared" si="12"/>
        <v>0</v>
      </c>
      <c r="BE17" s="72">
        <f t="shared" si="28"/>
        <v>0</v>
      </c>
      <c r="BF17" s="39"/>
      <c r="BG17" s="42">
        <f t="shared" si="13"/>
        <v>0</v>
      </c>
      <c r="BH17" s="72">
        <f t="shared" si="29"/>
        <v>0</v>
      </c>
      <c r="BI17" s="39"/>
      <c r="BJ17" s="40">
        <f t="shared" si="30"/>
        <v>0.88899635867091487</v>
      </c>
      <c r="BK17" s="157">
        <f t="shared" si="31"/>
        <v>1474933.8586709148</v>
      </c>
      <c r="BL17" s="157">
        <f t="shared" si="14"/>
        <v>334867.14838416019</v>
      </c>
      <c r="BM17" s="72"/>
      <c r="BN17" s="72">
        <f t="shared" si="32"/>
        <v>4702371.7689352985</v>
      </c>
      <c r="BO17" s="72">
        <f t="shared" si="33"/>
        <v>4303336.3035189016</v>
      </c>
      <c r="BP17" s="39"/>
      <c r="BQ17" s="72">
        <f t="shared" si="15"/>
        <v>376680</v>
      </c>
      <c r="BR17" s="72">
        <f t="shared" si="34"/>
        <v>344715.56024514814</v>
      </c>
    </row>
    <row r="18" spans="3:70" x14ac:dyDescent="0.15">
      <c r="I18" s="459">
        <f t="shared" si="35"/>
        <v>2033</v>
      </c>
      <c r="J18" s="71"/>
      <c r="K18" s="71">
        <f t="shared" si="36"/>
        <v>4</v>
      </c>
      <c r="L18" s="71"/>
      <c r="M18" s="7">
        <f t="shared" si="0"/>
        <v>0.888487047915689</v>
      </c>
      <c r="N18" s="71"/>
      <c r="O18" s="10">
        <f t="shared" si="37"/>
        <v>26687970.511</v>
      </c>
      <c r="P18" s="29">
        <f t="shared" si="1"/>
        <v>0.14699999999999999</v>
      </c>
      <c r="Q18" s="71"/>
      <c r="R18" s="10">
        <f t="shared" si="16"/>
        <v>28641639.050479382</v>
      </c>
      <c r="S18" s="71"/>
      <c r="T18" s="10">
        <f t="shared" si="17"/>
        <v>28641000</v>
      </c>
      <c r="U18" s="71"/>
      <c r="V18" s="10">
        <f t="shared" si="2"/>
        <v>3923131.6651169998</v>
      </c>
      <c r="W18" s="10">
        <f t="shared" si="18"/>
        <v>3485651.6717243646</v>
      </c>
      <c r="X18" s="71"/>
      <c r="Y18" s="10">
        <f>IF($K18&lt;=$F$15,ROUNDDOWN(T18*$F$25/100,-2),"")</f>
        <v>400900</v>
      </c>
      <c r="Z18" s="10">
        <f t="shared" si="19"/>
        <v>356194.45750939974</v>
      </c>
      <c r="AA18" s="71"/>
      <c r="AB18" s="10">
        <f t="shared" si="4"/>
        <v>0</v>
      </c>
      <c r="AC18" s="10">
        <f t="shared" si="20"/>
        <v>0</v>
      </c>
      <c r="AD18" s="71"/>
      <c r="AE18" s="10">
        <f t="shared" si="5"/>
        <v>0</v>
      </c>
      <c r="AF18" s="10">
        <f t="shared" si="21"/>
        <v>0</v>
      </c>
      <c r="AG18" s="71"/>
      <c r="AH18" s="10">
        <f t="shared" si="6"/>
        <v>1200000</v>
      </c>
      <c r="AI18" s="10">
        <f t="shared" si="22"/>
        <v>1066184.4574988268</v>
      </c>
      <c r="AJ18" s="71"/>
      <c r="AK18" s="10">
        <f t="shared" si="7"/>
        <v>0</v>
      </c>
      <c r="AL18" s="10">
        <f t="shared" si="23"/>
        <v>0</v>
      </c>
      <c r="AM18" s="71"/>
      <c r="AN18" s="10">
        <f t="shared" si="8"/>
        <v>0</v>
      </c>
      <c r="AO18" s="10">
        <f t="shared" si="24"/>
        <v>0</v>
      </c>
      <c r="AP18" s="71"/>
      <c r="AQ18" s="10">
        <f t="shared" si="9"/>
        <v>0</v>
      </c>
      <c r="AR18" s="10">
        <f t="shared" si="25"/>
        <v>0</v>
      </c>
      <c r="AS18" s="71"/>
      <c r="AT18" s="7">
        <f>IF($K18&lt;=$F$15,IF($F$40&lt;&gt;"",$F$40/1000,IF(ISERROR(VLOOKUP($F$3&amp;IF($G$4&lt;&gt;"",$G$4,"")&amp;IF($F$43&lt;&gt;"","_"&amp;$F$43,""),'表3）燃料価格'!$AF$9:$AG$25,2,0)),0,VLOOKUP($I18,'表3）燃料価格'!$A$6:$U$66,VLOOKUP($F$3&amp;IF($G$4&lt;&gt;"",$G$4,"")&amp;IF($F$43&lt;&gt;"","_"&amp;$F$43,""),'表3）燃料価格'!$AF$9:$AG$25,2,0)+VLOOKUP($F$41,'表3）燃料価格'!$AF$28:$AG$29,2,0),0)*IF($F$43="需要地価格",1,$F$8/$F$141))),"")</f>
        <v>0</v>
      </c>
      <c r="AU18" s="71"/>
      <c r="AV18" s="10">
        <f t="shared" si="10"/>
        <v>0</v>
      </c>
      <c r="AW18" s="10">
        <f t="shared" si="26"/>
        <v>0</v>
      </c>
      <c r="AX18" s="71"/>
      <c r="AY18" s="7">
        <f>IF(ISERROR(IF($K18&lt;=$F$15,VLOOKUP($I18,'表4）CO2価格'!$A$7:$E$67,VLOOKUP($F$48,'表4）CO2価格'!$H$10:$I$12,2,0),0)*$F$8/1000,"")),0,IF($K18&lt;=$F$15,VLOOKUP($I18,'表4）CO2価格'!$A$7:$E$67,VLOOKUP($F$48,'表4）CO2価格'!$H$10:$I$12,2,0),0)*$F$8/1000,""))</f>
        <v>0</v>
      </c>
      <c r="AZ18" s="71"/>
      <c r="BA18" s="11">
        <f t="shared" si="11"/>
        <v>0</v>
      </c>
      <c r="BB18" s="10">
        <f t="shared" si="27"/>
        <v>0</v>
      </c>
      <c r="BC18" s="71"/>
      <c r="BD18" s="10">
        <f t="shared" si="12"/>
        <v>0</v>
      </c>
      <c r="BE18" s="10">
        <f t="shared" si="28"/>
        <v>0</v>
      </c>
      <c r="BF18" s="71"/>
      <c r="BG18" s="11">
        <f t="shared" si="13"/>
        <v>0</v>
      </c>
      <c r="BH18" s="10">
        <f t="shared" si="29"/>
        <v>0</v>
      </c>
      <c r="BJ18" s="7">
        <f t="shared" si="30"/>
        <v>0.85480419102972571</v>
      </c>
      <c r="BK18" s="158">
        <f t="shared" si="31"/>
        <v>1368456.0294194878</v>
      </c>
      <c r="BL18" s="158">
        <f t="shared" si="14"/>
        <v>321987.64267707709</v>
      </c>
      <c r="BM18" s="10"/>
      <c r="BN18" s="10">
        <f t="shared" si="32"/>
        <v>4702371.7689352985</v>
      </c>
      <c r="BO18" s="10">
        <f t="shared" si="33"/>
        <v>4177996.4111833996</v>
      </c>
      <c r="BQ18" s="10">
        <f t="shared" si="15"/>
        <v>376680</v>
      </c>
      <c r="BR18" s="10">
        <f t="shared" si="34"/>
        <v>334675.30120888172</v>
      </c>
    </row>
    <row r="19" spans="3:70" x14ac:dyDescent="0.15">
      <c r="C19" s="89" t="s">
        <v>371</v>
      </c>
      <c r="D19" s="101"/>
      <c r="E19" s="101"/>
      <c r="F19" s="89"/>
      <c r="G19" s="101"/>
      <c r="I19" s="458">
        <f t="shared" si="35"/>
        <v>2034</v>
      </c>
      <c r="J19" s="39"/>
      <c r="K19" s="39">
        <f t="shared" si="36"/>
        <v>5</v>
      </c>
      <c r="L19" s="39"/>
      <c r="M19" s="40">
        <f t="shared" si="0"/>
        <v>0.86260878438416411</v>
      </c>
      <c r="N19" s="39"/>
      <c r="O19" s="72">
        <f t="shared" si="37"/>
        <v>22764838.845883001</v>
      </c>
      <c r="P19" s="41">
        <f t="shared" si="1"/>
        <v>0.14699999999999999</v>
      </c>
      <c r="Q19" s="39"/>
      <c r="R19" s="72">
        <f t="shared" si="16"/>
        <v>25013492.716309745</v>
      </c>
      <c r="S19" s="39"/>
      <c r="T19" s="72">
        <f t="shared" si="17"/>
        <v>25013000</v>
      </c>
      <c r="U19" s="39"/>
      <c r="V19" s="72">
        <f t="shared" si="2"/>
        <v>3346431.3103448008</v>
      </c>
      <c r="W19" s="72">
        <f t="shared" si="18"/>
        <v>2886661.044641634</v>
      </c>
      <c r="X19" s="39"/>
      <c r="Y19" s="72">
        <f t="shared" si="3"/>
        <v>350100</v>
      </c>
      <c r="Z19" s="72">
        <f t="shared" si="19"/>
        <v>301999.33541289583</v>
      </c>
      <c r="AA19" s="39"/>
      <c r="AB19" s="72">
        <f t="shared" si="4"/>
        <v>0</v>
      </c>
      <c r="AC19" s="72">
        <f t="shared" si="20"/>
        <v>0</v>
      </c>
      <c r="AD19" s="39"/>
      <c r="AE19" s="72">
        <f t="shared" si="5"/>
        <v>0</v>
      </c>
      <c r="AF19" s="72">
        <f t="shared" si="21"/>
        <v>0</v>
      </c>
      <c r="AG19" s="39"/>
      <c r="AH19" s="72">
        <f t="shared" si="6"/>
        <v>1200000</v>
      </c>
      <c r="AI19" s="72">
        <f t="shared" si="22"/>
        <v>1035130.5412609969</v>
      </c>
      <c r="AJ19" s="39"/>
      <c r="AK19" s="72">
        <f t="shared" si="7"/>
        <v>0</v>
      </c>
      <c r="AL19" s="72">
        <f t="shared" si="23"/>
        <v>0</v>
      </c>
      <c r="AM19" s="39"/>
      <c r="AN19" s="72">
        <f t="shared" si="8"/>
        <v>0</v>
      </c>
      <c r="AO19" s="72">
        <f t="shared" si="24"/>
        <v>0</v>
      </c>
      <c r="AP19" s="39"/>
      <c r="AQ19" s="72">
        <f t="shared" si="9"/>
        <v>0</v>
      </c>
      <c r="AR19" s="72">
        <f t="shared" si="25"/>
        <v>0</v>
      </c>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0</v>
      </c>
      <c r="AU19" s="39"/>
      <c r="AV19" s="72">
        <f t="shared" si="10"/>
        <v>0</v>
      </c>
      <c r="AW19" s="72">
        <f t="shared" si="26"/>
        <v>0</v>
      </c>
      <c r="AX19" s="39"/>
      <c r="AY19" s="40">
        <f>IF(ISERROR(IF($K19&lt;=$F$15,VLOOKUP($I19,'表4）CO2価格'!$A$7:$E$67,VLOOKUP($F$48,'表4）CO2価格'!$H$10:$I$12,2,0),0)*$F$8/1000,"")),0,IF($K19&lt;=$F$15,VLOOKUP($I19,'表4）CO2価格'!$A$7:$E$67,VLOOKUP($F$48,'表4）CO2価格'!$H$10:$I$12,2,0),0)*$F$8/1000,""))</f>
        <v>0</v>
      </c>
      <c r="AZ19" s="39"/>
      <c r="BA19" s="42">
        <f t="shared" si="11"/>
        <v>0</v>
      </c>
      <c r="BB19" s="72">
        <f t="shared" si="27"/>
        <v>0</v>
      </c>
      <c r="BC19" s="39"/>
      <c r="BD19" s="72">
        <f t="shared" si="12"/>
        <v>0</v>
      </c>
      <c r="BE19" s="72">
        <f t="shared" si="28"/>
        <v>0</v>
      </c>
      <c r="BF19" s="39"/>
      <c r="BG19" s="42">
        <f t="shared" si="13"/>
        <v>0</v>
      </c>
      <c r="BH19" s="72">
        <f t="shared" si="29"/>
        <v>0</v>
      </c>
      <c r="BI19" s="39"/>
      <c r="BJ19" s="40">
        <f t="shared" si="30"/>
        <v>0.82192710675935154</v>
      </c>
      <c r="BK19" s="157">
        <f t="shared" si="31"/>
        <v>1274069.2081876709</v>
      </c>
      <c r="BL19" s="157">
        <f t="shared" si="14"/>
        <v>309603.50257411256</v>
      </c>
      <c r="BM19" s="72"/>
      <c r="BN19" s="72">
        <f t="shared" si="32"/>
        <v>4702371.7689352985</v>
      </c>
      <c r="BO19" s="72">
        <f t="shared" si="33"/>
        <v>4056307.1953236894</v>
      </c>
      <c r="BP19" s="39"/>
      <c r="BQ19" s="72">
        <f t="shared" si="15"/>
        <v>376680</v>
      </c>
      <c r="BR19" s="72">
        <f t="shared" si="34"/>
        <v>324927.47690182691</v>
      </c>
    </row>
    <row r="20" spans="3:70" x14ac:dyDescent="0.15">
      <c r="I20" s="459">
        <f t="shared" si="35"/>
        <v>2035</v>
      </c>
      <c r="J20" s="71"/>
      <c r="K20" s="71">
        <f t="shared" si="36"/>
        <v>6</v>
      </c>
      <c r="L20" s="71"/>
      <c r="M20" s="7">
        <f t="shared" si="0"/>
        <v>0.83748425668365445</v>
      </c>
      <c r="N20" s="71"/>
      <c r="O20" s="10">
        <f t="shared" si="37"/>
        <v>19418407.5355382</v>
      </c>
      <c r="P20" s="29">
        <f t="shared" si="1"/>
        <v>0.14699999999999999</v>
      </c>
      <c r="Q20" s="71"/>
      <c r="R20" s="10">
        <f t="shared" si="16"/>
        <v>21844937.601725992</v>
      </c>
      <c r="S20" s="71"/>
      <c r="T20" s="10">
        <f t="shared" si="17"/>
        <v>21844000</v>
      </c>
      <c r="U20" s="71"/>
      <c r="V20" s="10">
        <f t="shared" si="2"/>
        <v>2854505.9077241151</v>
      </c>
      <c r="W20" s="10">
        <f t="shared" si="18"/>
        <v>2390603.7583294306</v>
      </c>
      <c r="X20" s="71"/>
      <c r="Y20" s="10">
        <f t="shared" si="3"/>
        <v>305800</v>
      </c>
      <c r="Z20" s="10">
        <f t="shared" si="19"/>
        <v>256102.68569386154</v>
      </c>
      <c r="AA20" s="71"/>
      <c r="AB20" s="10">
        <f t="shared" si="4"/>
        <v>0</v>
      </c>
      <c r="AC20" s="10">
        <f t="shared" si="20"/>
        <v>0</v>
      </c>
      <c r="AD20" s="71"/>
      <c r="AE20" s="10">
        <f t="shared" si="5"/>
        <v>0</v>
      </c>
      <c r="AF20" s="10">
        <f t="shared" si="21"/>
        <v>0</v>
      </c>
      <c r="AG20" s="71"/>
      <c r="AH20" s="10">
        <f t="shared" si="6"/>
        <v>1200000</v>
      </c>
      <c r="AI20" s="10">
        <f t="shared" si="22"/>
        <v>1004981.1080203854</v>
      </c>
      <c r="AJ20" s="71"/>
      <c r="AK20" s="10">
        <f t="shared" si="7"/>
        <v>0</v>
      </c>
      <c r="AL20" s="10">
        <f t="shared" si="23"/>
        <v>0</v>
      </c>
      <c r="AM20" s="71"/>
      <c r="AN20" s="10">
        <f t="shared" si="8"/>
        <v>0</v>
      </c>
      <c r="AO20" s="10">
        <f t="shared" si="24"/>
        <v>0</v>
      </c>
      <c r="AP20" s="71"/>
      <c r="AQ20" s="10">
        <f t="shared" si="9"/>
        <v>0</v>
      </c>
      <c r="AR20" s="10">
        <f t="shared" si="25"/>
        <v>0</v>
      </c>
      <c r="AS20" s="71"/>
      <c r="AT20" s="7">
        <f>IF($K20&lt;=$F$15,IF($F$40&lt;&gt;"",$F$40/1000,IF(ISERROR(VLOOKUP($F$3&amp;IF($G$4&lt;&gt;"",$G$4,"")&amp;IF($F$43&lt;&gt;"","_"&amp;$F$43,""),'表3）燃料価格'!$AF$9:$AG$25,2,0)),0,VLOOKUP($I20,'表3）燃料価格'!$A$6:$U$66,VLOOKUP($F$3&amp;IF($G$4&lt;&gt;"",$G$4,"")&amp;IF($F$43&lt;&gt;"","_"&amp;$F$43,""),'表3）燃料価格'!$AF$9:$AG$25,2,0)+VLOOKUP($F$41,'表3）燃料価格'!$AF$28:$AG$29,2,0),0)*IF($F$43="需要地価格",1,$F$8/$F$141))),"")</f>
        <v>0</v>
      </c>
      <c r="AU20" s="71"/>
      <c r="AV20" s="10">
        <f t="shared" si="10"/>
        <v>0</v>
      </c>
      <c r="AW20" s="10">
        <f t="shared" si="26"/>
        <v>0</v>
      </c>
      <c r="AX20" s="71"/>
      <c r="AY20" s="7">
        <f>IF(ISERROR(IF($K20&lt;=$F$15,VLOOKUP($I20,'表4）CO2価格'!$A$7:$E$67,VLOOKUP($F$48,'表4）CO2価格'!$H$10:$I$12,2,0),0)*$F$8/1000,"")),0,IF($K20&lt;=$F$15,VLOOKUP($I20,'表4）CO2価格'!$A$7:$E$67,VLOOKUP($F$48,'表4）CO2価格'!$H$10:$I$12,2,0),0)*$F$8/1000,""))</f>
        <v>0</v>
      </c>
      <c r="AZ20" s="71"/>
      <c r="BA20" s="11">
        <f t="shared" si="11"/>
        <v>0</v>
      </c>
      <c r="BB20" s="10">
        <f t="shared" si="27"/>
        <v>0</v>
      </c>
      <c r="BC20" s="71"/>
      <c r="BD20" s="10">
        <f t="shared" si="12"/>
        <v>0</v>
      </c>
      <c r="BE20" s="10">
        <f t="shared" si="28"/>
        <v>0</v>
      </c>
      <c r="BF20" s="71"/>
      <c r="BG20" s="11">
        <f t="shared" si="13"/>
        <v>0</v>
      </c>
      <c r="BH20" s="10">
        <f t="shared" si="29"/>
        <v>0</v>
      </c>
      <c r="BJ20" s="7">
        <f t="shared" si="30"/>
        <v>0.79031452573014571</v>
      </c>
      <c r="BK20" s="158">
        <f t="shared" si="31"/>
        <v>1190055.6128444534</v>
      </c>
      <c r="BL20" s="158">
        <f t="shared" si="14"/>
        <v>297695.67555203126</v>
      </c>
      <c r="BM20" s="10"/>
      <c r="BN20" s="10">
        <f t="shared" si="32"/>
        <v>4702371.7689352985</v>
      </c>
      <c r="BO20" s="10">
        <f t="shared" si="33"/>
        <v>3938162.32555698</v>
      </c>
      <c r="BQ20" s="10">
        <f t="shared" si="15"/>
        <v>376680</v>
      </c>
      <c r="BR20" s="10">
        <f t="shared" si="34"/>
        <v>315463.56980759895</v>
      </c>
    </row>
    <row r="21" spans="3:70" x14ac:dyDescent="0.15">
      <c r="D21" s="81" t="s">
        <v>110</v>
      </c>
      <c r="F21" s="147">
        <f>'表6）太陽光・風力シナリオ'!C13</f>
        <v>17.2</v>
      </c>
      <c r="G21" s="81" t="s">
        <v>174</v>
      </c>
      <c r="I21" s="458">
        <f t="shared" si="35"/>
        <v>2036</v>
      </c>
      <c r="J21" s="39"/>
      <c r="K21" s="39">
        <f t="shared" si="36"/>
        <v>7</v>
      </c>
      <c r="L21" s="39"/>
      <c r="M21" s="40">
        <f t="shared" si="0"/>
        <v>0.81309151134335378</v>
      </c>
      <c r="N21" s="39"/>
      <c r="O21" s="72">
        <f t="shared" si="37"/>
        <v>16563901.627814084</v>
      </c>
      <c r="P21" s="41">
        <f t="shared" si="1"/>
        <v>0.14699999999999999</v>
      </c>
      <c r="Q21" s="39"/>
      <c r="R21" s="72">
        <f t="shared" si="16"/>
        <v>19077755.523208033</v>
      </c>
      <c r="S21" s="39"/>
      <c r="T21" s="72">
        <f t="shared" si="17"/>
        <v>19077000</v>
      </c>
      <c r="U21" s="39"/>
      <c r="V21" s="72">
        <f t="shared" si="2"/>
        <v>2434893.5392886703</v>
      </c>
      <c r="W21" s="72">
        <f t="shared" si="18"/>
        <v>1979791.2678203927</v>
      </c>
      <c r="X21" s="39"/>
      <c r="Y21" s="72">
        <f t="shared" si="3"/>
        <v>267000</v>
      </c>
      <c r="Z21" s="72">
        <f t="shared" si="19"/>
        <v>217095.43352867546</v>
      </c>
      <c r="AA21" s="39"/>
      <c r="AB21" s="72">
        <f t="shared" si="4"/>
        <v>0</v>
      </c>
      <c r="AC21" s="72">
        <f t="shared" si="20"/>
        <v>0</v>
      </c>
      <c r="AD21" s="39"/>
      <c r="AE21" s="72">
        <f t="shared" si="5"/>
        <v>0</v>
      </c>
      <c r="AF21" s="72">
        <f t="shared" si="21"/>
        <v>0</v>
      </c>
      <c r="AG21" s="39"/>
      <c r="AH21" s="72">
        <f t="shared" si="6"/>
        <v>1200000</v>
      </c>
      <c r="AI21" s="72">
        <f t="shared" si="22"/>
        <v>975709.81361202453</v>
      </c>
      <c r="AJ21" s="39"/>
      <c r="AK21" s="72">
        <f t="shared" si="7"/>
        <v>0</v>
      </c>
      <c r="AL21" s="72">
        <f t="shared" si="23"/>
        <v>0</v>
      </c>
      <c r="AM21" s="39"/>
      <c r="AN21" s="72">
        <f t="shared" si="8"/>
        <v>0</v>
      </c>
      <c r="AO21" s="72">
        <f t="shared" si="24"/>
        <v>0</v>
      </c>
      <c r="AP21" s="39"/>
      <c r="AQ21" s="72">
        <f t="shared" si="9"/>
        <v>0</v>
      </c>
      <c r="AR21" s="72">
        <f t="shared" si="25"/>
        <v>0</v>
      </c>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0</v>
      </c>
      <c r="AU21" s="39"/>
      <c r="AV21" s="72">
        <f t="shared" si="10"/>
        <v>0</v>
      </c>
      <c r="AW21" s="72">
        <f t="shared" si="26"/>
        <v>0</v>
      </c>
      <c r="AX21" s="39"/>
      <c r="AY21" s="40">
        <f>IF(ISERROR(IF($K21&lt;=$F$15,VLOOKUP($I21,'表4）CO2価格'!$A$7:$E$67,VLOOKUP($F$48,'表4）CO2価格'!$H$10:$I$12,2,0),0)*$F$8/1000,"")),0,IF($K21&lt;=$F$15,VLOOKUP($I21,'表4）CO2価格'!$A$7:$E$67,VLOOKUP($F$48,'表4）CO2価格'!$H$10:$I$12,2,0),0)*$F$8/1000,""))</f>
        <v>0</v>
      </c>
      <c r="AZ21" s="39"/>
      <c r="BA21" s="42">
        <f t="shared" si="11"/>
        <v>0</v>
      </c>
      <c r="BB21" s="72">
        <f t="shared" si="27"/>
        <v>0</v>
      </c>
      <c r="BC21" s="39"/>
      <c r="BD21" s="72">
        <f t="shared" si="12"/>
        <v>0</v>
      </c>
      <c r="BE21" s="72">
        <f t="shared" si="28"/>
        <v>0</v>
      </c>
      <c r="BF21" s="39"/>
      <c r="BG21" s="42">
        <f t="shared" si="13"/>
        <v>0</v>
      </c>
      <c r="BH21" s="72">
        <f t="shared" si="29"/>
        <v>0</v>
      </c>
      <c r="BI21" s="39"/>
      <c r="BJ21" s="40">
        <f t="shared" si="30"/>
        <v>0.75991781320206331</v>
      </c>
      <c r="BK21" s="157">
        <f t="shared" si="31"/>
        <v>1114799.4319674268</v>
      </c>
      <c r="BL21" s="157">
        <f t="shared" si="14"/>
        <v>286245.8418769532</v>
      </c>
      <c r="BM21" s="72"/>
      <c r="BN21" s="72">
        <f t="shared" si="32"/>
        <v>4702371.7689352985</v>
      </c>
      <c r="BO21" s="72">
        <f t="shared" si="33"/>
        <v>3823458.5685019218</v>
      </c>
      <c r="BP21" s="39"/>
      <c r="BQ21" s="72">
        <f t="shared" si="15"/>
        <v>376680</v>
      </c>
      <c r="BR21" s="72">
        <f t="shared" si="34"/>
        <v>306275.31049281452</v>
      </c>
    </row>
    <row r="22" spans="3:70" ht="16.5" x14ac:dyDescent="0.15">
      <c r="D22" s="81" t="s">
        <v>111</v>
      </c>
      <c r="F22" s="90"/>
      <c r="G22" s="9" t="s">
        <v>372</v>
      </c>
      <c r="I22" s="459">
        <f t="shared" si="35"/>
        <v>2037</v>
      </c>
      <c r="J22" s="71"/>
      <c r="K22" s="71">
        <f t="shared" si="36"/>
        <v>8</v>
      </c>
      <c r="L22" s="71"/>
      <c r="M22" s="7">
        <f t="shared" si="0"/>
        <v>0.78940923431393573</v>
      </c>
      <c r="N22" s="71"/>
      <c r="O22" s="10">
        <f t="shared" si="37"/>
        <v>14129008.088525414</v>
      </c>
      <c r="P22" s="29">
        <f t="shared" si="1"/>
        <v>0.14699999999999999</v>
      </c>
      <c r="Q22" s="71"/>
      <c r="R22" s="10">
        <f t="shared" si="16"/>
        <v>16661103.017961364</v>
      </c>
      <c r="S22" s="71"/>
      <c r="T22" s="10">
        <f t="shared" si="17"/>
        <v>16661000</v>
      </c>
      <c r="U22" s="71"/>
      <c r="V22" s="10">
        <f t="shared" si="2"/>
        <v>2076964.1890132357</v>
      </c>
      <c r="W22" s="10">
        <f t="shared" si="18"/>
        <v>1639574.7101464029</v>
      </c>
      <c r="X22" s="71"/>
      <c r="Y22" s="10">
        <f t="shared" si="3"/>
        <v>233200</v>
      </c>
      <c r="Z22" s="10">
        <f t="shared" si="19"/>
        <v>184090.23344200981</v>
      </c>
      <c r="AA22" s="71"/>
      <c r="AB22" s="10">
        <f t="shared" si="4"/>
        <v>0</v>
      </c>
      <c r="AC22" s="10">
        <f t="shared" si="20"/>
        <v>0</v>
      </c>
      <c r="AD22" s="71"/>
      <c r="AE22" s="10">
        <f t="shared" si="5"/>
        <v>0</v>
      </c>
      <c r="AF22" s="10">
        <f t="shared" si="21"/>
        <v>0</v>
      </c>
      <c r="AG22" s="71"/>
      <c r="AH22" s="10">
        <f t="shared" si="6"/>
        <v>1200000</v>
      </c>
      <c r="AI22" s="10">
        <f t="shared" si="22"/>
        <v>947291.08117672289</v>
      </c>
      <c r="AJ22" s="71"/>
      <c r="AK22" s="10">
        <f t="shared" si="7"/>
        <v>0</v>
      </c>
      <c r="AL22" s="10">
        <f t="shared" si="23"/>
        <v>0</v>
      </c>
      <c r="AM22" s="71"/>
      <c r="AN22" s="10">
        <f t="shared" si="8"/>
        <v>0</v>
      </c>
      <c r="AO22" s="10">
        <f t="shared" si="24"/>
        <v>0</v>
      </c>
      <c r="AP22" s="71"/>
      <c r="AQ22" s="10">
        <f t="shared" si="9"/>
        <v>0</v>
      </c>
      <c r="AR22" s="10">
        <f t="shared" si="25"/>
        <v>0</v>
      </c>
      <c r="AS22" s="71"/>
      <c r="AT22" s="7">
        <f>IF($K22&lt;=$F$15,IF($F$40&lt;&gt;"",$F$40/1000,IF(ISERROR(VLOOKUP($F$3&amp;IF($G$4&lt;&gt;"",$G$4,"")&amp;IF($F$43&lt;&gt;"","_"&amp;$F$43,""),'表3）燃料価格'!$AF$9:$AG$25,2,0)),0,VLOOKUP($I22,'表3）燃料価格'!$A$6:$U$66,VLOOKUP($F$3&amp;IF($G$4&lt;&gt;"",$G$4,"")&amp;IF($F$43&lt;&gt;"","_"&amp;$F$43,""),'表3）燃料価格'!$AF$9:$AG$25,2,0)+VLOOKUP($F$41,'表3）燃料価格'!$AF$28:$AG$29,2,0),0)*IF($F$43="需要地価格",1,$F$8/$F$141))),"")</f>
        <v>0</v>
      </c>
      <c r="AU22" s="71"/>
      <c r="AV22" s="10">
        <f t="shared" si="10"/>
        <v>0</v>
      </c>
      <c r="AW22" s="10">
        <f t="shared" si="26"/>
        <v>0</v>
      </c>
      <c r="AX22" s="71"/>
      <c r="AY22" s="7">
        <f>IF(ISERROR(IF($K22&lt;=$F$15,VLOOKUP($I22,'表4）CO2価格'!$A$7:$E$67,VLOOKUP($F$48,'表4）CO2価格'!$H$10:$I$12,2,0),0)*$F$8/1000,"")),0,IF($K22&lt;=$F$15,VLOOKUP($I22,'表4）CO2価格'!$A$7:$E$67,VLOOKUP($F$48,'表4）CO2価格'!$H$10:$I$12,2,0),0)*$F$8/1000,""))</f>
        <v>0</v>
      </c>
      <c r="AZ22" s="71"/>
      <c r="BA22" s="11">
        <f t="shared" si="11"/>
        <v>0</v>
      </c>
      <c r="BB22" s="10">
        <f t="shared" si="27"/>
        <v>0</v>
      </c>
      <c r="BC22" s="71"/>
      <c r="BD22" s="10">
        <f t="shared" si="12"/>
        <v>0</v>
      </c>
      <c r="BE22" s="10">
        <f t="shared" si="28"/>
        <v>0</v>
      </c>
      <c r="BF22" s="71"/>
      <c r="BG22" s="11">
        <f t="shared" si="13"/>
        <v>0</v>
      </c>
      <c r="BH22" s="10">
        <f t="shared" si="29"/>
        <v>0</v>
      </c>
      <c r="BJ22" s="7">
        <f t="shared" si="30"/>
        <v>0.73069020500198378</v>
      </c>
      <c r="BK22" s="158">
        <f t="shared" si="31"/>
        <v>1047225.2018088432</v>
      </c>
      <c r="BL22" s="158">
        <f t="shared" si="14"/>
        <v>275236.38642014726</v>
      </c>
      <c r="BM22" s="10"/>
      <c r="BN22" s="10">
        <f t="shared" si="32"/>
        <v>4702371.7689352985</v>
      </c>
      <c r="BO22" s="10">
        <f t="shared" si="33"/>
        <v>3712095.6975746816</v>
      </c>
      <c r="BQ22" s="10">
        <f t="shared" si="15"/>
        <v>376680</v>
      </c>
      <c r="BR22" s="10">
        <f t="shared" si="34"/>
        <v>297354.67038137332</v>
      </c>
    </row>
    <row r="23" spans="3:70" x14ac:dyDescent="0.15">
      <c r="D23" s="81" t="s">
        <v>112</v>
      </c>
      <c r="F23" s="147"/>
      <c r="G23" s="81" t="s">
        <v>172</v>
      </c>
      <c r="I23" s="458">
        <f t="shared" si="35"/>
        <v>2038</v>
      </c>
      <c r="J23" s="39"/>
      <c r="K23" s="39">
        <f t="shared" si="36"/>
        <v>9</v>
      </c>
      <c r="L23" s="39"/>
      <c r="M23" s="40">
        <f t="shared" si="0"/>
        <v>0.76641673234362695</v>
      </c>
      <c r="N23" s="39"/>
      <c r="O23" s="72">
        <f t="shared" si="37"/>
        <v>12052043.899512179</v>
      </c>
      <c r="P23" s="41">
        <f t="shared" si="1"/>
        <v>0.14699999999999999</v>
      </c>
      <c r="Q23" s="39"/>
      <c r="R23" s="72">
        <f t="shared" si="16"/>
        <v>14550577.159741407</v>
      </c>
      <c r="S23" s="39"/>
      <c r="T23" s="72">
        <f t="shared" si="17"/>
        <v>14550000</v>
      </c>
      <c r="U23" s="39"/>
      <c r="V23" s="72">
        <f t="shared" si="2"/>
        <v>1771650.4532282902</v>
      </c>
      <c r="W23" s="72">
        <f t="shared" si="18"/>
        <v>1357822.5512183318</v>
      </c>
      <c r="X23" s="39"/>
      <c r="Y23" s="72">
        <f t="shared" si="3"/>
        <v>203700</v>
      </c>
      <c r="Z23" s="72">
        <f t="shared" si="19"/>
        <v>156119.08837839682</v>
      </c>
      <c r="AA23" s="39"/>
      <c r="AB23" s="72">
        <f t="shared" si="4"/>
        <v>0</v>
      </c>
      <c r="AC23" s="72">
        <f t="shared" si="20"/>
        <v>0</v>
      </c>
      <c r="AD23" s="39"/>
      <c r="AE23" s="72">
        <f t="shared" si="5"/>
        <v>0</v>
      </c>
      <c r="AF23" s="72">
        <f t="shared" si="21"/>
        <v>0</v>
      </c>
      <c r="AG23" s="39"/>
      <c r="AH23" s="72">
        <f>IF($K23&lt;=$F$15,$F$33*10^4*$F$13*10^4,"")</f>
        <v>1200000</v>
      </c>
      <c r="AI23" s="72">
        <f t="shared" si="22"/>
        <v>919700.07881235238</v>
      </c>
      <c r="AJ23" s="39"/>
      <c r="AK23" s="72">
        <f t="shared" si="7"/>
        <v>0</v>
      </c>
      <c r="AL23" s="72">
        <f t="shared" si="23"/>
        <v>0</v>
      </c>
      <c r="AM23" s="39"/>
      <c r="AN23" s="72">
        <f t="shared" si="8"/>
        <v>0</v>
      </c>
      <c r="AO23" s="72">
        <f t="shared" si="24"/>
        <v>0</v>
      </c>
      <c r="AP23" s="39"/>
      <c r="AQ23" s="72">
        <f t="shared" si="9"/>
        <v>0</v>
      </c>
      <c r="AR23" s="72">
        <f t="shared" si="25"/>
        <v>0</v>
      </c>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0</v>
      </c>
      <c r="AU23" s="39"/>
      <c r="AV23" s="72">
        <f t="shared" si="10"/>
        <v>0</v>
      </c>
      <c r="AW23" s="72">
        <f t="shared" si="26"/>
        <v>0</v>
      </c>
      <c r="AX23" s="39"/>
      <c r="AY23" s="40">
        <f>IF(ISERROR(IF($K23&lt;=$F$15,VLOOKUP($I23,'表4）CO2価格'!$A$7:$E$67,VLOOKUP($F$48,'表4）CO2価格'!$H$10:$I$12,2,0),0)*$F$8/1000,"")),0,IF($K23&lt;=$F$15,VLOOKUP($I23,'表4）CO2価格'!$A$7:$E$67,VLOOKUP($F$48,'表4）CO2価格'!$H$10:$I$12,2,0),0)*$F$8/1000,""))</f>
        <v>0</v>
      </c>
      <c r="AZ23" s="39"/>
      <c r="BA23" s="42">
        <f t="shared" si="11"/>
        <v>0</v>
      </c>
      <c r="BB23" s="72">
        <f t="shared" si="27"/>
        <v>0</v>
      </c>
      <c r="BC23" s="39"/>
      <c r="BD23" s="72">
        <f t="shared" si="12"/>
        <v>0</v>
      </c>
      <c r="BE23" s="72">
        <f t="shared" si="28"/>
        <v>0</v>
      </c>
      <c r="BF23" s="39"/>
      <c r="BG23" s="42">
        <f t="shared" si="13"/>
        <v>0</v>
      </c>
      <c r="BH23" s="72">
        <f t="shared" si="29"/>
        <v>0</v>
      </c>
      <c r="BI23" s="39"/>
      <c r="BJ23" s="40">
        <f t="shared" si="30"/>
        <v>0.70258673557883045</v>
      </c>
      <c r="BK23" s="157">
        <f t="shared" si="31"/>
        <v>986221.00073200429</v>
      </c>
      <c r="BL23" s="157">
        <f t="shared" si="14"/>
        <v>264650.37155783386</v>
      </c>
      <c r="BM23" s="72"/>
      <c r="BN23" s="72">
        <f t="shared" si="32"/>
        <v>4702371.7689352985</v>
      </c>
      <c r="BO23" s="72">
        <f t="shared" si="33"/>
        <v>3603976.4054123121</v>
      </c>
      <c r="BP23" s="39"/>
      <c r="BQ23" s="72">
        <f t="shared" si="15"/>
        <v>376680</v>
      </c>
      <c r="BR23" s="72">
        <f t="shared" si="34"/>
        <v>288693.85473919741</v>
      </c>
    </row>
    <row r="24" spans="3:70" x14ac:dyDescent="0.15">
      <c r="D24" s="81" t="s">
        <v>113</v>
      </c>
      <c r="F24" s="68">
        <v>0</v>
      </c>
      <c r="G24" s="81" t="s">
        <v>172</v>
      </c>
      <c r="I24" s="459">
        <f t="shared" si="35"/>
        <v>2039</v>
      </c>
      <c r="J24" s="71"/>
      <c r="K24" s="71">
        <f t="shared" si="36"/>
        <v>10</v>
      </c>
      <c r="L24" s="71"/>
      <c r="M24" s="7">
        <f t="shared" si="0"/>
        <v>0.74409391489672516</v>
      </c>
      <c r="N24" s="71"/>
      <c r="O24" s="10">
        <f t="shared" si="37"/>
        <v>10280393.446283888</v>
      </c>
      <c r="P24" s="29">
        <f t="shared" si="1"/>
        <v>0.14699999999999999</v>
      </c>
      <c r="Q24" s="71"/>
      <c r="R24" s="10">
        <f t="shared" si="16"/>
        <v>12707399.711372415</v>
      </c>
      <c r="S24" s="71"/>
      <c r="T24" s="10">
        <f t="shared" si="17"/>
        <v>12707000</v>
      </c>
      <c r="U24" s="71"/>
      <c r="V24" s="10">
        <f t="shared" si="2"/>
        <v>1511217.8366037314</v>
      </c>
      <c r="W24" s="10">
        <f t="shared" si="18"/>
        <v>1124487.99630023</v>
      </c>
      <c r="X24" s="71"/>
      <c r="Y24" s="10">
        <f t="shared" si="3"/>
        <v>177800</v>
      </c>
      <c r="Z24" s="10">
        <f t="shared" si="19"/>
        <v>132299.89806863773</v>
      </c>
      <c r="AA24" s="71"/>
      <c r="AB24" s="10">
        <f t="shared" si="4"/>
        <v>0</v>
      </c>
      <c r="AC24" s="10">
        <f t="shared" si="20"/>
        <v>0</v>
      </c>
      <c r="AD24" s="71"/>
      <c r="AE24" s="10">
        <f t="shared" si="5"/>
        <v>0</v>
      </c>
      <c r="AF24" s="10">
        <f t="shared" si="21"/>
        <v>0</v>
      </c>
      <c r="AG24" s="71"/>
      <c r="AH24" s="10">
        <f t="shared" si="6"/>
        <v>1200000</v>
      </c>
      <c r="AI24" s="10">
        <f t="shared" si="22"/>
        <v>892912.69787607016</v>
      </c>
      <c r="AJ24" s="71"/>
      <c r="AK24" s="10">
        <f t="shared" si="7"/>
        <v>0</v>
      </c>
      <c r="AL24" s="10">
        <f t="shared" si="23"/>
        <v>0</v>
      </c>
      <c r="AM24" s="71"/>
      <c r="AN24" s="10">
        <f t="shared" si="8"/>
        <v>0</v>
      </c>
      <c r="AO24" s="10">
        <f t="shared" si="24"/>
        <v>0</v>
      </c>
      <c r="AP24" s="71"/>
      <c r="AQ24" s="10">
        <f t="shared" si="9"/>
        <v>0</v>
      </c>
      <c r="AR24" s="10">
        <f t="shared" si="25"/>
        <v>0</v>
      </c>
      <c r="AS24" s="71"/>
      <c r="AT24" s="7">
        <f>IF($K24&lt;=$F$15,IF($F$40&lt;&gt;"",$F$40/1000,IF(ISERROR(VLOOKUP($F$3&amp;IF($G$4&lt;&gt;"",$G$4,"")&amp;IF($F$43&lt;&gt;"","_"&amp;$F$43,""),'表3）燃料価格'!$AF$9:$AG$25,2,0)),0,VLOOKUP($I24,'表3）燃料価格'!$A$6:$U$66,VLOOKUP($F$3&amp;IF($G$4&lt;&gt;"",$G$4,"")&amp;IF($F$43&lt;&gt;"","_"&amp;$F$43,""),'表3）燃料価格'!$AF$9:$AG$25,2,0)+VLOOKUP($F$41,'表3）燃料価格'!$AF$28:$AG$29,2,0),0)*IF($F$43="需要地価格",1,$F$8/$F$141))),"")</f>
        <v>0</v>
      </c>
      <c r="AU24" s="71"/>
      <c r="AV24" s="10">
        <f t="shared" si="10"/>
        <v>0</v>
      </c>
      <c r="AW24" s="10">
        <f t="shared" si="26"/>
        <v>0</v>
      </c>
      <c r="AX24" s="71"/>
      <c r="AY24" s="7">
        <f>IF(ISERROR(IF($K24&lt;=$F$15,VLOOKUP($I24,'表4）CO2価格'!$A$7:$E$67,VLOOKUP($F$48,'表4）CO2価格'!$H$10:$I$12,2,0),0)*$F$8/1000,"")),0,IF($K24&lt;=$F$15,VLOOKUP($I24,'表4）CO2価格'!$A$7:$E$67,VLOOKUP($F$48,'表4）CO2価格'!$H$10:$I$12,2,0),0)*$F$8/1000,""))</f>
        <v>0</v>
      </c>
      <c r="AZ24" s="71"/>
      <c r="BA24" s="11">
        <f t="shared" si="11"/>
        <v>0</v>
      </c>
      <c r="BB24" s="10">
        <f t="shared" si="27"/>
        <v>0</v>
      </c>
      <c r="BC24" s="71"/>
      <c r="BD24" s="10">
        <f t="shared" si="12"/>
        <v>0</v>
      </c>
      <c r="BE24" s="10">
        <f t="shared" si="28"/>
        <v>0</v>
      </c>
      <c r="BF24" s="71"/>
      <c r="BG24" s="11">
        <f t="shared" si="13"/>
        <v>0</v>
      </c>
      <c r="BH24" s="10">
        <f t="shared" si="29"/>
        <v>0</v>
      </c>
      <c r="BJ24" s="7">
        <f t="shared" si="30"/>
        <v>0.67556416882579851</v>
      </c>
      <c r="BK24" s="158">
        <f t="shared" si="31"/>
        <v>930792.31180818519</v>
      </c>
      <c r="BL24" s="158">
        <f t="shared" si="14"/>
        <v>254471.51111330179</v>
      </c>
      <c r="BM24" s="10"/>
      <c r="BN24" s="10">
        <f t="shared" si="32"/>
        <v>4702371.7689352985</v>
      </c>
      <c r="BO24" s="10">
        <f t="shared" si="33"/>
        <v>3499006.218846905</v>
      </c>
      <c r="BQ24" s="10">
        <f t="shared" si="15"/>
        <v>376680</v>
      </c>
      <c r="BR24" s="10">
        <f t="shared" si="34"/>
        <v>280285.29586329841</v>
      </c>
    </row>
    <row r="25" spans="3:70" x14ac:dyDescent="0.15">
      <c r="D25" s="81" t="s">
        <v>114</v>
      </c>
      <c r="F25" s="66">
        <v>1.4</v>
      </c>
      <c r="G25" s="81" t="s">
        <v>172</v>
      </c>
      <c r="I25" s="458">
        <f t="shared" si="35"/>
        <v>2040</v>
      </c>
      <c r="J25" s="39"/>
      <c r="K25" s="39">
        <f t="shared" si="36"/>
        <v>11</v>
      </c>
      <c r="L25" s="39"/>
      <c r="M25" s="40">
        <f t="shared" si="0"/>
        <v>0.72242127659876232</v>
      </c>
      <c r="N25" s="39"/>
      <c r="O25" s="72">
        <f t="shared" si="37"/>
        <v>8769175.6096801572</v>
      </c>
      <c r="P25" s="41">
        <f t="shared" si="1"/>
        <v>0.14699999999999999</v>
      </c>
      <c r="Q25" s="39"/>
      <c r="R25" s="72">
        <f t="shared" si="16"/>
        <v>11097704.623797722</v>
      </c>
      <c r="S25" s="39"/>
      <c r="T25" s="72">
        <f t="shared" si="17"/>
        <v>11097000</v>
      </c>
      <c r="U25" s="39"/>
      <c r="V25" s="72">
        <f t="shared" si="2"/>
        <v>1289068.8146229831</v>
      </c>
      <c r="W25" s="72">
        <f t="shared" si="18"/>
        <v>931250.7386835888</v>
      </c>
      <c r="X25" s="39"/>
      <c r="Y25" s="72">
        <f t="shared" si="3"/>
        <v>155300</v>
      </c>
      <c r="Z25" s="72">
        <f t="shared" si="19"/>
        <v>112192.02425578779</v>
      </c>
      <c r="AA25" s="39"/>
      <c r="AB25" s="72">
        <f t="shared" si="4"/>
        <v>0</v>
      </c>
      <c r="AC25" s="72">
        <f t="shared" si="20"/>
        <v>0</v>
      </c>
      <c r="AD25" s="39"/>
      <c r="AE25" s="72">
        <f t="shared" si="5"/>
        <v>0</v>
      </c>
      <c r="AF25" s="72">
        <f t="shared" si="21"/>
        <v>0</v>
      </c>
      <c r="AG25" s="39"/>
      <c r="AH25" s="72">
        <f t="shared" si="6"/>
        <v>1200000</v>
      </c>
      <c r="AI25" s="72">
        <f t="shared" si="22"/>
        <v>866905.53191851475</v>
      </c>
      <c r="AJ25" s="39"/>
      <c r="AK25" s="72">
        <f t="shared" si="7"/>
        <v>0</v>
      </c>
      <c r="AL25" s="72">
        <f t="shared" si="23"/>
        <v>0</v>
      </c>
      <c r="AM25" s="39"/>
      <c r="AN25" s="72">
        <f t="shared" si="8"/>
        <v>0</v>
      </c>
      <c r="AO25" s="72">
        <f t="shared" si="24"/>
        <v>0</v>
      </c>
      <c r="AP25" s="39"/>
      <c r="AQ25" s="72">
        <f t="shared" si="9"/>
        <v>0</v>
      </c>
      <c r="AR25" s="72">
        <f t="shared" si="25"/>
        <v>0</v>
      </c>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0</v>
      </c>
      <c r="AU25" s="39"/>
      <c r="AV25" s="72">
        <f t="shared" si="10"/>
        <v>0</v>
      </c>
      <c r="AW25" s="72">
        <f t="shared" si="26"/>
        <v>0</v>
      </c>
      <c r="AX25" s="39"/>
      <c r="AY25" s="40">
        <f>IF(ISERROR(IF($K25&lt;=$F$15,VLOOKUP($I25,'表4）CO2価格'!$A$7:$E$67,VLOOKUP($F$48,'表4）CO2価格'!$H$10:$I$12,2,0),0)*$F$8/1000,"")),0,IF($K25&lt;=$F$15,VLOOKUP($I25,'表4）CO2価格'!$A$7:$E$67,VLOOKUP($F$48,'表4）CO2価格'!$H$10:$I$12,2,0),0)*$F$8/1000,""))</f>
        <v>0</v>
      </c>
      <c r="AZ25" s="39"/>
      <c r="BA25" s="42">
        <f t="shared" si="11"/>
        <v>0</v>
      </c>
      <c r="BB25" s="72">
        <f t="shared" si="27"/>
        <v>0</v>
      </c>
      <c r="BC25" s="39"/>
      <c r="BD25" s="72">
        <f t="shared" si="12"/>
        <v>0</v>
      </c>
      <c r="BE25" s="72">
        <f t="shared" si="28"/>
        <v>0</v>
      </c>
      <c r="BF25" s="39"/>
      <c r="BG25" s="42">
        <f t="shared" si="13"/>
        <v>0</v>
      </c>
      <c r="BH25" s="72">
        <f t="shared" si="29"/>
        <v>0</v>
      </c>
      <c r="BI25" s="39"/>
      <c r="BJ25" s="40">
        <f t="shared" si="30"/>
        <v>0.6495809315632679</v>
      </c>
      <c r="BK25" s="157">
        <f t="shared" si="31"/>
        <v>880377.03654769703</v>
      </c>
      <c r="BL25" s="157">
        <f t="shared" si="14"/>
        <v>244684.14530125176</v>
      </c>
      <c r="BM25" s="72"/>
      <c r="BN25" s="72">
        <f t="shared" si="32"/>
        <v>4702371.7689352985</v>
      </c>
      <c r="BO25" s="72">
        <f t="shared" si="33"/>
        <v>3397093.4163562185</v>
      </c>
      <c r="BP25" s="39"/>
      <c r="BQ25" s="72">
        <f t="shared" si="15"/>
        <v>376680</v>
      </c>
      <c r="BR25" s="72">
        <f t="shared" si="34"/>
        <v>272121.6464692218</v>
      </c>
    </row>
    <row r="26" spans="3:70" x14ac:dyDescent="0.15">
      <c r="D26" s="81" t="s">
        <v>115</v>
      </c>
      <c r="F26" s="59"/>
      <c r="G26" s="81" t="s">
        <v>175</v>
      </c>
      <c r="I26" s="459">
        <f t="shared" si="35"/>
        <v>2041</v>
      </c>
      <c r="J26" s="71"/>
      <c r="K26" s="71">
        <f t="shared" si="36"/>
        <v>12</v>
      </c>
      <c r="L26" s="71"/>
      <c r="M26" s="7">
        <f t="shared" si="0"/>
        <v>0.70137988019297326</v>
      </c>
      <c r="N26" s="71"/>
      <c r="O26" s="10">
        <f t="shared" si="37"/>
        <v>7480106.7950571738</v>
      </c>
      <c r="P26" s="29">
        <f t="shared" si="1"/>
        <v>0.16700000000000001</v>
      </c>
      <c r="Q26" s="71"/>
      <c r="R26" s="10">
        <f t="shared" si="16"/>
        <v>9691915.7903596014</v>
      </c>
      <c r="S26" s="71"/>
      <c r="T26" s="10">
        <f t="shared" si="17"/>
        <v>9691000</v>
      </c>
      <c r="U26" s="71"/>
      <c r="V26" s="10">
        <f t="shared" si="2"/>
        <v>1249177.8347745482</v>
      </c>
      <c r="W26" s="10">
        <f t="shared" si="18"/>
        <v>876148.20009389031</v>
      </c>
      <c r="X26" s="71"/>
      <c r="Y26" s="10">
        <f t="shared" si="3"/>
        <v>135600</v>
      </c>
      <c r="Z26" s="10">
        <f t="shared" si="19"/>
        <v>95107.11175416717</v>
      </c>
      <c r="AA26" s="71"/>
      <c r="AB26" s="10">
        <f t="shared" si="4"/>
        <v>0</v>
      </c>
      <c r="AC26" s="10">
        <f t="shared" si="20"/>
        <v>0</v>
      </c>
      <c r="AD26" s="71"/>
      <c r="AE26" s="10">
        <f t="shared" si="5"/>
        <v>0</v>
      </c>
      <c r="AF26" s="10">
        <f t="shared" si="21"/>
        <v>0</v>
      </c>
      <c r="AG26" s="71"/>
      <c r="AH26" s="10">
        <f t="shared" si="6"/>
        <v>1200000</v>
      </c>
      <c r="AI26" s="10">
        <f t="shared" si="22"/>
        <v>841655.85623156792</v>
      </c>
      <c r="AJ26" s="71"/>
      <c r="AK26" s="10">
        <f t="shared" si="7"/>
        <v>0</v>
      </c>
      <c r="AL26" s="10">
        <f t="shared" si="23"/>
        <v>0</v>
      </c>
      <c r="AM26" s="71"/>
      <c r="AN26" s="10">
        <f t="shared" si="8"/>
        <v>0</v>
      </c>
      <c r="AO26" s="10">
        <f t="shared" si="24"/>
        <v>0</v>
      </c>
      <c r="AP26" s="71"/>
      <c r="AQ26" s="10">
        <f t="shared" si="9"/>
        <v>0</v>
      </c>
      <c r="AR26" s="10">
        <f t="shared" si="25"/>
        <v>0</v>
      </c>
      <c r="AS26" s="71"/>
      <c r="AT26" s="7">
        <f>IF($K26&lt;=$F$15,IF($F$40&lt;&gt;"",$F$40/1000,IF(ISERROR(VLOOKUP($F$3&amp;IF($G$4&lt;&gt;"",$G$4,"")&amp;IF($F$43&lt;&gt;"","_"&amp;$F$43,""),'表3）燃料価格'!$AF$9:$AG$25,2,0)),0,VLOOKUP($I26,'表3）燃料価格'!$A$6:$U$66,VLOOKUP($F$3&amp;IF($G$4&lt;&gt;"",$G$4,"")&amp;IF($F$43&lt;&gt;"","_"&amp;$F$43,""),'表3）燃料価格'!$AF$9:$AG$25,2,0)+VLOOKUP($F$41,'表3）燃料価格'!$AF$28:$AG$29,2,0),0)*IF($F$43="需要地価格",1,$F$8/$F$141))),"")</f>
        <v>0</v>
      </c>
      <c r="AU26" s="71"/>
      <c r="AV26" s="10">
        <f t="shared" si="10"/>
        <v>0</v>
      </c>
      <c r="AW26" s="10">
        <f t="shared" si="26"/>
        <v>0</v>
      </c>
      <c r="AX26" s="71"/>
      <c r="AY26" s="7">
        <f>IF(ISERROR(IF($K26&lt;=$F$15,VLOOKUP($I26,'表4）CO2価格'!$A$7:$E$67,VLOOKUP($F$48,'表4）CO2価格'!$H$10:$I$12,2,0),0)*$F$8/1000,"")),0,IF($K26&lt;=$F$15,VLOOKUP($I26,'表4）CO2価格'!$A$7:$E$67,VLOOKUP($F$48,'表4）CO2価格'!$H$10:$I$12,2,0),0)*$F$8/1000,""))</f>
        <v>0</v>
      </c>
      <c r="AZ26" s="71"/>
      <c r="BA26" s="11">
        <f t="shared" si="11"/>
        <v>0</v>
      </c>
      <c r="BB26" s="10">
        <f t="shared" si="27"/>
        <v>0</v>
      </c>
      <c r="BC26" s="71"/>
      <c r="BD26" s="10">
        <f t="shared" si="12"/>
        <v>0</v>
      </c>
      <c r="BE26" s="10">
        <f t="shared" si="28"/>
        <v>0</v>
      </c>
      <c r="BF26" s="71"/>
      <c r="BG26" s="11">
        <f t="shared" si="13"/>
        <v>0</v>
      </c>
      <c r="BH26" s="10">
        <f t="shared" si="29"/>
        <v>0</v>
      </c>
      <c r="BJ26" s="7">
        <f t="shared" si="30"/>
        <v>0.62459704958006512</v>
      </c>
      <c r="BK26" s="158">
        <f t="shared" si="31"/>
        <v>834211.81941913499</v>
      </c>
      <c r="BL26" s="158">
        <f t="shared" si="14"/>
        <v>235273.21663581894</v>
      </c>
      <c r="BM26" s="10"/>
      <c r="BN26" s="10">
        <f t="shared" si="32"/>
        <v>4702371.7689352985</v>
      </c>
      <c r="BO26" s="10">
        <f t="shared" si="33"/>
        <v>3298148.9479186595</v>
      </c>
      <c r="BQ26" s="10">
        <f t="shared" si="15"/>
        <v>376680</v>
      </c>
      <c r="BR26" s="10">
        <f t="shared" si="34"/>
        <v>264195.77327108919</v>
      </c>
    </row>
    <row r="27" spans="3:70" x14ac:dyDescent="0.15">
      <c r="D27" s="82" t="s">
        <v>86</v>
      </c>
      <c r="F27" s="250">
        <f>1*F13</f>
        <v>2.5000000000000001E-2</v>
      </c>
      <c r="G27" s="81" t="s">
        <v>176</v>
      </c>
      <c r="I27" s="458">
        <f t="shared" si="35"/>
        <v>2042</v>
      </c>
      <c r="J27" s="39"/>
      <c r="K27" s="39">
        <f t="shared" si="36"/>
        <v>13</v>
      </c>
      <c r="L27" s="39"/>
      <c r="M27" s="40">
        <f t="shared" si="0"/>
        <v>0.68095133999317792</v>
      </c>
      <c r="N27" s="39"/>
      <c r="O27" s="72">
        <f t="shared" si="37"/>
        <v>6230928.9602826256</v>
      </c>
      <c r="P27" s="41" t="str">
        <f t="shared" si="1"/>
        <v>-</v>
      </c>
      <c r="Q27" s="39"/>
      <c r="R27" s="72">
        <f t="shared" si="16"/>
        <v>8464203.6233324334</v>
      </c>
      <c r="S27" s="39"/>
      <c r="T27" s="72">
        <f t="shared" si="17"/>
        <v>8464000</v>
      </c>
      <c r="U27" s="39"/>
      <c r="V27" s="72">
        <f t="shared" si="2"/>
        <v>1249177.8347745482</v>
      </c>
      <c r="W27" s="72">
        <f t="shared" si="18"/>
        <v>850629.32047950523</v>
      </c>
      <c r="X27" s="39"/>
      <c r="Y27" s="72">
        <f t="shared" si="3"/>
        <v>118400</v>
      </c>
      <c r="Z27" s="72">
        <f t="shared" si="19"/>
        <v>80624.638655192262</v>
      </c>
      <c r="AA27" s="39"/>
      <c r="AB27" s="72">
        <f t="shared" si="4"/>
        <v>0</v>
      </c>
      <c r="AC27" s="72">
        <f t="shared" si="20"/>
        <v>0</v>
      </c>
      <c r="AD27" s="39"/>
      <c r="AE27" s="72">
        <f t="shared" si="5"/>
        <v>0</v>
      </c>
      <c r="AF27" s="72">
        <f t="shared" si="21"/>
        <v>0</v>
      </c>
      <c r="AG27" s="39"/>
      <c r="AH27" s="72">
        <f t="shared" si="6"/>
        <v>1200000</v>
      </c>
      <c r="AI27" s="72">
        <f t="shared" si="22"/>
        <v>817141.60799181345</v>
      </c>
      <c r="AJ27" s="39"/>
      <c r="AK27" s="72">
        <f t="shared" si="7"/>
        <v>0</v>
      </c>
      <c r="AL27" s="72">
        <f t="shared" si="23"/>
        <v>0</v>
      </c>
      <c r="AM27" s="39"/>
      <c r="AN27" s="72">
        <f t="shared" si="8"/>
        <v>0</v>
      </c>
      <c r="AO27" s="72">
        <f t="shared" si="24"/>
        <v>0</v>
      </c>
      <c r="AP27" s="39"/>
      <c r="AQ27" s="72">
        <f t="shared" si="9"/>
        <v>0</v>
      </c>
      <c r="AR27" s="72">
        <f t="shared" si="25"/>
        <v>0</v>
      </c>
      <c r="AS27" s="39"/>
      <c r="AT27" s="40">
        <f>IF($K27&lt;=$F$15,IF($F$40&lt;&gt;"",$F$40/1000,IF(ISERROR(VLOOKUP($F$3&amp;IF($G$4&lt;&gt;"",$G$4,"")&amp;IF($F$43&lt;&gt;"","_"&amp;$F$43,""),'表3）燃料価格'!$AF$9:$AG$25,2,0)),0,VLOOKUP($I27,'表3）燃料価格'!$A$6:$U$66,VLOOKUP($F$3&amp;IF($G$4&lt;&gt;"",$G$4,"")&amp;IF($F$43&lt;&gt;"","_"&amp;$F$43,""),'表3）燃料価格'!$AF$9:$AG$25,2,0)+VLOOKUP($F$41,'表3）燃料価格'!$AF$28:$AG$29,2,0),0)*IF($F$43="需要地価格",1,$F$8/$F$141))),"")</f>
        <v>0</v>
      </c>
      <c r="AU27" s="39"/>
      <c r="AV27" s="72">
        <f t="shared" si="10"/>
        <v>0</v>
      </c>
      <c r="AW27" s="72">
        <f t="shared" si="26"/>
        <v>0</v>
      </c>
      <c r="AX27" s="39"/>
      <c r="AY27" s="40">
        <f>IF(ISERROR(IF($K27&lt;=$F$15,VLOOKUP($I27,'表4）CO2価格'!$A$7:$E$67,VLOOKUP($F$48,'表4）CO2価格'!$H$10:$I$12,2,0),0)*$F$8/1000,"")),0,IF($K27&lt;=$F$15,VLOOKUP($I27,'表4）CO2価格'!$A$7:$E$67,VLOOKUP($F$48,'表4）CO2価格'!$H$10:$I$12,2,0),0)*$F$8/1000,""))</f>
        <v>0</v>
      </c>
      <c r="AZ27" s="39"/>
      <c r="BA27" s="42">
        <f t="shared" si="11"/>
        <v>0</v>
      </c>
      <c r="BB27" s="72">
        <f t="shared" si="27"/>
        <v>0</v>
      </c>
      <c r="BC27" s="39"/>
      <c r="BD27" s="72">
        <f t="shared" si="12"/>
        <v>0</v>
      </c>
      <c r="BE27" s="72">
        <f t="shared" si="28"/>
        <v>0</v>
      </c>
      <c r="BF27" s="39"/>
      <c r="BG27" s="42">
        <f t="shared" si="13"/>
        <v>0</v>
      </c>
      <c r="BH27" s="72">
        <f t="shared" si="29"/>
        <v>0</v>
      </c>
      <c r="BI27" s="39"/>
      <c r="BJ27" s="40">
        <f t="shared" si="30"/>
        <v>0.600574086134678</v>
      </c>
      <c r="BK27" s="157">
        <f t="shared" si="31"/>
        <v>791796.87515995943</v>
      </c>
      <c r="BL27" s="157">
        <f t="shared" si="14"/>
        <v>226224.2467652105</v>
      </c>
      <c r="BM27" s="72"/>
      <c r="BN27" s="72">
        <f t="shared" si="32"/>
        <v>4702371.7689352985</v>
      </c>
      <c r="BO27" s="72">
        <f t="shared" si="33"/>
        <v>3202086.3572025821</v>
      </c>
      <c r="BP27" s="39"/>
      <c r="BQ27" s="72">
        <f t="shared" si="15"/>
        <v>376680</v>
      </c>
      <c r="BR27" s="72">
        <f t="shared" si="34"/>
        <v>256500.75074863026</v>
      </c>
    </row>
    <row r="28" spans="3:70" x14ac:dyDescent="0.15">
      <c r="D28" s="81" t="s">
        <v>116</v>
      </c>
      <c r="F28" s="59">
        <v>1</v>
      </c>
      <c r="G28" s="81" t="s">
        <v>108</v>
      </c>
      <c r="I28" s="459">
        <f t="shared" si="35"/>
        <v>2043</v>
      </c>
      <c r="J28" s="71"/>
      <c r="K28" s="71">
        <f t="shared" si="36"/>
        <v>14</v>
      </c>
      <c r="L28" s="71"/>
      <c r="M28" s="7">
        <f t="shared" si="0"/>
        <v>0.66111780581861923</v>
      </c>
      <c r="N28" s="71"/>
      <c r="O28" s="10">
        <f t="shared" si="37"/>
        <v>4981751.1255080774</v>
      </c>
      <c r="P28" s="29" t="str">
        <f t="shared" si="1"/>
        <v>-</v>
      </c>
      <c r="Q28" s="71"/>
      <c r="R28" s="10">
        <f t="shared" si="16"/>
        <v>7392010.4679918718</v>
      </c>
      <c r="S28" s="71"/>
      <c r="T28" s="10">
        <f t="shared" si="17"/>
        <v>7392000</v>
      </c>
      <c r="U28" s="71"/>
      <c r="V28" s="10">
        <f t="shared" si="2"/>
        <v>1249177.8347745482</v>
      </c>
      <c r="W28" s="10">
        <f t="shared" si="18"/>
        <v>825853.70920340298</v>
      </c>
      <c r="X28" s="71"/>
      <c r="Y28" s="10">
        <f t="shared" si="3"/>
        <v>103400</v>
      </c>
      <c r="Z28" s="10">
        <f t="shared" si="19"/>
        <v>68359.581121645228</v>
      </c>
      <c r="AA28" s="71"/>
      <c r="AB28" s="10">
        <f t="shared" si="4"/>
        <v>0</v>
      </c>
      <c r="AC28" s="10">
        <f t="shared" si="20"/>
        <v>0</v>
      </c>
      <c r="AD28" s="71"/>
      <c r="AE28" s="10">
        <f t="shared" si="5"/>
        <v>0</v>
      </c>
      <c r="AF28" s="10">
        <f t="shared" si="21"/>
        <v>0</v>
      </c>
      <c r="AG28" s="71"/>
      <c r="AH28" s="10">
        <f t="shared" si="6"/>
        <v>1200000</v>
      </c>
      <c r="AI28" s="10">
        <f t="shared" si="22"/>
        <v>793341.36698234302</v>
      </c>
      <c r="AJ28" s="71"/>
      <c r="AK28" s="10">
        <f t="shared" si="7"/>
        <v>0</v>
      </c>
      <c r="AL28" s="10">
        <f t="shared" si="23"/>
        <v>0</v>
      </c>
      <c r="AM28" s="71"/>
      <c r="AN28" s="10">
        <f t="shared" si="8"/>
        <v>0</v>
      </c>
      <c r="AO28" s="10">
        <f t="shared" si="24"/>
        <v>0</v>
      </c>
      <c r="AP28" s="71"/>
      <c r="AQ28" s="10">
        <f t="shared" si="9"/>
        <v>0</v>
      </c>
      <c r="AR28" s="10">
        <f t="shared" si="25"/>
        <v>0</v>
      </c>
      <c r="AS28" s="71"/>
      <c r="AT28" s="7">
        <f>IF($K28&lt;=$F$15,IF($F$40&lt;&gt;"",$F$40/1000,IF(ISERROR(VLOOKUP($F$3&amp;IF($G$4&lt;&gt;"",$G$4,"")&amp;IF($F$43&lt;&gt;"","_"&amp;$F$43,""),'表3）燃料価格'!$AF$9:$AG$25,2,0)),0,VLOOKUP($I28,'表3）燃料価格'!$A$6:$U$66,VLOOKUP($F$3&amp;IF($G$4&lt;&gt;"",$G$4,"")&amp;IF($F$43&lt;&gt;"","_"&amp;$F$43,""),'表3）燃料価格'!$AF$9:$AG$25,2,0)+VLOOKUP($F$41,'表3）燃料価格'!$AF$28:$AG$29,2,0),0)*IF($F$43="需要地価格",1,$F$8/$F$141))),"")</f>
        <v>0</v>
      </c>
      <c r="AU28" s="71"/>
      <c r="AV28" s="10">
        <f t="shared" si="10"/>
        <v>0</v>
      </c>
      <c r="AW28" s="10">
        <f t="shared" si="26"/>
        <v>0</v>
      </c>
      <c r="AX28" s="71"/>
      <c r="AY28" s="7">
        <f>IF(ISERROR(IF($K28&lt;=$F$15,VLOOKUP($I28,'表4）CO2価格'!$A$7:$E$67,VLOOKUP($F$48,'表4）CO2価格'!$H$10:$I$12,2,0),0)*$F$8/1000,"")),0,IF($K28&lt;=$F$15,VLOOKUP($I28,'表4）CO2価格'!$A$7:$E$67,VLOOKUP($F$48,'表4）CO2価格'!$H$10:$I$12,2,0),0)*$F$8/1000,""))</f>
        <v>0</v>
      </c>
      <c r="AZ28" s="71"/>
      <c r="BA28" s="11">
        <f t="shared" si="11"/>
        <v>0</v>
      </c>
      <c r="BB28" s="10">
        <f t="shared" si="27"/>
        <v>0</v>
      </c>
      <c r="BC28" s="71"/>
      <c r="BD28" s="10">
        <f t="shared" si="12"/>
        <v>0</v>
      </c>
      <c r="BE28" s="10">
        <f t="shared" si="28"/>
        <v>0</v>
      </c>
      <c r="BF28" s="71"/>
      <c r="BG28" s="11">
        <f t="shared" si="13"/>
        <v>0</v>
      </c>
      <c r="BH28" s="10">
        <f t="shared" si="29"/>
        <v>0</v>
      </c>
      <c r="BJ28" s="7">
        <f t="shared" si="30"/>
        <v>0.57747508282180582</v>
      </c>
      <c r="BK28" s="158">
        <f t="shared" si="31"/>
        <v>752681.02294994169</v>
      </c>
      <c r="BL28" s="158">
        <f t="shared" si="14"/>
        <v>217523.31419731781</v>
      </c>
      <c r="BM28" s="10"/>
      <c r="BN28" s="10">
        <f t="shared" si="32"/>
        <v>4702371.7689352985</v>
      </c>
      <c r="BO28" s="10">
        <f t="shared" si="33"/>
        <v>3108821.7060219236</v>
      </c>
      <c r="BQ28" s="10">
        <f t="shared" si="15"/>
        <v>376680</v>
      </c>
      <c r="BR28" s="10">
        <f t="shared" si="34"/>
        <v>249029.85509575749</v>
      </c>
    </row>
    <row r="29" spans="3:70" x14ac:dyDescent="0.15">
      <c r="D29" s="81" t="s">
        <v>117</v>
      </c>
      <c r="F29" s="59"/>
      <c r="G29" s="81" t="s">
        <v>176</v>
      </c>
      <c r="I29" s="458">
        <f t="shared" si="35"/>
        <v>2044</v>
      </c>
      <c r="J29" s="39"/>
      <c r="K29" s="39">
        <f t="shared" si="36"/>
        <v>15</v>
      </c>
      <c r="L29" s="39"/>
      <c r="M29" s="40">
        <f t="shared" si="0"/>
        <v>0.64186194739671765</v>
      </c>
      <c r="N29" s="39"/>
      <c r="O29" s="72">
        <f t="shared" si="37"/>
        <v>3732573.2907335293</v>
      </c>
      <c r="P29" s="41" t="str">
        <f t="shared" si="1"/>
        <v>-</v>
      </c>
      <c r="Q29" s="39"/>
      <c r="R29" s="72">
        <f t="shared" si="16"/>
        <v>6455636.1343051475</v>
      </c>
      <c r="S29" s="39"/>
      <c r="T29" s="72">
        <f t="shared" si="17"/>
        <v>6455000</v>
      </c>
      <c r="U29" s="39"/>
      <c r="V29" s="72">
        <f t="shared" si="2"/>
        <v>1249177.8347745482</v>
      </c>
      <c r="W29" s="72">
        <f t="shared" si="18"/>
        <v>801799.7176732067</v>
      </c>
      <c r="X29" s="39"/>
      <c r="Y29" s="72">
        <f t="shared" si="3"/>
        <v>90300</v>
      </c>
      <c r="Z29" s="72">
        <f t="shared" si="19"/>
        <v>57960.133849923601</v>
      </c>
      <c r="AA29" s="39"/>
      <c r="AB29" s="72">
        <f t="shared" si="4"/>
        <v>0</v>
      </c>
      <c r="AC29" s="72">
        <f t="shared" si="20"/>
        <v>0</v>
      </c>
      <c r="AD29" s="39"/>
      <c r="AE29" s="72">
        <f t="shared" si="5"/>
        <v>0</v>
      </c>
      <c r="AF29" s="72">
        <f t="shared" si="21"/>
        <v>0</v>
      </c>
      <c r="AG29" s="39"/>
      <c r="AH29" s="72">
        <f t="shared" si="6"/>
        <v>1200000</v>
      </c>
      <c r="AI29" s="72">
        <f t="shared" si="22"/>
        <v>770234.33687606116</v>
      </c>
      <c r="AJ29" s="39"/>
      <c r="AK29" s="72">
        <f t="shared" si="7"/>
        <v>0</v>
      </c>
      <c r="AL29" s="72">
        <f t="shared" si="23"/>
        <v>0</v>
      </c>
      <c r="AM29" s="39"/>
      <c r="AN29" s="72">
        <f t="shared" si="8"/>
        <v>0</v>
      </c>
      <c r="AO29" s="72">
        <f t="shared" si="24"/>
        <v>0</v>
      </c>
      <c r="AP29" s="39"/>
      <c r="AQ29" s="72">
        <f t="shared" si="9"/>
        <v>0</v>
      </c>
      <c r="AR29" s="72">
        <f t="shared" si="25"/>
        <v>0</v>
      </c>
      <c r="AS29" s="39"/>
      <c r="AT29" s="40">
        <f>IF($K29&lt;=$F$15,IF($F$40&lt;&gt;"",$F$40/1000,IF(ISERROR(VLOOKUP($F$3&amp;IF($G$4&lt;&gt;"",$G$4,"")&amp;IF($F$43&lt;&gt;"","_"&amp;$F$43,""),'表3）燃料価格'!$AF$9:$AG$25,2,0)),0,VLOOKUP($I29,'表3）燃料価格'!$A$6:$U$66,VLOOKUP($F$3&amp;IF($G$4&lt;&gt;"",$G$4,"")&amp;IF($F$43&lt;&gt;"","_"&amp;$F$43,""),'表3）燃料価格'!$AF$9:$AG$25,2,0)+VLOOKUP($F$41,'表3）燃料価格'!$AF$28:$AG$29,2,0),0)*IF($F$43="需要地価格",1,$F$8/$F$141))),"")</f>
        <v>0</v>
      </c>
      <c r="AU29" s="39"/>
      <c r="AV29" s="72">
        <f t="shared" si="10"/>
        <v>0</v>
      </c>
      <c r="AW29" s="72">
        <f t="shared" si="26"/>
        <v>0</v>
      </c>
      <c r="AX29" s="39"/>
      <c r="AY29" s="40">
        <f>IF(ISERROR(IF($K29&lt;=$F$15,VLOOKUP($I29,'表4）CO2価格'!$A$7:$E$67,VLOOKUP($F$48,'表4）CO2価格'!$H$10:$I$12,2,0),0)*$F$8/1000,"")),0,IF($K29&lt;=$F$15,VLOOKUP($I29,'表4）CO2価格'!$A$7:$E$67,VLOOKUP($F$48,'表4）CO2価格'!$H$10:$I$12,2,0),0)*$F$8/1000,""))</f>
        <v>0</v>
      </c>
      <c r="AZ29" s="39"/>
      <c r="BA29" s="42">
        <f t="shared" si="11"/>
        <v>0</v>
      </c>
      <c r="BB29" s="72">
        <f t="shared" si="27"/>
        <v>0</v>
      </c>
      <c r="BC29" s="39"/>
      <c r="BD29" s="72">
        <f t="shared" si="12"/>
        <v>0</v>
      </c>
      <c r="BE29" s="72">
        <f t="shared" si="28"/>
        <v>0</v>
      </c>
      <c r="BF29" s="39"/>
      <c r="BG29" s="42">
        <f t="shared" si="13"/>
        <v>0</v>
      </c>
      <c r="BH29" s="72">
        <f t="shared" si="29"/>
        <v>0</v>
      </c>
      <c r="BI29" s="39"/>
      <c r="BJ29" s="40">
        <f t="shared" si="30"/>
        <v>0.55526450271327477</v>
      </c>
      <c r="BK29" s="157">
        <f t="shared" si="31"/>
        <v>716457.78785093839</v>
      </c>
      <c r="BL29" s="157">
        <f t="shared" si="14"/>
        <v>209157.03288203635</v>
      </c>
      <c r="BM29" s="72"/>
      <c r="BN29" s="72">
        <f t="shared" si="32"/>
        <v>4702371.7689352985</v>
      </c>
      <c r="BO29" s="72">
        <f t="shared" si="33"/>
        <v>3018273.5009921589</v>
      </c>
      <c r="BP29" s="39"/>
      <c r="BQ29" s="72">
        <f t="shared" si="15"/>
        <v>376680</v>
      </c>
      <c r="BR29" s="72">
        <f t="shared" si="34"/>
        <v>241776.55834539561</v>
      </c>
    </row>
    <row r="30" spans="3:70" x14ac:dyDescent="0.15">
      <c r="I30" s="459">
        <f t="shared" si="35"/>
        <v>2045</v>
      </c>
      <c r="J30" s="71"/>
      <c r="K30" s="71">
        <f t="shared" si="36"/>
        <v>16</v>
      </c>
      <c r="L30" s="71"/>
      <c r="M30" s="7">
        <f t="shared" si="0"/>
        <v>0.62316693922011435</v>
      </c>
      <c r="N30" s="71"/>
      <c r="O30" s="10">
        <f t="shared" si="37"/>
        <v>2483395.4559589811</v>
      </c>
      <c r="P30" s="29" t="str">
        <f t="shared" si="1"/>
        <v>-</v>
      </c>
      <c r="Q30" s="71"/>
      <c r="R30" s="10">
        <f t="shared" si="16"/>
        <v>5637875.9309127284</v>
      </c>
      <c r="S30" s="71"/>
      <c r="T30" s="10">
        <f t="shared" si="17"/>
        <v>5637000</v>
      </c>
      <c r="U30" s="71"/>
      <c r="V30" s="10">
        <f t="shared" si="2"/>
        <v>1249177.8347745482</v>
      </c>
      <c r="W30" s="10">
        <f t="shared" si="18"/>
        <v>778446.32783806487</v>
      </c>
      <c r="X30" s="71"/>
      <c r="Y30" s="10">
        <f t="shared" si="3"/>
        <v>78900</v>
      </c>
      <c r="Z30" s="10">
        <f t="shared" si="19"/>
        <v>49167.871504467024</v>
      </c>
      <c r="AA30" s="71"/>
      <c r="AB30" s="10">
        <f t="shared" si="4"/>
        <v>0</v>
      </c>
      <c r="AC30" s="10">
        <f t="shared" si="20"/>
        <v>0</v>
      </c>
      <c r="AD30" s="71"/>
      <c r="AE30" s="10">
        <f t="shared" si="5"/>
        <v>0</v>
      </c>
      <c r="AF30" s="10">
        <f t="shared" si="21"/>
        <v>0</v>
      </c>
      <c r="AG30" s="71"/>
      <c r="AH30" s="10">
        <f t="shared" si="6"/>
        <v>1200000</v>
      </c>
      <c r="AI30" s="10">
        <f t="shared" si="22"/>
        <v>747800.32706413721</v>
      </c>
      <c r="AJ30" s="71"/>
      <c r="AK30" s="10">
        <f t="shared" si="7"/>
        <v>0</v>
      </c>
      <c r="AL30" s="10">
        <f t="shared" si="23"/>
        <v>0</v>
      </c>
      <c r="AM30" s="71"/>
      <c r="AN30" s="10">
        <f t="shared" si="8"/>
        <v>0</v>
      </c>
      <c r="AO30" s="10">
        <f t="shared" si="24"/>
        <v>0</v>
      </c>
      <c r="AP30" s="71"/>
      <c r="AQ30" s="10">
        <f t="shared" si="9"/>
        <v>0</v>
      </c>
      <c r="AR30" s="10">
        <f t="shared" si="25"/>
        <v>0</v>
      </c>
      <c r="AS30" s="71"/>
      <c r="AT30" s="7">
        <f>IF($K30&lt;=$F$15,IF($F$40&lt;&gt;"",$F$40/1000,IF(ISERROR(VLOOKUP($F$3&amp;IF($G$4&lt;&gt;"",$G$4,"")&amp;IF($F$43&lt;&gt;"","_"&amp;$F$43,""),'表3）燃料価格'!$AF$9:$AG$25,2,0)),0,VLOOKUP($I30,'表3）燃料価格'!$A$6:$U$66,VLOOKUP($F$3&amp;IF($G$4&lt;&gt;"",$G$4,"")&amp;IF($F$43&lt;&gt;"","_"&amp;$F$43,""),'表3）燃料価格'!$AF$9:$AG$25,2,0)+VLOOKUP($F$41,'表3）燃料価格'!$AF$28:$AG$29,2,0),0)*IF($F$43="需要地価格",1,$F$8/$F$141))),"")</f>
        <v>0</v>
      </c>
      <c r="AU30" s="71"/>
      <c r="AV30" s="10">
        <f t="shared" si="10"/>
        <v>0</v>
      </c>
      <c r="AW30" s="10">
        <f t="shared" si="26"/>
        <v>0</v>
      </c>
      <c r="AX30" s="71"/>
      <c r="AY30" s="7">
        <f>IF(ISERROR(IF($K30&lt;=$F$15,VLOOKUP($I30,'表4）CO2価格'!$A$7:$E$67,VLOOKUP($F$48,'表4）CO2価格'!$H$10:$I$12,2,0),0)*$F$8/1000,"")),0,IF($K30&lt;=$F$15,VLOOKUP($I30,'表4）CO2価格'!$A$7:$E$67,VLOOKUP($F$48,'表4）CO2価格'!$H$10:$I$12,2,0),0)*$F$8/1000,""))</f>
        <v>0</v>
      </c>
      <c r="AZ30" s="71"/>
      <c r="BA30" s="11">
        <f t="shared" si="11"/>
        <v>0</v>
      </c>
      <c r="BB30" s="10">
        <f t="shared" si="27"/>
        <v>0</v>
      </c>
      <c r="BC30" s="71"/>
      <c r="BD30" s="10">
        <f t="shared" si="12"/>
        <v>0</v>
      </c>
      <c r="BE30" s="10">
        <f t="shared" si="28"/>
        <v>0</v>
      </c>
      <c r="BF30" s="71"/>
      <c r="BG30" s="11">
        <f t="shared" si="13"/>
        <v>0</v>
      </c>
      <c r="BH30" s="10">
        <f t="shared" si="29"/>
        <v>0</v>
      </c>
      <c r="BJ30" s="7">
        <f t="shared" si="30"/>
        <v>0.53390817568584104</v>
      </c>
      <c r="BK30" s="158">
        <f t="shared" si="31"/>
        <v>682815.16588462214</v>
      </c>
      <c r="BL30" s="158">
        <f t="shared" si="14"/>
        <v>201112.53161734261</v>
      </c>
      <c r="BM30" s="10"/>
      <c r="BN30" s="10">
        <f t="shared" si="32"/>
        <v>4702371.7689352985</v>
      </c>
      <c r="BO30" s="10">
        <f t="shared" si="33"/>
        <v>2930362.6223224849</v>
      </c>
      <c r="BQ30" s="10">
        <f t="shared" si="15"/>
        <v>376680</v>
      </c>
      <c r="BR30" s="10">
        <f t="shared" si="34"/>
        <v>234734.52266543268</v>
      </c>
    </row>
    <row r="31" spans="3:70" x14ac:dyDescent="0.15">
      <c r="C31" s="89" t="s">
        <v>507</v>
      </c>
      <c r="D31" s="101"/>
      <c r="E31" s="101"/>
      <c r="F31" s="89"/>
      <c r="G31" s="101"/>
      <c r="I31" s="458">
        <f t="shared" si="35"/>
        <v>2046</v>
      </c>
      <c r="J31" s="39"/>
      <c r="K31" s="39">
        <f t="shared" si="36"/>
        <v>17</v>
      </c>
      <c r="L31" s="39"/>
      <c r="M31" s="40">
        <f t="shared" si="0"/>
        <v>0.60501644584477121</v>
      </c>
      <c r="N31" s="39"/>
      <c r="O31" s="72">
        <f t="shared" si="37"/>
        <v>1234217.6211844329</v>
      </c>
      <c r="P31" s="41" t="str">
        <f t="shared" si="1"/>
        <v>-</v>
      </c>
      <c r="Q31" s="39"/>
      <c r="R31" s="72">
        <f t="shared" si="16"/>
        <v>4923704.5507346131</v>
      </c>
      <c r="S31" s="39"/>
      <c r="T31" s="72">
        <f t="shared" si="17"/>
        <v>4923000</v>
      </c>
      <c r="U31" s="39"/>
      <c r="V31" s="72">
        <f t="shared" si="2"/>
        <v>1234217.6211844329</v>
      </c>
      <c r="W31" s="72">
        <f t="shared" si="18"/>
        <v>746721.95856799383</v>
      </c>
      <c r="X31" s="39"/>
      <c r="Y31" s="72">
        <f t="shared" si="3"/>
        <v>68900</v>
      </c>
      <c r="Z31" s="72">
        <f t="shared" si="19"/>
        <v>41685.63311870474</v>
      </c>
      <c r="AA31" s="39"/>
      <c r="AB31" s="72">
        <f t="shared" si="4"/>
        <v>0</v>
      </c>
      <c r="AC31" s="72">
        <f t="shared" si="20"/>
        <v>0</v>
      </c>
      <c r="AD31" s="39"/>
      <c r="AE31" s="72">
        <f t="shared" si="5"/>
        <v>0</v>
      </c>
      <c r="AF31" s="72">
        <f t="shared" si="21"/>
        <v>0</v>
      </c>
      <c r="AG31" s="39"/>
      <c r="AH31" s="72">
        <f t="shared" si="6"/>
        <v>1200000</v>
      </c>
      <c r="AI31" s="72">
        <f t="shared" si="22"/>
        <v>726019.73501372547</v>
      </c>
      <c r="AJ31" s="39"/>
      <c r="AK31" s="72">
        <f t="shared" si="7"/>
        <v>0</v>
      </c>
      <c r="AL31" s="72">
        <f t="shared" si="23"/>
        <v>0</v>
      </c>
      <c r="AM31" s="39"/>
      <c r="AN31" s="72">
        <f t="shared" si="8"/>
        <v>0</v>
      </c>
      <c r="AO31" s="72">
        <f t="shared" si="24"/>
        <v>0</v>
      </c>
      <c r="AP31" s="39"/>
      <c r="AQ31" s="72">
        <f t="shared" si="9"/>
        <v>0</v>
      </c>
      <c r="AR31" s="72">
        <f t="shared" si="25"/>
        <v>0</v>
      </c>
      <c r="AS31" s="39"/>
      <c r="AT31" s="40">
        <f>IF($K31&lt;=$F$15,IF($F$40&lt;&gt;"",$F$40/1000,IF(ISERROR(VLOOKUP($F$3&amp;IF($G$4&lt;&gt;"",$G$4,"")&amp;IF($F$43&lt;&gt;"","_"&amp;$F$43,""),'表3）燃料価格'!$AF$9:$AG$25,2,0)),0,VLOOKUP($I31,'表3）燃料価格'!$A$6:$U$66,VLOOKUP($F$3&amp;IF($G$4&lt;&gt;"",$G$4,"")&amp;IF($F$43&lt;&gt;"","_"&amp;$F$43,""),'表3）燃料価格'!$AF$9:$AG$25,2,0)+VLOOKUP($F$41,'表3）燃料価格'!$AF$28:$AG$29,2,0),0)*IF($F$43="需要地価格",1,$F$8/$F$141))),"")</f>
        <v>0</v>
      </c>
      <c r="AU31" s="39"/>
      <c r="AV31" s="72">
        <f t="shared" si="10"/>
        <v>0</v>
      </c>
      <c r="AW31" s="72">
        <f t="shared" si="26"/>
        <v>0</v>
      </c>
      <c r="AX31" s="39"/>
      <c r="AY31" s="40">
        <f>IF(ISERROR(IF($K31&lt;=$F$15,VLOOKUP($I31,'表4）CO2価格'!$A$7:$E$67,VLOOKUP($F$48,'表4）CO2価格'!$H$10:$I$12,2,0),0)*$F$8/1000,"")),0,IF($K31&lt;=$F$15,VLOOKUP($I31,'表4）CO2価格'!$A$7:$E$67,VLOOKUP($F$48,'表4）CO2価格'!$H$10:$I$12,2,0),0)*$F$8/1000,""))</f>
        <v>0</v>
      </c>
      <c r="AZ31" s="39"/>
      <c r="BA31" s="42">
        <f t="shared" si="11"/>
        <v>0</v>
      </c>
      <c r="BB31" s="72">
        <f t="shared" si="27"/>
        <v>0</v>
      </c>
      <c r="BC31" s="39"/>
      <c r="BD31" s="72">
        <f t="shared" si="12"/>
        <v>0</v>
      </c>
      <c r="BE31" s="72">
        <f t="shared" si="28"/>
        <v>0</v>
      </c>
      <c r="BF31" s="39"/>
      <c r="BG31" s="42">
        <f t="shared" si="13"/>
        <v>0</v>
      </c>
      <c r="BH31" s="72">
        <f t="shared" si="29"/>
        <v>0</v>
      </c>
      <c r="BI31" s="39"/>
      <c r="BJ31" s="40">
        <f t="shared" si="30"/>
        <v>0.51337324585177024</v>
      </c>
      <c r="BK31" s="157">
        <f t="shared" si="31"/>
        <v>651419.31166131131</v>
      </c>
      <c r="BL31" s="157">
        <f t="shared" si="14"/>
        <v>193377.43424744482</v>
      </c>
      <c r="BM31" s="72"/>
      <c r="BN31" s="72">
        <f t="shared" si="32"/>
        <v>4702371.7689352985</v>
      </c>
      <c r="BO31" s="72">
        <f t="shared" si="33"/>
        <v>2845012.254682024</v>
      </c>
      <c r="BP31" s="39"/>
      <c r="BQ31" s="72">
        <f t="shared" si="15"/>
        <v>376680</v>
      </c>
      <c r="BR31" s="72">
        <f t="shared" si="34"/>
        <v>227897.59482080842</v>
      </c>
    </row>
    <row r="32" spans="3:70" x14ac:dyDescent="0.15">
      <c r="I32" s="459">
        <f t="shared" si="35"/>
        <v>2047</v>
      </c>
      <c r="J32" s="71"/>
      <c r="K32" s="71">
        <f t="shared" si="36"/>
        <v>18</v>
      </c>
      <c r="L32" s="71"/>
      <c r="M32" s="7">
        <f t="shared" si="0"/>
        <v>0.5873946076162827</v>
      </c>
      <c r="N32" s="71"/>
      <c r="O32" s="10">
        <f t="shared" si="37"/>
        <v>0</v>
      </c>
      <c r="P32" s="29" t="str">
        <f t="shared" si="1"/>
        <v>-</v>
      </c>
      <c r="Q32" s="71"/>
      <c r="R32" s="10">
        <f t="shared" si="16"/>
        <v>4300000.0000000009</v>
      </c>
      <c r="S32" s="71"/>
      <c r="T32" s="10">
        <f t="shared" si="17"/>
        <v>4300000</v>
      </c>
      <c r="U32" s="71"/>
      <c r="V32" s="10">
        <f t="shared" si="2"/>
        <v>0</v>
      </c>
      <c r="W32" s="10">
        <f t="shared" si="18"/>
        <v>0</v>
      </c>
      <c r="X32" s="71"/>
      <c r="Y32" s="10">
        <f t="shared" si="3"/>
        <v>60200</v>
      </c>
      <c r="Z32" s="10">
        <f t="shared" si="19"/>
        <v>35361.155378500218</v>
      </c>
      <c r="AA32" s="71"/>
      <c r="AB32" s="10">
        <f t="shared" si="4"/>
        <v>0</v>
      </c>
      <c r="AC32" s="10">
        <f t="shared" si="20"/>
        <v>0</v>
      </c>
      <c r="AD32" s="71"/>
      <c r="AE32" s="10">
        <f t="shared" si="5"/>
        <v>0</v>
      </c>
      <c r="AF32" s="10">
        <f t="shared" si="21"/>
        <v>0</v>
      </c>
      <c r="AG32" s="71"/>
      <c r="AH32" s="10">
        <f t="shared" si="6"/>
        <v>1200000</v>
      </c>
      <c r="AI32" s="10">
        <f t="shared" si="22"/>
        <v>704873.52913953923</v>
      </c>
      <c r="AJ32" s="71"/>
      <c r="AK32" s="10">
        <f t="shared" si="7"/>
        <v>0</v>
      </c>
      <c r="AL32" s="10">
        <f t="shared" si="23"/>
        <v>0</v>
      </c>
      <c r="AM32" s="71"/>
      <c r="AN32" s="10">
        <f t="shared" si="8"/>
        <v>0</v>
      </c>
      <c r="AO32" s="10">
        <f t="shared" si="24"/>
        <v>0</v>
      </c>
      <c r="AP32" s="71"/>
      <c r="AQ32" s="10">
        <f t="shared" si="9"/>
        <v>0</v>
      </c>
      <c r="AR32" s="10">
        <f t="shared" si="25"/>
        <v>0</v>
      </c>
      <c r="AS32" s="71"/>
      <c r="AT32" s="7">
        <f>IF($K32&lt;=$F$15,IF($F$40&lt;&gt;"",$F$40/1000,IF(ISERROR(VLOOKUP($F$3&amp;IF($G$4&lt;&gt;"",$G$4,"")&amp;IF($F$43&lt;&gt;"","_"&amp;$F$43,""),'表3）燃料価格'!$AF$9:$AG$25,2,0)),0,VLOOKUP($I32,'表3）燃料価格'!$A$6:$U$66,VLOOKUP($F$3&amp;IF($G$4&lt;&gt;"",$G$4,"")&amp;IF($F$43&lt;&gt;"","_"&amp;$F$43,""),'表3）燃料価格'!$AF$9:$AG$25,2,0)+VLOOKUP($F$41,'表3）燃料価格'!$AF$28:$AG$29,2,0),0)*IF($F$43="需要地価格",1,$F$8/$F$141))),"")</f>
        <v>0</v>
      </c>
      <c r="AU32" s="71"/>
      <c r="AV32" s="10">
        <f t="shared" si="10"/>
        <v>0</v>
      </c>
      <c r="AW32" s="10">
        <f t="shared" si="26"/>
        <v>0</v>
      </c>
      <c r="AX32" s="71"/>
      <c r="AY32" s="7">
        <f>IF(ISERROR(IF($K32&lt;=$F$15,VLOOKUP($I32,'表4）CO2価格'!$A$7:$E$67,VLOOKUP($F$48,'表4）CO2価格'!$H$10:$I$12,2,0),0)*$F$8/1000,"")),0,IF($K32&lt;=$F$15,VLOOKUP($I32,'表4）CO2価格'!$A$7:$E$67,VLOOKUP($F$48,'表4）CO2価格'!$H$10:$I$12,2,0),0)*$F$8/1000,""))</f>
        <v>0</v>
      </c>
      <c r="AZ32" s="71"/>
      <c r="BA32" s="11">
        <f t="shared" si="11"/>
        <v>0</v>
      </c>
      <c r="BB32" s="10">
        <f t="shared" si="27"/>
        <v>0</v>
      </c>
      <c r="BC32" s="71"/>
      <c r="BD32" s="10">
        <f t="shared" si="12"/>
        <v>0</v>
      </c>
      <c r="BE32" s="10">
        <f t="shared" si="28"/>
        <v>0</v>
      </c>
      <c r="BF32" s="71"/>
      <c r="BG32" s="11">
        <f t="shared" si="13"/>
        <v>0</v>
      </c>
      <c r="BH32" s="10">
        <f t="shared" si="29"/>
        <v>0</v>
      </c>
      <c r="BJ32" s="7">
        <f t="shared" si="30"/>
        <v>0.49362812101131748</v>
      </c>
      <c r="BK32" s="158">
        <f t="shared" si="31"/>
        <v>622070.15809846227</v>
      </c>
      <c r="BL32" s="158">
        <f t="shared" si="14"/>
        <v>185939.84062254307</v>
      </c>
      <c r="BM32" s="10"/>
      <c r="BN32" s="10">
        <f t="shared" si="32"/>
        <v>4702371.7689352985</v>
      </c>
      <c r="BO32" s="10">
        <f t="shared" si="33"/>
        <v>2762147.8200796349</v>
      </c>
      <c r="BQ32" s="10">
        <f t="shared" si="15"/>
        <v>376680</v>
      </c>
      <c r="BR32" s="10">
        <f t="shared" si="34"/>
        <v>221259.80079690137</v>
      </c>
    </row>
    <row r="33" spans="3:70" x14ac:dyDescent="0.15">
      <c r="D33" s="82" t="s">
        <v>232</v>
      </c>
      <c r="F33" s="110">
        <v>0.48</v>
      </c>
      <c r="G33" s="81" t="s">
        <v>227</v>
      </c>
      <c r="I33" s="458">
        <f t="shared" si="35"/>
        <v>2048</v>
      </c>
      <c r="J33" s="39"/>
      <c r="K33" s="39">
        <f t="shared" si="36"/>
        <v>19</v>
      </c>
      <c r="L33" s="39"/>
      <c r="M33" s="40">
        <f t="shared" si="0"/>
        <v>0.57028602681192497</v>
      </c>
      <c r="N33" s="39"/>
      <c r="O33" s="72">
        <f t="shared" si="37"/>
        <v>0</v>
      </c>
      <c r="P33" s="41" t="str">
        <f t="shared" si="1"/>
        <v>-</v>
      </c>
      <c r="Q33" s="39"/>
      <c r="R33" s="72">
        <f t="shared" si="16"/>
        <v>3755302.4982462269</v>
      </c>
      <c r="S33" s="39"/>
      <c r="T33" s="72">
        <f t="shared" si="17"/>
        <v>3755000</v>
      </c>
      <c r="U33" s="39"/>
      <c r="V33" s="72">
        <f t="shared" si="2"/>
        <v>0</v>
      </c>
      <c r="W33" s="72">
        <f t="shared" si="18"/>
        <v>0</v>
      </c>
      <c r="X33" s="39"/>
      <c r="Y33" s="72">
        <f t="shared" si="3"/>
        <v>52500</v>
      </c>
      <c r="Z33" s="72">
        <f t="shared" si="19"/>
        <v>29940.016407626063</v>
      </c>
      <c r="AA33" s="39"/>
      <c r="AB33" s="72">
        <f t="shared" si="4"/>
        <v>0</v>
      </c>
      <c r="AC33" s="72">
        <f t="shared" si="20"/>
        <v>0</v>
      </c>
      <c r="AD33" s="39"/>
      <c r="AE33" s="72">
        <f t="shared" si="5"/>
        <v>0</v>
      </c>
      <c r="AF33" s="72">
        <f t="shared" si="21"/>
        <v>0</v>
      </c>
      <c r="AG33" s="39"/>
      <c r="AH33" s="72">
        <f t="shared" si="6"/>
        <v>1200000</v>
      </c>
      <c r="AI33" s="72">
        <f t="shared" si="22"/>
        <v>684343.23217431002</v>
      </c>
      <c r="AJ33" s="39"/>
      <c r="AK33" s="72">
        <f t="shared" si="7"/>
        <v>0</v>
      </c>
      <c r="AL33" s="72">
        <f t="shared" si="23"/>
        <v>0</v>
      </c>
      <c r="AM33" s="39"/>
      <c r="AN33" s="72">
        <f t="shared" si="8"/>
        <v>0</v>
      </c>
      <c r="AO33" s="72">
        <f t="shared" si="24"/>
        <v>0</v>
      </c>
      <c r="AP33" s="39"/>
      <c r="AQ33" s="72">
        <f t="shared" si="9"/>
        <v>0</v>
      </c>
      <c r="AR33" s="72">
        <f t="shared" si="25"/>
        <v>0</v>
      </c>
      <c r="AS33" s="39"/>
      <c r="AT33" s="40">
        <f>IF($K33&lt;=$F$15,IF($F$40&lt;&gt;"",$F$40/1000,IF(ISERROR(VLOOKUP($F$3&amp;IF($G$4&lt;&gt;"",$G$4,"")&amp;IF($F$43&lt;&gt;"","_"&amp;$F$43,""),'表3）燃料価格'!$AF$9:$AG$25,2,0)),0,VLOOKUP($I33,'表3）燃料価格'!$A$6:$U$66,VLOOKUP($F$3&amp;IF($G$4&lt;&gt;"",$G$4,"")&amp;IF($F$43&lt;&gt;"","_"&amp;$F$43,""),'表3）燃料価格'!$AF$9:$AG$25,2,0)+VLOOKUP($F$41,'表3）燃料価格'!$AF$28:$AG$29,2,0),0)*IF($F$43="需要地価格",1,$F$8/$F$141))),"")</f>
        <v>0</v>
      </c>
      <c r="AU33" s="39"/>
      <c r="AV33" s="72">
        <f t="shared" si="10"/>
        <v>0</v>
      </c>
      <c r="AW33" s="72">
        <f t="shared" si="26"/>
        <v>0</v>
      </c>
      <c r="AX33" s="39"/>
      <c r="AY33" s="40">
        <f>IF(ISERROR(IF($K33&lt;=$F$15,VLOOKUP($I33,'表4）CO2価格'!$A$7:$E$67,VLOOKUP($F$48,'表4）CO2価格'!$H$10:$I$12,2,0),0)*$F$8/1000,"")),0,IF($K33&lt;=$F$15,VLOOKUP($I33,'表4）CO2価格'!$A$7:$E$67,VLOOKUP($F$48,'表4）CO2価格'!$H$10:$I$12,2,0),0)*$F$8/1000,""))</f>
        <v>0</v>
      </c>
      <c r="AZ33" s="39"/>
      <c r="BA33" s="42">
        <f t="shared" si="11"/>
        <v>0</v>
      </c>
      <c r="BB33" s="72">
        <f t="shared" si="27"/>
        <v>0</v>
      </c>
      <c r="BC33" s="39"/>
      <c r="BD33" s="72">
        <f t="shared" si="12"/>
        <v>0</v>
      </c>
      <c r="BE33" s="72">
        <f t="shared" si="28"/>
        <v>0</v>
      </c>
      <c r="BF33" s="39"/>
      <c r="BG33" s="42">
        <f t="shared" si="13"/>
        <v>0</v>
      </c>
      <c r="BH33" s="72">
        <f t="shared" si="29"/>
        <v>0</v>
      </c>
      <c r="BI33" s="39"/>
      <c r="BJ33" s="40">
        <f t="shared" si="30"/>
        <v>0.47464242404934376</v>
      </c>
      <c r="BK33" s="157">
        <f t="shared" si="31"/>
        <v>594489.63612180308</v>
      </c>
      <c r="BL33" s="157">
        <f t="shared" si="14"/>
        <v>178788.3082909068</v>
      </c>
      <c r="BM33" s="72"/>
      <c r="BN33" s="72">
        <f t="shared" si="32"/>
        <v>4702371.7689352985</v>
      </c>
      <c r="BO33" s="72">
        <f t="shared" si="33"/>
        <v>2681696.9126986749</v>
      </c>
      <c r="BP33" s="39"/>
      <c r="BQ33" s="72">
        <f t="shared" si="15"/>
        <v>376680</v>
      </c>
      <c r="BR33" s="72">
        <f t="shared" si="34"/>
        <v>214815.34057951591</v>
      </c>
    </row>
    <row r="34" spans="3:70" x14ac:dyDescent="0.15">
      <c r="D34" s="82"/>
      <c r="F34" s="66"/>
      <c r="I34" s="459">
        <f t="shared" si="35"/>
        <v>2049</v>
      </c>
      <c r="J34" s="71"/>
      <c r="K34" s="71">
        <f t="shared" si="36"/>
        <v>20</v>
      </c>
      <c r="L34" s="71"/>
      <c r="M34" s="7">
        <f t="shared" si="0"/>
        <v>0.55367575418633497</v>
      </c>
      <c r="N34" s="71"/>
      <c r="O34" s="10">
        <f t="shared" si="37"/>
        <v>0</v>
      </c>
      <c r="P34" s="29" t="str">
        <f t="shared" si="1"/>
        <v>-</v>
      </c>
      <c r="Q34" s="71"/>
      <c r="R34" s="10">
        <f t="shared" si="16"/>
        <v>3279603.9193800818</v>
      </c>
      <c r="S34" s="71"/>
      <c r="T34" s="10">
        <f t="shared" si="17"/>
        <v>3279000</v>
      </c>
      <c r="U34" s="71"/>
      <c r="V34" s="10">
        <f t="shared" si="2"/>
        <v>0</v>
      </c>
      <c r="W34" s="10">
        <f t="shared" si="18"/>
        <v>0</v>
      </c>
      <c r="X34" s="71"/>
      <c r="Y34" s="10">
        <f t="shared" si="3"/>
        <v>45900</v>
      </c>
      <c r="Z34" s="10">
        <f t="shared" si="19"/>
        <v>25413.717117152773</v>
      </c>
      <c r="AA34" s="71"/>
      <c r="AB34" s="10">
        <f t="shared" si="4"/>
        <v>0</v>
      </c>
      <c r="AC34" s="10">
        <f t="shared" si="20"/>
        <v>0</v>
      </c>
      <c r="AD34" s="71"/>
      <c r="AE34" s="10">
        <f t="shared" si="5"/>
        <v>0</v>
      </c>
      <c r="AF34" s="10">
        <f t="shared" si="21"/>
        <v>0</v>
      </c>
      <c r="AG34" s="71"/>
      <c r="AH34" s="10">
        <f t="shared" si="6"/>
        <v>1200000</v>
      </c>
      <c r="AI34" s="10">
        <f t="shared" si="22"/>
        <v>664410.90502360195</v>
      </c>
      <c r="AJ34" s="71"/>
      <c r="AK34" s="10">
        <f t="shared" si="7"/>
        <v>0</v>
      </c>
      <c r="AL34" s="10">
        <f t="shared" si="23"/>
        <v>0</v>
      </c>
      <c r="AM34" s="71"/>
      <c r="AN34" s="10">
        <f t="shared" si="8"/>
        <v>0</v>
      </c>
      <c r="AO34" s="10">
        <f t="shared" si="24"/>
        <v>0</v>
      </c>
      <c r="AP34" s="71"/>
      <c r="AQ34" s="10">
        <f t="shared" si="9"/>
        <v>0</v>
      </c>
      <c r="AR34" s="10">
        <f t="shared" si="25"/>
        <v>0</v>
      </c>
      <c r="AS34" s="71"/>
      <c r="AT34" s="7">
        <f>IF($K34&lt;=$F$15,IF($F$40&lt;&gt;"",$F$40/1000,IF(ISERROR(VLOOKUP($F$3&amp;IF($G$4&lt;&gt;"",$G$4,"")&amp;IF($F$43&lt;&gt;"","_"&amp;$F$43,""),'表3）燃料価格'!$AF$9:$AG$25,2,0)),0,VLOOKUP($I34,'表3）燃料価格'!$A$6:$U$66,VLOOKUP($F$3&amp;IF($G$4&lt;&gt;"",$G$4,"")&amp;IF($F$43&lt;&gt;"","_"&amp;$F$43,""),'表3）燃料価格'!$AF$9:$AG$25,2,0)+VLOOKUP($F$41,'表3）燃料価格'!$AF$28:$AG$29,2,0),0)*IF($F$43="需要地価格",1,$F$8/$F$141))),"")</f>
        <v>0</v>
      </c>
      <c r="AU34" s="71"/>
      <c r="AV34" s="10">
        <f t="shared" si="10"/>
        <v>0</v>
      </c>
      <c r="AW34" s="10">
        <f t="shared" si="26"/>
        <v>0</v>
      </c>
      <c r="AX34" s="71"/>
      <c r="AY34" s="7">
        <f>IF(ISERROR(IF($K34&lt;=$F$15,VLOOKUP($I34,'表4）CO2価格'!$A$7:$E$67,VLOOKUP($F$48,'表4）CO2価格'!$H$10:$I$12,2,0),0)*$F$8/1000,"")),0,IF($K34&lt;=$F$15,VLOOKUP($I34,'表4）CO2価格'!$A$7:$E$67,VLOOKUP($F$48,'表4）CO2価格'!$H$10:$I$12,2,0),0)*$F$8/1000,""))</f>
        <v>0</v>
      </c>
      <c r="AZ34" s="71"/>
      <c r="BA34" s="11">
        <f t="shared" si="11"/>
        <v>0</v>
      </c>
      <c r="BB34" s="10">
        <f t="shared" si="27"/>
        <v>0</v>
      </c>
      <c r="BC34" s="71"/>
      <c r="BD34" s="10">
        <f t="shared" si="12"/>
        <v>0</v>
      </c>
      <c r="BE34" s="10">
        <f t="shared" si="28"/>
        <v>0</v>
      </c>
      <c r="BF34" s="71"/>
      <c r="BG34" s="11">
        <f t="shared" si="13"/>
        <v>0</v>
      </c>
      <c r="BH34" s="10">
        <f t="shared" si="29"/>
        <v>0</v>
      </c>
      <c r="BJ34" s="7">
        <f t="shared" si="30"/>
        <v>0.45638694620129205</v>
      </c>
      <c r="BK34" s="158">
        <f t="shared" si="31"/>
        <v>568612.49627218978</v>
      </c>
      <c r="BL34" s="158">
        <f t="shared" si="14"/>
        <v>171911.83489510269</v>
      </c>
      <c r="BM34" s="10"/>
      <c r="BN34" s="10">
        <f t="shared" si="32"/>
        <v>4702371.7689352985</v>
      </c>
      <c r="BO34" s="10">
        <f t="shared" si="33"/>
        <v>2603589.2356297816</v>
      </c>
      <c r="BQ34" s="10">
        <f t="shared" si="15"/>
        <v>376680</v>
      </c>
      <c r="BR34" s="10">
        <f t="shared" si="34"/>
        <v>208558.58308690865</v>
      </c>
    </row>
    <row r="35" spans="3:70" x14ac:dyDescent="0.15">
      <c r="D35" s="82"/>
      <c r="F35" s="66"/>
      <c r="I35" s="458">
        <f t="shared" si="35"/>
        <v>2050</v>
      </c>
      <c r="J35" s="39"/>
      <c r="K35" s="39">
        <f t="shared" si="36"/>
        <v>21</v>
      </c>
      <c r="L35" s="39"/>
      <c r="M35" s="40">
        <f t="shared" si="0"/>
        <v>0.5375492759090631</v>
      </c>
      <c r="N35" s="39"/>
      <c r="O35" s="72">
        <f t="shared" si="37"/>
        <v>0</v>
      </c>
      <c r="P35" s="41" t="str">
        <f t="shared" si="1"/>
        <v>-</v>
      </c>
      <c r="Q35" s="39"/>
      <c r="R35" s="72">
        <f t="shared" si="16"/>
        <v>2864163.9050479387</v>
      </c>
      <c r="S35" s="39"/>
      <c r="T35" s="72">
        <f t="shared" si="17"/>
        <v>2864000</v>
      </c>
      <c r="U35" s="39"/>
      <c r="V35" s="72">
        <f t="shared" si="2"/>
        <v>0</v>
      </c>
      <c r="W35" s="72">
        <f t="shared" si="18"/>
        <v>0</v>
      </c>
      <c r="X35" s="39"/>
      <c r="Y35" s="72">
        <f t="shared" si="3"/>
        <v>40000</v>
      </c>
      <c r="Z35" s="72">
        <f t="shared" si="19"/>
        <v>21501.971036362524</v>
      </c>
      <c r="AA35" s="39"/>
      <c r="AB35" s="72">
        <f t="shared" si="4"/>
        <v>0</v>
      </c>
      <c r="AC35" s="72">
        <f t="shared" si="20"/>
        <v>0</v>
      </c>
      <c r="AD35" s="39"/>
      <c r="AE35" s="72">
        <f t="shared" si="5"/>
        <v>0</v>
      </c>
      <c r="AF35" s="72">
        <f t="shared" si="21"/>
        <v>0</v>
      </c>
      <c r="AG35" s="39"/>
      <c r="AH35" s="72">
        <f t="shared" si="6"/>
        <v>1200000</v>
      </c>
      <c r="AI35" s="72">
        <f t="shared" si="22"/>
        <v>645059.13109087572</v>
      </c>
      <c r="AJ35" s="39"/>
      <c r="AK35" s="72">
        <f t="shared" si="7"/>
        <v>0</v>
      </c>
      <c r="AL35" s="72">
        <f t="shared" si="23"/>
        <v>0</v>
      </c>
      <c r="AM35" s="39"/>
      <c r="AN35" s="72">
        <f t="shared" si="8"/>
        <v>0</v>
      </c>
      <c r="AO35" s="72">
        <f t="shared" si="24"/>
        <v>0</v>
      </c>
      <c r="AP35" s="39"/>
      <c r="AQ35" s="72">
        <f t="shared" si="9"/>
        <v>0</v>
      </c>
      <c r="AR35" s="72">
        <f t="shared" si="25"/>
        <v>0</v>
      </c>
      <c r="AS35" s="39"/>
      <c r="AT35" s="40">
        <f>IF($K35&lt;=$F$15,IF($F$40&lt;&gt;"",$F$40/1000,IF(ISERROR(VLOOKUP($F$3&amp;IF($G$4&lt;&gt;"",$G$4,"")&amp;IF($F$43&lt;&gt;"","_"&amp;$F$43,""),'表3）燃料価格'!$AF$9:$AG$25,2,0)),0,VLOOKUP($I35,'表3）燃料価格'!$A$6:$U$66,VLOOKUP($F$3&amp;IF($G$4&lt;&gt;"",$G$4,"")&amp;IF($F$43&lt;&gt;"","_"&amp;$F$43,""),'表3）燃料価格'!$AF$9:$AG$25,2,0)+VLOOKUP($F$41,'表3）燃料価格'!$AF$28:$AG$29,2,0),0)*IF($F$43="需要地価格",1,$F$8/$F$141))),"")</f>
        <v>0</v>
      </c>
      <c r="AU35" s="39"/>
      <c r="AV35" s="72">
        <f t="shared" si="10"/>
        <v>0</v>
      </c>
      <c r="AW35" s="72">
        <f t="shared" si="26"/>
        <v>0</v>
      </c>
      <c r="AX35" s="39"/>
      <c r="AY35" s="40">
        <f>IF(ISERROR(IF($K35&lt;=$F$15,VLOOKUP($I35,'表4）CO2価格'!$A$7:$E$67,VLOOKUP($F$48,'表4）CO2価格'!$H$10:$I$12,2,0),0)*$F$8/1000,"")),0,IF($K35&lt;=$F$15,VLOOKUP($I35,'表4）CO2価格'!$A$7:$E$67,VLOOKUP($F$48,'表4）CO2価格'!$H$10:$I$12,2,0),0)*$F$8/1000,""))</f>
        <v>0</v>
      </c>
      <c r="AZ35" s="39"/>
      <c r="BA35" s="42">
        <f t="shared" si="11"/>
        <v>0</v>
      </c>
      <c r="BB35" s="72">
        <f t="shared" si="27"/>
        <v>0</v>
      </c>
      <c r="BC35" s="39"/>
      <c r="BD35" s="72">
        <f t="shared" si="12"/>
        <v>0</v>
      </c>
      <c r="BE35" s="72">
        <f t="shared" si="28"/>
        <v>0</v>
      </c>
      <c r="BF35" s="39"/>
      <c r="BG35" s="42">
        <f t="shared" si="13"/>
        <v>0</v>
      </c>
      <c r="BH35" s="72">
        <f t="shared" si="29"/>
        <v>0</v>
      </c>
      <c r="BI35" s="39"/>
      <c r="BJ35" s="40">
        <f t="shared" si="30"/>
        <v>0.43883360211662686</v>
      </c>
      <c r="BK35" s="157">
        <f t="shared" si="31"/>
        <v>1097084.0052915672</v>
      </c>
      <c r="BL35" s="157" t="str">
        <f t="shared" si="14"/>
        <v/>
      </c>
      <c r="BM35" s="72"/>
      <c r="BN35" s="72" t="str">
        <f t="shared" si="32"/>
        <v/>
      </c>
      <c r="BO35" s="72" t="str">
        <f t="shared" si="33"/>
        <v/>
      </c>
      <c r="BP35" s="39"/>
      <c r="BQ35" s="72">
        <f t="shared" si="15"/>
        <v>376680</v>
      </c>
      <c r="BR35" s="72">
        <f t="shared" si="34"/>
        <v>202484.0612494259</v>
      </c>
    </row>
    <row r="36" spans="3:70" x14ac:dyDescent="0.15">
      <c r="D36" s="82"/>
      <c r="F36" s="68"/>
      <c r="I36" s="459">
        <f t="shared" si="35"/>
        <v>2051</v>
      </c>
      <c r="J36" s="71"/>
      <c r="K36" s="71">
        <f t="shared" si="36"/>
        <v>22</v>
      </c>
      <c r="L36" s="71"/>
      <c r="M36" s="7">
        <f t="shared" si="0"/>
        <v>0.52189250088258554</v>
      </c>
      <c r="N36" s="71"/>
      <c r="O36" s="10">
        <f t="shared" si="37"/>
        <v>0</v>
      </c>
      <c r="P36" s="29" t="str">
        <f t="shared" si="1"/>
        <v>-</v>
      </c>
      <c r="Q36" s="71"/>
      <c r="R36" s="10">
        <f t="shared" si="16"/>
        <v>2501349.271630975</v>
      </c>
      <c r="S36" s="71"/>
      <c r="T36" s="10">
        <f t="shared" si="17"/>
        <v>2501000</v>
      </c>
      <c r="U36" s="71"/>
      <c r="V36" s="10">
        <f t="shared" si="2"/>
        <v>0</v>
      </c>
      <c r="W36" s="10">
        <f t="shared" si="18"/>
        <v>0</v>
      </c>
      <c r="X36" s="71"/>
      <c r="Y36" s="10">
        <f t="shared" si="3"/>
        <v>35000</v>
      </c>
      <c r="Z36" s="10">
        <f t="shared" si="19"/>
        <v>18266.237530890496</v>
      </c>
      <c r="AA36" s="71"/>
      <c r="AB36" s="10">
        <f t="shared" si="4"/>
        <v>0</v>
      </c>
      <c r="AC36" s="10">
        <f t="shared" si="20"/>
        <v>0</v>
      </c>
      <c r="AD36" s="71"/>
      <c r="AE36" s="10">
        <f t="shared" si="5"/>
        <v>0</v>
      </c>
      <c r="AF36" s="10">
        <f t="shared" si="21"/>
        <v>0</v>
      </c>
      <c r="AG36" s="71"/>
      <c r="AH36" s="10">
        <f t="shared" si="6"/>
        <v>1200000</v>
      </c>
      <c r="AI36" s="10">
        <f t="shared" si="22"/>
        <v>626271.00105910259</v>
      </c>
      <c r="AJ36" s="71"/>
      <c r="AK36" s="10">
        <f t="shared" si="7"/>
        <v>0</v>
      </c>
      <c r="AL36" s="10">
        <f t="shared" si="23"/>
        <v>0</v>
      </c>
      <c r="AM36" s="71"/>
      <c r="AN36" s="10">
        <f t="shared" si="8"/>
        <v>0</v>
      </c>
      <c r="AO36" s="10">
        <f t="shared" si="24"/>
        <v>0</v>
      </c>
      <c r="AP36" s="71"/>
      <c r="AQ36" s="10">
        <f t="shared" si="9"/>
        <v>0</v>
      </c>
      <c r="AR36" s="10">
        <f t="shared" si="25"/>
        <v>0</v>
      </c>
      <c r="AS36" s="71"/>
      <c r="AT36" s="7">
        <f>IF($K36&lt;=$F$15,IF($F$40&lt;&gt;"",$F$40/1000,IF(ISERROR(VLOOKUP($F$3&amp;IF($G$4&lt;&gt;"",$G$4,"")&amp;IF($F$43&lt;&gt;"","_"&amp;$F$43,""),'表3）燃料価格'!$AF$9:$AG$25,2,0)),0,VLOOKUP($I36,'表3）燃料価格'!$A$6:$U$66,VLOOKUP($F$3&amp;IF($G$4&lt;&gt;"",$G$4,"")&amp;IF($F$43&lt;&gt;"","_"&amp;$F$43,""),'表3）燃料価格'!$AF$9:$AG$25,2,0)+VLOOKUP($F$41,'表3）燃料価格'!$AF$28:$AG$29,2,0),0)*IF($F$43="需要地価格",1,$F$8/$F$141))),"")</f>
        <v>0</v>
      </c>
      <c r="AU36" s="71"/>
      <c r="AV36" s="10">
        <f t="shared" si="10"/>
        <v>0</v>
      </c>
      <c r="AW36" s="10">
        <f t="shared" si="26"/>
        <v>0</v>
      </c>
      <c r="AX36" s="71"/>
      <c r="AY36" s="7">
        <f>IF(ISERROR(IF($K36&lt;=$F$15,VLOOKUP($I36,'表4）CO2価格'!$A$7:$E$67,VLOOKUP($F$48,'表4）CO2価格'!$H$10:$I$12,2,0),0)*$F$8/1000,"")),0,IF($K36&lt;=$F$15,VLOOKUP($I36,'表4）CO2価格'!$A$7:$E$67,VLOOKUP($F$48,'表4）CO2価格'!$H$10:$I$12,2,0),0)*$F$8/1000,""))</f>
        <v>0</v>
      </c>
      <c r="AZ36" s="71"/>
      <c r="BA36" s="11">
        <f t="shared" si="11"/>
        <v>0</v>
      </c>
      <c r="BB36" s="10">
        <f t="shared" si="27"/>
        <v>0</v>
      </c>
      <c r="BC36" s="71"/>
      <c r="BD36" s="10">
        <f t="shared" si="12"/>
        <v>0</v>
      </c>
      <c r="BE36" s="10">
        <f t="shared" si="28"/>
        <v>0</v>
      </c>
      <c r="BF36" s="71"/>
      <c r="BG36" s="11">
        <f t="shared" si="13"/>
        <v>0</v>
      </c>
      <c r="BH36" s="10">
        <f t="shared" si="29"/>
        <v>0</v>
      </c>
      <c r="BJ36" s="7" t="str">
        <f t="shared" si="30"/>
        <v/>
      </c>
      <c r="BK36" s="158" t="str">
        <f t="shared" si="31"/>
        <v/>
      </c>
      <c r="BL36" s="158" t="str">
        <f t="shared" si="14"/>
        <v/>
      </c>
      <c r="BM36" s="10"/>
      <c r="BN36" s="10" t="str">
        <f t="shared" si="32"/>
        <v/>
      </c>
      <c r="BO36" s="10" t="str">
        <f t="shared" si="33"/>
        <v/>
      </c>
      <c r="BQ36" s="10">
        <f t="shared" si="15"/>
        <v>376680</v>
      </c>
      <c r="BR36" s="10">
        <f t="shared" si="34"/>
        <v>196586.46723245233</v>
      </c>
    </row>
    <row r="37" spans="3:70" x14ac:dyDescent="0.15">
      <c r="I37" s="458">
        <f t="shared" si="35"/>
        <v>2052</v>
      </c>
      <c r="J37" s="39"/>
      <c r="K37" s="39">
        <f t="shared" si="36"/>
        <v>23</v>
      </c>
      <c r="L37" s="39"/>
      <c r="M37" s="40">
        <f t="shared" si="0"/>
        <v>0.50669174842969467</v>
      </c>
      <c r="N37" s="39"/>
      <c r="O37" s="72">
        <f t="shared" si="37"/>
        <v>0</v>
      </c>
      <c r="P37" s="41" t="str">
        <f t="shared" si="1"/>
        <v>-</v>
      </c>
      <c r="Q37" s="39"/>
      <c r="R37" s="72">
        <f t="shared" si="16"/>
        <v>2184493.7601725999</v>
      </c>
      <c r="S37" s="39"/>
      <c r="T37" s="72">
        <f t="shared" si="17"/>
        <v>2184000</v>
      </c>
      <c r="U37" s="39"/>
      <c r="V37" s="72">
        <f t="shared" si="2"/>
        <v>0</v>
      </c>
      <c r="W37" s="72">
        <f t="shared" si="18"/>
        <v>0</v>
      </c>
      <c r="X37" s="39"/>
      <c r="Y37" s="72">
        <f t="shared" si="3"/>
        <v>30500</v>
      </c>
      <c r="Z37" s="72">
        <f t="shared" si="19"/>
        <v>15454.098327105687</v>
      </c>
      <c r="AA37" s="39"/>
      <c r="AB37" s="72">
        <f t="shared" si="4"/>
        <v>0</v>
      </c>
      <c r="AC37" s="72">
        <f t="shared" si="20"/>
        <v>0</v>
      </c>
      <c r="AD37" s="39"/>
      <c r="AE37" s="72">
        <f t="shared" si="5"/>
        <v>0</v>
      </c>
      <c r="AF37" s="72">
        <f t="shared" si="21"/>
        <v>0</v>
      </c>
      <c r="AG37" s="39"/>
      <c r="AH37" s="72">
        <f t="shared" si="6"/>
        <v>1200000</v>
      </c>
      <c r="AI37" s="72">
        <f t="shared" si="22"/>
        <v>608030.09811563359</v>
      </c>
      <c r="AJ37" s="39"/>
      <c r="AK37" s="72">
        <f t="shared" si="7"/>
        <v>0</v>
      </c>
      <c r="AL37" s="72">
        <f t="shared" si="23"/>
        <v>0</v>
      </c>
      <c r="AM37" s="39"/>
      <c r="AN37" s="72">
        <f t="shared" si="8"/>
        <v>0</v>
      </c>
      <c r="AO37" s="72">
        <f t="shared" si="24"/>
        <v>0</v>
      </c>
      <c r="AP37" s="39"/>
      <c r="AQ37" s="72">
        <f t="shared" si="9"/>
        <v>0</v>
      </c>
      <c r="AR37" s="72">
        <f t="shared" si="25"/>
        <v>0</v>
      </c>
      <c r="AS37" s="39"/>
      <c r="AT37" s="40">
        <f>IF($K37&lt;=$F$15,IF($F$40&lt;&gt;"",$F$40/1000,IF(ISERROR(VLOOKUP($F$3&amp;IF($G$4&lt;&gt;"",$G$4,"")&amp;IF($F$43&lt;&gt;"","_"&amp;$F$43,""),'表3）燃料価格'!$AF$9:$AG$25,2,0)),0,VLOOKUP($I37,'表3）燃料価格'!$A$6:$U$66,VLOOKUP($F$3&amp;IF($G$4&lt;&gt;"",$G$4,"")&amp;IF($F$43&lt;&gt;"","_"&amp;$F$43,""),'表3）燃料価格'!$AF$9:$AG$25,2,0)+VLOOKUP($F$41,'表3）燃料価格'!$AF$28:$AG$29,2,0),0)*IF($F$43="需要地価格",1,$F$8/$F$141))),"")</f>
        <v>0</v>
      </c>
      <c r="AU37" s="39"/>
      <c r="AV37" s="72">
        <f t="shared" si="10"/>
        <v>0</v>
      </c>
      <c r="AW37" s="72">
        <f t="shared" si="26"/>
        <v>0</v>
      </c>
      <c r="AX37" s="39"/>
      <c r="AY37" s="40">
        <f>IF(ISERROR(IF($K37&lt;=$F$15,VLOOKUP($I37,'表4）CO2価格'!$A$7:$E$67,VLOOKUP($F$48,'表4）CO2価格'!$H$10:$I$12,2,0),0)*$F$8/1000,"")),0,IF($K37&lt;=$F$15,VLOOKUP($I37,'表4）CO2価格'!$A$7:$E$67,VLOOKUP($F$48,'表4）CO2価格'!$H$10:$I$12,2,0),0)*$F$8/1000,""))</f>
        <v>0</v>
      </c>
      <c r="AZ37" s="39"/>
      <c r="BA37" s="42">
        <f t="shared" si="11"/>
        <v>0</v>
      </c>
      <c r="BB37" s="72">
        <f t="shared" si="27"/>
        <v>0</v>
      </c>
      <c r="BC37" s="39"/>
      <c r="BD37" s="72">
        <f t="shared" si="12"/>
        <v>0</v>
      </c>
      <c r="BE37" s="72">
        <f t="shared" si="28"/>
        <v>0</v>
      </c>
      <c r="BF37" s="39"/>
      <c r="BG37" s="42">
        <f t="shared" si="13"/>
        <v>0</v>
      </c>
      <c r="BH37" s="72">
        <f t="shared" si="29"/>
        <v>0</v>
      </c>
      <c r="BI37" s="39"/>
      <c r="BJ37" s="40" t="str">
        <f t="shared" si="30"/>
        <v/>
      </c>
      <c r="BK37" s="157" t="str">
        <f t="shared" si="31"/>
        <v/>
      </c>
      <c r="BL37" s="157" t="str">
        <f t="shared" si="14"/>
        <v/>
      </c>
      <c r="BM37" s="72"/>
      <c r="BN37" s="72" t="str">
        <f t="shared" si="32"/>
        <v/>
      </c>
      <c r="BO37" s="72" t="str">
        <f t="shared" si="33"/>
        <v/>
      </c>
      <c r="BP37" s="39"/>
      <c r="BQ37" s="72">
        <f t="shared" si="15"/>
        <v>376680</v>
      </c>
      <c r="BR37" s="72">
        <f t="shared" si="34"/>
        <v>190860.64779849738</v>
      </c>
    </row>
    <row r="38" spans="3:70" x14ac:dyDescent="0.15">
      <c r="C38" s="89" t="s">
        <v>508</v>
      </c>
      <c r="D38" s="101"/>
      <c r="E38" s="101"/>
      <c r="F38" s="89"/>
      <c r="G38" s="101"/>
      <c r="I38" s="459">
        <f t="shared" si="35"/>
        <v>2053</v>
      </c>
      <c r="J38" s="71"/>
      <c r="K38" s="71">
        <f t="shared" si="36"/>
        <v>24</v>
      </c>
      <c r="L38" s="71"/>
      <c r="M38" s="7">
        <f t="shared" si="0"/>
        <v>0.49193373633950943</v>
      </c>
      <c r="N38" s="71"/>
      <c r="O38" s="10">
        <f t="shared" si="37"/>
        <v>0</v>
      </c>
      <c r="P38" s="29" t="str">
        <f t="shared" si="1"/>
        <v>-</v>
      </c>
      <c r="Q38" s="71"/>
      <c r="R38" s="10">
        <f t="shared" si="16"/>
        <v>2150000</v>
      </c>
      <c r="S38" s="71"/>
      <c r="T38" s="10">
        <f t="shared" si="17"/>
        <v>2150000</v>
      </c>
      <c r="U38" s="71"/>
      <c r="V38" s="10">
        <f t="shared" si="2"/>
        <v>0</v>
      </c>
      <c r="W38" s="10">
        <f t="shared" si="18"/>
        <v>0</v>
      </c>
      <c r="X38" s="71"/>
      <c r="Y38" s="10">
        <f t="shared" si="3"/>
        <v>30100</v>
      </c>
      <c r="Z38" s="10">
        <f t="shared" si="19"/>
        <v>14807.205463819233</v>
      </c>
      <c r="AA38" s="71"/>
      <c r="AB38" s="10">
        <f t="shared" si="4"/>
        <v>0</v>
      </c>
      <c r="AC38" s="10">
        <f t="shared" si="20"/>
        <v>0</v>
      </c>
      <c r="AD38" s="71"/>
      <c r="AE38" s="10">
        <f t="shared" si="5"/>
        <v>0</v>
      </c>
      <c r="AF38" s="10">
        <f t="shared" si="21"/>
        <v>0</v>
      </c>
      <c r="AG38" s="71"/>
      <c r="AH38" s="10">
        <f t="shared" si="6"/>
        <v>1200000</v>
      </c>
      <c r="AI38" s="10">
        <f t="shared" si="22"/>
        <v>590320.48360741127</v>
      </c>
      <c r="AJ38" s="71"/>
      <c r="AK38" s="10">
        <f t="shared" si="7"/>
        <v>0</v>
      </c>
      <c r="AL38" s="10">
        <f t="shared" si="23"/>
        <v>0</v>
      </c>
      <c r="AM38" s="71"/>
      <c r="AN38" s="10">
        <f t="shared" si="8"/>
        <v>0</v>
      </c>
      <c r="AO38" s="10">
        <f t="shared" si="24"/>
        <v>0</v>
      </c>
      <c r="AP38" s="71"/>
      <c r="AQ38" s="10">
        <f t="shared" si="9"/>
        <v>0</v>
      </c>
      <c r="AR38" s="10">
        <f t="shared" si="25"/>
        <v>0</v>
      </c>
      <c r="AS38" s="71"/>
      <c r="AT38" s="7">
        <f>IF($K38&lt;=$F$15,IF($F$40&lt;&gt;"",$F$40/1000,IF(ISERROR(VLOOKUP($F$3&amp;IF($G$4&lt;&gt;"",$G$4,"")&amp;IF($F$43&lt;&gt;"","_"&amp;$F$43,""),'表3）燃料価格'!$AF$9:$AG$25,2,0)),0,VLOOKUP($I38,'表3）燃料価格'!$A$6:$U$66,VLOOKUP($F$3&amp;IF($G$4&lt;&gt;"",$G$4,"")&amp;IF($F$43&lt;&gt;"","_"&amp;$F$43,""),'表3）燃料価格'!$AF$9:$AG$25,2,0)+VLOOKUP($F$41,'表3）燃料価格'!$AF$28:$AG$29,2,0),0)*IF($F$43="需要地価格",1,$F$8/$F$141))),"")</f>
        <v>0</v>
      </c>
      <c r="AU38" s="71"/>
      <c r="AV38" s="10">
        <f t="shared" si="10"/>
        <v>0</v>
      </c>
      <c r="AW38" s="10">
        <f t="shared" si="26"/>
        <v>0</v>
      </c>
      <c r="AX38" s="71"/>
      <c r="AY38" s="7">
        <f>IF(ISERROR(IF($K38&lt;=$F$15,VLOOKUP($I38,'表4）CO2価格'!$A$7:$E$67,VLOOKUP($F$48,'表4）CO2価格'!$H$10:$I$12,2,0),0)*$F$8/1000,"")),0,IF($K38&lt;=$F$15,VLOOKUP($I38,'表4）CO2価格'!$A$7:$E$67,VLOOKUP($F$48,'表4）CO2価格'!$H$10:$I$12,2,0),0)*$F$8/1000,""))</f>
        <v>0</v>
      </c>
      <c r="AZ38" s="71"/>
      <c r="BA38" s="11">
        <f t="shared" si="11"/>
        <v>0</v>
      </c>
      <c r="BB38" s="10">
        <f t="shared" si="27"/>
        <v>0</v>
      </c>
      <c r="BC38" s="71"/>
      <c r="BD38" s="10">
        <f t="shared" si="12"/>
        <v>0</v>
      </c>
      <c r="BE38" s="10">
        <f t="shared" si="28"/>
        <v>0</v>
      </c>
      <c r="BF38" s="71"/>
      <c r="BG38" s="11">
        <f t="shared" si="13"/>
        <v>0</v>
      </c>
      <c r="BH38" s="10">
        <f t="shared" si="29"/>
        <v>0</v>
      </c>
      <c r="BJ38" s="7" t="str">
        <f t="shared" si="30"/>
        <v/>
      </c>
      <c r="BK38" s="158" t="str">
        <f t="shared" si="31"/>
        <v/>
      </c>
      <c r="BL38" s="158" t="str">
        <f t="shared" si="14"/>
        <v/>
      </c>
      <c r="BM38" s="10"/>
      <c r="BN38" s="10" t="str">
        <f t="shared" si="32"/>
        <v/>
      </c>
      <c r="BO38" s="10" t="str">
        <f t="shared" si="33"/>
        <v/>
      </c>
      <c r="BQ38" s="10">
        <f t="shared" si="15"/>
        <v>376680</v>
      </c>
      <c r="BR38" s="10">
        <f t="shared" si="34"/>
        <v>185301.59980436641</v>
      </c>
    </row>
    <row r="39" spans="3:70" x14ac:dyDescent="0.15">
      <c r="I39" s="458">
        <f t="shared" si="35"/>
        <v>2054</v>
      </c>
      <c r="J39" s="39"/>
      <c r="K39" s="39">
        <f t="shared" si="36"/>
        <v>25</v>
      </c>
      <c r="L39" s="39"/>
      <c r="M39" s="40">
        <f t="shared" si="0"/>
        <v>0.47760556926165965</v>
      </c>
      <c r="N39" s="39"/>
      <c r="O39" s="72">
        <f t="shared" si="37"/>
        <v>0</v>
      </c>
      <c r="P39" s="41" t="str">
        <f t="shared" si="1"/>
        <v>-</v>
      </c>
      <c r="Q39" s="39"/>
      <c r="R39" s="72">
        <f t="shared" si="16"/>
        <v>2150000</v>
      </c>
      <c r="S39" s="39"/>
      <c r="T39" s="72">
        <f t="shared" si="17"/>
        <v>2150000</v>
      </c>
      <c r="U39" s="39"/>
      <c r="V39" s="72">
        <f t="shared" si="2"/>
        <v>0</v>
      </c>
      <c r="W39" s="72">
        <f t="shared" si="18"/>
        <v>0</v>
      </c>
      <c r="X39" s="39"/>
      <c r="Y39" s="72">
        <f t="shared" si="3"/>
        <v>30100</v>
      </c>
      <c r="Z39" s="72">
        <f t="shared" si="19"/>
        <v>14375.927634775955</v>
      </c>
      <c r="AA39" s="39"/>
      <c r="AB39" s="72">
        <f t="shared" si="4"/>
        <v>0</v>
      </c>
      <c r="AC39" s="72">
        <f t="shared" si="20"/>
        <v>0</v>
      </c>
      <c r="AD39" s="39"/>
      <c r="AE39" s="72">
        <f t="shared" si="5"/>
        <v>0</v>
      </c>
      <c r="AF39" s="72">
        <f t="shared" si="21"/>
        <v>0</v>
      </c>
      <c r="AG39" s="39"/>
      <c r="AH39" s="72">
        <f t="shared" si="6"/>
        <v>1200000</v>
      </c>
      <c r="AI39" s="72">
        <f t="shared" si="22"/>
        <v>573126.68311399163</v>
      </c>
      <c r="AJ39" s="39"/>
      <c r="AK39" s="72">
        <f t="shared" si="7"/>
        <v>0</v>
      </c>
      <c r="AL39" s="72">
        <f t="shared" si="23"/>
        <v>0</v>
      </c>
      <c r="AM39" s="39"/>
      <c r="AN39" s="72">
        <f t="shared" si="8"/>
        <v>0</v>
      </c>
      <c r="AO39" s="72">
        <f t="shared" si="24"/>
        <v>0</v>
      </c>
      <c r="AP39" s="39"/>
      <c r="AQ39" s="72">
        <f t="shared" si="9"/>
        <v>0</v>
      </c>
      <c r="AR39" s="72">
        <f t="shared" si="25"/>
        <v>0</v>
      </c>
      <c r="AS39" s="39"/>
      <c r="AT39" s="40">
        <f>IF($K39&lt;=$F$15,IF($F$40&lt;&gt;"",$F$40/1000,IF(ISERROR(VLOOKUP($F$3&amp;IF($G$4&lt;&gt;"",$G$4,"")&amp;IF($F$43&lt;&gt;"","_"&amp;$F$43,""),'表3）燃料価格'!$AF$9:$AG$25,2,0)),0,VLOOKUP($I39,'表3）燃料価格'!$A$6:$U$66,VLOOKUP($F$3&amp;IF($G$4&lt;&gt;"",$G$4,"")&amp;IF($F$43&lt;&gt;"","_"&amp;$F$43,""),'表3）燃料価格'!$AF$9:$AG$25,2,0)+VLOOKUP($F$41,'表3）燃料価格'!$AF$28:$AG$29,2,0),0)*IF($F$43="需要地価格",1,$F$8/$F$141))),"")</f>
        <v>0</v>
      </c>
      <c r="AU39" s="39"/>
      <c r="AV39" s="72">
        <f t="shared" si="10"/>
        <v>0</v>
      </c>
      <c r="AW39" s="72">
        <f t="shared" si="26"/>
        <v>0</v>
      </c>
      <c r="AX39" s="39"/>
      <c r="AY39" s="40">
        <f>IF(ISERROR(IF($K39&lt;=$F$15,VLOOKUP($I39,'表4）CO2価格'!$A$7:$E$67,VLOOKUP($F$48,'表4）CO2価格'!$H$10:$I$12,2,0),0)*$F$8/1000,"")),0,IF($K39&lt;=$F$15,VLOOKUP($I39,'表4）CO2価格'!$A$7:$E$67,VLOOKUP($F$48,'表4）CO2価格'!$H$10:$I$12,2,0),0)*$F$8/1000,""))</f>
        <v>0</v>
      </c>
      <c r="AZ39" s="39"/>
      <c r="BA39" s="42">
        <f t="shared" si="11"/>
        <v>0</v>
      </c>
      <c r="BB39" s="72">
        <f t="shared" si="27"/>
        <v>0</v>
      </c>
      <c r="BC39" s="39"/>
      <c r="BD39" s="72">
        <f t="shared" si="12"/>
        <v>0</v>
      </c>
      <c r="BE39" s="72">
        <f t="shared" si="28"/>
        <v>0</v>
      </c>
      <c r="BF39" s="39"/>
      <c r="BG39" s="42">
        <f t="shared" si="13"/>
        <v>0</v>
      </c>
      <c r="BH39" s="72">
        <f t="shared" si="29"/>
        <v>0</v>
      </c>
      <c r="BI39" s="39"/>
      <c r="BJ39" s="40" t="str">
        <f t="shared" si="30"/>
        <v/>
      </c>
      <c r="BK39" s="157" t="str">
        <f t="shared" si="31"/>
        <v/>
      </c>
      <c r="BL39" s="157" t="str">
        <f t="shared" si="14"/>
        <v/>
      </c>
      <c r="BM39" s="72"/>
      <c r="BN39" s="72" t="str">
        <f t="shared" si="32"/>
        <v/>
      </c>
      <c r="BO39" s="72" t="str">
        <f t="shared" si="33"/>
        <v/>
      </c>
      <c r="BP39" s="39"/>
      <c r="BQ39" s="72">
        <f t="shared" si="15"/>
        <v>376680</v>
      </c>
      <c r="BR39" s="72">
        <f t="shared" si="34"/>
        <v>179904.46582948195</v>
      </c>
    </row>
    <row r="40" spans="3:70" x14ac:dyDescent="0.15">
      <c r="D40" s="81" t="s">
        <v>124</v>
      </c>
      <c r="F40" s="108"/>
      <c r="G40" s="82" t="s">
        <v>178</v>
      </c>
      <c r="I40" s="459">
        <f t="shared" si="35"/>
        <v>2055</v>
      </c>
      <c r="J40" s="71"/>
      <c r="K40" s="71">
        <f t="shared" si="36"/>
        <v>26</v>
      </c>
      <c r="L40" s="71"/>
      <c r="M40" s="7">
        <f t="shared" si="0"/>
        <v>0.46369472743850448</v>
      </c>
      <c r="N40" s="71"/>
      <c r="O40" s="10" t="str">
        <f t="shared" si="37"/>
        <v/>
      </c>
      <c r="P40" s="29" t="str">
        <f t="shared" si="1"/>
        <v/>
      </c>
      <c r="Q40" s="71"/>
      <c r="R40" s="10" t="str">
        <f t="shared" si="16"/>
        <v/>
      </c>
      <c r="S40" s="71"/>
      <c r="T40" s="10" t="str">
        <f t="shared" si="17"/>
        <v/>
      </c>
      <c r="U40" s="71"/>
      <c r="V40" s="10" t="str">
        <f t="shared" si="2"/>
        <v/>
      </c>
      <c r="W40" s="10" t="str">
        <f t="shared" si="18"/>
        <v/>
      </c>
      <c r="X40" s="71"/>
      <c r="Y40" s="10" t="str">
        <f t="shared" si="3"/>
        <v/>
      </c>
      <c r="Z40" s="10" t="str">
        <f t="shared" si="19"/>
        <v/>
      </c>
      <c r="AA40" s="71"/>
      <c r="AB40" s="10">
        <f t="shared" si="4"/>
        <v>2500000</v>
      </c>
      <c r="AC40" s="10">
        <f t="shared" si="20"/>
        <v>1159236.8185962613</v>
      </c>
      <c r="AD40" s="71"/>
      <c r="AE40" s="10" t="str">
        <f t="shared" si="5"/>
        <v/>
      </c>
      <c r="AF40" s="10" t="str">
        <f t="shared" si="21"/>
        <v/>
      </c>
      <c r="AG40" s="71"/>
      <c r="AH40" s="10" t="str">
        <f t="shared" si="6"/>
        <v/>
      </c>
      <c r="AI40" s="10" t="str">
        <f t="shared" si="22"/>
        <v/>
      </c>
      <c r="AJ40" s="71"/>
      <c r="AK40" s="10" t="str">
        <f t="shared" si="7"/>
        <v/>
      </c>
      <c r="AL40" s="10" t="str">
        <f t="shared" si="23"/>
        <v/>
      </c>
      <c r="AM40" s="71"/>
      <c r="AN40" s="10" t="str">
        <f t="shared" si="8"/>
        <v/>
      </c>
      <c r="AO40" s="10" t="str">
        <f t="shared" si="24"/>
        <v/>
      </c>
      <c r="AP40" s="71"/>
      <c r="AQ40" s="10" t="str">
        <f t="shared" si="9"/>
        <v/>
      </c>
      <c r="AR40" s="10" t="str">
        <f t="shared" si="25"/>
        <v/>
      </c>
      <c r="AS40" s="71"/>
      <c r="AT40" s="7" t="str">
        <f>IF($K40&lt;=$F$15,IF($F$40&lt;&gt;"",$F$40/1000,IF(ISERROR(VLOOKUP($F$3&amp;IF($G$4&lt;&gt;"",$G$4,"")&amp;IF($F$43&lt;&gt;"","_"&amp;$F$43,""),'表3）燃料価格'!$AF$9:$AG$25,2,0)),0,VLOOKUP($I40,'表3）燃料価格'!$A$6:$U$66,VLOOKUP($F$3&amp;IF($G$4&lt;&gt;"",$G$4,"")&amp;IF($F$43&lt;&gt;"","_"&amp;$F$43,""),'表3）燃料価格'!$AF$9:$AG$25,2,0)+VLOOKUP($F$41,'表3）燃料価格'!$AF$28:$AG$29,2,0),0)*IF($F$43="需要地価格",1,$F$8/$F$141))),"")</f>
        <v/>
      </c>
      <c r="AU40" s="71"/>
      <c r="AV40" s="10" t="str">
        <f t="shared" si="10"/>
        <v/>
      </c>
      <c r="AW40" s="10" t="str">
        <f t="shared" si="26"/>
        <v/>
      </c>
      <c r="AX40" s="71"/>
      <c r="AY40" s="7" t="str">
        <f>IF(ISERROR(IF($K40&lt;=$F$15,VLOOKUP($I40,'表4）CO2価格'!$A$7:$E$67,VLOOKUP($F$48,'表4）CO2価格'!$H$10:$I$12,2,0),0)*$F$8/1000,"")),0,IF($K40&lt;=$F$15,VLOOKUP($I40,'表4）CO2価格'!$A$7:$E$67,VLOOKUP($F$48,'表4）CO2価格'!$H$10:$I$12,2,0),0)*$F$8/1000,""))</f>
        <v/>
      </c>
      <c r="AZ40" s="71"/>
      <c r="BA40" s="11" t="str">
        <f t="shared" si="11"/>
        <v/>
      </c>
      <c r="BB40" s="10" t="str">
        <f t="shared" si="27"/>
        <v/>
      </c>
      <c r="BC40" s="71"/>
      <c r="BD40" s="10" t="str">
        <f t="shared" si="12"/>
        <v/>
      </c>
      <c r="BE40" s="10" t="str">
        <f t="shared" si="28"/>
        <v/>
      </c>
      <c r="BF40" s="71"/>
      <c r="BG40" s="11" t="str">
        <f t="shared" si="13"/>
        <v/>
      </c>
      <c r="BH40" s="10" t="str">
        <f t="shared" si="29"/>
        <v/>
      </c>
      <c r="BJ40" s="7" t="str">
        <f t="shared" si="30"/>
        <v/>
      </c>
      <c r="BK40" s="158" t="str">
        <f t="shared" si="31"/>
        <v/>
      </c>
      <c r="BL40" s="158" t="str">
        <f t="shared" si="14"/>
        <v/>
      </c>
      <c r="BM40" s="10"/>
      <c r="BN40" s="10" t="str">
        <f t="shared" si="32"/>
        <v/>
      </c>
      <c r="BO40" s="10" t="str">
        <f t="shared" si="33"/>
        <v/>
      </c>
      <c r="BQ40" s="10" t="str">
        <f t="shared" si="15"/>
        <v/>
      </c>
      <c r="BR40" s="10" t="str">
        <f t="shared" si="34"/>
        <v/>
      </c>
    </row>
    <row r="41" spans="3:70" x14ac:dyDescent="0.15">
      <c r="D41" s="81" t="s">
        <v>179</v>
      </c>
      <c r="F41" s="88"/>
      <c r="I41" s="458">
        <f t="shared" si="35"/>
        <v>2056</v>
      </c>
      <c r="J41" s="39"/>
      <c r="K41" s="39">
        <f t="shared" si="36"/>
        <v>27</v>
      </c>
      <c r="L41" s="39"/>
      <c r="M41" s="40">
        <f t="shared" si="0"/>
        <v>0.45018905576553836</v>
      </c>
      <c r="N41" s="39"/>
      <c r="O41" s="72" t="str">
        <f t="shared" si="37"/>
        <v/>
      </c>
      <c r="P41" s="41" t="str">
        <f t="shared" si="1"/>
        <v/>
      </c>
      <c r="Q41" s="39"/>
      <c r="R41" s="72" t="str">
        <f t="shared" si="16"/>
        <v/>
      </c>
      <c r="S41" s="39"/>
      <c r="T41" s="72" t="str">
        <f t="shared" si="17"/>
        <v/>
      </c>
      <c r="U41" s="39"/>
      <c r="V41" s="72" t="str">
        <f t="shared" si="2"/>
        <v/>
      </c>
      <c r="W41" s="72" t="str">
        <f t="shared" si="18"/>
        <v/>
      </c>
      <c r="X41" s="39"/>
      <c r="Y41" s="72" t="str">
        <f t="shared" si="3"/>
        <v/>
      </c>
      <c r="Z41" s="72" t="str">
        <f t="shared" si="19"/>
        <v/>
      </c>
      <c r="AA41" s="39"/>
      <c r="AB41" s="72" t="str">
        <f t="shared" si="4"/>
        <v/>
      </c>
      <c r="AC41" s="72" t="str">
        <f t="shared" si="20"/>
        <v/>
      </c>
      <c r="AD41" s="39"/>
      <c r="AE41" s="72" t="str">
        <f t="shared" si="5"/>
        <v/>
      </c>
      <c r="AF41" s="72" t="str">
        <f t="shared" si="21"/>
        <v/>
      </c>
      <c r="AG41" s="39"/>
      <c r="AH41" s="72" t="str">
        <f t="shared" si="6"/>
        <v/>
      </c>
      <c r="AI41" s="72" t="str">
        <f t="shared" si="22"/>
        <v/>
      </c>
      <c r="AJ41" s="39"/>
      <c r="AK41" s="72" t="str">
        <f t="shared" si="7"/>
        <v/>
      </c>
      <c r="AL41" s="72" t="str">
        <f t="shared" si="23"/>
        <v/>
      </c>
      <c r="AM41" s="39"/>
      <c r="AN41" s="72" t="str">
        <f t="shared" si="8"/>
        <v/>
      </c>
      <c r="AO41" s="72" t="str">
        <f t="shared" si="24"/>
        <v/>
      </c>
      <c r="AP41" s="39"/>
      <c r="AQ41" s="72" t="str">
        <f t="shared" si="9"/>
        <v/>
      </c>
      <c r="AR41" s="72" t="str">
        <f t="shared" si="25"/>
        <v/>
      </c>
      <c r="AS41" s="39"/>
      <c r="AT41" s="40" t="str">
        <f>IF($K41&lt;=$F$15,IF($F$40&lt;&gt;"",$F$40/1000,IF(ISERROR(VLOOKUP($F$3&amp;IF($G$4&lt;&gt;"",$G$4,"")&amp;IF($F$43&lt;&gt;"","_"&amp;$F$43,""),'表3）燃料価格'!$AF$9:$AG$25,2,0)),0,VLOOKUP($I41,'表3）燃料価格'!$A$6:$U$66,VLOOKUP($F$3&amp;IF($G$4&lt;&gt;"",$G$4,"")&amp;IF($F$43&lt;&gt;"","_"&amp;$F$43,""),'表3）燃料価格'!$AF$9:$AG$25,2,0)+VLOOKUP($F$41,'表3）燃料価格'!$AF$28:$AG$29,2,0),0)*IF($F$43="需要地価格",1,$F$8/$F$141))),"")</f>
        <v/>
      </c>
      <c r="AU41" s="39"/>
      <c r="AV41" s="72" t="str">
        <f t="shared" si="10"/>
        <v/>
      </c>
      <c r="AW41" s="72" t="str">
        <f t="shared" si="26"/>
        <v/>
      </c>
      <c r="AX41" s="39"/>
      <c r="AY41" s="40" t="str">
        <f>IF(ISERROR(IF($K41&lt;=$F$15,VLOOKUP($I41,'表4）CO2価格'!$A$7:$E$67,VLOOKUP($F$48,'表4）CO2価格'!$H$10:$I$12,2,0),0)*$F$8/1000,"")),0,IF($K41&lt;=$F$15,VLOOKUP($I41,'表4）CO2価格'!$A$7:$E$67,VLOOKUP($F$48,'表4）CO2価格'!$H$10:$I$12,2,0),0)*$F$8/1000,""))</f>
        <v/>
      </c>
      <c r="AZ41" s="39"/>
      <c r="BA41" s="42" t="str">
        <f t="shared" si="11"/>
        <v/>
      </c>
      <c r="BB41" s="72" t="str">
        <f t="shared" si="27"/>
        <v/>
      </c>
      <c r="BC41" s="39"/>
      <c r="BD41" s="72" t="str">
        <f t="shared" si="12"/>
        <v/>
      </c>
      <c r="BE41" s="72" t="str">
        <f t="shared" si="28"/>
        <v/>
      </c>
      <c r="BF41" s="39"/>
      <c r="BG41" s="42" t="str">
        <f t="shared" si="13"/>
        <v/>
      </c>
      <c r="BH41" s="72" t="str">
        <f t="shared" si="29"/>
        <v/>
      </c>
      <c r="BI41" s="39"/>
      <c r="BJ41" s="40" t="str">
        <f t="shared" si="30"/>
        <v/>
      </c>
      <c r="BK41" s="157" t="str">
        <f t="shared" si="31"/>
        <v/>
      </c>
      <c r="BL41" s="157" t="str">
        <f t="shared" si="14"/>
        <v/>
      </c>
      <c r="BM41" s="72"/>
      <c r="BN41" s="72" t="str">
        <f t="shared" si="32"/>
        <v/>
      </c>
      <c r="BO41" s="72" t="str">
        <f t="shared" si="33"/>
        <v/>
      </c>
      <c r="BP41" s="39"/>
      <c r="BQ41" s="72" t="str">
        <f t="shared" si="15"/>
        <v/>
      </c>
      <c r="BR41" s="72" t="str">
        <f t="shared" si="34"/>
        <v/>
      </c>
    </row>
    <row r="42" spans="3:70" x14ac:dyDescent="0.15">
      <c r="D42" s="81" t="s">
        <v>180</v>
      </c>
      <c r="F42" s="59"/>
      <c r="G42" s="81" t="s">
        <v>181</v>
      </c>
      <c r="I42" s="459">
        <f t="shared" si="35"/>
        <v>2057</v>
      </c>
      <c r="J42" s="71"/>
      <c r="K42" s="71">
        <f t="shared" si="36"/>
        <v>28</v>
      </c>
      <c r="L42" s="71"/>
      <c r="M42" s="7">
        <f t="shared" si="0"/>
        <v>0.4370767531704256</v>
      </c>
      <c r="N42" s="71"/>
      <c r="O42" s="10" t="str">
        <f t="shared" si="37"/>
        <v/>
      </c>
      <c r="P42" s="29" t="str">
        <f t="shared" si="1"/>
        <v/>
      </c>
      <c r="Q42" s="71"/>
      <c r="R42" s="10" t="str">
        <f t="shared" si="16"/>
        <v/>
      </c>
      <c r="S42" s="71"/>
      <c r="T42" s="10" t="str">
        <f t="shared" si="17"/>
        <v/>
      </c>
      <c r="U42" s="71"/>
      <c r="V42" s="10" t="str">
        <f t="shared" si="2"/>
        <v/>
      </c>
      <c r="W42" s="10" t="str">
        <f t="shared" si="18"/>
        <v/>
      </c>
      <c r="X42" s="71"/>
      <c r="Y42" s="10" t="str">
        <f t="shared" si="3"/>
        <v/>
      </c>
      <c r="Z42" s="10" t="str">
        <f t="shared" si="19"/>
        <v/>
      </c>
      <c r="AA42" s="71"/>
      <c r="AB42" s="10" t="str">
        <f t="shared" si="4"/>
        <v/>
      </c>
      <c r="AC42" s="10" t="str">
        <f t="shared" si="20"/>
        <v/>
      </c>
      <c r="AD42" s="71"/>
      <c r="AE42" s="10" t="str">
        <f t="shared" si="5"/>
        <v/>
      </c>
      <c r="AF42" s="10" t="str">
        <f t="shared" si="21"/>
        <v/>
      </c>
      <c r="AG42" s="71"/>
      <c r="AH42" s="10" t="str">
        <f t="shared" si="6"/>
        <v/>
      </c>
      <c r="AI42" s="10" t="str">
        <f t="shared" si="22"/>
        <v/>
      </c>
      <c r="AJ42" s="71"/>
      <c r="AK42" s="10" t="str">
        <f t="shared" si="7"/>
        <v/>
      </c>
      <c r="AL42" s="10" t="str">
        <f t="shared" si="23"/>
        <v/>
      </c>
      <c r="AM42" s="71"/>
      <c r="AN42" s="10" t="str">
        <f t="shared" si="8"/>
        <v/>
      </c>
      <c r="AO42" s="10" t="str">
        <f t="shared" si="24"/>
        <v/>
      </c>
      <c r="AP42" s="71"/>
      <c r="AQ42" s="10" t="str">
        <f t="shared" si="9"/>
        <v/>
      </c>
      <c r="AR42" s="10" t="str">
        <f t="shared" si="25"/>
        <v/>
      </c>
      <c r="AS42" s="71"/>
      <c r="AT42" s="7" t="str">
        <f>IF($K42&lt;=$F$15,IF($F$40&lt;&gt;"",$F$40/1000,IF(ISERROR(VLOOKUP($F$3&amp;IF($G$4&lt;&gt;"",$G$4,"")&amp;IF($F$43&lt;&gt;"","_"&amp;$F$43,""),'表3）燃料価格'!$AF$9:$AG$25,2,0)),0,VLOOKUP($I42,'表3）燃料価格'!$A$6:$U$66,VLOOKUP($F$3&amp;IF($G$4&lt;&gt;"",$G$4,"")&amp;IF($F$43&lt;&gt;"","_"&amp;$F$43,""),'表3）燃料価格'!$AF$9:$AG$25,2,0)+VLOOKUP($F$41,'表3）燃料価格'!$AF$28:$AG$29,2,0),0)*IF($F$43="需要地価格",1,$F$8/$F$141))),"")</f>
        <v/>
      </c>
      <c r="AU42" s="71"/>
      <c r="AV42" s="10" t="str">
        <f t="shared" si="10"/>
        <v/>
      </c>
      <c r="AW42" s="10" t="str">
        <f t="shared" si="26"/>
        <v/>
      </c>
      <c r="AX42" s="71"/>
      <c r="AY42" s="7" t="str">
        <f>IF(ISERROR(IF($K42&lt;=$F$15,VLOOKUP($I42,'表4）CO2価格'!$A$7:$E$67,VLOOKUP($F$48,'表4）CO2価格'!$H$10:$I$12,2,0),0)*$F$8/1000,"")),0,IF($K42&lt;=$F$15,VLOOKUP($I42,'表4）CO2価格'!$A$7:$E$67,VLOOKUP($F$48,'表4）CO2価格'!$H$10:$I$12,2,0),0)*$F$8/1000,""))</f>
        <v/>
      </c>
      <c r="AZ42" s="71"/>
      <c r="BA42" s="11" t="str">
        <f t="shared" si="11"/>
        <v/>
      </c>
      <c r="BB42" s="10" t="str">
        <f t="shared" si="27"/>
        <v/>
      </c>
      <c r="BC42" s="71"/>
      <c r="BD42" s="10" t="str">
        <f t="shared" si="12"/>
        <v/>
      </c>
      <c r="BE42" s="10" t="str">
        <f t="shared" si="28"/>
        <v/>
      </c>
      <c r="BF42" s="71"/>
      <c r="BG42" s="11" t="str">
        <f t="shared" si="13"/>
        <v/>
      </c>
      <c r="BH42" s="10" t="str">
        <f t="shared" si="29"/>
        <v/>
      </c>
      <c r="BJ42" s="7" t="str">
        <f t="shared" si="30"/>
        <v/>
      </c>
      <c r="BK42" s="158" t="str">
        <f t="shared" si="31"/>
        <v/>
      </c>
      <c r="BL42" s="158" t="str">
        <f t="shared" si="14"/>
        <v/>
      </c>
      <c r="BM42" s="10"/>
      <c r="BN42" s="10" t="str">
        <f t="shared" si="32"/>
        <v/>
      </c>
      <c r="BO42" s="10" t="str">
        <f t="shared" si="33"/>
        <v/>
      </c>
      <c r="BQ42" s="10" t="str">
        <f t="shared" si="15"/>
        <v/>
      </c>
      <c r="BR42" s="10" t="str">
        <f t="shared" si="34"/>
        <v/>
      </c>
    </row>
    <row r="43" spans="3:70" x14ac:dyDescent="0.15">
      <c r="D43" s="82" t="s">
        <v>126</v>
      </c>
      <c r="F43" s="88"/>
      <c r="I43" s="458">
        <f t="shared" si="35"/>
        <v>2058</v>
      </c>
      <c r="J43" s="39"/>
      <c r="K43" s="39">
        <f t="shared" si="36"/>
        <v>29</v>
      </c>
      <c r="L43" s="39"/>
      <c r="M43" s="40">
        <f t="shared" si="0"/>
        <v>0.42434636230138412</v>
      </c>
      <c r="N43" s="39"/>
      <c r="O43" s="72" t="str">
        <f t="shared" si="37"/>
        <v/>
      </c>
      <c r="P43" s="41" t="str">
        <f t="shared" si="1"/>
        <v/>
      </c>
      <c r="Q43" s="39"/>
      <c r="R43" s="72" t="str">
        <f t="shared" si="16"/>
        <v/>
      </c>
      <c r="S43" s="39"/>
      <c r="T43" s="72" t="str">
        <f t="shared" si="17"/>
        <v/>
      </c>
      <c r="U43" s="39"/>
      <c r="V43" s="72" t="str">
        <f t="shared" si="2"/>
        <v/>
      </c>
      <c r="W43" s="72" t="str">
        <f t="shared" si="18"/>
        <v/>
      </c>
      <c r="X43" s="39"/>
      <c r="Y43" s="72" t="str">
        <f t="shared" si="3"/>
        <v/>
      </c>
      <c r="Z43" s="72" t="str">
        <f t="shared" si="19"/>
        <v/>
      </c>
      <c r="AA43" s="39"/>
      <c r="AB43" s="72" t="str">
        <f t="shared" si="4"/>
        <v/>
      </c>
      <c r="AC43" s="72" t="str">
        <f t="shared" si="20"/>
        <v/>
      </c>
      <c r="AD43" s="39"/>
      <c r="AE43" s="72" t="str">
        <f t="shared" si="5"/>
        <v/>
      </c>
      <c r="AF43" s="72" t="str">
        <f t="shared" si="21"/>
        <v/>
      </c>
      <c r="AG43" s="39"/>
      <c r="AH43" s="72" t="str">
        <f t="shared" si="6"/>
        <v/>
      </c>
      <c r="AI43" s="72" t="str">
        <f t="shared" si="22"/>
        <v/>
      </c>
      <c r="AJ43" s="39"/>
      <c r="AK43" s="72" t="str">
        <f t="shared" si="7"/>
        <v/>
      </c>
      <c r="AL43" s="72" t="str">
        <f t="shared" si="23"/>
        <v/>
      </c>
      <c r="AM43" s="39"/>
      <c r="AN43" s="72" t="str">
        <f t="shared" si="8"/>
        <v/>
      </c>
      <c r="AO43" s="72" t="str">
        <f t="shared" si="24"/>
        <v/>
      </c>
      <c r="AP43" s="39"/>
      <c r="AQ43" s="72" t="str">
        <f t="shared" si="9"/>
        <v/>
      </c>
      <c r="AR43" s="72" t="str">
        <f t="shared" si="25"/>
        <v/>
      </c>
      <c r="AS43" s="39"/>
      <c r="AT43" s="40" t="str">
        <f>IF($K43&lt;=$F$15,IF($F$40&lt;&gt;"",$F$40/1000,IF(ISERROR(VLOOKUP($F$3&amp;IF($G$4&lt;&gt;"",$G$4,"")&amp;IF($F$43&lt;&gt;"","_"&amp;$F$43,""),'表3）燃料価格'!$AF$9:$AG$25,2,0)),0,VLOOKUP($I43,'表3）燃料価格'!$A$6:$U$66,VLOOKUP($F$3&amp;IF($G$4&lt;&gt;"",$G$4,"")&amp;IF($F$43&lt;&gt;"","_"&amp;$F$43,""),'表3）燃料価格'!$AF$9:$AG$25,2,0)+VLOOKUP($F$41,'表3）燃料価格'!$AF$28:$AG$29,2,0),0)*IF($F$43="需要地価格",1,$F$8/$F$141))),"")</f>
        <v/>
      </c>
      <c r="AU43" s="39"/>
      <c r="AV43" s="72" t="str">
        <f t="shared" si="10"/>
        <v/>
      </c>
      <c r="AW43" s="72" t="str">
        <f t="shared" si="26"/>
        <v/>
      </c>
      <c r="AX43" s="39"/>
      <c r="AY43" s="40" t="str">
        <f>IF(ISERROR(IF($K43&lt;=$F$15,VLOOKUP($I43,'表4）CO2価格'!$A$7:$E$67,VLOOKUP($F$48,'表4）CO2価格'!$H$10:$I$12,2,0),0)*$F$8/1000,"")),0,IF($K43&lt;=$F$15,VLOOKUP($I43,'表4）CO2価格'!$A$7:$E$67,VLOOKUP($F$48,'表4）CO2価格'!$H$10:$I$12,2,0),0)*$F$8/1000,""))</f>
        <v/>
      </c>
      <c r="AZ43" s="39"/>
      <c r="BA43" s="42" t="str">
        <f t="shared" si="11"/>
        <v/>
      </c>
      <c r="BB43" s="72" t="str">
        <f t="shared" si="27"/>
        <v/>
      </c>
      <c r="BC43" s="39"/>
      <c r="BD43" s="72" t="str">
        <f t="shared" si="12"/>
        <v/>
      </c>
      <c r="BE43" s="72" t="str">
        <f t="shared" si="28"/>
        <v/>
      </c>
      <c r="BF43" s="39"/>
      <c r="BG43" s="42" t="str">
        <f t="shared" si="13"/>
        <v/>
      </c>
      <c r="BH43" s="72" t="str">
        <f t="shared" si="29"/>
        <v/>
      </c>
      <c r="BI43" s="39"/>
      <c r="BJ43" s="40" t="str">
        <f t="shared" si="30"/>
        <v/>
      </c>
      <c r="BK43" s="157" t="str">
        <f t="shared" si="31"/>
        <v/>
      </c>
      <c r="BL43" s="157" t="str">
        <f t="shared" si="14"/>
        <v/>
      </c>
      <c r="BM43" s="72"/>
      <c r="BN43" s="72" t="str">
        <f t="shared" si="32"/>
        <v/>
      </c>
      <c r="BO43" s="72" t="str">
        <f t="shared" si="33"/>
        <v/>
      </c>
      <c r="BP43" s="39"/>
      <c r="BQ43" s="72" t="str">
        <f t="shared" si="15"/>
        <v/>
      </c>
      <c r="BR43" s="72" t="str">
        <f t="shared" si="34"/>
        <v/>
      </c>
    </row>
    <row r="44" spans="3:70" x14ac:dyDescent="0.15">
      <c r="I44" s="459">
        <f t="shared" si="35"/>
        <v>2059</v>
      </c>
      <c r="J44" s="71"/>
      <c r="K44" s="71">
        <f t="shared" si="36"/>
        <v>30</v>
      </c>
      <c r="L44" s="71"/>
      <c r="M44" s="7">
        <f t="shared" si="0"/>
        <v>0.41198675951590691</v>
      </c>
      <c r="N44" s="71"/>
      <c r="O44" s="10" t="str">
        <f t="shared" si="37"/>
        <v/>
      </c>
      <c r="P44" s="29" t="str">
        <f t="shared" si="1"/>
        <v/>
      </c>
      <c r="Q44" s="71"/>
      <c r="R44" s="10" t="str">
        <f t="shared" si="16"/>
        <v/>
      </c>
      <c r="S44" s="71"/>
      <c r="T44" s="10" t="str">
        <f t="shared" si="17"/>
        <v/>
      </c>
      <c r="U44" s="71"/>
      <c r="V44" s="10" t="str">
        <f t="shared" si="2"/>
        <v/>
      </c>
      <c r="W44" s="10" t="str">
        <f t="shared" si="18"/>
        <v/>
      </c>
      <c r="X44" s="71"/>
      <c r="Y44" s="10" t="str">
        <f t="shared" si="3"/>
        <v/>
      </c>
      <c r="Z44" s="10" t="str">
        <f t="shared" si="19"/>
        <v/>
      </c>
      <c r="AA44" s="71"/>
      <c r="AB44" s="10" t="str">
        <f t="shared" si="4"/>
        <v/>
      </c>
      <c r="AC44" s="10" t="str">
        <f t="shared" si="20"/>
        <v/>
      </c>
      <c r="AD44" s="71"/>
      <c r="AE44" s="10" t="str">
        <f t="shared" si="5"/>
        <v/>
      </c>
      <c r="AF44" s="10" t="str">
        <f t="shared" si="21"/>
        <v/>
      </c>
      <c r="AG44" s="71"/>
      <c r="AH44" s="10" t="str">
        <f t="shared" si="6"/>
        <v/>
      </c>
      <c r="AI44" s="10" t="str">
        <f t="shared" si="22"/>
        <v/>
      </c>
      <c r="AJ44" s="71"/>
      <c r="AK44" s="10" t="str">
        <f t="shared" si="7"/>
        <v/>
      </c>
      <c r="AL44" s="10" t="str">
        <f t="shared" si="23"/>
        <v/>
      </c>
      <c r="AM44" s="71"/>
      <c r="AN44" s="10" t="str">
        <f t="shared" si="8"/>
        <v/>
      </c>
      <c r="AO44" s="10" t="str">
        <f t="shared" si="24"/>
        <v/>
      </c>
      <c r="AP44" s="71"/>
      <c r="AQ44" s="10" t="str">
        <f t="shared" si="9"/>
        <v/>
      </c>
      <c r="AR44" s="10" t="str">
        <f t="shared" si="25"/>
        <v/>
      </c>
      <c r="AS44" s="71"/>
      <c r="AT44" s="7" t="str">
        <f>IF($K44&lt;=$F$15,IF($F$40&lt;&gt;"",$F$40/1000,IF(ISERROR(VLOOKUP($F$3&amp;IF($G$4&lt;&gt;"",$G$4,"")&amp;IF($F$43&lt;&gt;"","_"&amp;$F$43,""),'表3）燃料価格'!$AF$9:$AG$25,2,0)),0,VLOOKUP($I44,'表3）燃料価格'!$A$6:$U$66,VLOOKUP($F$3&amp;IF($G$4&lt;&gt;"",$G$4,"")&amp;IF($F$43&lt;&gt;"","_"&amp;$F$43,""),'表3）燃料価格'!$AF$9:$AG$25,2,0)+VLOOKUP($F$41,'表3）燃料価格'!$AF$28:$AG$29,2,0),0)*IF($F$43="需要地価格",1,$F$8/$F$141))),"")</f>
        <v/>
      </c>
      <c r="AU44" s="71"/>
      <c r="AV44" s="10" t="str">
        <f t="shared" si="10"/>
        <v/>
      </c>
      <c r="AW44" s="10" t="str">
        <f t="shared" si="26"/>
        <v/>
      </c>
      <c r="AX44" s="71"/>
      <c r="AY44" s="7" t="str">
        <f>IF(ISERROR(IF($K44&lt;=$F$15,VLOOKUP($I44,'表4）CO2価格'!$A$7:$E$67,VLOOKUP($F$48,'表4）CO2価格'!$H$10:$I$12,2,0),0)*$F$8/1000,"")),0,IF($K44&lt;=$F$15,VLOOKUP($I44,'表4）CO2価格'!$A$7:$E$67,VLOOKUP($F$48,'表4）CO2価格'!$H$10:$I$12,2,0),0)*$F$8/1000,""))</f>
        <v/>
      </c>
      <c r="AZ44" s="71"/>
      <c r="BA44" s="11" t="str">
        <f t="shared" si="11"/>
        <v/>
      </c>
      <c r="BB44" s="10" t="str">
        <f t="shared" si="27"/>
        <v/>
      </c>
      <c r="BC44" s="71"/>
      <c r="BD44" s="10" t="str">
        <f t="shared" si="12"/>
        <v/>
      </c>
      <c r="BE44" s="10" t="str">
        <f t="shared" si="28"/>
        <v/>
      </c>
      <c r="BF44" s="71"/>
      <c r="BG44" s="11" t="str">
        <f t="shared" si="13"/>
        <v/>
      </c>
      <c r="BH44" s="10" t="str">
        <f t="shared" si="29"/>
        <v/>
      </c>
      <c r="BJ44" s="7" t="str">
        <f t="shared" si="30"/>
        <v/>
      </c>
      <c r="BK44" s="158" t="str">
        <f t="shared" si="31"/>
        <v/>
      </c>
      <c r="BL44" s="158" t="str">
        <f t="shared" si="14"/>
        <v/>
      </c>
      <c r="BM44" s="10"/>
      <c r="BN44" s="10" t="str">
        <f t="shared" si="32"/>
        <v/>
      </c>
      <c r="BO44" s="10" t="str">
        <f t="shared" si="33"/>
        <v/>
      </c>
      <c r="BQ44" s="10" t="str">
        <f t="shared" si="15"/>
        <v/>
      </c>
      <c r="BR44" s="10" t="str">
        <f t="shared" si="34"/>
        <v/>
      </c>
    </row>
    <row r="45" spans="3:70" x14ac:dyDescent="0.15">
      <c r="C45" s="89" t="s">
        <v>509</v>
      </c>
      <c r="D45" s="101"/>
      <c r="E45" s="101"/>
      <c r="F45" s="89"/>
      <c r="G45" s="101"/>
      <c r="I45" s="458">
        <f t="shared" si="35"/>
        <v>2060</v>
      </c>
      <c r="J45" s="39"/>
      <c r="K45" s="39">
        <f t="shared" si="36"/>
        <v>31</v>
      </c>
      <c r="L45" s="39"/>
      <c r="M45" s="40">
        <f t="shared" si="0"/>
        <v>0.39998714516107459</v>
      </c>
      <c r="N45" s="39"/>
      <c r="O45" s="72" t="str">
        <f t="shared" si="37"/>
        <v/>
      </c>
      <c r="P45" s="41" t="str">
        <f t="shared" si="1"/>
        <v/>
      </c>
      <c r="Q45" s="39"/>
      <c r="R45" s="72" t="str">
        <f t="shared" si="16"/>
        <v/>
      </c>
      <c r="S45" s="39"/>
      <c r="T45" s="72" t="str">
        <f t="shared" si="17"/>
        <v/>
      </c>
      <c r="U45" s="39"/>
      <c r="V45" s="72" t="str">
        <f t="shared" si="2"/>
        <v/>
      </c>
      <c r="W45" s="72" t="str">
        <f t="shared" si="18"/>
        <v/>
      </c>
      <c r="X45" s="39"/>
      <c r="Y45" s="72" t="str">
        <f t="shared" si="3"/>
        <v/>
      </c>
      <c r="Z45" s="72" t="str">
        <f t="shared" si="19"/>
        <v/>
      </c>
      <c r="AA45" s="39"/>
      <c r="AB45" s="72" t="str">
        <f t="shared" si="4"/>
        <v/>
      </c>
      <c r="AC45" s="72" t="str">
        <f t="shared" si="20"/>
        <v/>
      </c>
      <c r="AD45" s="39"/>
      <c r="AE45" s="72" t="str">
        <f t="shared" si="5"/>
        <v/>
      </c>
      <c r="AF45" s="72" t="str">
        <f t="shared" si="21"/>
        <v/>
      </c>
      <c r="AG45" s="39"/>
      <c r="AH45" s="72" t="str">
        <f t="shared" si="6"/>
        <v/>
      </c>
      <c r="AI45" s="72" t="str">
        <f t="shared" si="22"/>
        <v/>
      </c>
      <c r="AJ45" s="39"/>
      <c r="AK45" s="72" t="str">
        <f t="shared" si="7"/>
        <v/>
      </c>
      <c r="AL45" s="72" t="str">
        <f t="shared" si="23"/>
        <v/>
      </c>
      <c r="AM45" s="39"/>
      <c r="AN45" s="72" t="str">
        <f t="shared" si="8"/>
        <v/>
      </c>
      <c r="AO45" s="72" t="str">
        <f t="shared" si="24"/>
        <v/>
      </c>
      <c r="AP45" s="39"/>
      <c r="AQ45" s="72" t="str">
        <f t="shared" si="9"/>
        <v/>
      </c>
      <c r="AR45" s="72" t="str">
        <f t="shared" si="25"/>
        <v/>
      </c>
      <c r="AS45" s="39"/>
      <c r="AT45" s="40" t="str">
        <f>IF($K45&lt;=$F$15,IF($F$40&lt;&gt;"",$F$40/1000,IF(ISERROR(VLOOKUP($F$3&amp;IF($G$4&lt;&gt;"",$G$4,"")&amp;IF($F$43&lt;&gt;"","_"&amp;$F$43,""),'表3）燃料価格'!$AF$9:$AG$25,2,0)),0,VLOOKUP($I45,'表3）燃料価格'!$A$6:$U$66,VLOOKUP($F$3&amp;IF($G$4&lt;&gt;"",$G$4,"")&amp;IF($F$43&lt;&gt;"","_"&amp;$F$43,""),'表3）燃料価格'!$AF$9:$AG$25,2,0)+VLOOKUP($F$41,'表3）燃料価格'!$AF$28:$AG$29,2,0),0)*IF($F$43="需要地価格",1,$F$8/$F$141))),"")</f>
        <v/>
      </c>
      <c r="AU45" s="39"/>
      <c r="AV45" s="72" t="str">
        <f t="shared" si="10"/>
        <v/>
      </c>
      <c r="AW45" s="72" t="str">
        <f t="shared" si="26"/>
        <v/>
      </c>
      <c r="AX45" s="39"/>
      <c r="AY45" s="40" t="str">
        <f>IF(ISERROR(IF($K45&lt;=$F$15,VLOOKUP($I45,'表4）CO2価格'!$A$7:$E$67,VLOOKUP($F$48,'表4）CO2価格'!$H$10:$I$12,2,0),0)*$F$8/1000,"")),0,IF($K45&lt;=$F$15,VLOOKUP($I45,'表4）CO2価格'!$A$7:$E$67,VLOOKUP($F$48,'表4）CO2価格'!$H$10:$I$12,2,0),0)*$F$8/1000,""))</f>
        <v/>
      </c>
      <c r="AZ45" s="39"/>
      <c r="BA45" s="42" t="str">
        <f t="shared" si="11"/>
        <v/>
      </c>
      <c r="BB45" s="72" t="str">
        <f t="shared" si="27"/>
        <v/>
      </c>
      <c r="BC45" s="39"/>
      <c r="BD45" s="72" t="str">
        <f t="shared" si="12"/>
        <v/>
      </c>
      <c r="BE45" s="72" t="str">
        <f t="shared" si="28"/>
        <v/>
      </c>
      <c r="BF45" s="39"/>
      <c r="BG45" s="42" t="str">
        <f t="shared" si="13"/>
        <v/>
      </c>
      <c r="BH45" s="72" t="str">
        <f t="shared" si="29"/>
        <v/>
      </c>
      <c r="BI45" s="39"/>
      <c r="BJ45" s="40" t="str">
        <f t="shared" si="30"/>
        <v/>
      </c>
      <c r="BK45" s="157" t="str">
        <f t="shared" si="31"/>
        <v/>
      </c>
      <c r="BL45" s="157" t="str">
        <f t="shared" si="14"/>
        <v/>
      </c>
      <c r="BM45" s="72"/>
      <c r="BN45" s="72" t="str">
        <f t="shared" si="32"/>
        <v/>
      </c>
      <c r="BO45" s="72" t="str">
        <f t="shared" si="33"/>
        <v/>
      </c>
      <c r="BP45" s="39"/>
      <c r="BQ45" s="72" t="str">
        <f t="shared" si="15"/>
        <v/>
      </c>
      <c r="BR45" s="72" t="str">
        <f t="shared" si="34"/>
        <v/>
      </c>
    </row>
    <row r="46" spans="3:70" x14ac:dyDescent="0.15">
      <c r="I46" s="459">
        <f t="shared" si="35"/>
        <v>2061</v>
      </c>
      <c r="J46" s="71"/>
      <c r="K46" s="71">
        <f t="shared" si="36"/>
        <v>32</v>
      </c>
      <c r="L46" s="71"/>
      <c r="M46" s="7">
        <f t="shared" si="0"/>
        <v>0.38833703413696569</v>
      </c>
      <c r="N46" s="71"/>
      <c r="O46" s="10" t="str">
        <f t="shared" si="37"/>
        <v/>
      </c>
      <c r="P46" s="29" t="str">
        <f t="shared" si="1"/>
        <v/>
      </c>
      <c r="Q46" s="71"/>
      <c r="R46" s="10" t="str">
        <f t="shared" si="16"/>
        <v/>
      </c>
      <c r="S46" s="71"/>
      <c r="T46" s="10" t="str">
        <f t="shared" si="17"/>
        <v/>
      </c>
      <c r="U46" s="71"/>
      <c r="V46" s="10" t="str">
        <f t="shared" si="2"/>
        <v/>
      </c>
      <c r="W46" s="10" t="str">
        <f t="shared" si="18"/>
        <v/>
      </c>
      <c r="X46" s="71"/>
      <c r="Y46" s="10" t="str">
        <f t="shared" si="3"/>
        <v/>
      </c>
      <c r="Z46" s="10" t="str">
        <f t="shared" si="19"/>
        <v/>
      </c>
      <c r="AA46" s="71"/>
      <c r="AB46" s="10" t="str">
        <f t="shared" si="4"/>
        <v/>
      </c>
      <c r="AC46" s="10" t="str">
        <f t="shared" si="20"/>
        <v/>
      </c>
      <c r="AD46" s="71"/>
      <c r="AE46" s="10" t="str">
        <f t="shared" si="5"/>
        <v/>
      </c>
      <c r="AF46" s="10" t="str">
        <f t="shared" si="21"/>
        <v/>
      </c>
      <c r="AG46" s="71"/>
      <c r="AH46" s="10" t="str">
        <f t="shared" si="6"/>
        <v/>
      </c>
      <c r="AI46" s="10" t="str">
        <f t="shared" si="22"/>
        <v/>
      </c>
      <c r="AJ46" s="71"/>
      <c r="AK46" s="10" t="str">
        <f t="shared" si="7"/>
        <v/>
      </c>
      <c r="AL46" s="10" t="str">
        <f t="shared" si="23"/>
        <v/>
      </c>
      <c r="AM46" s="71"/>
      <c r="AN46" s="10" t="str">
        <f t="shared" si="8"/>
        <v/>
      </c>
      <c r="AO46" s="10" t="str">
        <f t="shared" si="24"/>
        <v/>
      </c>
      <c r="AP46" s="71"/>
      <c r="AQ46" s="10" t="str">
        <f t="shared" si="9"/>
        <v/>
      </c>
      <c r="AR46" s="10" t="str">
        <f t="shared" si="25"/>
        <v/>
      </c>
      <c r="AS46" s="71"/>
      <c r="AT46" s="7" t="str">
        <f>IF($K46&lt;=$F$15,IF($F$40&lt;&gt;"",$F$40/1000,IF(ISERROR(VLOOKUP($F$3&amp;IF($G$4&lt;&gt;"",$G$4,"")&amp;IF($F$43&lt;&gt;"","_"&amp;$F$43,""),'表3）燃料価格'!$AF$9:$AG$25,2,0)),0,VLOOKUP($I46,'表3）燃料価格'!$A$6:$U$66,VLOOKUP($F$3&amp;IF($G$4&lt;&gt;"",$G$4,"")&amp;IF($F$43&lt;&gt;"","_"&amp;$F$43,""),'表3）燃料価格'!$AF$9:$AG$25,2,0)+VLOOKUP($F$41,'表3）燃料価格'!$AF$28:$AG$29,2,0),0)*IF($F$43="需要地価格",1,$F$8/$F$141))),"")</f>
        <v/>
      </c>
      <c r="AU46" s="71"/>
      <c r="AV46" s="10" t="str">
        <f t="shared" si="10"/>
        <v/>
      </c>
      <c r="AW46" s="10" t="str">
        <f t="shared" si="26"/>
        <v/>
      </c>
      <c r="AX46" s="71"/>
      <c r="AY46" s="7" t="str">
        <f>IF(ISERROR(IF($K46&lt;=$F$15,VLOOKUP($I46,'表4）CO2価格'!$A$7:$E$67,VLOOKUP($F$48,'表4）CO2価格'!$H$10:$I$12,2,0),0)*$F$8/1000,"")),0,IF($K46&lt;=$F$15,VLOOKUP($I46,'表4）CO2価格'!$A$7:$E$67,VLOOKUP($F$48,'表4）CO2価格'!$H$10:$I$12,2,0),0)*$F$8/1000,""))</f>
        <v/>
      </c>
      <c r="AZ46" s="71"/>
      <c r="BA46" s="11" t="str">
        <f t="shared" si="11"/>
        <v/>
      </c>
      <c r="BB46" s="10" t="str">
        <f t="shared" si="27"/>
        <v/>
      </c>
      <c r="BC46" s="71"/>
      <c r="BD46" s="10" t="str">
        <f t="shared" si="12"/>
        <v/>
      </c>
      <c r="BE46" s="10" t="str">
        <f t="shared" si="28"/>
        <v/>
      </c>
      <c r="BF46" s="71"/>
      <c r="BG46" s="11" t="str">
        <f t="shared" si="13"/>
        <v/>
      </c>
      <c r="BH46" s="10" t="str">
        <f t="shared" si="29"/>
        <v/>
      </c>
      <c r="BJ46" s="7" t="str">
        <f t="shared" si="30"/>
        <v/>
      </c>
      <c r="BK46" s="158" t="str">
        <f t="shared" si="31"/>
        <v/>
      </c>
      <c r="BL46" s="158" t="str">
        <f t="shared" si="14"/>
        <v/>
      </c>
      <c r="BM46" s="10"/>
      <c r="BN46" s="10" t="str">
        <f t="shared" si="32"/>
        <v/>
      </c>
      <c r="BO46" s="10" t="str">
        <f t="shared" si="33"/>
        <v/>
      </c>
      <c r="BQ46" s="10" t="str">
        <f t="shared" si="15"/>
        <v/>
      </c>
      <c r="BR46" s="10" t="str">
        <f t="shared" si="34"/>
        <v/>
      </c>
    </row>
    <row r="47" spans="3:70" x14ac:dyDescent="0.15">
      <c r="D47" s="81" t="s">
        <v>182</v>
      </c>
      <c r="F47" s="66"/>
      <c r="G47" s="81" t="s">
        <v>226</v>
      </c>
      <c r="I47" s="458">
        <f t="shared" si="35"/>
        <v>2062</v>
      </c>
      <c r="J47" s="39"/>
      <c r="K47" s="39">
        <f t="shared" si="36"/>
        <v>33</v>
      </c>
      <c r="L47" s="39"/>
      <c r="M47" s="40">
        <f t="shared" si="0"/>
        <v>0.37702624673491814</v>
      </c>
      <c r="N47" s="39"/>
      <c r="O47" s="72" t="str">
        <f t="shared" si="37"/>
        <v/>
      </c>
      <c r="P47" s="41" t="str">
        <f t="shared" ref="P47:P78" si="38">IF(K47&lt;=$F$15,IF(OR(P46=$F$124,P46="-"),"-",IF(O47*$F$123&gt;$F$127,$F$123,$F$124)),"")</f>
        <v/>
      </c>
      <c r="Q47" s="39"/>
      <c r="R47" s="72" t="str">
        <f t="shared" si="16"/>
        <v/>
      </c>
      <c r="S47" s="39"/>
      <c r="T47" s="72" t="str">
        <f t="shared" si="17"/>
        <v/>
      </c>
      <c r="U47" s="39"/>
      <c r="V47" s="72" t="str">
        <f t="shared" ref="V47:V78" si="39">IF(K47&lt;=$F$15,IF(K47&lt;$F$119,IF(P47="-",V46,O47*P47),IF(K47=$F$119,MIN(IF(P47="-",V46,O47*P47),O47),0)),"")</f>
        <v/>
      </c>
      <c r="W47" s="72" t="str">
        <f t="shared" si="18"/>
        <v/>
      </c>
      <c r="X47" s="39"/>
      <c r="Y47" s="72" t="str">
        <f t="shared" ref="Y47:Y78" si="40">IF($K47&lt;=$F$15,ROUNDDOWN(T47*$F$25/100,-2),"")</f>
        <v/>
      </c>
      <c r="Z47" s="72" t="str">
        <f t="shared" si="19"/>
        <v/>
      </c>
      <c r="AA47" s="39"/>
      <c r="AB47" s="72" t="str">
        <f t="shared" si="4"/>
        <v/>
      </c>
      <c r="AC47" s="72" t="str">
        <f t="shared" si="20"/>
        <v/>
      </c>
      <c r="AD47" s="39"/>
      <c r="AE47" s="72" t="str">
        <f t="shared" ref="AE47:AE78" si="41">IF($K47&lt;=$F$15,$F$26,"")</f>
        <v/>
      </c>
      <c r="AF47" s="72" t="str">
        <f t="shared" si="21"/>
        <v/>
      </c>
      <c r="AG47" s="39"/>
      <c r="AH47" s="72" t="str">
        <f t="shared" ref="AH47:AH78" si="42">IF($K47&lt;=$F$15,$F$33*10^4*$F$13*10^4,"")</f>
        <v/>
      </c>
      <c r="AI47" s="72" t="str">
        <f t="shared" si="22"/>
        <v/>
      </c>
      <c r="AJ47" s="39"/>
      <c r="AK47" s="72" t="str">
        <f t="shared" ref="AK47:AK78" si="43">IF($K47&lt;=$F$15,$F$117*$F$34/100,"")</f>
        <v/>
      </c>
      <c r="AL47" s="72" t="str">
        <f t="shared" si="23"/>
        <v/>
      </c>
      <c r="AM47" s="39"/>
      <c r="AN47" s="72" t="str">
        <f t="shared" ref="AN47:AN78" si="44">IF($K47&lt;=$F$15,$F$117*$F$35/100,"")</f>
        <v/>
      </c>
      <c r="AO47" s="72" t="str">
        <f t="shared" si="24"/>
        <v/>
      </c>
      <c r="AP47" s="39"/>
      <c r="AQ47" s="72" t="str">
        <f t="shared" ref="AQ47:AQ78" si="45">IF($K47&lt;=$F$15,SUM(AH47,AK47,AN47)*($F$36/100),"")</f>
        <v/>
      </c>
      <c r="AR47" s="72" t="str">
        <f t="shared" si="25"/>
        <v/>
      </c>
      <c r="AS47" s="39"/>
      <c r="AT47" s="40" t="str">
        <f>IF($K47&lt;=$F$15,IF($F$40&lt;&gt;"",$F$40/1000,IF(ISERROR(VLOOKUP($F$3&amp;IF($G$4&lt;&gt;"",$G$4,"")&amp;IF($F$43&lt;&gt;"","_"&amp;$F$43,""),'表3）燃料価格'!$AF$9:$AG$25,2,0)),0,VLOOKUP($I47,'表3）燃料価格'!$A$6:$U$66,VLOOKUP($F$3&amp;IF($G$4&lt;&gt;"",$G$4,"")&amp;IF($F$43&lt;&gt;"","_"&amp;$F$43,""),'表3）燃料価格'!$AF$9:$AG$25,2,0)+VLOOKUP($F$41,'表3）燃料価格'!$AF$28:$AG$29,2,0),0)*IF($F$43="需要地価格",1,$F$8/$F$141))),"")</f>
        <v/>
      </c>
      <c r="AU47" s="39"/>
      <c r="AV47" s="72" t="str">
        <f t="shared" ref="AV47:AV78" si="46">IF($K47&lt;=$F$15,($AT47+$F$142)*$F$137,"")</f>
        <v/>
      </c>
      <c r="AW47" s="72" t="str">
        <f t="shared" si="26"/>
        <v/>
      </c>
      <c r="AX47" s="39"/>
      <c r="AY47" s="40" t="str">
        <f>IF(ISERROR(IF($K47&lt;=$F$15,VLOOKUP($I47,'表4）CO2価格'!$A$7:$E$67,VLOOKUP($F$48,'表4）CO2価格'!$H$10:$I$12,2,0),0)*$F$8/1000,"")),0,IF($K47&lt;=$F$15,VLOOKUP($I47,'表4）CO2価格'!$A$7:$E$67,VLOOKUP($F$48,'表4）CO2価格'!$H$10:$I$12,2,0),0)*$F$8/1000,""))</f>
        <v/>
      </c>
      <c r="AZ47" s="39"/>
      <c r="BA47" s="42" t="str">
        <f t="shared" ref="BA47:BA78" si="47">IF($K47&lt;=$F$15,$F$145*AY47,"")</f>
        <v/>
      </c>
      <c r="BB47" s="72" t="str">
        <f t="shared" si="27"/>
        <v/>
      </c>
      <c r="BC47" s="39"/>
      <c r="BD47" s="72" t="str">
        <f t="shared" ref="BD47:BD78" si="48">IF($K47&lt;=$F$15,($AT47+$F$152)*$F$151,"")</f>
        <v/>
      </c>
      <c r="BE47" s="72" t="str">
        <f t="shared" si="28"/>
        <v/>
      </c>
      <c r="BF47" s="39"/>
      <c r="BG47" s="42" t="str">
        <f t="shared" ref="BG47:BG78" si="49">IF($K47&lt;=$F$15,$F$153*AY47,"")</f>
        <v/>
      </c>
      <c r="BH47" s="72" t="str">
        <f t="shared" si="29"/>
        <v/>
      </c>
      <c r="BI47" s="39"/>
      <c r="BJ47" s="40" t="str">
        <f t="shared" si="30"/>
        <v/>
      </c>
      <c r="BK47" s="157" t="str">
        <f t="shared" si="31"/>
        <v/>
      </c>
      <c r="BL47" s="157" t="str">
        <f t="shared" si="14"/>
        <v/>
      </c>
      <c r="BM47" s="72"/>
      <c r="BN47" s="72" t="str">
        <f t="shared" si="32"/>
        <v/>
      </c>
      <c r="BO47" s="72" t="str">
        <f t="shared" si="33"/>
        <v/>
      </c>
      <c r="BP47" s="39"/>
      <c r="BQ47" s="72" t="str">
        <f t="shared" ref="BQ47:BQ78" si="50">IF($K47&lt;=$F$15,$F$134,"")</f>
        <v/>
      </c>
      <c r="BR47" s="72" t="str">
        <f t="shared" si="34"/>
        <v/>
      </c>
    </row>
    <row r="48" spans="3:70" x14ac:dyDescent="0.15">
      <c r="D48" s="81" t="s">
        <v>184</v>
      </c>
      <c r="F48" s="88"/>
      <c r="I48" s="459">
        <f t="shared" si="35"/>
        <v>2063</v>
      </c>
      <c r="J48" s="71"/>
      <c r="K48" s="71">
        <f t="shared" si="36"/>
        <v>34</v>
      </c>
      <c r="L48" s="71"/>
      <c r="M48" s="7">
        <f t="shared" si="0"/>
        <v>0.36604489974263904</v>
      </c>
      <c r="N48" s="71"/>
      <c r="O48" s="10" t="str">
        <f t="shared" si="37"/>
        <v/>
      </c>
      <c r="P48" s="29" t="str">
        <f t="shared" si="38"/>
        <v/>
      </c>
      <c r="Q48" s="71"/>
      <c r="R48" s="10" t="str">
        <f t="shared" ref="R48:R79" si="51">IF($K48&lt;=$F$15,MAX($F$117*5%,R47*$F$129),"")</f>
        <v/>
      </c>
      <c r="S48" s="71"/>
      <c r="T48" s="10" t="str">
        <f t="shared" si="17"/>
        <v/>
      </c>
      <c r="U48" s="71"/>
      <c r="V48" s="10" t="str">
        <f t="shared" si="39"/>
        <v/>
      </c>
      <c r="W48" s="10" t="str">
        <f t="shared" si="18"/>
        <v/>
      </c>
      <c r="X48" s="71"/>
      <c r="Y48" s="10" t="str">
        <f t="shared" si="40"/>
        <v/>
      </c>
      <c r="Z48" s="10" t="str">
        <f t="shared" si="19"/>
        <v/>
      </c>
      <c r="AA48" s="71"/>
      <c r="AB48" s="10" t="str">
        <f t="shared" si="4"/>
        <v/>
      </c>
      <c r="AC48" s="10" t="str">
        <f t="shared" si="20"/>
        <v/>
      </c>
      <c r="AD48" s="71"/>
      <c r="AE48" s="10" t="str">
        <f t="shared" si="41"/>
        <v/>
      </c>
      <c r="AF48" s="10" t="str">
        <f t="shared" si="21"/>
        <v/>
      </c>
      <c r="AG48" s="71"/>
      <c r="AH48" s="10" t="str">
        <f t="shared" si="42"/>
        <v/>
      </c>
      <c r="AI48" s="10" t="str">
        <f t="shared" si="22"/>
        <v/>
      </c>
      <c r="AJ48" s="71"/>
      <c r="AK48" s="10" t="str">
        <f t="shared" si="43"/>
        <v/>
      </c>
      <c r="AL48" s="10" t="str">
        <f t="shared" si="23"/>
        <v/>
      </c>
      <c r="AM48" s="71"/>
      <c r="AN48" s="10" t="str">
        <f t="shared" si="44"/>
        <v/>
      </c>
      <c r="AO48" s="10" t="str">
        <f t="shared" si="24"/>
        <v/>
      </c>
      <c r="AP48" s="71"/>
      <c r="AQ48" s="10" t="str">
        <f t="shared" si="45"/>
        <v/>
      </c>
      <c r="AR48" s="10" t="str">
        <f t="shared" si="25"/>
        <v/>
      </c>
      <c r="AS48" s="71"/>
      <c r="AT48" s="7" t="str">
        <f>IF($K48&lt;=$F$15,IF($F$40&lt;&gt;"",$F$40/1000,IF(ISERROR(VLOOKUP($F$3&amp;IF($G$4&lt;&gt;"",$G$4,"")&amp;IF($F$43&lt;&gt;"","_"&amp;$F$43,""),'表3）燃料価格'!$AF$9:$AG$25,2,0)),0,VLOOKUP($I48,'表3）燃料価格'!$A$6:$U$66,VLOOKUP($F$3&amp;IF($G$4&lt;&gt;"",$G$4,"")&amp;IF($F$43&lt;&gt;"","_"&amp;$F$43,""),'表3）燃料価格'!$AF$9:$AG$25,2,0)+VLOOKUP($F$41,'表3）燃料価格'!$AF$28:$AG$29,2,0),0)*IF($F$43="需要地価格",1,$F$8/$F$141))),"")</f>
        <v/>
      </c>
      <c r="AU48" s="71"/>
      <c r="AV48" s="10" t="str">
        <f t="shared" si="46"/>
        <v/>
      </c>
      <c r="AW48" s="10" t="str">
        <f t="shared" si="26"/>
        <v/>
      </c>
      <c r="AX48" s="71"/>
      <c r="AY48" s="7" t="str">
        <f>IF(ISERROR(IF($K48&lt;=$F$15,VLOOKUP($I48,'表4）CO2価格'!$A$7:$E$67,VLOOKUP($F$48,'表4）CO2価格'!$H$10:$I$12,2,0),0)*$F$8/1000,"")),0,IF($K48&lt;=$F$15,VLOOKUP($I48,'表4）CO2価格'!$A$7:$E$67,VLOOKUP($F$48,'表4）CO2価格'!$H$10:$I$12,2,0),0)*$F$8/1000,""))</f>
        <v/>
      </c>
      <c r="AZ48" s="71"/>
      <c r="BA48" s="11" t="str">
        <f t="shared" si="47"/>
        <v/>
      </c>
      <c r="BB48" s="10" t="str">
        <f t="shared" si="27"/>
        <v/>
      </c>
      <c r="BC48" s="71"/>
      <c r="BD48" s="10" t="str">
        <f t="shared" si="48"/>
        <v/>
      </c>
      <c r="BE48" s="10" t="str">
        <f t="shared" si="28"/>
        <v/>
      </c>
      <c r="BF48" s="71"/>
      <c r="BG48" s="11" t="str">
        <f t="shared" si="49"/>
        <v/>
      </c>
      <c r="BH48" s="10" t="str">
        <f t="shared" si="29"/>
        <v/>
      </c>
      <c r="BJ48" s="7" t="str">
        <f t="shared" si="30"/>
        <v/>
      </c>
      <c r="BK48" s="158" t="str">
        <f t="shared" si="31"/>
        <v/>
      </c>
      <c r="BL48" s="158" t="str">
        <f t="shared" si="14"/>
        <v/>
      </c>
      <c r="BM48" s="10"/>
      <c r="BN48" s="10" t="str">
        <f t="shared" si="32"/>
        <v/>
      </c>
      <c r="BO48" s="10" t="str">
        <f t="shared" si="33"/>
        <v/>
      </c>
      <c r="BQ48" s="10" t="str">
        <f t="shared" si="50"/>
        <v/>
      </c>
      <c r="BR48" s="10" t="str">
        <f t="shared" si="34"/>
        <v/>
      </c>
    </row>
    <row r="49" spans="3:70" x14ac:dyDescent="0.15">
      <c r="I49" s="458">
        <f t="shared" si="35"/>
        <v>2064</v>
      </c>
      <c r="J49" s="39"/>
      <c r="K49" s="39">
        <f t="shared" si="36"/>
        <v>35</v>
      </c>
      <c r="L49" s="39"/>
      <c r="M49" s="40">
        <f t="shared" si="0"/>
        <v>0.35538339780838735</v>
      </c>
      <c r="N49" s="39"/>
      <c r="O49" s="72" t="str">
        <f t="shared" si="37"/>
        <v/>
      </c>
      <c r="P49" s="41" t="str">
        <f t="shared" si="38"/>
        <v/>
      </c>
      <c r="Q49" s="39"/>
      <c r="R49" s="72" t="str">
        <f t="shared" si="51"/>
        <v/>
      </c>
      <c r="S49" s="39"/>
      <c r="T49" s="72" t="str">
        <f t="shared" si="17"/>
        <v/>
      </c>
      <c r="U49" s="39"/>
      <c r="V49" s="72" t="str">
        <f t="shared" si="39"/>
        <v/>
      </c>
      <c r="W49" s="72" t="str">
        <f t="shared" si="18"/>
        <v/>
      </c>
      <c r="X49" s="39"/>
      <c r="Y49" s="72" t="str">
        <f t="shared" si="40"/>
        <v/>
      </c>
      <c r="Z49" s="72" t="str">
        <f t="shared" si="19"/>
        <v/>
      </c>
      <c r="AA49" s="39"/>
      <c r="AB49" s="72" t="str">
        <f t="shared" si="4"/>
        <v/>
      </c>
      <c r="AC49" s="72" t="str">
        <f t="shared" si="20"/>
        <v/>
      </c>
      <c r="AD49" s="39"/>
      <c r="AE49" s="72" t="str">
        <f t="shared" si="41"/>
        <v/>
      </c>
      <c r="AF49" s="72" t="str">
        <f t="shared" si="21"/>
        <v/>
      </c>
      <c r="AG49" s="39"/>
      <c r="AH49" s="72" t="str">
        <f t="shared" si="42"/>
        <v/>
      </c>
      <c r="AI49" s="72" t="str">
        <f t="shared" si="22"/>
        <v/>
      </c>
      <c r="AJ49" s="39"/>
      <c r="AK49" s="72" t="str">
        <f t="shared" si="43"/>
        <v/>
      </c>
      <c r="AL49" s="72" t="str">
        <f t="shared" si="23"/>
        <v/>
      </c>
      <c r="AM49" s="39"/>
      <c r="AN49" s="72" t="str">
        <f t="shared" si="44"/>
        <v/>
      </c>
      <c r="AO49" s="72" t="str">
        <f t="shared" si="24"/>
        <v/>
      </c>
      <c r="AP49" s="39"/>
      <c r="AQ49" s="72" t="str">
        <f t="shared" si="45"/>
        <v/>
      </c>
      <c r="AR49" s="72" t="str">
        <f t="shared" si="25"/>
        <v/>
      </c>
      <c r="AS49" s="39"/>
      <c r="AT49" s="40" t="str">
        <f>IF($K49&lt;=$F$15,IF($F$40&lt;&gt;"",$F$40/1000,IF(ISERROR(VLOOKUP($F$3&amp;IF($G$4&lt;&gt;"",$G$4,"")&amp;IF($F$43&lt;&gt;"","_"&amp;$F$43,""),'表3）燃料価格'!$AF$9:$AG$25,2,0)),0,VLOOKUP($I49,'表3）燃料価格'!$A$6:$U$66,VLOOKUP($F$3&amp;IF($G$4&lt;&gt;"",$G$4,"")&amp;IF($F$43&lt;&gt;"","_"&amp;$F$43,""),'表3）燃料価格'!$AF$9:$AG$25,2,0)+VLOOKUP($F$41,'表3）燃料価格'!$AF$28:$AG$29,2,0),0)*IF($F$43="需要地価格",1,$F$8/$F$141))),"")</f>
        <v/>
      </c>
      <c r="AU49" s="39"/>
      <c r="AV49" s="72" t="str">
        <f t="shared" si="46"/>
        <v/>
      </c>
      <c r="AW49" s="72" t="str">
        <f t="shared" si="26"/>
        <v/>
      </c>
      <c r="AX49" s="39"/>
      <c r="AY49" s="40" t="str">
        <f>IF(ISERROR(IF($K49&lt;=$F$15,VLOOKUP($I49,'表4）CO2価格'!$A$7:$E$67,VLOOKUP($F$48,'表4）CO2価格'!$H$10:$I$12,2,0),0)*$F$8/1000,"")),0,IF($K49&lt;=$F$15,VLOOKUP($I49,'表4）CO2価格'!$A$7:$E$67,VLOOKUP($F$48,'表4）CO2価格'!$H$10:$I$12,2,0),0)*$F$8/1000,""))</f>
        <v/>
      </c>
      <c r="AZ49" s="39"/>
      <c r="BA49" s="42" t="str">
        <f t="shared" si="47"/>
        <v/>
      </c>
      <c r="BB49" s="72" t="str">
        <f t="shared" si="27"/>
        <v/>
      </c>
      <c r="BC49" s="39"/>
      <c r="BD49" s="72" t="str">
        <f t="shared" si="48"/>
        <v/>
      </c>
      <c r="BE49" s="72" t="str">
        <f t="shared" si="28"/>
        <v/>
      </c>
      <c r="BF49" s="39"/>
      <c r="BG49" s="42" t="str">
        <f t="shared" si="49"/>
        <v/>
      </c>
      <c r="BH49" s="72" t="str">
        <f t="shared" si="29"/>
        <v/>
      </c>
      <c r="BI49" s="39"/>
      <c r="BJ49" s="40" t="str">
        <f t="shared" si="30"/>
        <v/>
      </c>
      <c r="BK49" s="157" t="str">
        <f t="shared" si="31"/>
        <v/>
      </c>
      <c r="BL49" s="157" t="str">
        <f t="shared" si="14"/>
        <v/>
      </c>
      <c r="BM49" s="72"/>
      <c r="BN49" s="72" t="str">
        <f t="shared" si="32"/>
        <v/>
      </c>
      <c r="BO49" s="72" t="str">
        <f t="shared" si="33"/>
        <v/>
      </c>
      <c r="BP49" s="39"/>
      <c r="BQ49" s="72" t="str">
        <f t="shared" si="50"/>
        <v/>
      </c>
      <c r="BR49" s="72" t="str">
        <f t="shared" si="34"/>
        <v/>
      </c>
    </row>
    <row r="50" spans="3:70" x14ac:dyDescent="0.15">
      <c r="C50" s="89" t="s">
        <v>510</v>
      </c>
      <c r="D50" s="101"/>
      <c r="E50" s="101"/>
      <c r="F50" s="89"/>
      <c r="G50" s="101"/>
      <c r="I50" s="459">
        <f t="shared" si="35"/>
        <v>2065</v>
      </c>
      <c r="J50" s="71"/>
      <c r="K50" s="71">
        <f t="shared" si="36"/>
        <v>36</v>
      </c>
      <c r="L50" s="71"/>
      <c r="M50" s="7">
        <f t="shared" si="0"/>
        <v>0.34503242505668674</v>
      </c>
      <c r="N50" s="71"/>
      <c r="O50" s="10" t="str">
        <f t="shared" si="37"/>
        <v/>
      </c>
      <c r="P50" s="29" t="str">
        <f t="shared" si="38"/>
        <v/>
      </c>
      <c r="Q50" s="71"/>
      <c r="R50" s="10" t="str">
        <f t="shared" si="51"/>
        <v/>
      </c>
      <c r="S50" s="71"/>
      <c r="T50" s="10" t="str">
        <f t="shared" si="17"/>
        <v/>
      </c>
      <c r="U50" s="71"/>
      <c r="V50" s="10" t="str">
        <f t="shared" si="39"/>
        <v/>
      </c>
      <c r="W50" s="10" t="str">
        <f t="shared" si="18"/>
        <v/>
      </c>
      <c r="X50" s="71"/>
      <c r="Y50" s="10" t="str">
        <f t="shared" si="40"/>
        <v/>
      </c>
      <c r="Z50" s="10" t="str">
        <f t="shared" si="19"/>
        <v/>
      </c>
      <c r="AA50" s="71"/>
      <c r="AB50" s="10" t="str">
        <f t="shared" si="4"/>
        <v/>
      </c>
      <c r="AC50" s="10" t="str">
        <f t="shared" si="20"/>
        <v/>
      </c>
      <c r="AD50" s="71"/>
      <c r="AE50" s="10" t="str">
        <f t="shared" si="41"/>
        <v/>
      </c>
      <c r="AF50" s="10" t="str">
        <f t="shared" si="21"/>
        <v/>
      </c>
      <c r="AG50" s="71"/>
      <c r="AH50" s="10" t="str">
        <f t="shared" si="42"/>
        <v/>
      </c>
      <c r="AI50" s="10" t="str">
        <f t="shared" si="22"/>
        <v/>
      </c>
      <c r="AJ50" s="71"/>
      <c r="AK50" s="10" t="str">
        <f t="shared" si="43"/>
        <v/>
      </c>
      <c r="AL50" s="10" t="str">
        <f t="shared" si="23"/>
        <v/>
      </c>
      <c r="AM50" s="71"/>
      <c r="AN50" s="10" t="str">
        <f t="shared" si="44"/>
        <v/>
      </c>
      <c r="AO50" s="10" t="str">
        <f t="shared" si="24"/>
        <v/>
      </c>
      <c r="AP50" s="71"/>
      <c r="AQ50" s="10" t="str">
        <f t="shared" si="45"/>
        <v/>
      </c>
      <c r="AR50" s="10" t="str">
        <f t="shared" si="25"/>
        <v/>
      </c>
      <c r="AS50" s="71"/>
      <c r="AT50" s="7" t="str">
        <f>IF($K50&lt;=$F$15,IF($F$40&lt;&gt;"",$F$40/1000,IF(ISERROR(VLOOKUP($F$3&amp;IF($G$4&lt;&gt;"",$G$4,"")&amp;IF($F$43&lt;&gt;"","_"&amp;$F$43,""),'表3）燃料価格'!$AF$9:$AG$25,2,0)),0,VLOOKUP($I50,'表3）燃料価格'!$A$6:$U$66,VLOOKUP($F$3&amp;IF($G$4&lt;&gt;"",$G$4,"")&amp;IF($F$43&lt;&gt;"","_"&amp;$F$43,""),'表3）燃料価格'!$AF$9:$AG$25,2,0)+VLOOKUP($F$41,'表3）燃料価格'!$AF$28:$AG$29,2,0),0)*IF($F$43="需要地価格",1,$F$8/$F$141))),"")</f>
        <v/>
      </c>
      <c r="AU50" s="71"/>
      <c r="AV50" s="10" t="str">
        <f t="shared" si="46"/>
        <v/>
      </c>
      <c r="AW50" s="10" t="str">
        <f t="shared" si="26"/>
        <v/>
      </c>
      <c r="AX50" s="71"/>
      <c r="AY50" s="7" t="str">
        <f>IF(ISERROR(IF($K50&lt;=$F$15,VLOOKUP($I50,'表4）CO2価格'!$A$7:$E$67,VLOOKUP($F$48,'表4）CO2価格'!$H$10:$I$12,2,0),0)*$F$8/1000,"")),0,IF($K50&lt;=$F$15,VLOOKUP($I50,'表4）CO2価格'!$A$7:$E$67,VLOOKUP($F$48,'表4）CO2価格'!$H$10:$I$12,2,0),0)*$F$8/1000,""))</f>
        <v/>
      </c>
      <c r="AZ50" s="71"/>
      <c r="BA50" s="11" t="str">
        <f t="shared" si="47"/>
        <v/>
      </c>
      <c r="BB50" s="10" t="str">
        <f t="shared" si="27"/>
        <v/>
      </c>
      <c r="BC50" s="71"/>
      <c r="BD50" s="10" t="str">
        <f t="shared" si="48"/>
        <v/>
      </c>
      <c r="BE50" s="10" t="str">
        <f t="shared" si="28"/>
        <v/>
      </c>
      <c r="BF50" s="71"/>
      <c r="BG50" s="11" t="str">
        <f t="shared" si="49"/>
        <v/>
      </c>
      <c r="BH50" s="10" t="str">
        <f t="shared" si="29"/>
        <v/>
      </c>
      <c r="BJ50" s="7" t="str">
        <f t="shared" si="30"/>
        <v/>
      </c>
      <c r="BK50" s="158" t="str">
        <f t="shared" si="31"/>
        <v/>
      </c>
      <c r="BL50" s="158" t="str">
        <f t="shared" si="14"/>
        <v/>
      </c>
      <c r="BM50" s="10"/>
      <c r="BN50" s="10" t="str">
        <f t="shared" si="32"/>
        <v/>
      </c>
      <c r="BO50" s="10" t="str">
        <f t="shared" si="33"/>
        <v/>
      </c>
      <c r="BQ50" s="10" t="str">
        <f t="shared" si="50"/>
        <v/>
      </c>
      <c r="BR50" s="10" t="str">
        <f t="shared" si="34"/>
        <v/>
      </c>
    </row>
    <row r="51" spans="3:70" x14ac:dyDescent="0.15">
      <c r="I51" s="458">
        <f t="shared" si="35"/>
        <v>2066</v>
      </c>
      <c r="J51" s="39"/>
      <c r="K51" s="39">
        <f t="shared" si="36"/>
        <v>37</v>
      </c>
      <c r="L51" s="39"/>
      <c r="M51" s="40">
        <f t="shared" si="0"/>
        <v>0.33498293694823961</v>
      </c>
      <c r="N51" s="39"/>
      <c r="O51" s="72" t="str">
        <f t="shared" si="37"/>
        <v/>
      </c>
      <c r="P51" s="41" t="str">
        <f t="shared" si="38"/>
        <v/>
      </c>
      <c r="Q51" s="39"/>
      <c r="R51" s="72" t="str">
        <f t="shared" si="51"/>
        <v/>
      </c>
      <c r="S51" s="39"/>
      <c r="T51" s="72" t="str">
        <f t="shared" si="17"/>
        <v/>
      </c>
      <c r="U51" s="39"/>
      <c r="V51" s="72" t="str">
        <f t="shared" si="39"/>
        <v/>
      </c>
      <c r="W51" s="72" t="str">
        <f t="shared" si="18"/>
        <v/>
      </c>
      <c r="X51" s="39"/>
      <c r="Y51" s="72" t="str">
        <f t="shared" si="40"/>
        <v/>
      </c>
      <c r="Z51" s="72" t="str">
        <f t="shared" si="19"/>
        <v/>
      </c>
      <c r="AA51" s="39"/>
      <c r="AB51" s="72" t="str">
        <f t="shared" si="4"/>
        <v/>
      </c>
      <c r="AC51" s="72" t="str">
        <f t="shared" si="20"/>
        <v/>
      </c>
      <c r="AD51" s="39"/>
      <c r="AE51" s="72" t="str">
        <f t="shared" si="41"/>
        <v/>
      </c>
      <c r="AF51" s="72" t="str">
        <f t="shared" si="21"/>
        <v/>
      </c>
      <c r="AG51" s="39"/>
      <c r="AH51" s="72" t="str">
        <f t="shared" si="42"/>
        <v/>
      </c>
      <c r="AI51" s="72" t="str">
        <f t="shared" si="22"/>
        <v/>
      </c>
      <c r="AJ51" s="39"/>
      <c r="AK51" s="72" t="str">
        <f t="shared" si="43"/>
        <v/>
      </c>
      <c r="AL51" s="72" t="str">
        <f t="shared" si="23"/>
        <v/>
      </c>
      <c r="AM51" s="39"/>
      <c r="AN51" s="72" t="str">
        <f t="shared" si="44"/>
        <v/>
      </c>
      <c r="AO51" s="72" t="str">
        <f t="shared" si="24"/>
        <v/>
      </c>
      <c r="AP51" s="39"/>
      <c r="AQ51" s="72" t="str">
        <f t="shared" si="45"/>
        <v/>
      </c>
      <c r="AR51" s="72" t="str">
        <f t="shared" si="25"/>
        <v/>
      </c>
      <c r="AS51" s="39"/>
      <c r="AT51" s="40" t="str">
        <f>IF($K51&lt;=$F$15,IF($F$40&lt;&gt;"",$F$40/1000,IF(ISERROR(VLOOKUP($F$3&amp;IF($G$4&lt;&gt;"",$G$4,"")&amp;IF($F$43&lt;&gt;"","_"&amp;$F$43,""),'表3）燃料価格'!$AF$9:$AG$25,2,0)),0,VLOOKUP($I51,'表3）燃料価格'!$A$6:$U$66,VLOOKUP($F$3&amp;IF($G$4&lt;&gt;"",$G$4,"")&amp;IF($F$43&lt;&gt;"","_"&amp;$F$43,""),'表3）燃料価格'!$AF$9:$AG$25,2,0)+VLOOKUP($F$41,'表3）燃料価格'!$AF$28:$AG$29,2,0),0)*IF($F$43="需要地価格",1,$F$8/$F$141))),"")</f>
        <v/>
      </c>
      <c r="AU51" s="39"/>
      <c r="AV51" s="72" t="str">
        <f t="shared" si="46"/>
        <v/>
      </c>
      <c r="AW51" s="72" t="str">
        <f t="shared" si="26"/>
        <v/>
      </c>
      <c r="AX51" s="39"/>
      <c r="AY51" s="40" t="str">
        <f>IF(ISERROR(IF($K51&lt;=$F$15,VLOOKUP($I51,'表4）CO2価格'!$A$7:$E$67,VLOOKUP($F$48,'表4）CO2価格'!$H$10:$I$12,2,0),0)*$F$8/1000,"")),0,IF($K51&lt;=$F$15,VLOOKUP($I51,'表4）CO2価格'!$A$7:$E$67,VLOOKUP($F$48,'表4）CO2価格'!$H$10:$I$12,2,0),0)*$F$8/1000,""))</f>
        <v/>
      </c>
      <c r="AZ51" s="39"/>
      <c r="BA51" s="42" t="str">
        <f t="shared" si="47"/>
        <v/>
      </c>
      <c r="BB51" s="72" t="str">
        <f t="shared" si="27"/>
        <v/>
      </c>
      <c r="BC51" s="39"/>
      <c r="BD51" s="72" t="str">
        <f t="shared" si="48"/>
        <v/>
      </c>
      <c r="BE51" s="72" t="str">
        <f t="shared" si="28"/>
        <v/>
      </c>
      <c r="BF51" s="39"/>
      <c r="BG51" s="42" t="str">
        <f t="shared" si="49"/>
        <v/>
      </c>
      <c r="BH51" s="72" t="str">
        <f t="shared" si="29"/>
        <v/>
      </c>
      <c r="BI51" s="39"/>
      <c r="BJ51" s="40" t="str">
        <f t="shared" si="30"/>
        <v/>
      </c>
      <c r="BK51" s="157" t="str">
        <f t="shared" si="31"/>
        <v/>
      </c>
      <c r="BL51" s="157" t="str">
        <f t="shared" si="14"/>
        <v/>
      </c>
      <c r="BM51" s="72"/>
      <c r="BN51" s="72" t="str">
        <f t="shared" si="32"/>
        <v/>
      </c>
      <c r="BO51" s="72" t="str">
        <f t="shared" si="33"/>
        <v/>
      </c>
      <c r="BP51" s="39"/>
      <c r="BQ51" s="72" t="str">
        <f t="shared" si="50"/>
        <v/>
      </c>
      <c r="BR51" s="72" t="str">
        <f t="shared" si="34"/>
        <v/>
      </c>
    </row>
    <row r="52" spans="3:70" x14ac:dyDescent="0.15">
      <c r="D52" s="81" t="s">
        <v>185</v>
      </c>
      <c r="F52" s="90"/>
      <c r="G52" s="81" t="s">
        <v>172</v>
      </c>
      <c r="I52" s="459">
        <f t="shared" si="35"/>
        <v>2067</v>
      </c>
      <c r="J52" s="71"/>
      <c r="K52" s="71">
        <f t="shared" si="36"/>
        <v>38</v>
      </c>
      <c r="L52" s="71"/>
      <c r="M52" s="7">
        <f t="shared" si="0"/>
        <v>0.3252261523769317</v>
      </c>
      <c r="N52" s="71"/>
      <c r="O52" s="10" t="str">
        <f t="shared" si="37"/>
        <v/>
      </c>
      <c r="P52" s="29" t="str">
        <f t="shared" si="38"/>
        <v/>
      </c>
      <c r="Q52" s="71"/>
      <c r="R52" s="10" t="str">
        <f t="shared" si="51"/>
        <v/>
      </c>
      <c r="S52" s="71"/>
      <c r="T52" s="10" t="str">
        <f t="shared" si="17"/>
        <v/>
      </c>
      <c r="U52" s="71"/>
      <c r="V52" s="10" t="str">
        <f t="shared" si="39"/>
        <v/>
      </c>
      <c r="W52" s="10" t="str">
        <f t="shared" si="18"/>
        <v/>
      </c>
      <c r="X52" s="71"/>
      <c r="Y52" s="10" t="str">
        <f t="shared" si="40"/>
        <v/>
      </c>
      <c r="Z52" s="10" t="str">
        <f t="shared" si="19"/>
        <v/>
      </c>
      <c r="AA52" s="71"/>
      <c r="AB52" s="10" t="str">
        <f t="shared" si="4"/>
        <v/>
      </c>
      <c r="AC52" s="10" t="str">
        <f t="shared" si="20"/>
        <v/>
      </c>
      <c r="AD52" s="71"/>
      <c r="AE52" s="10" t="str">
        <f t="shared" si="41"/>
        <v/>
      </c>
      <c r="AF52" s="10" t="str">
        <f t="shared" si="21"/>
        <v/>
      </c>
      <c r="AG52" s="71"/>
      <c r="AH52" s="10" t="str">
        <f t="shared" si="42"/>
        <v/>
      </c>
      <c r="AI52" s="10" t="str">
        <f t="shared" si="22"/>
        <v/>
      </c>
      <c r="AJ52" s="71"/>
      <c r="AK52" s="10" t="str">
        <f t="shared" si="43"/>
        <v/>
      </c>
      <c r="AL52" s="10" t="str">
        <f t="shared" si="23"/>
        <v/>
      </c>
      <c r="AM52" s="71"/>
      <c r="AN52" s="10" t="str">
        <f t="shared" si="44"/>
        <v/>
      </c>
      <c r="AO52" s="10" t="str">
        <f t="shared" si="24"/>
        <v/>
      </c>
      <c r="AP52" s="71"/>
      <c r="AQ52" s="10" t="str">
        <f t="shared" si="45"/>
        <v/>
      </c>
      <c r="AR52" s="10" t="str">
        <f t="shared" si="25"/>
        <v/>
      </c>
      <c r="AS52" s="71"/>
      <c r="AT52" s="7" t="str">
        <f>IF($K52&lt;=$F$15,IF($F$40&lt;&gt;"",$F$40/1000,IF(ISERROR(VLOOKUP($F$3&amp;IF($G$4&lt;&gt;"",$G$4,"")&amp;IF($F$43&lt;&gt;"","_"&amp;$F$43,""),'表3）燃料価格'!$AF$9:$AG$25,2,0)),0,VLOOKUP($I52,'表3）燃料価格'!$A$6:$U$66,VLOOKUP($F$3&amp;IF($G$4&lt;&gt;"",$G$4,"")&amp;IF($F$43&lt;&gt;"","_"&amp;$F$43,""),'表3）燃料価格'!$AF$9:$AG$25,2,0)+VLOOKUP($F$41,'表3）燃料価格'!$AF$28:$AG$29,2,0),0)*IF($F$43="需要地価格",1,$F$8/$F$141))),"")</f>
        <v/>
      </c>
      <c r="AU52" s="71"/>
      <c r="AV52" s="10" t="str">
        <f t="shared" si="46"/>
        <v/>
      </c>
      <c r="AW52" s="10" t="str">
        <f t="shared" si="26"/>
        <v/>
      </c>
      <c r="AX52" s="71"/>
      <c r="AY52" s="7" t="str">
        <f>IF(ISERROR(IF($K52&lt;=$F$15,VLOOKUP($I52,'表4）CO2価格'!$A$7:$E$67,VLOOKUP($F$48,'表4）CO2価格'!$H$10:$I$12,2,0),0)*$F$8/1000,"")),0,IF($K52&lt;=$F$15,VLOOKUP($I52,'表4）CO2価格'!$A$7:$E$67,VLOOKUP($F$48,'表4）CO2価格'!$H$10:$I$12,2,0),0)*$F$8/1000,""))</f>
        <v/>
      </c>
      <c r="AZ52" s="71"/>
      <c r="BA52" s="11" t="str">
        <f t="shared" si="47"/>
        <v/>
      </c>
      <c r="BB52" s="10" t="str">
        <f t="shared" si="27"/>
        <v/>
      </c>
      <c r="BC52" s="71"/>
      <c r="BD52" s="10" t="str">
        <f t="shared" si="48"/>
        <v/>
      </c>
      <c r="BE52" s="10" t="str">
        <f t="shared" si="28"/>
        <v/>
      </c>
      <c r="BF52" s="71"/>
      <c r="BG52" s="11" t="str">
        <f t="shared" si="49"/>
        <v/>
      </c>
      <c r="BH52" s="10" t="str">
        <f t="shared" si="29"/>
        <v/>
      </c>
      <c r="BJ52" s="7" t="str">
        <f t="shared" si="30"/>
        <v/>
      </c>
      <c r="BK52" s="158" t="str">
        <f t="shared" si="31"/>
        <v/>
      </c>
      <c r="BL52" s="158" t="str">
        <f t="shared" si="14"/>
        <v/>
      </c>
      <c r="BM52" s="10"/>
      <c r="BN52" s="10" t="str">
        <f t="shared" si="32"/>
        <v/>
      </c>
      <c r="BO52" s="10" t="str">
        <f t="shared" si="33"/>
        <v/>
      </c>
      <c r="BQ52" s="10" t="str">
        <f t="shared" si="50"/>
        <v/>
      </c>
      <c r="BR52" s="10" t="str">
        <f t="shared" si="34"/>
        <v/>
      </c>
    </row>
    <row r="53" spans="3:70" x14ac:dyDescent="0.15">
      <c r="D53" s="81" t="s">
        <v>186</v>
      </c>
      <c r="F53" s="66"/>
      <c r="G53" s="81" t="s">
        <v>172</v>
      </c>
      <c r="I53" s="458">
        <f t="shared" si="35"/>
        <v>2068</v>
      </c>
      <c r="J53" s="39"/>
      <c r="K53" s="39">
        <f t="shared" si="36"/>
        <v>39</v>
      </c>
      <c r="L53" s="39"/>
      <c r="M53" s="40">
        <f t="shared" si="0"/>
        <v>0.31575354599702099</v>
      </c>
      <c r="N53" s="39"/>
      <c r="O53" s="72" t="str">
        <f t="shared" si="37"/>
        <v/>
      </c>
      <c r="P53" s="41" t="str">
        <f t="shared" si="38"/>
        <v/>
      </c>
      <c r="Q53" s="39"/>
      <c r="R53" s="72" t="str">
        <f t="shared" si="51"/>
        <v/>
      </c>
      <c r="S53" s="39"/>
      <c r="T53" s="72" t="str">
        <f t="shared" si="17"/>
        <v/>
      </c>
      <c r="U53" s="39"/>
      <c r="V53" s="72" t="str">
        <f t="shared" si="39"/>
        <v/>
      </c>
      <c r="W53" s="72" t="str">
        <f t="shared" si="18"/>
        <v/>
      </c>
      <c r="X53" s="39"/>
      <c r="Y53" s="72" t="str">
        <f t="shared" si="40"/>
        <v/>
      </c>
      <c r="Z53" s="72" t="str">
        <f t="shared" si="19"/>
        <v/>
      </c>
      <c r="AA53" s="39"/>
      <c r="AB53" s="72" t="str">
        <f t="shared" si="4"/>
        <v/>
      </c>
      <c r="AC53" s="72" t="str">
        <f t="shared" si="20"/>
        <v/>
      </c>
      <c r="AD53" s="39"/>
      <c r="AE53" s="72" t="str">
        <f t="shared" si="41"/>
        <v/>
      </c>
      <c r="AF53" s="72" t="str">
        <f t="shared" si="21"/>
        <v/>
      </c>
      <c r="AG53" s="39"/>
      <c r="AH53" s="72" t="str">
        <f t="shared" si="42"/>
        <v/>
      </c>
      <c r="AI53" s="72" t="str">
        <f t="shared" si="22"/>
        <v/>
      </c>
      <c r="AJ53" s="39"/>
      <c r="AK53" s="72" t="str">
        <f t="shared" si="43"/>
        <v/>
      </c>
      <c r="AL53" s="72" t="str">
        <f t="shared" si="23"/>
        <v/>
      </c>
      <c r="AM53" s="39"/>
      <c r="AN53" s="72" t="str">
        <f t="shared" si="44"/>
        <v/>
      </c>
      <c r="AO53" s="72" t="str">
        <f t="shared" si="24"/>
        <v/>
      </c>
      <c r="AP53" s="39"/>
      <c r="AQ53" s="72" t="str">
        <f t="shared" si="45"/>
        <v/>
      </c>
      <c r="AR53" s="72" t="str">
        <f t="shared" si="25"/>
        <v/>
      </c>
      <c r="AS53" s="39"/>
      <c r="AT53" s="40" t="str">
        <f>IF($K53&lt;=$F$15,IF($F$40&lt;&gt;"",$F$40/1000,IF(ISERROR(VLOOKUP($F$3&amp;IF($G$4&lt;&gt;"",$G$4,"")&amp;IF($F$43&lt;&gt;"","_"&amp;$F$43,""),'表3）燃料価格'!$AF$9:$AG$25,2,0)),0,VLOOKUP($I53,'表3）燃料価格'!$A$6:$U$66,VLOOKUP($F$3&amp;IF($G$4&lt;&gt;"",$G$4,"")&amp;IF($F$43&lt;&gt;"","_"&amp;$F$43,""),'表3）燃料価格'!$AF$9:$AG$25,2,0)+VLOOKUP($F$41,'表3）燃料価格'!$AF$28:$AG$29,2,0),0)*IF($F$43="需要地価格",1,$F$8/$F$141))),"")</f>
        <v/>
      </c>
      <c r="AU53" s="39"/>
      <c r="AV53" s="72" t="str">
        <f t="shared" si="46"/>
        <v/>
      </c>
      <c r="AW53" s="72" t="str">
        <f t="shared" si="26"/>
        <v/>
      </c>
      <c r="AX53" s="39"/>
      <c r="AY53" s="40" t="str">
        <f>IF(ISERROR(IF($K53&lt;=$F$15,VLOOKUP($I53,'表4）CO2価格'!$A$7:$E$67,VLOOKUP($F$48,'表4）CO2価格'!$H$10:$I$12,2,0),0)*$F$8/1000,"")),0,IF($K53&lt;=$F$15,VLOOKUP($I53,'表4）CO2価格'!$A$7:$E$67,VLOOKUP($F$48,'表4）CO2価格'!$H$10:$I$12,2,0),0)*$F$8/1000,""))</f>
        <v/>
      </c>
      <c r="AZ53" s="39"/>
      <c r="BA53" s="42" t="str">
        <f t="shared" si="47"/>
        <v/>
      </c>
      <c r="BB53" s="72" t="str">
        <f t="shared" si="27"/>
        <v/>
      </c>
      <c r="BC53" s="39"/>
      <c r="BD53" s="72" t="str">
        <f t="shared" si="48"/>
        <v/>
      </c>
      <c r="BE53" s="72" t="str">
        <f t="shared" si="28"/>
        <v/>
      </c>
      <c r="BF53" s="39"/>
      <c r="BG53" s="42" t="str">
        <f t="shared" si="49"/>
        <v/>
      </c>
      <c r="BH53" s="72" t="str">
        <f t="shared" si="29"/>
        <v/>
      </c>
      <c r="BI53" s="39"/>
      <c r="BJ53" s="40" t="str">
        <f t="shared" si="30"/>
        <v/>
      </c>
      <c r="BK53" s="157" t="str">
        <f t="shared" si="31"/>
        <v/>
      </c>
      <c r="BL53" s="157" t="str">
        <f t="shared" si="14"/>
        <v/>
      </c>
      <c r="BM53" s="72"/>
      <c r="BN53" s="72" t="str">
        <f t="shared" si="32"/>
        <v/>
      </c>
      <c r="BO53" s="72" t="str">
        <f t="shared" si="33"/>
        <v/>
      </c>
      <c r="BP53" s="39"/>
      <c r="BQ53" s="72" t="str">
        <f t="shared" si="50"/>
        <v/>
      </c>
      <c r="BR53" s="72" t="str">
        <f t="shared" si="34"/>
        <v/>
      </c>
    </row>
    <row r="54" spans="3:70" x14ac:dyDescent="0.15">
      <c r="D54" s="81" t="s">
        <v>187</v>
      </c>
      <c r="F54" s="66"/>
      <c r="G54" s="81" t="s">
        <v>172</v>
      </c>
      <c r="I54" s="459">
        <f t="shared" si="35"/>
        <v>2069</v>
      </c>
      <c r="J54" s="71"/>
      <c r="K54" s="71">
        <f t="shared" si="36"/>
        <v>40</v>
      </c>
      <c r="L54" s="71"/>
      <c r="M54" s="7">
        <f t="shared" si="0"/>
        <v>0.30655684077380685</v>
      </c>
      <c r="N54" s="71"/>
      <c r="O54" s="10" t="str">
        <f t="shared" si="37"/>
        <v/>
      </c>
      <c r="P54" s="29" t="str">
        <f t="shared" si="38"/>
        <v/>
      </c>
      <c r="Q54" s="71"/>
      <c r="R54" s="10" t="str">
        <f t="shared" si="51"/>
        <v/>
      </c>
      <c r="S54" s="71"/>
      <c r="T54" s="10" t="str">
        <f t="shared" si="17"/>
        <v/>
      </c>
      <c r="U54" s="71"/>
      <c r="V54" s="10" t="str">
        <f t="shared" si="39"/>
        <v/>
      </c>
      <c r="W54" s="10" t="str">
        <f t="shared" si="18"/>
        <v/>
      </c>
      <c r="X54" s="71"/>
      <c r="Y54" s="10" t="str">
        <f t="shared" si="40"/>
        <v/>
      </c>
      <c r="Z54" s="10" t="str">
        <f t="shared" si="19"/>
        <v/>
      </c>
      <c r="AA54" s="71"/>
      <c r="AB54" s="10" t="str">
        <f t="shared" si="4"/>
        <v/>
      </c>
      <c r="AC54" s="10" t="str">
        <f t="shared" si="20"/>
        <v/>
      </c>
      <c r="AD54" s="71"/>
      <c r="AE54" s="10" t="str">
        <f t="shared" si="41"/>
        <v/>
      </c>
      <c r="AF54" s="10" t="str">
        <f t="shared" si="21"/>
        <v/>
      </c>
      <c r="AG54" s="71"/>
      <c r="AH54" s="10" t="str">
        <f t="shared" si="42"/>
        <v/>
      </c>
      <c r="AI54" s="10" t="str">
        <f t="shared" si="22"/>
        <v/>
      </c>
      <c r="AJ54" s="71"/>
      <c r="AK54" s="10" t="str">
        <f t="shared" si="43"/>
        <v/>
      </c>
      <c r="AL54" s="10" t="str">
        <f t="shared" si="23"/>
        <v/>
      </c>
      <c r="AM54" s="71"/>
      <c r="AN54" s="10" t="str">
        <f t="shared" si="44"/>
        <v/>
      </c>
      <c r="AO54" s="10" t="str">
        <f t="shared" si="24"/>
        <v/>
      </c>
      <c r="AP54" s="71"/>
      <c r="AQ54" s="10" t="str">
        <f t="shared" si="45"/>
        <v/>
      </c>
      <c r="AR54" s="10" t="str">
        <f t="shared" si="25"/>
        <v/>
      </c>
      <c r="AS54" s="71"/>
      <c r="AT54" s="7" t="str">
        <f>IF($K54&lt;=$F$15,IF($F$40&lt;&gt;"",$F$40/1000,IF(ISERROR(VLOOKUP($F$3&amp;IF($G$4&lt;&gt;"",$G$4,"")&amp;IF($F$43&lt;&gt;"","_"&amp;$F$43,""),'表3）燃料価格'!$AF$9:$AG$25,2,0)),0,VLOOKUP($I54,'表3）燃料価格'!$A$6:$U$66,VLOOKUP($F$3&amp;IF($G$4&lt;&gt;"",$G$4,"")&amp;IF($F$43&lt;&gt;"","_"&amp;$F$43,""),'表3）燃料価格'!$AF$9:$AG$25,2,0)+VLOOKUP($F$41,'表3）燃料価格'!$AF$28:$AG$29,2,0),0)*IF($F$43="需要地価格",1,$F$8/$F$141))),"")</f>
        <v/>
      </c>
      <c r="AU54" s="71"/>
      <c r="AV54" s="10" t="str">
        <f t="shared" si="46"/>
        <v/>
      </c>
      <c r="AW54" s="10" t="str">
        <f t="shared" si="26"/>
        <v/>
      </c>
      <c r="AX54" s="71"/>
      <c r="AY54" s="7" t="str">
        <f>IF(ISERROR(IF($K54&lt;=$F$15,VLOOKUP($I54,'表4）CO2価格'!$A$7:$E$67,VLOOKUP($F$48,'表4）CO2価格'!$H$10:$I$12,2,0),0)*$F$8/1000,"")),0,IF($K54&lt;=$F$15,VLOOKUP($I54,'表4）CO2価格'!$A$7:$E$67,VLOOKUP($F$48,'表4）CO2価格'!$H$10:$I$12,2,0),0)*$F$8/1000,""))</f>
        <v/>
      </c>
      <c r="AZ54" s="71"/>
      <c r="BA54" s="11" t="str">
        <f t="shared" si="47"/>
        <v/>
      </c>
      <c r="BB54" s="10" t="str">
        <f t="shared" si="27"/>
        <v/>
      </c>
      <c r="BC54" s="71"/>
      <c r="BD54" s="10" t="str">
        <f t="shared" si="48"/>
        <v/>
      </c>
      <c r="BE54" s="10" t="str">
        <f t="shared" si="28"/>
        <v/>
      </c>
      <c r="BF54" s="71"/>
      <c r="BG54" s="11" t="str">
        <f t="shared" si="49"/>
        <v/>
      </c>
      <c r="BH54" s="10" t="str">
        <f t="shared" si="29"/>
        <v/>
      </c>
      <c r="BJ54" s="7" t="str">
        <f t="shared" si="30"/>
        <v/>
      </c>
      <c r="BK54" s="158" t="str">
        <f t="shared" si="31"/>
        <v/>
      </c>
      <c r="BL54" s="158" t="str">
        <f t="shared" si="14"/>
        <v/>
      </c>
      <c r="BM54" s="10"/>
      <c r="BN54" s="10" t="str">
        <f t="shared" si="32"/>
        <v/>
      </c>
      <c r="BO54" s="10" t="str">
        <f t="shared" si="33"/>
        <v/>
      </c>
      <c r="BQ54" s="10" t="str">
        <f t="shared" si="50"/>
        <v/>
      </c>
      <c r="BR54" s="10" t="str">
        <f t="shared" si="34"/>
        <v/>
      </c>
    </row>
    <row r="55" spans="3:70" ht="16.5" x14ac:dyDescent="0.15">
      <c r="D55" s="81" t="s">
        <v>188</v>
      </c>
      <c r="F55" s="66"/>
      <c r="G55" s="9" t="s">
        <v>372</v>
      </c>
      <c r="I55" s="458">
        <f>I54+1</f>
        <v>2070</v>
      </c>
      <c r="J55" s="39"/>
      <c r="K55" s="39">
        <f>IF(I55&lt;&gt;"",K54+1,"")</f>
        <v>41</v>
      </c>
      <c r="L55" s="39"/>
      <c r="M55" s="40">
        <f t="shared" si="0"/>
        <v>0.29762800075126877</v>
      </c>
      <c r="N55" s="39"/>
      <c r="O55" s="72" t="str">
        <f t="shared" si="37"/>
        <v/>
      </c>
      <c r="P55" s="41" t="str">
        <f t="shared" si="38"/>
        <v/>
      </c>
      <c r="Q55" s="39"/>
      <c r="R55" s="72" t="str">
        <f t="shared" si="51"/>
        <v/>
      </c>
      <c r="S55" s="39"/>
      <c r="T55" s="72" t="str">
        <f t="shared" si="17"/>
        <v/>
      </c>
      <c r="U55" s="39"/>
      <c r="V55" s="72" t="str">
        <f t="shared" si="39"/>
        <v/>
      </c>
      <c r="W55" s="72" t="str">
        <f t="shared" si="18"/>
        <v/>
      </c>
      <c r="X55" s="39"/>
      <c r="Y55" s="72" t="str">
        <f t="shared" si="40"/>
        <v/>
      </c>
      <c r="Z55" s="72" t="str">
        <f t="shared" si="19"/>
        <v/>
      </c>
      <c r="AA55" s="39"/>
      <c r="AB55" s="72" t="str">
        <f t="shared" si="4"/>
        <v/>
      </c>
      <c r="AC55" s="72" t="str">
        <f t="shared" si="20"/>
        <v/>
      </c>
      <c r="AD55" s="39"/>
      <c r="AE55" s="72" t="str">
        <f t="shared" si="41"/>
        <v/>
      </c>
      <c r="AF55" s="72" t="str">
        <f t="shared" si="21"/>
        <v/>
      </c>
      <c r="AG55" s="39"/>
      <c r="AH55" s="72" t="str">
        <f t="shared" si="42"/>
        <v/>
      </c>
      <c r="AI55" s="72" t="str">
        <f t="shared" si="22"/>
        <v/>
      </c>
      <c r="AJ55" s="39"/>
      <c r="AK55" s="72" t="str">
        <f t="shared" si="43"/>
        <v/>
      </c>
      <c r="AL55" s="72" t="str">
        <f t="shared" si="23"/>
        <v/>
      </c>
      <c r="AM55" s="39"/>
      <c r="AN55" s="72" t="str">
        <f t="shared" si="44"/>
        <v/>
      </c>
      <c r="AO55" s="72" t="str">
        <f t="shared" si="24"/>
        <v/>
      </c>
      <c r="AP55" s="39"/>
      <c r="AQ55" s="72" t="str">
        <f t="shared" si="45"/>
        <v/>
      </c>
      <c r="AR55" s="72" t="str">
        <f t="shared" si="25"/>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46"/>
        <v/>
      </c>
      <c r="AW55" s="72" t="str">
        <f t="shared" si="26"/>
        <v/>
      </c>
      <c r="AX55" s="39"/>
      <c r="AY55" s="40" t="str">
        <f>IF(ISERROR(IF($K55&lt;=$F$15,VLOOKUP($I55,'表4）CO2価格'!$A$7:$E$67,VLOOKUP($F$48,'表4）CO2価格'!$H$10:$I$12,2,0),0)*$F$8/1000,"")),0,IF($K55&lt;=$F$15,VLOOKUP($I55,'表4）CO2価格'!$A$7:$E$67,VLOOKUP($F$48,'表4）CO2価格'!$H$10:$I$12,2,0),0)*$F$8/1000,""))</f>
        <v/>
      </c>
      <c r="AZ55" s="39"/>
      <c r="BA55" s="42" t="str">
        <f t="shared" si="47"/>
        <v/>
      </c>
      <c r="BB55" s="72" t="str">
        <f t="shared" si="27"/>
        <v/>
      </c>
      <c r="BC55" s="39"/>
      <c r="BD55" s="72" t="str">
        <f t="shared" si="48"/>
        <v/>
      </c>
      <c r="BE55" s="72" t="str">
        <f t="shared" si="28"/>
        <v/>
      </c>
      <c r="BF55" s="39"/>
      <c r="BG55" s="42" t="str">
        <f t="shared" si="49"/>
        <v/>
      </c>
      <c r="BH55" s="72" t="str">
        <f t="shared" si="29"/>
        <v/>
      </c>
      <c r="BI55" s="39"/>
      <c r="BJ55" s="40" t="str">
        <f t="shared" si="30"/>
        <v/>
      </c>
      <c r="BK55" s="157" t="str">
        <f t="shared" si="31"/>
        <v/>
      </c>
      <c r="BL55" s="157" t="str">
        <f t="shared" si="14"/>
        <v/>
      </c>
      <c r="BM55" s="72"/>
      <c r="BN55" s="72" t="str">
        <f t="shared" si="32"/>
        <v/>
      </c>
      <c r="BO55" s="72" t="str">
        <f t="shared" si="33"/>
        <v/>
      </c>
      <c r="BP55" s="39"/>
      <c r="BQ55" s="72" t="str">
        <f t="shared" si="50"/>
        <v/>
      </c>
      <c r="BR55" s="72" t="str">
        <f t="shared" si="34"/>
        <v/>
      </c>
    </row>
    <row r="56" spans="3:70" x14ac:dyDescent="0.15">
      <c r="D56" s="81" t="s">
        <v>189</v>
      </c>
      <c r="F56" s="59"/>
      <c r="G56" s="81" t="s">
        <v>181</v>
      </c>
      <c r="I56" s="459">
        <f t="shared" si="35"/>
        <v>2071</v>
      </c>
      <c r="J56" s="71"/>
      <c r="K56" s="71">
        <f t="shared" si="36"/>
        <v>42</v>
      </c>
      <c r="L56" s="71"/>
      <c r="M56" s="7">
        <f t="shared" si="0"/>
        <v>0.28895922403035801</v>
      </c>
      <c r="N56" s="71"/>
      <c r="O56" s="10" t="str">
        <f t="shared" si="37"/>
        <v/>
      </c>
      <c r="P56" s="29" t="str">
        <f t="shared" si="38"/>
        <v/>
      </c>
      <c r="Q56" s="71"/>
      <c r="R56" s="10" t="str">
        <f t="shared" si="51"/>
        <v/>
      </c>
      <c r="S56" s="71"/>
      <c r="T56" s="10" t="str">
        <f t="shared" si="17"/>
        <v/>
      </c>
      <c r="U56" s="71"/>
      <c r="V56" s="10" t="str">
        <f t="shared" si="39"/>
        <v/>
      </c>
      <c r="W56" s="10" t="str">
        <f t="shared" si="18"/>
        <v/>
      </c>
      <c r="X56" s="71"/>
      <c r="Y56" s="10" t="str">
        <f t="shared" si="40"/>
        <v/>
      </c>
      <c r="Z56" s="10" t="str">
        <f t="shared" si="19"/>
        <v/>
      </c>
      <c r="AA56" s="71"/>
      <c r="AB56" s="10" t="str">
        <f t="shared" si="4"/>
        <v/>
      </c>
      <c r="AC56" s="10" t="str">
        <f t="shared" si="20"/>
        <v/>
      </c>
      <c r="AD56" s="71"/>
      <c r="AE56" s="10" t="str">
        <f t="shared" si="41"/>
        <v/>
      </c>
      <c r="AF56" s="10" t="str">
        <f t="shared" si="21"/>
        <v/>
      </c>
      <c r="AG56" s="71"/>
      <c r="AH56" s="10" t="str">
        <f t="shared" si="42"/>
        <v/>
      </c>
      <c r="AI56" s="10" t="str">
        <f t="shared" si="22"/>
        <v/>
      </c>
      <c r="AJ56" s="71"/>
      <c r="AK56" s="10" t="str">
        <f t="shared" si="43"/>
        <v/>
      </c>
      <c r="AL56" s="10" t="str">
        <f t="shared" si="23"/>
        <v/>
      </c>
      <c r="AM56" s="71"/>
      <c r="AN56" s="10" t="str">
        <f t="shared" si="44"/>
        <v/>
      </c>
      <c r="AO56" s="10" t="str">
        <f t="shared" si="24"/>
        <v/>
      </c>
      <c r="AP56" s="71"/>
      <c r="AQ56" s="10" t="str">
        <f t="shared" si="45"/>
        <v/>
      </c>
      <c r="AR56" s="10" t="str">
        <f t="shared" si="25"/>
        <v/>
      </c>
      <c r="AS56" s="71"/>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U56" s="71"/>
      <c r="AV56" s="10" t="str">
        <f t="shared" si="46"/>
        <v/>
      </c>
      <c r="AW56" s="10" t="str">
        <f t="shared" si="26"/>
        <v/>
      </c>
      <c r="AX56" s="71"/>
      <c r="AY56" s="7" t="str">
        <f>IF(ISERROR(IF($K56&lt;=$F$15,VLOOKUP($I56,'表4）CO2価格'!$A$7:$E$67,VLOOKUP($F$48,'表4）CO2価格'!$H$10:$I$12,2,0),0)*$F$8/1000,"")),0,IF($K56&lt;=$F$15,VLOOKUP($I56,'表4）CO2価格'!$A$7:$E$67,VLOOKUP($F$48,'表4）CO2価格'!$H$10:$I$12,2,0),0)*$F$8/1000,""))</f>
        <v/>
      </c>
      <c r="AZ56" s="71"/>
      <c r="BA56" s="11" t="str">
        <f t="shared" si="47"/>
        <v/>
      </c>
      <c r="BB56" s="10" t="str">
        <f t="shared" si="27"/>
        <v/>
      </c>
      <c r="BC56" s="71"/>
      <c r="BD56" s="10" t="str">
        <f t="shared" si="48"/>
        <v/>
      </c>
      <c r="BE56" s="10" t="str">
        <f t="shared" si="28"/>
        <v/>
      </c>
      <c r="BF56" s="71"/>
      <c r="BG56" s="11" t="str">
        <f t="shared" si="49"/>
        <v/>
      </c>
      <c r="BH56" s="10" t="str">
        <f t="shared" si="29"/>
        <v/>
      </c>
      <c r="BJ56" s="7" t="str">
        <f t="shared" si="30"/>
        <v/>
      </c>
      <c r="BK56" s="158" t="str">
        <f t="shared" si="31"/>
        <v/>
      </c>
      <c r="BL56" s="158" t="str">
        <f t="shared" si="14"/>
        <v/>
      </c>
      <c r="BM56" s="10"/>
      <c r="BN56" s="10" t="str">
        <f t="shared" si="32"/>
        <v/>
      </c>
      <c r="BO56" s="10" t="str">
        <f t="shared" si="33"/>
        <v/>
      </c>
      <c r="BQ56" s="10" t="str">
        <f t="shared" si="50"/>
        <v/>
      </c>
      <c r="BR56" s="10" t="str">
        <f t="shared" si="34"/>
        <v/>
      </c>
    </row>
    <row r="57" spans="3:70" x14ac:dyDescent="0.15">
      <c r="I57" s="458">
        <f t="shared" si="35"/>
        <v>2072</v>
      </c>
      <c r="J57" s="39"/>
      <c r="K57" s="39">
        <f t="shared" si="36"/>
        <v>43</v>
      </c>
      <c r="L57" s="39"/>
      <c r="M57" s="40">
        <f t="shared" si="0"/>
        <v>0.28054293595180391</v>
      </c>
      <c r="N57" s="39"/>
      <c r="O57" s="72" t="str">
        <f t="shared" si="37"/>
        <v/>
      </c>
      <c r="P57" s="41" t="str">
        <f t="shared" si="38"/>
        <v/>
      </c>
      <c r="Q57" s="39"/>
      <c r="R57" s="72" t="str">
        <f t="shared" si="51"/>
        <v/>
      </c>
      <c r="S57" s="39"/>
      <c r="T57" s="72" t="str">
        <f t="shared" si="17"/>
        <v/>
      </c>
      <c r="U57" s="39"/>
      <c r="V57" s="72" t="str">
        <f t="shared" si="39"/>
        <v/>
      </c>
      <c r="W57" s="72" t="str">
        <f t="shared" si="18"/>
        <v/>
      </c>
      <c r="X57" s="39"/>
      <c r="Y57" s="72" t="str">
        <f t="shared" si="40"/>
        <v/>
      </c>
      <c r="Z57" s="72" t="str">
        <f t="shared" si="19"/>
        <v/>
      </c>
      <c r="AA57" s="39"/>
      <c r="AB57" s="72" t="str">
        <f t="shared" si="4"/>
        <v/>
      </c>
      <c r="AC57" s="72" t="str">
        <f t="shared" si="20"/>
        <v/>
      </c>
      <c r="AD57" s="39"/>
      <c r="AE57" s="72" t="str">
        <f t="shared" si="41"/>
        <v/>
      </c>
      <c r="AF57" s="72" t="str">
        <f t="shared" si="21"/>
        <v/>
      </c>
      <c r="AG57" s="39"/>
      <c r="AH57" s="72" t="str">
        <f t="shared" si="42"/>
        <v/>
      </c>
      <c r="AI57" s="72" t="str">
        <f t="shared" si="22"/>
        <v/>
      </c>
      <c r="AJ57" s="39"/>
      <c r="AK57" s="72" t="str">
        <f t="shared" si="43"/>
        <v/>
      </c>
      <c r="AL57" s="72" t="str">
        <f t="shared" si="23"/>
        <v/>
      </c>
      <c r="AM57" s="39"/>
      <c r="AN57" s="72" t="str">
        <f t="shared" si="44"/>
        <v/>
      </c>
      <c r="AO57" s="72" t="str">
        <f t="shared" si="24"/>
        <v/>
      </c>
      <c r="AP57" s="39"/>
      <c r="AQ57" s="72" t="str">
        <f t="shared" si="45"/>
        <v/>
      </c>
      <c r="AR57" s="72" t="str">
        <f t="shared" si="25"/>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46"/>
        <v/>
      </c>
      <c r="AW57" s="72" t="str">
        <f t="shared" si="26"/>
        <v/>
      </c>
      <c r="AX57" s="39"/>
      <c r="AY57" s="40" t="str">
        <f>IF(ISERROR(IF($K57&lt;=$F$15,VLOOKUP($I57,'表4）CO2価格'!$A$7:$E$67,VLOOKUP($F$48,'表4）CO2価格'!$H$10:$I$12,2,0),0)*$F$8/1000,"")),0,IF($K57&lt;=$F$15,VLOOKUP($I57,'表4）CO2価格'!$A$7:$E$67,VLOOKUP($F$48,'表4）CO2価格'!$H$10:$I$12,2,0),0)*$F$8/1000,""))</f>
        <v/>
      </c>
      <c r="AZ57" s="39"/>
      <c r="BA57" s="42" t="str">
        <f t="shared" si="47"/>
        <v/>
      </c>
      <c r="BB57" s="72" t="str">
        <f t="shared" si="27"/>
        <v/>
      </c>
      <c r="BC57" s="39"/>
      <c r="BD57" s="72" t="str">
        <f t="shared" si="48"/>
        <v/>
      </c>
      <c r="BE57" s="72" t="str">
        <f t="shared" si="28"/>
        <v/>
      </c>
      <c r="BF57" s="39"/>
      <c r="BG57" s="42" t="str">
        <f t="shared" si="49"/>
        <v/>
      </c>
      <c r="BH57" s="72" t="str">
        <f t="shared" si="29"/>
        <v/>
      </c>
      <c r="BI57" s="39"/>
      <c r="BJ57" s="40" t="str">
        <f t="shared" si="30"/>
        <v/>
      </c>
      <c r="BK57" s="157" t="str">
        <f t="shared" si="31"/>
        <v/>
      </c>
      <c r="BL57" s="157" t="str">
        <f t="shared" si="14"/>
        <v/>
      </c>
      <c r="BM57" s="72"/>
      <c r="BN57" s="72" t="str">
        <f t="shared" si="32"/>
        <v/>
      </c>
      <c r="BO57" s="72" t="str">
        <f t="shared" si="33"/>
        <v/>
      </c>
      <c r="BP57" s="39"/>
      <c r="BQ57" s="72" t="str">
        <f t="shared" si="50"/>
        <v/>
      </c>
      <c r="BR57" s="72" t="str">
        <f t="shared" si="34"/>
        <v/>
      </c>
    </row>
    <row r="58" spans="3:70" x14ac:dyDescent="0.15">
      <c r="C58" s="89" t="s">
        <v>512</v>
      </c>
      <c r="D58" s="101"/>
      <c r="E58" s="101"/>
      <c r="F58" s="89"/>
      <c r="G58" s="101"/>
      <c r="I58" s="459">
        <f t="shared" si="35"/>
        <v>2073</v>
      </c>
      <c r="J58" s="71"/>
      <c r="K58" s="71">
        <f t="shared" si="36"/>
        <v>44</v>
      </c>
      <c r="L58" s="71"/>
      <c r="M58" s="7">
        <f t="shared" si="0"/>
        <v>0.27237178247747956</v>
      </c>
      <c r="N58" s="71"/>
      <c r="O58" s="10" t="str">
        <f t="shared" si="37"/>
        <v/>
      </c>
      <c r="P58" s="29" t="str">
        <f t="shared" si="38"/>
        <v/>
      </c>
      <c r="Q58" s="71"/>
      <c r="R58" s="10" t="str">
        <f t="shared" si="51"/>
        <v/>
      </c>
      <c r="S58" s="71"/>
      <c r="T58" s="10" t="str">
        <f t="shared" si="17"/>
        <v/>
      </c>
      <c r="U58" s="71"/>
      <c r="V58" s="10" t="str">
        <f t="shared" si="39"/>
        <v/>
      </c>
      <c r="W58" s="10" t="str">
        <f t="shared" si="18"/>
        <v/>
      </c>
      <c r="X58" s="71"/>
      <c r="Y58" s="10" t="str">
        <f t="shared" si="40"/>
        <v/>
      </c>
      <c r="Z58" s="10" t="str">
        <f t="shared" si="19"/>
        <v/>
      </c>
      <c r="AA58" s="71"/>
      <c r="AB58" s="10" t="str">
        <f t="shared" si="4"/>
        <v/>
      </c>
      <c r="AC58" s="10" t="str">
        <f t="shared" si="20"/>
        <v/>
      </c>
      <c r="AD58" s="71"/>
      <c r="AE58" s="10" t="str">
        <f t="shared" si="41"/>
        <v/>
      </c>
      <c r="AF58" s="10" t="str">
        <f t="shared" si="21"/>
        <v/>
      </c>
      <c r="AG58" s="71"/>
      <c r="AH58" s="10" t="str">
        <f t="shared" si="42"/>
        <v/>
      </c>
      <c r="AI58" s="10" t="str">
        <f t="shared" si="22"/>
        <v/>
      </c>
      <c r="AJ58" s="71"/>
      <c r="AK58" s="10" t="str">
        <f t="shared" si="43"/>
        <v/>
      </c>
      <c r="AL58" s="10" t="str">
        <f t="shared" si="23"/>
        <v/>
      </c>
      <c r="AM58" s="71"/>
      <c r="AN58" s="10" t="str">
        <f t="shared" si="44"/>
        <v/>
      </c>
      <c r="AO58" s="10" t="str">
        <f t="shared" si="24"/>
        <v/>
      </c>
      <c r="AP58" s="71"/>
      <c r="AQ58" s="10" t="str">
        <f t="shared" si="45"/>
        <v/>
      </c>
      <c r="AR58" s="10" t="str">
        <f t="shared" si="25"/>
        <v/>
      </c>
      <c r="AS58" s="71"/>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U58" s="71"/>
      <c r="AV58" s="10" t="str">
        <f t="shared" si="46"/>
        <v/>
      </c>
      <c r="AW58" s="10" t="str">
        <f t="shared" si="26"/>
        <v/>
      </c>
      <c r="AX58" s="71"/>
      <c r="AY58" s="7" t="str">
        <f>IF(ISERROR(IF($K58&lt;=$F$15,VLOOKUP($I58,'表4）CO2価格'!$A$7:$E$67,VLOOKUP($F$48,'表4）CO2価格'!$H$10:$I$12,2,0),0)*$F$8/1000,"")),0,IF($K58&lt;=$F$15,VLOOKUP($I58,'表4）CO2価格'!$A$7:$E$67,VLOOKUP($F$48,'表4）CO2価格'!$H$10:$I$12,2,0),0)*$F$8/1000,""))</f>
        <v/>
      </c>
      <c r="AZ58" s="71"/>
      <c r="BA58" s="11" t="str">
        <f t="shared" si="47"/>
        <v/>
      </c>
      <c r="BB58" s="10" t="str">
        <f t="shared" si="27"/>
        <v/>
      </c>
      <c r="BC58" s="71"/>
      <c r="BD58" s="10" t="str">
        <f t="shared" si="48"/>
        <v/>
      </c>
      <c r="BE58" s="10" t="str">
        <f t="shared" si="28"/>
        <v/>
      </c>
      <c r="BF58" s="71"/>
      <c r="BG58" s="11" t="str">
        <f t="shared" si="49"/>
        <v/>
      </c>
      <c r="BH58" s="10" t="str">
        <f t="shared" si="29"/>
        <v/>
      </c>
      <c r="BJ58" s="7" t="str">
        <f t="shared" si="30"/>
        <v/>
      </c>
      <c r="BK58" s="158" t="str">
        <f t="shared" si="31"/>
        <v/>
      </c>
      <c r="BL58" s="158" t="str">
        <f t="shared" si="14"/>
        <v/>
      </c>
      <c r="BM58" s="10"/>
      <c r="BN58" s="10" t="str">
        <f t="shared" si="32"/>
        <v/>
      </c>
      <c r="BO58" s="10" t="str">
        <f t="shared" si="33"/>
        <v/>
      </c>
      <c r="BQ58" s="10" t="str">
        <f t="shared" si="50"/>
        <v/>
      </c>
      <c r="BR58" s="10" t="str">
        <f t="shared" si="34"/>
        <v/>
      </c>
    </row>
    <row r="59" spans="3:70" x14ac:dyDescent="0.15">
      <c r="I59" s="458">
        <f t="shared" si="35"/>
        <v>2074</v>
      </c>
      <c r="J59" s="39"/>
      <c r="K59" s="39">
        <f t="shared" si="36"/>
        <v>45</v>
      </c>
      <c r="L59" s="39"/>
      <c r="M59" s="40">
        <f t="shared" si="0"/>
        <v>0.26443862376454325</v>
      </c>
      <c r="N59" s="39"/>
      <c r="O59" s="72" t="str">
        <f t="shared" si="37"/>
        <v/>
      </c>
      <c r="P59" s="41" t="str">
        <f t="shared" si="38"/>
        <v/>
      </c>
      <c r="Q59" s="39"/>
      <c r="R59" s="72" t="str">
        <f t="shared" si="51"/>
        <v/>
      </c>
      <c r="S59" s="39"/>
      <c r="T59" s="72" t="str">
        <f t="shared" si="17"/>
        <v/>
      </c>
      <c r="U59" s="39"/>
      <c r="V59" s="72" t="str">
        <f t="shared" si="39"/>
        <v/>
      </c>
      <c r="W59" s="72" t="str">
        <f t="shared" si="18"/>
        <v/>
      </c>
      <c r="X59" s="39"/>
      <c r="Y59" s="72" t="str">
        <f t="shared" si="40"/>
        <v/>
      </c>
      <c r="Z59" s="72" t="str">
        <f t="shared" si="19"/>
        <v/>
      </c>
      <c r="AA59" s="39"/>
      <c r="AB59" s="72" t="str">
        <f t="shared" si="4"/>
        <v/>
      </c>
      <c r="AC59" s="72" t="str">
        <f t="shared" si="20"/>
        <v/>
      </c>
      <c r="AD59" s="39"/>
      <c r="AE59" s="72" t="str">
        <f t="shared" si="41"/>
        <v/>
      </c>
      <c r="AF59" s="72" t="str">
        <f t="shared" si="21"/>
        <v/>
      </c>
      <c r="AG59" s="39"/>
      <c r="AH59" s="72" t="str">
        <f t="shared" si="42"/>
        <v/>
      </c>
      <c r="AI59" s="72" t="str">
        <f t="shared" si="22"/>
        <v/>
      </c>
      <c r="AJ59" s="39"/>
      <c r="AK59" s="72" t="str">
        <f t="shared" si="43"/>
        <v/>
      </c>
      <c r="AL59" s="72" t="str">
        <f t="shared" si="23"/>
        <v/>
      </c>
      <c r="AM59" s="39"/>
      <c r="AN59" s="72" t="str">
        <f t="shared" si="44"/>
        <v/>
      </c>
      <c r="AO59" s="72" t="str">
        <f t="shared" si="24"/>
        <v/>
      </c>
      <c r="AP59" s="39"/>
      <c r="AQ59" s="72" t="str">
        <f t="shared" si="45"/>
        <v/>
      </c>
      <c r="AR59" s="72" t="str">
        <f t="shared" si="25"/>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46"/>
        <v/>
      </c>
      <c r="AW59" s="72" t="str">
        <f t="shared" si="26"/>
        <v/>
      </c>
      <c r="AX59" s="39"/>
      <c r="AY59" s="40" t="str">
        <f>IF(ISERROR(IF($K59&lt;=$F$15,VLOOKUP($I59,'表4）CO2価格'!$A$7:$E$67,VLOOKUP($F$48,'表4）CO2価格'!$H$10:$I$12,2,0),0)*$F$8/1000,"")),0,IF($K59&lt;=$F$15,VLOOKUP($I59,'表4）CO2価格'!$A$7:$E$67,VLOOKUP($F$48,'表4）CO2価格'!$H$10:$I$12,2,0),0)*$F$8/1000,""))</f>
        <v/>
      </c>
      <c r="AZ59" s="39"/>
      <c r="BA59" s="42" t="str">
        <f t="shared" si="47"/>
        <v/>
      </c>
      <c r="BB59" s="72" t="str">
        <f t="shared" si="27"/>
        <v/>
      </c>
      <c r="BC59" s="39"/>
      <c r="BD59" s="72" t="str">
        <f t="shared" si="48"/>
        <v/>
      </c>
      <c r="BE59" s="72" t="str">
        <f t="shared" si="28"/>
        <v/>
      </c>
      <c r="BF59" s="39"/>
      <c r="BG59" s="42" t="str">
        <f t="shared" si="49"/>
        <v/>
      </c>
      <c r="BH59" s="72" t="str">
        <f t="shared" si="29"/>
        <v/>
      </c>
      <c r="BI59" s="39"/>
      <c r="BJ59" s="40" t="str">
        <f t="shared" si="30"/>
        <v/>
      </c>
      <c r="BK59" s="157" t="str">
        <f t="shared" si="31"/>
        <v/>
      </c>
      <c r="BL59" s="157" t="str">
        <f t="shared" si="14"/>
        <v/>
      </c>
      <c r="BM59" s="72"/>
      <c r="BN59" s="72" t="str">
        <f t="shared" si="32"/>
        <v/>
      </c>
      <c r="BO59" s="72" t="str">
        <f t="shared" si="33"/>
        <v/>
      </c>
      <c r="BP59" s="39"/>
      <c r="BQ59" s="72" t="str">
        <f t="shared" si="50"/>
        <v/>
      </c>
      <c r="BR59" s="72" t="str">
        <f t="shared" si="34"/>
        <v/>
      </c>
    </row>
    <row r="60" spans="3:70" x14ac:dyDescent="0.15">
      <c r="D60" s="81" t="s">
        <v>128</v>
      </c>
      <c r="F60" s="59"/>
      <c r="G60" s="81" t="s">
        <v>176</v>
      </c>
      <c r="I60" s="459">
        <f t="shared" si="35"/>
        <v>2075</v>
      </c>
      <c r="J60" s="71"/>
      <c r="K60" s="71">
        <f t="shared" si="36"/>
        <v>46</v>
      </c>
      <c r="L60" s="71"/>
      <c r="M60" s="7">
        <f t="shared" si="0"/>
        <v>0.25673652792674101</v>
      </c>
      <c r="N60" s="71"/>
      <c r="O60" s="10" t="str">
        <f t="shared" si="37"/>
        <v/>
      </c>
      <c r="P60" s="29" t="str">
        <f t="shared" si="38"/>
        <v/>
      </c>
      <c r="Q60" s="71"/>
      <c r="R60" s="10" t="str">
        <f t="shared" si="51"/>
        <v/>
      </c>
      <c r="S60" s="71"/>
      <c r="T60" s="10" t="str">
        <f t="shared" si="17"/>
        <v/>
      </c>
      <c r="U60" s="71"/>
      <c r="V60" s="10" t="str">
        <f t="shared" si="39"/>
        <v/>
      </c>
      <c r="W60" s="10" t="str">
        <f t="shared" si="18"/>
        <v/>
      </c>
      <c r="X60" s="71"/>
      <c r="Y60" s="10" t="str">
        <f t="shared" si="40"/>
        <v/>
      </c>
      <c r="Z60" s="10" t="str">
        <f t="shared" si="19"/>
        <v/>
      </c>
      <c r="AA60" s="71"/>
      <c r="AB60" s="10" t="str">
        <f t="shared" si="4"/>
        <v/>
      </c>
      <c r="AC60" s="10" t="str">
        <f t="shared" si="20"/>
        <v/>
      </c>
      <c r="AD60" s="71"/>
      <c r="AE60" s="10" t="str">
        <f t="shared" si="41"/>
        <v/>
      </c>
      <c r="AF60" s="10" t="str">
        <f t="shared" si="21"/>
        <v/>
      </c>
      <c r="AG60" s="71"/>
      <c r="AH60" s="10" t="str">
        <f t="shared" si="42"/>
        <v/>
      </c>
      <c r="AI60" s="10" t="str">
        <f t="shared" si="22"/>
        <v/>
      </c>
      <c r="AJ60" s="71"/>
      <c r="AK60" s="10" t="str">
        <f t="shared" si="43"/>
        <v/>
      </c>
      <c r="AL60" s="10" t="str">
        <f t="shared" si="23"/>
        <v/>
      </c>
      <c r="AM60" s="71"/>
      <c r="AN60" s="10" t="str">
        <f t="shared" si="44"/>
        <v/>
      </c>
      <c r="AO60" s="10" t="str">
        <f t="shared" si="24"/>
        <v/>
      </c>
      <c r="AP60" s="71"/>
      <c r="AQ60" s="10" t="str">
        <f t="shared" si="45"/>
        <v/>
      </c>
      <c r="AR60" s="10" t="str">
        <f t="shared" si="25"/>
        <v/>
      </c>
      <c r="AS60" s="71"/>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U60" s="71"/>
      <c r="AV60" s="10" t="str">
        <f t="shared" si="46"/>
        <v/>
      </c>
      <c r="AW60" s="10" t="str">
        <f t="shared" si="26"/>
        <v/>
      </c>
      <c r="AX60" s="71"/>
      <c r="AY60" s="7" t="str">
        <f>IF(ISERROR(IF($K60&lt;=$F$15,VLOOKUP($I60,'表4）CO2価格'!$A$7:$E$67,VLOOKUP($F$48,'表4）CO2価格'!$H$10:$I$12,2,0),0)*$F$8/1000,"")),0,IF($K60&lt;=$F$15,VLOOKUP($I60,'表4）CO2価格'!$A$7:$E$67,VLOOKUP($F$48,'表4）CO2価格'!$H$10:$I$12,2,0),0)*$F$8/1000,""))</f>
        <v/>
      </c>
      <c r="AZ60" s="71"/>
      <c r="BA60" s="11" t="str">
        <f t="shared" si="47"/>
        <v/>
      </c>
      <c r="BB60" s="10" t="str">
        <f t="shared" si="27"/>
        <v/>
      </c>
      <c r="BC60" s="71"/>
      <c r="BD60" s="10" t="str">
        <f t="shared" si="48"/>
        <v/>
      </c>
      <c r="BE60" s="10" t="str">
        <f t="shared" si="28"/>
        <v/>
      </c>
      <c r="BF60" s="71"/>
      <c r="BG60" s="11" t="str">
        <f t="shared" si="49"/>
        <v/>
      </c>
      <c r="BH60" s="10" t="str">
        <f t="shared" si="29"/>
        <v/>
      </c>
      <c r="BJ60" s="7" t="str">
        <f t="shared" si="30"/>
        <v/>
      </c>
      <c r="BK60" s="158" t="str">
        <f t="shared" si="31"/>
        <v/>
      </c>
      <c r="BL60" s="158" t="str">
        <f t="shared" si="14"/>
        <v/>
      </c>
      <c r="BM60" s="10"/>
      <c r="BN60" s="10" t="str">
        <f t="shared" si="32"/>
        <v/>
      </c>
      <c r="BO60" s="10" t="str">
        <f t="shared" si="33"/>
        <v/>
      </c>
      <c r="BQ60" s="10" t="str">
        <f t="shared" si="50"/>
        <v/>
      </c>
      <c r="BR60" s="10" t="str">
        <f t="shared" si="34"/>
        <v/>
      </c>
    </row>
    <row r="61" spans="3:70" x14ac:dyDescent="0.15">
      <c r="D61" s="81" t="s">
        <v>190</v>
      </c>
      <c r="F61" s="66"/>
      <c r="G61" s="81" t="s">
        <v>108</v>
      </c>
      <c r="I61" s="458">
        <f t="shared" si="35"/>
        <v>2076</v>
      </c>
      <c r="J61" s="39"/>
      <c r="K61" s="39">
        <f t="shared" si="36"/>
        <v>47</v>
      </c>
      <c r="L61" s="39"/>
      <c r="M61" s="40">
        <f t="shared" si="0"/>
        <v>0.24925876497741845</v>
      </c>
      <c r="N61" s="39"/>
      <c r="O61" s="72" t="str">
        <f t="shared" si="37"/>
        <v/>
      </c>
      <c r="P61" s="41" t="str">
        <f t="shared" si="38"/>
        <v/>
      </c>
      <c r="Q61" s="39"/>
      <c r="R61" s="72" t="str">
        <f t="shared" si="51"/>
        <v/>
      </c>
      <c r="S61" s="39"/>
      <c r="T61" s="72" t="str">
        <f t="shared" si="17"/>
        <v/>
      </c>
      <c r="U61" s="39"/>
      <c r="V61" s="72" t="str">
        <f t="shared" si="39"/>
        <v/>
      </c>
      <c r="W61" s="72" t="str">
        <f t="shared" si="18"/>
        <v/>
      </c>
      <c r="X61" s="39"/>
      <c r="Y61" s="72" t="str">
        <f t="shared" si="40"/>
        <v/>
      </c>
      <c r="Z61" s="72" t="str">
        <f t="shared" si="19"/>
        <v/>
      </c>
      <c r="AA61" s="39"/>
      <c r="AB61" s="72" t="str">
        <f t="shared" si="4"/>
        <v/>
      </c>
      <c r="AC61" s="72" t="str">
        <f t="shared" si="20"/>
        <v/>
      </c>
      <c r="AD61" s="39"/>
      <c r="AE61" s="72" t="str">
        <f t="shared" si="41"/>
        <v/>
      </c>
      <c r="AF61" s="72" t="str">
        <f t="shared" si="21"/>
        <v/>
      </c>
      <c r="AG61" s="39"/>
      <c r="AH61" s="72" t="str">
        <f t="shared" si="42"/>
        <v/>
      </c>
      <c r="AI61" s="72" t="str">
        <f t="shared" si="22"/>
        <v/>
      </c>
      <c r="AJ61" s="39"/>
      <c r="AK61" s="72" t="str">
        <f t="shared" si="43"/>
        <v/>
      </c>
      <c r="AL61" s="72" t="str">
        <f t="shared" si="23"/>
        <v/>
      </c>
      <c r="AM61" s="39"/>
      <c r="AN61" s="72" t="str">
        <f t="shared" si="44"/>
        <v/>
      </c>
      <c r="AO61" s="72" t="str">
        <f t="shared" si="24"/>
        <v/>
      </c>
      <c r="AP61" s="39"/>
      <c r="AQ61" s="72" t="str">
        <f t="shared" si="45"/>
        <v/>
      </c>
      <c r="AR61" s="72" t="str">
        <f t="shared" si="25"/>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46"/>
        <v/>
      </c>
      <c r="AW61" s="72" t="str">
        <f t="shared" si="26"/>
        <v/>
      </c>
      <c r="AX61" s="39"/>
      <c r="AY61" s="40" t="str">
        <f>IF(ISERROR(IF($K61&lt;=$F$15,VLOOKUP($I61,'表4）CO2価格'!$A$7:$E$67,VLOOKUP($F$48,'表4）CO2価格'!$H$10:$I$12,2,0),0)*$F$8/1000,"")),0,IF($K61&lt;=$F$15,VLOOKUP($I61,'表4）CO2価格'!$A$7:$E$67,VLOOKUP($F$48,'表4）CO2価格'!$H$10:$I$12,2,0),0)*$F$8/1000,""))</f>
        <v/>
      </c>
      <c r="AZ61" s="39"/>
      <c r="BA61" s="42" t="str">
        <f t="shared" si="47"/>
        <v/>
      </c>
      <c r="BB61" s="72" t="str">
        <f t="shared" si="27"/>
        <v/>
      </c>
      <c r="BC61" s="39"/>
      <c r="BD61" s="72" t="str">
        <f t="shared" si="48"/>
        <v/>
      </c>
      <c r="BE61" s="72" t="str">
        <f t="shared" si="28"/>
        <v/>
      </c>
      <c r="BF61" s="39"/>
      <c r="BG61" s="42" t="str">
        <f t="shared" si="49"/>
        <v/>
      </c>
      <c r="BH61" s="72" t="str">
        <f t="shared" si="29"/>
        <v/>
      </c>
      <c r="BI61" s="39"/>
      <c r="BJ61" s="40" t="str">
        <f t="shared" si="30"/>
        <v/>
      </c>
      <c r="BK61" s="157" t="str">
        <f t="shared" si="31"/>
        <v/>
      </c>
      <c r="BL61" s="157" t="str">
        <f t="shared" si="14"/>
        <v/>
      </c>
      <c r="BM61" s="72"/>
      <c r="BN61" s="72" t="str">
        <f t="shared" si="32"/>
        <v/>
      </c>
      <c r="BO61" s="72" t="str">
        <f t="shared" si="33"/>
        <v/>
      </c>
      <c r="BP61" s="39"/>
      <c r="BQ61" s="72" t="str">
        <f t="shared" si="50"/>
        <v/>
      </c>
      <c r="BR61" s="72" t="str">
        <f t="shared" si="34"/>
        <v/>
      </c>
    </row>
    <row r="62" spans="3:70" x14ac:dyDescent="0.15">
      <c r="D62" s="81" t="s">
        <v>131</v>
      </c>
      <c r="F62" s="59"/>
      <c r="G62" s="81" t="s">
        <v>191</v>
      </c>
      <c r="I62" s="459">
        <f t="shared" si="35"/>
        <v>2077</v>
      </c>
      <c r="J62" s="71"/>
      <c r="K62" s="71">
        <f t="shared" si="36"/>
        <v>48</v>
      </c>
      <c r="L62" s="71"/>
      <c r="M62" s="7">
        <f t="shared" si="0"/>
        <v>0.24199880094894996</v>
      </c>
      <c r="N62" s="71"/>
      <c r="O62" s="10" t="str">
        <f t="shared" si="37"/>
        <v/>
      </c>
      <c r="P62" s="29" t="str">
        <f t="shared" si="38"/>
        <v/>
      </c>
      <c r="Q62" s="71"/>
      <c r="R62" s="10" t="str">
        <f t="shared" si="51"/>
        <v/>
      </c>
      <c r="S62" s="71"/>
      <c r="T62" s="10" t="str">
        <f t="shared" si="17"/>
        <v/>
      </c>
      <c r="U62" s="71"/>
      <c r="V62" s="10" t="str">
        <f t="shared" si="39"/>
        <v/>
      </c>
      <c r="W62" s="10" t="str">
        <f t="shared" si="18"/>
        <v/>
      </c>
      <c r="X62" s="71"/>
      <c r="Y62" s="10" t="str">
        <f t="shared" si="40"/>
        <v/>
      </c>
      <c r="Z62" s="10" t="str">
        <f t="shared" si="19"/>
        <v/>
      </c>
      <c r="AA62" s="71"/>
      <c r="AB62" s="10" t="str">
        <f t="shared" si="4"/>
        <v/>
      </c>
      <c r="AC62" s="10" t="str">
        <f t="shared" si="20"/>
        <v/>
      </c>
      <c r="AD62" s="71"/>
      <c r="AE62" s="10" t="str">
        <f t="shared" si="41"/>
        <v/>
      </c>
      <c r="AF62" s="10" t="str">
        <f t="shared" si="21"/>
        <v/>
      </c>
      <c r="AG62" s="71"/>
      <c r="AH62" s="10" t="str">
        <f t="shared" si="42"/>
        <v/>
      </c>
      <c r="AI62" s="10" t="str">
        <f t="shared" si="22"/>
        <v/>
      </c>
      <c r="AJ62" s="71"/>
      <c r="AK62" s="10" t="str">
        <f t="shared" si="43"/>
        <v/>
      </c>
      <c r="AL62" s="10" t="str">
        <f t="shared" si="23"/>
        <v/>
      </c>
      <c r="AM62" s="71"/>
      <c r="AN62" s="10" t="str">
        <f t="shared" si="44"/>
        <v/>
      </c>
      <c r="AO62" s="10" t="str">
        <f t="shared" si="24"/>
        <v/>
      </c>
      <c r="AP62" s="71"/>
      <c r="AQ62" s="10" t="str">
        <f t="shared" si="45"/>
        <v/>
      </c>
      <c r="AR62" s="10" t="str">
        <f t="shared" si="25"/>
        <v/>
      </c>
      <c r="AS62" s="71"/>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U62" s="71"/>
      <c r="AV62" s="10" t="str">
        <f t="shared" si="46"/>
        <v/>
      </c>
      <c r="AW62" s="10" t="str">
        <f t="shared" si="26"/>
        <v/>
      </c>
      <c r="AX62" s="71"/>
      <c r="AY62" s="7" t="str">
        <f>IF(ISERROR(IF($K62&lt;=$F$15,VLOOKUP($I62,'表4）CO2価格'!$A$7:$E$67,VLOOKUP($F$48,'表4）CO2価格'!$H$10:$I$12,2,0),0)*$F$8/1000,"")),0,IF($K62&lt;=$F$15,VLOOKUP($I62,'表4）CO2価格'!$A$7:$E$67,VLOOKUP($F$48,'表4）CO2価格'!$H$10:$I$12,2,0),0)*$F$8/1000,""))</f>
        <v/>
      </c>
      <c r="AZ62" s="71"/>
      <c r="BA62" s="11" t="str">
        <f t="shared" si="47"/>
        <v/>
      </c>
      <c r="BB62" s="10" t="str">
        <f t="shared" si="27"/>
        <v/>
      </c>
      <c r="BC62" s="71"/>
      <c r="BD62" s="10" t="str">
        <f t="shared" si="48"/>
        <v/>
      </c>
      <c r="BE62" s="10" t="str">
        <f t="shared" si="28"/>
        <v/>
      </c>
      <c r="BF62" s="71"/>
      <c r="BG62" s="11" t="str">
        <f t="shared" si="49"/>
        <v/>
      </c>
      <c r="BH62" s="10" t="str">
        <f t="shared" si="29"/>
        <v/>
      </c>
      <c r="BJ62" s="7" t="str">
        <f t="shared" si="30"/>
        <v/>
      </c>
      <c r="BK62" s="158" t="str">
        <f t="shared" si="31"/>
        <v/>
      </c>
      <c r="BL62" s="158" t="str">
        <f t="shared" si="14"/>
        <v/>
      </c>
      <c r="BM62" s="10"/>
      <c r="BN62" s="10" t="str">
        <f t="shared" si="32"/>
        <v/>
      </c>
      <c r="BO62" s="10" t="str">
        <f t="shared" si="33"/>
        <v/>
      </c>
      <c r="BQ62" s="10" t="str">
        <f t="shared" si="50"/>
        <v/>
      </c>
      <c r="BR62" s="10" t="str">
        <f t="shared" si="34"/>
        <v/>
      </c>
    </row>
    <row r="63" spans="3:70" x14ac:dyDescent="0.15">
      <c r="I63" s="458">
        <f t="shared" si="35"/>
        <v>2078</v>
      </c>
      <c r="J63" s="39"/>
      <c r="K63" s="39">
        <f t="shared" si="36"/>
        <v>49</v>
      </c>
      <c r="L63" s="39"/>
      <c r="M63" s="40">
        <f t="shared" si="0"/>
        <v>0.2349502921834466</v>
      </c>
      <c r="N63" s="39"/>
      <c r="O63" s="72" t="str">
        <f t="shared" si="37"/>
        <v/>
      </c>
      <c r="P63" s="41" t="str">
        <f t="shared" si="38"/>
        <v/>
      </c>
      <c r="Q63" s="39"/>
      <c r="R63" s="72" t="str">
        <f t="shared" si="51"/>
        <v/>
      </c>
      <c r="S63" s="39"/>
      <c r="T63" s="72" t="str">
        <f t="shared" si="17"/>
        <v/>
      </c>
      <c r="U63" s="39"/>
      <c r="V63" s="72" t="str">
        <f t="shared" si="39"/>
        <v/>
      </c>
      <c r="W63" s="72" t="str">
        <f t="shared" si="18"/>
        <v/>
      </c>
      <c r="X63" s="39"/>
      <c r="Y63" s="72" t="str">
        <f t="shared" si="40"/>
        <v/>
      </c>
      <c r="Z63" s="72" t="str">
        <f t="shared" si="19"/>
        <v/>
      </c>
      <c r="AA63" s="39"/>
      <c r="AB63" s="72" t="str">
        <f t="shared" si="4"/>
        <v/>
      </c>
      <c r="AC63" s="72" t="str">
        <f t="shared" si="20"/>
        <v/>
      </c>
      <c r="AD63" s="39"/>
      <c r="AE63" s="72" t="str">
        <f t="shared" si="41"/>
        <v/>
      </c>
      <c r="AF63" s="72" t="str">
        <f t="shared" si="21"/>
        <v/>
      </c>
      <c r="AG63" s="39"/>
      <c r="AH63" s="72" t="str">
        <f t="shared" si="42"/>
        <v/>
      </c>
      <c r="AI63" s="72" t="str">
        <f t="shared" si="22"/>
        <v/>
      </c>
      <c r="AJ63" s="39"/>
      <c r="AK63" s="72" t="str">
        <f t="shared" si="43"/>
        <v/>
      </c>
      <c r="AL63" s="72" t="str">
        <f t="shared" si="23"/>
        <v/>
      </c>
      <c r="AM63" s="39"/>
      <c r="AN63" s="72" t="str">
        <f t="shared" si="44"/>
        <v/>
      </c>
      <c r="AO63" s="72" t="str">
        <f t="shared" si="24"/>
        <v/>
      </c>
      <c r="AP63" s="39"/>
      <c r="AQ63" s="72" t="str">
        <f t="shared" si="45"/>
        <v/>
      </c>
      <c r="AR63" s="72" t="str">
        <f t="shared" si="25"/>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46"/>
        <v/>
      </c>
      <c r="AW63" s="72" t="str">
        <f t="shared" si="26"/>
        <v/>
      </c>
      <c r="AX63" s="39"/>
      <c r="AY63" s="40" t="str">
        <f>IF(ISERROR(IF($K63&lt;=$F$15,VLOOKUP($I63,'表4）CO2価格'!$A$7:$E$67,VLOOKUP($F$48,'表4）CO2価格'!$H$10:$I$12,2,0),0)*$F$8/1000,"")),0,IF($K63&lt;=$F$15,VLOOKUP($I63,'表4）CO2価格'!$A$7:$E$67,VLOOKUP($F$48,'表4）CO2価格'!$H$10:$I$12,2,0),0)*$F$8/1000,""))</f>
        <v/>
      </c>
      <c r="AZ63" s="39"/>
      <c r="BA63" s="42" t="str">
        <f t="shared" si="47"/>
        <v/>
      </c>
      <c r="BB63" s="72" t="str">
        <f t="shared" si="27"/>
        <v/>
      </c>
      <c r="BC63" s="39"/>
      <c r="BD63" s="72" t="str">
        <f t="shared" si="48"/>
        <v/>
      </c>
      <c r="BE63" s="72" t="str">
        <f t="shared" si="28"/>
        <v/>
      </c>
      <c r="BF63" s="39"/>
      <c r="BG63" s="42" t="str">
        <f t="shared" si="49"/>
        <v/>
      </c>
      <c r="BH63" s="72" t="str">
        <f t="shared" si="29"/>
        <v/>
      </c>
      <c r="BI63" s="39"/>
      <c r="BJ63" s="40" t="str">
        <f t="shared" si="30"/>
        <v/>
      </c>
      <c r="BK63" s="157" t="str">
        <f t="shared" si="31"/>
        <v/>
      </c>
      <c r="BL63" s="157" t="str">
        <f t="shared" si="14"/>
        <v/>
      </c>
      <c r="BM63" s="72"/>
      <c r="BN63" s="72" t="str">
        <f t="shared" si="32"/>
        <v/>
      </c>
      <c r="BO63" s="72" t="str">
        <f t="shared" si="33"/>
        <v/>
      </c>
      <c r="BP63" s="39"/>
      <c r="BQ63" s="72" t="str">
        <f t="shared" si="50"/>
        <v/>
      </c>
      <c r="BR63" s="72" t="str">
        <f t="shared" si="34"/>
        <v/>
      </c>
    </row>
    <row r="64" spans="3:70" x14ac:dyDescent="0.15">
      <c r="C64" s="9" t="s">
        <v>513</v>
      </c>
      <c r="F64" s="67">
        <v>0.06</v>
      </c>
      <c r="G64" s="81" t="s">
        <v>132</v>
      </c>
      <c r="I64" s="459">
        <f t="shared" si="35"/>
        <v>2079</v>
      </c>
      <c r="J64" s="71"/>
      <c r="K64" s="71">
        <f t="shared" si="36"/>
        <v>50</v>
      </c>
      <c r="L64" s="71"/>
      <c r="M64" s="7">
        <f t="shared" si="0"/>
        <v>0.22810707978975397</v>
      </c>
      <c r="N64" s="71"/>
      <c r="O64" s="10" t="str">
        <f t="shared" si="37"/>
        <v/>
      </c>
      <c r="P64" s="29" t="str">
        <f t="shared" si="38"/>
        <v/>
      </c>
      <c r="Q64" s="71"/>
      <c r="R64" s="10" t="str">
        <f t="shared" si="51"/>
        <v/>
      </c>
      <c r="S64" s="71"/>
      <c r="T64" s="10" t="str">
        <f t="shared" si="17"/>
        <v/>
      </c>
      <c r="U64" s="71"/>
      <c r="V64" s="10" t="str">
        <f t="shared" si="39"/>
        <v/>
      </c>
      <c r="W64" s="10" t="str">
        <f t="shared" si="18"/>
        <v/>
      </c>
      <c r="X64" s="71"/>
      <c r="Y64" s="10" t="str">
        <f t="shared" si="40"/>
        <v/>
      </c>
      <c r="Z64" s="10" t="str">
        <f t="shared" si="19"/>
        <v/>
      </c>
      <c r="AA64" s="71"/>
      <c r="AB64" s="10" t="str">
        <f t="shared" si="4"/>
        <v/>
      </c>
      <c r="AC64" s="10" t="str">
        <f t="shared" si="20"/>
        <v/>
      </c>
      <c r="AD64" s="71"/>
      <c r="AE64" s="10" t="str">
        <f t="shared" si="41"/>
        <v/>
      </c>
      <c r="AF64" s="10" t="str">
        <f t="shared" si="21"/>
        <v/>
      </c>
      <c r="AG64" s="71"/>
      <c r="AH64" s="10" t="str">
        <f t="shared" si="42"/>
        <v/>
      </c>
      <c r="AI64" s="10" t="str">
        <f t="shared" si="22"/>
        <v/>
      </c>
      <c r="AJ64" s="71"/>
      <c r="AK64" s="10" t="str">
        <f t="shared" si="43"/>
        <v/>
      </c>
      <c r="AL64" s="10" t="str">
        <f t="shared" si="23"/>
        <v/>
      </c>
      <c r="AM64" s="71"/>
      <c r="AN64" s="10" t="str">
        <f t="shared" si="44"/>
        <v/>
      </c>
      <c r="AO64" s="10" t="str">
        <f t="shared" si="24"/>
        <v/>
      </c>
      <c r="AP64" s="71"/>
      <c r="AQ64" s="10" t="str">
        <f t="shared" si="45"/>
        <v/>
      </c>
      <c r="AR64" s="10" t="str">
        <f t="shared" si="25"/>
        <v/>
      </c>
      <c r="AS64" s="71"/>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U64" s="71"/>
      <c r="AV64" s="10" t="str">
        <f t="shared" si="46"/>
        <v/>
      </c>
      <c r="AW64" s="10" t="str">
        <f t="shared" si="26"/>
        <v/>
      </c>
      <c r="AX64" s="71"/>
      <c r="AY64" s="7" t="str">
        <f>IF(ISERROR(IF($K64&lt;=$F$15,VLOOKUP($I64,'表4）CO2価格'!$A$7:$E$67,VLOOKUP($F$48,'表4）CO2価格'!$H$10:$I$12,2,0),0)*$F$8/1000,"")),0,IF($K64&lt;=$F$15,VLOOKUP($I64,'表4）CO2価格'!$A$7:$E$67,VLOOKUP($F$48,'表4）CO2価格'!$H$10:$I$12,2,0),0)*$F$8/1000,""))</f>
        <v/>
      </c>
      <c r="AZ64" s="71"/>
      <c r="BA64" s="11" t="str">
        <f t="shared" si="47"/>
        <v/>
      </c>
      <c r="BB64" s="10" t="str">
        <f t="shared" si="27"/>
        <v/>
      </c>
      <c r="BC64" s="71"/>
      <c r="BD64" s="10" t="str">
        <f t="shared" si="48"/>
        <v/>
      </c>
      <c r="BE64" s="10" t="str">
        <f t="shared" si="28"/>
        <v/>
      </c>
      <c r="BF64" s="71"/>
      <c r="BG64" s="11" t="str">
        <f t="shared" si="49"/>
        <v/>
      </c>
      <c r="BH64" s="10" t="str">
        <f t="shared" si="29"/>
        <v/>
      </c>
      <c r="BJ64" s="7" t="str">
        <f t="shared" si="30"/>
        <v/>
      </c>
      <c r="BK64" s="158" t="str">
        <f t="shared" si="31"/>
        <v/>
      </c>
      <c r="BL64" s="158" t="str">
        <f t="shared" si="14"/>
        <v/>
      </c>
      <c r="BM64" s="10"/>
      <c r="BN64" s="10" t="str">
        <f t="shared" si="32"/>
        <v/>
      </c>
      <c r="BO64" s="10" t="str">
        <f t="shared" si="33"/>
        <v/>
      </c>
      <c r="BQ64" s="10" t="str">
        <f t="shared" si="50"/>
        <v/>
      </c>
      <c r="BR64" s="10" t="str">
        <f t="shared" si="34"/>
        <v/>
      </c>
    </row>
    <row r="65" spans="2:70" x14ac:dyDescent="0.15">
      <c r="I65" s="458">
        <f t="shared" si="35"/>
        <v>2080</v>
      </c>
      <c r="J65" s="39"/>
      <c r="K65" s="39">
        <f t="shared" si="36"/>
        <v>51</v>
      </c>
      <c r="L65" s="39"/>
      <c r="M65" s="40">
        <f t="shared" si="0"/>
        <v>0.22146318426189707</v>
      </c>
      <c r="N65" s="39"/>
      <c r="O65" s="72" t="str">
        <f t="shared" si="37"/>
        <v/>
      </c>
      <c r="P65" s="41" t="str">
        <f t="shared" si="38"/>
        <v/>
      </c>
      <c r="Q65" s="39"/>
      <c r="R65" s="72" t="str">
        <f t="shared" si="51"/>
        <v/>
      </c>
      <c r="S65" s="39"/>
      <c r="T65" s="72" t="str">
        <f t="shared" si="17"/>
        <v/>
      </c>
      <c r="U65" s="39"/>
      <c r="V65" s="72" t="str">
        <f t="shared" si="39"/>
        <v/>
      </c>
      <c r="W65" s="72" t="str">
        <f t="shared" si="18"/>
        <v/>
      </c>
      <c r="X65" s="39"/>
      <c r="Y65" s="72" t="str">
        <f t="shared" si="40"/>
        <v/>
      </c>
      <c r="Z65" s="72" t="str">
        <f t="shared" si="19"/>
        <v/>
      </c>
      <c r="AA65" s="39"/>
      <c r="AB65" s="72" t="str">
        <f t="shared" si="4"/>
        <v/>
      </c>
      <c r="AC65" s="72" t="str">
        <f t="shared" si="20"/>
        <v/>
      </c>
      <c r="AD65" s="39"/>
      <c r="AE65" s="72" t="str">
        <f t="shared" si="41"/>
        <v/>
      </c>
      <c r="AF65" s="72" t="str">
        <f t="shared" si="21"/>
        <v/>
      </c>
      <c r="AG65" s="39"/>
      <c r="AH65" s="72" t="str">
        <f t="shared" si="42"/>
        <v/>
      </c>
      <c r="AI65" s="72" t="str">
        <f t="shared" si="22"/>
        <v/>
      </c>
      <c r="AJ65" s="39"/>
      <c r="AK65" s="72" t="str">
        <f t="shared" si="43"/>
        <v/>
      </c>
      <c r="AL65" s="72" t="str">
        <f t="shared" si="23"/>
        <v/>
      </c>
      <c r="AM65" s="39"/>
      <c r="AN65" s="72" t="str">
        <f t="shared" si="44"/>
        <v/>
      </c>
      <c r="AO65" s="72" t="str">
        <f t="shared" si="24"/>
        <v/>
      </c>
      <c r="AP65" s="39"/>
      <c r="AQ65" s="72" t="str">
        <f t="shared" si="45"/>
        <v/>
      </c>
      <c r="AR65" s="72" t="str">
        <f t="shared" si="25"/>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46"/>
        <v/>
      </c>
      <c r="AW65" s="72" t="str">
        <f t="shared" si="26"/>
        <v/>
      </c>
      <c r="AX65" s="39"/>
      <c r="AY65" s="40" t="str">
        <f>IF(ISERROR(IF($K65&lt;=$F$15,VLOOKUP($I65,'表4）CO2価格'!$A$7:$E$67,VLOOKUP($F$48,'表4）CO2価格'!$H$10:$I$12,2,0),0)*$F$8/1000,"")),0,IF($K65&lt;=$F$15,VLOOKUP($I65,'表4）CO2価格'!$A$7:$E$67,VLOOKUP($F$48,'表4）CO2価格'!$H$10:$I$12,2,0),0)*$F$8/1000,""))</f>
        <v/>
      </c>
      <c r="AZ65" s="39"/>
      <c r="BA65" s="42" t="str">
        <f t="shared" si="47"/>
        <v/>
      </c>
      <c r="BB65" s="72" t="str">
        <f t="shared" si="27"/>
        <v/>
      </c>
      <c r="BC65" s="39"/>
      <c r="BD65" s="72" t="str">
        <f t="shared" si="48"/>
        <v/>
      </c>
      <c r="BE65" s="72" t="str">
        <f t="shared" si="28"/>
        <v/>
      </c>
      <c r="BF65" s="39"/>
      <c r="BG65" s="42" t="str">
        <f t="shared" si="49"/>
        <v/>
      </c>
      <c r="BH65" s="72" t="str">
        <f t="shared" si="29"/>
        <v/>
      </c>
      <c r="BI65" s="39"/>
      <c r="BJ65" s="40" t="str">
        <f t="shared" si="30"/>
        <v/>
      </c>
      <c r="BK65" s="157" t="str">
        <f t="shared" si="31"/>
        <v/>
      </c>
      <c r="BL65" s="157" t="str">
        <f t="shared" si="14"/>
        <v/>
      </c>
      <c r="BM65" s="72"/>
      <c r="BN65" s="72" t="str">
        <f t="shared" si="32"/>
        <v/>
      </c>
      <c r="BO65" s="72" t="str">
        <f t="shared" si="33"/>
        <v/>
      </c>
      <c r="BP65" s="39"/>
      <c r="BQ65" s="72" t="str">
        <f t="shared" si="50"/>
        <v/>
      </c>
      <c r="BR65" s="72" t="str">
        <f t="shared" si="34"/>
        <v/>
      </c>
    </row>
    <row r="66" spans="2:70" x14ac:dyDescent="0.15">
      <c r="I66" s="459">
        <f t="shared" si="35"/>
        <v>2081</v>
      </c>
      <c r="J66" s="71"/>
      <c r="K66" s="71">
        <f t="shared" si="36"/>
        <v>52</v>
      </c>
      <c r="L66" s="71"/>
      <c r="M66" s="7">
        <f t="shared" si="0"/>
        <v>0.215012800254269</v>
      </c>
      <c r="N66" s="71"/>
      <c r="O66" s="10" t="str">
        <f t="shared" si="37"/>
        <v/>
      </c>
      <c r="P66" s="29" t="str">
        <f t="shared" si="38"/>
        <v/>
      </c>
      <c r="Q66" s="71"/>
      <c r="R66" s="10" t="str">
        <f t="shared" si="51"/>
        <v/>
      </c>
      <c r="S66" s="71"/>
      <c r="T66" s="10" t="str">
        <f t="shared" si="17"/>
        <v/>
      </c>
      <c r="U66" s="71"/>
      <c r="V66" s="10" t="str">
        <f t="shared" si="39"/>
        <v/>
      </c>
      <c r="W66" s="10" t="str">
        <f t="shared" si="18"/>
        <v/>
      </c>
      <c r="X66" s="71"/>
      <c r="Y66" s="10" t="str">
        <f t="shared" si="40"/>
        <v/>
      </c>
      <c r="Z66" s="10" t="str">
        <f t="shared" si="19"/>
        <v/>
      </c>
      <c r="AA66" s="71"/>
      <c r="AB66" s="10" t="str">
        <f t="shared" si="4"/>
        <v/>
      </c>
      <c r="AC66" s="10" t="str">
        <f t="shared" si="20"/>
        <v/>
      </c>
      <c r="AD66" s="71"/>
      <c r="AE66" s="10" t="str">
        <f t="shared" si="41"/>
        <v/>
      </c>
      <c r="AF66" s="10" t="str">
        <f t="shared" si="21"/>
        <v/>
      </c>
      <c r="AG66" s="71"/>
      <c r="AH66" s="10" t="str">
        <f t="shared" si="42"/>
        <v/>
      </c>
      <c r="AI66" s="10" t="str">
        <f t="shared" si="22"/>
        <v/>
      </c>
      <c r="AJ66" s="71"/>
      <c r="AK66" s="10" t="str">
        <f t="shared" si="43"/>
        <v/>
      </c>
      <c r="AL66" s="10" t="str">
        <f t="shared" si="23"/>
        <v/>
      </c>
      <c r="AM66" s="71"/>
      <c r="AN66" s="10" t="str">
        <f t="shared" si="44"/>
        <v/>
      </c>
      <c r="AO66" s="10" t="str">
        <f t="shared" si="24"/>
        <v/>
      </c>
      <c r="AP66" s="71"/>
      <c r="AQ66" s="10" t="str">
        <f t="shared" si="45"/>
        <v/>
      </c>
      <c r="AR66" s="10" t="str">
        <f t="shared" si="25"/>
        <v/>
      </c>
      <c r="AS66" s="71"/>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U66" s="71"/>
      <c r="AV66" s="10" t="str">
        <f t="shared" si="46"/>
        <v/>
      </c>
      <c r="AW66" s="10" t="str">
        <f t="shared" si="26"/>
        <v/>
      </c>
      <c r="AX66" s="71"/>
      <c r="AY66" s="7" t="str">
        <f>IF(ISERROR(IF($K66&lt;=$F$15,VLOOKUP($I66,'表4）CO2価格'!$A$7:$E$67,VLOOKUP($F$48,'表4）CO2価格'!$H$10:$I$12,2,0),0)*$F$8/1000,"")),0,IF($K66&lt;=$F$15,VLOOKUP($I66,'表4）CO2価格'!$A$7:$E$67,VLOOKUP($F$48,'表4）CO2価格'!$H$10:$I$12,2,0),0)*$F$8/1000,""))</f>
        <v/>
      </c>
      <c r="AZ66" s="71"/>
      <c r="BA66" s="11" t="str">
        <f t="shared" si="47"/>
        <v/>
      </c>
      <c r="BB66" s="10" t="str">
        <f t="shared" si="27"/>
        <v/>
      </c>
      <c r="BC66" s="71"/>
      <c r="BD66" s="10" t="str">
        <f t="shared" si="48"/>
        <v/>
      </c>
      <c r="BE66" s="10" t="str">
        <f t="shared" si="28"/>
        <v/>
      </c>
      <c r="BF66" s="71"/>
      <c r="BG66" s="11" t="str">
        <f t="shared" si="49"/>
        <v/>
      </c>
      <c r="BH66" s="10" t="str">
        <f t="shared" si="29"/>
        <v/>
      </c>
      <c r="BJ66" s="7" t="str">
        <f t="shared" si="30"/>
        <v/>
      </c>
      <c r="BK66" s="158" t="str">
        <f t="shared" si="31"/>
        <v/>
      </c>
      <c r="BL66" s="158" t="str">
        <f t="shared" si="14"/>
        <v/>
      </c>
      <c r="BM66" s="10"/>
      <c r="BN66" s="10" t="str">
        <f t="shared" si="32"/>
        <v/>
      </c>
      <c r="BO66" s="10" t="str">
        <f t="shared" si="33"/>
        <v/>
      </c>
      <c r="BQ66" s="10" t="str">
        <f t="shared" si="50"/>
        <v/>
      </c>
      <c r="BR66" s="10" t="str">
        <f t="shared" si="34"/>
        <v/>
      </c>
    </row>
    <row r="67" spans="2:70" ht="15.75" thickBot="1" x14ac:dyDescent="0.2">
      <c r="B67" s="460" t="s">
        <v>133</v>
      </c>
      <c r="C67" s="86"/>
      <c r="D67" s="104"/>
      <c r="E67" s="104"/>
      <c r="F67" s="86"/>
      <c r="G67" s="104"/>
      <c r="I67" s="458">
        <f t="shared" si="35"/>
        <v>2082</v>
      </c>
      <c r="J67" s="39"/>
      <c r="K67" s="39">
        <f t="shared" si="36"/>
        <v>53</v>
      </c>
      <c r="L67" s="39"/>
      <c r="M67" s="40">
        <f t="shared" si="0"/>
        <v>0.20875029150899907</v>
      </c>
      <c r="N67" s="39"/>
      <c r="O67" s="72" t="str">
        <f t="shared" si="37"/>
        <v/>
      </c>
      <c r="P67" s="41" t="str">
        <f t="shared" si="38"/>
        <v/>
      </c>
      <c r="Q67" s="39"/>
      <c r="R67" s="72" t="str">
        <f t="shared" si="51"/>
        <v/>
      </c>
      <c r="S67" s="39"/>
      <c r="T67" s="72" t="str">
        <f t="shared" si="17"/>
        <v/>
      </c>
      <c r="U67" s="39"/>
      <c r="V67" s="72" t="str">
        <f t="shared" si="39"/>
        <v/>
      </c>
      <c r="W67" s="72" t="str">
        <f t="shared" si="18"/>
        <v/>
      </c>
      <c r="X67" s="39"/>
      <c r="Y67" s="72" t="str">
        <f t="shared" si="40"/>
        <v/>
      </c>
      <c r="Z67" s="72" t="str">
        <f t="shared" si="19"/>
        <v/>
      </c>
      <c r="AA67" s="39"/>
      <c r="AB67" s="72" t="str">
        <f t="shared" si="4"/>
        <v/>
      </c>
      <c r="AC67" s="72" t="str">
        <f t="shared" si="20"/>
        <v/>
      </c>
      <c r="AD67" s="39"/>
      <c r="AE67" s="72" t="str">
        <f t="shared" si="41"/>
        <v/>
      </c>
      <c r="AF67" s="72" t="str">
        <f t="shared" si="21"/>
        <v/>
      </c>
      <c r="AG67" s="39"/>
      <c r="AH67" s="72" t="str">
        <f t="shared" si="42"/>
        <v/>
      </c>
      <c r="AI67" s="72" t="str">
        <f t="shared" si="22"/>
        <v/>
      </c>
      <c r="AJ67" s="39"/>
      <c r="AK67" s="72" t="str">
        <f t="shared" si="43"/>
        <v/>
      </c>
      <c r="AL67" s="72" t="str">
        <f t="shared" si="23"/>
        <v/>
      </c>
      <c r="AM67" s="39"/>
      <c r="AN67" s="72" t="str">
        <f t="shared" si="44"/>
        <v/>
      </c>
      <c r="AO67" s="72" t="str">
        <f t="shared" si="24"/>
        <v/>
      </c>
      <c r="AP67" s="39"/>
      <c r="AQ67" s="72" t="str">
        <f t="shared" si="45"/>
        <v/>
      </c>
      <c r="AR67" s="72" t="str">
        <f t="shared" si="25"/>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46"/>
        <v/>
      </c>
      <c r="AW67" s="72" t="str">
        <f t="shared" si="26"/>
        <v/>
      </c>
      <c r="AX67" s="39"/>
      <c r="AY67" s="40" t="str">
        <f>IF(ISERROR(IF($K67&lt;=$F$15,VLOOKUP($I67,'表4）CO2価格'!$A$7:$E$67,VLOOKUP($F$48,'表4）CO2価格'!$H$10:$I$12,2,0),0)*$F$8/1000,"")),0,IF($K67&lt;=$F$15,VLOOKUP($I67,'表4）CO2価格'!$A$7:$E$67,VLOOKUP($F$48,'表4）CO2価格'!$H$10:$I$12,2,0),0)*$F$8/1000,""))</f>
        <v/>
      </c>
      <c r="AZ67" s="39"/>
      <c r="BA67" s="42" t="str">
        <f t="shared" si="47"/>
        <v/>
      </c>
      <c r="BB67" s="72" t="str">
        <f t="shared" si="27"/>
        <v/>
      </c>
      <c r="BC67" s="39"/>
      <c r="BD67" s="72" t="str">
        <f t="shared" si="48"/>
        <v/>
      </c>
      <c r="BE67" s="72" t="str">
        <f t="shared" si="28"/>
        <v/>
      </c>
      <c r="BF67" s="39"/>
      <c r="BG67" s="42" t="str">
        <f t="shared" si="49"/>
        <v/>
      </c>
      <c r="BH67" s="72" t="str">
        <f t="shared" si="29"/>
        <v/>
      </c>
      <c r="BI67" s="39"/>
      <c r="BJ67" s="40" t="str">
        <f t="shared" si="30"/>
        <v/>
      </c>
      <c r="BK67" s="157" t="str">
        <f t="shared" si="31"/>
        <v/>
      </c>
      <c r="BL67" s="157" t="str">
        <f t="shared" si="14"/>
        <v/>
      </c>
      <c r="BM67" s="72"/>
      <c r="BN67" s="72" t="str">
        <f t="shared" si="32"/>
        <v/>
      </c>
      <c r="BO67" s="72" t="str">
        <f t="shared" si="33"/>
        <v/>
      </c>
      <c r="BP67" s="39"/>
      <c r="BQ67" s="72" t="str">
        <f t="shared" si="50"/>
        <v/>
      </c>
      <c r="BR67" s="72" t="str">
        <f t="shared" si="34"/>
        <v/>
      </c>
    </row>
    <row r="68" spans="2:70" x14ac:dyDescent="0.15">
      <c r="I68" s="459">
        <f t="shared" si="35"/>
        <v>2083</v>
      </c>
      <c r="J68" s="71"/>
      <c r="K68" s="71">
        <f t="shared" si="36"/>
        <v>54</v>
      </c>
      <c r="L68" s="71"/>
      <c r="M68" s="7">
        <f t="shared" si="0"/>
        <v>0.20267018593106703</v>
      </c>
      <c r="N68" s="71"/>
      <c r="O68" s="10" t="str">
        <f t="shared" si="37"/>
        <v/>
      </c>
      <c r="P68" s="29" t="str">
        <f t="shared" si="38"/>
        <v/>
      </c>
      <c r="Q68" s="71"/>
      <c r="R68" s="10" t="str">
        <f t="shared" si="51"/>
        <v/>
      </c>
      <c r="S68" s="71"/>
      <c r="T68" s="10" t="str">
        <f t="shared" si="17"/>
        <v/>
      </c>
      <c r="U68" s="71"/>
      <c r="V68" s="10" t="str">
        <f t="shared" si="39"/>
        <v/>
      </c>
      <c r="W68" s="10" t="str">
        <f t="shared" si="18"/>
        <v/>
      </c>
      <c r="X68" s="71"/>
      <c r="Y68" s="10" t="str">
        <f t="shared" si="40"/>
        <v/>
      </c>
      <c r="Z68" s="10" t="str">
        <f t="shared" si="19"/>
        <v/>
      </c>
      <c r="AA68" s="71"/>
      <c r="AB68" s="10" t="str">
        <f t="shared" si="4"/>
        <v/>
      </c>
      <c r="AC68" s="10" t="str">
        <f t="shared" si="20"/>
        <v/>
      </c>
      <c r="AD68" s="71"/>
      <c r="AE68" s="10" t="str">
        <f t="shared" si="41"/>
        <v/>
      </c>
      <c r="AF68" s="10" t="str">
        <f t="shared" si="21"/>
        <v/>
      </c>
      <c r="AG68" s="71"/>
      <c r="AH68" s="10" t="str">
        <f t="shared" si="42"/>
        <v/>
      </c>
      <c r="AI68" s="10" t="str">
        <f t="shared" si="22"/>
        <v/>
      </c>
      <c r="AJ68" s="71"/>
      <c r="AK68" s="10" t="str">
        <f t="shared" si="43"/>
        <v/>
      </c>
      <c r="AL68" s="10" t="str">
        <f t="shared" si="23"/>
        <v/>
      </c>
      <c r="AM68" s="71"/>
      <c r="AN68" s="10" t="str">
        <f t="shared" si="44"/>
        <v/>
      </c>
      <c r="AO68" s="10" t="str">
        <f t="shared" si="24"/>
        <v/>
      </c>
      <c r="AP68" s="71"/>
      <c r="AQ68" s="10" t="str">
        <f t="shared" si="45"/>
        <v/>
      </c>
      <c r="AR68" s="10" t="str">
        <f t="shared" si="25"/>
        <v/>
      </c>
      <c r="AS68" s="71"/>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U68" s="71"/>
      <c r="AV68" s="10" t="str">
        <f t="shared" si="46"/>
        <v/>
      </c>
      <c r="AW68" s="10" t="str">
        <f t="shared" si="26"/>
        <v/>
      </c>
      <c r="AX68" s="71"/>
      <c r="AY68" s="7" t="str">
        <f>IF(ISERROR(IF($K68&lt;=$F$15,VLOOKUP($I68,'表4）CO2価格'!$A$7:$E$67,VLOOKUP($F$48,'表4）CO2価格'!$H$10:$I$12,2,0),0)*$F$8/1000,"")),0,IF($K68&lt;=$F$15,VLOOKUP($I68,'表4）CO2価格'!$A$7:$E$67,VLOOKUP($F$48,'表4）CO2価格'!$H$10:$I$12,2,0),0)*$F$8/1000,""))</f>
        <v/>
      </c>
      <c r="AZ68" s="71"/>
      <c r="BA68" s="11" t="str">
        <f t="shared" si="47"/>
        <v/>
      </c>
      <c r="BB68" s="10" t="str">
        <f t="shared" si="27"/>
        <v/>
      </c>
      <c r="BC68" s="71"/>
      <c r="BD68" s="10" t="str">
        <f t="shared" si="48"/>
        <v/>
      </c>
      <c r="BE68" s="10" t="str">
        <f t="shared" si="28"/>
        <v/>
      </c>
      <c r="BF68" s="71"/>
      <c r="BG68" s="11" t="str">
        <f t="shared" si="49"/>
        <v/>
      </c>
      <c r="BH68" s="10" t="str">
        <f t="shared" si="29"/>
        <v/>
      </c>
      <c r="BJ68" s="7" t="str">
        <f t="shared" si="30"/>
        <v/>
      </c>
      <c r="BK68" s="158" t="str">
        <f t="shared" si="31"/>
        <v/>
      </c>
      <c r="BL68" s="158" t="str">
        <f t="shared" si="14"/>
        <v/>
      </c>
      <c r="BM68" s="10"/>
      <c r="BN68" s="10" t="str">
        <f t="shared" si="32"/>
        <v/>
      </c>
      <c r="BO68" s="10" t="str">
        <f t="shared" si="33"/>
        <v/>
      </c>
      <c r="BQ68" s="10" t="str">
        <f t="shared" si="50"/>
        <v/>
      </c>
      <c r="BR68" s="10" t="str">
        <f t="shared" si="34"/>
        <v/>
      </c>
    </row>
    <row r="69" spans="2:70" x14ac:dyDescent="0.15">
      <c r="C69" s="461" t="s">
        <v>134</v>
      </c>
      <c r="D69" s="9"/>
      <c r="E69" s="9"/>
      <c r="F69" s="94">
        <f>SUBTOTAL(9,F74:F112)-F105</f>
        <v>10.495094781700534</v>
      </c>
      <c r="G69" s="9" t="s">
        <v>132</v>
      </c>
      <c r="I69" s="458">
        <f t="shared" si="35"/>
        <v>2084</v>
      </c>
      <c r="J69" s="39"/>
      <c r="K69" s="39">
        <f t="shared" si="36"/>
        <v>55</v>
      </c>
      <c r="L69" s="39"/>
      <c r="M69" s="40">
        <f t="shared" si="0"/>
        <v>0.19676717080686118</v>
      </c>
      <c r="N69" s="39"/>
      <c r="O69" s="72" t="str">
        <f t="shared" si="37"/>
        <v/>
      </c>
      <c r="P69" s="41" t="str">
        <f t="shared" si="38"/>
        <v/>
      </c>
      <c r="Q69" s="39"/>
      <c r="R69" s="72" t="str">
        <f t="shared" si="51"/>
        <v/>
      </c>
      <c r="S69" s="39"/>
      <c r="T69" s="72" t="str">
        <f t="shared" si="17"/>
        <v/>
      </c>
      <c r="U69" s="39"/>
      <c r="V69" s="72" t="str">
        <f t="shared" si="39"/>
        <v/>
      </c>
      <c r="W69" s="72" t="str">
        <f t="shared" si="18"/>
        <v/>
      </c>
      <c r="X69" s="39"/>
      <c r="Y69" s="72" t="str">
        <f t="shared" si="40"/>
        <v/>
      </c>
      <c r="Z69" s="72" t="str">
        <f t="shared" si="19"/>
        <v/>
      </c>
      <c r="AA69" s="39"/>
      <c r="AB69" s="72" t="str">
        <f t="shared" si="4"/>
        <v/>
      </c>
      <c r="AC69" s="72" t="str">
        <f t="shared" si="20"/>
        <v/>
      </c>
      <c r="AD69" s="39"/>
      <c r="AE69" s="72" t="str">
        <f t="shared" si="41"/>
        <v/>
      </c>
      <c r="AF69" s="72" t="str">
        <f t="shared" si="21"/>
        <v/>
      </c>
      <c r="AG69" s="39"/>
      <c r="AH69" s="72" t="str">
        <f t="shared" si="42"/>
        <v/>
      </c>
      <c r="AI69" s="72" t="str">
        <f t="shared" si="22"/>
        <v/>
      </c>
      <c r="AJ69" s="39"/>
      <c r="AK69" s="72" t="str">
        <f t="shared" si="43"/>
        <v/>
      </c>
      <c r="AL69" s="72" t="str">
        <f t="shared" si="23"/>
        <v/>
      </c>
      <c r="AM69" s="39"/>
      <c r="AN69" s="72" t="str">
        <f t="shared" si="44"/>
        <v/>
      </c>
      <c r="AO69" s="72" t="str">
        <f t="shared" si="24"/>
        <v/>
      </c>
      <c r="AP69" s="39"/>
      <c r="AQ69" s="72" t="str">
        <f t="shared" si="45"/>
        <v/>
      </c>
      <c r="AR69" s="72" t="str">
        <f t="shared" si="25"/>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46"/>
        <v/>
      </c>
      <c r="AW69" s="72" t="str">
        <f t="shared" si="26"/>
        <v/>
      </c>
      <c r="AX69" s="39"/>
      <c r="AY69" s="40" t="str">
        <f>IF(ISERROR(IF($K69&lt;=$F$15,VLOOKUP($I69,'表4）CO2価格'!$A$7:$E$67,VLOOKUP($F$48,'表4）CO2価格'!$H$10:$I$12,2,0),0)*$F$8/1000,"")),0,IF($K69&lt;=$F$15,VLOOKUP($I69,'表4）CO2価格'!$A$7:$E$67,VLOOKUP($F$48,'表4）CO2価格'!$H$10:$I$12,2,0),0)*$F$8/1000,""))</f>
        <v/>
      </c>
      <c r="AZ69" s="39"/>
      <c r="BA69" s="42" t="str">
        <f t="shared" si="47"/>
        <v/>
      </c>
      <c r="BB69" s="72" t="str">
        <f t="shared" si="27"/>
        <v/>
      </c>
      <c r="BC69" s="39"/>
      <c r="BD69" s="72" t="str">
        <f t="shared" si="48"/>
        <v/>
      </c>
      <c r="BE69" s="72" t="str">
        <f t="shared" si="28"/>
        <v/>
      </c>
      <c r="BF69" s="39"/>
      <c r="BG69" s="42" t="str">
        <f t="shared" si="49"/>
        <v/>
      </c>
      <c r="BH69" s="72" t="str">
        <f t="shared" si="29"/>
        <v/>
      </c>
      <c r="BI69" s="39"/>
      <c r="BJ69" s="40" t="str">
        <f t="shared" si="30"/>
        <v/>
      </c>
      <c r="BK69" s="157" t="str">
        <f t="shared" si="31"/>
        <v/>
      </c>
      <c r="BL69" s="157" t="str">
        <f t="shared" si="14"/>
        <v/>
      </c>
      <c r="BM69" s="72"/>
      <c r="BN69" s="72" t="str">
        <f t="shared" si="32"/>
        <v/>
      </c>
      <c r="BO69" s="72" t="str">
        <f t="shared" si="33"/>
        <v/>
      </c>
      <c r="BP69" s="39"/>
      <c r="BQ69" s="72" t="str">
        <f t="shared" si="50"/>
        <v/>
      </c>
      <c r="BR69" s="72" t="str">
        <f t="shared" si="34"/>
        <v/>
      </c>
    </row>
    <row r="70" spans="2:70" x14ac:dyDescent="0.15">
      <c r="C70" s="461" t="s">
        <v>135</v>
      </c>
      <c r="D70" s="9"/>
      <c r="E70" s="9"/>
      <c r="F70" s="94">
        <f ca="1">MAX(SUM($Z$117,$AF$117,$AI$117,$AL$117,$AO$117,$AR$117,$AW$117,$BB$117,$BE$117,$BH$117,$BO$116)/$BR$116+$F$105,SUBTOTAL(9,F74:F112))</f>
        <v>11.202639900115301</v>
      </c>
      <c r="G70" s="9" t="s">
        <v>132</v>
      </c>
      <c r="I70" s="459">
        <f t="shared" si="35"/>
        <v>2085</v>
      </c>
      <c r="J70" s="71"/>
      <c r="K70" s="71">
        <f t="shared" si="36"/>
        <v>56</v>
      </c>
      <c r="L70" s="71"/>
      <c r="M70" s="7">
        <f t="shared" si="0"/>
        <v>0.19103608816200118</v>
      </c>
      <c r="N70" s="71"/>
      <c r="O70" s="10" t="str">
        <f t="shared" si="37"/>
        <v/>
      </c>
      <c r="P70" s="29" t="str">
        <f t="shared" si="38"/>
        <v/>
      </c>
      <c r="Q70" s="71"/>
      <c r="R70" s="10" t="str">
        <f t="shared" si="51"/>
        <v/>
      </c>
      <c r="S70" s="71"/>
      <c r="T70" s="10" t="str">
        <f t="shared" si="17"/>
        <v/>
      </c>
      <c r="U70" s="71"/>
      <c r="V70" s="10" t="str">
        <f t="shared" si="39"/>
        <v/>
      </c>
      <c r="W70" s="10" t="str">
        <f t="shared" si="18"/>
        <v/>
      </c>
      <c r="X70" s="71"/>
      <c r="Y70" s="10" t="str">
        <f t="shared" si="40"/>
        <v/>
      </c>
      <c r="Z70" s="10" t="str">
        <f t="shared" si="19"/>
        <v/>
      </c>
      <c r="AA70" s="71"/>
      <c r="AB70" s="10" t="str">
        <f t="shared" si="4"/>
        <v/>
      </c>
      <c r="AC70" s="10" t="str">
        <f t="shared" si="20"/>
        <v/>
      </c>
      <c r="AD70" s="71"/>
      <c r="AE70" s="10" t="str">
        <f t="shared" si="41"/>
        <v/>
      </c>
      <c r="AF70" s="10" t="str">
        <f t="shared" si="21"/>
        <v/>
      </c>
      <c r="AG70" s="71"/>
      <c r="AH70" s="10" t="str">
        <f t="shared" si="42"/>
        <v/>
      </c>
      <c r="AI70" s="10" t="str">
        <f t="shared" si="22"/>
        <v/>
      </c>
      <c r="AJ70" s="71"/>
      <c r="AK70" s="10" t="str">
        <f t="shared" si="43"/>
        <v/>
      </c>
      <c r="AL70" s="10" t="str">
        <f t="shared" si="23"/>
        <v/>
      </c>
      <c r="AM70" s="71"/>
      <c r="AN70" s="10" t="str">
        <f t="shared" si="44"/>
        <v/>
      </c>
      <c r="AO70" s="10" t="str">
        <f t="shared" si="24"/>
        <v/>
      </c>
      <c r="AP70" s="71"/>
      <c r="AQ70" s="10" t="str">
        <f t="shared" si="45"/>
        <v/>
      </c>
      <c r="AR70" s="10" t="str">
        <f t="shared" si="25"/>
        <v/>
      </c>
      <c r="AS70" s="71"/>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U70" s="71"/>
      <c r="AV70" s="10" t="str">
        <f t="shared" si="46"/>
        <v/>
      </c>
      <c r="AW70" s="10" t="str">
        <f t="shared" si="26"/>
        <v/>
      </c>
      <c r="AX70" s="71"/>
      <c r="AY70" s="7" t="str">
        <f>IF(ISERROR(IF($K70&lt;=$F$15,VLOOKUP($I70,'表4）CO2価格'!$A$7:$E$67,VLOOKUP($F$48,'表4）CO2価格'!$H$10:$I$12,2,0),0)*$F$8/1000,"")),0,IF($K70&lt;=$F$15,VLOOKUP($I70,'表4）CO2価格'!$A$7:$E$67,VLOOKUP($F$48,'表4）CO2価格'!$H$10:$I$12,2,0),0)*$F$8/1000,""))</f>
        <v/>
      </c>
      <c r="AZ70" s="71"/>
      <c r="BA70" s="11" t="str">
        <f t="shared" si="47"/>
        <v/>
      </c>
      <c r="BB70" s="10" t="str">
        <f t="shared" si="27"/>
        <v/>
      </c>
      <c r="BC70" s="71"/>
      <c r="BD70" s="10" t="str">
        <f t="shared" si="48"/>
        <v/>
      </c>
      <c r="BE70" s="10" t="str">
        <f t="shared" si="28"/>
        <v/>
      </c>
      <c r="BF70" s="71"/>
      <c r="BG70" s="11" t="str">
        <f t="shared" si="49"/>
        <v/>
      </c>
      <c r="BH70" s="10" t="str">
        <f t="shared" si="29"/>
        <v/>
      </c>
      <c r="BJ70" s="7" t="str">
        <f t="shared" si="30"/>
        <v/>
      </c>
      <c r="BK70" s="158" t="str">
        <f t="shared" si="31"/>
        <v/>
      </c>
      <c r="BL70" s="158" t="str">
        <f t="shared" si="14"/>
        <v/>
      </c>
      <c r="BM70" s="10"/>
      <c r="BN70" s="10" t="str">
        <f t="shared" si="32"/>
        <v/>
      </c>
      <c r="BO70" s="10" t="str">
        <f t="shared" si="33"/>
        <v/>
      </c>
      <c r="BQ70" s="10" t="str">
        <f t="shared" si="50"/>
        <v/>
      </c>
      <c r="BR70" s="10" t="str">
        <f t="shared" si="34"/>
        <v/>
      </c>
    </row>
    <row r="71" spans="2:70" x14ac:dyDescent="0.15">
      <c r="F71" s="145"/>
      <c r="I71" s="458">
        <f t="shared" si="35"/>
        <v>2086</v>
      </c>
      <c r="J71" s="39"/>
      <c r="K71" s="39">
        <f t="shared" si="36"/>
        <v>57</v>
      </c>
      <c r="L71" s="39"/>
      <c r="M71" s="40">
        <f t="shared" si="0"/>
        <v>0.18547193025437006</v>
      </c>
      <c r="N71" s="39"/>
      <c r="O71" s="72" t="str">
        <f t="shared" si="37"/>
        <v/>
      </c>
      <c r="P71" s="41" t="str">
        <f t="shared" si="38"/>
        <v/>
      </c>
      <c r="Q71" s="39"/>
      <c r="R71" s="72" t="str">
        <f t="shared" si="51"/>
        <v/>
      </c>
      <c r="S71" s="39"/>
      <c r="T71" s="72" t="str">
        <f t="shared" si="17"/>
        <v/>
      </c>
      <c r="U71" s="39"/>
      <c r="V71" s="72" t="str">
        <f t="shared" si="39"/>
        <v/>
      </c>
      <c r="W71" s="72" t="str">
        <f t="shared" si="18"/>
        <v/>
      </c>
      <c r="X71" s="39"/>
      <c r="Y71" s="72" t="str">
        <f t="shared" si="40"/>
        <v/>
      </c>
      <c r="Z71" s="72" t="str">
        <f t="shared" si="19"/>
        <v/>
      </c>
      <c r="AA71" s="39"/>
      <c r="AB71" s="72" t="str">
        <f t="shared" si="4"/>
        <v/>
      </c>
      <c r="AC71" s="72" t="str">
        <f t="shared" si="20"/>
        <v/>
      </c>
      <c r="AD71" s="39"/>
      <c r="AE71" s="72" t="str">
        <f t="shared" si="41"/>
        <v/>
      </c>
      <c r="AF71" s="72" t="str">
        <f t="shared" si="21"/>
        <v/>
      </c>
      <c r="AG71" s="39"/>
      <c r="AH71" s="72" t="str">
        <f t="shared" si="42"/>
        <v/>
      </c>
      <c r="AI71" s="72" t="str">
        <f t="shared" si="22"/>
        <v/>
      </c>
      <c r="AJ71" s="39"/>
      <c r="AK71" s="72" t="str">
        <f t="shared" si="43"/>
        <v/>
      </c>
      <c r="AL71" s="72" t="str">
        <f t="shared" si="23"/>
        <v/>
      </c>
      <c r="AM71" s="39"/>
      <c r="AN71" s="72" t="str">
        <f t="shared" si="44"/>
        <v/>
      </c>
      <c r="AO71" s="72" t="str">
        <f t="shared" si="24"/>
        <v/>
      </c>
      <c r="AP71" s="39"/>
      <c r="AQ71" s="72" t="str">
        <f t="shared" si="45"/>
        <v/>
      </c>
      <c r="AR71" s="72" t="str">
        <f t="shared" si="25"/>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46"/>
        <v/>
      </c>
      <c r="AW71" s="72" t="str">
        <f t="shared" si="26"/>
        <v/>
      </c>
      <c r="AX71" s="39"/>
      <c r="AY71" s="40" t="str">
        <f>IF(ISERROR(IF($K71&lt;=$F$15,VLOOKUP($I71,'表4）CO2価格'!$A$7:$E$67,VLOOKUP($F$48,'表4）CO2価格'!$H$10:$I$12,2,0),0)*$F$8/1000,"")),0,IF($K71&lt;=$F$15,VLOOKUP($I71,'表4）CO2価格'!$A$7:$E$67,VLOOKUP($F$48,'表4）CO2価格'!$H$10:$I$12,2,0),0)*$F$8/1000,""))</f>
        <v/>
      </c>
      <c r="AZ71" s="39"/>
      <c r="BA71" s="42" t="str">
        <f t="shared" si="47"/>
        <v/>
      </c>
      <c r="BB71" s="72" t="str">
        <f t="shared" si="27"/>
        <v/>
      </c>
      <c r="BC71" s="39"/>
      <c r="BD71" s="72" t="str">
        <f t="shared" si="48"/>
        <v/>
      </c>
      <c r="BE71" s="72" t="str">
        <f t="shared" si="28"/>
        <v/>
      </c>
      <c r="BF71" s="39"/>
      <c r="BG71" s="42" t="str">
        <f t="shared" si="49"/>
        <v/>
      </c>
      <c r="BH71" s="72" t="str">
        <f t="shared" si="29"/>
        <v/>
      </c>
      <c r="BI71" s="39"/>
      <c r="BJ71" s="40" t="str">
        <f t="shared" si="30"/>
        <v/>
      </c>
      <c r="BK71" s="157" t="str">
        <f t="shared" si="31"/>
        <v/>
      </c>
      <c r="BL71" s="157" t="str">
        <f t="shared" si="14"/>
        <v/>
      </c>
      <c r="BM71" s="72"/>
      <c r="BN71" s="72" t="str">
        <f t="shared" si="32"/>
        <v/>
      </c>
      <c r="BO71" s="72" t="str">
        <f t="shared" si="33"/>
        <v/>
      </c>
      <c r="BP71" s="39"/>
      <c r="BQ71" s="72" t="str">
        <f t="shared" si="50"/>
        <v/>
      </c>
      <c r="BR71" s="72" t="str">
        <f t="shared" si="34"/>
        <v/>
      </c>
    </row>
    <row r="72" spans="2:70" x14ac:dyDescent="0.15">
      <c r="C72" s="89" t="s">
        <v>136</v>
      </c>
      <c r="D72" s="101"/>
      <c r="E72" s="101"/>
      <c r="F72" s="92"/>
      <c r="G72" s="101"/>
      <c r="I72" s="459">
        <f t="shared" si="35"/>
        <v>2087</v>
      </c>
      <c r="J72" s="71"/>
      <c r="K72" s="71">
        <f t="shared" si="36"/>
        <v>58</v>
      </c>
      <c r="L72" s="71"/>
      <c r="M72" s="7">
        <f t="shared" si="0"/>
        <v>0.18006983519841754</v>
      </c>
      <c r="N72" s="71"/>
      <c r="O72" s="10" t="str">
        <f t="shared" si="37"/>
        <v/>
      </c>
      <c r="P72" s="29" t="str">
        <f t="shared" si="38"/>
        <v/>
      </c>
      <c r="Q72" s="71"/>
      <c r="R72" s="10" t="str">
        <f t="shared" si="51"/>
        <v/>
      </c>
      <c r="S72" s="71"/>
      <c r="T72" s="10" t="str">
        <f t="shared" si="17"/>
        <v/>
      </c>
      <c r="U72" s="71"/>
      <c r="V72" s="10" t="str">
        <f t="shared" si="39"/>
        <v/>
      </c>
      <c r="W72" s="10" t="str">
        <f t="shared" si="18"/>
        <v/>
      </c>
      <c r="X72" s="71"/>
      <c r="Y72" s="10" t="str">
        <f t="shared" si="40"/>
        <v/>
      </c>
      <c r="Z72" s="10" t="str">
        <f t="shared" si="19"/>
        <v/>
      </c>
      <c r="AA72" s="71"/>
      <c r="AB72" s="10" t="str">
        <f t="shared" si="4"/>
        <v/>
      </c>
      <c r="AC72" s="10" t="str">
        <f t="shared" si="20"/>
        <v/>
      </c>
      <c r="AD72" s="71"/>
      <c r="AE72" s="10" t="str">
        <f t="shared" si="41"/>
        <v/>
      </c>
      <c r="AF72" s="10" t="str">
        <f t="shared" si="21"/>
        <v/>
      </c>
      <c r="AG72" s="71"/>
      <c r="AH72" s="10" t="str">
        <f t="shared" si="42"/>
        <v/>
      </c>
      <c r="AI72" s="10" t="str">
        <f t="shared" si="22"/>
        <v/>
      </c>
      <c r="AJ72" s="71"/>
      <c r="AK72" s="10" t="str">
        <f t="shared" si="43"/>
        <v/>
      </c>
      <c r="AL72" s="10" t="str">
        <f t="shared" si="23"/>
        <v/>
      </c>
      <c r="AM72" s="71"/>
      <c r="AN72" s="10" t="str">
        <f t="shared" si="44"/>
        <v/>
      </c>
      <c r="AO72" s="10" t="str">
        <f t="shared" si="24"/>
        <v/>
      </c>
      <c r="AP72" s="71"/>
      <c r="AQ72" s="10" t="str">
        <f t="shared" si="45"/>
        <v/>
      </c>
      <c r="AR72" s="10" t="str">
        <f t="shared" si="25"/>
        <v/>
      </c>
      <c r="AS72" s="71"/>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U72" s="71"/>
      <c r="AV72" s="10" t="str">
        <f t="shared" si="46"/>
        <v/>
      </c>
      <c r="AW72" s="10" t="str">
        <f t="shared" si="26"/>
        <v/>
      </c>
      <c r="AX72" s="71"/>
      <c r="AY72" s="7" t="str">
        <f>IF(ISERROR(IF($K72&lt;=$F$15,VLOOKUP($I72,'表4）CO2価格'!$A$7:$E$67,VLOOKUP($F$48,'表4）CO2価格'!$H$10:$I$12,2,0),0)*$F$8/1000,"")),0,IF($K72&lt;=$F$15,VLOOKUP($I72,'表4）CO2価格'!$A$7:$E$67,VLOOKUP($F$48,'表4）CO2価格'!$H$10:$I$12,2,0),0)*$F$8/1000,""))</f>
        <v/>
      </c>
      <c r="AZ72" s="71"/>
      <c r="BA72" s="11" t="str">
        <f t="shared" si="47"/>
        <v/>
      </c>
      <c r="BB72" s="10" t="str">
        <f t="shared" si="27"/>
        <v/>
      </c>
      <c r="BC72" s="71"/>
      <c r="BD72" s="10" t="str">
        <f t="shared" si="48"/>
        <v/>
      </c>
      <c r="BE72" s="10" t="str">
        <f t="shared" si="28"/>
        <v/>
      </c>
      <c r="BF72" s="71"/>
      <c r="BG72" s="11" t="str">
        <f t="shared" si="49"/>
        <v/>
      </c>
      <c r="BH72" s="10" t="str">
        <f t="shared" si="29"/>
        <v/>
      </c>
      <c r="BJ72" s="7" t="str">
        <f t="shared" si="30"/>
        <v/>
      </c>
      <c r="BK72" s="158" t="str">
        <f t="shared" si="31"/>
        <v/>
      </c>
      <c r="BL72" s="158" t="str">
        <f t="shared" si="14"/>
        <v/>
      </c>
      <c r="BM72" s="10"/>
      <c r="BN72" s="10" t="str">
        <f t="shared" si="32"/>
        <v/>
      </c>
      <c r="BO72" s="10" t="str">
        <f t="shared" si="33"/>
        <v/>
      </c>
      <c r="BQ72" s="10" t="str">
        <f t="shared" si="50"/>
        <v/>
      </c>
      <c r="BR72" s="10" t="str">
        <f t="shared" si="34"/>
        <v/>
      </c>
    </row>
    <row r="73" spans="2:70" x14ac:dyDescent="0.15">
      <c r="F73" s="93"/>
      <c r="I73" s="458">
        <f t="shared" si="35"/>
        <v>2088</v>
      </c>
      <c r="J73" s="39"/>
      <c r="K73" s="39">
        <f t="shared" si="36"/>
        <v>59</v>
      </c>
      <c r="L73" s="39"/>
      <c r="M73" s="40">
        <f t="shared" si="0"/>
        <v>0.17482508271691022</v>
      </c>
      <c r="N73" s="39"/>
      <c r="O73" s="72" t="str">
        <f t="shared" si="37"/>
        <v/>
      </c>
      <c r="P73" s="41" t="str">
        <f t="shared" si="38"/>
        <v/>
      </c>
      <c r="Q73" s="39"/>
      <c r="R73" s="72" t="str">
        <f t="shared" si="51"/>
        <v/>
      </c>
      <c r="S73" s="39"/>
      <c r="T73" s="72" t="str">
        <f t="shared" si="17"/>
        <v/>
      </c>
      <c r="U73" s="39"/>
      <c r="V73" s="72" t="str">
        <f t="shared" si="39"/>
        <v/>
      </c>
      <c r="W73" s="72" t="str">
        <f t="shared" si="18"/>
        <v/>
      </c>
      <c r="X73" s="39"/>
      <c r="Y73" s="72" t="str">
        <f t="shared" si="40"/>
        <v/>
      </c>
      <c r="Z73" s="72" t="str">
        <f t="shared" si="19"/>
        <v/>
      </c>
      <c r="AA73" s="39"/>
      <c r="AB73" s="72" t="str">
        <f t="shared" si="4"/>
        <v/>
      </c>
      <c r="AC73" s="72" t="str">
        <f t="shared" si="20"/>
        <v/>
      </c>
      <c r="AD73" s="39"/>
      <c r="AE73" s="72" t="str">
        <f t="shared" si="41"/>
        <v/>
      </c>
      <c r="AF73" s="72" t="str">
        <f t="shared" si="21"/>
        <v/>
      </c>
      <c r="AG73" s="39"/>
      <c r="AH73" s="72" t="str">
        <f t="shared" si="42"/>
        <v/>
      </c>
      <c r="AI73" s="72" t="str">
        <f t="shared" si="22"/>
        <v/>
      </c>
      <c r="AJ73" s="39"/>
      <c r="AK73" s="72" t="str">
        <f t="shared" si="43"/>
        <v/>
      </c>
      <c r="AL73" s="72" t="str">
        <f t="shared" si="23"/>
        <v/>
      </c>
      <c r="AM73" s="39"/>
      <c r="AN73" s="72" t="str">
        <f t="shared" si="44"/>
        <v/>
      </c>
      <c r="AO73" s="72" t="str">
        <f t="shared" si="24"/>
        <v/>
      </c>
      <c r="AP73" s="39"/>
      <c r="AQ73" s="72" t="str">
        <f t="shared" si="45"/>
        <v/>
      </c>
      <c r="AR73" s="72" t="str">
        <f t="shared" si="25"/>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46"/>
        <v/>
      </c>
      <c r="AW73" s="72" t="str">
        <f t="shared" si="26"/>
        <v/>
      </c>
      <c r="AX73" s="39"/>
      <c r="AY73" s="40" t="str">
        <f>IF(ISERROR(IF($K73&lt;=$F$15,VLOOKUP($I73,'表4）CO2価格'!$A$7:$E$67,VLOOKUP($F$48,'表4）CO2価格'!$H$10:$I$12,2,0),0)*$F$8/1000,"")),0,IF($K73&lt;=$F$15,VLOOKUP($I73,'表4）CO2価格'!$A$7:$E$67,VLOOKUP($F$48,'表4）CO2価格'!$H$10:$I$12,2,0),0)*$F$8/1000,""))</f>
        <v/>
      </c>
      <c r="AZ73" s="39"/>
      <c r="BA73" s="42" t="str">
        <f t="shared" si="47"/>
        <v/>
      </c>
      <c r="BB73" s="72" t="str">
        <f t="shared" si="27"/>
        <v/>
      </c>
      <c r="BC73" s="39"/>
      <c r="BD73" s="72" t="str">
        <f t="shared" si="48"/>
        <v/>
      </c>
      <c r="BE73" s="72" t="str">
        <f t="shared" si="28"/>
        <v/>
      </c>
      <c r="BF73" s="39"/>
      <c r="BG73" s="42" t="str">
        <f t="shared" si="49"/>
        <v/>
      </c>
      <c r="BH73" s="72" t="str">
        <f t="shared" si="29"/>
        <v/>
      </c>
      <c r="BI73" s="39"/>
      <c r="BJ73" s="40" t="str">
        <f t="shared" si="30"/>
        <v/>
      </c>
      <c r="BK73" s="157" t="str">
        <f t="shared" si="31"/>
        <v/>
      </c>
      <c r="BL73" s="157" t="str">
        <f t="shared" si="14"/>
        <v/>
      </c>
      <c r="BM73" s="72"/>
      <c r="BN73" s="72" t="str">
        <f t="shared" si="32"/>
        <v/>
      </c>
      <c r="BO73" s="72" t="str">
        <f t="shared" si="33"/>
        <v/>
      </c>
      <c r="BP73" s="39"/>
      <c r="BQ73" s="72" t="str">
        <f t="shared" si="50"/>
        <v/>
      </c>
      <c r="BR73" s="72" t="str">
        <f t="shared" si="34"/>
        <v/>
      </c>
    </row>
    <row r="74" spans="2:70" ht="15" x14ac:dyDescent="0.15">
      <c r="D74" s="116" t="s">
        <v>192</v>
      </c>
      <c r="F74" s="94">
        <f>SUBTOTAL(9,F78:F81)</f>
        <v>7.3093668428665106</v>
      </c>
      <c r="G74" s="81" t="s">
        <v>132</v>
      </c>
      <c r="I74" s="459">
        <f t="shared" si="35"/>
        <v>2089</v>
      </c>
      <c r="J74" s="71"/>
      <c r="K74" s="71">
        <f t="shared" si="36"/>
        <v>60</v>
      </c>
      <c r="L74" s="71"/>
      <c r="M74" s="7">
        <f t="shared" si="0"/>
        <v>0.1697330900164177</v>
      </c>
      <c r="N74" s="71"/>
      <c r="O74" s="10" t="str">
        <f t="shared" si="37"/>
        <v/>
      </c>
      <c r="P74" s="29" t="str">
        <f t="shared" si="38"/>
        <v/>
      </c>
      <c r="Q74" s="71"/>
      <c r="R74" s="10" t="str">
        <f t="shared" si="51"/>
        <v/>
      </c>
      <c r="S74" s="71"/>
      <c r="T74" s="10" t="str">
        <f t="shared" si="17"/>
        <v/>
      </c>
      <c r="U74" s="71"/>
      <c r="V74" s="10" t="str">
        <f t="shared" si="39"/>
        <v/>
      </c>
      <c r="W74" s="10" t="str">
        <f t="shared" si="18"/>
        <v/>
      </c>
      <c r="X74" s="71"/>
      <c r="Y74" s="10" t="str">
        <f t="shared" si="40"/>
        <v/>
      </c>
      <c r="Z74" s="10" t="str">
        <f t="shared" si="19"/>
        <v/>
      </c>
      <c r="AA74" s="71"/>
      <c r="AB74" s="10" t="str">
        <f t="shared" si="4"/>
        <v/>
      </c>
      <c r="AC74" s="10" t="str">
        <f t="shared" si="20"/>
        <v/>
      </c>
      <c r="AD74" s="71"/>
      <c r="AE74" s="10" t="str">
        <f t="shared" si="41"/>
        <v/>
      </c>
      <c r="AF74" s="10" t="str">
        <f t="shared" si="21"/>
        <v/>
      </c>
      <c r="AG74" s="71"/>
      <c r="AH74" s="10" t="str">
        <f t="shared" si="42"/>
        <v/>
      </c>
      <c r="AI74" s="10" t="str">
        <f t="shared" si="22"/>
        <v/>
      </c>
      <c r="AJ74" s="71"/>
      <c r="AK74" s="10" t="str">
        <f t="shared" si="43"/>
        <v/>
      </c>
      <c r="AL74" s="10" t="str">
        <f t="shared" si="23"/>
        <v/>
      </c>
      <c r="AM74" s="71"/>
      <c r="AN74" s="10" t="str">
        <f t="shared" si="44"/>
        <v/>
      </c>
      <c r="AO74" s="10" t="str">
        <f t="shared" si="24"/>
        <v/>
      </c>
      <c r="AP74" s="71"/>
      <c r="AQ74" s="10" t="str">
        <f t="shared" si="45"/>
        <v/>
      </c>
      <c r="AR74" s="10" t="str">
        <f t="shared" si="25"/>
        <v/>
      </c>
      <c r="AS74" s="71"/>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U74" s="71"/>
      <c r="AV74" s="10" t="str">
        <f t="shared" si="46"/>
        <v/>
      </c>
      <c r="AW74" s="10" t="str">
        <f t="shared" si="26"/>
        <v/>
      </c>
      <c r="AX74" s="71"/>
      <c r="AY74" s="7" t="str">
        <f>IF(ISERROR(IF($K74&lt;=$F$15,VLOOKUP($I74,'表4）CO2価格'!$A$7:$E$67,VLOOKUP($F$48,'表4）CO2価格'!$H$10:$I$12,2,0),0)*$F$8/1000,"")),0,IF($K74&lt;=$F$15,VLOOKUP($I74,'表4）CO2価格'!$A$7:$E$67,VLOOKUP($F$48,'表4）CO2価格'!$H$10:$I$12,2,0),0)*$F$8/1000,""))</f>
        <v/>
      </c>
      <c r="AZ74" s="71"/>
      <c r="BA74" s="11" t="str">
        <f t="shared" si="47"/>
        <v/>
      </c>
      <c r="BB74" s="10" t="str">
        <f t="shared" si="27"/>
        <v/>
      </c>
      <c r="BC74" s="71"/>
      <c r="BD74" s="10" t="str">
        <f t="shared" si="48"/>
        <v/>
      </c>
      <c r="BE74" s="10" t="str">
        <f t="shared" si="28"/>
        <v/>
      </c>
      <c r="BF74" s="71"/>
      <c r="BG74" s="11" t="str">
        <f t="shared" si="49"/>
        <v/>
      </c>
      <c r="BH74" s="10" t="str">
        <f t="shared" si="29"/>
        <v/>
      </c>
      <c r="BJ74" s="7" t="str">
        <f t="shared" si="30"/>
        <v/>
      </c>
      <c r="BK74" s="158" t="str">
        <f t="shared" si="31"/>
        <v/>
      </c>
      <c r="BL74" s="158" t="str">
        <f t="shared" si="14"/>
        <v/>
      </c>
      <c r="BM74" s="10"/>
      <c r="BN74" s="10" t="str">
        <f t="shared" si="32"/>
        <v/>
      </c>
      <c r="BO74" s="10" t="str">
        <f t="shared" si="33"/>
        <v/>
      </c>
      <c r="BQ74" s="10" t="str">
        <f t="shared" si="50"/>
        <v/>
      </c>
      <c r="BR74" s="10" t="str">
        <f t="shared" si="34"/>
        <v/>
      </c>
    </row>
    <row r="75" spans="2:70" x14ac:dyDescent="0.15">
      <c r="F75" s="145"/>
      <c r="I75" s="458">
        <f t="shared" si="35"/>
        <v>2090</v>
      </c>
      <c r="J75" s="39"/>
      <c r="K75" s="39">
        <f t="shared" si="36"/>
        <v>61</v>
      </c>
      <c r="L75" s="39"/>
      <c r="M75" s="40">
        <f t="shared" si="0"/>
        <v>0.16478940778292983</v>
      </c>
      <c r="N75" s="39"/>
      <c r="O75" s="72" t="str">
        <f t="shared" si="37"/>
        <v/>
      </c>
      <c r="P75" s="41" t="str">
        <f t="shared" si="38"/>
        <v/>
      </c>
      <c r="Q75" s="39"/>
      <c r="R75" s="72" t="str">
        <f t="shared" si="51"/>
        <v/>
      </c>
      <c r="S75" s="39"/>
      <c r="T75" s="72" t="str">
        <f t="shared" si="17"/>
        <v/>
      </c>
      <c r="U75" s="39"/>
      <c r="V75" s="72" t="str">
        <f t="shared" si="39"/>
        <v/>
      </c>
      <c r="W75" s="72" t="str">
        <f t="shared" si="18"/>
        <v/>
      </c>
      <c r="X75" s="39"/>
      <c r="Y75" s="72" t="str">
        <f t="shared" si="40"/>
        <v/>
      </c>
      <c r="Z75" s="72" t="str">
        <f t="shared" si="19"/>
        <v/>
      </c>
      <c r="AA75" s="39"/>
      <c r="AB75" s="72" t="str">
        <f t="shared" si="4"/>
        <v/>
      </c>
      <c r="AC75" s="72" t="str">
        <f t="shared" si="20"/>
        <v/>
      </c>
      <c r="AD75" s="39"/>
      <c r="AE75" s="72" t="str">
        <f t="shared" si="41"/>
        <v/>
      </c>
      <c r="AF75" s="72" t="str">
        <f t="shared" si="21"/>
        <v/>
      </c>
      <c r="AG75" s="39"/>
      <c r="AH75" s="72" t="str">
        <f t="shared" si="42"/>
        <v/>
      </c>
      <c r="AI75" s="72" t="str">
        <f t="shared" si="22"/>
        <v/>
      </c>
      <c r="AJ75" s="39"/>
      <c r="AK75" s="72" t="str">
        <f t="shared" si="43"/>
        <v/>
      </c>
      <c r="AL75" s="72" t="str">
        <f t="shared" si="23"/>
        <v/>
      </c>
      <c r="AM75" s="39"/>
      <c r="AN75" s="72" t="str">
        <f t="shared" si="44"/>
        <v/>
      </c>
      <c r="AO75" s="72" t="str">
        <f t="shared" si="24"/>
        <v/>
      </c>
      <c r="AP75" s="39"/>
      <c r="AQ75" s="72" t="str">
        <f t="shared" si="45"/>
        <v/>
      </c>
      <c r="AR75" s="72" t="str">
        <f t="shared" si="25"/>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46"/>
        <v/>
      </c>
      <c r="AW75" s="72" t="str">
        <f t="shared" si="26"/>
        <v/>
      </c>
      <c r="AX75" s="39"/>
      <c r="AY75" s="40" t="str">
        <f>IF(ISERROR(IF($K75&lt;=$F$15,VLOOKUP($I75,'表4）CO2価格'!$A$7:$E$67,VLOOKUP($F$48,'表4）CO2価格'!$H$10:$I$12,2,0),0)*$F$8/1000,"")),0,IF($K75&lt;=$F$15,VLOOKUP($I75,'表4）CO2価格'!$A$7:$E$67,VLOOKUP($F$48,'表4）CO2価格'!$H$10:$I$12,2,0),0)*$F$8/1000,""))</f>
        <v/>
      </c>
      <c r="AZ75" s="39"/>
      <c r="BA75" s="42" t="str">
        <f t="shared" si="47"/>
        <v/>
      </c>
      <c r="BB75" s="72" t="str">
        <f t="shared" si="27"/>
        <v/>
      </c>
      <c r="BC75" s="39"/>
      <c r="BD75" s="72" t="str">
        <f t="shared" si="48"/>
        <v/>
      </c>
      <c r="BE75" s="72" t="str">
        <f t="shared" si="28"/>
        <v/>
      </c>
      <c r="BF75" s="39"/>
      <c r="BG75" s="42" t="str">
        <f t="shared" si="49"/>
        <v/>
      </c>
      <c r="BH75" s="72" t="str">
        <f t="shared" si="29"/>
        <v/>
      </c>
      <c r="BI75" s="39"/>
      <c r="BJ75" s="40" t="str">
        <f t="shared" si="30"/>
        <v/>
      </c>
      <c r="BK75" s="157" t="str">
        <f t="shared" si="31"/>
        <v/>
      </c>
      <c r="BL75" s="157" t="str">
        <f t="shared" si="14"/>
        <v/>
      </c>
      <c r="BM75" s="72"/>
      <c r="BN75" s="72" t="str">
        <f t="shared" si="32"/>
        <v/>
      </c>
      <c r="BO75" s="72" t="str">
        <f t="shared" si="33"/>
        <v/>
      </c>
      <c r="BP75" s="39"/>
      <c r="BQ75" s="72" t="str">
        <f t="shared" si="50"/>
        <v/>
      </c>
      <c r="BR75" s="72" t="str">
        <f t="shared" si="34"/>
        <v/>
      </c>
    </row>
    <row r="76" spans="2:70" x14ac:dyDescent="0.15">
      <c r="D76" s="101" t="s">
        <v>193</v>
      </c>
      <c r="E76" s="101"/>
      <c r="F76" s="92"/>
      <c r="G76" s="101"/>
      <c r="I76" s="459">
        <f t="shared" si="35"/>
        <v>2091</v>
      </c>
      <c r="J76" s="71"/>
      <c r="K76" s="71">
        <f t="shared" si="36"/>
        <v>62</v>
      </c>
      <c r="L76" s="71"/>
      <c r="M76" s="7">
        <f t="shared" si="0"/>
        <v>0.15998971629410663</v>
      </c>
      <c r="N76" s="71"/>
      <c r="O76" s="10" t="str">
        <f t="shared" si="37"/>
        <v/>
      </c>
      <c r="P76" s="29" t="str">
        <f t="shared" si="38"/>
        <v/>
      </c>
      <c r="Q76" s="71"/>
      <c r="R76" s="10" t="str">
        <f t="shared" si="51"/>
        <v/>
      </c>
      <c r="S76" s="71"/>
      <c r="T76" s="10" t="str">
        <f t="shared" si="17"/>
        <v/>
      </c>
      <c r="U76" s="71"/>
      <c r="V76" s="10" t="str">
        <f t="shared" si="39"/>
        <v/>
      </c>
      <c r="W76" s="10" t="str">
        <f t="shared" si="18"/>
        <v/>
      </c>
      <c r="X76" s="71"/>
      <c r="Y76" s="10" t="str">
        <f t="shared" si="40"/>
        <v/>
      </c>
      <c r="Z76" s="10" t="str">
        <f t="shared" si="19"/>
        <v/>
      </c>
      <c r="AA76" s="71"/>
      <c r="AB76" s="10" t="str">
        <f t="shared" si="4"/>
        <v/>
      </c>
      <c r="AC76" s="10" t="str">
        <f t="shared" si="20"/>
        <v/>
      </c>
      <c r="AD76" s="71"/>
      <c r="AE76" s="10" t="str">
        <f t="shared" si="41"/>
        <v/>
      </c>
      <c r="AF76" s="10" t="str">
        <f t="shared" si="21"/>
        <v/>
      </c>
      <c r="AG76" s="71"/>
      <c r="AH76" s="10" t="str">
        <f t="shared" si="42"/>
        <v/>
      </c>
      <c r="AI76" s="10" t="str">
        <f t="shared" si="22"/>
        <v/>
      </c>
      <c r="AJ76" s="71"/>
      <c r="AK76" s="10" t="str">
        <f t="shared" si="43"/>
        <v/>
      </c>
      <c r="AL76" s="10" t="str">
        <f t="shared" si="23"/>
        <v/>
      </c>
      <c r="AM76" s="71"/>
      <c r="AN76" s="10" t="str">
        <f t="shared" si="44"/>
        <v/>
      </c>
      <c r="AO76" s="10" t="str">
        <f t="shared" si="24"/>
        <v/>
      </c>
      <c r="AP76" s="71"/>
      <c r="AQ76" s="10" t="str">
        <f t="shared" si="45"/>
        <v/>
      </c>
      <c r="AR76" s="10" t="str">
        <f t="shared" si="25"/>
        <v/>
      </c>
      <c r="AS76" s="71"/>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U76" s="71"/>
      <c r="AV76" s="10" t="str">
        <f t="shared" si="46"/>
        <v/>
      </c>
      <c r="AW76" s="10" t="str">
        <f t="shared" si="26"/>
        <v/>
      </c>
      <c r="AX76" s="71"/>
      <c r="AY76" s="7" t="str">
        <f>IF(ISERROR(IF($K76&lt;=$F$15,VLOOKUP($I76,'表4）CO2価格'!$A$7:$E$67,VLOOKUP($F$48,'表4）CO2価格'!$H$10:$I$12,2,0),0)*$F$8/1000,"")),0,IF($K76&lt;=$F$15,VLOOKUP($I76,'表4）CO2価格'!$A$7:$E$67,VLOOKUP($F$48,'表4）CO2価格'!$H$10:$I$12,2,0),0)*$F$8/1000,""))</f>
        <v/>
      </c>
      <c r="AZ76" s="71"/>
      <c r="BA76" s="11" t="str">
        <f t="shared" si="47"/>
        <v/>
      </c>
      <c r="BB76" s="10" t="str">
        <f t="shared" si="27"/>
        <v/>
      </c>
      <c r="BC76" s="71"/>
      <c r="BD76" s="10" t="str">
        <f t="shared" si="48"/>
        <v/>
      </c>
      <c r="BE76" s="10" t="str">
        <f t="shared" si="28"/>
        <v/>
      </c>
      <c r="BF76" s="71"/>
      <c r="BG76" s="11" t="str">
        <f t="shared" si="49"/>
        <v/>
      </c>
      <c r="BH76" s="10" t="str">
        <f t="shared" si="29"/>
        <v/>
      </c>
      <c r="BJ76" s="7" t="str">
        <f t="shared" si="30"/>
        <v/>
      </c>
      <c r="BK76" s="158" t="str">
        <f t="shared" si="31"/>
        <v/>
      </c>
      <c r="BL76" s="158" t="str">
        <f t="shared" si="14"/>
        <v/>
      </c>
      <c r="BM76" s="10"/>
      <c r="BN76" s="10" t="str">
        <f t="shared" si="32"/>
        <v/>
      </c>
      <c r="BO76" s="10" t="str">
        <f t="shared" si="33"/>
        <v/>
      </c>
      <c r="BQ76" s="10" t="str">
        <f t="shared" si="50"/>
        <v/>
      </c>
      <c r="BR76" s="10" t="str">
        <f t="shared" si="34"/>
        <v/>
      </c>
    </row>
    <row r="77" spans="2:70" x14ac:dyDescent="0.15">
      <c r="F77" s="93"/>
      <c r="I77" s="458">
        <f t="shared" si="35"/>
        <v>2092</v>
      </c>
      <c r="J77" s="39"/>
      <c r="K77" s="39">
        <f t="shared" si="36"/>
        <v>63</v>
      </c>
      <c r="L77" s="39"/>
      <c r="M77" s="40">
        <f t="shared" si="0"/>
        <v>0.15532982164476369</v>
      </c>
      <c r="N77" s="39"/>
      <c r="O77" s="72" t="str">
        <f t="shared" si="37"/>
        <v/>
      </c>
      <c r="P77" s="41" t="str">
        <f t="shared" si="38"/>
        <v/>
      </c>
      <c r="Q77" s="39"/>
      <c r="R77" s="72" t="str">
        <f t="shared" si="51"/>
        <v/>
      </c>
      <c r="S77" s="39"/>
      <c r="T77" s="72" t="str">
        <f t="shared" si="17"/>
        <v/>
      </c>
      <c r="U77" s="39"/>
      <c r="V77" s="72" t="str">
        <f t="shared" si="39"/>
        <v/>
      </c>
      <c r="W77" s="72" t="str">
        <f t="shared" si="18"/>
        <v/>
      </c>
      <c r="X77" s="39"/>
      <c r="Y77" s="72" t="str">
        <f t="shared" si="40"/>
        <v/>
      </c>
      <c r="Z77" s="72" t="str">
        <f t="shared" si="19"/>
        <v/>
      </c>
      <c r="AA77" s="39"/>
      <c r="AB77" s="72" t="str">
        <f t="shared" si="4"/>
        <v/>
      </c>
      <c r="AC77" s="72" t="str">
        <f t="shared" si="20"/>
        <v/>
      </c>
      <c r="AD77" s="39"/>
      <c r="AE77" s="72" t="str">
        <f t="shared" si="41"/>
        <v/>
      </c>
      <c r="AF77" s="72" t="str">
        <f t="shared" si="21"/>
        <v/>
      </c>
      <c r="AG77" s="39"/>
      <c r="AH77" s="72" t="str">
        <f t="shared" si="42"/>
        <v/>
      </c>
      <c r="AI77" s="72" t="str">
        <f t="shared" si="22"/>
        <v/>
      </c>
      <c r="AJ77" s="39"/>
      <c r="AK77" s="72" t="str">
        <f t="shared" si="43"/>
        <v/>
      </c>
      <c r="AL77" s="72" t="str">
        <f t="shared" si="23"/>
        <v/>
      </c>
      <c r="AM77" s="39"/>
      <c r="AN77" s="72" t="str">
        <f t="shared" si="44"/>
        <v/>
      </c>
      <c r="AO77" s="72" t="str">
        <f t="shared" si="24"/>
        <v/>
      </c>
      <c r="AP77" s="39"/>
      <c r="AQ77" s="72" t="str">
        <f t="shared" si="45"/>
        <v/>
      </c>
      <c r="AR77" s="72" t="str">
        <f t="shared" si="25"/>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46"/>
        <v/>
      </c>
      <c r="AW77" s="72" t="str">
        <f t="shared" si="26"/>
        <v/>
      </c>
      <c r="AX77" s="39"/>
      <c r="AY77" s="40" t="str">
        <f>IF(ISERROR(IF($K77&lt;=$F$15,VLOOKUP($I77,'表4）CO2価格'!$A$7:$E$67,VLOOKUP($F$48,'表4）CO2価格'!$H$10:$I$12,2,0),0)*$F$8/1000,"")),0,IF($K77&lt;=$F$15,VLOOKUP($I77,'表4）CO2価格'!$A$7:$E$67,VLOOKUP($F$48,'表4）CO2価格'!$H$10:$I$12,2,0),0)*$F$8/1000,""))</f>
        <v/>
      </c>
      <c r="AZ77" s="39"/>
      <c r="BA77" s="42" t="str">
        <f t="shared" si="47"/>
        <v/>
      </c>
      <c r="BB77" s="72" t="str">
        <f t="shared" si="27"/>
        <v/>
      </c>
      <c r="BC77" s="39"/>
      <c r="BD77" s="72" t="str">
        <f t="shared" si="48"/>
        <v/>
      </c>
      <c r="BE77" s="72" t="str">
        <f t="shared" si="28"/>
        <v/>
      </c>
      <c r="BF77" s="39"/>
      <c r="BG77" s="42" t="str">
        <f t="shared" si="49"/>
        <v/>
      </c>
      <c r="BH77" s="72" t="str">
        <f t="shared" si="29"/>
        <v/>
      </c>
      <c r="BI77" s="39"/>
      <c r="BJ77" s="40" t="str">
        <f t="shared" si="30"/>
        <v/>
      </c>
      <c r="BK77" s="157" t="str">
        <f t="shared" si="31"/>
        <v/>
      </c>
      <c r="BL77" s="157" t="str">
        <f t="shared" si="14"/>
        <v/>
      </c>
      <c r="BM77" s="72"/>
      <c r="BN77" s="72" t="str">
        <f t="shared" si="32"/>
        <v/>
      </c>
      <c r="BO77" s="72" t="str">
        <f t="shared" si="33"/>
        <v/>
      </c>
      <c r="BP77" s="39"/>
      <c r="BQ77" s="72" t="str">
        <f t="shared" si="50"/>
        <v/>
      </c>
      <c r="BR77" s="72" t="str">
        <f t="shared" si="34"/>
        <v/>
      </c>
    </row>
    <row r="78" spans="2:70" x14ac:dyDescent="0.15">
      <c r="E78" s="74" t="s">
        <v>138</v>
      </c>
      <c r="F78" s="91">
        <f>R15/$BR$116</f>
        <v>6.5556930409963226</v>
      </c>
      <c r="G78" s="81" t="s">
        <v>132</v>
      </c>
      <c r="I78" s="459">
        <f t="shared" si="35"/>
        <v>2093</v>
      </c>
      <c r="J78" s="71"/>
      <c r="K78" s="71">
        <f t="shared" si="36"/>
        <v>64</v>
      </c>
      <c r="L78" s="71"/>
      <c r="M78" s="7">
        <f t="shared" si="0"/>
        <v>0.15080565208229488</v>
      </c>
      <c r="N78" s="71"/>
      <c r="O78" s="10" t="str">
        <f t="shared" si="37"/>
        <v/>
      </c>
      <c r="P78" s="29" t="str">
        <f t="shared" si="38"/>
        <v/>
      </c>
      <c r="Q78" s="71"/>
      <c r="R78" s="10" t="str">
        <f t="shared" si="51"/>
        <v/>
      </c>
      <c r="S78" s="71"/>
      <c r="T78" s="10" t="str">
        <f t="shared" si="17"/>
        <v/>
      </c>
      <c r="U78" s="71"/>
      <c r="V78" s="10" t="str">
        <f t="shared" si="39"/>
        <v/>
      </c>
      <c r="W78" s="10" t="str">
        <f t="shared" si="18"/>
        <v/>
      </c>
      <c r="X78" s="71"/>
      <c r="Y78" s="10" t="str">
        <f t="shared" si="40"/>
        <v/>
      </c>
      <c r="Z78" s="10" t="str">
        <f t="shared" si="19"/>
        <v/>
      </c>
      <c r="AA78" s="71"/>
      <c r="AB78" s="10" t="str">
        <f t="shared" si="4"/>
        <v/>
      </c>
      <c r="AC78" s="10" t="str">
        <f t="shared" si="20"/>
        <v/>
      </c>
      <c r="AD78" s="71"/>
      <c r="AE78" s="10" t="str">
        <f t="shared" si="41"/>
        <v/>
      </c>
      <c r="AF78" s="10" t="str">
        <f t="shared" si="21"/>
        <v/>
      </c>
      <c r="AG78" s="71"/>
      <c r="AH78" s="10" t="str">
        <f t="shared" si="42"/>
        <v/>
      </c>
      <c r="AI78" s="10" t="str">
        <f t="shared" si="22"/>
        <v/>
      </c>
      <c r="AJ78" s="71"/>
      <c r="AK78" s="10" t="str">
        <f t="shared" si="43"/>
        <v/>
      </c>
      <c r="AL78" s="10" t="str">
        <f t="shared" si="23"/>
        <v/>
      </c>
      <c r="AM78" s="71"/>
      <c r="AN78" s="10" t="str">
        <f t="shared" si="44"/>
        <v/>
      </c>
      <c r="AO78" s="10" t="str">
        <f t="shared" si="24"/>
        <v/>
      </c>
      <c r="AP78" s="71"/>
      <c r="AQ78" s="10" t="str">
        <f t="shared" si="45"/>
        <v/>
      </c>
      <c r="AR78" s="10" t="str">
        <f t="shared" si="25"/>
        <v/>
      </c>
      <c r="AS78" s="71"/>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U78" s="71"/>
      <c r="AV78" s="10" t="str">
        <f t="shared" si="46"/>
        <v/>
      </c>
      <c r="AW78" s="10" t="str">
        <f t="shared" si="26"/>
        <v/>
      </c>
      <c r="AX78" s="71"/>
      <c r="AY78" s="7" t="str">
        <f>IF(ISERROR(IF($K78&lt;=$F$15,VLOOKUP($I78,'表4）CO2価格'!$A$7:$E$67,VLOOKUP($F$48,'表4）CO2価格'!$H$10:$I$12,2,0),0)*$F$8/1000,"")),0,IF($K78&lt;=$F$15,VLOOKUP($I78,'表4）CO2価格'!$A$7:$E$67,VLOOKUP($F$48,'表4）CO2価格'!$H$10:$I$12,2,0),0)*$F$8/1000,""))</f>
        <v/>
      </c>
      <c r="AZ78" s="71"/>
      <c r="BA78" s="11" t="str">
        <f t="shared" si="47"/>
        <v/>
      </c>
      <c r="BB78" s="10" t="str">
        <f t="shared" si="27"/>
        <v/>
      </c>
      <c r="BC78" s="71"/>
      <c r="BD78" s="10" t="str">
        <f t="shared" si="48"/>
        <v/>
      </c>
      <c r="BE78" s="10" t="str">
        <f t="shared" si="28"/>
        <v/>
      </c>
      <c r="BF78" s="71"/>
      <c r="BG78" s="11" t="str">
        <f t="shared" si="49"/>
        <v/>
      </c>
      <c r="BH78" s="10" t="str">
        <f t="shared" si="29"/>
        <v/>
      </c>
      <c r="BJ78" s="7" t="str">
        <f t="shared" si="30"/>
        <v/>
      </c>
      <c r="BK78" s="158" t="str">
        <f t="shared" si="31"/>
        <v/>
      </c>
      <c r="BL78" s="158" t="str">
        <f t="shared" si="14"/>
        <v/>
      </c>
      <c r="BM78" s="10"/>
      <c r="BN78" s="10" t="str">
        <f t="shared" si="32"/>
        <v/>
      </c>
      <c r="BO78" s="10" t="str">
        <f t="shared" si="33"/>
        <v/>
      </c>
      <c r="BQ78" s="10" t="str">
        <f t="shared" si="50"/>
        <v/>
      </c>
      <c r="BR78" s="10" t="str">
        <f t="shared" si="34"/>
        <v/>
      </c>
    </row>
    <row r="79" spans="2:70" x14ac:dyDescent="0.15">
      <c r="E79" s="81" t="s">
        <v>139</v>
      </c>
      <c r="F79" s="91">
        <f>Z116/$BR$116</f>
        <v>0.57693890083441546</v>
      </c>
      <c r="G79" s="81" t="s">
        <v>132</v>
      </c>
      <c r="I79" s="458">
        <f t="shared" si="35"/>
        <v>2094</v>
      </c>
      <c r="J79" s="39"/>
      <c r="K79" s="39">
        <f t="shared" si="36"/>
        <v>65</v>
      </c>
      <c r="L79" s="39"/>
      <c r="M79" s="40">
        <f t="shared" ref="M79:M114" si="52">1/(1+($F$9/100))^K79</f>
        <v>0.14641325444882999</v>
      </c>
      <c r="N79" s="39"/>
      <c r="O79" s="72" t="str">
        <f t="shared" si="37"/>
        <v/>
      </c>
      <c r="P79" s="41" t="str">
        <f t="shared" ref="P79:P110" si="53">IF(K79&lt;=$F$15,IF(OR(P78=$F$124,P78="-"),"-",IF(O79*$F$123&gt;$F$127,$F$123,$F$124)),"")</f>
        <v/>
      </c>
      <c r="Q79" s="39"/>
      <c r="R79" s="72" t="str">
        <f t="shared" si="51"/>
        <v/>
      </c>
      <c r="S79" s="39"/>
      <c r="T79" s="72" t="str">
        <f t="shared" si="17"/>
        <v/>
      </c>
      <c r="U79" s="39"/>
      <c r="V79" s="72" t="str">
        <f t="shared" ref="V79:V114" si="54">IF(K79&lt;=$F$15,IF(K79&lt;$F$119,IF(P79="-",V78,O79*P79),IF(K79=$F$119,MIN(IF(P79="-",V78,O79*P79),O79),0)),"")</f>
        <v/>
      </c>
      <c r="W79" s="72" t="str">
        <f t="shared" si="18"/>
        <v/>
      </c>
      <c r="X79" s="39"/>
      <c r="Y79" s="72" t="str">
        <f t="shared" ref="Y79:Y114" si="55">IF($K79&lt;=$F$15,ROUNDDOWN(T79*$F$25/100,-2),"")</f>
        <v/>
      </c>
      <c r="Z79" s="72" t="str">
        <f t="shared" si="19"/>
        <v/>
      </c>
      <c r="AA79" s="39"/>
      <c r="AB79" s="72" t="str">
        <f t="shared" ref="AB79:AB114" si="56">IF($K79&lt;=$F$15,0,IF(AND($K79&gt;$F$15,$K79&lt;=$F$15+$F$28),$F$27*10^8/$F$28,""))</f>
        <v/>
      </c>
      <c r="AC79" s="72" t="str">
        <f t="shared" si="20"/>
        <v/>
      </c>
      <c r="AD79" s="39"/>
      <c r="AE79" s="72" t="str">
        <f t="shared" ref="AE79:AE114" si="57">IF($K79&lt;=$F$15,$F$26,"")</f>
        <v/>
      </c>
      <c r="AF79" s="72" t="str">
        <f t="shared" si="21"/>
        <v/>
      </c>
      <c r="AG79" s="39"/>
      <c r="AH79" s="72" t="str">
        <f t="shared" ref="AH79:AH114" si="58">IF($K79&lt;=$F$15,$F$33*10^4*$F$13*10^4,"")</f>
        <v/>
      </c>
      <c r="AI79" s="72" t="str">
        <f t="shared" si="22"/>
        <v/>
      </c>
      <c r="AJ79" s="39"/>
      <c r="AK79" s="72" t="str">
        <f t="shared" ref="AK79:AK114" si="59">IF($K79&lt;=$F$15,$F$117*$F$34/100,"")</f>
        <v/>
      </c>
      <c r="AL79" s="72" t="str">
        <f t="shared" si="23"/>
        <v/>
      </c>
      <c r="AM79" s="39"/>
      <c r="AN79" s="72" t="str">
        <f t="shared" ref="AN79:AN114" si="60">IF($K79&lt;=$F$15,$F$117*$F$35/100,"")</f>
        <v/>
      </c>
      <c r="AO79" s="72" t="str">
        <f t="shared" si="24"/>
        <v/>
      </c>
      <c r="AP79" s="39"/>
      <c r="AQ79" s="72" t="str">
        <f t="shared" ref="AQ79:AQ114" si="61">IF($K79&lt;=$F$15,SUM(AH79,AK79,AN79)*($F$36/100),"")</f>
        <v/>
      </c>
      <c r="AR79" s="72" t="str">
        <f t="shared" si="25"/>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62">IF($K79&lt;=$F$15,($AT79+$F$142)*$F$137,"")</f>
        <v/>
      </c>
      <c r="AW79" s="72" t="str">
        <f t="shared" si="26"/>
        <v/>
      </c>
      <c r="AX79" s="39"/>
      <c r="AY79" s="40" t="str">
        <f>IF(ISERROR(IF($K79&lt;=$F$15,VLOOKUP($I79,'表4）CO2価格'!$A$7:$E$67,VLOOKUP($F$48,'表4）CO2価格'!$H$10:$I$12,2,0),0)*$F$8/1000,"")),0,IF($K79&lt;=$F$15,VLOOKUP($I79,'表4）CO2価格'!$A$7:$E$67,VLOOKUP($F$48,'表4）CO2価格'!$H$10:$I$12,2,0),0)*$F$8/1000,""))</f>
        <v/>
      </c>
      <c r="AZ79" s="39"/>
      <c r="BA79" s="42" t="str">
        <f t="shared" ref="BA79:BA114" si="63">IF($K79&lt;=$F$15,$F$145*AY79,"")</f>
        <v/>
      </c>
      <c r="BB79" s="72" t="str">
        <f t="shared" si="27"/>
        <v/>
      </c>
      <c r="BC79" s="39"/>
      <c r="BD79" s="72" t="str">
        <f t="shared" ref="BD79:BD114" si="64">IF($K79&lt;=$F$15,($AT79+$F$152)*$F$151,"")</f>
        <v/>
      </c>
      <c r="BE79" s="72" t="str">
        <f t="shared" si="28"/>
        <v/>
      </c>
      <c r="BF79" s="39"/>
      <c r="BG79" s="42" t="str">
        <f t="shared" ref="BG79:BG114" si="65">IF($K79&lt;=$F$15,$F$153*AY79,"")</f>
        <v/>
      </c>
      <c r="BH79" s="72" t="str">
        <f t="shared" si="29"/>
        <v/>
      </c>
      <c r="BI79" s="39"/>
      <c r="BJ79" s="40" t="str">
        <f t="shared" si="30"/>
        <v/>
      </c>
      <c r="BK79" s="157" t="str">
        <f t="shared" si="31"/>
        <v/>
      </c>
      <c r="BL79" s="157" t="str">
        <f t="shared" ref="BL79:BL114" si="66">IF(AND(ISNUMBER(BJ79),$K79&lt;=$F$16),BQ79*BJ79,"")</f>
        <v/>
      </c>
      <c r="BM79" s="72"/>
      <c r="BN79" s="72" t="str">
        <f t="shared" si="32"/>
        <v/>
      </c>
      <c r="BO79" s="72" t="str">
        <f t="shared" si="33"/>
        <v/>
      </c>
      <c r="BP79" s="39"/>
      <c r="BQ79" s="72" t="str">
        <f t="shared" ref="BQ79:BQ114" si="67">IF($K79&lt;=$F$15,$F$134,"")</f>
        <v/>
      </c>
      <c r="BR79" s="72" t="str">
        <f t="shared" si="34"/>
        <v/>
      </c>
    </row>
    <row r="80" spans="2:70" x14ac:dyDescent="0.15">
      <c r="E80" s="81" t="s">
        <v>115</v>
      </c>
      <c r="F80" s="91">
        <f>AF116/$BR$116</f>
        <v>0</v>
      </c>
      <c r="G80" s="81" t="s">
        <v>132</v>
      </c>
      <c r="I80" s="459">
        <f t="shared" si="35"/>
        <v>2095</v>
      </c>
      <c r="J80" s="71"/>
      <c r="K80" s="71">
        <f t="shared" si="36"/>
        <v>66</v>
      </c>
      <c r="L80" s="71"/>
      <c r="M80" s="7">
        <f t="shared" si="52"/>
        <v>0.14214879072701941</v>
      </c>
      <c r="N80" s="71"/>
      <c r="O80" s="10" t="str">
        <f t="shared" ref="O80:O114" si="68">IF(K80&lt;=$F$15,O79-V79,"")</f>
        <v/>
      </c>
      <c r="P80" s="29" t="str">
        <f t="shared" si="53"/>
        <v/>
      </c>
      <c r="Q80" s="71"/>
      <c r="R80" s="10" t="str">
        <f t="shared" ref="R80:R114" si="69">IF($K80&lt;=$F$15,MAX($F$117*5%,R79*$F$129),"")</f>
        <v/>
      </c>
      <c r="S80" s="71"/>
      <c r="T80" s="10" t="str">
        <f t="shared" ref="T80:T114" si="70">IF(ISNUMBER(R80),ROUNDDOWN(R80,-3),"")</f>
        <v/>
      </c>
      <c r="U80" s="71"/>
      <c r="V80" s="10" t="str">
        <f t="shared" si="54"/>
        <v/>
      </c>
      <c r="W80" s="10" t="str">
        <f t="shared" ref="W80:W114" si="71">IF(ISNUMBER(V80),V80*$M80,"")</f>
        <v/>
      </c>
      <c r="X80" s="71"/>
      <c r="Y80" s="10" t="str">
        <f t="shared" si="55"/>
        <v/>
      </c>
      <c r="Z80" s="10" t="str">
        <f t="shared" ref="Z80:Z114" si="72">IF(ISNUMBER(Y80),Y80*$M80,"")</f>
        <v/>
      </c>
      <c r="AA80" s="71"/>
      <c r="AB80" s="10" t="str">
        <f t="shared" si="56"/>
        <v/>
      </c>
      <c r="AC80" s="10" t="str">
        <f t="shared" ref="AC80:AC114" si="73">IF(ISNUMBER(AB80),AB80*$M80,"")</f>
        <v/>
      </c>
      <c r="AD80" s="71"/>
      <c r="AE80" s="10" t="str">
        <f t="shared" si="57"/>
        <v/>
      </c>
      <c r="AF80" s="10" t="str">
        <f t="shared" ref="AF80:AF114" si="74">IF(ISNUMBER(AE80),AE80*$M80,"")</f>
        <v/>
      </c>
      <c r="AG80" s="71"/>
      <c r="AH80" s="10" t="str">
        <f t="shared" si="58"/>
        <v/>
      </c>
      <c r="AI80" s="10" t="str">
        <f t="shared" ref="AI80:AI114" si="75">IF(ISNUMBER(AH80),AH80*$M80,"")</f>
        <v/>
      </c>
      <c r="AJ80" s="71"/>
      <c r="AK80" s="10" t="str">
        <f t="shared" si="59"/>
        <v/>
      </c>
      <c r="AL80" s="10" t="str">
        <f t="shared" ref="AL80:AL114" si="76">IF(ISNUMBER(AK80),AK80*$M80,"")</f>
        <v/>
      </c>
      <c r="AM80" s="71"/>
      <c r="AN80" s="10" t="str">
        <f t="shared" si="60"/>
        <v/>
      </c>
      <c r="AO80" s="10" t="str">
        <f t="shared" ref="AO80:AO114" si="77">IF(ISNUMBER(AN80),AN80*$M80,"")</f>
        <v/>
      </c>
      <c r="AP80" s="71"/>
      <c r="AQ80" s="10" t="str">
        <f t="shared" si="61"/>
        <v/>
      </c>
      <c r="AR80" s="10" t="str">
        <f t="shared" ref="AR80:AR114" si="78">IF(ISNUMBER(AQ80),AQ80*$M80,"")</f>
        <v/>
      </c>
      <c r="AS80" s="71"/>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U80" s="71"/>
      <c r="AV80" s="10" t="str">
        <f t="shared" si="62"/>
        <v/>
      </c>
      <c r="AW80" s="10" t="str">
        <f t="shared" ref="AW80:AW114" si="79">IF(ISNUMBER(AV80),AV80*$M80,"")</f>
        <v/>
      </c>
      <c r="AX80" s="71"/>
      <c r="AY80" s="7" t="str">
        <f>IF(ISERROR(IF($K80&lt;=$F$15,VLOOKUP($I80,'表4）CO2価格'!$A$7:$E$67,VLOOKUP($F$48,'表4）CO2価格'!$H$10:$I$12,2,0),0)*$F$8/1000,"")),0,IF($K80&lt;=$F$15,VLOOKUP($I80,'表4）CO2価格'!$A$7:$E$67,VLOOKUP($F$48,'表4）CO2価格'!$H$10:$I$12,2,0),0)*$F$8/1000,""))</f>
        <v/>
      </c>
      <c r="AZ80" s="71"/>
      <c r="BA80" s="11" t="str">
        <f t="shared" si="63"/>
        <v/>
      </c>
      <c r="BB80" s="10" t="str">
        <f t="shared" ref="BB80:BB114" si="80">IF(ISNUMBER(BA80),BA80*$M80,"")</f>
        <v/>
      </c>
      <c r="BC80" s="71"/>
      <c r="BD80" s="10" t="str">
        <f t="shared" si="64"/>
        <v/>
      </c>
      <c r="BE80" s="10" t="str">
        <f t="shared" ref="BE80:BE114" si="81">IF(ISNUMBER(BD80),BD80*$M80,"")</f>
        <v/>
      </c>
      <c r="BF80" s="71"/>
      <c r="BG80" s="11" t="str">
        <f t="shared" si="65"/>
        <v/>
      </c>
      <c r="BH80" s="10" t="str">
        <f t="shared" ref="BH80:BH114" si="82">IF(ISNUMBER(BG80),BG80*$M80,"")</f>
        <v/>
      </c>
      <c r="BJ80" s="7" t="str">
        <f t="shared" ref="BJ80:BJ114" si="83">IF(ISNUMBER($F$16),IF($K80&lt;=$F$16+$F$28,1/(1+($F$17/100))^K80,""),"")</f>
        <v/>
      </c>
      <c r="BK80" s="158" t="str">
        <f t="shared" ref="BK80:BK114" si="84">IF(ISNUMBER($F$16),IF($K80&lt;=$F$16+$F$28,IF($K80&lt;=$F$16,SUM(Y80,AB80,AE80,AH80,AK80,AN80,AQ80,AV80,BA80,BD80,BG80),$F$27/$F$28*10^8)*BJ80,""),"")</f>
        <v/>
      </c>
      <c r="BL80" s="158" t="str">
        <f t="shared" si="66"/>
        <v/>
      </c>
      <c r="BM80" s="10"/>
      <c r="BN80" s="10" t="str">
        <f t="shared" ref="BN80:BN114" si="85">IF(AND(ISNUMBER($F$16),$K80&lt;=$F$16),BQ80*($O$15+$BK$116)/$BL$116,"")</f>
        <v/>
      </c>
      <c r="BO80" s="10" t="str">
        <f t="shared" ref="BO80:BO114" si="86">IF(ISNUMBER(BN80),BN80*$M80,"")</f>
        <v/>
      </c>
      <c r="BQ80" s="10" t="str">
        <f t="shared" si="67"/>
        <v/>
      </c>
      <c r="BR80" s="10" t="str">
        <f t="shared" ref="BR80:BR114" si="87">IF(ISNUMBER(BQ80),BQ80*$M80,"")</f>
        <v/>
      </c>
    </row>
    <row r="81" spans="4:70" x14ac:dyDescent="0.15">
      <c r="E81" s="82" t="s">
        <v>86</v>
      </c>
      <c r="F81" s="91">
        <f>AC116/$BR$116</f>
        <v>0.17673490103577272</v>
      </c>
      <c r="G81" s="81" t="s">
        <v>132</v>
      </c>
      <c r="I81" s="458">
        <f t="shared" ref="I81:I114" si="88">I80+1</f>
        <v>2096</v>
      </c>
      <c r="J81" s="39"/>
      <c r="K81" s="39">
        <f t="shared" ref="K81:K114" si="89">IF(I81&lt;&gt;"",K80+1,"")</f>
        <v>67</v>
      </c>
      <c r="L81" s="39"/>
      <c r="M81" s="40">
        <f t="shared" si="52"/>
        <v>0.1380085346864266</v>
      </c>
      <c r="N81" s="39"/>
      <c r="O81" s="72" t="str">
        <f t="shared" si="68"/>
        <v/>
      </c>
      <c r="P81" s="41" t="str">
        <f t="shared" si="53"/>
        <v/>
      </c>
      <c r="Q81" s="39"/>
      <c r="R81" s="72" t="str">
        <f t="shared" si="69"/>
        <v/>
      </c>
      <c r="S81" s="39"/>
      <c r="T81" s="72" t="str">
        <f t="shared" si="70"/>
        <v/>
      </c>
      <c r="U81" s="39"/>
      <c r="V81" s="72" t="str">
        <f t="shared" si="54"/>
        <v/>
      </c>
      <c r="W81" s="72" t="str">
        <f t="shared" si="71"/>
        <v/>
      </c>
      <c r="X81" s="39"/>
      <c r="Y81" s="72" t="str">
        <f t="shared" si="55"/>
        <v/>
      </c>
      <c r="Z81" s="72" t="str">
        <f t="shared" si="72"/>
        <v/>
      </c>
      <c r="AA81" s="39"/>
      <c r="AB81" s="72" t="str">
        <f t="shared" si="56"/>
        <v/>
      </c>
      <c r="AC81" s="72" t="str">
        <f t="shared" si="73"/>
        <v/>
      </c>
      <c r="AD81" s="39"/>
      <c r="AE81" s="72" t="str">
        <f t="shared" si="57"/>
        <v/>
      </c>
      <c r="AF81" s="72" t="str">
        <f t="shared" si="74"/>
        <v/>
      </c>
      <c r="AG81" s="39"/>
      <c r="AH81" s="72" t="str">
        <f t="shared" si="58"/>
        <v/>
      </c>
      <c r="AI81" s="72" t="str">
        <f t="shared" si="75"/>
        <v/>
      </c>
      <c r="AJ81" s="39"/>
      <c r="AK81" s="72" t="str">
        <f t="shared" si="59"/>
        <v/>
      </c>
      <c r="AL81" s="72" t="str">
        <f t="shared" si="76"/>
        <v/>
      </c>
      <c r="AM81" s="39"/>
      <c r="AN81" s="72" t="str">
        <f t="shared" si="60"/>
        <v/>
      </c>
      <c r="AO81" s="72" t="str">
        <f t="shared" si="77"/>
        <v/>
      </c>
      <c r="AP81" s="39"/>
      <c r="AQ81" s="72" t="str">
        <f t="shared" si="61"/>
        <v/>
      </c>
      <c r="AR81" s="72" t="str">
        <f t="shared" si="78"/>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62"/>
        <v/>
      </c>
      <c r="AW81" s="72" t="str">
        <f t="shared" si="79"/>
        <v/>
      </c>
      <c r="AX81" s="39"/>
      <c r="AY81" s="40" t="str">
        <f>IF(ISERROR(IF($K81&lt;=$F$15,VLOOKUP($I81,'表4）CO2価格'!$A$7:$E$67,VLOOKUP($F$48,'表4）CO2価格'!$H$10:$I$12,2,0),0)*$F$8/1000,"")),0,IF($K81&lt;=$F$15,VLOOKUP($I81,'表4）CO2価格'!$A$7:$E$67,VLOOKUP($F$48,'表4）CO2価格'!$H$10:$I$12,2,0),0)*$F$8/1000,""))</f>
        <v/>
      </c>
      <c r="AZ81" s="39"/>
      <c r="BA81" s="42" t="str">
        <f t="shared" si="63"/>
        <v/>
      </c>
      <c r="BB81" s="72" t="str">
        <f t="shared" si="80"/>
        <v/>
      </c>
      <c r="BC81" s="39"/>
      <c r="BD81" s="72" t="str">
        <f t="shared" si="64"/>
        <v/>
      </c>
      <c r="BE81" s="72" t="str">
        <f t="shared" si="81"/>
        <v/>
      </c>
      <c r="BF81" s="39"/>
      <c r="BG81" s="42" t="str">
        <f t="shared" si="65"/>
        <v/>
      </c>
      <c r="BH81" s="72" t="str">
        <f t="shared" si="82"/>
        <v/>
      </c>
      <c r="BI81" s="39"/>
      <c r="BJ81" s="40" t="str">
        <f t="shared" si="83"/>
        <v/>
      </c>
      <c r="BK81" s="157" t="str">
        <f t="shared" si="84"/>
        <v/>
      </c>
      <c r="BL81" s="157" t="str">
        <f t="shared" si="66"/>
        <v/>
      </c>
      <c r="BM81" s="72"/>
      <c r="BN81" s="72" t="str">
        <f t="shared" si="85"/>
        <v/>
      </c>
      <c r="BO81" s="72" t="str">
        <f t="shared" si="86"/>
        <v/>
      </c>
      <c r="BP81" s="39"/>
      <c r="BQ81" s="72" t="str">
        <f t="shared" si="67"/>
        <v/>
      </c>
      <c r="BR81" s="72" t="str">
        <f t="shared" si="87"/>
        <v/>
      </c>
    </row>
    <row r="82" spans="4:70" x14ac:dyDescent="0.15">
      <c r="F82" s="93"/>
      <c r="I82" s="459">
        <f t="shared" si="88"/>
        <v>2097</v>
      </c>
      <c r="J82" s="71"/>
      <c r="K82" s="71">
        <f t="shared" si="89"/>
        <v>68</v>
      </c>
      <c r="L82" s="71"/>
      <c r="M82" s="7">
        <f t="shared" si="52"/>
        <v>0.13398886862759865</v>
      </c>
      <c r="N82" s="71"/>
      <c r="O82" s="10" t="str">
        <f t="shared" si="68"/>
        <v/>
      </c>
      <c r="P82" s="29" t="str">
        <f t="shared" si="53"/>
        <v/>
      </c>
      <c r="Q82" s="71"/>
      <c r="R82" s="10" t="str">
        <f t="shared" si="69"/>
        <v/>
      </c>
      <c r="S82" s="71"/>
      <c r="T82" s="10" t="str">
        <f t="shared" si="70"/>
        <v/>
      </c>
      <c r="U82" s="71"/>
      <c r="V82" s="10" t="str">
        <f t="shared" si="54"/>
        <v/>
      </c>
      <c r="W82" s="10" t="str">
        <f t="shared" si="71"/>
        <v/>
      </c>
      <c r="X82" s="71"/>
      <c r="Y82" s="10" t="str">
        <f t="shared" si="55"/>
        <v/>
      </c>
      <c r="Z82" s="10" t="str">
        <f t="shared" si="72"/>
        <v/>
      </c>
      <c r="AA82" s="71"/>
      <c r="AB82" s="10" t="str">
        <f t="shared" si="56"/>
        <v/>
      </c>
      <c r="AC82" s="10" t="str">
        <f t="shared" si="73"/>
        <v/>
      </c>
      <c r="AD82" s="71"/>
      <c r="AE82" s="10" t="str">
        <f t="shared" si="57"/>
        <v/>
      </c>
      <c r="AF82" s="10" t="str">
        <f t="shared" si="74"/>
        <v/>
      </c>
      <c r="AG82" s="71"/>
      <c r="AH82" s="10" t="str">
        <f t="shared" si="58"/>
        <v/>
      </c>
      <c r="AI82" s="10" t="str">
        <f t="shared" si="75"/>
        <v/>
      </c>
      <c r="AJ82" s="71"/>
      <c r="AK82" s="10" t="str">
        <f t="shared" si="59"/>
        <v/>
      </c>
      <c r="AL82" s="10" t="str">
        <f t="shared" si="76"/>
        <v/>
      </c>
      <c r="AM82" s="71"/>
      <c r="AN82" s="10" t="str">
        <f t="shared" si="60"/>
        <v/>
      </c>
      <c r="AO82" s="10" t="str">
        <f t="shared" si="77"/>
        <v/>
      </c>
      <c r="AP82" s="71"/>
      <c r="AQ82" s="10" t="str">
        <f t="shared" si="61"/>
        <v/>
      </c>
      <c r="AR82" s="10" t="str">
        <f t="shared" si="78"/>
        <v/>
      </c>
      <c r="AS82" s="71"/>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U82" s="71"/>
      <c r="AV82" s="10" t="str">
        <f t="shared" si="62"/>
        <v/>
      </c>
      <c r="AW82" s="10" t="str">
        <f t="shared" si="79"/>
        <v/>
      </c>
      <c r="AX82" s="71"/>
      <c r="AY82" s="7" t="str">
        <f>IF(ISERROR(IF($K82&lt;=$F$15,VLOOKUP($I82,'表4）CO2価格'!$A$7:$E$67,VLOOKUP($F$48,'表4）CO2価格'!$H$10:$I$12,2,0),0)*$F$8/1000,"")),0,IF($K82&lt;=$F$15,VLOOKUP($I82,'表4）CO2価格'!$A$7:$E$67,VLOOKUP($F$48,'表4）CO2価格'!$H$10:$I$12,2,0),0)*$F$8/1000,""))</f>
        <v/>
      </c>
      <c r="AZ82" s="71"/>
      <c r="BA82" s="11" t="str">
        <f t="shared" si="63"/>
        <v/>
      </c>
      <c r="BB82" s="10" t="str">
        <f t="shared" si="80"/>
        <v/>
      </c>
      <c r="BC82" s="71"/>
      <c r="BD82" s="10" t="str">
        <f t="shared" si="64"/>
        <v/>
      </c>
      <c r="BE82" s="10" t="str">
        <f t="shared" si="81"/>
        <v/>
      </c>
      <c r="BF82" s="71"/>
      <c r="BG82" s="11" t="str">
        <f t="shared" si="65"/>
        <v/>
      </c>
      <c r="BH82" s="10" t="str">
        <f t="shared" si="82"/>
        <v/>
      </c>
      <c r="BJ82" s="7" t="str">
        <f t="shared" si="83"/>
        <v/>
      </c>
      <c r="BK82" s="158" t="str">
        <f t="shared" si="84"/>
        <v/>
      </c>
      <c r="BL82" s="158" t="str">
        <f t="shared" si="66"/>
        <v/>
      </c>
      <c r="BM82" s="10"/>
      <c r="BN82" s="10" t="str">
        <f t="shared" si="85"/>
        <v/>
      </c>
      <c r="BO82" s="10" t="str">
        <f t="shared" si="86"/>
        <v/>
      </c>
      <c r="BQ82" s="10" t="str">
        <f t="shared" si="67"/>
        <v/>
      </c>
      <c r="BR82" s="10" t="str">
        <f t="shared" si="87"/>
        <v/>
      </c>
    </row>
    <row r="83" spans="4:70" ht="15" x14ac:dyDescent="0.15">
      <c r="D83" s="116" t="s">
        <v>194</v>
      </c>
      <c r="F83" s="94">
        <f>SUBTOTAL(9,F87:F90)</f>
        <v>3.1857279388340229</v>
      </c>
      <c r="G83" s="81" t="s">
        <v>132</v>
      </c>
      <c r="I83" s="458">
        <f>I82+1</f>
        <v>2098</v>
      </c>
      <c r="J83" s="39"/>
      <c r="K83" s="39">
        <f>IF(I83&lt;&gt;"",K82+1,"")</f>
        <v>69</v>
      </c>
      <c r="L83" s="39"/>
      <c r="M83" s="40">
        <f t="shared" si="52"/>
        <v>0.13008628022096957</v>
      </c>
      <c r="N83" s="39"/>
      <c r="O83" s="72" t="str">
        <f t="shared" si="68"/>
        <v/>
      </c>
      <c r="P83" s="41" t="str">
        <f t="shared" si="53"/>
        <v/>
      </c>
      <c r="Q83" s="39"/>
      <c r="R83" s="72" t="str">
        <f t="shared" si="69"/>
        <v/>
      </c>
      <c r="S83" s="39"/>
      <c r="T83" s="72" t="str">
        <f t="shared" si="70"/>
        <v/>
      </c>
      <c r="U83" s="39"/>
      <c r="V83" s="72" t="str">
        <f t="shared" si="54"/>
        <v/>
      </c>
      <c r="W83" s="72" t="str">
        <f t="shared" si="71"/>
        <v/>
      </c>
      <c r="X83" s="39"/>
      <c r="Y83" s="72" t="str">
        <f t="shared" si="55"/>
        <v/>
      </c>
      <c r="Z83" s="72" t="str">
        <f t="shared" si="72"/>
        <v/>
      </c>
      <c r="AA83" s="39"/>
      <c r="AB83" s="72" t="str">
        <f t="shared" si="56"/>
        <v/>
      </c>
      <c r="AC83" s="72" t="str">
        <f t="shared" si="73"/>
        <v/>
      </c>
      <c r="AD83" s="39"/>
      <c r="AE83" s="72" t="str">
        <f t="shared" si="57"/>
        <v/>
      </c>
      <c r="AF83" s="72" t="str">
        <f t="shared" si="74"/>
        <v/>
      </c>
      <c r="AG83" s="39"/>
      <c r="AH83" s="72" t="str">
        <f t="shared" si="58"/>
        <v/>
      </c>
      <c r="AI83" s="72" t="str">
        <f t="shared" si="75"/>
        <v/>
      </c>
      <c r="AJ83" s="39"/>
      <c r="AK83" s="72" t="str">
        <f t="shared" si="59"/>
        <v/>
      </c>
      <c r="AL83" s="72" t="str">
        <f t="shared" si="76"/>
        <v/>
      </c>
      <c r="AM83" s="39"/>
      <c r="AN83" s="72" t="str">
        <f t="shared" si="60"/>
        <v/>
      </c>
      <c r="AO83" s="72" t="str">
        <f t="shared" si="77"/>
        <v/>
      </c>
      <c r="AP83" s="39"/>
      <c r="AQ83" s="72" t="str">
        <f t="shared" si="61"/>
        <v/>
      </c>
      <c r="AR83" s="72" t="str">
        <f t="shared" si="78"/>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62"/>
        <v/>
      </c>
      <c r="AW83" s="72" t="str">
        <f t="shared" si="79"/>
        <v/>
      </c>
      <c r="AX83" s="39"/>
      <c r="AY83" s="40" t="str">
        <f>IF(ISERROR(IF($K83&lt;=$F$15,VLOOKUP($I83,'表4）CO2価格'!$A$7:$E$67,VLOOKUP($F$48,'表4）CO2価格'!$H$10:$I$12,2,0),0)*$F$8/1000,"")),0,IF($K83&lt;=$F$15,VLOOKUP($I83,'表4）CO2価格'!$A$7:$E$67,VLOOKUP($F$48,'表4）CO2価格'!$H$10:$I$12,2,0),0)*$F$8/1000,""))</f>
        <v/>
      </c>
      <c r="AZ83" s="39"/>
      <c r="BA83" s="42" t="str">
        <f t="shared" si="63"/>
        <v/>
      </c>
      <c r="BB83" s="72" t="str">
        <f t="shared" si="80"/>
        <v/>
      </c>
      <c r="BC83" s="39"/>
      <c r="BD83" s="72" t="str">
        <f t="shared" si="64"/>
        <v/>
      </c>
      <c r="BE83" s="72" t="str">
        <f t="shared" si="81"/>
        <v/>
      </c>
      <c r="BF83" s="39"/>
      <c r="BG83" s="42" t="str">
        <f t="shared" si="65"/>
        <v/>
      </c>
      <c r="BH83" s="72" t="str">
        <f t="shared" si="82"/>
        <v/>
      </c>
      <c r="BI83" s="39"/>
      <c r="BJ83" s="40" t="str">
        <f t="shared" si="83"/>
        <v/>
      </c>
      <c r="BK83" s="157" t="str">
        <f t="shared" si="84"/>
        <v/>
      </c>
      <c r="BL83" s="157" t="str">
        <f t="shared" si="66"/>
        <v/>
      </c>
      <c r="BM83" s="72"/>
      <c r="BN83" s="72" t="str">
        <f t="shared" si="85"/>
        <v/>
      </c>
      <c r="BO83" s="72" t="str">
        <f t="shared" si="86"/>
        <v/>
      </c>
      <c r="BP83" s="39"/>
      <c r="BQ83" s="72" t="str">
        <f t="shared" si="67"/>
        <v/>
      </c>
      <c r="BR83" s="72" t="str">
        <f t="shared" si="87"/>
        <v/>
      </c>
    </row>
    <row r="84" spans="4:70" x14ac:dyDescent="0.15">
      <c r="F84" s="93"/>
      <c r="I84" s="459">
        <f t="shared" si="88"/>
        <v>2099</v>
      </c>
      <c r="J84" s="71"/>
      <c r="K84" s="71">
        <f t="shared" si="89"/>
        <v>70</v>
      </c>
      <c r="L84" s="71"/>
      <c r="M84" s="7">
        <f t="shared" si="52"/>
        <v>0.12629735943783454</v>
      </c>
      <c r="N84" s="71"/>
      <c r="O84" s="10" t="str">
        <f t="shared" si="68"/>
        <v/>
      </c>
      <c r="P84" s="29" t="str">
        <f t="shared" si="53"/>
        <v/>
      </c>
      <c r="Q84" s="71"/>
      <c r="R84" s="10" t="str">
        <f t="shared" si="69"/>
        <v/>
      </c>
      <c r="S84" s="71"/>
      <c r="T84" s="10" t="str">
        <f t="shared" si="70"/>
        <v/>
      </c>
      <c r="U84" s="71"/>
      <c r="V84" s="10" t="str">
        <f t="shared" si="54"/>
        <v/>
      </c>
      <c r="W84" s="10" t="str">
        <f t="shared" si="71"/>
        <v/>
      </c>
      <c r="X84" s="71"/>
      <c r="Y84" s="10" t="str">
        <f t="shared" si="55"/>
        <v/>
      </c>
      <c r="Z84" s="10" t="str">
        <f t="shared" si="72"/>
        <v/>
      </c>
      <c r="AA84" s="71"/>
      <c r="AB84" s="10" t="str">
        <f t="shared" si="56"/>
        <v/>
      </c>
      <c r="AC84" s="10" t="str">
        <f t="shared" si="73"/>
        <v/>
      </c>
      <c r="AD84" s="71"/>
      <c r="AE84" s="10" t="str">
        <f t="shared" si="57"/>
        <v/>
      </c>
      <c r="AF84" s="10" t="str">
        <f t="shared" si="74"/>
        <v/>
      </c>
      <c r="AG84" s="71"/>
      <c r="AH84" s="10" t="str">
        <f t="shared" si="58"/>
        <v/>
      </c>
      <c r="AI84" s="10" t="str">
        <f t="shared" si="75"/>
        <v/>
      </c>
      <c r="AJ84" s="71"/>
      <c r="AK84" s="10" t="str">
        <f t="shared" si="59"/>
        <v/>
      </c>
      <c r="AL84" s="10" t="str">
        <f t="shared" si="76"/>
        <v/>
      </c>
      <c r="AM84" s="71"/>
      <c r="AN84" s="10" t="str">
        <f t="shared" si="60"/>
        <v/>
      </c>
      <c r="AO84" s="10" t="str">
        <f t="shared" si="77"/>
        <v/>
      </c>
      <c r="AP84" s="71"/>
      <c r="AQ84" s="10" t="str">
        <f t="shared" si="61"/>
        <v/>
      </c>
      <c r="AR84" s="10" t="str">
        <f t="shared" si="78"/>
        <v/>
      </c>
      <c r="AS84" s="71"/>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U84" s="71"/>
      <c r="AV84" s="10" t="str">
        <f t="shared" si="62"/>
        <v/>
      </c>
      <c r="AW84" s="10" t="str">
        <f t="shared" si="79"/>
        <v/>
      </c>
      <c r="AX84" s="71"/>
      <c r="AY84" s="7" t="str">
        <f>IF(ISERROR(IF($K84&lt;=$F$15,VLOOKUP($I84,'表4）CO2価格'!$A$7:$E$67,VLOOKUP($F$48,'表4）CO2価格'!$H$10:$I$12,2,0),0)*$F$8/1000,"")),0,IF($K84&lt;=$F$15,VLOOKUP($I84,'表4）CO2価格'!$A$7:$E$67,VLOOKUP($F$48,'表4）CO2価格'!$H$10:$I$12,2,0),0)*$F$8/1000,""))</f>
        <v/>
      </c>
      <c r="AZ84" s="71"/>
      <c r="BA84" s="11" t="str">
        <f t="shared" si="63"/>
        <v/>
      </c>
      <c r="BB84" s="10" t="str">
        <f t="shared" si="80"/>
        <v/>
      </c>
      <c r="BC84" s="71"/>
      <c r="BD84" s="10" t="str">
        <f t="shared" si="64"/>
        <v/>
      </c>
      <c r="BE84" s="10" t="str">
        <f t="shared" si="81"/>
        <v/>
      </c>
      <c r="BF84" s="71"/>
      <c r="BG84" s="11" t="str">
        <f t="shared" si="65"/>
        <v/>
      </c>
      <c r="BH84" s="10" t="str">
        <f t="shared" si="82"/>
        <v/>
      </c>
      <c r="BJ84" s="7" t="str">
        <f t="shared" si="83"/>
        <v/>
      </c>
      <c r="BK84" s="158" t="str">
        <f t="shared" si="84"/>
        <v/>
      </c>
      <c r="BL84" s="158" t="str">
        <f t="shared" si="66"/>
        <v/>
      </c>
      <c r="BM84" s="10"/>
      <c r="BN84" s="10" t="str">
        <f t="shared" si="85"/>
        <v/>
      </c>
      <c r="BO84" s="10" t="str">
        <f t="shared" si="86"/>
        <v/>
      </c>
      <c r="BQ84" s="10" t="str">
        <f t="shared" si="67"/>
        <v/>
      </c>
      <c r="BR84" s="10" t="str">
        <f t="shared" si="87"/>
        <v/>
      </c>
    </row>
    <row r="85" spans="4:70" x14ac:dyDescent="0.15">
      <c r="D85" s="101" t="s">
        <v>195</v>
      </c>
      <c r="E85" s="113"/>
      <c r="F85" s="92"/>
      <c r="G85" s="101"/>
      <c r="I85" s="458">
        <f t="shared" si="88"/>
        <v>2100</v>
      </c>
      <c r="J85" s="39"/>
      <c r="K85" s="39">
        <f t="shared" si="89"/>
        <v>71</v>
      </c>
      <c r="L85" s="39"/>
      <c r="M85" s="40">
        <f t="shared" si="52"/>
        <v>0.12261879557071313</v>
      </c>
      <c r="N85" s="39"/>
      <c r="O85" s="72" t="str">
        <f t="shared" si="68"/>
        <v/>
      </c>
      <c r="P85" s="41" t="str">
        <f t="shared" si="53"/>
        <v/>
      </c>
      <c r="Q85" s="39"/>
      <c r="R85" s="72" t="str">
        <f t="shared" si="69"/>
        <v/>
      </c>
      <c r="S85" s="39"/>
      <c r="T85" s="72" t="str">
        <f t="shared" si="70"/>
        <v/>
      </c>
      <c r="U85" s="39"/>
      <c r="V85" s="72" t="str">
        <f t="shared" si="54"/>
        <v/>
      </c>
      <c r="W85" s="72" t="str">
        <f t="shared" si="71"/>
        <v/>
      </c>
      <c r="X85" s="39"/>
      <c r="Y85" s="72" t="str">
        <f t="shared" si="55"/>
        <v/>
      </c>
      <c r="Z85" s="72" t="str">
        <f t="shared" si="72"/>
        <v/>
      </c>
      <c r="AA85" s="39"/>
      <c r="AB85" s="72" t="str">
        <f t="shared" si="56"/>
        <v/>
      </c>
      <c r="AC85" s="72" t="str">
        <f t="shared" si="73"/>
        <v/>
      </c>
      <c r="AD85" s="39"/>
      <c r="AE85" s="72" t="str">
        <f t="shared" si="57"/>
        <v/>
      </c>
      <c r="AF85" s="72" t="str">
        <f t="shared" si="74"/>
        <v/>
      </c>
      <c r="AG85" s="39"/>
      <c r="AH85" s="72" t="str">
        <f t="shared" si="58"/>
        <v/>
      </c>
      <c r="AI85" s="72" t="str">
        <f t="shared" si="75"/>
        <v/>
      </c>
      <c r="AJ85" s="39"/>
      <c r="AK85" s="72" t="str">
        <f t="shared" si="59"/>
        <v/>
      </c>
      <c r="AL85" s="72" t="str">
        <f t="shared" si="76"/>
        <v/>
      </c>
      <c r="AM85" s="39"/>
      <c r="AN85" s="72" t="str">
        <f t="shared" si="60"/>
        <v/>
      </c>
      <c r="AO85" s="72" t="str">
        <f t="shared" si="77"/>
        <v/>
      </c>
      <c r="AP85" s="39"/>
      <c r="AQ85" s="72" t="str">
        <f t="shared" si="61"/>
        <v/>
      </c>
      <c r="AR85" s="72" t="str">
        <f t="shared" si="78"/>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62"/>
        <v/>
      </c>
      <c r="AW85" s="72" t="str">
        <f t="shared" si="79"/>
        <v/>
      </c>
      <c r="AX85" s="39"/>
      <c r="AY85" s="40" t="str">
        <f>IF(ISERROR(IF($K85&lt;=$F$15,VLOOKUP($I85,'表4）CO2価格'!$A$7:$E$67,VLOOKUP($F$48,'表4）CO2価格'!$H$10:$I$12,2,0),0)*$F$8/1000,"")),0,IF($K85&lt;=$F$15,VLOOKUP($I85,'表4）CO2価格'!$A$7:$E$67,VLOOKUP($F$48,'表4）CO2価格'!$H$10:$I$12,2,0),0)*$F$8/1000,""))</f>
        <v/>
      </c>
      <c r="AZ85" s="39"/>
      <c r="BA85" s="42" t="str">
        <f t="shared" si="63"/>
        <v/>
      </c>
      <c r="BB85" s="72" t="str">
        <f t="shared" si="80"/>
        <v/>
      </c>
      <c r="BC85" s="39"/>
      <c r="BD85" s="72" t="str">
        <f t="shared" si="64"/>
        <v/>
      </c>
      <c r="BE85" s="72" t="str">
        <f t="shared" si="81"/>
        <v/>
      </c>
      <c r="BF85" s="39"/>
      <c r="BG85" s="42" t="str">
        <f t="shared" si="65"/>
        <v/>
      </c>
      <c r="BH85" s="72" t="str">
        <f t="shared" si="82"/>
        <v/>
      </c>
      <c r="BI85" s="39"/>
      <c r="BJ85" s="40" t="str">
        <f t="shared" si="83"/>
        <v/>
      </c>
      <c r="BK85" s="157" t="str">
        <f t="shared" si="84"/>
        <v/>
      </c>
      <c r="BL85" s="157" t="str">
        <f t="shared" si="66"/>
        <v/>
      </c>
      <c r="BM85" s="72"/>
      <c r="BN85" s="72" t="str">
        <f t="shared" si="85"/>
        <v/>
      </c>
      <c r="BO85" s="72" t="str">
        <f t="shared" si="86"/>
        <v/>
      </c>
      <c r="BP85" s="39"/>
      <c r="BQ85" s="72" t="str">
        <f t="shared" si="67"/>
        <v/>
      </c>
      <c r="BR85" s="72" t="str">
        <f t="shared" si="87"/>
        <v/>
      </c>
    </row>
    <row r="86" spans="4:70" x14ac:dyDescent="0.15">
      <c r="F86" s="93"/>
      <c r="I86" s="459">
        <f t="shared" si="88"/>
        <v>2101</v>
      </c>
      <c r="J86" s="71"/>
      <c r="K86" s="71">
        <f t="shared" si="89"/>
        <v>72</v>
      </c>
      <c r="L86" s="71"/>
      <c r="M86" s="7">
        <f t="shared" si="52"/>
        <v>0.1190473743404982</v>
      </c>
      <c r="N86" s="71"/>
      <c r="O86" s="10" t="str">
        <f t="shared" si="68"/>
        <v/>
      </c>
      <c r="P86" s="29" t="str">
        <f t="shared" si="53"/>
        <v/>
      </c>
      <c r="Q86" s="71"/>
      <c r="R86" s="10" t="str">
        <f t="shared" si="69"/>
        <v/>
      </c>
      <c r="S86" s="71"/>
      <c r="T86" s="10" t="str">
        <f t="shared" si="70"/>
        <v/>
      </c>
      <c r="U86" s="71"/>
      <c r="V86" s="10" t="str">
        <f t="shared" si="54"/>
        <v/>
      </c>
      <c r="W86" s="10" t="str">
        <f t="shared" si="71"/>
        <v/>
      </c>
      <c r="X86" s="71"/>
      <c r="Y86" s="10" t="str">
        <f t="shared" si="55"/>
        <v/>
      </c>
      <c r="Z86" s="10" t="str">
        <f t="shared" si="72"/>
        <v/>
      </c>
      <c r="AA86" s="71"/>
      <c r="AB86" s="10" t="str">
        <f t="shared" si="56"/>
        <v/>
      </c>
      <c r="AC86" s="10" t="str">
        <f t="shared" si="73"/>
        <v/>
      </c>
      <c r="AD86" s="71"/>
      <c r="AE86" s="10" t="str">
        <f t="shared" si="57"/>
        <v/>
      </c>
      <c r="AF86" s="10" t="str">
        <f t="shared" si="74"/>
        <v/>
      </c>
      <c r="AG86" s="71"/>
      <c r="AH86" s="10" t="str">
        <f t="shared" si="58"/>
        <v/>
      </c>
      <c r="AI86" s="10" t="str">
        <f t="shared" si="75"/>
        <v/>
      </c>
      <c r="AJ86" s="71"/>
      <c r="AK86" s="10" t="str">
        <f t="shared" si="59"/>
        <v/>
      </c>
      <c r="AL86" s="10" t="str">
        <f t="shared" si="76"/>
        <v/>
      </c>
      <c r="AM86" s="71"/>
      <c r="AN86" s="10" t="str">
        <f t="shared" si="60"/>
        <v/>
      </c>
      <c r="AO86" s="10" t="str">
        <f t="shared" si="77"/>
        <v/>
      </c>
      <c r="AP86" s="71"/>
      <c r="AQ86" s="10" t="str">
        <f t="shared" si="61"/>
        <v/>
      </c>
      <c r="AR86" s="10" t="str">
        <f t="shared" si="78"/>
        <v/>
      </c>
      <c r="AS86" s="71"/>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U86" s="71"/>
      <c r="AV86" s="10" t="str">
        <f t="shared" si="62"/>
        <v/>
      </c>
      <c r="AW86" s="10" t="str">
        <f t="shared" si="79"/>
        <v/>
      </c>
      <c r="AX86" s="71"/>
      <c r="AY86" s="7" t="str">
        <f>IF(ISERROR(IF($K86&lt;=$F$15,VLOOKUP($I86,'表4）CO2価格'!$A$7:$E$67,VLOOKUP($F$48,'表4）CO2価格'!$H$10:$I$12,2,0),0)*$F$8/1000,"")),0,IF($K86&lt;=$F$15,VLOOKUP($I86,'表4）CO2価格'!$A$7:$E$67,VLOOKUP($F$48,'表4）CO2価格'!$H$10:$I$12,2,0),0)*$F$8/1000,""))</f>
        <v/>
      </c>
      <c r="AZ86" s="71"/>
      <c r="BA86" s="11" t="str">
        <f t="shared" si="63"/>
        <v/>
      </c>
      <c r="BB86" s="10" t="str">
        <f t="shared" si="80"/>
        <v/>
      </c>
      <c r="BC86" s="71"/>
      <c r="BD86" s="10" t="str">
        <f t="shared" si="64"/>
        <v/>
      </c>
      <c r="BE86" s="10" t="str">
        <f t="shared" si="81"/>
        <v/>
      </c>
      <c r="BF86" s="71"/>
      <c r="BG86" s="11" t="str">
        <f t="shared" si="65"/>
        <v/>
      </c>
      <c r="BH86" s="10" t="str">
        <f t="shared" si="82"/>
        <v/>
      </c>
      <c r="BJ86" s="7" t="str">
        <f t="shared" si="83"/>
        <v/>
      </c>
      <c r="BK86" s="158" t="str">
        <f t="shared" si="84"/>
        <v/>
      </c>
      <c r="BL86" s="158" t="str">
        <f t="shared" si="66"/>
        <v/>
      </c>
      <c r="BM86" s="10"/>
      <c r="BN86" s="10" t="str">
        <f t="shared" si="85"/>
        <v/>
      </c>
      <c r="BO86" s="10" t="str">
        <f t="shared" si="86"/>
        <v/>
      </c>
      <c r="BQ86" s="10" t="str">
        <f t="shared" si="67"/>
        <v/>
      </c>
      <c r="BR86" s="10" t="str">
        <f t="shared" si="87"/>
        <v/>
      </c>
    </row>
    <row r="87" spans="4:70" x14ac:dyDescent="0.15">
      <c r="E87" s="82" t="s">
        <v>232</v>
      </c>
      <c r="F87" s="91">
        <f>AI116/$BR$116</f>
        <v>3.1857279388340229</v>
      </c>
      <c r="G87" s="81" t="s">
        <v>132</v>
      </c>
      <c r="I87" s="458">
        <f t="shared" si="88"/>
        <v>2102</v>
      </c>
      <c r="J87" s="39"/>
      <c r="K87" s="39">
        <f t="shared" si="89"/>
        <v>73</v>
      </c>
      <c r="L87" s="39"/>
      <c r="M87" s="40">
        <f t="shared" si="52"/>
        <v>0.11557997508786232</v>
      </c>
      <c r="N87" s="39"/>
      <c r="O87" s="72" t="str">
        <f t="shared" si="68"/>
        <v/>
      </c>
      <c r="P87" s="41" t="str">
        <f t="shared" si="53"/>
        <v/>
      </c>
      <c r="Q87" s="39"/>
      <c r="R87" s="72" t="str">
        <f t="shared" si="69"/>
        <v/>
      </c>
      <c r="S87" s="39"/>
      <c r="T87" s="72" t="str">
        <f t="shared" si="70"/>
        <v/>
      </c>
      <c r="U87" s="39"/>
      <c r="V87" s="72" t="str">
        <f t="shared" si="54"/>
        <v/>
      </c>
      <c r="W87" s="72" t="str">
        <f t="shared" si="71"/>
        <v/>
      </c>
      <c r="X87" s="39"/>
      <c r="Y87" s="72" t="str">
        <f t="shared" si="55"/>
        <v/>
      </c>
      <c r="Z87" s="72" t="str">
        <f t="shared" si="72"/>
        <v/>
      </c>
      <c r="AA87" s="39"/>
      <c r="AB87" s="72" t="str">
        <f t="shared" si="56"/>
        <v/>
      </c>
      <c r="AC87" s="72" t="str">
        <f t="shared" si="73"/>
        <v/>
      </c>
      <c r="AD87" s="39"/>
      <c r="AE87" s="72" t="str">
        <f t="shared" si="57"/>
        <v/>
      </c>
      <c r="AF87" s="72" t="str">
        <f t="shared" si="74"/>
        <v/>
      </c>
      <c r="AG87" s="39"/>
      <c r="AH87" s="72" t="str">
        <f t="shared" si="58"/>
        <v/>
      </c>
      <c r="AI87" s="72" t="str">
        <f t="shared" si="75"/>
        <v/>
      </c>
      <c r="AJ87" s="39"/>
      <c r="AK87" s="72" t="str">
        <f t="shared" si="59"/>
        <v/>
      </c>
      <c r="AL87" s="72" t="str">
        <f t="shared" si="76"/>
        <v/>
      </c>
      <c r="AM87" s="39"/>
      <c r="AN87" s="72" t="str">
        <f t="shared" si="60"/>
        <v/>
      </c>
      <c r="AO87" s="72" t="str">
        <f t="shared" si="77"/>
        <v/>
      </c>
      <c r="AP87" s="39"/>
      <c r="AQ87" s="72" t="str">
        <f t="shared" si="61"/>
        <v/>
      </c>
      <c r="AR87" s="72" t="str">
        <f t="shared" si="78"/>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62"/>
        <v/>
      </c>
      <c r="AW87" s="72" t="str">
        <f t="shared" si="79"/>
        <v/>
      </c>
      <c r="AX87" s="39"/>
      <c r="AY87" s="40" t="str">
        <f>IF(ISERROR(IF($K87&lt;=$F$15,VLOOKUP($I87,'表4）CO2価格'!$A$7:$E$67,VLOOKUP($F$48,'表4）CO2価格'!$H$10:$I$12,2,0),0)*$F$8/1000,"")),0,IF($K87&lt;=$F$15,VLOOKUP($I87,'表4）CO2価格'!$A$7:$E$67,VLOOKUP($F$48,'表4）CO2価格'!$H$10:$I$12,2,0),0)*$F$8/1000,""))</f>
        <v/>
      </c>
      <c r="AZ87" s="39"/>
      <c r="BA87" s="42" t="str">
        <f t="shared" si="63"/>
        <v/>
      </c>
      <c r="BB87" s="72" t="str">
        <f t="shared" si="80"/>
        <v/>
      </c>
      <c r="BC87" s="39"/>
      <c r="BD87" s="72" t="str">
        <f t="shared" si="64"/>
        <v/>
      </c>
      <c r="BE87" s="72" t="str">
        <f t="shared" si="81"/>
        <v/>
      </c>
      <c r="BF87" s="39"/>
      <c r="BG87" s="42" t="str">
        <f t="shared" si="65"/>
        <v/>
      </c>
      <c r="BH87" s="72" t="str">
        <f t="shared" si="82"/>
        <v/>
      </c>
      <c r="BI87" s="39"/>
      <c r="BJ87" s="40" t="str">
        <f t="shared" si="83"/>
        <v/>
      </c>
      <c r="BK87" s="157" t="str">
        <f t="shared" si="84"/>
        <v/>
      </c>
      <c r="BL87" s="157" t="str">
        <f t="shared" si="66"/>
        <v/>
      </c>
      <c r="BM87" s="72"/>
      <c r="BN87" s="72" t="str">
        <f t="shared" si="85"/>
        <v/>
      </c>
      <c r="BO87" s="72" t="str">
        <f t="shared" si="86"/>
        <v/>
      </c>
      <c r="BP87" s="39"/>
      <c r="BQ87" s="72" t="str">
        <f t="shared" si="67"/>
        <v/>
      </c>
      <c r="BR87" s="72" t="str">
        <f t="shared" si="87"/>
        <v/>
      </c>
    </row>
    <row r="88" spans="4:70" x14ac:dyDescent="0.15">
      <c r="E88" s="82" t="s">
        <v>234</v>
      </c>
      <c r="F88" s="91">
        <f>AL116/$BR$116</f>
        <v>0</v>
      </c>
      <c r="G88" s="81" t="s">
        <v>132</v>
      </c>
      <c r="I88" s="459">
        <f t="shared" si="88"/>
        <v>2103</v>
      </c>
      <c r="J88" s="71"/>
      <c r="K88" s="71">
        <f t="shared" si="89"/>
        <v>74</v>
      </c>
      <c r="L88" s="71"/>
      <c r="M88" s="7">
        <f t="shared" si="52"/>
        <v>0.11221356804646829</v>
      </c>
      <c r="N88" s="71"/>
      <c r="O88" s="10" t="str">
        <f t="shared" si="68"/>
        <v/>
      </c>
      <c r="P88" s="29" t="str">
        <f t="shared" si="53"/>
        <v/>
      </c>
      <c r="Q88" s="71"/>
      <c r="R88" s="10" t="str">
        <f t="shared" si="69"/>
        <v/>
      </c>
      <c r="S88" s="71"/>
      <c r="T88" s="10" t="str">
        <f t="shared" si="70"/>
        <v/>
      </c>
      <c r="U88" s="71"/>
      <c r="V88" s="10" t="str">
        <f t="shared" si="54"/>
        <v/>
      </c>
      <c r="W88" s="10" t="str">
        <f t="shared" si="71"/>
        <v/>
      </c>
      <c r="X88" s="71"/>
      <c r="Y88" s="10" t="str">
        <f t="shared" si="55"/>
        <v/>
      </c>
      <c r="Z88" s="10" t="str">
        <f t="shared" si="72"/>
        <v/>
      </c>
      <c r="AA88" s="71"/>
      <c r="AB88" s="10" t="str">
        <f t="shared" si="56"/>
        <v/>
      </c>
      <c r="AC88" s="10" t="str">
        <f t="shared" si="73"/>
        <v/>
      </c>
      <c r="AD88" s="71"/>
      <c r="AE88" s="10" t="str">
        <f t="shared" si="57"/>
        <v/>
      </c>
      <c r="AF88" s="10" t="str">
        <f t="shared" si="74"/>
        <v/>
      </c>
      <c r="AG88" s="71"/>
      <c r="AH88" s="10" t="str">
        <f t="shared" si="58"/>
        <v/>
      </c>
      <c r="AI88" s="10" t="str">
        <f t="shared" si="75"/>
        <v/>
      </c>
      <c r="AJ88" s="71"/>
      <c r="AK88" s="10" t="str">
        <f t="shared" si="59"/>
        <v/>
      </c>
      <c r="AL88" s="10" t="str">
        <f t="shared" si="76"/>
        <v/>
      </c>
      <c r="AM88" s="71"/>
      <c r="AN88" s="10" t="str">
        <f t="shared" si="60"/>
        <v/>
      </c>
      <c r="AO88" s="10" t="str">
        <f t="shared" si="77"/>
        <v/>
      </c>
      <c r="AP88" s="71"/>
      <c r="AQ88" s="10" t="str">
        <f t="shared" si="61"/>
        <v/>
      </c>
      <c r="AR88" s="10" t="str">
        <f t="shared" si="78"/>
        <v/>
      </c>
      <c r="AS88" s="71"/>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U88" s="71"/>
      <c r="AV88" s="10" t="str">
        <f t="shared" si="62"/>
        <v/>
      </c>
      <c r="AW88" s="10" t="str">
        <f t="shared" si="79"/>
        <v/>
      </c>
      <c r="AX88" s="71"/>
      <c r="AY88" s="7" t="str">
        <f>IF(ISERROR(IF($K88&lt;=$F$15,VLOOKUP($I88,'表4）CO2価格'!$A$7:$E$67,VLOOKUP($F$48,'表4）CO2価格'!$H$10:$I$12,2,0),0)*$F$8/1000,"")),0,IF($K88&lt;=$F$15,VLOOKUP($I88,'表4）CO2価格'!$A$7:$E$67,VLOOKUP($F$48,'表4）CO2価格'!$H$10:$I$12,2,0),0)*$F$8/1000,""))</f>
        <v/>
      </c>
      <c r="AZ88" s="71"/>
      <c r="BA88" s="11" t="str">
        <f t="shared" si="63"/>
        <v/>
      </c>
      <c r="BB88" s="10" t="str">
        <f t="shared" si="80"/>
        <v/>
      </c>
      <c r="BC88" s="71"/>
      <c r="BD88" s="10" t="str">
        <f t="shared" si="64"/>
        <v/>
      </c>
      <c r="BE88" s="10" t="str">
        <f t="shared" si="81"/>
        <v/>
      </c>
      <c r="BF88" s="71"/>
      <c r="BG88" s="11" t="str">
        <f t="shared" si="65"/>
        <v/>
      </c>
      <c r="BH88" s="10" t="str">
        <f t="shared" si="82"/>
        <v/>
      </c>
      <c r="BJ88" s="7" t="str">
        <f t="shared" si="83"/>
        <v/>
      </c>
      <c r="BK88" s="158" t="str">
        <f t="shared" si="84"/>
        <v/>
      </c>
      <c r="BL88" s="158" t="str">
        <f t="shared" si="66"/>
        <v/>
      </c>
      <c r="BM88" s="10"/>
      <c r="BN88" s="10" t="str">
        <f t="shared" si="85"/>
        <v/>
      </c>
      <c r="BO88" s="10" t="str">
        <f t="shared" si="86"/>
        <v/>
      </c>
      <c r="BQ88" s="10" t="str">
        <f t="shared" si="67"/>
        <v/>
      </c>
      <c r="BR88" s="10" t="str">
        <f t="shared" si="87"/>
        <v/>
      </c>
    </row>
    <row r="89" spans="4:70" x14ac:dyDescent="0.15">
      <c r="E89" s="82" t="s">
        <v>235</v>
      </c>
      <c r="F89" s="91">
        <f>AO116/$BR$116</f>
        <v>0</v>
      </c>
      <c r="G89" s="81" t="s">
        <v>132</v>
      </c>
      <c r="I89" s="458">
        <f t="shared" si="88"/>
        <v>2104</v>
      </c>
      <c r="J89" s="39"/>
      <c r="K89" s="39">
        <f t="shared" si="89"/>
        <v>75</v>
      </c>
      <c r="L89" s="39"/>
      <c r="M89" s="40">
        <f t="shared" si="52"/>
        <v>0.10894521169560026</v>
      </c>
      <c r="N89" s="39"/>
      <c r="O89" s="72" t="str">
        <f t="shared" si="68"/>
        <v/>
      </c>
      <c r="P89" s="41" t="str">
        <f t="shared" si="53"/>
        <v/>
      </c>
      <c r="Q89" s="39"/>
      <c r="R89" s="72" t="str">
        <f t="shared" si="69"/>
        <v/>
      </c>
      <c r="S89" s="39"/>
      <c r="T89" s="72" t="str">
        <f t="shared" si="70"/>
        <v/>
      </c>
      <c r="U89" s="39"/>
      <c r="V89" s="72" t="str">
        <f t="shared" si="54"/>
        <v/>
      </c>
      <c r="W89" s="72" t="str">
        <f t="shared" si="71"/>
        <v/>
      </c>
      <c r="X89" s="39"/>
      <c r="Y89" s="72" t="str">
        <f t="shared" si="55"/>
        <v/>
      </c>
      <c r="Z89" s="72" t="str">
        <f t="shared" si="72"/>
        <v/>
      </c>
      <c r="AA89" s="39"/>
      <c r="AB89" s="72" t="str">
        <f t="shared" si="56"/>
        <v/>
      </c>
      <c r="AC89" s="72" t="str">
        <f t="shared" si="73"/>
        <v/>
      </c>
      <c r="AD89" s="39"/>
      <c r="AE89" s="72" t="str">
        <f t="shared" si="57"/>
        <v/>
      </c>
      <c r="AF89" s="72" t="str">
        <f t="shared" si="74"/>
        <v/>
      </c>
      <c r="AG89" s="39"/>
      <c r="AH89" s="72" t="str">
        <f t="shared" si="58"/>
        <v/>
      </c>
      <c r="AI89" s="72" t="str">
        <f t="shared" si="75"/>
        <v/>
      </c>
      <c r="AJ89" s="39"/>
      <c r="AK89" s="72" t="str">
        <f t="shared" si="59"/>
        <v/>
      </c>
      <c r="AL89" s="72" t="str">
        <f t="shared" si="76"/>
        <v/>
      </c>
      <c r="AM89" s="39"/>
      <c r="AN89" s="72" t="str">
        <f t="shared" si="60"/>
        <v/>
      </c>
      <c r="AO89" s="72" t="str">
        <f t="shared" si="77"/>
        <v/>
      </c>
      <c r="AP89" s="39"/>
      <c r="AQ89" s="72" t="str">
        <f t="shared" si="61"/>
        <v/>
      </c>
      <c r="AR89" s="72" t="str">
        <f t="shared" si="78"/>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62"/>
        <v/>
      </c>
      <c r="AW89" s="72" t="str">
        <f t="shared" si="79"/>
        <v/>
      </c>
      <c r="AX89" s="39"/>
      <c r="AY89" s="40" t="str">
        <f>IF(ISERROR(IF($K89&lt;=$F$15,VLOOKUP($I89,'表4）CO2価格'!$A$7:$E$67,VLOOKUP($F$48,'表4）CO2価格'!$H$10:$I$12,2,0),0)*$F$8/1000,"")),0,IF($K89&lt;=$F$15,VLOOKUP($I89,'表4）CO2価格'!$A$7:$E$67,VLOOKUP($F$48,'表4）CO2価格'!$H$10:$I$12,2,0),0)*$F$8/1000,""))</f>
        <v/>
      </c>
      <c r="AZ89" s="39"/>
      <c r="BA89" s="42" t="str">
        <f t="shared" si="63"/>
        <v/>
      </c>
      <c r="BB89" s="72" t="str">
        <f t="shared" si="80"/>
        <v/>
      </c>
      <c r="BC89" s="39"/>
      <c r="BD89" s="72" t="str">
        <f t="shared" si="64"/>
        <v/>
      </c>
      <c r="BE89" s="72" t="str">
        <f t="shared" si="81"/>
        <v/>
      </c>
      <c r="BF89" s="39"/>
      <c r="BG89" s="42" t="str">
        <f t="shared" si="65"/>
        <v/>
      </c>
      <c r="BH89" s="72" t="str">
        <f t="shared" si="82"/>
        <v/>
      </c>
      <c r="BI89" s="39"/>
      <c r="BJ89" s="40" t="str">
        <f t="shared" si="83"/>
        <v/>
      </c>
      <c r="BK89" s="157" t="str">
        <f t="shared" si="84"/>
        <v/>
      </c>
      <c r="BL89" s="157" t="str">
        <f t="shared" si="66"/>
        <v/>
      </c>
      <c r="BM89" s="72"/>
      <c r="BN89" s="72" t="str">
        <f t="shared" si="85"/>
        <v/>
      </c>
      <c r="BO89" s="72" t="str">
        <f t="shared" si="86"/>
        <v/>
      </c>
      <c r="BP89" s="39"/>
      <c r="BQ89" s="72" t="str">
        <f t="shared" si="67"/>
        <v/>
      </c>
      <c r="BR89" s="72" t="str">
        <f t="shared" si="87"/>
        <v/>
      </c>
    </row>
    <row r="90" spans="4:70" x14ac:dyDescent="0.15">
      <c r="E90" s="82" t="s">
        <v>236</v>
      </c>
      <c r="F90" s="91">
        <f>AR116/$BR$116</f>
        <v>0</v>
      </c>
      <c r="G90" s="81" t="s">
        <v>132</v>
      </c>
      <c r="I90" s="459">
        <f t="shared" si="88"/>
        <v>2105</v>
      </c>
      <c r="J90" s="71"/>
      <c r="K90" s="71">
        <f t="shared" si="89"/>
        <v>76</v>
      </c>
      <c r="L90" s="71"/>
      <c r="M90" s="7">
        <f t="shared" si="52"/>
        <v>0.10577205018990318</v>
      </c>
      <c r="N90" s="71"/>
      <c r="O90" s="10" t="str">
        <f t="shared" si="68"/>
        <v/>
      </c>
      <c r="P90" s="29" t="str">
        <f t="shared" si="53"/>
        <v/>
      </c>
      <c r="Q90" s="71"/>
      <c r="R90" s="10" t="str">
        <f t="shared" si="69"/>
        <v/>
      </c>
      <c r="S90" s="71"/>
      <c r="T90" s="10" t="str">
        <f t="shared" si="70"/>
        <v/>
      </c>
      <c r="U90" s="71"/>
      <c r="V90" s="10" t="str">
        <f t="shared" si="54"/>
        <v/>
      </c>
      <c r="W90" s="10" t="str">
        <f t="shared" si="71"/>
        <v/>
      </c>
      <c r="X90" s="71"/>
      <c r="Y90" s="10" t="str">
        <f t="shared" si="55"/>
        <v/>
      </c>
      <c r="Z90" s="10" t="str">
        <f t="shared" si="72"/>
        <v/>
      </c>
      <c r="AA90" s="71"/>
      <c r="AB90" s="10" t="str">
        <f t="shared" si="56"/>
        <v/>
      </c>
      <c r="AC90" s="10" t="str">
        <f t="shared" si="73"/>
        <v/>
      </c>
      <c r="AD90" s="71"/>
      <c r="AE90" s="10" t="str">
        <f t="shared" si="57"/>
        <v/>
      </c>
      <c r="AF90" s="10" t="str">
        <f t="shared" si="74"/>
        <v/>
      </c>
      <c r="AG90" s="71"/>
      <c r="AH90" s="10" t="str">
        <f t="shared" si="58"/>
        <v/>
      </c>
      <c r="AI90" s="10" t="str">
        <f t="shared" si="75"/>
        <v/>
      </c>
      <c r="AJ90" s="71"/>
      <c r="AK90" s="10" t="str">
        <f t="shared" si="59"/>
        <v/>
      </c>
      <c r="AL90" s="10" t="str">
        <f t="shared" si="76"/>
        <v/>
      </c>
      <c r="AM90" s="71"/>
      <c r="AN90" s="10" t="str">
        <f t="shared" si="60"/>
        <v/>
      </c>
      <c r="AO90" s="10" t="str">
        <f t="shared" si="77"/>
        <v/>
      </c>
      <c r="AP90" s="71"/>
      <c r="AQ90" s="10" t="str">
        <f t="shared" si="61"/>
        <v/>
      </c>
      <c r="AR90" s="10" t="str">
        <f t="shared" si="78"/>
        <v/>
      </c>
      <c r="AS90" s="71"/>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U90" s="71"/>
      <c r="AV90" s="10" t="str">
        <f t="shared" si="62"/>
        <v/>
      </c>
      <c r="AW90" s="10" t="str">
        <f t="shared" si="79"/>
        <v/>
      </c>
      <c r="AX90" s="71"/>
      <c r="AY90" s="7" t="str">
        <f>IF(ISERROR(IF($K90&lt;=$F$15,VLOOKUP($I90,'表4）CO2価格'!$A$7:$E$67,VLOOKUP($F$48,'表4）CO2価格'!$H$10:$I$12,2,0),0)*$F$8/1000,"")),0,IF($K90&lt;=$F$15,VLOOKUP($I90,'表4）CO2価格'!$A$7:$E$67,VLOOKUP($F$48,'表4）CO2価格'!$H$10:$I$12,2,0),0)*$F$8/1000,""))</f>
        <v/>
      </c>
      <c r="AZ90" s="71"/>
      <c r="BA90" s="11" t="str">
        <f t="shared" si="63"/>
        <v/>
      </c>
      <c r="BB90" s="10" t="str">
        <f t="shared" si="80"/>
        <v/>
      </c>
      <c r="BC90" s="71"/>
      <c r="BD90" s="10" t="str">
        <f t="shared" si="64"/>
        <v/>
      </c>
      <c r="BE90" s="10" t="str">
        <f t="shared" si="81"/>
        <v/>
      </c>
      <c r="BF90" s="71"/>
      <c r="BG90" s="11" t="str">
        <f t="shared" si="65"/>
        <v/>
      </c>
      <c r="BH90" s="10" t="str">
        <f t="shared" si="82"/>
        <v/>
      </c>
      <c r="BJ90" s="7" t="str">
        <f t="shared" si="83"/>
        <v/>
      </c>
      <c r="BK90" s="158" t="str">
        <f t="shared" si="84"/>
        <v/>
      </c>
      <c r="BL90" s="158" t="str">
        <f t="shared" si="66"/>
        <v/>
      </c>
      <c r="BM90" s="10"/>
      <c r="BN90" s="10" t="str">
        <f t="shared" si="85"/>
        <v/>
      </c>
      <c r="BO90" s="10" t="str">
        <f t="shared" si="86"/>
        <v/>
      </c>
      <c r="BQ90" s="10" t="str">
        <f t="shared" si="67"/>
        <v/>
      </c>
      <c r="BR90" s="10" t="str">
        <f t="shared" si="87"/>
        <v/>
      </c>
    </row>
    <row r="91" spans="4:70" x14ac:dyDescent="0.15">
      <c r="F91" s="93"/>
      <c r="I91" s="458">
        <f t="shared" si="88"/>
        <v>2106</v>
      </c>
      <c r="J91" s="39"/>
      <c r="K91" s="39">
        <f t="shared" si="89"/>
        <v>77</v>
      </c>
      <c r="L91" s="39"/>
      <c r="M91" s="40">
        <f t="shared" si="52"/>
        <v>0.10269131086398368</v>
      </c>
      <c r="N91" s="39"/>
      <c r="O91" s="72" t="str">
        <f t="shared" si="68"/>
        <v/>
      </c>
      <c r="P91" s="41" t="str">
        <f t="shared" si="53"/>
        <v/>
      </c>
      <c r="Q91" s="39"/>
      <c r="R91" s="72" t="str">
        <f t="shared" si="69"/>
        <v/>
      </c>
      <c r="S91" s="39"/>
      <c r="T91" s="72" t="str">
        <f t="shared" si="70"/>
        <v/>
      </c>
      <c r="U91" s="39"/>
      <c r="V91" s="72" t="str">
        <f t="shared" si="54"/>
        <v/>
      </c>
      <c r="W91" s="72" t="str">
        <f t="shared" si="71"/>
        <v/>
      </c>
      <c r="X91" s="39"/>
      <c r="Y91" s="72" t="str">
        <f t="shared" si="55"/>
        <v/>
      </c>
      <c r="Z91" s="72" t="str">
        <f t="shared" si="72"/>
        <v/>
      </c>
      <c r="AA91" s="39"/>
      <c r="AB91" s="72" t="str">
        <f t="shared" si="56"/>
        <v/>
      </c>
      <c r="AC91" s="72" t="str">
        <f t="shared" si="73"/>
        <v/>
      </c>
      <c r="AD91" s="39"/>
      <c r="AE91" s="72" t="str">
        <f t="shared" si="57"/>
        <v/>
      </c>
      <c r="AF91" s="72" t="str">
        <f t="shared" si="74"/>
        <v/>
      </c>
      <c r="AG91" s="39"/>
      <c r="AH91" s="72" t="str">
        <f t="shared" si="58"/>
        <v/>
      </c>
      <c r="AI91" s="72" t="str">
        <f t="shared" si="75"/>
        <v/>
      </c>
      <c r="AJ91" s="39"/>
      <c r="AK91" s="72" t="str">
        <f t="shared" si="59"/>
        <v/>
      </c>
      <c r="AL91" s="72" t="str">
        <f t="shared" si="76"/>
        <v/>
      </c>
      <c r="AM91" s="39"/>
      <c r="AN91" s="72" t="str">
        <f t="shared" si="60"/>
        <v/>
      </c>
      <c r="AO91" s="72" t="str">
        <f t="shared" si="77"/>
        <v/>
      </c>
      <c r="AP91" s="39"/>
      <c r="AQ91" s="72" t="str">
        <f t="shared" si="61"/>
        <v/>
      </c>
      <c r="AR91" s="72" t="str">
        <f t="shared" si="78"/>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62"/>
        <v/>
      </c>
      <c r="AW91" s="72" t="str">
        <f t="shared" si="79"/>
        <v/>
      </c>
      <c r="AX91" s="39"/>
      <c r="AY91" s="40" t="str">
        <f>IF(ISERROR(IF($K91&lt;=$F$15,VLOOKUP($I91,'表4）CO2価格'!$A$7:$E$67,VLOOKUP($F$48,'表4）CO2価格'!$H$10:$I$12,2,0),0)*$F$8/1000,"")),0,IF($K91&lt;=$F$15,VLOOKUP($I91,'表4）CO2価格'!$A$7:$E$67,VLOOKUP($F$48,'表4）CO2価格'!$H$10:$I$12,2,0),0)*$F$8/1000,""))</f>
        <v/>
      </c>
      <c r="AZ91" s="39"/>
      <c r="BA91" s="42" t="str">
        <f t="shared" si="63"/>
        <v/>
      </c>
      <c r="BB91" s="72" t="str">
        <f t="shared" si="80"/>
        <v/>
      </c>
      <c r="BC91" s="39"/>
      <c r="BD91" s="72" t="str">
        <f t="shared" si="64"/>
        <v/>
      </c>
      <c r="BE91" s="72" t="str">
        <f t="shared" si="81"/>
        <v/>
      </c>
      <c r="BF91" s="39"/>
      <c r="BG91" s="42" t="str">
        <f t="shared" si="65"/>
        <v/>
      </c>
      <c r="BH91" s="72" t="str">
        <f t="shared" si="82"/>
        <v/>
      </c>
      <c r="BI91" s="39"/>
      <c r="BJ91" s="40" t="str">
        <f t="shared" si="83"/>
        <v/>
      </c>
      <c r="BK91" s="157" t="str">
        <f t="shared" si="84"/>
        <v/>
      </c>
      <c r="BL91" s="157" t="str">
        <f t="shared" si="66"/>
        <v/>
      </c>
      <c r="BM91" s="72"/>
      <c r="BN91" s="72" t="str">
        <f t="shared" si="85"/>
        <v/>
      </c>
      <c r="BO91" s="72" t="str">
        <f t="shared" si="86"/>
        <v/>
      </c>
      <c r="BP91" s="39"/>
      <c r="BQ91" s="72" t="str">
        <f t="shared" si="67"/>
        <v/>
      </c>
      <c r="BR91" s="72" t="str">
        <f t="shared" si="87"/>
        <v/>
      </c>
    </row>
    <row r="92" spans="4:70" ht="15" x14ac:dyDescent="0.15">
      <c r="D92" s="116" t="s">
        <v>196</v>
      </c>
      <c r="F92" s="94">
        <f>SUBTOTAL(9,F96:F97)</f>
        <v>0</v>
      </c>
      <c r="I92" s="459">
        <f t="shared" si="88"/>
        <v>2107</v>
      </c>
      <c r="J92" s="71"/>
      <c r="K92" s="71">
        <f t="shared" si="89"/>
        <v>78</v>
      </c>
      <c r="L92" s="71"/>
      <c r="M92" s="7">
        <f t="shared" si="52"/>
        <v>9.9700301809692873E-2</v>
      </c>
      <c r="N92" s="71"/>
      <c r="O92" s="10" t="str">
        <f t="shared" si="68"/>
        <v/>
      </c>
      <c r="P92" s="29" t="str">
        <f t="shared" si="53"/>
        <v/>
      </c>
      <c r="Q92" s="71"/>
      <c r="R92" s="10" t="str">
        <f t="shared" si="69"/>
        <v/>
      </c>
      <c r="S92" s="71"/>
      <c r="T92" s="10" t="str">
        <f t="shared" si="70"/>
        <v/>
      </c>
      <c r="U92" s="71"/>
      <c r="V92" s="10" t="str">
        <f t="shared" si="54"/>
        <v/>
      </c>
      <c r="W92" s="10" t="str">
        <f t="shared" si="71"/>
        <v/>
      </c>
      <c r="X92" s="71"/>
      <c r="Y92" s="10" t="str">
        <f t="shared" si="55"/>
        <v/>
      </c>
      <c r="Z92" s="10" t="str">
        <f t="shared" si="72"/>
        <v/>
      </c>
      <c r="AA92" s="71"/>
      <c r="AB92" s="10" t="str">
        <f t="shared" si="56"/>
        <v/>
      </c>
      <c r="AC92" s="10" t="str">
        <f t="shared" si="73"/>
        <v/>
      </c>
      <c r="AD92" s="71"/>
      <c r="AE92" s="10" t="str">
        <f t="shared" si="57"/>
        <v/>
      </c>
      <c r="AF92" s="10" t="str">
        <f t="shared" si="74"/>
        <v/>
      </c>
      <c r="AG92" s="71"/>
      <c r="AH92" s="10" t="str">
        <f t="shared" si="58"/>
        <v/>
      </c>
      <c r="AI92" s="10" t="str">
        <f t="shared" si="75"/>
        <v/>
      </c>
      <c r="AJ92" s="71"/>
      <c r="AK92" s="10" t="str">
        <f t="shared" si="59"/>
        <v/>
      </c>
      <c r="AL92" s="10" t="str">
        <f t="shared" si="76"/>
        <v/>
      </c>
      <c r="AM92" s="71"/>
      <c r="AN92" s="10" t="str">
        <f t="shared" si="60"/>
        <v/>
      </c>
      <c r="AO92" s="10" t="str">
        <f t="shared" si="77"/>
        <v/>
      </c>
      <c r="AP92" s="71"/>
      <c r="AQ92" s="10" t="str">
        <f t="shared" si="61"/>
        <v/>
      </c>
      <c r="AR92" s="10" t="str">
        <f t="shared" si="78"/>
        <v/>
      </c>
      <c r="AS92" s="71"/>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U92" s="71"/>
      <c r="AV92" s="10" t="str">
        <f t="shared" si="62"/>
        <v/>
      </c>
      <c r="AW92" s="10" t="str">
        <f t="shared" si="79"/>
        <v/>
      </c>
      <c r="AX92" s="71"/>
      <c r="AY92" s="7" t="str">
        <f>IF(ISERROR(IF($K92&lt;=$F$15,VLOOKUP($I92,'表4）CO2価格'!$A$7:$E$67,VLOOKUP($F$48,'表4）CO2価格'!$H$10:$I$12,2,0),0)*$F$8/1000,"")),0,IF($K92&lt;=$F$15,VLOOKUP($I92,'表4）CO2価格'!$A$7:$E$67,VLOOKUP($F$48,'表4）CO2価格'!$H$10:$I$12,2,0),0)*$F$8/1000,""))</f>
        <v/>
      </c>
      <c r="AZ92" s="71"/>
      <c r="BA92" s="11" t="str">
        <f t="shared" si="63"/>
        <v/>
      </c>
      <c r="BB92" s="10" t="str">
        <f t="shared" si="80"/>
        <v/>
      </c>
      <c r="BC92" s="71"/>
      <c r="BD92" s="10" t="str">
        <f t="shared" si="64"/>
        <v/>
      </c>
      <c r="BE92" s="10" t="str">
        <f t="shared" si="81"/>
        <v/>
      </c>
      <c r="BF92" s="71"/>
      <c r="BG92" s="11" t="str">
        <f t="shared" si="65"/>
        <v/>
      </c>
      <c r="BH92" s="10" t="str">
        <f t="shared" si="82"/>
        <v/>
      </c>
      <c r="BJ92" s="7" t="str">
        <f t="shared" si="83"/>
        <v/>
      </c>
      <c r="BK92" s="158" t="str">
        <f t="shared" si="84"/>
        <v/>
      </c>
      <c r="BL92" s="158" t="str">
        <f t="shared" si="66"/>
        <v/>
      </c>
      <c r="BM92" s="10"/>
      <c r="BN92" s="10" t="str">
        <f t="shared" si="85"/>
        <v/>
      </c>
      <c r="BO92" s="10" t="str">
        <f t="shared" si="86"/>
        <v/>
      </c>
      <c r="BQ92" s="10" t="str">
        <f t="shared" si="67"/>
        <v/>
      </c>
      <c r="BR92" s="10" t="str">
        <f t="shared" si="87"/>
        <v/>
      </c>
    </row>
    <row r="93" spans="4:70" ht="15" x14ac:dyDescent="0.15">
      <c r="D93" s="116"/>
      <c r="F93" s="93"/>
      <c r="I93" s="458">
        <f t="shared" si="88"/>
        <v>2108</v>
      </c>
      <c r="J93" s="39"/>
      <c r="K93" s="39">
        <f t="shared" si="89"/>
        <v>79</v>
      </c>
      <c r="L93" s="39"/>
      <c r="M93" s="40">
        <f t="shared" si="52"/>
        <v>9.679640952397367E-2</v>
      </c>
      <c r="N93" s="39"/>
      <c r="O93" s="72" t="str">
        <f t="shared" si="68"/>
        <v/>
      </c>
      <c r="P93" s="41" t="str">
        <f t="shared" si="53"/>
        <v/>
      </c>
      <c r="Q93" s="39"/>
      <c r="R93" s="72" t="str">
        <f t="shared" si="69"/>
        <v/>
      </c>
      <c r="S93" s="39"/>
      <c r="T93" s="72" t="str">
        <f t="shared" si="70"/>
        <v/>
      </c>
      <c r="U93" s="39"/>
      <c r="V93" s="72" t="str">
        <f t="shared" si="54"/>
        <v/>
      </c>
      <c r="W93" s="72" t="str">
        <f t="shared" si="71"/>
        <v/>
      </c>
      <c r="X93" s="39"/>
      <c r="Y93" s="72" t="str">
        <f t="shared" si="55"/>
        <v/>
      </c>
      <c r="Z93" s="72" t="str">
        <f t="shared" si="72"/>
        <v/>
      </c>
      <c r="AA93" s="39"/>
      <c r="AB93" s="72" t="str">
        <f t="shared" si="56"/>
        <v/>
      </c>
      <c r="AC93" s="72" t="str">
        <f t="shared" si="73"/>
        <v/>
      </c>
      <c r="AD93" s="39"/>
      <c r="AE93" s="72" t="str">
        <f t="shared" si="57"/>
        <v/>
      </c>
      <c r="AF93" s="72" t="str">
        <f t="shared" si="74"/>
        <v/>
      </c>
      <c r="AG93" s="39"/>
      <c r="AH93" s="72" t="str">
        <f t="shared" si="58"/>
        <v/>
      </c>
      <c r="AI93" s="72" t="str">
        <f t="shared" si="75"/>
        <v/>
      </c>
      <c r="AJ93" s="39"/>
      <c r="AK93" s="72" t="str">
        <f t="shared" si="59"/>
        <v/>
      </c>
      <c r="AL93" s="72" t="str">
        <f t="shared" si="76"/>
        <v/>
      </c>
      <c r="AM93" s="39"/>
      <c r="AN93" s="72" t="str">
        <f t="shared" si="60"/>
        <v/>
      </c>
      <c r="AO93" s="72" t="str">
        <f t="shared" si="77"/>
        <v/>
      </c>
      <c r="AP93" s="39"/>
      <c r="AQ93" s="72" t="str">
        <f t="shared" si="61"/>
        <v/>
      </c>
      <c r="AR93" s="72" t="str">
        <f t="shared" si="78"/>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62"/>
        <v/>
      </c>
      <c r="AW93" s="72" t="str">
        <f t="shared" si="79"/>
        <v/>
      </c>
      <c r="AX93" s="39"/>
      <c r="AY93" s="40" t="str">
        <f>IF(ISERROR(IF($K93&lt;=$F$15,VLOOKUP($I93,'表4）CO2価格'!$A$7:$E$67,VLOOKUP($F$48,'表4）CO2価格'!$H$10:$I$12,2,0),0)*$F$8/1000,"")),0,IF($K93&lt;=$F$15,VLOOKUP($I93,'表4）CO2価格'!$A$7:$E$67,VLOOKUP($F$48,'表4）CO2価格'!$H$10:$I$12,2,0),0)*$F$8/1000,""))</f>
        <v/>
      </c>
      <c r="AZ93" s="39"/>
      <c r="BA93" s="42" t="str">
        <f t="shared" si="63"/>
        <v/>
      </c>
      <c r="BB93" s="72" t="str">
        <f t="shared" si="80"/>
        <v/>
      </c>
      <c r="BC93" s="39"/>
      <c r="BD93" s="72" t="str">
        <f t="shared" si="64"/>
        <v/>
      </c>
      <c r="BE93" s="72" t="str">
        <f t="shared" si="81"/>
        <v/>
      </c>
      <c r="BF93" s="39"/>
      <c r="BG93" s="42" t="str">
        <f t="shared" si="65"/>
        <v/>
      </c>
      <c r="BH93" s="72" t="str">
        <f t="shared" si="82"/>
        <v/>
      </c>
      <c r="BI93" s="39"/>
      <c r="BJ93" s="40" t="str">
        <f t="shared" si="83"/>
        <v/>
      </c>
      <c r="BK93" s="157" t="str">
        <f t="shared" si="84"/>
        <v/>
      </c>
      <c r="BL93" s="157" t="str">
        <f t="shared" si="66"/>
        <v/>
      </c>
      <c r="BM93" s="72"/>
      <c r="BN93" s="72" t="str">
        <f t="shared" si="85"/>
        <v/>
      </c>
      <c r="BO93" s="72" t="str">
        <f t="shared" si="86"/>
        <v/>
      </c>
      <c r="BP93" s="39"/>
      <c r="BQ93" s="72" t="str">
        <f t="shared" si="67"/>
        <v/>
      </c>
      <c r="BR93" s="72" t="str">
        <f t="shared" si="87"/>
        <v/>
      </c>
    </row>
    <row r="94" spans="4:70" x14ac:dyDescent="0.15">
      <c r="D94" s="101" t="s">
        <v>197</v>
      </c>
      <c r="E94" s="101"/>
      <c r="F94" s="92"/>
      <c r="G94" s="101"/>
      <c r="I94" s="459">
        <f t="shared" si="88"/>
        <v>2109</v>
      </c>
      <c r="J94" s="71"/>
      <c r="K94" s="71">
        <f t="shared" si="89"/>
        <v>80</v>
      </c>
      <c r="L94" s="71"/>
      <c r="M94" s="7">
        <f t="shared" si="52"/>
        <v>9.3977096625217166E-2</v>
      </c>
      <c r="N94" s="71"/>
      <c r="O94" s="10" t="str">
        <f t="shared" si="68"/>
        <v/>
      </c>
      <c r="P94" s="29" t="str">
        <f t="shared" si="53"/>
        <v/>
      </c>
      <c r="Q94" s="71"/>
      <c r="R94" s="10" t="str">
        <f t="shared" si="69"/>
        <v/>
      </c>
      <c r="S94" s="71"/>
      <c r="T94" s="10" t="str">
        <f t="shared" si="70"/>
        <v/>
      </c>
      <c r="U94" s="71"/>
      <c r="V94" s="10" t="str">
        <f t="shared" si="54"/>
        <v/>
      </c>
      <c r="W94" s="10" t="str">
        <f t="shared" si="71"/>
        <v/>
      </c>
      <c r="X94" s="71"/>
      <c r="Y94" s="10" t="str">
        <f t="shared" si="55"/>
        <v/>
      </c>
      <c r="Z94" s="10" t="str">
        <f t="shared" si="72"/>
        <v/>
      </c>
      <c r="AA94" s="71"/>
      <c r="AB94" s="10" t="str">
        <f t="shared" si="56"/>
        <v/>
      </c>
      <c r="AC94" s="10" t="str">
        <f t="shared" si="73"/>
        <v/>
      </c>
      <c r="AD94" s="71"/>
      <c r="AE94" s="10" t="str">
        <f t="shared" si="57"/>
        <v/>
      </c>
      <c r="AF94" s="10" t="str">
        <f t="shared" si="74"/>
        <v/>
      </c>
      <c r="AG94" s="71"/>
      <c r="AH94" s="10" t="str">
        <f t="shared" si="58"/>
        <v/>
      </c>
      <c r="AI94" s="10" t="str">
        <f t="shared" si="75"/>
        <v/>
      </c>
      <c r="AJ94" s="71"/>
      <c r="AK94" s="10" t="str">
        <f t="shared" si="59"/>
        <v/>
      </c>
      <c r="AL94" s="10" t="str">
        <f t="shared" si="76"/>
        <v/>
      </c>
      <c r="AM94" s="71"/>
      <c r="AN94" s="10" t="str">
        <f t="shared" si="60"/>
        <v/>
      </c>
      <c r="AO94" s="10" t="str">
        <f t="shared" si="77"/>
        <v/>
      </c>
      <c r="AP94" s="71"/>
      <c r="AQ94" s="10" t="str">
        <f t="shared" si="61"/>
        <v/>
      </c>
      <c r="AR94" s="10" t="str">
        <f t="shared" si="78"/>
        <v/>
      </c>
      <c r="AS94" s="71"/>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U94" s="71"/>
      <c r="AV94" s="10" t="str">
        <f t="shared" si="62"/>
        <v/>
      </c>
      <c r="AW94" s="10" t="str">
        <f t="shared" si="79"/>
        <v/>
      </c>
      <c r="AX94" s="71"/>
      <c r="AY94" s="7" t="str">
        <f>IF(ISERROR(IF($K94&lt;=$F$15,VLOOKUP($I94,'表4）CO2価格'!$A$7:$E$67,VLOOKUP($F$48,'表4）CO2価格'!$H$10:$I$12,2,0),0)*$F$8/1000,"")),0,IF($K94&lt;=$F$15,VLOOKUP($I94,'表4）CO2価格'!$A$7:$E$67,VLOOKUP($F$48,'表4）CO2価格'!$H$10:$I$12,2,0),0)*$F$8/1000,""))</f>
        <v/>
      </c>
      <c r="AZ94" s="71"/>
      <c r="BA94" s="11" t="str">
        <f t="shared" si="63"/>
        <v/>
      </c>
      <c r="BB94" s="10" t="str">
        <f t="shared" si="80"/>
        <v/>
      </c>
      <c r="BC94" s="71"/>
      <c r="BD94" s="10" t="str">
        <f t="shared" si="64"/>
        <v/>
      </c>
      <c r="BE94" s="10" t="str">
        <f t="shared" si="81"/>
        <v/>
      </c>
      <c r="BF94" s="71"/>
      <c r="BG94" s="11" t="str">
        <f t="shared" si="65"/>
        <v/>
      </c>
      <c r="BH94" s="10" t="str">
        <f t="shared" si="82"/>
        <v/>
      </c>
      <c r="BJ94" s="7" t="str">
        <f t="shared" si="83"/>
        <v/>
      </c>
      <c r="BK94" s="158" t="str">
        <f t="shared" si="84"/>
        <v/>
      </c>
      <c r="BL94" s="158" t="str">
        <f t="shared" si="66"/>
        <v/>
      </c>
      <c r="BM94" s="10"/>
      <c r="BN94" s="10" t="str">
        <f t="shared" si="85"/>
        <v/>
      </c>
      <c r="BO94" s="10" t="str">
        <f t="shared" si="86"/>
        <v/>
      </c>
      <c r="BQ94" s="10" t="str">
        <f t="shared" si="67"/>
        <v/>
      </c>
      <c r="BR94" s="10" t="str">
        <f t="shared" si="87"/>
        <v/>
      </c>
    </row>
    <row r="95" spans="4:70" ht="15" x14ac:dyDescent="0.15">
      <c r="D95" s="116"/>
      <c r="F95" s="93"/>
      <c r="I95" s="458">
        <f t="shared" si="88"/>
        <v>2110</v>
      </c>
      <c r="J95" s="39"/>
      <c r="K95" s="39">
        <f t="shared" si="89"/>
        <v>81</v>
      </c>
      <c r="L95" s="39"/>
      <c r="M95" s="40">
        <f t="shared" si="52"/>
        <v>9.1239899636133173E-2</v>
      </c>
      <c r="N95" s="39"/>
      <c r="O95" s="72" t="str">
        <f t="shared" si="68"/>
        <v/>
      </c>
      <c r="P95" s="41" t="str">
        <f t="shared" si="53"/>
        <v/>
      </c>
      <c r="Q95" s="39"/>
      <c r="R95" s="72" t="str">
        <f t="shared" si="69"/>
        <v/>
      </c>
      <c r="S95" s="39"/>
      <c r="T95" s="72" t="str">
        <f t="shared" si="70"/>
        <v/>
      </c>
      <c r="U95" s="39"/>
      <c r="V95" s="72" t="str">
        <f t="shared" si="54"/>
        <v/>
      </c>
      <c r="W95" s="72" t="str">
        <f t="shared" si="71"/>
        <v/>
      </c>
      <c r="X95" s="39"/>
      <c r="Y95" s="72" t="str">
        <f t="shared" si="55"/>
        <v/>
      </c>
      <c r="Z95" s="72" t="str">
        <f t="shared" si="72"/>
        <v/>
      </c>
      <c r="AA95" s="39"/>
      <c r="AB95" s="72" t="str">
        <f t="shared" si="56"/>
        <v/>
      </c>
      <c r="AC95" s="72" t="str">
        <f t="shared" si="73"/>
        <v/>
      </c>
      <c r="AD95" s="39"/>
      <c r="AE95" s="72" t="str">
        <f t="shared" si="57"/>
        <v/>
      </c>
      <c r="AF95" s="72" t="str">
        <f t="shared" si="74"/>
        <v/>
      </c>
      <c r="AG95" s="39"/>
      <c r="AH95" s="72" t="str">
        <f t="shared" si="58"/>
        <v/>
      </c>
      <c r="AI95" s="72" t="str">
        <f t="shared" si="75"/>
        <v/>
      </c>
      <c r="AJ95" s="39"/>
      <c r="AK95" s="72" t="str">
        <f t="shared" si="59"/>
        <v/>
      </c>
      <c r="AL95" s="72" t="str">
        <f t="shared" si="76"/>
        <v/>
      </c>
      <c r="AM95" s="39"/>
      <c r="AN95" s="72" t="str">
        <f t="shared" si="60"/>
        <v/>
      </c>
      <c r="AO95" s="72" t="str">
        <f t="shared" si="77"/>
        <v/>
      </c>
      <c r="AP95" s="39"/>
      <c r="AQ95" s="72" t="str">
        <f t="shared" si="61"/>
        <v/>
      </c>
      <c r="AR95" s="72" t="str">
        <f t="shared" si="78"/>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62"/>
        <v/>
      </c>
      <c r="AW95" s="72" t="str">
        <f t="shared" si="79"/>
        <v/>
      </c>
      <c r="AX95" s="39"/>
      <c r="AY95" s="40" t="str">
        <f>IF(ISERROR(IF($K95&lt;=$F$15,VLOOKUP($I95,'表4）CO2価格'!$A$7:$E$67,VLOOKUP($F$48,'表4）CO2価格'!$H$10:$I$12,2,0),0)*$F$8/1000,"")),0,IF($K95&lt;=$F$15,VLOOKUP($I95,'表4）CO2価格'!$A$7:$E$67,VLOOKUP($F$48,'表4）CO2価格'!$H$10:$I$12,2,0),0)*$F$8/1000,""))</f>
        <v/>
      </c>
      <c r="AZ95" s="39"/>
      <c r="BA95" s="42" t="str">
        <f t="shared" si="63"/>
        <v/>
      </c>
      <c r="BB95" s="72" t="str">
        <f t="shared" si="80"/>
        <v/>
      </c>
      <c r="BC95" s="39"/>
      <c r="BD95" s="72" t="str">
        <f t="shared" si="64"/>
        <v/>
      </c>
      <c r="BE95" s="72" t="str">
        <f t="shared" si="81"/>
        <v/>
      </c>
      <c r="BF95" s="39"/>
      <c r="BG95" s="42" t="str">
        <f t="shared" si="65"/>
        <v/>
      </c>
      <c r="BH95" s="72" t="str">
        <f t="shared" si="82"/>
        <v/>
      </c>
      <c r="BI95" s="39"/>
      <c r="BJ95" s="40" t="str">
        <f t="shared" si="83"/>
        <v/>
      </c>
      <c r="BK95" s="157" t="str">
        <f t="shared" si="84"/>
        <v/>
      </c>
      <c r="BL95" s="157" t="str">
        <f t="shared" si="66"/>
        <v/>
      </c>
      <c r="BM95" s="72"/>
      <c r="BN95" s="72" t="str">
        <f t="shared" si="85"/>
        <v/>
      </c>
      <c r="BO95" s="72" t="str">
        <f t="shared" si="86"/>
        <v/>
      </c>
      <c r="BP95" s="39"/>
      <c r="BQ95" s="72" t="str">
        <f t="shared" si="67"/>
        <v/>
      </c>
      <c r="BR95" s="72" t="str">
        <f t="shared" si="87"/>
        <v/>
      </c>
    </row>
    <row r="96" spans="4:70" ht="15" x14ac:dyDescent="0.15">
      <c r="D96" s="116"/>
      <c r="E96" s="81" t="s">
        <v>198</v>
      </c>
      <c r="F96" s="91">
        <f>IF(F3&lt;&gt;"原子力",AW116/$BR$116,0)</f>
        <v>0</v>
      </c>
      <c r="G96" s="81" t="s">
        <v>132</v>
      </c>
      <c r="I96" s="459">
        <f t="shared" si="88"/>
        <v>2111</v>
      </c>
      <c r="J96" s="71"/>
      <c r="K96" s="71">
        <f t="shared" si="89"/>
        <v>82</v>
      </c>
      <c r="L96" s="71"/>
      <c r="M96" s="7">
        <f t="shared" si="52"/>
        <v>8.8582426831197242E-2</v>
      </c>
      <c r="N96" s="71"/>
      <c r="O96" s="10" t="str">
        <f t="shared" si="68"/>
        <v/>
      </c>
      <c r="P96" s="29" t="str">
        <f t="shared" si="53"/>
        <v/>
      </c>
      <c r="Q96" s="71"/>
      <c r="R96" s="10" t="str">
        <f t="shared" si="69"/>
        <v/>
      </c>
      <c r="S96" s="71"/>
      <c r="T96" s="10" t="str">
        <f t="shared" si="70"/>
        <v/>
      </c>
      <c r="U96" s="71"/>
      <c r="V96" s="10" t="str">
        <f t="shared" si="54"/>
        <v/>
      </c>
      <c r="W96" s="10" t="str">
        <f t="shared" si="71"/>
        <v/>
      </c>
      <c r="X96" s="71"/>
      <c r="Y96" s="10" t="str">
        <f t="shared" si="55"/>
        <v/>
      </c>
      <c r="Z96" s="10" t="str">
        <f t="shared" si="72"/>
        <v/>
      </c>
      <c r="AA96" s="71"/>
      <c r="AB96" s="10" t="str">
        <f t="shared" si="56"/>
        <v/>
      </c>
      <c r="AC96" s="10" t="str">
        <f t="shared" si="73"/>
        <v/>
      </c>
      <c r="AD96" s="71"/>
      <c r="AE96" s="10" t="str">
        <f t="shared" si="57"/>
        <v/>
      </c>
      <c r="AF96" s="10" t="str">
        <f t="shared" si="74"/>
        <v/>
      </c>
      <c r="AG96" s="71"/>
      <c r="AH96" s="10" t="str">
        <f t="shared" si="58"/>
        <v/>
      </c>
      <c r="AI96" s="10" t="str">
        <f t="shared" si="75"/>
        <v/>
      </c>
      <c r="AJ96" s="71"/>
      <c r="AK96" s="10" t="str">
        <f t="shared" si="59"/>
        <v/>
      </c>
      <c r="AL96" s="10" t="str">
        <f t="shared" si="76"/>
        <v/>
      </c>
      <c r="AM96" s="71"/>
      <c r="AN96" s="10" t="str">
        <f t="shared" si="60"/>
        <v/>
      </c>
      <c r="AO96" s="10" t="str">
        <f t="shared" si="77"/>
        <v/>
      </c>
      <c r="AP96" s="71"/>
      <c r="AQ96" s="10" t="str">
        <f t="shared" si="61"/>
        <v/>
      </c>
      <c r="AR96" s="10" t="str">
        <f t="shared" si="78"/>
        <v/>
      </c>
      <c r="AS96" s="71"/>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U96" s="71"/>
      <c r="AV96" s="10" t="str">
        <f t="shared" si="62"/>
        <v/>
      </c>
      <c r="AW96" s="10" t="str">
        <f t="shared" si="79"/>
        <v/>
      </c>
      <c r="AX96" s="71"/>
      <c r="AY96" s="7" t="str">
        <f>IF(ISERROR(IF($K96&lt;=$F$15,VLOOKUP($I96,'表4）CO2価格'!$A$7:$E$67,VLOOKUP($F$48,'表4）CO2価格'!$H$10:$I$12,2,0),0)*$F$8/1000,"")),0,IF($K96&lt;=$F$15,VLOOKUP($I96,'表4）CO2価格'!$A$7:$E$67,VLOOKUP($F$48,'表4）CO2価格'!$H$10:$I$12,2,0),0)*$F$8/1000,""))</f>
        <v/>
      </c>
      <c r="AZ96" s="71"/>
      <c r="BA96" s="11" t="str">
        <f t="shared" si="63"/>
        <v/>
      </c>
      <c r="BB96" s="10" t="str">
        <f t="shared" si="80"/>
        <v/>
      </c>
      <c r="BC96" s="71"/>
      <c r="BD96" s="10" t="str">
        <f t="shared" si="64"/>
        <v/>
      </c>
      <c r="BE96" s="10" t="str">
        <f t="shared" si="81"/>
        <v/>
      </c>
      <c r="BF96" s="71"/>
      <c r="BG96" s="11" t="str">
        <f t="shared" si="65"/>
        <v/>
      </c>
      <c r="BH96" s="10" t="str">
        <f t="shared" si="82"/>
        <v/>
      </c>
      <c r="BJ96" s="7" t="str">
        <f t="shared" si="83"/>
        <v/>
      </c>
      <c r="BK96" s="158" t="str">
        <f t="shared" si="84"/>
        <v/>
      </c>
      <c r="BL96" s="158" t="str">
        <f t="shared" si="66"/>
        <v/>
      </c>
      <c r="BM96" s="10"/>
      <c r="BN96" s="10" t="str">
        <f t="shared" si="85"/>
        <v/>
      </c>
      <c r="BO96" s="10" t="str">
        <f t="shared" si="86"/>
        <v/>
      </c>
      <c r="BQ96" s="10" t="str">
        <f t="shared" si="67"/>
        <v/>
      </c>
      <c r="BR96" s="10" t="str">
        <f t="shared" si="87"/>
        <v/>
      </c>
    </row>
    <row r="97" spans="4:70" ht="15" x14ac:dyDescent="0.15">
      <c r="D97" s="116"/>
      <c r="E97" s="81" t="s">
        <v>199</v>
      </c>
      <c r="F97" s="91">
        <f>IF(F3="原子力",#REF!,0)</f>
        <v>0</v>
      </c>
      <c r="G97" s="81" t="s">
        <v>132</v>
      </c>
      <c r="I97" s="458">
        <f t="shared" si="88"/>
        <v>2112</v>
      </c>
      <c r="J97" s="39"/>
      <c r="K97" s="39">
        <f t="shared" si="89"/>
        <v>83</v>
      </c>
      <c r="L97" s="39"/>
      <c r="M97" s="40">
        <f t="shared" si="52"/>
        <v>8.6002356146793454E-2</v>
      </c>
      <c r="N97" s="39"/>
      <c r="O97" s="72" t="str">
        <f t="shared" si="68"/>
        <v/>
      </c>
      <c r="P97" s="41" t="str">
        <f t="shared" si="53"/>
        <v/>
      </c>
      <c r="Q97" s="39"/>
      <c r="R97" s="72" t="str">
        <f t="shared" si="69"/>
        <v/>
      </c>
      <c r="S97" s="39"/>
      <c r="T97" s="72" t="str">
        <f t="shared" si="70"/>
        <v/>
      </c>
      <c r="U97" s="39"/>
      <c r="V97" s="72" t="str">
        <f t="shared" si="54"/>
        <v/>
      </c>
      <c r="W97" s="72" t="str">
        <f t="shared" si="71"/>
        <v/>
      </c>
      <c r="X97" s="39"/>
      <c r="Y97" s="72" t="str">
        <f t="shared" si="55"/>
        <v/>
      </c>
      <c r="Z97" s="72" t="str">
        <f t="shared" si="72"/>
        <v/>
      </c>
      <c r="AA97" s="39"/>
      <c r="AB97" s="72" t="str">
        <f t="shared" si="56"/>
        <v/>
      </c>
      <c r="AC97" s="72" t="str">
        <f t="shared" si="73"/>
        <v/>
      </c>
      <c r="AD97" s="39"/>
      <c r="AE97" s="72" t="str">
        <f t="shared" si="57"/>
        <v/>
      </c>
      <c r="AF97" s="72" t="str">
        <f t="shared" si="74"/>
        <v/>
      </c>
      <c r="AG97" s="39"/>
      <c r="AH97" s="72" t="str">
        <f t="shared" si="58"/>
        <v/>
      </c>
      <c r="AI97" s="72" t="str">
        <f t="shared" si="75"/>
        <v/>
      </c>
      <c r="AJ97" s="39"/>
      <c r="AK97" s="72" t="str">
        <f t="shared" si="59"/>
        <v/>
      </c>
      <c r="AL97" s="72" t="str">
        <f t="shared" si="76"/>
        <v/>
      </c>
      <c r="AM97" s="39"/>
      <c r="AN97" s="72" t="str">
        <f t="shared" si="60"/>
        <v/>
      </c>
      <c r="AO97" s="72" t="str">
        <f t="shared" si="77"/>
        <v/>
      </c>
      <c r="AP97" s="39"/>
      <c r="AQ97" s="72" t="str">
        <f t="shared" si="61"/>
        <v/>
      </c>
      <c r="AR97" s="72" t="str">
        <f t="shared" si="78"/>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62"/>
        <v/>
      </c>
      <c r="AW97" s="72" t="str">
        <f t="shared" si="79"/>
        <v/>
      </c>
      <c r="AX97" s="39"/>
      <c r="AY97" s="40" t="str">
        <f>IF(ISERROR(IF($K97&lt;=$F$15,VLOOKUP($I97,'表4）CO2価格'!$A$7:$E$67,VLOOKUP($F$48,'表4）CO2価格'!$H$10:$I$12,2,0),0)*$F$8/1000,"")),0,IF($K97&lt;=$F$15,VLOOKUP($I97,'表4）CO2価格'!$A$7:$E$67,VLOOKUP($F$48,'表4）CO2価格'!$H$10:$I$12,2,0),0)*$F$8/1000,""))</f>
        <v/>
      </c>
      <c r="AZ97" s="39"/>
      <c r="BA97" s="42" t="str">
        <f t="shared" si="63"/>
        <v/>
      </c>
      <c r="BB97" s="72" t="str">
        <f t="shared" si="80"/>
        <v/>
      </c>
      <c r="BC97" s="39"/>
      <c r="BD97" s="72" t="str">
        <f t="shared" si="64"/>
        <v/>
      </c>
      <c r="BE97" s="72" t="str">
        <f t="shared" si="81"/>
        <v/>
      </c>
      <c r="BF97" s="39"/>
      <c r="BG97" s="42" t="str">
        <f t="shared" si="65"/>
        <v/>
      </c>
      <c r="BH97" s="72" t="str">
        <f t="shared" si="82"/>
        <v/>
      </c>
      <c r="BI97" s="39"/>
      <c r="BJ97" s="40" t="str">
        <f t="shared" si="83"/>
        <v/>
      </c>
      <c r="BK97" s="157" t="str">
        <f t="shared" si="84"/>
        <v/>
      </c>
      <c r="BL97" s="157" t="str">
        <f t="shared" si="66"/>
        <v/>
      </c>
      <c r="BM97" s="72"/>
      <c r="BN97" s="72" t="str">
        <f t="shared" si="85"/>
        <v/>
      </c>
      <c r="BO97" s="72" t="str">
        <f t="shared" si="86"/>
        <v/>
      </c>
      <c r="BP97" s="39"/>
      <c r="BQ97" s="72" t="str">
        <f t="shared" si="67"/>
        <v/>
      </c>
      <c r="BR97" s="72" t="str">
        <f t="shared" si="87"/>
        <v/>
      </c>
    </row>
    <row r="98" spans="4:70" x14ac:dyDescent="0.15">
      <c r="F98" s="93"/>
      <c r="I98" s="459">
        <f t="shared" si="88"/>
        <v>2113</v>
      </c>
      <c r="J98" s="71"/>
      <c r="K98" s="71">
        <f t="shared" si="89"/>
        <v>84</v>
      </c>
      <c r="L98" s="71"/>
      <c r="M98" s="7">
        <f t="shared" si="52"/>
        <v>8.3497433152226644E-2</v>
      </c>
      <c r="N98" s="71"/>
      <c r="O98" s="10" t="str">
        <f t="shared" si="68"/>
        <v/>
      </c>
      <c r="P98" s="29" t="str">
        <f t="shared" si="53"/>
        <v/>
      </c>
      <c r="Q98" s="71"/>
      <c r="R98" s="10" t="str">
        <f t="shared" si="69"/>
        <v/>
      </c>
      <c r="S98" s="71"/>
      <c r="T98" s="10" t="str">
        <f t="shared" si="70"/>
        <v/>
      </c>
      <c r="U98" s="71"/>
      <c r="V98" s="10" t="str">
        <f t="shared" si="54"/>
        <v/>
      </c>
      <c r="W98" s="10" t="str">
        <f t="shared" si="71"/>
        <v/>
      </c>
      <c r="X98" s="71"/>
      <c r="Y98" s="10" t="str">
        <f t="shared" si="55"/>
        <v/>
      </c>
      <c r="Z98" s="10" t="str">
        <f t="shared" si="72"/>
        <v/>
      </c>
      <c r="AA98" s="71"/>
      <c r="AB98" s="10" t="str">
        <f t="shared" si="56"/>
        <v/>
      </c>
      <c r="AC98" s="10" t="str">
        <f t="shared" si="73"/>
        <v/>
      </c>
      <c r="AD98" s="71"/>
      <c r="AE98" s="10" t="str">
        <f t="shared" si="57"/>
        <v/>
      </c>
      <c r="AF98" s="10" t="str">
        <f t="shared" si="74"/>
        <v/>
      </c>
      <c r="AG98" s="71"/>
      <c r="AH98" s="10" t="str">
        <f t="shared" si="58"/>
        <v/>
      </c>
      <c r="AI98" s="10" t="str">
        <f t="shared" si="75"/>
        <v/>
      </c>
      <c r="AJ98" s="71"/>
      <c r="AK98" s="10" t="str">
        <f t="shared" si="59"/>
        <v/>
      </c>
      <c r="AL98" s="10" t="str">
        <f t="shared" si="76"/>
        <v/>
      </c>
      <c r="AM98" s="71"/>
      <c r="AN98" s="10" t="str">
        <f t="shared" si="60"/>
        <v/>
      </c>
      <c r="AO98" s="10" t="str">
        <f t="shared" si="77"/>
        <v/>
      </c>
      <c r="AP98" s="71"/>
      <c r="AQ98" s="10" t="str">
        <f t="shared" si="61"/>
        <v/>
      </c>
      <c r="AR98" s="10" t="str">
        <f t="shared" si="78"/>
        <v/>
      </c>
      <c r="AS98" s="71"/>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U98" s="71"/>
      <c r="AV98" s="10" t="str">
        <f t="shared" si="62"/>
        <v/>
      </c>
      <c r="AW98" s="10" t="str">
        <f t="shared" si="79"/>
        <v/>
      </c>
      <c r="AX98" s="71"/>
      <c r="AY98" s="7" t="str">
        <f>IF(ISERROR(IF($K98&lt;=$F$15,VLOOKUP($I98,'表4）CO2価格'!$A$7:$E$67,VLOOKUP($F$48,'表4）CO2価格'!$H$10:$I$12,2,0),0)*$F$8/1000,"")),0,IF($K98&lt;=$F$15,VLOOKUP($I98,'表4）CO2価格'!$A$7:$E$67,VLOOKUP($F$48,'表4）CO2価格'!$H$10:$I$12,2,0),0)*$F$8/1000,""))</f>
        <v/>
      </c>
      <c r="AZ98" s="71"/>
      <c r="BA98" s="11" t="str">
        <f t="shared" si="63"/>
        <v/>
      </c>
      <c r="BB98" s="10" t="str">
        <f t="shared" si="80"/>
        <v/>
      </c>
      <c r="BC98" s="71"/>
      <c r="BD98" s="10" t="str">
        <f t="shared" si="64"/>
        <v/>
      </c>
      <c r="BE98" s="10" t="str">
        <f t="shared" si="81"/>
        <v/>
      </c>
      <c r="BF98" s="71"/>
      <c r="BG98" s="11" t="str">
        <f t="shared" si="65"/>
        <v/>
      </c>
      <c r="BH98" s="10" t="str">
        <f t="shared" si="82"/>
        <v/>
      </c>
      <c r="BJ98" s="7" t="str">
        <f t="shared" si="83"/>
        <v/>
      </c>
      <c r="BK98" s="158" t="str">
        <f t="shared" si="84"/>
        <v/>
      </c>
      <c r="BL98" s="158" t="str">
        <f t="shared" si="66"/>
        <v/>
      </c>
      <c r="BM98" s="10"/>
      <c r="BN98" s="10" t="str">
        <f t="shared" si="85"/>
        <v/>
      </c>
      <c r="BO98" s="10" t="str">
        <f t="shared" si="86"/>
        <v/>
      </c>
      <c r="BQ98" s="10" t="str">
        <f t="shared" si="67"/>
        <v/>
      </c>
      <c r="BR98" s="10" t="str">
        <f t="shared" si="87"/>
        <v/>
      </c>
    </row>
    <row r="99" spans="4:70" ht="15" x14ac:dyDescent="0.15">
      <c r="D99" s="116" t="s">
        <v>200</v>
      </c>
      <c r="F99" s="94">
        <f>SUBTOTAL(9,F103:F105)</f>
        <v>0.06</v>
      </c>
      <c r="G99" s="81" t="s">
        <v>132</v>
      </c>
      <c r="I99" s="458">
        <f t="shared" si="88"/>
        <v>2114</v>
      </c>
      <c r="J99" s="39"/>
      <c r="K99" s="39">
        <f t="shared" si="89"/>
        <v>85</v>
      </c>
      <c r="L99" s="39"/>
      <c r="M99" s="40">
        <f t="shared" si="52"/>
        <v>8.1065469079831712E-2</v>
      </c>
      <c r="N99" s="39"/>
      <c r="O99" s="72" t="str">
        <f t="shared" si="68"/>
        <v/>
      </c>
      <c r="P99" s="41" t="str">
        <f t="shared" si="53"/>
        <v/>
      </c>
      <c r="Q99" s="39"/>
      <c r="R99" s="72" t="str">
        <f t="shared" si="69"/>
        <v/>
      </c>
      <c r="S99" s="39"/>
      <c r="T99" s="72" t="str">
        <f t="shared" si="70"/>
        <v/>
      </c>
      <c r="U99" s="39"/>
      <c r="V99" s="72" t="str">
        <f t="shared" si="54"/>
        <v/>
      </c>
      <c r="W99" s="72" t="str">
        <f t="shared" si="71"/>
        <v/>
      </c>
      <c r="X99" s="39"/>
      <c r="Y99" s="72" t="str">
        <f t="shared" si="55"/>
        <v/>
      </c>
      <c r="Z99" s="72" t="str">
        <f t="shared" si="72"/>
        <v/>
      </c>
      <c r="AA99" s="39"/>
      <c r="AB99" s="72" t="str">
        <f t="shared" si="56"/>
        <v/>
      </c>
      <c r="AC99" s="72" t="str">
        <f t="shared" si="73"/>
        <v/>
      </c>
      <c r="AD99" s="39"/>
      <c r="AE99" s="72" t="str">
        <f t="shared" si="57"/>
        <v/>
      </c>
      <c r="AF99" s="72" t="str">
        <f t="shared" si="74"/>
        <v/>
      </c>
      <c r="AG99" s="39"/>
      <c r="AH99" s="72" t="str">
        <f t="shared" si="58"/>
        <v/>
      </c>
      <c r="AI99" s="72" t="str">
        <f t="shared" si="75"/>
        <v/>
      </c>
      <c r="AJ99" s="39"/>
      <c r="AK99" s="72" t="str">
        <f t="shared" si="59"/>
        <v/>
      </c>
      <c r="AL99" s="72" t="str">
        <f t="shared" si="76"/>
        <v/>
      </c>
      <c r="AM99" s="39"/>
      <c r="AN99" s="72" t="str">
        <f t="shared" si="60"/>
        <v/>
      </c>
      <c r="AO99" s="72" t="str">
        <f t="shared" si="77"/>
        <v/>
      </c>
      <c r="AP99" s="39"/>
      <c r="AQ99" s="72" t="str">
        <f t="shared" si="61"/>
        <v/>
      </c>
      <c r="AR99" s="72" t="str">
        <f t="shared" si="78"/>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62"/>
        <v/>
      </c>
      <c r="AW99" s="72" t="str">
        <f t="shared" si="79"/>
        <v/>
      </c>
      <c r="AX99" s="39"/>
      <c r="AY99" s="40" t="str">
        <f>IF(ISERROR(IF($K99&lt;=$F$15,VLOOKUP($I99,'表4）CO2価格'!$A$7:$E$67,VLOOKUP($F$48,'表4）CO2価格'!$H$10:$I$12,2,0),0)*$F$8/1000,"")),0,IF($K99&lt;=$F$15,VLOOKUP($I99,'表4）CO2価格'!$A$7:$E$67,VLOOKUP($F$48,'表4）CO2価格'!$H$10:$I$12,2,0),0)*$F$8/1000,""))</f>
        <v/>
      </c>
      <c r="AZ99" s="39"/>
      <c r="BA99" s="42" t="str">
        <f t="shared" si="63"/>
        <v/>
      </c>
      <c r="BB99" s="72" t="str">
        <f t="shared" si="80"/>
        <v/>
      </c>
      <c r="BC99" s="39"/>
      <c r="BD99" s="72" t="str">
        <f t="shared" si="64"/>
        <v/>
      </c>
      <c r="BE99" s="72" t="str">
        <f t="shared" si="81"/>
        <v/>
      </c>
      <c r="BF99" s="39"/>
      <c r="BG99" s="42" t="str">
        <f t="shared" si="65"/>
        <v/>
      </c>
      <c r="BH99" s="72" t="str">
        <f t="shared" si="82"/>
        <v/>
      </c>
      <c r="BI99" s="39"/>
      <c r="BJ99" s="40" t="str">
        <f t="shared" si="83"/>
        <v/>
      </c>
      <c r="BK99" s="157" t="str">
        <f t="shared" si="84"/>
        <v/>
      </c>
      <c r="BL99" s="157" t="str">
        <f t="shared" si="66"/>
        <v/>
      </c>
      <c r="BM99" s="72"/>
      <c r="BN99" s="72" t="str">
        <f t="shared" si="85"/>
        <v/>
      </c>
      <c r="BO99" s="72" t="str">
        <f t="shared" si="86"/>
        <v/>
      </c>
      <c r="BP99" s="39"/>
      <c r="BQ99" s="72" t="str">
        <f t="shared" si="67"/>
        <v/>
      </c>
      <c r="BR99" s="72" t="str">
        <f t="shared" si="87"/>
        <v/>
      </c>
    </row>
    <row r="100" spans="4:70" x14ac:dyDescent="0.15">
      <c r="F100" s="93"/>
      <c r="I100" s="459">
        <f t="shared" si="88"/>
        <v>2115</v>
      </c>
      <c r="J100" s="71"/>
      <c r="K100" s="71">
        <f t="shared" si="89"/>
        <v>86</v>
      </c>
      <c r="L100" s="71"/>
      <c r="M100" s="7">
        <f t="shared" si="52"/>
        <v>7.8704338912457969E-2</v>
      </c>
      <c r="N100" s="71"/>
      <c r="O100" s="10" t="str">
        <f t="shared" si="68"/>
        <v/>
      </c>
      <c r="P100" s="29" t="str">
        <f t="shared" si="53"/>
        <v/>
      </c>
      <c r="Q100" s="71"/>
      <c r="R100" s="10" t="str">
        <f t="shared" si="69"/>
        <v/>
      </c>
      <c r="S100" s="71"/>
      <c r="T100" s="10" t="str">
        <f t="shared" si="70"/>
        <v/>
      </c>
      <c r="U100" s="71"/>
      <c r="V100" s="10" t="str">
        <f t="shared" si="54"/>
        <v/>
      </c>
      <c r="W100" s="10" t="str">
        <f t="shared" si="71"/>
        <v/>
      </c>
      <c r="X100" s="71"/>
      <c r="Y100" s="10" t="str">
        <f t="shared" si="55"/>
        <v/>
      </c>
      <c r="Z100" s="10" t="str">
        <f t="shared" si="72"/>
        <v/>
      </c>
      <c r="AA100" s="71"/>
      <c r="AB100" s="10" t="str">
        <f t="shared" si="56"/>
        <v/>
      </c>
      <c r="AC100" s="10" t="str">
        <f t="shared" si="73"/>
        <v/>
      </c>
      <c r="AD100" s="71"/>
      <c r="AE100" s="10" t="str">
        <f t="shared" si="57"/>
        <v/>
      </c>
      <c r="AF100" s="10" t="str">
        <f t="shared" si="74"/>
        <v/>
      </c>
      <c r="AG100" s="71"/>
      <c r="AH100" s="10" t="str">
        <f t="shared" si="58"/>
        <v/>
      </c>
      <c r="AI100" s="10" t="str">
        <f t="shared" si="75"/>
        <v/>
      </c>
      <c r="AJ100" s="71"/>
      <c r="AK100" s="10" t="str">
        <f t="shared" si="59"/>
        <v/>
      </c>
      <c r="AL100" s="10" t="str">
        <f t="shared" si="76"/>
        <v/>
      </c>
      <c r="AM100" s="71"/>
      <c r="AN100" s="10" t="str">
        <f t="shared" si="60"/>
        <v/>
      </c>
      <c r="AO100" s="10" t="str">
        <f t="shared" si="77"/>
        <v/>
      </c>
      <c r="AP100" s="71"/>
      <c r="AQ100" s="10" t="str">
        <f t="shared" si="61"/>
        <v/>
      </c>
      <c r="AR100" s="10" t="str">
        <f t="shared" si="78"/>
        <v/>
      </c>
      <c r="AS100" s="71"/>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U100" s="71"/>
      <c r="AV100" s="10" t="str">
        <f t="shared" si="62"/>
        <v/>
      </c>
      <c r="AW100" s="10" t="str">
        <f t="shared" si="79"/>
        <v/>
      </c>
      <c r="AX100" s="71"/>
      <c r="AY100" s="7" t="str">
        <f>IF(ISERROR(IF($K100&lt;=$F$15,VLOOKUP($I100,'表4）CO2価格'!$A$7:$E$67,VLOOKUP($F$48,'表4）CO2価格'!$H$10:$I$12,2,0),0)*$F$8/1000,"")),0,IF($K100&lt;=$F$15,VLOOKUP($I100,'表4）CO2価格'!$A$7:$E$67,VLOOKUP($F$48,'表4）CO2価格'!$H$10:$I$12,2,0),0)*$F$8/1000,""))</f>
        <v/>
      </c>
      <c r="AZ100" s="71"/>
      <c r="BA100" s="11" t="str">
        <f t="shared" si="63"/>
        <v/>
      </c>
      <c r="BB100" s="10" t="str">
        <f t="shared" si="80"/>
        <v/>
      </c>
      <c r="BC100" s="71"/>
      <c r="BD100" s="10" t="str">
        <f t="shared" si="64"/>
        <v/>
      </c>
      <c r="BE100" s="10" t="str">
        <f t="shared" si="81"/>
        <v/>
      </c>
      <c r="BF100" s="71"/>
      <c r="BG100" s="11" t="str">
        <f t="shared" si="65"/>
        <v/>
      </c>
      <c r="BH100" s="10" t="str">
        <f t="shared" si="82"/>
        <v/>
      </c>
      <c r="BJ100" s="7" t="str">
        <f t="shared" si="83"/>
        <v/>
      </c>
      <c r="BK100" s="158" t="str">
        <f t="shared" si="84"/>
        <v/>
      </c>
      <c r="BL100" s="158" t="str">
        <f t="shared" si="66"/>
        <v/>
      </c>
      <c r="BM100" s="10"/>
      <c r="BN100" s="10" t="str">
        <f t="shared" si="85"/>
        <v/>
      </c>
      <c r="BO100" s="10" t="str">
        <f t="shared" si="86"/>
        <v/>
      </c>
      <c r="BQ100" s="10" t="str">
        <f t="shared" si="67"/>
        <v/>
      </c>
      <c r="BR100" s="10" t="str">
        <f t="shared" si="87"/>
        <v/>
      </c>
    </row>
    <row r="101" spans="4:70" x14ac:dyDescent="0.15">
      <c r="D101" s="101" t="s">
        <v>201</v>
      </c>
      <c r="E101" s="101"/>
      <c r="F101" s="92"/>
      <c r="G101" s="101"/>
      <c r="I101" s="458">
        <f t="shared" si="88"/>
        <v>2116</v>
      </c>
      <c r="J101" s="39"/>
      <c r="K101" s="39">
        <f t="shared" si="89"/>
        <v>87</v>
      </c>
      <c r="L101" s="39"/>
      <c r="M101" s="40">
        <f t="shared" si="52"/>
        <v>7.6411979526658208E-2</v>
      </c>
      <c r="N101" s="39"/>
      <c r="O101" s="72" t="str">
        <f t="shared" si="68"/>
        <v/>
      </c>
      <c r="P101" s="41" t="str">
        <f t="shared" si="53"/>
        <v/>
      </c>
      <c r="Q101" s="39"/>
      <c r="R101" s="72" t="str">
        <f t="shared" si="69"/>
        <v/>
      </c>
      <c r="S101" s="39"/>
      <c r="T101" s="72" t="str">
        <f t="shared" si="70"/>
        <v/>
      </c>
      <c r="U101" s="39"/>
      <c r="V101" s="72" t="str">
        <f t="shared" si="54"/>
        <v/>
      </c>
      <c r="W101" s="72" t="str">
        <f t="shared" si="71"/>
        <v/>
      </c>
      <c r="X101" s="39"/>
      <c r="Y101" s="72" t="str">
        <f t="shared" si="55"/>
        <v/>
      </c>
      <c r="Z101" s="72" t="str">
        <f t="shared" si="72"/>
        <v/>
      </c>
      <c r="AA101" s="39"/>
      <c r="AB101" s="72" t="str">
        <f t="shared" si="56"/>
        <v/>
      </c>
      <c r="AC101" s="72" t="str">
        <f t="shared" si="73"/>
        <v/>
      </c>
      <c r="AD101" s="39"/>
      <c r="AE101" s="72" t="str">
        <f t="shared" si="57"/>
        <v/>
      </c>
      <c r="AF101" s="72" t="str">
        <f t="shared" si="74"/>
        <v/>
      </c>
      <c r="AG101" s="39"/>
      <c r="AH101" s="72" t="str">
        <f t="shared" si="58"/>
        <v/>
      </c>
      <c r="AI101" s="72" t="str">
        <f t="shared" si="75"/>
        <v/>
      </c>
      <c r="AJ101" s="39"/>
      <c r="AK101" s="72" t="str">
        <f t="shared" si="59"/>
        <v/>
      </c>
      <c r="AL101" s="72" t="str">
        <f t="shared" si="76"/>
        <v/>
      </c>
      <c r="AM101" s="39"/>
      <c r="AN101" s="72" t="str">
        <f t="shared" si="60"/>
        <v/>
      </c>
      <c r="AO101" s="72" t="str">
        <f t="shared" si="77"/>
        <v/>
      </c>
      <c r="AP101" s="39"/>
      <c r="AQ101" s="72" t="str">
        <f t="shared" si="61"/>
        <v/>
      </c>
      <c r="AR101" s="72" t="str">
        <f t="shared" si="78"/>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62"/>
        <v/>
      </c>
      <c r="AW101" s="72" t="str">
        <f t="shared" si="79"/>
        <v/>
      </c>
      <c r="AX101" s="39"/>
      <c r="AY101" s="40" t="str">
        <f>IF(ISERROR(IF($K101&lt;=$F$15,VLOOKUP($I101,'表4）CO2価格'!$A$7:$E$67,VLOOKUP($F$48,'表4）CO2価格'!$H$10:$I$12,2,0),0)*$F$8/1000,"")),0,IF($K101&lt;=$F$15,VLOOKUP($I101,'表4）CO2価格'!$A$7:$E$67,VLOOKUP($F$48,'表4）CO2価格'!$H$10:$I$12,2,0),0)*$F$8/1000,""))</f>
        <v/>
      </c>
      <c r="AZ101" s="39"/>
      <c r="BA101" s="42" t="str">
        <f t="shared" si="63"/>
        <v/>
      </c>
      <c r="BB101" s="72" t="str">
        <f t="shared" si="80"/>
        <v/>
      </c>
      <c r="BC101" s="39"/>
      <c r="BD101" s="72" t="str">
        <f t="shared" si="64"/>
        <v/>
      </c>
      <c r="BE101" s="72" t="str">
        <f t="shared" si="81"/>
        <v/>
      </c>
      <c r="BF101" s="39"/>
      <c r="BG101" s="42" t="str">
        <f t="shared" si="65"/>
        <v/>
      </c>
      <c r="BH101" s="72" t="str">
        <f t="shared" si="82"/>
        <v/>
      </c>
      <c r="BI101" s="39"/>
      <c r="BJ101" s="40" t="str">
        <f t="shared" si="83"/>
        <v/>
      </c>
      <c r="BK101" s="157" t="str">
        <f t="shared" si="84"/>
        <v/>
      </c>
      <c r="BL101" s="157" t="str">
        <f t="shared" si="66"/>
        <v/>
      </c>
      <c r="BM101" s="72"/>
      <c r="BN101" s="72" t="str">
        <f t="shared" si="85"/>
        <v/>
      </c>
      <c r="BO101" s="72" t="str">
        <f t="shared" si="86"/>
        <v/>
      </c>
      <c r="BP101" s="39"/>
      <c r="BQ101" s="72" t="str">
        <f t="shared" si="67"/>
        <v/>
      </c>
      <c r="BR101" s="72" t="str">
        <f t="shared" si="87"/>
        <v/>
      </c>
    </row>
    <row r="102" spans="4:70" x14ac:dyDescent="0.15">
      <c r="F102" s="93"/>
      <c r="I102" s="459">
        <f t="shared" si="88"/>
        <v>2117</v>
      </c>
      <c r="J102" s="71"/>
      <c r="K102" s="71">
        <f t="shared" si="89"/>
        <v>88</v>
      </c>
      <c r="L102" s="71"/>
      <c r="M102" s="7">
        <f t="shared" si="52"/>
        <v>7.4186387889959446E-2</v>
      </c>
      <c r="N102" s="71"/>
      <c r="O102" s="10" t="str">
        <f t="shared" si="68"/>
        <v/>
      </c>
      <c r="P102" s="29" t="str">
        <f t="shared" si="53"/>
        <v/>
      </c>
      <c r="Q102" s="71"/>
      <c r="R102" s="10" t="str">
        <f t="shared" si="69"/>
        <v/>
      </c>
      <c r="S102" s="71"/>
      <c r="T102" s="10" t="str">
        <f t="shared" si="70"/>
        <v/>
      </c>
      <c r="U102" s="71"/>
      <c r="V102" s="10" t="str">
        <f t="shared" si="54"/>
        <v/>
      </c>
      <c r="W102" s="10" t="str">
        <f t="shared" si="71"/>
        <v/>
      </c>
      <c r="X102" s="71"/>
      <c r="Y102" s="10" t="str">
        <f t="shared" si="55"/>
        <v/>
      </c>
      <c r="Z102" s="10" t="str">
        <f t="shared" si="72"/>
        <v/>
      </c>
      <c r="AA102" s="71"/>
      <c r="AB102" s="10" t="str">
        <f t="shared" si="56"/>
        <v/>
      </c>
      <c r="AC102" s="10" t="str">
        <f t="shared" si="73"/>
        <v/>
      </c>
      <c r="AD102" s="71"/>
      <c r="AE102" s="10" t="str">
        <f t="shared" si="57"/>
        <v/>
      </c>
      <c r="AF102" s="10" t="str">
        <f t="shared" si="74"/>
        <v/>
      </c>
      <c r="AG102" s="71"/>
      <c r="AH102" s="10" t="str">
        <f t="shared" si="58"/>
        <v/>
      </c>
      <c r="AI102" s="10" t="str">
        <f t="shared" si="75"/>
        <v/>
      </c>
      <c r="AJ102" s="71"/>
      <c r="AK102" s="10" t="str">
        <f t="shared" si="59"/>
        <v/>
      </c>
      <c r="AL102" s="10" t="str">
        <f t="shared" si="76"/>
        <v/>
      </c>
      <c r="AM102" s="71"/>
      <c r="AN102" s="10" t="str">
        <f t="shared" si="60"/>
        <v/>
      </c>
      <c r="AO102" s="10" t="str">
        <f t="shared" si="77"/>
        <v/>
      </c>
      <c r="AP102" s="71"/>
      <c r="AQ102" s="10" t="str">
        <f t="shared" si="61"/>
        <v/>
      </c>
      <c r="AR102" s="10" t="str">
        <f t="shared" si="78"/>
        <v/>
      </c>
      <c r="AS102" s="71"/>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U102" s="71"/>
      <c r="AV102" s="10" t="str">
        <f t="shared" si="62"/>
        <v/>
      </c>
      <c r="AW102" s="10" t="str">
        <f t="shared" si="79"/>
        <v/>
      </c>
      <c r="AX102" s="71"/>
      <c r="AY102" s="7" t="str">
        <f>IF(ISERROR(IF($K102&lt;=$F$15,VLOOKUP($I102,'表4）CO2価格'!$A$7:$E$67,VLOOKUP($F$48,'表4）CO2価格'!$H$10:$I$12,2,0),0)*$F$8/1000,"")),0,IF($K102&lt;=$F$15,VLOOKUP($I102,'表4）CO2価格'!$A$7:$E$67,VLOOKUP($F$48,'表4）CO2価格'!$H$10:$I$12,2,0),0)*$F$8/1000,""))</f>
        <v/>
      </c>
      <c r="AZ102" s="71"/>
      <c r="BA102" s="11" t="str">
        <f t="shared" si="63"/>
        <v/>
      </c>
      <c r="BB102" s="10" t="str">
        <f t="shared" si="80"/>
        <v/>
      </c>
      <c r="BC102" s="71"/>
      <c r="BD102" s="10" t="str">
        <f t="shared" si="64"/>
        <v/>
      </c>
      <c r="BE102" s="10" t="str">
        <f t="shared" si="81"/>
        <v/>
      </c>
      <c r="BF102" s="71"/>
      <c r="BG102" s="11" t="str">
        <f t="shared" si="65"/>
        <v/>
      </c>
      <c r="BH102" s="10" t="str">
        <f t="shared" si="82"/>
        <v/>
      </c>
      <c r="BJ102" s="7" t="str">
        <f t="shared" si="83"/>
        <v/>
      </c>
      <c r="BK102" s="158" t="str">
        <f t="shared" si="84"/>
        <v/>
      </c>
      <c r="BL102" s="158" t="str">
        <f t="shared" si="66"/>
        <v/>
      </c>
      <c r="BM102" s="10"/>
      <c r="BN102" s="10" t="str">
        <f t="shared" si="85"/>
        <v/>
      </c>
      <c r="BO102" s="10" t="str">
        <f t="shared" si="86"/>
        <v/>
      </c>
      <c r="BQ102" s="10" t="str">
        <f t="shared" si="67"/>
        <v/>
      </c>
      <c r="BR102" s="10" t="str">
        <f t="shared" si="87"/>
        <v/>
      </c>
    </row>
    <row r="103" spans="4:70" x14ac:dyDescent="0.15">
      <c r="E103" s="81" t="s">
        <v>202</v>
      </c>
      <c r="F103" s="91">
        <f>BB116/$BR$116</f>
        <v>0</v>
      </c>
      <c r="G103" s="81" t="s">
        <v>132</v>
      </c>
      <c r="I103" s="458">
        <f t="shared" si="88"/>
        <v>2118</v>
      </c>
      <c r="J103" s="39"/>
      <c r="K103" s="39">
        <f t="shared" si="89"/>
        <v>89</v>
      </c>
      <c r="L103" s="39"/>
      <c r="M103" s="40">
        <f t="shared" si="52"/>
        <v>7.2025619310640235E-2</v>
      </c>
      <c r="N103" s="39"/>
      <c r="O103" s="72" t="str">
        <f t="shared" si="68"/>
        <v/>
      </c>
      <c r="P103" s="41" t="str">
        <f t="shared" si="53"/>
        <v/>
      </c>
      <c r="Q103" s="39"/>
      <c r="R103" s="72" t="str">
        <f t="shared" si="69"/>
        <v/>
      </c>
      <c r="S103" s="39"/>
      <c r="T103" s="72" t="str">
        <f t="shared" si="70"/>
        <v/>
      </c>
      <c r="U103" s="39"/>
      <c r="V103" s="72" t="str">
        <f t="shared" si="54"/>
        <v/>
      </c>
      <c r="W103" s="72" t="str">
        <f t="shared" si="71"/>
        <v/>
      </c>
      <c r="X103" s="39"/>
      <c r="Y103" s="72" t="str">
        <f t="shared" si="55"/>
        <v/>
      </c>
      <c r="Z103" s="72" t="str">
        <f t="shared" si="72"/>
        <v/>
      </c>
      <c r="AA103" s="39"/>
      <c r="AB103" s="72" t="str">
        <f t="shared" si="56"/>
        <v/>
      </c>
      <c r="AC103" s="72" t="str">
        <f t="shared" si="73"/>
        <v/>
      </c>
      <c r="AD103" s="39"/>
      <c r="AE103" s="72" t="str">
        <f t="shared" si="57"/>
        <v/>
      </c>
      <c r="AF103" s="72" t="str">
        <f t="shared" si="74"/>
        <v/>
      </c>
      <c r="AG103" s="39"/>
      <c r="AH103" s="72" t="str">
        <f t="shared" si="58"/>
        <v/>
      </c>
      <c r="AI103" s="72" t="str">
        <f t="shared" si="75"/>
        <v/>
      </c>
      <c r="AJ103" s="39"/>
      <c r="AK103" s="72" t="str">
        <f t="shared" si="59"/>
        <v/>
      </c>
      <c r="AL103" s="72" t="str">
        <f t="shared" si="76"/>
        <v/>
      </c>
      <c r="AM103" s="39"/>
      <c r="AN103" s="72" t="str">
        <f t="shared" si="60"/>
        <v/>
      </c>
      <c r="AO103" s="72" t="str">
        <f t="shared" si="77"/>
        <v/>
      </c>
      <c r="AP103" s="39"/>
      <c r="AQ103" s="72" t="str">
        <f t="shared" si="61"/>
        <v/>
      </c>
      <c r="AR103" s="72" t="str">
        <f t="shared" si="78"/>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62"/>
        <v/>
      </c>
      <c r="AW103" s="72" t="str">
        <f t="shared" si="79"/>
        <v/>
      </c>
      <c r="AX103" s="39"/>
      <c r="AY103" s="40" t="str">
        <f>IF(ISERROR(IF($K103&lt;=$F$15,VLOOKUP($I103,'表4）CO2価格'!$A$7:$E$67,VLOOKUP($F$48,'表4）CO2価格'!$H$10:$I$12,2,0),0)*$F$8/1000,"")),0,IF($K103&lt;=$F$15,VLOOKUP($I103,'表4）CO2価格'!$A$7:$E$67,VLOOKUP($F$48,'表4）CO2価格'!$H$10:$I$12,2,0),0)*$F$8/1000,""))</f>
        <v/>
      </c>
      <c r="AZ103" s="39"/>
      <c r="BA103" s="42" t="str">
        <f t="shared" si="63"/>
        <v/>
      </c>
      <c r="BB103" s="72" t="str">
        <f t="shared" si="80"/>
        <v/>
      </c>
      <c r="BC103" s="39"/>
      <c r="BD103" s="72" t="str">
        <f t="shared" si="64"/>
        <v/>
      </c>
      <c r="BE103" s="72" t="str">
        <f t="shared" si="81"/>
        <v/>
      </c>
      <c r="BF103" s="39"/>
      <c r="BG103" s="42" t="str">
        <f t="shared" si="65"/>
        <v/>
      </c>
      <c r="BH103" s="72" t="str">
        <f t="shared" si="82"/>
        <v/>
      </c>
      <c r="BI103" s="39"/>
      <c r="BJ103" s="40" t="str">
        <f t="shared" si="83"/>
        <v/>
      </c>
      <c r="BK103" s="157" t="str">
        <f t="shared" si="84"/>
        <v/>
      </c>
      <c r="BL103" s="157" t="str">
        <f t="shared" si="66"/>
        <v/>
      </c>
      <c r="BM103" s="72"/>
      <c r="BN103" s="72" t="str">
        <f t="shared" si="85"/>
        <v/>
      </c>
      <c r="BO103" s="72" t="str">
        <f t="shared" si="86"/>
        <v/>
      </c>
      <c r="BP103" s="39"/>
      <c r="BQ103" s="72" t="str">
        <f t="shared" si="67"/>
        <v/>
      </c>
      <c r="BR103" s="72" t="str">
        <f t="shared" si="87"/>
        <v/>
      </c>
    </row>
    <row r="104" spans="4:70" x14ac:dyDescent="0.15">
      <c r="E104" s="81" t="s">
        <v>203</v>
      </c>
      <c r="F104" s="91">
        <f>IF(ISERROR(F60*(1/F61)/F62),0,F60*(1/F61)/F62)</f>
        <v>0</v>
      </c>
      <c r="G104" s="81" t="s">
        <v>132</v>
      </c>
      <c r="I104" s="459">
        <f t="shared" si="88"/>
        <v>2119</v>
      </c>
      <c r="J104" s="71"/>
      <c r="K104" s="71">
        <f t="shared" si="89"/>
        <v>90</v>
      </c>
      <c r="L104" s="71"/>
      <c r="M104" s="7">
        <f t="shared" si="52"/>
        <v>6.9927785738485654E-2</v>
      </c>
      <c r="N104" s="71"/>
      <c r="O104" s="10" t="str">
        <f t="shared" si="68"/>
        <v/>
      </c>
      <c r="P104" s="29" t="str">
        <f t="shared" si="53"/>
        <v/>
      </c>
      <c r="Q104" s="71"/>
      <c r="R104" s="10" t="str">
        <f t="shared" si="69"/>
        <v/>
      </c>
      <c r="S104" s="71"/>
      <c r="T104" s="10" t="str">
        <f t="shared" si="70"/>
        <v/>
      </c>
      <c r="U104" s="71"/>
      <c r="V104" s="10" t="str">
        <f t="shared" si="54"/>
        <v/>
      </c>
      <c r="W104" s="10" t="str">
        <f t="shared" si="71"/>
        <v/>
      </c>
      <c r="X104" s="71"/>
      <c r="Y104" s="10" t="str">
        <f t="shared" si="55"/>
        <v/>
      </c>
      <c r="Z104" s="10" t="str">
        <f t="shared" si="72"/>
        <v/>
      </c>
      <c r="AA104" s="71"/>
      <c r="AB104" s="10" t="str">
        <f t="shared" si="56"/>
        <v/>
      </c>
      <c r="AC104" s="10" t="str">
        <f t="shared" si="73"/>
        <v/>
      </c>
      <c r="AD104" s="71"/>
      <c r="AE104" s="10" t="str">
        <f t="shared" si="57"/>
        <v/>
      </c>
      <c r="AF104" s="10" t="str">
        <f t="shared" si="74"/>
        <v/>
      </c>
      <c r="AG104" s="71"/>
      <c r="AH104" s="10" t="str">
        <f t="shared" si="58"/>
        <v/>
      </c>
      <c r="AI104" s="10" t="str">
        <f t="shared" si="75"/>
        <v/>
      </c>
      <c r="AJ104" s="71"/>
      <c r="AK104" s="10" t="str">
        <f t="shared" si="59"/>
        <v/>
      </c>
      <c r="AL104" s="10" t="str">
        <f t="shared" si="76"/>
        <v/>
      </c>
      <c r="AM104" s="71"/>
      <c r="AN104" s="10" t="str">
        <f t="shared" si="60"/>
        <v/>
      </c>
      <c r="AO104" s="10" t="str">
        <f t="shared" si="77"/>
        <v/>
      </c>
      <c r="AP104" s="71"/>
      <c r="AQ104" s="10" t="str">
        <f t="shared" si="61"/>
        <v/>
      </c>
      <c r="AR104" s="10" t="str">
        <f t="shared" si="78"/>
        <v/>
      </c>
      <c r="AS104" s="71"/>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U104" s="71"/>
      <c r="AV104" s="10" t="str">
        <f t="shared" si="62"/>
        <v/>
      </c>
      <c r="AW104" s="10" t="str">
        <f t="shared" si="79"/>
        <v/>
      </c>
      <c r="AX104" s="71"/>
      <c r="AY104" s="7" t="str">
        <f>IF(ISERROR(IF($K104&lt;=$F$15,VLOOKUP($I104,'表4）CO2価格'!$A$7:$E$67,VLOOKUP($F$48,'表4）CO2価格'!$H$10:$I$12,2,0),0)*$F$8/1000,"")),0,IF($K104&lt;=$F$15,VLOOKUP($I104,'表4）CO2価格'!$A$7:$E$67,VLOOKUP($F$48,'表4）CO2価格'!$H$10:$I$12,2,0),0)*$F$8/1000,""))</f>
        <v/>
      </c>
      <c r="AZ104" s="71"/>
      <c r="BA104" s="11" t="str">
        <f t="shared" si="63"/>
        <v/>
      </c>
      <c r="BB104" s="10" t="str">
        <f t="shared" si="80"/>
        <v/>
      </c>
      <c r="BC104" s="71"/>
      <c r="BD104" s="10" t="str">
        <f t="shared" si="64"/>
        <v/>
      </c>
      <c r="BE104" s="10" t="str">
        <f t="shared" si="81"/>
        <v/>
      </c>
      <c r="BF104" s="71"/>
      <c r="BG104" s="11" t="str">
        <f t="shared" si="65"/>
        <v/>
      </c>
      <c r="BH104" s="10" t="str">
        <f t="shared" si="82"/>
        <v/>
      </c>
      <c r="BJ104" s="7" t="str">
        <f t="shared" si="83"/>
        <v/>
      </c>
      <c r="BK104" s="158" t="str">
        <f t="shared" si="84"/>
        <v/>
      </c>
      <c r="BL104" s="158" t="str">
        <f t="shared" si="66"/>
        <v/>
      </c>
      <c r="BM104" s="10"/>
      <c r="BN104" s="10" t="str">
        <f t="shared" si="85"/>
        <v/>
      </c>
      <c r="BO104" s="10" t="str">
        <f t="shared" si="86"/>
        <v/>
      </c>
      <c r="BQ104" s="10" t="str">
        <f t="shared" si="67"/>
        <v/>
      </c>
      <c r="BR104" s="10" t="str">
        <f t="shared" si="87"/>
        <v/>
      </c>
    </row>
    <row r="105" spans="4:70" x14ac:dyDescent="0.15">
      <c r="E105" s="9" t="s">
        <v>367</v>
      </c>
      <c r="F105" s="91">
        <f>F64</f>
        <v>0.06</v>
      </c>
      <c r="G105" s="81" t="s">
        <v>132</v>
      </c>
      <c r="I105" s="458">
        <f t="shared" si="88"/>
        <v>2120</v>
      </c>
      <c r="J105" s="39"/>
      <c r="K105" s="39">
        <f t="shared" si="89"/>
        <v>91</v>
      </c>
      <c r="L105" s="39"/>
      <c r="M105" s="40">
        <f t="shared" si="52"/>
        <v>6.7891054115034627E-2</v>
      </c>
      <c r="N105" s="39"/>
      <c r="O105" s="72" t="str">
        <f t="shared" si="68"/>
        <v/>
      </c>
      <c r="P105" s="41" t="str">
        <f t="shared" si="53"/>
        <v/>
      </c>
      <c r="Q105" s="39"/>
      <c r="R105" s="72" t="str">
        <f t="shared" si="69"/>
        <v/>
      </c>
      <c r="S105" s="39"/>
      <c r="T105" s="72" t="str">
        <f t="shared" si="70"/>
        <v/>
      </c>
      <c r="U105" s="39"/>
      <c r="V105" s="72" t="str">
        <f t="shared" si="54"/>
        <v/>
      </c>
      <c r="W105" s="72" t="str">
        <f t="shared" si="71"/>
        <v/>
      </c>
      <c r="X105" s="39"/>
      <c r="Y105" s="72" t="str">
        <f t="shared" si="55"/>
        <v/>
      </c>
      <c r="Z105" s="72" t="str">
        <f t="shared" si="72"/>
        <v/>
      </c>
      <c r="AA105" s="39"/>
      <c r="AB105" s="72" t="str">
        <f t="shared" si="56"/>
        <v/>
      </c>
      <c r="AC105" s="72" t="str">
        <f t="shared" si="73"/>
        <v/>
      </c>
      <c r="AD105" s="39"/>
      <c r="AE105" s="72" t="str">
        <f t="shared" si="57"/>
        <v/>
      </c>
      <c r="AF105" s="72" t="str">
        <f t="shared" si="74"/>
        <v/>
      </c>
      <c r="AG105" s="39"/>
      <c r="AH105" s="72" t="str">
        <f t="shared" si="58"/>
        <v/>
      </c>
      <c r="AI105" s="72" t="str">
        <f t="shared" si="75"/>
        <v/>
      </c>
      <c r="AJ105" s="39"/>
      <c r="AK105" s="72" t="str">
        <f t="shared" si="59"/>
        <v/>
      </c>
      <c r="AL105" s="72" t="str">
        <f t="shared" si="76"/>
        <v/>
      </c>
      <c r="AM105" s="39"/>
      <c r="AN105" s="72" t="str">
        <f t="shared" si="60"/>
        <v/>
      </c>
      <c r="AO105" s="72" t="str">
        <f t="shared" si="77"/>
        <v/>
      </c>
      <c r="AP105" s="39"/>
      <c r="AQ105" s="72" t="str">
        <f t="shared" si="61"/>
        <v/>
      </c>
      <c r="AR105" s="72" t="str">
        <f t="shared" si="78"/>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62"/>
        <v/>
      </c>
      <c r="AW105" s="72" t="str">
        <f t="shared" si="79"/>
        <v/>
      </c>
      <c r="AX105" s="39"/>
      <c r="AY105" s="40" t="str">
        <f>IF(ISERROR(IF($K105&lt;=$F$15,VLOOKUP($I105,'表4）CO2価格'!$A$7:$E$67,VLOOKUP($F$48,'表4）CO2価格'!$H$10:$I$12,2,0),0)*$F$8/1000,"")),0,IF($K105&lt;=$F$15,VLOOKUP($I105,'表4）CO2価格'!$A$7:$E$67,VLOOKUP($F$48,'表4）CO2価格'!$H$10:$I$12,2,0),0)*$F$8/1000,""))</f>
        <v/>
      </c>
      <c r="AZ105" s="39"/>
      <c r="BA105" s="42" t="str">
        <f t="shared" si="63"/>
        <v/>
      </c>
      <c r="BB105" s="72" t="str">
        <f t="shared" si="80"/>
        <v/>
      </c>
      <c r="BC105" s="39"/>
      <c r="BD105" s="72" t="str">
        <f t="shared" si="64"/>
        <v/>
      </c>
      <c r="BE105" s="72" t="str">
        <f t="shared" si="81"/>
        <v/>
      </c>
      <c r="BF105" s="39"/>
      <c r="BG105" s="42" t="str">
        <f t="shared" si="65"/>
        <v/>
      </c>
      <c r="BH105" s="72" t="str">
        <f t="shared" si="82"/>
        <v/>
      </c>
      <c r="BI105" s="39"/>
      <c r="BJ105" s="40" t="str">
        <f t="shared" si="83"/>
        <v/>
      </c>
      <c r="BK105" s="157" t="str">
        <f t="shared" si="84"/>
        <v/>
      </c>
      <c r="BL105" s="157" t="str">
        <f t="shared" si="66"/>
        <v/>
      </c>
      <c r="BM105" s="72"/>
      <c r="BN105" s="72" t="str">
        <f t="shared" si="85"/>
        <v/>
      </c>
      <c r="BO105" s="72" t="str">
        <f t="shared" si="86"/>
        <v/>
      </c>
      <c r="BP105" s="39"/>
      <c r="BQ105" s="72" t="str">
        <f t="shared" si="67"/>
        <v/>
      </c>
      <c r="BR105" s="72" t="str">
        <f t="shared" si="87"/>
        <v/>
      </c>
    </row>
    <row r="106" spans="4:70" x14ac:dyDescent="0.15">
      <c r="F106" s="93"/>
      <c r="I106" s="459">
        <f t="shared" si="88"/>
        <v>2121</v>
      </c>
      <c r="J106" s="71"/>
      <c r="K106" s="71">
        <f t="shared" si="89"/>
        <v>92</v>
      </c>
      <c r="L106" s="71"/>
      <c r="M106" s="7">
        <f t="shared" si="52"/>
        <v>6.5913644771878277E-2</v>
      </c>
      <c r="N106" s="71"/>
      <c r="O106" s="10" t="str">
        <f t="shared" si="68"/>
        <v/>
      </c>
      <c r="P106" s="29" t="str">
        <f t="shared" si="53"/>
        <v/>
      </c>
      <c r="Q106" s="71"/>
      <c r="R106" s="10" t="str">
        <f t="shared" si="69"/>
        <v/>
      </c>
      <c r="S106" s="71"/>
      <c r="T106" s="10" t="str">
        <f t="shared" si="70"/>
        <v/>
      </c>
      <c r="U106" s="71"/>
      <c r="V106" s="10" t="str">
        <f t="shared" si="54"/>
        <v/>
      </c>
      <c r="W106" s="10" t="str">
        <f t="shared" si="71"/>
        <v/>
      </c>
      <c r="X106" s="71"/>
      <c r="Y106" s="10" t="str">
        <f t="shared" si="55"/>
        <v/>
      </c>
      <c r="Z106" s="10" t="str">
        <f t="shared" si="72"/>
        <v/>
      </c>
      <c r="AA106" s="71"/>
      <c r="AB106" s="10" t="str">
        <f t="shared" si="56"/>
        <v/>
      </c>
      <c r="AC106" s="10" t="str">
        <f t="shared" si="73"/>
        <v/>
      </c>
      <c r="AD106" s="71"/>
      <c r="AE106" s="10" t="str">
        <f t="shared" si="57"/>
        <v/>
      </c>
      <c r="AF106" s="10" t="str">
        <f t="shared" si="74"/>
        <v/>
      </c>
      <c r="AG106" s="71"/>
      <c r="AH106" s="10" t="str">
        <f t="shared" si="58"/>
        <v/>
      </c>
      <c r="AI106" s="10" t="str">
        <f t="shared" si="75"/>
        <v/>
      </c>
      <c r="AJ106" s="71"/>
      <c r="AK106" s="10" t="str">
        <f t="shared" si="59"/>
        <v/>
      </c>
      <c r="AL106" s="10" t="str">
        <f t="shared" si="76"/>
        <v/>
      </c>
      <c r="AM106" s="71"/>
      <c r="AN106" s="10" t="str">
        <f t="shared" si="60"/>
        <v/>
      </c>
      <c r="AO106" s="10" t="str">
        <f t="shared" si="77"/>
        <v/>
      </c>
      <c r="AP106" s="71"/>
      <c r="AQ106" s="10" t="str">
        <f t="shared" si="61"/>
        <v/>
      </c>
      <c r="AR106" s="10" t="str">
        <f t="shared" si="78"/>
        <v/>
      </c>
      <c r="AS106" s="71"/>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U106" s="71"/>
      <c r="AV106" s="10" t="str">
        <f t="shared" si="62"/>
        <v/>
      </c>
      <c r="AW106" s="10" t="str">
        <f t="shared" si="79"/>
        <v/>
      </c>
      <c r="AX106" s="71"/>
      <c r="AY106" s="7" t="str">
        <f>IF(ISERROR(IF($K106&lt;=$F$15,VLOOKUP($I106,'表4）CO2価格'!$A$7:$E$67,VLOOKUP($F$48,'表4）CO2価格'!$H$10:$I$12,2,0),0)*$F$8/1000,"")),0,IF($K106&lt;=$F$15,VLOOKUP($I106,'表4）CO2価格'!$A$7:$E$67,VLOOKUP($F$48,'表4）CO2価格'!$H$10:$I$12,2,0),0)*$F$8/1000,""))</f>
        <v/>
      </c>
      <c r="AZ106" s="71"/>
      <c r="BA106" s="11" t="str">
        <f t="shared" si="63"/>
        <v/>
      </c>
      <c r="BB106" s="10" t="str">
        <f t="shared" si="80"/>
        <v/>
      </c>
      <c r="BC106" s="71"/>
      <c r="BD106" s="10" t="str">
        <f t="shared" si="64"/>
        <v/>
      </c>
      <c r="BE106" s="10" t="str">
        <f t="shared" si="81"/>
        <v/>
      </c>
      <c r="BF106" s="71"/>
      <c r="BG106" s="11" t="str">
        <f t="shared" si="65"/>
        <v/>
      </c>
      <c r="BH106" s="10" t="str">
        <f t="shared" si="82"/>
        <v/>
      </c>
      <c r="BJ106" s="7" t="str">
        <f t="shared" si="83"/>
        <v/>
      </c>
      <c r="BK106" s="158" t="str">
        <f t="shared" si="84"/>
        <v/>
      </c>
      <c r="BL106" s="158" t="str">
        <f t="shared" si="66"/>
        <v/>
      </c>
      <c r="BM106" s="10"/>
      <c r="BN106" s="10" t="str">
        <f t="shared" si="85"/>
        <v/>
      </c>
      <c r="BO106" s="10" t="str">
        <f t="shared" si="86"/>
        <v/>
      </c>
      <c r="BQ106" s="10" t="str">
        <f t="shared" si="67"/>
        <v/>
      </c>
      <c r="BR106" s="10" t="str">
        <f t="shared" si="87"/>
        <v/>
      </c>
    </row>
    <row r="107" spans="4:70" ht="15" x14ac:dyDescent="0.15">
      <c r="D107" s="116" t="s">
        <v>204</v>
      </c>
      <c r="F107" s="94">
        <f>SUBTOTAL(9,F111:F112)</f>
        <v>0</v>
      </c>
      <c r="G107" s="81" t="s">
        <v>132</v>
      </c>
      <c r="I107" s="458">
        <f t="shared" si="88"/>
        <v>2122</v>
      </c>
      <c r="J107" s="39"/>
      <c r="K107" s="39">
        <f t="shared" si="89"/>
        <v>93</v>
      </c>
      <c r="L107" s="39"/>
      <c r="M107" s="40">
        <f t="shared" si="52"/>
        <v>6.3993829875609989E-2</v>
      </c>
      <c r="N107" s="39"/>
      <c r="O107" s="72" t="str">
        <f t="shared" si="68"/>
        <v/>
      </c>
      <c r="P107" s="41" t="str">
        <f t="shared" si="53"/>
        <v/>
      </c>
      <c r="Q107" s="39"/>
      <c r="R107" s="72" t="str">
        <f t="shared" si="69"/>
        <v/>
      </c>
      <c r="S107" s="39"/>
      <c r="T107" s="72" t="str">
        <f t="shared" si="70"/>
        <v/>
      </c>
      <c r="U107" s="39"/>
      <c r="V107" s="72" t="str">
        <f t="shared" si="54"/>
        <v/>
      </c>
      <c r="W107" s="72" t="str">
        <f t="shared" si="71"/>
        <v/>
      </c>
      <c r="X107" s="39"/>
      <c r="Y107" s="72" t="str">
        <f t="shared" si="55"/>
        <v/>
      </c>
      <c r="Z107" s="72" t="str">
        <f t="shared" si="72"/>
        <v/>
      </c>
      <c r="AA107" s="39"/>
      <c r="AB107" s="72" t="str">
        <f t="shared" si="56"/>
        <v/>
      </c>
      <c r="AC107" s="72" t="str">
        <f t="shared" si="73"/>
        <v/>
      </c>
      <c r="AD107" s="39"/>
      <c r="AE107" s="72" t="str">
        <f t="shared" si="57"/>
        <v/>
      </c>
      <c r="AF107" s="72" t="str">
        <f t="shared" si="74"/>
        <v/>
      </c>
      <c r="AG107" s="39"/>
      <c r="AH107" s="72" t="str">
        <f t="shared" si="58"/>
        <v/>
      </c>
      <c r="AI107" s="72" t="str">
        <f t="shared" si="75"/>
        <v/>
      </c>
      <c r="AJ107" s="39"/>
      <c r="AK107" s="72" t="str">
        <f t="shared" si="59"/>
        <v/>
      </c>
      <c r="AL107" s="72" t="str">
        <f t="shared" si="76"/>
        <v/>
      </c>
      <c r="AM107" s="39"/>
      <c r="AN107" s="72" t="str">
        <f t="shared" si="60"/>
        <v/>
      </c>
      <c r="AO107" s="72" t="str">
        <f t="shared" si="77"/>
        <v/>
      </c>
      <c r="AP107" s="39"/>
      <c r="AQ107" s="72" t="str">
        <f t="shared" si="61"/>
        <v/>
      </c>
      <c r="AR107" s="72" t="str">
        <f t="shared" si="78"/>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62"/>
        <v/>
      </c>
      <c r="AW107" s="72" t="str">
        <f t="shared" si="79"/>
        <v/>
      </c>
      <c r="AX107" s="39"/>
      <c r="AY107" s="40" t="str">
        <f>IF(ISERROR(IF($K107&lt;=$F$15,VLOOKUP($I107,'表4）CO2価格'!$A$7:$E$67,VLOOKUP($F$48,'表4）CO2価格'!$H$10:$I$12,2,0),0)*$F$8/1000,"")),0,IF($K107&lt;=$F$15,VLOOKUP($I107,'表4）CO2価格'!$A$7:$E$67,VLOOKUP($F$48,'表4）CO2価格'!$H$10:$I$12,2,0),0)*$F$8/1000,""))</f>
        <v/>
      </c>
      <c r="AZ107" s="39"/>
      <c r="BA107" s="42" t="str">
        <f t="shared" si="63"/>
        <v/>
      </c>
      <c r="BB107" s="72" t="str">
        <f t="shared" si="80"/>
        <v/>
      </c>
      <c r="BC107" s="39"/>
      <c r="BD107" s="72" t="str">
        <f t="shared" si="64"/>
        <v/>
      </c>
      <c r="BE107" s="72" t="str">
        <f t="shared" si="81"/>
        <v/>
      </c>
      <c r="BF107" s="39"/>
      <c r="BG107" s="42" t="str">
        <f t="shared" si="65"/>
        <v/>
      </c>
      <c r="BH107" s="72" t="str">
        <f t="shared" si="82"/>
        <v/>
      </c>
      <c r="BI107" s="39"/>
      <c r="BJ107" s="40" t="str">
        <f t="shared" si="83"/>
        <v/>
      </c>
      <c r="BK107" s="157" t="str">
        <f t="shared" si="84"/>
        <v/>
      </c>
      <c r="BL107" s="157" t="str">
        <f t="shared" si="66"/>
        <v/>
      </c>
      <c r="BM107" s="72"/>
      <c r="BN107" s="72" t="str">
        <f t="shared" si="85"/>
        <v/>
      </c>
      <c r="BO107" s="72" t="str">
        <f t="shared" si="86"/>
        <v/>
      </c>
      <c r="BP107" s="39"/>
      <c r="BQ107" s="72" t="str">
        <f t="shared" si="67"/>
        <v/>
      </c>
      <c r="BR107" s="72" t="str">
        <f t="shared" si="87"/>
        <v/>
      </c>
    </row>
    <row r="108" spans="4:70" ht="15" x14ac:dyDescent="0.15">
      <c r="D108" s="116"/>
      <c r="F108" s="93"/>
      <c r="I108" s="459">
        <f t="shared" si="88"/>
        <v>2123</v>
      </c>
      <c r="J108" s="71"/>
      <c r="K108" s="71">
        <f t="shared" si="89"/>
        <v>94</v>
      </c>
      <c r="L108" s="71"/>
      <c r="M108" s="7">
        <f t="shared" si="52"/>
        <v>6.212993191806794E-2</v>
      </c>
      <c r="N108" s="71"/>
      <c r="O108" s="10" t="str">
        <f t="shared" si="68"/>
        <v/>
      </c>
      <c r="P108" s="29" t="str">
        <f t="shared" si="53"/>
        <v/>
      </c>
      <c r="Q108" s="71"/>
      <c r="R108" s="10" t="str">
        <f t="shared" si="69"/>
        <v/>
      </c>
      <c r="S108" s="71"/>
      <c r="T108" s="10" t="str">
        <f t="shared" si="70"/>
        <v/>
      </c>
      <c r="U108" s="71"/>
      <c r="V108" s="10" t="str">
        <f t="shared" si="54"/>
        <v/>
      </c>
      <c r="W108" s="10" t="str">
        <f t="shared" si="71"/>
        <v/>
      </c>
      <c r="X108" s="71"/>
      <c r="Y108" s="10" t="str">
        <f t="shared" si="55"/>
        <v/>
      </c>
      <c r="Z108" s="10" t="str">
        <f t="shared" si="72"/>
        <v/>
      </c>
      <c r="AA108" s="71"/>
      <c r="AB108" s="10" t="str">
        <f t="shared" si="56"/>
        <v/>
      </c>
      <c r="AC108" s="10" t="str">
        <f t="shared" si="73"/>
        <v/>
      </c>
      <c r="AD108" s="71"/>
      <c r="AE108" s="10" t="str">
        <f t="shared" si="57"/>
        <v/>
      </c>
      <c r="AF108" s="10" t="str">
        <f t="shared" si="74"/>
        <v/>
      </c>
      <c r="AG108" s="71"/>
      <c r="AH108" s="10" t="str">
        <f t="shared" si="58"/>
        <v/>
      </c>
      <c r="AI108" s="10" t="str">
        <f t="shared" si="75"/>
        <v/>
      </c>
      <c r="AJ108" s="71"/>
      <c r="AK108" s="10" t="str">
        <f t="shared" si="59"/>
        <v/>
      </c>
      <c r="AL108" s="10" t="str">
        <f t="shared" si="76"/>
        <v/>
      </c>
      <c r="AM108" s="71"/>
      <c r="AN108" s="10" t="str">
        <f t="shared" si="60"/>
        <v/>
      </c>
      <c r="AO108" s="10" t="str">
        <f t="shared" si="77"/>
        <v/>
      </c>
      <c r="AP108" s="71"/>
      <c r="AQ108" s="10" t="str">
        <f t="shared" si="61"/>
        <v/>
      </c>
      <c r="AR108" s="10" t="str">
        <f t="shared" si="78"/>
        <v/>
      </c>
      <c r="AS108" s="71"/>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U108" s="71"/>
      <c r="AV108" s="10" t="str">
        <f t="shared" si="62"/>
        <v/>
      </c>
      <c r="AW108" s="10" t="str">
        <f t="shared" si="79"/>
        <v/>
      </c>
      <c r="AX108" s="71"/>
      <c r="AY108" s="7" t="str">
        <f>IF(ISERROR(IF($K108&lt;=$F$15,VLOOKUP($I108,'表4）CO2価格'!$A$7:$E$67,VLOOKUP($F$48,'表4）CO2価格'!$H$10:$I$12,2,0),0)*$F$8/1000,"")),0,IF($K108&lt;=$F$15,VLOOKUP($I108,'表4）CO2価格'!$A$7:$E$67,VLOOKUP($F$48,'表4）CO2価格'!$H$10:$I$12,2,0),0)*$F$8/1000,""))</f>
        <v/>
      </c>
      <c r="AZ108" s="71"/>
      <c r="BA108" s="11" t="str">
        <f t="shared" si="63"/>
        <v/>
      </c>
      <c r="BB108" s="10" t="str">
        <f t="shared" si="80"/>
        <v/>
      </c>
      <c r="BC108" s="71"/>
      <c r="BD108" s="10" t="str">
        <f t="shared" si="64"/>
        <v/>
      </c>
      <c r="BE108" s="10" t="str">
        <f t="shared" si="81"/>
        <v/>
      </c>
      <c r="BF108" s="71"/>
      <c r="BG108" s="11" t="str">
        <f t="shared" si="65"/>
        <v/>
      </c>
      <c r="BH108" s="10" t="str">
        <f t="shared" si="82"/>
        <v/>
      </c>
      <c r="BJ108" s="7" t="str">
        <f t="shared" si="83"/>
        <v/>
      </c>
      <c r="BK108" s="158" t="str">
        <f t="shared" si="84"/>
        <v/>
      </c>
      <c r="BL108" s="158" t="str">
        <f t="shared" si="66"/>
        <v/>
      </c>
      <c r="BM108" s="10"/>
      <c r="BN108" s="10" t="str">
        <f t="shared" si="85"/>
        <v/>
      </c>
      <c r="BO108" s="10" t="str">
        <f t="shared" si="86"/>
        <v/>
      </c>
      <c r="BQ108" s="10" t="str">
        <f t="shared" si="67"/>
        <v/>
      </c>
      <c r="BR108" s="10" t="str">
        <f t="shared" si="87"/>
        <v/>
      </c>
    </row>
    <row r="109" spans="4:70" x14ac:dyDescent="0.15">
      <c r="D109" s="101" t="s">
        <v>205</v>
      </c>
      <c r="E109" s="101"/>
      <c r="F109" s="92"/>
      <c r="G109" s="101"/>
      <c r="I109" s="458">
        <f t="shared" si="88"/>
        <v>2124</v>
      </c>
      <c r="J109" s="39"/>
      <c r="K109" s="39">
        <f t="shared" si="89"/>
        <v>95</v>
      </c>
      <c r="L109" s="39"/>
      <c r="M109" s="40">
        <f t="shared" si="52"/>
        <v>6.0320322250551395E-2</v>
      </c>
      <c r="N109" s="39"/>
      <c r="O109" s="72" t="str">
        <f t="shared" si="68"/>
        <v/>
      </c>
      <c r="P109" s="41" t="str">
        <f t="shared" si="53"/>
        <v/>
      </c>
      <c r="Q109" s="39"/>
      <c r="R109" s="72" t="str">
        <f t="shared" si="69"/>
        <v/>
      </c>
      <c r="S109" s="39"/>
      <c r="T109" s="72" t="str">
        <f t="shared" si="70"/>
        <v/>
      </c>
      <c r="U109" s="39"/>
      <c r="V109" s="72" t="str">
        <f t="shared" si="54"/>
        <v/>
      </c>
      <c r="W109" s="72" t="str">
        <f t="shared" si="71"/>
        <v/>
      </c>
      <c r="X109" s="39"/>
      <c r="Y109" s="72" t="str">
        <f t="shared" si="55"/>
        <v/>
      </c>
      <c r="Z109" s="72" t="str">
        <f t="shared" si="72"/>
        <v/>
      </c>
      <c r="AA109" s="39"/>
      <c r="AB109" s="72" t="str">
        <f t="shared" si="56"/>
        <v/>
      </c>
      <c r="AC109" s="72" t="str">
        <f t="shared" si="73"/>
        <v/>
      </c>
      <c r="AD109" s="39"/>
      <c r="AE109" s="72" t="str">
        <f t="shared" si="57"/>
        <v/>
      </c>
      <c r="AF109" s="72" t="str">
        <f t="shared" si="74"/>
        <v/>
      </c>
      <c r="AG109" s="39"/>
      <c r="AH109" s="72" t="str">
        <f t="shared" si="58"/>
        <v/>
      </c>
      <c r="AI109" s="72" t="str">
        <f t="shared" si="75"/>
        <v/>
      </c>
      <c r="AJ109" s="39"/>
      <c r="AK109" s="72" t="str">
        <f t="shared" si="59"/>
        <v/>
      </c>
      <c r="AL109" s="72" t="str">
        <f t="shared" si="76"/>
        <v/>
      </c>
      <c r="AM109" s="39"/>
      <c r="AN109" s="72" t="str">
        <f t="shared" si="60"/>
        <v/>
      </c>
      <c r="AO109" s="72" t="str">
        <f t="shared" si="77"/>
        <v/>
      </c>
      <c r="AP109" s="39"/>
      <c r="AQ109" s="72" t="str">
        <f t="shared" si="61"/>
        <v/>
      </c>
      <c r="AR109" s="72" t="str">
        <f t="shared" si="78"/>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62"/>
        <v/>
      </c>
      <c r="AW109" s="72" t="str">
        <f t="shared" si="79"/>
        <v/>
      </c>
      <c r="AX109" s="39"/>
      <c r="AY109" s="40" t="str">
        <f>IF(ISERROR(IF($K109&lt;=$F$15,VLOOKUP($I109,'表4）CO2価格'!$A$7:$E$67,VLOOKUP($F$48,'表4）CO2価格'!$H$10:$I$12,2,0),0)*$F$8/1000,"")),0,IF($K109&lt;=$F$15,VLOOKUP($I109,'表4）CO2価格'!$A$7:$E$67,VLOOKUP($F$48,'表4）CO2価格'!$H$10:$I$12,2,0),0)*$F$8/1000,""))</f>
        <v/>
      </c>
      <c r="AZ109" s="39"/>
      <c r="BA109" s="42" t="str">
        <f t="shared" si="63"/>
        <v/>
      </c>
      <c r="BB109" s="72" t="str">
        <f t="shared" si="80"/>
        <v/>
      </c>
      <c r="BC109" s="39"/>
      <c r="BD109" s="72" t="str">
        <f t="shared" si="64"/>
        <v/>
      </c>
      <c r="BE109" s="72" t="str">
        <f t="shared" si="81"/>
        <v/>
      </c>
      <c r="BF109" s="39"/>
      <c r="BG109" s="42" t="str">
        <f t="shared" si="65"/>
        <v/>
      </c>
      <c r="BH109" s="72" t="str">
        <f t="shared" si="82"/>
        <v/>
      </c>
      <c r="BI109" s="39"/>
      <c r="BJ109" s="40" t="str">
        <f t="shared" si="83"/>
        <v/>
      </c>
      <c r="BK109" s="157" t="str">
        <f t="shared" si="84"/>
        <v/>
      </c>
      <c r="BL109" s="157" t="str">
        <f t="shared" si="66"/>
        <v/>
      </c>
      <c r="BM109" s="72"/>
      <c r="BN109" s="72" t="str">
        <f t="shared" si="85"/>
        <v/>
      </c>
      <c r="BO109" s="72" t="str">
        <f t="shared" si="86"/>
        <v/>
      </c>
      <c r="BP109" s="39"/>
      <c r="BQ109" s="72" t="str">
        <f t="shared" si="67"/>
        <v/>
      </c>
      <c r="BR109" s="72" t="str">
        <f t="shared" si="87"/>
        <v/>
      </c>
    </row>
    <row r="110" spans="4:70" ht="15" x14ac:dyDescent="0.15">
      <c r="D110" s="116"/>
      <c r="F110" s="93"/>
      <c r="I110" s="459">
        <f t="shared" si="88"/>
        <v>2125</v>
      </c>
      <c r="J110" s="71"/>
      <c r="K110" s="71">
        <f t="shared" si="89"/>
        <v>96</v>
      </c>
      <c r="L110" s="71"/>
      <c r="M110" s="7">
        <f t="shared" si="52"/>
        <v>5.8563419660729518E-2</v>
      </c>
      <c r="N110" s="71"/>
      <c r="O110" s="10" t="str">
        <f t="shared" si="68"/>
        <v/>
      </c>
      <c r="P110" s="29" t="str">
        <f t="shared" si="53"/>
        <v/>
      </c>
      <c r="Q110" s="71"/>
      <c r="R110" s="10" t="str">
        <f t="shared" si="69"/>
        <v/>
      </c>
      <c r="S110" s="71"/>
      <c r="T110" s="10" t="str">
        <f t="shared" si="70"/>
        <v/>
      </c>
      <c r="U110" s="71"/>
      <c r="V110" s="10" t="str">
        <f t="shared" si="54"/>
        <v/>
      </c>
      <c r="W110" s="10" t="str">
        <f t="shared" si="71"/>
        <v/>
      </c>
      <c r="X110" s="71"/>
      <c r="Y110" s="10" t="str">
        <f t="shared" si="55"/>
        <v/>
      </c>
      <c r="Z110" s="10" t="str">
        <f t="shared" si="72"/>
        <v/>
      </c>
      <c r="AA110" s="71"/>
      <c r="AB110" s="10" t="str">
        <f t="shared" si="56"/>
        <v/>
      </c>
      <c r="AC110" s="10" t="str">
        <f t="shared" si="73"/>
        <v/>
      </c>
      <c r="AD110" s="71"/>
      <c r="AE110" s="10" t="str">
        <f t="shared" si="57"/>
        <v/>
      </c>
      <c r="AF110" s="10" t="str">
        <f t="shared" si="74"/>
        <v/>
      </c>
      <c r="AG110" s="71"/>
      <c r="AH110" s="10" t="str">
        <f t="shared" si="58"/>
        <v/>
      </c>
      <c r="AI110" s="10" t="str">
        <f t="shared" si="75"/>
        <v/>
      </c>
      <c r="AJ110" s="71"/>
      <c r="AK110" s="10" t="str">
        <f t="shared" si="59"/>
        <v/>
      </c>
      <c r="AL110" s="10" t="str">
        <f t="shared" si="76"/>
        <v/>
      </c>
      <c r="AM110" s="71"/>
      <c r="AN110" s="10" t="str">
        <f t="shared" si="60"/>
        <v/>
      </c>
      <c r="AO110" s="10" t="str">
        <f t="shared" si="77"/>
        <v/>
      </c>
      <c r="AP110" s="71"/>
      <c r="AQ110" s="10" t="str">
        <f t="shared" si="61"/>
        <v/>
      </c>
      <c r="AR110" s="10" t="str">
        <f t="shared" si="78"/>
        <v/>
      </c>
      <c r="AS110" s="71"/>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U110" s="71"/>
      <c r="AV110" s="10" t="str">
        <f t="shared" si="62"/>
        <v/>
      </c>
      <c r="AW110" s="10" t="str">
        <f t="shared" si="79"/>
        <v/>
      </c>
      <c r="AX110" s="71"/>
      <c r="AY110" s="7" t="str">
        <f>IF(ISERROR(IF($K110&lt;=$F$15,VLOOKUP($I110,'表4）CO2価格'!$A$7:$E$67,VLOOKUP($F$48,'表4）CO2価格'!$H$10:$I$12,2,0),0)*$F$8/1000,"")),0,IF($K110&lt;=$F$15,VLOOKUP($I110,'表4）CO2価格'!$A$7:$E$67,VLOOKUP($F$48,'表4）CO2価格'!$H$10:$I$12,2,0),0)*$F$8/1000,""))</f>
        <v/>
      </c>
      <c r="AZ110" s="71"/>
      <c r="BA110" s="11" t="str">
        <f t="shared" si="63"/>
        <v/>
      </c>
      <c r="BB110" s="10" t="str">
        <f t="shared" si="80"/>
        <v/>
      </c>
      <c r="BC110" s="71"/>
      <c r="BD110" s="10" t="str">
        <f t="shared" si="64"/>
        <v/>
      </c>
      <c r="BE110" s="10" t="str">
        <f t="shared" si="81"/>
        <v/>
      </c>
      <c r="BF110" s="71"/>
      <c r="BG110" s="11" t="str">
        <f t="shared" si="65"/>
        <v/>
      </c>
      <c r="BH110" s="10" t="str">
        <f t="shared" si="82"/>
        <v/>
      </c>
      <c r="BJ110" s="7" t="str">
        <f t="shared" si="83"/>
        <v/>
      </c>
      <c r="BK110" s="158" t="str">
        <f t="shared" si="84"/>
        <v/>
      </c>
      <c r="BL110" s="158" t="str">
        <f t="shared" si="66"/>
        <v/>
      </c>
      <c r="BM110" s="10"/>
      <c r="BN110" s="10" t="str">
        <f t="shared" si="85"/>
        <v/>
      </c>
      <c r="BO110" s="10" t="str">
        <f t="shared" si="86"/>
        <v/>
      </c>
      <c r="BQ110" s="10" t="str">
        <f t="shared" si="67"/>
        <v/>
      </c>
      <c r="BR110" s="10" t="str">
        <f t="shared" si="87"/>
        <v/>
      </c>
    </row>
    <row r="111" spans="4:70" ht="15" x14ac:dyDescent="0.15">
      <c r="D111" s="116"/>
      <c r="E111" s="81" t="s">
        <v>206</v>
      </c>
      <c r="F111" s="91">
        <f>-BE116/BR116</f>
        <v>0</v>
      </c>
      <c r="G111" s="81" t="s">
        <v>132</v>
      </c>
      <c r="I111" s="458">
        <f t="shared" si="88"/>
        <v>2126</v>
      </c>
      <c r="J111" s="39"/>
      <c r="K111" s="39">
        <f t="shared" si="89"/>
        <v>97</v>
      </c>
      <c r="L111" s="39"/>
      <c r="M111" s="40">
        <f t="shared" si="52"/>
        <v>5.6857688990999529E-2</v>
      </c>
      <c r="N111" s="39"/>
      <c r="O111" s="72" t="str">
        <f t="shared" si="68"/>
        <v/>
      </c>
      <c r="P111" s="41" t="str">
        <f>IF(K111&lt;=$F$15,IF(OR(P110=$F$124,P110="-"),"-",IF(O111*$F$123&gt;$F$127,$F$123,$F$124)),"")</f>
        <v/>
      </c>
      <c r="Q111" s="39"/>
      <c r="R111" s="72" t="str">
        <f t="shared" si="69"/>
        <v/>
      </c>
      <c r="S111" s="39"/>
      <c r="T111" s="72" t="str">
        <f t="shared" si="70"/>
        <v/>
      </c>
      <c r="U111" s="39"/>
      <c r="V111" s="72" t="str">
        <f t="shared" si="54"/>
        <v/>
      </c>
      <c r="W111" s="72" t="str">
        <f t="shared" si="71"/>
        <v/>
      </c>
      <c r="X111" s="39"/>
      <c r="Y111" s="72" t="str">
        <f t="shared" si="55"/>
        <v/>
      </c>
      <c r="Z111" s="72" t="str">
        <f t="shared" si="72"/>
        <v/>
      </c>
      <c r="AA111" s="39"/>
      <c r="AB111" s="72" t="str">
        <f t="shared" si="56"/>
        <v/>
      </c>
      <c r="AC111" s="72" t="str">
        <f t="shared" si="73"/>
        <v/>
      </c>
      <c r="AD111" s="39"/>
      <c r="AE111" s="72" t="str">
        <f t="shared" si="57"/>
        <v/>
      </c>
      <c r="AF111" s="72" t="str">
        <f t="shared" si="74"/>
        <v/>
      </c>
      <c r="AG111" s="39"/>
      <c r="AH111" s="72" t="str">
        <f t="shared" si="58"/>
        <v/>
      </c>
      <c r="AI111" s="72" t="str">
        <f t="shared" si="75"/>
        <v/>
      </c>
      <c r="AJ111" s="39"/>
      <c r="AK111" s="72" t="str">
        <f t="shared" si="59"/>
        <v/>
      </c>
      <c r="AL111" s="72" t="str">
        <f t="shared" si="76"/>
        <v/>
      </c>
      <c r="AM111" s="39"/>
      <c r="AN111" s="72" t="str">
        <f t="shared" si="60"/>
        <v/>
      </c>
      <c r="AO111" s="72" t="str">
        <f t="shared" si="77"/>
        <v/>
      </c>
      <c r="AP111" s="39"/>
      <c r="AQ111" s="72" t="str">
        <f t="shared" si="61"/>
        <v/>
      </c>
      <c r="AR111" s="72" t="str">
        <f t="shared" si="78"/>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62"/>
        <v/>
      </c>
      <c r="AW111" s="72" t="str">
        <f t="shared" si="79"/>
        <v/>
      </c>
      <c r="AX111" s="39"/>
      <c r="AY111" s="40" t="str">
        <f>IF(ISERROR(IF($K111&lt;=$F$15,VLOOKUP($I111,'表4）CO2価格'!$A$7:$E$67,VLOOKUP($F$48,'表4）CO2価格'!$H$10:$I$12,2,0),0)*$F$8/1000,"")),0,IF($K111&lt;=$F$15,VLOOKUP($I111,'表4）CO2価格'!$A$7:$E$67,VLOOKUP($F$48,'表4）CO2価格'!$H$10:$I$12,2,0),0)*$F$8/1000,""))</f>
        <v/>
      </c>
      <c r="AZ111" s="39"/>
      <c r="BA111" s="42" t="str">
        <f t="shared" si="63"/>
        <v/>
      </c>
      <c r="BB111" s="72" t="str">
        <f t="shared" si="80"/>
        <v/>
      </c>
      <c r="BC111" s="39"/>
      <c r="BD111" s="72" t="str">
        <f t="shared" si="64"/>
        <v/>
      </c>
      <c r="BE111" s="72" t="str">
        <f t="shared" si="81"/>
        <v/>
      </c>
      <c r="BF111" s="39"/>
      <c r="BG111" s="42" t="str">
        <f t="shared" si="65"/>
        <v/>
      </c>
      <c r="BH111" s="72" t="str">
        <f t="shared" si="82"/>
        <v/>
      </c>
      <c r="BI111" s="39"/>
      <c r="BJ111" s="40" t="str">
        <f t="shared" si="83"/>
        <v/>
      </c>
      <c r="BK111" s="157" t="str">
        <f t="shared" si="84"/>
        <v/>
      </c>
      <c r="BL111" s="157" t="str">
        <f t="shared" si="66"/>
        <v/>
      </c>
      <c r="BM111" s="72"/>
      <c r="BN111" s="72" t="str">
        <f t="shared" si="85"/>
        <v/>
      </c>
      <c r="BO111" s="72" t="str">
        <f t="shared" si="86"/>
        <v/>
      </c>
      <c r="BP111" s="39"/>
      <c r="BQ111" s="72" t="str">
        <f t="shared" si="67"/>
        <v/>
      </c>
      <c r="BR111" s="72" t="str">
        <f t="shared" si="87"/>
        <v/>
      </c>
    </row>
    <row r="112" spans="4:70" ht="15" x14ac:dyDescent="0.15">
      <c r="D112" s="116"/>
      <c r="E112" s="81" t="s">
        <v>207</v>
      </c>
      <c r="F112" s="91">
        <f>-BH116/BR116</f>
        <v>0</v>
      </c>
      <c r="G112" s="81" t="s">
        <v>132</v>
      </c>
      <c r="I112" s="459">
        <f t="shared" si="88"/>
        <v>2127</v>
      </c>
      <c r="J112" s="71"/>
      <c r="K112" s="71">
        <f t="shared" si="89"/>
        <v>98</v>
      </c>
      <c r="L112" s="71"/>
      <c r="M112" s="7">
        <f t="shared" si="52"/>
        <v>5.5201639797086935E-2</v>
      </c>
      <c r="N112" s="71"/>
      <c r="O112" s="10" t="str">
        <f t="shared" si="68"/>
        <v/>
      </c>
      <c r="P112" s="29" t="str">
        <f>IF(K112&lt;=$F$15,IF(OR(P111=$F$124,P111="-"),"-",IF(O112*$F$123&gt;$F$127,$F$123,$F$124)),"")</f>
        <v/>
      </c>
      <c r="Q112" s="71"/>
      <c r="R112" s="10" t="str">
        <f t="shared" si="69"/>
        <v/>
      </c>
      <c r="S112" s="71"/>
      <c r="T112" s="10" t="str">
        <f t="shared" si="70"/>
        <v/>
      </c>
      <c r="U112" s="71"/>
      <c r="V112" s="10" t="str">
        <f t="shared" si="54"/>
        <v/>
      </c>
      <c r="W112" s="10" t="str">
        <f t="shared" si="71"/>
        <v/>
      </c>
      <c r="X112" s="71"/>
      <c r="Y112" s="10" t="str">
        <f t="shared" si="55"/>
        <v/>
      </c>
      <c r="Z112" s="10" t="str">
        <f t="shared" si="72"/>
        <v/>
      </c>
      <c r="AA112" s="71"/>
      <c r="AB112" s="10" t="str">
        <f t="shared" si="56"/>
        <v/>
      </c>
      <c r="AC112" s="10" t="str">
        <f t="shared" si="73"/>
        <v/>
      </c>
      <c r="AD112" s="71"/>
      <c r="AE112" s="10" t="str">
        <f t="shared" si="57"/>
        <v/>
      </c>
      <c r="AF112" s="10" t="str">
        <f t="shared" si="74"/>
        <v/>
      </c>
      <c r="AG112" s="71"/>
      <c r="AH112" s="10" t="str">
        <f t="shared" si="58"/>
        <v/>
      </c>
      <c r="AI112" s="10" t="str">
        <f t="shared" si="75"/>
        <v/>
      </c>
      <c r="AJ112" s="71"/>
      <c r="AK112" s="10" t="str">
        <f t="shared" si="59"/>
        <v/>
      </c>
      <c r="AL112" s="10" t="str">
        <f t="shared" si="76"/>
        <v/>
      </c>
      <c r="AM112" s="71"/>
      <c r="AN112" s="10" t="str">
        <f t="shared" si="60"/>
        <v/>
      </c>
      <c r="AO112" s="10" t="str">
        <f t="shared" si="77"/>
        <v/>
      </c>
      <c r="AP112" s="71"/>
      <c r="AQ112" s="10" t="str">
        <f t="shared" si="61"/>
        <v/>
      </c>
      <c r="AR112" s="10" t="str">
        <f t="shared" si="78"/>
        <v/>
      </c>
      <c r="AS112" s="71"/>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U112" s="71"/>
      <c r="AV112" s="10" t="str">
        <f t="shared" si="62"/>
        <v/>
      </c>
      <c r="AW112" s="10" t="str">
        <f t="shared" si="79"/>
        <v/>
      </c>
      <c r="AX112" s="71"/>
      <c r="AY112" s="7" t="str">
        <f>IF(ISERROR(IF($K112&lt;=$F$15,VLOOKUP($I112,'表4）CO2価格'!$A$7:$E$67,VLOOKUP($F$48,'表4）CO2価格'!$H$10:$I$12,2,0),0)*$F$8/1000,"")),0,IF($K112&lt;=$F$15,VLOOKUP($I112,'表4）CO2価格'!$A$7:$E$67,VLOOKUP($F$48,'表4）CO2価格'!$H$10:$I$12,2,0),0)*$F$8/1000,""))</f>
        <v/>
      </c>
      <c r="AZ112" s="71"/>
      <c r="BA112" s="11" t="str">
        <f t="shared" si="63"/>
        <v/>
      </c>
      <c r="BB112" s="10" t="str">
        <f t="shared" si="80"/>
        <v/>
      </c>
      <c r="BC112" s="71"/>
      <c r="BD112" s="10" t="str">
        <f t="shared" si="64"/>
        <v/>
      </c>
      <c r="BE112" s="10" t="str">
        <f t="shared" si="81"/>
        <v/>
      </c>
      <c r="BF112" s="71"/>
      <c r="BG112" s="11" t="str">
        <f t="shared" si="65"/>
        <v/>
      </c>
      <c r="BH112" s="10" t="str">
        <f t="shared" si="82"/>
        <v/>
      </c>
      <c r="BJ112" s="7" t="str">
        <f t="shared" si="83"/>
        <v/>
      </c>
      <c r="BK112" s="158" t="str">
        <f t="shared" si="84"/>
        <v/>
      </c>
      <c r="BL112" s="158" t="str">
        <f t="shared" si="66"/>
        <v/>
      </c>
      <c r="BM112" s="10"/>
      <c r="BN112" s="10" t="str">
        <f t="shared" si="85"/>
        <v/>
      </c>
      <c r="BO112" s="10" t="str">
        <f t="shared" si="86"/>
        <v/>
      </c>
      <c r="BQ112" s="10" t="str">
        <f t="shared" si="67"/>
        <v/>
      </c>
      <c r="BR112" s="10" t="str">
        <f t="shared" si="87"/>
        <v/>
      </c>
    </row>
    <row r="113" spans="2:70" x14ac:dyDescent="0.15">
      <c r="I113" s="458">
        <f t="shared" si="88"/>
        <v>2128</v>
      </c>
      <c r="J113" s="39"/>
      <c r="K113" s="39">
        <f t="shared" si="89"/>
        <v>99</v>
      </c>
      <c r="L113" s="39"/>
      <c r="M113" s="40">
        <f t="shared" si="52"/>
        <v>5.3593825045715457E-2</v>
      </c>
      <c r="N113" s="39"/>
      <c r="O113" s="72" t="str">
        <f t="shared" si="68"/>
        <v/>
      </c>
      <c r="P113" s="41" t="str">
        <f>IF(K113&lt;=$F$15,IF(OR(P112=$F$124,P112="-"),"-",IF(O113*$F$123&gt;$F$127,$F$123,$F$124)),"")</f>
        <v/>
      </c>
      <c r="Q113" s="39"/>
      <c r="R113" s="72" t="str">
        <f t="shared" si="69"/>
        <v/>
      </c>
      <c r="S113" s="39"/>
      <c r="T113" s="72" t="str">
        <f t="shared" si="70"/>
        <v/>
      </c>
      <c r="U113" s="39"/>
      <c r="V113" s="72" t="str">
        <f t="shared" si="54"/>
        <v/>
      </c>
      <c r="W113" s="72" t="str">
        <f t="shared" si="71"/>
        <v/>
      </c>
      <c r="X113" s="39"/>
      <c r="Y113" s="72" t="str">
        <f t="shared" si="55"/>
        <v/>
      </c>
      <c r="Z113" s="72" t="str">
        <f t="shared" si="72"/>
        <v/>
      </c>
      <c r="AA113" s="39"/>
      <c r="AB113" s="72" t="str">
        <f t="shared" si="56"/>
        <v/>
      </c>
      <c r="AC113" s="72" t="str">
        <f t="shared" si="73"/>
        <v/>
      </c>
      <c r="AD113" s="39"/>
      <c r="AE113" s="72" t="str">
        <f t="shared" si="57"/>
        <v/>
      </c>
      <c r="AF113" s="72" t="str">
        <f t="shared" si="74"/>
        <v/>
      </c>
      <c r="AG113" s="39"/>
      <c r="AH113" s="72" t="str">
        <f t="shared" si="58"/>
        <v/>
      </c>
      <c r="AI113" s="72" t="str">
        <f t="shared" si="75"/>
        <v/>
      </c>
      <c r="AJ113" s="39"/>
      <c r="AK113" s="72" t="str">
        <f t="shared" si="59"/>
        <v/>
      </c>
      <c r="AL113" s="72" t="str">
        <f t="shared" si="76"/>
        <v/>
      </c>
      <c r="AM113" s="39"/>
      <c r="AN113" s="72" t="str">
        <f t="shared" si="60"/>
        <v/>
      </c>
      <c r="AO113" s="72" t="str">
        <f t="shared" si="77"/>
        <v/>
      </c>
      <c r="AP113" s="39"/>
      <c r="AQ113" s="72" t="str">
        <f t="shared" si="61"/>
        <v/>
      </c>
      <c r="AR113" s="72" t="str">
        <f t="shared" si="78"/>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62"/>
        <v/>
      </c>
      <c r="AW113" s="72" t="str">
        <f t="shared" si="79"/>
        <v/>
      </c>
      <c r="AX113" s="39"/>
      <c r="AY113" s="40" t="str">
        <f>IF(ISERROR(IF($K113&lt;=$F$15,VLOOKUP($I113,'表4）CO2価格'!$A$7:$E$67,VLOOKUP($F$48,'表4）CO2価格'!$H$10:$I$12,2,0),0)*$F$8/1000,"")),0,IF($K113&lt;=$F$15,VLOOKUP($I113,'表4）CO2価格'!$A$7:$E$67,VLOOKUP($F$48,'表4）CO2価格'!$H$10:$I$12,2,0),0)*$F$8/1000,""))</f>
        <v/>
      </c>
      <c r="AZ113" s="39"/>
      <c r="BA113" s="42" t="str">
        <f t="shared" si="63"/>
        <v/>
      </c>
      <c r="BB113" s="72" t="str">
        <f t="shared" si="80"/>
        <v/>
      </c>
      <c r="BC113" s="39"/>
      <c r="BD113" s="72" t="str">
        <f t="shared" si="64"/>
        <v/>
      </c>
      <c r="BE113" s="72" t="str">
        <f t="shared" si="81"/>
        <v/>
      </c>
      <c r="BF113" s="39"/>
      <c r="BG113" s="42" t="str">
        <f t="shared" si="65"/>
        <v/>
      </c>
      <c r="BH113" s="72" t="str">
        <f t="shared" si="82"/>
        <v/>
      </c>
      <c r="BI113" s="39"/>
      <c r="BJ113" s="40" t="str">
        <f t="shared" si="83"/>
        <v/>
      </c>
      <c r="BK113" s="157" t="str">
        <f t="shared" si="84"/>
        <v/>
      </c>
      <c r="BL113" s="157" t="str">
        <f t="shared" si="66"/>
        <v/>
      </c>
      <c r="BM113" s="72"/>
      <c r="BN113" s="72" t="str">
        <f t="shared" si="85"/>
        <v/>
      </c>
      <c r="BO113" s="72" t="str">
        <f t="shared" si="86"/>
        <v/>
      </c>
      <c r="BP113" s="39"/>
      <c r="BQ113" s="72" t="str">
        <f t="shared" si="67"/>
        <v/>
      </c>
      <c r="BR113" s="72" t="str">
        <f t="shared" si="87"/>
        <v/>
      </c>
    </row>
    <row r="114" spans="2:70" ht="15.75" thickBot="1" x14ac:dyDescent="0.2">
      <c r="B114" s="460" t="s">
        <v>515</v>
      </c>
      <c r="I114" s="459">
        <f t="shared" si="88"/>
        <v>2129</v>
      </c>
      <c r="J114" s="71"/>
      <c r="K114" s="71">
        <f t="shared" si="89"/>
        <v>100</v>
      </c>
      <c r="L114" s="71"/>
      <c r="M114" s="7">
        <f t="shared" si="52"/>
        <v>5.2032839850209185E-2</v>
      </c>
      <c r="N114" s="71"/>
      <c r="O114" s="10" t="str">
        <f t="shared" si="68"/>
        <v/>
      </c>
      <c r="P114" s="29" t="str">
        <f>IF(K114&lt;=$F$15,IF(OR(P113=$F$124,P113="-"),"-",IF(O114*$F$123&gt;$F$127,$F$123,$F$124)),"")</f>
        <v/>
      </c>
      <c r="Q114" s="71"/>
      <c r="R114" s="10" t="str">
        <f t="shared" si="69"/>
        <v/>
      </c>
      <c r="S114" s="71"/>
      <c r="T114" s="10" t="str">
        <f t="shared" si="70"/>
        <v/>
      </c>
      <c r="U114" s="71"/>
      <c r="V114" s="10" t="str">
        <f t="shared" si="54"/>
        <v/>
      </c>
      <c r="W114" s="10" t="str">
        <f t="shared" si="71"/>
        <v/>
      </c>
      <c r="X114" s="71"/>
      <c r="Y114" s="10" t="str">
        <f t="shared" si="55"/>
        <v/>
      </c>
      <c r="Z114" s="10" t="str">
        <f t="shared" si="72"/>
        <v/>
      </c>
      <c r="AA114" s="71"/>
      <c r="AB114" s="10" t="str">
        <f t="shared" si="56"/>
        <v/>
      </c>
      <c r="AC114" s="10" t="str">
        <f t="shared" si="73"/>
        <v/>
      </c>
      <c r="AD114" s="71"/>
      <c r="AE114" s="10" t="str">
        <f t="shared" si="57"/>
        <v/>
      </c>
      <c r="AF114" s="10" t="str">
        <f t="shared" si="74"/>
        <v/>
      </c>
      <c r="AG114" s="71"/>
      <c r="AH114" s="10" t="str">
        <f t="shared" si="58"/>
        <v/>
      </c>
      <c r="AI114" s="10" t="str">
        <f t="shared" si="75"/>
        <v/>
      </c>
      <c r="AJ114" s="71"/>
      <c r="AK114" s="10" t="str">
        <f t="shared" si="59"/>
        <v/>
      </c>
      <c r="AL114" s="10" t="str">
        <f t="shared" si="76"/>
        <v/>
      </c>
      <c r="AM114" s="71"/>
      <c r="AN114" s="10" t="str">
        <f t="shared" si="60"/>
        <v/>
      </c>
      <c r="AO114" s="10" t="str">
        <f t="shared" si="77"/>
        <v/>
      </c>
      <c r="AP114" s="71"/>
      <c r="AQ114" s="10" t="str">
        <f t="shared" si="61"/>
        <v/>
      </c>
      <c r="AR114" s="10" t="str">
        <f t="shared" si="78"/>
        <v/>
      </c>
      <c r="AS114" s="71"/>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U114" s="71"/>
      <c r="AV114" s="10" t="str">
        <f t="shared" si="62"/>
        <v/>
      </c>
      <c r="AW114" s="10" t="str">
        <f t="shared" si="79"/>
        <v/>
      </c>
      <c r="AX114" s="71"/>
      <c r="AY114" s="7" t="str">
        <f>IF(ISERROR(IF($K114&lt;=$F$15,VLOOKUP($I114,'表4）CO2価格'!$A$7:$E$67,VLOOKUP($F$48,'表4）CO2価格'!$H$10:$I$12,2,0),0)*$F$8/1000,"")),0,IF($K114&lt;=$F$15,VLOOKUP($I114,'表4）CO2価格'!$A$7:$E$67,VLOOKUP($F$48,'表4）CO2価格'!$H$10:$I$12,2,0),0)*$F$8/1000,""))</f>
        <v/>
      </c>
      <c r="AZ114" s="71"/>
      <c r="BA114" s="11" t="str">
        <f t="shared" si="63"/>
        <v/>
      </c>
      <c r="BB114" s="10" t="str">
        <f t="shared" si="80"/>
        <v/>
      </c>
      <c r="BC114" s="71"/>
      <c r="BD114" s="10" t="str">
        <f t="shared" si="64"/>
        <v/>
      </c>
      <c r="BE114" s="10" t="str">
        <f t="shared" si="81"/>
        <v/>
      </c>
      <c r="BF114" s="71"/>
      <c r="BG114" s="11" t="str">
        <f t="shared" si="65"/>
        <v/>
      </c>
      <c r="BH114" s="10" t="str">
        <f t="shared" si="82"/>
        <v/>
      </c>
      <c r="BJ114" s="7" t="str">
        <f t="shared" si="83"/>
        <v/>
      </c>
      <c r="BK114" s="158" t="str">
        <f t="shared" si="84"/>
        <v/>
      </c>
      <c r="BL114" s="158" t="str">
        <f t="shared" si="66"/>
        <v/>
      </c>
      <c r="BM114" s="10"/>
      <c r="BN114" s="10" t="str">
        <f t="shared" si="85"/>
        <v/>
      </c>
      <c r="BO114" s="10" t="str">
        <f t="shared" si="86"/>
        <v/>
      </c>
      <c r="BQ114" s="10" t="str">
        <f t="shared" si="67"/>
        <v/>
      </c>
      <c r="BR114" s="10" t="str">
        <f t="shared" si="87"/>
        <v/>
      </c>
    </row>
    <row r="115" spans="2:70" ht="15" thickBot="1" x14ac:dyDescent="0.2">
      <c r="C115" s="86"/>
      <c r="D115" s="104"/>
      <c r="E115" s="104"/>
      <c r="F115" s="86"/>
      <c r="G115" s="104"/>
      <c r="I115" s="464"/>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9" t="s">
        <v>516</v>
      </c>
      <c r="J116" s="71"/>
      <c r="K116" s="71"/>
      <c r="L116" s="71"/>
      <c r="M116" s="71"/>
      <c r="N116" s="71"/>
      <c r="O116" s="71"/>
      <c r="P116" s="71"/>
      <c r="Q116" s="71"/>
      <c r="R116" s="71"/>
      <c r="S116" s="71"/>
      <c r="T116" s="71"/>
      <c r="U116" s="71"/>
      <c r="V116" s="11"/>
      <c r="W116" s="11"/>
      <c r="X116" s="71"/>
      <c r="Y116" s="71"/>
      <c r="Z116" s="11">
        <f>SUM(Z15:Z114)</f>
        <v>3784248.6798481238</v>
      </c>
      <c r="AA116" s="71"/>
      <c r="AB116" s="71"/>
      <c r="AC116" s="11">
        <f>SUM(AC15:AC114)</f>
        <v>1159236.8185962613</v>
      </c>
      <c r="AD116" s="71"/>
      <c r="AE116" s="71"/>
      <c r="AF116" s="11">
        <f>SUM(AF15:AF114)</f>
        <v>0</v>
      </c>
      <c r="AG116" s="71"/>
      <c r="AH116" s="71"/>
      <c r="AI116" s="11">
        <f>SUM(AI15:AI114)</f>
        <v>20895777.229533624</v>
      </c>
      <c r="AJ116" s="71"/>
      <c r="AK116" s="71"/>
      <c r="AL116" s="11">
        <f>SUM(AL15:AL114)</f>
        <v>0</v>
      </c>
      <c r="AM116" s="71"/>
      <c r="AN116" s="71"/>
      <c r="AO116" s="11">
        <f>SUM(AO15:AO114)</f>
        <v>0</v>
      </c>
      <c r="AP116" s="71"/>
      <c r="AQ116" s="71"/>
      <c r="AR116" s="11">
        <f>SUM(AR15:AR114)</f>
        <v>0</v>
      </c>
      <c r="AS116" s="71"/>
      <c r="AT116" s="71"/>
      <c r="AU116" s="71"/>
      <c r="AV116" s="71"/>
      <c r="AW116" s="11">
        <f>SUM(AW15:AW114)</f>
        <v>0</v>
      </c>
      <c r="AX116" s="71"/>
      <c r="AY116" s="71"/>
      <c r="AZ116" s="71"/>
      <c r="BA116" s="71"/>
      <c r="BB116" s="11">
        <f>SUM(BB15:BB114)</f>
        <v>0</v>
      </c>
      <c r="BC116" s="71"/>
      <c r="BD116" s="71"/>
      <c r="BE116" s="11">
        <f>SUM(BE15:BE114)</f>
        <v>0</v>
      </c>
      <c r="BF116" s="71"/>
      <c r="BG116" s="71"/>
      <c r="BH116" s="11">
        <f>SUM(BH15:BH114)</f>
        <v>0</v>
      </c>
      <c r="BK116" s="11">
        <f>SUM(BK15:BK114)</f>
        <v>20906766.935193654</v>
      </c>
      <c r="BL116" s="11">
        <f>SUM(BL15:BL114)</f>
        <v>5119204.1276224256</v>
      </c>
      <c r="BO116" s="11">
        <f>SUM(BO15:BO114)</f>
        <v>69959417.776850611</v>
      </c>
      <c r="BQ116" s="71"/>
      <c r="BR116" s="11">
        <f>SUM(BR15:BR114)</f>
        <v>6559184.4723506058</v>
      </c>
    </row>
    <row r="117" spans="2:70" x14ac:dyDescent="0.15">
      <c r="C117" s="9" t="s">
        <v>529</v>
      </c>
      <c r="F117" s="44">
        <f>F21*10^4*F13*10^4+F29*10^8</f>
        <v>43000000</v>
      </c>
      <c r="G117" s="81" t="s">
        <v>208</v>
      </c>
      <c r="I117" s="236" t="s">
        <v>145</v>
      </c>
      <c r="J117" s="71"/>
      <c r="K117" s="71"/>
      <c r="L117" s="71"/>
      <c r="M117" s="71"/>
      <c r="N117" s="71"/>
      <c r="O117" s="71"/>
      <c r="P117" s="71"/>
      <c r="Q117" s="71"/>
      <c r="R117" s="71"/>
      <c r="S117" s="71"/>
      <c r="T117" s="71"/>
      <c r="U117" s="71"/>
      <c r="V117" s="71"/>
      <c r="W117" s="11"/>
      <c r="X117" s="71"/>
      <c r="Y117" s="71"/>
      <c r="Z117" s="11">
        <f ca="1">IF(ISNUMBER($F$16),SUM(INDIRECT(ADDRESS($F$16+15,COLUMN())):INDIRECT(ADDRESS(114,COLUMN()))),"")</f>
        <v>84405.439992953907</v>
      </c>
      <c r="AA117" s="71"/>
      <c r="AB117" s="71"/>
      <c r="AC117" s="11">
        <f ca="1">IF(ISNUMBER($F$16),SUM(INDIRECT(ADDRESS($F$16+15,COLUMN())):INDIRECT(ADDRESS(114,COLUMN()))),"")</f>
        <v>1159236.8185962613</v>
      </c>
      <c r="AD117" s="71"/>
      <c r="AE117" s="71"/>
      <c r="AF117" s="11">
        <f ca="1">IF(ISNUMBER($F$16),SUM(INDIRECT(ADDRESS($F$16+15,COLUMN())):INDIRECT(ADDRESS(114,COLUMN()))),"")</f>
        <v>0</v>
      </c>
      <c r="AG117" s="71"/>
      <c r="AH117" s="71"/>
      <c r="AI117" s="11">
        <f ca="1">IF(ISNUMBER($F$16),SUM(INDIRECT(ADDRESS($F$16+15,COLUMN())):INDIRECT(ADDRESS(114,COLUMN()))),"")</f>
        <v>3042807.3969870149</v>
      </c>
      <c r="AJ117" s="71"/>
      <c r="AK117" s="71"/>
      <c r="AL117" s="11">
        <f ca="1">IF(ISNUMBER($F$16),SUM(INDIRECT(ADDRESS($F$16+15,COLUMN())):INDIRECT(ADDRESS(114,COLUMN()))),"")</f>
        <v>0</v>
      </c>
      <c r="AM117" s="71"/>
      <c r="AN117" s="71"/>
      <c r="AO117" s="11">
        <f ca="1">IF(ISNUMBER($F$16),SUM(INDIRECT(ADDRESS($F$16+15,COLUMN())):INDIRECT(ADDRESS(114,COLUMN()))),"")</f>
        <v>0</v>
      </c>
      <c r="AP117" s="71"/>
      <c r="AQ117" s="71"/>
      <c r="AR117" s="11">
        <f ca="1">IF(ISNUMBER($F$16),SUM(INDIRECT(ADDRESS($F$16+15,COLUMN())):INDIRECT(ADDRESS(114,COLUMN()))),"")</f>
        <v>0</v>
      </c>
      <c r="AS117" s="71"/>
      <c r="AT117" s="71"/>
      <c r="AU117" s="71"/>
      <c r="AV117" s="71"/>
      <c r="AW117" s="11">
        <f ca="1">IF(ISNUMBER($F$16),SUM(INDIRECT(ADDRESS($F$16+15,COLUMN())):INDIRECT(ADDRESS(114,COLUMN()))),"")</f>
        <v>0</v>
      </c>
      <c r="AX117" s="71"/>
      <c r="AY117" s="71"/>
      <c r="AZ117" s="71"/>
      <c r="BA117" s="71"/>
      <c r="BB117" s="11">
        <f ca="1">IF(ISNUMBER($F$16),SUM(INDIRECT(ADDRESS($F$16+15,COLUMN())):INDIRECT(ADDRESS(114,COLUMN()))),"")</f>
        <v>0</v>
      </c>
      <c r="BC117" s="71"/>
      <c r="BD117" s="71"/>
      <c r="BE117" s="11">
        <f ca="1">IF(ISNUMBER($F$16),SUM(INDIRECT(ADDRESS($F$16+15,COLUMN())):INDIRECT(ADDRESS(114,COLUMN()))),"")</f>
        <v>0</v>
      </c>
      <c r="BF117" s="71"/>
      <c r="BG117" s="71"/>
      <c r="BH117" s="11">
        <f ca="1">IF(ISNUMBER($F$16),SUM(INDIRECT(ADDRESS($F$16+15,COLUMN())):INDIRECT(ADDRESS(114,COLUMN()))),"")</f>
        <v>0</v>
      </c>
      <c r="BK117" s="11">
        <f ca="1">IF(ISNUMBER($F$16),SUM(INDIRECT(ADDRESS($F$16+15,COLUMN())):INDIRECT(ADDRESS(114,COLUMN()))),"")</f>
        <v>1097084.0052915672</v>
      </c>
      <c r="BL117" s="11">
        <f ca="1">IF(ISNUMBER($F$16),SUM(INDIRECT(ADDRESS($F$16+15,COLUMN())):INDIRECT(ADDRESS(114,COLUMN()))),"")</f>
        <v>0</v>
      </c>
      <c r="BO117" s="11">
        <f ca="1">IF(ISNUMBER($F$16),SUM(INDIRECT(ADDRESS($F$16+15,COLUMN())):INDIRECT(ADDRESS(114,COLUMN()))),"")</f>
        <v>0</v>
      </c>
      <c r="BQ117" s="71"/>
      <c r="BR117" s="11">
        <f ca="1">IF(ISNUMBER($F$16),SUM(INDIRECT(ADDRESS($F$16+15,COLUMN())):INDIRECT(ADDRESS(114,COLUMN()))),"")</f>
        <v>955137.241914224</v>
      </c>
    </row>
    <row r="119" spans="2:70" x14ac:dyDescent="0.15">
      <c r="C119" s="9" t="s">
        <v>521</v>
      </c>
      <c r="F119" s="44">
        <f>VLOOKUP(F3,'表2）法定耐用年数'!$A$2:$B$24,2,0)</f>
        <v>17</v>
      </c>
      <c r="G119" s="81" t="s">
        <v>108</v>
      </c>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Q119" s="71"/>
      <c r="BR119" s="71"/>
    </row>
    <row r="121" spans="2:70" x14ac:dyDescent="0.15">
      <c r="C121" s="89" t="s">
        <v>522</v>
      </c>
      <c r="D121" s="101"/>
      <c r="E121" s="101"/>
      <c r="F121" s="89"/>
      <c r="G121" s="10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Q121" s="71"/>
      <c r="BR121" s="71"/>
    </row>
    <row r="123" spans="2:70" x14ac:dyDescent="0.15">
      <c r="D123" s="81" t="s">
        <v>209</v>
      </c>
      <c r="F123" s="95">
        <f>VLOOKUP($F$119,'表1）減価償却率表'!$A$9:$E$107,3,0)</f>
        <v>0.14699999999999999</v>
      </c>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Q123" s="71"/>
      <c r="BR123" s="71"/>
    </row>
    <row r="124" spans="2:70" x14ac:dyDescent="0.15">
      <c r="D124" s="81" t="s">
        <v>210</v>
      </c>
      <c r="F124" s="95">
        <f>VLOOKUP($F$119,'表1）減価償却率表'!$A$9:$E$107,4,0)</f>
        <v>0.16700000000000001</v>
      </c>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Q124" s="71"/>
      <c r="BR124" s="71"/>
    </row>
    <row r="125" spans="2:70" x14ac:dyDescent="0.15">
      <c r="D125" s="81" t="s">
        <v>211</v>
      </c>
      <c r="F125" s="88">
        <f>VLOOKUP($F$119,'表1）減価償却率表'!$A$9:$E$107,5,0)</f>
        <v>2.9049999999999999E-2</v>
      </c>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Q125" s="71"/>
      <c r="BR125" s="71"/>
    </row>
    <row r="126" spans="2:70" x14ac:dyDescent="0.15">
      <c r="F126" s="96"/>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Q126" s="71"/>
      <c r="BR126" s="71"/>
    </row>
    <row r="127" spans="2:70" x14ac:dyDescent="0.15">
      <c r="C127" s="111" t="s">
        <v>523</v>
      </c>
      <c r="D127" s="85"/>
      <c r="E127" s="114"/>
      <c r="F127" s="44">
        <f>F117*F125</f>
        <v>1249150</v>
      </c>
      <c r="G127" s="81" t="s">
        <v>208</v>
      </c>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Q127" s="71"/>
      <c r="BR127" s="71"/>
    </row>
    <row r="129" spans="3:7" x14ac:dyDescent="0.15">
      <c r="C129" s="111" t="s">
        <v>152</v>
      </c>
      <c r="D129" s="85"/>
      <c r="E129" s="85"/>
      <c r="F129" s="95">
        <f>0.1^(1/F119)</f>
        <v>0.87332616238284333</v>
      </c>
      <c r="G129" s="85"/>
    </row>
    <row r="131" spans="3:7" x14ac:dyDescent="0.15">
      <c r="C131" s="89" t="s">
        <v>524</v>
      </c>
      <c r="D131" s="101"/>
      <c r="E131" s="101"/>
      <c r="F131" s="89"/>
      <c r="G131" s="101"/>
    </row>
    <row r="133" spans="3:7" x14ac:dyDescent="0.15">
      <c r="D133" s="81" t="s">
        <v>212</v>
      </c>
      <c r="F133" s="44">
        <f>F13*10000*24*365*F14/100</f>
        <v>376680</v>
      </c>
      <c r="G133" s="81" t="s">
        <v>213</v>
      </c>
    </row>
    <row r="134" spans="3:7" x14ac:dyDescent="0.15">
      <c r="D134" s="81" t="s">
        <v>214</v>
      </c>
      <c r="F134" s="44">
        <f>F133*(1-F24/100)</f>
        <v>376680</v>
      </c>
      <c r="G134" s="81" t="s">
        <v>213</v>
      </c>
    </row>
    <row r="135" spans="3:7" x14ac:dyDescent="0.15">
      <c r="F135" s="97"/>
    </row>
    <row r="137" spans="3:7" ht="16.5" x14ac:dyDescent="0.15">
      <c r="C137" s="9" t="s">
        <v>525</v>
      </c>
      <c r="F137" s="44">
        <f>IF(ISERROR(F133*3.6/(F23/100)/F22),0,F133*3.6/(F23/100)/F22)</f>
        <v>0</v>
      </c>
      <c r="G137" s="9" t="s">
        <v>370</v>
      </c>
    </row>
    <row r="139" spans="3:7" x14ac:dyDescent="0.15">
      <c r="C139" s="89" t="s">
        <v>526</v>
      </c>
      <c r="D139" s="101"/>
      <c r="E139" s="101"/>
      <c r="F139" s="89"/>
      <c r="G139" s="101"/>
    </row>
    <row r="141" spans="3:7" x14ac:dyDescent="0.15">
      <c r="D141" s="81" t="s">
        <v>215</v>
      </c>
      <c r="F141" s="98" t="str">
        <f>IF(OR(F3="石炭火力",F3= "LNG火力", F3="ガスコジェネ",F3="バイオマス（石炭混焼）",F3="バイオマス（木質専焼）",F3="燃料電池"),IF($F$43="需要地価格","",1000),IF(OR(F3="石油火力",F3="石油コジェネ"),IF($F$43="需要地価格","",158.987294928),""))</f>
        <v/>
      </c>
      <c r="G141" s="81" t="s">
        <v>216</v>
      </c>
    </row>
    <row r="142" spans="3:7" x14ac:dyDescent="0.15">
      <c r="D142" s="81" t="s">
        <v>180</v>
      </c>
      <c r="F142" s="91">
        <f>IF(ISERROR(F42/1000),0,F42/1000)</f>
        <v>0</v>
      </c>
      <c r="G142" s="81" t="s">
        <v>217</v>
      </c>
    </row>
    <row r="145" spans="3:7" x14ac:dyDescent="0.15">
      <c r="C145" s="9" t="s">
        <v>368</v>
      </c>
      <c r="F145" s="98">
        <f>IF(ISERROR(F133*(F47*3.6/(F23/100)/1000*(44/12))),0,F133*(F47*3.6/(F23/100)/1000*(44/12)))</f>
        <v>0</v>
      </c>
      <c r="G145" s="81" t="s">
        <v>218</v>
      </c>
    </row>
    <row r="147" spans="3:7" x14ac:dyDescent="0.15">
      <c r="C147" s="89" t="s">
        <v>369</v>
      </c>
      <c r="D147" s="101"/>
      <c r="E147" s="101"/>
      <c r="F147" s="89"/>
      <c r="G147" s="101"/>
    </row>
    <row r="149" spans="3:7" x14ac:dyDescent="0.15">
      <c r="D149" s="81" t="s">
        <v>219</v>
      </c>
      <c r="F149" s="98">
        <f>IF(ISERROR(F52/F23),0,F52/F23)</f>
        <v>0</v>
      </c>
    </row>
    <row r="150" spans="3:7" x14ac:dyDescent="0.15">
      <c r="D150" s="81" t="s">
        <v>220</v>
      </c>
      <c r="F150" s="98">
        <f>F133*F149*(F53/100)*3.6</f>
        <v>0</v>
      </c>
      <c r="G150" s="81" t="s">
        <v>221</v>
      </c>
    </row>
    <row r="151" spans="3:7" ht="16.5" x14ac:dyDescent="0.15">
      <c r="D151" s="81" t="s">
        <v>222</v>
      </c>
      <c r="F151" s="44">
        <f>IF(ISERROR(F150/(F54/100)/F55),0,F150/(F54/100)/F55)</f>
        <v>0</v>
      </c>
      <c r="G151" s="9" t="s">
        <v>370</v>
      </c>
    </row>
    <row r="152" spans="3:7" x14ac:dyDescent="0.15">
      <c r="D152" s="81" t="s">
        <v>223</v>
      </c>
      <c r="F152" s="146">
        <f>IF(ISERROR(F56/1000),0,F56/1000)</f>
        <v>0</v>
      </c>
      <c r="G152" s="81" t="s">
        <v>217</v>
      </c>
    </row>
    <row r="153" spans="3:7" x14ac:dyDescent="0.15">
      <c r="D153" s="81" t="s">
        <v>224</v>
      </c>
      <c r="F153" s="98">
        <f>IF(ISERROR(F150*F47/1000*(44/12)/(F54/100)),0,F150*F47/1000*(44/12)/(F54/100))</f>
        <v>0</v>
      </c>
      <c r="G153" s="81" t="s">
        <v>218</v>
      </c>
    </row>
  </sheetData>
  <mergeCells count="48">
    <mergeCell ref="BJ7:BO7"/>
    <mergeCell ref="BO12:BO13"/>
    <mergeCell ref="F3:G3"/>
    <mergeCell ref="V7:AF7"/>
    <mergeCell ref="AH7:AR7"/>
    <mergeCell ref="AT7:AW7"/>
    <mergeCell ref="AY7:BB7"/>
    <mergeCell ref="BD7:BH7"/>
    <mergeCell ref="AE9:AF10"/>
    <mergeCell ref="AH9:AI10"/>
    <mergeCell ref="BA9:BB10"/>
    <mergeCell ref="BD9:BE10"/>
    <mergeCell ref="BG9:BH10"/>
    <mergeCell ref="P12:P13"/>
    <mergeCell ref="W12:W13"/>
    <mergeCell ref="Z12:Z13"/>
    <mergeCell ref="BQ7:BR7"/>
    <mergeCell ref="I9:I10"/>
    <mergeCell ref="K9:K10"/>
    <mergeCell ref="M9:M10"/>
    <mergeCell ref="O9:P10"/>
    <mergeCell ref="R9:R10"/>
    <mergeCell ref="T9:T10"/>
    <mergeCell ref="V9:W10"/>
    <mergeCell ref="Y9:Z10"/>
    <mergeCell ref="AB9:AC10"/>
    <mergeCell ref="AK9:AL10"/>
    <mergeCell ref="AN9:AO10"/>
    <mergeCell ref="AQ9:AR10"/>
    <mergeCell ref="AT9:AT10"/>
    <mergeCell ref="AV9:AW10"/>
    <mergeCell ref="AY9:AY10"/>
    <mergeCell ref="AC12:AC13"/>
    <mergeCell ref="AF12:AF13"/>
    <mergeCell ref="BE12:BE13"/>
    <mergeCell ref="BH12:BH13"/>
    <mergeCell ref="AI12:AI13"/>
    <mergeCell ref="AL12:AL13"/>
    <mergeCell ref="AO12:AO13"/>
    <mergeCell ref="AR12:AR13"/>
    <mergeCell ref="AW12:AW13"/>
    <mergeCell ref="BB12:BB13"/>
    <mergeCell ref="BR12:BR13"/>
    <mergeCell ref="BJ9:BL10"/>
    <mergeCell ref="BN9:BO10"/>
    <mergeCell ref="BJ12:BJ13"/>
    <mergeCell ref="BK12:BK13"/>
    <mergeCell ref="BL12:BL13"/>
  </mergeCells>
  <phoneticPr fontId="16"/>
  <dataValidations count="4">
    <dataValidation type="list" allowBlank="1" showDropDown="1" showInputMessage="1" showErrorMessage="1" sqref="F48 F41" xr:uid="{00000000-0002-0000-1000-000000000000}">
      <formula1>"現行政策シナリオ, 新政策シナリオ"</formula1>
    </dataValidation>
    <dataValidation type="whole" allowBlank="1" showInputMessage="1" showErrorMessage="1" sqref="F7" xr:uid="{00000000-0002-0000-1000-000001000000}">
      <formula1>2010</formula1>
      <formula2>2030</formula2>
    </dataValidation>
    <dataValidation type="list" allowBlank="1" showDropDown="1" showInputMessage="1" showErrorMessage="1" sqref="F43" xr:uid="{00000000-0002-0000-1000-000002000000}">
      <formula1>"CIF価格, 需要地価格"</formula1>
    </dataValidation>
    <dataValidation type="list" allowBlank="1" showDropDown="1" showInputMessage="1" showErrorMessage="1" sqref="F3:G3" xr:uid="{00000000-0002-0000-1000-000003000000}">
      <formula1>"原子力,石炭火力,LNG火力,石油火力,一般水力,太陽光（事業用）,太陽光（住宅）,風力（陸上）,風力（洋上）,小水力,地熱,バイオマス（石炭混焼）,バイオマス（木質専焼）,ガスコジェネ,石油コジェネ,燃料電池"</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BR154"/>
  <sheetViews>
    <sheetView showGridLines="0" zoomScale="85" zoomScaleNormal="85" workbookViewId="0">
      <pane xSplit="10" ySplit="14" topLeftCell="BF15" activePane="bottomRight" state="frozen"/>
      <selection pane="topRight" activeCell="G69" sqref="G69"/>
      <selection pane="bottomLeft" activeCell="G69" sqref="G69"/>
      <selection pane="bottomRight" sqref="A1:J1048576"/>
    </sheetView>
  </sheetViews>
  <sheetFormatPr defaultColWidth="9" defaultRowHeight="14.25" outlineLevelCol="1" x14ac:dyDescent="0.15"/>
  <cols>
    <col min="1" max="3" width="6.25" style="9" customWidth="1"/>
    <col min="4" max="4" width="6.25" style="81" customWidth="1"/>
    <col min="5" max="5" width="24.375" style="81" customWidth="1"/>
    <col min="6" max="6" width="18.75" style="9" customWidth="1"/>
    <col min="7" max="7" width="24.375" style="81" bestFit="1" customWidth="1"/>
    <col min="8" max="8" width="9" style="9"/>
    <col min="9" max="9" width="6.25" style="9" customWidth="1"/>
    <col min="10" max="10" width="3" style="9" customWidth="1"/>
    <col min="11" max="11" width="6.25" style="71" customWidth="1"/>
    <col min="12" max="12" width="3" style="71" customWidth="1"/>
    <col min="13" max="13" width="6.25" style="71" customWidth="1"/>
    <col min="14" max="14" width="3" style="71" customWidth="1"/>
    <col min="15" max="15" width="17.375" style="71" bestFit="1" customWidth="1"/>
    <col min="16" max="16" width="8.625" style="71" customWidth="1"/>
    <col min="17" max="17" width="3" style="71" customWidth="1"/>
    <col min="18" max="18" width="17.375" style="71" bestFit="1" customWidth="1"/>
    <col min="19" max="19" width="3" style="71" customWidth="1"/>
    <col min="20" max="20" width="17.375" style="71" bestFit="1" customWidth="1"/>
    <col min="21" max="21" width="3" style="71" customWidth="1"/>
    <col min="22" max="22" width="15" style="71" customWidth="1" outlineLevel="1"/>
    <col min="23" max="23" width="17.375" style="71" bestFit="1" customWidth="1"/>
    <col min="24" max="24" width="3" style="71" customWidth="1"/>
    <col min="25" max="25" width="15" style="71" customWidth="1" outlineLevel="1"/>
    <col min="26" max="26" width="15" style="71" customWidth="1"/>
    <col min="27" max="27" width="3" style="71" customWidth="1"/>
    <col min="28" max="28" width="15" style="71" customWidth="1" outlineLevel="1"/>
    <col min="29" max="29" width="15" style="71" customWidth="1"/>
    <col min="30" max="30" width="3" style="71" customWidth="1"/>
    <col min="31" max="31" width="15" style="71" customWidth="1" outlineLevel="1"/>
    <col min="32" max="32" width="15" style="71" customWidth="1"/>
    <col min="33" max="33" width="3" style="71" customWidth="1"/>
    <col min="34" max="34" width="14.875" style="71" customWidth="1" outlineLevel="1"/>
    <col min="35" max="35" width="15" style="71" customWidth="1"/>
    <col min="36" max="36" width="3" style="71" customWidth="1"/>
    <col min="37" max="37" width="15" style="71" customWidth="1" outlineLevel="1"/>
    <col min="38" max="38" width="15" style="71" customWidth="1"/>
    <col min="39" max="39" width="3" style="71" customWidth="1"/>
    <col min="40" max="40" width="15" style="71" customWidth="1" outlineLevel="1"/>
    <col min="41" max="41" width="15" style="71" customWidth="1"/>
    <col min="42" max="42" width="3" style="71" customWidth="1"/>
    <col min="43" max="43" width="15" style="71" customWidth="1" outlineLevel="1"/>
    <col min="44" max="44" width="15" style="71" customWidth="1"/>
    <col min="45" max="45" width="3" style="71" customWidth="1"/>
    <col min="46" max="46" width="10.75" style="71" bestFit="1" customWidth="1"/>
    <col min="47" max="47" width="3" style="71" customWidth="1"/>
    <col min="48" max="48" width="15" style="71" customWidth="1" outlineLevel="1"/>
    <col min="49" max="49" width="17.375" style="71" bestFit="1" customWidth="1"/>
    <col min="50" max="50" width="3" style="71" customWidth="1"/>
    <col min="51" max="51" width="9.625" style="71" bestFit="1" customWidth="1"/>
    <col min="52" max="52" width="3" style="71" customWidth="1"/>
    <col min="53" max="53" width="15" style="71" customWidth="1" outlineLevel="1"/>
    <col min="54" max="54" width="17.375" style="71" bestFit="1" customWidth="1"/>
    <col min="55" max="55" width="3" style="71" customWidth="1"/>
    <col min="56" max="56" width="19.25" style="71" customWidth="1" outlineLevel="1"/>
    <col min="57" max="57" width="19.25" style="71" bestFit="1" customWidth="1"/>
    <col min="58" max="58" width="3" style="71" customWidth="1"/>
    <col min="59" max="59" width="19.25" style="71" customWidth="1" outlineLevel="1"/>
    <col min="60" max="60" width="19.25" style="71"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71" customWidth="1" outlineLevel="1"/>
    <col min="70" max="70" width="17.375" style="71" bestFit="1" customWidth="1"/>
    <col min="71" max="16384" width="9" style="71"/>
  </cols>
  <sheetData>
    <row r="1" spans="1:70" ht="18.75" x14ac:dyDescent="0.15">
      <c r="A1" s="465" t="s">
        <v>60</v>
      </c>
    </row>
    <row r="3" spans="1:70" ht="23.25" x14ac:dyDescent="0.15">
      <c r="B3" s="462" t="s">
        <v>517</v>
      </c>
      <c r="F3" s="728" t="s">
        <v>231</v>
      </c>
      <c r="G3" s="725"/>
    </row>
    <row r="4" spans="1:70" x14ac:dyDescent="0.15">
      <c r="F4" s="9" t="str">
        <f>まとめ!$B$6</f>
        <v>WEO2020　STEPS</v>
      </c>
      <c r="G4" s="112"/>
    </row>
    <row r="5" spans="1:70" ht="15.75" thickBot="1" x14ac:dyDescent="0.2">
      <c r="B5" s="460" t="s">
        <v>518</v>
      </c>
      <c r="C5" s="86"/>
      <c r="D5" s="104"/>
      <c r="E5" s="104"/>
      <c r="F5" s="86" t="str">
        <f>まとめ!$E$6</f>
        <v>収斂なし</v>
      </c>
      <c r="G5" s="104"/>
      <c r="I5" s="460" t="s">
        <v>531</v>
      </c>
      <c r="J5" s="460"/>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111"/>
      <c r="J6" s="111"/>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9" t="s">
        <v>65</v>
      </c>
      <c r="F7" s="87">
        <v>2030</v>
      </c>
      <c r="I7" s="111"/>
      <c r="J7" s="111"/>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9" t="s">
        <v>519</v>
      </c>
      <c r="F8" s="88">
        <f>まとめ!B3</f>
        <v>107</v>
      </c>
      <c r="G8" s="81" t="s">
        <v>171</v>
      </c>
      <c r="I8" s="111"/>
      <c r="J8" s="111"/>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9" t="s">
        <v>520</v>
      </c>
      <c r="F9" s="88">
        <f>まとめ!B2</f>
        <v>3</v>
      </c>
      <c r="G9" s="81" t="s">
        <v>172</v>
      </c>
      <c r="I9" s="726" t="s">
        <v>532</v>
      </c>
      <c r="J9" s="111"/>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30" t="s">
        <v>232</v>
      </c>
      <c r="AI9" s="729"/>
      <c r="AJ9" s="111"/>
      <c r="AK9" s="730" t="s">
        <v>233</v>
      </c>
      <c r="AL9" s="729"/>
      <c r="AM9" s="111"/>
      <c r="AN9" s="730" t="s">
        <v>233</v>
      </c>
      <c r="AO9" s="729"/>
      <c r="AP9" s="111"/>
      <c r="AQ9" s="730" t="s">
        <v>233</v>
      </c>
      <c r="AR9" s="729"/>
      <c r="AS9" s="8"/>
      <c r="AT9" s="707" t="s">
        <v>92</v>
      </c>
      <c r="AU9" s="8"/>
      <c r="AV9" s="707" t="s">
        <v>69</v>
      </c>
      <c r="AW9" s="707"/>
      <c r="AX9" s="371"/>
      <c r="AY9" s="720" t="s">
        <v>93</v>
      </c>
      <c r="AZ9" s="8"/>
      <c r="BA9" s="720" t="s">
        <v>70</v>
      </c>
      <c r="BB9" s="720"/>
      <c r="BC9" s="8"/>
      <c r="BD9" s="707" t="s">
        <v>69</v>
      </c>
      <c r="BE9" s="707"/>
      <c r="BF9" s="8"/>
      <c r="BG9" s="707" t="s">
        <v>70</v>
      </c>
      <c r="BH9" s="707"/>
      <c r="BI9" s="8"/>
      <c r="BJ9" s="714" t="s">
        <v>94</v>
      </c>
      <c r="BK9" s="715"/>
      <c r="BL9" s="715"/>
      <c r="BM9" s="371"/>
      <c r="BN9" s="716" t="s">
        <v>72</v>
      </c>
      <c r="BO9" s="707"/>
      <c r="BP9" s="8"/>
      <c r="BQ9" s="371"/>
      <c r="BR9" s="371"/>
    </row>
    <row r="10" spans="1:70" x14ac:dyDescent="0.15">
      <c r="I10" s="727"/>
      <c r="K10" s="708"/>
      <c r="M10" s="708"/>
      <c r="O10" s="717"/>
      <c r="P10" s="717"/>
      <c r="R10" s="708"/>
      <c r="T10" s="708"/>
      <c r="V10" s="717"/>
      <c r="W10" s="717"/>
      <c r="Y10" s="717"/>
      <c r="Z10" s="717"/>
      <c r="AB10" s="723"/>
      <c r="AC10" s="723"/>
      <c r="AD10" s="81"/>
      <c r="AE10" s="723"/>
      <c r="AF10" s="723"/>
      <c r="AH10" s="731"/>
      <c r="AI10" s="731"/>
      <c r="AJ10" s="9"/>
      <c r="AK10" s="731"/>
      <c r="AL10" s="731"/>
      <c r="AM10" s="9"/>
      <c r="AN10" s="731"/>
      <c r="AO10" s="731"/>
      <c r="AP10" s="9"/>
      <c r="AQ10" s="731"/>
      <c r="AR10" s="731"/>
      <c r="AT10" s="717"/>
      <c r="AV10" s="717"/>
      <c r="AW10" s="717"/>
      <c r="AX10" s="371"/>
      <c r="AY10" s="708"/>
      <c r="BA10" s="708"/>
      <c r="BB10" s="708"/>
      <c r="BD10" s="717"/>
      <c r="BE10" s="717"/>
      <c r="BG10" s="717"/>
      <c r="BH10" s="717"/>
      <c r="BJ10" s="708"/>
      <c r="BK10" s="708"/>
      <c r="BL10" s="708"/>
      <c r="BM10" s="371"/>
      <c r="BN10" s="717"/>
      <c r="BO10" s="717"/>
      <c r="BQ10" s="371"/>
      <c r="BR10" s="371"/>
    </row>
    <row r="11" spans="1:70" ht="15.75" customHeight="1" thickBot="1" x14ac:dyDescent="0.2">
      <c r="B11" s="460" t="s">
        <v>95</v>
      </c>
      <c r="C11" s="86"/>
      <c r="D11" s="104"/>
      <c r="E11" s="104"/>
      <c r="F11" s="86"/>
      <c r="G11" s="104"/>
      <c r="O11" s="371" t="s">
        <v>96</v>
      </c>
      <c r="P11" s="371"/>
      <c r="Q11" s="371"/>
      <c r="R11" s="371" t="s">
        <v>96</v>
      </c>
      <c r="S11" s="371"/>
      <c r="T11" s="371"/>
      <c r="V11" s="371"/>
      <c r="W11" s="371"/>
      <c r="Y11" s="371"/>
      <c r="Z11" s="371"/>
      <c r="AB11" s="371"/>
      <c r="AC11" s="371"/>
      <c r="AE11" s="371"/>
      <c r="AF11" s="371"/>
      <c r="AH11" s="371"/>
      <c r="AI11" s="371"/>
      <c r="AK11" s="371"/>
      <c r="AL11" s="371"/>
      <c r="AN11" s="371"/>
      <c r="AO11" s="371"/>
      <c r="AQ11" s="371"/>
      <c r="AR11" s="371"/>
      <c r="AT11" s="371"/>
      <c r="AV11" s="371"/>
      <c r="AW11" s="371"/>
      <c r="AX11" s="371"/>
      <c r="BB11" s="371"/>
      <c r="BD11" s="371"/>
      <c r="BE11" s="371"/>
      <c r="BG11" s="371"/>
      <c r="BH11" s="371"/>
      <c r="BJ11" s="156"/>
      <c r="BM11" s="371"/>
      <c r="BN11" s="371"/>
      <c r="BO11" s="371"/>
      <c r="BQ11" s="371"/>
      <c r="BR11" s="371"/>
    </row>
    <row r="12" spans="1:70" ht="14.25" customHeight="1" x14ac:dyDescent="0.15">
      <c r="O12" s="371"/>
      <c r="P12" s="707" t="s">
        <v>97</v>
      </c>
      <c r="W12" s="707" t="s">
        <v>98</v>
      </c>
      <c r="Z12" s="707" t="s">
        <v>98</v>
      </c>
      <c r="AC12" s="707" t="s">
        <v>98</v>
      </c>
      <c r="AF12" s="707" t="s">
        <v>98</v>
      </c>
      <c r="AI12" s="707" t="s">
        <v>98</v>
      </c>
      <c r="AL12" s="707" t="s">
        <v>98</v>
      </c>
      <c r="AO12" s="707" t="s">
        <v>98</v>
      </c>
      <c r="AR12" s="707" t="s">
        <v>98</v>
      </c>
      <c r="AW12" s="707" t="s">
        <v>98</v>
      </c>
      <c r="BB12" s="707" t="s">
        <v>98</v>
      </c>
      <c r="BE12" s="707" t="s">
        <v>98</v>
      </c>
      <c r="BH12" s="707" t="s">
        <v>98</v>
      </c>
      <c r="BJ12" s="709" t="s">
        <v>99</v>
      </c>
      <c r="BK12" s="709" t="s">
        <v>100</v>
      </c>
      <c r="BL12" s="709" t="s">
        <v>101</v>
      </c>
      <c r="BO12" s="709" t="s">
        <v>102</v>
      </c>
      <c r="BR12" s="707" t="s">
        <v>103</v>
      </c>
    </row>
    <row r="13" spans="1:70" ht="14.25" customHeight="1" x14ac:dyDescent="0.15">
      <c r="C13" s="9" t="s">
        <v>504</v>
      </c>
      <c r="F13" s="66">
        <v>2.5000000000000001E-2</v>
      </c>
      <c r="G13" s="81" t="s">
        <v>173</v>
      </c>
      <c r="O13" s="371"/>
      <c r="P13" s="708"/>
      <c r="Q13" s="371"/>
      <c r="R13" s="371"/>
      <c r="S13" s="371"/>
      <c r="T13" s="371"/>
      <c r="V13" s="371"/>
      <c r="W13" s="708"/>
      <c r="Y13" s="371"/>
      <c r="Z13" s="708"/>
      <c r="AB13" s="371"/>
      <c r="AC13" s="708"/>
      <c r="AE13" s="371"/>
      <c r="AF13" s="708"/>
      <c r="AH13" s="371"/>
      <c r="AI13" s="708"/>
      <c r="AK13" s="371"/>
      <c r="AL13" s="708"/>
      <c r="AN13" s="371"/>
      <c r="AO13" s="708"/>
      <c r="AQ13" s="371"/>
      <c r="AR13" s="708"/>
      <c r="AT13" s="371"/>
      <c r="AV13" s="371"/>
      <c r="AW13" s="708"/>
      <c r="BB13" s="708"/>
      <c r="BD13" s="371"/>
      <c r="BE13" s="708"/>
      <c r="BG13" s="371"/>
      <c r="BH13" s="708"/>
      <c r="BJ13" s="712"/>
      <c r="BK13" s="710"/>
      <c r="BL13" s="708"/>
      <c r="BM13" s="371"/>
      <c r="BO13" s="708"/>
      <c r="BQ13" s="371"/>
      <c r="BR13" s="708"/>
    </row>
    <row r="14" spans="1:70" ht="16.5" x14ac:dyDescent="0.15">
      <c r="C14" s="9" t="s">
        <v>505</v>
      </c>
      <c r="F14" s="88">
        <f>VLOOKUP(F3&amp;IF(G4&lt;&gt;"","_"&amp;G4,""),まとめ!$A$12:$G$34,IF(F7=2030,4,IF(F7=2020,3,IF(F7=2014,2,"-"))),0)</f>
        <v>17.2</v>
      </c>
      <c r="G14" s="81" t="s">
        <v>172</v>
      </c>
      <c r="O14" s="371"/>
      <c r="P14" s="371"/>
      <c r="Q14" s="371"/>
      <c r="R14" s="371"/>
      <c r="S14" s="371"/>
      <c r="T14" s="371"/>
      <c r="AT14" s="50" t="s">
        <v>104</v>
      </c>
      <c r="AY14" s="71" t="s">
        <v>105</v>
      </c>
    </row>
    <row r="15" spans="1:70" x14ac:dyDescent="0.15">
      <c r="C15" s="9" t="s">
        <v>506</v>
      </c>
      <c r="F15" s="88">
        <f>VLOOKUP(F3&amp;IF(G4&lt;&gt;"","_"&amp;G4,""),まとめ!$A$12:$G$34,IF(F7=2030,7,IF(F7=2020,6,IF(F7=2014,5,"-"))),0)</f>
        <v>25</v>
      </c>
      <c r="G15" s="81" t="s">
        <v>108</v>
      </c>
      <c r="I15" s="458">
        <f>F7</f>
        <v>2030</v>
      </c>
      <c r="J15" s="470"/>
      <c r="K15" s="39">
        <f>IF(I15&lt;&gt;"",1,"")</f>
        <v>1</v>
      </c>
      <c r="L15" s="39"/>
      <c r="M15" s="40">
        <f t="shared" ref="M15:M78" si="0">1/(1+($F$9/100))^K15</f>
        <v>0.970873786407767</v>
      </c>
      <c r="N15" s="39"/>
      <c r="O15" s="72">
        <f>F118</f>
        <v>43000000</v>
      </c>
      <c r="P15" s="41">
        <f t="shared" ref="P15:P46" si="1">IF(K15&lt;=$F$15,IF(OR(P14=$F$125,P14="-"),"-",IF(O15*$F$124&gt;$F$128,$F$124,$F$125)),"")</f>
        <v>0.14699999999999999</v>
      </c>
      <c r="Q15" s="39"/>
      <c r="R15" s="123">
        <f>F118</f>
        <v>43000000</v>
      </c>
      <c r="S15" s="39"/>
      <c r="T15" s="72">
        <f>IF(ISNUMBER(R15),ROUNDDOWN(R15,-3),"")</f>
        <v>43000000</v>
      </c>
      <c r="U15" s="39"/>
      <c r="V15" s="72">
        <f t="shared" ref="V15:V46" si="2">IF(K15&lt;=$F$15,IF(K15&lt;$F$120,IF(P15="-",V14,O15*P15),IF(K15=$F$120,MIN(IF(P15="-",V14,O15*P15),O15),0)),"")</f>
        <v>6321000</v>
      </c>
      <c r="W15" s="72">
        <f>IF(ISNUMBER(V15),V15*$M15,"")</f>
        <v>6136893.2038834952</v>
      </c>
      <c r="X15" s="39"/>
      <c r="Y15" s="72">
        <f t="shared" ref="Y15:Y46" si="3">IF($K15&lt;=$F$15,ROUNDDOWN(T15*$F$26/100,-2),"")</f>
        <v>602000</v>
      </c>
      <c r="Z15" s="72">
        <f>IF(ISNUMBER(Y15),Y15*$M15,"")</f>
        <v>584466.01941747579</v>
      </c>
      <c r="AA15" s="39"/>
      <c r="AB15" s="72">
        <f t="shared" ref="AB15:AB46" si="4">IF($K15&lt;=$F$15,0,IF(AND($K15&gt;$F$15,$K15&lt;=$F$15+$F$29),$F$28*10^8/$F$29,""))</f>
        <v>0</v>
      </c>
      <c r="AC15" s="72">
        <f>IF(ISNUMBER(AB15),AB15*$M15,"")</f>
        <v>0</v>
      </c>
      <c r="AD15" s="39"/>
      <c r="AE15" s="72">
        <f t="shared" ref="AE15:AE46" si="5">IF($K15&lt;=$F$15,$F$27,"")</f>
        <v>0</v>
      </c>
      <c r="AF15" s="72">
        <f>IF(ISNUMBER(AE15),AE15*$M15,"")</f>
        <v>0</v>
      </c>
      <c r="AG15" s="39"/>
      <c r="AH15" s="72">
        <f t="shared" ref="AH15:AH46" si="6">IF($K15&lt;=$F$15,$F$34*10^4*$F$13*10^4,"")</f>
        <v>1200000</v>
      </c>
      <c r="AI15" s="72">
        <f>IF(ISNUMBER(AH15),AH15*$M15,"")</f>
        <v>1165048.5436893203</v>
      </c>
      <c r="AJ15" s="39"/>
      <c r="AK15" s="72">
        <f t="shared" ref="AK15:AK46" si="7">IF($K15&lt;=$F$15,$F$118*$F$35/100,"")</f>
        <v>0</v>
      </c>
      <c r="AL15" s="72">
        <f>IF(ISNUMBER(AK15),AK15*$M15,"")</f>
        <v>0</v>
      </c>
      <c r="AM15" s="39"/>
      <c r="AN15" s="72">
        <f t="shared" ref="AN15:AN46" si="8">IF($K15&lt;=$F$15,$F$118*$F$36/100,"")</f>
        <v>0</v>
      </c>
      <c r="AO15" s="72">
        <f>IF(ISNUMBER(AN15),AN15*$M15,"")</f>
        <v>0</v>
      </c>
      <c r="AP15" s="39"/>
      <c r="AQ15" s="72">
        <f t="shared" ref="AQ15:AQ46" si="9">IF($K15&lt;=$F$15,SUM(AH15,AK15,AN15)*($F$37/100),"")</f>
        <v>0</v>
      </c>
      <c r="AR15" s="72">
        <f>IF(ISNUMBER(AQ15),AQ15*$M15,"")</f>
        <v>0</v>
      </c>
      <c r="AS15" s="39"/>
      <c r="AT15" s="40">
        <f>IF($K15&lt;=$F$15,IF($F$41&lt;&gt;"",$F$41/1000,IF(ISERROR(VLOOKUP($F$3&amp;IF($G$4&lt;&gt;"",$G$4,"")&amp;IF($F$44&lt;&gt;"","_"&amp;$F$44,""),'表3）燃料価格'!$AF$9:$AG$25,2,0)),0,VLOOKUP($I15,'表3）燃料価格'!$A$6:$U$66,VLOOKUP($F$3&amp;IF($G$4&lt;&gt;"",$G$4,"")&amp;IF($F$44&lt;&gt;"","_"&amp;$F$44,""),'表3）燃料価格'!$AF$9:$AG$25,2,0)+VLOOKUP($F$42,'表3）燃料価格'!$AF$28:$AG$29,2,0),0)*IF($F$44="需要地価格",1,$F$8/$F$142))),"")</f>
        <v>0</v>
      </c>
      <c r="AU15" s="39"/>
      <c r="AV15" s="72">
        <f t="shared" ref="AV15:AV46" si="10">IF($K15&lt;=$F$15,($AT15+$F$143)*$F$138,"")</f>
        <v>0</v>
      </c>
      <c r="AW15" s="72">
        <f>IF(ISNUMBER(AV15),AV15*$M15,"")</f>
        <v>0</v>
      </c>
      <c r="AX15" s="39"/>
      <c r="AY15" s="40">
        <f>IF(ISERROR(IF($K15&lt;=$F$15,VLOOKUP($I15,'表4）CO2価格'!$A$7:$E$67,VLOOKUP($F$49,'表4）CO2価格'!$H$10:$I$12,2,0),0)*$F$8/1000,"")),0,IF($K15&lt;=$F$15,VLOOKUP($I15,'表4）CO2価格'!$A$7:$E$67,VLOOKUP($F$49,'表4）CO2価格'!$H$10:$I$12,2,0),0)*$F$8/1000,""))</f>
        <v>0</v>
      </c>
      <c r="AZ15" s="39"/>
      <c r="BA15" s="42">
        <f t="shared" ref="BA15:BA46" si="11">IF($K15&lt;=$F$15,$F$146*AY15,"")</f>
        <v>0</v>
      </c>
      <c r="BB15" s="72">
        <f>IF(ISNUMBER(BA15),BA15*$M15,"")</f>
        <v>0</v>
      </c>
      <c r="BC15" s="39"/>
      <c r="BD15" s="72">
        <f t="shared" ref="BD15:BD46" si="12">IF($K15&lt;=$F$15,($AT15+$F$153)*$F$152,"")</f>
        <v>0</v>
      </c>
      <c r="BE15" s="72">
        <f>IF(ISNUMBER(BD15),BD15*$M15,"")</f>
        <v>0</v>
      </c>
      <c r="BF15" s="39"/>
      <c r="BG15" s="42">
        <f t="shared" ref="BG15:BG46" si="13">IF($K15&lt;=$F$15,$F$154*AY15,"")</f>
        <v>0</v>
      </c>
      <c r="BH15" s="72">
        <f>IF(ISNUMBER(BG15),BG15*$M15,"")</f>
        <v>0</v>
      </c>
      <c r="BI15" s="39"/>
      <c r="BJ15" s="40">
        <f t="shared" ref="BJ15:BJ46" si="14">IF(ISNUMBER($F$16),IF($K15&lt;=$F$16+$F$29,1/(1+($F$17/100))^K15,""),"")</f>
        <v>0.96153846153846145</v>
      </c>
      <c r="BK15" s="157">
        <f t="shared" ref="BK15:BK46" si="15">IF(ISNUMBER($F$16),IF($K15&lt;=$F$16+$F$29,IF($K15&lt;=$F$16,SUM(Y15,AB15,AE15,AH15,AK15,AN15,AQ15,AV15,BA15,BD15,BG15),$F$28/$F$29*10^8)*BJ15,""),"")</f>
        <v>1732692.3076923075</v>
      </c>
      <c r="BL15" s="157">
        <f t="shared" ref="BL15:BL78" si="16">IF(AND(ISNUMBER(BJ15),$K15&lt;=$F$16),BQ15*BJ15,"")</f>
        <v>362192.30769230769</v>
      </c>
      <c r="BM15" s="72"/>
      <c r="BN15" s="72">
        <f>IF(AND(ISNUMBER($F$16),$K15&lt;=$F$16),BQ15*($O$15+$BK$116)/$BL$116,"")</f>
        <v>4897924.4461956229</v>
      </c>
      <c r="BO15" s="72">
        <f>IF(ISNUMBER(BN15),BN15*$M15,"")</f>
        <v>4755266.4526171098</v>
      </c>
      <c r="BP15" s="39"/>
      <c r="BQ15" s="72">
        <f>IF($K15&lt;=$F$15,$F$135*(1-$F$18/100)^(I15-I$15),"")</f>
        <v>376680</v>
      </c>
      <c r="BR15" s="72">
        <f>IF(ISNUMBER(BQ15),BQ15*$M15,"")</f>
        <v>365708.73786407767</v>
      </c>
    </row>
    <row r="16" spans="1:70" x14ac:dyDescent="0.15">
      <c r="C16" s="236" t="s">
        <v>107</v>
      </c>
      <c r="F16" s="88">
        <f>IF(ISERROR(VLOOKUP(F3&amp;IF(G4&lt;&gt;"","_"&amp;G4,""),'表7）買取期間・IRR'!$A$3:$A$10,1,0)),"",VLOOKUP(F3&amp;IF(G4&lt;&gt;"","_"&amp;G4,""),'表7）買取期間・IRR'!$A$3:$C$10,IF(F7=2030,3,IF(F7=2020,3,IF(F7=2014,2,"-"))),0))</f>
        <v>20</v>
      </c>
      <c r="G16" s="81" t="s">
        <v>108</v>
      </c>
      <c r="I16" s="459">
        <f>I15+1</f>
        <v>2031</v>
      </c>
      <c r="K16" s="71">
        <f>IF(I16&lt;&gt;"",K15+1,"")</f>
        <v>2</v>
      </c>
      <c r="M16" s="7">
        <f t="shared" si="0"/>
        <v>0.94259590913375435</v>
      </c>
      <c r="O16" s="10">
        <f>IF(K16&lt;=$F$15,O15-V15,"")</f>
        <v>36679000</v>
      </c>
      <c r="P16" s="29">
        <f t="shared" si="1"/>
        <v>0.14699999999999999</v>
      </c>
      <c r="R16" s="10">
        <f t="shared" ref="R16:R47" si="17">IF($K16&lt;=$F$15,MAX($F$118*5%,R15*$F$130),"")</f>
        <v>37553024.982462265</v>
      </c>
      <c r="T16" s="10">
        <f t="shared" ref="T16:T79" si="18">IF(ISNUMBER(R16),ROUNDDOWN(R16,-3),"")</f>
        <v>37553000</v>
      </c>
      <c r="V16" s="10">
        <f t="shared" si="2"/>
        <v>5391813</v>
      </c>
      <c r="W16" s="10">
        <f t="shared" ref="W16:W79" si="19">IF(ISNUMBER(V16),V16*$M16,"")</f>
        <v>5082300.8766141953</v>
      </c>
      <c r="Y16" s="10">
        <f t="shared" si="3"/>
        <v>525700</v>
      </c>
      <c r="Z16" s="10">
        <f t="shared" ref="Z16:Z79" si="20">IF(ISNUMBER(Y16),Y16*$M16,"")</f>
        <v>495522.66943161469</v>
      </c>
      <c r="AB16" s="10">
        <f t="shared" si="4"/>
        <v>0</v>
      </c>
      <c r="AC16" s="10">
        <f t="shared" ref="AC16:AC79" si="21">IF(ISNUMBER(AB16),AB16*$M16,"")</f>
        <v>0</v>
      </c>
      <c r="AE16" s="10">
        <f t="shared" si="5"/>
        <v>0</v>
      </c>
      <c r="AF16" s="10">
        <f t="shared" ref="AF16:AF79" si="22">IF(ISNUMBER(AE16),AE16*$M16,"")</f>
        <v>0</v>
      </c>
      <c r="AH16" s="10">
        <f t="shared" si="6"/>
        <v>1200000</v>
      </c>
      <c r="AI16" s="10">
        <f t="shared" ref="AI16:AI79" si="23">IF(ISNUMBER(AH16),AH16*$M16,"")</f>
        <v>1131115.0909605052</v>
      </c>
      <c r="AK16" s="10">
        <f t="shared" si="7"/>
        <v>0</v>
      </c>
      <c r="AL16" s="10">
        <f t="shared" ref="AL16:AL79" si="24">IF(ISNUMBER(AK16),AK16*$M16,"")</f>
        <v>0</v>
      </c>
      <c r="AN16" s="10">
        <f t="shared" si="8"/>
        <v>0</v>
      </c>
      <c r="AO16" s="10">
        <f t="shared" ref="AO16:AO79" si="25">IF(ISNUMBER(AN16),AN16*$M16,"")</f>
        <v>0</v>
      </c>
      <c r="AQ16" s="10">
        <f t="shared" si="9"/>
        <v>0</v>
      </c>
      <c r="AR16" s="10">
        <f t="shared" ref="AR16:AR79" si="26">IF(ISNUMBER(AQ16),AQ16*$M16,"")</f>
        <v>0</v>
      </c>
      <c r="AT16" s="7">
        <f>IF($K16&lt;=$F$15,IF($F$41&lt;&gt;"",$F$41/1000,IF(ISERROR(VLOOKUP($F$3&amp;IF($G$4&lt;&gt;"",$G$4,"")&amp;IF($F$44&lt;&gt;"","_"&amp;$F$44,""),'表3）燃料価格'!$AF$9:$AG$25,2,0)),0,VLOOKUP($I16,'表3）燃料価格'!$A$6:$U$66,VLOOKUP($F$3&amp;IF($G$4&lt;&gt;"",$G$4,"")&amp;IF($F$44&lt;&gt;"","_"&amp;$F$44,""),'表3）燃料価格'!$AF$9:$AG$25,2,0)+VLOOKUP($F$42,'表3）燃料価格'!$AF$28:$AG$29,2,0),0)*IF($F$44="需要地価格",1,$F$8/$F$142))),"")</f>
        <v>0</v>
      </c>
      <c r="AV16" s="10">
        <f t="shared" si="10"/>
        <v>0</v>
      </c>
      <c r="AW16" s="10">
        <f t="shared" ref="AW16:AW79" si="27">IF(ISNUMBER(AV16),AV16*$M16,"")</f>
        <v>0</v>
      </c>
      <c r="AY16" s="7">
        <f>IF(ISERROR(IF($K16&lt;=$F$15,VLOOKUP($I16,'表4）CO2価格'!$A$7:$E$67,VLOOKUP($F$49,'表4）CO2価格'!$H$10:$I$12,2,0),0)*$F$8/1000,"")),0,IF($K16&lt;=$F$15,VLOOKUP($I16,'表4）CO2価格'!$A$7:$E$67,VLOOKUP($F$49,'表4）CO2価格'!$H$10:$I$12,2,0),0)*$F$8/1000,""))</f>
        <v>0</v>
      </c>
      <c r="BA16" s="11">
        <f t="shared" si="11"/>
        <v>0</v>
      </c>
      <c r="BB16" s="10">
        <f t="shared" ref="BB16:BB79" si="28">IF(ISNUMBER(BA16),BA16*$M16,"")</f>
        <v>0</v>
      </c>
      <c r="BD16" s="10">
        <f t="shared" si="12"/>
        <v>0</v>
      </c>
      <c r="BE16" s="10">
        <f t="shared" ref="BE16:BE79" si="29">IF(ISNUMBER(BD16),BD16*$M16,"")</f>
        <v>0</v>
      </c>
      <c r="BG16" s="11">
        <f t="shared" si="13"/>
        <v>0</v>
      </c>
      <c r="BH16" s="10">
        <f t="shared" ref="BH16:BH79" si="30">IF(ISNUMBER(BG16),BG16*$M16,"")</f>
        <v>0</v>
      </c>
      <c r="BJ16" s="7">
        <f t="shared" si="14"/>
        <v>0.92455621301775137</v>
      </c>
      <c r="BK16" s="158">
        <f t="shared" si="15"/>
        <v>1595506.6568047334</v>
      </c>
      <c r="BL16" s="158">
        <f t="shared" si="16"/>
        <v>346520.52514792891</v>
      </c>
      <c r="BM16" s="10"/>
      <c r="BN16" s="10">
        <f t="shared" ref="BN16:BN79" si="31">IF(AND(ISNUMBER($F$16),$K16&lt;=$F$16),BQ16*($O$15+$BK$116)/$BL$116,"")</f>
        <v>4873434.8239646442</v>
      </c>
      <c r="BO16" s="10">
        <f t="shared" ref="BO16:BO79" si="32">IF(ISNUMBER(BN16),BN16*$M16,"")</f>
        <v>4593679.7284990521</v>
      </c>
      <c r="BQ16" s="188">
        <f>IF($K16&lt;=$F$15,$F$135*(1-$F$18/100)^(I16-I$15),"")</f>
        <v>374796.6</v>
      </c>
      <c r="BR16" s="10">
        <f t="shared" ref="BR16:BR79" si="33">IF(ISNUMBER(BQ16),BQ16*$M16,"")</f>
        <v>353281.74191724003</v>
      </c>
    </row>
    <row r="17" spans="3:70" x14ac:dyDescent="0.15">
      <c r="C17" s="9" t="s">
        <v>109</v>
      </c>
      <c r="F17" s="143">
        <f>IF(ISERROR(VLOOKUP(F3&amp;IF(G4&lt;&gt;"","_"&amp;G4,""),'表7）買取期間・IRR'!$A$14:$C$21,1,0)),"",VLOOKUP(F3&amp;IF(G4&lt;&gt;"","_"&amp;G4,""),'表7）買取期間・IRR'!$A$14:$C$21,IF(F7=2030,3,IF(F7=2020,2,"-")),0))</f>
        <v>4</v>
      </c>
      <c r="G17" s="81" t="s">
        <v>172</v>
      </c>
      <c r="I17" s="458">
        <f t="shared" ref="I17:I80" si="34">I16+1</f>
        <v>2032</v>
      </c>
      <c r="J17" s="470"/>
      <c r="K17" s="39">
        <f t="shared" ref="K17:K80" si="35">IF(I17&lt;&gt;"",K16+1,"")</f>
        <v>3</v>
      </c>
      <c r="L17" s="39"/>
      <c r="M17" s="40">
        <f t="shared" si="0"/>
        <v>0.91514165935315961</v>
      </c>
      <c r="N17" s="39"/>
      <c r="O17" s="72">
        <f t="shared" ref="O17:O80" si="36">IF(K17&lt;=$F$15,O16-V16,"")</f>
        <v>31287187</v>
      </c>
      <c r="P17" s="41">
        <f t="shared" si="1"/>
        <v>0.14699999999999999</v>
      </c>
      <c r="Q17" s="39"/>
      <c r="R17" s="72">
        <f t="shared" si="17"/>
        <v>32796039.193800811</v>
      </c>
      <c r="S17" s="39"/>
      <c r="T17" s="72">
        <f t="shared" si="18"/>
        <v>32796000</v>
      </c>
      <c r="U17" s="39"/>
      <c r="V17" s="72">
        <f t="shared" si="2"/>
        <v>4599216.4890000001</v>
      </c>
      <c r="W17" s="72">
        <f t="shared" si="19"/>
        <v>4208934.6094678724</v>
      </c>
      <c r="X17" s="39"/>
      <c r="Y17" s="72">
        <f t="shared" si="3"/>
        <v>459100</v>
      </c>
      <c r="Z17" s="72">
        <f t="shared" si="20"/>
        <v>420141.53580903559</v>
      </c>
      <c r="AA17" s="39"/>
      <c r="AB17" s="72">
        <f t="shared" si="4"/>
        <v>0</v>
      </c>
      <c r="AC17" s="72">
        <f t="shared" si="21"/>
        <v>0</v>
      </c>
      <c r="AD17" s="39"/>
      <c r="AE17" s="72">
        <f t="shared" si="5"/>
        <v>0</v>
      </c>
      <c r="AF17" s="72">
        <f t="shared" si="22"/>
        <v>0</v>
      </c>
      <c r="AG17" s="39"/>
      <c r="AH17" s="72">
        <f t="shared" si="6"/>
        <v>1200000</v>
      </c>
      <c r="AI17" s="72">
        <f t="shared" si="23"/>
        <v>1098169.9912237916</v>
      </c>
      <c r="AJ17" s="39"/>
      <c r="AK17" s="72">
        <f t="shared" si="7"/>
        <v>0</v>
      </c>
      <c r="AL17" s="72">
        <f t="shared" si="24"/>
        <v>0</v>
      </c>
      <c r="AM17" s="39"/>
      <c r="AN17" s="72">
        <f t="shared" si="8"/>
        <v>0</v>
      </c>
      <c r="AO17" s="72">
        <f t="shared" si="25"/>
        <v>0</v>
      </c>
      <c r="AP17" s="39"/>
      <c r="AQ17" s="72">
        <f t="shared" si="9"/>
        <v>0</v>
      </c>
      <c r="AR17" s="72">
        <f t="shared" si="26"/>
        <v>0</v>
      </c>
      <c r="AS17" s="39"/>
      <c r="AT17" s="40">
        <f>IF($K17&lt;=$F$15,IF($F$41&lt;&gt;"",$F$41/1000,IF(ISERROR(VLOOKUP($F$3&amp;IF($G$4&lt;&gt;"",$G$4,"")&amp;IF($F$44&lt;&gt;"","_"&amp;$F$44,""),'表3）燃料価格'!$AF$9:$AG$25,2,0)),0,VLOOKUP($I17,'表3）燃料価格'!$A$6:$U$66,VLOOKUP($F$3&amp;IF($G$4&lt;&gt;"",$G$4,"")&amp;IF($F$44&lt;&gt;"","_"&amp;$F$44,""),'表3）燃料価格'!$AF$9:$AG$25,2,0)+VLOOKUP($F$42,'表3）燃料価格'!$AF$28:$AG$29,2,0),0)*IF($F$44="需要地価格",1,$F$8/$F$142))),"")</f>
        <v>0</v>
      </c>
      <c r="AU17" s="39"/>
      <c r="AV17" s="72">
        <f t="shared" si="10"/>
        <v>0</v>
      </c>
      <c r="AW17" s="72">
        <f t="shared" si="27"/>
        <v>0</v>
      </c>
      <c r="AX17" s="39"/>
      <c r="AY17" s="40">
        <f>IF(ISERROR(IF($K17&lt;=$F$15,VLOOKUP($I17,'表4）CO2価格'!$A$7:$E$67,VLOOKUP($F$49,'表4）CO2価格'!$H$10:$I$12,2,0),0)*$F$8/1000,"")),0,IF($K17&lt;=$F$15,VLOOKUP($I17,'表4）CO2価格'!$A$7:$E$67,VLOOKUP($F$49,'表4）CO2価格'!$H$10:$I$12,2,0),0)*$F$8/1000,""))</f>
        <v>0</v>
      </c>
      <c r="AZ17" s="39"/>
      <c r="BA17" s="42">
        <f t="shared" si="11"/>
        <v>0</v>
      </c>
      <c r="BB17" s="72">
        <f t="shared" si="28"/>
        <v>0</v>
      </c>
      <c r="BC17" s="39"/>
      <c r="BD17" s="72">
        <f t="shared" si="12"/>
        <v>0</v>
      </c>
      <c r="BE17" s="72">
        <f t="shared" si="29"/>
        <v>0</v>
      </c>
      <c r="BF17" s="39"/>
      <c r="BG17" s="42">
        <f t="shared" si="13"/>
        <v>0</v>
      </c>
      <c r="BH17" s="72">
        <f t="shared" si="30"/>
        <v>0</v>
      </c>
      <c r="BI17" s="39"/>
      <c r="BJ17" s="40">
        <f t="shared" si="14"/>
        <v>0.88899635867091487</v>
      </c>
      <c r="BK17" s="157">
        <f t="shared" si="15"/>
        <v>1474933.8586709148</v>
      </c>
      <c r="BL17" s="157">
        <f t="shared" si="16"/>
        <v>331526.84857902821</v>
      </c>
      <c r="BM17" s="72"/>
      <c r="BN17" s="72">
        <f t="shared" si="31"/>
        <v>4849067.6498448215</v>
      </c>
      <c r="BO17" s="72">
        <f t="shared" si="32"/>
        <v>4437583.8153947163</v>
      </c>
      <c r="BP17" s="39"/>
      <c r="BQ17" s="72">
        <f t="shared" ref="BQ17:BQ80" si="37">IF($K17&lt;=$F$15,$F$135*(1-$F$18/100)^(I17-I$15),"")</f>
        <v>372922.61700000003</v>
      </c>
      <c r="BR17" s="72">
        <f t="shared" si="33"/>
        <v>341277.02253170282</v>
      </c>
    </row>
    <row r="18" spans="3:70" x14ac:dyDescent="0.15">
      <c r="C18" s="236" t="s">
        <v>503</v>
      </c>
      <c r="F18" s="454">
        <v>0.5</v>
      </c>
      <c r="G18" s="81" t="s">
        <v>172</v>
      </c>
      <c r="I18" s="459">
        <f t="shared" si="34"/>
        <v>2033</v>
      </c>
      <c r="K18" s="71">
        <f t="shared" si="35"/>
        <v>4</v>
      </c>
      <c r="M18" s="7">
        <f t="shared" si="0"/>
        <v>0.888487047915689</v>
      </c>
      <c r="O18" s="10">
        <f t="shared" si="36"/>
        <v>26687970.511</v>
      </c>
      <c r="P18" s="29">
        <f t="shared" si="1"/>
        <v>0.14699999999999999</v>
      </c>
      <c r="R18" s="10">
        <f t="shared" si="17"/>
        <v>28641639.050479382</v>
      </c>
      <c r="T18" s="10">
        <f t="shared" si="18"/>
        <v>28641000</v>
      </c>
      <c r="V18" s="10">
        <f t="shared" si="2"/>
        <v>3923131.6651169998</v>
      </c>
      <c r="W18" s="10">
        <f t="shared" si="19"/>
        <v>3485651.6717243646</v>
      </c>
      <c r="Y18" s="10">
        <f t="shared" si="3"/>
        <v>400900</v>
      </c>
      <c r="Z18" s="10">
        <f t="shared" si="20"/>
        <v>356194.45750939974</v>
      </c>
      <c r="AB18" s="10">
        <f t="shared" si="4"/>
        <v>0</v>
      </c>
      <c r="AC18" s="10">
        <f t="shared" si="21"/>
        <v>0</v>
      </c>
      <c r="AE18" s="10">
        <f t="shared" si="5"/>
        <v>0</v>
      </c>
      <c r="AF18" s="10">
        <f t="shared" si="22"/>
        <v>0</v>
      </c>
      <c r="AH18" s="10">
        <f t="shared" si="6"/>
        <v>1200000</v>
      </c>
      <c r="AI18" s="10">
        <f t="shared" si="23"/>
        <v>1066184.4574988268</v>
      </c>
      <c r="AK18" s="10">
        <f t="shared" si="7"/>
        <v>0</v>
      </c>
      <c r="AL18" s="10">
        <f t="shared" si="24"/>
        <v>0</v>
      </c>
      <c r="AN18" s="10">
        <f t="shared" si="8"/>
        <v>0</v>
      </c>
      <c r="AO18" s="10">
        <f t="shared" si="25"/>
        <v>0</v>
      </c>
      <c r="AQ18" s="10">
        <f t="shared" si="9"/>
        <v>0</v>
      </c>
      <c r="AR18" s="10">
        <f t="shared" si="26"/>
        <v>0</v>
      </c>
      <c r="AT18" s="7">
        <f>IF($K18&lt;=$F$15,IF($F$41&lt;&gt;"",$F$41/1000,IF(ISERROR(VLOOKUP($F$3&amp;IF($G$4&lt;&gt;"",$G$4,"")&amp;IF($F$44&lt;&gt;"","_"&amp;$F$44,""),'表3）燃料価格'!$AF$9:$AG$25,2,0)),0,VLOOKUP($I18,'表3）燃料価格'!$A$6:$U$66,VLOOKUP($F$3&amp;IF($G$4&lt;&gt;"",$G$4,"")&amp;IF($F$44&lt;&gt;"","_"&amp;$F$44,""),'表3）燃料価格'!$AF$9:$AG$25,2,0)+VLOOKUP($F$42,'表3）燃料価格'!$AF$28:$AG$29,2,0),0)*IF($F$44="需要地価格",1,$F$8/$F$142))),"")</f>
        <v>0</v>
      </c>
      <c r="AV18" s="10">
        <f t="shared" si="10"/>
        <v>0</v>
      </c>
      <c r="AW18" s="10">
        <f t="shared" si="27"/>
        <v>0</v>
      </c>
      <c r="AY18" s="7">
        <f>IF(ISERROR(IF($K18&lt;=$F$15,VLOOKUP($I18,'表4）CO2価格'!$A$7:$E$67,VLOOKUP($F$49,'表4）CO2価格'!$H$10:$I$12,2,0),0)*$F$8/1000,"")),0,IF($K18&lt;=$F$15,VLOOKUP($I18,'表4）CO2価格'!$A$7:$E$67,VLOOKUP($F$49,'表4）CO2価格'!$H$10:$I$12,2,0),0)*$F$8/1000,""))</f>
        <v>0</v>
      </c>
      <c r="BA18" s="11">
        <f t="shared" si="11"/>
        <v>0</v>
      </c>
      <c r="BB18" s="10">
        <f t="shared" si="28"/>
        <v>0</v>
      </c>
      <c r="BD18" s="10">
        <f t="shared" si="12"/>
        <v>0</v>
      </c>
      <c r="BE18" s="10">
        <f t="shared" si="29"/>
        <v>0</v>
      </c>
      <c r="BG18" s="11">
        <f t="shared" si="13"/>
        <v>0</v>
      </c>
      <c r="BH18" s="10">
        <f t="shared" si="30"/>
        <v>0</v>
      </c>
      <c r="BJ18" s="7">
        <f t="shared" si="14"/>
        <v>0.85480419102972571</v>
      </c>
      <c r="BK18" s="158">
        <f t="shared" si="15"/>
        <v>1368456.0294194878</v>
      </c>
      <c r="BL18" s="158">
        <f t="shared" si="16"/>
        <v>317181.93686166639</v>
      </c>
      <c r="BM18" s="10"/>
      <c r="BN18" s="10">
        <f t="shared" si="31"/>
        <v>4824822.3115955973</v>
      </c>
      <c r="BO18" s="10">
        <f t="shared" si="32"/>
        <v>4286792.132347323</v>
      </c>
      <c r="BQ18" s="188">
        <f t="shared" si="37"/>
        <v>371058.00391500001</v>
      </c>
      <c r="BR18" s="10">
        <f t="shared" si="33"/>
        <v>329680.23050392652</v>
      </c>
    </row>
    <row r="19" spans="3:70" x14ac:dyDescent="0.15">
      <c r="I19" s="458">
        <f t="shared" si="34"/>
        <v>2034</v>
      </c>
      <c r="J19" s="470"/>
      <c r="K19" s="39">
        <f t="shared" si="35"/>
        <v>5</v>
      </c>
      <c r="L19" s="39"/>
      <c r="M19" s="40">
        <f t="shared" si="0"/>
        <v>0.86260878438416411</v>
      </c>
      <c r="N19" s="39"/>
      <c r="O19" s="72">
        <f t="shared" si="36"/>
        <v>22764838.845883001</v>
      </c>
      <c r="P19" s="41">
        <f t="shared" si="1"/>
        <v>0.14699999999999999</v>
      </c>
      <c r="Q19" s="39"/>
      <c r="R19" s="72">
        <f t="shared" si="17"/>
        <v>25013492.716309745</v>
      </c>
      <c r="S19" s="39"/>
      <c r="T19" s="72">
        <f t="shared" si="18"/>
        <v>25013000</v>
      </c>
      <c r="U19" s="39"/>
      <c r="V19" s="72">
        <f t="shared" si="2"/>
        <v>3346431.3103448008</v>
      </c>
      <c r="W19" s="72">
        <f t="shared" si="19"/>
        <v>2886661.044641634</v>
      </c>
      <c r="X19" s="39"/>
      <c r="Y19" s="72">
        <f t="shared" si="3"/>
        <v>350100</v>
      </c>
      <c r="Z19" s="72">
        <f t="shared" si="20"/>
        <v>301999.33541289583</v>
      </c>
      <c r="AA19" s="39"/>
      <c r="AB19" s="72">
        <f t="shared" si="4"/>
        <v>0</v>
      </c>
      <c r="AC19" s="72">
        <f t="shared" si="21"/>
        <v>0</v>
      </c>
      <c r="AD19" s="39"/>
      <c r="AE19" s="72">
        <f t="shared" si="5"/>
        <v>0</v>
      </c>
      <c r="AF19" s="72">
        <f t="shared" si="22"/>
        <v>0</v>
      </c>
      <c r="AG19" s="39"/>
      <c r="AH19" s="72">
        <f t="shared" si="6"/>
        <v>1200000</v>
      </c>
      <c r="AI19" s="72">
        <f t="shared" si="23"/>
        <v>1035130.5412609969</v>
      </c>
      <c r="AJ19" s="39"/>
      <c r="AK19" s="72">
        <f t="shared" si="7"/>
        <v>0</v>
      </c>
      <c r="AL19" s="72">
        <f t="shared" si="24"/>
        <v>0</v>
      </c>
      <c r="AM19" s="39"/>
      <c r="AN19" s="72">
        <f t="shared" si="8"/>
        <v>0</v>
      </c>
      <c r="AO19" s="72">
        <f t="shared" si="25"/>
        <v>0</v>
      </c>
      <c r="AP19" s="39"/>
      <c r="AQ19" s="72">
        <f t="shared" si="9"/>
        <v>0</v>
      </c>
      <c r="AR19" s="72">
        <f t="shared" si="26"/>
        <v>0</v>
      </c>
      <c r="AS19" s="39"/>
      <c r="AT19" s="40">
        <f>IF($K19&lt;=$F$15,IF($F$41&lt;&gt;"",$F$41/1000,IF(ISERROR(VLOOKUP($F$3&amp;IF($G$4&lt;&gt;"",$G$4,"")&amp;IF($F$44&lt;&gt;"","_"&amp;$F$44,""),'表3）燃料価格'!$AF$9:$AG$25,2,0)),0,VLOOKUP($I19,'表3）燃料価格'!$A$6:$U$66,VLOOKUP($F$3&amp;IF($G$4&lt;&gt;"",$G$4,"")&amp;IF($F$44&lt;&gt;"","_"&amp;$F$44,""),'表3）燃料価格'!$AF$9:$AG$25,2,0)+VLOOKUP($F$42,'表3）燃料価格'!$AF$28:$AG$29,2,0),0)*IF($F$44="需要地価格",1,$F$8/$F$142))),"")</f>
        <v>0</v>
      </c>
      <c r="AU19" s="39"/>
      <c r="AV19" s="72">
        <f t="shared" si="10"/>
        <v>0</v>
      </c>
      <c r="AW19" s="72">
        <f t="shared" si="27"/>
        <v>0</v>
      </c>
      <c r="AX19" s="39"/>
      <c r="AY19" s="40">
        <f>IF(ISERROR(IF($K19&lt;=$F$15,VLOOKUP($I19,'表4）CO2価格'!$A$7:$E$67,VLOOKUP($F$49,'表4）CO2価格'!$H$10:$I$12,2,0),0)*$F$8/1000,"")),0,IF($K19&lt;=$F$15,VLOOKUP($I19,'表4）CO2価格'!$A$7:$E$67,VLOOKUP($F$49,'表4）CO2価格'!$H$10:$I$12,2,0),0)*$F$8/1000,""))</f>
        <v>0</v>
      </c>
      <c r="AZ19" s="39"/>
      <c r="BA19" s="42">
        <f t="shared" si="11"/>
        <v>0</v>
      </c>
      <c r="BB19" s="72">
        <f t="shared" si="28"/>
        <v>0</v>
      </c>
      <c r="BC19" s="39"/>
      <c r="BD19" s="72">
        <f t="shared" si="12"/>
        <v>0</v>
      </c>
      <c r="BE19" s="72">
        <f t="shared" si="29"/>
        <v>0</v>
      </c>
      <c r="BF19" s="39"/>
      <c r="BG19" s="42">
        <f t="shared" si="13"/>
        <v>0</v>
      </c>
      <c r="BH19" s="72">
        <f t="shared" si="30"/>
        <v>0</v>
      </c>
      <c r="BI19" s="39"/>
      <c r="BJ19" s="40">
        <f t="shared" si="14"/>
        <v>0.82192710675935154</v>
      </c>
      <c r="BK19" s="157">
        <f t="shared" si="15"/>
        <v>1274069.2081876709</v>
      </c>
      <c r="BL19" s="157">
        <f t="shared" si="16"/>
        <v>303457.71843976731</v>
      </c>
      <c r="BM19" s="72"/>
      <c r="BN19" s="72">
        <f t="shared" si="31"/>
        <v>4800698.2000376191</v>
      </c>
      <c r="BO19" s="72">
        <f t="shared" si="32"/>
        <v>4141124.4385296954</v>
      </c>
      <c r="BP19" s="39"/>
      <c r="BQ19" s="72">
        <f t="shared" si="37"/>
        <v>369202.71389542503</v>
      </c>
      <c r="BR19" s="72">
        <f t="shared" si="33"/>
        <v>318477.50422466692</v>
      </c>
    </row>
    <row r="20" spans="3:70" x14ac:dyDescent="0.15">
      <c r="C20" s="89" t="s">
        <v>371</v>
      </c>
      <c r="D20" s="101"/>
      <c r="E20" s="101"/>
      <c r="F20" s="89"/>
      <c r="G20" s="101"/>
      <c r="I20" s="459">
        <f t="shared" si="34"/>
        <v>2035</v>
      </c>
      <c r="K20" s="71">
        <f t="shared" si="35"/>
        <v>6</v>
      </c>
      <c r="M20" s="7">
        <f t="shared" si="0"/>
        <v>0.83748425668365445</v>
      </c>
      <c r="O20" s="10">
        <f t="shared" si="36"/>
        <v>19418407.5355382</v>
      </c>
      <c r="P20" s="29">
        <f t="shared" si="1"/>
        <v>0.14699999999999999</v>
      </c>
      <c r="R20" s="10">
        <f t="shared" si="17"/>
        <v>21844937.601725992</v>
      </c>
      <c r="T20" s="10">
        <f t="shared" si="18"/>
        <v>21844000</v>
      </c>
      <c r="V20" s="10">
        <f t="shared" si="2"/>
        <v>2854505.9077241151</v>
      </c>
      <c r="W20" s="10">
        <f t="shared" si="19"/>
        <v>2390603.7583294306</v>
      </c>
      <c r="Y20" s="10">
        <f t="shared" si="3"/>
        <v>305800</v>
      </c>
      <c r="Z20" s="10">
        <f t="shared" si="20"/>
        <v>256102.68569386154</v>
      </c>
      <c r="AB20" s="10">
        <f t="shared" si="4"/>
        <v>0</v>
      </c>
      <c r="AC20" s="10">
        <f t="shared" si="21"/>
        <v>0</v>
      </c>
      <c r="AE20" s="10">
        <f t="shared" si="5"/>
        <v>0</v>
      </c>
      <c r="AF20" s="10">
        <f t="shared" si="22"/>
        <v>0</v>
      </c>
      <c r="AH20" s="10">
        <f t="shared" si="6"/>
        <v>1200000</v>
      </c>
      <c r="AI20" s="10">
        <f t="shared" si="23"/>
        <v>1004981.1080203854</v>
      </c>
      <c r="AK20" s="10">
        <f t="shared" si="7"/>
        <v>0</v>
      </c>
      <c r="AL20" s="10">
        <f t="shared" si="24"/>
        <v>0</v>
      </c>
      <c r="AN20" s="10">
        <f t="shared" si="8"/>
        <v>0</v>
      </c>
      <c r="AO20" s="10">
        <f t="shared" si="25"/>
        <v>0</v>
      </c>
      <c r="AQ20" s="10">
        <f t="shared" si="9"/>
        <v>0</v>
      </c>
      <c r="AR20" s="10">
        <f t="shared" si="26"/>
        <v>0</v>
      </c>
      <c r="AT20" s="7">
        <f>IF($K20&lt;=$F$15,IF($F$41&lt;&gt;"",$F$41/1000,IF(ISERROR(VLOOKUP($F$3&amp;IF($G$4&lt;&gt;"",$G$4,"")&amp;IF($F$44&lt;&gt;"","_"&amp;$F$44,""),'表3）燃料価格'!$AF$9:$AG$25,2,0)),0,VLOOKUP($I20,'表3）燃料価格'!$A$6:$U$66,VLOOKUP($F$3&amp;IF($G$4&lt;&gt;"",$G$4,"")&amp;IF($F$44&lt;&gt;"","_"&amp;$F$44,""),'表3）燃料価格'!$AF$9:$AG$25,2,0)+VLOOKUP($F$42,'表3）燃料価格'!$AF$28:$AG$29,2,0),0)*IF($F$44="需要地価格",1,$F$8/$F$142))),"")</f>
        <v>0</v>
      </c>
      <c r="AV20" s="10">
        <f t="shared" si="10"/>
        <v>0</v>
      </c>
      <c r="AW20" s="10">
        <f t="shared" si="27"/>
        <v>0</v>
      </c>
      <c r="AY20" s="7">
        <f>IF(ISERROR(IF($K20&lt;=$F$15,VLOOKUP($I20,'表4）CO2価格'!$A$7:$E$67,VLOOKUP($F$49,'表4）CO2価格'!$H$10:$I$12,2,0),0)*$F$8/1000,"")),0,IF($K20&lt;=$F$15,VLOOKUP($I20,'表4）CO2価格'!$A$7:$E$67,VLOOKUP($F$49,'表4）CO2価格'!$H$10:$I$12,2,0),0)*$F$8/1000,""))</f>
        <v>0</v>
      </c>
      <c r="BA20" s="11">
        <f t="shared" si="11"/>
        <v>0</v>
      </c>
      <c r="BB20" s="10">
        <f t="shared" si="28"/>
        <v>0</v>
      </c>
      <c r="BD20" s="10">
        <f t="shared" si="12"/>
        <v>0</v>
      </c>
      <c r="BE20" s="10">
        <f t="shared" si="29"/>
        <v>0</v>
      </c>
      <c r="BG20" s="11">
        <f t="shared" si="13"/>
        <v>0</v>
      </c>
      <c r="BH20" s="10">
        <f t="shared" si="30"/>
        <v>0</v>
      </c>
      <c r="BJ20" s="7">
        <f t="shared" si="14"/>
        <v>0.79031452573014571</v>
      </c>
      <c r="BK20" s="158">
        <f t="shared" si="15"/>
        <v>1190055.6128444534</v>
      </c>
      <c r="BL20" s="158">
        <f t="shared" si="16"/>
        <v>290327.33639189275</v>
      </c>
      <c r="BM20" s="10"/>
      <c r="BN20" s="10">
        <f t="shared" si="31"/>
        <v>4776694.7090374315</v>
      </c>
      <c r="BO20" s="10">
        <f t="shared" si="32"/>
        <v>4000406.6178029585</v>
      </c>
      <c r="BQ20" s="188">
        <f t="shared" si="37"/>
        <v>367356.7003259479</v>
      </c>
      <c r="BR20" s="10">
        <f t="shared" si="33"/>
        <v>307655.4531102365</v>
      </c>
    </row>
    <row r="21" spans="3:70" x14ac:dyDescent="0.15">
      <c r="I21" s="458">
        <f t="shared" si="34"/>
        <v>2036</v>
      </c>
      <c r="J21" s="470"/>
      <c r="K21" s="39">
        <f t="shared" si="35"/>
        <v>7</v>
      </c>
      <c r="L21" s="39"/>
      <c r="M21" s="40">
        <f t="shared" si="0"/>
        <v>0.81309151134335378</v>
      </c>
      <c r="N21" s="39"/>
      <c r="O21" s="72">
        <f t="shared" si="36"/>
        <v>16563901.627814084</v>
      </c>
      <c r="P21" s="41">
        <f t="shared" si="1"/>
        <v>0.14699999999999999</v>
      </c>
      <c r="Q21" s="39"/>
      <c r="R21" s="72">
        <f t="shared" si="17"/>
        <v>19077755.523208033</v>
      </c>
      <c r="S21" s="39"/>
      <c r="T21" s="72">
        <f t="shared" si="18"/>
        <v>19077000</v>
      </c>
      <c r="U21" s="39"/>
      <c r="V21" s="72">
        <f t="shared" si="2"/>
        <v>2434893.5392886703</v>
      </c>
      <c r="W21" s="72">
        <f t="shared" si="19"/>
        <v>1979791.2678203927</v>
      </c>
      <c r="X21" s="39"/>
      <c r="Y21" s="72">
        <f t="shared" si="3"/>
        <v>267000</v>
      </c>
      <c r="Z21" s="72">
        <f t="shared" si="20"/>
        <v>217095.43352867546</v>
      </c>
      <c r="AA21" s="39"/>
      <c r="AB21" s="72">
        <f t="shared" si="4"/>
        <v>0</v>
      </c>
      <c r="AC21" s="72">
        <f t="shared" si="21"/>
        <v>0</v>
      </c>
      <c r="AD21" s="39"/>
      <c r="AE21" s="72">
        <f t="shared" si="5"/>
        <v>0</v>
      </c>
      <c r="AF21" s="72">
        <f t="shared" si="22"/>
        <v>0</v>
      </c>
      <c r="AG21" s="39"/>
      <c r="AH21" s="72">
        <f t="shared" si="6"/>
        <v>1200000</v>
      </c>
      <c r="AI21" s="72">
        <f t="shared" si="23"/>
        <v>975709.81361202453</v>
      </c>
      <c r="AJ21" s="39"/>
      <c r="AK21" s="72">
        <f t="shared" si="7"/>
        <v>0</v>
      </c>
      <c r="AL21" s="72">
        <f t="shared" si="24"/>
        <v>0</v>
      </c>
      <c r="AM21" s="39"/>
      <c r="AN21" s="72">
        <f t="shared" si="8"/>
        <v>0</v>
      </c>
      <c r="AO21" s="72">
        <f t="shared" si="25"/>
        <v>0</v>
      </c>
      <c r="AP21" s="39"/>
      <c r="AQ21" s="72">
        <f t="shared" si="9"/>
        <v>0</v>
      </c>
      <c r="AR21" s="72">
        <f t="shared" si="26"/>
        <v>0</v>
      </c>
      <c r="AS21" s="39"/>
      <c r="AT21" s="40">
        <f>IF($K21&lt;=$F$15,IF($F$41&lt;&gt;"",$F$41/1000,IF(ISERROR(VLOOKUP($F$3&amp;IF($G$4&lt;&gt;"",$G$4,"")&amp;IF($F$44&lt;&gt;"","_"&amp;$F$44,""),'表3）燃料価格'!$AF$9:$AG$25,2,0)),0,VLOOKUP($I21,'表3）燃料価格'!$A$6:$U$66,VLOOKUP($F$3&amp;IF($G$4&lt;&gt;"",$G$4,"")&amp;IF($F$44&lt;&gt;"","_"&amp;$F$44,""),'表3）燃料価格'!$AF$9:$AG$25,2,0)+VLOOKUP($F$42,'表3）燃料価格'!$AF$28:$AG$29,2,0),0)*IF($F$44="需要地価格",1,$F$8/$F$142))),"")</f>
        <v>0</v>
      </c>
      <c r="AU21" s="39"/>
      <c r="AV21" s="72">
        <f t="shared" si="10"/>
        <v>0</v>
      </c>
      <c r="AW21" s="72">
        <f t="shared" si="27"/>
        <v>0</v>
      </c>
      <c r="AX21" s="39"/>
      <c r="AY21" s="40">
        <f>IF(ISERROR(IF($K21&lt;=$F$15,VLOOKUP($I21,'表4）CO2価格'!$A$7:$E$67,VLOOKUP($F$49,'表4）CO2価格'!$H$10:$I$12,2,0),0)*$F$8/1000,"")),0,IF($K21&lt;=$F$15,VLOOKUP($I21,'表4）CO2価格'!$A$7:$E$67,VLOOKUP($F$49,'表4）CO2価格'!$H$10:$I$12,2,0),0)*$F$8/1000,""))</f>
        <v>0</v>
      </c>
      <c r="AZ21" s="39"/>
      <c r="BA21" s="42">
        <f t="shared" si="11"/>
        <v>0</v>
      </c>
      <c r="BB21" s="72">
        <f t="shared" si="28"/>
        <v>0</v>
      </c>
      <c r="BC21" s="39"/>
      <c r="BD21" s="72">
        <f t="shared" si="12"/>
        <v>0</v>
      </c>
      <c r="BE21" s="72">
        <f t="shared" si="29"/>
        <v>0</v>
      </c>
      <c r="BF21" s="39"/>
      <c r="BG21" s="42">
        <f t="shared" si="13"/>
        <v>0</v>
      </c>
      <c r="BH21" s="72">
        <f t="shared" si="30"/>
        <v>0</v>
      </c>
      <c r="BI21" s="39"/>
      <c r="BJ21" s="40">
        <f t="shared" si="14"/>
        <v>0.75991781320206331</v>
      </c>
      <c r="BK21" s="157">
        <f t="shared" si="15"/>
        <v>1114799.4319674268</v>
      </c>
      <c r="BL21" s="157">
        <f t="shared" si="16"/>
        <v>277765.09587493591</v>
      </c>
      <c r="BM21" s="72"/>
      <c r="BN21" s="72">
        <f t="shared" si="31"/>
        <v>4752811.2354922453</v>
      </c>
      <c r="BO21" s="72">
        <f t="shared" si="32"/>
        <v>3864470.4705960625</v>
      </c>
      <c r="BP21" s="39"/>
      <c r="BQ21" s="72">
        <f t="shared" si="37"/>
        <v>365519.91682431818</v>
      </c>
      <c r="BR21" s="72">
        <f t="shared" si="33"/>
        <v>297201.14159678185</v>
      </c>
    </row>
    <row r="22" spans="3:70" x14ac:dyDescent="0.15">
      <c r="D22" s="81" t="s">
        <v>110</v>
      </c>
      <c r="F22" s="147">
        <f>'表6）太陽光・風力シナリオ'!C13</f>
        <v>17.2</v>
      </c>
      <c r="G22" s="81" t="s">
        <v>174</v>
      </c>
      <c r="I22" s="459">
        <f t="shared" si="34"/>
        <v>2037</v>
      </c>
      <c r="K22" s="71">
        <f t="shared" si="35"/>
        <v>8</v>
      </c>
      <c r="M22" s="7">
        <f t="shared" si="0"/>
        <v>0.78940923431393573</v>
      </c>
      <c r="O22" s="10">
        <f t="shared" si="36"/>
        <v>14129008.088525414</v>
      </c>
      <c r="P22" s="29">
        <f t="shared" si="1"/>
        <v>0.14699999999999999</v>
      </c>
      <c r="R22" s="10">
        <f t="shared" si="17"/>
        <v>16661103.017961364</v>
      </c>
      <c r="T22" s="10">
        <f t="shared" si="18"/>
        <v>16661000</v>
      </c>
      <c r="V22" s="10">
        <f t="shared" si="2"/>
        <v>2076964.1890132357</v>
      </c>
      <c r="W22" s="10">
        <f t="shared" si="19"/>
        <v>1639574.7101464029</v>
      </c>
      <c r="Y22" s="10">
        <f t="shared" si="3"/>
        <v>233200</v>
      </c>
      <c r="Z22" s="10">
        <f t="shared" si="20"/>
        <v>184090.23344200981</v>
      </c>
      <c r="AB22" s="10">
        <f t="shared" si="4"/>
        <v>0</v>
      </c>
      <c r="AC22" s="10">
        <f t="shared" si="21"/>
        <v>0</v>
      </c>
      <c r="AE22" s="10">
        <f t="shared" si="5"/>
        <v>0</v>
      </c>
      <c r="AF22" s="10">
        <f t="shared" si="22"/>
        <v>0</v>
      </c>
      <c r="AH22" s="10">
        <f t="shared" si="6"/>
        <v>1200000</v>
      </c>
      <c r="AI22" s="10">
        <f t="shared" si="23"/>
        <v>947291.08117672289</v>
      </c>
      <c r="AK22" s="10">
        <f t="shared" si="7"/>
        <v>0</v>
      </c>
      <c r="AL22" s="10">
        <f t="shared" si="24"/>
        <v>0</v>
      </c>
      <c r="AN22" s="10">
        <f t="shared" si="8"/>
        <v>0</v>
      </c>
      <c r="AO22" s="10">
        <f t="shared" si="25"/>
        <v>0</v>
      </c>
      <c r="AQ22" s="10">
        <f t="shared" si="9"/>
        <v>0</v>
      </c>
      <c r="AR22" s="10">
        <f t="shared" si="26"/>
        <v>0</v>
      </c>
      <c r="AT22" s="7">
        <f>IF($K22&lt;=$F$15,IF($F$41&lt;&gt;"",$F$41/1000,IF(ISERROR(VLOOKUP($F$3&amp;IF($G$4&lt;&gt;"",$G$4,"")&amp;IF($F$44&lt;&gt;"","_"&amp;$F$44,""),'表3）燃料価格'!$AF$9:$AG$25,2,0)),0,VLOOKUP($I22,'表3）燃料価格'!$A$6:$U$66,VLOOKUP($F$3&amp;IF($G$4&lt;&gt;"",$G$4,"")&amp;IF($F$44&lt;&gt;"","_"&amp;$F$44,""),'表3）燃料価格'!$AF$9:$AG$25,2,0)+VLOOKUP($F$42,'表3）燃料価格'!$AF$28:$AG$29,2,0),0)*IF($F$44="需要地価格",1,$F$8/$F$142))),"")</f>
        <v>0</v>
      </c>
      <c r="AV22" s="10">
        <f t="shared" si="10"/>
        <v>0</v>
      </c>
      <c r="AW22" s="10">
        <f t="shared" si="27"/>
        <v>0</v>
      </c>
      <c r="AY22" s="7">
        <f>IF(ISERROR(IF($K22&lt;=$F$15,VLOOKUP($I22,'表4）CO2価格'!$A$7:$E$67,VLOOKUP($F$49,'表4）CO2価格'!$H$10:$I$12,2,0),0)*$F$8/1000,"")),0,IF($K22&lt;=$F$15,VLOOKUP($I22,'表4）CO2価格'!$A$7:$E$67,VLOOKUP($F$49,'表4）CO2価格'!$H$10:$I$12,2,0),0)*$F$8/1000,""))</f>
        <v>0</v>
      </c>
      <c r="BA22" s="11">
        <f t="shared" si="11"/>
        <v>0</v>
      </c>
      <c r="BB22" s="10">
        <f t="shared" si="28"/>
        <v>0</v>
      </c>
      <c r="BD22" s="10">
        <f t="shared" si="12"/>
        <v>0</v>
      </c>
      <c r="BE22" s="10">
        <f t="shared" si="29"/>
        <v>0</v>
      </c>
      <c r="BG22" s="11">
        <f t="shared" si="13"/>
        <v>0</v>
      </c>
      <c r="BH22" s="10">
        <f t="shared" si="30"/>
        <v>0</v>
      </c>
      <c r="BJ22" s="7">
        <f t="shared" si="14"/>
        <v>0.73069020500198378</v>
      </c>
      <c r="BK22" s="158">
        <f t="shared" si="15"/>
        <v>1047225.2018088432</v>
      </c>
      <c r="BL22" s="158">
        <f t="shared" si="16"/>
        <v>265746.41384188575</v>
      </c>
      <c r="BM22" s="10"/>
      <c r="BN22" s="10">
        <f t="shared" si="31"/>
        <v>4729047.1793147838</v>
      </c>
      <c r="BO22" s="10">
        <f t="shared" si="32"/>
        <v>3733153.5128573608</v>
      </c>
      <c r="BQ22" s="188">
        <f t="shared" si="37"/>
        <v>363692.31724019657</v>
      </c>
      <c r="BR22" s="10">
        <f t="shared" si="33"/>
        <v>287102.07367844461</v>
      </c>
    </row>
    <row r="23" spans="3:70" ht="16.5" x14ac:dyDescent="0.15">
      <c r="D23" s="81" t="s">
        <v>111</v>
      </c>
      <c r="F23" s="90"/>
      <c r="G23" s="9" t="s">
        <v>372</v>
      </c>
      <c r="I23" s="458">
        <f t="shared" si="34"/>
        <v>2038</v>
      </c>
      <c r="J23" s="470"/>
      <c r="K23" s="39">
        <f t="shared" si="35"/>
        <v>9</v>
      </c>
      <c r="L23" s="39"/>
      <c r="M23" s="40">
        <f t="shared" si="0"/>
        <v>0.76641673234362695</v>
      </c>
      <c r="N23" s="39"/>
      <c r="O23" s="72">
        <f t="shared" si="36"/>
        <v>12052043.899512179</v>
      </c>
      <c r="P23" s="41">
        <f t="shared" si="1"/>
        <v>0.14699999999999999</v>
      </c>
      <c r="Q23" s="39"/>
      <c r="R23" s="72">
        <f t="shared" si="17"/>
        <v>14550577.159741407</v>
      </c>
      <c r="S23" s="39"/>
      <c r="T23" s="72">
        <f t="shared" si="18"/>
        <v>14550000</v>
      </c>
      <c r="U23" s="39"/>
      <c r="V23" s="72">
        <f t="shared" si="2"/>
        <v>1771650.4532282902</v>
      </c>
      <c r="W23" s="72">
        <f t="shared" si="19"/>
        <v>1357822.5512183318</v>
      </c>
      <c r="X23" s="39"/>
      <c r="Y23" s="72">
        <f t="shared" si="3"/>
        <v>203700</v>
      </c>
      <c r="Z23" s="72">
        <f t="shared" si="20"/>
        <v>156119.08837839682</v>
      </c>
      <c r="AA23" s="39"/>
      <c r="AB23" s="72">
        <f t="shared" si="4"/>
        <v>0</v>
      </c>
      <c r="AC23" s="72">
        <f t="shared" si="21"/>
        <v>0</v>
      </c>
      <c r="AD23" s="39"/>
      <c r="AE23" s="72">
        <f t="shared" si="5"/>
        <v>0</v>
      </c>
      <c r="AF23" s="72">
        <f t="shared" si="22"/>
        <v>0</v>
      </c>
      <c r="AG23" s="39"/>
      <c r="AH23" s="72">
        <f t="shared" si="6"/>
        <v>1200000</v>
      </c>
      <c r="AI23" s="72">
        <f t="shared" si="23"/>
        <v>919700.07881235238</v>
      </c>
      <c r="AJ23" s="39"/>
      <c r="AK23" s="72">
        <f t="shared" si="7"/>
        <v>0</v>
      </c>
      <c r="AL23" s="72">
        <f t="shared" si="24"/>
        <v>0</v>
      </c>
      <c r="AM23" s="39"/>
      <c r="AN23" s="72">
        <f t="shared" si="8"/>
        <v>0</v>
      </c>
      <c r="AO23" s="72">
        <f t="shared" si="25"/>
        <v>0</v>
      </c>
      <c r="AP23" s="39"/>
      <c r="AQ23" s="72">
        <f t="shared" si="9"/>
        <v>0</v>
      </c>
      <c r="AR23" s="72">
        <f t="shared" si="26"/>
        <v>0</v>
      </c>
      <c r="AS23" s="39"/>
      <c r="AT23" s="40">
        <f>IF($K23&lt;=$F$15,IF($F$41&lt;&gt;"",$F$41/1000,IF(ISERROR(VLOOKUP($F$3&amp;IF($G$4&lt;&gt;"",$G$4,"")&amp;IF($F$44&lt;&gt;"","_"&amp;$F$44,""),'表3）燃料価格'!$AF$9:$AG$25,2,0)),0,VLOOKUP($I23,'表3）燃料価格'!$A$6:$U$66,VLOOKUP($F$3&amp;IF($G$4&lt;&gt;"",$G$4,"")&amp;IF($F$44&lt;&gt;"","_"&amp;$F$44,""),'表3）燃料価格'!$AF$9:$AG$25,2,0)+VLOOKUP($F$42,'表3）燃料価格'!$AF$28:$AG$29,2,0),0)*IF($F$44="需要地価格",1,$F$8/$F$142))),"")</f>
        <v>0</v>
      </c>
      <c r="AU23" s="39"/>
      <c r="AV23" s="72">
        <f t="shared" si="10"/>
        <v>0</v>
      </c>
      <c r="AW23" s="72">
        <f t="shared" si="27"/>
        <v>0</v>
      </c>
      <c r="AX23" s="39"/>
      <c r="AY23" s="40">
        <f>IF(ISERROR(IF($K23&lt;=$F$15,VLOOKUP($I23,'表4）CO2価格'!$A$7:$E$67,VLOOKUP($F$49,'表4）CO2価格'!$H$10:$I$12,2,0),0)*$F$8/1000,"")),0,IF($K23&lt;=$F$15,VLOOKUP($I23,'表4）CO2価格'!$A$7:$E$67,VLOOKUP($F$49,'表4）CO2価格'!$H$10:$I$12,2,0),0)*$F$8/1000,""))</f>
        <v>0</v>
      </c>
      <c r="AZ23" s="39"/>
      <c r="BA23" s="42">
        <f t="shared" si="11"/>
        <v>0</v>
      </c>
      <c r="BB23" s="72">
        <f t="shared" si="28"/>
        <v>0</v>
      </c>
      <c r="BC23" s="39"/>
      <c r="BD23" s="72">
        <f t="shared" si="12"/>
        <v>0</v>
      </c>
      <c r="BE23" s="72">
        <f t="shared" si="29"/>
        <v>0</v>
      </c>
      <c r="BF23" s="39"/>
      <c r="BG23" s="42">
        <f t="shared" si="13"/>
        <v>0</v>
      </c>
      <c r="BH23" s="72">
        <f t="shared" si="30"/>
        <v>0</v>
      </c>
      <c r="BI23" s="39"/>
      <c r="BJ23" s="40">
        <f t="shared" si="14"/>
        <v>0.70258673557883045</v>
      </c>
      <c r="BK23" s="157">
        <f t="shared" si="15"/>
        <v>986221.00073200429</v>
      </c>
      <c r="BL23" s="157">
        <f t="shared" si="16"/>
        <v>254247.77093526567</v>
      </c>
      <c r="BM23" s="72"/>
      <c r="BN23" s="72">
        <f t="shared" si="31"/>
        <v>4705401.9434182094</v>
      </c>
      <c r="BO23" s="72">
        <f t="shared" si="32"/>
        <v>3606298.781837936</v>
      </c>
      <c r="BP23" s="39"/>
      <c r="BQ23" s="72">
        <f t="shared" si="37"/>
        <v>361873.85565399559</v>
      </c>
      <c r="BR23" s="72">
        <f t="shared" si="33"/>
        <v>277346.17797092465</v>
      </c>
    </row>
    <row r="24" spans="3:70" x14ac:dyDescent="0.15">
      <c r="D24" s="81" t="s">
        <v>112</v>
      </c>
      <c r="F24" s="147"/>
      <c r="G24" s="81" t="s">
        <v>172</v>
      </c>
      <c r="I24" s="459">
        <f t="shared" si="34"/>
        <v>2039</v>
      </c>
      <c r="K24" s="71">
        <f t="shared" si="35"/>
        <v>10</v>
      </c>
      <c r="M24" s="7">
        <f t="shared" si="0"/>
        <v>0.74409391489672516</v>
      </c>
      <c r="O24" s="10">
        <f t="shared" si="36"/>
        <v>10280393.446283888</v>
      </c>
      <c r="P24" s="29">
        <f t="shared" si="1"/>
        <v>0.14699999999999999</v>
      </c>
      <c r="R24" s="10">
        <f t="shared" si="17"/>
        <v>12707399.711372415</v>
      </c>
      <c r="T24" s="10">
        <f t="shared" si="18"/>
        <v>12707000</v>
      </c>
      <c r="V24" s="10">
        <f t="shared" si="2"/>
        <v>1511217.8366037314</v>
      </c>
      <c r="W24" s="10">
        <f t="shared" si="19"/>
        <v>1124487.99630023</v>
      </c>
      <c r="Y24" s="10">
        <f t="shared" si="3"/>
        <v>177800</v>
      </c>
      <c r="Z24" s="10">
        <f t="shared" si="20"/>
        <v>132299.89806863773</v>
      </c>
      <c r="AB24" s="10">
        <f t="shared" si="4"/>
        <v>0</v>
      </c>
      <c r="AC24" s="10">
        <f t="shared" si="21"/>
        <v>0</v>
      </c>
      <c r="AE24" s="10">
        <f t="shared" si="5"/>
        <v>0</v>
      </c>
      <c r="AF24" s="10">
        <f t="shared" si="22"/>
        <v>0</v>
      </c>
      <c r="AH24" s="10">
        <f t="shared" si="6"/>
        <v>1200000</v>
      </c>
      <c r="AI24" s="10">
        <f t="shared" si="23"/>
        <v>892912.69787607016</v>
      </c>
      <c r="AK24" s="10">
        <f t="shared" si="7"/>
        <v>0</v>
      </c>
      <c r="AL24" s="10">
        <f t="shared" si="24"/>
        <v>0</v>
      </c>
      <c r="AN24" s="10">
        <f t="shared" si="8"/>
        <v>0</v>
      </c>
      <c r="AO24" s="10">
        <f t="shared" si="25"/>
        <v>0</v>
      </c>
      <c r="AQ24" s="10">
        <f t="shared" si="9"/>
        <v>0</v>
      </c>
      <c r="AR24" s="10">
        <f t="shared" si="26"/>
        <v>0</v>
      </c>
      <c r="AT24" s="7">
        <f>IF($K24&lt;=$F$15,IF($F$41&lt;&gt;"",$F$41/1000,IF(ISERROR(VLOOKUP($F$3&amp;IF($G$4&lt;&gt;"",$G$4,"")&amp;IF($F$44&lt;&gt;"","_"&amp;$F$44,""),'表3）燃料価格'!$AF$9:$AG$25,2,0)),0,VLOOKUP($I24,'表3）燃料価格'!$A$6:$U$66,VLOOKUP($F$3&amp;IF($G$4&lt;&gt;"",$G$4,"")&amp;IF($F$44&lt;&gt;"","_"&amp;$F$44,""),'表3）燃料価格'!$AF$9:$AG$25,2,0)+VLOOKUP($F$42,'表3）燃料価格'!$AF$28:$AG$29,2,0),0)*IF($F$44="需要地価格",1,$F$8/$F$142))),"")</f>
        <v>0</v>
      </c>
      <c r="AV24" s="10">
        <f t="shared" si="10"/>
        <v>0</v>
      </c>
      <c r="AW24" s="10">
        <f t="shared" si="27"/>
        <v>0</v>
      </c>
      <c r="AY24" s="7">
        <f>IF(ISERROR(IF($K24&lt;=$F$15,VLOOKUP($I24,'表4）CO2価格'!$A$7:$E$67,VLOOKUP($F$49,'表4）CO2価格'!$H$10:$I$12,2,0),0)*$F$8/1000,"")),0,IF($K24&lt;=$F$15,VLOOKUP($I24,'表4）CO2価格'!$A$7:$E$67,VLOOKUP($F$49,'表4）CO2価格'!$H$10:$I$12,2,0),0)*$F$8/1000,""))</f>
        <v>0</v>
      </c>
      <c r="BA24" s="11">
        <f t="shared" si="11"/>
        <v>0</v>
      </c>
      <c r="BB24" s="10">
        <f t="shared" si="28"/>
        <v>0</v>
      </c>
      <c r="BD24" s="10">
        <f t="shared" si="12"/>
        <v>0</v>
      </c>
      <c r="BE24" s="10">
        <f t="shared" si="29"/>
        <v>0</v>
      </c>
      <c r="BG24" s="11">
        <f t="shared" si="13"/>
        <v>0</v>
      </c>
      <c r="BH24" s="10">
        <f t="shared" si="30"/>
        <v>0</v>
      </c>
      <c r="BJ24" s="7">
        <f t="shared" si="14"/>
        <v>0.67556416882579851</v>
      </c>
      <c r="BK24" s="158">
        <f t="shared" si="15"/>
        <v>930792.31180818519</v>
      </c>
      <c r="BL24" s="158">
        <f t="shared" si="16"/>
        <v>243246.6654621051</v>
      </c>
      <c r="BM24" s="10"/>
      <c r="BN24" s="10">
        <f t="shared" si="31"/>
        <v>4681874.9337011175</v>
      </c>
      <c r="BO24" s="10">
        <f t="shared" si="32"/>
        <v>3483754.6484745103</v>
      </c>
      <c r="BQ24" s="188">
        <f t="shared" si="37"/>
        <v>360064.4863757256</v>
      </c>
      <c r="BR24" s="10">
        <f t="shared" si="33"/>
        <v>267921.7932825922</v>
      </c>
    </row>
    <row r="25" spans="3:70" x14ac:dyDescent="0.15">
      <c r="D25" s="81" t="s">
        <v>113</v>
      </c>
      <c r="F25" s="68">
        <v>0</v>
      </c>
      <c r="G25" s="81" t="s">
        <v>172</v>
      </c>
      <c r="I25" s="458">
        <f t="shared" si="34"/>
        <v>2040</v>
      </c>
      <c r="J25" s="470"/>
      <c r="K25" s="39">
        <f t="shared" si="35"/>
        <v>11</v>
      </c>
      <c r="L25" s="39"/>
      <c r="M25" s="40">
        <f t="shared" si="0"/>
        <v>0.72242127659876232</v>
      </c>
      <c r="N25" s="39"/>
      <c r="O25" s="72">
        <f t="shared" si="36"/>
        <v>8769175.6096801572</v>
      </c>
      <c r="P25" s="41">
        <f t="shared" si="1"/>
        <v>0.14699999999999999</v>
      </c>
      <c r="Q25" s="39"/>
      <c r="R25" s="72">
        <f t="shared" si="17"/>
        <v>11097704.623797722</v>
      </c>
      <c r="S25" s="39"/>
      <c r="T25" s="72">
        <f t="shared" si="18"/>
        <v>11097000</v>
      </c>
      <c r="U25" s="39"/>
      <c r="V25" s="72">
        <f t="shared" si="2"/>
        <v>1289068.8146229831</v>
      </c>
      <c r="W25" s="72">
        <f t="shared" si="19"/>
        <v>931250.7386835888</v>
      </c>
      <c r="X25" s="39"/>
      <c r="Y25" s="72">
        <f t="shared" si="3"/>
        <v>155300</v>
      </c>
      <c r="Z25" s="72">
        <f t="shared" si="20"/>
        <v>112192.02425578779</v>
      </c>
      <c r="AA25" s="39"/>
      <c r="AB25" s="72">
        <f t="shared" si="4"/>
        <v>0</v>
      </c>
      <c r="AC25" s="72">
        <f t="shared" si="21"/>
        <v>0</v>
      </c>
      <c r="AD25" s="39"/>
      <c r="AE25" s="72">
        <f t="shared" si="5"/>
        <v>0</v>
      </c>
      <c r="AF25" s="72">
        <f t="shared" si="22"/>
        <v>0</v>
      </c>
      <c r="AG25" s="39"/>
      <c r="AH25" s="72">
        <f t="shared" si="6"/>
        <v>1200000</v>
      </c>
      <c r="AI25" s="72">
        <f t="shared" si="23"/>
        <v>866905.53191851475</v>
      </c>
      <c r="AJ25" s="39"/>
      <c r="AK25" s="72">
        <f t="shared" si="7"/>
        <v>0</v>
      </c>
      <c r="AL25" s="72">
        <f t="shared" si="24"/>
        <v>0</v>
      </c>
      <c r="AM25" s="39"/>
      <c r="AN25" s="72">
        <f t="shared" si="8"/>
        <v>0</v>
      </c>
      <c r="AO25" s="72">
        <f t="shared" si="25"/>
        <v>0</v>
      </c>
      <c r="AP25" s="39"/>
      <c r="AQ25" s="72">
        <f t="shared" si="9"/>
        <v>0</v>
      </c>
      <c r="AR25" s="72">
        <f t="shared" si="26"/>
        <v>0</v>
      </c>
      <c r="AS25" s="39"/>
      <c r="AT25" s="40">
        <f>IF($K25&lt;=$F$15,IF($F$41&lt;&gt;"",$F$41/1000,IF(ISERROR(VLOOKUP($F$3&amp;IF($G$4&lt;&gt;"",$G$4,"")&amp;IF($F$44&lt;&gt;"","_"&amp;$F$44,""),'表3）燃料価格'!$AF$9:$AG$25,2,0)),0,VLOOKUP($I25,'表3）燃料価格'!$A$6:$U$66,VLOOKUP($F$3&amp;IF($G$4&lt;&gt;"",$G$4,"")&amp;IF($F$44&lt;&gt;"","_"&amp;$F$44,""),'表3）燃料価格'!$AF$9:$AG$25,2,0)+VLOOKUP($F$42,'表3）燃料価格'!$AF$28:$AG$29,2,0),0)*IF($F$44="需要地価格",1,$F$8/$F$142))),"")</f>
        <v>0</v>
      </c>
      <c r="AU25" s="39"/>
      <c r="AV25" s="72">
        <f t="shared" si="10"/>
        <v>0</v>
      </c>
      <c r="AW25" s="72">
        <f t="shared" si="27"/>
        <v>0</v>
      </c>
      <c r="AX25" s="39"/>
      <c r="AY25" s="40">
        <f>IF(ISERROR(IF($K25&lt;=$F$15,VLOOKUP($I25,'表4）CO2価格'!$A$7:$E$67,VLOOKUP($F$49,'表4）CO2価格'!$H$10:$I$12,2,0),0)*$F$8/1000,"")),0,IF($K25&lt;=$F$15,VLOOKUP($I25,'表4）CO2価格'!$A$7:$E$67,VLOOKUP($F$49,'表4）CO2価格'!$H$10:$I$12,2,0),0)*$F$8/1000,""))</f>
        <v>0</v>
      </c>
      <c r="AZ25" s="39"/>
      <c r="BA25" s="42">
        <f t="shared" si="11"/>
        <v>0</v>
      </c>
      <c r="BB25" s="72">
        <f t="shared" si="28"/>
        <v>0</v>
      </c>
      <c r="BC25" s="39"/>
      <c r="BD25" s="72">
        <f t="shared" si="12"/>
        <v>0</v>
      </c>
      <c r="BE25" s="72">
        <f t="shared" si="29"/>
        <v>0</v>
      </c>
      <c r="BF25" s="39"/>
      <c r="BG25" s="42">
        <f t="shared" si="13"/>
        <v>0</v>
      </c>
      <c r="BH25" s="72">
        <f t="shared" si="30"/>
        <v>0</v>
      </c>
      <c r="BI25" s="39"/>
      <c r="BJ25" s="40">
        <f t="shared" si="14"/>
        <v>0.6495809315632679</v>
      </c>
      <c r="BK25" s="157">
        <f t="shared" si="15"/>
        <v>880377.03654769703</v>
      </c>
      <c r="BL25" s="157">
        <f t="shared" si="16"/>
        <v>232721.56936037948</v>
      </c>
      <c r="BM25" s="72"/>
      <c r="BN25" s="72">
        <f t="shared" si="31"/>
        <v>4658465.5590326125</v>
      </c>
      <c r="BO25" s="72">
        <f t="shared" si="32"/>
        <v>3365374.6361477068</v>
      </c>
      <c r="BP25" s="39"/>
      <c r="BQ25" s="72">
        <f t="shared" si="37"/>
        <v>358264.163943847</v>
      </c>
      <c r="BR25" s="72">
        <f t="shared" si="33"/>
        <v>258817.65467590222</v>
      </c>
    </row>
    <row r="26" spans="3:70" x14ac:dyDescent="0.15">
      <c r="D26" s="81" t="s">
        <v>114</v>
      </c>
      <c r="F26" s="66">
        <v>1.4</v>
      </c>
      <c r="G26" s="81" t="s">
        <v>172</v>
      </c>
      <c r="I26" s="459">
        <f t="shared" si="34"/>
        <v>2041</v>
      </c>
      <c r="K26" s="71">
        <f t="shared" si="35"/>
        <v>12</v>
      </c>
      <c r="M26" s="7">
        <f t="shared" si="0"/>
        <v>0.70137988019297326</v>
      </c>
      <c r="O26" s="10">
        <f t="shared" si="36"/>
        <v>7480106.7950571738</v>
      </c>
      <c r="P26" s="29">
        <f t="shared" si="1"/>
        <v>0.16700000000000001</v>
      </c>
      <c r="R26" s="10">
        <f t="shared" si="17"/>
        <v>9691915.7903596014</v>
      </c>
      <c r="T26" s="10">
        <f t="shared" si="18"/>
        <v>9691000</v>
      </c>
      <c r="V26" s="10">
        <f t="shared" si="2"/>
        <v>1249177.8347745482</v>
      </c>
      <c r="W26" s="10">
        <f t="shared" si="19"/>
        <v>876148.20009389031</v>
      </c>
      <c r="Y26" s="10">
        <f t="shared" si="3"/>
        <v>135600</v>
      </c>
      <c r="Z26" s="10">
        <f t="shared" si="20"/>
        <v>95107.11175416717</v>
      </c>
      <c r="AB26" s="10">
        <f t="shared" si="4"/>
        <v>0</v>
      </c>
      <c r="AC26" s="10">
        <f t="shared" si="21"/>
        <v>0</v>
      </c>
      <c r="AE26" s="10">
        <f t="shared" si="5"/>
        <v>0</v>
      </c>
      <c r="AF26" s="10">
        <f t="shared" si="22"/>
        <v>0</v>
      </c>
      <c r="AH26" s="10">
        <f t="shared" si="6"/>
        <v>1200000</v>
      </c>
      <c r="AI26" s="10">
        <f t="shared" si="23"/>
        <v>841655.85623156792</v>
      </c>
      <c r="AK26" s="10">
        <f t="shared" si="7"/>
        <v>0</v>
      </c>
      <c r="AL26" s="10">
        <f t="shared" si="24"/>
        <v>0</v>
      </c>
      <c r="AN26" s="10">
        <f t="shared" si="8"/>
        <v>0</v>
      </c>
      <c r="AO26" s="10">
        <f t="shared" si="25"/>
        <v>0</v>
      </c>
      <c r="AQ26" s="10">
        <f t="shared" si="9"/>
        <v>0</v>
      </c>
      <c r="AR26" s="10">
        <f t="shared" si="26"/>
        <v>0</v>
      </c>
      <c r="AT26" s="7">
        <f>IF($K26&lt;=$F$15,IF($F$41&lt;&gt;"",$F$41/1000,IF(ISERROR(VLOOKUP($F$3&amp;IF($G$4&lt;&gt;"",$G$4,"")&amp;IF($F$44&lt;&gt;"","_"&amp;$F$44,""),'表3）燃料価格'!$AF$9:$AG$25,2,0)),0,VLOOKUP($I26,'表3）燃料価格'!$A$6:$U$66,VLOOKUP($F$3&amp;IF($G$4&lt;&gt;"",$G$4,"")&amp;IF($F$44&lt;&gt;"","_"&amp;$F$44,""),'表3）燃料価格'!$AF$9:$AG$25,2,0)+VLOOKUP($F$42,'表3）燃料価格'!$AF$28:$AG$29,2,0),0)*IF($F$44="需要地価格",1,$F$8/$F$142))),"")</f>
        <v>0</v>
      </c>
      <c r="AV26" s="10">
        <f t="shared" si="10"/>
        <v>0</v>
      </c>
      <c r="AW26" s="10">
        <f t="shared" si="27"/>
        <v>0</v>
      </c>
      <c r="AY26" s="7">
        <f>IF(ISERROR(IF($K26&lt;=$F$15,VLOOKUP($I26,'表4）CO2価格'!$A$7:$E$67,VLOOKUP($F$49,'表4）CO2価格'!$H$10:$I$12,2,0),0)*$F$8/1000,"")),0,IF($K26&lt;=$F$15,VLOOKUP($I26,'表4）CO2価格'!$A$7:$E$67,VLOOKUP($F$49,'表4）CO2価格'!$H$10:$I$12,2,0),0)*$F$8/1000,""))</f>
        <v>0</v>
      </c>
      <c r="BA26" s="11">
        <f t="shared" si="11"/>
        <v>0</v>
      </c>
      <c r="BB26" s="10">
        <f t="shared" si="28"/>
        <v>0</v>
      </c>
      <c r="BD26" s="10">
        <f t="shared" si="12"/>
        <v>0</v>
      </c>
      <c r="BE26" s="10">
        <f t="shared" si="29"/>
        <v>0</v>
      </c>
      <c r="BG26" s="11">
        <f t="shared" si="13"/>
        <v>0</v>
      </c>
      <c r="BH26" s="10">
        <f t="shared" si="30"/>
        <v>0</v>
      </c>
      <c r="BJ26" s="7">
        <f t="shared" si="14"/>
        <v>0.62459704958006512</v>
      </c>
      <c r="BK26" s="158">
        <f t="shared" si="15"/>
        <v>834211.81941913499</v>
      </c>
      <c r="BL26" s="158">
        <f t="shared" si="16"/>
        <v>222651.88607074757</v>
      </c>
      <c r="BM26" s="10"/>
      <c r="BN26" s="10">
        <f t="shared" si="31"/>
        <v>4635173.2312374488</v>
      </c>
      <c r="BO26" s="10">
        <f t="shared" si="32"/>
        <v>3251017.2455989984</v>
      </c>
      <c r="BQ26" s="188">
        <f t="shared" si="37"/>
        <v>356472.84312412771</v>
      </c>
      <c r="BR26" s="10">
        <f t="shared" si="33"/>
        <v>250022.88000244924</v>
      </c>
    </row>
    <row r="27" spans="3:70" x14ac:dyDescent="0.15">
      <c r="D27" s="81" t="s">
        <v>115</v>
      </c>
      <c r="F27" s="59"/>
      <c r="G27" s="81" t="s">
        <v>175</v>
      </c>
      <c r="I27" s="458">
        <f t="shared" si="34"/>
        <v>2042</v>
      </c>
      <c r="J27" s="470"/>
      <c r="K27" s="39">
        <f t="shared" si="35"/>
        <v>13</v>
      </c>
      <c r="L27" s="39"/>
      <c r="M27" s="40">
        <f t="shared" si="0"/>
        <v>0.68095133999317792</v>
      </c>
      <c r="N27" s="39"/>
      <c r="O27" s="72">
        <f t="shared" si="36"/>
        <v>6230928.9602826256</v>
      </c>
      <c r="P27" s="41" t="str">
        <f t="shared" si="1"/>
        <v>-</v>
      </c>
      <c r="Q27" s="39"/>
      <c r="R27" s="72">
        <f t="shared" si="17"/>
        <v>8464203.6233324334</v>
      </c>
      <c r="S27" s="39"/>
      <c r="T27" s="72">
        <f t="shared" si="18"/>
        <v>8464000</v>
      </c>
      <c r="U27" s="39"/>
      <c r="V27" s="72">
        <f t="shared" si="2"/>
        <v>1249177.8347745482</v>
      </c>
      <c r="W27" s="72">
        <f t="shared" si="19"/>
        <v>850629.32047950523</v>
      </c>
      <c r="X27" s="39"/>
      <c r="Y27" s="72">
        <f t="shared" si="3"/>
        <v>118400</v>
      </c>
      <c r="Z27" s="72">
        <f t="shared" si="20"/>
        <v>80624.638655192262</v>
      </c>
      <c r="AA27" s="39"/>
      <c r="AB27" s="72">
        <f t="shared" si="4"/>
        <v>0</v>
      </c>
      <c r="AC27" s="72">
        <f t="shared" si="21"/>
        <v>0</v>
      </c>
      <c r="AD27" s="39"/>
      <c r="AE27" s="72">
        <f t="shared" si="5"/>
        <v>0</v>
      </c>
      <c r="AF27" s="72">
        <f t="shared" si="22"/>
        <v>0</v>
      </c>
      <c r="AG27" s="39"/>
      <c r="AH27" s="72">
        <f t="shared" si="6"/>
        <v>1200000</v>
      </c>
      <c r="AI27" s="72">
        <f t="shared" si="23"/>
        <v>817141.60799181345</v>
      </c>
      <c r="AJ27" s="39"/>
      <c r="AK27" s="72">
        <f t="shared" si="7"/>
        <v>0</v>
      </c>
      <c r="AL27" s="72">
        <f t="shared" si="24"/>
        <v>0</v>
      </c>
      <c r="AM27" s="39"/>
      <c r="AN27" s="72">
        <f t="shared" si="8"/>
        <v>0</v>
      </c>
      <c r="AO27" s="72">
        <f t="shared" si="25"/>
        <v>0</v>
      </c>
      <c r="AP27" s="39"/>
      <c r="AQ27" s="72">
        <f t="shared" si="9"/>
        <v>0</v>
      </c>
      <c r="AR27" s="72">
        <f t="shared" si="26"/>
        <v>0</v>
      </c>
      <c r="AS27" s="39"/>
      <c r="AT27" s="40">
        <f>IF($K27&lt;=$F$15,IF($F$41&lt;&gt;"",$F$41/1000,IF(ISERROR(VLOOKUP($F$3&amp;IF($G$4&lt;&gt;"",$G$4,"")&amp;IF($F$44&lt;&gt;"","_"&amp;$F$44,""),'表3）燃料価格'!$AF$9:$AG$25,2,0)),0,VLOOKUP($I27,'表3）燃料価格'!$A$6:$U$66,VLOOKUP($F$3&amp;IF($G$4&lt;&gt;"",$G$4,"")&amp;IF($F$44&lt;&gt;"","_"&amp;$F$44,""),'表3）燃料価格'!$AF$9:$AG$25,2,0)+VLOOKUP($F$42,'表3）燃料価格'!$AF$28:$AG$29,2,0),0)*IF($F$44="需要地価格",1,$F$8/$F$142))),"")</f>
        <v>0</v>
      </c>
      <c r="AU27" s="39"/>
      <c r="AV27" s="72">
        <f t="shared" si="10"/>
        <v>0</v>
      </c>
      <c r="AW27" s="72">
        <f t="shared" si="27"/>
        <v>0</v>
      </c>
      <c r="AX27" s="39"/>
      <c r="AY27" s="40">
        <f>IF(ISERROR(IF($K27&lt;=$F$15,VLOOKUP($I27,'表4）CO2価格'!$A$7:$E$67,VLOOKUP($F$49,'表4）CO2価格'!$H$10:$I$12,2,0),0)*$F$8/1000,"")),0,IF($K27&lt;=$F$15,VLOOKUP($I27,'表4）CO2価格'!$A$7:$E$67,VLOOKUP($F$49,'表4）CO2価格'!$H$10:$I$12,2,0),0)*$F$8/1000,""))</f>
        <v>0</v>
      </c>
      <c r="AZ27" s="39"/>
      <c r="BA27" s="42">
        <f t="shared" si="11"/>
        <v>0</v>
      </c>
      <c r="BB27" s="72">
        <f t="shared" si="28"/>
        <v>0</v>
      </c>
      <c r="BC27" s="39"/>
      <c r="BD27" s="72">
        <f t="shared" si="12"/>
        <v>0</v>
      </c>
      <c r="BE27" s="72">
        <f t="shared" si="29"/>
        <v>0</v>
      </c>
      <c r="BF27" s="39"/>
      <c r="BG27" s="42">
        <f t="shared" si="13"/>
        <v>0</v>
      </c>
      <c r="BH27" s="72">
        <f t="shared" si="30"/>
        <v>0</v>
      </c>
      <c r="BI27" s="39"/>
      <c r="BJ27" s="40">
        <f t="shared" si="14"/>
        <v>0.600574086134678</v>
      </c>
      <c r="BK27" s="157">
        <f t="shared" si="15"/>
        <v>791796.87515995943</v>
      </c>
      <c r="BL27" s="157">
        <f t="shared" si="16"/>
        <v>213017.91023114795</v>
      </c>
      <c r="BM27" s="72"/>
      <c r="BN27" s="72">
        <f t="shared" si="31"/>
        <v>4611997.3650812628</v>
      </c>
      <c r="BO27" s="72">
        <f t="shared" si="32"/>
        <v>3140545.7857970917</v>
      </c>
      <c r="BP27" s="39"/>
      <c r="BQ27" s="72">
        <f t="shared" si="37"/>
        <v>354690.47890850715</v>
      </c>
      <c r="BR27" s="72">
        <f t="shared" si="33"/>
        <v>241526.95689556995</v>
      </c>
    </row>
    <row r="28" spans="3:70" x14ac:dyDescent="0.15">
      <c r="D28" s="82" t="s">
        <v>86</v>
      </c>
      <c r="F28" s="250">
        <f>1*F13</f>
        <v>2.5000000000000001E-2</v>
      </c>
      <c r="G28" s="81" t="s">
        <v>176</v>
      </c>
      <c r="I28" s="459">
        <f t="shared" si="34"/>
        <v>2043</v>
      </c>
      <c r="K28" s="71">
        <f t="shared" si="35"/>
        <v>14</v>
      </c>
      <c r="M28" s="7">
        <f t="shared" si="0"/>
        <v>0.66111780581861923</v>
      </c>
      <c r="O28" s="10">
        <f t="shared" si="36"/>
        <v>4981751.1255080774</v>
      </c>
      <c r="P28" s="29" t="str">
        <f t="shared" si="1"/>
        <v>-</v>
      </c>
      <c r="R28" s="10">
        <f t="shared" si="17"/>
        <v>7392010.4679918718</v>
      </c>
      <c r="T28" s="10">
        <f t="shared" si="18"/>
        <v>7392000</v>
      </c>
      <c r="V28" s="10">
        <f t="shared" si="2"/>
        <v>1249177.8347745482</v>
      </c>
      <c r="W28" s="10">
        <f t="shared" si="19"/>
        <v>825853.70920340298</v>
      </c>
      <c r="Y28" s="10">
        <f t="shared" si="3"/>
        <v>103400</v>
      </c>
      <c r="Z28" s="10">
        <f t="shared" si="20"/>
        <v>68359.581121645228</v>
      </c>
      <c r="AB28" s="10">
        <f t="shared" si="4"/>
        <v>0</v>
      </c>
      <c r="AC28" s="10">
        <f t="shared" si="21"/>
        <v>0</v>
      </c>
      <c r="AE28" s="10">
        <f t="shared" si="5"/>
        <v>0</v>
      </c>
      <c r="AF28" s="10">
        <f t="shared" si="22"/>
        <v>0</v>
      </c>
      <c r="AH28" s="10">
        <f t="shared" si="6"/>
        <v>1200000</v>
      </c>
      <c r="AI28" s="10">
        <f t="shared" si="23"/>
        <v>793341.36698234302</v>
      </c>
      <c r="AK28" s="10">
        <f t="shared" si="7"/>
        <v>0</v>
      </c>
      <c r="AL28" s="10">
        <f t="shared" si="24"/>
        <v>0</v>
      </c>
      <c r="AN28" s="10">
        <f t="shared" si="8"/>
        <v>0</v>
      </c>
      <c r="AO28" s="10">
        <f t="shared" si="25"/>
        <v>0</v>
      </c>
      <c r="AQ28" s="10">
        <f t="shared" si="9"/>
        <v>0</v>
      </c>
      <c r="AR28" s="10">
        <f t="shared" si="26"/>
        <v>0</v>
      </c>
      <c r="AT28" s="7">
        <f>IF($K28&lt;=$F$15,IF($F$41&lt;&gt;"",$F$41/1000,IF(ISERROR(VLOOKUP($F$3&amp;IF($G$4&lt;&gt;"",$G$4,"")&amp;IF($F$44&lt;&gt;"","_"&amp;$F$44,""),'表3）燃料価格'!$AF$9:$AG$25,2,0)),0,VLOOKUP($I28,'表3）燃料価格'!$A$6:$U$66,VLOOKUP($F$3&amp;IF($G$4&lt;&gt;"",$G$4,"")&amp;IF($F$44&lt;&gt;"","_"&amp;$F$44,""),'表3）燃料価格'!$AF$9:$AG$25,2,0)+VLOOKUP($F$42,'表3）燃料価格'!$AF$28:$AG$29,2,0),0)*IF($F$44="需要地価格",1,$F$8/$F$142))),"")</f>
        <v>0</v>
      </c>
      <c r="AV28" s="10">
        <f t="shared" si="10"/>
        <v>0</v>
      </c>
      <c r="AW28" s="10">
        <f t="shared" si="27"/>
        <v>0</v>
      </c>
      <c r="AY28" s="7">
        <f>IF(ISERROR(IF($K28&lt;=$F$15,VLOOKUP($I28,'表4）CO2価格'!$A$7:$E$67,VLOOKUP($F$49,'表4）CO2価格'!$H$10:$I$12,2,0),0)*$F$8/1000,"")),0,IF($K28&lt;=$F$15,VLOOKUP($I28,'表4）CO2価格'!$A$7:$E$67,VLOOKUP($F$49,'表4）CO2価格'!$H$10:$I$12,2,0),0)*$F$8/1000,""))</f>
        <v>0</v>
      </c>
      <c r="BA28" s="11">
        <f t="shared" si="11"/>
        <v>0</v>
      </c>
      <c r="BB28" s="10">
        <f t="shared" si="28"/>
        <v>0</v>
      </c>
      <c r="BD28" s="10">
        <f t="shared" si="12"/>
        <v>0</v>
      </c>
      <c r="BE28" s="10">
        <f t="shared" si="29"/>
        <v>0</v>
      </c>
      <c r="BG28" s="11">
        <f t="shared" si="13"/>
        <v>0</v>
      </c>
      <c r="BH28" s="10">
        <f t="shared" si="30"/>
        <v>0</v>
      </c>
      <c r="BJ28" s="7">
        <f t="shared" si="14"/>
        <v>0.57747508282180582</v>
      </c>
      <c r="BK28" s="158">
        <f t="shared" si="15"/>
        <v>752681.02294994169</v>
      </c>
      <c r="BL28" s="158">
        <f t="shared" si="16"/>
        <v>203800.78911537718</v>
      </c>
      <c r="BM28" s="10"/>
      <c r="BN28" s="10">
        <f t="shared" si="31"/>
        <v>4588937.3782558572</v>
      </c>
      <c r="BO28" s="10">
        <f t="shared" si="32"/>
        <v>3033828.2105515595</v>
      </c>
      <c r="BQ28" s="188">
        <f t="shared" si="37"/>
        <v>352917.02651396464</v>
      </c>
      <c r="BR28" s="10">
        <f t="shared" si="33"/>
        <v>233319.73020494377</v>
      </c>
    </row>
    <row r="29" spans="3:70" x14ac:dyDescent="0.15">
      <c r="D29" s="81" t="s">
        <v>116</v>
      </c>
      <c r="F29" s="59">
        <v>1</v>
      </c>
      <c r="G29" s="81" t="s">
        <v>108</v>
      </c>
      <c r="I29" s="458">
        <f t="shared" si="34"/>
        <v>2044</v>
      </c>
      <c r="J29" s="470"/>
      <c r="K29" s="39">
        <f t="shared" si="35"/>
        <v>15</v>
      </c>
      <c r="L29" s="39"/>
      <c r="M29" s="40">
        <f t="shared" si="0"/>
        <v>0.64186194739671765</v>
      </c>
      <c r="N29" s="39"/>
      <c r="O29" s="72">
        <f t="shared" si="36"/>
        <v>3732573.2907335293</v>
      </c>
      <c r="P29" s="41" t="str">
        <f t="shared" si="1"/>
        <v>-</v>
      </c>
      <c r="Q29" s="39"/>
      <c r="R29" s="72">
        <f t="shared" si="17"/>
        <v>6455636.1343051475</v>
      </c>
      <c r="S29" s="39"/>
      <c r="T29" s="72">
        <f t="shared" si="18"/>
        <v>6455000</v>
      </c>
      <c r="U29" s="39"/>
      <c r="V29" s="72">
        <f t="shared" si="2"/>
        <v>1249177.8347745482</v>
      </c>
      <c r="W29" s="72">
        <f t="shared" si="19"/>
        <v>801799.7176732067</v>
      </c>
      <c r="X29" s="39"/>
      <c r="Y29" s="72">
        <f t="shared" si="3"/>
        <v>90300</v>
      </c>
      <c r="Z29" s="72">
        <f t="shared" si="20"/>
        <v>57960.133849923601</v>
      </c>
      <c r="AA29" s="39"/>
      <c r="AB29" s="72">
        <f t="shared" si="4"/>
        <v>0</v>
      </c>
      <c r="AC29" s="72">
        <f t="shared" si="21"/>
        <v>0</v>
      </c>
      <c r="AD29" s="39"/>
      <c r="AE29" s="72">
        <f t="shared" si="5"/>
        <v>0</v>
      </c>
      <c r="AF29" s="72">
        <f t="shared" si="22"/>
        <v>0</v>
      </c>
      <c r="AG29" s="39"/>
      <c r="AH29" s="72">
        <f t="shared" si="6"/>
        <v>1200000</v>
      </c>
      <c r="AI29" s="72">
        <f t="shared" si="23"/>
        <v>770234.33687606116</v>
      </c>
      <c r="AJ29" s="39"/>
      <c r="AK29" s="72">
        <f t="shared" si="7"/>
        <v>0</v>
      </c>
      <c r="AL29" s="72">
        <f t="shared" si="24"/>
        <v>0</v>
      </c>
      <c r="AM29" s="39"/>
      <c r="AN29" s="72">
        <f t="shared" si="8"/>
        <v>0</v>
      </c>
      <c r="AO29" s="72">
        <f t="shared" si="25"/>
        <v>0</v>
      </c>
      <c r="AP29" s="39"/>
      <c r="AQ29" s="72">
        <f t="shared" si="9"/>
        <v>0</v>
      </c>
      <c r="AR29" s="72">
        <f t="shared" si="26"/>
        <v>0</v>
      </c>
      <c r="AS29" s="39"/>
      <c r="AT29" s="40">
        <f>IF($K29&lt;=$F$15,IF($F$41&lt;&gt;"",$F$41/1000,IF(ISERROR(VLOOKUP($F$3&amp;IF($G$4&lt;&gt;"",$G$4,"")&amp;IF($F$44&lt;&gt;"","_"&amp;$F$44,""),'表3）燃料価格'!$AF$9:$AG$25,2,0)),0,VLOOKUP($I29,'表3）燃料価格'!$A$6:$U$66,VLOOKUP($F$3&amp;IF($G$4&lt;&gt;"",$G$4,"")&amp;IF($F$44&lt;&gt;"","_"&amp;$F$44,""),'表3）燃料価格'!$AF$9:$AG$25,2,0)+VLOOKUP($F$42,'表3）燃料価格'!$AF$28:$AG$29,2,0),0)*IF($F$44="需要地価格",1,$F$8/$F$142))),"")</f>
        <v>0</v>
      </c>
      <c r="AU29" s="39"/>
      <c r="AV29" s="72">
        <f t="shared" si="10"/>
        <v>0</v>
      </c>
      <c r="AW29" s="72">
        <f t="shared" si="27"/>
        <v>0</v>
      </c>
      <c r="AX29" s="39"/>
      <c r="AY29" s="40">
        <f>IF(ISERROR(IF($K29&lt;=$F$15,VLOOKUP($I29,'表4）CO2価格'!$A$7:$E$67,VLOOKUP($F$49,'表4）CO2価格'!$H$10:$I$12,2,0),0)*$F$8/1000,"")),0,IF($K29&lt;=$F$15,VLOOKUP($I29,'表4）CO2価格'!$A$7:$E$67,VLOOKUP($F$49,'表4）CO2価格'!$H$10:$I$12,2,0),0)*$F$8/1000,""))</f>
        <v>0</v>
      </c>
      <c r="AZ29" s="39"/>
      <c r="BA29" s="42">
        <f t="shared" si="11"/>
        <v>0</v>
      </c>
      <c r="BB29" s="72">
        <f t="shared" si="28"/>
        <v>0</v>
      </c>
      <c r="BC29" s="39"/>
      <c r="BD29" s="72">
        <f t="shared" si="12"/>
        <v>0</v>
      </c>
      <c r="BE29" s="72">
        <f t="shared" si="29"/>
        <v>0</v>
      </c>
      <c r="BF29" s="39"/>
      <c r="BG29" s="42">
        <f t="shared" si="13"/>
        <v>0</v>
      </c>
      <c r="BH29" s="72">
        <f t="shared" si="30"/>
        <v>0</v>
      </c>
      <c r="BI29" s="39"/>
      <c r="BJ29" s="40">
        <f t="shared" si="14"/>
        <v>0.55526450271327477</v>
      </c>
      <c r="BK29" s="157">
        <f t="shared" si="15"/>
        <v>716457.78785093839</v>
      </c>
      <c r="BL29" s="157">
        <f t="shared" si="16"/>
        <v>194982.48574019255</v>
      </c>
      <c r="BM29" s="72"/>
      <c r="BN29" s="72">
        <f t="shared" si="31"/>
        <v>4565992.691364577</v>
      </c>
      <c r="BO29" s="72">
        <f t="shared" si="32"/>
        <v>2930736.9606784475</v>
      </c>
      <c r="BP29" s="39"/>
      <c r="BQ29" s="72">
        <f t="shared" si="37"/>
        <v>351152.4413813948</v>
      </c>
      <c r="BR29" s="72">
        <f t="shared" si="33"/>
        <v>225391.38985817382</v>
      </c>
    </row>
    <row r="30" spans="3:70" x14ac:dyDescent="0.15">
      <c r="D30" s="81" t="s">
        <v>117</v>
      </c>
      <c r="F30" s="59"/>
      <c r="G30" s="81" t="s">
        <v>176</v>
      </c>
      <c r="I30" s="459">
        <f t="shared" si="34"/>
        <v>2045</v>
      </c>
      <c r="K30" s="71">
        <f t="shared" si="35"/>
        <v>16</v>
      </c>
      <c r="M30" s="7">
        <f t="shared" si="0"/>
        <v>0.62316693922011435</v>
      </c>
      <c r="O30" s="10">
        <f t="shared" si="36"/>
        <v>2483395.4559589811</v>
      </c>
      <c r="P30" s="29" t="str">
        <f t="shared" si="1"/>
        <v>-</v>
      </c>
      <c r="R30" s="10">
        <f t="shared" si="17"/>
        <v>5637875.9309127284</v>
      </c>
      <c r="T30" s="10">
        <f t="shared" si="18"/>
        <v>5637000</v>
      </c>
      <c r="V30" s="10">
        <f t="shared" si="2"/>
        <v>1249177.8347745482</v>
      </c>
      <c r="W30" s="10">
        <f t="shared" si="19"/>
        <v>778446.32783806487</v>
      </c>
      <c r="Y30" s="10">
        <f t="shared" si="3"/>
        <v>78900</v>
      </c>
      <c r="Z30" s="10">
        <f t="shared" si="20"/>
        <v>49167.871504467024</v>
      </c>
      <c r="AB30" s="10">
        <f t="shared" si="4"/>
        <v>0</v>
      </c>
      <c r="AC30" s="10">
        <f t="shared" si="21"/>
        <v>0</v>
      </c>
      <c r="AE30" s="10">
        <f t="shared" si="5"/>
        <v>0</v>
      </c>
      <c r="AF30" s="10">
        <f t="shared" si="22"/>
        <v>0</v>
      </c>
      <c r="AH30" s="10">
        <f t="shared" si="6"/>
        <v>1200000</v>
      </c>
      <c r="AI30" s="10">
        <f t="shared" si="23"/>
        <v>747800.32706413721</v>
      </c>
      <c r="AK30" s="10">
        <f t="shared" si="7"/>
        <v>0</v>
      </c>
      <c r="AL30" s="10">
        <f t="shared" si="24"/>
        <v>0</v>
      </c>
      <c r="AN30" s="10">
        <f t="shared" si="8"/>
        <v>0</v>
      </c>
      <c r="AO30" s="10">
        <f t="shared" si="25"/>
        <v>0</v>
      </c>
      <c r="AQ30" s="10">
        <f t="shared" si="9"/>
        <v>0</v>
      </c>
      <c r="AR30" s="10">
        <f t="shared" si="26"/>
        <v>0</v>
      </c>
      <c r="AT30" s="7">
        <f>IF($K30&lt;=$F$15,IF($F$41&lt;&gt;"",$F$41/1000,IF(ISERROR(VLOOKUP($F$3&amp;IF($G$4&lt;&gt;"",$G$4,"")&amp;IF($F$44&lt;&gt;"","_"&amp;$F$44,""),'表3）燃料価格'!$AF$9:$AG$25,2,0)),0,VLOOKUP($I30,'表3）燃料価格'!$A$6:$U$66,VLOOKUP($F$3&amp;IF($G$4&lt;&gt;"",$G$4,"")&amp;IF($F$44&lt;&gt;"","_"&amp;$F$44,""),'表3）燃料価格'!$AF$9:$AG$25,2,0)+VLOOKUP($F$42,'表3）燃料価格'!$AF$28:$AG$29,2,0),0)*IF($F$44="需要地価格",1,$F$8/$F$142))),"")</f>
        <v>0</v>
      </c>
      <c r="AV30" s="10">
        <f t="shared" si="10"/>
        <v>0</v>
      </c>
      <c r="AW30" s="10">
        <f t="shared" si="27"/>
        <v>0</v>
      </c>
      <c r="AY30" s="7">
        <f>IF(ISERROR(IF($K30&lt;=$F$15,VLOOKUP($I30,'表4）CO2価格'!$A$7:$E$67,VLOOKUP($F$49,'表4）CO2価格'!$H$10:$I$12,2,0),0)*$F$8/1000,"")),0,IF($K30&lt;=$F$15,VLOOKUP($I30,'表4）CO2価格'!$A$7:$E$67,VLOOKUP($F$49,'表4）CO2価格'!$H$10:$I$12,2,0),0)*$F$8/1000,""))</f>
        <v>0</v>
      </c>
      <c r="BA30" s="11">
        <f t="shared" si="11"/>
        <v>0</v>
      </c>
      <c r="BB30" s="10">
        <f t="shared" si="28"/>
        <v>0</v>
      </c>
      <c r="BD30" s="10">
        <f t="shared" si="12"/>
        <v>0</v>
      </c>
      <c r="BE30" s="10">
        <f t="shared" si="29"/>
        <v>0</v>
      </c>
      <c r="BG30" s="11">
        <f t="shared" si="13"/>
        <v>0</v>
      </c>
      <c r="BH30" s="10">
        <f t="shared" si="30"/>
        <v>0</v>
      </c>
      <c r="BJ30" s="7">
        <f t="shared" si="14"/>
        <v>0.53390817568584104</v>
      </c>
      <c r="BK30" s="158">
        <f t="shared" si="15"/>
        <v>682815.16588462214</v>
      </c>
      <c r="BL30" s="158">
        <f t="shared" si="16"/>
        <v>186545.74356874189</v>
      </c>
      <c r="BM30" s="10"/>
      <c r="BN30" s="10">
        <f t="shared" si="31"/>
        <v>4543162.7279077545</v>
      </c>
      <c r="BO30" s="10">
        <f t="shared" si="32"/>
        <v>2831148.8115291805</v>
      </c>
      <c r="BQ30" s="188">
        <f t="shared" si="37"/>
        <v>349396.67917448783</v>
      </c>
      <c r="BR30" s="10">
        <f t="shared" si="33"/>
        <v>217732.45913483785</v>
      </c>
    </row>
    <row r="31" spans="3:70" x14ac:dyDescent="0.15">
      <c r="I31" s="458">
        <f t="shared" si="34"/>
        <v>2046</v>
      </c>
      <c r="J31" s="470"/>
      <c r="K31" s="39">
        <f t="shared" si="35"/>
        <v>17</v>
      </c>
      <c r="L31" s="39"/>
      <c r="M31" s="40">
        <f t="shared" si="0"/>
        <v>0.60501644584477121</v>
      </c>
      <c r="N31" s="39"/>
      <c r="O31" s="72">
        <f t="shared" si="36"/>
        <v>1234217.6211844329</v>
      </c>
      <c r="P31" s="41" t="str">
        <f t="shared" si="1"/>
        <v>-</v>
      </c>
      <c r="Q31" s="39"/>
      <c r="R31" s="72">
        <f t="shared" si="17"/>
        <v>4923704.5507346131</v>
      </c>
      <c r="S31" s="39"/>
      <c r="T31" s="72">
        <f t="shared" si="18"/>
        <v>4923000</v>
      </c>
      <c r="U31" s="39"/>
      <c r="V31" s="72">
        <f t="shared" si="2"/>
        <v>1234217.6211844329</v>
      </c>
      <c r="W31" s="72">
        <f t="shared" si="19"/>
        <v>746721.95856799383</v>
      </c>
      <c r="X31" s="39"/>
      <c r="Y31" s="72">
        <f t="shared" si="3"/>
        <v>68900</v>
      </c>
      <c r="Z31" s="72">
        <f t="shared" si="20"/>
        <v>41685.63311870474</v>
      </c>
      <c r="AA31" s="39"/>
      <c r="AB31" s="72">
        <f t="shared" si="4"/>
        <v>0</v>
      </c>
      <c r="AC31" s="72">
        <f t="shared" si="21"/>
        <v>0</v>
      </c>
      <c r="AD31" s="39"/>
      <c r="AE31" s="72">
        <f t="shared" si="5"/>
        <v>0</v>
      </c>
      <c r="AF31" s="72">
        <f t="shared" si="22"/>
        <v>0</v>
      </c>
      <c r="AG31" s="39"/>
      <c r="AH31" s="72">
        <f t="shared" si="6"/>
        <v>1200000</v>
      </c>
      <c r="AI31" s="72">
        <f t="shared" si="23"/>
        <v>726019.73501372547</v>
      </c>
      <c r="AJ31" s="39"/>
      <c r="AK31" s="72">
        <f t="shared" si="7"/>
        <v>0</v>
      </c>
      <c r="AL31" s="72">
        <f t="shared" si="24"/>
        <v>0</v>
      </c>
      <c r="AM31" s="39"/>
      <c r="AN31" s="72">
        <f t="shared" si="8"/>
        <v>0</v>
      </c>
      <c r="AO31" s="72">
        <f t="shared" si="25"/>
        <v>0</v>
      </c>
      <c r="AP31" s="39"/>
      <c r="AQ31" s="72">
        <f t="shared" si="9"/>
        <v>0</v>
      </c>
      <c r="AR31" s="72">
        <f t="shared" si="26"/>
        <v>0</v>
      </c>
      <c r="AS31" s="39"/>
      <c r="AT31" s="40">
        <f>IF($K31&lt;=$F$15,IF($F$41&lt;&gt;"",$F$41/1000,IF(ISERROR(VLOOKUP($F$3&amp;IF($G$4&lt;&gt;"",$G$4,"")&amp;IF($F$44&lt;&gt;"","_"&amp;$F$44,""),'表3）燃料価格'!$AF$9:$AG$25,2,0)),0,VLOOKUP($I31,'表3）燃料価格'!$A$6:$U$66,VLOOKUP($F$3&amp;IF($G$4&lt;&gt;"",$G$4,"")&amp;IF($F$44&lt;&gt;"","_"&amp;$F$44,""),'表3）燃料価格'!$AF$9:$AG$25,2,0)+VLOOKUP($F$42,'表3）燃料価格'!$AF$28:$AG$29,2,0),0)*IF($F$44="需要地価格",1,$F$8/$F$142))),"")</f>
        <v>0</v>
      </c>
      <c r="AU31" s="39"/>
      <c r="AV31" s="72">
        <f t="shared" si="10"/>
        <v>0</v>
      </c>
      <c r="AW31" s="72">
        <f t="shared" si="27"/>
        <v>0</v>
      </c>
      <c r="AX31" s="39"/>
      <c r="AY31" s="40">
        <f>IF(ISERROR(IF($K31&lt;=$F$15,VLOOKUP($I31,'表4）CO2価格'!$A$7:$E$67,VLOOKUP($F$49,'表4）CO2価格'!$H$10:$I$12,2,0),0)*$F$8/1000,"")),0,IF($K31&lt;=$F$15,VLOOKUP($I31,'表4）CO2価格'!$A$7:$E$67,VLOOKUP($F$49,'表4）CO2価格'!$H$10:$I$12,2,0),0)*$F$8/1000,""))</f>
        <v>0</v>
      </c>
      <c r="AZ31" s="39"/>
      <c r="BA31" s="42">
        <f t="shared" si="11"/>
        <v>0</v>
      </c>
      <c r="BB31" s="72">
        <f t="shared" si="28"/>
        <v>0</v>
      </c>
      <c r="BC31" s="39"/>
      <c r="BD31" s="72">
        <f t="shared" si="12"/>
        <v>0</v>
      </c>
      <c r="BE31" s="72">
        <f t="shared" si="29"/>
        <v>0</v>
      </c>
      <c r="BF31" s="39"/>
      <c r="BG31" s="42">
        <f t="shared" si="13"/>
        <v>0</v>
      </c>
      <c r="BH31" s="72">
        <f t="shared" si="30"/>
        <v>0</v>
      </c>
      <c r="BI31" s="39"/>
      <c r="BJ31" s="40">
        <f t="shared" si="14"/>
        <v>0.51337324585177024</v>
      </c>
      <c r="BK31" s="157">
        <f t="shared" si="15"/>
        <v>651419.31166131131</v>
      </c>
      <c r="BL31" s="157">
        <f t="shared" si="16"/>
        <v>178474.05274124825</v>
      </c>
      <c r="BM31" s="72"/>
      <c r="BN31" s="72">
        <f t="shared" si="31"/>
        <v>4520446.9142682152</v>
      </c>
      <c r="BO31" s="72">
        <f t="shared" si="32"/>
        <v>2734944.7257005186</v>
      </c>
      <c r="BP31" s="39"/>
      <c r="BQ31" s="72">
        <f t="shared" si="37"/>
        <v>347649.69577861537</v>
      </c>
      <c r="BR31" s="72">
        <f t="shared" si="33"/>
        <v>210333.78333899382</v>
      </c>
    </row>
    <row r="32" spans="3:70" x14ac:dyDescent="0.15">
      <c r="C32" s="89" t="s">
        <v>507</v>
      </c>
      <c r="D32" s="101"/>
      <c r="E32" s="101"/>
      <c r="F32" s="89"/>
      <c r="G32" s="101"/>
      <c r="I32" s="459">
        <f t="shared" si="34"/>
        <v>2047</v>
      </c>
      <c r="K32" s="71">
        <f t="shared" si="35"/>
        <v>18</v>
      </c>
      <c r="M32" s="7">
        <f t="shared" si="0"/>
        <v>0.5873946076162827</v>
      </c>
      <c r="O32" s="10">
        <f t="shared" si="36"/>
        <v>0</v>
      </c>
      <c r="P32" s="29" t="str">
        <f t="shared" si="1"/>
        <v>-</v>
      </c>
      <c r="R32" s="10">
        <f t="shared" si="17"/>
        <v>4300000.0000000009</v>
      </c>
      <c r="T32" s="10">
        <f t="shared" si="18"/>
        <v>4300000</v>
      </c>
      <c r="V32" s="10">
        <f t="shared" si="2"/>
        <v>0</v>
      </c>
      <c r="W32" s="10">
        <f t="shared" si="19"/>
        <v>0</v>
      </c>
      <c r="Y32" s="10">
        <f t="shared" si="3"/>
        <v>60200</v>
      </c>
      <c r="Z32" s="10">
        <f t="shared" si="20"/>
        <v>35361.155378500218</v>
      </c>
      <c r="AB32" s="10">
        <f t="shared" si="4"/>
        <v>0</v>
      </c>
      <c r="AC32" s="10">
        <f t="shared" si="21"/>
        <v>0</v>
      </c>
      <c r="AE32" s="10">
        <f t="shared" si="5"/>
        <v>0</v>
      </c>
      <c r="AF32" s="10">
        <f t="shared" si="22"/>
        <v>0</v>
      </c>
      <c r="AH32" s="10">
        <f t="shared" si="6"/>
        <v>1200000</v>
      </c>
      <c r="AI32" s="10">
        <f t="shared" si="23"/>
        <v>704873.52913953923</v>
      </c>
      <c r="AK32" s="10">
        <f t="shared" si="7"/>
        <v>0</v>
      </c>
      <c r="AL32" s="10">
        <f t="shared" si="24"/>
        <v>0</v>
      </c>
      <c r="AN32" s="10">
        <f t="shared" si="8"/>
        <v>0</v>
      </c>
      <c r="AO32" s="10">
        <f t="shared" si="25"/>
        <v>0</v>
      </c>
      <c r="AQ32" s="10">
        <f t="shared" si="9"/>
        <v>0</v>
      </c>
      <c r="AR32" s="10">
        <f t="shared" si="26"/>
        <v>0</v>
      </c>
      <c r="AT32" s="7">
        <f>IF($K32&lt;=$F$15,IF($F$41&lt;&gt;"",$F$41/1000,IF(ISERROR(VLOOKUP($F$3&amp;IF($G$4&lt;&gt;"",$G$4,"")&amp;IF($F$44&lt;&gt;"","_"&amp;$F$44,""),'表3）燃料価格'!$AF$9:$AG$25,2,0)),0,VLOOKUP($I32,'表3）燃料価格'!$A$6:$U$66,VLOOKUP($F$3&amp;IF($G$4&lt;&gt;"",$G$4,"")&amp;IF($F$44&lt;&gt;"","_"&amp;$F$44,""),'表3）燃料価格'!$AF$9:$AG$25,2,0)+VLOOKUP($F$42,'表3）燃料価格'!$AF$28:$AG$29,2,0),0)*IF($F$44="需要地価格",1,$F$8/$F$142))),"")</f>
        <v>0</v>
      </c>
      <c r="AV32" s="10">
        <f t="shared" si="10"/>
        <v>0</v>
      </c>
      <c r="AW32" s="10">
        <f t="shared" si="27"/>
        <v>0</v>
      </c>
      <c r="AY32" s="7">
        <f>IF(ISERROR(IF($K32&lt;=$F$15,VLOOKUP($I32,'表4）CO2価格'!$A$7:$E$67,VLOOKUP($F$49,'表4）CO2価格'!$H$10:$I$12,2,0),0)*$F$8/1000,"")),0,IF($K32&lt;=$F$15,VLOOKUP($I32,'表4）CO2価格'!$A$7:$E$67,VLOOKUP($F$49,'表4）CO2価格'!$H$10:$I$12,2,0),0)*$F$8/1000,""))</f>
        <v>0</v>
      </c>
      <c r="BA32" s="11">
        <f t="shared" si="11"/>
        <v>0</v>
      </c>
      <c r="BB32" s="10">
        <f t="shared" si="28"/>
        <v>0</v>
      </c>
      <c r="BD32" s="10">
        <f t="shared" si="12"/>
        <v>0</v>
      </c>
      <c r="BE32" s="10">
        <f t="shared" si="29"/>
        <v>0</v>
      </c>
      <c r="BG32" s="11">
        <f t="shared" si="13"/>
        <v>0</v>
      </c>
      <c r="BH32" s="10">
        <f t="shared" si="30"/>
        <v>0</v>
      </c>
      <c r="BJ32" s="7">
        <f t="shared" si="14"/>
        <v>0.49362812101131748</v>
      </c>
      <c r="BK32" s="158">
        <f t="shared" si="15"/>
        <v>622070.15809846227</v>
      </c>
      <c r="BL32" s="158">
        <f t="shared" si="16"/>
        <v>170751.61776686728</v>
      </c>
      <c r="BM32" s="10"/>
      <c r="BN32" s="10">
        <f t="shared" si="31"/>
        <v>4497844.6796968738</v>
      </c>
      <c r="BO32" s="10">
        <f t="shared" si="32"/>
        <v>2642009.7107495298</v>
      </c>
      <c r="BQ32" s="188">
        <f t="shared" si="37"/>
        <v>345911.44729972229</v>
      </c>
      <c r="BR32" s="10">
        <f t="shared" si="33"/>
        <v>203186.51885660083</v>
      </c>
    </row>
    <row r="33" spans="3:70" x14ac:dyDescent="0.15">
      <c r="I33" s="458">
        <f t="shared" si="34"/>
        <v>2048</v>
      </c>
      <c r="J33" s="470"/>
      <c r="K33" s="39">
        <f t="shared" si="35"/>
        <v>19</v>
      </c>
      <c r="L33" s="39"/>
      <c r="M33" s="40">
        <f t="shared" si="0"/>
        <v>0.57028602681192497</v>
      </c>
      <c r="N33" s="39"/>
      <c r="O33" s="72">
        <f t="shared" si="36"/>
        <v>0</v>
      </c>
      <c r="P33" s="41" t="str">
        <f t="shared" si="1"/>
        <v>-</v>
      </c>
      <c r="Q33" s="39"/>
      <c r="R33" s="72">
        <f t="shared" si="17"/>
        <v>3755302.4982462269</v>
      </c>
      <c r="S33" s="39"/>
      <c r="T33" s="72">
        <f t="shared" si="18"/>
        <v>3755000</v>
      </c>
      <c r="U33" s="39"/>
      <c r="V33" s="72">
        <f t="shared" si="2"/>
        <v>0</v>
      </c>
      <c r="W33" s="72">
        <f t="shared" si="19"/>
        <v>0</v>
      </c>
      <c r="X33" s="39"/>
      <c r="Y33" s="72">
        <f t="shared" si="3"/>
        <v>52500</v>
      </c>
      <c r="Z33" s="72">
        <f t="shared" si="20"/>
        <v>29940.016407626063</v>
      </c>
      <c r="AA33" s="39"/>
      <c r="AB33" s="72">
        <f t="shared" si="4"/>
        <v>0</v>
      </c>
      <c r="AC33" s="72">
        <f t="shared" si="21"/>
        <v>0</v>
      </c>
      <c r="AD33" s="39"/>
      <c r="AE33" s="72">
        <f t="shared" si="5"/>
        <v>0</v>
      </c>
      <c r="AF33" s="72">
        <f t="shared" si="22"/>
        <v>0</v>
      </c>
      <c r="AG33" s="39"/>
      <c r="AH33" s="72">
        <f t="shared" si="6"/>
        <v>1200000</v>
      </c>
      <c r="AI33" s="72">
        <f t="shared" si="23"/>
        <v>684343.23217431002</v>
      </c>
      <c r="AJ33" s="39"/>
      <c r="AK33" s="72">
        <f t="shared" si="7"/>
        <v>0</v>
      </c>
      <c r="AL33" s="72">
        <f t="shared" si="24"/>
        <v>0</v>
      </c>
      <c r="AM33" s="39"/>
      <c r="AN33" s="72">
        <f t="shared" si="8"/>
        <v>0</v>
      </c>
      <c r="AO33" s="72">
        <f t="shared" si="25"/>
        <v>0</v>
      </c>
      <c r="AP33" s="39"/>
      <c r="AQ33" s="72">
        <f t="shared" si="9"/>
        <v>0</v>
      </c>
      <c r="AR33" s="72">
        <f t="shared" si="26"/>
        <v>0</v>
      </c>
      <c r="AS33" s="39"/>
      <c r="AT33" s="40">
        <f>IF($K33&lt;=$F$15,IF($F$41&lt;&gt;"",$F$41/1000,IF(ISERROR(VLOOKUP($F$3&amp;IF($G$4&lt;&gt;"",$G$4,"")&amp;IF($F$44&lt;&gt;"","_"&amp;$F$44,""),'表3）燃料価格'!$AF$9:$AG$25,2,0)),0,VLOOKUP($I33,'表3）燃料価格'!$A$6:$U$66,VLOOKUP($F$3&amp;IF($G$4&lt;&gt;"",$G$4,"")&amp;IF($F$44&lt;&gt;"","_"&amp;$F$44,""),'表3）燃料価格'!$AF$9:$AG$25,2,0)+VLOOKUP($F$42,'表3）燃料価格'!$AF$28:$AG$29,2,0),0)*IF($F$44="需要地価格",1,$F$8/$F$142))),"")</f>
        <v>0</v>
      </c>
      <c r="AU33" s="39"/>
      <c r="AV33" s="72">
        <f t="shared" si="10"/>
        <v>0</v>
      </c>
      <c r="AW33" s="72">
        <f t="shared" si="27"/>
        <v>0</v>
      </c>
      <c r="AX33" s="39"/>
      <c r="AY33" s="40">
        <f>IF(ISERROR(IF($K33&lt;=$F$15,VLOOKUP($I33,'表4）CO2価格'!$A$7:$E$67,VLOOKUP($F$49,'表4）CO2価格'!$H$10:$I$12,2,0),0)*$F$8/1000,"")),0,IF($K33&lt;=$F$15,VLOOKUP($I33,'表4）CO2価格'!$A$7:$E$67,VLOOKUP($F$49,'表4）CO2価格'!$H$10:$I$12,2,0),0)*$F$8/1000,""))</f>
        <v>0</v>
      </c>
      <c r="AZ33" s="39"/>
      <c r="BA33" s="42">
        <f t="shared" si="11"/>
        <v>0</v>
      </c>
      <c r="BB33" s="72">
        <f t="shared" si="28"/>
        <v>0</v>
      </c>
      <c r="BC33" s="39"/>
      <c r="BD33" s="72">
        <f t="shared" si="12"/>
        <v>0</v>
      </c>
      <c r="BE33" s="72">
        <f t="shared" si="29"/>
        <v>0</v>
      </c>
      <c r="BF33" s="39"/>
      <c r="BG33" s="42">
        <f t="shared" si="13"/>
        <v>0</v>
      </c>
      <c r="BH33" s="72">
        <f t="shared" si="30"/>
        <v>0</v>
      </c>
      <c r="BI33" s="39"/>
      <c r="BJ33" s="40">
        <f t="shared" si="14"/>
        <v>0.47464242404934376</v>
      </c>
      <c r="BK33" s="157">
        <f t="shared" si="15"/>
        <v>594489.63612180308</v>
      </c>
      <c r="BL33" s="157">
        <f t="shared" si="16"/>
        <v>163363.32661349323</v>
      </c>
      <c r="BM33" s="72"/>
      <c r="BN33" s="72">
        <f t="shared" si="31"/>
        <v>4475355.4562983895</v>
      </c>
      <c r="BO33" s="72">
        <f t="shared" si="32"/>
        <v>2552232.6817434779</v>
      </c>
      <c r="BP33" s="39"/>
      <c r="BQ33" s="72">
        <f t="shared" si="37"/>
        <v>344181.89006322366</v>
      </c>
      <c r="BR33" s="72">
        <f t="shared" si="33"/>
        <v>196282.1225847746</v>
      </c>
    </row>
    <row r="34" spans="3:70" x14ac:dyDescent="0.15">
      <c r="D34" s="82" t="s">
        <v>232</v>
      </c>
      <c r="F34" s="110">
        <v>0.48</v>
      </c>
      <c r="G34" s="81" t="s">
        <v>227</v>
      </c>
      <c r="I34" s="459">
        <f t="shared" si="34"/>
        <v>2049</v>
      </c>
      <c r="K34" s="71">
        <f t="shared" si="35"/>
        <v>20</v>
      </c>
      <c r="M34" s="7">
        <f t="shared" si="0"/>
        <v>0.55367575418633497</v>
      </c>
      <c r="O34" s="10">
        <f t="shared" si="36"/>
        <v>0</v>
      </c>
      <c r="P34" s="29" t="str">
        <f t="shared" si="1"/>
        <v>-</v>
      </c>
      <c r="R34" s="10">
        <f t="shared" si="17"/>
        <v>3279603.9193800818</v>
      </c>
      <c r="T34" s="10">
        <f t="shared" si="18"/>
        <v>3279000</v>
      </c>
      <c r="V34" s="10">
        <f t="shared" si="2"/>
        <v>0</v>
      </c>
      <c r="W34" s="10">
        <f t="shared" si="19"/>
        <v>0</v>
      </c>
      <c r="Y34" s="10">
        <f t="shared" si="3"/>
        <v>45900</v>
      </c>
      <c r="Z34" s="10">
        <f t="shared" si="20"/>
        <v>25413.717117152773</v>
      </c>
      <c r="AB34" s="10">
        <f t="shared" si="4"/>
        <v>0</v>
      </c>
      <c r="AC34" s="10">
        <f t="shared" si="21"/>
        <v>0</v>
      </c>
      <c r="AE34" s="10">
        <f t="shared" si="5"/>
        <v>0</v>
      </c>
      <c r="AF34" s="10">
        <f t="shared" si="22"/>
        <v>0</v>
      </c>
      <c r="AH34" s="10">
        <f t="shared" si="6"/>
        <v>1200000</v>
      </c>
      <c r="AI34" s="10">
        <f t="shared" si="23"/>
        <v>664410.90502360195</v>
      </c>
      <c r="AK34" s="10">
        <f t="shared" si="7"/>
        <v>0</v>
      </c>
      <c r="AL34" s="10">
        <f t="shared" si="24"/>
        <v>0</v>
      </c>
      <c r="AN34" s="10">
        <f t="shared" si="8"/>
        <v>0</v>
      </c>
      <c r="AO34" s="10">
        <f t="shared" si="25"/>
        <v>0</v>
      </c>
      <c r="AQ34" s="10">
        <f t="shared" si="9"/>
        <v>0</v>
      </c>
      <c r="AR34" s="10">
        <f t="shared" si="26"/>
        <v>0</v>
      </c>
      <c r="AT34" s="7">
        <f>IF($K34&lt;=$F$15,IF($F$41&lt;&gt;"",$F$41/1000,IF(ISERROR(VLOOKUP($F$3&amp;IF($G$4&lt;&gt;"",$G$4,"")&amp;IF($F$44&lt;&gt;"","_"&amp;$F$44,""),'表3）燃料価格'!$AF$9:$AG$25,2,0)),0,VLOOKUP($I34,'表3）燃料価格'!$A$6:$U$66,VLOOKUP($F$3&amp;IF($G$4&lt;&gt;"",$G$4,"")&amp;IF($F$44&lt;&gt;"","_"&amp;$F$44,""),'表3）燃料価格'!$AF$9:$AG$25,2,0)+VLOOKUP($F$42,'表3）燃料価格'!$AF$28:$AG$29,2,0),0)*IF($F$44="需要地価格",1,$F$8/$F$142))),"")</f>
        <v>0</v>
      </c>
      <c r="AV34" s="10">
        <f t="shared" si="10"/>
        <v>0</v>
      </c>
      <c r="AW34" s="10">
        <f t="shared" si="27"/>
        <v>0</v>
      </c>
      <c r="AY34" s="7">
        <f>IF(ISERROR(IF($K34&lt;=$F$15,VLOOKUP($I34,'表4）CO2価格'!$A$7:$E$67,VLOOKUP($F$49,'表4）CO2価格'!$H$10:$I$12,2,0),0)*$F$8/1000,"")),0,IF($K34&lt;=$F$15,VLOOKUP($I34,'表4）CO2価格'!$A$7:$E$67,VLOOKUP($F$49,'表4）CO2価格'!$H$10:$I$12,2,0),0)*$F$8/1000,""))</f>
        <v>0</v>
      </c>
      <c r="BA34" s="11">
        <f t="shared" si="11"/>
        <v>0</v>
      </c>
      <c r="BB34" s="10">
        <f t="shared" si="28"/>
        <v>0</v>
      </c>
      <c r="BD34" s="10">
        <f t="shared" si="12"/>
        <v>0</v>
      </c>
      <c r="BE34" s="10">
        <f t="shared" si="29"/>
        <v>0</v>
      </c>
      <c r="BG34" s="11">
        <f t="shared" si="13"/>
        <v>0</v>
      </c>
      <c r="BH34" s="10">
        <f t="shared" si="30"/>
        <v>0</v>
      </c>
      <c r="BJ34" s="7">
        <f t="shared" si="14"/>
        <v>0.45638694620129205</v>
      </c>
      <c r="BK34" s="158">
        <f t="shared" si="15"/>
        <v>568612.49627218978</v>
      </c>
      <c r="BL34" s="158">
        <f t="shared" si="16"/>
        <v>156294.72113502477</v>
      </c>
      <c r="BM34" s="10"/>
      <c r="BN34" s="10">
        <f t="shared" si="31"/>
        <v>4452978.6790168984</v>
      </c>
      <c r="BO34" s="10">
        <f t="shared" si="32"/>
        <v>2465506.3284803508</v>
      </c>
      <c r="BQ34" s="188">
        <f t="shared" si="37"/>
        <v>342460.98061290756</v>
      </c>
      <c r="BR34" s="10">
        <f t="shared" si="33"/>
        <v>189612.34172024342</v>
      </c>
    </row>
    <row r="35" spans="3:70" x14ac:dyDescent="0.15">
      <c r="D35" s="82"/>
      <c r="F35" s="66"/>
      <c r="I35" s="458">
        <f t="shared" si="34"/>
        <v>2050</v>
      </c>
      <c r="J35" s="470"/>
      <c r="K35" s="39">
        <f t="shared" si="35"/>
        <v>21</v>
      </c>
      <c r="L35" s="39"/>
      <c r="M35" s="40">
        <f t="shared" si="0"/>
        <v>0.5375492759090631</v>
      </c>
      <c r="N35" s="39"/>
      <c r="O35" s="72">
        <f t="shared" si="36"/>
        <v>0</v>
      </c>
      <c r="P35" s="41" t="str">
        <f t="shared" si="1"/>
        <v>-</v>
      </c>
      <c r="Q35" s="39"/>
      <c r="R35" s="72">
        <f t="shared" si="17"/>
        <v>2864163.9050479387</v>
      </c>
      <c r="S35" s="39"/>
      <c r="T35" s="72">
        <f t="shared" si="18"/>
        <v>2864000</v>
      </c>
      <c r="U35" s="39"/>
      <c r="V35" s="72">
        <f t="shared" si="2"/>
        <v>0</v>
      </c>
      <c r="W35" s="72">
        <f t="shared" si="19"/>
        <v>0</v>
      </c>
      <c r="X35" s="39"/>
      <c r="Y35" s="72">
        <f t="shared" si="3"/>
        <v>40000</v>
      </c>
      <c r="Z35" s="72">
        <f t="shared" si="20"/>
        <v>21501.971036362524</v>
      </c>
      <c r="AA35" s="39"/>
      <c r="AB35" s="72">
        <f t="shared" si="4"/>
        <v>0</v>
      </c>
      <c r="AC35" s="72">
        <f t="shared" si="21"/>
        <v>0</v>
      </c>
      <c r="AD35" s="39"/>
      <c r="AE35" s="72">
        <f t="shared" si="5"/>
        <v>0</v>
      </c>
      <c r="AF35" s="72">
        <f t="shared" si="22"/>
        <v>0</v>
      </c>
      <c r="AG35" s="39"/>
      <c r="AH35" s="72">
        <f t="shared" si="6"/>
        <v>1200000</v>
      </c>
      <c r="AI35" s="72">
        <f t="shared" si="23"/>
        <v>645059.13109087572</v>
      </c>
      <c r="AJ35" s="39"/>
      <c r="AK35" s="72">
        <f t="shared" si="7"/>
        <v>0</v>
      </c>
      <c r="AL35" s="72">
        <f t="shared" si="24"/>
        <v>0</v>
      </c>
      <c r="AM35" s="39"/>
      <c r="AN35" s="72">
        <f t="shared" si="8"/>
        <v>0</v>
      </c>
      <c r="AO35" s="72">
        <f t="shared" si="25"/>
        <v>0</v>
      </c>
      <c r="AP35" s="39"/>
      <c r="AQ35" s="72">
        <f t="shared" si="9"/>
        <v>0</v>
      </c>
      <c r="AR35" s="72">
        <f t="shared" si="26"/>
        <v>0</v>
      </c>
      <c r="AS35" s="39"/>
      <c r="AT35" s="40">
        <f>IF($K35&lt;=$F$15,IF($F$41&lt;&gt;"",$F$41/1000,IF(ISERROR(VLOOKUP($F$3&amp;IF($G$4&lt;&gt;"",$G$4,"")&amp;IF($F$44&lt;&gt;"","_"&amp;$F$44,""),'表3）燃料価格'!$AF$9:$AG$25,2,0)),0,VLOOKUP($I35,'表3）燃料価格'!$A$6:$U$66,VLOOKUP($F$3&amp;IF($G$4&lt;&gt;"",$G$4,"")&amp;IF($F$44&lt;&gt;"","_"&amp;$F$44,""),'表3）燃料価格'!$AF$9:$AG$25,2,0)+VLOOKUP($F$42,'表3）燃料価格'!$AF$28:$AG$29,2,0),0)*IF($F$44="需要地価格",1,$F$8/$F$142))),"")</f>
        <v>0</v>
      </c>
      <c r="AU35" s="39"/>
      <c r="AV35" s="72">
        <f t="shared" si="10"/>
        <v>0</v>
      </c>
      <c r="AW35" s="72">
        <f t="shared" si="27"/>
        <v>0</v>
      </c>
      <c r="AX35" s="39"/>
      <c r="AY35" s="40">
        <f>IF(ISERROR(IF($K35&lt;=$F$15,VLOOKUP($I35,'表4）CO2価格'!$A$7:$E$67,VLOOKUP($F$49,'表4）CO2価格'!$H$10:$I$12,2,0),0)*$F$8/1000,"")),0,IF($K35&lt;=$F$15,VLOOKUP($I35,'表4）CO2価格'!$A$7:$E$67,VLOOKUP($F$49,'表4）CO2価格'!$H$10:$I$12,2,0),0)*$F$8/1000,""))</f>
        <v>0</v>
      </c>
      <c r="AZ35" s="39"/>
      <c r="BA35" s="42">
        <f t="shared" si="11"/>
        <v>0</v>
      </c>
      <c r="BB35" s="72">
        <f t="shared" si="28"/>
        <v>0</v>
      </c>
      <c r="BC35" s="39"/>
      <c r="BD35" s="72">
        <f t="shared" si="12"/>
        <v>0</v>
      </c>
      <c r="BE35" s="72">
        <f t="shared" si="29"/>
        <v>0</v>
      </c>
      <c r="BF35" s="39"/>
      <c r="BG35" s="42">
        <f t="shared" si="13"/>
        <v>0</v>
      </c>
      <c r="BH35" s="72">
        <f t="shared" si="30"/>
        <v>0</v>
      </c>
      <c r="BI35" s="39"/>
      <c r="BJ35" s="40">
        <f t="shared" si="14"/>
        <v>0.43883360211662686</v>
      </c>
      <c r="BK35" s="157">
        <f t="shared" si="15"/>
        <v>1097084.0052915672</v>
      </c>
      <c r="BL35" s="157" t="str">
        <f t="shared" si="16"/>
        <v/>
      </c>
      <c r="BM35" s="72"/>
      <c r="BN35" s="72" t="str">
        <f t="shared" si="31"/>
        <v/>
      </c>
      <c r="BO35" s="72" t="str">
        <f t="shared" si="32"/>
        <v/>
      </c>
      <c r="BP35" s="39"/>
      <c r="BQ35" s="72">
        <f t="shared" si="37"/>
        <v>340748.675709843</v>
      </c>
      <c r="BR35" s="72">
        <f t="shared" si="33"/>
        <v>183169.20389479827</v>
      </c>
    </row>
    <row r="36" spans="3:70" x14ac:dyDescent="0.15">
      <c r="D36" s="82"/>
      <c r="F36" s="66"/>
      <c r="I36" s="459">
        <f t="shared" si="34"/>
        <v>2051</v>
      </c>
      <c r="K36" s="71">
        <f t="shared" si="35"/>
        <v>22</v>
      </c>
      <c r="M36" s="7">
        <f t="shared" si="0"/>
        <v>0.52189250088258554</v>
      </c>
      <c r="O36" s="10">
        <f t="shared" si="36"/>
        <v>0</v>
      </c>
      <c r="P36" s="29" t="str">
        <f t="shared" si="1"/>
        <v>-</v>
      </c>
      <c r="R36" s="10">
        <f t="shared" si="17"/>
        <v>2501349.271630975</v>
      </c>
      <c r="T36" s="10">
        <f t="shared" si="18"/>
        <v>2501000</v>
      </c>
      <c r="V36" s="10">
        <f t="shared" si="2"/>
        <v>0</v>
      </c>
      <c r="W36" s="10">
        <f t="shared" si="19"/>
        <v>0</v>
      </c>
      <c r="Y36" s="10">
        <f t="shared" si="3"/>
        <v>35000</v>
      </c>
      <c r="Z36" s="10">
        <f t="shared" si="20"/>
        <v>18266.237530890496</v>
      </c>
      <c r="AB36" s="10">
        <f t="shared" si="4"/>
        <v>0</v>
      </c>
      <c r="AC36" s="10">
        <f t="shared" si="21"/>
        <v>0</v>
      </c>
      <c r="AE36" s="10">
        <f t="shared" si="5"/>
        <v>0</v>
      </c>
      <c r="AF36" s="10">
        <f t="shared" si="22"/>
        <v>0</v>
      </c>
      <c r="AH36" s="10">
        <f t="shared" si="6"/>
        <v>1200000</v>
      </c>
      <c r="AI36" s="10">
        <f t="shared" si="23"/>
        <v>626271.00105910259</v>
      </c>
      <c r="AK36" s="10">
        <f t="shared" si="7"/>
        <v>0</v>
      </c>
      <c r="AL36" s="10">
        <f t="shared" si="24"/>
        <v>0</v>
      </c>
      <c r="AN36" s="10">
        <f t="shared" si="8"/>
        <v>0</v>
      </c>
      <c r="AO36" s="10">
        <f t="shared" si="25"/>
        <v>0</v>
      </c>
      <c r="AQ36" s="10">
        <f t="shared" si="9"/>
        <v>0</v>
      </c>
      <c r="AR36" s="10">
        <f t="shared" si="26"/>
        <v>0</v>
      </c>
      <c r="AT36" s="7">
        <f>IF($K36&lt;=$F$15,IF($F$41&lt;&gt;"",$F$41/1000,IF(ISERROR(VLOOKUP($F$3&amp;IF($G$4&lt;&gt;"",$G$4,"")&amp;IF($F$44&lt;&gt;"","_"&amp;$F$44,""),'表3）燃料価格'!$AF$9:$AG$25,2,0)),0,VLOOKUP($I36,'表3）燃料価格'!$A$6:$U$66,VLOOKUP($F$3&amp;IF($G$4&lt;&gt;"",$G$4,"")&amp;IF($F$44&lt;&gt;"","_"&amp;$F$44,""),'表3）燃料価格'!$AF$9:$AG$25,2,0)+VLOOKUP($F$42,'表3）燃料価格'!$AF$28:$AG$29,2,0),0)*IF($F$44="需要地価格",1,$F$8/$F$142))),"")</f>
        <v>0</v>
      </c>
      <c r="AV36" s="10">
        <f t="shared" si="10"/>
        <v>0</v>
      </c>
      <c r="AW36" s="10">
        <f t="shared" si="27"/>
        <v>0</v>
      </c>
      <c r="AY36" s="7">
        <f>IF(ISERROR(IF($K36&lt;=$F$15,VLOOKUP($I36,'表4）CO2価格'!$A$7:$E$67,VLOOKUP($F$49,'表4）CO2価格'!$H$10:$I$12,2,0),0)*$F$8/1000,"")),0,IF($K36&lt;=$F$15,VLOOKUP($I36,'表4）CO2価格'!$A$7:$E$67,VLOOKUP($F$49,'表4）CO2価格'!$H$10:$I$12,2,0),0)*$F$8/1000,""))</f>
        <v>0</v>
      </c>
      <c r="BA36" s="11">
        <f t="shared" si="11"/>
        <v>0</v>
      </c>
      <c r="BB36" s="10">
        <f t="shared" si="28"/>
        <v>0</v>
      </c>
      <c r="BD36" s="10">
        <f t="shared" si="12"/>
        <v>0</v>
      </c>
      <c r="BE36" s="10">
        <f t="shared" si="29"/>
        <v>0</v>
      </c>
      <c r="BG36" s="11">
        <f t="shared" si="13"/>
        <v>0</v>
      </c>
      <c r="BH36" s="10">
        <f t="shared" si="30"/>
        <v>0</v>
      </c>
      <c r="BJ36" s="7" t="str">
        <f t="shared" si="14"/>
        <v/>
      </c>
      <c r="BK36" s="158" t="str">
        <f t="shared" si="15"/>
        <v/>
      </c>
      <c r="BL36" s="158" t="str">
        <f t="shared" si="16"/>
        <v/>
      </c>
      <c r="BM36" s="10"/>
      <c r="BN36" s="10" t="str">
        <f t="shared" si="31"/>
        <v/>
      </c>
      <c r="BO36" s="10" t="str">
        <f t="shared" si="32"/>
        <v/>
      </c>
      <c r="BQ36" s="188">
        <f t="shared" si="37"/>
        <v>339044.93233129382</v>
      </c>
      <c r="BR36" s="10">
        <f t="shared" si="33"/>
        <v>176945.00764594591</v>
      </c>
    </row>
    <row r="37" spans="3:70" x14ac:dyDescent="0.15">
      <c r="D37" s="82"/>
      <c r="F37" s="68"/>
      <c r="I37" s="458">
        <f t="shared" si="34"/>
        <v>2052</v>
      </c>
      <c r="J37" s="470"/>
      <c r="K37" s="39">
        <f t="shared" si="35"/>
        <v>23</v>
      </c>
      <c r="L37" s="39"/>
      <c r="M37" s="40">
        <f t="shared" si="0"/>
        <v>0.50669174842969467</v>
      </c>
      <c r="N37" s="39"/>
      <c r="O37" s="72">
        <f t="shared" si="36"/>
        <v>0</v>
      </c>
      <c r="P37" s="41" t="str">
        <f t="shared" si="1"/>
        <v>-</v>
      </c>
      <c r="Q37" s="39"/>
      <c r="R37" s="72">
        <f t="shared" si="17"/>
        <v>2184493.7601725999</v>
      </c>
      <c r="S37" s="39"/>
      <c r="T37" s="72">
        <f t="shared" si="18"/>
        <v>2184000</v>
      </c>
      <c r="U37" s="39"/>
      <c r="V37" s="72">
        <f t="shared" si="2"/>
        <v>0</v>
      </c>
      <c r="W37" s="72">
        <f t="shared" si="19"/>
        <v>0</v>
      </c>
      <c r="X37" s="39"/>
      <c r="Y37" s="72">
        <f t="shared" si="3"/>
        <v>30500</v>
      </c>
      <c r="Z37" s="72">
        <f t="shared" si="20"/>
        <v>15454.098327105687</v>
      </c>
      <c r="AA37" s="39"/>
      <c r="AB37" s="72">
        <f t="shared" si="4"/>
        <v>0</v>
      </c>
      <c r="AC37" s="72">
        <f t="shared" si="21"/>
        <v>0</v>
      </c>
      <c r="AD37" s="39"/>
      <c r="AE37" s="72">
        <f t="shared" si="5"/>
        <v>0</v>
      </c>
      <c r="AF37" s="72">
        <f t="shared" si="22"/>
        <v>0</v>
      </c>
      <c r="AG37" s="39"/>
      <c r="AH37" s="72">
        <f t="shared" si="6"/>
        <v>1200000</v>
      </c>
      <c r="AI37" s="72">
        <f t="shared" si="23"/>
        <v>608030.09811563359</v>
      </c>
      <c r="AJ37" s="39"/>
      <c r="AK37" s="72">
        <f t="shared" si="7"/>
        <v>0</v>
      </c>
      <c r="AL37" s="72">
        <f t="shared" si="24"/>
        <v>0</v>
      </c>
      <c r="AM37" s="39"/>
      <c r="AN37" s="72">
        <f t="shared" si="8"/>
        <v>0</v>
      </c>
      <c r="AO37" s="72">
        <f t="shared" si="25"/>
        <v>0</v>
      </c>
      <c r="AP37" s="39"/>
      <c r="AQ37" s="72">
        <f t="shared" si="9"/>
        <v>0</v>
      </c>
      <c r="AR37" s="72">
        <f t="shared" si="26"/>
        <v>0</v>
      </c>
      <c r="AS37" s="39"/>
      <c r="AT37" s="40">
        <f>IF($K37&lt;=$F$15,IF($F$41&lt;&gt;"",$F$41/1000,IF(ISERROR(VLOOKUP($F$3&amp;IF($G$4&lt;&gt;"",$G$4,"")&amp;IF($F$44&lt;&gt;"","_"&amp;$F$44,""),'表3）燃料価格'!$AF$9:$AG$25,2,0)),0,VLOOKUP($I37,'表3）燃料価格'!$A$6:$U$66,VLOOKUP($F$3&amp;IF($G$4&lt;&gt;"",$G$4,"")&amp;IF($F$44&lt;&gt;"","_"&amp;$F$44,""),'表3）燃料価格'!$AF$9:$AG$25,2,0)+VLOOKUP($F$42,'表3）燃料価格'!$AF$28:$AG$29,2,0),0)*IF($F$44="需要地価格",1,$F$8/$F$142))),"")</f>
        <v>0</v>
      </c>
      <c r="AU37" s="39"/>
      <c r="AV37" s="72">
        <f t="shared" si="10"/>
        <v>0</v>
      </c>
      <c r="AW37" s="72">
        <f t="shared" si="27"/>
        <v>0</v>
      </c>
      <c r="AX37" s="39"/>
      <c r="AY37" s="40">
        <f>IF(ISERROR(IF($K37&lt;=$F$15,VLOOKUP($I37,'表4）CO2価格'!$A$7:$E$67,VLOOKUP($F$49,'表4）CO2価格'!$H$10:$I$12,2,0),0)*$F$8/1000,"")),0,IF($K37&lt;=$F$15,VLOOKUP($I37,'表4）CO2価格'!$A$7:$E$67,VLOOKUP($F$49,'表4）CO2価格'!$H$10:$I$12,2,0),0)*$F$8/1000,""))</f>
        <v>0</v>
      </c>
      <c r="AZ37" s="39"/>
      <c r="BA37" s="42">
        <f t="shared" si="11"/>
        <v>0</v>
      </c>
      <c r="BB37" s="72">
        <f t="shared" si="28"/>
        <v>0</v>
      </c>
      <c r="BC37" s="39"/>
      <c r="BD37" s="72">
        <f t="shared" si="12"/>
        <v>0</v>
      </c>
      <c r="BE37" s="72">
        <f t="shared" si="29"/>
        <v>0</v>
      </c>
      <c r="BF37" s="39"/>
      <c r="BG37" s="42">
        <f t="shared" si="13"/>
        <v>0</v>
      </c>
      <c r="BH37" s="72">
        <f t="shared" si="30"/>
        <v>0</v>
      </c>
      <c r="BI37" s="39"/>
      <c r="BJ37" s="40" t="str">
        <f t="shared" si="14"/>
        <v/>
      </c>
      <c r="BK37" s="157" t="str">
        <f t="shared" si="15"/>
        <v/>
      </c>
      <c r="BL37" s="157" t="str">
        <f t="shared" si="16"/>
        <v/>
      </c>
      <c r="BM37" s="72"/>
      <c r="BN37" s="72" t="str">
        <f t="shared" si="31"/>
        <v/>
      </c>
      <c r="BO37" s="72" t="str">
        <f t="shared" si="32"/>
        <v/>
      </c>
      <c r="BP37" s="39"/>
      <c r="BQ37" s="72">
        <f t="shared" si="37"/>
        <v>337349.70766963734</v>
      </c>
      <c r="BR37" s="72">
        <f t="shared" si="33"/>
        <v>170932.31321137492</v>
      </c>
    </row>
    <row r="38" spans="3:70" x14ac:dyDescent="0.15">
      <c r="I38" s="459">
        <f t="shared" si="34"/>
        <v>2053</v>
      </c>
      <c r="K38" s="71">
        <f t="shared" si="35"/>
        <v>24</v>
      </c>
      <c r="M38" s="7">
        <f t="shared" si="0"/>
        <v>0.49193373633950943</v>
      </c>
      <c r="O38" s="10">
        <f t="shared" si="36"/>
        <v>0</v>
      </c>
      <c r="P38" s="29" t="str">
        <f t="shared" si="1"/>
        <v>-</v>
      </c>
      <c r="R38" s="10">
        <f t="shared" si="17"/>
        <v>2150000</v>
      </c>
      <c r="T38" s="10">
        <f t="shared" si="18"/>
        <v>2150000</v>
      </c>
      <c r="V38" s="10">
        <f t="shared" si="2"/>
        <v>0</v>
      </c>
      <c r="W38" s="10">
        <f t="shared" si="19"/>
        <v>0</v>
      </c>
      <c r="Y38" s="10">
        <f t="shared" si="3"/>
        <v>30100</v>
      </c>
      <c r="Z38" s="10">
        <f t="shared" si="20"/>
        <v>14807.205463819233</v>
      </c>
      <c r="AB38" s="10">
        <f t="shared" si="4"/>
        <v>0</v>
      </c>
      <c r="AC38" s="10">
        <f t="shared" si="21"/>
        <v>0</v>
      </c>
      <c r="AE38" s="10">
        <f t="shared" si="5"/>
        <v>0</v>
      </c>
      <c r="AF38" s="10">
        <f t="shared" si="22"/>
        <v>0</v>
      </c>
      <c r="AH38" s="10">
        <f t="shared" si="6"/>
        <v>1200000</v>
      </c>
      <c r="AI38" s="10">
        <f t="shared" si="23"/>
        <v>590320.48360741127</v>
      </c>
      <c r="AK38" s="10">
        <f t="shared" si="7"/>
        <v>0</v>
      </c>
      <c r="AL38" s="10">
        <f t="shared" si="24"/>
        <v>0</v>
      </c>
      <c r="AN38" s="10">
        <f t="shared" si="8"/>
        <v>0</v>
      </c>
      <c r="AO38" s="10">
        <f t="shared" si="25"/>
        <v>0</v>
      </c>
      <c r="AQ38" s="10">
        <f t="shared" si="9"/>
        <v>0</v>
      </c>
      <c r="AR38" s="10">
        <f t="shared" si="26"/>
        <v>0</v>
      </c>
      <c r="AT38" s="7">
        <f>IF($K38&lt;=$F$15,IF($F$41&lt;&gt;"",$F$41/1000,IF(ISERROR(VLOOKUP($F$3&amp;IF($G$4&lt;&gt;"",$G$4,"")&amp;IF($F$44&lt;&gt;"","_"&amp;$F$44,""),'表3）燃料価格'!$AF$9:$AG$25,2,0)),0,VLOOKUP($I38,'表3）燃料価格'!$A$6:$U$66,VLOOKUP($F$3&amp;IF($G$4&lt;&gt;"",$G$4,"")&amp;IF($F$44&lt;&gt;"","_"&amp;$F$44,""),'表3）燃料価格'!$AF$9:$AG$25,2,0)+VLOOKUP($F$42,'表3）燃料価格'!$AF$28:$AG$29,2,0),0)*IF($F$44="需要地価格",1,$F$8/$F$142))),"")</f>
        <v>0</v>
      </c>
      <c r="AV38" s="10">
        <f t="shared" si="10"/>
        <v>0</v>
      </c>
      <c r="AW38" s="10">
        <f t="shared" si="27"/>
        <v>0</v>
      </c>
      <c r="AY38" s="7">
        <f>IF(ISERROR(IF($K38&lt;=$F$15,VLOOKUP($I38,'表4）CO2価格'!$A$7:$E$67,VLOOKUP($F$49,'表4）CO2価格'!$H$10:$I$12,2,0),0)*$F$8/1000,"")),0,IF($K38&lt;=$F$15,VLOOKUP($I38,'表4）CO2価格'!$A$7:$E$67,VLOOKUP($F$49,'表4）CO2価格'!$H$10:$I$12,2,0),0)*$F$8/1000,""))</f>
        <v>0</v>
      </c>
      <c r="BA38" s="11">
        <f t="shared" si="11"/>
        <v>0</v>
      </c>
      <c r="BB38" s="10">
        <f t="shared" si="28"/>
        <v>0</v>
      </c>
      <c r="BD38" s="10">
        <f t="shared" si="12"/>
        <v>0</v>
      </c>
      <c r="BE38" s="10">
        <f t="shared" si="29"/>
        <v>0</v>
      </c>
      <c r="BG38" s="11">
        <f t="shared" si="13"/>
        <v>0</v>
      </c>
      <c r="BH38" s="10">
        <f t="shared" si="30"/>
        <v>0</v>
      </c>
      <c r="BJ38" s="7" t="str">
        <f t="shared" si="14"/>
        <v/>
      </c>
      <c r="BK38" s="158" t="str">
        <f t="shared" si="15"/>
        <v/>
      </c>
      <c r="BL38" s="158" t="str">
        <f t="shared" si="16"/>
        <v/>
      </c>
      <c r="BM38" s="10"/>
      <c r="BN38" s="10" t="str">
        <f t="shared" si="31"/>
        <v/>
      </c>
      <c r="BO38" s="10" t="str">
        <f t="shared" si="32"/>
        <v/>
      </c>
      <c r="BQ38" s="188">
        <f t="shared" si="37"/>
        <v>335662.95913128916</v>
      </c>
      <c r="BR38" s="10">
        <f t="shared" si="33"/>
        <v>165123.93363623114</v>
      </c>
    </row>
    <row r="39" spans="3:70" x14ac:dyDescent="0.15">
      <c r="C39" s="89" t="s">
        <v>508</v>
      </c>
      <c r="D39" s="101"/>
      <c r="E39" s="101"/>
      <c r="F39" s="89"/>
      <c r="G39" s="101"/>
      <c r="I39" s="458">
        <f t="shared" si="34"/>
        <v>2054</v>
      </c>
      <c r="J39" s="470"/>
      <c r="K39" s="39">
        <f t="shared" si="35"/>
        <v>25</v>
      </c>
      <c r="L39" s="39"/>
      <c r="M39" s="40">
        <f t="shared" si="0"/>
        <v>0.47760556926165965</v>
      </c>
      <c r="N39" s="39"/>
      <c r="O39" s="72">
        <f t="shared" si="36"/>
        <v>0</v>
      </c>
      <c r="P39" s="41" t="str">
        <f t="shared" si="1"/>
        <v>-</v>
      </c>
      <c r="Q39" s="39"/>
      <c r="R39" s="72">
        <f t="shared" si="17"/>
        <v>2150000</v>
      </c>
      <c r="S39" s="39"/>
      <c r="T39" s="72">
        <f t="shared" si="18"/>
        <v>2150000</v>
      </c>
      <c r="U39" s="39"/>
      <c r="V39" s="72">
        <f t="shared" si="2"/>
        <v>0</v>
      </c>
      <c r="W39" s="72">
        <f t="shared" si="19"/>
        <v>0</v>
      </c>
      <c r="X39" s="39"/>
      <c r="Y39" s="72">
        <f t="shared" si="3"/>
        <v>30100</v>
      </c>
      <c r="Z39" s="72">
        <f t="shared" si="20"/>
        <v>14375.927634775955</v>
      </c>
      <c r="AA39" s="39"/>
      <c r="AB39" s="72">
        <f t="shared" si="4"/>
        <v>0</v>
      </c>
      <c r="AC39" s="72">
        <f t="shared" si="21"/>
        <v>0</v>
      </c>
      <c r="AD39" s="39"/>
      <c r="AE39" s="72">
        <f t="shared" si="5"/>
        <v>0</v>
      </c>
      <c r="AF39" s="72">
        <f t="shared" si="22"/>
        <v>0</v>
      </c>
      <c r="AG39" s="39"/>
      <c r="AH39" s="72">
        <f t="shared" si="6"/>
        <v>1200000</v>
      </c>
      <c r="AI39" s="72">
        <f t="shared" si="23"/>
        <v>573126.68311399163</v>
      </c>
      <c r="AJ39" s="39"/>
      <c r="AK39" s="72">
        <f t="shared" si="7"/>
        <v>0</v>
      </c>
      <c r="AL39" s="72">
        <f t="shared" si="24"/>
        <v>0</v>
      </c>
      <c r="AM39" s="39"/>
      <c r="AN39" s="72">
        <f t="shared" si="8"/>
        <v>0</v>
      </c>
      <c r="AO39" s="72">
        <f t="shared" si="25"/>
        <v>0</v>
      </c>
      <c r="AP39" s="39"/>
      <c r="AQ39" s="72">
        <f t="shared" si="9"/>
        <v>0</v>
      </c>
      <c r="AR39" s="72">
        <f t="shared" si="26"/>
        <v>0</v>
      </c>
      <c r="AS39" s="39"/>
      <c r="AT39" s="40">
        <f>IF($K39&lt;=$F$15,IF($F$41&lt;&gt;"",$F$41/1000,IF(ISERROR(VLOOKUP($F$3&amp;IF($G$4&lt;&gt;"",$G$4,"")&amp;IF($F$44&lt;&gt;"","_"&amp;$F$44,""),'表3）燃料価格'!$AF$9:$AG$25,2,0)),0,VLOOKUP($I39,'表3）燃料価格'!$A$6:$U$66,VLOOKUP($F$3&amp;IF($G$4&lt;&gt;"",$G$4,"")&amp;IF($F$44&lt;&gt;"","_"&amp;$F$44,""),'表3）燃料価格'!$AF$9:$AG$25,2,0)+VLOOKUP($F$42,'表3）燃料価格'!$AF$28:$AG$29,2,0),0)*IF($F$44="需要地価格",1,$F$8/$F$142))),"")</f>
        <v>0</v>
      </c>
      <c r="AU39" s="39"/>
      <c r="AV39" s="72">
        <f t="shared" si="10"/>
        <v>0</v>
      </c>
      <c r="AW39" s="72">
        <f t="shared" si="27"/>
        <v>0</v>
      </c>
      <c r="AX39" s="39"/>
      <c r="AY39" s="40">
        <f>IF(ISERROR(IF($K39&lt;=$F$15,VLOOKUP($I39,'表4）CO2価格'!$A$7:$E$67,VLOOKUP($F$49,'表4）CO2価格'!$H$10:$I$12,2,0),0)*$F$8/1000,"")),0,IF($K39&lt;=$F$15,VLOOKUP($I39,'表4）CO2価格'!$A$7:$E$67,VLOOKUP($F$49,'表4）CO2価格'!$H$10:$I$12,2,0),0)*$F$8/1000,""))</f>
        <v>0</v>
      </c>
      <c r="AZ39" s="39"/>
      <c r="BA39" s="42">
        <f t="shared" si="11"/>
        <v>0</v>
      </c>
      <c r="BB39" s="72">
        <f t="shared" si="28"/>
        <v>0</v>
      </c>
      <c r="BC39" s="39"/>
      <c r="BD39" s="72">
        <f t="shared" si="12"/>
        <v>0</v>
      </c>
      <c r="BE39" s="72">
        <f t="shared" si="29"/>
        <v>0</v>
      </c>
      <c r="BF39" s="39"/>
      <c r="BG39" s="42">
        <f t="shared" si="13"/>
        <v>0</v>
      </c>
      <c r="BH39" s="72">
        <f t="shared" si="30"/>
        <v>0</v>
      </c>
      <c r="BI39" s="39"/>
      <c r="BJ39" s="40" t="str">
        <f t="shared" si="14"/>
        <v/>
      </c>
      <c r="BK39" s="157" t="str">
        <f t="shared" si="15"/>
        <v/>
      </c>
      <c r="BL39" s="157" t="str">
        <f t="shared" si="16"/>
        <v/>
      </c>
      <c r="BM39" s="72"/>
      <c r="BN39" s="72" t="str">
        <f t="shared" si="31"/>
        <v/>
      </c>
      <c r="BO39" s="72" t="str">
        <f t="shared" si="32"/>
        <v/>
      </c>
      <c r="BP39" s="39"/>
      <c r="BQ39" s="72">
        <f t="shared" si="37"/>
        <v>333984.64433563274</v>
      </c>
      <c r="BR39" s="72">
        <f t="shared" si="33"/>
        <v>159512.92618257282</v>
      </c>
    </row>
    <row r="40" spans="3:70" x14ac:dyDescent="0.15">
      <c r="I40" s="459">
        <f t="shared" si="34"/>
        <v>2055</v>
      </c>
      <c r="K40" s="71">
        <f t="shared" si="35"/>
        <v>26</v>
      </c>
      <c r="M40" s="7">
        <f t="shared" si="0"/>
        <v>0.46369472743850448</v>
      </c>
      <c r="O40" s="10" t="str">
        <f t="shared" si="36"/>
        <v/>
      </c>
      <c r="P40" s="29" t="str">
        <f t="shared" si="1"/>
        <v/>
      </c>
      <c r="R40" s="10" t="str">
        <f t="shared" si="17"/>
        <v/>
      </c>
      <c r="T40" s="10" t="str">
        <f t="shared" si="18"/>
        <v/>
      </c>
      <c r="V40" s="10" t="str">
        <f t="shared" si="2"/>
        <v/>
      </c>
      <c r="W40" s="10" t="str">
        <f t="shared" si="19"/>
        <v/>
      </c>
      <c r="Y40" s="10" t="str">
        <f t="shared" si="3"/>
        <v/>
      </c>
      <c r="Z40" s="10" t="str">
        <f t="shared" si="20"/>
        <v/>
      </c>
      <c r="AB40" s="10">
        <f t="shared" si="4"/>
        <v>2500000</v>
      </c>
      <c r="AC40" s="10">
        <f t="shared" si="21"/>
        <v>1159236.8185962613</v>
      </c>
      <c r="AE40" s="10" t="str">
        <f t="shared" si="5"/>
        <v/>
      </c>
      <c r="AF40" s="10" t="str">
        <f t="shared" si="22"/>
        <v/>
      </c>
      <c r="AH40" s="10" t="str">
        <f t="shared" si="6"/>
        <v/>
      </c>
      <c r="AI40" s="10" t="str">
        <f t="shared" si="23"/>
        <v/>
      </c>
      <c r="AK40" s="10" t="str">
        <f t="shared" si="7"/>
        <v/>
      </c>
      <c r="AL40" s="10" t="str">
        <f t="shared" si="24"/>
        <v/>
      </c>
      <c r="AN40" s="10" t="str">
        <f t="shared" si="8"/>
        <v/>
      </c>
      <c r="AO40" s="10" t="str">
        <f t="shared" si="25"/>
        <v/>
      </c>
      <c r="AQ40" s="10" t="str">
        <f t="shared" si="9"/>
        <v/>
      </c>
      <c r="AR40" s="10" t="str">
        <f t="shared" si="26"/>
        <v/>
      </c>
      <c r="AT40" s="7" t="str">
        <f>IF($K40&lt;=$F$15,IF($F$41&lt;&gt;"",$F$41/1000,IF(ISERROR(VLOOKUP($F$3&amp;IF($G$4&lt;&gt;"",$G$4,"")&amp;IF($F$44&lt;&gt;"","_"&amp;$F$44,""),'表3）燃料価格'!$AF$9:$AG$25,2,0)),0,VLOOKUP($I40,'表3）燃料価格'!$A$6:$U$66,VLOOKUP($F$3&amp;IF($G$4&lt;&gt;"",$G$4,"")&amp;IF($F$44&lt;&gt;"","_"&amp;$F$44,""),'表3）燃料価格'!$AF$9:$AG$25,2,0)+VLOOKUP($F$42,'表3）燃料価格'!$AF$28:$AG$29,2,0),0)*IF($F$44="需要地価格",1,$F$8/$F$142))),"")</f>
        <v/>
      </c>
      <c r="AV40" s="10" t="str">
        <f t="shared" si="10"/>
        <v/>
      </c>
      <c r="AW40" s="10" t="str">
        <f t="shared" si="27"/>
        <v/>
      </c>
      <c r="AY40" s="7" t="str">
        <f>IF(ISERROR(IF($K40&lt;=$F$15,VLOOKUP($I40,'表4）CO2価格'!$A$7:$E$67,VLOOKUP($F$49,'表4）CO2価格'!$H$10:$I$12,2,0),0)*$F$8/1000,"")),0,IF($K40&lt;=$F$15,VLOOKUP($I40,'表4）CO2価格'!$A$7:$E$67,VLOOKUP($F$49,'表4）CO2価格'!$H$10:$I$12,2,0),0)*$F$8/1000,""))</f>
        <v/>
      </c>
      <c r="BA40" s="11" t="str">
        <f t="shared" si="11"/>
        <v/>
      </c>
      <c r="BB40" s="10" t="str">
        <f t="shared" si="28"/>
        <v/>
      </c>
      <c r="BD40" s="10" t="str">
        <f t="shared" si="12"/>
        <v/>
      </c>
      <c r="BE40" s="10" t="str">
        <f t="shared" si="29"/>
        <v/>
      </c>
      <c r="BG40" s="11" t="str">
        <f t="shared" si="13"/>
        <v/>
      </c>
      <c r="BH40" s="10" t="str">
        <f t="shared" si="30"/>
        <v/>
      </c>
      <c r="BJ40" s="7" t="str">
        <f t="shared" si="14"/>
        <v/>
      </c>
      <c r="BK40" s="158" t="str">
        <f t="shared" si="15"/>
        <v/>
      </c>
      <c r="BL40" s="158" t="str">
        <f t="shared" si="16"/>
        <v/>
      </c>
      <c r="BM40" s="10"/>
      <c r="BN40" s="10" t="str">
        <f t="shared" si="31"/>
        <v/>
      </c>
      <c r="BO40" s="10" t="str">
        <f t="shared" si="32"/>
        <v/>
      </c>
      <c r="BQ40" s="188" t="str">
        <f t="shared" si="37"/>
        <v/>
      </c>
      <c r="BR40" s="10" t="str">
        <f t="shared" si="33"/>
        <v/>
      </c>
    </row>
    <row r="41" spans="3:70" x14ac:dyDescent="0.15">
      <c r="D41" s="81" t="s">
        <v>124</v>
      </c>
      <c r="F41" s="108"/>
      <c r="G41" s="82" t="s">
        <v>178</v>
      </c>
      <c r="I41" s="458">
        <f t="shared" si="34"/>
        <v>2056</v>
      </c>
      <c r="J41" s="470"/>
      <c r="K41" s="39">
        <f t="shared" si="35"/>
        <v>27</v>
      </c>
      <c r="L41" s="39"/>
      <c r="M41" s="40">
        <f t="shared" si="0"/>
        <v>0.45018905576553836</v>
      </c>
      <c r="N41" s="39"/>
      <c r="O41" s="72" t="str">
        <f t="shared" si="36"/>
        <v/>
      </c>
      <c r="P41" s="41" t="str">
        <f t="shared" si="1"/>
        <v/>
      </c>
      <c r="Q41" s="39"/>
      <c r="R41" s="72" t="str">
        <f t="shared" si="17"/>
        <v/>
      </c>
      <c r="S41" s="39"/>
      <c r="T41" s="72" t="str">
        <f t="shared" si="18"/>
        <v/>
      </c>
      <c r="U41" s="39"/>
      <c r="V41" s="72" t="str">
        <f t="shared" si="2"/>
        <v/>
      </c>
      <c r="W41" s="72" t="str">
        <f t="shared" si="19"/>
        <v/>
      </c>
      <c r="X41" s="39"/>
      <c r="Y41" s="72" t="str">
        <f t="shared" si="3"/>
        <v/>
      </c>
      <c r="Z41" s="72" t="str">
        <f t="shared" si="20"/>
        <v/>
      </c>
      <c r="AA41" s="39"/>
      <c r="AB41" s="72" t="str">
        <f t="shared" si="4"/>
        <v/>
      </c>
      <c r="AC41" s="72" t="str">
        <f t="shared" si="21"/>
        <v/>
      </c>
      <c r="AD41" s="39"/>
      <c r="AE41" s="72" t="str">
        <f t="shared" si="5"/>
        <v/>
      </c>
      <c r="AF41" s="72" t="str">
        <f t="shared" si="22"/>
        <v/>
      </c>
      <c r="AG41" s="39"/>
      <c r="AH41" s="72" t="str">
        <f t="shared" si="6"/>
        <v/>
      </c>
      <c r="AI41" s="72" t="str">
        <f t="shared" si="23"/>
        <v/>
      </c>
      <c r="AJ41" s="39"/>
      <c r="AK41" s="72" t="str">
        <f t="shared" si="7"/>
        <v/>
      </c>
      <c r="AL41" s="72" t="str">
        <f t="shared" si="24"/>
        <v/>
      </c>
      <c r="AM41" s="39"/>
      <c r="AN41" s="72" t="str">
        <f t="shared" si="8"/>
        <v/>
      </c>
      <c r="AO41" s="72" t="str">
        <f t="shared" si="25"/>
        <v/>
      </c>
      <c r="AP41" s="39"/>
      <c r="AQ41" s="72" t="str">
        <f t="shared" si="9"/>
        <v/>
      </c>
      <c r="AR41" s="72" t="str">
        <f t="shared" si="26"/>
        <v/>
      </c>
      <c r="AS41" s="39"/>
      <c r="AT41" s="40" t="str">
        <f>IF($K41&lt;=$F$15,IF($F$41&lt;&gt;"",$F$41/1000,IF(ISERROR(VLOOKUP($F$3&amp;IF($G$4&lt;&gt;"",$G$4,"")&amp;IF($F$44&lt;&gt;"","_"&amp;$F$44,""),'表3）燃料価格'!$AF$9:$AG$25,2,0)),0,VLOOKUP($I41,'表3）燃料価格'!$A$6:$U$66,VLOOKUP($F$3&amp;IF($G$4&lt;&gt;"",$G$4,"")&amp;IF($F$44&lt;&gt;"","_"&amp;$F$44,""),'表3）燃料価格'!$AF$9:$AG$25,2,0)+VLOOKUP($F$42,'表3）燃料価格'!$AF$28:$AG$29,2,0),0)*IF($F$44="需要地価格",1,$F$8/$F$142))),"")</f>
        <v/>
      </c>
      <c r="AU41" s="39"/>
      <c r="AV41" s="72" t="str">
        <f t="shared" si="10"/>
        <v/>
      </c>
      <c r="AW41" s="72" t="str">
        <f t="shared" si="27"/>
        <v/>
      </c>
      <c r="AX41" s="39"/>
      <c r="AY41" s="40" t="str">
        <f>IF(ISERROR(IF($K41&lt;=$F$15,VLOOKUP($I41,'表4）CO2価格'!$A$7:$E$67,VLOOKUP($F$49,'表4）CO2価格'!$H$10:$I$12,2,0),0)*$F$8/1000,"")),0,IF($K41&lt;=$F$15,VLOOKUP($I41,'表4）CO2価格'!$A$7:$E$67,VLOOKUP($F$49,'表4）CO2価格'!$H$10:$I$12,2,0),0)*$F$8/1000,""))</f>
        <v/>
      </c>
      <c r="AZ41" s="39"/>
      <c r="BA41" s="42" t="str">
        <f t="shared" si="11"/>
        <v/>
      </c>
      <c r="BB41" s="72" t="str">
        <f t="shared" si="28"/>
        <v/>
      </c>
      <c r="BC41" s="39"/>
      <c r="BD41" s="72" t="str">
        <f t="shared" si="12"/>
        <v/>
      </c>
      <c r="BE41" s="72" t="str">
        <f t="shared" si="29"/>
        <v/>
      </c>
      <c r="BF41" s="39"/>
      <c r="BG41" s="42" t="str">
        <f t="shared" si="13"/>
        <v/>
      </c>
      <c r="BH41" s="72" t="str">
        <f t="shared" si="30"/>
        <v/>
      </c>
      <c r="BI41" s="39"/>
      <c r="BJ41" s="40" t="str">
        <f t="shared" si="14"/>
        <v/>
      </c>
      <c r="BK41" s="157" t="str">
        <f t="shared" si="15"/>
        <v/>
      </c>
      <c r="BL41" s="157" t="str">
        <f t="shared" si="16"/>
        <v/>
      </c>
      <c r="BM41" s="72"/>
      <c r="BN41" s="72" t="str">
        <f t="shared" si="31"/>
        <v/>
      </c>
      <c r="BO41" s="72" t="str">
        <f t="shared" si="32"/>
        <v/>
      </c>
      <c r="BP41" s="39"/>
      <c r="BQ41" s="72" t="str">
        <f t="shared" si="37"/>
        <v/>
      </c>
      <c r="BR41" s="72" t="str">
        <f t="shared" si="33"/>
        <v/>
      </c>
    </row>
    <row r="42" spans="3:70" x14ac:dyDescent="0.15">
      <c r="D42" s="81" t="s">
        <v>179</v>
      </c>
      <c r="F42" s="88"/>
      <c r="I42" s="459">
        <f t="shared" si="34"/>
        <v>2057</v>
      </c>
      <c r="K42" s="71">
        <f t="shared" si="35"/>
        <v>28</v>
      </c>
      <c r="M42" s="7">
        <f t="shared" si="0"/>
        <v>0.4370767531704256</v>
      </c>
      <c r="O42" s="10" t="str">
        <f t="shared" si="36"/>
        <v/>
      </c>
      <c r="P42" s="29" t="str">
        <f t="shared" si="1"/>
        <v/>
      </c>
      <c r="R42" s="10" t="str">
        <f t="shared" si="17"/>
        <v/>
      </c>
      <c r="T42" s="10" t="str">
        <f t="shared" si="18"/>
        <v/>
      </c>
      <c r="V42" s="10" t="str">
        <f t="shared" si="2"/>
        <v/>
      </c>
      <c r="W42" s="10" t="str">
        <f t="shared" si="19"/>
        <v/>
      </c>
      <c r="Y42" s="10" t="str">
        <f t="shared" si="3"/>
        <v/>
      </c>
      <c r="Z42" s="10" t="str">
        <f t="shared" si="20"/>
        <v/>
      </c>
      <c r="AB42" s="10" t="str">
        <f t="shared" si="4"/>
        <v/>
      </c>
      <c r="AC42" s="10" t="str">
        <f t="shared" si="21"/>
        <v/>
      </c>
      <c r="AE42" s="10" t="str">
        <f t="shared" si="5"/>
        <v/>
      </c>
      <c r="AF42" s="10" t="str">
        <f t="shared" si="22"/>
        <v/>
      </c>
      <c r="AH42" s="10" t="str">
        <f t="shared" si="6"/>
        <v/>
      </c>
      <c r="AI42" s="10" t="str">
        <f t="shared" si="23"/>
        <v/>
      </c>
      <c r="AK42" s="10" t="str">
        <f t="shared" si="7"/>
        <v/>
      </c>
      <c r="AL42" s="10" t="str">
        <f t="shared" si="24"/>
        <v/>
      </c>
      <c r="AN42" s="10" t="str">
        <f t="shared" si="8"/>
        <v/>
      </c>
      <c r="AO42" s="10" t="str">
        <f t="shared" si="25"/>
        <v/>
      </c>
      <c r="AQ42" s="10" t="str">
        <f t="shared" si="9"/>
        <v/>
      </c>
      <c r="AR42" s="10" t="str">
        <f t="shared" si="26"/>
        <v/>
      </c>
      <c r="AT42" s="7" t="str">
        <f>IF($K42&lt;=$F$15,IF($F$41&lt;&gt;"",$F$41/1000,IF(ISERROR(VLOOKUP($F$3&amp;IF($G$4&lt;&gt;"",$G$4,"")&amp;IF($F$44&lt;&gt;"","_"&amp;$F$44,""),'表3）燃料価格'!$AF$9:$AG$25,2,0)),0,VLOOKUP($I42,'表3）燃料価格'!$A$6:$U$66,VLOOKUP($F$3&amp;IF($G$4&lt;&gt;"",$G$4,"")&amp;IF($F$44&lt;&gt;"","_"&amp;$F$44,""),'表3）燃料価格'!$AF$9:$AG$25,2,0)+VLOOKUP($F$42,'表3）燃料価格'!$AF$28:$AG$29,2,0),0)*IF($F$44="需要地価格",1,$F$8/$F$142))),"")</f>
        <v/>
      </c>
      <c r="AV42" s="10" t="str">
        <f t="shared" si="10"/>
        <v/>
      </c>
      <c r="AW42" s="10" t="str">
        <f t="shared" si="27"/>
        <v/>
      </c>
      <c r="AY42" s="7" t="str">
        <f>IF(ISERROR(IF($K42&lt;=$F$15,VLOOKUP($I42,'表4）CO2価格'!$A$7:$E$67,VLOOKUP($F$49,'表4）CO2価格'!$H$10:$I$12,2,0),0)*$F$8/1000,"")),0,IF($K42&lt;=$F$15,VLOOKUP($I42,'表4）CO2価格'!$A$7:$E$67,VLOOKUP($F$49,'表4）CO2価格'!$H$10:$I$12,2,0),0)*$F$8/1000,""))</f>
        <v/>
      </c>
      <c r="BA42" s="11" t="str">
        <f t="shared" si="11"/>
        <v/>
      </c>
      <c r="BB42" s="10" t="str">
        <f t="shared" si="28"/>
        <v/>
      </c>
      <c r="BD42" s="10" t="str">
        <f t="shared" si="12"/>
        <v/>
      </c>
      <c r="BE42" s="10" t="str">
        <f t="shared" si="29"/>
        <v/>
      </c>
      <c r="BG42" s="11" t="str">
        <f t="shared" si="13"/>
        <v/>
      </c>
      <c r="BH42" s="10" t="str">
        <f t="shared" si="30"/>
        <v/>
      </c>
      <c r="BJ42" s="7" t="str">
        <f t="shared" si="14"/>
        <v/>
      </c>
      <c r="BK42" s="158" t="str">
        <f t="shared" si="15"/>
        <v/>
      </c>
      <c r="BL42" s="158" t="str">
        <f t="shared" si="16"/>
        <v/>
      </c>
      <c r="BM42" s="10"/>
      <c r="BN42" s="10" t="str">
        <f t="shared" si="31"/>
        <v/>
      </c>
      <c r="BO42" s="10" t="str">
        <f t="shared" si="32"/>
        <v/>
      </c>
      <c r="BQ42" s="188" t="str">
        <f t="shared" si="37"/>
        <v/>
      </c>
      <c r="BR42" s="10" t="str">
        <f t="shared" si="33"/>
        <v/>
      </c>
    </row>
    <row r="43" spans="3:70" x14ac:dyDescent="0.15">
      <c r="D43" s="81" t="s">
        <v>180</v>
      </c>
      <c r="F43" s="59"/>
      <c r="G43" s="81" t="s">
        <v>181</v>
      </c>
      <c r="I43" s="458">
        <f t="shared" si="34"/>
        <v>2058</v>
      </c>
      <c r="J43" s="470"/>
      <c r="K43" s="39">
        <f t="shared" si="35"/>
        <v>29</v>
      </c>
      <c r="L43" s="39"/>
      <c r="M43" s="40">
        <f t="shared" si="0"/>
        <v>0.42434636230138412</v>
      </c>
      <c r="N43" s="39"/>
      <c r="O43" s="72" t="str">
        <f t="shared" si="36"/>
        <v/>
      </c>
      <c r="P43" s="41" t="str">
        <f t="shared" si="1"/>
        <v/>
      </c>
      <c r="Q43" s="39"/>
      <c r="R43" s="72" t="str">
        <f t="shared" si="17"/>
        <v/>
      </c>
      <c r="S43" s="39"/>
      <c r="T43" s="72" t="str">
        <f t="shared" si="18"/>
        <v/>
      </c>
      <c r="U43" s="39"/>
      <c r="V43" s="72" t="str">
        <f t="shared" si="2"/>
        <v/>
      </c>
      <c r="W43" s="72" t="str">
        <f t="shared" si="19"/>
        <v/>
      </c>
      <c r="X43" s="39"/>
      <c r="Y43" s="72" t="str">
        <f t="shared" si="3"/>
        <v/>
      </c>
      <c r="Z43" s="72" t="str">
        <f t="shared" si="20"/>
        <v/>
      </c>
      <c r="AA43" s="39"/>
      <c r="AB43" s="72" t="str">
        <f t="shared" si="4"/>
        <v/>
      </c>
      <c r="AC43" s="72" t="str">
        <f t="shared" si="21"/>
        <v/>
      </c>
      <c r="AD43" s="39"/>
      <c r="AE43" s="72" t="str">
        <f t="shared" si="5"/>
        <v/>
      </c>
      <c r="AF43" s="72" t="str">
        <f t="shared" si="22"/>
        <v/>
      </c>
      <c r="AG43" s="39"/>
      <c r="AH43" s="72" t="str">
        <f t="shared" si="6"/>
        <v/>
      </c>
      <c r="AI43" s="72" t="str">
        <f t="shared" si="23"/>
        <v/>
      </c>
      <c r="AJ43" s="39"/>
      <c r="AK43" s="72" t="str">
        <f t="shared" si="7"/>
        <v/>
      </c>
      <c r="AL43" s="72" t="str">
        <f t="shared" si="24"/>
        <v/>
      </c>
      <c r="AM43" s="39"/>
      <c r="AN43" s="72" t="str">
        <f t="shared" si="8"/>
        <v/>
      </c>
      <c r="AO43" s="72" t="str">
        <f t="shared" si="25"/>
        <v/>
      </c>
      <c r="AP43" s="39"/>
      <c r="AQ43" s="72" t="str">
        <f t="shared" si="9"/>
        <v/>
      </c>
      <c r="AR43" s="72" t="str">
        <f t="shared" si="26"/>
        <v/>
      </c>
      <c r="AS43" s="39"/>
      <c r="AT43" s="40" t="str">
        <f>IF($K43&lt;=$F$15,IF($F$41&lt;&gt;"",$F$41/1000,IF(ISERROR(VLOOKUP($F$3&amp;IF($G$4&lt;&gt;"",$G$4,"")&amp;IF($F$44&lt;&gt;"","_"&amp;$F$44,""),'表3）燃料価格'!$AF$9:$AG$25,2,0)),0,VLOOKUP($I43,'表3）燃料価格'!$A$6:$U$66,VLOOKUP($F$3&amp;IF($G$4&lt;&gt;"",$G$4,"")&amp;IF($F$44&lt;&gt;"","_"&amp;$F$44,""),'表3）燃料価格'!$AF$9:$AG$25,2,0)+VLOOKUP($F$42,'表3）燃料価格'!$AF$28:$AG$29,2,0),0)*IF($F$44="需要地価格",1,$F$8/$F$142))),"")</f>
        <v/>
      </c>
      <c r="AU43" s="39"/>
      <c r="AV43" s="72" t="str">
        <f t="shared" si="10"/>
        <v/>
      </c>
      <c r="AW43" s="72" t="str">
        <f t="shared" si="27"/>
        <v/>
      </c>
      <c r="AX43" s="39"/>
      <c r="AY43" s="40" t="str">
        <f>IF(ISERROR(IF($K43&lt;=$F$15,VLOOKUP($I43,'表4）CO2価格'!$A$7:$E$67,VLOOKUP($F$49,'表4）CO2価格'!$H$10:$I$12,2,0),0)*$F$8/1000,"")),0,IF($K43&lt;=$F$15,VLOOKUP($I43,'表4）CO2価格'!$A$7:$E$67,VLOOKUP($F$49,'表4）CO2価格'!$H$10:$I$12,2,0),0)*$F$8/1000,""))</f>
        <v/>
      </c>
      <c r="AZ43" s="39"/>
      <c r="BA43" s="42" t="str">
        <f t="shared" si="11"/>
        <v/>
      </c>
      <c r="BB43" s="72" t="str">
        <f t="shared" si="28"/>
        <v/>
      </c>
      <c r="BC43" s="39"/>
      <c r="BD43" s="72" t="str">
        <f t="shared" si="12"/>
        <v/>
      </c>
      <c r="BE43" s="72" t="str">
        <f t="shared" si="29"/>
        <v/>
      </c>
      <c r="BF43" s="39"/>
      <c r="BG43" s="42" t="str">
        <f t="shared" si="13"/>
        <v/>
      </c>
      <c r="BH43" s="72" t="str">
        <f t="shared" si="30"/>
        <v/>
      </c>
      <c r="BI43" s="39"/>
      <c r="BJ43" s="40" t="str">
        <f t="shared" si="14"/>
        <v/>
      </c>
      <c r="BK43" s="157" t="str">
        <f t="shared" si="15"/>
        <v/>
      </c>
      <c r="BL43" s="157" t="str">
        <f t="shared" si="16"/>
        <v/>
      </c>
      <c r="BM43" s="72"/>
      <c r="BN43" s="72" t="str">
        <f t="shared" si="31"/>
        <v/>
      </c>
      <c r="BO43" s="72" t="str">
        <f t="shared" si="32"/>
        <v/>
      </c>
      <c r="BP43" s="39"/>
      <c r="BQ43" s="72" t="str">
        <f t="shared" si="37"/>
        <v/>
      </c>
      <c r="BR43" s="72" t="str">
        <f t="shared" si="33"/>
        <v/>
      </c>
    </row>
    <row r="44" spans="3:70" x14ac:dyDescent="0.15">
      <c r="D44" s="82" t="s">
        <v>126</v>
      </c>
      <c r="F44" s="88"/>
      <c r="I44" s="459">
        <f t="shared" si="34"/>
        <v>2059</v>
      </c>
      <c r="K44" s="71">
        <f t="shared" si="35"/>
        <v>30</v>
      </c>
      <c r="M44" s="7">
        <f t="shared" si="0"/>
        <v>0.41198675951590691</v>
      </c>
      <c r="O44" s="10" t="str">
        <f t="shared" si="36"/>
        <v/>
      </c>
      <c r="P44" s="29" t="str">
        <f t="shared" si="1"/>
        <v/>
      </c>
      <c r="R44" s="10" t="str">
        <f t="shared" si="17"/>
        <v/>
      </c>
      <c r="T44" s="10" t="str">
        <f t="shared" si="18"/>
        <v/>
      </c>
      <c r="V44" s="10" t="str">
        <f t="shared" si="2"/>
        <v/>
      </c>
      <c r="W44" s="10" t="str">
        <f t="shared" si="19"/>
        <v/>
      </c>
      <c r="Y44" s="10" t="str">
        <f t="shared" si="3"/>
        <v/>
      </c>
      <c r="Z44" s="10" t="str">
        <f t="shared" si="20"/>
        <v/>
      </c>
      <c r="AB44" s="10" t="str">
        <f t="shared" si="4"/>
        <v/>
      </c>
      <c r="AC44" s="10" t="str">
        <f t="shared" si="21"/>
        <v/>
      </c>
      <c r="AE44" s="10" t="str">
        <f t="shared" si="5"/>
        <v/>
      </c>
      <c r="AF44" s="10" t="str">
        <f t="shared" si="22"/>
        <v/>
      </c>
      <c r="AH44" s="10" t="str">
        <f t="shared" si="6"/>
        <v/>
      </c>
      <c r="AI44" s="10" t="str">
        <f t="shared" si="23"/>
        <v/>
      </c>
      <c r="AK44" s="10" t="str">
        <f t="shared" si="7"/>
        <v/>
      </c>
      <c r="AL44" s="10" t="str">
        <f t="shared" si="24"/>
        <v/>
      </c>
      <c r="AN44" s="10" t="str">
        <f t="shared" si="8"/>
        <v/>
      </c>
      <c r="AO44" s="10" t="str">
        <f t="shared" si="25"/>
        <v/>
      </c>
      <c r="AQ44" s="10" t="str">
        <f t="shared" si="9"/>
        <v/>
      </c>
      <c r="AR44" s="10" t="str">
        <f t="shared" si="26"/>
        <v/>
      </c>
      <c r="AT44" s="7" t="str">
        <f>IF($K44&lt;=$F$15,IF($F$41&lt;&gt;"",$F$41/1000,IF(ISERROR(VLOOKUP($F$3&amp;IF($G$4&lt;&gt;"",$G$4,"")&amp;IF($F$44&lt;&gt;"","_"&amp;$F$44,""),'表3）燃料価格'!$AF$9:$AG$25,2,0)),0,VLOOKUP($I44,'表3）燃料価格'!$A$6:$U$66,VLOOKUP($F$3&amp;IF($G$4&lt;&gt;"",$G$4,"")&amp;IF($F$44&lt;&gt;"","_"&amp;$F$44,""),'表3）燃料価格'!$AF$9:$AG$25,2,0)+VLOOKUP($F$42,'表3）燃料価格'!$AF$28:$AG$29,2,0),0)*IF($F$44="需要地価格",1,$F$8/$F$142))),"")</f>
        <v/>
      </c>
      <c r="AV44" s="10" t="str">
        <f t="shared" si="10"/>
        <v/>
      </c>
      <c r="AW44" s="10" t="str">
        <f t="shared" si="27"/>
        <v/>
      </c>
      <c r="AY44" s="7" t="str">
        <f>IF(ISERROR(IF($K44&lt;=$F$15,VLOOKUP($I44,'表4）CO2価格'!$A$7:$E$67,VLOOKUP($F$49,'表4）CO2価格'!$H$10:$I$12,2,0),0)*$F$8/1000,"")),0,IF($K44&lt;=$F$15,VLOOKUP($I44,'表4）CO2価格'!$A$7:$E$67,VLOOKUP($F$49,'表4）CO2価格'!$H$10:$I$12,2,0),0)*$F$8/1000,""))</f>
        <v/>
      </c>
      <c r="BA44" s="11" t="str">
        <f t="shared" si="11"/>
        <v/>
      </c>
      <c r="BB44" s="10" t="str">
        <f t="shared" si="28"/>
        <v/>
      </c>
      <c r="BD44" s="10" t="str">
        <f t="shared" si="12"/>
        <v/>
      </c>
      <c r="BE44" s="10" t="str">
        <f t="shared" si="29"/>
        <v/>
      </c>
      <c r="BG44" s="11" t="str">
        <f t="shared" si="13"/>
        <v/>
      </c>
      <c r="BH44" s="10" t="str">
        <f t="shared" si="30"/>
        <v/>
      </c>
      <c r="BJ44" s="7" t="str">
        <f t="shared" si="14"/>
        <v/>
      </c>
      <c r="BK44" s="158" t="str">
        <f t="shared" si="15"/>
        <v/>
      </c>
      <c r="BL44" s="158" t="str">
        <f t="shared" si="16"/>
        <v/>
      </c>
      <c r="BM44" s="10"/>
      <c r="BN44" s="10" t="str">
        <f t="shared" si="31"/>
        <v/>
      </c>
      <c r="BO44" s="10" t="str">
        <f t="shared" si="32"/>
        <v/>
      </c>
      <c r="BQ44" s="188" t="str">
        <f t="shared" si="37"/>
        <v/>
      </c>
      <c r="BR44" s="10" t="str">
        <f t="shared" si="33"/>
        <v/>
      </c>
    </row>
    <row r="45" spans="3:70" x14ac:dyDescent="0.15">
      <c r="I45" s="458">
        <f t="shared" si="34"/>
        <v>2060</v>
      </c>
      <c r="J45" s="470"/>
      <c r="K45" s="39">
        <f t="shared" si="35"/>
        <v>31</v>
      </c>
      <c r="L45" s="39"/>
      <c r="M45" s="40">
        <f t="shared" si="0"/>
        <v>0.39998714516107459</v>
      </c>
      <c r="N45" s="39"/>
      <c r="O45" s="72" t="str">
        <f t="shared" si="36"/>
        <v/>
      </c>
      <c r="P45" s="41" t="str">
        <f t="shared" si="1"/>
        <v/>
      </c>
      <c r="Q45" s="39"/>
      <c r="R45" s="72" t="str">
        <f t="shared" si="17"/>
        <v/>
      </c>
      <c r="S45" s="39"/>
      <c r="T45" s="72" t="str">
        <f t="shared" si="18"/>
        <v/>
      </c>
      <c r="U45" s="39"/>
      <c r="V45" s="72" t="str">
        <f t="shared" si="2"/>
        <v/>
      </c>
      <c r="W45" s="72" t="str">
        <f t="shared" si="19"/>
        <v/>
      </c>
      <c r="X45" s="39"/>
      <c r="Y45" s="72" t="str">
        <f t="shared" si="3"/>
        <v/>
      </c>
      <c r="Z45" s="72" t="str">
        <f t="shared" si="20"/>
        <v/>
      </c>
      <c r="AA45" s="39"/>
      <c r="AB45" s="72" t="str">
        <f t="shared" si="4"/>
        <v/>
      </c>
      <c r="AC45" s="72" t="str">
        <f t="shared" si="21"/>
        <v/>
      </c>
      <c r="AD45" s="39"/>
      <c r="AE45" s="72" t="str">
        <f t="shared" si="5"/>
        <v/>
      </c>
      <c r="AF45" s="72" t="str">
        <f t="shared" si="22"/>
        <v/>
      </c>
      <c r="AG45" s="39"/>
      <c r="AH45" s="72" t="str">
        <f t="shared" si="6"/>
        <v/>
      </c>
      <c r="AI45" s="72" t="str">
        <f t="shared" si="23"/>
        <v/>
      </c>
      <c r="AJ45" s="39"/>
      <c r="AK45" s="72" t="str">
        <f t="shared" si="7"/>
        <v/>
      </c>
      <c r="AL45" s="72" t="str">
        <f t="shared" si="24"/>
        <v/>
      </c>
      <c r="AM45" s="39"/>
      <c r="AN45" s="72" t="str">
        <f t="shared" si="8"/>
        <v/>
      </c>
      <c r="AO45" s="72" t="str">
        <f t="shared" si="25"/>
        <v/>
      </c>
      <c r="AP45" s="39"/>
      <c r="AQ45" s="72" t="str">
        <f t="shared" si="9"/>
        <v/>
      </c>
      <c r="AR45" s="72" t="str">
        <f t="shared" si="26"/>
        <v/>
      </c>
      <c r="AS45" s="39"/>
      <c r="AT45" s="40" t="str">
        <f>IF($K45&lt;=$F$15,IF($F$41&lt;&gt;"",$F$41/1000,IF(ISERROR(VLOOKUP($F$3&amp;IF($G$4&lt;&gt;"",$G$4,"")&amp;IF($F$44&lt;&gt;"","_"&amp;$F$44,""),'表3）燃料価格'!$AF$9:$AG$25,2,0)),0,VLOOKUP($I45,'表3）燃料価格'!$A$6:$U$66,VLOOKUP($F$3&amp;IF($G$4&lt;&gt;"",$G$4,"")&amp;IF($F$44&lt;&gt;"","_"&amp;$F$44,""),'表3）燃料価格'!$AF$9:$AG$25,2,0)+VLOOKUP($F$42,'表3）燃料価格'!$AF$28:$AG$29,2,0),0)*IF($F$44="需要地価格",1,$F$8/$F$142))),"")</f>
        <v/>
      </c>
      <c r="AU45" s="39"/>
      <c r="AV45" s="72" t="str">
        <f t="shared" si="10"/>
        <v/>
      </c>
      <c r="AW45" s="72" t="str">
        <f t="shared" si="27"/>
        <v/>
      </c>
      <c r="AX45" s="39"/>
      <c r="AY45" s="40" t="str">
        <f>IF(ISERROR(IF($K45&lt;=$F$15,VLOOKUP($I45,'表4）CO2価格'!$A$7:$E$67,VLOOKUP($F$49,'表4）CO2価格'!$H$10:$I$12,2,0),0)*$F$8/1000,"")),0,IF($K45&lt;=$F$15,VLOOKUP($I45,'表4）CO2価格'!$A$7:$E$67,VLOOKUP($F$49,'表4）CO2価格'!$H$10:$I$12,2,0),0)*$F$8/1000,""))</f>
        <v/>
      </c>
      <c r="AZ45" s="39"/>
      <c r="BA45" s="42" t="str">
        <f t="shared" si="11"/>
        <v/>
      </c>
      <c r="BB45" s="72" t="str">
        <f t="shared" si="28"/>
        <v/>
      </c>
      <c r="BC45" s="39"/>
      <c r="BD45" s="72" t="str">
        <f t="shared" si="12"/>
        <v/>
      </c>
      <c r="BE45" s="72" t="str">
        <f t="shared" si="29"/>
        <v/>
      </c>
      <c r="BF45" s="39"/>
      <c r="BG45" s="42" t="str">
        <f t="shared" si="13"/>
        <v/>
      </c>
      <c r="BH45" s="72" t="str">
        <f t="shared" si="30"/>
        <v/>
      </c>
      <c r="BI45" s="39"/>
      <c r="BJ45" s="40" t="str">
        <f t="shared" si="14"/>
        <v/>
      </c>
      <c r="BK45" s="157" t="str">
        <f t="shared" si="15"/>
        <v/>
      </c>
      <c r="BL45" s="157" t="str">
        <f t="shared" si="16"/>
        <v/>
      </c>
      <c r="BM45" s="72"/>
      <c r="BN45" s="72" t="str">
        <f t="shared" si="31"/>
        <v/>
      </c>
      <c r="BO45" s="72" t="str">
        <f t="shared" si="32"/>
        <v/>
      </c>
      <c r="BP45" s="39"/>
      <c r="BQ45" s="72" t="str">
        <f t="shared" si="37"/>
        <v/>
      </c>
      <c r="BR45" s="72" t="str">
        <f t="shared" si="33"/>
        <v/>
      </c>
    </row>
    <row r="46" spans="3:70" x14ac:dyDescent="0.15">
      <c r="C46" s="89" t="s">
        <v>509</v>
      </c>
      <c r="D46" s="101"/>
      <c r="E46" s="101"/>
      <c r="F46" s="89"/>
      <c r="G46" s="101"/>
      <c r="I46" s="459">
        <f t="shared" si="34"/>
        <v>2061</v>
      </c>
      <c r="K46" s="71">
        <f t="shared" si="35"/>
        <v>32</v>
      </c>
      <c r="M46" s="7">
        <f t="shared" si="0"/>
        <v>0.38833703413696569</v>
      </c>
      <c r="O46" s="10" t="str">
        <f t="shared" si="36"/>
        <v/>
      </c>
      <c r="P46" s="29" t="str">
        <f t="shared" si="1"/>
        <v/>
      </c>
      <c r="R46" s="10" t="str">
        <f t="shared" si="17"/>
        <v/>
      </c>
      <c r="T46" s="10" t="str">
        <f t="shared" si="18"/>
        <v/>
      </c>
      <c r="V46" s="10" t="str">
        <f t="shared" si="2"/>
        <v/>
      </c>
      <c r="W46" s="10" t="str">
        <f t="shared" si="19"/>
        <v/>
      </c>
      <c r="Y46" s="10" t="str">
        <f t="shared" si="3"/>
        <v/>
      </c>
      <c r="Z46" s="10" t="str">
        <f t="shared" si="20"/>
        <v/>
      </c>
      <c r="AB46" s="10" t="str">
        <f t="shared" si="4"/>
        <v/>
      </c>
      <c r="AC46" s="10" t="str">
        <f t="shared" si="21"/>
        <v/>
      </c>
      <c r="AE46" s="10" t="str">
        <f t="shared" si="5"/>
        <v/>
      </c>
      <c r="AF46" s="10" t="str">
        <f t="shared" si="22"/>
        <v/>
      </c>
      <c r="AH46" s="10" t="str">
        <f t="shared" si="6"/>
        <v/>
      </c>
      <c r="AI46" s="10" t="str">
        <f t="shared" si="23"/>
        <v/>
      </c>
      <c r="AK46" s="10" t="str">
        <f t="shared" si="7"/>
        <v/>
      </c>
      <c r="AL46" s="10" t="str">
        <f t="shared" si="24"/>
        <v/>
      </c>
      <c r="AN46" s="10" t="str">
        <f t="shared" si="8"/>
        <v/>
      </c>
      <c r="AO46" s="10" t="str">
        <f t="shared" si="25"/>
        <v/>
      </c>
      <c r="AQ46" s="10" t="str">
        <f t="shared" si="9"/>
        <v/>
      </c>
      <c r="AR46" s="10" t="str">
        <f t="shared" si="26"/>
        <v/>
      </c>
      <c r="AT46" s="7" t="str">
        <f>IF($K46&lt;=$F$15,IF($F$41&lt;&gt;"",$F$41/1000,IF(ISERROR(VLOOKUP($F$3&amp;IF($G$4&lt;&gt;"",$G$4,"")&amp;IF($F$44&lt;&gt;"","_"&amp;$F$44,""),'表3）燃料価格'!$AF$9:$AG$25,2,0)),0,VLOOKUP($I46,'表3）燃料価格'!$A$6:$U$66,VLOOKUP($F$3&amp;IF($G$4&lt;&gt;"",$G$4,"")&amp;IF($F$44&lt;&gt;"","_"&amp;$F$44,""),'表3）燃料価格'!$AF$9:$AG$25,2,0)+VLOOKUP($F$42,'表3）燃料価格'!$AF$28:$AG$29,2,0),0)*IF($F$44="需要地価格",1,$F$8/$F$142))),"")</f>
        <v/>
      </c>
      <c r="AV46" s="10" t="str">
        <f t="shared" si="10"/>
        <v/>
      </c>
      <c r="AW46" s="10" t="str">
        <f t="shared" si="27"/>
        <v/>
      </c>
      <c r="AY46" s="7" t="str">
        <f>IF(ISERROR(IF($K46&lt;=$F$15,VLOOKUP($I46,'表4）CO2価格'!$A$7:$E$67,VLOOKUP($F$49,'表4）CO2価格'!$H$10:$I$12,2,0),0)*$F$8/1000,"")),0,IF($K46&lt;=$F$15,VLOOKUP($I46,'表4）CO2価格'!$A$7:$E$67,VLOOKUP($F$49,'表4）CO2価格'!$H$10:$I$12,2,0),0)*$F$8/1000,""))</f>
        <v/>
      </c>
      <c r="BA46" s="11" t="str">
        <f t="shared" si="11"/>
        <v/>
      </c>
      <c r="BB46" s="10" t="str">
        <f t="shared" si="28"/>
        <v/>
      </c>
      <c r="BD46" s="10" t="str">
        <f t="shared" si="12"/>
        <v/>
      </c>
      <c r="BE46" s="10" t="str">
        <f t="shared" si="29"/>
        <v/>
      </c>
      <c r="BG46" s="11" t="str">
        <f t="shared" si="13"/>
        <v/>
      </c>
      <c r="BH46" s="10" t="str">
        <f t="shared" si="30"/>
        <v/>
      </c>
      <c r="BJ46" s="7" t="str">
        <f t="shared" si="14"/>
        <v/>
      </c>
      <c r="BK46" s="158" t="str">
        <f t="shared" si="15"/>
        <v/>
      </c>
      <c r="BL46" s="158" t="str">
        <f t="shared" si="16"/>
        <v/>
      </c>
      <c r="BM46" s="10"/>
      <c r="BN46" s="10" t="str">
        <f t="shared" si="31"/>
        <v/>
      </c>
      <c r="BO46" s="10" t="str">
        <f t="shared" si="32"/>
        <v/>
      </c>
      <c r="BQ46" s="188" t="str">
        <f t="shared" si="37"/>
        <v/>
      </c>
      <c r="BR46" s="10" t="str">
        <f t="shared" si="33"/>
        <v/>
      </c>
    </row>
    <row r="47" spans="3:70" x14ac:dyDescent="0.15">
      <c r="I47" s="458">
        <f t="shared" si="34"/>
        <v>2062</v>
      </c>
      <c r="J47" s="470"/>
      <c r="K47" s="39">
        <f t="shared" si="35"/>
        <v>33</v>
      </c>
      <c r="L47" s="39"/>
      <c r="M47" s="40">
        <f t="shared" si="0"/>
        <v>0.37702624673491814</v>
      </c>
      <c r="N47" s="39"/>
      <c r="O47" s="72" t="str">
        <f t="shared" si="36"/>
        <v/>
      </c>
      <c r="P47" s="41" t="str">
        <f t="shared" ref="P47:P78" si="38">IF(K47&lt;=$F$15,IF(OR(P46=$F$125,P46="-"),"-",IF(O47*$F$124&gt;$F$128,$F$124,$F$125)),"")</f>
        <v/>
      </c>
      <c r="Q47" s="39"/>
      <c r="R47" s="72" t="str">
        <f t="shared" si="17"/>
        <v/>
      </c>
      <c r="S47" s="39"/>
      <c r="T47" s="72" t="str">
        <f t="shared" si="18"/>
        <v/>
      </c>
      <c r="U47" s="39"/>
      <c r="V47" s="72" t="str">
        <f t="shared" ref="V47:V78" si="39">IF(K47&lt;=$F$15,IF(K47&lt;$F$120,IF(P47="-",V46,O47*P47),IF(K47=$F$120,MIN(IF(P47="-",V46,O47*P47),O47),0)),"")</f>
        <v/>
      </c>
      <c r="W47" s="72" t="str">
        <f t="shared" si="19"/>
        <v/>
      </c>
      <c r="X47" s="39"/>
      <c r="Y47" s="72" t="str">
        <f t="shared" ref="Y47:Y78" si="40">IF($K47&lt;=$F$15,ROUNDDOWN(T47*$F$26/100,-2),"")</f>
        <v/>
      </c>
      <c r="Z47" s="72" t="str">
        <f t="shared" si="20"/>
        <v/>
      </c>
      <c r="AA47" s="39"/>
      <c r="AB47" s="72" t="str">
        <f t="shared" ref="AB47:AB78" si="41">IF($K47&lt;=$F$15,0,IF(AND($K47&gt;$F$15,$K47&lt;=$F$15+$F$29),$F$28*10^8/$F$29,""))</f>
        <v/>
      </c>
      <c r="AC47" s="72" t="str">
        <f t="shared" si="21"/>
        <v/>
      </c>
      <c r="AD47" s="39"/>
      <c r="AE47" s="72" t="str">
        <f t="shared" ref="AE47:AE78" si="42">IF($K47&lt;=$F$15,$F$27,"")</f>
        <v/>
      </c>
      <c r="AF47" s="72" t="str">
        <f t="shared" si="22"/>
        <v/>
      </c>
      <c r="AG47" s="39"/>
      <c r="AH47" s="72" t="str">
        <f t="shared" ref="AH47:AH78" si="43">IF($K47&lt;=$F$15,$F$34*10^4*$F$13*10^4,"")</f>
        <v/>
      </c>
      <c r="AI47" s="72" t="str">
        <f t="shared" si="23"/>
        <v/>
      </c>
      <c r="AJ47" s="39"/>
      <c r="AK47" s="72" t="str">
        <f t="shared" ref="AK47:AK78" si="44">IF($K47&lt;=$F$15,$F$118*$F$35/100,"")</f>
        <v/>
      </c>
      <c r="AL47" s="72" t="str">
        <f t="shared" si="24"/>
        <v/>
      </c>
      <c r="AM47" s="39"/>
      <c r="AN47" s="72" t="str">
        <f t="shared" ref="AN47:AN78" si="45">IF($K47&lt;=$F$15,$F$118*$F$36/100,"")</f>
        <v/>
      </c>
      <c r="AO47" s="72" t="str">
        <f t="shared" si="25"/>
        <v/>
      </c>
      <c r="AP47" s="39"/>
      <c r="AQ47" s="72" t="str">
        <f t="shared" ref="AQ47:AQ78" si="46">IF($K47&lt;=$F$15,SUM(AH47,AK47,AN47)*($F$37/100),"")</f>
        <v/>
      </c>
      <c r="AR47" s="72" t="str">
        <f t="shared" si="26"/>
        <v/>
      </c>
      <c r="AS47" s="39"/>
      <c r="AT47" s="40" t="str">
        <f>IF($K47&lt;=$F$15,IF($F$41&lt;&gt;"",$F$41/1000,IF(ISERROR(VLOOKUP($F$3&amp;IF($G$4&lt;&gt;"",$G$4,"")&amp;IF($F$44&lt;&gt;"","_"&amp;$F$44,""),'表3）燃料価格'!$AF$9:$AG$25,2,0)),0,VLOOKUP($I47,'表3）燃料価格'!$A$6:$U$66,VLOOKUP($F$3&amp;IF($G$4&lt;&gt;"",$G$4,"")&amp;IF($F$44&lt;&gt;"","_"&amp;$F$44,""),'表3）燃料価格'!$AF$9:$AG$25,2,0)+VLOOKUP($F$42,'表3）燃料価格'!$AF$28:$AG$29,2,0),0)*IF($F$44="需要地価格",1,$F$8/$F$142))),"")</f>
        <v/>
      </c>
      <c r="AU47" s="39"/>
      <c r="AV47" s="72" t="str">
        <f t="shared" ref="AV47:AV78" si="47">IF($K47&lt;=$F$15,($AT47+$F$143)*$F$138,"")</f>
        <v/>
      </c>
      <c r="AW47" s="72" t="str">
        <f t="shared" si="27"/>
        <v/>
      </c>
      <c r="AX47" s="39"/>
      <c r="AY47" s="40" t="str">
        <f>IF(ISERROR(IF($K47&lt;=$F$15,VLOOKUP($I47,'表4）CO2価格'!$A$7:$E$67,VLOOKUP($F$49,'表4）CO2価格'!$H$10:$I$12,2,0),0)*$F$8/1000,"")),0,IF($K47&lt;=$F$15,VLOOKUP($I47,'表4）CO2価格'!$A$7:$E$67,VLOOKUP($F$49,'表4）CO2価格'!$H$10:$I$12,2,0),0)*$F$8/1000,""))</f>
        <v/>
      </c>
      <c r="AZ47" s="39"/>
      <c r="BA47" s="42" t="str">
        <f t="shared" ref="BA47:BA78" si="48">IF($K47&lt;=$F$15,$F$146*AY47,"")</f>
        <v/>
      </c>
      <c r="BB47" s="72" t="str">
        <f t="shared" si="28"/>
        <v/>
      </c>
      <c r="BC47" s="39"/>
      <c r="BD47" s="72" t="str">
        <f t="shared" ref="BD47:BD78" si="49">IF($K47&lt;=$F$15,($AT47+$F$153)*$F$152,"")</f>
        <v/>
      </c>
      <c r="BE47" s="72" t="str">
        <f t="shared" si="29"/>
        <v/>
      </c>
      <c r="BF47" s="39"/>
      <c r="BG47" s="42" t="str">
        <f t="shared" ref="BG47:BG78" si="50">IF($K47&lt;=$F$15,$F$154*AY47,"")</f>
        <v/>
      </c>
      <c r="BH47" s="72" t="str">
        <f t="shared" si="30"/>
        <v/>
      </c>
      <c r="BI47" s="39"/>
      <c r="BJ47" s="40" t="str">
        <f t="shared" ref="BJ47:BJ78" si="51">IF(ISNUMBER($F$16),IF($K47&lt;=$F$16+$F$29,1/(1+($F$17/100))^K47,""),"")</f>
        <v/>
      </c>
      <c r="BK47" s="157" t="str">
        <f t="shared" ref="BK47:BK78" si="52">IF(ISNUMBER($F$16),IF($K47&lt;=$F$16+$F$29,IF($K47&lt;=$F$16,SUM(Y47,AB47,AE47,AH47,AK47,AN47,AQ47,AV47,BA47,BD47,BG47),$F$28/$F$29*10^8)*BJ47,""),"")</f>
        <v/>
      </c>
      <c r="BL47" s="157" t="str">
        <f t="shared" si="16"/>
        <v/>
      </c>
      <c r="BM47" s="72"/>
      <c r="BN47" s="72" t="str">
        <f t="shared" si="31"/>
        <v/>
      </c>
      <c r="BO47" s="72" t="str">
        <f t="shared" si="32"/>
        <v/>
      </c>
      <c r="BP47" s="39"/>
      <c r="BQ47" s="72" t="str">
        <f t="shared" si="37"/>
        <v/>
      </c>
      <c r="BR47" s="72" t="str">
        <f t="shared" si="33"/>
        <v/>
      </c>
    </row>
    <row r="48" spans="3:70" x14ac:dyDescent="0.15">
      <c r="D48" s="81" t="s">
        <v>182</v>
      </c>
      <c r="F48" s="66"/>
      <c r="G48" s="81" t="s">
        <v>226</v>
      </c>
      <c r="I48" s="459">
        <f t="shared" si="34"/>
        <v>2063</v>
      </c>
      <c r="K48" s="71">
        <f t="shared" si="35"/>
        <v>34</v>
      </c>
      <c r="M48" s="7">
        <f t="shared" si="0"/>
        <v>0.36604489974263904</v>
      </c>
      <c r="O48" s="10" t="str">
        <f t="shared" si="36"/>
        <v/>
      </c>
      <c r="P48" s="29" t="str">
        <f t="shared" si="38"/>
        <v/>
      </c>
      <c r="R48" s="10" t="str">
        <f t="shared" ref="R48:R79" si="53">IF($K48&lt;=$F$15,MAX($F$118*5%,R47*$F$130),"")</f>
        <v/>
      </c>
      <c r="T48" s="10" t="str">
        <f t="shared" si="18"/>
        <v/>
      </c>
      <c r="V48" s="10" t="str">
        <f t="shared" si="39"/>
        <v/>
      </c>
      <c r="W48" s="10" t="str">
        <f t="shared" si="19"/>
        <v/>
      </c>
      <c r="Y48" s="10" t="str">
        <f t="shared" si="40"/>
        <v/>
      </c>
      <c r="Z48" s="10" t="str">
        <f t="shared" si="20"/>
        <v/>
      </c>
      <c r="AB48" s="10" t="str">
        <f t="shared" si="41"/>
        <v/>
      </c>
      <c r="AC48" s="10" t="str">
        <f t="shared" si="21"/>
        <v/>
      </c>
      <c r="AE48" s="10" t="str">
        <f t="shared" si="42"/>
        <v/>
      </c>
      <c r="AF48" s="10" t="str">
        <f t="shared" si="22"/>
        <v/>
      </c>
      <c r="AH48" s="10" t="str">
        <f t="shared" si="43"/>
        <v/>
      </c>
      <c r="AI48" s="10" t="str">
        <f t="shared" si="23"/>
        <v/>
      </c>
      <c r="AK48" s="10" t="str">
        <f t="shared" si="44"/>
        <v/>
      </c>
      <c r="AL48" s="10" t="str">
        <f t="shared" si="24"/>
        <v/>
      </c>
      <c r="AN48" s="10" t="str">
        <f t="shared" si="45"/>
        <v/>
      </c>
      <c r="AO48" s="10" t="str">
        <f t="shared" si="25"/>
        <v/>
      </c>
      <c r="AQ48" s="10" t="str">
        <f t="shared" si="46"/>
        <v/>
      </c>
      <c r="AR48" s="10" t="str">
        <f t="shared" si="26"/>
        <v/>
      </c>
      <c r="AT48" s="7" t="str">
        <f>IF($K48&lt;=$F$15,IF($F$41&lt;&gt;"",$F$41/1000,IF(ISERROR(VLOOKUP($F$3&amp;IF($G$4&lt;&gt;"",$G$4,"")&amp;IF($F$44&lt;&gt;"","_"&amp;$F$44,""),'表3）燃料価格'!$AF$9:$AG$25,2,0)),0,VLOOKUP($I48,'表3）燃料価格'!$A$6:$U$66,VLOOKUP($F$3&amp;IF($G$4&lt;&gt;"",$G$4,"")&amp;IF($F$44&lt;&gt;"","_"&amp;$F$44,""),'表3）燃料価格'!$AF$9:$AG$25,2,0)+VLOOKUP($F$42,'表3）燃料価格'!$AF$28:$AG$29,2,0),0)*IF($F$44="需要地価格",1,$F$8/$F$142))),"")</f>
        <v/>
      </c>
      <c r="AV48" s="10" t="str">
        <f t="shared" si="47"/>
        <v/>
      </c>
      <c r="AW48" s="10" t="str">
        <f t="shared" si="27"/>
        <v/>
      </c>
      <c r="AY48" s="7" t="str">
        <f>IF(ISERROR(IF($K48&lt;=$F$15,VLOOKUP($I48,'表4）CO2価格'!$A$7:$E$67,VLOOKUP($F$49,'表4）CO2価格'!$H$10:$I$12,2,0),0)*$F$8/1000,"")),0,IF($K48&lt;=$F$15,VLOOKUP($I48,'表4）CO2価格'!$A$7:$E$67,VLOOKUP($F$49,'表4）CO2価格'!$H$10:$I$12,2,0),0)*$F$8/1000,""))</f>
        <v/>
      </c>
      <c r="BA48" s="11" t="str">
        <f t="shared" si="48"/>
        <v/>
      </c>
      <c r="BB48" s="10" t="str">
        <f t="shared" si="28"/>
        <v/>
      </c>
      <c r="BD48" s="10" t="str">
        <f t="shared" si="49"/>
        <v/>
      </c>
      <c r="BE48" s="10" t="str">
        <f t="shared" si="29"/>
        <v/>
      </c>
      <c r="BG48" s="11" t="str">
        <f t="shared" si="50"/>
        <v/>
      </c>
      <c r="BH48" s="10" t="str">
        <f t="shared" si="30"/>
        <v/>
      </c>
      <c r="BJ48" s="7" t="str">
        <f t="shared" si="51"/>
        <v/>
      </c>
      <c r="BK48" s="158" t="str">
        <f t="shared" si="52"/>
        <v/>
      </c>
      <c r="BL48" s="158" t="str">
        <f t="shared" si="16"/>
        <v/>
      </c>
      <c r="BM48" s="10"/>
      <c r="BN48" s="10" t="str">
        <f t="shared" si="31"/>
        <v/>
      </c>
      <c r="BO48" s="10" t="str">
        <f t="shared" si="32"/>
        <v/>
      </c>
      <c r="BQ48" s="188" t="str">
        <f t="shared" si="37"/>
        <v/>
      </c>
      <c r="BR48" s="10" t="str">
        <f t="shared" si="33"/>
        <v/>
      </c>
    </row>
    <row r="49" spans="3:70" x14ac:dyDescent="0.15">
      <c r="D49" s="81" t="s">
        <v>184</v>
      </c>
      <c r="F49" s="88"/>
      <c r="I49" s="458">
        <f t="shared" si="34"/>
        <v>2064</v>
      </c>
      <c r="J49" s="470"/>
      <c r="K49" s="39">
        <f t="shared" si="35"/>
        <v>35</v>
      </c>
      <c r="L49" s="39"/>
      <c r="M49" s="40">
        <f t="shared" si="0"/>
        <v>0.35538339780838735</v>
      </c>
      <c r="N49" s="39"/>
      <c r="O49" s="72" t="str">
        <f t="shared" si="36"/>
        <v/>
      </c>
      <c r="P49" s="41" t="str">
        <f t="shared" si="38"/>
        <v/>
      </c>
      <c r="Q49" s="39"/>
      <c r="R49" s="72" t="str">
        <f t="shared" si="53"/>
        <v/>
      </c>
      <c r="S49" s="39"/>
      <c r="T49" s="72" t="str">
        <f t="shared" si="18"/>
        <v/>
      </c>
      <c r="U49" s="39"/>
      <c r="V49" s="72" t="str">
        <f t="shared" si="39"/>
        <v/>
      </c>
      <c r="W49" s="72" t="str">
        <f t="shared" si="19"/>
        <v/>
      </c>
      <c r="X49" s="39"/>
      <c r="Y49" s="72" t="str">
        <f t="shared" si="40"/>
        <v/>
      </c>
      <c r="Z49" s="72" t="str">
        <f t="shared" si="20"/>
        <v/>
      </c>
      <c r="AA49" s="39"/>
      <c r="AB49" s="72" t="str">
        <f t="shared" si="41"/>
        <v/>
      </c>
      <c r="AC49" s="72" t="str">
        <f t="shared" si="21"/>
        <v/>
      </c>
      <c r="AD49" s="39"/>
      <c r="AE49" s="72" t="str">
        <f t="shared" si="42"/>
        <v/>
      </c>
      <c r="AF49" s="72" t="str">
        <f t="shared" si="22"/>
        <v/>
      </c>
      <c r="AG49" s="39"/>
      <c r="AH49" s="72" t="str">
        <f t="shared" si="43"/>
        <v/>
      </c>
      <c r="AI49" s="72" t="str">
        <f t="shared" si="23"/>
        <v/>
      </c>
      <c r="AJ49" s="39"/>
      <c r="AK49" s="72" t="str">
        <f t="shared" si="44"/>
        <v/>
      </c>
      <c r="AL49" s="72" t="str">
        <f t="shared" si="24"/>
        <v/>
      </c>
      <c r="AM49" s="39"/>
      <c r="AN49" s="72" t="str">
        <f t="shared" si="45"/>
        <v/>
      </c>
      <c r="AO49" s="72" t="str">
        <f t="shared" si="25"/>
        <v/>
      </c>
      <c r="AP49" s="39"/>
      <c r="AQ49" s="72" t="str">
        <f t="shared" si="46"/>
        <v/>
      </c>
      <c r="AR49" s="72" t="str">
        <f t="shared" si="26"/>
        <v/>
      </c>
      <c r="AS49" s="39"/>
      <c r="AT49" s="40" t="str">
        <f>IF($K49&lt;=$F$15,IF($F$41&lt;&gt;"",$F$41/1000,IF(ISERROR(VLOOKUP($F$3&amp;IF($G$4&lt;&gt;"",$G$4,"")&amp;IF($F$44&lt;&gt;"","_"&amp;$F$44,""),'表3）燃料価格'!$AF$9:$AG$25,2,0)),0,VLOOKUP($I49,'表3）燃料価格'!$A$6:$U$66,VLOOKUP($F$3&amp;IF($G$4&lt;&gt;"",$G$4,"")&amp;IF($F$44&lt;&gt;"","_"&amp;$F$44,""),'表3）燃料価格'!$AF$9:$AG$25,2,0)+VLOOKUP($F$42,'表3）燃料価格'!$AF$28:$AG$29,2,0),0)*IF($F$44="需要地価格",1,$F$8/$F$142))),"")</f>
        <v/>
      </c>
      <c r="AU49" s="39"/>
      <c r="AV49" s="72" t="str">
        <f t="shared" si="47"/>
        <v/>
      </c>
      <c r="AW49" s="72" t="str">
        <f t="shared" si="27"/>
        <v/>
      </c>
      <c r="AX49" s="39"/>
      <c r="AY49" s="40" t="str">
        <f>IF(ISERROR(IF($K49&lt;=$F$15,VLOOKUP($I49,'表4）CO2価格'!$A$7:$E$67,VLOOKUP($F$49,'表4）CO2価格'!$H$10:$I$12,2,0),0)*$F$8/1000,"")),0,IF($K49&lt;=$F$15,VLOOKUP($I49,'表4）CO2価格'!$A$7:$E$67,VLOOKUP($F$49,'表4）CO2価格'!$H$10:$I$12,2,0),0)*$F$8/1000,""))</f>
        <v/>
      </c>
      <c r="AZ49" s="39"/>
      <c r="BA49" s="42" t="str">
        <f t="shared" si="48"/>
        <v/>
      </c>
      <c r="BB49" s="72" t="str">
        <f t="shared" si="28"/>
        <v/>
      </c>
      <c r="BC49" s="39"/>
      <c r="BD49" s="72" t="str">
        <f t="shared" si="49"/>
        <v/>
      </c>
      <c r="BE49" s="72" t="str">
        <f t="shared" si="29"/>
        <v/>
      </c>
      <c r="BF49" s="39"/>
      <c r="BG49" s="42" t="str">
        <f t="shared" si="50"/>
        <v/>
      </c>
      <c r="BH49" s="72" t="str">
        <f t="shared" si="30"/>
        <v/>
      </c>
      <c r="BI49" s="39"/>
      <c r="BJ49" s="40" t="str">
        <f t="shared" si="51"/>
        <v/>
      </c>
      <c r="BK49" s="157" t="str">
        <f t="shared" si="52"/>
        <v/>
      </c>
      <c r="BL49" s="157" t="str">
        <f t="shared" si="16"/>
        <v/>
      </c>
      <c r="BM49" s="72"/>
      <c r="BN49" s="72" t="str">
        <f t="shared" si="31"/>
        <v/>
      </c>
      <c r="BO49" s="72" t="str">
        <f t="shared" si="32"/>
        <v/>
      </c>
      <c r="BP49" s="39"/>
      <c r="BQ49" s="72" t="str">
        <f t="shared" si="37"/>
        <v/>
      </c>
      <c r="BR49" s="72" t="str">
        <f t="shared" si="33"/>
        <v/>
      </c>
    </row>
    <row r="50" spans="3:70" x14ac:dyDescent="0.15">
      <c r="I50" s="459">
        <f t="shared" si="34"/>
        <v>2065</v>
      </c>
      <c r="K50" s="71">
        <f t="shared" si="35"/>
        <v>36</v>
      </c>
      <c r="M50" s="7">
        <f t="shared" si="0"/>
        <v>0.34503242505668674</v>
      </c>
      <c r="O50" s="10" t="str">
        <f t="shared" si="36"/>
        <v/>
      </c>
      <c r="P50" s="29" t="str">
        <f t="shared" si="38"/>
        <v/>
      </c>
      <c r="R50" s="10" t="str">
        <f t="shared" si="53"/>
        <v/>
      </c>
      <c r="T50" s="10" t="str">
        <f t="shared" si="18"/>
        <v/>
      </c>
      <c r="V50" s="10" t="str">
        <f t="shared" si="39"/>
        <v/>
      </c>
      <c r="W50" s="10" t="str">
        <f t="shared" si="19"/>
        <v/>
      </c>
      <c r="Y50" s="10" t="str">
        <f t="shared" si="40"/>
        <v/>
      </c>
      <c r="Z50" s="10" t="str">
        <f t="shared" si="20"/>
        <v/>
      </c>
      <c r="AB50" s="10" t="str">
        <f t="shared" si="41"/>
        <v/>
      </c>
      <c r="AC50" s="10" t="str">
        <f t="shared" si="21"/>
        <v/>
      </c>
      <c r="AE50" s="10" t="str">
        <f t="shared" si="42"/>
        <v/>
      </c>
      <c r="AF50" s="10" t="str">
        <f t="shared" si="22"/>
        <v/>
      </c>
      <c r="AH50" s="10" t="str">
        <f t="shared" si="43"/>
        <v/>
      </c>
      <c r="AI50" s="10" t="str">
        <f t="shared" si="23"/>
        <v/>
      </c>
      <c r="AK50" s="10" t="str">
        <f t="shared" si="44"/>
        <v/>
      </c>
      <c r="AL50" s="10" t="str">
        <f t="shared" si="24"/>
        <v/>
      </c>
      <c r="AN50" s="10" t="str">
        <f t="shared" si="45"/>
        <v/>
      </c>
      <c r="AO50" s="10" t="str">
        <f t="shared" si="25"/>
        <v/>
      </c>
      <c r="AQ50" s="10" t="str">
        <f t="shared" si="46"/>
        <v/>
      </c>
      <c r="AR50" s="10" t="str">
        <f t="shared" si="26"/>
        <v/>
      </c>
      <c r="AT50" s="7" t="str">
        <f>IF($K50&lt;=$F$15,IF($F$41&lt;&gt;"",$F$41/1000,IF(ISERROR(VLOOKUP($F$3&amp;IF($G$4&lt;&gt;"",$G$4,"")&amp;IF($F$44&lt;&gt;"","_"&amp;$F$44,""),'表3）燃料価格'!$AF$9:$AG$25,2,0)),0,VLOOKUP($I50,'表3）燃料価格'!$A$6:$U$66,VLOOKUP($F$3&amp;IF($G$4&lt;&gt;"",$G$4,"")&amp;IF($F$44&lt;&gt;"","_"&amp;$F$44,""),'表3）燃料価格'!$AF$9:$AG$25,2,0)+VLOOKUP($F$42,'表3）燃料価格'!$AF$28:$AG$29,2,0),0)*IF($F$44="需要地価格",1,$F$8/$F$142))),"")</f>
        <v/>
      </c>
      <c r="AV50" s="10" t="str">
        <f t="shared" si="47"/>
        <v/>
      </c>
      <c r="AW50" s="10" t="str">
        <f t="shared" si="27"/>
        <v/>
      </c>
      <c r="AY50" s="7" t="str">
        <f>IF(ISERROR(IF($K50&lt;=$F$15,VLOOKUP($I50,'表4）CO2価格'!$A$7:$E$67,VLOOKUP($F$49,'表4）CO2価格'!$H$10:$I$12,2,0),0)*$F$8/1000,"")),0,IF($K50&lt;=$F$15,VLOOKUP($I50,'表4）CO2価格'!$A$7:$E$67,VLOOKUP($F$49,'表4）CO2価格'!$H$10:$I$12,2,0),0)*$F$8/1000,""))</f>
        <v/>
      </c>
      <c r="BA50" s="11" t="str">
        <f t="shared" si="48"/>
        <v/>
      </c>
      <c r="BB50" s="10" t="str">
        <f t="shared" si="28"/>
        <v/>
      </c>
      <c r="BD50" s="10" t="str">
        <f t="shared" si="49"/>
        <v/>
      </c>
      <c r="BE50" s="10" t="str">
        <f t="shared" si="29"/>
        <v/>
      </c>
      <c r="BG50" s="11" t="str">
        <f t="shared" si="50"/>
        <v/>
      </c>
      <c r="BH50" s="10" t="str">
        <f t="shared" si="30"/>
        <v/>
      </c>
      <c r="BJ50" s="7" t="str">
        <f t="shared" si="51"/>
        <v/>
      </c>
      <c r="BK50" s="158" t="str">
        <f t="shared" si="52"/>
        <v/>
      </c>
      <c r="BL50" s="158" t="str">
        <f t="shared" si="16"/>
        <v/>
      </c>
      <c r="BM50" s="10"/>
      <c r="BN50" s="10" t="str">
        <f t="shared" si="31"/>
        <v/>
      </c>
      <c r="BO50" s="10" t="str">
        <f t="shared" si="32"/>
        <v/>
      </c>
      <c r="BQ50" s="188" t="str">
        <f t="shared" si="37"/>
        <v/>
      </c>
      <c r="BR50" s="10" t="str">
        <f t="shared" si="33"/>
        <v/>
      </c>
    </row>
    <row r="51" spans="3:70" x14ac:dyDescent="0.15">
      <c r="C51" s="89" t="s">
        <v>510</v>
      </c>
      <c r="D51" s="101"/>
      <c r="E51" s="101"/>
      <c r="F51" s="89"/>
      <c r="G51" s="101"/>
      <c r="I51" s="458">
        <f t="shared" si="34"/>
        <v>2066</v>
      </c>
      <c r="J51" s="470"/>
      <c r="K51" s="39">
        <f t="shared" si="35"/>
        <v>37</v>
      </c>
      <c r="L51" s="39"/>
      <c r="M51" s="40">
        <f t="shared" si="0"/>
        <v>0.33498293694823961</v>
      </c>
      <c r="N51" s="39"/>
      <c r="O51" s="72" t="str">
        <f t="shared" si="36"/>
        <v/>
      </c>
      <c r="P51" s="41" t="str">
        <f t="shared" si="38"/>
        <v/>
      </c>
      <c r="Q51" s="39"/>
      <c r="R51" s="72" t="str">
        <f t="shared" si="53"/>
        <v/>
      </c>
      <c r="S51" s="39"/>
      <c r="T51" s="72" t="str">
        <f t="shared" si="18"/>
        <v/>
      </c>
      <c r="U51" s="39"/>
      <c r="V51" s="72" t="str">
        <f t="shared" si="39"/>
        <v/>
      </c>
      <c r="W51" s="72" t="str">
        <f t="shared" si="19"/>
        <v/>
      </c>
      <c r="X51" s="39"/>
      <c r="Y51" s="72" t="str">
        <f t="shared" si="40"/>
        <v/>
      </c>
      <c r="Z51" s="72" t="str">
        <f t="shared" si="20"/>
        <v/>
      </c>
      <c r="AA51" s="39"/>
      <c r="AB51" s="72" t="str">
        <f t="shared" si="41"/>
        <v/>
      </c>
      <c r="AC51" s="72" t="str">
        <f t="shared" si="21"/>
        <v/>
      </c>
      <c r="AD51" s="39"/>
      <c r="AE51" s="72" t="str">
        <f t="shared" si="42"/>
        <v/>
      </c>
      <c r="AF51" s="72" t="str">
        <f t="shared" si="22"/>
        <v/>
      </c>
      <c r="AG51" s="39"/>
      <c r="AH51" s="72" t="str">
        <f t="shared" si="43"/>
        <v/>
      </c>
      <c r="AI51" s="72" t="str">
        <f t="shared" si="23"/>
        <v/>
      </c>
      <c r="AJ51" s="39"/>
      <c r="AK51" s="72" t="str">
        <f t="shared" si="44"/>
        <v/>
      </c>
      <c r="AL51" s="72" t="str">
        <f t="shared" si="24"/>
        <v/>
      </c>
      <c r="AM51" s="39"/>
      <c r="AN51" s="72" t="str">
        <f t="shared" si="45"/>
        <v/>
      </c>
      <c r="AO51" s="72" t="str">
        <f t="shared" si="25"/>
        <v/>
      </c>
      <c r="AP51" s="39"/>
      <c r="AQ51" s="72" t="str">
        <f t="shared" si="46"/>
        <v/>
      </c>
      <c r="AR51" s="72" t="str">
        <f t="shared" si="26"/>
        <v/>
      </c>
      <c r="AS51" s="39"/>
      <c r="AT51" s="40" t="str">
        <f>IF($K51&lt;=$F$15,IF($F$41&lt;&gt;"",$F$41/1000,IF(ISERROR(VLOOKUP($F$3&amp;IF($G$4&lt;&gt;"",$G$4,"")&amp;IF($F$44&lt;&gt;"","_"&amp;$F$44,""),'表3）燃料価格'!$AF$9:$AG$25,2,0)),0,VLOOKUP($I51,'表3）燃料価格'!$A$6:$U$66,VLOOKUP($F$3&amp;IF($G$4&lt;&gt;"",$G$4,"")&amp;IF($F$44&lt;&gt;"","_"&amp;$F$44,""),'表3）燃料価格'!$AF$9:$AG$25,2,0)+VLOOKUP($F$42,'表3）燃料価格'!$AF$28:$AG$29,2,0),0)*IF($F$44="需要地価格",1,$F$8/$F$142))),"")</f>
        <v/>
      </c>
      <c r="AU51" s="39"/>
      <c r="AV51" s="72" t="str">
        <f t="shared" si="47"/>
        <v/>
      </c>
      <c r="AW51" s="72" t="str">
        <f t="shared" si="27"/>
        <v/>
      </c>
      <c r="AX51" s="39"/>
      <c r="AY51" s="40" t="str">
        <f>IF(ISERROR(IF($K51&lt;=$F$15,VLOOKUP($I51,'表4）CO2価格'!$A$7:$E$67,VLOOKUP($F$49,'表4）CO2価格'!$H$10:$I$12,2,0),0)*$F$8/1000,"")),0,IF($K51&lt;=$F$15,VLOOKUP($I51,'表4）CO2価格'!$A$7:$E$67,VLOOKUP($F$49,'表4）CO2価格'!$H$10:$I$12,2,0),0)*$F$8/1000,""))</f>
        <v/>
      </c>
      <c r="AZ51" s="39"/>
      <c r="BA51" s="42" t="str">
        <f t="shared" si="48"/>
        <v/>
      </c>
      <c r="BB51" s="72" t="str">
        <f t="shared" si="28"/>
        <v/>
      </c>
      <c r="BC51" s="39"/>
      <c r="BD51" s="72" t="str">
        <f t="shared" si="49"/>
        <v/>
      </c>
      <c r="BE51" s="72" t="str">
        <f t="shared" si="29"/>
        <v/>
      </c>
      <c r="BF51" s="39"/>
      <c r="BG51" s="42" t="str">
        <f t="shared" si="50"/>
        <v/>
      </c>
      <c r="BH51" s="72" t="str">
        <f t="shared" si="30"/>
        <v/>
      </c>
      <c r="BI51" s="39"/>
      <c r="BJ51" s="40" t="str">
        <f t="shared" si="51"/>
        <v/>
      </c>
      <c r="BK51" s="157" t="str">
        <f t="shared" si="52"/>
        <v/>
      </c>
      <c r="BL51" s="157" t="str">
        <f t="shared" si="16"/>
        <v/>
      </c>
      <c r="BM51" s="72"/>
      <c r="BN51" s="72" t="str">
        <f t="shared" si="31"/>
        <v/>
      </c>
      <c r="BO51" s="72" t="str">
        <f t="shared" si="32"/>
        <v/>
      </c>
      <c r="BP51" s="39"/>
      <c r="BQ51" s="72" t="str">
        <f t="shared" si="37"/>
        <v/>
      </c>
      <c r="BR51" s="72" t="str">
        <f t="shared" si="33"/>
        <v/>
      </c>
    </row>
    <row r="52" spans="3:70" x14ac:dyDescent="0.15">
      <c r="I52" s="459">
        <f t="shared" si="34"/>
        <v>2067</v>
      </c>
      <c r="K52" s="71">
        <f t="shared" si="35"/>
        <v>38</v>
      </c>
      <c r="M52" s="7">
        <f t="shared" si="0"/>
        <v>0.3252261523769317</v>
      </c>
      <c r="O52" s="10" t="str">
        <f t="shared" si="36"/>
        <v/>
      </c>
      <c r="P52" s="29" t="str">
        <f t="shared" si="38"/>
        <v/>
      </c>
      <c r="R52" s="10" t="str">
        <f t="shared" si="53"/>
        <v/>
      </c>
      <c r="T52" s="10" t="str">
        <f t="shared" si="18"/>
        <v/>
      </c>
      <c r="V52" s="10" t="str">
        <f t="shared" si="39"/>
        <v/>
      </c>
      <c r="W52" s="10" t="str">
        <f t="shared" si="19"/>
        <v/>
      </c>
      <c r="Y52" s="10" t="str">
        <f t="shared" si="40"/>
        <v/>
      </c>
      <c r="Z52" s="10" t="str">
        <f t="shared" si="20"/>
        <v/>
      </c>
      <c r="AB52" s="10" t="str">
        <f t="shared" si="41"/>
        <v/>
      </c>
      <c r="AC52" s="10" t="str">
        <f t="shared" si="21"/>
        <v/>
      </c>
      <c r="AE52" s="10" t="str">
        <f t="shared" si="42"/>
        <v/>
      </c>
      <c r="AF52" s="10" t="str">
        <f t="shared" si="22"/>
        <v/>
      </c>
      <c r="AH52" s="10" t="str">
        <f t="shared" si="43"/>
        <v/>
      </c>
      <c r="AI52" s="10" t="str">
        <f t="shared" si="23"/>
        <v/>
      </c>
      <c r="AK52" s="10" t="str">
        <f t="shared" si="44"/>
        <v/>
      </c>
      <c r="AL52" s="10" t="str">
        <f t="shared" si="24"/>
        <v/>
      </c>
      <c r="AN52" s="10" t="str">
        <f t="shared" si="45"/>
        <v/>
      </c>
      <c r="AO52" s="10" t="str">
        <f t="shared" si="25"/>
        <v/>
      </c>
      <c r="AQ52" s="10" t="str">
        <f t="shared" si="46"/>
        <v/>
      </c>
      <c r="AR52" s="10" t="str">
        <f t="shared" si="26"/>
        <v/>
      </c>
      <c r="AT52" s="7" t="str">
        <f>IF($K52&lt;=$F$15,IF($F$41&lt;&gt;"",$F$41/1000,IF(ISERROR(VLOOKUP($F$3&amp;IF($G$4&lt;&gt;"",$G$4,"")&amp;IF($F$44&lt;&gt;"","_"&amp;$F$44,""),'表3）燃料価格'!$AF$9:$AG$25,2,0)),0,VLOOKUP($I52,'表3）燃料価格'!$A$6:$U$66,VLOOKUP($F$3&amp;IF($G$4&lt;&gt;"",$G$4,"")&amp;IF($F$44&lt;&gt;"","_"&amp;$F$44,""),'表3）燃料価格'!$AF$9:$AG$25,2,0)+VLOOKUP($F$42,'表3）燃料価格'!$AF$28:$AG$29,2,0),0)*IF($F$44="需要地価格",1,$F$8/$F$142))),"")</f>
        <v/>
      </c>
      <c r="AV52" s="10" t="str">
        <f t="shared" si="47"/>
        <v/>
      </c>
      <c r="AW52" s="10" t="str">
        <f t="shared" si="27"/>
        <v/>
      </c>
      <c r="AY52" s="7" t="str">
        <f>IF(ISERROR(IF($K52&lt;=$F$15,VLOOKUP($I52,'表4）CO2価格'!$A$7:$E$67,VLOOKUP($F$49,'表4）CO2価格'!$H$10:$I$12,2,0),0)*$F$8/1000,"")),0,IF($K52&lt;=$F$15,VLOOKUP($I52,'表4）CO2価格'!$A$7:$E$67,VLOOKUP($F$49,'表4）CO2価格'!$H$10:$I$12,2,0),0)*$F$8/1000,""))</f>
        <v/>
      </c>
      <c r="BA52" s="11" t="str">
        <f t="shared" si="48"/>
        <v/>
      </c>
      <c r="BB52" s="10" t="str">
        <f t="shared" si="28"/>
        <v/>
      </c>
      <c r="BD52" s="10" t="str">
        <f t="shared" si="49"/>
        <v/>
      </c>
      <c r="BE52" s="10" t="str">
        <f t="shared" si="29"/>
        <v/>
      </c>
      <c r="BG52" s="11" t="str">
        <f t="shared" si="50"/>
        <v/>
      </c>
      <c r="BH52" s="10" t="str">
        <f t="shared" si="30"/>
        <v/>
      </c>
      <c r="BJ52" s="7" t="str">
        <f t="shared" si="51"/>
        <v/>
      </c>
      <c r="BK52" s="158" t="str">
        <f t="shared" si="52"/>
        <v/>
      </c>
      <c r="BL52" s="158" t="str">
        <f t="shared" si="16"/>
        <v/>
      </c>
      <c r="BM52" s="10"/>
      <c r="BN52" s="10" t="str">
        <f t="shared" si="31"/>
        <v/>
      </c>
      <c r="BO52" s="10" t="str">
        <f t="shared" si="32"/>
        <v/>
      </c>
      <c r="BQ52" s="188" t="str">
        <f t="shared" si="37"/>
        <v/>
      </c>
      <c r="BR52" s="10" t="str">
        <f t="shared" si="33"/>
        <v/>
      </c>
    </row>
    <row r="53" spans="3:70" x14ac:dyDescent="0.15">
      <c r="D53" s="81" t="s">
        <v>185</v>
      </c>
      <c r="F53" s="90"/>
      <c r="G53" s="81" t="s">
        <v>172</v>
      </c>
      <c r="I53" s="458">
        <f t="shared" si="34"/>
        <v>2068</v>
      </c>
      <c r="J53" s="470"/>
      <c r="K53" s="39">
        <f t="shared" si="35"/>
        <v>39</v>
      </c>
      <c r="L53" s="39"/>
      <c r="M53" s="40">
        <f t="shared" si="0"/>
        <v>0.31575354599702099</v>
      </c>
      <c r="N53" s="39"/>
      <c r="O53" s="72" t="str">
        <f t="shared" si="36"/>
        <v/>
      </c>
      <c r="P53" s="41" t="str">
        <f t="shared" si="38"/>
        <v/>
      </c>
      <c r="Q53" s="39"/>
      <c r="R53" s="72" t="str">
        <f t="shared" si="53"/>
        <v/>
      </c>
      <c r="S53" s="39"/>
      <c r="T53" s="72" t="str">
        <f t="shared" si="18"/>
        <v/>
      </c>
      <c r="U53" s="39"/>
      <c r="V53" s="72" t="str">
        <f t="shared" si="39"/>
        <v/>
      </c>
      <c r="W53" s="72" t="str">
        <f t="shared" si="19"/>
        <v/>
      </c>
      <c r="X53" s="39"/>
      <c r="Y53" s="72" t="str">
        <f t="shared" si="40"/>
        <v/>
      </c>
      <c r="Z53" s="72" t="str">
        <f t="shared" si="20"/>
        <v/>
      </c>
      <c r="AA53" s="39"/>
      <c r="AB53" s="72" t="str">
        <f t="shared" si="41"/>
        <v/>
      </c>
      <c r="AC53" s="72" t="str">
        <f t="shared" si="21"/>
        <v/>
      </c>
      <c r="AD53" s="39"/>
      <c r="AE53" s="72" t="str">
        <f t="shared" si="42"/>
        <v/>
      </c>
      <c r="AF53" s="72" t="str">
        <f t="shared" si="22"/>
        <v/>
      </c>
      <c r="AG53" s="39"/>
      <c r="AH53" s="72" t="str">
        <f t="shared" si="43"/>
        <v/>
      </c>
      <c r="AI53" s="72" t="str">
        <f t="shared" si="23"/>
        <v/>
      </c>
      <c r="AJ53" s="39"/>
      <c r="AK53" s="72" t="str">
        <f t="shared" si="44"/>
        <v/>
      </c>
      <c r="AL53" s="72" t="str">
        <f t="shared" si="24"/>
        <v/>
      </c>
      <c r="AM53" s="39"/>
      <c r="AN53" s="72" t="str">
        <f t="shared" si="45"/>
        <v/>
      </c>
      <c r="AO53" s="72" t="str">
        <f t="shared" si="25"/>
        <v/>
      </c>
      <c r="AP53" s="39"/>
      <c r="AQ53" s="72" t="str">
        <f t="shared" si="46"/>
        <v/>
      </c>
      <c r="AR53" s="72" t="str">
        <f t="shared" si="26"/>
        <v/>
      </c>
      <c r="AS53" s="39"/>
      <c r="AT53" s="40" t="str">
        <f>IF($K53&lt;=$F$15,IF($F$41&lt;&gt;"",$F$41/1000,IF(ISERROR(VLOOKUP($F$3&amp;IF($G$4&lt;&gt;"",$G$4,"")&amp;IF($F$44&lt;&gt;"","_"&amp;$F$44,""),'表3）燃料価格'!$AF$9:$AG$25,2,0)),0,VLOOKUP($I53,'表3）燃料価格'!$A$6:$U$66,VLOOKUP($F$3&amp;IF($G$4&lt;&gt;"",$G$4,"")&amp;IF($F$44&lt;&gt;"","_"&amp;$F$44,""),'表3）燃料価格'!$AF$9:$AG$25,2,0)+VLOOKUP($F$42,'表3）燃料価格'!$AF$28:$AG$29,2,0),0)*IF($F$44="需要地価格",1,$F$8/$F$142))),"")</f>
        <v/>
      </c>
      <c r="AU53" s="39"/>
      <c r="AV53" s="72" t="str">
        <f t="shared" si="47"/>
        <v/>
      </c>
      <c r="AW53" s="72" t="str">
        <f t="shared" si="27"/>
        <v/>
      </c>
      <c r="AX53" s="39"/>
      <c r="AY53" s="40" t="str">
        <f>IF(ISERROR(IF($K53&lt;=$F$15,VLOOKUP($I53,'表4）CO2価格'!$A$7:$E$67,VLOOKUP($F$49,'表4）CO2価格'!$H$10:$I$12,2,0),0)*$F$8/1000,"")),0,IF($K53&lt;=$F$15,VLOOKUP($I53,'表4）CO2価格'!$A$7:$E$67,VLOOKUP($F$49,'表4）CO2価格'!$H$10:$I$12,2,0),0)*$F$8/1000,""))</f>
        <v/>
      </c>
      <c r="AZ53" s="39"/>
      <c r="BA53" s="42" t="str">
        <f t="shared" si="48"/>
        <v/>
      </c>
      <c r="BB53" s="72" t="str">
        <f t="shared" si="28"/>
        <v/>
      </c>
      <c r="BC53" s="39"/>
      <c r="BD53" s="72" t="str">
        <f t="shared" si="49"/>
        <v/>
      </c>
      <c r="BE53" s="72" t="str">
        <f t="shared" si="29"/>
        <v/>
      </c>
      <c r="BF53" s="39"/>
      <c r="BG53" s="42" t="str">
        <f t="shared" si="50"/>
        <v/>
      </c>
      <c r="BH53" s="72" t="str">
        <f t="shared" si="30"/>
        <v/>
      </c>
      <c r="BI53" s="39"/>
      <c r="BJ53" s="40" t="str">
        <f t="shared" si="51"/>
        <v/>
      </c>
      <c r="BK53" s="157" t="str">
        <f t="shared" si="52"/>
        <v/>
      </c>
      <c r="BL53" s="157" t="str">
        <f t="shared" si="16"/>
        <v/>
      </c>
      <c r="BM53" s="72"/>
      <c r="BN53" s="72" t="str">
        <f t="shared" si="31"/>
        <v/>
      </c>
      <c r="BO53" s="72" t="str">
        <f t="shared" si="32"/>
        <v/>
      </c>
      <c r="BP53" s="39"/>
      <c r="BQ53" s="72" t="str">
        <f t="shared" si="37"/>
        <v/>
      </c>
      <c r="BR53" s="72" t="str">
        <f t="shared" si="33"/>
        <v/>
      </c>
    </row>
    <row r="54" spans="3:70" x14ac:dyDescent="0.15">
      <c r="D54" s="81" t="s">
        <v>186</v>
      </c>
      <c r="F54" s="66"/>
      <c r="G54" s="81" t="s">
        <v>172</v>
      </c>
      <c r="I54" s="459">
        <f t="shared" si="34"/>
        <v>2069</v>
      </c>
      <c r="K54" s="71">
        <f t="shared" si="35"/>
        <v>40</v>
      </c>
      <c r="M54" s="7">
        <f t="shared" si="0"/>
        <v>0.30655684077380685</v>
      </c>
      <c r="O54" s="10" t="str">
        <f t="shared" si="36"/>
        <v/>
      </c>
      <c r="P54" s="29" t="str">
        <f t="shared" si="38"/>
        <v/>
      </c>
      <c r="R54" s="10" t="str">
        <f t="shared" si="53"/>
        <v/>
      </c>
      <c r="T54" s="10" t="str">
        <f t="shared" si="18"/>
        <v/>
      </c>
      <c r="V54" s="10" t="str">
        <f t="shared" si="39"/>
        <v/>
      </c>
      <c r="W54" s="10" t="str">
        <f t="shared" si="19"/>
        <v/>
      </c>
      <c r="Y54" s="10" t="str">
        <f t="shared" si="40"/>
        <v/>
      </c>
      <c r="Z54" s="10" t="str">
        <f t="shared" si="20"/>
        <v/>
      </c>
      <c r="AB54" s="10" t="str">
        <f t="shared" si="41"/>
        <v/>
      </c>
      <c r="AC54" s="10" t="str">
        <f t="shared" si="21"/>
        <v/>
      </c>
      <c r="AE54" s="10" t="str">
        <f t="shared" si="42"/>
        <v/>
      </c>
      <c r="AF54" s="10" t="str">
        <f t="shared" si="22"/>
        <v/>
      </c>
      <c r="AH54" s="10" t="str">
        <f t="shared" si="43"/>
        <v/>
      </c>
      <c r="AI54" s="10" t="str">
        <f t="shared" si="23"/>
        <v/>
      </c>
      <c r="AK54" s="10" t="str">
        <f t="shared" si="44"/>
        <v/>
      </c>
      <c r="AL54" s="10" t="str">
        <f t="shared" si="24"/>
        <v/>
      </c>
      <c r="AN54" s="10" t="str">
        <f t="shared" si="45"/>
        <v/>
      </c>
      <c r="AO54" s="10" t="str">
        <f t="shared" si="25"/>
        <v/>
      </c>
      <c r="AQ54" s="10" t="str">
        <f t="shared" si="46"/>
        <v/>
      </c>
      <c r="AR54" s="10" t="str">
        <f t="shared" si="26"/>
        <v/>
      </c>
      <c r="AT54" s="7" t="str">
        <f>IF($K54&lt;=$F$15,IF($F$41&lt;&gt;"",$F$41/1000,IF(ISERROR(VLOOKUP($F$3&amp;IF($G$4&lt;&gt;"",$G$4,"")&amp;IF($F$44&lt;&gt;"","_"&amp;$F$44,""),'表3）燃料価格'!$AF$9:$AG$25,2,0)),0,VLOOKUP($I54,'表3）燃料価格'!$A$6:$U$66,VLOOKUP($F$3&amp;IF($G$4&lt;&gt;"",$G$4,"")&amp;IF($F$44&lt;&gt;"","_"&amp;$F$44,""),'表3）燃料価格'!$AF$9:$AG$25,2,0)+VLOOKUP($F$42,'表3）燃料価格'!$AF$28:$AG$29,2,0),0)*IF($F$44="需要地価格",1,$F$8/$F$142))),"")</f>
        <v/>
      </c>
      <c r="AV54" s="10" t="str">
        <f t="shared" si="47"/>
        <v/>
      </c>
      <c r="AW54" s="10" t="str">
        <f t="shared" si="27"/>
        <v/>
      </c>
      <c r="AY54" s="7" t="str">
        <f>IF(ISERROR(IF($K54&lt;=$F$15,VLOOKUP($I54,'表4）CO2価格'!$A$7:$E$67,VLOOKUP($F$49,'表4）CO2価格'!$H$10:$I$12,2,0),0)*$F$8/1000,"")),0,IF($K54&lt;=$F$15,VLOOKUP($I54,'表4）CO2価格'!$A$7:$E$67,VLOOKUP($F$49,'表4）CO2価格'!$H$10:$I$12,2,0),0)*$F$8/1000,""))</f>
        <v/>
      </c>
      <c r="BA54" s="11" t="str">
        <f t="shared" si="48"/>
        <v/>
      </c>
      <c r="BB54" s="10" t="str">
        <f t="shared" si="28"/>
        <v/>
      </c>
      <c r="BD54" s="10" t="str">
        <f t="shared" si="49"/>
        <v/>
      </c>
      <c r="BE54" s="10" t="str">
        <f t="shared" si="29"/>
        <v/>
      </c>
      <c r="BG54" s="11" t="str">
        <f t="shared" si="50"/>
        <v/>
      </c>
      <c r="BH54" s="10" t="str">
        <f t="shared" si="30"/>
        <v/>
      </c>
      <c r="BJ54" s="7" t="str">
        <f t="shared" si="51"/>
        <v/>
      </c>
      <c r="BK54" s="158" t="str">
        <f t="shared" si="52"/>
        <v/>
      </c>
      <c r="BL54" s="158" t="str">
        <f t="shared" si="16"/>
        <v/>
      </c>
      <c r="BM54" s="10"/>
      <c r="BN54" s="10" t="str">
        <f t="shared" si="31"/>
        <v/>
      </c>
      <c r="BO54" s="10" t="str">
        <f t="shared" si="32"/>
        <v/>
      </c>
      <c r="BQ54" s="188" t="str">
        <f t="shared" si="37"/>
        <v/>
      </c>
      <c r="BR54" s="10" t="str">
        <f t="shared" si="33"/>
        <v/>
      </c>
    </row>
    <row r="55" spans="3:70" x14ac:dyDescent="0.15">
      <c r="D55" s="81" t="s">
        <v>187</v>
      </c>
      <c r="F55" s="66"/>
      <c r="G55" s="81" t="s">
        <v>172</v>
      </c>
      <c r="I55" s="458">
        <f>I54+1</f>
        <v>2070</v>
      </c>
      <c r="J55" s="470"/>
      <c r="K55" s="39">
        <f>IF(I55&lt;&gt;"",K54+1,"")</f>
        <v>41</v>
      </c>
      <c r="L55" s="39"/>
      <c r="M55" s="40">
        <f t="shared" si="0"/>
        <v>0.29762800075126877</v>
      </c>
      <c r="N55" s="39"/>
      <c r="O55" s="72" t="str">
        <f t="shared" si="36"/>
        <v/>
      </c>
      <c r="P55" s="41" t="str">
        <f t="shared" si="38"/>
        <v/>
      </c>
      <c r="Q55" s="39"/>
      <c r="R55" s="72" t="str">
        <f t="shared" si="53"/>
        <v/>
      </c>
      <c r="S55" s="39"/>
      <c r="T55" s="72" t="str">
        <f t="shared" si="18"/>
        <v/>
      </c>
      <c r="U55" s="39"/>
      <c r="V55" s="72" t="str">
        <f t="shared" si="39"/>
        <v/>
      </c>
      <c r="W55" s="72" t="str">
        <f t="shared" si="19"/>
        <v/>
      </c>
      <c r="X55" s="39"/>
      <c r="Y55" s="72" t="str">
        <f t="shared" si="40"/>
        <v/>
      </c>
      <c r="Z55" s="72" t="str">
        <f t="shared" si="20"/>
        <v/>
      </c>
      <c r="AA55" s="39"/>
      <c r="AB55" s="72" t="str">
        <f t="shared" si="41"/>
        <v/>
      </c>
      <c r="AC55" s="72" t="str">
        <f t="shared" si="21"/>
        <v/>
      </c>
      <c r="AD55" s="39"/>
      <c r="AE55" s="72" t="str">
        <f t="shared" si="42"/>
        <v/>
      </c>
      <c r="AF55" s="72" t="str">
        <f t="shared" si="22"/>
        <v/>
      </c>
      <c r="AG55" s="39"/>
      <c r="AH55" s="72" t="str">
        <f t="shared" si="43"/>
        <v/>
      </c>
      <c r="AI55" s="72" t="str">
        <f t="shared" si="23"/>
        <v/>
      </c>
      <c r="AJ55" s="39"/>
      <c r="AK55" s="72" t="str">
        <f t="shared" si="44"/>
        <v/>
      </c>
      <c r="AL55" s="72" t="str">
        <f t="shared" si="24"/>
        <v/>
      </c>
      <c r="AM55" s="39"/>
      <c r="AN55" s="72" t="str">
        <f t="shared" si="45"/>
        <v/>
      </c>
      <c r="AO55" s="72" t="str">
        <f t="shared" si="25"/>
        <v/>
      </c>
      <c r="AP55" s="39"/>
      <c r="AQ55" s="72" t="str">
        <f t="shared" si="46"/>
        <v/>
      </c>
      <c r="AR55" s="72" t="str">
        <f t="shared" si="26"/>
        <v/>
      </c>
      <c r="AS55" s="39"/>
      <c r="AT55" s="40" t="str">
        <f>IF($K55&lt;=$F$15,IF($F$41&lt;&gt;"",$F$41/1000,IF(ISERROR(VLOOKUP($F$3&amp;IF($G$4&lt;&gt;"",$G$4,"")&amp;IF($F$44&lt;&gt;"","_"&amp;$F$44,""),'表3）燃料価格'!$AF$9:$AG$25,2,0)),0,VLOOKUP($I55,'表3）燃料価格'!$A$6:$U$66,VLOOKUP($F$3&amp;IF($G$4&lt;&gt;"",$G$4,"")&amp;IF($F$44&lt;&gt;"","_"&amp;$F$44,""),'表3）燃料価格'!$AF$9:$AG$25,2,0)+VLOOKUP($F$42,'表3）燃料価格'!$AF$28:$AG$29,2,0),0)*IF($F$44="需要地価格",1,$F$8/$F$142))),"")</f>
        <v/>
      </c>
      <c r="AU55" s="39"/>
      <c r="AV55" s="72" t="str">
        <f t="shared" si="47"/>
        <v/>
      </c>
      <c r="AW55" s="72" t="str">
        <f t="shared" si="27"/>
        <v/>
      </c>
      <c r="AX55" s="39"/>
      <c r="AY55" s="40" t="str">
        <f>IF(ISERROR(IF($K55&lt;=$F$15,VLOOKUP($I55,'表4）CO2価格'!$A$7:$E$67,VLOOKUP($F$49,'表4）CO2価格'!$H$10:$I$12,2,0),0)*$F$8/1000,"")),0,IF($K55&lt;=$F$15,VLOOKUP($I55,'表4）CO2価格'!$A$7:$E$67,VLOOKUP($F$49,'表4）CO2価格'!$H$10:$I$12,2,0),0)*$F$8/1000,""))</f>
        <v/>
      </c>
      <c r="AZ55" s="39"/>
      <c r="BA55" s="42" t="str">
        <f t="shared" si="48"/>
        <v/>
      </c>
      <c r="BB55" s="72" t="str">
        <f t="shared" si="28"/>
        <v/>
      </c>
      <c r="BC55" s="39"/>
      <c r="BD55" s="72" t="str">
        <f t="shared" si="49"/>
        <v/>
      </c>
      <c r="BE55" s="72" t="str">
        <f t="shared" si="29"/>
        <v/>
      </c>
      <c r="BF55" s="39"/>
      <c r="BG55" s="42" t="str">
        <f t="shared" si="50"/>
        <v/>
      </c>
      <c r="BH55" s="72" t="str">
        <f t="shared" si="30"/>
        <v/>
      </c>
      <c r="BI55" s="39"/>
      <c r="BJ55" s="40" t="str">
        <f t="shared" si="51"/>
        <v/>
      </c>
      <c r="BK55" s="157" t="str">
        <f t="shared" si="52"/>
        <v/>
      </c>
      <c r="BL55" s="157" t="str">
        <f t="shared" si="16"/>
        <v/>
      </c>
      <c r="BM55" s="72"/>
      <c r="BN55" s="72" t="str">
        <f t="shared" si="31"/>
        <v/>
      </c>
      <c r="BO55" s="72" t="str">
        <f t="shared" si="32"/>
        <v/>
      </c>
      <c r="BP55" s="39"/>
      <c r="BQ55" s="72" t="str">
        <f t="shared" si="37"/>
        <v/>
      </c>
      <c r="BR55" s="72" t="str">
        <f t="shared" si="33"/>
        <v/>
      </c>
    </row>
    <row r="56" spans="3:70" ht="16.5" x14ac:dyDescent="0.15">
      <c r="D56" s="81" t="s">
        <v>188</v>
      </c>
      <c r="F56" s="66"/>
      <c r="G56" s="9" t="s">
        <v>372</v>
      </c>
      <c r="I56" s="459">
        <f t="shared" si="34"/>
        <v>2071</v>
      </c>
      <c r="K56" s="71">
        <f t="shared" si="35"/>
        <v>42</v>
      </c>
      <c r="M56" s="7">
        <f t="shared" si="0"/>
        <v>0.28895922403035801</v>
      </c>
      <c r="O56" s="10" t="str">
        <f t="shared" si="36"/>
        <v/>
      </c>
      <c r="P56" s="29" t="str">
        <f t="shared" si="38"/>
        <v/>
      </c>
      <c r="R56" s="10" t="str">
        <f t="shared" si="53"/>
        <v/>
      </c>
      <c r="T56" s="10" t="str">
        <f t="shared" si="18"/>
        <v/>
      </c>
      <c r="V56" s="10" t="str">
        <f t="shared" si="39"/>
        <v/>
      </c>
      <c r="W56" s="10" t="str">
        <f t="shared" si="19"/>
        <v/>
      </c>
      <c r="Y56" s="10" t="str">
        <f t="shared" si="40"/>
        <v/>
      </c>
      <c r="Z56" s="10" t="str">
        <f t="shared" si="20"/>
        <v/>
      </c>
      <c r="AB56" s="10" t="str">
        <f t="shared" si="41"/>
        <v/>
      </c>
      <c r="AC56" s="10" t="str">
        <f t="shared" si="21"/>
        <v/>
      </c>
      <c r="AE56" s="10" t="str">
        <f t="shared" si="42"/>
        <v/>
      </c>
      <c r="AF56" s="10" t="str">
        <f t="shared" si="22"/>
        <v/>
      </c>
      <c r="AH56" s="10" t="str">
        <f t="shared" si="43"/>
        <v/>
      </c>
      <c r="AI56" s="10" t="str">
        <f t="shared" si="23"/>
        <v/>
      </c>
      <c r="AK56" s="10" t="str">
        <f t="shared" si="44"/>
        <v/>
      </c>
      <c r="AL56" s="10" t="str">
        <f t="shared" si="24"/>
        <v/>
      </c>
      <c r="AN56" s="10" t="str">
        <f t="shared" si="45"/>
        <v/>
      </c>
      <c r="AO56" s="10" t="str">
        <f t="shared" si="25"/>
        <v/>
      </c>
      <c r="AQ56" s="10" t="str">
        <f t="shared" si="46"/>
        <v/>
      </c>
      <c r="AR56" s="10" t="str">
        <f t="shared" si="26"/>
        <v/>
      </c>
      <c r="AT56" s="7" t="str">
        <f>IF($K56&lt;=$F$15,IF($F$41&lt;&gt;"",$F$41/1000,IF(ISERROR(VLOOKUP($F$3&amp;IF($G$4&lt;&gt;"",$G$4,"")&amp;IF($F$44&lt;&gt;"","_"&amp;$F$44,""),'表3）燃料価格'!$AF$9:$AG$25,2,0)),0,VLOOKUP($I56,'表3）燃料価格'!$A$6:$U$66,VLOOKUP($F$3&amp;IF($G$4&lt;&gt;"",$G$4,"")&amp;IF($F$44&lt;&gt;"","_"&amp;$F$44,""),'表3）燃料価格'!$AF$9:$AG$25,2,0)+VLOOKUP($F$42,'表3）燃料価格'!$AF$28:$AG$29,2,0),0)*IF($F$44="需要地価格",1,$F$8/$F$142))),"")</f>
        <v/>
      </c>
      <c r="AV56" s="10" t="str">
        <f t="shared" si="47"/>
        <v/>
      </c>
      <c r="AW56" s="10" t="str">
        <f t="shared" si="27"/>
        <v/>
      </c>
      <c r="AY56" s="7" t="str">
        <f>IF(ISERROR(IF($K56&lt;=$F$15,VLOOKUP($I56,'表4）CO2価格'!$A$7:$E$67,VLOOKUP($F$49,'表4）CO2価格'!$H$10:$I$12,2,0),0)*$F$8/1000,"")),0,IF($K56&lt;=$F$15,VLOOKUP($I56,'表4）CO2価格'!$A$7:$E$67,VLOOKUP($F$49,'表4）CO2価格'!$H$10:$I$12,2,0),0)*$F$8/1000,""))</f>
        <v/>
      </c>
      <c r="BA56" s="11" t="str">
        <f t="shared" si="48"/>
        <v/>
      </c>
      <c r="BB56" s="10" t="str">
        <f t="shared" si="28"/>
        <v/>
      </c>
      <c r="BD56" s="10" t="str">
        <f t="shared" si="49"/>
        <v/>
      </c>
      <c r="BE56" s="10" t="str">
        <f t="shared" si="29"/>
        <v/>
      </c>
      <c r="BG56" s="11" t="str">
        <f t="shared" si="50"/>
        <v/>
      </c>
      <c r="BH56" s="10" t="str">
        <f t="shared" si="30"/>
        <v/>
      </c>
      <c r="BJ56" s="7" t="str">
        <f t="shared" si="51"/>
        <v/>
      </c>
      <c r="BK56" s="158" t="str">
        <f t="shared" si="52"/>
        <v/>
      </c>
      <c r="BL56" s="158" t="str">
        <f t="shared" si="16"/>
        <v/>
      </c>
      <c r="BM56" s="10"/>
      <c r="BN56" s="10" t="str">
        <f t="shared" si="31"/>
        <v/>
      </c>
      <c r="BO56" s="10" t="str">
        <f t="shared" si="32"/>
        <v/>
      </c>
      <c r="BQ56" s="188" t="str">
        <f t="shared" si="37"/>
        <v/>
      </c>
      <c r="BR56" s="10" t="str">
        <f t="shared" si="33"/>
        <v/>
      </c>
    </row>
    <row r="57" spans="3:70" x14ac:dyDescent="0.15">
      <c r="D57" s="81" t="s">
        <v>189</v>
      </c>
      <c r="F57" s="59"/>
      <c r="G57" s="81" t="s">
        <v>181</v>
      </c>
      <c r="I57" s="458">
        <f t="shared" si="34"/>
        <v>2072</v>
      </c>
      <c r="J57" s="470"/>
      <c r="K57" s="39">
        <f t="shared" si="35"/>
        <v>43</v>
      </c>
      <c r="L57" s="39"/>
      <c r="M57" s="40">
        <f t="shared" si="0"/>
        <v>0.28054293595180391</v>
      </c>
      <c r="N57" s="39"/>
      <c r="O57" s="72" t="str">
        <f t="shared" si="36"/>
        <v/>
      </c>
      <c r="P57" s="41" t="str">
        <f t="shared" si="38"/>
        <v/>
      </c>
      <c r="Q57" s="39"/>
      <c r="R57" s="72" t="str">
        <f t="shared" si="53"/>
        <v/>
      </c>
      <c r="S57" s="39"/>
      <c r="T57" s="72" t="str">
        <f t="shared" si="18"/>
        <v/>
      </c>
      <c r="U57" s="39"/>
      <c r="V57" s="72" t="str">
        <f t="shared" si="39"/>
        <v/>
      </c>
      <c r="W57" s="72" t="str">
        <f t="shared" si="19"/>
        <v/>
      </c>
      <c r="X57" s="39"/>
      <c r="Y57" s="72" t="str">
        <f t="shared" si="40"/>
        <v/>
      </c>
      <c r="Z57" s="72" t="str">
        <f t="shared" si="20"/>
        <v/>
      </c>
      <c r="AA57" s="39"/>
      <c r="AB57" s="72" t="str">
        <f t="shared" si="41"/>
        <v/>
      </c>
      <c r="AC57" s="72" t="str">
        <f t="shared" si="21"/>
        <v/>
      </c>
      <c r="AD57" s="39"/>
      <c r="AE57" s="72" t="str">
        <f t="shared" si="42"/>
        <v/>
      </c>
      <c r="AF57" s="72" t="str">
        <f t="shared" si="22"/>
        <v/>
      </c>
      <c r="AG57" s="39"/>
      <c r="AH57" s="72" t="str">
        <f t="shared" si="43"/>
        <v/>
      </c>
      <c r="AI57" s="72" t="str">
        <f t="shared" si="23"/>
        <v/>
      </c>
      <c r="AJ57" s="39"/>
      <c r="AK57" s="72" t="str">
        <f t="shared" si="44"/>
        <v/>
      </c>
      <c r="AL57" s="72" t="str">
        <f t="shared" si="24"/>
        <v/>
      </c>
      <c r="AM57" s="39"/>
      <c r="AN57" s="72" t="str">
        <f t="shared" si="45"/>
        <v/>
      </c>
      <c r="AO57" s="72" t="str">
        <f t="shared" si="25"/>
        <v/>
      </c>
      <c r="AP57" s="39"/>
      <c r="AQ57" s="72" t="str">
        <f t="shared" si="46"/>
        <v/>
      </c>
      <c r="AR57" s="72" t="str">
        <f t="shared" si="26"/>
        <v/>
      </c>
      <c r="AS57" s="39"/>
      <c r="AT57" s="40" t="str">
        <f>IF($K57&lt;=$F$15,IF($F$41&lt;&gt;"",$F$41/1000,IF(ISERROR(VLOOKUP($F$3&amp;IF($G$4&lt;&gt;"",$G$4,"")&amp;IF($F$44&lt;&gt;"","_"&amp;$F$44,""),'表3）燃料価格'!$AF$9:$AG$25,2,0)),0,VLOOKUP($I57,'表3）燃料価格'!$A$6:$U$66,VLOOKUP($F$3&amp;IF($G$4&lt;&gt;"",$G$4,"")&amp;IF($F$44&lt;&gt;"","_"&amp;$F$44,""),'表3）燃料価格'!$AF$9:$AG$25,2,0)+VLOOKUP($F$42,'表3）燃料価格'!$AF$28:$AG$29,2,0),0)*IF($F$44="需要地価格",1,$F$8/$F$142))),"")</f>
        <v/>
      </c>
      <c r="AU57" s="39"/>
      <c r="AV57" s="72" t="str">
        <f t="shared" si="47"/>
        <v/>
      </c>
      <c r="AW57" s="72" t="str">
        <f t="shared" si="27"/>
        <v/>
      </c>
      <c r="AX57" s="39"/>
      <c r="AY57" s="40" t="str">
        <f>IF(ISERROR(IF($K57&lt;=$F$15,VLOOKUP($I57,'表4）CO2価格'!$A$7:$E$67,VLOOKUP($F$49,'表4）CO2価格'!$H$10:$I$12,2,0),0)*$F$8/1000,"")),0,IF($K57&lt;=$F$15,VLOOKUP($I57,'表4）CO2価格'!$A$7:$E$67,VLOOKUP($F$49,'表4）CO2価格'!$H$10:$I$12,2,0),0)*$F$8/1000,""))</f>
        <v/>
      </c>
      <c r="AZ57" s="39"/>
      <c r="BA57" s="42" t="str">
        <f t="shared" si="48"/>
        <v/>
      </c>
      <c r="BB57" s="72" t="str">
        <f t="shared" si="28"/>
        <v/>
      </c>
      <c r="BC57" s="39"/>
      <c r="BD57" s="72" t="str">
        <f t="shared" si="49"/>
        <v/>
      </c>
      <c r="BE57" s="72" t="str">
        <f t="shared" si="29"/>
        <v/>
      </c>
      <c r="BF57" s="39"/>
      <c r="BG57" s="42" t="str">
        <f t="shared" si="50"/>
        <v/>
      </c>
      <c r="BH57" s="72" t="str">
        <f t="shared" si="30"/>
        <v/>
      </c>
      <c r="BI57" s="39"/>
      <c r="BJ57" s="40" t="str">
        <f t="shared" si="51"/>
        <v/>
      </c>
      <c r="BK57" s="157" t="str">
        <f t="shared" si="52"/>
        <v/>
      </c>
      <c r="BL57" s="157" t="str">
        <f t="shared" si="16"/>
        <v/>
      </c>
      <c r="BM57" s="72"/>
      <c r="BN57" s="72" t="str">
        <f t="shared" si="31"/>
        <v/>
      </c>
      <c r="BO57" s="72" t="str">
        <f t="shared" si="32"/>
        <v/>
      </c>
      <c r="BP57" s="39"/>
      <c r="BQ57" s="72" t="str">
        <f t="shared" si="37"/>
        <v/>
      </c>
      <c r="BR57" s="72" t="str">
        <f t="shared" si="33"/>
        <v/>
      </c>
    </row>
    <row r="58" spans="3:70" x14ac:dyDescent="0.15">
      <c r="I58" s="459">
        <f t="shared" si="34"/>
        <v>2073</v>
      </c>
      <c r="K58" s="71">
        <f t="shared" si="35"/>
        <v>44</v>
      </c>
      <c r="M58" s="7">
        <f t="shared" si="0"/>
        <v>0.27237178247747956</v>
      </c>
      <c r="O58" s="10" t="str">
        <f t="shared" si="36"/>
        <v/>
      </c>
      <c r="P58" s="29" t="str">
        <f t="shared" si="38"/>
        <v/>
      </c>
      <c r="R58" s="10" t="str">
        <f t="shared" si="53"/>
        <v/>
      </c>
      <c r="T58" s="10" t="str">
        <f t="shared" si="18"/>
        <v/>
      </c>
      <c r="V58" s="10" t="str">
        <f t="shared" si="39"/>
        <v/>
      </c>
      <c r="W58" s="10" t="str">
        <f t="shared" si="19"/>
        <v/>
      </c>
      <c r="Y58" s="10" t="str">
        <f t="shared" si="40"/>
        <v/>
      </c>
      <c r="Z58" s="10" t="str">
        <f t="shared" si="20"/>
        <v/>
      </c>
      <c r="AB58" s="10" t="str">
        <f t="shared" si="41"/>
        <v/>
      </c>
      <c r="AC58" s="10" t="str">
        <f t="shared" si="21"/>
        <v/>
      </c>
      <c r="AE58" s="10" t="str">
        <f t="shared" si="42"/>
        <v/>
      </c>
      <c r="AF58" s="10" t="str">
        <f t="shared" si="22"/>
        <v/>
      </c>
      <c r="AH58" s="10" t="str">
        <f t="shared" si="43"/>
        <v/>
      </c>
      <c r="AI58" s="10" t="str">
        <f t="shared" si="23"/>
        <v/>
      </c>
      <c r="AK58" s="10" t="str">
        <f t="shared" si="44"/>
        <v/>
      </c>
      <c r="AL58" s="10" t="str">
        <f t="shared" si="24"/>
        <v/>
      </c>
      <c r="AN58" s="10" t="str">
        <f t="shared" si="45"/>
        <v/>
      </c>
      <c r="AO58" s="10" t="str">
        <f t="shared" si="25"/>
        <v/>
      </c>
      <c r="AQ58" s="10" t="str">
        <f t="shared" si="46"/>
        <v/>
      </c>
      <c r="AR58" s="10" t="str">
        <f t="shared" si="26"/>
        <v/>
      </c>
      <c r="AT58" s="7" t="str">
        <f>IF($K58&lt;=$F$15,IF($F$41&lt;&gt;"",$F$41/1000,IF(ISERROR(VLOOKUP($F$3&amp;IF($G$4&lt;&gt;"",$G$4,"")&amp;IF($F$44&lt;&gt;"","_"&amp;$F$44,""),'表3）燃料価格'!$AF$9:$AG$25,2,0)),0,VLOOKUP($I58,'表3）燃料価格'!$A$6:$U$66,VLOOKUP($F$3&amp;IF($G$4&lt;&gt;"",$G$4,"")&amp;IF($F$44&lt;&gt;"","_"&amp;$F$44,""),'表3）燃料価格'!$AF$9:$AG$25,2,0)+VLOOKUP($F$42,'表3）燃料価格'!$AF$28:$AG$29,2,0),0)*IF($F$44="需要地価格",1,$F$8/$F$142))),"")</f>
        <v/>
      </c>
      <c r="AV58" s="10" t="str">
        <f t="shared" si="47"/>
        <v/>
      </c>
      <c r="AW58" s="10" t="str">
        <f t="shared" si="27"/>
        <v/>
      </c>
      <c r="AY58" s="7" t="str">
        <f>IF(ISERROR(IF($K58&lt;=$F$15,VLOOKUP($I58,'表4）CO2価格'!$A$7:$E$67,VLOOKUP($F$49,'表4）CO2価格'!$H$10:$I$12,2,0),0)*$F$8/1000,"")),0,IF($K58&lt;=$F$15,VLOOKUP($I58,'表4）CO2価格'!$A$7:$E$67,VLOOKUP($F$49,'表4）CO2価格'!$H$10:$I$12,2,0),0)*$F$8/1000,""))</f>
        <v/>
      </c>
      <c r="BA58" s="11" t="str">
        <f t="shared" si="48"/>
        <v/>
      </c>
      <c r="BB58" s="10" t="str">
        <f t="shared" si="28"/>
        <v/>
      </c>
      <c r="BD58" s="10" t="str">
        <f t="shared" si="49"/>
        <v/>
      </c>
      <c r="BE58" s="10" t="str">
        <f t="shared" si="29"/>
        <v/>
      </c>
      <c r="BG58" s="11" t="str">
        <f t="shared" si="50"/>
        <v/>
      </c>
      <c r="BH58" s="10" t="str">
        <f t="shared" si="30"/>
        <v/>
      </c>
      <c r="BJ58" s="7" t="str">
        <f t="shared" si="51"/>
        <v/>
      </c>
      <c r="BK58" s="158" t="str">
        <f t="shared" si="52"/>
        <v/>
      </c>
      <c r="BL58" s="158" t="str">
        <f t="shared" si="16"/>
        <v/>
      </c>
      <c r="BM58" s="10"/>
      <c r="BN58" s="10" t="str">
        <f t="shared" si="31"/>
        <v/>
      </c>
      <c r="BO58" s="10" t="str">
        <f t="shared" si="32"/>
        <v/>
      </c>
      <c r="BQ58" s="188" t="str">
        <f t="shared" si="37"/>
        <v/>
      </c>
      <c r="BR58" s="10" t="str">
        <f t="shared" si="33"/>
        <v/>
      </c>
    </row>
    <row r="59" spans="3:70" x14ac:dyDescent="0.15">
      <c r="C59" s="89" t="s">
        <v>512</v>
      </c>
      <c r="D59" s="101"/>
      <c r="E59" s="101"/>
      <c r="F59" s="89"/>
      <c r="G59" s="101"/>
      <c r="I59" s="458">
        <f t="shared" si="34"/>
        <v>2074</v>
      </c>
      <c r="J59" s="470"/>
      <c r="K59" s="39">
        <f t="shared" si="35"/>
        <v>45</v>
      </c>
      <c r="L59" s="39"/>
      <c r="M59" s="40">
        <f t="shared" si="0"/>
        <v>0.26443862376454325</v>
      </c>
      <c r="N59" s="39"/>
      <c r="O59" s="72" t="str">
        <f t="shared" si="36"/>
        <v/>
      </c>
      <c r="P59" s="41" t="str">
        <f t="shared" si="38"/>
        <v/>
      </c>
      <c r="Q59" s="39"/>
      <c r="R59" s="72" t="str">
        <f t="shared" si="53"/>
        <v/>
      </c>
      <c r="S59" s="39"/>
      <c r="T59" s="72" t="str">
        <f t="shared" si="18"/>
        <v/>
      </c>
      <c r="U59" s="39"/>
      <c r="V59" s="72" t="str">
        <f t="shared" si="39"/>
        <v/>
      </c>
      <c r="W59" s="72" t="str">
        <f t="shared" si="19"/>
        <v/>
      </c>
      <c r="X59" s="39"/>
      <c r="Y59" s="72" t="str">
        <f t="shared" si="40"/>
        <v/>
      </c>
      <c r="Z59" s="72" t="str">
        <f t="shared" si="20"/>
        <v/>
      </c>
      <c r="AA59" s="39"/>
      <c r="AB59" s="72" t="str">
        <f t="shared" si="41"/>
        <v/>
      </c>
      <c r="AC59" s="72" t="str">
        <f t="shared" si="21"/>
        <v/>
      </c>
      <c r="AD59" s="39"/>
      <c r="AE59" s="72" t="str">
        <f t="shared" si="42"/>
        <v/>
      </c>
      <c r="AF59" s="72" t="str">
        <f t="shared" si="22"/>
        <v/>
      </c>
      <c r="AG59" s="39"/>
      <c r="AH59" s="72" t="str">
        <f t="shared" si="43"/>
        <v/>
      </c>
      <c r="AI59" s="72" t="str">
        <f t="shared" si="23"/>
        <v/>
      </c>
      <c r="AJ59" s="39"/>
      <c r="AK59" s="72" t="str">
        <f t="shared" si="44"/>
        <v/>
      </c>
      <c r="AL59" s="72" t="str">
        <f t="shared" si="24"/>
        <v/>
      </c>
      <c r="AM59" s="39"/>
      <c r="AN59" s="72" t="str">
        <f t="shared" si="45"/>
        <v/>
      </c>
      <c r="AO59" s="72" t="str">
        <f t="shared" si="25"/>
        <v/>
      </c>
      <c r="AP59" s="39"/>
      <c r="AQ59" s="72" t="str">
        <f t="shared" si="46"/>
        <v/>
      </c>
      <c r="AR59" s="72" t="str">
        <f t="shared" si="26"/>
        <v/>
      </c>
      <c r="AS59" s="39"/>
      <c r="AT59" s="40" t="str">
        <f>IF($K59&lt;=$F$15,IF($F$41&lt;&gt;"",$F$41/1000,IF(ISERROR(VLOOKUP($F$3&amp;IF($G$4&lt;&gt;"",$G$4,"")&amp;IF($F$44&lt;&gt;"","_"&amp;$F$44,""),'表3）燃料価格'!$AF$9:$AG$25,2,0)),0,VLOOKUP($I59,'表3）燃料価格'!$A$6:$U$66,VLOOKUP($F$3&amp;IF($G$4&lt;&gt;"",$G$4,"")&amp;IF($F$44&lt;&gt;"","_"&amp;$F$44,""),'表3）燃料価格'!$AF$9:$AG$25,2,0)+VLOOKUP($F$42,'表3）燃料価格'!$AF$28:$AG$29,2,0),0)*IF($F$44="需要地価格",1,$F$8/$F$142))),"")</f>
        <v/>
      </c>
      <c r="AU59" s="39"/>
      <c r="AV59" s="72" t="str">
        <f t="shared" si="47"/>
        <v/>
      </c>
      <c r="AW59" s="72" t="str">
        <f t="shared" si="27"/>
        <v/>
      </c>
      <c r="AX59" s="39"/>
      <c r="AY59" s="40" t="str">
        <f>IF(ISERROR(IF($K59&lt;=$F$15,VLOOKUP($I59,'表4）CO2価格'!$A$7:$E$67,VLOOKUP($F$49,'表4）CO2価格'!$H$10:$I$12,2,0),0)*$F$8/1000,"")),0,IF($K59&lt;=$F$15,VLOOKUP($I59,'表4）CO2価格'!$A$7:$E$67,VLOOKUP($F$49,'表4）CO2価格'!$H$10:$I$12,2,0),0)*$F$8/1000,""))</f>
        <v/>
      </c>
      <c r="AZ59" s="39"/>
      <c r="BA59" s="42" t="str">
        <f t="shared" si="48"/>
        <v/>
      </c>
      <c r="BB59" s="72" t="str">
        <f t="shared" si="28"/>
        <v/>
      </c>
      <c r="BC59" s="39"/>
      <c r="BD59" s="72" t="str">
        <f t="shared" si="49"/>
        <v/>
      </c>
      <c r="BE59" s="72" t="str">
        <f t="shared" si="29"/>
        <v/>
      </c>
      <c r="BF59" s="39"/>
      <c r="BG59" s="42" t="str">
        <f t="shared" si="50"/>
        <v/>
      </c>
      <c r="BH59" s="72" t="str">
        <f t="shared" si="30"/>
        <v/>
      </c>
      <c r="BI59" s="39"/>
      <c r="BJ59" s="40" t="str">
        <f t="shared" si="51"/>
        <v/>
      </c>
      <c r="BK59" s="157" t="str">
        <f t="shared" si="52"/>
        <v/>
      </c>
      <c r="BL59" s="157" t="str">
        <f t="shared" si="16"/>
        <v/>
      </c>
      <c r="BM59" s="72"/>
      <c r="BN59" s="72" t="str">
        <f t="shared" si="31"/>
        <v/>
      </c>
      <c r="BO59" s="72" t="str">
        <f t="shared" si="32"/>
        <v/>
      </c>
      <c r="BP59" s="39"/>
      <c r="BQ59" s="72" t="str">
        <f t="shared" si="37"/>
        <v/>
      </c>
      <c r="BR59" s="72" t="str">
        <f t="shared" si="33"/>
        <v/>
      </c>
    </row>
    <row r="60" spans="3:70" x14ac:dyDescent="0.15">
      <c r="I60" s="459">
        <f t="shared" si="34"/>
        <v>2075</v>
      </c>
      <c r="K60" s="71">
        <f t="shared" si="35"/>
        <v>46</v>
      </c>
      <c r="M60" s="7">
        <f t="shared" si="0"/>
        <v>0.25673652792674101</v>
      </c>
      <c r="O60" s="10" t="str">
        <f t="shared" si="36"/>
        <v/>
      </c>
      <c r="P60" s="29" t="str">
        <f t="shared" si="38"/>
        <v/>
      </c>
      <c r="R60" s="10" t="str">
        <f t="shared" si="53"/>
        <v/>
      </c>
      <c r="T60" s="10" t="str">
        <f t="shared" si="18"/>
        <v/>
      </c>
      <c r="V60" s="10" t="str">
        <f t="shared" si="39"/>
        <v/>
      </c>
      <c r="W60" s="10" t="str">
        <f t="shared" si="19"/>
        <v/>
      </c>
      <c r="Y60" s="10" t="str">
        <f t="shared" si="40"/>
        <v/>
      </c>
      <c r="Z60" s="10" t="str">
        <f t="shared" si="20"/>
        <v/>
      </c>
      <c r="AB60" s="10" t="str">
        <f t="shared" si="41"/>
        <v/>
      </c>
      <c r="AC60" s="10" t="str">
        <f t="shared" si="21"/>
        <v/>
      </c>
      <c r="AE60" s="10" t="str">
        <f t="shared" si="42"/>
        <v/>
      </c>
      <c r="AF60" s="10" t="str">
        <f t="shared" si="22"/>
        <v/>
      </c>
      <c r="AH60" s="10" t="str">
        <f t="shared" si="43"/>
        <v/>
      </c>
      <c r="AI60" s="10" t="str">
        <f t="shared" si="23"/>
        <v/>
      </c>
      <c r="AK60" s="10" t="str">
        <f t="shared" si="44"/>
        <v/>
      </c>
      <c r="AL60" s="10" t="str">
        <f t="shared" si="24"/>
        <v/>
      </c>
      <c r="AN60" s="10" t="str">
        <f t="shared" si="45"/>
        <v/>
      </c>
      <c r="AO60" s="10" t="str">
        <f t="shared" si="25"/>
        <v/>
      </c>
      <c r="AQ60" s="10" t="str">
        <f t="shared" si="46"/>
        <v/>
      </c>
      <c r="AR60" s="10" t="str">
        <f t="shared" si="26"/>
        <v/>
      </c>
      <c r="AT60" s="7" t="str">
        <f>IF($K60&lt;=$F$15,IF($F$41&lt;&gt;"",$F$41/1000,IF(ISERROR(VLOOKUP($F$3&amp;IF($G$4&lt;&gt;"",$G$4,"")&amp;IF($F$44&lt;&gt;"","_"&amp;$F$44,""),'表3）燃料価格'!$AF$9:$AG$25,2,0)),0,VLOOKUP($I60,'表3）燃料価格'!$A$6:$U$66,VLOOKUP($F$3&amp;IF($G$4&lt;&gt;"",$G$4,"")&amp;IF($F$44&lt;&gt;"","_"&amp;$F$44,""),'表3）燃料価格'!$AF$9:$AG$25,2,0)+VLOOKUP($F$42,'表3）燃料価格'!$AF$28:$AG$29,2,0),0)*IF($F$44="需要地価格",1,$F$8/$F$142))),"")</f>
        <v/>
      </c>
      <c r="AV60" s="10" t="str">
        <f t="shared" si="47"/>
        <v/>
      </c>
      <c r="AW60" s="10" t="str">
        <f t="shared" si="27"/>
        <v/>
      </c>
      <c r="AY60" s="7" t="str">
        <f>IF(ISERROR(IF($K60&lt;=$F$15,VLOOKUP($I60,'表4）CO2価格'!$A$7:$E$67,VLOOKUP($F$49,'表4）CO2価格'!$H$10:$I$12,2,0),0)*$F$8/1000,"")),0,IF($K60&lt;=$F$15,VLOOKUP($I60,'表4）CO2価格'!$A$7:$E$67,VLOOKUP($F$49,'表4）CO2価格'!$H$10:$I$12,2,0),0)*$F$8/1000,""))</f>
        <v/>
      </c>
      <c r="BA60" s="11" t="str">
        <f t="shared" si="48"/>
        <v/>
      </c>
      <c r="BB60" s="10" t="str">
        <f t="shared" si="28"/>
        <v/>
      </c>
      <c r="BD60" s="10" t="str">
        <f t="shared" si="49"/>
        <v/>
      </c>
      <c r="BE60" s="10" t="str">
        <f t="shared" si="29"/>
        <v/>
      </c>
      <c r="BG60" s="11" t="str">
        <f t="shared" si="50"/>
        <v/>
      </c>
      <c r="BH60" s="10" t="str">
        <f t="shared" si="30"/>
        <v/>
      </c>
      <c r="BJ60" s="7" t="str">
        <f t="shared" si="51"/>
        <v/>
      </c>
      <c r="BK60" s="158" t="str">
        <f t="shared" si="52"/>
        <v/>
      </c>
      <c r="BL60" s="158" t="str">
        <f t="shared" si="16"/>
        <v/>
      </c>
      <c r="BM60" s="10"/>
      <c r="BN60" s="10" t="str">
        <f t="shared" si="31"/>
        <v/>
      </c>
      <c r="BO60" s="10" t="str">
        <f t="shared" si="32"/>
        <v/>
      </c>
      <c r="BQ60" s="188" t="str">
        <f t="shared" si="37"/>
        <v/>
      </c>
      <c r="BR60" s="10" t="str">
        <f t="shared" si="33"/>
        <v/>
      </c>
    </row>
    <row r="61" spans="3:70" x14ac:dyDescent="0.15">
      <c r="D61" s="81" t="s">
        <v>128</v>
      </c>
      <c r="F61" s="59"/>
      <c r="G61" s="81" t="s">
        <v>176</v>
      </c>
      <c r="I61" s="458">
        <f t="shared" si="34"/>
        <v>2076</v>
      </c>
      <c r="J61" s="470"/>
      <c r="K61" s="39">
        <f t="shared" si="35"/>
        <v>47</v>
      </c>
      <c r="L61" s="39"/>
      <c r="M61" s="40">
        <f t="shared" si="0"/>
        <v>0.24925876497741845</v>
      </c>
      <c r="N61" s="39"/>
      <c r="O61" s="72" t="str">
        <f t="shared" si="36"/>
        <v/>
      </c>
      <c r="P61" s="41" t="str">
        <f t="shared" si="38"/>
        <v/>
      </c>
      <c r="Q61" s="39"/>
      <c r="R61" s="72" t="str">
        <f t="shared" si="53"/>
        <v/>
      </c>
      <c r="S61" s="39"/>
      <c r="T61" s="72" t="str">
        <f t="shared" si="18"/>
        <v/>
      </c>
      <c r="U61" s="39"/>
      <c r="V61" s="72" t="str">
        <f t="shared" si="39"/>
        <v/>
      </c>
      <c r="W61" s="72" t="str">
        <f t="shared" si="19"/>
        <v/>
      </c>
      <c r="X61" s="39"/>
      <c r="Y61" s="72" t="str">
        <f t="shared" si="40"/>
        <v/>
      </c>
      <c r="Z61" s="72" t="str">
        <f t="shared" si="20"/>
        <v/>
      </c>
      <c r="AA61" s="39"/>
      <c r="AB61" s="72" t="str">
        <f t="shared" si="41"/>
        <v/>
      </c>
      <c r="AC61" s="72" t="str">
        <f t="shared" si="21"/>
        <v/>
      </c>
      <c r="AD61" s="39"/>
      <c r="AE61" s="72" t="str">
        <f t="shared" si="42"/>
        <v/>
      </c>
      <c r="AF61" s="72" t="str">
        <f t="shared" si="22"/>
        <v/>
      </c>
      <c r="AG61" s="39"/>
      <c r="AH61" s="72" t="str">
        <f t="shared" si="43"/>
        <v/>
      </c>
      <c r="AI61" s="72" t="str">
        <f t="shared" si="23"/>
        <v/>
      </c>
      <c r="AJ61" s="39"/>
      <c r="AK61" s="72" t="str">
        <f t="shared" si="44"/>
        <v/>
      </c>
      <c r="AL61" s="72" t="str">
        <f t="shared" si="24"/>
        <v/>
      </c>
      <c r="AM61" s="39"/>
      <c r="AN61" s="72" t="str">
        <f t="shared" si="45"/>
        <v/>
      </c>
      <c r="AO61" s="72" t="str">
        <f t="shared" si="25"/>
        <v/>
      </c>
      <c r="AP61" s="39"/>
      <c r="AQ61" s="72" t="str">
        <f t="shared" si="46"/>
        <v/>
      </c>
      <c r="AR61" s="72" t="str">
        <f t="shared" si="26"/>
        <v/>
      </c>
      <c r="AS61" s="39"/>
      <c r="AT61" s="40" t="str">
        <f>IF($K61&lt;=$F$15,IF($F$41&lt;&gt;"",$F$41/1000,IF(ISERROR(VLOOKUP($F$3&amp;IF($G$4&lt;&gt;"",$G$4,"")&amp;IF($F$44&lt;&gt;"","_"&amp;$F$44,""),'表3）燃料価格'!$AF$9:$AG$25,2,0)),0,VLOOKUP($I61,'表3）燃料価格'!$A$6:$U$66,VLOOKUP($F$3&amp;IF($G$4&lt;&gt;"",$G$4,"")&amp;IF($F$44&lt;&gt;"","_"&amp;$F$44,""),'表3）燃料価格'!$AF$9:$AG$25,2,0)+VLOOKUP($F$42,'表3）燃料価格'!$AF$28:$AG$29,2,0),0)*IF($F$44="需要地価格",1,$F$8/$F$142))),"")</f>
        <v/>
      </c>
      <c r="AU61" s="39"/>
      <c r="AV61" s="72" t="str">
        <f t="shared" si="47"/>
        <v/>
      </c>
      <c r="AW61" s="72" t="str">
        <f t="shared" si="27"/>
        <v/>
      </c>
      <c r="AX61" s="39"/>
      <c r="AY61" s="40" t="str">
        <f>IF(ISERROR(IF($K61&lt;=$F$15,VLOOKUP($I61,'表4）CO2価格'!$A$7:$E$67,VLOOKUP($F$49,'表4）CO2価格'!$H$10:$I$12,2,0),0)*$F$8/1000,"")),0,IF($K61&lt;=$F$15,VLOOKUP($I61,'表4）CO2価格'!$A$7:$E$67,VLOOKUP($F$49,'表4）CO2価格'!$H$10:$I$12,2,0),0)*$F$8/1000,""))</f>
        <v/>
      </c>
      <c r="AZ61" s="39"/>
      <c r="BA61" s="42" t="str">
        <f t="shared" si="48"/>
        <v/>
      </c>
      <c r="BB61" s="72" t="str">
        <f t="shared" si="28"/>
        <v/>
      </c>
      <c r="BC61" s="39"/>
      <c r="BD61" s="72" t="str">
        <f t="shared" si="49"/>
        <v/>
      </c>
      <c r="BE61" s="72" t="str">
        <f t="shared" si="29"/>
        <v/>
      </c>
      <c r="BF61" s="39"/>
      <c r="BG61" s="42" t="str">
        <f t="shared" si="50"/>
        <v/>
      </c>
      <c r="BH61" s="72" t="str">
        <f t="shared" si="30"/>
        <v/>
      </c>
      <c r="BI61" s="39"/>
      <c r="BJ61" s="40" t="str">
        <f t="shared" si="51"/>
        <v/>
      </c>
      <c r="BK61" s="157" t="str">
        <f t="shared" si="52"/>
        <v/>
      </c>
      <c r="BL61" s="157" t="str">
        <f t="shared" si="16"/>
        <v/>
      </c>
      <c r="BM61" s="72"/>
      <c r="BN61" s="72" t="str">
        <f t="shared" si="31"/>
        <v/>
      </c>
      <c r="BO61" s="72" t="str">
        <f t="shared" si="32"/>
        <v/>
      </c>
      <c r="BP61" s="39"/>
      <c r="BQ61" s="72" t="str">
        <f t="shared" si="37"/>
        <v/>
      </c>
      <c r="BR61" s="72" t="str">
        <f t="shared" si="33"/>
        <v/>
      </c>
    </row>
    <row r="62" spans="3:70" x14ac:dyDescent="0.15">
      <c r="D62" s="81" t="s">
        <v>190</v>
      </c>
      <c r="F62" s="66"/>
      <c r="G62" s="81" t="s">
        <v>108</v>
      </c>
      <c r="I62" s="459">
        <f t="shared" si="34"/>
        <v>2077</v>
      </c>
      <c r="K62" s="71">
        <f t="shared" si="35"/>
        <v>48</v>
      </c>
      <c r="M62" s="7">
        <f t="shared" si="0"/>
        <v>0.24199880094894996</v>
      </c>
      <c r="O62" s="10" t="str">
        <f t="shared" si="36"/>
        <v/>
      </c>
      <c r="P62" s="29" t="str">
        <f t="shared" si="38"/>
        <v/>
      </c>
      <c r="R62" s="10" t="str">
        <f t="shared" si="53"/>
        <v/>
      </c>
      <c r="T62" s="10" t="str">
        <f t="shared" si="18"/>
        <v/>
      </c>
      <c r="V62" s="10" t="str">
        <f t="shared" si="39"/>
        <v/>
      </c>
      <c r="W62" s="10" t="str">
        <f t="shared" si="19"/>
        <v/>
      </c>
      <c r="Y62" s="10" t="str">
        <f t="shared" si="40"/>
        <v/>
      </c>
      <c r="Z62" s="10" t="str">
        <f t="shared" si="20"/>
        <v/>
      </c>
      <c r="AB62" s="10" t="str">
        <f t="shared" si="41"/>
        <v/>
      </c>
      <c r="AC62" s="10" t="str">
        <f t="shared" si="21"/>
        <v/>
      </c>
      <c r="AE62" s="10" t="str">
        <f t="shared" si="42"/>
        <v/>
      </c>
      <c r="AF62" s="10" t="str">
        <f t="shared" si="22"/>
        <v/>
      </c>
      <c r="AH62" s="10" t="str">
        <f t="shared" si="43"/>
        <v/>
      </c>
      <c r="AI62" s="10" t="str">
        <f t="shared" si="23"/>
        <v/>
      </c>
      <c r="AK62" s="10" t="str">
        <f t="shared" si="44"/>
        <v/>
      </c>
      <c r="AL62" s="10" t="str">
        <f t="shared" si="24"/>
        <v/>
      </c>
      <c r="AN62" s="10" t="str">
        <f t="shared" si="45"/>
        <v/>
      </c>
      <c r="AO62" s="10" t="str">
        <f t="shared" si="25"/>
        <v/>
      </c>
      <c r="AQ62" s="10" t="str">
        <f t="shared" si="46"/>
        <v/>
      </c>
      <c r="AR62" s="10" t="str">
        <f t="shared" si="26"/>
        <v/>
      </c>
      <c r="AT62" s="7" t="str">
        <f>IF($K62&lt;=$F$15,IF($F$41&lt;&gt;"",$F$41/1000,IF(ISERROR(VLOOKUP($F$3&amp;IF($G$4&lt;&gt;"",$G$4,"")&amp;IF($F$44&lt;&gt;"","_"&amp;$F$44,""),'表3）燃料価格'!$AF$9:$AG$25,2,0)),0,VLOOKUP($I62,'表3）燃料価格'!$A$6:$U$66,VLOOKUP($F$3&amp;IF($G$4&lt;&gt;"",$G$4,"")&amp;IF($F$44&lt;&gt;"","_"&amp;$F$44,""),'表3）燃料価格'!$AF$9:$AG$25,2,0)+VLOOKUP($F$42,'表3）燃料価格'!$AF$28:$AG$29,2,0),0)*IF($F$44="需要地価格",1,$F$8/$F$142))),"")</f>
        <v/>
      </c>
      <c r="AV62" s="10" t="str">
        <f t="shared" si="47"/>
        <v/>
      </c>
      <c r="AW62" s="10" t="str">
        <f t="shared" si="27"/>
        <v/>
      </c>
      <c r="AY62" s="7" t="str">
        <f>IF(ISERROR(IF($K62&lt;=$F$15,VLOOKUP($I62,'表4）CO2価格'!$A$7:$E$67,VLOOKUP($F$49,'表4）CO2価格'!$H$10:$I$12,2,0),0)*$F$8/1000,"")),0,IF($K62&lt;=$F$15,VLOOKUP($I62,'表4）CO2価格'!$A$7:$E$67,VLOOKUP($F$49,'表4）CO2価格'!$H$10:$I$12,2,0),0)*$F$8/1000,""))</f>
        <v/>
      </c>
      <c r="BA62" s="11" t="str">
        <f t="shared" si="48"/>
        <v/>
      </c>
      <c r="BB62" s="10" t="str">
        <f t="shared" si="28"/>
        <v/>
      </c>
      <c r="BD62" s="10" t="str">
        <f t="shared" si="49"/>
        <v/>
      </c>
      <c r="BE62" s="10" t="str">
        <f t="shared" si="29"/>
        <v/>
      </c>
      <c r="BG62" s="11" t="str">
        <f t="shared" si="50"/>
        <v/>
      </c>
      <c r="BH62" s="10" t="str">
        <f t="shared" si="30"/>
        <v/>
      </c>
      <c r="BJ62" s="7" t="str">
        <f t="shared" si="51"/>
        <v/>
      </c>
      <c r="BK62" s="158" t="str">
        <f t="shared" si="52"/>
        <v/>
      </c>
      <c r="BL62" s="158" t="str">
        <f t="shared" si="16"/>
        <v/>
      </c>
      <c r="BM62" s="10"/>
      <c r="BN62" s="10" t="str">
        <f t="shared" si="31"/>
        <v/>
      </c>
      <c r="BO62" s="10" t="str">
        <f t="shared" si="32"/>
        <v/>
      </c>
      <c r="BQ62" s="188" t="str">
        <f t="shared" si="37"/>
        <v/>
      </c>
      <c r="BR62" s="10" t="str">
        <f t="shared" si="33"/>
        <v/>
      </c>
    </row>
    <row r="63" spans="3:70" x14ac:dyDescent="0.15">
      <c r="D63" s="81" t="s">
        <v>131</v>
      </c>
      <c r="F63" s="59"/>
      <c r="G63" s="81" t="s">
        <v>191</v>
      </c>
      <c r="I63" s="458">
        <f t="shared" si="34"/>
        <v>2078</v>
      </c>
      <c r="J63" s="470"/>
      <c r="K63" s="39">
        <f t="shared" si="35"/>
        <v>49</v>
      </c>
      <c r="L63" s="39"/>
      <c r="M63" s="40">
        <f t="shared" si="0"/>
        <v>0.2349502921834466</v>
      </c>
      <c r="N63" s="39"/>
      <c r="O63" s="72" t="str">
        <f t="shared" si="36"/>
        <v/>
      </c>
      <c r="P63" s="41" t="str">
        <f t="shared" si="38"/>
        <v/>
      </c>
      <c r="Q63" s="39"/>
      <c r="R63" s="72" t="str">
        <f t="shared" si="53"/>
        <v/>
      </c>
      <c r="S63" s="39"/>
      <c r="T63" s="72" t="str">
        <f t="shared" si="18"/>
        <v/>
      </c>
      <c r="U63" s="39"/>
      <c r="V63" s="72" t="str">
        <f t="shared" si="39"/>
        <v/>
      </c>
      <c r="W63" s="72" t="str">
        <f t="shared" si="19"/>
        <v/>
      </c>
      <c r="X63" s="39"/>
      <c r="Y63" s="72" t="str">
        <f t="shared" si="40"/>
        <v/>
      </c>
      <c r="Z63" s="72" t="str">
        <f t="shared" si="20"/>
        <v/>
      </c>
      <c r="AA63" s="39"/>
      <c r="AB63" s="72" t="str">
        <f t="shared" si="41"/>
        <v/>
      </c>
      <c r="AC63" s="72" t="str">
        <f t="shared" si="21"/>
        <v/>
      </c>
      <c r="AD63" s="39"/>
      <c r="AE63" s="72" t="str">
        <f t="shared" si="42"/>
        <v/>
      </c>
      <c r="AF63" s="72" t="str">
        <f t="shared" si="22"/>
        <v/>
      </c>
      <c r="AG63" s="39"/>
      <c r="AH63" s="72" t="str">
        <f t="shared" si="43"/>
        <v/>
      </c>
      <c r="AI63" s="72" t="str">
        <f t="shared" si="23"/>
        <v/>
      </c>
      <c r="AJ63" s="39"/>
      <c r="AK63" s="72" t="str">
        <f t="shared" si="44"/>
        <v/>
      </c>
      <c r="AL63" s="72" t="str">
        <f t="shared" si="24"/>
        <v/>
      </c>
      <c r="AM63" s="39"/>
      <c r="AN63" s="72" t="str">
        <f t="shared" si="45"/>
        <v/>
      </c>
      <c r="AO63" s="72" t="str">
        <f t="shared" si="25"/>
        <v/>
      </c>
      <c r="AP63" s="39"/>
      <c r="AQ63" s="72" t="str">
        <f t="shared" si="46"/>
        <v/>
      </c>
      <c r="AR63" s="72" t="str">
        <f t="shared" si="26"/>
        <v/>
      </c>
      <c r="AS63" s="39"/>
      <c r="AT63" s="40" t="str">
        <f>IF($K63&lt;=$F$15,IF($F$41&lt;&gt;"",$F$41/1000,IF(ISERROR(VLOOKUP($F$3&amp;IF($G$4&lt;&gt;"",$G$4,"")&amp;IF($F$44&lt;&gt;"","_"&amp;$F$44,""),'表3）燃料価格'!$AF$9:$AG$25,2,0)),0,VLOOKUP($I63,'表3）燃料価格'!$A$6:$U$66,VLOOKUP($F$3&amp;IF($G$4&lt;&gt;"",$G$4,"")&amp;IF($F$44&lt;&gt;"","_"&amp;$F$44,""),'表3）燃料価格'!$AF$9:$AG$25,2,0)+VLOOKUP($F$42,'表3）燃料価格'!$AF$28:$AG$29,2,0),0)*IF($F$44="需要地価格",1,$F$8/$F$142))),"")</f>
        <v/>
      </c>
      <c r="AU63" s="39"/>
      <c r="AV63" s="72" t="str">
        <f t="shared" si="47"/>
        <v/>
      </c>
      <c r="AW63" s="72" t="str">
        <f t="shared" si="27"/>
        <v/>
      </c>
      <c r="AX63" s="39"/>
      <c r="AY63" s="40" t="str">
        <f>IF(ISERROR(IF($K63&lt;=$F$15,VLOOKUP($I63,'表4）CO2価格'!$A$7:$E$67,VLOOKUP($F$49,'表4）CO2価格'!$H$10:$I$12,2,0),0)*$F$8/1000,"")),0,IF($K63&lt;=$F$15,VLOOKUP($I63,'表4）CO2価格'!$A$7:$E$67,VLOOKUP($F$49,'表4）CO2価格'!$H$10:$I$12,2,0),0)*$F$8/1000,""))</f>
        <v/>
      </c>
      <c r="AZ63" s="39"/>
      <c r="BA63" s="42" t="str">
        <f t="shared" si="48"/>
        <v/>
      </c>
      <c r="BB63" s="72" t="str">
        <f t="shared" si="28"/>
        <v/>
      </c>
      <c r="BC63" s="39"/>
      <c r="BD63" s="72" t="str">
        <f t="shared" si="49"/>
        <v/>
      </c>
      <c r="BE63" s="72" t="str">
        <f t="shared" si="29"/>
        <v/>
      </c>
      <c r="BF63" s="39"/>
      <c r="BG63" s="42" t="str">
        <f t="shared" si="50"/>
        <v/>
      </c>
      <c r="BH63" s="72" t="str">
        <f t="shared" si="30"/>
        <v/>
      </c>
      <c r="BI63" s="39"/>
      <c r="BJ63" s="40" t="str">
        <f t="shared" si="51"/>
        <v/>
      </c>
      <c r="BK63" s="157" t="str">
        <f t="shared" si="52"/>
        <v/>
      </c>
      <c r="BL63" s="157" t="str">
        <f t="shared" si="16"/>
        <v/>
      </c>
      <c r="BM63" s="72"/>
      <c r="BN63" s="72" t="str">
        <f t="shared" si="31"/>
        <v/>
      </c>
      <c r="BO63" s="72" t="str">
        <f t="shared" si="32"/>
        <v/>
      </c>
      <c r="BP63" s="39"/>
      <c r="BQ63" s="72" t="str">
        <f t="shared" si="37"/>
        <v/>
      </c>
      <c r="BR63" s="72" t="str">
        <f t="shared" si="33"/>
        <v/>
      </c>
    </row>
    <row r="64" spans="3:70" x14ac:dyDescent="0.15">
      <c r="I64" s="459">
        <f t="shared" si="34"/>
        <v>2079</v>
      </c>
      <c r="K64" s="71">
        <f t="shared" si="35"/>
        <v>50</v>
      </c>
      <c r="M64" s="7">
        <f t="shared" si="0"/>
        <v>0.22810707978975397</v>
      </c>
      <c r="O64" s="10" t="str">
        <f t="shared" si="36"/>
        <v/>
      </c>
      <c r="P64" s="29" t="str">
        <f t="shared" si="38"/>
        <v/>
      </c>
      <c r="R64" s="10" t="str">
        <f t="shared" si="53"/>
        <v/>
      </c>
      <c r="T64" s="10" t="str">
        <f t="shared" si="18"/>
        <v/>
      </c>
      <c r="V64" s="10" t="str">
        <f t="shared" si="39"/>
        <v/>
      </c>
      <c r="W64" s="10" t="str">
        <f t="shared" si="19"/>
        <v/>
      </c>
      <c r="Y64" s="10" t="str">
        <f t="shared" si="40"/>
        <v/>
      </c>
      <c r="Z64" s="10" t="str">
        <f t="shared" si="20"/>
        <v/>
      </c>
      <c r="AB64" s="10" t="str">
        <f t="shared" si="41"/>
        <v/>
      </c>
      <c r="AC64" s="10" t="str">
        <f t="shared" si="21"/>
        <v/>
      </c>
      <c r="AE64" s="10" t="str">
        <f t="shared" si="42"/>
        <v/>
      </c>
      <c r="AF64" s="10" t="str">
        <f t="shared" si="22"/>
        <v/>
      </c>
      <c r="AH64" s="10" t="str">
        <f t="shared" si="43"/>
        <v/>
      </c>
      <c r="AI64" s="10" t="str">
        <f t="shared" si="23"/>
        <v/>
      </c>
      <c r="AK64" s="10" t="str">
        <f t="shared" si="44"/>
        <v/>
      </c>
      <c r="AL64" s="10" t="str">
        <f t="shared" si="24"/>
        <v/>
      </c>
      <c r="AN64" s="10" t="str">
        <f t="shared" si="45"/>
        <v/>
      </c>
      <c r="AO64" s="10" t="str">
        <f t="shared" si="25"/>
        <v/>
      </c>
      <c r="AQ64" s="10" t="str">
        <f t="shared" si="46"/>
        <v/>
      </c>
      <c r="AR64" s="10" t="str">
        <f t="shared" si="26"/>
        <v/>
      </c>
      <c r="AT64" s="7" t="str">
        <f>IF($K64&lt;=$F$15,IF($F$41&lt;&gt;"",$F$41/1000,IF(ISERROR(VLOOKUP($F$3&amp;IF($G$4&lt;&gt;"",$G$4,"")&amp;IF($F$44&lt;&gt;"","_"&amp;$F$44,""),'表3）燃料価格'!$AF$9:$AG$25,2,0)),0,VLOOKUP($I64,'表3）燃料価格'!$A$6:$U$66,VLOOKUP($F$3&amp;IF($G$4&lt;&gt;"",$G$4,"")&amp;IF($F$44&lt;&gt;"","_"&amp;$F$44,""),'表3）燃料価格'!$AF$9:$AG$25,2,0)+VLOOKUP($F$42,'表3）燃料価格'!$AF$28:$AG$29,2,0),0)*IF($F$44="需要地価格",1,$F$8/$F$142))),"")</f>
        <v/>
      </c>
      <c r="AV64" s="10" t="str">
        <f t="shared" si="47"/>
        <v/>
      </c>
      <c r="AW64" s="10" t="str">
        <f t="shared" si="27"/>
        <v/>
      </c>
      <c r="AY64" s="7" t="str">
        <f>IF(ISERROR(IF($K64&lt;=$F$15,VLOOKUP($I64,'表4）CO2価格'!$A$7:$E$67,VLOOKUP($F$49,'表4）CO2価格'!$H$10:$I$12,2,0),0)*$F$8/1000,"")),0,IF($K64&lt;=$F$15,VLOOKUP($I64,'表4）CO2価格'!$A$7:$E$67,VLOOKUP($F$49,'表4）CO2価格'!$H$10:$I$12,2,0),0)*$F$8/1000,""))</f>
        <v/>
      </c>
      <c r="BA64" s="11" t="str">
        <f t="shared" si="48"/>
        <v/>
      </c>
      <c r="BB64" s="10" t="str">
        <f t="shared" si="28"/>
        <v/>
      </c>
      <c r="BD64" s="10" t="str">
        <f t="shared" si="49"/>
        <v/>
      </c>
      <c r="BE64" s="10" t="str">
        <f t="shared" si="29"/>
        <v/>
      </c>
      <c r="BG64" s="11" t="str">
        <f t="shared" si="50"/>
        <v/>
      </c>
      <c r="BH64" s="10" t="str">
        <f t="shared" si="30"/>
        <v/>
      </c>
      <c r="BJ64" s="7" t="str">
        <f t="shared" si="51"/>
        <v/>
      </c>
      <c r="BK64" s="158" t="str">
        <f t="shared" si="52"/>
        <v/>
      </c>
      <c r="BL64" s="158" t="str">
        <f t="shared" si="16"/>
        <v/>
      </c>
      <c r="BM64" s="10"/>
      <c r="BN64" s="10" t="str">
        <f t="shared" si="31"/>
        <v/>
      </c>
      <c r="BO64" s="10" t="str">
        <f t="shared" si="32"/>
        <v/>
      </c>
      <c r="BQ64" s="188" t="str">
        <f t="shared" si="37"/>
        <v/>
      </c>
      <c r="BR64" s="10" t="str">
        <f t="shared" si="33"/>
        <v/>
      </c>
    </row>
    <row r="65" spans="2:70" x14ac:dyDescent="0.15">
      <c r="C65" s="9" t="s">
        <v>513</v>
      </c>
      <c r="F65" s="67">
        <v>0.06</v>
      </c>
      <c r="G65" s="81" t="s">
        <v>132</v>
      </c>
      <c r="I65" s="458">
        <f t="shared" si="34"/>
        <v>2080</v>
      </c>
      <c r="J65" s="470"/>
      <c r="K65" s="39">
        <f t="shared" si="35"/>
        <v>51</v>
      </c>
      <c r="L65" s="39"/>
      <c r="M65" s="40">
        <f t="shared" si="0"/>
        <v>0.22146318426189707</v>
      </c>
      <c r="N65" s="39"/>
      <c r="O65" s="72" t="str">
        <f t="shared" si="36"/>
        <v/>
      </c>
      <c r="P65" s="41" t="str">
        <f t="shared" si="38"/>
        <v/>
      </c>
      <c r="Q65" s="39"/>
      <c r="R65" s="72" t="str">
        <f t="shared" si="53"/>
        <v/>
      </c>
      <c r="S65" s="39"/>
      <c r="T65" s="72" t="str">
        <f t="shared" si="18"/>
        <v/>
      </c>
      <c r="U65" s="39"/>
      <c r="V65" s="72" t="str">
        <f t="shared" si="39"/>
        <v/>
      </c>
      <c r="W65" s="72" t="str">
        <f t="shared" si="19"/>
        <v/>
      </c>
      <c r="X65" s="39"/>
      <c r="Y65" s="72" t="str">
        <f t="shared" si="40"/>
        <v/>
      </c>
      <c r="Z65" s="72" t="str">
        <f t="shared" si="20"/>
        <v/>
      </c>
      <c r="AA65" s="39"/>
      <c r="AB65" s="72" t="str">
        <f t="shared" si="41"/>
        <v/>
      </c>
      <c r="AC65" s="72" t="str">
        <f t="shared" si="21"/>
        <v/>
      </c>
      <c r="AD65" s="39"/>
      <c r="AE65" s="72" t="str">
        <f t="shared" si="42"/>
        <v/>
      </c>
      <c r="AF65" s="72" t="str">
        <f t="shared" si="22"/>
        <v/>
      </c>
      <c r="AG65" s="39"/>
      <c r="AH65" s="72" t="str">
        <f t="shared" si="43"/>
        <v/>
      </c>
      <c r="AI65" s="72" t="str">
        <f t="shared" si="23"/>
        <v/>
      </c>
      <c r="AJ65" s="39"/>
      <c r="AK65" s="72" t="str">
        <f t="shared" si="44"/>
        <v/>
      </c>
      <c r="AL65" s="72" t="str">
        <f t="shared" si="24"/>
        <v/>
      </c>
      <c r="AM65" s="39"/>
      <c r="AN65" s="72" t="str">
        <f t="shared" si="45"/>
        <v/>
      </c>
      <c r="AO65" s="72" t="str">
        <f t="shared" si="25"/>
        <v/>
      </c>
      <c r="AP65" s="39"/>
      <c r="AQ65" s="72" t="str">
        <f t="shared" si="46"/>
        <v/>
      </c>
      <c r="AR65" s="72" t="str">
        <f t="shared" si="26"/>
        <v/>
      </c>
      <c r="AS65" s="39"/>
      <c r="AT65" s="40" t="str">
        <f>IF($K65&lt;=$F$15,IF($F$41&lt;&gt;"",$F$41/1000,IF(ISERROR(VLOOKUP($F$3&amp;IF($G$4&lt;&gt;"",$G$4,"")&amp;IF($F$44&lt;&gt;"","_"&amp;$F$44,""),'表3）燃料価格'!$AF$9:$AG$25,2,0)),0,VLOOKUP($I65,'表3）燃料価格'!$A$6:$U$66,VLOOKUP($F$3&amp;IF($G$4&lt;&gt;"",$G$4,"")&amp;IF($F$44&lt;&gt;"","_"&amp;$F$44,""),'表3）燃料価格'!$AF$9:$AG$25,2,0)+VLOOKUP($F$42,'表3）燃料価格'!$AF$28:$AG$29,2,0),0)*IF($F$44="需要地価格",1,$F$8/$F$142))),"")</f>
        <v/>
      </c>
      <c r="AU65" s="39"/>
      <c r="AV65" s="72" t="str">
        <f t="shared" si="47"/>
        <v/>
      </c>
      <c r="AW65" s="72" t="str">
        <f t="shared" si="27"/>
        <v/>
      </c>
      <c r="AX65" s="39"/>
      <c r="AY65" s="40" t="str">
        <f>IF(ISERROR(IF($K65&lt;=$F$15,VLOOKUP($I65,'表4）CO2価格'!$A$7:$E$67,VLOOKUP($F$49,'表4）CO2価格'!$H$10:$I$12,2,0),0)*$F$8/1000,"")),0,IF($K65&lt;=$F$15,VLOOKUP($I65,'表4）CO2価格'!$A$7:$E$67,VLOOKUP($F$49,'表4）CO2価格'!$H$10:$I$12,2,0),0)*$F$8/1000,""))</f>
        <v/>
      </c>
      <c r="AZ65" s="39"/>
      <c r="BA65" s="42" t="str">
        <f t="shared" si="48"/>
        <v/>
      </c>
      <c r="BB65" s="72" t="str">
        <f t="shared" si="28"/>
        <v/>
      </c>
      <c r="BC65" s="39"/>
      <c r="BD65" s="72" t="str">
        <f t="shared" si="49"/>
        <v/>
      </c>
      <c r="BE65" s="72" t="str">
        <f t="shared" si="29"/>
        <v/>
      </c>
      <c r="BF65" s="39"/>
      <c r="BG65" s="42" t="str">
        <f t="shared" si="50"/>
        <v/>
      </c>
      <c r="BH65" s="72" t="str">
        <f t="shared" si="30"/>
        <v/>
      </c>
      <c r="BI65" s="39"/>
      <c r="BJ65" s="40" t="str">
        <f t="shared" si="51"/>
        <v/>
      </c>
      <c r="BK65" s="157" t="str">
        <f t="shared" si="52"/>
        <v/>
      </c>
      <c r="BL65" s="157" t="str">
        <f t="shared" si="16"/>
        <v/>
      </c>
      <c r="BM65" s="72"/>
      <c r="BN65" s="72" t="str">
        <f t="shared" si="31"/>
        <v/>
      </c>
      <c r="BO65" s="72" t="str">
        <f t="shared" si="32"/>
        <v/>
      </c>
      <c r="BP65" s="39"/>
      <c r="BQ65" s="72" t="str">
        <f t="shared" si="37"/>
        <v/>
      </c>
      <c r="BR65" s="72" t="str">
        <f t="shared" si="33"/>
        <v/>
      </c>
    </row>
    <row r="66" spans="2:70" x14ac:dyDescent="0.15">
      <c r="I66" s="459">
        <f t="shared" si="34"/>
        <v>2081</v>
      </c>
      <c r="K66" s="71">
        <f t="shared" si="35"/>
        <v>52</v>
      </c>
      <c r="M66" s="7">
        <f t="shared" si="0"/>
        <v>0.215012800254269</v>
      </c>
      <c r="O66" s="10" t="str">
        <f t="shared" si="36"/>
        <v/>
      </c>
      <c r="P66" s="29" t="str">
        <f t="shared" si="38"/>
        <v/>
      </c>
      <c r="R66" s="10" t="str">
        <f t="shared" si="53"/>
        <v/>
      </c>
      <c r="T66" s="10" t="str">
        <f t="shared" si="18"/>
        <v/>
      </c>
      <c r="V66" s="10" t="str">
        <f t="shared" si="39"/>
        <v/>
      </c>
      <c r="W66" s="10" t="str">
        <f t="shared" si="19"/>
        <v/>
      </c>
      <c r="Y66" s="10" t="str">
        <f t="shared" si="40"/>
        <v/>
      </c>
      <c r="Z66" s="10" t="str">
        <f t="shared" si="20"/>
        <v/>
      </c>
      <c r="AB66" s="10" t="str">
        <f t="shared" si="41"/>
        <v/>
      </c>
      <c r="AC66" s="10" t="str">
        <f t="shared" si="21"/>
        <v/>
      </c>
      <c r="AE66" s="10" t="str">
        <f t="shared" si="42"/>
        <v/>
      </c>
      <c r="AF66" s="10" t="str">
        <f t="shared" si="22"/>
        <v/>
      </c>
      <c r="AH66" s="10" t="str">
        <f t="shared" si="43"/>
        <v/>
      </c>
      <c r="AI66" s="10" t="str">
        <f t="shared" si="23"/>
        <v/>
      </c>
      <c r="AK66" s="10" t="str">
        <f t="shared" si="44"/>
        <v/>
      </c>
      <c r="AL66" s="10" t="str">
        <f t="shared" si="24"/>
        <v/>
      </c>
      <c r="AN66" s="10" t="str">
        <f t="shared" si="45"/>
        <v/>
      </c>
      <c r="AO66" s="10" t="str">
        <f t="shared" si="25"/>
        <v/>
      </c>
      <c r="AQ66" s="10" t="str">
        <f t="shared" si="46"/>
        <v/>
      </c>
      <c r="AR66" s="10" t="str">
        <f t="shared" si="26"/>
        <v/>
      </c>
      <c r="AT66" s="7" t="str">
        <f>IF($K66&lt;=$F$15,IF($F$41&lt;&gt;"",$F$41/1000,IF(ISERROR(VLOOKUP($F$3&amp;IF($G$4&lt;&gt;"",$G$4,"")&amp;IF($F$44&lt;&gt;"","_"&amp;$F$44,""),'表3）燃料価格'!$AF$9:$AG$25,2,0)),0,VLOOKUP($I66,'表3）燃料価格'!$A$6:$U$66,VLOOKUP($F$3&amp;IF($G$4&lt;&gt;"",$G$4,"")&amp;IF($F$44&lt;&gt;"","_"&amp;$F$44,""),'表3）燃料価格'!$AF$9:$AG$25,2,0)+VLOOKUP($F$42,'表3）燃料価格'!$AF$28:$AG$29,2,0),0)*IF($F$44="需要地価格",1,$F$8/$F$142))),"")</f>
        <v/>
      </c>
      <c r="AV66" s="10" t="str">
        <f t="shared" si="47"/>
        <v/>
      </c>
      <c r="AW66" s="10" t="str">
        <f t="shared" si="27"/>
        <v/>
      </c>
      <c r="AY66" s="7" t="str">
        <f>IF(ISERROR(IF($K66&lt;=$F$15,VLOOKUP($I66,'表4）CO2価格'!$A$7:$E$67,VLOOKUP($F$49,'表4）CO2価格'!$H$10:$I$12,2,0),0)*$F$8/1000,"")),0,IF($K66&lt;=$F$15,VLOOKUP($I66,'表4）CO2価格'!$A$7:$E$67,VLOOKUP($F$49,'表4）CO2価格'!$H$10:$I$12,2,0),0)*$F$8/1000,""))</f>
        <v/>
      </c>
      <c r="BA66" s="11" t="str">
        <f t="shared" si="48"/>
        <v/>
      </c>
      <c r="BB66" s="10" t="str">
        <f t="shared" si="28"/>
        <v/>
      </c>
      <c r="BD66" s="10" t="str">
        <f t="shared" si="49"/>
        <v/>
      </c>
      <c r="BE66" s="10" t="str">
        <f t="shared" si="29"/>
        <v/>
      </c>
      <c r="BG66" s="11" t="str">
        <f t="shared" si="50"/>
        <v/>
      </c>
      <c r="BH66" s="10" t="str">
        <f t="shared" si="30"/>
        <v/>
      </c>
      <c r="BJ66" s="7" t="str">
        <f t="shared" si="51"/>
        <v/>
      </c>
      <c r="BK66" s="158" t="str">
        <f t="shared" si="52"/>
        <v/>
      </c>
      <c r="BL66" s="158" t="str">
        <f t="shared" si="16"/>
        <v/>
      </c>
      <c r="BM66" s="10"/>
      <c r="BN66" s="10" t="str">
        <f t="shared" si="31"/>
        <v/>
      </c>
      <c r="BO66" s="10" t="str">
        <f t="shared" si="32"/>
        <v/>
      </c>
      <c r="BQ66" s="188" t="str">
        <f t="shared" si="37"/>
        <v/>
      </c>
      <c r="BR66" s="10" t="str">
        <f t="shared" si="33"/>
        <v/>
      </c>
    </row>
    <row r="67" spans="2:70" x14ac:dyDescent="0.15">
      <c r="I67" s="458">
        <f t="shared" si="34"/>
        <v>2082</v>
      </c>
      <c r="J67" s="470"/>
      <c r="K67" s="39">
        <f t="shared" si="35"/>
        <v>53</v>
      </c>
      <c r="L67" s="39"/>
      <c r="M67" s="40">
        <f t="shared" si="0"/>
        <v>0.20875029150899907</v>
      </c>
      <c r="N67" s="39"/>
      <c r="O67" s="72" t="str">
        <f t="shared" si="36"/>
        <v/>
      </c>
      <c r="P67" s="41" t="str">
        <f t="shared" si="38"/>
        <v/>
      </c>
      <c r="Q67" s="39"/>
      <c r="R67" s="72" t="str">
        <f t="shared" si="53"/>
        <v/>
      </c>
      <c r="S67" s="39"/>
      <c r="T67" s="72" t="str">
        <f t="shared" si="18"/>
        <v/>
      </c>
      <c r="U67" s="39"/>
      <c r="V67" s="72" t="str">
        <f t="shared" si="39"/>
        <v/>
      </c>
      <c r="W67" s="72" t="str">
        <f t="shared" si="19"/>
        <v/>
      </c>
      <c r="X67" s="39"/>
      <c r="Y67" s="72" t="str">
        <f t="shared" si="40"/>
        <v/>
      </c>
      <c r="Z67" s="72" t="str">
        <f t="shared" si="20"/>
        <v/>
      </c>
      <c r="AA67" s="39"/>
      <c r="AB67" s="72" t="str">
        <f t="shared" si="41"/>
        <v/>
      </c>
      <c r="AC67" s="72" t="str">
        <f t="shared" si="21"/>
        <v/>
      </c>
      <c r="AD67" s="39"/>
      <c r="AE67" s="72" t="str">
        <f t="shared" si="42"/>
        <v/>
      </c>
      <c r="AF67" s="72" t="str">
        <f t="shared" si="22"/>
        <v/>
      </c>
      <c r="AG67" s="39"/>
      <c r="AH67" s="72" t="str">
        <f t="shared" si="43"/>
        <v/>
      </c>
      <c r="AI67" s="72" t="str">
        <f t="shared" si="23"/>
        <v/>
      </c>
      <c r="AJ67" s="39"/>
      <c r="AK67" s="72" t="str">
        <f t="shared" si="44"/>
        <v/>
      </c>
      <c r="AL67" s="72" t="str">
        <f t="shared" si="24"/>
        <v/>
      </c>
      <c r="AM67" s="39"/>
      <c r="AN67" s="72" t="str">
        <f t="shared" si="45"/>
        <v/>
      </c>
      <c r="AO67" s="72" t="str">
        <f t="shared" si="25"/>
        <v/>
      </c>
      <c r="AP67" s="39"/>
      <c r="AQ67" s="72" t="str">
        <f t="shared" si="46"/>
        <v/>
      </c>
      <c r="AR67" s="72" t="str">
        <f t="shared" si="26"/>
        <v/>
      </c>
      <c r="AS67" s="39"/>
      <c r="AT67" s="40" t="str">
        <f>IF($K67&lt;=$F$15,IF($F$41&lt;&gt;"",$F$41/1000,IF(ISERROR(VLOOKUP($F$3&amp;IF($G$4&lt;&gt;"",$G$4,"")&amp;IF($F$44&lt;&gt;"","_"&amp;$F$44,""),'表3）燃料価格'!$AF$9:$AG$25,2,0)),0,VLOOKUP($I67,'表3）燃料価格'!$A$6:$U$66,VLOOKUP($F$3&amp;IF($G$4&lt;&gt;"",$G$4,"")&amp;IF($F$44&lt;&gt;"","_"&amp;$F$44,""),'表3）燃料価格'!$AF$9:$AG$25,2,0)+VLOOKUP($F$42,'表3）燃料価格'!$AF$28:$AG$29,2,0),0)*IF($F$44="需要地価格",1,$F$8/$F$142))),"")</f>
        <v/>
      </c>
      <c r="AU67" s="39"/>
      <c r="AV67" s="72" t="str">
        <f t="shared" si="47"/>
        <v/>
      </c>
      <c r="AW67" s="72" t="str">
        <f t="shared" si="27"/>
        <v/>
      </c>
      <c r="AX67" s="39"/>
      <c r="AY67" s="40" t="str">
        <f>IF(ISERROR(IF($K67&lt;=$F$15,VLOOKUP($I67,'表4）CO2価格'!$A$7:$E$67,VLOOKUP($F$49,'表4）CO2価格'!$H$10:$I$12,2,0),0)*$F$8/1000,"")),0,IF($K67&lt;=$F$15,VLOOKUP($I67,'表4）CO2価格'!$A$7:$E$67,VLOOKUP($F$49,'表4）CO2価格'!$H$10:$I$12,2,0),0)*$F$8/1000,""))</f>
        <v/>
      </c>
      <c r="AZ67" s="39"/>
      <c r="BA67" s="42" t="str">
        <f t="shared" si="48"/>
        <v/>
      </c>
      <c r="BB67" s="72" t="str">
        <f t="shared" si="28"/>
        <v/>
      </c>
      <c r="BC67" s="39"/>
      <c r="BD67" s="72" t="str">
        <f t="shared" si="49"/>
        <v/>
      </c>
      <c r="BE67" s="72" t="str">
        <f t="shared" si="29"/>
        <v/>
      </c>
      <c r="BF67" s="39"/>
      <c r="BG67" s="42" t="str">
        <f t="shared" si="50"/>
        <v/>
      </c>
      <c r="BH67" s="72" t="str">
        <f t="shared" si="30"/>
        <v/>
      </c>
      <c r="BI67" s="39"/>
      <c r="BJ67" s="40" t="str">
        <f t="shared" si="51"/>
        <v/>
      </c>
      <c r="BK67" s="157" t="str">
        <f t="shared" si="52"/>
        <v/>
      </c>
      <c r="BL67" s="157" t="str">
        <f t="shared" si="16"/>
        <v/>
      </c>
      <c r="BM67" s="72"/>
      <c r="BN67" s="72" t="str">
        <f t="shared" si="31"/>
        <v/>
      </c>
      <c r="BO67" s="72" t="str">
        <f t="shared" si="32"/>
        <v/>
      </c>
      <c r="BP67" s="39"/>
      <c r="BQ67" s="72" t="str">
        <f t="shared" si="37"/>
        <v/>
      </c>
      <c r="BR67" s="72" t="str">
        <f t="shared" si="33"/>
        <v/>
      </c>
    </row>
    <row r="68" spans="2:70" ht="15.75" thickBot="1" x14ac:dyDescent="0.2">
      <c r="B68" s="460" t="s">
        <v>133</v>
      </c>
      <c r="C68" s="86"/>
      <c r="D68" s="104"/>
      <c r="E68" s="104"/>
      <c r="F68" s="86"/>
      <c r="G68" s="104"/>
      <c r="I68" s="459">
        <f t="shared" si="34"/>
        <v>2083</v>
      </c>
      <c r="K68" s="71">
        <f t="shared" si="35"/>
        <v>54</v>
      </c>
      <c r="M68" s="7">
        <f t="shared" si="0"/>
        <v>0.20267018593106703</v>
      </c>
      <c r="O68" s="10" t="str">
        <f t="shared" si="36"/>
        <v/>
      </c>
      <c r="P68" s="29" t="str">
        <f t="shared" si="38"/>
        <v/>
      </c>
      <c r="R68" s="10" t="str">
        <f t="shared" si="53"/>
        <v/>
      </c>
      <c r="T68" s="10" t="str">
        <f t="shared" si="18"/>
        <v/>
      </c>
      <c r="V68" s="10" t="str">
        <f t="shared" si="39"/>
        <v/>
      </c>
      <c r="W68" s="10" t="str">
        <f t="shared" si="19"/>
        <v/>
      </c>
      <c r="Y68" s="10" t="str">
        <f t="shared" si="40"/>
        <v/>
      </c>
      <c r="Z68" s="10" t="str">
        <f t="shared" si="20"/>
        <v/>
      </c>
      <c r="AB68" s="10" t="str">
        <f t="shared" si="41"/>
        <v/>
      </c>
      <c r="AC68" s="10" t="str">
        <f t="shared" si="21"/>
        <v/>
      </c>
      <c r="AE68" s="10" t="str">
        <f t="shared" si="42"/>
        <v/>
      </c>
      <c r="AF68" s="10" t="str">
        <f t="shared" si="22"/>
        <v/>
      </c>
      <c r="AH68" s="10" t="str">
        <f t="shared" si="43"/>
        <v/>
      </c>
      <c r="AI68" s="10" t="str">
        <f t="shared" si="23"/>
        <v/>
      </c>
      <c r="AK68" s="10" t="str">
        <f t="shared" si="44"/>
        <v/>
      </c>
      <c r="AL68" s="10" t="str">
        <f t="shared" si="24"/>
        <v/>
      </c>
      <c r="AN68" s="10" t="str">
        <f t="shared" si="45"/>
        <v/>
      </c>
      <c r="AO68" s="10" t="str">
        <f t="shared" si="25"/>
        <v/>
      </c>
      <c r="AQ68" s="10" t="str">
        <f t="shared" si="46"/>
        <v/>
      </c>
      <c r="AR68" s="10" t="str">
        <f t="shared" si="26"/>
        <v/>
      </c>
      <c r="AT68" s="7" t="str">
        <f>IF($K68&lt;=$F$15,IF($F$41&lt;&gt;"",$F$41/1000,IF(ISERROR(VLOOKUP($F$3&amp;IF($G$4&lt;&gt;"",$G$4,"")&amp;IF($F$44&lt;&gt;"","_"&amp;$F$44,""),'表3）燃料価格'!$AF$9:$AG$25,2,0)),0,VLOOKUP($I68,'表3）燃料価格'!$A$6:$U$66,VLOOKUP($F$3&amp;IF($G$4&lt;&gt;"",$G$4,"")&amp;IF($F$44&lt;&gt;"","_"&amp;$F$44,""),'表3）燃料価格'!$AF$9:$AG$25,2,0)+VLOOKUP($F$42,'表3）燃料価格'!$AF$28:$AG$29,2,0),0)*IF($F$44="需要地価格",1,$F$8/$F$142))),"")</f>
        <v/>
      </c>
      <c r="AV68" s="10" t="str">
        <f t="shared" si="47"/>
        <v/>
      </c>
      <c r="AW68" s="10" t="str">
        <f t="shared" si="27"/>
        <v/>
      </c>
      <c r="AY68" s="7" t="str">
        <f>IF(ISERROR(IF($K68&lt;=$F$15,VLOOKUP($I68,'表4）CO2価格'!$A$7:$E$67,VLOOKUP($F$49,'表4）CO2価格'!$H$10:$I$12,2,0),0)*$F$8/1000,"")),0,IF($K68&lt;=$F$15,VLOOKUP($I68,'表4）CO2価格'!$A$7:$E$67,VLOOKUP($F$49,'表4）CO2価格'!$H$10:$I$12,2,0),0)*$F$8/1000,""))</f>
        <v/>
      </c>
      <c r="BA68" s="11" t="str">
        <f t="shared" si="48"/>
        <v/>
      </c>
      <c r="BB68" s="10" t="str">
        <f t="shared" si="28"/>
        <v/>
      </c>
      <c r="BD68" s="10" t="str">
        <f t="shared" si="49"/>
        <v/>
      </c>
      <c r="BE68" s="10" t="str">
        <f t="shared" si="29"/>
        <v/>
      </c>
      <c r="BG68" s="11" t="str">
        <f t="shared" si="50"/>
        <v/>
      </c>
      <c r="BH68" s="10" t="str">
        <f t="shared" si="30"/>
        <v/>
      </c>
      <c r="BJ68" s="7" t="str">
        <f t="shared" si="51"/>
        <v/>
      </c>
      <c r="BK68" s="158" t="str">
        <f t="shared" si="52"/>
        <v/>
      </c>
      <c r="BL68" s="158" t="str">
        <f t="shared" si="16"/>
        <v/>
      </c>
      <c r="BM68" s="10"/>
      <c r="BN68" s="10" t="str">
        <f t="shared" si="31"/>
        <v/>
      </c>
      <c r="BO68" s="10" t="str">
        <f t="shared" si="32"/>
        <v/>
      </c>
      <c r="BQ68" s="188" t="str">
        <f t="shared" si="37"/>
        <v/>
      </c>
      <c r="BR68" s="10" t="str">
        <f t="shared" si="33"/>
        <v/>
      </c>
    </row>
    <row r="69" spans="2:70" x14ac:dyDescent="0.15">
      <c r="I69" s="458">
        <f t="shared" si="34"/>
        <v>2084</v>
      </c>
      <c r="J69" s="470"/>
      <c r="K69" s="39">
        <f t="shared" si="35"/>
        <v>55</v>
      </c>
      <c r="L69" s="39"/>
      <c r="M69" s="40">
        <f t="shared" si="0"/>
        <v>0.19676717080686118</v>
      </c>
      <c r="N69" s="39"/>
      <c r="O69" s="72" t="str">
        <f t="shared" si="36"/>
        <v/>
      </c>
      <c r="P69" s="41" t="str">
        <f t="shared" si="38"/>
        <v/>
      </c>
      <c r="Q69" s="39"/>
      <c r="R69" s="72" t="str">
        <f t="shared" si="53"/>
        <v/>
      </c>
      <c r="S69" s="39"/>
      <c r="T69" s="72" t="str">
        <f t="shared" si="18"/>
        <v/>
      </c>
      <c r="U69" s="39"/>
      <c r="V69" s="72" t="str">
        <f t="shared" si="39"/>
        <v/>
      </c>
      <c r="W69" s="72" t="str">
        <f t="shared" si="19"/>
        <v/>
      </c>
      <c r="X69" s="39"/>
      <c r="Y69" s="72" t="str">
        <f t="shared" si="40"/>
        <v/>
      </c>
      <c r="Z69" s="72" t="str">
        <f t="shared" si="20"/>
        <v/>
      </c>
      <c r="AA69" s="39"/>
      <c r="AB69" s="72" t="str">
        <f t="shared" si="41"/>
        <v/>
      </c>
      <c r="AC69" s="72" t="str">
        <f t="shared" si="21"/>
        <v/>
      </c>
      <c r="AD69" s="39"/>
      <c r="AE69" s="72" t="str">
        <f t="shared" si="42"/>
        <v/>
      </c>
      <c r="AF69" s="72" t="str">
        <f t="shared" si="22"/>
        <v/>
      </c>
      <c r="AG69" s="39"/>
      <c r="AH69" s="72" t="str">
        <f t="shared" si="43"/>
        <v/>
      </c>
      <c r="AI69" s="72" t="str">
        <f t="shared" si="23"/>
        <v/>
      </c>
      <c r="AJ69" s="39"/>
      <c r="AK69" s="72" t="str">
        <f t="shared" si="44"/>
        <v/>
      </c>
      <c r="AL69" s="72" t="str">
        <f t="shared" si="24"/>
        <v/>
      </c>
      <c r="AM69" s="39"/>
      <c r="AN69" s="72" t="str">
        <f t="shared" si="45"/>
        <v/>
      </c>
      <c r="AO69" s="72" t="str">
        <f t="shared" si="25"/>
        <v/>
      </c>
      <c r="AP69" s="39"/>
      <c r="AQ69" s="72" t="str">
        <f t="shared" si="46"/>
        <v/>
      </c>
      <c r="AR69" s="72" t="str">
        <f t="shared" si="26"/>
        <v/>
      </c>
      <c r="AS69" s="39"/>
      <c r="AT69" s="40" t="str">
        <f>IF($K69&lt;=$F$15,IF($F$41&lt;&gt;"",$F$41/1000,IF(ISERROR(VLOOKUP($F$3&amp;IF($G$4&lt;&gt;"",$G$4,"")&amp;IF($F$44&lt;&gt;"","_"&amp;$F$44,""),'表3）燃料価格'!$AF$9:$AG$25,2,0)),0,VLOOKUP($I69,'表3）燃料価格'!$A$6:$U$66,VLOOKUP($F$3&amp;IF($G$4&lt;&gt;"",$G$4,"")&amp;IF($F$44&lt;&gt;"","_"&amp;$F$44,""),'表3）燃料価格'!$AF$9:$AG$25,2,0)+VLOOKUP($F$42,'表3）燃料価格'!$AF$28:$AG$29,2,0),0)*IF($F$44="需要地価格",1,$F$8/$F$142))),"")</f>
        <v/>
      </c>
      <c r="AU69" s="39"/>
      <c r="AV69" s="72" t="str">
        <f t="shared" si="47"/>
        <v/>
      </c>
      <c r="AW69" s="72" t="str">
        <f t="shared" si="27"/>
        <v/>
      </c>
      <c r="AX69" s="39"/>
      <c r="AY69" s="40" t="str">
        <f>IF(ISERROR(IF($K69&lt;=$F$15,VLOOKUP($I69,'表4）CO2価格'!$A$7:$E$67,VLOOKUP($F$49,'表4）CO2価格'!$H$10:$I$12,2,0),0)*$F$8/1000,"")),0,IF($K69&lt;=$F$15,VLOOKUP($I69,'表4）CO2価格'!$A$7:$E$67,VLOOKUP($F$49,'表4）CO2価格'!$H$10:$I$12,2,0),0)*$F$8/1000,""))</f>
        <v/>
      </c>
      <c r="AZ69" s="39"/>
      <c r="BA69" s="42" t="str">
        <f t="shared" si="48"/>
        <v/>
      </c>
      <c r="BB69" s="72" t="str">
        <f t="shared" si="28"/>
        <v/>
      </c>
      <c r="BC69" s="39"/>
      <c r="BD69" s="72" t="str">
        <f t="shared" si="49"/>
        <v/>
      </c>
      <c r="BE69" s="72" t="str">
        <f t="shared" si="29"/>
        <v/>
      </c>
      <c r="BF69" s="39"/>
      <c r="BG69" s="42" t="str">
        <f t="shared" si="50"/>
        <v/>
      </c>
      <c r="BH69" s="72" t="str">
        <f t="shared" si="30"/>
        <v/>
      </c>
      <c r="BI69" s="39"/>
      <c r="BJ69" s="40" t="str">
        <f t="shared" si="51"/>
        <v/>
      </c>
      <c r="BK69" s="157" t="str">
        <f t="shared" si="52"/>
        <v/>
      </c>
      <c r="BL69" s="157" t="str">
        <f t="shared" si="16"/>
        <v/>
      </c>
      <c r="BM69" s="72"/>
      <c r="BN69" s="72" t="str">
        <f t="shared" si="31"/>
        <v/>
      </c>
      <c r="BO69" s="72" t="str">
        <f t="shared" si="32"/>
        <v/>
      </c>
      <c r="BP69" s="39"/>
      <c r="BQ69" s="72" t="str">
        <f t="shared" si="37"/>
        <v/>
      </c>
      <c r="BR69" s="72" t="str">
        <f t="shared" si="33"/>
        <v/>
      </c>
    </row>
    <row r="70" spans="2:70" x14ac:dyDescent="0.15">
      <c r="C70" s="461" t="s">
        <v>134</v>
      </c>
      <c r="D70" s="9"/>
      <c r="E70" s="9"/>
      <c r="F70" s="94">
        <f>SUBTOTAL(9,F75:F113)-F106</f>
        <v>11.053968261233697</v>
      </c>
      <c r="G70" s="9" t="s">
        <v>132</v>
      </c>
      <c r="I70" s="459">
        <f t="shared" si="34"/>
        <v>2085</v>
      </c>
      <c r="K70" s="71">
        <f t="shared" si="35"/>
        <v>56</v>
      </c>
      <c r="M70" s="7">
        <f t="shared" si="0"/>
        <v>0.19103608816200118</v>
      </c>
      <c r="O70" s="10" t="str">
        <f t="shared" si="36"/>
        <v/>
      </c>
      <c r="P70" s="29" t="str">
        <f t="shared" si="38"/>
        <v/>
      </c>
      <c r="R70" s="10" t="str">
        <f t="shared" si="53"/>
        <v/>
      </c>
      <c r="T70" s="10" t="str">
        <f t="shared" si="18"/>
        <v/>
      </c>
      <c r="V70" s="10" t="str">
        <f t="shared" si="39"/>
        <v/>
      </c>
      <c r="W70" s="10" t="str">
        <f t="shared" si="19"/>
        <v/>
      </c>
      <c r="Y70" s="10" t="str">
        <f t="shared" si="40"/>
        <v/>
      </c>
      <c r="Z70" s="10" t="str">
        <f t="shared" si="20"/>
        <v/>
      </c>
      <c r="AB70" s="10" t="str">
        <f t="shared" si="41"/>
        <v/>
      </c>
      <c r="AC70" s="10" t="str">
        <f t="shared" si="21"/>
        <v/>
      </c>
      <c r="AE70" s="10" t="str">
        <f t="shared" si="42"/>
        <v/>
      </c>
      <c r="AF70" s="10" t="str">
        <f t="shared" si="22"/>
        <v/>
      </c>
      <c r="AH70" s="10" t="str">
        <f t="shared" si="43"/>
        <v/>
      </c>
      <c r="AI70" s="10" t="str">
        <f t="shared" si="23"/>
        <v/>
      </c>
      <c r="AK70" s="10" t="str">
        <f t="shared" si="44"/>
        <v/>
      </c>
      <c r="AL70" s="10" t="str">
        <f t="shared" si="24"/>
        <v/>
      </c>
      <c r="AN70" s="10" t="str">
        <f t="shared" si="45"/>
        <v/>
      </c>
      <c r="AO70" s="10" t="str">
        <f t="shared" si="25"/>
        <v/>
      </c>
      <c r="AQ70" s="10" t="str">
        <f t="shared" si="46"/>
        <v/>
      </c>
      <c r="AR70" s="10" t="str">
        <f t="shared" si="26"/>
        <v/>
      </c>
      <c r="AT70" s="7" t="str">
        <f>IF($K70&lt;=$F$15,IF($F$41&lt;&gt;"",$F$41/1000,IF(ISERROR(VLOOKUP($F$3&amp;IF($G$4&lt;&gt;"",$G$4,"")&amp;IF($F$44&lt;&gt;"","_"&amp;$F$44,""),'表3）燃料価格'!$AF$9:$AG$25,2,0)),0,VLOOKUP($I70,'表3）燃料価格'!$A$6:$U$66,VLOOKUP($F$3&amp;IF($G$4&lt;&gt;"",$G$4,"")&amp;IF($F$44&lt;&gt;"","_"&amp;$F$44,""),'表3）燃料価格'!$AF$9:$AG$25,2,0)+VLOOKUP($F$42,'表3）燃料価格'!$AF$28:$AG$29,2,0),0)*IF($F$44="需要地価格",1,$F$8/$F$142))),"")</f>
        <v/>
      </c>
      <c r="AV70" s="10" t="str">
        <f t="shared" si="47"/>
        <v/>
      </c>
      <c r="AW70" s="10" t="str">
        <f t="shared" si="27"/>
        <v/>
      </c>
      <c r="AY70" s="7" t="str">
        <f>IF(ISERROR(IF($K70&lt;=$F$15,VLOOKUP($I70,'表4）CO2価格'!$A$7:$E$67,VLOOKUP($F$49,'表4）CO2価格'!$H$10:$I$12,2,0),0)*$F$8/1000,"")),0,IF($K70&lt;=$F$15,VLOOKUP($I70,'表4）CO2価格'!$A$7:$E$67,VLOOKUP($F$49,'表4）CO2価格'!$H$10:$I$12,2,0),0)*$F$8/1000,""))</f>
        <v/>
      </c>
      <c r="BA70" s="11" t="str">
        <f t="shared" si="48"/>
        <v/>
      </c>
      <c r="BB70" s="10" t="str">
        <f t="shared" si="28"/>
        <v/>
      </c>
      <c r="BD70" s="10" t="str">
        <f t="shared" si="49"/>
        <v/>
      </c>
      <c r="BE70" s="10" t="str">
        <f t="shared" si="29"/>
        <v/>
      </c>
      <c r="BG70" s="11" t="str">
        <f t="shared" si="50"/>
        <v/>
      </c>
      <c r="BH70" s="10" t="str">
        <f t="shared" si="30"/>
        <v/>
      </c>
      <c r="BJ70" s="7" t="str">
        <f t="shared" si="51"/>
        <v/>
      </c>
      <c r="BK70" s="158" t="str">
        <f t="shared" si="52"/>
        <v/>
      </c>
      <c r="BL70" s="158" t="str">
        <f t="shared" si="16"/>
        <v/>
      </c>
      <c r="BM70" s="10"/>
      <c r="BN70" s="10" t="str">
        <f t="shared" si="31"/>
        <v/>
      </c>
      <c r="BO70" s="10" t="str">
        <f t="shared" si="32"/>
        <v/>
      </c>
      <c r="BQ70" s="188" t="str">
        <f t="shared" si="37"/>
        <v/>
      </c>
      <c r="BR70" s="10" t="str">
        <f t="shared" si="33"/>
        <v/>
      </c>
    </row>
    <row r="71" spans="2:70" x14ac:dyDescent="0.15">
      <c r="C71" s="461" t="s">
        <v>135</v>
      </c>
      <c r="D71" s="9"/>
      <c r="E71" s="9"/>
      <c r="F71" s="94">
        <f ca="1">MAX(SUM($Z$117,$AF$117,$AI$117,$AL$117,$AO$117,$AR$117,$AW$117,$BB$117,$BE$117,$BH$117,$BO$116)/$BR$116+$F$106,SUBTOTAL(9,F75:F113))</f>
        <v>11.7784058700299</v>
      </c>
      <c r="G71" s="9" t="s">
        <v>132</v>
      </c>
      <c r="I71" s="458">
        <f t="shared" si="34"/>
        <v>2086</v>
      </c>
      <c r="J71" s="470"/>
      <c r="K71" s="39">
        <f t="shared" si="35"/>
        <v>57</v>
      </c>
      <c r="L71" s="39"/>
      <c r="M71" s="40">
        <f t="shared" si="0"/>
        <v>0.18547193025437006</v>
      </c>
      <c r="N71" s="39"/>
      <c r="O71" s="72" t="str">
        <f t="shared" si="36"/>
        <v/>
      </c>
      <c r="P71" s="41" t="str">
        <f t="shared" si="38"/>
        <v/>
      </c>
      <c r="Q71" s="39"/>
      <c r="R71" s="72" t="str">
        <f t="shared" si="53"/>
        <v/>
      </c>
      <c r="S71" s="39"/>
      <c r="T71" s="72" t="str">
        <f t="shared" si="18"/>
        <v/>
      </c>
      <c r="U71" s="39"/>
      <c r="V71" s="72" t="str">
        <f t="shared" si="39"/>
        <v/>
      </c>
      <c r="W71" s="72" t="str">
        <f t="shared" si="19"/>
        <v/>
      </c>
      <c r="X71" s="39"/>
      <c r="Y71" s="72" t="str">
        <f t="shared" si="40"/>
        <v/>
      </c>
      <c r="Z71" s="72" t="str">
        <f t="shared" si="20"/>
        <v/>
      </c>
      <c r="AA71" s="39"/>
      <c r="AB71" s="72" t="str">
        <f t="shared" si="41"/>
        <v/>
      </c>
      <c r="AC71" s="72" t="str">
        <f t="shared" si="21"/>
        <v/>
      </c>
      <c r="AD71" s="39"/>
      <c r="AE71" s="72" t="str">
        <f t="shared" si="42"/>
        <v/>
      </c>
      <c r="AF71" s="72" t="str">
        <f t="shared" si="22"/>
        <v/>
      </c>
      <c r="AG71" s="39"/>
      <c r="AH71" s="72" t="str">
        <f t="shared" si="43"/>
        <v/>
      </c>
      <c r="AI71" s="72" t="str">
        <f t="shared" si="23"/>
        <v/>
      </c>
      <c r="AJ71" s="39"/>
      <c r="AK71" s="72" t="str">
        <f t="shared" si="44"/>
        <v/>
      </c>
      <c r="AL71" s="72" t="str">
        <f t="shared" si="24"/>
        <v/>
      </c>
      <c r="AM71" s="39"/>
      <c r="AN71" s="72" t="str">
        <f t="shared" si="45"/>
        <v/>
      </c>
      <c r="AO71" s="72" t="str">
        <f t="shared" si="25"/>
        <v/>
      </c>
      <c r="AP71" s="39"/>
      <c r="AQ71" s="72" t="str">
        <f t="shared" si="46"/>
        <v/>
      </c>
      <c r="AR71" s="72" t="str">
        <f t="shared" si="26"/>
        <v/>
      </c>
      <c r="AS71" s="39"/>
      <c r="AT71" s="40" t="str">
        <f>IF($K71&lt;=$F$15,IF($F$41&lt;&gt;"",$F$41/1000,IF(ISERROR(VLOOKUP($F$3&amp;IF($G$4&lt;&gt;"",$G$4,"")&amp;IF($F$44&lt;&gt;"","_"&amp;$F$44,""),'表3）燃料価格'!$AF$9:$AG$25,2,0)),0,VLOOKUP($I71,'表3）燃料価格'!$A$6:$U$66,VLOOKUP($F$3&amp;IF($G$4&lt;&gt;"",$G$4,"")&amp;IF($F$44&lt;&gt;"","_"&amp;$F$44,""),'表3）燃料価格'!$AF$9:$AG$25,2,0)+VLOOKUP($F$42,'表3）燃料価格'!$AF$28:$AG$29,2,0),0)*IF($F$44="需要地価格",1,$F$8/$F$142))),"")</f>
        <v/>
      </c>
      <c r="AU71" s="39"/>
      <c r="AV71" s="72" t="str">
        <f t="shared" si="47"/>
        <v/>
      </c>
      <c r="AW71" s="72" t="str">
        <f t="shared" si="27"/>
        <v/>
      </c>
      <c r="AX71" s="39"/>
      <c r="AY71" s="40" t="str">
        <f>IF(ISERROR(IF($K71&lt;=$F$15,VLOOKUP($I71,'表4）CO2価格'!$A$7:$E$67,VLOOKUP($F$49,'表4）CO2価格'!$H$10:$I$12,2,0),0)*$F$8/1000,"")),0,IF($K71&lt;=$F$15,VLOOKUP($I71,'表4）CO2価格'!$A$7:$E$67,VLOOKUP($F$49,'表4）CO2価格'!$H$10:$I$12,2,0),0)*$F$8/1000,""))</f>
        <v/>
      </c>
      <c r="AZ71" s="39"/>
      <c r="BA71" s="42" t="str">
        <f t="shared" si="48"/>
        <v/>
      </c>
      <c r="BB71" s="72" t="str">
        <f t="shared" si="28"/>
        <v/>
      </c>
      <c r="BC71" s="39"/>
      <c r="BD71" s="72" t="str">
        <f t="shared" si="49"/>
        <v/>
      </c>
      <c r="BE71" s="72" t="str">
        <f t="shared" si="29"/>
        <v/>
      </c>
      <c r="BF71" s="39"/>
      <c r="BG71" s="42" t="str">
        <f t="shared" si="50"/>
        <v/>
      </c>
      <c r="BH71" s="72" t="str">
        <f t="shared" si="30"/>
        <v/>
      </c>
      <c r="BI71" s="39"/>
      <c r="BJ71" s="40" t="str">
        <f t="shared" si="51"/>
        <v/>
      </c>
      <c r="BK71" s="157" t="str">
        <f t="shared" si="52"/>
        <v/>
      </c>
      <c r="BL71" s="157" t="str">
        <f t="shared" si="16"/>
        <v/>
      </c>
      <c r="BM71" s="72"/>
      <c r="BN71" s="72" t="str">
        <f t="shared" si="31"/>
        <v/>
      </c>
      <c r="BO71" s="72" t="str">
        <f t="shared" si="32"/>
        <v/>
      </c>
      <c r="BP71" s="39"/>
      <c r="BQ71" s="72" t="str">
        <f t="shared" si="37"/>
        <v/>
      </c>
      <c r="BR71" s="72" t="str">
        <f t="shared" si="33"/>
        <v/>
      </c>
    </row>
    <row r="72" spans="2:70" x14ac:dyDescent="0.15">
      <c r="F72" s="145"/>
      <c r="I72" s="459">
        <f t="shared" si="34"/>
        <v>2087</v>
      </c>
      <c r="K72" s="71">
        <f t="shared" si="35"/>
        <v>58</v>
      </c>
      <c r="M72" s="7">
        <f t="shared" si="0"/>
        <v>0.18006983519841754</v>
      </c>
      <c r="O72" s="10" t="str">
        <f t="shared" si="36"/>
        <v/>
      </c>
      <c r="P72" s="29" t="str">
        <f t="shared" si="38"/>
        <v/>
      </c>
      <c r="R72" s="10" t="str">
        <f t="shared" si="53"/>
        <v/>
      </c>
      <c r="T72" s="10" t="str">
        <f t="shared" si="18"/>
        <v/>
      </c>
      <c r="V72" s="10" t="str">
        <f t="shared" si="39"/>
        <v/>
      </c>
      <c r="W72" s="10" t="str">
        <f t="shared" si="19"/>
        <v/>
      </c>
      <c r="Y72" s="10" t="str">
        <f t="shared" si="40"/>
        <v/>
      </c>
      <c r="Z72" s="10" t="str">
        <f t="shared" si="20"/>
        <v/>
      </c>
      <c r="AB72" s="10" t="str">
        <f t="shared" si="41"/>
        <v/>
      </c>
      <c r="AC72" s="10" t="str">
        <f t="shared" si="21"/>
        <v/>
      </c>
      <c r="AE72" s="10" t="str">
        <f t="shared" si="42"/>
        <v/>
      </c>
      <c r="AF72" s="10" t="str">
        <f t="shared" si="22"/>
        <v/>
      </c>
      <c r="AH72" s="10" t="str">
        <f t="shared" si="43"/>
        <v/>
      </c>
      <c r="AI72" s="10" t="str">
        <f t="shared" si="23"/>
        <v/>
      </c>
      <c r="AK72" s="10" t="str">
        <f t="shared" si="44"/>
        <v/>
      </c>
      <c r="AL72" s="10" t="str">
        <f t="shared" si="24"/>
        <v/>
      </c>
      <c r="AN72" s="10" t="str">
        <f t="shared" si="45"/>
        <v/>
      </c>
      <c r="AO72" s="10" t="str">
        <f t="shared" si="25"/>
        <v/>
      </c>
      <c r="AQ72" s="10" t="str">
        <f t="shared" si="46"/>
        <v/>
      </c>
      <c r="AR72" s="10" t="str">
        <f t="shared" si="26"/>
        <v/>
      </c>
      <c r="AT72" s="7" t="str">
        <f>IF($K72&lt;=$F$15,IF($F$41&lt;&gt;"",$F$41/1000,IF(ISERROR(VLOOKUP($F$3&amp;IF($G$4&lt;&gt;"",$G$4,"")&amp;IF($F$44&lt;&gt;"","_"&amp;$F$44,""),'表3）燃料価格'!$AF$9:$AG$25,2,0)),0,VLOOKUP($I72,'表3）燃料価格'!$A$6:$U$66,VLOOKUP($F$3&amp;IF($G$4&lt;&gt;"",$G$4,"")&amp;IF($F$44&lt;&gt;"","_"&amp;$F$44,""),'表3）燃料価格'!$AF$9:$AG$25,2,0)+VLOOKUP($F$42,'表3）燃料価格'!$AF$28:$AG$29,2,0),0)*IF($F$44="需要地価格",1,$F$8/$F$142))),"")</f>
        <v/>
      </c>
      <c r="AV72" s="10" t="str">
        <f t="shared" si="47"/>
        <v/>
      </c>
      <c r="AW72" s="10" t="str">
        <f t="shared" si="27"/>
        <v/>
      </c>
      <c r="AY72" s="7" t="str">
        <f>IF(ISERROR(IF($K72&lt;=$F$15,VLOOKUP($I72,'表4）CO2価格'!$A$7:$E$67,VLOOKUP($F$49,'表4）CO2価格'!$H$10:$I$12,2,0),0)*$F$8/1000,"")),0,IF($K72&lt;=$F$15,VLOOKUP($I72,'表4）CO2価格'!$A$7:$E$67,VLOOKUP($F$49,'表4）CO2価格'!$H$10:$I$12,2,0),0)*$F$8/1000,""))</f>
        <v/>
      </c>
      <c r="BA72" s="11" t="str">
        <f t="shared" si="48"/>
        <v/>
      </c>
      <c r="BB72" s="10" t="str">
        <f t="shared" si="28"/>
        <v/>
      </c>
      <c r="BD72" s="10" t="str">
        <f t="shared" si="49"/>
        <v/>
      </c>
      <c r="BE72" s="10" t="str">
        <f t="shared" si="29"/>
        <v/>
      </c>
      <c r="BG72" s="11" t="str">
        <f t="shared" si="50"/>
        <v/>
      </c>
      <c r="BH72" s="10" t="str">
        <f t="shared" si="30"/>
        <v/>
      </c>
      <c r="BJ72" s="7" t="str">
        <f t="shared" si="51"/>
        <v/>
      </c>
      <c r="BK72" s="158" t="str">
        <f t="shared" si="52"/>
        <v/>
      </c>
      <c r="BL72" s="158" t="str">
        <f t="shared" si="16"/>
        <v/>
      </c>
      <c r="BM72" s="10"/>
      <c r="BN72" s="10" t="str">
        <f t="shared" si="31"/>
        <v/>
      </c>
      <c r="BO72" s="10" t="str">
        <f t="shared" si="32"/>
        <v/>
      </c>
      <c r="BQ72" s="188" t="str">
        <f t="shared" si="37"/>
        <v/>
      </c>
      <c r="BR72" s="10" t="str">
        <f t="shared" si="33"/>
        <v/>
      </c>
    </row>
    <row r="73" spans="2:70" x14ac:dyDescent="0.15">
      <c r="C73" s="89" t="s">
        <v>136</v>
      </c>
      <c r="D73" s="101"/>
      <c r="E73" s="101"/>
      <c r="F73" s="92"/>
      <c r="G73" s="101"/>
      <c r="I73" s="458">
        <f t="shared" si="34"/>
        <v>2088</v>
      </c>
      <c r="J73" s="470"/>
      <c r="K73" s="39">
        <f t="shared" si="35"/>
        <v>59</v>
      </c>
      <c r="L73" s="39"/>
      <c r="M73" s="40">
        <f t="shared" si="0"/>
        <v>0.17482508271691022</v>
      </c>
      <c r="N73" s="39"/>
      <c r="O73" s="72" t="str">
        <f t="shared" si="36"/>
        <v/>
      </c>
      <c r="P73" s="41" t="str">
        <f t="shared" si="38"/>
        <v/>
      </c>
      <c r="Q73" s="39"/>
      <c r="R73" s="72" t="str">
        <f t="shared" si="53"/>
        <v/>
      </c>
      <c r="S73" s="39"/>
      <c r="T73" s="72" t="str">
        <f t="shared" si="18"/>
        <v/>
      </c>
      <c r="U73" s="39"/>
      <c r="V73" s="72" t="str">
        <f t="shared" si="39"/>
        <v/>
      </c>
      <c r="W73" s="72" t="str">
        <f t="shared" si="19"/>
        <v/>
      </c>
      <c r="X73" s="39"/>
      <c r="Y73" s="72" t="str">
        <f t="shared" si="40"/>
        <v/>
      </c>
      <c r="Z73" s="72" t="str">
        <f t="shared" si="20"/>
        <v/>
      </c>
      <c r="AA73" s="39"/>
      <c r="AB73" s="72" t="str">
        <f t="shared" si="41"/>
        <v/>
      </c>
      <c r="AC73" s="72" t="str">
        <f t="shared" si="21"/>
        <v/>
      </c>
      <c r="AD73" s="39"/>
      <c r="AE73" s="72" t="str">
        <f t="shared" si="42"/>
        <v/>
      </c>
      <c r="AF73" s="72" t="str">
        <f t="shared" si="22"/>
        <v/>
      </c>
      <c r="AG73" s="39"/>
      <c r="AH73" s="72" t="str">
        <f t="shared" si="43"/>
        <v/>
      </c>
      <c r="AI73" s="72" t="str">
        <f t="shared" si="23"/>
        <v/>
      </c>
      <c r="AJ73" s="39"/>
      <c r="AK73" s="72" t="str">
        <f t="shared" si="44"/>
        <v/>
      </c>
      <c r="AL73" s="72" t="str">
        <f t="shared" si="24"/>
        <v/>
      </c>
      <c r="AM73" s="39"/>
      <c r="AN73" s="72" t="str">
        <f t="shared" si="45"/>
        <v/>
      </c>
      <c r="AO73" s="72" t="str">
        <f t="shared" si="25"/>
        <v/>
      </c>
      <c r="AP73" s="39"/>
      <c r="AQ73" s="72" t="str">
        <f t="shared" si="46"/>
        <v/>
      </c>
      <c r="AR73" s="72" t="str">
        <f t="shared" si="26"/>
        <v/>
      </c>
      <c r="AS73" s="39"/>
      <c r="AT73" s="40" t="str">
        <f>IF($K73&lt;=$F$15,IF($F$41&lt;&gt;"",$F$41/1000,IF(ISERROR(VLOOKUP($F$3&amp;IF($G$4&lt;&gt;"",$G$4,"")&amp;IF($F$44&lt;&gt;"","_"&amp;$F$44,""),'表3）燃料価格'!$AF$9:$AG$25,2,0)),0,VLOOKUP($I73,'表3）燃料価格'!$A$6:$U$66,VLOOKUP($F$3&amp;IF($G$4&lt;&gt;"",$G$4,"")&amp;IF($F$44&lt;&gt;"","_"&amp;$F$44,""),'表3）燃料価格'!$AF$9:$AG$25,2,0)+VLOOKUP($F$42,'表3）燃料価格'!$AF$28:$AG$29,2,0),0)*IF($F$44="需要地価格",1,$F$8/$F$142))),"")</f>
        <v/>
      </c>
      <c r="AU73" s="39"/>
      <c r="AV73" s="72" t="str">
        <f t="shared" si="47"/>
        <v/>
      </c>
      <c r="AW73" s="72" t="str">
        <f t="shared" si="27"/>
        <v/>
      </c>
      <c r="AX73" s="39"/>
      <c r="AY73" s="40" t="str">
        <f>IF(ISERROR(IF($K73&lt;=$F$15,VLOOKUP($I73,'表4）CO2価格'!$A$7:$E$67,VLOOKUP($F$49,'表4）CO2価格'!$H$10:$I$12,2,0),0)*$F$8/1000,"")),0,IF($K73&lt;=$F$15,VLOOKUP($I73,'表4）CO2価格'!$A$7:$E$67,VLOOKUP($F$49,'表4）CO2価格'!$H$10:$I$12,2,0),0)*$F$8/1000,""))</f>
        <v/>
      </c>
      <c r="AZ73" s="39"/>
      <c r="BA73" s="42" t="str">
        <f t="shared" si="48"/>
        <v/>
      </c>
      <c r="BB73" s="72" t="str">
        <f t="shared" si="28"/>
        <v/>
      </c>
      <c r="BC73" s="39"/>
      <c r="BD73" s="72" t="str">
        <f t="shared" si="49"/>
        <v/>
      </c>
      <c r="BE73" s="72" t="str">
        <f t="shared" si="29"/>
        <v/>
      </c>
      <c r="BF73" s="39"/>
      <c r="BG73" s="42" t="str">
        <f t="shared" si="50"/>
        <v/>
      </c>
      <c r="BH73" s="72" t="str">
        <f t="shared" si="30"/>
        <v/>
      </c>
      <c r="BI73" s="39"/>
      <c r="BJ73" s="40" t="str">
        <f t="shared" si="51"/>
        <v/>
      </c>
      <c r="BK73" s="157" t="str">
        <f t="shared" si="52"/>
        <v/>
      </c>
      <c r="BL73" s="157" t="str">
        <f t="shared" si="16"/>
        <v/>
      </c>
      <c r="BM73" s="72"/>
      <c r="BN73" s="72" t="str">
        <f t="shared" si="31"/>
        <v/>
      </c>
      <c r="BO73" s="72" t="str">
        <f t="shared" si="32"/>
        <v/>
      </c>
      <c r="BP73" s="39"/>
      <c r="BQ73" s="72" t="str">
        <f t="shared" si="37"/>
        <v/>
      </c>
      <c r="BR73" s="72" t="str">
        <f t="shared" si="33"/>
        <v/>
      </c>
    </row>
    <row r="74" spans="2:70" x14ac:dyDescent="0.15">
      <c r="F74" s="93"/>
      <c r="I74" s="459">
        <f t="shared" si="34"/>
        <v>2089</v>
      </c>
      <c r="K74" s="71">
        <f t="shared" si="35"/>
        <v>60</v>
      </c>
      <c r="M74" s="7">
        <f t="shared" si="0"/>
        <v>0.1697330900164177</v>
      </c>
      <c r="O74" s="10" t="str">
        <f t="shared" si="36"/>
        <v/>
      </c>
      <c r="P74" s="29" t="str">
        <f t="shared" si="38"/>
        <v/>
      </c>
      <c r="R74" s="10" t="str">
        <f t="shared" si="53"/>
        <v/>
      </c>
      <c r="T74" s="10" t="str">
        <f t="shared" si="18"/>
        <v/>
      </c>
      <c r="V74" s="10" t="str">
        <f t="shared" si="39"/>
        <v/>
      </c>
      <c r="W74" s="10" t="str">
        <f t="shared" si="19"/>
        <v/>
      </c>
      <c r="Y74" s="10" t="str">
        <f t="shared" si="40"/>
        <v/>
      </c>
      <c r="Z74" s="10" t="str">
        <f t="shared" si="20"/>
        <v/>
      </c>
      <c r="AB74" s="10" t="str">
        <f t="shared" si="41"/>
        <v/>
      </c>
      <c r="AC74" s="10" t="str">
        <f t="shared" si="21"/>
        <v/>
      </c>
      <c r="AE74" s="10" t="str">
        <f t="shared" si="42"/>
        <v/>
      </c>
      <c r="AF74" s="10" t="str">
        <f t="shared" si="22"/>
        <v/>
      </c>
      <c r="AH74" s="10" t="str">
        <f t="shared" si="43"/>
        <v/>
      </c>
      <c r="AI74" s="10" t="str">
        <f t="shared" si="23"/>
        <v/>
      </c>
      <c r="AK74" s="10" t="str">
        <f t="shared" si="44"/>
        <v/>
      </c>
      <c r="AL74" s="10" t="str">
        <f t="shared" si="24"/>
        <v/>
      </c>
      <c r="AN74" s="10" t="str">
        <f t="shared" si="45"/>
        <v/>
      </c>
      <c r="AO74" s="10" t="str">
        <f t="shared" si="25"/>
        <v/>
      </c>
      <c r="AQ74" s="10" t="str">
        <f t="shared" si="46"/>
        <v/>
      </c>
      <c r="AR74" s="10" t="str">
        <f t="shared" si="26"/>
        <v/>
      </c>
      <c r="AT74" s="7" t="str">
        <f>IF($K74&lt;=$F$15,IF($F$41&lt;&gt;"",$F$41/1000,IF(ISERROR(VLOOKUP($F$3&amp;IF($G$4&lt;&gt;"",$G$4,"")&amp;IF($F$44&lt;&gt;"","_"&amp;$F$44,""),'表3）燃料価格'!$AF$9:$AG$25,2,0)),0,VLOOKUP($I74,'表3）燃料価格'!$A$6:$U$66,VLOOKUP($F$3&amp;IF($G$4&lt;&gt;"",$G$4,"")&amp;IF($F$44&lt;&gt;"","_"&amp;$F$44,""),'表3）燃料価格'!$AF$9:$AG$25,2,0)+VLOOKUP($F$42,'表3）燃料価格'!$AF$28:$AG$29,2,0),0)*IF($F$44="需要地価格",1,$F$8/$F$142))),"")</f>
        <v/>
      </c>
      <c r="AV74" s="10" t="str">
        <f t="shared" si="47"/>
        <v/>
      </c>
      <c r="AW74" s="10" t="str">
        <f t="shared" si="27"/>
        <v/>
      </c>
      <c r="AY74" s="7" t="str">
        <f>IF(ISERROR(IF($K74&lt;=$F$15,VLOOKUP($I74,'表4）CO2価格'!$A$7:$E$67,VLOOKUP($F$49,'表4）CO2価格'!$H$10:$I$12,2,0),0)*$F$8/1000,"")),0,IF($K74&lt;=$F$15,VLOOKUP($I74,'表4）CO2価格'!$A$7:$E$67,VLOOKUP($F$49,'表4）CO2価格'!$H$10:$I$12,2,0),0)*$F$8/1000,""))</f>
        <v/>
      </c>
      <c r="BA74" s="11" t="str">
        <f t="shared" si="48"/>
        <v/>
      </c>
      <c r="BB74" s="10" t="str">
        <f t="shared" si="28"/>
        <v/>
      </c>
      <c r="BD74" s="10" t="str">
        <f t="shared" si="49"/>
        <v/>
      </c>
      <c r="BE74" s="10" t="str">
        <f t="shared" si="29"/>
        <v/>
      </c>
      <c r="BG74" s="11" t="str">
        <f t="shared" si="50"/>
        <v/>
      </c>
      <c r="BH74" s="10" t="str">
        <f t="shared" si="30"/>
        <v/>
      </c>
      <c r="BJ74" s="7" t="str">
        <f t="shared" si="51"/>
        <v/>
      </c>
      <c r="BK74" s="158" t="str">
        <f t="shared" si="52"/>
        <v/>
      </c>
      <c r="BL74" s="158" t="str">
        <f t="shared" si="16"/>
        <v/>
      </c>
      <c r="BM74" s="10"/>
      <c r="BN74" s="10" t="str">
        <f t="shared" si="31"/>
        <v/>
      </c>
      <c r="BO74" s="10" t="str">
        <f t="shared" si="32"/>
        <v/>
      </c>
      <c r="BQ74" s="188" t="str">
        <f t="shared" si="37"/>
        <v/>
      </c>
      <c r="BR74" s="10" t="str">
        <f t="shared" si="33"/>
        <v/>
      </c>
    </row>
    <row r="75" spans="2:70" ht="15" x14ac:dyDescent="0.15">
      <c r="D75" s="116" t="s">
        <v>192</v>
      </c>
      <c r="F75" s="94">
        <f>SUBTOTAL(9,F79:F82)</f>
        <v>7.6985973706155173</v>
      </c>
      <c r="G75" s="81" t="s">
        <v>132</v>
      </c>
      <c r="I75" s="458">
        <f t="shared" si="34"/>
        <v>2090</v>
      </c>
      <c r="J75" s="470"/>
      <c r="K75" s="39">
        <f t="shared" si="35"/>
        <v>61</v>
      </c>
      <c r="L75" s="39"/>
      <c r="M75" s="40">
        <f t="shared" si="0"/>
        <v>0.16478940778292983</v>
      </c>
      <c r="N75" s="39"/>
      <c r="O75" s="72" t="str">
        <f t="shared" si="36"/>
        <v/>
      </c>
      <c r="P75" s="41" t="str">
        <f t="shared" si="38"/>
        <v/>
      </c>
      <c r="Q75" s="39"/>
      <c r="R75" s="72" t="str">
        <f t="shared" si="53"/>
        <v/>
      </c>
      <c r="S75" s="39"/>
      <c r="T75" s="72" t="str">
        <f t="shared" si="18"/>
        <v/>
      </c>
      <c r="U75" s="39"/>
      <c r="V75" s="72" t="str">
        <f t="shared" si="39"/>
        <v/>
      </c>
      <c r="W75" s="72" t="str">
        <f t="shared" si="19"/>
        <v/>
      </c>
      <c r="X75" s="39"/>
      <c r="Y75" s="72" t="str">
        <f t="shared" si="40"/>
        <v/>
      </c>
      <c r="Z75" s="72" t="str">
        <f t="shared" si="20"/>
        <v/>
      </c>
      <c r="AA75" s="39"/>
      <c r="AB75" s="72" t="str">
        <f t="shared" si="41"/>
        <v/>
      </c>
      <c r="AC75" s="72" t="str">
        <f t="shared" si="21"/>
        <v/>
      </c>
      <c r="AD75" s="39"/>
      <c r="AE75" s="72" t="str">
        <f t="shared" si="42"/>
        <v/>
      </c>
      <c r="AF75" s="72" t="str">
        <f t="shared" si="22"/>
        <v/>
      </c>
      <c r="AG75" s="39"/>
      <c r="AH75" s="72" t="str">
        <f t="shared" si="43"/>
        <v/>
      </c>
      <c r="AI75" s="72" t="str">
        <f t="shared" si="23"/>
        <v/>
      </c>
      <c r="AJ75" s="39"/>
      <c r="AK75" s="72" t="str">
        <f t="shared" si="44"/>
        <v/>
      </c>
      <c r="AL75" s="72" t="str">
        <f t="shared" si="24"/>
        <v/>
      </c>
      <c r="AM75" s="39"/>
      <c r="AN75" s="72" t="str">
        <f t="shared" si="45"/>
        <v/>
      </c>
      <c r="AO75" s="72" t="str">
        <f t="shared" si="25"/>
        <v/>
      </c>
      <c r="AP75" s="39"/>
      <c r="AQ75" s="72" t="str">
        <f t="shared" si="46"/>
        <v/>
      </c>
      <c r="AR75" s="72" t="str">
        <f t="shared" si="26"/>
        <v/>
      </c>
      <c r="AS75" s="39"/>
      <c r="AT75" s="40" t="str">
        <f>IF($K75&lt;=$F$15,IF($F$41&lt;&gt;"",$F$41/1000,IF(ISERROR(VLOOKUP($F$3&amp;IF($G$4&lt;&gt;"",$G$4,"")&amp;IF($F$44&lt;&gt;"","_"&amp;$F$44,""),'表3）燃料価格'!$AF$9:$AG$25,2,0)),0,VLOOKUP($I75,'表3）燃料価格'!$A$6:$U$66,VLOOKUP($F$3&amp;IF($G$4&lt;&gt;"",$G$4,"")&amp;IF($F$44&lt;&gt;"","_"&amp;$F$44,""),'表3）燃料価格'!$AF$9:$AG$25,2,0)+VLOOKUP($F$42,'表3）燃料価格'!$AF$28:$AG$29,2,0),0)*IF($F$44="需要地価格",1,$F$8/$F$142))),"")</f>
        <v/>
      </c>
      <c r="AU75" s="39"/>
      <c r="AV75" s="72" t="str">
        <f t="shared" si="47"/>
        <v/>
      </c>
      <c r="AW75" s="72" t="str">
        <f t="shared" si="27"/>
        <v/>
      </c>
      <c r="AX75" s="39"/>
      <c r="AY75" s="40" t="str">
        <f>IF(ISERROR(IF($K75&lt;=$F$15,VLOOKUP($I75,'表4）CO2価格'!$A$7:$E$67,VLOOKUP($F$49,'表4）CO2価格'!$H$10:$I$12,2,0),0)*$F$8/1000,"")),0,IF($K75&lt;=$F$15,VLOOKUP($I75,'表4）CO2価格'!$A$7:$E$67,VLOOKUP($F$49,'表4）CO2価格'!$H$10:$I$12,2,0),0)*$F$8/1000,""))</f>
        <v/>
      </c>
      <c r="AZ75" s="39"/>
      <c r="BA75" s="42" t="str">
        <f t="shared" si="48"/>
        <v/>
      </c>
      <c r="BB75" s="72" t="str">
        <f t="shared" si="28"/>
        <v/>
      </c>
      <c r="BC75" s="39"/>
      <c r="BD75" s="72" t="str">
        <f t="shared" si="49"/>
        <v/>
      </c>
      <c r="BE75" s="72" t="str">
        <f t="shared" si="29"/>
        <v/>
      </c>
      <c r="BF75" s="39"/>
      <c r="BG75" s="42" t="str">
        <f t="shared" si="50"/>
        <v/>
      </c>
      <c r="BH75" s="72" t="str">
        <f t="shared" si="30"/>
        <v/>
      </c>
      <c r="BI75" s="39"/>
      <c r="BJ75" s="40" t="str">
        <f t="shared" si="51"/>
        <v/>
      </c>
      <c r="BK75" s="157" t="str">
        <f t="shared" si="52"/>
        <v/>
      </c>
      <c r="BL75" s="157" t="str">
        <f t="shared" si="16"/>
        <v/>
      </c>
      <c r="BM75" s="72"/>
      <c r="BN75" s="72" t="str">
        <f t="shared" si="31"/>
        <v/>
      </c>
      <c r="BO75" s="72" t="str">
        <f t="shared" si="32"/>
        <v/>
      </c>
      <c r="BP75" s="39"/>
      <c r="BQ75" s="72" t="str">
        <f t="shared" si="37"/>
        <v/>
      </c>
      <c r="BR75" s="72" t="str">
        <f t="shared" si="33"/>
        <v/>
      </c>
    </row>
    <row r="76" spans="2:70" x14ac:dyDescent="0.15">
      <c r="F76" s="145"/>
      <c r="I76" s="459">
        <f t="shared" si="34"/>
        <v>2091</v>
      </c>
      <c r="K76" s="71">
        <f t="shared" si="35"/>
        <v>62</v>
      </c>
      <c r="M76" s="7">
        <f t="shared" si="0"/>
        <v>0.15998971629410663</v>
      </c>
      <c r="O76" s="10" t="str">
        <f t="shared" si="36"/>
        <v/>
      </c>
      <c r="P76" s="29" t="str">
        <f t="shared" si="38"/>
        <v/>
      </c>
      <c r="R76" s="10" t="str">
        <f t="shared" si="53"/>
        <v/>
      </c>
      <c r="T76" s="10" t="str">
        <f t="shared" si="18"/>
        <v/>
      </c>
      <c r="V76" s="10" t="str">
        <f t="shared" si="39"/>
        <v/>
      </c>
      <c r="W76" s="10" t="str">
        <f t="shared" si="19"/>
        <v/>
      </c>
      <c r="Y76" s="10" t="str">
        <f t="shared" si="40"/>
        <v/>
      </c>
      <c r="Z76" s="10" t="str">
        <f t="shared" si="20"/>
        <v/>
      </c>
      <c r="AB76" s="10" t="str">
        <f t="shared" si="41"/>
        <v/>
      </c>
      <c r="AC76" s="10" t="str">
        <f t="shared" si="21"/>
        <v/>
      </c>
      <c r="AE76" s="10" t="str">
        <f t="shared" si="42"/>
        <v/>
      </c>
      <c r="AF76" s="10" t="str">
        <f t="shared" si="22"/>
        <v/>
      </c>
      <c r="AH76" s="10" t="str">
        <f t="shared" si="43"/>
        <v/>
      </c>
      <c r="AI76" s="10" t="str">
        <f t="shared" si="23"/>
        <v/>
      </c>
      <c r="AK76" s="10" t="str">
        <f t="shared" si="44"/>
        <v/>
      </c>
      <c r="AL76" s="10" t="str">
        <f t="shared" si="24"/>
        <v/>
      </c>
      <c r="AN76" s="10" t="str">
        <f t="shared" si="45"/>
        <v/>
      </c>
      <c r="AO76" s="10" t="str">
        <f t="shared" si="25"/>
        <v/>
      </c>
      <c r="AQ76" s="10" t="str">
        <f t="shared" si="46"/>
        <v/>
      </c>
      <c r="AR76" s="10" t="str">
        <f t="shared" si="26"/>
        <v/>
      </c>
      <c r="AT76" s="7" t="str">
        <f>IF($K76&lt;=$F$15,IF($F$41&lt;&gt;"",$F$41/1000,IF(ISERROR(VLOOKUP($F$3&amp;IF($G$4&lt;&gt;"",$G$4,"")&amp;IF($F$44&lt;&gt;"","_"&amp;$F$44,""),'表3）燃料価格'!$AF$9:$AG$25,2,0)),0,VLOOKUP($I76,'表3）燃料価格'!$A$6:$U$66,VLOOKUP($F$3&amp;IF($G$4&lt;&gt;"",$G$4,"")&amp;IF($F$44&lt;&gt;"","_"&amp;$F$44,""),'表3）燃料価格'!$AF$9:$AG$25,2,0)+VLOOKUP($F$42,'表3）燃料価格'!$AF$28:$AG$29,2,0),0)*IF($F$44="需要地価格",1,$F$8/$F$142))),"")</f>
        <v/>
      </c>
      <c r="AV76" s="10" t="str">
        <f t="shared" si="47"/>
        <v/>
      </c>
      <c r="AW76" s="10" t="str">
        <f t="shared" si="27"/>
        <v/>
      </c>
      <c r="AY76" s="7" t="str">
        <f>IF(ISERROR(IF($K76&lt;=$F$15,VLOOKUP($I76,'表4）CO2価格'!$A$7:$E$67,VLOOKUP($F$49,'表4）CO2価格'!$H$10:$I$12,2,0),0)*$F$8/1000,"")),0,IF($K76&lt;=$F$15,VLOOKUP($I76,'表4）CO2価格'!$A$7:$E$67,VLOOKUP($F$49,'表4）CO2価格'!$H$10:$I$12,2,0),0)*$F$8/1000,""))</f>
        <v/>
      </c>
      <c r="BA76" s="11" t="str">
        <f t="shared" si="48"/>
        <v/>
      </c>
      <c r="BB76" s="10" t="str">
        <f t="shared" si="28"/>
        <v/>
      </c>
      <c r="BD76" s="10" t="str">
        <f t="shared" si="49"/>
        <v/>
      </c>
      <c r="BE76" s="10" t="str">
        <f t="shared" si="29"/>
        <v/>
      </c>
      <c r="BG76" s="11" t="str">
        <f t="shared" si="50"/>
        <v/>
      </c>
      <c r="BH76" s="10" t="str">
        <f t="shared" si="30"/>
        <v/>
      </c>
      <c r="BJ76" s="7" t="str">
        <f t="shared" si="51"/>
        <v/>
      </c>
      <c r="BK76" s="158" t="str">
        <f t="shared" si="52"/>
        <v/>
      </c>
      <c r="BL76" s="158" t="str">
        <f t="shared" si="16"/>
        <v/>
      </c>
      <c r="BM76" s="10"/>
      <c r="BN76" s="10" t="str">
        <f t="shared" si="31"/>
        <v/>
      </c>
      <c r="BO76" s="10" t="str">
        <f t="shared" si="32"/>
        <v/>
      </c>
      <c r="BQ76" s="188" t="str">
        <f t="shared" si="37"/>
        <v/>
      </c>
      <c r="BR76" s="10" t="str">
        <f t="shared" si="33"/>
        <v/>
      </c>
    </row>
    <row r="77" spans="2:70" x14ac:dyDescent="0.15">
      <c r="D77" s="101" t="s">
        <v>193</v>
      </c>
      <c r="E77" s="101"/>
      <c r="F77" s="92"/>
      <c r="G77" s="101"/>
      <c r="I77" s="458">
        <f t="shared" si="34"/>
        <v>2092</v>
      </c>
      <c r="J77" s="470"/>
      <c r="K77" s="39">
        <f t="shared" si="35"/>
        <v>63</v>
      </c>
      <c r="L77" s="39"/>
      <c r="M77" s="40">
        <f t="shared" si="0"/>
        <v>0.15532982164476369</v>
      </c>
      <c r="N77" s="39"/>
      <c r="O77" s="72" t="str">
        <f t="shared" si="36"/>
        <v/>
      </c>
      <c r="P77" s="41" t="str">
        <f t="shared" si="38"/>
        <v/>
      </c>
      <c r="Q77" s="39"/>
      <c r="R77" s="72" t="str">
        <f t="shared" si="53"/>
        <v/>
      </c>
      <c r="S77" s="39"/>
      <c r="T77" s="72" t="str">
        <f t="shared" si="18"/>
        <v/>
      </c>
      <c r="U77" s="39"/>
      <c r="V77" s="72" t="str">
        <f t="shared" si="39"/>
        <v/>
      </c>
      <c r="W77" s="72" t="str">
        <f t="shared" si="19"/>
        <v/>
      </c>
      <c r="X77" s="39"/>
      <c r="Y77" s="72" t="str">
        <f t="shared" si="40"/>
        <v/>
      </c>
      <c r="Z77" s="72" t="str">
        <f t="shared" si="20"/>
        <v/>
      </c>
      <c r="AA77" s="39"/>
      <c r="AB77" s="72" t="str">
        <f t="shared" si="41"/>
        <v/>
      </c>
      <c r="AC77" s="72" t="str">
        <f t="shared" si="21"/>
        <v/>
      </c>
      <c r="AD77" s="39"/>
      <c r="AE77" s="72" t="str">
        <f t="shared" si="42"/>
        <v/>
      </c>
      <c r="AF77" s="72" t="str">
        <f t="shared" si="22"/>
        <v/>
      </c>
      <c r="AG77" s="39"/>
      <c r="AH77" s="72" t="str">
        <f t="shared" si="43"/>
        <v/>
      </c>
      <c r="AI77" s="72" t="str">
        <f t="shared" si="23"/>
        <v/>
      </c>
      <c r="AJ77" s="39"/>
      <c r="AK77" s="72" t="str">
        <f t="shared" si="44"/>
        <v/>
      </c>
      <c r="AL77" s="72" t="str">
        <f t="shared" si="24"/>
        <v/>
      </c>
      <c r="AM77" s="39"/>
      <c r="AN77" s="72" t="str">
        <f t="shared" si="45"/>
        <v/>
      </c>
      <c r="AO77" s="72" t="str">
        <f t="shared" si="25"/>
        <v/>
      </c>
      <c r="AP77" s="39"/>
      <c r="AQ77" s="72" t="str">
        <f t="shared" si="46"/>
        <v/>
      </c>
      <c r="AR77" s="72" t="str">
        <f t="shared" si="26"/>
        <v/>
      </c>
      <c r="AS77" s="39"/>
      <c r="AT77" s="40" t="str">
        <f>IF($K77&lt;=$F$15,IF($F$41&lt;&gt;"",$F$41/1000,IF(ISERROR(VLOOKUP($F$3&amp;IF($G$4&lt;&gt;"",$G$4,"")&amp;IF($F$44&lt;&gt;"","_"&amp;$F$44,""),'表3）燃料価格'!$AF$9:$AG$25,2,0)),0,VLOOKUP($I77,'表3）燃料価格'!$A$6:$U$66,VLOOKUP($F$3&amp;IF($G$4&lt;&gt;"",$G$4,"")&amp;IF($F$44&lt;&gt;"","_"&amp;$F$44,""),'表3）燃料価格'!$AF$9:$AG$25,2,0)+VLOOKUP($F$42,'表3）燃料価格'!$AF$28:$AG$29,2,0),0)*IF($F$44="需要地価格",1,$F$8/$F$142))),"")</f>
        <v/>
      </c>
      <c r="AU77" s="39"/>
      <c r="AV77" s="72" t="str">
        <f t="shared" si="47"/>
        <v/>
      </c>
      <c r="AW77" s="72" t="str">
        <f t="shared" si="27"/>
        <v/>
      </c>
      <c r="AX77" s="39"/>
      <c r="AY77" s="40" t="str">
        <f>IF(ISERROR(IF($K77&lt;=$F$15,VLOOKUP($I77,'表4）CO2価格'!$A$7:$E$67,VLOOKUP($F$49,'表4）CO2価格'!$H$10:$I$12,2,0),0)*$F$8/1000,"")),0,IF($K77&lt;=$F$15,VLOOKUP($I77,'表4）CO2価格'!$A$7:$E$67,VLOOKUP($F$49,'表4）CO2価格'!$H$10:$I$12,2,0),0)*$F$8/1000,""))</f>
        <v/>
      </c>
      <c r="AZ77" s="39"/>
      <c r="BA77" s="42" t="str">
        <f t="shared" si="48"/>
        <v/>
      </c>
      <c r="BB77" s="72" t="str">
        <f t="shared" si="28"/>
        <v/>
      </c>
      <c r="BC77" s="39"/>
      <c r="BD77" s="72" t="str">
        <f t="shared" si="49"/>
        <v/>
      </c>
      <c r="BE77" s="72" t="str">
        <f t="shared" si="29"/>
        <v/>
      </c>
      <c r="BF77" s="39"/>
      <c r="BG77" s="42" t="str">
        <f t="shared" si="50"/>
        <v/>
      </c>
      <c r="BH77" s="72" t="str">
        <f t="shared" si="30"/>
        <v/>
      </c>
      <c r="BI77" s="39"/>
      <c r="BJ77" s="40" t="str">
        <f t="shared" si="51"/>
        <v/>
      </c>
      <c r="BK77" s="157" t="str">
        <f t="shared" si="52"/>
        <v/>
      </c>
      <c r="BL77" s="157" t="str">
        <f t="shared" si="16"/>
        <v/>
      </c>
      <c r="BM77" s="72"/>
      <c r="BN77" s="72" t="str">
        <f t="shared" si="31"/>
        <v/>
      </c>
      <c r="BO77" s="72" t="str">
        <f t="shared" si="32"/>
        <v/>
      </c>
      <c r="BP77" s="39"/>
      <c r="BQ77" s="72" t="str">
        <f t="shared" si="37"/>
        <v/>
      </c>
      <c r="BR77" s="72" t="str">
        <f t="shared" si="33"/>
        <v/>
      </c>
    </row>
    <row r="78" spans="2:70" x14ac:dyDescent="0.15">
      <c r="F78" s="93"/>
      <c r="I78" s="459">
        <f t="shared" si="34"/>
        <v>2093</v>
      </c>
      <c r="K78" s="71">
        <f t="shared" si="35"/>
        <v>64</v>
      </c>
      <c r="M78" s="7">
        <f t="shared" si="0"/>
        <v>0.15080565208229488</v>
      </c>
      <c r="O78" s="10" t="str">
        <f t="shared" si="36"/>
        <v/>
      </c>
      <c r="P78" s="29" t="str">
        <f t="shared" si="38"/>
        <v/>
      </c>
      <c r="R78" s="10" t="str">
        <f t="shared" si="53"/>
        <v/>
      </c>
      <c r="T78" s="10" t="str">
        <f t="shared" si="18"/>
        <v/>
      </c>
      <c r="V78" s="10" t="str">
        <f t="shared" si="39"/>
        <v/>
      </c>
      <c r="W78" s="10" t="str">
        <f t="shared" si="19"/>
        <v/>
      </c>
      <c r="Y78" s="10" t="str">
        <f t="shared" si="40"/>
        <v/>
      </c>
      <c r="Z78" s="10" t="str">
        <f t="shared" si="20"/>
        <v/>
      </c>
      <c r="AB78" s="10" t="str">
        <f t="shared" si="41"/>
        <v/>
      </c>
      <c r="AC78" s="10" t="str">
        <f t="shared" si="21"/>
        <v/>
      </c>
      <c r="AE78" s="10" t="str">
        <f t="shared" si="42"/>
        <v/>
      </c>
      <c r="AF78" s="10" t="str">
        <f t="shared" si="22"/>
        <v/>
      </c>
      <c r="AH78" s="10" t="str">
        <f t="shared" si="43"/>
        <v/>
      </c>
      <c r="AI78" s="10" t="str">
        <f t="shared" si="23"/>
        <v/>
      </c>
      <c r="AK78" s="10" t="str">
        <f t="shared" si="44"/>
        <v/>
      </c>
      <c r="AL78" s="10" t="str">
        <f t="shared" si="24"/>
        <v/>
      </c>
      <c r="AN78" s="10" t="str">
        <f t="shared" si="45"/>
        <v/>
      </c>
      <c r="AO78" s="10" t="str">
        <f t="shared" si="25"/>
        <v/>
      </c>
      <c r="AQ78" s="10" t="str">
        <f t="shared" si="46"/>
        <v/>
      </c>
      <c r="AR78" s="10" t="str">
        <f t="shared" si="26"/>
        <v/>
      </c>
      <c r="AT78" s="7" t="str">
        <f>IF($K78&lt;=$F$15,IF($F$41&lt;&gt;"",$F$41/1000,IF(ISERROR(VLOOKUP($F$3&amp;IF($G$4&lt;&gt;"",$G$4,"")&amp;IF($F$44&lt;&gt;"","_"&amp;$F$44,""),'表3）燃料価格'!$AF$9:$AG$25,2,0)),0,VLOOKUP($I78,'表3）燃料価格'!$A$6:$U$66,VLOOKUP($F$3&amp;IF($G$4&lt;&gt;"",$G$4,"")&amp;IF($F$44&lt;&gt;"","_"&amp;$F$44,""),'表3）燃料価格'!$AF$9:$AG$25,2,0)+VLOOKUP($F$42,'表3）燃料価格'!$AF$28:$AG$29,2,0),0)*IF($F$44="需要地価格",1,$F$8/$F$142))),"")</f>
        <v/>
      </c>
      <c r="AV78" s="10" t="str">
        <f t="shared" si="47"/>
        <v/>
      </c>
      <c r="AW78" s="10" t="str">
        <f t="shared" si="27"/>
        <v/>
      </c>
      <c r="AY78" s="7" t="str">
        <f>IF(ISERROR(IF($K78&lt;=$F$15,VLOOKUP($I78,'表4）CO2価格'!$A$7:$E$67,VLOOKUP($F$49,'表4）CO2価格'!$H$10:$I$12,2,0),0)*$F$8/1000,"")),0,IF($K78&lt;=$F$15,VLOOKUP($I78,'表4）CO2価格'!$A$7:$E$67,VLOOKUP($F$49,'表4）CO2価格'!$H$10:$I$12,2,0),0)*$F$8/1000,""))</f>
        <v/>
      </c>
      <c r="BA78" s="11" t="str">
        <f t="shared" si="48"/>
        <v/>
      </c>
      <c r="BB78" s="10" t="str">
        <f t="shared" si="28"/>
        <v/>
      </c>
      <c r="BD78" s="10" t="str">
        <f t="shared" si="49"/>
        <v/>
      </c>
      <c r="BE78" s="10" t="str">
        <f t="shared" si="29"/>
        <v/>
      </c>
      <c r="BG78" s="11" t="str">
        <f t="shared" si="50"/>
        <v/>
      </c>
      <c r="BH78" s="10" t="str">
        <f t="shared" si="30"/>
        <v/>
      </c>
      <c r="BJ78" s="7" t="str">
        <f t="shared" si="51"/>
        <v/>
      </c>
      <c r="BK78" s="158" t="str">
        <f t="shared" si="52"/>
        <v/>
      </c>
      <c r="BL78" s="158" t="str">
        <f t="shared" si="16"/>
        <v/>
      </c>
      <c r="BM78" s="10"/>
      <c r="BN78" s="10" t="str">
        <f t="shared" si="31"/>
        <v/>
      </c>
      <c r="BO78" s="10" t="str">
        <f t="shared" si="32"/>
        <v/>
      </c>
      <c r="BQ78" s="188" t="str">
        <f t="shared" si="37"/>
        <v/>
      </c>
      <c r="BR78" s="10" t="str">
        <f t="shared" si="33"/>
        <v/>
      </c>
    </row>
    <row r="79" spans="2:70" x14ac:dyDescent="0.15">
      <c r="E79" s="74" t="s">
        <v>138</v>
      </c>
      <c r="F79" s="91">
        <f>R15/$BR$116</f>
        <v>6.9047897434826346</v>
      </c>
      <c r="G79" s="81" t="s">
        <v>132</v>
      </c>
      <c r="I79" s="458">
        <f t="shared" si="34"/>
        <v>2094</v>
      </c>
      <c r="J79" s="470"/>
      <c r="K79" s="39">
        <f t="shared" si="35"/>
        <v>65</v>
      </c>
      <c r="L79" s="39"/>
      <c r="M79" s="40">
        <f t="shared" ref="M79:M114" si="54">1/(1+($F$9/100))^K79</f>
        <v>0.14641325444882999</v>
      </c>
      <c r="N79" s="39"/>
      <c r="O79" s="72" t="str">
        <f t="shared" si="36"/>
        <v/>
      </c>
      <c r="P79" s="41" t="str">
        <f t="shared" ref="P79:P110" si="55">IF(K79&lt;=$F$15,IF(OR(P78=$F$125,P78="-"),"-",IF(O79*$F$124&gt;$F$128,$F$124,$F$125)),"")</f>
        <v/>
      </c>
      <c r="Q79" s="39"/>
      <c r="R79" s="72" t="str">
        <f t="shared" si="53"/>
        <v/>
      </c>
      <c r="S79" s="39"/>
      <c r="T79" s="72" t="str">
        <f t="shared" si="18"/>
        <v/>
      </c>
      <c r="U79" s="39"/>
      <c r="V79" s="72" t="str">
        <f t="shared" ref="V79:V114" si="56">IF(K79&lt;=$F$15,IF(K79&lt;$F$120,IF(P79="-",V78,O79*P79),IF(K79=$F$120,MIN(IF(P79="-",V78,O79*P79),O79),0)),"")</f>
        <v/>
      </c>
      <c r="W79" s="72" t="str">
        <f t="shared" si="19"/>
        <v/>
      </c>
      <c r="X79" s="39"/>
      <c r="Y79" s="72" t="str">
        <f t="shared" ref="Y79:Y114" si="57">IF($K79&lt;=$F$15,ROUNDDOWN(T79*$F$26/100,-2),"")</f>
        <v/>
      </c>
      <c r="Z79" s="72" t="str">
        <f t="shared" si="20"/>
        <v/>
      </c>
      <c r="AA79" s="39"/>
      <c r="AB79" s="72" t="str">
        <f t="shared" ref="AB79:AB114" si="58">IF($K79&lt;=$F$15,0,IF(AND($K79&gt;$F$15,$K79&lt;=$F$15+$F$29),$F$28*10^8/$F$29,""))</f>
        <v/>
      </c>
      <c r="AC79" s="72" t="str">
        <f t="shared" si="21"/>
        <v/>
      </c>
      <c r="AD79" s="39"/>
      <c r="AE79" s="72" t="str">
        <f t="shared" ref="AE79:AE114" si="59">IF($K79&lt;=$F$15,$F$27,"")</f>
        <v/>
      </c>
      <c r="AF79" s="72" t="str">
        <f t="shared" si="22"/>
        <v/>
      </c>
      <c r="AG79" s="39"/>
      <c r="AH79" s="72" t="str">
        <f t="shared" ref="AH79:AH114" si="60">IF($K79&lt;=$F$15,$F$34*10^4*$F$13*10^4,"")</f>
        <v/>
      </c>
      <c r="AI79" s="72" t="str">
        <f t="shared" si="23"/>
        <v/>
      </c>
      <c r="AJ79" s="39"/>
      <c r="AK79" s="72" t="str">
        <f t="shared" ref="AK79:AK114" si="61">IF($K79&lt;=$F$15,$F$118*$F$35/100,"")</f>
        <v/>
      </c>
      <c r="AL79" s="72" t="str">
        <f t="shared" si="24"/>
        <v/>
      </c>
      <c r="AM79" s="39"/>
      <c r="AN79" s="72" t="str">
        <f t="shared" ref="AN79:AN114" si="62">IF($K79&lt;=$F$15,$F$118*$F$36/100,"")</f>
        <v/>
      </c>
      <c r="AO79" s="72" t="str">
        <f t="shared" si="25"/>
        <v/>
      </c>
      <c r="AP79" s="39"/>
      <c r="AQ79" s="72" t="str">
        <f t="shared" ref="AQ79:AQ114" si="63">IF($K79&lt;=$F$15,SUM(AH79,AK79,AN79)*($F$37/100),"")</f>
        <v/>
      </c>
      <c r="AR79" s="72" t="str">
        <f t="shared" si="26"/>
        <v/>
      </c>
      <c r="AS79" s="39"/>
      <c r="AT79" s="40" t="str">
        <f>IF($K79&lt;=$F$15,IF($F$41&lt;&gt;"",$F$41/1000,IF(ISERROR(VLOOKUP($F$3&amp;IF($G$4&lt;&gt;"",$G$4,"")&amp;IF($F$44&lt;&gt;"","_"&amp;$F$44,""),'表3）燃料価格'!$AF$9:$AG$25,2,0)),0,VLOOKUP($I79,'表3）燃料価格'!$A$6:$U$66,VLOOKUP($F$3&amp;IF($G$4&lt;&gt;"",$G$4,"")&amp;IF($F$44&lt;&gt;"","_"&amp;$F$44,""),'表3）燃料価格'!$AF$9:$AG$25,2,0)+VLOOKUP($F$42,'表3）燃料価格'!$AF$28:$AG$29,2,0),0)*IF($F$44="需要地価格",1,$F$8/$F$142))),"")</f>
        <v/>
      </c>
      <c r="AU79" s="39"/>
      <c r="AV79" s="72" t="str">
        <f t="shared" ref="AV79:AV114" si="64">IF($K79&lt;=$F$15,($AT79+$F$143)*$F$138,"")</f>
        <v/>
      </c>
      <c r="AW79" s="72" t="str">
        <f t="shared" si="27"/>
        <v/>
      </c>
      <c r="AX79" s="39"/>
      <c r="AY79" s="40" t="str">
        <f>IF(ISERROR(IF($K79&lt;=$F$15,VLOOKUP($I79,'表4）CO2価格'!$A$7:$E$67,VLOOKUP($F$49,'表4）CO2価格'!$H$10:$I$12,2,0),0)*$F$8/1000,"")),0,IF($K79&lt;=$F$15,VLOOKUP($I79,'表4）CO2価格'!$A$7:$E$67,VLOOKUP($F$49,'表4）CO2価格'!$H$10:$I$12,2,0),0)*$F$8/1000,""))</f>
        <v/>
      </c>
      <c r="AZ79" s="39"/>
      <c r="BA79" s="42" t="str">
        <f t="shared" ref="BA79:BA114" si="65">IF($K79&lt;=$F$15,$F$146*AY79,"")</f>
        <v/>
      </c>
      <c r="BB79" s="72" t="str">
        <f t="shared" si="28"/>
        <v/>
      </c>
      <c r="BC79" s="39"/>
      <c r="BD79" s="72" t="str">
        <f t="shared" ref="BD79:BD114" si="66">IF($K79&lt;=$F$15,($AT79+$F$153)*$F$152,"")</f>
        <v/>
      </c>
      <c r="BE79" s="72" t="str">
        <f t="shared" si="29"/>
        <v/>
      </c>
      <c r="BF79" s="39"/>
      <c r="BG79" s="42" t="str">
        <f t="shared" ref="BG79:BG114" si="67">IF($K79&lt;=$F$15,$F$154*AY79,"")</f>
        <v/>
      </c>
      <c r="BH79" s="72" t="str">
        <f t="shared" si="30"/>
        <v/>
      </c>
      <c r="BI79" s="39"/>
      <c r="BJ79" s="40" t="str">
        <f t="shared" ref="BJ79:BJ114" si="68">IF(ISNUMBER($F$16),IF($K79&lt;=$F$16+$F$29,1/(1+($F$17/100))^K79,""),"")</f>
        <v/>
      </c>
      <c r="BK79" s="157" t="str">
        <f t="shared" ref="BK79:BK110" si="69">IF(ISNUMBER($F$16),IF($K79&lt;=$F$16+$F$29,IF($K79&lt;=$F$16,SUM(Y79,AB79,AE79,AH79,AK79,AN79,AQ79,AV79,BA79,BD79,BG79),$F$28/$F$29*10^8)*BJ79,""),"")</f>
        <v/>
      </c>
      <c r="BL79" s="157" t="str">
        <f t="shared" ref="BL79:BL114" si="70">IF(AND(ISNUMBER(BJ79),$K79&lt;=$F$16),BQ79*BJ79,"")</f>
        <v/>
      </c>
      <c r="BM79" s="72"/>
      <c r="BN79" s="72" t="str">
        <f t="shared" si="31"/>
        <v/>
      </c>
      <c r="BO79" s="72" t="str">
        <f t="shared" si="32"/>
        <v/>
      </c>
      <c r="BP79" s="39"/>
      <c r="BQ79" s="72" t="str">
        <f t="shared" si="37"/>
        <v/>
      </c>
      <c r="BR79" s="72" t="str">
        <f t="shared" si="33"/>
        <v/>
      </c>
    </row>
    <row r="80" spans="2:70" x14ac:dyDescent="0.15">
      <c r="E80" s="81" t="s">
        <v>139</v>
      </c>
      <c r="F80" s="91">
        <f>Z116/$BR$116</f>
        <v>0.60766142956751223</v>
      </c>
      <c r="G80" s="81" t="s">
        <v>132</v>
      </c>
      <c r="I80" s="459">
        <f t="shared" si="34"/>
        <v>2095</v>
      </c>
      <c r="K80" s="71">
        <f t="shared" si="35"/>
        <v>66</v>
      </c>
      <c r="M80" s="7">
        <f t="shared" si="54"/>
        <v>0.14214879072701941</v>
      </c>
      <c r="O80" s="10" t="str">
        <f t="shared" si="36"/>
        <v/>
      </c>
      <c r="P80" s="29" t="str">
        <f t="shared" si="55"/>
        <v/>
      </c>
      <c r="R80" s="10" t="str">
        <f t="shared" ref="R80:R114" si="71">IF($K80&lt;=$F$15,MAX($F$118*5%,R79*$F$130),"")</f>
        <v/>
      </c>
      <c r="T80" s="10" t="str">
        <f t="shared" ref="T80:T114" si="72">IF(ISNUMBER(R80),ROUNDDOWN(R80,-3),"")</f>
        <v/>
      </c>
      <c r="V80" s="10" t="str">
        <f t="shared" si="56"/>
        <v/>
      </c>
      <c r="W80" s="10" t="str">
        <f t="shared" ref="W80:W114" si="73">IF(ISNUMBER(V80),V80*$M80,"")</f>
        <v/>
      </c>
      <c r="Y80" s="10" t="str">
        <f t="shared" si="57"/>
        <v/>
      </c>
      <c r="Z80" s="10" t="str">
        <f t="shared" ref="Z80:Z114" si="74">IF(ISNUMBER(Y80),Y80*$M80,"")</f>
        <v/>
      </c>
      <c r="AB80" s="10" t="str">
        <f t="shared" si="58"/>
        <v/>
      </c>
      <c r="AC80" s="10" t="str">
        <f t="shared" ref="AC80:AC114" si="75">IF(ISNUMBER(AB80),AB80*$M80,"")</f>
        <v/>
      </c>
      <c r="AE80" s="10" t="str">
        <f t="shared" si="59"/>
        <v/>
      </c>
      <c r="AF80" s="10" t="str">
        <f t="shared" ref="AF80:AF114" si="76">IF(ISNUMBER(AE80),AE80*$M80,"")</f>
        <v/>
      </c>
      <c r="AH80" s="10" t="str">
        <f t="shared" si="60"/>
        <v/>
      </c>
      <c r="AI80" s="10" t="str">
        <f t="shared" ref="AI80:AI114" si="77">IF(ISNUMBER(AH80),AH80*$M80,"")</f>
        <v/>
      </c>
      <c r="AK80" s="10" t="str">
        <f t="shared" si="61"/>
        <v/>
      </c>
      <c r="AL80" s="10" t="str">
        <f t="shared" ref="AL80:AL114" si="78">IF(ISNUMBER(AK80),AK80*$M80,"")</f>
        <v/>
      </c>
      <c r="AN80" s="10" t="str">
        <f t="shared" si="62"/>
        <v/>
      </c>
      <c r="AO80" s="10" t="str">
        <f t="shared" ref="AO80:AO114" si="79">IF(ISNUMBER(AN80),AN80*$M80,"")</f>
        <v/>
      </c>
      <c r="AQ80" s="10" t="str">
        <f t="shared" si="63"/>
        <v/>
      </c>
      <c r="AR80" s="10" t="str">
        <f t="shared" ref="AR80:AR114" si="80">IF(ISNUMBER(AQ80),AQ80*$M80,"")</f>
        <v/>
      </c>
      <c r="AT80" s="7" t="str">
        <f>IF($K80&lt;=$F$15,IF($F$41&lt;&gt;"",$F$41/1000,IF(ISERROR(VLOOKUP($F$3&amp;IF($G$4&lt;&gt;"",$G$4,"")&amp;IF($F$44&lt;&gt;"","_"&amp;$F$44,""),'表3）燃料価格'!$AF$9:$AG$25,2,0)),0,VLOOKUP($I80,'表3）燃料価格'!$A$6:$U$66,VLOOKUP($F$3&amp;IF($G$4&lt;&gt;"",$G$4,"")&amp;IF($F$44&lt;&gt;"","_"&amp;$F$44,""),'表3）燃料価格'!$AF$9:$AG$25,2,0)+VLOOKUP($F$42,'表3）燃料価格'!$AF$28:$AG$29,2,0),0)*IF($F$44="需要地価格",1,$F$8/$F$142))),"")</f>
        <v/>
      </c>
      <c r="AV80" s="10" t="str">
        <f t="shared" si="64"/>
        <v/>
      </c>
      <c r="AW80" s="10" t="str">
        <f t="shared" ref="AW80:AW114" si="81">IF(ISNUMBER(AV80),AV80*$M80,"")</f>
        <v/>
      </c>
      <c r="AY80" s="7" t="str">
        <f>IF(ISERROR(IF($K80&lt;=$F$15,VLOOKUP($I80,'表4）CO2価格'!$A$7:$E$67,VLOOKUP($F$49,'表4）CO2価格'!$H$10:$I$12,2,0),0)*$F$8/1000,"")),0,IF($K80&lt;=$F$15,VLOOKUP($I80,'表4）CO2価格'!$A$7:$E$67,VLOOKUP($F$49,'表4）CO2価格'!$H$10:$I$12,2,0),0)*$F$8/1000,""))</f>
        <v/>
      </c>
      <c r="BA80" s="11" t="str">
        <f t="shared" si="65"/>
        <v/>
      </c>
      <c r="BB80" s="10" t="str">
        <f t="shared" ref="BB80:BB114" si="82">IF(ISNUMBER(BA80),BA80*$M80,"")</f>
        <v/>
      </c>
      <c r="BD80" s="10" t="str">
        <f t="shared" si="66"/>
        <v/>
      </c>
      <c r="BE80" s="10" t="str">
        <f t="shared" ref="BE80:BE114" si="83">IF(ISNUMBER(BD80),BD80*$M80,"")</f>
        <v/>
      </c>
      <c r="BG80" s="11" t="str">
        <f t="shared" si="67"/>
        <v/>
      </c>
      <c r="BH80" s="10" t="str">
        <f t="shared" ref="BH80:BH114" si="84">IF(ISNUMBER(BG80),BG80*$M80,"")</f>
        <v/>
      </c>
      <c r="BJ80" s="7" t="str">
        <f t="shared" si="68"/>
        <v/>
      </c>
      <c r="BK80" s="158" t="str">
        <f t="shared" si="69"/>
        <v/>
      </c>
      <c r="BL80" s="158" t="str">
        <f t="shared" si="70"/>
        <v/>
      </c>
      <c r="BM80" s="10"/>
      <c r="BN80" s="10" t="str">
        <f t="shared" ref="BN80:BN114" si="85">IF(AND(ISNUMBER($F$16),$K80&lt;=$F$16),BQ80*($O$15+$BK$116)/$BL$116,"")</f>
        <v/>
      </c>
      <c r="BO80" s="10" t="str">
        <f t="shared" ref="BO80:BO114" si="86">IF(ISNUMBER(BN80),BN80*$M80,"")</f>
        <v/>
      </c>
      <c r="BQ80" s="188" t="str">
        <f t="shared" si="37"/>
        <v/>
      </c>
      <c r="BR80" s="10" t="str">
        <f t="shared" ref="BR80:BR114" si="87">IF(ISNUMBER(BQ80),BQ80*$M80,"")</f>
        <v/>
      </c>
    </row>
    <row r="81" spans="4:70" x14ac:dyDescent="0.15">
      <c r="E81" s="81" t="s">
        <v>115</v>
      </c>
      <c r="F81" s="91">
        <f>AF116/$BR$116</f>
        <v>0</v>
      </c>
      <c r="G81" s="81" t="s">
        <v>132</v>
      </c>
      <c r="I81" s="458">
        <f t="shared" ref="I81:I114" si="88">I80+1</f>
        <v>2096</v>
      </c>
      <c r="J81" s="470"/>
      <c r="K81" s="39">
        <f t="shared" ref="K81:K114" si="89">IF(I81&lt;&gt;"",K80+1,"")</f>
        <v>67</v>
      </c>
      <c r="L81" s="39"/>
      <c r="M81" s="40">
        <f t="shared" si="54"/>
        <v>0.1380085346864266</v>
      </c>
      <c r="N81" s="39"/>
      <c r="O81" s="72" t="str">
        <f t="shared" ref="O81:O114" si="90">IF(K81&lt;=$F$15,O80-V80,"")</f>
        <v/>
      </c>
      <c r="P81" s="41" t="str">
        <f t="shared" si="55"/>
        <v/>
      </c>
      <c r="Q81" s="39"/>
      <c r="R81" s="72" t="str">
        <f t="shared" si="71"/>
        <v/>
      </c>
      <c r="S81" s="39"/>
      <c r="T81" s="72" t="str">
        <f t="shared" si="72"/>
        <v/>
      </c>
      <c r="U81" s="39"/>
      <c r="V81" s="72" t="str">
        <f t="shared" si="56"/>
        <v/>
      </c>
      <c r="W81" s="72" t="str">
        <f t="shared" si="73"/>
        <v/>
      </c>
      <c r="X81" s="39"/>
      <c r="Y81" s="72" t="str">
        <f t="shared" si="57"/>
        <v/>
      </c>
      <c r="Z81" s="72" t="str">
        <f t="shared" si="74"/>
        <v/>
      </c>
      <c r="AA81" s="39"/>
      <c r="AB81" s="72" t="str">
        <f t="shared" si="58"/>
        <v/>
      </c>
      <c r="AC81" s="72" t="str">
        <f t="shared" si="75"/>
        <v/>
      </c>
      <c r="AD81" s="39"/>
      <c r="AE81" s="72" t="str">
        <f t="shared" si="59"/>
        <v/>
      </c>
      <c r="AF81" s="72" t="str">
        <f t="shared" si="76"/>
        <v/>
      </c>
      <c r="AG81" s="39"/>
      <c r="AH81" s="72" t="str">
        <f t="shared" si="60"/>
        <v/>
      </c>
      <c r="AI81" s="72" t="str">
        <f t="shared" si="77"/>
        <v/>
      </c>
      <c r="AJ81" s="39"/>
      <c r="AK81" s="72" t="str">
        <f t="shared" si="61"/>
        <v/>
      </c>
      <c r="AL81" s="72" t="str">
        <f t="shared" si="78"/>
        <v/>
      </c>
      <c r="AM81" s="39"/>
      <c r="AN81" s="72" t="str">
        <f t="shared" si="62"/>
        <v/>
      </c>
      <c r="AO81" s="72" t="str">
        <f t="shared" si="79"/>
        <v/>
      </c>
      <c r="AP81" s="39"/>
      <c r="AQ81" s="72" t="str">
        <f t="shared" si="63"/>
        <v/>
      </c>
      <c r="AR81" s="72" t="str">
        <f t="shared" si="80"/>
        <v/>
      </c>
      <c r="AS81" s="39"/>
      <c r="AT81" s="40" t="str">
        <f>IF($K81&lt;=$F$15,IF($F$41&lt;&gt;"",$F$41/1000,IF(ISERROR(VLOOKUP($F$3&amp;IF($G$4&lt;&gt;"",$G$4,"")&amp;IF($F$44&lt;&gt;"","_"&amp;$F$44,""),'表3）燃料価格'!$AF$9:$AG$25,2,0)),0,VLOOKUP($I81,'表3）燃料価格'!$A$6:$U$66,VLOOKUP($F$3&amp;IF($G$4&lt;&gt;"",$G$4,"")&amp;IF($F$44&lt;&gt;"","_"&amp;$F$44,""),'表3）燃料価格'!$AF$9:$AG$25,2,0)+VLOOKUP($F$42,'表3）燃料価格'!$AF$28:$AG$29,2,0),0)*IF($F$44="需要地価格",1,$F$8/$F$142))),"")</f>
        <v/>
      </c>
      <c r="AU81" s="39"/>
      <c r="AV81" s="72" t="str">
        <f t="shared" si="64"/>
        <v/>
      </c>
      <c r="AW81" s="72" t="str">
        <f t="shared" si="81"/>
        <v/>
      </c>
      <c r="AX81" s="39"/>
      <c r="AY81" s="40" t="str">
        <f>IF(ISERROR(IF($K81&lt;=$F$15,VLOOKUP($I81,'表4）CO2価格'!$A$7:$E$67,VLOOKUP($F$49,'表4）CO2価格'!$H$10:$I$12,2,0),0)*$F$8/1000,"")),0,IF($K81&lt;=$F$15,VLOOKUP($I81,'表4）CO2価格'!$A$7:$E$67,VLOOKUP($F$49,'表4）CO2価格'!$H$10:$I$12,2,0),0)*$F$8/1000,""))</f>
        <v/>
      </c>
      <c r="AZ81" s="39"/>
      <c r="BA81" s="42" t="str">
        <f t="shared" si="65"/>
        <v/>
      </c>
      <c r="BB81" s="72" t="str">
        <f t="shared" si="82"/>
        <v/>
      </c>
      <c r="BC81" s="39"/>
      <c r="BD81" s="72" t="str">
        <f t="shared" si="66"/>
        <v/>
      </c>
      <c r="BE81" s="72" t="str">
        <f t="shared" si="83"/>
        <v/>
      </c>
      <c r="BF81" s="39"/>
      <c r="BG81" s="42" t="str">
        <f t="shared" si="67"/>
        <v/>
      </c>
      <c r="BH81" s="72" t="str">
        <f t="shared" si="84"/>
        <v/>
      </c>
      <c r="BI81" s="39"/>
      <c r="BJ81" s="40" t="str">
        <f t="shared" si="68"/>
        <v/>
      </c>
      <c r="BK81" s="157" t="str">
        <f t="shared" si="69"/>
        <v/>
      </c>
      <c r="BL81" s="157" t="str">
        <f t="shared" si="70"/>
        <v/>
      </c>
      <c r="BM81" s="72"/>
      <c r="BN81" s="72" t="str">
        <f t="shared" si="85"/>
        <v/>
      </c>
      <c r="BO81" s="72" t="str">
        <f t="shared" si="86"/>
        <v/>
      </c>
      <c r="BP81" s="39"/>
      <c r="BQ81" s="72" t="str">
        <f t="shared" ref="BQ81:BQ114" si="91">IF($K81&lt;=$F$15,$F$135*(1-$F$18/100)^(I81-I$15),"")</f>
        <v/>
      </c>
      <c r="BR81" s="72" t="str">
        <f t="shared" si="87"/>
        <v/>
      </c>
    </row>
    <row r="82" spans="4:70" x14ac:dyDescent="0.15">
      <c r="E82" s="82" t="s">
        <v>86</v>
      </c>
      <c r="F82" s="91">
        <f>AC116/$BR$116</f>
        <v>0.18614619756536988</v>
      </c>
      <c r="G82" s="81" t="s">
        <v>132</v>
      </c>
      <c r="I82" s="459">
        <f t="shared" si="88"/>
        <v>2097</v>
      </c>
      <c r="K82" s="71">
        <f t="shared" si="89"/>
        <v>68</v>
      </c>
      <c r="M82" s="7">
        <f t="shared" si="54"/>
        <v>0.13398886862759865</v>
      </c>
      <c r="O82" s="10" t="str">
        <f t="shared" si="90"/>
        <v/>
      </c>
      <c r="P82" s="29" t="str">
        <f t="shared" si="55"/>
        <v/>
      </c>
      <c r="R82" s="10" t="str">
        <f t="shared" si="71"/>
        <v/>
      </c>
      <c r="T82" s="10" t="str">
        <f t="shared" si="72"/>
        <v/>
      </c>
      <c r="V82" s="10" t="str">
        <f t="shared" si="56"/>
        <v/>
      </c>
      <c r="W82" s="10" t="str">
        <f t="shared" si="73"/>
        <v/>
      </c>
      <c r="Y82" s="10" t="str">
        <f t="shared" si="57"/>
        <v/>
      </c>
      <c r="Z82" s="10" t="str">
        <f t="shared" si="74"/>
        <v/>
      </c>
      <c r="AB82" s="10" t="str">
        <f t="shared" si="58"/>
        <v/>
      </c>
      <c r="AC82" s="10" t="str">
        <f t="shared" si="75"/>
        <v/>
      </c>
      <c r="AE82" s="10" t="str">
        <f t="shared" si="59"/>
        <v/>
      </c>
      <c r="AF82" s="10" t="str">
        <f t="shared" si="76"/>
        <v/>
      </c>
      <c r="AH82" s="10" t="str">
        <f t="shared" si="60"/>
        <v/>
      </c>
      <c r="AI82" s="10" t="str">
        <f t="shared" si="77"/>
        <v/>
      </c>
      <c r="AK82" s="10" t="str">
        <f t="shared" si="61"/>
        <v/>
      </c>
      <c r="AL82" s="10" t="str">
        <f t="shared" si="78"/>
        <v/>
      </c>
      <c r="AN82" s="10" t="str">
        <f t="shared" si="62"/>
        <v/>
      </c>
      <c r="AO82" s="10" t="str">
        <f t="shared" si="79"/>
        <v/>
      </c>
      <c r="AQ82" s="10" t="str">
        <f t="shared" si="63"/>
        <v/>
      </c>
      <c r="AR82" s="10" t="str">
        <f t="shared" si="80"/>
        <v/>
      </c>
      <c r="AT82" s="7" t="str">
        <f>IF($K82&lt;=$F$15,IF($F$41&lt;&gt;"",$F$41/1000,IF(ISERROR(VLOOKUP($F$3&amp;IF($G$4&lt;&gt;"",$G$4,"")&amp;IF($F$44&lt;&gt;"","_"&amp;$F$44,""),'表3）燃料価格'!$AF$9:$AG$25,2,0)),0,VLOOKUP($I82,'表3）燃料価格'!$A$6:$U$66,VLOOKUP($F$3&amp;IF($G$4&lt;&gt;"",$G$4,"")&amp;IF($F$44&lt;&gt;"","_"&amp;$F$44,""),'表3）燃料価格'!$AF$9:$AG$25,2,0)+VLOOKUP($F$42,'表3）燃料価格'!$AF$28:$AG$29,2,0),0)*IF($F$44="需要地価格",1,$F$8/$F$142))),"")</f>
        <v/>
      </c>
      <c r="AV82" s="10" t="str">
        <f t="shared" si="64"/>
        <v/>
      </c>
      <c r="AW82" s="10" t="str">
        <f t="shared" si="81"/>
        <v/>
      </c>
      <c r="AY82" s="7" t="str">
        <f>IF(ISERROR(IF($K82&lt;=$F$15,VLOOKUP($I82,'表4）CO2価格'!$A$7:$E$67,VLOOKUP($F$49,'表4）CO2価格'!$H$10:$I$12,2,0),0)*$F$8/1000,"")),0,IF($K82&lt;=$F$15,VLOOKUP($I82,'表4）CO2価格'!$A$7:$E$67,VLOOKUP($F$49,'表4）CO2価格'!$H$10:$I$12,2,0),0)*$F$8/1000,""))</f>
        <v/>
      </c>
      <c r="BA82" s="11" t="str">
        <f t="shared" si="65"/>
        <v/>
      </c>
      <c r="BB82" s="10" t="str">
        <f t="shared" si="82"/>
        <v/>
      </c>
      <c r="BD82" s="10" t="str">
        <f t="shared" si="66"/>
        <v/>
      </c>
      <c r="BE82" s="10" t="str">
        <f t="shared" si="83"/>
        <v/>
      </c>
      <c r="BG82" s="11" t="str">
        <f t="shared" si="67"/>
        <v/>
      </c>
      <c r="BH82" s="10" t="str">
        <f t="shared" si="84"/>
        <v/>
      </c>
      <c r="BJ82" s="7" t="str">
        <f t="shared" si="68"/>
        <v/>
      </c>
      <c r="BK82" s="158" t="str">
        <f t="shared" si="69"/>
        <v/>
      </c>
      <c r="BL82" s="158" t="str">
        <f t="shared" si="70"/>
        <v/>
      </c>
      <c r="BM82" s="10"/>
      <c r="BN82" s="10" t="str">
        <f t="shared" si="85"/>
        <v/>
      </c>
      <c r="BO82" s="10" t="str">
        <f t="shared" si="86"/>
        <v/>
      </c>
      <c r="BQ82" s="188" t="str">
        <f t="shared" si="91"/>
        <v/>
      </c>
      <c r="BR82" s="10" t="str">
        <f t="shared" si="87"/>
        <v/>
      </c>
    </row>
    <row r="83" spans="4:70" x14ac:dyDescent="0.15">
      <c r="F83" s="93"/>
      <c r="I83" s="458">
        <f>I82+1</f>
        <v>2098</v>
      </c>
      <c r="J83" s="470"/>
      <c r="K83" s="39">
        <f>IF(I83&lt;&gt;"",K82+1,"")</f>
        <v>69</v>
      </c>
      <c r="L83" s="39"/>
      <c r="M83" s="40">
        <f t="shared" si="54"/>
        <v>0.13008628022096957</v>
      </c>
      <c r="N83" s="39"/>
      <c r="O83" s="72" t="str">
        <f t="shared" si="90"/>
        <v/>
      </c>
      <c r="P83" s="41" t="str">
        <f t="shared" si="55"/>
        <v/>
      </c>
      <c r="Q83" s="39"/>
      <c r="R83" s="72" t="str">
        <f t="shared" si="71"/>
        <v/>
      </c>
      <c r="S83" s="39"/>
      <c r="T83" s="72" t="str">
        <f t="shared" si="72"/>
        <v/>
      </c>
      <c r="U83" s="39"/>
      <c r="V83" s="72" t="str">
        <f t="shared" si="56"/>
        <v/>
      </c>
      <c r="W83" s="72" t="str">
        <f t="shared" si="73"/>
        <v/>
      </c>
      <c r="X83" s="39"/>
      <c r="Y83" s="72" t="str">
        <f t="shared" si="57"/>
        <v/>
      </c>
      <c r="Z83" s="72" t="str">
        <f t="shared" si="74"/>
        <v/>
      </c>
      <c r="AA83" s="39"/>
      <c r="AB83" s="72" t="str">
        <f t="shared" si="58"/>
        <v/>
      </c>
      <c r="AC83" s="72" t="str">
        <f t="shared" si="75"/>
        <v/>
      </c>
      <c r="AD83" s="39"/>
      <c r="AE83" s="72" t="str">
        <f t="shared" si="59"/>
        <v/>
      </c>
      <c r="AF83" s="72" t="str">
        <f t="shared" si="76"/>
        <v/>
      </c>
      <c r="AG83" s="39"/>
      <c r="AH83" s="72" t="str">
        <f t="shared" si="60"/>
        <v/>
      </c>
      <c r="AI83" s="72" t="str">
        <f t="shared" si="77"/>
        <v/>
      </c>
      <c r="AJ83" s="39"/>
      <c r="AK83" s="72" t="str">
        <f t="shared" si="61"/>
        <v/>
      </c>
      <c r="AL83" s="72" t="str">
        <f t="shared" si="78"/>
        <v/>
      </c>
      <c r="AM83" s="39"/>
      <c r="AN83" s="72" t="str">
        <f t="shared" si="62"/>
        <v/>
      </c>
      <c r="AO83" s="72" t="str">
        <f t="shared" si="79"/>
        <v/>
      </c>
      <c r="AP83" s="39"/>
      <c r="AQ83" s="72" t="str">
        <f t="shared" si="63"/>
        <v/>
      </c>
      <c r="AR83" s="72" t="str">
        <f t="shared" si="80"/>
        <v/>
      </c>
      <c r="AS83" s="39"/>
      <c r="AT83" s="40" t="str">
        <f>IF($K83&lt;=$F$15,IF($F$41&lt;&gt;"",$F$41/1000,IF(ISERROR(VLOOKUP($F$3&amp;IF($G$4&lt;&gt;"",$G$4,"")&amp;IF($F$44&lt;&gt;"","_"&amp;$F$44,""),'表3）燃料価格'!$AF$9:$AG$25,2,0)),0,VLOOKUP($I83,'表3）燃料価格'!$A$6:$U$66,VLOOKUP($F$3&amp;IF($G$4&lt;&gt;"",$G$4,"")&amp;IF($F$44&lt;&gt;"","_"&amp;$F$44,""),'表3）燃料価格'!$AF$9:$AG$25,2,0)+VLOOKUP($F$42,'表3）燃料価格'!$AF$28:$AG$29,2,0),0)*IF($F$44="需要地価格",1,$F$8/$F$142))),"")</f>
        <v/>
      </c>
      <c r="AU83" s="39"/>
      <c r="AV83" s="72" t="str">
        <f t="shared" si="64"/>
        <v/>
      </c>
      <c r="AW83" s="72" t="str">
        <f t="shared" si="81"/>
        <v/>
      </c>
      <c r="AX83" s="39"/>
      <c r="AY83" s="40" t="str">
        <f>IF(ISERROR(IF($K83&lt;=$F$15,VLOOKUP($I83,'表4）CO2価格'!$A$7:$E$67,VLOOKUP($F$49,'表4）CO2価格'!$H$10:$I$12,2,0),0)*$F$8/1000,"")),0,IF($K83&lt;=$F$15,VLOOKUP($I83,'表4）CO2価格'!$A$7:$E$67,VLOOKUP($F$49,'表4）CO2価格'!$H$10:$I$12,2,0),0)*$F$8/1000,""))</f>
        <v/>
      </c>
      <c r="AZ83" s="39"/>
      <c r="BA83" s="42" t="str">
        <f t="shared" si="65"/>
        <v/>
      </c>
      <c r="BB83" s="72" t="str">
        <f t="shared" si="82"/>
        <v/>
      </c>
      <c r="BC83" s="39"/>
      <c r="BD83" s="72" t="str">
        <f t="shared" si="66"/>
        <v/>
      </c>
      <c r="BE83" s="72" t="str">
        <f t="shared" si="83"/>
        <v/>
      </c>
      <c r="BF83" s="39"/>
      <c r="BG83" s="42" t="str">
        <f t="shared" si="67"/>
        <v/>
      </c>
      <c r="BH83" s="72" t="str">
        <f t="shared" si="84"/>
        <v/>
      </c>
      <c r="BI83" s="39"/>
      <c r="BJ83" s="40" t="str">
        <f t="shared" si="68"/>
        <v/>
      </c>
      <c r="BK83" s="157" t="str">
        <f t="shared" si="69"/>
        <v/>
      </c>
      <c r="BL83" s="157" t="str">
        <f t="shared" si="70"/>
        <v/>
      </c>
      <c r="BM83" s="72"/>
      <c r="BN83" s="72" t="str">
        <f t="shared" si="85"/>
        <v/>
      </c>
      <c r="BO83" s="72" t="str">
        <f t="shared" si="86"/>
        <v/>
      </c>
      <c r="BP83" s="39"/>
      <c r="BQ83" s="72" t="str">
        <f t="shared" si="91"/>
        <v/>
      </c>
      <c r="BR83" s="72" t="str">
        <f t="shared" si="87"/>
        <v/>
      </c>
    </row>
    <row r="84" spans="4:70" ht="15" x14ac:dyDescent="0.15">
      <c r="D84" s="116" t="s">
        <v>194</v>
      </c>
      <c r="F84" s="94">
        <f>SUBTOTAL(9,F88:F91)</f>
        <v>3.3553708906181803</v>
      </c>
      <c r="G84" s="81" t="s">
        <v>132</v>
      </c>
      <c r="I84" s="459">
        <f t="shared" si="88"/>
        <v>2099</v>
      </c>
      <c r="K84" s="71">
        <f t="shared" si="89"/>
        <v>70</v>
      </c>
      <c r="M84" s="7">
        <f t="shared" si="54"/>
        <v>0.12629735943783454</v>
      </c>
      <c r="O84" s="10" t="str">
        <f t="shared" si="90"/>
        <v/>
      </c>
      <c r="P84" s="29" t="str">
        <f t="shared" si="55"/>
        <v/>
      </c>
      <c r="R84" s="10" t="str">
        <f t="shared" si="71"/>
        <v/>
      </c>
      <c r="T84" s="10" t="str">
        <f t="shared" si="72"/>
        <v/>
      </c>
      <c r="V84" s="10" t="str">
        <f t="shared" si="56"/>
        <v/>
      </c>
      <c r="W84" s="10" t="str">
        <f t="shared" si="73"/>
        <v/>
      </c>
      <c r="Y84" s="10" t="str">
        <f t="shared" si="57"/>
        <v/>
      </c>
      <c r="Z84" s="10" t="str">
        <f t="shared" si="74"/>
        <v/>
      </c>
      <c r="AB84" s="10" t="str">
        <f t="shared" si="58"/>
        <v/>
      </c>
      <c r="AC84" s="10" t="str">
        <f t="shared" si="75"/>
        <v/>
      </c>
      <c r="AE84" s="10" t="str">
        <f t="shared" si="59"/>
        <v/>
      </c>
      <c r="AF84" s="10" t="str">
        <f t="shared" si="76"/>
        <v/>
      </c>
      <c r="AH84" s="10" t="str">
        <f t="shared" si="60"/>
        <v/>
      </c>
      <c r="AI84" s="10" t="str">
        <f t="shared" si="77"/>
        <v/>
      </c>
      <c r="AK84" s="10" t="str">
        <f t="shared" si="61"/>
        <v/>
      </c>
      <c r="AL84" s="10" t="str">
        <f t="shared" si="78"/>
        <v/>
      </c>
      <c r="AN84" s="10" t="str">
        <f t="shared" si="62"/>
        <v/>
      </c>
      <c r="AO84" s="10" t="str">
        <f t="shared" si="79"/>
        <v/>
      </c>
      <c r="AQ84" s="10" t="str">
        <f t="shared" si="63"/>
        <v/>
      </c>
      <c r="AR84" s="10" t="str">
        <f t="shared" si="80"/>
        <v/>
      </c>
      <c r="AT84" s="7" t="str">
        <f>IF($K84&lt;=$F$15,IF($F$41&lt;&gt;"",$F$41/1000,IF(ISERROR(VLOOKUP($F$3&amp;IF($G$4&lt;&gt;"",$G$4,"")&amp;IF($F$44&lt;&gt;"","_"&amp;$F$44,""),'表3）燃料価格'!$AF$9:$AG$25,2,0)),0,VLOOKUP($I84,'表3）燃料価格'!$A$6:$U$66,VLOOKUP($F$3&amp;IF($G$4&lt;&gt;"",$G$4,"")&amp;IF($F$44&lt;&gt;"","_"&amp;$F$44,""),'表3）燃料価格'!$AF$9:$AG$25,2,0)+VLOOKUP($F$42,'表3）燃料価格'!$AF$28:$AG$29,2,0),0)*IF($F$44="需要地価格",1,$F$8/$F$142))),"")</f>
        <v/>
      </c>
      <c r="AV84" s="10" t="str">
        <f t="shared" si="64"/>
        <v/>
      </c>
      <c r="AW84" s="10" t="str">
        <f t="shared" si="81"/>
        <v/>
      </c>
      <c r="AY84" s="7" t="str">
        <f>IF(ISERROR(IF($K84&lt;=$F$15,VLOOKUP($I84,'表4）CO2価格'!$A$7:$E$67,VLOOKUP($F$49,'表4）CO2価格'!$H$10:$I$12,2,0),0)*$F$8/1000,"")),0,IF($K84&lt;=$F$15,VLOOKUP($I84,'表4）CO2価格'!$A$7:$E$67,VLOOKUP($F$49,'表4）CO2価格'!$H$10:$I$12,2,0),0)*$F$8/1000,""))</f>
        <v/>
      </c>
      <c r="BA84" s="11" t="str">
        <f t="shared" si="65"/>
        <v/>
      </c>
      <c r="BB84" s="10" t="str">
        <f t="shared" si="82"/>
        <v/>
      </c>
      <c r="BD84" s="10" t="str">
        <f t="shared" si="66"/>
        <v/>
      </c>
      <c r="BE84" s="10" t="str">
        <f t="shared" si="83"/>
        <v/>
      </c>
      <c r="BG84" s="11" t="str">
        <f t="shared" si="67"/>
        <v/>
      </c>
      <c r="BH84" s="10" t="str">
        <f t="shared" si="84"/>
        <v/>
      </c>
      <c r="BJ84" s="7" t="str">
        <f t="shared" si="68"/>
        <v/>
      </c>
      <c r="BK84" s="158" t="str">
        <f t="shared" si="69"/>
        <v/>
      </c>
      <c r="BL84" s="158" t="str">
        <f t="shared" si="70"/>
        <v/>
      </c>
      <c r="BM84" s="10"/>
      <c r="BN84" s="10" t="str">
        <f t="shared" si="85"/>
        <v/>
      </c>
      <c r="BO84" s="10" t="str">
        <f t="shared" si="86"/>
        <v/>
      </c>
      <c r="BQ84" s="188" t="str">
        <f t="shared" si="91"/>
        <v/>
      </c>
      <c r="BR84" s="10" t="str">
        <f t="shared" si="87"/>
        <v/>
      </c>
    </row>
    <row r="85" spans="4:70" x14ac:dyDescent="0.15">
      <c r="F85" s="93"/>
      <c r="I85" s="458">
        <f t="shared" si="88"/>
        <v>2100</v>
      </c>
      <c r="J85" s="470"/>
      <c r="K85" s="39">
        <f t="shared" si="89"/>
        <v>71</v>
      </c>
      <c r="L85" s="39"/>
      <c r="M85" s="40">
        <f t="shared" si="54"/>
        <v>0.12261879557071313</v>
      </c>
      <c r="N85" s="39"/>
      <c r="O85" s="72" t="str">
        <f t="shared" si="90"/>
        <v/>
      </c>
      <c r="P85" s="41" t="str">
        <f t="shared" si="55"/>
        <v/>
      </c>
      <c r="Q85" s="39"/>
      <c r="R85" s="72" t="str">
        <f t="shared" si="71"/>
        <v/>
      </c>
      <c r="S85" s="39"/>
      <c r="T85" s="72" t="str">
        <f t="shared" si="72"/>
        <v/>
      </c>
      <c r="U85" s="39"/>
      <c r="V85" s="72" t="str">
        <f t="shared" si="56"/>
        <v/>
      </c>
      <c r="W85" s="72" t="str">
        <f t="shared" si="73"/>
        <v/>
      </c>
      <c r="X85" s="39"/>
      <c r="Y85" s="72" t="str">
        <f t="shared" si="57"/>
        <v/>
      </c>
      <c r="Z85" s="72" t="str">
        <f t="shared" si="74"/>
        <v/>
      </c>
      <c r="AA85" s="39"/>
      <c r="AB85" s="72" t="str">
        <f t="shared" si="58"/>
        <v/>
      </c>
      <c r="AC85" s="72" t="str">
        <f t="shared" si="75"/>
        <v/>
      </c>
      <c r="AD85" s="39"/>
      <c r="AE85" s="72" t="str">
        <f t="shared" si="59"/>
        <v/>
      </c>
      <c r="AF85" s="72" t="str">
        <f t="shared" si="76"/>
        <v/>
      </c>
      <c r="AG85" s="39"/>
      <c r="AH85" s="72" t="str">
        <f t="shared" si="60"/>
        <v/>
      </c>
      <c r="AI85" s="72" t="str">
        <f t="shared" si="77"/>
        <v/>
      </c>
      <c r="AJ85" s="39"/>
      <c r="AK85" s="72" t="str">
        <f t="shared" si="61"/>
        <v/>
      </c>
      <c r="AL85" s="72" t="str">
        <f t="shared" si="78"/>
        <v/>
      </c>
      <c r="AM85" s="39"/>
      <c r="AN85" s="72" t="str">
        <f t="shared" si="62"/>
        <v/>
      </c>
      <c r="AO85" s="72" t="str">
        <f t="shared" si="79"/>
        <v/>
      </c>
      <c r="AP85" s="39"/>
      <c r="AQ85" s="72" t="str">
        <f t="shared" si="63"/>
        <v/>
      </c>
      <c r="AR85" s="72" t="str">
        <f t="shared" si="80"/>
        <v/>
      </c>
      <c r="AS85" s="39"/>
      <c r="AT85" s="40" t="str">
        <f>IF($K85&lt;=$F$15,IF($F$41&lt;&gt;"",$F$41/1000,IF(ISERROR(VLOOKUP($F$3&amp;IF($G$4&lt;&gt;"",$G$4,"")&amp;IF($F$44&lt;&gt;"","_"&amp;$F$44,""),'表3）燃料価格'!$AF$9:$AG$25,2,0)),0,VLOOKUP($I85,'表3）燃料価格'!$A$6:$U$66,VLOOKUP($F$3&amp;IF($G$4&lt;&gt;"",$G$4,"")&amp;IF($F$44&lt;&gt;"","_"&amp;$F$44,""),'表3）燃料価格'!$AF$9:$AG$25,2,0)+VLOOKUP($F$42,'表3）燃料価格'!$AF$28:$AG$29,2,0),0)*IF($F$44="需要地価格",1,$F$8/$F$142))),"")</f>
        <v/>
      </c>
      <c r="AU85" s="39"/>
      <c r="AV85" s="72" t="str">
        <f t="shared" si="64"/>
        <v/>
      </c>
      <c r="AW85" s="72" t="str">
        <f t="shared" si="81"/>
        <v/>
      </c>
      <c r="AX85" s="39"/>
      <c r="AY85" s="40" t="str">
        <f>IF(ISERROR(IF($K85&lt;=$F$15,VLOOKUP($I85,'表4）CO2価格'!$A$7:$E$67,VLOOKUP($F$49,'表4）CO2価格'!$H$10:$I$12,2,0),0)*$F$8/1000,"")),0,IF($K85&lt;=$F$15,VLOOKUP($I85,'表4）CO2価格'!$A$7:$E$67,VLOOKUP($F$49,'表4）CO2価格'!$H$10:$I$12,2,0),0)*$F$8/1000,""))</f>
        <v/>
      </c>
      <c r="AZ85" s="39"/>
      <c r="BA85" s="42" t="str">
        <f t="shared" si="65"/>
        <v/>
      </c>
      <c r="BB85" s="72" t="str">
        <f t="shared" si="82"/>
        <v/>
      </c>
      <c r="BC85" s="39"/>
      <c r="BD85" s="72" t="str">
        <f t="shared" si="66"/>
        <v/>
      </c>
      <c r="BE85" s="72" t="str">
        <f t="shared" si="83"/>
        <v/>
      </c>
      <c r="BF85" s="39"/>
      <c r="BG85" s="42" t="str">
        <f t="shared" si="67"/>
        <v/>
      </c>
      <c r="BH85" s="72" t="str">
        <f t="shared" si="84"/>
        <v/>
      </c>
      <c r="BI85" s="39"/>
      <c r="BJ85" s="40" t="str">
        <f t="shared" si="68"/>
        <v/>
      </c>
      <c r="BK85" s="157" t="str">
        <f t="shared" si="69"/>
        <v/>
      </c>
      <c r="BL85" s="157" t="str">
        <f t="shared" si="70"/>
        <v/>
      </c>
      <c r="BM85" s="72"/>
      <c r="BN85" s="72" t="str">
        <f t="shared" si="85"/>
        <v/>
      </c>
      <c r="BO85" s="72" t="str">
        <f t="shared" si="86"/>
        <v/>
      </c>
      <c r="BP85" s="39"/>
      <c r="BQ85" s="72" t="str">
        <f t="shared" si="91"/>
        <v/>
      </c>
      <c r="BR85" s="72" t="str">
        <f t="shared" si="87"/>
        <v/>
      </c>
    </row>
    <row r="86" spans="4:70" x14ac:dyDescent="0.15">
      <c r="D86" s="101" t="s">
        <v>195</v>
      </c>
      <c r="E86" s="113"/>
      <c r="F86" s="92"/>
      <c r="G86" s="101"/>
      <c r="I86" s="459">
        <f t="shared" si="88"/>
        <v>2101</v>
      </c>
      <c r="K86" s="71">
        <f t="shared" si="89"/>
        <v>72</v>
      </c>
      <c r="M86" s="7">
        <f t="shared" si="54"/>
        <v>0.1190473743404982</v>
      </c>
      <c r="O86" s="10" t="str">
        <f t="shared" si="90"/>
        <v/>
      </c>
      <c r="P86" s="29" t="str">
        <f t="shared" si="55"/>
        <v/>
      </c>
      <c r="R86" s="10" t="str">
        <f t="shared" si="71"/>
        <v/>
      </c>
      <c r="T86" s="10" t="str">
        <f t="shared" si="72"/>
        <v/>
      </c>
      <c r="V86" s="10" t="str">
        <f t="shared" si="56"/>
        <v/>
      </c>
      <c r="W86" s="10" t="str">
        <f t="shared" si="73"/>
        <v/>
      </c>
      <c r="Y86" s="10" t="str">
        <f t="shared" si="57"/>
        <v/>
      </c>
      <c r="Z86" s="10" t="str">
        <f t="shared" si="74"/>
        <v/>
      </c>
      <c r="AB86" s="10" t="str">
        <f t="shared" si="58"/>
        <v/>
      </c>
      <c r="AC86" s="10" t="str">
        <f t="shared" si="75"/>
        <v/>
      </c>
      <c r="AE86" s="10" t="str">
        <f t="shared" si="59"/>
        <v/>
      </c>
      <c r="AF86" s="10" t="str">
        <f t="shared" si="76"/>
        <v/>
      </c>
      <c r="AH86" s="10" t="str">
        <f t="shared" si="60"/>
        <v/>
      </c>
      <c r="AI86" s="10" t="str">
        <f t="shared" si="77"/>
        <v/>
      </c>
      <c r="AK86" s="10" t="str">
        <f t="shared" si="61"/>
        <v/>
      </c>
      <c r="AL86" s="10" t="str">
        <f t="shared" si="78"/>
        <v/>
      </c>
      <c r="AN86" s="10" t="str">
        <f t="shared" si="62"/>
        <v/>
      </c>
      <c r="AO86" s="10" t="str">
        <f t="shared" si="79"/>
        <v/>
      </c>
      <c r="AQ86" s="10" t="str">
        <f t="shared" si="63"/>
        <v/>
      </c>
      <c r="AR86" s="10" t="str">
        <f t="shared" si="80"/>
        <v/>
      </c>
      <c r="AT86" s="7" t="str">
        <f>IF($K86&lt;=$F$15,IF($F$41&lt;&gt;"",$F$41/1000,IF(ISERROR(VLOOKUP($F$3&amp;IF($G$4&lt;&gt;"",$G$4,"")&amp;IF($F$44&lt;&gt;"","_"&amp;$F$44,""),'表3）燃料価格'!$AF$9:$AG$25,2,0)),0,VLOOKUP($I86,'表3）燃料価格'!$A$6:$U$66,VLOOKUP($F$3&amp;IF($G$4&lt;&gt;"",$G$4,"")&amp;IF($F$44&lt;&gt;"","_"&amp;$F$44,""),'表3）燃料価格'!$AF$9:$AG$25,2,0)+VLOOKUP($F$42,'表3）燃料価格'!$AF$28:$AG$29,2,0),0)*IF($F$44="需要地価格",1,$F$8/$F$142))),"")</f>
        <v/>
      </c>
      <c r="AV86" s="10" t="str">
        <f t="shared" si="64"/>
        <v/>
      </c>
      <c r="AW86" s="10" t="str">
        <f t="shared" si="81"/>
        <v/>
      </c>
      <c r="AY86" s="7" t="str">
        <f>IF(ISERROR(IF($K86&lt;=$F$15,VLOOKUP($I86,'表4）CO2価格'!$A$7:$E$67,VLOOKUP($F$49,'表4）CO2価格'!$H$10:$I$12,2,0),0)*$F$8/1000,"")),0,IF($K86&lt;=$F$15,VLOOKUP($I86,'表4）CO2価格'!$A$7:$E$67,VLOOKUP($F$49,'表4）CO2価格'!$H$10:$I$12,2,0),0)*$F$8/1000,""))</f>
        <v/>
      </c>
      <c r="BA86" s="11" t="str">
        <f t="shared" si="65"/>
        <v/>
      </c>
      <c r="BB86" s="10" t="str">
        <f t="shared" si="82"/>
        <v/>
      </c>
      <c r="BD86" s="10" t="str">
        <f t="shared" si="66"/>
        <v/>
      </c>
      <c r="BE86" s="10" t="str">
        <f t="shared" si="83"/>
        <v/>
      </c>
      <c r="BG86" s="11" t="str">
        <f t="shared" si="67"/>
        <v/>
      </c>
      <c r="BH86" s="10" t="str">
        <f t="shared" si="84"/>
        <v/>
      </c>
      <c r="BJ86" s="7" t="str">
        <f t="shared" si="68"/>
        <v/>
      </c>
      <c r="BK86" s="158" t="str">
        <f t="shared" si="69"/>
        <v/>
      </c>
      <c r="BL86" s="158" t="str">
        <f t="shared" si="70"/>
        <v/>
      </c>
      <c r="BM86" s="10"/>
      <c r="BN86" s="10" t="str">
        <f t="shared" si="85"/>
        <v/>
      </c>
      <c r="BO86" s="10" t="str">
        <f t="shared" si="86"/>
        <v/>
      </c>
      <c r="BQ86" s="188" t="str">
        <f t="shared" si="91"/>
        <v/>
      </c>
      <c r="BR86" s="10" t="str">
        <f t="shared" si="87"/>
        <v/>
      </c>
    </row>
    <row r="87" spans="4:70" x14ac:dyDescent="0.15">
      <c r="F87" s="93"/>
      <c r="I87" s="458">
        <f t="shared" si="88"/>
        <v>2102</v>
      </c>
      <c r="J87" s="470"/>
      <c r="K87" s="39">
        <f t="shared" si="89"/>
        <v>73</v>
      </c>
      <c r="L87" s="39"/>
      <c r="M87" s="40">
        <f t="shared" si="54"/>
        <v>0.11557997508786232</v>
      </c>
      <c r="N87" s="39"/>
      <c r="O87" s="72" t="str">
        <f t="shared" si="90"/>
        <v/>
      </c>
      <c r="P87" s="41" t="str">
        <f t="shared" si="55"/>
        <v/>
      </c>
      <c r="Q87" s="39"/>
      <c r="R87" s="72" t="str">
        <f t="shared" si="71"/>
        <v/>
      </c>
      <c r="S87" s="39"/>
      <c r="T87" s="72" t="str">
        <f t="shared" si="72"/>
        <v/>
      </c>
      <c r="U87" s="39"/>
      <c r="V87" s="72" t="str">
        <f t="shared" si="56"/>
        <v/>
      </c>
      <c r="W87" s="72" t="str">
        <f t="shared" si="73"/>
        <v/>
      </c>
      <c r="X87" s="39"/>
      <c r="Y87" s="72" t="str">
        <f t="shared" si="57"/>
        <v/>
      </c>
      <c r="Z87" s="72" t="str">
        <f t="shared" si="74"/>
        <v/>
      </c>
      <c r="AA87" s="39"/>
      <c r="AB87" s="72" t="str">
        <f t="shared" si="58"/>
        <v/>
      </c>
      <c r="AC87" s="72" t="str">
        <f t="shared" si="75"/>
        <v/>
      </c>
      <c r="AD87" s="39"/>
      <c r="AE87" s="72" t="str">
        <f t="shared" si="59"/>
        <v/>
      </c>
      <c r="AF87" s="72" t="str">
        <f t="shared" si="76"/>
        <v/>
      </c>
      <c r="AG87" s="39"/>
      <c r="AH87" s="72" t="str">
        <f t="shared" si="60"/>
        <v/>
      </c>
      <c r="AI87" s="72" t="str">
        <f t="shared" si="77"/>
        <v/>
      </c>
      <c r="AJ87" s="39"/>
      <c r="AK87" s="72" t="str">
        <f t="shared" si="61"/>
        <v/>
      </c>
      <c r="AL87" s="72" t="str">
        <f t="shared" si="78"/>
        <v/>
      </c>
      <c r="AM87" s="39"/>
      <c r="AN87" s="72" t="str">
        <f t="shared" si="62"/>
        <v/>
      </c>
      <c r="AO87" s="72" t="str">
        <f t="shared" si="79"/>
        <v/>
      </c>
      <c r="AP87" s="39"/>
      <c r="AQ87" s="72" t="str">
        <f t="shared" si="63"/>
        <v/>
      </c>
      <c r="AR87" s="72" t="str">
        <f t="shared" si="80"/>
        <v/>
      </c>
      <c r="AS87" s="39"/>
      <c r="AT87" s="40" t="str">
        <f>IF($K87&lt;=$F$15,IF($F$41&lt;&gt;"",$F$41/1000,IF(ISERROR(VLOOKUP($F$3&amp;IF($G$4&lt;&gt;"",$G$4,"")&amp;IF($F$44&lt;&gt;"","_"&amp;$F$44,""),'表3）燃料価格'!$AF$9:$AG$25,2,0)),0,VLOOKUP($I87,'表3）燃料価格'!$A$6:$U$66,VLOOKUP($F$3&amp;IF($G$4&lt;&gt;"",$G$4,"")&amp;IF($F$44&lt;&gt;"","_"&amp;$F$44,""),'表3）燃料価格'!$AF$9:$AG$25,2,0)+VLOOKUP($F$42,'表3）燃料価格'!$AF$28:$AG$29,2,0),0)*IF($F$44="需要地価格",1,$F$8/$F$142))),"")</f>
        <v/>
      </c>
      <c r="AU87" s="39"/>
      <c r="AV87" s="72" t="str">
        <f t="shared" si="64"/>
        <v/>
      </c>
      <c r="AW87" s="72" t="str">
        <f t="shared" si="81"/>
        <v/>
      </c>
      <c r="AX87" s="39"/>
      <c r="AY87" s="40" t="str">
        <f>IF(ISERROR(IF($K87&lt;=$F$15,VLOOKUP($I87,'表4）CO2価格'!$A$7:$E$67,VLOOKUP($F$49,'表4）CO2価格'!$H$10:$I$12,2,0),0)*$F$8/1000,"")),0,IF($K87&lt;=$F$15,VLOOKUP($I87,'表4）CO2価格'!$A$7:$E$67,VLOOKUP($F$49,'表4）CO2価格'!$H$10:$I$12,2,0),0)*$F$8/1000,""))</f>
        <v/>
      </c>
      <c r="AZ87" s="39"/>
      <c r="BA87" s="42" t="str">
        <f t="shared" si="65"/>
        <v/>
      </c>
      <c r="BB87" s="72" t="str">
        <f t="shared" si="82"/>
        <v/>
      </c>
      <c r="BC87" s="39"/>
      <c r="BD87" s="72" t="str">
        <f t="shared" si="66"/>
        <v/>
      </c>
      <c r="BE87" s="72" t="str">
        <f t="shared" si="83"/>
        <v/>
      </c>
      <c r="BF87" s="39"/>
      <c r="BG87" s="42" t="str">
        <f t="shared" si="67"/>
        <v/>
      </c>
      <c r="BH87" s="72" t="str">
        <f t="shared" si="84"/>
        <v/>
      </c>
      <c r="BI87" s="39"/>
      <c r="BJ87" s="40" t="str">
        <f t="shared" si="68"/>
        <v/>
      </c>
      <c r="BK87" s="157" t="str">
        <f t="shared" si="69"/>
        <v/>
      </c>
      <c r="BL87" s="157" t="str">
        <f t="shared" si="70"/>
        <v/>
      </c>
      <c r="BM87" s="72"/>
      <c r="BN87" s="72" t="str">
        <f t="shared" si="85"/>
        <v/>
      </c>
      <c r="BO87" s="72" t="str">
        <f t="shared" si="86"/>
        <v/>
      </c>
      <c r="BP87" s="39"/>
      <c r="BQ87" s="72" t="str">
        <f t="shared" si="91"/>
        <v/>
      </c>
      <c r="BR87" s="72" t="str">
        <f t="shared" si="87"/>
        <v/>
      </c>
    </row>
    <row r="88" spans="4:70" x14ac:dyDescent="0.15">
      <c r="E88" s="82" t="s">
        <v>232</v>
      </c>
      <c r="F88" s="91">
        <f>AI116/$BR$116</f>
        <v>3.3553708906181803</v>
      </c>
      <c r="G88" s="81" t="s">
        <v>132</v>
      </c>
      <c r="I88" s="459">
        <f t="shared" si="88"/>
        <v>2103</v>
      </c>
      <c r="K88" s="71">
        <f t="shared" si="89"/>
        <v>74</v>
      </c>
      <c r="M88" s="7">
        <f t="shared" si="54"/>
        <v>0.11221356804646829</v>
      </c>
      <c r="O88" s="10" t="str">
        <f t="shared" si="90"/>
        <v/>
      </c>
      <c r="P88" s="29" t="str">
        <f t="shared" si="55"/>
        <v/>
      </c>
      <c r="R88" s="10" t="str">
        <f t="shared" si="71"/>
        <v/>
      </c>
      <c r="T88" s="10" t="str">
        <f t="shared" si="72"/>
        <v/>
      </c>
      <c r="V88" s="10" t="str">
        <f t="shared" si="56"/>
        <v/>
      </c>
      <c r="W88" s="10" t="str">
        <f t="shared" si="73"/>
        <v/>
      </c>
      <c r="Y88" s="10" t="str">
        <f t="shared" si="57"/>
        <v/>
      </c>
      <c r="Z88" s="10" t="str">
        <f t="shared" si="74"/>
        <v/>
      </c>
      <c r="AB88" s="10" t="str">
        <f t="shared" si="58"/>
        <v/>
      </c>
      <c r="AC88" s="10" t="str">
        <f t="shared" si="75"/>
        <v/>
      </c>
      <c r="AE88" s="10" t="str">
        <f t="shared" si="59"/>
        <v/>
      </c>
      <c r="AF88" s="10" t="str">
        <f t="shared" si="76"/>
        <v/>
      </c>
      <c r="AH88" s="10" t="str">
        <f t="shared" si="60"/>
        <v/>
      </c>
      <c r="AI88" s="10" t="str">
        <f t="shared" si="77"/>
        <v/>
      </c>
      <c r="AK88" s="10" t="str">
        <f t="shared" si="61"/>
        <v/>
      </c>
      <c r="AL88" s="10" t="str">
        <f t="shared" si="78"/>
        <v/>
      </c>
      <c r="AN88" s="10" t="str">
        <f t="shared" si="62"/>
        <v/>
      </c>
      <c r="AO88" s="10" t="str">
        <f t="shared" si="79"/>
        <v/>
      </c>
      <c r="AQ88" s="10" t="str">
        <f t="shared" si="63"/>
        <v/>
      </c>
      <c r="AR88" s="10" t="str">
        <f t="shared" si="80"/>
        <v/>
      </c>
      <c r="AT88" s="7" t="str">
        <f>IF($K88&lt;=$F$15,IF($F$41&lt;&gt;"",$F$41/1000,IF(ISERROR(VLOOKUP($F$3&amp;IF($G$4&lt;&gt;"",$G$4,"")&amp;IF($F$44&lt;&gt;"","_"&amp;$F$44,""),'表3）燃料価格'!$AF$9:$AG$25,2,0)),0,VLOOKUP($I88,'表3）燃料価格'!$A$6:$U$66,VLOOKUP($F$3&amp;IF($G$4&lt;&gt;"",$G$4,"")&amp;IF($F$44&lt;&gt;"","_"&amp;$F$44,""),'表3）燃料価格'!$AF$9:$AG$25,2,0)+VLOOKUP($F$42,'表3）燃料価格'!$AF$28:$AG$29,2,0),0)*IF($F$44="需要地価格",1,$F$8/$F$142))),"")</f>
        <v/>
      </c>
      <c r="AV88" s="10" t="str">
        <f t="shared" si="64"/>
        <v/>
      </c>
      <c r="AW88" s="10" t="str">
        <f t="shared" si="81"/>
        <v/>
      </c>
      <c r="AY88" s="7" t="str">
        <f>IF(ISERROR(IF($K88&lt;=$F$15,VLOOKUP($I88,'表4）CO2価格'!$A$7:$E$67,VLOOKUP($F$49,'表4）CO2価格'!$H$10:$I$12,2,0),0)*$F$8/1000,"")),0,IF($K88&lt;=$F$15,VLOOKUP($I88,'表4）CO2価格'!$A$7:$E$67,VLOOKUP($F$49,'表4）CO2価格'!$H$10:$I$12,2,0),0)*$F$8/1000,""))</f>
        <v/>
      </c>
      <c r="BA88" s="11" t="str">
        <f t="shared" si="65"/>
        <v/>
      </c>
      <c r="BB88" s="10" t="str">
        <f t="shared" si="82"/>
        <v/>
      </c>
      <c r="BD88" s="10" t="str">
        <f t="shared" si="66"/>
        <v/>
      </c>
      <c r="BE88" s="10" t="str">
        <f t="shared" si="83"/>
        <v/>
      </c>
      <c r="BG88" s="11" t="str">
        <f t="shared" si="67"/>
        <v/>
      </c>
      <c r="BH88" s="10" t="str">
        <f t="shared" si="84"/>
        <v/>
      </c>
      <c r="BJ88" s="7" t="str">
        <f t="shared" si="68"/>
        <v/>
      </c>
      <c r="BK88" s="158" t="str">
        <f t="shared" si="69"/>
        <v/>
      </c>
      <c r="BL88" s="158" t="str">
        <f t="shared" si="70"/>
        <v/>
      </c>
      <c r="BM88" s="10"/>
      <c r="BN88" s="10" t="str">
        <f t="shared" si="85"/>
        <v/>
      </c>
      <c r="BO88" s="10" t="str">
        <f t="shared" si="86"/>
        <v/>
      </c>
      <c r="BQ88" s="188" t="str">
        <f t="shared" si="91"/>
        <v/>
      </c>
      <c r="BR88" s="10" t="str">
        <f t="shared" si="87"/>
        <v/>
      </c>
    </row>
    <row r="89" spans="4:70" x14ac:dyDescent="0.15">
      <c r="E89" s="82" t="s">
        <v>234</v>
      </c>
      <c r="F89" s="91">
        <f>AL116/$BR$116</f>
        <v>0</v>
      </c>
      <c r="G89" s="81" t="s">
        <v>132</v>
      </c>
      <c r="I89" s="458">
        <f t="shared" si="88"/>
        <v>2104</v>
      </c>
      <c r="J89" s="470"/>
      <c r="K89" s="39">
        <f t="shared" si="89"/>
        <v>75</v>
      </c>
      <c r="L89" s="39"/>
      <c r="M89" s="40">
        <f t="shared" si="54"/>
        <v>0.10894521169560026</v>
      </c>
      <c r="N89" s="39"/>
      <c r="O89" s="72" t="str">
        <f t="shared" si="90"/>
        <v/>
      </c>
      <c r="P89" s="41" t="str">
        <f t="shared" si="55"/>
        <v/>
      </c>
      <c r="Q89" s="39"/>
      <c r="R89" s="72" t="str">
        <f t="shared" si="71"/>
        <v/>
      </c>
      <c r="S89" s="39"/>
      <c r="T89" s="72" t="str">
        <f t="shared" si="72"/>
        <v/>
      </c>
      <c r="U89" s="39"/>
      <c r="V89" s="72" t="str">
        <f t="shared" si="56"/>
        <v/>
      </c>
      <c r="W89" s="72" t="str">
        <f t="shared" si="73"/>
        <v/>
      </c>
      <c r="X89" s="39"/>
      <c r="Y89" s="72" t="str">
        <f t="shared" si="57"/>
        <v/>
      </c>
      <c r="Z89" s="72" t="str">
        <f t="shared" si="74"/>
        <v/>
      </c>
      <c r="AA89" s="39"/>
      <c r="AB89" s="72" t="str">
        <f t="shared" si="58"/>
        <v/>
      </c>
      <c r="AC89" s="72" t="str">
        <f t="shared" si="75"/>
        <v/>
      </c>
      <c r="AD89" s="39"/>
      <c r="AE89" s="72" t="str">
        <f t="shared" si="59"/>
        <v/>
      </c>
      <c r="AF89" s="72" t="str">
        <f t="shared" si="76"/>
        <v/>
      </c>
      <c r="AG89" s="39"/>
      <c r="AH89" s="72" t="str">
        <f t="shared" si="60"/>
        <v/>
      </c>
      <c r="AI89" s="72" t="str">
        <f t="shared" si="77"/>
        <v/>
      </c>
      <c r="AJ89" s="39"/>
      <c r="AK89" s="72" t="str">
        <f t="shared" si="61"/>
        <v/>
      </c>
      <c r="AL89" s="72" t="str">
        <f t="shared" si="78"/>
        <v/>
      </c>
      <c r="AM89" s="39"/>
      <c r="AN89" s="72" t="str">
        <f t="shared" si="62"/>
        <v/>
      </c>
      <c r="AO89" s="72" t="str">
        <f t="shared" si="79"/>
        <v/>
      </c>
      <c r="AP89" s="39"/>
      <c r="AQ89" s="72" t="str">
        <f t="shared" si="63"/>
        <v/>
      </c>
      <c r="AR89" s="72" t="str">
        <f t="shared" si="80"/>
        <v/>
      </c>
      <c r="AS89" s="39"/>
      <c r="AT89" s="40" t="str">
        <f>IF($K89&lt;=$F$15,IF($F$41&lt;&gt;"",$F$41/1000,IF(ISERROR(VLOOKUP($F$3&amp;IF($G$4&lt;&gt;"",$G$4,"")&amp;IF($F$44&lt;&gt;"","_"&amp;$F$44,""),'表3）燃料価格'!$AF$9:$AG$25,2,0)),0,VLOOKUP($I89,'表3）燃料価格'!$A$6:$U$66,VLOOKUP($F$3&amp;IF($G$4&lt;&gt;"",$G$4,"")&amp;IF($F$44&lt;&gt;"","_"&amp;$F$44,""),'表3）燃料価格'!$AF$9:$AG$25,2,0)+VLOOKUP($F$42,'表3）燃料価格'!$AF$28:$AG$29,2,0),0)*IF($F$44="需要地価格",1,$F$8/$F$142))),"")</f>
        <v/>
      </c>
      <c r="AU89" s="39"/>
      <c r="AV89" s="72" t="str">
        <f t="shared" si="64"/>
        <v/>
      </c>
      <c r="AW89" s="72" t="str">
        <f t="shared" si="81"/>
        <v/>
      </c>
      <c r="AX89" s="39"/>
      <c r="AY89" s="40" t="str">
        <f>IF(ISERROR(IF($K89&lt;=$F$15,VLOOKUP($I89,'表4）CO2価格'!$A$7:$E$67,VLOOKUP($F$49,'表4）CO2価格'!$H$10:$I$12,2,0),0)*$F$8/1000,"")),0,IF($K89&lt;=$F$15,VLOOKUP($I89,'表4）CO2価格'!$A$7:$E$67,VLOOKUP($F$49,'表4）CO2価格'!$H$10:$I$12,2,0),0)*$F$8/1000,""))</f>
        <v/>
      </c>
      <c r="AZ89" s="39"/>
      <c r="BA89" s="42" t="str">
        <f t="shared" si="65"/>
        <v/>
      </c>
      <c r="BB89" s="72" t="str">
        <f t="shared" si="82"/>
        <v/>
      </c>
      <c r="BC89" s="39"/>
      <c r="BD89" s="72" t="str">
        <f t="shared" si="66"/>
        <v/>
      </c>
      <c r="BE89" s="72" t="str">
        <f t="shared" si="83"/>
        <v/>
      </c>
      <c r="BF89" s="39"/>
      <c r="BG89" s="42" t="str">
        <f t="shared" si="67"/>
        <v/>
      </c>
      <c r="BH89" s="72" t="str">
        <f t="shared" si="84"/>
        <v/>
      </c>
      <c r="BI89" s="39"/>
      <c r="BJ89" s="40" t="str">
        <f t="shared" si="68"/>
        <v/>
      </c>
      <c r="BK89" s="157" t="str">
        <f t="shared" si="69"/>
        <v/>
      </c>
      <c r="BL89" s="157" t="str">
        <f t="shared" si="70"/>
        <v/>
      </c>
      <c r="BM89" s="72"/>
      <c r="BN89" s="72" t="str">
        <f t="shared" si="85"/>
        <v/>
      </c>
      <c r="BO89" s="72" t="str">
        <f t="shared" si="86"/>
        <v/>
      </c>
      <c r="BP89" s="39"/>
      <c r="BQ89" s="72" t="str">
        <f t="shared" si="91"/>
        <v/>
      </c>
      <c r="BR89" s="72" t="str">
        <f t="shared" si="87"/>
        <v/>
      </c>
    </row>
    <row r="90" spans="4:70" x14ac:dyDescent="0.15">
      <c r="E90" s="82" t="s">
        <v>235</v>
      </c>
      <c r="F90" s="91">
        <f>AO116/$BR$116</f>
        <v>0</v>
      </c>
      <c r="G90" s="81" t="s">
        <v>132</v>
      </c>
      <c r="I90" s="459">
        <f t="shared" si="88"/>
        <v>2105</v>
      </c>
      <c r="K90" s="71">
        <f t="shared" si="89"/>
        <v>76</v>
      </c>
      <c r="M90" s="7">
        <f t="shared" si="54"/>
        <v>0.10577205018990318</v>
      </c>
      <c r="O90" s="10" t="str">
        <f t="shared" si="90"/>
        <v/>
      </c>
      <c r="P90" s="29" t="str">
        <f t="shared" si="55"/>
        <v/>
      </c>
      <c r="R90" s="10" t="str">
        <f t="shared" si="71"/>
        <v/>
      </c>
      <c r="T90" s="10" t="str">
        <f t="shared" si="72"/>
        <v/>
      </c>
      <c r="V90" s="10" t="str">
        <f t="shared" si="56"/>
        <v/>
      </c>
      <c r="W90" s="10" t="str">
        <f t="shared" si="73"/>
        <v/>
      </c>
      <c r="Y90" s="10" t="str">
        <f t="shared" si="57"/>
        <v/>
      </c>
      <c r="Z90" s="10" t="str">
        <f t="shared" si="74"/>
        <v/>
      </c>
      <c r="AB90" s="10" t="str">
        <f t="shared" si="58"/>
        <v/>
      </c>
      <c r="AC90" s="10" t="str">
        <f t="shared" si="75"/>
        <v/>
      </c>
      <c r="AE90" s="10" t="str">
        <f t="shared" si="59"/>
        <v/>
      </c>
      <c r="AF90" s="10" t="str">
        <f t="shared" si="76"/>
        <v/>
      </c>
      <c r="AH90" s="10" t="str">
        <f t="shared" si="60"/>
        <v/>
      </c>
      <c r="AI90" s="10" t="str">
        <f t="shared" si="77"/>
        <v/>
      </c>
      <c r="AK90" s="10" t="str">
        <f t="shared" si="61"/>
        <v/>
      </c>
      <c r="AL90" s="10" t="str">
        <f t="shared" si="78"/>
        <v/>
      </c>
      <c r="AN90" s="10" t="str">
        <f t="shared" si="62"/>
        <v/>
      </c>
      <c r="AO90" s="10" t="str">
        <f t="shared" si="79"/>
        <v/>
      </c>
      <c r="AQ90" s="10" t="str">
        <f t="shared" si="63"/>
        <v/>
      </c>
      <c r="AR90" s="10" t="str">
        <f t="shared" si="80"/>
        <v/>
      </c>
      <c r="AT90" s="7" t="str">
        <f>IF($K90&lt;=$F$15,IF($F$41&lt;&gt;"",$F$41/1000,IF(ISERROR(VLOOKUP($F$3&amp;IF($G$4&lt;&gt;"",$G$4,"")&amp;IF($F$44&lt;&gt;"","_"&amp;$F$44,""),'表3）燃料価格'!$AF$9:$AG$25,2,0)),0,VLOOKUP($I90,'表3）燃料価格'!$A$6:$U$66,VLOOKUP($F$3&amp;IF($G$4&lt;&gt;"",$G$4,"")&amp;IF($F$44&lt;&gt;"","_"&amp;$F$44,""),'表3）燃料価格'!$AF$9:$AG$25,2,0)+VLOOKUP($F$42,'表3）燃料価格'!$AF$28:$AG$29,2,0),0)*IF($F$44="需要地価格",1,$F$8/$F$142))),"")</f>
        <v/>
      </c>
      <c r="AV90" s="10" t="str">
        <f t="shared" si="64"/>
        <v/>
      </c>
      <c r="AW90" s="10" t="str">
        <f t="shared" si="81"/>
        <v/>
      </c>
      <c r="AY90" s="7" t="str">
        <f>IF(ISERROR(IF($K90&lt;=$F$15,VLOOKUP($I90,'表4）CO2価格'!$A$7:$E$67,VLOOKUP($F$49,'表4）CO2価格'!$H$10:$I$12,2,0),0)*$F$8/1000,"")),0,IF($K90&lt;=$F$15,VLOOKUP($I90,'表4）CO2価格'!$A$7:$E$67,VLOOKUP($F$49,'表4）CO2価格'!$H$10:$I$12,2,0),0)*$F$8/1000,""))</f>
        <v/>
      </c>
      <c r="BA90" s="11" t="str">
        <f t="shared" si="65"/>
        <v/>
      </c>
      <c r="BB90" s="10" t="str">
        <f t="shared" si="82"/>
        <v/>
      </c>
      <c r="BD90" s="10" t="str">
        <f t="shared" si="66"/>
        <v/>
      </c>
      <c r="BE90" s="10" t="str">
        <f t="shared" si="83"/>
        <v/>
      </c>
      <c r="BG90" s="11" t="str">
        <f t="shared" si="67"/>
        <v/>
      </c>
      <c r="BH90" s="10" t="str">
        <f t="shared" si="84"/>
        <v/>
      </c>
      <c r="BJ90" s="7" t="str">
        <f t="shared" si="68"/>
        <v/>
      </c>
      <c r="BK90" s="158" t="str">
        <f t="shared" si="69"/>
        <v/>
      </c>
      <c r="BL90" s="158" t="str">
        <f t="shared" si="70"/>
        <v/>
      </c>
      <c r="BM90" s="10"/>
      <c r="BN90" s="10" t="str">
        <f t="shared" si="85"/>
        <v/>
      </c>
      <c r="BO90" s="10" t="str">
        <f t="shared" si="86"/>
        <v/>
      </c>
      <c r="BQ90" s="188" t="str">
        <f t="shared" si="91"/>
        <v/>
      </c>
      <c r="BR90" s="10" t="str">
        <f t="shared" si="87"/>
        <v/>
      </c>
    </row>
    <row r="91" spans="4:70" x14ac:dyDescent="0.15">
      <c r="E91" s="82" t="s">
        <v>236</v>
      </c>
      <c r="F91" s="91">
        <f>AR116/$BR$116</f>
        <v>0</v>
      </c>
      <c r="G91" s="81" t="s">
        <v>132</v>
      </c>
      <c r="I91" s="458">
        <f t="shared" si="88"/>
        <v>2106</v>
      </c>
      <c r="J91" s="470"/>
      <c r="K91" s="39">
        <f t="shared" si="89"/>
        <v>77</v>
      </c>
      <c r="L91" s="39"/>
      <c r="M91" s="40">
        <f t="shared" si="54"/>
        <v>0.10269131086398368</v>
      </c>
      <c r="N91" s="39"/>
      <c r="O91" s="72" t="str">
        <f t="shared" si="90"/>
        <v/>
      </c>
      <c r="P91" s="41" t="str">
        <f t="shared" si="55"/>
        <v/>
      </c>
      <c r="Q91" s="39"/>
      <c r="R91" s="72" t="str">
        <f t="shared" si="71"/>
        <v/>
      </c>
      <c r="S91" s="39"/>
      <c r="T91" s="72" t="str">
        <f t="shared" si="72"/>
        <v/>
      </c>
      <c r="U91" s="39"/>
      <c r="V91" s="72" t="str">
        <f t="shared" si="56"/>
        <v/>
      </c>
      <c r="W91" s="72" t="str">
        <f t="shared" si="73"/>
        <v/>
      </c>
      <c r="X91" s="39"/>
      <c r="Y91" s="72" t="str">
        <f t="shared" si="57"/>
        <v/>
      </c>
      <c r="Z91" s="72" t="str">
        <f t="shared" si="74"/>
        <v/>
      </c>
      <c r="AA91" s="39"/>
      <c r="AB91" s="72" t="str">
        <f t="shared" si="58"/>
        <v/>
      </c>
      <c r="AC91" s="72" t="str">
        <f t="shared" si="75"/>
        <v/>
      </c>
      <c r="AD91" s="39"/>
      <c r="AE91" s="72" t="str">
        <f t="shared" si="59"/>
        <v/>
      </c>
      <c r="AF91" s="72" t="str">
        <f t="shared" si="76"/>
        <v/>
      </c>
      <c r="AG91" s="39"/>
      <c r="AH91" s="72" t="str">
        <f t="shared" si="60"/>
        <v/>
      </c>
      <c r="AI91" s="72" t="str">
        <f t="shared" si="77"/>
        <v/>
      </c>
      <c r="AJ91" s="39"/>
      <c r="AK91" s="72" t="str">
        <f t="shared" si="61"/>
        <v/>
      </c>
      <c r="AL91" s="72" t="str">
        <f t="shared" si="78"/>
        <v/>
      </c>
      <c r="AM91" s="39"/>
      <c r="AN91" s="72" t="str">
        <f t="shared" si="62"/>
        <v/>
      </c>
      <c r="AO91" s="72" t="str">
        <f t="shared" si="79"/>
        <v/>
      </c>
      <c r="AP91" s="39"/>
      <c r="AQ91" s="72" t="str">
        <f t="shared" si="63"/>
        <v/>
      </c>
      <c r="AR91" s="72" t="str">
        <f t="shared" si="80"/>
        <v/>
      </c>
      <c r="AS91" s="39"/>
      <c r="AT91" s="40" t="str">
        <f>IF($K91&lt;=$F$15,IF($F$41&lt;&gt;"",$F$41/1000,IF(ISERROR(VLOOKUP($F$3&amp;IF($G$4&lt;&gt;"",$G$4,"")&amp;IF($F$44&lt;&gt;"","_"&amp;$F$44,""),'表3）燃料価格'!$AF$9:$AG$25,2,0)),0,VLOOKUP($I91,'表3）燃料価格'!$A$6:$U$66,VLOOKUP($F$3&amp;IF($G$4&lt;&gt;"",$G$4,"")&amp;IF($F$44&lt;&gt;"","_"&amp;$F$44,""),'表3）燃料価格'!$AF$9:$AG$25,2,0)+VLOOKUP($F$42,'表3）燃料価格'!$AF$28:$AG$29,2,0),0)*IF($F$44="需要地価格",1,$F$8/$F$142))),"")</f>
        <v/>
      </c>
      <c r="AU91" s="39"/>
      <c r="AV91" s="72" t="str">
        <f t="shared" si="64"/>
        <v/>
      </c>
      <c r="AW91" s="72" t="str">
        <f t="shared" si="81"/>
        <v/>
      </c>
      <c r="AX91" s="39"/>
      <c r="AY91" s="40" t="str">
        <f>IF(ISERROR(IF($K91&lt;=$F$15,VLOOKUP($I91,'表4）CO2価格'!$A$7:$E$67,VLOOKUP($F$49,'表4）CO2価格'!$H$10:$I$12,2,0),0)*$F$8/1000,"")),0,IF($K91&lt;=$F$15,VLOOKUP($I91,'表4）CO2価格'!$A$7:$E$67,VLOOKUP($F$49,'表4）CO2価格'!$H$10:$I$12,2,0),0)*$F$8/1000,""))</f>
        <v/>
      </c>
      <c r="AZ91" s="39"/>
      <c r="BA91" s="42" t="str">
        <f t="shared" si="65"/>
        <v/>
      </c>
      <c r="BB91" s="72" t="str">
        <f t="shared" si="82"/>
        <v/>
      </c>
      <c r="BC91" s="39"/>
      <c r="BD91" s="72" t="str">
        <f t="shared" si="66"/>
        <v/>
      </c>
      <c r="BE91" s="72" t="str">
        <f t="shared" si="83"/>
        <v/>
      </c>
      <c r="BF91" s="39"/>
      <c r="BG91" s="42" t="str">
        <f t="shared" si="67"/>
        <v/>
      </c>
      <c r="BH91" s="72" t="str">
        <f t="shared" si="84"/>
        <v/>
      </c>
      <c r="BI91" s="39"/>
      <c r="BJ91" s="40" t="str">
        <f t="shared" si="68"/>
        <v/>
      </c>
      <c r="BK91" s="157" t="str">
        <f t="shared" si="69"/>
        <v/>
      </c>
      <c r="BL91" s="157" t="str">
        <f t="shared" si="70"/>
        <v/>
      </c>
      <c r="BM91" s="72"/>
      <c r="BN91" s="72" t="str">
        <f t="shared" si="85"/>
        <v/>
      </c>
      <c r="BO91" s="72" t="str">
        <f t="shared" si="86"/>
        <v/>
      </c>
      <c r="BP91" s="39"/>
      <c r="BQ91" s="72" t="str">
        <f t="shared" si="91"/>
        <v/>
      </c>
      <c r="BR91" s="72" t="str">
        <f t="shared" si="87"/>
        <v/>
      </c>
    </row>
    <row r="92" spans="4:70" x14ac:dyDescent="0.15">
      <c r="F92" s="93"/>
      <c r="I92" s="459">
        <f t="shared" si="88"/>
        <v>2107</v>
      </c>
      <c r="K92" s="71">
        <f t="shared" si="89"/>
        <v>78</v>
      </c>
      <c r="M92" s="7">
        <f t="shared" si="54"/>
        <v>9.9700301809692873E-2</v>
      </c>
      <c r="O92" s="10" t="str">
        <f t="shared" si="90"/>
        <v/>
      </c>
      <c r="P92" s="29" t="str">
        <f t="shared" si="55"/>
        <v/>
      </c>
      <c r="R92" s="10" t="str">
        <f t="shared" si="71"/>
        <v/>
      </c>
      <c r="T92" s="10" t="str">
        <f t="shared" si="72"/>
        <v/>
      </c>
      <c r="V92" s="10" t="str">
        <f t="shared" si="56"/>
        <v/>
      </c>
      <c r="W92" s="10" t="str">
        <f t="shared" si="73"/>
        <v/>
      </c>
      <c r="Y92" s="10" t="str">
        <f t="shared" si="57"/>
        <v/>
      </c>
      <c r="Z92" s="10" t="str">
        <f t="shared" si="74"/>
        <v/>
      </c>
      <c r="AB92" s="10" t="str">
        <f t="shared" si="58"/>
        <v/>
      </c>
      <c r="AC92" s="10" t="str">
        <f t="shared" si="75"/>
        <v/>
      </c>
      <c r="AE92" s="10" t="str">
        <f t="shared" si="59"/>
        <v/>
      </c>
      <c r="AF92" s="10" t="str">
        <f t="shared" si="76"/>
        <v/>
      </c>
      <c r="AH92" s="10" t="str">
        <f t="shared" si="60"/>
        <v/>
      </c>
      <c r="AI92" s="10" t="str">
        <f t="shared" si="77"/>
        <v/>
      </c>
      <c r="AK92" s="10" t="str">
        <f t="shared" si="61"/>
        <v/>
      </c>
      <c r="AL92" s="10" t="str">
        <f t="shared" si="78"/>
        <v/>
      </c>
      <c r="AN92" s="10" t="str">
        <f t="shared" si="62"/>
        <v/>
      </c>
      <c r="AO92" s="10" t="str">
        <f t="shared" si="79"/>
        <v/>
      </c>
      <c r="AQ92" s="10" t="str">
        <f t="shared" si="63"/>
        <v/>
      </c>
      <c r="AR92" s="10" t="str">
        <f t="shared" si="80"/>
        <v/>
      </c>
      <c r="AT92" s="7" t="str">
        <f>IF($K92&lt;=$F$15,IF($F$41&lt;&gt;"",$F$41/1000,IF(ISERROR(VLOOKUP($F$3&amp;IF($G$4&lt;&gt;"",$G$4,"")&amp;IF($F$44&lt;&gt;"","_"&amp;$F$44,""),'表3）燃料価格'!$AF$9:$AG$25,2,0)),0,VLOOKUP($I92,'表3）燃料価格'!$A$6:$U$66,VLOOKUP($F$3&amp;IF($G$4&lt;&gt;"",$G$4,"")&amp;IF($F$44&lt;&gt;"","_"&amp;$F$44,""),'表3）燃料価格'!$AF$9:$AG$25,2,0)+VLOOKUP($F$42,'表3）燃料価格'!$AF$28:$AG$29,2,0),0)*IF($F$44="需要地価格",1,$F$8/$F$142))),"")</f>
        <v/>
      </c>
      <c r="AV92" s="10" t="str">
        <f t="shared" si="64"/>
        <v/>
      </c>
      <c r="AW92" s="10" t="str">
        <f t="shared" si="81"/>
        <v/>
      </c>
      <c r="AY92" s="7" t="str">
        <f>IF(ISERROR(IF($K92&lt;=$F$15,VLOOKUP($I92,'表4）CO2価格'!$A$7:$E$67,VLOOKUP($F$49,'表4）CO2価格'!$H$10:$I$12,2,0),0)*$F$8/1000,"")),0,IF($K92&lt;=$F$15,VLOOKUP($I92,'表4）CO2価格'!$A$7:$E$67,VLOOKUP($F$49,'表4）CO2価格'!$H$10:$I$12,2,0),0)*$F$8/1000,""))</f>
        <v/>
      </c>
      <c r="BA92" s="11" t="str">
        <f t="shared" si="65"/>
        <v/>
      </c>
      <c r="BB92" s="10" t="str">
        <f t="shared" si="82"/>
        <v/>
      </c>
      <c r="BD92" s="10" t="str">
        <f t="shared" si="66"/>
        <v/>
      </c>
      <c r="BE92" s="10" t="str">
        <f t="shared" si="83"/>
        <v/>
      </c>
      <c r="BG92" s="11" t="str">
        <f t="shared" si="67"/>
        <v/>
      </c>
      <c r="BH92" s="10" t="str">
        <f t="shared" si="84"/>
        <v/>
      </c>
      <c r="BJ92" s="7" t="str">
        <f t="shared" si="68"/>
        <v/>
      </c>
      <c r="BK92" s="158" t="str">
        <f t="shared" si="69"/>
        <v/>
      </c>
      <c r="BL92" s="158" t="str">
        <f t="shared" si="70"/>
        <v/>
      </c>
      <c r="BM92" s="10"/>
      <c r="BN92" s="10" t="str">
        <f t="shared" si="85"/>
        <v/>
      </c>
      <c r="BO92" s="10" t="str">
        <f t="shared" si="86"/>
        <v/>
      </c>
      <c r="BQ92" s="188" t="str">
        <f t="shared" si="91"/>
        <v/>
      </c>
      <c r="BR92" s="10" t="str">
        <f t="shared" si="87"/>
        <v/>
      </c>
    </row>
    <row r="93" spans="4:70" ht="15" x14ac:dyDescent="0.15">
      <c r="D93" s="116" t="s">
        <v>196</v>
      </c>
      <c r="F93" s="94">
        <f>SUBTOTAL(9,F97:F98)</f>
        <v>0</v>
      </c>
      <c r="I93" s="458">
        <f t="shared" si="88"/>
        <v>2108</v>
      </c>
      <c r="J93" s="470"/>
      <c r="K93" s="39">
        <f t="shared" si="89"/>
        <v>79</v>
      </c>
      <c r="L93" s="39"/>
      <c r="M93" s="40">
        <f t="shared" si="54"/>
        <v>9.679640952397367E-2</v>
      </c>
      <c r="N93" s="39"/>
      <c r="O93" s="72" t="str">
        <f t="shared" si="90"/>
        <v/>
      </c>
      <c r="P93" s="41" t="str">
        <f t="shared" si="55"/>
        <v/>
      </c>
      <c r="Q93" s="39"/>
      <c r="R93" s="72" t="str">
        <f t="shared" si="71"/>
        <v/>
      </c>
      <c r="S93" s="39"/>
      <c r="T93" s="72" t="str">
        <f t="shared" si="72"/>
        <v/>
      </c>
      <c r="U93" s="39"/>
      <c r="V93" s="72" t="str">
        <f t="shared" si="56"/>
        <v/>
      </c>
      <c r="W93" s="72" t="str">
        <f t="shared" si="73"/>
        <v/>
      </c>
      <c r="X93" s="39"/>
      <c r="Y93" s="72" t="str">
        <f t="shared" si="57"/>
        <v/>
      </c>
      <c r="Z93" s="72" t="str">
        <f t="shared" si="74"/>
        <v/>
      </c>
      <c r="AA93" s="39"/>
      <c r="AB93" s="72" t="str">
        <f t="shared" si="58"/>
        <v/>
      </c>
      <c r="AC93" s="72" t="str">
        <f t="shared" si="75"/>
        <v/>
      </c>
      <c r="AD93" s="39"/>
      <c r="AE93" s="72" t="str">
        <f t="shared" si="59"/>
        <v/>
      </c>
      <c r="AF93" s="72" t="str">
        <f t="shared" si="76"/>
        <v/>
      </c>
      <c r="AG93" s="39"/>
      <c r="AH93" s="72" t="str">
        <f t="shared" si="60"/>
        <v/>
      </c>
      <c r="AI93" s="72" t="str">
        <f t="shared" si="77"/>
        <v/>
      </c>
      <c r="AJ93" s="39"/>
      <c r="AK93" s="72" t="str">
        <f t="shared" si="61"/>
        <v/>
      </c>
      <c r="AL93" s="72" t="str">
        <f t="shared" si="78"/>
        <v/>
      </c>
      <c r="AM93" s="39"/>
      <c r="AN93" s="72" t="str">
        <f t="shared" si="62"/>
        <v/>
      </c>
      <c r="AO93" s="72" t="str">
        <f t="shared" si="79"/>
        <v/>
      </c>
      <c r="AP93" s="39"/>
      <c r="AQ93" s="72" t="str">
        <f t="shared" si="63"/>
        <v/>
      </c>
      <c r="AR93" s="72" t="str">
        <f t="shared" si="80"/>
        <v/>
      </c>
      <c r="AS93" s="39"/>
      <c r="AT93" s="40" t="str">
        <f>IF($K93&lt;=$F$15,IF($F$41&lt;&gt;"",$F$41/1000,IF(ISERROR(VLOOKUP($F$3&amp;IF($G$4&lt;&gt;"",$G$4,"")&amp;IF($F$44&lt;&gt;"","_"&amp;$F$44,""),'表3）燃料価格'!$AF$9:$AG$25,2,0)),0,VLOOKUP($I93,'表3）燃料価格'!$A$6:$U$66,VLOOKUP($F$3&amp;IF($G$4&lt;&gt;"",$G$4,"")&amp;IF($F$44&lt;&gt;"","_"&amp;$F$44,""),'表3）燃料価格'!$AF$9:$AG$25,2,0)+VLOOKUP($F$42,'表3）燃料価格'!$AF$28:$AG$29,2,0),0)*IF($F$44="需要地価格",1,$F$8/$F$142))),"")</f>
        <v/>
      </c>
      <c r="AU93" s="39"/>
      <c r="AV93" s="72" t="str">
        <f t="shared" si="64"/>
        <v/>
      </c>
      <c r="AW93" s="72" t="str">
        <f t="shared" si="81"/>
        <v/>
      </c>
      <c r="AX93" s="39"/>
      <c r="AY93" s="40" t="str">
        <f>IF(ISERROR(IF($K93&lt;=$F$15,VLOOKUP($I93,'表4）CO2価格'!$A$7:$E$67,VLOOKUP($F$49,'表4）CO2価格'!$H$10:$I$12,2,0),0)*$F$8/1000,"")),0,IF($K93&lt;=$F$15,VLOOKUP($I93,'表4）CO2価格'!$A$7:$E$67,VLOOKUP($F$49,'表4）CO2価格'!$H$10:$I$12,2,0),0)*$F$8/1000,""))</f>
        <v/>
      </c>
      <c r="AZ93" s="39"/>
      <c r="BA93" s="42" t="str">
        <f t="shared" si="65"/>
        <v/>
      </c>
      <c r="BB93" s="72" t="str">
        <f t="shared" si="82"/>
        <v/>
      </c>
      <c r="BC93" s="39"/>
      <c r="BD93" s="72" t="str">
        <f t="shared" si="66"/>
        <v/>
      </c>
      <c r="BE93" s="72" t="str">
        <f t="shared" si="83"/>
        <v/>
      </c>
      <c r="BF93" s="39"/>
      <c r="BG93" s="42" t="str">
        <f t="shared" si="67"/>
        <v/>
      </c>
      <c r="BH93" s="72" t="str">
        <f t="shared" si="84"/>
        <v/>
      </c>
      <c r="BI93" s="39"/>
      <c r="BJ93" s="40" t="str">
        <f t="shared" si="68"/>
        <v/>
      </c>
      <c r="BK93" s="157" t="str">
        <f t="shared" si="69"/>
        <v/>
      </c>
      <c r="BL93" s="157" t="str">
        <f t="shared" si="70"/>
        <v/>
      </c>
      <c r="BM93" s="72"/>
      <c r="BN93" s="72" t="str">
        <f t="shared" si="85"/>
        <v/>
      </c>
      <c r="BO93" s="72" t="str">
        <f t="shared" si="86"/>
        <v/>
      </c>
      <c r="BP93" s="39"/>
      <c r="BQ93" s="72" t="str">
        <f t="shared" si="91"/>
        <v/>
      </c>
      <c r="BR93" s="72" t="str">
        <f t="shared" si="87"/>
        <v/>
      </c>
    </row>
    <row r="94" spans="4:70" ht="15" x14ac:dyDescent="0.15">
      <c r="D94" s="116"/>
      <c r="F94" s="93"/>
      <c r="I94" s="459">
        <f t="shared" si="88"/>
        <v>2109</v>
      </c>
      <c r="K94" s="71">
        <f t="shared" si="89"/>
        <v>80</v>
      </c>
      <c r="M94" s="7">
        <f t="shared" si="54"/>
        <v>9.3977096625217166E-2</v>
      </c>
      <c r="O94" s="10" t="str">
        <f t="shared" si="90"/>
        <v/>
      </c>
      <c r="P94" s="29" t="str">
        <f t="shared" si="55"/>
        <v/>
      </c>
      <c r="R94" s="10" t="str">
        <f t="shared" si="71"/>
        <v/>
      </c>
      <c r="T94" s="10" t="str">
        <f t="shared" si="72"/>
        <v/>
      </c>
      <c r="V94" s="10" t="str">
        <f t="shared" si="56"/>
        <v/>
      </c>
      <c r="W94" s="10" t="str">
        <f t="shared" si="73"/>
        <v/>
      </c>
      <c r="Y94" s="10" t="str">
        <f t="shared" si="57"/>
        <v/>
      </c>
      <c r="Z94" s="10" t="str">
        <f t="shared" si="74"/>
        <v/>
      </c>
      <c r="AB94" s="10" t="str">
        <f t="shared" si="58"/>
        <v/>
      </c>
      <c r="AC94" s="10" t="str">
        <f t="shared" si="75"/>
        <v/>
      </c>
      <c r="AE94" s="10" t="str">
        <f t="shared" si="59"/>
        <v/>
      </c>
      <c r="AF94" s="10" t="str">
        <f t="shared" si="76"/>
        <v/>
      </c>
      <c r="AH94" s="10" t="str">
        <f t="shared" si="60"/>
        <v/>
      </c>
      <c r="AI94" s="10" t="str">
        <f t="shared" si="77"/>
        <v/>
      </c>
      <c r="AK94" s="10" t="str">
        <f t="shared" si="61"/>
        <v/>
      </c>
      <c r="AL94" s="10" t="str">
        <f t="shared" si="78"/>
        <v/>
      </c>
      <c r="AN94" s="10" t="str">
        <f t="shared" si="62"/>
        <v/>
      </c>
      <c r="AO94" s="10" t="str">
        <f t="shared" si="79"/>
        <v/>
      </c>
      <c r="AQ94" s="10" t="str">
        <f t="shared" si="63"/>
        <v/>
      </c>
      <c r="AR94" s="10" t="str">
        <f t="shared" si="80"/>
        <v/>
      </c>
      <c r="AT94" s="7" t="str">
        <f>IF($K94&lt;=$F$15,IF($F$41&lt;&gt;"",$F$41/1000,IF(ISERROR(VLOOKUP($F$3&amp;IF($G$4&lt;&gt;"",$G$4,"")&amp;IF($F$44&lt;&gt;"","_"&amp;$F$44,""),'表3）燃料価格'!$AF$9:$AG$25,2,0)),0,VLOOKUP($I94,'表3）燃料価格'!$A$6:$U$66,VLOOKUP($F$3&amp;IF($G$4&lt;&gt;"",$G$4,"")&amp;IF($F$44&lt;&gt;"","_"&amp;$F$44,""),'表3）燃料価格'!$AF$9:$AG$25,2,0)+VLOOKUP($F$42,'表3）燃料価格'!$AF$28:$AG$29,2,0),0)*IF($F$44="需要地価格",1,$F$8/$F$142))),"")</f>
        <v/>
      </c>
      <c r="AV94" s="10" t="str">
        <f t="shared" si="64"/>
        <v/>
      </c>
      <c r="AW94" s="10" t="str">
        <f t="shared" si="81"/>
        <v/>
      </c>
      <c r="AY94" s="7" t="str">
        <f>IF(ISERROR(IF($K94&lt;=$F$15,VLOOKUP($I94,'表4）CO2価格'!$A$7:$E$67,VLOOKUP($F$49,'表4）CO2価格'!$H$10:$I$12,2,0),0)*$F$8/1000,"")),0,IF($K94&lt;=$F$15,VLOOKUP($I94,'表4）CO2価格'!$A$7:$E$67,VLOOKUP($F$49,'表4）CO2価格'!$H$10:$I$12,2,0),0)*$F$8/1000,""))</f>
        <v/>
      </c>
      <c r="BA94" s="11" t="str">
        <f t="shared" si="65"/>
        <v/>
      </c>
      <c r="BB94" s="10" t="str">
        <f t="shared" si="82"/>
        <v/>
      </c>
      <c r="BD94" s="10" t="str">
        <f t="shared" si="66"/>
        <v/>
      </c>
      <c r="BE94" s="10" t="str">
        <f t="shared" si="83"/>
        <v/>
      </c>
      <c r="BG94" s="11" t="str">
        <f t="shared" si="67"/>
        <v/>
      </c>
      <c r="BH94" s="10" t="str">
        <f t="shared" si="84"/>
        <v/>
      </c>
      <c r="BJ94" s="7" t="str">
        <f t="shared" si="68"/>
        <v/>
      </c>
      <c r="BK94" s="158" t="str">
        <f t="shared" si="69"/>
        <v/>
      </c>
      <c r="BL94" s="158" t="str">
        <f t="shared" si="70"/>
        <v/>
      </c>
      <c r="BM94" s="10"/>
      <c r="BN94" s="10" t="str">
        <f t="shared" si="85"/>
        <v/>
      </c>
      <c r="BO94" s="10" t="str">
        <f t="shared" si="86"/>
        <v/>
      </c>
      <c r="BQ94" s="188" t="str">
        <f t="shared" si="91"/>
        <v/>
      </c>
      <c r="BR94" s="10" t="str">
        <f t="shared" si="87"/>
        <v/>
      </c>
    </row>
    <row r="95" spans="4:70" x14ac:dyDescent="0.15">
      <c r="D95" s="101" t="s">
        <v>197</v>
      </c>
      <c r="E95" s="101"/>
      <c r="F95" s="92"/>
      <c r="G95" s="101"/>
      <c r="I95" s="458">
        <f t="shared" si="88"/>
        <v>2110</v>
      </c>
      <c r="J95" s="470"/>
      <c r="K95" s="39">
        <f t="shared" si="89"/>
        <v>81</v>
      </c>
      <c r="L95" s="39"/>
      <c r="M95" s="40">
        <f t="shared" si="54"/>
        <v>9.1239899636133173E-2</v>
      </c>
      <c r="N95" s="39"/>
      <c r="O95" s="72" t="str">
        <f t="shared" si="90"/>
        <v/>
      </c>
      <c r="P95" s="41" t="str">
        <f t="shared" si="55"/>
        <v/>
      </c>
      <c r="Q95" s="39"/>
      <c r="R95" s="72" t="str">
        <f t="shared" si="71"/>
        <v/>
      </c>
      <c r="S95" s="39"/>
      <c r="T95" s="72" t="str">
        <f t="shared" si="72"/>
        <v/>
      </c>
      <c r="U95" s="39"/>
      <c r="V95" s="72" t="str">
        <f t="shared" si="56"/>
        <v/>
      </c>
      <c r="W95" s="72" t="str">
        <f t="shared" si="73"/>
        <v/>
      </c>
      <c r="X95" s="39"/>
      <c r="Y95" s="72" t="str">
        <f t="shared" si="57"/>
        <v/>
      </c>
      <c r="Z95" s="72" t="str">
        <f t="shared" si="74"/>
        <v/>
      </c>
      <c r="AA95" s="39"/>
      <c r="AB95" s="72" t="str">
        <f t="shared" si="58"/>
        <v/>
      </c>
      <c r="AC95" s="72" t="str">
        <f t="shared" si="75"/>
        <v/>
      </c>
      <c r="AD95" s="39"/>
      <c r="AE95" s="72" t="str">
        <f t="shared" si="59"/>
        <v/>
      </c>
      <c r="AF95" s="72" t="str">
        <f t="shared" si="76"/>
        <v/>
      </c>
      <c r="AG95" s="39"/>
      <c r="AH95" s="72" t="str">
        <f t="shared" si="60"/>
        <v/>
      </c>
      <c r="AI95" s="72" t="str">
        <f t="shared" si="77"/>
        <v/>
      </c>
      <c r="AJ95" s="39"/>
      <c r="AK95" s="72" t="str">
        <f t="shared" si="61"/>
        <v/>
      </c>
      <c r="AL95" s="72" t="str">
        <f t="shared" si="78"/>
        <v/>
      </c>
      <c r="AM95" s="39"/>
      <c r="AN95" s="72" t="str">
        <f t="shared" si="62"/>
        <v/>
      </c>
      <c r="AO95" s="72" t="str">
        <f t="shared" si="79"/>
        <v/>
      </c>
      <c r="AP95" s="39"/>
      <c r="AQ95" s="72" t="str">
        <f t="shared" si="63"/>
        <v/>
      </c>
      <c r="AR95" s="72" t="str">
        <f t="shared" si="80"/>
        <v/>
      </c>
      <c r="AS95" s="39"/>
      <c r="AT95" s="40" t="str">
        <f>IF($K95&lt;=$F$15,IF($F$41&lt;&gt;"",$F$41/1000,IF(ISERROR(VLOOKUP($F$3&amp;IF($G$4&lt;&gt;"",$G$4,"")&amp;IF($F$44&lt;&gt;"","_"&amp;$F$44,""),'表3）燃料価格'!$AF$9:$AG$25,2,0)),0,VLOOKUP($I95,'表3）燃料価格'!$A$6:$U$66,VLOOKUP($F$3&amp;IF($G$4&lt;&gt;"",$G$4,"")&amp;IF($F$44&lt;&gt;"","_"&amp;$F$44,""),'表3）燃料価格'!$AF$9:$AG$25,2,0)+VLOOKUP($F$42,'表3）燃料価格'!$AF$28:$AG$29,2,0),0)*IF($F$44="需要地価格",1,$F$8/$F$142))),"")</f>
        <v/>
      </c>
      <c r="AU95" s="39"/>
      <c r="AV95" s="72" t="str">
        <f t="shared" si="64"/>
        <v/>
      </c>
      <c r="AW95" s="72" t="str">
        <f t="shared" si="81"/>
        <v/>
      </c>
      <c r="AX95" s="39"/>
      <c r="AY95" s="40" t="str">
        <f>IF(ISERROR(IF($K95&lt;=$F$15,VLOOKUP($I95,'表4）CO2価格'!$A$7:$E$67,VLOOKUP($F$49,'表4）CO2価格'!$H$10:$I$12,2,0),0)*$F$8/1000,"")),0,IF($K95&lt;=$F$15,VLOOKUP($I95,'表4）CO2価格'!$A$7:$E$67,VLOOKUP($F$49,'表4）CO2価格'!$H$10:$I$12,2,0),0)*$F$8/1000,""))</f>
        <v/>
      </c>
      <c r="AZ95" s="39"/>
      <c r="BA95" s="42" t="str">
        <f t="shared" si="65"/>
        <v/>
      </c>
      <c r="BB95" s="72" t="str">
        <f t="shared" si="82"/>
        <v/>
      </c>
      <c r="BC95" s="39"/>
      <c r="BD95" s="72" t="str">
        <f t="shared" si="66"/>
        <v/>
      </c>
      <c r="BE95" s="72" t="str">
        <f t="shared" si="83"/>
        <v/>
      </c>
      <c r="BF95" s="39"/>
      <c r="BG95" s="42" t="str">
        <f t="shared" si="67"/>
        <v/>
      </c>
      <c r="BH95" s="72" t="str">
        <f t="shared" si="84"/>
        <v/>
      </c>
      <c r="BI95" s="39"/>
      <c r="BJ95" s="40" t="str">
        <f t="shared" si="68"/>
        <v/>
      </c>
      <c r="BK95" s="157" t="str">
        <f t="shared" si="69"/>
        <v/>
      </c>
      <c r="BL95" s="157" t="str">
        <f t="shared" si="70"/>
        <v/>
      </c>
      <c r="BM95" s="72"/>
      <c r="BN95" s="72" t="str">
        <f t="shared" si="85"/>
        <v/>
      </c>
      <c r="BO95" s="72" t="str">
        <f t="shared" si="86"/>
        <v/>
      </c>
      <c r="BP95" s="39"/>
      <c r="BQ95" s="72" t="str">
        <f t="shared" si="91"/>
        <v/>
      </c>
      <c r="BR95" s="72" t="str">
        <f t="shared" si="87"/>
        <v/>
      </c>
    </row>
    <row r="96" spans="4:70" ht="15" x14ac:dyDescent="0.15">
      <c r="D96" s="116"/>
      <c r="F96" s="93"/>
      <c r="I96" s="459">
        <f t="shared" si="88"/>
        <v>2111</v>
      </c>
      <c r="K96" s="71">
        <f t="shared" si="89"/>
        <v>82</v>
      </c>
      <c r="M96" s="7">
        <f t="shared" si="54"/>
        <v>8.8582426831197242E-2</v>
      </c>
      <c r="O96" s="10" t="str">
        <f t="shared" si="90"/>
        <v/>
      </c>
      <c r="P96" s="29" t="str">
        <f t="shared" si="55"/>
        <v/>
      </c>
      <c r="R96" s="10" t="str">
        <f t="shared" si="71"/>
        <v/>
      </c>
      <c r="T96" s="10" t="str">
        <f t="shared" si="72"/>
        <v/>
      </c>
      <c r="V96" s="10" t="str">
        <f t="shared" si="56"/>
        <v/>
      </c>
      <c r="W96" s="10" t="str">
        <f t="shared" si="73"/>
        <v/>
      </c>
      <c r="Y96" s="10" t="str">
        <f t="shared" si="57"/>
        <v/>
      </c>
      <c r="Z96" s="10" t="str">
        <f t="shared" si="74"/>
        <v/>
      </c>
      <c r="AB96" s="10" t="str">
        <f t="shared" si="58"/>
        <v/>
      </c>
      <c r="AC96" s="10" t="str">
        <f t="shared" si="75"/>
        <v/>
      </c>
      <c r="AE96" s="10" t="str">
        <f t="shared" si="59"/>
        <v/>
      </c>
      <c r="AF96" s="10" t="str">
        <f t="shared" si="76"/>
        <v/>
      </c>
      <c r="AH96" s="10" t="str">
        <f t="shared" si="60"/>
        <v/>
      </c>
      <c r="AI96" s="10" t="str">
        <f t="shared" si="77"/>
        <v/>
      </c>
      <c r="AK96" s="10" t="str">
        <f t="shared" si="61"/>
        <v/>
      </c>
      <c r="AL96" s="10" t="str">
        <f t="shared" si="78"/>
        <v/>
      </c>
      <c r="AN96" s="10" t="str">
        <f t="shared" si="62"/>
        <v/>
      </c>
      <c r="AO96" s="10" t="str">
        <f t="shared" si="79"/>
        <v/>
      </c>
      <c r="AQ96" s="10" t="str">
        <f t="shared" si="63"/>
        <v/>
      </c>
      <c r="AR96" s="10" t="str">
        <f t="shared" si="80"/>
        <v/>
      </c>
      <c r="AT96" s="7" t="str">
        <f>IF($K96&lt;=$F$15,IF($F$41&lt;&gt;"",$F$41/1000,IF(ISERROR(VLOOKUP($F$3&amp;IF($G$4&lt;&gt;"",$G$4,"")&amp;IF($F$44&lt;&gt;"","_"&amp;$F$44,""),'表3）燃料価格'!$AF$9:$AG$25,2,0)),0,VLOOKUP($I96,'表3）燃料価格'!$A$6:$U$66,VLOOKUP($F$3&amp;IF($G$4&lt;&gt;"",$G$4,"")&amp;IF($F$44&lt;&gt;"","_"&amp;$F$44,""),'表3）燃料価格'!$AF$9:$AG$25,2,0)+VLOOKUP($F$42,'表3）燃料価格'!$AF$28:$AG$29,2,0),0)*IF($F$44="需要地価格",1,$F$8/$F$142))),"")</f>
        <v/>
      </c>
      <c r="AV96" s="10" t="str">
        <f t="shared" si="64"/>
        <v/>
      </c>
      <c r="AW96" s="10" t="str">
        <f t="shared" si="81"/>
        <v/>
      </c>
      <c r="AY96" s="7" t="str">
        <f>IF(ISERROR(IF($K96&lt;=$F$15,VLOOKUP($I96,'表4）CO2価格'!$A$7:$E$67,VLOOKUP($F$49,'表4）CO2価格'!$H$10:$I$12,2,0),0)*$F$8/1000,"")),0,IF($K96&lt;=$F$15,VLOOKUP($I96,'表4）CO2価格'!$A$7:$E$67,VLOOKUP($F$49,'表4）CO2価格'!$H$10:$I$12,2,0),0)*$F$8/1000,""))</f>
        <v/>
      </c>
      <c r="BA96" s="11" t="str">
        <f t="shared" si="65"/>
        <v/>
      </c>
      <c r="BB96" s="10" t="str">
        <f t="shared" si="82"/>
        <v/>
      </c>
      <c r="BD96" s="10" t="str">
        <f t="shared" si="66"/>
        <v/>
      </c>
      <c r="BE96" s="10" t="str">
        <f t="shared" si="83"/>
        <v/>
      </c>
      <c r="BG96" s="11" t="str">
        <f t="shared" si="67"/>
        <v/>
      </c>
      <c r="BH96" s="10" t="str">
        <f t="shared" si="84"/>
        <v/>
      </c>
      <c r="BJ96" s="7" t="str">
        <f t="shared" si="68"/>
        <v/>
      </c>
      <c r="BK96" s="158" t="str">
        <f t="shared" si="69"/>
        <v/>
      </c>
      <c r="BL96" s="158" t="str">
        <f t="shared" si="70"/>
        <v/>
      </c>
      <c r="BM96" s="10"/>
      <c r="BN96" s="10" t="str">
        <f t="shared" si="85"/>
        <v/>
      </c>
      <c r="BO96" s="10" t="str">
        <f t="shared" si="86"/>
        <v/>
      </c>
      <c r="BQ96" s="188" t="str">
        <f t="shared" si="91"/>
        <v/>
      </c>
      <c r="BR96" s="10" t="str">
        <f t="shared" si="87"/>
        <v/>
      </c>
    </row>
    <row r="97" spans="4:70" ht="15" x14ac:dyDescent="0.15">
      <c r="D97" s="116"/>
      <c r="E97" s="81" t="s">
        <v>198</v>
      </c>
      <c r="F97" s="91">
        <f>IF(F3&lt;&gt;"原子力",AW116/$BR$116,0)</f>
        <v>0</v>
      </c>
      <c r="G97" s="81" t="s">
        <v>132</v>
      </c>
      <c r="I97" s="458">
        <f t="shared" si="88"/>
        <v>2112</v>
      </c>
      <c r="J97" s="470"/>
      <c r="K97" s="39">
        <f t="shared" si="89"/>
        <v>83</v>
      </c>
      <c r="L97" s="39"/>
      <c r="M97" s="40">
        <f t="shared" si="54"/>
        <v>8.6002356146793454E-2</v>
      </c>
      <c r="N97" s="39"/>
      <c r="O97" s="72" t="str">
        <f t="shared" si="90"/>
        <v/>
      </c>
      <c r="P97" s="41" t="str">
        <f t="shared" si="55"/>
        <v/>
      </c>
      <c r="Q97" s="39"/>
      <c r="R97" s="72" t="str">
        <f t="shared" si="71"/>
        <v/>
      </c>
      <c r="S97" s="39"/>
      <c r="T97" s="72" t="str">
        <f t="shared" si="72"/>
        <v/>
      </c>
      <c r="U97" s="39"/>
      <c r="V97" s="72" t="str">
        <f t="shared" si="56"/>
        <v/>
      </c>
      <c r="W97" s="72" t="str">
        <f t="shared" si="73"/>
        <v/>
      </c>
      <c r="X97" s="39"/>
      <c r="Y97" s="72" t="str">
        <f t="shared" si="57"/>
        <v/>
      </c>
      <c r="Z97" s="72" t="str">
        <f t="shared" si="74"/>
        <v/>
      </c>
      <c r="AA97" s="39"/>
      <c r="AB97" s="72" t="str">
        <f t="shared" si="58"/>
        <v/>
      </c>
      <c r="AC97" s="72" t="str">
        <f t="shared" si="75"/>
        <v/>
      </c>
      <c r="AD97" s="39"/>
      <c r="AE97" s="72" t="str">
        <f t="shared" si="59"/>
        <v/>
      </c>
      <c r="AF97" s="72" t="str">
        <f t="shared" si="76"/>
        <v/>
      </c>
      <c r="AG97" s="39"/>
      <c r="AH97" s="72" t="str">
        <f t="shared" si="60"/>
        <v/>
      </c>
      <c r="AI97" s="72" t="str">
        <f t="shared" si="77"/>
        <v/>
      </c>
      <c r="AJ97" s="39"/>
      <c r="AK97" s="72" t="str">
        <f t="shared" si="61"/>
        <v/>
      </c>
      <c r="AL97" s="72" t="str">
        <f t="shared" si="78"/>
        <v/>
      </c>
      <c r="AM97" s="39"/>
      <c r="AN97" s="72" t="str">
        <f t="shared" si="62"/>
        <v/>
      </c>
      <c r="AO97" s="72" t="str">
        <f t="shared" si="79"/>
        <v/>
      </c>
      <c r="AP97" s="39"/>
      <c r="AQ97" s="72" t="str">
        <f t="shared" si="63"/>
        <v/>
      </c>
      <c r="AR97" s="72" t="str">
        <f t="shared" si="80"/>
        <v/>
      </c>
      <c r="AS97" s="39"/>
      <c r="AT97" s="40" t="str">
        <f>IF($K97&lt;=$F$15,IF($F$41&lt;&gt;"",$F$41/1000,IF(ISERROR(VLOOKUP($F$3&amp;IF($G$4&lt;&gt;"",$G$4,"")&amp;IF($F$44&lt;&gt;"","_"&amp;$F$44,""),'表3）燃料価格'!$AF$9:$AG$25,2,0)),0,VLOOKUP($I97,'表3）燃料価格'!$A$6:$U$66,VLOOKUP($F$3&amp;IF($G$4&lt;&gt;"",$G$4,"")&amp;IF($F$44&lt;&gt;"","_"&amp;$F$44,""),'表3）燃料価格'!$AF$9:$AG$25,2,0)+VLOOKUP($F$42,'表3）燃料価格'!$AF$28:$AG$29,2,0),0)*IF($F$44="需要地価格",1,$F$8/$F$142))),"")</f>
        <v/>
      </c>
      <c r="AU97" s="39"/>
      <c r="AV97" s="72" t="str">
        <f t="shared" si="64"/>
        <v/>
      </c>
      <c r="AW97" s="72" t="str">
        <f t="shared" si="81"/>
        <v/>
      </c>
      <c r="AX97" s="39"/>
      <c r="AY97" s="40" t="str">
        <f>IF(ISERROR(IF($K97&lt;=$F$15,VLOOKUP($I97,'表4）CO2価格'!$A$7:$E$67,VLOOKUP($F$49,'表4）CO2価格'!$H$10:$I$12,2,0),0)*$F$8/1000,"")),0,IF($K97&lt;=$F$15,VLOOKUP($I97,'表4）CO2価格'!$A$7:$E$67,VLOOKUP($F$49,'表4）CO2価格'!$H$10:$I$12,2,0),0)*$F$8/1000,""))</f>
        <v/>
      </c>
      <c r="AZ97" s="39"/>
      <c r="BA97" s="42" t="str">
        <f t="shared" si="65"/>
        <v/>
      </c>
      <c r="BB97" s="72" t="str">
        <f t="shared" si="82"/>
        <v/>
      </c>
      <c r="BC97" s="39"/>
      <c r="BD97" s="72" t="str">
        <f t="shared" si="66"/>
        <v/>
      </c>
      <c r="BE97" s="72" t="str">
        <f t="shared" si="83"/>
        <v/>
      </c>
      <c r="BF97" s="39"/>
      <c r="BG97" s="42" t="str">
        <f t="shared" si="67"/>
        <v/>
      </c>
      <c r="BH97" s="72" t="str">
        <f t="shared" si="84"/>
        <v/>
      </c>
      <c r="BI97" s="39"/>
      <c r="BJ97" s="40" t="str">
        <f t="shared" si="68"/>
        <v/>
      </c>
      <c r="BK97" s="157" t="str">
        <f t="shared" si="69"/>
        <v/>
      </c>
      <c r="BL97" s="157" t="str">
        <f t="shared" si="70"/>
        <v/>
      </c>
      <c r="BM97" s="72"/>
      <c r="BN97" s="72" t="str">
        <f t="shared" si="85"/>
        <v/>
      </c>
      <c r="BO97" s="72" t="str">
        <f t="shared" si="86"/>
        <v/>
      </c>
      <c r="BP97" s="39"/>
      <c r="BQ97" s="72" t="str">
        <f t="shared" si="91"/>
        <v/>
      </c>
      <c r="BR97" s="72" t="str">
        <f t="shared" si="87"/>
        <v/>
      </c>
    </row>
    <row r="98" spans="4:70" ht="15" x14ac:dyDescent="0.15">
      <c r="D98" s="116"/>
      <c r="E98" s="81" t="s">
        <v>199</v>
      </c>
      <c r="F98" s="91">
        <f>IF(F3="原子力",#REF!,0)</f>
        <v>0</v>
      </c>
      <c r="G98" s="81" t="s">
        <v>132</v>
      </c>
      <c r="I98" s="459">
        <f t="shared" si="88"/>
        <v>2113</v>
      </c>
      <c r="K98" s="71">
        <f t="shared" si="89"/>
        <v>84</v>
      </c>
      <c r="M98" s="7">
        <f t="shared" si="54"/>
        <v>8.3497433152226644E-2</v>
      </c>
      <c r="O98" s="10" t="str">
        <f t="shared" si="90"/>
        <v/>
      </c>
      <c r="P98" s="29" t="str">
        <f t="shared" si="55"/>
        <v/>
      </c>
      <c r="R98" s="10" t="str">
        <f t="shared" si="71"/>
        <v/>
      </c>
      <c r="T98" s="10" t="str">
        <f t="shared" si="72"/>
        <v/>
      </c>
      <c r="V98" s="10" t="str">
        <f t="shared" si="56"/>
        <v/>
      </c>
      <c r="W98" s="10" t="str">
        <f t="shared" si="73"/>
        <v/>
      </c>
      <c r="Y98" s="10" t="str">
        <f t="shared" si="57"/>
        <v/>
      </c>
      <c r="Z98" s="10" t="str">
        <f t="shared" si="74"/>
        <v/>
      </c>
      <c r="AB98" s="10" t="str">
        <f t="shared" si="58"/>
        <v/>
      </c>
      <c r="AC98" s="10" t="str">
        <f t="shared" si="75"/>
        <v/>
      </c>
      <c r="AE98" s="10" t="str">
        <f t="shared" si="59"/>
        <v/>
      </c>
      <c r="AF98" s="10" t="str">
        <f t="shared" si="76"/>
        <v/>
      </c>
      <c r="AH98" s="10" t="str">
        <f t="shared" si="60"/>
        <v/>
      </c>
      <c r="AI98" s="10" t="str">
        <f t="shared" si="77"/>
        <v/>
      </c>
      <c r="AK98" s="10" t="str">
        <f t="shared" si="61"/>
        <v/>
      </c>
      <c r="AL98" s="10" t="str">
        <f t="shared" si="78"/>
        <v/>
      </c>
      <c r="AN98" s="10" t="str">
        <f t="shared" si="62"/>
        <v/>
      </c>
      <c r="AO98" s="10" t="str">
        <f t="shared" si="79"/>
        <v/>
      </c>
      <c r="AQ98" s="10" t="str">
        <f t="shared" si="63"/>
        <v/>
      </c>
      <c r="AR98" s="10" t="str">
        <f t="shared" si="80"/>
        <v/>
      </c>
      <c r="AT98" s="7" t="str">
        <f>IF($K98&lt;=$F$15,IF($F$41&lt;&gt;"",$F$41/1000,IF(ISERROR(VLOOKUP($F$3&amp;IF($G$4&lt;&gt;"",$G$4,"")&amp;IF($F$44&lt;&gt;"","_"&amp;$F$44,""),'表3）燃料価格'!$AF$9:$AG$25,2,0)),0,VLOOKUP($I98,'表3）燃料価格'!$A$6:$U$66,VLOOKUP($F$3&amp;IF($G$4&lt;&gt;"",$G$4,"")&amp;IF($F$44&lt;&gt;"","_"&amp;$F$44,""),'表3）燃料価格'!$AF$9:$AG$25,2,0)+VLOOKUP($F$42,'表3）燃料価格'!$AF$28:$AG$29,2,0),0)*IF($F$44="需要地価格",1,$F$8/$F$142))),"")</f>
        <v/>
      </c>
      <c r="AV98" s="10" t="str">
        <f t="shared" si="64"/>
        <v/>
      </c>
      <c r="AW98" s="10" t="str">
        <f t="shared" si="81"/>
        <v/>
      </c>
      <c r="AY98" s="7" t="str">
        <f>IF(ISERROR(IF($K98&lt;=$F$15,VLOOKUP($I98,'表4）CO2価格'!$A$7:$E$67,VLOOKUP($F$49,'表4）CO2価格'!$H$10:$I$12,2,0),0)*$F$8/1000,"")),0,IF($K98&lt;=$F$15,VLOOKUP($I98,'表4）CO2価格'!$A$7:$E$67,VLOOKUP($F$49,'表4）CO2価格'!$H$10:$I$12,2,0),0)*$F$8/1000,""))</f>
        <v/>
      </c>
      <c r="BA98" s="11" t="str">
        <f t="shared" si="65"/>
        <v/>
      </c>
      <c r="BB98" s="10" t="str">
        <f t="shared" si="82"/>
        <v/>
      </c>
      <c r="BD98" s="10" t="str">
        <f t="shared" si="66"/>
        <v/>
      </c>
      <c r="BE98" s="10" t="str">
        <f t="shared" si="83"/>
        <v/>
      </c>
      <c r="BG98" s="11" t="str">
        <f t="shared" si="67"/>
        <v/>
      </c>
      <c r="BH98" s="10" t="str">
        <f t="shared" si="84"/>
        <v/>
      </c>
      <c r="BJ98" s="7" t="str">
        <f t="shared" si="68"/>
        <v/>
      </c>
      <c r="BK98" s="158" t="str">
        <f t="shared" si="69"/>
        <v/>
      </c>
      <c r="BL98" s="158" t="str">
        <f t="shared" si="70"/>
        <v/>
      </c>
      <c r="BM98" s="10"/>
      <c r="BN98" s="10" t="str">
        <f t="shared" si="85"/>
        <v/>
      </c>
      <c r="BO98" s="10" t="str">
        <f t="shared" si="86"/>
        <v/>
      </c>
      <c r="BQ98" s="188" t="str">
        <f t="shared" si="91"/>
        <v/>
      </c>
      <c r="BR98" s="10" t="str">
        <f t="shared" si="87"/>
        <v/>
      </c>
    </row>
    <row r="99" spans="4:70" x14ac:dyDescent="0.15">
      <c r="F99" s="93"/>
      <c r="I99" s="458">
        <f t="shared" si="88"/>
        <v>2114</v>
      </c>
      <c r="J99" s="470"/>
      <c r="K99" s="39">
        <f t="shared" si="89"/>
        <v>85</v>
      </c>
      <c r="L99" s="39"/>
      <c r="M99" s="40">
        <f t="shared" si="54"/>
        <v>8.1065469079831712E-2</v>
      </c>
      <c r="N99" s="39"/>
      <c r="O99" s="72" t="str">
        <f t="shared" si="90"/>
        <v/>
      </c>
      <c r="P99" s="41" t="str">
        <f t="shared" si="55"/>
        <v/>
      </c>
      <c r="Q99" s="39"/>
      <c r="R99" s="72" t="str">
        <f t="shared" si="71"/>
        <v/>
      </c>
      <c r="S99" s="39"/>
      <c r="T99" s="72" t="str">
        <f t="shared" si="72"/>
        <v/>
      </c>
      <c r="U99" s="39"/>
      <c r="V99" s="72" t="str">
        <f t="shared" si="56"/>
        <v/>
      </c>
      <c r="W99" s="72" t="str">
        <f t="shared" si="73"/>
        <v/>
      </c>
      <c r="X99" s="39"/>
      <c r="Y99" s="72" t="str">
        <f t="shared" si="57"/>
        <v/>
      </c>
      <c r="Z99" s="72" t="str">
        <f t="shared" si="74"/>
        <v/>
      </c>
      <c r="AA99" s="39"/>
      <c r="AB99" s="72" t="str">
        <f t="shared" si="58"/>
        <v/>
      </c>
      <c r="AC99" s="72" t="str">
        <f t="shared" si="75"/>
        <v/>
      </c>
      <c r="AD99" s="39"/>
      <c r="AE99" s="72" t="str">
        <f t="shared" si="59"/>
        <v/>
      </c>
      <c r="AF99" s="72" t="str">
        <f t="shared" si="76"/>
        <v/>
      </c>
      <c r="AG99" s="39"/>
      <c r="AH99" s="72" t="str">
        <f t="shared" si="60"/>
        <v/>
      </c>
      <c r="AI99" s="72" t="str">
        <f t="shared" si="77"/>
        <v/>
      </c>
      <c r="AJ99" s="39"/>
      <c r="AK99" s="72" t="str">
        <f t="shared" si="61"/>
        <v/>
      </c>
      <c r="AL99" s="72" t="str">
        <f t="shared" si="78"/>
        <v/>
      </c>
      <c r="AM99" s="39"/>
      <c r="AN99" s="72" t="str">
        <f t="shared" si="62"/>
        <v/>
      </c>
      <c r="AO99" s="72" t="str">
        <f t="shared" si="79"/>
        <v/>
      </c>
      <c r="AP99" s="39"/>
      <c r="AQ99" s="72" t="str">
        <f t="shared" si="63"/>
        <v/>
      </c>
      <c r="AR99" s="72" t="str">
        <f t="shared" si="80"/>
        <v/>
      </c>
      <c r="AS99" s="39"/>
      <c r="AT99" s="40" t="str">
        <f>IF($K99&lt;=$F$15,IF($F$41&lt;&gt;"",$F$41/1000,IF(ISERROR(VLOOKUP($F$3&amp;IF($G$4&lt;&gt;"",$G$4,"")&amp;IF($F$44&lt;&gt;"","_"&amp;$F$44,""),'表3）燃料価格'!$AF$9:$AG$25,2,0)),0,VLOOKUP($I99,'表3）燃料価格'!$A$6:$U$66,VLOOKUP($F$3&amp;IF($G$4&lt;&gt;"",$G$4,"")&amp;IF($F$44&lt;&gt;"","_"&amp;$F$44,""),'表3）燃料価格'!$AF$9:$AG$25,2,0)+VLOOKUP($F$42,'表3）燃料価格'!$AF$28:$AG$29,2,0),0)*IF($F$44="需要地価格",1,$F$8/$F$142))),"")</f>
        <v/>
      </c>
      <c r="AU99" s="39"/>
      <c r="AV99" s="72" t="str">
        <f t="shared" si="64"/>
        <v/>
      </c>
      <c r="AW99" s="72" t="str">
        <f t="shared" si="81"/>
        <v/>
      </c>
      <c r="AX99" s="39"/>
      <c r="AY99" s="40" t="str">
        <f>IF(ISERROR(IF($K99&lt;=$F$15,VLOOKUP($I99,'表4）CO2価格'!$A$7:$E$67,VLOOKUP($F$49,'表4）CO2価格'!$H$10:$I$12,2,0),0)*$F$8/1000,"")),0,IF($K99&lt;=$F$15,VLOOKUP($I99,'表4）CO2価格'!$A$7:$E$67,VLOOKUP($F$49,'表4）CO2価格'!$H$10:$I$12,2,0),0)*$F$8/1000,""))</f>
        <v/>
      </c>
      <c r="AZ99" s="39"/>
      <c r="BA99" s="42" t="str">
        <f t="shared" si="65"/>
        <v/>
      </c>
      <c r="BB99" s="72" t="str">
        <f t="shared" si="82"/>
        <v/>
      </c>
      <c r="BC99" s="39"/>
      <c r="BD99" s="72" t="str">
        <f t="shared" si="66"/>
        <v/>
      </c>
      <c r="BE99" s="72" t="str">
        <f t="shared" si="83"/>
        <v/>
      </c>
      <c r="BF99" s="39"/>
      <c r="BG99" s="42" t="str">
        <f t="shared" si="67"/>
        <v/>
      </c>
      <c r="BH99" s="72" t="str">
        <f t="shared" si="84"/>
        <v/>
      </c>
      <c r="BI99" s="39"/>
      <c r="BJ99" s="40" t="str">
        <f t="shared" si="68"/>
        <v/>
      </c>
      <c r="BK99" s="157" t="str">
        <f t="shared" si="69"/>
        <v/>
      </c>
      <c r="BL99" s="157" t="str">
        <f t="shared" si="70"/>
        <v/>
      </c>
      <c r="BM99" s="72"/>
      <c r="BN99" s="72" t="str">
        <f t="shared" si="85"/>
        <v/>
      </c>
      <c r="BO99" s="72" t="str">
        <f t="shared" si="86"/>
        <v/>
      </c>
      <c r="BP99" s="39"/>
      <c r="BQ99" s="72" t="str">
        <f t="shared" si="91"/>
        <v/>
      </c>
      <c r="BR99" s="72" t="str">
        <f t="shared" si="87"/>
        <v/>
      </c>
    </row>
    <row r="100" spans="4:70" ht="15" x14ac:dyDescent="0.15">
      <c r="D100" s="116" t="s">
        <v>200</v>
      </c>
      <c r="F100" s="94">
        <f>SUBTOTAL(9,F104:F106)</f>
        <v>0.06</v>
      </c>
      <c r="G100" s="81" t="s">
        <v>132</v>
      </c>
      <c r="I100" s="459">
        <f t="shared" si="88"/>
        <v>2115</v>
      </c>
      <c r="K100" s="71">
        <f t="shared" si="89"/>
        <v>86</v>
      </c>
      <c r="M100" s="7">
        <f t="shared" si="54"/>
        <v>7.8704338912457969E-2</v>
      </c>
      <c r="O100" s="10" t="str">
        <f t="shared" si="90"/>
        <v/>
      </c>
      <c r="P100" s="29" t="str">
        <f t="shared" si="55"/>
        <v/>
      </c>
      <c r="R100" s="10" t="str">
        <f t="shared" si="71"/>
        <v/>
      </c>
      <c r="T100" s="10" t="str">
        <f t="shared" si="72"/>
        <v/>
      </c>
      <c r="V100" s="10" t="str">
        <f t="shared" si="56"/>
        <v/>
      </c>
      <c r="W100" s="10" t="str">
        <f t="shared" si="73"/>
        <v/>
      </c>
      <c r="Y100" s="10" t="str">
        <f t="shared" si="57"/>
        <v/>
      </c>
      <c r="Z100" s="10" t="str">
        <f t="shared" si="74"/>
        <v/>
      </c>
      <c r="AB100" s="10" t="str">
        <f t="shared" si="58"/>
        <v/>
      </c>
      <c r="AC100" s="10" t="str">
        <f t="shared" si="75"/>
        <v/>
      </c>
      <c r="AE100" s="10" t="str">
        <f t="shared" si="59"/>
        <v/>
      </c>
      <c r="AF100" s="10" t="str">
        <f t="shared" si="76"/>
        <v/>
      </c>
      <c r="AH100" s="10" t="str">
        <f t="shared" si="60"/>
        <v/>
      </c>
      <c r="AI100" s="10" t="str">
        <f t="shared" si="77"/>
        <v/>
      </c>
      <c r="AK100" s="10" t="str">
        <f t="shared" si="61"/>
        <v/>
      </c>
      <c r="AL100" s="10" t="str">
        <f t="shared" si="78"/>
        <v/>
      </c>
      <c r="AN100" s="10" t="str">
        <f t="shared" si="62"/>
        <v/>
      </c>
      <c r="AO100" s="10" t="str">
        <f t="shared" si="79"/>
        <v/>
      </c>
      <c r="AQ100" s="10" t="str">
        <f t="shared" si="63"/>
        <v/>
      </c>
      <c r="AR100" s="10" t="str">
        <f t="shared" si="80"/>
        <v/>
      </c>
      <c r="AT100" s="7" t="str">
        <f>IF($K100&lt;=$F$15,IF($F$41&lt;&gt;"",$F$41/1000,IF(ISERROR(VLOOKUP($F$3&amp;IF($G$4&lt;&gt;"",$G$4,"")&amp;IF($F$44&lt;&gt;"","_"&amp;$F$44,""),'表3）燃料価格'!$AF$9:$AG$25,2,0)),0,VLOOKUP($I100,'表3）燃料価格'!$A$6:$U$66,VLOOKUP($F$3&amp;IF($G$4&lt;&gt;"",$G$4,"")&amp;IF($F$44&lt;&gt;"","_"&amp;$F$44,""),'表3）燃料価格'!$AF$9:$AG$25,2,0)+VLOOKUP($F$42,'表3）燃料価格'!$AF$28:$AG$29,2,0),0)*IF($F$44="需要地価格",1,$F$8/$F$142))),"")</f>
        <v/>
      </c>
      <c r="AV100" s="10" t="str">
        <f t="shared" si="64"/>
        <v/>
      </c>
      <c r="AW100" s="10" t="str">
        <f t="shared" si="81"/>
        <v/>
      </c>
      <c r="AY100" s="7" t="str">
        <f>IF(ISERROR(IF($K100&lt;=$F$15,VLOOKUP($I100,'表4）CO2価格'!$A$7:$E$67,VLOOKUP($F$49,'表4）CO2価格'!$H$10:$I$12,2,0),0)*$F$8/1000,"")),0,IF($K100&lt;=$F$15,VLOOKUP($I100,'表4）CO2価格'!$A$7:$E$67,VLOOKUP($F$49,'表4）CO2価格'!$H$10:$I$12,2,0),0)*$F$8/1000,""))</f>
        <v/>
      </c>
      <c r="BA100" s="11" t="str">
        <f t="shared" si="65"/>
        <v/>
      </c>
      <c r="BB100" s="10" t="str">
        <f t="shared" si="82"/>
        <v/>
      </c>
      <c r="BD100" s="10" t="str">
        <f t="shared" si="66"/>
        <v/>
      </c>
      <c r="BE100" s="10" t="str">
        <f t="shared" si="83"/>
        <v/>
      </c>
      <c r="BG100" s="11" t="str">
        <f t="shared" si="67"/>
        <v/>
      </c>
      <c r="BH100" s="10" t="str">
        <f t="shared" si="84"/>
        <v/>
      </c>
      <c r="BJ100" s="7" t="str">
        <f t="shared" si="68"/>
        <v/>
      </c>
      <c r="BK100" s="158" t="str">
        <f t="shared" si="69"/>
        <v/>
      </c>
      <c r="BL100" s="158" t="str">
        <f t="shared" si="70"/>
        <v/>
      </c>
      <c r="BM100" s="10"/>
      <c r="BN100" s="10" t="str">
        <f t="shared" si="85"/>
        <v/>
      </c>
      <c r="BO100" s="10" t="str">
        <f t="shared" si="86"/>
        <v/>
      </c>
      <c r="BQ100" s="188" t="str">
        <f t="shared" si="91"/>
        <v/>
      </c>
      <c r="BR100" s="10" t="str">
        <f t="shared" si="87"/>
        <v/>
      </c>
    </row>
    <row r="101" spans="4:70" x14ac:dyDescent="0.15">
      <c r="F101" s="93"/>
      <c r="I101" s="458">
        <f t="shared" si="88"/>
        <v>2116</v>
      </c>
      <c r="J101" s="470"/>
      <c r="K101" s="39">
        <f t="shared" si="89"/>
        <v>87</v>
      </c>
      <c r="L101" s="39"/>
      <c r="M101" s="40">
        <f t="shared" si="54"/>
        <v>7.6411979526658208E-2</v>
      </c>
      <c r="N101" s="39"/>
      <c r="O101" s="72" t="str">
        <f t="shared" si="90"/>
        <v/>
      </c>
      <c r="P101" s="41" t="str">
        <f t="shared" si="55"/>
        <v/>
      </c>
      <c r="Q101" s="39"/>
      <c r="R101" s="72" t="str">
        <f t="shared" si="71"/>
        <v/>
      </c>
      <c r="S101" s="39"/>
      <c r="T101" s="72" t="str">
        <f t="shared" si="72"/>
        <v/>
      </c>
      <c r="U101" s="39"/>
      <c r="V101" s="72" t="str">
        <f t="shared" si="56"/>
        <v/>
      </c>
      <c r="W101" s="72" t="str">
        <f t="shared" si="73"/>
        <v/>
      </c>
      <c r="X101" s="39"/>
      <c r="Y101" s="72" t="str">
        <f t="shared" si="57"/>
        <v/>
      </c>
      <c r="Z101" s="72" t="str">
        <f t="shared" si="74"/>
        <v/>
      </c>
      <c r="AA101" s="39"/>
      <c r="AB101" s="72" t="str">
        <f t="shared" si="58"/>
        <v/>
      </c>
      <c r="AC101" s="72" t="str">
        <f t="shared" si="75"/>
        <v/>
      </c>
      <c r="AD101" s="39"/>
      <c r="AE101" s="72" t="str">
        <f t="shared" si="59"/>
        <v/>
      </c>
      <c r="AF101" s="72" t="str">
        <f t="shared" si="76"/>
        <v/>
      </c>
      <c r="AG101" s="39"/>
      <c r="AH101" s="72" t="str">
        <f t="shared" si="60"/>
        <v/>
      </c>
      <c r="AI101" s="72" t="str">
        <f t="shared" si="77"/>
        <v/>
      </c>
      <c r="AJ101" s="39"/>
      <c r="AK101" s="72" t="str">
        <f t="shared" si="61"/>
        <v/>
      </c>
      <c r="AL101" s="72" t="str">
        <f t="shared" si="78"/>
        <v/>
      </c>
      <c r="AM101" s="39"/>
      <c r="AN101" s="72" t="str">
        <f t="shared" si="62"/>
        <v/>
      </c>
      <c r="AO101" s="72" t="str">
        <f t="shared" si="79"/>
        <v/>
      </c>
      <c r="AP101" s="39"/>
      <c r="AQ101" s="72" t="str">
        <f t="shared" si="63"/>
        <v/>
      </c>
      <c r="AR101" s="72" t="str">
        <f t="shared" si="80"/>
        <v/>
      </c>
      <c r="AS101" s="39"/>
      <c r="AT101" s="40" t="str">
        <f>IF($K101&lt;=$F$15,IF($F$41&lt;&gt;"",$F$41/1000,IF(ISERROR(VLOOKUP($F$3&amp;IF($G$4&lt;&gt;"",$G$4,"")&amp;IF($F$44&lt;&gt;"","_"&amp;$F$44,""),'表3）燃料価格'!$AF$9:$AG$25,2,0)),0,VLOOKUP($I101,'表3）燃料価格'!$A$6:$U$66,VLOOKUP($F$3&amp;IF($G$4&lt;&gt;"",$G$4,"")&amp;IF($F$44&lt;&gt;"","_"&amp;$F$44,""),'表3）燃料価格'!$AF$9:$AG$25,2,0)+VLOOKUP($F$42,'表3）燃料価格'!$AF$28:$AG$29,2,0),0)*IF($F$44="需要地価格",1,$F$8/$F$142))),"")</f>
        <v/>
      </c>
      <c r="AU101" s="39"/>
      <c r="AV101" s="72" t="str">
        <f t="shared" si="64"/>
        <v/>
      </c>
      <c r="AW101" s="72" t="str">
        <f t="shared" si="81"/>
        <v/>
      </c>
      <c r="AX101" s="39"/>
      <c r="AY101" s="40" t="str">
        <f>IF(ISERROR(IF($K101&lt;=$F$15,VLOOKUP($I101,'表4）CO2価格'!$A$7:$E$67,VLOOKUP($F$49,'表4）CO2価格'!$H$10:$I$12,2,0),0)*$F$8/1000,"")),0,IF($K101&lt;=$F$15,VLOOKUP($I101,'表4）CO2価格'!$A$7:$E$67,VLOOKUP($F$49,'表4）CO2価格'!$H$10:$I$12,2,0),0)*$F$8/1000,""))</f>
        <v/>
      </c>
      <c r="AZ101" s="39"/>
      <c r="BA101" s="42" t="str">
        <f t="shared" si="65"/>
        <v/>
      </c>
      <c r="BB101" s="72" t="str">
        <f t="shared" si="82"/>
        <v/>
      </c>
      <c r="BC101" s="39"/>
      <c r="BD101" s="72" t="str">
        <f t="shared" si="66"/>
        <v/>
      </c>
      <c r="BE101" s="72" t="str">
        <f t="shared" si="83"/>
        <v/>
      </c>
      <c r="BF101" s="39"/>
      <c r="BG101" s="42" t="str">
        <f t="shared" si="67"/>
        <v/>
      </c>
      <c r="BH101" s="72" t="str">
        <f t="shared" si="84"/>
        <v/>
      </c>
      <c r="BI101" s="39"/>
      <c r="BJ101" s="40" t="str">
        <f t="shared" si="68"/>
        <v/>
      </c>
      <c r="BK101" s="157" t="str">
        <f t="shared" si="69"/>
        <v/>
      </c>
      <c r="BL101" s="157" t="str">
        <f t="shared" si="70"/>
        <v/>
      </c>
      <c r="BM101" s="72"/>
      <c r="BN101" s="72" t="str">
        <f t="shared" si="85"/>
        <v/>
      </c>
      <c r="BO101" s="72" t="str">
        <f t="shared" si="86"/>
        <v/>
      </c>
      <c r="BP101" s="39"/>
      <c r="BQ101" s="72" t="str">
        <f t="shared" si="91"/>
        <v/>
      </c>
      <c r="BR101" s="72" t="str">
        <f t="shared" si="87"/>
        <v/>
      </c>
    </row>
    <row r="102" spans="4:70" x14ac:dyDescent="0.15">
      <c r="D102" s="101" t="s">
        <v>201</v>
      </c>
      <c r="E102" s="101"/>
      <c r="F102" s="92"/>
      <c r="G102" s="101"/>
      <c r="I102" s="459">
        <f t="shared" si="88"/>
        <v>2117</v>
      </c>
      <c r="K102" s="71">
        <f t="shared" si="89"/>
        <v>88</v>
      </c>
      <c r="M102" s="7">
        <f t="shared" si="54"/>
        <v>7.4186387889959446E-2</v>
      </c>
      <c r="O102" s="10" t="str">
        <f t="shared" si="90"/>
        <v/>
      </c>
      <c r="P102" s="29" t="str">
        <f t="shared" si="55"/>
        <v/>
      </c>
      <c r="R102" s="10" t="str">
        <f t="shared" si="71"/>
        <v/>
      </c>
      <c r="T102" s="10" t="str">
        <f t="shared" si="72"/>
        <v/>
      </c>
      <c r="V102" s="10" t="str">
        <f t="shared" si="56"/>
        <v/>
      </c>
      <c r="W102" s="10" t="str">
        <f t="shared" si="73"/>
        <v/>
      </c>
      <c r="Y102" s="10" t="str">
        <f t="shared" si="57"/>
        <v/>
      </c>
      <c r="Z102" s="10" t="str">
        <f t="shared" si="74"/>
        <v/>
      </c>
      <c r="AB102" s="10" t="str">
        <f t="shared" si="58"/>
        <v/>
      </c>
      <c r="AC102" s="10" t="str">
        <f t="shared" si="75"/>
        <v/>
      </c>
      <c r="AE102" s="10" t="str">
        <f t="shared" si="59"/>
        <v/>
      </c>
      <c r="AF102" s="10" t="str">
        <f t="shared" si="76"/>
        <v/>
      </c>
      <c r="AH102" s="10" t="str">
        <f t="shared" si="60"/>
        <v/>
      </c>
      <c r="AI102" s="10" t="str">
        <f t="shared" si="77"/>
        <v/>
      </c>
      <c r="AK102" s="10" t="str">
        <f t="shared" si="61"/>
        <v/>
      </c>
      <c r="AL102" s="10" t="str">
        <f t="shared" si="78"/>
        <v/>
      </c>
      <c r="AN102" s="10" t="str">
        <f t="shared" si="62"/>
        <v/>
      </c>
      <c r="AO102" s="10" t="str">
        <f t="shared" si="79"/>
        <v/>
      </c>
      <c r="AQ102" s="10" t="str">
        <f t="shared" si="63"/>
        <v/>
      </c>
      <c r="AR102" s="10" t="str">
        <f t="shared" si="80"/>
        <v/>
      </c>
      <c r="AT102" s="7" t="str">
        <f>IF($K102&lt;=$F$15,IF($F$41&lt;&gt;"",$F$41/1000,IF(ISERROR(VLOOKUP($F$3&amp;IF($G$4&lt;&gt;"",$G$4,"")&amp;IF($F$44&lt;&gt;"","_"&amp;$F$44,""),'表3）燃料価格'!$AF$9:$AG$25,2,0)),0,VLOOKUP($I102,'表3）燃料価格'!$A$6:$U$66,VLOOKUP($F$3&amp;IF($G$4&lt;&gt;"",$G$4,"")&amp;IF($F$44&lt;&gt;"","_"&amp;$F$44,""),'表3）燃料価格'!$AF$9:$AG$25,2,0)+VLOOKUP($F$42,'表3）燃料価格'!$AF$28:$AG$29,2,0),0)*IF($F$44="需要地価格",1,$F$8/$F$142))),"")</f>
        <v/>
      </c>
      <c r="AV102" s="10" t="str">
        <f t="shared" si="64"/>
        <v/>
      </c>
      <c r="AW102" s="10" t="str">
        <f t="shared" si="81"/>
        <v/>
      </c>
      <c r="AY102" s="7" t="str">
        <f>IF(ISERROR(IF($K102&lt;=$F$15,VLOOKUP($I102,'表4）CO2価格'!$A$7:$E$67,VLOOKUP($F$49,'表4）CO2価格'!$H$10:$I$12,2,0),0)*$F$8/1000,"")),0,IF($K102&lt;=$F$15,VLOOKUP($I102,'表4）CO2価格'!$A$7:$E$67,VLOOKUP($F$49,'表4）CO2価格'!$H$10:$I$12,2,0),0)*$F$8/1000,""))</f>
        <v/>
      </c>
      <c r="BA102" s="11" t="str">
        <f t="shared" si="65"/>
        <v/>
      </c>
      <c r="BB102" s="10" t="str">
        <f t="shared" si="82"/>
        <v/>
      </c>
      <c r="BD102" s="10" t="str">
        <f t="shared" si="66"/>
        <v/>
      </c>
      <c r="BE102" s="10" t="str">
        <f t="shared" si="83"/>
        <v/>
      </c>
      <c r="BG102" s="11" t="str">
        <f t="shared" si="67"/>
        <v/>
      </c>
      <c r="BH102" s="10" t="str">
        <f t="shared" si="84"/>
        <v/>
      </c>
      <c r="BJ102" s="7" t="str">
        <f t="shared" si="68"/>
        <v/>
      </c>
      <c r="BK102" s="158" t="str">
        <f t="shared" si="69"/>
        <v/>
      </c>
      <c r="BL102" s="158" t="str">
        <f t="shared" si="70"/>
        <v/>
      </c>
      <c r="BM102" s="10"/>
      <c r="BN102" s="10" t="str">
        <f t="shared" si="85"/>
        <v/>
      </c>
      <c r="BO102" s="10" t="str">
        <f t="shared" si="86"/>
        <v/>
      </c>
      <c r="BQ102" s="188" t="str">
        <f t="shared" si="91"/>
        <v/>
      </c>
      <c r="BR102" s="10" t="str">
        <f t="shared" si="87"/>
        <v/>
      </c>
    </row>
    <row r="103" spans="4:70" x14ac:dyDescent="0.15">
      <c r="F103" s="93"/>
      <c r="I103" s="458">
        <f t="shared" si="88"/>
        <v>2118</v>
      </c>
      <c r="J103" s="470"/>
      <c r="K103" s="39">
        <f t="shared" si="89"/>
        <v>89</v>
      </c>
      <c r="L103" s="39"/>
      <c r="M103" s="40">
        <f t="shared" si="54"/>
        <v>7.2025619310640235E-2</v>
      </c>
      <c r="N103" s="39"/>
      <c r="O103" s="72" t="str">
        <f t="shared" si="90"/>
        <v/>
      </c>
      <c r="P103" s="41" t="str">
        <f t="shared" si="55"/>
        <v/>
      </c>
      <c r="Q103" s="39"/>
      <c r="R103" s="72" t="str">
        <f t="shared" si="71"/>
        <v/>
      </c>
      <c r="S103" s="39"/>
      <c r="T103" s="72" t="str">
        <f t="shared" si="72"/>
        <v/>
      </c>
      <c r="U103" s="39"/>
      <c r="V103" s="72" t="str">
        <f t="shared" si="56"/>
        <v/>
      </c>
      <c r="W103" s="72" t="str">
        <f t="shared" si="73"/>
        <v/>
      </c>
      <c r="X103" s="39"/>
      <c r="Y103" s="72" t="str">
        <f t="shared" si="57"/>
        <v/>
      </c>
      <c r="Z103" s="72" t="str">
        <f t="shared" si="74"/>
        <v/>
      </c>
      <c r="AA103" s="39"/>
      <c r="AB103" s="72" t="str">
        <f t="shared" si="58"/>
        <v/>
      </c>
      <c r="AC103" s="72" t="str">
        <f t="shared" si="75"/>
        <v/>
      </c>
      <c r="AD103" s="39"/>
      <c r="AE103" s="72" t="str">
        <f t="shared" si="59"/>
        <v/>
      </c>
      <c r="AF103" s="72" t="str">
        <f t="shared" si="76"/>
        <v/>
      </c>
      <c r="AG103" s="39"/>
      <c r="AH103" s="72" t="str">
        <f t="shared" si="60"/>
        <v/>
      </c>
      <c r="AI103" s="72" t="str">
        <f t="shared" si="77"/>
        <v/>
      </c>
      <c r="AJ103" s="39"/>
      <c r="AK103" s="72" t="str">
        <f t="shared" si="61"/>
        <v/>
      </c>
      <c r="AL103" s="72" t="str">
        <f t="shared" si="78"/>
        <v/>
      </c>
      <c r="AM103" s="39"/>
      <c r="AN103" s="72" t="str">
        <f t="shared" si="62"/>
        <v/>
      </c>
      <c r="AO103" s="72" t="str">
        <f t="shared" si="79"/>
        <v/>
      </c>
      <c r="AP103" s="39"/>
      <c r="AQ103" s="72" t="str">
        <f t="shared" si="63"/>
        <v/>
      </c>
      <c r="AR103" s="72" t="str">
        <f t="shared" si="80"/>
        <v/>
      </c>
      <c r="AS103" s="39"/>
      <c r="AT103" s="40" t="str">
        <f>IF($K103&lt;=$F$15,IF($F$41&lt;&gt;"",$F$41/1000,IF(ISERROR(VLOOKUP($F$3&amp;IF($G$4&lt;&gt;"",$G$4,"")&amp;IF($F$44&lt;&gt;"","_"&amp;$F$44,""),'表3）燃料価格'!$AF$9:$AG$25,2,0)),0,VLOOKUP($I103,'表3）燃料価格'!$A$6:$U$66,VLOOKUP($F$3&amp;IF($G$4&lt;&gt;"",$G$4,"")&amp;IF($F$44&lt;&gt;"","_"&amp;$F$44,""),'表3）燃料価格'!$AF$9:$AG$25,2,0)+VLOOKUP($F$42,'表3）燃料価格'!$AF$28:$AG$29,2,0),0)*IF($F$44="需要地価格",1,$F$8/$F$142))),"")</f>
        <v/>
      </c>
      <c r="AU103" s="39"/>
      <c r="AV103" s="72" t="str">
        <f t="shared" si="64"/>
        <v/>
      </c>
      <c r="AW103" s="72" t="str">
        <f t="shared" si="81"/>
        <v/>
      </c>
      <c r="AX103" s="39"/>
      <c r="AY103" s="40" t="str">
        <f>IF(ISERROR(IF($K103&lt;=$F$15,VLOOKUP($I103,'表4）CO2価格'!$A$7:$E$67,VLOOKUP($F$49,'表4）CO2価格'!$H$10:$I$12,2,0),0)*$F$8/1000,"")),0,IF($K103&lt;=$F$15,VLOOKUP($I103,'表4）CO2価格'!$A$7:$E$67,VLOOKUP($F$49,'表4）CO2価格'!$H$10:$I$12,2,0),0)*$F$8/1000,""))</f>
        <v/>
      </c>
      <c r="AZ103" s="39"/>
      <c r="BA103" s="42" t="str">
        <f t="shared" si="65"/>
        <v/>
      </c>
      <c r="BB103" s="72" t="str">
        <f t="shared" si="82"/>
        <v/>
      </c>
      <c r="BC103" s="39"/>
      <c r="BD103" s="72" t="str">
        <f t="shared" si="66"/>
        <v/>
      </c>
      <c r="BE103" s="72" t="str">
        <f t="shared" si="83"/>
        <v/>
      </c>
      <c r="BF103" s="39"/>
      <c r="BG103" s="42" t="str">
        <f t="shared" si="67"/>
        <v/>
      </c>
      <c r="BH103" s="72" t="str">
        <f t="shared" si="84"/>
        <v/>
      </c>
      <c r="BI103" s="39"/>
      <c r="BJ103" s="40" t="str">
        <f t="shared" si="68"/>
        <v/>
      </c>
      <c r="BK103" s="157" t="str">
        <f t="shared" si="69"/>
        <v/>
      </c>
      <c r="BL103" s="157" t="str">
        <f t="shared" si="70"/>
        <v/>
      </c>
      <c r="BM103" s="72"/>
      <c r="BN103" s="72" t="str">
        <f t="shared" si="85"/>
        <v/>
      </c>
      <c r="BO103" s="72" t="str">
        <f t="shared" si="86"/>
        <v/>
      </c>
      <c r="BP103" s="39"/>
      <c r="BQ103" s="72" t="str">
        <f t="shared" si="91"/>
        <v/>
      </c>
      <c r="BR103" s="72" t="str">
        <f t="shared" si="87"/>
        <v/>
      </c>
    </row>
    <row r="104" spans="4:70" x14ac:dyDescent="0.15">
      <c r="E104" s="81" t="s">
        <v>202</v>
      </c>
      <c r="F104" s="91">
        <f>BB116/$BR$116</f>
        <v>0</v>
      </c>
      <c r="G104" s="81" t="s">
        <v>132</v>
      </c>
      <c r="I104" s="459">
        <f t="shared" si="88"/>
        <v>2119</v>
      </c>
      <c r="K104" s="71">
        <f t="shared" si="89"/>
        <v>90</v>
      </c>
      <c r="M104" s="7">
        <f t="shared" si="54"/>
        <v>6.9927785738485654E-2</v>
      </c>
      <c r="O104" s="10" t="str">
        <f t="shared" si="90"/>
        <v/>
      </c>
      <c r="P104" s="29" t="str">
        <f t="shared" si="55"/>
        <v/>
      </c>
      <c r="R104" s="10" t="str">
        <f t="shared" si="71"/>
        <v/>
      </c>
      <c r="T104" s="10" t="str">
        <f t="shared" si="72"/>
        <v/>
      </c>
      <c r="V104" s="10" t="str">
        <f t="shared" si="56"/>
        <v/>
      </c>
      <c r="W104" s="10" t="str">
        <f t="shared" si="73"/>
        <v/>
      </c>
      <c r="Y104" s="10" t="str">
        <f t="shared" si="57"/>
        <v/>
      </c>
      <c r="Z104" s="10" t="str">
        <f t="shared" si="74"/>
        <v/>
      </c>
      <c r="AB104" s="10" t="str">
        <f t="shared" si="58"/>
        <v/>
      </c>
      <c r="AC104" s="10" t="str">
        <f t="shared" si="75"/>
        <v/>
      </c>
      <c r="AE104" s="10" t="str">
        <f t="shared" si="59"/>
        <v/>
      </c>
      <c r="AF104" s="10" t="str">
        <f t="shared" si="76"/>
        <v/>
      </c>
      <c r="AH104" s="10" t="str">
        <f t="shared" si="60"/>
        <v/>
      </c>
      <c r="AI104" s="10" t="str">
        <f t="shared" si="77"/>
        <v/>
      </c>
      <c r="AK104" s="10" t="str">
        <f t="shared" si="61"/>
        <v/>
      </c>
      <c r="AL104" s="10" t="str">
        <f t="shared" si="78"/>
        <v/>
      </c>
      <c r="AN104" s="10" t="str">
        <f t="shared" si="62"/>
        <v/>
      </c>
      <c r="AO104" s="10" t="str">
        <f t="shared" si="79"/>
        <v/>
      </c>
      <c r="AQ104" s="10" t="str">
        <f t="shared" si="63"/>
        <v/>
      </c>
      <c r="AR104" s="10" t="str">
        <f t="shared" si="80"/>
        <v/>
      </c>
      <c r="AT104" s="7" t="str">
        <f>IF($K104&lt;=$F$15,IF($F$41&lt;&gt;"",$F$41/1000,IF(ISERROR(VLOOKUP($F$3&amp;IF($G$4&lt;&gt;"",$G$4,"")&amp;IF($F$44&lt;&gt;"","_"&amp;$F$44,""),'表3）燃料価格'!$AF$9:$AG$25,2,0)),0,VLOOKUP($I104,'表3）燃料価格'!$A$6:$U$66,VLOOKUP($F$3&amp;IF($G$4&lt;&gt;"",$G$4,"")&amp;IF($F$44&lt;&gt;"","_"&amp;$F$44,""),'表3）燃料価格'!$AF$9:$AG$25,2,0)+VLOOKUP($F$42,'表3）燃料価格'!$AF$28:$AG$29,2,0),0)*IF($F$44="需要地価格",1,$F$8/$F$142))),"")</f>
        <v/>
      </c>
      <c r="AV104" s="10" t="str">
        <f t="shared" si="64"/>
        <v/>
      </c>
      <c r="AW104" s="10" t="str">
        <f t="shared" si="81"/>
        <v/>
      </c>
      <c r="AY104" s="7" t="str">
        <f>IF(ISERROR(IF($K104&lt;=$F$15,VLOOKUP($I104,'表4）CO2価格'!$A$7:$E$67,VLOOKUP($F$49,'表4）CO2価格'!$H$10:$I$12,2,0),0)*$F$8/1000,"")),0,IF($K104&lt;=$F$15,VLOOKUP($I104,'表4）CO2価格'!$A$7:$E$67,VLOOKUP($F$49,'表4）CO2価格'!$H$10:$I$12,2,0),0)*$F$8/1000,""))</f>
        <v/>
      </c>
      <c r="BA104" s="11" t="str">
        <f t="shared" si="65"/>
        <v/>
      </c>
      <c r="BB104" s="10" t="str">
        <f t="shared" si="82"/>
        <v/>
      </c>
      <c r="BD104" s="10" t="str">
        <f t="shared" si="66"/>
        <v/>
      </c>
      <c r="BE104" s="10" t="str">
        <f t="shared" si="83"/>
        <v/>
      </c>
      <c r="BG104" s="11" t="str">
        <f t="shared" si="67"/>
        <v/>
      </c>
      <c r="BH104" s="10" t="str">
        <f t="shared" si="84"/>
        <v/>
      </c>
      <c r="BJ104" s="7" t="str">
        <f t="shared" si="68"/>
        <v/>
      </c>
      <c r="BK104" s="158" t="str">
        <f t="shared" si="69"/>
        <v/>
      </c>
      <c r="BL104" s="158" t="str">
        <f t="shared" si="70"/>
        <v/>
      </c>
      <c r="BM104" s="10"/>
      <c r="BN104" s="10" t="str">
        <f t="shared" si="85"/>
        <v/>
      </c>
      <c r="BO104" s="10" t="str">
        <f t="shared" si="86"/>
        <v/>
      </c>
      <c r="BQ104" s="188" t="str">
        <f t="shared" si="91"/>
        <v/>
      </c>
      <c r="BR104" s="10" t="str">
        <f t="shared" si="87"/>
        <v/>
      </c>
    </row>
    <row r="105" spans="4:70" x14ac:dyDescent="0.15">
      <c r="E105" s="81" t="s">
        <v>203</v>
      </c>
      <c r="F105" s="91">
        <f>IF(ISERROR(F61*(1/F62)/F63),0,F61*(1/F62)/F63)</f>
        <v>0</v>
      </c>
      <c r="G105" s="81" t="s">
        <v>132</v>
      </c>
      <c r="I105" s="458">
        <f t="shared" si="88"/>
        <v>2120</v>
      </c>
      <c r="J105" s="470"/>
      <c r="K105" s="39">
        <f t="shared" si="89"/>
        <v>91</v>
      </c>
      <c r="L105" s="39"/>
      <c r="M105" s="40">
        <f t="shared" si="54"/>
        <v>6.7891054115034627E-2</v>
      </c>
      <c r="N105" s="39"/>
      <c r="O105" s="72" t="str">
        <f t="shared" si="90"/>
        <v/>
      </c>
      <c r="P105" s="41" t="str">
        <f t="shared" si="55"/>
        <v/>
      </c>
      <c r="Q105" s="39"/>
      <c r="R105" s="72" t="str">
        <f t="shared" si="71"/>
        <v/>
      </c>
      <c r="S105" s="39"/>
      <c r="T105" s="72" t="str">
        <f t="shared" si="72"/>
        <v/>
      </c>
      <c r="U105" s="39"/>
      <c r="V105" s="72" t="str">
        <f t="shared" si="56"/>
        <v/>
      </c>
      <c r="W105" s="72" t="str">
        <f t="shared" si="73"/>
        <v/>
      </c>
      <c r="X105" s="39"/>
      <c r="Y105" s="72" t="str">
        <f t="shared" si="57"/>
        <v/>
      </c>
      <c r="Z105" s="72" t="str">
        <f t="shared" si="74"/>
        <v/>
      </c>
      <c r="AA105" s="39"/>
      <c r="AB105" s="72" t="str">
        <f t="shared" si="58"/>
        <v/>
      </c>
      <c r="AC105" s="72" t="str">
        <f t="shared" si="75"/>
        <v/>
      </c>
      <c r="AD105" s="39"/>
      <c r="AE105" s="72" t="str">
        <f t="shared" si="59"/>
        <v/>
      </c>
      <c r="AF105" s="72" t="str">
        <f t="shared" si="76"/>
        <v/>
      </c>
      <c r="AG105" s="39"/>
      <c r="AH105" s="72" t="str">
        <f t="shared" si="60"/>
        <v/>
      </c>
      <c r="AI105" s="72" t="str">
        <f t="shared" si="77"/>
        <v/>
      </c>
      <c r="AJ105" s="39"/>
      <c r="AK105" s="72" t="str">
        <f t="shared" si="61"/>
        <v/>
      </c>
      <c r="AL105" s="72" t="str">
        <f t="shared" si="78"/>
        <v/>
      </c>
      <c r="AM105" s="39"/>
      <c r="AN105" s="72" t="str">
        <f t="shared" si="62"/>
        <v/>
      </c>
      <c r="AO105" s="72" t="str">
        <f t="shared" si="79"/>
        <v/>
      </c>
      <c r="AP105" s="39"/>
      <c r="AQ105" s="72" t="str">
        <f t="shared" si="63"/>
        <v/>
      </c>
      <c r="AR105" s="72" t="str">
        <f t="shared" si="80"/>
        <v/>
      </c>
      <c r="AS105" s="39"/>
      <c r="AT105" s="40" t="str">
        <f>IF($K105&lt;=$F$15,IF($F$41&lt;&gt;"",$F$41/1000,IF(ISERROR(VLOOKUP($F$3&amp;IF($G$4&lt;&gt;"",$G$4,"")&amp;IF($F$44&lt;&gt;"","_"&amp;$F$44,""),'表3）燃料価格'!$AF$9:$AG$25,2,0)),0,VLOOKUP($I105,'表3）燃料価格'!$A$6:$U$66,VLOOKUP($F$3&amp;IF($G$4&lt;&gt;"",$G$4,"")&amp;IF($F$44&lt;&gt;"","_"&amp;$F$44,""),'表3）燃料価格'!$AF$9:$AG$25,2,0)+VLOOKUP($F$42,'表3）燃料価格'!$AF$28:$AG$29,2,0),0)*IF($F$44="需要地価格",1,$F$8/$F$142))),"")</f>
        <v/>
      </c>
      <c r="AU105" s="39"/>
      <c r="AV105" s="72" t="str">
        <f t="shared" si="64"/>
        <v/>
      </c>
      <c r="AW105" s="72" t="str">
        <f t="shared" si="81"/>
        <v/>
      </c>
      <c r="AX105" s="39"/>
      <c r="AY105" s="40" t="str">
        <f>IF(ISERROR(IF($K105&lt;=$F$15,VLOOKUP($I105,'表4）CO2価格'!$A$7:$E$67,VLOOKUP($F$49,'表4）CO2価格'!$H$10:$I$12,2,0),0)*$F$8/1000,"")),0,IF($K105&lt;=$F$15,VLOOKUP($I105,'表4）CO2価格'!$A$7:$E$67,VLOOKUP($F$49,'表4）CO2価格'!$H$10:$I$12,2,0),0)*$F$8/1000,""))</f>
        <v/>
      </c>
      <c r="AZ105" s="39"/>
      <c r="BA105" s="42" t="str">
        <f t="shared" si="65"/>
        <v/>
      </c>
      <c r="BB105" s="72" t="str">
        <f t="shared" si="82"/>
        <v/>
      </c>
      <c r="BC105" s="39"/>
      <c r="BD105" s="72" t="str">
        <f t="shared" si="66"/>
        <v/>
      </c>
      <c r="BE105" s="72" t="str">
        <f t="shared" si="83"/>
        <v/>
      </c>
      <c r="BF105" s="39"/>
      <c r="BG105" s="42" t="str">
        <f t="shared" si="67"/>
        <v/>
      </c>
      <c r="BH105" s="72" t="str">
        <f t="shared" si="84"/>
        <v/>
      </c>
      <c r="BI105" s="39"/>
      <c r="BJ105" s="40" t="str">
        <f t="shared" si="68"/>
        <v/>
      </c>
      <c r="BK105" s="157" t="str">
        <f t="shared" si="69"/>
        <v/>
      </c>
      <c r="BL105" s="157" t="str">
        <f t="shared" si="70"/>
        <v/>
      </c>
      <c r="BM105" s="72"/>
      <c r="BN105" s="72" t="str">
        <f t="shared" si="85"/>
        <v/>
      </c>
      <c r="BO105" s="72" t="str">
        <f t="shared" si="86"/>
        <v/>
      </c>
      <c r="BP105" s="39"/>
      <c r="BQ105" s="72" t="str">
        <f t="shared" si="91"/>
        <v/>
      </c>
      <c r="BR105" s="72" t="str">
        <f t="shared" si="87"/>
        <v/>
      </c>
    </row>
    <row r="106" spans="4:70" x14ac:dyDescent="0.15">
      <c r="E106" s="9" t="s">
        <v>367</v>
      </c>
      <c r="F106" s="91">
        <f>F65</f>
        <v>0.06</v>
      </c>
      <c r="G106" s="81" t="s">
        <v>132</v>
      </c>
      <c r="I106" s="459">
        <f t="shared" si="88"/>
        <v>2121</v>
      </c>
      <c r="K106" s="71">
        <f t="shared" si="89"/>
        <v>92</v>
      </c>
      <c r="M106" s="7">
        <f t="shared" si="54"/>
        <v>6.5913644771878277E-2</v>
      </c>
      <c r="O106" s="10" t="str">
        <f t="shared" si="90"/>
        <v/>
      </c>
      <c r="P106" s="29" t="str">
        <f t="shared" si="55"/>
        <v/>
      </c>
      <c r="R106" s="10" t="str">
        <f t="shared" si="71"/>
        <v/>
      </c>
      <c r="T106" s="10" t="str">
        <f t="shared" si="72"/>
        <v/>
      </c>
      <c r="V106" s="10" t="str">
        <f t="shared" si="56"/>
        <v/>
      </c>
      <c r="W106" s="10" t="str">
        <f t="shared" si="73"/>
        <v/>
      </c>
      <c r="Y106" s="10" t="str">
        <f t="shared" si="57"/>
        <v/>
      </c>
      <c r="Z106" s="10" t="str">
        <f t="shared" si="74"/>
        <v/>
      </c>
      <c r="AB106" s="10" t="str">
        <f t="shared" si="58"/>
        <v/>
      </c>
      <c r="AC106" s="10" t="str">
        <f t="shared" si="75"/>
        <v/>
      </c>
      <c r="AE106" s="10" t="str">
        <f t="shared" si="59"/>
        <v/>
      </c>
      <c r="AF106" s="10" t="str">
        <f t="shared" si="76"/>
        <v/>
      </c>
      <c r="AH106" s="10" t="str">
        <f t="shared" si="60"/>
        <v/>
      </c>
      <c r="AI106" s="10" t="str">
        <f t="shared" si="77"/>
        <v/>
      </c>
      <c r="AK106" s="10" t="str">
        <f t="shared" si="61"/>
        <v/>
      </c>
      <c r="AL106" s="10" t="str">
        <f t="shared" si="78"/>
        <v/>
      </c>
      <c r="AN106" s="10" t="str">
        <f t="shared" si="62"/>
        <v/>
      </c>
      <c r="AO106" s="10" t="str">
        <f t="shared" si="79"/>
        <v/>
      </c>
      <c r="AQ106" s="10" t="str">
        <f t="shared" si="63"/>
        <v/>
      </c>
      <c r="AR106" s="10" t="str">
        <f t="shared" si="80"/>
        <v/>
      </c>
      <c r="AT106" s="7" t="str">
        <f>IF($K106&lt;=$F$15,IF($F$41&lt;&gt;"",$F$41/1000,IF(ISERROR(VLOOKUP($F$3&amp;IF($G$4&lt;&gt;"",$G$4,"")&amp;IF($F$44&lt;&gt;"","_"&amp;$F$44,""),'表3）燃料価格'!$AF$9:$AG$25,2,0)),0,VLOOKUP($I106,'表3）燃料価格'!$A$6:$U$66,VLOOKUP($F$3&amp;IF($G$4&lt;&gt;"",$G$4,"")&amp;IF($F$44&lt;&gt;"","_"&amp;$F$44,""),'表3）燃料価格'!$AF$9:$AG$25,2,0)+VLOOKUP($F$42,'表3）燃料価格'!$AF$28:$AG$29,2,0),0)*IF($F$44="需要地価格",1,$F$8/$F$142))),"")</f>
        <v/>
      </c>
      <c r="AV106" s="10" t="str">
        <f t="shared" si="64"/>
        <v/>
      </c>
      <c r="AW106" s="10" t="str">
        <f t="shared" si="81"/>
        <v/>
      </c>
      <c r="AY106" s="7" t="str">
        <f>IF(ISERROR(IF($K106&lt;=$F$15,VLOOKUP($I106,'表4）CO2価格'!$A$7:$E$67,VLOOKUP($F$49,'表4）CO2価格'!$H$10:$I$12,2,0),0)*$F$8/1000,"")),0,IF($K106&lt;=$F$15,VLOOKUP($I106,'表4）CO2価格'!$A$7:$E$67,VLOOKUP($F$49,'表4）CO2価格'!$H$10:$I$12,2,0),0)*$F$8/1000,""))</f>
        <v/>
      </c>
      <c r="BA106" s="11" t="str">
        <f t="shared" si="65"/>
        <v/>
      </c>
      <c r="BB106" s="10" t="str">
        <f t="shared" si="82"/>
        <v/>
      </c>
      <c r="BD106" s="10" t="str">
        <f t="shared" si="66"/>
        <v/>
      </c>
      <c r="BE106" s="10" t="str">
        <f t="shared" si="83"/>
        <v/>
      </c>
      <c r="BG106" s="11" t="str">
        <f t="shared" si="67"/>
        <v/>
      </c>
      <c r="BH106" s="10" t="str">
        <f t="shared" si="84"/>
        <v/>
      </c>
      <c r="BJ106" s="7" t="str">
        <f t="shared" si="68"/>
        <v/>
      </c>
      <c r="BK106" s="158" t="str">
        <f t="shared" si="69"/>
        <v/>
      </c>
      <c r="BL106" s="158" t="str">
        <f t="shared" si="70"/>
        <v/>
      </c>
      <c r="BM106" s="10"/>
      <c r="BN106" s="10" t="str">
        <f t="shared" si="85"/>
        <v/>
      </c>
      <c r="BO106" s="10" t="str">
        <f t="shared" si="86"/>
        <v/>
      </c>
      <c r="BQ106" s="188" t="str">
        <f t="shared" si="91"/>
        <v/>
      </c>
      <c r="BR106" s="10" t="str">
        <f t="shared" si="87"/>
        <v/>
      </c>
    </row>
    <row r="107" spans="4:70" x14ac:dyDescent="0.15">
      <c r="F107" s="93"/>
      <c r="I107" s="458">
        <f t="shared" si="88"/>
        <v>2122</v>
      </c>
      <c r="J107" s="470"/>
      <c r="K107" s="39">
        <f t="shared" si="89"/>
        <v>93</v>
      </c>
      <c r="L107" s="39"/>
      <c r="M107" s="40">
        <f t="shared" si="54"/>
        <v>6.3993829875609989E-2</v>
      </c>
      <c r="N107" s="39"/>
      <c r="O107" s="72" t="str">
        <f t="shared" si="90"/>
        <v/>
      </c>
      <c r="P107" s="41" t="str">
        <f t="shared" si="55"/>
        <v/>
      </c>
      <c r="Q107" s="39"/>
      <c r="R107" s="72" t="str">
        <f t="shared" si="71"/>
        <v/>
      </c>
      <c r="S107" s="39"/>
      <c r="T107" s="72" t="str">
        <f t="shared" si="72"/>
        <v/>
      </c>
      <c r="U107" s="39"/>
      <c r="V107" s="72" t="str">
        <f t="shared" si="56"/>
        <v/>
      </c>
      <c r="W107" s="72" t="str">
        <f t="shared" si="73"/>
        <v/>
      </c>
      <c r="X107" s="39"/>
      <c r="Y107" s="72" t="str">
        <f t="shared" si="57"/>
        <v/>
      </c>
      <c r="Z107" s="72" t="str">
        <f t="shared" si="74"/>
        <v/>
      </c>
      <c r="AA107" s="39"/>
      <c r="AB107" s="72" t="str">
        <f t="shared" si="58"/>
        <v/>
      </c>
      <c r="AC107" s="72" t="str">
        <f t="shared" si="75"/>
        <v/>
      </c>
      <c r="AD107" s="39"/>
      <c r="AE107" s="72" t="str">
        <f t="shared" si="59"/>
        <v/>
      </c>
      <c r="AF107" s="72" t="str">
        <f t="shared" si="76"/>
        <v/>
      </c>
      <c r="AG107" s="39"/>
      <c r="AH107" s="72" t="str">
        <f t="shared" si="60"/>
        <v/>
      </c>
      <c r="AI107" s="72" t="str">
        <f t="shared" si="77"/>
        <v/>
      </c>
      <c r="AJ107" s="39"/>
      <c r="AK107" s="72" t="str">
        <f t="shared" si="61"/>
        <v/>
      </c>
      <c r="AL107" s="72" t="str">
        <f t="shared" si="78"/>
        <v/>
      </c>
      <c r="AM107" s="39"/>
      <c r="AN107" s="72" t="str">
        <f t="shared" si="62"/>
        <v/>
      </c>
      <c r="AO107" s="72" t="str">
        <f t="shared" si="79"/>
        <v/>
      </c>
      <c r="AP107" s="39"/>
      <c r="AQ107" s="72" t="str">
        <f t="shared" si="63"/>
        <v/>
      </c>
      <c r="AR107" s="72" t="str">
        <f t="shared" si="80"/>
        <v/>
      </c>
      <c r="AS107" s="39"/>
      <c r="AT107" s="40" t="str">
        <f>IF($K107&lt;=$F$15,IF($F$41&lt;&gt;"",$F$41/1000,IF(ISERROR(VLOOKUP($F$3&amp;IF($G$4&lt;&gt;"",$G$4,"")&amp;IF($F$44&lt;&gt;"","_"&amp;$F$44,""),'表3）燃料価格'!$AF$9:$AG$25,2,0)),0,VLOOKUP($I107,'表3）燃料価格'!$A$6:$U$66,VLOOKUP($F$3&amp;IF($G$4&lt;&gt;"",$G$4,"")&amp;IF($F$44&lt;&gt;"","_"&amp;$F$44,""),'表3）燃料価格'!$AF$9:$AG$25,2,0)+VLOOKUP($F$42,'表3）燃料価格'!$AF$28:$AG$29,2,0),0)*IF($F$44="需要地価格",1,$F$8/$F$142))),"")</f>
        <v/>
      </c>
      <c r="AU107" s="39"/>
      <c r="AV107" s="72" t="str">
        <f t="shared" si="64"/>
        <v/>
      </c>
      <c r="AW107" s="72" t="str">
        <f t="shared" si="81"/>
        <v/>
      </c>
      <c r="AX107" s="39"/>
      <c r="AY107" s="40" t="str">
        <f>IF(ISERROR(IF($K107&lt;=$F$15,VLOOKUP($I107,'表4）CO2価格'!$A$7:$E$67,VLOOKUP($F$49,'表4）CO2価格'!$H$10:$I$12,2,0),0)*$F$8/1000,"")),0,IF($K107&lt;=$F$15,VLOOKUP($I107,'表4）CO2価格'!$A$7:$E$67,VLOOKUP($F$49,'表4）CO2価格'!$H$10:$I$12,2,0),0)*$F$8/1000,""))</f>
        <v/>
      </c>
      <c r="AZ107" s="39"/>
      <c r="BA107" s="42" t="str">
        <f t="shared" si="65"/>
        <v/>
      </c>
      <c r="BB107" s="72" t="str">
        <f t="shared" si="82"/>
        <v/>
      </c>
      <c r="BC107" s="39"/>
      <c r="BD107" s="72" t="str">
        <f t="shared" si="66"/>
        <v/>
      </c>
      <c r="BE107" s="72" t="str">
        <f t="shared" si="83"/>
        <v/>
      </c>
      <c r="BF107" s="39"/>
      <c r="BG107" s="42" t="str">
        <f t="shared" si="67"/>
        <v/>
      </c>
      <c r="BH107" s="72" t="str">
        <f t="shared" si="84"/>
        <v/>
      </c>
      <c r="BI107" s="39"/>
      <c r="BJ107" s="40" t="str">
        <f t="shared" si="68"/>
        <v/>
      </c>
      <c r="BK107" s="157" t="str">
        <f t="shared" si="69"/>
        <v/>
      </c>
      <c r="BL107" s="157" t="str">
        <f t="shared" si="70"/>
        <v/>
      </c>
      <c r="BM107" s="72"/>
      <c r="BN107" s="72" t="str">
        <f t="shared" si="85"/>
        <v/>
      </c>
      <c r="BO107" s="72" t="str">
        <f t="shared" si="86"/>
        <v/>
      </c>
      <c r="BP107" s="39"/>
      <c r="BQ107" s="72" t="str">
        <f t="shared" si="91"/>
        <v/>
      </c>
      <c r="BR107" s="72" t="str">
        <f t="shared" si="87"/>
        <v/>
      </c>
    </row>
    <row r="108" spans="4:70" ht="15" x14ac:dyDescent="0.15">
      <c r="D108" s="116" t="s">
        <v>204</v>
      </c>
      <c r="F108" s="94">
        <f>SUBTOTAL(9,F112:F113)</f>
        <v>0</v>
      </c>
      <c r="G108" s="81" t="s">
        <v>132</v>
      </c>
      <c r="I108" s="459">
        <f t="shared" si="88"/>
        <v>2123</v>
      </c>
      <c r="K108" s="71">
        <f t="shared" si="89"/>
        <v>94</v>
      </c>
      <c r="M108" s="7">
        <f t="shared" si="54"/>
        <v>6.212993191806794E-2</v>
      </c>
      <c r="O108" s="10" t="str">
        <f t="shared" si="90"/>
        <v/>
      </c>
      <c r="P108" s="29" t="str">
        <f t="shared" si="55"/>
        <v/>
      </c>
      <c r="R108" s="10" t="str">
        <f t="shared" si="71"/>
        <v/>
      </c>
      <c r="T108" s="10" t="str">
        <f t="shared" si="72"/>
        <v/>
      </c>
      <c r="V108" s="10" t="str">
        <f t="shared" si="56"/>
        <v/>
      </c>
      <c r="W108" s="10" t="str">
        <f t="shared" si="73"/>
        <v/>
      </c>
      <c r="Y108" s="10" t="str">
        <f t="shared" si="57"/>
        <v/>
      </c>
      <c r="Z108" s="10" t="str">
        <f t="shared" si="74"/>
        <v/>
      </c>
      <c r="AB108" s="10" t="str">
        <f t="shared" si="58"/>
        <v/>
      </c>
      <c r="AC108" s="10" t="str">
        <f t="shared" si="75"/>
        <v/>
      </c>
      <c r="AE108" s="10" t="str">
        <f t="shared" si="59"/>
        <v/>
      </c>
      <c r="AF108" s="10" t="str">
        <f t="shared" si="76"/>
        <v/>
      </c>
      <c r="AH108" s="10" t="str">
        <f t="shared" si="60"/>
        <v/>
      </c>
      <c r="AI108" s="10" t="str">
        <f t="shared" si="77"/>
        <v/>
      </c>
      <c r="AK108" s="10" t="str">
        <f t="shared" si="61"/>
        <v/>
      </c>
      <c r="AL108" s="10" t="str">
        <f t="shared" si="78"/>
        <v/>
      </c>
      <c r="AN108" s="10" t="str">
        <f t="shared" si="62"/>
        <v/>
      </c>
      <c r="AO108" s="10" t="str">
        <f t="shared" si="79"/>
        <v/>
      </c>
      <c r="AQ108" s="10" t="str">
        <f t="shared" si="63"/>
        <v/>
      </c>
      <c r="AR108" s="10" t="str">
        <f t="shared" si="80"/>
        <v/>
      </c>
      <c r="AT108" s="7" t="str">
        <f>IF($K108&lt;=$F$15,IF($F$41&lt;&gt;"",$F$41/1000,IF(ISERROR(VLOOKUP($F$3&amp;IF($G$4&lt;&gt;"",$G$4,"")&amp;IF($F$44&lt;&gt;"","_"&amp;$F$44,""),'表3）燃料価格'!$AF$9:$AG$25,2,0)),0,VLOOKUP($I108,'表3）燃料価格'!$A$6:$U$66,VLOOKUP($F$3&amp;IF($G$4&lt;&gt;"",$G$4,"")&amp;IF($F$44&lt;&gt;"","_"&amp;$F$44,""),'表3）燃料価格'!$AF$9:$AG$25,2,0)+VLOOKUP($F$42,'表3）燃料価格'!$AF$28:$AG$29,2,0),0)*IF($F$44="需要地価格",1,$F$8/$F$142))),"")</f>
        <v/>
      </c>
      <c r="AV108" s="10" t="str">
        <f t="shared" si="64"/>
        <v/>
      </c>
      <c r="AW108" s="10" t="str">
        <f t="shared" si="81"/>
        <v/>
      </c>
      <c r="AY108" s="7" t="str">
        <f>IF(ISERROR(IF($K108&lt;=$F$15,VLOOKUP($I108,'表4）CO2価格'!$A$7:$E$67,VLOOKUP($F$49,'表4）CO2価格'!$H$10:$I$12,2,0),0)*$F$8/1000,"")),0,IF($K108&lt;=$F$15,VLOOKUP($I108,'表4）CO2価格'!$A$7:$E$67,VLOOKUP($F$49,'表4）CO2価格'!$H$10:$I$12,2,0),0)*$F$8/1000,""))</f>
        <v/>
      </c>
      <c r="BA108" s="11" t="str">
        <f t="shared" si="65"/>
        <v/>
      </c>
      <c r="BB108" s="10" t="str">
        <f t="shared" si="82"/>
        <v/>
      </c>
      <c r="BD108" s="10" t="str">
        <f t="shared" si="66"/>
        <v/>
      </c>
      <c r="BE108" s="10" t="str">
        <f t="shared" si="83"/>
        <v/>
      </c>
      <c r="BG108" s="11" t="str">
        <f t="shared" si="67"/>
        <v/>
      </c>
      <c r="BH108" s="10" t="str">
        <f t="shared" si="84"/>
        <v/>
      </c>
      <c r="BJ108" s="7" t="str">
        <f t="shared" si="68"/>
        <v/>
      </c>
      <c r="BK108" s="158" t="str">
        <f t="shared" si="69"/>
        <v/>
      </c>
      <c r="BL108" s="158" t="str">
        <f t="shared" si="70"/>
        <v/>
      </c>
      <c r="BM108" s="10"/>
      <c r="BN108" s="10" t="str">
        <f t="shared" si="85"/>
        <v/>
      </c>
      <c r="BO108" s="10" t="str">
        <f t="shared" si="86"/>
        <v/>
      </c>
      <c r="BQ108" s="188" t="str">
        <f t="shared" si="91"/>
        <v/>
      </c>
      <c r="BR108" s="10" t="str">
        <f t="shared" si="87"/>
        <v/>
      </c>
    </row>
    <row r="109" spans="4:70" ht="15" x14ac:dyDescent="0.15">
      <c r="D109" s="116"/>
      <c r="F109" s="93"/>
      <c r="I109" s="458">
        <f t="shared" si="88"/>
        <v>2124</v>
      </c>
      <c r="J109" s="470"/>
      <c r="K109" s="39">
        <f t="shared" si="89"/>
        <v>95</v>
      </c>
      <c r="L109" s="39"/>
      <c r="M109" s="40">
        <f t="shared" si="54"/>
        <v>6.0320322250551395E-2</v>
      </c>
      <c r="N109" s="39"/>
      <c r="O109" s="72" t="str">
        <f t="shared" si="90"/>
        <v/>
      </c>
      <c r="P109" s="41" t="str">
        <f t="shared" si="55"/>
        <v/>
      </c>
      <c r="Q109" s="39"/>
      <c r="R109" s="72" t="str">
        <f t="shared" si="71"/>
        <v/>
      </c>
      <c r="S109" s="39"/>
      <c r="T109" s="72" t="str">
        <f t="shared" si="72"/>
        <v/>
      </c>
      <c r="U109" s="39"/>
      <c r="V109" s="72" t="str">
        <f t="shared" si="56"/>
        <v/>
      </c>
      <c r="W109" s="72" t="str">
        <f t="shared" si="73"/>
        <v/>
      </c>
      <c r="X109" s="39"/>
      <c r="Y109" s="72" t="str">
        <f t="shared" si="57"/>
        <v/>
      </c>
      <c r="Z109" s="72" t="str">
        <f t="shared" si="74"/>
        <v/>
      </c>
      <c r="AA109" s="39"/>
      <c r="AB109" s="72" t="str">
        <f t="shared" si="58"/>
        <v/>
      </c>
      <c r="AC109" s="72" t="str">
        <f t="shared" si="75"/>
        <v/>
      </c>
      <c r="AD109" s="39"/>
      <c r="AE109" s="72" t="str">
        <f t="shared" si="59"/>
        <v/>
      </c>
      <c r="AF109" s="72" t="str">
        <f t="shared" si="76"/>
        <v/>
      </c>
      <c r="AG109" s="39"/>
      <c r="AH109" s="72" t="str">
        <f t="shared" si="60"/>
        <v/>
      </c>
      <c r="AI109" s="72" t="str">
        <f t="shared" si="77"/>
        <v/>
      </c>
      <c r="AJ109" s="39"/>
      <c r="AK109" s="72" t="str">
        <f t="shared" si="61"/>
        <v/>
      </c>
      <c r="AL109" s="72" t="str">
        <f t="shared" si="78"/>
        <v/>
      </c>
      <c r="AM109" s="39"/>
      <c r="AN109" s="72" t="str">
        <f t="shared" si="62"/>
        <v/>
      </c>
      <c r="AO109" s="72" t="str">
        <f t="shared" si="79"/>
        <v/>
      </c>
      <c r="AP109" s="39"/>
      <c r="AQ109" s="72" t="str">
        <f t="shared" si="63"/>
        <v/>
      </c>
      <c r="AR109" s="72" t="str">
        <f t="shared" si="80"/>
        <v/>
      </c>
      <c r="AS109" s="39"/>
      <c r="AT109" s="40" t="str">
        <f>IF($K109&lt;=$F$15,IF($F$41&lt;&gt;"",$F$41/1000,IF(ISERROR(VLOOKUP($F$3&amp;IF($G$4&lt;&gt;"",$G$4,"")&amp;IF($F$44&lt;&gt;"","_"&amp;$F$44,""),'表3）燃料価格'!$AF$9:$AG$25,2,0)),0,VLOOKUP($I109,'表3）燃料価格'!$A$6:$U$66,VLOOKUP($F$3&amp;IF($G$4&lt;&gt;"",$G$4,"")&amp;IF($F$44&lt;&gt;"","_"&amp;$F$44,""),'表3）燃料価格'!$AF$9:$AG$25,2,0)+VLOOKUP($F$42,'表3）燃料価格'!$AF$28:$AG$29,2,0),0)*IF($F$44="需要地価格",1,$F$8/$F$142))),"")</f>
        <v/>
      </c>
      <c r="AU109" s="39"/>
      <c r="AV109" s="72" t="str">
        <f t="shared" si="64"/>
        <v/>
      </c>
      <c r="AW109" s="72" t="str">
        <f t="shared" si="81"/>
        <v/>
      </c>
      <c r="AX109" s="39"/>
      <c r="AY109" s="40" t="str">
        <f>IF(ISERROR(IF($K109&lt;=$F$15,VLOOKUP($I109,'表4）CO2価格'!$A$7:$E$67,VLOOKUP($F$49,'表4）CO2価格'!$H$10:$I$12,2,0),0)*$F$8/1000,"")),0,IF($K109&lt;=$F$15,VLOOKUP($I109,'表4）CO2価格'!$A$7:$E$67,VLOOKUP($F$49,'表4）CO2価格'!$H$10:$I$12,2,0),0)*$F$8/1000,""))</f>
        <v/>
      </c>
      <c r="AZ109" s="39"/>
      <c r="BA109" s="42" t="str">
        <f t="shared" si="65"/>
        <v/>
      </c>
      <c r="BB109" s="72" t="str">
        <f t="shared" si="82"/>
        <v/>
      </c>
      <c r="BC109" s="39"/>
      <c r="BD109" s="72" t="str">
        <f t="shared" si="66"/>
        <v/>
      </c>
      <c r="BE109" s="72" t="str">
        <f t="shared" si="83"/>
        <v/>
      </c>
      <c r="BF109" s="39"/>
      <c r="BG109" s="42" t="str">
        <f t="shared" si="67"/>
        <v/>
      </c>
      <c r="BH109" s="72" t="str">
        <f t="shared" si="84"/>
        <v/>
      </c>
      <c r="BI109" s="39"/>
      <c r="BJ109" s="40" t="str">
        <f t="shared" si="68"/>
        <v/>
      </c>
      <c r="BK109" s="157" t="str">
        <f t="shared" si="69"/>
        <v/>
      </c>
      <c r="BL109" s="157" t="str">
        <f t="shared" si="70"/>
        <v/>
      </c>
      <c r="BM109" s="72"/>
      <c r="BN109" s="72" t="str">
        <f t="shared" si="85"/>
        <v/>
      </c>
      <c r="BO109" s="72" t="str">
        <f t="shared" si="86"/>
        <v/>
      </c>
      <c r="BP109" s="39"/>
      <c r="BQ109" s="72" t="str">
        <f t="shared" si="91"/>
        <v/>
      </c>
      <c r="BR109" s="72" t="str">
        <f t="shared" si="87"/>
        <v/>
      </c>
    </row>
    <row r="110" spans="4:70" x14ac:dyDescent="0.15">
      <c r="D110" s="101" t="s">
        <v>205</v>
      </c>
      <c r="E110" s="101"/>
      <c r="F110" s="92"/>
      <c r="G110" s="101"/>
      <c r="I110" s="459">
        <f t="shared" si="88"/>
        <v>2125</v>
      </c>
      <c r="K110" s="71">
        <f t="shared" si="89"/>
        <v>96</v>
      </c>
      <c r="M110" s="7">
        <f t="shared" si="54"/>
        <v>5.8563419660729518E-2</v>
      </c>
      <c r="O110" s="10" t="str">
        <f t="shared" si="90"/>
        <v/>
      </c>
      <c r="P110" s="29" t="str">
        <f t="shared" si="55"/>
        <v/>
      </c>
      <c r="R110" s="10" t="str">
        <f t="shared" si="71"/>
        <v/>
      </c>
      <c r="T110" s="10" t="str">
        <f t="shared" si="72"/>
        <v/>
      </c>
      <c r="V110" s="10" t="str">
        <f t="shared" si="56"/>
        <v/>
      </c>
      <c r="W110" s="10" t="str">
        <f t="shared" si="73"/>
        <v/>
      </c>
      <c r="Y110" s="10" t="str">
        <f t="shared" si="57"/>
        <v/>
      </c>
      <c r="Z110" s="10" t="str">
        <f t="shared" si="74"/>
        <v/>
      </c>
      <c r="AB110" s="10" t="str">
        <f t="shared" si="58"/>
        <v/>
      </c>
      <c r="AC110" s="10" t="str">
        <f t="shared" si="75"/>
        <v/>
      </c>
      <c r="AE110" s="10" t="str">
        <f t="shared" si="59"/>
        <v/>
      </c>
      <c r="AF110" s="10" t="str">
        <f t="shared" si="76"/>
        <v/>
      </c>
      <c r="AH110" s="10" t="str">
        <f t="shared" si="60"/>
        <v/>
      </c>
      <c r="AI110" s="10" t="str">
        <f t="shared" si="77"/>
        <v/>
      </c>
      <c r="AK110" s="10" t="str">
        <f t="shared" si="61"/>
        <v/>
      </c>
      <c r="AL110" s="10" t="str">
        <f t="shared" si="78"/>
        <v/>
      </c>
      <c r="AN110" s="10" t="str">
        <f t="shared" si="62"/>
        <v/>
      </c>
      <c r="AO110" s="10" t="str">
        <f t="shared" si="79"/>
        <v/>
      </c>
      <c r="AQ110" s="10" t="str">
        <f t="shared" si="63"/>
        <v/>
      </c>
      <c r="AR110" s="10" t="str">
        <f t="shared" si="80"/>
        <v/>
      </c>
      <c r="AT110" s="7" t="str">
        <f>IF($K110&lt;=$F$15,IF($F$41&lt;&gt;"",$F$41/1000,IF(ISERROR(VLOOKUP($F$3&amp;IF($G$4&lt;&gt;"",$G$4,"")&amp;IF($F$44&lt;&gt;"","_"&amp;$F$44,""),'表3）燃料価格'!$AF$9:$AG$25,2,0)),0,VLOOKUP($I110,'表3）燃料価格'!$A$6:$U$66,VLOOKUP($F$3&amp;IF($G$4&lt;&gt;"",$G$4,"")&amp;IF($F$44&lt;&gt;"","_"&amp;$F$44,""),'表3）燃料価格'!$AF$9:$AG$25,2,0)+VLOOKUP($F$42,'表3）燃料価格'!$AF$28:$AG$29,2,0),0)*IF($F$44="需要地価格",1,$F$8/$F$142))),"")</f>
        <v/>
      </c>
      <c r="AV110" s="10" t="str">
        <f t="shared" si="64"/>
        <v/>
      </c>
      <c r="AW110" s="10" t="str">
        <f t="shared" si="81"/>
        <v/>
      </c>
      <c r="AY110" s="7" t="str">
        <f>IF(ISERROR(IF($K110&lt;=$F$15,VLOOKUP($I110,'表4）CO2価格'!$A$7:$E$67,VLOOKUP($F$49,'表4）CO2価格'!$H$10:$I$12,2,0),0)*$F$8/1000,"")),0,IF($K110&lt;=$F$15,VLOOKUP($I110,'表4）CO2価格'!$A$7:$E$67,VLOOKUP($F$49,'表4）CO2価格'!$H$10:$I$12,2,0),0)*$F$8/1000,""))</f>
        <v/>
      </c>
      <c r="BA110" s="11" t="str">
        <f t="shared" si="65"/>
        <v/>
      </c>
      <c r="BB110" s="10" t="str">
        <f t="shared" si="82"/>
        <v/>
      </c>
      <c r="BD110" s="10" t="str">
        <f t="shared" si="66"/>
        <v/>
      </c>
      <c r="BE110" s="10" t="str">
        <f t="shared" si="83"/>
        <v/>
      </c>
      <c r="BG110" s="11" t="str">
        <f t="shared" si="67"/>
        <v/>
      </c>
      <c r="BH110" s="10" t="str">
        <f t="shared" si="84"/>
        <v/>
      </c>
      <c r="BJ110" s="7" t="str">
        <f t="shared" si="68"/>
        <v/>
      </c>
      <c r="BK110" s="158" t="str">
        <f t="shared" si="69"/>
        <v/>
      </c>
      <c r="BL110" s="158" t="str">
        <f t="shared" si="70"/>
        <v/>
      </c>
      <c r="BM110" s="10"/>
      <c r="BN110" s="10" t="str">
        <f t="shared" si="85"/>
        <v/>
      </c>
      <c r="BO110" s="10" t="str">
        <f t="shared" si="86"/>
        <v/>
      </c>
      <c r="BQ110" s="188" t="str">
        <f t="shared" si="91"/>
        <v/>
      </c>
      <c r="BR110" s="10" t="str">
        <f t="shared" si="87"/>
        <v/>
      </c>
    </row>
    <row r="111" spans="4:70" ht="15" x14ac:dyDescent="0.15">
      <c r="D111" s="116"/>
      <c r="F111" s="93"/>
      <c r="I111" s="458">
        <f t="shared" si="88"/>
        <v>2126</v>
      </c>
      <c r="J111" s="470"/>
      <c r="K111" s="39">
        <f t="shared" si="89"/>
        <v>97</v>
      </c>
      <c r="L111" s="39"/>
      <c r="M111" s="40">
        <f t="shared" si="54"/>
        <v>5.6857688990999529E-2</v>
      </c>
      <c r="N111" s="39"/>
      <c r="O111" s="72" t="str">
        <f t="shared" si="90"/>
        <v/>
      </c>
      <c r="P111" s="41" t="str">
        <f t="shared" ref="P111:P114" si="92">IF(K111&lt;=$F$15,IF(OR(P110=$F$125,P110="-"),"-",IF(O111*$F$124&gt;$F$128,$F$124,$F$125)),"")</f>
        <v/>
      </c>
      <c r="Q111" s="39"/>
      <c r="R111" s="72" t="str">
        <f t="shared" si="71"/>
        <v/>
      </c>
      <c r="S111" s="39"/>
      <c r="T111" s="72" t="str">
        <f t="shared" si="72"/>
        <v/>
      </c>
      <c r="U111" s="39"/>
      <c r="V111" s="72" t="str">
        <f t="shared" si="56"/>
        <v/>
      </c>
      <c r="W111" s="72" t="str">
        <f t="shared" si="73"/>
        <v/>
      </c>
      <c r="X111" s="39"/>
      <c r="Y111" s="72" t="str">
        <f t="shared" si="57"/>
        <v/>
      </c>
      <c r="Z111" s="72" t="str">
        <f t="shared" si="74"/>
        <v/>
      </c>
      <c r="AA111" s="39"/>
      <c r="AB111" s="72" t="str">
        <f t="shared" si="58"/>
        <v/>
      </c>
      <c r="AC111" s="72" t="str">
        <f t="shared" si="75"/>
        <v/>
      </c>
      <c r="AD111" s="39"/>
      <c r="AE111" s="72" t="str">
        <f t="shared" si="59"/>
        <v/>
      </c>
      <c r="AF111" s="72" t="str">
        <f t="shared" si="76"/>
        <v/>
      </c>
      <c r="AG111" s="39"/>
      <c r="AH111" s="72" t="str">
        <f t="shared" si="60"/>
        <v/>
      </c>
      <c r="AI111" s="72" t="str">
        <f t="shared" si="77"/>
        <v/>
      </c>
      <c r="AJ111" s="39"/>
      <c r="AK111" s="72" t="str">
        <f t="shared" si="61"/>
        <v/>
      </c>
      <c r="AL111" s="72" t="str">
        <f t="shared" si="78"/>
        <v/>
      </c>
      <c r="AM111" s="39"/>
      <c r="AN111" s="72" t="str">
        <f t="shared" si="62"/>
        <v/>
      </c>
      <c r="AO111" s="72" t="str">
        <f t="shared" si="79"/>
        <v/>
      </c>
      <c r="AP111" s="39"/>
      <c r="AQ111" s="72" t="str">
        <f t="shared" si="63"/>
        <v/>
      </c>
      <c r="AR111" s="72" t="str">
        <f t="shared" si="80"/>
        <v/>
      </c>
      <c r="AS111" s="39"/>
      <c r="AT111" s="40" t="str">
        <f>IF($K111&lt;=$F$15,IF($F$41&lt;&gt;"",$F$41/1000,IF(ISERROR(VLOOKUP($F$3&amp;IF($G$4&lt;&gt;"",$G$4,"")&amp;IF($F$44&lt;&gt;"","_"&amp;$F$44,""),'表3）燃料価格'!$AF$9:$AG$25,2,0)),0,VLOOKUP($I111,'表3）燃料価格'!$A$6:$U$66,VLOOKUP($F$3&amp;IF($G$4&lt;&gt;"",$G$4,"")&amp;IF($F$44&lt;&gt;"","_"&amp;$F$44,""),'表3）燃料価格'!$AF$9:$AG$25,2,0)+VLOOKUP($F$42,'表3）燃料価格'!$AF$28:$AG$29,2,0),0)*IF($F$44="需要地価格",1,$F$8/$F$142))),"")</f>
        <v/>
      </c>
      <c r="AU111" s="39"/>
      <c r="AV111" s="72" t="str">
        <f t="shared" si="64"/>
        <v/>
      </c>
      <c r="AW111" s="72" t="str">
        <f t="shared" si="81"/>
        <v/>
      </c>
      <c r="AX111" s="39"/>
      <c r="AY111" s="40" t="str">
        <f>IF(ISERROR(IF($K111&lt;=$F$15,VLOOKUP($I111,'表4）CO2価格'!$A$7:$E$67,VLOOKUP($F$49,'表4）CO2価格'!$H$10:$I$12,2,0),0)*$F$8/1000,"")),0,IF($K111&lt;=$F$15,VLOOKUP($I111,'表4）CO2価格'!$A$7:$E$67,VLOOKUP($F$49,'表4）CO2価格'!$H$10:$I$12,2,0),0)*$F$8/1000,""))</f>
        <v/>
      </c>
      <c r="AZ111" s="39"/>
      <c r="BA111" s="42" t="str">
        <f t="shared" si="65"/>
        <v/>
      </c>
      <c r="BB111" s="72" t="str">
        <f t="shared" si="82"/>
        <v/>
      </c>
      <c r="BC111" s="39"/>
      <c r="BD111" s="72" t="str">
        <f t="shared" si="66"/>
        <v/>
      </c>
      <c r="BE111" s="72" t="str">
        <f t="shared" si="83"/>
        <v/>
      </c>
      <c r="BF111" s="39"/>
      <c r="BG111" s="42" t="str">
        <f t="shared" si="67"/>
        <v/>
      </c>
      <c r="BH111" s="72" t="str">
        <f t="shared" si="84"/>
        <v/>
      </c>
      <c r="BI111" s="39"/>
      <c r="BJ111" s="40" t="str">
        <f t="shared" si="68"/>
        <v/>
      </c>
      <c r="BK111" s="157" t="str">
        <f t="shared" ref="BK111:BK114" si="93">IF(ISNUMBER($F$16),IF($K111&lt;=$F$16+$F$29,IF($K111&lt;=$F$16,SUM(Y111,AB111,AE111,AH111,AK111,AN111,AQ111,AV111,BA111,BD111,BG111),$F$28/$F$29*10^8)*BJ111,""),"")</f>
        <v/>
      </c>
      <c r="BL111" s="157" t="str">
        <f t="shared" si="70"/>
        <v/>
      </c>
      <c r="BM111" s="72"/>
      <c r="BN111" s="72" t="str">
        <f t="shared" si="85"/>
        <v/>
      </c>
      <c r="BO111" s="72" t="str">
        <f t="shared" si="86"/>
        <v/>
      </c>
      <c r="BP111" s="39"/>
      <c r="BQ111" s="72" t="str">
        <f t="shared" si="91"/>
        <v/>
      </c>
      <c r="BR111" s="72" t="str">
        <f t="shared" si="87"/>
        <v/>
      </c>
    </row>
    <row r="112" spans="4:70" ht="15" x14ac:dyDescent="0.15">
      <c r="D112" s="116"/>
      <c r="E112" s="81" t="s">
        <v>206</v>
      </c>
      <c r="F112" s="91">
        <f>-BE116/BR116</f>
        <v>0</v>
      </c>
      <c r="G112" s="81" t="s">
        <v>132</v>
      </c>
      <c r="I112" s="459">
        <f t="shared" si="88"/>
        <v>2127</v>
      </c>
      <c r="K112" s="71">
        <f t="shared" si="89"/>
        <v>98</v>
      </c>
      <c r="M112" s="7">
        <f t="shared" si="54"/>
        <v>5.5201639797086935E-2</v>
      </c>
      <c r="O112" s="10" t="str">
        <f t="shared" si="90"/>
        <v/>
      </c>
      <c r="P112" s="29" t="str">
        <f t="shared" si="92"/>
        <v/>
      </c>
      <c r="R112" s="10" t="str">
        <f t="shared" si="71"/>
        <v/>
      </c>
      <c r="T112" s="10" t="str">
        <f t="shared" si="72"/>
        <v/>
      </c>
      <c r="V112" s="10" t="str">
        <f t="shared" si="56"/>
        <v/>
      </c>
      <c r="W112" s="10" t="str">
        <f t="shared" si="73"/>
        <v/>
      </c>
      <c r="Y112" s="10" t="str">
        <f t="shared" si="57"/>
        <v/>
      </c>
      <c r="Z112" s="10" t="str">
        <f t="shared" si="74"/>
        <v/>
      </c>
      <c r="AB112" s="10" t="str">
        <f t="shared" si="58"/>
        <v/>
      </c>
      <c r="AC112" s="10" t="str">
        <f t="shared" si="75"/>
        <v/>
      </c>
      <c r="AE112" s="10" t="str">
        <f t="shared" si="59"/>
        <v/>
      </c>
      <c r="AF112" s="10" t="str">
        <f t="shared" si="76"/>
        <v/>
      </c>
      <c r="AH112" s="10" t="str">
        <f t="shared" si="60"/>
        <v/>
      </c>
      <c r="AI112" s="10" t="str">
        <f t="shared" si="77"/>
        <v/>
      </c>
      <c r="AK112" s="10" t="str">
        <f t="shared" si="61"/>
        <v/>
      </c>
      <c r="AL112" s="10" t="str">
        <f t="shared" si="78"/>
        <v/>
      </c>
      <c r="AN112" s="10" t="str">
        <f t="shared" si="62"/>
        <v/>
      </c>
      <c r="AO112" s="10" t="str">
        <f t="shared" si="79"/>
        <v/>
      </c>
      <c r="AQ112" s="10" t="str">
        <f t="shared" si="63"/>
        <v/>
      </c>
      <c r="AR112" s="10" t="str">
        <f t="shared" si="80"/>
        <v/>
      </c>
      <c r="AT112" s="7" t="str">
        <f>IF($K112&lt;=$F$15,IF($F$41&lt;&gt;"",$F$41/1000,IF(ISERROR(VLOOKUP($F$3&amp;IF($G$4&lt;&gt;"",$G$4,"")&amp;IF($F$44&lt;&gt;"","_"&amp;$F$44,""),'表3）燃料価格'!$AF$9:$AG$25,2,0)),0,VLOOKUP($I112,'表3）燃料価格'!$A$6:$U$66,VLOOKUP($F$3&amp;IF($G$4&lt;&gt;"",$G$4,"")&amp;IF($F$44&lt;&gt;"","_"&amp;$F$44,""),'表3）燃料価格'!$AF$9:$AG$25,2,0)+VLOOKUP($F$42,'表3）燃料価格'!$AF$28:$AG$29,2,0),0)*IF($F$44="需要地価格",1,$F$8/$F$142))),"")</f>
        <v/>
      </c>
      <c r="AV112" s="10" t="str">
        <f t="shared" si="64"/>
        <v/>
      </c>
      <c r="AW112" s="10" t="str">
        <f t="shared" si="81"/>
        <v/>
      </c>
      <c r="AY112" s="7" t="str">
        <f>IF(ISERROR(IF($K112&lt;=$F$15,VLOOKUP($I112,'表4）CO2価格'!$A$7:$E$67,VLOOKUP($F$49,'表4）CO2価格'!$H$10:$I$12,2,0),0)*$F$8/1000,"")),0,IF($K112&lt;=$F$15,VLOOKUP($I112,'表4）CO2価格'!$A$7:$E$67,VLOOKUP($F$49,'表4）CO2価格'!$H$10:$I$12,2,0),0)*$F$8/1000,""))</f>
        <v/>
      </c>
      <c r="BA112" s="11" t="str">
        <f t="shared" si="65"/>
        <v/>
      </c>
      <c r="BB112" s="10" t="str">
        <f t="shared" si="82"/>
        <v/>
      </c>
      <c r="BD112" s="10" t="str">
        <f t="shared" si="66"/>
        <v/>
      </c>
      <c r="BE112" s="10" t="str">
        <f t="shared" si="83"/>
        <v/>
      </c>
      <c r="BG112" s="11" t="str">
        <f t="shared" si="67"/>
        <v/>
      </c>
      <c r="BH112" s="10" t="str">
        <f t="shared" si="84"/>
        <v/>
      </c>
      <c r="BJ112" s="7" t="str">
        <f t="shared" si="68"/>
        <v/>
      </c>
      <c r="BK112" s="158" t="str">
        <f t="shared" si="93"/>
        <v/>
      </c>
      <c r="BL112" s="158" t="str">
        <f t="shared" si="70"/>
        <v/>
      </c>
      <c r="BM112" s="10"/>
      <c r="BN112" s="10" t="str">
        <f t="shared" si="85"/>
        <v/>
      </c>
      <c r="BO112" s="10" t="str">
        <f t="shared" si="86"/>
        <v/>
      </c>
      <c r="BQ112" s="188" t="str">
        <f t="shared" si="91"/>
        <v/>
      </c>
      <c r="BR112" s="10" t="str">
        <f t="shared" si="87"/>
        <v/>
      </c>
    </row>
    <row r="113" spans="2:70" ht="15" x14ac:dyDescent="0.15">
      <c r="D113" s="116"/>
      <c r="E113" s="81" t="s">
        <v>207</v>
      </c>
      <c r="F113" s="91">
        <f>-BH116/BR116</f>
        <v>0</v>
      </c>
      <c r="G113" s="81" t="s">
        <v>132</v>
      </c>
      <c r="I113" s="458">
        <f t="shared" si="88"/>
        <v>2128</v>
      </c>
      <c r="J113" s="470"/>
      <c r="K113" s="39">
        <f t="shared" si="89"/>
        <v>99</v>
      </c>
      <c r="L113" s="39"/>
      <c r="M113" s="40">
        <f t="shared" si="54"/>
        <v>5.3593825045715457E-2</v>
      </c>
      <c r="N113" s="39"/>
      <c r="O113" s="72" t="str">
        <f t="shared" si="90"/>
        <v/>
      </c>
      <c r="P113" s="41" t="str">
        <f t="shared" si="92"/>
        <v/>
      </c>
      <c r="Q113" s="39"/>
      <c r="R113" s="72" t="str">
        <f t="shared" si="71"/>
        <v/>
      </c>
      <c r="S113" s="39"/>
      <c r="T113" s="72" t="str">
        <f t="shared" si="72"/>
        <v/>
      </c>
      <c r="U113" s="39"/>
      <c r="V113" s="72" t="str">
        <f t="shared" si="56"/>
        <v/>
      </c>
      <c r="W113" s="72" t="str">
        <f t="shared" si="73"/>
        <v/>
      </c>
      <c r="X113" s="39"/>
      <c r="Y113" s="72" t="str">
        <f t="shared" si="57"/>
        <v/>
      </c>
      <c r="Z113" s="72" t="str">
        <f t="shared" si="74"/>
        <v/>
      </c>
      <c r="AA113" s="39"/>
      <c r="AB113" s="72" t="str">
        <f t="shared" si="58"/>
        <v/>
      </c>
      <c r="AC113" s="72" t="str">
        <f t="shared" si="75"/>
        <v/>
      </c>
      <c r="AD113" s="39"/>
      <c r="AE113" s="72" t="str">
        <f t="shared" si="59"/>
        <v/>
      </c>
      <c r="AF113" s="72" t="str">
        <f t="shared" si="76"/>
        <v/>
      </c>
      <c r="AG113" s="39"/>
      <c r="AH113" s="72" t="str">
        <f t="shared" si="60"/>
        <v/>
      </c>
      <c r="AI113" s="72" t="str">
        <f t="shared" si="77"/>
        <v/>
      </c>
      <c r="AJ113" s="39"/>
      <c r="AK113" s="72" t="str">
        <f t="shared" si="61"/>
        <v/>
      </c>
      <c r="AL113" s="72" t="str">
        <f t="shared" si="78"/>
        <v/>
      </c>
      <c r="AM113" s="39"/>
      <c r="AN113" s="72" t="str">
        <f t="shared" si="62"/>
        <v/>
      </c>
      <c r="AO113" s="72" t="str">
        <f t="shared" si="79"/>
        <v/>
      </c>
      <c r="AP113" s="39"/>
      <c r="AQ113" s="72" t="str">
        <f t="shared" si="63"/>
        <v/>
      </c>
      <c r="AR113" s="72" t="str">
        <f t="shared" si="80"/>
        <v/>
      </c>
      <c r="AS113" s="39"/>
      <c r="AT113" s="40" t="str">
        <f>IF($K113&lt;=$F$15,IF($F$41&lt;&gt;"",$F$41/1000,IF(ISERROR(VLOOKUP($F$3&amp;IF($G$4&lt;&gt;"",$G$4,"")&amp;IF($F$44&lt;&gt;"","_"&amp;$F$44,""),'表3）燃料価格'!$AF$9:$AG$25,2,0)),0,VLOOKUP($I113,'表3）燃料価格'!$A$6:$U$66,VLOOKUP($F$3&amp;IF($G$4&lt;&gt;"",$G$4,"")&amp;IF($F$44&lt;&gt;"","_"&amp;$F$44,""),'表3）燃料価格'!$AF$9:$AG$25,2,0)+VLOOKUP($F$42,'表3）燃料価格'!$AF$28:$AG$29,2,0),0)*IF($F$44="需要地価格",1,$F$8/$F$142))),"")</f>
        <v/>
      </c>
      <c r="AU113" s="39"/>
      <c r="AV113" s="72" t="str">
        <f t="shared" si="64"/>
        <v/>
      </c>
      <c r="AW113" s="72" t="str">
        <f t="shared" si="81"/>
        <v/>
      </c>
      <c r="AX113" s="39"/>
      <c r="AY113" s="40" t="str">
        <f>IF(ISERROR(IF($K113&lt;=$F$15,VLOOKUP($I113,'表4）CO2価格'!$A$7:$E$67,VLOOKUP($F$49,'表4）CO2価格'!$H$10:$I$12,2,0),0)*$F$8/1000,"")),0,IF($K113&lt;=$F$15,VLOOKUP($I113,'表4）CO2価格'!$A$7:$E$67,VLOOKUP($F$49,'表4）CO2価格'!$H$10:$I$12,2,0),0)*$F$8/1000,""))</f>
        <v/>
      </c>
      <c r="AZ113" s="39"/>
      <c r="BA113" s="42" t="str">
        <f t="shared" si="65"/>
        <v/>
      </c>
      <c r="BB113" s="72" t="str">
        <f t="shared" si="82"/>
        <v/>
      </c>
      <c r="BC113" s="39"/>
      <c r="BD113" s="72" t="str">
        <f t="shared" si="66"/>
        <v/>
      </c>
      <c r="BE113" s="72" t="str">
        <f t="shared" si="83"/>
        <v/>
      </c>
      <c r="BF113" s="39"/>
      <c r="BG113" s="42" t="str">
        <f t="shared" si="67"/>
        <v/>
      </c>
      <c r="BH113" s="72" t="str">
        <f t="shared" si="84"/>
        <v/>
      </c>
      <c r="BI113" s="39"/>
      <c r="BJ113" s="40" t="str">
        <f t="shared" si="68"/>
        <v/>
      </c>
      <c r="BK113" s="157" t="str">
        <f t="shared" si="93"/>
        <v/>
      </c>
      <c r="BL113" s="157" t="str">
        <f t="shared" si="70"/>
        <v/>
      </c>
      <c r="BM113" s="72"/>
      <c r="BN113" s="72" t="str">
        <f t="shared" si="85"/>
        <v/>
      </c>
      <c r="BO113" s="72" t="str">
        <f t="shared" si="86"/>
        <v/>
      </c>
      <c r="BP113" s="39"/>
      <c r="BQ113" s="72" t="str">
        <f t="shared" si="91"/>
        <v/>
      </c>
      <c r="BR113" s="72" t="str">
        <f t="shared" si="87"/>
        <v/>
      </c>
    </row>
    <row r="114" spans="2:70" x14ac:dyDescent="0.15">
      <c r="I114" s="459">
        <f t="shared" si="88"/>
        <v>2129</v>
      </c>
      <c r="K114" s="71">
        <f t="shared" si="89"/>
        <v>100</v>
      </c>
      <c r="M114" s="7">
        <f t="shared" si="54"/>
        <v>5.2032839850209185E-2</v>
      </c>
      <c r="O114" s="10" t="str">
        <f t="shared" si="90"/>
        <v/>
      </c>
      <c r="P114" s="29" t="str">
        <f t="shared" si="92"/>
        <v/>
      </c>
      <c r="R114" s="10" t="str">
        <f t="shared" si="71"/>
        <v/>
      </c>
      <c r="T114" s="10" t="str">
        <f t="shared" si="72"/>
        <v/>
      </c>
      <c r="V114" s="10" t="str">
        <f t="shared" si="56"/>
        <v/>
      </c>
      <c r="W114" s="10" t="str">
        <f t="shared" si="73"/>
        <v/>
      </c>
      <c r="Y114" s="10" t="str">
        <f t="shared" si="57"/>
        <v/>
      </c>
      <c r="Z114" s="10" t="str">
        <f t="shared" si="74"/>
        <v/>
      </c>
      <c r="AB114" s="10" t="str">
        <f t="shared" si="58"/>
        <v/>
      </c>
      <c r="AC114" s="10" t="str">
        <f t="shared" si="75"/>
        <v/>
      </c>
      <c r="AE114" s="10" t="str">
        <f t="shared" si="59"/>
        <v/>
      </c>
      <c r="AF114" s="10" t="str">
        <f t="shared" si="76"/>
        <v/>
      </c>
      <c r="AH114" s="10" t="str">
        <f t="shared" si="60"/>
        <v/>
      </c>
      <c r="AI114" s="10" t="str">
        <f t="shared" si="77"/>
        <v/>
      </c>
      <c r="AK114" s="10" t="str">
        <f t="shared" si="61"/>
        <v/>
      </c>
      <c r="AL114" s="10" t="str">
        <f t="shared" si="78"/>
        <v/>
      </c>
      <c r="AN114" s="10" t="str">
        <f t="shared" si="62"/>
        <v/>
      </c>
      <c r="AO114" s="10" t="str">
        <f t="shared" si="79"/>
        <v/>
      </c>
      <c r="AQ114" s="10" t="str">
        <f t="shared" si="63"/>
        <v/>
      </c>
      <c r="AR114" s="10" t="str">
        <f t="shared" si="80"/>
        <v/>
      </c>
      <c r="AT114" s="7" t="str">
        <f>IF($K114&lt;=$F$15,IF($F$41&lt;&gt;"",$F$41/1000,IF(ISERROR(VLOOKUP($F$3&amp;IF($G$4&lt;&gt;"",$G$4,"")&amp;IF($F$44&lt;&gt;"","_"&amp;$F$44,""),'表3）燃料価格'!$AF$9:$AG$25,2,0)),0,VLOOKUP($I114,'表3）燃料価格'!$A$6:$U$66,VLOOKUP($F$3&amp;IF($G$4&lt;&gt;"",$G$4,"")&amp;IF($F$44&lt;&gt;"","_"&amp;$F$44,""),'表3）燃料価格'!$AF$9:$AG$25,2,0)+VLOOKUP($F$42,'表3）燃料価格'!$AF$28:$AG$29,2,0),0)*IF($F$44="需要地価格",1,$F$8/$F$142))),"")</f>
        <v/>
      </c>
      <c r="AV114" s="10" t="str">
        <f t="shared" si="64"/>
        <v/>
      </c>
      <c r="AW114" s="10" t="str">
        <f t="shared" si="81"/>
        <v/>
      </c>
      <c r="AY114" s="7" t="str">
        <f>IF(ISERROR(IF($K114&lt;=$F$15,VLOOKUP($I114,'表4）CO2価格'!$A$7:$E$67,VLOOKUP($F$49,'表4）CO2価格'!$H$10:$I$12,2,0),0)*$F$8/1000,"")),0,IF($K114&lt;=$F$15,VLOOKUP($I114,'表4）CO2価格'!$A$7:$E$67,VLOOKUP($F$49,'表4）CO2価格'!$H$10:$I$12,2,0),0)*$F$8/1000,""))</f>
        <v/>
      </c>
      <c r="BA114" s="11" t="str">
        <f t="shared" si="65"/>
        <v/>
      </c>
      <c r="BB114" s="10" t="str">
        <f t="shared" si="82"/>
        <v/>
      </c>
      <c r="BD114" s="10" t="str">
        <f t="shared" si="66"/>
        <v/>
      </c>
      <c r="BE114" s="10" t="str">
        <f t="shared" si="83"/>
        <v/>
      </c>
      <c r="BG114" s="11" t="str">
        <f t="shared" si="67"/>
        <v/>
      </c>
      <c r="BH114" s="10" t="str">
        <f t="shared" si="84"/>
        <v/>
      </c>
      <c r="BJ114" s="7" t="str">
        <f t="shared" si="68"/>
        <v/>
      </c>
      <c r="BK114" s="158" t="str">
        <f t="shared" si="93"/>
        <v/>
      </c>
      <c r="BL114" s="158" t="str">
        <f t="shared" si="70"/>
        <v/>
      </c>
      <c r="BM114" s="10"/>
      <c r="BN114" s="10" t="str">
        <f t="shared" si="85"/>
        <v/>
      </c>
      <c r="BO114" s="10" t="str">
        <f t="shared" si="86"/>
        <v/>
      </c>
      <c r="BQ114" s="188" t="str">
        <f t="shared" si="91"/>
        <v/>
      </c>
      <c r="BR114" s="10" t="str">
        <f t="shared" si="87"/>
        <v/>
      </c>
    </row>
    <row r="115" spans="2:70" ht="15.75" thickBot="1" x14ac:dyDescent="0.2">
      <c r="B115" s="460" t="s">
        <v>515</v>
      </c>
      <c r="I115" s="464"/>
      <c r="J115" s="89"/>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ht="15" thickBot="1" x14ac:dyDescent="0.2">
      <c r="C116" s="86"/>
      <c r="D116" s="104"/>
      <c r="E116" s="104"/>
      <c r="F116" s="86"/>
      <c r="G116" s="104"/>
      <c r="I116" s="9" t="s">
        <v>516</v>
      </c>
      <c r="V116" s="11"/>
      <c r="W116" s="11"/>
      <c r="Z116" s="11">
        <f>SUM(Z15:Z114)</f>
        <v>3784248.6798481238</v>
      </c>
      <c r="AC116" s="11">
        <f>SUM(AC15:AC114)</f>
        <v>1159236.8185962613</v>
      </c>
      <c r="AF116" s="11">
        <f>SUM(AF15:AF114)</f>
        <v>0</v>
      </c>
      <c r="AI116" s="11">
        <f>SUM(AI15:AI114)</f>
        <v>20895777.229533624</v>
      </c>
      <c r="AL116" s="11">
        <f>SUM(AL15:AL114)</f>
        <v>0</v>
      </c>
      <c r="AO116" s="11">
        <f>SUM(AO15:AO114)</f>
        <v>0</v>
      </c>
      <c r="AR116" s="11">
        <f>SUM(AR15:AR114)</f>
        <v>0</v>
      </c>
      <c r="AW116" s="11">
        <f>SUM(AW15:AW114)</f>
        <v>0</v>
      </c>
      <c r="BB116" s="11">
        <f>SUM(BB15:BB114)</f>
        <v>0</v>
      </c>
      <c r="BE116" s="11">
        <f>SUM(BE15:BE114)</f>
        <v>0</v>
      </c>
      <c r="BH116" s="11">
        <f>SUM(BH15:BH114)</f>
        <v>0</v>
      </c>
      <c r="BK116" s="11">
        <f>SUM(BK15:BK114)</f>
        <v>20906766.935193654</v>
      </c>
      <c r="BL116" s="11">
        <f>SUM(BL15:BL114)</f>
        <v>4914816.7215700038</v>
      </c>
      <c r="BO116" s="11">
        <f>SUM(BO15:BO114)</f>
        <v>69849875.69593358</v>
      </c>
      <c r="BR116" s="11">
        <f>SUM(BR15:BR114)</f>
        <v>6227561.0985240052</v>
      </c>
    </row>
    <row r="117" spans="2:70" x14ac:dyDescent="0.15">
      <c r="I117" s="236" t="s">
        <v>145</v>
      </c>
      <c r="W117" s="11"/>
      <c r="Z117" s="11">
        <f ca="1">IF(ISNUMBER($F$16),SUM(INDIRECT(ADDRESS($F$16+15,COLUMN())):INDIRECT(ADDRESS(114,COLUMN()))),"")</f>
        <v>84405.439992953907</v>
      </c>
      <c r="AC117" s="11">
        <f ca="1">IF(ISNUMBER($F$16),SUM(INDIRECT(ADDRESS($F$16+15,COLUMN())):INDIRECT(ADDRESS(114,COLUMN()))),"")</f>
        <v>1159236.8185962613</v>
      </c>
      <c r="AF117" s="11">
        <f ca="1">IF(ISNUMBER($F$16),SUM(INDIRECT(ADDRESS($F$16+15,COLUMN())):INDIRECT(ADDRESS(114,COLUMN()))),"")</f>
        <v>0</v>
      </c>
      <c r="AI117" s="11">
        <f ca="1">IF(ISNUMBER($F$16),SUM(INDIRECT(ADDRESS($F$16+15,COLUMN())):INDIRECT(ADDRESS(114,COLUMN()))),"")</f>
        <v>3042807.3969870149</v>
      </c>
      <c r="AL117" s="11">
        <f ca="1">IF(ISNUMBER($F$16),SUM(INDIRECT(ADDRESS($F$16+15,COLUMN())):INDIRECT(ADDRESS(114,COLUMN()))),"")</f>
        <v>0</v>
      </c>
      <c r="AO117" s="11">
        <f ca="1">IF(ISNUMBER($F$16),SUM(INDIRECT(ADDRESS($F$16+15,COLUMN())):INDIRECT(ADDRESS(114,COLUMN()))),"")</f>
        <v>0</v>
      </c>
      <c r="AR117" s="11">
        <f ca="1">IF(ISNUMBER($F$16),SUM(INDIRECT(ADDRESS($F$16+15,COLUMN())):INDIRECT(ADDRESS(114,COLUMN()))),"")</f>
        <v>0</v>
      </c>
      <c r="AW117" s="11">
        <f ca="1">IF(ISNUMBER($F$16),SUM(INDIRECT(ADDRESS($F$16+15,COLUMN())):INDIRECT(ADDRESS(114,COLUMN()))),"")</f>
        <v>0</v>
      </c>
      <c r="BB117" s="11">
        <f ca="1">IF(ISNUMBER($F$16),SUM(INDIRECT(ADDRESS($F$16+15,COLUMN())):INDIRECT(ADDRESS(114,COLUMN()))),"")</f>
        <v>0</v>
      </c>
      <c r="BE117" s="11">
        <f ca="1">IF(ISNUMBER($F$16),SUM(INDIRECT(ADDRESS($F$16+15,COLUMN())):INDIRECT(ADDRESS(114,COLUMN()))),"")</f>
        <v>0</v>
      </c>
      <c r="BH117" s="11">
        <f ca="1">IF(ISNUMBER($F$16),SUM(INDIRECT(ADDRESS($F$16+15,COLUMN())):INDIRECT(ADDRESS(114,COLUMN()))),"")</f>
        <v>0</v>
      </c>
      <c r="BK117" s="11">
        <f ca="1">IF(ISNUMBER($F$16),SUM(INDIRECT(ADDRESS($F$16+15,COLUMN())):INDIRECT(ADDRESS(114,COLUMN()))),"")</f>
        <v>1097084.0052915672</v>
      </c>
      <c r="BL117" s="11">
        <f ca="1">IF(ISNUMBER($F$16),SUM(INDIRECT(ADDRESS($F$16+15,COLUMN())):INDIRECT(ADDRESS(114,COLUMN()))),"")</f>
        <v>0</v>
      </c>
      <c r="BO117" s="11">
        <f ca="1">IF(ISNUMBER($F$16),SUM(INDIRECT(ADDRESS($F$16+15,COLUMN())):INDIRECT(ADDRESS(114,COLUMN()))),"")</f>
        <v>0</v>
      </c>
      <c r="BR117" s="11">
        <f ca="1">IF(ISNUMBER($F$16),SUM(INDIRECT(ADDRESS($F$16+15,COLUMN())):INDIRECT(ADDRESS(114,COLUMN()))),"")</f>
        <v>855683.38457092305</v>
      </c>
    </row>
    <row r="118" spans="2:70" x14ac:dyDescent="0.15">
      <c r="C118" s="9" t="s">
        <v>529</v>
      </c>
      <c r="F118" s="44">
        <f>F22*10^4*F13*10^4+F30*10^8</f>
        <v>43000000</v>
      </c>
      <c r="G118" s="81" t="s">
        <v>208</v>
      </c>
    </row>
    <row r="120" spans="2:70" x14ac:dyDescent="0.15">
      <c r="C120" s="9" t="s">
        <v>521</v>
      </c>
      <c r="F120" s="44">
        <f>VLOOKUP(F3,'表2）法定耐用年数'!$A$2:$B$24,2,0)</f>
        <v>17</v>
      </c>
      <c r="G120" s="81" t="s">
        <v>108</v>
      </c>
    </row>
    <row r="122" spans="2:70" x14ac:dyDescent="0.15">
      <c r="C122" s="89" t="s">
        <v>522</v>
      </c>
      <c r="D122" s="101"/>
      <c r="E122" s="101"/>
      <c r="F122" s="89"/>
      <c r="G122" s="101"/>
    </row>
    <row r="124" spans="2:70" x14ac:dyDescent="0.15">
      <c r="D124" s="81" t="s">
        <v>209</v>
      </c>
      <c r="F124" s="95">
        <f>VLOOKUP($F$120,'表1）減価償却率表'!$A$9:$E$107,3,0)</f>
        <v>0.14699999999999999</v>
      </c>
    </row>
    <row r="125" spans="2:70" x14ac:dyDescent="0.15">
      <c r="D125" s="81" t="s">
        <v>210</v>
      </c>
      <c r="F125" s="95">
        <f>VLOOKUP($F$120,'表1）減価償却率表'!$A$9:$E$107,4,0)</f>
        <v>0.16700000000000001</v>
      </c>
    </row>
    <row r="126" spans="2:70" x14ac:dyDescent="0.15">
      <c r="D126" s="81" t="s">
        <v>211</v>
      </c>
      <c r="F126" s="88">
        <f>VLOOKUP($F$120,'表1）減価償却率表'!$A$9:$E$107,5,0)</f>
        <v>2.9049999999999999E-2</v>
      </c>
    </row>
    <row r="127" spans="2:70" x14ac:dyDescent="0.15">
      <c r="F127" s="96"/>
    </row>
    <row r="128" spans="2:70" x14ac:dyDescent="0.15">
      <c r="C128" s="111" t="s">
        <v>523</v>
      </c>
      <c r="D128" s="85"/>
      <c r="E128" s="114"/>
      <c r="F128" s="44">
        <f>F118*F126</f>
        <v>1249150</v>
      </c>
      <c r="G128" s="81" t="s">
        <v>208</v>
      </c>
    </row>
    <row r="130" spans="3:7" x14ac:dyDescent="0.15">
      <c r="C130" s="111" t="s">
        <v>152</v>
      </c>
      <c r="D130" s="85"/>
      <c r="E130" s="85"/>
      <c r="F130" s="95">
        <f>0.1^(1/F120)</f>
        <v>0.87332616238284333</v>
      </c>
      <c r="G130" s="85"/>
    </row>
    <row r="132" spans="3:7" x14ac:dyDescent="0.15">
      <c r="C132" s="89" t="s">
        <v>524</v>
      </c>
      <c r="D132" s="101"/>
      <c r="E132" s="101"/>
      <c r="F132" s="89"/>
      <c r="G132" s="101"/>
    </row>
    <row r="134" spans="3:7" x14ac:dyDescent="0.15">
      <c r="D134" s="81" t="s">
        <v>212</v>
      </c>
      <c r="F134" s="44">
        <f>F13*10000*24*365*F14/100</f>
        <v>376680</v>
      </c>
      <c r="G134" s="81" t="s">
        <v>213</v>
      </c>
    </row>
    <row r="135" spans="3:7" x14ac:dyDescent="0.15">
      <c r="D135" s="81" t="s">
        <v>214</v>
      </c>
      <c r="F135" s="44">
        <f>F134*(1-F25/100)</f>
        <v>376680</v>
      </c>
      <c r="G135" s="81" t="s">
        <v>213</v>
      </c>
    </row>
    <row r="136" spans="3:7" x14ac:dyDescent="0.15">
      <c r="F136" s="97"/>
    </row>
    <row r="138" spans="3:7" ht="16.5" x14ac:dyDescent="0.15">
      <c r="C138" s="9" t="s">
        <v>525</v>
      </c>
      <c r="F138" s="44">
        <f>IF(ISERROR(F134*3.6/(F24/100)/F23),0,F134*3.6/(F24/100)/F23)</f>
        <v>0</v>
      </c>
      <c r="G138" s="9" t="s">
        <v>370</v>
      </c>
    </row>
    <row r="140" spans="3:7" x14ac:dyDescent="0.15">
      <c r="C140" s="89" t="s">
        <v>526</v>
      </c>
      <c r="D140" s="101"/>
      <c r="E140" s="101"/>
      <c r="F140" s="89"/>
      <c r="G140" s="101"/>
    </row>
    <row r="142" spans="3:7" x14ac:dyDescent="0.15">
      <c r="D142" s="81" t="s">
        <v>215</v>
      </c>
      <c r="F142" s="98" t="str">
        <f>IF(OR(F3="石炭火力",F3= "LNG火力", F3="ガスコジェネ",F3="バイオマス（石炭混焼）",F3="バイオマス（木質専焼）",F3="燃料電池"),IF($F$44="需要地価格","",1000),IF(OR(F3="石油火力",F3="石油コジェネ"),IF($F$44="需要地価格","",158.987294928),""))</f>
        <v/>
      </c>
      <c r="G142" s="81" t="s">
        <v>216</v>
      </c>
    </row>
    <row r="143" spans="3:7" x14ac:dyDescent="0.15">
      <c r="D143" s="81" t="s">
        <v>180</v>
      </c>
      <c r="F143" s="91">
        <f>IF(ISERROR(F43/1000),0,F43/1000)</f>
        <v>0</v>
      </c>
      <c r="G143" s="81" t="s">
        <v>217</v>
      </c>
    </row>
    <row r="146" spans="3:7" x14ac:dyDescent="0.15">
      <c r="C146" s="9" t="s">
        <v>368</v>
      </c>
      <c r="F146" s="98">
        <f>IF(ISERROR(F134*(F48*3.6/(F24/100)/1000*(44/12))),0,F134*(F48*3.6/(F24/100)/1000*(44/12)))</f>
        <v>0</v>
      </c>
      <c r="G146" s="81" t="s">
        <v>218</v>
      </c>
    </row>
    <row r="148" spans="3:7" x14ac:dyDescent="0.15">
      <c r="C148" s="89" t="s">
        <v>369</v>
      </c>
      <c r="D148" s="101"/>
      <c r="E148" s="101"/>
      <c r="F148" s="89"/>
      <c r="G148" s="101"/>
    </row>
    <row r="150" spans="3:7" x14ac:dyDescent="0.15">
      <c r="D150" s="81" t="s">
        <v>219</v>
      </c>
      <c r="F150" s="98">
        <f>IF(ISERROR(F53/F24),0,F53/F24)</f>
        <v>0</v>
      </c>
    </row>
    <row r="151" spans="3:7" x14ac:dyDescent="0.15">
      <c r="D151" s="81" t="s">
        <v>220</v>
      </c>
      <c r="F151" s="98">
        <f>F134*F150*(F54/100)*3.6</f>
        <v>0</v>
      </c>
      <c r="G151" s="81" t="s">
        <v>221</v>
      </c>
    </row>
    <row r="152" spans="3:7" ht="16.5" x14ac:dyDescent="0.15">
      <c r="D152" s="81" t="s">
        <v>222</v>
      </c>
      <c r="F152" s="44">
        <f>IF(ISERROR(F151/(F55/100)/F56),0,F151/(F55/100)/F56)</f>
        <v>0</v>
      </c>
      <c r="G152" s="9" t="s">
        <v>370</v>
      </c>
    </row>
    <row r="153" spans="3:7" x14ac:dyDescent="0.15">
      <c r="D153" s="81" t="s">
        <v>223</v>
      </c>
      <c r="F153" s="146">
        <f>IF(ISERROR(F57/1000),0,F57/1000)</f>
        <v>0</v>
      </c>
      <c r="G153" s="81" t="s">
        <v>217</v>
      </c>
    </row>
    <row r="154" spans="3:7" x14ac:dyDescent="0.15">
      <c r="D154" s="81" t="s">
        <v>224</v>
      </c>
      <c r="F154" s="98">
        <f>IF(ISERROR(F151*F48/1000*(44/12)/(F55/100)),0,F151*F48/1000*(44/12)/(F55/100))</f>
        <v>0</v>
      </c>
      <c r="G154" s="81" t="s">
        <v>218</v>
      </c>
    </row>
  </sheetData>
  <mergeCells count="48">
    <mergeCell ref="F3:G3"/>
    <mergeCell ref="V7:AF7"/>
    <mergeCell ref="AH7:AR7"/>
    <mergeCell ref="AT7:AW7"/>
    <mergeCell ref="AY7:BB7"/>
    <mergeCell ref="AQ9:AR10"/>
    <mergeCell ref="BJ7:BO7"/>
    <mergeCell ref="BQ7:BR7"/>
    <mergeCell ref="I9:I10"/>
    <mergeCell ref="K9:K10"/>
    <mergeCell ref="M9:M10"/>
    <mergeCell ref="O9:P10"/>
    <mergeCell ref="R9:R10"/>
    <mergeCell ref="T9:T10"/>
    <mergeCell ref="V9:W10"/>
    <mergeCell ref="Y9:Z10"/>
    <mergeCell ref="BD7:BH7"/>
    <mergeCell ref="AB9:AC10"/>
    <mergeCell ref="AE9:AF10"/>
    <mergeCell ref="AH9:AI10"/>
    <mergeCell ref="AK9:AL10"/>
    <mergeCell ref="AN9:AO10"/>
    <mergeCell ref="BJ9:BL10"/>
    <mergeCell ref="BN9:BO10"/>
    <mergeCell ref="P12:P13"/>
    <mergeCell ref="W12:W13"/>
    <mergeCell ref="Z12:Z13"/>
    <mergeCell ref="AC12:AC13"/>
    <mergeCell ref="AF12:AF13"/>
    <mergeCell ref="AI12:AI13"/>
    <mergeCell ref="AL12:AL13"/>
    <mergeCell ref="AO12:AO13"/>
    <mergeCell ref="AT9:AT10"/>
    <mergeCell ref="AV9:AW10"/>
    <mergeCell ref="AY9:AY10"/>
    <mergeCell ref="BA9:BB10"/>
    <mergeCell ref="BD9:BE10"/>
    <mergeCell ref="BG9:BH10"/>
    <mergeCell ref="BK12:BK13"/>
    <mergeCell ref="BL12:BL13"/>
    <mergeCell ref="BO12:BO13"/>
    <mergeCell ref="BR12:BR13"/>
    <mergeCell ref="BJ12:BJ13"/>
    <mergeCell ref="AR12:AR13"/>
    <mergeCell ref="AW12:AW13"/>
    <mergeCell ref="BB12:BB13"/>
    <mergeCell ref="BE12:BE13"/>
    <mergeCell ref="BH12:BH13"/>
  </mergeCells>
  <phoneticPr fontId="56"/>
  <dataValidations count="4">
    <dataValidation type="list" allowBlank="1" showDropDown="1" showInputMessage="1" showErrorMessage="1" sqref="F3:G3" xr:uid="{00000000-0002-0000-1100-000000000000}">
      <formula1>"原子力,石炭火力,LNG火力,石油火力,一般水力,太陽光（事業用）,太陽光（住宅）,風力（陸上）,風力（洋上）,小水力,地熱,バイオマス（石炭混焼）,バイオマス（木質専焼）,ガスコジェネ,石油コジェネ,燃料電池"</formula1>
    </dataValidation>
    <dataValidation type="list" allowBlank="1" showDropDown="1" showInputMessage="1" showErrorMessage="1" sqref="F44" xr:uid="{00000000-0002-0000-1100-000001000000}">
      <formula1>"CIF価格, 需要地価格"</formula1>
    </dataValidation>
    <dataValidation type="whole" allowBlank="1" showInputMessage="1" showErrorMessage="1" sqref="F7" xr:uid="{00000000-0002-0000-1100-000002000000}">
      <formula1>2010</formula1>
      <formula2>2030</formula2>
    </dataValidation>
    <dataValidation type="list" allowBlank="1" showDropDown="1" showInputMessage="1" showErrorMessage="1" sqref="F49 F42" xr:uid="{00000000-0002-0000-1100-000003000000}">
      <formula1>"現行政策シナリオ, 新政策シナリオ"</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BR153"/>
  <sheetViews>
    <sheetView showGridLines="0" zoomScale="85" zoomScaleNormal="85" workbookViewId="0">
      <pane xSplit="10" ySplit="14" topLeftCell="BH15" activePane="bottomRight" state="frozen"/>
      <selection pane="topRight" activeCell="G69" sqref="G69"/>
      <selection pane="bottomLeft" activeCell="G69" sqref="G69"/>
      <selection pane="bottomRight" sqref="A1:I1048576"/>
    </sheetView>
  </sheetViews>
  <sheetFormatPr defaultColWidth="9" defaultRowHeight="14.25" outlineLevelCol="1" x14ac:dyDescent="0.15"/>
  <cols>
    <col min="1" max="3" width="6.25" style="9" customWidth="1"/>
    <col min="4" max="4" width="6.25" style="81" customWidth="1"/>
    <col min="5" max="5" width="24.375" style="81" customWidth="1"/>
    <col min="6" max="6" width="18.75" style="9" customWidth="1"/>
    <col min="7" max="7" width="24.375" style="81" bestFit="1" customWidth="1"/>
    <col min="8" max="8" width="9" style="9"/>
    <col min="9" max="9" width="6.25" style="9" customWidth="1"/>
    <col min="10" max="10" width="3" style="2" customWidth="1"/>
    <col min="11" max="11" width="6.25" style="2" customWidth="1"/>
    <col min="12" max="12" width="3" style="2" customWidth="1"/>
    <col min="13" max="13" width="6.25" style="2" customWidth="1"/>
    <col min="14" max="14" width="3" style="2" customWidth="1"/>
    <col min="15" max="15" width="17.375" style="2" bestFit="1" customWidth="1"/>
    <col min="16" max="16" width="8.625" style="2" customWidth="1"/>
    <col min="17" max="17" width="3" style="2" customWidth="1"/>
    <col min="18" max="18" width="17.375" style="2" bestFit="1" customWidth="1"/>
    <col min="19" max="19" width="3" style="2" customWidth="1"/>
    <col min="20" max="20" width="17.375" style="2" bestFit="1" customWidth="1"/>
    <col min="21" max="21" width="3" style="2" customWidth="1"/>
    <col min="22" max="22" width="15" style="2" customWidth="1" outlineLevel="1"/>
    <col min="23" max="23" width="17.375" style="2" bestFit="1" customWidth="1"/>
    <col min="24" max="24" width="3" style="2" customWidth="1"/>
    <col min="25" max="25" width="15" style="2" customWidth="1" outlineLevel="1"/>
    <col min="26" max="26" width="15" style="2" customWidth="1"/>
    <col min="27" max="27" width="3" style="2" customWidth="1"/>
    <col min="28" max="28" width="15" style="2" customWidth="1" outlineLevel="1"/>
    <col min="29" max="29" width="15" style="2" customWidth="1"/>
    <col min="30" max="30" width="3" style="2" customWidth="1"/>
    <col min="31" max="31" width="15" style="2" customWidth="1" outlineLevel="1"/>
    <col min="32" max="32" width="15" style="2" customWidth="1"/>
    <col min="33" max="33" width="3" style="2" customWidth="1"/>
    <col min="34" max="34" width="14.875" style="2" customWidth="1" outlineLevel="1"/>
    <col min="35" max="35" width="15" style="2" customWidth="1"/>
    <col min="36" max="36" width="3" style="2" customWidth="1"/>
    <col min="37" max="37" width="15" style="2" customWidth="1" outlineLevel="1"/>
    <col min="38" max="38" width="15" style="2" customWidth="1"/>
    <col min="39" max="39" width="3" style="2" customWidth="1"/>
    <col min="40" max="40" width="15" style="2" customWidth="1" outlineLevel="1"/>
    <col min="41" max="41" width="15" style="2" customWidth="1"/>
    <col min="42" max="42" width="3" style="2" customWidth="1"/>
    <col min="43" max="43" width="15" style="2" customWidth="1" outlineLevel="1"/>
    <col min="44" max="44" width="15" style="2" customWidth="1"/>
    <col min="45" max="45" width="3" style="2" customWidth="1"/>
    <col min="46" max="46" width="10.75" style="2" bestFit="1" customWidth="1"/>
    <col min="47" max="47" width="3" style="2" customWidth="1"/>
    <col min="48" max="48" width="15" style="2" customWidth="1" outlineLevel="1"/>
    <col min="49" max="49" width="17.375" style="2" bestFit="1" customWidth="1"/>
    <col min="50" max="50" width="3" style="2" customWidth="1"/>
    <col min="51" max="51" width="9.625" style="2" bestFit="1" customWidth="1"/>
    <col min="52" max="52" width="3" style="2" customWidth="1"/>
    <col min="53" max="53" width="15" style="2" customWidth="1" outlineLevel="1"/>
    <col min="54" max="54" width="17.375" style="2" bestFit="1" customWidth="1"/>
    <col min="55" max="55" width="3" style="2" customWidth="1"/>
    <col min="56" max="56" width="19.25" style="2" customWidth="1" outlineLevel="1"/>
    <col min="57" max="57" width="19.25" style="2" bestFit="1" customWidth="1"/>
    <col min="58" max="58" width="3" style="2" customWidth="1"/>
    <col min="59" max="59" width="19.25" style="2" customWidth="1" outlineLevel="1"/>
    <col min="60" max="60" width="19.25" style="2" bestFit="1" customWidth="1"/>
    <col min="61" max="61" width="3" style="71" customWidth="1"/>
    <col min="62" max="66" width="15" style="71" customWidth="1" outlineLevel="1"/>
    <col min="67" max="67" width="17.375" style="71" bestFit="1" customWidth="1"/>
    <col min="68" max="68" width="3" style="2" customWidth="1"/>
    <col min="69" max="69" width="15" style="2" customWidth="1" outlineLevel="1"/>
    <col min="70" max="70" width="17.375" style="2" bestFit="1" customWidth="1"/>
    <col min="71" max="16384" width="9" style="2"/>
  </cols>
  <sheetData>
    <row r="1" spans="1:70" ht="18.75" x14ac:dyDescent="0.15">
      <c r="A1" s="465" t="s">
        <v>60</v>
      </c>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P1" s="71"/>
      <c r="BQ1" s="71"/>
      <c r="BR1" s="71"/>
    </row>
    <row r="3" spans="1:70" ht="23.25" x14ac:dyDescent="0.15">
      <c r="B3" s="462" t="s">
        <v>517</v>
      </c>
      <c r="F3" s="728" t="s">
        <v>237</v>
      </c>
      <c r="G3" s="725"/>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P3" s="71"/>
      <c r="BQ3" s="71"/>
      <c r="BR3" s="71"/>
    </row>
    <row r="4" spans="1:70" x14ac:dyDescent="0.15">
      <c r="G4" s="112"/>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P4" s="71"/>
      <c r="BQ4" s="71"/>
      <c r="BR4" s="71"/>
    </row>
    <row r="5" spans="1:70" ht="15.75" thickBot="1" x14ac:dyDescent="0.2">
      <c r="B5" s="460" t="s">
        <v>518</v>
      </c>
      <c r="C5" s="86"/>
      <c r="D5" s="104"/>
      <c r="E5" s="104"/>
      <c r="F5" s="86"/>
      <c r="G5" s="104"/>
      <c r="I5" s="460" t="s">
        <v>531</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111"/>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9" t="s">
        <v>65</v>
      </c>
      <c r="F7" s="87">
        <v>2020</v>
      </c>
      <c r="I7" s="111"/>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9" t="s">
        <v>519</v>
      </c>
      <c r="F8" s="88">
        <f>まとめ!B3</f>
        <v>107</v>
      </c>
      <c r="G8" s="81" t="s">
        <v>171</v>
      </c>
      <c r="I8" s="111"/>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9" t="s">
        <v>520</v>
      </c>
      <c r="F9" s="88">
        <f>まとめ!B2</f>
        <v>3</v>
      </c>
      <c r="G9" s="81" t="s">
        <v>172</v>
      </c>
      <c r="I9" s="726" t="s">
        <v>532</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09" t="s">
        <v>238</v>
      </c>
      <c r="AI9" s="707"/>
      <c r="AJ9" s="8"/>
      <c r="AK9" s="707"/>
      <c r="AL9" s="707"/>
      <c r="AM9" s="8"/>
      <c r="AN9" s="707"/>
      <c r="AO9" s="707"/>
      <c r="AP9" s="8"/>
      <c r="AQ9" s="707"/>
      <c r="AR9" s="707"/>
      <c r="AS9" s="8"/>
      <c r="AT9" s="707" t="s">
        <v>92</v>
      </c>
      <c r="AU9" s="8"/>
      <c r="AV9" s="707" t="s">
        <v>69</v>
      </c>
      <c r="AW9" s="707"/>
      <c r="AX9" s="322"/>
      <c r="AY9" s="720" t="s">
        <v>93</v>
      </c>
      <c r="AZ9" s="8"/>
      <c r="BA9" s="720" t="s">
        <v>70</v>
      </c>
      <c r="BB9" s="720"/>
      <c r="BC9" s="8"/>
      <c r="BD9" s="707" t="s">
        <v>69</v>
      </c>
      <c r="BE9" s="707"/>
      <c r="BF9" s="8"/>
      <c r="BG9" s="707" t="s">
        <v>70</v>
      </c>
      <c r="BH9" s="707"/>
      <c r="BI9" s="8"/>
      <c r="BJ9" s="322"/>
      <c r="BK9" s="322"/>
      <c r="BL9" s="322"/>
      <c r="BM9" s="322"/>
      <c r="BN9" s="322"/>
      <c r="BO9" s="322"/>
      <c r="BP9" s="8"/>
      <c r="BQ9" s="322"/>
      <c r="BR9" s="322"/>
    </row>
    <row r="10" spans="1:70" x14ac:dyDescent="0.15">
      <c r="I10" s="727"/>
      <c r="J10" s="71"/>
      <c r="K10" s="708"/>
      <c r="L10" s="71"/>
      <c r="M10" s="708"/>
      <c r="N10" s="71"/>
      <c r="O10" s="717"/>
      <c r="P10" s="717"/>
      <c r="Q10" s="71"/>
      <c r="R10" s="708"/>
      <c r="S10" s="71"/>
      <c r="T10" s="708"/>
      <c r="U10" s="71"/>
      <c r="V10" s="717"/>
      <c r="W10" s="717"/>
      <c r="X10" s="71"/>
      <c r="Y10" s="717"/>
      <c r="Z10" s="717"/>
      <c r="AA10" s="71"/>
      <c r="AB10" s="723"/>
      <c r="AC10" s="723"/>
      <c r="AD10" s="81"/>
      <c r="AE10" s="723"/>
      <c r="AF10" s="723"/>
      <c r="AG10" s="71"/>
      <c r="AH10" s="717"/>
      <c r="AI10" s="717"/>
      <c r="AJ10" s="71"/>
      <c r="AK10" s="717"/>
      <c r="AL10" s="717"/>
      <c r="AM10" s="71"/>
      <c r="AN10" s="717"/>
      <c r="AO10" s="717"/>
      <c r="AP10" s="71"/>
      <c r="AQ10" s="717"/>
      <c r="AR10" s="717"/>
      <c r="AS10" s="71"/>
      <c r="AT10" s="717"/>
      <c r="AU10" s="71"/>
      <c r="AV10" s="717"/>
      <c r="AW10" s="717"/>
      <c r="AX10" s="322"/>
      <c r="AY10" s="708"/>
      <c r="AZ10" s="71"/>
      <c r="BA10" s="708"/>
      <c r="BB10" s="708"/>
      <c r="BC10" s="71"/>
      <c r="BD10" s="717"/>
      <c r="BE10" s="717"/>
      <c r="BF10" s="71"/>
      <c r="BG10" s="717"/>
      <c r="BH10" s="717"/>
      <c r="BJ10" s="322"/>
      <c r="BK10" s="322"/>
      <c r="BL10" s="322"/>
      <c r="BM10" s="322"/>
      <c r="BN10" s="322"/>
      <c r="BO10" s="322"/>
      <c r="BP10" s="71"/>
      <c r="BQ10" s="322"/>
      <c r="BR10" s="322"/>
    </row>
    <row r="11" spans="1:70" ht="15.75" customHeight="1" thickBot="1" x14ac:dyDescent="0.2">
      <c r="B11" s="460" t="s">
        <v>95</v>
      </c>
      <c r="C11" s="86"/>
      <c r="D11" s="104"/>
      <c r="E11" s="104"/>
      <c r="F11" s="86"/>
      <c r="G11" s="104"/>
      <c r="J11" s="71"/>
      <c r="K11" s="71"/>
      <c r="L11" s="71"/>
      <c r="M11" s="71"/>
      <c r="N11" s="71"/>
      <c r="O11" s="322" t="s">
        <v>96</v>
      </c>
      <c r="P11" s="322"/>
      <c r="Q11" s="322"/>
      <c r="R11" s="322" t="s">
        <v>96</v>
      </c>
      <c r="S11" s="322"/>
      <c r="T11" s="322"/>
      <c r="U11" s="71"/>
      <c r="V11" s="322"/>
      <c r="W11" s="322"/>
      <c r="X11" s="71"/>
      <c r="Y11" s="322"/>
      <c r="Z11" s="322"/>
      <c r="AA11" s="71"/>
      <c r="AB11" s="322"/>
      <c r="AC11" s="322"/>
      <c r="AD11" s="71"/>
      <c r="AE11" s="322"/>
      <c r="AF11" s="322"/>
      <c r="AG11" s="71"/>
      <c r="AH11" s="322"/>
      <c r="AI11" s="322"/>
      <c r="AJ11" s="71"/>
      <c r="AK11" s="322"/>
      <c r="AL11" s="322"/>
      <c r="AM11" s="71"/>
      <c r="AN11" s="322"/>
      <c r="AO11" s="322"/>
      <c r="AP11" s="71"/>
      <c r="AQ11" s="322"/>
      <c r="AR11" s="322"/>
      <c r="AS11" s="71"/>
      <c r="AT11" s="322"/>
      <c r="AU11" s="71"/>
      <c r="AV11" s="322"/>
      <c r="AW11" s="322"/>
      <c r="AX11" s="322"/>
      <c r="AY11" s="71"/>
      <c r="AZ11" s="71"/>
      <c r="BA11" s="71"/>
      <c r="BB11" s="322"/>
      <c r="BC11" s="71"/>
      <c r="BD11" s="322"/>
      <c r="BE11" s="322"/>
      <c r="BF11" s="71"/>
      <c r="BG11" s="322"/>
      <c r="BH11" s="322"/>
      <c r="BJ11" s="322"/>
      <c r="BK11" s="322"/>
      <c r="BL11" s="322"/>
      <c r="BM11" s="322"/>
      <c r="BN11" s="322"/>
      <c r="BO11" s="322"/>
      <c r="BP11" s="71"/>
      <c r="BQ11" s="322"/>
      <c r="BR11" s="322"/>
    </row>
    <row r="12" spans="1:70" ht="14.25" customHeight="1" x14ac:dyDescent="0.15">
      <c r="J12" s="71"/>
      <c r="K12" s="71"/>
      <c r="L12" s="71"/>
      <c r="M12" s="71"/>
      <c r="N12" s="71"/>
      <c r="O12" s="322"/>
      <c r="P12" s="707" t="s">
        <v>97</v>
      </c>
      <c r="Q12" s="71"/>
      <c r="R12" s="71"/>
      <c r="S12" s="71"/>
      <c r="T12" s="71"/>
      <c r="U12" s="71"/>
      <c r="V12" s="71"/>
      <c r="W12" s="707" t="s">
        <v>98</v>
      </c>
      <c r="X12" s="71"/>
      <c r="Y12" s="71"/>
      <c r="Z12" s="707" t="s">
        <v>98</v>
      </c>
      <c r="AA12" s="71"/>
      <c r="AB12" s="71"/>
      <c r="AC12" s="707" t="s">
        <v>98</v>
      </c>
      <c r="AD12" s="71"/>
      <c r="AE12" s="71"/>
      <c r="AF12" s="707" t="s">
        <v>98</v>
      </c>
      <c r="AG12" s="71"/>
      <c r="AH12" s="71"/>
      <c r="AI12" s="707" t="s">
        <v>98</v>
      </c>
      <c r="AJ12" s="71"/>
      <c r="AK12" s="71"/>
      <c r="AL12" s="707" t="s">
        <v>98</v>
      </c>
      <c r="AM12" s="71"/>
      <c r="AN12" s="71"/>
      <c r="AO12" s="707" t="s">
        <v>98</v>
      </c>
      <c r="AP12" s="71"/>
      <c r="AQ12" s="71"/>
      <c r="AR12" s="707" t="s">
        <v>98</v>
      </c>
      <c r="AS12" s="71"/>
      <c r="AT12" s="71"/>
      <c r="AU12" s="71"/>
      <c r="AV12" s="71"/>
      <c r="AW12" s="707" t="s">
        <v>98</v>
      </c>
      <c r="AX12" s="71"/>
      <c r="AY12" s="71"/>
      <c r="AZ12" s="71"/>
      <c r="BA12" s="71"/>
      <c r="BB12" s="707" t="s">
        <v>98</v>
      </c>
      <c r="BC12" s="71"/>
      <c r="BD12" s="71"/>
      <c r="BE12" s="707" t="s">
        <v>98</v>
      </c>
      <c r="BF12" s="71"/>
      <c r="BG12" s="71"/>
      <c r="BH12" s="707" t="s">
        <v>98</v>
      </c>
      <c r="BO12" s="709" t="s">
        <v>102</v>
      </c>
      <c r="BP12" s="71"/>
      <c r="BQ12" s="71"/>
      <c r="BR12" s="707" t="s">
        <v>103</v>
      </c>
    </row>
    <row r="13" spans="1:70" ht="14.25" customHeight="1" x14ac:dyDescent="0.15">
      <c r="C13" s="9" t="s">
        <v>504</v>
      </c>
      <c r="F13" s="66">
        <v>5.0000000000000001E-4</v>
      </c>
      <c r="G13" s="81" t="s">
        <v>173</v>
      </c>
      <c r="J13" s="71"/>
      <c r="K13" s="71"/>
      <c r="L13" s="71"/>
      <c r="M13" s="71"/>
      <c r="N13" s="71"/>
      <c r="O13" s="322"/>
      <c r="P13" s="708"/>
      <c r="Q13" s="322"/>
      <c r="R13" s="322"/>
      <c r="S13" s="322"/>
      <c r="T13" s="322"/>
      <c r="U13" s="71"/>
      <c r="V13" s="322"/>
      <c r="W13" s="708"/>
      <c r="X13" s="71"/>
      <c r="Y13" s="322"/>
      <c r="Z13" s="708"/>
      <c r="AA13" s="71"/>
      <c r="AB13" s="322"/>
      <c r="AC13" s="708"/>
      <c r="AD13" s="71"/>
      <c r="AE13" s="322"/>
      <c r="AF13" s="708"/>
      <c r="AG13" s="71"/>
      <c r="AH13" s="322"/>
      <c r="AI13" s="708"/>
      <c r="AJ13" s="71"/>
      <c r="AK13" s="322"/>
      <c r="AL13" s="708"/>
      <c r="AM13" s="71"/>
      <c r="AN13" s="322"/>
      <c r="AO13" s="708"/>
      <c r="AP13" s="71"/>
      <c r="AQ13" s="322"/>
      <c r="AR13" s="708"/>
      <c r="AS13" s="71"/>
      <c r="AT13" s="322"/>
      <c r="AU13" s="71"/>
      <c r="AV13" s="322"/>
      <c r="AW13" s="708"/>
      <c r="AX13" s="71"/>
      <c r="AY13" s="71"/>
      <c r="AZ13" s="71"/>
      <c r="BA13" s="71"/>
      <c r="BB13" s="708"/>
      <c r="BC13" s="71"/>
      <c r="BD13" s="322"/>
      <c r="BE13" s="708"/>
      <c r="BF13" s="71"/>
      <c r="BG13" s="322"/>
      <c r="BH13" s="708"/>
      <c r="BJ13" s="322"/>
      <c r="BK13" s="322"/>
      <c r="BL13" s="322"/>
      <c r="BM13" s="322"/>
      <c r="BN13" s="322"/>
      <c r="BO13" s="708"/>
      <c r="BP13" s="71"/>
      <c r="BQ13" s="322"/>
      <c r="BR13" s="708"/>
    </row>
    <row r="14" spans="1:70" ht="16.5" x14ac:dyDescent="0.15">
      <c r="C14" s="9" t="s">
        <v>505</v>
      </c>
      <c r="F14" s="88">
        <f>VLOOKUP(F3&amp;IF(G4&lt;&gt;"","_"&amp;G4,""),まとめ!$A$12:$G$34,IF(F7=2030,4,IF(F7=2020,3,IF(F7=2014,2,"-"))),0)</f>
        <v>13.8</v>
      </c>
      <c r="G14" s="81" t="s">
        <v>172</v>
      </c>
      <c r="J14" s="71"/>
      <c r="K14" s="71"/>
      <c r="L14" s="71"/>
      <c r="M14" s="71"/>
      <c r="N14" s="71"/>
      <c r="O14" s="322"/>
      <c r="P14" s="322"/>
      <c r="Q14" s="322"/>
      <c r="R14" s="322"/>
      <c r="S14" s="322"/>
      <c r="T14" s="322"/>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50" t="s">
        <v>104</v>
      </c>
      <c r="AU14" s="71"/>
      <c r="AV14" s="71"/>
      <c r="AW14" s="71"/>
      <c r="AX14" s="71"/>
      <c r="AY14" s="71" t="s">
        <v>105</v>
      </c>
      <c r="AZ14" s="71"/>
      <c r="BA14" s="71"/>
      <c r="BB14" s="71"/>
      <c r="BC14" s="71"/>
      <c r="BD14" s="71"/>
      <c r="BE14" s="71"/>
      <c r="BF14" s="71"/>
      <c r="BG14" s="71"/>
      <c r="BH14" s="71"/>
      <c r="BP14" s="71"/>
      <c r="BQ14" s="71"/>
      <c r="BR14" s="71"/>
    </row>
    <row r="15" spans="1:70" x14ac:dyDescent="0.15">
      <c r="C15" s="9" t="s">
        <v>506</v>
      </c>
      <c r="F15" s="88">
        <f>VLOOKUP(F3&amp;IF(G4&lt;&gt;"","_"&amp;G4,""),まとめ!$A$12:$G$34,IF(F7=2030,7,IF(F7=2020,6,IF(F7=2014,5,"-"))),0)</f>
        <v>25</v>
      </c>
      <c r="G15" s="81" t="s">
        <v>108</v>
      </c>
      <c r="I15" s="458">
        <f>F7</f>
        <v>2020</v>
      </c>
      <c r="J15" s="39"/>
      <c r="K15" s="39">
        <f>IF(I15&lt;&gt;"",1,"")</f>
        <v>1</v>
      </c>
      <c r="L15" s="39"/>
      <c r="M15" s="40">
        <f t="shared" ref="M15:M78" si="0">1/(1+($F$9/100))^K15</f>
        <v>0.970873786407767</v>
      </c>
      <c r="N15" s="39"/>
      <c r="O15" s="72">
        <f>F117</f>
        <v>1505000</v>
      </c>
      <c r="P15" s="41">
        <f t="shared" ref="P15:P46" si="1">IF(K15&lt;=$F$15,IF(OR(P14=$F$124,P14="-"),"-",IF(O15*$F$123&gt;$F$127,$F$123,$F$124)),"")</f>
        <v>0.14699999999999999</v>
      </c>
      <c r="Q15" s="39"/>
      <c r="R15" s="72">
        <f>F117</f>
        <v>1505000</v>
      </c>
      <c r="S15" s="39"/>
      <c r="T15" s="72">
        <f>IF(ISNUMBER(R15),ROUNDDOWN(R15,-3),"")</f>
        <v>1505000</v>
      </c>
      <c r="U15" s="39"/>
      <c r="V15" s="72">
        <f t="shared" ref="V15:V46" si="2">IF(K15&lt;=$F$15,IF(K15&lt;$F$119,IF(P15="-",V14,O15*P15),IF(K15=$F$119,MIN(IF(P15="-",V14,O15*P15),O15),0)),"")</f>
        <v>221235</v>
      </c>
      <c r="W15" s="72">
        <f>IF(ISNUMBER(V15),V15*$M15,"")</f>
        <v>214791.26213592233</v>
      </c>
      <c r="X15" s="39"/>
      <c r="Y15" s="72">
        <f t="shared" ref="Y15:Y46" si="3">IF($K15&lt;=$F$15,ROUNDDOWN(T15*$F$25/100,-2),"")</f>
        <v>0</v>
      </c>
      <c r="Z15" s="72">
        <f>IF(ISNUMBER(Y15),Y15*$M15,"")</f>
        <v>0</v>
      </c>
      <c r="AA15" s="39"/>
      <c r="AB15" s="72">
        <f t="shared" ref="AB15:AB78" si="4">IF($K15&lt;=$F$15,0,IF(AND($K15&gt;$F$15,$K15&lt;=$F$15+$F$28),$F$27*10^8/$F$28,""))</f>
        <v>0</v>
      </c>
      <c r="AC15" s="72">
        <f>IF(ISNUMBER(AB15),AB15*$M15,"")</f>
        <v>0</v>
      </c>
      <c r="AD15" s="39"/>
      <c r="AE15" s="72">
        <f t="shared" ref="AE15:AE46" si="5">IF($K15&lt;=$F$15,$F$26,"")</f>
        <v>0</v>
      </c>
      <c r="AF15" s="72">
        <f>IF(ISNUMBER(AE15),AE15*$M15,"")</f>
        <v>0</v>
      </c>
      <c r="AG15" s="39"/>
      <c r="AH15" s="72">
        <f>IF($K15&lt;=$F$15,$F$33*10^4*$F$13*10^4,"")</f>
        <v>15000</v>
      </c>
      <c r="AI15" s="72">
        <f>IF(ISNUMBER(AH15),AH15*$M15,"")</f>
        <v>14563.106796116504</v>
      </c>
      <c r="AJ15" s="39"/>
      <c r="AK15" s="72">
        <f>IF($K15&lt;=$F$15,$F$34*10^4*$F$13*10^4,"")</f>
        <v>0</v>
      </c>
      <c r="AL15" s="72">
        <f>IF(ISNUMBER(AK15),AK15*$M15,"")</f>
        <v>0</v>
      </c>
      <c r="AM15" s="39"/>
      <c r="AN15" s="72">
        <f t="shared" ref="AN15:AN46" si="6">IF($K15&lt;=$F$15,$F$117*$F$35/100,"")</f>
        <v>0</v>
      </c>
      <c r="AO15" s="72">
        <f>IF(ISNUMBER(AN15),AN15*$M15,"")</f>
        <v>0</v>
      </c>
      <c r="AP15" s="39"/>
      <c r="AQ15" s="72">
        <f t="shared" ref="AQ15:AQ46" si="7">IF($K15&lt;=$F$15,SUM(AH15,AK15,AN15)*($F$36/100),"")</f>
        <v>0</v>
      </c>
      <c r="AR15" s="72">
        <f>IF(ISNUMBER(AQ15),AQ15*$M15,"")</f>
        <v>0</v>
      </c>
      <c r="AS15" s="39"/>
      <c r="AT15" s="40">
        <f>IF($K15&lt;=$F$15,IF($F$40&lt;&gt;"",$F$40/1000,IF(ISERROR(VLOOKUP($F$3&amp;IF($G$4&lt;&gt;"",$G$4,"")&amp;IF($F$43&lt;&gt;"","_"&amp;$F$43,""),'表3）燃料価格'!$AF$9:$AG$25,2,0)),0,VLOOKUP($I15,'表3）燃料価格'!$A$6:$U$66,VLOOKUP($F$3&amp;IF($G$4&lt;&gt;"",$G$4,"")&amp;IF($F$43&lt;&gt;"","_"&amp;$F$43,""),'表3）燃料価格'!$AF$9:$AG$25,2,0)+VLOOKUP($F$41,'表3）燃料価格'!$AF$28:$AG$29,2,0),0)*IF($F$43="需要地価格",1,$F$8/$F$141))),"")</f>
        <v>0</v>
      </c>
      <c r="AU15" s="39"/>
      <c r="AV15" s="72">
        <f t="shared" ref="AV15:AV46" si="8">IF($K15&lt;=$F$15,($AT15+$F$142)*$F$137,"")</f>
        <v>0</v>
      </c>
      <c r="AW15" s="72">
        <f>IF(ISNUMBER(AV15),AV15*$M15,"")</f>
        <v>0</v>
      </c>
      <c r="AX15" s="39"/>
      <c r="AY15" s="40">
        <f>IF(ISERROR(IF($K15&lt;=$F$15,VLOOKUP($I15,'表4）CO2価格'!$A$7:$E$67,VLOOKUP($F$48,'表4）CO2価格'!$H$10:$I$12,2,0),0)*$F$8/1000,"")),0,IF($K15&lt;=$F$15,VLOOKUP($I15,'表4）CO2価格'!$A$7:$E$67,VLOOKUP($F$48,'表4）CO2価格'!$H$10:$I$12,2,0),0)*$F$8/1000,""))</f>
        <v>0</v>
      </c>
      <c r="AZ15" s="39"/>
      <c r="BA15" s="42">
        <f t="shared" ref="BA15:BA46" si="9">IF($K15&lt;=$F$15,$F$145*AY15,"")</f>
        <v>0</v>
      </c>
      <c r="BB15" s="72">
        <f>IF(ISNUMBER(BA15),BA15*$M15,"")</f>
        <v>0</v>
      </c>
      <c r="BC15" s="39"/>
      <c r="BD15" s="72">
        <f t="shared" ref="BD15:BD46" si="10">IF($K15&lt;=$F$15,($AT15+$F$152)*$F$151,"")</f>
        <v>0</v>
      </c>
      <c r="BE15" s="72">
        <f>IF(ISNUMBER(BD15),BD15*$M15,"")</f>
        <v>0</v>
      </c>
      <c r="BF15" s="39"/>
      <c r="BG15" s="42">
        <f t="shared" ref="BG15:BG46" si="11">IF($K15&lt;=$F$15,$F$153*AY15,"")</f>
        <v>0</v>
      </c>
      <c r="BH15" s="72">
        <f>IF(ISNUMBER(BG15),BG15*$M15,"")</f>
        <v>0</v>
      </c>
      <c r="BI15" s="39"/>
      <c r="BJ15" s="72"/>
      <c r="BK15" s="157"/>
      <c r="BL15" s="157"/>
      <c r="BM15" s="72"/>
      <c r="BN15" s="72"/>
      <c r="BO15" s="72"/>
      <c r="BP15" s="39"/>
      <c r="BQ15" s="72">
        <f t="shared" ref="BQ15:BQ46" si="12">IF($K15&lt;=$F$15,$F$134,"")</f>
        <v>6044.4</v>
      </c>
      <c r="BR15" s="72">
        <f>IF(ISNUMBER(BQ15),BQ15*$M15,"")</f>
        <v>5868.3495145631068</v>
      </c>
    </row>
    <row r="16" spans="1:70" x14ac:dyDescent="0.15">
      <c r="C16" s="236" t="s">
        <v>107</v>
      </c>
      <c r="F16" s="88">
        <f>IF(ISERROR(VLOOKUP(F3&amp;IF(G4&lt;&gt;"","_"&amp;G4,""),'表7）買取期間・IRR'!$A$3:$A$10,1,0)),"",VLOOKUP(F3&amp;IF(G4&lt;&gt;"","_"&amp;G4,""),'表7）買取期間・IRR'!$A$3:$C$10,IF(F7=2030,3,IF(F7=2020,3,IF(F7=2014,2,"-"))),0))</f>
        <v>10</v>
      </c>
      <c r="G16" s="81" t="s">
        <v>108</v>
      </c>
      <c r="I16" s="459">
        <f>I15+1</f>
        <v>2021</v>
      </c>
      <c r="J16" s="71"/>
      <c r="K16" s="71">
        <f>IF(I16&lt;&gt;"",K15+1,"")</f>
        <v>2</v>
      </c>
      <c r="L16" s="71"/>
      <c r="M16" s="7">
        <f t="shared" si="0"/>
        <v>0.94259590913375435</v>
      </c>
      <c r="N16" s="71"/>
      <c r="O16" s="10">
        <f t="shared" ref="O16:O79" si="13">IF(K16&lt;=$F$15,O15-V15,"")</f>
        <v>1283765</v>
      </c>
      <c r="P16" s="29">
        <f t="shared" si="1"/>
        <v>0.14699999999999999</v>
      </c>
      <c r="Q16" s="71"/>
      <c r="R16" s="10">
        <f t="shared" ref="R16:R47" si="14">IF($K16&lt;=$F$15,MAX($F$117*5%,R15*$F$129),"")</f>
        <v>1314355.8743861793</v>
      </c>
      <c r="S16" s="71"/>
      <c r="T16" s="10">
        <f t="shared" ref="T16:T79" si="15">IF(ISNUMBER(R16),ROUNDDOWN(R16,-3),"")</f>
        <v>1314000</v>
      </c>
      <c r="U16" s="71"/>
      <c r="V16" s="10">
        <f t="shared" si="2"/>
        <v>188713.45499999999</v>
      </c>
      <c r="W16" s="10">
        <f t="shared" ref="W16:W79" si="16">IF(ISNUMBER(V16),V16*$M16,"")</f>
        <v>177880.53068149684</v>
      </c>
      <c r="X16" s="71"/>
      <c r="Y16" s="10">
        <f t="shared" si="3"/>
        <v>0</v>
      </c>
      <c r="Z16" s="10">
        <f t="shared" ref="Z16:Z79" si="17">IF(ISNUMBER(Y16),Y16*$M16,"")</f>
        <v>0</v>
      </c>
      <c r="AA16" s="71"/>
      <c r="AB16" s="10">
        <f t="shared" si="4"/>
        <v>0</v>
      </c>
      <c r="AC16" s="10">
        <f t="shared" ref="AC16:AC79" si="18">IF(ISNUMBER(AB16),AB16*$M16,"")</f>
        <v>0</v>
      </c>
      <c r="AD16" s="71"/>
      <c r="AE16" s="10">
        <f t="shared" si="5"/>
        <v>0</v>
      </c>
      <c r="AF16" s="10">
        <f t="shared" ref="AF16:AF79" si="19">IF(ISNUMBER(AE16),AE16*$M16,"")</f>
        <v>0</v>
      </c>
      <c r="AG16" s="71"/>
      <c r="AH16" s="72">
        <f t="shared" ref="AH16:AH39" si="20">IF($K16&lt;=$F$15,$F$33*10^4*$F$13*10^4,"")</f>
        <v>15000</v>
      </c>
      <c r="AI16" s="10">
        <f t="shared" ref="AI16:AI79" si="21">IF(ISNUMBER(AH16),AH16*$M16,"")</f>
        <v>14138.938637006315</v>
      </c>
      <c r="AJ16" s="71"/>
      <c r="AK16" s="10">
        <f t="shared" ref="AK16:AK79" si="22">IF($K16&lt;=$F$15,$F$34*10^4*$F$13*10^4,"")</f>
        <v>0</v>
      </c>
      <c r="AL16" s="10">
        <f t="shared" ref="AL16:AL79" si="23">IF(ISNUMBER(AK16),AK16*$M16,"")</f>
        <v>0</v>
      </c>
      <c r="AM16" s="71"/>
      <c r="AN16" s="10">
        <f t="shared" si="6"/>
        <v>0</v>
      </c>
      <c r="AO16" s="10">
        <f t="shared" ref="AO16:AO79" si="24">IF(ISNUMBER(AN16),AN16*$M16,"")</f>
        <v>0</v>
      </c>
      <c r="AP16" s="71"/>
      <c r="AQ16" s="10">
        <f t="shared" si="7"/>
        <v>0</v>
      </c>
      <c r="AR16" s="10">
        <f t="shared" ref="AR16:AR79" si="25">IF(ISNUMBER(AQ16),AQ16*$M16,"")</f>
        <v>0</v>
      </c>
      <c r="AS16" s="71"/>
      <c r="AT16" s="7">
        <f>IF($K16&lt;=$F$15,IF($F$40&lt;&gt;"",$F$40/1000,IF(ISERROR(VLOOKUP($F$3&amp;IF($G$4&lt;&gt;"",$G$4,"")&amp;IF($F$43&lt;&gt;"","_"&amp;$F$43,""),'表3）燃料価格'!$AF$9:$AG$25,2,0)),0,VLOOKUP($I16,'表3）燃料価格'!$A$6:$U$66,VLOOKUP($F$3&amp;IF($G$4&lt;&gt;"",$G$4,"")&amp;IF($F$43&lt;&gt;"","_"&amp;$F$43,""),'表3）燃料価格'!$AF$9:$AG$25,2,0)+VLOOKUP($F$41,'表3）燃料価格'!$AF$28:$AG$29,2,0),0)*IF($F$43="需要地価格",1,$F$8/$F$141))),"")</f>
        <v>0</v>
      </c>
      <c r="AU16" s="71"/>
      <c r="AV16" s="10">
        <f t="shared" si="8"/>
        <v>0</v>
      </c>
      <c r="AW16" s="10">
        <f t="shared" ref="AW16:AW79" si="26">IF(ISNUMBER(AV16),AV16*$M16,"")</f>
        <v>0</v>
      </c>
      <c r="AX16" s="71"/>
      <c r="AY16" s="7">
        <f>IF(ISERROR(IF($K16&lt;=$F$15,VLOOKUP($I16,'表4）CO2価格'!$A$7:$E$67,VLOOKUP($F$48,'表4）CO2価格'!$H$10:$I$12,2,0),0)*$F$8/1000,"")),0,IF($K16&lt;=$F$15,VLOOKUP($I16,'表4）CO2価格'!$A$7:$E$67,VLOOKUP($F$48,'表4）CO2価格'!$H$10:$I$12,2,0),0)*$F$8/1000,""))</f>
        <v>0</v>
      </c>
      <c r="AZ16" s="71"/>
      <c r="BA16" s="11">
        <f t="shared" si="9"/>
        <v>0</v>
      </c>
      <c r="BB16" s="10">
        <f t="shared" ref="BB16:BB79" si="27">IF(ISNUMBER(BA16),BA16*$M16,"")</f>
        <v>0</v>
      </c>
      <c r="BC16" s="71"/>
      <c r="BD16" s="10">
        <f t="shared" si="10"/>
        <v>0</v>
      </c>
      <c r="BE16" s="10">
        <f t="shared" ref="BE16:BE79" si="28">IF(ISNUMBER(BD16),BD16*$M16,"")</f>
        <v>0</v>
      </c>
      <c r="BF16" s="71"/>
      <c r="BG16" s="11">
        <f t="shared" si="11"/>
        <v>0</v>
      </c>
      <c r="BH16" s="10">
        <f t="shared" ref="BH16:BH79" si="29">IF(ISNUMBER(BG16),BG16*$M16,"")</f>
        <v>0</v>
      </c>
      <c r="BJ16" s="10"/>
      <c r="BK16" s="158"/>
      <c r="BL16" s="158"/>
      <c r="BM16" s="10"/>
      <c r="BN16" s="10"/>
      <c r="BO16" s="10"/>
      <c r="BP16" s="71"/>
      <c r="BQ16" s="10">
        <f t="shared" si="12"/>
        <v>6044.4</v>
      </c>
      <c r="BR16" s="10">
        <f t="shared" ref="BR16:BR79" si="30">IF(ISNUMBER(BQ16),BQ16*$M16,"")</f>
        <v>5697.4267131680645</v>
      </c>
    </row>
    <row r="17" spans="3:70" x14ac:dyDescent="0.15">
      <c r="C17" s="236" t="s">
        <v>239</v>
      </c>
      <c r="F17" s="143">
        <v>21</v>
      </c>
      <c r="G17" s="82" t="s">
        <v>240</v>
      </c>
      <c r="I17" s="458">
        <f t="shared" ref="I17:I80" si="31">I16+1</f>
        <v>2022</v>
      </c>
      <c r="J17" s="39"/>
      <c r="K17" s="39">
        <f t="shared" ref="K17:K80" si="32">IF(I17&lt;&gt;"",K16+1,"")</f>
        <v>3</v>
      </c>
      <c r="L17" s="39"/>
      <c r="M17" s="40">
        <f t="shared" si="0"/>
        <v>0.91514165935315961</v>
      </c>
      <c r="N17" s="39"/>
      <c r="O17" s="72">
        <f t="shared" si="13"/>
        <v>1095051.5449999999</v>
      </c>
      <c r="P17" s="41">
        <f t="shared" si="1"/>
        <v>0.14699999999999999</v>
      </c>
      <c r="Q17" s="39"/>
      <c r="R17" s="72">
        <f t="shared" si="14"/>
        <v>1147861.3717830284</v>
      </c>
      <c r="S17" s="39"/>
      <c r="T17" s="72">
        <f t="shared" si="15"/>
        <v>1147000</v>
      </c>
      <c r="U17" s="39"/>
      <c r="V17" s="72">
        <f t="shared" si="2"/>
        <v>160972.57711499999</v>
      </c>
      <c r="W17" s="72">
        <f t="shared" si="16"/>
        <v>147312.71133137553</v>
      </c>
      <c r="X17" s="39"/>
      <c r="Y17" s="72">
        <f t="shared" si="3"/>
        <v>0</v>
      </c>
      <c r="Z17" s="72">
        <f t="shared" si="17"/>
        <v>0</v>
      </c>
      <c r="AA17" s="39"/>
      <c r="AB17" s="72">
        <f t="shared" si="4"/>
        <v>0</v>
      </c>
      <c r="AC17" s="72">
        <f t="shared" si="18"/>
        <v>0</v>
      </c>
      <c r="AD17" s="39"/>
      <c r="AE17" s="72">
        <f t="shared" si="5"/>
        <v>0</v>
      </c>
      <c r="AF17" s="72">
        <f t="shared" si="19"/>
        <v>0</v>
      </c>
      <c r="AG17" s="39"/>
      <c r="AH17" s="72">
        <f t="shared" si="20"/>
        <v>15000</v>
      </c>
      <c r="AI17" s="72">
        <f t="shared" si="21"/>
        <v>13727.124890297395</v>
      </c>
      <c r="AJ17" s="39"/>
      <c r="AK17" s="72">
        <f t="shared" si="22"/>
        <v>0</v>
      </c>
      <c r="AL17" s="72">
        <f t="shared" si="23"/>
        <v>0</v>
      </c>
      <c r="AM17" s="39"/>
      <c r="AN17" s="72">
        <f t="shared" si="6"/>
        <v>0</v>
      </c>
      <c r="AO17" s="72">
        <f t="shared" si="24"/>
        <v>0</v>
      </c>
      <c r="AP17" s="39"/>
      <c r="AQ17" s="72">
        <f t="shared" si="7"/>
        <v>0</v>
      </c>
      <c r="AR17" s="72">
        <f t="shared" si="25"/>
        <v>0</v>
      </c>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0</v>
      </c>
      <c r="AU17" s="39"/>
      <c r="AV17" s="72">
        <f t="shared" si="8"/>
        <v>0</v>
      </c>
      <c r="AW17" s="72">
        <f t="shared" si="26"/>
        <v>0</v>
      </c>
      <c r="AX17" s="39"/>
      <c r="AY17" s="40">
        <f>IF(ISERROR(IF($K17&lt;=$F$15,VLOOKUP($I17,'表4）CO2価格'!$A$7:$E$67,VLOOKUP($F$48,'表4）CO2価格'!$H$10:$I$12,2,0),0)*$F$8/1000,"")),0,IF($K17&lt;=$F$15,VLOOKUP($I17,'表4）CO2価格'!$A$7:$E$67,VLOOKUP($F$48,'表4）CO2価格'!$H$10:$I$12,2,0),0)*$F$8/1000,""))</f>
        <v>0</v>
      </c>
      <c r="AZ17" s="39"/>
      <c r="BA17" s="42">
        <f t="shared" si="9"/>
        <v>0</v>
      </c>
      <c r="BB17" s="72">
        <f t="shared" si="27"/>
        <v>0</v>
      </c>
      <c r="BC17" s="39"/>
      <c r="BD17" s="72">
        <f t="shared" si="10"/>
        <v>0</v>
      </c>
      <c r="BE17" s="72">
        <f t="shared" si="28"/>
        <v>0</v>
      </c>
      <c r="BF17" s="39"/>
      <c r="BG17" s="42">
        <f t="shared" si="11"/>
        <v>0</v>
      </c>
      <c r="BH17" s="72">
        <f t="shared" si="29"/>
        <v>0</v>
      </c>
      <c r="BI17" s="39"/>
      <c r="BJ17" s="72"/>
      <c r="BK17" s="157"/>
      <c r="BL17" s="157"/>
      <c r="BM17" s="72"/>
      <c r="BN17" s="72"/>
      <c r="BO17" s="72"/>
      <c r="BP17" s="39"/>
      <c r="BQ17" s="72">
        <f t="shared" si="12"/>
        <v>6044.4</v>
      </c>
      <c r="BR17" s="72">
        <f t="shared" si="30"/>
        <v>5531.4822457942373</v>
      </c>
    </row>
    <row r="18" spans="3:70" x14ac:dyDescent="0.15">
      <c r="I18" s="459">
        <f t="shared" si="31"/>
        <v>2023</v>
      </c>
      <c r="J18" s="71"/>
      <c r="K18" s="71">
        <f t="shared" si="32"/>
        <v>4</v>
      </c>
      <c r="L18" s="71"/>
      <c r="M18" s="7">
        <f t="shared" si="0"/>
        <v>0.888487047915689</v>
      </c>
      <c r="N18" s="71"/>
      <c r="O18" s="10">
        <f t="shared" si="13"/>
        <v>934078.96788499993</v>
      </c>
      <c r="P18" s="29">
        <f t="shared" si="1"/>
        <v>0.14699999999999999</v>
      </c>
      <c r="Q18" s="71"/>
      <c r="R18" s="10">
        <f t="shared" si="14"/>
        <v>1002457.3667667783</v>
      </c>
      <c r="S18" s="71"/>
      <c r="T18" s="10">
        <f t="shared" si="15"/>
        <v>1002000</v>
      </c>
      <c r="U18" s="71"/>
      <c r="V18" s="10">
        <f t="shared" si="2"/>
        <v>137309.60827909497</v>
      </c>
      <c r="W18" s="10">
        <f t="shared" si="16"/>
        <v>121997.80851035274</v>
      </c>
      <c r="X18" s="71"/>
      <c r="Y18" s="10">
        <f t="shared" si="3"/>
        <v>0</v>
      </c>
      <c r="Z18" s="10">
        <f t="shared" si="17"/>
        <v>0</v>
      </c>
      <c r="AA18" s="71"/>
      <c r="AB18" s="10">
        <f t="shared" si="4"/>
        <v>0</v>
      </c>
      <c r="AC18" s="10">
        <f t="shared" si="18"/>
        <v>0</v>
      </c>
      <c r="AD18" s="71"/>
      <c r="AE18" s="10">
        <f t="shared" si="5"/>
        <v>0</v>
      </c>
      <c r="AF18" s="10">
        <f t="shared" si="19"/>
        <v>0</v>
      </c>
      <c r="AG18" s="71"/>
      <c r="AH18" s="72">
        <f t="shared" si="20"/>
        <v>15000</v>
      </c>
      <c r="AI18" s="10">
        <f t="shared" si="21"/>
        <v>13327.305718735335</v>
      </c>
      <c r="AJ18" s="71"/>
      <c r="AK18" s="10">
        <f t="shared" si="22"/>
        <v>0</v>
      </c>
      <c r="AL18" s="10">
        <f t="shared" si="23"/>
        <v>0</v>
      </c>
      <c r="AM18" s="71"/>
      <c r="AN18" s="10">
        <f t="shared" si="6"/>
        <v>0</v>
      </c>
      <c r="AO18" s="10">
        <f t="shared" si="24"/>
        <v>0</v>
      </c>
      <c r="AP18" s="71"/>
      <c r="AQ18" s="10">
        <f t="shared" si="7"/>
        <v>0</v>
      </c>
      <c r="AR18" s="10">
        <f t="shared" si="25"/>
        <v>0</v>
      </c>
      <c r="AS18" s="71"/>
      <c r="AT18" s="7">
        <f>IF($K18&lt;=$F$15,IF($F$40&lt;&gt;"",$F$40/1000,IF(ISERROR(VLOOKUP($F$3&amp;IF($G$4&lt;&gt;"",$G$4,"")&amp;IF($F$43&lt;&gt;"","_"&amp;$F$43,""),'表3）燃料価格'!$AF$9:$AG$25,2,0)),0,VLOOKUP($I18,'表3）燃料価格'!$A$6:$U$66,VLOOKUP($F$3&amp;IF($G$4&lt;&gt;"",$G$4,"")&amp;IF($F$43&lt;&gt;"","_"&amp;$F$43,""),'表3）燃料価格'!$AF$9:$AG$25,2,0)+VLOOKUP($F$41,'表3）燃料価格'!$AF$28:$AG$29,2,0),0)*IF($F$43="需要地価格",1,$F$8/$F$141))),"")</f>
        <v>0</v>
      </c>
      <c r="AU18" s="71"/>
      <c r="AV18" s="10">
        <f t="shared" si="8"/>
        <v>0</v>
      </c>
      <c r="AW18" s="10">
        <f t="shared" si="26"/>
        <v>0</v>
      </c>
      <c r="AX18" s="71"/>
      <c r="AY18" s="7">
        <f>IF(ISERROR(IF($K18&lt;=$F$15,VLOOKUP($I18,'表4）CO2価格'!$A$7:$E$67,VLOOKUP($F$48,'表4）CO2価格'!$H$10:$I$12,2,0),0)*$F$8/1000,"")),0,IF($K18&lt;=$F$15,VLOOKUP($I18,'表4）CO2価格'!$A$7:$E$67,VLOOKUP($F$48,'表4）CO2価格'!$H$10:$I$12,2,0),0)*$F$8/1000,""))</f>
        <v>0</v>
      </c>
      <c r="AZ18" s="71"/>
      <c r="BA18" s="11">
        <f t="shared" si="9"/>
        <v>0</v>
      </c>
      <c r="BB18" s="10">
        <f t="shared" si="27"/>
        <v>0</v>
      </c>
      <c r="BC18" s="71"/>
      <c r="BD18" s="10">
        <f t="shared" si="10"/>
        <v>0</v>
      </c>
      <c r="BE18" s="10">
        <f t="shared" si="28"/>
        <v>0</v>
      </c>
      <c r="BF18" s="71"/>
      <c r="BG18" s="11">
        <f t="shared" si="11"/>
        <v>0</v>
      </c>
      <c r="BH18" s="10">
        <f t="shared" si="29"/>
        <v>0</v>
      </c>
      <c r="BJ18" s="10"/>
      <c r="BK18" s="158"/>
      <c r="BL18" s="158"/>
      <c r="BM18" s="10"/>
      <c r="BN18" s="10"/>
      <c r="BO18" s="10"/>
      <c r="BP18" s="71"/>
      <c r="BQ18" s="10">
        <f t="shared" si="12"/>
        <v>6044.4</v>
      </c>
      <c r="BR18" s="10">
        <f t="shared" si="30"/>
        <v>5370.3711124215906</v>
      </c>
    </row>
    <row r="19" spans="3:70" x14ac:dyDescent="0.15">
      <c r="C19" s="89" t="s">
        <v>371</v>
      </c>
      <c r="D19" s="101"/>
      <c r="E19" s="101"/>
      <c r="F19" s="89"/>
      <c r="G19" s="101"/>
      <c r="I19" s="458">
        <f t="shared" si="31"/>
        <v>2024</v>
      </c>
      <c r="J19" s="39"/>
      <c r="K19" s="39">
        <f t="shared" si="32"/>
        <v>5</v>
      </c>
      <c r="L19" s="39"/>
      <c r="M19" s="40">
        <f t="shared" si="0"/>
        <v>0.86260878438416411</v>
      </c>
      <c r="N19" s="39"/>
      <c r="O19" s="72">
        <f t="shared" si="13"/>
        <v>796769.3596059049</v>
      </c>
      <c r="P19" s="41">
        <f t="shared" si="1"/>
        <v>0.14699999999999999</v>
      </c>
      <c r="Q19" s="39"/>
      <c r="R19" s="72">
        <f t="shared" si="14"/>
        <v>875472.24507084093</v>
      </c>
      <c r="S19" s="39"/>
      <c r="T19" s="72">
        <f t="shared" si="15"/>
        <v>875000</v>
      </c>
      <c r="U19" s="39"/>
      <c r="V19" s="72">
        <f t="shared" si="2"/>
        <v>117125.09586206802</v>
      </c>
      <c r="W19" s="72">
        <f t="shared" si="16"/>
        <v>101033.13656245718</v>
      </c>
      <c r="X19" s="39"/>
      <c r="Y19" s="72">
        <f t="shared" si="3"/>
        <v>0</v>
      </c>
      <c r="Z19" s="72">
        <f t="shared" si="17"/>
        <v>0</v>
      </c>
      <c r="AA19" s="39"/>
      <c r="AB19" s="72">
        <f t="shared" si="4"/>
        <v>0</v>
      </c>
      <c r="AC19" s="72">
        <f t="shared" si="18"/>
        <v>0</v>
      </c>
      <c r="AD19" s="39"/>
      <c r="AE19" s="72">
        <f t="shared" si="5"/>
        <v>0</v>
      </c>
      <c r="AF19" s="72">
        <f t="shared" si="19"/>
        <v>0</v>
      </c>
      <c r="AG19" s="39"/>
      <c r="AH19" s="72">
        <f t="shared" si="20"/>
        <v>15000</v>
      </c>
      <c r="AI19" s="72">
        <f t="shared" si="21"/>
        <v>12939.131765762462</v>
      </c>
      <c r="AJ19" s="39"/>
      <c r="AK19" s="72">
        <f t="shared" si="22"/>
        <v>0</v>
      </c>
      <c r="AL19" s="72">
        <f t="shared" si="23"/>
        <v>0</v>
      </c>
      <c r="AM19" s="39"/>
      <c r="AN19" s="72">
        <f t="shared" si="6"/>
        <v>0</v>
      </c>
      <c r="AO19" s="72">
        <f t="shared" si="24"/>
        <v>0</v>
      </c>
      <c r="AP19" s="39"/>
      <c r="AQ19" s="72">
        <f t="shared" si="7"/>
        <v>0</v>
      </c>
      <c r="AR19" s="72">
        <f t="shared" si="25"/>
        <v>0</v>
      </c>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0</v>
      </c>
      <c r="AU19" s="39"/>
      <c r="AV19" s="72">
        <f t="shared" si="8"/>
        <v>0</v>
      </c>
      <c r="AW19" s="72">
        <f t="shared" si="26"/>
        <v>0</v>
      </c>
      <c r="AX19" s="39"/>
      <c r="AY19" s="40">
        <f>IF(ISERROR(IF($K19&lt;=$F$15,VLOOKUP($I19,'表4）CO2価格'!$A$7:$E$67,VLOOKUP($F$48,'表4）CO2価格'!$H$10:$I$12,2,0),0)*$F$8/1000,"")),0,IF($K19&lt;=$F$15,VLOOKUP($I19,'表4）CO2価格'!$A$7:$E$67,VLOOKUP($F$48,'表4）CO2価格'!$H$10:$I$12,2,0),0)*$F$8/1000,""))</f>
        <v>0</v>
      </c>
      <c r="AZ19" s="39"/>
      <c r="BA19" s="42">
        <f t="shared" si="9"/>
        <v>0</v>
      </c>
      <c r="BB19" s="72">
        <f t="shared" si="27"/>
        <v>0</v>
      </c>
      <c r="BC19" s="39"/>
      <c r="BD19" s="72">
        <f t="shared" si="10"/>
        <v>0</v>
      </c>
      <c r="BE19" s="72">
        <f t="shared" si="28"/>
        <v>0</v>
      </c>
      <c r="BF19" s="39"/>
      <c r="BG19" s="42">
        <f t="shared" si="11"/>
        <v>0</v>
      </c>
      <c r="BH19" s="72">
        <f t="shared" si="29"/>
        <v>0</v>
      </c>
      <c r="BI19" s="39"/>
      <c r="BJ19" s="72"/>
      <c r="BK19" s="157"/>
      <c r="BL19" s="157"/>
      <c r="BM19" s="72"/>
      <c r="BN19" s="72"/>
      <c r="BO19" s="72"/>
      <c r="BP19" s="39"/>
      <c r="BQ19" s="72">
        <f t="shared" si="12"/>
        <v>6044.4</v>
      </c>
      <c r="BR19" s="72">
        <f t="shared" si="30"/>
        <v>5213.9525363316416</v>
      </c>
    </row>
    <row r="20" spans="3:70" x14ac:dyDescent="0.15">
      <c r="I20" s="459">
        <f t="shared" si="31"/>
        <v>2025</v>
      </c>
      <c r="J20" s="71"/>
      <c r="K20" s="71">
        <f t="shared" si="32"/>
        <v>6</v>
      </c>
      <c r="L20" s="71"/>
      <c r="M20" s="7">
        <f t="shared" si="0"/>
        <v>0.83748425668365445</v>
      </c>
      <c r="N20" s="71"/>
      <c r="O20" s="10">
        <f t="shared" si="13"/>
        <v>679644.2637438369</v>
      </c>
      <c r="P20" s="29">
        <f t="shared" si="1"/>
        <v>0.14699999999999999</v>
      </c>
      <c r="Q20" s="71"/>
      <c r="R20" s="10">
        <f t="shared" si="14"/>
        <v>764572.81606040965</v>
      </c>
      <c r="S20" s="71"/>
      <c r="T20" s="10">
        <f t="shared" si="15"/>
        <v>764000</v>
      </c>
      <c r="U20" s="71"/>
      <c r="V20" s="10">
        <f t="shared" si="2"/>
        <v>99907.706770344012</v>
      </c>
      <c r="W20" s="10">
        <f t="shared" si="16"/>
        <v>83671.131541530063</v>
      </c>
      <c r="X20" s="71"/>
      <c r="Y20" s="10">
        <f t="shared" si="3"/>
        <v>0</v>
      </c>
      <c r="Z20" s="10">
        <f t="shared" si="17"/>
        <v>0</v>
      </c>
      <c r="AA20" s="71"/>
      <c r="AB20" s="10">
        <f t="shared" si="4"/>
        <v>0</v>
      </c>
      <c r="AC20" s="10">
        <f t="shared" si="18"/>
        <v>0</v>
      </c>
      <c r="AD20" s="71"/>
      <c r="AE20" s="10">
        <f t="shared" si="5"/>
        <v>0</v>
      </c>
      <c r="AF20" s="10">
        <f t="shared" si="19"/>
        <v>0</v>
      </c>
      <c r="AG20" s="71"/>
      <c r="AH20" s="72">
        <f t="shared" si="20"/>
        <v>15000</v>
      </c>
      <c r="AI20" s="10">
        <f t="shared" si="21"/>
        <v>12562.263850254816</v>
      </c>
      <c r="AJ20" s="71"/>
      <c r="AK20" s="10">
        <f t="shared" si="22"/>
        <v>0</v>
      </c>
      <c r="AL20" s="10">
        <f t="shared" si="23"/>
        <v>0</v>
      </c>
      <c r="AM20" s="71"/>
      <c r="AN20" s="10">
        <f t="shared" si="6"/>
        <v>0</v>
      </c>
      <c r="AO20" s="10">
        <f t="shared" si="24"/>
        <v>0</v>
      </c>
      <c r="AP20" s="71"/>
      <c r="AQ20" s="10">
        <f t="shared" si="7"/>
        <v>0</v>
      </c>
      <c r="AR20" s="10">
        <f t="shared" si="25"/>
        <v>0</v>
      </c>
      <c r="AS20" s="71"/>
      <c r="AT20" s="7">
        <f>IF($K20&lt;=$F$15,IF($F$40&lt;&gt;"",$F$40/1000,IF(ISERROR(VLOOKUP($F$3&amp;IF($G$4&lt;&gt;"",$G$4,"")&amp;IF($F$43&lt;&gt;"","_"&amp;$F$43,""),'表3）燃料価格'!$AF$9:$AG$25,2,0)),0,VLOOKUP($I20,'表3）燃料価格'!$A$6:$U$66,VLOOKUP($F$3&amp;IF($G$4&lt;&gt;"",$G$4,"")&amp;IF($F$43&lt;&gt;"","_"&amp;$F$43,""),'表3）燃料価格'!$AF$9:$AG$25,2,0)+VLOOKUP($F$41,'表3）燃料価格'!$AF$28:$AG$29,2,0),0)*IF($F$43="需要地価格",1,$F$8/$F$141))),"")</f>
        <v>0</v>
      </c>
      <c r="AU20" s="71"/>
      <c r="AV20" s="10">
        <f t="shared" si="8"/>
        <v>0</v>
      </c>
      <c r="AW20" s="10">
        <f t="shared" si="26"/>
        <v>0</v>
      </c>
      <c r="AX20" s="71"/>
      <c r="AY20" s="7">
        <f>IF(ISERROR(IF($K20&lt;=$F$15,VLOOKUP($I20,'表4）CO2価格'!$A$7:$E$67,VLOOKUP($F$48,'表4）CO2価格'!$H$10:$I$12,2,0),0)*$F$8/1000,"")),0,IF($K20&lt;=$F$15,VLOOKUP($I20,'表4）CO2価格'!$A$7:$E$67,VLOOKUP($F$48,'表4）CO2価格'!$H$10:$I$12,2,0),0)*$F$8/1000,""))</f>
        <v>0</v>
      </c>
      <c r="AZ20" s="71"/>
      <c r="BA20" s="11">
        <f t="shared" si="9"/>
        <v>0</v>
      </c>
      <c r="BB20" s="10">
        <f t="shared" si="27"/>
        <v>0</v>
      </c>
      <c r="BC20" s="71"/>
      <c r="BD20" s="10">
        <f t="shared" si="10"/>
        <v>0</v>
      </c>
      <c r="BE20" s="10">
        <f t="shared" si="28"/>
        <v>0</v>
      </c>
      <c r="BF20" s="71"/>
      <c r="BG20" s="11">
        <f t="shared" si="11"/>
        <v>0</v>
      </c>
      <c r="BH20" s="10">
        <f t="shared" si="29"/>
        <v>0</v>
      </c>
      <c r="BJ20" s="10"/>
      <c r="BK20" s="158"/>
      <c r="BL20" s="158"/>
      <c r="BM20" s="10"/>
      <c r="BN20" s="10"/>
      <c r="BO20" s="10"/>
      <c r="BP20" s="71"/>
      <c r="BQ20" s="10">
        <f t="shared" si="12"/>
        <v>6044.4</v>
      </c>
      <c r="BR20" s="10">
        <f t="shared" si="30"/>
        <v>5062.0898410986811</v>
      </c>
    </row>
    <row r="21" spans="3:70" x14ac:dyDescent="0.15">
      <c r="D21" s="81" t="s">
        <v>110</v>
      </c>
      <c r="F21" s="147">
        <v>30.1</v>
      </c>
      <c r="G21" s="81" t="s">
        <v>174</v>
      </c>
      <c r="I21" s="458">
        <f t="shared" si="31"/>
        <v>2026</v>
      </c>
      <c r="J21" s="39"/>
      <c r="K21" s="39">
        <f t="shared" si="32"/>
        <v>7</v>
      </c>
      <c r="L21" s="39"/>
      <c r="M21" s="40">
        <f t="shared" si="0"/>
        <v>0.81309151134335378</v>
      </c>
      <c r="N21" s="39"/>
      <c r="O21" s="72">
        <f t="shared" si="13"/>
        <v>579736.55697349284</v>
      </c>
      <c r="P21" s="41">
        <f t="shared" si="1"/>
        <v>0.14699999999999999</v>
      </c>
      <c r="Q21" s="39"/>
      <c r="R21" s="72">
        <f t="shared" si="14"/>
        <v>667721.44331228116</v>
      </c>
      <c r="S21" s="39"/>
      <c r="T21" s="72">
        <f t="shared" si="15"/>
        <v>667000</v>
      </c>
      <c r="U21" s="39"/>
      <c r="V21" s="72">
        <f t="shared" si="2"/>
        <v>85221.273875103449</v>
      </c>
      <c r="W21" s="72">
        <f t="shared" si="16"/>
        <v>69292.694373713734</v>
      </c>
      <c r="X21" s="39"/>
      <c r="Y21" s="72">
        <f t="shared" si="3"/>
        <v>0</v>
      </c>
      <c r="Z21" s="72">
        <f t="shared" si="17"/>
        <v>0</v>
      </c>
      <c r="AA21" s="39"/>
      <c r="AB21" s="72">
        <f t="shared" si="4"/>
        <v>0</v>
      </c>
      <c r="AC21" s="72">
        <f t="shared" si="18"/>
        <v>0</v>
      </c>
      <c r="AD21" s="39"/>
      <c r="AE21" s="72">
        <f t="shared" si="5"/>
        <v>0</v>
      </c>
      <c r="AF21" s="72">
        <f t="shared" si="19"/>
        <v>0</v>
      </c>
      <c r="AG21" s="39"/>
      <c r="AH21" s="72">
        <f t="shared" si="20"/>
        <v>15000</v>
      </c>
      <c r="AI21" s="72">
        <f t="shared" si="21"/>
        <v>12196.372670150307</v>
      </c>
      <c r="AJ21" s="39"/>
      <c r="AK21" s="72">
        <f t="shared" si="22"/>
        <v>0</v>
      </c>
      <c r="AL21" s="72">
        <f t="shared" si="23"/>
        <v>0</v>
      </c>
      <c r="AM21" s="39"/>
      <c r="AN21" s="72">
        <f t="shared" si="6"/>
        <v>0</v>
      </c>
      <c r="AO21" s="72">
        <f t="shared" si="24"/>
        <v>0</v>
      </c>
      <c r="AP21" s="39"/>
      <c r="AQ21" s="72">
        <f t="shared" si="7"/>
        <v>0</v>
      </c>
      <c r="AR21" s="72">
        <f t="shared" si="25"/>
        <v>0</v>
      </c>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0</v>
      </c>
      <c r="AU21" s="39"/>
      <c r="AV21" s="72">
        <f t="shared" si="8"/>
        <v>0</v>
      </c>
      <c r="AW21" s="72">
        <f t="shared" si="26"/>
        <v>0</v>
      </c>
      <c r="AX21" s="39"/>
      <c r="AY21" s="40">
        <f>IF(ISERROR(IF($K21&lt;=$F$15,VLOOKUP($I21,'表4）CO2価格'!$A$7:$E$67,VLOOKUP($F$48,'表4）CO2価格'!$H$10:$I$12,2,0),0)*$F$8/1000,"")),0,IF($K21&lt;=$F$15,VLOOKUP($I21,'表4）CO2価格'!$A$7:$E$67,VLOOKUP($F$48,'表4）CO2価格'!$H$10:$I$12,2,0),0)*$F$8/1000,""))</f>
        <v>0</v>
      </c>
      <c r="AZ21" s="39"/>
      <c r="BA21" s="42">
        <f t="shared" si="9"/>
        <v>0</v>
      </c>
      <c r="BB21" s="72">
        <f t="shared" si="27"/>
        <v>0</v>
      </c>
      <c r="BC21" s="39"/>
      <c r="BD21" s="72">
        <f t="shared" si="10"/>
        <v>0</v>
      </c>
      <c r="BE21" s="72">
        <f t="shared" si="28"/>
        <v>0</v>
      </c>
      <c r="BF21" s="39"/>
      <c r="BG21" s="42">
        <f t="shared" si="11"/>
        <v>0</v>
      </c>
      <c r="BH21" s="72">
        <f t="shared" si="29"/>
        <v>0</v>
      </c>
      <c r="BI21" s="39"/>
      <c r="BJ21" s="72"/>
      <c r="BK21" s="157"/>
      <c r="BL21" s="157"/>
      <c r="BM21" s="72"/>
      <c r="BN21" s="72"/>
      <c r="BO21" s="72"/>
      <c r="BP21" s="39"/>
      <c r="BQ21" s="72">
        <f t="shared" si="12"/>
        <v>6044.4</v>
      </c>
      <c r="BR21" s="72">
        <f t="shared" si="30"/>
        <v>4914.6503311637671</v>
      </c>
    </row>
    <row r="22" spans="3:70" ht="16.5" x14ac:dyDescent="0.15">
      <c r="D22" s="81" t="s">
        <v>111</v>
      </c>
      <c r="F22" s="90"/>
      <c r="G22" s="9" t="s">
        <v>372</v>
      </c>
      <c r="I22" s="459">
        <f t="shared" si="31"/>
        <v>2027</v>
      </c>
      <c r="J22" s="71"/>
      <c r="K22" s="71">
        <f t="shared" si="32"/>
        <v>8</v>
      </c>
      <c r="L22" s="71"/>
      <c r="M22" s="7">
        <f t="shared" si="0"/>
        <v>0.78940923431393573</v>
      </c>
      <c r="N22" s="71"/>
      <c r="O22" s="10">
        <f t="shared" si="13"/>
        <v>494515.28309838939</v>
      </c>
      <c r="P22" s="29">
        <f t="shared" si="1"/>
        <v>0.14699999999999999</v>
      </c>
      <c r="Q22" s="71"/>
      <c r="R22" s="10">
        <f t="shared" si="14"/>
        <v>583138.60562864773</v>
      </c>
      <c r="S22" s="71"/>
      <c r="T22" s="10">
        <f t="shared" si="15"/>
        <v>583000</v>
      </c>
      <c r="U22" s="71"/>
      <c r="V22" s="10">
        <f t="shared" si="2"/>
        <v>72693.746615463242</v>
      </c>
      <c r="W22" s="10">
        <f t="shared" si="16"/>
        <v>57385.114855124091</v>
      </c>
      <c r="X22" s="71"/>
      <c r="Y22" s="10">
        <f t="shared" si="3"/>
        <v>0</v>
      </c>
      <c r="Z22" s="10">
        <f t="shared" si="17"/>
        <v>0</v>
      </c>
      <c r="AA22" s="71"/>
      <c r="AB22" s="10">
        <f t="shared" si="4"/>
        <v>0</v>
      </c>
      <c r="AC22" s="10">
        <f t="shared" si="18"/>
        <v>0</v>
      </c>
      <c r="AD22" s="71"/>
      <c r="AE22" s="10">
        <f t="shared" si="5"/>
        <v>0</v>
      </c>
      <c r="AF22" s="10">
        <f t="shared" si="19"/>
        <v>0</v>
      </c>
      <c r="AG22" s="71"/>
      <c r="AH22" s="72">
        <f t="shared" si="20"/>
        <v>15000</v>
      </c>
      <c r="AI22" s="10">
        <f t="shared" si="21"/>
        <v>11841.138514709035</v>
      </c>
      <c r="AJ22" s="71"/>
      <c r="AK22" s="10">
        <f t="shared" si="22"/>
        <v>0</v>
      </c>
      <c r="AL22" s="10">
        <f t="shared" si="23"/>
        <v>0</v>
      </c>
      <c r="AM22" s="71"/>
      <c r="AN22" s="10">
        <f t="shared" si="6"/>
        <v>0</v>
      </c>
      <c r="AO22" s="10">
        <f t="shared" si="24"/>
        <v>0</v>
      </c>
      <c r="AP22" s="71"/>
      <c r="AQ22" s="10">
        <f t="shared" si="7"/>
        <v>0</v>
      </c>
      <c r="AR22" s="10">
        <f t="shared" si="25"/>
        <v>0</v>
      </c>
      <c r="AS22" s="71"/>
      <c r="AT22" s="7">
        <f>IF($K22&lt;=$F$15,IF($F$40&lt;&gt;"",$F$40/1000,IF(ISERROR(VLOOKUP($F$3&amp;IF($G$4&lt;&gt;"",$G$4,"")&amp;IF($F$43&lt;&gt;"","_"&amp;$F$43,""),'表3）燃料価格'!$AF$9:$AG$25,2,0)),0,VLOOKUP($I22,'表3）燃料価格'!$A$6:$U$66,VLOOKUP($F$3&amp;IF($G$4&lt;&gt;"",$G$4,"")&amp;IF($F$43&lt;&gt;"","_"&amp;$F$43,""),'表3）燃料価格'!$AF$9:$AG$25,2,0)+VLOOKUP($F$41,'表3）燃料価格'!$AF$28:$AG$29,2,0),0)*IF($F$43="需要地価格",1,$F$8/$F$141))),"")</f>
        <v>0</v>
      </c>
      <c r="AU22" s="71"/>
      <c r="AV22" s="10">
        <f t="shared" si="8"/>
        <v>0</v>
      </c>
      <c r="AW22" s="10">
        <f t="shared" si="26"/>
        <v>0</v>
      </c>
      <c r="AX22" s="71"/>
      <c r="AY22" s="7">
        <f>IF(ISERROR(IF($K22&lt;=$F$15,VLOOKUP($I22,'表4）CO2価格'!$A$7:$E$67,VLOOKUP($F$48,'表4）CO2価格'!$H$10:$I$12,2,0),0)*$F$8/1000,"")),0,IF($K22&lt;=$F$15,VLOOKUP($I22,'表4）CO2価格'!$A$7:$E$67,VLOOKUP($F$48,'表4）CO2価格'!$H$10:$I$12,2,0),0)*$F$8/1000,""))</f>
        <v>0</v>
      </c>
      <c r="AZ22" s="71"/>
      <c r="BA22" s="11">
        <f t="shared" si="9"/>
        <v>0</v>
      </c>
      <c r="BB22" s="10">
        <f t="shared" si="27"/>
        <v>0</v>
      </c>
      <c r="BC22" s="71"/>
      <c r="BD22" s="10">
        <f t="shared" si="10"/>
        <v>0</v>
      </c>
      <c r="BE22" s="10">
        <f t="shared" si="28"/>
        <v>0</v>
      </c>
      <c r="BF22" s="71"/>
      <c r="BG22" s="11">
        <f t="shared" si="11"/>
        <v>0</v>
      </c>
      <c r="BH22" s="10">
        <f t="shared" si="29"/>
        <v>0</v>
      </c>
      <c r="BJ22" s="10"/>
      <c r="BK22" s="158"/>
      <c r="BL22" s="158"/>
      <c r="BM22" s="10"/>
      <c r="BN22" s="10"/>
      <c r="BO22" s="10"/>
      <c r="BP22" s="71"/>
      <c r="BQ22" s="10">
        <f t="shared" si="12"/>
        <v>6044.4</v>
      </c>
      <c r="BR22" s="10">
        <f t="shared" si="30"/>
        <v>4771.5051758871532</v>
      </c>
    </row>
    <row r="23" spans="3:70" x14ac:dyDescent="0.15">
      <c r="D23" s="81" t="s">
        <v>112</v>
      </c>
      <c r="F23" s="147"/>
      <c r="G23" s="81" t="s">
        <v>172</v>
      </c>
      <c r="I23" s="458">
        <f t="shared" si="31"/>
        <v>2028</v>
      </c>
      <c r="J23" s="39"/>
      <c r="K23" s="39">
        <f t="shared" si="32"/>
        <v>9</v>
      </c>
      <c r="L23" s="39"/>
      <c r="M23" s="40">
        <f t="shared" si="0"/>
        <v>0.76641673234362695</v>
      </c>
      <c r="N23" s="39"/>
      <c r="O23" s="72">
        <f t="shared" si="13"/>
        <v>421821.53648292617</v>
      </c>
      <c r="P23" s="41">
        <f t="shared" si="1"/>
        <v>0.14699999999999999</v>
      </c>
      <c r="Q23" s="39"/>
      <c r="R23" s="72">
        <f t="shared" si="14"/>
        <v>509270.20059094921</v>
      </c>
      <c r="S23" s="39"/>
      <c r="T23" s="72">
        <f t="shared" si="15"/>
        <v>509000</v>
      </c>
      <c r="U23" s="39"/>
      <c r="V23" s="72">
        <f t="shared" si="2"/>
        <v>62007.765862990142</v>
      </c>
      <c r="W23" s="72">
        <f t="shared" si="16"/>
        <v>47523.789292641603</v>
      </c>
      <c r="X23" s="39"/>
      <c r="Y23" s="72">
        <f t="shared" si="3"/>
        <v>0</v>
      </c>
      <c r="Z23" s="72">
        <f t="shared" si="17"/>
        <v>0</v>
      </c>
      <c r="AA23" s="39"/>
      <c r="AB23" s="72">
        <f t="shared" si="4"/>
        <v>0</v>
      </c>
      <c r="AC23" s="72">
        <f t="shared" si="18"/>
        <v>0</v>
      </c>
      <c r="AD23" s="39"/>
      <c r="AE23" s="72">
        <f t="shared" si="5"/>
        <v>0</v>
      </c>
      <c r="AF23" s="72">
        <f t="shared" si="19"/>
        <v>0</v>
      </c>
      <c r="AG23" s="39"/>
      <c r="AH23" s="72">
        <f t="shared" si="20"/>
        <v>15000</v>
      </c>
      <c r="AI23" s="72">
        <f t="shared" si="21"/>
        <v>11496.250985154404</v>
      </c>
      <c r="AJ23" s="39"/>
      <c r="AK23" s="72">
        <f t="shared" si="22"/>
        <v>0</v>
      </c>
      <c r="AL23" s="72">
        <f t="shared" si="23"/>
        <v>0</v>
      </c>
      <c r="AM23" s="39"/>
      <c r="AN23" s="72">
        <f t="shared" si="6"/>
        <v>0</v>
      </c>
      <c r="AO23" s="72">
        <f t="shared" si="24"/>
        <v>0</v>
      </c>
      <c r="AP23" s="39"/>
      <c r="AQ23" s="72">
        <f t="shared" si="7"/>
        <v>0</v>
      </c>
      <c r="AR23" s="72">
        <f t="shared" si="25"/>
        <v>0</v>
      </c>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0</v>
      </c>
      <c r="AU23" s="39"/>
      <c r="AV23" s="72">
        <f t="shared" si="8"/>
        <v>0</v>
      </c>
      <c r="AW23" s="72">
        <f t="shared" si="26"/>
        <v>0</v>
      </c>
      <c r="AX23" s="39"/>
      <c r="AY23" s="40">
        <f>IF(ISERROR(IF($K23&lt;=$F$15,VLOOKUP($I23,'表4）CO2価格'!$A$7:$E$67,VLOOKUP($F$48,'表4）CO2価格'!$H$10:$I$12,2,0),0)*$F$8/1000,"")),0,IF($K23&lt;=$F$15,VLOOKUP($I23,'表4）CO2価格'!$A$7:$E$67,VLOOKUP($F$48,'表4）CO2価格'!$H$10:$I$12,2,0),0)*$F$8/1000,""))</f>
        <v>0</v>
      </c>
      <c r="AZ23" s="39"/>
      <c r="BA23" s="42">
        <f t="shared" si="9"/>
        <v>0</v>
      </c>
      <c r="BB23" s="72">
        <f t="shared" si="27"/>
        <v>0</v>
      </c>
      <c r="BC23" s="39"/>
      <c r="BD23" s="72">
        <f t="shared" si="10"/>
        <v>0</v>
      </c>
      <c r="BE23" s="72">
        <f t="shared" si="28"/>
        <v>0</v>
      </c>
      <c r="BF23" s="39"/>
      <c r="BG23" s="42">
        <f t="shared" si="11"/>
        <v>0</v>
      </c>
      <c r="BH23" s="72">
        <f t="shared" si="29"/>
        <v>0</v>
      </c>
      <c r="BI23" s="39"/>
      <c r="BJ23" s="72"/>
      <c r="BK23" s="157"/>
      <c r="BL23" s="157"/>
      <c r="BM23" s="72"/>
      <c r="BN23" s="72"/>
      <c r="BO23" s="72"/>
      <c r="BP23" s="39"/>
      <c r="BQ23" s="72">
        <f t="shared" si="12"/>
        <v>6044.4</v>
      </c>
      <c r="BR23" s="72">
        <f t="shared" si="30"/>
        <v>4632.5292969778184</v>
      </c>
    </row>
    <row r="24" spans="3:70" x14ac:dyDescent="0.15">
      <c r="D24" s="81" t="s">
        <v>113</v>
      </c>
      <c r="F24" s="68">
        <v>0</v>
      </c>
      <c r="G24" s="81" t="s">
        <v>172</v>
      </c>
      <c r="I24" s="459">
        <f t="shared" si="31"/>
        <v>2029</v>
      </c>
      <c r="J24" s="71"/>
      <c r="K24" s="71">
        <f t="shared" si="32"/>
        <v>10</v>
      </c>
      <c r="L24" s="71"/>
      <c r="M24" s="7">
        <f t="shared" si="0"/>
        <v>0.74409391489672516</v>
      </c>
      <c r="N24" s="71"/>
      <c r="O24" s="10">
        <f t="shared" si="13"/>
        <v>359813.77061993605</v>
      </c>
      <c r="P24" s="29">
        <f t="shared" si="1"/>
        <v>0.14699999999999999</v>
      </c>
      <c r="Q24" s="71"/>
      <c r="R24" s="10">
        <f t="shared" si="14"/>
        <v>444758.98989803449</v>
      </c>
      <c r="S24" s="71"/>
      <c r="T24" s="10">
        <f t="shared" si="15"/>
        <v>444000</v>
      </c>
      <c r="U24" s="71"/>
      <c r="V24" s="10">
        <f t="shared" si="2"/>
        <v>52892.6242811306</v>
      </c>
      <c r="W24" s="10">
        <f t="shared" si="16"/>
        <v>39357.079870508052</v>
      </c>
      <c r="X24" s="71"/>
      <c r="Y24" s="10">
        <f t="shared" si="3"/>
        <v>0</v>
      </c>
      <c r="Z24" s="10">
        <f t="shared" si="17"/>
        <v>0</v>
      </c>
      <c r="AA24" s="71"/>
      <c r="AB24" s="10">
        <f t="shared" si="4"/>
        <v>0</v>
      </c>
      <c r="AC24" s="10">
        <f t="shared" si="18"/>
        <v>0</v>
      </c>
      <c r="AD24" s="71"/>
      <c r="AE24" s="10">
        <f t="shared" si="5"/>
        <v>0</v>
      </c>
      <c r="AF24" s="10">
        <f t="shared" si="19"/>
        <v>0</v>
      </c>
      <c r="AG24" s="71"/>
      <c r="AH24" s="72">
        <f t="shared" si="20"/>
        <v>15000</v>
      </c>
      <c r="AI24" s="10">
        <f t="shared" si="21"/>
        <v>11161.408723450877</v>
      </c>
      <c r="AJ24" s="71"/>
      <c r="AK24" s="10">
        <f t="shared" si="22"/>
        <v>0</v>
      </c>
      <c r="AL24" s="10">
        <f t="shared" si="23"/>
        <v>0</v>
      </c>
      <c r="AM24" s="71"/>
      <c r="AN24" s="10">
        <f t="shared" si="6"/>
        <v>0</v>
      </c>
      <c r="AO24" s="10">
        <f t="shared" si="24"/>
        <v>0</v>
      </c>
      <c r="AP24" s="71"/>
      <c r="AQ24" s="10">
        <f t="shared" si="7"/>
        <v>0</v>
      </c>
      <c r="AR24" s="10">
        <f t="shared" si="25"/>
        <v>0</v>
      </c>
      <c r="AS24" s="71"/>
      <c r="AT24" s="7">
        <f>IF($K24&lt;=$F$15,IF($F$40&lt;&gt;"",$F$40/1000,IF(ISERROR(VLOOKUP($F$3&amp;IF($G$4&lt;&gt;"",$G$4,"")&amp;IF($F$43&lt;&gt;"","_"&amp;$F$43,""),'表3）燃料価格'!$AF$9:$AG$25,2,0)),0,VLOOKUP($I24,'表3）燃料価格'!$A$6:$U$66,VLOOKUP($F$3&amp;IF($G$4&lt;&gt;"",$G$4,"")&amp;IF($F$43&lt;&gt;"","_"&amp;$F$43,""),'表3）燃料価格'!$AF$9:$AG$25,2,0)+VLOOKUP($F$41,'表3）燃料価格'!$AF$28:$AG$29,2,0),0)*IF($F$43="需要地価格",1,$F$8/$F$141))),"")</f>
        <v>0</v>
      </c>
      <c r="AU24" s="71"/>
      <c r="AV24" s="10">
        <f t="shared" si="8"/>
        <v>0</v>
      </c>
      <c r="AW24" s="10">
        <f t="shared" si="26"/>
        <v>0</v>
      </c>
      <c r="AX24" s="71"/>
      <c r="AY24" s="7">
        <f>IF(ISERROR(IF($K24&lt;=$F$15,VLOOKUP($I24,'表4）CO2価格'!$A$7:$E$67,VLOOKUP($F$48,'表4）CO2価格'!$H$10:$I$12,2,0),0)*$F$8/1000,"")),0,IF($K24&lt;=$F$15,VLOOKUP($I24,'表4）CO2価格'!$A$7:$E$67,VLOOKUP($F$48,'表4）CO2価格'!$H$10:$I$12,2,0),0)*$F$8/1000,""))</f>
        <v>0</v>
      </c>
      <c r="AZ24" s="71"/>
      <c r="BA24" s="11">
        <f t="shared" si="9"/>
        <v>0</v>
      </c>
      <c r="BB24" s="10">
        <f t="shared" si="27"/>
        <v>0</v>
      </c>
      <c r="BC24" s="71"/>
      <c r="BD24" s="10">
        <f t="shared" si="10"/>
        <v>0</v>
      </c>
      <c r="BE24" s="10">
        <f t="shared" si="28"/>
        <v>0</v>
      </c>
      <c r="BF24" s="71"/>
      <c r="BG24" s="11">
        <f t="shared" si="11"/>
        <v>0</v>
      </c>
      <c r="BH24" s="10">
        <f t="shared" si="29"/>
        <v>0</v>
      </c>
      <c r="BJ24" s="10"/>
      <c r="BK24" s="158"/>
      <c r="BL24" s="158"/>
      <c r="BM24" s="10"/>
      <c r="BN24" s="10"/>
      <c r="BO24" s="10"/>
      <c r="BP24" s="71"/>
      <c r="BQ24" s="10">
        <f t="shared" si="12"/>
        <v>6044.4</v>
      </c>
      <c r="BR24" s="10">
        <f t="shared" si="30"/>
        <v>4497.6012592017651</v>
      </c>
    </row>
    <row r="25" spans="3:70" x14ac:dyDescent="0.15">
      <c r="D25" s="81" t="s">
        <v>114</v>
      </c>
      <c r="F25" s="66">
        <v>0</v>
      </c>
      <c r="G25" s="81" t="s">
        <v>172</v>
      </c>
      <c r="I25" s="458">
        <f t="shared" si="31"/>
        <v>2030</v>
      </c>
      <c r="J25" s="39"/>
      <c r="K25" s="39">
        <f t="shared" si="32"/>
        <v>11</v>
      </c>
      <c r="L25" s="39"/>
      <c r="M25" s="40">
        <f t="shared" si="0"/>
        <v>0.72242127659876232</v>
      </c>
      <c r="N25" s="39"/>
      <c r="O25" s="72">
        <f t="shared" si="13"/>
        <v>306921.14633880544</v>
      </c>
      <c r="P25" s="41">
        <f t="shared" si="1"/>
        <v>0.14699999999999999</v>
      </c>
      <c r="Q25" s="39"/>
      <c r="R25" s="72">
        <f t="shared" si="14"/>
        <v>388419.66183292022</v>
      </c>
      <c r="S25" s="39"/>
      <c r="T25" s="72">
        <f t="shared" si="15"/>
        <v>388000</v>
      </c>
      <c r="U25" s="39"/>
      <c r="V25" s="72">
        <f t="shared" si="2"/>
        <v>45117.408511804395</v>
      </c>
      <c r="W25" s="72">
        <f t="shared" si="16"/>
        <v>32593.775853925596</v>
      </c>
      <c r="X25" s="39"/>
      <c r="Y25" s="72">
        <f t="shared" si="3"/>
        <v>0</v>
      </c>
      <c r="Z25" s="72">
        <f t="shared" si="17"/>
        <v>0</v>
      </c>
      <c r="AA25" s="39"/>
      <c r="AB25" s="72">
        <f t="shared" si="4"/>
        <v>0</v>
      </c>
      <c r="AC25" s="72">
        <f t="shared" si="18"/>
        <v>0</v>
      </c>
      <c r="AD25" s="39"/>
      <c r="AE25" s="72">
        <f t="shared" si="5"/>
        <v>0</v>
      </c>
      <c r="AF25" s="72">
        <f t="shared" si="19"/>
        <v>0</v>
      </c>
      <c r="AG25" s="39"/>
      <c r="AH25" s="72">
        <f t="shared" si="20"/>
        <v>15000</v>
      </c>
      <c r="AI25" s="72">
        <f t="shared" si="21"/>
        <v>10836.319148981434</v>
      </c>
      <c r="AJ25" s="39"/>
      <c r="AK25" s="72">
        <f t="shared" si="22"/>
        <v>0</v>
      </c>
      <c r="AL25" s="72">
        <f t="shared" si="23"/>
        <v>0</v>
      </c>
      <c r="AM25" s="39"/>
      <c r="AN25" s="72">
        <f t="shared" si="6"/>
        <v>0</v>
      </c>
      <c r="AO25" s="72">
        <f t="shared" si="24"/>
        <v>0</v>
      </c>
      <c r="AP25" s="39"/>
      <c r="AQ25" s="72">
        <f t="shared" si="7"/>
        <v>0</v>
      </c>
      <c r="AR25" s="72">
        <f t="shared" si="25"/>
        <v>0</v>
      </c>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0</v>
      </c>
      <c r="AU25" s="39"/>
      <c r="AV25" s="72">
        <f t="shared" si="8"/>
        <v>0</v>
      </c>
      <c r="AW25" s="72">
        <f t="shared" si="26"/>
        <v>0</v>
      </c>
      <c r="AX25" s="39"/>
      <c r="AY25" s="40">
        <f>IF(ISERROR(IF($K25&lt;=$F$15,VLOOKUP($I25,'表4）CO2価格'!$A$7:$E$67,VLOOKUP($F$48,'表4）CO2価格'!$H$10:$I$12,2,0),0)*$F$8/1000,"")),0,IF($K25&lt;=$F$15,VLOOKUP($I25,'表4）CO2価格'!$A$7:$E$67,VLOOKUP($F$48,'表4）CO2価格'!$H$10:$I$12,2,0),0)*$F$8/1000,""))</f>
        <v>0</v>
      </c>
      <c r="AZ25" s="39"/>
      <c r="BA25" s="42">
        <f t="shared" si="9"/>
        <v>0</v>
      </c>
      <c r="BB25" s="72">
        <f t="shared" si="27"/>
        <v>0</v>
      </c>
      <c r="BC25" s="39"/>
      <c r="BD25" s="72">
        <f t="shared" si="10"/>
        <v>0</v>
      </c>
      <c r="BE25" s="72">
        <f t="shared" si="28"/>
        <v>0</v>
      </c>
      <c r="BF25" s="39"/>
      <c r="BG25" s="42">
        <f t="shared" si="11"/>
        <v>0</v>
      </c>
      <c r="BH25" s="72">
        <f t="shared" si="29"/>
        <v>0</v>
      </c>
      <c r="BI25" s="39"/>
      <c r="BJ25" s="72"/>
      <c r="BK25" s="157"/>
      <c r="BL25" s="157"/>
      <c r="BM25" s="72"/>
      <c r="BN25" s="72"/>
      <c r="BO25" s="72"/>
      <c r="BP25" s="39"/>
      <c r="BQ25" s="72">
        <f t="shared" si="12"/>
        <v>6044.4</v>
      </c>
      <c r="BR25" s="72">
        <f t="shared" si="30"/>
        <v>4366.6031642735588</v>
      </c>
    </row>
    <row r="26" spans="3:70" x14ac:dyDescent="0.15">
      <c r="D26" s="81" t="s">
        <v>115</v>
      </c>
      <c r="F26" s="59"/>
      <c r="G26" s="81" t="s">
        <v>175</v>
      </c>
      <c r="I26" s="459">
        <f t="shared" si="31"/>
        <v>2031</v>
      </c>
      <c r="J26" s="71"/>
      <c r="K26" s="71">
        <f t="shared" si="32"/>
        <v>12</v>
      </c>
      <c r="L26" s="71"/>
      <c r="M26" s="7">
        <f t="shared" si="0"/>
        <v>0.70137988019297326</v>
      </c>
      <c r="N26" s="71"/>
      <c r="O26" s="10">
        <f t="shared" si="13"/>
        <v>261803.73782700105</v>
      </c>
      <c r="P26" s="29">
        <f t="shared" si="1"/>
        <v>0.16700000000000001</v>
      </c>
      <c r="Q26" s="71"/>
      <c r="R26" s="10">
        <f t="shared" si="14"/>
        <v>339217.05266258598</v>
      </c>
      <c r="S26" s="71"/>
      <c r="T26" s="10">
        <f t="shared" si="15"/>
        <v>339000</v>
      </c>
      <c r="U26" s="71"/>
      <c r="V26" s="10">
        <f t="shared" si="2"/>
        <v>43721.224217109178</v>
      </c>
      <c r="W26" s="10">
        <f t="shared" si="16"/>
        <v>30665.187003286155</v>
      </c>
      <c r="X26" s="71"/>
      <c r="Y26" s="10">
        <f t="shared" si="3"/>
        <v>0</v>
      </c>
      <c r="Z26" s="10">
        <f t="shared" si="17"/>
        <v>0</v>
      </c>
      <c r="AA26" s="71"/>
      <c r="AB26" s="10">
        <f t="shared" si="4"/>
        <v>0</v>
      </c>
      <c r="AC26" s="10">
        <f t="shared" si="18"/>
        <v>0</v>
      </c>
      <c r="AD26" s="71"/>
      <c r="AE26" s="10">
        <f t="shared" si="5"/>
        <v>0</v>
      </c>
      <c r="AF26" s="10">
        <f t="shared" si="19"/>
        <v>0</v>
      </c>
      <c r="AG26" s="71"/>
      <c r="AH26" s="72">
        <f t="shared" si="20"/>
        <v>15000</v>
      </c>
      <c r="AI26" s="10">
        <f t="shared" si="21"/>
        <v>10520.698202894599</v>
      </c>
      <c r="AJ26" s="71"/>
      <c r="AK26" s="10">
        <f t="shared" si="22"/>
        <v>0</v>
      </c>
      <c r="AL26" s="10">
        <f t="shared" si="23"/>
        <v>0</v>
      </c>
      <c r="AM26" s="71"/>
      <c r="AN26" s="10">
        <f t="shared" si="6"/>
        <v>0</v>
      </c>
      <c r="AO26" s="10">
        <f t="shared" si="24"/>
        <v>0</v>
      </c>
      <c r="AP26" s="71"/>
      <c r="AQ26" s="10">
        <f t="shared" si="7"/>
        <v>0</v>
      </c>
      <c r="AR26" s="10">
        <f t="shared" si="25"/>
        <v>0</v>
      </c>
      <c r="AS26" s="71"/>
      <c r="AT26" s="7">
        <f>IF($K26&lt;=$F$15,IF($F$40&lt;&gt;"",$F$40/1000,IF(ISERROR(VLOOKUP($F$3&amp;IF($G$4&lt;&gt;"",$G$4,"")&amp;IF($F$43&lt;&gt;"","_"&amp;$F$43,""),'表3）燃料価格'!$AF$9:$AG$25,2,0)),0,VLOOKUP($I26,'表3）燃料価格'!$A$6:$U$66,VLOOKUP($F$3&amp;IF($G$4&lt;&gt;"",$G$4,"")&amp;IF($F$43&lt;&gt;"","_"&amp;$F$43,""),'表3）燃料価格'!$AF$9:$AG$25,2,0)+VLOOKUP($F$41,'表3）燃料価格'!$AF$28:$AG$29,2,0),0)*IF($F$43="需要地価格",1,$F$8/$F$141))),"")</f>
        <v>0</v>
      </c>
      <c r="AU26" s="71"/>
      <c r="AV26" s="10">
        <f t="shared" si="8"/>
        <v>0</v>
      </c>
      <c r="AW26" s="10">
        <f t="shared" si="26"/>
        <v>0</v>
      </c>
      <c r="AX26" s="71"/>
      <c r="AY26" s="7">
        <f>IF(ISERROR(IF($K26&lt;=$F$15,VLOOKUP($I26,'表4）CO2価格'!$A$7:$E$67,VLOOKUP($F$48,'表4）CO2価格'!$H$10:$I$12,2,0),0)*$F$8/1000,"")),0,IF($K26&lt;=$F$15,VLOOKUP($I26,'表4）CO2価格'!$A$7:$E$67,VLOOKUP($F$48,'表4）CO2価格'!$H$10:$I$12,2,0),0)*$F$8/1000,""))</f>
        <v>0</v>
      </c>
      <c r="AZ26" s="71"/>
      <c r="BA26" s="11">
        <f t="shared" si="9"/>
        <v>0</v>
      </c>
      <c r="BB26" s="10">
        <f t="shared" si="27"/>
        <v>0</v>
      </c>
      <c r="BC26" s="71"/>
      <c r="BD26" s="10">
        <f t="shared" si="10"/>
        <v>0</v>
      </c>
      <c r="BE26" s="10">
        <f t="shared" si="28"/>
        <v>0</v>
      </c>
      <c r="BF26" s="71"/>
      <c r="BG26" s="11">
        <f t="shared" si="11"/>
        <v>0</v>
      </c>
      <c r="BH26" s="10">
        <f t="shared" si="29"/>
        <v>0</v>
      </c>
      <c r="BJ26" s="10"/>
      <c r="BK26" s="158"/>
      <c r="BL26" s="158"/>
      <c r="BM26" s="10"/>
      <c r="BN26" s="10"/>
      <c r="BO26" s="10"/>
      <c r="BP26" s="71"/>
      <c r="BQ26" s="10">
        <f t="shared" si="12"/>
        <v>6044.4</v>
      </c>
      <c r="BR26" s="10">
        <f t="shared" si="30"/>
        <v>4239.4205478384074</v>
      </c>
    </row>
    <row r="27" spans="3:70" x14ac:dyDescent="0.15">
      <c r="D27" s="82" t="s">
        <v>86</v>
      </c>
      <c r="F27" s="107">
        <f>F117*5%/10^8</f>
        <v>7.5250000000000002E-4</v>
      </c>
      <c r="G27" s="81" t="s">
        <v>176</v>
      </c>
      <c r="I27" s="458">
        <f t="shared" si="31"/>
        <v>2032</v>
      </c>
      <c r="J27" s="39"/>
      <c r="K27" s="39">
        <f t="shared" si="32"/>
        <v>13</v>
      </c>
      <c r="L27" s="39"/>
      <c r="M27" s="40">
        <f t="shared" si="0"/>
        <v>0.68095133999317792</v>
      </c>
      <c r="N27" s="39"/>
      <c r="O27" s="72">
        <f t="shared" si="13"/>
        <v>218082.51360989187</v>
      </c>
      <c r="P27" s="41" t="str">
        <f t="shared" si="1"/>
        <v>-</v>
      </c>
      <c r="Q27" s="39"/>
      <c r="R27" s="72">
        <f t="shared" si="14"/>
        <v>296247.12681663508</v>
      </c>
      <c r="S27" s="39"/>
      <c r="T27" s="72">
        <f t="shared" si="15"/>
        <v>296000</v>
      </c>
      <c r="U27" s="39"/>
      <c r="V27" s="72">
        <f t="shared" si="2"/>
        <v>43721.224217109178</v>
      </c>
      <c r="W27" s="72">
        <f t="shared" si="16"/>
        <v>29772.026216782677</v>
      </c>
      <c r="X27" s="39"/>
      <c r="Y27" s="72">
        <f t="shared" si="3"/>
        <v>0</v>
      </c>
      <c r="Z27" s="72">
        <f t="shared" si="17"/>
        <v>0</v>
      </c>
      <c r="AA27" s="39"/>
      <c r="AB27" s="72">
        <f t="shared" si="4"/>
        <v>0</v>
      </c>
      <c r="AC27" s="72">
        <f t="shared" si="18"/>
        <v>0</v>
      </c>
      <c r="AD27" s="39"/>
      <c r="AE27" s="72">
        <f t="shared" si="5"/>
        <v>0</v>
      </c>
      <c r="AF27" s="72">
        <f t="shared" si="19"/>
        <v>0</v>
      </c>
      <c r="AG27" s="39"/>
      <c r="AH27" s="72">
        <f t="shared" si="20"/>
        <v>15000</v>
      </c>
      <c r="AI27" s="72">
        <f t="shared" si="21"/>
        <v>10214.270099897669</v>
      </c>
      <c r="AJ27" s="39"/>
      <c r="AK27" s="72">
        <f t="shared" si="22"/>
        <v>0</v>
      </c>
      <c r="AL27" s="72">
        <f t="shared" si="23"/>
        <v>0</v>
      </c>
      <c r="AM27" s="39"/>
      <c r="AN27" s="72">
        <f t="shared" si="6"/>
        <v>0</v>
      </c>
      <c r="AO27" s="72">
        <f t="shared" si="24"/>
        <v>0</v>
      </c>
      <c r="AP27" s="39"/>
      <c r="AQ27" s="72">
        <f t="shared" si="7"/>
        <v>0</v>
      </c>
      <c r="AR27" s="72">
        <f t="shared" si="25"/>
        <v>0</v>
      </c>
      <c r="AS27" s="39"/>
      <c r="AT27" s="40">
        <f>IF($K27&lt;=$F$15,IF($F$40&lt;&gt;"",$F$40/1000,IF(ISERROR(VLOOKUP($F$3&amp;IF($G$4&lt;&gt;"",$G$4,"")&amp;IF($F$43&lt;&gt;"","_"&amp;$F$43,""),'表3）燃料価格'!$AF$9:$AG$25,2,0)),0,VLOOKUP($I27,'表3）燃料価格'!$A$6:$U$66,VLOOKUP($F$3&amp;IF($G$4&lt;&gt;"",$G$4,"")&amp;IF($F$43&lt;&gt;"","_"&amp;$F$43,""),'表3）燃料価格'!$AF$9:$AG$25,2,0)+VLOOKUP($F$41,'表3）燃料価格'!$AF$28:$AG$29,2,0),0)*IF($F$43="需要地価格",1,$F$8/$F$141))),"")</f>
        <v>0</v>
      </c>
      <c r="AU27" s="39"/>
      <c r="AV27" s="72">
        <f t="shared" si="8"/>
        <v>0</v>
      </c>
      <c r="AW27" s="72">
        <f t="shared" si="26"/>
        <v>0</v>
      </c>
      <c r="AX27" s="39"/>
      <c r="AY27" s="40">
        <f>IF(ISERROR(IF($K27&lt;=$F$15,VLOOKUP($I27,'表4）CO2価格'!$A$7:$E$67,VLOOKUP($F$48,'表4）CO2価格'!$H$10:$I$12,2,0),0)*$F$8/1000,"")),0,IF($K27&lt;=$F$15,VLOOKUP($I27,'表4）CO2価格'!$A$7:$E$67,VLOOKUP($F$48,'表4）CO2価格'!$H$10:$I$12,2,0),0)*$F$8/1000,""))</f>
        <v>0</v>
      </c>
      <c r="AZ27" s="39"/>
      <c r="BA27" s="42">
        <f t="shared" si="9"/>
        <v>0</v>
      </c>
      <c r="BB27" s="72">
        <f t="shared" si="27"/>
        <v>0</v>
      </c>
      <c r="BC27" s="39"/>
      <c r="BD27" s="72">
        <f t="shared" si="10"/>
        <v>0</v>
      </c>
      <c r="BE27" s="72">
        <f t="shared" si="28"/>
        <v>0</v>
      </c>
      <c r="BF27" s="39"/>
      <c r="BG27" s="42">
        <f t="shared" si="11"/>
        <v>0</v>
      </c>
      <c r="BH27" s="72">
        <f t="shared" si="29"/>
        <v>0</v>
      </c>
      <c r="BI27" s="39"/>
      <c r="BJ27" s="72"/>
      <c r="BK27" s="157"/>
      <c r="BL27" s="157"/>
      <c r="BM27" s="72"/>
      <c r="BN27" s="72"/>
      <c r="BO27" s="72"/>
      <c r="BP27" s="39"/>
      <c r="BQ27" s="72">
        <f t="shared" si="12"/>
        <v>6044.4</v>
      </c>
      <c r="BR27" s="72">
        <f t="shared" si="30"/>
        <v>4115.9422794547645</v>
      </c>
    </row>
    <row r="28" spans="3:70" x14ac:dyDescent="0.15">
      <c r="D28" s="81" t="s">
        <v>116</v>
      </c>
      <c r="F28" s="59">
        <v>1</v>
      </c>
      <c r="G28" s="81" t="s">
        <v>108</v>
      </c>
      <c r="I28" s="459">
        <f t="shared" si="31"/>
        <v>2033</v>
      </c>
      <c r="J28" s="71"/>
      <c r="K28" s="71">
        <f t="shared" si="32"/>
        <v>14</v>
      </c>
      <c r="L28" s="71"/>
      <c r="M28" s="7">
        <f t="shared" si="0"/>
        <v>0.66111780581861923</v>
      </c>
      <c r="N28" s="71"/>
      <c r="O28" s="10">
        <f t="shared" si="13"/>
        <v>174361.2893927827</v>
      </c>
      <c r="P28" s="29" t="str">
        <f t="shared" si="1"/>
        <v>-</v>
      </c>
      <c r="Q28" s="71"/>
      <c r="R28" s="10">
        <f t="shared" si="14"/>
        <v>258720.36637971541</v>
      </c>
      <c r="S28" s="71"/>
      <c r="T28" s="10">
        <f t="shared" si="15"/>
        <v>258000</v>
      </c>
      <c r="U28" s="71"/>
      <c r="V28" s="10">
        <f t="shared" si="2"/>
        <v>43721.224217109178</v>
      </c>
      <c r="W28" s="10">
        <f t="shared" si="16"/>
        <v>28904.879822119099</v>
      </c>
      <c r="X28" s="71"/>
      <c r="Y28" s="10">
        <f t="shared" si="3"/>
        <v>0</v>
      </c>
      <c r="Z28" s="10">
        <f t="shared" si="17"/>
        <v>0</v>
      </c>
      <c r="AA28" s="71"/>
      <c r="AB28" s="10">
        <f t="shared" si="4"/>
        <v>0</v>
      </c>
      <c r="AC28" s="10">
        <f t="shared" si="18"/>
        <v>0</v>
      </c>
      <c r="AD28" s="71"/>
      <c r="AE28" s="10">
        <f t="shared" si="5"/>
        <v>0</v>
      </c>
      <c r="AF28" s="10">
        <f t="shared" si="19"/>
        <v>0</v>
      </c>
      <c r="AG28" s="71"/>
      <c r="AH28" s="72">
        <f t="shared" si="20"/>
        <v>15000</v>
      </c>
      <c r="AI28" s="10">
        <f t="shared" si="21"/>
        <v>9916.7670872792878</v>
      </c>
      <c r="AJ28" s="71"/>
      <c r="AK28" s="10">
        <f t="shared" si="22"/>
        <v>0</v>
      </c>
      <c r="AL28" s="10">
        <f t="shared" si="23"/>
        <v>0</v>
      </c>
      <c r="AM28" s="71"/>
      <c r="AN28" s="10">
        <f t="shared" si="6"/>
        <v>0</v>
      </c>
      <c r="AO28" s="10">
        <f t="shared" si="24"/>
        <v>0</v>
      </c>
      <c r="AP28" s="71"/>
      <c r="AQ28" s="10">
        <f t="shared" si="7"/>
        <v>0</v>
      </c>
      <c r="AR28" s="10">
        <f t="shared" si="25"/>
        <v>0</v>
      </c>
      <c r="AS28" s="71"/>
      <c r="AT28" s="7">
        <f>IF($K28&lt;=$F$15,IF($F$40&lt;&gt;"",$F$40/1000,IF(ISERROR(VLOOKUP($F$3&amp;IF($G$4&lt;&gt;"",$G$4,"")&amp;IF($F$43&lt;&gt;"","_"&amp;$F$43,""),'表3）燃料価格'!$AF$9:$AG$25,2,0)),0,VLOOKUP($I28,'表3）燃料価格'!$A$6:$U$66,VLOOKUP($F$3&amp;IF($G$4&lt;&gt;"",$G$4,"")&amp;IF($F$43&lt;&gt;"","_"&amp;$F$43,""),'表3）燃料価格'!$AF$9:$AG$25,2,0)+VLOOKUP($F$41,'表3）燃料価格'!$AF$28:$AG$29,2,0),0)*IF($F$43="需要地価格",1,$F$8/$F$141))),"")</f>
        <v>0</v>
      </c>
      <c r="AU28" s="71"/>
      <c r="AV28" s="10">
        <f t="shared" si="8"/>
        <v>0</v>
      </c>
      <c r="AW28" s="10">
        <f t="shared" si="26"/>
        <v>0</v>
      </c>
      <c r="AX28" s="71"/>
      <c r="AY28" s="7">
        <f>IF(ISERROR(IF($K28&lt;=$F$15,VLOOKUP($I28,'表4）CO2価格'!$A$7:$E$67,VLOOKUP($F$48,'表4）CO2価格'!$H$10:$I$12,2,0),0)*$F$8/1000,"")),0,IF($K28&lt;=$F$15,VLOOKUP($I28,'表4）CO2価格'!$A$7:$E$67,VLOOKUP($F$48,'表4）CO2価格'!$H$10:$I$12,2,0),0)*$F$8/1000,""))</f>
        <v>0</v>
      </c>
      <c r="AZ28" s="71"/>
      <c r="BA28" s="11">
        <f t="shared" si="9"/>
        <v>0</v>
      </c>
      <c r="BB28" s="10">
        <f t="shared" si="27"/>
        <v>0</v>
      </c>
      <c r="BC28" s="71"/>
      <c r="BD28" s="10">
        <f t="shared" si="10"/>
        <v>0</v>
      </c>
      <c r="BE28" s="10">
        <f t="shared" si="28"/>
        <v>0</v>
      </c>
      <c r="BF28" s="71"/>
      <c r="BG28" s="11">
        <f t="shared" si="11"/>
        <v>0</v>
      </c>
      <c r="BH28" s="10">
        <f t="shared" si="29"/>
        <v>0</v>
      </c>
      <c r="BJ28" s="10"/>
      <c r="BK28" s="158"/>
      <c r="BL28" s="158"/>
      <c r="BM28" s="10"/>
      <c r="BN28" s="10"/>
      <c r="BO28" s="10"/>
      <c r="BP28" s="71"/>
      <c r="BQ28" s="10">
        <f t="shared" si="12"/>
        <v>6044.4</v>
      </c>
      <c r="BR28" s="10">
        <f t="shared" si="30"/>
        <v>3996.0604654900617</v>
      </c>
    </row>
    <row r="29" spans="3:70" x14ac:dyDescent="0.15">
      <c r="D29" s="81" t="s">
        <v>117</v>
      </c>
      <c r="F29" s="59"/>
      <c r="G29" s="81" t="s">
        <v>176</v>
      </c>
      <c r="I29" s="458">
        <f t="shared" si="31"/>
        <v>2034</v>
      </c>
      <c r="J29" s="39"/>
      <c r="K29" s="39">
        <f t="shared" si="32"/>
        <v>15</v>
      </c>
      <c r="L29" s="39"/>
      <c r="M29" s="40">
        <f t="shared" si="0"/>
        <v>0.64186194739671765</v>
      </c>
      <c r="N29" s="39"/>
      <c r="O29" s="72">
        <f t="shared" si="13"/>
        <v>130640.06517567352</v>
      </c>
      <c r="P29" s="41" t="str">
        <f t="shared" si="1"/>
        <v>-</v>
      </c>
      <c r="Q29" s="39"/>
      <c r="R29" s="72">
        <f t="shared" si="14"/>
        <v>225947.26470068007</v>
      </c>
      <c r="S29" s="39"/>
      <c r="T29" s="72">
        <f t="shared" si="15"/>
        <v>225000</v>
      </c>
      <c r="U29" s="39"/>
      <c r="V29" s="72">
        <f t="shared" si="2"/>
        <v>43721.224217109178</v>
      </c>
      <c r="W29" s="72">
        <f t="shared" si="16"/>
        <v>28062.990118562229</v>
      </c>
      <c r="X29" s="39"/>
      <c r="Y29" s="72">
        <f t="shared" si="3"/>
        <v>0</v>
      </c>
      <c r="Z29" s="72">
        <f t="shared" si="17"/>
        <v>0</v>
      </c>
      <c r="AA29" s="39"/>
      <c r="AB29" s="72">
        <f t="shared" si="4"/>
        <v>0</v>
      </c>
      <c r="AC29" s="72">
        <f t="shared" si="18"/>
        <v>0</v>
      </c>
      <c r="AD29" s="39"/>
      <c r="AE29" s="72">
        <f t="shared" si="5"/>
        <v>0</v>
      </c>
      <c r="AF29" s="72">
        <f t="shared" si="19"/>
        <v>0</v>
      </c>
      <c r="AG29" s="39"/>
      <c r="AH29" s="72">
        <f t="shared" si="20"/>
        <v>15000</v>
      </c>
      <c r="AI29" s="72">
        <f t="shared" si="21"/>
        <v>9627.9292109507642</v>
      </c>
      <c r="AJ29" s="39"/>
      <c r="AK29" s="72">
        <f t="shared" si="22"/>
        <v>0</v>
      </c>
      <c r="AL29" s="72">
        <f t="shared" si="23"/>
        <v>0</v>
      </c>
      <c r="AM29" s="39"/>
      <c r="AN29" s="72">
        <f t="shared" si="6"/>
        <v>0</v>
      </c>
      <c r="AO29" s="72">
        <f t="shared" si="24"/>
        <v>0</v>
      </c>
      <c r="AP29" s="39"/>
      <c r="AQ29" s="72">
        <f t="shared" si="7"/>
        <v>0</v>
      </c>
      <c r="AR29" s="72">
        <f t="shared" si="25"/>
        <v>0</v>
      </c>
      <c r="AS29" s="39"/>
      <c r="AT29" s="40">
        <f>IF($K29&lt;=$F$15,IF($F$40&lt;&gt;"",$F$40/1000,IF(ISERROR(VLOOKUP($F$3&amp;IF($G$4&lt;&gt;"",$G$4,"")&amp;IF($F$43&lt;&gt;"","_"&amp;$F$43,""),'表3）燃料価格'!$AF$9:$AG$25,2,0)),0,VLOOKUP($I29,'表3）燃料価格'!$A$6:$U$66,VLOOKUP($F$3&amp;IF($G$4&lt;&gt;"",$G$4,"")&amp;IF($F$43&lt;&gt;"","_"&amp;$F$43,""),'表3）燃料価格'!$AF$9:$AG$25,2,0)+VLOOKUP($F$41,'表3）燃料価格'!$AF$28:$AG$29,2,0),0)*IF($F$43="需要地価格",1,$F$8/$F$141))),"")</f>
        <v>0</v>
      </c>
      <c r="AU29" s="39"/>
      <c r="AV29" s="72">
        <f t="shared" si="8"/>
        <v>0</v>
      </c>
      <c r="AW29" s="72">
        <f t="shared" si="26"/>
        <v>0</v>
      </c>
      <c r="AX29" s="39"/>
      <c r="AY29" s="40">
        <f>IF(ISERROR(IF($K29&lt;=$F$15,VLOOKUP($I29,'表4）CO2価格'!$A$7:$E$67,VLOOKUP($F$48,'表4）CO2価格'!$H$10:$I$12,2,0),0)*$F$8/1000,"")),0,IF($K29&lt;=$F$15,VLOOKUP($I29,'表4）CO2価格'!$A$7:$E$67,VLOOKUP($F$48,'表4）CO2価格'!$H$10:$I$12,2,0),0)*$F$8/1000,""))</f>
        <v>0</v>
      </c>
      <c r="AZ29" s="39"/>
      <c r="BA29" s="42">
        <f t="shared" si="9"/>
        <v>0</v>
      </c>
      <c r="BB29" s="72">
        <f t="shared" si="27"/>
        <v>0</v>
      </c>
      <c r="BC29" s="39"/>
      <c r="BD29" s="72">
        <f t="shared" si="10"/>
        <v>0</v>
      </c>
      <c r="BE29" s="72">
        <f t="shared" si="28"/>
        <v>0</v>
      </c>
      <c r="BF29" s="39"/>
      <c r="BG29" s="42">
        <f t="shared" si="11"/>
        <v>0</v>
      </c>
      <c r="BH29" s="72">
        <f t="shared" si="29"/>
        <v>0</v>
      </c>
      <c r="BI29" s="39"/>
      <c r="BJ29" s="72"/>
      <c r="BK29" s="157"/>
      <c r="BL29" s="157"/>
      <c r="BM29" s="72"/>
      <c r="BN29" s="72"/>
      <c r="BO29" s="72"/>
      <c r="BP29" s="39"/>
      <c r="BQ29" s="72">
        <f t="shared" si="12"/>
        <v>6044.4</v>
      </c>
      <c r="BR29" s="72">
        <f t="shared" si="30"/>
        <v>3879.6703548447199</v>
      </c>
    </row>
    <row r="30" spans="3:70" x14ac:dyDescent="0.15">
      <c r="I30" s="459">
        <f t="shared" si="31"/>
        <v>2035</v>
      </c>
      <c r="J30" s="71"/>
      <c r="K30" s="71">
        <f t="shared" si="32"/>
        <v>16</v>
      </c>
      <c r="L30" s="71"/>
      <c r="M30" s="7">
        <f t="shared" si="0"/>
        <v>0.62316693922011435</v>
      </c>
      <c r="N30" s="71"/>
      <c r="O30" s="10">
        <f t="shared" si="13"/>
        <v>86918.840958564339</v>
      </c>
      <c r="P30" s="29" t="str">
        <f t="shared" si="1"/>
        <v>-</v>
      </c>
      <c r="Q30" s="71"/>
      <c r="R30" s="10">
        <f t="shared" si="14"/>
        <v>197325.65758194542</v>
      </c>
      <c r="S30" s="71"/>
      <c r="T30" s="10">
        <f t="shared" si="15"/>
        <v>197000</v>
      </c>
      <c r="U30" s="71"/>
      <c r="V30" s="10">
        <f t="shared" si="2"/>
        <v>43721.224217109178</v>
      </c>
      <c r="W30" s="10">
        <f t="shared" si="16"/>
        <v>27245.621474332267</v>
      </c>
      <c r="X30" s="71"/>
      <c r="Y30" s="10">
        <f t="shared" si="3"/>
        <v>0</v>
      </c>
      <c r="Z30" s="10">
        <f t="shared" si="17"/>
        <v>0</v>
      </c>
      <c r="AA30" s="71"/>
      <c r="AB30" s="10">
        <f t="shared" si="4"/>
        <v>0</v>
      </c>
      <c r="AC30" s="10">
        <f t="shared" si="18"/>
        <v>0</v>
      </c>
      <c r="AD30" s="71"/>
      <c r="AE30" s="10">
        <f t="shared" si="5"/>
        <v>0</v>
      </c>
      <c r="AF30" s="10">
        <f t="shared" si="19"/>
        <v>0</v>
      </c>
      <c r="AG30" s="71"/>
      <c r="AH30" s="72">
        <f t="shared" si="20"/>
        <v>15000</v>
      </c>
      <c r="AI30" s="10">
        <f t="shared" si="21"/>
        <v>9347.5040883017155</v>
      </c>
      <c r="AJ30" s="71"/>
      <c r="AK30" s="10">
        <f t="shared" si="22"/>
        <v>0</v>
      </c>
      <c r="AL30" s="10">
        <f t="shared" si="23"/>
        <v>0</v>
      </c>
      <c r="AM30" s="71"/>
      <c r="AN30" s="10">
        <f t="shared" si="6"/>
        <v>0</v>
      </c>
      <c r="AO30" s="10">
        <f t="shared" si="24"/>
        <v>0</v>
      </c>
      <c r="AP30" s="71"/>
      <c r="AQ30" s="10">
        <f t="shared" si="7"/>
        <v>0</v>
      </c>
      <c r="AR30" s="10">
        <f t="shared" si="25"/>
        <v>0</v>
      </c>
      <c r="AS30" s="71"/>
      <c r="AT30" s="7">
        <f>IF($K30&lt;=$F$15,IF($F$40&lt;&gt;"",$F$40/1000,IF(ISERROR(VLOOKUP($F$3&amp;IF($G$4&lt;&gt;"",$G$4,"")&amp;IF($F$43&lt;&gt;"","_"&amp;$F$43,""),'表3）燃料価格'!$AF$9:$AG$25,2,0)),0,VLOOKUP($I30,'表3）燃料価格'!$A$6:$U$66,VLOOKUP($F$3&amp;IF($G$4&lt;&gt;"",$G$4,"")&amp;IF($F$43&lt;&gt;"","_"&amp;$F$43,""),'表3）燃料価格'!$AF$9:$AG$25,2,0)+VLOOKUP($F$41,'表3）燃料価格'!$AF$28:$AG$29,2,0),0)*IF($F$43="需要地価格",1,$F$8/$F$141))),"")</f>
        <v>0</v>
      </c>
      <c r="AU30" s="71"/>
      <c r="AV30" s="10">
        <f t="shared" si="8"/>
        <v>0</v>
      </c>
      <c r="AW30" s="10">
        <f t="shared" si="26"/>
        <v>0</v>
      </c>
      <c r="AX30" s="71"/>
      <c r="AY30" s="7">
        <f>IF(ISERROR(IF($K30&lt;=$F$15,VLOOKUP($I30,'表4）CO2価格'!$A$7:$E$67,VLOOKUP($F$48,'表4）CO2価格'!$H$10:$I$12,2,0),0)*$F$8/1000,"")),0,IF($K30&lt;=$F$15,VLOOKUP($I30,'表4）CO2価格'!$A$7:$E$67,VLOOKUP($F$48,'表4）CO2価格'!$H$10:$I$12,2,0),0)*$F$8/1000,""))</f>
        <v>0</v>
      </c>
      <c r="AZ30" s="71"/>
      <c r="BA30" s="11">
        <f t="shared" si="9"/>
        <v>0</v>
      </c>
      <c r="BB30" s="10">
        <f t="shared" si="27"/>
        <v>0</v>
      </c>
      <c r="BC30" s="71"/>
      <c r="BD30" s="10">
        <f t="shared" si="10"/>
        <v>0</v>
      </c>
      <c r="BE30" s="10">
        <f t="shared" si="28"/>
        <v>0</v>
      </c>
      <c r="BF30" s="71"/>
      <c r="BG30" s="11">
        <f t="shared" si="11"/>
        <v>0</v>
      </c>
      <c r="BH30" s="10">
        <f t="shared" si="29"/>
        <v>0</v>
      </c>
      <c r="BJ30" s="10"/>
      <c r="BK30" s="158"/>
      <c r="BL30" s="158"/>
      <c r="BM30" s="10"/>
      <c r="BN30" s="10"/>
      <c r="BO30" s="10"/>
      <c r="BP30" s="71"/>
      <c r="BQ30" s="10">
        <f t="shared" si="12"/>
        <v>6044.4</v>
      </c>
      <c r="BR30" s="10">
        <f t="shared" si="30"/>
        <v>3766.6702474220588</v>
      </c>
    </row>
    <row r="31" spans="3:70" x14ac:dyDescent="0.15">
      <c r="C31" s="89" t="s">
        <v>507</v>
      </c>
      <c r="D31" s="101"/>
      <c r="E31" s="101"/>
      <c r="F31" s="89"/>
      <c r="G31" s="101"/>
      <c r="I31" s="458">
        <f t="shared" si="31"/>
        <v>2036</v>
      </c>
      <c r="J31" s="39"/>
      <c r="K31" s="39">
        <f t="shared" si="32"/>
        <v>17</v>
      </c>
      <c r="L31" s="39"/>
      <c r="M31" s="40">
        <f t="shared" si="0"/>
        <v>0.60501644584477121</v>
      </c>
      <c r="N31" s="39"/>
      <c r="O31" s="72">
        <f t="shared" si="13"/>
        <v>43197.61674145516</v>
      </c>
      <c r="P31" s="41" t="str">
        <f t="shared" si="1"/>
        <v>-</v>
      </c>
      <c r="Q31" s="39"/>
      <c r="R31" s="72">
        <f t="shared" si="14"/>
        <v>172329.6592757114</v>
      </c>
      <c r="S31" s="39"/>
      <c r="T31" s="72">
        <f t="shared" si="15"/>
        <v>172000</v>
      </c>
      <c r="U31" s="39"/>
      <c r="V31" s="72">
        <f t="shared" si="2"/>
        <v>43197.61674145516</v>
      </c>
      <c r="W31" s="72">
        <f t="shared" si="16"/>
        <v>26135.268549879787</v>
      </c>
      <c r="X31" s="39"/>
      <c r="Y31" s="72">
        <f t="shared" si="3"/>
        <v>0</v>
      </c>
      <c r="Z31" s="72">
        <f t="shared" si="17"/>
        <v>0</v>
      </c>
      <c r="AA31" s="39"/>
      <c r="AB31" s="72">
        <f t="shared" si="4"/>
        <v>0</v>
      </c>
      <c r="AC31" s="72">
        <f t="shared" si="18"/>
        <v>0</v>
      </c>
      <c r="AD31" s="39"/>
      <c r="AE31" s="72">
        <f t="shared" si="5"/>
        <v>0</v>
      </c>
      <c r="AF31" s="72">
        <f t="shared" si="19"/>
        <v>0</v>
      </c>
      <c r="AG31" s="39"/>
      <c r="AH31" s="72">
        <f t="shared" si="20"/>
        <v>15000</v>
      </c>
      <c r="AI31" s="72">
        <f t="shared" si="21"/>
        <v>9075.246687671568</v>
      </c>
      <c r="AJ31" s="39"/>
      <c r="AK31" s="72">
        <f t="shared" si="22"/>
        <v>0</v>
      </c>
      <c r="AL31" s="72">
        <f t="shared" si="23"/>
        <v>0</v>
      </c>
      <c r="AM31" s="39"/>
      <c r="AN31" s="72">
        <f t="shared" si="6"/>
        <v>0</v>
      </c>
      <c r="AO31" s="72">
        <f t="shared" si="24"/>
        <v>0</v>
      </c>
      <c r="AP31" s="39"/>
      <c r="AQ31" s="72">
        <f t="shared" si="7"/>
        <v>0</v>
      </c>
      <c r="AR31" s="72">
        <f t="shared" si="25"/>
        <v>0</v>
      </c>
      <c r="AS31" s="39"/>
      <c r="AT31" s="40">
        <f>IF($K31&lt;=$F$15,IF($F$40&lt;&gt;"",$F$40/1000,IF(ISERROR(VLOOKUP($F$3&amp;IF($G$4&lt;&gt;"",$G$4,"")&amp;IF($F$43&lt;&gt;"","_"&amp;$F$43,""),'表3）燃料価格'!$AF$9:$AG$25,2,0)),0,VLOOKUP($I31,'表3）燃料価格'!$A$6:$U$66,VLOOKUP($F$3&amp;IF($G$4&lt;&gt;"",$G$4,"")&amp;IF($F$43&lt;&gt;"","_"&amp;$F$43,""),'表3）燃料価格'!$AF$9:$AG$25,2,0)+VLOOKUP($F$41,'表3）燃料価格'!$AF$28:$AG$29,2,0),0)*IF($F$43="需要地価格",1,$F$8/$F$141))),"")</f>
        <v>0</v>
      </c>
      <c r="AU31" s="39"/>
      <c r="AV31" s="72">
        <f t="shared" si="8"/>
        <v>0</v>
      </c>
      <c r="AW31" s="72">
        <f t="shared" si="26"/>
        <v>0</v>
      </c>
      <c r="AX31" s="39"/>
      <c r="AY31" s="40">
        <f>IF(ISERROR(IF($K31&lt;=$F$15,VLOOKUP($I31,'表4）CO2価格'!$A$7:$E$67,VLOOKUP($F$48,'表4）CO2価格'!$H$10:$I$12,2,0),0)*$F$8/1000,"")),0,IF($K31&lt;=$F$15,VLOOKUP($I31,'表4）CO2価格'!$A$7:$E$67,VLOOKUP($F$48,'表4）CO2価格'!$H$10:$I$12,2,0),0)*$F$8/1000,""))</f>
        <v>0</v>
      </c>
      <c r="AZ31" s="39"/>
      <c r="BA31" s="42">
        <f t="shared" si="9"/>
        <v>0</v>
      </c>
      <c r="BB31" s="72">
        <f t="shared" si="27"/>
        <v>0</v>
      </c>
      <c r="BC31" s="39"/>
      <c r="BD31" s="72">
        <f t="shared" si="10"/>
        <v>0</v>
      </c>
      <c r="BE31" s="72">
        <f t="shared" si="28"/>
        <v>0</v>
      </c>
      <c r="BF31" s="39"/>
      <c r="BG31" s="42">
        <f t="shared" si="11"/>
        <v>0</v>
      </c>
      <c r="BH31" s="72">
        <f t="shared" si="29"/>
        <v>0</v>
      </c>
      <c r="BI31" s="39"/>
      <c r="BJ31" s="72"/>
      <c r="BK31" s="157"/>
      <c r="BL31" s="157"/>
      <c r="BM31" s="72"/>
      <c r="BN31" s="72"/>
      <c r="BO31" s="72"/>
      <c r="BP31" s="39"/>
      <c r="BQ31" s="72">
        <f t="shared" si="12"/>
        <v>6044.4</v>
      </c>
      <c r="BR31" s="72">
        <f t="shared" si="30"/>
        <v>3656.961405264135</v>
      </c>
    </row>
    <row r="32" spans="3:70" x14ac:dyDescent="0.15">
      <c r="I32" s="459">
        <f t="shared" si="31"/>
        <v>2037</v>
      </c>
      <c r="J32" s="71"/>
      <c r="K32" s="71">
        <f t="shared" si="32"/>
        <v>18</v>
      </c>
      <c r="L32" s="71"/>
      <c r="M32" s="7">
        <f t="shared" si="0"/>
        <v>0.5873946076162827</v>
      </c>
      <c r="N32" s="71"/>
      <c r="O32" s="10">
        <f t="shared" si="13"/>
        <v>0</v>
      </c>
      <c r="P32" s="29" t="str">
        <f t="shared" si="1"/>
        <v>-</v>
      </c>
      <c r="Q32" s="71"/>
      <c r="R32" s="10">
        <f t="shared" si="14"/>
        <v>150500</v>
      </c>
      <c r="S32" s="71"/>
      <c r="T32" s="10">
        <f t="shared" si="15"/>
        <v>150000</v>
      </c>
      <c r="U32" s="71"/>
      <c r="V32" s="10">
        <f t="shared" si="2"/>
        <v>0</v>
      </c>
      <c r="W32" s="10">
        <f t="shared" si="16"/>
        <v>0</v>
      </c>
      <c r="X32" s="71"/>
      <c r="Y32" s="10">
        <f t="shared" si="3"/>
        <v>0</v>
      </c>
      <c r="Z32" s="10">
        <f t="shared" si="17"/>
        <v>0</v>
      </c>
      <c r="AA32" s="71"/>
      <c r="AB32" s="10">
        <f t="shared" si="4"/>
        <v>0</v>
      </c>
      <c r="AC32" s="10">
        <f t="shared" si="18"/>
        <v>0</v>
      </c>
      <c r="AD32" s="71"/>
      <c r="AE32" s="10">
        <f t="shared" si="5"/>
        <v>0</v>
      </c>
      <c r="AF32" s="10">
        <f t="shared" si="19"/>
        <v>0</v>
      </c>
      <c r="AG32" s="71"/>
      <c r="AH32" s="72">
        <f t="shared" si="20"/>
        <v>15000</v>
      </c>
      <c r="AI32" s="10">
        <f t="shared" si="21"/>
        <v>8810.9191142442414</v>
      </c>
      <c r="AJ32" s="71"/>
      <c r="AK32" s="10">
        <f t="shared" si="22"/>
        <v>0</v>
      </c>
      <c r="AL32" s="10">
        <f t="shared" si="23"/>
        <v>0</v>
      </c>
      <c r="AM32" s="71"/>
      <c r="AN32" s="10">
        <f t="shared" si="6"/>
        <v>0</v>
      </c>
      <c r="AO32" s="10">
        <f t="shared" si="24"/>
        <v>0</v>
      </c>
      <c r="AP32" s="71"/>
      <c r="AQ32" s="10">
        <f t="shared" si="7"/>
        <v>0</v>
      </c>
      <c r="AR32" s="10">
        <f t="shared" si="25"/>
        <v>0</v>
      </c>
      <c r="AS32" s="71"/>
      <c r="AT32" s="7">
        <f>IF($K32&lt;=$F$15,IF($F$40&lt;&gt;"",$F$40/1000,IF(ISERROR(VLOOKUP($F$3&amp;IF($G$4&lt;&gt;"",$G$4,"")&amp;IF($F$43&lt;&gt;"","_"&amp;$F$43,""),'表3）燃料価格'!$AF$9:$AG$25,2,0)),0,VLOOKUP($I32,'表3）燃料価格'!$A$6:$U$66,VLOOKUP($F$3&amp;IF($G$4&lt;&gt;"",$G$4,"")&amp;IF($F$43&lt;&gt;"","_"&amp;$F$43,""),'表3）燃料価格'!$AF$9:$AG$25,2,0)+VLOOKUP($F$41,'表3）燃料価格'!$AF$28:$AG$29,2,0),0)*IF($F$43="需要地価格",1,$F$8/$F$141))),"")</f>
        <v>0</v>
      </c>
      <c r="AU32" s="71"/>
      <c r="AV32" s="10">
        <f t="shared" si="8"/>
        <v>0</v>
      </c>
      <c r="AW32" s="10">
        <f t="shared" si="26"/>
        <v>0</v>
      </c>
      <c r="AX32" s="71"/>
      <c r="AY32" s="7">
        <f>IF(ISERROR(IF($K32&lt;=$F$15,VLOOKUP($I32,'表4）CO2価格'!$A$7:$E$67,VLOOKUP($F$48,'表4）CO2価格'!$H$10:$I$12,2,0),0)*$F$8/1000,"")),0,IF($K32&lt;=$F$15,VLOOKUP($I32,'表4）CO2価格'!$A$7:$E$67,VLOOKUP($F$48,'表4）CO2価格'!$H$10:$I$12,2,0),0)*$F$8/1000,""))</f>
        <v>0</v>
      </c>
      <c r="AZ32" s="71"/>
      <c r="BA32" s="11">
        <f t="shared" si="9"/>
        <v>0</v>
      </c>
      <c r="BB32" s="10">
        <f t="shared" si="27"/>
        <v>0</v>
      </c>
      <c r="BC32" s="71"/>
      <c r="BD32" s="10">
        <f t="shared" si="10"/>
        <v>0</v>
      </c>
      <c r="BE32" s="10">
        <f t="shared" si="28"/>
        <v>0</v>
      </c>
      <c r="BF32" s="71"/>
      <c r="BG32" s="11">
        <f t="shared" si="11"/>
        <v>0</v>
      </c>
      <c r="BH32" s="10">
        <f t="shared" si="29"/>
        <v>0</v>
      </c>
      <c r="BJ32" s="10"/>
      <c r="BK32" s="158"/>
      <c r="BL32" s="158"/>
      <c r="BM32" s="10"/>
      <c r="BN32" s="10"/>
      <c r="BO32" s="10"/>
      <c r="BP32" s="71"/>
      <c r="BQ32" s="10">
        <f t="shared" si="12"/>
        <v>6044.4</v>
      </c>
      <c r="BR32" s="10">
        <f t="shared" si="30"/>
        <v>3550.447966275859</v>
      </c>
    </row>
    <row r="33" spans="3:70" x14ac:dyDescent="0.15">
      <c r="D33" s="82" t="s">
        <v>232</v>
      </c>
      <c r="F33" s="319">
        <v>0.3</v>
      </c>
      <c r="G33" s="82" t="s">
        <v>241</v>
      </c>
      <c r="I33" s="458">
        <f t="shared" si="31"/>
        <v>2038</v>
      </c>
      <c r="J33" s="39"/>
      <c r="K33" s="39">
        <f t="shared" si="32"/>
        <v>19</v>
      </c>
      <c r="L33" s="39"/>
      <c r="M33" s="40">
        <f t="shared" si="0"/>
        <v>0.57028602681192497</v>
      </c>
      <c r="N33" s="39"/>
      <c r="O33" s="72">
        <f t="shared" si="13"/>
        <v>0</v>
      </c>
      <c r="P33" s="41" t="str">
        <f t="shared" si="1"/>
        <v>-</v>
      </c>
      <c r="Q33" s="39"/>
      <c r="R33" s="72">
        <f t="shared" si="14"/>
        <v>131435.58743861792</v>
      </c>
      <c r="S33" s="39"/>
      <c r="T33" s="72">
        <f t="shared" si="15"/>
        <v>131000</v>
      </c>
      <c r="U33" s="39"/>
      <c r="V33" s="72">
        <f t="shared" si="2"/>
        <v>0</v>
      </c>
      <c r="W33" s="72">
        <f t="shared" si="16"/>
        <v>0</v>
      </c>
      <c r="X33" s="39"/>
      <c r="Y33" s="72">
        <f t="shared" si="3"/>
        <v>0</v>
      </c>
      <c r="Z33" s="72">
        <f t="shared" si="17"/>
        <v>0</v>
      </c>
      <c r="AA33" s="39"/>
      <c r="AB33" s="72">
        <f t="shared" si="4"/>
        <v>0</v>
      </c>
      <c r="AC33" s="72">
        <f t="shared" si="18"/>
        <v>0</v>
      </c>
      <c r="AD33" s="39"/>
      <c r="AE33" s="72">
        <f t="shared" si="5"/>
        <v>0</v>
      </c>
      <c r="AF33" s="72">
        <f t="shared" si="19"/>
        <v>0</v>
      </c>
      <c r="AG33" s="39"/>
      <c r="AH33" s="72">
        <f t="shared" si="20"/>
        <v>15000</v>
      </c>
      <c r="AI33" s="72">
        <f t="shared" si="21"/>
        <v>8554.2904021788745</v>
      </c>
      <c r="AJ33" s="39"/>
      <c r="AK33" s="72">
        <f t="shared" si="22"/>
        <v>0</v>
      </c>
      <c r="AL33" s="72">
        <f t="shared" si="23"/>
        <v>0</v>
      </c>
      <c r="AM33" s="39"/>
      <c r="AN33" s="72">
        <f t="shared" si="6"/>
        <v>0</v>
      </c>
      <c r="AO33" s="72">
        <f t="shared" si="24"/>
        <v>0</v>
      </c>
      <c r="AP33" s="39"/>
      <c r="AQ33" s="72">
        <f t="shared" si="7"/>
        <v>0</v>
      </c>
      <c r="AR33" s="72">
        <f t="shared" si="25"/>
        <v>0</v>
      </c>
      <c r="AS33" s="39"/>
      <c r="AT33" s="40">
        <f>IF($K33&lt;=$F$15,IF($F$40&lt;&gt;"",$F$40/1000,IF(ISERROR(VLOOKUP($F$3&amp;IF($G$4&lt;&gt;"",$G$4,"")&amp;IF($F$43&lt;&gt;"","_"&amp;$F$43,""),'表3）燃料価格'!$AF$9:$AG$25,2,0)),0,VLOOKUP($I33,'表3）燃料価格'!$A$6:$U$66,VLOOKUP($F$3&amp;IF($G$4&lt;&gt;"",$G$4,"")&amp;IF($F$43&lt;&gt;"","_"&amp;$F$43,""),'表3）燃料価格'!$AF$9:$AG$25,2,0)+VLOOKUP($F$41,'表3）燃料価格'!$AF$28:$AG$29,2,0),0)*IF($F$43="需要地価格",1,$F$8/$F$141))),"")</f>
        <v>0</v>
      </c>
      <c r="AU33" s="39"/>
      <c r="AV33" s="72">
        <f t="shared" si="8"/>
        <v>0</v>
      </c>
      <c r="AW33" s="72">
        <f t="shared" si="26"/>
        <v>0</v>
      </c>
      <c r="AX33" s="39"/>
      <c r="AY33" s="40">
        <f>IF(ISERROR(IF($K33&lt;=$F$15,VLOOKUP($I33,'表4）CO2価格'!$A$7:$E$67,VLOOKUP($F$48,'表4）CO2価格'!$H$10:$I$12,2,0),0)*$F$8/1000,"")),0,IF($K33&lt;=$F$15,VLOOKUP($I33,'表4）CO2価格'!$A$7:$E$67,VLOOKUP($F$48,'表4）CO2価格'!$H$10:$I$12,2,0),0)*$F$8/1000,""))</f>
        <v>0</v>
      </c>
      <c r="AZ33" s="39"/>
      <c r="BA33" s="42">
        <f t="shared" si="9"/>
        <v>0</v>
      </c>
      <c r="BB33" s="72">
        <f t="shared" si="27"/>
        <v>0</v>
      </c>
      <c r="BC33" s="39"/>
      <c r="BD33" s="72">
        <f t="shared" si="10"/>
        <v>0</v>
      </c>
      <c r="BE33" s="72">
        <f t="shared" si="28"/>
        <v>0</v>
      </c>
      <c r="BF33" s="39"/>
      <c r="BG33" s="42">
        <f t="shared" si="11"/>
        <v>0</v>
      </c>
      <c r="BH33" s="72">
        <f t="shared" si="29"/>
        <v>0</v>
      </c>
      <c r="BI33" s="39"/>
      <c r="BJ33" s="72"/>
      <c r="BK33" s="157"/>
      <c r="BL33" s="157"/>
      <c r="BM33" s="72"/>
      <c r="BN33" s="72"/>
      <c r="BO33" s="72"/>
      <c r="BP33" s="39"/>
      <c r="BQ33" s="72">
        <f t="shared" si="12"/>
        <v>6044.4</v>
      </c>
      <c r="BR33" s="72">
        <f t="shared" si="30"/>
        <v>3447.0368604619989</v>
      </c>
    </row>
    <row r="34" spans="3:70" x14ac:dyDescent="0.15">
      <c r="E34" s="115"/>
      <c r="F34" s="317"/>
      <c r="I34" s="459">
        <f t="shared" si="31"/>
        <v>2039</v>
      </c>
      <c r="J34" s="71"/>
      <c r="K34" s="71">
        <f t="shared" si="32"/>
        <v>20</v>
      </c>
      <c r="L34" s="71"/>
      <c r="M34" s="7">
        <f t="shared" si="0"/>
        <v>0.55367575418633497</v>
      </c>
      <c r="N34" s="71"/>
      <c r="O34" s="10">
        <f t="shared" si="13"/>
        <v>0</v>
      </c>
      <c r="P34" s="29" t="str">
        <f t="shared" si="1"/>
        <v>-</v>
      </c>
      <c r="Q34" s="71"/>
      <c r="R34" s="10">
        <f t="shared" si="14"/>
        <v>114786.13717830283</v>
      </c>
      <c r="S34" s="71"/>
      <c r="T34" s="10">
        <f t="shared" si="15"/>
        <v>114000</v>
      </c>
      <c r="U34" s="71"/>
      <c r="V34" s="10">
        <f t="shared" si="2"/>
        <v>0</v>
      </c>
      <c r="W34" s="10">
        <f t="shared" si="16"/>
        <v>0</v>
      </c>
      <c r="X34" s="71"/>
      <c r="Y34" s="10">
        <f t="shared" si="3"/>
        <v>0</v>
      </c>
      <c r="Z34" s="10">
        <f t="shared" si="17"/>
        <v>0</v>
      </c>
      <c r="AA34" s="71"/>
      <c r="AB34" s="10">
        <f t="shared" si="4"/>
        <v>0</v>
      </c>
      <c r="AC34" s="10">
        <f t="shared" si="18"/>
        <v>0</v>
      </c>
      <c r="AD34" s="71"/>
      <c r="AE34" s="10">
        <f t="shared" si="5"/>
        <v>0</v>
      </c>
      <c r="AF34" s="10">
        <f t="shared" si="19"/>
        <v>0</v>
      </c>
      <c r="AG34" s="71"/>
      <c r="AH34" s="72">
        <f t="shared" si="20"/>
        <v>15000</v>
      </c>
      <c r="AI34" s="10">
        <f t="shared" si="21"/>
        <v>8305.1363127950244</v>
      </c>
      <c r="AJ34" s="71"/>
      <c r="AK34" s="10">
        <f t="shared" si="22"/>
        <v>0</v>
      </c>
      <c r="AL34" s="10">
        <f t="shared" si="23"/>
        <v>0</v>
      </c>
      <c r="AM34" s="71"/>
      <c r="AN34" s="10">
        <f t="shared" si="6"/>
        <v>0</v>
      </c>
      <c r="AO34" s="10">
        <f t="shared" si="24"/>
        <v>0</v>
      </c>
      <c r="AP34" s="71"/>
      <c r="AQ34" s="10">
        <f t="shared" si="7"/>
        <v>0</v>
      </c>
      <c r="AR34" s="10">
        <f t="shared" si="25"/>
        <v>0</v>
      </c>
      <c r="AS34" s="71"/>
      <c r="AT34" s="7">
        <f>IF($K34&lt;=$F$15,IF($F$40&lt;&gt;"",$F$40/1000,IF(ISERROR(VLOOKUP($F$3&amp;IF($G$4&lt;&gt;"",$G$4,"")&amp;IF($F$43&lt;&gt;"","_"&amp;$F$43,""),'表3）燃料価格'!$AF$9:$AG$25,2,0)),0,VLOOKUP($I34,'表3）燃料価格'!$A$6:$U$66,VLOOKUP($F$3&amp;IF($G$4&lt;&gt;"",$G$4,"")&amp;IF($F$43&lt;&gt;"","_"&amp;$F$43,""),'表3）燃料価格'!$AF$9:$AG$25,2,0)+VLOOKUP($F$41,'表3）燃料価格'!$AF$28:$AG$29,2,0),0)*IF($F$43="需要地価格",1,$F$8/$F$141))),"")</f>
        <v>0</v>
      </c>
      <c r="AU34" s="71"/>
      <c r="AV34" s="10">
        <f t="shared" si="8"/>
        <v>0</v>
      </c>
      <c r="AW34" s="10">
        <f t="shared" si="26"/>
        <v>0</v>
      </c>
      <c r="AX34" s="71"/>
      <c r="AY34" s="7">
        <f>IF(ISERROR(IF($K34&lt;=$F$15,VLOOKUP($I34,'表4）CO2価格'!$A$7:$E$67,VLOOKUP($F$48,'表4）CO2価格'!$H$10:$I$12,2,0),0)*$F$8/1000,"")),0,IF($K34&lt;=$F$15,VLOOKUP($I34,'表4）CO2価格'!$A$7:$E$67,VLOOKUP($F$48,'表4）CO2価格'!$H$10:$I$12,2,0),0)*$F$8/1000,""))</f>
        <v>0</v>
      </c>
      <c r="AZ34" s="71"/>
      <c r="BA34" s="11">
        <f t="shared" si="9"/>
        <v>0</v>
      </c>
      <c r="BB34" s="10">
        <f t="shared" si="27"/>
        <v>0</v>
      </c>
      <c r="BC34" s="71"/>
      <c r="BD34" s="10">
        <f t="shared" si="10"/>
        <v>0</v>
      </c>
      <c r="BE34" s="10">
        <f t="shared" si="28"/>
        <v>0</v>
      </c>
      <c r="BF34" s="71"/>
      <c r="BG34" s="11">
        <f t="shared" si="11"/>
        <v>0</v>
      </c>
      <c r="BH34" s="10">
        <f t="shared" si="29"/>
        <v>0</v>
      </c>
      <c r="BJ34" s="10"/>
      <c r="BK34" s="158"/>
      <c r="BL34" s="158"/>
      <c r="BM34" s="10"/>
      <c r="BN34" s="10"/>
      <c r="BO34" s="10"/>
      <c r="BP34" s="71"/>
      <c r="BQ34" s="10">
        <f t="shared" si="12"/>
        <v>6044.4</v>
      </c>
      <c r="BR34" s="10">
        <f t="shared" si="30"/>
        <v>3346.6377286038828</v>
      </c>
    </row>
    <row r="35" spans="3:70" x14ac:dyDescent="0.15">
      <c r="F35" s="85"/>
      <c r="I35" s="458">
        <f t="shared" si="31"/>
        <v>2040</v>
      </c>
      <c r="J35" s="39"/>
      <c r="K35" s="39">
        <f t="shared" si="32"/>
        <v>21</v>
      </c>
      <c r="L35" s="39"/>
      <c r="M35" s="40">
        <f t="shared" si="0"/>
        <v>0.5375492759090631</v>
      </c>
      <c r="N35" s="39"/>
      <c r="O35" s="72">
        <f t="shared" si="13"/>
        <v>0</v>
      </c>
      <c r="P35" s="41" t="str">
        <f t="shared" si="1"/>
        <v>-</v>
      </c>
      <c r="Q35" s="39"/>
      <c r="R35" s="72">
        <f t="shared" si="14"/>
        <v>100245.73667667783</v>
      </c>
      <c r="S35" s="39"/>
      <c r="T35" s="72">
        <f t="shared" si="15"/>
        <v>100000</v>
      </c>
      <c r="U35" s="39"/>
      <c r="V35" s="72">
        <f t="shared" si="2"/>
        <v>0</v>
      </c>
      <c r="W35" s="72">
        <f t="shared" si="16"/>
        <v>0</v>
      </c>
      <c r="X35" s="39"/>
      <c r="Y35" s="72">
        <f t="shared" si="3"/>
        <v>0</v>
      </c>
      <c r="Z35" s="72">
        <f t="shared" si="17"/>
        <v>0</v>
      </c>
      <c r="AA35" s="39"/>
      <c r="AB35" s="72">
        <f t="shared" si="4"/>
        <v>0</v>
      </c>
      <c r="AC35" s="72">
        <f t="shared" si="18"/>
        <v>0</v>
      </c>
      <c r="AD35" s="39"/>
      <c r="AE35" s="72">
        <f t="shared" si="5"/>
        <v>0</v>
      </c>
      <c r="AF35" s="72">
        <f t="shared" si="19"/>
        <v>0</v>
      </c>
      <c r="AG35" s="39"/>
      <c r="AH35" s="72">
        <f t="shared" si="20"/>
        <v>15000</v>
      </c>
      <c r="AI35" s="72">
        <f t="shared" si="21"/>
        <v>8063.2391386359468</v>
      </c>
      <c r="AJ35" s="39"/>
      <c r="AK35" s="72">
        <f t="shared" si="22"/>
        <v>0</v>
      </c>
      <c r="AL35" s="72">
        <f t="shared" si="23"/>
        <v>0</v>
      </c>
      <c r="AM35" s="39"/>
      <c r="AN35" s="72">
        <f t="shared" si="6"/>
        <v>0</v>
      </c>
      <c r="AO35" s="72">
        <f t="shared" si="24"/>
        <v>0</v>
      </c>
      <c r="AP35" s="39"/>
      <c r="AQ35" s="72">
        <f t="shared" si="7"/>
        <v>0</v>
      </c>
      <c r="AR35" s="72">
        <f t="shared" si="25"/>
        <v>0</v>
      </c>
      <c r="AS35" s="39"/>
      <c r="AT35" s="40">
        <f>IF($K35&lt;=$F$15,IF($F$40&lt;&gt;"",$F$40/1000,IF(ISERROR(VLOOKUP($F$3&amp;IF($G$4&lt;&gt;"",$G$4,"")&amp;IF($F$43&lt;&gt;"","_"&amp;$F$43,""),'表3）燃料価格'!$AF$9:$AG$25,2,0)),0,VLOOKUP($I35,'表3）燃料価格'!$A$6:$U$66,VLOOKUP($F$3&amp;IF($G$4&lt;&gt;"",$G$4,"")&amp;IF($F$43&lt;&gt;"","_"&amp;$F$43,""),'表3）燃料価格'!$AF$9:$AG$25,2,0)+VLOOKUP($F$41,'表3）燃料価格'!$AF$28:$AG$29,2,0),0)*IF($F$43="需要地価格",1,$F$8/$F$141))),"")</f>
        <v>0</v>
      </c>
      <c r="AU35" s="39"/>
      <c r="AV35" s="72">
        <f t="shared" si="8"/>
        <v>0</v>
      </c>
      <c r="AW35" s="72">
        <f t="shared" si="26"/>
        <v>0</v>
      </c>
      <c r="AX35" s="39"/>
      <c r="AY35" s="40">
        <f>IF(ISERROR(IF($K35&lt;=$F$15,VLOOKUP($I35,'表4）CO2価格'!$A$7:$E$67,VLOOKUP($F$48,'表4）CO2価格'!$H$10:$I$12,2,0),0)*$F$8/1000,"")),0,IF($K35&lt;=$F$15,VLOOKUP($I35,'表4）CO2価格'!$A$7:$E$67,VLOOKUP($F$48,'表4）CO2価格'!$H$10:$I$12,2,0),0)*$F$8/1000,""))</f>
        <v>0</v>
      </c>
      <c r="AZ35" s="39"/>
      <c r="BA35" s="42">
        <f t="shared" si="9"/>
        <v>0</v>
      </c>
      <c r="BB35" s="72">
        <f t="shared" si="27"/>
        <v>0</v>
      </c>
      <c r="BC35" s="39"/>
      <c r="BD35" s="72">
        <f t="shared" si="10"/>
        <v>0</v>
      </c>
      <c r="BE35" s="72">
        <f t="shared" si="28"/>
        <v>0</v>
      </c>
      <c r="BF35" s="39"/>
      <c r="BG35" s="42">
        <f t="shared" si="11"/>
        <v>0</v>
      </c>
      <c r="BH35" s="72">
        <f t="shared" si="29"/>
        <v>0</v>
      </c>
      <c r="BI35" s="39"/>
      <c r="BJ35" s="72"/>
      <c r="BK35" s="157"/>
      <c r="BL35" s="157"/>
      <c r="BM35" s="72"/>
      <c r="BN35" s="72"/>
      <c r="BO35" s="72"/>
      <c r="BP35" s="39"/>
      <c r="BQ35" s="72">
        <f t="shared" si="12"/>
        <v>6044.4</v>
      </c>
      <c r="BR35" s="72">
        <f t="shared" si="30"/>
        <v>3249.1628433047408</v>
      </c>
    </row>
    <row r="36" spans="3:70" x14ac:dyDescent="0.15">
      <c r="F36" s="318"/>
      <c r="I36" s="459">
        <f t="shared" si="31"/>
        <v>2041</v>
      </c>
      <c r="J36" s="71"/>
      <c r="K36" s="71">
        <f t="shared" si="32"/>
        <v>22</v>
      </c>
      <c r="L36" s="71"/>
      <c r="M36" s="7">
        <f t="shared" si="0"/>
        <v>0.52189250088258554</v>
      </c>
      <c r="N36" s="71"/>
      <c r="O36" s="10">
        <f t="shared" si="13"/>
        <v>0</v>
      </c>
      <c r="P36" s="29" t="str">
        <f t="shared" si="1"/>
        <v>-</v>
      </c>
      <c r="Q36" s="71"/>
      <c r="R36" s="10">
        <f t="shared" si="14"/>
        <v>87547.224507084102</v>
      </c>
      <c r="S36" s="71"/>
      <c r="T36" s="10">
        <f t="shared" si="15"/>
        <v>87000</v>
      </c>
      <c r="U36" s="71"/>
      <c r="V36" s="10">
        <f t="shared" si="2"/>
        <v>0</v>
      </c>
      <c r="W36" s="10">
        <f t="shared" si="16"/>
        <v>0</v>
      </c>
      <c r="X36" s="71"/>
      <c r="Y36" s="10">
        <f t="shared" si="3"/>
        <v>0</v>
      </c>
      <c r="Z36" s="10">
        <f t="shared" si="17"/>
        <v>0</v>
      </c>
      <c r="AA36" s="71"/>
      <c r="AB36" s="10">
        <f t="shared" si="4"/>
        <v>0</v>
      </c>
      <c r="AC36" s="10">
        <f t="shared" si="18"/>
        <v>0</v>
      </c>
      <c r="AD36" s="71"/>
      <c r="AE36" s="10">
        <f t="shared" si="5"/>
        <v>0</v>
      </c>
      <c r="AF36" s="10">
        <f t="shared" si="19"/>
        <v>0</v>
      </c>
      <c r="AG36" s="71"/>
      <c r="AH36" s="72">
        <f t="shared" si="20"/>
        <v>15000</v>
      </c>
      <c r="AI36" s="10">
        <f t="shared" si="21"/>
        <v>7828.387513238783</v>
      </c>
      <c r="AJ36" s="71"/>
      <c r="AK36" s="10">
        <f t="shared" si="22"/>
        <v>0</v>
      </c>
      <c r="AL36" s="10">
        <f t="shared" si="23"/>
        <v>0</v>
      </c>
      <c r="AM36" s="71"/>
      <c r="AN36" s="10">
        <f t="shared" si="6"/>
        <v>0</v>
      </c>
      <c r="AO36" s="10">
        <f t="shared" si="24"/>
        <v>0</v>
      </c>
      <c r="AP36" s="71"/>
      <c r="AQ36" s="10">
        <f t="shared" si="7"/>
        <v>0</v>
      </c>
      <c r="AR36" s="10">
        <f t="shared" si="25"/>
        <v>0</v>
      </c>
      <c r="AS36" s="71"/>
      <c r="AT36" s="7">
        <f>IF($K36&lt;=$F$15,IF($F$40&lt;&gt;"",$F$40/1000,IF(ISERROR(VLOOKUP($F$3&amp;IF($G$4&lt;&gt;"",$G$4,"")&amp;IF($F$43&lt;&gt;"","_"&amp;$F$43,""),'表3）燃料価格'!$AF$9:$AG$25,2,0)),0,VLOOKUP($I36,'表3）燃料価格'!$A$6:$U$66,VLOOKUP($F$3&amp;IF($G$4&lt;&gt;"",$G$4,"")&amp;IF($F$43&lt;&gt;"","_"&amp;$F$43,""),'表3）燃料価格'!$AF$9:$AG$25,2,0)+VLOOKUP($F$41,'表3）燃料価格'!$AF$28:$AG$29,2,0),0)*IF($F$43="需要地価格",1,$F$8/$F$141))),"")</f>
        <v>0</v>
      </c>
      <c r="AU36" s="71"/>
      <c r="AV36" s="10">
        <f t="shared" si="8"/>
        <v>0</v>
      </c>
      <c r="AW36" s="10">
        <f t="shared" si="26"/>
        <v>0</v>
      </c>
      <c r="AX36" s="71"/>
      <c r="AY36" s="7">
        <f>IF(ISERROR(IF($K36&lt;=$F$15,VLOOKUP($I36,'表4）CO2価格'!$A$7:$E$67,VLOOKUP($F$48,'表4）CO2価格'!$H$10:$I$12,2,0),0)*$F$8/1000,"")),0,IF($K36&lt;=$F$15,VLOOKUP($I36,'表4）CO2価格'!$A$7:$E$67,VLOOKUP($F$48,'表4）CO2価格'!$H$10:$I$12,2,0),0)*$F$8/1000,""))</f>
        <v>0</v>
      </c>
      <c r="AZ36" s="71"/>
      <c r="BA36" s="11">
        <f t="shared" si="9"/>
        <v>0</v>
      </c>
      <c r="BB36" s="10">
        <f t="shared" si="27"/>
        <v>0</v>
      </c>
      <c r="BC36" s="71"/>
      <c r="BD36" s="10">
        <f t="shared" si="10"/>
        <v>0</v>
      </c>
      <c r="BE36" s="10">
        <f t="shared" si="28"/>
        <v>0</v>
      </c>
      <c r="BF36" s="71"/>
      <c r="BG36" s="11">
        <f t="shared" si="11"/>
        <v>0</v>
      </c>
      <c r="BH36" s="10">
        <f t="shared" si="29"/>
        <v>0</v>
      </c>
      <c r="BJ36" s="10"/>
      <c r="BK36" s="158"/>
      <c r="BL36" s="158"/>
      <c r="BM36" s="10"/>
      <c r="BN36" s="10"/>
      <c r="BO36" s="10"/>
      <c r="BP36" s="71"/>
      <c r="BQ36" s="10">
        <f t="shared" si="12"/>
        <v>6044.4</v>
      </c>
      <c r="BR36" s="10">
        <f t="shared" si="30"/>
        <v>3154.5270323346999</v>
      </c>
    </row>
    <row r="37" spans="3:70" x14ac:dyDescent="0.15">
      <c r="I37" s="458">
        <f t="shared" si="31"/>
        <v>2042</v>
      </c>
      <c r="J37" s="39"/>
      <c r="K37" s="39">
        <f t="shared" si="32"/>
        <v>23</v>
      </c>
      <c r="L37" s="39"/>
      <c r="M37" s="40">
        <f t="shared" si="0"/>
        <v>0.50669174842969467</v>
      </c>
      <c r="N37" s="39"/>
      <c r="O37" s="72">
        <f t="shared" si="13"/>
        <v>0</v>
      </c>
      <c r="P37" s="41" t="str">
        <f t="shared" si="1"/>
        <v>-</v>
      </c>
      <c r="Q37" s="39"/>
      <c r="R37" s="72">
        <f t="shared" si="14"/>
        <v>76457.281606040968</v>
      </c>
      <c r="S37" s="39"/>
      <c r="T37" s="72">
        <f t="shared" si="15"/>
        <v>76000</v>
      </c>
      <c r="U37" s="39"/>
      <c r="V37" s="72">
        <f t="shared" si="2"/>
        <v>0</v>
      </c>
      <c r="W37" s="72">
        <f t="shared" si="16"/>
        <v>0</v>
      </c>
      <c r="X37" s="39"/>
      <c r="Y37" s="72">
        <f t="shared" si="3"/>
        <v>0</v>
      </c>
      <c r="Z37" s="72">
        <f t="shared" si="17"/>
        <v>0</v>
      </c>
      <c r="AA37" s="39"/>
      <c r="AB37" s="72">
        <f t="shared" si="4"/>
        <v>0</v>
      </c>
      <c r="AC37" s="72">
        <f t="shared" si="18"/>
        <v>0</v>
      </c>
      <c r="AD37" s="39"/>
      <c r="AE37" s="72">
        <f t="shared" si="5"/>
        <v>0</v>
      </c>
      <c r="AF37" s="72">
        <f t="shared" si="19"/>
        <v>0</v>
      </c>
      <c r="AG37" s="39"/>
      <c r="AH37" s="72">
        <f t="shared" si="20"/>
        <v>15000</v>
      </c>
      <c r="AI37" s="72">
        <f t="shared" si="21"/>
        <v>7600.3762264454199</v>
      </c>
      <c r="AJ37" s="39"/>
      <c r="AK37" s="72">
        <f t="shared" si="22"/>
        <v>0</v>
      </c>
      <c r="AL37" s="72">
        <f t="shared" si="23"/>
        <v>0</v>
      </c>
      <c r="AM37" s="39"/>
      <c r="AN37" s="72">
        <f t="shared" si="6"/>
        <v>0</v>
      </c>
      <c r="AO37" s="72">
        <f t="shared" si="24"/>
        <v>0</v>
      </c>
      <c r="AP37" s="39"/>
      <c r="AQ37" s="72">
        <f t="shared" si="7"/>
        <v>0</v>
      </c>
      <c r="AR37" s="72">
        <f t="shared" si="25"/>
        <v>0</v>
      </c>
      <c r="AS37" s="39"/>
      <c r="AT37" s="40">
        <f>IF($K37&lt;=$F$15,IF($F$40&lt;&gt;"",$F$40/1000,IF(ISERROR(VLOOKUP($F$3&amp;IF($G$4&lt;&gt;"",$G$4,"")&amp;IF($F$43&lt;&gt;"","_"&amp;$F$43,""),'表3）燃料価格'!$AF$9:$AG$25,2,0)),0,VLOOKUP($I37,'表3）燃料価格'!$A$6:$U$66,VLOOKUP($F$3&amp;IF($G$4&lt;&gt;"",$G$4,"")&amp;IF($F$43&lt;&gt;"","_"&amp;$F$43,""),'表3）燃料価格'!$AF$9:$AG$25,2,0)+VLOOKUP($F$41,'表3）燃料価格'!$AF$28:$AG$29,2,0),0)*IF($F$43="需要地価格",1,$F$8/$F$141))),"")</f>
        <v>0</v>
      </c>
      <c r="AU37" s="39"/>
      <c r="AV37" s="72">
        <f t="shared" si="8"/>
        <v>0</v>
      </c>
      <c r="AW37" s="72">
        <f t="shared" si="26"/>
        <v>0</v>
      </c>
      <c r="AX37" s="39"/>
      <c r="AY37" s="40">
        <f>IF(ISERROR(IF($K37&lt;=$F$15,VLOOKUP($I37,'表4）CO2価格'!$A$7:$E$67,VLOOKUP($F$48,'表4）CO2価格'!$H$10:$I$12,2,0),0)*$F$8/1000,"")),0,IF($K37&lt;=$F$15,VLOOKUP($I37,'表4）CO2価格'!$A$7:$E$67,VLOOKUP($F$48,'表4）CO2価格'!$H$10:$I$12,2,0),0)*$F$8/1000,""))</f>
        <v>0</v>
      </c>
      <c r="AZ37" s="39"/>
      <c r="BA37" s="42">
        <f t="shared" si="9"/>
        <v>0</v>
      </c>
      <c r="BB37" s="72">
        <f t="shared" si="27"/>
        <v>0</v>
      </c>
      <c r="BC37" s="39"/>
      <c r="BD37" s="72">
        <f t="shared" si="10"/>
        <v>0</v>
      </c>
      <c r="BE37" s="72">
        <f t="shared" si="28"/>
        <v>0</v>
      </c>
      <c r="BF37" s="39"/>
      <c r="BG37" s="42">
        <f t="shared" si="11"/>
        <v>0</v>
      </c>
      <c r="BH37" s="72">
        <f t="shared" si="29"/>
        <v>0</v>
      </c>
      <c r="BI37" s="39"/>
      <c r="BJ37" s="72"/>
      <c r="BK37" s="157"/>
      <c r="BL37" s="157"/>
      <c r="BM37" s="72"/>
      <c r="BN37" s="72"/>
      <c r="BO37" s="72"/>
      <c r="BP37" s="39"/>
      <c r="BQ37" s="72">
        <f t="shared" si="12"/>
        <v>6044.4</v>
      </c>
      <c r="BR37" s="72">
        <f t="shared" si="30"/>
        <v>3062.6476042084464</v>
      </c>
    </row>
    <row r="38" spans="3:70" x14ac:dyDescent="0.15">
      <c r="C38" s="89" t="s">
        <v>508</v>
      </c>
      <c r="D38" s="101"/>
      <c r="E38" s="101"/>
      <c r="F38" s="89"/>
      <c r="G38" s="101"/>
      <c r="I38" s="459">
        <f t="shared" si="31"/>
        <v>2043</v>
      </c>
      <c r="J38" s="71"/>
      <c r="K38" s="71">
        <f t="shared" si="32"/>
        <v>24</v>
      </c>
      <c r="L38" s="71"/>
      <c r="M38" s="7">
        <f t="shared" si="0"/>
        <v>0.49193373633950943</v>
      </c>
      <c r="N38" s="71"/>
      <c r="O38" s="10">
        <f t="shared" si="13"/>
        <v>0</v>
      </c>
      <c r="P38" s="29" t="str">
        <f t="shared" si="1"/>
        <v>-</v>
      </c>
      <c r="Q38" s="71"/>
      <c r="R38" s="10">
        <f t="shared" si="14"/>
        <v>75250</v>
      </c>
      <c r="S38" s="71"/>
      <c r="T38" s="10">
        <f t="shared" si="15"/>
        <v>75000</v>
      </c>
      <c r="U38" s="71"/>
      <c r="V38" s="10">
        <f t="shared" si="2"/>
        <v>0</v>
      </c>
      <c r="W38" s="10">
        <f t="shared" si="16"/>
        <v>0</v>
      </c>
      <c r="X38" s="71"/>
      <c r="Y38" s="10">
        <f t="shared" si="3"/>
        <v>0</v>
      </c>
      <c r="Z38" s="10">
        <f t="shared" si="17"/>
        <v>0</v>
      </c>
      <c r="AA38" s="71"/>
      <c r="AB38" s="10">
        <f t="shared" si="4"/>
        <v>0</v>
      </c>
      <c r="AC38" s="10">
        <f t="shared" si="18"/>
        <v>0</v>
      </c>
      <c r="AD38" s="71"/>
      <c r="AE38" s="10">
        <f t="shared" si="5"/>
        <v>0</v>
      </c>
      <c r="AF38" s="10">
        <f t="shared" si="19"/>
        <v>0</v>
      </c>
      <c r="AG38" s="71"/>
      <c r="AH38" s="72">
        <f t="shared" si="20"/>
        <v>15000</v>
      </c>
      <c r="AI38" s="10">
        <f t="shared" si="21"/>
        <v>7379.0060450926412</v>
      </c>
      <c r="AJ38" s="71"/>
      <c r="AK38" s="10">
        <f t="shared" si="22"/>
        <v>0</v>
      </c>
      <c r="AL38" s="10">
        <f t="shared" si="23"/>
        <v>0</v>
      </c>
      <c r="AM38" s="71"/>
      <c r="AN38" s="10">
        <f t="shared" si="6"/>
        <v>0</v>
      </c>
      <c r="AO38" s="10">
        <f t="shared" si="24"/>
        <v>0</v>
      </c>
      <c r="AP38" s="71"/>
      <c r="AQ38" s="10">
        <f t="shared" si="7"/>
        <v>0</v>
      </c>
      <c r="AR38" s="10">
        <f t="shared" si="25"/>
        <v>0</v>
      </c>
      <c r="AS38" s="71"/>
      <c r="AT38" s="7">
        <f>IF($K38&lt;=$F$15,IF($F$40&lt;&gt;"",$F$40/1000,IF(ISERROR(VLOOKUP($F$3&amp;IF($G$4&lt;&gt;"",$G$4,"")&amp;IF($F$43&lt;&gt;"","_"&amp;$F$43,""),'表3）燃料価格'!$AF$9:$AG$25,2,0)),0,VLOOKUP($I38,'表3）燃料価格'!$A$6:$U$66,VLOOKUP($F$3&amp;IF($G$4&lt;&gt;"",$G$4,"")&amp;IF($F$43&lt;&gt;"","_"&amp;$F$43,""),'表3）燃料価格'!$AF$9:$AG$25,2,0)+VLOOKUP($F$41,'表3）燃料価格'!$AF$28:$AG$29,2,0),0)*IF($F$43="需要地価格",1,$F$8/$F$141))),"")</f>
        <v>0</v>
      </c>
      <c r="AU38" s="71"/>
      <c r="AV38" s="10">
        <f t="shared" si="8"/>
        <v>0</v>
      </c>
      <c r="AW38" s="10">
        <f t="shared" si="26"/>
        <v>0</v>
      </c>
      <c r="AX38" s="71"/>
      <c r="AY38" s="7">
        <f>IF(ISERROR(IF($K38&lt;=$F$15,VLOOKUP($I38,'表4）CO2価格'!$A$7:$E$67,VLOOKUP($F$48,'表4）CO2価格'!$H$10:$I$12,2,0),0)*$F$8/1000,"")),0,IF($K38&lt;=$F$15,VLOOKUP($I38,'表4）CO2価格'!$A$7:$E$67,VLOOKUP($F$48,'表4）CO2価格'!$H$10:$I$12,2,0),0)*$F$8/1000,""))</f>
        <v>0</v>
      </c>
      <c r="AZ38" s="71"/>
      <c r="BA38" s="11">
        <f t="shared" si="9"/>
        <v>0</v>
      </c>
      <c r="BB38" s="10">
        <f t="shared" si="27"/>
        <v>0</v>
      </c>
      <c r="BC38" s="71"/>
      <c r="BD38" s="10">
        <f t="shared" si="10"/>
        <v>0</v>
      </c>
      <c r="BE38" s="10">
        <f t="shared" si="28"/>
        <v>0</v>
      </c>
      <c r="BF38" s="71"/>
      <c r="BG38" s="11">
        <f t="shared" si="11"/>
        <v>0</v>
      </c>
      <c r="BH38" s="10">
        <f t="shared" si="29"/>
        <v>0</v>
      </c>
      <c r="BJ38" s="10"/>
      <c r="BK38" s="158"/>
      <c r="BL38" s="158"/>
      <c r="BM38" s="10"/>
      <c r="BN38" s="10"/>
      <c r="BO38" s="10"/>
      <c r="BP38" s="71"/>
      <c r="BQ38" s="10">
        <f t="shared" si="12"/>
        <v>6044.4</v>
      </c>
      <c r="BR38" s="10">
        <f t="shared" si="30"/>
        <v>2973.4442759305307</v>
      </c>
    </row>
    <row r="39" spans="3:70" x14ac:dyDescent="0.15">
      <c r="I39" s="458">
        <f t="shared" si="31"/>
        <v>2044</v>
      </c>
      <c r="J39" s="39"/>
      <c r="K39" s="39">
        <f t="shared" si="32"/>
        <v>25</v>
      </c>
      <c r="L39" s="39"/>
      <c r="M39" s="40">
        <f t="shared" si="0"/>
        <v>0.47760556926165965</v>
      </c>
      <c r="N39" s="39"/>
      <c r="O39" s="72">
        <f t="shared" si="13"/>
        <v>0</v>
      </c>
      <c r="P39" s="41" t="str">
        <f t="shared" si="1"/>
        <v>-</v>
      </c>
      <c r="Q39" s="39"/>
      <c r="R39" s="72">
        <f t="shared" si="14"/>
        <v>75250</v>
      </c>
      <c r="S39" s="39"/>
      <c r="T39" s="72">
        <f t="shared" si="15"/>
        <v>75000</v>
      </c>
      <c r="U39" s="39"/>
      <c r="V39" s="72">
        <f t="shared" si="2"/>
        <v>0</v>
      </c>
      <c r="W39" s="72">
        <f t="shared" si="16"/>
        <v>0</v>
      </c>
      <c r="X39" s="39"/>
      <c r="Y39" s="72">
        <f t="shared" si="3"/>
        <v>0</v>
      </c>
      <c r="Z39" s="72">
        <f t="shared" si="17"/>
        <v>0</v>
      </c>
      <c r="AA39" s="39"/>
      <c r="AB39" s="72">
        <f t="shared" si="4"/>
        <v>0</v>
      </c>
      <c r="AC39" s="72">
        <f t="shared" si="18"/>
        <v>0</v>
      </c>
      <c r="AD39" s="39"/>
      <c r="AE39" s="72">
        <f t="shared" si="5"/>
        <v>0</v>
      </c>
      <c r="AF39" s="72">
        <f t="shared" si="19"/>
        <v>0</v>
      </c>
      <c r="AG39" s="39"/>
      <c r="AH39" s="72">
        <f t="shared" si="20"/>
        <v>15000</v>
      </c>
      <c r="AI39" s="72">
        <f t="shared" si="21"/>
        <v>7164.083538924895</v>
      </c>
      <c r="AJ39" s="39"/>
      <c r="AK39" s="72">
        <f t="shared" si="22"/>
        <v>0</v>
      </c>
      <c r="AL39" s="72">
        <f t="shared" si="23"/>
        <v>0</v>
      </c>
      <c r="AM39" s="39"/>
      <c r="AN39" s="72">
        <f t="shared" si="6"/>
        <v>0</v>
      </c>
      <c r="AO39" s="72">
        <f t="shared" si="24"/>
        <v>0</v>
      </c>
      <c r="AP39" s="39"/>
      <c r="AQ39" s="72">
        <f t="shared" si="7"/>
        <v>0</v>
      </c>
      <c r="AR39" s="72">
        <f t="shared" si="25"/>
        <v>0</v>
      </c>
      <c r="AS39" s="39"/>
      <c r="AT39" s="40">
        <f>IF($K39&lt;=$F$15,IF($F$40&lt;&gt;"",$F$40/1000,IF(ISERROR(VLOOKUP($F$3&amp;IF($G$4&lt;&gt;"",$G$4,"")&amp;IF($F$43&lt;&gt;"","_"&amp;$F$43,""),'表3）燃料価格'!$AF$9:$AG$25,2,0)),0,VLOOKUP($I39,'表3）燃料価格'!$A$6:$U$66,VLOOKUP($F$3&amp;IF($G$4&lt;&gt;"",$G$4,"")&amp;IF($F$43&lt;&gt;"","_"&amp;$F$43,""),'表3）燃料価格'!$AF$9:$AG$25,2,0)+VLOOKUP($F$41,'表3）燃料価格'!$AF$28:$AG$29,2,0),0)*IF($F$43="需要地価格",1,$F$8/$F$141))),"")</f>
        <v>0</v>
      </c>
      <c r="AU39" s="39"/>
      <c r="AV39" s="72">
        <f t="shared" si="8"/>
        <v>0</v>
      </c>
      <c r="AW39" s="72">
        <f t="shared" si="26"/>
        <v>0</v>
      </c>
      <c r="AX39" s="39"/>
      <c r="AY39" s="40">
        <f>IF(ISERROR(IF($K39&lt;=$F$15,VLOOKUP($I39,'表4）CO2価格'!$A$7:$E$67,VLOOKUP($F$48,'表4）CO2価格'!$H$10:$I$12,2,0),0)*$F$8/1000,"")),0,IF($K39&lt;=$F$15,VLOOKUP($I39,'表4）CO2価格'!$A$7:$E$67,VLOOKUP($F$48,'表4）CO2価格'!$H$10:$I$12,2,0),0)*$F$8/1000,""))</f>
        <v>0</v>
      </c>
      <c r="AZ39" s="39"/>
      <c r="BA39" s="42">
        <f t="shared" si="9"/>
        <v>0</v>
      </c>
      <c r="BB39" s="72">
        <f t="shared" si="27"/>
        <v>0</v>
      </c>
      <c r="BC39" s="39"/>
      <c r="BD39" s="72">
        <f t="shared" si="10"/>
        <v>0</v>
      </c>
      <c r="BE39" s="72">
        <f t="shared" si="28"/>
        <v>0</v>
      </c>
      <c r="BF39" s="39"/>
      <c r="BG39" s="42">
        <f t="shared" si="11"/>
        <v>0</v>
      </c>
      <c r="BH39" s="72">
        <f t="shared" si="29"/>
        <v>0</v>
      </c>
      <c r="BI39" s="39"/>
      <c r="BJ39" s="72"/>
      <c r="BK39" s="157"/>
      <c r="BL39" s="157"/>
      <c r="BM39" s="72"/>
      <c r="BN39" s="72"/>
      <c r="BO39" s="72"/>
      <c r="BP39" s="39"/>
      <c r="BQ39" s="72">
        <f t="shared" si="12"/>
        <v>6044.4</v>
      </c>
      <c r="BR39" s="72">
        <f t="shared" si="30"/>
        <v>2886.8391028451756</v>
      </c>
    </row>
    <row r="40" spans="3:70" x14ac:dyDescent="0.15">
      <c r="D40" s="81" t="s">
        <v>124</v>
      </c>
      <c r="F40" s="108"/>
      <c r="G40" s="82" t="s">
        <v>178</v>
      </c>
      <c r="I40" s="459">
        <f t="shared" si="31"/>
        <v>2045</v>
      </c>
      <c r="J40" s="71"/>
      <c r="K40" s="71">
        <f t="shared" si="32"/>
        <v>26</v>
      </c>
      <c r="L40" s="71"/>
      <c r="M40" s="7">
        <f t="shared" si="0"/>
        <v>0.46369472743850448</v>
      </c>
      <c r="N40" s="71"/>
      <c r="O40" s="10" t="str">
        <f t="shared" si="13"/>
        <v/>
      </c>
      <c r="P40" s="29" t="str">
        <f t="shared" si="1"/>
        <v/>
      </c>
      <c r="Q40" s="71"/>
      <c r="R40" s="10" t="str">
        <f t="shared" si="14"/>
        <v/>
      </c>
      <c r="S40" s="71"/>
      <c r="T40" s="10" t="str">
        <f t="shared" si="15"/>
        <v/>
      </c>
      <c r="U40" s="71"/>
      <c r="V40" s="10" t="str">
        <f t="shared" si="2"/>
        <v/>
      </c>
      <c r="W40" s="10" t="str">
        <f t="shared" si="16"/>
        <v/>
      </c>
      <c r="X40" s="71"/>
      <c r="Y40" s="10" t="str">
        <f t="shared" si="3"/>
        <v/>
      </c>
      <c r="Z40" s="10" t="str">
        <f t="shared" si="17"/>
        <v/>
      </c>
      <c r="AA40" s="71"/>
      <c r="AB40" s="10">
        <f t="shared" si="4"/>
        <v>75250</v>
      </c>
      <c r="AC40" s="10">
        <f t="shared" si="18"/>
        <v>34893.028239747466</v>
      </c>
      <c r="AD40" s="71"/>
      <c r="AE40" s="10" t="str">
        <f t="shared" si="5"/>
        <v/>
      </c>
      <c r="AF40" s="10" t="str">
        <f t="shared" si="19"/>
        <v/>
      </c>
      <c r="AG40" s="71"/>
      <c r="AH40" s="10" t="str">
        <f t="shared" ref="AH40:AH46" si="33">IF($K40&lt;=$F$15,$F$33*10^8,"")</f>
        <v/>
      </c>
      <c r="AI40" s="10" t="str">
        <f t="shared" si="21"/>
        <v/>
      </c>
      <c r="AJ40" s="71"/>
      <c r="AK40" s="10" t="str">
        <f t="shared" si="22"/>
        <v/>
      </c>
      <c r="AL40" s="10" t="str">
        <f t="shared" si="23"/>
        <v/>
      </c>
      <c r="AM40" s="71"/>
      <c r="AN40" s="10" t="str">
        <f t="shared" si="6"/>
        <v/>
      </c>
      <c r="AO40" s="10" t="str">
        <f t="shared" si="24"/>
        <v/>
      </c>
      <c r="AP40" s="71"/>
      <c r="AQ40" s="10" t="str">
        <f t="shared" si="7"/>
        <v/>
      </c>
      <c r="AR40" s="10" t="str">
        <f t="shared" si="25"/>
        <v/>
      </c>
      <c r="AS40" s="71"/>
      <c r="AT40" s="7" t="str">
        <f>IF($K40&lt;=$F$15,IF($F$40&lt;&gt;"",$F$40/1000,IF(ISERROR(VLOOKUP($F$3&amp;IF($G$4&lt;&gt;"",$G$4,"")&amp;IF($F$43&lt;&gt;"","_"&amp;$F$43,""),'表3）燃料価格'!$AF$9:$AG$25,2,0)),0,VLOOKUP($I40,'表3）燃料価格'!$A$6:$U$66,VLOOKUP($F$3&amp;IF($G$4&lt;&gt;"",$G$4,"")&amp;IF($F$43&lt;&gt;"","_"&amp;$F$43,""),'表3）燃料価格'!$AF$9:$AG$25,2,0)+VLOOKUP($F$41,'表3）燃料価格'!$AF$28:$AG$29,2,0),0)*IF($F$43="需要地価格",1,$F$8/$F$141))),"")</f>
        <v/>
      </c>
      <c r="AU40" s="71"/>
      <c r="AV40" s="10" t="str">
        <f t="shared" si="8"/>
        <v/>
      </c>
      <c r="AW40" s="10" t="str">
        <f t="shared" si="26"/>
        <v/>
      </c>
      <c r="AX40" s="71"/>
      <c r="AY40" s="7" t="str">
        <f>IF(ISERROR(IF($K40&lt;=$F$15,VLOOKUP($I40,'表4）CO2価格'!$A$7:$E$67,VLOOKUP($F$48,'表4）CO2価格'!$H$10:$I$12,2,0),0)*$F$8/1000,"")),0,IF($K40&lt;=$F$15,VLOOKUP($I40,'表4）CO2価格'!$A$7:$E$67,VLOOKUP($F$48,'表4）CO2価格'!$H$10:$I$12,2,0),0)*$F$8/1000,""))</f>
        <v/>
      </c>
      <c r="AZ40" s="71"/>
      <c r="BA40" s="11" t="str">
        <f t="shared" si="9"/>
        <v/>
      </c>
      <c r="BB40" s="10" t="str">
        <f t="shared" si="27"/>
        <v/>
      </c>
      <c r="BC40" s="71"/>
      <c r="BD40" s="10" t="str">
        <f t="shared" si="10"/>
        <v/>
      </c>
      <c r="BE40" s="10" t="str">
        <f t="shared" si="28"/>
        <v/>
      </c>
      <c r="BF40" s="71"/>
      <c r="BG40" s="11" t="str">
        <f t="shared" si="11"/>
        <v/>
      </c>
      <c r="BH40" s="10" t="str">
        <f t="shared" si="29"/>
        <v/>
      </c>
      <c r="BJ40" s="10"/>
      <c r="BK40" s="158"/>
      <c r="BL40" s="158"/>
      <c r="BM40" s="10"/>
      <c r="BN40" s="10"/>
      <c r="BO40" s="10"/>
      <c r="BP40" s="71"/>
      <c r="BQ40" s="10" t="str">
        <f t="shared" si="12"/>
        <v/>
      </c>
      <c r="BR40" s="10" t="str">
        <f t="shared" si="30"/>
        <v/>
      </c>
    </row>
    <row r="41" spans="3:70" x14ac:dyDescent="0.15">
      <c r="D41" s="81" t="s">
        <v>179</v>
      </c>
      <c r="F41" s="88"/>
      <c r="I41" s="458">
        <f t="shared" si="31"/>
        <v>2046</v>
      </c>
      <c r="J41" s="39"/>
      <c r="K41" s="39">
        <f t="shared" si="32"/>
        <v>27</v>
      </c>
      <c r="L41" s="39"/>
      <c r="M41" s="40">
        <f t="shared" si="0"/>
        <v>0.45018905576553836</v>
      </c>
      <c r="N41" s="39"/>
      <c r="O41" s="72" t="str">
        <f t="shared" si="13"/>
        <v/>
      </c>
      <c r="P41" s="41" t="str">
        <f t="shared" si="1"/>
        <v/>
      </c>
      <c r="Q41" s="39"/>
      <c r="R41" s="72" t="str">
        <f t="shared" si="14"/>
        <v/>
      </c>
      <c r="S41" s="39"/>
      <c r="T41" s="72" t="str">
        <f t="shared" si="15"/>
        <v/>
      </c>
      <c r="U41" s="39"/>
      <c r="V41" s="72" t="str">
        <f t="shared" si="2"/>
        <v/>
      </c>
      <c r="W41" s="72" t="str">
        <f t="shared" si="16"/>
        <v/>
      </c>
      <c r="X41" s="39"/>
      <c r="Y41" s="72" t="str">
        <f t="shared" si="3"/>
        <v/>
      </c>
      <c r="Z41" s="72" t="str">
        <f t="shared" si="17"/>
        <v/>
      </c>
      <c r="AA41" s="39"/>
      <c r="AB41" s="72" t="str">
        <f t="shared" si="4"/>
        <v/>
      </c>
      <c r="AC41" s="72" t="str">
        <f t="shared" si="18"/>
        <v/>
      </c>
      <c r="AD41" s="39"/>
      <c r="AE41" s="72" t="str">
        <f t="shared" si="5"/>
        <v/>
      </c>
      <c r="AF41" s="72" t="str">
        <f t="shared" si="19"/>
        <v/>
      </c>
      <c r="AG41" s="39"/>
      <c r="AH41" s="72" t="str">
        <f t="shared" si="33"/>
        <v/>
      </c>
      <c r="AI41" s="72" t="str">
        <f t="shared" si="21"/>
        <v/>
      </c>
      <c r="AJ41" s="39"/>
      <c r="AK41" s="72" t="str">
        <f t="shared" si="22"/>
        <v/>
      </c>
      <c r="AL41" s="72" t="str">
        <f t="shared" si="23"/>
        <v/>
      </c>
      <c r="AM41" s="39"/>
      <c r="AN41" s="72" t="str">
        <f t="shared" si="6"/>
        <v/>
      </c>
      <c r="AO41" s="72" t="str">
        <f t="shared" si="24"/>
        <v/>
      </c>
      <c r="AP41" s="39"/>
      <c r="AQ41" s="72" t="str">
        <f t="shared" si="7"/>
        <v/>
      </c>
      <c r="AR41" s="72" t="str">
        <f t="shared" si="25"/>
        <v/>
      </c>
      <c r="AS41" s="39"/>
      <c r="AT41" s="40" t="str">
        <f>IF($K41&lt;=$F$15,IF($F$40&lt;&gt;"",$F$40/1000,IF(ISERROR(VLOOKUP($F$3&amp;IF($G$4&lt;&gt;"",$G$4,"")&amp;IF($F$43&lt;&gt;"","_"&amp;$F$43,""),'表3）燃料価格'!$AF$9:$AG$25,2,0)),0,VLOOKUP($I41,'表3）燃料価格'!$A$6:$U$66,VLOOKUP($F$3&amp;IF($G$4&lt;&gt;"",$G$4,"")&amp;IF($F$43&lt;&gt;"","_"&amp;$F$43,""),'表3）燃料価格'!$AF$9:$AG$25,2,0)+VLOOKUP($F$41,'表3）燃料価格'!$AF$28:$AG$29,2,0),0)*IF($F$43="需要地価格",1,$F$8/$F$141))),"")</f>
        <v/>
      </c>
      <c r="AU41" s="39"/>
      <c r="AV41" s="72" t="str">
        <f t="shared" si="8"/>
        <v/>
      </c>
      <c r="AW41" s="72" t="str">
        <f t="shared" si="26"/>
        <v/>
      </c>
      <c r="AX41" s="39"/>
      <c r="AY41" s="40" t="str">
        <f>IF(ISERROR(IF($K41&lt;=$F$15,VLOOKUP($I41,'表4）CO2価格'!$A$7:$E$67,VLOOKUP($F$48,'表4）CO2価格'!$H$10:$I$12,2,0),0)*$F$8/1000,"")),0,IF($K41&lt;=$F$15,VLOOKUP($I41,'表4）CO2価格'!$A$7:$E$67,VLOOKUP($F$48,'表4）CO2価格'!$H$10:$I$12,2,0),0)*$F$8/1000,""))</f>
        <v/>
      </c>
      <c r="AZ41" s="39"/>
      <c r="BA41" s="42" t="str">
        <f t="shared" si="9"/>
        <v/>
      </c>
      <c r="BB41" s="72" t="str">
        <f t="shared" si="27"/>
        <v/>
      </c>
      <c r="BC41" s="39"/>
      <c r="BD41" s="72" t="str">
        <f t="shared" si="10"/>
        <v/>
      </c>
      <c r="BE41" s="72" t="str">
        <f t="shared" si="28"/>
        <v/>
      </c>
      <c r="BF41" s="39"/>
      <c r="BG41" s="42" t="str">
        <f t="shared" si="11"/>
        <v/>
      </c>
      <c r="BH41" s="72" t="str">
        <f t="shared" si="29"/>
        <v/>
      </c>
      <c r="BI41" s="39"/>
      <c r="BJ41" s="72"/>
      <c r="BK41" s="157"/>
      <c r="BL41" s="157"/>
      <c r="BM41" s="72"/>
      <c r="BN41" s="72"/>
      <c r="BO41" s="72"/>
      <c r="BP41" s="39"/>
      <c r="BQ41" s="72" t="str">
        <f t="shared" si="12"/>
        <v/>
      </c>
      <c r="BR41" s="72" t="str">
        <f t="shared" si="30"/>
        <v/>
      </c>
    </row>
    <row r="42" spans="3:70" x14ac:dyDescent="0.15">
      <c r="D42" s="81" t="s">
        <v>180</v>
      </c>
      <c r="F42" s="59"/>
      <c r="G42" s="81" t="s">
        <v>181</v>
      </c>
      <c r="I42" s="459">
        <f t="shared" si="31"/>
        <v>2047</v>
      </c>
      <c r="J42" s="71"/>
      <c r="K42" s="71">
        <f t="shared" si="32"/>
        <v>28</v>
      </c>
      <c r="L42" s="71"/>
      <c r="M42" s="7">
        <f t="shared" si="0"/>
        <v>0.4370767531704256</v>
      </c>
      <c r="N42" s="71"/>
      <c r="O42" s="10" t="str">
        <f t="shared" si="13"/>
        <v/>
      </c>
      <c r="P42" s="29" t="str">
        <f t="shared" si="1"/>
        <v/>
      </c>
      <c r="Q42" s="71"/>
      <c r="R42" s="10" t="str">
        <f t="shared" si="14"/>
        <v/>
      </c>
      <c r="S42" s="71"/>
      <c r="T42" s="10" t="str">
        <f t="shared" si="15"/>
        <v/>
      </c>
      <c r="U42" s="71"/>
      <c r="V42" s="10" t="str">
        <f t="shared" si="2"/>
        <v/>
      </c>
      <c r="W42" s="10" t="str">
        <f t="shared" si="16"/>
        <v/>
      </c>
      <c r="X42" s="71"/>
      <c r="Y42" s="10" t="str">
        <f t="shared" si="3"/>
        <v/>
      </c>
      <c r="Z42" s="10" t="str">
        <f t="shared" si="17"/>
        <v/>
      </c>
      <c r="AA42" s="71"/>
      <c r="AB42" s="10" t="str">
        <f t="shared" si="4"/>
        <v/>
      </c>
      <c r="AC42" s="10" t="str">
        <f t="shared" si="18"/>
        <v/>
      </c>
      <c r="AD42" s="71"/>
      <c r="AE42" s="10" t="str">
        <f t="shared" si="5"/>
        <v/>
      </c>
      <c r="AF42" s="10" t="str">
        <f t="shared" si="19"/>
        <v/>
      </c>
      <c r="AG42" s="71"/>
      <c r="AH42" s="10" t="str">
        <f t="shared" si="33"/>
        <v/>
      </c>
      <c r="AI42" s="10" t="str">
        <f t="shared" si="21"/>
        <v/>
      </c>
      <c r="AJ42" s="71"/>
      <c r="AK42" s="10" t="str">
        <f t="shared" si="22"/>
        <v/>
      </c>
      <c r="AL42" s="10" t="str">
        <f t="shared" si="23"/>
        <v/>
      </c>
      <c r="AM42" s="71"/>
      <c r="AN42" s="10" t="str">
        <f t="shared" si="6"/>
        <v/>
      </c>
      <c r="AO42" s="10" t="str">
        <f t="shared" si="24"/>
        <v/>
      </c>
      <c r="AP42" s="71"/>
      <c r="AQ42" s="10" t="str">
        <f t="shared" si="7"/>
        <v/>
      </c>
      <c r="AR42" s="10" t="str">
        <f t="shared" si="25"/>
        <v/>
      </c>
      <c r="AS42" s="71"/>
      <c r="AT42" s="7" t="str">
        <f>IF($K42&lt;=$F$15,IF($F$40&lt;&gt;"",$F$40/1000,IF(ISERROR(VLOOKUP($F$3&amp;IF($G$4&lt;&gt;"",$G$4,"")&amp;IF($F$43&lt;&gt;"","_"&amp;$F$43,""),'表3）燃料価格'!$AF$9:$AG$25,2,0)),0,VLOOKUP($I42,'表3）燃料価格'!$A$6:$U$66,VLOOKUP($F$3&amp;IF($G$4&lt;&gt;"",$G$4,"")&amp;IF($F$43&lt;&gt;"","_"&amp;$F$43,""),'表3）燃料価格'!$AF$9:$AG$25,2,0)+VLOOKUP($F$41,'表3）燃料価格'!$AF$28:$AG$29,2,0),0)*IF($F$43="需要地価格",1,$F$8/$F$141))),"")</f>
        <v/>
      </c>
      <c r="AU42" s="71"/>
      <c r="AV42" s="10" t="str">
        <f t="shared" si="8"/>
        <v/>
      </c>
      <c r="AW42" s="10" t="str">
        <f t="shared" si="26"/>
        <v/>
      </c>
      <c r="AX42" s="71"/>
      <c r="AY42" s="7" t="str">
        <f>IF(ISERROR(IF($K42&lt;=$F$15,VLOOKUP($I42,'表4）CO2価格'!$A$7:$E$67,VLOOKUP($F$48,'表4）CO2価格'!$H$10:$I$12,2,0),0)*$F$8/1000,"")),0,IF($K42&lt;=$F$15,VLOOKUP($I42,'表4）CO2価格'!$A$7:$E$67,VLOOKUP($F$48,'表4）CO2価格'!$H$10:$I$12,2,0),0)*$F$8/1000,""))</f>
        <v/>
      </c>
      <c r="AZ42" s="71"/>
      <c r="BA42" s="11" t="str">
        <f t="shared" si="9"/>
        <v/>
      </c>
      <c r="BB42" s="10" t="str">
        <f t="shared" si="27"/>
        <v/>
      </c>
      <c r="BC42" s="71"/>
      <c r="BD42" s="10" t="str">
        <f t="shared" si="10"/>
        <v/>
      </c>
      <c r="BE42" s="10" t="str">
        <f t="shared" si="28"/>
        <v/>
      </c>
      <c r="BF42" s="71"/>
      <c r="BG42" s="11" t="str">
        <f t="shared" si="11"/>
        <v/>
      </c>
      <c r="BH42" s="10" t="str">
        <f t="shared" si="29"/>
        <v/>
      </c>
      <c r="BJ42" s="10"/>
      <c r="BK42" s="158"/>
      <c r="BL42" s="158"/>
      <c r="BM42" s="10"/>
      <c r="BN42" s="10"/>
      <c r="BO42" s="10"/>
      <c r="BP42" s="71"/>
      <c r="BQ42" s="10" t="str">
        <f t="shared" si="12"/>
        <v/>
      </c>
      <c r="BR42" s="10" t="str">
        <f t="shared" si="30"/>
        <v/>
      </c>
    </row>
    <row r="43" spans="3:70" x14ac:dyDescent="0.15">
      <c r="D43" s="82" t="s">
        <v>126</v>
      </c>
      <c r="F43" s="88"/>
      <c r="I43" s="458">
        <f t="shared" si="31"/>
        <v>2048</v>
      </c>
      <c r="J43" s="39"/>
      <c r="K43" s="39">
        <f t="shared" si="32"/>
        <v>29</v>
      </c>
      <c r="L43" s="39"/>
      <c r="M43" s="40">
        <f t="shared" si="0"/>
        <v>0.42434636230138412</v>
      </c>
      <c r="N43" s="39"/>
      <c r="O43" s="72" t="str">
        <f t="shared" si="13"/>
        <v/>
      </c>
      <c r="P43" s="41" t="str">
        <f t="shared" si="1"/>
        <v/>
      </c>
      <c r="Q43" s="39"/>
      <c r="R43" s="72" t="str">
        <f t="shared" si="14"/>
        <v/>
      </c>
      <c r="S43" s="39"/>
      <c r="T43" s="72" t="str">
        <f t="shared" si="15"/>
        <v/>
      </c>
      <c r="U43" s="39"/>
      <c r="V43" s="72" t="str">
        <f t="shared" si="2"/>
        <v/>
      </c>
      <c r="W43" s="72" t="str">
        <f t="shared" si="16"/>
        <v/>
      </c>
      <c r="X43" s="39"/>
      <c r="Y43" s="72" t="str">
        <f t="shared" si="3"/>
        <v/>
      </c>
      <c r="Z43" s="72" t="str">
        <f t="shared" si="17"/>
        <v/>
      </c>
      <c r="AA43" s="39"/>
      <c r="AB43" s="72" t="str">
        <f t="shared" si="4"/>
        <v/>
      </c>
      <c r="AC43" s="72" t="str">
        <f t="shared" si="18"/>
        <v/>
      </c>
      <c r="AD43" s="39"/>
      <c r="AE43" s="72" t="str">
        <f t="shared" si="5"/>
        <v/>
      </c>
      <c r="AF43" s="72" t="str">
        <f t="shared" si="19"/>
        <v/>
      </c>
      <c r="AG43" s="39"/>
      <c r="AH43" s="72" t="str">
        <f t="shared" si="33"/>
        <v/>
      </c>
      <c r="AI43" s="72" t="str">
        <f t="shared" si="21"/>
        <v/>
      </c>
      <c r="AJ43" s="39"/>
      <c r="AK43" s="72" t="str">
        <f t="shared" si="22"/>
        <v/>
      </c>
      <c r="AL43" s="72" t="str">
        <f t="shared" si="23"/>
        <v/>
      </c>
      <c r="AM43" s="39"/>
      <c r="AN43" s="72" t="str">
        <f t="shared" si="6"/>
        <v/>
      </c>
      <c r="AO43" s="72" t="str">
        <f t="shared" si="24"/>
        <v/>
      </c>
      <c r="AP43" s="39"/>
      <c r="AQ43" s="72" t="str">
        <f t="shared" si="7"/>
        <v/>
      </c>
      <c r="AR43" s="72" t="str">
        <f t="shared" si="25"/>
        <v/>
      </c>
      <c r="AS43" s="39"/>
      <c r="AT43" s="40" t="str">
        <f>IF($K43&lt;=$F$15,IF($F$40&lt;&gt;"",$F$40/1000,IF(ISERROR(VLOOKUP($F$3&amp;IF($G$4&lt;&gt;"",$G$4,"")&amp;IF($F$43&lt;&gt;"","_"&amp;$F$43,""),'表3）燃料価格'!$AF$9:$AG$25,2,0)),0,VLOOKUP($I43,'表3）燃料価格'!$A$6:$U$66,VLOOKUP($F$3&amp;IF($G$4&lt;&gt;"",$G$4,"")&amp;IF($F$43&lt;&gt;"","_"&amp;$F$43,""),'表3）燃料価格'!$AF$9:$AG$25,2,0)+VLOOKUP($F$41,'表3）燃料価格'!$AF$28:$AG$29,2,0),0)*IF($F$43="需要地価格",1,$F$8/$F$141))),"")</f>
        <v/>
      </c>
      <c r="AU43" s="39"/>
      <c r="AV43" s="72" t="str">
        <f t="shared" si="8"/>
        <v/>
      </c>
      <c r="AW43" s="72" t="str">
        <f t="shared" si="26"/>
        <v/>
      </c>
      <c r="AX43" s="39"/>
      <c r="AY43" s="40" t="str">
        <f>IF(ISERROR(IF($K43&lt;=$F$15,VLOOKUP($I43,'表4）CO2価格'!$A$7:$E$67,VLOOKUP($F$48,'表4）CO2価格'!$H$10:$I$12,2,0),0)*$F$8/1000,"")),0,IF($K43&lt;=$F$15,VLOOKUP($I43,'表4）CO2価格'!$A$7:$E$67,VLOOKUP($F$48,'表4）CO2価格'!$H$10:$I$12,2,0),0)*$F$8/1000,""))</f>
        <v/>
      </c>
      <c r="AZ43" s="39"/>
      <c r="BA43" s="42" t="str">
        <f t="shared" si="9"/>
        <v/>
      </c>
      <c r="BB43" s="72" t="str">
        <f t="shared" si="27"/>
        <v/>
      </c>
      <c r="BC43" s="39"/>
      <c r="BD43" s="72" t="str">
        <f t="shared" si="10"/>
        <v/>
      </c>
      <c r="BE43" s="72" t="str">
        <f t="shared" si="28"/>
        <v/>
      </c>
      <c r="BF43" s="39"/>
      <c r="BG43" s="42" t="str">
        <f t="shared" si="11"/>
        <v/>
      </c>
      <c r="BH43" s="72" t="str">
        <f t="shared" si="29"/>
        <v/>
      </c>
      <c r="BI43" s="39"/>
      <c r="BJ43" s="72"/>
      <c r="BK43" s="157"/>
      <c r="BL43" s="157"/>
      <c r="BM43" s="72"/>
      <c r="BN43" s="72"/>
      <c r="BO43" s="72"/>
      <c r="BP43" s="39"/>
      <c r="BQ43" s="72" t="str">
        <f t="shared" si="12"/>
        <v/>
      </c>
      <c r="BR43" s="72" t="str">
        <f t="shared" si="30"/>
        <v/>
      </c>
    </row>
    <row r="44" spans="3:70" x14ac:dyDescent="0.15">
      <c r="I44" s="459">
        <f t="shared" si="31"/>
        <v>2049</v>
      </c>
      <c r="J44" s="71"/>
      <c r="K44" s="71">
        <f t="shared" si="32"/>
        <v>30</v>
      </c>
      <c r="L44" s="71"/>
      <c r="M44" s="7">
        <f t="shared" si="0"/>
        <v>0.41198675951590691</v>
      </c>
      <c r="N44" s="71"/>
      <c r="O44" s="10" t="str">
        <f t="shared" si="13"/>
        <v/>
      </c>
      <c r="P44" s="29" t="str">
        <f t="shared" si="1"/>
        <v/>
      </c>
      <c r="Q44" s="71"/>
      <c r="R44" s="10" t="str">
        <f t="shared" si="14"/>
        <v/>
      </c>
      <c r="S44" s="71"/>
      <c r="T44" s="10" t="str">
        <f t="shared" si="15"/>
        <v/>
      </c>
      <c r="U44" s="71"/>
      <c r="V44" s="10" t="str">
        <f t="shared" si="2"/>
        <v/>
      </c>
      <c r="W44" s="10" t="str">
        <f t="shared" si="16"/>
        <v/>
      </c>
      <c r="X44" s="71"/>
      <c r="Y44" s="10" t="str">
        <f t="shared" si="3"/>
        <v/>
      </c>
      <c r="Z44" s="10" t="str">
        <f t="shared" si="17"/>
        <v/>
      </c>
      <c r="AA44" s="71"/>
      <c r="AB44" s="10" t="str">
        <f t="shared" si="4"/>
        <v/>
      </c>
      <c r="AC44" s="10" t="str">
        <f t="shared" si="18"/>
        <v/>
      </c>
      <c r="AD44" s="71"/>
      <c r="AE44" s="10" t="str">
        <f t="shared" si="5"/>
        <v/>
      </c>
      <c r="AF44" s="10" t="str">
        <f t="shared" si="19"/>
        <v/>
      </c>
      <c r="AG44" s="71"/>
      <c r="AH44" s="10" t="str">
        <f t="shared" si="33"/>
        <v/>
      </c>
      <c r="AI44" s="10" t="str">
        <f t="shared" si="21"/>
        <v/>
      </c>
      <c r="AJ44" s="71"/>
      <c r="AK44" s="10" t="str">
        <f t="shared" si="22"/>
        <v/>
      </c>
      <c r="AL44" s="10" t="str">
        <f t="shared" si="23"/>
        <v/>
      </c>
      <c r="AM44" s="71"/>
      <c r="AN44" s="10" t="str">
        <f t="shared" si="6"/>
        <v/>
      </c>
      <c r="AO44" s="10" t="str">
        <f t="shared" si="24"/>
        <v/>
      </c>
      <c r="AP44" s="71"/>
      <c r="AQ44" s="10" t="str">
        <f t="shared" si="7"/>
        <v/>
      </c>
      <c r="AR44" s="10" t="str">
        <f t="shared" si="25"/>
        <v/>
      </c>
      <c r="AS44" s="71"/>
      <c r="AT44" s="7" t="str">
        <f>IF($K44&lt;=$F$15,IF($F$40&lt;&gt;"",$F$40/1000,IF(ISERROR(VLOOKUP($F$3&amp;IF($G$4&lt;&gt;"",$G$4,"")&amp;IF($F$43&lt;&gt;"","_"&amp;$F$43,""),'表3）燃料価格'!$AF$9:$AG$25,2,0)),0,VLOOKUP($I44,'表3）燃料価格'!$A$6:$U$66,VLOOKUP($F$3&amp;IF($G$4&lt;&gt;"",$G$4,"")&amp;IF($F$43&lt;&gt;"","_"&amp;$F$43,""),'表3）燃料価格'!$AF$9:$AG$25,2,0)+VLOOKUP($F$41,'表3）燃料価格'!$AF$28:$AG$29,2,0),0)*IF($F$43="需要地価格",1,$F$8/$F$141))),"")</f>
        <v/>
      </c>
      <c r="AU44" s="71"/>
      <c r="AV44" s="10" t="str">
        <f t="shared" si="8"/>
        <v/>
      </c>
      <c r="AW44" s="10" t="str">
        <f t="shared" si="26"/>
        <v/>
      </c>
      <c r="AX44" s="71"/>
      <c r="AY44" s="7" t="str">
        <f>IF(ISERROR(IF($K44&lt;=$F$15,VLOOKUP($I44,'表4）CO2価格'!$A$7:$E$67,VLOOKUP($F$48,'表4）CO2価格'!$H$10:$I$12,2,0),0)*$F$8/1000,"")),0,IF($K44&lt;=$F$15,VLOOKUP($I44,'表4）CO2価格'!$A$7:$E$67,VLOOKUP($F$48,'表4）CO2価格'!$H$10:$I$12,2,0),0)*$F$8/1000,""))</f>
        <v/>
      </c>
      <c r="AZ44" s="71"/>
      <c r="BA44" s="11" t="str">
        <f t="shared" si="9"/>
        <v/>
      </c>
      <c r="BB44" s="10" t="str">
        <f t="shared" si="27"/>
        <v/>
      </c>
      <c r="BC44" s="71"/>
      <c r="BD44" s="10" t="str">
        <f t="shared" si="10"/>
        <v/>
      </c>
      <c r="BE44" s="10" t="str">
        <f t="shared" si="28"/>
        <v/>
      </c>
      <c r="BF44" s="71"/>
      <c r="BG44" s="11" t="str">
        <f t="shared" si="11"/>
        <v/>
      </c>
      <c r="BH44" s="10" t="str">
        <f t="shared" si="29"/>
        <v/>
      </c>
      <c r="BJ44" s="10"/>
      <c r="BK44" s="158"/>
      <c r="BL44" s="158"/>
      <c r="BM44" s="10"/>
      <c r="BN44" s="10"/>
      <c r="BO44" s="10"/>
      <c r="BP44" s="71"/>
      <c r="BQ44" s="10" t="str">
        <f t="shared" si="12"/>
        <v/>
      </c>
      <c r="BR44" s="10" t="str">
        <f t="shared" si="30"/>
        <v/>
      </c>
    </row>
    <row r="45" spans="3:70" x14ac:dyDescent="0.15">
      <c r="C45" s="89" t="s">
        <v>509</v>
      </c>
      <c r="D45" s="101"/>
      <c r="E45" s="101"/>
      <c r="F45" s="89"/>
      <c r="G45" s="101"/>
      <c r="I45" s="458">
        <f t="shared" si="31"/>
        <v>2050</v>
      </c>
      <c r="J45" s="39"/>
      <c r="K45" s="39">
        <f t="shared" si="32"/>
        <v>31</v>
      </c>
      <c r="L45" s="39"/>
      <c r="M45" s="40">
        <f t="shared" si="0"/>
        <v>0.39998714516107459</v>
      </c>
      <c r="N45" s="39"/>
      <c r="O45" s="72" t="str">
        <f t="shared" si="13"/>
        <v/>
      </c>
      <c r="P45" s="41" t="str">
        <f t="shared" si="1"/>
        <v/>
      </c>
      <c r="Q45" s="39"/>
      <c r="R45" s="72" t="str">
        <f t="shared" si="14"/>
        <v/>
      </c>
      <c r="S45" s="39"/>
      <c r="T45" s="72" t="str">
        <f t="shared" si="15"/>
        <v/>
      </c>
      <c r="U45" s="39"/>
      <c r="V45" s="72" t="str">
        <f t="shared" si="2"/>
        <v/>
      </c>
      <c r="W45" s="72" t="str">
        <f t="shared" si="16"/>
        <v/>
      </c>
      <c r="X45" s="39"/>
      <c r="Y45" s="72" t="str">
        <f t="shared" si="3"/>
        <v/>
      </c>
      <c r="Z45" s="72" t="str">
        <f t="shared" si="17"/>
        <v/>
      </c>
      <c r="AA45" s="39"/>
      <c r="AB45" s="72" t="str">
        <f t="shared" si="4"/>
        <v/>
      </c>
      <c r="AC45" s="72" t="str">
        <f t="shared" si="18"/>
        <v/>
      </c>
      <c r="AD45" s="39"/>
      <c r="AE45" s="72" t="str">
        <f t="shared" si="5"/>
        <v/>
      </c>
      <c r="AF45" s="72" t="str">
        <f t="shared" si="19"/>
        <v/>
      </c>
      <c r="AG45" s="39"/>
      <c r="AH45" s="72" t="str">
        <f t="shared" si="33"/>
        <v/>
      </c>
      <c r="AI45" s="72" t="str">
        <f t="shared" si="21"/>
        <v/>
      </c>
      <c r="AJ45" s="39"/>
      <c r="AK45" s="72" t="str">
        <f t="shared" si="22"/>
        <v/>
      </c>
      <c r="AL45" s="72" t="str">
        <f t="shared" si="23"/>
        <v/>
      </c>
      <c r="AM45" s="39"/>
      <c r="AN45" s="72" t="str">
        <f t="shared" si="6"/>
        <v/>
      </c>
      <c r="AO45" s="72" t="str">
        <f t="shared" si="24"/>
        <v/>
      </c>
      <c r="AP45" s="39"/>
      <c r="AQ45" s="72" t="str">
        <f t="shared" si="7"/>
        <v/>
      </c>
      <c r="AR45" s="72" t="str">
        <f t="shared" si="25"/>
        <v/>
      </c>
      <c r="AS45" s="39"/>
      <c r="AT45" s="40" t="str">
        <f>IF($K45&lt;=$F$15,IF($F$40&lt;&gt;"",$F$40/1000,IF(ISERROR(VLOOKUP($F$3&amp;IF($G$4&lt;&gt;"",$G$4,"")&amp;IF($F$43&lt;&gt;"","_"&amp;$F$43,""),'表3）燃料価格'!$AF$9:$AG$25,2,0)),0,VLOOKUP($I45,'表3）燃料価格'!$A$6:$U$66,VLOOKUP($F$3&amp;IF($G$4&lt;&gt;"",$G$4,"")&amp;IF($F$43&lt;&gt;"","_"&amp;$F$43,""),'表3）燃料価格'!$AF$9:$AG$25,2,0)+VLOOKUP($F$41,'表3）燃料価格'!$AF$28:$AG$29,2,0),0)*IF($F$43="需要地価格",1,$F$8/$F$141))),"")</f>
        <v/>
      </c>
      <c r="AU45" s="39"/>
      <c r="AV45" s="72" t="str">
        <f t="shared" si="8"/>
        <v/>
      </c>
      <c r="AW45" s="72" t="str">
        <f t="shared" si="26"/>
        <v/>
      </c>
      <c r="AX45" s="39"/>
      <c r="AY45" s="40" t="str">
        <f>IF(ISERROR(IF($K45&lt;=$F$15,VLOOKUP($I45,'表4）CO2価格'!$A$7:$E$67,VLOOKUP($F$48,'表4）CO2価格'!$H$10:$I$12,2,0),0)*$F$8/1000,"")),0,IF($K45&lt;=$F$15,VLOOKUP($I45,'表4）CO2価格'!$A$7:$E$67,VLOOKUP($F$48,'表4）CO2価格'!$H$10:$I$12,2,0),0)*$F$8/1000,""))</f>
        <v/>
      </c>
      <c r="AZ45" s="39"/>
      <c r="BA45" s="42" t="str">
        <f t="shared" si="9"/>
        <v/>
      </c>
      <c r="BB45" s="72" t="str">
        <f t="shared" si="27"/>
        <v/>
      </c>
      <c r="BC45" s="39"/>
      <c r="BD45" s="72" t="str">
        <f t="shared" si="10"/>
        <v/>
      </c>
      <c r="BE45" s="72" t="str">
        <f t="shared" si="28"/>
        <v/>
      </c>
      <c r="BF45" s="39"/>
      <c r="BG45" s="42" t="str">
        <f t="shared" si="11"/>
        <v/>
      </c>
      <c r="BH45" s="72" t="str">
        <f t="shared" si="29"/>
        <v/>
      </c>
      <c r="BI45" s="39"/>
      <c r="BJ45" s="72"/>
      <c r="BK45" s="157"/>
      <c r="BL45" s="157"/>
      <c r="BM45" s="72"/>
      <c r="BN45" s="72"/>
      <c r="BO45" s="72"/>
      <c r="BP45" s="39"/>
      <c r="BQ45" s="72" t="str">
        <f t="shared" si="12"/>
        <v/>
      </c>
      <c r="BR45" s="72" t="str">
        <f t="shared" si="30"/>
        <v/>
      </c>
    </row>
    <row r="46" spans="3:70" x14ac:dyDescent="0.15">
      <c r="I46" s="459">
        <f t="shared" si="31"/>
        <v>2051</v>
      </c>
      <c r="J46" s="71"/>
      <c r="K46" s="71">
        <f t="shared" si="32"/>
        <v>32</v>
      </c>
      <c r="L46" s="71"/>
      <c r="M46" s="7">
        <f t="shared" si="0"/>
        <v>0.38833703413696569</v>
      </c>
      <c r="N46" s="71"/>
      <c r="O46" s="10" t="str">
        <f t="shared" si="13"/>
        <v/>
      </c>
      <c r="P46" s="29" t="str">
        <f t="shared" si="1"/>
        <v/>
      </c>
      <c r="Q46" s="71"/>
      <c r="R46" s="10" t="str">
        <f t="shared" si="14"/>
        <v/>
      </c>
      <c r="S46" s="71"/>
      <c r="T46" s="10" t="str">
        <f t="shared" si="15"/>
        <v/>
      </c>
      <c r="U46" s="71"/>
      <c r="V46" s="10" t="str">
        <f t="shared" si="2"/>
        <v/>
      </c>
      <c r="W46" s="10" t="str">
        <f t="shared" si="16"/>
        <v/>
      </c>
      <c r="X46" s="71"/>
      <c r="Y46" s="10" t="str">
        <f t="shared" si="3"/>
        <v/>
      </c>
      <c r="Z46" s="10" t="str">
        <f t="shared" si="17"/>
        <v/>
      </c>
      <c r="AA46" s="71"/>
      <c r="AB46" s="10" t="str">
        <f t="shared" si="4"/>
        <v/>
      </c>
      <c r="AC46" s="10" t="str">
        <f t="shared" si="18"/>
        <v/>
      </c>
      <c r="AD46" s="71"/>
      <c r="AE46" s="10" t="str">
        <f t="shared" si="5"/>
        <v/>
      </c>
      <c r="AF46" s="10" t="str">
        <f t="shared" si="19"/>
        <v/>
      </c>
      <c r="AG46" s="71"/>
      <c r="AH46" s="10" t="str">
        <f t="shared" si="33"/>
        <v/>
      </c>
      <c r="AI46" s="10" t="str">
        <f t="shared" si="21"/>
        <v/>
      </c>
      <c r="AJ46" s="71"/>
      <c r="AK46" s="10" t="str">
        <f t="shared" si="22"/>
        <v/>
      </c>
      <c r="AL46" s="10" t="str">
        <f t="shared" si="23"/>
        <v/>
      </c>
      <c r="AM46" s="71"/>
      <c r="AN46" s="10" t="str">
        <f t="shared" si="6"/>
        <v/>
      </c>
      <c r="AO46" s="10" t="str">
        <f t="shared" si="24"/>
        <v/>
      </c>
      <c r="AP46" s="71"/>
      <c r="AQ46" s="10" t="str">
        <f t="shared" si="7"/>
        <v/>
      </c>
      <c r="AR46" s="10" t="str">
        <f t="shared" si="25"/>
        <v/>
      </c>
      <c r="AS46" s="71"/>
      <c r="AT46" s="7" t="str">
        <f>IF($K46&lt;=$F$15,IF($F$40&lt;&gt;"",$F$40/1000,IF(ISERROR(VLOOKUP($F$3&amp;IF($G$4&lt;&gt;"",$G$4,"")&amp;IF($F$43&lt;&gt;"","_"&amp;$F$43,""),'表3）燃料価格'!$AF$9:$AG$25,2,0)),0,VLOOKUP($I46,'表3）燃料価格'!$A$6:$U$66,VLOOKUP($F$3&amp;IF($G$4&lt;&gt;"",$G$4,"")&amp;IF($F$43&lt;&gt;"","_"&amp;$F$43,""),'表3）燃料価格'!$AF$9:$AG$25,2,0)+VLOOKUP($F$41,'表3）燃料価格'!$AF$28:$AG$29,2,0),0)*IF($F$43="需要地価格",1,$F$8/$F$141))),"")</f>
        <v/>
      </c>
      <c r="AU46" s="71"/>
      <c r="AV46" s="10" t="str">
        <f t="shared" si="8"/>
        <v/>
      </c>
      <c r="AW46" s="10" t="str">
        <f t="shared" si="26"/>
        <v/>
      </c>
      <c r="AX46" s="71"/>
      <c r="AY46" s="7" t="str">
        <f>IF(ISERROR(IF($K46&lt;=$F$15,VLOOKUP($I46,'表4）CO2価格'!$A$7:$E$67,VLOOKUP($F$48,'表4）CO2価格'!$H$10:$I$12,2,0),0)*$F$8/1000,"")),0,IF($K46&lt;=$F$15,VLOOKUP($I46,'表4）CO2価格'!$A$7:$E$67,VLOOKUP($F$48,'表4）CO2価格'!$H$10:$I$12,2,0),0)*$F$8/1000,""))</f>
        <v/>
      </c>
      <c r="AZ46" s="71"/>
      <c r="BA46" s="11" t="str">
        <f t="shared" si="9"/>
        <v/>
      </c>
      <c r="BB46" s="10" t="str">
        <f t="shared" si="27"/>
        <v/>
      </c>
      <c r="BC46" s="71"/>
      <c r="BD46" s="10" t="str">
        <f t="shared" si="10"/>
        <v/>
      </c>
      <c r="BE46" s="10" t="str">
        <f t="shared" si="28"/>
        <v/>
      </c>
      <c r="BF46" s="71"/>
      <c r="BG46" s="11" t="str">
        <f t="shared" si="11"/>
        <v/>
      </c>
      <c r="BH46" s="10" t="str">
        <f t="shared" si="29"/>
        <v/>
      </c>
      <c r="BJ46" s="10"/>
      <c r="BK46" s="158"/>
      <c r="BL46" s="158"/>
      <c r="BM46" s="10"/>
      <c r="BN46" s="10"/>
      <c r="BO46" s="10"/>
      <c r="BP46" s="71"/>
      <c r="BQ46" s="10" t="str">
        <f t="shared" si="12"/>
        <v/>
      </c>
      <c r="BR46" s="10" t="str">
        <f t="shared" si="30"/>
        <v/>
      </c>
    </row>
    <row r="47" spans="3:70" x14ac:dyDescent="0.15">
      <c r="D47" s="81" t="s">
        <v>182</v>
      </c>
      <c r="F47" s="66"/>
      <c r="G47" s="81" t="s">
        <v>226</v>
      </c>
      <c r="I47" s="458">
        <f t="shared" si="31"/>
        <v>2052</v>
      </c>
      <c r="J47" s="39"/>
      <c r="K47" s="39">
        <f t="shared" si="32"/>
        <v>33</v>
      </c>
      <c r="L47" s="39"/>
      <c r="M47" s="40">
        <f t="shared" si="0"/>
        <v>0.37702624673491814</v>
      </c>
      <c r="N47" s="39"/>
      <c r="O47" s="72" t="str">
        <f t="shared" si="13"/>
        <v/>
      </c>
      <c r="P47" s="41" t="str">
        <f t="shared" ref="P47:P78" si="34">IF(K47&lt;=$F$15,IF(OR(P46=$F$124,P46="-"),"-",IF(O47*$F$123&gt;$F$127,$F$123,$F$124)),"")</f>
        <v/>
      </c>
      <c r="Q47" s="39"/>
      <c r="R47" s="72" t="str">
        <f t="shared" si="14"/>
        <v/>
      </c>
      <c r="S47" s="39"/>
      <c r="T47" s="72" t="str">
        <f t="shared" si="15"/>
        <v/>
      </c>
      <c r="U47" s="39"/>
      <c r="V47" s="72" t="str">
        <f t="shared" ref="V47:V78" si="35">IF(K47&lt;=$F$15,IF(K47&lt;$F$119,IF(P47="-",V46,O47*P47),IF(K47=$F$119,MIN(IF(P47="-",V46,O47*P47),O47),0)),"")</f>
        <v/>
      </c>
      <c r="W47" s="72" t="str">
        <f t="shared" si="16"/>
        <v/>
      </c>
      <c r="X47" s="39"/>
      <c r="Y47" s="72" t="str">
        <f t="shared" ref="Y47:Y78" si="36">IF($K47&lt;=$F$15,ROUNDDOWN(T47*$F$25/100,-2),"")</f>
        <v/>
      </c>
      <c r="Z47" s="72" t="str">
        <f t="shared" si="17"/>
        <v/>
      </c>
      <c r="AA47" s="39"/>
      <c r="AB47" s="72" t="str">
        <f t="shared" si="4"/>
        <v/>
      </c>
      <c r="AC47" s="72" t="str">
        <f t="shared" si="18"/>
        <v/>
      </c>
      <c r="AD47" s="39"/>
      <c r="AE47" s="72" t="str">
        <f t="shared" ref="AE47:AE78" si="37">IF($K47&lt;=$F$15,$F$26,"")</f>
        <v/>
      </c>
      <c r="AF47" s="72" t="str">
        <f t="shared" si="19"/>
        <v/>
      </c>
      <c r="AG47" s="39"/>
      <c r="AH47" s="72" t="str">
        <f t="shared" ref="AH47:AH78" si="38">IF($K47&lt;=$F$15,$F$33*10^8,"")</f>
        <v/>
      </c>
      <c r="AI47" s="72" t="str">
        <f t="shared" si="21"/>
        <v/>
      </c>
      <c r="AJ47" s="39"/>
      <c r="AK47" s="72" t="str">
        <f t="shared" si="22"/>
        <v/>
      </c>
      <c r="AL47" s="72" t="str">
        <f t="shared" si="23"/>
        <v/>
      </c>
      <c r="AM47" s="39"/>
      <c r="AN47" s="72" t="str">
        <f t="shared" ref="AN47:AN78" si="39">IF($K47&lt;=$F$15,$F$117*$F$35/100,"")</f>
        <v/>
      </c>
      <c r="AO47" s="72" t="str">
        <f t="shared" si="24"/>
        <v/>
      </c>
      <c r="AP47" s="39"/>
      <c r="AQ47" s="72" t="str">
        <f t="shared" ref="AQ47:AQ78" si="40">IF($K47&lt;=$F$15,SUM(AH47,AK47,AN47)*($F$36/100),"")</f>
        <v/>
      </c>
      <c r="AR47" s="72" t="str">
        <f t="shared" si="25"/>
        <v/>
      </c>
      <c r="AS47" s="39"/>
      <c r="AT47" s="40" t="str">
        <f>IF($K47&lt;=$F$15,IF($F$40&lt;&gt;"",$F$40/1000,IF(ISERROR(VLOOKUP($F$3&amp;IF($G$4&lt;&gt;"",$G$4,"")&amp;IF($F$43&lt;&gt;"","_"&amp;$F$43,""),'表3）燃料価格'!$AF$9:$AG$25,2,0)),0,VLOOKUP($I47,'表3）燃料価格'!$A$6:$U$66,VLOOKUP($F$3&amp;IF($G$4&lt;&gt;"",$G$4,"")&amp;IF($F$43&lt;&gt;"","_"&amp;$F$43,""),'表3）燃料価格'!$AF$9:$AG$25,2,0)+VLOOKUP($F$41,'表3）燃料価格'!$AF$28:$AG$29,2,0),0)*IF($F$43="需要地価格",1,$F$8/$F$141))),"")</f>
        <v/>
      </c>
      <c r="AU47" s="39"/>
      <c r="AV47" s="72" t="str">
        <f t="shared" ref="AV47:AV78" si="41">IF($K47&lt;=$F$15,($AT47+$F$142)*$F$137,"")</f>
        <v/>
      </c>
      <c r="AW47" s="72" t="str">
        <f t="shared" si="26"/>
        <v/>
      </c>
      <c r="AX47" s="39"/>
      <c r="AY47" s="40" t="str">
        <f>IF(ISERROR(IF($K47&lt;=$F$15,VLOOKUP($I47,'表4）CO2価格'!$A$7:$E$67,VLOOKUP($F$48,'表4）CO2価格'!$H$10:$I$12,2,0),0)*$F$8/1000,"")),0,IF($K47&lt;=$F$15,VLOOKUP($I47,'表4）CO2価格'!$A$7:$E$67,VLOOKUP($F$48,'表4）CO2価格'!$H$10:$I$12,2,0),0)*$F$8/1000,""))</f>
        <v/>
      </c>
      <c r="AZ47" s="39"/>
      <c r="BA47" s="42" t="str">
        <f t="shared" ref="BA47:BA78" si="42">IF($K47&lt;=$F$15,$F$145*AY47,"")</f>
        <v/>
      </c>
      <c r="BB47" s="72" t="str">
        <f t="shared" si="27"/>
        <v/>
      </c>
      <c r="BC47" s="39"/>
      <c r="BD47" s="72" t="str">
        <f t="shared" ref="BD47:BD78" si="43">IF($K47&lt;=$F$15,($AT47+$F$152)*$F$151,"")</f>
        <v/>
      </c>
      <c r="BE47" s="72" t="str">
        <f t="shared" si="28"/>
        <v/>
      </c>
      <c r="BF47" s="39"/>
      <c r="BG47" s="42" t="str">
        <f t="shared" ref="BG47:BG78" si="44">IF($K47&lt;=$F$15,$F$153*AY47,"")</f>
        <v/>
      </c>
      <c r="BH47" s="72" t="str">
        <f t="shared" si="29"/>
        <v/>
      </c>
      <c r="BI47" s="39"/>
      <c r="BJ47" s="72"/>
      <c r="BK47" s="157"/>
      <c r="BL47" s="157"/>
      <c r="BM47" s="72"/>
      <c r="BN47" s="72"/>
      <c r="BO47" s="72"/>
      <c r="BP47" s="39"/>
      <c r="BQ47" s="72" t="str">
        <f t="shared" ref="BQ47:BQ78" si="45">IF($K47&lt;=$F$15,$F$134,"")</f>
        <v/>
      </c>
      <c r="BR47" s="72" t="str">
        <f t="shared" si="30"/>
        <v/>
      </c>
    </row>
    <row r="48" spans="3:70" x14ac:dyDescent="0.15">
      <c r="D48" s="81" t="s">
        <v>184</v>
      </c>
      <c r="F48" s="88"/>
      <c r="I48" s="459">
        <f t="shared" si="31"/>
        <v>2053</v>
      </c>
      <c r="J48" s="71"/>
      <c r="K48" s="71">
        <f t="shared" si="32"/>
        <v>34</v>
      </c>
      <c r="L48" s="71"/>
      <c r="M48" s="7">
        <f t="shared" si="0"/>
        <v>0.36604489974263904</v>
      </c>
      <c r="N48" s="71"/>
      <c r="O48" s="10" t="str">
        <f t="shared" si="13"/>
        <v/>
      </c>
      <c r="P48" s="29" t="str">
        <f t="shared" si="34"/>
        <v/>
      </c>
      <c r="Q48" s="71"/>
      <c r="R48" s="10" t="str">
        <f t="shared" ref="R48:R79" si="46">IF($K48&lt;=$F$15,MAX($F$117*5%,R47*$F$129),"")</f>
        <v/>
      </c>
      <c r="S48" s="71"/>
      <c r="T48" s="10" t="str">
        <f t="shared" si="15"/>
        <v/>
      </c>
      <c r="U48" s="71"/>
      <c r="V48" s="10" t="str">
        <f t="shared" si="35"/>
        <v/>
      </c>
      <c r="W48" s="10" t="str">
        <f t="shared" si="16"/>
        <v/>
      </c>
      <c r="X48" s="71"/>
      <c r="Y48" s="10" t="str">
        <f t="shared" si="36"/>
        <v/>
      </c>
      <c r="Z48" s="10" t="str">
        <f t="shared" si="17"/>
        <v/>
      </c>
      <c r="AA48" s="71"/>
      <c r="AB48" s="10" t="str">
        <f t="shared" si="4"/>
        <v/>
      </c>
      <c r="AC48" s="10" t="str">
        <f t="shared" si="18"/>
        <v/>
      </c>
      <c r="AD48" s="71"/>
      <c r="AE48" s="10" t="str">
        <f t="shared" si="37"/>
        <v/>
      </c>
      <c r="AF48" s="10" t="str">
        <f t="shared" si="19"/>
        <v/>
      </c>
      <c r="AG48" s="71"/>
      <c r="AH48" s="10" t="str">
        <f t="shared" si="38"/>
        <v/>
      </c>
      <c r="AI48" s="10" t="str">
        <f t="shared" si="21"/>
        <v/>
      </c>
      <c r="AJ48" s="71"/>
      <c r="AK48" s="10" t="str">
        <f t="shared" si="22"/>
        <v/>
      </c>
      <c r="AL48" s="10" t="str">
        <f t="shared" si="23"/>
        <v/>
      </c>
      <c r="AM48" s="71"/>
      <c r="AN48" s="10" t="str">
        <f t="shared" si="39"/>
        <v/>
      </c>
      <c r="AO48" s="10" t="str">
        <f t="shared" si="24"/>
        <v/>
      </c>
      <c r="AP48" s="71"/>
      <c r="AQ48" s="10" t="str">
        <f t="shared" si="40"/>
        <v/>
      </c>
      <c r="AR48" s="10" t="str">
        <f t="shared" si="25"/>
        <v/>
      </c>
      <c r="AS48" s="71"/>
      <c r="AT48" s="7" t="str">
        <f>IF($K48&lt;=$F$15,IF($F$40&lt;&gt;"",$F$40/1000,IF(ISERROR(VLOOKUP($F$3&amp;IF($G$4&lt;&gt;"",$G$4,"")&amp;IF($F$43&lt;&gt;"","_"&amp;$F$43,""),'表3）燃料価格'!$AF$9:$AG$25,2,0)),0,VLOOKUP($I48,'表3）燃料価格'!$A$6:$U$66,VLOOKUP($F$3&amp;IF($G$4&lt;&gt;"",$G$4,"")&amp;IF($F$43&lt;&gt;"","_"&amp;$F$43,""),'表3）燃料価格'!$AF$9:$AG$25,2,0)+VLOOKUP($F$41,'表3）燃料価格'!$AF$28:$AG$29,2,0),0)*IF($F$43="需要地価格",1,$F$8/$F$141))),"")</f>
        <v/>
      </c>
      <c r="AU48" s="71"/>
      <c r="AV48" s="10" t="str">
        <f t="shared" si="41"/>
        <v/>
      </c>
      <c r="AW48" s="10" t="str">
        <f t="shared" si="26"/>
        <v/>
      </c>
      <c r="AX48" s="71"/>
      <c r="AY48" s="7" t="str">
        <f>IF(ISERROR(IF($K48&lt;=$F$15,VLOOKUP($I48,'表4）CO2価格'!$A$7:$E$67,VLOOKUP($F$48,'表4）CO2価格'!$H$10:$I$12,2,0),0)*$F$8/1000,"")),0,IF($K48&lt;=$F$15,VLOOKUP($I48,'表4）CO2価格'!$A$7:$E$67,VLOOKUP($F$48,'表4）CO2価格'!$H$10:$I$12,2,0),0)*$F$8/1000,""))</f>
        <v/>
      </c>
      <c r="AZ48" s="71"/>
      <c r="BA48" s="11" t="str">
        <f t="shared" si="42"/>
        <v/>
      </c>
      <c r="BB48" s="10" t="str">
        <f t="shared" si="27"/>
        <v/>
      </c>
      <c r="BC48" s="71"/>
      <c r="BD48" s="10" t="str">
        <f t="shared" si="43"/>
        <v/>
      </c>
      <c r="BE48" s="10" t="str">
        <f t="shared" si="28"/>
        <v/>
      </c>
      <c r="BF48" s="71"/>
      <c r="BG48" s="11" t="str">
        <f t="shared" si="44"/>
        <v/>
      </c>
      <c r="BH48" s="10" t="str">
        <f t="shared" si="29"/>
        <v/>
      </c>
      <c r="BJ48" s="10"/>
      <c r="BK48" s="158"/>
      <c r="BL48" s="158"/>
      <c r="BM48" s="10"/>
      <c r="BN48" s="10"/>
      <c r="BO48" s="10"/>
      <c r="BP48" s="71"/>
      <c r="BQ48" s="10" t="str">
        <f t="shared" si="45"/>
        <v/>
      </c>
      <c r="BR48" s="10" t="str">
        <f t="shared" si="30"/>
        <v/>
      </c>
    </row>
    <row r="49" spans="3:70" x14ac:dyDescent="0.15">
      <c r="I49" s="458">
        <f t="shared" si="31"/>
        <v>2054</v>
      </c>
      <c r="J49" s="39"/>
      <c r="K49" s="39">
        <f t="shared" si="32"/>
        <v>35</v>
      </c>
      <c r="L49" s="39"/>
      <c r="M49" s="40">
        <f t="shared" si="0"/>
        <v>0.35538339780838735</v>
      </c>
      <c r="N49" s="39"/>
      <c r="O49" s="72" t="str">
        <f t="shared" si="13"/>
        <v/>
      </c>
      <c r="P49" s="41" t="str">
        <f t="shared" si="34"/>
        <v/>
      </c>
      <c r="Q49" s="39"/>
      <c r="R49" s="72" t="str">
        <f t="shared" si="46"/>
        <v/>
      </c>
      <c r="S49" s="39"/>
      <c r="T49" s="72" t="str">
        <f t="shared" si="15"/>
        <v/>
      </c>
      <c r="U49" s="39"/>
      <c r="V49" s="72" t="str">
        <f t="shared" si="35"/>
        <v/>
      </c>
      <c r="W49" s="72" t="str">
        <f t="shared" si="16"/>
        <v/>
      </c>
      <c r="X49" s="39"/>
      <c r="Y49" s="72" t="str">
        <f t="shared" si="36"/>
        <v/>
      </c>
      <c r="Z49" s="72" t="str">
        <f t="shared" si="17"/>
        <v/>
      </c>
      <c r="AA49" s="39"/>
      <c r="AB49" s="72" t="str">
        <f t="shared" si="4"/>
        <v/>
      </c>
      <c r="AC49" s="72" t="str">
        <f t="shared" si="18"/>
        <v/>
      </c>
      <c r="AD49" s="39"/>
      <c r="AE49" s="72" t="str">
        <f t="shared" si="37"/>
        <v/>
      </c>
      <c r="AF49" s="72" t="str">
        <f t="shared" si="19"/>
        <v/>
      </c>
      <c r="AG49" s="39"/>
      <c r="AH49" s="72" t="str">
        <f t="shared" si="38"/>
        <v/>
      </c>
      <c r="AI49" s="72" t="str">
        <f t="shared" si="21"/>
        <v/>
      </c>
      <c r="AJ49" s="39"/>
      <c r="AK49" s="72" t="str">
        <f t="shared" si="22"/>
        <v/>
      </c>
      <c r="AL49" s="72" t="str">
        <f t="shared" si="23"/>
        <v/>
      </c>
      <c r="AM49" s="39"/>
      <c r="AN49" s="72" t="str">
        <f t="shared" si="39"/>
        <v/>
      </c>
      <c r="AO49" s="72" t="str">
        <f t="shared" si="24"/>
        <v/>
      </c>
      <c r="AP49" s="39"/>
      <c r="AQ49" s="72" t="str">
        <f t="shared" si="40"/>
        <v/>
      </c>
      <c r="AR49" s="72" t="str">
        <f t="shared" si="25"/>
        <v/>
      </c>
      <c r="AS49" s="39"/>
      <c r="AT49" s="40" t="str">
        <f>IF($K49&lt;=$F$15,IF($F$40&lt;&gt;"",$F$40/1000,IF(ISERROR(VLOOKUP($F$3&amp;IF($G$4&lt;&gt;"",$G$4,"")&amp;IF($F$43&lt;&gt;"","_"&amp;$F$43,""),'表3）燃料価格'!$AF$9:$AG$25,2,0)),0,VLOOKUP($I49,'表3）燃料価格'!$A$6:$U$66,VLOOKUP($F$3&amp;IF($G$4&lt;&gt;"",$G$4,"")&amp;IF($F$43&lt;&gt;"","_"&amp;$F$43,""),'表3）燃料価格'!$AF$9:$AG$25,2,0)+VLOOKUP($F$41,'表3）燃料価格'!$AF$28:$AG$29,2,0),0)*IF($F$43="需要地価格",1,$F$8/$F$141))),"")</f>
        <v/>
      </c>
      <c r="AU49" s="39"/>
      <c r="AV49" s="72" t="str">
        <f t="shared" si="41"/>
        <v/>
      </c>
      <c r="AW49" s="72" t="str">
        <f t="shared" si="26"/>
        <v/>
      </c>
      <c r="AX49" s="39"/>
      <c r="AY49" s="40" t="str">
        <f>IF(ISERROR(IF($K49&lt;=$F$15,VLOOKUP($I49,'表4）CO2価格'!$A$7:$E$67,VLOOKUP($F$48,'表4）CO2価格'!$H$10:$I$12,2,0),0)*$F$8/1000,"")),0,IF($K49&lt;=$F$15,VLOOKUP($I49,'表4）CO2価格'!$A$7:$E$67,VLOOKUP($F$48,'表4）CO2価格'!$H$10:$I$12,2,0),0)*$F$8/1000,""))</f>
        <v/>
      </c>
      <c r="AZ49" s="39"/>
      <c r="BA49" s="42" t="str">
        <f t="shared" si="42"/>
        <v/>
      </c>
      <c r="BB49" s="72" t="str">
        <f t="shared" si="27"/>
        <v/>
      </c>
      <c r="BC49" s="39"/>
      <c r="BD49" s="72" t="str">
        <f t="shared" si="43"/>
        <v/>
      </c>
      <c r="BE49" s="72" t="str">
        <f t="shared" si="28"/>
        <v/>
      </c>
      <c r="BF49" s="39"/>
      <c r="BG49" s="42" t="str">
        <f t="shared" si="44"/>
        <v/>
      </c>
      <c r="BH49" s="72" t="str">
        <f t="shared" si="29"/>
        <v/>
      </c>
      <c r="BI49" s="39"/>
      <c r="BJ49" s="72"/>
      <c r="BK49" s="157"/>
      <c r="BL49" s="157"/>
      <c r="BM49" s="72"/>
      <c r="BN49" s="72"/>
      <c r="BO49" s="72"/>
      <c r="BP49" s="39"/>
      <c r="BQ49" s="72" t="str">
        <f t="shared" si="45"/>
        <v/>
      </c>
      <c r="BR49" s="72" t="str">
        <f t="shared" si="30"/>
        <v/>
      </c>
    </row>
    <row r="50" spans="3:70" x14ac:dyDescent="0.15">
      <c r="C50" s="89" t="s">
        <v>510</v>
      </c>
      <c r="D50" s="101"/>
      <c r="E50" s="101"/>
      <c r="F50" s="89"/>
      <c r="G50" s="101"/>
      <c r="I50" s="459">
        <f t="shared" si="31"/>
        <v>2055</v>
      </c>
      <c r="J50" s="71"/>
      <c r="K50" s="71">
        <f t="shared" si="32"/>
        <v>36</v>
      </c>
      <c r="L50" s="71"/>
      <c r="M50" s="7">
        <f t="shared" si="0"/>
        <v>0.34503242505668674</v>
      </c>
      <c r="N50" s="71"/>
      <c r="O50" s="10" t="str">
        <f t="shared" si="13"/>
        <v/>
      </c>
      <c r="P50" s="29" t="str">
        <f t="shared" si="34"/>
        <v/>
      </c>
      <c r="Q50" s="71"/>
      <c r="R50" s="10" t="str">
        <f t="shared" si="46"/>
        <v/>
      </c>
      <c r="S50" s="71"/>
      <c r="T50" s="10" t="str">
        <f t="shared" si="15"/>
        <v/>
      </c>
      <c r="U50" s="71"/>
      <c r="V50" s="10" t="str">
        <f t="shared" si="35"/>
        <v/>
      </c>
      <c r="W50" s="10" t="str">
        <f t="shared" si="16"/>
        <v/>
      </c>
      <c r="X50" s="71"/>
      <c r="Y50" s="10" t="str">
        <f t="shared" si="36"/>
        <v/>
      </c>
      <c r="Z50" s="10" t="str">
        <f t="shared" si="17"/>
        <v/>
      </c>
      <c r="AA50" s="71"/>
      <c r="AB50" s="10" t="str">
        <f t="shared" si="4"/>
        <v/>
      </c>
      <c r="AC50" s="10" t="str">
        <f t="shared" si="18"/>
        <v/>
      </c>
      <c r="AD50" s="71"/>
      <c r="AE50" s="10" t="str">
        <f t="shared" si="37"/>
        <v/>
      </c>
      <c r="AF50" s="10" t="str">
        <f t="shared" si="19"/>
        <v/>
      </c>
      <c r="AG50" s="71"/>
      <c r="AH50" s="10" t="str">
        <f t="shared" si="38"/>
        <v/>
      </c>
      <c r="AI50" s="10" t="str">
        <f t="shared" si="21"/>
        <v/>
      </c>
      <c r="AJ50" s="71"/>
      <c r="AK50" s="10" t="str">
        <f t="shared" si="22"/>
        <v/>
      </c>
      <c r="AL50" s="10" t="str">
        <f t="shared" si="23"/>
        <v/>
      </c>
      <c r="AM50" s="71"/>
      <c r="AN50" s="10" t="str">
        <f t="shared" si="39"/>
        <v/>
      </c>
      <c r="AO50" s="10" t="str">
        <f t="shared" si="24"/>
        <v/>
      </c>
      <c r="AP50" s="71"/>
      <c r="AQ50" s="10" t="str">
        <f t="shared" si="40"/>
        <v/>
      </c>
      <c r="AR50" s="10" t="str">
        <f t="shared" si="25"/>
        <v/>
      </c>
      <c r="AS50" s="71"/>
      <c r="AT50" s="7" t="str">
        <f>IF($K50&lt;=$F$15,IF($F$40&lt;&gt;"",$F$40/1000,IF(ISERROR(VLOOKUP($F$3&amp;IF($G$4&lt;&gt;"",$G$4,"")&amp;IF($F$43&lt;&gt;"","_"&amp;$F$43,""),'表3）燃料価格'!$AF$9:$AG$25,2,0)),0,VLOOKUP($I50,'表3）燃料価格'!$A$6:$U$66,VLOOKUP($F$3&amp;IF($G$4&lt;&gt;"",$G$4,"")&amp;IF($F$43&lt;&gt;"","_"&amp;$F$43,""),'表3）燃料価格'!$AF$9:$AG$25,2,0)+VLOOKUP($F$41,'表3）燃料価格'!$AF$28:$AG$29,2,0),0)*IF($F$43="需要地価格",1,$F$8/$F$141))),"")</f>
        <v/>
      </c>
      <c r="AU50" s="71"/>
      <c r="AV50" s="10" t="str">
        <f t="shared" si="41"/>
        <v/>
      </c>
      <c r="AW50" s="10" t="str">
        <f t="shared" si="26"/>
        <v/>
      </c>
      <c r="AX50" s="71"/>
      <c r="AY50" s="7" t="str">
        <f>IF(ISERROR(IF($K50&lt;=$F$15,VLOOKUP($I50,'表4）CO2価格'!$A$7:$E$67,VLOOKUP($F$48,'表4）CO2価格'!$H$10:$I$12,2,0),0)*$F$8/1000,"")),0,IF($K50&lt;=$F$15,VLOOKUP($I50,'表4）CO2価格'!$A$7:$E$67,VLOOKUP($F$48,'表4）CO2価格'!$H$10:$I$12,2,0),0)*$F$8/1000,""))</f>
        <v/>
      </c>
      <c r="AZ50" s="71"/>
      <c r="BA50" s="11" t="str">
        <f t="shared" si="42"/>
        <v/>
      </c>
      <c r="BB50" s="10" t="str">
        <f t="shared" si="27"/>
        <v/>
      </c>
      <c r="BC50" s="71"/>
      <c r="BD50" s="10" t="str">
        <f t="shared" si="43"/>
        <v/>
      </c>
      <c r="BE50" s="10" t="str">
        <f t="shared" si="28"/>
        <v/>
      </c>
      <c r="BF50" s="71"/>
      <c r="BG50" s="11" t="str">
        <f t="shared" si="44"/>
        <v/>
      </c>
      <c r="BH50" s="10" t="str">
        <f t="shared" si="29"/>
        <v/>
      </c>
      <c r="BJ50" s="10"/>
      <c r="BK50" s="158"/>
      <c r="BL50" s="158"/>
      <c r="BM50" s="10"/>
      <c r="BN50" s="10"/>
      <c r="BO50" s="10"/>
      <c r="BP50" s="71"/>
      <c r="BQ50" s="10" t="str">
        <f t="shared" si="45"/>
        <v/>
      </c>
      <c r="BR50" s="10" t="str">
        <f t="shared" si="30"/>
        <v/>
      </c>
    </row>
    <row r="51" spans="3:70" x14ac:dyDescent="0.15">
      <c r="I51" s="458">
        <f t="shared" si="31"/>
        <v>2056</v>
      </c>
      <c r="J51" s="39"/>
      <c r="K51" s="39">
        <f t="shared" si="32"/>
        <v>37</v>
      </c>
      <c r="L51" s="39"/>
      <c r="M51" s="40">
        <f t="shared" si="0"/>
        <v>0.33498293694823961</v>
      </c>
      <c r="N51" s="39"/>
      <c r="O51" s="72" t="str">
        <f t="shared" si="13"/>
        <v/>
      </c>
      <c r="P51" s="41" t="str">
        <f t="shared" si="34"/>
        <v/>
      </c>
      <c r="Q51" s="39"/>
      <c r="R51" s="72" t="str">
        <f t="shared" si="46"/>
        <v/>
      </c>
      <c r="S51" s="39"/>
      <c r="T51" s="72" t="str">
        <f t="shared" si="15"/>
        <v/>
      </c>
      <c r="U51" s="39"/>
      <c r="V51" s="72" t="str">
        <f t="shared" si="35"/>
        <v/>
      </c>
      <c r="W51" s="72" t="str">
        <f t="shared" si="16"/>
        <v/>
      </c>
      <c r="X51" s="39"/>
      <c r="Y51" s="72" t="str">
        <f t="shared" si="36"/>
        <v/>
      </c>
      <c r="Z51" s="72" t="str">
        <f t="shared" si="17"/>
        <v/>
      </c>
      <c r="AA51" s="39"/>
      <c r="AB51" s="72" t="str">
        <f t="shared" si="4"/>
        <v/>
      </c>
      <c r="AC51" s="72" t="str">
        <f t="shared" si="18"/>
        <v/>
      </c>
      <c r="AD51" s="39"/>
      <c r="AE51" s="72" t="str">
        <f t="shared" si="37"/>
        <v/>
      </c>
      <c r="AF51" s="72" t="str">
        <f t="shared" si="19"/>
        <v/>
      </c>
      <c r="AG51" s="39"/>
      <c r="AH51" s="72" t="str">
        <f t="shared" si="38"/>
        <v/>
      </c>
      <c r="AI51" s="72" t="str">
        <f t="shared" si="21"/>
        <v/>
      </c>
      <c r="AJ51" s="39"/>
      <c r="AK51" s="72" t="str">
        <f t="shared" si="22"/>
        <v/>
      </c>
      <c r="AL51" s="72" t="str">
        <f t="shared" si="23"/>
        <v/>
      </c>
      <c r="AM51" s="39"/>
      <c r="AN51" s="72" t="str">
        <f t="shared" si="39"/>
        <v/>
      </c>
      <c r="AO51" s="72" t="str">
        <f t="shared" si="24"/>
        <v/>
      </c>
      <c r="AP51" s="39"/>
      <c r="AQ51" s="72" t="str">
        <f t="shared" si="40"/>
        <v/>
      </c>
      <c r="AR51" s="72" t="str">
        <f t="shared" si="25"/>
        <v/>
      </c>
      <c r="AS51" s="39"/>
      <c r="AT51" s="40" t="str">
        <f>IF($K51&lt;=$F$15,IF($F$40&lt;&gt;"",$F$40/1000,IF(ISERROR(VLOOKUP($F$3&amp;IF($G$4&lt;&gt;"",$G$4,"")&amp;IF($F$43&lt;&gt;"","_"&amp;$F$43,""),'表3）燃料価格'!$AF$9:$AG$25,2,0)),0,VLOOKUP($I51,'表3）燃料価格'!$A$6:$U$66,VLOOKUP($F$3&amp;IF($G$4&lt;&gt;"",$G$4,"")&amp;IF($F$43&lt;&gt;"","_"&amp;$F$43,""),'表3）燃料価格'!$AF$9:$AG$25,2,0)+VLOOKUP($F$41,'表3）燃料価格'!$AF$28:$AG$29,2,0),0)*IF($F$43="需要地価格",1,$F$8/$F$141))),"")</f>
        <v/>
      </c>
      <c r="AU51" s="39"/>
      <c r="AV51" s="72" t="str">
        <f t="shared" si="41"/>
        <v/>
      </c>
      <c r="AW51" s="72" t="str">
        <f t="shared" si="26"/>
        <v/>
      </c>
      <c r="AX51" s="39"/>
      <c r="AY51" s="40" t="str">
        <f>IF(ISERROR(IF($K51&lt;=$F$15,VLOOKUP($I51,'表4）CO2価格'!$A$7:$E$67,VLOOKUP($F$48,'表4）CO2価格'!$H$10:$I$12,2,0),0)*$F$8/1000,"")),0,IF($K51&lt;=$F$15,VLOOKUP($I51,'表4）CO2価格'!$A$7:$E$67,VLOOKUP($F$48,'表4）CO2価格'!$H$10:$I$12,2,0),0)*$F$8/1000,""))</f>
        <v/>
      </c>
      <c r="AZ51" s="39"/>
      <c r="BA51" s="42" t="str">
        <f t="shared" si="42"/>
        <v/>
      </c>
      <c r="BB51" s="72" t="str">
        <f t="shared" si="27"/>
        <v/>
      </c>
      <c r="BC51" s="39"/>
      <c r="BD51" s="72" t="str">
        <f t="shared" si="43"/>
        <v/>
      </c>
      <c r="BE51" s="72" t="str">
        <f t="shared" si="28"/>
        <v/>
      </c>
      <c r="BF51" s="39"/>
      <c r="BG51" s="42" t="str">
        <f t="shared" si="44"/>
        <v/>
      </c>
      <c r="BH51" s="72" t="str">
        <f t="shared" si="29"/>
        <v/>
      </c>
      <c r="BI51" s="39"/>
      <c r="BJ51" s="72"/>
      <c r="BK51" s="157"/>
      <c r="BL51" s="157"/>
      <c r="BM51" s="72"/>
      <c r="BN51" s="72"/>
      <c r="BO51" s="72"/>
      <c r="BP51" s="39"/>
      <c r="BQ51" s="72" t="str">
        <f t="shared" si="45"/>
        <v/>
      </c>
      <c r="BR51" s="72" t="str">
        <f t="shared" si="30"/>
        <v/>
      </c>
    </row>
    <row r="52" spans="3:70" x14ac:dyDescent="0.15">
      <c r="D52" s="81" t="s">
        <v>185</v>
      </c>
      <c r="F52" s="90"/>
      <c r="G52" s="81" t="s">
        <v>172</v>
      </c>
      <c r="I52" s="459">
        <f t="shared" si="31"/>
        <v>2057</v>
      </c>
      <c r="J52" s="71"/>
      <c r="K52" s="71">
        <f t="shared" si="32"/>
        <v>38</v>
      </c>
      <c r="L52" s="71"/>
      <c r="M52" s="7">
        <f t="shared" si="0"/>
        <v>0.3252261523769317</v>
      </c>
      <c r="N52" s="71"/>
      <c r="O52" s="10" t="str">
        <f t="shared" si="13"/>
        <v/>
      </c>
      <c r="P52" s="29" t="str">
        <f t="shared" si="34"/>
        <v/>
      </c>
      <c r="Q52" s="71"/>
      <c r="R52" s="10" t="str">
        <f t="shared" si="46"/>
        <v/>
      </c>
      <c r="S52" s="71"/>
      <c r="T52" s="10" t="str">
        <f t="shared" si="15"/>
        <v/>
      </c>
      <c r="U52" s="71"/>
      <c r="V52" s="10" t="str">
        <f t="shared" si="35"/>
        <v/>
      </c>
      <c r="W52" s="10" t="str">
        <f t="shared" si="16"/>
        <v/>
      </c>
      <c r="X52" s="71"/>
      <c r="Y52" s="10" t="str">
        <f t="shared" si="36"/>
        <v/>
      </c>
      <c r="Z52" s="10" t="str">
        <f t="shared" si="17"/>
        <v/>
      </c>
      <c r="AA52" s="71"/>
      <c r="AB52" s="10" t="str">
        <f t="shared" si="4"/>
        <v/>
      </c>
      <c r="AC52" s="10" t="str">
        <f t="shared" si="18"/>
        <v/>
      </c>
      <c r="AD52" s="71"/>
      <c r="AE52" s="10" t="str">
        <f t="shared" si="37"/>
        <v/>
      </c>
      <c r="AF52" s="10" t="str">
        <f t="shared" si="19"/>
        <v/>
      </c>
      <c r="AG52" s="71"/>
      <c r="AH52" s="10" t="str">
        <f t="shared" si="38"/>
        <v/>
      </c>
      <c r="AI52" s="10" t="str">
        <f t="shared" si="21"/>
        <v/>
      </c>
      <c r="AJ52" s="71"/>
      <c r="AK52" s="10" t="str">
        <f t="shared" si="22"/>
        <v/>
      </c>
      <c r="AL52" s="10" t="str">
        <f t="shared" si="23"/>
        <v/>
      </c>
      <c r="AM52" s="71"/>
      <c r="AN52" s="10" t="str">
        <f t="shared" si="39"/>
        <v/>
      </c>
      <c r="AO52" s="10" t="str">
        <f t="shared" si="24"/>
        <v/>
      </c>
      <c r="AP52" s="71"/>
      <c r="AQ52" s="10" t="str">
        <f t="shared" si="40"/>
        <v/>
      </c>
      <c r="AR52" s="10" t="str">
        <f t="shared" si="25"/>
        <v/>
      </c>
      <c r="AS52" s="71"/>
      <c r="AT52" s="7" t="str">
        <f>IF($K52&lt;=$F$15,IF($F$40&lt;&gt;"",$F$40/1000,IF(ISERROR(VLOOKUP($F$3&amp;IF($G$4&lt;&gt;"",$G$4,"")&amp;IF($F$43&lt;&gt;"","_"&amp;$F$43,""),'表3）燃料価格'!$AF$9:$AG$25,2,0)),0,VLOOKUP($I52,'表3）燃料価格'!$A$6:$U$66,VLOOKUP($F$3&amp;IF($G$4&lt;&gt;"",$G$4,"")&amp;IF($F$43&lt;&gt;"","_"&amp;$F$43,""),'表3）燃料価格'!$AF$9:$AG$25,2,0)+VLOOKUP($F$41,'表3）燃料価格'!$AF$28:$AG$29,2,0),0)*IF($F$43="需要地価格",1,$F$8/$F$141))),"")</f>
        <v/>
      </c>
      <c r="AU52" s="71"/>
      <c r="AV52" s="10" t="str">
        <f t="shared" si="41"/>
        <v/>
      </c>
      <c r="AW52" s="10" t="str">
        <f t="shared" si="26"/>
        <v/>
      </c>
      <c r="AX52" s="71"/>
      <c r="AY52" s="7" t="str">
        <f>IF(ISERROR(IF($K52&lt;=$F$15,VLOOKUP($I52,'表4）CO2価格'!$A$7:$E$67,VLOOKUP($F$48,'表4）CO2価格'!$H$10:$I$12,2,0),0)*$F$8/1000,"")),0,IF($K52&lt;=$F$15,VLOOKUP($I52,'表4）CO2価格'!$A$7:$E$67,VLOOKUP($F$48,'表4）CO2価格'!$H$10:$I$12,2,0),0)*$F$8/1000,""))</f>
        <v/>
      </c>
      <c r="AZ52" s="71"/>
      <c r="BA52" s="11" t="str">
        <f t="shared" si="42"/>
        <v/>
      </c>
      <c r="BB52" s="10" t="str">
        <f t="shared" si="27"/>
        <v/>
      </c>
      <c r="BC52" s="71"/>
      <c r="BD52" s="10" t="str">
        <f t="shared" si="43"/>
        <v/>
      </c>
      <c r="BE52" s="10" t="str">
        <f t="shared" si="28"/>
        <v/>
      </c>
      <c r="BF52" s="71"/>
      <c r="BG52" s="11" t="str">
        <f t="shared" si="44"/>
        <v/>
      </c>
      <c r="BH52" s="10" t="str">
        <f t="shared" si="29"/>
        <v/>
      </c>
      <c r="BJ52" s="10"/>
      <c r="BK52" s="158"/>
      <c r="BL52" s="158"/>
      <c r="BM52" s="10"/>
      <c r="BN52" s="10"/>
      <c r="BO52" s="10"/>
      <c r="BP52" s="71"/>
      <c r="BQ52" s="10" t="str">
        <f t="shared" si="45"/>
        <v/>
      </c>
      <c r="BR52" s="10" t="str">
        <f t="shared" si="30"/>
        <v/>
      </c>
    </row>
    <row r="53" spans="3:70" x14ac:dyDescent="0.15">
      <c r="D53" s="81" t="s">
        <v>186</v>
      </c>
      <c r="F53" s="66"/>
      <c r="G53" s="81" t="s">
        <v>172</v>
      </c>
      <c r="I53" s="458">
        <f t="shared" si="31"/>
        <v>2058</v>
      </c>
      <c r="J53" s="39"/>
      <c r="K53" s="39">
        <f t="shared" si="32"/>
        <v>39</v>
      </c>
      <c r="L53" s="39"/>
      <c r="M53" s="40">
        <f t="shared" si="0"/>
        <v>0.31575354599702099</v>
      </c>
      <c r="N53" s="39"/>
      <c r="O53" s="72" t="str">
        <f t="shared" si="13"/>
        <v/>
      </c>
      <c r="P53" s="41" t="str">
        <f t="shared" si="34"/>
        <v/>
      </c>
      <c r="Q53" s="39"/>
      <c r="R53" s="72" t="str">
        <f t="shared" si="46"/>
        <v/>
      </c>
      <c r="S53" s="39"/>
      <c r="T53" s="72" t="str">
        <f t="shared" si="15"/>
        <v/>
      </c>
      <c r="U53" s="39"/>
      <c r="V53" s="72" t="str">
        <f t="shared" si="35"/>
        <v/>
      </c>
      <c r="W53" s="72" t="str">
        <f t="shared" si="16"/>
        <v/>
      </c>
      <c r="X53" s="39"/>
      <c r="Y53" s="72" t="str">
        <f t="shared" si="36"/>
        <v/>
      </c>
      <c r="Z53" s="72" t="str">
        <f t="shared" si="17"/>
        <v/>
      </c>
      <c r="AA53" s="39"/>
      <c r="AB53" s="72" t="str">
        <f t="shared" si="4"/>
        <v/>
      </c>
      <c r="AC53" s="72" t="str">
        <f t="shared" si="18"/>
        <v/>
      </c>
      <c r="AD53" s="39"/>
      <c r="AE53" s="72" t="str">
        <f t="shared" si="37"/>
        <v/>
      </c>
      <c r="AF53" s="72" t="str">
        <f t="shared" si="19"/>
        <v/>
      </c>
      <c r="AG53" s="39"/>
      <c r="AH53" s="72" t="str">
        <f t="shared" si="38"/>
        <v/>
      </c>
      <c r="AI53" s="72" t="str">
        <f t="shared" si="21"/>
        <v/>
      </c>
      <c r="AJ53" s="39"/>
      <c r="AK53" s="72" t="str">
        <f t="shared" si="22"/>
        <v/>
      </c>
      <c r="AL53" s="72" t="str">
        <f t="shared" si="23"/>
        <v/>
      </c>
      <c r="AM53" s="39"/>
      <c r="AN53" s="72" t="str">
        <f t="shared" si="39"/>
        <v/>
      </c>
      <c r="AO53" s="72" t="str">
        <f t="shared" si="24"/>
        <v/>
      </c>
      <c r="AP53" s="39"/>
      <c r="AQ53" s="72" t="str">
        <f t="shared" si="40"/>
        <v/>
      </c>
      <c r="AR53" s="72" t="str">
        <f t="shared" si="25"/>
        <v/>
      </c>
      <c r="AS53" s="39"/>
      <c r="AT53" s="40" t="str">
        <f>IF($K53&lt;=$F$15,IF($F$40&lt;&gt;"",$F$40/1000,IF(ISERROR(VLOOKUP($F$3&amp;IF($G$4&lt;&gt;"",$G$4,"")&amp;IF($F$43&lt;&gt;"","_"&amp;$F$43,""),'表3）燃料価格'!$AF$9:$AG$25,2,0)),0,VLOOKUP($I53,'表3）燃料価格'!$A$6:$U$66,VLOOKUP($F$3&amp;IF($G$4&lt;&gt;"",$G$4,"")&amp;IF($F$43&lt;&gt;"","_"&amp;$F$43,""),'表3）燃料価格'!$AF$9:$AG$25,2,0)+VLOOKUP($F$41,'表3）燃料価格'!$AF$28:$AG$29,2,0),0)*IF($F$43="需要地価格",1,$F$8/$F$141))),"")</f>
        <v/>
      </c>
      <c r="AU53" s="39"/>
      <c r="AV53" s="72" t="str">
        <f t="shared" si="41"/>
        <v/>
      </c>
      <c r="AW53" s="72" t="str">
        <f t="shared" si="26"/>
        <v/>
      </c>
      <c r="AX53" s="39"/>
      <c r="AY53" s="40" t="str">
        <f>IF(ISERROR(IF($K53&lt;=$F$15,VLOOKUP($I53,'表4）CO2価格'!$A$7:$E$67,VLOOKUP($F$48,'表4）CO2価格'!$H$10:$I$12,2,0),0)*$F$8/1000,"")),0,IF($K53&lt;=$F$15,VLOOKUP($I53,'表4）CO2価格'!$A$7:$E$67,VLOOKUP($F$48,'表4）CO2価格'!$H$10:$I$12,2,0),0)*$F$8/1000,""))</f>
        <v/>
      </c>
      <c r="AZ53" s="39"/>
      <c r="BA53" s="42" t="str">
        <f t="shared" si="42"/>
        <v/>
      </c>
      <c r="BB53" s="72" t="str">
        <f t="shared" si="27"/>
        <v/>
      </c>
      <c r="BC53" s="39"/>
      <c r="BD53" s="72" t="str">
        <f t="shared" si="43"/>
        <v/>
      </c>
      <c r="BE53" s="72" t="str">
        <f t="shared" si="28"/>
        <v/>
      </c>
      <c r="BF53" s="39"/>
      <c r="BG53" s="42" t="str">
        <f t="shared" si="44"/>
        <v/>
      </c>
      <c r="BH53" s="72" t="str">
        <f t="shared" si="29"/>
        <v/>
      </c>
      <c r="BI53" s="39"/>
      <c r="BJ53" s="72"/>
      <c r="BK53" s="157"/>
      <c r="BL53" s="157"/>
      <c r="BM53" s="72"/>
      <c r="BN53" s="72"/>
      <c r="BO53" s="72"/>
      <c r="BP53" s="39"/>
      <c r="BQ53" s="72" t="str">
        <f t="shared" si="45"/>
        <v/>
      </c>
      <c r="BR53" s="72" t="str">
        <f t="shared" si="30"/>
        <v/>
      </c>
    </row>
    <row r="54" spans="3:70" x14ac:dyDescent="0.15">
      <c r="D54" s="81" t="s">
        <v>187</v>
      </c>
      <c r="F54" s="66"/>
      <c r="G54" s="81" t="s">
        <v>172</v>
      </c>
      <c r="I54" s="459">
        <f t="shared" si="31"/>
        <v>2059</v>
      </c>
      <c r="J54" s="71"/>
      <c r="K54" s="71">
        <f t="shared" si="32"/>
        <v>40</v>
      </c>
      <c r="L54" s="71"/>
      <c r="M54" s="7">
        <f t="shared" si="0"/>
        <v>0.30655684077380685</v>
      </c>
      <c r="N54" s="71"/>
      <c r="O54" s="10" t="str">
        <f t="shared" si="13"/>
        <v/>
      </c>
      <c r="P54" s="29" t="str">
        <f t="shared" si="34"/>
        <v/>
      </c>
      <c r="Q54" s="71"/>
      <c r="R54" s="10" t="str">
        <f t="shared" si="46"/>
        <v/>
      </c>
      <c r="S54" s="71"/>
      <c r="T54" s="10" t="str">
        <f t="shared" si="15"/>
        <v/>
      </c>
      <c r="U54" s="71"/>
      <c r="V54" s="10" t="str">
        <f t="shared" si="35"/>
        <v/>
      </c>
      <c r="W54" s="10" t="str">
        <f t="shared" si="16"/>
        <v/>
      </c>
      <c r="X54" s="71"/>
      <c r="Y54" s="10" t="str">
        <f t="shared" si="36"/>
        <v/>
      </c>
      <c r="Z54" s="10" t="str">
        <f t="shared" si="17"/>
        <v/>
      </c>
      <c r="AA54" s="71"/>
      <c r="AB54" s="10" t="str">
        <f t="shared" si="4"/>
        <v/>
      </c>
      <c r="AC54" s="10" t="str">
        <f t="shared" si="18"/>
        <v/>
      </c>
      <c r="AD54" s="71"/>
      <c r="AE54" s="10" t="str">
        <f t="shared" si="37"/>
        <v/>
      </c>
      <c r="AF54" s="10" t="str">
        <f t="shared" si="19"/>
        <v/>
      </c>
      <c r="AG54" s="71"/>
      <c r="AH54" s="10" t="str">
        <f t="shared" si="38"/>
        <v/>
      </c>
      <c r="AI54" s="10" t="str">
        <f t="shared" si="21"/>
        <v/>
      </c>
      <c r="AJ54" s="71"/>
      <c r="AK54" s="10" t="str">
        <f t="shared" si="22"/>
        <v/>
      </c>
      <c r="AL54" s="10" t="str">
        <f t="shared" si="23"/>
        <v/>
      </c>
      <c r="AM54" s="71"/>
      <c r="AN54" s="10" t="str">
        <f t="shared" si="39"/>
        <v/>
      </c>
      <c r="AO54" s="10" t="str">
        <f t="shared" si="24"/>
        <v/>
      </c>
      <c r="AP54" s="71"/>
      <c r="AQ54" s="10" t="str">
        <f t="shared" si="40"/>
        <v/>
      </c>
      <c r="AR54" s="10" t="str">
        <f t="shared" si="25"/>
        <v/>
      </c>
      <c r="AS54" s="71"/>
      <c r="AT54" s="7" t="str">
        <f>IF($K54&lt;=$F$15,IF($F$40&lt;&gt;"",$F$40/1000,IF(ISERROR(VLOOKUP($F$3&amp;IF($G$4&lt;&gt;"",$G$4,"")&amp;IF($F$43&lt;&gt;"","_"&amp;$F$43,""),'表3）燃料価格'!$AF$9:$AG$25,2,0)),0,VLOOKUP($I54,'表3）燃料価格'!$A$6:$U$66,VLOOKUP($F$3&amp;IF($G$4&lt;&gt;"",$G$4,"")&amp;IF($F$43&lt;&gt;"","_"&amp;$F$43,""),'表3）燃料価格'!$AF$9:$AG$25,2,0)+VLOOKUP($F$41,'表3）燃料価格'!$AF$28:$AG$29,2,0),0)*IF($F$43="需要地価格",1,$F$8/$F$141))),"")</f>
        <v/>
      </c>
      <c r="AU54" s="71"/>
      <c r="AV54" s="10" t="str">
        <f t="shared" si="41"/>
        <v/>
      </c>
      <c r="AW54" s="10" t="str">
        <f t="shared" si="26"/>
        <v/>
      </c>
      <c r="AX54" s="71"/>
      <c r="AY54" s="7" t="str">
        <f>IF(ISERROR(IF($K54&lt;=$F$15,VLOOKUP($I54,'表4）CO2価格'!$A$7:$E$67,VLOOKUP($F$48,'表4）CO2価格'!$H$10:$I$12,2,0),0)*$F$8/1000,"")),0,IF($K54&lt;=$F$15,VLOOKUP($I54,'表4）CO2価格'!$A$7:$E$67,VLOOKUP($F$48,'表4）CO2価格'!$H$10:$I$12,2,0),0)*$F$8/1000,""))</f>
        <v/>
      </c>
      <c r="AZ54" s="71"/>
      <c r="BA54" s="11" t="str">
        <f t="shared" si="42"/>
        <v/>
      </c>
      <c r="BB54" s="10" t="str">
        <f t="shared" si="27"/>
        <v/>
      </c>
      <c r="BC54" s="71"/>
      <c r="BD54" s="10" t="str">
        <f t="shared" si="43"/>
        <v/>
      </c>
      <c r="BE54" s="10" t="str">
        <f t="shared" si="28"/>
        <v/>
      </c>
      <c r="BF54" s="71"/>
      <c r="BG54" s="11" t="str">
        <f t="shared" si="44"/>
        <v/>
      </c>
      <c r="BH54" s="10" t="str">
        <f t="shared" si="29"/>
        <v/>
      </c>
      <c r="BJ54" s="10"/>
      <c r="BK54" s="158"/>
      <c r="BL54" s="158"/>
      <c r="BM54" s="10"/>
      <c r="BN54" s="10"/>
      <c r="BO54" s="10"/>
      <c r="BP54" s="71"/>
      <c r="BQ54" s="10" t="str">
        <f t="shared" si="45"/>
        <v/>
      </c>
      <c r="BR54" s="10" t="str">
        <f t="shared" si="30"/>
        <v/>
      </c>
    </row>
    <row r="55" spans="3:70" ht="16.5" x14ac:dyDescent="0.15">
      <c r="D55" s="81" t="s">
        <v>188</v>
      </c>
      <c r="F55" s="66"/>
      <c r="G55" s="9" t="s">
        <v>372</v>
      </c>
      <c r="I55" s="458">
        <f>I54+1</f>
        <v>2060</v>
      </c>
      <c r="J55" s="39"/>
      <c r="K55" s="39">
        <f>IF(I55&lt;&gt;"",K54+1,"")</f>
        <v>41</v>
      </c>
      <c r="L55" s="39"/>
      <c r="M55" s="40">
        <f t="shared" si="0"/>
        <v>0.29762800075126877</v>
      </c>
      <c r="N55" s="39"/>
      <c r="O55" s="72" t="str">
        <f t="shared" si="13"/>
        <v/>
      </c>
      <c r="P55" s="41" t="str">
        <f t="shared" si="34"/>
        <v/>
      </c>
      <c r="Q55" s="39"/>
      <c r="R55" s="72" t="str">
        <f t="shared" si="46"/>
        <v/>
      </c>
      <c r="S55" s="39"/>
      <c r="T55" s="72" t="str">
        <f t="shared" si="15"/>
        <v/>
      </c>
      <c r="U55" s="39"/>
      <c r="V55" s="72" t="str">
        <f t="shared" si="35"/>
        <v/>
      </c>
      <c r="W55" s="72" t="str">
        <f t="shared" si="16"/>
        <v/>
      </c>
      <c r="X55" s="39"/>
      <c r="Y55" s="72" t="str">
        <f t="shared" si="36"/>
        <v/>
      </c>
      <c r="Z55" s="72" t="str">
        <f t="shared" si="17"/>
        <v/>
      </c>
      <c r="AA55" s="39"/>
      <c r="AB55" s="72" t="str">
        <f t="shared" si="4"/>
        <v/>
      </c>
      <c r="AC55" s="72" t="str">
        <f t="shared" si="18"/>
        <v/>
      </c>
      <c r="AD55" s="39"/>
      <c r="AE55" s="72" t="str">
        <f t="shared" si="37"/>
        <v/>
      </c>
      <c r="AF55" s="72" t="str">
        <f t="shared" si="19"/>
        <v/>
      </c>
      <c r="AG55" s="39"/>
      <c r="AH55" s="72" t="str">
        <f t="shared" si="38"/>
        <v/>
      </c>
      <c r="AI55" s="72" t="str">
        <f t="shared" si="21"/>
        <v/>
      </c>
      <c r="AJ55" s="39"/>
      <c r="AK55" s="72" t="str">
        <f t="shared" si="22"/>
        <v/>
      </c>
      <c r="AL55" s="72" t="str">
        <f t="shared" si="23"/>
        <v/>
      </c>
      <c r="AM55" s="39"/>
      <c r="AN55" s="72" t="str">
        <f t="shared" si="39"/>
        <v/>
      </c>
      <c r="AO55" s="72" t="str">
        <f t="shared" si="24"/>
        <v/>
      </c>
      <c r="AP55" s="39"/>
      <c r="AQ55" s="72" t="str">
        <f t="shared" si="40"/>
        <v/>
      </c>
      <c r="AR55" s="72" t="str">
        <f t="shared" si="25"/>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41"/>
        <v/>
      </c>
      <c r="AW55" s="72" t="str">
        <f t="shared" si="26"/>
        <v/>
      </c>
      <c r="AX55" s="39"/>
      <c r="AY55" s="40" t="str">
        <f>IF(ISERROR(IF($K55&lt;=$F$15,VLOOKUP($I55,'表4）CO2価格'!$A$7:$E$67,VLOOKUP($F$48,'表4）CO2価格'!$H$10:$I$12,2,0),0)*$F$8/1000,"")),0,IF($K55&lt;=$F$15,VLOOKUP($I55,'表4）CO2価格'!$A$7:$E$67,VLOOKUP($F$48,'表4）CO2価格'!$H$10:$I$12,2,0),0)*$F$8/1000,""))</f>
        <v/>
      </c>
      <c r="AZ55" s="39"/>
      <c r="BA55" s="42" t="str">
        <f t="shared" si="42"/>
        <v/>
      </c>
      <c r="BB55" s="72" t="str">
        <f t="shared" si="27"/>
        <v/>
      </c>
      <c r="BC55" s="39"/>
      <c r="BD55" s="72" t="str">
        <f t="shared" si="43"/>
        <v/>
      </c>
      <c r="BE55" s="72" t="str">
        <f t="shared" si="28"/>
        <v/>
      </c>
      <c r="BF55" s="39"/>
      <c r="BG55" s="42" t="str">
        <f t="shared" si="44"/>
        <v/>
      </c>
      <c r="BH55" s="72" t="str">
        <f t="shared" si="29"/>
        <v/>
      </c>
      <c r="BI55" s="39"/>
      <c r="BJ55" s="72"/>
      <c r="BK55" s="157"/>
      <c r="BL55" s="157"/>
      <c r="BM55" s="72"/>
      <c r="BN55" s="72"/>
      <c r="BO55" s="72"/>
      <c r="BP55" s="39"/>
      <c r="BQ55" s="72" t="str">
        <f t="shared" si="45"/>
        <v/>
      </c>
      <c r="BR55" s="72" t="str">
        <f t="shared" si="30"/>
        <v/>
      </c>
    </row>
    <row r="56" spans="3:70" x14ac:dyDescent="0.15">
      <c r="D56" s="81" t="s">
        <v>189</v>
      </c>
      <c r="F56" s="59"/>
      <c r="G56" s="81" t="s">
        <v>181</v>
      </c>
      <c r="I56" s="459">
        <f t="shared" si="31"/>
        <v>2061</v>
      </c>
      <c r="J56" s="71"/>
      <c r="K56" s="71">
        <f t="shared" si="32"/>
        <v>42</v>
      </c>
      <c r="L56" s="71"/>
      <c r="M56" s="7">
        <f t="shared" si="0"/>
        <v>0.28895922403035801</v>
      </c>
      <c r="N56" s="71"/>
      <c r="O56" s="10" t="str">
        <f t="shared" si="13"/>
        <v/>
      </c>
      <c r="P56" s="29" t="str">
        <f t="shared" si="34"/>
        <v/>
      </c>
      <c r="Q56" s="71"/>
      <c r="R56" s="10" t="str">
        <f t="shared" si="46"/>
        <v/>
      </c>
      <c r="S56" s="71"/>
      <c r="T56" s="10" t="str">
        <f t="shared" si="15"/>
        <v/>
      </c>
      <c r="U56" s="71"/>
      <c r="V56" s="10" t="str">
        <f t="shared" si="35"/>
        <v/>
      </c>
      <c r="W56" s="10" t="str">
        <f t="shared" si="16"/>
        <v/>
      </c>
      <c r="X56" s="71"/>
      <c r="Y56" s="10" t="str">
        <f t="shared" si="36"/>
        <v/>
      </c>
      <c r="Z56" s="10" t="str">
        <f t="shared" si="17"/>
        <v/>
      </c>
      <c r="AA56" s="71"/>
      <c r="AB56" s="10" t="str">
        <f t="shared" si="4"/>
        <v/>
      </c>
      <c r="AC56" s="10" t="str">
        <f t="shared" si="18"/>
        <v/>
      </c>
      <c r="AD56" s="71"/>
      <c r="AE56" s="10" t="str">
        <f t="shared" si="37"/>
        <v/>
      </c>
      <c r="AF56" s="10" t="str">
        <f t="shared" si="19"/>
        <v/>
      </c>
      <c r="AG56" s="71"/>
      <c r="AH56" s="10" t="str">
        <f t="shared" si="38"/>
        <v/>
      </c>
      <c r="AI56" s="10" t="str">
        <f t="shared" si="21"/>
        <v/>
      </c>
      <c r="AJ56" s="71"/>
      <c r="AK56" s="10" t="str">
        <f t="shared" si="22"/>
        <v/>
      </c>
      <c r="AL56" s="10" t="str">
        <f t="shared" si="23"/>
        <v/>
      </c>
      <c r="AM56" s="71"/>
      <c r="AN56" s="10" t="str">
        <f t="shared" si="39"/>
        <v/>
      </c>
      <c r="AO56" s="10" t="str">
        <f t="shared" si="24"/>
        <v/>
      </c>
      <c r="AP56" s="71"/>
      <c r="AQ56" s="10" t="str">
        <f t="shared" si="40"/>
        <v/>
      </c>
      <c r="AR56" s="10" t="str">
        <f t="shared" si="25"/>
        <v/>
      </c>
      <c r="AS56" s="71"/>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U56" s="71"/>
      <c r="AV56" s="10" t="str">
        <f t="shared" si="41"/>
        <v/>
      </c>
      <c r="AW56" s="10" t="str">
        <f t="shared" si="26"/>
        <v/>
      </c>
      <c r="AX56" s="71"/>
      <c r="AY56" s="7" t="str">
        <f>IF(ISERROR(IF($K56&lt;=$F$15,VLOOKUP($I56,'表4）CO2価格'!$A$7:$E$67,VLOOKUP($F$48,'表4）CO2価格'!$H$10:$I$12,2,0),0)*$F$8/1000,"")),0,IF($K56&lt;=$F$15,VLOOKUP($I56,'表4）CO2価格'!$A$7:$E$67,VLOOKUP($F$48,'表4）CO2価格'!$H$10:$I$12,2,0),0)*$F$8/1000,""))</f>
        <v/>
      </c>
      <c r="AZ56" s="71"/>
      <c r="BA56" s="11" t="str">
        <f t="shared" si="42"/>
        <v/>
      </c>
      <c r="BB56" s="10" t="str">
        <f t="shared" si="27"/>
        <v/>
      </c>
      <c r="BC56" s="71"/>
      <c r="BD56" s="10" t="str">
        <f t="shared" si="43"/>
        <v/>
      </c>
      <c r="BE56" s="10" t="str">
        <f t="shared" si="28"/>
        <v/>
      </c>
      <c r="BF56" s="71"/>
      <c r="BG56" s="11" t="str">
        <f t="shared" si="44"/>
        <v/>
      </c>
      <c r="BH56" s="10" t="str">
        <f t="shared" si="29"/>
        <v/>
      </c>
      <c r="BJ56" s="10"/>
      <c r="BK56" s="158"/>
      <c r="BL56" s="158"/>
      <c r="BM56" s="10"/>
      <c r="BN56" s="10"/>
      <c r="BO56" s="10"/>
      <c r="BP56" s="71"/>
      <c r="BQ56" s="10" t="str">
        <f t="shared" si="45"/>
        <v/>
      </c>
      <c r="BR56" s="10" t="str">
        <f t="shared" si="30"/>
        <v/>
      </c>
    </row>
    <row r="57" spans="3:70" x14ac:dyDescent="0.15">
      <c r="I57" s="458">
        <f t="shared" si="31"/>
        <v>2062</v>
      </c>
      <c r="J57" s="39"/>
      <c r="K57" s="39">
        <f t="shared" si="32"/>
        <v>43</v>
      </c>
      <c r="L57" s="39"/>
      <c r="M57" s="40">
        <f t="shared" si="0"/>
        <v>0.28054293595180391</v>
      </c>
      <c r="N57" s="39"/>
      <c r="O57" s="72" t="str">
        <f t="shared" si="13"/>
        <v/>
      </c>
      <c r="P57" s="41" t="str">
        <f t="shared" si="34"/>
        <v/>
      </c>
      <c r="Q57" s="39"/>
      <c r="R57" s="72" t="str">
        <f t="shared" si="46"/>
        <v/>
      </c>
      <c r="S57" s="39"/>
      <c r="T57" s="72" t="str">
        <f t="shared" si="15"/>
        <v/>
      </c>
      <c r="U57" s="39"/>
      <c r="V57" s="72" t="str">
        <f t="shared" si="35"/>
        <v/>
      </c>
      <c r="W57" s="72" t="str">
        <f t="shared" si="16"/>
        <v/>
      </c>
      <c r="X57" s="39"/>
      <c r="Y57" s="72" t="str">
        <f t="shared" si="36"/>
        <v/>
      </c>
      <c r="Z57" s="72" t="str">
        <f t="shared" si="17"/>
        <v/>
      </c>
      <c r="AA57" s="39"/>
      <c r="AB57" s="72" t="str">
        <f t="shared" si="4"/>
        <v/>
      </c>
      <c r="AC57" s="72" t="str">
        <f t="shared" si="18"/>
        <v/>
      </c>
      <c r="AD57" s="39"/>
      <c r="AE57" s="72" t="str">
        <f t="shared" si="37"/>
        <v/>
      </c>
      <c r="AF57" s="72" t="str">
        <f t="shared" si="19"/>
        <v/>
      </c>
      <c r="AG57" s="39"/>
      <c r="AH57" s="72" t="str">
        <f t="shared" si="38"/>
        <v/>
      </c>
      <c r="AI57" s="72" t="str">
        <f t="shared" si="21"/>
        <v/>
      </c>
      <c r="AJ57" s="39"/>
      <c r="AK57" s="72" t="str">
        <f t="shared" si="22"/>
        <v/>
      </c>
      <c r="AL57" s="72" t="str">
        <f t="shared" si="23"/>
        <v/>
      </c>
      <c r="AM57" s="39"/>
      <c r="AN57" s="72" t="str">
        <f t="shared" si="39"/>
        <v/>
      </c>
      <c r="AO57" s="72" t="str">
        <f t="shared" si="24"/>
        <v/>
      </c>
      <c r="AP57" s="39"/>
      <c r="AQ57" s="72" t="str">
        <f t="shared" si="40"/>
        <v/>
      </c>
      <c r="AR57" s="72" t="str">
        <f t="shared" si="25"/>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41"/>
        <v/>
      </c>
      <c r="AW57" s="72" t="str">
        <f t="shared" si="26"/>
        <v/>
      </c>
      <c r="AX57" s="39"/>
      <c r="AY57" s="40" t="str">
        <f>IF(ISERROR(IF($K57&lt;=$F$15,VLOOKUP($I57,'表4）CO2価格'!$A$7:$E$67,VLOOKUP($F$48,'表4）CO2価格'!$H$10:$I$12,2,0),0)*$F$8/1000,"")),0,IF($K57&lt;=$F$15,VLOOKUP($I57,'表4）CO2価格'!$A$7:$E$67,VLOOKUP($F$48,'表4）CO2価格'!$H$10:$I$12,2,0),0)*$F$8/1000,""))</f>
        <v/>
      </c>
      <c r="AZ57" s="39"/>
      <c r="BA57" s="42" t="str">
        <f t="shared" si="42"/>
        <v/>
      </c>
      <c r="BB57" s="72" t="str">
        <f t="shared" si="27"/>
        <v/>
      </c>
      <c r="BC57" s="39"/>
      <c r="BD57" s="72" t="str">
        <f t="shared" si="43"/>
        <v/>
      </c>
      <c r="BE57" s="72" t="str">
        <f t="shared" si="28"/>
        <v/>
      </c>
      <c r="BF57" s="39"/>
      <c r="BG57" s="42" t="str">
        <f t="shared" si="44"/>
        <v/>
      </c>
      <c r="BH57" s="72" t="str">
        <f t="shared" si="29"/>
        <v/>
      </c>
      <c r="BI57" s="39"/>
      <c r="BJ57" s="72"/>
      <c r="BK57" s="157"/>
      <c r="BL57" s="157"/>
      <c r="BM57" s="72"/>
      <c r="BN57" s="72"/>
      <c r="BO57" s="72"/>
      <c r="BP57" s="39"/>
      <c r="BQ57" s="72" t="str">
        <f t="shared" si="45"/>
        <v/>
      </c>
      <c r="BR57" s="72" t="str">
        <f t="shared" si="30"/>
        <v/>
      </c>
    </row>
    <row r="58" spans="3:70" x14ac:dyDescent="0.15">
      <c r="C58" s="89" t="s">
        <v>512</v>
      </c>
      <c r="D58" s="101"/>
      <c r="E58" s="101"/>
      <c r="F58" s="89"/>
      <c r="G58" s="101"/>
      <c r="I58" s="459">
        <f t="shared" si="31"/>
        <v>2063</v>
      </c>
      <c r="J58" s="71"/>
      <c r="K58" s="71">
        <f t="shared" si="32"/>
        <v>44</v>
      </c>
      <c r="L58" s="71"/>
      <c r="M58" s="7">
        <f t="shared" si="0"/>
        <v>0.27237178247747956</v>
      </c>
      <c r="N58" s="71"/>
      <c r="O58" s="10" t="str">
        <f t="shared" si="13"/>
        <v/>
      </c>
      <c r="P58" s="29" t="str">
        <f t="shared" si="34"/>
        <v/>
      </c>
      <c r="Q58" s="71"/>
      <c r="R58" s="10" t="str">
        <f t="shared" si="46"/>
        <v/>
      </c>
      <c r="S58" s="71"/>
      <c r="T58" s="10" t="str">
        <f t="shared" si="15"/>
        <v/>
      </c>
      <c r="U58" s="71"/>
      <c r="V58" s="10" t="str">
        <f t="shared" si="35"/>
        <v/>
      </c>
      <c r="W58" s="10" t="str">
        <f t="shared" si="16"/>
        <v/>
      </c>
      <c r="X58" s="71"/>
      <c r="Y58" s="10" t="str">
        <f t="shared" si="36"/>
        <v/>
      </c>
      <c r="Z58" s="10" t="str">
        <f t="shared" si="17"/>
        <v/>
      </c>
      <c r="AA58" s="71"/>
      <c r="AB58" s="10" t="str">
        <f t="shared" si="4"/>
        <v/>
      </c>
      <c r="AC58" s="10" t="str">
        <f t="shared" si="18"/>
        <v/>
      </c>
      <c r="AD58" s="71"/>
      <c r="AE58" s="10" t="str">
        <f t="shared" si="37"/>
        <v/>
      </c>
      <c r="AF58" s="10" t="str">
        <f t="shared" si="19"/>
        <v/>
      </c>
      <c r="AG58" s="71"/>
      <c r="AH58" s="10" t="str">
        <f t="shared" si="38"/>
        <v/>
      </c>
      <c r="AI58" s="10" t="str">
        <f t="shared" si="21"/>
        <v/>
      </c>
      <c r="AJ58" s="71"/>
      <c r="AK58" s="10" t="str">
        <f t="shared" si="22"/>
        <v/>
      </c>
      <c r="AL58" s="10" t="str">
        <f t="shared" si="23"/>
        <v/>
      </c>
      <c r="AM58" s="71"/>
      <c r="AN58" s="10" t="str">
        <f t="shared" si="39"/>
        <v/>
      </c>
      <c r="AO58" s="10" t="str">
        <f t="shared" si="24"/>
        <v/>
      </c>
      <c r="AP58" s="71"/>
      <c r="AQ58" s="10" t="str">
        <f t="shared" si="40"/>
        <v/>
      </c>
      <c r="AR58" s="10" t="str">
        <f t="shared" si="25"/>
        <v/>
      </c>
      <c r="AS58" s="71"/>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U58" s="71"/>
      <c r="AV58" s="10" t="str">
        <f t="shared" si="41"/>
        <v/>
      </c>
      <c r="AW58" s="10" t="str">
        <f t="shared" si="26"/>
        <v/>
      </c>
      <c r="AX58" s="71"/>
      <c r="AY58" s="7" t="str">
        <f>IF(ISERROR(IF($K58&lt;=$F$15,VLOOKUP($I58,'表4）CO2価格'!$A$7:$E$67,VLOOKUP($F$48,'表4）CO2価格'!$H$10:$I$12,2,0),0)*$F$8/1000,"")),0,IF($K58&lt;=$F$15,VLOOKUP($I58,'表4）CO2価格'!$A$7:$E$67,VLOOKUP($F$48,'表4）CO2価格'!$H$10:$I$12,2,0),0)*$F$8/1000,""))</f>
        <v/>
      </c>
      <c r="AZ58" s="71"/>
      <c r="BA58" s="11" t="str">
        <f t="shared" si="42"/>
        <v/>
      </c>
      <c r="BB58" s="10" t="str">
        <f t="shared" si="27"/>
        <v/>
      </c>
      <c r="BC58" s="71"/>
      <c r="BD58" s="10" t="str">
        <f t="shared" si="43"/>
        <v/>
      </c>
      <c r="BE58" s="10" t="str">
        <f t="shared" si="28"/>
        <v/>
      </c>
      <c r="BF58" s="71"/>
      <c r="BG58" s="11" t="str">
        <f t="shared" si="44"/>
        <v/>
      </c>
      <c r="BH58" s="10" t="str">
        <f t="shared" si="29"/>
        <v/>
      </c>
      <c r="BJ58" s="10"/>
      <c r="BK58" s="158"/>
      <c r="BL58" s="158"/>
      <c r="BM58" s="10"/>
      <c r="BN58" s="10"/>
      <c r="BO58" s="10"/>
      <c r="BP58" s="71"/>
      <c r="BQ58" s="10" t="str">
        <f t="shared" si="45"/>
        <v/>
      </c>
      <c r="BR58" s="10" t="str">
        <f t="shared" si="30"/>
        <v/>
      </c>
    </row>
    <row r="59" spans="3:70" x14ac:dyDescent="0.15">
      <c r="I59" s="458">
        <f t="shared" si="31"/>
        <v>2064</v>
      </c>
      <c r="J59" s="39"/>
      <c r="K59" s="39">
        <f t="shared" si="32"/>
        <v>45</v>
      </c>
      <c r="L59" s="39"/>
      <c r="M59" s="40">
        <f t="shared" si="0"/>
        <v>0.26443862376454325</v>
      </c>
      <c r="N59" s="39"/>
      <c r="O59" s="72" t="str">
        <f t="shared" si="13"/>
        <v/>
      </c>
      <c r="P59" s="41" t="str">
        <f t="shared" si="34"/>
        <v/>
      </c>
      <c r="Q59" s="39"/>
      <c r="R59" s="72" t="str">
        <f t="shared" si="46"/>
        <v/>
      </c>
      <c r="S59" s="39"/>
      <c r="T59" s="72" t="str">
        <f t="shared" si="15"/>
        <v/>
      </c>
      <c r="U59" s="39"/>
      <c r="V59" s="72" t="str">
        <f t="shared" si="35"/>
        <v/>
      </c>
      <c r="W59" s="72" t="str">
        <f t="shared" si="16"/>
        <v/>
      </c>
      <c r="X59" s="39"/>
      <c r="Y59" s="72" t="str">
        <f t="shared" si="36"/>
        <v/>
      </c>
      <c r="Z59" s="72" t="str">
        <f t="shared" si="17"/>
        <v/>
      </c>
      <c r="AA59" s="39"/>
      <c r="AB59" s="72" t="str">
        <f t="shared" si="4"/>
        <v/>
      </c>
      <c r="AC59" s="72" t="str">
        <f t="shared" si="18"/>
        <v/>
      </c>
      <c r="AD59" s="39"/>
      <c r="AE59" s="72" t="str">
        <f t="shared" si="37"/>
        <v/>
      </c>
      <c r="AF59" s="72" t="str">
        <f t="shared" si="19"/>
        <v/>
      </c>
      <c r="AG59" s="39"/>
      <c r="AH59" s="72" t="str">
        <f t="shared" si="38"/>
        <v/>
      </c>
      <c r="AI59" s="72" t="str">
        <f t="shared" si="21"/>
        <v/>
      </c>
      <c r="AJ59" s="39"/>
      <c r="AK59" s="72" t="str">
        <f t="shared" si="22"/>
        <v/>
      </c>
      <c r="AL59" s="72" t="str">
        <f t="shared" si="23"/>
        <v/>
      </c>
      <c r="AM59" s="39"/>
      <c r="AN59" s="72" t="str">
        <f t="shared" si="39"/>
        <v/>
      </c>
      <c r="AO59" s="72" t="str">
        <f t="shared" si="24"/>
        <v/>
      </c>
      <c r="AP59" s="39"/>
      <c r="AQ59" s="72" t="str">
        <f t="shared" si="40"/>
        <v/>
      </c>
      <c r="AR59" s="72" t="str">
        <f t="shared" si="25"/>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41"/>
        <v/>
      </c>
      <c r="AW59" s="72" t="str">
        <f t="shared" si="26"/>
        <v/>
      </c>
      <c r="AX59" s="39"/>
      <c r="AY59" s="40" t="str">
        <f>IF(ISERROR(IF($K59&lt;=$F$15,VLOOKUP($I59,'表4）CO2価格'!$A$7:$E$67,VLOOKUP($F$48,'表4）CO2価格'!$H$10:$I$12,2,0),0)*$F$8/1000,"")),0,IF($K59&lt;=$F$15,VLOOKUP($I59,'表4）CO2価格'!$A$7:$E$67,VLOOKUP($F$48,'表4）CO2価格'!$H$10:$I$12,2,0),0)*$F$8/1000,""))</f>
        <v/>
      </c>
      <c r="AZ59" s="39"/>
      <c r="BA59" s="42" t="str">
        <f t="shared" si="42"/>
        <v/>
      </c>
      <c r="BB59" s="72" t="str">
        <f t="shared" si="27"/>
        <v/>
      </c>
      <c r="BC59" s="39"/>
      <c r="BD59" s="72" t="str">
        <f t="shared" si="43"/>
        <v/>
      </c>
      <c r="BE59" s="72" t="str">
        <f t="shared" si="28"/>
        <v/>
      </c>
      <c r="BF59" s="39"/>
      <c r="BG59" s="42" t="str">
        <f t="shared" si="44"/>
        <v/>
      </c>
      <c r="BH59" s="72" t="str">
        <f t="shared" si="29"/>
        <v/>
      </c>
      <c r="BI59" s="39"/>
      <c r="BJ59" s="72"/>
      <c r="BK59" s="157"/>
      <c r="BL59" s="157"/>
      <c r="BM59" s="72"/>
      <c r="BN59" s="72"/>
      <c r="BO59" s="72"/>
      <c r="BP59" s="39"/>
      <c r="BQ59" s="72" t="str">
        <f t="shared" si="45"/>
        <v/>
      </c>
      <c r="BR59" s="72" t="str">
        <f t="shared" si="30"/>
        <v/>
      </c>
    </row>
    <row r="60" spans="3:70" x14ac:dyDescent="0.15">
      <c r="D60" s="81" t="s">
        <v>128</v>
      </c>
      <c r="F60" s="59"/>
      <c r="G60" s="81" t="s">
        <v>176</v>
      </c>
      <c r="I60" s="459">
        <f t="shared" si="31"/>
        <v>2065</v>
      </c>
      <c r="J60" s="71"/>
      <c r="K60" s="71">
        <f t="shared" si="32"/>
        <v>46</v>
      </c>
      <c r="L60" s="71"/>
      <c r="M60" s="7">
        <f t="shared" si="0"/>
        <v>0.25673652792674101</v>
      </c>
      <c r="N60" s="71"/>
      <c r="O60" s="10" t="str">
        <f t="shared" si="13"/>
        <v/>
      </c>
      <c r="P60" s="29" t="str">
        <f t="shared" si="34"/>
        <v/>
      </c>
      <c r="Q60" s="71"/>
      <c r="R60" s="10" t="str">
        <f t="shared" si="46"/>
        <v/>
      </c>
      <c r="S60" s="71"/>
      <c r="T60" s="10" t="str">
        <f t="shared" si="15"/>
        <v/>
      </c>
      <c r="U60" s="71"/>
      <c r="V60" s="10" t="str">
        <f t="shared" si="35"/>
        <v/>
      </c>
      <c r="W60" s="10" t="str">
        <f t="shared" si="16"/>
        <v/>
      </c>
      <c r="X60" s="71"/>
      <c r="Y60" s="10" t="str">
        <f t="shared" si="36"/>
        <v/>
      </c>
      <c r="Z60" s="10" t="str">
        <f t="shared" si="17"/>
        <v/>
      </c>
      <c r="AA60" s="71"/>
      <c r="AB60" s="10" t="str">
        <f t="shared" si="4"/>
        <v/>
      </c>
      <c r="AC60" s="10" t="str">
        <f t="shared" si="18"/>
        <v/>
      </c>
      <c r="AD60" s="71"/>
      <c r="AE60" s="10" t="str">
        <f t="shared" si="37"/>
        <v/>
      </c>
      <c r="AF60" s="10" t="str">
        <f t="shared" si="19"/>
        <v/>
      </c>
      <c r="AG60" s="71"/>
      <c r="AH60" s="10" t="str">
        <f t="shared" si="38"/>
        <v/>
      </c>
      <c r="AI60" s="10" t="str">
        <f t="shared" si="21"/>
        <v/>
      </c>
      <c r="AJ60" s="71"/>
      <c r="AK60" s="10" t="str">
        <f t="shared" si="22"/>
        <v/>
      </c>
      <c r="AL60" s="10" t="str">
        <f t="shared" si="23"/>
        <v/>
      </c>
      <c r="AM60" s="71"/>
      <c r="AN60" s="10" t="str">
        <f t="shared" si="39"/>
        <v/>
      </c>
      <c r="AO60" s="10" t="str">
        <f t="shared" si="24"/>
        <v/>
      </c>
      <c r="AP60" s="71"/>
      <c r="AQ60" s="10" t="str">
        <f t="shared" si="40"/>
        <v/>
      </c>
      <c r="AR60" s="10" t="str">
        <f t="shared" si="25"/>
        <v/>
      </c>
      <c r="AS60" s="71"/>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U60" s="71"/>
      <c r="AV60" s="10" t="str">
        <f t="shared" si="41"/>
        <v/>
      </c>
      <c r="AW60" s="10" t="str">
        <f t="shared" si="26"/>
        <v/>
      </c>
      <c r="AX60" s="71"/>
      <c r="AY60" s="7" t="str">
        <f>IF(ISERROR(IF($K60&lt;=$F$15,VLOOKUP($I60,'表4）CO2価格'!$A$7:$E$67,VLOOKUP($F$48,'表4）CO2価格'!$H$10:$I$12,2,0),0)*$F$8/1000,"")),0,IF($K60&lt;=$F$15,VLOOKUP($I60,'表4）CO2価格'!$A$7:$E$67,VLOOKUP($F$48,'表4）CO2価格'!$H$10:$I$12,2,0),0)*$F$8/1000,""))</f>
        <v/>
      </c>
      <c r="AZ60" s="71"/>
      <c r="BA60" s="11" t="str">
        <f t="shared" si="42"/>
        <v/>
      </c>
      <c r="BB60" s="10" t="str">
        <f t="shared" si="27"/>
        <v/>
      </c>
      <c r="BC60" s="71"/>
      <c r="BD60" s="10" t="str">
        <f t="shared" si="43"/>
        <v/>
      </c>
      <c r="BE60" s="10" t="str">
        <f t="shared" si="28"/>
        <v/>
      </c>
      <c r="BF60" s="71"/>
      <c r="BG60" s="11" t="str">
        <f t="shared" si="44"/>
        <v/>
      </c>
      <c r="BH60" s="10" t="str">
        <f t="shared" si="29"/>
        <v/>
      </c>
      <c r="BJ60" s="10"/>
      <c r="BK60" s="158"/>
      <c r="BL60" s="158"/>
      <c r="BM60" s="10"/>
      <c r="BN60" s="10"/>
      <c r="BO60" s="10"/>
      <c r="BP60" s="71"/>
      <c r="BQ60" s="10" t="str">
        <f t="shared" si="45"/>
        <v/>
      </c>
      <c r="BR60" s="10" t="str">
        <f t="shared" si="30"/>
        <v/>
      </c>
    </row>
    <row r="61" spans="3:70" x14ac:dyDescent="0.15">
      <c r="D61" s="81" t="s">
        <v>190</v>
      </c>
      <c r="F61" s="66"/>
      <c r="G61" s="81" t="s">
        <v>108</v>
      </c>
      <c r="I61" s="458">
        <f t="shared" si="31"/>
        <v>2066</v>
      </c>
      <c r="J61" s="39"/>
      <c r="K61" s="39">
        <f t="shared" si="32"/>
        <v>47</v>
      </c>
      <c r="L61" s="39"/>
      <c r="M61" s="40">
        <f t="shared" si="0"/>
        <v>0.24925876497741845</v>
      </c>
      <c r="N61" s="39"/>
      <c r="O61" s="72" t="str">
        <f t="shared" si="13"/>
        <v/>
      </c>
      <c r="P61" s="41" t="str">
        <f t="shared" si="34"/>
        <v/>
      </c>
      <c r="Q61" s="39"/>
      <c r="R61" s="72" t="str">
        <f t="shared" si="46"/>
        <v/>
      </c>
      <c r="S61" s="39"/>
      <c r="T61" s="72" t="str">
        <f t="shared" si="15"/>
        <v/>
      </c>
      <c r="U61" s="39"/>
      <c r="V61" s="72" t="str">
        <f t="shared" si="35"/>
        <v/>
      </c>
      <c r="W61" s="72" t="str">
        <f t="shared" si="16"/>
        <v/>
      </c>
      <c r="X61" s="39"/>
      <c r="Y61" s="72" t="str">
        <f t="shared" si="36"/>
        <v/>
      </c>
      <c r="Z61" s="72" t="str">
        <f t="shared" si="17"/>
        <v/>
      </c>
      <c r="AA61" s="39"/>
      <c r="AB61" s="72" t="str">
        <f t="shared" si="4"/>
        <v/>
      </c>
      <c r="AC61" s="72" t="str">
        <f t="shared" si="18"/>
        <v/>
      </c>
      <c r="AD61" s="39"/>
      <c r="AE61" s="72" t="str">
        <f t="shared" si="37"/>
        <v/>
      </c>
      <c r="AF61" s="72" t="str">
        <f t="shared" si="19"/>
        <v/>
      </c>
      <c r="AG61" s="39"/>
      <c r="AH61" s="72" t="str">
        <f t="shared" si="38"/>
        <v/>
      </c>
      <c r="AI61" s="72" t="str">
        <f t="shared" si="21"/>
        <v/>
      </c>
      <c r="AJ61" s="39"/>
      <c r="AK61" s="72" t="str">
        <f t="shared" si="22"/>
        <v/>
      </c>
      <c r="AL61" s="72" t="str">
        <f t="shared" si="23"/>
        <v/>
      </c>
      <c r="AM61" s="39"/>
      <c r="AN61" s="72" t="str">
        <f t="shared" si="39"/>
        <v/>
      </c>
      <c r="AO61" s="72" t="str">
        <f t="shared" si="24"/>
        <v/>
      </c>
      <c r="AP61" s="39"/>
      <c r="AQ61" s="72" t="str">
        <f t="shared" si="40"/>
        <v/>
      </c>
      <c r="AR61" s="72" t="str">
        <f t="shared" si="25"/>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41"/>
        <v/>
      </c>
      <c r="AW61" s="72" t="str">
        <f t="shared" si="26"/>
        <v/>
      </c>
      <c r="AX61" s="39"/>
      <c r="AY61" s="40" t="str">
        <f>IF(ISERROR(IF($K61&lt;=$F$15,VLOOKUP($I61,'表4）CO2価格'!$A$7:$E$67,VLOOKUP($F$48,'表4）CO2価格'!$H$10:$I$12,2,0),0)*$F$8/1000,"")),0,IF($K61&lt;=$F$15,VLOOKUP($I61,'表4）CO2価格'!$A$7:$E$67,VLOOKUP($F$48,'表4）CO2価格'!$H$10:$I$12,2,0),0)*$F$8/1000,""))</f>
        <v/>
      </c>
      <c r="AZ61" s="39"/>
      <c r="BA61" s="42" t="str">
        <f t="shared" si="42"/>
        <v/>
      </c>
      <c r="BB61" s="72" t="str">
        <f t="shared" si="27"/>
        <v/>
      </c>
      <c r="BC61" s="39"/>
      <c r="BD61" s="72" t="str">
        <f t="shared" si="43"/>
        <v/>
      </c>
      <c r="BE61" s="72" t="str">
        <f t="shared" si="28"/>
        <v/>
      </c>
      <c r="BF61" s="39"/>
      <c r="BG61" s="42" t="str">
        <f t="shared" si="44"/>
        <v/>
      </c>
      <c r="BH61" s="72" t="str">
        <f t="shared" si="29"/>
        <v/>
      </c>
      <c r="BI61" s="39"/>
      <c r="BJ61" s="72"/>
      <c r="BK61" s="157"/>
      <c r="BL61" s="157"/>
      <c r="BM61" s="72"/>
      <c r="BN61" s="72"/>
      <c r="BO61" s="72"/>
      <c r="BP61" s="39"/>
      <c r="BQ61" s="72" t="str">
        <f t="shared" si="45"/>
        <v/>
      </c>
      <c r="BR61" s="72" t="str">
        <f t="shared" si="30"/>
        <v/>
      </c>
    </row>
    <row r="62" spans="3:70" x14ac:dyDescent="0.15">
      <c r="D62" s="81" t="s">
        <v>131</v>
      </c>
      <c r="F62" s="59"/>
      <c r="G62" s="81" t="s">
        <v>191</v>
      </c>
      <c r="I62" s="459">
        <f t="shared" si="31"/>
        <v>2067</v>
      </c>
      <c r="J62" s="71"/>
      <c r="K62" s="71">
        <f t="shared" si="32"/>
        <v>48</v>
      </c>
      <c r="L62" s="71"/>
      <c r="M62" s="7">
        <f t="shared" si="0"/>
        <v>0.24199880094894996</v>
      </c>
      <c r="N62" s="71"/>
      <c r="O62" s="10" t="str">
        <f t="shared" si="13"/>
        <v/>
      </c>
      <c r="P62" s="29" t="str">
        <f t="shared" si="34"/>
        <v/>
      </c>
      <c r="Q62" s="71"/>
      <c r="R62" s="10" t="str">
        <f t="shared" si="46"/>
        <v/>
      </c>
      <c r="S62" s="71"/>
      <c r="T62" s="10" t="str">
        <f t="shared" si="15"/>
        <v/>
      </c>
      <c r="U62" s="71"/>
      <c r="V62" s="10" t="str">
        <f t="shared" si="35"/>
        <v/>
      </c>
      <c r="W62" s="10" t="str">
        <f t="shared" si="16"/>
        <v/>
      </c>
      <c r="X62" s="71"/>
      <c r="Y62" s="10" t="str">
        <f t="shared" si="36"/>
        <v/>
      </c>
      <c r="Z62" s="10" t="str">
        <f t="shared" si="17"/>
        <v/>
      </c>
      <c r="AA62" s="71"/>
      <c r="AB62" s="10" t="str">
        <f t="shared" si="4"/>
        <v/>
      </c>
      <c r="AC62" s="10" t="str">
        <f t="shared" si="18"/>
        <v/>
      </c>
      <c r="AD62" s="71"/>
      <c r="AE62" s="10" t="str">
        <f t="shared" si="37"/>
        <v/>
      </c>
      <c r="AF62" s="10" t="str">
        <f t="shared" si="19"/>
        <v/>
      </c>
      <c r="AG62" s="71"/>
      <c r="AH62" s="10" t="str">
        <f t="shared" si="38"/>
        <v/>
      </c>
      <c r="AI62" s="10" t="str">
        <f t="shared" si="21"/>
        <v/>
      </c>
      <c r="AJ62" s="71"/>
      <c r="AK62" s="10" t="str">
        <f t="shared" si="22"/>
        <v/>
      </c>
      <c r="AL62" s="10" t="str">
        <f t="shared" si="23"/>
        <v/>
      </c>
      <c r="AM62" s="71"/>
      <c r="AN62" s="10" t="str">
        <f t="shared" si="39"/>
        <v/>
      </c>
      <c r="AO62" s="10" t="str">
        <f t="shared" si="24"/>
        <v/>
      </c>
      <c r="AP62" s="71"/>
      <c r="AQ62" s="10" t="str">
        <f t="shared" si="40"/>
        <v/>
      </c>
      <c r="AR62" s="10" t="str">
        <f t="shared" si="25"/>
        <v/>
      </c>
      <c r="AS62" s="71"/>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U62" s="71"/>
      <c r="AV62" s="10" t="str">
        <f t="shared" si="41"/>
        <v/>
      </c>
      <c r="AW62" s="10" t="str">
        <f t="shared" si="26"/>
        <v/>
      </c>
      <c r="AX62" s="71"/>
      <c r="AY62" s="7" t="str">
        <f>IF(ISERROR(IF($K62&lt;=$F$15,VLOOKUP($I62,'表4）CO2価格'!$A$7:$E$67,VLOOKUP($F$48,'表4）CO2価格'!$H$10:$I$12,2,0),0)*$F$8/1000,"")),0,IF($K62&lt;=$F$15,VLOOKUP($I62,'表4）CO2価格'!$A$7:$E$67,VLOOKUP($F$48,'表4）CO2価格'!$H$10:$I$12,2,0),0)*$F$8/1000,""))</f>
        <v/>
      </c>
      <c r="AZ62" s="71"/>
      <c r="BA62" s="11" t="str">
        <f t="shared" si="42"/>
        <v/>
      </c>
      <c r="BB62" s="10" t="str">
        <f t="shared" si="27"/>
        <v/>
      </c>
      <c r="BC62" s="71"/>
      <c r="BD62" s="10" t="str">
        <f t="shared" si="43"/>
        <v/>
      </c>
      <c r="BE62" s="10" t="str">
        <f t="shared" si="28"/>
        <v/>
      </c>
      <c r="BF62" s="71"/>
      <c r="BG62" s="11" t="str">
        <f t="shared" si="44"/>
        <v/>
      </c>
      <c r="BH62" s="10" t="str">
        <f t="shared" si="29"/>
        <v/>
      </c>
      <c r="BJ62" s="10"/>
      <c r="BK62" s="158"/>
      <c r="BL62" s="158"/>
      <c r="BM62" s="10"/>
      <c r="BN62" s="10"/>
      <c r="BO62" s="10"/>
      <c r="BP62" s="71"/>
      <c r="BQ62" s="10" t="str">
        <f t="shared" si="45"/>
        <v/>
      </c>
      <c r="BR62" s="10" t="str">
        <f t="shared" si="30"/>
        <v/>
      </c>
    </row>
    <row r="63" spans="3:70" x14ac:dyDescent="0.15">
      <c r="I63" s="458">
        <f t="shared" si="31"/>
        <v>2068</v>
      </c>
      <c r="J63" s="39"/>
      <c r="K63" s="39">
        <f t="shared" si="32"/>
        <v>49</v>
      </c>
      <c r="L63" s="39"/>
      <c r="M63" s="40">
        <f t="shared" si="0"/>
        <v>0.2349502921834466</v>
      </c>
      <c r="N63" s="39"/>
      <c r="O63" s="72" t="str">
        <f t="shared" si="13"/>
        <v/>
      </c>
      <c r="P63" s="41" t="str">
        <f t="shared" si="34"/>
        <v/>
      </c>
      <c r="Q63" s="39"/>
      <c r="R63" s="72" t="str">
        <f t="shared" si="46"/>
        <v/>
      </c>
      <c r="S63" s="39"/>
      <c r="T63" s="72" t="str">
        <f t="shared" si="15"/>
        <v/>
      </c>
      <c r="U63" s="39"/>
      <c r="V63" s="72" t="str">
        <f t="shared" si="35"/>
        <v/>
      </c>
      <c r="W63" s="72" t="str">
        <f t="shared" si="16"/>
        <v/>
      </c>
      <c r="X63" s="39"/>
      <c r="Y63" s="72" t="str">
        <f t="shared" si="36"/>
        <v/>
      </c>
      <c r="Z63" s="72" t="str">
        <f t="shared" si="17"/>
        <v/>
      </c>
      <c r="AA63" s="39"/>
      <c r="AB63" s="72" t="str">
        <f t="shared" si="4"/>
        <v/>
      </c>
      <c r="AC63" s="72" t="str">
        <f t="shared" si="18"/>
        <v/>
      </c>
      <c r="AD63" s="39"/>
      <c r="AE63" s="72" t="str">
        <f t="shared" si="37"/>
        <v/>
      </c>
      <c r="AF63" s="72" t="str">
        <f t="shared" si="19"/>
        <v/>
      </c>
      <c r="AG63" s="39"/>
      <c r="AH63" s="72" t="str">
        <f t="shared" si="38"/>
        <v/>
      </c>
      <c r="AI63" s="72" t="str">
        <f t="shared" si="21"/>
        <v/>
      </c>
      <c r="AJ63" s="39"/>
      <c r="AK63" s="72" t="str">
        <f t="shared" si="22"/>
        <v/>
      </c>
      <c r="AL63" s="72" t="str">
        <f t="shared" si="23"/>
        <v/>
      </c>
      <c r="AM63" s="39"/>
      <c r="AN63" s="72" t="str">
        <f t="shared" si="39"/>
        <v/>
      </c>
      <c r="AO63" s="72" t="str">
        <f t="shared" si="24"/>
        <v/>
      </c>
      <c r="AP63" s="39"/>
      <c r="AQ63" s="72" t="str">
        <f t="shared" si="40"/>
        <v/>
      </c>
      <c r="AR63" s="72" t="str">
        <f t="shared" si="25"/>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41"/>
        <v/>
      </c>
      <c r="AW63" s="72" t="str">
        <f t="shared" si="26"/>
        <v/>
      </c>
      <c r="AX63" s="39"/>
      <c r="AY63" s="40" t="str">
        <f>IF(ISERROR(IF($K63&lt;=$F$15,VLOOKUP($I63,'表4）CO2価格'!$A$7:$E$67,VLOOKUP($F$48,'表4）CO2価格'!$H$10:$I$12,2,0),0)*$F$8/1000,"")),0,IF($K63&lt;=$F$15,VLOOKUP($I63,'表4）CO2価格'!$A$7:$E$67,VLOOKUP($F$48,'表4）CO2価格'!$H$10:$I$12,2,0),0)*$F$8/1000,""))</f>
        <v/>
      </c>
      <c r="AZ63" s="39"/>
      <c r="BA63" s="42" t="str">
        <f t="shared" si="42"/>
        <v/>
      </c>
      <c r="BB63" s="72" t="str">
        <f t="shared" si="27"/>
        <v/>
      </c>
      <c r="BC63" s="39"/>
      <c r="BD63" s="72" t="str">
        <f t="shared" si="43"/>
        <v/>
      </c>
      <c r="BE63" s="72" t="str">
        <f t="shared" si="28"/>
        <v/>
      </c>
      <c r="BF63" s="39"/>
      <c r="BG63" s="42" t="str">
        <f t="shared" si="44"/>
        <v/>
      </c>
      <c r="BH63" s="72" t="str">
        <f t="shared" si="29"/>
        <v/>
      </c>
      <c r="BI63" s="39"/>
      <c r="BJ63" s="72"/>
      <c r="BK63" s="157"/>
      <c r="BL63" s="157"/>
      <c r="BM63" s="72"/>
      <c r="BN63" s="72"/>
      <c r="BO63" s="72"/>
      <c r="BP63" s="39"/>
      <c r="BQ63" s="72" t="str">
        <f t="shared" si="45"/>
        <v/>
      </c>
      <c r="BR63" s="72" t="str">
        <f t="shared" si="30"/>
        <v/>
      </c>
    </row>
    <row r="64" spans="3:70" x14ac:dyDescent="0.15">
      <c r="C64" s="9" t="s">
        <v>513</v>
      </c>
      <c r="F64" s="67">
        <v>8.3978999999999998E-2</v>
      </c>
      <c r="G64" s="81" t="s">
        <v>132</v>
      </c>
      <c r="I64" s="459">
        <f t="shared" si="31"/>
        <v>2069</v>
      </c>
      <c r="J64" s="71"/>
      <c r="K64" s="71">
        <f t="shared" si="32"/>
        <v>50</v>
      </c>
      <c r="L64" s="71"/>
      <c r="M64" s="7">
        <f t="shared" si="0"/>
        <v>0.22810707978975397</v>
      </c>
      <c r="N64" s="71"/>
      <c r="O64" s="10" t="str">
        <f t="shared" si="13"/>
        <v/>
      </c>
      <c r="P64" s="29" t="str">
        <f t="shared" si="34"/>
        <v/>
      </c>
      <c r="Q64" s="71"/>
      <c r="R64" s="10" t="str">
        <f t="shared" si="46"/>
        <v/>
      </c>
      <c r="S64" s="71"/>
      <c r="T64" s="10" t="str">
        <f t="shared" si="15"/>
        <v/>
      </c>
      <c r="U64" s="71"/>
      <c r="V64" s="10" t="str">
        <f t="shared" si="35"/>
        <v/>
      </c>
      <c r="W64" s="10" t="str">
        <f t="shared" si="16"/>
        <v/>
      </c>
      <c r="X64" s="71"/>
      <c r="Y64" s="10" t="str">
        <f t="shared" si="36"/>
        <v/>
      </c>
      <c r="Z64" s="10" t="str">
        <f t="shared" si="17"/>
        <v/>
      </c>
      <c r="AA64" s="71"/>
      <c r="AB64" s="10" t="str">
        <f t="shared" si="4"/>
        <v/>
      </c>
      <c r="AC64" s="10" t="str">
        <f t="shared" si="18"/>
        <v/>
      </c>
      <c r="AD64" s="71"/>
      <c r="AE64" s="10" t="str">
        <f t="shared" si="37"/>
        <v/>
      </c>
      <c r="AF64" s="10" t="str">
        <f t="shared" si="19"/>
        <v/>
      </c>
      <c r="AG64" s="71"/>
      <c r="AH64" s="10" t="str">
        <f t="shared" si="38"/>
        <v/>
      </c>
      <c r="AI64" s="10" t="str">
        <f t="shared" si="21"/>
        <v/>
      </c>
      <c r="AJ64" s="71"/>
      <c r="AK64" s="10" t="str">
        <f t="shared" si="22"/>
        <v/>
      </c>
      <c r="AL64" s="10" t="str">
        <f t="shared" si="23"/>
        <v/>
      </c>
      <c r="AM64" s="71"/>
      <c r="AN64" s="10" t="str">
        <f t="shared" si="39"/>
        <v/>
      </c>
      <c r="AO64" s="10" t="str">
        <f t="shared" si="24"/>
        <v/>
      </c>
      <c r="AP64" s="71"/>
      <c r="AQ64" s="10" t="str">
        <f t="shared" si="40"/>
        <v/>
      </c>
      <c r="AR64" s="10" t="str">
        <f t="shared" si="25"/>
        <v/>
      </c>
      <c r="AS64" s="71"/>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U64" s="71"/>
      <c r="AV64" s="10" t="str">
        <f t="shared" si="41"/>
        <v/>
      </c>
      <c r="AW64" s="10" t="str">
        <f t="shared" si="26"/>
        <v/>
      </c>
      <c r="AX64" s="71"/>
      <c r="AY64" s="7" t="str">
        <f>IF(ISERROR(IF($K64&lt;=$F$15,VLOOKUP($I64,'表4）CO2価格'!$A$7:$E$67,VLOOKUP($F$48,'表4）CO2価格'!$H$10:$I$12,2,0),0)*$F$8/1000,"")),0,IF($K64&lt;=$F$15,VLOOKUP($I64,'表4）CO2価格'!$A$7:$E$67,VLOOKUP($F$48,'表4）CO2価格'!$H$10:$I$12,2,0),0)*$F$8/1000,""))</f>
        <v/>
      </c>
      <c r="AZ64" s="71"/>
      <c r="BA64" s="11" t="str">
        <f t="shared" si="42"/>
        <v/>
      </c>
      <c r="BB64" s="10" t="str">
        <f t="shared" si="27"/>
        <v/>
      </c>
      <c r="BC64" s="71"/>
      <c r="BD64" s="10" t="str">
        <f t="shared" si="43"/>
        <v/>
      </c>
      <c r="BE64" s="10" t="str">
        <f t="shared" si="28"/>
        <v/>
      </c>
      <c r="BF64" s="71"/>
      <c r="BG64" s="11" t="str">
        <f t="shared" si="44"/>
        <v/>
      </c>
      <c r="BH64" s="10" t="str">
        <f t="shared" si="29"/>
        <v/>
      </c>
      <c r="BJ64" s="10"/>
      <c r="BK64" s="158"/>
      <c r="BL64" s="158"/>
      <c r="BM64" s="10"/>
      <c r="BN64" s="10"/>
      <c r="BO64" s="10"/>
      <c r="BP64" s="71"/>
      <c r="BQ64" s="10" t="str">
        <f t="shared" si="45"/>
        <v/>
      </c>
      <c r="BR64" s="10" t="str">
        <f t="shared" si="30"/>
        <v/>
      </c>
    </row>
    <row r="65" spans="2:70" x14ac:dyDescent="0.15">
      <c r="I65" s="458">
        <f t="shared" si="31"/>
        <v>2070</v>
      </c>
      <c r="J65" s="39"/>
      <c r="K65" s="39">
        <f t="shared" si="32"/>
        <v>51</v>
      </c>
      <c r="L65" s="39"/>
      <c r="M65" s="40">
        <f t="shared" si="0"/>
        <v>0.22146318426189707</v>
      </c>
      <c r="N65" s="39"/>
      <c r="O65" s="72" t="str">
        <f t="shared" si="13"/>
        <v/>
      </c>
      <c r="P65" s="41" t="str">
        <f t="shared" si="34"/>
        <v/>
      </c>
      <c r="Q65" s="39"/>
      <c r="R65" s="72" t="str">
        <f t="shared" si="46"/>
        <v/>
      </c>
      <c r="S65" s="39"/>
      <c r="T65" s="72" t="str">
        <f t="shared" si="15"/>
        <v/>
      </c>
      <c r="U65" s="39"/>
      <c r="V65" s="72" t="str">
        <f t="shared" si="35"/>
        <v/>
      </c>
      <c r="W65" s="72" t="str">
        <f t="shared" si="16"/>
        <v/>
      </c>
      <c r="X65" s="39"/>
      <c r="Y65" s="72" t="str">
        <f t="shared" si="36"/>
        <v/>
      </c>
      <c r="Z65" s="72" t="str">
        <f t="shared" si="17"/>
        <v/>
      </c>
      <c r="AA65" s="39"/>
      <c r="AB65" s="72" t="str">
        <f t="shared" si="4"/>
        <v/>
      </c>
      <c r="AC65" s="72" t="str">
        <f t="shared" si="18"/>
        <v/>
      </c>
      <c r="AD65" s="39"/>
      <c r="AE65" s="72" t="str">
        <f t="shared" si="37"/>
        <v/>
      </c>
      <c r="AF65" s="72" t="str">
        <f t="shared" si="19"/>
        <v/>
      </c>
      <c r="AG65" s="39"/>
      <c r="AH65" s="72" t="str">
        <f t="shared" si="38"/>
        <v/>
      </c>
      <c r="AI65" s="72" t="str">
        <f t="shared" si="21"/>
        <v/>
      </c>
      <c r="AJ65" s="39"/>
      <c r="AK65" s="72" t="str">
        <f t="shared" si="22"/>
        <v/>
      </c>
      <c r="AL65" s="72" t="str">
        <f t="shared" si="23"/>
        <v/>
      </c>
      <c r="AM65" s="39"/>
      <c r="AN65" s="72" t="str">
        <f t="shared" si="39"/>
        <v/>
      </c>
      <c r="AO65" s="72" t="str">
        <f t="shared" si="24"/>
        <v/>
      </c>
      <c r="AP65" s="39"/>
      <c r="AQ65" s="72" t="str">
        <f t="shared" si="40"/>
        <v/>
      </c>
      <c r="AR65" s="72" t="str">
        <f t="shared" si="25"/>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41"/>
        <v/>
      </c>
      <c r="AW65" s="72" t="str">
        <f t="shared" si="26"/>
        <v/>
      </c>
      <c r="AX65" s="39"/>
      <c r="AY65" s="40" t="str">
        <f>IF(ISERROR(IF($K65&lt;=$F$15,VLOOKUP($I65,'表4）CO2価格'!$A$7:$E$67,VLOOKUP($F$48,'表4）CO2価格'!$H$10:$I$12,2,0),0)*$F$8/1000,"")),0,IF($K65&lt;=$F$15,VLOOKUP($I65,'表4）CO2価格'!$A$7:$E$67,VLOOKUP($F$48,'表4）CO2価格'!$H$10:$I$12,2,0),0)*$F$8/1000,""))</f>
        <v/>
      </c>
      <c r="AZ65" s="39"/>
      <c r="BA65" s="42" t="str">
        <f t="shared" si="42"/>
        <v/>
      </c>
      <c r="BB65" s="72" t="str">
        <f t="shared" si="27"/>
        <v/>
      </c>
      <c r="BC65" s="39"/>
      <c r="BD65" s="72" t="str">
        <f t="shared" si="43"/>
        <v/>
      </c>
      <c r="BE65" s="72" t="str">
        <f t="shared" si="28"/>
        <v/>
      </c>
      <c r="BF65" s="39"/>
      <c r="BG65" s="42" t="str">
        <f t="shared" si="44"/>
        <v/>
      </c>
      <c r="BH65" s="72" t="str">
        <f t="shared" si="29"/>
        <v/>
      </c>
      <c r="BI65" s="39"/>
      <c r="BJ65" s="72"/>
      <c r="BK65" s="157"/>
      <c r="BL65" s="157"/>
      <c r="BM65" s="72"/>
      <c r="BN65" s="72"/>
      <c r="BO65" s="72"/>
      <c r="BP65" s="39"/>
      <c r="BQ65" s="72" t="str">
        <f t="shared" si="45"/>
        <v/>
      </c>
      <c r="BR65" s="72" t="str">
        <f t="shared" si="30"/>
        <v/>
      </c>
    </row>
    <row r="66" spans="2:70" x14ac:dyDescent="0.15">
      <c r="I66" s="459">
        <f t="shared" si="31"/>
        <v>2071</v>
      </c>
      <c r="J66" s="71"/>
      <c r="K66" s="71">
        <f t="shared" si="32"/>
        <v>52</v>
      </c>
      <c r="L66" s="71"/>
      <c r="M66" s="7">
        <f t="shared" si="0"/>
        <v>0.215012800254269</v>
      </c>
      <c r="N66" s="71"/>
      <c r="O66" s="10" t="str">
        <f t="shared" si="13"/>
        <v/>
      </c>
      <c r="P66" s="29" t="str">
        <f t="shared" si="34"/>
        <v/>
      </c>
      <c r="Q66" s="71"/>
      <c r="R66" s="10" t="str">
        <f t="shared" si="46"/>
        <v/>
      </c>
      <c r="S66" s="71"/>
      <c r="T66" s="10" t="str">
        <f t="shared" si="15"/>
        <v/>
      </c>
      <c r="U66" s="71"/>
      <c r="V66" s="10" t="str">
        <f t="shared" si="35"/>
        <v/>
      </c>
      <c r="W66" s="10" t="str">
        <f t="shared" si="16"/>
        <v/>
      </c>
      <c r="X66" s="71"/>
      <c r="Y66" s="10" t="str">
        <f t="shared" si="36"/>
        <v/>
      </c>
      <c r="Z66" s="10" t="str">
        <f t="shared" si="17"/>
        <v/>
      </c>
      <c r="AA66" s="71"/>
      <c r="AB66" s="10" t="str">
        <f t="shared" si="4"/>
        <v/>
      </c>
      <c r="AC66" s="10" t="str">
        <f t="shared" si="18"/>
        <v/>
      </c>
      <c r="AD66" s="71"/>
      <c r="AE66" s="10" t="str">
        <f t="shared" si="37"/>
        <v/>
      </c>
      <c r="AF66" s="10" t="str">
        <f t="shared" si="19"/>
        <v/>
      </c>
      <c r="AG66" s="71"/>
      <c r="AH66" s="10" t="str">
        <f t="shared" si="38"/>
        <v/>
      </c>
      <c r="AI66" s="10" t="str">
        <f t="shared" si="21"/>
        <v/>
      </c>
      <c r="AJ66" s="71"/>
      <c r="AK66" s="10" t="str">
        <f t="shared" si="22"/>
        <v/>
      </c>
      <c r="AL66" s="10" t="str">
        <f t="shared" si="23"/>
        <v/>
      </c>
      <c r="AM66" s="71"/>
      <c r="AN66" s="10" t="str">
        <f t="shared" si="39"/>
        <v/>
      </c>
      <c r="AO66" s="10" t="str">
        <f t="shared" si="24"/>
        <v/>
      </c>
      <c r="AP66" s="71"/>
      <c r="AQ66" s="10" t="str">
        <f t="shared" si="40"/>
        <v/>
      </c>
      <c r="AR66" s="10" t="str">
        <f t="shared" si="25"/>
        <v/>
      </c>
      <c r="AS66" s="71"/>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U66" s="71"/>
      <c r="AV66" s="10" t="str">
        <f t="shared" si="41"/>
        <v/>
      </c>
      <c r="AW66" s="10" t="str">
        <f t="shared" si="26"/>
        <v/>
      </c>
      <c r="AX66" s="71"/>
      <c r="AY66" s="7" t="str">
        <f>IF(ISERROR(IF($K66&lt;=$F$15,VLOOKUP($I66,'表4）CO2価格'!$A$7:$E$67,VLOOKUP($F$48,'表4）CO2価格'!$H$10:$I$12,2,0),0)*$F$8/1000,"")),0,IF($K66&lt;=$F$15,VLOOKUP($I66,'表4）CO2価格'!$A$7:$E$67,VLOOKUP($F$48,'表4）CO2価格'!$H$10:$I$12,2,0),0)*$F$8/1000,""))</f>
        <v/>
      </c>
      <c r="AZ66" s="71"/>
      <c r="BA66" s="11" t="str">
        <f t="shared" si="42"/>
        <v/>
      </c>
      <c r="BB66" s="10" t="str">
        <f t="shared" si="27"/>
        <v/>
      </c>
      <c r="BC66" s="71"/>
      <c r="BD66" s="10" t="str">
        <f t="shared" si="43"/>
        <v/>
      </c>
      <c r="BE66" s="10" t="str">
        <f t="shared" si="28"/>
        <v/>
      </c>
      <c r="BF66" s="71"/>
      <c r="BG66" s="11" t="str">
        <f t="shared" si="44"/>
        <v/>
      </c>
      <c r="BH66" s="10" t="str">
        <f t="shared" si="29"/>
        <v/>
      </c>
      <c r="BJ66" s="10"/>
      <c r="BK66" s="158"/>
      <c r="BL66" s="158"/>
      <c r="BM66" s="10"/>
      <c r="BN66" s="10"/>
      <c r="BO66" s="10"/>
      <c r="BP66" s="71"/>
      <c r="BQ66" s="10" t="str">
        <f t="shared" si="45"/>
        <v/>
      </c>
      <c r="BR66" s="10" t="str">
        <f t="shared" si="30"/>
        <v/>
      </c>
    </row>
    <row r="67" spans="2:70" ht="15.75" thickBot="1" x14ac:dyDescent="0.2">
      <c r="B67" s="460" t="s">
        <v>133</v>
      </c>
      <c r="C67" s="86"/>
      <c r="D67" s="104"/>
      <c r="E67" s="104"/>
      <c r="F67" s="86"/>
      <c r="G67" s="104"/>
      <c r="I67" s="458">
        <f t="shared" si="31"/>
        <v>2072</v>
      </c>
      <c r="J67" s="39"/>
      <c r="K67" s="39">
        <f t="shared" si="32"/>
        <v>53</v>
      </c>
      <c r="L67" s="39"/>
      <c r="M67" s="40">
        <f t="shared" si="0"/>
        <v>0.20875029150899907</v>
      </c>
      <c r="N67" s="39"/>
      <c r="O67" s="72" t="str">
        <f t="shared" si="13"/>
        <v/>
      </c>
      <c r="P67" s="41" t="str">
        <f t="shared" si="34"/>
        <v/>
      </c>
      <c r="Q67" s="39"/>
      <c r="R67" s="72" t="str">
        <f t="shared" si="46"/>
        <v/>
      </c>
      <c r="S67" s="39"/>
      <c r="T67" s="72" t="str">
        <f t="shared" si="15"/>
        <v/>
      </c>
      <c r="U67" s="39"/>
      <c r="V67" s="72" t="str">
        <f t="shared" si="35"/>
        <v/>
      </c>
      <c r="W67" s="72" t="str">
        <f t="shared" si="16"/>
        <v/>
      </c>
      <c r="X67" s="39"/>
      <c r="Y67" s="72" t="str">
        <f t="shared" si="36"/>
        <v/>
      </c>
      <c r="Z67" s="72" t="str">
        <f t="shared" si="17"/>
        <v/>
      </c>
      <c r="AA67" s="39"/>
      <c r="AB67" s="72" t="str">
        <f t="shared" si="4"/>
        <v/>
      </c>
      <c r="AC67" s="72" t="str">
        <f t="shared" si="18"/>
        <v/>
      </c>
      <c r="AD67" s="39"/>
      <c r="AE67" s="72" t="str">
        <f t="shared" si="37"/>
        <v/>
      </c>
      <c r="AF67" s="72" t="str">
        <f t="shared" si="19"/>
        <v/>
      </c>
      <c r="AG67" s="39"/>
      <c r="AH67" s="72" t="str">
        <f t="shared" si="38"/>
        <v/>
      </c>
      <c r="AI67" s="72" t="str">
        <f t="shared" si="21"/>
        <v/>
      </c>
      <c r="AJ67" s="39"/>
      <c r="AK67" s="72" t="str">
        <f t="shared" si="22"/>
        <v/>
      </c>
      <c r="AL67" s="72" t="str">
        <f t="shared" si="23"/>
        <v/>
      </c>
      <c r="AM67" s="39"/>
      <c r="AN67" s="72" t="str">
        <f t="shared" si="39"/>
        <v/>
      </c>
      <c r="AO67" s="72" t="str">
        <f t="shared" si="24"/>
        <v/>
      </c>
      <c r="AP67" s="39"/>
      <c r="AQ67" s="72" t="str">
        <f t="shared" si="40"/>
        <v/>
      </c>
      <c r="AR67" s="72" t="str">
        <f t="shared" si="25"/>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41"/>
        <v/>
      </c>
      <c r="AW67" s="72" t="str">
        <f t="shared" si="26"/>
        <v/>
      </c>
      <c r="AX67" s="39"/>
      <c r="AY67" s="40" t="str">
        <f>IF(ISERROR(IF($K67&lt;=$F$15,VLOOKUP($I67,'表4）CO2価格'!$A$7:$E$67,VLOOKUP($F$48,'表4）CO2価格'!$H$10:$I$12,2,0),0)*$F$8/1000,"")),0,IF($K67&lt;=$F$15,VLOOKUP($I67,'表4）CO2価格'!$A$7:$E$67,VLOOKUP($F$48,'表4）CO2価格'!$H$10:$I$12,2,0),0)*$F$8/1000,""))</f>
        <v/>
      </c>
      <c r="AZ67" s="39"/>
      <c r="BA67" s="42" t="str">
        <f t="shared" si="42"/>
        <v/>
      </c>
      <c r="BB67" s="72" t="str">
        <f t="shared" si="27"/>
        <v/>
      </c>
      <c r="BC67" s="39"/>
      <c r="BD67" s="72" t="str">
        <f t="shared" si="43"/>
        <v/>
      </c>
      <c r="BE67" s="72" t="str">
        <f t="shared" si="28"/>
        <v/>
      </c>
      <c r="BF67" s="39"/>
      <c r="BG67" s="42" t="str">
        <f t="shared" si="44"/>
        <v/>
      </c>
      <c r="BH67" s="72" t="str">
        <f t="shared" si="29"/>
        <v/>
      </c>
      <c r="BI67" s="39"/>
      <c r="BJ67" s="72"/>
      <c r="BK67" s="157"/>
      <c r="BL67" s="157"/>
      <c r="BM67" s="72"/>
      <c r="BN67" s="72"/>
      <c r="BO67" s="72"/>
      <c r="BP67" s="39"/>
      <c r="BQ67" s="72" t="str">
        <f t="shared" si="45"/>
        <v/>
      </c>
      <c r="BR67" s="72" t="str">
        <f t="shared" si="30"/>
        <v/>
      </c>
    </row>
    <row r="68" spans="2:70" x14ac:dyDescent="0.15">
      <c r="I68" s="459">
        <f t="shared" si="31"/>
        <v>2073</v>
      </c>
      <c r="J68" s="71"/>
      <c r="K68" s="71">
        <f t="shared" si="32"/>
        <v>54</v>
      </c>
      <c r="L68" s="71"/>
      <c r="M68" s="7">
        <f t="shared" si="0"/>
        <v>0.20267018593106703</v>
      </c>
      <c r="N68" s="71"/>
      <c r="O68" s="10" t="str">
        <f t="shared" si="13"/>
        <v/>
      </c>
      <c r="P68" s="29" t="str">
        <f t="shared" si="34"/>
        <v/>
      </c>
      <c r="Q68" s="71"/>
      <c r="R68" s="10" t="str">
        <f t="shared" si="46"/>
        <v/>
      </c>
      <c r="S68" s="71"/>
      <c r="T68" s="10" t="str">
        <f t="shared" si="15"/>
        <v/>
      </c>
      <c r="U68" s="71"/>
      <c r="V68" s="10" t="str">
        <f t="shared" si="35"/>
        <v/>
      </c>
      <c r="W68" s="10" t="str">
        <f t="shared" si="16"/>
        <v/>
      </c>
      <c r="X68" s="71"/>
      <c r="Y68" s="10" t="str">
        <f t="shared" si="36"/>
        <v/>
      </c>
      <c r="Z68" s="10" t="str">
        <f t="shared" si="17"/>
        <v/>
      </c>
      <c r="AA68" s="71"/>
      <c r="AB68" s="10" t="str">
        <f t="shared" si="4"/>
        <v/>
      </c>
      <c r="AC68" s="10" t="str">
        <f t="shared" si="18"/>
        <v/>
      </c>
      <c r="AD68" s="71"/>
      <c r="AE68" s="10" t="str">
        <f t="shared" si="37"/>
        <v/>
      </c>
      <c r="AF68" s="10" t="str">
        <f t="shared" si="19"/>
        <v/>
      </c>
      <c r="AG68" s="71"/>
      <c r="AH68" s="10" t="str">
        <f t="shared" si="38"/>
        <v/>
      </c>
      <c r="AI68" s="10" t="str">
        <f t="shared" si="21"/>
        <v/>
      </c>
      <c r="AJ68" s="71"/>
      <c r="AK68" s="10" t="str">
        <f t="shared" si="22"/>
        <v/>
      </c>
      <c r="AL68" s="10" t="str">
        <f t="shared" si="23"/>
        <v/>
      </c>
      <c r="AM68" s="71"/>
      <c r="AN68" s="10" t="str">
        <f t="shared" si="39"/>
        <v/>
      </c>
      <c r="AO68" s="10" t="str">
        <f t="shared" si="24"/>
        <v/>
      </c>
      <c r="AP68" s="71"/>
      <c r="AQ68" s="10" t="str">
        <f t="shared" si="40"/>
        <v/>
      </c>
      <c r="AR68" s="10" t="str">
        <f t="shared" si="25"/>
        <v/>
      </c>
      <c r="AS68" s="71"/>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U68" s="71"/>
      <c r="AV68" s="10" t="str">
        <f t="shared" si="41"/>
        <v/>
      </c>
      <c r="AW68" s="10" t="str">
        <f t="shared" si="26"/>
        <v/>
      </c>
      <c r="AX68" s="71"/>
      <c r="AY68" s="7" t="str">
        <f>IF(ISERROR(IF($K68&lt;=$F$15,VLOOKUP($I68,'表4）CO2価格'!$A$7:$E$67,VLOOKUP($F$48,'表4）CO2価格'!$H$10:$I$12,2,0),0)*$F$8/1000,"")),0,IF($K68&lt;=$F$15,VLOOKUP($I68,'表4）CO2価格'!$A$7:$E$67,VLOOKUP($F$48,'表4）CO2価格'!$H$10:$I$12,2,0),0)*$F$8/1000,""))</f>
        <v/>
      </c>
      <c r="AZ68" s="71"/>
      <c r="BA68" s="11" t="str">
        <f t="shared" si="42"/>
        <v/>
      </c>
      <c r="BB68" s="10" t="str">
        <f t="shared" si="27"/>
        <v/>
      </c>
      <c r="BC68" s="71"/>
      <c r="BD68" s="10" t="str">
        <f t="shared" si="43"/>
        <v/>
      </c>
      <c r="BE68" s="10" t="str">
        <f t="shared" si="28"/>
        <v/>
      </c>
      <c r="BF68" s="71"/>
      <c r="BG68" s="11" t="str">
        <f t="shared" si="44"/>
        <v/>
      </c>
      <c r="BH68" s="10" t="str">
        <f t="shared" si="29"/>
        <v/>
      </c>
      <c r="BJ68" s="10"/>
      <c r="BK68" s="158"/>
      <c r="BL68" s="158"/>
      <c r="BM68" s="10"/>
      <c r="BN68" s="10"/>
      <c r="BO68" s="10"/>
      <c r="BP68" s="71"/>
      <c r="BQ68" s="10" t="str">
        <f t="shared" si="45"/>
        <v/>
      </c>
      <c r="BR68" s="10" t="str">
        <f t="shared" si="30"/>
        <v/>
      </c>
    </row>
    <row r="69" spans="2:70" x14ac:dyDescent="0.15">
      <c r="C69" s="461" t="s">
        <v>134</v>
      </c>
      <c r="D69" s="9"/>
      <c r="E69" s="9"/>
      <c r="F69" s="94">
        <f>SUBTOTAL(9,F74:F112)-F105</f>
        <v>17.112166342367182</v>
      </c>
      <c r="G69" s="9" t="s">
        <v>132</v>
      </c>
      <c r="I69" s="458">
        <f t="shared" si="31"/>
        <v>2074</v>
      </c>
      <c r="J69" s="39"/>
      <c r="K69" s="39">
        <f t="shared" si="32"/>
        <v>55</v>
      </c>
      <c r="L69" s="39"/>
      <c r="M69" s="40">
        <f t="shared" si="0"/>
        <v>0.19676717080686118</v>
      </c>
      <c r="N69" s="39"/>
      <c r="O69" s="72" t="str">
        <f t="shared" si="13"/>
        <v/>
      </c>
      <c r="P69" s="41" t="str">
        <f t="shared" si="34"/>
        <v/>
      </c>
      <c r="Q69" s="39"/>
      <c r="R69" s="72" t="str">
        <f t="shared" si="46"/>
        <v/>
      </c>
      <c r="S69" s="39"/>
      <c r="T69" s="72" t="str">
        <f t="shared" si="15"/>
        <v/>
      </c>
      <c r="U69" s="39"/>
      <c r="V69" s="72" t="str">
        <f t="shared" si="35"/>
        <v/>
      </c>
      <c r="W69" s="72" t="str">
        <f t="shared" si="16"/>
        <v/>
      </c>
      <c r="X69" s="39"/>
      <c r="Y69" s="72" t="str">
        <f t="shared" si="36"/>
        <v/>
      </c>
      <c r="Z69" s="72" t="str">
        <f t="shared" si="17"/>
        <v/>
      </c>
      <c r="AA69" s="39"/>
      <c r="AB69" s="72" t="str">
        <f t="shared" si="4"/>
        <v/>
      </c>
      <c r="AC69" s="72" t="str">
        <f t="shared" si="18"/>
        <v/>
      </c>
      <c r="AD69" s="39"/>
      <c r="AE69" s="72" t="str">
        <f t="shared" si="37"/>
        <v/>
      </c>
      <c r="AF69" s="72" t="str">
        <f t="shared" si="19"/>
        <v/>
      </c>
      <c r="AG69" s="39"/>
      <c r="AH69" s="72" t="str">
        <f t="shared" si="38"/>
        <v/>
      </c>
      <c r="AI69" s="72" t="str">
        <f t="shared" si="21"/>
        <v/>
      </c>
      <c r="AJ69" s="39"/>
      <c r="AK69" s="72" t="str">
        <f t="shared" si="22"/>
        <v/>
      </c>
      <c r="AL69" s="72" t="str">
        <f t="shared" si="23"/>
        <v/>
      </c>
      <c r="AM69" s="39"/>
      <c r="AN69" s="72" t="str">
        <f t="shared" si="39"/>
        <v/>
      </c>
      <c r="AO69" s="72" t="str">
        <f t="shared" si="24"/>
        <v/>
      </c>
      <c r="AP69" s="39"/>
      <c r="AQ69" s="72" t="str">
        <f t="shared" si="40"/>
        <v/>
      </c>
      <c r="AR69" s="72" t="str">
        <f t="shared" si="25"/>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41"/>
        <v/>
      </c>
      <c r="AW69" s="72" t="str">
        <f t="shared" si="26"/>
        <v/>
      </c>
      <c r="AX69" s="39"/>
      <c r="AY69" s="40" t="str">
        <f>IF(ISERROR(IF($K69&lt;=$F$15,VLOOKUP($I69,'表4）CO2価格'!$A$7:$E$67,VLOOKUP($F$48,'表4）CO2価格'!$H$10:$I$12,2,0),0)*$F$8/1000,"")),0,IF($K69&lt;=$F$15,VLOOKUP($I69,'表4）CO2価格'!$A$7:$E$67,VLOOKUP($F$48,'表4）CO2価格'!$H$10:$I$12,2,0),0)*$F$8/1000,""))</f>
        <v/>
      </c>
      <c r="AZ69" s="39"/>
      <c r="BA69" s="42" t="str">
        <f t="shared" si="42"/>
        <v/>
      </c>
      <c r="BB69" s="72" t="str">
        <f t="shared" si="27"/>
        <v/>
      </c>
      <c r="BC69" s="39"/>
      <c r="BD69" s="72" t="str">
        <f t="shared" si="43"/>
        <v/>
      </c>
      <c r="BE69" s="72" t="str">
        <f t="shared" si="28"/>
        <v/>
      </c>
      <c r="BF69" s="39"/>
      <c r="BG69" s="42" t="str">
        <f t="shared" si="44"/>
        <v/>
      </c>
      <c r="BH69" s="72" t="str">
        <f t="shared" si="29"/>
        <v/>
      </c>
      <c r="BI69" s="39"/>
      <c r="BJ69" s="72"/>
      <c r="BK69" s="157"/>
      <c r="BL69" s="157"/>
      <c r="BM69" s="72"/>
      <c r="BN69" s="72"/>
      <c r="BO69" s="72"/>
      <c r="BP69" s="39"/>
      <c r="BQ69" s="72" t="str">
        <f t="shared" si="45"/>
        <v/>
      </c>
      <c r="BR69" s="72" t="str">
        <f t="shared" si="30"/>
        <v/>
      </c>
    </row>
    <row r="70" spans="2:70" x14ac:dyDescent="0.15">
      <c r="C70" s="461" t="s">
        <v>135</v>
      </c>
      <c r="D70" s="9"/>
      <c r="E70" s="9"/>
      <c r="F70" s="94">
        <f>IF(ISNUMBER(F17),(($BR$116-$BR$118-$BR$119)*0.7*$F$17+(($BR$116-$BR$118-$BR$119)*0.3+$BR$118)*(SUM($O$15,$Z$117:$Z$118,$AC$116*(1+$F$9/100)^($F$15-20),$AF$117:$AF$118,$AI$117:$AI$118,$AL$117:$AL$118,$AO$117:$AO$118,$AR$117:$AR$118,$AW$117:$AW$118,$BB$117:$BB$118,$BE$117:$BE$118,$BH$117:BH118))/SUM($BR$117:$BR$118)+SUM($Z$119,$AF$119,$AI$119,$AL$119,$AO$119,$AR$119,$AW$119,$BB$119,$BE$119,$BH$119))/$BR$116+$F$105,F69+$F$105)</f>
        <v>17.705857220356101</v>
      </c>
      <c r="G70" s="9" t="s">
        <v>132</v>
      </c>
      <c r="I70" s="459">
        <f t="shared" si="31"/>
        <v>2075</v>
      </c>
      <c r="J70" s="71"/>
      <c r="K70" s="71">
        <f t="shared" si="32"/>
        <v>56</v>
      </c>
      <c r="L70" s="71"/>
      <c r="M70" s="7">
        <f t="shared" si="0"/>
        <v>0.19103608816200118</v>
      </c>
      <c r="N70" s="71"/>
      <c r="O70" s="10" t="str">
        <f t="shared" si="13"/>
        <v/>
      </c>
      <c r="P70" s="29" t="str">
        <f t="shared" si="34"/>
        <v/>
      </c>
      <c r="Q70" s="71"/>
      <c r="R70" s="10" t="str">
        <f t="shared" si="46"/>
        <v/>
      </c>
      <c r="S70" s="71"/>
      <c r="T70" s="10" t="str">
        <f t="shared" si="15"/>
        <v/>
      </c>
      <c r="U70" s="71"/>
      <c r="V70" s="10" t="str">
        <f t="shared" si="35"/>
        <v/>
      </c>
      <c r="W70" s="10" t="str">
        <f t="shared" si="16"/>
        <v/>
      </c>
      <c r="X70" s="71"/>
      <c r="Y70" s="10" t="str">
        <f t="shared" si="36"/>
        <v/>
      </c>
      <c r="Z70" s="10" t="str">
        <f t="shared" si="17"/>
        <v/>
      </c>
      <c r="AA70" s="71"/>
      <c r="AB70" s="10" t="str">
        <f t="shared" si="4"/>
        <v/>
      </c>
      <c r="AC70" s="10" t="str">
        <f t="shared" si="18"/>
        <v/>
      </c>
      <c r="AD70" s="71"/>
      <c r="AE70" s="10" t="str">
        <f t="shared" si="37"/>
        <v/>
      </c>
      <c r="AF70" s="10" t="str">
        <f t="shared" si="19"/>
        <v/>
      </c>
      <c r="AG70" s="71"/>
      <c r="AH70" s="10" t="str">
        <f t="shared" si="38"/>
        <v/>
      </c>
      <c r="AI70" s="10" t="str">
        <f t="shared" si="21"/>
        <v/>
      </c>
      <c r="AJ70" s="71"/>
      <c r="AK70" s="10" t="str">
        <f t="shared" si="22"/>
        <v/>
      </c>
      <c r="AL70" s="10" t="str">
        <f t="shared" si="23"/>
        <v/>
      </c>
      <c r="AM70" s="71"/>
      <c r="AN70" s="10" t="str">
        <f t="shared" si="39"/>
        <v/>
      </c>
      <c r="AO70" s="10" t="str">
        <f t="shared" si="24"/>
        <v/>
      </c>
      <c r="AP70" s="71"/>
      <c r="AQ70" s="10" t="str">
        <f t="shared" si="40"/>
        <v/>
      </c>
      <c r="AR70" s="10" t="str">
        <f t="shared" si="25"/>
        <v/>
      </c>
      <c r="AS70" s="71"/>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U70" s="71"/>
      <c r="AV70" s="10" t="str">
        <f t="shared" si="41"/>
        <v/>
      </c>
      <c r="AW70" s="10" t="str">
        <f t="shared" si="26"/>
        <v/>
      </c>
      <c r="AX70" s="71"/>
      <c r="AY70" s="7" t="str">
        <f>IF(ISERROR(IF($K70&lt;=$F$15,VLOOKUP($I70,'表4）CO2価格'!$A$7:$E$67,VLOOKUP($F$48,'表4）CO2価格'!$H$10:$I$12,2,0),0)*$F$8/1000,"")),0,IF($K70&lt;=$F$15,VLOOKUP($I70,'表4）CO2価格'!$A$7:$E$67,VLOOKUP($F$48,'表4）CO2価格'!$H$10:$I$12,2,0),0)*$F$8/1000,""))</f>
        <v/>
      </c>
      <c r="AZ70" s="71"/>
      <c r="BA70" s="11" t="str">
        <f t="shared" si="42"/>
        <v/>
      </c>
      <c r="BB70" s="10" t="str">
        <f t="shared" si="27"/>
        <v/>
      </c>
      <c r="BC70" s="71"/>
      <c r="BD70" s="10" t="str">
        <f t="shared" si="43"/>
        <v/>
      </c>
      <c r="BE70" s="10" t="str">
        <f t="shared" si="28"/>
        <v/>
      </c>
      <c r="BF70" s="71"/>
      <c r="BG70" s="11" t="str">
        <f t="shared" si="44"/>
        <v/>
      </c>
      <c r="BH70" s="10" t="str">
        <f t="shared" si="29"/>
        <v/>
      </c>
      <c r="BJ70" s="10"/>
      <c r="BK70" s="158"/>
      <c r="BL70" s="158"/>
      <c r="BM70" s="10"/>
      <c r="BN70" s="10"/>
      <c r="BO70" s="10"/>
      <c r="BP70" s="71"/>
      <c r="BQ70" s="10" t="str">
        <f t="shared" si="45"/>
        <v/>
      </c>
      <c r="BR70" s="10" t="str">
        <f t="shared" si="30"/>
        <v/>
      </c>
    </row>
    <row r="71" spans="2:70" x14ac:dyDescent="0.15">
      <c r="F71" s="145"/>
      <c r="I71" s="458">
        <f t="shared" si="31"/>
        <v>2076</v>
      </c>
      <c r="J71" s="39"/>
      <c r="K71" s="39">
        <f t="shared" si="32"/>
        <v>57</v>
      </c>
      <c r="L71" s="39"/>
      <c r="M71" s="40">
        <f t="shared" si="0"/>
        <v>0.18547193025437006</v>
      </c>
      <c r="N71" s="39"/>
      <c r="O71" s="72" t="str">
        <f t="shared" si="13"/>
        <v/>
      </c>
      <c r="P71" s="41" t="str">
        <f t="shared" si="34"/>
        <v/>
      </c>
      <c r="Q71" s="39"/>
      <c r="R71" s="72" t="str">
        <f t="shared" si="46"/>
        <v/>
      </c>
      <c r="S71" s="39"/>
      <c r="T71" s="72" t="str">
        <f t="shared" si="15"/>
        <v/>
      </c>
      <c r="U71" s="39"/>
      <c r="V71" s="72" t="str">
        <f t="shared" si="35"/>
        <v/>
      </c>
      <c r="W71" s="72" t="str">
        <f t="shared" si="16"/>
        <v/>
      </c>
      <c r="X71" s="39"/>
      <c r="Y71" s="72" t="str">
        <f t="shared" si="36"/>
        <v/>
      </c>
      <c r="Z71" s="72" t="str">
        <f t="shared" si="17"/>
        <v/>
      </c>
      <c r="AA71" s="39"/>
      <c r="AB71" s="72" t="str">
        <f t="shared" si="4"/>
        <v/>
      </c>
      <c r="AC71" s="72" t="str">
        <f t="shared" si="18"/>
        <v/>
      </c>
      <c r="AD71" s="39"/>
      <c r="AE71" s="72" t="str">
        <f t="shared" si="37"/>
        <v/>
      </c>
      <c r="AF71" s="72" t="str">
        <f t="shared" si="19"/>
        <v/>
      </c>
      <c r="AG71" s="39"/>
      <c r="AH71" s="72" t="str">
        <f t="shared" si="38"/>
        <v/>
      </c>
      <c r="AI71" s="72" t="str">
        <f t="shared" si="21"/>
        <v/>
      </c>
      <c r="AJ71" s="39"/>
      <c r="AK71" s="72" t="str">
        <f t="shared" si="22"/>
        <v/>
      </c>
      <c r="AL71" s="72" t="str">
        <f t="shared" si="23"/>
        <v/>
      </c>
      <c r="AM71" s="39"/>
      <c r="AN71" s="72" t="str">
        <f t="shared" si="39"/>
        <v/>
      </c>
      <c r="AO71" s="72" t="str">
        <f t="shared" si="24"/>
        <v/>
      </c>
      <c r="AP71" s="39"/>
      <c r="AQ71" s="72" t="str">
        <f t="shared" si="40"/>
        <v/>
      </c>
      <c r="AR71" s="72" t="str">
        <f t="shared" si="25"/>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41"/>
        <v/>
      </c>
      <c r="AW71" s="72" t="str">
        <f t="shared" si="26"/>
        <v/>
      </c>
      <c r="AX71" s="39"/>
      <c r="AY71" s="40" t="str">
        <f>IF(ISERROR(IF($K71&lt;=$F$15,VLOOKUP($I71,'表4）CO2価格'!$A$7:$E$67,VLOOKUP($F$48,'表4）CO2価格'!$H$10:$I$12,2,0),0)*$F$8/1000,"")),0,IF($K71&lt;=$F$15,VLOOKUP($I71,'表4）CO2価格'!$A$7:$E$67,VLOOKUP($F$48,'表4）CO2価格'!$H$10:$I$12,2,0),0)*$F$8/1000,""))</f>
        <v/>
      </c>
      <c r="AZ71" s="39"/>
      <c r="BA71" s="42" t="str">
        <f t="shared" si="42"/>
        <v/>
      </c>
      <c r="BB71" s="72" t="str">
        <f t="shared" si="27"/>
        <v/>
      </c>
      <c r="BC71" s="39"/>
      <c r="BD71" s="72" t="str">
        <f t="shared" si="43"/>
        <v/>
      </c>
      <c r="BE71" s="72" t="str">
        <f t="shared" si="28"/>
        <v/>
      </c>
      <c r="BF71" s="39"/>
      <c r="BG71" s="42" t="str">
        <f t="shared" si="44"/>
        <v/>
      </c>
      <c r="BH71" s="72" t="str">
        <f t="shared" si="29"/>
        <v/>
      </c>
      <c r="BI71" s="39"/>
      <c r="BJ71" s="72"/>
      <c r="BK71" s="157"/>
      <c r="BL71" s="157"/>
      <c r="BM71" s="72"/>
      <c r="BN71" s="72"/>
      <c r="BO71" s="72"/>
      <c r="BP71" s="39"/>
      <c r="BQ71" s="72" t="str">
        <f t="shared" si="45"/>
        <v/>
      </c>
      <c r="BR71" s="72" t="str">
        <f t="shared" si="30"/>
        <v/>
      </c>
    </row>
    <row r="72" spans="2:70" x14ac:dyDescent="0.15">
      <c r="C72" s="89" t="s">
        <v>136</v>
      </c>
      <c r="D72" s="101"/>
      <c r="E72" s="101"/>
      <c r="F72" s="92"/>
      <c r="G72" s="101"/>
      <c r="I72" s="459">
        <f t="shared" si="31"/>
        <v>2077</v>
      </c>
      <c r="J72" s="71"/>
      <c r="K72" s="71">
        <f t="shared" si="32"/>
        <v>58</v>
      </c>
      <c r="L72" s="71"/>
      <c r="M72" s="7">
        <f t="shared" si="0"/>
        <v>0.18006983519841754</v>
      </c>
      <c r="N72" s="71"/>
      <c r="O72" s="10" t="str">
        <f t="shared" si="13"/>
        <v/>
      </c>
      <c r="P72" s="29" t="str">
        <f t="shared" si="34"/>
        <v/>
      </c>
      <c r="Q72" s="71"/>
      <c r="R72" s="10" t="str">
        <f t="shared" si="46"/>
        <v/>
      </c>
      <c r="S72" s="71"/>
      <c r="T72" s="10" t="str">
        <f t="shared" si="15"/>
        <v/>
      </c>
      <c r="U72" s="71"/>
      <c r="V72" s="10" t="str">
        <f t="shared" si="35"/>
        <v/>
      </c>
      <c r="W72" s="10" t="str">
        <f t="shared" si="16"/>
        <v/>
      </c>
      <c r="X72" s="71"/>
      <c r="Y72" s="10" t="str">
        <f t="shared" si="36"/>
        <v/>
      </c>
      <c r="Z72" s="10" t="str">
        <f t="shared" si="17"/>
        <v/>
      </c>
      <c r="AA72" s="71"/>
      <c r="AB72" s="10" t="str">
        <f t="shared" si="4"/>
        <v/>
      </c>
      <c r="AC72" s="10" t="str">
        <f t="shared" si="18"/>
        <v/>
      </c>
      <c r="AD72" s="71"/>
      <c r="AE72" s="10" t="str">
        <f t="shared" si="37"/>
        <v/>
      </c>
      <c r="AF72" s="10" t="str">
        <f t="shared" si="19"/>
        <v/>
      </c>
      <c r="AG72" s="71"/>
      <c r="AH72" s="10" t="str">
        <f t="shared" si="38"/>
        <v/>
      </c>
      <c r="AI72" s="10" t="str">
        <f t="shared" si="21"/>
        <v/>
      </c>
      <c r="AJ72" s="71"/>
      <c r="AK72" s="10" t="str">
        <f t="shared" si="22"/>
        <v/>
      </c>
      <c r="AL72" s="10" t="str">
        <f t="shared" si="23"/>
        <v/>
      </c>
      <c r="AM72" s="71"/>
      <c r="AN72" s="10" t="str">
        <f t="shared" si="39"/>
        <v/>
      </c>
      <c r="AO72" s="10" t="str">
        <f t="shared" si="24"/>
        <v/>
      </c>
      <c r="AP72" s="71"/>
      <c r="AQ72" s="10" t="str">
        <f t="shared" si="40"/>
        <v/>
      </c>
      <c r="AR72" s="10" t="str">
        <f t="shared" si="25"/>
        <v/>
      </c>
      <c r="AS72" s="71"/>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U72" s="71"/>
      <c r="AV72" s="10" t="str">
        <f t="shared" si="41"/>
        <v/>
      </c>
      <c r="AW72" s="10" t="str">
        <f t="shared" si="26"/>
        <v/>
      </c>
      <c r="AX72" s="71"/>
      <c r="AY72" s="7" t="str">
        <f>IF(ISERROR(IF($K72&lt;=$F$15,VLOOKUP($I72,'表4）CO2価格'!$A$7:$E$67,VLOOKUP($F$48,'表4）CO2価格'!$H$10:$I$12,2,0),0)*$F$8/1000,"")),0,IF($K72&lt;=$F$15,VLOOKUP($I72,'表4）CO2価格'!$A$7:$E$67,VLOOKUP($F$48,'表4）CO2価格'!$H$10:$I$12,2,0),0)*$F$8/1000,""))</f>
        <v/>
      </c>
      <c r="AZ72" s="71"/>
      <c r="BA72" s="11" t="str">
        <f t="shared" si="42"/>
        <v/>
      </c>
      <c r="BB72" s="10" t="str">
        <f t="shared" si="27"/>
        <v/>
      </c>
      <c r="BC72" s="71"/>
      <c r="BD72" s="10" t="str">
        <f t="shared" si="43"/>
        <v/>
      </c>
      <c r="BE72" s="10" t="str">
        <f t="shared" si="28"/>
        <v/>
      </c>
      <c r="BF72" s="71"/>
      <c r="BG72" s="11" t="str">
        <f t="shared" si="44"/>
        <v/>
      </c>
      <c r="BH72" s="10" t="str">
        <f t="shared" si="29"/>
        <v/>
      </c>
      <c r="BJ72" s="10"/>
      <c r="BK72" s="158"/>
      <c r="BL72" s="158"/>
      <c r="BM72" s="10"/>
      <c r="BN72" s="10"/>
      <c r="BO72" s="10"/>
      <c r="BP72" s="71"/>
      <c r="BQ72" s="10" t="str">
        <f t="shared" si="45"/>
        <v/>
      </c>
      <c r="BR72" s="10" t="str">
        <f t="shared" si="30"/>
        <v/>
      </c>
    </row>
    <row r="73" spans="2:70" x14ac:dyDescent="0.15">
      <c r="F73" s="93"/>
      <c r="I73" s="458">
        <f t="shared" si="31"/>
        <v>2078</v>
      </c>
      <c r="J73" s="39"/>
      <c r="K73" s="39">
        <f t="shared" si="32"/>
        <v>59</v>
      </c>
      <c r="L73" s="39"/>
      <c r="M73" s="40">
        <f t="shared" si="0"/>
        <v>0.17482508271691022</v>
      </c>
      <c r="N73" s="39"/>
      <c r="O73" s="72" t="str">
        <f t="shared" si="13"/>
        <v/>
      </c>
      <c r="P73" s="41" t="str">
        <f t="shared" si="34"/>
        <v/>
      </c>
      <c r="Q73" s="39"/>
      <c r="R73" s="72" t="str">
        <f t="shared" si="46"/>
        <v/>
      </c>
      <c r="S73" s="39"/>
      <c r="T73" s="72" t="str">
        <f t="shared" si="15"/>
        <v/>
      </c>
      <c r="U73" s="39"/>
      <c r="V73" s="72" t="str">
        <f t="shared" si="35"/>
        <v/>
      </c>
      <c r="W73" s="72" t="str">
        <f t="shared" si="16"/>
        <v/>
      </c>
      <c r="X73" s="39"/>
      <c r="Y73" s="72" t="str">
        <f t="shared" si="36"/>
        <v/>
      </c>
      <c r="Z73" s="72" t="str">
        <f t="shared" si="17"/>
        <v/>
      </c>
      <c r="AA73" s="39"/>
      <c r="AB73" s="72" t="str">
        <f t="shared" si="4"/>
        <v/>
      </c>
      <c r="AC73" s="72" t="str">
        <f t="shared" si="18"/>
        <v/>
      </c>
      <c r="AD73" s="39"/>
      <c r="AE73" s="72" t="str">
        <f t="shared" si="37"/>
        <v/>
      </c>
      <c r="AF73" s="72" t="str">
        <f t="shared" si="19"/>
        <v/>
      </c>
      <c r="AG73" s="39"/>
      <c r="AH73" s="72" t="str">
        <f t="shared" si="38"/>
        <v/>
      </c>
      <c r="AI73" s="72" t="str">
        <f t="shared" si="21"/>
        <v/>
      </c>
      <c r="AJ73" s="39"/>
      <c r="AK73" s="72" t="str">
        <f t="shared" si="22"/>
        <v/>
      </c>
      <c r="AL73" s="72" t="str">
        <f t="shared" si="23"/>
        <v/>
      </c>
      <c r="AM73" s="39"/>
      <c r="AN73" s="72" t="str">
        <f t="shared" si="39"/>
        <v/>
      </c>
      <c r="AO73" s="72" t="str">
        <f t="shared" si="24"/>
        <v/>
      </c>
      <c r="AP73" s="39"/>
      <c r="AQ73" s="72" t="str">
        <f t="shared" si="40"/>
        <v/>
      </c>
      <c r="AR73" s="72" t="str">
        <f t="shared" si="25"/>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41"/>
        <v/>
      </c>
      <c r="AW73" s="72" t="str">
        <f t="shared" si="26"/>
        <v/>
      </c>
      <c r="AX73" s="39"/>
      <c r="AY73" s="40" t="str">
        <f>IF(ISERROR(IF($K73&lt;=$F$15,VLOOKUP($I73,'表4）CO2価格'!$A$7:$E$67,VLOOKUP($F$48,'表4）CO2価格'!$H$10:$I$12,2,0),0)*$F$8/1000,"")),0,IF($K73&lt;=$F$15,VLOOKUP($I73,'表4）CO2価格'!$A$7:$E$67,VLOOKUP($F$48,'表4）CO2価格'!$H$10:$I$12,2,0),0)*$F$8/1000,""))</f>
        <v/>
      </c>
      <c r="AZ73" s="39"/>
      <c r="BA73" s="42" t="str">
        <f t="shared" si="42"/>
        <v/>
      </c>
      <c r="BB73" s="72" t="str">
        <f t="shared" si="27"/>
        <v/>
      </c>
      <c r="BC73" s="39"/>
      <c r="BD73" s="72" t="str">
        <f t="shared" si="43"/>
        <v/>
      </c>
      <c r="BE73" s="72" t="str">
        <f t="shared" si="28"/>
        <v/>
      </c>
      <c r="BF73" s="39"/>
      <c r="BG73" s="42" t="str">
        <f t="shared" si="44"/>
        <v/>
      </c>
      <c r="BH73" s="72" t="str">
        <f t="shared" si="29"/>
        <v/>
      </c>
      <c r="BI73" s="39"/>
      <c r="BJ73" s="72"/>
      <c r="BK73" s="157"/>
      <c r="BL73" s="157"/>
      <c r="BM73" s="72"/>
      <c r="BN73" s="72"/>
      <c r="BO73" s="72"/>
      <c r="BP73" s="39"/>
      <c r="BQ73" s="72" t="str">
        <f t="shared" si="45"/>
        <v/>
      </c>
      <c r="BR73" s="72" t="str">
        <f t="shared" si="30"/>
        <v/>
      </c>
    </row>
    <row r="74" spans="2:70" ht="15" x14ac:dyDescent="0.15">
      <c r="D74" s="116" t="s">
        <v>192</v>
      </c>
      <c r="F74" s="94">
        <f>SUBTOTAL(9,F78:F81)</f>
        <v>14.630530447985604</v>
      </c>
      <c r="G74" s="81" t="s">
        <v>132</v>
      </c>
      <c r="I74" s="459">
        <f t="shared" si="31"/>
        <v>2079</v>
      </c>
      <c r="J74" s="71"/>
      <c r="K74" s="71">
        <f t="shared" si="32"/>
        <v>60</v>
      </c>
      <c r="L74" s="71"/>
      <c r="M74" s="7">
        <f t="shared" si="0"/>
        <v>0.1697330900164177</v>
      </c>
      <c r="N74" s="71"/>
      <c r="O74" s="10" t="str">
        <f t="shared" si="13"/>
        <v/>
      </c>
      <c r="P74" s="29" t="str">
        <f t="shared" si="34"/>
        <v/>
      </c>
      <c r="Q74" s="71"/>
      <c r="R74" s="10" t="str">
        <f t="shared" si="46"/>
        <v/>
      </c>
      <c r="S74" s="71"/>
      <c r="T74" s="10" t="str">
        <f t="shared" si="15"/>
        <v/>
      </c>
      <c r="U74" s="71"/>
      <c r="V74" s="10" t="str">
        <f t="shared" si="35"/>
        <v/>
      </c>
      <c r="W74" s="10" t="str">
        <f t="shared" si="16"/>
        <v/>
      </c>
      <c r="X74" s="71"/>
      <c r="Y74" s="10" t="str">
        <f t="shared" si="36"/>
        <v/>
      </c>
      <c r="Z74" s="10" t="str">
        <f t="shared" si="17"/>
        <v/>
      </c>
      <c r="AA74" s="71"/>
      <c r="AB74" s="10" t="str">
        <f t="shared" si="4"/>
        <v/>
      </c>
      <c r="AC74" s="10" t="str">
        <f t="shared" si="18"/>
        <v/>
      </c>
      <c r="AD74" s="71"/>
      <c r="AE74" s="10" t="str">
        <f t="shared" si="37"/>
        <v/>
      </c>
      <c r="AF74" s="10" t="str">
        <f t="shared" si="19"/>
        <v/>
      </c>
      <c r="AG74" s="71"/>
      <c r="AH74" s="10" t="str">
        <f t="shared" si="38"/>
        <v/>
      </c>
      <c r="AI74" s="10" t="str">
        <f t="shared" si="21"/>
        <v/>
      </c>
      <c r="AJ74" s="71"/>
      <c r="AK74" s="10" t="str">
        <f t="shared" si="22"/>
        <v/>
      </c>
      <c r="AL74" s="10" t="str">
        <f t="shared" si="23"/>
        <v/>
      </c>
      <c r="AM74" s="71"/>
      <c r="AN74" s="10" t="str">
        <f t="shared" si="39"/>
        <v/>
      </c>
      <c r="AO74" s="10" t="str">
        <f t="shared" si="24"/>
        <v/>
      </c>
      <c r="AP74" s="71"/>
      <c r="AQ74" s="10" t="str">
        <f t="shared" si="40"/>
        <v/>
      </c>
      <c r="AR74" s="10" t="str">
        <f t="shared" si="25"/>
        <v/>
      </c>
      <c r="AS74" s="71"/>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U74" s="71"/>
      <c r="AV74" s="10" t="str">
        <f t="shared" si="41"/>
        <v/>
      </c>
      <c r="AW74" s="10" t="str">
        <f t="shared" si="26"/>
        <v/>
      </c>
      <c r="AX74" s="71"/>
      <c r="AY74" s="7" t="str">
        <f>IF(ISERROR(IF($K74&lt;=$F$15,VLOOKUP($I74,'表4）CO2価格'!$A$7:$E$67,VLOOKUP($F$48,'表4）CO2価格'!$H$10:$I$12,2,0),0)*$F$8/1000,"")),0,IF($K74&lt;=$F$15,VLOOKUP($I74,'表4）CO2価格'!$A$7:$E$67,VLOOKUP($F$48,'表4）CO2価格'!$H$10:$I$12,2,0),0)*$F$8/1000,""))</f>
        <v/>
      </c>
      <c r="AZ74" s="71"/>
      <c r="BA74" s="11" t="str">
        <f t="shared" si="42"/>
        <v/>
      </c>
      <c r="BB74" s="10" t="str">
        <f t="shared" si="27"/>
        <v/>
      </c>
      <c r="BC74" s="71"/>
      <c r="BD74" s="10" t="str">
        <f t="shared" si="43"/>
        <v/>
      </c>
      <c r="BE74" s="10" t="str">
        <f t="shared" si="28"/>
        <v/>
      </c>
      <c r="BF74" s="71"/>
      <c r="BG74" s="11" t="str">
        <f t="shared" si="44"/>
        <v/>
      </c>
      <c r="BH74" s="10" t="str">
        <f t="shared" si="29"/>
        <v/>
      </c>
      <c r="BJ74" s="10"/>
      <c r="BK74" s="158"/>
      <c r="BL74" s="158"/>
      <c r="BM74" s="10"/>
      <c r="BN74" s="10"/>
      <c r="BO74" s="10"/>
      <c r="BP74" s="71"/>
      <c r="BQ74" s="10" t="str">
        <f t="shared" si="45"/>
        <v/>
      </c>
      <c r="BR74" s="10" t="str">
        <f t="shared" si="30"/>
        <v/>
      </c>
    </row>
    <row r="75" spans="2:70" x14ac:dyDescent="0.15">
      <c r="F75" s="93"/>
      <c r="I75" s="458">
        <f t="shared" si="31"/>
        <v>2080</v>
      </c>
      <c r="J75" s="39"/>
      <c r="K75" s="39">
        <f t="shared" si="32"/>
        <v>61</v>
      </c>
      <c r="L75" s="39"/>
      <c r="M75" s="40">
        <f t="shared" si="0"/>
        <v>0.16478940778292983</v>
      </c>
      <c r="N75" s="39"/>
      <c r="O75" s="72" t="str">
        <f t="shared" si="13"/>
        <v/>
      </c>
      <c r="P75" s="41" t="str">
        <f t="shared" si="34"/>
        <v/>
      </c>
      <c r="Q75" s="39"/>
      <c r="R75" s="72" t="str">
        <f t="shared" si="46"/>
        <v/>
      </c>
      <c r="S75" s="39"/>
      <c r="T75" s="72" t="str">
        <f t="shared" si="15"/>
        <v/>
      </c>
      <c r="U75" s="39"/>
      <c r="V75" s="72" t="str">
        <f t="shared" si="35"/>
        <v/>
      </c>
      <c r="W75" s="72" t="str">
        <f t="shared" si="16"/>
        <v/>
      </c>
      <c r="X75" s="39"/>
      <c r="Y75" s="72" t="str">
        <f t="shared" si="36"/>
        <v/>
      </c>
      <c r="Z75" s="72" t="str">
        <f t="shared" si="17"/>
        <v/>
      </c>
      <c r="AA75" s="39"/>
      <c r="AB75" s="72" t="str">
        <f t="shared" si="4"/>
        <v/>
      </c>
      <c r="AC75" s="72" t="str">
        <f t="shared" si="18"/>
        <v/>
      </c>
      <c r="AD75" s="39"/>
      <c r="AE75" s="72" t="str">
        <f t="shared" si="37"/>
        <v/>
      </c>
      <c r="AF75" s="72" t="str">
        <f t="shared" si="19"/>
        <v/>
      </c>
      <c r="AG75" s="39"/>
      <c r="AH75" s="72" t="str">
        <f t="shared" si="38"/>
        <v/>
      </c>
      <c r="AI75" s="72" t="str">
        <f t="shared" si="21"/>
        <v/>
      </c>
      <c r="AJ75" s="39"/>
      <c r="AK75" s="72" t="str">
        <f t="shared" si="22"/>
        <v/>
      </c>
      <c r="AL75" s="72" t="str">
        <f t="shared" si="23"/>
        <v/>
      </c>
      <c r="AM75" s="39"/>
      <c r="AN75" s="72" t="str">
        <f t="shared" si="39"/>
        <v/>
      </c>
      <c r="AO75" s="72" t="str">
        <f t="shared" si="24"/>
        <v/>
      </c>
      <c r="AP75" s="39"/>
      <c r="AQ75" s="72" t="str">
        <f t="shared" si="40"/>
        <v/>
      </c>
      <c r="AR75" s="72" t="str">
        <f t="shared" si="25"/>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41"/>
        <v/>
      </c>
      <c r="AW75" s="72" t="str">
        <f t="shared" si="26"/>
        <v/>
      </c>
      <c r="AX75" s="39"/>
      <c r="AY75" s="40" t="str">
        <f>IF(ISERROR(IF($K75&lt;=$F$15,VLOOKUP($I75,'表4）CO2価格'!$A$7:$E$67,VLOOKUP($F$48,'表4）CO2価格'!$H$10:$I$12,2,0),0)*$F$8/1000,"")),0,IF($K75&lt;=$F$15,VLOOKUP($I75,'表4）CO2価格'!$A$7:$E$67,VLOOKUP($F$48,'表4）CO2価格'!$H$10:$I$12,2,0),0)*$F$8/1000,""))</f>
        <v/>
      </c>
      <c r="AZ75" s="39"/>
      <c r="BA75" s="42" t="str">
        <f t="shared" si="42"/>
        <v/>
      </c>
      <c r="BB75" s="72" t="str">
        <f t="shared" si="27"/>
        <v/>
      </c>
      <c r="BC75" s="39"/>
      <c r="BD75" s="72" t="str">
        <f t="shared" si="43"/>
        <v/>
      </c>
      <c r="BE75" s="72" t="str">
        <f t="shared" si="28"/>
        <v/>
      </c>
      <c r="BF75" s="39"/>
      <c r="BG75" s="42" t="str">
        <f t="shared" si="44"/>
        <v/>
      </c>
      <c r="BH75" s="72" t="str">
        <f t="shared" si="29"/>
        <v/>
      </c>
      <c r="BI75" s="39"/>
      <c r="BJ75" s="72"/>
      <c r="BK75" s="157"/>
      <c r="BL75" s="157"/>
      <c r="BM75" s="72"/>
      <c r="BN75" s="72"/>
      <c r="BO75" s="72"/>
      <c r="BP75" s="39"/>
      <c r="BQ75" s="72" t="str">
        <f t="shared" si="45"/>
        <v/>
      </c>
      <c r="BR75" s="72" t="str">
        <f t="shared" si="30"/>
        <v/>
      </c>
    </row>
    <row r="76" spans="2:70" x14ac:dyDescent="0.15">
      <c r="D76" s="101" t="s">
        <v>193</v>
      </c>
      <c r="E76" s="101"/>
      <c r="F76" s="92"/>
      <c r="G76" s="101"/>
      <c r="I76" s="459">
        <f t="shared" si="31"/>
        <v>2081</v>
      </c>
      <c r="J76" s="71"/>
      <c r="K76" s="71">
        <f t="shared" si="32"/>
        <v>62</v>
      </c>
      <c r="L76" s="71"/>
      <c r="M76" s="7">
        <f t="shared" si="0"/>
        <v>0.15998971629410663</v>
      </c>
      <c r="N76" s="71"/>
      <c r="O76" s="10" t="str">
        <f t="shared" si="13"/>
        <v/>
      </c>
      <c r="P76" s="29" t="str">
        <f t="shared" si="34"/>
        <v/>
      </c>
      <c r="Q76" s="71"/>
      <c r="R76" s="10" t="str">
        <f t="shared" si="46"/>
        <v/>
      </c>
      <c r="S76" s="71"/>
      <c r="T76" s="10" t="str">
        <f t="shared" si="15"/>
        <v/>
      </c>
      <c r="U76" s="71"/>
      <c r="V76" s="10" t="str">
        <f t="shared" si="35"/>
        <v/>
      </c>
      <c r="W76" s="10" t="str">
        <f t="shared" si="16"/>
        <v/>
      </c>
      <c r="X76" s="71"/>
      <c r="Y76" s="10" t="str">
        <f t="shared" si="36"/>
        <v/>
      </c>
      <c r="Z76" s="10" t="str">
        <f t="shared" si="17"/>
        <v/>
      </c>
      <c r="AA76" s="71"/>
      <c r="AB76" s="10" t="str">
        <f t="shared" si="4"/>
        <v/>
      </c>
      <c r="AC76" s="10" t="str">
        <f t="shared" si="18"/>
        <v/>
      </c>
      <c r="AD76" s="71"/>
      <c r="AE76" s="10" t="str">
        <f t="shared" si="37"/>
        <v/>
      </c>
      <c r="AF76" s="10" t="str">
        <f t="shared" si="19"/>
        <v/>
      </c>
      <c r="AG76" s="71"/>
      <c r="AH76" s="10" t="str">
        <f t="shared" si="38"/>
        <v/>
      </c>
      <c r="AI76" s="10" t="str">
        <f t="shared" si="21"/>
        <v/>
      </c>
      <c r="AJ76" s="71"/>
      <c r="AK76" s="10" t="str">
        <f t="shared" si="22"/>
        <v/>
      </c>
      <c r="AL76" s="10" t="str">
        <f t="shared" si="23"/>
        <v/>
      </c>
      <c r="AM76" s="71"/>
      <c r="AN76" s="10" t="str">
        <f t="shared" si="39"/>
        <v/>
      </c>
      <c r="AO76" s="10" t="str">
        <f t="shared" si="24"/>
        <v/>
      </c>
      <c r="AP76" s="71"/>
      <c r="AQ76" s="10" t="str">
        <f t="shared" si="40"/>
        <v/>
      </c>
      <c r="AR76" s="10" t="str">
        <f t="shared" si="25"/>
        <v/>
      </c>
      <c r="AS76" s="71"/>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U76" s="71"/>
      <c r="AV76" s="10" t="str">
        <f t="shared" si="41"/>
        <v/>
      </c>
      <c r="AW76" s="10" t="str">
        <f t="shared" si="26"/>
        <v/>
      </c>
      <c r="AX76" s="71"/>
      <c r="AY76" s="7" t="str">
        <f>IF(ISERROR(IF($K76&lt;=$F$15,VLOOKUP($I76,'表4）CO2価格'!$A$7:$E$67,VLOOKUP($F$48,'表4）CO2価格'!$H$10:$I$12,2,0),0)*$F$8/1000,"")),0,IF($K76&lt;=$F$15,VLOOKUP($I76,'表4）CO2価格'!$A$7:$E$67,VLOOKUP($F$48,'表4）CO2価格'!$H$10:$I$12,2,0),0)*$F$8/1000,""))</f>
        <v/>
      </c>
      <c r="AZ76" s="71"/>
      <c r="BA76" s="11" t="str">
        <f t="shared" si="42"/>
        <v/>
      </c>
      <c r="BB76" s="10" t="str">
        <f t="shared" si="27"/>
        <v/>
      </c>
      <c r="BC76" s="71"/>
      <c r="BD76" s="10" t="str">
        <f t="shared" si="43"/>
        <v/>
      </c>
      <c r="BE76" s="10" t="str">
        <f t="shared" si="28"/>
        <v/>
      </c>
      <c r="BF76" s="71"/>
      <c r="BG76" s="11" t="str">
        <f t="shared" si="44"/>
        <v/>
      </c>
      <c r="BH76" s="10" t="str">
        <f t="shared" si="29"/>
        <v/>
      </c>
      <c r="BJ76" s="10"/>
      <c r="BK76" s="158"/>
      <c r="BL76" s="158"/>
      <c r="BM76" s="10"/>
      <c r="BN76" s="10"/>
      <c r="BO76" s="10"/>
      <c r="BP76" s="71"/>
      <c r="BQ76" s="10" t="str">
        <f t="shared" si="45"/>
        <v/>
      </c>
      <c r="BR76" s="10" t="str">
        <f t="shared" si="30"/>
        <v/>
      </c>
    </row>
    <row r="77" spans="2:70" x14ac:dyDescent="0.15">
      <c r="F77" s="93"/>
      <c r="I77" s="458">
        <f t="shared" si="31"/>
        <v>2082</v>
      </c>
      <c r="J77" s="39"/>
      <c r="K77" s="39">
        <f t="shared" si="32"/>
        <v>63</v>
      </c>
      <c r="L77" s="39"/>
      <c r="M77" s="40">
        <f t="shared" si="0"/>
        <v>0.15532982164476369</v>
      </c>
      <c r="N77" s="39"/>
      <c r="O77" s="72" t="str">
        <f t="shared" si="13"/>
        <v/>
      </c>
      <c r="P77" s="41" t="str">
        <f t="shared" si="34"/>
        <v/>
      </c>
      <c r="Q77" s="39"/>
      <c r="R77" s="72" t="str">
        <f t="shared" si="46"/>
        <v/>
      </c>
      <c r="S77" s="39"/>
      <c r="T77" s="72" t="str">
        <f t="shared" si="15"/>
        <v/>
      </c>
      <c r="U77" s="39"/>
      <c r="V77" s="72" t="str">
        <f t="shared" si="35"/>
        <v/>
      </c>
      <c r="W77" s="72" t="str">
        <f t="shared" si="16"/>
        <v/>
      </c>
      <c r="X77" s="39"/>
      <c r="Y77" s="72" t="str">
        <f t="shared" si="36"/>
        <v/>
      </c>
      <c r="Z77" s="72" t="str">
        <f t="shared" si="17"/>
        <v/>
      </c>
      <c r="AA77" s="39"/>
      <c r="AB77" s="72" t="str">
        <f t="shared" si="4"/>
        <v/>
      </c>
      <c r="AC77" s="72" t="str">
        <f t="shared" si="18"/>
        <v/>
      </c>
      <c r="AD77" s="39"/>
      <c r="AE77" s="72" t="str">
        <f t="shared" si="37"/>
        <v/>
      </c>
      <c r="AF77" s="72" t="str">
        <f t="shared" si="19"/>
        <v/>
      </c>
      <c r="AG77" s="39"/>
      <c r="AH77" s="72" t="str">
        <f t="shared" si="38"/>
        <v/>
      </c>
      <c r="AI77" s="72" t="str">
        <f t="shared" si="21"/>
        <v/>
      </c>
      <c r="AJ77" s="39"/>
      <c r="AK77" s="72" t="str">
        <f t="shared" si="22"/>
        <v/>
      </c>
      <c r="AL77" s="72" t="str">
        <f t="shared" si="23"/>
        <v/>
      </c>
      <c r="AM77" s="39"/>
      <c r="AN77" s="72" t="str">
        <f t="shared" si="39"/>
        <v/>
      </c>
      <c r="AO77" s="72" t="str">
        <f t="shared" si="24"/>
        <v/>
      </c>
      <c r="AP77" s="39"/>
      <c r="AQ77" s="72" t="str">
        <f t="shared" si="40"/>
        <v/>
      </c>
      <c r="AR77" s="72" t="str">
        <f t="shared" si="25"/>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41"/>
        <v/>
      </c>
      <c r="AW77" s="72" t="str">
        <f t="shared" si="26"/>
        <v/>
      </c>
      <c r="AX77" s="39"/>
      <c r="AY77" s="40" t="str">
        <f>IF(ISERROR(IF($K77&lt;=$F$15,VLOOKUP($I77,'表4）CO2価格'!$A$7:$E$67,VLOOKUP($F$48,'表4）CO2価格'!$H$10:$I$12,2,0),0)*$F$8/1000,"")),0,IF($K77&lt;=$F$15,VLOOKUP($I77,'表4）CO2価格'!$A$7:$E$67,VLOOKUP($F$48,'表4）CO2価格'!$H$10:$I$12,2,0),0)*$F$8/1000,""))</f>
        <v/>
      </c>
      <c r="AZ77" s="39"/>
      <c r="BA77" s="42" t="str">
        <f t="shared" si="42"/>
        <v/>
      </c>
      <c r="BB77" s="72" t="str">
        <f t="shared" si="27"/>
        <v/>
      </c>
      <c r="BC77" s="39"/>
      <c r="BD77" s="72" t="str">
        <f t="shared" si="43"/>
        <v/>
      </c>
      <c r="BE77" s="72" t="str">
        <f t="shared" si="28"/>
        <v/>
      </c>
      <c r="BF77" s="39"/>
      <c r="BG77" s="42" t="str">
        <f t="shared" si="44"/>
        <v/>
      </c>
      <c r="BH77" s="72" t="str">
        <f t="shared" si="29"/>
        <v/>
      </c>
      <c r="BI77" s="39"/>
      <c r="BJ77" s="72"/>
      <c r="BK77" s="157"/>
      <c r="BL77" s="157"/>
      <c r="BM77" s="72"/>
      <c r="BN77" s="72"/>
      <c r="BO77" s="72"/>
      <c r="BP77" s="39"/>
      <c r="BQ77" s="72" t="str">
        <f t="shared" si="45"/>
        <v/>
      </c>
      <c r="BR77" s="72" t="str">
        <f t="shared" si="30"/>
        <v/>
      </c>
    </row>
    <row r="78" spans="2:70" x14ac:dyDescent="0.15">
      <c r="E78" s="74" t="s">
        <v>138</v>
      </c>
      <c r="F78" s="91">
        <f>R15/$BR$116</f>
        <v>14.299011632897777</v>
      </c>
      <c r="G78" s="81" t="s">
        <v>132</v>
      </c>
      <c r="I78" s="459">
        <f t="shared" si="31"/>
        <v>2083</v>
      </c>
      <c r="J78" s="71"/>
      <c r="K78" s="71">
        <f t="shared" si="32"/>
        <v>64</v>
      </c>
      <c r="L78" s="71"/>
      <c r="M78" s="7">
        <f t="shared" si="0"/>
        <v>0.15080565208229488</v>
      </c>
      <c r="N78" s="71"/>
      <c r="O78" s="10" t="str">
        <f t="shared" si="13"/>
        <v/>
      </c>
      <c r="P78" s="29" t="str">
        <f t="shared" si="34"/>
        <v/>
      </c>
      <c r="Q78" s="71"/>
      <c r="R78" s="10" t="str">
        <f t="shared" si="46"/>
        <v/>
      </c>
      <c r="S78" s="71"/>
      <c r="T78" s="10" t="str">
        <f t="shared" si="15"/>
        <v/>
      </c>
      <c r="U78" s="71"/>
      <c r="V78" s="10" t="str">
        <f t="shared" si="35"/>
        <v/>
      </c>
      <c r="W78" s="10" t="str">
        <f t="shared" si="16"/>
        <v/>
      </c>
      <c r="X78" s="71"/>
      <c r="Y78" s="10" t="str">
        <f t="shared" si="36"/>
        <v/>
      </c>
      <c r="Z78" s="10" t="str">
        <f t="shared" si="17"/>
        <v/>
      </c>
      <c r="AA78" s="71"/>
      <c r="AB78" s="10" t="str">
        <f t="shared" si="4"/>
        <v/>
      </c>
      <c r="AC78" s="10" t="str">
        <f t="shared" si="18"/>
        <v/>
      </c>
      <c r="AD78" s="71"/>
      <c r="AE78" s="10" t="str">
        <f t="shared" si="37"/>
        <v/>
      </c>
      <c r="AF78" s="10" t="str">
        <f t="shared" si="19"/>
        <v/>
      </c>
      <c r="AG78" s="71"/>
      <c r="AH78" s="10" t="str">
        <f t="shared" si="38"/>
        <v/>
      </c>
      <c r="AI78" s="10" t="str">
        <f t="shared" si="21"/>
        <v/>
      </c>
      <c r="AJ78" s="71"/>
      <c r="AK78" s="10" t="str">
        <f t="shared" si="22"/>
        <v/>
      </c>
      <c r="AL78" s="10" t="str">
        <f t="shared" si="23"/>
        <v/>
      </c>
      <c r="AM78" s="71"/>
      <c r="AN78" s="10" t="str">
        <f t="shared" si="39"/>
        <v/>
      </c>
      <c r="AO78" s="10" t="str">
        <f t="shared" si="24"/>
        <v/>
      </c>
      <c r="AP78" s="71"/>
      <c r="AQ78" s="10" t="str">
        <f t="shared" si="40"/>
        <v/>
      </c>
      <c r="AR78" s="10" t="str">
        <f t="shared" si="25"/>
        <v/>
      </c>
      <c r="AS78" s="71"/>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U78" s="71"/>
      <c r="AV78" s="10" t="str">
        <f t="shared" si="41"/>
        <v/>
      </c>
      <c r="AW78" s="10" t="str">
        <f t="shared" si="26"/>
        <v/>
      </c>
      <c r="AX78" s="71"/>
      <c r="AY78" s="7" t="str">
        <f>IF(ISERROR(IF($K78&lt;=$F$15,VLOOKUP($I78,'表4）CO2価格'!$A$7:$E$67,VLOOKUP($F$48,'表4）CO2価格'!$H$10:$I$12,2,0),0)*$F$8/1000,"")),0,IF($K78&lt;=$F$15,VLOOKUP($I78,'表4）CO2価格'!$A$7:$E$67,VLOOKUP($F$48,'表4）CO2価格'!$H$10:$I$12,2,0),0)*$F$8/1000,""))</f>
        <v/>
      </c>
      <c r="AZ78" s="71"/>
      <c r="BA78" s="11" t="str">
        <f t="shared" si="42"/>
        <v/>
      </c>
      <c r="BB78" s="10" t="str">
        <f t="shared" si="27"/>
        <v/>
      </c>
      <c r="BC78" s="71"/>
      <c r="BD78" s="10" t="str">
        <f t="shared" si="43"/>
        <v/>
      </c>
      <c r="BE78" s="10" t="str">
        <f t="shared" si="28"/>
        <v/>
      </c>
      <c r="BF78" s="71"/>
      <c r="BG78" s="11" t="str">
        <f t="shared" si="44"/>
        <v/>
      </c>
      <c r="BH78" s="10" t="str">
        <f t="shared" si="29"/>
        <v/>
      </c>
      <c r="BJ78" s="10"/>
      <c r="BK78" s="158"/>
      <c r="BL78" s="158"/>
      <c r="BM78" s="10"/>
      <c r="BN78" s="10"/>
      <c r="BO78" s="10"/>
      <c r="BP78" s="71"/>
      <c r="BQ78" s="10" t="str">
        <f t="shared" si="45"/>
        <v/>
      </c>
      <c r="BR78" s="10" t="str">
        <f t="shared" si="30"/>
        <v/>
      </c>
    </row>
    <row r="79" spans="2:70" x14ac:dyDescent="0.15">
      <c r="E79" s="81" t="s">
        <v>139</v>
      </c>
      <c r="F79" s="91">
        <f>Z116/$BR$116</f>
        <v>0</v>
      </c>
      <c r="G79" s="81" t="s">
        <v>132</v>
      </c>
      <c r="I79" s="458">
        <f t="shared" si="31"/>
        <v>2084</v>
      </c>
      <c r="J79" s="39"/>
      <c r="K79" s="39">
        <f t="shared" si="32"/>
        <v>65</v>
      </c>
      <c r="L79" s="39"/>
      <c r="M79" s="40">
        <f t="shared" ref="M79:M114" si="47">1/(1+($F$9/100))^K79</f>
        <v>0.14641325444882999</v>
      </c>
      <c r="N79" s="39"/>
      <c r="O79" s="72" t="str">
        <f t="shared" si="13"/>
        <v/>
      </c>
      <c r="P79" s="41" t="str">
        <f t="shared" ref="P79:P110" si="48">IF(K79&lt;=$F$15,IF(OR(P78=$F$124,P78="-"),"-",IF(O79*$F$123&gt;$F$127,$F$123,$F$124)),"")</f>
        <v/>
      </c>
      <c r="Q79" s="39"/>
      <c r="R79" s="72" t="str">
        <f t="shared" si="46"/>
        <v/>
      </c>
      <c r="S79" s="39"/>
      <c r="T79" s="72" t="str">
        <f t="shared" si="15"/>
        <v/>
      </c>
      <c r="U79" s="39"/>
      <c r="V79" s="72" t="str">
        <f t="shared" ref="V79:V114" si="49">IF(K79&lt;=$F$15,IF(K79&lt;$F$119,IF(P79="-",V78,O79*P79),IF(K79=$F$119,MIN(IF(P79="-",V78,O79*P79),O79),0)),"")</f>
        <v/>
      </c>
      <c r="W79" s="72" t="str">
        <f t="shared" si="16"/>
        <v/>
      </c>
      <c r="X79" s="39"/>
      <c r="Y79" s="72" t="str">
        <f t="shared" ref="Y79:Y114" si="50">IF($K79&lt;=$F$15,ROUNDDOWN(T79*$F$25/100,-2),"")</f>
        <v/>
      </c>
      <c r="Z79" s="72" t="str">
        <f t="shared" si="17"/>
        <v/>
      </c>
      <c r="AA79" s="39"/>
      <c r="AB79" s="72" t="str">
        <f t="shared" ref="AB79:AB114" si="51">IF($K79&lt;=$F$15,0,IF(AND($K79&gt;$F$15,$K79&lt;=$F$15+$F$28),$F$27*10^8/$F$28,""))</f>
        <v/>
      </c>
      <c r="AC79" s="72" t="str">
        <f t="shared" si="18"/>
        <v/>
      </c>
      <c r="AD79" s="39"/>
      <c r="AE79" s="72" t="str">
        <f t="shared" ref="AE79:AE114" si="52">IF($K79&lt;=$F$15,$F$26,"")</f>
        <v/>
      </c>
      <c r="AF79" s="72" t="str">
        <f t="shared" si="19"/>
        <v/>
      </c>
      <c r="AG79" s="39"/>
      <c r="AH79" s="72" t="str">
        <f t="shared" ref="AH79:AH114" si="53">IF($K79&lt;=$F$15,$F$33*10^8,"")</f>
        <v/>
      </c>
      <c r="AI79" s="72" t="str">
        <f t="shared" si="21"/>
        <v/>
      </c>
      <c r="AJ79" s="39"/>
      <c r="AK79" s="72" t="str">
        <f t="shared" si="22"/>
        <v/>
      </c>
      <c r="AL79" s="72" t="str">
        <f t="shared" si="23"/>
        <v/>
      </c>
      <c r="AM79" s="39"/>
      <c r="AN79" s="72" t="str">
        <f t="shared" ref="AN79:AN114" si="54">IF($K79&lt;=$F$15,$F$117*$F$35/100,"")</f>
        <v/>
      </c>
      <c r="AO79" s="72" t="str">
        <f t="shared" si="24"/>
        <v/>
      </c>
      <c r="AP79" s="39"/>
      <c r="AQ79" s="72" t="str">
        <f t="shared" ref="AQ79:AQ114" si="55">IF($K79&lt;=$F$15,SUM(AH79,AK79,AN79)*($F$36/100),"")</f>
        <v/>
      </c>
      <c r="AR79" s="72" t="str">
        <f t="shared" si="25"/>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56">IF($K79&lt;=$F$15,($AT79+$F$142)*$F$137,"")</f>
        <v/>
      </c>
      <c r="AW79" s="72" t="str">
        <f t="shared" si="26"/>
        <v/>
      </c>
      <c r="AX79" s="39"/>
      <c r="AY79" s="40" t="str">
        <f>IF(ISERROR(IF($K79&lt;=$F$15,VLOOKUP($I79,'表4）CO2価格'!$A$7:$E$67,VLOOKUP($F$48,'表4）CO2価格'!$H$10:$I$12,2,0),0)*$F$8/1000,"")),0,IF($K79&lt;=$F$15,VLOOKUP($I79,'表4）CO2価格'!$A$7:$E$67,VLOOKUP($F$48,'表4）CO2価格'!$H$10:$I$12,2,0),0)*$F$8/1000,""))</f>
        <v/>
      </c>
      <c r="AZ79" s="39"/>
      <c r="BA79" s="42" t="str">
        <f t="shared" ref="BA79:BA114" si="57">IF($K79&lt;=$F$15,$F$145*AY79,"")</f>
        <v/>
      </c>
      <c r="BB79" s="72" t="str">
        <f t="shared" si="27"/>
        <v/>
      </c>
      <c r="BC79" s="39"/>
      <c r="BD79" s="72" t="str">
        <f t="shared" ref="BD79:BD114" si="58">IF($K79&lt;=$F$15,($AT79+$F$152)*$F$151,"")</f>
        <v/>
      </c>
      <c r="BE79" s="72" t="str">
        <f t="shared" si="28"/>
        <v/>
      </c>
      <c r="BF79" s="39"/>
      <c r="BG79" s="42" t="str">
        <f t="shared" ref="BG79:BG114" si="59">IF($K79&lt;=$F$15,$F$153*AY79,"")</f>
        <v/>
      </c>
      <c r="BH79" s="72" t="str">
        <f t="shared" si="29"/>
        <v/>
      </c>
      <c r="BI79" s="39"/>
      <c r="BJ79" s="72"/>
      <c r="BK79" s="157"/>
      <c r="BL79" s="157"/>
      <c r="BM79" s="72"/>
      <c r="BN79" s="72"/>
      <c r="BO79" s="72"/>
      <c r="BP79" s="39"/>
      <c r="BQ79" s="72" t="str">
        <f t="shared" ref="BQ79:BQ114" si="60">IF($K79&lt;=$F$15,$F$134,"")</f>
        <v/>
      </c>
      <c r="BR79" s="72" t="str">
        <f t="shared" si="30"/>
        <v/>
      </c>
    </row>
    <row r="80" spans="2:70" x14ac:dyDescent="0.15">
      <c r="E80" s="81" t="s">
        <v>115</v>
      </c>
      <c r="F80" s="91">
        <f>AF116/$BR$116</f>
        <v>0</v>
      </c>
      <c r="G80" s="81" t="s">
        <v>132</v>
      </c>
      <c r="I80" s="459">
        <f t="shared" si="31"/>
        <v>2085</v>
      </c>
      <c r="J80" s="71"/>
      <c r="K80" s="71">
        <f t="shared" si="32"/>
        <v>66</v>
      </c>
      <c r="L80" s="71"/>
      <c r="M80" s="7">
        <f t="shared" si="47"/>
        <v>0.14214879072701941</v>
      </c>
      <c r="N80" s="71"/>
      <c r="O80" s="10" t="str">
        <f t="shared" ref="O80:O114" si="61">IF(K80&lt;=$F$15,O79-V79,"")</f>
        <v/>
      </c>
      <c r="P80" s="29" t="str">
        <f t="shared" si="48"/>
        <v/>
      </c>
      <c r="Q80" s="71"/>
      <c r="R80" s="10" t="str">
        <f t="shared" ref="R80:R114" si="62">IF($K80&lt;=$F$15,MAX($F$117*5%,R79*$F$129),"")</f>
        <v/>
      </c>
      <c r="S80" s="71"/>
      <c r="T80" s="10" t="str">
        <f t="shared" ref="T80:T114" si="63">IF(ISNUMBER(R80),ROUNDDOWN(R80,-3),"")</f>
        <v/>
      </c>
      <c r="U80" s="71"/>
      <c r="V80" s="10" t="str">
        <f t="shared" si="49"/>
        <v/>
      </c>
      <c r="W80" s="10" t="str">
        <f t="shared" ref="W80:W114" si="64">IF(ISNUMBER(V80),V80*$M80,"")</f>
        <v/>
      </c>
      <c r="X80" s="71"/>
      <c r="Y80" s="10" t="str">
        <f t="shared" si="50"/>
        <v/>
      </c>
      <c r="Z80" s="10" t="str">
        <f t="shared" ref="Z80:Z114" si="65">IF(ISNUMBER(Y80),Y80*$M80,"")</f>
        <v/>
      </c>
      <c r="AA80" s="71"/>
      <c r="AB80" s="10" t="str">
        <f t="shared" si="51"/>
        <v/>
      </c>
      <c r="AC80" s="10" t="str">
        <f t="shared" ref="AC80:AC114" si="66">IF(ISNUMBER(AB80),AB80*$M80,"")</f>
        <v/>
      </c>
      <c r="AD80" s="71"/>
      <c r="AE80" s="10" t="str">
        <f t="shared" si="52"/>
        <v/>
      </c>
      <c r="AF80" s="10" t="str">
        <f t="shared" ref="AF80:AF114" si="67">IF(ISNUMBER(AE80),AE80*$M80,"")</f>
        <v/>
      </c>
      <c r="AG80" s="71"/>
      <c r="AH80" s="10" t="str">
        <f t="shared" si="53"/>
        <v/>
      </c>
      <c r="AI80" s="10" t="str">
        <f t="shared" ref="AI80:AI114" si="68">IF(ISNUMBER(AH80),AH80*$M80,"")</f>
        <v/>
      </c>
      <c r="AJ80" s="71"/>
      <c r="AK80" s="10" t="str">
        <f t="shared" ref="AK80:AK114" si="69">IF($K80&lt;=$F$15,$F$34*10^4*$F$13*10^4,"")</f>
        <v/>
      </c>
      <c r="AL80" s="10" t="str">
        <f t="shared" ref="AL80:AL114" si="70">IF(ISNUMBER(AK80),AK80*$M80,"")</f>
        <v/>
      </c>
      <c r="AM80" s="71"/>
      <c r="AN80" s="10" t="str">
        <f t="shared" si="54"/>
        <v/>
      </c>
      <c r="AO80" s="10" t="str">
        <f t="shared" ref="AO80:AO114" si="71">IF(ISNUMBER(AN80),AN80*$M80,"")</f>
        <v/>
      </c>
      <c r="AP80" s="71"/>
      <c r="AQ80" s="10" t="str">
        <f t="shared" si="55"/>
        <v/>
      </c>
      <c r="AR80" s="10" t="str">
        <f t="shared" ref="AR80:AR114" si="72">IF(ISNUMBER(AQ80),AQ80*$M80,"")</f>
        <v/>
      </c>
      <c r="AS80" s="71"/>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U80" s="71"/>
      <c r="AV80" s="10" t="str">
        <f t="shared" si="56"/>
        <v/>
      </c>
      <c r="AW80" s="10" t="str">
        <f t="shared" ref="AW80:AW114" si="73">IF(ISNUMBER(AV80),AV80*$M80,"")</f>
        <v/>
      </c>
      <c r="AX80" s="71"/>
      <c r="AY80" s="7" t="str">
        <f>IF(ISERROR(IF($K80&lt;=$F$15,VLOOKUP($I80,'表4）CO2価格'!$A$7:$E$67,VLOOKUP($F$48,'表4）CO2価格'!$H$10:$I$12,2,0),0)*$F$8/1000,"")),0,IF($K80&lt;=$F$15,VLOOKUP($I80,'表4）CO2価格'!$A$7:$E$67,VLOOKUP($F$48,'表4）CO2価格'!$H$10:$I$12,2,0),0)*$F$8/1000,""))</f>
        <v/>
      </c>
      <c r="AZ80" s="71"/>
      <c r="BA80" s="11" t="str">
        <f t="shared" si="57"/>
        <v/>
      </c>
      <c r="BB80" s="10" t="str">
        <f t="shared" ref="BB80:BB114" si="74">IF(ISNUMBER(BA80),BA80*$M80,"")</f>
        <v/>
      </c>
      <c r="BC80" s="71"/>
      <c r="BD80" s="10" t="str">
        <f t="shared" si="58"/>
        <v/>
      </c>
      <c r="BE80" s="10" t="str">
        <f t="shared" ref="BE80:BE114" si="75">IF(ISNUMBER(BD80),BD80*$M80,"")</f>
        <v/>
      </c>
      <c r="BF80" s="71"/>
      <c r="BG80" s="11" t="str">
        <f t="shared" si="59"/>
        <v/>
      </c>
      <c r="BH80" s="10" t="str">
        <f t="shared" ref="BH80:BH114" si="76">IF(ISNUMBER(BG80),BG80*$M80,"")</f>
        <v/>
      </c>
      <c r="BJ80" s="10"/>
      <c r="BK80" s="158"/>
      <c r="BL80" s="158"/>
      <c r="BM80" s="10"/>
      <c r="BN80" s="10"/>
      <c r="BO80" s="10"/>
      <c r="BP80" s="71"/>
      <c r="BQ80" s="10" t="str">
        <f t="shared" si="60"/>
        <v/>
      </c>
      <c r="BR80" s="10" t="str">
        <f t="shared" ref="BR80:BR114" si="77">IF(ISNUMBER(BQ80),BQ80*$M80,"")</f>
        <v/>
      </c>
    </row>
    <row r="81" spans="4:70" x14ac:dyDescent="0.15">
      <c r="E81" s="82" t="s">
        <v>86</v>
      </c>
      <c r="F81" s="91">
        <f>AC116/$BR$116</f>
        <v>0.33151881508782699</v>
      </c>
      <c r="G81" s="81" t="s">
        <v>132</v>
      </c>
      <c r="I81" s="458">
        <f t="shared" ref="I81:I114" si="78">I80+1</f>
        <v>2086</v>
      </c>
      <c r="J81" s="39"/>
      <c r="K81" s="39">
        <f t="shared" ref="K81:K114" si="79">IF(I81&lt;&gt;"",K80+1,"")</f>
        <v>67</v>
      </c>
      <c r="L81" s="39"/>
      <c r="M81" s="40">
        <f t="shared" si="47"/>
        <v>0.1380085346864266</v>
      </c>
      <c r="N81" s="39"/>
      <c r="O81" s="72" t="str">
        <f t="shared" si="61"/>
        <v/>
      </c>
      <c r="P81" s="41" t="str">
        <f t="shared" si="48"/>
        <v/>
      </c>
      <c r="Q81" s="39"/>
      <c r="R81" s="72" t="str">
        <f t="shared" si="62"/>
        <v/>
      </c>
      <c r="S81" s="39"/>
      <c r="T81" s="72" t="str">
        <f t="shared" si="63"/>
        <v/>
      </c>
      <c r="U81" s="39"/>
      <c r="V81" s="72" t="str">
        <f t="shared" si="49"/>
        <v/>
      </c>
      <c r="W81" s="72" t="str">
        <f t="shared" si="64"/>
        <v/>
      </c>
      <c r="X81" s="39"/>
      <c r="Y81" s="72" t="str">
        <f t="shared" si="50"/>
        <v/>
      </c>
      <c r="Z81" s="72" t="str">
        <f t="shared" si="65"/>
        <v/>
      </c>
      <c r="AA81" s="39"/>
      <c r="AB81" s="72" t="str">
        <f t="shared" si="51"/>
        <v/>
      </c>
      <c r="AC81" s="72" t="str">
        <f t="shared" si="66"/>
        <v/>
      </c>
      <c r="AD81" s="39"/>
      <c r="AE81" s="72" t="str">
        <f t="shared" si="52"/>
        <v/>
      </c>
      <c r="AF81" s="72" t="str">
        <f t="shared" si="67"/>
        <v/>
      </c>
      <c r="AG81" s="39"/>
      <c r="AH81" s="72" t="str">
        <f t="shared" si="53"/>
        <v/>
      </c>
      <c r="AI81" s="72" t="str">
        <f t="shared" si="68"/>
        <v/>
      </c>
      <c r="AJ81" s="39"/>
      <c r="AK81" s="72" t="str">
        <f t="shared" si="69"/>
        <v/>
      </c>
      <c r="AL81" s="72" t="str">
        <f t="shared" si="70"/>
        <v/>
      </c>
      <c r="AM81" s="39"/>
      <c r="AN81" s="72" t="str">
        <f t="shared" si="54"/>
        <v/>
      </c>
      <c r="AO81" s="72" t="str">
        <f t="shared" si="71"/>
        <v/>
      </c>
      <c r="AP81" s="39"/>
      <c r="AQ81" s="72" t="str">
        <f t="shared" si="55"/>
        <v/>
      </c>
      <c r="AR81" s="72" t="str">
        <f t="shared" si="72"/>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56"/>
        <v/>
      </c>
      <c r="AW81" s="72" t="str">
        <f t="shared" si="73"/>
        <v/>
      </c>
      <c r="AX81" s="39"/>
      <c r="AY81" s="40" t="str">
        <f>IF(ISERROR(IF($K81&lt;=$F$15,VLOOKUP($I81,'表4）CO2価格'!$A$7:$E$67,VLOOKUP($F$48,'表4）CO2価格'!$H$10:$I$12,2,0),0)*$F$8/1000,"")),0,IF($K81&lt;=$F$15,VLOOKUP($I81,'表4）CO2価格'!$A$7:$E$67,VLOOKUP($F$48,'表4）CO2価格'!$H$10:$I$12,2,0),0)*$F$8/1000,""))</f>
        <v/>
      </c>
      <c r="AZ81" s="39"/>
      <c r="BA81" s="42" t="str">
        <f t="shared" si="57"/>
        <v/>
      </c>
      <c r="BB81" s="72" t="str">
        <f t="shared" si="74"/>
        <v/>
      </c>
      <c r="BC81" s="39"/>
      <c r="BD81" s="72" t="str">
        <f t="shared" si="58"/>
        <v/>
      </c>
      <c r="BE81" s="72" t="str">
        <f t="shared" si="75"/>
        <v/>
      </c>
      <c r="BF81" s="39"/>
      <c r="BG81" s="42" t="str">
        <f t="shared" si="59"/>
        <v/>
      </c>
      <c r="BH81" s="72" t="str">
        <f t="shared" si="76"/>
        <v/>
      </c>
      <c r="BI81" s="39"/>
      <c r="BJ81" s="72"/>
      <c r="BK81" s="157"/>
      <c r="BL81" s="157"/>
      <c r="BM81" s="72"/>
      <c r="BN81" s="72"/>
      <c r="BO81" s="72"/>
      <c r="BP81" s="39"/>
      <c r="BQ81" s="72" t="str">
        <f t="shared" si="60"/>
        <v/>
      </c>
      <c r="BR81" s="72" t="str">
        <f t="shared" si="77"/>
        <v/>
      </c>
    </row>
    <row r="82" spans="4:70" x14ac:dyDescent="0.15">
      <c r="F82" s="93"/>
      <c r="I82" s="459">
        <f t="shared" si="78"/>
        <v>2087</v>
      </c>
      <c r="J82" s="71"/>
      <c r="K82" s="71">
        <f t="shared" si="79"/>
        <v>68</v>
      </c>
      <c r="L82" s="71"/>
      <c r="M82" s="7">
        <f t="shared" si="47"/>
        <v>0.13398886862759865</v>
      </c>
      <c r="N82" s="71"/>
      <c r="O82" s="10" t="str">
        <f t="shared" si="61"/>
        <v/>
      </c>
      <c r="P82" s="29" t="str">
        <f t="shared" si="48"/>
        <v/>
      </c>
      <c r="Q82" s="71"/>
      <c r="R82" s="10" t="str">
        <f t="shared" si="62"/>
        <v/>
      </c>
      <c r="S82" s="71"/>
      <c r="T82" s="10" t="str">
        <f t="shared" si="63"/>
        <v/>
      </c>
      <c r="U82" s="71"/>
      <c r="V82" s="10" t="str">
        <f t="shared" si="49"/>
        <v/>
      </c>
      <c r="W82" s="10" t="str">
        <f t="shared" si="64"/>
        <v/>
      </c>
      <c r="X82" s="71"/>
      <c r="Y82" s="10" t="str">
        <f t="shared" si="50"/>
        <v/>
      </c>
      <c r="Z82" s="10" t="str">
        <f t="shared" si="65"/>
        <v/>
      </c>
      <c r="AA82" s="71"/>
      <c r="AB82" s="10" t="str">
        <f t="shared" si="51"/>
        <v/>
      </c>
      <c r="AC82" s="10" t="str">
        <f t="shared" si="66"/>
        <v/>
      </c>
      <c r="AD82" s="71"/>
      <c r="AE82" s="10" t="str">
        <f t="shared" si="52"/>
        <v/>
      </c>
      <c r="AF82" s="10" t="str">
        <f t="shared" si="67"/>
        <v/>
      </c>
      <c r="AG82" s="71"/>
      <c r="AH82" s="10" t="str">
        <f t="shared" si="53"/>
        <v/>
      </c>
      <c r="AI82" s="10" t="str">
        <f t="shared" si="68"/>
        <v/>
      </c>
      <c r="AJ82" s="71"/>
      <c r="AK82" s="10" t="str">
        <f t="shared" si="69"/>
        <v/>
      </c>
      <c r="AL82" s="10" t="str">
        <f t="shared" si="70"/>
        <v/>
      </c>
      <c r="AM82" s="71"/>
      <c r="AN82" s="10" t="str">
        <f t="shared" si="54"/>
        <v/>
      </c>
      <c r="AO82" s="10" t="str">
        <f t="shared" si="71"/>
        <v/>
      </c>
      <c r="AP82" s="71"/>
      <c r="AQ82" s="10" t="str">
        <f t="shared" si="55"/>
        <v/>
      </c>
      <c r="AR82" s="10" t="str">
        <f t="shared" si="72"/>
        <v/>
      </c>
      <c r="AS82" s="71"/>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U82" s="71"/>
      <c r="AV82" s="10" t="str">
        <f t="shared" si="56"/>
        <v/>
      </c>
      <c r="AW82" s="10" t="str">
        <f t="shared" si="73"/>
        <v/>
      </c>
      <c r="AX82" s="71"/>
      <c r="AY82" s="7" t="str">
        <f>IF(ISERROR(IF($K82&lt;=$F$15,VLOOKUP($I82,'表4）CO2価格'!$A$7:$E$67,VLOOKUP($F$48,'表4）CO2価格'!$H$10:$I$12,2,0),0)*$F$8/1000,"")),0,IF($K82&lt;=$F$15,VLOOKUP($I82,'表4）CO2価格'!$A$7:$E$67,VLOOKUP($F$48,'表4）CO2価格'!$H$10:$I$12,2,0),0)*$F$8/1000,""))</f>
        <v/>
      </c>
      <c r="AZ82" s="71"/>
      <c r="BA82" s="11" t="str">
        <f t="shared" si="57"/>
        <v/>
      </c>
      <c r="BB82" s="10" t="str">
        <f t="shared" si="74"/>
        <v/>
      </c>
      <c r="BC82" s="71"/>
      <c r="BD82" s="10" t="str">
        <f t="shared" si="58"/>
        <v/>
      </c>
      <c r="BE82" s="10" t="str">
        <f t="shared" si="75"/>
        <v/>
      </c>
      <c r="BF82" s="71"/>
      <c r="BG82" s="11" t="str">
        <f t="shared" si="59"/>
        <v/>
      </c>
      <c r="BH82" s="10" t="str">
        <f t="shared" si="76"/>
        <v/>
      </c>
      <c r="BJ82" s="10"/>
      <c r="BK82" s="158"/>
      <c r="BL82" s="158"/>
      <c r="BM82" s="10"/>
      <c r="BN82" s="10"/>
      <c r="BO82" s="10"/>
      <c r="BP82" s="71"/>
      <c r="BQ82" s="10" t="str">
        <f t="shared" si="60"/>
        <v/>
      </c>
      <c r="BR82" s="10" t="str">
        <f t="shared" si="77"/>
        <v/>
      </c>
    </row>
    <row r="83" spans="4:70" ht="15" x14ac:dyDescent="0.15">
      <c r="D83" s="116" t="s">
        <v>194</v>
      </c>
      <c r="F83" s="94">
        <f>SUBTOTAL(9,F87:F90)</f>
        <v>2.4816358943815762</v>
      </c>
      <c r="G83" s="81" t="s">
        <v>132</v>
      </c>
      <c r="I83" s="458">
        <f>I82+1</f>
        <v>2088</v>
      </c>
      <c r="J83" s="39"/>
      <c r="K83" s="39">
        <f>IF(I83&lt;&gt;"",K82+1,"")</f>
        <v>69</v>
      </c>
      <c r="L83" s="39"/>
      <c r="M83" s="40">
        <f t="shared" si="47"/>
        <v>0.13008628022096957</v>
      </c>
      <c r="N83" s="39"/>
      <c r="O83" s="72" t="str">
        <f t="shared" si="61"/>
        <v/>
      </c>
      <c r="P83" s="41" t="str">
        <f t="shared" si="48"/>
        <v/>
      </c>
      <c r="Q83" s="39"/>
      <c r="R83" s="72" t="str">
        <f t="shared" si="62"/>
        <v/>
      </c>
      <c r="S83" s="39"/>
      <c r="T83" s="72" t="str">
        <f t="shared" si="63"/>
        <v/>
      </c>
      <c r="U83" s="39"/>
      <c r="V83" s="72" t="str">
        <f t="shared" si="49"/>
        <v/>
      </c>
      <c r="W83" s="72" t="str">
        <f t="shared" si="64"/>
        <v/>
      </c>
      <c r="X83" s="39"/>
      <c r="Y83" s="72" t="str">
        <f t="shared" si="50"/>
        <v/>
      </c>
      <c r="Z83" s="72" t="str">
        <f t="shared" si="65"/>
        <v/>
      </c>
      <c r="AA83" s="39"/>
      <c r="AB83" s="72" t="str">
        <f t="shared" si="51"/>
        <v/>
      </c>
      <c r="AC83" s="72" t="str">
        <f t="shared" si="66"/>
        <v/>
      </c>
      <c r="AD83" s="39"/>
      <c r="AE83" s="72" t="str">
        <f t="shared" si="52"/>
        <v/>
      </c>
      <c r="AF83" s="72" t="str">
        <f t="shared" si="67"/>
        <v/>
      </c>
      <c r="AG83" s="39"/>
      <c r="AH83" s="72" t="str">
        <f t="shared" si="53"/>
        <v/>
      </c>
      <c r="AI83" s="72" t="str">
        <f t="shared" si="68"/>
        <v/>
      </c>
      <c r="AJ83" s="39"/>
      <c r="AK83" s="72" t="str">
        <f t="shared" si="69"/>
        <v/>
      </c>
      <c r="AL83" s="72" t="str">
        <f t="shared" si="70"/>
        <v/>
      </c>
      <c r="AM83" s="39"/>
      <c r="AN83" s="72" t="str">
        <f t="shared" si="54"/>
        <v/>
      </c>
      <c r="AO83" s="72" t="str">
        <f t="shared" si="71"/>
        <v/>
      </c>
      <c r="AP83" s="39"/>
      <c r="AQ83" s="72" t="str">
        <f t="shared" si="55"/>
        <v/>
      </c>
      <c r="AR83" s="72" t="str">
        <f t="shared" si="72"/>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56"/>
        <v/>
      </c>
      <c r="AW83" s="72" t="str">
        <f t="shared" si="73"/>
        <v/>
      </c>
      <c r="AX83" s="39"/>
      <c r="AY83" s="40" t="str">
        <f>IF(ISERROR(IF($K83&lt;=$F$15,VLOOKUP($I83,'表4）CO2価格'!$A$7:$E$67,VLOOKUP($F$48,'表4）CO2価格'!$H$10:$I$12,2,0),0)*$F$8/1000,"")),0,IF($K83&lt;=$F$15,VLOOKUP($I83,'表4）CO2価格'!$A$7:$E$67,VLOOKUP($F$48,'表4）CO2価格'!$H$10:$I$12,2,0),0)*$F$8/1000,""))</f>
        <v/>
      </c>
      <c r="AZ83" s="39"/>
      <c r="BA83" s="42" t="str">
        <f t="shared" si="57"/>
        <v/>
      </c>
      <c r="BB83" s="72" t="str">
        <f t="shared" si="74"/>
        <v/>
      </c>
      <c r="BC83" s="39"/>
      <c r="BD83" s="72" t="str">
        <f t="shared" si="58"/>
        <v/>
      </c>
      <c r="BE83" s="72" t="str">
        <f t="shared" si="75"/>
        <v/>
      </c>
      <c r="BF83" s="39"/>
      <c r="BG83" s="42" t="str">
        <f t="shared" si="59"/>
        <v/>
      </c>
      <c r="BH83" s="72" t="str">
        <f t="shared" si="76"/>
        <v/>
      </c>
      <c r="BI83" s="39"/>
      <c r="BJ83" s="72"/>
      <c r="BK83" s="157"/>
      <c r="BL83" s="157"/>
      <c r="BM83" s="72"/>
      <c r="BN83" s="72"/>
      <c r="BO83" s="72"/>
      <c r="BP83" s="39"/>
      <c r="BQ83" s="72" t="str">
        <f t="shared" si="60"/>
        <v/>
      </c>
      <c r="BR83" s="72" t="str">
        <f t="shared" si="77"/>
        <v/>
      </c>
    </row>
    <row r="84" spans="4:70" x14ac:dyDescent="0.15">
      <c r="F84" s="93"/>
      <c r="I84" s="459">
        <f t="shared" si="78"/>
        <v>2089</v>
      </c>
      <c r="J84" s="71"/>
      <c r="K84" s="71">
        <f t="shared" si="79"/>
        <v>70</v>
      </c>
      <c r="L84" s="71"/>
      <c r="M84" s="7">
        <f t="shared" si="47"/>
        <v>0.12629735943783454</v>
      </c>
      <c r="N84" s="71"/>
      <c r="O84" s="10" t="str">
        <f t="shared" si="61"/>
        <v/>
      </c>
      <c r="P84" s="29" t="str">
        <f t="shared" si="48"/>
        <v/>
      </c>
      <c r="Q84" s="71"/>
      <c r="R84" s="10" t="str">
        <f t="shared" si="62"/>
        <v/>
      </c>
      <c r="S84" s="71"/>
      <c r="T84" s="10" t="str">
        <f t="shared" si="63"/>
        <v/>
      </c>
      <c r="U84" s="71"/>
      <c r="V84" s="10" t="str">
        <f t="shared" si="49"/>
        <v/>
      </c>
      <c r="W84" s="10" t="str">
        <f t="shared" si="64"/>
        <v/>
      </c>
      <c r="X84" s="71"/>
      <c r="Y84" s="10" t="str">
        <f t="shared" si="50"/>
        <v/>
      </c>
      <c r="Z84" s="10" t="str">
        <f t="shared" si="65"/>
        <v/>
      </c>
      <c r="AA84" s="71"/>
      <c r="AB84" s="10" t="str">
        <f t="shared" si="51"/>
        <v/>
      </c>
      <c r="AC84" s="10" t="str">
        <f t="shared" si="66"/>
        <v/>
      </c>
      <c r="AD84" s="71"/>
      <c r="AE84" s="10" t="str">
        <f t="shared" si="52"/>
        <v/>
      </c>
      <c r="AF84" s="10" t="str">
        <f t="shared" si="67"/>
        <v/>
      </c>
      <c r="AG84" s="71"/>
      <c r="AH84" s="10" t="str">
        <f t="shared" si="53"/>
        <v/>
      </c>
      <c r="AI84" s="10" t="str">
        <f t="shared" si="68"/>
        <v/>
      </c>
      <c r="AJ84" s="71"/>
      <c r="AK84" s="10" t="str">
        <f t="shared" si="69"/>
        <v/>
      </c>
      <c r="AL84" s="10" t="str">
        <f t="shared" si="70"/>
        <v/>
      </c>
      <c r="AM84" s="71"/>
      <c r="AN84" s="10" t="str">
        <f t="shared" si="54"/>
        <v/>
      </c>
      <c r="AO84" s="10" t="str">
        <f t="shared" si="71"/>
        <v/>
      </c>
      <c r="AP84" s="71"/>
      <c r="AQ84" s="10" t="str">
        <f t="shared" si="55"/>
        <v/>
      </c>
      <c r="AR84" s="10" t="str">
        <f t="shared" si="72"/>
        <v/>
      </c>
      <c r="AS84" s="71"/>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U84" s="71"/>
      <c r="AV84" s="10" t="str">
        <f t="shared" si="56"/>
        <v/>
      </c>
      <c r="AW84" s="10" t="str">
        <f t="shared" si="73"/>
        <v/>
      </c>
      <c r="AX84" s="71"/>
      <c r="AY84" s="7" t="str">
        <f>IF(ISERROR(IF($K84&lt;=$F$15,VLOOKUP($I84,'表4）CO2価格'!$A$7:$E$67,VLOOKUP($F$48,'表4）CO2価格'!$H$10:$I$12,2,0),0)*$F$8/1000,"")),0,IF($K84&lt;=$F$15,VLOOKUP($I84,'表4）CO2価格'!$A$7:$E$67,VLOOKUP($F$48,'表4）CO2価格'!$H$10:$I$12,2,0),0)*$F$8/1000,""))</f>
        <v/>
      </c>
      <c r="AZ84" s="71"/>
      <c r="BA84" s="11" t="str">
        <f t="shared" si="57"/>
        <v/>
      </c>
      <c r="BB84" s="10" t="str">
        <f t="shared" si="74"/>
        <v/>
      </c>
      <c r="BC84" s="71"/>
      <c r="BD84" s="10" t="str">
        <f t="shared" si="58"/>
        <v/>
      </c>
      <c r="BE84" s="10" t="str">
        <f t="shared" si="75"/>
        <v/>
      </c>
      <c r="BF84" s="71"/>
      <c r="BG84" s="11" t="str">
        <f t="shared" si="59"/>
        <v/>
      </c>
      <c r="BH84" s="10" t="str">
        <f t="shared" si="76"/>
        <v/>
      </c>
      <c r="BJ84" s="10"/>
      <c r="BK84" s="158"/>
      <c r="BL84" s="158"/>
      <c r="BM84" s="10"/>
      <c r="BN84" s="10"/>
      <c r="BO84" s="10"/>
      <c r="BP84" s="71"/>
      <c r="BQ84" s="10" t="str">
        <f t="shared" si="60"/>
        <v/>
      </c>
      <c r="BR84" s="10" t="str">
        <f t="shared" si="77"/>
        <v/>
      </c>
    </row>
    <row r="85" spans="4:70" x14ac:dyDescent="0.15">
      <c r="D85" s="101" t="s">
        <v>195</v>
      </c>
      <c r="E85" s="113"/>
      <c r="F85" s="92"/>
      <c r="G85" s="101"/>
      <c r="I85" s="458">
        <f t="shared" si="78"/>
        <v>2090</v>
      </c>
      <c r="J85" s="39"/>
      <c r="K85" s="39">
        <f t="shared" si="79"/>
        <v>71</v>
      </c>
      <c r="L85" s="39"/>
      <c r="M85" s="40">
        <f t="shared" si="47"/>
        <v>0.12261879557071313</v>
      </c>
      <c r="N85" s="39"/>
      <c r="O85" s="72" t="str">
        <f t="shared" si="61"/>
        <v/>
      </c>
      <c r="P85" s="41" t="str">
        <f t="shared" si="48"/>
        <v/>
      </c>
      <c r="Q85" s="39"/>
      <c r="R85" s="72" t="str">
        <f t="shared" si="62"/>
        <v/>
      </c>
      <c r="S85" s="39"/>
      <c r="T85" s="72" t="str">
        <f t="shared" si="63"/>
        <v/>
      </c>
      <c r="U85" s="39"/>
      <c r="V85" s="72" t="str">
        <f t="shared" si="49"/>
        <v/>
      </c>
      <c r="W85" s="72" t="str">
        <f t="shared" si="64"/>
        <v/>
      </c>
      <c r="X85" s="39"/>
      <c r="Y85" s="72" t="str">
        <f t="shared" si="50"/>
        <v/>
      </c>
      <c r="Z85" s="72" t="str">
        <f t="shared" si="65"/>
        <v/>
      </c>
      <c r="AA85" s="39"/>
      <c r="AB85" s="72" t="str">
        <f t="shared" si="51"/>
        <v/>
      </c>
      <c r="AC85" s="72" t="str">
        <f t="shared" si="66"/>
        <v/>
      </c>
      <c r="AD85" s="39"/>
      <c r="AE85" s="72" t="str">
        <f t="shared" si="52"/>
        <v/>
      </c>
      <c r="AF85" s="72" t="str">
        <f t="shared" si="67"/>
        <v/>
      </c>
      <c r="AG85" s="39"/>
      <c r="AH85" s="72" t="str">
        <f t="shared" si="53"/>
        <v/>
      </c>
      <c r="AI85" s="72" t="str">
        <f t="shared" si="68"/>
        <v/>
      </c>
      <c r="AJ85" s="39"/>
      <c r="AK85" s="72" t="str">
        <f t="shared" si="69"/>
        <v/>
      </c>
      <c r="AL85" s="72" t="str">
        <f t="shared" si="70"/>
        <v/>
      </c>
      <c r="AM85" s="39"/>
      <c r="AN85" s="72" t="str">
        <f t="shared" si="54"/>
        <v/>
      </c>
      <c r="AO85" s="72" t="str">
        <f t="shared" si="71"/>
        <v/>
      </c>
      <c r="AP85" s="39"/>
      <c r="AQ85" s="72" t="str">
        <f t="shared" si="55"/>
        <v/>
      </c>
      <c r="AR85" s="72" t="str">
        <f t="shared" si="72"/>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56"/>
        <v/>
      </c>
      <c r="AW85" s="72" t="str">
        <f t="shared" si="73"/>
        <v/>
      </c>
      <c r="AX85" s="39"/>
      <c r="AY85" s="40" t="str">
        <f>IF(ISERROR(IF($K85&lt;=$F$15,VLOOKUP($I85,'表4）CO2価格'!$A$7:$E$67,VLOOKUP($F$48,'表4）CO2価格'!$H$10:$I$12,2,0),0)*$F$8/1000,"")),0,IF($K85&lt;=$F$15,VLOOKUP($I85,'表4）CO2価格'!$A$7:$E$67,VLOOKUP($F$48,'表4）CO2価格'!$H$10:$I$12,2,0),0)*$F$8/1000,""))</f>
        <v/>
      </c>
      <c r="AZ85" s="39"/>
      <c r="BA85" s="42" t="str">
        <f t="shared" si="57"/>
        <v/>
      </c>
      <c r="BB85" s="72" t="str">
        <f t="shared" si="74"/>
        <v/>
      </c>
      <c r="BC85" s="39"/>
      <c r="BD85" s="72" t="str">
        <f t="shared" si="58"/>
        <v/>
      </c>
      <c r="BE85" s="72" t="str">
        <f t="shared" si="75"/>
        <v/>
      </c>
      <c r="BF85" s="39"/>
      <c r="BG85" s="42" t="str">
        <f t="shared" si="59"/>
        <v/>
      </c>
      <c r="BH85" s="72" t="str">
        <f t="shared" si="76"/>
        <v/>
      </c>
      <c r="BI85" s="39"/>
      <c r="BJ85" s="72"/>
      <c r="BK85" s="157"/>
      <c r="BL85" s="157"/>
      <c r="BM85" s="72"/>
      <c r="BN85" s="72"/>
      <c r="BO85" s="72"/>
      <c r="BP85" s="39"/>
      <c r="BQ85" s="72" t="str">
        <f t="shared" si="60"/>
        <v/>
      </c>
      <c r="BR85" s="72" t="str">
        <f t="shared" si="77"/>
        <v/>
      </c>
    </row>
    <row r="86" spans="4:70" x14ac:dyDescent="0.15">
      <c r="F86" s="93"/>
      <c r="I86" s="459">
        <f t="shared" si="78"/>
        <v>2091</v>
      </c>
      <c r="J86" s="71"/>
      <c r="K86" s="71">
        <f t="shared" si="79"/>
        <v>72</v>
      </c>
      <c r="L86" s="71"/>
      <c r="M86" s="7">
        <f t="shared" si="47"/>
        <v>0.1190473743404982</v>
      </c>
      <c r="N86" s="71"/>
      <c r="O86" s="10" t="str">
        <f t="shared" si="61"/>
        <v/>
      </c>
      <c r="P86" s="29" t="str">
        <f t="shared" si="48"/>
        <v/>
      </c>
      <c r="Q86" s="71"/>
      <c r="R86" s="10" t="str">
        <f t="shared" si="62"/>
        <v/>
      </c>
      <c r="S86" s="71"/>
      <c r="T86" s="10" t="str">
        <f t="shared" si="63"/>
        <v/>
      </c>
      <c r="U86" s="71"/>
      <c r="V86" s="10" t="str">
        <f t="shared" si="49"/>
        <v/>
      </c>
      <c r="W86" s="10" t="str">
        <f t="shared" si="64"/>
        <v/>
      </c>
      <c r="X86" s="71"/>
      <c r="Y86" s="10" t="str">
        <f t="shared" si="50"/>
        <v/>
      </c>
      <c r="Z86" s="10" t="str">
        <f t="shared" si="65"/>
        <v/>
      </c>
      <c r="AA86" s="71"/>
      <c r="AB86" s="10" t="str">
        <f t="shared" si="51"/>
        <v/>
      </c>
      <c r="AC86" s="10" t="str">
        <f t="shared" si="66"/>
        <v/>
      </c>
      <c r="AD86" s="71"/>
      <c r="AE86" s="10" t="str">
        <f t="shared" si="52"/>
        <v/>
      </c>
      <c r="AF86" s="10" t="str">
        <f t="shared" si="67"/>
        <v/>
      </c>
      <c r="AG86" s="71"/>
      <c r="AH86" s="10" t="str">
        <f t="shared" si="53"/>
        <v/>
      </c>
      <c r="AI86" s="10" t="str">
        <f t="shared" si="68"/>
        <v/>
      </c>
      <c r="AJ86" s="71"/>
      <c r="AK86" s="10" t="str">
        <f t="shared" si="69"/>
        <v/>
      </c>
      <c r="AL86" s="10" t="str">
        <f t="shared" si="70"/>
        <v/>
      </c>
      <c r="AM86" s="71"/>
      <c r="AN86" s="10" t="str">
        <f t="shared" si="54"/>
        <v/>
      </c>
      <c r="AO86" s="10" t="str">
        <f t="shared" si="71"/>
        <v/>
      </c>
      <c r="AP86" s="71"/>
      <c r="AQ86" s="10" t="str">
        <f t="shared" si="55"/>
        <v/>
      </c>
      <c r="AR86" s="10" t="str">
        <f t="shared" si="72"/>
        <v/>
      </c>
      <c r="AS86" s="71"/>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U86" s="71"/>
      <c r="AV86" s="10" t="str">
        <f t="shared" si="56"/>
        <v/>
      </c>
      <c r="AW86" s="10" t="str">
        <f t="shared" si="73"/>
        <v/>
      </c>
      <c r="AX86" s="71"/>
      <c r="AY86" s="7" t="str">
        <f>IF(ISERROR(IF($K86&lt;=$F$15,VLOOKUP($I86,'表4）CO2価格'!$A$7:$E$67,VLOOKUP($F$48,'表4）CO2価格'!$H$10:$I$12,2,0),0)*$F$8/1000,"")),0,IF($K86&lt;=$F$15,VLOOKUP($I86,'表4）CO2価格'!$A$7:$E$67,VLOOKUP($F$48,'表4）CO2価格'!$H$10:$I$12,2,0),0)*$F$8/1000,""))</f>
        <v/>
      </c>
      <c r="AZ86" s="71"/>
      <c r="BA86" s="11" t="str">
        <f t="shared" si="57"/>
        <v/>
      </c>
      <c r="BB86" s="10" t="str">
        <f t="shared" si="74"/>
        <v/>
      </c>
      <c r="BC86" s="71"/>
      <c r="BD86" s="10" t="str">
        <f t="shared" si="58"/>
        <v/>
      </c>
      <c r="BE86" s="10" t="str">
        <f t="shared" si="75"/>
        <v/>
      </c>
      <c r="BF86" s="71"/>
      <c r="BG86" s="11" t="str">
        <f t="shared" si="59"/>
        <v/>
      </c>
      <c r="BH86" s="10" t="str">
        <f t="shared" si="76"/>
        <v/>
      </c>
      <c r="BJ86" s="10"/>
      <c r="BK86" s="158"/>
      <c r="BL86" s="158"/>
      <c r="BM86" s="10"/>
      <c r="BN86" s="10"/>
      <c r="BO86" s="10"/>
      <c r="BP86" s="71"/>
      <c r="BQ86" s="10" t="str">
        <f t="shared" si="60"/>
        <v/>
      </c>
      <c r="BR86" s="10" t="str">
        <f t="shared" si="77"/>
        <v/>
      </c>
    </row>
    <row r="87" spans="4:70" x14ac:dyDescent="0.15">
      <c r="E87" s="82" t="s">
        <v>242</v>
      </c>
      <c r="F87" s="91">
        <f>AI116/$BR$116</f>
        <v>2.4816358943815762</v>
      </c>
      <c r="G87" s="81" t="s">
        <v>132</v>
      </c>
      <c r="I87" s="458">
        <f t="shared" si="78"/>
        <v>2092</v>
      </c>
      <c r="J87" s="39"/>
      <c r="K87" s="39">
        <f t="shared" si="79"/>
        <v>73</v>
      </c>
      <c r="L87" s="39"/>
      <c r="M87" s="40">
        <f t="shared" si="47"/>
        <v>0.11557997508786232</v>
      </c>
      <c r="N87" s="39"/>
      <c r="O87" s="72" t="str">
        <f t="shared" si="61"/>
        <v/>
      </c>
      <c r="P87" s="41" t="str">
        <f t="shared" si="48"/>
        <v/>
      </c>
      <c r="Q87" s="39"/>
      <c r="R87" s="72" t="str">
        <f t="shared" si="62"/>
        <v/>
      </c>
      <c r="S87" s="39"/>
      <c r="T87" s="72" t="str">
        <f t="shared" si="63"/>
        <v/>
      </c>
      <c r="U87" s="39"/>
      <c r="V87" s="72" t="str">
        <f t="shared" si="49"/>
        <v/>
      </c>
      <c r="W87" s="72" t="str">
        <f t="shared" si="64"/>
        <v/>
      </c>
      <c r="X87" s="39"/>
      <c r="Y87" s="72" t="str">
        <f t="shared" si="50"/>
        <v/>
      </c>
      <c r="Z87" s="72" t="str">
        <f t="shared" si="65"/>
        <v/>
      </c>
      <c r="AA87" s="39"/>
      <c r="AB87" s="72" t="str">
        <f t="shared" si="51"/>
        <v/>
      </c>
      <c r="AC87" s="72" t="str">
        <f t="shared" si="66"/>
        <v/>
      </c>
      <c r="AD87" s="39"/>
      <c r="AE87" s="72" t="str">
        <f t="shared" si="52"/>
        <v/>
      </c>
      <c r="AF87" s="72" t="str">
        <f t="shared" si="67"/>
        <v/>
      </c>
      <c r="AG87" s="39"/>
      <c r="AH87" s="72" t="str">
        <f t="shared" si="53"/>
        <v/>
      </c>
      <c r="AI87" s="72" t="str">
        <f t="shared" si="68"/>
        <v/>
      </c>
      <c r="AJ87" s="39"/>
      <c r="AK87" s="72" t="str">
        <f t="shared" si="69"/>
        <v/>
      </c>
      <c r="AL87" s="72" t="str">
        <f t="shared" si="70"/>
        <v/>
      </c>
      <c r="AM87" s="39"/>
      <c r="AN87" s="72" t="str">
        <f t="shared" si="54"/>
        <v/>
      </c>
      <c r="AO87" s="72" t="str">
        <f t="shared" si="71"/>
        <v/>
      </c>
      <c r="AP87" s="39"/>
      <c r="AQ87" s="72" t="str">
        <f t="shared" si="55"/>
        <v/>
      </c>
      <c r="AR87" s="72" t="str">
        <f t="shared" si="72"/>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56"/>
        <v/>
      </c>
      <c r="AW87" s="72" t="str">
        <f t="shared" si="73"/>
        <v/>
      </c>
      <c r="AX87" s="39"/>
      <c r="AY87" s="40" t="str">
        <f>IF(ISERROR(IF($K87&lt;=$F$15,VLOOKUP($I87,'表4）CO2価格'!$A$7:$E$67,VLOOKUP($F$48,'表4）CO2価格'!$H$10:$I$12,2,0),0)*$F$8/1000,"")),0,IF($K87&lt;=$F$15,VLOOKUP($I87,'表4）CO2価格'!$A$7:$E$67,VLOOKUP($F$48,'表4）CO2価格'!$H$10:$I$12,2,0),0)*$F$8/1000,""))</f>
        <v/>
      </c>
      <c r="AZ87" s="39"/>
      <c r="BA87" s="42" t="str">
        <f t="shared" si="57"/>
        <v/>
      </c>
      <c r="BB87" s="72" t="str">
        <f t="shared" si="74"/>
        <v/>
      </c>
      <c r="BC87" s="39"/>
      <c r="BD87" s="72" t="str">
        <f t="shared" si="58"/>
        <v/>
      </c>
      <c r="BE87" s="72" t="str">
        <f t="shared" si="75"/>
        <v/>
      </c>
      <c r="BF87" s="39"/>
      <c r="BG87" s="42" t="str">
        <f t="shared" si="59"/>
        <v/>
      </c>
      <c r="BH87" s="72" t="str">
        <f t="shared" si="76"/>
        <v/>
      </c>
      <c r="BI87" s="39"/>
      <c r="BJ87" s="72"/>
      <c r="BK87" s="157"/>
      <c r="BL87" s="157"/>
      <c r="BM87" s="72"/>
      <c r="BN87" s="72"/>
      <c r="BO87" s="72"/>
      <c r="BP87" s="39"/>
      <c r="BQ87" s="72" t="str">
        <f t="shared" si="60"/>
        <v/>
      </c>
      <c r="BR87" s="72" t="str">
        <f t="shared" si="77"/>
        <v/>
      </c>
    </row>
    <row r="88" spans="4:70" x14ac:dyDescent="0.15">
      <c r="F88" s="91">
        <f>AL116/$BR$116</f>
        <v>0</v>
      </c>
      <c r="I88" s="459">
        <f t="shared" si="78"/>
        <v>2093</v>
      </c>
      <c r="J88" s="71"/>
      <c r="K88" s="71">
        <f t="shared" si="79"/>
        <v>74</v>
      </c>
      <c r="L88" s="71"/>
      <c r="M88" s="7">
        <f t="shared" si="47"/>
        <v>0.11221356804646829</v>
      </c>
      <c r="N88" s="71"/>
      <c r="O88" s="10" t="str">
        <f t="shared" si="61"/>
        <v/>
      </c>
      <c r="P88" s="29" t="str">
        <f t="shared" si="48"/>
        <v/>
      </c>
      <c r="Q88" s="71"/>
      <c r="R88" s="10" t="str">
        <f t="shared" si="62"/>
        <v/>
      </c>
      <c r="S88" s="71"/>
      <c r="T88" s="10" t="str">
        <f t="shared" si="63"/>
        <v/>
      </c>
      <c r="U88" s="71"/>
      <c r="V88" s="10" t="str">
        <f t="shared" si="49"/>
        <v/>
      </c>
      <c r="W88" s="10" t="str">
        <f t="shared" si="64"/>
        <v/>
      </c>
      <c r="X88" s="71"/>
      <c r="Y88" s="10" t="str">
        <f t="shared" si="50"/>
        <v/>
      </c>
      <c r="Z88" s="10" t="str">
        <f t="shared" si="65"/>
        <v/>
      </c>
      <c r="AA88" s="71"/>
      <c r="AB88" s="10" t="str">
        <f t="shared" si="51"/>
        <v/>
      </c>
      <c r="AC88" s="10" t="str">
        <f t="shared" si="66"/>
        <v/>
      </c>
      <c r="AD88" s="71"/>
      <c r="AE88" s="10" t="str">
        <f t="shared" si="52"/>
        <v/>
      </c>
      <c r="AF88" s="10" t="str">
        <f t="shared" si="67"/>
        <v/>
      </c>
      <c r="AG88" s="71"/>
      <c r="AH88" s="10" t="str">
        <f t="shared" si="53"/>
        <v/>
      </c>
      <c r="AI88" s="10" t="str">
        <f t="shared" si="68"/>
        <v/>
      </c>
      <c r="AJ88" s="71"/>
      <c r="AK88" s="10" t="str">
        <f t="shared" si="69"/>
        <v/>
      </c>
      <c r="AL88" s="10" t="str">
        <f t="shared" si="70"/>
        <v/>
      </c>
      <c r="AM88" s="71"/>
      <c r="AN88" s="10" t="str">
        <f t="shared" si="54"/>
        <v/>
      </c>
      <c r="AO88" s="10" t="str">
        <f t="shared" si="71"/>
        <v/>
      </c>
      <c r="AP88" s="71"/>
      <c r="AQ88" s="10" t="str">
        <f t="shared" si="55"/>
        <v/>
      </c>
      <c r="AR88" s="10" t="str">
        <f t="shared" si="72"/>
        <v/>
      </c>
      <c r="AS88" s="71"/>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U88" s="71"/>
      <c r="AV88" s="10" t="str">
        <f t="shared" si="56"/>
        <v/>
      </c>
      <c r="AW88" s="10" t="str">
        <f t="shared" si="73"/>
        <v/>
      </c>
      <c r="AX88" s="71"/>
      <c r="AY88" s="7" t="str">
        <f>IF(ISERROR(IF($K88&lt;=$F$15,VLOOKUP($I88,'表4）CO2価格'!$A$7:$E$67,VLOOKUP($F$48,'表4）CO2価格'!$H$10:$I$12,2,0),0)*$F$8/1000,"")),0,IF($K88&lt;=$F$15,VLOOKUP($I88,'表4）CO2価格'!$A$7:$E$67,VLOOKUP($F$48,'表4）CO2価格'!$H$10:$I$12,2,0),0)*$F$8/1000,""))</f>
        <v/>
      </c>
      <c r="AZ88" s="71"/>
      <c r="BA88" s="11" t="str">
        <f t="shared" si="57"/>
        <v/>
      </c>
      <c r="BB88" s="10" t="str">
        <f t="shared" si="74"/>
        <v/>
      </c>
      <c r="BC88" s="71"/>
      <c r="BD88" s="10" t="str">
        <f t="shared" si="58"/>
        <v/>
      </c>
      <c r="BE88" s="10" t="str">
        <f t="shared" si="75"/>
        <v/>
      </c>
      <c r="BF88" s="71"/>
      <c r="BG88" s="11" t="str">
        <f t="shared" si="59"/>
        <v/>
      </c>
      <c r="BH88" s="10" t="str">
        <f t="shared" si="76"/>
        <v/>
      </c>
      <c r="BJ88" s="10"/>
      <c r="BK88" s="158"/>
      <c r="BL88" s="158"/>
      <c r="BM88" s="10"/>
      <c r="BN88" s="10"/>
      <c r="BO88" s="10"/>
      <c r="BP88" s="71"/>
      <c r="BQ88" s="10" t="str">
        <f t="shared" si="60"/>
        <v/>
      </c>
      <c r="BR88" s="10" t="str">
        <f t="shared" si="77"/>
        <v/>
      </c>
    </row>
    <row r="89" spans="4:70" x14ac:dyDescent="0.15">
      <c r="F89" s="91">
        <f>AO116/$BR$116</f>
        <v>0</v>
      </c>
      <c r="I89" s="458">
        <f t="shared" si="78"/>
        <v>2094</v>
      </c>
      <c r="J89" s="39"/>
      <c r="K89" s="39">
        <f t="shared" si="79"/>
        <v>75</v>
      </c>
      <c r="L89" s="39"/>
      <c r="M89" s="40">
        <f t="shared" si="47"/>
        <v>0.10894521169560026</v>
      </c>
      <c r="N89" s="39"/>
      <c r="O89" s="72" t="str">
        <f t="shared" si="61"/>
        <v/>
      </c>
      <c r="P89" s="41" t="str">
        <f t="shared" si="48"/>
        <v/>
      </c>
      <c r="Q89" s="39"/>
      <c r="R89" s="72" t="str">
        <f t="shared" si="62"/>
        <v/>
      </c>
      <c r="S89" s="39"/>
      <c r="T89" s="72" t="str">
        <f t="shared" si="63"/>
        <v/>
      </c>
      <c r="U89" s="39"/>
      <c r="V89" s="72" t="str">
        <f t="shared" si="49"/>
        <v/>
      </c>
      <c r="W89" s="72" t="str">
        <f t="shared" si="64"/>
        <v/>
      </c>
      <c r="X89" s="39"/>
      <c r="Y89" s="72" t="str">
        <f t="shared" si="50"/>
        <v/>
      </c>
      <c r="Z89" s="72" t="str">
        <f t="shared" si="65"/>
        <v/>
      </c>
      <c r="AA89" s="39"/>
      <c r="AB89" s="72" t="str">
        <f t="shared" si="51"/>
        <v/>
      </c>
      <c r="AC89" s="72" t="str">
        <f t="shared" si="66"/>
        <v/>
      </c>
      <c r="AD89" s="39"/>
      <c r="AE89" s="72" t="str">
        <f t="shared" si="52"/>
        <v/>
      </c>
      <c r="AF89" s="72" t="str">
        <f t="shared" si="67"/>
        <v/>
      </c>
      <c r="AG89" s="39"/>
      <c r="AH89" s="72" t="str">
        <f t="shared" si="53"/>
        <v/>
      </c>
      <c r="AI89" s="72" t="str">
        <f t="shared" si="68"/>
        <v/>
      </c>
      <c r="AJ89" s="39"/>
      <c r="AK89" s="72" t="str">
        <f t="shared" si="69"/>
        <v/>
      </c>
      <c r="AL89" s="72" t="str">
        <f t="shared" si="70"/>
        <v/>
      </c>
      <c r="AM89" s="39"/>
      <c r="AN89" s="72" t="str">
        <f t="shared" si="54"/>
        <v/>
      </c>
      <c r="AO89" s="72" t="str">
        <f t="shared" si="71"/>
        <v/>
      </c>
      <c r="AP89" s="39"/>
      <c r="AQ89" s="72" t="str">
        <f t="shared" si="55"/>
        <v/>
      </c>
      <c r="AR89" s="72" t="str">
        <f t="shared" si="72"/>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56"/>
        <v/>
      </c>
      <c r="AW89" s="72" t="str">
        <f t="shared" si="73"/>
        <v/>
      </c>
      <c r="AX89" s="39"/>
      <c r="AY89" s="40" t="str">
        <f>IF(ISERROR(IF($K89&lt;=$F$15,VLOOKUP($I89,'表4）CO2価格'!$A$7:$E$67,VLOOKUP($F$48,'表4）CO2価格'!$H$10:$I$12,2,0),0)*$F$8/1000,"")),0,IF($K89&lt;=$F$15,VLOOKUP($I89,'表4）CO2価格'!$A$7:$E$67,VLOOKUP($F$48,'表4）CO2価格'!$H$10:$I$12,2,0),0)*$F$8/1000,""))</f>
        <v/>
      </c>
      <c r="AZ89" s="39"/>
      <c r="BA89" s="42" t="str">
        <f t="shared" si="57"/>
        <v/>
      </c>
      <c r="BB89" s="72" t="str">
        <f t="shared" si="74"/>
        <v/>
      </c>
      <c r="BC89" s="39"/>
      <c r="BD89" s="72" t="str">
        <f t="shared" si="58"/>
        <v/>
      </c>
      <c r="BE89" s="72" t="str">
        <f t="shared" si="75"/>
        <v/>
      </c>
      <c r="BF89" s="39"/>
      <c r="BG89" s="42" t="str">
        <f t="shared" si="59"/>
        <v/>
      </c>
      <c r="BH89" s="72" t="str">
        <f t="shared" si="76"/>
        <v/>
      </c>
      <c r="BI89" s="39"/>
      <c r="BJ89" s="72"/>
      <c r="BK89" s="157"/>
      <c r="BL89" s="157"/>
      <c r="BM89" s="72"/>
      <c r="BN89" s="72"/>
      <c r="BO89" s="72"/>
      <c r="BP89" s="39"/>
      <c r="BQ89" s="72" t="str">
        <f t="shared" si="60"/>
        <v/>
      </c>
      <c r="BR89" s="72" t="str">
        <f t="shared" si="77"/>
        <v/>
      </c>
    </row>
    <row r="90" spans="4:70" x14ac:dyDescent="0.15">
      <c r="F90" s="91">
        <f>AR116/$BR$116</f>
        <v>0</v>
      </c>
      <c r="I90" s="459">
        <f t="shared" si="78"/>
        <v>2095</v>
      </c>
      <c r="J90" s="71"/>
      <c r="K90" s="71">
        <f t="shared" si="79"/>
        <v>76</v>
      </c>
      <c r="L90" s="71"/>
      <c r="M90" s="7">
        <f t="shared" si="47"/>
        <v>0.10577205018990318</v>
      </c>
      <c r="N90" s="71"/>
      <c r="O90" s="10" t="str">
        <f t="shared" si="61"/>
        <v/>
      </c>
      <c r="P90" s="29" t="str">
        <f t="shared" si="48"/>
        <v/>
      </c>
      <c r="Q90" s="71"/>
      <c r="R90" s="10" t="str">
        <f t="shared" si="62"/>
        <v/>
      </c>
      <c r="S90" s="71"/>
      <c r="T90" s="10" t="str">
        <f t="shared" si="63"/>
        <v/>
      </c>
      <c r="U90" s="71"/>
      <c r="V90" s="10" t="str">
        <f t="shared" si="49"/>
        <v/>
      </c>
      <c r="W90" s="10" t="str">
        <f t="shared" si="64"/>
        <v/>
      </c>
      <c r="X90" s="71"/>
      <c r="Y90" s="10" t="str">
        <f t="shared" si="50"/>
        <v/>
      </c>
      <c r="Z90" s="10" t="str">
        <f t="shared" si="65"/>
        <v/>
      </c>
      <c r="AA90" s="71"/>
      <c r="AB90" s="10" t="str">
        <f t="shared" si="51"/>
        <v/>
      </c>
      <c r="AC90" s="10" t="str">
        <f t="shared" si="66"/>
        <v/>
      </c>
      <c r="AD90" s="71"/>
      <c r="AE90" s="10" t="str">
        <f t="shared" si="52"/>
        <v/>
      </c>
      <c r="AF90" s="10" t="str">
        <f t="shared" si="67"/>
        <v/>
      </c>
      <c r="AG90" s="71"/>
      <c r="AH90" s="10" t="str">
        <f t="shared" si="53"/>
        <v/>
      </c>
      <c r="AI90" s="10" t="str">
        <f t="shared" si="68"/>
        <v/>
      </c>
      <c r="AJ90" s="71"/>
      <c r="AK90" s="10" t="str">
        <f t="shared" si="69"/>
        <v/>
      </c>
      <c r="AL90" s="10" t="str">
        <f t="shared" si="70"/>
        <v/>
      </c>
      <c r="AM90" s="71"/>
      <c r="AN90" s="10" t="str">
        <f t="shared" si="54"/>
        <v/>
      </c>
      <c r="AO90" s="10" t="str">
        <f t="shared" si="71"/>
        <v/>
      </c>
      <c r="AP90" s="71"/>
      <c r="AQ90" s="10" t="str">
        <f t="shared" si="55"/>
        <v/>
      </c>
      <c r="AR90" s="10" t="str">
        <f t="shared" si="72"/>
        <v/>
      </c>
      <c r="AS90" s="71"/>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U90" s="71"/>
      <c r="AV90" s="10" t="str">
        <f t="shared" si="56"/>
        <v/>
      </c>
      <c r="AW90" s="10" t="str">
        <f t="shared" si="73"/>
        <v/>
      </c>
      <c r="AX90" s="71"/>
      <c r="AY90" s="7" t="str">
        <f>IF(ISERROR(IF($K90&lt;=$F$15,VLOOKUP($I90,'表4）CO2価格'!$A$7:$E$67,VLOOKUP($F$48,'表4）CO2価格'!$H$10:$I$12,2,0),0)*$F$8/1000,"")),0,IF($K90&lt;=$F$15,VLOOKUP($I90,'表4）CO2価格'!$A$7:$E$67,VLOOKUP($F$48,'表4）CO2価格'!$H$10:$I$12,2,0),0)*$F$8/1000,""))</f>
        <v/>
      </c>
      <c r="AZ90" s="71"/>
      <c r="BA90" s="11" t="str">
        <f t="shared" si="57"/>
        <v/>
      </c>
      <c r="BB90" s="10" t="str">
        <f t="shared" si="74"/>
        <v/>
      </c>
      <c r="BC90" s="71"/>
      <c r="BD90" s="10" t="str">
        <f t="shared" si="58"/>
        <v/>
      </c>
      <c r="BE90" s="10" t="str">
        <f t="shared" si="75"/>
        <v/>
      </c>
      <c r="BF90" s="71"/>
      <c r="BG90" s="11" t="str">
        <f t="shared" si="59"/>
        <v/>
      </c>
      <c r="BH90" s="10" t="str">
        <f t="shared" si="76"/>
        <v/>
      </c>
      <c r="BJ90" s="10"/>
      <c r="BK90" s="158"/>
      <c r="BL90" s="158"/>
      <c r="BM90" s="10"/>
      <c r="BN90" s="10"/>
      <c r="BO90" s="10"/>
      <c r="BP90" s="71"/>
      <c r="BQ90" s="10" t="str">
        <f t="shared" si="60"/>
        <v/>
      </c>
      <c r="BR90" s="10" t="str">
        <f t="shared" si="77"/>
        <v/>
      </c>
    </row>
    <row r="91" spans="4:70" x14ac:dyDescent="0.15">
      <c r="F91" s="93"/>
      <c r="I91" s="458">
        <f t="shared" si="78"/>
        <v>2096</v>
      </c>
      <c r="J91" s="39"/>
      <c r="K91" s="39">
        <f t="shared" si="79"/>
        <v>77</v>
      </c>
      <c r="L91" s="39"/>
      <c r="M91" s="40">
        <f t="shared" si="47"/>
        <v>0.10269131086398368</v>
      </c>
      <c r="N91" s="39"/>
      <c r="O91" s="72" t="str">
        <f t="shared" si="61"/>
        <v/>
      </c>
      <c r="P91" s="41" t="str">
        <f t="shared" si="48"/>
        <v/>
      </c>
      <c r="Q91" s="39"/>
      <c r="R91" s="72" t="str">
        <f t="shared" si="62"/>
        <v/>
      </c>
      <c r="S91" s="39"/>
      <c r="T91" s="72" t="str">
        <f t="shared" si="63"/>
        <v/>
      </c>
      <c r="U91" s="39"/>
      <c r="V91" s="72" t="str">
        <f t="shared" si="49"/>
        <v/>
      </c>
      <c r="W91" s="72" t="str">
        <f t="shared" si="64"/>
        <v/>
      </c>
      <c r="X91" s="39"/>
      <c r="Y91" s="72" t="str">
        <f t="shared" si="50"/>
        <v/>
      </c>
      <c r="Z91" s="72" t="str">
        <f t="shared" si="65"/>
        <v/>
      </c>
      <c r="AA91" s="39"/>
      <c r="AB91" s="72" t="str">
        <f t="shared" si="51"/>
        <v/>
      </c>
      <c r="AC91" s="72" t="str">
        <f t="shared" si="66"/>
        <v/>
      </c>
      <c r="AD91" s="39"/>
      <c r="AE91" s="72" t="str">
        <f t="shared" si="52"/>
        <v/>
      </c>
      <c r="AF91" s="72" t="str">
        <f t="shared" si="67"/>
        <v/>
      </c>
      <c r="AG91" s="39"/>
      <c r="AH91" s="72" t="str">
        <f t="shared" si="53"/>
        <v/>
      </c>
      <c r="AI91" s="72" t="str">
        <f t="shared" si="68"/>
        <v/>
      </c>
      <c r="AJ91" s="39"/>
      <c r="AK91" s="72" t="str">
        <f t="shared" si="69"/>
        <v/>
      </c>
      <c r="AL91" s="72" t="str">
        <f t="shared" si="70"/>
        <v/>
      </c>
      <c r="AM91" s="39"/>
      <c r="AN91" s="72" t="str">
        <f t="shared" si="54"/>
        <v/>
      </c>
      <c r="AO91" s="72" t="str">
        <f t="shared" si="71"/>
        <v/>
      </c>
      <c r="AP91" s="39"/>
      <c r="AQ91" s="72" t="str">
        <f t="shared" si="55"/>
        <v/>
      </c>
      <c r="AR91" s="72" t="str">
        <f t="shared" si="72"/>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56"/>
        <v/>
      </c>
      <c r="AW91" s="72" t="str">
        <f t="shared" si="73"/>
        <v/>
      </c>
      <c r="AX91" s="39"/>
      <c r="AY91" s="40" t="str">
        <f>IF(ISERROR(IF($K91&lt;=$F$15,VLOOKUP($I91,'表4）CO2価格'!$A$7:$E$67,VLOOKUP($F$48,'表4）CO2価格'!$H$10:$I$12,2,0),0)*$F$8/1000,"")),0,IF($K91&lt;=$F$15,VLOOKUP($I91,'表4）CO2価格'!$A$7:$E$67,VLOOKUP($F$48,'表4）CO2価格'!$H$10:$I$12,2,0),0)*$F$8/1000,""))</f>
        <v/>
      </c>
      <c r="AZ91" s="39"/>
      <c r="BA91" s="42" t="str">
        <f t="shared" si="57"/>
        <v/>
      </c>
      <c r="BB91" s="72" t="str">
        <f t="shared" si="74"/>
        <v/>
      </c>
      <c r="BC91" s="39"/>
      <c r="BD91" s="72" t="str">
        <f t="shared" si="58"/>
        <v/>
      </c>
      <c r="BE91" s="72" t="str">
        <f t="shared" si="75"/>
        <v/>
      </c>
      <c r="BF91" s="39"/>
      <c r="BG91" s="42" t="str">
        <f t="shared" si="59"/>
        <v/>
      </c>
      <c r="BH91" s="72" t="str">
        <f t="shared" si="76"/>
        <v/>
      </c>
      <c r="BI91" s="39"/>
      <c r="BJ91" s="72"/>
      <c r="BK91" s="157"/>
      <c r="BL91" s="157"/>
      <c r="BM91" s="72"/>
      <c r="BN91" s="72"/>
      <c r="BO91" s="72"/>
      <c r="BP91" s="39"/>
      <c r="BQ91" s="72" t="str">
        <f t="shared" si="60"/>
        <v/>
      </c>
      <c r="BR91" s="72" t="str">
        <f t="shared" si="77"/>
        <v/>
      </c>
    </row>
    <row r="92" spans="4:70" ht="15" x14ac:dyDescent="0.15">
      <c r="D92" s="116" t="s">
        <v>196</v>
      </c>
      <c r="F92" s="94">
        <f>SUBTOTAL(9,F96:F97)</f>
        <v>0</v>
      </c>
      <c r="I92" s="459">
        <f t="shared" si="78"/>
        <v>2097</v>
      </c>
      <c r="J92" s="71"/>
      <c r="K92" s="71">
        <f t="shared" si="79"/>
        <v>78</v>
      </c>
      <c r="L92" s="71"/>
      <c r="M92" s="7">
        <f t="shared" si="47"/>
        <v>9.9700301809692873E-2</v>
      </c>
      <c r="N92" s="71"/>
      <c r="O92" s="10" t="str">
        <f t="shared" si="61"/>
        <v/>
      </c>
      <c r="P92" s="29" t="str">
        <f t="shared" si="48"/>
        <v/>
      </c>
      <c r="Q92" s="71"/>
      <c r="R92" s="10" t="str">
        <f t="shared" si="62"/>
        <v/>
      </c>
      <c r="S92" s="71"/>
      <c r="T92" s="10" t="str">
        <f t="shared" si="63"/>
        <v/>
      </c>
      <c r="U92" s="71"/>
      <c r="V92" s="10" t="str">
        <f t="shared" si="49"/>
        <v/>
      </c>
      <c r="W92" s="10" t="str">
        <f t="shared" si="64"/>
        <v/>
      </c>
      <c r="X92" s="71"/>
      <c r="Y92" s="10" t="str">
        <f t="shared" si="50"/>
        <v/>
      </c>
      <c r="Z92" s="10" t="str">
        <f t="shared" si="65"/>
        <v/>
      </c>
      <c r="AA92" s="71"/>
      <c r="AB92" s="10" t="str">
        <f t="shared" si="51"/>
        <v/>
      </c>
      <c r="AC92" s="10" t="str">
        <f t="shared" si="66"/>
        <v/>
      </c>
      <c r="AD92" s="71"/>
      <c r="AE92" s="10" t="str">
        <f t="shared" si="52"/>
        <v/>
      </c>
      <c r="AF92" s="10" t="str">
        <f t="shared" si="67"/>
        <v/>
      </c>
      <c r="AG92" s="71"/>
      <c r="AH92" s="10" t="str">
        <f t="shared" si="53"/>
        <v/>
      </c>
      <c r="AI92" s="10" t="str">
        <f t="shared" si="68"/>
        <v/>
      </c>
      <c r="AJ92" s="71"/>
      <c r="AK92" s="10" t="str">
        <f t="shared" si="69"/>
        <v/>
      </c>
      <c r="AL92" s="10" t="str">
        <f t="shared" si="70"/>
        <v/>
      </c>
      <c r="AM92" s="71"/>
      <c r="AN92" s="10" t="str">
        <f t="shared" si="54"/>
        <v/>
      </c>
      <c r="AO92" s="10" t="str">
        <f t="shared" si="71"/>
        <v/>
      </c>
      <c r="AP92" s="71"/>
      <c r="AQ92" s="10" t="str">
        <f t="shared" si="55"/>
        <v/>
      </c>
      <c r="AR92" s="10" t="str">
        <f t="shared" si="72"/>
        <v/>
      </c>
      <c r="AS92" s="71"/>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U92" s="71"/>
      <c r="AV92" s="10" t="str">
        <f t="shared" si="56"/>
        <v/>
      </c>
      <c r="AW92" s="10" t="str">
        <f t="shared" si="73"/>
        <v/>
      </c>
      <c r="AX92" s="71"/>
      <c r="AY92" s="7" t="str">
        <f>IF(ISERROR(IF($K92&lt;=$F$15,VLOOKUP($I92,'表4）CO2価格'!$A$7:$E$67,VLOOKUP($F$48,'表4）CO2価格'!$H$10:$I$12,2,0),0)*$F$8/1000,"")),0,IF($K92&lt;=$F$15,VLOOKUP($I92,'表4）CO2価格'!$A$7:$E$67,VLOOKUP($F$48,'表4）CO2価格'!$H$10:$I$12,2,0),0)*$F$8/1000,""))</f>
        <v/>
      </c>
      <c r="AZ92" s="71"/>
      <c r="BA92" s="11" t="str">
        <f t="shared" si="57"/>
        <v/>
      </c>
      <c r="BB92" s="10" t="str">
        <f t="shared" si="74"/>
        <v/>
      </c>
      <c r="BC92" s="71"/>
      <c r="BD92" s="10" t="str">
        <f t="shared" si="58"/>
        <v/>
      </c>
      <c r="BE92" s="10" t="str">
        <f t="shared" si="75"/>
        <v/>
      </c>
      <c r="BF92" s="71"/>
      <c r="BG92" s="11" t="str">
        <f t="shared" si="59"/>
        <v/>
      </c>
      <c r="BH92" s="10" t="str">
        <f t="shared" si="76"/>
        <v/>
      </c>
      <c r="BJ92" s="10"/>
      <c r="BK92" s="158"/>
      <c r="BL92" s="158"/>
      <c r="BM92" s="10"/>
      <c r="BN92" s="10"/>
      <c r="BO92" s="10"/>
      <c r="BP92" s="71"/>
      <c r="BQ92" s="10" t="str">
        <f t="shared" si="60"/>
        <v/>
      </c>
      <c r="BR92" s="10" t="str">
        <f t="shared" si="77"/>
        <v/>
      </c>
    </row>
    <row r="93" spans="4:70" ht="15" x14ac:dyDescent="0.15">
      <c r="D93" s="116"/>
      <c r="F93" s="93"/>
      <c r="I93" s="458">
        <f t="shared" si="78"/>
        <v>2098</v>
      </c>
      <c r="J93" s="39"/>
      <c r="K93" s="39">
        <f t="shared" si="79"/>
        <v>79</v>
      </c>
      <c r="L93" s="39"/>
      <c r="M93" s="40">
        <f t="shared" si="47"/>
        <v>9.679640952397367E-2</v>
      </c>
      <c r="N93" s="39"/>
      <c r="O93" s="72" t="str">
        <f t="shared" si="61"/>
        <v/>
      </c>
      <c r="P93" s="41" t="str">
        <f t="shared" si="48"/>
        <v/>
      </c>
      <c r="Q93" s="39"/>
      <c r="R93" s="72" t="str">
        <f t="shared" si="62"/>
        <v/>
      </c>
      <c r="S93" s="39"/>
      <c r="T93" s="72" t="str">
        <f t="shared" si="63"/>
        <v/>
      </c>
      <c r="U93" s="39"/>
      <c r="V93" s="72" t="str">
        <f t="shared" si="49"/>
        <v/>
      </c>
      <c r="W93" s="72" t="str">
        <f t="shared" si="64"/>
        <v/>
      </c>
      <c r="X93" s="39"/>
      <c r="Y93" s="72" t="str">
        <f t="shared" si="50"/>
        <v/>
      </c>
      <c r="Z93" s="72" t="str">
        <f t="shared" si="65"/>
        <v/>
      </c>
      <c r="AA93" s="39"/>
      <c r="AB93" s="72" t="str">
        <f t="shared" si="51"/>
        <v/>
      </c>
      <c r="AC93" s="72" t="str">
        <f t="shared" si="66"/>
        <v/>
      </c>
      <c r="AD93" s="39"/>
      <c r="AE93" s="72" t="str">
        <f t="shared" si="52"/>
        <v/>
      </c>
      <c r="AF93" s="72" t="str">
        <f t="shared" si="67"/>
        <v/>
      </c>
      <c r="AG93" s="39"/>
      <c r="AH93" s="72" t="str">
        <f t="shared" si="53"/>
        <v/>
      </c>
      <c r="AI93" s="72" t="str">
        <f t="shared" si="68"/>
        <v/>
      </c>
      <c r="AJ93" s="39"/>
      <c r="AK93" s="72" t="str">
        <f t="shared" si="69"/>
        <v/>
      </c>
      <c r="AL93" s="72" t="str">
        <f t="shared" si="70"/>
        <v/>
      </c>
      <c r="AM93" s="39"/>
      <c r="AN93" s="72" t="str">
        <f t="shared" si="54"/>
        <v/>
      </c>
      <c r="AO93" s="72" t="str">
        <f t="shared" si="71"/>
        <v/>
      </c>
      <c r="AP93" s="39"/>
      <c r="AQ93" s="72" t="str">
        <f t="shared" si="55"/>
        <v/>
      </c>
      <c r="AR93" s="72" t="str">
        <f t="shared" si="72"/>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56"/>
        <v/>
      </c>
      <c r="AW93" s="72" t="str">
        <f t="shared" si="73"/>
        <v/>
      </c>
      <c r="AX93" s="39"/>
      <c r="AY93" s="40" t="str">
        <f>IF(ISERROR(IF($K93&lt;=$F$15,VLOOKUP($I93,'表4）CO2価格'!$A$7:$E$67,VLOOKUP($F$48,'表4）CO2価格'!$H$10:$I$12,2,0),0)*$F$8/1000,"")),0,IF($K93&lt;=$F$15,VLOOKUP($I93,'表4）CO2価格'!$A$7:$E$67,VLOOKUP($F$48,'表4）CO2価格'!$H$10:$I$12,2,0),0)*$F$8/1000,""))</f>
        <v/>
      </c>
      <c r="AZ93" s="39"/>
      <c r="BA93" s="42" t="str">
        <f t="shared" si="57"/>
        <v/>
      </c>
      <c r="BB93" s="72" t="str">
        <f t="shared" si="74"/>
        <v/>
      </c>
      <c r="BC93" s="39"/>
      <c r="BD93" s="72" t="str">
        <f t="shared" si="58"/>
        <v/>
      </c>
      <c r="BE93" s="72" t="str">
        <f t="shared" si="75"/>
        <v/>
      </c>
      <c r="BF93" s="39"/>
      <c r="BG93" s="42" t="str">
        <f t="shared" si="59"/>
        <v/>
      </c>
      <c r="BH93" s="72" t="str">
        <f t="shared" si="76"/>
        <v/>
      </c>
      <c r="BI93" s="39"/>
      <c r="BJ93" s="72"/>
      <c r="BK93" s="157"/>
      <c r="BL93" s="157"/>
      <c r="BM93" s="72"/>
      <c r="BN93" s="72"/>
      <c r="BO93" s="72"/>
      <c r="BP93" s="39"/>
      <c r="BQ93" s="72" t="str">
        <f t="shared" si="60"/>
        <v/>
      </c>
      <c r="BR93" s="72" t="str">
        <f t="shared" si="77"/>
        <v/>
      </c>
    </row>
    <row r="94" spans="4:70" x14ac:dyDescent="0.15">
      <c r="D94" s="101" t="s">
        <v>197</v>
      </c>
      <c r="E94" s="101"/>
      <c r="F94" s="92"/>
      <c r="G94" s="101"/>
      <c r="I94" s="459">
        <f t="shared" si="78"/>
        <v>2099</v>
      </c>
      <c r="J94" s="71"/>
      <c r="K94" s="71">
        <f t="shared" si="79"/>
        <v>80</v>
      </c>
      <c r="L94" s="71"/>
      <c r="M94" s="7">
        <f t="shared" si="47"/>
        <v>9.3977096625217166E-2</v>
      </c>
      <c r="N94" s="71"/>
      <c r="O94" s="10" t="str">
        <f t="shared" si="61"/>
        <v/>
      </c>
      <c r="P94" s="29" t="str">
        <f t="shared" si="48"/>
        <v/>
      </c>
      <c r="Q94" s="71"/>
      <c r="R94" s="10" t="str">
        <f t="shared" si="62"/>
        <v/>
      </c>
      <c r="S94" s="71"/>
      <c r="T94" s="10" t="str">
        <f t="shared" si="63"/>
        <v/>
      </c>
      <c r="U94" s="71"/>
      <c r="V94" s="10" t="str">
        <f t="shared" si="49"/>
        <v/>
      </c>
      <c r="W94" s="10" t="str">
        <f t="shared" si="64"/>
        <v/>
      </c>
      <c r="X94" s="71"/>
      <c r="Y94" s="10" t="str">
        <f t="shared" si="50"/>
        <v/>
      </c>
      <c r="Z94" s="10" t="str">
        <f t="shared" si="65"/>
        <v/>
      </c>
      <c r="AA94" s="71"/>
      <c r="AB94" s="10" t="str">
        <f t="shared" si="51"/>
        <v/>
      </c>
      <c r="AC94" s="10" t="str">
        <f t="shared" si="66"/>
        <v/>
      </c>
      <c r="AD94" s="71"/>
      <c r="AE94" s="10" t="str">
        <f t="shared" si="52"/>
        <v/>
      </c>
      <c r="AF94" s="10" t="str">
        <f t="shared" si="67"/>
        <v/>
      </c>
      <c r="AG94" s="71"/>
      <c r="AH94" s="10" t="str">
        <f t="shared" si="53"/>
        <v/>
      </c>
      <c r="AI94" s="10" t="str">
        <f t="shared" si="68"/>
        <v/>
      </c>
      <c r="AJ94" s="71"/>
      <c r="AK94" s="10" t="str">
        <f t="shared" si="69"/>
        <v/>
      </c>
      <c r="AL94" s="10" t="str">
        <f t="shared" si="70"/>
        <v/>
      </c>
      <c r="AM94" s="71"/>
      <c r="AN94" s="10" t="str">
        <f t="shared" si="54"/>
        <v/>
      </c>
      <c r="AO94" s="10" t="str">
        <f t="shared" si="71"/>
        <v/>
      </c>
      <c r="AP94" s="71"/>
      <c r="AQ94" s="10" t="str">
        <f t="shared" si="55"/>
        <v/>
      </c>
      <c r="AR94" s="10" t="str">
        <f t="shared" si="72"/>
        <v/>
      </c>
      <c r="AS94" s="71"/>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U94" s="71"/>
      <c r="AV94" s="10" t="str">
        <f t="shared" si="56"/>
        <v/>
      </c>
      <c r="AW94" s="10" t="str">
        <f t="shared" si="73"/>
        <v/>
      </c>
      <c r="AX94" s="71"/>
      <c r="AY94" s="7" t="str">
        <f>IF(ISERROR(IF($K94&lt;=$F$15,VLOOKUP($I94,'表4）CO2価格'!$A$7:$E$67,VLOOKUP($F$48,'表4）CO2価格'!$H$10:$I$12,2,0),0)*$F$8/1000,"")),0,IF($K94&lt;=$F$15,VLOOKUP($I94,'表4）CO2価格'!$A$7:$E$67,VLOOKUP($F$48,'表4）CO2価格'!$H$10:$I$12,2,0),0)*$F$8/1000,""))</f>
        <v/>
      </c>
      <c r="AZ94" s="71"/>
      <c r="BA94" s="11" t="str">
        <f t="shared" si="57"/>
        <v/>
      </c>
      <c r="BB94" s="10" t="str">
        <f t="shared" si="74"/>
        <v/>
      </c>
      <c r="BC94" s="71"/>
      <c r="BD94" s="10" t="str">
        <f t="shared" si="58"/>
        <v/>
      </c>
      <c r="BE94" s="10" t="str">
        <f t="shared" si="75"/>
        <v/>
      </c>
      <c r="BF94" s="71"/>
      <c r="BG94" s="11" t="str">
        <f t="shared" si="59"/>
        <v/>
      </c>
      <c r="BH94" s="10" t="str">
        <f t="shared" si="76"/>
        <v/>
      </c>
      <c r="BJ94" s="10"/>
      <c r="BK94" s="158"/>
      <c r="BL94" s="158"/>
      <c r="BM94" s="10"/>
      <c r="BN94" s="10"/>
      <c r="BO94" s="10"/>
      <c r="BP94" s="71"/>
      <c r="BQ94" s="10" t="str">
        <f t="shared" si="60"/>
        <v/>
      </c>
      <c r="BR94" s="10" t="str">
        <f t="shared" si="77"/>
        <v/>
      </c>
    </row>
    <row r="95" spans="4:70" ht="15" x14ac:dyDescent="0.15">
      <c r="D95" s="116"/>
      <c r="F95" s="93"/>
      <c r="I95" s="458">
        <f t="shared" si="78"/>
        <v>2100</v>
      </c>
      <c r="J95" s="39"/>
      <c r="K95" s="39">
        <f t="shared" si="79"/>
        <v>81</v>
      </c>
      <c r="L95" s="39"/>
      <c r="M95" s="40">
        <f t="shared" si="47"/>
        <v>9.1239899636133173E-2</v>
      </c>
      <c r="N95" s="39"/>
      <c r="O95" s="72" t="str">
        <f t="shared" si="61"/>
        <v/>
      </c>
      <c r="P95" s="41" t="str">
        <f t="shared" si="48"/>
        <v/>
      </c>
      <c r="Q95" s="39"/>
      <c r="R95" s="72" t="str">
        <f t="shared" si="62"/>
        <v/>
      </c>
      <c r="S95" s="39"/>
      <c r="T95" s="72" t="str">
        <f t="shared" si="63"/>
        <v/>
      </c>
      <c r="U95" s="39"/>
      <c r="V95" s="72" t="str">
        <f t="shared" si="49"/>
        <v/>
      </c>
      <c r="W95" s="72" t="str">
        <f t="shared" si="64"/>
        <v/>
      </c>
      <c r="X95" s="39"/>
      <c r="Y95" s="72" t="str">
        <f t="shared" si="50"/>
        <v/>
      </c>
      <c r="Z95" s="72" t="str">
        <f t="shared" si="65"/>
        <v/>
      </c>
      <c r="AA95" s="39"/>
      <c r="AB95" s="72" t="str">
        <f t="shared" si="51"/>
        <v/>
      </c>
      <c r="AC95" s="72" t="str">
        <f t="shared" si="66"/>
        <v/>
      </c>
      <c r="AD95" s="39"/>
      <c r="AE95" s="72" t="str">
        <f t="shared" si="52"/>
        <v/>
      </c>
      <c r="AF95" s="72" t="str">
        <f t="shared" si="67"/>
        <v/>
      </c>
      <c r="AG95" s="39"/>
      <c r="AH95" s="72" t="str">
        <f t="shared" si="53"/>
        <v/>
      </c>
      <c r="AI95" s="72" t="str">
        <f t="shared" si="68"/>
        <v/>
      </c>
      <c r="AJ95" s="39"/>
      <c r="AK95" s="72" t="str">
        <f t="shared" si="69"/>
        <v/>
      </c>
      <c r="AL95" s="72" t="str">
        <f t="shared" si="70"/>
        <v/>
      </c>
      <c r="AM95" s="39"/>
      <c r="AN95" s="72" t="str">
        <f t="shared" si="54"/>
        <v/>
      </c>
      <c r="AO95" s="72" t="str">
        <f t="shared" si="71"/>
        <v/>
      </c>
      <c r="AP95" s="39"/>
      <c r="AQ95" s="72" t="str">
        <f t="shared" si="55"/>
        <v/>
      </c>
      <c r="AR95" s="72" t="str">
        <f t="shared" si="72"/>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56"/>
        <v/>
      </c>
      <c r="AW95" s="72" t="str">
        <f t="shared" si="73"/>
        <v/>
      </c>
      <c r="AX95" s="39"/>
      <c r="AY95" s="40" t="str">
        <f>IF(ISERROR(IF($K95&lt;=$F$15,VLOOKUP($I95,'表4）CO2価格'!$A$7:$E$67,VLOOKUP($F$48,'表4）CO2価格'!$H$10:$I$12,2,0),0)*$F$8/1000,"")),0,IF($K95&lt;=$F$15,VLOOKUP($I95,'表4）CO2価格'!$A$7:$E$67,VLOOKUP($F$48,'表4）CO2価格'!$H$10:$I$12,2,0),0)*$F$8/1000,""))</f>
        <v/>
      </c>
      <c r="AZ95" s="39"/>
      <c r="BA95" s="42" t="str">
        <f t="shared" si="57"/>
        <v/>
      </c>
      <c r="BB95" s="72" t="str">
        <f t="shared" si="74"/>
        <v/>
      </c>
      <c r="BC95" s="39"/>
      <c r="BD95" s="72" t="str">
        <f t="shared" si="58"/>
        <v/>
      </c>
      <c r="BE95" s="72" t="str">
        <f t="shared" si="75"/>
        <v/>
      </c>
      <c r="BF95" s="39"/>
      <c r="BG95" s="42" t="str">
        <f t="shared" si="59"/>
        <v/>
      </c>
      <c r="BH95" s="72" t="str">
        <f t="shared" si="76"/>
        <v/>
      </c>
      <c r="BI95" s="39"/>
      <c r="BJ95" s="72"/>
      <c r="BK95" s="157"/>
      <c r="BL95" s="157"/>
      <c r="BM95" s="72"/>
      <c r="BN95" s="72"/>
      <c r="BO95" s="72"/>
      <c r="BP95" s="39"/>
      <c r="BQ95" s="72" t="str">
        <f t="shared" si="60"/>
        <v/>
      </c>
      <c r="BR95" s="72" t="str">
        <f t="shared" si="77"/>
        <v/>
      </c>
    </row>
    <row r="96" spans="4:70" ht="15" x14ac:dyDescent="0.15">
      <c r="D96" s="116"/>
      <c r="E96" s="81" t="s">
        <v>198</v>
      </c>
      <c r="F96" s="91">
        <f>IF(F3&lt;&gt;"原子力",AW116/$BR$116,0)</f>
        <v>0</v>
      </c>
      <c r="G96" s="81" t="s">
        <v>132</v>
      </c>
      <c r="I96" s="459">
        <f t="shared" si="78"/>
        <v>2101</v>
      </c>
      <c r="J96" s="71"/>
      <c r="K96" s="71">
        <f t="shared" si="79"/>
        <v>82</v>
      </c>
      <c r="L96" s="71"/>
      <c r="M96" s="7">
        <f t="shared" si="47"/>
        <v>8.8582426831197242E-2</v>
      </c>
      <c r="N96" s="71"/>
      <c r="O96" s="10" t="str">
        <f t="shared" si="61"/>
        <v/>
      </c>
      <c r="P96" s="29" t="str">
        <f t="shared" si="48"/>
        <v/>
      </c>
      <c r="Q96" s="71"/>
      <c r="R96" s="10" t="str">
        <f t="shared" si="62"/>
        <v/>
      </c>
      <c r="S96" s="71"/>
      <c r="T96" s="10" t="str">
        <f t="shared" si="63"/>
        <v/>
      </c>
      <c r="U96" s="71"/>
      <c r="V96" s="10" t="str">
        <f t="shared" si="49"/>
        <v/>
      </c>
      <c r="W96" s="10" t="str">
        <f t="shared" si="64"/>
        <v/>
      </c>
      <c r="X96" s="71"/>
      <c r="Y96" s="10" t="str">
        <f t="shared" si="50"/>
        <v/>
      </c>
      <c r="Z96" s="10" t="str">
        <f t="shared" si="65"/>
        <v/>
      </c>
      <c r="AA96" s="71"/>
      <c r="AB96" s="10" t="str">
        <f t="shared" si="51"/>
        <v/>
      </c>
      <c r="AC96" s="10" t="str">
        <f t="shared" si="66"/>
        <v/>
      </c>
      <c r="AD96" s="71"/>
      <c r="AE96" s="10" t="str">
        <f t="shared" si="52"/>
        <v/>
      </c>
      <c r="AF96" s="10" t="str">
        <f t="shared" si="67"/>
        <v/>
      </c>
      <c r="AG96" s="71"/>
      <c r="AH96" s="10" t="str">
        <f t="shared" si="53"/>
        <v/>
      </c>
      <c r="AI96" s="10" t="str">
        <f t="shared" si="68"/>
        <v/>
      </c>
      <c r="AJ96" s="71"/>
      <c r="AK96" s="10" t="str">
        <f t="shared" si="69"/>
        <v/>
      </c>
      <c r="AL96" s="10" t="str">
        <f t="shared" si="70"/>
        <v/>
      </c>
      <c r="AM96" s="71"/>
      <c r="AN96" s="10" t="str">
        <f t="shared" si="54"/>
        <v/>
      </c>
      <c r="AO96" s="10" t="str">
        <f t="shared" si="71"/>
        <v/>
      </c>
      <c r="AP96" s="71"/>
      <c r="AQ96" s="10" t="str">
        <f t="shared" si="55"/>
        <v/>
      </c>
      <c r="AR96" s="10" t="str">
        <f t="shared" si="72"/>
        <v/>
      </c>
      <c r="AS96" s="71"/>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U96" s="71"/>
      <c r="AV96" s="10" t="str">
        <f t="shared" si="56"/>
        <v/>
      </c>
      <c r="AW96" s="10" t="str">
        <f t="shared" si="73"/>
        <v/>
      </c>
      <c r="AX96" s="71"/>
      <c r="AY96" s="7" t="str">
        <f>IF(ISERROR(IF($K96&lt;=$F$15,VLOOKUP($I96,'表4）CO2価格'!$A$7:$E$67,VLOOKUP($F$48,'表4）CO2価格'!$H$10:$I$12,2,0),0)*$F$8/1000,"")),0,IF($K96&lt;=$F$15,VLOOKUP($I96,'表4）CO2価格'!$A$7:$E$67,VLOOKUP($F$48,'表4）CO2価格'!$H$10:$I$12,2,0),0)*$F$8/1000,""))</f>
        <v/>
      </c>
      <c r="AZ96" s="71"/>
      <c r="BA96" s="11" t="str">
        <f t="shared" si="57"/>
        <v/>
      </c>
      <c r="BB96" s="10" t="str">
        <f t="shared" si="74"/>
        <v/>
      </c>
      <c r="BC96" s="71"/>
      <c r="BD96" s="10" t="str">
        <f t="shared" si="58"/>
        <v/>
      </c>
      <c r="BE96" s="10" t="str">
        <f t="shared" si="75"/>
        <v/>
      </c>
      <c r="BF96" s="71"/>
      <c r="BG96" s="11" t="str">
        <f t="shared" si="59"/>
        <v/>
      </c>
      <c r="BH96" s="10" t="str">
        <f t="shared" si="76"/>
        <v/>
      </c>
      <c r="BJ96" s="10"/>
      <c r="BK96" s="158"/>
      <c r="BL96" s="158"/>
      <c r="BM96" s="10"/>
      <c r="BN96" s="10"/>
      <c r="BO96" s="10"/>
      <c r="BP96" s="71"/>
      <c r="BQ96" s="10" t="str">
        <f t="shared" si="60"/>
        <v/>
      </c>
      <c r="BR96" s="10" t="str">
        <f t="shared" si="77"/>
        <v/>
      </c>
    </row>
    <row r="97" spans="4:70" ht="15" x14ac:dyDescent="0.15">
      <c r="D97" s="116"/>
      <c r="E97" s="81" t="s">
        <v>199</v>
      </c>
      <c r="F97" s="91">
        <f>IF(F3="原子力",#REF!,0)</f>
        <v>0</v>
      </c>
      <c r="G97" s="81" t="s">
        <v>132</v>
      </c>
      <c r="I97" s="458">
        <f t="shared" si="78"/>
        <v>2102</v>
      </c>
      <c r="J97" s="39"/>
      <c r="K97" s="39">
        <f t="shared" si="79"/>
        <v>83</v>
      </c>
      <c r="L97" s="39"/>
      <c r="M97" s="40">
        <f t="shared" si="47"/>
        <v>8.6002356146793454E-2</v>
      </c>
      <c r="N97" s="39"/>
      <c r="O97" s="72" t="str">
        <f t="shared" si="61"/>
        <v/>
      </c>
      <c r="P97" s="41" t="str">
        <f t="shared" si="48"/>
        <v/>
      </c>
      <c r="Q97" s="39"/>
      <c r="R97" s="72" t="str">
        <f t="shared" si="62"/>
        <v/>
      </c>
      <c r="S97" s="39"/>
      <c r="T97" s="72" t="str">
        <f t="shared" si="63"/>
        <v/>
      </c>
      <c r="U97" s="39"/>
      <c r="V97" s="72" t="str">
        <f t="shared" si="49"/>
        <v/>
      </c>
      <c r="W97" s="72" t="str">
        <f t="shared" si="64"/>
        <v/>
      </c>
      <c r="X97" s="39"/>
      <c r="Y97" s="72" t="str">
        <f t="shared" si="50"/>
        <v/>
      </c>
      <c r="Z97" s="72" t="str">
        <f t="shared" si="65"/>
        <v/>
      </c>
      <c r="AA97" s="39"/>
      <c r="AB97" s="72" t="str">
        <f t="shared" si="51"/>
        <v/>
      </c>
      <c r="AC97" s="72" t="str">
        <f t="shared" si="66"/>
        <v/>
      </c>
      <c r="AD97" s="39"/>
      <c r="AE97" s="72" t="str">
        <f t="shared" si="52"/>
        <v/>
      </c>
      <c r="AF97" s="72" t="str">
        <f t="shared" si="67"/>
        <v/>
      </c>
      <c r="AG97" s="39"/>
      <c r="AH97" s="72" t="str">
        <f t="shared" si="53"/>
        <v/>
      </c>
      <c r="AI97" s="72" t="str">
        <f t="shared" si="68"/>
        <v/>
      </c>
      <c r="AJ97" s="39"/>
      <c r="AK97" s="72" t="str">
        <f t="shared" si="69"/>
        <v/>
      </c>
      <c r="AL97" s="72" t="str">
        <f t="shared" si="70"/>
        <v/>
      </c>
      <c r="AM97" s="39"/>
      <c r="AN97" s="72" t="str">
        <f t="shared" si="54"/>
        <v/>
      </c>
      <c r="AO97" s="72" t="str">
        <f t="shared" si="71"/>
        <v/>
      </c>
      <c r="AP97" s="39"/>
      <c r="AQ97" s="72" t="str">
        <f t="shared" si="55"/>
        <v/>
      </c>
      <c r="AR97" s="72" t="str">
        <f t="shared" si="72"/>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56"/>
        <v/>
      </c>
      <c r="AW97" s="72" t="str">
        <f t="shared" si="73"/>
        <v/>
      </c>
      <c r="AX97" s="39"/>
      <c r="AY97" s="40" t="str">
        <f>IF(ISERROR(IF($K97&lt;=$F$15,VLOOKUP($I97,'表4）CO2価格'!$A$7:$E$67,VLOOKUP($F$48,'表4）CO2価格'!$H$10:$I$12,2,0),0)*$F$8/1000,"")),0,IF($K97&lt;=$F$15,VLOOKUP($I97,'表4）CO2価格'!$A$7:$E$67,VLOOKUP($F$48,'表4）CO2価格'!$H$10:$I$12,2,0),0)*$F$8/1000,""))</f>
        <v/>
      </c>
      <c r="AZ97" s="39"/>
      <c r="BA97" s="42" t="str">
        <f t="shared" si="57"/>
        <v/>
      </c>
      <c r="BB97" s="72" t="str">
        <f t="shared" si="74"/>
        <v/>
      </c>
      <c r="BC97" s="39"/>
      <c r="BD97" s="72" t="str">
        <f t="shared" si="58"/>
        <v/>
      </c>
      <c r="BE97" s="72" t="str">
        <f t="shared" si="75"/>
        <v/>
      </c>
      <c r="BF97" s="39"/>
      <c r="BG97" s="42" t="str">
        <f t="shared" si="59"/>
        <v/>
      </c>
      <c r="BH97" s="72" t="str">
        <f t="shared" si="76"/>
        <v/>
      </c>
      <c r="BI97" s="39"/>
      <c r="BJ97" s="72"/>
      <c r="BK97" s="157"/>
      <c r="BL97" s="157"/>
      <c r="BM97" s="72"/>
      <c r="BN97" s="72"/>
      <c r="BO97" s="72"/>
      <c r="BP97" s="39"/>
      <c r="BQ97" s="72" t="str">
        <f t="shared" si="60"/>
        <v/>
      </c>
      <c r="BR97" s="72" t="str">
        <f t="shared" si="77"/>
        <v/>
      </c>
    </row>
    <row r="98" spans="4:70" x14ac:dyDescent="0.15">
      <c r="F98" s="93"/>
      <c r="I98" s="459">
        <f t="shared" si="78"/>
        <v>2103</v>
      </c>
      <c r="J98" s="71"/>
      <c r="K98" s="71">
        <f t="shared" si="79"/>
        <v>84</v>
      </c>
      <c r="L98" s="71"/>
      <c r="M98" s="7">
        <f t="shared" si="47"/>
        <v>8.3497433152226644E-2</v>
      </c>
      <c r="N98" s="71"/>
      <c r="O98" s="10" t="str">
        <f t="shared" si="61"/>
        <v/>
      </c>
      <c r="P98" s="29" t="str">
        <f t="shared" si="48"/>
        <v/>
      </c>
      <c r="Q98" s="71"/>
      <c r="R98" s="10" t="str">
        <f t="shared" si="62"/>
        <v/>
      </c>
      <c r="S98" s="71"/>
      <c r="T98" s="10" t="str">
        <f t="shared" si="63"/>
        <v/>
      </c>
      <c r="U98" s="71"/>
      <c r="V98" s="10" t="str">
        <f t="shared" si="49"/>
        <v/>
      </c>
      <c r="W98" s="10" t="str">
        <f t="shared" si="64"/>
        <v/>
      </c>
      <c r="X98" s="71"/>
      <c r="Y98" s="10" t="str">
        <f t="shared" si="50"/>
        <v/>
      </c>
      <c r="Z98" s="10" t="str">
        <f t="shared" si="65"/>
        <v/>
      </c>
      <c r="AA98" s="71"/>
      <c r="AB98" s="10" t="str">
        <f t="shared" si="51"/>
        <v/>
      </c>
      <c r="AC98" s="10" t="str">
        <f t="shared" si="66"/>
        <v/>
      </c>
      <c r="AD98" s="71"/>
      <c r="AE98" s="10" t="str">
        <f t="shared" si="52"/>
        <v/>
      </c>
      <c r="AF98" s="10" t="str">
        <f t="shared" si="67"/>
        <v/>
      </c>
      <c r="AG98" s="71"/>
      <c r="AH98" s="10" t="str">
        <f t="shared" si="53"/>
        <v/>
      </c>
      <c r="AI98" s="10" t="str">
        <f t="shared" si="68"/>
        <v/>
      </c>
      <c r="AJ98" s="71"/>
      <c r="AK98" s="10" t="str">
        <f t="shared" si="69"/>
        <v/>
      </c>
      <c r="AL98" s="10" t="str">
        <f t="shared" si="70"/>
        <v/>
      </c>
      <c r="AM98" s="71"/>
      <c r="AN98" s="10" t="str">
        <f t="shared" si="54"/>
        <v/>
      </c>
      <c r="AO98" s="10" t="str">
        <f t="shared" si="71"/>
        <v/>
      </c>
      <c r="AP98" s="71"/>
      <c r="AQ98" s="10" t="str">
        <f t="shared" si="55"/>
        <v/>
      </c>
      <c r="AR98" s="10" t="str">
        <f t="shared" si="72"/>
        <v/>
      </c>
      <c r="AS98" s="71"/>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U98" s="71"/>
      <c r="AV98" s="10" t="str">
        <f t="shared" si="56"/>
        <v/>
      </c>
      <c r="AW98" s="10" t="str">
        <f t="shared" si="73"/>
        <v/>
      </c>
      <c r="AX98" s="71"/>
      <c r="AY98" s="7" t="str">
        <f>IF(ISERROR(IF($K98&lt;=$F$15,VLOOKUP($I98,'表4）CO2価格'!$A$7:$E$67,VLOOKUP($F$48,'表4）CO2価格'!$H$10:$I$12,2,0),0)*$F$8/1000,"")),0,IF($K98&lt;=$F$15,VLOOKUP($I98,'表4）CO2価格'!$A$7:$E$67,VLOOKUP($F$48,'表4）CO2価格'!$H$10:$I$12,2,0),0)*$F$8/1000,""))</f>
        <v/>
      </c>
      <c r="AZ98" s="71"/>
      <c r="BA98" s="11" t="str">
        <f t="shared" si="57"/>
        <v/>
      </c>
      <c r="BB98" s="10" t="str">
        <f t="shared" si="74"/>
        <v/>
      </c>
      <c r="BC98" s="71"/>
      <c r="BD98" s="10" t="str">
        <f t="shared" si="58"/>
        <v/>
      </c>
      <c r="BE98" s="10" t="str">
        <f t="shared" si="75"/>
        <v/>
      </c>
      <c r="BF98" s="71"/>
      <c r="BG98" s="11" t="str">
        <f t="shared" si="59"/>
        <v/>
      </c>
      <c r="BH98" s="10" t="str">
        <f t="shared" si="76"/>
        <v/>
      </c>
      <c r="BJ98" s="10"/>
      <c r="BK98" s="158"/>
      <c r="BL98" s="158"/>
      <c r="BM98" s="10"/>
      <c r="BN98" s="10"/>
      <c r="BO98" s="10"/>
      <c r="BP98" s="71"/>
      <c r="BQ98" s="10" t="str">
        <f t="shared" si="60"/>
        <v/>
      </c>
      <c r="BR98" s="10" t="str">
        <f t="shared" si="77"/>
        <v/>
      </c>
    </row>
    <row r="99" spans="4:70" ht="15" x14ac:dyDescent="0.15">
      <c r="D99" s="116" t="s">
        <v>200</v>
      </c>
      <c r="F99" s="94">
        <f>SUBTOTAL(9,F103:F105)</f>
        <v>8.3978999999999998E-2</v>
      </c>
      <c r="G99" s="81" t="s">
        <v>132</v>
      </c>
      <c r="I99" s="458">
        <f t="shared" si="78"/>
        <v>2104</v>
      </c>
      <c r="J99" s="39"/>
      <c r="K99" s="39">
        <f t="shared" si="79"/>
        <v>85</v>
      </c>
      <c r="L99" s="39"/>
      <c r="M99" s="40">
        <f t="shared" si="47"/>
        <v>8.1065469079831712E-2</v>
      </c>
      <c r="N99" s="39"/>
      <c r="O99" s="72" t="str">
        <f t="shared" si="61"/>
        <v/>
      </c>
      <c r="P99" s="41" t="str">
        <f t="shared" si="48"/>
        <v/>
      </c>
      <c r="Q99" s="39"/>
      <c r="R99" s="72" t="str">
        <f t="shared" si="62"/>
        <v/>
      </c>
      <c r="S99" s="39"/>
      <c r="T99" s="72" t="str">
        <f t="shared" si="63"/>
        <v/>
      </c>
      <c r="U99" s="39"/>
      <c r="V99" s="72" t="str">
        <f t="shared" si="49"/>
        <v/>
      </c>
      <c r="W99" s="72" t="str">
        <f t="shared" si="64"/>
        <v/>
      </c>
      <c r="X99" s="39"/>
      <c r="Y99" s="72" t="str">
        <f t="shared" si="50"/>
        <v/>
      </c>
      <c r="Z99" s="72" t="str">
        <f t="shared" si="65"/>
        <v/>
      </c>
      <c r="AA99" s="39"/>
      <c r="AB99" s="72" t="str">
        <f t="shared" si="51"/>
        <v/>
      </c>
      <c r="AC99" s="72" t="str">
        <f t="shared" si="66"/>
        <v/>
      </c>
      <c r="AD99" s="39"/>
      <c r="AE99" s="72" t="str">
        <f t="shared" si="52"/>
        <v/>
      </c>
      <c r="AF99" s="72" t="str">
        <f t="shared" si="67"/>
        <v/>
      </c>
      <c r="AG99" s="39"/>
      <c r="AH99" s="72" t="str">
        <f t="shared" si="53"/>
        <v/>
      </c>
      <c r="AI99" s="72" t="str">
        <f t="shared" si="68"/>
        <v/>
      </c>
      <c r="AJ99" s="39"/>
      <c r="AK99" s="72" t="str">
        <f t="shared" si="69"/>
        <v/>
      </c>
      <c r="AL99" s="72" t="str">
        <f t="shared" si="70"/>
        <v/>
      </c>
      <c r="AM99" s="39"/>
      <c r="AN99" s="72" t="str">
        <f t="shared" si="54"/>
        <v/>
      </c>
      <c r="AO99" s="72" t="str">
        <f t="shared" si="71"/>
        <v/>
      </c>
      <c r="AP99" s="39"/>
      <c r="AQ99" s="72" t="str">
        <f t="shared" si="55"/>
        <v/>
      </c>
      <c r="AR99" s="72" t="str">
        <f t="shared" si="72"/>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56"/>
        <v/>
      </c>
      <c r="AW99" s="72" t="str">
        <f t="shared" si="73"/>
        <v/>
      </c>
      <c r="AX99" s="39"/>
      <c r="AY99" s="40" t="str">
        <f>IF(ISERROR(IF($K99&lt;=$F$15,VLOOKUP($I99,'表4）CO2価格'!$A$7:$E$67,VLOOKUP($F$48,'表4）CO2価格'!$H$10:$I$12,2,0),0)*$F$8/1000,"")),0,IF($K99&lt;=$F$15,VLOOKUP($I99,'表4）CO2価格'!$A$7:$E$67,VLOOKUP($F$48,'表4）CO2価格'!$H$10:$I$12,2,0),0)*$F$8/1000,""))</f>
        <v/>
      </c>
      <c r="AZ99" s="39"/>
      <c r="BA99" s="42" t="str">
        <f t="shared" si="57"/>
        <v/>
      </c>
      <c r="BB99" s="72" t="str">
        <f t="shared" si="74"/>
        <v/>
      </c>
      <c r="BC99" s="39"/>
      <c r="BD99" s="72" t="str">
        <f t="shared" si="58"/>
        <v/>
      </c>
      <c r="BE99" s="72" t="str">
        <f t="shared" si="75"/>
        <v/>
      </c>
      <c r="BF99" s="39"/>
      <c r="BG99" s="42" t="str">
        <f t="shared" si="59"/>
        <v/>
      </c>
      <c r="BH99" s="72" t="str">
        <f t="shared" si="76"/>
        <v/>
      </c>
      <c r="BI99" s="39"/>
      <c r="BJ99" s="72"/>
      <c r="BK99" s="157"/>
      <c r="BL99" s="157"/>
      <c r="BM99" s="72"/>
      <c r="BN99" s="72"/>
      <c r="BO99" s="72"/>
      <c r="BP99" s="39"/>
      <c r="BQ99" s="72" t="str">
        <f t="shared" si="60"/>
        <v/>
      </c>
      <c r="BR99" s="72" t="str">
        <f t="shared" si="77"/>
        <v/>
      </c>
    </row>
    <row r="100" spans="4:70" x14ac:dyDescent="0.15">
      <c r="F100" s="93"/>
      <c r="I100" s="459">
        <f t="shared" si="78"/>
        <v>2105</v>
      </c>
      <c r="J100" s="71"/>
      <c r="K100" s="71">
        <f t="shared" si="79"/>
        <v>86</v>
      </c>
      <c r="L100" s="71"/>
      <c r="M100" s="7">
        <f t="shared" si="47"/>
        <v>7.8704338912457969E-2</v>
      </c>
      <c r="N100" s="71"/>
      <c r="O100" s="10" t="str">
        <f t="shared" si="61"/>
        <v/>
      </c>
      <c r="P100" s="29" t="str">
        <f t="shared" si="48"/>
        <v/>
      </c>
      <c r="Q100" s="71"/>
      <c r="R100" s="10" t="str">
        <f t="shared" si="62"/>
        <v/>
      </c>
      <c r="S100" s="71"/>
      <c r="T100" s="10" t="str">
        <f t="shared" si="63"/>
        <v/>
      </c>
      <c r="U100" s="71"/>
      <c r="V100" s="10" t="str">
        <f t="shared" si="49"/>
        <v/>
      </c>
      <c r="W100" s="10" t="str">
        <f t="shared" si="64"/>
        <v/>
      </c>
      <c r="X100" s="71"/>
      <c r="Y100" s="10" t="str">
        <f t="shared" si="50"/>
        <v/>
      </c>
      <c r="Z100" s="10" t="str">
        <f t="shared" si="65"/>
        <v/>
      </c>
      <c r="AA100" s="71"/>
      <c r="AB100" s="10" t="str">
        <f t="shared" si="51"/>
        <v/>
      </c>
      <c r="AC100" s="10" t="str">
        <f t="shared" si="66"/>
        <v/>
      </c>
      <c r="AD100" s="71"/>
      <c r="AE100" s="10" t="str">
        <f t="shared" si="52"/>
        <v/>
      </c>
      <c r="AF100" s="10" t="str">
        <f t="shared" si="67"/>
        <v/>
      </c>
      <c r="AG100" s="71"/>
      <c r="AH100" s="10" t="str">
        <f t="shared" si="53"/>
        <v/>
      </c>
      <c r="AI100" s="10" t="str">
        <f t="shared" si="68"/>
        <v/>
      </c>
      <c r="AJ100" s="71"/>
      <c r="AK100" s="10" t="str">
        <f t="shared" si="69"/>
        <v/>
      </c>
      <c r="AL100" s="10" t="str">
        <f t="shared" si="70"/>
        <v/>
      </c>
      <c r="AM100" s="71"/>
      <c r="AN100" s="10" t="str">
        <f t="shared" si="54"/>
        <v/>
      </c>
      <c r="AO100" s="10" t="str">
        <f t="shared" si="71"/>
        <v/>
      </c>
      <c r="AP100" s="71"/>
      <c r="AQ100" s="10" t="str">
        <f t="shared" si="55"/>
        <v/>
      </c>
      <c r="AR100" s="10" t="str">
        <f t="shared" si="72"/>
        <v/>
      </c>
      <c r="AS100" s="71"/>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U100" s="71"/>
      <c r="AV100" s="10" t="str">
        <f t="shared" si="56"/>
        <v/>
      </c>
      <c r="AW100" s="10" t="str">
        <f t="shared" si="73"/>
        <v/>
      </c>
      <c r="AX100" s="71"/>
      <c r="AY100" s="7" t="str">
        <f>IF(ISERROR(IF($K100&lt;=$F$15,VLOOKUP($I100,'表4）CO2価格'!$A$7:$E$67,VLOOKUP($F$48,'表4）CO2価格'!$H$10:$I$12,2,0),0)*$F$8/1000,"")),0,IF($K100&lt;=$F$15,VLOOKUP($I100,'表4）CO2価格'!$A$7:$E$67,VLOOKUP($F$48,'表4）CO2価格'!$H$10:$I$12,2,0),0)*$F$8/1000,""))</f>
        <v/>
      </c>
      <c r="AZ100" s="71"/>
      <c r="BA100" s="11" t="str">
        <f t="shared" si="57"/>
        <v/>
      </c>
      <c r="BB100" s="10" t="str">
        <f t="shared" si="74"/>
        <v/>
      </c>
      <c r="BC100" s="71"/>
      <c r="BD100" s="10" t="str">
        <f t="shared" si="58"/>
        <v/>
      </c>
      <c r="BE100" s="10" t="str">
        <f t="shared" si="75"/>
        <v/>
      </c>
      <c r="BF100" s="71"/>
      <c r="BG100" s="11" t="str">
        <f t="shared" si="59"/>
        <v/>
      </c>
      <c r="BH100" s="10" t="str">
        <f t="shared" si="76"/>
        <v/>
      </c>
      <c r="BJ100" s="10"/>
      <c r="BK100" s="158"/>
      <c r="BL100" s="158"/>
      <c r="BM100" s="10"/>
      <c r="BN100" s="10"/>
      <c r="BO100" s="10"/>
      <c r="BP100" s="71"/>
      <c r="BQ100" s="10" t="str">
        <f t="shared" si="60"/>
        <v/>
      </c>
      <c r="BR100" s="10" t="str">
        <f t="shared" si="77"/>
        <v/>
      </c>
    </row>
    <row r="101" spans="4:70" x14ac:dyDescent="0.15">
      <c r="D101" s="101" t="s">
        <v>201</v>
      </c>
      <c r="E101" s="101"/>
      <c r="F101" s="92"/>
      <c r="G101" s="101"/>
      <c r="I101" s="458">
        <f t="shared" si="78"/>
        <v>2106</v>
      </c>
      <c r="J101" s="39"/>
      <c r="K101" s="39">
        <f t="shared" si="79"/>
        <v>87</v>
      </c>
      <c r="L101" s="39"/>
      <c r="M101" s="40">
        <f t="shared" si="47"/>
        <v>7.6411979526658208E-2</v>
      </c>
      <c r="N101" s="39"/>
      <c r="O101" s="72" t="str">
        <f t="shared" si="61"/>
        <v/>
      </c>
      <c r="P101" s="41" t="str">
        <f t="shared" si="48"/>
        <v/>
      </c>
      <c r="Q101" s="39"/>
      <c r="R101" s="72" t="str">
        <f t="shared" si="62"/>
        <v/>
      </c>
      <c r="S101" s="39"/>
      <c r="T101" s="72" t="str">
        <f t="shared" si="63"/>
        <v/>
      </c>
      <c r="U101" s="39"/>
      <c r="V101" s="72" t="str">
        <f t="shared" si="49"/>
        <v/>
      </c>
      <c r="W101" s="72" t="str">
        <f t="shared" si="64"/>
        <v/>
      </c>
      <c r="X101" s="39"/>
      <c r="Y101" s="72" t="str">
        <f t="shared" si="50"/>
        <v/>
      </c>
      <c r="Z101" s="72" t="str">
        <f t="shared" si="65"/>
        <v/>
      </c>
      <c r="AA101" s="39"/>
      <c r="AB101" s="72" t="str">
        <f t="shared" si="51"/>
        <v/>
      </c>
      <c r="AC101" s="72" t="str">
        <f t="shared" si="66"/>
        <v/>
      </c>
      <c r="AD101" s="39"/>
      <c r="AE101" s="72" t="str">
        <f t="shared" si="52"/>
        <v/>
      </c>
      <c r="AF101" s="72" t="str">
        <f t="shared" si="67"/>
        <v/>
      </c>
      <c r="AG101" s="39"/>
      <c r="AH101" s="72" t="str">
        <f t="shared" si="53"/>
        <v/>
      </c>
      <c r="AI101" s="72" t="str">
        <f t="shared" si="68"/>
        <v/>
      </c>
      <c r="AJ101" s="39"/>
      <c r="AK101" s="72" t="str">
        <f t="shared" si="69"/>
        <v/>
      </c>
      <c r="AL101" s="72" t="str">
        <f t="shared" si="70"/>
        <v/>
      </c>
      <c r="AM101" s="39"/>
      <c r="AN101" s="72" t="str">
        <f t="shared" si="54"/>
        <v/>
      </c>
      <c r="AO101" s="72" t="str">
        <f t="shared" si="71"/>
        <v/>
      </c>
      <c r="AP101" s="39"/>
      <c r="AQ101" s="72" t="str">
        <f t="shared" si="55"/>
        <v/>
      </c>
      <c r="AR101" s="72" t="str">
        <f t="shared" si="72"/>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56"/>
        <v/>
      </c>
      <c r="AW101" s="72" t="str">
        <f t="shared" si="73"/>
        <v/>
      </c>
      <c r="AX101" s="39"/>
      <c r="AY101" s="40" t="str">
        <f>IF(ISERROR(IF($K101&lt;=$F$15,VLOOKUP($I101,'表4）CO2価格'!$A$7:$E$67,VLOOKUP($F$48,'表4）CO2価格'!$H$10:$I$12,2,0),0)*$F$8/1000,"")),0,IF($K101&lt;=$F$15,VLOOKUP($I101,'表4）CO2価格'!$A$7:$E$67,VLOOKUP($F$48,'表4）CO2価格'!$H$10:$I$12,2,0),0)*$F$8/1000,""))</f>
        <v/>
      </c>
      <c r="AZ101" s="39"/>
      <c r="BA101" s="42" t="str">
        <f t="shared" si="57"/>
        <v/>
      </c>
      <c r="BB101" s="72" t="str">
        <f t="shared" si="74"/>
        <v/>
      </c>
      <c r="BC101" s="39"/>
      <c r="BD101" s="72" t="str">
        <f t="shared" si="58"/>
        <v/>
      </c>
      <c r="BE101" s="72" t="str">
        <f t="shared" si="75"/>
        <v/>
      </c>
      <c r="BF101" s="39"/>
      <c r="BG101" s="42" t="str">
        <f t="shared" si="59"/>
        <v/>
      </c>
      <c r="BH101" s="72" t="str">
        <f t="shared" si="76"/>
        <v/>
      </c>
      <c r="BI101" s="39"/>
      <c r="BJ101" s="72"/>
      <c r="BK101" s="157"/>
      <c r="BL101" s="157"/>
      <c r="BM101" s="72"/>
      <c r="BN101" s="72"/>
      <c r="BO101" s="72"/>
      <c r="BP101" s="39"/>
      <c r="BQ101" s="72" t="str">
        <f t="shared" si="60"/>
        <v/>
      </c>
      <c r="BR101" s="72" t="str">
        <f t="shared" si="77"/>
        <v/>
      </c>
    </row>
    <row r="102" spans="4:70" x14ac:dyDescent="0.15">
      <c r="F102" s="93"/>
      <c r="I102" s="459">
        <f t="shared" si="78"/>
        <v>2107</v>
      </c>
      <c r="J102" s="71"/>
      <c r="K102" s="71">
        <f t="shared" si="79"/>
        <v>88</v>
      </c>
      <c r="L102" s="71"/>
      <c r="M102" s="7">
        <f t="shared" si="47"/>
        <v>7.4186387889959446E-2</v>
      </c>
      <c r="N102" s="71"/>
      <c r="O102" s="10" t="str">
        <f t="shared" si="61"/>
        <v/>
      </c>
      <c r="P102" s="29" t="str">
        <f t="shared" si="48"/>
        <v/>
      </c>
      <c r="Q102" s="71"/>
      <c r="R102" s="10" t="str">
        <f t="shared" si="62"/>
        <v/>
      </c>
      <c r="S102" s="71"/>
      <c r="T102" s="10" t="str">
        <f t="shared" si="63"/>
        <v/>
      </c>
      <c r="U102" s="71"/>
      <c r="V102" s="10" t="str">
        <f t="shared" si="49"/>
        <v/>
      </c>
      <c r="W102" s="10" t="str">
        <f t="shared" si="64"/>
        <v/>
      </c>
      <c r="X102" s="71"/>
      <c r="Y102" s="10" t="str">
        <f t="shared" si="50"/>
        <v/>
      </c>
      <c r="Z102" s="10" t="str">
        <f t="shared" si="65"/>
        <v/>
      </c>
      <c r="AA102" s="71"/>
      <c r="AB102" s="10" t="str">
        <f t="shared" si="51"/>
        <v/>
      </c>
      <c r="AC102" s="10" t="str">
        <f t="shared" si="66"/>
        <v/>
      </c>
      <c r="AD102" s="71"/>
      <c r="AE102" s="10" t="str">
        <f t="shared" si="52"/>
        <v/>
      </c>
      <c r="AF102" s="10" t="str">
        <f t="shared" si="67"/>
        <v/>
      </c>
      <c r="AG102" s="71"/>
      <c r="AH102" s="10" t="str">
        <f t="shared" si="53"/>
        <v/>
      </c>
      <c r="AI102" s="10" t="str">
        <f t="shared" si="68"/>
        <v/>
      </c>
      <c r="AJ102" s="71"/>
      <c r="AK102" s="10" t="str">
        <f t="shared" si="69"/>
        <v/>
      </c>
      <c r="AL102" s="10" t="str">
        <f t="shared" si="70"/>
        <v/>
      </c>
      <c r="AM102" s="71"/>
      <c r="AN102" s="10" t="str">
        <f t="shared" si="54"/>
        <v/>
      </c>
      <c r="AO102" s="10" t="str">
        <f t="shared" si="71"/>
        <v/>
      </c>
      <c r="AP102" s="71"/>
      <c r="AQ102" s="10" t="str">
        <f t="shared" si="55"/>
        <v/>
      </c>
      <c r="AR102" s="10" t="str">
        <f t="shared" si="72"/>
        <v/>
      </c>
      <c r="AS102" s="71"/>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U102" s="71"/>
      <c r="AV102" s="10" t="str">
        <f t="shared" si="56"/>
        <v/>
      </c>
      <c r="AW102" s="10" t="str">
        <f t="shared" si="73"/>
        <v/>
      </c>
      <c r="AX102" s="71"/>
      <c r="AY102" s="7" t="str">
        <f>IF(ISERROR(IF($K102&lt;=$F$15,VLOOKUP($I102,'表4）CO2価格'!$A$7:$E$67,VLOOKUP($F$48,'表4）CO2価格'!$H$10:$I$12,2,0),0)*$F$8/1000,"")),0,IF($K102&lt;=$F$15,VLOOKUP($I102,'表4）CO2価格'!$A$7:$E$67,VLOOKUP($F$48,'表4）CO2価格'!$H$10:$I$12,2,0),0)*$F$8/1000,""))</f>
        <v/>
      </c>
      <c r="AZ102" s="71"/>
      <c r="BA102" s="11" t="str">
        <f t="shared" si="57"/>
        <v/>
      </c>
      <c r="BB102" s="10" t="str">
        <f t="shared" si="74"/>
        <v/>
      </c>
      <c r="BC102" s="71"/>
      <c r="BD102" s="10" t="str">
        <f t="shared" si="58"/>
        <v/>
      </c>
      <c r="BE102" s="10" t="str">
        <f t="shared" si="75"/>
        <v/>
      </c>
      <c r="BF102" s="71"/>
      <c r="BG102" s="11" t="str">
        <f t="shared" si="59"/>
        <v/>
      </c>
      <c r="BH102" s="10" t="str">
        <f t="shared" si="76"/>
        <v/>
      </c>
      <c r="BJ102" s="10"/>
      <c r="BK102" s="158"/>
      <c r="BL102" s="158"/>
      <c r="BM102" s="10"/>
      <c r="BN102" s="10"/>
      <c r="BO102" s="10"/>
      <c r="BP102" s="71"/>
      <c r="BQ102" s="10" t="str">
        <f t="shared" si="60"/>
        <v/>
      </c>
      <c r="BR102" s="10" t="str">
        <f t="shared" si="77"/>
        <v/>
      </c>
    </row>
    <row r="103" spans="4:70" x14ac:dyDescent="0.15">
      <c r="E103" s="81" t="s">
        <v>202</v>
      </c>
      <c r="F103" s="91">
        <f>BB116/$BR$116</f>
        <v>0</v>
      </c>
      <c r="G103" s="81" t="s">
        <v>132</v>
      </c>
      <c r="I103" s="458">
        <f t="shared" si="78"/>
        <v>2108</v>
      </c>
      <c r="J103" s="39"/>
      <c r="K103" s="39">
        <f t="shared" si="79"/>
        <v>89</v>
      </c>
      <c r="L103" s="39"/>
      <c r="M103" s="40">
        <f t="shared" si="47"/>
        <v>7.2025619310640235E-2</v>
      </c>
      <c r="N103" s="39"/>
      <c r="O103" s="72" t="str">
        <f t="shared" si="61"/>
        <v/>
      </c>
      <c r="P103" s="41" t="str">
        <f t="shared" si="48"/>
        <v/>
      </c>
      <c r="Q103" s="39"/>
      <c r="R103" s="72" t="str">
        <f t="shared" si="62"/>
        <v/>
      </c>
      <c r="S103" s="39"/>
      <c r="T103" s="72" t="str">
        <f t="shared" si="63"/>
        <v/>
      </c>
      <c r="U103" s="39"/>
      <c r="V103" s="72" t="str">
        <f t="shared" si="49"/>
        <v/>
      </c>
      <c r="W103" s="72" t="str">
        <f t="shared" si="64"/>
        <v/>
      </c>
      <c r="X103" s="39"/>
      <c r="Y103" s="72" t="str">
        <f t="shared" si="50"/>
        <v/>
      </c>
      <c r="Z103" s="72" t="str">
        <f t="shared" si="65"/>
        <v/>
      </c>
      <c r="AA103" s="39"/>
      <c r="AB103" s="72" t="str">
        <f t="shared" si="51"/>
        <v/>
      </c>
      <c r="AC103" s="72" t="str">
        <f t="shared" si="66"/>
        <v/>
      </c>
      <c r="AD103" s="39"/>
      <c r="AE103" s="72" t="str">
        <f t="shared" si="52"/>
        <v/>
      </c>
      <c r="AF103" s="72" t="str">
        <f t="shared" si="67"/>
        <v/>
      </c>
      <c r="AG103" s="39"/>
      <c r="AH103" s="72" t="str">
        <f t="shared" si="53"/>
        <v/>
      </c>
      <c r="AI103" s="72" t="str">
        <f t="shared" si="68"/>
        <v/>
      </c>
      <c r="AJ103" s="39"/>
      <c r="AK103" s="72" t="str">
        <f t="shared" si="69"/>
        <v/>
      </c>
      <c r="AL103" s="72" t="str">
        <f t="shared" si="70"/>
        <v/>
      </c>
      <c r="AM103" s="39"/>
      <c r="AN103" s="72" t="str">
        <f t="shared" si="54"/>
        <v/>
      </c>
      <c r="AO103" s="72" t="str">
        <f t="shared" si="71"/>
        <v/>
      </c>
      <c r="AP103" s="39"/>
      <c r="AQ103" s="72" t="str">
        <f t="shared" si="55"/>
        <v/>
      </c>
      <c r="AR103" s="72" t="str">
        <f t="shared" si="72"/>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56"/>
        <v/>
      </c>
      <c r="AW103" s="72" t="str">
        <f t="shared" si="73"/>
        <v/>
      </c>
      <c r="AX103" s="39"/>
      <c r="AY103" s="40" t="str">
        <f>IF(ISERROR(IF($K103&lt;=$F$15,VLOOKUP($I103,'表4）CO2価格'!$A$7:$E$67,VLOOKUP($F$48,'表4）CO2価格'!$H$10:$I$12,2,0),0)*$F$8/1000,"")),0,IF($K103&lt;=$F$15,VLOOKUP($I103,'表4）CO2価格'!$A$7:$E$67,VLOOKUP($F$48,'表4）CO2価格'!$H$10:$I$12,2,0),0)*$F$8/1000,""))</f>
        <v/>
      </c>
      <c r="AZ103" s="39"/>
      <c r="BA103" s="42" t="str">
        <f t="shared" si="57"/>
        <v/>
      </c>
      <c r="BB103" s="72" t="str">
        <f t="shared" si="74"/>
        <v/>
      </c>
      <c r="BC103" s="39"/>
      <c r="BD103" s="72" t="str">
        <f t="shared" si="58"/>
        <v/>
      </c>
      <c r="BE103" s="72" t="str">
        <f t="shared" si="75"/>
        <v/>
      </c>
      <c r="BF103" s="39"/>
      <c r="BG103" s="42" t="str">
        <f t="shared" si="59"/>
        <v/>
      </c>
      <c r="BH103" s="72" t="str">
        <f t="shared" si="76"/>
        <v/>
      </c>
      <c r="BI103" s="39"/>
      <c r="BJ103" s="72"/>
      <c r="BK103" s="157"/>
      <c r="BL103" s="157"/>
      <c r="BM103" s="72"/>
      <c r="BN103" s="72"/>
      <c r="BO103" s="72"/>
      <c r="BP103" s="39"/>
      <c r="BQ103" s="72" t="str">
        <f t="shared" si="60"/>
        <v/>
      </c>
      <c r="BR103" s="72" t="str">
        <f t="shared" si="77"/>
        <v/>
      </c>
    </row>
    <row r="104" spans="4:70" x14ac:dyDescent="0.15">
      <c r="E104" s="81" t="s">
        <v>203</v>
      </c>
      <c r="F104" s="91">
        <f>IF(ISERROR(F60*(1/F61)/F62),0,F60*(1/F61)/F62)</f>
        <v>0</v>
      </c>
      <c r="G104" s="81" t="s">
        <v>132</v>
      </c>
      <c r="I104" s="459">
        <f t="shared" si="78"/>
        <v>2109</v>
      </c>
      <c r="J104" s="71"/>
      <c r="K104" s="71">
        <f t="shared" si="79"/>
        <v>90</v>
      </c>
      <c r="L104" s="71"/>
      <c r="M104" s="7">
        <f t="shared" si="47"/>
        <v>6.9927785738485654E-2</v>
      </c>
      <c r="N104" s="71"/>
      <c r="O104" s="10" t="str">
        <f t="shared" si="61"/>
        <v/>
      </c>
      <c r="P104" s="29" t="str">
        <f t="shared" si="48"/>
        <v/>
      </c>
      <c r="Q104" s="71"/>
      <c r="R104" s="10" t="str">
        <f t="shared" si="62"/>
        <v/>
      </c>
      <c r="S104" s="71"/>
      <c r="T104" s="10" t="str">
        <f t="shared" si="63"/>
        <v/>
      </c>
      <c r="U104" s="71"/>
      <c r="V104" s="10" t="str">
        <f t="shared" si="49"/>
        <v/>
      </c>
      <c r="W104" s="10" t="str">
        <f t="shared" si="64"/>
        <v/>
      </c>
      <c r="X104" s="71"/>
      <c r="Y104" s="10" t="str">
        <f t="shared" si="50"/>
        <v/>
      </c>
      <c r="Z104" s="10" t="str">
        <f t="shared" si="65"/>
        <v/>
      </c>
      <c r="AA104" s="71"/>
      <c r="AB104" s="10" t="str">
        <f t="shared" si="51"/>
        <v/>
      </c>
      <c r="AC104" s="10" t="str">
        <f t="shared" si="66"/>
        <v/>
      </c>
      <c r="AD104" s="71"/>
      <c r="AE104" s="10" t="str">
        <f t="shared" si="52"/>
        <v/>
      </c>
      <c r="AF104" s="10" t="str">
        <f t="shared" si="67"/>
        <v/>
      </c>
      <c r="AG104" s="71"/>
      <c r="AH104" s="10" t="str">
        <f t="shared" si="53"/>
        <v/>
      </c>
      <c r="AI104" s="10" t="str">
        <f t="shared" si="68"/>
        <v/>
      </c>
      <c r="AJ104" s="71"/>
      <c r="AK104" s="10" t="str">
        <f t="shared" si="69"/>
        <v/>
      </c>
      <c r="AL104" s="10" t="str">
        <f t="shared" si="70"/>
        <v/>
      </c>
      <c r="AM104" s="71"/>
      <c r="AN104" s="10" t="str">
        <f t="shared" si="54"/>
        <v/>
      </c>
      <c r="AO104" s="10" t="str">
        <f t="shared" si="71"/>
        <v/>
      </c>
      <c r="AP104" s="71"/>
      <c r="AQ104" s="10" t="str">
        <f t="shared" si="55"/>
        <v/>
      </c>
      <c r="AR104" s="10" t="str">
        <f t="shared" si="72"/>
        <v/>
      </c>
      <c r="AS104" s="71"/>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U104" s="71"/>
      <c r="AV104" s="10" t="str">
        <f t="shared" si="56"/>
        <v/>
      </c>
      <c r="AW104" s="10" t="str">
        <f t="shared" si="73"/>
        <v/>
      </c>
      <c r="AX104" s="71"/>
      <c r="AY104" s="7" t="str">
        <f>IF(ISERROR(IF($K104&lt;=$F$15,VLOOKUP($I104,'表4）CO2価格'!$A$7:$E$67,VLOOKUP($F$48,'表4）CO2価格'!$H$10:$I$12,2,0),0)*$F$8/1000,"")),0,IF($K104&lt;=$F$15,VLOOKUP($I104,'表4）CO2価格'!$A$7:$E$67,VLOOKUP($F$48,'表4）CO2価格'!$H$10:$I$12,2,0),0)*$F$8/1000,""))</f>
        <v/>
      </c>
      <c r="AZ104" s="71"/>
      <c r="BA104" s="11" t="str">
        <f t="shared" si="57"/>
        <v/>
      </c>
      <c r="BB104" s="10" t="str">
        <f t="shared" si="74"/>
        <v/>
      </c>
      <c r="BC104" s="71"/>
      <c r="BD104" s="10" t="str">
        <f t="shared" si="58"/>
        <v/>
      </c>
      <c r="BE104" s="10" t="str">
        <f t="shared" si="75"/>
        <v/>
      </c>
      <c r="BF104" s="71"/>
      <c r="BG104" s="11" t="str">
        <f t="shared" si="59"/>
        <v/>
      </c>
      <c r="BH104" s="10" t="str">
        <f t="shared" si="76"/>
        <v/>
      </c>
      <c r="BJ104" s="10"/>
      <c r="BK104" s="158"/>
      <c r="BL104" s="158"/>
      <c r="BM104" s="10"/>
      <c r="BN104" s="10"/>
      <c r="BO104" s="10"/>
      <c r="BP104" s="71"/>
      <c r="BQ104" s="10" t="str">
        <f t="shared" si="60"/>
        <v/>
      </c>
      <c r="BR104" s="10" t="str">
        <f t="shared" si="77"/>
        <v/>
      </c>
    </row>
    <row r="105" spans="4:70" x14ac:dyDescent="0.15">
      <c r="E105" s="9" t="s">
        <v>367</v>
      </c>
      <c r="F105" s="91">
        <f>F64</f>
        <v>8.3978999999999998E-2</v>
      </c>
      <c r="G105" s="81" t="s">
        <v>132</v>
      </c>
      <c r="I105" s="458">
        <f t="shared" si="78"/>
        <v>2110</v>
      </c>
      <c r="J105" s="39"/>
      <c r="K105" s="39">
        <f t="shared" si="79"/>
        <v>91</v>
      </c>
      <c r="L105" s="39"/>
      <c r="M105" s="40">
        <f t="shared" si="47"/>
        <v>6.7891054115034627E-2</v>
      </c>
      <c r="N105" s="39"/>
      <c r="O105" s="72" t="str">
        <f t="shared" si="61"/>
        <v/>
      </c>
      <c r="P105" s="41" t="str">
        <f t="shared" si="48"/>
        <v/>
      </c>
      <c r="Q105" s="39"/>
      <c r="R105" s="72" t="str">
        <f t="shared" si="62"/>
        <v/>
      </c>
      <c r="S105" s="39"/>
      <c r="T105" s="72" t="str">
        <f t="shared" si="63"/>
        <v/>
      </c>
      <c r="U105" s="39"/>
      <c r="V105" s="72" t="str">
        <f t="shared" si="49"/>
        <v/>
      </c>
      <c r="W105" s="72" t="str">
        <f t="shared" si="64"/>
        <v/>
      </c>
      <c r="X105" s="39"/>
      <c r="Y105" s="72" t="str">
        <f t="shared" si="50"/>
        <v/>
      </c>
      <c r="Z105" s="72" t="str">
        <f t="shared" si="65"/>
        <v/>
      </c>
      <c r="AA105" s="39"/>
      <c r="AB105" s="72" t="str">
        <f t="shared" si="51"/>
        <v/>
      </c>
      <c r="AC105" s="72" t="str">
        <f t="shared" si="66"/>
        <v/>
      </c>
      <c r="AD105" s="39"/>
      <c r="AE105" s="72" t="str">
        <f t="shared" si="52"/>
        <v/>
      </c>
      <c r="AF105" s="72" t="str">
        <f t="shared" si="67"/>
        <v/>
      </c>
      <c r="AG105" s="39"/>
      <c r="AH105" s="72" t="str">
        <f t="shared" si="53"/>
        <v/>
      </c>
      <c r="AI105" s="72" t="str">
        <f t="shared" si="68"/>
        <v/>
      </c>
      <c r="AJ105" s="39"/>
      <c r="AK105" s="72" t="str">
        <f t="shared" si="69"/>
        <v/>
      </c>
      <c r="AL105" s="72" t="str">
        <f t="shared" si="70"/>
        <v/>
      </c>
      <c r="AM105" s="39"/>
      <c r="AN105" s="72" t="str">
        <f t="shared" si="54"/>
        <v/>
      </c>
      <c r="AO105" s="72" t="str">
        <f t="shared" si="71"/>
        <v/>
      </c>
      <c r="AP105" s="39"/>
      <c r="AQ105" s="72" t="str">
        <f t="shared" si="55"/>
        <v/>
      </c>
      <c r="AR105" s="72" t="str">
        <f t="shared" si="72"/>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56"/>
        <v/>
      </c>
      <c r="AW105" s="72" t="str">
        <f t="shared" si="73"/>
        <v/>
      </c>
      <c r="AX105" s="39"/>
      <c r="AY105" s="40" t="str">
        <f>IF(ISERROR(IF($K105&lt;=$F$15,VLOOKUP($I105,'表4）CO2価格'!$A$7:$E$67,VLOOKUP($F$48,'表4）CO2価格'!$H$10:$I$12,2,0),0)*$F$8/1000,"")),0,IF($K105&lt;=$F$15,VLOOKUP($I105,'表4）CO2価格'!$A$7:$E$67,VLOOKUP($F$48,'表4）CO2価格'!$H$10:$I$12,2,0),0)*$F$8/1000,""))</f>
        <v/>
      </c>
      <c r="AZ105" s="39"/>
      <c r="BA105" s="42" t="str">
        <f t="shared" si="57"/>
        <v/>
      </c>
      <c r="BB105" s="72" t="str">
        <f t="shared" si="74"/>
        <v/>
      </c>
      <c r="BC105" s="39"/>
      <c r="BD105" s="72" t="str">
        <f t="shared" si="58"/>
        <v/>
      </c>
      <c r="BE105" s="72" t="str">
        <f t="shared" si="75"/>
        <v/>
      </c>
      <c r="BF105" s="39"/>
      <c r="BG105" s="42" t="str">
        <f t="shared" si="59"/>
        <v/>
      </c>
      <c r="BH105" s="72" t="str">
        <f t="shared" si="76"/>
        <v/>
      </c>
      <c r="BI105" s="39"/>
      <c r="BJ105" s="72"/>
      <c r="BK105" s="157"/>
      <c r="BL105" s="157"/>
      <c r="BM105" s="72"/>
      <c r="BN105" s="72"/>
      <c r="BO105" s="72"/>
      <c r="BP105" s="39"/>
      <c r="BQ105" s="72" t="str">
        <f t="shared" si="60"/>
        <v/>
      </c>
      <c r="BR105" s="72" t="str">
        <f t="shared" si="77"/>
        <v/>
      </c>
    </row>
    <row r="106" spans="4:70" x14ac:dyDescent="0.15">
      <c r="F106" s="93"/>
      <c r="I106" s="459">
        <f t="shared" si="78"/>
        <v>2111</v>
      </c>
      <c r="J106" s="71"/>
      <c r="K106" s="71">
        <f t="shared" si="79"/>
        <v>92</v>
      </c>
      <c r="L106" s="71"/>
      <c r="M106" s="7">
        <f t="shared" si="47"/>
        <v>6.5913644771878277E-2</v>
      </c>
      <c r="N106" s="71"/>
      <c r="O106" s="10" t="str">
        <f t="shared" si="61"/>
        <v/>
      </c>
      <c r="P106" s="29" t="str">
        <f t="shared" si="48"/>
        <v/>
      </c>
      <c r="Q106" s="71"/>
      <c r="R106" s="10" t="str">
        <f t="shared" si="62"/>
        <v/>
      </c>
      <c r="S106" s="71"/>
      <c r="T106" s="10" t="str">
        <f t="shared" si="63"/>
        <v/>
      </c>
      <c r="U106" s="71"/>
      <c r="V106" s="10" t="str">
        <f t="shared" si="49"/>
        <v/>
      </c>
      <c r="W106" s="10" t="str">
        <f t="shared" si="64"/>
        <v/>
      </c>
      <c r="X106" s="71"/>
      <c r="Y106" s="10" t="str">
        <f t="shared" si="50"/>
        <v/>
      </c>
      <c r="Z106" s="10" t="str">
        <f t="shared" si="65"/>
        <v/>
      </c>
      <c r="AA106" s="71"/>
      <c r="AB106" s="10" t="str">
        <f t="shared" si="51"/>
        <v/>
      </c>
      <c r="AC106" s="10" t="str">
        <f t="shared" si="66"/>
        <v/>
      </c>
      <c r="AD106" s="71"/>
      <c r="AE106" s="10" t="str">
        <f t="shared" si="52"/>
        <v/>
      </c>
      <c r="AF106" s="10" t="str">
        <f t="shared" si="67"/>
        <v/>
      </c>
      <c r="AG106" s="71"/>
      <c r="AH106" s="10" t="str">
        <f t="shared" si="53"/>
        <v/>
      </c>
      <c r="AI106" s="10" t="str">
        <f t="shared" si="68"/>
        <v/>
      </c>
      <c r="AJ106" s="71"/>
      <c r="AK106" s="10" t="str">
        <f t="shared" si="69"/>
        <v/>
      </c>
      <c r="AL106" s="10" t="str">
        <f t="shared" si="70"/>
        <v/>
      </c>
      <c r="AM106" s="71"/>
      <c r="AN106" s="10" t="str">
        <f t="shared" si="54"/>
        <v/>
      </c>
      <c r="AO106" s="10" t="str">
        <f t="shared" si="71"/>
        <v/>
      </c>
      <c r="AP106" s="71"/>
      <c r="AQ106" s="10" t="str">
        <f t="shared" si="55"/>
        <v/>
      </c>
      <c r="AR106" s="10" t="str">
        <f t="shared" si="72"/>
        <v/>
      </c>
      <c r="AS106" s="71"/>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U106" s="71"/>
      <c r="AV106" s="10" t="str">
        <f t="shared" si="56"/>
        <v/>
      </c>
      <c r="AW106" s="10" t="str">
        <f t="shared" si="73"/>
        <v/>
      </c>
      <c r="AX106" s="71"/>
      <c r="AY106" s="7" t="str">
        <f>IF(ISERROR(IF($K106&lt;=$F$15,VLOOKUP($I106,'表4）CO2価格'!$A$7:$E$67,VLOOKUP($F$48,'表4）CO2価格'!$H$10:$I$12,2,0),0)*$F$8/1000,"")),0,IF($K106&lt;=$F$15,VLOOKUP($I106,'表4）CO2価格'!$A$7:$E$67,VLOOKUP($F$48,'表4）CO2価格'!$H$10:$I$12,2,0),0)*$F$8/1000,""))</f>
        <v/>
      </c>
      <c r="AZ106" s="71"/>
      <c r="BA106" s="11" t="str">
        <f t="shared" si="57"/>
        <v/>
      </c>
      <c r="BB106" s="10" t="str">
        <f t="shared" si="74"/>
        <v/>
      </c>
      <c r="BC106" s="71"/>
      <c r="BD106" s="10" t="str">
        <f t="shared" si="58"/>
        <v/>
      </c>
      <c r="BE106" s="10" t="str">
        <f t="shared" si="75"/>
        <v/>
      </c>
      <c r="BF106" s="71"/>
      <c r="BG106" s="11" t="str">
        <f t="shared" si="59"/>
        <v/>
      </c>
      <c r="BH106" s="10" t="str">
        <f t="shared" si="76"/>
        <v/>
      </c>
      <c r="BJ106" s="10"/>
      <c r="BK106" s="158"/>
      <c r="BL106" s="158"/>
      <c r="BM106" s="10"/>
      <c r="BN106" s="10"/>
      <c r="BO106" s="10"/>
      <c r="BP106" s="71"/>
      <c r="BQ106" s="10" t="str">
        <f t="shared" si="60"/>
        <v/>
      </c>
      <c r="BR106" s="10" t="str">
        <f t="shared" si="77"/>
        <v/>
      </c>
    </row>
    <row r="107" spans="4:70" ht="15" x14ac:dyDescent="0.15">
      <c r="D107" s="116" t="s">
        <v>204</v>
      </c>
      <c r="F107" s="94">
        <f>SUBTOTAL(9,F111:F112)</f>
        <v>0</v>
      </c>
      <c r="G107" s="81" t="s">
        <v>132</v>
      </c>
      <c r="I107" s="458">
        <f t="shared" si="78"/>
        <v>2112</v>
      </c>
      <c r="J107" s="39"/>
      <c r="K107" s="39">
        <f t="shared" si="79"/>
        <v>93</v>
      </c>
      <c r="L107" s="39"/>
      <c r="M107" s="40">
        <f t="shared" si="47"/>
        <v>6.3993829875609989E-2</v>
      </c>
      <c r="N107" s="39"/>
      <c r="O107" s="72" t="str">
        <f t="shared" si="61"/>
        <v/>
      </c>
      <c r="P107" s="41" t="str">
        <f t="shared" si="48"/>
        <v/>
      </c>
      <c r="Q107" s="39"/>
      <c r="R107" s="72" t="str">
        <f t="shared" si="62"/>
        <v/>
      </c>
      <c r="S107" s="39"/>
      <c r="T107" s="72" t="str">
        <f t="shared" si="63"/>
        <v/>
      </c>
      <c r="U107" s="39"/>
      <c r="V107" s="72" t="str">
        <f t="shared" si="49"/>
        <v/>
      </c>
      <c r="W107" s="72" t="str">
        <f t="shared" si="64"/>
        <v/>
      </c>
      <c r="X107" s="39"/>
      <c r="Y107" s="72" t="str">
        <f t="shared" si="50"/>
        <v/>
      </c>
      <c r="Z107" s="72" t="str">
        <f t="shared" si="65"/>
        <v/>
      </c>
      <c r="AA107" s="39"/>
      <c r="AB107" s="72" t="str">
        <f t="shared" si="51"/>
        <v/>
      </c>
      <c r="AC107" s="72" t="str">
        <f t="shared" si="66"/>
        <v/>
      </c>
      <c r="AD107" s="39"/>
      <c r="AE107" s="72" t="str">
        <f t="shared" si="52"/>
        <v/>
      </c>
      <c r="AF107" s="72" t="str">
        <f t="shared" si="67"/>
        <v/>
      </c>
      <c r="AG107" s="39"/>
      <c r="AH107" s="72" t="str">
        <f t="shared" si="53"/>
        <v/>
      </c>
      <c r="AI107" s="72" t="str">
        <f t="shared" si="68"/>
        <v/>
      </c>
      <c r="AJ107" s="39"/>
      <c r="AK107" s="72" t="str">
        <f t="shared" si="69"/>
        <v/>
      </c>
      <c r="AL107" s="72" t="str">
        <f t="shared" si="70"/>
        <v/>
      </c>
      <c r="AM107" s="39"/>
      <c r="AN107" s="72" t="str">
        <f t="shared" si="54"/>
        <v/>
      </c>
      <c r="AO107" s="72" t="str">
        <f t="shared" si="71"/>
        <v/>
      </c>
      <c r="AP107" s="39"/>
      <c r="AQ107" s="72" t="str">
        <f t="shared" si="55"/>
        <v/>
      </c>
      <c r="AR107" s="72" t="str">
        <f t="shared" si="72"/>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56"/>
        <v/>
      </c>
      <c r="AW107" s="72" t="str">
        <f t="shared" si="73"/>
        <v/>
      </c>
      <c r="AX107" s="39"/>
      <c r="AY107" s="40" t="str">
        <f>IF(ISERROR(IF($K107&lt;=$F$15,VLOOKUP($I107,'表4）CO2価格'!$A$7:$E$67,VLOOKUP($F$48,'表4）CO2価格'!$H$10:$I$12,2,0),0)*$F$8/1000,"")),0,IF($K107&lt;=$F$15,VLOOKUP($I107,'表4）CO2価格'!$A$7:$E$67,VLOOKUP($F$48,'表4）CO2価格'!$H$10:$I$12,2,0),0)*$F$8/1000,""))</f>
        <v/>
      </c>
      <c r="AZ107" s="39"/>
      <c r="BA107" s="42" t="str">
        <f t="shared" si="57"/>
        <v/>
      </c>
      <c r="BB107" s="72" t="str">
        <f t="shared" si="74"/>
        <v/>
      </c>
      <c r="BC107" s="39"/>
      <c r="BD107" s="72" t="str">
        <f t="shared" si="58"/>
        <v/>
      </c>
      <c r="BE107" s="72" t="str">
        <f t="shared" si="75"/>
        <v/>
      </c>
      <c r="BF107" s="39"/>
      <c r="BG107" s="42" t="str">
        <f t="shared" si="59"/>
        <v/>
      </c>
      <c r="BH107" s="72" t="str">
        <f t="shared" si="76"/>
        <v/>
      </c>
      <c r="BI107" s="39"/>
      <c r="BJ107" s="72"/>
      <c r="BK107" s="157"/>
      <c r="BL107" s="157"/>
      <c r="BM107" s="72"/>
      <c r="BN107" s="72"/>
      <c r="BO107" s="72"/>
      <c r="BP107" s="39"/>
      <c r="BQ107" s="72" t="str">
        <f t="shared" si="60"/>
        <v/>
      </c>
      <c r="BR107" s="72" t="str">
        <f t="shared" si="77"/>
        <v/>
      </c>
    </row>
    <row r="108" spans="4:70" ht="15" x14ac:dyDescent="0.15">
      <c r="D108" s="116"/>
      <c r="F108" s="93"/>
      <c r="I108" s="459">
        <f t="shared" si="78"/>
        <v>2113</v>
      </c>
      <c r="J108" s="71"/>
      <c r="K108" s="71">
        <f t="shared" si="79"/>
        <v>94</v>
      </c>
      <c r="L108" s="71"/>
      <c r="M108" s="7">
        <f t="shared" si="47"/>
        <v>6.212993191806794E-2</v>
      </c>
      <c r="N108" s="71"/>
      <c r="O108" s="10" t="str">
        <f t="shared" si="61"/>
        <v/>
      </c>
      <c r="P108" s="29" t="str">
        <f t="shared" si="48"/>
        <v/>
      </c>
      <c r="Q108" s="71"/>
      <c r="R108" s="10" t="str">
        <f t="shared" si="62"/>
        <v/>
      </c>
      <c r="S108" s="71"/>
      <c r="T108" s="10" t="str">
        <f t="shared" si="63"/>
        <v/>
      </c>
      <c r="U108" s="71"/>
      <c r="V108" s="10" t="str">
        <f t="shared" si="49"/>
        <v/>
      </c>
      <c r="W108" s="10" t="str">
        <f t="shared" si="64"/>
        <v/>
      </c>
      <c r="X108" s="71"/>
      <c r="Y108" s="10" t="str">
        <f t="shared" si="50"/>
        <v/>
      </c>
      <c r="Z108" s="10" t="str">
        <f t="shared" si="65"/>
        <v/>
      </c>
      <c r="AA108" s="71"/>
      <c r="AB108" s="10" t="str">
        <f t="shared" si="51"/>
        <v/>
      </c>
      <c r="AC108" s="10" t="str">
        <f t="shared" si="66"/>
        <v/>
      </c>
      <c r="AD108" s="71"/>
      <c r="AE108" s="10" t="str">
        <f t="shared" si="52"/>
        <v/>
      </c>
      <c r="AF108" s="10" t="str">
        <f t="shared" si="67"/>
        <v/>
      </c>
      <c r="AG108" s="71"/>
      <c r="AH108" s="10" t="str">
        <f t="shared" si="53"/>
        <v/>
      </c>
      <c r="AI108" s="10" t="str">
        <f t="shared" si="68"/>
        <v/>
      </c>
      <c r="AJ108" s="71"/>
      <c r="AK108" s="10" t="str">
        <f t="shared" si="69"/>
        <v/>
      </c>
      <c r="AL108" s="10" t="str">
        <f t="shared" si="70"/>
        <v/>
      </c>
      <c r="AM108" s="71"/>
      <c r="AN108" s="10" t="str">
        <f t="shared" si="54"/>
        <v/>
      </c>
      <c r="AO108" s="10" t="str">
        <f t="shared" si="71"/>
        <v/>
      </c>
      <c r="AP108" s="71"/>
      <c r="AQ108" s="10" t="str">
        <f t="shared" si="55"/>
        <v/>
      </c>
      <c r="AR108" s="10" t="str">
        <f t="shared" si="72"/>
        <v/>
      </c>
      <c r="AS108" s="71"/>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U108" s="71"/>
      <c r="AV108" s="10" t="str">
        <f t="shared" si="56"/>
        <v/>
      </c>
      <c r="AW108" s="10" t="str">
        <f t="shared" si="73"/>
        <v/>
      </c>
      <c r="AX108" s="71"/>
      <c r="AY108" s="7" t="str">
        <f>IF(ISERROR(IF($K108&lt;=$F$15,VLOOKUP($I108,'表4）CO2価格'!$A$7:$E$67,VLOOKUP($F$48,'表4）CO2価格'!$H$10:$I$12,2,0),0)*$F$8/1000,"")),0,IF($K108&lt;=$F$15,VLOOKUP($I108,'表4）CO2価格'!$A$7:$E$67,VLOOKUP($F$48,'表4）CO2価格'!$H$10:$I$12,2,0),0)*$F$8/1000,""))</f>
        <v/>
      </c>
      <c r="AZ108" s="71"/>
      <c r="BA108" s="11" t="str">
        <f t="shared" si="57"/>
        <v/>
      </c>
      <c r="BB108" s="10" t="str">
        <f t="shared" si="74"/>
        <v/>
      </c>
      <c r="BC108" s="71"/>
      <c r="BD108" s="10" t="str">
        <f t="shared" si="58"/>
        <v/>
      </c>
      <c r="BE108" s="10" t="str">
        <f t="shared" si="75"/>
        <v/>
      </c>
      <c r="BF108" s="71"/>
      <c r="BG108" s="11" t="str">
        <f t="shared" si="59"/>
        <v/>
      </c>
      <c r="BH108" s="10" t="str">
        <f t="shared" si="76"/>
        <v/>
      </c>
      <c r="BJ108" s="10"/>
      <c r="BK108" s="158"/>
      <c r="BL108" s="158"/>
      <c r="BM108" s="10"/>
      <c r="BN108" s="10"/>
      <c r="BO108" s="10"/>
      <c r="BP108" s="71"/>
      <c r="BQ108" s="10" t="str">
        <f t="shared" si="60"/>
        <v/>
      </c>
      <c r="BR108" s="10" t="str">
        <f t="shared" si="77"/>
        <v/>
      </c>
    </row>
    <row r="109" spans="4:70" x14ac:dyDescent="0.15">
      <c r="D109" s="101" t="s">
        <v>205</v>
      </c>
      <c r="E109" s="101"/>
      <c r="F109" s="92"/>
      <c r="G109" s="101"/>
      <c r="I109" s="458">
        <f t="shared" si="78"/>
        <v>2114</v>
      </c>
      <c r="J109" s="39"/>
      <c r="K109" s="39">
        <f t="shared" si="79"/>
        <v>95</v>
      </c>
      <c r="L109" s="39"/>
      <c r="M109" s="40">
        <f t="shared" si="47"/>
        <v>6.0320322250551395E-2</v>
      </c>
      <c r="N109" s="39"/>
      <c r="O109" s="72" t="str">
        <f t="shared" si="61"/>
        <v/>
      </c>
      <c r="P109" s="41" t="str">
        <f t="shared" si="48"/>
        <v/>
      </c>
      <c r="Q109" s="39"/>
      <c r="R109" s="72" t="str">
        <f t="shared" si="62"/>
        <v/>
      </c>
      <c r="S109" s="39"/>
      <c r="T109" s="72" t="str">
        <f t="shared" si="63"/>
        <v/>
      </c>
      <c r="U109" s="39"/>
      <c r="V109" s="72" t="str">
        <f t="shared" si="49"/>
        <v/>
      </c>
      <c r="W109" s="72" t="str">
        <f t="shared" si="64"/>
        <v/>
      </c>
      <c r="X109" s="39"/>
      <c r="Y109" s="72" t="str">
        <f t="shared" si="50"/>
        <v/>
      </c>
      <c r="Z109" s="72" t="str">
        <f t="shared" si="65"/>
        <v/>
      </c>
      <c r="AA109" s="39"/>
      <c r="AB109" s="72" t="str">
        <f t="shared" si="51"/>
        <v/>
      </c>
      <c r="AC109" s="72" t="str">
        <f t="shared" si="66"/>
        <v/>
      </c>
      <c r="AD109" s="39"/>
      <c r="AE109" s="72" t="str">
        <f t="shared" si="52"/>
        <v/>
      </c>
      <c r="AF109" s="72" t="str">
        <f t="shared" si="67"/>
        <v/>
      </c>
      <c r="AG109" s="39"/>
      <c r="AH109" s="72" t="str">
        <f t="shared" si="53"/>
        <v/>
      </c>
      <c r="AI109" s="72" t="str">
        <f t="shared" si="68"/>
        <v/>
      </c>
      <c r="AJ109" s="39"/>
      <c r="AK109" s="72" t="str">
        <f t="shared" si="69"/>
        <v/>
      </c>
      <c r="AL109" s="72" t="str">
        <f t="shared" si="70"/>
        <v/>
      </c>
      <c r="AM109" s="39"/>
      <c r="AN109" s="72" t="str">
        <f t="shared" si="54"/>
        <v/>
      </c>
      <c r="AO109" s="72" t="str">
        <f t="shared" si="71"/>
        <v/>
      </c>
      <c r="AP109" s="39"/>
      <c r="AQ109" s="72" t="str">
        <f t="shared" si="55"/>
        <v/>
      </c>
      <c r="AR109" s="72" t="str">
        <f t="shared" si="72"/>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56"/>
        <v/>
      </c>
      <c r="AW109" s="72" t="str">
        <f t="shared" si="73"/>
        <v/>
      </c>
      <c r="AX109" s="39"/>
      <c r="AY109" s="40" t="str">
        <f>IF(ISERROR(IF($K109&lt;=$F$15,VLOOKUP($I109,'表4）CO2価格'!$A$7:$E$67,VLOOKUP($F$48,'表4）CO2価格'!$H$10:$I$12,2,0),0)*$F$8/1000,"")),0,IF($K109&lt;=$F$15,VLOOKUP($I109,'表4）CO2価格'!$A$7:$E$67,VLOOKUP($F$48,'表4）CO2価格'!$H$10:$I$12,2,0),0)*$F$8/1000,""))</f>
        <v/>
      </c>
      <c r="AZ109" s="39"/>
      <c r="BA109" s="42" t="str">
        <f t="shared" si="57"/>
        <v/>
      </c>
      <c r="BB109" s="72" t="str">
        <f t="shared" si="74"/>
        <v/>
      </c>
      <c r="BC109" s="39"/>
      <c r="BD109" s="72" t="str">
        <f t="shared" si="58"/>
        <v/>
      </c>
      <c r="BE109" s="72" t="str">
        <f t="shared" si="75"/>
        <v/>
      </c>
      <c r="BF109" s="39"/>
      <c r="BG109" s="42" t="str">
        <f t="shared" si="59"/>
        <v/>
      </c>
      <c r="BH109" s="72" t="str">
        <f t="shared" si="76"/>
        <v/>
      </c>
      <c r="BI109" s="39"/>
      <c r="BJ109" s="72"/>
      <c r="BK109" s="157"/>
      <c r="BL109" s="157"/>
      <c r="BM109" s="72"/>
      <c r="BN109" s="72"/>
      <c r="BO109" s="72"/>
      <c r="BP109" s="39"/>
      <c r="BQ109" s="72" t="str">
        <f t="shared" si="60"/>
        <v/>
      </c>
      <c r="BR109" s="72" t="str">
        <f t="shared" si="77"/>
        <v/>
      </c>
    </row>
    <row r="110" spans="4:70" ht="15" x14ac:dyDescent="0.15">
      <c r="D110" s="116"/>
      <c r="F110" s="93"/>
      <c r="I110" s="459">
        <f t="shared" si="78"/>
        <v>2115</v>
      </c>
      <c r="J110" s="71"/>
      <c r="K110" s="71">
        <f t="shared" si="79"/>
        <v>96</v>
      </c>
      <c r="L110" s="71"/>
      <c r="M110" s="7">
        <f t="shared" si="47"/>
        <v>5.8563419660729518E-2</v>
      </c>
      <c r="N110" s="71"/>
      <c r="O110" s="10" t="str">
        <f t="shared" si="61"/>
        <v/>
      </c>
      <c r="P110" s="29" t="str">
        <f t="shared" si="48"/>
        <v/>
      </c>
      <c r="Q110" s="71"/>
      <c r="R110" s="10" t="str">
        <f t="shared" si="62"/>
        <v/>
      </c>
      <c r="S110" s="71"/>
      <c r="T110" s="10" t="str">
        <f t="shared" si="63"/>
        <v/>
      </c>
      <c r="U110" s="71"/>
      <c r="V110" s="10" t="str">
        <f t="shared" si="49"/>
        <v/>
      </c>
      <c r="W110" s="10" t="str">
        <f t="shared" si="64"/>
        <v/>
      </c>
      <c r="X110" s="71"/>
      <c r="Y110" s="10" t="str">
        <f t="shared" si="50"/>
        <v/>
      </c>
      <c r="Z110" s="10" t="str">
        <f t="shared" si="65"/>
        <v/>
      </c>
      <c r="AA110" s="71"/>
      <c r="AB110" s="10" t="str">
        <f t="shared" si="51"/>
        <v/>
      </c>
      <c r="AC110" s="10" t="str">
        <f t="shared" si="66"/>
        <v/>
      </c>
      <c r="AD110" s="71"/>
      <c r="AE110" s="10" t="str">
        <f t="shared" si="52"/>
        <v/>
      </c>
      <c r="AF110" s="10" t="str">
        <f t="shared" si="67"/>
        <v/>
      </c>
      <c r="AG110" s="71"/>
      <c r="AH110" s="10" t="str">
        <f t="shared" si="53"/>
        <v/>
      </c>
      <c r="AI110" s="10" t="str">
        <f t="shared" si="68"/>
        <v/>
      </c>
      <c r="AJ110" s="71"/>
      <c r="AK110" s="10" t="str">
        <f t="shared" si="69"/>
        <v/>
      </c>
      <c r="AL110" s="10" t="str">
        <f t="shared" si="70"/>
        <v/>
      </c>
      <c r="AM110" s="71"/>
      <c r="AN110" s="10" t="str">
        <f t="shared" si="54"/>
        <v/>
      </c>
      <c r="AO110" s="10" t="str">
        <f t="shared" si="71"/>
        <v/>
      </c>
      <c r="AP110" s="71"/>
      <c r="AQ110" s="10" t="str">
        <f t="shared" si="55"/>
        <v/>
      </c>
      <c r="AR110" s="10" t="str">
        <f t="shared" si="72"/>
        <v/>
      </c>
      <c r="AS110" s="71"/>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U110" s="71"/>
      <c r="AV110" s="10" t="str">
        <f t="shared" si="56"/>
        <v/>
      </c>
      <c r="AW110" s="10" t="str">
        <f t="shared" si="73"/>
        <v/>
      </c>
      <c r="AX110" s="71"/>
      <c r="AY110" s="7" t="str">
        <f>IF(ISERROR(IF($K110&lt;=$F$15,VLOOKUP($I110,'表4）CO2価格'!$A$7:$E$67,VLOOKUP($F$48,'表4）CO2価格'!$H$10:$I$12,2,0),0)*$F$8/1000,"")),0,IF($K110&lt;=$F$15,VLOOKUP($I110,'表4）CO2価格'!$A$7:$E$67,VLOOKUP($F$48,'表4）CO2価格'!$H$10:$I$12,2,0),0)*$F$8/1000,""))</f>
        <v/>
      </c>
      <c r="AZ110" s="71"/>
      <c r="BA110" s="11" t="str">
        <f t="shared" si="57"/>
        <v/>
      </c>
      <c r="BB110" s="10" t="str">
        <f t="shared" si="74"/>
        <v/>
      </c>
      <c r="BC110" s="71"/>
      <c r="BD110" s="10" t="str">
        <f t="shared" si="58"/>
        <v/>
      </c>
      <c r="BE110" s="10" t="str">
        <f t="shared" si="75"/>
        <v/>
      </c>
      <c r="BF110" s="71"/>
      <c r="BG110" s="11" t="str">
        <f t="shared" si="59"/>
        <v/>
      </c>
      <c r="BH110" s="10" t="str">
        <f t="shared" si="76"/>
        <v/>
      </c>
      <c r="BJ110" s="10"/>
      <c r="BK110" s="158"/>
      <c r="BL110" s="158"/>
      <c r="BM110" s="10"/>
      <c r="BN110" s="10"/>
      <c r="BO110" s="10"/>
      <c r="BP110" s="71"/>
      <c r="BQ110" s="10" t="str">
        <f t="shared" si="60"/>
        <v/>
      </c>
      <c r="BR110" s="10" t="str">
        <f t="shared" si="77"/>
        <v/>
      </c>
    </row>
    <row r="111" spans="4:70" ht="15" x14ac:dyDescent="0.15">
      <c r="D111" s="116"/>
      <c r="E111" s="81" t="s">
        <v>206</v>
      </c>
      <c r="F111" s="91">
        <f>-BE116/BR116</f>
        <v>0</v>
      </c>
      <c r="G111" s="81" t="s">
        <v>132</v>
      </c>
      <c r="I111" s="458">
        <f t="shared" si="78"/>
        <v>2116</v>
      </c>
      <c r="J111" s="39"/>
      <c r="K111" s="39">
        <f t="shared" si="79"/>
        <v>97</v>
      </c>
      <c r="L111" s="39"/>
      <c r="M111" s="40">
        <f t="shared" si="47"/>
        <v>5.6857688990999529E-2</v>
      </c>
      <c r="N111" s="39"/>
      <c r="O111" s="72" t="str">
        <f t="shared" si="61"/>
        <v/>
      </c>
      <c r="P111" s="41" t="str">
        <f>IF(K111&lt;=$F$15,IF(OR(P110=$F$124,P110="-"),"-",IF(O111*$F$123&gt;$F$127,$F$123,$F$124)),"")</f>
        <v/>
      </c>
      <c r="Q111" s="39"/>
      <c r="R111" s="72" t="str">
        <f t="shared" si="62"/>
        <v/>
      </c>
      <c r="S111" s="39"/>
      <c r="T111" s="72" t="str">
        <f t="shared" si="63"/>
        <v/>
      </c>
      <c r="U111" s="39"/>
      <c r="V111" s="72" t="str">
        <f t="shared" si="49"/>
        <v/>
      </c>
      <c r="W111" s="72" t="str">
        <f t="shared" si="64"/>
        <v/>
      </c>
      <c r="X111" s="39"/>
      <c r="Y111" s="72" t="str">
        <f t="shared" si="50"/>
        <v/>
      </c>
      <c r="Z111" s="72" t="str">
        <f t="shared" si="65"/>
        <v/>
      </c>
      <c r="AA111" s="39"/>
      <c r="AB111" s="72" t="str">
        <f t="shared" si="51"/>
        <v/>
      </c>
      <c r="AC111" s="72" t="str">
        <f t="shared" si="66"/>
        <v/>
      </c>
      <c r="AD111" s="39"/>
      <c r="AE111" s="72" t="str">
        <f t="shared" si="52"/>
        <v/>
      </c>
      <c r="AF111" s="72" t="str">
        <f t="shared" si="67"/>
        <v/>
      </c>
      <c r="AG111" s="39"/>
      <c r="AH111" s="72" t="str">
        <f t="shared" si="53"/>
        <v/>
      </c>
      <c r="AI111" s="72" t="str">
        <f t="shared" si="68"/>
        <v/>
      </c>
      <c r="AJ111" s="39"/>
      <c r="AK111" s="72" t="str">
        <f t="shared" si="69"/>
        <v/>
      </c>
      <c r="AL111" s="72" t="str">
        <f t="shared" si="70"/>
        <v/>
      </c>
      <c r="AM111" s="39"/>
      <c r="AN111" s="72" t="str">
        <f t="shared" si="54"/>
        <v/>
      </c>
      <c r="AO111" s="72" t="str">
        <f t="shared" si="71"/>
        <v/>
      </c>
      <c r="AP111" s="39"/>
      <c r="AQ111" s="72" t="str">
        <f t="shared" si="55"/>
        <v/>
      </c>
      <c r="AR111" s="72" t="str">
        <f t="shared" si="72"/>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56"/>
        <v/>
      </c>
      <c r="AW111" s="72" t="str">
        <f t="shared" si="73"/>
        <v/>
      </c>
      <c r="AX111" s="39"/>
      <c r="AY111" s="40" t="str">
        <f>IF(ISERROR(IF($K111&lt;=$F$15,VLOOKUP($I111,'表4）CO2価格'!$A$7:$E$67,VLOOKUP($F$48,'表4）CO2価格'!$H$10:$I$12,2,0),0)*$F$8/1000,"")),0,IF($K111&lt;=$F$15,VLOOKUP($I111,'表4）CO2価格'!$A$7:$E$67,VLOOKUP($F$48,'表4）CO2価格'!$H$10:$I$12,2,0),0)*$F$8/1000,""))</f>
        <v/>
      </c>
      <c r="AZ111" s="39"/>
      <c r="BA111" s="42" t="str">
        <f t="shared" si="57"/>
        <v/>
      </c>
      <c r="BB111" s="72" t="str">
        <f t="shared" si="74"/>
        <v/>
      </c>
      <c r="BC111" s="39"/>
      <c r="BD111" s="72" t="str">
        <f t="shared" si="58"/>
        <v/>
      </c>
      <c r="BE111" s="72" t="str">
        <f t="shared" si="75"/>
        <v/>
      </c>
      <c r="BF111" s="39"/>
      <c r="BG111" s="42" t="str">
        <f t="shared" si="59"/>
        <v/>
      </c>
      <c r="BH111" s="72" t="str">
        <f t="shared" si="76"/>
        <v/>
      </c>
      <c r="BI111" s="39"/>
      <c r="BJ111" s="72"/>
      <c r="BK111" s="157"/>
      <c r="BL111" s="157"/>
      <c r="BM111" s="72"/>
      <c r="BN111" s="72"/>
      <c r="BO111" s="72"/>
      <c r="BP111" s="39"/>
      <c r="BQ111" s="72" t="str">
        <f t="shared" si="60"/>
        <v/>
      </c>
      <c r="BR111" s="72" t="str">
        <f t="shared" si="77"/>
        <v/>
      </c>
    </row>
    <row r="112" spans="4:70" ht="15" x14ac:dyDescent="0.15">
      <c r="D112" s="116"/>
      <c r="E112" s="81" t="s">
        <v>207</v>
      </c>
      <c r="F112" s="91">
        <f>-BH116/BR116</f>
        <v>0</v>
      </c>
      <c r="G112" s="81" t="s">
        <v>132</v>
      </c>
      <c r="I112" s="459">
        <f t="shared" si="78"/>
        <v>2117</v>
      </c>
      <c r="J112" s="71"/>
      <c r="K112" s="71">
        <f t="shared" si="79"/>
        <v>98</v>
      </c>
      <c r="L112" s="71"/>
      <c r="M112" s="7">
        <f t="shared" si="47"/>
        <v>5.5201639797086935E-2</v>
      </c>
      <c r="N112" s="71"/>
      <c r="O112" s="10" t="str">
        <f t="shared" si="61"/>
        <v/>
      </c>
      <c r="P112" s="29" t="str">
        <f>IF(K112&lt;=$F$15,IF(OR(P111=$F$124,P111="-"),"-",IF(O112*$F$123&gt;$F$127,$F$123,$F$124)),"")</f>
        <v/>
      </c>
      <c r="Q112" s="71"/>
      <c r="R112" s="10" t="str">
        <f t="shared" si="62"/>
        <v/>
      </c>
      <c r="S112" s="71"/>
      <c r="T112" s="10" t="str">
        <f t="shared" si="63"/>
        <v/>
      </c>
      <c r="U112" s="71"/>
      <c r="V112" s="10" t="str">
        <f t="shared" si="49"/>
        <v/>
      </c>
      <c r="W112" s="10" t="str">
        <f t="shared" si="64"/>
        <v/>
      </c>
      <c r="X112" s="71"/>
      <c r="Y112" s="10" t="str">
        <f t="shared" si="50"/>
        <v/>
      </c>
      <c r="Z112" s="10" t="str">
        <f t="shared" si="65"/>
        <v/>
      </c>
      <c r="AA112" s="71"/>
      <c r="AB112" s="10" t="str">
        <f t="shared" si="51"/>
        <v/>
      </c>
      <c r="AC112" s="10" t="str">
        <f t="shared" si="66"/>
        <v/>
      </c>
      <c r="AD112" s="71"/>
      <c r="AE112" s="10" t="str">
        <f t="shared" si="52"/>
        <v/>
      </c>
      <c r="AF112" s="10" t="str">
        <f t="shared" si="67"/>
        <v/>
      </c>
      <c r="AG112" s="71"/>
      <c r="AH112" s="10" t="str">
        <f t="shared" si="53"/>
        <v/>
      </c>
      <c r="AI112" s="10" t="str">
        <f t="shared" si="68"/>
        <v/>
      </c>
      <c r="AJ112" s="71"/>
      <c r="AK112" s="10" t="str">
        <f t="shared" si="69"/>
        <v/>
      </c>
      <c r="AL112" s="10" t="str">
        <f t="shared" si="70"/>
        <v/>
      </c>
      <c r="AM112" s="71"/>
      <c r="AN112" s="10" t="str">
        <f t="shared" si="54"/>
        <v/>
      </c>
      <c r="AO112" s="10" t="str">
        <f t="shared" si="71"/>
        <v/>
      </c>
      <c r="AP112" s="71"/>
      <c r="AQ112" s="10" t="str">
        <f t="shared" si="55"/>
        <v/>
      </c>
      <c r="AR112" s="10" t="str">
        <f t="shared" si="72"/>
        <v/>
      </c>
      <c r="AS112" s="71"/>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U112" s="71"/>
      <c r="AV112" s="10" t="str">
        <f t="shared" si="56"/>
        <v/>
      </c>
      <c r="AW112" s="10" t="str">
        <f t="shared" si="73"/>
        <v/>
      </c>
      <c r="AX112" s="71"/>
      <c r="AY112" s="7" t="str">
        <f>IF(ISERROR(IF($K112&lt;=$F$15,VLOOKUP($I112,'表4）CO2価格'!$A$7:$E$67,VLOOKUP($F$48,'表4）CO2価格'!$H$10:$I$12,2,0),0)*$F$8/1000,"")),0,IF($K112&lt;=$F$15,VLOOKUP($I112,'表4）CO2価格'!$A$7:$E$67,VLOOKUP($F$48,'表4）CO2価格'!$H$10:$I$12,2,0),0)*$F$8/1000,""))</f>
        <v/>
      </c>
      <c r="AZ112" s="71"/>
      <c r="BA112" s="11" t="str">
        <f t="shared" si="57"/>
        <v/>
      </c>
      <c r="BB112" s="10" t="str">
        <f t="shared" si="74"/>
        <v/>
      </c>
      <c r="BC112" s="71"/>
      <c r="BD112" s="10" t="str">
        <f t="shared" si="58"/>
        <v/>
      </c>
      <c r="BE112" s="10" t="str">
        <f t="shared" si="75"/>
        <v/>
      </c>
      <c r="BF112" s="71"/>
      <c r="BG112" s="11" t="str">
        <f t="shared" si="59"/>
        <v/>
      </c>
      <c r="BH112" s="10" t="str">
        <f t="shared" si="76"/>
        <v/>
      </c>
      <c r="BJ112" s="10"/>
      <c r="BK112" s="158"/>
      <c r="BL112" s="158"/>
      <c r="BM112" s="10"/>
      <c r="BN112" s="10"/>
      <c r="BO112" s="10"/>
      <c r="BP112" s="71"/>
      <c r="BQ112" s="10" t="str">
        <f t="shared" si="60"/>
        <v/>
      </c>
      <c r="BR112" s="10" t="str">
        <f t="shared" si="77"/>
        <v/>
      </c>
    </row>
    <row r="113" spans="2:70" x14ac:dyDescent="0.15">
      <c r="I113" s="458">
        <f t="shared" si="78"/>
        <v>2118</v>
      </c>
      <c r="J113" s="39"/>
      <c r="K113" s="39">
        <f t="shared" si="79"/>
        <v>99</v>
      </c>
      <c r="L113" s="39"/>
      <c r="M113" s="40">
        <f t="shared" si="47"/>
        <v>5.3593825045715457E-2</v>
      </c>
      <c r="N113" s="39"/>
      <c r="O113" s="72" t="str">
        <f t="shared" si="61"/>
        <v/>
      </c>
      <c r="P113" s="41" t="str">
        <f>IF(K113&lt;=$F$15,IF(OR(P112=$F$124,P112="-"),"-",IF(O113*$F$123&gt;$F$127,$F$123,$F$124)),"")</f>
        <v/>
      </c>
      <c r="Q113" s="39"/>
      <c r="R113" s="72" t="str">
        <f t="shared" si="62"/>
        <v/>
      </c>
      <c r="S113" s="39"/>
      <c r="T113" s="72" t="str">
        <f t="shared" si="63"/>
        <v/>
      </c>
      <c r="U113" s="39"/>
      <c r="V113" s="72" t="str">
        <f t="shared" si="49"/>
        <v/>
      </c>
      <c r="W113" s="72" t="str">
        <f t="shared" si="64"/>
        <v/>
      </c>
      <c r="X113" s="39"/>
      <c r="Y113" s="72" t="str">
        <f t="shared" si="50"/>
        <v/>
      </c>
      <c r="Z113" s="72" t="str">
        <f t="shared" si="65"/>
        <v/>
      </c>
      <c r="AA113" s="39"/>
      <c r="AB113" s="72" t="str">
        <f t="shared" si="51"/>
        <v/>
      </c>
      <c r="AC113" s="72" t="str">
        <f t="shared" si="66"/>
        <v/>
      </c>
      <c r="AD113" s="39"/>
      <c r="AE113" s="72" t="str">
        <f t="shared" si="52"/>
        <v/>
      </c>
      <c r="AF113" s="72" t="str">
        <f t="shared" si="67"/>
        <v/>
      </c>
      <c r="AG113" s="39"/>
      <c r="AH113" s="72" t="str">
        <f t="shared" si="53"/>
        <v/>
      </c>
      <c r="AI113" s="72" t="str">
        <f t="shared" si="68"/>
        <v/>
      </c>
      <c r="AJ113" s="39"/>
      <c r="AK113" s="72" t="str">
        <f t="shared" si="69"/>
        <v/>
      </c>
      <c r="AL113" s="72" t="str">
        <f t="shared" si="70"/>
        <v/>
      </c>
      <c r="AM113" s="39"/>
      <c r="AN113" s="72" t="str">
        <f t="shared" si="54"/>
        <v/>
      </c>
      <c r="AO113" s="72" t="str">
        <f t="shared" si="71"/>
        <v/>
      </c>
      <c r="AP113" s="39"/>
      <c r="AQ113" s="72" t="str">
        <f t="shared" si="55"/>
        <v/>
      </c>
      <c r="AR113" s="72" t="str">
        <f t="shared" si="72"/>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56"/>
        <v/>
      </c>
      <c r="AW113" s="72" t="str">
        <f t="shared" si="73"/>
        <v/>
      </c>
      <c r="AX113" s="39"/>
      <c r="AY113" s="40" t="str">
        <f>IF(ISERROR(IF($K113&lt;=$F$15,VLOOKUP($I113,'表4）CO2価格'!$A$7:$E$67,VLOOKUP($F$48,'表4）CO2価格'!$H$10:$I$12,2,0),0)*$F$8/1000,"")),0,IF($K113&lt;=$F$15,VLOOKUP($I113,'表4）CO2価格'!$A$7:$E$67,VLOOKUP($F$48,'表4）CO2価格'!$H$10:$I$12,2,0),0)*$F$8/1000,""))</f>
        <v/>
      </c>
      <c r="AZ113" s="39"/>
      <c r="BA113" s="42" t="str">
        <f t="shared" si="57"/>
        <v/>
      </c>
      <c r="BB113" s="72" t="str">
        <f t="shared" si="74"/>
        <v/>
      </c>
      <c r="BC113" s="39"/>
      <c r="BD113" s="72" t="str">
        <f t="shared" si="58"/>
        <v/>
      </c>
      <c r="BE113" s="72" t="str">
        <f t="shared" si="75"/>
        <v/>
      </c>
      <c r="BF113" s="39"/>
      <c r="BG113" s="42" t="str">
        <f t="shared" si="59"/>
        <v/>
      </c>
      <c r="BH113" s="72" t="str">
        <f t="shared" si="76"/>
        <v/>
      </c>
      <c r="BI113" s="39"/>
      <c r="BJ113" s="72"/>
      <c r="BK113" s="157"/>
      <c r="BL113" s="157"/>
      <c r="BM113" s="72"/>
      <c r="BN113" s="72"/>
      <c r="BO113" s="72"/>
      <c r="BP113" s="39"/>
      <c r="BQ113" s="72" t="str">
        <f t="shared" si="60"/>
        <v/>
      </c>
      <c r="BR113" s="72" t="str">
        <f t="shared" si="77"/>
        <v/>
      </c>
    </row>
    <row r="114" spans="2:70" x14ac:dyDescent="0.15">
      <c r="I114" s="459">
        <f t="shared" si="78"/>
        <v>2119</v>
      </c>
      <c r="J114" s="71"/>
      <c r="K114" s="71">
        <f t="shared" si="79"/>
        <v>100</v>
      </c>
      <c r="L114" s="71"/>
      <c r="M114" s="7">
        <f t="shared" si="47"/>
        <v>5.2032839850209185E-2</v>
      </c>
      <c r="N114" s="71"/>
      <c r="O114" s="10" t="str">
        <f t="shared" si="61"/>
        <v/>
      </c>
      <c r="P114" s="29" t="str">
        <f>IF(K114&lt;=$F$15,IF(OR(P113=$F$124,P113="-"),"-",IF(O114*$F$123&gt;$F$127,$F$123,$F$124)),"")</f>
        <v/>
      </c>
      <c r="Q114" s="71"/>
      <c r="R114" s="10" t="str">
        <f t="shared" si="62"/>
        <v/>
      </c>
      <c r="S114" s="71"/>
      <c r="T114" s="10" t="str">
        <f t="shared" si="63"/>
        <v/>
      </c>
      <c r="U114" s="71"/>
      <c r="V114" s="10" t="str">
        <f t="shared" si="49"/>
        <v/>
      </c>
      <c r="W114" s="10" t="str">
        <f t="shared" si="64"/>
        <v/>
      </c>
      <c r="X114" s="71"/>
      <c r="Y114" s="10" t="str">
        <f t="shared" si="50"/>
        <v/>
      </c>
      <c r="Z114" s="10" t="str">
        <f t="shared" si="65"/>
        <v/>
      </c>
      <c r="AA114" s="71"/>
      <c r="AB114" s="10" t="str">
        <f t="shared" si="51"/>
        <v/>
      </c>
      <c r="AC114" s="10" t="str">
        <f t="shared" si="66"/>
        <v/>
      </c>
      <c r="AD114" s="71"/>
      <c r="AE114" s="10" t="str">
        <f t="shared" si="52"/>
        <v/>
      </c>
      <c r="AF114" s="10" t="str">
        <f t="shared" si="67"/>
        <v/>
      </c>
      <c r="AG114" s="71"/>
      <c r="AH114" s="10" t="str">
        <f t="shared" si="53"/>
        <v/>
      </c>
      <c r="AI114" s="10" t="str">
        <f t="shared" si="68"/>
        <v/>
      </c>
      <c r="AJ114" s="71"/>
      <c r="AK114" s="10" t="str">
        <f t="shared" si="69"/>
        <v/>
      </c>
      <c r="AL114" s="10" t="str">
        <f t="shared" si="70"/>
        <v/>
      </c>
      <c r="AM114" s="71"/>
      <c r="AN114" s="10" t="str">
        <f t="shared" si="54"/>
        <v/>
      </c>
      <c r="AO114" s="10" t="str">
        <f t="shared" si="71"/>
        <v/>
      </c>
      <c r="AP114" s="71"/>
      <c r="AQ114" s="10" t="str">
        <f t="shared" si="55"/>
        <v/>
      </c>
      <c r="AR114" s="10" t="str">
        <f t="shared" si="72"/>
        <v/>
      </c>
      <c r="AS114" s="71"/>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U114" s="71"/>
      <c r="AV114" s="10" t="str">
        <f t="shared" si="56"/>
        <v/>
      </c>
      <c r="AW114" s="10" t="str">
        <f t="shared" si="73"/>
        <v/>
      </c>
      <c r="AX114" s="71"/>
      <c r="AY114" s="7" t="str">
        <f>IF(ISERROR(IF($K114&lt;=$F$15,VLOOKUP($I114,'表4）CO2価格'!$A$7:$E$67,VLOOKUP($F$48,'表4）CO2価格'!$H$10:$I$12,2,0),0)*$F$8/1000,"")),0,IF($K114&lt;=$F$15,VLOOKUP($I114,'表4）CO2価格'!$A$7:$E$67,VLOOKUP($F$48,'表4）CO2価格'!$H$10:$I$12,2,0),0)*$F$8/1000,""))</f>
        <v/>
      </c>
      <c r="AZ114" s="71"/>
      <c r="BA114" s="11" t="str">
        <f t="shared" si="57"/>
        <v/>
      </c>
      <c r="BB114" s="10" t="str">
        <f t="shared" si="74"/>
        <v/>
      </c>
      <c r="BC114" s="71"/>
      <c r="BD114" s="10" t="str">
        <f t="shared" si="58"/>
        <v/>
      </c>
      <c r="BE114" s="10" t="str">
        <f t="shared" si="75"/>
        <v/>
      </c>
      <c r="BF114" s="71"/>
      <c r="BG114" s="11" t="str">
        <f t="shared" si="59"/>
        <v/>
      </c>
      <c r="BH114" s="10" t="str">
        <f t="shared" si="76"/>
        <v/>
      </c>
      <c r="BJ114" s="10"/>
      <c r="BK114" s="158"/>
      <c r="BL114" s="158"/>
      <c r="BM114" s="10"/>
      <c r="BN114" s="10"/>
      <c r="BO114" s="10"/>
      <c r="BP114" s="71"/>
      <c r="BQ114" s="10" t="str">
        <f t="shared" si="60"/>
        <v/>
      </c>
      <c r="BR114" s="10" t="str">
        <f t="shared" si="77"/>
        <v/>
      </c>
    </row>
    <row r="115" spans="2:70" ht="15.75" thickBot="1" x14ac:dyDescent="0.2">
      <c r="B115" s="460" t="s">
        <v>515</v>
      </c>
      <c r="C115" s="86"/>
      <c r="D115" s="104"/>
      <c r="E115" s="104"/>
      <c r="F115" s="86"/>
      <c r="G115" s="104"/>
      <c r="I115" s="464"/>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9" t="s">
        <v>516</v>
      </c>
      <c r="J116" s="71"/>
      <c r="K116" s="71"/>
      <c r="L116" s="71"/>
      <c r="M116" s="71"/>
      <c r="N116" s="71"/>
      <c r="O116" s="71"/>
      <c r="P116" s="71"/>
      <c r="Q116" s="71"/>
      <c r="R116" s="71"/>
      <c r="S116" s="71"/>
      <c r="T116" s="71"/>
      <c r="U116" s="71"/>
      <c r="V116" s="71"/>
      <c r="W116" s="11"/>
      <c r="X116" s="71"/>
      <c r="Y116" s="71"/>
      <c r="Z116" s="11">
        <f>SUM(Z15:Z114)</f>
        <v>0</v>
      </c>
      <c r="AA116" s="71"/>
      <c r="AB116" s="71"/>
      <c r="AC116" s="11">
        <f>SUM(AC15:AC114)</f>
        <v>34893.028239747466</v>
      </c>
      <c r="AD116" s="71"/>
      <c r="AE116" s="71"/>
      <c r="AF116" s="11">
        <f>SUM(AF15:AF114)</f>
        <v>0</v>
      </c>
      <c r="AG116" s="71"/>
      <c r="AH116" s="71"/>
      <c r="AI116" s="11">
        <f>SUM(AI15:AI114)</f>
        <v>261197.21536917033</v>
      </c>
      <c r="AJ116" s="71"/>
      <c r="AK116" s="71"/>
      <c r="AL116" s="11">
        <f>SUM(AL15:AL114)</f>
        <v>0</v>
      </c>
      <c r="AM116" s="71"/>
      <c r="AN116" s="71"/>
      <c r="AO116" s="11">
        <f>SUM(AO15:AO114)</f>
        <v>0</v>
      </c>
      <c r="AP116" s="71"/>
      <c r="AQ116" s="71"/>
      <c r="AR116" s="11">
        <f>SUM(AR15:AR114)</f>
        <v>0</v>
      </c>
      <c r="AS116" s="71"/>
      <c r="AT116" s="71"/>
      <c r="AU116" s="71"/>
      <c r="AV116" s="71"/>
      <c r="AW116" s="11">
        <f>SUM(AW15:AW114)</f>
        <v>0</v>
      </c>
      <c r="AX116" s="71"/>
      <c r="AY116" s="71"/>
      <c r="AZ116" s="71"/>
      <c r="BA116" s="71"/>
      <c r="BB116" s="11">
        <f>SUM(BB15:BB114)</f>
        <v>0</v>
      </c>
      <c r="BC116" s="71"/>
      <c r="BD116" s="71"/>
      <c r="BE116" s="11">
        <f>SUM(BE15:BE114)</f>
        <v>0</v>
      </c>
      <c r="BF116" s="71"/>
      <c r="BG116" s="71"/>
      <c r="BH116" s="11">
        <f>SUM(BH15:BH114)</f>
        <v>0</v>
      </c>
      <c r="BO116" s="11">
        <f>SUM(BO15:BO114)</f>
        <v>0</v>
      </c>
      <c r="BP116" s="71"/>
      <c r="BQ116" s="71"/>
      <c r="BR116" s="11">
        <f>SUM(BR15:BR114)</f>
        <v>105252.02990516087</v>
      </c>
    </row>
    <row r="117" spans="2:70" x14ac:dyDescent="0.15">
      <c r="C117" s="9" t="s">
        <v>529</v>
      </c>
      <c r="F117" s="44">
        <f>F21*10^4*F13*10^4+F29*10^8</f>
        <v>1505000</v>
      </c>
      <c r="G117" s="81" t="s">
        <v>208</v>
      </c>
      <c r="I117" s="9" t="s">
        <v>539</v>
      </c>
      <c r="J117" s="71"/>
      <c r="K117" s="71"/>
      <c r="L117" s="71"/>
      <c r="M117" s="71"/>
      <c r="N117" s="71"/>
      <c r="O117" s="71"/>
      <c r="P117" s="71"/>
      <c r="Q117" s="71"/>
      <c r="R117" s="71"/>
      <c r="S117" s="71"/>
      <c r="T117" s="71"/>
      <c r="U117" s="71"/>
      <c r="V117" s="71"/>
      <c r="W117" s="71"/>
      <c r="X117" s="71"/>
      <c r="Y117" s="71"/>
      <c r="Z117" s="11">
        <f>SUM(Z15:Z24)</f>
        <v>0</v>
      </c>
      <c r="AA117" s="71"/>
      <c r="AB117" s="71"/>
      <c r="AC117" s="11">
        <f>SUM(AC15:AC24)</f>
        <v>0</v>
      </c>
      <c r="AD117" s="71"/>
      <c r="AE117" s="71"/>
      <c r="AF117" s="11">
        <f>SUM(AF15:AF24)</f>
        <v>0</v>
      </c>
      <c r="AG117" s="71"/>
      <c r="AH117" s="71"/>
      <c r="AI117" s="11">
        <f>SUM(AI15:AI24)</f>
        <v>127953.04255163745</v>
      </c>
      <c r="AJ117" s="71"/>
      <c r="AK117" s="71"/>
      <c r="AL117" s="11">
        <f>SUM(AL15:AL24)</f>
        <v>0</v>
      </c>
      <c r="AM117" s="71"/>
      <c r="AN117" s="71"/>
      <c r="AO117" s="11">
        <f>SUM(AO15:AO24)</f>
        <v>0</v>
      </c>
      <c r="AP117" s="71"/>
      <c r="AQ117" s="71"/>
      <c r="AR117" s="11">
        <f>SUM(AR15:AR24)</f>
        <v>0</v>
      </c>
      <c r="AS117" s="71"/>
      <c r="AT117" s="71"/>
      <c r="AU117" s="71"/>
      <c r="AV117" s="71"/>
      <c r="AW117" s="11">
        <f>SUM(AW15:AW24)</f>
        <v>0</v>
      </c>
      <c r="AX117" s="71"/>
      <c r="AY117" s="71"/>
      <c r="AZ117" s="71"/>
      <c r="BA117" s="71"/>
      <c r="BB117" s="11">
        <f>SUM(BB15:BB24)</f>
        <v>0</v>
      </c>
      <c r="BC117" s="71"/>
      <c r="BD117" s="71"/>
      <c r="BE117" s="11">
        <f>SUM(BE15:BE24)</f>
        <v>0</v>
      </c>
      <c r="BF117" s="71"/>
      <c r="BG117" s="71"/>
      <c r="BH117" s="11">
        <f>SUM(BH15:BH24)</f>
        <v>0</v>
      </c>
      <c r="BO117" s="11">
        <f>SUM(BO15:BO24)</f>
        <v>0</v>
      </c>
      <c r="BP117" s="71"/>
      <c r="BQ117" s="71"/>
      <c r="BR117" s="11">
        <f>SUM(BR15:BR24)</f>
        <v>51559.958026607826</v>
      </c>
    </row>
    <row r="118" spans="2:70" x14ac:dyDescent="0.15">
      <c r="I118" s="9" t="s">
        <v>540</v>
      </c>
      <c r="J118" s="71"/>
      <c r="K118" s="71"/>
      <c r="L118" s="71"/>
      <c r="M118" s="71"/>
      <c r="N118" s="71"/>
      <c r="O118" s="71"/>
      <c r="P118" s="71"/>
      <c r="Q118" s="71"/>
      <c r="R118" s="71"/>
      <c r="S118" s="71"/>
      <c r="T118" s="71"/>
      <c r="U118" s="71"/>
      <c r="V118" s="71"/>
      <c r="W118" s="11"/>
      <c r="X118" s="71"/>
      <c r="Y118" s="71"/>
      <c r="Z118" s="11">
        <f>SUM(Z25:Z34)</f>
        <v>0</v>
      </c>
      <c r="AA118" s="71"/>
      <c r="AB118" s="71"/>
      <c r="AC118" s="11">
        <f>SUM(AC25:AC34)</f>
        <v>0</v>
      </c>
      <c r="AD118" s="71"/>
      <c r="AE118" s="71"/>
      <c r="AF118" s="11">
        <f>SUM(AF25:AF34)</f>
        <v>0</v>
      </c>
      <c r="AG118" s="71"/>
      <c r="AH118" s="71"/>
      <c r="AI118" s="11">
        <f>SUM(AI25:AI34)</f>
        <v>95209.080355195183</v>
      </c>
      <c r="AJ118" s="71"/>
      <c r="AK118" s="71"/>
      <c r="AL118" s="11">
        <f>SUM(AL25:AL34)</f>
        <v>0</v>
      </c>
      <c r="AM118" s="71"/>
      <c r="AN118" s="71"/>
      <c r="AO118" s="11">
        <f>SUM(AO25:AO34)</f>
        <v>0</v>
      </c>
      <c r="AP118" s="71"/>
      <c r="AQ118" s="71"/>
      <c r="AR118" s="11">
        <f>SUM(AR25:AR34)</f>
        <v>0</v>
      </c>
      <c r="AS118" s="71"/>
      <c r="AT118" s="71"/>
      <c r="AU118" s="71"/>
      <c r="AV118" s="71"/>
      <c r="AW118" s="11">
        <f>SUM(AW25:AW34)</f>
        <v>0</v>
      </c>
      <c r="AX118" s="71"/>
      <c r="AY118" s="71"/>
      <c r="AZ118" s="71"/>
      <c r="BA118" s="71"/>
      <c r="BB118" s="11">
        <f>SUM(BB25:BB34)</f>
        <v>0</v>
      </c>
      <c r="BC118" s="71"/>
      <c r="BD118" s="71"/>
      <c r="BE118" s="11">
        <f>SUM(BE25:BE34)</f>
        <v>0</v>
      </c>
      <c r="BF118" s="71"/>
      <c r="BG118" s="71"/>
      <c r="BH118" s="11">
        <f>SUM(BH25:BH34)</f>
        <v>0</v>
      </c>
      <c r="BO118" s="11">
        <f>SUM(BO25:BO34)</f>
        <v>0</v>
      </c>
      <c r="BP118" s="71"/>
      <c r="BQ118" s="71"/>
      <c r="BR118" s="11">
        <f>SUM(BR25:BR34)</f>
        <v>38365.451019929445</v>
      </c>
    </row>
    <row r="119" spans="2:70" x14ac:dyDescent="0.15">
      <c r="C119" s="9" t="s">
        <v>521</v>
      </c>
      <c r="F119" s="44">
        <f>VLOOKUP(F3,'表2）法定耐用年数'!$A$2:$B$24,2,0)</f>
        <v>17</v>
      </c>
      <c r="G119" s="81" t="s">
        <v>108</v>
      </c>
      <c r="I119" s="9" t="s">
        <v>541</v>
      </c>
      <c r="J119" s="71"/>
      <c r="K119" s="71"/>
      <c r="L119" s="71"/>
      <c r="M119" s="71"/>
      <c r="N119" s="71"/>
      <c r="O119" s="71"/>
      <c r="P119" s="71"/>
      <c r="Q119" s="71"/>
      <c r="R119" s="71"/>
      <c r="S119" s="71"/>
      <c r="T119" s="71"/>
      <c r="U119" s="71"/>
      <c r="V119" s="71"/>
      <c r="W119" s="71"/>
      <c r="X119" s="71"/>
      <c r="Y119" s="71"/>
      <c r="Z119" s="11">
        <f>SUM(Z35:Z114)</f>
        <v>0</v>
      </c>
      <c r="AA119" s="71"/>
      <c r="AB119" s="71"/>
      <c r="AC119" s="11">
        <f>SUM(AC35:AC114)</f>
        <v>34893.028239747466</v>
      </c>
      <c r="AD119" s="71"/>
      <c r="AE119" s="71"/>
      <c r="AF119" s="11">
        <f>SUM(AF35:AF114)</f>
        <v>0</v>
      </c>
      <c r="AG119" s="71"/>
      <c r="AH119" s="71"/>
      <c r="AI119" s="11">
        <f>SUM(AI35:AI114)</f>
        <v>38035.092462337685</v>
      </c>
      <c r="AJ119" s="71"/>
      <c r="AK119" s="71"/>
      <c r="AL119" s="11">
        <f>SUM(AL35:AL114)</f>
        <v>0</v>
      </c>
      <c r="AM119" s="71"/>
      <c r="AN119" s="71"/>
      <c r="AO119" s="11">
        <f>SUM(AO35:AO114)</f>
        <v>0</v>
      </c>
      <c r="AP119" s="71"/>
      <c r="AQ119" s="71"/>
      <c r="AR119" s="11">
        <f>SUM(AR35:AR114)</f>
        <v>0</v>
      </c>
      <c r="AS119" s="71"/>
      <c r="AT119" s="71"/>
      <c r="AU119" s="71"/>
      <c r="AV119" s="71"/>
      <c r="AW119" s="11">
        <f>SUM(AW35:AW114)</f>
        <v>0</v>
      </c>
      <c r="AX119" s="71"/>
      <c r="AY119" s="71"/>
      <c r="AZ119" s="71"/>
      <c r="BA119" s="71"/>
      <c r="BB119" s="11">
        <f>SUM(BB35:BB114)</f>
        <v>0</v>
      </c>
      <c r="BC119" s="71"/>
      <c r="BD119" s="71"/>
      <c r="BE119" s="11">
        <f>SUM(BE35:BE114)</f>
        <v>0</v>
      </c>
      <c r="BF119" s="71"/>
      <c r="BG119" s="71"/>
      <c r="BH119" s="11">
        <f>SUM(BH35:BH114)</f>
        <v>0</v>
      </c>
      <c r="BO119" s="11">
        <f>SUM(BO35:BO114)</f>
        <v>0</v>
      </c>
      <c r="BP119" s="71"/>
      <c r="BQ119" s="71"/>
      <c r="BR119" s="11">
        <f>SUM(BR35:BR114)</f>
        <v>15326.620858623593</v>
      </c>
    </row>
    <row r="121" spans="2:70" x14ac:dyDescent="0.15">
      <c r="C121" s="89" t="s">
        <v>522</v>
      </c>
      <c r="D121" s="101"/>
      <c r="E121" s="101"/>
      <c r="F121" s="89"/>
      <c r="G121" s="10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P121" s="71"/>
      <c r="BQ121" s="71"/>
      <c r="BR121" s="71"/>
    </row>
    <row r="123" spans="2:70" x14ac:dyDescent="0.15">
      <c r="D123" s="81" t="s">
        <v>209</v>
      </c>
      <c r="F123" s="95">
        <f>VLOOKUP($F$119,'表1）減価償却率表'!$A$9:$E$107,3,0)</f>
        <v>0.14699999999999999</v>
      </c>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P123" s="71"/>
      <c r="BQ123" s="71"/>
      <c r="BR123" s="71"/>
    </row>
    <row r="124" spans="2:70" x14ac:dyDescent="0.15">
      <c r="D124" s="81" t="s">
        <v>210</v>
      </c>
      <c r="F124" s="95">
        <f>VLOOKUP($F$119,'表1）減価償却率表'!$A$9:$E$107,4,0)</f>
        <v>0.16700000000000001</v>
      </c>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P124" s="71"/>
      <c r="BQ124" s="71"/>
      <c r="BR124" s="71"/>
    </row>
    <row r="125" spans="2:70" x14ac:dyDescent="0.15">
      <c r="D125" s="81" t="s">
        <v>211</v>
      </c>
      <c r="F125" s="88">
        <f>VLOOKUP($F$119,'表1）減価償却率表'!$A$9:$E$107,5,0)</f>
        <v>2.9049999999999999E-2</v>
      </c>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P125" s="71"/>
      <c r="BQ125" s="71"/>
      <c r="BR125" s="71"/>
    </row>
    <row r="126" spans="2:70" x14ac:dyDescent="0.15">
      <c r="F126" s="96"/>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P126" s="71"/>
      <c r="BQ126" s="71"/>
      <c r="BR126" s="71"/>
    </row>
    <row r="127" spans="2:70" x14ac:dyDescent="0.15">
      <c r="C127" s="111" t="s">
        <v>523</v>
      </c>
      <c r="D127" s="85"/>
      <c r="E127" s="114"/>
      <c r="F127" s="44">
        <f>F117*F125</f>
        <v>43720.25</v>
      </c>
      <c r="G127" s="81" t="s">
        <v>208</v>
      </c>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P127" s="71"/>
      <c r="BQ127" s="71"/>
      <c r="BR127" s="71"/>
    </row>
    <row r="129" spans="3:7" x14ac:dyDescent="0.15">
      <c r="C129" s="111" t="s">
        <v>152</v>
      </c>
      <c r="D129" s="85"/>
      <c r="E129" s="85"/>
      <c r="F129" s="95">
        <f>0.1^(1/F119)</f>
        <v>0.87332616238284333</v>
      </c>
      <c r="G129" s="85"/>
    </row>
    <row r="131" spans="3:7" x14ac:dyDescent="0.15">
      <c r="C131" s="89" t="s">
        <v>524</v>
      </c>
      <c r="D131" s="101"/>
      <c r="E131" s="101"/>
      <c r="F131" s="89"/>
      <c r="G131" s="101"/>
    </row>
    <row r="133" spans="3:7" x14ac:dyDescent="0.15">
      <c r="D133" s="81" t="s">
        <v>212</v>
      </c>
      <c r="F133" s="44">
        <f>F13*10000*24*365*F14/100</f>
        <v>6044.4</v>
      </c>
      <c r="G133" s="81" t="s">
        <v>213</v>
      </c>
    </row>
    <row r="134" spans="3:7" x14ac:dyDescent="0.15">
      <c r="D134" s="81" t="s">
        <v>214</v>
      </c>
      <c r="F134" s="44">
        <f>F133*(1-F24/100)</f>
        <v>6044.4</v>
      </c>
      <c r="G134" s="81" t="s">
        <v>213</v>
      </c>
    </row>
    <row r="135" spans="3:7" x14ac:dyDescent="0.15">
      <c r="F135" s="97"/>
    </row>
    <row r="137" spans="3:7" ht="16.5" x14ac:dyDescent="0.15">
      <c r="C137" s="9" t="s">
        <v>525</v>
      </c>
      <c r="F137" s="44">
        <f>IF(ISERROR(F133*3.6/(F23/100)/F22),0,F133*3.6/(F23/100)/F22)</f>
        <v>0</v>
      </c>
      <c r="G137" s="9" t="s">
        <v>370</v>
      </c>
    </row>
    <row r="139" spans="3:7" x14ac:dyDescent="0.15">
      <c r="C139" s="89" t="s">
        <v>526</v>
      </c>
      <c r="D139" s="101"/>
      <c r="E139" s="101"/>
      <c r="F139" s="89"/>
      <c r="G139" s="101"/>
    </row>
    <row r="141" spans="3:7" x14ac:dyDescent="0.15">
      <c r="D141" s="81" t="s">
        <v>215</v>
      </c>
      <c r="F141" s="98" t="str">
        <f>IF(OR(F3="石炭火力",F3= "LNG火力", F3="ガスコジェネ",F3="バイオマス（石炭混焼）",F3="バイオマス（木質専焼）",F3="燃料電池"),IF($F$43="需要地価格","",1000),IF(OR(F3="石油火力",F3="石油コジェネ"),IF($F$43="需要地価格","",158.987294928),""))</f>
        <v/>
      </c>
      <c r="G141" s="81" t="s">
        <v>216</v>
      </c>
    </row>
    <row r="142" spans="3:7" x14ac:dyDescent="0.15">
      <c r="D142" s="81" t="s">
        <v>180</v>
      </c>
      <c r="F142" s="91">
        <f>IF(ISERROR(F42/1000),0,F42/1000)</f>
        <v>0</v>
      </c>
      <c r="G142" s="81" t="s">
        <v>217</v>
      </c>
    </row>
    <row r="145" spans="3:7" x14ac:dyDescent="0.15">
      <c r="C145" s="9" t="s">
        <v>368</v>
      </c>
      <c r="F145" s="98">
        <f>IF(ISERROR(F133*(F47*3.6/(F23/100)/1000*(44/12))),0,F133*(F47*3.6/(F23/100)/1000*(44/12)))</f>
        <v>0</v>
      </c>
      <c r="G145" s="81" t="s">
        <v>218</v>
      </c>
    </row>
    <row r="147" spans="3:7" x14ac:dyDescent="0.15">
      <c r="C147" s="89" t="s">
        <v>369</v>
      </c>
      <c r="D147" s="101"/>
      <c r="E147" s="101"/>
      <c r="F147" s="89"/>
      <c r="G147" s="101"/>
    </row>
    <row r="149" spans="3:7" x14ac:dyDescent="0.15">
      <c r="D149" s="81" t="s">
        <v>219</v>
      </c>
      <c r="F149" s="98">
        <f>IF(ISERROR(F52/F23),0,F52/F23)</f>
        <v>0</v>
      </c>
    </row>
    <row r="150" spans="3:7" x14ac:dyDescent="0.15">
      <c r="D150" s="81" t="s">
        <v>220</v>
      </c>
      <c r="F150" s="98">
        <f>F133*F149*(F53/100)*3.6</f>
        <v>0</v>
      </c>
      <c r="G150" s="81" t="s">
        <v>221</v>
      </c>
    </row>
    <row r="151" spans="3:7" ht="16.5" x14ac:dyDescent="0.15">
      <c r="D151" s="81" t="s">
        <v>222</v>
      </c>
      <c r="F151" s="44">
        <f>IF(ISERROR(F150/(F54/100)/F55),0,F150/(F54/100)/F55)</f>
        <v>0</v>
      </c>
      <c r="G151" s="9" t="s">
        <v>370</v>
      </c>
    </row>
    <row r="152" spans="3:7" x14ac:dyDescent="0.15">
      <c r="D152" s="81" t="s">
        <v>223</v>
      </c>
      <c r="F152" s="146">
        <f>IF(ISERROR(F56/1000),0,F56/1000)</f>
        <v>0</v>
      </c>
      <c r="G152" s="81" t="s">
        <v>217</v>
      </c>
    </row>
    <row r="153" spans="3:7" x14ac:dyDescent="0.15">
      <c r="D153" s="81" t="s">
        <v>224</v>
      </c>
      <c r="F153" s="98">
        <f>IF(ISERROR(F150*F47/1000*(44/12)/(F54/100)),0,F150*F47/1000*(44/12)/(F54/100))</f>
        <v>0</v>
      </c>
      <c r="G153" s="81" t="s">
        <v>218</v>
      </c>
    </row>
  </sheetData>
  <mergeCells count="43">
    <mergeCell ref="BJ7:BO7"/>
    <mergeCell ref="BO12:BO13"/>
    <mergeCell ref="F3:G3"/>
    <mergeCell ref="V7:AF7"/>
    <mergeCell ref="AH7:AR7"/>
    <mergeCell ref="AT7:AW7"/>
    <mergeCell ref="AY7:BB7"/>
    <mergeCell ref="BD7:BH7"/>
    <mergeCell ref="AE9:AF10"/>
    <mergeCell ref="AH9:AI10"/>
    <mergeCell ref="BA9:BB10"/>
    <mergeCell ref="BD9:BE10"/>
    <mergeCell ref="BG9:BH10"/>
    <mergeCell ref="P12:P13"/>
    <mergeCell ref="W12:W13"/>
    <mergeCell ref="Z12:Z13"/>
    <mergeCell ref="BQ7:BR7"/>
    <mergeCell ref="I9:I10"/>
    <mergeCell ref="K9:K10"/>
    <mergeCell ref="M9:M10"/>
    <mergeCell ref="O9:P10"/>
    <mergeCell ref="R9:R10"/>
    <mergeCell ref="T9:T10"/>
    <mergeCell ref="V9:W10"/>
    <mergeCell ref="Y9:Z10"/>
    <mergeCell ref="AB9:AC10"/>
    <mergeCell ref="AK9:AL10"/>
    <mergeCell ref="AN9:AO10"/>
    <mergeCell ref="AQ9:AR10"/>
    <mergeCell ref="AT9:AT10"/>
    <mergeCell ref="AV9:AW10"/>
    <mergeCell ref="AY9:AY10"/>
    <mergeCell ref="AC12:AC13"/>
    <mergeCell ref="AF12:AF13"/>
    <mergeCell ref="BE12:BE13"/>
    <mergeCell ref="BH12:BH13"/>
    <mergeCell ref="BR12:BR13"/>
    <mergeCell ref="AI12:AI13"/>
    <mergeCell ref="AL12:AL13"/>
    <mergeCell ref="AO12:AO13"/>
    <mergeCell ref="AR12:AR13"/>
    <mergeCell ref="AW12:AW13"/>
    <mergeCell ref="BB12:BB13"/>
  </mergeCells>
  <phoneticPr fontId="16"/>
  <dataValidations count="4">
    <dataValidation type="list" allowBlank="1" showDropDown="1" showInputMessage="1" showErrorMessage="1" sqref="F48 F41" xr:uid="{00000000-0002-0000-1200-000000000000}">
      <formula1>"現行政策シナリオ, 新政策シナリオ"</formula1>
    </dataValidation>
    <dataValidation type="whole" allowBlank="1" showInputMessage="1" showErrorMessage="1" sqref="F7" xr:uid="{00000000-0002-0000-1200-000001000000}">
      <formula1>2010</formula1>
      <formula2>2030</formula2>
    </dataValidation>
    <dataValidation type="list" allowBlank="1" showDropDown="1" showInputMessage="1" showErrorMessage="1" sqref="F43" xr:uid="{00000000-0002-0000-1200-000002000000}">
      <formula1>"CIF価格, 需要地価格"</formula1>
    </dataValidation>
    <dataValidation type="list" allowBlank="1" showDropDown="1" showInputMessage="1" showErrorMessage="1" sqref="F3:G3" xr:uid="{00000000-0002-0000-1200-000003000000}">
      <formula1>"原子力,石炭火力,LNG火力,石油火力,一般水力,太陽光（メガソーラー）,太陽光（住宅用）,風力（陸上）,風力（洋上）,小水力,地熱,バイオマス（石炭混焼）,バイオマス（木質専焼）,ガスコジェネ,石油コジェネ,燃料電池"</formula1>
    </dataValidation>
  </dataValidations>
  <pageMargins left="0.59055118110236227" right="0.59055118110236227" top="0.59055118110236227" bottom="0.59055118110236227" header="0.31496062992125984" footer="0.31496062992125984"/>
  <pageSetup paperSize="8" scale="2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R153"/>
  <sheetViews>
    <sheetView showGridLines="0" zoomScale="85" zoomScaleNormal="85" workbookViewId="0">
      <pane xSplit="10" ySplit="14" topLeftCell="BF15" activePane="bottomRight" state="frozen"/>
      <selection pane="topRight" activeCell="B4" sqref="B4:D4"/>
      <selection pane="bottomLeft" activeCell="B4" sqref="B4:D4"/>
      <selection pane="bottomRight" activeCell="AE67" sqref="AE67"/>
    </sheetView>
  </sheetViews>
  <sheetFormatPr defaultColWidth="9" defaultRowHeight="14.25" outlineLevelCol="1" x14ac:dyDescent="0.15"/>
  <cols>
    <col min="1" max="4" width="6.25" style="71" customWidth="1"/>
    <col min="5" max="5" width="24.375" style="71" customWidth="1"/>
    <col min="6" max="6" width="18.75" style="9" customWidth="1"/>
    <col min="7" max="7" width="24.375" style="71" bestFit="1" customWidth="1"/>
    <col min="8" max="8" width="9" style="71"/>
    <col min="9" max="9" width="6.25" style="71" customWidth="1"/>
    <col min="10" max="10" width="3" style="71" customWidth="1"/>
    <col min="11" max="11" width="6.25" style="71" customWidth="1"/>
    <col min="12" max="12" width="3" style="71" customWidth="1"/>
    <col min="13" max="13" width="6.25" style="71" customWidth="1"/>
    <col min="14" max="14" width="3" style="71" customWidth="1"/>
    <col min="15" max="15" width="17.375" style="71" bestFit="1" customWidth="1"/>
    <col min="16" max="16" width="8.625" style="71" customWidth="1"/>
    <col min="17" max="17" width="3" style="71" customWidth="1"/>
    <col min="18" max="18" width="17.375" style="71" bestFit="1" customWidth="1"/>
    <col min="19" max="19" width="3" style="71" customWidth="1"/>
    <col min="20" max="20" width="17.375" style="71" bestFit="1" customWidth="1"/>
    <col min="21" max="21" width="3" style="71" customWidth="1"/>
    <col min="22" max="22" width="16.625" style="71" customWidth="1" outlineLevel="1"/>
    <col min="23" max="23" width="17.375" style="71" bestFit="1" customWidth="1"/>
    <col min="24" max="24" width="3" style="71" customWidth="1"/>
    <col min="25" max="25" width="15" style="71" customWidth="1" outlineLevel="1"/>
    <col min="26" max="26" width="16.625" style="71" customWidth="1"/>
    <col min="27" max="27" width="3" style="71" customWidth="1"/>
    <col min="28" max="28" width="15" style="71" customWidth="1" outlineLevel="1"/>
    <col min="29" max="29" width="16.625" style="71" customWidth="1"/>
    <col min="30" max="30" width="3" style="71" customWidth="1"/>
    <col min="31" max="31" width="15" style="71" customWidth="1" outlineLevel="1"/>
    <col min="32" max="32" width="15" style="71" customWidth="1"/>
    <col min="33" max="33" width="3" style="71" customWidth="1"/>
    <col min="34" max="34" width="14.875" style="71" customWidth="1" outlineLevel="1"/>
    <col min="35" max="35" width="16.625" style="71" customWidth="1"/>
    <col min="36" max="36" width="3" style="71" customWidth="1"/>
    <col min="37" max="37" width="15" style="71" customWidth="1" outlineLevel="1"/>
    <col min="38" max="38" width="16.625" style="71" customWidth="1"/>
    <col min="39" max="39" width="3" style="71" customWidth="1"/>
    <col min="40" max="40" width="15" style="71" customWidth="1" outlineLevel="1"/>
    <col min="41" max="41" width="16.625" style="71" customWidth="1"/>
    <col min="42" max="42" width="3" style="71" customWidth="1"/>
    <col min="43" max="43" width="15" style="71" customWidth="1" outlineLevel="1"/>
    <col min="44" max="44" width="16.625" style="71" customWidth="1"/>
    <col min="45" max="45" width="3" style="71" customWidth="1"/>
    <col min="46" max="46" width="10.75" style="71" bestFit="1" customWidth="1"/>
    <col min="47" max="47" width="3" style="71" customWidth="1"/>
    <col min="48" max="48" width="15" style="71" customWidth="1" outlineLevel="1"/>
    <col min="49" max="49" width="17.375" style="71" bestFit="1" customWidth="1"/>
    <col min="50" max="50" width="3" style="71" customWidth="1"/>
    <col min="51" max="51" width="9.625" style="71" bestFit="1" customWidth="1"/>
    <col min="52" max="52" width="3" style="71" customWidth="1"/>
    <col min="53" max="53" width="15" style="71" customWidth="1" outlineLevel="1"/>
    <col min="54" max="54" width="17.375" style="71" bestFit="1" customWidth="1"/>
    <col min="55" max="55" width="3" style="71" customWidth="1"/>
    <col min="56" max="56" width="19.25" style="71" customWidth="1" outlineLevel="1"/>
    <col min="57" max="57" width="19.25" style="71" bestFit="1" customWidth="1"/>
    <col min="58" max="58" width="3" style="71" customWidth="1"/>
    <col min="59" max="59" width="19.25" style="71" customWidth="1" outlineLevel="1"/>
    <col min="60" max="60" width="19.25" style="71"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71" customWidth="1" outlineLevel="1"/>
    <col min="70" max="70" width="17.375" style="71" bestFit="1" customWidth="1"/>
    <col min="71" max="16384" width="9" style="71"/>
  </cols>
  <sheetData>
    <row r="1" spans="1:70" ht="18.75" x14ac:dyDescent="0.15">
      <c r="A1" s="6" t="s">
        <v>60</v>
      </c>
    </row>
    <row r="3" spans="1:70" ht="23.25" x14ac:dyDescent="0.15">
      <c r="B3" s="1" t="s">
        <v>61</v>
      </c>
      <c r="F3" s="718" t="s">
        <v>62</v>
      </c>
      <c r="G3" s="719"/>
    </row>
    <row r="4" spans="1:70" x14ac:dyDescent="0.15">
      <c r="G4" s="55"/>
    </row>
    <row r="5" spans="1:70" ht="15.75" thickBot="1" x14ac:dyDescent="0.2">
      <c r="B5" s="142" t="s">
        <v>63</v>
      </c>
      <c r="C5" s="3"/>
      <c r="D5" s="3"/>
      <c r="E5" s="3"/>
      <c r="F5" s="86"/>
      <c r="G5" s="3"/>
      <c r="I5" s="5" t="s">
        <v>64</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9" t="s">
        <v>65</v>
      </c>
      <c r="F7" s="87">
        <v>2020</v>
      </c>
      <c r="I7" s="8"/>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71" t="s">
        <v>74</v>
      </c>
      <c r="F8" s="88">
        <f>まとめ!B3</f>
        <v>107</v>
      </c>
      <c r="G8" s="71" t="s">
        <v>75</v>
      </c>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71" t="s">
        <v>76</v>
      </c>
      <c r="F9" s="88">
        <f>まとめ!B2</f>
        <v>3</v>
      </c>
      <c r="G9" s="71" t="s">
        <v>77</v>
      </c>
      <c r="I9" s="720" t="s">
        <v>78</v>
      </c>
      <c r="J9" s="8"/>
      <c r="K9" s="707" t="s">
        <v>79</v>
      </c>
      <c r="L9" s="8"/>
      <c r="M9" s="707" t="s">
        <v>80</v>
      </c>
      <c r="N9" s="8"/>
      <c r="O9" s="707" t="s">
        <v>81</v>
      </c>
      <c r="P9" s="707"/>
      <c r="Q9" s="8"/>
      <c r="R9" s="707" t="s">
        <v>82</v>
      </c>
      <c r="S9" s="8"/>
      <c r="T9" s="707" t="s">
        <v>83</v>
      </c>
      <c r="U9" s="8"/>
      <c r="V9" s="707" t="s">
        <v>84</v>
      </c>
      <c r="W9" s="707"/>
      <c r="X9" s="8"/>
      <c r="Y9" s="707" t="s">
        <v>85</v>
      </c>
      <c r="Z9" s="707"/>
      <c r="AA9" s="85"/>
      <c r="AB9" s="721" t="s">
        <v>86</v>
      </c>
      <c r="AC9" s="722"/>
      <c r="AD9" s="85"/>
      <c r="AE9" s="722" t="s">
        <v>87</v>
      </c>
      <c r="AF9" s="722"/>
      <c r="AG9" s="85"/>
      <c r="AH9" s="722" t="s">
        <v>88</v>
      </c>
      <c r="AI9" s="722"/>
      <c r="AJ9" s="8"/>
      <c r="AK9" s="707" t="s">
        <v>89</v>
      </c>
      <c r="AL9" s="707"/>
      <c r="AM9" s="8"/>
      <c r="AN9" s="707" t="s">
        <v>90</v>
      </c>
      <c r="AO9" s="707"/>
      <c r="AP9" s="8"/>
      <c r="AQ9" s="707" t="s">
        <v>91</v>
      </c>
      <c r="AR9" s="707"/>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I10" s="708"/>
      <c r="K10" s="708"/>
      <c r="M10" s="708"/>
      <c r="O10" s="717"/>
      <c r="P10" s="717"/>
      <c r="R10" s="708"/>
      <c r="T10" s="708"/>
      <c r="V10" s="717"/>
      <c r="W10" s="717"/>
      <c r="Y10" s="717"/>
      <c r="Z10" s="717"/>
      <c r="AA10" s="81"/>
      <c r="AB10" s="723"/>
      <c r="AC10" s="723"/>
      <c r="AD10" s="81"/>
      <c r="AE10" s="723"/>
      <c r="AF10" s="723"/>
      <c r="AG10" s="81"/>
      <c r="AH10" s="723"/>
      <c r="AI10" s="723"/>
      <c r="AK10" s="717"/>
      <c r="AL10" s="717"/>
      <c r="AN10" s="717"/>
      <c r="AO10" s="717"/>
      <c r="AQ10" s="717"/>
      <c r="AR10" s="717"/>
      <c r="AT10" s="717"/>
      <c r="AV10" s="717"/>
      <c r="AW10" s="717"/>
      <c r="AX10" s="322"/>
      <c r="AY10" s="708"/>
      <c r="BA10" s="708"/>
      <c r="BB10" s="708"/>
      <c r="BD10" s="717"/>
      <c r="BE10" s="717"/>
      <c r="BG10" s="717"/>
      <c r="BH10" s="717"/>
      <c r="BJ10" s="708"/>
      <c r="BK10" s="708"/>
      <c r="BL10" s="708"/>
      <c r="BM10" s="322"/>
      <c r="BN10" s="717"/>
      <c r="BO10" s="717"/>
      <c r="BQ10" s="322"/>
      <c r="BR10" s="322"/>
    </row>
    <row r="11" spans="1:70" ht="15.75" customHeight="1" thickBot="1" x14ac:dyDescent="0.2">
      <c r="B11" s="5" t="s">
        <v>95</v>
      </c>
      <c r="C11" s="3"/>
      <c r="D11" s="3"/>
      <c r="E11" s="3"/>
      <c r="F11" s="86"/>
      <c r="G11" s="3"/>
      <c r="O11" s="322" t="s">
        <v>96</v>
      </c>
      <c r="P11" s="322"/>
      <c r="Q11" s="322"/>
      <c r="R11" s="322" t="s">
        <v>96</v>
      </c>
      <c r="S11" s="322"/>
      <c r="T11" s="322"/>
      <c r="V11" s="322"/>
      <c r="W11" s="322"/>
      <c r="Y11" s="322"/>
      <c r="Z11" s="322"/>
      <c r="AB11" s="322"/>
      <c r="AC11" s="322"/>
      <c r="AE11" s="322"/>
      <c r="AF11" s="322"/>
      <c r="AH11" s="322"/>
      <c r="AI11" s="322"/>
      <c r="AK11" s="322"/>
      <c r="AL11" s="322"/>
      <c r="AN11" s="322"/>
      <c r="AO11" s="322"/>
      <c r="AQ11" s="322"/>
      <c r="AR11" s="322"/>
      <c r="AT11" s="322"/>
      <c r="AV11" s="322"/>
      <c r="AW11" s="322"/>
      <c r="AX11" s="322"/>
      <c r="BB11" s="322"/>
      <c r="BD11" s="322"/>
      <c r="BE11" s="322"/>
      <c r="BG11" s="322"/>
      <c r="BH11" s="322"/>
      <c r="BJ11" s="156"/>
      <c r="BM11" s="322"/>
      <c r="BN11" s="322"/>
      <c r="BO11" s="322"/>
      <c r="BQ11" s="322"/>
      <c r="BR11" s="322"/>
    </row>
    <row r="12" spans="1:70" ht="14.25" customHeight="1" x14ac:dyDescent="0.15">
      <c r="O12" s="322"/>
      <c r="P12" s="707" t="s">
        <v>97</v>
      </c>
      <c r="W12" s="707" t="s">
        <v>98</v>
      </c>
      <c r="Z12" s="707" t="s">
        <v>98</v>
      </c>
      <c r="AC12" s="707" t="s">
        <v>98</v>
      </c>
      <c r="AF12" s="707" t="s">
        <v>98</v>
      </c>
      <c r="AI12" s="707" t="s">
        <v>98</v>
      </c>
      <c r="AL12" s="707" t="s">
        <v>98</v>
      </c>
      <c r="AO12" s="707" t="s">
        <v>98</v>
      </c>
      <c r="AR12" s="707" t="s">
        <v>98</v>
      </c>
      <c r="AW12" s="707" t="s">
        <v>98</v>
      </c>
      <c r="BB12" s="707" t="s">
        <v>98</v>
      </c>
      <c r="BE12" s="707" t="s">
        <v>98</v>
      </c>
      <c r="BH12" s="707" t="s">
        <v>98</v>
      </c>
      <c r="BJ12" s="709" t="s">
        <v>99</v>
      </c>
      <c r="BK12" s="709" t="s">
        <v>100</v>
      </c>
      <c r="BL12" s="709" t="s">
        <v>101</v>
      </c>
      <c r="BO12" s="709" t="s">
        <v>102</v>
      </c>
      <c r="BR12" s="707" t="s">
        <v>103</v>
      </c>
    </row>
    <row r="13" spans="1:70" ht="14.25" customHeight="1" x14ac:dyDescent="0.15">
      <c r="B13" s="9"/>
      <c r="C13" s="9" t="s">
        <v>504</v>
      </c>
      <c r="D13" s="9"/>
      <c r="E13" s="9"/>
      <c r="F13" s="66">
        <v>120</v>
      </c>
      <c r="G13" s="9" t="s">
        <v>173</v>
      </c>
      <c r="H13" s="9"/>
      <c r="I13" s="9"/>
      <c r="O13" s="322"/>
      <c r="P13" s="708"/>
      <c r="Q13" s="322"/>
      <c r="R13" s="322"/>
      <c r="S13" s="322"/>
      <c r="T13" s="322"/>
      <c r="V13" s="322"/>
      <c r="W13" s="708"/>
      <c r="Y13" s="322"/>
      <c r="Z13" s="708"/>
      <c r="AB13" s="322"/>
      <c r="AC13" s="708"/>
      <c r="AE13" s="322"/>
      <c r="AF13" s="708"/>
      <c r="AH13" s="322"/>
      <c r="AI13" s="708"/>
      <c r="AK13" s="322"/>
      <c r="AL13" s="708"/>
      <c r="AN13" s="322"/>
      <c r="AO13" s="708"/>
      <c r="AQ13" s="322"/>
      <c r="AR13" s="708"/>
      <c r="AT13" s="322"/>
      <c r="AV13" s="322"/>
      <c r="AW13" s="708"/>
      <c r="BB13" s="708"/>
      <c r="BD13" s="322"/>
      <c r="BE13" s="708"/>
      <c r="BG13" s="322"/>
      <c r="BH13" s="708"/>
      <c r="BJ13" s="712"/>
      <c r="BK13" s="710"/>
      <c r="BL13" s="708"/>
      <c r="BM13" s="322"/>
      <c r="BO13" s="708"/>
      <c r="BQ13" s="322"/>
      <c r="BR13" s="708"/>
    </row>
    <row r="14" spans="1:70" ht="16.5" x14ac:dyDescent="0.15">
      <c r="B14" s="9"/>
      <c r="C14" s="9" t="s">
        <v>505</v>
      </c>
      <c r="D14" s="9"/>
      <c r="E14" s="9"/>
      <c r="F14" s="88">
        <f>VLOOKUP(F3&amp;IF(G4&lt;&gt;"","_"&amp;G4,""),まとめ!$A$12:$G$34,IF(F7=2030,4,IF(F7=2020,3,IF(F7=2014,2,"-"))),0)</f>
        <v>70</v>
      </c>
      <c r="G14" s="9" t="s">
        <v>172</v>
      </c>
      <c r="H14" s="9"/>
      <c r="I14" s="9"/>
      <c r="O14" s="322"/>
      <c r="P14" s="322"/>
      <c r="Q14" s="322"/>
      <c r="R14" s="322"/>
      <c r="S14" s="322"/>
      <c r="T14" s="322"/>
      <c r="AT14" s="50" t="s">
        <v>104</v>
      </c>
      <c r="AY14" s="71" t="s">
        <v>105</v>
      </c>
    </row>
    <row r="15" spans="1:70" x14ac:dyDescent="0.15">
      <c r="B15" s="9"/>
      <c r="C15" s="9" t="s">
        <v>506</v>
      </c>
      <c r="D15" s="9"/>
      <c r="E15" s="9"/>
      <c r="F15" s="88">
        <f>VLOOKUP(F3&amp;IF(G4&lt;&gt;"","_"&amp;G4,""),まとめ!$A$12:$G$34,IF(F7=2030,7,IF(F7=2020,6,IF(F7=2014,5,"-"))),0)</f>
        <v>40</v>
      </c>
      <c r="G15" s="9" t="s">
        <v>108</v>
      </c>
      <c r="H15" s="9"/>
      <c r="I15" s="458">
        <f>F7</f>
        <v>2020</v>
      </c>
      <c r="J15" s="39"/>
      <c r="K15" s="39">
        <f>IF(I15&lt;&gt;"",1,"")</f>
        <v>1</v>
      </c>
      <c r="L15" s="39"/>
      <c r="M15" s="40">
        <f t="shared" ref="M15:M78" si="0">1/(1+($F$9/100))^K15</f>
        <v>0.970873786407767</v>
      </c>
      <c r="N15" s="39"/>
      <c r="O15" s="72">
        <f>F117</f>
        <v>616900000000</v>
      </c>
      <c r="P15" s="41">
        <f t="shared" ref="P15:P46" si="1">IF(K15&lt;=$F$15,IF(OR(P14=$F$124,P14="-"),"-",IF(O15*$F$123&gt;$F$127,$F$123,$F$124)),"")</f>
        <v>0.156</v>
      </c>
      <c r="Q15" s="39"/>
      <c r="R15" s="72">
        <f>F117</f>
        <v>616900000000</v>
      </c>
      <c r="S15" s="39"/>
      <c r="T15" s="72">
        <f>IF(ISNUMBER(R15),ROUNDDOWN(R15,-3),"")</f>
        <v>616900000000</v>
      </c>
      <c r="U15" s="39"/>
      <c r="V15" s="72">
        <f t="shared" ref="V15:V46" si="2">IF(K15&lt;=$F$15,IF(K15&lt;$F$119,IF(P15="-",V14,O15*P15),IF(K15=$F$119,MIN(IF(P15="-",V14,O15*P15),O15),0)),"")</f>
        <v>96236400000</v>
      </c>
      <c r="W15" s="72">
        <f>IF(ISNUMBER(V15),V15*$M15,"")</f>
        <v>93433398058.252426</v>
      </c>
      <c r="X15" s="39"/>
      <c r="Y15" s="72">
        <f t="shared" ref="Y15:Y46" si="3">IF($K15&lt;=$F$15,ROUNDDOWN(T15*$F$25/100,-2),"")</f>
        <v>8636600000</v>
      </c>
      <c r="Z15" s="72">
        <f>IF(ISNUMBER(Y15),Y15*$M15,"")</f>
        <v>8385048543.6893206</v>
      </c>
      <c r="AA15" s="39"/>
      <c r="AB15" s="72">
        <f t="shared" ref="AB15:AB78" si="4">IF($K15&lt;=$F$15,0,IF(AND($K15&gt;$F$15,$K15&lt;=$F$15+$F$28),$F$27*10^8/$F$28,""))</f>
        <v>0</v>
      </c>
      <c r="AC15" s="72">
        <f>IF(ISNUMBER(AB15),AB15*$M15,"")</f>
        <v>0</v>
      </c>
      <c r="AD15" s="39"/>
      <c r="AE15" s="72">
        <f t="shared" ref="AE15:AE46" si="5">IF($K15&lt;=$F$15,$F$26,"")</f>
        <v>0</v>
      </c>
      <c r="AF15" s="72">
        <f>IF(ISNUMBER(AE15),AE15*$M15,"")</f>
        <v>0</v>
      </c>
      <c r="AG15" s="39"/>
      <c r="AH15" s="72">
        <f t="shared" ref="AH15:AH46" si="6">IF($K15&lt;=$F$15,$F$33*10^8,"")</f>
        <v>2220000000</v>
      </c>
      <c r="AI15" s="72">
        <f>IF(ISNUMBER(AH15),AH15*$M15,"")</f>
        <v>2155339805.8252425</v>
      </c>
      <c r="AJ15" s="39"/>
      <c r="AK15" s="72">
        <f t="shared" ref="AK15:AK46" si="7">IF($K15&lt;=$F$15,$F$117*$F$34/100,"")</f>
        <v>11721100000</v>
      </c>
      <c r="AL15" s="72">
        <f t="shared" ref="AL15:AL46" si="8">IF(ISNUMBER(AK15),AK15*$M15,"")</f>
        <v>11379708737.864079</v>
      </c>
      <c r="AM15" s="39"/>
      <c r="AN15" s="72">
        <f t="shared" ref="AN15:AN78" si="9">IF($K15&lt;=$F$15,$F$35*10^8,"")</f>
        <v>9410000000</v>
      </c>
      <c r="AO15" s="72">
        <f>IF(ISNUMBER(AN15),AN15*$M15,"")</f>
        <v>9135922330.0970879</v>
      </c>
      <c r="AP15" s="39"/>
      <c r="AQ15" s="72">
        <f t="shared" ref="AQ15:AQ46" si="10">IF($K15&lt;=$F$15,SUM(AH15,AK15,AN15)*($F$36/100),"")</f>
        <v>2988940800</v>
      </c>
      <c r="AR15" s="72">
        <f>IF(ISNUMBER(AQ15),AQ15*$M15,"")</f>
        <v>2901884271.8446603</v>
      </c>
      <c r="AS15" s="39"/>
      <c r="AT15" s="40">
        <f>IF($K15&lt;=$F$15,IF($F$40&lt;&gt;"",$F$40/1000,IF(ISERROR(VLOOKUP($F$3&amp;IF($G$4&lt;&gt;"",$G$4,"")&amp;IF($F$43&lt;&gt;"","_"&amp;$F$43,""),'表3）燃料価格'!$AF$9:$AG$25,2,0)),0,VLOOKUP($I15,'表3）燃料価格'!$A$6:$U$66,VLOOKUP($F$3&amp;IF($G$4&lt;&gt;"",$G$4,"")&amp;IF($F$43&lt;&gt;"","_"&amp;$F$43,""),'表3）燃料価格'!$AF$9:$AG$25,2,0)+VLOOKUP($F$41,'表3）燃料価格'!$AF$28:$AG$29,2,0),0)*IF($F$43="需要地価格",1,$F$8/$F$141))),"")</f>
        <v>0</v>
      </c>
      <c r="AU15" s="39"/>
      <c r="AV15" s="72">
        <f t="shared" ref="AV15:AV46" si="11">IF($K15&lt;=$F$15,($AT15+$F$142)*$F$137,"")</f>
        <v>0</v>
      </c>
      <c r="AW15" s="72">
        <f>IF(ISNUMBER(AV15),AV15*$M15,"")</f>
        <v>0</v>
      </c>
      <c r="AX15" s="39"/>
      <c r="AY15" s="40">
        <v>0</v>
      </c>
      <c r="AZ15" s="39"/>
      <c r="BA15" s="42">
        <f t="shared" ref="BA15:BA46" si="12">IF($K15&lt;=$F$15,$F$145*AY15,"")</f>
        <v>0</v>
      </c>
      <c r="BB15" s="72">
        <f>IF(ISNUMBER(BA15),BA15*$M15,"")</f>
        <v>0</v>
      </c>
      <c r="BC15" s="39"/>
      <c r="BD15" s="72">
        <f t="shared" ref="BD15:BD46" si="13">IF($K15&lt;=$F$15,($AT15+$F$151)*$F$150,"")</f>
        <v>0</v>
      </c>
      <c r="BE15" s="72">
        <f>IF(ISNUMBER(BD15),BD15*$M15,"")</f>
        <v>0</v>
      </c>
      <c r="BF15" s="39"/>
      <c r="BG15" s="42">
        <f t="shared" ref="BG15:BG46" si="14">IF($K15&lt;=$F$15,$F$152*AY15,"")</f>
        <v>0</v>
      </c>
      <c r="BH15" s="72">
        <f>IF(ISNUMBER(BG15),BG15*$M15,"")</f>
        <v>0</v>
      </c>
      <c r="BI15" s="39"/>
      <c r="BJ15" s="40" t="str">
        <f>IF(ISNUMBER($F$16),IF($K15&lt;=$F$16+$F$28,1/(1+($F$17/100))^K15,""),"")</f>
        <v/>
      </c>
      <c r="BK15" s="157" t="str">
        <f>IF(ISNUMBER($F$16),IF($K15&lt;=$F$16+$F$28,IF($K15&lt;=$F$16,SUM(Y15,AB15,AE15,AH15,AK15,AN15,AQ15,AV15,BA15,BD15,BG15),$F$27/$F$28*10^8)*BJ15,""),"")</f>
        <v/>
      </c>
      <c r="BL15" s="157" t="str">
        <f t="shared" ref="BL15:BL78" si="15">IF(AND(ISNUMBER(BJ15),$K15&lt;=$F$16),BQ15*BJ15,"")</f>
        <v/>
      </c>
      <c r="BM15" s="72"/>
      <c r="BN15" s="72" t="str">
        <f>IF(AND(ISNUMBER($F$16),$K15&lt;=$F$16),BQ15*($O$15+$BK$116)/$BL$116,"")</f>
        <v/>
      </c>
      <c r="BO15" s="72" t="str">
        <f>IF(ISNUMBER(BN15),BN15*$M15,"")</f>
        <v/>
      </c>
      <c r="BP15" s="39"/>
      <c r="BQ15" s="72">
        <f t="shared" ref="BQ15:BQ46" si="16">IF($K15&lt;=$F$15,$F$134,"")</f>
        <v>7064064000</v>
      </c>
      <c r="BR15" s="72">
        <f>IF(ISNUMBER(BQ15),BQ15*$M15,"")</f>
        <v>6858314563.1067963</v>
      </c>
    </row>
    <row r="16" spans="1:70" x14ac:dyDescent="0.15">
      <c r="B16" s="9"/>
      <c r="C16" s="236" t="s">
        <v>107</v>
      </c>
      <c r="D16" s="81"/>
      <c r="E16" s="81"/>
      <c r="F16" s="88" t="str">
        <f>IF(ISERROR(VLOOKUP(F3&amp;IF(G4&lt;&gt;"","_"&amp;G4,""),'表7）買取期間・IRR'!$A$3:$A$10,1,0)),"",VLOOKUP(F3&amp;IF(G4&lt;&gt;"","_"&amp;G4,""),'表7）買取期間・IRR'!$A$3:$C$10,IF(F7=2030,4,IF(F7=2020,3,IF(F7=2014,2,"-"))),0))</f>
        <v/>
      </c>
      <c r="G16" s="81" t="s">
        <v>108</v>
      </c>
      <c r="H16" s="9"/>
      <c r="I16" s="459">
        <f>I15+1</f>
        <v>2021</v>
      </c>
      <c r="K16" s="71">
        <f>IF(I16&lt;&gt;"",K15+1,"")</f>
        <v>2</v>
      </c>
      <c r="M16" s="7">
        <f t="shared" si="0"/>
        <v>0.94259590913375435</v>
      </c>
      <c r="O16" s="10">
        <f>IF(K16&lt;=$F$15,O15-V15,"")</f>
        <v>520663600000</v>
      </c>
      <c r="P16" s="29">
        <f t="shared" si="1"/>
        <v>0.156</v>
      </c>
      <c r="R16" s="10">
        <f t="shared" ref="R16:R47" si="17">IF($K16&lt;=$F$15,MAX($F$117*5%,R15*$F$129),"")</f>
        <v>534213391080.82434</v>
      </c>
      <c r="T16" s="10">
        <f t="shared" ref="T16:T79" si="18">IF(ISNUMBER(R16),ROUNDDOWN(R16,-3),"")</f>
        <v>534213391000</v>
      </c>
      <c r="V16" s="10">
        <f t="shared" si="2"/>
        <v>81223521600</v>
      </c>
      <c r="W16" s="10">
        <f t="shared" ref="W16:W79" si="19">IF(ISNUMBER(V16),V16*$M16,"")</f>
        <v>76560959185.597137</v>
      </c>
      <c r="Y16" s="10">
        <f t="shared" si="3"/>
        <v>7478987400</v>
      </c>
      <c r="Z16" s="10">
        <f t="shared" ref="Z16:Z79" si="20">IF(ISNUMBER(Y16),Y16*$M16,"")</f>
        <v>7049662927.7028933</v>
      </c>
      <c r="AB16" s="10">
        <f t="shared" si="4"/>
        <v>0</v>
      </c>
      <c r="AC16" s="10">
        <f t="shared" ref="AC16:AC54" si="21">IF(ISNUMBER(AB16),AB16*$M16,"")</f>
        <v>0</v>
      </c>
      <c r="AE16" s="10">
        <f t="shared" si="5"/>
        <v>0</v>
      </c>
      <c r="AF16" s="10">
        <f t="shared" ref="AF16:AF79" si="22">IF(ISNUMBER(AE16),AE16*$M16,"")</f>
        <v>0</v>
      </c>
      <c r="AH16" s="10">
        <f t="shared" si="6"/>
        <v>2220000000</v>
      </c>
      <c r="AI16" s="10">
        <f t="shared" ref="AI16:AI79" si="23">IF(ISNUMBER(AH16),AH16*$M16,"")</f>
        <v>2092562918.2769346</v>
      </c>
      <c r="AK16" s="10">
        <f t="shared" si="7"/>
        <v>11721100000</v>
      </c>
      <c r="AL16" s="10">
        <f t="shared" si="8"/>
        <v>11048260910.547647</v>
      </c>
      <c r="AN16" s="10">
        <f t="shared" si="9"/>
        <v>9410000000</v>
      </c>
      <c r="AO16" s="10">
        <f t="shared" ref="AO16:AO79" si="24">IF(ISNUMBER(AN16),AN16*$M16,"")</f>
        <v>8869827504.9486294</v>
      </c>
      <c r="AQ16" s="10">
        <f t="shared" si="10"/>
        <v>2988940800</v>
      </c>
      <c r="AR16" s="10">
        <f t="shared" ref="AR16:AR79" si="25">IF(ISNUMBER(AQ16),AQ16*$M16,"")</f>
        <v>2817363370.722971</v>
      </c>
      <c r="AT16" s="7">
        <f>IF($K16&lt;=$F$15,IF($F$40&lt;&gt;"",$F$40/1000,IF(ISERROR(VLOOKUP($F$3&amp;IF($G$4&lt;&gt;"",$G$4,"")&amp;IF($F$43&lt;&gt;"","_"&amp;$F$43,""),'表3）燃料価格'!$AF$9:$AG$25,2,0)),0,VLOOKUP($I16,'表3）燃料価格'!$A$6:$U$66,VLOOKUP($F$3&amp;IF($G$4&lt;&gt;"",$G$4,"")&amp;IF($F$43&lt;&gt;"","_"&amp;$F$43,""),'表3）燃料価格'!$AF$9:$AG$25,2,0)+VLOOKUP($F$41,'表3）燃料価格'!$AF$28:$AG$29,2,0),0)*IF($F$43="需要地価格",1,$F$8/$F$141))),"")</f>
        <v>0</v>
      </c>
      <c r="AV16" s="10">
        <f t="shared" si="11"/>
        <v>0</v>
      </c>
      <c r="AW16" s="10">
        <f t="shared" ref="AW16:AW79" si="26">IF(ISNUMBER(AV16),AV16*$M16,"")</f>
        <v>0</v>
      </c>
      <c r="AY16" s="7">
        <v>0</v>
      </c>
      <c r="BA16" s="11">
        <f t="shared" si="12"/>
        <v>0</v>
      </c>
      <c r="BB16" s="10">
        <f t="shared" ref="BB16:BB79" si="27">IF(ISNUMBER(BA16),BA16*$M16,"")</f>
        <v>0</v>
      </c>
      <c r="BD16" s="10">
        <f t="shared" si="13"/>
        <v>0</v>
      </c>
      <c r="BE16" s="10">
        <f t="shared" ref="BE16:BE79" si="28">IF(ISNUMBER(BD16),BD16*$M16,"")</f>
        <v>0</v>
      </c>
      <c r="BG16" s="11">
        <f t="shared" si="14"/>
        <v>0</v>
      </c>
      <c r="BH16" s="10">
        <f t="shared" ref="BH16:BH79" si="29">IF(ISNUMBER(BG16),BG16*$M16,"")</f>
        <v>0</v>
      </c>
      <c r="BJ16" s="7" t="str">
        <f t="shared" ref="BJ16:BJ79" si="30">IF(ISNUMBER($F$16),IF($K16&lt;=$F$16+$F$28,1/(1+($F$17/100))^K16,""),"")</f>
        <v/>
      </c>
      <c r="BK16" s="158" t="str">
        <f t="shared" ref="BK16:BK79" si="31">IF(ISNUMBER($F$16),IF($K16&lt;=$F$16+$F$28,IF($K16&lt;=$F$16,SUM(Y16,AB16,AE16,AH16,AK16,AN16,AQ16,AV16,BA16,BD16,BG16),$F$27/$F$28*10^8)*BJ16,""),"")</f>
        <v/>
      </c>
      <c r="BL16" s="158" t="str">
        <f t="shared" si="15"/>
        <v/>
      </c>
      <c r="BM16" s="10"/>
      <c r="BN16" s="10" t="str">
        <f t="shared" ref="BN16:BN79" si="32">IF(AND(ISNUMBER($F$16),$K16&lt;=$F$16),BQ16*($O$15+$BK$116)/$BL$116,"")</f>
        <v/>
      </c>
      <c r="BO16" s="10" t="str">
        <f t="shared" ref="BO16:BO79" si="33">IF(ISNUMBER(BN16),BN16*$M16,"")</f>
        <v/>
      </c>
      <c r="BQ16" s="10">
        <f t="shared" si="16"/>
        <v>7064064000</v>
      </c>
      <c r="BR16" s="10">
        <f t="shared" ref="BR16:BR79" si="34">IF(ISNUMBER(BQ16),BQ16*$M16,"")</f>
        <v>6658557828.2590256</v>
      </c>
    </row>
    <row r="17" spans="2:70" x14ac:dyDescent="0.15">
      <c r="B17" s="9"/>
      <c r="C17" s="9" t="s">
        <v>109</v>
      </c>
      <c r="D17" s="81"/>
      <c r="E17" s="81"/>
      <c r="F17" s="143" t="str">
        <f>IF(ISERROR(VLOOKUP(F3&amp;IF(G4&lt;&gt;"","_"&amp;G4,""),'表7）買取期間・IRR'!$A$14:$A$21,1,0)),"",VLOOKUP(F3&amp;IF(G4&lt;&gt;"","_"&amp;G4,""),'表7）買取期間・IRR'!$A$14:$C$21,IF(F7=2030,4,IF(F7=2020,3,IF(F7=2014,2,"-"))),0))</f>
        <v/>
      </c>
      <c r="G17" s="9" t="s">
        <v>172</v>
      </c>
      <c r="H17" s="9"/>
      <c r="I17" s="458">
        <f t="shared" ref="I17:I80" si="35">I16+1</f>
        <v>2022</v>
      </c>
      <c r="J17" s="39"/>
      <c r="K17" s="39">
        <f t="shared" ref="K17:K80" si="36">IF(I17&lt;&gt;"",K16+1,"")</f>
        <v>3</v>
      </c>
      <c r="L17" s="39"/>
      <c r="M17" s="40">
        <f t="shared" si="0"/>
        <v>0.91514165935315961</v>
      </c>
      <c r="N17" s="39"/>
      <c r="O17" s="72">
        <f t="shared" ref="O17:O80" si="37">IF(K17&lt;=$F$15,O16-V16,"")</f>
        <v>439440078400</v>
      </c>
      <c r="P17" s="41">
        <f t="shared" si="1"/>
        <v>0.156</v>
      </c>
      <c r="Q17" s="39"/>
      <c r="R17" s="72">
        <f t="shared" si="17"/>
        <v>462609737737.19202</v>
      </c>
      <c r="S17" s="39"/>
      <c r="T17" s="72">
        <f t="shared" si="18"/>
        <v>462609737000</v>
      </c>
      <c r="U17" s="39"/>
      <c r="V17" s="72">
        <f t="shared" si="2"/>
        <v>68552652230.400002</v>
      </c>
      <c r="W17" s="72">
        <f t="shared" si="19"/>
        <v>62735387915.188339</v>
      </c>
      <c r="X17" s="39"/>
      <c r="Y17" s="72">
        <f t="shared" si="3"/>
        <v>6476536300</v>
      </c>
      <c r="Z17" s="72">
        <f t="shared" si="20"/>
        <v>5926948176.4429731</v>
      </c>
      <c r="AA17" s="39"/>
      <c r="AB17" s="72">
        <f t="shared" si="4"/>
        <v>0</v>
      </c>
      <c r="AC17" s="72">
        <f t="shared" si="21"/>
        <v>0</v>
      </c>
      <c r="AD17" s="39"/>
      <c r="AE17" s="72">
        <f t="shared" si="5"/>
        <v>0</v>
      </c>
      <c r="AF17" s="72">
        <f t="shared" si="22"/>
        <v>0</v>
      </c>
      <c r="AG17" s="39"/>
      <c r="AH17" s="72">
        <f t="shared" si="6"/>
        <v>2220000000</v>
      </c>
      <c r="AI17" s="72">
        <f t="shared" si="23"/>
        <v>2031614483.7640142</v>
      </c>
      <c r="AJ17" s="39"/>
      <c r="AK17" s="72">
        <f t="shared" si="7"/>
        <v>11721100000</v>
      </c>
      <c r="AL17" s="72">
        <f t="shared" si="8"/>
        <v>10726466903.444319</v>
      </c>
      <c r="AM17" s="39"/>
      <c r="AN17" s="72">
        <f t="shared" si="9"/>
        <v>9410000000</v>
      </c>
      <c r="AO17" s="72">
        <f t="shared" si="24"/>
        <v>8611483014.5132313</v>
      </c>
      <c r="AP17" s="39"/>
      <c r="AQ17" s="72">
        <f t="shared" si="10"/>
        <v>2988940800</v>
      </c>
      <c r="AR17" s="72">
        <f t="shared" si="25"/>
        <v>2735304243.4203606</v>
      </c>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0</v>
      </c>
      <c r="AU17" s="39"/>
      <c r="AV17" s="72">
        <f t="shared" si="11"/>
        <v>0</v>
      </c>
      <c r="AW17" s="72">
        <f t="shared" si="26"/>
        <v>0</v>
      </c>
      <c r="AX17" s="39"/>
      <c r="AY17" s="40">
        <v>0</v>
      </c>
      <c r="AZ17" s="39"/>
      <c r="BA17" s="42">
        <f t="shared" si="12"/>
        <v>0</v>
      </c>
      <c r="BB17" s="72">
        <f t="shared" si="27"/>
        <v>0</v>
      </c>
      <c r="BC17" s="39"/>
      <c r="BD17" s="72">
        <f t="shared" si="13"/>
        <v>0</v>
      </c>
      <c r="BE17" s="72">
        <f t="shared" si="28"/>
        <v>0</v>
      </c>
      <c r="BF17" s="39"/>
      <c r="BG17" s="42">
        <f t="shared" si="14"/>
        <v>0</v>
      </c>
      <c r="BH17" s="72">
        <f t="shared" si="29"/>
        <v>0</v>
      </c>
      <c r="BI17" s="39"/>
      <c r="BJ17" s="40" t="str">
        <f t="shared" si="30"/>
        <v/>
      </c>
      <c r="BK17" s="157" t="str">
        <f t="shared" si="31"/>
        <v/>
      </c>
      <c r="BL17" s="157" t="str">
        <f t="shared" si="15"/>
        <v/>
      </c>
      <c r="BM17" s="72"/>
      <c r="BN17" s="72" t="str">
        <f t="shared" si="32"/>
        <v/>
      </c>
      <c r="BO17" s="72" t="str">
        <f t="shared" si="33"/>
        <v/>
      </c>
      <c r="BP17" s="39"/>
      <c r="BQ17" s="72">
        <f t="shared" si="16"/>
        <v>7064064000</v>
      </c>
      <c r="BR17" s="72">
        <f t="shared" si="34"/>
        <v>6464619250.7369184</v>
      </c>
    </row>
    <row r="18" spans="2:70" x14ac:dyDescent="0.15">
      <c r="B18" s="9"/>
      <c r="C18" s="9"/>
      <c r="D18" s="9"/>
      <c r="E18" s="9"/>
      <c r="G18" s="9"/>
      <c r="H18" s="9"/>
      <c r="I18" s="459">
        <f t="shared" si="35"/>
        <v>2023</v>
      </c>
      <c r="K18" s="71">
        <f t="shared" si="36"/>
        <v>4</v>
      </c>
      <c r="M18" s="7">
        <f t="shared" si="0"/>
        <v>0.888487047915689</v>
      </c>
      <c r="O18" s="10">
        <f t="shared" si="37"/>
        <v>370887426169.59998</v>
      </c>
      <c r="P18" s="29">
        <f t="shared" si="1"/>
        <v>0.156</v>
      </c>
      <c r="R18" s="10">
        <f t="shared" si="17"/>
        <v>400603528519.36475</v>
      </c>
      <c r="T18" s="10">
        <f t="shared" si="18"/>
        <v>400603528000</v>
      </c>
      <c r="V18" s="10">
        <f t="shared" si="2"/>
        <v>57858438482.457596</v>
      </c>
      <c r="W18" s="10">
        <f t="shared" si="19"/>
        <v>51406473204.290245</v>
      </c>
      <c r="Y18" s="10">
        <f t="shared" si="3"/>
        <v>5608449300</v>
      </c>
      <c r="Z18" s="10">
        <f t="shared" si="20"/>
        <v>4983034561.9418125</v>
      </c>
      <c r="AB18" s="10">
        <f t="shared" si="4"/>
        <v>0</v>
      </c>
      <c r="AC18" s="10">
        <f t="shared" si="21"/>
        <v>0</v>
      </c>
      <c r="AE18" s="10">
        <f t="shared" si="5"/>
        <v>0</v>
      </c>
      <c r="AF18" s="10">
        <f t="shared" si="22"/>
        <v>0</v>
      </c>
      <c r="AH18" s="10">
        <f t="shared" si="6"/>
        <v>2220000000</v>
      </c>
      <c r="AI18" s="10">
        <f t="shared" si="23"/>
        <v>1972441246.3728297</v>
      </c>
      <c r="AK18" s="10">
        <f t="shared" si="7"/>
        <v>11721100000</v>
      </c>
      <c r="AL18" s="10">
        <f t="shared" si="8"/>
        <v>10414045537.324583</v>
      </c>
      <c r="AN18" s="10">
        <f t="shared" si="9"/>
        <v>9410000000</v>
      </c>
      <c r="AO18" s="10">
        <f t="shared" si="24"/>
        <v>8360663120.8866339</v>
      </c>
      <c r="AQ18" s="10">
        <f t="shared" si="10"/>
        <v>2988940800</v>
      </c>
      <c r="AR18" s="10">
        <f t="shared" si="25"/>
        <v>2655635187.7867579</v>
      </c>
      <c r="AT18" s="7">
        <f>IF($K18&lt;=$F$15,IF($F$40&lt;&gt;"",$F$40/1000,IF(ISERROR(VLOOKUP($F$3&amp;IF($G$4&lt;&gt;"",$G$4,"")&amp;IF($F$43&lt;&gt;"","_"&amp;$F$43,""),'表3）燃料価格'!$AF$9:$AG$25,2,0)),0,VLOOKUP($I18,'表3）燃料価格'!$A$6:$U$66,VLOOKUP($F$3&amp;IF($G$4&lt;&gt;"",$G$4,"")&amp;IF($F$43&lt;&gt;"","_"&amp;$F$43,""),'表3）燃料価格'!$AF$9:$AG$25,2,0)+VLOOKUP($F$41,'表3）燃料価格'!$AF$28:$AG$29,2,0),0)*IF($F$43="需要地価格",1,$F$8/$F$141))),"")</f>
        <v>0</v>
      </c>
      <c r="AV18" s="10">
        <f t="shared" si="11"/>
        <v>0</v>
      </c>
      <c r="AW18" s="10">
        <f t="shared" si="26"/>
        <v>0</v>
      </c>
      <c r="AY18" s="7">
        <v>0</v>
      </c>
      <c r="BA18" s="11">
        <f t="shared" si="12"/>
        <v>0</v>
      </c>
      <c r="BB18" s="10">
        <f t="shared" si="27"/>
        <v>0</v>
      </c>
      <c r="BD18" s="10">
        <f t="shared" si="13"/>
        <v>0</v>
      </c>
      <c r="BE18" s="10">
        <f t="shared" si="28"/>
        <v>0</v>
      </c>
      <c r="BG18" s="11">
        <f t="shared" si="14"/>
        <v>0</v>
      </c>
      <c r="BH18" s="10">
        <f t="shared" si="29"/>
        <v>0</v>
      </c>
      <c r="BJ18" s="7" t="str">
        <f t="shared" si="30"/>
        <v/>
      </c>
      <c r="BK18" s="158" t="str">
        <f t="shared" si="31"/>
        <v/>
      </c>
      <c r="BL18" s="158" t="str">
        <f t="shared" si="15"/>
        <v/>
      </c>
      <c r="BM18" s="10"/>
      <c r="BN18" s="10" t="str">
        <f t="shared" si="32"/>
        <v/>
      </c>
      <c r="BO18" s="10" t="str">
        <f t="shared" si="33"/>
        <v/>
      </c>
      <c r="BQ18" s="10">
        <f t="shared" si="16"/>
        <v>7064064000</v>
      </c>
      <c r="BR18" s="10">
        <f t="shared" si="34"/>
        <v>6276329369.6474934</v>
      </c>
    </row>
    <row r="19" spans="2:70" x14ac:dyDescent="0.15">
      <c r="B19" s="9"/>
      <c r="C19" s="89" t="s">
        <v>371</v>
      </c>
      <c r="D19" s="89"/>
      <c r="E19" s="89"/>
      <c r="F19" s="89"/>
      <c r="G19" s="89"/>
      <c r="H19" s="9"/>
      <c r="I19" s="458">
        <f t="shared" si="35"/>
        <v>2024</v>
      </c>
      <c r="J19" s="39"/>
      <c r="K19" s="39">
        <f t="shared" si="36"/>
        <v>5</v>
      </c>
      <c r="L19" s="39"/>
      <c r="M19" s="40">
        <f>1/(1+($F$9/100))^K19</f>
        <v>0.86260878438416411</v>
      </c>
      <c r="N19" s="39"/>
      <c r="O19" s="72">
        <f t="shared" si="37"/>
        <v>313028987687.1424</v>
      </c>
      <c r="P19" s="41">
        <f t="shared" si="1"/>
        <v>0.156</v>
      </c>
      <c r="Q19" s="39"/>
      <c r="R19" s="72">
        <f t="shared" si="17"/>
        <v>346908363509.92633</v>
      </c>
      <c r="S19" s="39"/>
      <c r="T19" s="72">
        <f t="shared" si="18"/>
        <v>346908363000</v>
      </c>
      <c r="U19" s="39"/>
      <c r="V19" s="72">
        <f t="shared" si="2"/>
        <v>48832522079.194214</v>
      </c>
      <c r="W19" s="72">
        <f t="shared" si="19"/>
        <v>42123362509.146576</v>
      </c>
      <c r="X19" s="39"/>
      <c r="Y19" s="72">
        <f t="shared" si="3"/>
        <v>4856717000</v>
      </c>
      <c r="Z19" s="72">
        <f t="shared" si="20"/>
        <v>4189446747.4679046</v>
      </c>
      <c r="AA19" s="39"/>
      <c r="AB19" s="72">
        <f t="shared" si="4"/>
        <v>0</v>
      </c>
      <c r="AC19" s="72">
        <f t="shared" si="21"/>
        <v>0</v>
      </c>
      <c r="AD19" s="39"/>
      <c r="AE19" s="72">
        <f t="shared" si="5"/>
        <v>0</v>
      </c>
      <c r="AF19" s="72">
        <f t="shared" si="22"/>
        <v>0</v>
      </c>
      <c r="AG19" s="39"/>
      <c r="AH19" s="72">
        <f t="shared" si="6"/>
        <v>2220000000</v>
      </c>
      <c r="AI19" s="72">
        <f t="shared" si="23"/>
        <v>1914991501.3328443</v>
      </c>
      <c r="AJ19" s="39"/>
      <c r="AK19" s="72">
        <f t="shared" si="7"/>
        <v>11721100000</v>
      </c>
      <c r="AL19" s="72">
        <f t="shared" si="8"/>
        <v>10110723822.645226</v>
      </c>
      <c r="AM19" s="39"/>
      <c r="AN19" s="72">
        <f t="shared" si="9"/>
        <v>9410000000</v>
      </c>
      <c r="AO19" s="72">
        <f t="shared" si="24"/>
        <v>8117148661.0549841</v>
      </c>
      <c r="AP19" s="39"/>
      <c r="AQ19" s="72">
        <f t="shared" si="10"/>
        <v>2988940800</v>
      </c>
      <c r="AR19" s="72">
        <f t="shared" si="25"/>
        <v>2578286590.0842309</v>
      </c>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0</v>
      </c>
      <c r="AU19" s="39"/>
      <c r="AV19" s="72">
        <f t="shared" si="11"/>
        <v>0</v>
      </c>
      <c r="AW19" s="72">
        <f t="shared" si="26"/>
        <v>0</v>
      </c>
      <c r="AX19" s="39"/>
      <c r="AY19" s="40">
        <v>0</v>
      </c>
      <c r="AZ19" s="39"/>
      <c r="BA19" s="42">
        <f t="shared" si="12"/>
        <v>0</v>
      </c>
      <c r="BB19" s="72">
        <f t="shared" si="27"/>
        <v>0</v>
      </c>
      <c r="BC19" s="39"/>
      <c r="BD19" s="72">
        <f t="shared" si="13"/>
        <v>0</v>
      </c>
      <c r="BE19" s="72">
        <f t="shared" si="28"/>
        <v>0</v>
      </c>
      <c r="BF19" s="39"/>
      <c r="BG19" s="42">
        <f t="shared" si="14"/>
        <v>0</v>
      </c>
      <c r="BH19" s="72">
        <f t="shared" si="29"/>
        <v>0</v>
      </c>
      <c r="BI19" s="39"/>
      <c r="BJ19" s="40" t="str">
        <f t="shared" si="30"/>
        <v/>
      </c>
      <c r="BK19" s="157" t="str">
        <f t="shared" si="31"/>
        <v/>
      </c>
      <c r="BL19" s="157" t="str">
        <f t="shared" si="15"/>
        <v/>
      </c>
      <c r="BM19" s="72"/>
      <c r="BN19" s="72" t="str">
        <f t="shared" si="32"/>
        <v/>
      </c>
      <c r="BO19" s="72" t="str">
        <f t="shared" si="33"/>
        <v/>
      </c>
      <c r="BP19" s="39"/>
      <c r="BQ19" s="72">
        <f t="shared" si="16"/>
        <v>7064064000</v>
      </c>
      <c r="BR19" s="72">
        <f t="shared" si="34"/>
        <v>6093523659.8519354</v>
      </c>
    </row>
    <row r="20" spans="2:70" x14ac:dyDescent="0.15">
      <c r="B20" s="9"/>
      <c r="C20" s="9"/>
      <c r="D20" s="9"/>
      <c r="E20" s="9"/>
      <c r="G20" s="9"/>
      <c r="H20" s="9"/>
      <c r="I20" s="459">
        <f t="shared" si="35"/>
        <v>2025</v>
      </c>
      <c r="K20" s="71">
        <f t="shared" si="36"/>
        <v>6</v>
      </c>
      <c r="M20" s="7">
        <f t="shared" si="0"/>
        <v>0.83748425668365445</v>
      </c>
      <c r="O20" s="10">
        <f t="shared" si="37"/>
        <v>264196465607.94818</v>
      </c>
      <c r="P20" s="29">
        <f t="shared" si="1"/>
        <v>0.156</v>
      </c>
      <c r="R20" s="10">
        <f t="shared" si="17"/>
        <v>300410266274.82092</v>
      </c>
      <c r="T20" s="10">
        <f t="shared" si="18"/>
        <v>300410266000</v>
      </c>
      <c r="V20" s="10">
        <f t="shared" si="2"/>
        <v>41214648634.839912</v>
      </c>
      <c r="W20" s="10">
        <f t="shared" si="19"/>
        <v>34516619376.426895</v>
      </c>
      <c r="Y20" s="10">
        <f t="shared" si="3"/>
        <v>4205743700</v>
      </c>
      <c r="Z20" s="10">
        <f t="shared" si="20"/>
        <v>3522244136.3964624</v>
      </c>
      <c r="AB20" s="10">
        <f t="shared" si="4"/>
        <v>0</v>
      </c>
      <c r="AC20" s="10">
        <f t="shared" si="21"/>
        <v>0</v>
      </c>
      <c r="AE20" s="10">
        <f t="shared" si="5"/>
        <v>0</v>
      </c>
      <c r="AF20" s="10">
        <f t="shared" si="22"/>
        <v>0</v>
      </c>
      <c r="AH20" s="10">
        <f t="shared" si="6"/>
        <v>2220000000</v>
      </c>
      <c r="AI20" s="10">
        <f t="shared" si="23"/>
        <v>1859215049.8377128</v>
      </c>
      <c r="AK20" s="10">
        <f t="shared" si="7"/>
        <v>11721100000</v>
      </c>
      <c r="AL20" s="10">
        <f t="shared" si="8"/>
        <v>9816236721.014782</v>
      </c>
      <c r="AN20" s="10">
        <f t="shared" si="9"/>
        <v>9410000000</v>
      </c>
      <c r="AO20" s="10">
        <f t="shared" si="24"/>
        <v>7880726855.3931885</v>
      </c>
      <c r="AQ20" s="10">
        <f t="shared" si="10"/>
        <v>2988940800</v>
      </c>
      <c r="AR20" s="10">
        <f t="shared" si="25"/>
        <v>2503190864.1594477</v>
      </c>
      <c r="AT20" s="7">
        <f>IF($K20&lt;=$F$15,IF($F$40&lt;&gt;"",$F$40/1000,IF(ISERROR(VLOOKUP($F$3&amp;IF($G$4&lt;&gt;"",$G$4,"")&amp;IF($F$43&lt;&gt;"","_"&amp;$F$43,""),'表3）燃料価格'!$AF$9:$AG$25,2,0)),0,VLOOKUP($I20,'表3）燃料価格'!$A$6:$U$66,VLOOKUP($F$3&amp;IF($G$4&lt;&gt;"",$G$4,"")&amp;IF($F$43&lt;&gt;"","_"&amp;$F$43,""),'表3）燃料価格'!$AF$9:$AG$25,2,0)+VLOOKUP($F$41,'表3）燃料価格'!$AF$28:$AG$29,2,0),0)*IF($F$43="需要地価格",1,$F$8/$F$141))),"")</f>
        <v>0</v>
      </c>
      <c r="AV20" s="10">
        <f t="shared" si="11"/>
        <v>0</v>
      </c>
      <c r="AW20" s="10">
        <f t="shared" si="26"/>
        <v>0</v>
      </c>
      <c r="AY20" s="7">
        <v>0</v>
      </c>
      <c r="BA20" s="11">
        <f t="shared" si="12"/>
        <v>0</v>
      </c>
      <c r="BB20" s="10">
        <f t="shared" si="27"/>
        <v>0</v>
      </c>
      <c r="BD20" s="10">
        <f t="shared" si="13"/>
        <v>0</v>
      </c>
      <c r="BE20" s="10">
        <f t="shared" si="28"/>
        <v>0</v>
      </c>
      <c r="BG20" s="11">
        <f t="shared" si="14"/>
        <v>0</v>
      </c>
      <c r="BH20" s="10">
        <f t="shared" si="29"/>
        <v>0</v>
      </c>
      <c r="BJ20" s="7" t="str">
        <f t="shared" si="30"/>
        <v/>
      </c>
      <c r="BK20" s="158" t="str">
        <f t="shared" si="31"/>
        <v/>
      </c>
      <c r="BL20" s="158" t="str">
        <f t="shared" si="15"/>
        <v/>
      </c>
      <c r="BM20" s="10"/>
      <c r="BN20" s="10" t="str">
        <f t="shared" si="32"/>
        <v/>
      </c>
      <c r="BO20" s="10" t="str">
        <f t="shared" si="33"/>
        <v/>
      </c>
      <c r="BQ20" s="10">
        <f t="shared" si="16"/>
        <v>7064064000</v>
      </c>
      <c r="BR20" s="10">
        <f t="shared" si="34"/>
        <v>5916042388.2057629</v>
      </c>
    </row>
    <row r="21" spans="2:70" x14ac:dyDescent="0.15">
      <c r="B21" s="9"/>
      <c r="C21" s="9"/>
      <c r="D21" s="9" t="s">
        <v>110</v>
      </c>
      <c r="E21" s="9"/>
      <c r="F21" s="147">
        <v>40</v>
      </c>
      <c r="G21" s="9" t="s">
        <v>174</v>
      </c>
      <c r="H21" s="9"/>
      <c r="I21" s="458">
        <f t="shared" si="35"/>
        <v>2026</v>
      </c>
      <c r="J21" s="39"/>
      <c r="K21" s="39">
        <f t="shared" si="36"/>
        <v>7</v>
      </c>
      <c r="L21" s="39"/>
      <c r="M21" s="40">
        <f t="shared" si="0"/>
        <v>0.81309151134335378</v>
      </c>
      <c r="N21" s="39"/>
      <c r="O21" s="72">
        <f t="shared" si="37"/>
        <v>222981816973.10828</v>
      </c>
      <c r="P21" s="41">
        <f t="shared" si="1"/>
        <v>0.156</v>
      </c>
      <c r="Q21" s="39"/>
      <c r="R21" s="72">
        <f t="shared" si="17"/>
        <v>260144572965.09235</v>
      </c>
      <c r="S21" s="39"/>
      <c r="T21" s="72">
        <f t="shared" si="18"/>
        <v>260144572000</v>
      </c>
      <c r="U21" s="39"/>
      <c r="V21" s="72">
        <f t="shared" si="2"/>
        <v>34785163447.804893</v>
      </c>
      <c r="W21" s="72">
        <f t="shared" si="19"/>
        <v>28283521120.101269</v>
      </c>
      <c r="X21" s="39"/>
      <c r="Y21" s="72">
        <f t="shared" si="3"/>
        <v>3642024000</v>
      </c>
      <c r="Z21" s="72">
        <f t="shared" si="20"/>
        <v>2961298798.5087667</v>
      </c>
      <c r="AA21" s="39"/>
      <c r="AB21" s="72">
        <f t="shared" si="4"/>
        <v>0</v>
      </c>
      <c r="AC21" s="72">
        <f t="shared" si="21"/>
        <v>0</v>
      </c>
      <c r="AD21" s="39"/>
      <c r="AE21" s="72">
        <f t="shared" si="5"/>
        <v>0</v>
      </c>
      <c r="AF21" s="72">
        <f t="shared" si="22"/>
        <v>0</v>
      </c>
      <c r="AG21" s="39"/>
      <c r="AH21" s="72">
        <f t="shared" si="6"/>
        <v>2220000000</v>
      </c>
      <c r="AI21" s="72">
        <f t="shared" si="23"/>
        <v>1805063155.1822455</v>
      </c>
      <c r="AJ21" s="39"/>
      <c r="AK21" s="72">
        <f t="shared" si="7"/>
        <v>11721100000</v>
      </c>
      <c r="AL21" s="72">
        <f t="shared" si="8"/>
        <v>9530326913.6065845</v>
      </c>
      <c r="AM21" s="39"/>
      <c r="AN21" s="72">
        <f t="shared" si="9"/>
        <v>9410000000</v>
      </c>
      <c r="AO21" s="72">
        <f t="shared" si="24"/>
        <v>7651191121.7409592</v>
      </c>
      <c r="AP21" s="39"/>
      <c r="AQ21" s="72">
        <f t="shared" si="10"/>
        <v>2988940800</v>
      </c>
      <c r="AR21" s="72">
        <f t="shared" si="25"/>
        <v>2430282392.3878131</v>
      </c>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0</v>
      </c>
      <c r="AU21" s="39"/>
      <c r="AV21" s="72">
        <f t="shared" si="11"/>
        <v>0</v>
      </c>
      <c r="AW21" s="72">
        <f t="shared" si="26"/>
        <v>0</v>
      </c>
      <c r="AX21" s="39"/>
      <c r="AY21" s="40">
        <v>0</v>
      </c>
      <c r="AZ21" s="39"/>
      <c r="BA21" s="42">
        <f t="shared" si="12"/>
        <v>0</v>
      </c>
      <c r="BB21" s="72">
        <f t="shared" si="27"/>
        <v>0</v>
      </c>
      <c r="BC21" s="39"/>
      <c r="BD21" s="72">
        <f t="shared" si="13"/>
        <v>0</v>
      </c>
      <c r="BE21" s="72">
        <f t="shared" si="28"/>
        <v>0</v>
      </c>
      <c r="BF21" s="39"/>
      <c r="BG21" s="42">
        <f t="shared" si="14"/>
        <v>0</v>
      </c>
      <c r="BH21" s="72">
        <f t="shared" si="29"/>
        <v>0</v>
      </c>
      <c r="BI21" s="39"/>
      <c r="BJ21" s="40" t="str">
        <f t="shared" si="30"/>
        <v/>
      </c>
      <c r="BK21" s="157" t="str">
        <f t="shared" si="31"/>
        <v/>
      </c>
      <c r="BL21" s="157" t="str">
        <f t="shared" si="15"/>
        <v/>
      </c>
      <c r="BM21" s="72"/>
      <c r="BN21" s="72" t="str">
        <f t="shared" si="32"/>
        <v/>
      </c>
      <c r="BO21" s="72" t="str">
        <f t="shared" si="33"/>
        <v/>
      </c>
      <c r="BP21" s="39"/>
      <c r="BQ21" s="72">
        <f t="shared" si="16"/>
        <v>7064064000</v>
      </c>
      <c r="BR21" s="72">
        <f t="shared" si="34"/>
        <v>5743730473.9861774</v>
      </c>
    </row>
    <row r="22" spans="2:70" ht="16.5" x14ac:dyDescent="0.15">
      <c r="B22" s="9"/>
      <c r="C22" s="9"/>
      <c r="D22" s="9" t="s">
        <v>111</v>
      </c>
      <c r="E22" s="9"/>
      <c r="F22" s="90"/>
      <c r="G22" s="9" t="s">
        <v>372</v>
      </c>
      <c r="H22" s="9"/>
      <c r="I22" s="459">
        <f t="shared" si="35"/>
        <v>2027</v>
      </c>
      <c r="K22" s="71">
        <f t="shared" si="36"/>
        <v>8</v>
      </c>
      <c r="M22" s="7">
        <f t="shared" si="0"/>
        <v>0.78940923431393573</v>
      </c>
      <c r="O22" s="10">
        <f t="shared" si="37"/>
        <v>188196653525.30338</v>
      </c>
      <c r="P22" s="29">
        <f t="shared" si="1"/>
        <v>0.156</v>
      </c>
      <c r="R22" s="10">
        <f t="shared" si="17"/>
        <v>225275919103.50934</v>
      </c>
      <c r="T22" s="10">
        <f t="shared" si="18"/>
        <v>225275919000</v>
      </c>
      <c r="V22" s="10">
        <f t="shared" si="2"/>
        <v>29358677949.947327</v>
      </c>
      <c r="W22" s="10">
        <f t="shared" si="19"/>
        <v>23176011480.937347</v>
      </c>
      <c r="Y22" s="10">
        <f t="shared" si="3"/>
        <v>3153862800</v>
      </c>
      <c r="Z22" s="10">
        <f t="shared" si="20"/>
        <v>2489688418.0792055</v>
      </c>
      <c r="AB22" s="10">
        <f t="shared" si="4"/>
        <v>0</v>
      </c>
      <c r="AC22" s="10">
        <f t="shared" si="21"/>
        <v>0</v>
      </c>
      <c r="AE22" s="10">
        <f t="shared" si="5"/>
        <v>0</v>
      </c>
      <c r="AF22" s="10">
        <f t="shared" si="22"/>
        <v>0</v>
      </c>
      <c r="AH22" s="10">
        <f t="shared" si="6"/>
        <v>2220000000</v>
      </c>
      <c r="AI22" s="10">
        <f t="shared" si="23"/>
        <v>1752488500.1769373</v>
      </c>
      <c r="AK22" s="10">
        <f t="shared" si="7"/>
        <v>11721100000</v>
      </c>
      <c r="AL22" s="10">
        <f t="shared" si="8"/>
        <v>9252744576.3170719</v>
      </c>
      <c r="AN22" s="10">
        <f t="shared" si="9"/>
        <v>9410000000</v>
      </c>
      <c r="AO22" s="10">
        <f t="shared" si="24"/>
        <v>7428340894.8941355</v>
      </c>
      <c r="AQ22" s="10">
        <f t="shared" si="10"/>
        <v>2988940800</v>
      </c>
      <c r="AR22" s="10">
        <f t="shared" si="25"/>
        <v>2359497468.3376827</v>
      </c>
      <c r="AT22" s="7">
        <f>IF($K22&lt;=$F$15,IF($F$40&lt;&gt;"",$F$40/1000,IF(ISERROR(VLOOKUP($F$3&amp;IF($G$4&lt;&gt;"",$G$4,"")&amp;IF($F$43&lt;&gt;"","_"&amp;$F$43,""),'表3）燃料価格'!$AF$9:$AG$25,2,0)),0,VLOOKUP($I22,'表3）燃料価格'!$A$6:$U$66,VLOOKUP($F$3&amp;IF($G$4&lt;&gt;"",$G$4,"")&amp;IF($F$43&lt;&gt;"","_"&amp;$F$43,""),'表3）燃料価格'!$AF$9:$AG$25,2,0)+VLOOKUP($F$41,'表3）燃料価格'!$AF$28:$AG$29,2,0),0)*IF($F$43="需要地価格",1,$F$8/$F$141))),"")</f>
        <v>0</v>
      </c>
      <c r="AV22" s="10">
        <f t="shared" si="11"/>
        <v>0</v>
      </c>
      <c r="AW22" s="10">
        <f t="shared" si="26"/>
        <v>0</v>
      </c>
      <c r="AY22" s="7">
        <v>0</v>
      </c>
      <c r="BA22" s="11">
        <f t="shared" si="12"/>
        <v>0</v>
      </c>
      <c r="BB22" s="10">
        <f t="shared" si="27"/>
        <v>0</v>
      </c>
      <c r="BD22" s="10">
        <f t="shared" si="13"/>
        <v>0</v>
      </c>
      <c r="BE22" s="10">
        <f t="shared" si="28"/>
        <v>0</v>
      </c>
      <c r="BG22" s="11">
        <f t="shared" si="14"/>
        <v>0</v>
      </c>
      <c r="BH22" s="10">
        <f t="shared" si="29"/>
        <v>0</v>
      </c>
      <c r="BJ22" s="7" t="str">
        <f t="shared" si="30"/>
        <v/>
      </c>
      <c r="BK22" s="158" t="str">
        <f t="shared" si="31"/>
        <v/>
      </c>
      <c r="BL22" s="158" t="str">
        <f t="shared" si="15"/>
        <v/>
      </c>
      <c r="BM22" s="10"/>
      <c r="BN22" s="10" t="str">
        <f t="shared" si="32"/>
        <v/>
      </c>
      <c r="BO22" s="10" t="str">
        <f t="shared" si="33"/>
        <v/>
      </c>
      <c r="BQ22" s="10">
        <f t="shared" si="16"/>
        <v>7064064000</v>
      </c>
      <c r="BR22" s="10">
        <f t="shared" si="34"/>
        <v>5576437353.3846378</v>
      </c>
    </row>
    <row r="23" spans="2:70" x14ac:dyDescent="0.15">
      <c r="B23" s="9"/>
      <c r="C23" s="9"/>
      <c r="D23" s="81" t="s">
        <v>112</v>
      </c>
      <c r="E23" s="81"/>
      <c r="F23" s="147"/>
      <c r="G23" s="9" t="s">
        <v>172</v>
      </c>
      <c r="H23" s="9"/>
      <c r="I23" s="458">
        <f t="shared" si="35"/>
        <v>2028</v>
      </c>
      <c r="J23" s="39"/>
      <c r="K23" s="39">
        <f t="shared" si="36"/>
        <v>9</v>
      </c>
      <c r="L23" s="39"/>
      <c r="M23" s="40">
        <f t="shared" si="0"/>
        <v>0.76641673234362695</v>
      </c>
      <c r="N23" s="39"/>
      <c r="O23" s="72">
        <f t="shared" si="37"/>
        <v>158837975575.35605</v>
      </c>
      <c r="P23" s="41">
        <f t="shared" si="1"/>
        <v>0.156</v>
      </c>
      <c r="Q23" s="39"/>
      <c r="R23" s="72">
        <f t="shared" si="17"/>
        <v>195080908855.78729</v>
      </c>
      <c r="S23" s="39"/>
      <c r="T23" s="72">
        <f t="shared" si="18"/>
        <v>195080908000</v>
      </c>
      <c r="U23" s="39"/>
      <c r="V23" s="72">
        <f t="shared" si="2"/>
        <v>24778724189.755543</v>
      </c>
      <c r="W23" s="72">
        <f t="shared" si="19"/>
        <v>18990828825.156429</v>
      </c>
      <c r="X23" s="39"/>
      <c r="Y23" s="72">
        <f t="shared" si="3"/>
        <v>2731132700</v>
      </c>
      <c r="Z23" s="72">
        <f t="shared" si="20"/>
        <v>2093185799.5308273</v>
      </c>
      <c r="AA23" s="39"/>
      <c r="AB23" s="72">
        <f t="shared" si="4"/>
        <v>0</v>
      </c>
      <c r="AC23" s="72">
        <f t="shared" si="21"/>
        <v>0</v>
      </c>
      <c r="AD23" s="39"/>
      <c r="AE23" s="72">
        <f t="shared" si="5"/>
        <v>0</v>
      </c>
      <c r="AF23" s="72">
        <f t="shared" si="22"/>
        <v>0</v>
      </c>
      <c r="AG23" s="39"/>
      <c r="AH23" s="72">
        <f t="shared" si="6"/>
        <v>2220000000</v>
      </c>
      <c r="AI23" s="72">
        <f t="shared" si="23"/>
        <v>1701445145.8028519</v>
      </c>
      <c r="AJ23" s="39"/>
      <c r="AK23" s="72">
        <f t="shared" si="7"/>
        <v>11721100000</v>
      </c>
      <c r="AL23" s="72">
        <f t="shared" si="8"/>
        <v>8983247161.4728851</v>
      </c>
      <c r="AM23" s="39"/>
      <c r="AN23" s="72">
        <f t="shared" si="9"/>
        <v>9410000000</v>
      </c>
      <c r="AO23" s="72">
        <f t="shared" si="24"/>
        <v>7211981451.3535299</v>
      </c>
      <c r="AP23" s="39"/>
      <c r="AQ23" s="72">
        <f t="shared" si="10"/>
        <v>2988940800</v>
      </c>
      <c r="AR23" s="72">
        <f t="shared" si="25"/>
        <v>2290774241.1045461</v>
      </c>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0</v>
      </c>
      <c r="AU23" s="39"/>
      <c r="AV23" s="72">
        <f t="shared" si="11"/>
        <v>0</v>
      </c>
      <c r="AW23" s="72">
        <f t="shared" si="26"/>
        <v>0</v>
      </c>
      <c r="AX23" s="39"/>
      <c r="AY23" s="40">
        <v>0</v>
      </c>
      <c r="AZ23" s="39"/>
      <c r="BA23" s="42">
        <f t="shared" si="12"/>
        <v>0</v>
      </c>
      <c r="BB23" s="72">
        <f t="shared" si="27"/>
        <v>0</v>
      </c>
      <c r="BC23" s="39"/>
      <c r="BD23" s="72">
        <f t="shared" si="13"/>
        <v>0</v>
      </c>
      <c r="BE23" s="72">
        <f t="shared" si="28"/>
        <v>0</v>
      </c>
      <c r="BF23" s="39"/>
      <c r="BG23" s="42">
        <f t="shared" si="14"/>
        <v>0</v>
      </c>
      <c r="BH23" s="72">
        <f t="shared" si="29"/>
        <v>0</v>
      </c>
      <c r="BI23" s="39"/>
      <c r="BJ23" s="40" t="str">
        <f t="shared" si="30"/>
        <v/>
      </c>
      <c r="BK23" s="157" t="str">
        <f t="shared" si="31"/>
        <v/>
      </c>
      <c r="BL23" s="157" t="str">
        <f t="shared" si="15"/>
        <v/>
      </c>
      <c r="BM23" s="72"/>
      <c r="BN23" s="72" t="str">
        <f t="shared" si="32"/>
        <v/>
      </c>
      <c r="BO23" s="72" t="str">
        <f t="shared" si="33"/>
        <v/>
      </c>
      <c r="BP23" s="39"/>
      <c r="BQ23" s="72">
        <f t="shared" si="16"/>
        <v>7064064000</v>
      </c>
      <c r="BR23" s="72">
        <f t="shared" si="34"/>
        <v>5414016847.9462509</v>
      </c>
    </row>
    <row r="24" spans="2:70" x14ac:dyDescent="0.15">
      <c r="B24" s="9"/>
      <c r="C24" s="9"/>
      <c r="D24" s="81" t="s">
        <v>113</v>
      </c>
      <c r="E24" s="81"/>
      <c r="F24" s="68">
        <v>4</v>
      </c>
      <c r="G24" s="9" t="s">
        <v>172</v>
      </c>
      <c r="H24" s="9"/>
      <c r="I24" s="459">
        <f t="shared" si="35"/>
        <v>2029</v>
      </c>
      <c r="K24" s="71">
        <f t="shared" si="36"/>
        <v>10</v>
      </c>
      <c r="M24" s="7">
        <f t="shared" si="0"/>
        <v>0.74409391489672516</v>
      </c>
      <c r="O24" s="10">
        <f t="shared" si="37"/>
        <v>134059251385.60051</v>
      </c>
      <c r="P24" s="29">
        <f t="shared" si="1"/>
        <v>0.156</v>
      </c>
      <c r="R24" s="10">
        <f t="shared" si="17"/>
        <v>168933107237.76843</v>
      </c>
      <c r="T24" s="10">
        <f t="shared" si="18"/>
        <v>168933107000</v>
      </c>
      <c r="V24" s="10">
        <f t="shared" si="2"/>
        <v>20913243216.153679</v>
      </c>
      <c r="W24" s="10">
        <f t="shared" si="19"/>
        <v>15561417017.89517</v>
      </c>
      <c r="Y24" s="10">
        <f t="shared" si="3"/>
        <v>2365063400</v>
      </c>
      <c r="Z24" s="10">
        <f t="shared" si="20"/>
        <v>1759829284.2849596</v>
      </c>
      <c r="AB24" s="10">
        <f t="shared" si="4"/>
        <v>0</v>
      </c>
      <c r="AC24" s="10">
        <f t="shared" si="21"/>
        <v>0</v>
      </c>
      <c r="AE24" s="10">
        <f t="shared" si="5"/>
        <v>0</v>
      </c>
      <c r="AF24" s="10">
        <f t="shared" si="22"/>
        <v>0</v>
      </c>
      <c r="AH24" s="10">
        <f t="shared" si="6"/>
        <v>2220000000</v>
      </c>
      <c r="AI24" s="10">
        <f t="shared" si="23"/>
        <v>1651888491.07073</v>
      </c>
      <c r="AK24" s="10">
        <f t="shared" si="7"/>
        <v>11721100000</v>
      </c>
      <c r="AL24" s="10">
        <f t="shared" si="8"/>
        <v>8721599185.8960056</v>
      </c>
      <c r="AN24" s="10">
        <f t="shared" si="9"/>
        <v>9410000000</v>
      </c>
      <c r="AO24" s="10">
        <f t="shared" si="24"/>
        <v>7001923739.1781836</v>
      </c>
      <c r="AQ24" s="10">
        <f t="shared" si="10"/>
        <v>2988940800</v>
      </c>
      <c r="AR24" s="10">
        <f t="shared" si="25"/>
        <v>2224052661.2665496</v>
      </c>
      <c r="AT24" s="7">
        <f>IF($K24&lt;=$F$15,IF($F$40&lt;&gt;"",$F$40/1000,IF(ISERROR(VLOOKUP($F$3&amp;IF($G$4&lt;&gt;"",$G$4,"")&amp;IF($F$43&lt;&gt;"","_"&amp;$F$43,""),'表3）燃料価格'!$AF$9:$AG$25,2,0)),0,VLOOKUP($I24,'表3）燃料価格'!$A$6:$U$66,VLOOKUP($F$3&amp;IF($G$4&lt;&gt;"",$G$4,"")&amp;IF($F$43&lt;&gt;"","_"&amp;$F$43,""),'表3）燃料価格'!$AF$9:$AG$25,2,0)+VLOOKUP($F$41,'表3）燃料価格'!$AF$28:$AG$29,2,0),0)*IF($F$43="需要地価格",1,$F$8/$F$141))),"")</f>
        <v>0</v>
      </c>
      <c r="AV24" s="10">
        <f t="shared" si="11"/>
        <v>0</v>
      </c>
      <c r="AW24" s="10">
        <f t="shared" si="26"/>
        <v>0</v>
      </c>
      <c r="AY24" s="7">
        <v>0</v>
      </c>
      <c r="BA24" s="11">
        <f t="shared" si="12"/>
        <v>0</v>
      </c>
      <c r="BB24" s="10">
        <f t="shared" si="27"/>
        <v>0</v>
      </c>
      <c r="BD24" s="10">
        <f t="shared" si="13"/>
        <v>0</v>
      </c>
      <c r="BE24" s="10">
        <f t="shared" si="28"/>
        <v>0</v>
      </c>
      <c r="BG24" s="11">
        <f t="shared" si="14"/>
        <v>0</v>
      </c>
      <c r="BH24" s="10">
        <f t="shared" si="29"/>
        <v>0</v>
      </c>
      <c r="BJ24" s="7" t="str">
        <f t="shared" si="30"/>
        <v/>
      </c>
      <c r="BK24" s="158" t="str">
        <f t="shared" si="31"/>
        <v/>
      </c>
      <c r="BL24" s="158" t="str">
        <f t="shared" si="15"/>
        <v/>
      </c>
      <c r="BM24" s="10"/>
      <c r="BN24" s="10" t="str">
        <f t="shared" si="32"/>
        <v/>
      </c>
      <c r="BO24" s="10" t="str">
        <f t="shared" si="33"/>
        <v/>
      </c>
      <c r="BQ24" s="10">
        <f t="shared" si="16"/>
        <v>7064064000</v>
      </c>
      <c r="BR24" s="10">
        <f t="shared" si="34"/>
        <v>5256327036.8410196</v>
      </c>
    </row>
    <row r="25" spans="2:70" x14ac:dyDescent="0.15">
      <c r="B25" s="9"/>
      <c r="C25" s="9"/>
      <c r="D25" s="81" t="s">
        <v>114</v>
      </c>
      <c r="E25" s="81"/>
      <c r="F25" s="66">
        <v>1.4</v>
      </c>
      <c r="G25" s="9" t="s">
        <v>172</v>
      </c>
      <c r="H25" s="9"/>
      <c r="I25" s="458">
        <f t="shared" si="35"/>
        <v>2030</v>
      </c>
      <c r="J25" s="39"/>
      <c r="K25" s="39">
        <f t="shared" si="36"/>
        <v>11</v>
      </c>
      <c r="L25" s="39"/>
      <c r="M25" s="40">
        <f t="shared" si="0"/>
        <v>0.72242127659876232</v>
      </c>
      <c r="N25" s="39"/>
      <c r="O25" s="72">
        <f t="shared" si="37"/>
        <v>113146008169.44684</v>
      </c>
      <c r="P25" s="41">
        <f t="shared" si="1"/>
        <v>0.16700000000000001</v>
      </c>
      <c r="Q25" s="39"/>
      <c r="R25" s="72">
        <f t="shared" si="17"/>
        <v>146290043902.26749</v>
      </c>
      <c r="S25" s="39"/>
      <c r="T25" s="72">
        <f t="shared" si="18"/>
        <v>146290043000</v>
      </c>
      <c r="U25" s="39"/>
      <c r="V25" s="72">
        <f t="shared" si="2"/>
        <v>18895383364.297623</v>
      </c>
      <c r="W25" s="72">
        <f t="shared" si="19"/>
        <v>13650426971.858906</v>
      </c>
      <c r="X25" s="39"/>
      <c r="Y25" s="72">
        <f t="shared" si="3"/>
        <v>2048060600</v>
      </c>
      <c r="Z25" s="72">
        <f t="shared" si="20"/>
        <v>1479562553.2036271</v>
      </c>
      <c r="AA25" s="39"/>
      <c r="AB25" s="72">
        <f t="shared" si="4"/>
        <v>0</v>
      </c>
      <c r="AC25" s="72">
        <f t="shared" si="21"/>
        <v>0</v>
      </c>
      <c r="AD25" s="39"/>
      <c r="AE25" s="72">
        <f t="shared" si="5"/>
        <v>0</v>
      </c>
      <c r="AF25" s="72">
        <f t="shared" si="22"/>
        <v>0</v>
      </c>
      <c r="AG25" s="39"/>
      <c r="AH25" s="72">
        <f t="shared" si="6"/>
        <v>2220000000</v>
      </c>
      <c r="AI25" s="72">
        <f t="shared" si="23"/>
        <v>1603775234.0492523</v>
      </c>
      <c r="AJ25" s="39"/>
      <c r="AK25" s="72">
        <f t="shared" si="7"/>
        <v>11721100000</v>
      </c>
      <c r="AL25" s="72">
        <f t="shared" si="8"/>
        <v>8467572025.1417532</v>
      </c>
      <c r="AM25" s="39"/>
      <c r="AN25" s="72">
        <f t="shared" si="9"/>
        <v>9410000000</v>
      </c>
      <c r="AO25" s="72">
        <f t="shared" si="24"/>
        <v>6797984212.7943535</v>
      </c>
      <c r="AP25" s="39"/>
      <c r="AQ25" s="72">
        <f t="shared" si="10"/>
        <v>2988940800</v>
      </c>
      <c r="AR25" s="72">
        <f t="shared" si="25"/>
        <v>2159274428.4141259</v>
      </c>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0</v>
      </c>
      <c r="AU25" s="39"/>
      <c r="AV25" s="72">
        <f t="shared" si="11"/>
        <v>0</v>
      </c>
      <c r="AW25" s="72">
        <f t="shared" si="26"/>
        <v>0</v>
      </c>
      <c r="AX25" s="39"/>
      <c r="AY25" s="40">
        <v>0</v>
      </c>
      <c r="AZ25" s="39"/>
      <c r="BA25" s="42">
        <f t="shared" si="12"/>
        <v>0</v>
      </c>
      <c r="BB25" s="72">
        <f t="shared" si="27"/>
        <v>0</v>
      </c>
      <c r="BC25" s="39"/>
      <c r="BD25" s="72">
        <f t="shared" si="13"/>
        <v>0</v>
      </c>
      <c r="BE25" s="72">
        <f t="shared" si="28"/>
        <v>0</v>
      </c>
      <c r="BF25" s="39"/>
      <c r="BG25" s="42">
        <f t="shared" si="14"/>
        <v>0</v>
      </c>
      <c r="BH25" s="72">
        <f t="shared" si="29"/>
        <v>0</v>
      </c>
      <c r="BI25" s="39"/>
      <c r="BJ25" s="40" t="str">
        <f t="shared" si="30"/>
        <v/>
      </c>
      <c r="BK25" s="157" t="str">
        <f t="shared" si="31"/>
        <v/>
      </c>
      <c r="BL25" s="157" t="str">
        <f t="shared" si="15"/>
        <v/>
      </c>
      <c r="BM25" s="72"/>
      <c r="BN25" s="72" t="str">
        <f t="shared" si="32"/>
        <v/>
      </c>
      <c r="BO25" s="72" t="str">
        <f t="shared" si="33"/>
        <v/>
      </c>
      <c r="BP25" s="39"/>
      <c r="BQ25" s="72">
        <f t="shared" si="16"/>
        <v>7064064000</v>
      </c>
      <c r="BR25" s="72">
        <f t="shared" si="34"/>
        <v>5103230132.8553591</v>
      </c>
    </row>
    <row r="26" spans="2:70" x14ac:dyDescent="0.15">
      <c r="B26" s="9"/>
      <c r="C26" s="9"/>
      <c r="D26" s="81" t="s">
        <v>115</v>
      </c>
      <c r="E26" s="81"/>
      <c r="F26" s="59"/>
      <c r="G26" s="9" t="s">
        <v>175</v>
      </c>
      <c r="H26" s="9"/>
      <c r="I26" s="459">
        <f t="shared" si="35"/>
        <v>2031</v>
      </c>
      <c r="K26" s="71">
        <f t="shared" si="36"/>
        <v>12</v>
      </c>
      <c r="M26" s="7">
        <f t="shared" si="0"/>
        <v>0.70137988019297326</v>
      </c>
      <c r="O26" s="10">
        <f t="shared" si="37"/>
        <v>94250624805.149216</v>
      </c>
      <c r="P26" s="29" t="str">
        <f t="shared" si="1"/>
        <v>-</v>
      </c>
      <c r="R26" s="10">
        <f t="shared" si="17"/>
        <v>126681958882.14131</v>
      </c>
      <c r="T26" s="10">
        <f t="shared" si="18"/>
        <v>126681958000</v>
      </c>
      <c r="V26" s="10">
        <f t="shared" si="2"/>
        <v>18895383364.297623</v>
      </c>
      <c r="W26" s="10">
        <f t="shared" si="19"/>
        <v>13252841720.251366</v>
      </c>
      <c r="Y26" s="10">
        <f t="shared" si="3"/>
        <v>1773547400</v>
      </c>
      <c r="Z26" s="10">
        <f t="shared" si="20"/>
        <v>1243930462.9285593</v>
      </c>
      <c r="AB26" s="10">
        <f t="shared" si="4"/>
        <v>0</v>
      </c>
      <c r="AC26" s="10">
        <f t="shared" si="21"/>
        <v>0</v>
      </c>
      <c r="AE26" s="10">
        <f t="shared" si="5"/>
        <v>0</v>
      </c>
      <c r="AF26" s="10">
        <f t="shared" si="22"/>
        <v>0</v>
      </c>
      <c r="AH26" s="10">
        <f t="shared" si="6"/>
        <v>2220000000</v>
      </c>
      <c r="AI26" s="10">
        <f t="shared" si="23"/>
        <v>1557063334.0284007</v>
      </c>
      <c r="AK26" s="10">
        <f t="shared" si="7"/>
        <v>11721100000</v>
      </c>
      <c r="AL26" s="10">
        <f t="shared" si="8"/>
        <v>8220943713.7298584</v>
      </c>
      <c r="AN26" s="10">
        <f t="shared" si="9"/>
        <v>9410000000</v>
      </c>
      <c r="AO26" s="10">
        <f t="shared" si="24"/>
        <v>6599984672.6158781</v>
      </c>
      <c r="AQ26" s="10">
        <f t="shared" si="10"/>
        <v>2988940800</v>
      </c>
      <c r="AR26" s="10">
        <f t="shared" si="25"/>
        <v>2096382940.2078896</v>
      </c>
      <c r="AT26" s="7">
        <f>IF($K26&lt;=$F$15,IF($F$40&lt;&gt;"",$F$40/1000,IF(ISERROR(VLOOKUP($F$3&amp;IF($G$4&lt;&gt;"",$G$4,"")&amp;IF($F$43&lt;&gt;"","_"&amp;$F$43,""),'表3）燃料価格'!$AF$9:$AG$25,2,0)),0,VLOOKUP($I26,'表3）燃料価格'!$A$6:$U$66,VLOOKUP($F$3&amp;IF($G$4&lt;&gt;"",$G$4,"")&amp;IF($F$43&lt;&gt;"","_"&amp;$F$43,""),'表3）燃料価格'!$AF$9:$AG$25,2,0)+VLOOKUP($F$41,'表3）燃料価格'!$AF$28:$AG$29,2,0),0)*IF($F$43="需要地価格",1,$F$8/$F$141))),"")</f>
        <v>0</v>
      </c>
      <c r="AV26" s="10">
        <f t="shared" si="11"/>
        <v>0</v>
      </c>
      <c r="AW26" s="10">
        <f t="shared" si="26"/>
        <v>0</v>
      </c>
      <c r="AY26" s="7">
        <v>0</v>
      </c>
      <c r="BA26" s="11">
        <f t="shared" si="12"/>
        <v>0</v>
      </c>
      <c r="BB26" s="10">
        <f t="shared" si="27"/>
        <v>0</v>
      </c>
      <c r="BD26" s="10">
        <f t="shared" si="13"/>
        <v>0</v>
      </c>
      <c r="BE26" s="10">
        <f t="shared" si="28"/>
        <v>0</v>
      </c>
      <c r="BG26" s="11">
        <f t="shared" si="14"/>
        <v>0</v>
      </c>
      <c r="BH26" s="10">
        <f t="shared" si="29"/>
        <v>0</v>
      </c>
      <c r="BJ26" s="7" t="str">
        <f t="shared" si="30"/>
        <v/>
      </c>
      <c r="BK26" s="158" t="str">
        <f t="shared" si="31"/>
        <v/>
      </c>
      <c r="BL26" s="158" t="str">
        <f t="shared" si="15"/>
        <v/>
      </c>
      <c r="BM26" s="10"/>
      <c r="BN26" s="10" t="str">
        <f t="shared" si="32"/>
        <v/>
      </c>
      <c r="BO26" s="10" t="str">
        <f t="shared" si="33"/>
        <v/>
      </c>
      <c r="BQ26" s="10">
        <f t="shared" si="16"/>
        <v>7064064000</v>
      </c>
      <c r="BR26" s="10">
        <f t="shared" si="34"/>
        <v>4954592361.9954958</v>
      </c>
    </row>
    <row r="27" spans="2:70" x14ac:dyDescent="0.15">
      <c r="B27" s="9"/>
      <c r="C27" s="9"/>
      <c r="D27" s="82" t="s">
        <v>86</v>
      </c>
      <c r="E27" s="81"/>
      <c r="F27" s="59">
        <v>750</v>
      </c>
      <c r="G27" s="9" t="s">
        <v>176</v>
      </c>
      <c r="H27" s="9"/>
      <c r="I27" s="458">
        <f t="shared" si="35"/>
        <v>2032</v>
      </c>
      <c r="J27" s="39"/>
      <c r="K27" s="39">
        <f t="shared" si="36"/>
        <v>13</v>
      </c>
      <c r="L27" s="39"/>
      <c r="M27" s="40">
        <f t="shared" si="0"/>
        <v>0.68095133999317792</v>
      </c>
      <c r="N27" s="39"/>
      <c r="O27" s="72">
        <f t="shared" si="37"/>
        <v>75355241440.851593</v>
      </c>
      <c r="P27" s="41" t="str">
        <f t="shared" si="1"/>
        <v>-</v>
      </c>
      <c r="Q27" s="39"/>
      <c r="R27" s="72">
        <f t="shared" si="17"/>
        <v>109702056805.30112</v>
      </c>
      <c r="S27" s="39"/>
      <c r="T27" s="72">
        <f t="shared" si="18"/>
        <v>109702056000</v>
      </c>
      <c r="U27" s="39"/>
      <c r="V27" s="72">
        <f t="shared" si="2"/>
        <v>18895383364.297623</v>
      </c>
      <c r="W27" s="72">
        <f t="shared" si="19"/>
        <v>12866836621.603268</v>
      </c>
      <c r="X27" s="39"/>
      <c r="Y27" s="72">
        <f t="shared" si="3"/>
        <v>1535828700</v>
      </c>
      <c r="Z27" s="72">
        <f t="shared" si="20"/>
        <v>1045824611.2649804</v>
      </c>
      <c r="AA27" s="39"/>
      <c r="AB27" s="72">
        <f t="shared" si="4"/>
        <v>0</v>
      </c>
      <c r="AC27" s="72">
        <f t="shared" si="21"/>
        <v>0</v>
      </c>
      <c r="AD27" s="39"/>
      <c r="AE27" s="72">
        <f t="shared" si="5"/>
        <v>0</v>
      </c>
      <c r="AF27" s="72">
        <f t="shared" si="22"/>
        <v>0</v>
      </c>
      <c r="AG27" s="39"/>
      <c r="AH27" s="72">
        <f t="shared" si="6"/>
        <v>2220000000</v>
      </c>
      <c r="AI27" s="72">
        <f t="shared" si="23"/>
        <v>1511711974.7848549</v>
      </c>
      <c r="AJ27" s="39"/>
      <c r="AK27" s="72">
        <f t="shared" si="7"/>
        <v>11721100000</v>
      </c>
      <c r="AL27" s="72">
        <f t="shared" si="8"/>
        <v>7981498751.1940374</v>
      </c>
      <c r="AM27" s="39"/>
      <c r="AN27" s="72">
        <f t="shared" si="9"/>
        <v>9410000000</v>
      </c>
      <c r="AO27" s="72">
        <f t="shared" si="24"/>
        <v>6407752109.335804</v>
      </c>
      <c r="AP27" s="39"/>
      <c r="AQ27" s="72">
        <f t="shared" si="10"/>
        <v>2988940800</v>
      </c>
      <c r="AR27" s="72">
        <f t="shared" si="25"/>
        <v>2035323242.9202812</v>
      </c>
      <c r="AS27" s="39"/>
      <c r="AT27" s="40">
        <f>IF($K27&lt;=$F$15,IF($F$40&lt;&gt;"",$F$40/1000,IF(ISERROR(VLOOKUP($F$3&amp;IF($G$4&lt;&gt;"",$G$4,"")&amp;IF($F$43&lt;&gt;"","_"&amp;$F$43,""),'表3）燃料価格'!$AF$9:$AG$25,2,0)),0,VLOOKUP($I27,'表3）燃料価格'!$A$6:$U$66,VLOOKUP($F$3&amp;IF($G$4&lt;&gt;"",$G$4,"")&amp;IF($F$43&lt;&gt;"","_"&amp;$F$43,""),'表3）燃料価格'!$AF$9:$AG$25,2,0)+VLOOKUP($F$41,'表3）燃料価格'!$AF$28:$AG$29,2,0),0)*IF($F$43="需要地価格",1,$F$8/$F$141))),"")</f>
        <v>0</v>
      </c>
      <c r="AU27" s="39"/>
      <c r="AV27" s="72">
        <f t="shared" si="11"/>
        <v>0</v>
      </c>
      <c r="AW27" s="72">
        <f t="shared" si="26"/>
        <v>0</v>
      </c>
      <c r="AX27" s="39"/>
      <c r="AY27" s="40">
        <v>0</v>
      </c>
      <c r="AZ27" s="39"/>
      <c r="BA27" s="42">
        <f t="shared" si="12"/>
        <v>0</v>
      </c>
      <c r="BB27" s="72">
        <f t="shared" si="27"/>
        <v>0</v>
      </c>
      <c r="BC27" s="39"/>
      <c r="BD27" s="72">
        <f t="shared" si="13"/>
        <v>0</v>
      </c>
      <c r="BE27" s="72">
        <f t="shared" si="28"/>
        <v>0</v>
      </c>
      <c r="BF27" s="39"/>
      <c r="BG27" s="42">
        <f t="shared" si="14"/>
        <v>0</v>
      </c>
      <c r="BH27" s="72">
        <f t="shared" si="29"/>
        <v>0</v>
      </c>
      <c r="BI27" s="39"/>
      <c r="BJ27" s="40" t="str">
        <f t="shared" si="30"/>
        <v/>
      </c>
      <c r="BK27" s="157" t="str">
        <f t="shared" si="31"/>
        <v/>
      </c>
      <c r="BL27" s="157" t="str">
        <f t="shared" si="15"/>
        <v/>
      </c>
      <c r="BM27" s="72"/>
      <c r="BN27" s="72" t="str">
        <f t="shared" si="32"/>
        <v/>
      </c>
      <c r="BO27" s="72" t="str">
        <f t="shared" si="33"/>
        <v/>
      </c>
      <c r="BP27" s="39"/>
      <c r="BQ27" s="72">
        <f t="shared" si="16"/>
        <v>7064064000</v>
      </c>
      <c r="BR27" s="72">
        <f t="shared" si="34"/>
        <v>4810283846.5975685</v>
      </c>
    </row>
    <row r="28" spans="2:70" x14ac:dyDescent="0.15">
      <c r="B28" s="9"/>
      <c r="C28" s="9"/>
      <c r="D28" s="81" t="s">
        <v>116</v>
      </c>
      <c r="E28" s="81"/>
      <c r="F28" s="59">
        <v>10</v>
      </c>
      <c r="G28" s="9" t="s">
        <v>108</v>
      </c>
      <c r="H28" s="9"/>
      <c r="I28" s="459">
        <f t="shared" si="35"/>
        <v>2033</v>
      </c>
      <c r="K28" s="71">
        <f t="shared" si="36"/>
        <v>14</v>
      </c>
      <c r="M28" s="7">
        <f t="shared" si="0"/>
        <v>0.66111780581861923</v>
      </c>
      <c r="O28" s="10">
        <f t="shared" si="37"/>
        <v>56459858076.55397</v>
      </c>
      <c r="P28" s="29" t="str">
        <f t="shared" si="1"/>
        <v>-</v>
      </c>
      <c r="R28" s="10">
        <f t="shared" si="17"/>
        <v>94998067392.610031</v>
      </c>
      <c r="T28" s="10">
        <f t="shared" si="18"/>
        <v>94998067000</v>
      </c>
      <c r="V28" s="10">
        <f t="shared" si="2"/>
        <v>18895383364.297623</v>
      </c>
      <c r="W28" s="10">
        <f t="shared" si="19"/>
        <v>12492074389.906084</v>
      </c>
      <c r="Y28" s="10">
        <f t="shared" si="3"/>
        <v>1329972900</v>
      </c>
      <c r="Z28" s="10">
        <f t="shared" si="20"/>
        <v>879268765.44622588</v>
      </c>
      <c r="AB28" s="10">
        <f t="shared" si="4"/>
        <v>0</v>
      </c>
      <c r="AC28" s="10">
        <f t="shared" si="21"/>
        <v>0</v>
      </c>
      <c r="AE28" s="10">
        <f t="shared" si="5"/>
        <v>0</v>
      </c>
      <c r="AF28" s="10">
        <f t="shared" si="22"/>
        <v>0</v>
      </c>
      <c r="AH28" s="10">
        <f t="shared" si="6"/>
        <v>2220000000</v>
      </c>
      <c r="AI28" s="10">
        <f t="shared" si="23"/>
        <v>1467681528.9173348</v>
      </c>
      <c r="AK28" s="10">
        <f t="shared" si="7"/>
        <v>11721100000</v>
      </c>
      <c r="AL28" s="10">
        <f t="shared" si="8"/>
        <v>7749027913.7806177</v>
      </c>
      <c r="AN28" s="10">
        <f t="shared" si="9"/>
        <v>9410000000</v>
      </c>
      <c r="AO28" s="10">
        <f t="shared" si="24"/>
        <v>6221118552.7532072</v>
      </c>
      <c r="AQ28" s="10">
        <f t="shared" si="10"/>
        <v>2988940800</v>
      </c>
      <c r="AR28" s="10">
        <f t="shared" si="25"/>
        <v>1976041983.4177485</v>
      </c>
      <c r="AT28" s="7">
        <f>IF($K28&lt;=$F$15,IF($F$40&lt;&gt;"",$F$40/1000,IF(ISERROR(VLOOKUP($F$3&amp;IF($G$4&lt;&gt;"",$G$4,"")&amp;IF($F$43&lt;&gt;"","_"&amp;$F$43,""),'表3）燃料価格'!$AF$9:$AG$25,2,0)),0,VLOOKUP($I28,'表3）燃料価格'!$A$6:$U$66,VLOOKUP($F$3&amp;IF($G$4&lt;&gt;"",$G$4,"")&amp;IF($F$43&lt;&gt;"","_"&amp;$F$43,""),'表3）燃料価格'!$AF$9:$AG$25,2,0)+VLOOKUP($F$41,'表3）燃料価格'!$AF$28:$AG$29,2,0),0)*IF($F$43="需要地価格",1,$F$8/$F$141))),"")</f>
        <v>0</v>
      </c>
      <c r="AV28" s="10">
        <f t="shared" si="11"/>
        <v>0</v>
      </c>
      <c r="AW28" s="10">
        <f t="shared" si="26"/>
        <v>0</v>
      </c>
      <c r="AY28" s="7">
        <v>0</v>
      </c>
      <c r="BA28" s="11">
        <f t="shared" si="12"/>
        <v>0</v>
      </c>
      <c r="BB28" s="10">
        <f t="shared" si="27"/>
        <v>0</v>
      </c>
      <c r="BD28" s="10">
        <f t="shared" si="13"/>
        <v>0</v>
      </c>
      <c r="BE28" s="10">
        <f t="shared" si="28"/>
        <v>0</v>
      </c>
      <c r="BG28" s="11">
        <f t="shared" si="14"/>
        <v>0</v>
      </c>
      <c r="BH28" s="10">
        <f t="shared" si="29"/>
        <v>0</v>
      </c>
      <c r="BJ28" s="7" t="str">
        <f t="shared" si="30"/>
        <v/>
      </c>
      <c r="BK28" s="158" t="str">
        <f t="shared" si="31"/>
        <v/>
      </c>
      <c r="BL28" s="158" t="str">
        <f t="shared" si="15"/>
        <v/>
      </c>
      <c r="BM28" s="10"/>
      <c r="BN28" s="10" t="str">
        <f t="shared" si="32"/>
        <v/>
      </c>
      <c r="BO28" s="10" t="str">
        <f t="shared" si="33"/>
        <v/>
      </c>
      <c r="BQ28" s="10">
        <f t="shared" si="16"/>
        <v>7064064000</v>
      </c>
      <c r="BR28" s="10">
        <f t="shared" si="34"/>
        <v>4670178491.8422985</v>
      </c>
    </row>
    <row r="29" spans="2:70" x14ac:dyDescent="0.15">
      <c r="B29" s="9"/>
      <c r="C29" s="9"/>
      <c r="D29" s="81" t="s">
        <v>117</v>
      </c>
      <c r="E29" s="81"/>
      <c r="F29" s="59">
        <v>1369</v>
      </c>
      <c r="G29" s="9" t="s">
        <v>176</v>
      </c>
      <c r="H29" s="9"/>
      <c r="I29" s="458">
        <f t="shared" si="35"/>
        <v>2034</v>
      </c>
      <c r="J29" s="39"/>
      <c r="K29" s="39">
        <f t="shared" si="36"/>
        <v>15</v>
      </c>
      <c r="L29" s="39"/>
      <c r="M29" s="40">
        <f t="shared" si="0"/>
        <v>0.64186194739671765</v>
      </c>
      <c r="N29" s="39"/>
      <c r="O29" s="72">
        <f t="shared" si="37"/>
        <v>37564474712.256348</v>
      </c>
      <c r="P29" s="41" t="str">
        <f t="shared" si="1"/>
        <v>-</v>
      </c>
      <c r="Q29" s="39"/>
      <c r="R29" s="72">
        <f t="shared" si="17"/>
        <v>82264937150.155426</v>
      </c>
      <c r="S29" s="39"/>
      <c r="T29" s="72">
        <f t="shared" si="18"/>
        <v>82264937000</v>
      </c>
      <c r="U29" s="39"/>
      <c r="V29" s="72">
        <f t="shared" si="2"/>
        <v>18895383364.297623</v>
      </c>
      <c r="W29" s="72">
        <f t="shared" si="19"/>
        <v>12128227563.015614</v>
      </c>
      <c r="X29" s="39"/>
      <c r="Y29" s="72">
        <f t="shared" si="3"/>
        <v>1151709100</v>
      </c>
      <c r="Z29" s="72">
        <f t="shared" si="20"/>
        <v>739238245.76052105</v>
      </c>
      <c r="AA29" s="39"/>
      <c r="AB29" s="72">
        <f t="shared" si="4"/>
        <v>0</v>
      </c>
      <c r="AC29" s="72">
        <f t="shared" si="21"/>
        <v>0</v>
      </c>
      <c r="AD29" s="39"/>
      <c r="AE29" s="72">
        <f t="shared" si="5"/>
        <v>0</v>
      </c>
      <c r="AF29" s="72">
        <f t="shared" si="22"/>
        <v>0</v>
      </c>
      <c r="AG29" s="39"/>
      <c r="AH29" s="72">
        <f t="shared" si="6"/>
        <v>2220000000</v>
      </c>
      <c r="AI29" s="72">
        <f t="shared" si="23"/>
        <v>1424933523.2207131</v>
      </c>
      <c r="AJ29" s="39"/>
      <c r="AK29" s="72">
        <f t="shared" si="7"/>
        <v>11721100000</v>
      </c>
      <c r="AL29" s="72">
        <f t="shared" si="8"/>
        <v>7523328071.6316671</v>
      </c>
      <c r="AM29" s="39"/>
      <c r="AN29" s="72">
        <f t="shared" si="9"/>
        <v>9410000000</v>
      </c>
      <c r="AO29" s="72">
        <f t="shared" si="24"/>
        <v>6039920925.0031128</v>
      </c>
      <c r="AP29" s="39"/>
      <c r="AQ29" s="72">
        <f t="shared" si="10"/>
        <v>2988940800</v>
      </c>
      <c r="AR29" s="72">
        <f t="shared" si="25"/>
        <v>1918487362.5415032</v>
      </c>
      <c r="AS29" s="39"/>
      <c r="AT29" s="40">
        <f>IF($K29&lt;=$F$15,IF($F$40&lt;&gt;"",$F$40/1000,IF(ISERROR(VLOOKUP($F$3&amp;IF($G$4&lt;&gt;"",$G$4,"")&amp;IF($F$43&lt;&gt;"","_"&amp;$F$43,""),'表3）燃料価格'!$AF$9:$AG$25,2,0)),0,VLOOKUP($I29,'表3）燃料価格'!$A$6:$U$66,VLOOKUP($F$3&amp;IF($G$4&lt;&gt;"",$G$4,"")&amp;IF($F$43&lt;&gt;"","_"&amp;$F$43,""),'表3）燃料価格'!$AF$9:$AG$25,2,0)+VLOOKUP($F$41,'表3）燃料価格'!$AF$28:$AG$29,2,0),0)*IF($F$43="需要地価格",1,$F$8/$F$141))),"")</f>
        <v>0</v>
      </c>
      <c r="AU29" s="39"/>
      <c r="AV29" s="72">
        <f t="shared" si="11"/>
        <v>0</v>
      </c>
      <c r="AW29" s="72">
        <f t="shared" si="26"/>
        <v>0</v>
      </c>
      <c r="AX29" s="39"/>
      <c r="AY29" s="40">
        <v>0</v>
      </c>
      <c r="AZ29" s="39"/>
      <c r="BA29" s="42">
        <f t="shared" si="12"/>
        <v>0</v>
      </c>
      <c r="BB29" s="72">
        <f t="shared" si="27"/>
        <v>0</v>
      </c>
      <c r="BC29" s="39"/>
      <c r="BD29" s="72">
        <f t="shared" si="13"/>
        <v>0</v>
      </c>
      <c r="BE29" s="72">
        <f t="shared" si="28"/>
        <v>0</v>
      </c>
      <c r="BF29" s="39"/>
      <c r="BG29" s="42">
        <f t="shared" si="14"/>
        <v>0</v>
      </c>
      <c r="BH29" s="72">
        <f t="shared" si="29"/>
        <v>0</v>
      </c>
      <c r="BI29" s="39"/>
      <c r="BJ29" s="40" t="str">
        <f t="shared" si="30"/>
        <v/>
      </c>
      <c r="BK29" s="157" t="str">
        <f t="shared" si="31"/>
        <v/>
      </c>
      <c r="BL29" s="157" t="str">
        <f t="shared" si="15"/>
        <v/>
      </c>
      <c r="BM29" s="72"/>
      <c r="BN29" s="72" t="str">
        <f t="shared" si="32"/>
        <v/>
      </c>
      <c r="BO29" s="72" t="str">
        <f t="shared" si="33"/>
        <v/>
      </c>
      <c r="BP29" s="39"/>
      <c r="BQ29" s="72">
        <f t="shared" si="16"/>
        <v>7064064000</v>
      </c>
      <c r="BR29" s="72">
        <f t="shared" si="34"/>
        <v>4534153875.5750465</v>
      </c>
    </row>
    <row r="30" spans="2:70" x14ac:dyDescent="0.15">
      <c r="B30" s="9"/>
      <c r="C30" s="9"/>
      <c r="D30" s="81"/>
      <c r="E30" s="81"/>
      <c r="G30" s="9"/>
      <c r="H30" s="9"/>
      <c r="I30" s="459">
        <f t="shared" si="35"/>
        <v>2035</v>
      </c>
      <c r="K30" s="71">
        <f t="shared" si="36"/>
        <v>16</v>
      </c>
      <c r="M30" s="7">
        <f t="shared" si="0"/>
        <v>0.62316693922011435</v>
      </c>
      <c r="O30" s="10">
        <f t="shared" si="37"/>
        <v>18669091347.958725</v>
      </c>
      <c r="P30" s="29" t="str">
        <f t="shared" si="1"/>
        <v>-</v>
      </c>
      <c r="R30" s="10">
        <f t="shared" si="17"/>
        <v>71238500635.492645</v>
      </c>
      <c r="T30" s="10">
        <f t="shared" si="18"/>
        <v>71238500000</v>
      </c>
      <c r="V30" s="10">
        <f t="shared" si="2"/>
        <v>18669091347.958725</v>
      </c>
      <c r="W30" s="10">
        <f t="shared" si="19"/>
        <v>11633960513.328157</v>
      </c>
      <c r="Y30" s="10">
        <f t="shared" si="3"/>
        <v>997339000</v>
      </c>
      <c r="Z30" s="10">
        <f t="shared" si="20"/>
        <v>621508691.99484956</v>
      </c>
      <c r="AB30" s="10">
        <f t="shared" si="4"/>
        <v>0</v>
      </c>
      <c r="AC30" s="10">
        <f t="shared" si="21"/>
        <v>0</v>
      </c>
      <c r="AE30" s="10">
        <f t="shared" si="5"/>
        <v>0</v>
      </c>
      <c r="AF30" s="10">
        <f t="shared" si="22"/>
        <v>0</v>
      </c>
      <c r="AH30" s="10">
        <f t="shared" si="6"/>
        <v>2220000000</v>
      </c>
      <c r="AI30" s="10">
        <f t="shared" si="23"/>
        <v>1383430605.0686538</v>
      </c>
      <c r="AK30" s="10">
        <f t="shared" si="7"/>
        <v>11721100000</v>
      </c>
      <c r="AL30" s="10">
        <f t="shared" si="8"/>
        <v>7304202011.292882</v>
      </c>
      <c r="AN30" s="10">
        <f t="shared" si="9"/>
        <v>9410000000</v>
      </c>
      <c r="AO30" s="10">
        <f t="shared" si="24"/>
        <v>5864000898.0612764</v>
      </c>
      <c r="AQ30" s="10">
        <f t="shared" si="10"/>
        <v>2988940800</v>
      </c>
      <c r="AR30" s="10">
        <f t="shared" si="25"/>
        <v>1862609089.8461199</v>
      </c>
      <c r="AT30" s="7">
        <f>IF($K30&lt;=$F$15,IF($F$40&lt;&gt;"",$F$40/1000,IF(ISERROR(VLOOKUP($F$3&amp;IF($G$4&lt;&gt;"",$G$4,"")&amp;IF($F$43&lt;&gt;"","_"&amp;$F$43,""),'表3）燃料価格'!$AF$9:$AG$25,2,0)),0,VLOOKUP($I30,'表3）燃料価格'!$A$6:$U$66,VLOOKUP($F$3&amp;IF($G$4&lt;&gt;"",$G$4,"")&amp;IF($F$43&lt;&gt;"","_"&amp;$F$43,""),'表3）燃料価格'!$AF$9:$AG$25,2,0)+VLOOKUP($F$41,'表3）燃料価格'!$AF$28:$AG$29,2,0),0)*IF($F$43="需要地価格",1,$F$8/$F$141))),"")</f>
        <v>0</v>
      </c>
      <c r="AV30" s="10">
        <f t="shared" si="11"/>
        <v>0</v>
      </c>
      <c r="AW30" s="10">
        <f t="shared" si="26"/>
        <v>0</v>
      </c>
      <c r="AY30" s="7">
        <v>0</v>
      </c>
      <c r="BA30" s="11">
        <f t="shared" si="12"/>
        <v>0</v>
      </c>
      <c r="BB30" s="10">
        <f t="shared" si="27"/>
        <v>0</v>
      </c>
      <c r="BD30" s="10">
        <f t="shared" si="13"/>
        <v>0</v>
      </c>
      <c r="BE30" s="10">
        <f t="shared" si="28"/>
        <v>0</v>
      </c>
      <c r="BG30" s="11">
        <f t="shared" si="14"/>
        <v>0</v>
      </c>
      <c r="BH30" s="10">
        <f t="shared" si="29"/>
        <v>0</v>
      </c>
      <c r="BJ30" s="7" t="str">
        <f t="shared" si="30"/>
        <v/>
      </c>
      <c r="BK30" s="158" t="str">
        <f t="shared" si="31"/>
        <v/>
      </c>
      <c r="BL30" s="158" t="str">
        <f t="shared" si="15"/>
        <v/>
      </c>
      <c r="BM30" s="10"/>
      <c r="BN30" s="10" t="str">
        <f t="shared" si="32"/>
        <v/>
      </c>
      <c r="BO30" s="10" t="str">
        <f t="shared" si="33"/>
        <v/>
      </c>
      <c r="BQ30" s="10">
        <f t="shared" si="16"/>
        <v>7064064000</v>
      </c>
      <c r="BR30" s="10">
        <f t="shared" si="34"/>
        <v>4402091141.3349981</v>
      </c>
    </row>
    <row r="31" spans="2:70" x14ac:dyDescent="0.15">
      <c r="B31" s="9"/>
      <c r="C31" s="89" t="s">
        <v>507</v>
      </c>
      <c r="D31" s="101"/>
      <c r="E31" s="101"/>
      <c r="F31" s="89"/>
      <c r="G31" s="89"/>
      <c r="H31" s="9"/>
      <c r="I31" s="458">
        <f t="shared" si="35"/>
        <v>2036</v>
      </c>
      <c r="J31" s="39"/>
      <c r="K31" s="39">
        <f t="shared" si="36"/>
        <v>17</v>
      </c>
      <c r="L31" s="39"/>
      <c r="M31" s="40">
        <f t="shared" si="0"/>
        <v>0.60501644584477121</v>
      </c>
      <c r="N31" s="39"/>
      <c r="O31" s="72">
        <f t="shared" si="37"/>
        <v>0</v>
      </c>
      <c r="P31" s="41" t="str">
        <f t="shared" si="1"/>
        <v>-</v>
      </c>
      <c r="Q31" s="39"/>
      <c r="R31" s="72">
        <f t="shared" si="17"/>
        <v>61689999999.999977</v>
      </c>
      <c r="S31" s="39"/>
      <c r="T31" s="72">
        <f t="shared" si="18"/>
        <v>61690000000</v>
      </c>
      <c r="U31" s="39"/>
      <c r="V31" s="72">
        <f t="shared" si="2"/>
        <v>0</v>
      </c>
      <c r="W31" s="72">
        <f t="shared" si="19"/>
        <v>0</v>
      </c>
      <c r="X31" s="39"/>
      <c r="Y31" s="72">
        <f t="shared" si="3"/>
        <v>863660000</v>
      </c>
      <c r="Z31" s="72">
        <f>IF(ISNUMBER(Y31),Y31*$M31,"")</f>
        <v>522528503.61829513</v>
      </c>
      <c r="AA31" s="39"/>
      <c r="AB31" s="72">
        <f t="shared" si="4"/>
        <v>0</v>
      </c>
      <c r="AC31" s="72">
        <f t="shared" si="21"/>
        <v>0</v>
      </c>
      <c r="AD31" s="39"/>
      <c r="AE31" s="72">
        <f t="shared" si="5"/>
        <v>0</v>
      </c>
      <c r="AF31" s="72">
        <f t="shared" si="22"/>
        <v>0</v>
      </c>
      <c r="AG31" s="39"/>
      <c r="AH31" s="72">
        <f t="shared" si="6"/>
        <v>2220000000</v>
      </c>
      <c r="AI31" s="72">
        <f t="shared" si="23"/>
        <v>1343136509.7753921</v>
      </c>
      <c r="AJ31" s="39"/>
      <c r="AK31" s="72">
        <f t="shared" si="7"/>
        <v>11721100000</v>
      </c>
      <c r="AL31" s="72">
        <f t="shared" si="8"/>
        <v>7091458263.3911476</v>
      </c>
      <c r="AM31" s="39"/>
      <c r="AN31" s="72">
        <f t="shared" si="9"/>
        <v>9410000000</v>
      </c>
      <c r="AO31" s="72">
        <f t="shared" si="24"/>
        <v>5693204755.3992968</v>
      </c>
      <c r="AP31" s="39"/>
      <c r="AQ31" s="72">
        <f t="shared" si="10"/>
        <v>2988940800</v>
      </c>
      <c r="AR31" s="72">
        <f t="shared" si="25"/>
        <v>1808358339.6564271</v>
      </c>
      <c r="AS31" s="39"/>
      <c r="AT31" s="40">
        <f>IF($K31&lt;=$F$15,IF($F$40&lt;&gt;"",$F$40/1000,IF(ISERROR(VLOOKUP($F$3&amp;IF($G$4&lt;&gt;"",$G$4,"")&amp;IF($F$43&lt;&gt;"","_"&amp;$F$43,""),'表3）燃料価格'!$AF$9:$AG$25,2,0)),0,VLOOKUP($I31,'表3）燃料価格'!$A$6:$U$66,VLOOKUP($F$3&amp;IF($G$4&lt;&gt;"",$G$4,"")&amp;IF($F$43&lt;&gt;"","_"&amp;$F$43,""),'表3）燃料価格'!$AF$9:$AG$25,2,0)+VLOOKUP($F$41,'表3）燃料価格'!$AF$28:$AG$29,2,0),0)*IF($F$43="需要地価格",1,$F$8/$F$141))),"")</f>
        <v>0</v>
      </c>
      <c r="AU31" s="39"/>
      <c r="AV31" s="72">
        <f t="shared" si="11"/>
        <v>0</v>
      </c>
      <c r="AW31" s="72">
        <f t="shared" si="26"/>
        <v>0</v>
      </c>
      <c r="AX31" s="39"/>
      <c r="AY31" s="40">
        <v>0</v>
      </c>
      <c r="AZ31" s="39"/>
      <c r="BA31" s="42">
        <f t="shared" si="12"/>
        <v>0</v>
      </c>
      <c r="BB31" s="72">
        <f t="shared" si="27"/>
        <v>0</v>
      </c>
      <c r="BC31" s="39"/>
      <c r="BD31" s="72">
        <f t="shared" si="13"/>
        <v>0</v>
      </c>
      <c r="BE31" s="72">
        <f t="shared" si="28"/>
        <v>0</v>
      </c>
      <c r="BF31" s="39"/>
      <c r="BG31" s="42">
        <f t="shared" si="14"/>
        <v>0</v>
      </c>
      <c r="BH31" s="72">
        <f t="shared" si="29"/>
        <v>0</v>
      </c>
      <c r="BI31" s="39"/>
      <c r="BJ31" s="40" t="str">
        <f t="shared" si="30"/>
        <v/>
      </c>
      <c r="BK31" s="157" t="str">
        <f t="shared" si="31"/>
        <v/>
      </c>
      <c r="BL31" s="157" t="str">
        <f t="shared" si="15"/>
        <v/>
      </c>
      <c r="BM31" s="72"/>
      <c r="BN31" s="72" t="str">
        <f t="shared" si="32"/>
        <v/>
      </c>
      <c r="BO31" s="72" t="str">
        <f t="shared" si="33"/>
        <v/>
      </c>
      <c r="BP31" s="39"/>
      <c r="BQ31" s="72">
        <f t="shared" si="16"/>
        <v>7064064000</v>
      </c>
      <c r="BR31" s="72">
        <f t="shared" si="34"/>
        <v>4273874894.4999981</v>
      </c>
    </row>
    <row r="32" spans="2:70" x14ac:dyDescent="0.15">
      <c r="B32" s="9"/>
      <c r="C32" s="9"/>
      <c r="D32" s="9"/>
      <c r="E32" s="9"/>
      <c r="G32" s="9"/>
      <c r="H32" s="9"/>
      <c r="I32" s="459">
        <f t="shared" si="35"/>
        <v>2037</v>
      </c>
      <c r="K32" s="71">
        <f t="shared" si="36"/>
        <v>18</v>
      </c>
      <c r="M32" s="7">
        <f t="shared" si="0"/>
        <v>0.5873946076162827</v>
      </c>
      <c r="O32" s="10">
        <f t="shared" si="37"/>
        <v>0</v>
      </c>
      <c r="P32" s="29" t="str">
        <f t="shared" si="1"/>
        <v>-</v>
      </c>
      <c r="R32" s="10">
        <f t="shared" si="17"/>
        <v>53421339108.082413</v>
      </c>
      <c r="T32" s="10">
        <f t="shared" si="18"/>
        <v>53421339000</v>
      </c>
      <c r="V32" s="10">
        <f t="shared" si="2"/>
        <v>0</v>
      </c>
      <c r="W32" s="10">
        <f t="shared" si="19"/>
        <v>0</v>
      </c>
      <c r="Y32" s="10">
        <f t="shared" si="3"/>
        <v>747898700</v>
      </c>
      <c r="Z32" s="10">
        <f t="shared" si="20"/>
        <v>439311663.42322791</v>
      </c>
      <c r="AB32" s="10">
        <f t="shared" si="4"/>
        <v>0</v>
      </c>
      <c r="AC32" s="10">
        <f t="shared" si="21"/>
        <v>0</v>
      </c>
      <c r="AE32" s="10">
        <f t="shared" si="5"/>
        <v>0</v>
      </c>
      <c r="AF32" s="10">
        <f t="shared" si="22"/>
        <v>0</v>
      </c>
      <c r="AH32" s="10">
        <f t="shared" si="6"/>
        <v>2220000000</v>
      </c>
      <c r="AI32" s="10">
        <f t="shared" si="23"/>
        <v>1304016028.9081476</v>
      </c>
      <c r="AK32" s="10">
        <f t="shared" si="7"/>
        <v>11721100000</v>
      </c>
      <c r="AL32" s="10">
        <f t="shared" si="8"/>
        <v>6884910935.3312111</v>
      </c>
      <c r="AN32" s="10">
        <f t="shared" si="9"/>
        <v>9410000000</v>
      </c>
      <c r="AO32" s="10">
        <f t="shared" si="24"/>
        <v>5527383257.66922</v>
      </c>
      <c r="AQ32" s="10">
        <f t="shared" si="10"/>
        <v>2988940800</v>
      </c>
      <c r="AR32" s="10">
        <f t="shared" si="25"/>
        <v>1755687708.4042981</v>
      </c>
      <c r="AT32" s="7">
        <f>IF($K32&lt;=$F$15,IF($F$40&lt;&gt;"",$F$40/1000,IF(ISERROR(VLOOKUP($F$3&amp;IF($G$4&lt;&gt;"",$G$4,"")&amp;IF($F$43&lt;&gt;"","_"&amp;$F$43,""),'表3）燃料価格'!$AF$9:$AG$25,2,0)),0,VLOOKUP($I32,'表3）燃料価格'!$A$6:$U$66,VLOOKUP($F$3&amp;IF($G$4&lt;&gt;"",$G$4,"")&amp;IF($F$43&lt;&gt;"","_"&amp;$F$43,""),'表3）燃料価格'!$AF$9:$AG$25,2,0)+VLOOKUP($F$41,'表3）燃料価格'!$AF$28:$AG$29,2,0),0)*IF($F$43="需要地価格",1,$F$8/$F$141))),"")</f>
        <v>0</v>
      </c>
      <c r="AV32" s="10">
        <f t="shared" si="11"/>
        <v>0</v>
      </c>
      <c r="AW32" s="10">
        <f t="shared" si="26"/>
        <v>0</v>
      </c>
      <c r="AY32" s="7">
        <v>0</v>
      </c>
      <c r="BA32" s="11">
        <f t="shared" si="12"/>
        <v>0</v>
      </c>
      <c r="BB32" s="10">
        <f t="shared" si="27"/>
        <v>0</v>
      </c>
      <c r="BD32" s="10">
        <f t="shared" si="13"/>
        <v>0</v>
      </c>
      <c r="BE32" s="10">
        <f t="shared" si="28"/>
        <v>0</v>
      </c>
      <c r="BG32" s="11">
        <f t="shared" si="14"/>
        <v>0</v>
      </c>
      <c r="BH32" s="10">
        <f t="shared" si="29"/>
        <v>0</v>
      </c>
      <c r="BJ32" s="7" t="str">
        <f t="shared" si="30"/>
        <v/>
      </c>
      <c r="BK32" s="158" t="str">
        <f t="shared" si="31"/>
        <v/>
      </c>
      <c r="BL32" s="158" t="str">
        <f t="shared" si="15"/>
        <v/>
      </c>
      <c r="BM32" s="10"/>
      <c r="BN32" s="10" t="str">
        <f t="shared" si="32"/>
        <v/>
      </c>
      <c r="BO32" s="10" t="str">
        <f t="shared" si="33"/>
        <v/>
      </c>
      <c r="BQ32" s="10">
        <f t="shared" si="16"/>
        <v>7064064000</v>
      </c>
      <c r="BR32" s="10">
        <f t="shared" si="34"/>
        <v>4149393101.4563084</v>
      </c>
    </row>
    <row r="33" spans="2:70" x14ac:dyDescent="0.15">
      <c r="B33" s="9"/>
      <c r="C33" s="9"/>
      <c r="D33" s="9" t="s">
        <v>88</v>
      </c>
      <c r="E33" s="9"/>
      <c r="F33" s="66">
        <v>22.2</v>
      </c>
      <c r="G33" s="9" t="s">
        <v>119</v>
      </c>
      <c r="H33" s="9"/>
      <c r="I33" s="458">
        <f t="shared" si="35"/>
        <v>2038</v>
      </c>
      <c r="J33" s="39"/>
      <c r="K33" s="39">
        <f t="shared" si="36"/>
        <v>19</v>
      </c>
      <c r="L33" s="39"/>
      <c r="M33" s="40">
        <f t="shared" si="0"/>
        <v>0.57028602681192497</v>
      </c>
      <c r="N33" s="39"/>
      <c r="O33" s="72">
        <f t="shared" si="37"/>
        <v>0</v>
      </c>
      <c r="P33" s="41" t="str">
        <f t="shared" si="1"/>
        <v>-</v>
      </c>
      <c r="Q33" s="39"/>
      <c r="R33" s="72">
        <f t="shared" si="17"/>
        <v>46260973773.719185</v>
      </c>
      <c r="S33" s="39"/>
      <c r="T33" s="72">
        <f t="shared" si="18"/>
        <v>46260973000</v>
      </c>
      <c r="U33" s="39"/>
      <c r="V33" s="72">
        <f t="shared" si="2"/>
        <v>0</v>
      </c>
      <c r="W33" s="72">
        <f t="shared" si="19"/>
        <v>0</v>
      </c>
      <c r="X33" s="39"/>
      <c r="Y33" s="72">
        <f t="shared" si="3"/>
        <v>647653600</v>
      </c>
      <c r="Z33" s="72">
        <f t="shared" si="20"/>
        <v>369347798.29443973</v>
      </c>
      <c r="AA33" s="39"/>
      <c r="AB33" s="72">
        <f t="shared" si="4"/>
        <v>0</v>
      </c>
      <c r="AC33" s="72">
        <f t="shared" si="21"/>
        <v>0</v>
      </c>
      <c r="AD33" s="39"/>
      <c r="AE33" s="72">
        <f t="shared" si="5"/>
        <v>0</v>
      </c>
      <c r="AF33" s="72">
        <f t="shared" si="22"/>
        <v>0</v>
      </c>
      <c r="AG33" s="39"/>
      <c r="AH33" s="72">
        <f t="shared" si="6"/>
        <v>2220000000</v>
      </c>
      <c r="AI33" s="72">
        <f t="shared" si="23"/>
        <v>1266034979.5224733</v>
      </c>
      <c r="AJ33" s="39"/>
      <c r="AK33" s="72">
        <f t="shared" si="7"/>
        <v>11721100000</v>
      </c>
      <c r="AL33" s="72">
        <f t="shared" si="8"/>
        <v>6684379548.8652534</v>
      </c>
      <c r="AM33" s="39"/>
      <c r="AN33" s="72">
        <f t="shared" si="9"/>
        <v>9410000000</v>
      </c>
      <c r="AO33" s="72">
        <f t="shared" si="24"/>
        <v>5366391512.3002138</v>
      </c>
      <c r="AP33" s="39"/>
      <c r="AQ33" s="72">
        <f t="shared" si="10"/>
        <v>2988940800</v>
      </c>
      <c r="AR33" s="72">
        <f t="shared" si="25"/>
        <v>1704551173.2080564</v>
      </c>
      <c r="AS33" s="39"/>
      <c r="AT33" s="40">
        <f>IF($K33&lt;=$F$15,IF($F$40&lt;&gt;"",$F$40/1000,IF(ISERROR(VLOOKUP($F$3&amp;IF($G$4&lt;&gt;"",$G$4,"")&amp;IF($F$43&lt;&gt;"","_"&amp;$F$43,""),'表3）燃料価格'!$AF$9:$AG$25,2,0)),0,VLOOKUP($I33,'表3）燃料価格'!$A$6:$U$66,VLOOKUP($F$3&amp;IF($G$4&lt;&gt;"",$G$4,"")&amp;IF($F$43&lt;&gt;"","_"&amp;$F$43,""),'表3）燃料価格'!$AF$9:$AG$25,2,0)+VLOOKUP($F$41,'表3）燃料価格'!$AF$28:$AG$29,2,0),0)*IF($F$43="需要地価格",1,$F$8/$F$141))),"")</f>
        <v>0</v>
      </c>
      <c r="AU33" s="39"/>
      <c r="AV33" s="72">
        <f t="shared" si="11"/>
        <v>0</v>
      </c>
      <c r="AW33" s="72">
        <f t="shared" si="26"/>
        <v>0</v>
      </c>
      <c r="AX33" s="39"/>
      <c r="AY33" s="40">
        <v>0</v>
      </c>
      <c r="AZ33" s="39"/>
      <c r="BA33" s="42">
        <f t="shared" si="12"/>
        <v>0</v>
      </c>
      <c r="BB33" s="72">
        <f t="shared" si="27"/>
        <v>0</v>
      </c>
      <c r="BC33" s="39"/>
      <c r="BD33" s="72">
        <f t="shared" si="13"/>
        <v>0</v>
      </c>
      <c r="BE33" s="72">
        <f t="shared" si="28"/>
        <v>0</v>
      </c>
      <c r="BF33" s="39"/>
      <c r="BG33" s="42">
        <f t="shared" si="14"/>
        <v>0</v>
      </c>
      <c r="BH33" s="72">
        <f t="shared" si="29"/>
        <v>0</v>
      </c>
      <c r="BI33" s="39"/>
      <c r="BJ33" s="40" t="str">
        <f t="shared" si="30"/>
        <v/>
      </c>
      <c r="BK33" s="157" t="str">
        <f t="shared" si="31"/>
        <v/>
      </c>
      <c r="BL33" s="157" t="str">
        <f t="shared" si="15"/>
        <v/>
      </c>
      <c r="BM33" s="72"/>
      <c r="BN33" s="72" t="str">
        <f t="shared" si="32"/>
        <v/>
      </c>
      <c r="BO33" s="72" t="str">
        <f t="shared" si="33"/>
        <v/>
      </c>
      <c r="BP33" s="39"/>
      <c r="BQ33" s="72">
        <f t="shared" si="16"/>
        <v>7064064000</v>
      </c>
      <c r="BR33" s="72">
        <f t="shared" si="34"/>
        <v>4028536991.7051539</v>
      </c>
    </row>
    <row r="34" spans="2:70" x14ac:dyDescent="0.15">
      <c r="B34" s="9"/>
      <c r="C34" s="9"/>
      <c r="D34" s="9" t="s">
        <v>120</v>
      </c>
      <c r="E34" s="9"/>
      <c r="F34" s="66">
        <v>1.9</v>
      </c>
      <c r="G34" s="9" t="s">
        <v>121</v>
      </c>
      <c r="H34" s="9"/>
      <c r="I34" s="459">
        <f t="shared" si="35"/>
        <v>2039</v>
      </c>
      <c r="K34" s="71">
        <f t="shared" si="36"/>
        <v>20</v>
      </c>
      <c r="M34" s="7">
        <f t="shared" si="0"/>
        <v>0.55367575418633497</v>
      </c>
      <c r="O34" s="10">
        <f t="shared" si="37"/>
        <v>0</v>
      </c>
      <c r="P34" s="29" t="str">
        <f t="shared" si="1"/>
        <v>-</v>
      </c>
      <c r="R34" s="10">
        <f t="shared" si="17"/>
        <v>40060352851.936462</v>
      </c>
      <c r="T34" s="10">
        <f t="shared" si="18"/>
        <v>40060352000</v>
      </c>
      <c r="V34" s="10">
        <f t="shared" si="2"/>
        <v>0</v>
      </c>
      <c r="W34" s="10">
        <f t="shared" si="19"/>
        <v>0</v>
      </c>
      <c r="Y34" s="10">
        <f t="shared" si="3"/>
        <v>560844900</v>
      </c>
      <c r="Z34" s="10">
        <f t="shared" si="20"/>
        <v>310526222.98905963</v>
      </c>
      <c r="AB34" s="10">
        <f t="shared" si="4"/>
        <v>0</v>
      </c>
      <c r="AC34" s="10">
        <f t="shared" si="21"/>
        <v>0</v>
      </c>
      <c r="AE34" s="10">
        <f t="shared" si="5"/>
        <v>0</v>
      </c>
      <c r="AF34" s="10">
        <f t="shared" si="22"/>
        <v>0</v>
      </c>
      <c r="AH34" s="10">
        <f t="shared" si="6"/>
        <v>2220000000</v>
      </c>
      <c r="AI34" s="10">
        <f t="shared" si="23"/>
        <v>1229160174.2936637</v>
      </c>
      <c r="AK34" s="10">
        <f t="shared" si="7"/>
        <v>11721100000</v>
      </c>
      <c r="AL34" s="10">
        <f t="shared" si="8"/>
        <v>6489688882.3934507</v>
      </c>
      <c r="AN34" s="10">
        <f t="shared" si="9"/>
        <v>9410000000</v>
      </c>
      <c r="AO34" s="10">
        <f t="shared" si="24"/>
        <v>5210088846.8934116</v>
      </c>
      <c r="AQ34" s="10">
        <f t="shared" si="10"/>
        <v>2988940800</v>
      </c>
      <c r="AR34" s="10">
        <f t="shared" si="25"/>
        <v>1654904051.6583073</v>
      </c>
      <c r="AT34" s="7">
        <f>IF($K34&lt;=$F$15,IF($F$40&lt;&gt;"",$F$40/1000,IF(ISERROR(VLOOKUP($F$3&amp;IF($G$4&lt;&gt;"",$G$4,"")&amp;IF($F$43&lt;&gt;"","_"&amp;$F$43,""),'表3）燃料価格'!$AF$9:$AG$25,2,0)),0,VLOOKUP($I34,'表3）燃料価格'!$A$6:$U$66,VLOOKUP($F$3&amp;IF($G$4&lt;&gt;"",$G$4,"")&amp;IF($F$43&lt;&gt;"","_"&amp;$F$43,""),'表3）燃料価格'!$AF$9:$AG$25,2,0)+VLOOKUP($F$41,'表3）燃料価格'!$AF$28:$AG$29,2,0),0)*IF($F$43="需要地価格",1,$F$8/$F$141))),"")</f>
        <v>0</v>
      </c>
      <c r="AV34" s="10">
        <f t="shared" si="11"/>
        <v>0</v>
      </c>
      <c r="AW34" s="10">
        <f t="shared" si="26"/>
        <v>0</v>
      </c>
      <c r="AY34" s="7">
        <v>0</v>
      </c>
      <c r="BA34" s="11">
        <f t="shared" si="12"/>
        <v>0</v>
      </c>
      <c r="BB34" s="10">
        <f t="shared" si="27"/>
        <v>0</v>
      </c>
      <c r="BD34" s="10">
        <f t="shared" si="13"/>
        <v>0</v>
      </c>
      <c r="BE34" s="10">
        <f t="shared" si="28"/>
        <v>0</v>
      </c>
      <c r="BG34" s="11">
        <f t="shared" si="14"/>
        <v>0</v>
      </c>
      <c r="BH34" s="10">
        <f t="shared" si="29"/>
        <v>0</v>
      </c>
      <c r="BJ34" s="7" t="str">
        <f t="shared" si="30"/>
        <v/>
      </c>
      <c r="BK34" s="158" t="str">
        <f t="shared" si="31"/>
        <v/>
      </c>
      <c r="BL34" s="158" t="str">
        <f t="shared" si="15"/>
        <v/>
      </c>
      <c r="BM34" s="10"/>
      <c r="BN34" s="10" t="str">
        <f t="shared" si="32"/>
        <v/>
      </c>
      <c r="BO34" s="10" t="str">
        <f t="shared" si="33"/>
        <v/>
      </c>
      <c r="BQ34" s="10">
        <f t="shared" si="16"/>
        <v>7064064000</v>
      </c>
      <c r="BR34" s="10">
        <f t="shared" si="34"/>
        <v>3911200962.820538</v>
      </c>
    </row>
    <row r="35" spans="2:70" x14ac:dyDescent="0.15">
      <c r="B35" s="9"/>
      <c r="C35" s="9"/>
      <c r="D35" s="9" t="s">
        <v>122</v>
      </c>
      <c r="E35" s="9"/>
      <c r="F35" s="66">
        <v>94.1</v>
      </c>
      <c r="G35" s="83" t="s">
        <v>119</v>
      </c>
      <c r="H35" s="9"/>
      <c r="I35" s="458">
        <f t="shared" si="35"/>
        <v>2040</v>
      </c>
      <c r="J35" s="39"/>
      <c r="K35" s="39">
        <f t="shared" si="36"/>
        <v>21</v>
      </c>
      <c r="L35" s="39"/>
      <c r="M35" s="40">
        <f t="shared" si="0"/>
        <v>0.5375492759090631</v>
      </c>
      <c r="N35" s="39"/>
      <c r="O35" s="72">
        <f t="shared" si="37"/>
        <v>0</v>
      </c>
      <c r="P35" s="41" t="str">
        <f t="shared" si="1"/>
        <v>-</v>
      </c>
      <c r="Q35" s="39"/>
      <c r="R35" s="72">
        <f t="shared" si="17"/>
        <v>34690836350.992622</v>
      </c>
      <c r="S35" s="39"/>
      <c r="T35" s="72">
        <f t="shared" si="18"/>
        <v>34690836000</v>
      </c>
      <c r="U35" s="39"/>
      <c r="V35" s="72">
        <f t="shared" si="2"/>
        <v>0</v>
      </c>
      <c r="W35" s="72">
        <f t="shared" si="19"/>
        <v>0</v>
      </c>
      <c r="X35" s="39"/>
      <c r="Y35" s="72">
        <f t="shared" si="3"/>
        <v>485671700</v>
      </c>
      <c r="Z35" s="72">
        <f t="shared" si="20"/>
        <v>261072470.66452372</v>
      </c>
      <c r="AA35" s="39"/>
      <c r="AB35" s="72">
        <f t="shared" si="4"/>
        <v>0</v>
      </c>
      <c r="AC35" s="72">
        <f t="shared" si="21"/>
        <v>0</v>
      </c>
      <c r="AD35" s="39"/>
      <c r="AE35" s="72">
        <f t="shared" si="5"/>
        <v>0</v>
      </c>
      <c r="AF35" s="72">
        <f t="shared" si="22"/>
        <v>0</v>
      </c>
      <c r="AG35" s="39"/>
      <c r="AH35" s="72">
        <f t="shared" si="6"/>
        <v>2220000000</v>
      </c>
      <c r="AI35" s="72">
        <f t="shared" si="23"/>
        <v>1193359392.5181201</v>
      </c>
      <c r="AJ35" s="39"/>
      <c r="AK35" s="72">
        <f t="shared" si="7"/>
        <v>11721100000</v>
      </c>
      <c r="AL35" s="72">
        <f t="shared" si="8"/>
        <v>6300668817.8577194</v>
      </c>
      <c r="AM35" s="39"/>
      <c r="AN35" s="72">
        <f t="shared" si="9"/>
        <v>9410000000</v>
      </c>
      <c r="AO35" s="72">
        <f t="shared" si="24"/>
        <v>5058338686.3042841</v>
      </c>
      <c r="AP35" s="39"/>
      <c r="AQ35" s="72">
        <f t="shared" si="10"/>
        <v>2988940800</v>
      </c>
      <c r="AR35" s="72">
        <f t="shared" si="25"/>
        <v>1606702962.7750559</v>
      </c>
      <c r="AS35" s="39"/>
      <c r="AT35" s="40">
        <f>IF($K35&lt;=$F$15,IF($F$40&lt;&gt;"",$F$40/1000,IF(ISERROR(VLOOKUP($F$3&amp;IF($G$4&lt;&gt;"",$G$4,"")&amp;IF($F$43&lt;&gt;"","_"&amp;$F$43,""),'表3）燃料価格'!$AF$9:$AG$25,2,0)),0,VLOOKUP($I35,'表3）燃料価格'!$A$6:$U$66,VLOOKUP($F$3&amp;IF($G$4&lt;&gt;"",$G$4,"")&amp;IF($F$43&lt;&gt;"","_"&amp;$F$43,""),'表3）燃料価格'!$AF$9:$AG$25,2,0)+VLOOKUP($F$41,'表3）燃料価格'!$AF$28:$AG$29,2,0),0)*IF($F$43="需要地価格",1,$F$8/$F$141))),"")</f>
        <v>0</v>
      </c>
      <c r="AU35" s="39"/>
      <c r="AV35" s="72">
        <f t="shared" si="11"/>
        <v>0</v>
      </c>
      <c r="AW35" s="72">
        <f t="shared" si="26"/>
        <v>0</v>
      </c>
      <c r="AX35" s="39"/>
      <c r="AY35" s="40">
        <v>0</v>
      </c>
      <c r="AZ35" s="39"/>
      <c r="BA35" s="42">
        <f t="shared" si="12"/>
        <v>0</v>
      </c>
      <c r="BB35" s="72">
        <f t="shared" si="27"/>
        <v>0</v>
      </c>
      <c r="BC35" s="39"/>
      <c r="BD35" s="72">
        <f t="shared" si="13"/>
        <v>0</v>
      </c>
      <c r="BE35" s="72">
        <f t="shared" si="28"/>
        <v>0</v>
      </c>
      <c r="BF35" s="39"/>
      <c r="BG35" s="42">
        <f t="shared" si="14"/>
        <v>0</v>
      </c>
      <c r="BH35" s="72">
        <f t="shared" si="29"/>
        <v>0</v>
      </c>
      <c r="BI35" s="39"/>
      <c r="BJ35" s="40" t="str">
        <f t="shared" si="30"/>
        <v/>
      </c>
      <c r="BK35" s="157" t="str">
        <f t="shared" si="31"/>
        <v/>
      </c>
      <c r="BL35" s="157" t="str">
        <f t="shared" si="15"/>
        <v/>
      </c>
      <c r="BM35" s="72"/>
      <c r="BN35" s="72" t="str">
        <f t="shared" si="32"/>
        <v/>
      </c>
      <c r="BO35" s="72" t="str">
        <f t="shared" si="33"/>
        <v/>
      </c>
      <c r="BP35" s="39"/>
      <c r="BQ35" s="72">
        <f t="shared" si="16"/>
        <v>7064064000</v>
      </c>
      <c r="BR35" s="72">
        <f t="shared" si="34"/>
        <v>3797282488.1752801</v>
      </c>
    </row>
    <row r="36" spans="2:70" x14ac:dyDescent="0.15">
      <c r="B36" s="9"/>
      <c r="C36" s="9"/>
      <c r="D36" s="9" t="s">
        <v>177</v>
      </c>
      <c r="E36" s="9"/>
      <c r="F36" s="68">
        <v>12.8</v>
      </c>
      <c r="G36" s="9" t="s">
        <v>123</v>
      </c>
      <c r="H36" s="9"/>
      <c r="I36" s="459">
        <f t="shared" si="35"/>
        <v>2041</v>
      </c>
      <c r="K36" s="71">
        <f t="shared" si="36"/>
        <v>22</v>
      </c>
      <c r="M36" s="7">
        <f t="shared" si="0"/>
        <v>0.52189250088258554</v>
      </c>
      <c r="O36" s="10">
        <f t="shared" si="37"/>
        <v>0</v>
      </c>
      <c r="P36" s="29" t="str">
        <f t="shared" si="1"/>
        <v>-</v>
      </c>
      <c r="R36" s="10">
        <f t="shared" si="17"/>
        <v>30845000000</v>
      </c>
      <c r="T36" s="10">
        <f t="shared" si="18"/>
        <v>30845000000</v>
      </c>
      <c r="V36" s="10">
        <f t="shared" si="2"/>
        <v>0</v>
      </c>
      <c r="W36" s="10">
        <f t="shared" si="19"/>
        <v>0</v>
      </c>
      <c r="Y36" s="10">
        <f t="shared" si="3"/>
        <v>431830000</v>
      </c>
      <c r="Z36" s="10">
        <f t="shared" si="20"/>
        <v>225368838.65612692</v>
      </c>
      <c r="AB36" s="10">
        <f t="shared" si="4"/>
        <v>0</v>
      </c>
      <c r="AC36" s="10">
        <f t="shared" si="21"/>
        <v>0</v>
      </c>
      <c r="AE36" s="10">
        <f t="shared" si="5"/>
        <v>0</v>
      </c>
      <c r="AF36" s="10">
        <f t="shared" si="22"/>
        <v>0</v>
      </c>
      <c r="AH36" s="10">
        <f t="shared" si="6"/>
        <v>2220000000</v>
      </c>
      <c r="AI36" s="10">
        <f t="shared" si="23"/>
        <v>1158601351.9593399</v>
      </c>
      <c r="AK36" s="10">
        <f t="shared" si="7"/>
        <v>11721100000</v>
      </c>
      <c r="AL36" s="10">
        <f t="shared" si="8"/>
        <v>6117154192.0948734</v>
      </c>
      <c r="AN36" s="10">
        <f t="shared" si="9"/>
        <v>9410000000</v>
      </c>
      <c r="AO36" s="10">
        <f t="shared" si="24"/>
        <v>4911008433.30513</v>
      </c>
      <c r="AQ36" s="10">
        <f t="shared" si="10"/>
        <v>2988940800</v>
      </c>
      <c r="AR36" s="10">
        <f t="shared" si="25"/>
        <v>1559905789.1019959</v>
      </c>
      <c r="AT36" s="7">
        <f>IF($K36&lt;=$F$15,IF($F$40&lt;&gt;"",$F$40/1000,IF(ISERROR(VLOOKUP($F$3&amp;IF($G$4&lt;&gt;"",$G$4,"")&amp;IF($F$43&lt;&gt;"","_"&amp;$F$43,""),'表3）燃料価格'!$AF$9:$AG$25,2,0)),0,VLOOKUP($I36,'表3）燃料価格'!$A$6:$U$66,VLOOKUP($F$3&amp;IF($G$4&lt;&gt;"",$G$4,"")&amp;IF($F$43&lt;&gt;"","_"&amp;$F$43,""),'表3）燃料価格'!$AF$9:$AG$25,2,0)+VLOOKUP($F$41,'表3）燃料価格'!$AF$28:$AG$29,2,0),0)*IF($F$43="需要地価格",1,$F$8/$F$141))),"")</f>
        <v>0</v>
      </c>
      <c r="AV36" s="10">
        <f t="shared" si="11"/>
        <v>0</v>
      </c>
      <c r="AW36" s="10">
        <f t="shared" si="26"/>
        <v>0</v>
      </c>
      <c r="AY36" s="7">
        <v>0</v>
      </c>
      <c r="BA36" s="11">
        <f t="shared" si="12"/>
        <v>0</v>
      </c>
      <c r="BB36" s="10">
        <f t="shared" si="27"/>
        <v>0</v>
      </c>
      <c r="BD36" s="10">
        <f t="shared" si="13"/>
        <v>0</v>
      </c>
      <c r="BE36" s="10">
        <f t="shared" si="28"/>
        <v>0</v>
      </c>
      <c r="BG36" s="11">
        <f t="shared" si="14"/>
        <v>0</v>
      </c>
      <c r="BH36" s="10">
        <f t="shared" si="29"/>
        <v>0</v>
      </c>
      <c r="BJ36" s="7" t="str">
        <f t="shared" si="30"/>
        <v/>
      </c>
      <c r="BK36" s="158" t="str">
        <f t="shared" si="31"/>
        <v/>
      </c>
      <c r="BL36" s="158" t="str">
        <f t="shared" si="15"/>
        <v/>
      </c>
      <c r="BM36" s="10"/>
      <c r="BN36" s="10" t="str">
        <f t="shared" si="32"/>
        <v/>
      </c>
      <c r="BO36" s="10" t="str">
        <f t="shared" si="33"/>
        <v/>
      </c>
      <c r="BQ36" s="10">
        <f t="shared" si="16"/>
        <v>7064064000</v>
      </c>
      <c r="BR36" s="10">
        <f t="shared" si="34"/>
        <v>3686682027.354641</v>
      </c>
    </row>
    <row r="37" spans="2:70" x14ac:dyDescent="0.15">
      <c r="B37" s="9"/>
      <c r="C37" s="9"/>
      <c r="D37" s="9"/>
      <c r="E37" s="9"/>
      <c r="G37" s="9"/>
      <c r="H37" s="9"/>
      <c r="I37" s="458">
        <f t="shared" si="35"/>
        <v>2042</v>
      </c>
      <c r="J37" s="39"/>
      <c r="K37" s="39">
        <f t="shared" si="36"/>
        <v>23</v>
      </c>
      <c r="L37" s="39"/>
      <c r="M37" s="40">
        <f t="shared" si="0"/>
        <v>0.50669174842969467</v>
      </c>
      <c r="N37" s="39"/>
      <c r="O37" s="72">
        <f t="shared" si="37"/>
        <v>0</v>
      </c>
      <c r="P37" s="41" t="str">
        <f t="shared" si="1"/>
        <v>-</v>
      </c>
      <c r="Q37" s="39"/>
      <c r="R37" s="72">
        <f t="shared" si="17"/>
        <v>30845000000</v>
      </c>
      <c r="S37" s="39"/>
      <c r="T37" s="72">
        <f t="shared" si="18"/>
        <v>30845000000</v>
      </c>
      <c r="U37" s="39"/>
      <c r="V37" s="72">
        <f t="shared" si="2"/>
        <v>0</v>
      </c>
      <c r="W37" s="72">
        <f t="shared" si="19"/>
        <v>0</v>
      </c>
      <c r="X37" s="39"/>
      <c r="Y37" s="72">
        <f t="shared" si="3"/>
        <v>431830000</v>
      </c>
      <c r="Z37" s="72">
        <f t="shared" si="20"/>
        <v>218804697.72439504</v>
      </c>
      <c r="AA37" s="39"/>
      <c r="AB37" s="72">
        <f t="shared" si="4"/>
        <v>0</v>
      </c>
      <c r="AC37" s="72">
        <f t="shared" si="21"/>
        <v>0</v>
      </c>
      <c r="AD37" s="39"/>
      <c r="AE37" s="72">
        <f t="shared" si="5"/>
        <v>0</v>
      </c>
      <c r="AF37" s="72">
        <f t="shared" si="22"/>
        <v>0</v>
      </c>
      <c r="AG37" s="39"/>
      <c r="AH37" s="72">
        <f t="shared" si="6"/>
        <v>2220000000</v>
      </c>
      <c r="AI37" s="72">
        <f t="shared" si="23"/>
        <v>1124855681.5139222</v>
      </c>
      <c r="AJ37" s="39"/>
      <c r="AK37" s="72">
        <f t="shared" si="7"/>
        <v>11721100000</v>
      </c>
      <c r="AL37" s="72">
        <f t="shared" si="8"/>
        <v>5938984652.5192938</v>
      </c>
      <c r="AM37" s="39"/>
      <c r="AN37" s="72">
        <f t="shared" si="9"/>
        <v>9410000000</v>
      </c>
      <c r="AO37" s="72">
        <f t="shared" si="24"/>
        <v>4767969352.7234268</v>
      </c>
      <c r="AP37" s="39"/>
      <c r="AQ37" s="72">
        <f t="shared" si="10"/>
        <v>2988940800</v>
      </c>
      <c r="AR37" s="72">
        <f t="shared" si="25"/>
        <v>1514471639.9048502</v>
      </c>
      <c r="AS37" s="39"/>
      <c r="AT37" s="40">
        <f>IF($K37&lt;=$F$15,IF($F$40&lt;&gt;"",$F$40/1000,IF(ISERROR(VLOOKUP($F$3&amp;IF($G$4&lt;&gt;"",$G$4,"")&amp;IF($F$43&lt;&gt;"","_"&amp;$F$43,""),'表3）燃料価格'!$AF$9:$AG$25,2,0)),0,VLOOKUP($I37,'表3）燃料価格'!$A$6:$U$66,VLOOKUP($F$3&amp;IF($G$4&lt;&gt;"",$G$4,"")&amp;IF($F$43&lt;&gt;"","_"&amp;$F$43,""),'表3）燃料価格'!$AF$9:$AG$25,2,0)+VLOOKUP($F$41,'表3）燃料価格'!$AF$28:$AG$29,2,0),0)*IF($F$43="需要地価格",1,$F$8/$F$141))),"")</f>
        <v>0</v>
      </c>
      <c r="AU37" s="39"/>
      <c r="AV37" s="72">
        <f t="shared" si="11"/>
        <v>0</v>
      </c>
      <c r="AW37" s="72">
        <f t="shared" si="26"/>
        <v>0</v>
      </c>
      <c r="AX37" s="39"/>
      <c r="AY37" s="40">
        <v>0</v>
      </c>
      <c r="AZ37" s="39"/>
      <c r="BA37" s="42">
        <f t="shared" si="12"/>
        <v>0</v>
      </c>
      <c r="BB37" s="72">
        <f t="shared" si="27"/>
        <v>0</v>
      </c>
      <c r="BC37" s="39"/>
      <c r="BD37" s="72">
        <f t="shared" si="13"/>
        <v>0</v>
      </c>
      <c r="BE37" s="72">
        <f t="shared" si="28"/>
        <v>0</v>
      </c>
      <c r="BF37" s="39"/>
      <c r="BG37" s="42">
        <f t="shared" si="14"/>
        <v>0</v>
      </c>
      <c r="BH37" s="72">
        <f t="shared" si="29"/>
        <v>0</v>
      </c>
      <c r="BI37" s="39"/>
      <c r="BJ37" s="40" t="str">
        <f t="shared" si="30"/>
        <v/>
      </c>
      <c r="BK37" s="157" t="str">
        <f t="shared" si="31"/>
        <v/>
      </c>
      <c r="BL37" s="157" t="str">
        <f t="shared" si="15"/>
        <v/>
      </c>
      <c r="BM37" s="72"/>
      <c r="BN37" s="72" t="str">
        <f t="shared" si="32"/>
        <v/>
      </c>
      <c r="BO37" s="72" t="str">
        <f t="shared" si="33"/>
        <v/>
      </c>
      <c r="BP37" s="39"/>
      <c r="BQ37" s="72">
        <f t="shared" si="16"/>
        <v>7064064000</v>
      </c>
      <c r="BR37" s="72">
        <f t="shared" si="34"/>
        <v>3579302939.1792626</v>
      </c>
    </row>
    <row r="38" spans="2:70" x14ac:dyDescent="0.15">
      <c r="B38" s="9"/>
      <c r="C38" s="89" t="s">
        <v>508</v>
      </c>
      <c r="D38" s="89"/>
      <c r="E38" s="89"/>
      <c r="F38" s="89"/>
      <c r="G38" s="89"/>
      <c r="H38" s="9"/>
      <c r="I38" s="459">
        <f t="shared" si="35"/>
        <v>2043</v>
      </c>
      <c r="K38" s="71">
        <f t="shared" si="36"/>
        <v>24</v>
      </c>
      <c r="M38" s="7">
        <f t="shared" si="0"/>
        <v>0.49193373633950943</v>
      </c>
      <c r="O38" s="10">
        <f t="shared" si="37"/>
        <v>0</v>
      </c>
      <c r="P38" s="29" t="str">
        <f t="shared" si="1"/>
        <v>-</v>
      </c>
      <c r="R38" s="10">
        <f t="shared" si="17"/>
        <v>30845000000</v>
      </c>
      <c r="T38" s="10">
        <f t="shared" si="18"/>
        <v>30845000000</v>
      </c>
      <c r="V38" s="10">
        <f t="shared" si="2"/>
        <v>0</v>
      </c>
      <c r="W38" s="10">
        <f t="shared" si="19"/>
        <v>0</v>
      </c>
      <c r="Y38" s="10">
        <f t="shared" si="3"/>
        <v>431830000</v>
      </c>
      <c r="Z38" s="10">
        <f t="shared" si="20"/>
        <v>212431745.36349034</v>
      </c>
      <c r="AB38" s="10">
        <f t="shared" si="4"/>
        <v>0</v>
      </c>
      <c r="AC38" s="10">
        <f t="shared" si="21"/>
        <v>0</v>
      </c>
      <c r="AE38" s="10">
        <f t="shared" si="5"/>
        <v>0</v>
      </c>
      <c r="AF38" s="10">
        <f t="shared" si="22"/>
        <v>0</v>
      </c>
      <c r="AH38" s="10">
        <f t="shared" si="6"/>
        <v>2220000000</v>
      </c>
      <c r="AI38" s="10">
        <f t="shared" si="23"/>
        <v>1092092894.6737108</v>
      </c>
      <c r="AK38" s="10">
        <f t="shared" si="7"/>
        <v>11721100000</v>
      </c>
      <c r="AL38" s="10">
        <f t="shared" si="8"/>
        <v>5766004517.0090237</v>
      </c>
      <c r="AN38" s="10">
        <f t="shared" si="9"/>
        <v>9410000000</v>
      </c>
      <c r="AO38" s="10">
        <f t="shared" si="24"/>
        <v>4629096458.9547834</v>
      </c>
      <c r="AQ38" s="10">
        <f t="shared" si="10"/>
        <v>2988940800</v>
      </c>
      <c r="AR38" s="10">
        <f t="shared" si="25"/>
        <v>1470360815.4416025</v>
      </c>
      <c r="AT38" s="7">
        <f>IF($K38&lt;=$F$15,IF($F$40&lt;&gt;"",$F$40/1000,IF(ISERROR(VLOOKUP($F$3&amp;IF($G$4&lt;&gt;"",$G$4,"")&amp;IF($F$43&lt;&gt;"","_"&amp;$F$43,""),'表3）燃料価格'!$AF$9:$AG$25,2,0)),0,VLOOKUP($I38,'表3）燃料価格'!$A$6:$U$66,VLOOKUP($F$3&amp;IF($G$4&lt;&gt;"",$G$4,"")&amp;IF($F$43&lt;&gt;"","_"&amp;$F$43,""),'表3）燃料価格'!$AF$9:$AG$25,2,0)+VLOOKUP($F$41,'表3）燃料価格'!$AF$28:$AG$29,2,0),0)*IF($F$43="需要地価格",1,$F$8/$F$141))),"")</f>
        <v>0</v>
      </c>
      <c r="AV38" s="10">
        <f t="shared" si="11"/>
        <v>0</v>
      </c>
      <c r="AW38" s="10">
        <f t="shared" si="26"/>
        <v>0</v>
      </c>
      <c r="AY38" s="7">
        <v>0</v>
      </c>
      <c r="BA38" s="11">
        <f t="shared" si="12"/>
        <v>0</v>
      </c>
      <c r="BB38" s="10">
        <f t="shared" si="27"/>
        <v>0</v>
      </c>
      <c r="BD38" s="10">
        <f t="shared" si="13"/>
        <v>0</v>
      </c>
      <c r="BE38" s="10">
        <f t="shared" si="28"/>
        <v>0</v>
      </c>
      <c r="BG38" s="11">
        <f t="shared" si="14"/>
        <v>0</v>
      </c>
      <c r="BH38" s="10">
        <f t="shared" si="29"/>
        <v>0</v>
      </c>
      <c r="BJ38" s="7" t="str">
        <f t="shared" si="30"/>
        <v/>
      </c>
      <c r="BK38" s="158" t="str">
        <f t="shared" si="31"/>
        <v/>
      </c>
      <c r="BL38" s="158" t="str">
        <f t="shared" si="15"/>
        <v/>
      </c>
      <c r="BM38" s="10"/>
      <c r="BN38" s="10" t="str">
        <f t="shared" si="32"/>
        <v/>
      </c>
      <c r="BO38" s="10" t="str">
        <f t="shared" si="33"/>
        <v/>
      </c>
      <c r="BQ38" s="10">
        <f t="shared" si="16"/>
        <v>7064064000</v>
      </c>
      <c r="BR38" s="10">
        <f t="shared" si="34"/>
        <v>3475051397.2614202</v>
      </c>
    </row>
    <row r="39" spans="2:70" x14ac:dyDescent="0.15">
      <c r="B39" s="9"/>
      <c r="C39" s="9"/>
      <c r="D39" s="9"/>
      <c r="E39" s="9"/>
      <c r="G39" s="9"/>
      <c r="H39" s="9"/>
      <c r="I39" s="458">
        <f t="shared" si="35"/>
        <v>2044</v>
      </c>
      <c r="J39" s="39"/>
      <c r="K39" s="39">
        <f t="shared" si="36"/>
        <v>25</v>
      </c>
      <c r="L39" s="39"/>
      <c r="M39" s="40">
        <f t="shared" si="0"/>
        <v>0.47760556926165965</v>
      </c>
      <c r="N39" s="39"/>
      <c r="O39" s="72">
        <f t="shared" si="37"/>
        <v>0</v>
      </c>
      <c r="P39" s="41" t="str">
        <f t="shared" si="1"/>
        <v>-</v>
      </c>
      <c r="Q39" s="39"/>
      <c r="R39" s="72">
        <f t="shared" si="17"/>
        <v>30845000000</v>
      </c>
      <c r="S39" s="39"/>
      <c r="T39" s="72">
        <f t="shared" si="18"/>
        <v>30845000000</v>
      </c>
      <c r="U39" s="39"/>
      <c r="V39" s="72">
        <f t="shared" si="2"/>
        <v>0</v>
      </c>
      <c r="W39" s="72">
        <f t="shared" si="19"/>
        <v>0</v>
      </c>
      <c r="X39" s="39"/>
      <c r="Y39" s="72">
        <f t="shared" si="3"/>
        <v>431830000</v>
      </c>
      <c r="Z39" s="72">
        <f t="shared" si="20"/>
        <v>206244412.97426248</v>
      </c>
      <c r="AA39" s="39"/>
      <c r="AB39" s="72">
        <f t="shared" si="4"/>
        <v>0</v>
      </c>
      <c r="AC39" s="72">
        <f t="shared" si="21"/>
        <v>0</v>
      </c>
      <c r="AD39" s="39"/>
      <c r="AE39" s="72">
        <f t="shared" si="5"/>
        <v>0</v>
      </c>
      <c r="AF39" s="72">
        <f t="shared" si="22"/>
        <v>0</v>
      </c>
      <c r="AG39" s="39"/>
      <c r="AH39" s="72">
        <f t="shared" si="6"/>
        <v>2220000000</v>
      </c>
      <c r="AI39" s="72">
        <f t="shared" si="23"/>
        <v>1060284363.7608844</v>
      </c>
      <c r="AJ39" s="39"/>
      <c r="AK39" s="72">
        <f t="shared" si="7"/>
        <v>11721100000</v>
      </c>
      <c r="AL39" s="72">
        <f t="shared" si="8"/>
        <v>5598062637.872839</v>
      </c>
      <c r="AM39" s="39"/>
      <c r="AN39" s="72">
        <f t="shared" si="9"/>
        <v>9410000000</v>
      </c>
      <c r="AO39" s="72">
        <f t="shared" si="24"/>
        <v>4494268406.7522173</v>
      </c>
      <c r="AP39" s="39"/>
      <c r="AQ39" s="72">
        <f t="shared" si="10"/>
        <v>2988940800</v>
      </c>
      <c r="AR39" s="72">
        <f t="shared" si="25"/>
        <v>1427534772.2734003</v>
      </c>
      <c r="AS39" s="39"/>
      <c r="AT39" s="40">
        <f>IF($K39&lt;=$F$15,IF($F$40&lt;&gt;"",$F$40/1000,IF(ISERROR(VLOOKUP($F$3&amp;IF($G$4&lt;&gt;"",$G$4,"")&amp;IF($F$43&lt;&gt;"","_"&amp;$F$43,""),'表3）燃料価格'!$AF$9:$AG$25,2,0)),0,VLOOKUP($I39,'表3）燃料価格'!$A$6:$U$66,VLOOKUP($F$3&amp;IF($G$4&lt;&gt;"",$G$4,"")&amp;IF($F$43&lt;&gt;"","_"&amp;$F$43,""),'表3）燃料価格'!$AF$9:$AG$25,2,0)+VLOOKUP($F$41,'表3）燃料価格'!$AF$28:$AG$29,2,0),0)*IF($F$43="需要地価格",1,$F$8/$F$141))),"")</f>
        <v>0</v>
      </c>
      <c r="AU39" s="39"/>
      <c r="AV39" s="72">
        <f t="shared" si="11"/>
        <v>0</v>
      </c>
      <c r="AW39" s="72">
        <f t="shared" si="26"/>
        <v>0</v>
      </c>
      <c r="AX39" s="39"/>
      <c r="AY39" s="40">
        <v>0</v>
      </c>
      <c r="AZ39" s="39"/>
      <c r="BA39" s="42">
        <f t="shared" si="12"/>
        <v>0</v>
      </c>
      <c r="BB39" s="72">
        <f t="shared" si="27"/>
        <v>0</v>
      </c>
      <c r="BC39" s="39"/>
      <c r="BD39" s="72">
        <f t="shared" si="13"/>
        <v>0</v>
      </c>
      <c r="BE39" s="72">
        <f t="shared" si="28"/>
        <v>0</v>
      </c>
      <c r="BF39" s="39"/>
      <c r="BG39" s="42">
        <f t="shared" si="14"/>
        <v>0</v>
      </c>
      <c r="BH39" s="72">
        <f t="shared" si="29"/>
        <v>0</v>
      </c>
      <c r="BI39" s="39"/>
      <c r="BJ39" s="40" t="str">
        <f t="shared" si="30"/>
        <v/>
      </c>
      <c r="BK39" s="157" t="str">
        <f t="shared" si="31"/>
        <v/>
      </c>
      <c r="BL39" s="157" t="str">
        <f t="shared" si="15"/>
        <v/>
      </c>
      <c r="BM39" s="72"/>
      <c r="BN39" s="72" t="str">
        <f t="shared" si="32"/>
        <v/>
      </c>
      <c r="BO39" s="72" t="str">
        <f t="shared" si="33"/>
        <v/>
      </c>
      <c r="BP39" s="39"/>
      <c r="BQ39" s="72">
        <f t="shared" si="16"/>
        <v>7064064000</v>
      </c>
      <c r="BR39" s="72">
        <f t="shared" si="34"/>
        <v>3373836308.0207963</v>
      </c>
    </row>
    <row r="40" spans="2:70" x14ac:dyDescent="0.15">
      <c r="B40" s="9"/>
      <c r="C40" s="9"/>
      <c r="D40" s="9" t="s">
        <v>124</v>
      </c>
      <c r="E40" s="9"/>
      <c r="F40" s="59"/>
      <c r="G40" s="236" t="s">
        <v>178</v>
      </c>
      <c r="H40" s="9"/>
      <c r="I40" s="459">
        <f t="shared" si="35"/>
        <v>2045</v>
      </c>
      <c r="K40" s="71">
        <f t="shared" si="36"/>
        <v>26</v>
      </c>
      <c r="M40" s="7">
        <f t="shared" si="0"/>
        <v>0.46369472743850448</v>
      </c>
      <c r="O40" s="10">
        <f t="shared" si="37"/>
        <v>0</v>
      </c>
      <c r="P40" s="29" t="str">
        <f t="shared" si="1"/>
        <v>-</v>
      </c>
      <c r="R40" s="10">
        <f t="shared" si="17"/>
        <v>30845000000</v>
      </c>
      <c r="T40" s="10">
        <f t="shared" si="18"/>
        <v>30845000000</v>
      </c>
      <c r="V40" s="10">
        <f t="shared" si="2"/>
        <v>0</v>
      </c>
      <c r="W40" s="10">
        <f t="shared" si="19"/>
        <v>0</v>
      </c>
      <c r="Y40" s="10">
        <f t="shared" si="3"/>
        <v>431830000</v>
      </c>
      <c r="Z40" s="10">
        <f t="shared" si="20"/>
        <v>200237294.1497694</v>
      </c>
      <c r="AB40" s="10">
        <f t="shared" si="4"/>
        <v>0</v>
      </c>
      <c r="AC40" s="10">
        <f t="shared" si="21"/>
        <v>0</v>
      </c>
      <c r="AE40" s="10">
        <f t="shared" si="5"/>
        <v>0</v>
      </c>
      <c r="AF40" s="10">
        <f t="shared" si="22"/>
        <v>0</v>
      </c>
      <c r="AH40" s="10">
        <f t="shared" si="6"/>
        <v>2220000000</v>
      </c>
      <c r="AI40" s="10">
        <f t="shared" si="23"/>
        <v>1029402294.9134799</v>
      </c>
      <c r="AK40" s="10">
        <f t="shared" si="7"/>
        <v>11721100000</v>
      </c>
      <c r="AL40" s="10">
        <f t="shared" si="8"/>
        <v>5435012269.7794552</v>
      </c>
      <c r="AN40" s="10">
        <f t="shared" si="9"/>
        <v>9410000000</v>
      </c>
      <c r="AO40" s="10">
        <f t="shared" si="24"/>
        <v>4363367385.1963272</v>
      </c>
      <c r="AQ40" s="10">
        <f t="shared" si="10"/>
        <v>2988940800</v>
      </c>
      <c r="AR40" s="10">
        <f t="shared" si="25"/>
        <v>1385956089.5858254</v>
      </c>
      <c r="AT40" s="7">
        <f>IF($K40&lt;=$F$15,IF($F$40&lt;&gt;"",$F$40/1000,IF(ISERROR(VLOOKUP($F$3&amp;IF($G$4&lt;&gt;"",$G$4,"")&amp;IF($F$43&lt;&gt;"","_"&amp;$F$43,""),'表3）燃料価格'!$AF$9:$AG$25,2,0)),0,VLOOKUP($I40,'表3）燃料価格'!$A$6:$U$66,VLOOKUP($F$3&amp;IF($G$4&lt;&gt;"",$G$4,"")&amp;IF($F$43&lt;&gt;"","_"&amp;$F$43,""),'表3）燃料価格'!$AF$9:$AG$25,2,0)+VLOOKUP($F$41,'表3）燃料価格'!$AF$28:$AG$29,2,0),0)*IF($F$43="需要地価格",1,$F$8/$F$141))),"")</f>
        <v>0</v>
      </c>
      <c r="AV40" s="10">
        <f t="shared" si="11"/>
        <v>0</v>
      </c>
      <c r="AW40" s="10">
        <f t="shared" si="26"/>
        <v>0</v>
      </c>
      <c r="AY40" s="7">
        <v>0</v>
      </c>
      <c r="BA40" s="11">
        <f t="shared" si="12"/>
        <v>0</v>
      </c>
      <c r="BB40" s="10">
        <f t="shared" si="27"/>
        <v>0</v>
      </c>
      <c r="BD40" s="10">
        <f t="shared" si="13"/>
        <v>0</v>
      </c>
      <c r="BE40" s="10">
        <f t="shared" si="28"/>
        <v>0</v>
      </c>
      <c r="BG40" s="11">
        <f t="shared" si="14"/>
        <v>0</v>
      </c>
      <c r="BH40" s="10">
        <f t="shared" si="29"/>
        <v>0</v>
      </c>
      <c r="BJ40" s="7" t="str">
        <f t="shared" si="30"/>
        <v/>
      </c>
      <c r="BK40" s="158" t="str">
        <f t="shared" si="31"/>
        <v/>
      </c>
      <c r="BL40" s="158" t="str">
        <f t="shared" si="15"/>
        <v/>
      </c>
      <c r="BM40" s="10"/>
      <c r="BN40" s="10" t="str">
        <f t="shared" si="32"/>
        <v/>
      </c>
      <c r="BO40" s="10" t="str">
        <f t="shared" si="33"/>
        <v/>
      </c>
      <c r="BQ40" s="10">
        <f t="shared" si="16"/>
        <v>7064064000</v>
      </c>
      <c r="BR40" s="10">
        <f t="shared" si="34"/>
        <v>3275569231.0881519</v>
      </c>
    </row>
    <row r="41" spans="2:70" x14ac:dyDescent="0.15">
      <c r="B41" s="9"/>
      <c r="C41" s="9"/>
      <c r="D41" s="9" t="s">
        <v>179</v>
      </c>
      <c r="E41" s="9"/>
      <c r="F41" s="88"/>
      <c r="G41" s="9"/>
      <c r="H41" s="9"/>
      <c r="I41" s="458">
        <f t="shared" si="35"/>
        <v>2046</v>
      </c>
      <c r="J41" s="39"/>
      <c r="K41" s="39">
        <f t="shared" si="36"/>
        <v>27</v>
      </c>
      <c r="L41" s="39"/>
      <c r="M41" s="40">
        <f t="shared" si="0"/>
        <v>0.45018905576553836</v>
      </c>
      <c r="N41" s="39"/>
      <c r="O41" s="72">
        <f t="shared" si="37"/>
        <v>0</v>
      </c>
      <c r="P41" s="41" t="str">
        <f t="shared" si="1"/>
        <v>-</v>
      </c>
      <c r="Q41" s="39"/>
      <c r="R41" s="72">
        <f t="shared" si="17"/>
        <v>30845000000</v>
      </c>
      <c r="S41" s="39"/>
      <c r="T41" s="72">
        <f t="shared" si="18"/>
        <v>30845000000</v>
      </c>
      <c r="U41" s="39"/>
      <c r="V41" s="72">
        <f t="shared" si="2"/>
        <v>0</v>
      </c>
      <c r="W41" s="72">
        <f t="shared" si="19"/>
        <v>0</v>
      </c>
      <c r="X41" s="39"/>
      <c r="Y41" s="72">
        <f t="shared" si="3"/>
        <v>431830000</v>
      </c>
      <c r="Z41" s="72">
        <f t="shared" si="20"/>
        <v>194405139.95123243</v>
      </c>
      <c r="AA41" s="39"/>
      <c r="AB41" s="72">
        <f t="shared" si="4"/>
        <v>0</v>
      </c>
      <c r="AC41" s="72">
        <f t="shared" si="21"/>
        <v>0</v>
      </c>
      <c r="AD41" s="39"/>
      <c r="AE41" s="72">
        <f t="shared" si="5"/>
        <v>0</v>
      </c>
      <c r="AF41" s="72">
        <f t="shared" si="22"/>
        <v>0</v>
      </c>
      <c r="AG41" s="39"/>
      <c r="AH41" s="72">
        <f t="shared" si="6"/>
        <v>2220000000</v>
      </c>
      <c r="AI41" s="72">
        <f t="shared" si="23"/>
        <v>999419703.7994951</v>
      </c>
      <c r="AJ41" s="39"/>
      <c r="AK41" s="72">
        <f t="shared" si="7"/>
        <v>11721100000</v>
      </c>
      <c r="AL41" s="72">
        <f t="shared" si="8"/>
        <v>5276710941.533452</v>
      </c>
      <c r="AM41" s="39"/>
      <c r="AN41" s="72">
        <f t="shared" si="9"/>
        <v>9410000000</v>
      </c>
      <c r="AO41" s="72">
        <f t="shared" si="24"/>
        <v>4236279014.753716</v>
      </c>
      <c r="AP41" s="39"/>
      <c r="AQ41" s="72">
        <f t="shared" si="10"/>
        <v>2988940800</v>
      </c>
      <c r="AR41" s="72">
        <f t="shared" si="25"/>
        <v>1345588436.4910929</v>
      </c>
      <c r="AS41" s="39"/>
      <c r="AT41" s="40">
        <f>IF($K41&lt;=$F$15,IF($F$40&lt;&gt;"",$F$40/1000,IF(ISERROR(VLOOKUP($F$3&amp;IF($G$4&lt;&gt;"",$G$4,"")&amp;IF($F$43&lt;&gt;"","_"&amp;$F$43,""),'表3）燃料価格'!$AF$9:$AG$25,2,0)),0,VLOOKUP($I41,'表3）燃料価格'!$A$6:$U$66,VLOOKUP($F$3&amp;IF($G$4&lt;&gt;"",$G$4,"")&amp;IF($F$43&lt;&gt;"","_"&amp;$F$43,""),'表3）燃料価格'!$AF$9:$AG$25,2,0)+VLOOKUP($F$41,'表3）燃料価格'!$AF$28:$AG$29,2,0),0)*IF($F$43="需要地価格",1,$F$8/$F$141))),"")</f>
        <v>0</v>
      </c>
      <c r="AU41" s="39"/>
      <c r="AV41" s="72">
        <f t="shared" si="11"/>
        <v>0</v>
      </c>
      <c r="AW41" s="72">
        <f t="shared" si="26"/>
        <v>0</v>
      </c>
      <c r="AX41" s="39"/>
      <c r="AY41" s="40">
        <v>0</v>
      </c>
      <c r="AZ41" s="39"/>
      <c r="BA41" s="42">
        <f t="shared" si="12"/>
        <v>0</v>
      </c>
      <c r="BB41" s="72">
        <f t="shared" si="27"/>
        <v>0</v>
      </c>
      <c r="BC41" s="39"/>
      <c r="BD41" s="72">
        <f t="shared" si="13"/>
        <v>0</v>
      </c>
      <c r="BE41" s="72">
        <f t="shared" si="28"/>
        <v>0</v>
      </c>
      <c r="BF41" s="39"/>
      <c r="BG41" s="42">
        <f t="shared" si="14"/>
        <v>0</v>
      </c>
      <c r="BH41" s="72">
        <f t="shared" si="29"/>
        <v>0</v>
      </c>
      <c r="BI41" s="39"/>
      <c r="BJ41" s="40" t="str">
        <f t="shared" si="30"/>
        <v/>
      </c>
      <c r="BK41" s="157" t="str">
        <f t="shared" si="31"/>
        <v/>
      </c>
      <c r="BL41" s="157" t="str">
        <f t="shared" si="15"/>
        <v/>
      </c>
      <c r="BM41" s="72"/>
      <c r="BN41" s="72" t="str">
        <f t="shared" si="32"/>
        <v/>
      </c>
      <c r="BO41" s="72" t="str">
        <f t="shared" si="33"/>
        <v/>
      </c>
      <c r="BP41" s="39"/>
      <c r="BQ41" s="72">
        <f t="shared" si="16"/>
        <v>7064064000</v>
      </c>
      <c r="BR41" s="72">
        <f t="shared" si="34"/>
        <v>3180164302.0273318</v>
      </c>
    </row>
    <row r="42" spans="2:70" x14ac:dyDescent="0.15">
      <c r="B42" s="9"/>
      <c r="C42" s="9"/>
      <c r="D42" s="9" t="s">
        <v>180</v>
      </c>
      <c r="E42" s="9"/>
      <c r="F42" s="59"/>
      <c r="G42" s="9" t="s">
        <v>181</v>
      </c>
      <c r="H42" s="9"/>
      <c r="I42" s="459">
        <f t="shared" si="35"/>
        <v>2047</v>
      </c>
      <c r="K42" s="71">
        <f t="shared" si="36"/>
        <v>28</v>
      </c>
      <c r="M42" s="7">
        <f t="shared" si="0"/>
        <v>0.4370767531704256</v>
      </c>
      <c r="O42" s="10">
        <f t="shared" si="37"/>
        <v>0</v>
      </c>
      <c r="P42" s="29" t="str">
        <f t="shared" si="1"/>
        <v>-</v>
      </c>
      <c r="R42" s="10">
        <f t="shared" si="17"/>
        <v>30845000000</v>
      </c>
      <c r="T42" s="10">
        <f t="shared" si="18"/>
        <v>30845000000</v>
      </c>
      <c r="V42" s="10">
        <f t="shared" si="2"/>
        <v>0</v>
      </c>
      <c r="W42" s="10">
        <f t="shared" si="19"/>
        <v>0</v>
      </c>
      <c r="Y42" s="10">
        <f t="shared" si="3"/>
        <v>431830000</v>
      </c>
      <c r="Z42" s="10">
        <f t="shared" si="20"/>
        <v>188742854.32158488</v>
      </c>
      <c r="AB42" s="10">
        <f t="shared" si="4"/>
        <v>0</v>
      </c>
      <c r="AC42" s="10">
        <f t="shared" si="21"/>
        <v>0</v>
      </c>
      <c r="AE42" s="10">
        <f t="shared" si="5"/>
        <v>0</v>
      </c>
      <c r="AF42" s="10">
        <f t="shared" si="22"/>
        <v>0</v>
      </c>
      <c r="AH42" s="10">
        <f t="shared" si="6"/>
        <v>2220000000</v>
      </c>
      <c r="AI42" s="10">
        <f t="shared" si="23"/>
        <v>970310392.03834486</v>
      </c>
      <c r="AK42" s="10">
        <f t="shared" si="7"/>
        <v>11721100000</v>
      </c>
      <c r="AL42" s="10">
        <f t="shared" si="8"/>
        <v>5123020331.5858755</v>
      </c>
      <c r="AN42" s="10">
        <f t="shared" si="9"/>
        <v>9410000000</v>
      </c>
      <c r="AO42" s="10">
        <f t="shared" si="24"/>
        <v>4112892247.3337049</v>
      </c>
      <c r="AQ42" s="10">
        <f t="shared" si="10"/>
        <v>2988940800</v>
      </c>
      <c r="AR42" s="10">
        <f t="shared" si="25"/>
        <v>1306396540.2826145</v>
      </c>
      <c r="AT42" s="7">
        <f>IF($K42&lt;=$F$15,IF($F$40&lt;&gt;"",$F$40/1000,IF(ISERROR(VLOOKUP($F$3&amp;IF($G$4&lt;&gt;"",$G$4,"")&amp;IF($F$43&lt;&gt;"","_"&amp;$F$43,""),'表3）燃料価格'!$AF$9:$AG$25,2,0)),0,VLOOKUP($I42,'表3）燃料価格'!$A$6:$U$66,VLOOKUP($F$3&amp;IF($G$4&lt;&gt;"",$G$4,"")&amp;IF($F$43&lt;&gt;"","_"&amp;$F$43,""),'表3）燃料価格'!$AF$9:$AG$25,2,0)+VLOOKUP($F$41,'表3）燃料価格'!$AF$28:$AG$29,2,0),0)*IF($F$43="需要地価格",1,$F$8/$F$141))),"")</f>
        <v>0</v>
      </c>
      <c r="AV42" s="10">
        <f t="shared" si="11"/>
        <v>0</v>
      </c>
      <c r="AW42" s="10">
        <f t="shared" si="26"/>
        <v>0</v>
      </c>
      <c r="AY42" s="7">
        <v>0</v>
      </c>
      <c r="BA42" s="11">
        <f t="shared" si="12"/>
        <v>0</v>
      </c>
      <c r="BB42" s="10">
        <f t="shared" si="27"/>
        <v>0</v>
      </c>
      <c r="BD42" s="10">
        <f t="shared" si="13"/>
        <v>0</v>
      </c>
      <c r="BE42" s="10">
        <f t="shared" si="28"/>
        <v>0</v>
      </c>
      <c r="BG42" s="11">
        <f t="shared" si="14"/>
        <v>0</v>
      </c>
      <c r="BH42" s="10">
        <f t="shared" si="29"/>
        <v>0</v>
      </c>
      <c r="BJ42" s="7" t="str">
        <f t="shared" si="30"/>
        <v/>
      </c>
      <c r="BK42" s="158" t="str">
        <f t="shared" si="31"/>
        <v/>
      </c>
      <c r="BL42" s="158" t="str">
        <f t="shared" si="15"/>
        <v/>
      </c>
      <c r="BM42" s="10"/>
      <c r="BN42" s="10" t="str">
        <f t="shared" si="32"/>
        <v/>
      </c>
      <c r="BO42" s="10" t="str">
        <f t="shared" si="33"/>
        <v/>
      </c>
      <c r="BQ42" s="10">
        <f t="shared" si="16"/>
        <v>7064064000</v>
      </c>
      <c r="BR42" s="10">
        <f t="shared" si="34"/>
        <v>3087538157.3080893</v>
      </c>
    </row>
    <row r="43" spans="2:70" x14ac:dyDescent="0.15">
      <c r="B43" s="9"/>
      <c r="C43" s="9"/>
      <c r="D43" s="82" t="s">
        <v>126</v>
      </c>
      <c r="E43" s="81"/>
      <c r="F43" s="88"/>
      <c r="G43" s="9"/>
      <c r="H43" s="9"/>
      <c r="I43" s="458">
        <f t="shared" si="35"/>
        <v>2048</v>
      </c>
      <c r="J43" s="39"/>
      <c r="K43" s="39">
        <f t="shared" si="36"/>
        <v>29</v>
      </c>
      <c r="L43" s="39"/>
      <c r="M43" s="40">
        <f t="shared" si="0"/>
        <v>0.42434636230138412</v>
      </c>
      <c r="N43" s="39"/>
      <c r="O43" s="72">
        <f t="shared" si="37"/>
        <v>0</v>
      </c>
      <c r="P43" s="41" t="str">
        <f t="shared" si="1"/>
        <v>-</v>
      </c>
      <c r="Q43" s="39"/>
      <c r="R43" s="72">
        <f t="shared" si="17"/>
        <v>30845000000</v>
      </c>
      <c r="S43" s="39"/>
      <c r="T43" s="72">
        <f t="shared" si="18"/>
        <v>30845000000</v>
      </c>
      <c r="U43" s="39"/>
      <c r="V43" s="72">
        <f t="shared" si="2"/>
        <v>0</v>
      </c>
      <c r="W43" s="72">
        <f t="shared" si="19"/>
        <v>0</v>
      </c>
      <c r="X43" s="39"/>
      <c r="Y43" s="72">
        <f t="shared" si="3"/>
        <v>431830000</v>
      </c>
      <c r="Z43" s="72">
        <f t="shared" si="20"/>
        <v>183245489.63260671</v>
      </c>
      <c r="AA43" s="39"/>
      <c r="AB43" s="72">
        <f t="shared" si="4"/>
        <v>0</v>
      </c>
      <c r="AC43" s="72">
        <f t="shared" si="21"/>
        <v>0</v>
      </c>
      <c r="AD43" s="39"/>
      <c r="AE43" s="72">
        <f t="shared" si="5"/>
        <v>0</v>
      </c>
      <c r="AF43" s="72">
        <f t="shared" si="22"/>
        <v>0</v>
      </c>
      <c r="AG43" s="39"/>
      <c r="AH43" s="72">
        <f t="shared" si="6"/>
        <v>2220000000</v>
      </c>
      <c r="AI43" s="72">
        <f t="shared" si="23"/>
        <v>942048924.30907273</v>
      </c>
      <c r="AJ43" s="39"/>
      <c r="AK43" s="72">
        <f t="shared" si="7"/>
        <v>11721100000</v>
      </c>
      <c r="AL43" s="72">
        <f t="shared" si="8"/>
        <v>4973806147.1707535</v>
      </c>
      <c r="AM43" s="39"/>
      <c r="AN43" s="72">
        <f t="shared" si="9"/>
        <v>9410000000</v>
      </c>
      <c r="AO43" s="72">
        <f t="shared" si="24"/>
        <v>3993099269.2560244</v>
      </c>
      <c r="AP43" s="39"/>
      <c r="AQ43" s="72">
        <f t="shared" si="10"/>
        <v>2988940800</v>
      </c>
      <c r="AR43" s="72">
        <f t="shared" si="25"/>
        <v>1268346155.6141889</v>
      </c>
      <c r="AS43" s="39"/>
      <c r="AT43" s="40">
        <f>IF($K43&lt;=$F$15,IF($F$40&lt;&gt;"",$F$40/1000,IF(ISERROR(VLOOKUP($F$3&amp;IF($G$4&lt;&gt;"",$G$4,"")&amp;IF($F$43&lt;&gt;"","_"&amp;$F$43,""),'表3）燃料価格'!$AF$9:$AG$25,2,0)),0,VLOOKUP($I43,'表3）燃料価格'!$A$6:$U$66,VLOOKUP($F$3&amp;IF($G$4&lt;&gt;"",$G$4,"")&amp;IF($F$43&lt;&gt;"","_"&amp;$F$43,""),'表3）燃料価格'!$AF$9:$AG$25,2,0)+VLOOKUP($F$41,'表3）燃料価格'!$AF$28:$AG$29,2,0),0)*IF($F$43="需要地価格",1,$F$8/$F$141))),"")</f>
        <v>0</v>
      </c>
      <c r="AU43" s="39"/>
      <c r="AV43" s="72">
        <f t="shared" si="11"/>
        <v>0</v>
      </c>
      <c r="AW43" s="72">
        <f t="shared" si="26"/>
        <v>0</v>
      </c>
      <c r="AX43" s="39"/>
      <c r="AY43" s="40">
        <v>0</v>
      </c>
      <c r="AZ43" s="39"/>
      <c r="BA43" s="42">
        <f t="shared" si="12"/>
        <v>0</v>
      </c>
      <c r="BB43" s="72">
        <f t="shared" si="27"/>
        <v>0</v>
      </c>
      <c r="BC43" s="39"/>
      <c r="BD43" s="72">
        <f t="shared" si="13"/>
        <v>0</v>
      </c>
      <c r="BE43" s="72">
        <f t="shared" si="28"/>
        <v>0</v>
      </c>
      <c r="BF43" s="39"/>
      <c r="BG43" s="42">
        <f t="shared" si="14"/>
        <v>0</v>
      </c>
      <c r="BH43" s="72">
        <f t="shared" si="29"/>
        <v>0</v>
      </c>
      <c r="BI43" s="39"/>
      <c r="BJ43" s="40" t="str">
        <f t="shared" si="30"/>
        <v/>
      </c>
      <c r="BK43" s="157" t="str">
        <f t="shared" si="31"/>
        <v/>
      </c>
      <c r="BL43" s="157" t="str">
        <f t="shared" si="15"/>
        <v/>
      </c>
      <c r="BM43" s="72"/>
      <c r="BN43" s="72" t="str">
        <f t="shared" si="32"/>
        <v/>
      </c>
      <c r="BO43" s="72" t="str">
        <f t="shared" si="33"/>
        <v/>
      </c>
      <c r="BP43" s="39"/>
      <c r="BQ43" s="72">
        <f t="shared" si="16"/>
        <v>7064064000</v>
      </c>
      <c r="BR43" s="72">
        <f t="shared" si="34"/>
        <v>2997609861.4641647</v>
      </c>
    </row>
    <row r="44" spans="2:70" x14ac:dyDescent="0.15">
      <c r="B44" s="9"/>
      <c r="C44" s="9"/>
      <c r="D44" s="9"/>
      <c r="E44" s="9"/>
      <c r="G44" s="9"/>
      <c r="H44" s="9"/>
      <c r="I44" s="459">
        <f t="shared" si="35"/>
        <v>2049</v>
      </c>
      <c r="K44" s="71">
        <f t="shared" si="36"/>
        <v>30</v>
      </c>
      <c r="M44" s="7">
        <f t="shared" si="0"/>
        <v>0.41198675951590691</v>
      </c>
      <c r="O44" s="10">
        <f t="shared" si="37"/>
        <v>0</v>
      </c>
      <c r="P44" s="29" t="str">
        <f t="shared" si="1"/>
        <v>-</v>
      </c>
      <c r="R44" s="10">
        <f t="shared" si="17"/>
        <v>30845000000</v>
      </c>
      <c r="T44" s="10">
        <f t="shared" si="18"/>
        <v>30845000000</v>
      </c>
      <c r="V44" s="10">
        <f t="shared" si="2"/>
        <v>0</v>
      </c>
      <c r="W44" s="10">
        <f t="shared" si="19"/>
        <v>0</v>
      </c>
      <c r="Y44" s="10">
        <f t="shared" si="3"/>
        <v>431830000</v>
      </c>
      <c r="Z44" s="10">
        <f t="shared" si="20"/>
        <v>177908242.36175409</v>
      </c>
      <c r="AB44" s="10">
        <f t="shared" si="4"/>
        <v>0</v>
      </c>
      <c r="AC44" s="10">
        <f t="shared" si="21"/>
        <v>0</v>
      </c>
      <c r="AE44" s="10">
        <f t="shared" si="5"/>
        <v>0</v>
      </c>
      <c r="AF44" s="10">
        <f t="shared" si="22"/>
        <v>0</v>
      </c>
      <c r="AH44" s="10">
        <f t="shared" si="6"/>
        <v>2220000000</v>
      </c>
      <c r="AI44" s="10">
        <f t="shared" si="23"/>
        <v>914610606.12531328</v>
      </c>
      <c r="AK44" s="10">
        <f t="shared" si="7"/>
        <v>11721100000</v>
      </c>
      <c r="AL44" s="10">
        <f t="shared" si="8"/>
        <v>4828938006.9618969</v>
      </c>
      <c r="AN44" s="10">
        <f t="shared" si="9"/>
        <v>9410000000</v>
      </c>
      <c r="AO44" s="10">
        <f t="shared" si="24"/>
        <v>3876795407.0446839</v>
      </c>
      <c r="AQ44" s="10">
        <f t="shared" si="10"/>
        <v>2988940800</v>
      </c>
      <c r="AR44" s="10">
        <f t="shared" si="25"/>
        <v>1231404034.5768824</v>
      </c>
      <c r="AT44" s="7">
        <f>IF($K44&lt;=$F$15,IF($F$40&lt;&gt;"",$F$40/1000,IF(ISERROR(VLOOKUP($F$3&amp;IF($G$4&lt;&gt;"",$G$4,"")&amp;IF($F$43&lt;&gt;"","_"&amp;$F$43,""),'表3）燃料価格'!$AF$9:$AG$25,2,0)),0,VLOOKUP($I44,'表3）燃料価格'!$A$6:$U$66,VLOOKUP($F$3&amp;IF($G$4&lt;&gt;"",$G$4,"")&amp;IF($F$43&lt;&gt;"","_"&amp;$F$43,""),'表3）燃料価格'!$AF$9:$AG$25,2,0)+VLOOKUP($F$41,'表3）燃料価格'!$AF$28:$AG$29,2,0),0)*IF($F$43="需要地価格",1,$F$8/$F$141))),"")</f>
        <v>0</v>
      </c>
      <c r="AV44" s="10">
        <f t="shared" si="11"/>
        <v>0</v>
      </c>
      <c r="AW44" s="10">
        <f t="shared" si="26"/>
        <v>0</v>
      </c>
      <c r="AY44" s="7">
        <v>0</v>
      </c>
      <c r="BA44" s="11">
        <f t="shared" si="12"/>
        <v>0</v>
      </c>
      <c r="BB44" s="10">
        <f t="shared" si="27"/>
        <v>0</v>
      </c>
      <c r="BD44" s="10">
        <f t="shared" si="13"/>
        <v>0</v>
      </c>
      <c r="BE44" s="10">
        <f t="shared" si="28"/>
        <v>0</v>
      </c>
      <c r="BG44" s="11">
        <f t="shared" si="14"/>
        <v>0</v>
      </c>
      <c r="BH44" s="10">
        <f t="shared" si="29"/>
        <v>0</v>
      </c>
      <c r="BJ44" s="7" t="str">
        <f t="shared" si="30"/>
        <v/>
      </c>
      <c r="BK44" s="158" t="str">
        <f t="shared" si="31"/>
        <v/>
      </c>
      <c r="BL44" s="158" t="str">
        <f t="shared" si="15"/>
        <v/>
      </c>
      <c r="BM44" s="10"/>
      <c r="BN44" s="10" t="str">
        <f t="shared" si="32"/>
        <v/>
      </c>
      <c r="BO44" s="10" t="str">
        <f t="shared" si="33"/>
        <v/>
      </c>
      <c r="BQ44" s="10">
        <f t="shared" si="16"/>
        <v>7064064000</v>
      </c>
      <c r="BR44" s="10">
        <f t="shared" si="34"/>
        <v>2910300836.3729753</v>
      </c>
    </row>
    <row r="45" spans="2:70" x14ac:dyDescent="0.15">
      <c r="B45" s="9"/>
      <c r="C45" s="89" t="s">
        <v>509</v>
      </c>
      <c r="D45" s="89"/>
      <c r="E45" s="89"/>
      <c r="F45" s="89"/>
      <c r="G45" s="89"/>
      <c r="H45" s="9"/>
      <c r="I45" s="458">
        <f t="shared" si="35"/>
        <v>2050</v>
      </c>
      <c r="J45" s="39"/>
      <c r="K45" s="39">
        <f t="shared" si="36"/>
        <v>31</v>
      </c>
      <c r="L45" s="39"/>
      <c r="M45" s="40">
        <f t="shared" si="0"/>
        <v>0.39998714516107459</v>
      </c>
      <c r="N45" s="39"/>
      <c r="O45" s="72">
        <f t="shared" si="37"/>
        <v>0</v>
      </c>
      <c r="P45" s="41" t="str">
        <f t="shared" si="1"/>
        <v>-</v>
      </c>
      <c r="Q45" s="39"/>
      <c r="R45" s="72">
        <f t="shared" si="17"/>
        <v>30845000000</v>
      </c>
      <c r="S45" s="39"/>
      <c r="T45" s="72">
        <f t="shared" si="18"/>
        <v>30845000000</v>
      </c>
      <c r="U45" s="39"/>
      <c r="V45" s="72">
        <f t="shared" si="2"/>
        <v>0</v>
      </c>
      <c r="W45" s="72">
        <f t="shared" si="19"/>
        <v>0</v>
      </c>
      <c r="X45" s="39"/>
      <c r="Y45" s="72">
        <f t="shared" si="3"/>
        <v>431830000</v>
      </c>
      <c r="Z45" s="72">
        <f t="shared" si="20"/>
        <v>172726448.89490685</v>
      </c>
      <c r="AA45" s="39"/>
      <c r="AB45" s="72">
        <f t="shared" si="4"/>
        <v>0</v>
      </c>
      <c r="AC45" s="72">
        <f t="shared" si="21"/>
        <v>0</v>
      </c>
      <c r="AD45" s="39"/>
      <c r="AE45" s="72">
        <f t="shared" si="5"/>
        <v>0</v>
      </c>
      <c r="AF45" s="72">
        <f t="shared" si="22"/>
        <v>0</v>
      </c>
      <c r="AG45" s="39"/>
      <c r="AH45" s="72">
        <f t="shared" si="6"/>
        <v>2220000000</v>
      </c>
      <c r="AI45" s="72">
        <f t="shared" si="23"/>
        <v>887971462.25758553</v>
      </c>
      <c r="AJ45" s="39"/>
      <c r="AK45" s="72">
        <f t="shared" si="7"/>
        <v>11721100000</v>
      </c>
      <c r="AL45" s="72">
        <f t="shared" si="8"/>
        <v>4688289327.1474714</v>
      </c>
      <c r="AM45" s="39"/>
      <c r="AN45" s="72">
        <f t="shared" si="9"/>
        <v>9410000000</v>
      </c>
      <c r="AO45" s="72">
        <f t="shared" si="24"/>
        <v>3763879035.9657121</v>
      </c>
      <c r="AP45" s="39"/>
      <c r="AQ45" s="72">
        <f t="shared" si="10"/>
        <v>2988940800</v>
      </c>
      <c r="AR45" s="72">
        <f t="shared" si="25"/>
        <v>1195537897.6474583</v>
      </c>
      <c r="AS45" s="39"/>
      <c r="AT45" s="40">
        <f>IF($K45&lt;=$F$15,IF($F$40&lt;&gt;"",$F$40/1000,IF(ISERROR(VLOOKUP($F$3&amp;IF($G$4&lt;&gt;"",$G$4,"")&amp;IF($F$43&lt;&gt;"","_"&amp;$F$43,""),'表3）燃料価格'!$AF$9:$AG$25,2,0)),0,VLOOKUP($I45,'表3）燃料価格'!$A$6:$U$66,VLOOKUP($F$3&amp;IF($G$4&lt;&gt;"",$G$4,"")&amp;IF($F$43&lt;&gt;"","_"&amp;$F$43,""),'表3）燃料価格'!$AF$9:$AG$25,2,0)+VLOOKUP($F$41,'表3）燃料価格'!$AF$28:$AG$29,2,0),0)*IF($F$43="需要地価格",1,$F$8/$F$141))),"")</f>
        <v>0</v>
      </c>
      <c r="AU45" s="39"/>
      <c r="AV45" s="72">
        <f t="shared" si="11"/>
        <v>0</v>
      </c>
      <c r="AW45" s="72">
        <f t="shared" si="26"/>
        <v>0</v>
      </c>
      <c r="AX45" s="39"/>
      <c r="AY45" s="40">
        <v>0</v>
      </c>
      <c r="AZ45" s="39"/>
      <c r="BA45" s="42">
        <f t="shared" si="12"/>
        <v>0</v>
      </c>
      <c r="BB45" s="72">
        <f t="shared" si="27"/>
        <v>0</v>
      </c>
      <c r="BC45" s="39"/>
      <c r="BD45" s="72">
        <f t="shared" si="13"/>
        <v>0</v>
      </c>
      <c r="BE45" s="72">
        <f t="shared" si="28"/>
        <v>0</v>
      </c>
      <c r="BF45" s="39"/>
      <c r="BG45" s="42">
        <f t="shared" si="14"/>
        <v>0</v>
      </c>
      <c r="BH45" s="72">
        <f t="shared" si="29"/>
        <v>0</v>
      </c>
      <c r="BI45" s="39"/>
      <c r="BJ45" s="40" t="str">
        <f t="shared" si="30"/>
        <v/>
      </c>
      <c r="BK45" s="157" t="str">
        <f t="shared" si="31"/>
        <v/>
      </c>
      <c r="BL45" s="157" t="str">
        <f t="shared" si="15"/>
        <v/>
      </c>
      <c r="BM45" s="72"/>
      <c r="BN45" s="72" t="str">
        <f t="shared" si="32"/>
        <v/>
      </c>
      <c r="BO45" s="72" t="str">
        <f t="shared" si="33"/>
        <v/>
      </c>
      <c r="BP45" s="39"/>
      <c r="BQ45" s="72">
        <f t="shared" si="16"/>
        <v>7064064000</v>
      </c>
      <c r="BR45" s="72">
        <f t="shared" si="34"/>
        <v>2825534792.5951214</v>
      </c>
    </row>
    <row r="46" spans="2:70" x14ac:dyDescent="0.15">
      <c r="B46" s="9"/>
      <c r="C46" s="9"/>
      <c r="D46" s="9"/>
      <c r="E46" s="9"/>
      <c r="G46" s="9"/>
      <c r="H46" s="9"/>
      <c r="I46" s="459">
        <f t="shared" si="35"/>
        <v>2051</v>
      </c>
      <c r="K46" s="71">
        <f t="shared" si="36"/>
        <v>32</v>
      </c>
      <c r="M46" s="7">
        <f t="shared" si="0"/>
        <v>0.38833703413696569</v>
      </c>
      <c r="O46" s="10">
        <f t="shared" si="37"/>
        <v>0</v>
      </c>
      <c r="P46" s="29" t="str">
        <f t="shared" si="1"/>
        <v>-</v>
      </c>
      <c r="R46" s="10">
        <f t="shared" si="17"/>
        <v>30845000000</v>
      </c>
      <c r="T46" s="10">
        <f t="shared" si="18"/>
        <v>30845000000</v>
      </c>
      <c r="V46" s="10">
        <f t="shared" si="2"/>
        <v>0</v>
      </c>
      <c r="W46" s="10">
        <f t="shared" si="19"/>
        <v>0</v>
      </c>
      <c r="Y46" s="10">
        <f t="shared" si="3"/>
        <v>431830000</v>
      </c>
      <c r="Z46" s="10">
        <f t="shared" si="20"/>
        <v>167695581.45136589</v>
      </c>
      <c r="AB46" s="10">
        <f t="shared" si="4"/>
        <v>0</v>
      </c>
      <c r="AC46" s="10">
        <f t="shared" si="21"/>
        <v>0</v>
      </c>
      <c r="AE46" s="10">
        <f t="shared" si="5"/>
        <v>0</v>
      </c>
      <c r="AF46" s="10">
        <f t="shared" si="22"/>
        <v>0</v>
      </c>
      <c r="AH46" s="10">
        <f t="shared" si="6"/>
        <v>2220000000</v>
      </c>
      <c r="AI46" s="10">
        <f t="shared" si="23"/>
        <v>862108215.78406382</v>
      </c>
      <c r="AK46" s="10">
        <f t="shared" si="7"/>
        <v>11721100000</v>
      </c>
      <c r="AL46" s="10">
        <f t="shared" si="8"/>
        <v>4551737210.8227882</v>
      </c>
      <c r="AN46" s="10">
        <f t="shared" si="9"/>
        <v>9410000000</v>
      </c>
      <c r="AO46" s="10">
        <f t="shared" si="24"/>
        <v>3654251491.228847</v>
      </c>
      <c r="AQ46" s="10">
        <f t="shared" si="10"/>
        <v>2988940800</v>
      </c>
      <c r="AR46" s="10">
        <f t="shared" si="25"/>
        <v>1160716405.4829695</v>
      </c>
      <c r="AT46" s="7">
        <f>IF($K46&lt;=$F$15,IF($F$40&lt;&gt;"",$F$40/1000,IF(ISERROR(VLOOKUP($F$3&amp;IF($G$4&lt;&gt;"",$G$4,"")&amp;IF($F$43&lt;&gt;"","_"&amp;$F$43,""),'表3）燃料価格'!$AF$9:$AG$25,2,0)),0,VLOOKUP($I46,'表3）燃料価格'!$A$6:$U$66,VLOOKUP($F$3&amp;IF($G$4&lt;&gt;"",$G$4,"")&amp;IF($F$43&lt;&gt;"","_"&amp;$F$43,""),'表3）燃料価格'!$AF$9:$AG$25,2,0)+VLOOKUP($F$41,'表3）燃料価格'!$AF$28:$AG$29,2,0),0)*IF($F$43="需要地価格",1,$F$8/$F$141))),"")</f>
        <v>0</v>
      </c>
      <c r="AV46" s="10">
        <f t="shared" si="11"/>
        <v>0</v>
      </c>
      <c r="AW46" s="10">
        <f t="shared" si="26"/>
        <v>0</v>
      </c>
      <c r="AY46" s="7">
        <v>0</v>
      </c>
      <c r="BA46" s="11">
        <f t="shared" si="12"/>
        <v>0</v>
      </c>
      <c r="BB46" s="10">
        <f t="shared" si="27"/>
        <v>0</v>
      </c>
      <c r="BD46" s="10">
        <f t="shared" si="13"/>
        <v>0</v>
      </c>
      <c r="BE46" s="10">
        <f t="shared" si="28"/>
        <v>0</v>
      </c>
      <c r="BG46" s="11">
        <f t="shared" si="14"/>
        <v>0</v>
      </c>
      <c r="BH46" s="10">
        <f t="shared" si="29"/>
        <v>0</v>
      </c>
      <c r="BJ46" s="7" t="str">
        <f t="shared" si="30"/>
        <v/>
      </c>
      <c r="BK46" s="158" t="str">
        <f t="shared" si="31"/>
        <v/>
      </c>
      <c r="BL46" s="158" t="str">
        <f t="shared" si="15"/>
        <v/>
      </c>
      <c r="BM46" s="10"/>
      <c r="BN46" s="10" t="str">
        <f t="shared" si="32"/>
        <v/>
      </c>
      <c r="BO46" s="10" t="str">
        <f t="shared" si="33"/>
        <v/>
      </c>
      <c r="BQ46" s="10">
        <f t="shared" si="16"/>
        <v>7064064000</v>
      </c>
      <c r="BR46" s="10">
        <f t="shared" si="34"/>
        <v>2743237662.7137103</v>
      </c>
    </row>
    <row r="47" spans="2:70" x14ac:dyDescent="0.15">
      <c r="B47" s="9"/>
      <c r="C47" s="9"/>
      <c r="D47" s="9" t="s">
        <v>182</v>
      </c>
      <c r="E47" s="9"/>
      <c r="F47" s="66"/>
      <c r="G47" s="9" t="s">
        <v>226</v>
      </c>
      <c r="H47" s="9"/>
      <c r="I47" s="458">
        <f t="shared" si="35"/>
        <v>2052</v>
      </c>
      <c r="J47" s="39"/>
      <c r="K47" s="39">
        <f t="shared" si="36"/>
        <v>33</v>
      </c>
      <c r="L47" s="39"/>
      <c r="M47" s="40">
        <f t="shared" si="0"/>
        <v>0.37702624673491814</v>
      </c>
      <c r="N47" s="39"/>
      <c r="O47" s="72">
        <f t="shared" si="37"/>
        <v>0</v>
      </c>
      <c r="P47" s="41" t="str">
        <f t="shared" ref="P47:P78" si="38">IF(K47&lt;=$F$15,IF(OR(P46=$F$124,P46="-"),"-",IF(O47*$F$123&gt;$F$127,$F$123,$F$124)),"")</f>
        <v>-</v>
      </c>
      <c r="Q47" s="39"/>
      <c r="R47" s="72">
        <f t="shared" si="17"/>
        <v>30845000000</v>
      </c>
      <c r="S47" s="39"/>
      <c r="T47" s="72">
        <f t="shared" si="18"/>
        <v>30845000000</v>
      </c>
      <c r="U47" s="39"/>
      <c r="V47" s="72">
        <f t="shared" ref="V47:V78" si="39">IF(K47&lt;=$F$15,IF(K47&lt;$F$119,IF(P47="-",V46,O47*P47),IF(K47=$F$119,MIN(IF(P47="-",V46,O47*P47),O47),0)),"")</f>
        <v>0</v>
      </c>
      <c r="W47" s="72">
        <f t="shared" si="19"/>
        <v>0</v>
      </c>
      <c r="X47" s="39"/>
      <c r="Y47" s="72">
        <f t="shared" ref="Y47:Y78" si="40">IF($K47&lt;=$F$15,ROUNDDOWN(T47*$F$25/100,-2),"")</f>
        <v>431830000</v>
      </c>
      <c r="Z47" s="72">
        <f t="shared" si="20"/>
        <v>162811244.12753969</v>
      </c>
      <c r="AA47" s="39"/>
      <c r="AB47" s="72">
        <f t="shared" si="4"/>
        <v>0</v>
      </c>
      <c r="AC47" s="72">
        <f t="shared" si="21"/>
        <v>0</v>
      </c>
      <c r="AD47" s="39"/>
      <c r="AE47" s="72">
        <f t="shared" ref="AE47:AE78" si="41">IF($K47&lt;=$F$15,$F$26,"")</f>
        <v>0</v>
      </c>
      <c r="AF47" s="72">
        <f t="shared" si="22"/>
        <v>0</v>
      </c>
      <c r="AG47" s="39"/>
      <c r="AH47" s="72">
        <f t="shared" ref="AH47:AH78" si="42">IF($K47&lt;=$F$15,$F$33*10^8,"")</f>
        <v>2220000000</v>
      </c>
      <c r="AI47" s="72">
        <f t="shared" si="23"/>
        <v>836998267.75151825</v>
      </c>
      <c r="AJ47" s="39"/>
      <c r="AK47" s="72">
        <f t="shared" ref="AK47:AK78" si="43">IF($K47&lt;=$F$15,$F$117*$F$34/100,"")</f>
        <v>11721100000</v>
      </c>
      <c r="AL47" s="72">
        <f t="shared" ref="AL47:AL78" si="44">IF(ISNUMBER(AK47),AK47*$M47,"")</f>
        <v>4419162340.6046486</v>
      </c>
      <c r="AM47" s="39"/>
      <c r="AN47" s="72">
        <f t="shared" si="9"/>
        <v>9410000000</v>
      </c>
      <c r="AO47" s="72">
        <f t="shared" si="24"/>
        <v>3547816981.7755795</v>
      </c>
      <c r="AP47" s="39"/>
      <c r="AQ47" s="72">
        <f t="shared" ref="AQ47:AQ78" si="45">IF($K47&lt;=$F$15,SUM(AH47,AK47,AN47)*($F$36/100),"")</f>
        <v>2988940800</v>
      </c>
      <c r="AR47" s="72">
        <f t="shared" si="25"/>
        <v>1126909131.5368636</v>
      </c>
      <c r="AS47" s="39"/>
      <c r="AT47" s="40">
        <f>IF($K47&lt;=$F$15,IF($F$40&lt;&gt;"",$F$40/1000,IF(ISERROR(VLOOKUP($F$3&amp;IF($G$4&lt;&gt;"",$G$4,"")&amp;IF($F$43&lt;&gt;"","_"&amp;$F$43,""),'表3）燃料価格'!$AF$9:$AG$25,2,0)),0,VLOOKUP($I47,'表3）燃料価格'!$A$6:$U$66,VLOOKUP($F$3&amp;IF($G$4&lt;&gt;"",$G$4,"")&amp;IF($F$43&lt;&gt;"","_"&amp;$F$43,""),'表3）燃料価格'!$AF$9:$AG$25,2,0)+VLOOKUP($F$41,'表3）燃料価格'!$AF$28:$AG$29,2,0),0)*IF($F$43="需要地価格",1,$F$8/$F$141))),"")</f>
        <v>0</v>
      </c>
      <c r="AU47" s="39"/>
      <c r="AV47" s="72">
        <f t="shared" ref="AV47:AV78" si="46">IF($K47&lt;=$F$15,($AT47+$F$142)*$F$137,"")</f>
        <v>0</v>
      </c>
      <c r="AW47" s="72">
        <f t="shared" si="26"/>
        <v>0</v>
      </c>
      <c r="AX47" s="39"/>
      <c r="AY47" s="40">
        <v>0</v>
      </c>
      <c r="AZ47" s="39"/>
      <c r="BA47" s="42">
        <f t="shared" ref="BA47:BA78" si="47">IF($K47&lt;=$F$15,$F$145*AY47,"")</f>
        <v>0</v>
      </c>
      <c r="BB47" s="72">
        <f t="shared" si="27"/>
        <v>0</v>
      </c>
      <c r="BC47" s="39"/>
      <c r="BD47" s="72">
        <f t="shared" ref="BD47:BD78" si="48">IF($K47&lt;=$F$15,($AT47+$F$151)*$F$150,"")</f>
        <v>0</v>
      </c>
      <c r="BE47" s="72">
        <f t="shared" si="28"/>
        <v>0</v>
      </c>
      <c r="BF47" s="39"/>
      <c r="BG47" s="42">
        <f t="shared" ref="BG47:BG78" si="49">IF($K47&lt;=$F$15,$F$152*AY47,"")</f>
        <v>0</v>
      </c>
      <c r="BH47" s="72">
        <f t="shared" si="29"/>
        <v>0</v>
      </c>
      <c r="BI47" s="39"/>
      <c r="BJ47" s="40" t="str">
        <f t="shared" si="30"/>
        <v/>
      </c>
      <c r="BK47" s="157" t="str">
        <f t="shared" si="31"/>
        <v/>
      </c>
      <c r="BL47" s="157" t="str">
        <f t="shared" si="15"/>
        <v/>
      </c>
      <c r="BM47" s="72"/>
      <c r="BN47" s="72" t="str">
        <f t="shared" si="32"/>
        <v/>
      </c>
      <c r="BO47" s="72" t="str">
        <f t="shared" si="33"/>
        <v/>
      </c>
      <c r="BP47" s="39"/>
      <c r="BQ47" s="72">
        <f t="shared" ref="BQ47:BQ78" si="50">IF($K47&lt;=$F$15,$F$134,"")</f>
        <v>7064064000</v>
      </c>
      <c r="BR47" s="72">
        <f t="shared" si="34"/>
        <v>2663337536.615253</v>
      </c>
    </row>
    <row r="48" spans="2:70" x14ac:dyDescent="0.15">
      <c r="B48" s="9"/>
      <c r="C48" s="9"/>
      <c r="D48" s="9" t="s">
        <v>184</v>
      </c>
      <c r="E48" s="9"/>
      <c r="F48" s="88"/>
      <c r="G48" s="9"/>
      <c r="H48" s="9"/>
      <c r="I48" s="459">
        <f t="shared" si="35"/>
        <v>2053</v>
      </c>
      <c r="K48" s="71">
        <f t="shared" si="36"/>
        <v>34</v>
      </c>
      <c r="M48" s="7">
        <f t="shared" si="0"/>
        <v>0.36604489974263904</v>
      </c>
      <c r="O48" s="10">
        <f t="shared" si="37"/>
        <v>0</v>
      </c>
      <c r="P48" s="29" t="str">
        <f t="shared" si="38"/>
        <v>-</v>
      </c>
      <c r="R48" s="10">
        <f t="shared" ref="R48:R79" si="51">IF($K48&lt;=$F$15,MAX($F$117*5%,R47*$F$129),"")</f>
        <v>30845000000</v>
      </c>
      <c r="T48" s="10">
        <f t="shared" si="18"/>
        <v>30845000000</v>
      </c>
      <c r="V48" s="10">
        <f t="shared" si="39"/>
        <v>0</v>
      </c>
      <c r="W48" s="10">
        <f t="shared" si="19"/>
        <v>0</v>
      </c>
      <c r="Y48" s="10">
        <f t="shared" si="40"/>
        <v>431830000</v>
      </c>
      <c r="Z48" s="10">
        <f t="shared" si="20"/>
        <v>158069169.05586383</v>
      </c>
      <c r="AB48" s="10">
        <f t="shared" si="4"/>
        <v>0</v>
      </c>
      <c r="AC48" s="10">
        <f t="shared" si="21"/>
        <v>0</v>
      </c>
      <c r="AE48" s="10">
        <f t="shared" si="41"/>
        <v>0</v>
      </c>
      <c r="AF48" s="10">
        <f t="shared" si="22"/>
        <v>0</v>
      </c>
      <c r="AH48" s="10">
        <f t="shared" si="42"/>
        <v>2220000000</v>
      </c>
      <c r="AI48" s="10">
        <f t="shared" si="23"/>
        <v>812619677.42865872</v>
      </c>
      <c r="AK48" s="10">
        <f t="shared" si="43"/>
        <v>11721100000</v>
      </c>
      <c r="AL48" s="10">
        <f t="shared" si="44"/>
        <v>4290448874.3734465</v>
      </c>
      <c r="AN48" s="10">
        <f t="shared" si="9"/>
        <v>9410000000</v>
      </c>
      <c r="AO48" s="10">
        <f t="shared" si="24"/>
        <v>3444482506.5782332</v>
      </c>
      <c r="AQ48" s="10">
        <f t="shared" si="45"/>
        <v>2988940800</v>
      </c>
      <c r="AR48" s="10">
        <f t="shared" si="25"/>
        <v>1094086535.4726834</v>
      </c>
      <c r="AT48" s="7">
        <f>IF($K48&lt;=$F$15,IF($F$40&lt;&gt;"",$F$40/1000,IF(ISERROR(VLOOKUP($F$3&amp;IF($G$4&lt;&gt;"",$G$4,"")&amp;IF($F$43&lt;&gt;"","_"&amp;$F$43,""),'表3）燃料価格'!$AF$9:$AG$25,2,0)),0,VLOOKUP($I48,'表3）燃料価格'!$A$6:$U$66,VLOOKUP($F$3&amp;IF($G$4&lt;&gt;"",$G$4,"")&amp;IF($F$43&lt;&gt;"","_"&amp;$F$43,""),'表3）燃料価格'!$AF$9:$AG$25,2,0)+VLOOKUP($F$41,'表3）燃料価格'!$AF$28:$AG$29,2,0),0)*IF($F$43="需要地価格",1,$F$8/$F$141))),"")</f>
        <v>0</v>
      </c>
      <c r="AV48" s="10">
        <f t="shared" si="46"/>
        <v>0</v>
      </c>
      <c r="AW48" s="10">
        <f t="shared" si="26"/>
        <v>0</v>
      </c>
      <c r="AY48" s="7">
        <v>0</v>
      </c>
      <c r="BA48" s="11">
        <f t="shared" si="47"/>
        <v>0</v>
      </c>
      <c r="BB48" s="10">
        <f t="shared" si="27"/>
        <v>0</v>
      </c>
      <c r="BD48" s="10">
        <f t="shared" si="48"/>
        <v>0</v>
      </c>
      <c r="BE48" s="10">
        <f t="shared" si="28"/>
        <v>0</v>
      </c>
      <c r="BG48" s="11">
        <f t="shared" si="49"/>
        <v>0</v>
      </c>
      <c r="BH48" s="10">
        <f t="shared" si="29"/>
        <v>0</v>
      </c>
      <c r="BJ48" s="7" t="str">
        <f t="shared" si="30"/>
        <v/>
      </c>
      <c r="BK48" s="158" t="str">
        <f t="shared" si="31"/>
        <v/>
      </c>
      <c r="BL48" s="158" t="str">
        <f t="shared" si="15"/>
        <v/>
      </c>
      <c r="BM48" s="10"/>
      <c r="BN48" s="10" t="str">
        <f t="shared" si="32"/>
        <v/>
      </c>
      <c r="BO48" s="10" t="str">
        <f t="shared" si="33"/>
        <v/>
      </c>
      <c r="BQ48" s="10">
        <f t="shared" si="50"/>
        <v>7064064000</v>
      </c>
      <c r="BR48" s="10">
        <f t="shared" si="34"/>
        <v>2585764598.6555858</v>
      </c>
    </row>
    <row r="49" spans="2:70" x14ac:dyDescent="0.15">
      <c r="B49" s="9"/>
      <c r="C49" s="9"/>
      <c r="D49" s="9"/>
      <c r="E49" s="9"/>
      <c r="G49" s="9"/>
      <c r="H49" s="9"/>
      <c r="I49" s="458">
        <f t="shared" si="35"/>
        <v>2054</v>
      </c>
      <c r="J49" s="39"/>
      <c r="K49" s="39">
        <f t="shared" si="36"/>
        <v>35</v>
      </c>
      <c r="L49" s="39"/>
      <c r="M49" s="40">
        <f t="shared" si="0"/>
        <v>0.35538339780838735</v>
      </c>
      <c r="N49" s="39"/>
      <c r="O49" s="72">
        <f t="shared" si="37"/>
        <v>0</v>
      </c>
      <c r="P49" s="41" t="str">
        <f t="shared" si="38"/>
        <v>-</v>
      </c>
      <c r="Q49" s="39"/>
      <c r="R49" s="72">
        <f t="shared" si="51"/>
        <v>30845000000</v>
      </c>
      <c r="S49" s="39"/>
      <c r="T49" s="72">
        <f t="shared" si="18"/>
        <v>30845000000</v>
      </c>
      <c r="U49" s="39"/>
      <c r="V49" s="72">
        <f t="shared" si="39"/>
        <v>0</v>
      </c>
      <c r="W49" s="72">
        <f t="shared" si="19"/>
        <v>0</v>
      </c>
      <c r="X49" s="39"/>
      <c r="Y49" s="72">
        <f t="shared" si="40"/>
        <v>431830000</v>
      </c>
      <c r="Z49" s="72">
        <f t="shared" si="20"/>
        <v>153465212.67559591</v>
      </c>
      <c r="AA49" s="39"/>
      <c r="AB49" s="72">
        <f t="shared" si="4"/>
        <v>0</v>
      </c>
      <c r="AC49" s="72">
        <f t="shared" si="21"/>
        <v>0</v>
      </c>
      <c r="AD49" s="39"/>
      <c r="AE49" s="72">
        <f t="shared" si="41"/>
        <v>0</v>
      </c>
      <c r="AF49" s="72">
        <f t="shared" si="22"/>
        <v>0</v>
      </c>
      <c r="AG49" s="39"/>
      <c r="AH49" s="72">
        <f t="shared" si="42"/>
        <v>2220000000</v>
      </c>
      <c r="AI49" s="72">
        <f t="shared" si="23"/>
        <v>788951143.13461995</v>
      </c>
      <c r="AJ49" s="39"/>
      <c r="AK49" s="72">
        <f t="shared" si="43"/>
        <v>11721100000</v>
      </c>
      <c r="AL49" s="72">
        <f t="shared" si="44"/>
        <v>4165484344.0518889</v>
      </c>
      <c r="AM49" s="39"/>
      <c r="AN49" s="72">
        <f t="shared" si="9"/>
        <v>9410000000</v>
      </c>
      <c r="AO49" s="72">
        <f t="shared" si="24"/>
        <v>3344157773.376925</v>
      </c>
      <c r="AP49" s="39"/>
      <c r="AQ49" s="72">
        <f t="shared" si="45"/>
        <v>2988940800</v>
      </c>
      <c r="AR49" s="72">
        <f t="shared" si="25"/>
        <v>1062219937.3521196</v>
      </c>
      <c r="AS49" s="39"/>
      <c r="AT49" s="40">
        <f>IF($K49&lt;=$F$15,IF($F$40&lt;&gt;"",$F$40/1000,IF(ISERROR(VLOOKUP($F$3&amp;IF($G$4&lt;&gt;"",$G$4,"")&amp;IF($F$43&lt;&gt;"","_"&amp;$F$43,""),'表3）燃料価格'!$AF$9:$AG$25,2,0)),0,VLOOKUP($I49,'表3）燃料価格'!$A$6:$U$66,VLOOKUP($F$3&amp;IF($G$4&lt;&gt;"",$G$4,"")&amp;IF($F$43&lt;&gt;"","_"&amp;$F$43,""),'表3）燃料価格'!$AF$9:$AG$25,2,0)+VLOOKUP($F$41,'表3）燃料価格'!$AF$28:$AG$29,2,0),0)*IF($F$43="需要地価格",1,$F$8/$F$141))),"")</f>
        <v>0</v>
      </c>
      <c r="AU49" s="39"/>
      <c r="AV49" s="72">
        <f t="shared" si="46"/>
        <v>0</v>
      </c>
      <c r="AW49" s="72">
        <f t="shared" si="26"/>
        <v>0</v>
      </c>
      <c r="AX49" s="39"/>
      <c r="AY49" s="40">
        <v>0</v>
      </c>
      <c r="AZ49" s="39"/>
      <c r="BA49" s="42">
        <f t="shared" si="47"/>
        <v>0</v>
      </c>
      <c r="BB49" s="72">
        <f t="shared" si="27"/>
        <v>0</v>
      </c>
      <c r="BC49" s="39"/>
      <c r="BD49" s="72">
        <f t="shared" si="48"/>
        <v>0</v>
      </c>
      <c r="BE49" s="72">
        <f t="shared" si="28"/>
        <v>0</v>
      </c>
      <c r="BF49" s="39"/>
      <c r="BG49" s="42">
        <f t="shared" si="49"/>
        <v>0</v>
      </c>
      <c r="BH49" s="72">
        <f t="shared" si="29"/>
        <v>0</v>
      </c>
      <c r="BI49" s="39"/>
      <c r="BJ49" s="40" t="str">
        <f t="shared" si="30"/>
        <v/>
      </c>
      <c r="BK49" s="157" t="str">
        <f t="shared" si="31"/>
        <v/>
      </c>
      <c r="BL49" s="157" t="str">
        <f t="shared" si="15"/>
        <v/>
      </c>
      <c r="BM49" s="72"/>
      <c r="BN49" s="72" t="str">
        <f t="shared" si="32"/>
        <v/>
      </c>
      <c r="BO49" s="72" t="str">
        <f t="shared" si="33"/>
        <v/>
      </c>
      <c r="BP49" s="39"/>
      <c r="BQ49" s="72">
        <f t="shared" si="50"/>
        <v>7064064000</v>
      </c>
      <c r="BR49" s="72">
        <f t="shared" si="34"/>
        <v>2510451066.6559081</v>
      </c>
    </row>
    <row r="50" spans="2:70" x14ac:dyDescent="0.15">
      <c r="B50" s="9"/>
      <c r="C50" s="89" t="s">
        <v>510</v>
      </c>
      <c r="D50" s="89"/>
      <c r="E50" s="89"/>
      <c r="F50" s="89"/>
      <c r="G50" s="89"/>
      <c r="H50" s="9"/>
      <c r="I50" s="459">
        <f t="shared" si="35"/>
        <v>2055</v>
      </c>
      <c r="K50" s="71">
        <f t="shared" si="36"/>
        <v>36</v>
      </c>
      <c r="M50" s="7">
        <f t="shared" si="0"/>
        <v>0.34503242505668674</v>
      </c>
      <c r="O50" s="10">
        <f t="shared" si="37"/>
        <v>0</v>
      </c>
      <c r="P50" s="29" t="str">
        <f t="shared" si="38"/>
        <v>-</v>
      </c>
      <c r="R50" s="10">
        <f t="shared" si="51"/>
        <v>30845000000</v>
      </c>
      <c r="T50" s="10">
        <f t="shared" si="18"/>
        <v>30845000000</v>
      </c>
      <c r="V50" s="10">
        <f t="shared" si="39"/>
        <v>0</v>
      </c>
      <c r="W50" s="10">
        <f t="shared" si="19"/>
        <v>0</v>
      </c>
      <c r="Y50" s="10">
        <f t="shared" si="40"/>
        <v>431830000</v>
      </c>
      <c r="Z50" s="10">
        <f t="shared" si="20"/>
        <v>148995352.11222905</v>
      </c>
      <c r="AB50" s="10">
        <f t="shared" si="4"/>
        <v>0</v>
      </c>
      <c r="AC50" s="10">
        <f t="shared" si="21"/>
        <v>0</v>
      </c>
      <c r="AE50" s="10">
        <f t="shared" si="41"/>
        <v>0</v>
      </c>
      <c r="AF50" s="10">
        <f t="shared" si="22"/>
        <v>0</v>
      </c>
      <c r="AH50" s="10">
        <f t="shared" si="42"/>
        <v>2220000000</v>
      </c>
      <c r="AI50" s="10">
        <f t="shared" si="23"/>
        <v>765971983.6258446</v>
      </c>
      <c r="AK50" s="10">
        <f t="shared" si="43"/>
        <v>11721100000</v>
      </c>
      <c r="AL50" s="10">
        <f t="shared" si="44"/>
        <v>4044159557.3319311</v>
      </c>
      <c r="AN50" s="10">
        <f t="shared" si="9"/>
        <v>9410000000</v>
      </c>
      <c r="AO50" s="10">
        <f t="shared" si="24"/>
        <v>3246755119.7834225</v>
      </c>
      <c r="AQ50" s="10">
        <f t="shared" si="45"/>
        <v>2988940800</v>
      </c>
      <c r="AR50" s="10">
        <f t="shared" si="25"/>
        <v>1031281492.5748733</v>
      </c>
      <c r="AT50" s="7">
        <f>IF($K50&lt;=$F$15,IF($F$40&lt;&gt;"",$F$40/1000,IF(ISERROR(VLOOKUP($F$3&amp;IF($G$4&lt;&gt;"",$G$4,"")&amp;IF($F$43&lt;&gt;"","_"&amp;$F$43,""),'表3）燃料価格'!$AF$9:$AG$25,2,0)),0,VLOOKUP($I50,'表3）燃料価格'!$A$6:$U$66,VLOOKUP($F$3&amp;IF($G$4&lt;&gt;"",$G$4,"")&amp;IF($F$43&lt;&gt;"","_"&amp;$F$43,""),'表3）燃料価格'!$AF$9:$AG$25,2,0)+VLOOKUP($F$41,'表3）燃料価格'!$AF$28:$AG$29,2,0),0)*IF($F$43="需要地価格",1,$F$8/$F$141))),"")</f>
        <v>0</v>
      </c>
      <c r="AV50" s="10">
        <f t="shared" si="46"/>
        <v>0</v>
      </c>
      <c r="AW50" s="10">
        <f t="shared" si="26"/>
        <v>0</v>
      </c>
      <c r="AY50" s="7">
        <v>0</v>
      </c>
      <c r="BA50" s="11">
        <f t="shared" si="47"/>
        <v>0</v>
      </c>
      <c r="BB50" s="10">
        <f t="shared" si="27"/>
        <v>0</v>
      </c>
      <c r="BD50" s="10">
        <f t="shared" si="48"/>
        <v>0</v>
      </c>
      <c r="BE50" s="10">
        <f t="shared" si="28"/>
        <v>0</v>
      </c>
      <c r="BG50" s="11">
        <f t="shared" si="49"/>
        <v>0</v>
      </c>
      <c r="BH50" s="10">
        <f t="shared" si="29"/>
        <v>0</v>
      </c>
      <c r="BJ50" s="7" t="str">
        <f t="shared" si="30"/>
        <v/>
      </c>
      <c r="BK50" s="158" t="str">
        <f t="shared" si="31"/>
        <v/>
      </c>
      <c r="BL50" s="158" t="str">
        <f t="shared" si="15"/>
        <v/>
      </c>
      <c r="BM50" s="10"/>
      <c r="BN50" s="10" t="str">
        <f t="shared" si="32"/>
        <v/>
      </c>
      <c r="BO50" s="10" t="str">
        <f t="shared" si="33"/>
        <v/>
      </c>
      <c r="BQ50" s="10">
        <f t="shared" si="50"/>
        <v>7064064000</v>
      </c>
      <c r="BR50" s="10">
        <f t="shared" si="34"/>
        <v>2437331132.6756387</v>
      </c>
    </row>
    <row r="51" spans="2:70" x14ac:dyDescent="0.15">
      <c r="B51" s="9"/>
      <c r="C51" s="9"/>
      <c r="D51" s="9"/>
      <c r="E51" s="9"/>
      <c r="G51" s="9"/>
      <c r="H51" s="9"/>
      <c r="I51" s="458">
        <f t="shared" si="35"/>
        <v>2056</v>
      </c>
      <c r="J51" s="39"/>
      <c r="K51" s="39">
        <f t="shared" si="36"/>
        <v>37</v>
      </c>
      <c r="L51" s="39"/>
      <c r="M51" s="40">
        <f t="shared" si="0"/>
        <v>0.33498293694823961</v>
      </c>
      <c r="N51" s="39"/>
      <c r="O51" s="72">
        <f t="shared" si="37"/>
        <v>0</v>
      </c>
      <c r="P51" s="41" t="str">
        <f t="shared" si="38"/>
        <v>-</v>
      </c>
      <c r="Q51" s="39"/>
      <c r="R51" s="72">
        <f t="shared" si="51"/>
        <v>30845000000</v>
      </c>
      <c r="S51" s="39"/>
      <c r="T51" s="72">
        <f t="shared" si="18"/>
        <v>30845000000</v>
      </c>
      <c r="U51" s="39"/>
      <c r="V51" s="72">
        <f t="shared" si="39"/>
        <v>0</v>
      </c>
      <c r="W51" s="72">
        <f t="shared" si="19"/>
        <v>0</v>
      </c>
      <c r="X51" s="39"/>
      <c r="Y51" s="72">
        <f t="shared" si="40"/>
        <v>431830000</v>
      </c>
      <c r="Z51" s="72">
        <f t="shared" si="20"/>
        <v>144655681.66235831</v>
      </c>
      <c r="AA51" s="39"/>
      <c r="AB51" s="72">
        <f t="shared" si="4"/>
        <v>0</v>
      </c>
      <c r="AC51" s="72">
        <f t="shared" si="21"/>
        <v>0</v>
      </c>
      <c r="AD51" s="39"/>
      <c r="AE51" s="72">
        <f t="shared" si="41"/>
        <v>0</v>
      </c>
      <c r="AF51" s="72">
        <f t="shared" si="22"/>
        <v>0</v>
      </c>
      <c r="AG51" s="39"/>
      <c r="AH51" s="72">
        <f t="shared" si="42"/>
        <v>2220000000</v>
      </c>
      <c r="AI51" s="72">
        <f t="shared" si="23"/>
        <v>743662120.02509189</v>
      </c>
      <c r="AJ51" s="39"/>
      <c r="AK51" s="72">
        <f t="shared" si="43"/>
        <v>11721100000</v>
      </c>
      <c r="AL51" s="72">
        <f t="shared" si="44"/>
        <v>3926368502.2640114</v>
      </c>
      <c r="AM51" s="39"/>
      <c r="AN51" s="72">
        <f t="shared" si="9"/>
        <v>9410000000</v>
      </c>
      <c r="AO51" s="72">
        <f t="shared" si="24"/>
        <v>3152189436.6829348</v>
      </c>
      <c r="AP51" s="39"/>
      <c r="AQ51" s="72">
        <f t="shared" si="45"/>
        <v>2988940800</v>
      </c>
      <c r="AR51" s="72">
        <f t="shared" si="25"/>
        <v>1001244167.5484209</v>
      </c>
      <c r="AS51" s="39"/>
      <c r="AT51" s="40">
        <f>IF($K51&lt;=$F$15,IF($F$40&lt;&gt;"",$F$40/1000,IF(ISERROR(VLOOKUP($F$3&amp;IF($G$4&lt;&gt;"",$G$4,"")&amp;IF($F$43&lt;&gt;"","_"&amp;$F$43,""),'表3）燃料価格'!$AF$9:$AG$25,2,0)),0,VLOOKUP($I51,'表3）燃料価格'!$A$6:$U$66,VLOOKUP($F$3&amp;IF($G$4&lt;&gt;"",$G$4,"")&amp;IF($F$43&lt;&gt;"","_"&amp;$F$43,""),'表3）燃料価格'!$AF$9:$AG$25,2,0)+VLOOKUP($F$41,'表3）燃料価格'!$AF$28:$AG$29,2,0),0)*IF($F$43="需要地価格",1,$F$8/$F$141))),"")</f>
        <v>0</v>
      </c>
      <c r="AU51" s="39"/>
      <c r="AV51" s="72">
        <f t="shared" si="46"/>
        <v>0</v>
      </c>
      <c r="AW51" s="72">
        <f t="shared" si="26"/>
        <v>0</v>
      </c>
      <c r="AX51" s="39"/>
      <c r="AY51" s="40">
        <v>0</v>
      </c>
      <c r="AZ51" s="39"/>
      <c r="BA51" s="42">
        <f t="shared" si="47"/>
        <v>0</v>
      </c>
      <c r="BB51" s="72">
        <f t="shared" si="27"/>
        <v>0</v>
      </c>
      <c r="BC51" s="39"/>
      <c r="BD51" s="72">
        <f t="shared" si="48"/>
        <v>0</v>
      </c>
      <c r="BE51" s="72">
        <f t="shared" si="28"/>
        <v>0</v>
      </c>
      <c r="BF51" s="39"/>
      <c r="BG51" s="42">
        <f t="shared" si="49"/>
        <v>0</v>
      </c>
      <c r="BH51" s="72">
        <f t="shared" si="29"/>
        <v>0</v>
      </c>
      <c r="BI51" s="39"/>
      <c r="BJ51" s="40" t="str">
        <f t="shared" si="30"/>
        <v/>
      </c>
      <c r="BK51" s="157" t="str">
        <f t="shared" si="31"/>
        <v/>
      </c>
      <c r="BL51" s="157" t="str">
        <f t="shared" si="15"/>
        <v/>
      </c>
      <c r="BM51" s="72"/>
      <c r="BN51" s="72" t="str">
        <f t="shared" si="32"/>
        <v/>
      </c>
      <c r="BO51" s="72" t="str">
        <f t="shared" si="33"/>
        <v/>
      </c>
      <c r="BP51" s="39"/>
      <c r="BQ51" s="72">
        <f t="shared" si="50"/>
        <v>7064064000</v>
      </c>
      <c r="BR51" s="72">
        <f t="shared" si="34"/>
        <v>2366340905.5103292</v>
      </c>
    </row>
    <row r="52" spans="2:70" x14ac:dyDescent="0.15">
      <c r="B52" s="9"/>
      <c r="C52" s="9"/>
      <c r="D52" s="9" t="s">
        <v>511</v>
      </c>
      <c r="E52" s="9"/>
      <c r="F52" s="90"/>
      <c r="G52" s="9" t="s">
        <v>172</v>
      </c>
      <c r="H52" s="9"/>
      <c r="I52" s="459">
        <f t="shared" si="35"/>
        <v>2057</v>
      </c>
      <c r="K52" s="71">
        <f t="shared" si="36"/>
        <v>38</v>
      </c>
      <c r="M52" s="7">
        <f t="shared" si="0"/>
        <v>0.3252261523769317</v>
      </c>
      <c r="O52" s="10">
        <f t="shared" si="37"/>
        <v>0</v>
      </c>
      <c r="P52" s="29" t="str">
        <f t="shared" si="38"/>
        <v>-</v>
      </c>
      <c r="R52" s="10">
        <f t="shared" si="51"/>
        <v>30845000000</v>
      </c>
      <c r="T52" s="10">
        <f t="shared" si="18"/>
        <v>30845000000</v>
      </c>
      <c r="V52" s="10">
        <f t="shared" si="39"/>
        <v>0</v>
      </c>
      <c r="W52" s="10">
        <f t="shared" si="19"/>
        <v>0</v>
      </c>
      <c r="Y52" s="10">
        <f t="shared" si="40"/>
        <v>431830000</v>
      </c>
      <c r="Z52" s="10">
        <f t="shared" si="20"/>
        <v>140442409.38093042</v>
      </c>
      <c r="AB52" s="10">
        <f t="shared" si="4"/>
        <v>0</v>
      </c>
      <c r="AC52" s="10">
        <f t="shared" si="21"/>
        <v>0</v>
      </c>
      <c r="AE52" s="10">
        <f t="shared" si="41"/>
        <v>0</v>
      </c>
      <c r="AF52" s="10">
        <f t="shared" si="22"/>
        <v>0</v>
      </c>
      <c r="AH52" s="10">
        <f t="shared" si="42"/>
        <v>2220000000</v>
      </c>
      <c r="AI52" s="10">
        <f t="shared" si="23"/>
        <v>722002058.27678835</v>
      </c>
      <c r="AK52" s="10">
        <f t="shared" si="43"/>
        <v>11721100000</v>
      </c>
      <c r="AL52" s="10">
        <f t="shared" si="44"/>
        <v>3812008254.6252542</v>
      </c>
      <c r="AN52" s="10">
        <f t="shared" si="9"/>
        <v>9410000000</v>
      </c>
      <c r="AO52" s="10">
        <f t="shared" si="24"/>
        <v>3060378093.8669271</v>
      </c>
      <c r="AQ52" s="10">
        <f t="shared" si="45"/>
        <v>2988940800</v>
      </c>
      <c r="AR52" s="10">
        <f t="shared" si="25"/>
        <v>972081716.06642818</v>
      </c>
      <c r="AT52" s="7">
        <f>IF($K52&lt;=$F$15,IF($F$40&lt;&gt;"",$F$40/1000,IF(ISERROR(VLOOKUP($F$3&amp;IF($G$4&lt;&gt;"",$G$4,"")&amp;IF($F$43&lt;&gt;"","_"&amp;$F$43,""),'表3）燃料価格'!$AF$9:$AG$25,2,0)),0,VLOOKUP($I52,'表3）燃料価格'!$A$6:$U$66,VLOOKUP($F$3&amp;IF($G$4&lt;&gt;"",$G$4,"")&amp;IF($F$43&lt;&gt;"","_"&amp;$F$43,""),'表3）燃料価格'!$AF$9:$AG$25,2,0)+VLOOKUP($F$41,'表3）燃料価格'!$AF$28:$AG$29,2,0),0)*IF($F$43="需要地価格",1,$F$8/$F$141))),"")</f>
        <v>0</v>
      </c>
      <c r="AV52" s="10">
        <f t="shared" si="46"/>
        <v>0</v>
      </c>
      <c r="AW52" s="10">
        <f t="shared" si="26"/>
        <v>0</v>
      </c>
      <c r="AY52" s="7">
        <v>0</v>
      </c>
      <c r="BA52" s="11">
        <f t="shared" si="47"/>
        <v>0</v>
      </c>
      <c r="BB52" s="10">
        <f t="shared" si="27"/>
        <v>0</v>
      </c>
      <c r="BD52" s="10">
        <f t="shared" si="48"/>
        <v>0</v>
      </c>
      <c r="BE52" s="10">
        <f t="shared" si="28"/>
        <v>0</v>
      </c>
      <c r="BG52" s="11">
        <f t="shared" si="49"/>
        <v>0</v>
      </c>
      <c r="BH52" s="10">
        <f t="shared" si="29"/>
        <v>0</v>
      </c>
      <c r="BJ52" s="7" t="str">
        <f t="shared" si="30"/>
        <v/>
      </c>
      <c r="BK52" s="158" t="str">
        <f t="shared" si="31"/>
        <v/>
      </c>
      <c r="BL52" s="158" t="str">
        <f t="shared" si="15"/>
        <v/>
      </c>
      <c r="BM52" s="10"/>
      <c r="BN52" s="10" t="str">
        <f t="shared" si="32"/>
        <v/>
      </c>
      <c r="BO52" s="10" t="str">
        <f t="shared" si="33"/>
        <v/>
      </c>
      <c r="BQ52" s="10">
        <f t="shared" si="50"/>
        <v>7064064000</v>
      </c>
      <c r="BR52" s="10">
        <f t="shared" si="34"/>
        <v>2297418354.8643975</v>
      </c>
    </row>
    <row r="53" spans="2:70" x14ac:dyDescent="0.15">
      <c r="B53" s="9"/>
      <c r="C53" s="9"/>
      <c r="D53" s="9" t="s">
        <v>186</v>
      </c>
      <c r="E53" s="9"/>
      <c r="F53" s="66"/>
      <c r="G53" s="9" t="s">
        <v>172</v>
      </c>
      <c r="H53" s="9"/>
      <c r="I53" s="458">
        <f t="shared" si="35"/>
        <v>2058</v>
      </c>
      <c r="J53" s="39"/>
      <c r="K53" s="39">
        <f t="shared" si="36"/>
        <v>39</v>
      </c>
      <c r="L53" s="39"/>
      <c r="M53" s="40">
        <f t="shared" si="0"/>
        <v>0.31575354599702099</v>
      </c>
      <c r="N53" s="39"/>
      <c r="O53" s="72">
        <f t="shared" si="37"/>
        <v>0</v>
      </c>
      <c r="P53" s="41" t="str">
        <f t="shared" si="38"/>
        <v>-</v>
      </c>
      <c r="Q53" s="39"/>
      <c r="R53" s="72">
        <f t="shared" si="51"/>
        <v>30845000000</v>
      </c>
      <c r="S53" s="39"/>
      <c r="T53" s="72">
        <f t="shared" si="18"/>
        <v>30845000000</v>
      </c>
      <c r="U53" s="39"/>
      <c r="V53" s="72">
        <f t="shared" si="39"/>
        <v>0</v>
      </c>
      <c r="W53" s="72">
        <f t="shared" si="19"/>
        <v>0</v>
      </c>
      <c r="X53" s="39"/>
      <c r="Y53" s="72">
        <f t="shared" si="40"/>
        <v>431830000</v>
      </c>
      <c r="Z53" s="72">
        <f t="shared" si="20"/>
        <v>136351853.76789358</v>
      </c>
      <c r="AA53" s="39"/>
      <c r="AB53" s="72">
        <f t="shared" si="4"/>
        <v>0</v>
      </c>
      <c r="AC53" s="72">
        <f t="shared" si="21"/>
        <v>0</v>
      </c>
      <c r="AD53" s="39"/>
      <c r="AE53" s="72">
        <f t="shared" si="41"/>
        <v>0</v>
      </c>
      <c r="AF53" s="72">
        <f t="shared" si="22"/>
        <v>0</v>
      </c>
      <c r="AG53" s="39"/>
      <c r="AH53" s="72">
        <f t="shared" si="42"/>
        <v>2220000000</v>
      </c>
      <c r="AI53" s="72">
        <f t="shared" si="23"/>
        <v>700972872.11338663</v>
      </c>
      <c r="AJ53" s="39"/>
      <c r="AK53" s="72">
        <f t="shared" si="43"/>
        <v>11721100000</v>
      </c>
      <c r="AL53" s="72">
        <f t="shared" si="44"/>
        <v>3700978887.985683</v>
      </c>
      <c r="AM53" s="39"/>
      <c r="AN53" s="72">
        <f t="shared" si="9"/>
        <v>9410000000</v>
      </c>
      <c r="AO53" s="72">
        <f t="shared" si="24"/>
        <v>2971240867.8319674</v>
      </c>
      <c r="AP53" s="39"/>
      <c r="AQ53" s="72">
        <f t="shared" si="45"/>
        <v>2988940800</v>
      </c>
      <c r="AR53" s="72">
        <f t="shared" si="25"/>
        <v>943768656.37517273</v>
      </c>
      <c r="AS53" s="39"/>
      <c r="AT53" s="40">
        <f>IF($K53&lt;=$F$15,IF($F$40&lt;&gt;"",$F$40/1000,IF(ISERROR(VLOOKUP($F$3&amp;IF($G$4&lt;&gt;"",$G$4,"")&amp;IF($F$43&lt;&gt;"","_"&amp;$F$43,""),'表3）燃料価格'!$AF$9:$AG$25,2,0)),0,VLOOKUP($I53,'表3）燃料価格'!$A$6:$U$66,VLOOKUP($F$3&amp;IF($G$4&lt;&gt;"",$G$4,"")&amp;IF($F$43&lt;&gt;"","_"&amp;$F$43,""),'表3）燃料価格'!$AF$9:$AG$25,2,0)+VLOOKUP($F$41,'表3）燃料価格'!$AF$28:$AG$29,2,0),0)*IF($F$43="需要地価格",1,$F$8/$F$141))),"")</f>
        <v>0</v>
      </c>
      <c r="AU53" s="39"/>
      <c r="AV53" s="72">
        <f t="shared" si="46"/>
        <v>0</v>
      </c>
      <c r="AW53" s="72">
        <f t="shared" si="26"/>
        <v>0</v>
      </c>
      <c r="AX53" s="39"/>
      <c r="AY53" s="40">
        <v>0</v>
      </c>
      <c r="AZ53" s="39"/>
      <c r="BA53" s="42">
        <f t="shared" si="47"/>
        <v>0</v>
      </c>
      <c r="BB53" s="72">
        <f t="shared" si="27"/>
        <v>0</v>
      </c>
      <c r="BC53" s="39"/>
      <c r="BD53" s="72">
        <f t="shared" si="48"/>
        <v>0</v>
      </c>
      <c r="BE53" s="72">
        <f t="shared" si="28"/>
        <v>0</v>
      </c>
      <c r="BF53" s="39"/>
      <c r="BG53" s="42">
        <f t="shared" si="49"/>
        <v>0</v>
      </c>
      <c r="BH53" s="72">
        <f t="shared" si="29"/>
        <v>0</v>
      </c>
      <c r="BI53" s="39"/>
      <c r="BJ53" s="40" t="str">
        <f t="shared" si="30"/>
        <v/>
      </c>
      <c r="BK53" s="157" t="str">
        <f t="shared" si="31"/>
        <v/>
      </c>
      <c r="BL53" s="157" t="str">
        <f t="shared" si="15"/>
        <v/>
      </c>
      <c r="BM53" s="72"/>
      <c r="BN53" s="72" t="str">
        <f t="shared" si="32"/>
        <v/>
      </c>
      <c r="BO53" s="72" t="str">
        <f t="shared" si="33"/>
        <v/>
      </c>
      <c r="BP53" s="39"/>
      <c r="BQ53" s="72">
        <f t="shared" si="50"/>
        <v>7064064000</v>
      </c>
      <c r="BR53" s="72">
        <f t="shared" si="34"/>
        <v>2230503257.1499</v>
      </c>
    </row>
    <row r="54" spans="2:70" x14ac:dyDescent="0.15">
      <c r="B54" s="9"/>
      <c r="C54" s="9"/>
      <c r="D54" s="9" t="s">
        <v>187</v>
      </c>
      <c r="E54" s="9"/>
      <c r="F54" s="66"/>
      <c r="G54" s="9" t="s">
        <v>172</v>
      </c>
      <c r="H54" s="9"/>
      <c r="I54" s="459">
        <f t="shared" si="35"/>
        <v>2059</v>
      </c>
      <c r="K54" s="71">
        <f t="shared" si="36"/>
        <v>40</v>
      </c>
      <c r="M54" s="7">
        <f t="shared" si="0"/>
        <v>0.30655684077380685</v>
      </c>
      <c r="O54" s="10">
        <f t="shared" si="37"/>
        <v>0</v>
      </c>
      <c r="P54" s="29" t="str">
        <f t="shared" si="38"/>
        <v>-</v>
      </c>
      <c r="R54" s="10">
        <f t="shared" si="51"/>
        <v>30845000000</v>
      </c>
      <c r="T54" s="10">
        <f t="shared" si="18"/>
        <v>30845000000</v>
      </c>
      <c r="V54" s="10">
        <f t="shared" si="39"/>
        <v>0</v>
      </c>
      <c r="W54" s="10">
        <f t="shared" si="19"/>
        <v>0</v>
      </c>
      <c r="Y54" s="10">
        <f t="shared" si="40"/>
        <v>431830000</v>
      </c>
      <c r="Z54" s="10">
        <f t="shared" si="20"/>
        <v>132380440.55135301</v>
      </c>
      <c r="AB54" s="10">
        <f t="shared" si="4"/>
        <v>0</v>
      </c>
      <c r="AC54" s="10">
        <f t="shared" si="21"/>
        <v>0</v>
      </c>
      <c r="AE54" s="10">
        <f t="shared" si="41"/>
        <v>0</v>
      </c>
      <c r="AF54" s="10">
        <f t="shared" si="22"/>
        <v>0</v>
      </c>
      <c r="AH54" s="10">
        <f t="shared" si="42"/>
        <v>2220000000</v>
      </c>
      <c r="AI54" s="10">
        <f t="shared" si="23"/>
        <v>680556186.51785123</v>
      </c>
      <c r="AK54" s="10">
        <f t="shared" si="43"/>
        <v>11721100000</v>
      </c>
      <c r="AL54" s="10">
        <f t="shared" si="44"/>
        <v>3593183386.3938675</v>
      </c>
      <c r="AN54" s="188">
        <f t="shared" si="9"/>
        <v>9410000000</v>
      </c>
      <c r="AO54" s="10">
        <f t="shared" si="24"/>
        <v>2884699871.6815224</v>
      </c>
      <c r="AQ54" s="10">
        <f t="shared" si="45"/>
        <v>2988940800</v>
      </c>
      <c r="AR54" s="10">
        <f t="shared" si="25"/>
        <v>916280248.9079349</v>
      </c>
      <c r="AT54" s="7">
        <f>IF($K54&lt;=$F$15,IF($F$40&lt;&gt;"",$F$40/1000,IF(ISERROR(VLOOKUP($F$3&amp;IF($G$4&lt;&gt;"",$G$4,"")&amp;IF($F$43&lt;&gt;"","_"&amp;$F$43,""),'表3）燃料価格'!$AF$9:$AG$25,2,0)),0,VLOOKUP($I54,'表3）燃料価格'!$A$6:$U$66,VLOOKUP($F$3&amp;IF($G$4&lt;&gt;"",$G$4,"")&amp;IF($F$43&lt;&gt;"","_"&amp;$F$43,""),'表3）燃料価格'!$AF$9:$AG$25,2,0)+VLOOKUP($F$41,'表3）燃料価格'!$AF$28:$AG$29,2,0),0)*IF($F$43="需要地価格",1,$F$8/$F$141))),"")</f>
        <v>0</v>
      </c>
      <c r="AV54" s="10">
        <f t="shared" si="46"/>
        <v>0</v>
      </c>
      <c r="AW54" s="10">
        <f t="shared" si="26"/>
        <v>0</v>
      </c>
      <c r="AY54" s="7">
        <v>0</v>
      </c>
      <c r="BA54" s="11">
        <f t="shared" si="47"/>
        <v>0</v>
      </c>
      <c r="BB54" s="10">
        <f t="shared" si="27"/>
        <v>0</v>
      </c>
      <c r="BD54" s="10">
        <f t="shared" si="48"/>
        <v>0</v>
      </c>
      <c r="BE54" s="10">
        <f t="shared" si="28"/>
        <v>0</v>
      </c>
      <c r="BG54" s="11">
        <f t="shared" si="49"/>
        <v>0</v>
      </c>
      <c r="BH54" s="10">
        <f t="shared" si="29"/>
        <v>0</v>
      </c>
      <c r="BJ54" s="7" t="str">
        <f t="shared" si="30"/>
        <v/>
      </c>
      <c r="BK54" s="158" t="str">
        <f t="shared" si="31"/>
        <v/>
      </c>
      <c r="BL54" s="158" t="str">
        <f t="shared" si="15"/>
        <v/>
      </c>
      <c r="BM54" s="10"/>
      <c r="BN54" s="10" t="str">
        <f t="shared" si="32"/>
        <v/>
      </c>
      <c r="BO54" s="10" t="str">
        <f t="shared" si="33"/>
        <v/>
      </c>
      <c r="BQ54" s="10">
        <f t="shared" si="50"/>
        <v>7064064000</v>
      </c>
      <c r="BR54" s="10">
        <f t="shared" si="34"/>
        <v>2165537142.8639812</v>
      </c>
    </row>
    <row r="55" spans="2:70" ht="16.5" x14ac:dyDescent="0.15">
      <c r="B55" s="9"/>
      <c r="C55" s="9"/>
      <c r="D55" s="9" t="s">
        <v>188</v>
      </c>
      <c r="E55" s="9"/>
      <c r="F55" s="66"/>
      <c r="G55" s="9" t="s">
        <v>372</v>
      </c>
      <c r="H55" s="9"/>
      <c r="I55" s="458">
        <f>I54+1</f>
        <v>2060</v>
      </c>
      <c r="J55" s="39"/>
      <c r="K55" s="39">
        <f>IF(I55&lt;&gt;"",K54+1,"")</f>
        <v>41</v>
      </c>
      <c r="L55" s="39"/>
      <c r="M55" s="40">
        <f t="shared" si="0"/>
        <v>0.29762800075126877</v>
      </c>
      <c r="N55" s="39"/>
      <c r="O55" s="72" t="str">
        <f t="shared" si="37"/>
        <v/>
      </c>
      <c r="P55" s="41" t="str">
        <f t="shared" si="38"/>
        <v/>
      </c>
      <c r="Q55" s="39"/>
      <c r="R55" s="72" t="str">
        <f t="shared" si="51"/>
        <v/>
      </c>
      <c r="S55" s="39"/>
      <c r="T55" s="72" t="str">
        <f t="shared" si="18"/>
        <v/>
      </c>
      <c r="U55" s="39"/>
      <c r="V55" s="72" t="str">
        <f t="shared" si="39"/>
        <v/>
      </c>
      <c r="W55" s="72" t="str">
        <f t="shared" si="19"/>
        <v/>
      </c>
      <c r="X55" s="39"/>
      <c r="Y55" s="72" t="str">
        <f t="shared" si="40"/>
        <v/>
      </c>
      <c r="Z55" s="72" t="str">
        <f t="shared" si="20"/>
        <v/>
      </c>
      <c r="AA55" s="39"/>
      <c r="AB55" s="72">
        <f t="shared" si="4"/>
        <v>7500000000</v>
      </c>
      <c r="AC55" s="72">
        <f>IF(ISNUMBER(AB55),AB55*$M55,"")</f>
        <v>2232210005.6345158</v>
      </c>
      <c r="AD55" s="39"/>
      <c r="AE55" s="72" t="str">
        <f t="shared" si="41"/>
        <v/>
      </c>
      <c r="AF55" s="72" t="str">
        <f t="shared" si="22"/>
        <v/>
      </c>
      <c r="AG55" s="39"/>
      <c r="AH55" s="72" t="str">
        <f t="shared" si="42"/>
        <v/>
      </c>
      <c r="AI55" s="72" t="str">
        <f t="shared" si="23"/>
        <v/>
      </c>
      <c r="AJ55" s="39"/>
      <c r="AK55" s="72" t="str">
        <f t="shared" si="43"/>
        <v/>
      </c>
      <c r="AL55" s="72" t="str">
        <f t="shared" si="44"/>
        <v/>
      </c>
      <c r="AM55" s="39"/>
      <c r="AN55" s="72" t="str">
        <f t="shared" si="9"/>
        <v/>
      </c>
      <c r="AO55" s="72" t="str">
        <f t="shared" si="24"/>
        <v/>
      </c>
      <c r="AP55" s="39"/>
      <c r="AQ55" s="72" t="str">
        <f t="shared" si="45"/>
        <v/>
      </c>
      <c r="AR55" s="72" t="str">
        <f t="shared" si="25"/>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46"/>
        <v/>
      </c>
      <c r="AW55" s="72" t="str">
        <f t="shared" si="26"/>
        <v/>
      </c>
      <c r="AX55" s="39"/>
      <c r="AY55" s="40" t="s">
        <v>127</v>
      </c>
      <c r="AZ55" s="39"/>
      <c r="BA55" s="42" t="str">
        <f t="shared" si="47"/>
        <v/>
      </c>
      <c r="BB55" s="72" t="str">
        <f t="shared" si="27"/>
        <v/>
      </c>
      <c r="BC55" s="39"/>
      <c r="BD55" s="72" t="str">
        <f t="shared" si="48"/>
        <v/>
      </c>
      <c r="BE55" s="72" t="str">
        <f t="shared" si="28"/>
        <v/>
      </c>
      <c r="BF55" s="39"/>
      <c r="BG55" s="42" t="str">
        <f t="shared" si="49"/>
        <v/>
      </c>
      <c r="BH55" s="72" t="str">
        <f t="shared" si="29"/>
        <v/>
      </c>
      <c r="BI55" s="39"/>
      <c r="BJ55" s="40" t="str">
        <f t="shared" si="30"/>
        <v/>
      </c>
      <c r="BK55" s="157" t="str">
        <f t="shared" si="31"/>
        <v/>
      </c>
      <c r="BL55" s="157" t="str">
        <f t="shared" si="15"/>
        <v/>
      </c>
      <c r="BM55" s="72"/>
      <c r="BN55" s="72" t="str">
        <f t="shared" si="32"/>
        <v/>
      </c>
      <c r="BO55" s="72" t="str">
        <f t="shared" si="33"/>
        <v/>
      </c>
      <c r="BP55" s="39"/>
      <c r="BQ55" s="72" t="str">
        <f t="shared" si="50"/>
        <v/>
      </c>
      <c r="BR55" s="72" t="str">
        <f t="shared" si="34"/>
        <v/>
      </c>
    </row>
    <row r="56" spans="2:70" x14ac:dyDescent="0.15">
      <c r="B56" s="9"/>
      <c r="C56" s="9"/>
      <c r="D56" s="9" t="s">
        <v>189</v>
      </c>
      <c r="E56" s="9"/>
      <c r="F56" s="59"/>
      <c r="G56" s="9" t="s">
        <v>181</v>
      </c>
      <c r="H56" s="9"/>
      <c r="I56" s="459">
        <f t="shared" si="35"/>
        <v>2061</v>
      </c>
      <c r="K56" s="71">
        <f t="shared" si="36"/>
        <v>42</v>
      </c>
      <c r="M56" s="7">
        <f t="shared" si="0"/>
        <v>0.28895922403035801</v>
      </c>
      <c r="O56" s="10" t="str">
        <f t="shared" si="37"/>
        <v/>
      </c>
      <c r="P56" s="29" t="str">
        <f t="shared" si="38"/>
        <v/>
      </c>
      <c r="R56" s="10" t="str">
        <f t="shared" si="51"/>
        <v/>
      </c>
      <c r="T56" s="10" t="str">
        <f t="shared" si="18"/>
        <v/>
      </c>
      <c r="V56" s="10" t="str">
        <f t="shared" si="39"/>
        <v/>
      </c>
      <c r="W56" s="10" t="str">
        <f t="shared" si="19"/>
        <v/>
      </c>
      <c r="Y56" s="10" t="str">
        <f t="shared" si="40"/>
        <v/>
      </c>
      <c r="Z56" s="10" t="str">
        <f t="shared" si="20"/>
        <v/>
      </c>
      <c r="AB56" s="10">
        <f t="shared" si="4"/>
        <v>7500000000</v>
      </c>
      <c r="AC56" s="10">
        <f t="shared" ref="AC56:AC114" si="52">IF(ISNUMBER(AB56),AB56*$M56,"")</f>
        <v>2167194180.227685</v>
      </c>
      <c r="AE56" s="10" t="str">
        <f t="shared" si="41"/>
        <v/>
      </c>
      <c r="AF56" s="10" t="str">
        <f t="shared" si="22"/>
        <v/>
      </c>
      <c r="AH56" s="10" t="str">
        <f t="shared" si="42"/>
        <v/>
      </c>
      <c r="AI56" s="10" t="str">
        <f t="shared" si="23"/>
        <v/>
      </c>
      <c r="AK56" s="10" t="str">
        <f t="shared" si="43"/>
        <v/>
      </c>
      <c r="AL56" s="10" t="str">
        <f t="shared" si="44"/>
        <v/>
      </c>
      <c r="AN56" s="188" t="str">
        <f t="shared" si="9"/>
        <v/>
      </c>
      <c r="AO56" s="10" t="str">
        <f t="shared" si="24"/>
        <v/>
      </c>
      <c r="AQ56" s="10" t="str">
        <f t="shared" si="45"/>
        <v/>
      </c>
      <c r="AR56" s="10" t="str">
        <f t="shared" si="25"/>
        <v/>
      </c>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V56" s="10" t="str">
        <f t="shared" si="46"/>
        <v/>
      </c>
      <c r="AW56" s="10" t="str">
        <f t="shared" si="26"/>
        <v/>
      </c>
      <c r="AY56" s="7" t="s">
        <v>127</v>
      </c>
      <c r="BA56" s="11" t="str">
        <f t="shared" si="47"/>
        <v/>
      </c>
      <c r="BB56" s="10" t="str">
        <f t="shared" si="27"/>
        <v/>
      </c>
      <c r="BD56" s="10" t="str">
        <f t="shared" si="48"/>
        <v/>
      </c>
      <c r="BE56" s="10" t="str">
        <f t="shared" si="28"/>
        <v/>
      </c>
      <c r="BG56" s="11" t="str">
        <f t="shared" si="49"/>
        <v/>
      </c>
      <c r="BH56" s="10" t="str">
        <f t="shared" si="29"/>
        <v/>
      </c>
      <c r="BJ56" s="7" t="str">
        <f t="shared" si="30"/>
        <v/>
      </c>
      <c r="BK56" s="158" t="str">
        <f t="shared" si="31"/>
        <v/>
      </c>
      <c r="BL56" s="158" t="str">
        <f t="shared" si="15"/>
        <v/>
      </c>
      <c r="BM56" s="10"/>
      <c r="BN56" s="10" t="str">
        <f t="shared" si="32"/>
        <v/>
      </c>
      <c r="BO56" s="10" t="str">
        <f t="shared" si="33"/>
        <v/>
      </c>
      <c r="BQ56" s="10" t="str">
        <f t="shared" si="50"/>
        <v/>
      </c>
      <c r="BR56" s="10" t="str">
        <f t="shared" si="34"/>
        <v/>
      </c>
    </row>
    <row r="57" spans="2:70" x14ac:dyDescent="0.15">
      <c r="B57" s="9"/>
      <c r="C57" s="9"/>
      <c r="D57" s="9"/>
      <c r="E57" s="9"/>
      <c r="G57" s="9"/>
      <c r="H57" s="9"/>
      <c r="I57" s="458">
        <f t="shared" si="35"/>
        <v>2062</v>
      </c>
      <c r="J57" s="39"/>
      <c r="K57" s="39">
        <f t="shared" si="36"/>
        <v>43</v>
      </c>
      <c r="L57" s="39"/>
      <c r="M57" s="40">
        <f t="shared" si="0"/>
        <v>0.28054293595180391</v>
      </c>
      <c r="N57" s="39"/>
      <c r="O57" s="72" t="str">
        <f t="shared" si="37"/>
        <v/>
      </c>
      <c r="P57" s="41" t="str">
        <f t="shared" si="38"/>
        <v/>
      </c>
      <c r="Q57" s="39"/>
      <c r="R57" s="72" t="str">
        <f t="shared" si="51"/>
        <v/>
      </c>
      <c r="S57" s="39"/>
      <c r="T57" s="72" t="str">
        <f t="shared" si="18"/>
        <v/>
      </c>
      <c r="U57" s="39"/>
      <c r="V57" s="72" t="str">
        <f t="shared" si="39"/>
        <v/>
      </c>
      <c r="W57" s="72" t="str">
        <f t="shared" si="19"/>
        <v/>
      </c>
      <c r="X57" s="39"/>
      <c r="Y57" s="72" t="str">
        <f t="shared" si="40"/>
        <v/>
      </c>
      <c r="Z57" s="72" t="str">
        <f t="shared" si="20"/>
        <v/>
      </c>
      <c r="AA57" s="39"/>
      <c r="AB57" s="72">
        <f t="shared" si="4"/>
        <v>7500000000</v>
      </c>
      <c r="AC57" s="72">
        <f t="shared" si="52"/>
        <v>2104072019.6385293</v>
      </c>
      <c r="AD57" s="39"/>
      <c r="AE57" s="72" t="str">
        <f t="shared" si="41"/>
        <v/>
      </c>
      <c r="AF57" s="72" t="str">
        <f t="shared" si="22"/>
        <v/>
      </c>
      <c r="AG57" s="39"/>
      <c r="AH57" s="72" t="str">
        <f t="shared" si="42"/>
        <v/>
      </c>
      <c r="AI57" s="72" t="str">
        <f t="shared" si="23"/>
        <v/>
      </c>
      <c r="AJ57" s="39"/>
      <c r="AK57" s="72" t="str">
        <f t="shared" si="43"/>
        <v/>
      </c>
      <c r="AL57" s="72" t="str">
        <f t="shared" si="44"/>
        <v/>
      </c>
      <c r="AM57" s="39"/>
      <c r="AN57" s="72" t="str">
        <f t="shared" si="9"/>
        <v/>
      </c>
      <c r="AO57" s="72" t="str">
        <f t="shared" si="24"/>
        <v/>
      </c>
      <c r="AP57" s="39"/>
      <c r="AQ57" s="72" t="str">
        <f t="shared" si="45"/>
        <v/>
      </c>
      <c r="AR57" s="72" t="str">
        <f t="shared" si="25"/>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46"/>
        <v/>
      </c>
      <c r="AW57" s="72" t="str">
        <f t="shared" si="26"/>
        <v/>
      </c>
      <c r="AX57" s="39"/>
      <c r="AY57" s="40" t="s">
        <v>127</v>
      </c>
      <c r="AZ57" s="39"/>
      <c r="BA57" s="42" t="str">
        <f t="shared" si="47"/>
        <v/>
      </c>
      <c r="BB57" s="72" t="str">
        <f t="shared" si="27"/>
        <v/>
      </c>
      <c r="BC57" s="39"/>
      <c r="BD57" s="72" t="str">
        <f t="shared" si="48"/>
        <v/>
      </c>
      <c r="BE57" s="72" t="str">
        <f t="shared" si="28"/>
        <v/>
      </c>
      <c r="BF57" s="39"/>
      <c r="BG57" s="42" t="str">
        <f t="shared" si="49"/>
        <v/>
      </c>
      <c r="BH57" s="72" t="str">
        <f t="shared" si="29"/>
        <v/>
      </c>
      <c r="BI57" s="39"/>
      <c r="BJ57" s="40" t="str">
        <f t="shared" si="30"/>
        <v/>
      </c>
      <c r="BK57" s="157" t="str">
        <f t="shared" si="31"/>
        <v/>
      </c>
      <c r="BL57" s="157" t="str">
        <f t="shared" si="15"/>
        <v/>
      </c>
      <c r="BM57" s="72"/>
      <c r="BN57" s="72" t="str">
        <f t="shared" si="32"/>
        <v/>
      </c>
      <c r="BO57" s="72" t="str">
        <f t="shared" si="33"/>
        <v/>
      </c>
      <c r="BP57" s="39"/>
      <c r="BQ57" s="72" t="str">
        <f t="shared" si="50"/>
        <v/>
      </c>
      <c r="BR57" s="72" t="str">
        <f t="shared" si="34"/>
        <v/>
      </c>
    </row>
    <row r="58" spans="2:70" x14ac:dyDescent="0.15">
      <c r="B58" s="9"/>
      <c r="C58" s="89" t="s">
        <v>512</v>
      </c>
      <c r="D58" s="89"/>
      <c r="E58" s="89"/>
      <c r="F58" s="89"/>
      <c r="G58" s="89"/>
      <c r="H58" s="9"/>
      <c r="I58" s="459">
        <f t="shared" si="35"/>
        <v>2063</v>
      </c>
      <c r="K58" s="71">
        <f t="shared" si="36"/>
        <v>44</v>
      </c>
      <c r="M58" s="7">
        <f t="shared" si="0"/>
        <v>0.27237178247747956</v>
      </c>
      <c r="O58" s="10" t="str">
        <f t="shared" si="37"/>
        <v/>
      </c>
      <c r="P58" s="29" t="str">
        <f t="shared" si="38"/>
        <v/>
      </c>
      <c r="R58" s="10" t="str">
        <f t="shared" si="51"/>
        <v/>
      </c>
      <c r="T58" s="10" t="str">
        <f t="shared" si="18"/>
        <v/>
      </c>
      <c r="V58" s="10" t="str">
        <f t="shared" si="39"/>
        <v/>
      </c>
      <c r="W58" s="10" t="str">
        <f t="shared" si="19"/>
        <v/>
      </c>
      <c r="Y58" s="10" t="str">
        <f t="shared" si="40"/>
        <v/>
      </c>
      <c r="Z58" s="10" t="str">
        <f t="shared" si="20"/>
        <v/>
      </c>
      <c r="AB58" s="10">
        <f t="shared" si="4"/>
        <v>7500000000</v>
      </c>
      <c r="AC58" s="10">
        <f t="shared" si="52"/>
        <v>2042788368.5810966</v>
      </c>
      <c r="AE58" s="10" t="str">
        <f t="shared" si="41"/>
        <v/>
      </c>
      <c r="AF58" s="10" t="str">
        <f t="shared" si="22"/>
        <v/>
      </c>
      <c r="AH58" s="10" t="str">
        <f t="shared" si="42"/>
        <v/>
      </c>
      <c r="AI58" s="10" t="str">
        <f t="shared" si="23"/>
        <v/>
      </c>
      <c r="AK58" s="10" t="str">
        <f t="shared" si="43"/>
        <v/>
      </c>
      <c r="AL58" s="10" t="str">
        <f t="shared" si="44"/>
        <v/>
      </c>
      <c r="AN58" s="188" t="str">
        <f t="shared" si="9"/>
        <v/>
      </c>
      <c r="AO58" s="10" t="str">
        <f t="shared" si="24"/>
        <v/>
      </c>
      <c r="AQ58" s="10" t="str">
        <f t="shared" si="45"/>
        <v/>
      </c>
      <c r="AR58" s="10" t="str">
        <f t="shared" si="25"/>
        <v/>
      </c>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V58" s="10" t="str">
        <f t="shared" si="46"/>
        <v/>
      </c>
      <c r="AW58" s="10" t="str">
        <f t="shared" si="26"/>
        <v/>
      </c>
      <c r="AY58" s="7" t="s">
        <v>127</v>
      </c>
      <c r="BA58" s="11" t="str">
        <f t="shared" si="47"/>
        <v/>
      </c>
      <c r="BB58" s="10" t="str">
        <f t="shared" si="27"/>
        <v/>
      </c>
      <c r="BD58" s="10" t="str">
        <f t="shared" si="48"/>
        <v/>
      </c>
      <c r="BE58" s="10" t="str">
        <f t="shared" si="28"/>
        <v/>
      </c>
      <c r="BG58" s="11" t="str">
        <f t="shared" si="49"/>
        <v/>
      </c>
      <c r="BH58" s="10" t="str">
        <f t="shared" si="29"/>
        <v/>
      </c>
      <c r="BJ58" s="7" t="str">
        <f t="shared" si="30"/>
        <v/>
      </c>
      <c r="BK58" s="158" t="str">
        <f t="shared" si="31"/>
        <v/>
      </c>
      <c r="BL58" s="158" t="str">
        <f t="shared" si="15"/>
        <v/>
      </c>
      <c r="BM58" s="10"/>
      <c r="BN58" s="10" t="str">
        <f t="shared" si="32"/>
        <v/>
      </c>
      <c r="BO58" s="10" t="str">
        <f t="shared" si="33"/>
        <v/>
      </c>
      <c r="BQ58" s="10" t="str">
        <f t="shared" si="50"/>
        <v/>
      </c>
      <c r="BR58" s="10" t="str">
        <f t="shared" si="34"/>
        <v/>
      </c>
    </row>
    <row r="59" spans="2:70" x14ac:dyDescent="0.15">
      <c r="B59" s="9"/>
      <c r="C59" s="9"/>
      <c r="D59" s="9"/>
      <c r="E59" s="9"/>
      <c r="G59" s="9"/>
      <c r="H59" s="9"/>
      <c r="I59" s="458">
        <f t="shared" si="35"/>
        <v>2064</v>
      </c>
      <c r="J59" s="39"/>
      <c r="K59" s="39">
        <f t="shared" si="36"/>
        <v>45</v>
      </c>
      <c r="L59" s="39"/>
      <c r="M59" s="40">
        <f t="shared" si="0"/>
        <v>0.26443862376454325</v>
      </c>
      <c r="N59" s="39"/>
      <c r="O59" s="72" t="str">
        <f t="shared" si="37"/>
        <v/>
      </c>
      <c r="P59" s="41" t="str">
        <f t="shared" si="38"/>
        <v/>
      </c>
      <c r="Q59" s="39"/>
      <c r="R59" s="72" t="str">
        <f t="shared" si="51"/>
        <v/>
      </c>
      <c r="S59" s="39"/>
      <c r="T59" s="72" t="str">
        <f t="shared" si="18"/>
        <v/>
      </c>
      <c r="U59" s="39"/>
      <c r="V59" s="72" t="str">
        <f t="shared" si="39"/>
        <v/>
      </c>
      <c r="W59" s="72" t="str">
        <f t="shared" si="19"/>
        <v/>
      </c>
      <c r="X59" s="39"/>
      <c r="Y59" s="72" t="str">
        <f t="shared" si="40"/>
        <v/>
      </c>
      <c r="Z59" s="72" t="str">
        <f t="shared" si="20"/>
        <v/>
      </c>
      <c r="AA59" s="39"/>
      <c r="AB59" s="72">
        <f t="shared" si="4"/>
        <v>7500000000</v>
      </c>
      <c r="AC59" s="72">
        <f t="shared" si="52"/>
        <v>1983289678.2340744</v>
      </c>
      <c r="AD59" s="39"/>
      <c r="AE59" s="72" t="str">
        <f t="shared" si="41"/>
        <v/>
      </c>
      <c r="AF59" s="72" t="str">
        <f t="shared" si="22"/>
        <v/>
      </c>
      <c r="AG59" s="39"/>
      <c r="AH59" s="72" t="str">
        <f t="shared" si="42"/>
        <v/>
      </c>
      <c r="AI59" s="72" t="str">
        <f t="shared" si="23"/>
        <v/>
      </c>
      <c r="AJ59" s="39"/>
      <c r="AK59" s="72" t="str">
        <f t="shared" si="43"/>
        <v/>
      </c>
      <c r="AL59" s="72" t="str">
        <f t="shared" si="44"/>
        <v/>
      </c>
      <c r="AM59" s="39"/>
      <c r="AN59" s="72" t="str">
        <f t="shared" si="9"/>
        <v/>
      </c>
      <c r="AO59" s="72" t="str">
        <f t="shared" si="24"/>
        <v/>
      </c>
      <c r="AP59" s="39"/>
      <c r="AQ59" s="72" t="str">
        <f t="shared" si="45"/>
        <v/>
      </c>
      <c r="AR59" s="72" t="str">
        <f t="shared" si="25"/>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46"/>
        <v/>
      </c>
      <c r="AW59" s="72" t="str">
        <f t="shared" si="26"/>
        <v/>
      </c>
      <c r="AX59" s="39"/>
      <c r="AY59" s="40" t="s">
        <v>127</v>
      </c>
      <c r="AZ59" s="39"/>
      <c r="BA59" s="42" t="str">
        <f t="shared" si="47"/>
        <v/>
      </c>
      <c r="BB59" s="72" t="str">
        <f t="shared" si="27"/>
        <v/>
      </c>
      <c r="BC59" s="39"/>
      <c r="BD59" s="72" t="str">
        <f t="shared" si="48"/>
        <v/>
      </c>
      <c r="BE59" s="72" t="str">
        <f t="shared" si="28"/>
        <v/>
      </c>
      <c r="BF59" s="39"/>
      <c r="BG59" s="42" t="str">
        <f t="shared" si="49"/>
        <v/>
      </c>
      <c r="BH59" s="72" t="str">
        <f t="shared" si="29"/>
        <v/>
      </c>
      <c r="BI59" s="39"/>
      <c r="BJ59" s="40" t="str">
        <f t="shared" si="30"/>
        <v/>
      </c>
      <c r="BK59" s="157" t="str">
        <f t="shared" si="31"/>
        <v/>
      </c>
      <c r="BL59" s="157" t="str">
        <f t="shared" si="15"/>
        <v/>
      </c>
      <c r="BM59" s="72"/>
      <c r="BN59" s="72" t="str">
        <f t="shared" si="32"/>
        <v/>
      </c>
      <c r="BO59" s="72" t="str">
        <f t="shared" si="33"/>
        <v/>
      </c>
      <c r="BP59" s="39"/>
      <c r="BQ59" s="72" t="str">
        <f t="shared" si="50"/>
        <v/>
      </c>
      <c r="BR59" s="72" t="str">
        <f t="shared" si="34"/>
        <v/>
      </c>
    </row>
    <row r="60" spans="2:70" x14ac:dyDescent="0.15">
      <c r="B60" s="9"/>
      <c r="C60" s="9"/>
      <c r="D60" s="81" t="s">
        <v>128</v>
      </c>
      <c r="E60" s="81"/>
      <c r="F60" s="59">
        <v>156808</v>
      </c>
      <c r="G60" s="9" t="s">
        <v>176</v>
      </c>
      <c r="H60" s="9"/>
      <c r="I60" s="459">
        <f t="shared" si="35"/>
        <v>2065</v>
      </c>
      <c r="K60" s="71">
        <f t="shared" si="36"/>
        <v>46</v>
      </c>
      <c r="M60" s="7">
        <f t="shared" si="0"/>
        <v>0.25673652792674101</v>
      </c>
      <c r="O60" s="10" t="str">
        <f t="shared" si="37"/>
        <v/>
      </c>
      <c r="P60" s="29" t="str">
        <f t="shared" si="38"/>
        <v/>
      </c>
      <c r="R60" s="10" t="str">
        <f t="shared" si="51"/>
        <v/>
      </c>
      <c r="T60" s="10" t="str">
        <f t="shared" si="18"/>
        <v/>
      </c>
      <c r="V60" s="10" t="str">
        <f t="shared" si="39"/>
        <v/>
      </c>
      <c r="W60" s="10" t="str">
        <f t="shared" si="19"/>
        <v/>
      </c>
      <c r="Y60" s="10" t="str">
        <f t="shared" si="40"/>
        <v/>
      </c>
      <c r="Z60" s="10" t="str">
        <f t="shared" si="20"/>
        <v/>
      </c>
      <c r="AB60" s="10">
        <f t="shared" si="4"/>
        <v>7500000000</v>
      </c>
      <c r="AC60" s="10">
        <f t="shared" si="52"/>
        <v>1925523959.4505575</v>
      </c>
      <c r="AE60" s="10" t="str">
        <f t="shared" si="41"/>
        <v/>
      </c>
      <c r="AF60" s="10" t="str">
        <f t="shared" si="22"/>
        <v/>
      </c>
      <c r="AH60" s="10" t="str">
        <f t="shared" si="42"/>
        <v/>
      </c>
      <c r="AI60" s="10" t="str">
        <f t="shared" si="23"/>
        <v/>
      </c>
      <c r="AK60" s="10" t="str">
        <f t="shared" si="43"/>
        <v/>
      </c>
      <c r="AL60" s="10" t="str">
        <f t="shared" si="44"/>
        <v/>
      </c>
      <c r="AN60" s="188" t="str">
        <f t="shared" si="9"/>
        <v/>
      </c>
      <c r="AO60" s="10" t="str">
        <f t="shared" si="24"/>
        <v/>
      </c>
      <c r="AQ60" s="10" t="str">
        <f t="shared" si="45"/>
        <v/>
      </c>
      <c r="AR60" s="10" t="str">
        <f t="shared" si="25"/>
        <v/>
      </c>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V60" s="10" t="str">
        <f t="shared" si="46"/>
        <v/>
      </c>
      <c r="AW60" s="10" t="str">
        <f t="shared" si="26"/>
        <v/>
      </c>
      <c r="AY60" s="7" t="s">
        <v>127</v>
      </c>
      <c r="BA60" s="11" t="str">
        <f t="shared" si="47"/>
        <v/>
      </c>
      <c r="BB60" s="10" t="str">
        <f t="shared" si="27"/>
        <v/>
      </c>
      <c r="BD60" s="10" t="str">
        <f t="shared" si="48"/>
        <v/>
      </c>
      <c r="BE60" s="10" t="str">
        <f t="shared" si="28"/>
        <v/>
      </c>
      <c r="BG60" s="11" t="str">
        <f t="shared" si="49"/>
        <v/>
      </c>
      <c r="BH60" s="10" t="str">
        <f t="shared" si="29"/>
        <v/>
      </c>
      <c r="BJ60" s="7" t="str">
        <f t="shared" si="30"/>
        <v/>
      </c>
      <c r="BK60" s="158" t="str">
        <f t="shared" si="31"/>
        <v/>
      </c>
      <c r="BL60" s="158" t="str">
        <f t="shared" si="15"/>
        <v/>
      </c>
      <c r="BM60" s="10"/>
      <c r="BN60" s="10" t="str">
        <f t="shared" si="32"/>
        <v/>
      </c>
      <c r="BO60" s="10" t="str">
        <f t="shared" si="33"/>
        <v/>
      </c>
      <c r="BQ60" s="10" t="str">
        <f t="shared" si="50"/>
        <v/>
      </c>
      <c r="BR60" s="10" t="str">
        <f t="shared" si="34"/>
        <v/>
      </c>
    </row>
    <row r="61" spans="2:70" x14ac:dyDescent="0.15">
      <c r="B61" s="9"/>
      <c r="C61" s="9"/>
      <c r="D61" s="82" t="s">
        <v>129</v>
      </c>
      <c r="E61" s="81"/>
      <c r="F61" s="129">
        <v>4000</v>
      </c>
      <c r="G61" s="74" t="s">
        <v>130</v>
      </c>
      <c r="H61" s="9"/>
      <c r="I61" s="458">
        <f t="shared" si="35"/>
        <v>2066</v>
      </c>
      <c r="J61" s="39"/>
      <c r="K61" s="39">
        <f t="shared" si="36"/>
        <v>47</v>
      </c>
      <c r="L61" s="39"/>
      <c r="M61" s="40">
        <f t="shared" si="0"/>
        <v>0.24925876497741845</v>
      </c>
      <c r="N61" s="39"/>
      <c r="O61" s="72" t="str">
        <f t="shared" si="37"/>
        <v/>
      </c>
      <c r="P61" s="41" t="str">
        <f t="shared" si="38"/>
        <v/>
      </c>
      <c r="Q61" s="39"/>
      <c r="R61" s="72" t="str">
        <f t="shared" si="51"/>
        <v/>
      </c>
      <c r="S61" s="39"/>
      <c r="T61" s="72" t="str">
        <f t="shared" si="18"/>
        <v/>
      </c>
      <c r="U61" s="39"/>
      <c r="V61" s="72" t="str">
        <f t="shared" si="39"/>
        <v/>
      </c>
      <c r="W61" s="72" t="str">
        <f t="shared" si="19"/>
        <v/>
      </c>
      <c r="X61" s="39"/>
      <c r="Y61" s="72" t="str">
        <f t="shared" si="40"/>
        <v/>
      </c>
      <c r="Z61" s="72" t="str">
        <f t="shared" si="20"/>
        <v/>
      </c>
      <c r="AA61" s="39"/>
      <c r="AB61" s="72">
        <f t="shared" si="4"/>
        <v>7500000000</v>
      </c>
      <c r="AC61" s="72">
        <f t="shared" si="52"/>
        <v>1869440737.3306384</v>
      </c>
      <c r="AD61" s="39"/>
      <c r="AE61" s="72" t="str">
        <f t="shared" si="41"/>
        <v/>
      </c>
      <c r="AF61" s="72" t="str">
        <f t="shared" si="22"/>
        <v/>
      </c>
      <c r="AG61" s="39"/>
      <c r="AH61" s="72" t="str">
        <f t="shared" si="42"/>
        <v/>
      </c>
      <c r="AI61" s="72" t="str">
        <f t="shared" si="23"/>
        <v/>
      </c>
      <c r="AJ61" s="39"/>
      <c r="AK61" s="72" t="str">
        <f t="shared" si="43"/>
        <v/>
      </c>
      <c r="AL61" s="72" t="str">
        <f t="shared" si="44"/>
        <v/>
      </c>
      <c r="AM61" s="39"/>
      <c r="AN61" s="72" t="str">
        <f t="shared" si="9"/>
        <v/>
      </c>
      <c r="AO61" s="72" t="str">
        <f t="shared" si="24"/>
        <v/>
      </c>
      <c r="AP61" s="39"/>
      <c r="AQ61" s="72" t="str">
        <f t="shared" si="45"/>
        <v/>
      </c>
      <c r="AR61" s="72" t="str">
        <f t="shared" si="25"/>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46"/>
        <v/>
      </c>
      <c r="AW61" s="72" t="str">
        <f t="shared" si="26"/>
        <v/>
      </c>
      <c r="AX61" s="39"/>
      <c r="AY61" s="40" t="s">
        <v>127</v>
      </c>
      <c r="AZ61" s="39"/>
      <c r="BA61" s="42" t="str">
        <f t="shared" si="47"/>
        <v/>
      </c>
      <c r="BB61" s="72" t="str">
        <f t="shared" si="27"/>
        <v/>
      </c>
      <c r="BC61" s="39"/>
      <c r="BD61" s="72" t="str">
        <f t="shared" si="48"/>
        <v/>
      </c>
      <c r="BE61" s="72" t="str">
        <f t="shared" si="28"/>
        <v/>
      </c>
      <c r="BF61" s="39"/>
      <c r="BG61" s="42" t="str">
        <f t="shared" si="49"/>
        <v/>
      </c>
      <c r="BH61" s="72" t="str">
        <f t="shared" si="29"/>
        <v/>
      </c>
      <c r="BI61" s="39"/>
      <c r="BJ61" s="40" t="str">
        <f t="shared" si="30"/>
        <v/>
      </c>
      <c r="BK61" s="157" t="str">
        <f t="shared" si="31"/>
        <v/>
      </c>
      <c r="BL61" s="157" t="str">
        <f t="shared" si="15"/>
        <v/>
      </c>
      <c r="BM61" s="72"/>
      <c r="BN61" s="72" t="str">
        <f t="shared" si="32"/>
        <v/>
      </c>
      <c r="BO61" s="72" t="str">
        <f t="shared" si="33"/>
        <v/>
      </c>
      <c r="BP61" s="39"/>
      <c r="BQ61" s="72" t="str">
        <f t="shared" si="50"/>
        <v/>
      </c>
      <c r="BR61" s="72" t="str">
        <f t="shared" si="34"/>
        <v/>
      </c>
    </row>
    <row r="62" spans="2:70" x14ac:dyDescent="0.15">
      <c r="B62" s="9"/>
      <c r="C62" s="9"/>
      <c r="D62" s="81" t="s">
        <v>131</v>
      </c>
      <c r="E62" s="81"/>
      <c r="F62" s="99">
        <f>(F13*24*365*F14/100)/10000*(1-F24/100)</f>
        <v>70.640640000000005</v>
      </c>
      <c r="G62" s="9" t="s">
        <v>191</v>
      </c>
      <c r="H62" s="9"/>
      <c r="I62" s="459">
        <f t="shared" si="35"/>
        <v>2067</v>
      </c>
      <c r="K62" s="71">
        <f t="shared" si="36"/>
        <v>48</v>
      </c>
      <c r="M62" s="7">
        <f t="shared" si="0"/>
        <v>0.24199880094894996</v>
      </c>
      <c r="O62" s="10" t="str">
        <f t="shared" si="37"/>
        <v/>
      </c>
      <c r="P62" s="29" t="str">
        <f t="shared" si="38"/>
        <v/>
      </c>
      <c r="R62" s="10" t="str">
        <f t="shared" si="51"/>
        <v/>
      </c>
      <c r="T62" s="10" t="str">
        <f t="shared" si="18"/>
        <v/>
      </c>
      <c r="V62" s="10" t="str">
        <f t="shared" si="39"/>
        <v/>
      </c>
      <c r="W62" s="10" t="str">
        <f t="shared" si="19"/>
        <v/>
      </c>
      <c r="Y62" s="10" t="str">
        <f t="shared" si="40"/>
        <v/>
      </c>
      <c r="Z62" s="10" t="str">
        <f t="shared" si="20"/>
        <v/>
      </c>
      <c r="AB62" s="10">
        <f t="shared" si="4"/>
        <v>7500000000</v>
      </c>
      <c r="AC62" s="10">
        <f t="shared" si="52"/>
        <v>1814991007.1171248</v>
      </c>
      <c r="AE62" s="10" t="str">
        <f t="shared" si="41"/>
        <v/>
      </c>
      <c r="AF62" s="10" t="str">
        <f t="shared" si="22"/>
        <v/>
      </c>
      <c r="AH62" s="10" t="str">
        <f t="shared" si="42"/>
        <v/>
      </c>
      <c r="AI62" s="10" t="str">
        <f t="shared" si="23"/>
        <v/>
      </c>
      <c r="AK62" s="10" t="str">
        <f t="shared" si="43"/>
        <v/>
      </c>
      <c r="AL62" s="10" t="str">
        <f t="shared" si="44"/>
        <v/>
      </c>
      <c r="AN62" s="188" t="str">
        <f t="shared" si="9"/>
        <v/>
      </c>
      <c r="AO62" s="10" t="str">
        <f t="shared" si="24"/>
        <v/>
      </c>
      <c r="AQ62" s="10" t="str">
        <f t="shared" si="45"/>
        <v/>
      </c>
      <c r="AR62" s="10" t="str">
        <f t="shared" si="25"/>
        <v/>
      </c>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V62" s="10" t="str">
        <f t="shared" si="46"/>
        <v/>
      </c>
      <c r="AW62" s="10" t="str">
        <f t="shared" si="26"/>
        <v/>
      </c>
      <c r="AY62" s="7" t="s">
        <v>127</v>
      </c>
      <c r="BA62" s="11" t="str">
        <f t="shared" si="47"/>
        <v/>
      </c>
      <c r="BB62" s="10" t="str">
        <f t="shared" si="27"/>
        <v/>
      </c>
      <c r="BD62" s="10" t="str">
        <f t="shared" si="48"/>
        <v/>
      </c>
      <c r="BE62" s="10" t="str">
        <f t="shared" si="28"/>
        <v/>
      </c>
      <c r="BG62" s="11" t="str">
        <f t="shared" si="49"/>
        <v/>
      </c>
      <c r="BH62" s="10" t="str">
        <f t="shared" si="29"/>
        <v/>
      </c>
      <c r="BJ62" s="7" t="str">
        <f t="shared" si="30"/>
        <v/>
      </c>
      <c r="BK62" s="158" t="str">
        <f t="shared" si="31"/>
        <v/>
      </c>
      <c r="BL62" s="158" t="str">
        <f t="shared" si="15"/>
        <v/>
      </c>
      <c r="BM62" s="10"/>
      <c r="BN62" s="10" t="str">
        <f t="shared" si="32"/>
        <v/>
      </c>
      <c r="BO62" s="10" t="str">
        <f t="shared" si="33"/>
        <v/>
      </c>
      <c r="BQ62" s="10" t="str">
        <f t="shared" si="50"/>
        <v/>
      </c>
      <c r="BR62" s="10" t="str">
        <f t="shared" si="34"/>
        <v/>
      </c>
    </row>
    <row r="63" spans="2:70" x14ac:dyDescent="0.15">
      <c r="B63" s="9"/>
      <c r="C63" s="9"/>
      <c r="D63" s="81"/>
      <c r="E63" s="81"/>
      <c r="F63" s="81"/>
      <c r="G63" s="9"/>
      <c r="H63" s="9"/>
      <c r="I63" s="458">
        <f t="shared" si="35"/>
        <v>2068</v>
      </c>
      <c r="J63" s="39"/>
      <c r="K63" s="39">
        <f t="shared" si="36"/>
        <v>49</v>
      </c>
      <c r="L63" s="39"/>
      <c r="M63" s="40">
        <f t="shared" si="0"/>
        <v>0.2349502921834466</v>
      </c>
      <c r="N63" s="39"/>
      <c r="O63" s="72" t="str">
        <f t="shared" si="37"/>
        <v/>
      </c>
      <c r="P63" s="41" t="str">
        <f t="shared" si="38"/>
        <v/>
      </c>
      <c r="Q63" s="39"/>
      <c r="R63" s="72" t="str">
        <f t="shared" si="51"/>
        <v/>
      </c>
      <c r="S63" s="39"/>
      <c r="T63" s="72" t="str">
        <f t="shared" si="18"/>
        <v/>
      </c>
      <c r="U63" s="39"/>
      <c r="V63" s="72" t="str">
        <f t="shared" si="39"/>
        <v/>
      </c>
      <c r="W63" s="72" t="str">
        <f t="shared" si="19"/>
        <v/>
      </c>
      <c r="X63" s="39"/>
      <c r="Y63" s="72" t="str">
        <f t="shared" si="40"/>
        <v/>
      </c>
      <c r="Z63" s="72" t="str">
        <f t="shared" si="20"/>
        <v/>
      </c>
      <c r="AA63" s="39"/>
      <c r="AB63" s="72">
        <f t="shared" si="4"/>
        <v>7500000000</v>
      </c>
      <c r="AC63" s="72">
        <f t="shared" si="52"/>
        <v>1762127191.3758495</v>
      </c>
      <c r="AD63" s="39"/>
      <c r="AE63" s="72" t="str">
        <f t="shared" si="41"/>
        <v/>
      </c>
      <c r="AF63" s="72" t="str">
        <f t="shared" si="22"/>
        <v/>
      </c>
      <c r="AG63" s="39"/>
      <c r="AH63" s="72" t="str">
        <f t="shared" si="42"/>
        <v/>
      </c>
      <c r="AI63" s="72" t="str">
        <f t="shared" si="23"/>
        <v/>
      </c>
      <c r="AJ63" s="39"/>
      <c r="AK63" s="72" t="str">
        <f t="shared" si="43"/>
        <v/>
      </c>
      <c r="AL63" s="72" t="str">
        <f t="shared" si="44"/>
        <v/>
      </c>
      <c r="AM63" s="39"/>
      <c r="AN63" s="72" t="str">
        <f t="shared" si="9"/>
        <v/>
      </c>
      <c r="AO63" s="72" t="str">
        <f t="shared" si="24"/>
        <v/>
      </c>
      <c r="AP63" s="39"/>
      <c r="AQ63" s="72" t="str">
        <f t="shared" si="45"/>
        <v/>
      </c>
      <c r="AR63" s="72" t="str">
        <f t="shared" si="25"/>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46"/>
        <v/>
      </c>
      <c r="AW63" s="72" t="str">
        <f t="shared" si="26"/>
        <v/>
      </c>
      <c r="AX63" s="39"/>
      <c r="AY63" s="40" t="s">
        <v>127</v>
      </c>
      <c r="AZ63" s="39"/>
      <c r="BA63" s="42" t="str">
        <f t="shared" si="47"/>
        <v/>
      </c>
      <c r="BB63" s="72" t="str">
        <f t="shared" si="27"/>
        <v/>
      </c>
      <c r="BC63" s="39"/>
      <c r="BD63" s="72" t="str">
        <f t="shared" si="48"/>
        <v/>
      </c>
      <c r="BE63" s="72" t="str">
        <f t="shared" si="28"/>
        <v/>
      </c>
      <c r="BF63" s="39"/>
      <c r="BG63" s="42" t="str">
        <f t="shared" si="49"/>
        <v/>
      </c>
      <c r="BH63" s="72" t="str">
        <f t="shared" si="29"/>
        <v/>
      </c>
      <c r="BI63" s="39"/>
      <c r="BJ63" s="40" t="str">
        <f t="shared" si="30"/>
        <v/>
      </c>
      <c r="BK63" s="157" t="str">
        <f t="shared" si="31"/>
        <v/>
      </c>
      <c r="BL63" s="157" t="str">
        <f t="shared" si="15"/>
        <v/>
      </c>
      <c r="BM63" s="72"/>
      <c r="BN63" s="72" t="str">
        <f t="shared" si="32"/>
        <v/>
      </c>
      <c r="BO63" s="72" t="str">
        <f t="shared" si="33"/>
        <v/>
      </c>
      <c r="BP63" s="39"/>
      <c r="BQ63" s="72" t="str">
        <f t="shared" si="50"/>
        <v/>
      </c>
      <c r="BR63" s="72" t="str">
        <f t="shared" si="34"/>
        <v/>
      </c>
    </row>
    <row r="64" spans="2:70" x14ac:dyDescent="0.15">
      <c r="B64" s="9"/>
      <c r="C64" s="9" t="s">
        <v>513</v>
      </c>
      <c r="D64" s="9"/>
      <c r="E64" s="9"/>
      <c r="F64" s="67">
        <v>1.306427</v>
      </c>
      <c r="G64" s="81" t="s">
        <v>132</v>
      </c>
      <c r="H64" s="9"/>
      <c r="I64" s="459">
        <f t="shared" si="35"/>
        <v>2069</v>
      </c>
      <c r="K64" s="71">
        <f t="shared" si="36"/>
        <v>50</v>
      </c>
      <c r="M64" s="7">
        <f t="shared" si="0"/>
        <v>0.22810707978975397</v>
      </c>
      <c r="O64" s="10" t="str">
        <f t="shared" si="37"/>
        <v/>
      </c>
      <c r="P64" s="29" t="str">
        <f t="shared" si="38"/>
        <v/>
      </c>
      <c r="R64" s="10" t="str">
        <f t="shared" si="51"/>
        <v/>
      </c>
      <c r="T64" s="10" t="str">
        <f t="shared" si="18"/>
        <v/>
      </c>
      <c r="V64" s="10" t="str">
        <f t="shared" si="39"/>
        <v/>
      </c>
      <c r="W64" s="10" t="str">
        <f t="shared" si="19"/>
        <v/>
      </c>
      <c r="Y64" s="10" t="str">
        <f t="shared" si="40"/>
        <v/>
      </c>
      <c r="Z64" s="10" t="str">
        <f t="shared" si="20"/>
        <v/>
      </c>
      <c r="AB64" s="10">
        <f t="shared" si="4"/>
        <v>7500000000</v>
      </c>
      <c r="AC64" s="10">
        <f t="shared" si="52"/>
        <v>1710803098.4231548</v>
      </c>
      <c r="AE64" s="10" t="str">
        <f t="shared" si="41"/>
        <v/>
      </c>
      <c r="AF64" s="10" t="str">
        <f t="shared" si="22"/>
        <v/>
      </c>
      <c r="AH64" s="10" t="str">
        <f t="shared" si="42"/>
        <v/>
      </c>
      <c r="AI64" s="10" t="str">
        <f t="shared" si="23"/>
        <v/>
      </c>
      <c r="AK64" s="10" t="str">
        <f t="shared" si="43"/>
        <v/>
      </c>
      <c r="AL64" s="10" t="str">
        <f t="shared" si="44"/>
        <v/>
      </c>
      <c r="AN64" s="188" t="str">
        <f t="shared" si="9"/>
        <v/>
      </c>
      <c r="AO64" s="10" t="str">
        <f t="shared" si="24"/>
        <v/>
      </c>
      <c r="AQ64" s="10" t="str">
        <f t="shared" si="45"/>
        <v/>
      </c>
      <c r="AR64" s="10" t="str">
        <f t="shared" si="25"/>
        <v/>
      </c>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V64" s="10" t="str">
        <f t="shared" si="46"/>
        <v/>
      </c>
      <c r="AW64" s="10" t="str">
        <f t="shared" si="26"/>
        <v/>
      </c>
      <c r="AY64" s="7" t="s">
        <v>127</v>
      </c>
      <c r="BA64" s="11" t="str">
        <f t="shared" si="47"/>
        <v/>
      </c>
      <c r="BB64" s="10" t="str">
        <f t="shared" si="27"/>
        <v/>
      </c>
      <c r="BD64" s="10" t="str">
        <f t="shared" si="48"/>
        <v/>
      </c>
      <c r="BE64" s="10" t="str">
        <f t="shared" si="28"/>
        <v/>
      </c>
      <c r="BG64" s="11" t="str">
        <f t="shared" si="49"/>
        <v/>
      </c>
      <c r="BH64" s="10" t="str">
        <f t="shared" si="29"/>
        <v/>
      </c>
      <c r="BJ64" s="7" t="str">
        <f t="shared" si="30"/>
        <v/>
      </c>
      <c r="BK64" s="158" t="str">
        <f t="shared" si="31"/>
        <v/>
      </c>
      <c r="BL64" s="158" t="str">
        <f t="shared" si="15"/>
        <v/>
      </c>
      <c r="BM64" s="10"/>
      <c r="BN64" s="10" t="str">
        <f t="shared" si="32"/>
        <v/>
      </c>
      <c r="BO64" s="10" t="str">
        <f t="shared" si="33"/>
        <v/>
      </c>
      <c r="BQ64" s="10" t="str">
        <f t="shared" si="50"/>
        <v/>
      </c>
      <c r="BR64" s="10" t="str">
        <f t="shared" si="34"/>
        <v/>
      </c>
    </row>
    <row r="65" spans="1:70" x14ac:dyDescent="0.15">
      <c r="B65" s="9"/>
      <c r="C65" s="9"/>
      <c r="D65" s="9"/>
      <c r="E65" s="9"/>
      <c r="G65" s="9"/>
      <c r="H65" s="9"/>
      <c r="I65" s="458">
        <f t="shared" si="35"/>
        <v>2070</v>
      </c>
      <c r="J65" s="39"/>
      <c r="K65" s="39">
        <f t="shared" si="36"/>
        <v>51</v>
      </c>
      <c r="L65" s="39"/>
      <c r="M65" s="40">
        <f t="shared" si="0"/>
        <v>0.22146318426189707</v>
      </c>
      <c r="N65" s="39"/>
      <c r="O65" s="72" t="str">
        <f t="shared" si="37"/>
        <v/>
      </c>
      <c r="P65" s="41" t="str">
        <f t="shared" si="38"/>
        <v/>
      </c>
      <c r="Q65" s="39"/>
      <c r="R65" s="72" t="str">
        <f t="shared" si="51"/>
        <v/>
      </c>
      <c r="S65" s="39"/>
      <c r="T65" s="72" t="str">
        <f t="shared" si="18"/>
        <v/>
      </c>
      <c r="U65" s="39"/>
      <c r="V65" s="72" t="str">
        <f t="shared" si="39"/>
        <v/>
      </c>
      <c r="W65" s="72" t="str">
        <f t="shared" si="19"/>
        <v/>
      </c>
      <c r="X65" s="39"/>
      <c r="Y65" s="72" t="str">
        <f t="shared" si="40"/>
        <v/>
      </c>
      <c r="Z65" s="72" t="str">
        <f t="shared" si="20"/>
        <v/>
      </c>
      <c r="AA65" s="39"/>
      <c r="AB65" s="72" t="str">
        <f t="shared" si="4"/>
        <v/>
      </c>
      <c r="AC65" s="72" t="str">
        <f t="shared" si="52"/>
        <v/>
      </c>
      <c r="AD65" s="39"/>
      <c r="AE65" s="72" t="str">
        <f t="shared" si="41"/>
        <v/>
      </c>
      <c r="AF65" s="72" t="str">
        <f t="shared" si="22"/>
        <v/>
      </c>
      <c r="AG65" s="39"/>
      <c r="AH65" s="72" t="str">
        <f t="shared" si="42"/>
        <v/>
      </c>
      <c r="AI65" s="72" t="str">
        <f t="shared" si="23"/>
        <v/>
      </c>
      <c r="AJ65" s="39"/>
      <c r="AK65" s="72" t="str">
        <f t="shared" si="43"/>
        <v/>
      </c>
      <c r="AL65" s="72" t="str">
        <f t="shared" si="44"/>
        <v/>
      </c>
      <c r="AM65" s="39"/>
      <c r="AN65" s="72" t="str">
        <f t="shared" si="9"/>
        <v/>
      </c>
      <c r="AO65" s="72" t="str">
        <f t="shared" si="24"/>
        <v/>
      </c>
      <c r="AP65" s="39"/>
      <c r="AQ65" s="72" t="str">
        <f t="shared" si="45"/>
        <v/>
      </c>
      <c r="AR65" s="72" t="str">
        <f t="shared" si="25"/>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46"/>
        <v/>
      </c>
      <c r="AW65" s="72" t="str">
        <f t="shared" si="26"/>
        <v/>
      </c>
      <c r="AX65" s="39"/>
      <c r="AY65" s="40" t="s">
        <v>127</v>
      </c>
      <c r="AZ65" s="39"/>
      <c r="BA65" s="42" t="str">
        <f t="shared" si="47"/>
        <v/>
      </c>
      <c r="BB65" s="72" t="str">
        <f t="shared" si="27"/>
        <v/>
      </c>
      <c r="BC65" s="39"/>
      <c r="BD65" s="72" t="str">
        <f t="shared" si="48"/>
        <v/>
      </c>
      <c r="BE65" s="72" t="str">
        <f t="shared" si="28"/>
        <v/>
      </c>
      <c r="BF65" s="39"/>
      <c r="BG65" s="42" t="str">
        <f t="shared" si="49"/>
        <v/>
      </c>
      <c r="BH65" s="72" t="str">
        <f t="shared" si="29"/>
        <v/>
      </c>
      <c r="BI65" s="39"/>
      <c r="BJ65" s="40" t="str">
        <f t="shared" si="30"/>
        <v/>
      </c>
      <c r="BK65" s="157" t="str">
        <f t="shared" si="31"/>
        <v/>
      </c>
      <c r="BL65" s="157" t="str">
        <f t="shared" si="15"/>
        <v/>
      </c>
      <c r="BM65" s="72"/>
      <c r="BN65" s="72" t="str">
        <f t="shared" si="32"/>
        <v/>
      </c>
      <c r="BO65" s="72" t="str">
        <f t="shared" si="33"/>
        <v/>
      </c>
      <c r="BP65" s="39"/>
      <c r="BQ65" s="72" t="str">
        <f t="shared" si="50"/>
        <v/>
      </c>
      <c r="BR65" s="72" t="str">
        <f t="shared" si="34"/>
        <v/>
      </c>
    </row>
    <row r="66" spans="1:70" x14ac:dyDescent="0.15">
      <c r="B66" s="9"/>
      <c r="C66" s="9"/>
      <c r="D66" s="9"/>
      <c r="E66" s="9"/>
      <c r="G66" s="9"/>
      <c r="H66" s="9"/>
      <c r="I66" s="459">
        <f t="shared" si="35"/>
        <v>2071</v>
      </c>
      <c r="K66" s="71">
        <f t="shared" si="36"/>
        <v>52</v>
      </c>
      <c r="M66" s="7">
        <f t="shared" si="0"/>
        <v>0.215012800254269</v>
      </c>
      <c r="O66" s="10" t="str">
        <f t="shared" si="37"/>
        <v/>
      </c>
      <c r="P66" s="29" t="str">
        <f t="shared" si="38"/>
        <v/>
      </c>
      <c r="R66" s="10" t="str">
        <f t="shared" si="51"/>
        <v/>
      </c>
      <c r="T66" s="10" t="str">
        <f t="shared" si="18"/>
        <v/>
      </c>
      <c r="V66" s="10" t="str">
        <f t="shared" si="39"/>
        <v/>
      </c>
      <c r="W66" s="10" t="str">
        <f t="shared" si="19"/>
        <v/>
      </c>
      <c r="Y66" s="10" t="str">
        <f t="shared" si="40"/>
        <v/>
      </c>
      <c r="Z66" s="10" t="str">
        <f t="shared" si="20"/>
        <v/>
      </c>
      <c r="AB66" s="10" t="str">
        <f t="shared" si="4"/>
        <v/>
      </c>
      <c r="AC66" s="10" t="str">
        <f t="shared" si="52"/>
        <v/>
      </c>
      <c r="AE66" s="10" t="str">
        <f t="shared" si="41"/>
        <v/>
      </c>
      <c r="AF66" s="10" t="str">
        <f t="shared" si="22"/>
        <v/>
      </c>
      <c r="AH66" s="10" t="str">
        <f t="shared" si="42"/>
        <v/>
      </c>
      <c r="AI66" s="10" t="str">
        <f t="shared" si="23"/>
        <v/>
      </c>
      <c r="AK66" s="10" t="str">
        <f t="shared" si="43"/>
        <v/>
      </c>
      <c r="AL66" s="10" t="str">
        <f t="shared" si="44"/>
        <v/>
      </c>
      <c r="AN66" s="188" t="str">
        <f t="shared" si="9"/>
        <v/>
      </c>
      <c r="AO66" s="10" t="str">
        <f t="shared" si="24"/>
        <v/>
      </c>
      <c r="AQ66" s="10" t="str">
        <f t="shared" si="45"/>
        <v/>
      </c>
      <c r="AR66" s="10" t="str">
        <f t="shared" si="25"/>
        <v/>
      </c>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V66" s="10" t="str">
        <f t="shared" si="46"/>
        <v/>
      </c>
      <c r="AW66" s="10" t="str">
        <f t="shared" si="26"/>
        <v/>
      </c>
      <c r="AY66" s="7" t="s">
        <v>127</v>
      </c>
      <c r="BA66" s="11" t="str">
        <f t="shared" si="47"/>
        <v/>
      </c>
      <c r="BB66" s="10" t="str">
        <f t="shared" si="27"/>
        <v/>
      </c>
      <c r="BD66" s="10" t="str">
        <f t="shared" si="48"/>
        <v/>
      </c>
      <c r="BE66" s="10" t="str">
        <f t="shared" si="28"/>
        <v/>
      </c>
      <c r="BG66" s="11" t="str">
        <f t="shared" si="49"/>
        <v/>
      </c>
      <c r="BH66" s="10" t="str">
        <f t="shared" si="29"/>
        <v/>
      </c>
      <c r="BJ66" s="7" t="str">
        <f t="shared" si="30"/>
        <v/>
      </c>
      <c r="BK66" s="158" t="str">
        <f t="shared" si="31"/>
        <v/>
      </c>
      <c r="BL66" s="158" t="str">
        <f t="shared" si="15"/>
        <v/>
      </c>
      <c r="BM66" s="10"/>
      <c r="BN66" s="10" t="str">
        <f t="shared" si="32"/>
        <v/>
      </c>
      <c r="BO66" s="10" t="str">
        <f t="shared" si="33"/>
        <v/>
      </c>
      <c r="BQ66" s="10" t="str">
        <f t="shared" si="50"/>
        <v/>
      </c>
      <c r="BR66" s="10" t="str">
        <f t="shared" si="34"/>
        <v/>
      </c>
    </row>
    <row r="67" spans="1:70" ht="15.75" thickBot="1" x14ac:dyDescent="0.2">
      <c r="B67" s="460" t="s">
        <v>133</v>
      </c>
      <c r="C67" s="86"/>
      <c r="D67" s="86"/>
      <c r="E67" s="86"/>
      <c r="F67" s="86"/>
      <c r="G67" s="86"/>
      <c r="H67" s="9"/>
      <c r="I67" s="458">
        <f t="shared" si="35"/>
        <v>2072</v>
      </c>
      <c r="J67" s="39"/>
      <c r="K67" s="39">
        <f t="shared" si="36"/>
        <v>53</v>
      </c>
      <c r="L67" s="39"/>
      <c r="M67" s="40">
        <f t="shared" si="0"/>
        <v>0.20875029150899907</v>
      </c>
      <c r="N67" s="39"/>
      <c r="O67" s="72" t="str">
        <f t="shared" si="37"/>
        <v/>
      </c>
      <c r="P67" s="41" t="str">
        <f t="shared" si="38"/>
        <v/>
      </c>
      <c r="Q67" s="39"/>
      <c r="R67" s="72" t="str">
        <f t="shared" si="51"/>
        <v/>
      </c>
      <c r="S67" s="39"/>
      <c r="T67" s="72" t="str">
        <f t="shared" si="18"/>
        <v/>
      </c>
      <c r="U67" s="39"/>
      <c r="V67" s="72" t="str">
        <f t="shared" si="39"/>
        <v/>
      </c>
      <c r="W67" s="72" t="str">
        <f t="shared" si="19"/>
        <v/>
      </c>
      <c r="X67" s="39"/>
      <c r="Y67" s="72" t="str">
        <f t="shared" si="40"/>
        <v/>
      </c>
      <c r="Z67" s="72" t="str">
        <f t="shared" si="20"/>
        <v/>
      </c>
      <c r="AA67" s="39"/>
      <c r="AB67" s="72" t="str">
        <f t="shared" si="4"/>
        <v/>
      </c>
      <c r="AC67" s="72" t="str">
        <f t="shared" si="52"/>
        <v/>
      </c>
      <c r="AD67" s="39"/>
      <c r="AE67" s="72" t="str">
        <f t="shared" si="41"/>
        <v/>
      </c>
      <c r="AF67" s="72" t="str">
        <f t="shared" si="22"/>
        <v/>
      </c>
      <c r="AG67" s="39"/>
      <c r="AH67" s="72" t="str">
        <f t="shared" si="42"/>
        <v/>
      </c>
      <c r="AI67" s="72" t="str">
        <f t="shared" si="23"/>
        <v/>
      </c>
      <c r="AJ67" s="39"/>
      <c r="AK67" s="72" t="str">
        <f t="shared" si="43"/>
        <v/>
      </c>
      <c r="AL67" s="72" t="str">
        <f t="shared" si="44"/>
        <v/>
      </c>
      <c r="AM67" s="39"/>
      <c r="AN67" s="72" t="str">
        <f t="shared" si="9"/>
        <v/>
      </c>
      <c r="AO67" s="72" t="str">
        <f t="shared" si="24"/>
        <v/>
      </c>
      <c r="AP67" s="39"/>
      <c r="AQ67" s="72" t="str">
        <f t="shared" si="45"/>
        <v/>
      </c>
      <c r="AR67" s="72" t="str">
        <f t="shared" si="25"/>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46"/>
        <v/>
      </c>
      <c r="AW67" s="72" t="str">
        <f t="shared" si="26"/>
        <v/>
      </c>
      <c r="AX67" s="39"/>
      <c r="AY67" s="40" t="s">
        <v>127</v>
      </c>
      <c r="AZ67" s="39"/>
      <c r="BA67" s="42" t="str">
        <f t="shared" si="47"/>
        <v/>
      </c>
      <c r="BB67" s="72" t="str">
        <f t="shared" si="27"/>
        <v/>
      </c>
      <c r="BC67" s="39"/>
      <c r="BD67" s="72" t="str">
        <f t="shared" si="48"/>
        <v/>
      </c>
      <c r="BE67" s="72" t="str">
        <f t="shared" si="28"/>
        <v/>
      </c>
      <c r="BF67" s="39"/>
      <c r="BG67" s="42" t="str">
        <f t="shared" si="49"/>
        <v/>
      </c>
      <c r="BH67" s="72" t="str">
        <f t="shared" si="29"/>
        <v/>
      </c>
      <c r="BI67" s="39"/>
      <c r="BJ67" s="40" t="str">
        <f t="shared" si="30"/>
        <v/>
      </c>
      <c r="BK67" s="157" t="str">
        <f t="shared" si="31"/>
        <v/>
      </c>
      <c r="BL67" s="157" t="str">
        <f t="shared" si="15"/>
        <v/>
      </c>
      <c r="BM67" s="72"/>
      <c r="BN67" s="72" t="str">
        <f t="shared" si="32"/>
        <v/>
      </c>
      <c r="BO67" s="72" t="str">
        <f t="shared" si="33"/>
        <v/>
      </c>
      <c r="BP67" s="39"/>
      <c r="BQ67" s="72" t="str">
        <f t="shared" si="50"/>
        <v/>
      </c>
      <c r="BR67" s="72" t="str">
        <f t="shared" si="34"/>
        <v/>
      </c>
    </row>
    <row r="68" spans="1:70" x14ac:dyDescent="0.15">
      <c r="B68" s="9"/>
      <c r="C68" s="9"/>
      <c r="D68" s="9"/>
      <c r="E68" s="9"/>
      <c r="G68" s="9"/>
      <c r="H68" s="9"/>
      <c r="I68" s="459">
        <f t="shared" si="35"/>
        <v>2073</v>
      </c>
      <c r="K68" s="71">
        <f t="shared" si="36"/>
        <v>54</v>
      </c>
      <c r="M68" s="7">
        <f t="shared" si="0"/>
        <v>0.20267018593106703</v>
      </c>
      <c r="O68" s="10" t="str">
        <f t="shared" si="37"/>
        <v/>
      </c>
      <c r="P68" s="29" t="str">
        <f t="shared" si="38"/>
        <v/>
      </c>
      <c r="R68" s="10" t="str">
        <f t="shared" si="51"/>
        <v/>
      </c>
      <c r="T68" s="10" t="str">
        <f t="shared" si="18"/>
        <v/>
      </c>
      <c r="V68" s="10" t="str">
        <f t="shared" si="39"/>
        <v/>
      </c>
      <c r="W68" s="10" t="str">
        <f t="shared" si="19"/>
        <v/>
      </c>
      <c r="Y68" s="10" t="str">
        <f t="shared" si="40"/>
        <v/>
      </c>
      <c r="Z68" s="10" t="str">
        <f t="shared" si="20"/>
        <v/>
      </c>
      <c r="AB68" s="10" t="str">
        <f t="shared" si="4"/>
        <v/>
      </c>
      <c r="AC68" s="10" t="str">
        <f t="shared" si="52"/>
        <v/>
      </c>
      <c r="AE68" s="10" t="str">
        <f t="shared" si="41"/>
        <v/>
      </c>
      <c r="AF68" s="10" t="str">
        <f t="shared" si="22"/>
        <v/>
      </c>
      <c r="AH68" s="10" t="str">
        <f t="shared" si="42"/>
        <v/>
      </c>
      <c r="AI68" s="10" t="str">
        <f t="shared" si="23"/>
        <v/>
      </c>
      <c r="AK68" s="10" t="str">
        <f t="shared" si="43"/>
        <v/>
      </c>
      <c r="AL68" s="10" t="str">
        <f t="shared" si="44"/>
        <v/>
      </c>
      <c r="AN68" s="188" t="str">
        <f t="shared" si="9"/>
        <v/>
      </c>
      <c r="AO68" s="10" t="str">
        <f t="shared" si="24"/>
        <v/>
      </c>
      <c r="AQ68" s="10" t="str">
        <f t="shared" si="45"/>
        <v/>
      </c>
      <c r="AR68" s="10" t="str">
        <f t="shared" si="25"/>
        <v/>
      </c>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V68" s="10" t="str">
        <f t="shared" si="46"/>
        <v/>
      </c>
      <c r="AW68" s="10" t="str">
        <f t="shared" si="26"/>
        <v/>
      </c>
      <c r="AY68" s="7" t="s">
        <v>127</v>
      </c>
      <c r="BA68" s="11" t="str">
        <f t="shared" si="47"/>
        <v/>
      </c>
      <c r="BB68" s="10" t="str">
        <f t="shared" si="27"/>
        <v/>
      </c>
      <c r="BD68" s="10" t="str">
        <f t="shared" si="48"/>
        <v/>
      </c>
      <c r="BE68" s="10" t="str">
        <f t="shared" si="28"/>
        <v/>
      </c>
      <c r="BG68" s="11" t="str">
        <f t="shared" si="49"/>
        <v/>
      </c>
      <c r="BH68" s="10" t="str">
        <f t="shared" si="29"/>
        <v/>
      </c>
      <c r="BJ68" s="7" t="str">
        <f t="shared" si="30"/>
        <v/>
      </c>
      <c r="BK68" s="158" t="str">
        <f t="shared" si="31"/>
        <v/>
      </c>
      <c r="BL68" s="158" t="str">
        <f t="shared" si="15"/>
        <v/>
      </c>
      <c r="BM68" s="10"/>
      <c r="BN68" s="10" t="str">
        <f t="shared" si="32"/>
        <v/>
      </c>
      <c r="BO68" s="10" t="str">
        <f t="shared" si="33"/>
        <v/>
      </c>
      <c r="BQ68" s="10" t="str">
        <f t="shared" si="50"/>
        <v/>
      </c>
      <c r="BR68" s="10" t="str">
        <f t="shared" si="34"/>
        <v/>
      </c>
    </row>
    <row r="69" spans="1:70" x14ac:dyDescent="0.15">
      <c r="B69" s="9"/>
      <c r="C69" s="461" t="s">
        <v>134</v>
      </c>
      <c r="D69" s="9"/>
      <c r="E69" s="9"/>
      <c r="F69" s="94">
        <f>SUBTOTAL(9,F74:F112)-F105</f>
        <v>10.195274174267764</v>
      </c>
      <c r="G69" s="9" t="s">
        <v>132</v>
      </c>
      <c r="H69" s="9"/>
      <c r="I69" s="458">
        <f t="shared" si="35"/>
        <v>2074</v>
      </c>
      <c r="J69" s="39"/>
      <c r="K69" s="39">
        <f t="shared" si="36"/>
        <v>55</v>
      </c>
      <c r="L69" s="39"/>
      <c r="M69" s="40">
        <f t="shared" si="0"/>
        <v>0.19676717080686118</v>
      </c>
      <c r="N69" s="39"/>
      <c r="O69" s="72" t="str">
        <f t="shared" si="37"/>
        <v/>
      </c>
      <c r="P69" s="41" t="str">
        <f t="shared" si="38"/>
        <v/>
      </c>
      <c r="Q69" s="39"/>
      <c r="R69" s="72" t="str">
        <f t="shared" si="51"/>
        <v/>
      </c>
      <c r="S69" s="39"/>
      <c r="T69" s="72" t="str">
        <f t="shared" si="18"/>
        <v/>
      </c>
      <c r="U69" s="39"/>
      <c r="V69" s="72" t="str">
        <f t="shared" si="39"/>
        <v/>
      </c>
      <c r="W69" s="72" t="str">
        <f t="shared" si="19"/>
        <v/>
      </c>
      <c r="X69" s="39"/>
      <c r="Y69" s="72" t="str">
        <f t="shared" si="40"/>
        <v/>
      </c>
      <c r="Z69" s="72" t="str">
        <f t="shared" si="20"/>
        <v/>
      </c>
      <c r="AA69" s="39"/>
      <c r="AB69" s="72" t="str">
        <f t="shared" si="4"/>
        <v/>
      </c>
      <c r="AC69" s="72" t="str">
        <f t="shared" si="52"/>
        <v/>
      </c>
      <c r="AD69" s="39"/>
      <c r="AE69" s="72" t="str">
        <f t="shared" si="41"/>
        <v/>
      </c>
      <c r="AF69" s="72" t="str">
        <f t="shared" si="22"/>
        <v/>
      </c>
      <c r="AG69" s="39"/>
      <c r="AH69" s="72" t="str">
        <f t="shared" si="42"/>
        <v/>
      </c>
      <c r="AI69" s="72" t="str">
        <f t="shared" si="23"/>
        <v/>
      </c>
      <c r="AJ69" s="39"/>
      <c r="AK69" s="72" t="str">
        <f t="shared" si="43"/>
        <v/>
      </c>
      <c r="AL69" s="72" t="str">
        <f t="shared" si="44"/>
        <v/>
      </c>
      <c r="AM69" s="39"/>
      <c r="AN69" s="72" t="str">
        <f t="shared" si="9"/>
        <v/>
      </c>
      <c r="AO69" s="72" t="str">
        <f t="shared" si="24"/>
        <v/>
      </c>
      <c r="AP69" s="39"/>
      <c r="AQ69" s="72" t="str">
        <f t="shared" si="45"/>
        <v/>
      </c>
      <c r="AR69" s="72" t="str">
        <f t="shared" si="25"/>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46"/>
        <v/>
      </c>
      <c r="AW69" s="72" t="str">
        <f t="shared" si="26"/>
        <v/>
      </c>
      <c r="AX69" s="39"/>
      <c r="AY69" s="40" t="s">
        <v>127</v>
      </c>
      <c r="AZ69" s="39"/>
      <c r="BA69" s="42" t="str">
        <f t="shared" si="47"/>
        <v/>
      </c>
      <c r="BB69" s="72" t="str">
        <f t="shared" si="27"/>
        <v/>
      </c>
      <c r="BC69" s="39"/>
      <c r="BD69" s="72" t="str">
        <f t="shared" si="48"/>
        <v/>
      </c>
      <c r="BE69" s="72" t="str">
        <f t="shared" si="28"/>
        <v/>
      </c>
      <c r="BF69" s="39"/>
      <c r="BG69" s="42" t="str">
        <f t="shared" si="49"/>
        <v/>
      </c>
      <c r="BH69" s="72" t="str">
        <f t="shared" si="29"/>
        <v/>
      </c>
      <c r="BI69" s="39"/>
      <c r="BJ69" s="40" t="str">
        <f t="shared" si="30"/>
        <v/>
      </c>
      <c r="BK69" s="157" t="str">
        <f t="shared" si="31"/>
        <v/>
      </c>
      <c r="BL69" s="157" t="str">
        <f t="shared" si="15"/>
        <v/>
      </c>
      <c r="BM69" s="72"/>
      <c r="BN69" s="72" t="str">
        <f t="shared" si="32"/>
        <v/>
      </c>
      <c r="BO69" s="72" t="str">
        <f t="shared" si="33"/>
        <v/>
      </c>
      <c r="BP69" s="39"/>
      <c r="BQ69" s="72" t="str">
        <f t="shared" si="50"/>
        <v/>
      </c>
      <c r="BR69" s="72" t="str">
        <f t="shared" si="34"/>
        <v/>
      </c>
    </row>
    <row r="70" spans="1:70" x14ac:dyDescent="0.15">
      <c r="B70" s="9"/>
      <c r="C70" s="461" t="s">
        <v>135</v>
      </c>
      <c r="D70" s="9"/>
      <c r="E70" s="9"/>
      <c r="F70" s="94">
        <f>SUBTOTAL(9,F74:F112)</f>
        <v>11.501701174267764</v>
      </c>
      <c r="G70" s="9" t="s">
        <v>132</v>
      </c>
      <c r="H70" s="9"/>
      <c r="I70" s="459">
        <f t="shared" si="35"/>
        <v>2075</v>
      </c>
      <c r="K70" s="71">
        <f t="shared" si="36"/>
        <v>56</v>
      </c>
      <c r="M70" s="7">
        <f t="shared" si="0"/>
        <v>0.19103608816200118</v>
      </c>
      <c r="O70" s="10" t="str">
        <f t="shared" si="37"/>
        <v/>
      </c>
      <c r="P70" s="29" t="str">
        <f t="shared" si="38"/>
        <v/>
      </c>
      <c r="R70" s="10" t="str">
        <f t="shared" si="51"/>
        <v/>
      </c>
      <c r="T70" s="10" t="str">
        <f t="shared" si="18"/>
        <v/>
      </c>
      <c r="V70" s="10" t="str">
        <f t="shared" si="39"/>
        <v/>
      </c>
      <c r="W70" s="10" t="str">
        <f t="shared" si="19"/>
        <v/>
      </c>
      <c r="Y70" s="10" t="str">
        <f t="shared" si="40"/>
        <v/>
      </c>
      <c r="Z70" s="10" t="str">
        <f t="shared" si="20"/>
        <v/>
      </c>
      <c r="AB70" s="10" t="str">
        <f t="shared" si="4"/>
        <v/>
      </c>
      <c r="AC70" s="10" t="str">
        <f t="shared" si="52"/>
        <v/>
      </c>
      <c r="AE70" s="10" t="str">
        <f t="shared" si="41"/>
        <v/>
      </c>
      <c r="AF70" s="10" t="str">
        <f t="shared" si="22"/>
        <v/>
      </c>
      <c r="AH70" s="10" t="str">
        <f t="shared" si="42"/>
        <v/>
      </c>
      <c r="AI70" s="10" t="str">
        <f t="shared" si="23"/>
        <v/>
      </c>
      <c r="AK70" s="10" t="str">
        <f t="shared" si="43"/>
        <v/>
      </c>
      <c r="AL70" s="10" t="str">
        <f t="shared" si="44"/>
        <v/>
      </c>
      <c r="AN70" s="188" t="str">
        <f t="shared" si="9"/>
        <v/>
      </c>
      <c r="AO70" s="10" t="str">
        <f t="shared" si="24"/>
        <v/>
      </c>
      <c r="AQ70" s="10" t="str">
        <f t="shared" si="45"/>
        <v/>
      </c>
      <c r="AR70" s="10" t="str">
        <f t="shared" si="25"/>
        <v/>
      </c>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V70" s="10" t="str">
        <f t="shared" si="46"/>
        <v/>
      </c>
      <c r="AW70" s="10" t="str">
        <f t="shared" si="26"/>
        <v/>
      </c>
      <c r="AY70" s="7" t="s">
        <v>127</v>
      </c>
      <c r="BA70" s="11" t="str">
        <f t="shared" si="47"/>
        <v/>
      </c>
      <c r="BB70" s="10" t="str">
        <f t="shared" si="27"/>
        <v/>
      </c>
      <c r="BD70" s="10" t="str">
        <f t="shared" si="48"/>
        <v/>
      </c>
      <c r="BE70" s="10" t="str">
        <f t="shared" si="28"/>
        <v/>
      </c>
      <c r="BG70" s="11" t="str">
        <f t="shared" si="49"/>
        <v/>
      </c>
      <c r="BH70" s="10" t="str">
        <f t="shared" si="29"/>
        <v/>
      </c>
      <c r="BJ70" s="7" t="str">
        <f t="shared" si="30"/>
        <v/>
      </c>
      <c r="BK70" s="158" t="str">
        <f t="shared" si="31"/>
        <v/>
      </c>
      <c r="BL70" s="158" t="str">
        <f t="shared" si="15"/>
        <v/>
      </c>
      <c r="BM70" s="10"/>
      <c r="BN70" s="10" t="str">
        <f t="shared" si="32"/>
        <v/>
      </c>
      <c r="BO70" s="10" t="str">
        <f t="shared" si="33"/>
        <v/>
      </c>
      <c r="BQ70" s="10" t="str">
        <f t="shared" si="50"/>
        <v/>
      </c>
      <c r="BR70" s="10" t="str">
        <f t="shared" si="34"/>
        <v/>
      </c>
    </row>
    <row r="71" spans="1:70" x14ac:dyDescent="0.15">
      <c r="B71" s="9"/>
      <c r="C71" s="461"/>
      <c r="D71" s="9"/>
      <c r="E71" s="9"/>
      <c r="F71" s="144"/>
      <c r="G71" s="9"/>
      <c r="H71" s="9"/>
      <c r="I71" s="458">
        <f t="shared" si="35"/>
        <v>2076</v>
      </c>
      <c r="J71" s="39"/>
      <c r="K71" s="39">
        <f t="shared" si="36"/>
        <v>57</v>
      </c>
      <c r="L71" s="39"/>
      <c r="M71" s="40">
        <f t="shared" si="0"/>
        <v>0.18547193025437006</v>
      </c>
      <c r="N71" s="39"/>
      <c r="O71" s="72" t="str">
        <f t="shared" si="37"/>
        <v/>
      </c>
      <c r="P71" s="41" t="str">
        <f t="shared" si="38"/>
        <v/>
      </c>
      <c r="Q71" s="39"/>
      <c r="R71" s="72" t="str">
        <f t="shared" si="51"/>
        <v/>
      </c>
      <c r="S71" s="39"/>
      <c r="T71" s="72" t="str">
        <f t="shared" si="18"/>
        <v/>
      </c>
      <c r="U71" s="39"/>
      <c r="V71" s="72" t="str">
        <f t="shared" si="39"/>
        <v/>
      </c>
      <c r="W71" s="72" t="str">
        <f t="shared" si="19"/>
        <v/>
      </c>
      <c r="X71" s="39"/>
      <c r="Y71" s="72" t="str">
        <f t="shared" si="40"/>
        <v/>
      </c>
      <c r="Z71" s="72" t="str">
        <f t="shared" si="20"/>
        <v/>
      </c>
      <c r="AA71" s="39"/>
      <c r="AB71" s="72" t="str">
        <f t="shared" si="4"/>
        <v/>
      </c>
      <c r="AC71" s="72" t="str">
        <f t="shared" si="52"/>
        <v/>
      </c>
      <c r="AD71" s="39"/>
      <c r="AE71" s="72" t="str">
        <f t="shared" si="41"/>
        <v/>
      </c>
      <c r="AF71" s="72" t="str">
        <f t="shared" si="22"/>
        <v/>
      </c>
      <c r="AG71" s="39"/>
      <c r="AH71" s="72" t="str">
        <f t="shared" si="42"/>
        <v/>
      </c>
      <c r="AI71" s="72" t="str">
        <f t="shared" si="23"/>
        <v/>
      </c>
      <c r="AJ71" s="39"/>
      <c r="AK71" s="72" t="str">
        <f t="shared" si="43"/>
        <v/>
      </c>
      <c r="AL71" s="72" t="str">
        <f t="shared" si="44"/>
        <v/>
      </c>
      <c r="AM71" s="39"/>
      <c r="AN71" s="72" t="str">
        <f t="shared" si="9"/>
        <v/>
      </c>
      <c r="AO71" s="72" t="str">
        <f t="shared" si="24"/>
        <v/>
      </c>
      <c r="AP71" s="39"/>
      <c r="AQ71" s="72" t="str">
        <f t="shared" si="45"/>
        <v/>
      </c>
      <c r="AR71" s="72" t="str">
        <f t="shared" si="25"/>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46"/>
        <v/>
      </c>
      <c r="AW71" s="72" t="str">
        <f t="shared" si="26"/>
        <v/>
      </c>
      <c r="AX71" s="39"/>
      <c r="AY71" s="40" t="s">
        <v>127</v>
      </c>
      <c r="AZ71" s="39"/>
      <c r="BA71" s="42" t="str">
        <f t="shared" si="47"/>
        <v/>
      </c>
      <c r="BB71" s="72" t="str">
        <f t="shared" si="27"/>
        <v/>
      </c>
      <c r="BC71" s="39"/>
      <c r="BD71" s="72" t="str">
        <f t="shared" si="48"/>
        <v/>
      </c>
      <c r="BE71" s="72" t="str">
        <f t="shared" si="28"/>
        <v/>
      </c>
      <c r="BF71" s="39"/>
      <c r="BG71" s="42" t="str">
        <f t="shared" si="49"/>
        <v/>
      </c>
      <c r="BH71" s="72" t="str">
        <f t="shared" si="29"/>
        <v/>
      </c>
      <c r="BI71" s="39"/>
      <c r="BJ71" s="40" t="str">
        <f t="shared" si="30"/>
        <v/>
      </c>
      <c r="BK71" s="157" t="str">
        <f t="shared" si="31"/>
        <v/>
      </c>
      <c r="BL71" s="157" t="str">
        <f t="shared" si="15"/>
        <v/>
      </c>
      <c r="BM71" s="72"/>
      <c r="BN71" s="72" t="str">
        <f t="shared" si="32"/>
        <v/>
      </c>
      <c r="BO71" s="72" t="str">
        <f t="shared" si="33"/>
        <v/>
      </c>
      <c r="BP71" s="39"/>
      <c r="BQ71" s="72" t="str">
        <f t="shared" si="50"/>
        <v/>
      </c>
      <c r="BR71" s="72" t="str">
        <f t="shared" si="34"/>
        <v/>
      </c>
    </row>
    <row r="72" spans="1:70" x14ac:dyDescent="0.15">
      <c r="B72" s="9"/>
      <c r="C72" s="89" t="s">
        <v>136</v>
      </c>
      <c r="D72" s="89"/>
      <c r="E72" s="89"/>
      <c r="F72" s="92"/>
      <c r="G72" s="89"/>
      <c r="H72" s="9"/>
      <c r="I72" s="459">
        <f t="shared" si="35"/>
        <v>2077</v>
      </c>
      <c r="K72" s="71">
        <f t="shared" si="36"/>
        <v>58</v>
      </c>
      <c r="M72" s="7">
        <f t="shared" si="0"/>
        <v>0.18006983519841754</v>
      </c>
      <c r="O72" s="10" t="str">
        <f t="shared" si="37"/>
        <v/>
      </c>
      <c r="P72" s="29" t="str">
        <f t="shared" si="38"/>
        <v/>
      </c>
      <c r="R72" s="10" t="str">
        <f t="shared" si="51"/>
        <v/>
      </c>
      <c r="T72" s="10" t="str">
        <f t="shared" si="18"/>
        <v/>
      </c>
      <c r="V72" s="10" t="str">
        <f t="shared" si="39"/>
        <v/>
      </c>
      <c r="W72" s="10" t="str">
        <f t="shared" si="19"/>
        <v/>
      </c>
      <c r="Y72" s="10" t="str">
        <f t="shared" si="40"/>
        <v/>
      </c>
      <c r="Z72" s="10" t="str">
        <f t="shared" si="20"/>
        <v/>
      </c>
      <c r="AB72" s="10" t="str">
        <f t="shared" si="4"/>
        <v/>
      </c>
      <c r="AC72" s="10" t="str">
        <f t="shared" si="52"/>
        <v/>
      </c>
      <c r="AE72" s="10" t="str">
        <f t="shared" si="41"/>
        <v/>
      </c>
      <c r="AF72" s="10" t="str">
        <f t="shared" si="22"/>
        <v/>
      </c>
      <c r="AH72" s="10" t="str">
        <f t="shared" si="42"/>
        <v/>
      </c>
      <c r="AI72" s="10" t="str">
        <f t="shared" si="23"/>
        <v/>
      </c>
      <c r="AK72" s="10" t="str">
        <f t="shared" si="43"/>
        <v/>
      </c>
      <c r="AL72" s="10" t="str">
        <f t="shared" si="44"/>
        <v/>
      </c>
      <c r="AN72" s="188" t="str">
        <f t="shared" si="9"/>
        <v/>
      </c>
      <c r="AO72" s="10" t="str">
        <f t="shared" si="24"/>
        <v/>
      </c>
      <c r="AQ72" s="10" t="str">
        <f t="shared" si="45"/>
        <v/>
      </c>
      <c r="AR72" s="10" t="str">
        <f t="shared" si="25"/>
        <v/>
      </c>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V72" s="10" t="str">
        <f t="shared" si="46"/>
        <v/>
      </c>
      <c r="AW72" s="10" t="str">
        <f t="shared" si="26"/>
        <v/>
      </c>
      <c r="AY72" s="7" t="s">
        <v>127</v>
      </c>
      <c r="BA72" s="11" t="str">
        <f t="shared" si="47"/>
        <v/>
      </c>
      <c r="BB72" s="10" t="str">
        <f t="shared" si="27"/>
        <v/>
      </c>
      <c r="BD72" s="10" t="str">
        <f t="shared" si="48"/>
        <v/>
      </c>
      <c r="BE72" s="10" t="str">
        <f t="shared" si="28"/>
        <v/>
      </c>
      <c r="BG72" s="11" t="str">
        <f t="shared" si="49"/>
        <v/>
      </c>
      <c r="BH72" s="10" t="str">
        <f t="shared" si="29"/>
        <v/>
      </c>
      <c r="BJ72" s="7" t="str">
        <f t="shared" si="30"/>
        <v/>
      </c>
      <c r="BK72" s="158" t="str">
        <f t="shared" si="31"/>
        <v/>
      </c>
      <c r="BL72" s="158" t="str">
        <f t="shared" si="15"/>
        <v/>
      </c>
      <c r="BM72" s="10"/>
      <c r="BN72" s="10" t="str">
        <f t="shared" si="32"/>
        <v/>
      </c>
      <c r="BO72" s="10" t="str">
        <f t="shared" si="33"/>
        <v/>
      </c>
      <c r="BQ72" s="10" t="str">
        <f t="shared" si="50"/>
        <v/>
      </c>
      <c r="BR72" s="10" t="str">
        <f t="shared" si="34"/>
        <v/>
      </c>
    </row>
    <row r="73" spans="1:70" x14ac:dyDescent="0.15">
      <c r="B73" s="9"/>
      <c r="C73" s="9"/>
      <c r="D73" s="9"/>
      <c r="E73" s="9"/>
      <c r="F73" s="93"/>
      <c r="G73" s="9"/>
      <c r="H73" s="9"/>
      <c r="I73" s="458">
        <f t="shared" si="35"/>
        <v>2078</v>
      </c>
      <c r="J73" s="39"/>
      <c r="K73" s="39">
        <f t="shared" si="36"/>
        <v>59</v>
      </c>
      <c r="L73" s="39"/>
      <c r="M73" s="40">
        <f t="shared" si="0"/>
        <v>0.17482508271691022</v>
      </c>
      <c r="N73" s="39"/>
      <c r="O73" s="72" t="str">
        <f t="shared" si="37"/>
        <v/>
      </c>
      <c r="P73" s="41" t="str">
        <f t="shared" si="38"/>
        <v/>
      </c>
      <c r="Q73" s="39"/>
      <c r="R73" s="72" t="str">
        <f t="shared" si="51"/>
        <v/>
      </c>
      <c r="S73" s="39"/>
      <c r="T73" s="72" t="str">
        <f t="shared" si="18"/>
        <v/>
      </c>
      <c r="U73" s="39"/>
      <c r="V73" s="72" t="str">
        <f t="shared" si="39"/>
        <v/>
      </c>
      <c r="W73" s="72" t="str">
        <f t="shared" si="19"/>
        <v/>
      </c>
      <c r="X73" s="39"/>
      <c r="Y73" s="72" t="str">
        <f t="shared" si="40"/>
        <v/>
      </c>
      <c r="Z73" s="72" t="str">
        <f t="shared" si="20"/>
        <v/>
      </c>
      <c r="AA73" s="39"/>
      <c r="AB73" s="72" t="str">
        <f t="shared" si="4"/>
        <v/>
      </c>
      <c r="AC73" s="72" t="str">
        <f t="shared" si="52"/>
        <v/>
      </c>
      <c r="AD73" s="39"/>
      <c r="AE73" s="72" t="str">
        <f t="shared" si="41"/>
        <v/>
      </c>
      <c r="AF73" s="72" t="str">
        <f t="shared" si="22"/>
        <v/>
      </c>
      <c r="AG73" s="39"/>
      <c r="AH73" s="72" t="str">
        <f t="shared" si="42"/>
        <v/>
      </c>
      <c r="AI73" s="72" t="str">
        <f t="shared" si="23"/>
        <v/>
      </c>
      <c r="AJ73" s="39"/>
      <c r="AK73" s="72" t="str">
        <f t="shared" si="43"/>
        <v/>
      </c>
      <c r="AL73" s="72" t="str">
        <f t="shared" si="44"/>
        <v/>
      </c>
      <c r="AM73" s="39"/>
      <c r="AN73" s="72" t="str">
        <f t="shared" si="9"/>
        <v/>
      </c>
      <c r="AO73" s="72" t="str">
        <f t="shared" si="24"/>
        <v/>
      </c>
      <c r="AP73" s="39"/>
      <c r="AQ73" s="72" t="str">
        <f t="shared" si="45"/>
        <v/>
      </c>
      <c r="AR73" s="72" t="str">
        <f t="shared" si="25"/>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46"/>
        <v/>
      </c>
      <c r="AW73" s="72" t="str">
        <f t="shared" si="26"/>
        <v/>
      </c>
      <c r="AX73" s="39"/>
      <c r="AY73" s="40" t="s">
        <v>127</v>
      </c>
      <c r="AZ73" s="39"/>
      <c r="BA73" s="42" t="str">
        <f t="shared" si="47"/>
        <v/>
      </c>
      <c r="BB73" s="72" t="str">
        <f t="shared" si="27"/>
        <v/>
      </c>
      <c r="BC73" s="39"/>
      <c r="BD73" s="72" t="str">
        <f t="shared" si="48"/>
        <v/>
      </c>
      <c r="BE73" s="72" t="str">
        <f t="shared" si="28"/>
        <v/>
      </c>
      <c r="BF73" s="39"/>
      <c r="BG73" s="42" t="str">
        <f t="shared" si="49"/>
        <v/>
      </c>
      <c r="BH73" s="72" t="str">
        <f t="shared" si="29"/>
        <v/>
      </c>
      <c r="BI73" s="39"/>
      <c r="BJ73" s="40" t="str">
        <f t="shared" si="30"/>
        <v/>
      </c>
      <c r="BK73" s="157" t="str">
        <f t="shared" si="31"/>
        <v/>
      </c>
      <c r="BL73" s="157" t="str">
        <f t="shared" si="15"/>
        <v/>
      </c>
      <c r="BM73" s="72"/>
      <c r="BN73" s="72" t="str">
        <f t="shared" si="32"/>
        <v/>
      </c>
      <c r="BO73" s="72" t="str">
        <f t="shared" si="33"/>
        <v/>
      </c>
      <c r="BP73" s="39"/>
      <c r="BQ73" s="72" t="str">
        <f t="shared" si="50"/>
        <v/>
      </c>
      <c r="BR73" s="72" t="str">
        <f t="shared" si="34"/>
        <v/>
      </c>
    </row>
    <row r="74" spans="1:70" x14ac:dyDescent="0.15">
      <c r="B74" s="9"/>
      <c r="C74" s="9"/>
      <c r="D74" s="461" t="s">
        <v>137</v>
      </c>
      <c r="E74" s="9"/>
      <c r="F74" s="94">
        <f>SUBTOTAL(9,F78:F81)</f>
        <v>4.232557766208882</v>
      </c>
      <c r="G74" s="9" t="s">
        <v>132</v>
      </c>
      <c r="H74" s="9"/>
      <c r="I74" s="459">
        <f t="shared" si="35"/>
        <v>2079</v>
      </c>
      <c r="K74" s="71">
        <f t="shared" si="36"/>
        <v>60</v>
      </c>
      <c r="M74" s="7">
        <f t="shared" si="0"/>
        <v>0.1697330900164177</v>
      </c>
      <c r="O74" s="10" t="str">
        <f t="shared" si="37"/>
        <v/>
      </c>
      <c r="P74" s="29" t="str">
        <f t="shared" si="38"/>
        <v/>
      </c>
      <c r="R74" s="10" t="str">
        <f t="shared" si="51"/>
        <v/>
      </c>
      <c r="T74" s="10" t="str">
        <f t="shared" si="18"/>
        <v/>
      </c>
      <c r="V74" s="10" t="str">
        <f t="shared" si="39"/>
        <v/>
      </c>
      <c r="W74" s="10" t="str">
        <f t="shared" si="19"/>
        <v/>
      </c>
      <c r="Y74" s="10" t="str">
        <f t="shared" si="40"/>
        <v/>
      </c>
      <c r="Z74" s="10" t="str">
        <f t="shared" si="20"/>
        <v/>
      </c>
      <c r="AB74" s="10" t="str">
        <f t="shared" si="4"/>
        <v/>
      </c>
      <c r="AC74" s="10" t="str">
        <f t="shared" si="52"/>
        <v/>
      </c>
      <c r="AE74" s="10" t="str">
        <f t="shared" si="41"/>
        <v/>
      </c>
      <c r="AF74" s="10" t="str">
        <f t="shared" si="22"/>
        <v/>
      </c>
      <c r="AH74" s="10" t="str">
        <f t="shared" si="42"/>
        <v/>
      </c>
      <c r="AI74" s="10" t="str">
        <f t="shared" si="23"/>
        <v/>
      </c>
      <c r="AK74" s="10" t="str">
        <f t="shared" si="43"/>
        <v/>
      </c>
      <c r="AL74" s="10" t="str">
        <f t="shared" si="44"/>
        <v/>
      </c>
      <c r="AN74" s="188" t="str">
        <f t="shared" si="9"/>
        <v/>
      </c>
      <c r="AO74" s="10" t="str">
        <f t="shared" si="24"/>
        <v/>
      </c>
      <c r="AQ74" s="10" t="str">
        <f t="shared" si="45"/>
        <v/>
      </c>
      <c r="AR74" s="10" t="str">
        <f t="shared" si="25"/>
        <v/>
      </c>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V74" s="10" t="str">
        <f t="shared" si="46"/>
        <v/>
      </c>
      <c r="AW74" s="10" t="str">
        <f t="shared" si="26"/>
        <v/>
      </c>
      <c r="AY74" s="7" t="s">
        <v>127</v>
      </c>
      <c r="BA74" s="11" t="str">
        <f t="shared" si="47"/>
        <v/>
      </c>
      <c r="BB74" s="10" t="str">
        <f t="shared" si="27"/>
        <v/>
      </c>
      <c r="BD74" s="10" t="str">
        <f t="shared" si="48"/>
        <v/>
      </c>
      <c r="BE74" s="10" t="str">
        <f t="shared" si="28"/>
        <v/>
      </c>
      <c r="BG74" s="11" t="str">
        <f t="shared" si="49"/>
        <v/>
      </c>
      <c r="BH74" s="10" t="str">
        <f t="shared" si="29"/>
        <v/>
      </c>
      <c r="BJ74" s="7" t="str">
        <f t="shared" si="30"/>
        <v/>
      </c>
      <c r="BK74" s="158" t="str">
        <f t="shared" si="31"/>
        <v/>
      </c>
      <c r="BL74" s="158" t="str">
        <f t="shared" si="15"/>
        <v/>
      </c>
      <c r="BM74" s="10"/>
      <c r="BN74" s="10" t="str">
        <f t="shared" si="32"/>
        <v/>
      </c>
      <c r="BO74" s="10" t="str">
        <f t="shared" si="33"/>
        <v/>
      </c>
      <c r="BQ74" s="10" t="str">
        <f t="shared" si="50"/>
        <v/>
      </c>
      <c r="BR74" s="10" t="str">
        <f t="shared" si="34"/>
        <v/>
      </c>
    </row>
    <row r="75" spans="1:70" x14ac:dyDescent="0.15">
      <c r="A75" s="73"/>
      <c r="B75" s="9"/>
      <c r="C75" s="9"/>
      <c r="D75" s="74"/>
      <c r="E75" s="83"/>
      <c r="F75" s="144"/>
      <c r="G75" s="83"/>
      <c r="H75" s="83"/>
      <c r="I75" s="458">
        <f t="shared" si="35"/>
        <v>2080</v>
      </c>
      <c r="J75" s="39"/>
      <c r="K75" s="39">
        <f t="shared" si="36"/>
        <v>61</v>
      </c>
      <c r="L75" s="39"/>
      <c r="M75" s="40">
        <f t="shared" si="0"/>
        <v>0.16478940778292983</v>
      </c>
      <c r="N75" s="39"/>
      <c r="O75" s="72" t="str">
        <f t="shared" si="37"/>
        <v/>
      </c>
      <c r="P75" s="41" t="str">
        <f t="shared" si="38"/>
        <v/>
      </c>
      <c r="Q75" s="39"/>
      <c r="R75" s="72" t="str">
        <f t="shared" si="51"/>
        <v/>
      </c>
      <c r="S75" s="39"/>
      <c r="T75" s="72" t="str">
        <f t="shared" si="18"/>
        <v/>
      </c>
      <c r="U75" s="39"/>
      <c r="V75" s="72" t="str">
        <f t="shared" si="39"/>
        <v/>
      </c>
      <c r="W75" s="72" t="str">
        <f t="shared" si="19"/>
        <v/>
      </c>
      <c r="X75" s="39"/>
      <c r="Y75" s="72" t="str">
        <f t="shared" si="40"/>
        <v/>
      </c>
      <c r="Z75" s="72" t="str">
        <f t="shared" si="20"/>
        <v/>
      </c>
      <c r="AA75" s="39"/>
      <c r="AB75" s="72" t="str">
        <f t="shared" si="4"/>
        <v/>
      </c>
      <c r="AC75" s="72" t="str">
        <f t="shared" si="52"/>
        <v/>
      </c>
      <c r="AD75" s="39"/>
      <c r="AE75" s="72" t="str">
        <f t="shared" si="41"/>
        <v/>
      </c>
      <c r="AF75" s="72" t="str">
        <f t="shared" si="22"/>
        <v/>
      </c>
      <c r="AG75" s="39"/>
      <c r="AH75" s="72" t="str">
        <f t="shared" si="42"/>
        <v/>
      </c>
      <c r="AI75" s="72" t="str">
        <f t="shared" si="23"/>
        <v/>
      </c>
      <c r="AJ75" s="39"/>
      <c r="AK75" s="72" t="str">
        <f t="shared" si="43"/>
        <v/>
      </c>
      <c r="AL75" s="72" t="str">
        <f t="shared" si="44"/>
        <v/>
      </c>
      <c r="AM75" s="39"/>
      <c r="AN75" s="72" t="str">
        <f t="shared" si="9"/>
        <v/>
      </c>
      <c r="AO75" s="72" t="str">
        <f t="shared" si="24"/>
        <v/>
      </c>
      <c r="AP75" s="39"/>
      <c r="AQ75" s="72" t="str">
        <f t="shared" si="45"/>
        <v/>
      </c>
      <c r="AR75" s="72" t="str">
        <f t="shared" si="25"/>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46"/>
        <v/>
      </c>
      <c r="AW75" s="72" t="str">
        <f t="shared" si="26"/>
        <v/>
      </c>
      <c r="AX75" s="39"/>
      <c r="AY75" s="40" t="s">
        <v>127</v>
      </c>
      <c r="AZ75" s="39"/>
      <c r="BA75" s="42" t="str">
        <f t="shared" si="47"/>
        <v/>
      </c>
      <c r="BB75" s="72" t="str">
        <f t="shared" si="27"/>
        <v/>
      </c>
      <c r="BC75" s="39"/>
      <c r="BD75" s="72" t="str">
        <f t="shared" si="48"/>
        <v/>
      </c>
      <c r="BE75" s="72" t="str">
        <f t="shared" si="28"/>
        <v/>
      </c>
      <c r="BF75" s="39"/>
      <c r="BG75" s="42" t="str">
        <f t="shared" si="49"/>
        <v/>
      </c>
      <c r="BH75" s="72" t="str">
        <f t="shared" si="29"/>
        <v/>
      </c>
      <c r="BI75" s="39"/>
      <c r="BJ75" s="40" t="str">
        <f t="shared" si="30"/>
        <v/>
      </c>
      <c r="BK75" s="157" t="str">
        <f t="shared" si="31"/>
        <v/>
      </c>
      <c r="BL75" s="157" t="str">
        <f t="shared" si="15"/>
        <v/>
      </c>
      <c r="BM75" s="72"/>
      <c r="BN75" s="72" t="str">
        <f t="shared" si="32"/>
        <v/>
      </c>
      <c r="BO75" s="72" t="str">
        <f t="shared" si="33"/>
        <v/>
      </c>
      <c r="BP75" s="39"/>
      <c r="BQ75" s="72" t="str">
        <f t="shared" si="50"/>
        <v/>
      </c>
      <c r="BR75" s="72" t="str">
        <f t="shared" si="34"/>
        <v/>
      </c>
    </row>
    <row r="76" spans="1:70" x14ac:dyDescent="0.15">
      <c r="B76" s="83"/>
      <c r="C76" s="9"/>
      <c r="D76" s="89" t="s">
        <v>193</v>
      </c>
      <c r="E76" s="89"/>
      <c r="F76" s="92"/>
      <c r="G76" s="89"/>
      <c r="H76" s="9"/>
      <c r="I76" s="459">
        <f t="shared" si="35"/>
        <v>2081</v>
      </c>
      <c r="K76" s="71">
        <f t="shared" si="36"/>
        <v>62</v>
      </c>
      <c r="M76" s="7">
        <f t="shared" si="0"/>
        <v>0.15998971629410663</v>
      </c>
      <c r="O76" s="10" t="str">
        <f t="shared" si="37"/>
        <v/>
      </c>
      <c r="P76" s="29" t="str">
        <f t="shared" si="38"/>
        <v/>
      </c>
      <c r="R76" s="10" t="str">
        <f t="shared" si="51"/>
        <v/>
      </c>
      <c r="T76" s="10" t="str">
        <f t="shared" si="18"/>
        <v/>
      </c>
      <c r="V76" s="10" t="str">
        <f t="shared" si="39"/>
        <v/>
      </c>
      <c r="W76" s="10" t="str">
        <f t="shared" si="19"/>
        <v/>
      </c>
      <c r="Y76" s="10" t="str">
        <f t="shared" si="40"/>
        <v/>
      </c>
      <c r="Z76" s="10" t="str">
        <f t="shared" si="20"/>
        <v/>
      </c>
      <c r="AB76" s="10" t="str">
        <f t="shared" si="4"/>
        <v/>
      </c>
      <c r="AC76" s="10" t="str">
        <f t="shared" si="52"/>
        <v/>
      </c>
      <c r="AE76" s="10" t="str">
        <f t="shared" si="41"/>
        <v/>
      </c>
      <c r="AF76" s="10" t="str">
        <f t="shared" si="22"/>
        <v/>
      </c>
      <c r="AH76" s="10" t="str">
        <f t="shared" si="42"/>
        <v/>
      </c>
      <c r="AI76" s="10" t="str">
        <f t="shared" si="23"/>
        <v/>
      </c>
      <c r="AK76" s="10" t="str">
        <f t="shared" si="43"/>
        <v/>
      </c>
      <c r="AL76" s="10" t="str">
        <f t="shared" si="44"/>
        <v/>
      </c>
      <c r="AN76" s="188" t="str">
        <f t="shared" si="9"/>
        <v/>
      </c>
      <c r="AO76" s="10" t="str">
        <f t="shared" si="24"/>
        <v/>
      </c>
      <c r="AQ76" s="10" t="str">
        <f t="shared" si="45"/>
        <v/>
      </c>
      <c r="AR76" s="10" t="str">
        <f t="shared" si="25"/>
        <v/>
      </c>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V76" s="10" t="str">
        <f t="shared" si="46"/>
        <v/>
      </c>
      <c r="AW76" s="10" t="str">
        <f t="shared" si="26"/>
        <v/>
      </c>
      <c r="AY76" s="7" t="s">
        <v>127</v>
      </c>
      <c r="BA76" s="11" t="str">
        <f t="shared" si="47"/>
        <v/>
      </c>
      <c r="BB76" s="10" t="str">
        <f t="shared" si="27"/>
        <v/>
      </c>
      <c r="BD76" s="10" t="str">
        <f t="shared" si="48"/>
        <v/>
      </c>
      <c r="BE76" s="10" t="str">
        <f t="shared" si="28"/>
        <v/>
      </c>
      <c r="BG76" s="11" t="str">
        <f t="shared" si="49"/>
        <v/>
      </c>
      <c r="BH76" s="10" t="str">
        <f t="shared" si="29"/>
        <v/>
      </c>
      <c r="BJ76" s="7" t="str">
        <f t="shared" si="30"/>
        <v/>
      </c>
      <c r="BK76" s="158" t="str">
        <f t="shared" si="31"/>
        <v/>
      </c>
      <c r="BL76" s="158" t="str">
        <f t="shared" si="15"/>
        <v/>
      </c>
      <c r="BM76" s="10"/>
      <c r="BN76" s="10" t="str">
        <f t="shared" si="32"/>
        <v/>
      </c>
      <c r="BO76" s="10" t="str">
        <f t="shared" si="33"/>
        <v/>
      </c>
      <c r="BQ76" s="10" t="str">
        <f t="shared" si="50"/>
        <v/>
      </c>
      <c r="BR76" s="10" t="str">
        <f t="shared" si="34"/>
        <v/>
      </c>
    </row>
    <row r="77" spans="1:70" x14ac:dyDescent="0.15">
      <c r="B77" s="9"/>
      <c r="C77" s="9"/>
      <c r="D77" s="9"/>
      <c r="E77" s="9"/>
      <c r="F77" s="145"/>
      <c r="G77" s="9"/>
      <c r="H77" s="9"/>
      <c r="I77" s="458">
        <f t="shared" si="35"/>
        <v>2082</v>
      </c>
      <c r="J77" s="39"/>
      <c r="K77" s="39">
        <f t="shared" si="36"/>
        <v>63</v>
      </c>
      <c r="L77" s="39"/>
      <c r="M77" s="40">
        <f t="shared" si="0"/>
        <v>0.15532982164476369</v>
      </c>
      <c r="N77" s="39"/>
      <c r="O77" s="72" t="str">
        <f t="shared" si="37"/>
        <v/>
      </c>
      <c r="P77" s="41" t="str">
        <f t="shared" si="38"/>
        <v/>
      </c>
      <c r="Q77" s="39"/>
      <c r="R77" s="72" t="str">
        <f t="shared" si="51"/>
        <v/>
      </c>
      <c r="S77" s="39"/>
      <c r="T77" s="72" t="str">
        <f t="shared" si="18"/>
        <v/>
      </c>
      <c r="U77" s="39"/>
      <c r="V77" s="72" t="str">
        <f t="shared" si="39"/>
        <v/>
      </c>
      <c r="W77" s="72" t="str">
        <f t="shared" si="19"/>
        <v/>
      </c>
      <c r="X77" s="39"/>
      <c r="Y77" s="72" t="str">
        <f t="shared" si="40"/>
        <v/>
      </c>
      <c r="Z77" s="72" t="str">
        <f t="shared" si="20"/>
        <v/>
      </c>
      <c r="AA77" s="39"/>
      <c r="AB77" s="72" t="str">
        <f t="shared" si="4"/>
        <v/>
      </c>
      <c r="AC77" s="72" t="str">
        <f t="shared" si="52"/>
        <v/>
      </c>
      <c r="AD77" s="39"/>
      <c r="AE77" s="72" t="str">
        <f t="shared" si="41"/>
        <v/>
      </c>
      <c r="AF77" s="72" t="str">
        <f t="shared" si="22"/>
        <v/>
      </c>
      <c r="AG77" s="39"/>
      <c r="AH77" s="72" t="str">
        <f t="shared" si="42"/>
        <v/>
      </c>
      <c r="AI77" s="72" t="str">
        <f t="shared" si="23"/>
        <v/>
      </c>
      <c r="AJ77" s="39"/>
      <c r="AK77" s="72" t="str">
        <f t="shared" si="43"/>
        <v/>
      </c>
      <c r="AL77" s="72" t="str">
        <f t="shared" si="44"/>
        <v/>
      </c>
      <c r="AM77" s="39"/>
      <c r="AN77" s="72" t="str">
        <f t="shared" si="9"/>
        <v/>
      </c>
      <c r="AO77" s="72" t="str">
        <f t="shared" si="24"/>
        <v/>
      </c>
      <c r="AP77" s="39"/>
      <c r="AQ77" s="72" t="str">
        <f t="shared" si="45"/>
        <v/>
      </c>
      <c r="AR77" s="72" t="str">
        <f t="shared" si="25"/>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46"/>
        <v/>
      </c>
      <c r="AW77" s="72" t="str">
        <f t="shared" si="26"/>
        <v/>
      </c>
      <c r="AX77" s="39"/>
      <c r="AY77" s="40" t="s">
        <v>127</v>
      </c>
      <c r="AZ77" s="39"/>
      <c r="BA77" s="42" t="str">
        <f t="shared" si="47"/>
        <v/>
      </c>
      <c r="BB77" s="72" t="str">
        <f t="shared" si="27"/>
        <v/>
      </c>
      <c r="BC77" s="39"/>
      <c r="BD77" s="72" t="str">
        <f t="shared" si="48"/>
        <v/>
      </c>
      <c r="BE77" s="72" t="str">
        <f t="shared" si="28"/>
        <v/>
      </c>
      <c r="BF77" s="39"/>
      <c r="BG77" s="42" t="str">
        <f t="shared" si="49"/>
        <v/>
      </c>
      <c r="BH77" s="72" t="str">
        <f t="shared" si="29"/>
        <v/>
      </c>
      <c r="BI77" s="39"/>
      <c r="BJ77" s="40" t="str">
        <f t="shared" si="30"/>
        <v/>
      </c>
      <c r="BK77" s="157" t="str">
        <f t="shared" si="31"/>
        <v/>
      </c>
      <c r="BL77" s="157" t="str">
        <f t="shared" si="15"/>
        <v/>
      </c>
      <c r="BM77" s="72"/>
      <c r="BN77" s="72" t="str">
        <f t="shared" si="32"/>
        <v/>
      </c>
      <c r="BO77" s="72" t="str">
        <f t="shared" si="33"/>
        <v/>
      </c>
      <c r="BP77" s="39"/>
      <c r="BQ77" s="72" t="str">
        <f t="shared" si="50"/>
        <v/>
      </c>
      <c r="BR77" s="72" t="str">
        <f t="shared" si="34"/>
        <v/>
      </c>
    </row>
    <row r="78" spans="1:70" x14ac:dyDescent="0.15">
      <c r="B78" s="9"/>
      <c r="C78" s="9"/>
      <c r="D78" s="9"/>
      <c r="E78" s="74" t="s">
        <v>138</v>
      </c>
      <c r="F78" s="105">
        <f>R15/$BR$116</f>
        <v>3.77807462115668</v>
      </c>
      <c r="G78" s="9" t="s">
        <v>514</v>
      </c>
      <c r="H78" s="9"/>
      <c r="I78" s="459">
        <f t="shared" si="35"/>
        <v>2083</v>
      </c>
      <c r="K78" s="71">
        <f t="shared" si="36"/>
        <v>64</v>
      </c>
      <c r="M78" s="7">
        <f t="shared" si="0"/>
        <v>0.15080565208229488</v>
      </c>
      <c r="O78" s="10" t="str">
        <f t="shared" si="37"/>
        <v/>
      </c>
      <c r="P78" s="29" t="str">
        <f t="shared" si="38"/>
        <v/>
      </c>
      <c r="R78" s="10" t="str">
        <f t="shared" si="51"/>
        <v/>
      </c>
      <c r="T78" s="10" t="str">
        <f t="shared" si="18"/>
        <v/>
      </c>
      <c r="V78" s="10" t="str">
        <f t="shared" si="39"/>
        <v/>
      </c>
      <c r="W78" s="10" t="str">
        <f t="shared" si="19"/>
        <v/>
      </c>
      <c r="Y78" s="10" t="str">
        <f t="shared" si="40"/>
        <v/>
      </c>
      <c r="Z78" s="10" t="str">
        <f t="shared" si="20"/>
        <v/>
      </c>
      <c r="AB78" s="10" t="str">
        <f t="shared" si="4"/>
        <v/>
      </c>
      <c r="AC78" s="10" t="str">
        <f t="shared" si="52"/>
        <v/>
      </c>
      <c r="AE78" s="10" t="str">
        <f t="shared" si="41"/>
        <v/>
      </c>
      <c r="AF78" s="10" t="str">
        <f t="shared" si="22"/>
        <v/>
      </c>
      <c r="AH78" s="10" t="str">
        <f t="shared" si="42"/>
        <v/>
      </c>
      <c r="AI78" s="10" t="str">
        <f t="shared" si="23"/>
        <v/>
      </c>
      <c r="AK78" s="10" t="str">
        <f t="shared" si="43"/>
        <v/>
      </c>
      <c r="AL78" s="10" t="str">
        <f t="shared" si="44"/>
        <v/>
      </c>
      <c r="AN78" s="188" t="str">
        <f t="shared" si="9"/>
        <v/>
      </c>
      <c r="AO78" s="10" t="str">
        <f t="shared" si="24"/>
        <v/>
      </c>
      <c r="AQ78" s="10" t="str">
        <f t="shared" si="45"/>
        <v/>
      </c>
      <c r="AR78" s="10" t="str">
        <f t="shared" si="25"/>
        <v/>
      </c>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V78" s="10" t="str">
        <f t="shared" si="46"/>
        <v/>
      </c>
      <c r="AW78" s="10" t="str">
        <f t="shared" si="26"/>
        <v/>
      </c>
      <c r="AY78" s="7" t="s">
        <v>127</v>
      </c>
      <c r="BA78" s="11" t="str">
        <f t="shared" si="47"/>
        <v/>
      </c>
      <c r="BB78" s="10" t="str">
        <f t="shared" si="27"/>
        <v/>
      </c>
      <c r="BD78" s="10" t="str">
        <f t="shared" si="48"/>
        <v/>
      </c>
      <c r="BE78" s="10" t="str">
        <f t="shared" si="28"/>
        <v/>
      </c>
      <c r="BG78" s="11" t="str">
        <f t="shared" si="49"/>
        <v/>
      </c>
      <c r="BH78" s="10" t="str">
        <f t="shared" si="29"/>
        <v/>
      </c>
      <c r="BJ78" s="7" t="str">
        <f t="shared" si="30"/>
        <v/>
      </c>
      <c r="BK78" s="158" t="str">
        <f t="shared" si="31"/>
        <v/>
      </c>
      <c r="BL78" s="158" t="str">
        <f t="shared" si="15"/>
        <v/>
      </c>
      <c r="BM78" s="10"/>
      <c r="BN78" s="10" t="str">
        <f t="shared" si="32"/>
        <v/>
      </c>
      <c r="BO78" s="10" t="str">
        <f t="shared" si="33"/>
        <v/>
      </c>
      <c r="BQ78" s="10" t="str">
        <f t="shared" si="50"/>
        <v/>
      </c>
      <c r="BR78" s="10" t="str">
        <f t="shared" si="34"/>
        <v/>
      </c>
    </row>
    <row r="79" spans="1:70" x14ac:dyDescent="0.15">
      <c r="B79" s="9"/>
      <c r="C79" s="9"/>
      <c r="D79" s="9"/>
      <c r="E79" s="81" t="s">
        <v>139</v>
      </c>
      <c r="F79" s="91">
        <f>Z116/$BR$116</f>
        <v>0.3343708695579331</v>
      </c>
      <c r="G79" s="9" t="s">
        <v>132</v>
      </c>
      <c r="H79" s="9"/>
      <c r="I79" s="458">
        <f t="shared" si="35"/>
        <v>2084</v>
      </c>
      <c r="J79" s="39"/>
      <c r="K79" s="39">
        <f t="shared" si="36"/>
        <v>65</v>
      </c>
      <c r="L79" s="39"/>
      <c r="M79" s="40">
        <f t="shared" ref="M79:M114" si="53">1/(1+($F$9/100))^K79</f>
        <v>0.14641325444882999</v>
      </c>
      <c r="N79" s="39"/>
      <c r="O79" s="72" t="str">
        <f t="shared" si="37"/>
        <v/>
      </c>
      <c r="P79" s="41" t="str">
        <f t="shared" ref="P79:P110" si="54">IF(K79&lt;=$F$15,IF(OR(P78=$F$124,P78="-"),"-",IF(O79*$F$123&gt;$F$127,$F$123,$F$124)),"")</f>
        <v/>
      </c>
      <c r="Q79" s="39"/>
      <c r="R79" s="72" t="str">
        <f t="shared" si="51"/>
        <v/>
      </c>
      <c r="S79" s="39"/>
      <c r="T79" s="72" t="str">
        <f t="shared" si="18"/>
        <v/>
      </c>
      <c r="U79" s="39"/>
      <c r="V79" s="72" t="str">
        <f t="shared" ref="V79:V114" si="55">IF(K79&lt;=$F$15,IF(K79&lt;$F$119,IF(P79="-",V78,O79*P79),IF(K79=$F$119,MIN(IF(P79="-",V78,O79*P79),O79),0)),"")</f>
        <v/>
      </c>
      <c r="W79" s="72" t="str">
        <f t="shared" si="19"/>
        <v/>
      </c>
      <c r="X79" s="39"/>
      <c r="Y79" s="72" t="str">
        <f t="shared" ref="Y79:Y114" si="56">IF($K79&lt;=$F$15,ROUNDDOWN(T79*$F$25/100,-2),"")</f>
        <v/>
      </c>
      <c r="Z79" s="72" t="str">
        <f t="shared" si="20"/>
        <v/>
      </c>
      <c r="AA79" s="39"/>
      <c r="AB79" s="72" t="str">
        <f t="shared" ref="AB79:AB114" si="57">IF($K79&lt;=$F$15,0,IF(AND($K79&gt;$F$15,$K79&lt;=$F$15+$F$28),$F$27*10^8/$F$28,""))</f>
        <v/>
      </c>
      <c r="AC79" s="72" t="str">
        <f t="shared" si="52"/>
        <v/>
      </c>
      <c r="AD79" s="39"/>
      <c r="AE79" s="72" t="str">
        <f t="shared" ref="AE79:AE114" si="58">IF($K79&lt;=$F$15,$F$26,"")</f>
        <v/>
      </c>
      <c r="AF79" s="72" t="str">
        <f t="shared" si="22"/>
        <v/>
      </c>
      <c r="AG79" s="39"/>
      <c r="AH79" s="72" t="str">
        <f t="shared" ref="AH79:AH114" si="59">IF($K79&lt;=$F$15,$F$33*10^8,"")</f>
        <v/>
      </c>
      <c r="AI79" s="72" t="str">
        <f t="shared" si="23"/>
        <v/>
      </c>
      <c r="AJ79" s="39"/>
      <c r="AK79" s="72" t="str">
        <f t="shared" ref="AK79:AK114" si="60">IF($K79&lt;=$F$15,$F$117*$F$34/100,"")</f>
        <v/>
      </c>
      <c r="AL79" s="72" t="str">
        <f>IF(ISNUMBER(AK79),AK79*$M79,"")</f>
        <v/>
      </c>
      <c r="AM79" s="39"/>
      <c r="AN79" s="72" t="str">
        <f t="shared" ref="AN79:AN114" si="61">IF($K79&lt;=$F$15,$F$35*10^8,"")</f>
        <v/>
      </c>
      <c r="AO79" s="72" t="str">
        <f t="shared" si="24"/>
        <v/>
      </c>
      <c r="AP79" s="39"/>
      <c r="AQ79" s="72" t="str">
        <f t="shared" ref="AQ79:AQ114" si="62">IF($K79&lt;=$F$15,SUM(AH79,AK79,AN79)*($F$36/100),"")</f>
        <v/>
      </c>
      <c r="AR79" s="72" t="str">
        <f t="shared" si="25"/>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63">IF($K79&lt;=$F$15,($AT79+$F$142)*$F$137,"")</f>
        <v/>
      </c>
      <c r="AW79" s="72" t="str">
        <f t="shared" si="26"/>
        <v/>
      </c>
      <c r="AX79" s="39"/>
      <c r="AY79" s="40" t="s">
        <v>127</v>
      </c>
      <c r="AZ79" s="39"/>
      <c r="BA79" s="42" t="str">
        <f t="shared" ref="BA79:BA114" si="64">IF($K79&lt;=$F$15,$F$145*AY79,"")</f>
        <v/>
      </c>
      <c r="BB79" s="72" t="str">
        <f t="shared" si="27"/>
        <v/>
      </c>
      <c r="BC79" s="39"/>
      <c r="BD79" s="72" t="str">
        <f t="shared" ref="BD79:BD114" si="65">IF($K79&lt;=$F$15,($AT79+$F$151)*$F$150,"")</f>
        <v/>
      </c>
      <c r="BE79" s="72" t="str">
        <f t="shared" si="28"/>
        <v/>
      </c>
      <c r="BF79" s="39"/>
      <c r="BG79" s="42" t="str">
        <f t="shared" ref="BG79:BG114" si="66">IF($K79&lt;=$F$15,$F$152*AY79,"")</f>
        <v/>
      </c>
      <c r="BH79" s="72" t="str">
        <f t="shared" si="29"/>
        <v/>
      </c>
      <c r="BI79" s="39"/>
      <c r="BJ79" s="40" t="str">
        <f t="shared" si="30"/>
        <v/>
      </c>
      <c r="BK79" s="157" t="str">
        <f t="shared" si="31"/>
        <v/>
      </c>
      <c r="BL79" s="157" t="str">
        <f t="shared" ref="BL79:BL114" si="67">IF(AND(ISNUMBER(BJ79),$K79&lt;=$F$16),BQ79*BJ79,"")</f>
        <v/>
      </c>
      <c r="BM79" s="72"/>
      <c r="BN79" s="72" t="str">
        <f t="shared" si="32"/>
        <v/>
      </c>
      <c r="BO79" s="72" t="str">
        <f t="shared" si="33"/>
        <v/>
      </c>
      <c r="BP79" s="39"/>
      <c r="BQ79" s="72" t="str">
        <f t="shared" ref="BQ79:BQ114" si="68">IF($K79&lt;=$F$15,$F$134,"")</f>
        <v/>
      </c>
      <c r="BR79" s="72" t="str">
        <f t="shared" si="34"/>
        <v/>
      </c>
    </row>
    <row r="80" spans="1:70" x14ac:dyDescent="0.15">
      <c r="B80" s="9"/>
      <c r="C80" s="9"/>
      <c r="D80" s="9"/>
      <c r="E80" s="81" t="s">
        <v>115</v>
      </c>
      <c r="F80" s="91">
        <f>AF116/$BR$116</f>
        <v>0</v>
      </c>
      <c r="G80" s="9" t="s">
        <v>132</v>
      </c>
      <c r="H80" s="9"/>
      <c r="I80" s="459">
        <f t="shared" si="35"/>
        <v>2085</v>
      </c>
      <c r="K80" s="71">
        <f t="shared" si="36"/>
        <v>66</v>
      </c>
      <c r="M80" s="7">
        <f t="shared" si="53"/>
        <v>0.14214879072701941</v>
      </c>
      <c r="O80" s="10" t="str">
        <f t="shared" si="37"/>
        <v/>
      </c>
      <c r="P80" s="29" t="str">
        <f t="shared" si="54"/>
        <v/>
      </c>
      <c r="R80" s="10" t="str">
        <f t="shared" ref="R80:R114" si="69">IF($K80&lt;=$F$15,MAX($F$117*5%,R79*$F$129),"")</f>
        <v/>
      </c>
      <c r="T80" s="10" t="str">
        <f t="shared" ref="T80:T114" si="70">IF(ISNUMBER(R80),ROUNDDOWN(R80,-3),"")</f>
        <v/>
      </c>
      <c r="V80" s="10" t="str">
        <f t="shared" si="55"/>
        <v/>
      </c>
      <c r="W80" s="10" t="str">
        <f t="shared" ref="W80:W114" si="71">IF(ISNUMBER(V80),V80*$M80,"")</f>
        <v/>
      </c>
      <c r="Y80" s="10" t="str">
        <f t="shared" si="56"/>
        <v/>
      </c>
      <c r="Z80" s="10" t="str">
        <f t="shared" ref="Z80:Z114" si="72">IF(ISNUMBER(Y80),Y80*$M80,"")</f>
        <v/>
      </c>
      <c r="AB80" s="10" t="str">
        <f t="shared" si="57"/>
        <v/>
      </c>
      <c r="AC80" s="10" t="str">
        <f t="shared" si="52"/>
        <v/>
      </c>
      <c r="AE80" s="10" t="str">
        <f t="shared" si="58"/>
        <v/>
      </c>
      <c r="AF80" s="10" t="str">
        <f t="shared" ref="AF80:AF114" si="73">IF(ISNUMBER(AE80),AE80*$M80,"")</f>
        <v/>
      </c>
      <c r="AH80" s="10" t="str">
        <f t="shared" si="59"/>
        <v/>
      </c>
      <c r="AI80" s="10" t="str">
        <f t="shared" ref="AI80:AI114" si="74">IF(ISNUMBER(AH80),AH80*$M80,"")</f>
        <v/>
      </c>
      <c r="AK80" s="10" t="str">
        <f t="shared" si="60"/>
        <v/>
      </c>
      <c r="AL80" s="10" t="str">
        <f t="shared" ref="AL80:AL114" si="75">IF(ISNUMBER(AK80),AK80*$M80,"")</f>
        <v/>
      </c>
      <c r="AN80" s="188" t="str">
        <f t="shared" si="61"/>
        <v/>
      </c>
      <c r="AO80" s="10" t="str">
        <f t="shared" ref="AO80:AO114" si="76">IF(ISNUMBER(AN80),AN80*$M80,"")</f>
        <v/>
      </c>
      <c r="AQ80" s="10" t="str">
        <f t="shared" si="62"/>
        <v/>
      </c>
      <c r="AR80" s="10" t="str">
        <f t="shared" ref="AR80:AR114" si="77">IF(ISNUMBER(AQ80),AQ80*$M80,"")</f>
        <v/>
      </c>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V80" s="10" t="str">
        <f t="shared" si="63"/>
        <v/>
      </c>
      <c r="AW80" s="10" t="str">
        <f t="shared" ref="AW80:AW114" si="78">IF(ISNUMBER(AV80),AV80*$M80,"")</f>
        <v/>
      </c>
      <c r="AY80" s="7" t="s">
        <v>127</v>
      </c>
      <c r="BA80" s="11" t="str">
        <f t="shared" si="64"/>
        <v/>
      </c>
      <c r="BB80" s="10" t="str">
        <f t="shared" ref="BB80:BB114" si="79">IF(ISNUMBER(BA80),BA80*$M80,"")</f>
        <v/>
      </c>
      <c r="BD80" s="10" t="str">
        <f t="shared" si="65"/>
        <v/>
      </c>
      <c r="BE80" s="10" t="str">
        <f t="shared" ref="BE80:BE114" si="80">IF(ISNUMBER(BD80),BD80*$M80,"")</f>
        <v/>
      </c>
      <c r="BG80" s="11" t="str">
        <f t="shared" si="66"/>
        <v/>
      </c>
      <c r="BH80" s="10" t="str">
        <f t="shared" ref="BH80:BH114" si="81">IF(ISNUMBER(BG80),BG80*$M80,"")</f>
        <v/>
      </c>
      <c r="BJ80" s="7" t="str">
        <f t="shared" ref="BJ80:BJ114" si="82">IF(ISNUMBER($F$16),IF($K80&lt;=$F$16+$F$28,1/(1+($F$17/100))^K80,""),"")</f>
        <v/>
      </c>
      <c r="BK80" s="158" t="str">
        <f t="shared" ref="BK80:BK114" si="83">IF(ISNUMBER($F$16),IF($K80&lt;=$F$16+$F$28,IF($K80&lt;=$F$16,SUM(Y80,AB80,AE80,AH80,AK80,AN80,AQ80,AV80,BA80,BD80,BG80),$F$27/$F$28*10^8)*BJ80,""),"")</f>
        <v/>
      </c>
      <c r="BL80" s="158" t="str">
        <f t="shared" si="67"/>
        <v/>
      </c>
      <c r="BM80" s="10"/>
      <c r="BN80" s="10" t="str">
        <f t="shared" ref="BN80:BN114" si="84">IF(AND(ISNUMBER($F$16),$K80&lt;=$F$16),BQ80*($O$15+$BK$116)/$BL$116,"")</f>
        <v/>
      </c>
      <c r="BO80" s="10" t="str">
        <f t="shared" ref="BO80:BO114" si="85">IF(ISNUMBER(BN80),BN80*$M80,"")</f>
        <v/>
      </c>
      <c r="BQ80" s="10" t="str">
        <f t="shared" si="68"/>
        <v/>
      </c>
      <c r="BR80" s="10" t="str">
        <f t="shared" ref="BR80:BR114" si="86">IF(ISNUMBER(BQ80),BQ80*$M80,"")</f>
        <v/>
      </c>
    </row>
    <row r="81" spans="2:70" x14ac:dyDescent="0.15">
      <c r="B81" s="9"/>
      <c r="C81" s="9"/>
      <c r="D81" s="9"/>
      <c r="E81" s="82" t="s">
        <v>86</v>
      </c>
      <c r="F81" s="91">
        <f>AC116/$BR$116</f>
        <v>0.12011227549426885</v>
      </c>
      <c r="G81" s="9" t="s">
        <v>132</v>
      </c>
      <c r="H81" s="9"/>
      <c r="I81" s="458">
        <f t="shared" ref="I81:I114" si="87">I80+1</f>
        <v>2086</v>
      </c>
      <c r="J81" s="39"/>
      <c r="K81" s="39">
        <f t="shared" ref="K81:K114" si="88">IF(I81&lt;&gt;"",K80+1,"")</f>
        <v>67</v>
      </c>
      <c r="L81" s="39"/>
      <c r="M81" s="40">
        <f t="shared" si="53"/>
        <v>0.1380085346864266</v>
      </c>
      <c r="N81" s="39"/>
      <c r="O81" s="72" t="str">
        <f t="shared" ref="O81:O114" si="89">IF(K81&lt;=$F$15,O80-V80,"")</f>
        <v/>
      </c>
      <c r="P81" s="41" t="str">
        <f t="shared" si="54"/>
        <v/>
      </c>
      <c r="Q81" s="39"/>
      <c r="R81" s="72" t="str">
        <f t="shared" si="69"/>
        <v/>
      </c>
      <c r="S81" s="39"/>
      <c r="T81" s="72" t="str">
        <f t="shared" si="70"/>
        <v/>
      </c>
      <c r="U81" s="39"/>
      <c r="V81" s="72" t="str">
        <f t="shared" si="55"/>
        <v/>
      </c>
      <c r="W81" s="72" t="str">
        <f t="shared" si="71"/>
        <v/>
      </c>
      <c r="X81" s="39"/>
      <c r="Y81" s="72" t="str">
        <f t="shared" si="56"/>
        <v/>
      </c>
      <c r="Z81" s="72" t="str">
        <f t="shared" si="72"/>
        <v/>
      </c>
      <c r="AA81" s="39"/>
      <c r="AB81" s="72" t="str">
        <f t="shared" si="57"/>
        <v/>
      </c>
      <c r="AC81" s="72" t="str">
        <f t="shared" si="52"/>
        <v/>
      </c>
      <c r="AD81" s="39"/>
      <c r="AE81" s="72" t="str">
        <f t="shared" si="58"/>
        <v/>
      </c>
      <c r="AF81" s="72" t="str">
        <f t="shared" si="73"/>
        <v/>
      </c>
      <c r="AG81" s="39"/>
      <c r="AH81" s="72" t="str">
        <f t="shared" si="59"/>
        <v/>
      </c>
      <c r="AI81" s="72" t="str">
        <f t="shared" si="74"/>
        <v/>
      </c>
      <c r="AJ81" s="39"/>
      <c r="AK81" s="72" t="str">
        <f t="shared" si="60"/>
        <v/>
      </c>
      <c r="AL81" s="72" t="str">
        <f t="shared" si="75"/>
        <v/>
      </c>
      <c r="AM81" s="39"/>
      <c r="AN81" s="72" t="str">
        <f t="shared" si="61"/>
        <v/>
      </c>
      <c r="AO81" s="72" t="str">
        <f t="shared" si="76"/>
        <v/>
      </c>
      <c r="AP81" s="39"/>
      <c r="AQ81" s="72" t="str">
        <f t="shared" si="62"/>
        <v/>
      </c>
      <c r="AR81" s="72" t="str">
        <f t="shared" si="77"/>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63"/>
        <v/>
      </c>
      <c r="AW81" s="72" t="str">
        <f t="shared" si="78"/>
        <v/>
      </c>
      <c r="AX81" s="39"/>
      <c r="AY81" s="40" t="s">
        <v>127</v>
      </c>
      <c r="AZ81" s="39"/>
      <c r="BA81" s="42" t="str">
        <f t="shared" si="64"/>
        <v/>
      </c>
      <c r="BB81" s="72" t="str">
        <f t="shared" si="79"/>
        <v/>
      </c>
      <c r="BC81" s="39"/>
      <c r="BD81" s="72" t="str">
        <f t="shared" si="65"/>
        <v/>
      </c>
      <c r="BE81" s="72" t="str">
        <f t="shared" si="80"/>
        <v/>
      </c>
      <c r="BF81" s="39"/>
      <c r="BG81" s="42" t="str">
        <f t="shared" si="66"/>
        <v/>
      </c>
      <c r="BH81" s="72" t="str">
        <f t="shared" si="81"/>
        <v/>
      </c>
      <c r="BI81" s="39"/>
      <c r="BJ81" s="40" t="str">
        <f t="shared" si="82"/>
        <v/>
      </c>
      <c r="BK81" s="157" t="str">
        <f t="shared" si="83"/>
        <v/>
      </c>
      <c r="BL81" s="157" t="str">
        <f t="shared" si="67"/>
        <v/>
      </c>
      <c r="BM81" s="72"/>
      <c r="BN81" s="72" t="str">
        <f t="shared" si="84"/>
        <v/>
      </c>
      <c r="BO81" s="72" t="str">
        <f t="shared" si="85"/>
        <v/>
      </c>
      <c r="BP81" s="39"/>
      <c r="BQ81" s="72" t="str">
        <f t="shared" si="68"/>
        <v/>
      </c>
      <c r="BR81" s="72" t="str">
        <f t="shared" si="86"/>
        <v/>
      </c>
    </row>
    <row r="82" spans="2:70" x14ac:dyDescent="0.15">
      <c r="B82" s="9"/>
      <c r="C82" s="9"/>
      <c r="D82" s="9"/>
      <c r="E82" s="81"/>
      <c r="F82" s="93"/>
      <c r="G82" s="9"/>
      <c r="H82" s="9"/>
      <c r="I82" s="459">
        <f t="shared" si="87"/>
        <v>2087</v>
      </c>
      <c r="K82" s="71">
        <f t="shared" si="88"/>
        <v>68</v>
      </c>
      <c r="M82" s="7">
        <f t="shared" si="53"/>
        <v>0.13398886862759865</v>
      </c>
      <c r="O82" s="10" t="str">
        <f t="shared" si="89"/>
        <v/>
      </c>
      <c r="P82" s="29" t="str">
        <f t="shared" si="54"/>
        <v/>
      </c>
      <c r="R82" s="10" t="str">
        <f t="shared" si="69"/>
        <v/>
      </c>
      <c r="T82" s="10" t="str">
        <f t="shared" si="70"/>
        <v/>
      </c>
      <c r="V82" s="10" t="str">
        <f t="shared" si="55"/>
        <v/>
      </c>
      <c r="W82" s="10" t="str">
        <f t="shared" si="71"/>
        <v/>
      </c>
      <c r="Y82" s="10" t="str">
        <f t="shared" si="56"/>
        <v/>
      </c>
      <c r="Z82" s="10" t="str">
        <f t="shared" si="72"/>
        <v/>
      </c>
      <c r="AB82" s="10" t="str">
        <f t="shared" si="57"/>
        <v/>
      </c>
      <c r="AC82" s="10" t="str">
        <f t="shared" si="52"/>
        <v/>
      </c>
      <c r="AE82" s="10" t="str">
        <f t="shared" si="58"/>
        <v/>
      </c>
      <c r="AF82" s="10" t="str">
        <f t="shared" si="73"/>
        <v/>
      </c>
      <c r="AH82" s="10" t="str">
        <f t="shared" si="59"/>
        <v/>
      </c>
      <c r="AI82" s="10" t="str">
        <f t="shared" si="74"/>
        <v/>
      </c>
      <c r="AK82" s="10" t="str">
        <f t="shared" si="60"/>
        <v/>
      </c>
      <c r="AL82" s="10" t="str">
        <f t="shared" si="75"/>
        <v/>
      </c>
      <c r="AN82" s="188" t="str">
        <f t="shared" si="61"/>
        <v/>
      </c>
      <c r="AO82" s="10" t="str">
        <f t="shared" si="76"/>
        <v/>
      </c>
      <c r="AQ82" s="10" t="str">
        <f t="shared" si="62"/>
        <v/>
      </c>
      <c r="AR82" s="10" t="str">
        <f t="shared" si="77"/>
        <v/>
      </c>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V82" s="10" t="str">
        <f t="shared" si="63"/>
        <v/>
      </c>
      <c r="AW82" s="10" t="str">
        <f t="shared" si="78"/>
        <v/>
      </c>
      <c r="AY82" s="7" t="s">
        <v>127</v>
      </c>
      <c r="BA82" s="11" t="str">
        <f t="shared" si="64"/>
        <v/>
      </c>
      <c r="BB82" s="10" t="str">
        <f t="shared" si="79"/>
        <v/>
      </c>
      <c r="BD82" s="10" t="str">
        <f t="shared" si="65"/>
        <v/>
      </c>
      <c r="BE82" s="10" t="str">
        <f t="shared" si="80"/>
        <v/>
      </c>
      <c r="BG82" s="11" t="str">
        <f t="shared" si="66"/>
        <v/>
      </c>
      <c r="BH82" s="10" t="str">
        <f t="shared" si="81"/>
        <v/>
      </c>
      <c r="BJ82" s="7" t="str">
        <f t="shared" si="82"/>
        <v/>
      </c>
      <c r="BK82" s="158" t="str">
        <f t="shared" si="83"/>
        <v/>
      </c>
      <c r="BL82" s="158" t="str">
        <f t="shared" si="67"/>
        <v/>
      </c>
      <c r="BM82" s="10"/>
      <c r="BN82" s="10" t="str">
        <f t="shared" si="84"/>
        <v/>
      </c>
      <c r="BO82" s="10" t="str">
        <f t="shared" si="85"/>
        <v/>
      </c>
      <c r="BQ82" s="10" t="str">
        <f t="shared" si="68"/>
        <v/>
      </c>
      <c r="BR82" s="10" t="str">
        <f t="shared" si="86"/>
        <v/>
      </c>
    </row>
    <row r="83" spans="2:70" ht="15" x14ac:dyDescent="0.15">
      <c r="B83" s="9"/>
      <c r="C83" s="9"/>
      <c r="D83" s="462" t="s">
        <v>194</v>
      </c>
      <c r="E83" s="81"/>
      <c r="F83" s="94">
        <f>SUBTOTAL(9,F87:F90)</f>
        <v>3.7287375652315711</v>
      </c>
      <c r="G83" s="9" t="s">
        <v>132</v>
      </c>
      <c r="H83" s="9"/>
      <c r="I83" s="458">
        <f>I82+1</f>
        <v>2088</v>
      </c>
      <c r="J83" s="39"/>
      <c r="K83" s="39">
        <f>IF(I83&lt;&gt;"",K82+1,"")</f>
        <v>69</v>
      </c>
      <c r="L83" s="39"/>
      <c r="M83" s="40">
        <f t="shared" si="53"/>
        <v>0.13008628022096957</v>
      </c>
      <c r="N83" s="39"/>
      <c r="O83" s="72" t="str">
        <f t="shared" si="89"/>
        <v/>
      </c>
      <c r="P83" s="41" t="str">
        <f t="shared" si="54"/>
        <v/>
      </c>
      <c r="Q83" s="39"/>
      <c r="R83" s="72" t="str">
        <f t="shared" si="69"/>
        <v/>
      </c>
      <c r="S83" s="39"/>
      <c r="T83" s="72" t="str">
        <f t="shared" si="70"/>
        <v/>
      </c>
      <c r="U83" s="39"/>
      <c r="V83" s="72" t="str">
        <f t="shared" si="55"/>
        <v/>
      </c>
      <c r="W83" s="72" t="str">
        <f t="shared" si="71"/>
        <v/>
      </c>
      <c r="X83" s="39"/>
      <c r="Y83" s="72" t="str">
        <f t="shared" si="56"/>
        <v/>
      </c>
      <c r="Z83" s="72" t="str">
        <f t="shared" si="72"/>
        <v/>
      </c>
      <c r="AA83" s="39"/>
      <c r="AB83" s="72" t="str">
        <f t="shared" si="57"/>
        <v/>
      </c>
      <c r="AC83" s="72" t="str">
        <f t="shared" si="52"/>
        <v/>
      </c>
      <c r="AD83" s="39"/>
      <c r="AE83" s="72" t="str">
        <f t="shared" si="58"/>
        <v/>
      </c>
      <c r="AF83" s="72" t="str">
        <f t="shared" si="73"/>
        <v/>
      </c>
      <c r="AG83" s="39"/>
      <c r="AH83" s="72" t="str">
        <f t="shared" si="59"/>
        <v/>
      </c>
      <c r="AI83" s="72" t="str">
        <f t="shared" si="74"/>
        <v/>
      </c>
      <c r="AJ83" s="39"/>
      <c r="AK83" s="72" t="str">
        <f t="shared" si="60"/>
        <v/>
      </c>
      <c r="AL83" s="72" t="str">
        <f t="shared" si="75"/>
        <v/>
      </c>
      <c r="AM83" s="39"/>
      <c r="AN83" s="72" t="str">
        <f t="shared" si="61"/>
        <v/>
      </c>
      <c r="AO83" s="72" t="str">
        <f t="shared" si="76"/>
        <v/>
      </c>
      <c r="AP83" s="39"/>
      <c r="AQ83" s="72" t="str">
        <f t="shared" si="62"/>
        <v/>
      </c>
      <c r="AR83" s="72" t="str">
        <f t="shared" si="77"/>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63"/>
        <v/>
      </c>
      <c r="AW83" s="72" t="str">
        <f t="shared" si="78"/>
        <v/>
      </c>
      <c r="AX83" s="39"/>
      <c r="AY83" s="40" t="s">
        <v>127</v>
      </c>
      <c r="AZ83" s="39"/>
      <c r="BA83" s="42" t="str">
        <f t="shared" si="64"/>
        <v/>
      </c>
      <c r="BB83" s="72" t="str">
        <f t="shared" si="79"/>
        <v/>
      </c>
      <c r="BC83" s="39"/>
      <c r="BD83" s="72" t="str">
        <f t="shared" si="65"/>
        <v/>
      </c>
      <c r="BE83" s="72" t="str">
        <f t="shared" si="80"/>
        <v/>
      </c>
      <c r="BF83" s="39"/>
      <c r="BG83" s="42" t="str">
        <f t="shared" si="66"/>
        <v/>
      </c>
      <c r="BH83" s="72" t="str">
        <f t="shared" si="81"/>
        <v/>
      </c>
      <c r="BI83" s="39"/>
      <c r="BJ83" s="40" t="str">
        <f t="shared" si="82"/>
        <v/>
      </c>
      <c r="BK83" s="157" t="str">
        <f t="shared" si="83"/>
        <v/>
      </c>
      <c r="BL83" s="157" t="str">
        <f t="shared" si="67"/>
        <v/>
      </c>
      <c r="BM83" s="72"/>
      <c r="BN83" s="72" t="str">
        <f t="shared" si="84"/>
        <v/>
      </c>
      <c r="BO83" s="72" t="str">
        <f t="shared" si="85"/>
        <v/>
      </c>
      <c r="BP83" s="39"/>
      <c r="BQ83" s="72" t="str">
        <f t="shared" si="68"/>
        <v/>
      </c>
      <c r="BR83" s="72" t="str">
        <f t="shared" si="86"/>
        <v/>
      </c>
    </row>
    <row r="84" spans="2:70" x14ac:dyDescent="0.15">
      <c r="B84" s="9"/>
      <c r="C84" s="9"/>
      <c r="D84" s="9"/>
      <c r="E84" s="81"/>
      <c r="F84" s="93"/>
      <c r="G84" s="9"/>
      <c r="H84" s="9"/>
      <c r="I84" s="459">
        <f t="shared" si="87"/>
        <v>2089</v>
      </c>
      <c r="K84" s="71">
        <f t="shared" si="88"/>
        <v>70</v>
      </c>
      <c r="M84" s="7">
        <f t="shared" si="53"/>
        <v>0.12629735943783454</v>
      </c>
      <c r="O84" s="10" t="str">
        <f t="shared" si="89"/>
        <v/>
      </c>
      <c r="P84" s="29" t="str">
        <f t="shared" si="54"/>
        <v/>
      </c>
      <c r="R84" s="10" t="str">
        <f t="shared" si="69"/>
        <v/>
      </c>
      <c r="T84" s="10" t="str">
        <f t="shared" si="70"/>
        <v/>
      </c>
      <c r="V84" s="10" t="str">
        <f t="shared" si="55"/>
        <v/>
      </c>
      <c r="W84" s="10" t="str">
        <f t="shared" si="71"/>
        <v/>
      </c>
      <c r="Y84" s="10" t="str">
        <f t="shared" si="56"/>
        <v/>
      </c>
      <c r="Z84" s="10" t="str">
        <f t="shared" si="72"/>
        <v/>
      </c>
      <c r="AB84" s="10" t="str">
        <f t="shared" si="57"/>
        <v/>
      </c>
      <c r="AC84" s="10" t="str">
        <f t="shared" si="52"/>
        <v/>
      </c>
      <c r="AE84" s="10" t="str">
        <f t="shared" si="58"/>
        <v/>
      </c>
      <c r="AF84" s="10" t="str">
        <f t="shared" si="73"/>
        <v/>
      </c>
      <c r="AH84" s="10" t="str">
        <f t="shared" si="59"/>
        <v/>
      </c>
      <c r="AI84" s="10" t="str">
        <f t="shared" si="74"/>
        <v/>
      </c>
      <c r="AK84" s="10" t="str">
        <f t="shared" si="60"/>
        <v/>
      </c>
      <c r="AL84" s="10" t="str">
        <f t="shared" si="75"/>
        <v/>
      </c>
      <c r="AN84" s="188" t="str">
        <f t="shared" si="61"/>
        <v/>
      </c>
      <c r="AO84" s="10" t="str">
        <f t="shared" si="76"/>
        <v/>
      </c>
      <c r="AQ84" s="10" t="str">
        <f t="shared" si="62"/>
        <v/>
      </c>
      <c r="AR84" s="10" t="str">
        <f t="shared" si="77"/>
        <v/>
      </c>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V84" s="10" t="str">
        <f t="shared" si="63"/>
        <v/>
      </c>
      <c r="AW84" s="10" t="str">
        <f t="shared" si="78"/>
        <v/>
      </c>
      <c r="AY84" s="7" t="s">
        <v>127</v>
      </c>
      <c r="BA84" s="11" t="str">
        <f t="shared" si="64"/>
        <v/>
      </c>
      <c r="BB84" s="10" t="str">
        <f t="shared" si="79"/>
        <v/>
      </c>
      <c r="BD84" s="10" t="str">
        <f t="shared" si="65"/>
        <v/>
      </c>
      <c r="BE84" s="10" t="str">
        <f t="shared" si="80"/>
        <v/>
      </c>
      <c r="BG84" s="11" t="str">
        <f t="shared" si="66"/>
        <v/>
      </c>
      <c r="BH84" s="10" t="str">
        <f t="shared" si="81"/>
        <v/>
      </c>
      <c r="BJ84" s="7" t="str">
        <f t="shared" si="82"/>
        <v/>
      </c>
      <c r="BK84" s="158" t="str">
        <f t="shared" si="83"/>
        <v/>
      </c>
      <c r="BL84" s="158" t="str">
        <f t="shared" si="67"/>
        <v/>
      </c>
      <c r="BM84" s="10"/>
      <c r="BN84" s="10" t="str">
        <f t="shared" si="84"/>
        <v/>
      </c>
      <c r="BO84" s="10" t="str">
        <f t="shared" si="85"/>
        <v/>
      </c>
      <c r="BQ84" s="10" t="str">
        <f t="shared" si="68"/>
        <v/>
      </c>
      <c r="BR84" s="10" t="str">
        <f t="shared" si="86"/>
        <v/>
      </c>
    </row>
    <row r="85" spans="2:70" x14ac:dyDescent="0.15">
      <c r="B85" s="9"/>
      <c r="C85" s="9"/>
      <c r="D85" s="463" t="s">
        <v>140</v>
      </c>
      <c r="E85" s="101"/>
      <c r="F85" s="92"/>
      <c r="G85" s="89"/>
      <c r="H85" s="9"/>
      <c r="I85" s="458">
        <f t="shared" si="87"/>
        <v>2090</v>
      </c>
      <c r="J85" s="39"/>
      <c r="K85" s="39">
        <f t="shared" si="88"/>
        <v>71</v>
      </c>
      <c r="L85" s="39"/>
      <c r="M85" s="40">
        <f t="shared" si="53"/>
        <v>0.12261879557071313</v>
      </c>
      <c r="N85" s="39"/>
      <c r="O85" s="72" t="str">
        <f t="shared" si="89"/>
        <v/>
      </c>
      <c r="P85" s="41" t="str">
        <f t="shared" si="54"/>
        <v/>
      </c>
      <c r="Q85" s="39"/>
      <c r="R85" s="72" t="str">
        <f t="shared" si="69"/>
        <v/>
      </c>
      <c r="S85" s="39"/>
      <c r="T85" s="72" t="str">
        <f t="shared" si="70"/>
        <v/>
      </c>
      <c r="U85" s="39"/>
      <c r="V85" s="72" t="str">
        <f t="shared" si="55"/>
        <v/>
      </c>
      <c r="W85" s="72" t="str">
        <f t="shared" si="71"/>
        <v/>
      </c>
      <c r="X85" s="39"/>
      <c r="Y85" s="72" t="str">
        <f t="shared" si="56"/>
        <v/>
      </c>
      <c r="Z85" s="72" t="str">
        <f t="shared" si="72"/>
        <v/>
      </c>
      <c r="AA85" s="39"/>
      <c r="AB85" s="72" t="str">
        <f t="shared" si="57"/>
        <v/>
      </c>
      <c r="AC85" s="72" t="str">
        <f t="shared" si="52"/>
        <v/>
      </c>
      <c r="AD85" s="39"/>
      <c r="AE85" s="72" t="str">
        <f t="shared" si="58"/>
        <v/>
      </c>
      <c r="AF85" s="72" t="str">
        <f t="shared" si="73"/>
        <v/>
      </c>
      <c r="AG85" s="39"/>
      <c r="AH85" s="72" t="str">
        <f t="shared" si="59"/>
        <v/>
      </c>
      <c r="AI85" s="72" t="str">
        <f t="shared" si="74"/>
        <v/>
      </c>
      <c r="AJ85" s="39"/>
      <c r="AK85" s="72" t="str">
        <f t="shared" si="60"/>
        <v/>
      </c>
      <c r="AL85" s="72" t="str">
        <f t="shared" si="75"/>
        <v/>
      </c>
      <c r="AM85" s="39"/>
      <c r="AN85" s="72" t="str">
        <f t="shared" si="61"/>
        <v/>
      </c>
      <c r="AO85" s="72" t="str">
        <f t="shared" si="76"/>
        <v/>
      </c>
      <c r="AP85" s="39"/>
      <c r="AQ85" s="72" t="str">
        <f t="shared" si="62"/>
        <v/>
      </c>
      <c r="AR85" s="72" t="str">
        <f t="shared" si="77"/>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63"/>
        <v/>
      </c>
      <c r="AW85" s="72" t="str">
        <f t="shared" si="78"/>
        <v/>
      </c>
      <c r="AX85" s="39"/>
      <c r="AY85" s="40" t="s">
        <v>127</v>
      </c>
      <c r="AZ85" s="39"/>
      <c r="BA85" s="42" t="str">
        <f t="shared" si="64"/>
        <v/>
      </c>
      <c r="BB85" s="72" t="str">
        <f t="shared" si="79"/>
        <v/>
      </c>
      <c r="BC85" s="39"/>
      <c r="BD85" s="72" t="str">
        <f t="shared" si="65"/>
        <v/>
      </c>
      <c r="BE85" s="72" t="str">
        <f t="shared" si="80"/>
        <v/>
      </c>
      <c r="BF85" s="39"/>
      <c r="BG85" s="42" t="str">
        <f t="shared" si="66"/>
        <v/>
      </c>
      <c r="BH85" s="72" t="str">
        <f t="shared" si="81"/>
        <v/>
      </c>
      <c r="BI85" s="39"/>
      <c r="BJ85" s="40" t="str">
        <f t="shared" si="82"/>
        <v/>
      </c>
      <c r="BK85" s="157" t="str">
        <f t="shared" si="83"/>
        <v/>
      </c>
      <c r="BL85" s="157" t="str">
        <f t="shared" si="67"/>
        <v/>
      </c>
      <c r="BM85" s="72"/>
      <c r="BN85" s="72" t="str">
        <f t="shared" si="84"/>
        <v/>
      </c>
      <c r="BO85" s="72" t="str">
        <f t="shared" si="85"/>
        <v/>
      </c>
      <c r="BP85" s="39"/>
      <c r="BQ85" s="72" t="str">
        <f t="shared" si="68"/>
        <v/>
      </c>
      <c r="BR85" s="72" t="str">
        <f t="shared" si="86"/>
        <v/>
      </c>
    </row>
    <row r="86" spans="2:70" x14ac:dyDescent="0.15">
      <c r="B86" s="9"/>
      <c r="C86" s="9"/>
      <c r="D86" s="9"/>
      <c r="E86" s="81"/>
      <c r="F86" s="93"/>
      <c r="G86" s="9"/>
      <c r="H86" s="9"/>
      <c r="I86" s="459">
        <f t="shared" si="87"/>
        <v>2091</v>
      </c>
      <c r="K86" s="71">
        <f t="shared" si="88"/>
        <v>72</v>
      </c>
      <c r="M86" s="7">
        <f t="shared" si="53"/>
        <v>0.1190473743404982</v>
      </c>
      <c r="O86" s="10" t="str">
        <f t="shared" si="89"/>
        <v/>
      </c>
      <c r="P86" s="29" t="str">
        <f t="shared" si="54"/>
        <v/>
      </c>
      <c r="R86" s="10" t="str">
        <f t="shared" si="69"/>
        <v/>
      </c>
      <c r="T86" s="10" t="str">
        <f t="shared" si="70"/>
        <v/>
      </c>
      <c r="V86" s="10" t="str">
        <f t="shared" si="55"/>
        <v/>
      </c>
      <c r="W86" s="10" t="str">
        <f t="shared" si="71"/>
        <v/>
      </c>
      <c r="Y86" s="10" t="str">
        <f t="shared" si="56"/>
        <v/>
      </c>
      <c r="Z86" s="10" t="str">
        <f t="shared" si="72"/>
        <v/>
      </c>
      <c r="AB86" s="10" t="str">
        <f t="shared" si="57"/>
        <v/>
      </c>
      <c r="AC86" s="10" t="str">
        <f t="shared" si="52"/>
        <v/>
      </c>
      <c r="AE86" s="10" t="str">
        <f t="shared" si="58"/>
        <v/>
      </c>
      <c r="AF86" s="10" t="str">
        <f t="shared" si="73"/>
        <v/>
      </c>
      <c r="AH86" s="10" t="str">
        <f t="shared" si="59"/>
        <v/>
      </c>
      <c r="AI86" s="10" t="str">
        <f t="shared" si="74"/>
        <v/>
      </c>
      <c r="AK86" s="10" t="str">
        <f t="shared" si="60"/>
        <v/>
      </c>
      <c r="AL86" s="10" t="str">
        <f t="shared" si="75"/>
        <v/>
      </c>
      <c r="AN86" s="188" t="str">
        <f t="shared" si="61"/>
        <v/>
      </c>
      <c r="AO86" s="10" t="str">
        <f t="shared" si="76"/>
        <v/>
      </c>
      <c r="AQ86" s="10" t="str">
        <f t="shared" si="62"/>
        <v/>
      </c>
      <c r="AR86" s="10" t="str">
        <f t="shared" si="77"/>
        <v/>
      </c>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V86" s="10" t="str">
        <f t="shared" si="63"/>
        <v/>
      </c>
      <c r="AW86" s="10" t="str">
        <f t="shared" si="78"/>
        <v/>
      </c>
      <c r="AY86" s="7" t="s">
        <v>127</v>
      </c>
      <c r="BA86" s="11" t="str">
        <f t="shared" si="64"/>
        <v/>
      </c>
      <c r="BB86" s="10" t="str">
        <f t="shared" si="79"/>
        <v/>
      </c>
      <c r="BD86" s="10" t="str">
        <f t="shared" si="65"/>
        <v/>
      </c>
      <c r="BE86" s="10" t="str">
        <f t="shared" si="80"/>
        <v/>
      </c>
      <c r="BG86" s="11" t="str">
        <f t="shared" si="66"/>
        <v/>
      </c>
      <c r="BH86" s="10" t="str">
        <f t="shared" si="81"/>
        <v/>
      </c>
      <c r="BJ86" s="7" t="str">
        <f t="shared" si="82"/>
        <v/>
      </c>
      <c r="BK86" s="158" t="str">
        <f t="shared" si="83"/>
        <v/>
      </c>
      <c r="BL86" s="158" t="str">
        <f t="shared" si="67"/>
        <v/>
      </c>
      <c r="BM86" s="10"/>
      <c r="BN86" s="10" t="str">
        <f t="shared" si="84"/>
        <v/>
      </c>
      <c r="BO86" s="10" t="str">
        <f t="shared" si="85"/>
        <v/>
      </c>
      <c r="BQ86" s="10" t="str">
        <f t="shared" si="68"/>
        <v/>
      </c>
      <c r="BR86" s="10" t="str">
        <f t="shared" si="86"/>
        <v/>
      </c>
    </row>
    <row r="87" spans="2:70" x14ac:dyDescent="0.15">
      <c r="B87" s="9"/>
      <c r="C87" s="9"/>
      <c r="D87" s="9"/>
      <c r="E87" s="81" t="s">
        <v>141</v>
      </c>
      <c r="F87" s="91">
        <f>AI116/$BR$116</f>
        <v>0.31426668841052402</v>
      </c>
      <c r="G87" s="9" t="s">
        <v>132</v>
      </c>
      <c r="H87" s="9"/>
      <c r="I87" s="458">
        <f t="shared" si="87"/>
        <v>2092</v>
      </c>
      <c r="J87" s="39"/>
      <c r="K87" s="39">
        <f t="shared" si="88"/>
        <v>73</v>
      </c>
      <c r="L87" s="39"/>
      <c r="M87" s="40">
        <f t="shared" si="53"/>
        <v>0.11557997508786232</v>
      </c>
      <c r="N87" s="39"/>
      <c r="O87" s="72" t="str">
        <f t="shared" si="89"/>
        <v/>
      </c>
      <c r="P87" s="41" t="str">
        <f t="shared" si="54"/>
        <v/>
      </c>
      <c r="Q87" s="39"/>
      <c r="R87" s="72" t="str">
        <f t="shared" si="69"/>
        <v/>
      </c>
      <c r="S87" s="39"/>
      <c r="T87" s="72" t="str">
        <f t="shared" si="70"/>
        <v/>
      </c>
      <c r="U87" s="39"/>
      <c r="V87" s="72" t="str">
        <f t="shared" si="55"/>
        <v/>
      </c>
      <c r="W87" s="72" t="str">
        <f t="shared" si="71"/>
        <v/>
      </c>
      <c r="X87" s="39"/>
      <c r="Y87" s="72" t="str">
        <f t="shared" si="56"/>
        <v/>
      </c>
      <c r="Z87" s="72" t="str">
        <f t="shared" si="72"/>
        <v/>
      </c>
      <c r="AA87" s="39"/>
      <c r="AB87" s="72" t="str">
        <f t="shared" si="57"/>
        <v/>
      </c>
      <c r="AC87" s="72" t="str">
        <f t="shared" si="52"/>
        <v/>
      </c>
      <c r="AD87" s="39"/>
      <c r="AE87" s="72" t="str">
        <f t="shared" si="58"/>
        <v/>
      </c>
      <c r="AF87" s="72" t="str">
        <f t="shared" si="73"/>
        <v/>
      </c>
      <c r="AG87" s="39"/>
      <c r="AH87" s="72" t="str">
        <f t="shared" si="59"/>
        <v/>
      </c>
      <c r="AI87" s="72" t="str">
        <f t="shared" si="74"/>
        <v/>
      </c>
      <c r="AJ87" s="39"/>
      <c r="AK87" s="72" t="str">
        <f t="shared" si="60"/>
        <v/>
      </c>
      <c r="AL87" s="72" t="str">
        <f t="shared" si="75"/>
        <v/>
      </c>
      <c r="AM87" s="39"/>
      <c r="AN87" s="72" t="str">
        <f t="shared" si="61"/>
        <v/>
      </c>
      <c r="AO87" s="72" t="str">
        <f t="shared" si="76"/>
        <v/>
      </c>
      <c r="AP87" s="39"/>
      <c r="AQ87" s="72" t="str">
        <f t="shared" si="62"/>
        <v/>
      </c>
      <c r="AR87" s="72" t="str">
        <f t="shared" si="77"/>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63"/>
        <v/>
      </c>
      <c r="AW87" s="72" t="str">
        <f t="shared" si="78"/>
        <v/>
      </c>
      <c r="AX87" s="39"/>
      <c r="AY87" s="40" t="s">
        <v>127</v>
      </c>
      <c r="AZ87" s="39"/>
      <c r="BA87" s="42" t="str">
        <f t="shared" si="64"/>
        <v/>
      </c>
      <c r="BB87" s="72" t="str">
        <f t="shared" si="79"/>
        <v/>
      </c>
      <c r="BC87" s="39"/>
      <c r="BD87" s="72" t="str">
        <f t="shared" si="65"/>
        <v/>
      </c>
      <c r="BE87" s="72" t="str">
        <f t="shared" si="80"/>
        <v/>
      </c>
      <c r="BF87" s="39"/>
      <c r="BG87" s="42" t="str">
        <f t="shared" si="66"/>
        <v/>
      </c>
      <c r="BH87" s="72" t="str">
        <f t="shared" si="81"/>
        <v/>
      </c>
      <c r="BI87" s="39"/>
      <c r="BJ87" s="40" t="str">
        <f t="shared" si="82"/>
        <v/>
      </c>
      <c r="BK87" s="157" t="str">
        <f t="shared" si="83"/>
        <v/>
      </c>
      <c r="BL87" s="157" t="str">
        <f t="shared" si="67"/>
        <v/>
      </c>
      <c r="BM87" s="72"/>
      <c r="BN87" s="72" t="str">
        <f t="shared" si="84"/>
        <v/>
      </c>
      <c r="BO87" s="72" t="str">
        <f t="shared" si="85"/>
        <v/>
      </c>
      <c r="BP87" s="39"/>
      <c r="BQ87" s="72" t="str">
        <f t="shared" si="68"/>
        <v/>
      </c>
      <c r="BR87" s="72" t="str">
        <f t="shared" si="86"/>
        <v/>
      </c>
    </row>
    <row r="88" spans="2:70" x14ac:dyDescent="0.15">
      <c r="B88" s="9"/>
      <c r="C88" s="9"/>
      <c r="D88" s="9"/>
      <c r="E88" s="9" t="s">
        <v>120</v>
      </c>
      <c r="F88" s="91">
        <f>AL116/$BR$116</f>
        <v>1.6592573340218884</v>
      </c>
      <c r="G88" s="9" t="s">
        <v>132</v>
      </c>
      <c r="H88" s="9"/>
      <c r="I88" s="459">
        <f t="shared" si="87"/>
        <v>2093</v>
      </c>
      <c r="K88" s="71">
        <f t="shared" si="88"/>
        <v>74</v>
      </c>
      <c r="M88" s="7">
        <f t="shared" si="53"/>
        <v>0.11221356804646829</v>
      </c>
      <c r="O88" s="10" t="str">
        <f t="shared" si="89"/>
        <v/>
      </c>
      <c r="P88" s="29" t="str">
        <f t="shared" si="54"/>
        <v/>
      </c>
      <c r="R88" s="10" t="str">
        <f t="shared" si="69"/>
        <v/>
      </c>
      <c r="T88" s="10" t="str">
        <f t="shared" si="70"/>
        <v/>
      </c>
      <c r="V88" s="10" t="str">
        <f t="shared" si="55"/>
        <v/>
      </c>
      <c r="W88" s="10" t="str">
        <f t="shared" si="71"/>
        <v/>
      </c>
      <c r="Y88" s="10" t="str">
        <f t="shared" si="56"/>
        <v/>
      </c>
      <c r="Z88" s="10" t="str">
        <f t="shared" si="72"/>
        <v/>
      </c>
      <c r="AB88" s="10" t="str">
        <f t="shared" si="57"/>
        <v/>
      </c>
      <c r="AC88" s="10" t="str">
        <f t="shared" si="52"/>
        <v/>
      </c>
      <c r="AE88" s="10" t="str">
        <f t="shared" si="58"/>
        <v/>
      </c>
      <c r="AF88" s="10" t="str">
        <f t="shared" si="73"/>
        <v/>
      </c>
      <c r="AH88" s="10" t="str">
        <f t="shared" si="59"/>
        <v/>
      </c>
      <c r="AI88" s="10" t="str">
        <f t="shared" si="74"/>
        <v/>
      </c>
      <c r="AK88" s="10" t="str">
        <f t="shared" si="60"/>
        <v/>
      </c>
      <c r="AL88" s="10" t="str">
        <f t="shared" si="75"/>
        <v/>
      </c>
      <c r="AN88" s="188" t="str">
        <f t="shared" si="61"/>
        <v/>
      </c>
      <c r="AO88" s="10" t="str">
        <f t="shared" si="76"/>
        <v/>
      </c>
      <c r="AQ88" s="10" t="str">
        <f t="shared" si="62"/>
        <v/>
      </c>
      <c r="AR88" s="10" t="str">
        <f t="shared" si="77"/>
        <v/>
      </c>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V88" s="10" t="str">
        <f t="shared" si="63"/>
        <v/>
      </c>
      <c r="AW88" s="10" t="str">
        <f t="shared" si="78"/>
        <v/>
      </c>
      <c r="AY88" s="7" t="s">
        <v>127</v>
      </c>
      <c r="BA88" s="11" t="str">
        <f t="shared" si="64"/>
        <v/>
      </c>
      <c r="BB88" s="10" t="str">
        <f t="shared" si="79"/>
        <v/>
      </c>
      <c r="BD88" s="10" t="str">
        <f t="shared" si="65"/>
        <v/>
      </c>
      <c r="BE88" s="10" t="str">
        <f t="shared" si="80"/>
        <v/>
      </c>
      <c r="BG88" s="11" t="str">
        <f t="shared" si="66"/>
        <v/>
      </c>
      <c r="BH88" s="10" t="str">
        <f t="shared" si="81"/>
        <v/>
      </c>
      <c r="BJ88" s="7" t="str">
        <f t="shared" si="82"/>
        <v/>
      </c>
      <c r="BK88" s="158" t="str">
        <f t="shared" si="83"/>
        <v/>
      </c>
      <c r="BL88" s="158" t="str">
        <f t="shared" si="67"/>
        <v/>
      </c>
      <c r="BM88" s="10"/>
      <c r="BN88" s="10" t="str">
        <f t="shared" si="84"/>
        <v/>
      </c>
      <c r="BO88" s="10" t="str">
        <f t="shared" si="85"/>
        <v/>
      </c>
      <c r="BQ88" s="10" t="str">
        <f t="shared" si="68"/>
        <v/>
      </c>
      <c r="BR88" s="10" t="str">
        <f t="shared" si="86"/>
        <v/>
      </c>
    </row>
    <row r="89" spans="2:70" x14ac:dyDescent="0.15">
      <c r="B89" s="9"/>
      <c r="C89" s="9"/>
      <c r="D89" s="9"/>
      <c r="E89" s="9" t="s">
        <v>122</v>
      </c>
      <c r="F89" s="91">
        <f>AO116/$BR$116</f>
        <v>1.3320943864608241</v>
      </c>
      <c r="G89" s="9" t="s">
        <v>132</v>
      </c>
      <c r="H89" s="9"/>
      <c r="I89" s="458">
        <f t="shared" si="87"/>
        <v>2094</v>
      </c>
      <c r="J89" s="39"/>
      <c r="K89" s="39">
        <f t="shared" si="88"/>
        <v>75</v>
      </c>
      <c r="L89" s="39"/>
      <c r="M89" s="40">
        <f t="shared" si="53"/>
        <v>0.10894521169560026</v>
      </c>
      <c r="N89" s="39"/>
      <c r="O89" s="72" t="str">
        <f t="shared" si="89"/>
        <v/>
      </c>
      <c r="P89" s="41" t="str">
        <f t="shared" si="54"/>
        <v/>
      </c>
      <c r="Q89" s="39"/>
      <c r="R89" s="72" t="str">
        <f t="shared" si="69"/>
        <v/>
      </c>
      <c r="S89" s="39"/>
      <c r="T89" s="72" t="str">
        <f t="shared" si="70"/>
        <v/>
      </c>
      <c r="U89" s="39"/>
      <c r="V89" s="72" t="str">
        <f t="shared" si="55"/>
        <v/>
      </c>
      <c r="W89" s="72" t="str">
        <f t="shared" si="71"/>
        <v/>
      </c>
      <c r="X89" s="39"/>
      <c r="Y89" s="72" t="str">
        <f t="shared" si="56"/>
        <v/>
      </c>
      <c r="Z89" s="72" t="str">
        <f t="shared" si="72"/>
        <v/>
      </c>
      <c r="AA89" s="39"/>
      <c r="AB89" s="72" t="str">
        <f t="shared" si="57"/>
        <v/>
      </c>
      <c r="AC89" s="72" t="str">
        <f t="shared" si="52"/>
        <v/>
      </c>
      <c r="AD89" s="39"/>
      <c r="AE89" s="72" t="str">
        <f t="shared" si="58"/>
        <v/>
      </c>
      <c r="AF89" s="72" t="str">
        <f t="shared" si="73"/>
        <v/>
      </c>
      <c r="AG89" s="39"/>
      <c r="AH89" s="72" t="str">
        <f t="shared" si="59"/>
        <v/>
      </c>
      <c r="AI89" s="72" t="str">
        <f t="shared" si="74"/>
        <v/>
      </c>
      <c r="AJ89" s="39"/>
      <c r="AK89" s="72" t="str">
        <f t="shared" si="60"/>
        <v/>
      </c>
      <c r="AL89" s="72" t="str">
        <f t="shared" si="75"/>
        <v/>
      </c>
      <c r="AM89" s="39"/>
      <c r="AN89" s="72" t="str">
        <f t="shared" si="61"/>
        <v/>
      </c>
      <c r="AO89" s="72" t="str">
        <f t="shared" si="76"/>
        <v/>
      </c>
      <c r="AP89" s="39"/>
      <c r="AQ89" s="72" t="str">
        <f t="shared" si="62"/>
        <v/>
      </c>
      <c r="AR89" s="72" t="str">
        <f t="shared" si="77"/>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63"/>
        <v/>
      </c>
      <c r="AW89" s="72" t="str">
        <f t="shared" si="78"/>
        <v/>
      </c>
      <c r="AX89" s="39"/>
      <c r="AY89" s="40" t="s">
        <v>127</v>
      </c>
      <c r="AZ89" s="39"/>
      <c r="BA89" s="42" t="str">
        <f t="shared" si="64"/>
        <v/>
      </c>
      <c r="BB89" s="72" t="str">
        <f t="shared" si="79"/>
        <v/>
      </c>
      <c r="BC89" s="39"/>
      <c r="BD89" s="72" t="str">
        <f t="shared" si="65"/>
        <v/>
      </c>
      <c r="BE89" s="72" t="str">
        <f t="shared" si="80"/>
        <v/>
      </c>
      <c r="BF89" s="39"/>
      <c r="BG89" s="42" t="str">
        <f t="shared" si="66"/>
        <v/>
      </c>
      <c r="BH89" s="72" t="str">
        <f t="shared" si="81"/>
        <v/>
      </c>
      <c r="BI89" s="39"/>
      <c r="BJ89" s="40" t="str">
        <f t="shared" si="82"/>
        <v/>
      </c>
      <c r="BK89" s="157" t="str">
        <f t="shared" si="83"/>
        <v/>
      </c>
      <c r="BL89" s="157" t="str">
        <f t="shared" si="67"/>
        <v/>
      </c>
      <c r="BM89" s="72"/>
      <c r="BN89" s="72" t="str">
        <f t="shared" si="84"/>
        <v/>
      </c>
      <c r="BO89" s="72" t="str">
        <f t="shared" si="85"/>
        <v/>
      </c>
      <c r="BP89" s="39"/>
      <c r="BQ89" s="72" t="str">
        <f t="shared" si="68"/>
        <v/>
      </c>
      <c r="BR89" s="72" t="str">
        <f t="shared" si="86"/>
        <v/>
      </c>
    </row>
    <row r="90" spans="2:70" x14ac:dyDescent="0.15">
      <c r="B90" s="9"/>
      <c r="C90" s="9"/>
      <c r="D90" s="9"/>
      <c r="E90" s="9" t="s">
        <v>142</v>
      </c>
      <c r="F90" s="91">
        <f>AR116/$BR$116</f>
        <v>0.42311915633833452</v>
      </c>
      <c r="G90" s="9" t="s">
        <v>132</v>
      </c>
      <c r="H90" s="9"/>
      <c r="I90" s="459">
        <f t="shared" si="87"/>
        <v>2095</v>
      </c>
      <c r="K90" s="71">
        <f t="shared" si="88"/>
        <v>76</v>
      </c>
      <c r="M90" s="7">
        <f t="shared" si="53"/>
        <v>0.10577205018990318</v>
      </c>
      <c r="O90" s="10" t="str">
        <f t="shared" si="89"/>
        <v/>
      </c>
      <c r="P90" s="29" t="str">
        <f t="shared" si="54"/>
        <v/>
      </c>
      <c r="R90" s="10" t="str">
        <f t="shared" si="69"/>
        <v/>
      </c>
      <c r="T90" s="10" t="str">
        <f t="shared" si="70"/>
        <v/>
      </c>
      <c r="V90" s="10" t="str">
        <f t="shared" si="55"/>
        <v/>
      </c>
      <c r="W90" s="10" t="str">
        <f t="shared" si="71"/>
        <v/>
      </c>
      <c r="Y90" s="10" t="str">
        <f t="shared" si="56"/>
        <v/>
      </c>
      <c r="Z90" s="10" t="str">
        <f t="shared" si="72"/>
        <v/>
      </c>
      <c r="AB90" s="10" t="str">
        <f t="shared" si="57"/>
        <v/>
      </c>
      <c r="AC90" s="10" t="str">
        <f t="shared" si="52"/>
        <v/>
      </c>
      <c r="AE90" s="10" t="str">
        <f t="shared" si="58"/>
        <v/>
      </c>
      <c r="AF90" s="10" t="str">
        <f t="shared" si="73"/>
        <v/>
      </c>
      <c r="AH90" s="10" t="str">
        <f t="shared" si="59"/>
        <v/>
      </c>
      <c r="AI90" s="10" t="str">
        <f t="shared" si="74"/>
        <v/>
      </c>
      <c r="AK90" s="10" t="str">
        <f t="shared" si="60"/>
        <v/>
      </c>
      <c r="AL90" s="10" t="str">
        <f t="shared" si="75"/>
        <v/>
      </c>
      <c r="AN90" s="188" t="str">
        <f t="shared" si="61"/>
        <v/>
      </c>
      <c r="AO90" s="10" t="str">
        <f t="shared" si="76"/>
        <v/>
      </c>
      <c r="AQ90" s="10" t="str">
        <f t="shared" si="62"/>
        <v/>
      </c>
      <c r="AR90" s="10" t="str">
        <f t="shared" si="77"/>
        <v/>
      </c>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V90" s="10" t="str">
        <f t="shared" si="63"/>
        <v/>
      </c>
      <c r="AW90" s="10" t="str">
        <f t="shared" si="78"/>
        <v/>
      </c>
      <c r="AY90" s="7" t="s">
        <v>127</v>
      </c>
      <c r="BA90" s="11" t="str">
        <f t="shared" si="64"/>
        <v/>
      </c>
      <c r="BB90" s="10" t="str">
        <f t="shared" si="79"/>
        <v/>
      </c>
      <c r="BD90" s="10" t="str">
        <f t="shared" si="65"/>
        <v/>
      </c>
      <c r="BE90" s="10" t="str">
        <f t="shared" si="80"/>
        <v/>
      </c>
      <c r="BG90" s="11" t="str">
        <f t="shared" si="66"/>
        <v/>
      </c>
      <c r="BH90" s="10" t="str">
        <f t="shared" si="81"/>
        <v/>
      </c>
      <c r="BJ90" s="7" t="str">
        <f t="shared" si="82"/>
        <v/>
      </c>
      <c r="BK90" s="158" t="str">
        <f t="shared" si="83"/>
        <v/>
      </c>
      <c r="BL90" s="158" t="str">
        <f t="shared" si="67"/>
        <v/>
      </c>
      <c r="BM90" s="10"/>
      <c r="BN90" s="10" t="str">
        <f t="shared" si="84"/>
        <v/>
      </c>
      <c r="BO90" s="10" t="str">
        <f t="shared" si="85"/>
        <v/>
      </c>
      <c r="BQ90" s="10" t="str">
        <f t="shared" si="68"/>
        <v/>
      </c>
      <c r="BR90" s="10" t="str">
        <f t="shared" si="86"/>
        <v/>
      </c>
    </row>
    <row r="91" spans="2:70" x14ac:dyDescent="0.15">
      <c r="B91" s="9"/>
      <c r="C91" s="9"/>
      <c r="D91" s="9"/>
      <c r="E91" s="9"/>
      <c r="F91" s="93"/>
      <c r="G91" s="9"/>
      <c r="H91" s="9"/>
      <c r="I91" s="458">
        <f t="shared" si="87"/>
        <v>2096</v>
      </c>
      <c r="J91" s="39"/>
      <c r="K91" s="39">
        <f t="shared" si="88"/>
        <v>77</v>
      </c>
      <c r="L91" s="39"/>
      <c r="M91" s="40">
        <f t="shared" si="53"/>
        <v>0.10269131086398368</v>
      </c>
      <c r="N91" s="39"/>
      <c r="O91" s="72" t="str">
        <f t="shared" si="89"/>
        <v/>
      </c>
      <c r="P91" s="41" t="str">
        <f t="shared" si="54"/>
        <v/>
      </c>
      <c r="Q91" s="39"/>
      <c r="R91" s="72" t="str">
        <f t="shared" si="69"/>
        <v/>
      </c>
      <c r="S91" s="39"/>
      <c r="T91" s="72" t="str">
        <f t="shared" si="70"/>
        <v/>
      </c>
      <c r="U91" s="39"/>
      <c r="V91" s="72" t="str">
        <f t="shared" si="55"/>
        <v/>
      </c>
      <c r="W91" s="72" t="str">
        <f t="shared" si="71"/>
        <v/>
      </c>
      <c r="X91" s="39"/>
      <c r="Y91" s="72" t="str">
        <f t="shared" si="56"/>
        <v/>
      </c>
      <c r="Z91" s="72" t="str">
        <f t="shared" si="72"/>
        <v/>
      </c>
      <c r="AA91" s="39"/>
      <c r="AB91" s="72" t="str">
        <f t="shared" si="57"/>
        <v/>
      </c>
      <c r="AC91" s="72" t="str">
        <f t="shared" si="52"/>
        <v/>
      </c>
      <c r="AD91" s="39"/>
      <c r="AE91" s="72" t="str">
        <f t="shared" si="58"/>
        <v/>
      </c>
      <c r="AF91" s="72" t="str">
        <f t="shared" si="73"/>
        <v/>
      </c>
      <c r="AG91" s="39"/>
      <c r="AH91" s="72" t="str">
        <f t="shared" si="59"/>
        <v/>
      </c>
      <c r="AI91" s="72" t="str">
        <f t="shared" si="74"/>
        <v/>
      </c>
      <c r="AJ91" s="39"/>
      <c r="AK91" s="72" t="str">
        <f t="shared" si="60"/>
        <v/>
      </c>
      <c r="AL91" s="72" t="str">
        <f t="shared" si="75"/>
        <v/>
      </c>
      <c r="AM91" s="39"/>
      <c r="AN91" s="72" t="str">
        <f t="shared" si="61"/>
        <v/>
      </c>
      <c r="AO91" s="72" t="str">
        <f t="shared" si="76"/>
        <v/>
      </c>
      <c r="AP91" s="39"/>
      <c r="AQ91" s="72" t="str">
        <f t="shared" si="62"/>
        <v/>
      </c>
      <c r="AR91" s="72" t="str">
        <f t="shared" si="77"/>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63"/>
        <v/>
      </c>
      <c r="AW91" s="72" t="str">
        <f t="shared" si="78"/>
        <v/>
      </c>
      <c r="AX91" s="39"/>
      <c r="AY91" s="40" t="s">
        <v>127</v>
      </c>
      <c r="AZ91" s="39"/>
      <c r="BA91" s="42" t="str">
        <f t="shared" si="64"/>
        <v/>
      </c>
      <c r="BB91" s="72" t="str">
        <f t="shared" si="79"/>
        <v/>
      </c>
      <c r="BC91" s="39"/>
      <c r="BD91" s="72" t="str">
        <f t="shared" si="65"/>
        <v/>
      </c>
      <c r="BE91" s="72" t="str">
        <f t="shared" si="80"/>
        <v/>
      </c>
      <c r="BF91" s="39"/>
      <c r="BG91" s="42" t="str">
        <f t="shared" si="66"/>
        <v/>
      </c>
      <c r="BH91" s="72" t="str">
        <f t="shared" si="81"/>
        <v/>
      </c>
      <c r="BI91" s="39"/>
      <c r="BJ91" s="40" t="str">
        <f t="shared" si="82"/>
        <v/>
      </c>
      <c r="BK91" s="157" t="str">
        <f t="shared" si="83"/>
        <v/>
      </c>
      <c r="BL91" s="157" t="str">
        <f t="shared" si="67"/>
        <v/>
      </c>
      <c r="BM91" s="72"/>
      <c r="BN91" s="72" t="str">
        <f t="shared" si="84"/>
        <v/>
      </c>
      <c r="BO91" s="72" t="str">
        <f t="shared" si="85"/>
        <v/>
      </c>
      <c r="BP91" s="39"/>
      <c r="BQ91" s="72" t="str">
        <f t="shared" si="68"/>
        <v/>
      </c>
      <c r="BR91" s="72" t="str">
        <f t="shared" si="86"/>
        <v/>
      </c>
    </row>
    <row r="92" spans="2:70" ht="15" x14ac:dyDescent="0.15">
      <c r="B92" s="9"/>
      <c r="C92" s="9"/>
      <c r="D92" s="462" t="s">
        <v>196</v>
      </c>
      <c r="E92" s="9"/>
      <c r="F92" s="94">
        <f>SUBTOTAL(9,F96:F97)</f>
        <v>1.679029170797159</v>
      </c>
      <c r="G92" s="9"/>
      <c r="H92" s="9"/>
      <c r="I92" s="459">
        <f t="shared" si="87"/>
        <v>2097</v>
      </c>
      <c r="K92" s="71">
        <f t="shared" si="88"/>
        <v>78</v>
      </c>
      <c r="M92" s="7">
        <f t="shared" si="53"/>
        <v>9.9700301809692873E-2</v>
      </c>
      <c r="O92" s="10" t="str">
        <f t="shared" si="89"/>
        <v/>
      </c>
      <c r="P92" s="29" t="str">
        <f t="shared" si="54"/>
        <v/>
      </c>
      <c r="R92" s="10" t="str">
        <f t="shared" si="69"/>
        <v/>
      </c>
      <c r="T92" s="10" t="str">
        <f t="shared" si="70"/>
        <v/>
      </c>
      <c r="V92" s="10" t="str">
        <f t="shared" si="55"/>
        <v/>
      </c>
      <c r="W92" s="10" t="str">
        <f t="shared" si="71"/>
        <v/>
      </c>
      <c r="Y92" s="10" t="str">
        <f t="shared" si="56"/>
        <v/>
      </c>
      <c r="Z92" s="10" t="str">
        <f t="shared" si="72"/>
        <v/>
      </c>
      <c r="AB92" s="10" t="str">
        <f t="shared" si="57"/>
        <v/>
      </c>
      <c r="AC92" s="10" t="str">
        <f t="shared" si="52"/>
        <v/>
      </c>
      <c r="AE92" s="10" t="str">
        <f t="shared" si="58"/>
        <v/>
      </c>
      <c r="AF92" s="10" t="str">
        <f t="shared" si="73"/>
        <v/>
      </c>
      <c r="AH92" s="10" t="str">
        <f t="shared" si="59"/>
        <v/>
      </c>
      <c r="AI92" s="10" t="str">
        <f t="shared" si="74"/>
        <v/>
      </c>
      <c r="AK92" s="10" t="str">
        <f t="shared" si="60"/>
        <v/>
      </c>
      <c r="AL92" s="10" t="str">
        <f t="shared" si="75"/>
        <v/>
      </c>
      <c r="AN92" s="188" t="str">
        <f t="shared" si="61"/>
        <v/>
      </c>
      <c r="AO92" s="10" t="str">
        <f t="shared" si="76"/>
        <v/>
      </c>
      <c r="AQ92" s="10" t="str">
        <f t="shared" si="62"/>
        <v/>
      </c>
      <c r="AR92" s="10" t="str">
        <f t="shared" si="77"/>
        <v/>
      </c>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V92" s="10" t="str">
        <f t="shared" si="63"/>
        <v/>
      </c>
      <c r="AW92" s="10" t="str">
        <f t="shared" si="78"/>
        <v/>
      </c>
      <c r="AY92" s="7" t="s">
        <v>127</v>
      </c>
      <c r="BA92" s="11" t="str">
        <f t="shared" si="64"/>
        <v/>
      </c>
      <c r="BB92" s="10" t="str">
        <f t="shared" si="79"/>
        <v/>
      </c>
      <c r="BD92" s="10" t="str">
        <f t="shared" si="65"/>
        <v/>
      </c>
      <c r="BE92" s="10" t="str">
        <f t="shared" si="80"/>
        <v/>
      </c>
      <c r="BG92" s="11" t="str">
        <f t="shared" si="66"/>
        <v/>
      </c>
      <c r="BH92" s="10" t="str">
        <f t="shared" si="81"/>
        <v/>
      </c>
      <c r="BJ92" s="7" t="str">
        <f t="shared" si="82"/>
        <v/>
      </c>
      <c r="BK92" s="158" t="str">
        <f t="shared" si="83"/>
        <v/>
      </c>
      <c r="BL92" s="158" t="str">
        <f t="shared" si="67"/>
        <v/>
      </c>
      <c r="BM92" s="10"/>
      <c r="BN92" s="10" t="str">
        <f t="shared" si="84"/>
        <v/>
      </c>
      <c r="BO92" s="10" t="str">
        <f t="shared" si="85"/>
        <v/>
      </c>
      <c r="BQ92" s="10" t="str">
        <f t="shared" si="68"/>
        <v/>
      </c>
      <c r="BR92" s="10" t="str">
        <f t="shared" si="86"/>
        <v/>
      </c>
    </row>
    <row r="93" spans="2:70" ht="15" x14ac:dyDescent="0.15">
      <c r="B93" s="9"/>
      <c r="C93" s="9"/>
      <c r="D93" s="462"/>
      <c r="E93" s="9"/>
      <c r="F93" s="93"/>
      <c r="G93" s="9"/>
      <c r="H93" s="9"/>
      <c r="I93" s="458">
        <f t="shared" si="87"/>
        <v>2098</v>
      </c>
      <c r="J93" s="39"/>
      <c r="K93" s="39">
        <f t="shared" si="88"/>
        <v>79</v>
      </c>
      <c r="L93" s="39"/>
      <c r="M93" s="40">
        <f t="shared" si="53"/>
        <v>9.679640952397367E-2</v>
      </c>
      <c r="N93" s="39"/>
      <c r="O93" s="72" t="str">
        <f t="shared" si="89"/>
        <v/>
      </c>
      <c r="P93" s="41" t="str">
        <f t="shared" si="54"/>
        <v/>
      </c>
      <c r="Q93" s="39"/>
      <c r="R93" s="72" t="str">
        <f t="shared" si="69"/>
        <v/>
      </c>
      <c r="S93" s="39"/>
      <c r="T93" s="72" t="str">
        <f t="shared" si="70"/>
        <v/>
      </c>
      <c r="U93" s="39"/>
      <c r="V93" s="72" t="str">
        <f t="shared" si="55"/>
        <v/>
      </c>
      <c r="W93" s="72" t="str">
        <f t="shared" si="71"/>
        <v/>
      </c>
      <c r="X93" s="39"/>
      <c r="Y93" s="72" t="str">
        <f t="shared" si="56"/>
        <v/>
      </c>
      <c r="Z93" s="72" t="str">
        <f t="shared" si="72"/>
        <v/>
      </c>
      <c r="AA93" s="39"/>
      <c r="AB93" s="72" t="str">
        <f t="shared" si="57"/>
        <v/>
      </c>
      <c r="AC93" s="72" t="str">
        <f t="shared" si="52"/>
        <v/>
      </c>
      <c r="AD93" s="39"/>
      <c r="AE93" s="72" t="str">
        <f t="shared" si="58"/>
        <v/>
      </c>
      <c r="AF93" s="72" t="str">
        <f t="shared" si="73"/>
        <v/>
      </c>
      <c r="AG93" s="39"/>
      <c r="AH93" s="72" t="str">
        <f t="shared" si="59"/>
        <v/>
      </c>
      <c r="AI93" s="72" t="str">
        <f t="shared" si="74"/>
        <v/>
      </c>
      <c r="AJ93" s="39"/>
      <c r="AK93" s="72" t="str">
        <f t="shared" si="60"/>
        <v/>
      </c>
      <c r="AL93" s="72" t="str">
        <f t="shared" si="75"/>
        <v/>
      </c>
      <c r="AM93" s="39"/>
      <c r="AN93" s="72" t="str">
        <f t="shared" si="61"/>
        <v/>
      </c>
      <c r="AO93" s="72" t="str">
        <f t="shared" si="76"/>
        <v/>
      </c>
      <c r="AP93" s="39"/>
      <c r="AQ93" s="72" t="str">
        <f t="shared" si="62"/>
        <v/>
      </c>
      <c r="AR93" s="72" t="str">
        <f t="shared" si="77"/>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63"/>
        <v/>
      </c>
      <c r="AW93" s="72" t="str">
        <f t="shared" si="78"/>
        <v/>
      </c>
      <c r="AX93" s="39"/>
      <c r="AY93" s="40" t="s">
        <v>127</v>
      </c>
      <c r="AZ93" s="39"/>
      <c r="BA93" s="42" t="str">
        <f t="shared" si="64"/>
        <v/>
      </c>
      <c r="BB93" s="72" t="str">
        <f t="shared" si="79"/>
        <v/>
      </c>
      <c r="BC93" s="39"/>
      <c r="BD93" s="72" t="str">
        <f t="shared" si="65"/>
        <v/>
      </c>
      <c r="BE93" s="72" t="str">
        <f t="shared" si="80"/>
        <v/>
      </c>
      <c r="BF93" s="39"/>
      <c r="BG93" s="42" t="str">
        <f t="shared" si="66"/>
        <v/>
      </c>
      <c r="BH93" s="72" t="str">
        <f t="shared" si="81"/>
        <v/>
      </c>
      <c r="BI93" s="39"/>
      <c r="BJ93" s="40" t="str">
        <f t="shared" si="82"/>
        <v/>
      </c>
      <c r="BK93" s="157" t="str">
        <f t="shared" si="83"/>
        <v/>
      </c>
      <c r="BL93" s="157" t="str">
        <f t="shared" si="67"/>
        <v/>
      </c>
      <c r="BM93" s="72"/>
      <c r="BN93" s="72" t="str">
        <f t="shared" si="84"/>
        <v/>
      </c>
      <c r="BO93" s="72" t="str">
        <f t="shared" si="85"/>
        <v/>
      </c>
      <c r="BP93" s="39"/>
      <c r="BQ93" s="72" t="str">
        <f t="shared" si="68"/>
        <v/>
      </c>
      <c r="BR93" s="72" t="str">
        <f t="shared" si="86"/>
        <v/>
      </c>
    </row>
    <row r="94" spans="2:70" x14ac:dyDescent="0.15">
      <c r="B94" s="9"/>
      <c r="C94" s="9"/>
      <c r="D94" s="89" t="s">
        <v>197</v>
      </c>
      <c r="E94" s="89"/>
      <c r="F94" s="92"/>
      <c r="G94" s="89"/>
      <c r="H94" s="9"/>
      <c r="I94" s="459">
        <f t="shared" si="87"/>
        <v>2099</v>
      </c>
      <c r="K94" s="71">
        <f t="shared" si="88"/>
        <v>80</v>
      </c>
      <c r="M94" s="7">
        <f t="shared" si="53"/>
        <v>9.3977096625217166E-2</v>
      </c>
      <c r="O94" s="10" t="str">
        <f t="shared" si="89"/>
        <v/>
      </c>
      <c r="P94" s="29" t="str">
        <f t="shared" si="54"/>
        <v/>
      </c>
      <c r="R94" s="10" t="str">
        <f t="shared" si="69"/>
        <v/>
      </c>
      <c r="T94" s="10" t="str">
        <f t="shared" si="70"/>
        <v/>
      </c>
      <c r="V94" s="10" t="str">
        <f t="shared" si="55"/>
        <v/>
      </c>
      <c r="W94" s="10" t="str">
        <f t="shared" si="71"/>
        <v/>
      </c>
      <c r="Y94" s="10" t="str">
        <f t="shared" si="56"/>
        <v/>
      </c>
      <c r="Z94" s="10" t="str">
        <f t="shared" si="72"/>
        <v/>
      </c>
      <c r="AB94" s="10" t="str">
        <f t="shared" si="57"/>
        <v/>
      </c>
      <c r="AC94" s="10" t="str">
        <f t="shared" si="52"/>
        <v/>
      </c>
      <c r="AE94" s="10" t="str">
        <f t="shared" si="58"/>
        <v/>
      </c>
      <c r="AF94" s="10" t="str">
        <f t="shared" si="73"/>
        <v/>
      </c>
      <c r="AH94" s="10" t="str">
        <f t="shared" si="59"/>
        <v/>
      </c>
      <c r="AI94" s="10" t="str">
        <f t="shared" si="74"/>
        <v/>
      </c>
      <c r="AK94" s="10" t="str">
        <f t="shared" si="60"/>
        <v/>
      </c>
      <c r="AL94" s="10" t="str">
        <f t="shared" si="75"/>
        <v/>
      </c>
      <c r="AN94" s="188" t="str">
        <f t="shared" si="61"/>
        <v/>
      </c>
      <c r="AO94" s="10" t="str">
        <f t="shared" si="76"/>
        <v/>
      </c>
      <c r="AQ94" s="10" t="str">
        <f t="shared" si="62"/>
        <v/>
      </c>
      <c r="AR94" s="10" t="str">
        <f t="shared" si="77"/>
        <v/>
      </c>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V94" s="10" t="str">
        <f t="shared" si="63"/>
        <v/>
      </c>
      <c r="AW94" s="10" t="str">
        <f t="shared" si="78"/>
        <v/>
      </c>
      <c r="AY94" s="7" t="s">
        <v>127</v>
      </c>
      <c r="BA94" s="11" t="str">
        <f t="shared" si="64"/>
        <v/>
      </c>
      <c r="BB94" s="10" t="str">
        <f t="shared" si="79"/>
        <v/>
      </c>
      <c r="BD94" s="10" t="str">
        <f t="shared" si="65"/>
        <v/>
      </c>
      <c r="BE94" s="10" t="str">
        <f t="shared" si="80"/>
        <v/>
      </c>
      <c r="BG94" s="11" t="str">
        <f t="shared" si="66"/>
        <v/>
      </c>
      <c r="BH94" s="10" t="str">
        <f t="shared" si="81"/>
        <v/>
      </c>
      <c r="BJ94" s="7" t="str">
        <f t="shared" si="82"/>
        <v/>
      </c>
      <c r="BK94" s="158" t="str">
        <f t="shared" si="83"/>
        <v/>
      </c>
      <c r="BL94" s="158" t="str">
        <f t="shared" si="67"/>
        <v/>
      </c>
      <c r="BM94" s="10"/>
      <c r="BN94" s="10" t="str">
        <f t="shared" si="84"/>
        <v/>
      </c>
      <c r="BO94" s="10" t="str">
        <f t="shared" si="85"/>
        <v/>
      </c>
      <c r="BQ94" s="10" t="str">
        <f t="shared" si="68"/>
        <v/>
      </c>
      <c r="BR94" s="10" t="str">
        <f t="shared" si="86"/>
        <v/>
      </c>
    </row>
    <row r="95" spans="2:70" ht="15" x14ac:dyDescent="0.15">
      <c r="B95" s="9"/>
      <c r="C95" s="9"/>
      <c r="D95" s="462"/>
      <c r="E95" s="9"/>
      <c r="F95" s="93"/>
      <c r="G95" s="9"/>
      <c r="H95" s="9"/>
      <c r="I95" s="458">
        <f t="shared" si="87"/>
        <v>2100</v>
      </c>
      <c r="J95" s="39"/>
      <c r="K95" s="39">
        <f t="shared" si="88"/>
        <v>81</v>
      </c>
      <c r="L95" s="39"/>
      <c r="M95" s="40">
        <f t="shared" si="53"/>
        <v>9.1239899636133173E-2</v>
      </c>
      <c r="N95" s="39"/>
      <c r="O95" s="72" t="str">
        <f t="shared" si="89"/>
        <v/>
      </c>
      <c r="P95" s="41" t="str">
        <f t="shared" si="54"/>
        <v/>
      </c>
      <c r="Q95" s="39"/>
      <c r="R95" s="72" t="str">
        <f t="shared" si="69"/>
        <v/>
      </c>
      <c r="S95" s="39"/>
      <c r="T95" s="72" t="str">
        <f t="shared" si="70"/>
        <v/>
      </c>
      <c r="U95" s="39"/>
      <c r="V95" s="72" t="str">
        <f t="shared" si="55"/>
        <v/>
      </c>
      <c r="W95" s="72" t="str">
        <f t="shared" si="71"/>
        <v/>
      </c>
      <c r="X95" s="39"/>
      <c r="Y95" s="72" t="str">
        <f t="shared" si="56"/>
        <v/>
      </c>
      <c r="Z95" s="72" t="str">
        <f t="shared" si="72"/>
        <v/>
      </c>
      <c r="AA95" s="39"/>
      <c r="AB95" s="72" t="str">
        <f t="shared" si="57"/>
        <v/>
      </c>
      <c r="AC95" s="72" t="str">
        <f t="shared" si="52"/>
        <v/>
      </c>
      <c r="AD95" s="39"/>
      <c r="AE95" s="72" t="str">
        <f t="shared" si="58"/>
        <v/>
      </c>
      <c r="AF95" s="72" t="str">
        <f t="shared" si="73"/>
        <v/>
      </c>
      <c r="AG95" s="39"/>
      <c r="AH95" s="72" t="str">
        <f t="shared" si="59"/>
        <v/>
      </c>
      <c r="AI95" s="72" t="str">
        <f t="shared" si="74"/>
        <v/>
      </c>
      <c r="AJ95" s="39"/>
      <c r="AK95" s="72" t="str">
        <f t="shared" si="60"/>
        <v/>
      </c>
      <c r="AL95" s="72" t="str">
        <f t="shared" si="75"/>
        <v/>
      </c>
      <c r="AM95" s="39"/>
      <c r="AN95" s="72" t="str">
        <f t="shared" si="61"/>
        <v/>
      </c>
      <c r="AO95" s="72" t="str">
        <f t="shared" si="76"/>
        <v/>
      </c>
      <c r="AP95" s="39"/>
      <c r="AQ95" s="72" t="str">
        <f t="shared" si="62"/>
        <v/>
      </c>
      <c r="AR95" s="72" t="str">
        <f t="shared" si="77"/>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63"/>
        <v/>
      </c>
      <c r="AW95" s="72" t="str">
        <f t="shared" si="78"/>
        <v/>
      </c>
      <c r="AX95" s="39"/>
      <c r="AY95" s="40" t="s">
        <v>127</v>
      </c>
      <c r="AZ95" s="39"/>
      <c r="BA95" s="42" t="str">
        <f t="shared" si="64"/>
        <v/>
      </c>
      <c r="BB95" s="72" t="str">
        <f t="shared" si="79"/>
        <v/>
      </c>
      <c r="BC95" s="39"/>
      <c r="BD95" s="72" t="str">
        <f t="shared" si="65"/>
        <v/>
      </c>
      <c r="BE95" s="72" t="str">
        <f t="shared" si="80"/>
        <v/>
      </c>
      <c r="BF95" s="39"/>
      <c r="BG95" s="42" t="str">
        <f t="shared" si="66"/>
        <v/>
      </c>
      <c r="BH95" s="72" t="str">
        <f t="shared" si="81"/>
        <v/>
      </c>
      <c r="BI95" s="39"/>
      <c r="BJ95" s="40" t="str">
        <f t="shared" si="82"/>
        <v/>
      </c>
      <c r="BK95" s="157" t="str">
        <f t="shared" si="83"/>
        <v/>
      </c>
      <c r="BL95" s="157" t="str">
        <f t="shared" si="67"/>
        <v/>
      </c>
      <c r="BM95" s="72"/>
      <c r="BN95" s="72" t="str">
        <f t="shared" si="84"/>
        <v/>
      </c>
      <c r="BO95" s="72" t="str">
        <f t="shared" si="85"/>
        <v/>
      </c>
      <c r="BP95" s="39"/>
      <c r="BQ95" s="72" t="str">
        <f t="shared" si="68"/>
        <v/>
      </c>
      <c r="BR95" s="72" t="str">
        <f t="shared" si="86"/>
        <v/>
      </c>
    </row>
    <row r="96" spans="2:70" ht="15" x14ac:dyDescent="0.15">
      <c r="B96" s="9"/>
      <c r="C96" s="9"/>
      <c r="D96" s="462"/>
      <c r="E96" s="9" t="s">
        <v>198</v>
      </c>
      <c r="F96" s="91">
        <f>IF(F3&lt;&gt;"原子力",AW116/$BR$116,0)</f>
        <v>0</v>
      </c>
      <c r="G96" s="9" t="s">
        <v>132</v>
      </c>
      <c r="H96" s="9"/>
      <c r="I96" s="459">
        <f t="shared" si="87"/>
        <v>2101</v>
      </c>
      <c r="K96" s="71">
        <f t="shared" si="88"/>
        <v>82</v>
      </c>
      <c r="M96" s="7">
        <f t="shared" si="53"/>
        <v>8.8582426831197242E-2</v>
      </c>
      <c r="O96" s="10" t="str">
        <f t="shared" si="89"/>
        <v/>
      </c>
      <c r="P96" s="29" t="str">
        <f t="shared" si="54"/>
        <v/>
      </c>
      <c r="R96" s="10" t="str">
        <f t="shared" si="69"/>
        <v/>
      </c>
      <c r="T96" s="10" t="str">
        <f t="shared" si="70"/>
        <v/>
      </c>
      <c r="V96" s="10" t="str">
        <f t="shared" si="55"/>
        <v/>
      </c>
      <c r="W96" s="10" t="str">
        <f t="shared" si="71"/>
        <v/>
      </c>
      <c r="Y96" s="10" t="str">
        <f t="shared" si="56"/>
        <v/>
      </c>
      <c r="Z96" s="10" t="str">
        <f t="shared" si="72"/>
        <v/>
      </c>
      <c r="AB96" s="10" t="str">
        <f t="shared" si="57"/>
        <v/>
      </c>
      <c r="AC96" s="10" t="str">
        <f t="shared" si="52"/>
        <v/>
      </c>
      <c r="AE96" s="10" t="str">
        <f t="shared" si="58"/>
        <v/>
      </c>
      <c r="AF96" s="10" t="str">
        <f t="shared" si="73"/>
        <v/>
      </c>
      <c r="AH96" s="10" t="str">
        <f t="shared" si="59"/>
        <v/>
      </c>
      <c r="AI96" s="10" t="str">
        <f t="shared" si="74"/>
        <v/>
      </c>
      <c r="AK96" s="10" t="str">
        <f t="shared" si="60"/>
        <v/>
      </c>
      <c r="AL96" s="10" t="str">
        <f t="shared" si="75"/>
        <v/>
      </c>
      <c r="AN96" s="188" t="str">
        <f t="shared" si="61"/>
        <v/>
      </c>
      <c r="AO96" s="10" t="str">
        <f t="shared" si="76"/>
        <v/>
      </c>
      <c r="AQ96" s="10" t="str">
        <f t="shared" si="62"/>
        <v/>
      </c>
      <c r="AR96" s="10" t="str">
        <f t="shared" si="77"/>
        <v/>
      </c>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V96" s="10" t="str">
        <f t="shared" si="63"/>
        <v/>
      </c>
      <c r="AW96" s="10" t="str">
        <f t="shared" si="78"/>
        <v/>
      </c>
      <c r="AY96" s="7" t="s">
        <v>127</v>
      </c>
      <c r="BA96" s="11" t="str">
        <f t="shared" si="64"/>
        <v/>
      </c>
      <c r="BB96" s="10" t="str">
        <f t="shared" si="79"/>
        <v/>
      </c>
      <c r="BD96" s="10" t="str">
        <f t="shared" si="65"/>
        <v/>
      </c>
      <c r="BE96" s="10" t="str">
        <f t="shared" si="80"/>
        <v/>
      </c>
      <c r="BG96" s="11" t="str">
        <f t="shared" si="66"/>
        <v/>
      </c>
      <c r="BH96" s="10" t="str">
        <f t="shared" si="81"/>
        <v/>
      </c>
      <c r="BJ96" s="7" t="str">
        <f t="shared" si="82"/>
        <v/>
      </c>
      <c r="BK96" s="158" t="str">
        <f t="shared" si="83"/>
        <v/>
      </c>
      <c r="BL96" s="158" t="str">
        <f t="shared" si="67"/>
        <v/>
      </c>
      <c r="BM96" s="10"/>
      <c r="BN96" s="10" t="str">
        <f t="shared" si="84"/>
        <v/>
      </c>
      <c r="BO96" s="10" t="str">
        <f t="shared" si="85"/>
        <v/>
      </c>
      <c r="BQ96" s="10" t="str">
        <f t="shared" si="68"/>
        <v/>
      </c>
      <c r="BR96" s="10" t="str">
        <f t="shared" si="86"/>
        <v/>
      </c>
    </row>
    <row r="97" spans="2:70" ht="15" x14ac:dyDescent="0.15">
      <c r="B97" s="9"/>
      <c r="C97" s="9"/>
      <c r="D97" s="462"/>
      <c r="E97" s="9" t="s">
        <v>199</v>
      </c>
      <c r="F97" s="199">
        <f>IF(F3="原子力",'表5）核燃料サイクル費用'!B30,0)</f>
        <v>1.679029170797159</v>
      </c>
      <c r="G97" s="9" t="s">
        <v>132</v>
      </c>
      <c r="H97" s="9"/>
      <c r="I97" s="458">
        <f t="shared" si="87"/>
        <v>2102</v>
      </c>
      <c r="J97" s="39"/>
      <c r="K97" s="39">
        <f t="shared" si="88"/>
        <v>83</v>
      </c>
      <c r="L97" s="39"/>
      <c r="M97" s="40">
        <f t="shared" si="53"/>
        <v>8.6002356146793454E-2</v>
      </c>
      <c r="N97" s="39"/>
      <c r="O97" s="72" t="str">
        <f t="shared" si="89"/>
        <v/>
      </c>
      <c r="P97" s="41" t="str">
        <f t="shared" si="54"/>
        <v/>
      </c>
      <c r="Q97" s="39"/>
      <c r="R97" s="72" t="str">
        <f t="shared" si="69"/>
        <v/>
      </c>
      <c r="S97" s="39"/>
      <c r="T97" s="72" t="str">
        <f t="shared" si="70"/>
        <v/>
      </c>
      <c r="U97" s="39"/>
      <c r="V97" s="72" t="str">
        <f t="shared" si="55"/>
        <v/>
      </c>
      <c r="W97" s="72" t="str">
        <f t="shared" si="71"/>
        <v/>
      </c>
      <c r="X97" s="39"/>
      <c r="Y97" s="72" t="str">
        <f t="shared" si="56"/>
        <v/>
      </c>
      <c r="Z97" s="72" t="str">
        <f t="shared" si="72"/>
        <v/>
      </c>
      <c r="AA97" s="39"/>
      <c r="AB97" s="72" t="str">
        <f t="shared" si="57"/>
        <v/>
      </c>
      <c r="AC97" s="72" t="str">
        <f t="shared" si="52"/>
        <v/>
      </c>
      <c r="AD97" s="39"/>
      <c r="AE97" s="72" t="str">
        <f t="shared" si="58"/>
        <v/>
      </c>
      <c r="AF97" s="72" t="str">
        <f t="shared" si="73"/>
        <v/>
      </c>
      <c r="AG97" s="39"/>
      <c r="AH97" s="72" t="str">
        <f t="shared" si="59"/>
        <v/>
      </c>
      <c r="AI97" s="72" t="str">
        <f t="shared" si="74"/>
        <v/>
      </c>
      <c r="AJ97" s="39"/>
      <c r="AK97" s="72" t="str">
        <f t="shared" si="60"/>
        <v/>
      </c>
      <c r="AL97" s="72" t="str">
        <f t="shared" si="75"/>
        <v/>
      </c>
      <c r="AM97" s="39"/>
      <c r="AN97" s="72" t="str">
        <f t="shared" si="61"/>
        <v/>
      </c>
      <c r="AO97" s="72" t="str">
        <f t="shared" si="76"/>
        <v/>
      </c>
      <c r="AP97" s="39"/>
      <c r="AQ97" s="72" t="str">
        <f t="shared" si="62"/>
        <v/>
      </c>
      <c r="AR97" s="72" t="str">
        <f t="shared" si="77"/>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63"/>
        <v/>
      </c>
      <c r="AW97" s="72" t="str">
        <f t="shared" si="78"/>
        <v/>
      </c>
      <c r="AX97" s="39"/>
      <c r="AY97" s="40" t="s">
        <v>127</v>
      </c>
      <c r="AZ97" s="39"/>
      <c r="BA97" s="42" t="str">
        <f t="shared" si="64"/>
        <v/>
      </c>
      <c r="BB97" s="72" t="str">
        <f t="shared" si="79"/>
        <v/>
      </c>
      <c r="BC97" s="39"/>
      <c r="BD97" s="72" t="str">
        <f t="shared" si="65"/>
        <v/>
      </c>
      <c r="BE97" s="72" t="str">
        <f t="shared" si="80"/>
        <v/>
      </c>
      <c r="BF97" s="39"/>
      <c r="BG97" s="42" t="str">
        <f t="shared" si="66"/>
        <v/>
      </c>
      <c r="BH97" s="72" t="str">
        <f t="shared" si="81"/>
        <v/>
      </c>
      <c r="BI97" s="39"/>
      <c r="BJ97" s="40" t="str">
        <f t="shared" si="82"/>
        <v/>
      </c>
      <c r="BK97" s="157" t="str">
        <f t="shared" si="83"/>
        <v/>
      </c>
      <c r="BL97" s="157" t="str">
        <f t="shared" si="67"/>
        <v/>
      </c>
      <c r="BM97" s="72"/>
      <c r="BN97" s="72" t="str">
        <f t="shared" si="84"/>
        <v/>
      </c>
      <c r="BO97" s="72" t="str">
        <f t="shared" si="85"/>
        <v/>
      </c>
      <c r="BP97" s="39"/>
      <c r="BQ97" s="72" t="str">
        <f t="shared" si="68"/>
        <v/>
      </c>
      <c r="BR97" s="72" t="str">
        <f t="shared" si="86"/>
        <v/>
      </c>
    </row>
    <row r="98" spans="2:70" x14ac:dyDescent="0.15">
      <c r="B98" s="9"/>
      <c r="C98" s="9"/>
      <c r="D98" s="9"/>
      <c r="E98" s="9"/>
      <c r="F98" s="93"/>
      <c r="G98" s="9"/>
      <c r="H98" s="9"/>
      <c r="I98" s="459">
        <f t="shared" si="87"/>
        <v>2103</v>
      </c>
      <c r="K98" s="71">
        <f t="shared" si="88"/>
        <v>84</v>
      </c>
      <c r="M98" s="7">
        <f t="shared" si="53"/>
        <v>8.3497433152226644E-2</v>
      </c>
      <c r="O98" s="10" t="str">
        <f t="shared" si="89"/>
        <v/>
      </c>
      <c r="P98" s="29" t="str">
        <f t="shared" si="54"/>
        <v/>
      </c>
      <c r="R98" s="10" t="str">
        <f t="shared" si="69"/>
        <v/>
      </c>
      <c r="T98" s="10" t="str">
        <f t="shared" si="70"/>
        <v/>
      </c>
      <c r="V98" s="10" t="str">
        <f t="shared" si="55"/>
        <v/>
      </c>
      <c r="W98" s="10" t="str">
        <f t="shared" si="71"/>
        <v/>
      </c>
      <c r="Y98" s="10" t="str">
        <f t="shared" si="56"/>
        <v/>
      </c>
      <c r="Z98" s="10" t="str">
        <f t="shared" si="72"/>
        <v/>
      </c>
      <c r="AB98" s="10" t="str">
        <f t="shared" si="57"/>
        <v/>
      </c>
      <c r="AC98" s="10" t="str">
        <f t="shared" si="52"/>
        <v/>
      </c>
      <c r="AE98" s="10" t="str">
        <f t="shared" si="58"/>
        <v/>
      </c>
      <c r="AF98" s="10" t="str">
        <f t="shared" si="73"/>
        <v/>
      </c>
      <c r="AH98" s="10" t="str">
        <f t="shared" si="59"/>
        <v/>
      </c>
      <c r="AI98" s="10" t="str">
        <f t="shared" si="74"/>
        <v/>
      </c>
      <c r="AK98" s="10" t="str">
        <f t="shared" si="60"/>
        <v/>
      </c>
      <c r="AL98" s="10" t="str">
        <f t="shared" si="75"/>
        <v/>
      </c>
      <c r="AN98" s="188" t="str">
        <f t="shared" si="61"/>
        <v/>
      </c>
      <c r="AO98" s="10" t="str">
        <f t="shared" si="76"/>
        <v/>
      </c>
      <c r="AQ98" s="10" t="str">
        <f t="shared" si="62"/>
        <v/>
      </c>
      <c r="AR98" s="10" t="str">
        <f t="shared" si="77"/>
        <v/>
      </c>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V98" s="10" t="str">
        <f t="shared" si="63"/>
        <v/>
      </c>
      <c r="AW98" s="10" t="str">
        <f t="shared" si="78"/>
        <v/>
      </c>
      <c r="AY98" s="7" t="s">
        <v>127</v>
      </c>
      <c r="BA98" s="11" t="str">
        <f t="shared" si="64"/>
        <v/>
      </c>
      <c r="BB98" s="10" t="str">
        <f t="shared" si="79"/>
        <v/>
      </c>
      <c r="BD98" s="10" t="str">
        <f t="shared" si="65"/>
        <v/>
      </c>
      <c r="BE98" s="10" t="str">
        <f t="shared" si="80"/>
        <v/>
      </c>
      <c r="BG98" s="11" t="str">
        <f t="shared" si="66"/>
        <v/>
      </c>
      <c r="BH98" s="10" t="str">
        <f t="shared" si="81"/>
        <v/>
      </c>
      <c r="BJ98" s="7" t="str">
        <f t="shared" si="82"/>
        <v/>
      </c>
      <c r="BK98" s="158" t="str">
        <f t="shared" si="83"/>
        <v/>
      </c>
      <c r="BL98" s="158" t="str">
        <f t="shared" si="67"/>
        <v/>
      </c>
      <c r="BM98" s="10"/>
      <c r="BN98" s="10" t="str">
        <f t="shared" si="84"/>
        <v/>
      </c>
      <c r="BO98" s="10" t="str">
        <f t="shared" si="85"/>
        <v/>
      </c>
      <c r="BQ98" s="10" t="str">
        <f t="shared" si="68"/>
        <v/>
      </c>
      <c r="BR98" s="10" t="str">
        <f t="shared" si="86"/>
        <v/>
      </c>
    </row>
    <row r="99" spans="2:70" ht="15" x14ac:dyDescent="0.15">
      <c r="B99" s="9"/>
      <c r="C99" s="9"/>
      <c r="D99" s="462" t="s">
        <v>200</v>
      </c>
      <c r="E99" s="9"/>
      <c r="F99" s="94">
        <f>SUBTOTAL(9,F103:F105)</f>
        <v>1.8613766720301514</v>
      </c>
      <c r="G99" s="9" t="s">
        <v>132</v>
      </c>
      <c r="H99" s="9"/>
      <c r="I99" s="458">
        <f t="shared" si="87"/>
        <v>2104</v>
      </c>
      <c r="J99" s="39"/>
      <c r="K99" s="39">
        <f t="shared" si="88"/>
        <v>85</v>
      </c>
      <c r="L99" s="39"/>
      <c r="M99" s="40">
        <f t="shared" si="53"/>
        <v>8.1065469079831712E-2</v>
      </c>
      <c r="N99" s="39"/>
      <c r="O99" s="72" t="str">
        <f t="shared" si="89"/>
        <v/>
      </c>
      <c r="P99" s="41" t="str">
        <f t="shared" si="54"/>
        <v/>
      </c>
      <c r="Q99" s="39"/>
      <c r="R99" s="72" t="str">
        <f t="shared" si="69"/>
        <v/>
      </c>
      <c r="S99" s="39"/>
      <c r="T99" s="72" t="str">
        <f t="shared" si="70"/>
        <v/>
      </c>
      <c r="U99" s="39"/>
      <c r="V99" s="72" t="str">
        <f t="shared" si="55"/>
        <v/>
      </c>
      <c r="W99" s="72" t="str">
        <f t="shared" si="71"/>
        <v/>
      </c>
      <c r="X99" s="39"/>
      <c r="Y99" s="72" t="str">
        <f t="shared" si="56"/>
        <v/>
      </c>
      <c r="Z99" s="72" t="str">
        <f t="shared" si="72"/>
        <v/>
      </c>
      <c r="AA99" s="39"/>
      <c r="AB99" s="72" t="str">
        <f t="shared" si="57"/>
        <v/>
      </c>
      <c r="AC99" s="72" t="str">
        <f t="shared" si="52"/>
        <v/>
      </c>
      <c r="AD99" s="39"/>
      <c r="AE99" s="72" t="str">
        <f t="shared" si="58"/>
        <v/>
      </c>
      <c r="AF99" s="72" t="str">
        <f t="shared" si="73"/>
        <v/>
      </c>
      <c r="AG99" s="39"/>
      <c r="AH99" s="72" t="str">
        <f t="shared" si="59"/>
        <v/>
      </c>
      <c r="AI99" s="72" t="str">
        <f t="shared" si="74"/>
        <v/>
      </c>
      <c r="AJ99" s="39"/>
      <c r="AK99" s="72" t="str">
        <f t="shared" si="60"/>
        <v/>
      </c>
      <c r="AL99" s="72" t="str">
        <f t="shared" si="75"/>
        <v/>
      </c>
      <c r="AM99" s="39"/>
      <c r="AN99" s="72" t="str">
        <f t="shared" si="61"/>
        <v/>
      </c>
      <c r="AO99" s="72" t="str">
        <f t="shared" si="76"/>
        <v/>
      </c>
      <c r="AP99" s="39"/>
      <c r="AQ99" s="72" t="str">
        <f t="shared" si="62"/>
        <v/>
      </c>
      <c r="AR99" s="72" t="str">
        <f t="shared" si="77"/>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63"/>
        <v/>
      </c>
      <c r="AW99" s="72" t="str">
        <f t="shared" si="78"/>
        <v/>
      </c>
      <c r="AX99" s="39"/>
      <c r="AY99" s="40" t="s">
        <v>127</v>
      </c>
      <c r="AZ99" s="39"/>
      <c r="BA99" s="42" t="str">
        <f t="shared" si="64"/>
        <v/>
      </c>
      <c r="BB99" s="72" t="str">
        <f t="shared" si="79"/>
        <v/>
      </c>
      <c r="BC99" s="39"/>
      <c r="BD99" s="72" t="str">
        <f t="shared" si="65"/>
        <v/>
      </c>
      <c r="BE99" s="72" t="str">
        <f t="shared" si="80"/>
        <v/>
      </c>
      <c r="BF99" s="39"/>
      <c r="BG99" s="42" t="str">
        <f t="shared" si="66"/>
        <v/>
      </c>
      <c r="BH99" s="72" t="str">
        <f t="shared" si="81"/>
        <v/>
      </c>
      <c r="BI99" s="39"/>
      <c r="BJ99" s="40" t="str">
        <f t="shared" si="82"/>
        <v/>
      </c>
      <c r="BK99" s="157" t="str">
        <f t="shared" si="83"/>
        <v/>
      </c>
      <c r="BL99" s="157" t="str">
        <f t="shared" si="67"/>
        <v/>
      </c>
      <c r="BM99" s="72"/>
      <c r="BN99" s="72" t="str">
        <f t="shared" si="84"/>
        <v/>
      </c>
      <c r="BO99" s="72" t="str">
        <f t="shared" si="85"/>
        <v/>
      </c>
      <c r="BP99" s="39"/>
      <c r="BQ99" s="72" t="str">
        <f t="shared" si="68"/>
        <v/>
      </c>
      <c r="BR99" s="72" t="str">
        <f t="shared" si="86"/>
        <v/>
      </c>
    </row>
    <row r="100" spans="2:70" x14ac:dyDescent="0.15">
      <c r="B100" s="9"/>
      <c r="C100" s="9"/>
      <c r="D100" s="9"/>
      <c r="E100" s="9"/>
      <c r="F100" s="93"/>
      <c r="G100" s="9"/>
      <c r="H100" s="9"/>
      <c r="I100" s="459">
        <f t="shared" si="87"/>
        <v>2105</v>
      </c>
      <c r="K100" s="71">
        <f t="shared" si="88"/>
        <v>86</v>
      </c>
      <c r="M100" s="7">
        <f t="shared" si="53"/>
        <v>7.8704338912457969E-2</v>
      </c>
      <c r="O100" s="10" t="str">
        <f t="shared" si="89"/>
        <v/>
      </c>
      <c r="P100" s="29" t="str">
        <f t="shared" si="54"/>
        <v/>
      </c>
      <c r="R100" s="10" t="str">
        <f t="shared" si="69"/>
        <v/>
      </c>
      <c r="T100" s="10" t="str">
        <f t="shared" si="70"/>
        <v/>
      </c>
      <c r="V100" s="10" t="str">
        <f t="shared" si="55"/>
        <v/>
      </c>
      <c r="W100" s="10" t="str">
        <f t="shared" si="71"/>
        <v/>
      </c>
      <c r="Y100" s="10" t="str">
        <f t="shared" si="56"/>
        <v/>
      </c>
      <c r="Z100" s="10" t="str">
        <f t="shared" si="72"/>
        <v/>
      </c>
      <c r="AB100" s="10" t="str">
        <f t="shared" si="57"/>
        <v/>
      </c>
      <c r="AC100" s="10" t="str">
        <f t="shared" si="52"/>
        <v/>
      </c>
      <c r="AE100" s="10" t="str">
        <f t="shared" si="58"/>
        <v/>
      </c>
      <c r="AF100" s="10" t="str">
        <f t="shared" si="73"/>
        <v/>
      </c>
      <c r="AH100" s="10" t="str">
        <f t="shared" si="59"/>
        <v/>
      </c>
      <c r="AI100" s="10" t="str">
        <f t="shared" si="74"/>
        <v/>
      </c>
      <c r="AK100" s="10" t="str">
        <f t="shared" si="60"/>
        <v/>
      </c>
      <c r="AL100" s="10" t="str">
        <f t="shared" si="75"/>
        <v/>
      </c>
      <c r="AN100" s="188" t="str">
        <f t="shared" si="61"/>
        <v/>
      </c>
      <c r="AO100" s="10" t="str">
        <f t="shared" si="76"/>
        <v/>
      </c>
      <c r="AQ100" s="10" t="str">
        <f t="shared" si="62"/>
        <v/>
      </c>
      <c r="AR100" s="10" t="str">
        <f t="shared" si="77"/>
        <v/>
      </c>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V100" s="10" t="str">
        <f t="shared" si="63"/>
        <v/>
      </c>
      <c r="AW100" s="10" t="str">
        <f t="shared" si="78"/>
        <v/>
      </c>
      <c r="AY100" s="7" t="s">
        <v>127</v>
      </c>
      <c r="BA100" s="11" t="str">
        <f t="shared" si="64"/>
        <v/>
      </c>
      <c r="BB100" s="10" t="str">
        <f t="shared" si="79"/>
        <v/>
      </c>
      <c r="BD100" s="10" t="str">
        <f t="shared" si="65"/>
        <v/>
      </c>
      <c r="BE100" s="10" t="str">
        <f t="shared" si="80"/>
        <v/>
      </c>
      <c r="BG100" s="11" t="str">
        <f t="shared" si="66"/>
        <v/>
      </c>
      <c r="BH100" s="10" t="str">
        <f t="shared" si="81"/>
        <v/>
      </c>
      <c r="BJ100" s="7" t="str">
        <f t="shared" si="82"/>
        <v/>
      </c>
      <c r="BK100" s="158" t="str">
        <f t="shared" si="83"/>
        <v/>
      </c>
      <c r="BL100" s="158" t="str">
        <f t="shared" si="67"/>
        <v/>
      </c>
      <c r="BM100" s="10"/>
      <c r="BN100" s="10" t="str">
        <f t="shared" si="84"/>
        <v/>
      </c>
      <c r="BO100" s="10" t="str">
        <f t="shared" si="85"/>
        <v/>
      </c>
      <c r="BQ100" s="10" t="str">
        <f t="shared" si="68"/>
        <v/>
      </c>
      <c r="BR100" s="10" t="str">
        <f t="shared" si="86"/>
        <v/>
      </c>
    </row>
    <row r="101" spans="2:70" x14ac:dyDescent="0.15">
      <c r="B101" s="9"/>
      <c r="C101" s="9"/>
      <c r="D101" s="89" t="s">
        <v>201</v>
      </c>
      <c r="E101" s="89"/>
      <c r="F101" s="92"/>
      <c r="G101" s="89"/>
      <c r="H101" s="9"/>
      <c r="I101" s="458">
        <f t="shared" si="87"/>
        <v>2106</v>
      </c>
      <c r="J101" s="39"/>
      <c r="K101" s="39">
        <f t="shared" si="88"/>
        <v>87</v>
      </c>
      <c r="L101" s="39"/>
      <c r="M101" s="40">
        <f t="shared" si="53"/>
        <v>7.6411979526658208E-2</v>
      </c>
      <c r="N101" s="39"/>
      <c r="O101" s="72" t="str">
        <f t="shared" si="89"/>
        <v/>
      </c>
      <c r="P101" s="41" t="str">
        <f t="shared" si="54"/>
        <v/>
      </c>
      <c r="Q101" s="39"/>
      <c r="R101" s="72" t="str">
        <f t="shared" si="69"/>
        <v/>
      </c>
      <c r="S101" s="39"/>
      <c r="T101" s="72" t="str">
        <f t="shared" si="70"/>
        <v/>
      </c>
      <c r="U101" s="39"/>
      <c r="V101" s="72" t="str">
        <f t="shared" si="55"/>
        <v/>
      </c>
      <c r="W101" s="72" t="str">
        <f t="shared" si="71"/>
        <v/>
      </c>
      <c r="X101" s="39"/>
      <c r="Y101" s="72" t="str">
        <f t="shared" si="56"/>
        <v/>
      </c>
      <c r="Z101" s="72" t="str">
        <f t="shared" si="72"/>
        <v/>
      </c>
      <c r="AA101" s="39"/>
      <c r="AB101" s="72" t="str">
        <f t="shared" si="57"/>
        <v/>
      </c>
      <c r="AC101" s="72" t="str">
        <f t="shared" si="52"/>
        <v/>
      </c>
      <c r="AD101" s="39"/>
      <c r="AE101" s="72" t="str">
        <f t="shared" si="58"/>
        <v/>
      </c>
      <c r="AF101" s="72" t="str">
        <f t="shared" si="73"/>
        <v/>
      </c>
      <c r="AG101" s="39"/>
      <c r="AH101" s="72" t="str">
        <f t="shared" si="59"/>
        <v/>
      </c>
      <c r="AI101" s="72" t="str">
        <f t="shared" si="74"/>
        <v/>
      </c>
      <c r="AJ101" s="39"/>
      <c r="AK101" s="72" t="str">
        <f t="shared" si="60"/>
        <v/>
      </c>
      <c r="AL101" s="72" t="str">
        <f t="shared" si="75"/>
        <v/>
      </c>
      <c r="AM101" s="39"/>
      <c r="AN101" s="72" t="str">
        <f t="shared" si="61"/>
        <v/>
      </c>
      <c r="AO101" s="72" t="str">
        <f t="shared" si="76"/>
        <v/>
      </c>
      <c r="AP101" s="39"/>
      <c r="AQ101" s="72" t="str">
        <f t="shared" si="62"/>
        <v/>
      </c>
      <c r="AR101" s="72" t="str">
        <f t="shared" si="77"/>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63"/>
        <v/>
      </c>
      <c r="AW101" s="72" t="str">
        <f t="shared" si="78"/>
        <v/>
      </c>
      <c r="AX101" s="39"/>
      <c r="AY101" s="40" t="s">
        <v>127</v>
      </c>
      <c r="AZ101" s="39"/>
      <c r="BA101" s="42" t="str">
        <f t="shared" si="64"/>
        <v/>
      </c>
      <c r="BB101" s="72" t="str">
        <f t="shared" si="79"/>
        <v/>
      </c>
      <c r="BC101" s="39"/>
      <c r="BD101" s="72" t="str">
        <f t="shared" si="65"/>
        <v/>
      </c>
      <c r="BE101" s="72" t="str">
        <f t="shared" si="80"/>
        <v/>
      </c>
      <c r="BF101" s="39"/>
      <c r="BG101" s="42" t="str">
        <f t="shared" si="66"/>
        <v/>
      </c>
      <c r="BH101" s="72" t="str">
        <f t="shared" si="81"/>
        <v/>
      </c>
      <c r="BI101" s="39"/>
      <c r="BJ101" s="40" t="str">
        <f t="shared" si="82"/>
        <v/>
      </c>
      <c r="BK101" s="157" t="str">
        <f t="shared" si="83"/>
        <v/>
      </c>
      <c r="BL101" s="157" t="str">
        <f t="shared" si="67"/>
        <v/>
      </c>
      <c r="BM101" s="72"/>
      <c r="BN101" s="72" t="str">
        <f t="shared" si="84"/>
        <v/>
      </c>
      <c r="BO101" s="72" t="str">
        <f t="shared" si="85"/>
        <v/>
      </c>
      <c r="BP101" s="39"/>
      <c r="BQ101" s="72" t="str">
        <f t="shared" si="68"/>
        <v/>
      </c>
      <c r="BR101" s="72" t="str">
        <f t="shared" si="86"/>
        <v/>
      </c>
    </row>
    <row r="102" spans="2:70" x14ac:dyDescent="0.15">
      <c r="B102" s="9"/>
      <c r="C102" s="9"/>
      <c r="D102" s="9"/>
      <c r="E102" s="9"/>
      <c r="F102" s="93"/>
      <c r="G102" s="9"/>
      <c r="H102" s="9"/>
      <c r="I102" s="459">
        <f t="shared" si="87"/>
        <v>2107</v>
      </c>
      <c r="K102" s="71">
        <f t="shared" si="88"/>
        <v>88</v>
      </c>
      <c r="M102" s="7">
        <f t="shared" si="53"/>
        <v>7.4186387889959446E-2</v>
      </c>
      <c r="O102" s="10" t="str">
        <f t="shared" si="89"/>
        <v/>
      </c>
      <c r="P102" s="29" t="str">
        <f t="shared" si="54"/>
        <v/>
      </c>
      <c r="R102" s="10" t="str">
        <f t="shared" si="69"/>
        <v/>
      </c>
      <c r="T102" s="10" t="str">
        <f t="shared" si="70"/>
        <v/>
      </c>
      <c r="V102" s="10" t="str">
        <f t="shared" si="55"/>
        <v/>
      </c>
      <c r="W102" s="10" t="str">
        <f t="shared" si="71"/>
        <v/>
      </c>
      <c r="Y102" s="10" t="str">
        <f t="shared" si="56"/>
        <v/>
      </c>
      <c r="Z102" s="10" t="str">
        <f t="shared" si="72"/>
        <v/>
      </c>
      <c r="AB102" s="10" t="str">
        <f t="shared" si="57"/>
        <v/>
      </c>
      <c r="AC102" s="10" t="str">
        <f t="shared" si="52"/>
        <v/>
      </c>
      <c r="AE102" s="10" t="str">
        <f t="shared" si="58"/>
        <v/>
      </c>
      <c r="AF102" s="10" t="str">
        <f t="shared" si="73"/>
        <v/>
      </c>
      <c r="AH102" s="10" t="str">
        <f t="shared" si="59"/>
        <v/>
      </c>
      <c r="AI102" s="10" t="str">
        <f t="shared" si="74"/>
        <v/>
      </c>
      <c r="AK102" s="10" t="str">
        <f t="shared" si="60"/>
        <v/>
      </c>
      <c r="AL102" s="10" t="str">
        <f t="shared" si="75"/>
        <v/>
      </c>
      <c r="AN102" s="188" t="str">
        <f t="shared" si="61"/>
        <v/>
      </c>
      <c r="AO102" s="10" t="str">
        <f t="shared" si="76"/>
        <v/>
      </c>
      <c r="AQ102" s="10" t="str">
        <f t="shared" si="62"/>
        <v/>
      </c>
      <c r="AR102" s="10" t="str">
        <f t="shared" si="77"/>
        <v/>
      </c>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V102" s="10" t="str">
        <f t="shared" si="63"/>
        <v/>
      </c>
      <c r="AW102" s="10" t="str">
        <f t="shared" si="78"/>
        <v/>
      </c>
      <c r="AY102" s="7" t="s">
        <v>127</v>
      </c>
      <c r="BA102" s="11" t="str">
        <f t="shared" si="64"/>
        <v/>
      </c>
      <c r="BB102" s="10" t="str">
        <f t="shared" si="79"/>
        <v/>
      </c>
      <c r="BD102" s="10" t="str">
        <f t="shared" si="65"/>
        <v/>
      </c>
      <c r="BE102" s="10" t="str">
        <f t="shared" si="80"/>
        <v/>
      </c>
      <c r="BG102" s="11" t="str">
        <f t="shared" si="66"/>
        <v/>
      </c>
      <c r="BH102" s="10" t="str">
        <f t="shared" si="81"/>
        <v/>
      </c>
      <c r="BJ102" s="7" t="str">
        <f t="shared" si="82"/>
        <v/>
      </c>
      <c r="BK102" s="158" t="str">
        <f t="shared" si="83"/>
        <v/>
      </c>
      <c r="BL102" s="158" t="str">
        <f t="shared" si="67"/>
        <v/>
      </c>
      <c r="BM102" s="10"/>
      <c r="BN102" s="10" t="str">
        <f t="shared" si="84"/>
        <v/>
      </c>
      <c r="BO102" s="10" t="str">
        <f t="shared" si="85"/>
        <v/>
      </c>
      <c r="BQ102" s="10" t="str">
        <f t="shared" si="68"/>
        <v/>
      </c>
      <c r="BR102" s="10" t="str">
        <f t="shared" si="86"/>
        <v/>
      </c>
    </row>
    <row r="103" spans="2:70" x14ac:dyDescent="0.15">
      <c r="B103" s="9"/>
      <c r="C103" s="9"/>
      <c r="D103" s="9"/>
      <c r="E103" s="9" t="s">
        <v>202</v>
      </c>
      <c r="F103" s="91">
        <f>BB116/$BR$116</f>
        <v>0</v>
      </c>
      <c r="G103" s="9" t="s">
        <v>132</v>
      </c>
      <c r="H103" s="9"/>
      <c r="I103" s="458">
        <f t="shared" si="87"/>
        <v>2108</v>
      </c>
      <c r="J103" s="39"/>
      <c r="K103" s="39">
        <f t="shared" si="88"/>
        <v>89</v>
      </c>
      <c r="L103" s="39"/>
      <c r="M103" s="40">
        <f t="shared" si="53"/>
        <v>7.2025619310640235E-2</v>
      </c>
      <c r="N103" s="39"/>
      <c r="O103" s="72" t="str">
        <f t="shared" si="89"/>
        <v/>
      </c>
      <c r="P103" s="41" t="str">
        <f t="shared" si="54"/>
        <v/>
      </c>
      <c r="Q103" s="39"/>
      <c r="R103" s="72" t="str">
        <f t="shared" si="69"/>
        <v/>
      </c>
      <c r="S103" s="39"/>
      <c r="T103" s="72" t="str">
        <f t="shared" si="70"/>
        <v/>
      </c>
      <c r="U103" s="39"/>
      <c r="V103" s="72" t="str">
        <f t="shared" si="55"/>
        <v/>
      </c>
      <c r="W103" s="72" t="str">
        <f t="shared" si="71"/>
        <v/>
      </c>
      <c r="X103" s="39"/>
      <c r="Y103" s="72" t="str">
        <f t="shared" si="56"/>
        <v/>
      </c>
      <c r="Z103" s="72" t="str">
        <f t="shared" si="72"/>
        <v/>
      </c>
      <c r="AA103" s="39"/>
      <c r="AB103" s="72" t="str">
        <f t="shared" si="57"/>
        <v/>
      </c>
      <c r="AC103" s="72" t="str">
        <f t="shared" si="52"/>
        <v/>
      </c>
      <c r="AD103" s="39"/>
      <c r="AE103" s="72" t="str">
        <f t="shared" si="58"/>
        <v/>
      </c>
      <c r="AF103" s="72" t="str">
        <f t="shared" si="73"/>
        <v/>
      </c>
      <c r="AG103" s="39"/>
      <c r="AH103" s="72" t="str">
        <f t="shared" si="59"/>
        <v/>
      </c>
      <c r="AI103" s="72" t="str">
        <f t="shared" si="74"/>
        <v/>
      </c>
      <c r="AJ103" s="39"/>
      <c r="AK103" s="72" t="str">
        <f t="shared" si="60"/>
        <v/>
      </c>
      <c r="AL103" s="72" t="str">
        <f t="shared" si="75"/>
        <v/>
      </c>
      <c r="AM103" s="39"/>
      <c r="AN103" s="72" t="str">
        <f t="shared" si="61"/>
        <v/>
      </c>
      <c r="AO103" s="72" t="str">
        <f t="shared" si="76"/>
        <v/>
      </c>
      <c r="AP103" s="39"/>
      <c r="AQ103" s="72" t="str">
        <f t="shared" si="62"/>
        <v/>
      </c>
      <c r="AR103" s="72" t="str">
        <f t="shared" si="77"/>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63"/>
        <v/>
      </c>
      <c r="AW103" s="72" t="str">
        <f t="shared" si="78"/>
        <v/>
      </c>
      <c r="AX103" s="39"/>
      <c r="AY103" s="40" t="s">
        <v>127</v>
      </c>
      <c r="AZ103" s="39"/>
      <c r="BA103" s="42" t="str">
        <f t="shared" si="64"/>
        <v/>
      </c>
      <c r="BB103" s="72" t="str">
        <f t="shared" si="79"/>
        <v/>
      </c>
      <c r="BC103" s="39"/>
      <c r="BD103" s="72" t="str">
        <f t="shared" si="65"/>
        <v/>
      </c>
      <c r="BE103" s="72" t="str">
        <f t="shared" si="80"/>
        <v/>
      </c>
      <c r="BF103" s="39"/>
      <c r="BG103" s="42" t="str">
        <f t="shared" si="66"/>
        <v/>
      </c>
      <c r="BH103" s="72" t="str">
        <f t="shared" si="81"/>
        <v/>
      </c>
      <c r="BI103" s="39"/>
      <c r="BJ103" s="40" t="str">
        <f t="shared" si="82"/>
        <v/>
      </c>
      <c r="BK103" s="157" t="str">
        <f t="shared" si="83"/>
        <v/>
      </c>
      <c r="BL103" s="157" t="str">
        <f t="shared" si="67"/>
        <v/>
      </c>
      <c r="BM103" s="72"/>
      <c r="BN103" s="72" t="str">
        <f t="shared" si="84"/>
        <v/>
      </c>
      <c r="BO103" s="72" t="str">
        <f t="shared" si="85"/>
        <v/>
      </c>
      <c r="BP103" s="39"/>
      <c r="BQ103" s="72" t="str">
        <f t="shared" si="68"/>
        <v/>
      </c>
      <c r="BR103" s="72" t="str">
        <f t="shared" si="86"/>
        <v/>
      </c>
    </row>
    <row r="104" spans="2:70" x14ac:dyDescent="0.15">
      <c r="B104" s="9"/>
      <c r="C104" s="9"/>
      <c r="D104" s="9"/>
      <c r="E104" s="9" t="s">
        <v>203</v>
      </c>
      <c r="F104" s="91">
        <f>(F60/F61)/F62</f>
        <v>0.55494967203015144</v>
      </c>
      <c r="G104" s="9" t="s">
        <v>132</v>
      </c>
      <c r="H104" s="9"/>
      <c r="I104" s="459">
        <f t="shared" si="87"/>
        <v>2109</v>
      </c>
      <c r="K104" s="71">
        <f t="shared" si="88"/>
        <v>90</v>
      </c>
      <c r="M104" s="7">
        <f t="shared" si="53"/>
        <v>6.9927785738485654E-2</v>
      </c>
      <c r="O104" s="10" t="str">
        <f t="shared" si="89"/>
        <v/>
      </c>
      <c r="P104" s="29" t="str">
        <f t="shared" si="54"/>
        <v/>
      </c>
      <c r="R104" s="10" t="str">
        <f t="shared" si="69"/>
        <v/>
      </c>
      <c r="T104" s="10" t="str">
        <f t="shared" si="70"/>
        <v/>
      </c>
      <c r="V104" s="10" t="str">
        <f t="shared" si="55"/>
        <v/>
      </c>
      <c r="W104" s="10" t="str">
        <f t="shared" si="71"/>
        <v/>
      </c>
      <c r="Y104" s="10" t="str">
        <f t="shared" si="56"/>
        <v/>
      </c>
      <c r="Z104" s="10" t="str">
        <f t="shared" si="72"/>
        <v/>
      </c>
      <c r="AB104" s="10" t="str">
        <f t="shared" si="57"/>
        <v/>
      </c>
      <c r="AC104" s="10" t="str">
        <f t="shared" si="52"/>
        <v/>
      </c>
      <c r="AE104" s="10" t="str">
        <f t="shared" si="58"/>
        <v/>
      </c>
      <c r="AF104" s="10" t="str">
        <f t="shared" si="73"/>
        <v/>
      </c>
      <c r="AH104" s="10" t="str">
        <f t="shared" si="59"/>
        <v/>
      </c>
      <c r="AI104" s="10" t="str">
        <f t="shared" si="74"/>
        <v/>
      </c>
      <c r="AK104" s="10" t="str">
        <f t="shared" si="60"/>
        <v/>
      </c>
      <c r="AL104" s="10" t="str">
        <f t="shared" si="75"/>
        <v/>
      </c>
      <c r="AN104" s="188" t="str">
        <f t="shared" si="61"/>
        <v/>
      </c>
      <c r="AO104" s="10" t="str">
        <f t="shared" si="76"/>
        <v/>
      </c>
      <c r="AQ104" s="10" t="str">
        <f t="shared" si="62"/>
        <v/>
      </c>
      <c r="AR104" s="10" t="str">
        <f t="shared" si="77"/>
        <v/>
      </c>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V104" s="10" t="str">
        <f t="shared" si="63"/>
        <v/>
      </c>
      <c r="AW104" s="10" t="str">
        <f t="shared" si="78"/>
        <v/>
      </c>
      <c r="AY104" s="7" t="s">
        <v>127</v>
      </c>
      <c r="BA104" s="11" t="str">
        <f t="shared" si="64"/>
        <v/>
      </c>
      <c r="BB104" s="10" t="str">
        <f t="shared" si="79"/>
        <v/>
      </c>
      <c r="BD104" s="10" t="str">
        <f t="shared" si="65"/>
        <v/>
      </c>
      <c r="BE104" s="10" t="str">
        <f t="shared" si="80"/>
        <v/>
      </c>
      <c r="BG104" s="11" t="str">
        <f t="shared" si="66"/>
        <v/>
      </c>
      <c r="BH104" s="10" t="str">
        <f t="shared" si="81"/>
        <v/>
      </c>
      <c r="BJ104" s="7" t="str">
        <f t="shared" si="82"/>
        <v/>
      </c>
      <c r="BK104" s="158" t="str">
        <f t="shared" si="83"/>
        <v/>
      </c>
      <c r="BL104" s="158" t="str">
        <f t="shared" si="67"/>
        <v/>
      </c>
      <c r="BM104" s="10"/>
      <c r="BN104" s="10" t="str">
        <f t="shared" si="84"/>
        <v/>
      </c>
      <c r="BO104" s="10" t="str">
        <f t="shared" si="85"/>
        <v/>
      </c>
      <c r="BQ104" s="10" t="str">
        <f t="shared" si="68"/>
        <v/>
      </c>
      <c r="BR104" s="10" t="str">
        <f t="shared" si="86"/>
        <v/>
      </c>
    </row>
    <row r="105" spans="2:70" x14ac:dyDescent="0.15">
      <c r="B105" s="9"/>
      <c r="C105" s="9"/>
      <c r="D105" s="9"/>
      <c r="E105" s="9" t="s">
        <v>367</v>
      </c>
      <c r="F105" s="91">
        <f>F64</f>
        <v>1.306427</v>
      </c>
      <c r="G105" s="9" t="s">
        <v>132</v>
      </c>
      <c r="H105" s="9"/>
      <c r="I105" s="458">
        <f t="shared" si="87"/>
        <v>2110</v>
      </c>
      <c r="J105" s="39"/>
      <c r="K105" s="39">
        <f t="shared" si="88"/>
        <v>91</v>
      </c>
      <c r="L105" s="39"/>
      <c r="M105" s="40">
        <f t="shared" si="53"/>
        <v>6.7891054115034627E-2</v>
      </c>
      <c r="N105" s="39"/>
      <c r="O105" s="72" t="str">
        <f t="shared" si="89"/>
        <v/>
      </c>
      <c r="P105" s="41" t="str">
        <f t="shared" si="54"/>
        <v/>
      </c>
      <c r="Q105" s="39"/>
      <c r="R105" s="72" t="str">
        <f t="shared" si="69"/>
        <v/>
      </c>
      <c r="S105" s="39"/>
      <c r="T105" s="72" t="str">
        <f t="shared" si="70"/>
        <v/>
      </c>
      <c r="U105" s="39"/>
      <c r="V105" s="72" t="str">
        <f t="shared" si="55"/>
        <v/>
      </c>
      <c r="W105" s="72" t="str">
        <f t="shared" si="71"/>
        <v/>
      </c>
      <c r="X105" s="39"/>
      <c r="Y105" s="72" t="str">
        <f t="shared" si="56"/>
        <v/>
      </c>
      <c r="Z105" s="72" t="str">
        <f t="shared" si="72"/>
        <v/>
      </c>
      <c r="AA105" s="39"/>
      <c r="AB105" s="72" t="str">
        <f t="shared" si="57"/>
        <v/>
      </c>
      <c r="AC105" s="72" t="str">
        <f t="shared" si="52"/>
        <v/>
      </c>
      <c r="AD105" s="39"/>
      <c r="AE105" s="72" t="str">
        <f t="shared" si="58"/>
        <v/>
      </c>
      <c r="AF105" s="72" t="str">
        <f t="shared" si="73"/>
        <v/>
      </c>
      <c r="AG105" s="39"/>
      <c r="AH105" s="72" t="str">
        <f t="shared" si="59"/>
        <v/>
      </c>
      <c r="AI105" s="72" t="str">
        <f t="shared" si="74"/>
        <v/>
      </c>
      <c r="AJ105" s="39"/>
      <c r="AK105" s="72" t="str">
        <f t="shared" si="60"/>
        <v/>
      </c>
      <c r="AL105" s="72" t="str">
        <f t="shared" si="75"/>
        <v/>
      </c>
      <c r="AM105" s="39"/>
      <c r="AN105" s="72" t="str">
        <f t="shared" si="61"/>
        <v/>
      </c>
      <c r="AO105" s="72" t="str">
        <f t="shared" si="76"/>
        <v/>
      </c>
      <c r="AP105" s="39"/>
      <c r="AQ105" s="72" t="str">
        <f t="shared" si="62"/>
        <v/>
      </c>
      <c r="AR105" s="72" t="str">
        <f t="shared" si="77"/>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63"/>
        <v/>
      </c>
      <c r="AW105" s="72" t="str">
        <f t="shared" si="78"/>
        <v/>
      </c>
      <c r="AX105" s="39"/>
      <c r="AY105" s="40" t="s">
        <v>127</v>
      </c>
      <c r="AZ105" s="39"/>
      <c r="BA105" s="42" t="str">
        <f t="shared" si="64"/>
        <v/>
      </c>
      <c r="BB105" s="72" t="str">
        <f t="shared" si="79"/>
        <v/>
      </c>
      <c r="BC105" s="39"/>
      <c r="BD105" s="72" t="str">
        <f t="shared" si="65"/>
        <v/>
      </c>
      <c r="BE105" s="72" t="str">
        <f t="shared" si="80"/>
        <v/>
      </c>
      <c r="BF105" s="39"/>
      <c r="BG105" s="42" t="str">
        <f t="shared" si="66"/>
        <v/>
      </c>
      <c r="BH105" s="72" t="str">
        <f t="shared" si="81"/>
        <v/>
      </c>
      <c r="BI105" s="39"/>
      <c r="BJ105" s="40" t="str">
        <f t="shared" si="82"/>
        <v/>
      </c>
      <c r="BK105" s="157" t="str">
        <f t="shared" si="83"/>
        <v/>
      </c>
      <c r="BL105" s="157" t="str">
        <f t="shared" si="67"/>
        <v/>
      </c>
      <c r="BM105" s="72"/>
      <c r="BN105" s="72" t="str">
        <f t="shared" si="84"/>
        <v/>
      </c>
      <c r="BO105" s="72" t="str">
        <f t="shared" si="85"/>
        <v/>
      </c>
      <c r="BP105" s="39"/>
      <c r="BQ105" s="72" t="str">
        <f t="shared" si="68"/>
        <v/>
      </c>
      <c r="BR105" s="72" t="str">
        <f t="shared" si="86"/>
        <v/>
      </c>
    </row>
    <row r="106" spans="2:70" x14ac:dyDescent="0.15">
      <c r="B106" s="9"/>
      <c r="C106" s="9"/>
      <c r="D106" s="9"/>
      <c r="E106" s="9"/>
      <c r="F106" s="93"/>
      <c r="G106" s="9"/>
      <c r="H106" s="9"/>
      <c r="I106" s="459">
        <f t="shared" si="87"/>
        <v>2111</v>
      </c>
      <c r="K106" s="71">
        <f t="shared" si="88"/>
        <v>92</v>
      </c>
      <c r="M106" s="7">
        <f t="shared" si="53"/>
        <v>6.5913644771878277E-2</v>
      </c>
      <c r="O106" s="10" t="str">
        <f t="shared" si="89"/>
        <v/>
      </c>
      <c r="P106" s="29" t="str">
        <f t="shared" si="54"/>
        <v/>
      </c>
      <c r="R106" s="10" t="str">
        <f t="shared" si="69"/>
        <v/>
      </c>
      <c r="T106" s="10" t="str">
        <f t="shared" si="70"/>
        <v/>
      </c>
      <c r="V106" s="10" t="str">
        <f t="shared" si="55"/>
        <v/>
      </c>
      <c r="W106" s="10" t="str">
        <f t="shared" si="71"/>
        <v/>
      </c>
      <c r="Y106" s="10" t="str">
        <f t="shared" si="56"/>
        <v/>
      </c>
      <c r="Z106" s="10" t="str">
        <f t="shared" si="72"/>
        <v/>
      </c>
      <c r="AB106" s="10" t="str">
        <f t="shared" si="57"/>
        <v/>
      </c>
      <c r="AC106" s="10" t="str">
        <f t="shared" si="52"/>
        <v/>
      </c>
      <c r="AE106" s="10" t="str">
        <f t="shared" si="58"/>
        <v/>
      </c>
      <c r="AF106" s="10" t="str">
        <f t="shared" si="73"/>
        <v/>
      </c>
      <c r="AH106" s="10" t="str">
        <f t="shared" si="59"/>
        <v/>
      </c>
      <c r="AI106" s="10" t="str">
        <f t="shared" si="74"/>
        <v/>
      </c>
      <c r="AK106" s="10" t="str">
        <f t="shared" si="60"/>
        <v/>
      </c>
      <c r="AL106" s="10" t="str">
        <f t="shared" si="75"/>
        <v/>
      </c>
      <c r="AN106" s="188" t="str">
        <f t="shared" si="61"/>
        <v/>
      </c>
      <c r="AO106" s="10" t="str">
        <f t="shared" si="76"/>
        <v/>
      </c>
      <c r="AQ106" s="10" t="str">
        <f t="shared" si="62"/>
        <v/>
      </c>
      <c r="AR106" s="10" t="str">
        <f t="shared" si="77"/>
        <v/>
      </c>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V106" s="10" t="str">
        <f t="shared" si="63"/>
        <v/>
      </c>
      <c r="AW106" s="10" t="str">
        <f t="shared" si="78"/>
        <v/>
      </c>
      <c r="AY106" s="7" t="s">
        <v>127</v>
      </c>
      <c r="BA106" s="11" t="str">
        <f t="shared" si="64"/>
        <v/>
      </c>
      <c r="BB106" s="10" t="str">
        <f t="shared" si="79"/>
        <v/>
      </c>
      <c r="BD106" s="10" t="str">
        <f t="shared" si="65"/>
        <v/>
      </c>
      <c r="BE106" s="10" t="str">
        <f t="shared" si="80"/>
        <v/>
      </c>
      <c r="BG106" s="11" t="str">
        <f t="shared" si="66"/>
        <v/>
      </c>
      <c r="BH106" s="10" t="str">
        <f t="shared" si="81"/>
        <v/>
      </c>
      <c r="BJ106" s="7" t="str">
        <f t="shared" si="82"/>
        <v/>
      </c>
      <c r="BK106" s="158" t="str">
        <f t="shared" si="83"/>
        <v/>
      </c>
      <c r="BL106" s="158" t="str">
        <f t="shared" si="67"/>
        <v/>
      </c>
      <c r="BM106" s="10"/>
      <c r="BN106" s="10" t="str">
        <f t="shared" si="84"/>
        <v/>
      </c>
      <c r="BO106" s="10" t="str">
        <f t="shared" si="85"/>
        <v/>
      </c>
      <c r="BQ106" s="10" t="str">
        <f t="shared" si="68"/>
        <v/>
      </c>
      <c r="BR106" s="10" t="str">
        <f t="shared" si="86"/>
        <v/>
      </c>
    </row>
    <row r="107" spans="2:70" ht="15" x14ac:dyDescent="0.15">
      <c r="B107" s="9"/>
      <c r="C107" s="9"/>
      <c r="D107" s="462" t="s">
        <v>204</v>
      </c>
      <c r="E107" s="9"/>
      <c r="F107" s="94">
        <f>SUBTOTAL(9,F111:F112)</f>
        <v>0</v>
      </c>
      <c r="G107" s="9" t="s">
        <v>132</v>
      </c>
      <c r="H107" s="9"/>
      <c r="I107" s="458">
        <f t="shared" si="87"/>
        <v>2112</v>
      </c>
      <c r="J107" s="39"/>
      <c r="K107" s="39">
        <f t="shared" si="88"/>
        <v>93</v>
      </c>
      <c r="L107" s="39"/>
      <c r="M107" s="40">
        <f t="shared" si="53"/>
        <v>6.3993829875609989E-2</v>
      </c>
      <c r="N107" s="39"/>
      <c r="O107" s="72" t="str">
        <f t="shared" si="89"/>
        <v/>
      </c>
      <c r="P107" s="41" t="str">
        <f t="shared" si="54"/>
        <v/>
      </c>
      <c r="Q107" s="39"/>
      <c r="R107" s="72" t="str">
        <f t="shared" si="69"/>
        <v/>
      </c>
      <c r="S107" s="39"/>
      <c r="T107" s="72" t="str">
        <f t="shared" si="70"/>
        <v/>
      </c>
      <c r="U107" s="39"/>
      <c r="V107" s="72" t="str">
        <f t="shared" si="55"/>
        <v/>
      </c>
      <c r="W107" s="72" t="str">
        <f t="shared" si="71"/>
        <v/>
      </c>
      <c r="X107" s="39"/>
      <c r="Y107" s="72" t="str">
        <f t="shared" si="56"/>
        <v/>
      </c>
      <c r="Z107" s="72" t="str">
        <f t="shared" si="72"/>
        <v/>
      </c>
      <c r="AA107" s="39"/>
      <c r="AB107" s="72" t="str">
        <f t="shared" si="57"/>
        <v/>
      </c>
      <c r="AC107" s="72" t="str">
        <f t="shared" si="52"/>
        <v/>
      </c>
      <c r="AD107" s="39"/>
      <c r="AE107" s="72" t="str">
        <f t="shared" si="58"/>
        <v/>
      </c>
      <c r="AF107" s="72" t="str">
        <f t="shared" si="73"/>
        <v/>
      </c>
      <c r="AG107" s="39"/>
      <c r="AH107" s="72" t="str">
        <f t="shared" si="59"/>
        <v/>
      </c>
      <c r="AI107" s="72" t="str">
        <f t="shared" si="74"/>
        <v/>
      </c>
      <c r="AJ107" s="39"/>
      <c r="AK107" s="72" t="str">
        <f t="shared" si="60"/>
        <v/>
      </c>
      <c r="AL107" s="72" t="str">
        <f t="shared" si="75"/>
        <v/>
      </c>
      <c r="AM107" s="39"/>
      <c r="AN107" s="72" t="str">
        <f t="shared" si="61"/>
        <v/>
      </c>
      <c r="AO107" s="72" t="str">
        <f t="shared" si="76"/>
        <v/>
      </c>
      <c r="AP107" s="39"/>
      <c r="AQ107" s="72" t="str">
        <f t="shared" si="62"/>
        <v/>
      </c>
      <c r="AR107" s="72" t="str">
        <f t="shared" si="77"/>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63"/>
        <v/>
      </c>
      <c r="AW107" s="72" t="str">
        <f t="shared" si="78"/>
        <v/>
      </c>
      <c r="AX107" s="39"/>
      <c r="AY107" s="40" t="s">
        <v>127</v>
      </c>
      <c r="AZ107" s="39"/>
      <c r="BA107" s="42" t="str">
        <f t="shared" si="64"/>
        <v/>
      </c>
      <c r="BB107" s="72" t="str">
        <f t="shared" si="79"/>
        <v/>
      </c>
      <c r="BC107" s="39"/>
      <c r="BD107" s="72" t="str">
        <f t="shared" si="65"/>
        <v/>
      </c>
      <c r="BE107" s="72" t="str">
        <f t="shared" si="80"/>
        <v/>
      </c>
      <c r="BF107" s="39"/>
      <c r="BG107" s="42" t="str">
        <f t="shared" si="66"/>
        <v/>
      </c>
      <c r="BH107" s="72" t="str">
        <f t="shared" si="81"/>
        <v/>
      </c>
      <c r="BI107" s="39"/>
      <c r="BJ107" s="40" t="str">
        <f t="shared" si="82"/>
        <v/>
      </c>
      <c r="BK107" s="157" t="str">
        <f t="shared" si="83"/>
        <v/>
      </c>
      <c r="BL107" s="157" t="str">
        <f t="shared" si="67"/>
        <v/>
      </c>
      <c r="BM107" s="72"/>
      <c r="BN107" s="72" t="str">
        <f t="shared" si="84"/>
        <v/>
      </c>
      <c r="BO107" s="72" t="str">
        <f t="shared" si="85"/>
        <v/>
      </c>
      <c r="BP107" s="39"/>
      <c r="BQ107" s="72" t="str">
        <f t="shared" si="68"/>
        <v/>
      </c>
      <c r="BR107" s="72" t="str">
        <f t="shared" si="86"/>
        <v/>
      </c>
    </row>
    <row r="108" spans="2:70" ht="15" x14ac:dyDescent="0.15">
      <c r="B108" s="9"/>
      <c r="C108" s="9"/>
      <c r="D108" s="462"/>
      <c r="E108" s="9"/>
      <c r="F108" s="93"/>
      <c r="G108" s="9"/>
      <c r="H108" s="9"/>
      <c r="I108" s="459">
        <f t="shared" si="87"/>
        <v>2113</v>
      </c>
      <c r="K108" s="71">
        <f t="shared" si="88"/>
        <v>94</v>
      </c>
      <c r="M108" s="7">
        <f t="shared" si="53"/>
        <v>6.212993191806794E-2</v>
      </c>
      <c r="O108" s="10" t="str">
        <f t="shared" si="89"/>
        <v/>
      </c>
      <c r="P108" s="29" t="str">
        <f t="shared" si="54"/>
        <v/>
      </c>
      <c r="R108" s="10" t="str">
        <f t="shared" si="69"/>
        <v/>
      </c>
      <c r="T108" s="10" t="str">
        <f t="shared" si="70"/>
        <v/>
      </c>
      <c r="V108" s="10" t="str">
        <f t="shared" si="55"/>
        <v/>
      </c>
      <c r="W108" s="10" t="str">
        <f t="shared" si="71"/>
        <v/>
      </c>
      <c r="Y108" s="10" t="str">
        <f t="shared" si="56"/>
        <v/>
      </c>
      <c r="Z108" s="10" t="str">
        <f t="shared" si="72"/>
        <v/>
      </c>
      <c r="AB108" s="10" t="str">
        <f t="shared" si="57"/>
        <v/>
      </c>
      <c r="AC108" s="10" t="str">
        <f t="shared" si="52"/>
        <v/>
      </c>
      <c r="AE108" s="10" t="str">
        <f t="shared" si="58"/>
        <v/>
      </c>
      <c r="AF108" s="10" t="str">
        <f t="shared" si="73"/>
        <v/>
      </c>
      <c r="AH108" s="10" t="str">
        <f t="shared" si="59"/>
        <v/>
      </c>
      <c r="AI108" s="10" t="str">
        <f t="shared" si="74"/>
        <v/>
      </c>
      <c r="AK108" s="10" t="str">
        <f t="shared" si="60"/>
        <v/>
      </c>
      <c r="AL108" s="10" t="str">
        <f t="shared" si="75"/>
        <v/>
      </c>
      <c r="AN108" s="188" t="str">
        <f t="shared" si="61"/>
        <v/>
      </c>
      <c r="AO108" s="10" t="str">
        <f t="shared" si="76"/>
        <v/>
      </c>
      <c r="AQ108" s="10" t="str">
        <f t="shared" si="62"/>
        <v/>
      </c>
      <c r="AR108" s="10" t="str">
        <f t="shared" si="77"/>
        <v/>
      </c>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V108" s="10" t="str">
        <f t="shared" si="63"/>
        <v/>
      </c>
      <c r="AW108" s="10" t="str">
        <f t="shared" si="78"/>
        <v/>
      </c>
      <c r="AY108" s="7" t="s">
        <v>127</v>
      </c>
      <c r="BA108" s="11" t="str">
        <f t="shared" si="64"/>
        <v/>
      </c>
      <c r="BB108" s="10" t="str">
        <f t="shared" si="79"/>
        <v/>
      </c>
      <c r="BD108" s="10" t="str">
        <f t="shared" si="65"/>
        <v/>
      </c>
      <c r="BE108" s="10" t="str">
        <f t="shared" si="80"/>
        <v/>
      </c>
      <c r="BG108" s="11" t="str">
        <f t="shared" si="66"/>
        <v/>
      </c>
      <c r="BH108" s="10" t="str">
        <f t="shared" si="81"/>
        <v/>
      </c>
      <c r="BJ108" s="7" t="str">
        <f t="shared" si="82"/>
        <v/>
      </c>
      <c r="BK108" s="158" t="str">
        <f t="shared" si="83"/>
        <v/>
      </c>
      <c r="BL108" s="158" t="str">
        <f t="shared" si="67"/>
        <v/>
      </c>
      <c r="BM108" s="10"/>
      <c r="BN108" s="10" t="str">
        <f t="shared" si="84"/>
        <v/>
      </c>
      <c r="BO108" s="10" t="str">
        <f t="shared" si="85"/>
        <v/>
      </c>
      <c r="BQ108" s="10" t="str">
        <f t="shared" si="68"/>
        <v/>
      </c>
      <c r="BR108" s="10" t="str">
        <f t="shared" si="86"/>
        <v/>
      </c>
    </row>
    <row r="109" spans="2:70" x14ac:dyDescent="0.15">
      <c r="B109" s="9"/>
      <c r="C109" s="9"/>
      <c r="D109" s="89" t="s">
        <v>205</v>
      </c>
      <c r="E109" s="89"/>
      <c r="F109" s="92"/>
      <c r="G109" s="89"/>
      <c r="H109" s="9"/>
      <c r="I109" s="458">
        <f t="shared" si="87"/>
        <v>2114</v>
      </c>
      <c r="J109" s="39"/>
      <c r="K109" s="39">
        <f t="shared" si="88"/>
        <v>95</v>
      </c>
      <c r="L109" s="39"/>
      <c r="M109" s="40">
        <f t="shared" si="53"/>
        <v>6.0320322250551395E-2</v>
      </c>
      <c r="N109" s="39"/>
      <c r="O109" s="72" t="str">
        <f t="shared" si="89"/>
        <v/>
      </c>
      <c r="P109" s="41" t="str">
        <f t="shared" si="54"/>
        <v/>
      </c>
      <c r="Q109" s="39"/>
      <c r="R109" s="72" t="str">
        <f t="shared" si="69"/>
        <v/>
      </c>
      <c r="S109" s="39"/>
      <c r="T109" s="72" t="str">
        <f t="shared" si="70"/>
        <v/>
      </c>
      <c r="U109" s="39"/>
      <c r="V109" s="72" t="str">
        <f t="shared" si="55"/>
        <v/>
      </c>
      <c r="W109" s="72" t="str">
        <f t="shared" si="71"/>
        <v/>
      </c>
      <c r="X109" s="39"/>
      <c r="Y109" s="72" t="str">
        <f t="shared" si="56"/>
        <v/>
      </c>
      <c r="Z109" s="72" t="str">
        <f t="shared" si="72"/>
        <v/>
      </c>
      <c r="AA109" s="39"/>
      <c r="AB109" s="72" t="str">
        <f t="shared" si="57"/>
        <v/>
      </c>
      <c r="AC109" s="72" t="str">
        <f t="shared" si="52"/>
        <v/>
      </c>
      <c r="AD109" s="39"/>
      <c r="AE109" s="72" t="str">
        <f t="shared" si="58"/>
        <v/>
      </c>
      <c r="AF109" s="72" t="str">
        <f t="shared" si="73"/>
        <v/>
      </c>
      <c r="AG109" s="39"/>
      <c r="AH109" s="72" t="str">
        <f t="shared" si="59"/>
        <v/>
      </c>
      <c r="AI109" s="72" t="str">
        <f t="shared" si="74"/>
        <v/>
      </c>
      <c r="AJ109" s="39"/>
      <c r="AK109" s="72" t="str">
        <f t="shared" si="60"/>
        <v/>
      </c>
      <c r="AL109" s="72" t="str">
        <f t="shared" si="75"/>
        <v/>
      </c>
      <c r="AM109" s="39"/>
      <c r="AN109" s="72" t="str">
        <f t="shared" si="61"/>
        <v/>
      </c>
      <c r="AO109" s="72" t="str">
        <f t="shared" si="76"/>
        <v/>
      </c>
      <c r="AP109" s="39"/>
      <c r="AQ109" s="72" t="str">
        <f t="shared" si="62"/>
        <v/>
      </c>
      <c r="AR109" s="72" t="str">
        <f t="shared" si="77"/>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63"/>
        <v/>
      </c>
      <c r="AW109" s="72" t="str">
        <f t="shared" si="78"/>
        <v/>
      </c>
      <c r="AX109" s="39"/>
      <c r="AY109" s="40" t="s">
        <v>127</v>
      </c>
      <c r="AZ109" s="39"/>
      <c r="BA109" s="42" t="str">
        <f t="shared" si="64"/>
        <v/>
      </c>
      <c r="BB109" s="72" t="str">
        <f t="shared" si="79"/>
        <v/>
      </c>
      <c r="BC109" s="39"/>
      <c r="BD109" s="72" t="str">
        <f t="shared" si="65"/>
        <v/>
      </c>
      <c r="BE109" s="72" t="str">
        <f t="shared" si="80"/>
        <v/>
      </c>
      <c r="BF109" s="39"/>
      <c r="BG109" s="42" t="str">
        <f t="shared" si="66"/>
        <v/>
      </c>
      <c r="BH109" s="72" t="str">
        <f t="shared" si="81"/>
        <v/>
      </c>
      <c r="BI109" s="39"/>
      <c r="BJ109" s="40" t="str">
        <f t="shared" si="82"/>
        <v/>
      </c>
      <c r="BK109" s="157" t="str">
        <f t="shared" si="83"/>
        <v/>
      </c>
      <c r="BL109" s="157" t="str">
        <f t="shared" si="67"/>
        <v/>
      </c>
      <c r="BM109" s="72"/>
      <c r="BN109" s="72" t="str">
        <f t="shared" si="84"/>
        <v/>
      </c>
      <c r="BO109" s="72" t="str">
        <f t="shared" si="85"/>
        <v/>
      </c>
      <c r="BP109" s="39"/>
      <c r="BQ109" s="72" t="str">
        <f t="shared" si="68"/>
        <v/>
      </c>
      <c r="BR109" s="72" t="str">
        <f t="shared" si="86"/>
        <v/>
      </c>
    </row>
    <row r="110" spans="2:70" ht="15" x14ac:dyDescent="0.15">
      <c r="B110" s="9"/>
      <c r="C110" s="9"/>
      <c r="D110" s="462"/>
      <c r="E110" s="9"/>
      <c r="F110" s="93"/>
      <c r="G110" s="9"/>
      <c r="H110" s="9"/>
      <c r="I110" s="459">
        <f t="shared" si="87"/>
        <v>2115</v>
      </c>
      <c r="K110" s="71">
        <f t="shared" si="88"/>
        <v>96</v>
      </c>
      <c r="M110" s="7">
        <f t="shared" si="53"/>
        <v>5.8563419660729518E-2</v>
      </c>
      <c r="O110" s="10" t="str">
        <f t="shared" si="89"/>
        <v/>
      </c>
      <c r="P110" s="29" t="str">
        <f t="shared" si="54"/>
        <v/>
      </c>
      <c r="R110" s="10" t="str">
        <f t="shared" si="69"/>
        <v/>
      </c>
      <c r="T110" s="10" t="str">
        <f t="shared" si="70"/>
        <v/>
      </c>
      <c r="V110" s="10" t="str">
        <f t="shared" si="55"/>
        <v/>
      </c>
      <c r="W110" s="10" t="str">
        <f t="shared" si="71"/>
        <v/>
      </c>
      <c r="Y110" s="10" t="str">
        <f t="shared" si="56"/>
        <v/>
      </c>
      <c r="Z110" s="10" t="str">
        <f t="shared" si="72"/>
        <v/>
      </c>
      <c r="AB110" s="10" t="str">
        <f t="shared" si="57"/>
        <v/>
      </c>
      <c r="AC110" s="10" t="str">
        <f t="shared" si="52"/>
        <v/>
      </c>
      <c r="AE110" s="10" t="str">
        <f t="shared" si="58"/>
        <v/>
      </c>
      <c r="AF110" s="10" t="str">
        <f t="shared" si="73"/>
        <v/>
      </c>
      <c r="AH110" s="10" t="str">
        <f t="shared" si="59"/>
        <v/>
      </c>
      <c r="AI110" s="10" t="str">
        <f t="shared" si="74"/>
        <v/>
      </c>
      <c r="AK110" s="10" t="str">
        <f t="shared" si="60"/>
        <v/>
      </c>
      <c r="AL110" s="10" t="str">
        <f t="shared" si="75"/>
        <v/>
      </c>
      <c r="AN110" s="188" t="str">
        <f t="shared" si="61"/>
        <v/>
      </c>
      <c r="AO110" s="10" t="str">
        <f t="shared" si="76"/>
        <v/>
      </c>
      <c r="AQ110" s="10" t="str">
        <f t="shared" si="62"/>
        <v/>
      </c>
      <c r="AR110" s="10" t="str">
        <f t="shared" si="77"/>
        <v/>
      </c>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V110" s="10" t="str">
        <f t="shared" si="63"/>
        <v/>
      </c>
      <c r="AW110" s="10" t="str">
        <f t="shared" si="78"/>
        <v/>
      </c>
      <c r="AY110" s="7" t="s">
        <v>127</v>
      </c>
      <c r="BA110" s="11" t="str">
        <f t="shared" si="64"/>
        <v/>
      </c>
      <c r="BB110" s="10" t="str">
        <f t="shared" si="79"/>
        <v/>
      </c>
      <c r="BD110" s="10" t="str">
        <f t="shared" si="65"/>
        <v/>
      </c>
      <c r="BE110" s="10" t="str">
        <f t="shared" si="80"/>
        <v/>
      </c>
      <c r="BG110" s="11" t="str">
        <f t="shared" si="66"/>
        <v/>
      </c>
      <c r="BH110" s="10" t="str">
        <f t="shared" si="81"/>
        <v/>
      </c>
      <c r="BJ110" s="7" t="str">
        <f t="shared" si="82"/>
        <v/>
      </c>
      <c r="BK110" s="158" t="str">
        <f t="shared" si="83"/>
        <v/>
      </c>
      <c r="BL110" s="158" t="str">
        <f t="shared" si="67"/>
        <v/>
      </c>
      <c r="BM110" s="10"/>
      <c r="BN110" s="10" t="str">
        <f t="shared" si="84"/>
        <v/>
      </c>
      <c r="BO110" s="10" t="str">
        <f t="shared" si="85"/>
        <v/>
      </c>
      <c r="BQ110" s="10" t="str">
        <f t="shared" si="68"/>
        <v/>
      </c>
      <c r="BR110" s="10" t="str">
        <f t="shared" si="86"/>
        <v/>
      </c>
    </row>
    <row r="111" spans="2:70" ht="15" x14ac:dyDescent="0.15">
      <c r="B111" s="9"/>
      <c r="C111" s="9"/>
      <c r="D111" s="462"/>
      <c r="E111" s="9" t="s">
        <v>206</v>
      </c>
      <c r="F111" s="91">
        <f>-BE116/BR116</f>
        <v>0</v>
      </c>
      <c r="G111" s="9" t="s">
        <v>132</v>
      </c>
      <c r="H111" s="9"/>
      <c r="I111" s="458">
        <f t="shared" si="87"/>
        <v>2116</v>
      </c>
      <c r="J111" s="39"/>
      <c r="K111" s="39">
        <f t="shared" si="88"/>
        <v>97</v>
      </c>
      <c r="L111" s="39"/>
      <c r="M111" s="40">
        <f t="shared" si="53"/>
        <v>5.6857688990999529E-2</v>
      </c>
      <c r="N111" s="39"/>
      <c r="O111" s="72" t="str">
        <f t="shared" si="89"/>
        <v/>
      </c>
      <c r="P111" s="41" t="str">
        <f>IF(K111&lt;=$F$15,IF(OR(P110=$F$124,P110="-"),"-",IF(O111*$F$123&gt;$F$127,$F$123,$F$124)),"")</f>
        <v/>
      </c>
      <c r="Q111" s="39"/>
      <c r="R111" s="72" t="str">
        <f t="shared" si="69"/>
        <v/>
      </c>
      <c r="S111" s="39"/>
      <c r="T111" s="72" t="str">
        <f t="shared" si="70"/>
        <v/>
      </c>
      <c r="U111" s="39"/>
      <c r="V111" s="72" t="str">
        <f t="shared" si="55"/>
        <v/>
      </c>
      <c r="W111" s="72" t="str">
        <f t="shared" si="71"/>
        <v/>
      </c>
      <c r="X111" s="39"/>
      <c r="Y111" s="72" t="str">
        <f t="shared" si="56"/>
        <v/>
      </c>
      <c r="Z111" s="72" t="str">
        <f t="shared" si="72"/>
        <v/>
      </c>
      <c r="AA111" s="39"/>
      <c r="AB111" s="72" t="str">
        <f t="shared" si="57"/>
        <v/>
      </c>
      <c r="AC111" s="72" t="str">
        <f t="shared" si="52"/>
        <v/>
      </c>
      <c r="AD111" s="39"/>
      <c r="AE111" s="72" t="str">
        <f t="shared" si="58"/>
        <v/>
      </c>
      <c r="AF111" s="72" t="str">
        <f t="shared" si="73"/>
        <v/>
      </c>
      <c r="AG111" s="39"/>
      <c r="AH111" s="72" t="str">
        <f t="shared" si="59"/>
        <v/>
      </c>
      <c r="AI111" s="72" t="str">
        <f t="shared" si="74"/>
        <v/>
      </c>
      <c r="AJ111" s="39"/>
      <c r="AK111" s="72" t="str">
        <f t="shared" si="60"/>
        <v/>
      </c>
      <c r="AL111" s="72" t="str">
        <f t="shared" si="75"/>
        <v/>
      </c>
      <c r="AM111" s="39"/>
      <c r="AN111" s="72" t="str">
        <f t="shared" si="61"/>
        <v/>
      </c>
      <c r="AO111" s="72" t="str">
        <f t="shared" si="76"/>
        <v/>
      </c>
      <c r="AP111" s="39"/>
      <c r="AQ111" s="72" t="str">
        <f t="shared" si="62"/>
        <v/>
      </c>
      <c r="AR111" s="72" t="str">
        <f t="shared" si="77"/>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63"/>
        <v/>
      </c>
      <c r="AW111" s="72" t="str">
        <f t="shared" si="78"/>
        <v/>
      </c>
      <c r="AX111" s="39"/>
      <c r="AY111" s="40" t="s">
        <v>127</v>
      </c>
      <c r="AZ111" s="39"/>
      <c r="BA111" s="42" t="str">
        <f t="shared" si="64"/>
        <v/>
      </c>
      <c r="BB111" s="72" t="str">
        <f t="shared" si="79"/>
        <v/>
      </c>
      <c r="BC111" s="39"/>
      <c r="BD111" s="72" t="str">
        <f t="shared" si="65"/>
        <v/>
      </c>
      <c r="BE111" s="72" t="str">
        <f t="shared" si="80"/>
        <v/>
      </c>
      <c r="BF111" s="39"/>
      <c r="BG111" s="42" t="str">
        <f t="shared" si="66"/>
        <v/>
      </c>
      <c r="BH111" s="72" t="str">
        <f t="shared" si="81"/>
        <v/>
      </c>
      <c r="BI111" s="39"/>
      <c r="BJ111" s="40" t="str">
        <f t="shared" si="82"/>
        <v/>
      </c>
      <c r="BK111" s="157" t="str">
        <f t="shared" si="83"/>
        <v/>
      </c>
      <c r="BL111" s="157" t="str">
        <f t="shared" si="67"/>
        <v/>
      </c>
      <c r="BM111" s="72"/>
      <c r="BN111" s="72" t="str">
        <f t="shared" si="84"/>
        <v/>
      </c>
      <c r="BO111" s="72" t="str">
        <f t="shared" si="85"/>
        <v/>
      </c>
      <c r="BP111" s="39"/>
      <c r="BQ111" s="72" t="str">
        <f t="shared" si="68"/>
        <v/>
      </c>
      <c r="BR111" s="72" t="str">
        <f t="shared" si="86"/>
        <v/>
      </c>
    </row>
    <row r="112" spans="2:70" ht="15" x14ac:dyDescent="0.15">
      <c r="B112" s="9"/>
      <c r="C112" s="9"/>
      <c r="D112" s="462"/>
      <c r="E112" s="9" t="s">
        <v>207</v>
      </c>
      <c r="F112" s="91">
        <f>-BH116/BR116</f>
        <v>0</v>
      </c>
      <c r="G112" s="9" t="s">
        <v>132</v>
      </c>
      <c r="H112" s="9"/>
      <c r="I112" s="459">
        <f t="shared" si="87"/>
        <v>2117</v>
      </c>
      <c r="K112" s="71">
        <f t="shared" si="88"/>
        <v>98</v>
      </c>
      <c r="M112" s="7">
        <f t="shared" si="53"/>
        <v>5.5201639797086935E-2</v>
      </c>
      <c r="O112" s="10" t="str">
        <f t="shared" si="89"/>
        <v/>
      </c>
      <c r="P112" s="29" t="str">
        <f>IF(K112&lt;=$F$15,IF(OR(P111=$F$124,P111="-"),"-",IF(O112*$F$123&gt;$F$127,$F$123,$F$124)),"")</f>
        <v/>
      </c>
      <c r="R112" s="10" t="str">
        <f t="shared" si="69"/>
        <v/>
      </c>
      <c r="T112" s="10" t="str">
        <f t="shared" si="70"/>
        <v/>
      </c>
      <c r="V112" s="10" t="str">
        <f t="shared" si="55"/>
        <v/>
      </c>
      <c r="W112" s="10" t="str">
        <f t="shared" si="71"/>
        <v/>
      </c>
      <c r="Y112" s="10" t="str">
        <f t="shared" si="56"/>
        <v/>
      </c>
      <c r="Z112" s="10" t="str">
        <f t="shared" si="72"/>
        <v/>
      </c>
      <c r="AB112" s="10" t="str">
        <f t="shared" si="57"/>
        <v/>
      </c>
      <c r="AC112" s="10" t="str">
        <f t="shared" si="52"/>
        <v/>
      </c>
      <c r="AE112" s="10" t="str">
        <f t="shared" si="58"/>
        <v/>
      </c>
      <c r="AF112" s="10" t="str">
        <f t="shared" si="73"/>
        <v/>
      </c>
      <c r="AH112" s="10" t="str">
        <f t="shared" si="59"/>
        <v/>
      </c>
      <c r="AI112" s="10" t="str">
        <f t="shared" si="74"/>
        <v/>
      </c>
      <c r="AK112" s="10" t="str">
        <f t="shared" si="60"/>
        <v/>
      </c>
      <c r="AL112" s="10" t="str">
        <f t="shared" si="75"/>
        <v/>
      </c>
      <c r="AN112" s="188" t="str">
        <f t="shared" si="61"/>
        <v/>
      </c>
      <c r="AO112" s="10" t="str">
        <f t="shared" si="76"/>
        <v/>
      </c>
      <c r="AQ112" s="10" t="str">
        <f t="shared" si="62"/>
        <v/>
      </c>
      <c r="AR112" s="10" t="str">
        <f t="shared" si="77"/>
        <v/>
      </c>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V112" s="10" t="str">
        <f t="shared" si="63"/>
        <v/>
      </c>
      <c r="AW112" s="10" t="str">
        <f t="shared" si="78"/>
        <v/>
      </c>
      <c r="AY112" s="7" t="s">
        <v>127</v>
      </c>
      <c r="BA112" s="11" t="str">
        <f t="shared" si="64"/>
        <v/>
      </c>
      <c r="BB112" s="10" t="str">
        <f t="shared" si="79"/>
        <v/>
      </c>
      <c r="BD112" s="10" t="str">
        <f t="shared" si="65"/>
        <v/>
      </c>
      <c r="BE112" s="10" t="str">
        <f t="shared" si="80"/>
        <v/>
      </c>
      <c r="BG112" s="11" t="str">
        <f t="shared" si="66"/>
        <v/>
      </c>
      <c r="BH112" s="10" t="str">
        <f t="shared" si="81"/>
        <v/>
      </c>
      <c r="BJ112" s="7" t="str">
        <f t="shared" si="82"/>
        <v/>
      </c>
      <c r="BK112" s="158" t="str">
        <f t="shared" si="83"/>
        <v/>
      </c>
      <c r="BL112" s="158" t="str">
        <f t="shared" si="67"/>
        <v/>
      </c>
      <c r="BM112" s="10"/>
      <c r="BN112" s="10" t="str">
        <f t="shared" si="84"/>
        <v/>
      </c>
      <c r="BO112" s="10" t="str">
        <f t="shared" si="85"/>
        <v/>
      </c>
      <c r="BQ112" s="10" t="str">
        <f t="shared" si="68"/>
        <v/>
      </c>
      <c r="BR112" s="10" t="str">
        <f t="shared" si="86"/>
        <v/>
      </c>
    </row>
    <row r="113" spans="2:70" x14ac:dyDescent="0.15">
      <c r="B113" s="9"/>
      <c r="C113" s="9"/>
      <c r="D113" s="9"/>
      <c r="E113" s="9"/>
      <c r="F113" s="145"/>
      <c r="G113" s="9"/>
      <c r="H113" s="9"/>
      <c r="I113" s="458">
        <f t="shared" si="87"/>
        <v>2118</v>
      </c>
      <c r="J113" s="39"/>
      <c r="K113" s="39">
        <f t="shared" si="88"/>
        <v>99</v>
      </c>
      <c r="L113" s="39"/>
      <c r="M113" s="40">
        <f t="shared" si="53"/>
        <v>5.3593825045715457E-2</v>
      </c>
      <c r="N113" s="39"/>
      <c r="O113" s="72" t="str">
        <f t="shared" si="89"/>
        <v/>
      </c>
      <c r="P113" s="41" t="str">
        <f>IF(K113&lt;=$F$15,IF(OR(P112=$F$124,P112="-"),"-",IF(O113*$F$123&gt;$F$127,$F$123,$F$124)),"")</f>
        <v/>
      </c>
      <c r="Q113" s="39"/>
      <c r="R113" s="72" t="str">
        <f t="shared" si="69"/>
        <v/>
      </c>
      <c r="S113" s="39"/>
      <c r="T113" s="72" t="str">
        <f t="shared" si="70"/>
        <v/>
      </c>
      <c r="U113" s="39"/>
      <c r="V113" s="72" t="str">
        <f t="shared" si="55"/>
        <v/>
      </c>
      <c r="W113" s="72" t="str">
        <f t="shared" si="71"/>
        <v/>
      </c>
      <c r="X113" s="39"/>
      <c r="Y113" s="72" t="str">
        <f t="shared" si="56"/>
        <v/>
      </c>
      <c r="Z113" s="72" t="str">
        <f t="shared" si="72"/>
        <v/>
      </c>
      <c r="AA113" s="39"/>
      <c r="AB113" s="72" t="str">
        <f t="shared" si="57"/>
        <v/>
      </c>
      <c r="AC113" s="72" t="str">
        <f t="shared" si="52"/>
        <v/>
      </c>
      <c r="AD113" s="39"/>
      <c r="AE113" s="72" t="str">
        <f t="shared" si="58"/>
        <v/>
      </c>
      <c r="AF113" s="72" t="str">
        <f t="shared" si="73"/>
        <v/>
      </c>
      <c r="AG113" s="39"/>
      <c r="AH113" s="72" t="str">
        <f t="shared" si="59"/>
        <v/>
      </c>
      <c r="AI113" s="72" t="str">
        <f t="shared" si="74"/>
        <v/>
      </c>
      <c r="AJ113" s="39"/>
      <c r="AK113" s="72" t="str">
        <f t="shared" si="60"/>
        <v/>
      </c>
      <c r="AL113" s="72" t="str">
        <f t="shared" si="75"/>
        <v/>
      </c>
      <c r="AM113" s="39"/>
      <c r="AN113" s="72" t="str">
        <f t="shared" si="61"/>
        <v/>
      </c>
      <c r="AO113" s="72" t="str">
        <f t="shared" si="76"/>
        <v/>
      </c>
      <c r="AP113" s="39"/>
      <c r="AQ113" s="72" t="str">
        <f t="shared" si="62"/>
        <v/>
      </c>
      <c r="AR113" s="72" t="str">
        <f t="shared" si="77"/>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63"/>
        <v/>
      </c>
      <c r="AW113" s="72" t="str">
        <f t="shared" si="78"/>
        <v/>
      </c>
      <c r="AX113" s="39"/>
      <c r="AY113" s="40" t="s">
        <v>127</v>
      </c>
      <c r="AZ113" s="39"/>
      <c r="BA113" s="42" t="str">
        <f t="shared" si="64"/>
        <v/>
      </c>
      <c r="BB113" s="72" t="str">
        <f t="shared" si="79"/>
        <v/>
      </c>
      <c r="BC113" s="39"/>
      <c r="BD113" s="72" t="str">
        <f t="shared" si="65"/>
        <v/>
      </c>
      <c r="BE113" s="72" t="str">
        <f t="shared" si="80"/>
        <v/>
      </c>
      <c r="BF113" s="39"/>
      <c r="BG113" s="42" t="str">
        <f t="shared" si="66"/>
        <v/>
      </c>
      <c r="BH113" s="72" t="str">
        <f t="shared" si="81"/>
        <v/>
      </c>
      <c r="BI113" s="39"/>
      <c r="BJ113" s="40" t="str">
        <f t="shared" si="82"/>
        <v/>
      </c>
      <c r="BK113" s="157" t="str">
        <f t="shared" si="83"/>
        <v/>
      </c>
      <c r="BL113" s="157" t="str">
        <f t="shared" si="67"/>
        <v/>
      </c>
      <c r="BM113" s="72"/>
      <c r="BN113" s="72" t="str">
        <f t="shared" si="84"/>
        <v/>
      </c>
      <c r="BO113" s="72" t="str">
        <f t="shared" si="85"/>
        <v/>
      </c>
      <c r="BP113" s="39"/>
      <c r="BQ113" s="72" t="str">
        <f t="shared" si="68"/>
        <v/>
      </c>
      <c r="BR113" s="72" t="str">
        <f t="shared" si="86"/>
        <v/>
      </c>
    </row>
    <row r="114" spans="2:70" x14ac:dyDescent="0.15">
      <c r="B114" s="9"/>
      <c r="C114" s="9"/>
      <c r="D114" s="9"/>
      <c r="E114" s="9"/>
      <c r="G114" s="9"/>
      <c r="H114" s="9"/>
      <c r="I114" s="459">
        <f t="shared" si="87"/>
        <v>2119</v>
      </c>
      <c r="K114" s="71">
        <f t="shared" si="88"/>
        <v>100</v>
      </c>
      <c r="M114" s="7">
        <f t="shared" si="53"/>
        <v>5.2032839850209185E-2</v>
      </c>
      <c r="O114" s="10" t="str">
        <f t="shared" si="89"/>
        <v/>
      </c>
      <c r="P114" s="29" t="str">
        <f>IF(K114&lt;=$F$15,IF(OR(P113=$F$124,P113="-"),"-",IF(O114*$F$123&gt;$F$127,$F$123,$F$124)),"")</f>
        <v/>
      </c>
      <c r="R114" s="10" t="str">
        <f t="shared" si="69"/>
        <v/>
      </c>
      <c r="T114" s="10" t="str">
        <f t="shared" si="70"/>
        <v/>
      </c>
      <c r="V114" s="10" t="str">
        <f t="shared" si="55"/>
        <v/>
      </c>
      <c r="W114" s="10" t="str">
        <f t="shared" si="71"/>
        <v/>
      </c>
      <c r="Y114" s="10" t="str">
        <f t="shared" si="56"/>
        <v/>
      </c>
      <c r="Z114" s="10" t="str">
        <f t="shared" si="72"/>
        <v/>
      </c>
      <c r="AB114" s="10" t="str">
        <f t="shared" si="57"/>
        <v/>
      </c>
      <c r="AC114" s="10" t="str">
        <f t="shared" si="52"/>
        <v/>
      </c>
      <c r="AE114" s="10" t="str">
        <f t="shared" si="58"/>
        <v/>
      </c>
      <c r="AF114" s="10" t="str">
        <f t="shared" si="73"/>
        <v/>
      </c>
      <c r="AH114" s="10" t="str">
        <f t="shared" si="59"/>
        <v/>
      </c>
      <c r="AI114" s="10" t="str">
        <f t="shared" si="74"/>
        <v/>
      </c>
      <c r="AK114" s="10" t="str">
        <f t="shared" si="60"/>
        <v/>
      </c>
      <c r="AL114" s="10" t="str">
        <f t="shared" si="75"/>
        <v/>
      </c>
      <c r="AN114" s="188" t="str">
        <f t="shared" si="61"/>
        <v/>
      </c>
      <c r="AO114" s="10" t="str">
        <f t="shared" si="76"/>
        <v/>
      </c>
      <c r="AQ114" s="10" t="str">
        <f t="shared" si="62"/>
        <v/>
      </c>
      <c r="AR114" s="10" t="str">
        <f t="shared" si="77"/>
        <v/>
      </c>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V114" s="10" t="str">
        <f t="shared" si="63"/>
        <v/>
      </c>
      <c r="AW114" s="10" t="str">
        <f t="shared" si="78"/>
        <v/>
      </c>
      <c r="AY114" s="7" t="s">
        <v>127</v>
      </c>
      <c r="BA114" s="11" t="str">
        <f t="shared" si="64"/>
        <v/>
      </c>
      <c r="BB114" s="10" t="str">
        <f t="shared" si="79"/>
        <v/>
      </c>
      <c r="BD114" s="10" t="str">
        <f t="shared" si="65"/>
        <v/>
      </c>
      <c r="BE114" s="10" t="str">
        <f t="shared" si="80"/>
        <v/>
      </c>
      <c r="BG114" s="11" t="str">
        <f t="shared" si="66"/>
        <v/>
      </c>
      <c r="BH114" s="10" t="str">
        <f t="shared" si="81"/>
        <v/>
      </c>
      <c r="BJ114" s="7" t="str">
        <f t="shared" si="82"/>
        <v/>
      </c>
      <c r="BK114" s="158" t="str">
        <f t="shared" si="83"/>
        <v/>
      </c>
      <c r="BL114" s="158" t="str">
        <f t="shared" si="67"/>
        <v/>
      </c>
      <c r="BM114" s="10"/>
      <c r="BN114" s="10" t="str">
        <f t="shared" si="84"/>
        <v/>
      </c>
      <c r="BO114" s="10" t="str">
        <f t="shared" si="85"/>
        <v/>
      </c>
      <c r="BQ114" s="10" t="str">
        <f t="shared" si="68"/>
        <v/>
      </c>
      <c r="BR114" s="10" t="str">
        <f t="shared" si="86"/>
        <v/>
      </c>
    </row>
    <row r="115" spans="2:70" ht="15.75" thickBot="1" x14ac:dyDescent="0.2">
      <c r="B115" s="460" t="s">
        <v>515</v>
      </c>
      <c r="C115" s="86"/>
      <c r="D115" s="86"/>
      <c r="E115" s="86"/>
      <c r="F115" s="86"/>
      <c r="G115" s="86"/>
      <c r="H115" s="9"/>
      <c r="I115" s="464"/>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B116" s="9"/>
      <c r="C116" s="9"/>
      <c r="D116" s="9"/>
      <c r="E116" s="9"/>
      <c r="G116" s="9"/>
      <c r="H116" s="9"/>
      <c r="I116" s="9" t="s">
        <v>516</v>
      </c>
      <c r="V116" s="11"/>
      <c r="W116" s="11"/>
      <c r="Z116" s="11">
        <f>SUM(Z15:Z114)</f>
        <v>54597489492.4487</v>
      </c>
      <c r="AC116" s="11">
        <f>SUM(AC15:AC114)</f>
        <v>19612440246.013229</v>
      </c>
      <c r="AF116" s="11">
        <f>SUM(AF15:AF114)</f>
        <v>0</v>
      </c>
      <c r="AI116" s="11">
        <f>SUM(AI15:AI114)</f>
        <v>51314793782.738327</v>
      </c>
      <c r="AL116" s="11">
        <f>SUM(AL15:AL114)</f>
        <v>270930553786.87119</v>
      </c>
      <c r="AO116" s="11">
        <f>SUM(AO15:AO114)</f>
        <v>217510004277.28262</v>
      </c>
      <c r="AR116" s="11">
        <f>SUM(AR15:AR114)</f>
        <v>69088685036.402237</v>
      </c>
      <c r="AW116" s="11">
        <f>SUM(AW15:AW114)</f>
        <v>0</v>
      </c>
      <c r="BB116" s="11">
        <f>SUM(BB15:BB114)</f>
        <v>0</v>
      </c>
      <c r="BE116" s="11">
        <f>SUM(BE15:BE114)</f>
        <v>0</v>
      </c>
      <c r="BH116" s="11">
        <f>SUM(BH15:BH114)</f>
        <v>0</v>
      </c>
      <c r="BK116" s="11">
        <f>SUM(BK15:BK114)</f>
        <v>0</v>
      </c>
      <c r="BL116" s="11">
        <f>SUM(BL15:BL114)</f>
        <v>0</v>
      </c>
      <c r="BO116" s="11">
        <f>SUM(BO15:BO114)</f>
        <v>0</v>
      </c>
      <c r="BR116" s="11">
        <f>SUM(BR15:BR114)</f>
        <v>163284228571.20074</v>
      </c>
    </row>
    <row r="117" spans="2:70" x14ac:dyDescent="0.15">
      <c r="B117" s="9"/>
      <c r="C117" s="236" t="s">
        <v>144</v>
      </c>
      <c r="D117" s="9"/>
      <c r="E117" s="9"/>
      <c r="F117" s="44">
        <f>F21*10^4*F13*10^4+F29*10^8</f>
        <v>616900000000</v>
      </c>
      <c r="G117" s="9" t="s">
        <v>208</v>
      </c>
      <c r="H117" s="9"/>
      <c r="I117" s="236" t="s">
        <v>145</v>
      </c>
      <c r="W117" s="11"/>
      <c r="Z117" s="11" t="str">
        <f ca="1">IF(ISNUMBER($F$16),SUM(INDIRECT(ADDRESS($F$16+15,COLUMN())):INDIRECT(ADDRESS(114,COLUMN()))),"")</f>
        <v/>
      </c>
      <c r="AC117" s="11" t="str">
        <f ca="1">IF(ISNUMBER($F$16),SUM(INDIRECT(ADDRESS($F$16+15,COLUMN())):INDIRECT(ADDRESS(114,COLUMN()))),"")</f>
        <v/>
      </c>
      <c r="AF117" s="11" t="str">
        <f ca="1">IF(ISNUMBER($F$16),SUM(INDIRECT(ADDRESS($F$16+15,COLUMN())):INDIRECT(ADDRESS(114,COLUMN()))),"")</f>
        <v/>
      </c>
      <c r="AI117" s="11" t="str">
        <f ca="1">IF(ISNUMBER($F$16),SUM(INDIRECT(ADDRESS($F$16+15,COLUMN())):INDIRECT(ADDRESS(114,COLUMN()))),"")</f>
        <v/>
      </c>
      <c r="AL117" s="11" t="str">
        <f ca="1">IF(ISNUMBER($F$16),SUM(INDIRECT(ADDRESS($F$16+15,COLUMN())):INDIRECT(ADDRESS(114,COLUMN()))),"")</f>
        <v/>
      </c>
      <c r="AO117" s="11" t="str">
        <f ca="1">IF(ISNUMBER($F$16),SUM(INDIRECT(ADDRESS($F$16+15,COLUMN())):INDIRECT(ADDRESS(114,COLUMN()))),"")</f>
        <v/>
      </c>
      <c r="AR117" s="11" t="str">
        <f ca="1">IF(ISNUMBER($F$16),SUM(INDIRECT(ADDRESS($F$16+15,COLUMN())):INDIRECT(ADDRESS(114,COLUMN()))),"")</f>
        <v/>
      </c>
      <c r="AW117" s="11" t="str">
        <f ca="1">IF(ISNUMBER($F$16),SUM(INDIRECT(ADDRESS($F$16+15,COLUMN())):INDIRECT(ADDRESS(114,COLUMN()))),"")</f>
        <v/>
      </c>
      <c r="BB117" s="11" t="str">
        <f ca="1">IF(ISNUMBER($F$16),SUM(INDIRECT(ADDRESS($F$16+15,COLUMN())):INDIRECT(ADDRESS(114,COLUMN()))),"")</f>
        <v/>
      </c>
      <c r="BE117" s="11" t="str">
        <f ca="1">IF(ISNUMBER($F$16),SUM(INDIRECT(ADDRESS($F$16+15,COLUMN())):INDIRECT(ADDRESS(114,COLUMN()))),"")</f>
        <v/>
      </c>
      <c r="BH117" s="11" t="str">
        <f ca="1">IF(ISNUMBER($F$16),SUM(INDIRECT(ADDRESS($F$16+15,COLUMN())):INDIRECT(ADDRESS(114,COLUMN()))),"")</f>
        <v/>
      </c>
      <c r="BK117" s="11" t="str">
        <f ca="1">IF(ISNUMBER($F$16),SUM(INDIRECT(ADDRESS($F$16+15,COLUMN())):INDIRECT(ADDRESS(114,COLUMN()))),"")</f>
        <v/>
      </c>
      <c r="BL117" s="11" t="str">
        <f ca="1">IF(ISNUMBER($F$16),SUM(INDIRECT(ADDRESS($F$16+15,COLUMN())):INDIRECT(ADDRESS(114,COLUMN()))),"")</f>
        <v/>
      </c>
      <c r="BO117" s="11" t="str">
        <f ca="1">IF(ISNUMBER($F$16),SUM(INDIRECT(ADDRESS($F$16+15,COLUMN())):INDIRECT(ADDRESS(114,COLUMN()))),"")</f>
        <v/>
      </c>
      <c r="BR117" s="11" t="str">
        <f ca="1">IF(ISNUMBER($F$16),SUM(INDIRECT(ADDRESS($F$16+15,COLUMN())):INDIRECT(ADDRESS(114,COLUMN()))),"")</f>
        <v/>
      </c>
    </row>
    <row r="119" spans="2:70" x14ac:dyDescent="0.15">
      <c r="C119" s="71" t="s">
        <v>146</v>
      </c>
      <c r="F119" s="44">
        <v>16</v>
      </c>
      <c r="G119" s="71" t="s">
        <v>106</v>
      </c>
    </row>
    <row r="121" spans="2:70" x14ac:dyDescent="0.15">
      <c r="C121" s="4" t="s">
        <v>147</v>
      </c>
      <c r="D121" s="4"/>
      <c r="E121" s="4"/>
      <c r="F121" s="89"/>
      <c r="G121" s="4"/>
    </row>
    <row r="123" spans="2:70" x14ac:dyDescent="0.15">
      <c r="D123" s="71" t="s">
        <v>148</v>
      </c>
      <c r="F123" s="95">
        <v>0.156</v>
      </c>
    </row>
    <row r="124" spans="2:70" x14ac:dyDescent="0.15">
      <c r="D124" s="71" t="s">
        <v>149</v>
      </c>
      <c r="F124" s="95">
        <v>0.16700000000000001</v>
      </c>
    </row>
    <row r="125" spans="2:70" x14ac:dyDescent="0.15">
      <c r="D125" s="71" t="s">
        <v>150</v>
      </c>
      <c r="F125" s="88">
        <v>3.0630000000000001E-2</v>
      </c>
    </row>
    <row r="126" spans="2:70" x14ac:dyDescent="0.15">
      <c r="F126" s="96"/>
    </row>
    <row r="127" spans="2:70" x14ac:dyDescent="0.15">
      <c r="C127" s="8" t="s">
        <v>151</v>
      </c>
      <c r="D127" s="8"/>
      <c r="E127" s="49"/>
      <c r="F127" s="44">
        <f>F117*F125</f>
        <v>18895647000</v>
      </c>
      <c r="G127" s="71" t="s">
        <v>96</v>
      </c>
    </row>
    <row r="129" spans="3:7" x14ac:dyDescent="0.15">
      <c r="C129" s="53" t="s">
        <v>152</v>
      </c>
      <c r="D129" s="8"/>
      <c r="E129" s="8"/>
      <c r="F129" s="95">
        <f>0.1^(1/F119)</f>
        <v>0.86596432336006535</v>
      </c>
      <c r="G129" s="8"/>
    </row>
    <row r="131" spans="3:7" x14ac:dyDescent="0.15">
      <c r="C131" s="4" t="s">
        <v>153</v>
      </c>
      <c r="D131" s="4"/>
      <c r="E131" s="4"/>
      <c r="F131" s="89"/>
      <c r="G131" s="4"/>
    </row>
    <row r="133" spans="3:7" x14ac:dyDescent="0.15">
      <c r="D133" s="71" t="s">
        <v>154</v>
      </c>
      <c r="F133" s="44">
        <f>F13*10000*24*365*F14/100</f>
        <v>7358400000</v>
      </c>
      <c r="G133" s="71" t="s">
        <v>155</v>
      </c>
    </row>
    <row r="134" spans="3:7" x14ac:dyDescent="0.15">
      <c r="D134" s="71" t="s">
        <v>156</v>
      </c>
      <c r="F134" s="44">
        <f>F133*(1-F24/100)</f>
        <v>7064064000</v>
      </c>
      <c r="G134" s="71" t="s">
        <v>155</v>
      </c>
    </row>
    <row r="135" spans="3:7" x14ac:dyDescent="0.15">
      <c r="F135" s="97"/>
    </row>
    <row r="137" spans="3:7" ht="16.5" x14ac:dyDescent="0.15">
      <c r="C137" s="71" t="s">
        <v>157</v>
      </c>
      <c r="F137" s="44">
        <f>IF(ISERROR(F133*3.6/(F23/100)/F22),0,F133*3.6/(F23/100)/F22)</f>
        <v>0</v>
      </c>
      <c r="G137" s="50" t="s">
        <v>158</v>
      </c>
    </row>
    <row r="139" spans="3:7" x14ac:dyDescent="0.15">
      <c r="C139" s="4" t="s">
        <v>159</v>
      </c>
      <c r="D139" s="4"/>
      <c r="E139" s="4"/>
      <c r="F139" s="89"/>
      <c r="G139" s="4"/>
    </row>
    <row r="141" spans="3:7" x14ac:dyDescent="0.15">
      <c r="D141" s="71" t="s">
        <v>160</v>
      </c>
      <c r="F141" s="98" t="str">
        <f>IF(OR(F3="石炭火力",F3= "LNG火力", F3="ガスコジェネ",F3="バイオマス（石炭混焼）",F3="バイオマス（木質専焼）",F3="燃料電池"),IF($F$43="需要地価格","",1000),IF(OR(F3="石油火力",F3="石油コジェネ"),IF($F$43="需要地価格","",158.987294928),""))</f>
        <v/>
      </c>
      <c r="G141" s="71" t="s">
        <v>161</v>
      </c>
    </row>
    <row r="142" spans="3:7" x14ac:dyDescent="0.15">
      <c r="D142" s="71" t="s">
        <v>125</v>
      </c>
      <c r="F142" s="91">
        <f>IF(ISERROR(F42/1000),0,F42/1000)</f>
        <v>0</v>
      </c>
      <c r="G142" s="71" t="s">
        <v>162</v>
      </c>
    </row>
    <row r="145" spans="3:7" x14ac:dyDescent="0.15">
      <c r="C145" s="71" t="s">
        <v>163</v>
      </c>
      <c r="F145" s="98">
        <f>IF(ISERROR(F133*(F47*3.6/(F23/100)/1000*(44/12))),0,F133*(F47*3.6/(F23/100)/1000*(44/12)))</f>
        <v>0</v>
      </c>
      <c r="G145" s="71" t="s">
        <v>164</v>
      </c>
    </row>
    <row r="147" spans="3:7" x14ac:dyDescent="0.15">
      <c r="C147" s="4" t="s">
        <v>71</v>
      </c>
      <c r="D147" s="4"/>
      <c r="E147" s="4"/>
      <c r="F147" s="89"/>
      <c r="G147" s="4"/>
    </row>
    <row r="149" spans="3:7" x14ac:dyDescent="0.15">
      <c r="D149" s="71" t="s">
        <v>165</v>
      </c>
      <c r="F149" s="98">
        <f>IF(ISERROR(F52/F23),0,F52/F23)</f>
        <v>0</v>
      </c>
    </row>
    <row r="150" spans="3:7" x14ac:dyDescent="0.15">
      <c r="D150" s="71" t="s">
        <v>166</v>
      </c>
      <c r="F150" s="98">
        <f>F133*F149*(F53/100)*3.6</f>
        <v>0</v>
      </c>
      <c r="G150" s="71" t="s">
        <v>167</v>
      </c>
    </row>
    <row r="151" spans="3:7" ht="16.5" x14ac:dyDescent="0.15">
      <c r="D151" s="71" t="s">
        <v>168</v>
      </c>
      <c r="F151" s="44">
        <f>IF(ISERROR(F150/(F54/100)/F55),0,F150/(F54/100)/F55)</f>
        <v>0</v>
      </c>
      <c r="G151" s="50" t="s">
        <v>158</v>
      </c>
    </row>
    <row r="152" spans="3:7" x14ac:dyDescent="0.15">
      <c r="D152" s="71" t="s">
        <v>169</v>
      </c>
      <c r="F152" s="146">
        <f>IF(ISERROR(F56/1000),0,F56/1000)</f>
        <v>0</v>
      </c>
      <c r="G152" s="71" t="s">
        <v>162</v>
      </c>
    </row>
    <row r="153" spans="3:7" x14ac:dyDescent="0.15">
      <c r="D153" s="71" t="s">
        <v>170</v>
      </c>
      <c r="F153" s="98">
        <f>IF(ISERROR(F150*F47/1000*(44/12)/(F54/100)),0,F150*F47/1000*(44/12)/(F54/100))</f>
        <v>0</v>
      </c>
      <c r="G153" s="71" t="s">
        <v>164</v>
      </c>
    </row>
  </sheetData>
  <mergeCells count="48">
    <mergeCell ref="AT7:AW7"/>
    <mergeCell ref="AY7:BB7"/>
    <mergeCell ref="BD7:BH7"/>
    <mergeCell ref="AE9:AF10"/>
    <mergeCell ref="AH9:AI10"/>
    <mergeCell ref="AT9:AT10"/>
    <mergeCell ref="AV9:AW10"/>
    <mergeCell ref="AY9:AY10"/>
    <mergeCell ref="BA9:BB10"/>
    <mergeCell ref="BD9:BE10"/>
    <mergeCell ref="BG9:BH10"/>
    <mergeCell ref="F3:G3"/>
    <mergeCell ref="V7:AF7"/>
    <mergeCell ref="AH7:AR7"/>
    <mergeCell ref="I9:I10"/>
    <mergeCell ref="K9:K10"/>
    <mergeCell ref="M9:M10"/>
    <mergeCell ref="O9:P10"/>
    <mergeCell ref="R9:R10"/>
    <mergeCell ref="T9:T10"/>
    <mergeCell ref="AK9:AL10"/>
    <mergeCell ref="V9:W10"/>
    <mergeCell ref="Y9:Z10"/>
    <mergeCell ref="AB9:AC10"/>
    <mergeCell ref="AN9:AO10"/>
    <mergeCell ref="AQ9:AR10"/>
    <mergeCell ref="P12:P13"/>
    <mergeCell ref="W12:W13"/>
    <mergeCell ref="Z12:Z13"/>
    <mergeCell ref="AC12:AC13"/>
    <mergeCell ref="AF12:AF13"/>
    <mergeCell ref="BE12:BE13"/>
    <mergeCell ref="BH12:BH13"/>
    <mergeCell ref="AI12:AI13"/>
    <mergeCell ref="AL12:AL13"/>
    <mergeCell ref="AO12:AO13"/>
    <mergeCell ref="AR12:AR13"/>
    <mergeCell ref="AW12:AW13"/>
    <mergeCell ref="BB12:BB13"/>
    <mergeCell ref="BR12:BR13"/>
    <mergeCell ref="BK12:BK13"/>
    <mergeCell ref="BO12:BO13"/>
    <mergeCell ref="BQ7:BR7"/>
    <mergeCell ref="BJ12:BJ13"/>
    <mergeCell ref="BL12:BL13"/>
    <mergeCell ref="BJ7:BO7"/>
    <mergeCell ref="BJ9:BL10"/>
    <mergeCell ref="BN9:BO10"/>
  </mergeCells>
  <phoneticPr fontId="16"/>
  <dataValidations disablePrompts="1" count="3">
    <dataValidation type="list" allowBlank="1" showDropDown="1" showInputMessage="1" showErrorMessage="1" sqref="F48 F41" xr:uid="{00000000-0002-0000-0100-000000000000}">
      <formula1>"現行政策シナリオ, 新政策シナリオ"</formula1>
    </dataValidation>
    <dataValidation type="whole" allowBlank="1" showInputMessage="1" showErrorMessage="1" sqref="F7" xr:uid="{00000000-0002-0000-0100-000001000000}">
      <formula1>2010</formula1>
      <formula2>2030</formula2>
    </dataValidation>
    <dataValidation type="list" allowBlank="1" showDropDown="1" showInputMessage="1" showErrorMessage="1" sqref="F43" xr:uid="{00000000-0002-0000-0100-000002000000}">
      <formula1>"CIF価格, 需要地価格"</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R153"/>
  <sheetViews>
    <sheetView showGridLines="0" zoomScale="85" zoomScaleNormal="85" workbookViewId="0">
      <pane xSplit="10" ySplit="14" topLeftCell="AE15" activePane="bottomRight" state="frozen"/>
      <selection pane="topRight" activeCell="G69" sqref="G69"/>
      <selection pane="bottomLeft" activeCell="G69" sqref="G69"/>
      <selection pane="bottomRight" activeCell="BH65" sqref="BH65"/>
    </sheetView>
  </sheetViews>
  <sheetFormatPr defaultColWidth="9" defaultRowHeight="14.25" outlineLevelCol="1" x14ac:dyDescent="0.15"/>
  <cols>
    <col min="1" max="3" width="6.25" style="9" customWidth="1"/>
    <col min="4" max="4" width="6.25" style="81" customWidth="1"/>
    <col min="5" max="5" width="24.375" style="81" customWidth="1"/>
    <col min="6" max="6" width="18.75" style="9" customWidth="1"/>
    <col min="7" max="7" width="24.375" style="81" bestFit="1" customWidth="1"/>
    <col min="8" max="8" width="9" style="9"/>
    <col min="9" max="9" width="6.25" style="9" customWidth="1"/>
    <col min="10" max="10" width="3" style="71" customWidth="1"/>
    <col min="11" max="11" width="6.25" style="71" customWidth="1"/>
    <col min="12" max="12" width="3" style="71" customWidth="1"/>
    <col min="13" max="13" width="6.25" style="71" customWidth="1"/>
    <col min="14" max="14" width="3" style="71" customWidth="1"/>
    <col min="15" max="15" width="17.375" style="71" bestFit="1" customWidth="1"/>
    <col min="16" max="16" width="8.625" style="71" customWidth="1"/>
    <col min="17" max="17" width="3" style="71" customWidth="1"/>
    <col min="18" max="18" width="17.375" style="71" bestFit="1" customWidth="1"/>
    <col min="19" max="19" width="3" style="71" customWidth="1"/>
    <col min="20" max="20" width="17.375" style="71" bestFit="1" customWidth="1"/>
    <col min="21" max="21" width="3" style="71" customWidth="1"/>
    <col min="22" max="22" width="15" style="71" customWidth="1" outlineLevel="1"/>
    <col min="23" max="23" width="17.375" style="71" bestFit="1" customWidth="1"/>
    <col min="24" max="24" width="3" style="71" customWidth="1"/>
    <col min="25" max="25" width="15" style="71" customWidth="1" outlineLevel="1"/>
    <col min="26" max="26" width="15" style="71" customWidth="1"/>
    <col min="27" max="27" width="3" style="71" customWidth="1"/>
    <col min="28" max="28" width="15" style="71" customWidth="1" outlineLevel="1"/>
    <col min="29" max="29" width="15" style="71" customWidth="1"/>
    <col min="30" max="30" width="3" style="71" customWidth="1"/>
    <col min="31" max="31" width="15" style="71" customWidth="1" outlineLevel="1"/>
    <col min="32" max="32" width="15" style="71" customWidth="1"/>
    <col min="33" max="33" width="3" style="71" customWidth="1"/>
    <col min="34" max="34" width="14.875" style="71" customWidth="1" outlineLevel="1"/>
    <col min="35" max="35" width="15" style="71" customWidth="1"/>
    <col min="36" max="36" width="3" style="71" customWidth="1"/>
    <col min="37" max="37" width="15" style="71" customWidth="1" outlineLevel="1"/>
    <col min="38" max="38" width="15" style="71" customWidth="1"/>
    <col min="39" max="39" width="3" style="71" customWidth="1"/>
    <col min="40" max="40" width="15" style="71" customWidth="1" outlineLevel="1"/>
    <col min="41" max="41" width="15" style="71" customWidth="1"/>
    <col min="42" max="42" width="3" style="71" customWidth="1"/>
    <col min="43" max="43" width="15" style="71" customWidth="1" outlineLevel="1"/>
    <col min="44" max="44" width="15" style="71" customWidth="1"/>
    <col min="45" max="45" width="3" style="71" customWidth="1"/>
    <col min="46" max="46" width="10.75" style="71" bestFit="1" customWidth="1"/>
    <col min="47" max="47" width="3" style="71" customWidth="1"/>
    <col min="48" max="48" width="15" style="71" customWidth="1" outlineLevel="1"/>
    <col min="49" max="49" width="17.375" style="71" bestFit="1" customWidth="1"/>
    <col min="50" max="50" width="3" style="71" customWidth="1"/>
    <col min="51" max="51" width="9.625" style="71" bestFit="1" customWidth="1"/>
    <col min="52" max="52" width="3" style="71" customWidth="1"/>
    <col min="53" max="53" width="15" style="71" customWidth="1" outlineLevel="1"/>
    <col min="54" max="54" width="17.375" style="71" bestFit="1" customWidth="1"/>
    <col min="55" max="55" width="3" style="71" customWidth="1"/>
    <col min="56" max="56" width="19.25" style="71" customWidth="1" outlineLevel="1"/>
    <col min="57" max="57" width="19.25" style="71" bestFit="1" customWidth="1"/>
    <col min="58" max="58" width="3" style="71" customWidth="1"/>
    <col min="59" max="59" width="19.25" style="71" customWidth="1" outlineLevel="1"/>
    <col min="60" max="60" width="19.25" style="71"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71" customWidth="1" outlineLevel="1"/>
    <col min="70" max="70" width="17.375" style="71" bestFit="1" customWidth="1"/>
    <col min="71" max="16384" width="9" style="71"/>
  </cols>
  <sheetData>
    <row r="1" spans="1:70" ht="18.75" x14ac:dyDescent="0.15">
      <c r="A1" s="465" t="s">
        <v>60</v>
      </c>
    </row>
    <row r="3" spans="1:70" ht="23.25" x14ac:dyDescent="0.15">
      <c r="B3" s="462" t="s">
        <v>517</v>
      </c>
      <c r="F3" s="728" t="s">
        <v>237</v>
      </c>
      <c r="G3" s="725"/>
    </row>
    <row r="4" spans="1:70" x14ac:dyDescent="0.15">
      <c r="F4" s="9" t="str">
        <f>まとめ!$B$6</f>
        <v>WEO2020　STEPS</v>
      </c>
      <c r="G4" s="112"/>
    </row>
    <row r="5" spans="1:70" ht="15.75" thickBot="1" x14ac:dyDescent="0.2">
      <c r="B5" s="460" t="s">
        <v>518</v>
      </c>
      <c r="C5" s="86"/>
      <c r="D5" s="104"/>
      <c r="E5" s="104"/>
      <c r="F5" s="86" t="str">
        <f>まとめ!$E$6</f>
        <v>収斂なし</v>
      </c>
      <c r="G5" s="104"/>
      <c r="I5" s="460" t="s">
        <v>531</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111"/>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9" t="s">
        <v>65</v>
      </c>
      <c r="F7" s="87">
        <v>2030</v>
      </c>
      <c r="I7" s="111"/>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9" t="s">
        <v>519</v>
      </c>
      <c r="F8" s="88">
        <f>まとめ!B3</f>
        <v>107</v>
      </c>
      <c r="G8" s="81" t="s">
        <v>171</v>
      </c>
      <c r="I8" s="111"/>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9" t="s">
        <v>520</v>
      </c>
      <c r="F9" s="88">
        <f>まとめ!B2</f>
        <v>3</v>
      </c>
      <c r="G9" s="81" t="s">
        <v>172</v>
      </c>
      <c r="I9" s="726" t="s">
        <v>532</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30" t="s">
        <v>232</v>
      </c>
      <c r="AI9" s="729"/>
      <c r="AJ9" s="111"/>
      <c r="AK9" s="730" t="s">
        <v>233</v>
      </c>
      <c r="AL9" s="729"/>
      <c r="AM9" s="111"/>
      <c r="AN9" s="730" t="s">
        <v>233</v>
      </c>
      <c r="AO9" s="729"/>
      <c r="AP9" s="111"/>
      <c r="AQ9" s="730" t="s">
        <v>233</v>
      </c>
      <c r="AR9" s="729"/>
      <c r="AS9" s="8"/>
      <c r="AT9" s="707" t="s">
        <v>92</v>
      </c>
      <c r="AU9" s="8"/>
      <c r="AV9" s="707" t="s">
        <v>69</v>
      </c>
      <c r="AW9" s="707"/>
      <c r="AX9" s="372"/>
      <c r="AY9" s="720" t="s">
        <v>93</v>
      </c>
      <c r="AZ9" s="8"/>
      <c r="BA9" s="720" t="s">
        <v>70</v>
      </c>
      <c r="BB9" s="720"/>
      <c r="BC9" s="8"/>
      <c r="BD9" s="707" t="s">
        <v>69</v>
      </c>
      <c r="BE9" s="707"/>
      <c r="BF9" s="8"/>
      <c r="BG9" s="707" t="s">
        <v>70</v>
      </c>
      <c r="BH9" s="707"/>
      <c r="BI9" s="8"/>
      <c r="BJ9" s="714" t="s">
        <v>94</v>
      </c>
      <c r="BK9" s="715"/>
      <c r="BL9" s="715"/>
      <c r="BM9" s="372"/>
      <c r="BN9" s="716" t="s">
        <v>72</v>
      </c>
      <c r="BO9" s="707"/>
      <c r="BP9" s="8"/>
      <c r="BQ9" s="372"/>
      <c r="BR9" s="372"/>
    </row>
    <row r="10" spans="1:70" x14ac:dyDescent="0.15">
      <c r="I10" s="727"/>
      <c r="K10" s="708"/>
      <c r="M10" s="708"/>
      <c r="O10" s="717"/>
      <c r="P10" s="717"/>
      <c r="R10" s="708"/>
      <c r="T10" s="708"/>
      <c r="V10" s="717"/>
      <c r="W10" s="717"/>
      <c r="Y10" s="717"/>
      <c r="Z10" s="717"/>
      <c r="AB10" s="723"/>
      <c r="AC10" s="723"/>
      <c r="AD10" s="81"/>
      <c r="AE10" s="723"/>
      <c r="AF10" s="723"/>
      <c r="AH10" s="731"/>
      <c r="AI10" s="731"/>
      <c r="AJ10" s="9"/>
      <c r="AK10" s="731"/>
      <c r="AL10" s="731"/>
      <c r="AM10" s="9"/>
      <c r="AN10" s="731"/>
      <c r="AO10" s="731"/>
      <c r="AP10" s="9"/>
      <c r="AQ10" s="731"/>
      <c r="AR10" s="731"/>
      <c r="AT10" s="717"/>
      <c r="AV10" s="717"/>
      <c r="AW10" s="717"/>
      <c r="AX10" s="372"/>
      <c r="AY10" s="708"/>
      <c r="BA10" s="708"/>
      <c r="BB10" s="708"/>
      <c r="BD10" s="717"/>
      <c r="BE10" s="717"/>
      <c r="BG10" s="717"/>
      <c r="BH10" s="717"/>
      <c r="BJ10" s="708"/>
      <c r="BK10" s="708"/>
      <c r="BL10" s="708"/>
      <c r="BM10" s="372"/>
      <c r="BN10" s="717"/>
      <c r="BO10" s="717"/>
      <c r="BQ10" s="372"/>
      <c r="BR10" s="372"/>
    </row>
    <row r="11" spans="1:70" ht="15.75" customHeight="1" thickBot="1" x14ac:dyDescent="0.2">
      <c r="B11" s="460" t="s">
        <v>95</v>
      </c>
      <c r="C11" s="86"/>
      <c r="D11" s="104"/>
      <c r="E11" s="104"/>
      <c r="F11" s="86"/>
      <c r="G11" s="104"/>
      <c r="O11" s="372" t="s">
        <v>96</v>
      </c>
      <c r="P11" s="372"/>
      <c r="Q11" s="372"/>
      <c r="R11" s="372" t="s">
        <v>96</v>
      </c>
      <c r="S11" s="372"/>
      <c r="T11" s="372"/>
      <c r="V11" s="372"/>
      <c r="W11" s="372"/>
      <c r="Y11" s="372"/>
      <c r="Z11" s="372"/>
      <c r="AB11" s="372"/>
      <c r="AC11" s="372"/>
      <c r="AE11" s="372"/>
      <c r="AF11" s="372"/>
      <c r="AH11" s="372"/>
      <c r="AI11" s="372"/>
      <c r="AK11" s="372"/>
      <c r="AL11" s="372"/>
      <c r="AN11" s="372"/>
      <c r="AO11" s="372"/>
      <c r="AQ11" s="372"/>
      <c r="AR11" s="372"/>
      <c r="AT11" s="372"/>
      <c r="AV11" s="372"/>
      <c r="AW11" s="372"/>
      <c r="AX11" s="372"/>
      <c r="BB11" s="372"/>
      <c r="BD11" s="372"/>
      <c r="BE11" s="372"/>
      <c r="BG11" s="372"/>
      <c r="BH11" s="372"/>
      <c r="BJ11" s="156"/>
      <c r="BM11" s="372"/>
      <c r="BN11" s="372"/>
      <c r="BO11" s="372"/>
      <c r="BQ11" s="372"/>
      <c r="BR11" s="372"/>
    </row>
    <row r="12" spans="1:70" ht="14.25" customHeight="1" x14ac:dyDescent="0.15">
      <c r="O12" s="372"/>
      <c r="P12" s="707" t="s">
        <v>97</v>
      </c>
      <c r="W12" s="707" t="s">
        <v>98</v>
      </c>
      <c r="Z12" s="707" t="s">
        <v>98</v>
      </c>
      <c r="AC12" s="707" t="s">
        <v>98</v>
      </c>
      <c r="AF12" s="707" t="s">
        <v>98</v>
      </c>
      <c r="AI12" s="707" t="s">
        <v>98</v>
      </c>
      <c r="AL12" s="707" t="s">
        <v>98</v>
      </c>
      <c r="AO12" s="707" t="s">
        <v>98</v>
      </c>
      <c r="AR12" s="707" t="s">
        <v>98</v>
      </c>
      <c r="AW12" s="707" t="s">
        <v>98</v>
      </c>
      <c r="BB12" s="707" t="s">
        <v>98</v>
      </c>
      <c r="BE12" s="707" t="s">
        <v>98</v>
      </c>
      <c r="BH12" s="707" t="s">
        <v>98</v>
      </c>
      <c r="BJ12" s="709" t="s">
        <v>99</v>
      </c>
      <c r="BK12" s="709" t="s">
        <v>100</v>
      </c>
      <c r="BL12" s="709" t="s">
        <v>101</v>
      </c>
      <c r="BO12" s="709" t="s">
        <v>102</v>
      </c>
      <c r="BR12" s="707" t="s">
        <v>103</v>
      </c>
    </row>
    <row r="13" spans="1:70" ht="14.25" customHeight="1" x14ac:dyDescent="0.15">
      <c r="C13" s="9" t="s">
        <v>504</v>
      </c>
      <c r="F13" s="66">
        <v>5.0000000000000001E-4</v>
      </c>
      <c r="G13" s="81" t="s">
        <v>173</v>
      </c>
      <c r="O13" s="372"/>
      <c r="P13" s="708"/>
      <c r="Q13" s="372"/>
      <c r="R13" s="372"/>
      <c r="S13" s="372"/>
      <c r="T13" s="372"/>
      <c r="V13" s="372"/>
      <c r="W13" s="708"/>
      <c r="Y13" s="372"/>
      <c r="Z13" s="708"/>
      <c r="AB13" s="372"/>
      <c r="AC13" s="708"/>
      <c r="AE13" s="372"/>
      <c r="AF13" s="708"/>
      <c r="AH13" s="372"/>
      <c r="AI13" s="708"/>
      <c r="AK13" s="372"/>
      <c r="AL13" s="708"/>
      <c r="AN13" s="372"/>
      <c r="AO13" s="708"/>
      <c r="AQ13" s="372"/>
      <c r="AR13" s="708"/>
      <c r="AT13" s="372"/>
      <c r="AV13" s="372"/>
      <c r="AW13" s="708"/>
      <c r="BB13" s="708"/>
      <c r="BD13" s="372"/>
      <c r="BE13" s="708"/>
      <c r="BG13" s="372"/>
      <c r="BH13" s="708"/>
      <c r="BJ13" s="712"/>
      <c r="BK13" s="710"/>
      <c r="BL13" s="708"/>
      <c r="BM13" s="372"/>
      <c r="BO13" s="708"/>
      <c r="BQ13" s="372"/>
      <c r="BR13" s="708"/>
    </row>
    <row r="14" spans="1:70" ht="16.5" x14ac:dyDescent="0.15">
      <c r="C14" s="9" t="s">
        <v>505</v>
      </c>
      <c r="F14" s="88">
        <f>VLOOKUP(F3&amp;IF(G4&lt;&gt;"","_"&amp;G4,""),まとめ!$A$12:$G$34,IF(F7=2030,4,IF(F7=2020,3,IF(F7=2014,2,"-"))),0)</f>
        <v>13.8</v>
      </c>
      <c r="G14" s="81" t="s">
        <v>172</v>
      </c>
      <c r="O14" s="372"/>
      <c r="P14" s="372"/>
      <c r="Q14" s="372"/>
      <c r="R14" s="372"/>
      <c r="S14" s="372"/>
      <c r="T14" s="372"/>
      <c r="AT14" s="50" t="s">
        <v>104</v>
      </c>
      <c r="AY14" s="71" t="s">
        <v>105</v>
      </c>
    </row>
    <row r="15" spans="1:70" x14ac:dyDescent="0.15">
      <c r="C15" s="9" t="s">
        <v>506</v>
      </c>
      <c r="F15" s="88">
        <f>VLOOKUP(F3&amp;IF(G4&lt;&gt;"","_"&amp;G4,""),まとめ!$A$12:$G$34,IF(F7=2030,7,IF(F7=2020,6,IF(F7=2014,5,"-"))),0)</f>
        <v>25</v>
      </c>
      <c r="G15" s="81" t="s">
        <v>108</v>
      </c>
      <c r="I15" s="458">
        <f>F7</f>
        <v>2030</v>
      </c>
      <c r="J15" s="39"/>
      <c r="K15" s="39">
        <f>IF(I15&lt;&gt;"",1,"")</f>
        <v>1</v>
      </c>
      <c r="L15" s="39"/>
      <c r="M15" s="40">
        <f t="shared" ref="M15:M78" si="0">1/(1+($F$9/100))^K15</f>
        <v>0.970873786407767</v>
      </c>
      <c r="N15" s="39"/>
      <c r="O15" s="72">
        <f>F117</f>
        <v>1170000</v>
      </c>
      <c r="P15" s="41">
        <f t="shared" ref="P15:P78" si="1">IF(K15&lt;=$F$15,IF(OR(P14=$F$124,P14="-"),"-",IF(O15*$F$123&gt;$F$127,$F$123,$F$124)),"")</f>
        <v>0.14699999999999999</v>
      </c>
      <c r="Q15" s="39"/>
      <c r="R15" s="123">
        <f>F117</f>
        <v>1170000</v>
      </c>
      <c r="S15" s="39"/>
      <c r="T15" s="72">
        <f>IF(ISNUMBER(R15),ROUNDDOWN(R15,-3),"")</f>
        <v>1170000</v>
      </c>
      <c r="U15" s="39"/>
      <c r="V15" s="72">
        <f t="shared" ref="V15:V78" si="2">IF(K15&lt;=$F$15,IF(K15&lt;$F$119,IF(P15="-",V14,O15*P15),IF(K15=$F$119,MIN(IF(P15="-",V14,O15*P15),O15),0)),"")</f>
        <v>171990</v>
      </c>
      <c r="W15" s="72">
        <f>IF(ISNUMBER(V15),V15*$M15,"")</f>
        <v>166980.58252427186</v>
      </c>
      <c r="X15" s="39"/>
      <c r="Y15" s="72">
        <f t="shared" ref="Y15:Y78" si="3">IF($K15&lt;=$F$15,ROUNDDOWN(T15*$F$25/100,-2),"")</f>
        <v>0</v>
      </c>
      <c r="Z15" s="72">
        <f>IF(ISNUMBER(Y15),Y15*$M15,"")</f>
        <v>0</v>
      </c>
      <c r="AA15" s="39"/>
      <c r="AB15" s="72">
        <f t="shared" ref="AB15:AB78" si="4">IF($K15&lt;=$F$15,0,IF(AND($K15&gt;$F$15,$K15&lt;=$F$15+$F$28),$F$27*10^8/$F$28,""))</f>
        <v>0</v>
      </c>
      <c r="AC15" s="72">
        <f>IF(ISNUMBER(AB15),AB15*$M15,"")</f>
        <v>0</v>
      </c>
      <c r="AD15" s="39"/>
      <c r="AE15" s="72">
        <f t="shared" ref="AE15:AE78" si="5">IF($K15&lt;=$F$15,$F$26,"")</f>
        <v>0</v>
      </c>
      <c r="AF15" s="72">
        <f>IF(ISNUMBER(AE15),AE15*$M15,"")</f>
        <v>0</v>
      </c>
      <c r="AG15" s="39"/>
      <c r="AH15" s="72">
        <f t="shared" ref="AH15:AH78" si="6">IF($K15&lt;=$F$15,$F$33*10^4*$F$13*10^4,"")</f>
        <v>15000</v>
      </c>
      <c r="AI15" s="72">
        <f>IF(ISNUMBER(AH15),AH15*$M15,"")</f>
        <v>14563.106796116504</v>
      </c>
      <c r="AJ15" s="39"/>
      <c r="AK15" s="72">
        <f t="shared" ref="AK15:AK78" si="7">IF($K15&lt;=$F$15,$F$117*$F$34/100,"")</f>
        <v>0</v>
      </c>
      <c r="AL15" s="72">
        <f>IF(ISNUMBER(AK15),AK15*$M15,"")</f>
        <v>0</v>
      </c>
      <c r="AM15" s="39"/>
      <c r="AN15" s="72">
        <f t="shared" ref="AN15:AN78" si="8">IF($K15&lt;=$F$15,$F$117*$F$35/100,"")</f>
        <v>0</v>
      </c>
      <c r="AO15" s="72">
        <f>IF(ISNUMBER(AN15),AN15*$M15,"")</f>
        <v>0</v>
      </c>
      <c r="AP15" s="39"/>
      <c r="AQ15" s="72">
        <f t="shared" ref="AQ15:AQ78" si="9">IF($K15&lt;=$F$15,SUM(AH15,AK15,AN15)*($F$36/100),"")</f>
        <v>0</v>
      </c>
      <c r="AR15" s="72">
        <f>IF(ISNUMBER(AQ15),AQ15*$M15,"")</f>
        <v>0</v>
      </c>
      <c r="AS15" s="39"/>
      <c r="AT15" s="40">
        <f>IF($K15&lt;=$F$15,IF($F$40&lt;&gt;"",$F$40/1000,IF(ISERROR(VLOOKUP($F$3&amp;IF($G$4&lt;&gt;"",$G$4,"")&amp;IF($F$43&lt;&gt;"","_"&amp;$F$43,""),'表3）燃料価格'!$AF$9:$AG$25,2,0)),0,VLOOKUP($I15,'表3）燃料価格'!$A$6:$U$66,VLOOKUP($F$3&amp;IF($G$4&lt;&gt;"",$G$4,"")&amp;IF($F$43&lt;&gt;"","_"&amp;$F$43,""),'表3）燃料価格'!$AF$9:$AG$25,2,0)+VLOOKUP($F$41,'表3）燃料価格'!$AF$28:$AG$29,2,0),0)*IF($F$43="需要地価格",1,$F$8/$F$141))),"")</f>
        <v>0</v>
      </c>
      <c r="AU15" s="39"/>
      <c r="AV15" s="72">
        <f t="shared" ref="AV15:AV78" si="10">IF($K15&lt;=$F$15,($AT15+$F$142)*$F$137,"")</f>
        <v>0</v>
      </c>
      <c r="AW15" s="72">
        <f>IF(ISNUMBER(AV15),AV15*$M15,"")</f>
        <v>0</v>
      </c>
      <c r="AX15" s="39"/>
      <c r="AY15" s="40">
        <f>IF(ISERROR(IF($K15&lt;=$F$15,VLOOKUP($I15,'表4）CO2価格'!$A$7:$E$67,VLOOKUP($F$48,'表4）CO2価格'!$H$10:$I$12,2,0),0)*$F$8/1000,"")),0,IF($K15&lt;=$F$15,VLOOKUP($I15,'表4）CO2価格'!$A$7:$E$67,VLOOKUP($F$48,'表4）CO2価格'!$H$10:$I$12,2,0),0)*$F$8/1000,""))</f>
        <v>0</v>
      </c>
      <c r="AZ15" s="39"/>
      <c r="BA15" s="42">
        <f t="shared" ref="BA15:BA78" si="11">IF($K15&lt;=$F$15,$F$145*AY15,"")</f>
        <v>0</v>
      </c>
      <c r="BB15" s="72">
        <f>IF(ISNUMBER(BA15),BA15*$M15,"")</f>
        <v>0</v>
      </c>
      <c r="BC15" s="39"/>
      <c r="BD15" s="72">
        <f t="shared" ref="BD15:BD78" si="12">IF($K15&lt;=$F$15,($AT15+$F$152)*$F$151,"")</f>
        <v>0</v>
      </c>
      <c r="BE15" s="72">
        <f>IF(ISNUMBER(BD15),BD15*$M15,"")</f>
        <v>0</v>
      </c>
      <c r="BF15" s="39"/>
      <c r="BG15" s="42">
        <f t="shared" ref="BG15:BG78" si="13">IF($K15&lt;=$F$15,$F$153*AY15,"")</f>
        <v>0</v>
      </c>
      <c r="BH15" s="72">
        <f>IF(ISNUMBER(BG15),BG15*$M15,"")</f>
        <v>0</v>
      </c>
      <c r="BI15" s="39"/>
      <c r="BJ15" s="40">
        <f>IF(ISNUMBER($F$16),IF($K15&lt;=$F$16+$F$28,1/(1+($F$17/100))^K15,""),"")</f>
        <v>0.96899224806201545</v>
      </c>
      <c r="BK15" s="157">
        <f>IF(ISNUMBER($F$16),IF($K15&lt;=$F$16+$F$28,IF($K15&lt;=$F$16,SUM(Y15,AB15,AE15,AH15,AK15,AN15,AQ15,AV15,BA15,BD15,BG15),$F$27/$F$28*10^8)*BJ15,""),"")</f>
        <v>14534.883720930231</v>
      </c>
      <c r="BL15" s="157">
        <f t="shared" ref="BL15:BL78" si="14">IF(AND(ISNUMBER(BJ15),$K15&lt;=$F$16),BQ15*BJ15,"")</f>
        <v>5856.9767441860458</v>
      </c>
      <c r="BM15" s="72"/>
      <c r="BN15" s="72">
        <f>IF(AND(ISNUMBER($F$16),$K15&lt;=$F$16),BQ15*($O$15+$BK$116)/$BL$116,"")</f>
        <v>158462.6948818255</v>
      </c>
      <c r="BO15" s="72">
        <f>IF(ISNUMBER(BN15),BN15*$M15,"")</f>
        <v>153847.2765842966</v>
      </c>
      <c r="BP15" s="39"/>
      <c r="BQ15" s="72">
        <f t="shared" ref="BQ15:BQ78" si="15">IF($K15&lt;=$F$15,$F$134,"")</f>
        <v>6044.4</v>
      </c>
      <c r="BR15" s="72">
        <f>IF(ISNUMBER(BQ15),BQ15*$M15,"")</f>
        <v>5868.3495145631068</v>
      </c>
    </row>
    <row r="16" spans="1:70" x14ac:dyDescent="0.15">
      <c r="C16" s="236" t="s">
        <v>107</v>
      </c>
      <c r="F16" s="88">
        <f>IF(ISERROR(VLOOKUP(F3&amp;IF(G4&lt;&gt;"","_"&amp;G4,""),'表7）買取期間・IRR'!$A$3:$A$10,1,0)),"",VLOOKUP(F3&amp;IF(G4&lt;&gt;"","_"&amp;G4,""),'表7）買取期間・IRR'!$A$3:$C$10,IF(F7=2030,3,IF(F7=2020,3,IF(F7=2014,2,"-"))),0))</f>
        <v>10</v>
      </c>
      <c r="G16" s="81" t="s">
        <v>108</v>
      </c>
      <c r="I16" s="459">
        <f>I15+1</f>
        <v>2031</v>
      </c>
      <c r="K16" s="71">
        <f>IF(I16&lt;&gt;"",K15+1,"")</f>
        <v>2</v>
      </c>
      <c r="M16" s="7">
        <f t="shared" si="0"/>
        <v>0.94259590913375435</v>
      </c>
      <c r="O16" s="10">
        <f>IF(K16&lt;=$F$15,O15-V15,"")</f>
        <v>998010</v>
      </c>
      <c r="P16" s="29">
        <f t="shared" si="1"/>
        <v>0.14699999999999999</v>
      </c>
      <c r="R16" s="10">
        <f t="shared" ref="R16:R79" si="16">IF($K16&lt;=$F$15,MAX($F$117*5%,R15*$F$129),"")</f>
        <v>1021791.6099879267</v>
      </c>
      <c r="T16" s="10">
        <f t="shared" ref="T16:T79" si="17">IF(ISNUMBER(R16),ROUNDDOWN(R16,-3),"")</f>
        <v>1021000</v>
      </c>
      <c r="V16" s="10">
        <f t="shared" si="2"/>
        <v>146707.47</v>
      </c>
      <c r="W16" s="10">
        <f t="shared" ref="W16:W79" si="18">IF(ISNUMBER(V16),V16*$M16,"")</f>
        <v>138285.86106136299</v>
      </c>
      <c r="Y16" s="10">
        <f t="shared" si="3"/>
        <v>0</v>
      </c>
      <c r="Z16" s="10">
        <f t="shared" ref="Z16:Z79" si="19">IF(ISNUMBER(Y16),Y16*$M16,"")</f>
        <v>0</v>
      </c>
      <c r="AB16" s="10">
        <f t="shared" si="4"/>
        <v>0</v>
      </c>
      <c r="AC16" s="10">
        <f t="shared" ref="AC16:AC79" si="20">IF(ISNUMBER(AB16),AB16*$M16,"")</f>
        <v>0</v>
      </c>
      <c r="AE16" s="10">
        <f t="shared" si="5"/>
        <v>0</v>
      </c>
      <c r="AF16" s="10">
        <f t="shared" ref="AF16:AF79" si="21">IF(ISNUMBER(AE16),AE16*$M16,"")</f>
        <v>0</v>
      </c>
      <c r="AH16" s="10">
        <f t="shared" si="6"/>
        <v>15000</v>
      </c>
      <c r="AI16" s="10">
        <f t="shared" ref="AI16:AI79" si="22">IF(ISNUMBER(AH16),AH16*$M16,"")</f>
        <v>14138.938637006315</v>
      </c>
      <c r="AK16" s="10">
        <f t="shared" si="7"/>
        <v>0</v>
      </c>
      <c r="AL16" s="10">
        <f t="shared" ref="AL16:AL79" si="23">IF(ISNUMBER(AK16),AK16*$M16,"")</f>
        <v>0</v>
      </c>
      <c r="AN16" s="10">
        <f t="shared" si="8"/>
        <v>0</v>
      </c>
      <c r="AO16" s="10">
        <f t="shared" ref="AO16:AO79" si="24">IF(ISNUMBER(AN16),AN16*$M16,"")</f>
        <v>0</v>
      </c>
      <c r="AQ16" s="10">
        <f t="shared" si="9"/>
        <v>0</v>
      </c>
      <c r="AR16" s="10">
        <f t="shared" ref="AR16:AR79" si="25">IF(ISNUMBER(AQ16),AQ16*$M16,"")</f>
        <v>0</v>
      </c>
      <c r="AT16" s="7">
        <f>IF($K16&lt;=$F$15,IF($F$40&lt;&gt;"",$F$40/1000,IF(ISERROR(VLOOKUP($F$3&amp;IF($G$4&lt;&gt;"",$G$4,"")&amp;IF($F$43&lt;&gt;"","_"&amp;$F$43,""),'表3）燃料価格'!$AF$9:$AG$25,2,0)),0,VLOOKUP($I16,'表3）燃料価格'!$A$6:$U$66,VLOOKUP($F$3&amp;IF($G$4&lt;&gt;"",$G$4,"")&amp;IF($F$43&lt;&gt;"","_"&amp;$F$43,""),'表3）燃料価格'!$AF$9:$AG$25,2,0)+VLOOKUP($F$41,'表3）燃料価格'!$AF$28:$AG$29,2,0),0)*IF($F$43="需要地価格",1,$F$8/$F$141))),"")</f>
        <v>0</v>
      </c>
      <c r="AV16" s="10">
        <f t="shared" si="10"/>
        <v>0</v>
      </c>
      <c r="AW16" s="10">
        <f t="shared" ref="AW16:AW79" si="26">IF(ISNUMBER(AV16),AV16*$M16,"")</f>
        <v>0</v>
      </c>
      <c r="AY16" s="7">
        <f>IF(ISERROR(IF($K16&lt;=$F$15,VLOOKUP($I16,'表4）CO2価格'!$A$7:$E$67,VLOOKUP($F$48,'表4）CO2価格'!$H$10:$I$12,2,0),0)*$F$8/1000,"")),0,IF($K16&lt;=$F$15,VLOOKUP($I16,'表4）CO2価格'!$A$7:$E$67,VLOOKUP($F$48,'表4）CO2価格'!$H$10:$I$12,2,0),0)*$F$8/1000,""))</f>
        <v>0</v>
      </c>
      <c r="BA16" s="11">
        <f t="shared" si="11"/>
        <v>0</v>
      </c>
      <c r="BB16" s="10">
        <f t="shared" ref="BB16:BB79" si="27">IF(ISNUMBER(BA16),BA16*$M16,"")</f>
        <v>0</v>
      </c>
      <c r="BD16" s="10">
        <f t="shared" si="12"/>
        <v>0</v>
      </c>
      <c r="BE16" s="10">
        <f t="shared" ref="BE16:BE79" si="28">IF(ISNUMBER(BD16),BD16*$M16,"")</f>
        <v>0</v>
      </c>
      <c r="BG16" s="11">
        <f t="shared" si="13"/>
        <v>0</v>
      </c>
      <c r="BH16" s="10">
        <f t="shared" ref="BH16:BH79" si="29">IF(ISNUMBER(BG16),BG16*$M16,"")</f>
        <v>0</v>
      </c>
      <c r="BJ16" s="7">
        <f t="shared" ref="BJ16:BJ79" si="30">IF(ISNUMBER($F$16),IF($K16&lt;=$F$16+$F$28,1/(1+($F$17/100))^K16,""),"")</f>
        <v>0.9389459768042786</v>
      </c>
      <c r="BK16" s="158">
        <f t="shared" ref="BK16:BK79" si="31">IF(ISNUMBER($F$16),IF($K16&lt;=$F$16+$F$28,IF($K16&lt;=$F$16,SUM(Y16,AB16,AE16,AH16,AK16,AN16,AQ16,AV16,BA16,BD16,BG16),$F$27/$F$28*10^8)*BJ16,""),"")</f>
        <v>14084.189652064179</v>
      </c>
      <c r="BL16" s="158">
        <f t="shared" si="14"/>
        <v>5675.3650621957813</v>
      </c>
      <c r="BM16" s="10"/>
      <c r="BN16" s="10">
        <f t="shared" ref="BN16:BN79" si="32">IF(AND(ISNUMBER($F$16),$K16&lt;=$F$16),BQ16*($O$15+$BK$116)/$BL$116,"")</f>
        <v>158462.6948818255</v>
      </c>
      <c r="BO16" s="10">
        <f t="shared" ref="BO16:BO79" si="33">IF(ISNUMBER(BN16),BN16*$M16,"")</f>
        <v>149366.28794591903</v>
      </c>
      <c r="BQ16" s="10">
        <f t="shared" si="15"/>
        <v>6044.4</v>
      </c>
      <c r="BR16" s="10">
        <f t="shared" ref="BR16:BR79" si="34">IF(ISNUMBER(BQ16),BQ16*$M16,"")</f>
        <v>5697.4267131680645</v>
      </c>
    </row>
    <row r="17" spans="3:70" x14ac:dyDescent="0.15">
      <c r="C17" s="9" t="s">
        <v>109</v>
      </c>
      <c r="F17" s="143">
        <f>IF(ISERROR(VLOOKUP(F3&amp;IF(G4&lt;&gt;"","_"&amp;G4,""),'表7）買取期間・IRR'!$A$14:$C$21,1,0)),"",VLOOKUP(F3&amp;IF(G4&lt;&gt;"","_"&amp;G4,""),'表7）買取期間・IRR'!$A$14:$C$21,IF(F7=2030,3,IF(F7=2020,2,"-")),0))</f>
        <v>3.2</v>
      </c>
      <c r="G17" s="81" t="s">
        <v>172</v>
      </c>
      <c r="I17" s="458">
        <f t="shared" ref="I17:I80" si="35">I16+1</f>
        <v>2032</v>
      </c>
      <c r="J17" s="39"/>
      <c r="K17" s="39">
        <f t="shared" ref="K17:K80" si="36">IF(I17&lt;&gt;"",K16+1,"")</f>
        <v>3</v>
      </c>
      <c r="L17" s="39"/>
      <c r="M17" s="40">
        <f t="shared" si="0"/>
        <v>0.91514165935315961</v>
      </c>
      <c r="N17" s="39"/>
      <c r="O17" s="72">
        <f t="shared" ref="O17:O80" si="37">IF(K17&lt;=$F$15,O16-V16,"")</f>
        <v>851302.53</v>
      </c>
      <c r="P17" s="41">
        <f t="shared" si="1"/>
        <v>0.14699999999999999</v>
      </c>
      <c r="Q17" s="39"/>
      <c r="R17" s="72">
        <f t="shared" si="16"/>
        <v>892357.34550574294</v>
      </c>
      <c r="S17" s="39"/>
      <c r="T17" s="72">
        <f t="shared" si="17"/>
        <v>892000</v>
      </c>
      <c r="U17" s="39"/>
      <c r="V17" s="72">
        <f t="shared" si="2"/>
        <v>125141.47190999999</v>
      </c>
      <c r="W17" s="72">
        <f t="shared" si="18"/>
        <v>114522.1742576142</v>
      </c>
      <c r="X17" s="39"/>
      <c r="Y17" s="72">
        <f t="shared" si="3"/>
        <v>0</v>
      </c>
      <c r="Z17" s="72">
        <f t="shared" si="19"/>
        <v>0</v>
      </c>
      <c r="AA17" s="39"/>
      <c r="AB17" s="72">
        <f t="shared" si="4"/>
        <v>0</v>
      </c>
      <c r="AC17" s="72">
        <f t="shared" si="20"/>
        <v>0</v>
      </c>
      <c r="AD17" s="39"/>
      <c r="AE17" s="72">
        <f t="shared" si="5"/>
        <v>0</v>
      </c>
      <c r="AF17" s="72">
        <f t="shared" si="21"/>
        <v>0</v>
      </c>
      <c r="AG17" s="39"/>
      <c r="AH17" s="72">
        <f t="shared" si="6"/>
        <v>15000</v>
      </c>
      <c r="AI17" s="72">
        <f t="shared" si="22"/>
        <v>13727.124890297395</v>
      </c>
      <c r="AJ17" s="39"/>
      <c r="AK17" s="72">
        <f t="shared" si="7"/>
        <v>0</v>
      </c>
      <c r="AL17" s="72">
        <f t="shared" si="23"/>
        <v>0</v>
      </c>
      <c r="AM17" s="39"/>
      <c r="AN17" s="72">
        <f t="shared" si="8"/>
        <v>0</v>
      </c>
      <c r="AO17" s="72">
        <f t="shared" si="24"/>
        <v>0</v>
      </c>
      <c r="AP17" s="39"/>
      <c r="AQ17" s="72">
        <f t="shared" si="9"/>
        <v>0</v>
      </c>
      <c r="AR17" s="72">
        <f t="shared" si="25"/>
        <v>0</v>
      </c>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0</v>
      </c>
      <c r="AU17" s="39"/>
      <c r="AV17" s="72">
        <f t="shared" si="10"/>
        <v>0</v>
      </c>
      <c r="AW17" s="72">
        <f t="shared" si="26"/>
        <v>0</v>
      </c>
      <c r="AX17" s="39"/>
      <c r="AY17" s="40">
        <f>IF(ISERROR(IF($K17&lt;=$F$15,VLOOKUP($I17,'表4）CO2価格'!$A$7:$E$67,VLOOKUP($F$48,'表4）CO2価格'!$H$10:$I$12,2,0),0)*$F$8/1000,"")),0,IF($K17&lt;=$F$15,VLOOKUP($I17,'表4）CO2価格'!$A$7:$E$67,VLOOKUP($F$48,'表4）CO2価格'!$H$10:$I$12,2,0),0)*$F$8/1000,""))</f>
        <v>0</v>
      </c>
      <c r="AZ17" s="39"/>
      <c r="BA17" s="42">
        <f t="shared" si="11"/>
        <v>0</v>
      </c>
      <c r="BB17" s="72">
        <f t="shared" si="27"/>
        <v>0</v>
      </c>
      <c r="BC17" s="39"/>
      <c r="BD17" s="72">
        <f t="shared" si="12"/>
        <v>0</v>
      </c>
      <c r="BE17" s="72">
        <f t="shared" si="28"/>
        <v>0</v>
      </c>
      <c r="BF17" s="39"/>
      <c r="BG17" s="42">
        <f t="shared" si="13"/>
        <v>0</v>
      </c>
      <c r="BH17" s="72">
        <f t="shared" si="29"/>
        <v>0</v>
      </c>
      <c r="BI17" s="39"/>
      <c r="BJ17" s="40">
        <f t="shared" si="30"/>
        <v>0.90983137287236304</v>
      </c>
      <c r="BK17" s="157">
        <f t="shared" si="31"/>
        <v>13647.470593085445</v>
      </c>
      <c r="BL17" s="157">
        <f t="shared" si="14"/>
        <v>5499.3847501897108</v>
      </c>
      <c r="BM17" s="72"/>
      <c r="BN17" s="72">
        <f t="shared" si="32"/>
        <v>158462.6948818255</v>
      </c>
      <c r="BO17" s="72">
        <f t="shared" si="33"/>
        <v>145015.81353972721</v>
      </c>
      <c r="BP17" s="39"/>
      <c r="BQ17" s="72">
        <f t="shared" si="15"/>
        <v>6044.4</v>
      </c>
      <c r="BR17" s="72">
        <f t="shared" si="34"/>
        <v>5531.4822457942373</v>
      </c>
    </row>
    <row r="18" spans="3:70" x14ac:dyDescent="0.15">
      <c r="I18" s="459">
        <f t="shared" si="35"/>
        <v>2033</v>
      </c>
      <c r="K18" s="71">
        <f t="shared" si="36"/>
        <v>4</v>
      </c>
      <c r="M18" s="7">
        <f t="shared" si="0"/>
        <v>0.888487047915689</v>
      </c>
      <c r="O18" s="10">
        <f t="shared" si="37"/>
        <v>726161.05809000006</v>
      </c>
      <c r="P18" s="29">
        <f t="shared" si="1"/>
        <v>0.14699999999999999</v>
      </c>
      <c r="R18" s="10">
        <f t="shared" si="16"/>
        <v>779319.01602467149</v>
      </c>
      <c r="T18" s="10">
        <f t="shared" si="17"/>
        <v>779000</v>
      </c>
      <c r="V18" s="10">
        <f t="shared" si="2"/>
        <v>106745.67553923</v>
      </c>
      <c r="W18" s="10">
        <f t="shared" si="18"/>
        <v>94842.150137616438</v>
      </c>
      <c r="Y18" s="10">
        <f>IF($K18&lt;=$F$15,ROUNDDOWN(T18*$F$25/100,-2),"")</f>
        <v>0</v>
      </c>
      <c r="Z18" s="10">
        <f t="shared" si="19"/>
        <v>0</v>
      </c>
      <c r="AB18" s="10">
        <f t="shared" si="4"/>
        <v>0</v>
      </c>
      <c r="AC18" s="10">
        <f t="shared" si="20"/>
        <v>0</v>
      </c>
      <c r="AE18" s="10">
        <f t="shared" si="5"/>
        <v>0</v>
      </c>
      <c r="AF18" s="10">
        <f t="shared" si="21"/>
        <v>0</v>
      </c>
      <c r="AH18" s="10">
        <f t="shared" si="6"/>
        <v>15000</v>
      </c>
      <c r="AI18" s="10">
        <f t="shared" si="22"/>
        <v>13327.305718735335</v>
      </c>
      <c r="AK18" s="10">
        <f t="shared" si="7"/>
        <v>0</v>
      </c>
      <c r="AL18" s="10">
        <f t="shared" si="23"/>
        <v>0</v>
      </c>
      <c r="AN18" s="10">
        <f t="shared" si="8"/>
        <v>0</v>
      </c>
      <c r="AO18" s="10">
        <f t="shared" si="24"/>
        <v>0</v>
      </c>
      <c r="AQ18" s="10">
        <f t="shared" si="9"/>
        <v>0</v>
      </c>
      <c r="AR18" s="10">
        <f t="shared" si="25"/>
        <v>0</v>
      </c>
      <c r="AT18" s="7">
        <f>IF($K18&lt;=$F$15,IF($F$40&lt;&gt;"",$F$40/1000,IF(ISERROR(VLOOKUP($F$3&amp;IF($G$4&lt;&gt;"",$G$4,"")&amp;IF($F$43&lt;&gt;"","_"&amp;$F$43,""),'表3）燃料価格'!$AF$9:$AG$25,2,0)),0,VLOOKUP($I18,'表3）燃料価格'!$A$6:$U$66,VLOOKUP($F$3&amp;IF($G$4&lt;&gt;"",$G$4,"")&amp;IF($F$43&lt;&gt;"","_"&amp;$F$43,""),'表3）燃料価格'!$AF$9:$AG$25,2,0)+VLOOKUP($F$41,'表3）燃料価格'!$AF$28:$AG$29,2,0),0)*IF($F$43="需要地価格",1,$F$8/$F$141))),"")</f>
        <v>0</v>
      </c>
      <c r="AV18" s="10">
        <f t="shared" si="10"/>
        <v>0</v>
      </c>
      <c r="AW18" s="10">
        <f t="shared" si="26"/>
        <v>0</v>
      </c>
      <c r="AY18" s="7">
        <f>IF(ISERROR(IF($K18&lt;=$F$15,VLOOKUP($I18,'表4）CO2価格'!$A$7:$E$67,VLOOKUP($F$48,'表4）CO2価格'!$H$10:$I$12,2,0),0)*$F$8/1000,"")),0,IF($K18&lt;=$F$15,VLOOKUP($I18,'表4）CO2価格'!$A$7:$E$67,VLOOKUP($F$48,'表4）CO2価格'!$H$10:$I$12,2,0),0)*$F$8/1000,""))</f>
        <v>0</v>
      </c>
      <c r="BA18" s="11">
        <f t="shared" si="11"/>
        <v>0</v>
      </c>
      <c r="BB18" s="10">
        <f t="shared" si="27"/>
        <v>0</v>
      </c>
      <c r="BD18" s="10">
        <f t="shared" si="12"/>
        <v>0</v>
      </c>
      <c r="BE18" s="10">
        <f t="shared" si="28"/>
        <v>0</v>
      </c>
      <c r="BG18" s="11">
        <f t="shared" si="13"/>
        <v>0</v>
      </c>
      <c r="BH18" s="10">
        <f t="shared" si="29"/>
        <v>0</v>
      </c>
      <c r="BJ18" s="7">
        <f t="shared" si="30"/>
        <v>0.88161954735694092</v>
      </c>
      <c r="BK18" s="158">
        <f t="shared" si="31"/>
        <v>13224.293210354113</v>
      </c>
      <c r="BL18" s="158">
        <f t="shared" si="14"/>
        <v>5328.8611920442936</v>
      </c>
      <c r="BM18" s="10"/>
      <c r="BN18" s="10">
        <f t="shared" si="32"/>
        <v>158462.6948818255</v>
      </c>
      <c r="BO18" s="10">
        <f t="shared" si="33"/>
        <v>140792.05198031772</v>
      </c>
      <c r="BQ18" s="10">
        <f t="shared" si="15"/>
        <v>6044.4</v>
      </c>
      <c r="BR18" s="10">
        <f t="shared" si="34"/>
        <v>5370.3711124215906</v>
      </c>
    </row>
    <row r="19" spans="3:70" x14ac:dyDescent="0.15">
      <c r="C19" s="89" t="s">
        <v>371</v>
      </c>
      <c r="D19" s="101"/>
      <c r="E19" s="101"/>
      <c r="F19" s="89"/>
      <c r="G19" s="101"/>
      <c r="I19" s="458">
        <f t="shared" si="35"/>
        <v>2034</v>
      </c>
      <c r="J19" s="39"/>
      <c r="K19" s="39">
        <f t="shared" si="36"/>
        <v>5</v>
      </c>
      <c r="L19" s="39"/>
      <c r="M19" s="40">
        <f t="shared" si="0"/>
        <v>0.86260878438416411</v>
      </c>
      <c r="N19" s="39"/>
      <c r="O19" s="72">
        <f t="shared" si="37"/>
        <v>619415.38255077007</v>
      </c>
      <c r="P19" s="41">
        <f t="shared" si="1"/>
        <v>0.14699999999999999</v>
      </c>
      <c r="Q19" s="39"/>
      <c r="R19" s="72">
        <f t="shared" si="16"/>
        <v>680599.68553679995</v>
      </c>
      <c r="S19" s="39"/>
      <c r="T19" s="72">
        <f t="shared" si="17"/>
        <v>680000</v>
      </c>
      <c r="U19" s="39"/>
      <c r="V19" s="72">
        <f t="shared" si="2"/>
        <v>91054.061234963199</v>
      </c>
      <c r="W19" s="72">
        <f t="shared" si="18"/>
        <v>78544.033075132844</v>
      </c>
      <c r="X19" s="39"/>
      <c r="Y19" s="72">
        <f t="shared" si="3"/>
        <v>0</v>
      </c>
      <c r="Z19" s="72">
        <f t="shared" si="19"/>
        <v>0</v>
      </c>
      <c r="AA19" s="39"/>
      <c r="AB19" s="72">
        <f t="shared" si="4"/>
        <v>0</v>
      </c>
      <c r="AC19" s="72">
        <f t="shared" si="20"/>
        <v>0</v>
      </c>
      <c r="AD19" s="39"/>
      <c r="AE19" s="72">
        <f t="shared" si="5"/>
        <v>0</v>
      </c>
      <c r="AF19" s="72">
        <f t="shared" si="21"/>
        <v>0</v>
      </c>
      <c r="AG19" s="39"/>
      <c r="AH19" s="72">
        <f t="shared" si="6"/>
        <v>15000</v>
      </c>
      <c r="AI19" s="72">
        <f t="shared" si="22"/>
        <v>12939.131765762462</v>
      </c>
      <c r="AJ19" s="39"/>
      <c r="AK19" s="72">
        <f t="shared" si="7"/>
        <v>0</v>
      </c>
      <c r="AL19" s="72">
        <f t="shared" si="23"/>
        <v>0</v>
      </c>
      <c r="AM19" s="39"/>
      <c r="AN19" s="72">
        <f t="shared" si="8"/>
        <v>0</v>
      </c>
      <c r="AO19" s="72">
        <f t="shared" si="24"/>
        <v>0</v>
      </c>
      <c r="AP19" s="39"/>
      <c r="AQ19" s="72">
        <f t="shared" si="9"/>
        <v>0</v>
      </c>
      <c r="AR19" s="72">
        <f t="shared" si="25"/>
        <v>0</v>
      </c>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0</v>
      </c>
      <c r="AU19" s="39"/>
      <c r="AV19" s="72">
        <f t="shared" si="10"/>
        <v>0</v>
      </c>
      <c r="AW19" s="72">
        <f t="shared" si="26"/>
        <v>0</v>
      </c>
      <c r="AX19" s="39"/>
      <c r="AY19" s="40">
        <f>IF(ISERROR(IF($K19&lt;=$F$15,VLOOKUP($I19,'表4）CO2価格'!$A$7:$E$67,VLOOKUP($F$48,'表4）CO2価格'!$H$10:$I$12,2,0),0)*$F$8/1000,"")),0,IF($K19&lt;=$F$15,VLOOKUP($I19,'表4）CO2価格'!$A$7:$E$67,VLOOKUP($F$48,'表4）CO2価格'!$H$10:$I$12,2,0),0)*$F$8/1000,""))</f>
        <v>0</v>
      </c>
      <c r="AZ19" s="39"/>
      <c r="BA19" s="42">
        <f t="shared" si="11"/>
        <v>0</v>
      </c>
      <c r="BB19" s="72">
        <f t="shared" si="27"/>
        <v>0</v>
      </c>
      <c r="BC19" s="39"/>
      <c r="BD19" s="72">
        <f t="shared" si="12"/>
        <v>0</v>
      </c>
      <c r="BE19" s="72">
        <f t="shared" si="28"/>
        <v>0</v>
      </c>
      <c r="BF19" s="39"/>
      <c r="BG19" s="42">
        <f t="shared" si="13"/>
        <v>0</v>
      </c>
      <c r="BH19" s="72">
        <f t="shared" si="29"/>
        <v>0</v>
      </c>
      <c r="BI19" s="39"/>
      <c r="BJ19" s="40">
        <f t="shared" si="30"/>
        <v>0.85428250712881859</v>
      </c>
      <c r="BK19" s="157">
        <f t="shared" si="31"/>
        <v>12814.237606932278</v>
      </c>
      <c r="BL19" s="157">
        <f t="shared" si="14"/>
        <v>5163.6251860894308</v>
      </c>
      <c r="BM19" s="72"/>
      <c r="BN19" s="72">
        <f t="shared" si="32"/>
        <v>158462.6948818255</v>
      </c>
      <c r="BO19" s="72">
        <f t="shared" si="33"/>
        <v>136691.3126022502</v>
      </c>
      <c r="BP19" s="39"/>
      <c r="BQ19" s="72">
        <f t="shared" si="15"/>
        <v>6044.4</v>
      </c>
      <c r="BR19" s="72">
        <f t="shared" si="34"/>
        <v>5213.9525363316416</v>
      </c>
    </row>
    <row r="20" spans="3:70" x14ac:dyDescent="0.15">
      <c r="I20" s="459">
        <f t="shared" si="35"/>
        <v>2035</v>
      </c>
      <c r="K20" s="71">
        <f t="shared" si="36"/>
        <v>6</v>
      </c>
      <c r="M20" s="7">
        <f t="shared" si="0"/>
        <v>0.83748425668365445</v>
      </c>
      <c r="O20" s="10">
        <f t="shared" si="37"/>
        <v>528361.32131580682</v>
      </c>
      <c r="P20" s="29">
        <f t="shared" si="1"/>
        <v>0.14699999999999999</v>
      </c>
      <c r="R20" s="10">
        <f t="shared" si="16"/>
        <v>594385.51148882345</v>
      </c>
      <c r="T20" s="10">
        <f t="shared" si="17"/>
        <v>594000</v>
      </c>
      <c r="V20" s="10">
        <f t="shared" si="2"/>
        <v>77669.114233423592</v>
      </c>
      <c r="W20" s="10">
        <f t="shared" si="18"/>
        <v>65046.660401056601</v>
      </c>
      <c r="Y20" s="10">
        <f t="shared" si="3"/>
        <v>0</v>
      </c>
      <c r="Z20" s="10">
        <f t="shared" si="19"/>
        <v>0</v>
      </c>
      <c r="AB20" s="10">
        <f t="shared" si="4"/>
        <v>0</v>
      </c>
      <c r="AC20" s="10">
        <f t="shared" si="20"/>
        <v>0</v>
      </c>
      <c r="AE20" s="10">
        <f t="shared" si="5"/>
        <v>0</v>
      </c>
      <c r="AF20" s="10">
        <f t="shared" si="21"/>
        <v>0</v>
      </c>
      <c r="AH20" s="10">
        <f t="shared" si="6"/>
        <v>15000</v>
      </c>
      <c r="AI20" s="10">
        <f t="shared" si="22"/>
        <v>12562.263850254816</v>
      </c>
      <c r="AK20" s="10">
        <f t="shared" si="7"/>
        <v>0</v>
      </c>
      <c r="AL20" s="10">
        <f t="shared" si="23"/>
        <v>0</v>
      </c>
      <c r="AN20" s="10">
        <f t="shared" si="8"/>
        <v>0</v>
      </c>
      <c r="AO20" s="10">
        <f t="shared" si="24"/>
        <v>0</v>
      </c>
      <c r="AQ20" s="10">
        <f t="shared" si="9"/>
        <v>0</v>
      </c>
      <c r="AR20" s="10">
        <f t="shared" si="25"/>
        <v>0</v>
      </c>
      <c r="AT20" s="7">
        <f>IF($K20&lt;=$F$15,IF($F$40&lt;&gt;"",$F$40/1000,IF(ISERROR(VLOOKUP($F$3&amp;IF($G$4&lt;&gt;"",$G$4,"")&amp;IF($F$43&lt;&gt;"","_"&amp;$F$43,""),'表3）燃料価格'!$AF$9:$AG$25,2,0)),0,VLOOKUP($I20,'表3）燃料価格'!$A$6:$U$66,VLOOKUP($F$3&amp;IF($G$4&lt;&gt;"",$G$4,"")&amp;IF($F$43&lt;&gt;"","_"&amp;$F$43,""),'表3）燃料価格'!$AF$9:$AG$25,2,0)+VLOOKUP($F$41,'表3）燃料価格'!$AF$28:$AG$29,2,0),0)*IF($F$43="需要地価格",1,$F$8/$F$141))),"")</f>
        <v>0</v>
      </c>
      <c r="AV20" s="10">
        <f t="shared" si="10"/>
        <v>0</v>
      </c>
      <c r="AW20" s="10">
        <f t="shared" si="26"/>
        <v>0</v>
      </c>
      <c r="AY20" s="7">
        <f>IF(ISERROR(IF($K20&lt;=$F$15,VLOOKUP($I20,'表4）CO2価格'!$A$7:$E$67,VLOOKUP($F$48,'表4）CO2価格'!$H$10:$I$12,2,0),0)*$F$8/1000,"")),0,IF($K20&lt;=$F$15,VLOOKUP($I20,'表4）CO2価格'!$A$7:$E$67,VLOOKUP($F$48,'表4）CO2価格'!$H$10:$I$12,2,0),0)*$F$8/1000,""))</f>
        <v>0</v>
      </c>
      <c r="BA20" s="11">
        <f t="shared" si="11"/>
        <v>0</v>
      </c>
      <c r="BB20" s="10">
        <f t="shared" si="27"/>
        <v>0</v>
      </c>
      <c r="BD20" s="10">
        <f t="shared" si="12"/>
        <v>0</v>
      </c>
      <c r="BE20" s="10">
        <f t="shared" si="28"/>
        <v>0</v>
      </c>
      <c r="BG20" s="11">
        <f t="shared" si="13"/>
        <v>0</v>
      </c>
      <c r="BH20" s="10">
        <f t="shared" si="29"/>
        <v>0</v>
      </c>
      <c r="BJ20" s="7">
        <f t="shared" si="30"/>
        <v>0.82779312706280883</v>
      </c>
      <c r="BK20" s="158">
        <f t="shared" si="31"/>
        <v>12416.896905942132</v>
      </c>
      <c r="BL20" s="158">
        <f t="shared" si="14"/>
        <v>5003.5127772184414</v>
      </c>
      <c r="BM20" s="10"/>
      <c r="BN20" s="10">
        <f t="shared" si="32"/>
        <v>158462.6948818255</v>
      </c>
      <c r="BO20" s="10">
        <f t="shared" si="33"/>
        <v>132710.01223519436</v>
      </c>
      <c r="BQ20" s="10">
        <f t="shared" si="15"/>
        <v>6044.4</v>
      </c>
      <c r="BR20" s="10">
        <f t="shared" si="34"/>
        <v>5062.0898410986811</v>
      </c>
    </row>
    <row r="21" spans="3:70" x14ac:dyDescent="0.15">
      <c r="D21" s="81" t="s">
        <v>110</v>
      </c>
      <c r="F21" s="147">
        <f>'表6）太陽光・風力シナリオ'!C12</f>
        <v>23.4</v>
      </c>
      <c r="G21" s="81" t="s">
        <v>174</v>
      </c>
      <c r="I21" s="458">
        <f t="shared" si="35"/>
        <v>2036</v>
      </c>
      <c r="J21" s="39"/>
      <c r="K21" s="39">
        <f t="shared" si="36"/>
        <v>7</v>
      </c>
      <c r="L21" s="39"/>
      <c r="M21" s="40">
        <f t="shared" si="0"/>
        <v>0.81309151134335378</v>
      </c>
      <c r="N21" s="39"/>
      <c r="O21" s="72">
        <f t="shared" si="37"/>
        <v>450692.20708238322</v>
      </c>
      <c r="P21" s="41">
        <f t="shared" si="1"/>
        <v>0.14699999999999999</v>
      </c>
      <c r="Q21" s="39"/>
      <c r="R21" s="72">
        <f t="shared" si="16"/>
        <v>519092.41772449762</v>
      </c>
      <c r="S21" s="39"/>
      <c r="T21" s="72">
        <f t="shared" si="17"/>
        <v>519000</v>
      </c>
      <c r="U21" s="39"/>
      <c r="V21" s="72">
        <f t="shared" si="2"/>
        <v>66251.75444111033</v>
      </c>
      <c r="W21" s="72">
        <f t="shared" si="18"/>
        <v>53868.739147671149</v>
      </c>
      <c r="X21" s="39"/>
      <c r="Y21" s="72">
        <f t="shared" si="3"/>
        <v>0</v>
      </c>
      <c r="Z21" s="72">
        <f t="shared" si="19"/>
        <v>0</v>
      </c>
      <c r="AA21" s="39"/>
      <c r="AB21" s="72">
        <f t="shared" si="4"/>
        <v>0</v>
      </c>
      <c r="AC21" s="72">
        <f t="shared" si="20"/>
        <v>0</v>
      </c>
      <c r="AD21" s="39"/>
      <c r="AE21" s="72">
        <f t="shared" si="5"/>
        <v>0</v>
      </c>
      <c r="AF21" s="72">
        <f t="shared" si="21"/>
        <v>0</v>
      </c>
      <c r="AG21" s="39"/>
      <c r="AH21" s="72">
        <f t="shared" si="6"/>
        <v>15000</v>
      </c>
      <c r="AI21" s="72">
        <f t="shared" si="22"/>
        <v>12196.372670150307</v>
      </c>
      <c r="AJ21" s="39"/>
      <c r="AK21" s="72">
        <f t="shared" si="7"/>
        <v>0</v>
      </c>
      <c r="AL21" s="72">
        <f t="shared" si="23"/>
        <v>0</v>
      </c>
      <c r="AM21" s="39"/>
      <c r="AN21" s="72">
        <f t="shared" si="8"/>
        <v>0</v>
      </c>
      <c r="AO21" s="72">
        <f t="shared" si="24"/>
        <v>0</v>
      </c>
      <c r="AP21" s="39"/>
      <c r="AQ21" s="72">
        <f t="shared" si="9"/>
        <v>0</v>
      </c>
      <c r="AR21" s="72">
        <f t="shared" si="25"/>
        <v>0</v>
      </c>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0</v>
      </c>
      <c r="AU21" s="39"/>
      <c r="AV21" s="72">
        <f t="shared" si="10"/>
        <v>0</v>
      </c>
      <c r="AW21" s="72">
        <f t="shared" si="26"/>
        <v>0</v>
      </c>
      <c r="AX21" s="39"/>
      <c r="AY21" s="40">
        <f>IF(ISERROR(IF($K21&lt;=$F$15,VLOOKUP($I21,'表4）CO2価格'!$A$7:$E$67,VLOOKUP($F$48,'表4）CO2価格'!$H$10:$I$12,2,0),0)*$F$8/1000,"")),0,IF($K21&lt;=$F$15,VLOOKUP($I21,'表4）CO2価格'!$A$7:$E$67,VLOOKUP($F$48,'表4）CO2価格'!$H$10:$I$12,2,0),0)*$F$8/1000,""))</f>
        <v>0</v>
      </c>
      <c r="AZ21" s="39"/>
      <c r="BA21" s="42">
        <f t="shared" si="11"/>
        <v>0</v>
      </c>
      <c r="BB21" s="72">
        <f t="shared" si="27"/>
        <v>0</v>
      </c>
      <c r="BC21" s="39"/>
      <c r="BD21" s="72">
        <f t="shared" si="12"/>
        <v>0</v>
      </c>
      <c r="BE21" s="72">
        <f t="shared" si="28"/>
        <v>0</v>
      </c>
      <c r="BF21" s="39"/>
      <c r="BG21" s="42">
        <f t="shared" si="13"/>
        <v>0</v>
      </c>
      <c r="BH21" s="72">
        <f t="shared" si="29"/>
        <v>0</v>
      </c>
      <c r="BI21" s="39"/>
      <c r="BJ21" s="40">
        <f t="shared" si="30"/>
        <v>0.80212512312287687</v>
      </c>
      <c r="BK21" s="157">
        <f t="shared" si="31"/>
        <v>12031.876846843154</v>
      </c>
      <c r="BL21" s="157">
        <f t="shared" si="14"/>
        <v>4848.3650942039167</v>
      </c>
      <c r="BM21" s="72"/>
      <c r="BN21" s="72">
        <f t="shared" si="32"/>
        <v>158462.6948818255</v>
      </c>
      <c r="BO21" s="72">
        <f t="shared" si="33"/>
        <v>128844.67207300423</v>
      </c>
      <c r="BP21" s="39"/>
      <c r="BQ21" s="72">
        <f t="shared" si="15"/>
        <v>6044.4</v>
      </c>
      <c r="BR21" s="72">
        <f t="shared" si="34"/>
        <v>4914.6503311637671</v>
      </c>
    </row>
    <row r="22" spans="3:70" ht="16.5" x14ac:dyDescent="0.15">
      <c r="D22" s="81" t="s">
        <v>111</v>
      </c>
      <c r="F22" s="90"/>
      <c r="G22" s="9" t="s">
        <v>372</v>
      </c>
      <c r="I22" s="459">
        <f t="shared" si="35"/>
        <v>2037</v>
      </c>
      <c r="K22" s="71">
        <f t="shared" si="36"/>
        <v>8</v>
      </c>
      <c r="M22" s="7">
        <f t="shared" si="0"/>
        <v>0.78940923431393573</v>
      </c>
      <c r="O22" s="10">
        <f t="shared" si="37"/>
        <v>384440.45264127292</v>
      </c>
      <c r="P22" s="29">
        <f t="shared" si="1"/>
        <v>0.14699999999999999</v>
      </c>
      <c r="R22" s="10">
        <f t="shared" si="16"/>
        <v>453336.98909336736</v>
      </c>
      <c r="T22" s="10">
        <f t="shared" si="17"/>
        <v>453000</v>
      </c>
      <c r="V22" s="10">
        <f t="shared" si="2"/>
        <v>56512.746538267114</v>
      </c>
      <c r="W22" s="10">
        <f t="shared" si="18"/>
        <v>44611.683973750965</v>
      </c>
      <c r="Y22" s="10">
        <f t="shared" si="3"/>
        <v>0</v>
      </c>
      <c r="Z22" s="10">
        <f t="shared" si="19"/>
        <v>0</v>
      </c>
      <c r="AB22" s="10">
        <f t="shared" si="4"/>
        <v>0</v>
      </c>
      <c r="AC22" s="10">
        <f t="shared" si="20"/>
        <v>0</v>
      </c>
      <c r="AE22" s="10">
        <f t="shared" si="5"/>
        <v>0</v>
      </c>
      <c r="AF22" s="10">
        <f t="shared" si="21"/>
        <v>0</v>
      </c>
      <c r="AH22" s="10">
        <f t="shared" si="6"/>
        <v>15000</v>
      </c>
      <c r="AI22" s="10">
        <f t="shared" si="22"/>
        <v>11841.138514709035</v>
      </c>
      <c r="AK22" s="10">
        <f t="shared" si="7"/>
        <v>0</v>
      </c>
      <c r="AL22" s="10">
        <f t="shared" si="23"/>
        <v>0</v>
      </c>
      <c r="AN22" s="10">
        <f t="shared" si="8"/>
        <v>0</v>
      </c>
      <c r="AO22" s="10">
        <f t="shared" si="24"/>
        <v>0</v>
      </c>
      <c r="AQ22" s="10">
        <f t="shared" si="9"/>
        <v>0</v>
      </c>
      <c r="AR22" s="10">
        <f t="shared" si="25"/>
        <v>0</v>
      </c>
      <c r="AT22" s="7">
        <f>IF($K22&lt;=$F$15,IF($F$40&lt;&gt;"",$F$40/1000,IF(ISERROR(VLOOKUP($F$3&amp;IF($G$4&lt;&gt;"",$G$4,"")&amp;IF($F$43&lt;&gt;"","_"&amp;$F$43,""),'表3）燃料価格'!$AF$9:$AG$25,2,0)),0,VLOOKUP($I22,'表3）燃料価格'!$A$6:$U$66,VLOOKUP($F$3&amp;IF($G$4&lt;&gt;"",$G$4,"")&amp;IF($F$43&lt;&gt;"","_"&amp;$F$43,""),'表3）燃料価格'!$AF$9:$AG$25,2,0)+VLOOKUP($F$41,'表3）燃料価格'!$AF$28:$AG$29,2,0),0)*IF($F$43="需要地価格",1,$F$8/$F$141))),"")</f>
        <v>0</v>
      </c>
      <c r="AV22" s="10">
        <f t="shared" si="10"/>
        <v>0</v>
      </c>
      <c r="AW22" s="10">
        <f t="shared" si="26"/>
        <v>0</v>
      </c>
      <c r="AY22" s="7">
        <f>IF(ISERROR(IF($K22&lt;=$F$15,VLOOKUP($I22,'表4）CO2価格'!$A$7:$E$67,VLOOKUP($F$48,'表4）CO2価格'!$H$10:$I$12,2,0),0)*$F$8/1000,"")),0,IF($K22&lt;=$F$15,VLOOKUP($I22,'表4）CO2価格'!$A$7:$E$67,VLOOKUP($F$48,'表4）CO2価格'!$H$10:$I$12,2,0),0)*$F$8/1000,""))</f>
        <v>0</v>
      </c>
      <c r="BA22" s="11">
        <f t="shared" si="11"/>
        <v>0</v>
      </c>
      <c r="BB22" s="10">
        <f t="shared" si="27"/>
        <v>0</v>
      </c>
      <c r="BD22" s="10">
        <f t="shared" si="12"/>
        <v>0</v>
      </c>
      <c r="BE22" s="10">
        <f t="shared" si="28"/>
        <v>0</v>
      </c>
      <c r="BG22" s="11">
        <f t="shared" si="13"/>
        <v>0</v>
      </c>
      <c r="BH22" s="10">
        <f t="shared" si="29"/>
        <v>0</v>
      </c>
      <c r="BJ22" s="7">
        <f t="shared" si="30"/>
        <v>0.77725302628185733</v>
      </c>
      <c r="BK22" s="158">
        <f t="shared" si="31"/>
        <v>11658.79539422786</v>
      </c>
      <c r="BL22" s="158">
        <f t="shared" si="14"/>
        <v>4698.0281920580583</v>
      </c>
      <c r="BM22" s="10"/>
      <c r="BN22" s="10">
        <f t="shared" si="32"/>
        <v>158462.6948818255</v>
      </c>
      <c r="BO22" s="10">
        <f t="shared" si="33"/>
        <v>125091.91463398469</v>
      </c>
      <c r="BQ22" s="10">
        <f t="shared" si="15"/>
        <v>6044.4</v>
      </c>
      <c r="BR22" s="10">
        <f t="shared" si="34"/>
        <v>4771.5051758871532</v>
      </c>
    </row>
    <row r="23" spans="3:70" x14ac:dyDescent="0.15">
      <c r="D23" s="81" t="s">
        <v>112</v>
      </c>
      <c r="F23" s="147"/>
      <c r="G23" s="81" t="s">
        <v>172</v>
      </c>
      <c r="I23" s="458">
        <f t="shared" si="35"/>
        <v>2038</v>
      </c>
      <c r="J23" s="39"/>
      <c r="K23" s="39">
        <f t="shared" si="36"/>
        <v>9</v>
      </c>
      <c r="L23" s="39"/>
      <c r="M23" s="40">
        <f t="shared" si="0"/>
        <v>0.76641673234362695</v>
      </c>
      <c r="N23" s="39"/>
      <c r="O23" s="72">
        <f t="shared" si="37"/>
        <v>327927.7061030058</v>
      </c>
      <c r="P23" s="41">
        <f t="shared" si="1"/>
        <v>0.14699999999999999</v>
      </c>
      <c r="Q23" s="39"/>
      <c r="R23" s="72">
        <f t="shared" si="16"/>
        <v>395911.05295110343</v>
      </c>
      <c r="S23" s="39"/>
      <c r="T23" s="72">
        <f t="shared" si="17"/>
        <v>395000</v>
      </c>
      <c r="U23" s="39"/>
      <c r="V23" s="72">
        <f t="shared" si="2"/>
        <v>48205.372797141848</v>
      </c>
      <c r="W23" s="72">
        <f t="shared" si="18"/>
        <v>36945.404300591821</v>
      </c>
      <c r="X23" s="39"/>
      <c r="Y23" s="72">
        <f t="shared" si="3"/>
        <v>0</v>
      </c>
      <c r="Z23" s="72">
        <f t="shared" si="19"/>
        <v>0</v>
      </c>
      <c r="AA23" s="39"/>
      <c r="AB23" s="72">
        <f t="shared" si="4"/>
        <v>0</v>
      </c>
      <c r="AC23" s="72">
        <f t="shared" si="20"/>
        <v>0</v>
      </c>
      <c r="AD23" s="39"/>
      <c r="AE23" s="72">
        <f t="shared" si="5"/>
        <v>0</v>
      </c>
      <c r="AF23" s="72">
        <f t="shared" si="21"/>
        <v>0</v>
      </c>
      <c r="AG23" s="39"/>
      <c r="AH23" s="72">
        <f>IF($K23&lt;=$F$15,$F$33*10^4*$F$13*10^4,"")</f>
        <v>15000</v>
      </c>
      <c r="AI23" s="72">
        <f t="shared" si="22"/>
        <v>11496.250985154404</v>
      </c>
      <c r="AJ23" s="39"/>
      <c r="AK23" s="72">
        <f t="shared" si="7"/>
        <v>0</v>
      </c>
      <c r="AL23" s="72">
        <f t="shared" si="23"/>
        <v>0</v>
      </c>
      <c r="AM23" s="39"/>
      <c r="AN23" s="72">
        <f t="shared" si="8"/>
        <v>0</v>
      </c>
      <c r="AO23" s="72">
        <f t="shared" si="24"/>
        <v>0</v>
      </c>
      <c r="AP23" s="39"/>
      <c r="AQ23" s="72">
        <f t="shared" si="9"/>
        <v>0</v>
      </c>
      <c r="AR23" s="72">
        <f t="shared" si="25"/>
        <v>0</v>
      </c>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0</v>
      </c>
      <c r="AU23" s="39"/>
      <c r="AV23" s="72">
        <f t="shared" si="10"/>
        <v>0</v>
      </c>
      <c r="AW23" s="72">
        <f t="shared" si="26"/>
        <v>0</v>
      </c>
      <c r="AX23" s="39"/>
      <c r="AY23" s="40">
        <f>IF(ISERROR(IF($K23&lt;=$F$15,VLOOKUP($I23,'表4）CO2価格'!$A$7:$E$67,VLOOKUP($F$48,'表4）CO2価格'!$H$10:$I$12,2,0),0)*$F$8/1000,"")),0,IF($K23&lt;=$F$15,VLOOKUP($I23,'表4）CO2価格'!$A$7:$E$67,VLOOKUP($F$48,'表4）CO2価格'!$H$10:$I$12,2,0),0)*$F$8/1000,""))</f>
        <v>0</v>
      </c>
      <c r="AZ23" s="39"/>
      <c r="BA23" s="42">
        <f t="shared" si="11"/>
        <v>0</v>
      </c>
      <c r="BB23" s="72">
        <f t="shared" si="27"/>
        <v>0</v>
      </c>
      <c r="BC23" s="39"/>
      <c r="BD23" s="72">
        <f t="shared" si="12"/>
        <v>0</v>
      </c>
      <c r="BE23" s="72">
        <f t="shared" si="28"/>
        <v>0</v>
      </c>
      <c r="BF23" s="39"/>
      <c r="BG23" s="42">
        <f t="shared" si="13"/>
        <v>0</v>
      </c>
      <c r="BH23" s="72">
        <f t="shared" si="29"/>
        <v>0</v>
      </c>
      <c r="BI23" s="39"/>
      <c r="BJ23" s="40">
        <f t="shared" si="30"/>
        <v>0.75315215724986173</v>
      </c>
      <c r="BK23" s="157">
        <f t="shared" si="31"/>
        <v>11297.282358747925</v>
      </c>
      <c r="BL23" s="157">
        <f t="shared" si="14"/>
        <v>4552.3528992810643</v>
      </c>
      <c r="BM23" s="72"/>
      <c r="BN23" s="72">
        <f t="shared" si="32"/>
        <v>158462.6948818255</v>
      </c>
      <c r="BO23" s="72">
        <f t="shared" si="33"/>
        <v>121448.46080969388</v>
      </c>
      <c r="BP23" s="39"/>
      <c r="BQ23" s="72">
        <f t="shared" si="15"/>
        <v>6044.4</v>
      </c>
      <c r="BR23" s="72">
        <f t="shared" si="34"/>
        <v>4632.5292969778184</v>
      </c>
    </row>
    <row r="24" spans="3:70" x14ac:dyDescent="0.15">
      <c r="D24" s="81" t="s">
        <v>113</v>
      </c>
      <c r="F24" s="68">
        <v>0</v>
      </c>
      <c r="G24" s="81" t="s">
        <v>172</v>
      </c>
      <c r="I24" s="459">
        <f t="shared" si="35"/>
        <v>2039</v>
      </c>
      <c r="K24" s="71">
        <f t="shared" si="36"/>
        <v>10</v>
      </c>
      <c r="M24" s="7">
        <f t="shared" si="0"/>
        <v>0.74409391489672516</v>
      </c>
      <c r="O24" s="10">
        <f t="shared" si="37"/>
        <v>279722.33330586395</v>
      </c>
      <c r="P24" s="29">
        <f t="shared" si="1"/>
        <v>0.14699999999999999</v>
      </c>
      <c r="R24" s="10">
        <f t="shared" si="16"/>
        <v>345759.48051873781</v>
      </c>
      <c r="T24" s="10">
        <f t="shared" si="17"/>
        <v>345000</v>
      </c>
      <c r="V24" s="10">
        <f t="shared" si="2"/>
        <v>41119.182995962001</v>
      </c>
      <c r="W24" s="10">
        <f t="shared" si="18"/>
        <v>30596.533852820219</v>
      </c>
      <c r="Y24" s="10">
        <f t="shared" si="3"/>
        <v>0</v>
      </c>
      <c r="Z24" s="10">
        <f t="shared" si="19"/>
        <v>0</v>
      </c>
      <c r="AB24" s="10">
        <f t="shared" si="4"/>
        <v>0</v>
      </c>
      <c r="AC24" s="10">
        <f t="shared" si="20"/>
        <v>0</v>
      </c>
      <c r="AE24" s="10">
        <f t="shared" si="5"/>
        <v>0</v>
      </c>
      <c r="AF24" s="10">
        <f t="shared" si="21"/>
        <v>0</v>
      </c>
      <c r="AH24" s="10">
        <f t="shared" si="6"/>
        <v>15000</v>
      </c>
      <c r="AI24" s="10">
        <f t="shared" si="22"/>
        <v>11161.408723450877</v>
      </c>
      <c r="AK24" s="10">
        <f t="shared" si="7"/>
        <v>0</v>
      </c>
      <c r="AL24" s="10">
        <f t="shared" si="23"/>
        <v>0</v>
      </c>
      <c r="AN24" s="10">
        <f t="shared" si="8"/>
        <v>0</v>
      </c>
      <c r="AO24" s="10">
        <f t="shared" si="24"/>
        <v>0</v>
      </c>
      <c r="AQ24" s="10">
        <f t="shared" si="9"/>
        <v>0</v>
      </c>
      <c r="AR24" s="10">
        <f t="shared" si="25"/>
        <v>0</v>
      </c>
      <c r="AT24" s="7">
        <f>IF($K24&lt;=$F$15,IF($F$40&lt;&gt;"",$F$40/1000,IF(ISERROR(VLOOKUP($F$3&amp;IF($G$4&lt;&gt;"",$G$4,"")&amp;IF($F$43&lt;&gt;"","_"&amp;$F$43,""),'表3）燃料価格'!$AF$9:$AG$25,2,0)),0,VLOOKUP($I24,'表3）燃料価格'!$A$6:$U$66,VLOOKUP($F$3&amp;IF($G$4&lt;&gt;"",$G$4,"")&amp;IF($F$43&lt;&gt;"","_"&amp;$F$43,""),'表3）燃料価格'!$AF$9:$AG$25,2,0)+VLOOKUP($F$41,'表3）燃料価格'!$AF$28:$AG$29,2,0),0)*IF($F$43="需要地価格",1,$F$8/$F$141))),"")</f>
        <v>0</v>
      </c>
      <c r="AV24" s="10">
        <f t="shared" si="10"/>
        <v>0</v>
      </c>
      <c r="AW24" s="10">
        <f t="shared" si="26"/>
        <v>0</v>
      </c>
      <c r="AY24" s="7">
        <f>IF(ISERROR(IF($K24&lt;=$F$15,VLOOKUP($I24,'表4）CO2価格'!$A$7:$E$67,VLOOKUP($F$48,'表4）CO2価格'!$H$10:$I$12,2,0),0)*$F$8/1000,"")),0,IF($K24&lt;=$F$15,VLOOKUP($I24,'表4）CO2価格'!$A$7:$E$67,VLOOKUP($F$48,'表4）CO2価格'!$H$10:$I$12,2,0),0)*$F$8/1000,""))</f>
        <v>0</v>
      </c>
      <c r="BA24" s="11">
        <f t="shared" si="11"/>
        <v>0</v>
      </c>
      <c r="BB24" s="10">
        <f t="shared" si="27"/>
        <v>0</v>
      </c>
      <c r="BD24" s="10">
        <f t="shared" si="12"/>
        <v>0</v>
      </c>
      <c r="BE24" s="10">
        <f t="shared" si="28"/>
        <v>0</v>
      </c>
      <c r="BG24" s="11">
        <f t="shared" si="13"/>
        <v>0</v>
      </c>
      <c r="BH24" s="10">
        <f t="shared" si="29"/>
        <v>0</v>
      </c>
      <c r="BJ24" s="7">
        <f t="shared" si="30"/>
        <v>0.7297986019863002</v>
      </c>
      <c r="BK24" s="158">
        <f t="shared" si="31"/>
        <v>10946.979029794504</v>
      </c>
      <c r="BL24" s="158">
        <f t="shared" si="14"/>
        <v>4411.1946698459924</v>
      </c>
      <c r="BM24" s="10"/>
      <c r="BN24" s="10">
        <f t="shared" si="32"/>
        <v>158462.6948818255</v>
      </c>
      <c r="BO24" s="10">
        <f t="shared" si="33"/>
        <v>117911.1269997028</v>
      </c>
      <c r="BQ24" s="10">
        <f t="shared" si="15"/>
        <v>6044.4</v>
      </c>
      <c r="BR24" s="10">
        <f t="shared" si="34"/>
        <v>4497.6012592017651</v>
      </c>
    </row>
    <row r="25" spans="3:70" x14ac:dyDescent="0.15">
      <c r="D25" s="81" t="s">
        <v>114</v>
      </c>
      <c r="F25" s="66">
        <v>0</v>
      </c>
      <c r="G25" s="81" t="s">
        <v>172</v>
      </c>
      <c r="I25" s="458">
        <f t="shared" si="35"/>
        <v>2040</v>
      </c>
      <c r="J25" s="39"/>
      <c r="K25" s="39">
        <f t="shared" si="36"/>
        <v>11</v>
      </c>
      <c r="L25" s="39"/>
      <c r="M25" s="40">
        <f t="shared" si="0"/>
        <v>0.72242127659876232</v>
      </c>
      <c r="N25" s="39"/>
      <c r="O25" s="72">
        <f t="shared" si="37"/>
        <v>238603.15030990195</v>
      </c>
      <c r="P25" s="41">
        <f t="shared" si="1"/>
        <v>0.14699999999999999</v>
      </c>
      <c r="Q25" s="39"/>
      <c r="R25" s="72">
        <f t="shared" si="16"/>
        <v>301960.80022891477</v>
      </c>
      <c r="S25" s="39"/>
      <c r="T25" s="72">
        <f t="shared" si="17"/>
        <v>301000</v>
      </c>
      <c r="U25" s="39"/>
      <c r="V25" s="72">
        <f t="shared" si="2"/>
        <v>35074.663095555581</v>
      </c>
      <c r="W25" s="72">
        <f t="shared" si="18"/>
        <v>25338.68288976276</v>
      </c>
      <c r="X25" s="39"/>
      <c r="Y25" s="72">
        <f t="shared" si="3"/>
        <v>0</v>
      </c>
      <c r="Z25" s="72">
        <f t="shared" si="19"/>
        <v>0</v>
      </c>
      <c r="AA25" s="39"/>
      <c r="AB25" s="72">
        <f t="shared" si="4"/>
        <v>0</v>
      </c>
      <c r="AC25" s="72">
        <f t="shared" si="20"/>
        <v>0</v>
      </c>
      <c r="AD25" s="39"/>
      <c r="AE25" s="72">
        <f t="shared" si="5"/>
        <v>0</v>
      </c>
      <c r="AF25" s="72">
        <f t="shared" si="21"/>
        <v>0</v>
      </c>
      <c r="AG25" s="39"/>
      <c r="AH25" s="72">
        <f t="shared" si="6"/>
        <v>15000</v>
      </c>
      <c r="AI25" s="72">
        <f t="shared" si="22"/>
        <v>10836.319148981434</v>
      </c>
      <c r="AJ25" s="39"/>
      <c r="AK25" s="72">
        <f t="shared" si="7"/>
        <v>0</v>
      </c>
      <c r="AL25" s="72">
        <f t="shared" si="23"/>
        <v>0</v>
      </c>
      <c r="AM25" s="39"/>
      <c r="AN25" s="72">
        <f t="shared" si="8"/>
        <v>0</v>
      </c>
      <c r="AO25" s="72">
        <f t="shared" si="24"/>
        <v>0</v>
      </c>
      <c r="AP25" s="39"/>
      <c r="AQ25" s="72">
        <f t="shared" si="9"/>
        <v>0</v>
      </c>
      <c r="AR25" s="72">
        <f t="shared" si="25"/>
        <v>0</v>
      </c>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0</v>
      </c>
      <c r="AU25" s="39"/>
      <c r="AV25" s="72">
        <f t="shared" si="10"/>
        <v>0</v>
      </c>
      <c r="AW25" s="72">
        <f t="shared" si="26"/>
        <v>0</v>
      </c>
      <c r="AX25" s="39"/>
      <c r="AY25" s="40">
        <f>IF(ISERROR(IF($K25&lt;=$F$15,VLOOKUP($I25,'表4）CO2価格'!$A$7:$E$67,VLOOKUP($F$48,'表4）CO2価格'!$H$10:$I$12,2,0),0)*$F$8/1000,"")),0,IF($K25&lt;=$F$15,VLOOKUP($I25,'表4）CO2価格'!$A$7:$E$67,VLOOKUP($F$48,'表4）CO2価格'!$H$10:$I$12,2,0),0)*$F$8/1000,""))</f>
        <v>0</v>
      </c>
      <c r="AZ25" s="39"/>
      <c r="BA25" s="42">
        <f t="shared" si="11"/>
        <v>0</v>
      </c>
      <c r="BB25" s="72">
        <f t="shared" si="27"/>
        <v>0</v>
      </c>
      <c r="BC25" s="39"/>
      <c r="BD25" s="72">
        <f t="shared" si="12"/>
        <v>0</v>
      </c>
      <c r="BE25" s="72">
        <f t="shared" si="28"/>
        <v>0</v>
      </c>
      <c r="BF25" s="39"/>
      <c r="BG25" s="42">
        <f t="shared" si="13"/>
        <v>0</v>
      </c>
      <c r="BH25" s="72">
        <f t="shared" si="29"/>
        <v>0</v>
      </c>
      <c r="BI25" s="39"/>
      <c r="BJ25" s="40">
        <f t="shared" si="30"/>
        <v>0.70716918797122119</v>
      </c>
      <c r="BK25" s="157">
        <f t="shared" si="31"/>
        <v>41369.397496316436</v>
      </c>
      <c r="BL25" s="157" t="str">
        <f t="shared" si="14"/>
        <v/>
      </c>
      <c r="BM25" s="72"/>
      <c r="BN25" s="72" t="str">
        <f t="shared" si="32"/>
        <v/>
      </c>
      <c r="BO25" s="72" t="str">
        <f t="shared" si="33"/>
        <v/>
      </c>
      <c r="BP25" s="39"/>
      <c r="BQ25" s="72">
        <f t="shared" si="15"/>
        <v>6044.4</v>
      </c>
      <c r="BR25" s="72">
        <f t="shared" si="34"/>
        <v>4366.6031642735588</v>
      </c>
    </row>
    <row r="26" spans="3:70" x14ac:dyDescent="0.15">
      <c r="D26" s="81" t="s">
        <v>115</v>
      </c>
      <c r="F26" s="59"/>
      <c r="G26" s="81" t="s">
        <v>175</v>
      </c>
      <c r="I26" s="459">
        <f t="shared" si="35"/>
        <v>2041</v>
      </c>
      <c r="K26" s="71">
        <f t="shared" si="36"/>
        <v>12</v>
      </c>
      <c r="M26" s="7">
        <f t="shared" si="0"/>
        <v>0.70137988019297326</v>
      </c>
      <c r="O26" s="10">
        <f t="shared" si="37"/>
        <v>203528.48721434636</v>
      </c>
      <c r="P26" s="29">
        <f t="shared" si="1"/>
        <v>0.16700000000000001</v>
      </c>
      <c r="R26" s="10">
        <f t="shared" si="16"/>
        <v>263710.26685397053</v>
      </c>
      <c r="T26" s="10">
        <f t="shared" si="17"/>
        <v>263000</v>
      </c>
      <c r="V26" s="10">
        <f t="shared" si="2"/>
        <v>33989.257364795842</v>
      </c>
      <c r="W26" s="10">
        <f t="shared" si="18"/>
        <v>23839.381258368641</v>
      </c>
      <c r="Y26" s="10">
        <f t="shared" si="3"/>
        <v>0</v>
      </c>
      <c r="Z26" s="10">
        <f t="shared" si="19"/>
        <v>0</v>
      </c>
      <c r="AB26" s="10">
        <f t="shared" si="4"/>
        <v>0</v>
      </c>
      <c r="AC26" s="10">
        <f t="shared" si="20"/>
        <v>0</v>
      </c>
      <c r="AE26" s="10">
        <f t="shared" si="5"/>
        <v>0</v>
      </c>
      <c r="AF26" s="10">
        <f t="shared" si="21"/>
        <v>0</v>
      </c>
      <c r="AH26" s="10">
        <f t="shared" si="6"/>
        <v>15000</v>
      </c>
      <c r="AI26" s="10">
        <f t="shared" si="22"/>
        <v>10520.698202894599</v>
      </c>
      <c r="AK26" s="10">
        <f t="shared" si="7"/>
        <v>0</v>
      </c>
      <c r="AL26" s="10">
        <f t="shared" si="23"/>
        <v>0</v>
      </c>
      <c r="AN26" s="10">
        <f t="shared" si="8"/>
        <v>0</v>
      </c>
      <c r="AO26" s="10">
        <f t="shared" si="24"/>
        <v>0</v>
      </c>
      <c r="AQ26" s="10">
        <f t="shared" si="9"/>
        <v>0</v>
      </c>
      <c r="AR26" s="10">
        <f t="shared" si="25"/>
        <v>0</v>
      </c>
      <c r="AT26" s="7">
        <f>IF($K26&lt;=$F$15,IF($F$40&lt;&gt;"",$F$40/1000,IF(ISERROR(VLOOKUP($F$3&amp;IF($G$4&lt;&gt;"",$G$4,"")&amp;IF($F$43&lt;&gt;"","_"&amp;$F$43,""),'表3）燃料価格'!$AF$9:$AG$25,2,0)),0,VLOOKUP($I26,'表3）燃料価格'!$A$6:$U$66,VLOOKUP($F$3&amp;IF($G$4&lt;&gt;"",$G$4,"")&amp;IF($F$43&lt;&gt;"","_"&amp;$F$43,""),'表3）燃料価格'!$AF$9:$AG$25,2,0)+VLOOKUP($F$41,'表3）燃料価格'!$AF$28:$AG$29,2,0),0)*IF($F$43="需要地価格",1,$F$8/$F$141))),"")</f>
        <v>0</v>
      </c>
      <c r="AV26" s="10">
        <f t="shared" si="10"/>
        <v>0</v>
      </c>
      <c r="AW26" s="10">
        <f t="shared" si="26"/>
        <v>0</v>
      </c>
      <c r="AY26" s="7">
        <f>IF(ISERROR(IF($K26&lt;=$F$15,VLOOKUP($I26,'表4）CO2価格'!$A$7:$E$67,VLOOKUP($F$48,'表4）CO2価格'!$H$10:$I$12,2,0),0)*$F$8/1000,"")),0,IF($K26&lt;=$F$15,VLOOKUP($I26,'表4）CO2価格'!$A$7:$E$67,VLOOKUP($F$48,'表4）CO2価格'!$H$10:$I$12,2,0),0)*$F$8/1000,""))</f>
        <v>0</v>
      </c>
      <c r="BA26" s="11">
        <f t="shared" si="11"/>
        <v>0</v>
      </c>
      <c r="BB26" s="10">
        <f t="shared" si="27"/>
        <v>0</v>
      </c>
      <c r="BD26" s="10">
        <f t="shared" si="12"/>
        <v>0</v>
      </c>
      <c r="BE26" s="10">
        <f t="shared" si="28"/>
        <v>0</v>
      </c>
      <c r="BG26" s="11">
        <f t="shared" si="13"/>
        <v>0</v>
      </c>
      <c r="BH26" s="10">
        <f t="shared" si="29"/>
        <v>0</v>
      </c>
      <c r="BJ26" s="7" t="str">
        <f t="shared" si="30"/>
        <v/>
      </c>
      <c r="BK26" s="158" t="str">
        <f t="shared" si="31"/>
        <v/>
      </c>
      <c r="BL26" s="158" t="str">
        <f t="shared" si="14"/>
        <v/>
      </c>
      <c r="BM26" s="10"/>
      <c r="BN26" s="10" t="str">
        <f t="shared" si="32"/>
        <v/>
      </c>
      <c r="BO26" s="10" t="str">
        <f t="shared" si="33"/>
        <v/>
      </c>
      <c r="BQ26" s="10">
        <f t="shared" si="15"/>
        <v>6044.4</v>
      </c>
      <c r="BR26" s="10">
        <f t="shared" si="34"/>
        <v>4239.4205478384074</v>
      </c>
    </row>
    <row r="27" spans="3:70" x14ac:dyDescent="0.15">
      <c r="D27" s="82" t="s">
        <v>86</v>
      </c>
      <c r="F27" s="373">
        <f>F117*5%/10^8</f>
        <v>5.8500000000000002E-4</v>
      </c>
      <c r="G27" s="81" t="s">
        <v>176</v>
      </c>
      <c r="I27" s="458">
        <f t="shared" si="35"/>
        <v>2042</v>
      </c>
      <c r="J27" s="39"/>
      <c r="K27" s="39">
        <f t="shared" si="36"/>
        <v>13</v>
      </c>
      <c r="L27" s="39"/>
      <c r="M27" s="40">
        <f t="shared" si="0"/>
        <v>0.68095133999317792</v>
      </c>
      <c r="N27" s="39"/>
      <c r="O27" s="72">
        <f t="shared" si="37"/>
        <v>169539.22984955052</v>
      </c>
      <c r="P27" s="41" t="str">
        <f t="shared" si="1"/>
        <v>-</v>
      </c>
      <c r="Q27" s="39"/>
      <c r="R27" s="72">
        <f t="shared" si="16"/>
        <v>230305.07533253363</v>
      </c>
      <c r="S27" s="39"/>
      <c r="T27" s="72">
        <f t="shared" si="17"/>
        <v>230000</v>
      </c>
      <c r="U27" s="39"/>
      <c r="V27" s="72">
        <f t="shared" si="2"/>
        <v>33989.257364795842</v>
      </c>
      <c r="W27" s="72">
        <f t="shared" si="18"/>
        <v>23145.030347930719</v>
      </c>
      <c r="X27" s="39"/>
      <c r="Y27" s="72">
        <f t="shared" si="3"/>
        <v>0</v>
      </c>
      <c r="Z27" s="72">
        <f t="shared" si="19"/>
        <v>0</v>
      </c>
      <c r="AA27" s="39"/>
      <c r="AB27" s="72">
        <f t="shared" si="4"/>
        <v>0</v>
      </c>
      <c r="AC27" s="72">
        <f t="shared" si="20"/>
        <v>0</v>
      </c>
      <c r="AD27" s="39"/>
      <c r="AE27" s="72">
        <f t="shared" si="5"/>
        <v>0</v>
      </c>
      <c r="AF27" s="72">
        <f t="shared" si="21"/>
        <v>0</v>
      </c>
      <c r="AG27" s="39"/>
      <c r="AH27" s="72">
        <f t="shared" si="6"/>
        <v>15000</v>
      </c>
      <c r="AI27" s="72">
        <f t="shared" si="22"/>
        <v>10214.270099897669</v>
      </c>
      <c r="AJ27" s="39"/>
      <c r="AK27" s="72">
        <f t="shared" si="7"/>
        <v>0</v>
      </c>
      <c r="AL27" s="72">
        <f t="shared" si="23"/>
        <v>0</v>
      </c>
      <c r="AM27" s="39"/>
      <c r="AN27" s="72">
        <f t="shared" si="8"/>
        <v>0</v>
      </c>
      <c r="AO27" s="72">
        <f t="shared" si="24"/>
        <v>0</v>
      </c>
      <c r="AP27" s="39"/>
      <c r="AQ27" s="72">
        <f t="shared" si="9"/>
        <v>0</v>
      </c>
      <c r="AR27" s="72">
        <f t="shared" si="25"/>
        <v>0</v>
      </c>
      <c r="AS27" s="39"/>
      <c r="AT27" s="40">
        <f>IF($K27&lt;=$F$15,IF($F$40&lt;&gt;"",$F$40/1000,IF(ISERROR(VLOOKUP($F$3&amp;IF($G$4&lt;&gt;"",$G$4,"")&amp;IF($F$43&lt;&gt;"","_"&amp;$F$43,""),'表3）燃料価格'!$AF$9:$AG$25,2,0)),0,VLOOKUP($I27,'表3）燃料価格'!$A$6:$U$66,VLOOKUP($F$3&amp;IF($G$4&lt;&gt;"",$G$4,"")&amp;IF($F$43&lt;&gt;"","_"&amp;$F$43,""),'表3）燃料価格'!$AF$9:$AG$25,2,0)+VLOOKUP($F$41,'表3）燃料価格'!$AF$28:$AG$29,2,0),0)*IF($F$43="需要地価格",1,$F$8/$F$141))),"")</f>
        <v>0</v>
      </c>
      <c r="AU27" s="39"/>
      <c r="AV27" s="72">
        <f t="shared" si="10"/>
        <v>0</v>
      </c>
      <c r="AW27" s="72">
        <f t="shared" si="26"/>
        <v>0</v>
      </c>
      <c r="AX27" s="39"/>
      <c r="AY27" s="40">
        <f>IF(ISERROR(IF($K27&lt;=$F$15,VLOOKUP($I27,'表4）CO2価格'!$A$7:$E$67,VLOOKUP($F$48,'表4）CO2価格'!$H$10:$I$12,2,0),0)*$F$8/1000,"")),0,IF($K27&lt;=$F$15,VLOOKUP($I27,'表4）CO2価格'!$A$7:$E$67,VLOOKUP($F$48,'表4）CO2価格'!$H$10:$I$12,2,0),0)*$F$8/1000,""))</f>
        <v>0</v>
      </c>
      <c r="AZ27" s="39"/>
      <c r="BA27" s="42">
        <f t="shared" si="11"/>
        <v>0</v>
      </c>
      <c r="BB27" s="72">
        <f t="shared" si="27"/>
        <v>0</v>
      </c>
      <c r="BC27" s="39"/>
      <c r="BD27" s="72">
        <f t="shared" si="12"/>
        <v>0</v>
      </c>
      <c r="BE27" s="72">
        <f t="shared" si="28"/>
        <v>0</v>
      </c>
      <c r="BF27" s="39"/>
      <c r="BG27" s="42">
        <f t="shared" si="13"/>
        <v>0</v>
      </c>
      <c r="BH27" s="72">
        <f t="shared" si="29"/>
        <v>0</v>
      </c>
      <c r="BI27" s="39"/>
      <c r="BJ27" s="40" t="str">
        <f t="shared" si="30"/>
        <v/>
      </c>
      <c r="BK27" s="157" t="str">
        <f t="shared" si="31"/>
        <v/>
      </c>
      <c r="BL27" s="157" t="str">
        <f t="shared" si="14"/>
        <v/>
      </c>
      <c r="BM27" s="72"/>
      <c r="BN27" s="72" t="str">
        <f t="shared" si="32"/>
        <v/>
      </c>
      <c r="BO27" s="72" t="str">
        <f t="shared" si="33"/>
        <v/>
      </c>
      <c r="BP27" s="39"/>
      <c r="BQ27" s="72">
        <f t="shared" si="15"/>
        <v>6044.4</v>
      </c>
      <c r="BR27" s="72">
        <f t="shared" si="34"/>
        <v>4115.9422794547645</v>
      </c>
    </row>
    <row r="28" spans="3:70" x14ac:dyDescent="0.15">
      <c r="D28" s="81" t="s">
        <v>116</v>
      </c>
      <c r="F28" s="59">
        <v>1</v>
      </c>
      <c r="G28" s="81" t="s">
        <v>108</v>
      </c>
      <c r="I28" s="459">
        <f t="shared" si="35"/>
        <v>2043</v>
      </c>
      <c r="K28" s="71">
        <f t="shared" si="36"/>
        <v>14</v>
      </c>
      <c r="M28" s="7">
        <f t="shared" si="0"/>
        <v>0.66111780581861923</v>
      </c>
      <c r="O28" s="10">
        <f t="shared" si="37"/>
        <v>135549.97248475469</v>
      </c>
      <c r="P28" s="29" t="str">
        <f t="shared" si="1"/>
        <v>-</v>
      </c>
      <c r="R28" s="10">
        <f t="shared" si="16"/>
        <v>201131.44761745323</v>
      </c>
      <c r="T28" s="10">
        <f t="shared" si="17"/>
        <v>201000</v>
      </c>
      <c r="V28" s="10">
        <f t="shared" si="2"/>
        <v>33989.257364795842</v>
      </c>
      <c r="W28" s="10">
        <f t="shared" si="18"/>
        <v>22470.903250418171</v>
      </c>
      <c r="Y28" s="10">
        <f t="shared" si="3"/>
        <v>0</v>
      </c>
      <c r="Z28" s="10">
        <f t="shared" si="19"/>
        <v>0</v>
      </c>
      <c r="AB28" s="10">
        <f t="shared" si="4"/>
        <v>0</v>
      </c>
      <c r="AC28" s="10">
        <f t="shared" si="20"/>
        <v>0</v>
      </c>
      <c r="AE28" s="10">
        <f t="shared" si="5"/>
        <v>0</v>
      </c>
      <c r="AF28" s="10">
        <f t="shared" si="21"/>
        <v>0</v>
      </c>
      <c r="AH28" s="10">
        <f t="shared" si="6"/>
        <v>15000</v>
      </c>
      <c r="AI28" s="10">
        <f t="shared" si="22"/>
        <v>9916.7670872792878</v>
      </c>
      <c r="AK28" s="10">
        <f t="shared" si="7"/>
        <v>0</v>
      </c>
      <c r="AL28" s="10">
        <f t="shared" si="23"/>
        <v>0</v>
      </c>
      <c r="AN28" s="10">
        <f t="shared" si="8"/>
        <v>0</v>
      </c>
      <c r="AO28" s="10">
        <f t="shared" si="24"/>
        <v>0</v>
      </c>
      <c r="AQ28" s="10">
        <f t="shared" si="9"/>
        <v>0</v>
      </c>
      <c r="AR28" s="10">
        <f t="shared" si="25"/>
        <v>0</v>
      </c>
      <c r="AT28" s="7">
        <f>IF($K28&lt;=$F$15,IF($F$40&lt;&gt;"",$F$40/1000,IF(ISERROR(VLOOKUP($F$3&amp;IF($G$4&lt;&gt;"",$G$4,"")&amp;IF($F$43&lt;&gt;"","_"&amp;$F$43,""),'表3）燃料価格'!$AF$9:$AG$25,2,0)),0,VLOOKUP($I28,'表3）燃料価格'!$A$6:$U$66,VLOOKUP($F$3&amp;IF($G$4&lt;&gt;"",$G$4,"")&amp;IF($F$43&lt;&gt;"","_"&amp;$F$43,""),'表3）燃料価格'!$AF$9:$AG$25,2,0)+VLOOKUP($F$41,'表3）燃料価格'!$AF$28:$AG$29,2,0),0)*IF($F$43="需要地価格",1,$F$8/$F$141))),"")</f>
        <v>0</v>
      </c>
      <c r="AV28" s="10">
        <f t="shared" si="10"/>
        <v>0</v>
      </c>
      <c r="AW28" s="10">
        <f t="shared" si="26"/>
        <v>0</v>
      </c>
      <c r="AY28" s="7">
        <f>IF(ISERROR(IF($K28&lt;=$F$15,VLOOKUP($I28,'表4）CO2価格'!$A$7:$E$67,VLOOKUP($F$48,'表4）CO2価格'!$H$10:$I$12,2,0),0)*$F$8/1000,"")),0,IF($K28&lt;=$F$15,VLOOKUP($I28,'表4）CO2価格'!$A$7:$E$67,VLOOKUP($F$48,'表4）CO2価格'!$H$10:$I$12,2,0),0)*$F$8/1000,""))</f>
        <v>0</v>
      </c>
      <c r="BA28" s="11">
        <f t="shared" si="11"/>
        <v>0</v>
      </c>
      <c r="BB28" s="10">
        <f t="shared" si="27"/>
        <v>0</v>
      </c>
      <c r="BD28" s="10">
        <f t="shared" si="12"/>
        <v>0</v>
      </c>
      <c r="BE28" s="10">
        <f t="shared" si="28"/>
        <v>0</v>
      </c>
      <c r="BG28" s="11">
        <f t="shared" si="13"/>
        <v>0</v>
      </c>
      <c r="BH28" s="10">
        <f t="shared" si="29"/>
        <v>0</v>
      </c>
      <c r="BJ28" s="7" t="str">
        <f t="shared" si="30"/>
        <v/>
      </c>
      <c r="BK28" s="158" t="str">
        <f t="shared" si="31"/>
        <v/>
      </c>
      <c r="BL28" s="158" t="str">
        <f t="shared" si="14"/>
        <v/>
      </c>
      <c r="BM28" s="10"/>
      <c r="BN28" s="10" t="str">
        <f t="shared" si="32"/>
        <v/>
      </c>
      <c r="BO28" s="10" t="str">
        <f t="shared" si="33"/>
        <v/>
      </c>
      <c r="BQ28" s="10">
        <f t="shared" si="15"/>
        <v>6044.4</v>
      </c>
      <c r="BR28" s="10">
        <f t="shared" si="34"/>
        <v>3996.0604654900617</v>
      </c>
    </row>
    <row r="29" spans="3:70" x14ac:dyDescent="0.15">
      <c r="D29" s="81" t="s">
        <v>117</v>
      </c>
      <c r="F29" s="59"/>
      <c r="G29" s="81" t="s">
        <v>176</v>
      </c>
      <c r="I29" s="458">
        <f t="shared" si="35"/>
        <v>2044</v>
      </c>
      <c r="J29" s="39"/>
      <c r="K29" s="39">
        <f t="shared" si="36"/>
        <v>15</v>
      </c>
      <c r="L29" s="39"/>
      <c r="M29" s="40">
        <f t="shared" si="0"/>
        <v>0.64186194739671765</v>
      </c>
      <c r="N29" s="39"/>
      <c r="O29" s="72">
        <f t="shared" si="37"/>
        <v>101560.71511995886</v>
      </c>
      <c r="P29" s="41" t="str">
        <f t="shared" si="1"/>
        <v>-</v>
      </c>
      <c r="Q29" s="39"/>
      <c r="R29" s="72">
        <f t="shared" si="16"/>
        <v>175653.35528225632</v>
      </c>
      <c r="S29" s="39"/>
      <c r="T29" s="72">
        <f t="shared" si="17"/>
        <v>175000</v>
      </c>
      <c r="U29" s="39"/>
      <c r="V29" s="72">
        <f t="shared" si="2"/>
        <v>33989.257364795842</v>
      </c>
      <c r="W29" s="72">
        <f t="shared" si="18"/>
        <v>21816.410922736086</v>
      </c>
      <c r="X29" s="39"/>
      <c r="Y29" s="72">
        <f t="shared" si="3"/>
        <v>0</v>
      </c>
      <c r="Z29" s="72">
        <f t="shared" si="19"/>
        <v>0</v>
      </c>
      <c r="AA29" s="39"/>
      <c r="AB29" s="72">
        <f t="shared" si="4"/>
        <v>0</v>
      </c>
      <c r="AC29" s="72">
        <f t="shared" si="20"/>
        <v>0</v>
      </c>
      <c r="AD29" s="39"/>
      <c r="AE29" s="72">
        <f t="shared" si="5"/>
        <v>0</v>
      </c>
      <c r="AF29" s="72">
        <f t="shared" si="21"/>
        <v>0</v>
      </c>
      <c r="AG29" s="39"/>
      <c r="AH29" s="72">
        <f t="shared" si="6"/>
        <v>15000</v>
      </c>
      <c r="AI29" s="72">
        <f t="shared" si="22"/>
        <v>9627.9292109507642</v>
      </c>
      <c r="AJ29" s="39"/>
      <c r="AK29" s="72">
        <f t="shared" si="7"/>
        <v>0</v>
      </c>
      <c r="AL29" s="72">
        <f t="shared" si="23"/>
        <v>0</v>
      </c>
      <c r="AM29" s="39"/>
      <c r="AN29" s="72">
        <f t="shared" si="8"/>
        <v>0</v>
      </c>
      <c r="AO29" s="72">
        <f t="shared" si="24"/>
        <v>0</v>
      </c>
      <c r="AP29" s="39"/>
      <c r="AQ29" s="72">
        <f t="shared" si="9"/>
        <v>0</v>
      </c>
      <c r="AR29" s="72">
        <f t="shared" si="25"/>
        <v>0</v>
      </c>
      <c r="AS29" s="39"/>
      <c r="AT29" s="40">
        <f>IF($K29&lt;=$F$15,IF($F$40&lt;&gt;"",$F$40/1000,IF(ISERROR(VLOOKUP($F$3&amp;IF($G$4&lt;&gt;"",$G$4,"")&amp;IF($F$43&lt;&gt;"","_"&amp;$F$43,""),'表3）燃料価格'!$AF$9:$AG$25,2,0)),0,VLOOKUP($I29,'表3）燃料価格'!$A$6:$U$66,VLOOKUP($F$3&amp;IF($G$4&lt;&gt;"",$G$4,"")&amp;IF($F$43&lt;&gt;"","_"&amp;$F$43,""),'表3）燃料価格'!$AF$9:$AG$25,2,0)+VLOOKUP($F$41,'表3）燃料価格'!$AF$28:$AG$29,2,0),0)*IF($F$43="需要地価格",1,$F$8/$F$141))),"")</f>
        <v>0</v>
      </c>
      <c r="AU29" s="39"/>
      <c r="AV29" s="72">
        <f t="shared" si="10"/>
        <v>0</v>
      </c>
      <c r="AW29" s="72">
        <f t="shared" si="26"/>
        <v>0</v>
      </c>
      <c r="AX29" s="39"/>
      <c r="AY29" s="40">
        <f>IF(ISERROR(IF($K29&lt;=$F$15,VLOOKUP($I29,'表4）CO2価格'!$A$7:$E$67,VLOOKUP($F$48,'表4）CO2価格'!$H$10:$I$12,2,0),0)*$F$8/1000,"")),0,IF($K29&lt;=$F$15,VLOOKUP($I29,'表4）CO2価格'!$A$7:$E$67,VLOOKUP($F$48,'表4）CO2価格'!$H$10:$I$12,2,0),0)*$F$8/1000,""))</f>
        <v>0</v>
      </c>
      <c r="AZ29" s="39"/>
      <c r="BA29" s="42">
        <f t="shared" si="11"/>
        <v>0</v>
      </c>
      <c r="BB29" s="72">
        <f t="shared" si="27"/>
        <v>0</v>
      </c>
      <c r="BC29" s="39"/>
      <c r="BD29" s="72">
        <f t="shared" si="12"/>
        <v>0</v>
      </c>
      <c r="BE29" s="72">
        <f t="shared" si="28"/>
        <v>0</v>
      </c>
      <c r="BF29" s="39"/>
      <c r="BG29" s="42">
        <f t="shared" si="13"/>
        <v>0</v>
      </c>
      <c r="BH29" s="72">
        <f t="shared" si="29"/>
        <v>0</v>
      </c>
      <c r="BI29" s="39"/>
      <c r="BJ29" s="40" t="str">
        <f t="shared" si="30"/>
        <v/>
      </c>
      <c r="BK29" s="157" t="str">
        <f t="shared" si="31"/>
        <v/>
      </c>
      <c r="BL29" s="157" t="str">
        <f t="shared" si="14"/>
        <v/>
      </c>
      <c r="BM29" s="72"/>
      <c r="BN29" s="72" t="str">
        <f t="shared" si="32"/>
        <v/>
      </c>
      <c r="BO29" s="72" t="str">
        <f t="shared" si="33"/>
        <v/>
      </c>
      <c r="BP29" s="39"/>
      <c r="BQ29" s="72">
        <f t="shared" si="15"/>
        <v>6044.4</v>
      </c>
      <c r="BR29" s="72">
        <f t="shared" si="34"/>
        <v>3879.6703548447199</v>
      </c>
    </row>
    <row r="30" spans="3:70" x14ac:dyDescent="0.15">
      <c r="I30" s="459">
        <f t="shared" si="35"/>
        <v>2045</v>
      </c>
      <c r="K30" s="71">
        <f t="shared" si="36"/>
        <v>16</v>
      </c>
      <c r="M30" s="7">
        <f t="shared" si="0"/>
        <v>0.62316693922011435</v>
      </c>
      <c r="O30" s="10">
        <f t="shared" si="37"/>
        <v>67571.457755163021</v>
      </c>
      <c r="P30" s="29" t="str">
        <f t="shared" si="1"/>
        <v>-</v>
      </c>
      <c r="R30" s="10">
        <f t="shared" si="16"/>
        <v>153402.67067832305</v>
      </c>
      <c r="T30" s="10">
        <f t="shared" si="17"/>
        <v>153000</v>
      </c>
      <c r="V30" s="10">
        <f t="shared" si="2"/>
        <v>33989.257364795842</v>
      </c>
      <c r="W30" s="10">
        <f t="shared" si="18"/>
        <v>21180.981478384554</v>
      </c>
      <c r="Y30" s="10">
        <f t="shared" si="3"/>
        <v>0</v>
      </c>
      <c r="Z30" s="10">
        <f t="shared" si="19"/>
        <v>0</v>
      </c>
      <c r="AB30" s="10">
        <f t="shared" si="4"/>
        <v>0</v>
      </c>
      <c r="AC30" s="10">
        <f t="shared" si="20"/>
        <v>0</v>
      </c>
      <c r="AE30" s="10">
        <f t="shared" si="5"/>
        <v>0</v>
      </c>
      <c r="AF30" s="10">
        <f t="shared" si="21"/>
        <v>0</v>
      </c>
      <c r="AH30" s="10">
        <f t="shared" si="6"/>
        <v>15000</v>
      </c>
      <c r="AI30" s="10">
        <f t="shared" si="22"/>
        <v>9347.5040883017155</v>
      </c>
      <c r="AK30" s="10">
        <f t="shared" si="7"/>
        <v>0</v>
      </c>
      <c r="AL30" s="10">
        <f t="shared" si="23"/>
        <v>0</v>
      </c>
      <c r="AN30" s="10">
        <f t="shared" si="8"/>
        <v>0</v>
      </c>
      <c r="AO30" s="10">
        <f t="shared" si="24"/>
        <v>0</v>
      </c>
      <c r="AQ30" s="10">
        <f t="shared" si="9"/>
        <v>0</v>
      </c>
      <c r="AR30" s="10">
        <f t="shared" si="25"/>
        <v>0</v>
      </c>
      <c r="AT30" s="7">
        <f>IF($K30&lt;=$F$15,IF($F$40&lt;&gt;"",$F$40/1000,IF(ISERROR(VLOOKUP($F$3&amp;IF($G$4&lt;&gt;"",$G$4,"")&amp;IF($F$43&lt;&gt;"","_"&amp;$F$43,""),'表3）燃料価格'!$AF$9:$AG$25,2,0)),0,VLOOKUP($I30,'表3）燃料価格'!$A$6:$U$66,VLOOKUP($F$3&amp;IF($G$4&lt;&gt;"",$G$4,"")&amp;IF($F$43&lt;&gt;"","_"&amp;$F$43,""),'表3）燃料価格'!$AF$9:$AG$25,2,0)+VLOOKUP($F$41,'表3）燃料価格'!$AF$28:$AG$29,2,0),0)*IF($F$43="需要地価格",1,$F$8/$F$141))),"")</f>
        <v>0</v>
      </c>
      <c r="AV30" s="10">
        <f t="shared" si="10"/>
        <v>0</v>
      </c>
      <c r="AW30" s="10">
        <f t="shared" si="26"/>
        <v>0</v>
      </c>
      <c r="AY30" s="7">
        <f>IF(ISERROR(IF($K30&lt;=$F$15,VLOOKUP($I30,'表4）CO2価格'!$A$7:$E$67,VLOOKUP($F$48,'表4）CO2価格'!$H$10:$I$12,2,0),0)*$F$8/1000,"")),0,IF($K30&lt;=$F$15,VLOOKUP($I30,'表4）CO2価格'!$A$7:$E$67,VLOOKUP($F$48,'表4）CO2価格'!$H$10:$I$12,2,0),0)*$F$8/1000,""))</f>
        <v>0</v>
      </c>
      <c r="BA30" s="11">
        <f t="shared" si="11"/>
        <v>0</v>
      </c>
      <c r="BB30" s="10">
        <f t="shared" si="27"/>
        <v>0</v>
      </c>
      <c r="BD30" s="10">
        <f t="shared" si="12"/>
        <v>0</v>
      </c>
      <c r="BE30" s="10">
        <f t="shared" si="28"/>
        <v>0</v>
      </c>
      <c r="BG30" s="11">
        <f t="shared" si="13"/>
        <v>0</v>
      </c>
      <c r="BH30" s="10">
        <f t="shared" si="29"/>
        <v>0</v>
      </c>
      <c r="BJ30" s="7" t="str">
        <f t="shared" si="30"/>
        <v/>
      </c>
      <c r="BK30" s="158" t="str">
        <f t="shared" si="31"/>
        <v/>
      </c>
      <c r="BL30" s="158" t="str">
        <f t="shared" si="14"/>
        <v/>
      </c>
      <c r="BM30" s="10"/>
      <c r="BN30" s="10" t="str">
        <f t="shared" si="32"/>
        <v/>
      </c>
      <c r="BO30" s="10" t="str">
        <f t="shared" si="33"/>
        <v/>
      </c>
      <c r="BQ30" s="10">
        <f t="shared" si="15"/>
        <v>6044.4</v>
      </c>
      <c r="BR30" s="10">
        <f t="shared" si="34"/>
        <v>3766.6702474220588</v>
      </c>
    </row>
    <row r="31" spans="3:70" x14ac:dyDescent="0.15">
      <c r="C31" s="89" t="s">
        <v>507</v>
      </c>
      <c r="D31" s="101"/>
      <c r="E31" s="101"/>
      <c r="F31" s="89"/>
      <c r="G31" s="101"/>
      <c r="I31" s="458">
        <f t="shared" si="35"/>
        <v>2046</v>
      </c>
      <c r="J31" s="39"/>
      <c r="K31" s="39">
        <f t="shared" si="36"/>
        <v>17</v>
      </c>
      <c r="L31" s="39"/>
      <c r="M31" s="40">
        <f t="shared" si="0"/>
        <v>0.60501644584477121</v>
      </c>
      <c r="N31" s="39"/>
      <c r="O31" s="72">
        <f t="shared" si="37"/>
        <v>33582.200390367179</v>
      </c>
      <c r="P31" s="41" t="str">
        <f t="shared" si="1"/>
        <v>-</v>
      </c>
      <c r="Q31" s="39"/>
      <c r="R31" s="72">
        <f t="shared" si="16"/>
        <v>133970.56568277898</v>
      </c>
      <c r="S31" s="39"/>
      <c r="T31" s="72">
        <f t="shared" si="17"/>
        <v>133000</v>
      </c>
      <c r="U31" s="39"/>
      <c r="V31" s="72">
        <f t="shared" si="2"/>
        <v>33582.200390367179</v>
      </c>
      <c r="W31" s="72">
        <f t="shared" si="18"/>
        <v>20317.783523826838</v>
      </c>
      <c r="X31" s="39"/>
      <c r="Y31" s="72">
        <f t="shared" si="3"/>
        <v>0</v>
      </c>
      <c r="Z31" s="72">
        <f t="shared" si="19"/>
        <v>0</v>
      </c>
      <c r="AA31" s="39"/>
      <c r="AB31" s="72">
        <f t="shared" si="4"/>
        <v>0</v>
      </c>
      <c r="AC31" s="72">
        <f t="shared" si="20"/>
        <v>0</v>
      </c>
      <c r="AD31" s="39"/>
      <c r="AE31" s="72">
        <f t="shared" si="5"/>
        <v>0</v>
      </c>
      <c r="AF31" s="72">
        <f t="shared" si="21"/>
        <v>0</v>
      </c>
      <c r="AG31" s="39"/>
      <c r="AH31" s="72">
        <f t="shared" si="6"/>
        <v>15000</v>
      </c>
      <c r="AI31" s="72">
        <f t="shared" si="22"/>
        <v>9075.246687671568</v>
      </c>
      <c r="AJ31" s="39"/>
      <c r="AK31" s="72">
        <f t="shared" si="7"/>
        <v>0</v>
      </c>
      <c r="AL31" s="72">
        <f t="shared" si="23"/>
        <v>0</v>
      </c>
      <c r="AM31" s="39"/>
      <c r="AN31" s="72">
        <f t="shared" si="8"/>
        <v>0</v>
      </c>
      <c r="AO31" s="72">
        <f t="shared" si="24"/>
        <v>0</v>
      </c>
      <c r="AP31" s="39"/>
      <c r="AQ31" s="72">
        <f t="shared" si="9"/>
        <v>0</v>
      </c>
      <c r="AR31" s="72">
        <f t="shared" si="25"/>
        <v>0</v>
      </c>
      <c r="AS31" s="39"/>
      <c r="AT31" s="40">
        <f>IF($K31&lt;=$F$15,IF($F$40&lt;&gt;"",$F$40/1000,IF(ISERROR(VLOOKUP($F$3&amp;IF($G$4&lt;&gt;"",$G$4,"")&amp;IF($F$43&lt;&gt;"","_"&amp;$F$43,""),'表3）燃料価格'!$AF$9:$AG$25,2,0)),0,VLOOKUP($I31,'表3）燃料価格'!$A$6:$U$66,VLOOKUP($F$3&amp;IF($G$4&lt;&gt;"",$G$4,"")&amp;IF($F$43&lt;&gt;"","_"&amp;$F$43,""),'表3）燃料価格'!$AF$9:$AG$25,2,0)+VLOOKUP($F$41,'表3）燃料価格'!$AF$28:$AG$29,2,0),0)*IF($F$43="需要地価格",1,$F$8/$F$141))),"")</f>
        <v>0</v>
      </c>
      <c r="AU31" s="39"/>
      <c r="AV31" s="72">
        <f t="shared" si="10"/>
        <v>0</v>
      </c>
      <c r="AW31" s="72">
        <f t="shared" si="26"/>
        <v>0</v>
      </c>
      <c r="AX31" s="39"/>
      <c r="AY31" s="40">
        <f>IF(ISERROR(IF($K31&lt;=$F$15,VLOOKUP($I31,'表4）CO2価格'!$A$7:$E$67,VLOOKUP($F$48,'表4）CO2価格'!$H$10:$I$12,2,0),0)*$F$8/1000,"")),0,IF($K31&lt;=$F$15,VLOOKUP($I31,'表4）CO2価格'!$A$7:$E$67,VLOOKUP($F$48,'表4）CO2価格'!$H$10:$I$12,2,0),0)*$F$8/1000,""))</f>
        <v>0</v>
      </c>
      <c r="AZ31" s="39"/>
      <c r="BA31" s="42">
        <f t="shared" si="11"/>
        <v>0</v>
      </c>
      <c r="BB31" s="72">
        <f t="shared" si="27"/>
        <v>0</v>
      </c>
      <c r="BC31" s="39"/>
      <c r="BD31" s="72">
        <f t="shared" si="12"/>
        <v>0</v>
      </c>
      <c r="BE31" s="72">
        <f t="shared" si="28"/>
        <v>0</v>
      </c>
      <c r="BF31" s="39"/>
      <c r="BG31" s="42">
        <f t="shared" si="13"/>
        <v>0</v>
      </c>
      <c r="BH31" s="72">
        <f t="shared" si="29"/>
        <v>0</v>
      </c>
      <c r="BI31" s="39"/>
      <c r="BJ31" s="40" t="str">
        <f t="shared" si="30"/>
        <v/>
      </c>
      <c r="BK31" s="157" t="str">
        <f t="shared" si="31"/>
        <v/>
      </c>
      <c r="BL31" s="157" t="str">
        <f t="shared" si="14"/>
        <v/>
      </c>
      <c r="BM31" s="72"/>
      <c r="BN31" s="72" t="str">
        <f t="shared" si="32"/>
        <v/>
      </c>
      <c r="BO31" s="72" t="str">
        <f t="shared" si="33"/>
        <v/>
      </c>
      <c r="BP31" s="39"/>
      <c r="BQ31" s="72">
        <f t="shared" si="15"/>
        <v>6044.4</v>
      </c>
      <c r="BR31" s="72">
        <f t="shared" si="34"/>
        <v>3656.961405264135</v>
      </c>
    </row>
    <row r="32" spans="3:70" x14ac:dyDescent="0.15">
      <c r="I32" s="459">
        <f t="shared" si="35"/>
        <v>2047</v>
      </c>
      <c r="K32" s="71">
        <f t="shared" si="36"/>
        <v>18</v>
      </c>
      <c r="M32" s="7">
        <f t="shared" si="0"/>
        <v>0.5873946076162827</v>
      </c>
      <c r="O32" s="10">
        <f t="shared" si="37"/>
        <v>0</v>
      </c>
      <c r="P32" s="29" t="str">
        <f t="shared" si="1"/>
        <v>-</v>
      </c>
      <c r="R32" s="10">
        <f t="shared" si="16"/>
        <v>117000.00000000001</v>
      </c>
      <c r="T32" s="10">
        <f t="shared" si="17"/>
        <v>117000</v>
      </c>
      <c r="V32" s="10">
        <f t="shared" si="2"/>
        <v>0</v>
      </c>
      <c r="W32" s="10">
        <f t="shared" si="18"/>
        <v>0</v>
      </c>
      <c r="Y32" s="10">
        <f t="shared" si="3"/>
        <v>0</v>
      </c>
      <c r="Z32" s="10">
        <f t="shared" si="19"/>
        <v>0</v>
      </c>
      <c r="AB32" s="10">
        <f t="shared" si="4"/>
        <v>0</v>
      </c>
      <c r="AC32" s="10">
        <f t="shared" si="20"/>
        <v>0</v>
      </c>
      <c r="AE32" s="10">
        <f t="shared" si="5"/>
        <v>0</v>
      </c>
      <c r="AF32" s="10">
        <f t="shared" si="21"/>
        <v>0</v>
      </c>
      <c r="AH32" s="10">
        <f t="shared" si="6"/>
        <v>15000</v>
      </c>
      <c r="AI32" s="10">
        <f t="shared" si="22"/>
        <v>8810.9191142442414</v>
      </c>
      <c r="AK32" s="10">
        <f t="shared" si="7"/>
        <v>0</v>
      </c>
      <c r="AL32" s="10">
        <f t="shared" si="23"/>
        <v>0</v>
      </c>
      <c r="AN32" s="10">
        <f t="shared" si="8"/>
        <v>0</v>
      </c>
      <c r="AO32" s="10">
        <f t="shared" si="24"/>
        <v>0</v>
      </c>
      <c r="AQ32" s="10">
        <f t="shared" si="9"/>
        <v>0</v>
      </c>
      <c r="AR32" s="10">
        <f t="shared" si="25"/>
        <v>0</v>
      </c>
      <c r="AT32" s="7">
        <f>IF($K32&lt;=$F$15,IF($F$40&lt;&gt;"",$F$40/1000,IF(ISERROR(VLOOKUP($F$3&amp;IF($G$4&lt;&gt;"",$G$4,"")&amp;IF($F$43&lt;&gt;"","_"&amp;$F$43,""),'表3）燃料価格'!$AF$9:$AG$25,2,0)),0,VLOOKUP($I32,'表3）燃料価格'!$A$6:$U$66,VLOOKUP($F$3&amp;IF($G$4&lt;&gt;"",$G$4,"")&amp;IF($F$43&lt;&gt;"","_"&amp;$F$43,""),'表3）燃料価格'!$AF$9:$AG$25,2,0)+VLOOKUP($F$41,'表3）燃料価格'!$AF$28:$AG$29,2,0),0)*IF($F$43="需要地価格",1,$F$8/$F$141))),"")</f>
        <v>0</v>
      </c>
      <c r="AV32" s="10">
        <f t="shared" si="10"/>
        <v>0</v>
      </c>
      <c r="AW32" s="10">
        <f t="shared" si="26"/>
        <v>0</v>
      </c>
      <c r="AY32" s="7">
        <f>IF(ISERROR(IF($K32&lt;=$F$15,VLOOKUP($I32,'表4）CO2価格'!$A$7:$E$67,VLOOKUP($F$48,'表4）CO2価格'!$H$10:$I$12,2,0),0)*$F$8/1000,"")),0,IF($K32&lt;=$F$15,VLOOKUP($I32,'表4）CO2価格'!$A$7:$E$67,VLOOKUP($F$48,'表4）CO2価格'!$H$10:$I$12,2,0),0)*$F$8/1000,""))</f>
        <v>0</v>
      </c>
      <c r="BA32" s="11">
        <f t="shared" si="11"/>
        <v>0</v>
      </c>
      <c r="BB32" s="10">
        <f t="shared" si="27"/>
        <v>0</v>
      </c>
      <c r="BD32" s="10">
        <f t="shared" si="12"/>
        <v>0</v>
      </c>
      <c r="BE32" s="10">
        <f t="shared" si="28"/>
        <v>0</v>
      </c>
      <c r="BG32" s="11">
        <f t="shared" si="13"/>
        <v>0</v>
      </c>
      <c r="BH32" s="10">
        <f t="shared" si="29"/>
        <v>0</v>
      </c>
      <c r="BJ32" s="7" t="str">
        <f t="shared" si="30"/>
        <v/>
      </c>
      <c r="BK32" s="158" t="str">
        <f t="shared" si="31"/>
        <v/>
      </c>
      <c r="BL32" s="158" t="str">
        <f t="shared" si="14"/>
        <v/>
      </c>
      <c r="BM32" s="10"/>
      <c r="BN32" s="10" t="str">
        <f t="shared" si="32"/>
        <v/>
      </c>
      <c r="BO32" s="10" t="str">
        <f t="shared" si="33"/>
        <v/>
      </c>
      <c r="BQ32" s="10">
        <f t="shared" si="15"/>
        <v>6044.4</v>
      </c>
      <c r="BR32" s="10">
        <f t="shared" si="34"/>
        <v>3550.447966275859</v>
      </c>
    </row>
    <row r="33" spans="3:70" x14ac:dyDescent="0.15">
      <c r="D33" s="82" t="s">
        <v>232</v>
      </c>
      <c r="F33" s="110">
        <v>0.3</v>
      </c>
      <c r="G33" s="81" t="s">
        <v>227</v>
      </c>
      <c r="I33" s="458">
        <f t="shared" si="35"/>
        <v>2048</v>
      </c>
      <c r="J33" s="39"/>
      <c r="K33" s="39">
        <f t="shared" si="36"/>
        <v>19</v>
      </c>
      <c r="L33" s="39"/>
      <c r="M33" s="40">
        <f t="shared" si="0"/>
        <v>0.57028602681192497</v>
      </c>
      <c r="N33" s="39"/>
      <c r="O33" s="72">
        <f t="shared" si="37"/>
        <v>0</v>
      </c>
      <c r="P33" s="41" t="str">
        <f t="shared" si="1"/>
        <v>-</v>
      </c>
      <c r="Q33" s="39"/>
      <c r="R33" s="72">
        <f t="shared" si="16"/>
        <v>102179.16099879268</v>
      </c>
      <c r="S33" s="39"/>
      <c r="T33" s="72">
        <f t="shared" si="17"/>
        <v>102000</v>
      </c>
      <c r="U33" s="39"/>
      <c r="V33" s="72">
        <f t="shared" si="2"/>
        <v>0</v>
      </c>
      <c r="W33" s="72">
        <f t="shared" si="18"/>
        <v>0</v>
      </c>
      <c r="X33" s="39"/>
      <c r="Y33" s="72">
        <f t="shared" si="3"/>
        <v>0</v>
      </c>
      <c r="Z33" s="72">
        <f t="shared" si="19"/>
        <v>0</v>
      </c>
      <c r="AA33" s="39"/>
      <c r="AB33" s="72">
        <f t="shared" si="4"/>
        <v>0</v>
      </c>
      <c r="AC33" s="72">
        <f t="shared" si="20"/>
        <v>0</v>
      </c>
      <c r="AD33" s="39"/>
      <c r="AE33" s="72">
        <f t="shared" si="5"/>
        <v>0</v>
      </c>
      <c r="AF33" s="72">
        <f t="shared" si="21"/>
        <v>0</v>
      </c>
      <c r="AG33" s="39"/>
      <c r="AH33" s="72">
        <f t="shared" si="6"/>
        <v>15000</v>
      </c>
      <c r="AI33" s="72">
        <f t="shared" si="22"/>
        <v>8554.2904021788745</v>
      </c>
      <c r="AJ33" s="39"/>
      <c r="AK33" s="72">
        <f t="shared" si="7"/>
        <v>0</v>
      </c>
      <c r="AL33" s="72">
        <f t="shared" si="23"/>
        <v>0</v>
      </c>
      <c r="AM33" s="39"/>
      <c r="AN33" s="72">
        <f t="shared" si="8"/>
        <v>0</v>
      </c>
      <c r="AO33" s="72">
        <f t="shared" si="24"/>
        <v>0</v>
      </c>
      <c r="AP33" s="39"/>
      <c r="AQ33" s="72">
        <f t="shared" si="9"/>
        <v>0</v>
      </c>
      <c r="AR33" s="72">
        <f t="shared" si="25"/>
        <v>0</v>
      </c>
      <c r="AS33" s="39"/>
      <c r="AT33" s="40">
        <f>IF($K33&lt;=$F$15,IF($F$40&lt;&gt;"",$F$40/1000,IF(ISERROR(VLOOKUP($F$3&amp;IF($G$4&lt;&gt;"",$G$4,"")&amp;IF($F$43&lt;&gt;"","_"&amp;$F$43,""),'表3）燃料価格'!$AF$9:$AG$25,2,0)),0,VLOOKUP($I33,'表3）燃料価格'!$A$6:$U$66,VLOOKUP($F$3&amp;IF($G$4&lt;&gt;"",$G$4,"")&amp;IF($F$43&lt;&gt;"","_"&amp;$F$43,""),'表3）燃料価格'!$AF$9:$AG$25,2,0)+VLOOKUP($F$41,'表3）燃料価格'!$AF$28:$AG$29,2,0),0)*IF($F$43="需要地価格",1,$F$8/$F$141))),"")</f>
        <v>0</v>
      </c>
      <c r="AU33" s="39"/>
      <c r="AV33" s="72">
        <f t="shared" si="10"/>
        <v>0</v>
      </c>
      <c r="AW33" s="72">
        <f t="shared" si="26"/>
        <v>0</v>
      </c>
      <c r="AX33" s="39"/>
      <c r="AY33" s="40">
        <f>IF(ISERROR(IF($K33&lt;=$F$15,VLOOKUP($I33,'表4）CO2価格'!$A$7:$E$67,VLOOKUP($F$48,'表4）CO2価格'!$H$10:$I$12,2,0),0)*$F$8/1000,"")),0,IF($K33&lt;=$F$15,VLOOKUP($I33,'表4）CO2価格'!$A$7:$E$67,VLOOKUP($F$48,'表4）CO2価格'!$H$10:$I$12,2,0),0)*$F$8/1000,""))</f>
        <v>0</v>
      </c>
      <c r="AZ33" s="39"/>
      <c r="BA33" s="42">
        <f t="shared" si="11"/>
        <v>0</v>
      </c>
      <c r="BB33" s="72">
        <f t="shared" si="27"/>
        <v>0</v>
      </c>
      <c r="BC33" s="39"/>
      <c r="BD33" s="72">
        <f t="shared" si="12"/>
        <v>0</v>
      </c>
      <c r="BE33" s="72">
        <f t="shared" si="28"/>
        <v>0</v>
      </c>
      <c r="BF33" s="39"/>
      <c r="BG33" s="42">
        <f t="shared" si="13"/>
        <v>0</v>
      </c>
      <c r="BH33" s="72">
        <f t="shared" si="29"/>
        <v>0</v>
      </c>
      <c r="BI33" s="39"/>
      <c r="BJ33" s="40" t="str">
        <f t="shared" si="30"/>
        <v/>
      </c>
      <c r="BK33" s="157" t="str">
        <f t="shared" si="31"/>
        <v/>
      </c>
      <c r="BL33" s="157" t="str">
        <f t="shared" si="14"/>
        <v/>
      </c>
      <c r="BM33" s="72"/>
      <c r="BN33" s="72" t="str">
        <f t="shared" si="32"/>
        <v/>
      </c>
      <c r="BO33" s="72" t="str">
        <f t="shared" si="33"/>
        <v/>
      </c>
      <c r="BP33" s="39"/>
      <c r="BQ33" s="72">
        <f t="shared" si="15"/>
        <v>6044.4</v>
      </c>
      <c r="BR33" s="72">
        <f t="shared" si="34"/>
        <v>3447.0368604619989</v>
      </c>
    </row>
    <row r="34" spans="3:70" x14ac:dyDescent="0.15">
      <c r="D34" s="82"/>
      <c r="F34" s="374"/>
      <c r="I34" s="459">
        <f t="shared" si="35"/>
        <v>2049</v>
      </c>
      <c r="K34" s="71">
        <f t="shared" si="36"/>
        <v>20</v>
      </c>
      <c r="M34" s="7">
        <f t="shared" si="0"/>
        <v>0.55367575418633497</v>
      </c>
      <c r="O34" s="10">
        <f t="shared" si="37"/>
        <v>0</v>
      </c>
      <c r="P34" s="29" t="str">
        <f t="shared" si="1"/>
        <v>-</v>
      </c>
      <c r="R34" s="10">
        <f t="shared" si="16"/>
        <v>89235.7345505743</v>
      </c>
      <c r="T34" s="10">
        <f t="shared" si="17"/>
        <v>89000</v>
      </c>
      <c r="V34" s="10">
        <f t="shared" si="2"/>
        <v>0</v>
      </c>
      <c r="W34" s="10">
        <f t="shared" si="18"/>
        <v>0</v>
      </c>
      <c r="Y34" s="10">
        <f t="shared" si="3"/>
        <v>0</v>
      </c>
      <c r="Z34" s="10">
        <f t="shared" si="19"/>
        <v>0</v>
      </c>
      <c r="AB34" s="10">
        <f t="shared" si="4"/>
        <v>0</v>
      </c>
      <c r="AC34" s="10">
        <f t="shared" si="20"/>
        <v>0</v>
      </c>
      <c r="AE34" s="10">
        <f t="shared" si="5"/>
        <v>0</v>
      </c>
      <c r="AF34" s="10">
        <f t="shared" si="21"/>
        <v>0</v>
      </c>
      <c r="AH34" s="10">
        <f t="shared" si="6"/>
        <v>15000</v>
      </c>
      <c r="AI34" s="10">
        <f t="shared" si="22"/>
        <v>8305.1363127950244</v>
      </c>
      <c r="AK34" s="10">
        <f t="shared" si="7"/>
        <v>0</v>
      </c>
      <c r="AL34" s="10">
        <f t="shared" si="23"/>
        <v>0</v>
      </c>
      <c r="AN34" s="10">
        <f t="shared" si="8"/>
        <v>0</v>
      </c>
      <c r="AO34" s="10">
        <f t="shared" si="24"/>
        <v>0</v>
      </c>
      <c r="AQ34" s="10">
        <f t="shared" si="9"/>
        <v>0</v>
      </c>
      <c r="AR34" s="10">
        <f t="shared" si="25"/>
        <v>0</v>
      </c>
      <c r="AT34" s="7">
        <f>IF($K34&lt;=$F$15,IF($F$40&lt;&gt;"",$F$40/1000,IF(ISERROR(VLOOKUP($F$3&amp;IF($G$4&lt;&gt;"",$G$4,"")&amp;IF($F$43&lt;&gt;"","_"&amp;$F$43,""),'表3）燃料価格'!$AF$9:$AG$25,2,0)),0,VLOOKUP($I34,'表3）燃料価格'!$A$6:$U$66,VLOOKUP($F$3&amp;IF($G$4&lt;&gt;"",$G$4,"")&amp;IF($F$43&lt;&gt;"","_"&amp;$F$43,""),'表3）燃料価格'!$AF$9:$AG$25,2,0)+VLOOKUP($F$41,'表3）燃料価格'!$AF$28:$AG$29,2,0),0)*IF($F$43="需要地価格",1,$F$8/$F$141))),"")</f>
        <v>0</v>
      </c>
      <c r="AV34" s="10">
        <f t="shared" si="10"/>
        <v>0</v>
      </c>
      <c r="AW34" s="10">
        <f t="shared" si="26"/>
        <v>0</v>
      </c>
      <c r="AY34" s="7">
        <f>IF(ISERROR(IF($K34&lt;=$F$15,VLOOKUP($I34,'表4）CO2価格'!$A$7:$E$67,VLOOKUP($F$48,'表4）CO2価格'!$H$10:$I$12,2,0),0)*$F$8/1000,"")),0,IF($K34&lt;=$F$15,VLOOKUP($I34,'表4）CO2価格'!$A$7:$E$67,VLOOKUP($F$48,'表4）CO2価格'!$H$10:$I$12,2,0),0)*$F$8/1000,""))</f>
        <v>0</v>
      </c>
      <c r="BA34" s="11">
        <f t="shared" si="11"/>
        <v>0</v>
      </c>
      <c r="BB34" s="10">
        <f t="shared" si="27"/>
        <v>0</v>
      </c>
      <c r="BD34" s="10">
        <f t="shared" si="12"/>
        <v>0</v>
      </c>
      <c r="BE34" s="10">
        <f t="shared" si="28"/>
        <v>0</v>
      </c>
      <c r="BG34" s="11">
        <f t="shared" si="13"/>
        <v>0</v>
      </c>
      <c r="BH34" s="10">
        <f t="shared" si="29"/>
        <v>0</v>
      </c>
      <c r="BJ34" s="7" t="str">
        <f t="shared" si="30"/>
        <v/>
      </c>
      <c r="BK34" s="158" t="str">
        <f t="shared" si="31"/>
        <v/>
      </c>
      <c r="BL34" s="158" t="str">
        <f t="shared" si="14"/>
        <v/>
      </c>
      <c r="BM34" s="10"/>
      <c r="BN34" s="10" t="str">
        <f t="shared" si="32"/>
        <v/>
      </c>
      <c r="BO34" s="10" t="str">
        <f t="shared" si="33"/>
        <v/>
      </c>
      <c r="BQ34" s="10">
        <f t="shared" si="15"/>
        <v>6044.4</v>
      </c>
      <c r="BR34" s="10">
        <f t="shared" si="34"/>
        <v>3346.6377286038828</v>
      </c>
    </row>
    <row r="35" spans="3:70" x14ac:dyDescent="0.15">
      <c r="D35" s="82"/>
      <c r="F35" s="96"/>
      <c r="I35" s="458">
        <f t="shared" si="35"/>
        <v>2050</v>
      </c>
      <c r="J35" s="39"/>
      <c r="K35" s="39">
        <f t="shared" si="36"/>
        <v>21</v>
      </c>
      <c r="L35" s="39"/>
      <c r="M35" s="40">
        <f t="shared" si="0"/>
        <v>0.5375492759090631</v>
      </c>
      <c r="N35" s="39"/>
      <c r="O35" s="72">
        <f t="shared" si="37"/>
        <v>0</v>
      </c>
      <c r="P35" s="41" t="str">
        <f t="shared" si="1"/>
        <v>-</v>
      </c>
      <c r="Q35" s="39"/>
      <c r="R35" s="72">
        <f t="shared" si="16"/>
        <v>77931.901602467158</v>
      </c>
      <c r="S35" s="39"/>
      <c r="T35" s="72">
        <f t="shared" si="17"/>
        <v>77000</v>
      </c>
      <c r="U35" s="39"/>
      <c r="V35" s="72">
        <f t="shared" si="2"/>
        <v>0</v>
      </c>
      <c r="W35" s="72">
        <f t="shared" si="18"/>
        <v>0</v>
      </c>
      <c r="X35" s="39"/>
      <c r="Y35" s="72">
        <f t="shared" si="3"/>
        <v>0</v>
      </c>
      <c r="Z35" s="72">
        <f t="shared" si="19"/>
        <v>0</v>
      </c>
      <c r="AA35" s="39"/>
      <c r="AB35" s="72">
        <f t="shared" si="4"/>
        <v>0</v>
      </c>
      <c r="AC35" s="72">
        <f t="shared" si="20"/>
        <v>0</v>
      </c>
      <c r="AD35" s="39"/>
      <c r="AE35" s="72">
        <f t="shared" si="5"/>
        <v>0</v>
      </c>
      <c r="AF35" s="72">
        <f t="shared" si="21"/>
        <v>0</v>
      </c>
      <c r="AG35" s="39"/>
      <c r="AH35" s="72">
        <f t="shared" si="6"/>
        <v>15000</v>
      </c>
      <c r="AI35" s="72">
        <f t="shared" si="22"/>
        <v>8063.2391386359468</v>
      </c>
      <c r="AJ35" s="39"/>
      <c r="AK35" s="72">
        <f t="shared" si="7"/>
        <v>0</v>
      </c>
      <c r="AL35" s="72">
        <f t="shared" si="23"/>
        <v>0</v>
      </c>
      <c r="AM35" s="39"/>
      <c r="AN35" s="72">
        <f t="shared" si="8"/>
        <v>0</v>
      </c>
      <c r="AO35" s="72">
        <f t="shared" si="24"/>
        <v>0</v>
      </c>
      <c r="AP35" s="39"/>
      <c r="AQ35" s="72">
        <f t="shared" si="9"/>
        <v>0</v>
      </c>
      <c r="AR35" s="72">
        <f t="shared" si="25"/>
        <v>0</v>
      </c>
      <c r="AS35" s="39"/>
      <c r="AT35" s="40">
        <f>IF($K35&lt;=$F$15,IF($F$40&lt;&gt;"",$F$40/1000,IF(ISERROR(VLOOKUP($F$3&amp;IF($G$4&lt;&gt;"",$G$4,"")&amp;IF($F$43&lt;&gt;"","_"&amp;$F$43,""),'表3）燃料価格'!$AF$9:$AG$25,2,0)),0,VLOOKUP($I35,'表3）燃料価格'!$A$6:$U$66,VLOOKUP($F$3&amp;IF($G$4&lt;&gt;"",$G$4,"")&amp;IF($F$43&lt;&gt;"","_"&amp;$F$43,""),'表3）燃料価格'!$AF$9:$AG$25,2,0)+VLOOKUP($F$41,'表3）燃料価格'!$AF$28:$AG$29,2,0),0)*IF($F$43="需要地価格",1,$F$8/$F$141))),"")</f>
        <v>0</v>
      </c>
      <c r="AU35" s="39"/>
      <c r="AV35" s="72">
        <f t="shared" si="10"/>
        <v>0</v>
      </c>
      <c r="AW35" s="72">
        <f t="shared" si="26"/>
        <v>0</v>
      </c>
      <c r="AX35" s="39"/>
      <c r="AY35" s="40">
        <f>IF(ISERROR(IF($K35&lt;=$F$15,VLOOKUP($I35,'表4）CO2価格'!$A$7:$E$67,VLOOKUP($F$48,'表4）CO2価格'!$H$10:$I$12,2,0),0)*$F$8/1000,"")),0,IF($K35&lt;=$F$15,VLOOKUP($I35,'表4）CO2価格'!$A$7:$E$67,VLOOKUP($F$48,'表4）CO2価格'!$H$10:$I$12,2,0),0)*$F$8/1000,""))</f>
        <v>0</v>
      </c>
      <c r="AZ35" s="39"/>
      <c r="BA35" s="42">
        <f t="shared" si="11"/>
        <v>0</v>
      </c>
      <c r="BB35" s="72">
        <f t="shared" si="27"/>
        <v>0</v>
      </c>
      <c r="BC35" s="39"/>
      <c r="BD35" s="72">
        <f t="shared" si="12"/>
        <v>0</v>
      </c>
      <c r="BE35" s="72">
        <f t="shared" si="28"/>
        <v>0</v>
      </c>
      <c r="BF35" s="39"/>
      <c r="BG35" s="42">
        <f t="shared" si="13"/>
        <v>0</v>
      </c>
      <c r="BH35" s="72">
        <f t="shared" si="29"/>
        <v>0</v>
      </c>
      <c r="BI35" s="39"/>
      <c r="BJ35" s="40" t="str">
        <f t="shared" si="30"/>
        <v/>
      </c>
      <c r="BK35" s="157" t="str">
        <f t="shared" si="31"/>
        <v/>
      </c>
      <c r="BL35" s="157" t="str">
        <f t="shared" si="14"/>
        <v/>
      </c>
      <c r="BM35" s="72"/>
      <c r="BN35" s="72" t="str">
        <f t="shared" si="32"/>
        <v/>
      </c>
      <c r="BO35" s="72" t="str">
        <f t="shared" si="33"/>
        <v/>
      </c>
      <c r="BP35" s="39"/>
      <c r="BQ35" s="72">
        <f t="shared" si="15"/>
        <v>6044.4</v>
      </c>
      <c r="BR35" s="72">
        <f t="shared" si="34"/>
        <v>3249.1628433047408</v>
      </c>
    </row>
    <row r="36" spans="3:70" x14ac:dyDescent="0.15">
      <c r="D36" s="82"/>
      <c r="F36" s="375"/>
      <c r="I36" s="459">
        <f t="shared" si="35"/>
        <v>2051</v>
      </c>
      <c r="K36" s="71">
        <f t="shared" si="36"/>
        <v>22</v>
      </c>
      <c r="M36" s="7">
        <f t="shared" si="0"/>
        <v>0.52189250088258554</v>
      </c>
      <c r="O36" s="10">
        <f t="shared" si="37"/>
        <v>0</v>
      </c>
      <c r="P36" s="29" t="str">
        <f t="shared" si="1"/>
        <v>-</v>
      </c>
      <c r="R36" s="10">
        <f t="shared" si="16"/>
        <v>68059.968553679995</v>
      </c>
      <c r="T36" s="10">
        <f t="shared" si="17"/>
        <v>68000</v>
      </c>
      <c r="V36" s="10">
        <f t="shared" si="2"/>
        <v>0</v>
      </c>
      <c r="W36" s="10">
        <f t="shared" si="18"/>
        <v>0</v>
      </c>
      <c r="Y36" s="10">
        <f t="shared" si="3"/>
        <v>0</v>
      </c>
      <c r="Z36" s="10">
        <f t="shared" si="19"/>
        <v>0</v>
      </c>
      <c r="AB36" s="10">
        <f t="shared" si="4"/>
        <v>0</v>
      </c>
      <c r="AC36" s="10">
        <f t="shared" si="20"/>
        <v>0</v>
      </c>
      <c r="AE36" s="10">
        <f t="shared" si="5"/>
        <v>0</v>
      </c>
      <c r="AF36" s="10">
        <f t="shared" si="21"/>
        <v>0</v>
      </c>
      <c r="AH36" s="10">
        <f t="shared" si="6"/>
        <v>15000</v>
      </c>
      <c r="AI36" s="10">
        <f t="shared" si="22"/>
        <v>7828.387513238783</v>
      </c>
      <c r="AK36" s="10">
        <f t="shared" si="7"/>
        <v>0</v>
      </c>
      <c r="AL36" s="10">
        <f t="shared" si="23"/>
        <v>0</v>
      </c>
      <c r="AN36" s="10">
        <f t="shared" si="8"/>
        <v>0</v>
      </c>
      <c r="AO36" s="10">
        <f t="shared" si="24"/>
        <v>0</v>
      </c>
      <c r="AQ36" s="10">
        <f t="shared" si="9"/>
        <v>0</v>
      </c>
      <c r="AR36" s="10">
        <f t="shared" si="25"/>
        <v>0</v>
      </c>
      <c r="AT36" s="7">
        <f>IF($K36&lt;=$F$15,IF($F$40&lt;&gt;"",$F$40/1000,IF(ISERROR(VLOOKUP($F$3&amp;IF($G$4&lt;&gt;"",$G$4,"")&amp;IF($F$43&lt;&gt;"","_"&amp;$F$43,""),'表3）燃料価格'!$AF$9:$AG$25,2,0)),0,VLOOKUP($I36,'表3）燃料価格'!$A$6:$U$66,VLOOKUP($F$3&amp;IF($G$4&lt;&gt;"",$G$4,"")&amp;IF($F$43&lt;&gt;"","_"&amp;$F$43,""),'表3）燃料価格'!$AF$9:$AG$25,2,0)+VLOOKUP($F$41,'表3）燃料価格'!$AF$28:$AG$29,2,0),0)*IF($F$43="需要地価格",1,$F$8/$F$141))),"")</f>
        <v>0</v>
      </c>
      <c r="AV36" s="10">
        <f t="shared" si="10"/>
        <v>0</v>
      </c>
      <c r="AW36" s="10">
        <f t="shared" si="26"/>
        <v>0</v>
      </c>
      <c r="AY36" s="7">
        <f>IF(ISERROR(IF($K36&lt;=$F$15,VLOOKUP($I36,'表4）CO2価格'!$A$7:$E$67,VLOOKUP($F$48,'表4）CO2価格'!$H$10:$I$12,2,0),0)*$F$8/1000,"")),0,IF($K36&lt;=$F$15,VLOOKUP($I36,'表4）CO2価格'!$A$7:$E$67,VLOOKUP($F$48,'表4）CO2価格'!$H$10:$I$12,2,0),0)*$F$8/1000,""))</f>
        <v>0</v>
      </c>
      <c r="BA36" s="11">
        <f t="shared" si="11"/>
        <v>0</v>
      </c>
      <c r="BB36" s="10">
        <f t="shared" si="27"/>
        <v>0</v>
      </c>
      <c r="BD36" s="10">
        <f t="shared" si="12"/>
        <v>0</v>
      </c>
      <c r="BE36" s="10">
        <f t="shared" si="28"/>
        <v>0</v>
      </c>
      <c r="BG36" s="11">
        <f t="shared" si="13"/>
        <v>0</v>
      </c>
      <c r="BH36" s="10">
        <f t="shared" si="29"/>
        <v>0</v>
      </c>
      <c r="BJ36" s="7" t="str">
        <f t="shared" si="30"/>
        <v/>
      </c>
      <c r="BK36" s="158" t="str">
        <f t="shared" si="31"/>
        <v/>
      </c>
      <c r="BL36" s="158" t="str">
        <f t="shared" si="14"/>
        <v/>
      </c>
      <c r="BM36" s="10"/>
      <c r="BN36" s="10" t="str">
        <f t="shared" si="32"/>
        <v/>
      </c>
      <c r="BO36" s="10" t="str">
        <f t="shared" si="33"/>
        <v/>
      </c>
      <c r="BQ36" s="10">
        <f t="shared" si="15"/>
        <v>6044.4</v>
      </c>
      <c r="BR36" s="10">
        <f t="shared" si="34"/>
        <v>3154.5270323346999</v>
      </c>
    </row>
    <row r="37" spans="3:70" x14ac:dyDescent="0.15">
      <c r="I37" s="458">
        <f t="shared" si="35"/>
        <v>2052</v>
      </c>
      <c r="J37" s="39"/>
      <c r="K37" s="39">
        <f t="shared" si="36"/>
        <v>23</v>
      </c>
      <c r="L37" s="39"/>
      <c r="M37" s="40">
        <f t="shared" si="0"/>
        <v>0.50669174842969467</v>
      </c>
      <c r="N37" s="39"/>
      <c r="O37" s="72">
        <f t="shared" si="37"/>
        <v>0</v>
      </c>
      <c r="P37" s="41" t="str">
        <f t="shared" si="1"/>
        <v>-</v>
      </c>
      <c r="Q37" s="39"/>
      <c r="R37" s="72">
        <f t="shared" si="16"/>
        <v>59438.551148882347</v>
      </c>
      <c r="S37" s="39"/>
      <c r="T37" s="72">
        <f t="shared" si="17"/>
        <v>59000</v>
      </c>
      <c r="U37" s="39"/>
      <c r="V37" s="72">
        <f t="shared" si="2"/>
        <v>0</v>
      </c>
      <c r="W37" s="72">
        <f t="shared" si="18"/>
        <v>0</v>
      </c>
      <c r="X37" s="39"/>
      <c r="Y37" s="72">
        <f t="shared" si="3"/>
        <v>0</v>
      </c>
      <c r="Z37" s="72">
        <f t="shared" si="19"/>
        <v>0</v>
      </c>
      <c r="AA37" s="39"/>
      <c r="AB37" s="72">
        <f t="shared" si="4"/>
        <v>0</v>
      </c>
      <c r="AC37" s="72">
        <f t="shared" si="20"/>
        <v>0</v>
      </c>
      <c r="AD37" s="39"/>
      <c r="AE37" s="72">
        <f t="shared" si="5"/>
        <v>0</v>
      </c>
      <c r="AF37" s="72">
        <f t="shared" si="21"/>
        <v>0</v>
      </c>
      <c r="AG37" s="39"/>
      <c r="AH37" s="72">
        <f t="shared" si="6"/>
        <v>15000</v>
      </c>
      <c r="AI37" s="72">
        <f t="shared" si="22"/>
        <v>7600.3762264454199</v>
      </c>
      <c r="AJ37" s="39"/>
      <c r="AK37" s="72">
        <f t="shared" si="7"/>
        <v>0</v>
      </c>
      <c r="AL37" s="72">
        <f t="shared" si="23"/>
        <v>0</v>
      </c>
      <c r="AM37" s="39"/>
      <c r="AN37" s="72">
        <f t="shared" si="8"/>
        <v>0</v>
      </c>
      <c r="AO37" s="72">
        <f t="shared" si="24"/>
        <v>0</v>
      </c>
      <c r="AP37" s="39"/>
      <c r="AQ37" s="72">
        <f t="shared" si="9"/>
        <v>0</v>
      </c>
      <c r="AR37" s="72">
        <f t="shared" si="25"/>
        <v>0</v>
      </c>
      <c r="AS37" s="39"/>
      <c r="AT37" s="40">
        <f>IF($K37&lt;=$F$15,IF($F$40&lt;&gt;"",$F$40/1000,IF(ISERROR(VLOOKUP($F$3&amp;IF($G$4&lt;&gt;"",$G$4,"")&amp;IF($F$43&lt;&gt;"","_"&amp;$F$43,""),'表3）燃料価格'!$AF$9:$AG$25,2,0)),0,VLOOKUP($I37,'表3）燃料価格'!$A$6:$U$66,VLOOKUP($F$3&amp;IF($G$4&lt;&gt;"",$G$4,"")&amp;IF($F$43&lt;&gt;"","_"&amp;$F$43,""),'表3）燃料価格'!$AF$9:$AG$25,2,0)+VLOOKUP($F$41,'表3）燃料価格'!$AF$28:$AG$29,2,0),0)*IF($F$43="需要地価格",1,$F$8/$F$141))),"")</f>
        <v>0</v>
      </c>
      <c r="AU37" s="39"/>
      <c r="AV37" s="72">
        <f t="shared" si="10"/>
        <v>0</v>
      </c>
      <c r="AW37" s="72">
        <f t="shared" si="26"/>
        <v>0</v>
      </c>
      <c r="AX37" s="39"/>
      <c r="AY37" s="40">
        <f>IF(ISERROR(IF($K37&lt;=$F$15,VLOOKUP($I37,'表4）CO2価格'!$A$7:$E$67,VLOOKUP($F$48,'表4）CO2価格'!$H$10:$I$12,2,0),0)*$F$8/1000,"")),0,IF($K37&lt;=$F$15,VLOOKUP($I37,'表4）CO2価格'!$A$7:$E$67,VLOOKUP($F$48,'表4）CO2価格'!$H$10:$I$12,2,0),0)*$F$8/1000,""))</f>
        <v>0</v>
      </c>
      <c r="AZ37" s="39"/>
      <c r="BA37" s="42">
        <f t="shared" si="11"/>
        <v>0</v>
      </c>
      <c r="BB37" s="72">
        <f t="shared" si="27"/>
        <v>0</v>
      </c>
      <c r="BC37" s="39"/>
      <c r="BD37" s="72">
        <f t="shared" si="12"/>
        <v>0</v>
      </c>
      <c r="BE37" s="72">
        <f t="shared" si="28"/>
        <v>0</v>
      </c>
      <c r="BF37" s="39"/>
      <c r="BG37" s="42">
        <f t="shared" si="13"/>
        <v>0</v>
      </c>
      <c r="BH37" s="72">
        <f t="shared" si="29"/>
        <v>0</v>
      </c>
      <c r="BI37" s="39"/>
      <c r="BJ37" s="40" t="str">
        <f t="shared" si="30"/>
        <v/>
      </c>
      <c r="BK37" s="157" t="str">
        <f t="shared" si="31"/>
        <v/>
      </c>
      <c r="BL37" s="157" t="str">
        <f t="shared" si="14"/>
        <v/>
      </c>
      <c r="BM37" s="72"/>
      <c r="BN37" s="72" t="str">
        <f t="shared" si="32"/>
        <v/>
      </c>
      <c r="BO37" s="72" t="str">
        <f t="shared" si="33"/>
        <v/>
      </c>
      <c r="BP37" s="39"/>
      <c r="BQ37" s="72">
        <f t="shared" si="15"/>
        <v>6044.4</v>
      </c>
      <c r="BR37" s="72">
        <f t="shared" si="34"/>
        <v>3062.6476042084464</v>
      </c>
    </row>
    <row r="38" spans="3:70" x14ac:dyDescent="0.15">
      <c r="C38" s="89" t="s">
        <v>508</v>
      </c>
      <c r="D38" s="101"/>
      <c r="E38" s="101"/>
      <c r="F38" s="89"/>
      <c r="G38" s="101"/>
      <c r="I38" s="459">
        <f t="shared" si="35"/>
        <v>2053</v>
      </c>
      <c r="K38" s="71">
        <f t="shared" si="36"/>
        <v>24</v>
      </c>
      <c r="M38" s="7">
        <f t="shared" si="0"/>
        <v>0.49193373633950943</v>
      </c>
      <c r="O38" s="10">
        <f t="shared" si="37"/>
        <v>0</v>
      </c>
      <c r="P38" s="29" t="str">
        <f t="shared" si="1"/>
        <v>-</v>
      </c>
      <c r="R38" s="10">
        <f t="shared" si="16"/>
        <v>58500</v>
      </c>
      <c r="T38" s="10">
        <f t="shared" si="17"/>
        <v>58000</v>
      </c>
      <c r="V38" s="10">
        <f t="shared" si="2"/>
        <v>0</v>
      </c>
      <c r="W38" s="10">
        <f t="shared" si="18"/>
        <v>0</v>
      </c>
      <c r="Y38" s="10">
        <f t="shared" si="3"/>
        <v>0</v>
      </c>
      <c r="Z38" s="10">
        <f t="shared" si="19"/>
        <v>0</v>
      </c>
      <c r="AB38" s="10">
        <f t="shared" si="4"/>
        <v>0</v>
      </c>
      <c r="AC38" s="10">
        <f t="shared" si="20"/>
        <v>0</v>
      </c>
      <c r="AE38" s="10">
        <f t="shared" si="5"/>
        <v>0</v>
      </c>
      <c r="AF38" s="10">
        <f t="shared" si="21"/>
        <v>0</v>
      </c>
      <c r="AH38" s="10">
        <f t="shared" si="6"/>
        <v>15000</v>
      </c>
      <c r="AI38" s="10">
        <f t="shared" si="22"/>
        <v>7379.0060450926412</v>
      </c>
      <c r="AK38" s="10">
        <f t="shared" si="7"/>
        <v>0</v>
      </c>
      <c r="AL38" s="10">
        <f t="shared" si="23"/>
        <v>0</v>
      </c>
      <c r="AN38" s="10">
        <f t="shared" si="8"/>
        <v>0</v>
      </c>
      <c r="AO38" s="10">
        <f t="shared" si="24"/>
        <v>0</v>
      </c>
      <c r="AQ38" s="10">
        <f t="shared" si="9"/>
        <v>0</v>
      </c>
      <c r="AR38" s="10">
        <f t="shared" si="25"/>
        <v>0</v>
      </c>
      <c r="AT38" s="7">
        <f>IF($K38&lt;=$F$15,IF($F$40&lt;&gt;"",$F$40/1000,IF(ISERROR(VLOOKUP($F$3&amp;IF($G$4&lt;&gt;"",$G$4,"")&amp;IF($F$43&lt;&gt;"","_"&amp;$F$43,""),'表3）燃料価格'!$AF$9:$AG$25,2,0)),0,VLOOKUP($I38,'表3）燃料価格'!$A$6:$U$66,VLOOKUP($F$3&amp;IF($G$4&lt;&gt;"",$G$4,"")&amp;IF($F$43&lt;&gt;"","_"&amp;$F$43,""),'表3）燃料価格'!$AF$9:$AG$25,2,0)+VLOOKUP($F$41,'表3）燃料価格'!$AF$28:$AG$29,2,0),0)*IF($F$43="需要地価格",1,$F$8/$F$141))),"")</f>
        <v>0</v>
      </c>
      <c r="AV38" s="10">
        <f t="shared" si="10"/>
        <v>0</v>
      </c>
      <c r="AW38" s="10">
        <f t="shared" si="26"/>
        <v>0</v>
      </c>
      <c r="AY38" s="7">
        <f>IF(ISERROR(IF($K38&lt;=$F$15,VLOOKUP($I38,'表4）CO2価格'!$A$7:$E$67,VLOOKUP($F$48,'表4）CO2価格'!$H$10:$I$12,2,0),0)*$F$8/1000,"")),0,IF($K38&lt;=$F$15,VLOOKUP($I38,'表4）CO2価格'!$A$7:$E$67,VLOOKUP($F$48,'表4）CO2価格'!$H$10:$I$12,2,0),0)*$F$8/1000,""))</f>
        <v>0</v>
      </c>
      <c r="BA38" s="11">
        <f t="shared" si="11"/>
        <v>0</v>
      </c>
      <c r="BB38" s="10">
        <f t="shared" si="27"/>
        <v>0</v>
      </c>
      <c r="BD38" s="10">
        <f t="shared" si="12"/>
        <v>0</v>
      </c>
      <c r="BE38" s="10">
        <f t="shared" si="28"/>
        <v>0</v>
      </c>
      <c r="BG38" s="11">
        <f t="shared" si="13"/>
        <v>0</v>
      </c>
      <c r="BH38" s="10">
        <f t="shared" si="29"/>
        <v>0</v>
      </c>
      <c r="BJ38" s="7" t="str">
        <f t="shared" si="30"/>
        <v/>
      </c>
      <c r="BK38" s="158" t="str">
        <f t="shared" si="31"/>
        <v/>
      </c>
      <c r="BL38" s="158" t="str">
        <f t="shared" si="14"/>
        <v/>
      </c>
      <c r="BM38" s="10"/>
      <c r="BN38" s="10" t="str">
        <f t="shared" si="32"/>
        <v/>
      </c>
      <c r="BO38" s="10" t="str">
        <f t="shared" si="33"/>
        <v/>
      </c>
      <c r="BQ38" s="10">
        <f t="shared" si="15"/>
        <v>6044.4</v>
      </c>
      <c r="BR38" s="10">
        <f t="shared" si="34"/>
        <v>2973.4442759305307</v>
      </c>
    </row>
    <row r="39" spans="3:70" x14ac:dyDescent="0.15">
      <c r="I39" s="458">
        <f t="shared" si="35"/>
        <v>2054</v>
      </c>
      <c r="J39" s="39"/>
      <c r="K39" s="39">
        <f t="shared" si="36"/>
        <v>25</v>
      </c>
      <c r="L39" s="39"/>
      <c r="M39" s="40">
        <f t="shared" si="0"/>
        <v>0.47760556926165965</v>
      </c>
      <c r="N39" s="39"/>
      <c r="O39" s="72">
        <f t="shared" si="37"/>
        <v>0</v>
      </c>
      <c r="P39" s="41" t="str">
        <f t="shared" si="1"/>
        <v>-</v>
      </c>
      <c r="Q39" s="39"/>
      <c r="R39" s="72">
        <f t="shared" si="16"/>
        <v>58500</v>
      </c>
      <c r="S39" s="39"/>
      <c r="T39" s="72">
        <f t="shared" si="17"/>
        <v>58000</v>
      </c>
      <c r="U39" s="39"/>
      <c r="V39" s="72">
        <f t="shared" si="2"/>
        <v>0</v>
      </c>
      <c r="W39" s="72">
        <f t="shared" si="18"/>
        <v>0</v>
      </c>
      <c r="X39" s="39"/>
      <c r="Y39" s="72">
        <f t="shared" si="3"/>
        <v>0</v>
      </c>
      <c r="Z39" s="72">
        <f t="shared" si="19"/>
        <v>0</v>
      </c>
      <c r="AA39" s="39"/>
      <c r="AB39" s="72">
        <f t="shared" si="4"/>
        <v>0</v>
      </c>
      <c r="AC39" s="72">
        <f t="shared" si="20"/>
        <v>0</v>
      </c>
      <c r="AD39" s="39"/>
      <c r="AE39" s="72">
        <f t="shared" si="5"/>
        <v>0</v>
      </c>
      <c r="AF39" s="72">
        <f t="shared" si="21"/>
        <v>0</v>
      </c>
      <c r="AG39" s="39"/>
      <c r="AH39" s="72">
        <f t="shared" si="6"/>
        <v>15000</v>
      </c>
      <c r="AI39" s="72">
        <f t="shared" si="22"/>
        <v>7164.083538924895</v>
      </c>
      <c r="AJ39" s="39"/>
      <c r="AK39" s="72">
        <f t="shared" si="7"/>
        <v>0</v>
      </c>
      <c r="AL39" s="72">
        <f t="shared" si="23"/>
        <v>0</v>
      </c>
      <c r="AM39" s="39"/>
      <c r="AN39" s="72">
        <f t="shared" si="8"/>
        <v>0</v>
      </c>
      <c r="AO39" s="72">
        <f t="shared" si="24"/>
        <v>0</v>
      </c>
      <c r="AP39" s="39"/>
      <c r="AQ39" s="72">
        <f t="shared" si="9"/>
        <v>0</v>
      </c>
      <c r="AR39" s="72">
        <f t="shared" si="25"/>
        <v>0</v>
      </c>
      <c r="AS39" s="39"/>
      <c r="AT39" s="40">
        <f>IF($K39&lt;=$F$15,IF($F$40&lt;&gt;"",$F$40/1000,IF(ISERROR(VLOOKUP($F$3&amp;IF($G$4&lt;&gt;"",$G$4,"")&amp;IF($F$43&lt;&gt;"","_"&amp;$F$43,""),'表3）燃料価格'!$AF$9:$AG$25,2,0)),0,VLOOKUP($I39,'表3）燃料価格'!$A$6:$U$66,VLOOKUP($F$3&amp;IF($G$4&lt;&gt;"",$G$4,"")&amp;IF($F$43&lt;&gt;"","_"&amp;$F$43,""),'表3）燃料価格'!$AF$9:$AG$25,2,0)+VLOOKUP($F$41,'表3）燃料価格'!$AF$28:$AG$29,2,0),0)*IF($F$43="需要地価格",1,$F$8/$F$141))),"")</f>
        <v>0</v>
      </c>
      <c r="AU39" s="39"/>
      <c r="AV39" s="72">
        <f t="shared" si="10"/>
        <v>0</v>
      </c>
      <c r="AW39" s="72">
        <f t="shared" si="26"/>
        <v>0</v>
      </c>
      <c r="AX39" s="39"/>
      <c r="AY39" s="40">
        <f>IF(ISERROR(IF($K39&lt;=$F$15,VLOOKUP($I39,'表4）CO2価格'!$A$7:$E$67,VLOOKUP($F$48,'表4）CO2価格'!$H$10:$I$12,2,0),0)*$F$8/1000,"")),0,IF($K39&lt;=$F$15,VLOOKUP($I39,'表4）CO2価格'!$A$7:$E$67,VLOOKUP($F$48,'表4）CO2価格'!$H$10:$I$12,2,0),0)*$F$8/1000,""))</f>
        <v>0</v>
      </c>
      <c r="AZ39" s="39"/>
      <c r="BA39" s="42">
        <f t="shared" si="11"/>
        <v>0</v>
      </c>
      <c r="BB39" s="72">
        <f t="shared" si="27"/>
        <v>0</v>
      </c>
      <c r="BC39" s="39"/>
      <c r="BD39" s="72">
        <f t="shared" si="12"/>
        <v>0</v>
      </c>
      <c r="BE39" s="72">
        <f t="shared" si="28"/>
        <v>0</v>
      </c>
      <c r="BF39" s="39"/>
      <c r="BG39" s="42">
        <f t="shared" si="13"/>
        <v>0</v>
      </c>
      <c r="BH39" s="72">
        <f t="shared" si="29"/>
        <v>0</v>
      </c>
      <c r="BI39" s="39"/>
      <c r="BJ39" s="40" t="str">
        <f t="shared" si="30"/>
        <v/>
      </c>
      <c r="BK39" s="157" t="str">
        <f t="shared" si="31"/>
        <v/>
      </c>
      <c r="BL39" s="157" t="str">
        <f t="shared" si="14"/>
        <v/>
      </c>
      <c r="BM39" s="72"/>
      <c r="BN39" s="72" t="str">
        <f t="shared" si="32"/>
        <v/>
      </c>
      <c r="BO39" s="72" t="str">
        <f t="shared" si="33"/>
        <v/>
      </c>
      <c r="BP39" s="39"/>
      <c r="BQ39" s="72">
        <f t="shared" si="15"/>
        <v>6044.4</v>
      </c>
      <c r="BR39" s="72">
        <f t="shared" si="34"/>
        <v>2886.8391028451756</v>
      </c>
    </row>
    <row r="40" spans="3:70" x14ac:dyDescent="0.15">
      <c r="D40" s="81" t="s">
        <v>124</v>
      </c>
      <c r="F40" s="108"/>
      <c r="G40" s="82" t="s">
        <v>178</v>
      </c>
      <c r="I40" s="459">
        <f t="shared" si="35"/>
        <v>2055</v>
      </c>
      <c r="K40" s="71">
        <f t="shared" si="36"/>
        <v>26</v>
      </c>
      <c r="M40" s="7">
        <f t="shared" si="0"/>
        <v>0.46369472743850448</v>
      </c>
      <c r="O40" s="10" t="str">
        <f t="shared" si="37"/>
        <v/>
      </c>
      <c r="P40" s="29" t="str">
        <f t="shared" si="1"/>
        <v/>
      </c>
      <c r="R40" s="10" t="str">
        <f t="shared" si="16"/>
        <v/>
      </c>
      <c r="T40" s="10" t="str">
        <f t="shared" si="17"/>
        <v/>
      </c>
      <c r="V40" s="10" t="str">
        <f t="shared" si="2"/>
        <v/>
      </c>
      <c r="W40" s="10" t="str">
        <f t="shared" si="18"/>
        <v/>
      </c>
      <c r="Y40" s="10" t="str">
        <f t="shared" si="3"/>
        <v/>
      </c>
      <c r="Z40" s="10" t="str">
        <f t="shared" si="19"/>
        <v/>
      </c>
      <c r="AB40" s="10">
        <f t="shared" si="4"/>
        <v>58500</v>
      </c>
      <c r="AC40" s="10">
        <f t="shared" si="20"/>
        <v>27126.141555152513</v>
      </c>
      <c r="AE40" s="10" t="str">
        <f t="shared" si="5"/>
        <v/>
      </c>
      <c r="AF40" s="10" t="str">
        <f t="shared" si="21"/>
        <v/>
      </c>
      <c r="AH40" s="10" t="str">
        <f t="shared" si="6"/>
        <v/>
      </c>
      <c r="AI40" s="10" t="str">
        <f t="shared" si="22"/>
        <v/>
      </c>
      <c r="AK40" s="10" t="str">
        <f t="shared" si="7"/>
        <v/>
      </c>
      <c r="AL40" s="10" t="str">
        <f t="shared" si="23"/>
        <v/>
      </c>
      <c r="AN40" s="10" t="str">
        <f t="shared" si="8"/>
        <v/>
      </c>
      <c r="AO40" s="10" t="str">
        <f t="shared" si="24"/>
        <v/>
      </c>
      <c r="AQ40" s="10" t="str">
        <f t="shared" si="9"/>
        <v/>
      </c>
      <c r="AR40" s="10" t="str">
        <f t="shared" si="25"/>
        <v/>
      </c>
      <c r="AT40" s="7" t="str">
        <f>IF($K40&lt;=$F$15,IF($F$40&lt;&gt;"",$F$40/1000,IF(ISERROR(VLOOKUP($F$3&amp;IF($G$4&lt;&gt;"",$G$4,"")&amp;IF($F$43&lt;&gt;"","_"&amp;$F$43,""),'表3）燃料価格'!$AF$9:$AG$25,2,0)),0,VLOOKUP($I40,'表3）燃料価格'!$A$6:$U$66,VLOOKUP($F$3&amp;IF($G$4&lt;&gt;"",$G$4,"")&amp;IF($F$43&lt;&gt;"","_"&amp;$F$43,""),'表3）燃料価格'!$AF$9:$AG$25,2,0)+VLOOKUP($F$41,'表3）燃料価格'!$AF$28:$AG$29,2,0),0)*IF($F$43="需要地価格",1,$F$8/$F$141))),"")</f>
        <v/>
      </c>
      <c r="AV40" s="10" t="str">
        <f t="shared" si="10"/>
        <v/>
      </c>
      <c r="AW40" s="10" t="str">
        <f t="shared" si="26"/>
        <v/>
      </c>
      <c r="AY40" s="7" t="str">
        <f>IF(ISERROR(IF($K40&lt;=$F$15,VLOOKUP($I40,'表4）CO2価格'!$A$7:$E$67,VLOOKUP($F$48,'表4）CO2価格'!$H$10:$I$12,2,0),0)*$F$8/1000,"")),0,IF($K40&lt;=$F$15,VLOOKUP($I40,'表4）CO2価格'!$A$7:$E$67,VLOOKUP($F$48,'表4）CO2価格'!$H$10:$I$12,2,0),0)*$F$8/1000,""))</f>
        <v/>
      </c>
      <c r="BA40" s="11" t="str">
        <f t="shared" si="11"/>
        <v/>
      </c>
      <c r="BB40" s="10" t="str">
        <f t="shared" si="27"/>
        <v/>
      </c>
      <c r="BD40" s="10" t="str">
        <f t="shared" si="12"/>
        <v/>
      </c>
      <c r="BE40" s="10" t="str">
        <f t="shared" si="28"/>
        <v/>
      </c>
      <c r="BG40" s="11" t="str">
        <f t="shared" si="13"/>
        <v/>
      </c>
      <c r="BH40" s="10" t="str">
        <f t="shared" si="29"/>
        <v/>
      </c>
      <c r="BJ40" s="7" t="str">
        <f t="shared" si="30"/>
        <v/>
      </c>
      <c r="BK40" s="158" t="str">
        <f t="shared" si="31"/>
        <v/>
      </c>
      <c r="BL40" s="158" t="str">
        <f t="shared" si="14"/>
        <v/>
      </c>
      <c r="BM40" s="10"/>
      <c r="BN40" s="10" t="str">
        <f t="shared" si="32"/>
        <v/>
      </c>
      <c r="BO40" s="10" t="str">
        <f t="shared" si="33"/>
        <v/>
      </c>
      <c r="BQ40" s="10" t="str">
        <f t="shared" si="15"/>
        <v/>
      </c>
      <c r="BR40" s="10" t="str">
        <f t="shared" si="34"/>
        <v/>
      </c>
    </row>
    <row r="41" spans="3:70" x14ac:dyDescent="0.15">
      <c r="D41" s="81" t="s">
        <v>179</v>
      </c>
      <c r="F41" s="88"/>
      <c r="I41" s="458">
        <f t="shared" si="35"/>
        <v>2056</v>
      </c>
      <c r="J41" s="39"/>
      <c r="K41" s="39">
        <f t="shared" si="36"/>
        <v>27</v>
      </c>
      <c r="L41" s="39"/>
      <c r="M41" s="40">
        <f t="shared" si="0"/>
        <v>0.45018905576553836</v>
      </c>
      <c r="N41" s="39"/>
      <c r="O41" s="72" t="str">
        <f t="shared" si="37"/>
        <v/>
      </c>
      <c r="P41" s="41" t="str">
        <f t="shared" si="1"/>
        <v/>
      </c>
      <c r="Q41" s="39"/>
      <c r="R41" s="72" t="str">
        <f t="shared" si="16"/>
        <v/>
      </c>
      <c r="S41" s="39"/>
      <c r="T41" s="72" t="str">
        <f t="shared" si="17"/>
        <v/>
      </c>
      <c r="U41" s="39"/>
      <c r="V41" s="72" t="str">
        <f t="shared" si="2"/>
        <v/>
      </c>
      <c r="W41" s="72" t="str">
        <f t="shared" si="18"/>
        <v/>
      </c>
      <c r="X41" s="39"/>
      <c r="Y41" s="72" t="str">
        <f t="shared" si="3"/>
        <v/>
      </c>
      <c r="Z41" s="72" t="str">
        <f t="shared" si="19"/>
        <v/>
      </c>
      <c r="AA41" s="39"/>
      <c r="AB41" s="72" t="str">
        <f t="shared" si="4"/>
        <v/>
      </c>
      <c r="AC41" s="72" t="str">
        <f t="shared" si="20"/>
        <v/>
      </c>
      <c r="AD41" s="39"/>
      <c r="AE41" s="72" t="str">
        <f t="shared" si="5"/>
        <v/>
      </c>
      <c r="AF41" s="72" t="str">
        <f t="shared" si="21"/>
        <v/>
      </c>
      <c r="AG41" s="39"/>
      <c r="AH41" s="72" t="str">
        <f t="shared" si="6"/>
        <v/>
      </c>
      <c r="AI41" s="72" t="str">
        <f t="shared" si="22"/>
        <v/>
      </c>
      <c r="AJ41" s="39"/>
      <c r="AK41" s="72" t="str">
        <f t="shared" si="7"/>
        <v/>
      </c>
      <c r="AL41" s="72" t="str">
        <f t="shared" si="23"/>
        <v/>
      </c>
      <c r="AM41" s="39"/>
      <c r="AN41" s="72" t="str">
        <f t="shared" si="8"/>
        <v/>
      </c>
      <c r="AO41" s="72" t="str">
        <f t="shared" si="24"/>
        <v/>
      </c>
      <c r="AP41" s="39"/>
      <c r="AQ41" s="72" t="str">
        <f t="shared" si="9"/>
        <v/>
      </c>
      <c r="AR41" s="72" t="str">
        <f t="shared" si="25"/>
        <v/>
      </c>
      <c r="AS41" s="39"/>
      <c r="AT41" s="40" t="str">
        <f>IF($K41&lt;=$F$15,IF($F$40&lt;&gt;"",$F$40/1000,IF(ISERROR(VLOOKUP($F$3&amp;IF($G$4&lt;&gt;"",$G$4,"")&amp;IF($F$43&lt;&gt;"","_"&amp;$F$43,""),'表3）燃料価格'!$AF$9:$AG$25,2,0)),0,VLOOKUP($I41,'表3）燃料価格'!$A$6:$U$66,VLOOKUP($F$3&amp;IF($G$4&lt;&gt;"",$G$4,"")&amp;IF($F$43&lt;&gt;"","_"&amp;$F$43,""),'表3）燃料価格'!$AF$9:$AG$25,2,0)+VLOOKUP($F$41,'表3）燃料価格'!$AF$28:$AG$29,2,0),0)*IF($F$43="需要地価格",1,$F$8/$F$141))),"")</f>
        <v/>
      </c>
      <c r="AU41" s="39"/>
      <c r="AV41" s="72" t="str">
        <f t="shared" si="10"/>
        <v/>
      </c>
      <c r="AW41" s="72" t="str">
        <f t="shared" si="26"/>
        <v/>
      </c>
      <c r="AX41" s="39"/>
      <c r="AY41" s="40" t="str">
        <f>IF(ISERROR(IF($K41&lt;=$F$15,VLOOKUP($I41,'表4）CO2価格'!$A$7:$E$67,VLOOKUP($F$48,'表4）CO2価格'!$H$10:$I$12,2,0),0)*$F$8/1000,"")),0,IF($K41&lt;=$F$15,VLOOKUP($I41,'表4）CO2価格'!$A$7:$E$67,VLOOKUP($F$48,'表4）CO2価格'!$H$10:$I$12,2,0),0)*$F$8/1000,""))</f>
        <v/>
      </c>
      <c r="AZ41" s="39"/>
      <c r="BA41" s="42" t="str">
        <f t="shared" si="11"/>
        <v/>
      </c>
      <c r="BB41" s="72" t="str">
        <f t="shared" si="27"/>
        <v/>
      </c>
      <c r="BC41" s="39"/>
      <c r="BD41" s="72" t="str">
        <f t="shared" si="12"/>
        <v/>
      </c>
      <c r="BE41" s="72" t="str">
        <f t="shared" si="28"/>
        <v/>
      </c>
      <c r="BF41" s="39"/>
      <c r="BG41" s="42" t="str">
        <f t="shared" si="13"/>
        <v/>
      </c>
      <c r="BH41" s="72" t="str">
        <f t="shared" si="29"/>
        <v/>
      </c>
      <c r="BI41" s="39"/>
      <c r="BJ41" s="40" t="str">
        <f t="shared" si="30"/>
        <v/>
      </c>
      <c r="BK41" s="157" t="str">
        <f t="shared" si="31"/>
        <v/>
      </c>
      <c r="BL41" s="157" t="str">
        <f t="shared" si="14"/>
        <v/>
      </c>
      <c r="BM41" s="72"/>
      <c r="BN41" s="72" t="str">
        <f t="shared" si="32"/>
        <v/>
      </c>
      <c r="BO41" s="72" t="str">
        <f t="shared" si="33"/>
        <v/>
      </c>
      <c r="BP41" s="39"/>
      <c r="BQ41" s="72" t="str">
        <f t="shared" si="15"/>
        <v/>
      </c>
      <c r="BR41" s="72" t="str">
        <f t="shared" si="34"/>
        <v/>
      </c>
    </row>
    <row r="42" spans="3:70" x14ac:dyDescent="0.15">
      <c r="D42" s="81" t="s">
        <v>180</v>
      </c>
      <c r="F42" s="59"/>
      <c r="G42" s="81" t="s">
        <v>181</v>
      </c>
      <c r="I42" s="459">
        <f t="shared" si="35"/>
        <v>2057</v>
      </c>
      <c r="K42" s="71">
        <f t="shared" si="36"/>
        <v>28</v>
      </c>
      <c r="M42" s="7">
        <f t="shared" si="0"/>
        <v>0.4370767531704256</v>
      </c>
      <c r="O42" s="10" t="str">
        <f t="shared" si="37"/>
        <v/>
      </c>
      <c r="P42" s="29" t="str">
        <f t="shared" si="1"/>
        <v/>
      </c>
      <c r="R42" s="10" t="str">
        <f t="shared" si="16"/>
        <v/>
      </c>
      <c r="T42" s="10" t="str">
        <f t="shared" si="17"/>
        <v/>
      </c>
      <c r="V42" s="10" t="str">
        <f t="shared" si="2"/>
        <v/>
      </c>
      <c r="W42" s="10" t="str">
        <f t="shared" si="18"/>
        <v/>
      </c>
      <c r="Y42" s="10" t="str">
        <f t="shared" si="3"/>
        <v/>
      </c>
      <c r="Z42" s="10" t="str">
        <f t="shared" si="19"/>
        <v/>
      </c>
      <c r="AB42" s="10" t="str">
        <f t="shared" si="4"/>
        <v/>
      </c>
      <c r="AC42" s="10" t="str">
        <f t="shared" si="20"/>
        <v/>
      </c>
      <c r="AE42" s="10" t="str">
        <f t="shared" si="5"/>
        <v/>
      </c>
      <c r="AF42" s="10" t="str">
        <f t="shared" si="21"/>
        <v/>
      </c>
      <c r="AH42" s="10" t="str">
        <f t="shared" si="6"/>
        <v/>
      </c>
      <c r="AI42" s="10" t="str">
        <f t="shared" si="22"/>
        <v/>
      </c>
      <c r="AK42" s="10" t="str">
        <f t="shared" si="7"/>
        <v/>
      </c>
      <c r="AL42" s="10" t="str">
        <f t="shared" si="23"/>
        <v/>
      </c>
      <c r="AN42" s="10" t="str">
        <f t="shared" si="8"/>
        <v/>
      </c>
      <c r="AO42" s="10" t="str">
        <f t="shared" si="24"/>
        <v/>
      </c>
      <c r="AQ42" s="10" t="str">
        <f t="shared" si="9"/>
        <v/>
      </c>
      <c r="AR42" s="10" t="str">
        <f t="shared" si="25"/>
        <v/>
      </c>
      <c r="AT42" s="7" t="str">
        <f>IF($K42&lt;=$F$15,IF($F$40&lt;&gt;"",$F$40/1000,IF(ISERROR(VLOOKUP($F$3&amp;IF($G$4&lt;&gt;"",$G$4,"")&amp;IF($F$43&lt;&gt;"","_"&amp;$F$43,""),'表3）燃料価格'!$AF$9:$AG$25,2,0)),0,VLOOKUP($I42,'表3）燃料価格'!$A$6:$U$66,VLOOKUP($F$3&amp;IF($G$4&lt;&gt;"",$G$4,"")&amp;IF($F$43&lt;&gt;"","_"&amp;$F$43,""),'表3）燃料価格'!$AF$9:$AG$25,2,0)+VLOOKUP($F$41,'表3）燃料価格'!$AF$28:$AG$29,2,0),0)*IF($F$43="需要地価格",1,$F$8/$F$141))),"")</f>
        <v/>
      </c>
      <c r="AV42" s="10" t="str">
        <f t="shared" si="10"/>
        <v/>
      </c>
      <c r="AW42" s="10" t="str">
        <f t="shared" si="26"/>
        <v/>
      </c>
      <c r="AY42" s="7" t="str">
        <f>IF(ISERROR(IF($K42&lt;=$F$15,VLOOKUP($I42,'表4）CO2価格'!$A$7:$E$67,VLOOKUP($F$48,'表4）CO2価格'!$H$10:$I$12,2,0),0)*$F$8/1000,"")),0,IF($K42&lt;=$F$15,VLOOKUP($I42,'表4）CO2価格'!$A$7:$E$67,VLOOKUP($F$48,'表4）CO2価格'!$H$10:$I$12,2,0),0)*$F$8/1000,""))</f>
        <v/>
      </c>
      <c r="BA42" s="11" t="str">
        <f t="shared" si="11"/>
        <v/>
      </c>
      <c r="BB42" s="10" t="str">
        <f t="shared" si="27"/>
        <v/>
      </c>
      <c r="BD42" s="10" t="str">
        <f t="shared" si="12"/>
        <v/>
      </c>
      <c r="BE42" s="10" t="str">
        <f t="shared" si="28"/>
        <v/>
      </c>
      <c r="BG42" s="11" t="str">
        <f t="shared" si="13"/>
        <v/>
      </c>
      <c r="BH42" s="10" t="str">
        <f t="shared" si="29"/>
        <v/>
      </c>
      <c r="BJ42" s="7" t="str">
        <f t="shared" si="30"/>
        <v/>
      </c>
      <c r="BK42" s="158" t="str">
        <f t="shared" si="31"/>
        <v/>
      </c>
      <c r="BL42" s="158" t="str">
        <f t="shared" si="14"/>
        <v/>
      </c>
      <c r="BM42" s="10"/>
      <c r="BN42" s="10" t="str">
        <f t="shared" si="32"/>
        <v/>
      </c>
      <c r="BO42" s="10" t="str">
        <f t="shared" si="33"/>
        <v/>
      </c>
      <c r="BQ42" s="10" t="str">
        <f t="shared" si="15"/>
        <v/>
      </c>
      <c r="BR42" s="10" t="str">
        <f t="shared" si="34"/>
        <v/>
      </c>
    </row>
    <row r="43" spans="3:70" x14ac:dyDescent="0.15">
      <c r="D43" s="82" t="s">
        <v>126</v>
      </c>
      <c r="F43" s="88"/>
      <c r="I43" s="458">
        <f t="shared" si="35"/>
        <v>2058</v>
      </c>
      <c r="J43" s="39"/>
      <c r="K43" s="39">
        <f t="shared" si="36"/>
        <v>29</v>
      </c>
      <c r="L43" s="39"/>
      <c r="M43" s="40">
        <f t="shared" si="0"/>
        <v>0.42434636230138412</v>
      </c>
      <c r="N43" s="39"/>
      <c r="O43" s="72" t="str">
        <f t="shared" si="37"/>
        <v/>
      </c>
      <c r="P43" s="41" t="str">
        <f t="shared" si="1"/>
        <v/>
      </c>
      <c r="Q43" s="39"/>
      <c r="R43" s="72" t="str">
        <f t="shared" si="16"/>
        <v/>
      </c>
      <c r="S43" s="39"/>
      <c r="T43" s="72" t="str">
        <f t="shared" si="17"/>
        <v/>
      </c>
      <c r="U43" s="39"/>
      <c r="V43" s="72" t="str">
        <f t="shared" si="2"/>
        <v/>
      </c>
      <c r="W43" s="72" t="str">
        <f t="shared" si="18"/>
        <v/>
      </c>
      <c r="X43" s="39"/>
      <c r="Y43" s="72" t="str">
        <f t="shared" si="3"/>
        <v/>
      </c>
      <c r="Z43" s="72" t="str">
        <f t="shared" si="19"/>
        <v/>
      </c>
      <c r="AA43" s="39"/>
      <c r="AB43" s="72" t="str">
        <f t="shared" si="4"/>
        <v/>
      </c>
      <c r="AC43" s="72" t="str">
        <f t="shared" si="20"/>
        <v/>
      </c>
      <c r="AD43" s="39"/>
      <c r="AE43" s="72" t="str">
        <f t="shared" si="5"/>
        <v/>
      </c>
      <c r="AF43" s="72" t="str">
        <f t="shared" si="21"/>
        <v/>
      </c>
      <c r="AG43" s="39"/>
      <c r="AH43" s="72" t="str">
        <f t="shared" si="6"/>
        <v/>
      </c>
      <c r="AI43" s="72" t="str">
        <f t="shared" si="22"/>
        <v/>
      </c>
      <c r="AJ43" s="39"/>
      <c r="AK43" s="72" t="str">
        <f t="shared" si="7"/>
        <v/>
      </c>
      <c r="AL43" s="72" t="str">
        <f t="shared" si="23"/>
        <v/>
      </c>
      <c r="AM43" s="39"/>
      <c r="AN43" s="72" t="str">
        <f t="shared" si="8"/>
        <v/>
      </c>
      <c r="AO43" s="72" t="str">
        <f t="shared" si="24"/>
        <v/>
      </c>
      <c r="AP43" s="39"/>
      <c r="AQ43" s="72" t="str">
        <f t="shared" si="9"/>
        <v/>
      </c>
      <c r="AR43" s="72" t="str">
        <f t="shared" si="25"/>
        <v/>
      </c>
      <c r="AS43" s="39"/>
      <c r="AT43" s="40" t="str">
        <f>IF($K43&lt;=$F$15,IF($F$40&lt;&gt;"",$F$40/1000,IF(ISERROR(VLOOKUP($F$3&amp;IF($G$4&lt;&gt;"",$G$4,"")&amp;IF($F$43&lt;&gt;"","_"&amp;$F$43,""),'表3）燃料価格'!$AF$9:$AG$25,2,0)),0,VLOOKUP($I43,'表3）燃料価格'!$A$6:$U$66,VLOOKUP($F$3&amp;IF($G$4&lt;&gt;"",$G$4,"")&amp;IF($F$43&lt;&gt;"","_"&amp;$F$43,""),'表3）燃料価格'!$AF$9:$AG$25,2,0)+VLOOKUP($F$41,'表3）燃料価格'!$AF$28:$AG$29,2,0),0)*IF($F$43="需要地価格",1,$F$8/$F$141))),"")</f>
        <v/>
      </c>
      <c r="AU43" s="39"/>
      <c r="AV43" s="72" t="str">
        <f t="shared" si="10"/>
        <v/>
      </c>
      <c r="AW43" s="72" t="str">
        <f t="shared" si="26"/>
        <v/>
      </c>
      <c r="AX43" s="39"/>
      <c r="AY43" s="40" t="str">
        <f>IF(ISERROR(IF($K43&lt;=$F$15,VLOOKUP($I43,'表4）CO2価格'!$A$7:$E$67,VLOOKUP($F$48,'表4）CO2価格'!$H$10:$I$12,2,0),0)*$F$8/1000,"")),0,IF($K43&lt;=$F$15,VLOOKUP($I43,'表4）CO2価格'!$A$7:$E$67,VLOOKUP($F$48,'表4）CO2価格'!$H$10:$I$12,2,0),0)*$F$8/1000,""))</f>
        <v/>
      </c>
      <c r="AZ43" s="39"/>
      <c r="BA43" s="42" t="str">
        <f t="shared" si="11"/>
        <v/>
      </c>
      <c r="BB43" s="72" t="str">
        <f t="shared" si="27"/>
        <v/>
      </c>
      <c r="BC43" s="39"/>
      <c r="BD43" s="72" t="str">
        <f t="shared" si="12"/>
        <v/>
      </c>
      <c r="BE43" s="72" t="str">
        <f t="shared" si="28"/>
        <v/>
      </c>
      <c r="BF43" s="39"/>
      <c r="BG43" s="42" t="str">
        <f t="shared" si="13"/>
        <v/>
      </c>
      <c r="BH43" s="72" t="str">
        <f t="shared" si="29"/>
        <v/>
      </c>
      <c r="BI43" s="39"/>
      <c r="BJ43" s="40" t="str">
        <f t="shared" si="30"/>
        <v/>
      </c>
      <c r="BK43" s="157" t="str">
        <f t="shared" si="31"/>
        <v/>
      </c>
      <c r="BL43" s="157" t="str">
        <f t="shared" si="14"/>
        <v/>
      </c>
      <c r="BM43" s="72"/>
      <c r="BN43" s="72" t="str">
        <f t="shared" si="32"/>
        <v/>
      </c>
      <c r="BO43" s="72" t="str">
        <f t="shared" si="33"/>
        <v/>
      </c>
      <c r="BP43" s="39"/>
      <c r="BQ43" s="72" t="str">
        <f t="shared" si="15"/>
        <v/>
      </c>
      <c r="BR43" s="72" t="str">
        <f t="shared" si="34"/>
        <v/>
      </c>
    </row>
    <row r="44" spans="3:70" x14ac:dyDescent="0.15">
      <c r="I44" s="459">
        <f t="shared" si="35"/>
        <v>2059</v>
      </c>
      <c r="K44" s="71">
        <f t="shared" si="36"/>
        <v>30</v>
      </c>
      <c r="M44" s="7">
        <f t="shared" si="0"/>
        <v>0.41198675951590691</v>
      </c>
      <c r="O44" s="10" t="str">
        <f t="shared" si="37"/>
        <v/>
      </c>
      <c r="P44" s="29" t="str">
        <f t="shared" si="1"/>
        <v/>
      </c>
      <c r="R44" s="10" t="str">
        <f t="shared" si="16"/>
        <v/>
      </c>
      <c r="T44" s="10" t="str">
        <f t="shared" si="17"/>
        <v/>
      </c>
      <c r="V44" s="10" t="str">
        <f t="shared" si="2"/>
        <v/>
      </c>
      <c r="W44" s="10" t="str">
        <f t="shared" si="18"/>
        <v/>
      </c>
      <c r="Y44" s="10" t="str">
        <f t="shared" si="3"/>
        <v/>
      </c>
      <c r="Z44" s="10" t="str">
        <f t="shared" si="19"/>
        <v/>
      </c>
      <c r="AB44" s="10" t="str">
        <f t="shared" si="4"/>
        <v/>
      </c>
      <c r="AC44" s="10" t="str">
        <f t="shared" si="20"/>
        <v/>
      </c>
      <c r="AE44" s="10" t="str">
        <f t="shared" si="5"/>
        <v/>
      </c>
      <c r="AF44" s="10" t="str">
        <f t="shared" si="21"/>
        <v/>
      </c>
      <c r="AH44" s="10" t="str">
        <f t="shared" si="6"/>
        <v/>
      </c>
      <c r="AI44" s="10" t="str">
        <f t="shared" si="22"/>
        <v/>
      </c>
      <c r="AK44" s="10" t="str">
        <f t="shared" si="7"/>
        <v/>
      </c>
      <c r="AL44" s="10" t="str">
        <f t="shared" si="23"/>
        <v/>
      </c>
      <c r="AN44" s="10" t="str">
        <f t="shared" si="8"/>
        <v/>
      </c>
      <c r="AO44" s="10" t="str">
        <f t="shared" si="24"/>
        <v/>
      </c>
      <c r="AQ44" s="10" t="str">
        <f t="shared" si="9"/>
        <v/>
      </c>
      <c r="AR44" s="10" t="str">
        <f t="shared" si="25"/>
        <v/>
      </c>
      <c r="AT44" s="7" t="str">
        <f>IF($K44&lt;=$F$15,IF($F$40&lt;&gt;"",$F$40/1000,IF(ISERROR(VLOOKUP($F$3&amp;IF($G$4&lt;&gt;"",$G$4,"")&amp;IF($F$43&lt;&gt;"","_"&amp;$F$43,""),'表3）燃料価格'!$AF$9:$AG$25,2,0)),0,VLOOKUP($I44,'表3）燃料価格'!$A$6:$U$66,VLOOKUP($F$3&amp;IF($G$4&lt;&gt;"",$G$4,"")&amp;IF($F$43&lt;&gt;"","_"&amp;$F$43,""),'表3）燃料価格'!$AF$9:$AG$25,2,0)+VLOOKUP($F$41,'表3）燃料価格'!$AF$28:$AG$29,2,0),0)*IF($F$43="需要地価格",1,$F$8/$F$141))),"")</f>
        <v/>
      </c>
      <c r="AV44" s="10" t="str">
        <f t="shared" si="10"/>
        <v/>
      </c>
      <c r="AW44" s="10" t="str">
        <f t="shared" si="26"/>
        <v/>
      </c>
      <c r="AY44" s="7" t="str">
        <f>IF(ISERROR(IF($K44&lt;=$F$15,VLOOKUP($I44,'表4）CO2価格'!$A$7:$E$67,VLOOKUP($F$48,'表4）CO2価格'!$H$10:$I$12,2,0),0)*$F$8/1000,"")),0,IF($K44&lt;=$F$15,VLOOKUP($I44,'表4）CO2価格'!$A$7:$E$67,VLOOKUP($F$48,'表4）CO2価格'!$H$10:$I$12,2,0),0)*$F$8/1000,""))</f>
        <v/>
      </c>
      <c r="BA44" s="11" t="str">
        <f t="shared" si="11"/>
        <v/>
      </c>
      <c r="BB44" s="10" t="str">
        <f t="shared" si="27"/>
        <v/>
      </c>
      <c r="BD44" s="10" t="str">
        <f t="shared" si="12"/>
        <v/>
      </c>
      <c r="BE44" s="10" t="str">
        <f t="shared" si="28"/>
        <v/>
      </c>
      <c r="BG44" s="11" t="str">
        <f t="shared" si="13"/>
        <v/>
      </c>
      <c r="BH44" s="10" t="str">
        <f t="shared" si="29"/>
        <v/>
      </c>
      <c r="BJ44" s="7" t="str">
        <f t="shared" si="30"/>
        <v/>
      </c>
      <c r="BK44" s="158" t="str">
        <f t="shared" si="31"/>
        <v/>
      </c>
      <c r="BL44" s="158" t="str">
        <f t="shared" si="14"/>
        <v/>
      </c>
      <c r="BM44" s="10"/>
      <c r="BN44" s="10" t="str">
        <f t="shared" si="32"/>
        <v/>
      </c>
      <c r="BO44" s="10" t="str">
        <f t="shared" si="33"/>
        <v/>
      </c>
      <c r="BQ44" s="10" t="str">
        <f t="shared" si="15"/>
        <v/>
      </c>
      <c r="BR44" s="10" t="str">
        <f t="shared" si="34"/>
        <v/>
      </c>
    </row>
    <row r="45" spans="3:70" x14ac:dyDescent="0.15">
      <c r="C45" s="89" t="s">
        <v>509</v>
      </c>
      <c r="D45" s="101"/>
      <c r="E45" s="101"/>
      <c r="F45" s="89"/>
      <c r="G45" s="101"/>
      <c r="I45" s="458">
        <f t="shared" si="35"/>
        <v>2060</v>
      </c>
      <c r="J45" s="39"/>
      <c r="K45" s="39">
        <f t="shared" si="36"/>
        <v>31</v>
      </c>
      <c r="L45" s="39"/>
      <c r="M45" s="40">
        <f t="shared" si="0"/>
        <v>0.39998714516107459</v>
      </c>
      <c r="N45" s="39"/>
      <c r="O45" s="72" t="str">
        <f t="shared" si="37"/>
        <v/>
      </c>
      <c r="P45" s="41" t="str">
        <f t="shared" si="1"/>
        <v/>
      </c>
      <c r="Q45" s="39"/>
      <c r="R45" s="72" t="str">
        <f t="shared" si="16"/>
        <v/>
      </c>
      <c r="S45" s="39"/>
      <c r="T45" s="72" t="str">
        <f t="shared" si="17"/>
        <v/>
      </c>
      <c r="U45" s="39"/>
      <c r="V45" s="72" t="str">
        <f t="shared" si="2"/>
        <v/>
      </c>
      <c r="W45" s="72" t="str">
        <f t="shared" si="18"/>
        <v/>
      </c>
      <c r="X45" s="39"/>
      <c r="Y45" s="72" t="str">
        <f t="shared" si="3"/>
        <v/>
      </c>
      <c r="Z45" s="72" t="str">
        <f t="shared" si="19"/>
        <v/>
      </c>
      <c r="AA45" s="39"/>
      <c r="AB45" s="72" t="str">
        <f t="shared" si="4"/>
        <v/>
      </c>
      <c r="AC45" s="72" t="str">
        <f t="shared" si="20"/>
        <v/>
      </c>
      <c r="AD45" s="39"/>
      <c r="AE45" s="72" t="str">
        <f t="shared" si="5"/>
        <v/>
      </c>
      <c r="AF45" s="72" t="str">
        <f t="shared" si="21"/>
        <v/>
      </c>
      <c r="AG45" s="39"/>
      <c r="AH45" s="72" t="str">
        <f t="shared" si="6"/>
        <v/>
      </c>
      <c r="AI45" s="72" t="str">
        <f t="shared" si="22"/>
        <v/>
      </c>
      <c r="AJ45" s="39"/>
      <c r="AK45" s="72" t="str">
        <f t="shared" si="7"/>
        <v/>
      </c>
      <c r="AL45" s="72" t="str">
        <f t="shared" si="23"/>
        <v/>
      </c>
      <c r="AM45" s="39"/>
      <c r="AN45" s="72" t="str">
        <f t="shared" si="8"/>
        <v/>
      </c>
      <c r="AO45" s="72" t="str">
        <f t="shared" si="24"/>
        <v/>
      </c>
      <c r="AP45" s="39"/>
      <c r="AQ45" s="72" t="str">
        <f t="shared" si="9"/>
        <v/>
      </c>
      <c r="AR45" s="72" t="str">
        <f t="shared" si="25"/>
        <v/>
      </c>
      <c r="AS45" s="39"/>
      <c r="AT45" s="40" t="str">
        <f>IF($K45&lt;=$F$15,IF($F$40&lt;&gt;"",$F$40/1000,IF(ISERROR(VLOOKUP($F$3&amp;IF($G$4&lt;&gt;"",$G$4,"")&amp;IF($F$43&lt;&gt;"","_"&amp;$F$43,""),'表3）燃料価格'!$AF$9:$AG$25,2,0)),0,VLOOKUP($I45,'表3）燃料価格'!$A$6:$U$66,VLOOKUP($F$3&amp;IF($G$4&lt;&gt;"",$G$4,"")&amp;IF($F$43&lt;&gt;"","_"&amp;$F$43,""),'表3）燃料価格'!$AF$9:$AG$25,2,0)+VLOOKUP($F$41,'表3）燃料価格'!$AF$28:$AG$29,2,0),0)*IF($F$43="需要地価格",1,$F$8/$F$141))),"")</f>
        <v/>
      </c>
      <c r="AU45" s="39"/>
      <c r="AV45" s="72" t="str">
        <f t="shared" si="10"/>
        <v/>
      </c>
      <c r="AW45" s="72" t="str">
        <f t="shared" si="26"/>
        <v/>
      </c>
      <c r="AX45" s="39"/>
      <c r="AY45" s="40" t="str">
        <f>IF(ISERROR(IF($K45&lt;=$F$15,VLOOKUP($I45,'表4）CO2価格'!$A$7:$E$67,VLOOKUP($F$48,'表4）CO2価格'!$H$10:$I$12,2,0),0)*$F$8/1000,"")),0,IF($K45&lt;=$F$15,VLOOKUP($I45,'表4）CO2価格'!$A$7:$E$67,VLOOKUP($F$48,'表4）CO2価格'!$H$10:$I$12,2,0),0)*$F$8/1000,""))</f>
        <v/>
      </c>
      <c r="AZ45" s="39"/>
      <c r="BA45" s="42" t="str">
        <f t="shared" si="11"/>
        <v/>
      </c>
      <c r="BB45" s="72" t="str">
        <f t="shared" si="27"/>
        <v/>
      </c>
      <c r="BC45" s="39"/>
      <c r="BD45" s="72" t="str">
        <f t="shared" si="12"/>
        <v/>
      </c>
      <c r="BE45" s="72" t="str">
        <f t="shared" si="28"/>
        <v/>
      </c>
      <c r="BF45" s="39"/>
      <c r="BG45" s="42" t="str">
        <f t="shared" si="13"/>
        <v/>
      </c>
      <c r="BH45" s="72" t="str">
        <f t="shared" si="29"/>
        <v/>
      </c>
      <c r="BI45" s="39"/>
      <c r="BJ45" s="40" t="str">
        <f t="shared" si="30"/>
        <v/>
      </c>
      <c r="BK45" s="157" t="str">
        <f t="shared" si="31"/>
        <v/>
      </c>
      <c r="BL45" s="157" t="str">
        <f t="shared" si="14"/>
        <v/>
      </c>
      <c r="BM45" s="72"/>
      <c r="BN45" s="72" t="str">
        <f t="shared" si="32"/>
        <v/>
      </c>
      <c r="BO45" s="72" t="str">
        <f t="shared" si="33"/>
        <v/>
      </c>
      <c r="BP45" s="39"/>
      <c r="BQ45" s="72" t="str">
        <f t="shared" si="15"/>
        <v/>
      </c>
      <c r="BR45" s="72" t="str">
        <f t="shared" si="34"/>
        <v/>
      </c>
    </row>
    <row r="46" spans="3:70" x14ac:dyDescent="0.15">
      <c r="I46" s="459">
        <f t="shared" si="35"/>
        <v>2061</v>
      </c>
      <c r="K46" s="71">
        <f t="shared" si="36"/>
        <v>32</v>
      </c>
      <c r="M46" s="7">
        <f t="shared" si="0"/>
        <v>0.38833703413696569</v>
      </c>
      <c r="O46" s="10" t="str">
        <f t="shared" si="37"/>
        <v/>
      </c>
      <c r="P46" s="29" t="str">
        <f t="shared" si="1"/>
        <v/>
      </c>
      <c r="R46" s="10" t="str">
        <f t="shared" si="16"/>
        <v/>
      </c>
      <c r="T46" s="10" t="str">
        <f t="shared" si="17"/>
        <v/>
      </c>
      <c r="V46" s="10" t="str">
        <f t="shared" si="2"/>
        <v/>
      </c>
      <c r="W46" s="10" t="str">
        <f t="shared" si="18"/>
        <v/>
      </c>
      <c r="Y46" s="10" t="str">
        <f t="shared" si="3"/>
        <v/>
      </c>
      <c r="Z46" s="10" t="str">
        <f t="shared" si="19"/>
        <v/>
      </c>
      <c r="AB46" s="10" t="str">
        <f t="shared" si="4"/>
        <v/>
      </c>
      <c r="AC46" s="10" t="str">
        <f t="shared" si="20"/>
        <v/>
      </c>
      <c r="AE46" s="10" t="str">
        <f t="shared" si="5"/>
        <v/>
      </c>
      <c r="AF46" s="10" t="str">
        <f t="shared" si="21"/>
        <v/>
      </c>
      <c r="AH46" s="10" t="str">
        <f t="shared" si="6"/>
        <v/>
      </c>
      <c r="AI46" s="10" t="str">
        <f t="shared" si="22"/>
        <v/>
      </c>
      <c r="AK46" s="10" t="str">
        <f t="shared" si="7"/>
        <v/>
      </c>
      <c r="AL46" s="10" t="str">
        <f t="shared" si="23"/>
        <v/>
      </c>
      <c r="AN46" s="10" t="str">
        <f t="shared" si="8"/>
        <v/>
      </c>
      <c r="AO46" s="10" t="str">
        <f t="shared" si="24"/>
        <v/>
      </c>
      <c r="AQ46" s="10" t="str">
        <f t="shared" si="9"/>
        <v/>
      </c>
      <c r="AR46" s="10" t="str">
        <f t="shared" si="25"/>
        <v/>
      </c>
      <c r="AT46" s="7" t="str">
        <f>IF($K46&lt;=$F$15,IF($F$40&lt;&gt;"",$F$40/1000,IF(ISERROR(VLOOKUP($F$3&amp;IF($G$4&lt;&gt;"",$G$4,"")&amp;IF($F$43&lt;&gt;"","_"&amp;$F$43,""),'表3）燃料価格'!$AF$9:$AG$25,2,0)),0,VLOOKUP($I46,'表3）燃料価格'!$A$6:$U$66,VLOOKUP($F$3&amp;IF($G$4&lt;&gt;"",$G$4,"")&amp;IF($F$43&lt;&gt;"","_"&amp;$F$43,""),'表3）燃料価格'!$AF$9:$AG$25,2,0)+VLOOKUP($F$41,'表3）燃料価格'!$AF$28:$AG$29,2,0),0)*IF($F$43="需要地価格",1,$F$8/$F$141))),"")</f>
        <v/>
      </c>
      <c r="AV46" s="10" t="str">
        <f t="shared" si="10"/>
        <v/>
      </c>
      <c r="AW46" s="10" t="str">
        <f t="shared" si="26"/>
        <v/>
      </c>
      <c r="AY46" s="7" t="str">
        <f>IF(ISERROR(IF($K46&lt;=$F$15,VLOOKUP($I46,'表4）CO2価格'!$A$7:$E$67,VLOOKUP($F$48,'表4）CO2価格'!$H$10:$I$12,2,0),0)*$F$8/1000,"")),0,IF($K46&lt;=$F$15,VLOOKUP($I46,'表4）CO2価格'!$A$7:$E$67,VLOOKUP($F$48,'表4）CO2価格'!$H$10:$I$12,2,0),0)*$F$8/1000,""))</f>
        <v/>
      </c>
      <c r="BA46" s="11" t="str">
        <f t="shared" si="11"/>
        <v/>
      </c>
      <c r="BB46" s="10" t="str">
        <f t="shared" si="27"/>
        <v/>
      </c>
      <c r="BD46" s="10" t="str">
        <f t="shared" si="12"/>
        <v/>
      </c>
      <c r="BE46" s="10" t="str">
        <f t="shared" si="28"/>
        <v/>
      </c>
      <c r="BG46" s="11" t="str">
        <f t="shared" si="13"/>
        <v/>
      </c>
      <c r="BH46" s="10" t="str">
        <f t="shared" si="29"/>
        <v/>
      </c>
      <c r="BJ46" s="7" t="str">
        <f t="shared" si="30"/>
        <v/>
      </c>
      <c r="BK46" s="158" t="str">
        <f t="shared" si="31"/>
        <v/>
      </c>
      <c r="BL46" s="158" t="str">
        <f t="shared" si="14"/>
        <v/>
      </c>
      <c r="BM46" s="10"/>
      <c r="BN46" s="10" t="str">
        <f t="shared" si="32"/>
        <v/>
      </c>
      <c r="BO46" s="10" t="str">
        <f t="shared" si="33"/>
        <v/>
      </c>
      <c r="BQ46" s="10" t="str">
        <f t="shared" si="15"/>
        <v/>
      </c>
      <c r="BR46" s="10" t="str">
        <f t="shared" si="34"/>
        <v/>
      </c>
    </row>
    <row r="47" spans="3:70" x14ac:dyDescent="0.15">
      <c r="D47" s="81" t="s">
        <v>182</v>
      </c>
      <c r="F47" s="66"/>
      <c r="G47" s="81" t="s">
        <v>226</v>
      </c>
      <c r="I47" s="458">
        <f t="shared" si="35"/>
        <v>2062</v>
      </c>
      <c r="J47" s="39"/>
      <c r="K47" s="39">
        <f t="shared" si="36"/>
        <v>33</v>
      </c>
      <c r="L47" s="39"/>
      <c r="M47" s="40">
        <f t="shared" si="0"/>
        <v>0.37702624673491814</v>
      </c>
      <c r="N47" s="39"/>
      <c r="O47" s="72" t="str">
        <f t="shared" si="37"/>
        <v/>
      </c>
      <c r="P47" s="41" t="str">
        <f t="shared" si="1"/>
        <v/>
      </c>
      <c r="Q47" s="39"/>
      <c r="R47" s="72" t="str">
        <f t="shared" si="16"/>
        <v/>
      </c>
      <c r="S47" s="39"/>
      <c r="T47" s="72" t="str">
        <f t="shared" si="17"/>
        <v/>
      </c>
      <c r="U47" s="39"/>
      <c r="V47" s="72" t="str">
        <f t="shared" si="2"/>
        <v/>
      </c>
      <c r="W47" s="72" t="str">
        <f t="shared" si="18"/>
        <v/>
      </c>
      <c r="X47" s="39"/>
      <c r="Y47" s="72" t="str">
        <f t="shared" si="3"/>
        <v/>
      </c>
      <c r="Z47" s="72" t="str">
        <f t="shared" si="19"/>
        <v/>
      </c>
      <c r="AA47" s="39"/>
      <c r="AB47" s="72" t="str">
        <f t="shared" si="4"/>
        <v/>
      </c>
      <c r="AC47" s="72" t="str">
        <f t="shared" si="20"/>
        <v/>
      </c>
      <c r="AD47" s="39"/>
      <c r="AE47" s="72" t="str">
        <f t="shared" si="5"/>
        <v/>
      </c>
      <c r="AF47" s="72" t="str">
        <f t="shared" si="21"/>
        <v/>
      </c>
      <c r="AG47" s="39"/>
      <c r="AH47" s="72" t="str">
        <f t="shared" si="6"/>
        <v/>
      </c>
      <c r="AI47" s="72" t="str">
        <f t="shared" si="22"/>
        <v/>
      </c>
      <c r="AJ47" s="39"/>
      <c r="AK47" s="72" t="str">
        <f t="shared" si="7"/>
        <v/>
      </c>
      <c r="AL47" s="72" t="str">
        <f t="shared" si="23"/>
        <v/>
      </c>
      <c r="AM47" s="39"/>
      <c r="AN47" s="72" t="str">
        <f t="shared" si="8"/>
        <v/>
      </c>
      <c r="AO47" s="72" t="str">
        <f t="shared" si="24"/>
        <v/>
      </c>
      <c r="AP47" s="39"/>
      <c r="AQ47" s="72" t="str">
        <f t="shared" si="9"/>
        <v/>
      </c>
      <c r="AR47" s="72" t="str">
        <f t="shared" si="25"/>
        <v/>
      </c>
      <c r="AS47" s="39"/>
      <c r="AT47" s="40" t="str">
        <f>IF($K47&lt;=$F$15,IF($F$40&lt;&gt;"",$F$40/1000,IF(ISERROR(VLOOKUP($F$3&amp;IF($G$4&lt;&gt;"",$G$4,"")&amp;IF($F$43&lt;&gt;"","_"&amp;$F$43,""),'表3）燃料価格'!$AF$9:$AG$25,2,0)),0,VLOOKUP($I47,'表3）燃料価格'!$A$6:$U$66,VLOOKUP($F$3&amp;IF($G$4&lt;&gt;"",$G$4,"")&amp;IF($F$43&lt;&gt;"","_"&amp;$F$43,""),'表3）燃料価格'!$AF$9:$AG$25,2,0)+VLOOKUP($F$41,'表3）燃料価格'!$AF$28:$AG$29,2,0),0)*IF($F$43="需要地価格",1,$F$8/$F$141))),"")</f>
        <v/>
      </c>
      <c r="AU47" s="39"/>
      <c r="AV47" s="72" t="str">
        <f t="shared" si="10"/>
        <v/>
      </c>
      <c r="AW47" s="72" t="str">
        <f t="shared" si="26"/>
        <v/>
      </c>
      <c r="AX47" s="39"/>
      <c r="AY47" s="40" t="str">
        <f>IF(ISERROR(IF($K47&lt;=$F$15,VLOOKUP($I47,'表4）CO2価格'!$A$7:$E$67,VLOOKUP($F$48,'表4）CO2価格'!$H$10:$I$12,2,0),0)*$F$8/1000,"")),0,IF($K47&lt;=$F$15,VLOOKUP($I47,'表4）CO2価格'!$A$7:$E$67,VLOOKUP($F$48,'表4）CO2価格'!$H$10:$I$12,2,0),0)*$F$8/1000,""))</f>
        <v/>
      </c>
      <c r="AZ47" s="39"/>
      <c r="BA47" s="42" t="str">
        <f t="shared" si="11"/>
        <v/>
      </c>
      <c r="BB47" s="72" t="str">
        <f t="shared" si="27"/>
        <v/>
      </c>
      <c r="BC47" s="39"/>
      <c r="BD47" s="72" t="str">
        <f t="shared" si="12"/>
        <v/>
      </c>
      <c r="BE47" s="72" t="str">
        <f t="shared" si="28"/>
        <v/>
      </c>
      <c r="BF47" s="39"/>
      <c r="BG47" s="42" t="str">
        <f t="shared" si="13"/>
        <v/>
      </c>
      <c r="BH47" s="72" t="str">
        <f t="shared" si="29"/>
        <v/>
      </c>
      <c r="BI47" s="39"/>
      <c r="BJ47" s="40" t="str">
        <f t="shared" si="30"/>
        <v/>
      </c>
      <c r="BK47" s="157" t="str">
        <f t="shared" si="31"/>
        <v/>
      </c>
      <c r="BL47" s="157" t="str">
        <f t="shared" si="14"/>
        <v/>
      </c>
      <c r="BM47" s="72"/>
      <c r="BN47" s="72" t="str">
        <f t="shared" si="32"/>
        <v/>
      </c>
      <c r="BO47" s="72" t="str">
        <f t="shared" si="33"/>
        <v/>
      </c>
      <c r="BP47" s="39"/>
      <c r="BQ47" s="72" t="str">
        <f t="shared" si="15"/>
        <v/>
      </c>
      <c r="BR47" s="72" t="str">
        <f t="shared" si="34"/>
        <v/>
      </c>
    </row>
    <row r="48" spans="3:70" x14ac:dyDescent="0.15">
      <c r="D48" s="81" t="s">
        <v>184</v>
      </c>
      <c r="F48" s="88"/>
      <c r="I48" s="459">
        <f t="shared" si="35"/>
        <v>2063</v>
      </c>
      <c r="K48" s="71">
        <f t="shared" si="36"/>
        <v>34</v>
      </c>
      <c r="M48" s="7">
        <f t="shared" si="0"/>
        <v>0.36604489974263904</v>
      </c>
      <c r="O48" s="10" t="str">
        <f t="shared" si="37"/>
        <v/>
      </c>
      <c r="P48" s="29" t="str">
        <f t="shared" si="1"/>
        <v/>
      </c>
      <c r="R48" s="10" t="str">
        <f t="shared" si="16"/>
        <v/>
      </c>
      <c r="T48" s="10" t="str">
        <f t="shared" si="17"/>
        <v/>
      </c>
      <c r="V48" s="10" t="str">
        <f t="shared" si="2"/>
        <v/>
      </c>
      <c r="W48" s="10" t="str">
        <f t="shared" si="18"/>
        <v/>
      </c>
      <c r="Y48" s="10" t="str">
        <f t="shared" si="3"/>
        <v/>
      </c>
      <c r="Z48" s="10" t="str">
        <f t="shared" si="19"/>
        <v/>
      </c>
      <c r="AB48" s="10" t="str">
        <f t="shared" si="4"/>
        <v/>
      </c>
      <c r="AC48" s="10" t="str">
        <f t="shared" si="20"/>
        <v/>
      </c>
      <c r="AE48" s="10" t="str">
        <f t="shared" si="5"/>
        <v/>
      </c>
      <c r="AF48" s="10" t="str">
        <f t="shared" si="21"/>
        <v/>
      </c>
      <c r="AH48" s="10" t="str">
        <f t="shared" si="6"/>
        <v/>
      </c>
      <c r="AI48" s="10" t="str">
        <f t="shared" si="22"/>
        <v/>
      </c>
      <c r="AK48" s="10" t="str">
        <f t="shared" si="7"/>
        <v/>
      </c>
      <c r="AL48" s="10" t="str">
        <f t="shared" si="23"/>
        <v/>
      </c>
      <c r="AN48" s="10" t="str">
        <f t="shared" si="8"/>
        <v/>
      </c>
      <c r="AO48" s="10" t="str">
        <f t="shared" si="24"/>
        <v/>
      </c>
      <c r="AQ48" s="10" t="str">
        <f t="shared" si="9"/>
        <v/>
      </c>
      <c r="AR48" s="10" t="str">
        <f t="shared" si="25"/>
        <v/>
      </c>
      <c r="AT48" s="7" t="str">
        <f>IF($K48&lt;=$F$15,IF($F$40&lt;&gt;"",$F$40/1000,IF(ISERROR(VLOOKUP($F$3&amp;IF($G$4&lt;&gt;"",$G$4,"")&amp;IF($F$43&lt;&gt;"","_"&amp;$F$43,""),'表3）燃料価格'!$AF$9:$AG$25,2,0)),0,VLOOKUP($I48,'表3）燃料価格'!$A$6:$U$66,VLOOKUP($F$3&amp;IF($G$4&lt;&gt;"",$G$4,"")&amp;IF($F$43&lt;&gt;"","_"&amp;$F$43,""),'表3）燃料価格'!$AF$9:$AG$25,2,0)+VLOOKUP($F$41,'表3）燃料価格'!$AF$28:$AG$29,2,0),0)*IF($F$43="需要地価格",1,$F$8/$F$141))),"")</f>
        <v/>
      </c>
      <c r="AV48" s="10" t="str">
        <f t="shared" si="10"/>
        <v/>
      </c>
      <c r="AW48" s="10" t="str">
        <f t="shared" si="26"/>
        <v/>
      </c>
      <c r="AY48" s="7" t="str">
        <f>IF(ISERROR(IF($K48&lt;=$F$15,VLOOKUP($I48,'表4）CO2価格'!$A$7:$E$67,VLOOKUP($F$48,'表4）CO2価格'!$H$10:$I$12,2,0),0)*$F$8/1000,"")),0,IF($K48&lt;=$F$15,VLOOKUP($I48,'表4）CO2価格'!$A$7:$E$67,VLOOKUP($F$48,'表4）CO2価格'!$H$10:$I$12,2,0),0)*$F$8/1000,""))</f>
        <v/>
      </c>
      <c r="BA48" s="11" t="str">
        <f t="shared" si="11"/>
        <v/>
      </c>
      <c r="BB48" s="10" t="str">
        <f t="shared" si="27"/>
        <v/>
      </c>
      <c r="BD48" s="10" t="str">
        <f t="shared" si="12"/>
        <v/>
      </c>
      <c r="BE48" s="10" t="str">
        <f t="shared" si="28"/>
        <v/>
      </c>
      <c r="BG48" s="11" t="str">
        <f t="shared" si="13"/>
        <v/>
      </c>
      <c r="BH48" s="10" t="str">
        <f t="shared" si="29"/>
        <v/>
      </c>
      <c r="BJ48" s="7" t="str">
        <f t="shared" si="30"/>
        <v/>
      </c>
      <c r="BK48" s="158" t="str">
        <f t="shared" si="31"/>
        <v/>
      </c>
      <c r="BL48" s="158" t="str">
        <f t="shared" si="14"/>
        <v/>
      </c>
      <c r="BM48" s="10"/>
      <c r="BN48" s="10" t="str">
        <f t="shared" si="32"/>
        <v/>
      </c>
      <c r="BO48" s="10" t="str">
        <f t="shared" si="33"/>
        <v/>
      </c>
      <c r="BQ48" s="10" t="str">
        <f t="shared" si="15"/>
        <v/>
      </c>
      <c r="BR48" s="10" t="str">
        <f t="shared" si="34"/>
        <v/>
      </c>
    </row>
    <row r="49" spans="3:70" x14ac:dyDescent="0.15">
      <c r="I49" s="458">
        <f t="shared" si="35"/>
        <v>2064</v>
      </c>
      <c r="J49" s="39"/>
      <c r="K49" s="39">
        <f t="shared" si="36"/>
        <v>35</v>
      </c>
      <c r="L49" s="39"/>
      <c r="M49" s="40">
        <f t="shared" si="0"/>
        <v>0.35538339780838735</v>
      </c>
      <c r="N49" s="39"/>
      <c r="O49" s="72" t="str">
        <f t="shared" si="37"/>
        <v/>
      </c>
      <c r="P49" s="41" t="str">
        <f t="shared" si="1"/>
        <v/>
      </c>
      <c r="Q49" s="39"/>
      <c r="R49" s="72" t="str">
        <f t="shared" si="16"/>
        <v/>
      </c>
      <c r="S49" s="39"/>
      <c r="T49" s="72" t="str">
        <f t="shared" si="17"/>
        <v/>
      </c>
      <c r="U49" s="39"/>
      <c r="V49" s="72" t="str">
        <f t="shared" si="2"/>
        <v/>
      </c>
      <c r="W49" s="72" t="str">
        <f t="shared" si="18"/>
        <v/>
      </c>
      <c r="X49" s="39"/>
      <c r="Y49" s="72" t="str">
        <f t="shared" si="3"/>
        <v/>
      </c>
      <c r="Z49" s="72" t="str">
        <f t="shared" si="19"/>
        <v/>
      </c>
      <c r="AA49" s="39"/>
      <c r="AB49" s="72" t="str">
        <f t="shared" si="4"/>
        <v/>
      </c>
      <c r="AC49" s="72" t="str">
        <f t="shared" si="20"/>
        <v/>
      </c>
      <c r="AD49" s="39"/>
      <c r="AE49" s="72" t="str">
        <f t="shared" si="5"/>
        <v/>
      </c>
      <c r="AF49" s="72" t="str">
        <f t="shared" si="21"/>
        <v/>
      </c>
      <c r="AG49" s="39"/>
      <c r="AH49" s="72" t="str">
        <f t="shared" si="6"/>
        <v/>
      </c>
      <c r="AI49" s="72" t="str">
        <f t="shared" si="22"/>
        <v/>
      </c>
      <c r="AJ49" s="39"/>
      <c r="AK49" s="72" t="str">
        <f t="shared" si="7"/>
        <v/>
      </c>
      <c r="AL49" s="72" t="str">
        <f t="shared" si="23"/>
        <v/>
      </c>
      <c r="AM49" s="39"/>
      <c r="AN49" s="72" t="str">
        <f t="shared" si="8"/>
        <v/>
      </c>
      <c r="AO49" s="72" t="str">
        <f t="shared" si="24"/>
        <v/>
      </c>
      <c r="AP49" s="39"/>
      <c r="AQ49" s="72" t="str">
        <f t="shared" si="9"/>
        <v/>
      </c>
      <c r="AR49" s="72" t="str">
        <f t="shared" si="25"/>
        <v/>
      </c>
      <c r="AS49" s="39"/>
      <c r="AT49" s="40" t="str">
        <f>IF($K49&lt;=$F$15,IF($F$40&lt;&gt;"",$F$40/1000,IF(ISERROR(VLOOKUP($F$3&amp;IF($G$4&lt;&gt;"",$G$4,"")&amp;IF($F$43&lt;&gt;"","_"&amp;$F$43,""),'表3）燃料価格'!$AF$9:$AG$25,2,0)),0,VLOOKUP($I49,'表3）燃料価格'!$A$6:$U$66,VLOOKUP($F$3&amp;IF($G$4&lt;&gt;"",$G$4,"")&amp;IF($F$43&lt;&gt;"","_"&amp;$F$43,""),'表3）燃料価格'!$AF$9:$AG$25,2,0)+VLOOKUP($F$41,'表3）燃料価格'!$AF$28:$AG$29,2,0),0)*IF($F$43="需要地価格",1,$F$8/$F$141))),"")</f>
        <v/>
      </c>
      <c r="AU49" s="39"/>
      <c r="AV49" s="72" t="str">
        <f t="shared" si="10"/>
        <v/>
      </c>
      <c r="AW49" s="72" t="str">
        <f t="shared" si="26"/>
        <v/>
      </c>
      <c r="AX49" s="39"/>
      <c r="AY49" s="40" t="str">
        <f>IF(ISERROR(IF($K49&lt;=$F$15,VLOOKUP($I49,'表4）CO2価格'!$A$7:$E$67,VLOOKUP($F$48,'表4）CO2価格'!$H$10:$I$12,2,0),0)*$F$8/1000,"")),0,IF($K49&lt;=$F$15,VLOOKUP($I49,'表4）CO2価格'!$A$7:$E$67,VLOOKUP($F$48,'表4）CO2価格'!$H$10:$I$12,2,0),0)*$F$8/1000,""))</f>
        <v/>
      </c>
      <c r="AZ49" s="39"/>
      <c r="BA49" s="42" t="str">
        <f t="shared" si="11"/>
        <v/>
      </c>
      <c r="BB49" s="72" t="str">
        <f t="shared" si="27"/>
        <v/>
      </c>
      <c r="BC49" s="39"/>
      <c r="BD49" s="72" t="str">
        <f t="shared" si="12"/>
        <v/>
      </c>
      <c r="BE49" s="72" t="str">
        <f t="shared" si="28"/>
        <v/>
      </c>
      <c r="BF49" s="39"/>
      <c r="BG49" s="42" t="str">
        <f t="shared" si="13"/>
        <v/>
      </c>
      <c r="BH49" s="72" t="str">
        <f t="shared" si="29"/>
        <v/>
      </c>
      <c r="BI49" s="39"/>
      <c r="BJ49" s="40" t="str">
        <f t="shared" si="30"/>
        <v/>
      </c>
      <c r="BK49" s="157" t="str">
        <f t="shared" si="31"/>
        <v/>
      </c>
      <c r="BL49" s="157" t="str">
        <f t="shared" si="14"/>
        <v/>
      </c>
      <c r="BM49" s="72"/>
      <c r="BN49" s="72" t="str">
        <f t="shared" si="32"/>
        <v/>
      </c>
      <c r="BO49" s="72" t="str">
        <f t="shared" si="33"/>
        <v/>
      </c>
      <c r="BP49" s="39"/>
      <c r="BQ49" s="72" t="str">
        <f t="shared" si="15"/>
        <v/>
      </c>
      <c r="BR49" s="72" t="str">
        <f t="shared" si="34"/>
        <v/>
      </c>
    </row>
    <row r="50" spans="3:70" x14ac:dyDescent="0.15">
      <c r="C50" s="89" t="s">
        <v>510</v>
      </c>
      <c r="D50" s="101"/>
      <c r="E50" s="101"/>
      <c r="F50" s="89"/>
      <c r="G50" s="101"/>
      <c r="I50" s="459">
        <f t="shared" si="35"/>
        <v>2065</v>
      </c>
      <c r="K50" s="71">
        <f t="shared" si="36"/>
        <v>36</v>
      </c>
      <c r="M50" s="7">
        <f t="shared" si="0"/>
        <v>0.34503242505668674</v>
      </c>
      <c r="O50" s="10" t="str">
        <f t="shared" si="37"/>
        <v/>
      </c>
      <c r="P50" s="29" t="str">
        <f t="shared" si="1"/>
        <v/>
      </c>
      <c r="R50" s="10" t="str">
        <f t="shared" si="16"/>
        <v/>
      </c>
      <c r="T50" s="10" t="str">
        <f t="shared" si="17"/>
        <v/>
      </c>
      <c r="V50" s="10" t="str">
        <f t="shared" si="2"/>
        <v/>
      </c>
      <c r="W50" s="10" t="str">
        <f t="shared" si="18"/>
        <v/>
      </c>
      <c r="Y50" s="10" t="str">
        <f t="shared" si="3"/>
        <v/>
      </c>
      <c r="Z50" s="10" t="str">
        <f t="shared" si="19"/>
        <v/>
      </c>
      <c r="AB50" s="10" t="str">
        <f t="shared" si="4"/>
        <v/>
      </c>
      <c r="AC50" s="10" t="str">
        <f t="shared" si="20"/>
        <v/>
      </c>
      <c r="AE50" s="10" t="str">
        <f t="shared" si="5"/>
        <v/>
      </c>
      <c r="AF50" s="10" t="str">
        <f t="shared" si="21"/>
        <v/>
      </c>
      <c r="AH50" s="10" t="str">
        <f t="shared" si="6"/>
        <v/>
      </c>
      <c r="AI50" s="10" t="str">
        <f t="shared" si="22"/>
        <v/>
      </c>
      <c r="AK50" s="10" t="str">
        <f t="shared" si="7"/>
        <v/>
      </c>
      <c r="AL50" s="10" t="str">
        <f t="shared" si="23"/>
        <v/>
      </c>
      <c r="AN50" s="10" t="str">
        <f t="shared" si="8"/>
        <v/>
      </c>
      <c r="AO50" s="10" t="str">
        <f t="shared" si="24"/>
        <v/>
      </c>
      <c r="AQ50" s="10" t="str">
        <f t="shared" si="9"/>
        <v/>
      </c>
      <c r="AR50" s="10" t="str">
        <f t="shared" si="25"/>
        <v/>
      </c>
      <c r="AT50" s="7" t="str">
        <f>IF($K50&lt;=$F$15,IF($F$40&lt;&gt;"",$F$40/1000,IF(ISERROR(VLOOKUP($F$3&amp;IF($G$4&lt;&gt;"",$G$4,"")&amp;IF($F$43&lt;&gt;"","_"&amp;$F$43,""),'表3）燃料価格'!$AF$9:$AG$25,2,0)),0,VLOOKUP($I50,'表3）燃料価格'!$A$6:$U$66,VLOOKUP($F$3&amp;IF($G$4&lt;&gt;"",$G$4,"")&amp;IF($F$43&lt;&gt;"","_"&amp;$F$43,""),'表3）燃料価格'!$AF$9:$AG$25,2,0)+VLOOKUP($F$41,'表3）燃料価格'!$AF$28:$AG$29,2,0),0)*IF($F$43="需要地価格",1,$F$8/$F$141))),"")</f>
        <v/>
      </c>
      <c r="AV50" s="10" t="str">
        <f t="shared" si="10"/>
        <v/>
      </c>
      <c r="AW50" s="10" t="str">
        <f t="shared" si="26"/>
        <v/>
      </c>
      <c r="AY50" s="7" t="str">
        <f>IF(ISERROR(IF($K50&lt;=$F$15,VLOOKUP($I50,'表4）CO2価格'!$A$7:$E$67,VLOOKUP($F$48,'表4）CO2価格'!$H$10:$I$12,2,0),0)*$F$8/1000,"")),0,IF($K50&lt;=$F$15,VLOOKUP($I50,'表4）CO2価格'!$A$7:$E$67,VLOOKUP($F$48,'表4）CO2価格'!$H$10:$I$12,2,0),0)*$F$8/1000,""))</f>
        <v/>
      </c>
      <c r="BA50" s="11" t="str">
        <f t="shared" si="11"/>
        <v/>
      </c>
      <c r="BB50" s="10" t="str">
        <f t="shared" si="27"/>
        <v/>
      </c>
      <c r="BD50" s="10" t="str">
        <f t="shared" si="12"/>
        <v/>
      </c>
      <c r="BE50" s="10" t="str">
        <f t="shared" si="28"/>
        <v/>
      </c>
      <c r="BG50" s="11" t="str">
        <f t="shared" si="13"/>
        <v/>
      </c>
      <c r="BH50" s="10" t="str">
        <f t="shared" si="29"/>
        <v/>
      </c>
      <c r="BJ50" s="7" t="str">
        <f t="shared" si="30"/>
        <v/>
      </c>
      <c r="BK50" s="158" t="str">
        <f t="shared" si="31"/>
        <v/>
      </c>
      <c r="BL50" s="158" t="str">
        <f t="shared" si="14"/>
        <v/>
      </c>
      <c r="BM50" s="10"/>
      <c r="BN50" s="10" t="str">
        <f t="shared" si="32"/>
        <v/>
      </c>
      <c r="BO50" s="10" t="str">
        <f t="shared" si="33"/>
        <v/>
      </c>
      <c r="BQ50" s="10" t="str">
        <f t="shared" si="15"/>
        <v/>
      </c>
      <c r="BR50" s="10" t="str">
        <f t="shared" si="34"/>
        <v/>
      </c>
    </row>
    <row r="51" spans="3:70" x14ac:dyDescent="0.15">
      <c r="I51" s="458">
        <f t="shared" si="35"/>
        <v>2066</v>
      </c>
      <c r="J51" s="39"/>
      <c r="K51" s="39">
        <f t="shared" si="36"/>
        <v>37</v>
      </c>
      <c r="L51" s="39"/>
      <c r="M51" s="40">
        <f t="shared" si="0"/>
        <v>0.33498293694823961</v>
      </c>
      <c r="N51" s="39"/>
      <c r="O51" s="72" t="str">
        <f t="shared" si="37"/>
        <v/>
      </c>
      <c r="P51" s="41" t="str">
        <f t="shared" si="1"/>
        <v/>
      </c>
      <c r="Q51" s="39"/>
      <c r="R51" s="72" t="str">
        <f t="shared" si="16"/>
        <v/>
      </c>
      <c r="S51" s="39"/>
      <c r="T51" s="72" t="str">
        <f t="shared" si="17"/>
        <v/>
      </c>
      <c r="U51" s="39"/>
      <c r="V51" s="72" t="str">
        <f t="shared" si="2"/>
        <v/>
      </c>
      <c r="W51" s="72" t="str">
        <f t="shared" si="18"/>
        <v/>
      </c>
      <c r="X51" s="39"/>
      <c r="Y51" s="72" t="str">
        <f t="shared" si="3"/>
        <v/>
      </c>
      <c r="Z51" s="72" t="str">
        <f t="shared" si="19"/>
        <v/>
      </c>
      <c r="AA51" s="39"/>
      <c r="AB51" s="72" t="str">
        <f t="shared" si="4"/>
        <v/>
      </c>
      <c r="AC51" s="72" t="str">
        <f t="shared" si="20"/>
        <v/>
      </c>
      <c r="AD51" s="39"/>
      <c r="AE51" s="72" t="str">
        <f t="shared" si="5"/>
        <v/>
      </c>
      <c r="AF51" s="72" t="str">
        <f t="shared" si="21"/>
        <v/>
      </c>
      <c r="AG51" s="39"/>
      <c r="AH51" s="72" t="str">
        <f t="shared" si="6"/>
        <v/>
      </c>
      <c r="AI51" s="72" t="str">
        <f t="shared" si="22"/>
        <v/>
      </c>
      <c r="AJ51" s="39"/>
      <c r="AK51" s="72" t="str">
        <f t="shared" si="7"/>
        <v/>
      </c>
      <c r="AL51" s="72" t="str">
        <f t="shared" si="23"/>
        <v/>
      </c>
      <c r="AM51" s="39"/>
      <c r="AN51" s="72" t="str">
        <f t="shared" si="8"/>
        <v/>
      </c>
      <c r="AO51" s="72" t="str">
        <f t="shared" si="24"/>
        <v/>
      </c>
      <c r="AP51" s="39"/>
      <c r="AQ51" s="72" t="str">
        <f t="shared" si="9"/>
        <v/>
      </c>
      <c r="AR51" s="72" t="str">
        <f t="shared" si="25"/>
        <v/>
      </c>
      <c r="AS51" s="39"/>
      <c r="AT51" s="40" t="str">
        <f>IF($K51&lt;=$F$15,IF($F$40&lt;&gt;"",$F$40/1000,IF(ISERROR(VLOOKUP($F$3&amp;IF($G$4&lt;&gt;"",$G$4,"")&amp;IF($F$43&lt;&gt;"","_"&amp;$F$43,""),'表3）燃料価格'!$AF$9:$AG$25,2,0)),0,VLOOKUP($I51,'表3）燃料価格'!$A$6:$U$66,VLOOKUP($F$3&amp;IF($G$4&lt;&gt;"",$G$4,"")&amp;IF($F$43&lt;&gt;"","_"&amp;$F$43,""),'表3）燃料価格'!$AF$9:$AG$25,2,0)+VLOOKUP($F$41,'表3）燃料価格'!$AF$28:$AG$29,2,0),0)*IF($F$43="需要地価格",1,$F$8/$F$141))),"")</f>
        <v/>
      </c>
      <c r="AU51" s="39"/>
      <c r="AV51" s="72" t="str">
        <f t="shared" si="10"/>
        <v/>
      </c>
      <c r="AW51" s="72" t="str">
        <f t="shared" si="26"/>
        <v/>
      </c>
      <c r="AX51" s="39"/>
      <c r="AY51" s="40" t="str">
        <f>IF(ISERROR(IF($K51&lt;=$F$15,VLOOKUP($I51,'表4）CO2価格'!$A$7:$E$67,VLOOKUP($F$48,'表4）CO2価格'!$H$10:$I$12,2,0),0)*$F$8/1000,"")),0,IF($K51&lt;=$F$15,VLOOKUP($I51,'表4）CO2価格'!$A$7:$E$67,VLOOKUP($F$48,'表4）CO2価格'!$H$10:$I$12,2,0),0)*$F$8/1000,""))</f>
        <v/>
      </c>
      <c r="AZ51" s="39"/>
      <c r="BA51" s="42" t="str">
        <f t="shared" si="11"/>
        <v/>
      </c>
      <c r="BB51" s="72" t="str">
        <f t="shared" si="27"/>
        <v/>
      </c>
      <c r="BC51" s="39"/>
      <c r="BD51" s="72" t="str">
        <f t="shared" si="12"/>
        <v/>
      </c>
      <c r="BE51" s="72" t="str">
        <f t="shared" si="28"/>
        <v/>
      </c>
      <c r="BF51" s="39"/>
      <c r="BG51" s="42" t="str">
        <f t="shared" si="13"/>
        <v/>
      </c>
      <c r="BH51" s="72" t="str">
        <f t="shared" si="29"/>
        <v/>
      </c>
      <c r="BI51" s="39"/>
      <c r="BJ51" s="40" t="str">
        <f t="shared" si="30"/>
        <v/>
      </c>
      <c r="BK51" s="157" t="str">
        <f t="shared" si="31"/>
        <v/>
      </c>
      <c r="BL51" s="157" t="str">
        <f t="shared" si="14"/>
        <v/>
      </c>
      <c r="BM51" s="72"/>
      <c r="BN51" s="72" t="str">
        <f t="shared" si="32"/>
        <v/>
      </c>
      <c r="BO51" s="72" t="str">
        <f t="shared" si="33"/>
        <v/>
      </c>
      <c r="BP51" s="39"/>
      <c r="BQ51" s="72" t="str">
        <f t="shared" si="15"/>
        <v/>
      </c>
      <c r="BR51" s="72" t="str">
        <f t="shared" si="34"/>
        <v/>
      </c>
    </row>
    <row r="52" spans="3:70" x14ac:dyDescent="0.15">
      <c r="D52" s="81" t="s">
        <v>185</v>
      </c>
      <c r="F52" s="90"/>
      <c r="G52" s="81" t="s">
        <v>172</v>
      </c>
      <c r="I52" s="459">
        <f t="shared" si="35"/>
        <v>2067</v>
      </c>
      <c r="K52" s="71">
        <f t="shared" si="36"/>
        <v>38</v>
      </c>
      <c r="M52" s="7">
        <f t="shared" si="0"/>
        <v>0.3252261523769317</v>
      </c>
      <c r="O52" s="10" t="str">
        <f t="shared" si="37"/>
        <v/>
      </c>
      <c r="P52" s="29" t="str">
        <f t="shared" si="1"/>
        <v/>
      </c>
      <c r="R52" s="10" t="str">
        <f t="shared" si="16"/>
        <v/>
      </c>
      <c r="T52" s="10" t="str">
        <f t="shared" si="17"/>
        <v/>
      </c>
      <c r="V52" s="10" t="str">
        <f t="shared" si="2"/>
        <v/>
      </c>
      <c r="W52" s="10" t="str">
        <f t="shared" si="18"/>
        <v/>
      </c>
      <c r="Y52" s="10" t="str">
        <f t="shared" si="3"/>
        <v/>
      </c>
      <c r="Z52" s="10" t="str">
        <f t="shared" si="19"/>
        <v/>
      </c>
      <c r="AB52" s="10" t="str">
        <f t="shared" si="4"/>
        <v/>
      </c>
      <c r="AC52" s="10" t="str">
        <f t="shared" si="20"/>
        <v/>
      </c>
      <c r="AE52" s="10" t="str">
        <f t="shared" si="5"/>
        <v/>
      </c>
      <c r="AF52" s="10" t="str">
        <f t="shared" si="21"/>
        <v/>
      </c>
      <c r="AH52" s="10" t="str">
        <f t="shared" si="6"/>
        <v/>
      </c>
      <c r="AI52" s="10" t="str">
        <f t="shared" si="22"/>
        <v/>
      </c>
      <c r="AK52" s="10" t="str">
        <f t="shared" si="7"/>
        <v/>
      </c>
      <c r="AL52" s="10" t="str">
        <f t="shared" si="23"/>
        <v/>
      </c>
      <c r="AN52" s="10" t="str">
        <f t="shared" si="8"/>
        <v/>
      </c>
      <c r="AO52" s="10" t="str">
        <f t="shared" si="24"/>
        <v/>
      </c>
      <c r="AQ52" s="10" t="str">
        <f t="shared" si="9"/>
        <v/>
      </c>
      <c r="AR52" s="10" t="str">
        <f t="shared" si="25"/>
        <v/>
      </c>
      <c r="AT52" s="7" t="str">
        <f>IF($K52&lt;=$F$15,IF($F$40&lt;&gt;"",$F$40/1000,IF(ISERROR(VLOOKUP($F$3&amp;IF($G$4&lt;&gt;"",$G$4,"")&amp;IF($F$43&lt;&gt;"","_"&amp;$F$43,""),'表3）燃料価格'!$AF$9:$AG$25,2,0)),0,VLOOKUP($I52,'表3）燃料価格'!$A$6:$U$66,VLOOKUP($F$3&amp;IF($G$4&lt;&gt;"",$G$4,"")&amp;IF($F$43&lt;&gt;"","_"&amp;$F$43,""),'表3）燃料価格'!$AF$9:$AG$25,2,0)+VLOOKUP($F$41,'表3）燃料価格'!$AF$28:$AG$29,2,0),0)*IF($F$43="需要地価格",1,$F$8/$F$141))),"")</f>
        <v/>
      </c>
      <c r="AV52" s="10" t="str">
        <f t="shared" si="10"/>
        <v/>
      </c>
      <c r="AW52" s="10" t="str">
        <f t="shared" si="26"/>
        <v/>
      </c>
      <c r="AY52" s="7" t="str">
        <f>IF(ISERROR(IF($K52&lt;=$F$15,VLOOKUP($I52,'表4）CO2価格'!$A$7:$E$67,VLOOKUP($F$48,'表4）CO2価格'!$H$10:$I$12,2,0),0)*$F$8/1000,"")),0,IF($K52&lt;=$F$15,VLOOKUP($I52,'表4）CO2価格'!$A$7:$E$67,VLOOKUP($F$48,'表4）CO2価格'!$H$10:$I$12,2,0),0)*$F$8/1000,""))</f>
        <v/>
      </c>
      <c r="BA52" s="11" t="str">
        <f t="shared" si="11"/>
        <v/>
      </c>
      <c r="BB52" s="10" t="str">
        <f t="shared" si="27"/>
        <v/>
      </c>
      <c r="BD52" s="10" t="str">
        <f t="shared" si="12"/>
        <v/>
      </c>
      <c r="BE52" s="10" t="str">
        <f t="shared" si="28"/>
        <v/>
      </c>
      <c r="BG52" s="11" t="str">
        <f t="shared" si="13"/>
        <v/>
      </c>
      <c r="BH52" s="10" t="str">
        <f t="shared" si="29"/>
        <v/>
      </c>
      <c r="BJ52" s="7" t="str">
        <f t="shared" si="30"/>
        <v/>
      </c>
      <c r="BK52" s="158" t="str">
        <f t="shared" si="31"/>
        <v/>
      </c>
      <c r="BL52" s="158" t="str">
        <f t="shared" si="14"/>
        <v/>
      </c>
      <c r="BM52" s="10"/>
      <c r="BN52" s="10" t="str">
        <f t="shared" si="32"/>
        <v/>
      </c>
      <c r="BO52" s="10" t="str">
        <f t="shared" si="33"/>
        <v/>
      </c>
      <c r="BQ52" s="10" t="str">
        <f t="shared" si="15"/>
        <v/>
      </c>
      <c r="BR52" s="10" t="str">
        <f t="shared" si="34"/>
        <v/>
      </c>
    </row>
    <row r="53" spans="3:70" x14ac:dyDescent="0.15">
      <c r="D53" s="81" t="s">
        <v>186</v>
      </c>
      <c r="F53" s="66"/>
      <c r="G53" s="81" t="s">
        <v>172</v>
      </c>
      <c r="I53" s="458">
        <f t="shared" si="35"/>
        <v>2068</v>
      </c>
      <c r="J53" s="39"/>
      <c r="K53" s="39">
        <f t="shared" si="36"/>
        <v>39</v>
      </c>
      <c r="L53" s="39"/>
      <c r="M53" s="40">
        <f t="shared" si="0"/>
        <v>0.31575354599702099</v>
      </c>
      <c r="N53" s="39"/>
      <c r="O53" s="72" t="str">
        <f t="shared" si="37"/>
        <v/>
      </c>
      <c r="P53" s="41" t="str">
        <f t="shared" si="1"/>
        <v/>
      </c>
      <c r="Q53" s="39"/>
      <c r="R53" s="72" t="str">
        <f t="shared" si="16"/>
        <v/>
      </c>
      <c r="S53" s="39"/>
      <c r="T53" s="72" t="str">
        <f t="shared" si="17"/>
        <v/>
      </c>
      <c r="U53" s="39"/>
      <c r="V53" s="72" t="str">
        <f t="shared" si="2"/>
        <v/>
      </c>
      <c r="W53" s="72" t="str">
        <f t="shared" si="18"/>
        <v/>
      </c>
      <c r="X53" s="39"/>
      <c r="Y53" s="72" t="str">
        <f t="shared" si="3"/>
        <v/>
      </c>
      <c r="Z53" s="72" t="str">
        <f t="shared" si="19"/>
        <v/>
      </c>
      <c r="AA53" s="39"/>
      <c r="AB53" s="72" t="str">
        <f t="shared" si="4"/>
        <v/>
      </c>
      <c r="AC53" s="72" t="str">
        <f t="shared" si="20"/>
        <v/>
      </c>
      <c r="AD53" s="39"/>
      <c r="AE53" s="72" t="str">
        <f t="shared" si="5"/>
        <v/>
      </c>
      <c r="AF53" s="72" t="str">
        <f t="shared" si="21"/>
        <v/>
      </c>
      <c r="AG53" s="39"/>
      <c r="AH53" s="72" t="str">
        <f t="shared" si="6"/>
        <v/>
      </c>
      <c r="AI53" s="72" t="str">
        <f t="shared" si="22"/>
        <v/>
      </c>
      <c r="AJ53" s="39"/>
      <c r="AK53" s="72" t="str">
        <f t="shared" si="7"/>
        <v/>
      </c>
      <c r="AL53" s="72" t="str">
        <f t="shared" si="23"/>
        <v/>
      </c>
      <c r="AM53" s="39"/>
      <c r="AN53" s="72" t="str">
        <f t="shared" si="8"/>
        <v/>
      </c>
      <c r="AO53" s="72" t="str">
        <f t="shared" si="24"/>
        <v/>
      </c>
      <c r="AP53" s="39"/>
      <c r="AQ53" s="72" t="str">
        <f t="shared" si="9"/>
        <v/>
      </c>
      <c r="AR53" s="72" t="str">
        <f t="shared" si="25"/>
        <v/>
      </c>
      <c r="AS53" s="39"/>
      <c r="AT53" s="40" t="str">
        <f>IF($K53&lt;=$F$15,IF($F$40&lt;&gt;"",$F$40/1000,IF(ISERROR(VLOOKUP($F$3&amp;IF($G$4&lt;&gt;"",$G$4,"")&amp;IF($F$43&lt;&gt;"","_"&amp;$F$43,""),'表3）燃料価格'!$AF$9:$AG$25,2,0)),0,VLOOKUP($I53,'表3）燃料価格'!$A$6:$U$66,VLOOKUP($F$3&amp;IF($G$4&lt;&gt;"",$G$4,"")&amp;IF($F$43&lt;&gt;"","_"&amp;$F$43,""),'表3）燃料価格'!$AF$9:$AG$25,2,0)+VLOOKUP($F$41,'表3）燃料価格'!$AF$28:$AG$29,2,0),0)*IF($F$43="需要地価格",1,$F$8/$F$141))),"")</f>
        <v/>
      </c>
      <c r="AU53" s="39"/>
      <c r="AV53" s="72" t="str">
        <f t="shared" si="10"/>
        <v/>
      </c>
      <c r="AW53" s="72" t="str">
        <f t="shared" si="26"/>
        <v/>
      </c>
      <c r="AX53" s="39"/>
      <c r="AY53" s="40" t="str">
        <f>IF(ISERROR(IF($K53&lt;=$F$15,VLOOKUP($I53,'表4）CO2価格'!$A$7:$E$67,VLOOKUP($F$48,'表4）CO2価格'!$H$10:$I$12,2,0),0)*$F$8/1000,"")),0,IF($K53&lt;=$F$15,VLOOKUP($I53,'表4）CO2価格'!$A$7:$E$67,VLOOKUP($F$48,'表4）CO2価格'!$H$10:$I$12,2,0),0)*$F$8/1000,""))</f>
        <v/>
      </c>
      <c r="AZ53" s="39"/>
      <c r="BA53" s="42" t="str">
        <f t="shared" si="11"/>
        <v/>
      </c>
      <c r="BB53" s="72" t="str">
        <f t="shared" si="27"/>
        <v/>
      </c>
      <c r="BC53" s="39"/>
      <c r="BD53" s="72" t="str">
        <f t="shared" si="12"/>
        <v/>
      </c>
      <c r="BE53" s="72" t="str">
        <f t="shared" si="28"/>
        <v/>
      </c>
      <c r="BF53" s="39"/>
      <c r="BG53" s="42" t="str">
        <f t="shared" si="13"/>
        <v/>
      </c>
      <c r="BH53" s="72" t="str">
        <f t="shared" si="29"/>
        <v/>
      </c>
      <c r="BI53" s="39"/>
      <c r="BJ53" s="40" t="str">
        <f t="shared" si="30"/>
        <v/>
      </c>
      <c r="BK53" s="157" t="str">
        <f t="shared" si="31"/>
        <v/>
      </c>
      <c r="BL53" s="157" t="str">
        <f t="shared" si="14"/>
        <v/>
      </c>
      <c r="BM53" s="72"/>
      <c r="BN53" s="72" t="str">
        <f t="shared" si="32"/>
        <v/>
      </c>
      <c r="BO53" s="72" t="str">
        <f t="shared" si="33"/>
        <v/>
      </c>
      <c r="BP53" s="39"/>
      <c r="BQ53" s="72" t="str">
        <f t="shared" si="15"/>
        <v/>
      </c>
      <c r="BR53" s="72" t="str">
        <f t="shared" si="34"/>
        <v/>
      </c>
    </row>
    <row r="54" spans="3:70" x14ac:dyDescent="0.15">
      <c r="D54" s="81" t="s">
        <v>187</v>
      </c>
      <c r="F54" s="66"/>
      <c r="G54" s="81" t="s">
        <v>172</v>
      </c>
      <c r="I54" s="459">
        <f t="shared" si="35"/>
        <v>2069</v>
      </c>
      <c r="K54" s="71">
        <f t="shared" si="36"/>
        <v>40</v>
      </c>
      <c r="M54" s="7">
        <f t="shared" si="0"/>
        <v>0.30655684077380685</v>
      </c>
      <c r="O54" s="10" t="str">
        <f t="shared" si="37"/>
        <v/>
      </c>
      <c r="P54" s="29" t="str">
        <f t="shared" si="1"/>
        <v/>
      </c>
      <c r="R54" s="10" t="str">
        <f t="shared" si="16"/>
        <v/>
      </c>
      <c r="T54" s="10" t="str">
        <f t="shared" si="17"/>
        <v/>
      </c>
      <c r="V54" s="10" t="str">
        <f t="shared" si="2"/>
        <v/>
      </c>
      <c r="W54" s="10" t="str">
        <f t="shared" si="18"/>
        <v/>
      </c>
      <c r="Y54" s="10" t="str">
        <f t="shared" si="3"/>
        <v/>
      </c>
      <c r="Z54" s="10" t="str">
        <f t="shared" si="19"/>
        <v/>
      </c>
      <c r="AB54" s="10" t="str">
        <f t="shared" si="4"/>
        <v/>
      </c>
      <c r="AC54" s="10" t="str">
        <f t="shared" si="20"/>
        <v/>
      </c>
      <c r="AE54" s="10" t="str">
        <f t="shared" si="5"/>
        <v/>
      </c>
      <c r="AF54" s="10" t="str">
        <f t="shared" si="21"/>
        <v/>
      </c>
      <c r="AH54" s="10" t="str">
        <f t="shared" si="6"/>
        <v/>
      </c>
      <c r="AI54" s="10" t="str">
        <f t="shared" si="22"/>
        <v/>
      </c>
      <c r="AK54" s="10" t="str">
        <f t="shared" si="7"/>
        <v/>
      </c>
      <c r="AL54" s="10" t="str">
        <f t="shared" si="23"/>
        <v/>
      </c>
      <c r="AN54" s="10" t="str">
        <f t="shared" si="8"/>
        <v/>
      </c>
      <c r="AO54" s="10" t="str">
        <f t="shared" si="24"/>
        <v/>
      </c>
      <c r="AQ54" s="10" t="str">
        <f t="shared" si="9"/>
        <v/>
      </c>
      <c r="AR54" s="10" t="str">
        <f t="shared" si="25"/>
        <v/>
      </c>
      <c r="AT54" s="7" t="str">
        <f>IF($K54&lt;=$F$15,IF($F$40&lt;&gt;"",$F$40/1000,IF(ISERROR(VLOOKUP($F$3&amp;IF($G$4&lt;&gt;"",$G$4,"")&amp;IF($F$43&lt;&gt;"","_"&amp;$F$43,""),'表3）燃料価格'!$AF$9:$AG$25,2,0)),0,VLOOKUP($I54,'表3）燃料価格'!$A$6:$U$66,VLOOKUP($F$3&amp;IF($G$4&lt;&gt;"",$G$4,"")&amp;IF($F$43&lt;&gt;"","_"&amp;$F$43,""),'表3）燃料価格'!$AF$9:$AG$25,2,0)+VLOOKUP($F$41,'表3）燃料価格'!$AF$28:$AG$29,2,0),0)*IF($F$43="需要地価格",1,$F$8/$F$141))),"")</f>
        <v/>
      </c>
      <c r="AV54" s="10" t="str">
        <f t="shared" si="10"/>
        <v/>
      </c>
      <c r="AW54" s="10" t="str">
        <f t="shared" si="26"/>
        <v/>
      </c>
      <c r="AY54" s="7" t="str">
        <f>IF(ISERROR(IF($K54&lt;=$F$15,VLOOKUP($I54,'表4）CO2価格'!$A$7:$E$67,VLOOKUP($F$48,'表4）CO2価格'!$H$10:$I$12,2,0),0)*$F$8/1000,"")),0,IF($K54&lt;=$F$15,VLOOKUP($I54,'表4）CO2価格'!$A$7:$E$67,VLOOKUP($F$48,'表4）CO2価格'!$H$10:$I$12,2,0),0)*$F$8/1000,""))</f>
        <v/>
      </c>
      <c r="BA54" s="11" t="str">
        <f t="shared" si="11"/>
        <v/>
      </c>
      <c r="BB54" s="10" t="str">
        <f t="shared" si="27"/>
        <v/>
      </c>
      <c r="BD54" s="10" t="str">
        <f t="shared" si="12"/>
        <v/>
      </c>
      <c r="BE54" s="10" t="str">
        <f t="shared" si="28"/>
        <v/>
      </c>
      <c r="BG54" s="11" t="str">
        <f t="shared" si="13"/>
        <v/>
      </c>
      <c r="BH54" s="10" t="str">
        <f t="shared" si="29"/>
        <v/>
      </c>
      <c r="BJ54" s="7" t="str">
        <f t="shared" si="30"/>
        <v/>
      </c>
      <c r="BK54" s="158" t="str">
        <f t="shared" si="31"/>
        <v/>
      </c>
      <c r="BL54" s="158" t="str">
        <f t="shared" si="14"/>
        <v/>
      </c>
      <c r="BM54" s="10"/>
      <c r="BN54" s="10" t="str">
        <f t="shared" si="32"/>
        <v/>
      </c>
      <c r="BO54" s="10" t="str">
        <f t="shared" si="33"/>
        <v/>
      </c>
      <c r="BQ54" s="10" t="str">
        <f t="shared" si="15"/>
        <v/>
      </c>
      <c r="BR54" s="10" t="str">
        <f t="shared" si="34"/>
        <v/>
      </c>
    </row>
    <row r="55" spans="3:70" ht="16.5" x14ac:dyDescent="0.15">
      <c r="D55" s="81" t="s">
        <v>188</v>
      </c>
      <c r="F55" s="66"/>
      <c r="G55" s="9" t="s">
        <v>372</v>
      </c>
      <c r="I55" s="458">
        <f>I54+1</f>
        <v>2070</v>
      </c>
      <c r="J55" s="39"/>
      <c r="K55" s="39">
        <f>IF(I55&lt;&gt;"",K54+1,"")</f>
        <v>41</v>
      </c>
      <c r="L55" s="39"/>
      <c r="M55" s="40">
        <f t="shared" si="0"/>
        <v>0.29762800075126877</v>
      </c>
      <c r="N55" s="39"/>
      <c r="O55" s="72" t="str">
        <f t="shared" si="37"/>
        <v/>
      </c>
      <c r="P55" s="41" t="str">
        <f t="shared" si="1"/>
        <v/>
      </c>
      <c r="Q55" s="39"/>
      <c r="R55" s="72" t="str">
        <f t="shared" si="16"/>
        <v/>
      </c>
      <c r="S55" s="39"/>
      <c r="T55" s="72" t="str">
        <f t="shared" si="17"/>
        <v/>
      </c>
      <c r="U55" s="39"/>
      <c r="V55" s="72" t="str">
        <f t="shared" si="2"/>
        <v/>
      </c>
      <c r="W55" s="72" t="str">
        <f t="shared" si="18"/>
        <v/>
      </c>
      <c r="X55" s="39"/>
      <c r="Y55" s="72" t="str">
        <f t="shared" si="3"/>
        <v/>
      </c>
      <c r="Z55" s="72" t="str">
        <f t="shared" si="19"/>
        <v/>
      </c>
      <c r="AA55" s="39"/>
      <c r="AB55" s="72" t="str">
        <f t="shared" si="4"/>
        <v/>
      </c>
      <c r="AC55" s="72" t="str">
        <f t="shared" si="20"/>
        <v/>
      </c>
      <c r="AD55" s="39"/>
      <c r="AE55" s="72" t="str">
        <f t="shared" si="5"/>
        <v/>
      </c>
      <c r="AF55" s="72" t="str">
        <f t="shared" si="21"/>
        <v/>
      </c>
      <c r="AG55" s="39"/>
      <c r="AH55" s="72" t="str">
        <f t="shared" si="6"/>
        <v/>
      </c>
      <c r="AI55" s="72" t="str">
        <f t="shared" si="22"/>
        <v/>
      </c>
      <c r="AJ55" s="39"/>
      <c r="AK55" s="72" t="str">
        <f t="shared" si="7"/>
        <v/>
      </c>
      <c r="AL55" s="72" t="str">
        <f t="shared" si="23"/>
        <v/>
      </c>
      <c r="AM55" s="39"/>
      <c r="AN55" s="72" t="str">
        <f t="shared" si="8"/>
        <v/>
      </c>
      <c r="AO55" s="72" t="str">
        <f t="shared" si="24"/>
        <v/>
      </c>
      <c r="AP55" s="39"/>
      <c r="AQ55" s="72" t="str">
        <f t="shared" si="9"/>
        <v/>
      </c>
      <c r="AR55" s="72" t="str">
        <f t="shared" si="25"/>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10"/>
        <v/>
      </c>
      <c r="AW55" s="72" t="str">
        <f t="shared" si="26"/>
        <v/>
      </c>
      <c r="AX55" s="39"/>
      <c r="AY55" s="40" t="str">
        <f>IF(ISERROR(IF($K55&lt;=$F$15,VLOOKUP($I55,'表4）CO2価格'!$A$7:$E$67,VLOOKUP($F$48,'表4）CO2価格'!$H$10:$I$12,2,0),0)*$F$8/1000,"")),0,IF($K55&lt;=$F$15,VLOOKUP($I55,'表4）CO2価格'!$A$7:$E$67,VLOOKUP($F$48,'表4）CO2価格'!$H$10:$I$12,2,0),0)*$F$8/1000,""))</f>
        <v/>
      </c>
      <c r="AZ55" s="39"/>
      <c r="BA55" s="42" t="str">
        <f t="shared" si="11"/>
        <v/>
      </c>
      <c r="BB55" s="72" t="str">
        <f t="shared" si="27"/>
        <v/>
      </c>
      <c r="BC55" s="39"/>
      <c r="BD55" s="72" t="str">
        <f t="shared" si="12"/>
        <v/>
      </c>
      <c r="BE55" s="72" t="str">
        <f t="shared" si="28"/>
        <v/>
      </c>
      <c r="BF55" s="39"/>
      <c r="BG55" s="42" t="str">
        <f t="shared" si="13"/>
        <v/>
      </c>
      <c r="BH55" s="72" t="str">
        <f t="shared" si="29"/>
        <v/>
      </c>
      <c r="BI55" s="39"/>
      <c r="BJ55" s="40" t="str">
        <f t="shared" si="30"/>
        <v/>
      </c>
      <c r="BK55" s="157" t="str">
        <f t="shared" si="31"/>
        <v/>
      </c>
      <c r="BL55" s="157" t="str">
        <f t="shared" si="14"/>
        <v/>
      </c>
      <c r="BM55" s="72"/>
      <c r="BN55" s="72" t="str">
        <f t="shared" si="32"/>
        <v/>
      </c>
      <c r="BO55" s="72" t="str">
        <f t="shared" si="33"/>
        <v/>
      </c>
      <c r="BP55" s="39"/>
      <c r="BQ55" s="72" t="str">
        <f t="shared" si="15"/>
        <v/>
      </c>
      <c r="BR55" s="72" t="str">
        <f t="shared" si="34"/>
        <v/>
      </c>
    </row>
    <row r="56" spans="3:70" x14ac:dyDescent="0.15">
      <c r="D56" s="81" t="s">
        <v>189</v>
      </c>
      <c r="F56" s="59"/>
      <c r="G56" s="81" t="s">
        <v>181</v>
      </c>
      <c r="I56" s="459">
        <f t="shared" si="35"/>
        <v>2071</v>
      </c>
      <c r="K56" s="71">
        <f t="shared" si="36"/>
        <v>42</v>
      </c>
      <c r="M56" s="7">
        <f t="shared" si="0"/>
        <v>0.28895922403035801</v>
      </c>
      <c r="O56" s="10" t="str">
        <f t="shared" si="37"/>
        <v/>
      </c>
      <c r="P56" s="29" t="str">
        <f t="shared" si="1"/>
        <v/>
      </c>
      <c r="R56" s="10" t="str">
        <f t="shared" si="16"/>
        <v/>
      </c>
      <c r="T56" s="10" t="str">
        <f t="shared" si="17"/>
        <v/>
      </c>
      <c r="V56" s="10" t="str">
        <f t="shared" si="2"/>
        <v/>
      </c>
      <c r="W56" s="10" t="str">
        <f t="shared" si="18"/>
        <v/>
      </c>
      <c r="Y56" s="10" t="str">
        <f t="shared" si="3"/>
        <v/>
      </c>
      <c r="Z56" s="10" t="str">
        <f t="shared" si="19"/>
        <v/>
      </c>
      <c r="AB56" s="10" t="str">
        <f t="shared" si="4"/>
        <v/>
      </c>
      <c r="AC56" s="10" t="str">
        <f t="shared" si="20"/>
        <v/>
      </c>
      <c r="AE56" s="10" t="str">
        <f t="shared" si="5"/>
        <v/>
      </c>
      <c r="AF56" s="10" t="str">
        <f t="shared" si="21"/>
        <v/>
      </c>
      <c r="AH56" s="10" t="str">
        <f t="shared" si="6"/>
        <v/>
      </c>
      <c r="AI56" s="10" t="str">
        <f t="shared" si="22"/>
        <v/>
      </c>
      <c r="AK56" s="10" t="str">
        <f t="shared" si="7"/>
        <v/>
      </c>
      <c r="AL56" s="10" t="str">
        <f t="shared" si="23"/>
        <v/>
      </c>
      <c r="AN56" s="10" t="str">
        <f t="shared" si="8"/>
        <v/>
      </c>
      <c r="AO56" s="10" t="str">
        <f t="shared" si="24"/>
        <v/>
      </c>
      <c r="AQ56" s="10" t="str">
        <f t="shared" si="9"/>
        <v/>
      </c>
      <c r="AR56" s="10" t="str">
        <f t="shared" si="25"/>
        <v/>
      </c>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V56" s="10" t="str">
        <f t="shared" si="10"/>
        <v/>
      </c>
      <c r="AW56" s="10" t="str">
        <f t="shared" si="26"/>
        <v/>
      </c>
      <c r="AY56" s="7" t="str">
        <f>IF(ISERROR(IF($K56&lt;=$F$15,VLOOKUP($I56,'表4）CO2価格'!$A$7:$E$67,VLOOKUP($F$48,'表4）CO2価格'!$H$10:$I$12,2,0),0)*$F$8/1000,"")),0,IF($K56&lt;=$F$15,VLOOKUP($I56,'表4）CO2価格'!$A$7:$E$67,VLOOKUP($F$48,'表4）CO2価格'!$H$10:$I$12,2,0),0)*$F$8/1000,""))</f>
        <v/>
      </c>
      <c r="BA56" s="11" t="str">
        <f t="shared" si="11"/>
        <v/>
      </c>
      <c r="BB56" s="10" t="str">
        <f t="shared" si="27"/>
        <v/>
      </c>
      <c r="BD56" s="10" t="str">
        <f t="shared" si="12"/>
        <v/>
      </c>
      <c r="BE56" s="10" t="str">
        <f t="shared" si="28"/>
        <v/>
      </c>
      <c r="BG56" s="11" t="str">
        <f t="shared" si="13"/>
        <v/>
      </c>
      <c r="BH56" s="10" t="str">
        <f t="shared" si="29"/>
        <v/>
      </c>
      <c r="BJ56" s="7" t="str">
        <f t="shared" si="30"/>
        <v/>
      </c>
      <c r="BK56" s="158" t="str">
        <f t="shared" si="31"/>
        <v/>
      </c>
      <c r="BL56" s="158" t="str">
        <f t="shared" si="14"/>
        <v/>
      </c>
      <c r="BM56" s="10"/>
      <c r="BN56" s="10" t="str">
        <f t="shared" si="32"/>
        <v/>
      </c>
      <c r="BO56" s="10" t="str">
        <f t="shared" si="33"/>
        <v/>
      </c>
      <c r="BQ56" s="10" t="str">
        <f t="shared" si="15"/>
        <v/>
      </c>
      <c r="BR56" s="10" t="str">
        <f t="shared" si="34"/>
        <v/>
      </c>
    </row>
    <row r="57" spans="3:70" x14ac:dyDescent="0.15">
      <c r="I57" s="458">
        <f t="shared" si="35"/>
        <v>2072</v>
      </c>
      <c r="J57" s="39"/>
      <c r="K57" s="39">
        <f t="shared" si="36"/>
        <v>43</v>
      </c>
      <c r="L57" s="39"/>
      <c r="M57" s="40">
        <f t="shared" si="0"/>
        <v>0.28054293595180391</v>
      </c>
      <c r="N57" s="39"/>
      <c r="O57" s="72" t="str">
        <f t="shared" si="37"/>
        <v/>
      </c>
      <c r="P57" s="41" t="str">
        <f t="shared" si="1"/>
        <v/>
      </c>
      <c r="Q57" s="39"/>
      <c r="R57" s="72" t="str">
        <f t="shared" si="16"/>
        <v/>
      </c>
      <c r="S57" s="39"/>
      <c r="T57" s="72" t="str">
        <f t="shared" si="17"/>
        <v/>
      </c>
      <c r="U57" s="39"/>
      <c r="V57" s="72" t="str">
        <f t="shared" si="2"/>
        <v/>
      </c>
      <c r="W57" s="72" t="str">
        <f t="shared" si="18"/>
        <v/>
      </c>
      <c r="X57" s="39"/>
      <c r="Y57" s="72" t="str">
        <f t="shared" si="3"/>
        <v/>
      </c>
      <c r="Z57" s="72" t="str">
        <f t="shared" si="19"/>
        <v/>
      </c>
      <c r="AA57" s="39"/>
      <c r="AB57" s="72" t="str">
        <f t="shared" si="4"/>
        <v/>
      </c>
      <c r="AC57" s="72" t="str">
        <f t="shared" si="20"/>
        <v/>
      </c>
      <c r="AD57" s="39"/>
      <c r="AE57" s="72" t="str">
        <f t="shared" si="5"/>
        <v/>
      </c>
      <c r="AF57" s="72" t="str">
        <f t="shared" si="21"/>
        <v/>
      </c>
      <c r="AG57" s="39"/>
      <c r="AH57" s="72" t="str">
        <f t="shared" si="6"/>
        <v/>
      </c>
      <c r="AI57" s="72" t="str">
        <f t="shared" si="22"/>
        <v/>
      </c>
      <c r="AJ57" s="39"/>
      <c r="AK57" s="72" t="str">
        <f t="shared" si="7"/>
        <v/>
      </c>
      <c r="AL57" s="72" t="str">
        <f t="shared" si="23"/>
        <v/>
      </c>
      <c r="AM57" s="39"/>
      <c r="AN57" s="72" t="str">
        <f t="shared" si="8"/>
        <v/>
      </c>
      <c r="AO57" s="72" t="str">
        <f t="shared" si="24"/>
        <v/>
      </c>
      <c r="AP57" s="39"/>
      <c r="AQ57" s="72" t="str">
        <f t="shared" si="9"/>
        <v/>
      </c>
      <c r="AR57" s="72" t="str">
        <f t="shared" si="25"/>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10"/>
        <v/>
      </c>
      <c r="AW57" s="72" t="str">
        <f t="shared" si="26"/>
        <v/>
      </c>
      <c r="AX57" s="39"/>
      <c r="AY57" s="40" t="str">
        <f>IF(ISERROR(IF($K57&lt;=$F$15,VLOOKUP($I57,'表4）CO2価格'!$A$7:$E$67,VLOOKUP($F$48,'表4）CO2価格'!$H$10:$I$12,2,0),0)*$F$8/1000,"")),0,IF($K57&lt;=$F$15,VLOOKUP($I57,'表4）CO2価格'!$A$7:$E$67,VLOOKUP($F$48,'表4）CO2価格'!$H$10:$I$12,2,0),0)*$F$8/1000,""))</f>
        <v/>
      </c>
      <c r="AZ57" s="39"/>
      <c r="BA57" s="42" t="str">
        <f t="shared" si="11"/>
        <v/>
      </c>
      <c r="BB57" s="72" t="str">
        <f t="shared" si="27"/>
        <v/>
      </c>
      <c r="BC57" s="39"/>
      <c r="BD57" s="72" t="str">
        <f t="shared" si="12"/>
        <v/>
      </c>
      <c r="BE57" s="72" t="str">
        <f t="shared" si="28"/>
        <v/>
      </c>
      <c r="BF57" s="39"/>
      <c r="BG57" s="42" t="str">
        <f t="shared" si="13"/>
        <v/>
      </c>
      <c r="BH57" s="72" t="str">
        <f t="shared" si="29"/>
        <v/>
      </c>
      <c r="BI57" s="39"/>
      <c r="BJ57" s="40" t="str">
        <f t="shared" si="30"/>
        <v/>
      </c>
      <c r="BK57" s="157" t="str">
        <f t="shared" si="31"/>
        <v/>
      </c>
      <c r="BL57" s="157" t="str">
        <f t="shared" si="14"/>
        <v/>
      </c>
      <c r="BM57" s="72"/>
      <c r="BN57" s="72" t="str">
        <f t="shared" si="32"/>
        <v/>
      </c>
      <c r="BO57" s="72" t="str">
        <f t="shared" si="33"/>
        <v/>
      </c>
      <c r="BP57" s="39"/>
      <c r="BQ57" s="72" t="str">
        <f t="shared" si="15"/>
        <v/>
      </c>
      <c r="BR57" s="72" t="str">
        <f t="shared" si="34"/>
        <v/>
      </c>
    </row>
    <row r="58" spans="3:70" x14ac:dyDescent="0.15">
      <c r="C58" s="89" t="s">
        <v>512</v>
      </c>
      <c r="D58" s="101"/>
      <c r="E58" s="101"/>
      <c r="F58" s="89"/>
      <c r="G58" s="101"/>
      <c r="I58" s="459">
        <f t="shared" si="35"/>
        <v>2073</v>
      </c>
      <c r="K58" s="71">
        <f t="shared" si="36"/>
        <v>44</v>
      </c>
      <c r="M58" s="7">
        <f t="shared" si="0"/>
        <v>0.27237178247747956</v>
      </c>
      <c r="O58" s="10" t="str">
        <f t="shared" si="37"/>
        <v/>
      </c>
      <c r="P58" s="29" t="str">
        <f t="shared" si="1"/>
        <v/>
      </c>
      <c r="R58" s="10" t="str">
        <f t="shared" si="16"/>
        <v/>
      </c>
      <c r="T58" s="10" t="str">
        <f t="shared" si="17"/>
        <v/>
      </c>
      <c r="V58" s="10" t="str">
        <f t="shared" si="2"/>
        <v/>
      </c>
      <c r="W58" s="10" t="str">
        <f t="shared" si="18"/>
        <v/>
      </c>
      <c r="Y58" s="10" t="str">
        <f t="shared" si="3"/>
        <v/>
      </c>
      <c r="Z58" s="10" t="str">
        <f t="shared" si="19"/>
        <v/>
      </c>
      <c r="AB58" s="10" t="str">
        <f t="shared" si="4"/>
        <v/>
      </c>
      <c r="AC58" s="10" t="str">
        <f t="shared" si="20"/>
        <v/>
      </c>
      <c r="AE58" s="10" t="str">
        <f t="shared" si="5"/>
        <v/>
      </c>
      <c r="AF58" s="10" t="str">
        <f t="shared" si="21"/>
        <v/>
      </c>
      <c r="AH58" s="10" t="str">
        <f t="shared" si="6"/>
        <v/>
      </c>
      <c r="AI58" s="10" t="str">
        <f t="shared" si="22"/>
        <v/>
      </c>
      <c r="AK58" s="10" t="str">
        <f t="shared" si="7"/>
        <v/>
      </c>
      <c r="AL58" s="10" t="str">
        <f t="shared" si="23"/>
        <v/>
      </c>
      <c r="AN58" s="10" t="str">
        <f t="shared" si="8"/>
        <v/>
      </c>
      <c r="AO58" s="10" t="str">
        <f t="shared" si="24"/>
        <v/>
      </c>
      <c r="AQ58" s="10" t="str">
        <f t="shared" si="9"/>
        <v/>
      </c>
      <c r="AR58" s="10" t="str">
        <f t="shared" si="25"/>
        <v/>
      </c>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V58" s="10" t="str">
        <f t="shared" si="10"/>
        <v/>
      </c>
      <c r="AW58" s="10" t="str">
        <f t="shared" si="26"/>
        <v/>
      </c>
      <c r="AY58" s="7" t="str">
        <f>IF(ISERROR(IF($K58&lt;=$F$15,VLOOKUP($I58,'表4）CO2価格'!$A$7:$E$67,VLOOKUP($F$48,'表4）CO2価格'!$H$10:$I$12,2,0),0)*$F$8/1000,"")),0,IF($K58&lt;=$F$15,VLOOKUP($I58,'表4）CO2価格'!$A$7:$E$67,VLOOKUP($F$48,'表4）CO2価格'!$H$10:$I$12,2,0),0)*$F$8/1000,""))</f>
        <v/>
      </c>
      <c r="BA58" s="11" t="str">
        <f t="shared" si="11"/>
        <v/>
      </c>
      <c r="BB58" s="10" t="str">
        <f t="shared" si="27"/>
        <v/>
      </c>
      <c r="BD58" s="10" t="str">
        <f t="shared" si="12"/>
        <v/>
      </c>
      <c r="BE58" s="10" t="str">
        <f t="shared" si="28"/>
        <v/>
      </c>
      <c r="BG58" s="11" t="str">
        <f t="shared" si="13"/>
        <v/>
      </c>
      <c r="BH58" s="10" t="str">
        <f t="shared" si="29"/>
        <v/>
      </c>
      <c r="BJ58" s="7" t="str">
        <f t="shared" si="30"/>
        <v/>
      </c>
      <c r="BK58" s="158" t="str">
        <f t="shared" si="31"/>
        <v/>
      </c>
      <c r="BL58" s="158" t="str">
        <f t="shared" si="14"/>
        <v/>
      </c>
      <c r="BM58" s="10"/>
      <c r="BN58" s="10" t="str">
        <f t="shared" si="32"/>
        <v/>
      </c>
      <c r="BO58" s="10" t="str">
        <f t="shared" si="33"/>
        <v/>
      </c>
      <c r="BQ58" s="10" t="str">
        <f t="shared" si="15"/>
        <v/>
      </c>
      <c r="BR58" s="10" t="str">
        <f t="shared" si="34"/>
        <v/>
      </c>
    </row>
    <row r="59" spans="3:70" x14ac:dyDescent="0.15">
      <c r="I59" s="458">
        <f t="shared" si="35"/>
        <v>2074</v>
      </c>
      <c r="J59" s="39"/>
      <c r="K59" s="39">
        <f t="shared" si="36"/>
        <v>45</v>
      </c>
      <c r="L59" s="39"/>
      <c r="M59" s="40">
        <f t="shared" si="0"/>
        <v>0.26443862376454325</v>
      </c>
      <c r="N59" s="39"/>
      <c r="O59" s="72" t="str">
        <f t="shared" si="37"/>
        <v/>
      </c>
      <c r="P59" s="41" t="str">
        <f t="shared" si="1"/>
        <v/>
      </c>
      <c r="Q59" s="39"/>
      <c r="R59" s="72" t="str">
        <f t="shared" si="16"/>
        <v/>
      </c>
      <c r="S59" s="39"/>
      <c r="T59" s="72" t="str">
        <f t="shared" si="17"/>
        <v/>
      </c>
      <c r="U59" s="39"/>
      <c r="V59" s="72" t="str">
        <f t="shared" si="2"/>
        <v/>
      </c>
      <c r="W59" s="72" t="str">
        <f t="shared" si="18"/>
        <v/>
      </c>
      <c r="X59" s="39"/>
      <c r="Y59" s="72" t="str">
        <f t="shared" si="3"/>
        <v/>
      </c>
      <c r="Z59" s="72" t="str">
        <f t="shared" si="19"/>
        <v/>
      </c>
      <c r="AA59" s="39"/>
      <c r="AB59" s="72" t="str">
        <f t="shared" si="4"/>
        <v/>
      </c>
      <c r="AC59" s="72" t="str">
        <f t="shared" si="20"/>
        <v/>
      </c>
      <c r="AD59" s="39"/>
      <c r="AE59" s="72" t="str">
        <f t="shared" si="5"/>
        <v/>
      </c>
      <c r="AF59" s="72" t="str">
        <f t="shared" si="21"/>
        <v/>
      </c>
      <c r="AG59" s="39"/>
      <c r="AH59" s="72" t="str">
        <f t="shared" si="6"/>
        <v/>
      </c>
      <c r="AI59" s="72" t="str">
        <f t="shared" si="22"/>
        <v/>
      </c>
      <c r="AJ59" s="39"/>
      <c r="AK59" s="72" t="str">
        <f t="shared" si="7"/>
        <v/>
      </c>
      <c r="AL59" s="72" t="str">
        <f t="shared" si="23"/>
        <v/>
      </c>
      <c r="AM59" s="39"/>
      <c r="AN59" s="72" t="str">
        <f t="shared" si="8"/>
        <v/>
      </c>
      <c r="AO59" s="72" t="str">
        <f t="shared" si="24"/>
        <v/>
      </c>
      <c r="AP59" s="39"/>
      <c r="AQ59" s="72" t="str">
        <f t="shared" si="9"/>
        <v/>
      </c>
      <c r="AR59" s="72" t="str">
        <f t="shared" si="25"/>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10"/>
        <v/>
      </c>
      <c r="AW59" s="72" t="str">
        <f t="shared" si="26"/>
        <v/>
      </c>
      <c r="AX59" s="39"/>
      <c r="AY59" s="40" t="str">
        <f>IF(ISERROR(IF($K59&lt;=$F$15,VLOOKUP($I59,'表4）CO2価格'!$A$7:$E$67,VLOOKUP($F$48,'表4）CO2価格'!$H$10:$I$12,2,0),0)*$F$8/1000,"")),0,IF($K59&lt;=$F$15,VLOOKUP($I59,'表4）CO2価格'!$A$7:$E$67,VLOOKUP($F$48,'表4）CO2価格'!$H$10:$I$12,2,0),0)*$F$8/1000,""))</f>
        <v/>
      </c>
      <c r="AZ59" s="39"/>
      <c r="BA59" s="42" t="str">
        <f t="shared" si="11"/>
        <v/>
      </c>
      <c r="BB59" s="72" t="str">
        <f t="shared" si="27"/>
        <v/>
      </c>
      <c r="BC59" s="39"/>
      <c r="BD59" s="72" t="str">
        <f t="shared" si="12"/>
        <v/>
      </c>
      <c r="BE59" s="72" t="str">
        <f t="shared" si="28"/>
        <v/>
      </c>
      <c r="BF59" s="39"/>
      <c r="BG59" s="42" t="str">
        <f t="shared" si="13"/>
        <v/>
      </c>
      <c r="BH59" s="72" t="str">
        <f t="shared" si="29"/>
        <v/>
      </c>
      <c r="BI59" s="39"/>
      <c r="BJ59" s="40" t="str">
        <f t="shared" si="30"/>
        <v/>
      </c>
      <c r="BK59" s="157" t="str">
        <f t="shared" si="31"/>
        <v/>
      </c>
      <c r="BL59" s="157" t="str">
        <f t="shared" si="14"/>
        <v/>
      </c>
      <c r="BM59" s="72"/>
      <c r="BN59" s="72" t="str">
        <f t="shared" si="32"/>
        <v/>
      </c>
      <c r="BO59" s="72" t="str">
        <f t="shared" si="33"/>
        <v/>
      </c>
      <c r="BP59" s="39"/>
      <c r="BQ59" s="72" t="str">
        <f t="shared" si="15"/>
        <v/>
      </c>
      <c r="BR59" s="72" t="str">
        <f t="shared" si="34"/>
        <v/>
      </c>
    </row>
    <row r="60" spans="3:70" x14ac:dyDescent="0.15">
      <c r="D60" s="81" t="s">
        <v>128</v>
      </c>
      <c r="F60" s="59"/>
      <c r="G60" s="81" t="s">
        <v>176</v>
      </c>
      <c r="I60" s="459">
        <f t="shared" si="35"/>
        <v>2075</v>
      </c>
      <c r="K60" s="71">
        <f t="shared" si="36"/>
        <v>46</v>
      </c>
      <c r="M60" s="7">
        <f t="shared" si="0"/>
        <v>0.25673652792674101</v>
      </c>
      <c r="O60" s="10" t="str">
        <f t="shared" si="37"/>
        <v/>
      </c>
      <c r="P60" s="29" t="str">
        <f t="shared" si="1"/>
        <v/>
      </c>
      <c r="R60" s="10" t="str">
        <f t="shared" si="16"/>
        <v/>
      </c>
      <c r="T60" s="10" t="str">
        <f t="shared" si="17"/>
        <v/>
      </c>
      <c r="V60" s="10" t="str">
        <f t="shared" si="2"/>
        <v/>
      </c>
      <c r="W60" s="10" t="str">
        <f t="shared" si="18"/>
        <v/>
      </c>
      <c r="Y60" s="10" t="str">
        <f t="shared" si="3"/>
        <v/>
      </c>
      <c r="Z60" s="10" t="str">
        <f t="shared" si="19"/>
        <v/>
      </c>
      <c r="AB60" s="10" t="str">
        <f t="shared" si="4"/>
        <v/>
      </c>
      <c r="AC60" s="10" t="str">
        <f t="shared" si="20"/>
        <v/>
      </c>
      <c r="AE60" s="10" t="str">
        <f t="shared" si="5"/>
        <v/>
      </c>
      <c r="AF60" s="10" t="str">
        <f t="shared" si="21"/>
        <v/>
      </c>
      <c r="AH60" s="10" t="str">
        <f t="shared" si="6"/>
        <v/>
      </c>
      <c r="AI60" s="10" t="str">
        <f t="shared" si="22"/>
        <v/>
      </c>
      <c r="AK60" s="10" t="str">
        <f t="shared" si="7"/>
        <v/>
      </c>
      <c r="AL60" s="10" t="str">
        <f t="shared" si="23"/>
        <v/>
      </c>
      <c r="AN60" s="10" t="str">
        <f t="shared" si="8"/>
        <v/>
      </c>
      <c r="AO60" s="10" t="str">
        <f t="shared" si="24"/>
        <v/>
      </c>
      <c r="AQ60" s="10" t="str">
        <f t="shared" si="9"/>
        <v/>
      </c>
      <c r="AR60" s="10" t="str">
        <f t="shared" si="25"/>
        <v/>
      </c>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V60" s="10" t="str">
        <f t="shared" si="10"/>
        <v/>
      </c>
      <c r="AW60" s="10" t="str">
        <f t="shared" si="26"/>
        <v/>
      </c>
      <c r="AY60" s="7" t="str">
        <f>IF(ISERROR(IF($K60&lt;=$F$15,VLOOKUP($I60,'表4）CO2価格'!$A$7:$E$67,VLOOKUP($F$48,'表4）CO2価格'!$H$10:$I$12,2,0),0)*$F$8/1000,"")),0,IF($K60&lt;=$F$15,VLOOKUP($I60,'表4）CO2価格'!$A$7:$E$67,VLOOKUP($F$48,'表4）CO2価格'!$H$10:$I$12,2,0),0)*$F$8/1000,""))</f>
        <v/>
      </c>
      <c r="BA60" s="11" t="str">
        <f t="shared" si="11"/>
        <v/>
      </c>
      <c r="BB60" s="10" t="str">
        <f t="shared" si="27"/>
        <v/>
      </c>
      <c r="BD60" s="10" t="str">
        <f t="shared" si="12"/>
        <v/>
      </c>
      <c r="BE60" s="10" t="str">
        <f t="shared" si="28"/>
        <v/>
      </c>
      <c r="BG60" s="11" t="str">
        <f t="shared" si="13"/>
        <v/>
      </c>
      <c r="BH60" s="10" t="str">
        <f t="shared" si="29"/>
        <v/>
      </c>
      <c r="BJ60" s="7" t="str">
        <f t="shared" si="30"/>
        <v/>
      </c>
      <c r="BK60" s="158" t="str">
        <f t="shared" si="31"/>
        <v/>
      </c>
      <c r="BL60" s="158" t="str">
        <f t="shared" si="14"/>
        <v/>
      </c>
      <c r="BM60" s="10"/>
      <c r="BN60" s="10" t="str">
        <f t="shared" si="32"/>
        <v/>
      </c>
      <c r="BO60" s="10" t="str">
        <f t="shared" si="33"/>
        <v/>
      </c>
      <c r="BQ60" s="10" t="str">
        <f t="shared" si="15"/>
        <v/>
      </c>
      <c r="BR60" s="10" t="str">
        <f t="shared" si="34"/>
        <v/>
      </c>
    </row>
    <row r="61" spans="3:70" x14ac:dyDescent="0.15">
      <c r="D61" s="81" t="s">
        <v>190</v>
      </c>
      <c r="F61" s="66"/>
      <c r="G61" s="81" t="s">
        <v>108</v>
      </c>
      <c r="I61" s="458">
        <f t="shared" si="35"/>
        <v>2076</v>
      </c>
      <c r="J61" s="39"/>
      <c r="K61" s="39">
        <f t="shared" si="36"/>
        <v>47</v>
      </c>
      <c r="L61" s="39"/>
      <c r="M61" s="40">
        <f t="shared" si="0"/>
        <v>0.24925876497741845</v>
      </c>
      <c r="N61" s="39"/>
      <c r="O61" s="72" t="str">
        <f t="shared" si="37"/>
        <v/>
      </c>
      <c r="P61" s="41" t="str">
        <f t="shared" si="1"/>
        <v/>
      </c>
      <c r="Q61" s="39"/>
      <c r="R61" s="72" t="str">
        <f t="shared" si="16"/>
        <v/>
      </c>
      <c r="S61" s="39"/>
      <c r="T61" s="72" t="str">
        <f t="shared" si="17"/>
        <v/>
      </c>
      <c r="U61" s="39"/>
      <c r="V61" s="72" t="str">
        <f t="shared" si="2"/>
        <v/>
      </c>
      <c r="W61" s="72" t="str">
        <f t="shared" si="18"/>
        <v/>
      </c>
      <c r="X61" s="39"/>
      <c r="Y61" s="72" t="str">
        <f t="shared" si="3"/>
        <v/>
      </c>
      <c r="Z61" s="72" t="str">
        <f t="shared" si="19"/>
        <v/>
      </c>
      <c r="AA61" s="39"/>
      <c r="AB61" s="72" t="str">
        <f t="shared" si="4"/>
        <v/>
      </c>
      <c r="AC61" s="72" t="str">
        <f t="shared" si="20"/>
        <v/>
      </c>
      <c r="AD61" s="39"/>
      <c r="AE61" s="72" t="str">
        <f t="shared" si="5"/>
        <v/>
      </c>
      <c r="AF61" s="72" t="str">
        <f t="shared" si="21"/>
        <v/>
      </c>
      <c r="AG61" s="39"/>
      <c r="AH61" s="72" t="str">
        <f t="shared" si="6"/>
        <v/>
      </c>
      <c r="AI61" s="72" t="str">
        <f t="shared" si="22"/>
        <v/>
      </c>
      <c r="AJ61" s="39"/>
      <c r="AK61" s="72" t="str">
        <f t="shared" si="7"/>
        <v/>
      </c>
      <c r="AL61" s="72" t="str">
        <f t="shared" si="23"/>
        <v/>
      </c>
      <c r="AM61" s="39"/>
      <c r="AN61" s="72" t="str">
        <f t="shared" si="8"/>
        <v/>
      </c>
      <c r="AO61" s="72" t="str">
        <f t="shared" si="24"/>
        <v/>
      </c>
      <c r="AP61" s="39"/>
      <c r="AQ61" s="72" t="str">
        <f t="shared" si="9"/>
        <v/>
      </c>
      <c r="AR61" s="72" t="str">
        <f t="shared" si="25"/>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10"/>
        <v/>
      </c>
      <c r="AW61" s="72" t="str">
        <f t="shared" si="26"/>
        <v/>
      </c>
      <c r="AX61" s="39"/>
      <c r="AY61" s="40" t="str">
        <f>IF(ISERROR(IF($K61&lt;=$F$15,VLOOKUP($I61,'表4）CO2価格'!$A$7:$E$67,VLOOKUP($F$48,'表4）CO2価格'!$H$10:$I$12,2,0),0)*$F$8/1000,"")),0,IF($K61&lt;=$F$15,VLOOKUP($I61,'表4）CO2価格'!$A$7:$E$67,VLOOKUP($F$48,'表4）CO2価格'!$H$10:$I$12,2,0),0)*$F$8/1000,""))</f>
        <v/>
      </c>
      <c r="AZ61" s="39"/>
      <c r="BA61" s="42" t="str">
        <f t="shared" si="11"/>
        <v/>
      </c>
      <c r="BB61" s="72" t="str">
        <f t="shared" si="27"/>
        <v/>
      </c>
      <c r="BC61" s="39"/>
      <c r="BD61" s="72" t="str">
        <f t="shared" si="12"/>
        <v/>
      </c>
      <c r="BE61" s="72" t="str">
        <f t="shared" si="28"/>
        <v/>
      </c>
      <c r="BF61" s="39"/>
      <c r="BG61" s="42" t="str">
        <f t="shared" si="13"/>
        <v/>
      </c>
      <c r="BH61" s="72" t="str">
        <f t="shared" si="29"/>
        <v/>
      </c>
      <c r="BI61" s="39"/>
      <c r="BJ61" s="40" t="str">
        <f t="shared" si="30"/>
        <v/>
      </c>
      <c r="BK61" s="157" t="str">
        <f t="shared" si="31"/>
        <v/>
      </c>
      <c r="BL61" s="157" t="str">
        <f t="shared" si="14"/>
        <v/>
      </c>
      <c r="BM61" s="72"/>
      <c r="BN61" s="72" t="str">
        <f t="shared" si="32"/>
        <v/>
      </c>
      <c r="BO61" s="72" t="str">
        <f t="shared" si="33"/>
        <v/>
      </c>
      <c r="BP61" s="39"/>
      <c r="BQ61" s="72" t="str">
        <f t="shared" si="15"/>
        <v/>
      </c>
      <c r="BR61" s="72" t="str">
        <f t="shared" si="34"/>
        <v/>
      </c>
    </row>
    <row r="62" spans="3:70" x14ac:dyDescent="0.15">
      <c r="D62" s="81" t="s">
        <v>131</v>
      </c>
      <c r="F62" s="59"/>
      <c r="G62" s="81" t="s">
        <v>191</v>
      </c>
      <c r="I62" s="459">
        <f t="shared" si="35"/>
        <v>2077</v>
      </c>
      <c r="K62" s="71">
        <f t="shared" si="36"/>
        <v>48</v>
      </c>
      <c r="M62" s="7">
        <f t="shared" si="0"/>
        <v>0.24199880094894996</v>
      </c>
      <c r="O62" s="10" t="str">
        <f t="shared" si="37"/>
        <v/>
      </c>
      <c r="P62" s="29" t="str">
        <f t="shared" si="1"/>
        <v/>
      </c>
      <c r="R62" s="10" t="str">
        <f t="shared" si="16"/>
        <v/>
      </c>
      <c r="T62" s="10" t="str">
        <f t="shared" si="17"/>
        <v/>
      </c>
      <c r="V62" s="10" t="str">
        <f t="shared" si="2"/>
        <v/>
      </c>
      <c r="W62" s="10" t="str">
        <f t="shared" si="18"/>
        <v/>
      </c>
      <c r="Y62" s="10" t="str">
        <f t="shared" si="3"/>
        <v/>
      </c>
      <c r="Z62" s="10" t="str">
        <f t="shared" si="19"/>
        <v/>
      </c>
      <c r="AB62" s="10" t="str">
        <f t="shared" si="4"/>
        <v/>
      </c>
      <c r="AC62" s="10" t="str">
        <f t="shared" si="20"/>
        <v/>
      </c>
      <c r="AE62" s="10" t="str">
        <f t="shared" si="5"/>
        <v/>
      </c>
      <c r="AF62" s="10" t="str">
        <f t="shared" si="21"/>
        <v/>
      </c>
      <c r="AH62" s="10" t="str">
        <f t="shared" si="6"/>
        <v/>
      </c>
      <c r="AI62" s="10" t="str">
        <f t="shared" si="22"/>
        <v/>
      </c>
      <c r="AK62" s="10" t="str">
        <f t="shared" si="7"/>
        <v/>
      </c>
      <c r="AL62" s="10" t="str">
        <f t="shared" si="23"/>
        <v/>
      </c>
      <c r="AN62" s="10" t="str">
        <f t="shared" si="8"/>
        <v/>
      </c>
      <c r="AO62" s="10" t="str">
        <f t="shared" si="24"/>
        <v/>
      </c>
      <c r="AQ62" s="10" t="str">
        <f t="shared" si="9"/>
        <v/>
      </c>
      <c r="AR62" s="10" t="str">
        <f t="shared" si="25"/>
        <v/>
      </c>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V62" s="10" t="str">
        <f t="shared" si="10"/>
        <v/>
      </c>
      <c r="AW62" s="10" t="str">
        <f t="shared" si="26"/>
        <v/>
      </c>
      <c r="AY62" s="7" t="str">
        <f>IF(ISERROR(IF($K62&lt;=$F$15,VLOOKUP($I62,'表4）CO2価格'!$A$7:$E$67,VLOOKUP($F$48,'表4）CO2価格'!$H$10:$I$12,2,0),0)*$F$8/1000,"")),0,IF($K62&lt;=$F$15,VLOOKUP($I62,'表4）CO2価格'!$A$7:$E$67,VLOOKUP($F$48,'表4）CO2価格'!$H$10:$I$12,2,0),0)*$F$8/1000,""))</f>
        <v/>
      </c>
      <c r="BA62" s="11" t="str">
        <f t="shared" si="11"/>
        <v/>
      </c>
      <c r="BB62" s="10" t="str">
        <f t="shared" si="27"/>
        <v/>
      </c>
      <c r="BD62" s="10" t="str">
        <f t="shared" si="12"/>
        <v/>
      </c>
      <c r="BE62" s="10" t="str">
        <f t="shared" si="28"/>
        <v/>
      </c>
      <c r="BG62" s="11" t="str">
        <f t="shared" si="13"/>
        <v/>
      </c>
      <c r="BH62" s="10" t="str">
        <f t="shared" si="29"/>
        <v/>
      </c>
      <c r="BJ62" s="7" t="str">
        <f t="shared" si="30"/>
        <v/>
      </c>
      <c r="BK62" s="158" t="str">
        <f t="shared" si="31"/>
        <v/>
      </c>
      <c r="BL62" s="158" t="str">
        <f t="shared" si="14"/>
        <v/>
      </c>
      <c r="BM62" s="10"/>
      <c r="BN62" s="10" t="str">
        <f t="shared" si="32"/>
        <v/>
      </c>
      <c r="BO62" s="10" t="str">
        <f t="shared" si="33"/>
        <v/>
      </c>
      <c r="BQ62" s="10" t="str">
        <f t="shared" si="15"/>
        <v/>
      </c>
      <c r="BR62" s="10" t="str">
        <f t="shared" si="34"/>
        <v/>
      </c>
    </row>
    <row r="63" spans="3:70" x14ac:dyDescent="0.15">
      <c r="I63" s="458">
        <f t="shared" si="35"/>
        <v>2078</v>
      </c>
      <c r="J63" s="39"/>
      <c r="K63" s="39">
        <f t="shared" si="36"/>
        <v>49</v>
      </c>
      <c r="L63" s="39"/>
      <c r="M63" s="40">
        <f t="shared" si="0"/>
        <v>0.2349502921834466</v>
      </c>
      <c r="N63" s="39"/>
      <c r="O63" s="72" t="str">
        <f t="shared" si="37"/>
        <v/>
      </c>
      <c r="P63" s="41" t="str">
        <f t="shared" si="1"/>
        <v/>
      </c>
      <c r="Q63" s="39"/>
      <c r="R63" s="72" t="str">
        <f t="shared" si="16"/>
        <v/>
      </c>
      <c r="S63" s="39"/>
      <c r="T63" s="72" t="str">
        <f t="shared" si="17"/>
        <v/>
      </c>
      <c r="U63" s="39"/>
      <c r="V63" s="72" t="str">
        <f t="shared" si="2"/>
        <v/>
      </c>
      <c r="W63" s="72" t="str">
        <f t="shared" si="18"/>
        <v/>
      </c>
      <c r="X63" s="39"/>
      <c r="Y63" s="72" t="str">
        <f t="shared" si="3"/>
        <v/>
      </c>
      <c r="Z63" s="72" t="str">
        <f t="shared" si="19"/>
        <v/>
      </c>
      <c r="AA63" s="39"/>
      <c r="AB63" s="72" t="str">
        <f t="shared" si="4"/>
        <v/>
      </c>
      <c r="AC63" s="72" t="str">
        <f t="shared" si="20"/>
        <v/>
      </c>
      <c r="AD63" s="39"/>
      <c r="AE63" s="72" t="str">
        <f t="shared" si="5"/>
        <v/>
      </c>
      <c r="AF63" s="72" t="str">
        <f t="shared" si="21"/>
        <v/>
      </c>
      <c r="AG63" s="39"/>
      <c r="AH63" s="72" t="str">
        <f t="shared" si="6"/>
        <v/>
      </c>
      <c r="AI63" s="72" t="str">
        <f t="shared" si="22"/>
        <v/>
      </c>
      <c r="AJ63" s="39"/>
      <c r="AK63" s="72" t="str">
        <f t="shared" si="7"/>
        <v/>
      </c>
      <c r="AL63" s="72" t="str">
        <f t="shared" si="23"/>
        <v/>
      </c>
      <c r="AM63" s="39"/>
      <c r="AN63" s="72" t="str">
        <f t="shared" si="8"/>
        <v/>
      </c>
      <c r="AO63" s="72" t="str">
        <f t="shared" si="24"/>
        <v/>
      </c>
      <c r="AP63" s="39"/>
      <c r="AQ63" s="72" t="str">
        <f t="shared" si="9"/>
        <v/>
      </c>
      <c r="AR63" s="72" t="str">
        <f t="shared" si="25"/>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10"/>
        <v/>
      </c>
      <c r="AW63" s="72" t="str">
        <f t="shared" si="26"/>
        <v/>
      </c>
      <c r="AX63" s="39"/>
      <c r="AY63" s="40" t="str">
        <f>IF(ISERROR(IF($K63&lt;=$F$15,VLOOKUP($I63,'表4）CO2価格'!$A$7:$E$67,VLOOKUP($F$48,'表4）CO2価格'!$H$10:$I$12,2,0),0)*$F$8/1000,"")),0,IF($K63&lt;=$F$15,VLOOKUP($I63,'表4）CO2価格'!$A$7:$E$67,VLOOKUP($F$48,'表4）CO2価格'!$H$10:$I$12,2,0),0)*$F$8/1000,""))</f>
        <v/>
      </c>
      <c r="AZ63" s="39"/>
      <c r="BA63" s="42" t="str">
        <f t="shared" si="11"/>
        <v/>
      </c>
      <c r="BB63" s="72" t="str">
        <f t="shared" si="27"/>
        <v/>
      </c>
      <c r="BC63" s="39"/>
      <c r="BD63" s="72" t="str">
        <f t="shared" si="12"/>
        <v/>
      </c>
      <c r="BE63" s="72" t="str">
        <f t="shared" si="28"/>
        <v/>
      </c>
      <c r="BF63" s="39"/>
      <c r="BG63" s="42" t="str">
        <f t="shared" si="13"/>
        <v/>
      </c>
      <c r="BH63" s="72" t="str">
        <f t="shared" si="29"/>
        <v/>
      </c>
      <c r="BI63" s="39"/>
      <c r="BJ63" s="40" t="str">
        <f t="shared" si="30"/>
        <v/>
      </c>
      <c r="BK63" s="157" t="str">
        <f t="shared" si="31"/>
        <v/>
      </c>
      <c r="BL63" s="157" t="str">
        <f t="shared" si="14"/>
        <v/>
      </c>
      <c r="BM63" s="72"/>
      <c r="BN63" s="72" t="str">
        <f t="shared" si="32"/>
        <v/>
      </c>
      <c r="BO63" s="72" t="str">
        <f t="shared" si="33"/>
        <v/>
      </c>
      <c r="BP63" s="39"/>
      <c r="BQ63" s="72" t="str">
        <f t="shared" si="15"/>
        <v/>
      </c>
      <c r="BR63" s="72" t="str">
        <f t="shared" si="34"/>
        <v/>
      </c>
    </row>
    <row r="64" spans="3:70" x14ac:dyDescent="0.15">
      <c r="C64" s="9" t="s">
        <v>513</v>
      </c>
      <c r="F64" s="67">
        <v>0.06</v>
      </c>
      <c r="G64" s="81" t="s">
        <v>132</v>
      </c>
      <c r="I64" s="459">
        <f t="shared" si="35"/>
        <v>2079</v>
      </c>
      <c r="K64" s="71">
        <f t="shared" si="36"/>
        <v>50</v>
      </c>
      <c r="M64" s="7">
        <f t="shared" si="0"/>
        <v>0.22810707978975397</v>
      </c>
      <c r="O64" s="10" t="str">
        <f t="shared" si="37"/>
        <v/>
      </c>
      <c r="P64" s="29" t="str">
        <f t="shared" si="1"/>
        <v/>
      </c>
      <c r="R64" s="10" t="str">
        <f t="shared" si="16"/>
        <v/>
      </c>
      <c r="T64" s="10" t="str">
        <f t="shared" si="17"/>
        <v/>
      </c>
      <c r="V64" s="10" t="str">
        <f t="shared" si="2"/>
        <v/>
      </c>
      <c r="W64" s="10" t="str">
        <f t="shared" si="18"/>
        <v/>
      </c>
      <c r="Y64" s="10" t="str">
        <f t="shared" si="3"/>
        <v/>
      </c>
      <c r="Z64" s="10" t="str">
        <f t="shared" si="19"/>
        <v/>
      </c>
      <c r="AB64" s="10" t="str">
        <f t="shared" si="4"/>
        <v/>
      </c>
      <c r="AC64" s="10" t="str">
        <f t="shared" si="20"/>
        <v/>
      </c>
      <c r="AE64" s="10" t="str">
        <f t="shared" si="5"/>
        <v/>
      </c>
      <c r="AF64" s="10" t="str">
        <f t="shared" si="21"/>
        <v/>
      </c>
      <c r="AH64" s="10" t="str">
        <f t="shared" si="6"/>
        <v/>
      </c>
      <c r="AI64" s="10" t="str">
        <f t="shared" si="22"/>
        <v/>
      </c>
      <c r="AK64" s="10" t="str">
        <f t="shared" si="7"/>
        <v/>
      </c>
      <c r="AL64" s="10" t="str">
        <f t="shared" si="23"/>
        <v/>
      </c>
      <c r="AN64" s="10" t="str">
        <f t="shared" si="8"/>
        <v/>
      </c>
      <c r="AO64" s="10" t="str">
        <f t="shared" si="24"/>
        <v/>
      </c>
      <c r="AQ64" s="10" t="str">
        <f t="shared" si="9"/>
        <v/>
      </c>
      <c r="AR64" s="10" t="str">
        <f t="shared" si="25"/>
        <v/>
      </c>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V64" s="10" t="str">
        <f t="shared" si="10"/>
        <v/>
      </c>
      <c r="AW64" s="10" t="str">
        <f t="shared" si="26"/>
        <v/>
      </c>
      <c r="AY64" s="7" t="str">
        <f>IF(ISERROR(IF($K64&lt;=$F$15,VLOOKUP($I64,'表4）CO2価格'!$A$7:$E$67,VLOOKUP($F$48,'表4）CO2価格'!$H$10:$I$12,2,0),0)*$F$8/1000,"")),0,IF($K64&lt;=$F$15,VLOOKUP($I64,'表4）CO2価格'!$A$7:$E$67,VLOOKUP($F$48,'表4）CO2価格'!$H$10:$I$12,2,0),0)*$F$8/1000,""))</f>
        <v/>
      </c>
      <c r="BA64" s="11" t="str">
        <f t="shared" si="11"/>
        <v/>
      </c>
      <c r="BB64" s="10" t="str">
        <f t="shared" si="27"/>
        <v/>
      </c>
      <c r="BD64" s="10" t="str">
        <f t="shared" si="12"/>
        <v/>
      </c>
      <c r="BE64" s="10" t="str">
        <f t="shared" si="28"/>
        <v/>
      </c>
      <c r="BG64" s="11" t="str">
        <f t="shared" si="13"/>
        <v/>
      </c>
      <c r="BH64" s="10" t="str">
        <f t="shared" si="29"/>
        <v/>
      </c>
      <c r="BJ64" s="7" t="str">
        <f t="shared" si="30"/>
        <v/>
      </c>
      <c r="BK64" s="158" t="str">
        <f t="shared" si="31"/>
        <v/>
      </c>
      <c r="BL64" s="158" t="str">
        <f t="shared" si="14"/>
        <v/>
      </c>
      <c r="BM64" s="10"/>
      <c r="BN64" s="10" t="str">
        <f t="shared" si="32"/>
        <v/>
      </c>
      <c r="BO64" s="10" t="str">
        <f t="shared" si="33"/>
        <v/>
      </c>
      <c r="BQ64" s="10" t="str">
        <f t="shared" si="15"/>
        <v/>
      </c>
      <c r="BR64" s="10" t="str">
        <f t="shared" si="34"/>
        <v/>
      </c>
    </row>
    <row r="65" spans="2:70" x14ac:dyDescent="0.15">
      <c r="I65" s="458">
        <f t="shared" si="35"/>
        <v>2080</v>
      </c>
      <c r="J65" s="39"/>
      <c r="K65" s="39">
        <f t="shared" si="36"/>
        <v>51</v>
      </c>
      <c r="L65" s="39"/>
      <c r="M65" s="40">
        <f t="shared" si="0"/>
        <v>0.22146318426189707</v>
      </c>
      <c r="N65" s="39"/>
      <c r="O65" s="72" t="str">
        <f t="shared" si="37"/>
        <v/>
      </c>
      <c r="P65" s="41" t="str">
        <f t="shared" si="1"/>
        <v/>
      </c>
      <c r="Q65" s="39"/>
      <c r="R65" s="72" t="str">
        <f t="shared" si="16"/>
        <v/>
      </c>
      <c r="S65" s="39"/>
      <c r="T65" s="72" t="str">
        <f t="shared" si="17"/>
        <v/>
      </c>
      <c r="U65" s="39"/>
      <c r="V65" s="72" t="str">
        <f t="shared" si="2"/>
        <v/>
      </c>
      <c r="W65" s="72" t="str">
        <f t="shared" si="18"/>
        <v/>
      </c>
      <c r="X65" s="39"/>
      <c r="Y65" s="72" t="str">
        <f t="shared" si="3"/>
        <v/>
      </c>
      <c r="Z65" s="72" t="str">
        <f t="shared" si="19"/>
        <v/>
      </c>
      <c r="AA65" s="39"/>
      <c r="AB65" s="72" t="str">
        <f t="shared" si="4"/>
        <v/>
      </c>
      <c r="AC65" s="72" t="str">
        <f t="shared" si="20"/>
        <v/>
      </c>
      <c r="AD65" s="39"/>
      <c r="AE65" s="72" t="str">
        <f t="shared" si="5"/>
        <v/>
      </c>
      <c r="AF65" s="72" t="str">
        <f t="shared" si="21"/>
        <v/>
      </c>
      <c r="AG65" s="39"/>
      <c r="AH65" s="72" t="str">
        <f t="shared" si="6"/>
        <v/>
      </c>
      <c r="AI65" s="72" t="str">
        <f t="shared" si="22"/>
        <v/>
      </c>
      <c r="AJ65" s="39"/>
      <c r="AK65" s="72" t="str">
        <f t="shared" si="7"/>
        <v/>
      </c>
      <c r="AL65" s="72" t="str">
        <f t="shared" si="23"/>
        <v/>
      </c>
      <c r="AM65" s="39"/>
      <c r="AN65" s="72" t="str">
        <f t="shared" si="8"/>
        <v/>
      </c>
      <c r="AO65" s="72" t="str">
        <f t="shared" si="24"/>
        <v/>
      </c>
      <c r="AP65" s="39"/>
      <c r="AQ65" s="72" t="str">
        <f t="shared" si="9"/>
        <v/>
      </c>
      <c r="AR65" s="72" t="str">
        <f t="shared" si="25"/>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10"/>
        <v/>
      </c>
      <c r="AW65" s="72" t="str">
        <f t="shared" si="26"/>
        <v/>
      </c>
      <c r="AX65" s="39"/>
      <c r="AY65" s="40" t="str">
        <f>IF(ISERROR(IF($K65&lt;=$F$15,VLOOKUP($I65,'表4）CO2価格'!$A$7:$E$67,VLOOKUP($F$48,'表4）CO2価格'!$H$10:$I$12,2,0),0)*$F$8/1000,"")),0,IF($K65&lt;=$F$15,VLOOKUP($I65,'表4）CO2価格'!$A$7:$E$67,VLOOKUP($F$48,'表4）CO2価格'!$H$10:$I$12,2,0),0)*$F$8/1000,""))</f>
        <v/>
      </c>
      <c r="AZ65" s="39"/>
      <c r="BA65" s="42" t="str">
        <f t="shared" si="11"/>
        <v/>
      </c>
      <c r="BB65" s="72" t="str">
        <f t="shared" si="27"/>
        <v/>
      </c>
      <c r="BC65" s="39"/>
      <c r="BD65" s="72" t="str">
        <f t="shared" si="12"/>
        <v/>
      </c>
      <c r="BE65" s="72" t="str">
        <f t="shared" si="28"/>
        <v/>
      </c>
      <c r="BF65" s="39"/>
      <c r="BG65" s="42" t="str">
        <f t="shared" si="13"/>
        <v/>
      </c>
      <c r="BH65" s="72" t="str">
        <f t="shared" si="29"/>
        <v/>
      </c>
      <c r="BI65" s="39"/>
      <c r="BJ65" s="40" t="str">
        <f t="shared" si="30"/>
        <v/>
      </c>
      <c r="BK65" s="157" t="str">
        <f t="shared" si="31"/>
        <v/>
      </c>
      <c r="BL65" s="157" t="str">
        <f t="shared" si="14"/>
        <v/>
      </c>
      <c r="BM65" s="72"/>
      <c r="BN65" s="72" t="str">
        <f t="shared" si="32"/>
        <v/>
      </c>
      <c r="BO65" s="72" t="str">
        <f t="shared" si="33"/>
        <v/>
      </c>
      <c r="BP65" s="39"/>
      <c r="BQ65" s="72" t="str">
        <f t="shared" si="15"/>
        <v/>
      </c>
      <c r="BR65" s="72" t="str">
        <f t="shared" si="34"/>
        <v/>
      </c>
    </row>
    <row r="66" spans="2:70" x14ac:dyDescent="0.15">
      <c r="I66" s="459">
        <f t="shared" si="35"/>
        <v>2081</v>
      </c>
      <c r="K66" s="71">
        <f t="shared" si="36"/>
        <v>52</v>
      </c>
      <c r="M66" s="7">
        <f t="shared" si="0"/>
        <v>0.215012800254269</v>
      </c>
      <c r="O66" s="10" t="str">
        <f t="shared" si="37"/>
        <v/>
      </c>
      <c r="P66" s="29" t="str">
        <f t="shared" si="1"/>
        <v/>
      </c>
      <c r="R66" s="10" t="str">
        <f t="shared" si="16"/>
        <v/>
      </c>
      <c r="T66" s="10" t="str">
        <f t="shared" si="17"/>
        <v/>
      </c>
      <c r="V66" s="10" t="str">
        <f t="shared" si="2"/>
        <v/>
      </c>
      <c r="W66" s="10" t="str">
        <f t="shared" si="18"/>
        <v/>
      </c>
      <c r="Y66" s="10" t="str">
        <f t="shared" si="3"/>
        <v/>
      </c>
      <c r="Z66" s="10" t="str">
        <f t="shared" si="19"/>
        <v/>
      </c>
      <c r="AB66" s="10" t="str">
        <f t="shared" si="4"/>
        <v/>
      </c>
      <c r="AC66" s="10" t="str">
        <f t="shared" si="20"/>
        <v/>
      </c>
      <c r="AE66" s="10" t="str">
        <f t="shared" si="5"/>
        <v/>
      </c>
      <c r="AF66" s="10" t="str">
        <f t="shared" si="21"/>
        <v/>
      </c>
      <c r="AH66" s="10" t="str">
        <f t="shared" si="6"/>
        <v/>
      </c>
      <c r="AI66" s="10" t="str">
        <f t="shared" si="22"/>
        <v/>
      </c>
      <c r="AK66" s="10" t="str">
        <f t="shared" si="7"/>
        <v/>
      </c>
      <c r="AL66" s="10" t="str">
        <f t="shared" si="23"/>
        <v/>
      </c>
      <c r="AN66" s="10" t="str">
        <f t="shared" si="8"/>
        <v/>
      </c>
      <c r="AO66" s="10" t="str">
        <f t="shared" si="24"/>
        <v/>
      </c>
      <c r="AQ66" s="10" t="str">
        <f t="shared" si="9"/>
        <v/>
      </c>
      <c r="AR66" s="10" t="str">
        <f t="shared" si="25"/>
        <v/>
      </c>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V66" s="10" t="str">
        <f t="shared" si="10"/>
        <v/>
      </c>
      <c r="AW66" s="10" t="str">
        <f t="shared" si="26"/>
        <v/>
      </c>
      <c r="AY66" s="7" t="str">
        <f>IF(ISERROR(IF($K66&lt;=$F$15,VLOOKUP($I66,'表4）CO2価格'!$A$7:$E$67,VLOOKUP($F$48,'表4）CO2価格'!$H$10:$I$12,2,0),0)*$F$8/1000,"")),0,IF($K66&lt;=$F$15,VLOOKUP($I66,'表4）CO2価格'!$A$7:$E$67,VLOOKUP($F$48,'表4）CO2価格'!$H$10:$I$12,2,0),0)*$F$8/1000,""))</f>
        <v/>
      </c>
      <c r="BA66" s="11" t="str">
        <f t="shared" si="11"/>
        <v/>
      </c>
      <c r="BB66" s="10" t="str">
        <f t="shared" si="27"/>
        <v/>
      </c>
      <c r="BD66" s="10" t="str">
        <f t="shared" si="12"/>
        <v/>
      </c>
      <c r="BE66" s="10" t="str">
        <f t="shared" si="28"/>
        <v/>
      </c>
      <c r="BG66" s="11" t="str">
        <f t="shared" si="13"/>
        <v/>
      </c>
      <c r="BH66" s="10" t="str">
        <f t="shared" si="29"/>
        <v/>
      </c>
      <c r="BJ66" s="7" t="str">
        <f t="shared" si="30"/>
        <v/>
      </c>
      <c r="BK66" s="158" t="str">
        <f t="shared" si="31"/>
        <v/>
      </c>
      <c r="BL66" s="158" t="str">
        <f t="shared" si="14"/>
        <v/>
      </c>
      <c r="BM66" s="10"/>
      <c r="BN66" s="10" t="str">
        <f t="shared" si="32"/>
        <v/>
      </c>
      <c r="BO66" s="10" t="str">
        <f t="shared" si="33"/>
        <v/>
      </c>
      <c r="BQ66" s="10" t="str">
        <f t="shared" si="15"/>
        <v/>
      </c>
      <c r="BR66" s="10" t="str">
        <f t="shared" si="34"/>
        <v/>
      </c>
    </row>
    <row r="67" spans="2:70" ht="15.75" thickBot="1" x14ac:dyDescent="0.2">
      <c r="B67" s="460" t="s">
        <v>133</v>
      </c>
      <c r="C67" s="86"/>
      <c r="D67" s="104"/>
      <c r="E67" s="104"/>
      <c r="F67" s="86"/>
      <c r="G67" s="104"/>
      <c r="I67" s="458">
        <f t="shared" si="35"/>
        <v>2082</v>
      </c>
      <c r="J67" s="39"/>
      <c r="K67" s="39">
        <f t="shared" si="36"/>
        <v>53</v>
      </c>
      <c r="L67" s="39"/>
      <c r="M67" s="40">
        <f t="shared" si="0"/>
        <v>0.20875029150899907</v>
      </c>
      <c r="N67" s="39"/>
      <c r="O67" s="72" t="str">
        <f t="shared" si="37"/>
        <v/>
      </c>
      <c r="P67" s="41" t="str">
        <f t="shared" si="1"/>
        <v/>
      </c>
      <c r="Q67" s="39"/>
      <c r="R67" s="72" t="str">
        <f t="shared" si="16"/>
        <v/>
      </c>
      <c r="S67" s="39"/>
      <c r="T67" s="72" t="str">
        <f t="shared" si="17"/>
        <v/>
      </c>
      <c r="U67" s="39"/>
      <c r="V67" s="72" t="str">
        <f t="shared" si="2"/>
        <v/>
      </c>
      <c r="W67" s="72" t="str">
        <f t="shared" si="18"/>
        <v/>
      </c>
      <c r="X67" s="39"/>
      <c r="Y67" s="72" t="str">
        <f t="shared" si="3"/>
        <v/>
      </c>
      <c r="Z67" s="72" t="str">
        <f t="shared" si="19"/>
        <v/>
      </c>
      <c r="AA67" s="39"/>
      <c r="AB67" s="72" t="str">
        <f t="shared" si="4"/>
        <v/>
      </c>
      <c r="AC67" s="72" t="str">
        <f t="shared" si="20"/>
        <v/>
      </c>
      <c r="AD67" s="39"/>
      <c r="AE67" s="72" t="str">
        <f t="shared" si="5"/>
        <v/>
      </c>
      <c r="AF67" s="72" t="str">
        <f t="shared" si="21"/>
        <v/>
      </c>
      <c r="AG67" s="39"/>
      <c r="AH67" s="72" t="str">
        <f t="shared" si="6"/>
        <v/>
      </c>
      <c r="AI67" s="72" t="str">
        <f t="shared" si="22"/>
        <v/>
      </c>
      <c r="AJ67" s="39"/>
      <c r="AK67" s="72" t="str">
        <f t="shared" si="7"/>
        <v/>
      </c>
      <c r="AL67" s="72" t="str">
        <f t="shared" si="23"/>
        <v/>
      </c>
      <c r="AM67" s="39"/>
      <c r="AN67" s="72" t="str">
        <f t="shared" si="8"/>
        <v/>
      </c>
      <c r="AO67" s="72" t="str">
        <f t="shared" si="24"/>
        <v/>
      </c>
      <c r="AP67" s="39"/>
      <c r="AQ67" s="72" t="str">
        <f t="shared" si="9"/>
        <v/>
      </c>
      <c r="AR67" s="72" t="str">
        <f t="shared" si="25"/>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10"/>
        <v/>
      </c>
      <c r="AW67" s="72" t="str">
        <f t="shared" si="26"/>
        <v/>
      </c>
      <c r="AX67" s="39"/>
      <c r="AY67" s="40" t="str">
        <f>IF(ISERROR(IF($K67&lt;=$F$15,VLOOKUP($I67,'表4）CO2価格'!$A$7:$E$67,VLOOKUP($F$48,'表4）CO2価格'!$H$10:$I$12,2,0),0)*$F$8/1000,"")),0,IF($K67&lt;=$F$15,VLOOKUP($I67,'表4）CO2価格'!$A$7:$E$67,VLOOKUP($F$48,'表4）CO2価格'!$H$10:$I$12,2,0),0)*$F$8/1000,""))</f>
        <v/>
      </c>
      <c r="AZ67" s="39"/>
      <c r="BA67" s="42" t="str">
        <f t="shared" si="11"/>
        <v/>
      </c>
      <c r="BB67" s="72" t="str">
        <f t="shared" si="27"/>
        <v/>
      </c>
      <c r="BC67" s="39"/>
      <c r="BD67" s="72" t="str">
        <f t="shared" si="12"/>
        <v/>
      </c>
      <c r="BE67" s="72" t="str">
        <f t="shared" si="28"/>
        <v/>
      </c>
      <c r="BF67" s="39"/>
      <c r="BG67" s="42" t="str">
        <f t="shared" si="13"/>
        <v/>
      </c>
      <c r="BH67" s="72" t="str">
        <f t="shared" si="29"/>
        <v/>
      </c>
      <c r="BI67" s="39"/>
      <c r="BJ67" s="40" t="str">
        <f t="shared" si="30"/>
        <v/>
      </c>
      <c r="BK67" s="157" t="str">
        <f t="shared" si="31"/>
        <v/>
      </c>
      <c r="BL67" s="157" t="str">
        <f t="shared" si="14"/>
        <v/>
      </c>
      <c r="BM67" s="72"/>
      <c r="BN67" s="72" t="str">
        <f t="shared" si="32"/>
        <v/>
      </c>
      <c r="BO67" s="72" t="str">
        <f t="shared" si="33"/>
        <v/>
      </c>
      <c r="BP67" s="39"/>
      <c r="BQ67" s="72" t="str">
        <f t="shared" si="15"/>
        <v/>
      </c>
      <c r="BR67" s="72" t="str">
        <f t="shared" si="34"/>
        <v/>
      </c>
    </row>
    <row r="68" spans="2:70" x14ac:dyDescent="0.15">
      <c r="I68" s="459">
        <f t="shared" si="35"/>
        <v>2083</v>
      </c>
      <c r="K68" s="71">
        <f t="shared" si="36"/>
        <v>54</v>
      </c>
      <c r="M68" s="7">
        <f t="shared" si="0"/>
        <v>0.20267018593106703</v>
      </c>
      <c r="O68" s="10" t="str">
        <f t="shared" si="37"/>
        <v/>
      </c>
      <c r="P68" s="29" t="str">
        <f t="shared" si="1"/>
        <v/>
      </c>
      <c r="R68" s="10" t="str">
        <f t="shared" si="16"/>
        <v/>
      </c>
      <c r="T68" s="10" t="str">
        <f t="shared" si="17"/>
        <v/>
      </c>
      <c r="V68" s="10" t="str">
        <f t="shared" si="2"/>
        <v/>
      </c>
      <c r="W68" s="10" t="str">
        <f t="shared" si="18"/>
        <v/>
      </c>
      <c r="Y68" s="10" t="str">
        <f t="shared" si="3"/>
        <v/>
      </c>
      <c r="Z68" s="10" t="str">
        <f t="shared" si="19"/>
        <v/>
      </c>
      <c r="AB68" s="10" t="str">
        <f t="shared" si="4"/>
        <v/>
      </c>
      <c r="AC68" s="10" t="str">
        <f t="shared" si="20"/>
        <v/>
      </c>
      <c r="AE68" s="10" t="str">
        <f t="shared" si="5"/>
        <v/>
      </c>
      <c r="AF68" s="10" t="str">
        <f t="shared" si="21"/>
        <v/>
      </c>
      <c r="AH68" s="10" t="str">
        <f t="shared" si="6"/>
        <v/>
      </c>
      <c r="AI68" s="10" t="str">
        <f t="shared" si="22"/>
        <v/>
      </c>
      <c r="AK68" s="10" t="str">
        <f t="shared" si="7"/>
        <v/>
      </c>
      <c r="AL68" s="10" t="str">
        <f t="shared" si="23"/>
        <v/>
      </c>
      <c r="AN68" s="10" t="str">
        <f t="shared" si="8"/>
        <v/>
      </c>
      <c r="AO68" s="10" t="str">
        <f t="shared" si="24"/>
        <v/>
      </c>
      <c r="AQ68" s="10" t="str">
        <f t="shared" si="9"/>
        <v/>
      </c>
      <c r="AR68" s="10" t="str">
        <f t="shared" si="25"/>
        <v/>
      </c>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V68" s="10" t="str">
        <f t="shared" si="10"/>
        <v/>
      </c>
      <c r="AW68" s="10" t="str">
        <f t="shared" si="26"/>
        <v/>
      </c>
      <c r="AY68" s="7" t="str">
        <f>IF(ISERROR(IF($K68&lt;=$F$15,VLOOKUP($I68,'表4）CO2価格'!$A$7:$E$67,VLOOKUP($F$48,'表4）CO2価格'!$H$10:$I$12,2,0),0)*$F$8/1000,"")),0,IF($K68&lt;=$F$15,VLOOKUP($I68,'表4）CO2価格'!$A$7:$E$67,VLOOKUP($F$48,'表4）CO2価格'!$H$10:$I$12,2,0),0)*$F$8/1000,""))</f>
        <v/>
      </c>
      <c r="BA68" s="11" t="str">
        <f t="shared" si="11"/>
        <v/>
      </c>
      <c r="BB68" s="10" t="str">
        <f t="shared" si="27"/>
        <v/>
      </c>
      <c r="BD68" s="10" t="str">
        <f t="shared" si="12"/>
        <v/>
      </c>
      <c r="BE68" s="10" t="str">
        <f t="shared" si="28"/>
        <v/>
      </c>
      <c r="BG68" s="11" t="str">
        <f t="shared" si="13"/>
        <v/>
      </c>
      <c r="BH68" s="10" t="str">
        <f t="shared" si="29"/>
        <v/>
      </c>
      <c r="BJ68" s="7" t="str">
        <f t="shared" si="30"/>
        <v/>
      </c>
      <c r="BK68" s="158" t="str">
        <f t="shared" si="31"/>
        <v/>
      </c>
      <c r="BL68" s="158" t="str">
        <f t="shared" si="14"/>
        <v/>
      </c>
      <c r="BM68" s="10"/>
      <c r="BN68" s="10" t="str">
        <f t="shared" si="32"/>
        <v/>
      </c>
      <c r="BO68" s="10" t="str">
        <f t="shared" si="33"/>
        <v/>
      </c>
      <c r="BQ68" s="10" t="str">
        <f t="shared" si="15"/>
        <v/>
      </c>
      <c r="BR68" s="10" t="str">
        <f t="shared" si="34"/>
        <v/>
      </c>
    </row>
    <row r="69" spans="2:70" x14ac:dyDescent="0.15">
      <c r="C69" s="461" t="s">
        <v>134</v>
      </c>
      <c r="D69" s="9"/>
      <c r="E69" s="9"/>
      <c r="F69" s="94">
        <f>SUBTOTAL(9,F74:F112)-F105</f>
        <v>13.855536641320549</v>
      </c>
      <c r="G69" s="9" t="s">
        <v>132</v>
      </c>
      <c r="I69" s="458">
        <f t="shared" si="35"/>
        <v>2084</v>
      </c>
      <c r="J69" s="39"/>
      <c r="K69" s="39">
        <f t="shared" si="36"/>
        <v>55</v>
      </c>
      <c r="L69" s="39"/>
      <c r="M69" s="40">
        <f t="shared" si="0"/>
        <v>0.19676717080686118</v>
      </c>
      <c r="N69" s="39"/>
      <c r="O69" s="72" t="str">
        <f t="shared" si="37"/>
        <v/>
      </c>
      <c r="P69" s="41" t="str">
        <f t="shared" si="1"/>
        <v/>
      </c>
      <c r="Q69" s="39"/>
      <c r="R69" s="72" t="str">
        <f t="shared" si="16"/>
        <v/>
      </c>
      <c r="S69" s="39"/>
      <c r="T69" s="72" t="str">
        <f t="shared" si="17"/>
        <v/>
      </c>
      <c r="U69" s="39"/>
      <c r="V69" s="72" t="str">
        <f t="shared" si="2"/>
        <v/>
      </c>
      <c r="W69" s="72" t="str">
        <f t="shared" si="18"/>
        <v/>
      </c>
      <c r="X69" s="39"/>
      <c r="Y69" s="72" t="str">
        <f t="shared" si="3"/>
        <v/>
      </c>
      <c r="Z69" s="72" t="str">
        <f t="shared" si="19"/>
        <v/>
      </c>
      <c r="AA69" s="39"/>
      <c r="AB69" s="72" t="str">
        <f t="shared" si="4"/>
        <v/>
      </c>
      <c r="AC69" s="72" t="str">
        <f t="shared" si="20"/>
        <v/>
      </c>
      <c r="AD69" s="39"/>
      <c r="AE69" s="72" t="str">
        <f t="shared" si="5"/>
        <v/>
      </c>
      <c r="AF69" s="72" t="str">
        <f t="shared" si="21"/>
        <v/>
      </c>
      <c r="AG69" s="39"/>
      <c r="AH69" s="72" t="str">
        <f t="shared" si="6"/>
        <v/>
      </c>
      <c r="AI69" s="72" t="str">
        <f t="shared" si="22"/>
        <v/>
      </c>
      <c r="AJ69" s="39"/>
      <c r="AK69" s="72" t="str">
        <f t="shared" si="7"/>
        <v/>
      </c>
      <c r="AL69" s="72" t="str">
        <f t="shared" si="23"/>
        <v/>
      </c>
      <c r="AM69" s="39"/>
      <c r="AN69" s="72" t="str">
        <f t="shared" si="8"/>
        <v/>
      </c>
      <c r="AO69" s="72" t="str">
        <f t="shared" si="24"/>
        <v/>
      </c>
      <c r="AP69" s="39"/>
      <c r="AQ69" s="72" t="str">
        <f t="shared" si="9"/>
        <v/>
      </c>
      <c r="AR69" s="72" t="str">
        <f t="shared" si="25"/>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10"/>
        <v/>
      </c>
      <c r="AW69" s="72" t="str">
        <f t="shared" si="26"/>
        <v/>
      </c>
      <c r="AX69" s="39"/>
      <c r="AY69" s="40" t="str">
        <f>IF(ISERROR(IF($K69&lt;=$F$15,VLOOKUP($I69,'表4）CO2価格'!$A$7:$E$67,VLOOKUP($F$48,'表4）CO2価格'!$H$10:$I$12,2,0),0)*$F$8/1000,"")),0,IF($K69&lt;=$F$15,VLOOKUP($I69,'表4）CO2価格'!$A$7:$E$67,VLOOKUP($F$48,'表4）CO2価格'!$H$10:$I$12,2,0),0)*$F$8/1000,""))</f>
        <v/>
      </c>
      <c r="AZ69" s="39"/>
      <c r="BA69" s="42" t="str">
        <f t="shared" si="11"/>
        <v/>
      </c>
      <c r="BB69" s="72" t="str">
        <f t="shared" si="27"/>
        <v/>
      </c>
      <c r="BC69" s="39"/>
      <c r="BD69" s="72" t="str">
        <f t="shared" si="12"/>
        <v/>
      </c>
      <c r="BE69" s="72" t="str">
        <f t="shared" si="28"/>
        <v/>
      </c>
      <c r="BF69" s="39"/>
      <c r="BG69" s="42" t="str">
        <f t="shared" si="13"/>
        <v/>
      </c>
      <c r="BH69" s="72" t="str">
        <f t="shared" si="29"/>
        <v/>
      </c>
      <c r="BI69" s="39"/>
      <c r="BJ69" s="40" t="str">
        <f t="shared" si="30"/>
        <v/>
      </c>
      <c r="BK69" s="157" t="str">
        <f t="shared" si="31"/>
        <v/>
      </c>
      <c r="BL69" s="157" t="str">
        <f t="shared" si="14"/>
        <v/>
      </c>
      <c r="BM69" s="72"/>
      <c r="BN69" s="72" t="str">
        <f t="shared" si="32"/>
        <v/>
      </c>
      <c r="BO69" s="72" t="str">
        <f t="shared" si="33"/>
        <v/>
      </c>
      <c r="BP69" s="39"/>
      <c r="BQ69" s="72" t="str">
        <f t="shared" si="15"/>
        <v/>
      </c>
      <c r="BR69" s="72" t="str">
        <f t="shared" si="34"/>
        <v/>
      </c>
    </row>
    <row r="70" spans="2:70" x14ac:dyDescent="0.15">
      <c r="C70" s="461" t="s">
        <v>135</v>
      </c>
      <c r="D70" s="9"/>
      <c r="E70" s="9"/>
      <c r="F70" s="94">
        <f ca="1">MAX(SUM($Z$117,$AF$117,$AI$117,$AL$117,$AO$117,$AR$117,$AW$117,$BB$117,$BE$117,$BH$117,$BO$116)/$BR$116+$F$105,SUBTOTAL(9,F74:F112))</f>
        <v>14.168640978797983</v>
      </c>
      <c r="G70" s="9" t="s">
        <v>132</v>
      </c>
      <c r="I70" s="459">
        <f t="shared" si="35"/>
        <v>2085</v>
      </c>
      <c r="K70" s="71">
        <f t="shared" si="36"/>
        <v>56</v>
      </c>
      <c r="M70" s="7">
        <f t="shared" si="0"/>
        <v>0.19103608816200118</v>
      </c>
      <c r="O70" s="10" t="str">
        <f t="shared" si="37"/>
        <v/>
      </c>
      <c r="P70" s="29" t="str">
        <f t="shared" si="1"/>
        <v/>
      </c>
      <c r="R70" s="10" t="str">
        <f t="shared" si="16"/>
        <v/>
      </c>
      <c r="T70" s="10" t="str">
        <f t="shared" si="17"/>
        <v/>
      </c>
      <c r="V70" s="10" t="str">
        <f t="shared" si="2"/>
        <v/>
      </c>
      <c r="W70" s="10" t="str">
        <f t="shared" si="18"/>
        <v/>
      </c>
      <c r="Y70" s="10" t="str">
        <f t="shared" si="3"/>
        <v/>
      </c>
      <c r="Z70" s="10" t="str">
        <f t="shared" si="19"/>
        <v/>
      </c>
      <c r="AB70" s="10" t="str">
        <f t="shared" si="4"/>
        <v/>
      </c>
      <c r="AC70" s="10" t="str">
        <f t="shared" si="20"/>
        <v/>
      </c>
      <c r="AE70" s="10" t="str">
        <f t="shared" si="5"/>
        <v/>
      </c>
      <c r="AF70" s="10" t="str">
        <f t="shared" si="21"/>
        <v/>
      </c>
      <c r="AH70" s="10" t="str">
        <f t="shared" si="6"/>
        <v/>
      </c>
      <c r="AI70" s="10" t="str">
        <f t="shared" si="22"/>
        <v/>
      </c>
      <c r="AK70" s="10" t="str">
        <f t="shared" si="7"/>
        <v/>
      </c>
      <c r="AL70" s="10" t="str">
        <f t="shared" si="23"/>
        <v/>
      </c>
      <c r="AN70" s="10" t="str">
        <f t="shared" si="8"/>
        <v/>
      </c>
      <c r="AO70" s="10" t="str">
        <f t="shared" si="24"/>
        <v/>
      </c>
      <c r="AQ70" s="10" t="str">
        <f t="shared" si="9"/>
        <v/>
      </c>
      <c r="AR70" s="10" t="str">
        <f t="shared" si="25"/>
        <v/>
      </c>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V70" s="10" t="str">
        <f t="shared" si="10"/>
        <v/>
      </c>
      <c r="AW70" s="10" t="str">
        <f t="shared" si="26"/>
        <v/>
      </c>
      <c r="AY70" s="7" t="str">
        <f>IF(ISERROR(IF($K70&lt;=$F$15,VLOOKUP($I70,'表4）CO2価格'!$A$7:$E$67,VLOOKUP($F$48,'表4）CO2価格'!$H$10:$I$12,2,0),0)*$F$8/1000,"")),0,IF($K70&lt;=$F$15,VLOOKUP($I70,'表4）CO2価格'!$A$7:$E$67,VLOOKUP($F$48,'表4）CO2価格'!$H$10:$I$12,2,0),0)*$F$8/1000,""))</f>
        <v/>
      </c>
      <c r="BA70" s="11" t="str">
        <f t="shared" si="11"/>
        <v/>
      </c>
      <c r="BB70" s="10" t="str">
        <f t="shared" si="27"/>
        <v/>
      </c>
      <c r="BD70" s="10" t="str">
        <f t="shared" si="12"/>
        <v/>
      </c>
      <c r="BE70" s="10" t="str">
        <f t="shared" si="28"/>
        <v/>
      </c>
      <c r="BG70" s="11" t="str">
        <f t="shared" si="13"/>
        <v/>
      </c>
      <c r="BH70" s="10" t="str">
        <f t="shared" si="29"/>
        <v/>
      </c>
      <c r="BJ70" s="7" t="str">
        <f t="shared" si="30"/>
        <v/>
      </c>
      <c r="BK70" s="158" t="str">
        <f t="shared" si="31"/>
        <v/>
      </c>
      <c r="BL70" s="158" t="str">
        <f t="shared" si="14"/>
        <v/>
      </c>
      <c r="BM70" s="10"/>
      <c r="BN70" s="10" t="str">
        <f t="shared" si="32"/>
        <v/>
      </c>
      <c r="BO70" s="10" t="str">
        <f t="shared" si="33"/>
        <v/>
      </c>
      <c r="BQ70" s="10" t="str">
        <f t="shared" si="15"/>
        <v/>
      </c>
      <c r="BR70" s="10" t="str">
        <f t="shared" si="34"/>
        <v/>
      </c>
    </row>
    <row r="71" spans="2:70" x14ac:dyDescent="0.15">
      <c r="F71" s="145"/>
      <c r="I71" s="458">
        <f t="shared" si="35"/>
        <v>2086</v>
      </c>
      <c r="J71" s="39"/>
      <c r="K71" s="39">
        <f t="shared" si="36"/>
        <v>57</v>
      </c>
      <c r="L71" s="39"/>
      <c r="M71" s="40">
        <f t="shared" si="0"/>
        <v>0.18547193025437006</v>
      </c>
      <c r="N71" s="39"/>
      <c r="O71" s="72" t="str">
        <f t="shared" si="37"/>
        <v/>
      </c>
      <c r="P71" s="41" t="str">
        <f t="shared" si="1"/>
        <v/>
      </c>
      <c r="Q71" s="39"/>
      <c r="R71" s="72" t="str">
        <f t="shared" si="16"/>
        <v/>
      </c>
      <c r="S71" s="39"/>
      <c r="T71" s="72" t="str">
        <f t="shared" si="17"/>
        <v/>
      </c>
      <c r="U71" s="39"/>
      <c r="V71" s="72" t="str">
        <f t="shared" si="2"/>
        <v/>
      </c>
      <c r="W71" s="72" t="str">
        <f t="shared" si="18"/>
        <v/>
      </c>
      <c r="X71" s="39"/>
      <c r="Y71" s="72" t="str">
        <f t="shared" si="3"/>
        <v/>
      </c>
      <c r="Z71" s="72" t="str">
        <f t="shared" si="19"/>
        <v/>
      </c>
      <c r="AA71" s="39"/>
      <c r="AB71" s="72" t="str">
        <f t="shared" si="4"/>
        <v/>
      </c>
      <c r="AC71" s="72" t="str">
        <f t="shared" si="20"/>
        <v/>
      </c>
      <c r="AD71" s="39"/>
      <c r="AE71" s="72" t="str">
        <f t="shared" si="5"/>
        <v/>
      </c>
      <c r="AF71" s="72" t="str">
        <f t="shared" si="21"/>
        <v/>
      </c>
      <c r="AG71" s="39"/>
      <c r="AH71" s="72" t="str">
        <f t="shared" si="6"/>
        <v/>
      </c>
      <c r="AI71" s="72" t="str">
        <f t="shared" si="22"/>
        <v/>
      </c>
      <c r="AJ71" s="39"/>
      <c r="AK71" s="72" t="str">
        <f t="shared" si="7"/>
        <v/>
      </c>
      <c r="AL71" s="72" t="str">
        <f t="shared" si="23"/>
        <v/>
      </c>
      <c r="AM71" s="39"/>
      <c r="AN71" s="72" t="str">
        <f t="shared" si="8"/>
        <v/>
      </c>
      <c r="AO71" s="72" t="str">
        <f t="shared" si="24"/>
        <v/>
      </c>
      <c r="AP71" s="39"/>
      <c r="AQ71" s="72" t="str">
        <f t="shared" si="9"/>
        <v/>
      </c>
      <c r="AR71" s="72" t="str">
        <f t="shared" si="25"/>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10"/>
        <v/>
      </c>
      <c r="AW71" s="72" t="str">
        <f t="shared" si="26"/>
        <v/>
      </c>
      <c r="AX71" s="39"/>
      <c r="AY71" s="40" t="str">
        <f>IF(ISERROR(IF($K71&lt;=$F$15,VLOOKUP($I71,'表4）CO2価格'!$A$7:$E$67,VLOOKUP($F$48,'表4）CO2価格'!$H$10:$I$12,2,0),0)*$F$8/1000,"")),0,IF($K71&lt;=$F$15,VLOOKUP($I71,'表4）CO2価格'!$A$7:$E$67,VLOOKUP($F$48,'表4）CO2価格'!$H$10:$I$12,2,0),0)*$F$8/1000,""))</f>
        <v/>
      </c>
      <c r="AZ71" s="39"/>
      <c r="BA71" s="42" t="str">
        <f t="shared" si="11"/>
        <v/>
      </c>
      <c r="BB71" s="72" t="str">
        <f t="shared" si="27"/>
        <v/>
      </c>
      <c r="BC71" s="39"/>
      <c r="BD71" s="72" t="str">
        <f t="shared" si="12"/>
        <v/>
      </c>
      <c r="BE71" s="72" t="str">
        <f t="shared" si="28"/>
        <v/>
      </c>
      <c r="BF71" s="39"/>
      <c r="BG71" s="42" t="str">
        <f t="shared" si="13"/>
        <v/>
      </c>
      <c r="BH71" s="72" t="str">
        <f t="shared" si="29"/>
        <v/>
      </c>
      <c r="BI71" s="39"/>
      <c r="BJ71" s="40" t="str">
        <f t="shared" si="30"/>
        <v/>
      </c>
      <c r="BK71" s="157" t="str">
        <f t="shared" si="31"/>
        <v/>
      </c>
      <c r="BL71" s="157" t="str">
        <f t="shared" si="14"/>
        <v/>
      </c>
      <c r="BM71" s="72"/>
      <c r="BN71" s="72" t="str">
        <f t="shared" si="32"/>
        <v/>
      </c>
      <c r="BO71" s="72" t="str">
        <f t="shared" si="33"/>
        <v/>
      </c>
      <c r="BP71" s="39"/>
      <c r="BQ71" s="72" t="str">
        <f t="shared" si="15"/>
        <v/>
      </c>
      <c r="BR71" s="72" t="str">
        <f t="shared" si="34"/>
        <v/>
      </c>
    </row>
    <row r="72" spans="2:70" x14ac:dyDescent="0.15">
      <c r="C72" s="89" t="s">
        <v>136</v>
      </c>
      <c r="D72" s="101"/>
      <c r="E72" s="101"/>
      <c r="F72" s="92"/>
      <c r="G72" s="101"/>
      <c r="I72" s="459">
        <f t="shared" si="35"/>
        <v>2087</v>
      </c>
      <c r="K72" s="71">
        <f t="shared" si="36"/>
        <v>58</v>
      </c>
      <c r="M72" s="7">
        <f t="shared" si="0"/>
        <v>0.18006983519841754</v>
      </c>
      <c r="O72" s="10" t="str">
        <f t="shared" si="37"/>
        <v/>
      </c>
      <c r="P72" s="29" t="str">
        <f t="shared" si="1"/>
        <v/>
      </c>
      <c r="R72" s="10" t="str">
        <f t="shared" si="16"/>
        <v/>
      </c>
      <c r="T72" s="10" t="str">
        <f t="shared" si="17"/>
        <v/>
      </c>
      <c r="V72" s="10" t="str">
        <f t="shared" si="2"/>
        <v/>
      </c>
      <c r="W72" s="10" t="str">
        <f t="shared" si="18"/>
        <v/>
      </c>
      <c r="Y72" s="10" t="str">
        <f t="shared" si="3"/>
        <v/>
      </c>
      <c r="Z72" s="10" t="str">
        <f t="shared" si="19"/>
        <v/>
      </c>
      <c r="AB72" s="10" t="str">
        <f t="shared" si="4"/>
        <v/>
      </c>
      <c r="AC72" s="10" t="str">
        <f t="shared" si="20"/>
        <v/>
      </c>
      <c r="AE72" s="10" t="str">
        <f t="shared" si="5"/>
        <v/>
      </c>
      <c r="AF72" s="10" t="str">
        <f t="shared" si="21"/>
        <v/>
      </c>
      <c r="AH72" s="10" t="str">
        <f t="shared" si="6"/>
        <v/>
      </c>
      <c r="AI72" s="10" t="str">
        <f t="shared" si="22"/>
        <v/>
      </c>
      <c r="AK72" s="10" t="str">
        <f t="shared" si="7"/>
        <v/>
      </c>
      <c r="AL72" s="10" t="str">
        <f t="shared" si="23"/>
        <v/>
      </c>
      <c r="AN72" s="10" t="str">
        <f t="shared" si="8"/>
        <v/>
      </c>
      <c r="AO72" s="10" t="str">
        <f t="shared" si="24"/>
        <v/>
      </c>
      <c r="AQ72" s="10" t="str">
        <f t="shared" si="9"/>
        <v/>
      </c>
      <c r="AR72" s="10" t="str">
        <f t="shared" si="25"/>
        <v/>
      </c>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V72" s="10" t="str">
        <f t="shared" si="10"/>
        <v/>
      </c>
      <c r="AW72" s="10" t="str">
        <f t="shared" si="26"/>
        <v/>
      </c>
      <c r="AY72" s="7" t="str">
        <f>IF(ISERROR(IF($K72&lt;=$F$15,VLOOKUP($I72,'表4）CO2価格'!$A$7:$E$67,VLOOKUP($F$48,'表4）CO2価格'!$H$10:$I$12,2,0),0)*$F$8/1000,"")),0,IF($K72&lt;=$F$15,VLOOKUP($I72,'表4）CO2価格'!$A$7:$E$67,VLOOKUP($F$48,'表4）CO2価格'!$H$10:$I$12,2,0),0)*$F$8/1000,""))</f>
        <v/>
      </c>
      <c r="BA72" s="11" t="str">
        <f t="shared" si="11"/>
        <v/>
      </c>
      <c r="BB72" s="10" t="str">
        <f t="shared" si="27"/>
        <v/>
      </c>
      <c r="BD72" s="10" t="str">
        <f t="shared" si="12"/>
        <v/>
      </c>
      <c r="BE72" s="10" t="str">
        <f t="shared" si="28"/>
        <v/>
      </c>
      <c r="BG72" s="11" t="str">
        <f t="shared" si="13"/>
        <v/>
      </c>
      <c r="BH72" s="10" t="str">
        <f t="shared" si="29"/>
        <v/>
      </c>
      <c r="BJ72" s="7" t="str">
        <f t="shared" si="30"/>
        <v/>
      </c>
      <c r="BK72" s="158" t="str">
        <f t="shared" si="31"/>
        <v/>
      </c>
      <c r="BL72" s="158" t="str">
        <f t="shared" si="14"/>
        <v/>
      </c>
      <c r="BM72" s="10"/>
      <c r="BN72" s="10" t="str">
        <f t="shared" si="32"/>
        <v/>
      </c>
      <c r="BO72" s="10" t="str">
        <f t="shared" si="33"/>
        <v/>
      </c>
      <c r="BQ72" s="10" t="str">
        <f t="shared" si="15"/>
        <v/>
      </c>
      <c r="BR72" s="10" t="str">
        <f t="shared" si="34"/>
        <v/>
      </c>
    </row>
    <row r="73" spans="2:70" x14ac:dyDescent="0.15">
      <c r="F73" s="93"/>
      <c r="I73" s="458">
        <f t="shared" si="35"/>
        <v>2088</v>
      </c>
      <c r="J73" s="39"/>
      <c r="K73" s="39">
        <f t="shared" si="36"/>
        <v>59</v>
      </c>
      <c r="L73" s="39"/>
      <c r="M73" s="40">
        <f t="shared" si="0"/>
        <v>0.17482508271691022</v>
      </c>
      <c r="N73" s="39"/>
      <c r="O73" s="72" t="str">
        <f t="shared" si="37"/>
        <v/>
      </c>
      <c r="P73" s="41" t="str">
        <f t="shared" si="1"/>
        <v/>
      </c>
      <c r="Q73" s="39"/>
      <c r="R73" s="72" t="str">
        <f t="shared" si="16"/>
        <v/>
      </c>
      <c r="S73" s="39"/>
      <c r="T73" s="72" t="str">
        <f t="shared" si="17"/>
        <v/>
      </c>
      <c r="U73" s="39"/>
      <c r="V73" s="72" t="str">
        <f t="shared" si="2"/>
        <v/>
      </c>
      <c r="W73" s="72" t="str">
        <f t="shared" si="18"/>
        <v/>
      </c>
      <c r="X73" s="39"/>
      <c r="Y73" s="72" t="str">
        <f t="shared" si="3"/>
        <v/>
      </c>
      <c r="Z73" s="72" t="str">
        <f t="shared" si="19"/>
        <v/>
      </c>
      <c r="AA73" s="39"/>
      <c r="AB73" s="72" t="str">
        <f t="shared" si="4"/>
        <v/>
      </c>
      <c r="AC73" s="72" t="str">
        <f t="shared" si="20"/>
        <v/>
      </c>
      <c r="AD73" s="39"/>
      <c r="AE73" s="72" t="str">
        <f t="shared" si="5"/>
        <v/>
      </c>
      <c r="AF73" s="72" t="str">
        <f t="shared" si="21"/>
        <v/>
      </c>
      <c r="AG73" s="39"/>
      <c r="AH73" s="72" t="str">
        <f t="shared" si="6"/>
        <v/>
      </c>
      <c r="AI73" s="72" t="str">
        <f t="shared" si="22"/>
        <v/>
      </c>
      <c r="AJ73" s="39"/>
      <c r="AK73" s="72" t="str">
        <f t="shared" si="7"/>
        <v/>
      </c>
      <c r="AL73" s="72" t="str">
        <f t="shared" si="23"/>
        <v/>
      </c>
      <c r="AM73" s="39"/>
      <c r="AN73" s="72" t="str">
        <f t="shared" si="8"/>
        <v/>
      </c>
      <c r="AO73" s="72" t="str">
        <f t="shared" si="24"/>
        <v/>
      </c>
      <c r="AP73" s="39"/>
      <c r="AQ73" s="72" t="str">
        <f t="shared" si="9"/>
        <v/>
      </c>
      <c r="AR73" s="72" t="str">
        <f t="shared" si="25"/>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10"/>
        <v/>
      </c>
      <c r="AW73" s="72" t="str">
        <f t="shared" si="26"/>
        <v/>
      </c>
      <c r="AX73" s="39"/>
      <c r="AY73" s="40" t="str">
        <f>IF(ISERROR(IF($K73&lt;=$F$15,VLOOKUP($I73,'表4）CO2価格'!$A$7:$E$67,VLOOKUP($F$48,'表4）CO2価格'!$H$10:$I$12,2,0),0)*$F$8/1000,"")),0,IF($K73&lt;=$F$15,VLOOKUP($I73,'表4）CO2価格'!$A$7:$E$67,VLOOKUP($F$48,'表4）CO2価格'!$H$10:$I$12,2,0),0)*$F$8/1000,""))</f>
        <v/>
      </c>
      <c r="AZ73" s="39"/>
      <c r="BA73" s="42" t="str">
        <f t="shared" si="11"/>
        <v/>
      </c>
      <c r="BB73" s="72" t="str">
        <f t="shared" si="27"/>
        <v/>
      </c>
      <c r="BC73" s="39"/>
      <c r="BD73" s="72" t="str">
        <f t="shared" si="12"/>
        <v/>
      </c>
      <c r="BE73" s="72" t="str">
        <f t="shared" si="28"/>
        <v/>
      </c>
      <c r="BF73" s="39"/>
      <c r="BG73" s="42" t="str">
        <f t="shared" si="13"/>
        <v/>
      </c>
      <c r="BH73" s="72" t="str">
        <f t="shared" si="29"/>
        <v/>
      </c>
      <c r="BI73" s="39"/>
      <c r="BJ73" s="40" t="str">
        <f t="shared" si="30"/>
        <v/>
      </c>
      <c r="BK73" s="157" t="str">
        <f t="shared" si="31"/>
        <v/>
      </c>
      <c r="BL73" s="157" t="str">
        <f t="shared" si="14"/>
        <v/>
      </c>
      <c r="BM73" s="72"/>
      <c r="BN73" s="72" t="str">
        <f t="shared" si="32"/>
        <v/>
      </c>
      <c r="BO73" s="72" t="str">
        <f t="shared" si="33"/>
        <v/>
      </c>
      <c r="BP73" s="39"/>
      <c r="BQ73" s="72" t="str">
        <f t="shared" si="15"/>
        <v/>
      </c>
      <c r="BR73" s="72" t="str">
        <f t="shared" si="34"/>
        <v/>
      </c>
    </row>
    <row r="74" spans="2:70" ht="15" x14ac:dyDescent="0.15">
      <c r="D74" s="116" t="s">
        <v>192</v>
      </c>
      <c r="F74" s="94">
        <f>SUBTOTAL(9,F78:F81)</f>
        <v>11.373900746938974</v>
      </c>
      <c r="G74" s="81" t="s">
        <v>132</v>
      </c>
      <c r="I74" s="459">
        <f t="shared" si="35"/>
        <v>2089</v>
      </c>
      <c r="K74" s="71">
        <f t="shared" si="36"/>
        <v>60</v>
      </c>
      <c r="M74" s="7">
        <f t="shared" si="0"/>
        <v>0.1697330900164177</v>
      </c>
      <c r="O74" s="10" t="str">
        <f t="shared" si="37"/>
        <v/>
      </c>
      <c r="P74" s="29" t="str">
        <f t="shared" si="1"/>
        <v/>
      </c>
      <c r="R74" s="10" t="str">
        <f t="shared" si="16"/>
        <v/>
      </c>
      <c r="T74" s="10" t="str">
        <f t="shared" si="17"/>
        <v/>
      </c>
      <c r="V74" s="10" t="str">
        <f t="shared" si="2"/>
        <v/>
      </c>
      <c r="W74" s="10" t="str">
        <f t="shared" si="18"/>
        <v/>
      </c>
      <c r="Y74" s="10" t="str">
        <f t="shared" si="3"/>
        <v/>
      </c>
      <c r="Z74" s="10" t="str">
        <f t="shared" si="19"/>
        <v/>
      </c>
      <c r="AB74" s="10" t="str">
        <f t="shared" si="4"/>
        <v/>
      </c>
      <c r="AC74" s="10" t="str">
        <f t="shared" si="20"/>
        <v/>
      </c>
      <c r="AE74" s="10" t="str">
        <f t="shared" si="5"/>
        <v/>
      </c>
      <c r="AF74" s="10" t="str">
        <f t="shared" si="21"/>
        <v/>
      </c>
      <c r="AH74" s="10" t="str">
        <f t="shared" si="6"/>
        <v/>
      </c>
      <c r="AI74" s="10" t="str">
        <f t="shared" si="22"/>
        <v/>
      </c>
      <c r="AK74" s="10" t="str">
        <f t="shared" si="7"/>
        <v/>
      </c>
      <c r="AL74" s="10" t="str">
        <f t="shared" si="23"/>
        <v/>
      </c>
      <c r="AN74" s="10" t="str">
        <f t="shared" si="8"/>
        <v/>
      </c>
      <c r="AO74" s="10" t="str">
        <f t="shared" si="24"/>
        <v/>
      </c>
      <c r="AQ74" s="10" t="str">
        <f t="shared" si="9"/>
        <v/>
      </c>
      <c r="AR74" s="10" t="str">
        <f t="shared" si="25"/>
        <v/>
      </c>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V74" s="10" t="str">
        <f t="shared" si="10"/>
        <v/>
      </c>
      <c r="AW74" s="10" t="str">
        <f t="shared" si="26"/>
        <v/>
      </c>
      <c r="AY74" s="7" t="str">
        <f>IF(ISERROR(IF($K74&lt;=$F$15,VLOOKUP($I74,'表4）CO2価格'!$A$7:$E$67,VLOOKUP($F$48,'表4）CO2価格'!$H$10:$I$12,2,0),0)*$F$8/1000,"")),0,IF($K74&lt;=$F$15,VLOOKUP($I74,'表4）CO2価格'!$A$7:$E$67,VLOOKUP($F$48,'表4）CO2価格'!$H$10:$I$12,2,0),0)*$F$8/1000,""))</f>
        <v/>
      </c>
      <c r="BA74" s="11" t="str">
        <f t="shared" si="11"/>
        <v/>
      </c>
      <c r="BB74" s="10" t="str">
        <f t="shared" si="27"/>
        <v/>
      </c>
      <c r="BD74" s="10" t="str">
        <f t="shared" si="12"/>
        <v/>
      </c>
      <c r="BE74" s="10" t="str">
        <f t="shared" si="28"/>
        <v/>
      </c>
      <c r="BG74" s="11" t="str">
        <f t="shared" si="13"/>
        <v/>
      </c>
      <c r="BH74" s="10" t="str">
        <f t="shared" si="29"/>
        <v/>
      </c>
      <c r="BJ74" s="7" t="str">
        <f t="shared" si="30"/>
        <v/>
      </c>
      <c r="BK74" s="158" t="str">
        <f t="shared" si="31"/>
        <v/>
      </c>
      <c r="BL74" s="158" t="str">
        <f t="shared" si="14"/>
        <v/>
      </c>
      <c r="BM74" s="10"/>
      <c r="BN74" s="10" t="str">
        <f t="shared" si="32"/>
        <v/>
      </c>
      <c r="BO74" s="10" t="str">
        <f t="shared" si="33"/>
        <v/>
      </c>
      <c r="BQ74" s="10" t="str">
        <f t="shared" si="15"/>
        <v/>
      </c>
      <c r="BR74" s="10" t="str">
        <f t="shared" si="34"/>
        <v/>
      </c>
    </row>
    <row r="75" spans="2:70" x14ac:dyDescent="0.15">
      <c r="F75" s="145"/>
      <c r="I75" s="458">
        <f t="shared" si="35"/>
        <v>2090</v>
      </c>
      <c r="J75" s="39"/>
      <c r="K75" s="39">
        <f t="shared" si="36"/>
        <v>61</v>
      </c>
      <c r="L75" s="39"/>
      <c r="M75" s="40">
        <f t="shared" si="0"/>
        <v>0.16478940778292983</v>
      </c>
      <c r="N75" s="39"/>
      <c r="O75" s="72" t="str">
        <f t="shared" si="37"/>
        <v/>
      </c>
      <c r="P75" s="41" t="str">
        <f t="shared" si="1"/>
        <v/>
      </c>
      <c r="Q75" s="39"/>
      <c r="R75" s="72" t="str">
        <f t="shared" si="16"/>
        <v/>
      </c>
      <c r="S75" s="39"/>
      <c r="T75" s="72" t="str">
        <f t="shared" si="17"/>
        <v/>
      </c>
      <c r="U75" s="39"/>
      <c r="V75" s="72" t="str">
        <f t="shared" si="2"/>
        <v/>
      </c>
      <c r="W75" s="72" t="str">
        <f t="shared" si="18"/>
        <v/>
      </c>
      <c r="X75" s="39"/>
      <c r="Y75" s="72" t="str">
        <f t="shared" si="3"/>
        <v/>
      </c>
      <c r="Z75" s="72" t="str">
        <f t="shared" si="19"/>
        <v/>
      </c>
      <c r="AA75" s="39"/>
      <c r="AB75" s="72" t="str">
        <f t="shared" si="4"/>
        <v/>
      </c>
      <c r="AC75" s="72" t="str">
        <f t="shared" si="20"/>
        <v/>
      </c>
      <c r="AD75" s="39"/>
      <c r="AE75" s="72" t="str">
        <f t="shared" si="5"/>
        <v/>
      </c>
      <c r="AF75" s="72" t="str">
        <f t="shared" si="21"/>
        <v/>
      </c>
      <c r="AG75" s="39"/>
      <c r="AH75" s="72" t="str">
        <f t="shared" si="6"/>
        <v/>
      </c>
      <c r="AI75" s="72" t="str">
        <f t="shared" si="22"/>
        <v/>
      </c>
      <c r="AJ75" s="39"/>
      <c r="AK75" s="72" t="str">
        <f t="shared" si="7"/>
        <v/>
      </c>
      <c r="AL75" s="72" t="str">
        <f t="shared" si="23"/>
        <v/>
      </c>
      <c r="AM75" s="39"/>
      <c r="AN75" s="72" t="str">
        <f t="shared" si="8"/>
        <v/>
      </c>
      <c r="AO75" s="72" t="str">
        <f t="shared" si="24"/>
        <v/>
      </c>
      <c r="AP75" s="39"/>
      <c r="AQ75" s="72" t="str">
        <f t="shared" si="9"/>
        <v/>
      </c>
      <c r="AR75" s="72" t="str">
        <f t="shared" si="25"/>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10"/>
        <v/>
      </c>
      <c r="AW75" s="72" t="str">
        <f t="shared" si="26"/>
        <v/>
      </c>
      <c r="AX75" s="39"/>
      <c r="AY75" s="40" t="str">
        <f>IF(ISERROR(IF($K75&lt;=$F$15,VLOOKUP($I75,'表4）CO2価格'!$A$7:$E$67,VLOOKUP($F$48,'表4）CO2価格'!$H$10:$I$12,2,0),0)*$F$8/1000,"")),0,IF($K75&lt;=$F$15,VLOOKUP($I75,'表4）CO2価格'!$A$7:$E$67,VLOOKUP($F$48,'表4）CO2価格'!$H$10:$I$12,2,0),0)*$F$8/1000,""))</f>
        <v/>
      </c>
      <c r="AZ75" s="39"/>
      <c r="BA75" s="42" t="str">
        <f t="shared" si="11"/>
        <v/>
      </c>
      <c r="BB75" s="72" t="str">
        <f t="shared" si="27"/>
        <v/>
      </c>
      <c r="BC75" s="39"/>
      <c r="BD75" s="72" t="str">
        <f t="shared" si="12"/>
        <v/>
      </c>
      <c r="BE75" s="72" t="str">
        <f t="shared" si="28"/>
        <v/>
      </c>
      <c r="BF75" s="39"/>
      <c r="BG75" s="42" t="str">
        <f t="shared" si="13"/>
        <v/>
      </c>
      <c r="BH75" s="72" t="str">
        <f t="shared" si="29"/>
        <v/>
      </c>
      <c r="BI75" s="39"/>
      <c r="BJ75" s="40" t="str">
        <f t="shared" si="30"/>
        <v/>
      </c>
      <c r="BK75" s="157" t="str">
        <f t="shared" si="31"/>
        <v/>
      </c>
      <c r="BL75" s="157" t="str">
        <f t="shared" si="14"/>
        <v/>
      </c>
      <c r="BM75" s="72"/>
      <c r="BN75" s="72" t="str">
        <f t="shared" si="32"/>
        <v/>
      </c>
      <c r="BO75" s="72" t="str">
        <f t="shared" si="33"/>
        <v/>
      </c>
      <c r="BP75" s="39"/>
      <c r="BQ75" s="72" t="str">
        <f t="shared" si="15"/>
        <v/>
      </c>
      <c r="BR75" s="72" t="str">
        <f t="shared" si="34"/>
        <v/>
      </c>
    </row>
    <row r="76" spans="2:70" x14ac:dyDescent="0.15">
      <c r="D76" s="101" t="s">
        <v>193</v>
      </c>
      <c r="E76" s="101"/>
      <c r="F76" s="92"/>
      <c r="G76" s="101"/>
      <c r="I76" s="459">
        <f t="shared" si="35"/>
        <v>2091</v>
      </c>
      <c r="K76" s="71">
        <f t="shared" si="36"/>
        <v>62</v>
      </c>
      <c r="M76" s="7">
        <f t="shared" si="0"/>
        <v>0.15998971629410663</v>
      </c>
      <c r="O76" s="10" t="str">
        <f t="shared" si="37"/>
        <v/>
      </c>
      <c r="P76" s="29" t="str">
        <f t="shared" si="1"/>
        <v/>
      </c>
      <c r="R76" s="10" t="str">
        <f t="shared" si="16"/>
        <v/>
      </c>
      <c r="T76" s="10" t="str">
        <f t="shared" si="17"/>
        <v/>
      </c>
      <c r="V76" s="10" t="str">
        <f t="shared" si="2"/>
        <v/>
      </c>
      <c r="W76" s="10" t="str">
        <f t="shared" si="18"/>
        <v/>
      </c>
      <c r="Y76" s="10" t="str">
        <f t="shared" si="3"/>
        <v/>
      </c>
      <c r="Z76" s="10" t="str">
        <f t="shared" si="19"/>
        <v/>
      </c>
      <c r="AB76" s="10" t="str">
        <f t="shared" si="4"/>
        <v/>
      </c>
      <c r="AC76" s="10" t="str">
        <f t="shared" si="20"/>
        <v/>
      </c>
      <c r="AE76" s="10" t="str">
        <f t="shared" si="5"/>
        <v/>
      </c>
      <c r="AF76" s="10" t="str">
        <f t="shared" si="21"/>
        <v/>
      </c>
      <c r="AH76" s="10" t="str">
        <f t="shared" si="6"/>
        <v/>
      </c>
      <c r="AI76" s="10" t="str">
        <f t="shared" si="22"/>
        <v/>
      </c>
      <c r="AK76" s="10" t="str">
        <f t="shared" si="7"/>
        <v/>
      </c>
      <c r="AL76" s="10" t="str">
        <f t="shared" si="23"/>
        <v/>
      </c>
      <c r="AN76" s="10" t="str">
        <f t="shared" si="8"/>
        <v/>
      </c>
      <c r="AO76" s="10" t="str">
        <f t="shared" si="24"/>
        <v/>
      </c>
      <c r="AQ76" s="10" t="str">
        <f t="shared" si="9"/>
        <v/>
      </c>
      <c r="AR76" s="10" t="str">
        <f t="shared" si="25"/>
        <v/>
      </c>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V76" s="10" t="str">
        <f t="shared" si="10"/>
        <v/>
      </c>
      <c r="AW76" s="10" t="str">
        <f t="shared" si="26"/>
        <v/>
      </c>
      <c r="AY76" s="7" t="str">
        <f>IF(ISERROR(IF($K76&lt;=$F$15,VLOOKUP($I76,'表4）CO2価格'!$A$7:$E$67,VLOOKUP($F$48,'表4）CO2価格'!$H$10:$I$12,2,0),0)*$F$8/1000,"")),0,IF($K76&lt;=$F$15,VLOOKUP($I76,'表4）CO2価格'!$A$7:$E$67,VLOOKUP($F$48,'表4）CO2価格'!$H$10:$I$12,2,0),0)*$F$8/1000,""))</f>
        <v/>
      </c>
      <c r="BA76" s="11" t="str">
        <f t="shared" si="11"/>
        <v/>
      </c>
      <c r="BB76" s="10" t="str">
        <f t="shared" si="27"/>
        <v/>
      </c>
      <c r="BD76" s="10" t="str">
        <f t="shared" si="12"/>
        <v/>
      </c>
      <c r="BE76" s="10" t="str">
        <f t="shared" si="28"/>
        <v/>
      </c>
      <c r="BG76" s="11" t="str">
        <f t="shared" si="13"/>
        <v/>
      </c>
      <c r="BH76" s="10" t="str">
        <f t="shared" si="29"/>
        <v/>
      </c>
      <c r="BJ76" s="7" t="str">
        <f t="shared" si="30"/>
        <v/>
      </c>
      <c r="BK76" s="158" t="str">
        <f t="shared" si="31"/>
        <v/>
      </c>
      <c r="BL76" s="158" t="str">
        <f t="shared" si="14"/>
        <v/>
      </c>
      <c r="BM76" s="10"/>
      <c r="BN76" s="10" t="str">
        <f t="shared" si="32"/>
        <v/>
      </c>
      <c r="BO76" s="10" t="str">
        <f t="shared" si="33"/>
        <v/>
      </c>
      <c r="BQ76" s="10" t="str">
        <f t="shared" si="15"/>
        <v/>
      </c>
      <c r="BR76" s="10" t="str">
        <f t="shared" si="34"/>
        <v/>
      </c>
    </row>
    <row r="77" spans="2:70" x14ac:dyDescent="0.15">
      <c r="F77" s="93"/>
      <c r="I77" s="458">
        <f t="shared" si="35"/>
        <v>2092</v>
      </c>
      <c r="J77" s="39"/>
      <c r="K77" s="39">
        <f t="shared" si="36"/>
        <v>63</v>
      </c>
      <c r="L77" s="39"/>
      <c r="M77" s="40">
        <f t="shared" si="0"/>
        <v>0.15532982164476369</v>
      </c>
      <c r="N77" s="39"/>
      <c r="O77" s="72" t="str">
        <f t="shared" si="37"/>
        <v/>
      </c>
      <c r="P77" s="41" t="str">
        <f t="shared" si="1"/>
        <v/>
      </c>
      <c r="Q77" s="39"/>
      <c r="R77" s="72" t="str">
        <f t="shared" si="16"/>
        <v/>
      </c>
      <c r="S77" s="39"/>
      <c r="T77" s="72" t="str">
        <f t="shared" si="17"/>
        <v/>
      </c>
      <c r="U77" s="39"/>
      <c r="V77" s="72" t="str">
        <f t="shared" si="2"/>
        <v/>
      </c>
      <c r="W77" s="72" t="str">
        <f t="shared" si="18"/>
        <v/>
      </c>
      <c r="X77" s="39"/>
      <c r="Y77" s="72" t="str">
        <f t="shared" si="3"/>
        <v/>
      </c>
      <c r="Z77" s="72" t="str">
        <f t="shared" si="19"/>
        <v/>
      </c>
      <c r="AA77" s="39"/>
      <c r="AB77" s="72" t="str">
        <f t="shared" si="4"/>
        <v/>
      </c>
      <c r="AC77" s="72" t="str">
        <f t="shared" si="20"/>
        <v/>
      </c>
      <c r="AD77" s="39"/>
      <c r="AE77" s="72" t="str">
        <f t="shared" si="5"/>
        <v/>
      </c>
      <c r="AF77" s="72" t="str">
        <f t="shared" si="21"/>
        <v/>
      </c>
      <c r="AG77" s="39"/>
      <c r="AH77" s="72" t="str">
        <f t="shared" si="6"/>
        <v/>
      </c>
      <c r="AI77" s="72" t="str">
        <f t="shared" si="22"/>
        <v/>
      </c>
      <c r="AJ77" s="39"/>
      <c r="AK77" s="72" t="str">
        <f t="shared" si="7"/>
        <v/>
      </c>
      <c r="AL77" s="72" t="str">
        <f t="shared" si="23"/>
        <v/>
      </c>
      <c r="AM77" s="39"/>
      <c r="AN77" s="72" t="str">
        <f t="shared" si="8"/>
        <v/>
      </c>
      <c r="AO77" s="72" t="str">
        <f t="shared" si="24"/>
        <v/>
      </c>
      <c r="AP77" s="39"/>
      <c r="AQ77" s="72" t="str">
        <f t="shared" si="9"/>
        <v/>
      </c>
      <c r="AR77" s="72" t="str">
        <f t="shared" si="25"/>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10"/>
        <v/>
      </c>
      <c r="AW77" s="72" t="str">
        <f t="shared" si="26"/>
        <v/>
      </c>
      <c r="AX77" s="39"/>
      <c r="AY77" s="40" t="str">
        <f>IF(ISERROR(IF($K77&lt;=$F$15,VLOOKUP($I77,'表4）CO2価格'!$A$7:$E$67,VLOOKUP($F$48,'表4）CO2価格'!$H$10:$I$12,2,0),0)*$F$8/1000,"")),0,IF($K77&lt;=$F$15,VLOOKUP($I77,'表4）CO2価格'!$A$7:$E$67,VLOOKUP($F$48,'表4）CO2価格'!$H$10:$I$12,2,0),0)*$F$8/1000,""))</f>
        <v/>
      </c>
      <c r="AZ77" s="39"/>
      <c r="BA77" s="42" t="str">
        <f t="shared" si="11"/>
        <v/>
      </c>
      <c r="BB77" s="72" t="str">
        <f t="shared" si="27"/>
        <v/>
      </c>
      <c r="BC77" s="39"/>
      <c r="BD77" s="72" t="str">
        <f t="shared" si="12"/>
        <v/>
      </c>
      <c r="BE77" s="72" t="str">
        <f t="shared" si="28"/>
        <v/>
      </c>
      <c r="BF77" s="39"/>
      <c r="BG77" s="42" t="str">
        <f t="shared" si="13"/>
        <v/>
      </c>
      <c r="BH77" s="72" t="str">
        <f t="shared" si="29"/>
        <v/>
      </c>
      <c r="BI77" s="39"/>
      <c r="BJ77" s="40" t="str">
        <f t="shared" si="30"/>
        <v/>
      </c>
      <c r="BK77" s="157" t="str">
        <f t="shared" si="31"/>
        <v/>
      </c>
      <c r="BL77" s="157" t="str">
        <f t="shared" si="14"/>
        <v/>
      </c>
      <c r="BM77" s="72"/>
      <c r="BN77" s="72" t="str">
        <f t="shared" si="32"/>
        <v/>
      </c>
      <c r="BO77" s="72" t="str">
        <f t="shared" si="33"/>
        <v/>
      </c>
      <c r="BP77" s="39"/>
      <c r="BQ77" s="72" t="str">
        <f t="shared" si="15"/>
        <v/>
      </c>
      <c r="BR77" s="72" t="str">
        <f t="shared" si="34"/>
        <v/>
      </c>
    </row>
    <row r="78" spans="2:70" x14ac:dyDescent="0.15">
      <c r="E78" s="74" t="s">
        <v>138</v>
      </c>
      <c r="F78" s="91">
        <f>R15/$BR$116</f>
        <v>11.116175156472025</v>
      </c>
      <c r="G78" s="81" t="s">
        <v>132</v>
      </c>
      <c r="I78" s="459">
        <f t="shared" si="35"/>
        <v>2093</v>
      </c>
      <c r="K78" s="71">
        <f t="shared" si="36"/>
        <v>64</v>
      </c>
      <c r="M78" s="7">
        <f t="shared" si="0"/>
        <v>0.15080565208229488</v>
      </c>
      <c r="O78" s="10" t="str">
        <f t="shared" si="37"/>
        <v/>
      </c>
      <c r="P78" s="29" t="str">
        <f t="shared" si="1"/>
        <v/>
      </c>
      <c r="R78" s="10" t="str">
        <f t="shared" si="16"/>
        <v/>
      </c>
      <c r="T78" s="10" t="str">
        <f t="shared" si="17"/>
        <v/>
      </c>
      <c r="V78" s="10" t="str">
        <f t="shared" si="2"/>
        <v/>
      </c>
      <c r="W78" s="10" t="str">
        <f t="shared" si="18"/>
        <v/>
      </c>
      <c r="Y78" s="10" t="str">
        <f t="shared" si="3"/>
        <v/>
      </c>
      <c r="Z78" s="10" t="str">
        <f t="shared" si="19"/>
        <v/>
      </c>
      <c r="AB78" s="10" t="str">
        <f t="shared" si="4"/>
        <v/>
      </c>
      <c r="AC78" s="10" t="str">
        <f t="shared" si="20"/>
        <v/>
      </c>
      <c r="AE78" s="10" t="str">
        <f t="shared" si="5"/>
        <v/>
      </c>
      <c r="AF78" s="10" t="str">
        <f t="shared" si="21"/>
        <v/>
      </c>
      <c r="AH78" s="10" t="str">
        <f t="shared" si="6"/>
        <v/>
      </c>
      <c r="AI78" s="10" t="str">
        <f t="shared" si="22"/>
        <v/>
      </c>
      <c r="AK78" s="10" t="str">
        <f t="shared" si="7"/>
        <v/>
      </c>
      <c r="AL78" s="10" t="str">
        <f t="shared" si="23"/>
        <v/>
      </c>
      <c r="AN78" s="10" t="str">
        <f t="shared" si="8"/>
        <v/>
      </c>
      <c r="AO78" s="10" t="str">
        <f t="shared" si="24"/>
        <v/>
      </c>
      <c r="AQ78" s="10" t="str">
        <f t="shared" si="9"/>
        <v/>
      </c>
      <c r="AR78" s="10" t="str">
        <f t="shared" si="25"/>
        <v/>
      </c>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V78" s="10" t="str">
        <f t="shared" si="10"/>
        <v/>
      </c>
      <c r="AW78" s="10" t="str">
        <f t="shared" si="26"/>
        <v/>
      </c>
      <c r="AY78" s="7" t="str">
        <f>IF(ISERROR(IF($K78&lt;=$F$15,VLOOKUP($I78,'表4）CO2価格'!$A$7:$E$67,VLOOKUP($F$48,'表4）CO2価格'!$H$10:$I$12,2,0),0)*$F$8/1000,"")),0,IF($K78&lt;=$F$15,VLOOKUP($I78,'表4）CO2価格'!$A$7:$E$67,VLOOKUP($F$48,'表4）CO2価格'!$H$10:$I$12,2,0),0)*$F$8/1000,""))</f>
        <v/>
      </c>
      <c r="BA78" s="11" t="str">
        <f t="shared" si="11"/>
        <v/>
      </c>
      <c r="BB78" s="10" t="str">
        <f t="shared" si="27"/>
        <v/>
      </c>
      <c r="BD78" s="10" t="str">
        <f t="shared" si="12"/>
        <v/>
      </c>
      <c r="BE78" s="10" t="str">
        <f t="shared" si="28"/>
        <v/>
      </c>
      <c r="BG78" s="11" t="str">
        <f t="shared" si="13"/>
        <v/>
      </c>
      <c r="BH78" s="10" t="str">
        <f t="shared" si="29"/>
        <v/>
      </c>
      <c r="BJ78" s="7" t="str">
        <f t="shared" si="30"/>
        <v/>
      </c>
      <c r="BK78" s="158" t="str">
        <f t="shared" si="31"/>
        <v/>
      </c>
      <c r="BL78" s="158" t="str">
        <f t="shared" si="14"/>
        <v/>
      </c>
      <c r="BM78" s="10"/>
      <c r="BN78" s="10" t="str">
        <f t="shared" si="32"/>
        <v/>
      </c>
      <c r="BO78" s="10" t="str">
        <f t="shared" si="33"/>
        <v/>
      </c>
      <c r="BQ78" s="10" t="str">
        <f t="shared" si="15"/>
        <v/>
      </c>
      <c r="BR78" s="10" t="str">
        <f t="shared" si="34"/>
        <v/>
      </c>
    </row>
    <row r="79" spans="2:70" x14ac:dyDescent="0.15">
      <c r="E79" s="81" t="s">
        <v>139</v>
      </c>
      <c r="F79" s="91">
        <f>Z116/$BR$116</f>
        <v>0</v>
      </c>
      <c r="G79" s="81" t="s">
        <v>132</v>
      </c>
      <c r="I79" s="458">
        <f t="shared" si="35"/>
        <v>2094</v>
      </c>
      <c r="J79" s="39"/>
      <c r="K79" s="39">
        <f t="shared" si="36"/>
        <v>65</v>
      </c>
      <c r="L79" s="39"/>
      <c r="M79" s="40">
        <f t="shared" ref="M79:M114" si="38">1/(1+($F$9/100))^K79</f>
        <v>0.14641325444882999</v>
      </c>
      <c r="N79" s="39"/>
      <c r="O79" s="72" t="str">
        <f t="shared" si="37"/>
        <v/>
      </c>
      <c r="P79" s="41" t="str">
        <f t="shared" ref="P79:P110" si="39">IF(K79&lt;=$F$15,IF(OR(P78=$F$124,P78="-"),"-",IF(O79*$F$123&gt;$F$127,$F$123,$F$124)),"")</f>
        <v/>
      </c>
      <c r="Q79" s="39"/>
      <c r="R79" s="72" t="str">
        <f t="shared" si="16"/>
        <v/>
      </c>
      <c r="S79" s="39"/>
      <c r="T79" s="72" t="str">
        <f t="shared" si="17"/>
        <v/>
      </c>
      <c r="U79" s="39"/>
      <c r="V79" s="72" t="str">
        <f t="shared" ref="V79:V114" si="40">IF(K79&lt;=$F$15,IF(K79&lt;$F$119,IF(P79="-",V78,O79*P79),IF(K79=$F$119,MIN(IF(P79="-",V78,O79*P79),O79),0)),"")</f>
        <v/>
      </c>
      <c r="W79" s="72" t="str">
        <f t="shared" si="18"/>
        <v/>
      </c>
      <c r="X79" s="39"/>
      <c r="Y79" s="72" t="str">
        <f t="shared" ref="Y79:Y114" si="41">IF($K79&lt;=$F$15,ROUNDDOWN(T79*$F$25/100,-2),"")</f>
        <v/>
      </c>
      <c r="Z79" s="72" t="str">
        <f t="shared" si="19"/>
        <v/>
      </c>
      <c r="AA79" s="39"/>
      <c r="AB79" s="72" t="str">
        <f t="shared" ref="AB79:AB114" si="42">IF($K79&lt;=$F$15,0,IF(AND($K79&gt;$F$15,$K79&lt;=$F$15+$F$28),$F$27*10^8/$F$28,""))</f>
        <v/>
      </c>
      <c r="AC79" s="72" t="str">
        <f t="shared" si="20"/>
        <v/>
      </c>
      <c r="AD79" s="39"/>
      <c r="AE79" s="72" t="str">
        <f t="shared" ref="AE79:AE114" si="43">IF($K79&lt;=$F$15,$F$26,"")</f>
        <v/>
      </c>
      <c r="AF79" s="72" t="str">
        <f t="shared" si="21"/>
        <v/>
      </c>
      <c r="AG79" s="39"/>
      <c r="AH79" s="72" t="str">
        <f t="shared" ref="AH79:AH114" si="44">IF($K79&lt;=$F$15,$F$33*10^4*$F$13*10^4,"")</f>
        <v/>
      </c>
      <c r="AI79" s="72" t="str">
        <f t="shared" si="22"/>
        <v/>
      </c>
      <c r="AJ79" s="39"/>
      <c r="AK79" s="72" t="str">
        <f t="shared" ref="AK79:AK114" si="45">IF($K79&lt;=$F$15,$F$117*$F$34/100,"")</f>
        <v/>
      </c>
      <c r="AL79" s="72" t="str">
        <f t="shared" si="23"/>
        <v/>
      </c>
      <c r="AM79" s="39"/>
      <c r="AN79" s="72" t="str">
        <f t="shared" ref="AN79:AN114" si="46">IF($K79&lt;=$F$15,$F$117*$F$35/100,"")</f>
        <v/>
      </c>
      <c r="AO79" s="72" t="str">
        <f t="shared" si="24"/>
        <v/>
      </c>
      <c r="AP79" s="39"/>
      <c r="AQ79" s="72" t="str">
        <f t="shared" ref="AQ79:AQ114" si="47">IF($K79&lt;=$F$15,SUM(AH79,AK79,AN79)*($F$36/100),"")</f>
        <v/>
      </c>
      <c r="AR79" s="72" t="str">
        <f t="shared" si="25"/>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48">IF($K79&lt;=$F$15,($AT79+$F$142)*$F$137,"")</f>
        <v/>
      </c>
      <c r="AW79" s="72" t="str">
        <f t="shared" si="26"/>
        <v/>
      </c>
      <c r="AX79" s="39"/>
      <c r="AY79" s="40" t="str">
        <f>IF(ISERROR(IF($K79&lt;=$F$15,VLOOKUP($I79,'表4）CO2価格'!$A$7:$E$67,VLOOKUP($F$48,'表4）CO2価格'!$H$10:$I$12,2,0),0)*$F$8/1000,"")),0,IF($K79&lt;=$F$15,VLOOKUP($I79,'表4）CO2価格'!$A$7:$E$67,VLOOKUP($F$48,'表4）CO2価格'!$H$10:$I$12,2,0),0)*$F$8/1000,""))</f>
        <v/>
      </c>
      <c r="AZ79" s="39"/>
      <c r="BA79" s="42" t="str">
        <f t="shared" ref="BA79:BA114" si="49">IF($K79&lt;=$F$15,$F$145*AY79,"")</f>
        <v/>
      </c>
      <c r="BB79" s="72" t="str">
        <f t="shared" si="27"/>
        <v/>
      </c>
      <c r="BC79" s="39"/>
      <c r="BD79" s="72" t="str">
        <f t="shared" ref="BD79:BD114" si="50">IF($K79&lt;=$F$15,($AT79+$F$152)*$F$151,"")</f>
        <v/>
      </c>
      <c r="BE79" s="72" t="str">
        <f t="shared" si="28"/>
        <v/>
      </c>
      <c r="BF79" s="39"/>
      <c r="BG79" s="42" t="str">
        <f t="shared" ref="BG79:BG114" si="51">IF($K79&lt;=$F$15,$F$153*AY79,"")</f>
        <v/>
      </c>
      <c r="BH79" s="72" t="str">
        <f t="shared" si="29"/>
        <v/>
      </c>
      <c r="BI79" s="39"/>
      <c r="BJ79" s="40" t="str">
        <f t="shared" si="30"/>
        <v/>
      </c>
      <c r="BK79" s="157" t="str">
        <f t="shared" si="31"/>
        <v/>
      </c>
      <c r="BL79" s="157" t="str">
        <f t="shared" ref="BL79:BL114" si="52">IF(AND(ISNUMBER(BJ79),$K79&lt;=$F$16),BQ79*BJ79,"")</f>
        <v/>
      </c>
      <c r="BM79" s="72"/>
      <c r="BN79" s="72" t="str">
        <f t="shared" si="32"/>
        <v/>
      </c>
      <c r="BO79" s="72" t="str">
        <f t="shared" si="33"/>
        <v/>
      </c>
      <c r="BP79" s="39"/>
      <c r="BQ79" s="72" t="str">
        <f t="shared" ref="BQ79:BQ114" si="53">IF($K79&lt;=$F$15,$F$134,"")</f>
        <v/>
      </c>
      <c r="BR79" s="72" t="str">
        <f t="shared" si="34"/>
        <v/>
      </c>
    </row>
    <row r="80" spans="2:70" x14ac:dyDescent="0.15">
      <c r="E80" s="81" t="s">
        <v>115</v>
      </c>
      <c r="F80" s="91">
        <f>AF116/$BR$116</f>
        <v>0</v>
      </c>
      <c r="G80" s="81" t="s">
        <v>132</v>
      </c>
      <c r="I80" s="459">
        <f t="shared" si="35"/>
        <v>2095</v>
      </c>
      <c r="K80" s="71">
        <f t="shared" si="36"/>
        <v>66</v>
      </c>
      <c r="M80" s="7">
        <f t="shared" si="38"/>
        <v>0.14214879072701941</v>
      </c>
      <c r="O80" s="10" t="str">
        <f t="shared" si="37"/>
        <v/>
      </c>
      <c r="P80" s="29" t="str">
        <f t="shared" si="39"/>
        <v/>
      </c>
      <c r="R80" s="10" t="str">
        <f t="shared" ref="R80:R114" si="54">IF($K80&lt;=$F$15,MAX($F$117*5%,R79*$F$129),"")</f>
        <v/>
      </c>
      <c r="T80" s="10" t="str">
        <f t="shared" ref="T80:T114" si="55">IF(ISNUMBER(R80),ROUNDDOWN(R80,-3),"")</f>
        <v/>
      </c>
      <c r="V80" s="10" t="str">
        <f t="shared" si="40"/>
        <v/>
      </c>
      <c r="W80" s="10" t="str">
        <f t="shared" ref="W80:W114" si="56">IF(ISNUMBER(V80),V80*$M80,"")</f>
        <v/>
      </c>
      <c r="Y80" s="10" t="str">
        <f t="shared" si="41"/>
        <v/>
      </c>
      <c r="Z80" s="10" t="str">
        <f t="shared" ref="Z80:Z114" si="57">IF(ISNUMBER(Y80),Y80*$M80,"")</f>
        <v/>
      </c>
      <c r="AB80" s="10" t="str">
        <f t="shared" si="42"/>
        <v/>
      </c>
      <c r="AC80" s="10" t="str">
        <f t="shared" ref="AC80:AC114" si="58">IF(ISNUMBER(AB80),AB80*$M80,"")</f>
        <v/>
      </c>
      <c r="AE80" s="10" t="str">
        <f t="shared" si="43"/>
        <v/>
      </c>
      <c r="AF80" s="10" t="str">
        <f t="shared" ref="AF80:AF114" si="59">IF(ISNUMBER(AE80),AE80*$M80,"")</f>
        <v/>
      </c>
      <c r="AH80" s="10" t="str">
        <f t="shared" si="44"/>
        <v/>
      </c>
      <c r="AI80" s="10" t="str">
        <f t="shared" ref="AI80:AI114" si="60">IF(ISNUMBER(AH80),AH80*$M80,"")</f>
        <v/>
      </c>
      <c r="AK80" s="10" t="str">
        <f t="shared" si="45"/>
        <v/>
      </c>
      <c r="AL80" s="10" t="str">
        <f t="shared" ref="AL80:AL114" si="61">IF(ISNUMBER(AK80),AK80*$M80,"")</f>
        <v/>
      </c>
      <c r="AN80" s="10" t="str">
        <f t="shared" si="46"/>
        <v/>
      </c>
      <c r="AO80" s="10" t="str">
        <f t="shared" ref="AO80:AO114" si="62">IF(ISNUMBER(AN80),AN80*$M80,"")</f>
        <v/>
      </c>
      <c r="AQ80" s="10" t="str">
        <f t="shared" si="47"/>
        <v/>
      </c>
      <c r="AR80" s="10" t="str">
        <f t="shared" ref="AR80:AR114" si="63">IF(ISNUMBER(AQ80),AQ80*$M80,"")</f>
        <v/>
      </c>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V80" s="10" t="str">
        <f t="shared" si="48"/>
        <v/>
      </c>
      <c r="AW80" s="10" t="str">
        <f t="shared" ref="AW80:AW114" si="64">IF(ISNUMBER(AV80),AV80*$M80,"")</f>
        <v/>
      </c>
      <c r="AY80" s="7" t="str">
        <f>IF(ISERROR(IF($K80&lt;=$F$15,VLOOKUP($I80,'表4）CO2価格'!$A$7:$E$67,VLOOKUP($F$48,'表4）CO2価格'!$H$10:$I$12,2,0),0)*$F$8/1000,"")),0,IF($K80&lt;=$F$15,VLOOKUP($I80,'表4）CO2価格'!$A$7:$E$67,VLOOKUP($F$48,'表4）CO2価格'!$H$10:$I$12,2,0),0)*$F$8/1000,""))</f>
        <v/>
      </c>
      <c r="BA80" s="11" t="str">
        <f t="shared" si="49"/>
        <v/>
      </c>
      <c r="BB80" s="10" t="str">
        <f t="shared" ref="BB80:BB114" si="65">IF(ISNUMBER(BA80),BA80*$M80,"")</f>
        <v/>
      </c>
      <c r="BD80" s="10" t="str">
        <f t="shared" si="50"/>
        <v/>
      </c>
      <c r="BE80" s="10" t="str">
        <f t="shared" ref="BE80:BE114" si="66">IF(ISNUMBER(BD80),BD80*$M80,"")</f>
        <v/>
      </c>
      <c r="BG80" s="11" t="str">
        <f t="shared" si="51"/>
        <v/>
      </c>
      <c r="BH80" s="10" t="str">
        <f t="shared" ref="BH80:BH114" si="67">IF(ISNUMBER(BG80),BG80*$M80,"")</f>
        <v/>
      </c>
      <c r="BJ80" s="7" t="str">
        <f t="shared" ref="BJ80:BJ114" si="68">IF(ISNUMBER($F$16),IF($K80&lt;=$F$16+$F$28,1/(1+($F$17/100))^K80,""),"")</f>
        <v/>
      </c>
      <c r="BK80" s="158" t="str">
        <f t="shared" ref="BK80:BK114" si="69">IF(ISNUMBER($F$16),IF($K80&lt;=$F$16+$F$28,IF($K80&lt;=$F$16,SUM(Y80,AB80,AE80,AH80,AK80,AN80,AQ80,AV80,BA80,BD80,BG80),$F$27/$F$28*10^8)*BJ80,""),"")</f>
        <v/>
      </c>
      <c r="BL80" s="158" t="str">
        <f t="shared" si="52"/>
        <v/>
      </c>
      <c r="BM80" s="10"/>
      <c r="BN80" s="10" t="str">
        <f t="shared" ref="BN80:BN114" si="70">IF(AND(ISNUMBER($F$16),$K80&lt;=$F$16),BQ80*($O$15+$BK$116)/$BL$116,"")</f>
        <v/>
      </c>
      <c r="BO80" s="10" t="str">
        <f t="shared" ref="BO80:BO114" si="71">IF(ISNUMBER(BN80),BN80*$M80,"")</f>
        <v/>
      </c>
      <c r="BQ80" s="10" t="str">
        <f t="shared" si="53"/>
        <v/>
      </c>
      <c r="BR80" s="10" t="str">
        <f t="shared" ref="BR80:BR114" si="72">IF(ISNUMBER(BQ80),BQ80*$M80,"")</f>
        <v/>
      </c>
    </row>
    <row r="81" spans="4:70" x14ac:dyDescent="0.15">
      <c r="E81" s="82" t="s">
        <v>86</v>
      </c>
      <c r="F81" s="91">
        <f>AC116/$BR$116</f>
        <v>0.25772559046694854</v>
      </c>
      <c r="G81" s="81" t="s">
        <v>132</v>
      </c>
      <c r="I81" s="458">
        <f t="shared" ref="I81:I114" si="73">I80+1</f>
        <v>2096</v>
      </c>
      <c r="J81" s="39"/>
      <c r="K81" s="39">
        <f t="shared" ref="K81:K114" si="74">IF(I81&lt;&gt;"",K80+1,"")</f>
        <v>67</v>
      </c>
      <c r="L81" s="39"/>
      <c r="M81" s="40">
        <f t="shared" si="38"/>
        <v>0.1380085346864266</v>
      </c>
      <c r="N81" s="39"/>
      <c r="O81" s="72" t="str">
        <f t="shared" ref="O81:O114" si="75">IF(K81&lt;=$F$15,O80-V80,"")</f>
        <v/>
      </c>
      <c r="P81" s="41" t="str">
        <f t="shared" si="39"/>
        <v/>
      </c>
      <c r="Q81" s="39"/>
      <c r="R81" s="72" t="str">
        <f t="shared" si="54"/>
        <v/>
      </c>
      <c r="S81" s="39"/>
      <c r="T81" s="72" t="str">
        <f t="shared" si="55"/>
        <v/>
      </c>
      <c r="U81" s="39"/>
      <c r="V81" s="72" t="str">
        <f t="shared" si="40"/>
        <v/>
      </c>
      <c r="W81" s="72" t="str">
        <f t="shared" si="56"/>
        <v/>
      </c>
      <c r="X81" s="39"/>
      <c r="Y81" s="72" t="str">
        <f t="shared" si="41"/>
        <v/>
      </c>
      <c r="Z81" s="72" t="str">
        <f t="shared" si="57"/>
        <v/>
      </c>
      <c r="AA81" s="39"/>
      <c r="AB81" s="72" t="str">
        <f t="shared" si="42"/>
        <v/>
      </c>
      <c r="AC81" s="72" t="str">
        <f t="shared" si="58"/>
        <v/>
      </c>
      <c r="AD81" s="39"/>
      <c r="AE81" s="72" t="str">
        <f t="shared" si="43"/>
        <v/>
      </c>
      <c r="AF81" s="72" t="str">
        <f t="shared" si="59"/>
        <v/>
      </c>
      <c r="AG81" s="39"/>
      <c r="AH81" s="72" t="str">
        <f t="shared" si="44"/>
        <v/>
      </c>
      <c r="AI81" s="72" t="str">
        <f t="shared" si="60"/>
        <v/>
      </c>
      <c r="AJ81" s="39"/>
      <c r="AK81" s="72" t="str">
        <f t="shared" si="45"/>
        <v/>
      </c>
      <c r="AL81" s="72" t="str">
        <f t="shared" si="61"/>
        <v/>
      </c>
      <c r="AM81" s="39"/>
      <c r="AN81" s="72" t="str">
        <f t="shared" si="46"/>
        <v/>
      </c>
      <c r="AO81" s="72" t="str">
        <f t="shared" si="62"/>
        <v/>
      </c>
      <c r="AP81" s="39"/>
      <c r="AQ81" s="72" t="str">
        <f t="shared" si="47"/>
        <v/>
      </c>
      <c r="AR81" s="72" t="str">
        <f t="shared" si="63"/>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48"/>
        <v/>
      </c>
      <c r="AW81" s="72" t="str">
        <f t="shared" si="64"/>
        <v/>
      </c>
      <c r="AX81" s="39"/>
      <c r="AY81" s="40" t="str">
        <f>IF(ISERROR(IF($K81&lt;=$F$15,VLOOKUP($I81,'表4）CO2価格'!$A$7:$E$67,VLOOKUP($F$48,'表4）CO2価格'!$H$10:$I$12,2,0),0)*$F$8/1000,"")),0,IF($K81&lt;=$F$15,VLOOKUP($I81,'表4）CO2価格'!$A$7:$E$67,VLOOKUP($F$48,'表4）CO2価格'!$H$10:$I$12,2,0),0)*$F$8/1000,""))</f>
        <v/>
      </c>
      <c r="AZ81" s="39"/>
      <c r="BA81" s="42" t="str">
        <f t="shared" si="49"/>
        <v/>
      </c>
      <c r="BB81" s="72" t="str">
        <f t="shared" si="65"/>
        <v/>
      </c>
      <c r="BC81" s="39"/>
      <c r="BD81" s="72" t="str">
        <f t="shared" si="50"/>
        <v/>
      </c>
      <c r="BE81" s="72" t="str">
        <f t="shared" si="66"/>
        <v/>
      </c>
      <c r="BF81" s="39"/>
      <c r="BG81" s="42" t="str">
        <f t="shared" si="51"/>
        <v/>
      </c>
      <c r="BH81" s="72" t="str">
        <f t="shared" si="67"/>
        <v/>
      </c>
      <c r="BI81" s="39"/>
      <c r="BJ81" s="40" t="str">
        <f t="shared" si="68"/>
        <v/>
      </c>
      <c r="BK81" s="157" t="str">
        <f t="shared" si="69"/>
        <v/>
      </c>
      <c r="BL81" s="157" t="str">
        <f t="shared" si="52"/>
        <v/>
      </c>
      <c r="BM81" s="72"/>
      <c r="BN81" s="72" t="str">
        <f t="shared" si="70"/>
        <v/>
      </c>
      <c r="BO81" s="72" t="str">
        <f t="shared" si="71"/>
        <v/>
      </c>
      <c r="BP81" s="39"/>
      <c r="BQ81" s="72" t="str">
        <f t="shared" si="53"/>
        <v/>
      </c>
      <c r="BR81" s="72" t="str">
        <f t="shared" si="72"/>
        <v/>
      </c>
    </row>
    <row r="82" spans="4:70" x14ac:dyDescent="0.15">
      <c r="F82" s="93"/>
      <c r="I82" s="459">
        <f t="shared" si="73"/>
        <v>2097</v>
      </c>
      <c r="K82" s="71">
        <f t="shared" si="74"/>
        <v>68</v>
      </c>
      <c r="M82" s="7">
        <f t="shared" si="38"/>
        <v>0.13398886862759865</v>
      </c>
      <c r="O82" s="10" t="str">
        <f t="shared" si="75"/>
        <v/>
      </c>
      <c r="P82" s="29" t="str">
        <f t="shared" si="39"/>
        <v/>
      </c>
      <c r="R82" s="10" t="str">
        <f t="shared" si="54"/>
        <v/>
      </c>
      <c r="T82" s="10" t="str">
        <f t="shared" si="55"/>
        <v/>
      </c>
      <c r="V82" s="10" t="str">
        <f t="shared" si="40"/>
        <v/>
      </c>
      <c r="W82" s="10" t="str">
        <f t="shared" si="56"/>
        <v/>
      </c>
      <c r="Y82" s="10" t="str">
        <f t="shared" si="41"/>
        <v/>
      </c>
      <c r="Z82" s="10" t="str">
        <f t="shared" si="57"/>
        <v/>
      </c>
      <c r="AB82" s="10" t="str">
        <f t="shared" si="42"/>
        <v/>
      </c>
      <c r="AC82" s="10" t="str">
        <f t="shared" si="58"/>
        <v/>
      </c>
      <c r="AE82" s="10" t="str">
        <f t="shared" si="43"/>
        <v/>
      </c>
      <c r="AF82" s="10" t="str">
        <f t="shared" si="59"/>
        <v/>
      </c>
      <c r="AH82" s="10" t="str">
        <f t="shared" si="44"/>
        <v/>
      </c>
      <c r="AI82" s="10" t="str">
        <f t="shared" si="60"/>
        <v/>
      </c>
      <c r="AK82" s="10" t="str">
        <f t="shared" si="45"/>
        <v/>
      </c>
      <c r="AL82" s="10" t="str">
        <f t="shared" si="61"/>
        <v/>
      </c>
      <c r="AN82" s="10" t="str">
        <f t="shared" si="46"/>
        <v/>
      </c>
      <c r="AO82" s="10" t="str">
        <f t="shared" si="62"/>
        <v/>
      </c>
      <c r="AQ82" s="10" t="str">
        <f t="shared" si="47"/>
        <v/>
      </c>
      <c r="AR82" s="10" t="str">
        <f t="shared" si="63"/>
        <v/>
      </c>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V82" s="10" t="str">
        <f t="shared" si="48"/>
        <v/>
      </c>
      <c r="AW82" s="10" t="str">
        <f t="shared" si="64"/>
        <v/>
      </c>
      <c r="AY82" s="7" t="str">
        <f>IF(ISERROR(IF($K82&lt;=$F$15,VLOOKUP($I82,'表4）CO2価格'!$A$7:$E$67,VLOOKUP($F$48,'表4）CO2価格'!$H$10:$I$12,2,0),0)*$F$8/1000,"")),0,IF($K82&lt;=$F$15,VLOOKUP($I82,'表4）CO2価格'!$A$7:$E$67,VLOOKUP($F$48,'表4）CO2価格'!$H$10:$I$12,2,0),0)*$F$8/1000,""))</f>
        <v/>
      </c>
      <c r="BA82" s="11" t="str">
        <f t="shared" si="49"/>
        <v/>
      </c>
      <c r="BB82" s="10" t="str">
        <f t="shared" si="65"/>
        <v/>
      </c>
      <c r="BD82" s="10" t="str">
        <f t="shared" si="50"/>
        <v/>
      </c>
      <c r="BE82" s="10" t="str">
        <f t="shared" si="66"/>
        <v/>
      </c>
      <c r="BG82" s="11" t="str">
        <f t="shared" si="51"/>
        <v/>
      </c>
      <c r="BH82" s="10" t="str">
        <f t="shared" si="67"/>
        <v/>
      </c>
      <c r="BJ82" s="7" t="str">
        <f t="shared" si="68"/>
        <v/>
      </c>
      <c r="BK82" s="158" t="str">
        <f t="shared" si="69"/>
        <v/>
      </c>
      <c r="BL82" s="158" t="str">
        <f t="shared" si="52"/>
        <v/>
      </c>
      <c r="BM82" s="10"/>
      <c r="BN82" s="10" t="str">
        <f t="shared" si="70"/>
        <v/>
      </c>
      <c r="BO82" s="10" t="str">
        <f t="shared" si="71"/>
        <v/>
      </c>
      <c r="BQ82" s="10" t="str">
        <f t="shared" si="53"/>
        <v/>
      </c>
      <c r="BR82" s="10" t="str">
        <f t="shared" si="72"/>
        <v/>
      </c>
    </row>
    <row r="83" spans="4:70" ht="15" x14ac:dyDescent="0.15">
      <c r="D83" s="116" t="s">
        <v>194</v>
      </c>
      <c r="F83" s="94">
        <f>SUBTOTAL(9,F87:F90)</f>
        <v>2.4816358943815762</v>
      </c>
      <c r="G83" s="81" t="s">
        <v>132</v>
      </c>
      <c r="I83" s="458">
        <f>I82+1</f>
        <v>2098</v>
      </c>
      <c r="J83" s="39"/>
      <c r="K83" s="39">
        <f>IF(I83&lt;&gt;"",K82+1,"")</f>
        <v>69</v>
      </c>
      <c r="L83" s="39"/>
      <c r="M83" s="40">
        <f t="shared" si="38"/>
        <v>0.13008628022096957</v>
      </c>
      <c r="N83" s="39"/>
      <c r="O83" s="72" t="str">
        <f t="shared" si="75"/>
        <v/>
      </c>
      <c r="P83" s="41" t="str">
        <f t="shared" si="39"/>
        <v/>
      </c>
      <c r="Q83" s="39"/>
      <c r="R83" s="72" t="str">
        <f t="shared" si="54"/>
        <v/>
      </c>
      <c r="S83" s="39"/>
      <c r="T83" s="72" t="str">
        <f t="shared" si="55"/>
        <v/>
      </c>
      <c r="U83" s="39"/>
      <c r="V83" s="72" t="str">
        <f t="shared" si="40"/>
        <v/>
      </c>
      <c r="W83" s="72" t="str">
        <f t="shared" si="56"/>
        <v/>
      </c>
      <c r="X83" s="39"/>
      <c r="Y83" s="72" t="str">
        <f t="shared" si="41"/>
        <v/>
      </c>
      <c r="Z83" s="72" t="str">
        <f t="shared" si="57"/>
        <v/>
      </c>
      <c r="AA83" s="39"/>
      <c r="AB83" s="72" t="str">
        <f t="shared" si="42"/>
        <v/>
      </c>
      <c r="AC83" s="72" t="str">
        <f t="shared" si="58"/>
        <v/>
      </c>
      <c r="AD83" s="39"/>
      <c r="AE83" s="72" t="str">
        <f t="shared" si="43"/>
        <v/>
      </c>
      <c r="AF83" s="72" t="str">
        <f t="shared" si="59"/>
        <v/>
      </c>
      <c r="AG83" s="39"/>
      <c r="AH83" s="72" t="str">
        <f t="shared" si="44"/>
        <v/>
      </c>
      <c r="AI83" s="72" t="str">
        <f t="shared" si="60"/>
        <v/>
      </c>
      <c r="AJ83" s="39"/>
      <c r="AK83" s="72" t="str">
        <f t="shared" si="45"/>
        <v/>
      </c>
      <c r="AL83" s="72" t="str">
        <f t="shared" si="61"/>
        <v/>
      </c>
      <c r="AM83" s="39"/>
      <c r="AN83" s="72" t="str">
        <f t="shared" si="46"/>
        <v/>
      </c>
      <c r="AO83" s="72" t="str">
        <f t="shared" si="62"/>
        <v/>
      </c>
      <c r="AP83" s="39"/>
      <c r="AQ83" s="72" t="str">
        <f t="shared" si="47"/>
        <v/>
      </c>
      <c r="AR83" s="72" t="str">
        <f t="shared" si="63"/>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48"/>
        <v/>
      </c>
      <c r="AW83" s="72" t="str">
        <f t="shared" si="64"/>
        <v/>
      </c>
      <c r="AX83" s="39"/>
      <c r="AY83" s="40" t="str">
        <f>IF(ISERROR(IF($K83&lt;=$F$15,VLOOKUP($I83,'表4）CO2価格'!$A$7:$E$67,VLOOKUP($F$48,'表4）CO2価格'!$H$10:$I$12,2,0),0)*$F$8/1000,"")),0,IF($K83&lt;=$F$15,VLOOKUP($I83,'表4）CO2価格'!$A$7:$E$67,VLOOKUP($F$48,'表4）CO2価格'!$H$10:$I$12,2,0),0)*$F$8/1000,""))</f>
        <v/>
      </c>
      <c r="AZ83" s="39"/>
      <c r="BA83" s="42" t="str">
        <f t="shared" si="49"/>
        <v/>
      </c>
      <c r="BB83" s="72" t="str">
        <f t="shared" si="65"/>
        <v/>
      </c>
      <c r="BC83" s="39"/>
      <c r="BD83" s="72" t="str">
        <f t="shared" si="50"/>
        <v/>
      </c>
      <c r="BE83" s="72" t="str">
        <f t="shared" si="66"/>
        <v/>
      </c>
      <c r="BF83" s="39"/>
      <c r="BG83" s="42" t="str">
        <f t="shared" si="51"/>
        <v/>
      </c>
      <c r="BH83" s="72" t="str">
        <f t="shared" si="67"/>
        <v/>
      </c>
      <c r="BI83" s="39"/>
      <c r="BJ83" s="40" t="str">
        <f t="shared" si="68"/>
        <v/>
      </c>
      <c r="BK83" s="157" t="str">
        <f t="shared" si="69"/>
        <v/>
      </c>
      <c r="BL83" s="157" t="str">
        <f t="shared" si="52"/>
        <v/>
      </c>
      <c r="BM83" s="72"/>
      <c r="BN83" s="72" t="str">
        <f t="shared" si="70"/>
        <v/>
      </c>
      <c r="BO83" s="72" t="str">
        <f t="shared" si="71"/>
        <v/>
      </c>
      <c r="BP83" s="39"/>
      <c r="BQ83" s="72" t="str">
        <f t="shared" si="53"/>
        <v/>
      </c>
      <c r="BR83" s="72" t="str">
        <f t="shared" si="72"/>
        <v/>
      </c>
    </row>
    <row r="84" spans="4:70" x14ac:dyDescent="0.15">
      <c r="F84" s="93"/>
      <c r="I84" s="459">
        <f t="shared" si="73"/>
        <v>2099</v>
      </c>
      <c r="K84" s="71">
        <f t="shared" si="74"/>
        <v>70</v>
      </c>
      <c r="M84" s="7">
        <f t="shared" si="38"/>
        <v>0.12629735943783454</v>
      </c>
      <c r="O84" s="10" t="str">
        <f t="shared" si="75"/>
        <v/>
      </c>
      <c r="P84" s="29" t="str">
        <f t="shared" si="39"/>
        <v/>
      </c>
      <c r="R84" s="10" t="str">
        <f t="shared" si="54"/>
        <v/>
      </c>
      <c r="T84" s="10" t="str">
        <f t="shared" si="55"/>
        <v/>
      </c>
      <c r="V84" s="10" t="str">
        <f t="shared" si="40"/>
        <v/>
      </c>
      <c r="W84" s="10" t="str">
        <f t="shared" si="56"/>
        <v/>
      </c>
      <c r="Y84" s="10" t="str">
        <f t="shared" si="41"/>
        <v/>
      </c>
      <c r="Z84" s="10" t="str">
        <f t="shared" si="57"/>
        <v/>
      </c>
      <c r="AB84" s="10" t="str">
        <f t="shared" si="42"/>
        <v/>
      </c>
      <c r="AC84" s="10" t="str">
        <f t="shared" si="58"/>
        <v/>
      </c>
      <c r="AE84" s="10" t="str">
        <f t="shared" si="43"/>
        <v/>
      </c>
      <c r="AF84" s="10" t="str">
        <f t="shared" si="59"/>
        <v/>
      </c>
      <c r="AH84" s="10" t="str">
        <f t="shared" si="44"/>
        <v/>
      </c>
      <c r="AI84" s="10" t="str">
        <f t="shared" si="60"/>
        <v/>
      </c>
      <c r="AK84" s="10" t="str">
        <f t="shared" si="45"/>
        <v/>
      </c>
      <c r="AL84" s="10" t="str">
        <f t="shared" si="61"/>
        <v/>
      </c>
      <c r="AN84" s="10" t="str">
        <f t="shared" si="46"/>
        <v/>
      </c>
      <c r="AO84" s="10" t="str">
        <f t="shared" si="62"/>
        <v/>
      </c>
      <c r="AQ84" s="10" t="str">
        <f t="shared" si="47"/>
        <v/>
      </c>
      <c r="AR84" s="10" t="str">
        <f t="shared" si="63"/>
        <v/>
      </c>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V84" s="10" t="str">
        <f t="shared" si="48"/>
        <v/>
      </c>
      <c r="AW84" s="10" t="str">
        <f t="shared" si="64"/>
        <v/>
      </c>
      <c r="AY84" s="7" t="str">
        <f>IF(ISERROR(IF($K84&lt;=$F$15,VLOOKUP($I84,'表4）CO2価格'!$A$7:$E$67,VLOOKUP($F$48,'表4）CO2価格'!$H$10:$I$12,2,0),0)*$F$8/1000,"")),0,IF($K84&lt;=$F$15,VLOOKUP($I84,'表4）CO2価格'!$A$7:$E$67,VLOOKUP($F$48,'表4）CO2価格'!$H$10:$I$12,2,0),0)*$F$8/1000,""))</f>
        <v/>
      </c>
      <c r="BA84" s="11" t="str">
        <f t="shared" si="49"/>
        <v/>
      </c>
      <c r="BB84" s="10" t="str">
        <f t="shared" si="65"/>
        <v/>
      </c>
      <c r="BD84" s="10" t="str">
        <f t="shared" si="50"/>
        <v/>
      </c>
      <c r="BE84" s="10" t="str">
        <f t="shared" si="66"/>
        <v/>
      </c>
      <c r="BG84" s="11" t="str">
        <f t="shared" si="51"/>
        <v/>
      </c>
      <c r="BH84" s="10" t="str">
        <f t="shared" si="67"/>
        <v/>
      </c>
      <c r="BJ84" s="7" t="str">
        <f t="shared" si="68"/>
        <v/>
      </c>
      <c r="BK84" s="158" t="str">
        <f t="shared" si="69"/>
        <v/>
      </c>
      <c r="BL84" s="158" t="str">
        <f t="shared" si="52"/>
        <v/>
      </c>
      <c r="BM84" s="10"/>
      <c r="BN84" s="10" t="str">
        <f t="shared" si="70"/>
        <v/>
      </c>
      <c r="BO84" s="10" t="str">
        <f t="shared" si="71"/>
        <v/>
      </c>
      <c r="BQ84" s="10" t="str">
        <f t="shared" si="53"/>
        <v/>
      </c>
      <c r="BR84" s="10" t="str">
        <f t="shared" si="72"/>
        <v/>
      </c>
    </row>
    <row r="85" spans="4:70" x14ac:dyDescent="0.15">
      <c r="D85" s="101" t="s">
        <v>195</v>
      </c>
      <c r="E85" s="113"/>
      <c r="F85" s="92"/>
      <c r="G85" s="101"/>
      <c r="I85" s="458">
        <f t="shared" si="73"/>
        <v>2100</v>
      </c>
      <c r="J85" s="39"/>
      <c r="K85" s="39">
        <f t="shared" si="74"/>
        <v>71</v>
      </c>
      <c r="L85" s="39"/>
      <c r="M85" s="40">
        <f t="shared" si="38"/>
        <v>0.12261879557071313</v>
      </c>
      <c r="N85" s="39"/>
      <c r="O85" s="72" t="str">
        <f t="shared" si="75"/>
        <v/>
      </c>
      <c r="P85" s="41" t="str">
        <f t="shared" si="39"/>
        <v/>
      </c>
      <c r="Q85" s="39"/>
      <c r="R85" s="72" t="str">
        <f t="shared" si="54"/>
        <v/>
      </c>
      <c r="S85" s="39"/>
      <c r="T85" s="72" t="str">
        <f t="shared" si="55"/>
        <v/>
      </c>
      <c r="U85" s="39"/>
      <c r="V85" s="72" t="str">
        <f t="shared" si="40"/>
        <v/>
      </c>
      <c r="W85" s="72" t="str">
        <f t="shared" si="56"/>
        <v/>
      </c>
      <c r="X85" s="39"/>
      <c r="Y85" s="72" t="str">
        <f t="shared" si="41"/>
        <v/>
      </c>
      <c r="Z85" s="72" t="str">
        <f t="shared" si="57"/>
        <v/>
      </c>
      <c r="AA85" s="39"/>
      <c r="AB85" s="72" t="str">
        <f t="shared" si="42"/>
        <v/>
      </c>
      <c r="AC85" s="72" t="str">
        <f t="shared" si="58"/>
        <v/>
      </c>
      <c r="AD85" s="39"/>
      <c r="AE85" s="72" t="str">
        <f t="shared" si="43"/>
        <v/>
      </c>
      <c r="AF85" s="72" t="str">
        <f t="shared" si="59"/>
        <v/>
      </c>
      <c r="AG85" s="39"/>
      <c r="AH85" s="72" t="str">
        <f t="shared" si="44"/>
        <v/>
      </c>
      <c r="AI85" s="72" t="str">
        <f t="shared" si="60"/>
        <v/>
      </c>
      <c r="AJ85" s="39"/>
      <c r="AK85" s="72" t="str">
        <f t="shared" si="45"/>
        <v/>
      </c>
      <c r="AL85" s="72" t="str">
        <f t="shared" si="61"/>
        <v/>
      </c>
      <c r="AM85" s="39"/>
      <c r="AN85" s="72" t="str">
        <f t="shared" si="46"/>
        <v/>
      </c>
      <c r="AO85" s="72" t="str">
        <f t="shared" si="62"/>
        <v/>
      </c>
      <c r="AP85" s="39"/>
      <c r="AQ85" s="72" t="str">
        <f t="shared" si="47"/>
        <v/>
      </c>
      <c r="AR85" s="72" t="str">
        <f t="shared" si="63"/>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48"/>
        <v/>
      </c>
      <c r="AW85" s="72" t="str">
        <f t="shared" si="64"/>
        <v/>
      </c>
      <c r="AX85" s="39"/>
      <c r="AY85" s="40" t="str">
        <f>IF(ISERROR(IF($K85&lt;=$F$15,VLOOKUP($I85,'表4）CO2価格'!$A$7:$E$67,VLOOKUP($F$48,'表4）CO2価格'!$H$10:$I$12,2,0),0)*$F$8/1000,"")),0,IF($K85&lt;=$F$15,VLOOKUP($I85,'表4）CO2価格'!$A$7:$E$67,VLOOKUP($F$48,'表4）CO2価格'!$H$10:$I$12,2,0),0)*$F$8/1000,""))</f>
        <v/>
      </c>
      <c r="AZ85" s="39"/>
      <c r="BA85" s="42" t="str">
        <f t="shared" si="49"/>
        <v/>
      </c>
      <c r="BB85" s="72" t="str">
        <f t="shared" si="65"/>
        <v/>
      </c>
      <c r="BC85" s="39"/>
      <c r="BD85" s="72" t="str">
        <f t="shared" si="50"/>
        <v/>
      </c>
      <c r="BE85" s="72" t="str">
        <f t="shared" si="66"/>
        <v/>
      </c>
      <c r="BF85" s="39"/>
      <c r="BG85" s="42" t="str">
        <f t="shared" si="51"/>
        <v/>
      </c>
      <c r="BH85" s="72" t="str">
        <f t="shared" si="67"/>
        <v/>
      </c>
      <c r="BI85" s="39"/>
      <c r="BJ85" s="40" t="str">
        <f t="shared" si="68"/>
        <v/>
      </c>
      <c r="BK85" s="157" t="str">
        <f t="shared" si="69"/>
        <v/>
      </c>
      <c r="BL85" s="157" t="str">
        <f t="shared" si="52"/>
        <v/>
      </c>
      <c r="BM85" s="72"/>
      <c r="BN85" s="72" t="str">
        <f t="shared" si="70"/>
        <v/>
      </c>
      <c r="BO85" s="72" t="str">
        <f t="shared" si="71"/>
        <v/>
      </c>
      <c r="BP85" s="39"/>
      <c r="BQ85" s="72" t="str">
        <f t="shared" si="53"/>
        <v/>
      </c>
      <c r="BR85" s="72" t="str">
        <f t="shared" si="72"/>
        <v/>
      </c>
    </row>
    <row r="86" spans="4:70" x14ac:dyDescent="0.15">
      <c r="F86" s="93"/>
      <c r="I86" s="459">
        <f t="shared" si="73"/>
        <v>2101</v>
      </c>
      <c r="K86" s="71">
        <f t="shared" si="74"/>
        <v>72</v>
      </c>
      <c r="M86" s="7">
        <f t="shared" si="38"/>
        <v>0.1190473743404982</v>
      </c>
      <c r="O86" s="10" t="str">
        <f t="shared" si="75"/>
        <v/>
      </c>
      <c r="P86" s="29" t="str">
        <f t="shared" si="39"/>
        <v/>
      </c>
      <c r="R86" s="10" t="str">
        <f t="shared" si="54"/>
        <v/>
      </c>
      <c r="T86" s="10" t="str">
        <f t="shared" si="55"/>
        <v/>
      </c>
      <c r="V86" s="10" t="str">
        <f t="shared" si="40"/>
        <v/>
      </c>
      <c r="W86" s="10" t="str">
        <f t="shared" si="56"/>
        <v/>
      </c>
      <c r="Y86" s="10" t="str">
        <f t="shared" si="41"/>
        <v/>
      </c>
      <c r="Z86" s="10" t="str">
        <f t="shared" si="57"/>
        <v/>
      </c>
      <c r="AB86" s="10" t="str">
        <f t="shared" si="42"/>
        <v/>
      </c>
      <c r="AC86" s="10" t="str">
        <f t="shared" si="58"/>
        <v/>
      </c>
      <c r="AE86" s="10" t="str">
        <f t="shared" si="43"/>
        <v/>
      </c>
      <c r="AF86" s="10" t="str">
        <f t="shared" si="59"/>
        <v/>
      </c>
      <c r="AH86" s="10" t="str">
        <f t="shared" si="44"/>
        <v/>
      </c>
      <c r="AI86" s="10" t="str">
        <f t="shared" si="60"/>
        <v/>
      </c>
      <c r="AK86" s="10" t="str">
        <f t="shared" si="45"/>
        <v/>
      </c>
      <c r="AL86" s="10" t="str">
        <f t="shared" si="61"/>
        <v/>
      </c>
      <c r="AN86" s="10" t="str">
        <f t="shared" si="46"/>
        <v/>
      </c>
      <c r="AO86" s="10" t="str">
        <f t="shared" si="62"/>
        <v/>
      </c>
      <c r="AQ86" s="10" t="str">
        <f t="shared" si="47"/>
        <v/>
      </c>
      <c r="AR86" s="10" t="str">
        <f t="shared" si="63"/>
        <v/>
      </c>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V86" s="10" t="str">
        <f t="shared" si="48"/>
        <v/>
      </c>
      <c r="AW86" s="10" t="str">
        <f t="shared" si="64"/>
        <v/>
      </c>
      <c r="AY86" s="7" t="str">
        <f>IF(ISERROR(IF($K86&lt;=$F$15,VLOOKUP($I86,'表4）CO2価格'!$A$7:$E$67,VLOOKUP($F$48,'表4）CO2価格'!$H$10:$I$12,2,0),0)*$F$8/1000,"")),0,IF($K86&lt;=$F$15,VLOOKUP($I86,'表4）CO2価格'!$A$7:$E$67,VLOOKUP($F$48,'表4）CO2価格'!$H$10:$I$12,2,0),0)*$F$8/1000,""))</f>
        <v/>
      </c>
      <c r="BA86" s="11" t="str">
        <f t="shared" si="49"/>
        <v/>
      </c>
      <c r="BB86" s="10" t="str">
        <f t="shared" si="65"/>
        <v/>
      </c>
      <c r="BD86" s="10" t="str">
        <f t="shared" si="50"/>
        <v/>
      </c>
      <c r="BE86" s="10" t="str">
        <f t="shared" si="66"/>
        <v/>
      </c>
      <c r="BG86" s="11" t="str">
        <f t="shared" si="51"/>
        <v/>
      </c>
      <c r="BH86" s="10" t="str">
        <f t="shared" si="67"/>
        <v/>
      </c>
      <c r="BJ86" s="7" t="str">
        <f t="shared" si="68"/>
        <v/>
      </c>
      <c r="BK86" s="158" t="str">
        <f t="shared" si="69"/>
        <v/>
      </c>
      <c r="BL86" s="158" t="str">
        <f t="shared" si="52"/>
        <v/>
      </c>
      <c r="BM86" s="10"/>
      <c r="BN86" s="10" t="str">
        <f t="shared" si="70"/>
        <v/>
      </c>
      <c r="BO86" s="10" t="str">
        <f t="shared" si="71"/>
        <v/>
      </c>
      <c r="BQ86" s="10" t="str">
        <f t="shared" si="53"/>
        <v/>
      </c>
      <c r="BR86" s="10" t="str">
        <f t="shared" si="72"/>
        <v/>
      </c>
    </row>
    <row r="87" spans="4:70" x14ac:dyDescent="0.15">
      <c r="E87" s="82" t="s">
        <v>232</v>
      </c>
      <c r="F87" s="91">
        <f>AI116/$BR$116</f>
        <v>2.4816358943815762</v>
      </c>
      <c r="G87" s="81" t="s">
        <v>132</v>
      </c>
      <c r="I87" s="458">
        <f t="shared" si="73"/>
        <v>2102</v>
      </c>
      <c r="J87" s="39"/>
      <c r="K87" s="39">
        <f t="shared" si="74"/>
        <v>73</v>
      </c>
      <c r="L87" s="39"/>
      <c r="M87" s="40">
        <f t="shared" si="38"/>
        <v>0.11557997508786232</v>
      </c>
      <c r="N87" s="39"/>
      <c r="O87" s="72" t="str">
        <f t="shared" si="75"/>
        <v/>
      </c>
      <c r="P87" s="41" t="str">
        <f t="shared" si="39"/>
        <v/>
      </c>
      <c r="Q87" s="39"/>
      <c r="R87" s="72" t="str">
        <f t="shared" si="54"/>
        <v/>
      </c>
      <c r="S87" s="39"/>
      <c r="T87" s="72" t="str">
        <f t="shared" si="55"/>
        <v/>
      </c>
      <c r="U87" s="39"/>
      <c r="V87" s="72" t="str">
        <f t="shared" si="40"/>
        <v/>
      </c>
      <c r="W87" s="72" t="str">
        <f t="shared" si="56"/>
        <v/>
      </c>
      <c r="X87" s="39"/>
      <c r="Y87" s="72" t="str">
        <f t="shared" si="41"/>
        <v/>
      </c>
      <c r="Z87" s="72" t="str">
        <f t="shared" si="57"/>
        <v/>
      </c>
      <c r="AA87" s="39"/>
      <c r="AB87" s="72" t="str">
        <f t="shared" si="42"/>
        <v/>
      </c>
      <c r="AC87" s="72" t="str">
        <f t="shared" si="58"/>
        <v/>
      </c>
      <c r="AD87" s="39"/>
      <c r="AE87" s="72" t="str">
        <f t="shared" si="43"/>
        <v/>
      </c>
      <c r="AF87" s="72" t="str">
        <f t="shared" si="59"/>
        <v/>
      </c>
      <c r="AG87" s="39"/>
      <c r="AH87" s="72" t="str">
        <f t="shared" si="44"/>
        <v/>
      </c>
      <c r="AI87" s="72" t="str">
        <f t="shared" si="60"/>
        <v/>
      </c>
      <c r="AJ87" s="39"/>
      <c r="AK87" s="72" t="str">
        <f t="shared" si="45"/>
        <v/>
      </c>
      <c r="AL87" s="72" t="str">
        <f t="shared" si="61"/>
        <v/>
      </c>
      <c r="AM87" s="39"/>
      <c r="AN87" s="72" t="str">
        <f t="shared" si="46"/>
        <v/>
      </c>
      <c r="AO87" s="72" t="str">
        <f t="shared" si="62"/>
        <v/>
      </c>
      <c r="AP87" s="39"/>
      <c r="AQ87" s="72" t="str">
        <f t="shared" si="47"/>
        <v/>
      </c>
      <c r="AR87" s="72" t="str">
        <f t="shared" si="63"/>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48"/>
        <v/>
      </c>
      <c r="AW87" s="72" t="str">
        <f t="shared" si="64"/>
        <v/>
      </c>
      <c r="AX87" s="39"/>
      <c r="AY87" s="40" t="str">
        <f>IF(ISERROR(IF($K87&lt;=$F$15,VLOOKUP($I87,'表4）CO2価格'!$A$7:$E$67,VLOOKUP($F$48,'表4）CO2価格'!$H$10:$I$12,2,0),0)*$F$8/1000,"")),0,IF($K87&lt;=$F$15,VLOOKUP($I87,'表4）CO2価格'!$A$7:$E$67,VLOOKUP($F$48,'表4）CO2価格'!$H$10:$I$12,2,0),0)*$F$8/1000,""))</f>
        <v/>
      </c>
      <c r="AZ87" s="39"/>
      <c r="BA87" s="42" t="str">
        <f t="shared" si="49"/>
        <v/>
      </c>
      <c r="BB87" s="72" t="str">
        <f t="shared" si="65"/>
        <v/>
      </c>
      <c r="BC87" s="39"/>
      <c r="BD87" s="72" t="str">
        <f t="shared" si="50"/>
        <v/>
      </c>
      <c r="BE87" s="72" t="str">
        <f t="shared" si="66"/>
        <v/>
      </c>
      <c r="BF87" s="39"/>
      <c r="BG87" s="42" t="str">
        <f t="shared" si="51"/>
        <v/>
      </c>
      <c r="BH87" s="72" t="str">
        <f t="shared" si="67"/>
        <v/>
      </c>
      <c r="BI87" s="39"/>
      <c r="BJ87" s="40" t="str">
        <f t="shared" si="68"/>
        <v/>
      </c>
      <c r="BK87" s="157" t="str">
        <f t="shared" si="69"/>
        <v/>
      </c>
      <c r="BL87" s="157" t="str">
        <f t="shared" si="52"/>
        <v/>
      </c>
      <c r="BM87" s="72"/>
      <c r="BN87" s="72" t="str">
        <f t="shared" si="70"/>
        <v/>
      </c>
      <c r="BO87" s="72" t="str">
        <f t="shared" si="71"/>
        <v/>
      </c>
      <c r="BP87" s="39"/>
      <c r="BQ87" s="72" t="str">
        <f t="shared" si="53"/>
        <v/>
      </c>
      <c r="BR87" s="72" t="str">
        <f t="shared" si="72"/>
        <v/>
      </c>
    </row>
    <row r="88" spans="4:70" x14ac:dyDescent="0.15">
      <c r="E88" s="82" t="s">
        <v>234</v>
      </c>
      <c r="F88" s="91">
        <f>AL116/$BR$116</f>
        <v>0</v>
      </c>
      <c r="G88" s="81" t="s">
        <v>132</v>
      </c>
      <c r="I88" s="459">
        <f t="shared" si="73"/>
        <v>2103</v>
      </c>
      <c r="K88" s="71">
        <f t="shared" si="74"/>
        <v>74</v>
      </c>
      <c r="M88" s="7">
        <f t="shared" si="38"/>
        <v>0.11221356804646829</v>
      </c>
      <c r="O88" s="10" t="str">
        <f t="shared" si="75"/>
        <v/>
      </c>
      <c r="P88" s="29" t="str">
        <f t="shared" si="39"/>
        <v/>
      </c>
      <c r="R88" s="10" t="str">
        <f t="shared" si="54"/>
        <v/>
      </c>
      <c r="T88" s="10" t="str">
        <f t="shared" si="55"/>
        <v/>
      </c>
      <c r="V88" s="10" t="str">
        <f t="shared" si="40"/>
        <v/>
      </c>
      <c r="W88" s="10" t="str">
        <f t="shared" si="56"/>
        <v/>
      </c>
      <c r="Y88" s="10" t="str">
        <f t="shared" si="41"/>
        <v/>
      </c>
      <c r="Z88" s="10" t="str">
        <f t="shared" si="57"/>
        <v/>
      </c>
      <c r="AB88" s="10" t="str">
        <f t="shared" si="42"/>
        <v/>
      </c>
      <c r="AC88" s="10" t="str">
        <f t="shared" si="58"/>
        <v/>
      </c>
      <c r="AE88" s="10" t="str">
        <f t="shared" si="43"/>
        <v/>
      </c>
      <c r="AF88" s="10" t="str">
        <f t="shared" si="59"/>
        <v/>
      </c>
      <c r="AH88" s="10" t="str">
        <f t="shared" si="44"/>
        <v/>
      </c>
      <c r="AI88" s="10" t="str">
        <f t="shared" si="60"/>
        <v/>
      </c>
      <c r="AK88" s="10" t="str">
        <f t="shared" si="45"/>
        <v/>
      </c>
      <c r="AL88" s="10" t="str">
        <f t="shared" si="61"/>
        <v/>
      </c>
      <c r="AN88" s="10" t="str">
        <f t="shared" si="46"/>
        <v/>
      </c>
      <c r="AO88" s="10" t="str">
        <f t="shared" si="62"/>
        <v/>
      </c>
      <c r="AQ88" s="10" t="str">
        <f t="shared" si="47"/>
        <v/>
      </c>
      <c r="AR88" s="10" t="str">
        <f t="shared" si="63"/>
        <v/>
      </c>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V88" s="10" t="str">
        <f t="shared" si="48"/>
        <v/>
      </c>
      <c r="AW88" s="10" t="str">
        <f t="shared" si="64"/>
        <v/>
      </c>
      <c r="AY88" s="7" t="str">
        <f>IF(ISERROR(IF($K88&lt;=$F$15,VLOOKUP($I88,'表4）CO2価格'!$A$7:$E$67,VLOOKUP($F$48,'表4）CO2価格'!$H$10:$I$12,2,0),0)*$F$8/1000,"")),0,IF($K88&lt;=$F$15,VLOOKUP($I88,'表4）CO2価格'!$A$7:$E$67,VLOOKUP($F$48,'表4）CO2価格'!$H$10:$I$12,2,0),0)*$F$8/1000,""))</f>
        <v/>
      </c>
      <c r="BA88" s="11" t="str">
        <f t="shared" si="49"/>
        <v/>
      </c>
      <c r="BB88" s="10" t="str">
        <f t="shared" si="65"/>
        <v/>
      </c>
      <c r="BD88" s="10" t="str">
        <f t="shared" si="50"/>
        <v/>
      </c>
      <c r="BE88" s="10" t="str">
        <f t="shared" si="66"/>
        <v/>
      </c>
      <c r="BG88" s="11" t="str">
        <f t="shared" si="51"/>
        <v/>
      </c>
      <c r="BH88" s="10" t="str">
        <f t="shared" si="67"/>
        <v/>
      </c>
      <c r="BJ88" s="7" t="str">
        <f t="shared" si="68"/>
        <v/>
      </c>
      <c r="BK88" s="158" t="str">
        <f t="shared" si="69"/>
        <v/>
      </c>
      <c r="BL88" s="158" t="str">
        <f t="shared" si="52"/>
        <v/>
      </c>
      <c r="BM88" s="10"/>
      <c r="BN88" s="10" t="str">
        <f t="shared" si="70"/>
        <v/>
      </c>
      <c r="BO88" s="10" t="str">
        <f t="shared" si="71"/>
        <v/>
      </c>
      <c r="BQ88" s="10" t="str">
        <f t="shared" si="53"/>
        <v/>
      </c>
      <c r="BR88" s="10" t="str">
        <f t="shared" si="72"/>
        <v/>
      </c>
    </row>
    <row r="89" spans="4:70" x14ac:dyDescent="0.15">
      <c r="E89" s="82" t="s">
        <v>235</v>
      </c>
      <c r="F89" s="91">
        <f>AO116/$BR$116</f>
        <v>0</v>
      </c>
      <c r="G89" s="81" t="s">
        <v>132</v>
      </c>
      <c r="I89" s="458">
        <f t="shared" si="73"/>
        <v>2104</v>
      </c>
      <c r="J89" s="39"/>
      <c r="K89" s="39">
        <f t="shared" si="74"/>
        <v>75</v>
      </c>
      <c r="L89" s="39"/>
      <c r="M89" s="40">
        <f t="shared" si="38"/>
        <v>0.10894521169560026</v>
      </c>
      <c r="N89" s="39"/>
      <c r="O89" s="72" t="str">
        <f t="shared" si="75"/>
        <v/>
      </c>
      <c r="P89" s="41" t="str">
        <f t="shared" si="39"/>
        <v/>
      </c>
      <c r="Q89" s="39"/>
      <c r="R89" s="72" t="str">
        <f t="shared" si="54"/>
        <v/>
      </c>
      <c r="S89" s="39"/>
      <c r="T89" s="72" t="str">
        <f t="shared" si="55"/>
        <v/>
      </c>
      <c r="U89" s="39"/>
      <c r="V89" s="72" t="str">
        <f t="shared" si="40"/>
        <v/>
      </c>
      <c r="W89" s="72" t="str">
        <f t="shared" si="56"/>
        <v/>
      </c>
      <c r="X89" s="39"/>
      <c r="Y89" s="72" t="str">
        <f t="shared" si="41"/>
        <v/>
      </c>
      <c r="Z89" s="72" t="str">
        <f t="shared" si="57"/>
        <v/>
      </c>
      <c r="AA89" s="39"/>
      <c r="AB89" s="72" t="str">
        <f t="shared" si="42"/>
        <v/>
      </c>
      <c r="AC89" s="72" t="str">
        <f t="shared" si="58"/>
        <v/>
      </c>
      <c r="AD89" s="39"/>
      <c r="AE89" s="72" t="str">
        <f t="shared" si="43"/>
        <v/>
      </c>
      <c r="AF89" s="72" t="str">
        <f t="shared" si="59"/>
        <v/>
      </c>
      <c r="AG89" s="39"/>
      <c r="AH89" s="72" t="str">
        <f t="shared" si="44"/>
        <v/>
      </c>
      <c r="AI89" s="72" t="str">
        <f t="shared" si="60"/>
        <v/>
      </c>
      <c r="AJ89" s="39"/>
      <c r="AK89" s="72" t="str">
        <f t="shared" si="45"/>
        <v/>
      </c>
      <c r="AL89" s="72" t="str">
        <f t="shared" si="61"/>
        <v/>
      </c>
      <c r="AM89" s="39"/>
      <c r="AN89" s="72" t="str">
        <f t="shared" si="46"/>
        <v/>
      </c>
      <c r="AO89" s="72" t="str">
        <f t="shared" si="62"/>
        <v/>
      </c>
      <c r="AP89" s="39"/>
      <c r="AQ89" s="72" t="str">
        <f t="shared" si="47"/>
        <v/>
      </c>
      <c r="AR89" s="72" t="str">
        <f t="shared" si="63"/>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48"/>
        <v/>
      </c>
      <c r="AW89" s="72" t="str">
        <f t="shared" si="64"/>
        <v/>
      </c>
      <c r="AX89" s="39"/>
      <c r="AY89" s="40" t="str">
        <f>IF(ISERROR(IF($K89&lt;=$F$15,VLOOKUP($I89,'表4）CO2価格'!$A$7:$E$67,VLOOKUP($F$48,'表4）CO2価格'!$H$10:$I$12,2,0),0)*$F$8/1000,"")),0,IF($K89&lt;=$F$15,VLOOKUP($I89,'表4）CO2価格'!$A$7:$E$67,VLOOKUP($F$48,'表4）CO2価格'!$H$10:$I$12,2,0),0)*$F$8/1000,""))</f>
        <v/>
      </c>
      <c r="AZ89" s="39"/>
      <c r="BA89" s="42" t="str">
        <f t="shared" si="49"/>
        <v/>
      </c>
      <c r="BB89" s="72" t="str">
        <f t="shared" si="65"/>
        <v/>
      </c>
      <c r="BC89" s="39"/>
      <c r="BD89" s="72" t="str">
        <f t="shared" si="50"/>
        <v/>
      </c>
      <c r="BE89" s="72" t="str">
        <f t="shared" si="66"/>
        <v/>
      </c>
      <c r="BF89" s="39"/>
      <c r="BG89" s="42" t="str">
        <f t="shared" si="51"/>
        <v/>
      </c>
      <c r="BH89" s="72" t="str">
        <f t="shared" si="67"/>
        <v/>
      </c>
      <c r="BI89" s="39"/>
      <c r="BJ89" s="40" t="str">
        <f t="shared" si="68"/>
        <v/>
      </c>
      <c r="BK89" s="157" t="str">
        <f t="shared" si="69"/>
        <v/>
      </c>
      <c r="BL89" s="157" t="str">
        <f t="shared" si="52"/>
        <v/>
      </c>
      <c r="BM89" s="72"/>
      <c r="BN89" s="72" t="str">
        <f t="shared" si="70"/>
        <v/>
      </c>
      <c r="BO89" s="72" t="str">
        <f t="shared" si="71"/>
        <v/>
      </c>
      <c r="BP89" s="39"/>
      <c r="BQ89" s="72" t="str">
        <f t="shared" si="53"/>
        <v/>
      </c>
      <c r="BR89" s="72" t="str">
        <f t="shared" si="72"/>
        <v/>
      </c>
    </row>
    <row r="90" spans="4:70" x14ac:dyDescent="0.15">
      <c r="E90" s="82" t="s">
        <v>236</v>
      </c>
      <c r="F90" s="91">
        <f>AR116/$BR$116</f>
        <v>0</v>
      </c>
      <c r="G90" s="81" t="s">
        <v>132</v>
      </c>
      <c r="I90" s="459">
        <f t="shared" si="73"/>
        <v>2105</v>
      </c>
      <c r="K90" s="71">
        <f t="shared" si="74"/>
        <v>76</v>
      </c>
      <c r="M90" s="7">
        <f t="shared" si="38"/>
        <v>0.10577205018990318</v>
      </c>
      <c r="O90" s="10" t="str">
        <f t="shared" si="75"/>
        <v/>
      </c>
      <c r="P90" s="29" t="str">
        <f t="shared" si="39"/>
        <v/>
      </c>
      <c r="R90" s="10" t="str">
        <f t="shared" si="54"/>
        <v/>
      </c>
      <c r="T90" s="10" t="str">
        <f t="shared" si="55"/>
        <v/>
      </c>
      <c r="V90" s="10" t="str">
        <f t="shared" si="40"/>
        <v/>
      </c>
      <c r="W90" s="10" t="str">
        <f t="shared" si="56"/>
        <v/>
      </c>
      <c r="Y90" s="10" t="str">
        <f t="shared" si="41"/>
        <v/>
      </c>
      <c r="Z90" s="10" t="str">
        <f t="shared" si="57"/>
        <v/>
      </c>
      <c r="AB90" s="10" t="str">
        <f t="shared" si="42"/>
        <v/>
      </c>
      <c r="AC90" s="10" t="str">
        <f t="shared" si="58"/>
        <v/>
      </c>
      <c r="AE90" s="10" t="str">
        <f t="shared" si="43"/>
        <v/>
      </c>
      <c r="AF90" s="10" t="str">
        <f t="shared" si="59"/>
        <v/>
      </c>
      <c r="AH90" s="10" t="str">
        <f t="shared" si="44"/>
        <v/>
      </c>
      <c r="AI90" s="10" t="str">
        <f t="shared" si="60"/>
        <v/>
      </c>
      <c r="AK90" s="10" t="str">
        <f t="shared" si="45"/>
        <v/>
      </c>
      <c r="AL90" s="10" t="str">
        <f t="shared" si="61"/>
        <v/>
      </c>
      <c r="AN90" s="10" t="str">
        <f t="shared" si="46"/>
        <v/>
      </c>
      <c r="AO90" s="10" t="str">
        <f t="shared" si="62"/>
        <v/>
      </c>
      <c r="AQ90" s="10" t="str">
        <f t="shared" si="47"/>
        <v/>
      </c>
      <c r="AR90" s="10" t="str">
        <f t="shared" si="63"/>
        <v/>
      </c>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V90" s="10" t="str">
        <f t="shared" si="48"/>
        <v/>
      </c>
      <c r="AW90" s="10" t="str">
        <f t="shared" si="64"/>
        <v/>
      </c>
      <c r="AY90" s="7" t="str">
        <f>IF(ISERROR(IF($K90&lt;=$F$15,VLOOKUP($I90,'表4）CO2価格'!$A$7:$E$67,VLOOKUP($F$48,'表4）CO2価格'!$H$10:$I$12,2,0),0)*$F$8/1000,"")),0,IF($K90&lt;=$F$15,VLOOKUP($I90,'表4）CO2価格'!$A$7:$E$67,VLOOKUP($F$48,'表4）CO2価格'!$H$10:$I$12,2,0),0)*$F$8/1000,""))</f>
        <v/>
      </c>
      <c r="BA90" s="11" t="str">
        <f t="shared" si="49"/>
        <v/>
      </c>
      <c r="BB90" s="10" t="str">
        <f t="shared" si="65"/>
        <v/>
      </c>
      <c r="BD90" s="10" t="str">
        <f t="shared" si="50"/>
        <v/>
      </c>
      <c r="BE90" s="10" t="str">
        <f t="shared" si="66"/>
        <v/>
      </c>
      <c r="BG90" s="11" t="str">
        <f t="shared" si="51"/>
        <v/>
      </c>
      <c r="BH90" s="10" t="str">
        <f t="shared" si="67"/>
        <v/>
      </c>
      <c r="BJ90" s="7" t="str">
        <f t="shared" si="68"/>
        <v/>
      </c>
      <c r="BK90" s="158" t="str">
        <f t="shared" si="69"/>
        <v/>
      </c>
      <c r="BL90" s="158" t="str">
        <f t="shared" si="52"/>
        <v/>
      </c>
      <c r="BM90" s="10"/>
      <c r="BN90" s="10" t="str">
        <f t="shared" si="70"/>
        <v/>
      </c>
      <c r="BO90" s="10" t="str">
        <f t="shared" si="71"/>
        <v/>
      </c>
      <c r="BQ90" s="10" t="str">
        <f t="shared" si="53"/>
        <v/>
      </c>
      <c r="BR90" s="10" t="str">
        <f t="shared" si="72"/>
        <v/>
      </c>
    </row>
    <row r="91" spans="4:70" x14ac:dyDescent="0.15">
      <c r="F91" s="93"/>
      <c r="I91" s="458">
        <f t="shared" si="73"/>
        <v>2106</v>
      </c>
      <c r="J91" s="39"/>
      <c r="K91" s="39">
        <f t="shared" si="74"/>
        <v>77</v>
      </c>
      <c r="L91" s="39"/>
      <c r="M91" s="40">
        <f t="shared" si="38"/>
        <v>0.10269131086398368</v>
      </c>
      <c r="N91" s="39"/>
      <c r="O91" s="72" t="str">
        <f t="shared" si="75"/>
        <v/>
      </c>
      <c r="P91" s="41" t="str">
        <f t="shared" si="39"/>
        <v/>
      </c>
      <c r="Q91" s="39"/>
      <c r="R91" s="72" t="str">
        <f t="shared" si="54"/>
        <v/>
      </c>
      <c r="S91" s="39"/>
      <c r="T91" s="72" t="str">
        <f t="shared" si="55"/>
        <v/>
      </c>
      <c r="U91" s="39"/>
      <c r="V91" s="72" t="str">
        <f t="shared" si="40"/>
        <v/>
      </c>
      <c r="W91" s="72" t="str">
        <f t="shared" si="56"/>
        <v/>
      </c>
      <c r="X91" s="39"/>
      <c r="Y91" s="72" t="str">
        <f t="shared" si="41"/>
        <v/>
      </c>
      <c r="Z91" s="72" t="str">
        <f t="shared" si="57"/>
        <v/>
      </c>
      <c r="AA91" s="39"/>
      <c r="AB91" s="72" t="str">
        <f t="shared" si="42"/>
        <v/>
      </c>
      <c r="AC91" s="72" t="str">
        <f t="shared" si="58"/>
        <v/>
      </c>
      <c r="AD91" s="39"/>
      <c r="AE91" s="72" t="str">
        <f t="shared" si="43"/>
        <v/>
      </c>
      <c r="AF91" s="72" t="str">
        <f t="shared" si="59"/>
        <v/>
      </c>
      <c r="AG91" s="39"/>
      <c r="AH91" s="72" t="str">
        <f t="shared" si="44"/>
        <v/>
      </c>
      <c r="AI91" s="72" t="str">
        <f t="shared" si="60"/>
        <v/>
      </c>
      <c r="AJ91" s="39"/>
      <c r="AK91" s="72" t="str">
        <f t="shared" si="45"/>
        <v/>
      </c>
      <c r="AL91" s="72" t="str">
        <f t="shared" si="61"/>
        <v/>
      </c>
      <c r="AM91" s="39"/>
      <c r="AN91" s="72" t="str">
        <f t="shared" si="46"/>
        <v/>
      </c>
      <c r="AO91" s="72" t="str">
        <f t="shared" si="62"/>
        <v/>
      </c>
      <c r="AP91" s="39"/>
      <c r="AQ91" s="72" t="str">
        <f t="shared" si="47"/>
        <v/>
      </c>
      <c r="AR91" s="72" t="str">
        <f t="shared" si="63"/>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48"/>
        <v/>
      </c>
      <c r="AW91" s="72" t="str">
        <f t="shared" si="64"/>
        <v/>
      </c>
      <c r="AX91" s="39"/>
      <c r="AY91" s="40" t="str">
        <f>IF(ISERROR(IF($K91&lt;=$F$15,VLOOKUP($I91,'表4）CO2価格'!$A$7:$E$67,VLOOKUP($F$48,'表4）CO2価格'!$H$10:$I$12,2,0),0)*$F$8/1000,"")),0,IF($K91&lt;=$F$15,VLOOKUP($I91,'表4）CO2価格'!$A$7:$E$67,VLOOKUP($F$48,'表4）CO2価格'!$H$10:$I$12,2,0),0)*$F$8/1000,""))</f>
        <v/>
      </c>
      <c r="AZ91" s="39"/>
      <c r="BA91" s="42" t="str">
        <f t="shared" si="49"/>
        <v/>
      </c>
      <c r="BB91" s="72" t="str">
        <f t="shared" si="65"/>
        <v/>
      </c>
      <c r="BC91" s="39"/>
      <c r="BD91" s="72" t="str">
        <f t="shared" si="50"/>
        <v/>
      </c>
      <c r="BE91" s="72" t="str">
        <f t="shared" si="66"/>
        <v/>
      </c>
      <c r="BF91" s="39"/>
      <c r="BG91" s="42" t="str">
        <f t="shared" si="51"/>
        <v/>
      </c>
      <c r="BH91" s="72" t="str">
        <f t="shared" si="67"/>
        <v/>
      </c>
      <c r="BI91" s="39"/>
      <c r="BJ91" s="40" t="str">
        <f t="shared" si="68"/>
        <v/>
      </c>
      <c r="BK91" s="157" t="str">
        <f t="shared" si="69"/>
        <v/>
      </c>
      <c r="BL91" s="157" t="str">
        <f t="shared" si="52"/>
        <v/>
      </c>
      <c r="BM91" s="72"/>
      <c r="BN91" s="72" t="str">
        <f t="shared" si="70"/>
        <v/>
      </c>
      <c r="BO91" s="72" t="str">
        <f t="shared" si="71"/>
        <v/>
      </c>
      <c r="BP91" s="39"/>
      <c r="BQ91" s="72" t="str">
        <f t="shared" si="53"/>
        <v/>
      </c>
      <c r="BR91" s="72" t="str">
        <f t="shared" si="72"/>
        <v/>
      </c>
    </row>
    <row r="92" spans="4:70" ht="15" x14ac:dyDescent="0.15">
      <c r="D92" s="116" t="s">
        <v>196</v>
      </c>
      <c r="F92" s="94">
        <f>SUBTOTAL(9,F96:F97)</f>
        <v>0</v>
      </c>
      <c r="I92" s="459">
        <f t="shared" si="73"/>
        <v>2107</v>
      </c>
      <c r="K92" s="71">
        <f t="shared" si="74"/>
        <v>78</v>
      </c>
      <c r="M92" s="7">
        <f t="shared" si="38"/>
        <v>9.9700301809692873E-2</v>
      </c>
      <c r="O92" s="10" t="str">
        <f t="shared" si="75"/>
        <v/>
      </c>
      <c r="P92" s="29" t="str">
        <f t="shared" si="39"/>
        <v/>
      </c>
      <c r="R92" s="10" t="str">
        <f t="shared" si="54"/>
        <v/>
      </c>
      <c r="T92" s="10" t="str">
        <f t="shared" si="55"/>
        <v/>
      </c>
      <c r="V92" s="10" t="str">
        <f t="shared" si="40"/>
        <v/>
      </c>
      <c r="W92" s="10" t="str">
        <f t="shared" si="56"/>
        <v/>
      </c>
      <c r="Y92" s="10" t="str">
        <f t="shared" si="41"/>
        <v/>
      </c>
      <c r="Z92" s="10" t="str">
        <f t="shared" si="57"/>
        <v/>
      </c>
      <c r="AB92" s="10" t="str">
        <f t="shared" si="42"/>
        <v/>
      </c>
      <c r="AC92" s="10" t="str">
        <f t="shared" si="58"/>
        <v/>
      </c>
      <c r="AE92" s="10" t="str">
        <f t="shared" si="43"/>
        <v/>
      </c>
      <c r="AF92" s="10" t="str">
        <f t="shared" si="59"/>
        <v/>
      </c>
      <c r="AH92" s="10" t="str">
        <f t="shared" si="44"/>
        <v/>
      </c>
      <c r="AI92" s="10" t="str">
        <f t="shared" si="60"/>
        <v/>
      </c>
      <c r="AK92" s="10" t="str">
        <f t="shared" si="45"/>
        <v/>
      </c>
      <c r="AL92" s="10" t="str">
        <f t="shared" si="61"/>
        <v/>
      </c>
      <c r="AN92" s="10" t="str">
        <f t="shared" si="46"/>
        <v/>
      </c>
      <c r="AO92" s="10" t="str">
        <f t="shared" si="62"/>
        <v/>
      </c>
      <c r="AQ92" s="10" t="str">
        <f t="shared" si="47"/>
        <v/>
      </c>
      <c r="AR92" s="10" t="str">
        <f t="shared" si="63"/>
        <v/>
      </c>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V92" s="10" t="str">
        <f t="shared" si="48"/>
        <v/>
      </c>
      <c r="AW92" s="10" t="str">
        <f t="shared" si="64"/>
        <v/>
      </c>
      <c r="AY92" s="7" t="str">
        <f>IF(ISERROR(IF($K92&lt;=$F$15,VLOOKUP($I92,'表4）CO2価格'!$A$7:$E$67,VLOOKUP($F$48,'表4）CO2価格'!$H$10:$I$12,2,0),0)*$F$8/1000,"")),0,IF($K92&lt;=$F$15,VLOOKUP($I92,'表4）CO2価格'!$A$7:$E$67,VLOOKUP($F$48,'表4）CO2価格'!$H$10:$I$12,2,0),0)*$F$8/1000,""))</f>
        <v/>
      </c>
      <c r="BA92" s="11" t="str">
        <f t="shared" si="49"/>
        <v/>
      </c>
      <c r="BB92" s="10" t="str">
        <f t="shared" si="65"/>
        <v/>
      </c>
      <c r="BD92" s="10" t="str">
        <f t="shared" si="50"/>
        <v/>
      </c>
      <c r="BE92" s="10" t="str">
        <f t="shared" si="66"/>
        <v/>
      </c>
      <c r="BG92" s="11" t="str">
        <f t="shared" si="51"/>
        <v/>
      </c>
      <c r="BH92" s="10" t="str">
        <f t="shared" si="67"/>
        <v/>
      </c>
      <c r="BJ92" s="7" t="str">
        <f t="shared" si="68"/>
        <v/>
      </c>
      <c r="BK92" s="158" t="str">
        <f t="shared" si="69"/>
        <v/>
      </c>
      <c r="BL92" s="158" t="str">
        <f t="shared" si="52"/>
        <v/>
      </c>
      <c r="BM92" s="10"/>
      <c r="BN92" s="10" t="str">
        <f t="shared" si="70"/>
        <v/>
      </c>
      <c r="BO92" s="10" t="str">
        <f t="shared" si="71"/>
        <v/>
      </c>
      <c r="BQ92" s="10" t="str">
        <f t="shared" si="53"/>
        <v/>
      </c>
      <c r="BR92" s="10" t="str">
        <f t="shared" si="72"/>
        <v/>
      </c>
    </row>
    <row r="93" spans="4:70" ht="15" x14ac:dyDescent="0.15">
      <c r="D93" s="116"/>
      <c r="F93" s="93"/>
      <c r="I93" s="458">
        <f t="shared" si="73"/>
        <v>2108</v>
      </c>
      <c r="J93" s="39"/>
      <c r="K93" s="39">
        <f t="shared" si="74"/>
        <v>79</v>
      </c>
      <c r="L93" s="39"/>
      <c r="M93" s="40">
        <f t="shared" si="38"/>
        <v>9.679640952397367E-2</v>
      </c>
      <c r="N93" s="39"/>
      <c r="O93" s="72" t="str">
        <f t="shared" si="75"/>
        <v/>
      </c>
      <c r="P93" s="41" t="str">
        <f t="shared" si="39"/>
        <v/>
      </c>
      <c r="Q93" s="39"/>
      <c r="R93" s="72" t="str">
        <f t="shared" si="54"/>
        <v/>
      </c>
      <c r="S93" s="39"/>
      <c r="T93" s="72" t="str">
        <f t="shared" si="55"/>
        <v/>
      </c>
      <c r="U93" s="39"/>
      <c r="V93" s="72" t="str">
        <f t="shared" si="40"/>
        <v/>
      </c>
      <c r="W93" s="72" t="str">
        <f t="shared" si="56"/>
        <v/>
      </c>
      <c r="X93" s="39"/>
      <c r="Y93" s="72" t="str">
        <f t="shared" si="41"/>
        <v/>
      </c>
      <c r="Z93" s="72" t="str">
        <f t="shared" si="57"/>
        <v/>
      </c>
      <c r="AA93" s="39"/>
      <c r="AB93" s="72" t="str">
        <f t="shared" si="42"/>
        <v/>
      </c>
      <c r="AC93" s="72" t="str">
        <f t="shared" si="58"/>
        <v/>
      </c>
      <c r="AD93" s="39"/>
      <c r="AE93" s="72" t="str">
        <f t="shared" si="43"/>
        <v/>
      </c>
      <c r="AF93" s="72" t="str">
        <f t="shared" si="59"/>
        <v/>
      </c>
      <c r="AG93" s="39"/>
      <c r="AH93" s="72" t="str">
        <f t="shared" si="44"/>
        <v/>
      </c>
      <c r="AI93" s="72" t="str">
        <f t="shared" si="60"/>
        <v/>
      </c>
      <c r="AJ93" s="39"/>
      <c r="AK93" s="72" t="str">
        <f t="shared" si="45"/>
        <v/>
      </c>
      <c r="AL93" s="72" t="str">
        <f t="shared" si="61"/>
        <v/>
      </c>
      <c r="AM93" s="39"/>
      <c r="AN93" s="72" t="str">
        <f t="shared" si="46"/>
        <v/>
      </c>
      <c r="AO93" s="72" t="str">
        <f t="shared" si="62"/>
        <v/>
      </c>
      <c r="AP93" s="39"/>
      <c r="AQ93" s="72" t="str">
        <f t="shared" si="47"/>
        <v/>
      </c>
      <c r="AR93" s="72" t="str">
        <f t="shared" si="63"/>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48"/>
        <v/>
      </c>
      <c r="AW93" s="72" t="str">
        <f t="shared" si="64"/>
        <v/>
      </c>
      <c r="AX93" s="39"/>
      <c r="AY93" s="40" t="str">
        <f>IF(ISERROR(IF($K93&lt;=$F$15,VLOOKUP($I93,'表4）CO2価格'!$A$7:$E$67,VLOOKUP($F$48,'表4）CO2価格'!$H$10:$I$12,2,0),0)*$F$8/1000,"")),0,IF($K93&lt;=$F$15,VLOOKUP($I93,'表4）CO2価格'!$A$7:$E$67,VLOOKUP($F$48,'表4）CO2価格'!$H$10:$I$12,2,0),0)*$F$8/1000,""))</f>
        <v/>
      </c>
      <c r="AZ93" s="39"/>
      <c r="BA93" s="42" t="str">
        <f t="shared" si="49"/>
        <v/>
      </c>
      <c r="BB93" s="72" t="str">
        <f t="shared" si="65"/>
        <v/>
      </c>
      <c r="BC93" s="39"/>
      <c r="BD93" s="72" t="str">
        <f t="shared" si="50"/>
        <v/>
      </c>
      <c r="BE93" s="72" t="str">
        <f t="shared" si="66"/>
        <v/>
      </c>
      <c r="BF93" s="39"/>
      <c r="BG93" s="42" t="str">
        <f t="shared" si="51"/>
        <v/>
      </c>
      <c r="BH93" s="72" t="str">
        <f t="shared" si="67"/>
        <v/>
      </c>
      <c r="BI93" s="39"/>
      <c r="BJ93" s="40" t="str">
        <f t="shared" si="68"/>
        <v/>
      </c>
      <c r="BK93" s="157" t="str">
        <f t="shared" si="69"/>
        <v/>
      </c>
      <c r="BL93" s="157" t="str">
        <f t="shared" si="52"/>
        <v/>
      </c>
      <c r="BM93" s="72"/>
      <c r="BN93" s="72" t="str">
        <f t="shared" si="70"/>
        <v/>
      </c>
      <c r="BO93" s="72" t="str">
        <f t="shared" si="71"/>
        <v/>
      </c>
      <c r="BP93" s="39"/>
      <c r="BQ93" s="72" t="str">
        <f t="shared" si="53"/>
        <v/>
      </c>
      <c r="BR93" s="72" t="str">
        <f t="shared" si="72"/>
        <v/>
      </c>
    </row>
    <row r="94" spans="4:70" x14ac:dyDescent="0.15">
      <c r="D94" s="101" t="s">
        <v>197</v>
      </c>
      <c r="E94" s="101"/>
      <c r="F94" s="92"/>
      <c r="G94" s="101"/>
      <c r="I94" s="459">
        <f t="shared" si="73"/>
        <v>2109</v>
      </c>
      <c r="K94" s="71">
        <f t="shared" si="74"/>
        <v>80</v>
      </c>
      <c r="M94" s="7">
        <f t="shared" si="38"/>
        <v>9.3977096625217166E-2</v>
      </c>
      <c r="O94" s="10" t="str">
        <f t="shared" si="75"/>
        <v/>
      </c>
      <c r="P94" s="29" t="str">
        <f t="shared" si="39"/>
        <v/>
      </c>
      <c r="R94" s="10" t="str">
        <f t="shared" si="54"/>
        <v/>
      </c>
      <c r="T94" s="10" t="str">
        <f t="shared" si="55"/>
        <v/>
      </c>
      <c r="V94" s="10" t="str">
        <f t="shared" si="40"/>
        <v/>
      </c>
      <c r="W94" s="10" t="str">
        <f t="shared" si="56"/>
        <v/>
      </c>
      <c r="Y94" s="10" t="str">
        <f t="shared" si="41"/>
        <v/>
      </c>
      <c r="Z94" s="10" t="str">
        <f t="shared" si="57"/>
        <v/>
      </c>
      <c r="AB94" s="10" t="str">
        <f t="shared" si="42"/>
        <v/>
      </c>
      <c r="AC94" s="10" t="str">
        <f t="shared" si="58"/>
        <v/>
      </c>
      <c r="AE94" s="10" t="str">
        <f t="shared" si="43"/>
        <v/>
      </c>
      <c r="AF94" s="10" t="str">
        <f t="shared" si="59"/>
        <v/>
      </c>
      <c r="AH94" s="10" t="str">
        <f t="shared" si="44"/>
        <v/>
      </c>
      <c r="AI94" s="10" t="str">
        <f t="shared" si="60"/>
        <v/>
      </c>
      <c r="AK94" s="10" t="str">
        <f t="shared" si="45"/>
        <v/>
      </c>
      <c r="AL94" s="10" t="str">
        <f t="shared" si="61"/>
        <v/>
      </c>
      <c r="AN94" s="10" t="str">
        <f t="shared" si="46"/>
        <v/>
      </c>
      <c r="AO94" s="10" t="str">
        <f t="shared" si="62"/>
        <v/>
      </c>
      <c r="AQ94" s="10" t="str">
        <f t="shared" si="47"/>
        <v/>
      </c>
      <c r="AR94" s="10" t="str">
        <f t="shared" si="63"/>
        <v/>
      </c>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V94" s="10" t="str">
        <f t="shared" si="48"/>
        <v/>
      </c>
      <c r="AW94" s="10" t="str">
        <f t="shared" si="64"/>
        <v/>
      </c>
      <c r="AY94" s="7" t="str">
        <f>IF(ISERROR(IF($K94&lt;=$F$15,VLOOKUP($I94,'表4）CO2価格'!$A$7:$E$67,VLOOKUP($F$48,'表4）CO2価格'!$H$10:$I$12,2,0),0)*$F$8/1000,"")),0,IF($K94&lt;=$F$15,VLOOKUP($I94,'表4）CO2価格'!$A$7:$E$67,VLOOKUP($F$48,'表4）CO2価格'!$H$10:$I$12,2,0),0)*$F$8/1000,""))</f>
        <v/>
      </c>
      <c r="BA94" s="11" t="str">
        <f t="shared" si="49"/>
        <v/>
      </c>
      <c r="BB94" s="10" t="str">
        <f t="shared" si="65"/>
        <v/>
      </c>
      <c r="BD94" s="10" t="str">
        <f t="shared" si="50"/>
        <v/>
      </c>
      <c r="BE94" s="10" t="str">
        <f t="shared" si="66"/>
        <v/>
      </c>
      <c r="BG94" s="11" t="str">
        <f t="shared" si="51"/>
        <v/>
      </c>
      <c r="BH94" s="10" t="str">
        <f t="shared" si="67"/>
        <v/>
      </c>
      <c r="BJ94" s="7" t="str">
        <f t="shared" si="68"/>
        <v/>
      </c>
      <c r="BK94" s="158" t="str">
        <f t="shared" si="69"/>
        <v/>
      </c>
      <c r="BL94" s="158" t="str">
        <f t="shared" si="52"/>
        <v/>
      </c>
      <c r="BM94" s="10"/>
      <c r="BN94" s="10" t="str">
        <f t="shared" si="70"/>
        <v/>
      </c>
      <c r="BO94" s="10" t="str">
        <f t="shared" si="71"/>
        <v/>
      </c>
      <c r="BQ94" s="10" t="str">
        <f t="shared" si="53"/>
        <v/>
      </c>
      <c r="BR94" s="10" t="str">
        <f t="shared" si="72"/>
        <v/>
      </c>
    </row>
    <row r="95" spans="4:70" ht="15" x14ac:dyDescent="0.15">
      <c r="D95" s="116"/>
      <c r="F95" s="93"/>
      <c r="I95" s="458">
        <f t="shared" si="73"/>
        <v>2110</v>
      </c>
      <c r="J95" s="39"/>
      <c r="K95" s="39">
        <f t="shared" si="74"/>
        <v>81</v>
      </c>
      <c r="L95" s="39"/>
      <c r="M95" s="40">
        <f t="shared" si="38"/>
        <v>9.1239899636133173E-2</v>
      </c>
      <c r="N95" s="39"/>
      <c r="O95" s="72" t="str">
        <f t="shared" si="75"/>
        <v/>
      </c>
      <c r="P95" s="41" t="str">
        <f t="shared" si="39"/>
        <v/>
      </c>
      <c r="Q95" s="39"/>
      <c r="R95" s="72" t="str">
        <f t="shared" si="54"/>
        <v/>
      </c>
      <c r="S95" s="39"/>
      <c r="T95" s="72" t="str">
        <f t="shared" si="55"/>
        <v/>
      </c>
      <c r="U95" s="39"/>
      <c r="V95" s="72" t="str">
        <f t="shared" si="40"/>
        <v/>
      </c>
      <c r="W95" s="72" t="str">
        <f t="shared" si="56"/>
        <v/>
      </c>
      <c r="X95" s="39"/>
      <c r="Y95" s="72" t="str">
        <f t="shared" si="41"/>
        <v/>
      </c>
      <c r="Z95" s="72" t="str">
        <f t="shared" si="57"/>
        <v/>
      </c>
      <c r="AA95" s="39"/>
      <c r="AB95" s="72" t="str">
        <f t="shared" si="42"/>
        <v/>
      </c>
      <c r="AC95" s="72" t="str">
        <f t="shared" si="58"/>
        <v/>
      </c>
      <c r="AD95" s="39"/>
      <c r="AE95" s="72" t="str">
        <f t="shared" si="43"/>
        <v/>
      </c>
      <c r="AF95" s="72" t="str">
        <f t="shared" si="59"/>
        <v/>
      </c>
      <c r="AG95" s="39"/>
      <c r="AH95" s="72" t="str">
        <f t="shared" si="44"/>
        <v/>
      </c>
      <c r="AI95" s="72" t="str">
        <f t="shared" si="60"/>
        <v/>
      </c>
      <c r="AJ95" s="39"/>
      <c r="AK95" s="72" t="str">
        <f t="shared" si="45"/>
        <v/>
      </c>
      <c r="AL95" s="72" t="str">
        <f t="shared" si="61"/>
        <v/>
      </c>
      <c r="AM95" s="39"/>
      <c r="AN95" s="72" t="str">
        <f t="shared" si="46"/>
        <v/>
      </c>
      <c r="AO95" s="72" t="str">
        <f t="shared" si="62"/>
        <v/>
      </c>
      <c r="AP95" s="39"/>
      <c r="AQ95" s="72" t="str">
        <f t="shared" si="47"/>
        <v/>
      </c>
      <c r="AR95" s="72" t="str">
        <f t="shared" si="63"/>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48"/>
        <v/>
      </c>
      <c r="AW95" s="72" t="str">
        <f t="shared" si="64"/>
        <v/>
      </c>
      <c r="AX95" s="39"/>
      <c r="AY95" s="40" t="str">
        <f>IF(ISERROR(IF($K95&lt;=$F$15,VLOOKUP($I95,'表4）CO2価格'!$A$7:$E$67,VLOOKUP($F$48,'表4）CO2価格'!$H$10:$I$12,2,0),0)*$F$8/1000,"")),0,IF($K95&lt;=$F$15,VLOOKUP($I95,'表4）CO2価格'!$A$7:$E$67,VLOOKUP($F$48,'表4）CO2価格'!$H$10:$I$12,2,0),0)*$F$8/1000,""))</f>
        <v/>
      </c>
      <c r="AZ95" s="39"/>
      <c r="BA95" s="42" t="str">
        <f t="shared" si="49"/>
        <v/>
      </c>
      <c r="BB95" s="72" t="str">
        <f t="shared" si="65"/>
        <v/>
      </c>
      <c r="BC95" s="39"/>
      <c r="BD95" s="72" t="str">
        <f t="shared" si="50"/>
        <v/>
      </c>
      <c r="BE95" s="72" t="str">
        <f t="shared" si="66"/>
        <v/>
      </c>
      <c r="BF95" s="39"/>
      <c r="BG95" s="42" t="str">
        <f t="shared" si="51"/>
        <v/>
      </c>
      <c r="BH95" s="72" t="str">
        <f t="shared" si="67"/>
        <v/>
      </c>
      <c r="BI95" s="39"/>
      <c r="BJ95" s="40" t="str">
        <f t="shared" si="68"/>
        <v/>
      </c>
      <c r="BK95" s="157" t="str">
        <f t="shared" si="69"/>
        <v/>
      </c>
      <c r="BL95" s="157" t="str">
        <f t="shared" si="52"/>
        <v/>
      </c>
      <c r="BM95" s="72"/>
      <c r="BN95" s="72" t="str">
        <f t="shared" si="70"/>
        <v/>
      </c>
      <c r="BO95" s="72" t="str">
        <f t="shared" si="71"/>
        <v/>
      </c>
      <c r="BP95" s="39"/>
      <c r="BQ95" s="72" t="str">
        <f t="shared" si="53"/>
        <v/>
      </c>
      <c r="BR95" s="72" t="str">
        <f t="shared" si="72"/>
        <v/>
      </c>
    </row>
    <row r="96" spans="4:70" ht="15" x14ac:dyDescent="0.15">
      <c r="D96" s="116"/>
      <c r="E96" s="81" t="s">
        <v>198</v>
      </c>
      <c r="F96" s="91">
        <f>IF(F3&lt;&gt;"原子力",AW116/$BR$116,0)</f>
        <v>0</v>
      </c>
      <c r="G96" s="81" t="s">
        <v>132</v>
      </c>
      <c r="I96" s="459">
        <f t="shared" si="73"/>
        <v>2111</v>
      </c>
      <c r="K96" s="71">
        <f t="shared" si="74"/>
        <v>82</v>
      </c>
      <c r="M96" s="7">
        <f t="shared" si="38"/>
        <v>8.8582426831197242E-2</v>
      </c>
      <c r="O96" s="10" t="str">
        <f t="shared" si="75"/>
        <v/>
      </c>
      <c r="P96" s="29" t="str">
        <f t="shared" si="39"/>
        <v/>
      </c>
      <c r="R96" s="10" t="str">
        <f t="shared" si="54"/>
        <v/>
      </c>
      <c r="T96" s="10" t="str">
        <f t="shared" si="55"/>
        <v/>
      </c>
      <c r="V96" s="10" t="str">
        <f t="shared" si="40"/>
        <v/>
      </c>
      <c r="W96" s="10" t="str">
        <f t="shared" si="56"/>
        <v/>
      </c>
      <c r="Y96" s="10" t="str">
        <f t="shared" si="41"/>
        <v/>
      </c>
      <c r="Z96" s="10" t="str">
        <f t="shared" si="57"/>
        <v/>
      </c>
      <c r="AB96" s="10" t="str">
        <f t="shared" si="42"/>
        <v/>
      </c>
      <c r="AC96" s="10" t="str">
        <f t="shared" si="58"/>
        <v/>
      </c>
      <c r="AE96" s="10" t="str">
        <f t="shared" si="43"/>
        <v/>
      </c>
      <c r="AF96" s="10" t="str">
        <f t="shared" si="59"/>
        <v/>
      </c>
      <c r="AH96" s="10" t="str">
        <f t="shared" si="44"/>
        <v/>
      </c>
      <c r="AI96" s="10" t="str">
        <f t="shared" si="60"/>
        <v/>
      </c>
      <c r="AK96" s="10" t="str">
        <f t="shared" si="45"/>
        <v/>
      </c>
      <c r="AL96" s="10" t="str">
        <f t="shared" si="61"/>
        <v/>
      </c>
      <c r="AN96" s="10" t="str">
        <f t="shared" si="46"/>
        <v/>
      </c>
      <c r="AO96" s="10" t="str">
        <f t="shared" si="62"/>
        <v/>
      </c>
      <c r="AQ96" s="10" t="str">
        <f t="shared" si="47"/>
        <v/>
      </c>
      <c r="AR96" s="10" t="str">
        <f t="shared" si="63"/>
        <v/>
      </c>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V96" s="10" t="str">
        <f t="shared" si="48"/>
        <v/>
      </c>
      <c r="AW96" s="10" t="str">
        <f t="shared" si="64"/>
        <v/>
      </c>
      <c r="AY96" s="7" t="str">
        <f>IF(ISERROR(IF($K96&lt;=$F$15,VLOOKUP($I96,'表4）CO2価格'!$A$7:$E$67,VLOOKUP($F$48,'表4）CO2価格'!$H$10:$I$12,2,0),0)*$F$8/1000,"")),0,IF($K96&lt;=$F$15,VLOOKUP($I96,'表4）CO2価格'!$A$7:$E$67,VLOOKUP($F$48,'表4）CO2価格'!$H$10:$I$12,2,0),0)*$F$8/1000,""))</f>
        <v/>
      </c>
      <c r="BA96" s="11" t="str">
        <f t="shared" si="49"/>
        <v/>
      </c>
      <c r="BB96" s="10" t="str">
        <f t="shared" si="65"/>
        <v/>
      </c>
      <c r="BD96" s="10" t="str">
        <f t="shared" si="50"/>
        <v/>
      </c>
      <c r="BE96" s="10" t="str">
        <f t="shared" si="66"/>
        <v/>
      </c>
      <c r="BG96" s="11" t="str">
        <f t="shared" si="51"/>
        <v/>
      </c>
      <c r="BH96" s="10" t="str">
        <f t="shared" si="67"/>
        <v/>
      </c>
      <c r="BJ96" s="7" t="str">
        <f t="shared" si="68"/>
        <v/>
      </c>
      <c r="BK96" s="158" t="str">
        <f t="shared" si="69"/>
        <v/>
      </c>
      <c r="BL96" s="158" t="str">
        <f t="shared" si="52"/>
        <v/>
      </c>
      <c r="BM96" s="10"/>
      <c r="BN96" s="10" t="str">
        <f t="shared" si="70"/>
        <v/>
      </c>
      <c r="BO96" s="10" t="str">
        <f t="shared" si="71"/>
        <v/>
      </c>
      <c r="BQ96" s="10" t="str">
        <f t="shared" si="53"/>
        <v/>
      </c>
      <c r="BR96" s="10" t="str">
        <f t="shared" si="72"/>
        <v/>
      </c>
    </row>
    <row r="97" spans="4:70" ht="15" x14ac:dyDescent="0.15">
      <c r="D97" s="116"/>
      <c r="E97" s="81" t="s">
        <v>199</v>
      </c>
      <c r="F97" s="91">
        <f>IF(F3="原子力",#REF!,0)</f>
        <v>0</v>
      </c>
      <c r="G97" s="81" t="s">
        <v>132</v>
      </c>
      <c r="I97" s="458">
        <f t="shared" si="73"/>
        <v>2112</v>
      </c>
      <c r="J97" s="39"/>
      <c r="K97" s="39">
        <f t="shared" si="74"/>
        <v>83</v>
      </c>
      <c r="L97" s="39"/>
      <c r="M97" s="40">
        <f t="shared" si="38"/>
        <v>8.6002356146793454E-2</v>
      </c>
      <c r="N97" s="39"/>
      <c r="O97" s="72" t="str">
        <f t="shared" si="75"/>
        <v/>
      </c>
      <c r="P97" s="41" t="str">
        <f t="shared" si="39"/>
        <v/>
      </c>
      <c r="Q97" s="39"/>
      <c r="R97" s="72" t="str">
        <f t="shared" si="54"/>
        <v/>
      </c>
      <c r="S97" s="39"/>
      <c r="T97" s="72" t="str">
        <f t="shared" si="55"/>
        <v/>
      </c>
      <c r="U97" s="39"/>
      <c r="V97" s="72" t="str">
        <f t="shared" si="40"/>
        <v/>
      </c>
      <c r="W97" s="72" t="str">
        <f t="shared" si="56"/>
        <v/>
      </c>
      <c r="X97" s="39"/>
      <c r="Y97" s="72" t="str">
        <f t="shared" si="41"/>
        <v/>
      </c>
      <c r="Z97" s="72" t="str">
        <f t="shared" si="57"/>
        <v/>
      </c>
      <c r="AA97" s="39"/>
      <c r="AB97" s="72" t="str">
        <f t="shared" si="42"/>
        <v/>
      </c>
      <c r="AC97" s="72" t="str">
        <f t="shared" si="58"/>
        <v/>
      </c>
      <c r="AD97" s="39"/>
      <c r="AE97" s="72" t="str">
        <f t="shared" si="43"/>
        <v/>
      </c>
      <c r="AF97" s="72" t="str">
        <f t="shared" si="59"/>
        <v/>
      </c>
      <c r="AG97" s="39"/>
      <c r="AH97" s="72" t="str">
        <f t="shared" si="44"/>
        <v/>
      </c>
      <c r="AI97" s="72" t="str">
        <f t="shared" si="60"/>
        <v/>
      </c>
      <c r="AJ97" s="39"/>
      <c r="AK97" s="72" t="str">
        <f t="shared" si="45"/>
        <v/>
      </c>
      <c r="AL97" s="72" t="str">
        <f t="shared" si="61"/>
        <v/>
      </c>
      <c r="AM97" s="39"/>
      <c r="AN97" s="72" t="str">
        <f t="shared" si="46"/>
        <v/>
      </c>
      <c r="AO97" s="72" t="str">
        <f t="shared" si="62"/>
        <v/>
      </c>
      <c r="AP97" s="39"/>
      <c r="AQ97" s="72" t="str">
        <f t="shared" si="47"/>
        <v/>
      </c>
      <c r="AR97" s="72" t="str">
        <f t="shared" si="63"/>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48"/>
        <v/>
      </c>
      <c r="AW97" s="72" t="str">
        <f t="shared" si="64"/>
        <v/>
      </c>
      <c r="AX97" s="39"/>
      <c r="AY97" s="40" t="str">
        <f>IF(ISERROR(IF($K97&lt;=$F$15,VLOOKUP($I97,'表4）CO2価格'!$A$7:$E$67,VLOOKUP($F$48,'表4）CO2価格'!$H$10:$I$12,2,0),0)*$F$8/1000,"")),0,IF($K97&lt;=$F$15,VLOOKUP($I97,'表4）CO2価格'!$A$7:$E$67,VLOOKUP($F$48,'表4）CO2価格'!$H$10:$I$12,2,0),0)*$F$8/1000,""))</f>
        <v/>
      </c>
      <c r="AZ97" s="39"/>
      <c r="BA97" s="42" t="str">
        <f t="shared" si="49"/>
        <v/>
      </c>
      <c r="BB97" s="72" t="str">
        <f t="shared" si="65"/>
        <v/>
      </c>
      <c r="BC97" s="39"/>
      <c r="BD97" s="72" t="str">
        <f t="shared" si="50"/>
        <v/>
      </c>
      <c r="BE97" s="72" t="str">
        <f t="shared" si="66"/>
        <v/>
      </c>
      <c r="BF97" s="39"/>
      <c r="BG97" s="42" t="str">
        <f t="shared" si="51"/>
        <v/>
      </c>
      <c r="BH97" s="72" t="str">
        <f t="shared" si="67"/>
        <v/>
      </c>
      <c r="BI97" s="39"/>
      <c r="BJ97" s="40" t="str">
        <f t="shared" si="68"/>
        <v/>
      </c>
      <c r="BK97" s="157" t="str">
        <f t="shared" si="69"/>
        <v/>
      </c>
      <c r="BL97" s="157" t="str">
        <f t="shared" si="52"/>
        <v/>
      </c>
      <c r="BM97" s="72"/>
      <c r="BN97" s="72" t="str">
        <f t="shared" si="70"/>
        <v/>
      </c>
      <c r="BO97" s="72" t="str">
        <f t="shared" si="71"/>
        <v/>
      </c>
      <c r="BP97" s="39"/>
      <c r="BQ97" s="72" t="str">
        <f t="shared" si="53"/>
        <v/>
      </c>
      <c r="BR97" s="72" t="str">
        <f t="shared" si="72"/>
        <v/>
      </c>
    </row>
    <row r="98" spans="4:70" x14ac:dyDescent="0.15">
      <c r="F98" s="93"/>
      <c r="I98" s="459">
        <f t="shared" si="73"/>
        <v>2113</v>
      </c>
      <c r="K98" s="71">
        <f t="shared" si="74"/>
        <v>84</v>
      </c>
      <c r="M98" s="7">
        <f t="shared" si="38"/>
        <v>8.3497433152226644E-2</v>
      </c>
      <c r="O98" s="10" t="str">
        <f t="shared" si="75"/>
        <v/>
      </c>
      <c r="P98" s="29" t="str">
        <f t="shared" si="39"/>
        <v/>
      </c>
      <c r="R98" s="10" t="str">
        <f t="shared" si="54"/>
        <v/>
      </c>
      <c r="T98" s="10" t="str">
        <f t="shared" si="55"/>
        <v/>
      </c>
      <c r="V98" s="10" t="str">
        <f t="shared" si="40"/>
        <v/>
      </c>
      <c r="W98" s="10" t="str">
        <f t="shared" si="56"/>
        <v/>
      </c>
      <c r="Y98" s="10" t="str">
        <f t="shared" si="41"/>
        <v/>
      </c>
      <c r="Z98" s="10" t="str">
        <f t="shared" si="57"/>
        <v/>
      </c>
      <c r="AB98" s="10" t="str">
        <f t="shared" si="42"/>
        <v/>
      </c>
      <c r="AC98" s="10" t="str">
        <f t="shared" si="58"/>
        <v/>
      </c>
      <c r="AE98" s="10" t="str">
        <f t="shared" si="43"/>
        <v/>
      </c>
      <c r="AF98" s="10" t="str">
        <f t="shared" si="59"/>
        <v/>
      </c>
      <c r="AH98" s="10" t="str">
        <f t="shared" si="44"/>
        <v/>
      </c>
      <c r="AI98" s="10" t="str">
        <f t="shared" si="60"/>
        <v/>
      </c>
      <c r="AK98" s="10" t="str">
        <f t="shared" si="45"/>
        <v/>
      </c>
      <c r="AL98" s="10" t="str">
        <f t="shared" si="61"/>
        <v/>
      </c>
      <c r="AN98" s="10" t="str">
        <f t="shared" si="46"/>
        <v/>
      </c>
      <c r="AO98" s="10" t="str">
        <f t="shared" si="62"/>
        <v/>
      </c>
      <c r="AQ98" s="10" t="str">
        <f t="shared" si="47"/>
        <v/>
      </c>
      <c r="AR98" s="10" t="str">
        <f t="shared" si="63"/>
        <v/>
      </c>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V98" s="10" t="str">
        <f t="shared" si="48"/>
        <v/>
      </c>
      <c r="AW98" s="10" t="str">
        <f t="shared" si="64"/>
        <v/>
      </c>
      <c r="AY98" s="7" t="str">
        <f>IF(ISERROR(IF($K98&lt;=$F$15,VLOOKUP($I98,'表4）CO2価格'!$A$7:$E$67,VLOOKUP($F$48,'表4）CO2価格'!$H$10:$I$12,2,0),0)*$F$8/1000,"")),0,IF($K98&lt;=$F$15,VLOOKUP($I98,'表4）CO2価格'!$A$7:$E$67,VLOOKUP($F$48,'表4）CO2価格'!$H$10:$I$12,2,0),0)*$F$8/1000,""))</f>
        <v/>
      </c>
      <c r="BA98" s="11" t="str">
        <f t="shared" si="49"/>
        <v/>
      </c>
      <c r="BB98" s="10" t="str">
        <f t="shared" si="65"/>
        <v/>
      </c>
      <c r="BD98" s="10" t="str">
        <f t="shared" si="50"/>
        <v/>
      </c>
      <c r="BE98" s="10" t="str">
        <f t="shared" si="66"/>
        <v/>
      </c>
      <c r="BG98" s="11" t="str">
        <f t="shared" si="51"/>
        <v/>
      </c>
      <c r="BH98" s="10" t="str">
        <f t="shared" si="67"/>
        <v/>
      </c>
      <c r="BJ98" s="7" t="str">
        <f t="shared" si="68"/>
        <v/>
      </c>
      <c r="BK98" s="158" t="str">
        <f t="shared" si="69"/>
        <v/>
      </c>
      <c r="BL98" s="158" t="str">
        <f t="shared" si="52"/>
        <v/>
      </c>
      <c r="BM98" s="10"/>
      <c r="BN98" s="10" t="str">
        <f t="shared" si="70"/>
        <v/>
      </c>
      <c r="BO98" s="10" t="str">
        <f t="shared" si="71"/>
        <v/>
      </c>
      <c r="BQ98" s="10" t="str">
        <f t="shared" si="53"/>
        <v/>
      </c>
      <c r="BR98" s="10" t="str">
        <f t="shared" si="72"/>
        <v/>
      </c>
    </row>
    <row r="99" spans="4:70" ht="15" x14ac:dyDescent="0.15">
      <c r="D99" s="116" t="s">
        <v>200</v>
      </c>
      <c r="F99" s="94">
        <f>SUBTOTAL(9,F103:F105)</f>
        <v>0.06</v>
      </c>
      <c r="G99" s="81" t="s">
        <v>132</v>
      </c>
      <c r="I99" s="458">
        <f t="shared" si="73"/>
        <v>2114</v>
      </c>
      <c r="J99" s="39"/>
      <c r="K99" s="39">
        <f t="shared" si="74"/>
        <v>85</v>
      </c>
      <c r="L99" s="39"/>
      <c r="M99" s="40">
        <f t="shared" si="38"/>
        <v>8.1065469079831712E-2</v>
      </c>
      <c r="N99" s="39"/>
      <c r="O99" s="72" t="str">
        <f t="shared" si="75"/>
        <v/>
      </c>
      <c r="P99" s="41" t="str">
        <f t="shared" si="39"/>
        <v/>
      </c>
      <c r="Q99" s="39"/>
      <c r="R99" s="72" t="str">
        <f t="shared" si="54"/>
        <v/>
      </c>
      <c r="S99" s="39"/>
      <c r="T99" s="72" t="str">
        <f t="shared" si="55"/>
        <v/>
      </c>
      <c r="U99" s="39"/>
      <c r="V99" s="72" t="str">
        <f t="shared" si="40"/>
        <v/>
      </c>
      <c r="W99" s="72" t="str">
        <f t="shared" si="56"/>
        <v/>
      </c>
      <c r="X99" s="39"/>
      <c r="Y99" s="72" t="str">
        <f t="shared" si="41"/>
        <v/>
      </c>
      <c r="Z99" s="72" t="str">
        <f t="shared" si="57"/>
        <v/>
      </c>
      <c r="AA99" s="39"/>
      <c r="AB99" s="72" t="str">
        <f t="shared" si="42"/>
        <v/>
      </c>
      <c r="AC99" s="72" t="str">
        <f t="shared" si="58"/>
        <v/>
      </c>
      <c r="AD99" s="39"/>
      <c r="AE99" s="72" t="str">
        <f t="shared" si="43"/>
        <v/>
      </c>
      <c r="AF99" s="72" t="str">
        <f t="shared" si="59"/>
        <v/>
      </c>
      <c r="AG99" s="39"/>
      <c r="AH99" s="72" t="str">
        <f t="shared" si="44"/>
        <v/>
      </c>
      <c r="AI99" s="72" t="str">
        <f t="shared" si="60"/>
        <v/>
      </c>
      <c r="AJ99" s="39"/>
      <c r="AK99" s="72" t="str">
        <f t="shared" si="45"/>
        <v/>
      </c>
      <c r="AL99" s="72" t="str">
        <f t="shared" si="61"/>
        <v/>
      </c>
      <c r="AM99" s="39"/>
      <c r="AN99" s="72" t="str">
        <f t="shared" si="46"/>
        <v/>
      </c>
      <c r="AO99" s="72" t="str">
        <f t="shared" si="62"/>
        <v/>
      </c>
      <c r="AP99" s="39"/>
      <c r="AQ99" s="72" t="str">
        <f t="shared" si="47"/>
        <v/>
      </c>
      <c r="AR99" s="72" t="str">
        <f t="shared" si="63"/>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48"/>
        <v/>
      </c>
      <c r="AW99" s="72" t="str">
        <f t="shared" si="64"/>
        <v/>
      </c>
      <c r="AX99" s="39"/>
      <c r="AY99" s="40" t="str">
        <f>IF(ISERROR(IF($K99&lt;=$F$15,VLOOKUP($I99,'表4）CO2価格'!$A$7:$E$67,VLOOKUP($F$48,'表4）CO2価格'!$H$10:$I$12,2,0),0)*$F$8/1000,"")),0,IF($K99&lt;=$F$15,VLOOKUP($I99,'表4）CO2価格'!$A$7:$E$67,VLOOKUP($F$48,'表4）CO2価格'!$H$10:$I$12,2,0),0)*$F$8/1000,""))</f>
        <v/>
      </c>
      <c r="AZ99" s="39"/>
      <c r="BA99" s="42" t="str">
        <f t="shared" si="49"/>
        <v/>
      </c>
      <c r="BB99" s="72" t="str">
        <f t="shared" si="65"/>
        <v/>
      </c>
      <c r="BC99" s="39"/>
      <c r="BD99" s="72" t="str">
        <f t="shared" si="50"/>
        <v/>
      </c>
      <c r="BE99" s="72" t="str">
        <f t="shared" si="66"/>
        <v/>
      </c>
      <c r="BF99" s="39"/>
      <c r="BG99" s="42" t="str">
        <f t="shared" si="51"/>
        <v/>
      </c>
      <c r="BH99" s="72" t="str">
        <f t="shared" si="67"/>
        <v/>
      </c>
      <c r="BI99" s="39"/>
      <c r="BJ99" s="40" t="str">
        <f t="shared" si="68"/>
        <v/>
      </c>
      <c r="BK99" s="157" t="str">
        <f t="shared" si="69"/>
        <v/>
      </c>
      <c r="BL99" s="157" t="str">
        <f t="shared" si="52"/>
        <v/>
      </c>
      <c r="BM99" s="72"/>
      <c r="BN99" s="72" t="str">
        <f t="shared" si="70"/>
        <v/>
      </c>
      <c r="BO99" s="72" t="str">
        <f t="shared" si="71"/>
        <v/>
      </c>
      <c r="BP99" s="39"/>
      <c r="BQ99" s="72" t="str">
        <f t="shared" si="53"/>
        <v/>
      </c>
      <c r="BR99" s="72" t="str">
        <f t="shared" si="72"/>
        <v/>
      </c>
    </row>
    <row r="100" spans="4:70" x14ac:dyDescent="0.15">
      <c r="F100" s="93"/>
      <c r="I100" s="459">
        <f t="shared" si="73"/>
        <v>2115</v>
      </c>
      <c r="K100" s="71">
        <f t="shared" si="74"/>
        <v>86</v>
      </c>
      <c r="M100" s="7">
        <f t="shared" si="38"/>
        <v>7.8704338912457969E-2</v>
      </c>
      <c r="O100" s="10" t="str">
        <f t="shared" si="75"/>
        <v/>
      </c>
      <c r="P100" s="29" t="str">
        <f t="shared" si="39"/>
        <v/>
      </c>
      <c r="R100" s="10" t="str">
        <f t="shared" si="54"/>
        <v/>
      </c>
      <c r="T100" s="10" t="str">
        <f t="shared" si="55"/>
        <v/>
      </c>
      <c r="V100" s="10" t="str">
        <f t="shared" si="40"/>
        <v/>
      </c>
      <c r="W100" s="10" t="str">
        <f t="shared" si="56"/>
        <v/>
      </c>
      <c r="Y100" s="10" t="str">
        <f t="shared" si="41"/>
        <v/>
      </c>
      <c r="Z100" s="10" t="str">
        <f t="shared" si="57"/>
        <v/>
      </c>
      <c r="AB100" s="10" t="str">
        <f t="shared" si="42"/>
        <v/>
      </c>
      <c r="AC100" s="10" t="str">
        <f t="shared" si="58"/>
        <v/>
      </c>
      <c r="AE100" s="10" t="str">
        <f t="shared" si="43"/>
        <v/>
      </c>
      <c r="AF100" s="10" t="str">
        <f t="shared" si="59"/>
        <v/>
      </c>
      <c r="AH100" s="10" t="str">
        <f t="shared" si="44"/>
        <v/>
      </c>
      <c r="AI100" s="10" t="str">
        <f t="shared" si="60"/>
        <v/>
      </c>
      <c r="AK100" s="10" t="str">
        <f t="shared" si="45"/>
        <v/>
      </c>
      <c r="AL100" s="10" t="str">
        <f t="shared" si="61"/>
        <v/>
      </c>
      <c r="AN100" s="10" t="str">
        <f t="shared" si="46"/>
        <v/>
      </c>
      <c r="AO100" s="10" t="str">
        <f t="shared" si="62"/>
        <v/>
      </c>
      <c r="AQ100" s="10" t="str">
        <f t="shared" si="47"/>
        <v/>
      </c>
      <c r="AR100" s="10" t="str">
        <f t="shared" si="63"/>
        <v/>
      </c>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V100" s="10" t="str">
        <f t="shared" si="48"/>
        <v/>
      </c>
      <c r="AW100" s="10" t="str">
        <f t="shared" si="64"/>
        <v/>
      </c>
      <c r="AY100" s="7" t="str">
        <f>IF(ISERROR(IF($K100&lt;=$F$15,VLOOKUP($I100,'表4）CO2価格'!$A$7:$E$67,VLOOKUP($F$48,'表4）CO2価格'!$H$10:$I$12,2,0),0)*$F$8/1000,"")),0,IF($K100&lt;=$F$15,VLOOKUP($I100,'表4）CO2価格'!$A$7:$E$67,VLOOKUP($F$48,'表4）CO2価格'!$H$10:$I$12,2,0),0)*$F$8/1000,""))</f>
        <v/>
      </c>
      <c r="BA100" s="11" t="str">
        <f t="shared" si="49"/>
        <v/>
      </c>
      <c r="BB100" s="10" t="str">
        <f t="shared" si="65"/>
        <v/>
      </c>
      <c r="BD100" s="10" t="str">
        <f t="shared" si="50"/>
        <v/>
      </c>
      <c r="BE100" s="10" t="str">
        <f t="shared" si="66"/>
        <v/>
      </c>
      <c r="BG100" s="11" t="str">
        <f t="shared" si="51"/>
        <v/>
      </c>
      <c r="BH100" s="10" t="str">
        <f t="shared" si="67"/>
        <v/>
      </c>
      <c r="BJ100" s="7" t="str">
        <f t="shared" si="68"/>
        <v/>
      </c>
      <c r="BK100" s="158" t="str">
        <f t="shared" si="69"/>
        <v/>
      </c>
      <c r="BL100" s="158" t="str">
        <f t="shared" si="52"/>
        <v/>
      </c>
      <c r="BM100" s="10"/>
      <c r="BN100" s="10" t="str">
        <f t="shared" si="70"/>
        <v/>
      </c>
      <c r="BO100" s="10" t="str">
        <f t="shared" si="71"/>
        <v/>
      </c>
      <c r="BQ100" s="10" t="str">
        <f t="shared" si="53"/>
        <v/>
      </c>
      <c r="BR100" s="10" t="str">
        <f t="shared" si="72"/>
        <v/>
      </c>
    </row>
    <row r="101" spans="4:70" x14ac:dyDescent="0.15">
      <c r="D101" s="101" t="s">
        <v>201</v>
      </c>
      <c r="E101" s="101"/>
      <c r="F101" s="92"/>
      <c r="G101" s="101"/>
      <c r="I101" s="458">
        <f t="shared" si="73"/>
        <v>2116</v>
      </c>
      <c r="J101" s="39"/>
      <c r="K101" s="39">
        <f t="shared" si="74"/>
        <v>87</v>
      </c>
      <c r="L101" s="39"/>
      <c r="M101" s="40">
        <f t="shared" si="38"/>
        <v>7.6411979526658208E-2</v>
      </c>
      <c r="N101" s="39"/>
      <c r="O101" s="72" t="str">
        <f t="shared" si="75"/>
        <v/>
      </c>
      <c r="P101" s="41" t="str">
        <f t="shared" si="39"/>
        <v/>
      </c>
      <c r="Q101" s="39"/>
      <c r="R101" s="72" t="str">
        <f t="shared" si="54"/>
        <v/>
      </c>
      <c r="S101" s="39"/>
      <c r="T101" s="72" t="str">
        <f t="shared" si="55"/>
        <v/>
      </c>
      <c r="U101" s="39"/>
      <c r="V101" s="72" t="str">
        <f t="shared" si="40"/>
        <v/>
      </c>
      <c r="W101" s="72" t="str">
        <f t="shared" si="56"/>
        <v/>
      </c>
      <c r="X101" s="39"/>
      <c r="Y101" s="72" t="str">
        <f t="shared" si="41"/>
        <v/>
      </c>
      <c r="Z101" s="72" t="str">
        <f t="shared" si="57"/>
        <v/>
      </c>
      <c r="AA101" s="39"/>
      <c r="AB101" s="72" t="str">
        <f t="shared" si="42"/>
        <v/>
      </c>
      <c r="AC101" s="72" t="str">
        <f t="shared" si="58"/>
        <v/>
      </c>
      <c r="AD101" s="39"/>
      <c r="AE101" s="72" t="str">
        <f t="shared" si="43"/>
        <v/>
      </c>
      <c r="AF101" s="72" t="str">
        <f t="shared" si="59"/>
        <v/>
      </c>
      <c r="AG101" s="39"/>
      <c r="AH101" s="72" t="str">
        <f t="shared" si="44"/>
        <v/>
      </c>
      <c r="AI101" s="72" t="str">
        <f t="shared" si="60"/>
        <v/>
      </c>
      <c r="AJ101" s="39"/>
      <c r="AK101" s="72" t="str">
        <f t="shared" si="45"/>
        <v/>
      </c>
      <c r="AL101" s="72" t="str">
        <f t="shared" si="61"/>
        <v/>
      </c>
      <c r="AM101" s="39"/>
      <c r="AN101" s="72" t="str">
        <f t="shared" si="46"/>
        <v/>
      </c>
      <c r="AO101" s="72" t="str">
        <f t="shared" si="62"/>
        <v/>
      </c>
      <c r="AP101" s="39"/>
      <c r="AQ101" s="72" t="str">
        <f t="shared" si="47"/>
        <v/>
      </c>
      <c r="AR101" s="72" t="str">
        <f t="shared" si="63"/>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48"/>
        <v/>
      </c>
      <c r="AW101" s="72" t="str">
        <f t="shared" si="64"/>
        <v/>
      </c>
      <c r="AX101" s="39"/>
      <c r="AY101" s="40" t="str">
        <f>IF(ISERROR(IF($K101&lt;=$F$15,VLOOKUP($I101,'表4）CO2価格'!$A$7:$E$67,VLOOKUP($F$48,'表4）CO2価格'!$H$10:$I$12,2,0),0)*$F$8/1000,"")),0,IF($K101&lt;=$F$15,VLOOKUP($I101,'表4）CO2価格'!$A$7:$E$67,VLOOKUP($F$48,'表4）CO2価格'!$H$10:$I$12,2,0),0)*$F$8/1000,""))</f>
        <v/>
      </c>
      <c r="AZ101" s="39"/>
      <c r="BA101" s="42" t="str">
        <f t="shared" si="49"/>
        <v/>
      </c>
      <c r="BB101" s="72" t="str">
        <f t="shared" si="65"/>
        <v/>
      </c>
      <c r="BC101" s="39"/>
      <c r="BD101" s="72" t="str">
        <f t="shared" si="50"/>
        <v/>
      </c>
      <c r="BE101" s="72" t="str">
        <f t="shared" si="66"/>
        <v/>
      </c>
      <c r="BF101" s="39"/>
      <c r="BG101" s="42" t="str">
        <f t="shared" si="51"/>
        <v/>
      </c>
      <c r="BH101" s="72" t="str">
        <f t="shared" si="67"/>
        <v/>
      </c>
      <c r="BI101" s="39"/>
      <c r="BJ101" s="40" t="str">
        <f t="shared" si="68"/>
        <v/>
      </c>
      <c r="BK101" s="157" t="str">
        <f t="shared" si="69"/>
        <v/>
      </c>
      <c r="BL101" s="157" t="str">
        <f t="shared" si="52"/>
        <v/>
      </c>
      <c r="BM101" s="72"/>
      <c r="BN101" s="72" t="str">
        <f t="shared" si="70"/>
        <v/>
      </c>
      <c r="BO101" s="72" t="str">
        <f t="shared" si="71"/>
        <v/>
      </c>
      <c r="BP101" s="39"/>
      <c r="BQ101" s="72" t="str">
        <f t="shared" si="53"/>
        <v/>
      </c>
      <c r="BR101" s="72" t="str">
        <f t="shared" si="72"/>
        <v/>
      </c>
    </row>
    <row r="102" spans="4:70" x14ac:dyDescent="0.15">
      <c r="F102" s="93"/>
      <c r="I102" s="459">
        <f t="shared" si="73"/>
        <v>2117</v>
      </c>
      <c r="K102" s="71">
        <f t="shared" si="74"/>
        <v>88</v>
      </c>
      <c r="M102" s="7">
        <f t="shared" si="38"/>
        <v>7.4186387889959446E-2</v>
      </c>
      <c r="O102" s="10" t="str">
        <f t="shared" si="75"/>
        <v/>
      </c>
      <c r="P102" s="29" t="str">
        <f t="shared" si="39"/>
        <v/>
      </c>
      <c r="R102" s="10" t="str">
        <f t="shared" si="54"/>
        <v/>
      </c>
      <c r="T102" s="10" t="str">
        <f t="shared" si="55"/>
        <v/>
      </c>
      <c r="V102" s="10" t="str">
        <f t="shared" si="40"/>
        <v/>
      </c>
      <c r="W102" s="10" t="str">
        <f t="shared" si="56"/>
        <v/>
      </c>
      <c r="Y102" s="10" t="str">
        <f t="shared" si="41"/>
        <v/>
      </c>
      <c r="Z102" s="10" t="str">
        <f t="shared" si="57"/>
        <v/>
      </c>
      <c r="AB102" s="10" t="str">
        <f t="shared" si="42"/>
        <v/>
      </c>
      <c r="AC102" s="10" t="str">
        <f t="shared" si="58"/>
        <v/>
      </c>
      <c r="AE102" s="10" t="str">
        <f t="shared" si="43"/>
        <v/>
      </c>
      <c r="AF102" s="10" t="str">
        <f t="shared" si="59"/>
        <v/>
      </c>
      <c r="AH102" s="10" t="str">
        <f t="shared" si="44"/>
        <v/>
      </c>
      <c r="AI102" s="10" t="str">
        <f t="shared" si="60"/>
        <v/>
      </c>
      <c r="AK102" s="10" t="str">
        <f t="shared" si="45"/>
        <v/>
      </c>
      <c r="AL102" s="10" t="str">
        <f t="shared" si="61"/>
        <v/>
      </c>
      <c r="AN102" s="10" t="str">
        <f t="shared" si="46"/>
        <v/>
      </c>
      <c r="AO102" s="10" t="str">
        <f t="shared" si="62"/>
        <v/>
      </c>
      <c r="AQ102" s="10" t="str">
        <f t="shared" si="47"/>
        <v/>
      </c>
      <c r="AR102" s="10" t="str">
        <f t="shared" si="63"/>
        <v/>
      </c>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V102" s="10" t="str">
        <f t="shared" si="48"/>
        <v/>
      </c>
      <c r="AW102" s="10" t="str">
        <f t="shared" si="64"/>
        <v/>
      </c>
      <c r="AY102" s="7" t="str">
        <f>IF(ISERROR(IF($K102&lt;=$F$15,VLOOKUP($I102,'表4）CO2価格'!$A$7:$E$67,VLOOKUP($F$48,'表4）CO2価格'!$H$10:$I$12,2,0),0)*$F$8/1000,"")),0,IF($K102&lt;=$F$15,VLOOKUP($I102,'表4）CO2価格'!$A$7:$E$67,VLOOKUP($F$48,'表4）CO2価格'!$H$10:$I$12,2,0),0)*$F$8/1000,""))</f>
        <v/>
      </c>
      <c r="BA102" s="11" t="str">
        <f t="shared" si="49"/>
        <v/>
      </c>
      <c r="BB102" s="10" t="str">
        <f t="shared" si="65"/>
        <v/>
      </c>
      <c r="BD102" s="10" t="str">
        <f t="shared" si="50"/>
        <v/>
      </c>
      <c r="BE102" s="10" t="str">
        <f t="shared" si="66"/>
        <v/>
      </c>
      <c r="BG102" s="11" t="str">
        <f t="shared" si="51"/>
        <v/>
      </c>
      <c r="BH102" s="10" t="str">
        <f t="shared" si="67"/>
        <v/>
      </c>
      <c r="BJ102" s="7" t="str">
        <f t="shared" si="68"/>
        <v/>
      </c>
      <c r="BK102" s="158" t="str">
        <f t="shared" si="69"/>
        <v/>
      </c>
      <c r="BL102" s="158" t="str">
        <f t="shared" si="52"/>
        <v/>
      </c>
      <c r="BM102" s="10"/>
      <c r="BN102" s="10" t="str">
        <f t="shared" si="70"/>
        <v/>
      </c>
      <c r="BO102" s="10" t="str">
        <f t="shared" si="71"/>
        <v/>
      </c>
      <c r="BQ102" s="10" t="str">
        <f t="shared" si="53"/>
        <v/>
      </c>
      <c r="BR102" s="10" t="str">
        <f t="shared" si="72"/>
        <v/>
      </c>
    </row>
    <row r="103" spans="4:70" x14ac:dyDescent="0.15">
      <c r="E103" s="81" t="s">
        <v>202</v>
      </c>
      <c r="F103" s="91">
        <f>BB116/$BR$116</f>
        <v>0</v>
      </c>
      <c r="G103" s="81" t="s">
        <v>132</v>
      </c>
      <c r="I103" s="458">
        <f t="shared" si="73"/>
        <v>2118</v>
      </c>
      <c r="J103" s="39"/>
      <c r="K103" s="39">
        <f t="shared" si="74"/>
        <v>89</v>
      </c>
      <c r="L103" s="39"/>
      <c r="M103" s="40">
        <f t="shared" si="38"/>
        <v>7.2025619310640235E-2</v>
      </c>
      <c r="N103" s="39"/>
      <c r="O103" s="72" t="str">
        <f t="shared" si="75"/>
        <v/>
      </c>
      <c r="P103" s="41" t="str">
        <f t="shared" si="39"/>
        <v/>
      </c>
      <c r="Q103" s="39"/>
      <c r="R103" s="72" t="str">
        <f t="shared" si="54"/>
        <v/>
      </c>
      <c r="S103" s="39"/>
      <c r="T103" s="72" t="str">
        <f t="shared" si="55"/>
        <v/>
      </c>
      <c r="U103" s="39"/>
      <c r="V103" s="72" t="str">
        <f t="shared" si="40"/>
        <v/>
      </c>
      <c r="W103" s="72" t="str">
        <f t="shared" si="56"/>
        <v/>
      </c>
      <c r="X103" s="39"/>
      <c r="Y103" s="72" t="str">
        <f t="shared" si="41"/>
        <v/>
      </c>
      <c r="Z103" s="72" t="str">
        <f t="shared" si="57"/>
        <v/>
      </c>
      <c r="AA103" s="39"/>
      <c r="AB103" s="72" t="str">
        <f t="shared" si="42"/>
        <v/>
      </c>
      <c r="AC103" s="72" t="str">
        <f t="shared" si="58"/>
        <v/>
      </c>
      <c r="AD103" s="39"/>
      <c r="AE103" s="72" t="str">
        <f t="shared" si="43"/>
        <v/>
      </c>
      <c r="AF103" s="72" t="str">
        <f t="shared" si="59"/>
        <v/>
      </c>
      <c r="AG103" s="39"/>
      <c r="AH103" s="72" t="str">
        <f t="shared" si="44"/>
        <v/>
      </c>
      <c r="AI103" s="72" t="str">
        <f t="shared" si="60"/>
        <v/>
      </c>
      <c r="AJ103" s="39"/>
      <c r="AK103" s="72" t="str">
        <f t="shared" si="45"/>
        <v/>
      </c>
      <c r="AL103" s="72" t="str">
        <f t="shared" si="61"/>
        <v/>
      </c>
      <c r="AM103" s="39"/>
      <c r="AN103" s="72" t="str">
        <f t="shared" si="46"/>
        <v/>
      </c>
      <c r="AO103" s="72" t="str">
        <f t="shared" si="62"/>
        <v/>
      </c>
      <c r="AP103" s="39"/>
      <c r="AQ103" s="72" t="str">
        <f t="shared" si="47"/>
        <v/>
      </c>
      <c r="AR103" s="72" t="str">
        <f t="shared" si="63"/>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48"/>
        <v/>
      </c>
      <c r="AW103" s="72" t="str">
        <f t="shared" si="64"/>
        <v/>
      </c>
      <c r="AX103" s="39"/>
      <c r="AY103" s="40" t="str">
        <f>IF(ISERROR(IF($K103&lt;=$F$15,VLOOKUP($I103,'表4）CO2価格'!$A$7:$E$67,VLOOKUP($F$48,'表4）CO2価格'!$H$10:$I$12,2,0),0)*$F$8/1000,"")),0,IF($K103&lt;=$F$15,VLOOKUP($I103,'表4）CO2価格'!$A$7:$E$67,VLOOKUP($F$48,'表4）CO2価格'!$H$10:$I$12,2,0),0)*$F$8/1000,""))</f>
        <v/>
      </c>
      <c r="AZ103" s="39"/>
      <c r="BA103" s="42" t="str">
        <f t="shared" si="49"/>
        <v/>
      </c>
      <c r="BB103" s="72" t="str">
        <f t="shared" si="65"/>
        <v/>
      </c>
      <c r="BC103" s="39"/>
      <c r="BD103" s="72" t="str">
        <f t="shared" si="50"/>
        <v/>
      </c>
      <c r="BE103" s="72" t="str">
        <f t="shared" si="66"/>
        <v/>
      </c>
      <c r="BF103" s="39"/>
      <c r="BG103" s="42" t="str">
        <f t="shared" si="51"/>
        <v/>
      </c>
      <c r="BH103" s="72" t="str">
        <f t="shared" si="67"/>
        <v/>
      </c>
      <c r="BI103" s="39"/>
      <c r="BJ103" s="40" t="str">
        <f t="shared" si="68"/>
        <v/>
      </c>
      <c r="BK103" s="157" t="str">
        <f t="shared" si="69"/>
        <v/>
      </c>
      <c r="BL103" s="157" t="str">
        <f t="shared" si="52"/>
        <v/>
      </c>
      <c r="BM103" s="72"/>
      <c r="BN103" s="72" t="str">
        <f t="shared" si="70"/>
        <v/>
      </c>
      <c r="BO103" s="72" t="str">
        <f t="shared" si="71"/>
        <v/>
      </c>
      <c r="BP103" s="39"/>
      <c r="BQ103" s="72" t="str">
        <f t="shared" si="53"/>
        <v/>
      </c>
      <c r="BR103" s="72" t="str">
        <f t="shared" si="72"/>
        <v/>
      </c>
    </row>
    <row r="104" spans="4:70" x14ac:dyDescent="0.15">
      <c r="E104" s="81" t="s">
        <v>203</v>
      </c>
      <c r="F104" s="91">
        <f>IF(ISERROR(F60*(1/F61)/F62),0,F60*(1/F61)/F62)</f>
        <v>0</v>
      </c>
      <c r="G104" s="81" t="s">
        <v>132</v>
      </c>
      <c r="I104" s="459">
        <f t="shared" si="73"/>
        <v>2119</v>
      </c>
      <c r="K104" s="71">
        <f t="shared" si="74"/>
        <v>90</v>
      </c>
      <c r="M104" s="7">
        <f t="shared" si="38"/>
        <v>6.9927785738485654E-2</v>
      </c>
      <c r="O104" s="10" t="str">
        <f t="shared" si="75"/>
        <v/>
      </c>
      <c r="P104" s="29" t="str">
        <f t="shared" si="39"/>
        <v/>
      </c>
      <c r="R104" s="10" t="str">
        <f t="shared" si="54"/>
        <v/>
      </c>
      <c r="T104" s="10" t="str">
        <f t="shared" si="55"/>
        <v/>
      </c>
      <c r="V104" s="10" t="str">
        <f t="shared" si="40"/>
        <v/>
      </c>
      <c r="W104" s="10" t="str">
        <f t="shared" si="56"/>
        <v/>
      </c>
      <c r="Y104" s="10" t="str">
        <f t="shared" si="41"/>
        <v/>
      </c>
      <c r="Z104" s="10" t="str">
        <f t="shared" si="57"/>
        <v/>
      </c>
      <c r="AB104" s="10" t="str">
        <f t="shared" si="42"/>
        <v/>
      </c>
      <c r="AC104" s="10" t="str">
        <f t="shared" si="58"/>
        <v/>
      </c>
      <c r="AE104" s="10" t="str">
        <f t="shared" si="43"/>
        <v/>
      </c>
      <c r="AF104" s="10" t="str">
        <f t="shared" si="59"/>
        <v/>
      </c>
      <c r="AH104" s="10" t="str">
        <f t="shared" si="44"/>
        <v/>
      </c>
      <c r="AI104" s="10" t="str">
        <f t="shared" si="60"/>
        <v/>
      </c>
      <c r="AK104" s="10" t="str">
        <f t="shared" si="45"/>
        <v/>
      </c>
      <c r="AL104" s="10" t="str">
        <f t="shared" si="61"/>
        <v/>
      </c>
      <c r="AN104" s="10" t="str">
        <f t="shared" si="46"/>
        <v/>
      </c>
      <c r="AO104" s="10" t="str">
        <f t="shared" si="62"/>
        <v/>
      </c>
      <c r="AQ104" s="10" t="str">
        <f t="shared" si="47"/>
        <v/>
      </c>
      <c r="AR104" s="10" t="str">
        <f t="shared" si="63"/>
        <v/>
      </c>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V104" s="10" t="str">
        <f t="shared" si="48"/>
        <v/>
      </c>
      <c r="AW104" s="10" t="str">
        <f t="shared" si="64"/>
        <v/>
      </c>
      <c r="AY104" s="7" t="str">
        <f>IF(ISERROR(IF($K104&lt;=$F$15,VLOOKUP($I104,'表4）CO2価格'!$A$7:$E$67,VLOOKUP($F$48,'表4）CO2価格'!$H$10:$I$12,2,0),0)*$F$8/1000,"")),0,IF($K104&lt;=$F$15,VLOOKUP($I104,'表4）CO2価格'!$A$7:$E$67,VLOOKUP($F$48,'表4）CO2価格'!$H$10:$I$12,2,0),0)*$F$8/1000,""))</f>
        <v/>
      </c>
      <c r="BA104" s="11" t="str">
        <f t="shared" si="49"/>
        <v/>
      </c>
      <c r="BB104" s="10" t="str">
        <f t="shared" si="65"/>
        <v/>
      </c>
      <c r="BD104" s="10" t="str">
        <f t="shared" si="50"/>
        <v/>
      </c>
      <c r="BE104" s="10" t="str">
        <f t="shared" si="66"/>
        <v/>
      </c>
      <c r="BG104" s="11" t="str">
        <f t="shared" si="51"/>
        <v/>
      </c>
      <c r="BH104" s="10" t="str">
        <f t="shared" si="67"/>
        <v/>
      </c>
      <c r="BJ104" s="7" t="str">
        <f t="shared" si="68"/>
        <v/>
      </c>
      <c r="BK104" s="158" t="str">
        <f t="shared" si="69"/>
        <v/>
      </c>
      <c r="BL104" s="158" t="str">
        <f t="shared" si="52"/>
        <v/>
      </c>
      <c r="BM104" s="10"/>
      <c r="BN104" s="10" t="str">
        <f t="shared" si="70"/>
        <v/>
      </c>
      <c r="BO104" s="10" t="str">
        <f t="shared" si="71"/>
        <v/>
      </c>
      <c r="BQ104" s="10" t="str">
        <f t="shared" si="53"/>
        <v/>
      </c>
      <c r="BR104" s="10" t="str">
        <f t="shared" si="72"/>
        <v/>
      </c>
    </row>
    <row r="105" spans="4:70" x14ac:dyDescent="0.15">
      <c r="E105" s="9" t="s">
        <v>367</v>
      </c>
      <c r="F105" s="91">
        <f>F64</f>
        <v>0.06</v>
      </c>
      <c r="G105" s="81" t="s">
        <v>132</v>
      </c>
      <c r="I105" s="458">
        <f t="shared" si="73"/>
        <v>2120</v>
      </c>
      <c r="J105" s="39"/>
      <c r="K105" s="39">
        <f t="shared" si="74"/>
        <v>91</v>
      </c>
      <c r="L105" s="39"/>
      <c r="M105" s="40">
        <f t="shared" si="38"/>
        <v>6.7891054115034627E-2</v>
      </c>
      <c r="N105" s="39"/>
      <c r="O105" s="72" t="str">
        <f t="shared" si="75"/>
        <v/>
      </c>
      <c r="P105" s="41" t="str">
        <f t="shared" si="39"/>
        <v/>
      </c>
      <c r="Q105" s="39"/>
      <c r="R105" s="72" t="str">
        <f t="shared" si="54"/>
        <v/>
      </c>
      <c r="S105" s="39"/>
      <c r="T105" s="72" t="str">
        <f t="shared" si="55"/>
        <v/>
      </c>
      <c r="U105" s="39"/>
      <c r="V105" s="72" t="str">
        <f t="shared" si="40"/>
        <v/>
      </c>
      <c r="W105" s="72" t="str">
        <f t="shared" si="56"/>
        <v/>
      </c>
      <c r="X105" s="39"/>
      <c r="Y105" s="72" t="str">
        <f t="shared" si="41"/>
        <v/>
      </c>
      <c r="Z105" s="72" t="str">
        <f t="shared" si="57"/>
        <v/>
      </c>
      <c r="AA105" s="39"/>
      <c r="AB105" s="72" t="str">
        <f t="shared" si="42"/>
        <v/>
      </c>
      <c r="AC105" s="72" t="str">
        <f t="shared" si="58"/>
        <v/>
      </c>
      <c r="AD105" s="39"/>
      <c r="AE105" s="72" t="str">
        <f t="shared" si="43"/>
        <v/>
      </c>
      <c r="AF105" s="72" t="str">
        <f t="shared" si="59"/>
        <v/>
      </c>
      <c r="AG105" s="39"/>
      <c r="AH105" s="72" t="str">
        <f t="shared" si="44"/>
        <v/>
      </c>
      <c r="AI105" s="72" t="str">
        <f t="shared" si="60"/>
        <v/>
      </c>
      <c r="AJ105" s="39"/>
      <c r="AK105" s="72" t="str">
        <f t="shared" si="45"/>
        <v/>
      </c>
      <c r="AL105" s="72" t="str">
        <f t="shared" si="61"/>
        <v/>
      </c>
      <c r="AM105" s="39"/>
      <c r="AN105" s="72" t="str">
        <f t="shared" si="46"/>
        <v/>
      </c>
      <c r="AO105" s="72" t="str">
        <f t="shared" si="62"/>
        <v/>
      </c>
      <c r="AP105" s="39"/>
      <c r="AQ105" s="72" t="str">
        <f t="shared" si="47"/>
        <v/>
      </c>
      <c r="AR105" s="72" t="str">
        <f t="shared" si="63"/>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48"/>
        <v/>
      </c>
      <c r="AW105" s="72" t="str">
        <f t="shared" si="64"/>
        <v/>
      </c>
      <c r="AX105" s="39"/>
      <c r="AY105" s="40" t="str">
        <f>IF(ISERROR(IF($K105&lt;=$F$15,VLOOKUP($I105,'表4）CO2価格'!$A$7:$E$67,VLOOKUP($F$48,'表4）CO2価格'!$H$10:$I$12,2,0),0)*$F$8/1000,"")),0,IF($K105&lt;=$F$15,VLOOKUP($I105,'表4）CO2価格'!$A$7:$E$67,VLOOKUP($F$48,'表4）CO2価格'!$H$10:$I$12,2,0),0)*$F$8/1000,""))</f>
        <v/>
      </c>
      <c r="AZ105" s="39"/>
      <c r="BA105" s="42" t="str">
        <f t="shared" si="49"/>
        <v/>
      </c>
      <c r="BB105" s="72" t="str">
        <f t="shared" si="65"/>
        <v/>
      </c>
      <c r="BC105" s="39"/>
      <c r="BD105" s="72" t="str">
        <f t="shared" si="50"/>
        <v/>
      </c>
      <c r="BE105" s="72" t="str">
        <f t="shared" si="66"/>
        <v/>
      </c>
      <c r="BF105" s="39"/>
      <c r="BG105" s="42" t="str">
        <f t="shared" si="51"/>
        <v/>
      </c>
      <c r="BH105" s="72" t="str">
        <f t="shared" si="67"/>
        <v/>
      </c>
      <c r="BI105" s="39"/>
      <c r="BJ105" s="40" t="str">
        <f t="shared" si="68"/>
        <v/>
      </c>
      <c r="BK105" s="157" t="str">
        <f t="shared" si="69"/>
        <v/>
      </c>
      <c r="BL105" s="157" t="str">
        <f t="shared" si="52"/>
        <v/>
      </c>
      <c r="BM105" s="72"/>
      <c r="BN105" s="72" t="str">
        <f t="shared" si="70"/>
        <v/>
      </c>
      <c r="BO105" s="72" t="str">
        <f t="shared" si="71"/>
        <v/>
      </c>
      <c r="BP105" s="39"/>
      <c r="BQ105" s="72" t="str">
        <f t="shared" si="53"/>
        <v/>
      </c>
      <c r="BR105" s="72" t="str">
        <f t="shared" si="72"/>
        <v/>
      </c>
    </row>
    <row r="106" spans="4:70" x14ac:dyDescent="0.15">
      <c r="F106" s="93"/>
      <c r="I106" s="459">
        <f t="shared" si="73"/>
        <v>2121</v>
      </c>
      <c r="K106" s="71">
        <f t="shared" si="74"/>
        <v>92</v>
      </c>
      <c r="M106" s="7">
        <f t="shared" si="38"/>
        <v>6.5913644771878277E-2</v>
      </c>
      <c r="O106" s="10" t="str">
        <f t="shared" si="75"/>
        <v/>
      </c>
      <c r="P106" s="29" t="str">
        <f t="shared" si="39"/>
        <v/>
      </c>
      <c r="R106" s="10" t="str">
        <f t="shared" si="54"/>
        <v/>
      </c>
      <c r="T106" s="10" t="str">
        <f t="shared" si="55"/>
        <v/>
      </c>
      <c r="V106" s="10" t="str">
        <f t="shared" si="40"/>
        <v/>
      </c>
      <c r="W106" s="10" t="str">
        <f t="shared" si="56"/>
        <v/>
      </c>
      <c r="Y106" s="10" t="str">
        <f t="shared" si="41"/>
        <v/>
      </c>
      <c r="Z106" s="10" t="str">
        <f t="shared" si="57"/>
        <v/>
      </c>
      <c r="AB106" s="10" t="str">
        <f t="shared" si="42"/>
        <v/>
      </c>
      <c r="AC106" s="10" t="str">
        <f t="shared" si="58"/>
        <v/>
      </c>
      <c r="AE106" s="10" t="str">
        <f t="shared" si="43"/>
        <v/>
      </c>
      <c r="AF106" s="10" t="str">
        <f t="shared" si="59"/>
        <v/>
      </c>
      <c r="AH106" s="10" t="str">
        <f t="shared" si="44"/>
        <v/>
      </c>
      <c r="AI106" s="10" t="str">
        <f t="shared" si="60"/>
        <v/>
      </c>
      <c r="AK106" s="10" t="str">
        <f t="shared" si="45"/>
        <v/>
      </c>
      <c r="AL106" s="10" t="str">
        <f t="shared" si="61"/>
        <v/>
      </c>
      <c r="AN106" s="10" t="str">
        <f t="shared" si="46"/>
        <v/>
      </c>
      <c r="AO106" s="10" t="str">
        <f t="shared" si="62"/>
        <v/>
      </c>
      <c r="AQ106" s="10" t="str">
        <f t="shared" si="47"/>
        <v/>
      </c>
      <c r="AR106" s="10" t="str">
        <f t="shared" si="63"/>
        <v/>
      </c>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V106" s="10" t="str">
        <f t="shared" si="48"/>
        <v/>
      </c>
      <c r="AW106" s="10" t="str">
        <f t="shared" si="64"/>
        <v/>
      </c>
      <c r="AY106" s="7" t="str">
        <f>IF(ISERROR(IF($K106&lt;=$F$15,VLOOKUP($I106,'表4）CO2価格'!$A$7:$E$67,VLOOKUP($F$48,'表4）CO2価格'!$H$10:$I$12,2,0),0)*$F$8/1000,"")),0,IF($K106&lt;=$F$15,VLOOKUP($I106,'表4）CO2価格'!$A$7:$E$67,VLOOKUP($F$48,'表4）CO2価格'!$H$10:$I$12,2,0),0)*$F$8/1000,""))</f>
        <v/>
      </c>
      <c r="BA106" s="11" t="str">
        <f t="shared" si="49"/>
        <v/>
      </c>
      <c r="BB106" s="10" t="str">
        <f t="shared" si="65"/>
        <v/>
      </c>
      <c r="BD106" s="10" t="str">
        <f t="shared" si="50"/>
        <v/>
      </c>
      <c r="BE106" s="10" t="str">
        <f t="shared" si="66"/>
        <v/>
      </c>
      <c r="BG106" s="11" t="str">
        <f t="shared" si="51"/>
        <v/>
      </c>
      <c r="BH106" s="10" t="str">
        <f t="shared" si="67"/>
        <v/>
      </c>
      <c r="BJ106" s="7" t="str">
        <f t="shared" si="68"/>
        <v/>
      </c>
      <c r="BK106" s="158" t="str">
        <f t="shared" si="69"/>
        <v/>
      </c>
      <c r="BL106" s="158" t="str">
        <f t="shared" si="52"/>
        <v/>
      </c>
      <c r="BM106" s="10"/>
      <c r="BN106" s="10" t="str">
        <f t="shared" si="70"/>
        <v/>
      </c>
      <c r="BO106" s="10" t="str">
        <f t="shared" si="71"/>
        <v/>
      </c>
      <c r="BQ106" s="10" t="str">
        <f t="shared" si="53"/>
        <v/>
      </c>
      <c r="BR106" s="10" t="str">
        <f t="shared" si="72"/>
        <v/>
      </c>
    </row>
    <row r="107" spans="4:70" ht="15" x14ac:dyDescent="0.15">
      <c r="D107" s="116" t="s">
        <v>204</v>
      </c>
      <c r="F107" s="94">
        <f>SUBTOTAL(9,F111:F112)</f>
        <v>0</v>
      </c>
      <c r="G107" s="81" t="s">
        <v>132</v>
      </c>
      <c r="I107" s="458">
        <f t="shared" si="73"/>
        <v>2122</v>
      </c>
      <c r="J107" s="39"/>
      <c r="K107" s="39">
        <f t="shared" si="74"/>
        <v>93</v>
      </c>
      <c r="L107" s="39"/>
      <c r="M107" s="40">
        <f t="shared" si="38"/>
        <v>6.3993829875609989E-2</v>
      </c>
      <c r="N107" s="39"/>
      <c r="O107" s="72" t="str">
        <f t="shared" si="75"/>
        <v/>
      </c>
      <c r="P107" s="41" t="str">
        <f t="shared" si="39"/>
        <v/>
      </c>
      <c r="Q107" s="39"/>
      <c r="R107" s="72" t="str">
        <f t="shared" si="54"/>
        <v/>
      </c>
      <c r="S107" s="39"/>
      <c r="T107" s="72" t="str">
        <f t="shared" si="55"/>
        <v/>
      </c>
      <c r="U107" s="39"/>
      <c r="V107" s="72" t="str">
        <f t="shared" si="40"/>
        <v/>
      </c>
      <c r="W107" s="72" t="str">
        <f t="shared" si="56"/>
        <v/>
      </c>
      <c r="X107" s="39"/>
      <c r="Y107" s="72" t="str">
        <f t="shared" si="41"/>
        <v/>
      </c>
      <c r="Z107" s="72" t="str">
        <f t="shared" si="57"/>
        <v/>
      </c>
      <c r="AA107" s="39"/>
      <c r="AB107" s="72" t="str">
        <f t="shared" si="42"/>
        <v/>
      </c>
      <c r="AC107" s="72" t="str">
        <f t="shared" si="58"/>
        <v/>
      </c>
      <c r="AD107" s="39"/>
      <c r="AE107" s="72" t="str">
        <f t="shared" si="43"/>
        <v/>
      </c>
      <c r="AF107" s="72" t="str">
        <f t="shared" si="59"/>
        <v/>
      </c>
      <c r="AG107" s="39"/>
      <c r="AH107" s="72" t="str">
        <f t="shared" si="44"/>
        <v/>
      </c>
      <c r="AI107" s="72" t="str">
        <f t="shared" si="60"/>
        <v/>
      </c>
      <c r="AJ107" s="39"/>
      <c r="AK107" s="72" t="str">
        <f t="shared" si="45"/>
        <v/>
      </c>
      <c r="AL107" s="72" t="str">
        <f t="shared" si="61"/>
        <v/>
      </c>
      <c r="AM107" s="39"/>
      <c r="AN107" s="72" t="str">
        <f t="shared" si="46"/>
        <v/>
      </c>
      <c r="AO107" s="72" t="str">
        <f t="shared" si="62"/>
        <v/>
      </c>
      <c r="AP107" s="39"/>
      <c r="AQ107" s="72" t="str">
        <f t="shared" si="47"/>
        <v/>
      </c>
      <c r="AR107" s="72" t="str">
        <f t="shared" si="63"/>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48"/>
        <v/>
      </c>
      <c r="AW107" s="72" t="str">
        <f t="shared" si="64"/>
        <v/>
      </c>
      <c r="AX107" s="39"/>
      <c r="AY107" s="40" t="str">
        <f>IF(ISERROR(IF($K107&lt;=$F$15,VLOOKUP($I107,'表4）CO2価格'!$A$7:$E$67,VLOOKUP($F$48,'表4）CO2価格'!$H$10:$I$12,2,0),0)*$F$8/1000,"")),0,IF($K107&lt;=$F$15,VLOOKUP($I107,'表4）CO2価格'!$A$7:$E$67,VLOOKUP($F$48,'表4）CO2価格'!$H$10:$I$12,2,0),0)*$F$8/1000,""))</f>
        <v/>
      </c>
      <c r="AZ107" s="39"/>
      <c r="BA107" s="42" t="str">
        <f t="shared" si="49"/>
        <v/>
      </c>
      <c r="BB107" s="72" t="str">
        <f t="shared" si="65"/>
        <v/>
      </c>
      <c r="BC107" s="39"/>
      <c r="BD107" s="72" t="str">
        <f t="shared" si="50"/>
        <v/>
      </c>
      <c r="BE107" s="72" t="str">
        <f t="shared" si="66"/>
        <v/>
      </c>
      <c r="BF107" s="39"/>
      <c r="BG107" s="42" t="str">
        <f t="shared" si="51"/>
        <v/>
      </c>
      <c r="BH107" s="72" t="str">
        <f t="shared" si="67"/>
        <v/>
      </c>
      <c r="BI107" s="39"/>
      <c r="BJ107" s="40" t="str">
        <f t="shared" si="68"/>
        <v/>
      </c>
      <c r="BK107" s="157" t="str">
        <f t="shared" si="69"/>
        <v/>
      </c>
      <c r="BL107" s="157" t="str">
        <f t="shared" si="52"/>
        <v/>
      </c>
      <c r="BM107" s="72"/>
      <c r="BN107" s="72" t="str">
        <f t="shared" si="70"/>
        <v/>
      </c>
      <c r="BO107" s="72" t="str">
        <f t="shared" si="71"/>
        <v/>
      </c>
      <c r="BP107" s="39"/>
      <c r="BQ107" s="72" t="str">
        <f t="shared" si="53"/>
        <v/>
      </c>
      <c r="BR107" s="72" t="str">
        <f t="shared" si="72"/>
        <v/>
      </c>
    </row>
    <row r="108" spans="4:70" ht="15" x14ac:dyDescent="0.15">
      <c r="D108" s="116"/>
      <c r="F108" s="93"/>
      <c r="I108" s="459">
        <f t="shared" si="73"/>
        <v>2123</v>
      </c>
      <c r="K108" s="71">
        <f t="shared" si="74"/>
        <v>94</v>
      </c>
      <c r="M108" s="7">
        <f t="shared" si="38"/>
        <v>6.212993191806794E-2</v>
      </c>
      <c r="O108" s="10" t="str">
        <f t="shared" si="75"/>
        <v/>
      </c>
      <c r="P108" s="29" t="str">
        <f t="shared" si="39"/>
        <v/>
      </c>
      <c r="R108" s="10" t="str">
        <f t="shared" si="54"/>
        <v/>
      </c>
      <c r="T108" s="10" t="str">
        <f t="shared" si="55"/>
        <v/>
      </c>
      <c r="V108" s="10" t="str">
        <f t="shared" si="40"/>
        <v/>
      </c>
      <c r="W108" s="10" t="str">
        <f t="shared" si="56"/>
        <v/>
      </c>
      <c r="Y108" s="10" t="str">
        <f t="shared" si="41"/>
        <v/>
      </c>
      <c r="Z108" s="10" t="str">
        <f t="shared" si="57"/>
        <v/>
      </c>
      <c r="AB108" s="10" t="str">
        <f t="shared" si="42"/>
        <v/>
      </c>
      <c r="AC108" s="10" t="str">
        <f t="shared" si="58"/>
        <v/>
      </c>
      <c r="AE108" s="10" t="str">
        <f t="shared" si="43"/>
        <v/>
      </c>
      <c r="AF108" s="10" t="str">
        <f t="shared" si="59"/>
        <v/>
      </c>
      <c r="AH108" s="10" t="str">
        <f t="shared" si="44"/>
        <v/>
      </c>
      <c r="AI108" s="10" t="str">
        <f t="shared" si="60"/>
        <v/>
      </c>
      <c r="AK108" s="10" t="str">
        <f t="shared" si="45"/>
        <v/>
      </c>
      <c r="AL108" s="10" t="str">
        <f t="shared" si="61"/>
        <v/>
      </c>
      <c r="AN108" s="10" t="str">
        <f t="shared" si="46"/>
        <v/>
      </c>
      <c r="AO108" s="10" t="str">
        <f t="shared" si="62"/>
        <v/>
      </c>
      <c r="AQ108" s="10" t="str">
        <f t="shared" si="47"/>
        <v/>
      </c>
      <c r="AR108" s="10" t="str">
        <f t="shared" si="63"/>
        <v/>
      </c>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V108" s="10" t="str">
        <f t="shared" si="48"/>
        <v/>
      </c>
      <c r="AW108" s="10" t="str">
        <f t="shared" si="64"/>
        <v/>
      </c>
      <c r="AY108" s="7" t="str">
        <f>IF(ISERROR(IF($K108&lt;=$F$15,VLOOKUP($I108,'表4）CO2価格'!$A$7:$E$67,VLOOKUP($F$48,'表4）CO2価格'!$H$10:$I$12,2,0),0)*$F$8/1000,"")),0,IF($K108&lt;=$F$15,VLOOKUP($I108,'表4）CO2価格'!$A$7:$E$67,VLOOKUP($F$48,'表4）CO2価格'!$H$10:$I$12,2,0),0)*$F$8/1000,""))</f>
        <v/>
      </c>
      <c r="BA108" s="11" t="str">
        <f t="shared" si="49"/>
        <v/>
      </c>
      <c r="BB108" s="10" t="str">
        <f t="shared" si="65"/>
        <v/>
      </c>
      <c r="BD108" s="10" t="str">
        <f t="shared" si="50"/>
        <v/>
      </c>
      <c r="BE108" s="10" t="str">
        <f t="shared" si="66"/>
        <v/>
      </c>
      <c r="BG108" s="11" t="str">
        <f t="shared" si="51"/>
        <v/>
      </c>
      <c r="BH108" s="10" t="str">
        <f t="shared" si="67"/>
        <v/>
      </c>
      <c r="BJ108" s="7" t="str">
        <f t="shared" si="68"/>
        <v/>
      </c>
      <c r="BK108" s="158" t="str">
        <f t="shared" si="69"/>
        <v/>
      </c>
      <c r="BL108" s="158" t="str">
        <f t="shared" si="52"/>
        <v/>
      </c>
      <c r="BM108" s="10"/>
      <c r="BN108" s="10" t="str">
        <f t="shared" si="70"/>
        <v/>
      </c>
      <c r="BO108" s="10" t="str">
        <f t="shared" si="71"/>
        <v/>
      </c>
      <c r="BQ108" s="10" t="str">
        <f t="shared" si="53"/>
        <v/>
      </c>
      <c r="BR108" s="10" t="str">
        <f t="shared" si="72"/>
        <v/>
      </c>
    </row>
    <row r="109" spans="4:70" x14ac:dyDescent="0.15">
      <c r="D109" s="101" t="s">
        <v>205</v>
      </c>
      <c r="E109" s="101"/>
      <c r="F109" s="92"/>
      <c r="G109" s="101"/>
      <c r="I109" s="458">
        <f t="shared" si="73"/>
        <v>2124</v>
      </c>
      <c r="J109" s="39"/>
      <c r="K109" s="39">
        <f t="shared" si="74"/>
        <v>95</v>
      </c>
      <c r="L109" s="39"/>
      <c r="M109" s="40">
        <f t="shared" si="38"/>
        <v>6.0320322250551395E-2</v>
      </c>
      <c r="N109" s="39"/>
      <c r="O109" s="72" t="str">
        <f t="shared" si="75"/>
        <v/>
      </c>
      <c r="P109" s="41" t="str">
        <f t="shared" si="39"/>
        <v/>
      </c>
      <c r="Q109" s="39"/>
      <c r="R109" s="72" t="str">
        <f t="shared" si="54"/>
        <v/>
      </c>
      <c r="S109" s="39"/>
      <c r="T109" s="72" t="str">
        <f t="shared" si="55"/>
        <v/>
      </c>
      <c r="U109" s="39"/>
      <c r="V109" s="72" t="str">
        <f t="shared" si="40"/>
        <v/>
      </c>
      <c r="W109" s="72" t="str">
        <f t="shared" si="56"/>
        <v/>
      </c>
      <c r="X109" s="39"/>
      <c r="Y109" s="72" t="str">
        <f t="shared" si="41"/>
        <v/>
      </c>
      <c r="Z109" s="72" t="str">
        <f t="shared" si="57"/>
        <v/>
      </c>
      <c r="AA109" s="39"/>
      <c r="AB109" s="72" t="str">
        <f t="shared" si="42"/>
        <v/>
      </c>
      <c r="AC109" s="72" t="str">
        <f t="shared" si="58"/>
        <v/>
      </c>
      <c r="AD109" s="39"/>
      <c r="AE109" s="72" t="str">
        <f t="shared" si="43"/>
        <v/>
      </c>
      <c r="AF109" s="72" t="str">
        <f t="shared" si="59"/>
        <v/>
      </c>
      <c r="AG109" s="39"/>
      <c r="AH109" s="72" t="str">
        <f t="shared" si="44"/>
        <v/>
      </c>
      <c r="AI109" s="72" t="str">
        <f t="shared" si="60"/>
        <v/>
      </c>
      <c r="AJ109" s="39"/>
      <c r="AK109" s="72" t="str">
        <f t="shared" si="45"/>
        <v/>
      </c>
      <c r="AL109" s="72" t="str">
        <f t="shared" si="61"/>
        <v/>
      </c>
      <c r="AM109" s="39"/>
      <c r="AN109" s="72" t="str">
        <f t="shared" si="46"/>
        <v/>
      </c>
      <c r="AO109" s="72" t="str">
        <f t="shared" si="62"/>
        <v/>
      </c>
      <c r="AP109" s="39"/>
      <c r="AQ109" s="72" t="str">
        <f t="shared" si="47"/>
        <v/>
      </c>
      <c r="AR109" s="72" t="str">
        <f t="shared" si="63"/>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48"/>
        <v/>
      </c>
      <c r="AW109" s="72" t="str">
        <f t="shared" si="64"/>
        <v/>
      </c>
      <c r="AX109" s="39"/>
      <c r="AY109" s="40" t="str">
        <f>IF(ISERROR(IF($K109&lt;=$F$15,VLOOKUP($I109,'表4）CO2価格'!$A$7:$E$67,VLOOKUP($F$48,'表4）CO2価格'!$H$10:$I$12,2,0),0)*$F$8/1000,"")),0,IF($K109&lt;=$F$15,VLOOKUP($I109,'表4）CO2価格'!$A$7:$E$67,VLOOKUP($F$48,'表4）CO2価格'!$H$10:$I$12,2,0),0)*$F$8/1000,""))</f>
        <v/>
      </c>
      <c r="AZ109" s="39"/>
      <c r="BA109" s="42" t="str">
        <f t="shared" si="49"/>
        <v/>
      </c>
      <c r="BB109" s="72" t="str">
        <f t="shared" si="65"/>
        <v/>
      </c>
      <c r="BC109" s="39"/>
      <c r="BD109" s="72" t="str">
        <f t="shared" si="50"/>
        <v/>
      </c>
      <c r="BE109" s="72" t="str">
        <f t="shared" si="66"/>
        <v/>
      </c>
      <c r="BF109" s="39"/>
      <c r="BG109" s="42" t="str">
        <f t="shared" si="51"/>
        <v/>
      </c>
      <c r="BH109" s="72" t="str">
        <f t="shared" si="67"/>
        <v/>
      </c>
      <c r="BI109" s="39"/>
      <c r="BJ109" s="40" t="str">
        <f t="shared" si="68"/>
        <v/>
      </c>
      <c r="BK109" s="157" t="str">
        <f t="shared" si="69"/>
        <v/>
      </c>
      <c r="BL109" s="157" t="str">
        <f t="shared" si="52"/>
        <v/>
      </c>
      <c r="BM109" s="72"/>
      <c r="BN109" s="72" t="str">
        <f t="shared" si="70"/>
        <v/>
      </c>
      <c r="BO109" s="72" t="str">
        <f t="shared" si="71"/>
        <v/>
      </c>
      <c r="BP109" s="39"/>
      <c r="BQ109" s="72" t="str">
        <f t="shared" si="53"/>
        <v/>
      </c>
      <c r="BR109" s="72" t="str">
        <f t="shared" si="72"/>
        <v/>
      </c>
    </row>
    <row r="110" spans="4:70" ht="15" x14ac:dyDescent="0.15">
      <c r="D110" s="116"/>
      <c r="F110" s="93"/>
      <c r="I110" s="459">
        <f t="shared" si="73"/>
        <v>2125</v>
      </c>
      <c r="K110" s="71">
        <f t="shared" si="74"/>
        <v>96</v>
      </c>
      <c r="M110" s="7">
        <f t="shared" si="38"/>
        <v>5.8563419660729518E-2</v>
      </c>
      <c r="O110" s="10" t="str">
        <f t="shared" si="75"/>
        <v/>
      </c>
      <c r="P110" s="29" t="str">
        <f t="shared" si="39"/>
        <v/>
      </c>
      <c r="R110" s="10" t="str">
        <f t="shared" si="54"/>
        <v/>
      </c>
      <c r="T110" s="10" t="str">
        <f t="shared" si="55"/>
        <v/>
      </c>
      <c r="V110" s="10" t="str">
        <f t="shared" si="40"/>
        <v/>
      </c>
      <c r="W110" s="10" t="str">
        <f t="shared" si="56"/>
        <v/>
      </c>
      <c r="Y110" s="10" t="str">
        <f t="shared" si="41"/>
        <v/>
      </c>
      <c r="Z110" s="10" t="str">
        <f t="shared" si="57"/>
        <v/>
      </c>
      <c r="AB110" s="10" t="str">
        <f t="shared" si="42"/>
        <v/>
      </c>
      <c r="AC110" s="10" t="str">
        <f t="shared" si="58"/>
        <v/>
      </c>
      <c r="AE110" s="10" t="str">
        <f t="shared" si="43"/>
        <v/>
      </c>
      <c r="AF110" s="10" t="str">
        <f t="shared" si="59"/>
        <v/>
      </c>
      <c r="AH110" s="10" t="str">
        <f t="shared" si="44"/>
        <v/>
      </c>
      <c r="AI110" s="10" t="str">
        <f t="shared" si="60"/>
        <v/>
      </c>
      <c r="AK110" s="10" t="str">
        <f t="shared" si="45"/>
        <v/>
      </c>
      <c r="AL110" s="10" t="str">
        <f t="shared" si="61"/>
        <v/>
      </c>
      <c r="AN110" s="10" t="str">
        <f t="shared" si="46"/>
        <v/>
      </c>
      <c r="AO110" s="10" t="str">
        <f t="shared" si="62"/>
        <v/>
      </c>
      <c r="AQ110" s="10" t="str">
        <f t="shared" si="47"/>
        <v/>
      </c>
      <c r="AR110" s="10" t="str">
        <f t="shared" si="63"/>
        <v/>
      </c>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V110" s="10" t="str">
        <f t="shared" si="48"/>
        <v/>
      </c>
      <c r="AW110" s="10" t="str">
        <f t="shared" si="64"/>
        <v/>
      </c>
      <c r="AY110" s="7" t="str">
        <f>IF(ISERROR(IF($K110&lt;=$F$15,VLOOKUP($I110,'表4）CO2価格'!$A$7:$E$67,VLOOKUP($F$48,'表4）CO2価格'!$H$10:$I$12,2,0),0)*$F$8/1000,"")),0,IF($K110&lt;=$F$15,VLOOKUP($I110,'表4）CO2価格'!$A$7:$E$67,VLOOKUP($F$48,'表4）CO2価格'!$H$10:$I$12,2,0),0)*$F$8/1000,""))</f>
        <v/>
      </c>
      <c r="BA110" s="11" t="str">
        <f t="shared" si="49"/>
        <v/>
      </c>
      <c r="BB110" s="10" t="str">
        <f t="shared" si="65"/>
        <v/>
      </c>
      <c r="BD110" s="10" t="str">
        <f t="shared" si="50"/>
        <v/>
      </c>
      <c r="BE110" s="10" t="str">
        <f t="shared" si="66"/>
        <v/>
      </c>
      <c r="BG110" s="11" t="str">
        <f t="shared" si="51"/>
        <v/>
      </c>
      <c r="BH110" s="10" t="str">
        <f t="shared" si="67"/>
        <v/>
      </c>
      <c r="BJ110" s="7" t="str">
        <f t="shared" si="68"/>
        <v/>
      </c>
      <c r="BK110" s="158" t="str">
        <f t="shared" si="69"/>
        <v/>
      </c>
      <c r="BL110" s="158" t="str">
        <f t="shared" si="52"/>
        <v/>
      </c>
      <c r="BM110" s="10"/>
      <c r="BN110" s="10" t="str">
        <f t="shared" si="70"/>
        <v/>
      </c>
      <c r="BO110" s="10" t="str">
        <f t="shared" si="71"/>
        <v/>
      </c>
      <c r="BQ110" s="10" t="str">
        <f t="shared" si="53"/>
        <v/>
      </c>
      <c r="BR110" s="10" t="str">
        <f t="shared" si="72"/>
        <v/>
      </c>
    </row>
    <row r="111" spans="4:70" ht="15" x14ac:dyDescent="0.15">
      <c r="D111" s="116"/>
      <c r="E111" s="81" t="s">
        <v>206</v>
      </c>
      <c r="F111" s="91">
        <f>-BE116/BR116</f>
        <v>0</v>
      </c>
      <c r="G111" s="81" t="s">
        <v>132</v>
      </c>
      <c r="I111" s="458">
        <f t="shared" si="73"/>
        <v>2126</v>
      </c>
      <c r="J111" s="39"/>
      <c r="K111" s="39">
        <f t="shared" si="74"/>
        <v>97</v>
      </c>
      <c r="L111" s="39"/>
      <c r="M111" s="40">
        <f t="shared" si="38"/>
        <v>5.6857688990999529E-2</v>
      </c>
      <c r="N111" s="39"/>
      <c r="O111" s="72" t="str">
        <f t="shared" si="75"/>
        <v/>
      </c>
      <c r="P111" s="41" t="str">
        <f>IF(K111&lt;=$F$15,IF(OR(P110=$F$124,P110="-"),"-",IF(O111*$F$123&gt;$F$127,$F$123,$F$124)),"")</f>
        <v/>
      </c>
      <c r="Q111" s="39"/>
      <c r="R111" s="72" t="str">
        <f t="shared" si="54"/>
        <v/>
      </c>
      <c r="S111" s="39"/>
      <c r="T111" s="72" t="str">
        <f t="shared" si="55"/>
        <v/>
      </c>
      <c r="U111" s="39"/>
      <c r="V111" s="72" t="str">
        <f t="shared" si="40"/>
        <v/>
      </c>
      <c r="W111" s="72" t="str">
        <f t="shared" si="56"/>
        <v/>
      </c>
      <c r="X111" s="39"/>
      <c r="Y111" s="72" t="str">
        <f t="shared" si="41"/>
        <v/>
      </c>
      <c r="Z111" s="72" t="str">
        <f t="shared" si="57"/>
        <v/>
      </c>
      <c r="AA111" s="39"/>
      <c r="AB111" s="72" t="str">
        <f t="shared" si="42"/>
        <v/>
      </c>
      <c r="AC111" s="72" t="str">
        <f t="shared" si="58"/>
        <v/>
      </c>
      <c r="AD111" s="39"/>
      <c r="AE111" s="72" t="str">
        <f t="shared" si="43"/>
        <v/>
      </c>
      <c r="AF111" s="72" t="str">
        <f t="shared" si="59"/>
        <v/>
      </c>
      <c r="AG111" s="39"/>
      <c r="AH111" s="72" t="str">
        <f t="shared" si="44"/>
        <v/>
      </c>
      <c r="AI111" s="72" t="str">
        <f t="shared" si="60"/>
        <v/>
      </c>
      <c r="AJ111" s="39"/>
      <c r="AK111" s="72" t="str">
        <f t="shared" si="45"/>
        <v/>
      </c>
      <c r="AL111" s="72" t="str">
        <f t="shared" si="61"/>
        <v/>
      </c>
      <c r="AM111" s="39"/>
      <c r="AN111" s="72" t="str">
        <f t="shared" si="46"/>
        <v/>
      </c>
      <c r="AO111" s="72" t="str">
        <f t="shared" si="62"/>
        <v/>
      </c>
      <c r="AP111" s="39"/>
      <c r="AQ111" s="72" t="str">
        <f t="shared" si="47"/>
        <v/>
      </c>
      <c r="AR111" s="72" t="str">
        <f t="shared" si="63"/>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48"/>
        <v/>
      </c>
      <c r="AW111" s="72" t="str">
        <f t="shared" si="64"/>
        <v/>
      </c>
      <c r="AX111" s="39"/>
      <c r="AY111" s="40" t="str">
        <f>IF(ISERROR(IF($K111&lt;=$F$15,VLOOKUP($I111,'表4）CO2価格'!$A$7:$E$67,VLOOKUP($F$48,'表4）CO2価格'!$H$10:$I$12,2,0),0)*$F$8/1000,"")),0,IF($K111&lt;=$F$15,VLOOKUP($I111,'表4）CO2価格'!$A$7:$E$67,VLOOKUP($F$48,'表4）CO2価格'!$H$10:$I$12,2,0),0)*$F$8/1000,""))</f>
        <v/>
      </c>
      <c r="AZ111" s="39"/>
      <c r="BA111" s="42" t="str">
        <f t="shared" si="49"/>
        <v/>
      </c>
      <c r="BB111" s="72" t="str">
        <f t="shared" si="65"/>
        <v/>
      </c>
      <c r="BC111" s="39"/>
      <c r="BD111" s="72" t="str">
        <f t="shared" si="50"/>
        <v/>
      </c>
      <c r="BE111" s="72" t="str">
        <f t="shared" si="66"/>
        <v/>
      </c>
      <c r="BF111" s="39"/>
      <c r="BG111" s="42" t="str">
        <f t="shared" si="51"/>
        <v/>
      </c>
      <c r="BH111" s="72" t="str">
        <f t="shared" si="67"/>
        <v/>
      </c>
      <c r="BI111" s="39"/>
      <c r="BJ111" s="40" t="str">
        <f t="shared" si="68"/>
        <v/>
      </c>
      <c r="BK111" s="157" t="str">
        <f t="shared" si="69"/>
        <v/>
      </c>
      <c r="BL111" s="157" t="str">
        <f t="shared" si="52"/>
        <v/>
      </c>
      <c r="BM111" s="72"/>
      <c r="BN111" s="72" t="str">
        <f t="shared" si="70"/>
        <v/>
      </c>
      <c r="BO111" s="72" t="str">
        <f t="shared" si="71"/>
        <v/>
      </c>
      <c r="BP111" s="39"/>
      <c r="BQ111" s="72" t="str">
        <f t="shared" si="53"/>
        <v/>
      </c>
      <c r="BR111" s="72" t="str">
        <f t="shared" si="72"/>
        <v/>
      </c>
    </row>
    <row r="112" spans="4:70" ht="15" x14ac:dyDescent="0.15">
      <c r="D112" s="116"/>
      <c r="E112" s="81" t="s">
        <v>207</v>
      </c>
      <c r="F112" s="91">
        <f>-BH116/BR116</f>
        <v>0</v>
      </c>
      <c r="G112" s="81" t="s">
        <v>132</v>
      </c>
      <c r="I112" s="459">
        <f t="shared" si="73"/>
        <v>2127</v>
      </c>
      <c r="K112" s="71">
        <f t="shared" si="74"/>
        <v>98</v>
      </c>
      <c r="M112" s="7">
        <f t="shared" si="38"/>
        <v>5.5201639797086935E-2</v>
      </c>
      <c r="O112" s="10" t="str">
        <f t="shared" si="75"/>
        <v/>
      </c>
      <c r="P112" s="29" t="str">
        <f>IF(K112&lt;=$F$15,IF(OR(P111=$F$124,P111="-"),"-",IF(O112*$F$123&gt;$F$127,$F$123,$F$124)),"")</f>
        <v/>
      </c>
      <c r="R112" s="10" t="str">
        <f t="shared" si="54"/>
        <v/>
      </c>
      <c r="T112" s="10" t="str">
        <f t="shared" si="55"/>
        <v/>
      </c>
      <c r="V112" s="10" t="str">
        <f t="shared" si="40"/>
        <v/>
      </c>
      <c r="W112" s="10" t="str">
        <f t="shared" si="56"/>
        <v/>
      </c>
      <c r="Y112" s="10" t="str">
        <f t="shared" si="41"/>
        <v/>
      </c>
      <c r="Z112" s="10" t="str">
        <f t="shared" si="57"/>
        <v/>
      </c>
      <c r="AB112" s="10" t="str">
        <f t="shared" si="42"/>
        <v/>
      </c>
      <c r="AC112" s="10" t="str">
        <f t="shared" si="58"/>
        <v/>
      </c>
      <c r="AE112" s="10" t="str">
        <f t="shared" si="43"/>
        <v/>
      </c>
      <c r="AF112" s="10" t="str">
        <f t="shared" si="59"/>
        <v/>
      </c>
      <c r="AH112" s="10" t="str">
        <f t="shared" si="44"/>
        <v/>
      </c>
      <c r="AI112" s="10" t="str">
        <f t="shared" si="60"/>
        <v/>
      </c>
      <c r="AK112" s="10" t="str">
        <f t="shared" si="45"/>
        <v/>
      </c>
      <c r="AL112" s="10" t="str">
        <f t="shared" si="61"/>
        <v/>
      </c>
      <c r="AN112" s="10" t="str">
        <f t="shared" si="46"/>
        <v/>
      </c>
      <c r="AO112" s="10" t="str">
        <f t="shared" si="62"/>
        <v/>
      </c>
      <c r="AQ112" s="10" t="str">
        <f t="shared" si="47"/>
        <v/>
      </c>
      <c r="AR112" s="10" t="str">
        <f t="shared" si="63"/>
        <v/>
      </c>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V112" s="10" t="str">
        <f t="shared" si="48"/>
        <v/>
      </c>
      <c r="AW112" s="10" t="str">
        <f t="shared" si="64"/>
        <v/>
      </c>
      <c r="AY112" s="7" t="str">
        <f>IF(ISERROR(IF($K112&lt;=$F$15,VLOOKUP($I112,'表4）CO2価格'!$A$7:$E$67,VLOOKUP($F$48,'表4）CO2価格'!$H$10:$I$12,2,0),0)*$F$8/1000,"")),0,IF($K112&lt;=$F$15,VLOOKUP($I112,'表4）CO2価格'!$A$7:$E$67,VLOOKUP($F$48,'表4）CO2価格'!$H$10:$I$12,2,0),0)*$F$8/1000,""))</f>
        <v/>
      </c>
      <c r="BA112" s="11" t="str">
        <f t="shared" si="49"/>
        <v/>
      </c>
      <c r="BB112" s="10" t="str">
        <f t="shared" si="65"/>
        <v/>
      </c>
      <c r="BD112" s="10" t="str">
        <f t="shared" si="50"/>
        <v/>
      </c>
      <c r="BE112" s="10" t="str">
        <f t="shared" si="66"/>
        <v/>
      </c>
      <c r="BG112" s="11" t="str">
        <f t="shared" si="51"/>
        <v/>
      </c>
      <c r="BH112" s="10" t="str">
        <f t="shared" si="67"/>
        <v/>
      </c>
      <c r="BJ112" s="7" t="str">
        <f t="shared" si="68"/>
        <v/>
      </c>
      <c r="BK112" s="158" t="str">
        <f t="shared" si="69"/>
        <v/>
      </c>
      <c r="BL112" s="158" t="str">
        <f t="shared" si="52"/>
        <v/>
      </c>
      <c r="BM112" s="10"/>
      <c r="BN112" s="10" t="str">
        <f t="shared" si="70"/>
        <v/>
      </c>
      <c r="BO112" s="10" t="str">
        <f t="shared" si="71"/>
        <v/>
      </c>
      <c r="BQ112" s="10" t="str">
        <f t="shared" si="53"/>
        <v/>
      </c>
      <c r="BR112" s="10" t="str">
        <f t="shared" si="72"/>
        <v/>
      </c>
    </row>
    <row r="113" spans="2:70" x14ac:dyDescent="0.15">
      <c r="I113" s="458">
        <f t="shared" si="73"/>
        <v>2128</v>
      </c>
      <c r="J113" s="39"/>
      <c r="K113" s="39">
        <f t="shared" si="74"/>
        <v>99</v>
      </c>
      <c r="L113" s="39"/>
      <c r="M113" s="40">
        <f t="shared" si="38"/>
        <v>5.3593825045715457E-2</v>
      </c>
      <c r="N113" s="39"/>
      <c r="O113" s="72" t="str">
        <f t="shared" si="75"/>
        <v/>
      </c>
      <c r="P113" s="41" t="str">
        <f>IF(K113&lt;=$F$15,IF(OR(P112=$F$124,P112="-"),"-",IF(O113*$F$123&gt;$F$127,$F$123,$F$124)),"")</f>
        <v/>
      </c>
      <c r="Q113" s="39"/>
      <c r="R113" s="72" t="str">
        <f t="shared" si="54"/>
        <v/>
      </c>
      <c r="S113" s="39"/>
      <c r="T113" s="72" t="str">
        <f t="shared" si="55"/>
        <v/>
      </c>
      <c r="U113" s="39"/>
      <c r="V113" s="72" t="str">
        <f t="shared" si="40"/>
        <v/>
      </c>
      <c r="W113" s="72" t="str">
        <f t="shared" si="56"/>
        <v/>
      </c>
      <c r="X113" s="39"/>
      <c r="Y113" s="72" t="str">
        <f t="shared" si="41"/>
        <v/>
      </c>
      <c r="Z113" s="72" t="str">
        <f t="shared" si="57"/>
        <v/>
      </c>
      <c r="AA113" s="39"/>
      <c r="AB113" s="72" t="str">
        <f t="shared" si="42"/>
        <v/>
      </c>
      <c r="AC113" s="72" t="str">
        <f t="shared" si="58"/>
        <v/>
      </c>
      <c r="AD113" s="39"/>
      <c r="AE113" s="72" t="str">
        <f t="shared" si="43"/>
        <v/>
      </c>
      <c r="AF113" s="72" t="str">
        <f t="shared" si="59"/>
        <v/>
      </c>
      <c r="AG113" s="39"/>
      <c r="AH113" s="72" t="str">
        <f t="shared" si="44"/>
        <v/>
      </c>
      <c r="AI113" s="72" t="str">
        <f t="shared" si="60"/>
        <v/>
      </c>
      <c r="AJ113" s="39"/>
      <c r="AK113" s="72" t="str">
        <f t="shared" si="45"/>
        <v/>
      </c>
      <c r="AL113" s="72" t="str">
        <f t="shared" si="61"/>
        <v/>
      </c>
      <c r="AM113" s="39"/>
      <c r="AN113" s="72" t="str">
        <f t="shared" si="46"/>
        <v/>
      </c>
      <c r="AO113" s="72" t="str">
        <f t="shared" si="62"/>
        <v/>
      </c>
      <c r="AP113" s="39"/>
      <c r="AQ113" s="72" t="str">
        <f t="shared" si="47"/>
        <v/>
      </c>
      <c r="AR113" s="72" t="str">
        <f t="shared" si="63"/>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48"/>
        <v/>
      </c>
      <c r="AW113" s="72" t="str">
        <f t="shared" si="64"/>
        <v/>
      </c>
      <c r="AX113" s="39"/>
      <c r="AY113" s="40" t="str">
        <f>IF(ISERROR(IF($K113&lt;=$F$15,VLOOKUP($I113,'表4）CO2価格'!$A$7:$E$67,VLOOKUP($F$48,'表4）CO2価格'!$H$10:$I$12,2,0),0)*$F$8/1000,"")),0,IF($K113&lt;=$F$15,VLOOKUP($I113,'表4）CO2価格'!$A$7:$E$67,VLOOKUP($F$48,'表4）CO2価格'!$H$10:$I$12,2,0),0)*$F$8/1000,""))</f>
        <v/>
      </c>
      <c r="AZ113" s="39"/>
      <c r="BA113" s="42" t="str">
        <f t="shared" si="49"/>
        <v/>
      </c>
      <c r="BB113" s="72" t="str">
        <f t="shared" si="65"/>
        <v/>
      </c>
      <c r="BC113" s="39"/>
      <c r="BD113" s="72" t="str">
        <f t="shared" si="50"/>
        <v/>
      </c>
      <c r="BE113" s="72" t="str">
        <f t="shared" si="66"/>
        <v/>
      </c>
      <c r="BF113" s="39"/>
      <c r="BG113" s="42" t="str">
        <f t="shared" si="51"/>
        <v/>
      </c>
      <c r="BH113" s="72" t="str">
        <f t="shared" si="67"/>
        <v/>
      </c>
      <c r="BI113" s="39"/>
      <c r="BJ113" s="40" t="str">
        <f t="shared" si="68"/>
        <v/>
      </c>
      <c r="BK113" s="157" t="str">
        <f t="shared" si="69"/>
        <v/>
      </c>
      <c r="BL113" s="157" t="str">
        <f t="shared" si="52"/>
        <v/>
      </c>
      <c r="BM113" s="72"/>
      <c r="BN113" s="72" t="str">
        <f t="shared" si="70"/>
        <v/>
      </c>
      <c r="BO113" s="72" t="str">
        <f t="shared" si="71"/>
        <v/>
      </c>
      <c r="BP113" s="39"/>
      <c r="BQ113" s="72" t="str">
        <f t="shared" si="53"/>
        <v/>
      </c>
      <c r="BR113" s="72" t="str">
        <f t="shared" si="72"/>
        <v/>
      </c>
    </row>
    <row r="114" spans="2:70" ht="15.75" thickBot="1" x14ac:dyDescent="0.2">
      <c r="B114" s="460" t="s">
        <v>515</v>
      </c>
      <c r="I114" s="459">
        <f t="shared" si="73"/>
        <v>2129</v>
      </c>
      <c r="K114" s="71">
        <f t="shared" si="74"/>
        <v>100</v>
      </c>
      <c r="M114" s="7">
        <f t="shared" si="38"/>
        <v>5.2032839850209185E-2</v>
      </c>
      <c r="O114" s="10" t="str">
        <f t="shared" si="75"/>
        <v/>
      </c>
      <c r="P114" s="29" t="str">
        <f>IF(K114&lt;=$F$15,IF(OR(P113=$F$124,P113="-"),"-",IF(O114*$F$123&gt;$F$127,$F$123,$F$124)),"")</f>
        <v/>
      </c>
      <c r="R114" s="10" t="str">
        <f t="shared" si="54"/>
        <v/>
      </c>
      <c r="T114" s="10" t="str">
        <f t="shared" si="55"/>
        <v/>
      </c>
      <c r="V114" s="10" t="str">
        <f t="shared" si="40"/>
        <v/>
      </c>
      <c r="W114" s="10" t="str">
        <f t="shared" si="56"/>
        <v/>
      </c>
      <c r="Y114" s="10" t="str">
        <f t="shared" si="41"/>
        <v/>
      </c>
      <c r="Z114" s="10" t="str">
        <f t="shared" si="57"/>
        <v/>
      </c>
      <c r="AB114" s="10" t="str">
        <f t="shared" si="42"/>
        <v/>
      </c>
      <c r="AC114" s="10" t="str">
        <f t="shared" si="58"/>
        <v/>
      </c>
      <c r="AE114" s="10" t="str">
        <f t="shared" si="43"/>
        <v/>
      </c>
      <c r="AF114" s="10" t="str">
        <f t="shared" si="59"/>
        <v/>
      </c>
      <c r="AH114" s="10" t="str">
        <f t="shared" si="44"/>
        <v/>
      </c>
      <c r="AI114" s="10" t="str">
        <f t="shared" si="60"/>
        <v/>
      </c>
      <c r="AK114" s="10" t="str">
        <f t="shared" si="45"/>
        <v/>
      </c>
      <c r="AL114" s="10" t="str">
        <f t="shared" si="61"/>
        <v/>
      </c>
      <c r="AN114" s="10" t="str">
        <f t="shared" si="46"/>
        <v/>
      </c>
      <c r="AO114" s="10" t="str">
        <f t="shared" si="62"/>
        <v/>
      </c>
      <c r="AQ114" s="10" t="str">
        <f t="shared" si="47"/>
        <v/>
      </c>
      <c r="AR114" s="10" t="str">
        <f t="shared" si="63"/>
        <v/>
      </c>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V114" s="10" t="str">
        <f t="shared" si="48"/>
        <v/>
      </c>
      <c r="AW114" s="10" t="str">
        <f t="shared" si="64"/>
        <v/>
      </c>
      <c r="AY114" s="7" t="str">
        <f>IF(ISERROR(IF($K114&lt;=$F$15,VLOOKUP($I114,'表4）CO2価格'!$A$7:$E$67,VLOOKUP($F$48,'表4）CO2価格'!$H$10:$I$12,2,0),0)*$F$8/1000,"")),0,IF($K114&lt;=$F$15,VLOOKUP($I114,'表4）CO2価格'!$A$7:$E$67,VLOOKUP($F$48,'表4）CO2価格'!$H$10:$I$12,2,0),0)*$F$8/1000,""))</f>
        <v/>
      </c>
      <c r="BA114" s="11" t="str">
        <f t="shared" si="49"/>
        <v/>
      </c>
      <c r="BB114" s="10" t="str">
        <f t="shared" si="65"/>
        <v/>
      </c>
      <c r="BD114" s="10" t="str">
        <f t="shared" si="50"/>
        <v/>
      </c>
      <c r="BE114" s="10" t="str">
        <f t="shared" si="66"/>
        <v/>
      </c>
      <c r="BG114" s="11" t="str">
        <f t="shared" si="51"/>
        <v/>
      </c>
      <c r="BH114" s="10" t="str">
        <f t="shared" si="67"/>
        <v/>
      </c>
      <c r="BJ114" s="7" t="str">
        <f t="shared" si="68"/>
        <v/>
      </c>
      <c r="BK114" s="158" t="str">
        <f t="shared" si="69"/>
        <v/>
      </c>
      <c r="BL114" s="158" t="str">
        <f t="shared" si="52"/>
        <v/>
      </c>
      <c r="BM114" s="10"/>
      <c r="BN114" s="10" t="str">
        <f t="shared" si="70"/>
        <v/>
      </c>
      <c r="BO114" s="10" t="str">
        <f t="shared" si="71"/>
        <v/>
      </c>
      <c r="BQ114" s="10" t="str">
        <f t="shared" si="53"/>
        <v/>
      </c>
      <c r="BR114" s="10" t="str">
        <f t="shared" si="72"/>
        <v/>
      </c>
    </row>
    <row r="115" spans="2:70" ht="15" thickBot="1" x14ac:dyDescent="0.2">
      <c r="C115" s="86"/>
      <c r="D115" s="104"/>
      <c r="E115" s="104"/>
      <c r="F115" s="86"/>
      <c r="G115" s="104"/>
      <c r="I115" s="464"/>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9" t="s">
        <v>516</v>
      </c>
      <c r="V116" s="11"/>
      <c r="W116" s="11"/>
      <c r="Z116" s="11">
        <f>SUM(Z15:Z114)</f>
        <v>0</v>
      </c>
      <c r="AC116" s="11">
        <f>SUM(AC15:AC114)</f>
        <v>27126.141555152513</v>
      </c>
      <c r="AF116" s="11">
        <f>SUM(AF15:AF114)</f>
        <v>0</v>
      </c>
      <c r="AI116" s="11">
        <f>SUM(AI15:AI114)</f>
        <v>261197.21536917033</v>
      </c>
      <c r="AL116" s="11">
        <f>SUM(AL15:AL114)</f>
        <v>0</v>
      </c>
      <c r="AO116" s="11">
        <f>SUM(AO15:AO114)</f>
        <v>0</v>
      </c>
      <c r="AR116" s="11">
        <f>SUM(AR15:AR114)</f>
        <v>0</v>
      </c>
      <c r="AW116" s="11">
        <f>SUM(AW15:AW114)</f>
        <v>0</v>
      </c>
      <c r="BB116" s="11">
        <f>SUM(BB15:BB114)</f>
        <v>0</v>
      </c>
      <c r="BE116" s="11">
        <f>SUM(BE15:BE114)</f>
        <v>0</v>
      </c>
      <c r="BH116" s="11">
        <f>SUM(BH15:BH114)</f>
        <v>0</v>
      </c>
      <c r="BK116" s="11">
        <f>SUM(BK15:BK114)</f>
        <v>168026.30281523825</v>
      </c>
      <c r="BL116" s="11">
        <f>SUM(BL15:BL114)</f>
        <v>51037.666567312743</v>
      </c>
      <c r="BO116" s="11">
        <f>SUM(BO15:BO114)</f>
        <v>1351718.9294040906</v>
      </c>
      <c r="BR116" s="11">
        <f>SUM(BR15:BR114)</f>
        <v>105252.02990516087</v>
      </c>
    </row>
    <row r="117" spans="2:70" x14ac:dyDescent="0.15">
      <c r="C117" s="9" t="s">
        <v>529</v>
      </c>
      <c r="F117" s="44">
        <f>F21*10^4*F13*10^4+F29*10^8</f>
        <v>1170000</v>
      </c>
      <c r="G117" s="81" t="s">
        <v>208</v>
      </c>
      <c r="I117" s="236" t="s">
        <v>145</v>
      </c>
      <c r="W117" s="11"/>
      <c r="Z117" s="11">
        <f ca="1">IF(ISNUMBER($F$16),SUM(INDIRECT(ADDRESS($F$16+15,COLUMN())):INDIRECT(ADDRESS(114,COLUMN()))),"")</f>
        <v>0</v>
      </c>
      <c r="AC117" s="11">
        <f ca="1">IF(ISNUMBER($F$16),SUM(INDIRECT(ADDRESS($F$16+15,COLUMN())):INDIRECT(ADDRESS(114,COLUMN()))),"")</f>
        <v>27126.141555152513</v>
      </c>
      <c r="AF117" s="11">
        <f ca="1">IF(ISNUMBER($F$16),SUM(INDIRECT(ADDRESS($F$16+15,COLUMN())):INDIRECT(ADDRESS(114,COLUMN()))),"")</f>
        <v>0</v>
      </c>
      <c r="AI117" s="11">
        <f ca="1">IF(ISNUMBER($F$16),SUM(INDIRECT(ADDRESS($F$16+15,COLUMN())):INDIRECT(ADDRESS(114,COLUMN()))),"")</f>
        <v>133244.17281753285</v>
      </c>
      <c r="AL117" s="11">
        <f ca="1">IF(ISNUMBER($F$16),SUM(INDIRECT(ADDRESS($F$16+15,COLUMN())):INDIRECT(ADDRESS(114,COLUMN()))),"")</f>
        <v>0</v>
      </c>
      <c r="AO117" s="11">
        <f ca="1">IF(ISNUMBER($F$16),SUM(INDIRECT(ADDRESS($F$16+15,COLUMN())):INDIRECT(ADDRESS(114,COLUMN()))),"")</f>
        <v>0</v>
      </c>
      <c r="AR117" s="11">
        <f ca="1">IF(ISNUMBER($F$16),SUM(INDIRECT(ADDRESS($F$16+15,COLUMN())):INDIRECT(ADDRESS(114,COLUMN()))),"")</f>
        <v>0</v>
      </c>
      <c r="AW117" s="11">
        <f ca="1">IF(ISNUMBER($F$16),SUM(INDIRECT(ADDRESS($F$16+15,COLUMN())):INDIRECT(ADDRESS(114,COLUMN()))),"")</f>
        <v>0</v>
      </c>
      <c r="BB117" s="11">
        <f ca="1">IF(ISNUMBER($F$16),SUM(INDIRECT(ADDRESS($F$16+15,COLUMN())):INDIRECT(ADDRESS(114,COLUMN()))),"")</f>
        <v>0</v>
      </c>
      <c r="BE117" s="11">
        <f ca="1">IF(ISNUMBER($F$16),SUM(INDIRECT(ADDRESS($F$16+15,COLUMN())):INDIRECT(ADDRESS(114,COLUMN()))),"")</f>
        <v>0</v>
      </c>
      <c r="BH117" s="11">
        <f ca="1">IF(ISNUMBER($F$16),SUM(INDIRECT(ADDRESS($F$16+15,COLUMN())):INDIRECT(ADDRESS(114,COLUMN()))),"")</f>
        <v>0</v>
      </c>
      <c r="BK117" s="11">
        <f ca="1">IF(ISNUMBER($F$16),SUM(INDIRECT(ADDRESS($F$16+15,COLUMN())):INDIRECT(ADDRESS(114,COLUMN()))),"")</f>
        <v>41369.397496316436</v>
      </c>
      <c r="BL117" s="11">
        <f ca="1">IF(ISNUMBER($F$16),SUM(INDIRECT(ADDRESS($F$16+15,COLUMN())):INDIRECT(ADDRESS(114,COLUMN()))),"")</f>
        <v>0</v>
      </c>
      <c r="BO117" s="11">
        <f ca="1">IF(ISNUMBER($F$16),SUM(INDIRECT(ADDRESS($F$16+15,COLUMN())):INDIRECT(ADDRESS(114,COLUMN()))),"")</f>
        <v>0</v>
      </c>
      <c r="BR117" s="11">
        <f ca="1">IF(ISNUMBER($F$16),SUM(INDIRECT(ADDRESS($F$16+15,COLUMN())):INDIRECT(ADDRESS(114,COLUMN()))),"")</f>
        <v>53692.071878553041</v>
      </c>
    </row>
    <row r="119" spans="2:70" x14ac:dyDescent="0.15">
      <c r="C119" s="9" t="s">
        <v>521</v>
      </c>
      <c r="F119" s="44">
        <f>VLOOKUP(F3,'表2）法定耐用年数'!$A$2:$B$24,2,0)</f>
        <v>17</v>
      </c>
      <c r="G119" s="81" t="s">
        <v>108</v>
      </c>
    </row>
    <row r="121" spans="2:70" x14ac:dyDescent="0.15">
      <c r="C121" s="89" t="s">
        <v>522</v>
      </c>
      <c r="D121" s="101"/>
      <c r="E121" s="101"/>
      <c r="F121" s="89"/>
      <c r="G121" s="101"/>
    </row>
    <row r="123" spans="2:70" x14ac:dyDescent="0.15">
      <c r="D123" s="81" t="s">
        <v>209</v>
      </c>
      <c r="F123" s="95">
        <f>VLOOKUP($F$119,'表1）減価償却率表'!$A$9:$E$107,3,0)</f>
        <v>0.14699999999999999</v>
      </c>
    </row>
    <row r="124" spans="2:70" x14ac:dyDescent="0.15">
      <c r="D124" s="81" t="s">
        <v>210</v>
      </c>
      <c r="F124" s="95">
        <f>VLOOKUP($F$119,'表1）減価償却率表'!$A$9:$E$107,4,0)</f>
        <v>0.16700000000000001</v>
      </c>
    </row>
    <row r="125" spans="2:70" x14ac:dyDescent="0.15">
      <c r="D125" s="81" t="s">
        <v>211</v>
      </c>
      <c r="F125" s="88">
        <f>VLOOKUP($F$119,'表1）減価償却率表'!$A$9:$E$107,5,0)</f>
        <v>2.9049999999999999E-2</v>
      </c>
    </row>
    <row r="126" spans="2:70" x14ac:dyDescent="0.15">
      <c r="F126" s="96"/>
    </row>
    <row r="127" spans="2:70" x14ac:dyDescent="0.15">
      <c r="C127" s="111" t="s">
        <v>523</v>
      </c>
      <c r="D127" s="85"/>
      <c r="E127" s="114"/>
      <c r="F127" s="44">
        <f>F117*F125</f>
        <v>33988.5</v>
      </c>
      <c r="G127" s="81" t="s">
        <v>208</v>
      </c>
    </row>
    <row r="129" spans="3:7" x14ac:dyDescent="0.15">
      <c r="C129" s="111" t="s">
        <v>152</v>
      </c>
      <c r="D129" s="85"/>
      <c r="E129" s="85"/>
      <c r="F129" s="95">
        <f>0.1^(1/F119)</f>
        <v>0.87332616238284333</v>
      </c>
      <c r="G129" s="85"/>
    </row>
    <row r="131" spans="3:7" x14ac:dyDescent="0.15">
      <c r="C131" s="89" t="s">
        <v>524</v>
      </c>
      <c r="D131" s="101"/>
      <c r="E131" s="101"/>
      <c r="F131" s="89"/>
      <c r="G131" s="101"/>
    </row>
    <row r="133" spans="3:7" x14ac:dyDescent="0.15">
      <c r="D133" s="81" t="s">
        <v>212</v>
      </c>
      <c r="F133" s="44">
        <f>F13*10000*24*365*F14/100</f>
        <v>6044.4</v>
      </c>
      <c r="G133" s="81" t="s">
        <v>213</v>
      </c>
    </row>
    <row r="134" spans="3:7" x14ac:dyDescent="0.15">
      <c r="D134" s="81" t="s">
        <v>214</v>
      </c>
      <c r="F134" s="44">
        <f>F133*(1-F24/100)</f>
        <v>6044.4</v>
      </c>
      <c r="G134" s="81" t="s">
        <v>213</v>
      </c>
    </row>
    <row r="135" spans="3:7" x14ac:dyDescent="0.15">
      <c r="F135" s="97"/>
    </row>
    <row r="137" spans="3:7" ht="16.5" x14ac:dyDescent="0.15">
      <c r="C137" s="9" t="s">
        <v>525</v>
      </c>
      <c r="F137" s="44">
        <f>IF(ISERROR(F133*3.6/(F23/100)/F22),0,F133*3.6/(F23/100)/F22)</f>
        <v>0</v>
      </c>
      <c r="G137" s="9" t="s">
        <v>370</v>
      </c>
    </row>
    <row r="139" spans="3:7" x14ac:dyDescent="0.15">
      <c r="C139" s="89" t="s">
        <v>526</v>
      </c>
      <c r="D139" s="101"/>
      <c r="E139" s="101"/>
      <c r="F139" s="89"/>
      <c r="G139" s="101"/>
    </row>
    <row r="141" spans="3:7" x14ac:dyDescent="0.15">
      <c r="D141" s="81" t="s">
        <v>215</v>
      </c>
      <c r="F141" s="98" t="str">
        <f>IF(OR(F3="石炭火力",F3= "LNG火力", F3="ガスコジェネ",F3="バイオマス（石炭混焼）",F3="バイオマス（木質専焼）",F3="燃料電池"),IF($F$43="需要地価格","",1000),IF(OR(F3="石油火力",F3="石油コジェネ"),IF($F$43="需要地価格","",158.987294928),""))</f>
        <v/>
      </c>
      <c r="G141" s="81" t="s">
        <v>216</v>
      </c>
    </row>
    <row r="142" spans="3:7" x14ac:dyDescent="0.15">
      <c r="D142" s="81" t="s">
        <v>180</v>
      </c>
      <c r="F142" s="91">
        <f>IF(ISERROR(F42/1000),0,F42/1000)</f>
        <v>0</v>
      </c>
      <c r="G142" s="81" t="s">
        <v>217</v>
      </c>
    </row>
    <row r="145" spans="3:7" x14ac:dyDescent="0.15">
      <c r="C145" s="9" t="s">
        <v>368</v>
      </c>
      <c r="F145" s="98">
        <f>IF(ISERROR(F133*(F47*3.6/(F23/100)/1000*(44/12))),0,F133*(F47*3.6/(F23/100)/1000*(44/12)))</f>
        <v>0</v>
      </c>
      <c r="G145" s="81" t="s">
        <v>218</v>
      </c>
    </row>
    <row r="147" spans="3:7" x14ac:dyDescent="0.15">
      <c r="C147" s="89" t="s">
        <v>369</v>
      </c>
      <c r="D147" s="101"/>
      <c r="E147" s="101"/>
      <c r="F147" s="89"/>
      <c r="G147" s="101"/>
    </row>
    <row r="149" spans="3:7" x14ac:dyDescent="0.15">
      <c r="D149" s="81" t="s">
        <v>219</v>
      </c>
      <c r="F149" s="98">
        <f>IF(ISERROR(F52/F23),0,F52/F23)</f>
        <v>0</v>
      </c>
    </row>
    <row r="150" spans="3:7" x14ac:dyDescent="0.15">
      <c r="D150" s="81" t="s">
        <v>220</v>
      </c>
      <c r="F150" s="98">
        <f>F133*F149*(F53/100)*3.6</f>
        <v>0</v>
      </c>
      <c r="G150" s="81" t="s">
        <v>221</v>
      </c>
    </row>
    <row r="151" spans="3:7" ht="16.5" x14ac:dyDescent="0.15">
      <c r="D151" s="81" t="s">
        <v>222</v>
      </c>
      <c r="F151" s="44">
        <f>IF(ISERROR(F150/(F54/100)/F55),0,F150/(F54/100)/F55)</f>
        <v>0</v>
      </c>
      <c r="G151" s="9" t="s">
        <v>370</v>
      </c>
    </row>
    <row r="152" spans="3:7" x14ac:dyDescent="0.15">
      <c r="D152" s="81" t="s">
        <v>223</v>
      </c>
      <c r="F152" s="146">
        <f>IF(ISERROR(F56/1000),0,F56/1000)</f>
        <v>0</v>
      </c>
      <c r="G152" s="81" t="s">
        <v>217</v>
      </c>
    </row>
    <row r="153" spans="3:7" x14ac:dyDescent="0.15">
      <c r="D153" s="81" t="s">
        <v>224</v>
      </c>
      <c r="F153" s="98">
        <f>IF(ISERROR(F150*F47/1000*(44/12)/(F54/100)),0,F150*F47/1000*(44/12)/(F54/100))</f>
        <v>0</v>
      </c>
      <c r="G153" s="81" t="s">
        <v>218</v>
      </c>
    </row>
  </sheetData>
  <mergeCells count="48">
    <mergeCell ref="F3:G3"/>
    <mergeCell ref="V7:AF7"/>
    <mergeCell ref="AH7:AR7"/>
    <mergeCell ref="AT7:AW7"/>
    <mergeCell ref="AY7:BB7"/>
    <mergeCell ref="AQ9:AR10"/>
    <mergeCell ref="BJ7:BO7"/>
    <mergeCell ref="BQ7:BR7"/>
    <mergeCell ref="I9:I10"/>
    <mergeCell ref="K9:K10"/>
    <mergeCell ref="M9:M10"/>
    <mergeCell ref="O9:P10"/>
    <mergeCell ref="R9:R10"/>
    <mergeCell ref="T9:T10"/>
    <mergeCell ref="V9:W10"/>
    <mergeCell ref="Y9:Z10"/>
    <mergeCell ref="BD7:BH7"/>
    <mergeCell ref="AB9:AC10"/>
    <mergeCell ref="AE9:AF10"/>
    <mergeCell ref="AH9:AI10"/>
    <mergeCell ref="AK9:AL10"/>
    <mergeCell ref="AN9:AO10"/>
    <mergeCell ref="BJ9:BL10"/>
    <mergeCell ref="BN9:BO10"/>
    <mergeCell ref="P12:P13"/>
    <mergeCell ref="W12:W13"/>
    <mergeCell ref="Z12:Z13"/>
    <mergeCell ref="AC12:AC13"/>
    <mergeCell ref="AF12:AF13"/>
    <mergeCell ref="AI12:AI13"/>
    <mergeCell ref="AL12:AL13"/>
    <mergeCell ref="AO12:AO13"/>
    <mergeCell ref="AT9:AT10"/>
    <mergeCell ref="AV9:AW10"/>
    <mergeCell ref="AY9:AY10"/>
    <mergeCell ref="BA9:BB10"/>
    <mergeCell ref="BD9:BE10"/>
    <mergeCell ref="BG9:BH10"/>
    <mergeCell ref="BK12:BK13"/>
    <mergeCell ref="BL12:BL13"/>
    <mergeCell ref="BO12:BO13"/>
    <mergeCell ref="BR12:BR13"/>
    <mergeCell ref="BJ12:BJ13"/>
    <mergeCell ref="AR12:AR13"/>
    <mergeCell ref="AW12:AW13"/>
    <mergeCell ref="BB12:BB13"/>
    <mergeCell ref="BE12:BE13"/>
    <mergeCell ref="BH12:BH13"/>
  </mergeCells>
  <phoneticPr fontId="56"/>
  <dataValidations count="4">
    <dataValidation type="list" allowBlank="1" showDropDown="1" showInputMessage="1" showErrorMessage="1" sqref="F43" xr:uid="{00000000-0002-0000-1300-000000000000}">
      <formula1>"CIF価格, 需要地価格"</formula1>
    </dataValidation>
    <dataValidation type="whole" allowBlank="1" showInputMessage="1" showErrorMessage="1" sqref="F7" xr:uid="{00000000-0002-0000-1300-000001000000}">
      <formula1>2010</formula1>
      <formula2>2030</formula2>
    </dataValidation>
    <dataValidation type="list" allowBlank="1" showDropDown="1" showInputMessage="1" showErrorMessage="1" sqref="F48 F41" xr:uid="{00000000-0002-0000-1300-000002000000}">
      <formula1>"現行政策シナリオ, 新政策シナリオ"</formula1>
    </dataValidation>
    <dataValidation type="list" allowBlank="1" showDropDown="1" showInputMessage="1" showErrorMessage="1" sqref="F3:G3" xr:uid="{00000000-0002-0000-1300-000003000000}">
      <formula1>"原子力,石炭火力,LNG火力,石油火力,一般水力,太陽光（メガソーラー）,太陽光（住宅用）,風力（陸上）,風力（洋上）,小水力,地熱,バイオマス（石炭混焼）,バイオマス（木質専焼）,ガスコジェネ,石油コジェネ,燃料電池"</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BR154"/>
  <sheetViews>
    <sheetView showGridLines="0" zoomScale="85" zoomScaleNormal="85" workbookViewId="0">
      <pane xSplit="10" ySplit="14" topLeftCell="BF15" activePane="bottomRight" state="frozen"/>
      <selection pane="topRight" activeCell="G69" sqref="G69"/>
      <selection pane="bottomLeft" activeCell="G69" sqref="G69"/>
      <selection pane="bottomRight" sqref="A1:L1048576"/>
    </sheetView>
  </sheetViews>
  <sheetFormatPr defaultColWidth="9" defaultRowHeight="14.25" outlineLevelCol="1" x14ac:dyDescent="0.15"/>
  <cols>
    <col min="1" max="3" width="6.25" style="9" customWidth="1"/>
    <col min="4" max="4" width="6.25" style="81" customWidth="1"/>
    <col min="5" max="5" width="24.375" style="81" customWidth="1"/>
    <col min="6" max="6" width="18.75" style="9" customWidth="1"/>
    <col min="7" max="7" width="24.375" style="81" bestFit="1" customWidth="1"/>
    <col min="8" max="8" width="9" style="9"/>
    <col min="9" max="9" width="6.25" style="9" customWidth="1"/>
    <col min="10" max="10" width="3" style="9" customWidth="1"/>
    <col min="11" max="11" width="6.25" style="9" customWidth="1"/>
    <col min="12" max="12" width="3" style="9" customWidth="1"/>
    <col min="13" max="13" width="6.25" style="71" customWidth="1"/>
    <col min="14" max="14" width="3" style="71" customWidth="1"/>
    <col min="15" max="15" width="17.375" style="71" bestFit="1" customWidth="1"/>
    <col min="16" max="16" width="8.625" style="71" customWidth="1"/>
    <col min="17" max="17" width="3" style="71" customWidth="1"/>
    <col min="18" max="18" width="17.375" style="71" bestFit="1" customWidth="1"/>
    <col min="19" max="19" width="3" style="71" customWidth="1"/>
    <col min="20" max="20" width="17.375" style="71" bestFit="1" customWidth="1"/>
    <col min="21" max="21" width="3" style="71" customWidth="1"/>
    <col min="22" max="22" width="15" style="71" customWidth="1" outlineLevel="1"/>
    <col min="23" max="23" width="17.375" style="71" bestFit="1" customWidth="1"/>
    <col min="24" max="24" width="3" style="71" customWidth="1"/>
    <col min="25" max="25" width="15" style="71" customWidth="1" outlineLevel="1"/>
    <col min="26" max="26" width="15" style="71" customWidth="1"/>
    <col min="27" max="27" width="3" style="71" customWidth="1"/>
    <col min="28" max="28" width="15" style="71" customWidth="1" outlineLevel="1"/>
    <col min="29" max="29" width="15" style="71" customWidth="1"/>
    <col min="30" max="30" width="3" style="71" customWidth="1"/>
    <col min="31" max="31" width="15" style="71" customWidth="1" outlineLevel="1"/>
    <col min="32" max="32" width="15" style="71" customWidth="1"/>
    <col min="33" max="33" width="3" style="71" customWidth="1"/>
    <col min="34" max="34" width="14.875" style="71" customWidth="1" outlineLevel="1"/>
    <col min="35" max="35" width="15" style="71" customWidth="1"/>
    <col min="36" max="36" width="3" style="71" customWidth="1"/>
    <col min="37" max="37" width="15" style="71" customWidth="1" outlineLevel="1"/>
    <col min="38" max="38" width="15" style="71" customWidth="1"/>
    <col min="39" max="39" width="3" style="71" customWidth="1"/>
    <col min="40" max="40" width="15" style="71" customWidth="1" outlineLevel="1"/>
    <col min="41" max="41" width="15" style="71" customWidth="1"/>
    <col min="42" max="42" width="3" style="71" customWidth="1"/>
    <col min="43" max="43" width="15" style="71" customWidth="1" outlineLevel="1"/>
    <col min="44" max="44" width="15" style="71" customWidth="1"/>
    <col min="45" max="45" width="3" style="71" customWidth="1"/>
    <col min="46" max="46" width="10.75" style="71" bestFit="1" customWidth="1"/>
    <col min="47" max="47" width="3" style="71" customWidth="1"/>
    <col min="48" max="48" width="15" style="71" customWidth="1" outlineLevel="1"/>
    <col min="49" max="49" width="17.375" style="71" bestFit="1" customWidth="1"/>
    <col min="50" max="50" width="3" style="71" customWidth="1"/>
    <col min="51" max="51" width="9.625" style="71" bestFit="1" customWidth="1"/>
    <col min="52" max="52" width="3" style="71" customWidth="1"/>
    <col min="53" max="53" width="15" style="71" customWidth="1" outlineLevel="1"/>
    <col min="54" max="54" width="17.375" style="71" bestFit="1" customWidth="1"/>
    <col min="55" max="55" width="3" style="71" customWidth="1"/>
    <col min="56" max="56" width="19.25" style="71" customWidth="1" outlineLevel="1"/>
    <col min="57" max="57" width="19.25" style="71" bestFit="1" customWidth="1"/>
    <col min="58" max="58" width="3" style="71" customWidth="1"/>
    <col min="59" max="59" width="19.25" style="71" customWidth="1" outlineLevel="1"/>
    <col min="60" max="60" width="19.25" style="71"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71" customWidth="1" outlineLevel="1"/>
    <col min="70" max="70" width="17.375" style="71" bestFit="1" customWidth="1"/>
    <col min="71" max="16384" width="9" style="71"/>
  </cols>
  <sheetData>
    <row r="1" spans="1:70" ht="18.75" x14ac:dyDescent="0.15">
      <c r="A1" s="465" t="s">
        <v>60</v>
      </c>
    </row>
    <row r="3" spans="1:70" ht="23.25" x14ac:dyDescent="0.15">
      <c r="B3" s="462" t="s">
        <v>517</v>
      </c>
      <c r="F3" s="728" t="s">
        <v>237</v>
      </c>
      <c r="G3" s="725"/>
    </row>
    <row r="4" spans="1:70" x14ac:dyDescent="0.15">
      <c r="F4" s="9" t="str">
        <f>まとめ!$B$6</f>
        <v>WEO2020　STEPS</v>
      </c>
      <c r="G4" s="112"/>
    </row>
    <row r="5" spans="1:70" ht="15.75" thickBot="1" x14ac:dyDescent="0.2">
      <c r="B5" s="460" t="s">
        <v>518</v>
      </c>
      <c r="C5" s="86"/>
      <c r="D5" s="104"/>
      <c r="E5" s="104"/>
      <c r="F5" s="86" t="str">
        <f>まとめ!$E$6</f>
        <v>収斂なし</v>
      </c>
      <c r="G5" s="104"/>
      <c r="I5" s="460" t="s">
        <v>531</v>
      </c>
      <c r="J5" s="460"/>
      <c r="K5" s="460"/>
      <c r="L5" s="460"/>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111"/>
      <c r="J6" s="111"/>
      <c r="K6" s="111"/>
      <c r="L6" s="111"/>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9" t="s">
        <v>65</v>
      </c>
      <c r="F7" s="87">
        <v>2030</v>
      </c>
      <c r="I7" s="111"/>
      <c r="J7" s="111"/>
      <c r="K7" s="111"/>
      <c r="L7" s="111"/>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9" t="s">
        <v>519</v>
      </c>
      <c r="F8" s="88">
        <f>まとめ!B3</f>
        <v>107</v>
      </c>
      <c r="G8" s="81" t="s">
        <v>171</v>
      </c>
      <c r="I8" s="111"/>
      <c r="J8" s="111"/>
      <c r="K8" s="111"/>
      <c r="L8" s="111"/>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9" t="s">
        <v>520</v>
      </c>
      <c r="F9" s="88">
        <f>まとめ!B2</f>
        <v>3</v>
      </c>
      <c r="G9" s="81" t="s">
        <v>172</v>
      </c>
      <c r="I9" s="726" t="s">
        <v>532</v>
      </c>
      <c r="J9" s="111"/>
      <c r="K9" s="729" t="s">
        <v>536</v>
      </c>
      <c r="L9" s="111"/>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30" t="s">
        <v>232</v>
      </c>
      <c r="AI9" s="729"/>
      <c r="AJ9" s="111"/>
      <c r="AK9" s="730" t="s">
        <v>233</v>
      </c>
      <c r="AL9" s="729"/>
      <c r="AM9" s="111"/>
      <c r="AN9" s="730" t="s">
        <v>233</v>
      </c>
      <c r="AO9" s="729"/>
      <c r="AP9" s="111"/>
      <c r="AQ9" s="730" t="s">
        <v>233</v>
      </c>
      <c r="AR9" s="729"/>
      <c r="AS9" s="8"/>
      <c r="AT9" s="707" t="s">
        <v>92</v>
      </c>
      <c r="AU9" s="8"/>
      <c r="AV9" s="707" t="s">
        <v>69</v>
      </c>
      <c r="AW9" s="707"/>
      <c r="AX9" s="372"/>
      <c r="AY9" s="720" t="s">
        <v>93</v>
      </c>
      <c r="AZ9" s="8"/>
      <c r="BA9" s="720" t="s">
        <v>70</v>
      </c>
      <c r="BB9" s="720"/>
      <c r="BC9" s="8"/>
      <c r="BD9" s="707" t="s">
        <v>69</v>
      </c>
      <c r="BE9" s="707"/>
      <c r="BF9" s="8"/>
      <c r="BG9" s="707" t="s">
        <v>70</v>
      </c>
      <c r="BH9" s="707"/>
      <c r="BI9" s="8"/>
      <c r="BJ9" s="714" t="s">
        <v>94</v>
      </c>
      <c r="BK9" s="715"/>
      <c r="BL9" s="715"/>
      <c r="BM9" s="372"/>
      <c r="BN9" s="716" t="s">
        <v>72</v>
      </c>
      <c r="BO9" s="707"/>
      <c r="BP9" s="8"/>
      <c r="BQ9" s="372"/>
      <c r="BR9" s="372"/>
    </row>
    <row r="10" spans="1:70" x14ac:dyDescent="0.15">
      <c r="I10" s="727"/>
      <c r="K10" s="727"/>
      <c r="M10" s="708"/>
      <c r="O10" s="717"/>
      <c r="P10" s="717"/>
      <c r="R10" s="708"/>
      <c r="T10" s="708"/>
      <c r="V10" s="717"/>
      <c r="W10" s="717"/>
      <c r="Y10" s="717"/>
      <c r="Z10" s="717"/>
      <c r="AB10" s="723"/>
      <c r="AC10" s="723"/>
      <c r="AD10" s="81"/>
      <c r="AE10" s="723"/>
      <c r="AF10" s="723"/>
      <c r="AH10" s="731"/>
      <c r="AI10" s="731"/>
      <c r="AJ10" s="9"/>
      <c r="AK10" s="731"/>
      <c r="AL10" s="731"/>
      <c r="AM10" s="9"/>
      <c r="AN10" s="731"/>
      <c r="AO10" s="731"/>
      <c r="AP10" s="9"/>
      <c r="AQ10" s="731"/>
      <c r="AR10" s="731"/>
      <c r="AT10" s="717"/>
      <c r="AV10" s="717"/>
      <c r="AW10" s="717"/>
      <c r="AX10" s="372"/>
      <c r="AY10" s="708"/>
      <c r="BA10" s="708"/>
      <c r="BB10" s="708"/>
      <c r="BD10" s="717"/>
      <c r="BE10" s="717"/>
      <c r="BG10" s="717"/>
      <c r="BH10" s="717"/>
      <c r="BJ10" s="708"/>
      <c r="BK10" s="708"/>
      <c r="BL10" s="708"/>
      <c r="BM10" s="372"/>
      <c r="BN10" s="717"/>
      <c r="BO10" s="717"/>
      <c r="BQ10" s="372"/>
      <c r="BR10" s="372"/>
    </row>
    <row r="11" spans="1:70" ht="15.75" customHeight="1" thickBot="1" x14ac:dyDescent="0.2">
      <c r="B11" s="460" t="s">
        <v>95</v>
      </c>
      <c r="C11" s="86"/>
      <c r="D11" s="104"/>
      <c r="E11" s="104"/>
      <c r="F11" s="86"/>
      <c r="G11" s="104"/>
      <c r="O11" s="372" t="s">
        <v>96</v>
      </c>
      <c r="P11" s="372"/>
      <c r="Q11" s="372"/>
      <c r="R11" s="372" t="s">
        <v>96</v>
      </c>
      <c r="S11" s="372"/>
      <c r="T11" s="372"/>
      <c r="V11" s="372"/>
      <c r="W11" s="372"/>
      <c r="Y11" s="372"/>
      <c r="Z11" s="372"/>
      <c r="AB11" s="372"/>
      <c r="AC11" s="372"/>
      <c r="AE11" s="372"/>
      <c r="AF11" s="372"/>
      <c r="AH11" s="372"/>
      <c r="AI11" s="372"/>
      <c r="AK11" s="372"/>
      <c r="AL11" s="372"/>
      <c r="AN11" s="372"/>
      <c r="AO11" s="372"/>
      <c r="AQ11" s="372"/>
      <c r="AR11" s="372"/>
      <c r="AT11" s="372"/>
      <c r="AV11" s="372"/>
      <c r="AW11" s="372"/>
      <c r="AX11" s="372"/>
      <c r="BB11" s="372"/>
      <c r="BD11" s="372"/>
      <c r="BE11" s="372"/>
      <c r="BG11" s="372"/>
      <c r="BH11" s="372"/>
      <c r="BJ11" s="156"/>
      <c r="BM11" s="372"/>
      <c r="BN11" s="372"/>
      <c r="BO11" s="372"/>
      <c r="BQ11" s="372"/>
      <c r="BR11" s="372"/>
    </row>
    <row r="12" spans="1:70" ht="14.25" customHeight="1" x14ac:dyDescent="0.15">
      <c r="O12" s="372"/>
      <c r="P12" s="707" t="s">
        <v>97</v>
      </c>
      <c r="W12" s="707" t="s">
        <v>98</v>
      </c>
      <c r="Z12" s="707" t="s">
        <v>98</v>
      </c>
      <c r="AC12" s="707" t="s">
        <v>98</v>
      </c>
      <c r="AF12" s="707" t="s">
        <v>98</v>
      </c>
      <c r="AI12" s="707" t="s">
        <v>98</v>
      </c>
      <c r="AL12" s="707" t="s">
        <v>98</v>
      </c>
      <c r="AO12" s="707" t="s">
        <v>98</v>
      </c>
      <c r="AR12" s="707" t="s">
        <v>98</v>
      </c>
      <c r="AW12" s="707" t="s">
        <v>98</v>
      </c>
      <c r="BB12" s="707" t="s">
        <v>98</v>
      </c>
      <c r="BE12" s="707" t="s">
        <v>98</v>
      </c>
      <c r="BH12" s="707" t="s">
        <v>98</v>
      </c>
      <c r="BJ12" s="709" t="s">
        <v>99</v>
      </c>
      <c r="BK12" s="709" t="s">
        <v>100</v>
      </c>
      <c r="BL12" s="709" t="s">
        <v>101</v>
      </c>
      <c r="BO12" s="709" t="s">
        <v>102</v>
      </c>
      <c r="BR12" s="707" t="s">
        <v>103</v>
      </c>
    </row>
    <row r="13" spans="1:70" ht="14.25" customHeight="1" x14ac:dyDescent="0.15">
      <c r="C13" s="9" t="s">
        <v>504</v>
      </c>
      <c r="F13" s="66">
        <v>5.0000000000000001E-4</v>
      </c>
      <c r="G13" s="81" t="s">
        <v>173</v>
      </c>
      <c r="O13" s="372"/>
      <c r="P13" s="708"/>
      <c r="Q13" s="372"/>
      <c r="R13" s="372"/>
      <c r="S13" s="372"/>
      <c r="T13" s="372"/>
      <c r="V13" s="372"/>
      <c r="W13" s="708"/>
      <c r="Y13" s="372"/>
      <c r="Z13" s="708"/>
      <c r="AB13" s="372"/>
      <c r="AC13" s="708"/>
      <c r="AE13" s="372"/>
      <c r="AF13" s="708"/>
      <c r="AH13" s="372"/>
      <c r="AI13" s="708"/>
      <c r="AK13" s="372"/>
      <c r="AL13" s="708"/>
      <c r="AN13" s="372"/>
      <c r="AO13" s="708"/>
      <c r="AQ13" s="372"/>
      <c r="AR13" s="708"/>
      <c r="AT13" s="372"/>
      <c r="AV13" s="372"/>
      <c r="AW13" s="708"/>
      <c r="BB13" s="708"/>
      <c r="BD13" s="372"/>
      <c r="BE13" s="708"/>
      <c r="BG13" s="372"/>
      <c r="BH13" s="708"/>
      <c r="BJ13" s="712"/>
      <c r="BK13" s="710"/>
      <c r="BL13" s="708"/>
      <c r="BM13" s="372"/>
      <c r="BO13" s="708"/>
      <c r="BQ13" s="372"/>
      <c r="BR13" s="708"/>
    </row>
    <row r="14" spans="1:70" ht="16.5" x14ac:dyDescent="0.15">
      <c r="C14" s="9" t="s">
        <v>505</v>
      </c>
      <c r="F14" s="88">
        <f>VLOOKUP(F3&amp;IF(G4&lt;&gt;"","_"&amp;G4,""),まとめ!$A$12:$G$34,IF(F7=2030,4,IF(F7=2020,3,IF(F7=2014,2,"-"))),0)</f>
        <v>13.8</v>
      </c>
      <c r="G14" s="81" t="s">
        <v>172</v>
      </c>
      <c r="O14" s="372"/>
      <c r="P14" s="372"/>
      <c r="Q14" s="372"/>
      <c r="R14" s="372"/>
      <c r="S14" s="372"/>
      <c r="T14" s="372"/>
      <c r="AT14" s="50" t="s">
        <v>104</v>
      </c>
      <c r="AY14" s="71" t="s">
        <v>105</v>
      </c>
    </row>
    <row r="15" spans="1:70" x14ac:dyDescent="0.15">
      <c r="C15" s="9" t="s">
        <v>506</v>
      </c>
      <c r="F15" s="88">
        <f>VLOOKUP(F3&amp;IF(G4&lt;&gt;"","_"&amp;G4,""),まとめ!$A$12:$G$34,IF(F7=2030,7,IF(F7=2020,6,IF(F7=2014,5,"-"))),0)</f>
        <v>25</v>
      </c>
      <c r="G15" s="81" t="s">
        <v>108</v>
      </c>
      <c r="I15" s="458">
        <f>F7</f>
        <v>2030</v>
      </c>
      <c r="J15" s="470"/>
      <c r="K15" s="470">
        <f>IF(I15&lt;&gt;"",1,"")</f>
        <v>1</v>
      </c>
      <c r="L15" s="470"/>
      <c r="M15" s="40">
        <f t="shared" ref="M15:M78" si="0">1/(1+($F$9/100))^K15</f>
        <v>0.970873786407767</v>
      </c>
      <c r="N15" s="39"/>
      <c r="O15" s="72">
        <f>F118</f>
        <v>1170000</v>
      </c>
      <c r="P15" s="41">
        <f t="shared" ref="P15:P46" si="1">IF(K15&lt;=$F$15,IF(OR(P14=$F$125,P14="-"),"-",IF(O15*$F$124&gt;$F$128,$F$124,$F$125)),"")</f>
        <v>0.14699999999999999</v>
      </c>
      <c r="Q15" s="39"/>
      <c r="R15" s="123">
        <f>F118</f>
        <v>1170000</v>
      </c>
      <c r="S15" s="39"/>
      <c r="T15" s="72">
        <f>IF(ISNUMBER(R15),ROUNDDOWN(R15,-3),"")</f>
        <v>1170000</v>
      </c>
      <c r="U15" s="39"/>
      <c r="V15" s="72">
        <f t="shared" ref="V15:V46" si="2">IF(K15&lt;=$F$15,IF(K15&lt;$F$120,IF(P15="-",V14,O15*P15),IF(K15=$F$120,MIN(IF(P15="-",V14,O15*P15),O15),0)),"")</f>
        <v>171990</v>
      </c>
      <c r="W15" s="72">
        <f>IF(ISNUMBER(V15),V15*$M15,"")</f>
        <v>166980.58252427186</v>
      </c>
      <c r="X15" s="39"/>
      <c r="Y15" s="72">
        <f t="shared" ref="Y15:Y46" si="3">IF($K15&lt;=$F$15,ROUNDDOWN(T15*$F$26/100,-2),"")</f>
        <v>0</v>
      </c>
      <c r="Z15" s="72">
        <f>IF(ISNUMBER(Y15),Y15*$M15,"")</f>
        <v>0</v>
      </c>
      <c r="AA15" s="39"/>
      <c r="AB15" s="72">
        <f t="shared" ref="AB15:AB46" si="4">IF($K15&lt;=$F$15,0,IF(AND($K15&gt;$F$15,$K15&lt;=$F$15+$F$29),$F$28*10^8/$F$29,""))</f>
        <v>0</v>
      </c>
      <c r="AC15" s="72">
        <f>IF(ISNUMBER(AB15),AB15*$M15,"")</f>
        <v>0</v>
      </c>
      <c r="AD15" s="39"/>
      <c r="AE15" s="72">
        <f t="shared" ref="AE15:AE46" si="5">IF($K15&lt;=$F$15,$F$27,"")</f>
        <v>0</v>
      </c>
      <c r="AF15" s="72">
        <f>IF(ISNUMBER(AE15),AE15*$M15,"")</f>
        <v>0</v>
      </c>
      <c r="AG15" s="39"/>
      <c r="AH15" s="72">
        <f t="shared" ref="AH15:AH46" si="6">IF($K15&lt;=$F$15,$F$34*10^4*$F$13*10^4,"")</f>
        <v>15000</v>
      </c>
      <c r="AI15" s="72">
        <f>IF(ISNUMBER(AH15),AH15*$M15,"")</f>
        <v>14563.106796116504</v>
      </c>
      <c r="AJ15" s="39"/>
      <c r="AK15" s="72">
        <f t="shared" ref="AK15:AK46" si="7">IF($K15&lt;=$F$15,$F$118*$F$35/100,"")</f>
        <v>0</v>
      </c>
      <c r="AL15" s="72">
        <f>IF(ISNUMBER(AK15),AK15*$M15,"")</f>
        <v>0</v>
      </c>
      <c r="AM15" s="39"/>
      <c r="AN15" s="72">
        <f t="shared" ref="AN15:AN46" si="8">IF($K15&lt;=$F$15,$F$118*$F$36/100,"")</f>
        <v>0</v>
      </c>
      <c r="AO15" s="72">
        <f>IF(ISNUMBER(AN15),AN15*$M15,"")</f>
        <v>0</v>
      </c>
      <c r="AP15" s="39"/>
      <c r="AQ15" s="72">
        <f t="shared" ref="AQ15:AQ46" si="9">IF($K15&lt;=$F$15,SUM(AH15,AK15,AN15)*($F$37/100),"")</f>
        <v>0</v>
      </c>
      <c r="AR15" s="72">
        <f>IF(ISNUMBER(AQ15),AQ15*$M15,"")</f>
        <v>0</v>
      </c>
      <c r="AS15" s="39"/>
      <c r="AT15" s="40">
        <f>IF($K15&lt;=$F$15,IF($F$41&lt;&gt;"",$F$41/1000,IF(ISERROR(VLOOKUP($F$3&amp;IF($G$4&lt;&gt;"",$G$4,"")&amp;IF($F$44&lt;&gt;"","_"&amp;$F$44,""),'表3）燃料価格'!$AF$9:$AG$25,2,0)),0,VLOOKUP($I15,'表3）燃料価格'!$A$6:$U$66,VLOOKUP($F$3&amp;IF($G$4&lt;&gt;"",$G$4,"")&amp;IF($F$44&lt;&gt;"","_"&amp;$F$44,""),'表3）燃料価格'!$AF$9:$AG$25,2,0)+VLOOKUP($F$42,'表3）燃料価格'!$AF$28:$AG$29,2,0),0)*IF($F$44="需要地価格",1,$F$8/$F$142))),"")</f>
        <v>0</v>
      </c>
      <c r="AU15" s="39"/>
      <c r="AV15" s="72">
        <f t="shared" ref="AV15:AV46" si="10">IF($K15&lt;=$F$15,($AT15+$F$143)*$F$138,"")</f>
        <v>0</v>
      </c>
      <c r="AW15" s="72">
        <f>IF(ISNUMBER(AV15),AV15*$M15,"")</f>
        <v>0</v>
      </c>
      <c r="AX15" s="39"/>
      <c r="AY15" s="40">
        <f>IF(ISERROR(IF($K15&lt;=$F$15,VLOOKUP($I15,'表4）CO2価格'!$A$7:$E$67,VLOOKUP($F$49,'表4）CO2価格'!$H$10:$I$12,2,0),0)*$F$8/1000,"")),0,IF($K15&lt;=$F$15,VLOOKUP($I15,'表4）CO2価格'!$A$7:$E$67,VLOOKUP($F$49,'表4）CO2価格'!$H$10:$I$12,2,0),0)*$F$8/1000,""))</f>
        <v>0</v>
      </c>
      <c r="AZ15" s="39"/>
      <c r="BA15" s="42">
        <f t="shared" ref="BA15:BA46" si="11">IF($K15&lt;=$F$15,$F$146*AY15,"")</f>
        <v>0</v>
      </c>
      <c r="BB15" s="72">
        <f>IF(ISNUMBER(BA15),BA15*$M15,"")</f>
        <v>0</v>
      </c>
      <c r="BC15" s="39"/>
      <c r="BD15" s="72">
        <f t="shared" ref="BD15:BD46" si="12">IF($K15&lt;=$F$15,($AT15+$F$153)*$F$152,"")</f>
        <v>0</v>
      </c>
      <c r="BE15" s="72">
        <f>IF(ISNUMBER(BD15),BD15*$M15,"")</f>
        <v>0</v>
      </c>
      <c r="BF15" s="39"/>
      <c r="BG15" s="42">
        <f t="shared" ref="BG15:BG46" si="13">IF($K15&lt;=$F$15,$F$154*AY15,"")</f>
        <v>0</v>
      </c>
      <c r="BH15" s="72">
        <f>IF(ISNUMBER(BG15),BG15*$M15,"")</f>
        <v>0</v>
      </c>
      <c r="BI15" s="39"/>
      <c r="BJ15" s="40">
        <f t="shared" ref="BJ15:BJ46" si="14">IF(ISNUMBER($F$16),IF($K15&lt;=$F$16+$F$29,1/(1+($F$17/100))^K15,""),"")</f>
        <v>0.96899224806201545</v>
      </c>
      <c r="BK15" s="157">
        <f t="shared" ref="BK15:BK46" si="15">IF(ISNUMBER($F$16),IF($K15&lt;=$F$16+$F$29,IF($K15&lt;=$F$16,SUM(Y15,AB15,AE15,AH15,AK15,AN15,AQ15,AV15,BA15,BD15,BG15),$F$28/$F$29*10^8)*BJ15,""),"")</f>
        <v>14534.883720930231</v>
      </c>
      <c r="BL15" s="157">
        <f t="shared" ref="BL15:BL78" si="16">IF(AND(ISNUMBER(BJ15),$K15&lt;=$F$16),BQ15*BJ15,"")</f>
        <v>5856.9767441860458</v>
      </c>
      <c r="BM15" s="72"/>
      <c r="BN15" s="72">
        <f>IF(AND(ISNUMBER($F$16),$K15&lt;=$F$16),BQ15*($O$15+$BK$116)/$BL$116,"")</f>
        <v>161850.35318474349</v>
      </c>
      <c r="BO15" s="72">
        <f>IF(ISNUMBER(BN15),BN15*$M15,"")</f>
        <v>157136.26522790632</v>
      </c>
      <c r="BP15" s="39"/>
      <c r="BQ15" s="72">
        <f>IF($K15&lt;=$F$15,$F$135*(1-$F$18/100)^(I15-I$15),"")</f>
        <v>6044.4</v>
      </c>
      <c r="BR15" s="72">
        <f>IF(ISNUMBER(BQ15),BQ15*$M15,"")</f>
        <v>5868.3495145631068</v>
      </c>
    </row>
    <row r="16" spans="1:70" x14ac:dyDescent="0.15">
      <c r="C16" s="236" t="s">
        <v>107</v>
      </c>
      <c r="F16" s="88">
        <f>IF(ISERROR(VLOOKUP(F3&amp;IF(G4&lt;&gt;"","_"&amp;G4,""),'表7）買取期間・IRR'!$A$3:$A$10,1,0)),"",VLOOKUP(F3&amp;IF(G4&lt;&gt;"","_"&amp;G4,""),'表7）買取期間・IRR'!$A$3:$C$10,IF(F7=2030,3,IF(F7=2020,3,IF(F7=2014,2,"-"))),0))</f>
        <v>10</v>
      </c>
      <c r="G16" s="81" t="s">
        <v>108</v>
      </c>
      <c r="I16" s="459">
        <f>I15+1</f>
        <v>2031</v>
      </c>
      <c r="K16" s="9">
        <f>IF(I16&lt;&gt;"",K15+1,"")</f>
        <v>2</v>
      </c>
      <c r="M16" s="7">
        <f t="shared" si="0"/>
        <v>0.94259590913375435</v>
      </c>
      <c r="O16" s="10">
        <f>IF(K16&lt;=$F$15,O15-V15,"")</f>
        <v>998010</v>
      </c>
      <c r="P16" s="29">
        <f t="shared" si="1"/>
        <v>0.14699999999999999</v>
      </c>
      <c r="R16" s="10">
        <f t="shared" ref="R16:R47" si="17">IF($K16&lt;=$F$15,MAX($F$118*5%,R15*$F$130),"")</f>
        <v>1021791.6099879267</v>
      </c>
      <c r="T16" s="10">
        <f t="shared" ref="T16:T79" si="18">IF(ISNUMBER(R16),ROUNDDOWN(R16,-3),"")</f>
        <v>1021000</v>
      </c>
      <c r="V16" s="10">
        <f t="shared" si="2"/>
        <v>146707.47</v>
      </c>
      <c r="W16" s="10">
        <f t="shared" ref="W16:W79" si="19">IF(ISNUMBER(V16),V16*$M16,"")</f>
        <v>138285.86106136299</v>
      </c>
      <c r="Y16" s="10">
        <f t="shared" si="3"/>
        <v>0</v>
      </c>
      <c r="Z16" s="10">
        <f t="shared" ref="Z16:Z79" si="20">IF(ISNUMBER(Y16),Y16*$M16,"")</f>
        <v>0</v>
      </c>
      <c r="AB16" s="10">
        <f t="shared" si="4"/>
        <v>0</v>
      </c>
      <c r="AC16" s="10">
        <f t="shared" ref="AC16:AC79" si="21">IF(ISNUMBER(AB16),AB16*$M16,"")</f>
        <v>0</v>
      </c>
      <c r="AE16" s="10">
        <f t="shared" si="5"/>
        <v>0</v>
      </c>
      <c r="AF16" s="10">
        <f t="shared" ref="AF16:AF79" si="22">IF(ISNUMBER(AE16),AE16*$M16,"")</f>
        <v>0</v>
      </c>
      <c r="AH16" s="10">
        <f t="shared" si="6"/>
        <v>15000</v>
      </c>
      <c r="AI16" s="10">
        <f t="shared" ref="AI16:AI79" si="23">IF(ISNUMBER(AH16),AH16*$M16,"")</f>
        <v>14138.938637006315</v>
      </c>
      <c r="AK16" s="10">
        <f t="shared" si="7"/>
        <v>0</v>
      </c>
      <c r="AL16" s="10">
        <f t="shared" ref="AL16:AL79" si="24">IF(ISNUMBER(AK16),AK16*$M16,"")</f>
        <v>0</v>
      </c>
      <c r="AN16" s="10">
        <f t="shared" si="8"/>
        <v>0</v>
      </c>
      <c r="AO16" s="10">
        <f t="shared" ref="AO16:AO79" si="25">IF(ISNUMBER(AN16),AN16*$M16,"")</f>
        <v>0</v>
      </c>
      <c r="AQ16" s="10">
        <f t="shared" si="9"/>
        <v>0</v>
      </c>
      <c r="AR16" s="10">
        <f t="shared" ref="AR16:AR79" si="26">IF(ISNUMBER(AQ16),AQ16*$M16,"")</f>
        <v>0</v>
      </c>
      <c r="AT16" s="7">
        <f>IF($K16&lt;=$F$15,IF($F$41&lt;&gt;"",$F$41/1000,IF(ISERROR(VLOOKUP($F$3&amp;IF($G$4&lt;&gt;"",$G$4,"")&amp;IF($F$44&lt;&gt;"","_"&amp;$F$44,""),'表3）燃料価格'!$AF$9:$AG$25,2,0)),0,VLOOKUP($I16,'表3）燃料価格'!$A$6:$U$66,VLOOKUP($F$3&amp;IF($G$4&lt;&gt;"",$G$4,"")&amp;IF($F$44&lt;&gt;"","_"&amp;$F$44,""),'表3）燃料価格'!$AF$9:$AG$25,2,0)+VLOOKUP($F$42,'表3）燃料価格'!$AF$28:$AG$29,2,0),0)*IF($F$44="需要地価格",1,$F$8/$F$142))),"")</f>
        <v>0</v>
      </c>
      <c r="AV16" s="10">
        <f t="shared" si="10"/>
        <v>0</v>
      </c>
      <c r="AW16" s="10">
        <f t="shared" ref="AW16:AW79" si="27">IF(ISNUMBER(AV16),AV16*$M16,"")</f>
        <v>0</v>
      </c>
      <c r="AY16" s="7">
        <f>IF(ISERROR(IF($K16&lt;=$F$15,VLOOKUP($I16,'表4）CO2価格'!$A$7:$E$67,VLOOKUP($F$49,'表4）CO2価格'!$H$10:$I$12,2,0),0)*$F$8/1000,"")),0,IF($K16&lt;=$F$15,VLOOKUP($I16,'表4）CO2価格'!$A$7:$E$67,VLOOKUP($F$49,'表4）CO2価格'!$H$10:$I$12,2,0),0)*$F$8/1000,""))</f>
        <v>0</v>
      </c>
      <c r="BA16" s="11">
        <f t="shared" si="11"/>
        <v>0</v>
      </c>
      <c r="BB16" s="10">
        <f t="shared" ref="BB16:BB79" si="28">IF(ISNUMBER(BA16),BA16*$M16,"")</f>
        <v>0</v>
      </c>
      <c r="BD16" s="10">
        <f t="shared" si="12"/>
        <v>0</v>
      </c>
      <c r="BE16" s="10">
        <f t="shared" ref="BE16:BE79" si="29">IF(ISNUMBER(BD16),BD16*$M16,"")</f>
        <v>0</v>
      </c>
      <c r="BG16" s="11">
        <f t="shared" si="13"/>
        <v>0</v>
      </c>
      <c r="BH16" s="10">
        <f t="shared" ref="BH16:BH79" si="30">IF(ISNUMBER(BG16),BG16*$M16,"")</f>
        <v>0</v>
      </c>
      <c r="BJ16" s="7">
        <f t="shared" si="14"/>
        <v>0.9389459768042786</v>
      </c>
      <c r="BK16" s="158">
        <f t="shared" si="15"/>
        <v>14084.189652064179</v>
      </c>
      <c r="BL16" s="158">
        <f t="shared" si="16"/>
        <v>5646.988236884803</v>
      </c>
      <c r="BM16" s="10"/>
      <c r="BN16" s="10">
        <f t="shared" ref="BN16:BN79" si="31">IF(AND(ISNUMBER($F$16),$K16&lt;=$F$16),BQ16*($O$15+$BK$116)/$BL$116,"")</f>
        <v>161041.1014188198</v>
      </c>
      <c r="BO16" s="10">
        <f t="shared" ref="BO16:BO79" si="32">IF(ISNUMBER(BN16),BN16*$M16,"")</f>
        <v>151796.68339977358</v>
      </c>
      <c r="BQ16" s="10">
        <f>IF($K16&lt;=$F$15,$F$135*(1-$F$18/100)^(I16-I$15),"")</f>
        <v>6014.1779999999999</v>
      </c>
      <c r="BR16" s="10">
        <f t="shared" ref="BR16:BR79" si="33">IF(ISNUMBER(BQ16),BQ16*$M16,"")</f>
        <v>5668.9395796022245</v>
      </c>
    </row>
    <row r="17" spans="3:70" x14ac:dyDescent="0.15">
      <c r="C17" s="9" t="s">
        <v>109</v>
      </c>
      <c r="F17" s="143">
        <f>IF(ISERROR(VLOOKUP(F3&amp;IF(G4&lt;&gt;"","_"&amp;G4,""),'表7）買取期間・IRR'!$A$14:$C$21,1,0)),"",VLOOKUP(F3&amp;IF(G4&lt;&gt;"","_"&amp;G4,""),'表7）買取期間・IRR'!$A$14:$C$21,IF(F7=2030,3,IF(F7=2020,2,"-")),0))</f>
        <v>3.2</v>
      </c>
      <c r="G17" s="81" t="s">
        <v>172</v>
      </c>
      <c r="I17" s="458">
        <f t="shared" ref="I17:I80" si="34">I16+1</f>
        <v>2032</v>
      </c>
      <c r="J17" s="470"/>
      <c r="K17" s="470">
        <f t="shared" ref="K17:K80" si="35">IF(I17&lt;&gt;"",K16+1,"")</f>
        <v>3</v>
      </c>
      <c r="L17" s="470"/>
      <c r="M17" s="40">
        <f t="shared" si="0"/>
        <v>0.91514165935315961</v>
      </c>
      <c r="N17" s="39"/>
      <c r="O17" s="72">
        <f t="shared" ref="O17:O80" si="36">IF(K17&lt;=$F$15,O16-V16,"")</f>
        <v>851302.53</v>
      </c>
      <c r="P17" s="41">
        <f t="shared" si="1"/>
        <v>0.14699999999999999</v>
      </c>
      <c r="Q17" s="39"/>
      <c r="R17" s="72">
        <f t="shared" si="17"/>
        <v>892357.34550574294</v>
      </c>
      <c r="S17" s="39"/>
      <c r="T17" s="72">
        <f t="shared" si="18"/>
        <v>892000</v>
      </c>
      <c r="U17" s="39"/>
      <c r="V17" s="72">
        <f t="shared" si="2"/>
        <v>125141.47190999999</v>
      </c>
      <c r="W17" s="72">
        <f t="shared" si="19"/>
        <v>114522.1742576142</v>
      </c>
      <c r="X17" s="39"/>
      <c r="Y17" s="72">
        <f t="shared" si="3"/>
        <v>0</v>
      </c>
      <c r="Z17" s="72">
        <f t="shared" si="20"/>
        <v>0</v>
      </c>
      <c r="AA17" s="39"/>
      <c r="AB17" s="72">
        <f t="shared" si="4"/>
        <v>0</v>
      </c>
      <c r="AC17" s="72">
        <f t="shared" si="21"/>
        <v>0</v>
      </c>
      <c r="AD17" s="39"/>
      <c r="AE17" s="72">
        <f t="shared" si="5"/>
        <v>0</v>
      </c>
      <c r="AF17" s="72">
        <f t="shared" si="22"/>
        <v>0</v>
      </c>
      <c r="AG17" s="39"/>
      <c r="AH17" s="72">
        <f t="shared" si="6"/>
        <v>15000</v>
      </c>
      <c r="AI17" s="72">
        <f t="shared" si="23"/>
        <v>13727.124890297395</v>
      </c>
      <c r="AJ17" s="39"/>
      <c r="AK17" s="72">
        <f t="shared" si="7"/>
        <v>0</v>
      </c>
      <c r="AL17" s="72">
        <f t="shared" si="24"/>
        <v>0</v>
      </c>
      <c r="AM17" s="39"/>
      <c r="AN17" s="72">
        <f t="shared" si="8"/>
        <v>0</v>
      </c>
      <c r="AO17" s="72">
        <f t="shared" si="25"/>
        <v>0</v>
      </c>
      <c r="AP17" s="39"/>
      <c r="AQ17" s="72">
        <f t="shared" si="9"/>
        <v>0</v>
      </c>
      <c r="AR17" s="72">
        <f t="shared" si="26"/>
        <v>0</v>
      </c>
      <c r="AS17" s="39"/>
      <c r="AT17" s="40">
        <f>IF($K17&lt;=$F$15,IF($F$41&lt;&gt;"",$F$41/1000,IF(ISERROR(VLOOKUP($F$3&amp;IF($G$4&lt;&gt;"",$G$4,"")&amp;IF($F$44&lt;&gt;"","_"&amp;$F$44,""),'表3）燃料価格'!$AF$9:$AG$25,2,0)),0,VLOOKUP($I17,'表3）燃料価格'!$A$6:$U$66,VLOOKUP($F$3&amp;IF($G$4&lt;&gt;"",$G$4,"")&amp;IF($F$44&lt;&gt;"","_"&amp;$F$44,""),'表3）燃料価格'!$AF$9:$AG$25,2,0)+VLOOKUP($F$42,'表3）燃料価格'!$AF$28:$AG$29,2,0),0)*IF($F$44="需要地価格",1,$F$8/$F$142))),"")</f>
        <v>0</v>
      </c>
      <c r="AU17" s="39"/>
      <c r="AV17" s="72">
        <f t="shared" si="10"/>
        <v>0</v>
      </c>
      <c r="AW17" s="72">
        <f t="shared" si="27"/>
        <v>0</v>
      </c>
      <c r="AX17" s="39"/>
      <c r="AY17" s="40">
        <f>IF(ISERROR(IF($K17&lt;=$F$15,VLOOKUP($I17,'表4）CO2価格'!$A$7:$E$67,VLOOKUP($F$49,'表4）CO2価格'!$H$10:$I$12,2,0),0)*$F$8/1000,"")),0,IF($K17&lt;=$F$15,VLOOKUP($I17,'表4）CO2価格'!$A$7:$E$67,VLOOKUP($F$49,'表4）CO2価格'!$H$10:$I$12,2,0),0)*$F$8/1000,""))</f>
        <v>0</v>
      </c>
      <c r="AZ17" s="39"/>
      <c r="BA17" s="42">
        <f t="shared" si="11"/>
        <v>0</v>
      </c>
      <c r="BB17" s="72">
        <f t="shared" si="28"/>
        <v>0</v>
      </c>
      <c r="BC17" s="39"/>
      <c r="BD17" s="72">
        <f t="shared" si="12"/>
        <v>0</v>
      </c>
      <c r="BE17" s="72">
        <f t="shared" si="29"/>
        <v>0</v>
      </c>
      <c r="BF17" s="39"/>
      <c r="BG17" s="42">
        <f t="shared" si="13"/>
        <v>0</v>
      </c>
      <c r="BH17" s="72">
        <f t="shared" si="30"/>
        <v>0</v>
      </c>
      <c r="BI17" s="39"/>
      <c r="BJ17" s="40">
        <f t="shared" si="14"/>
        <v>0.90983137287236304</v>
      </c>
      <c r="BK17" s="157">
        <f t="shared" si="15"/>
        <v>13647.470593085445</v>
      </c>
      <c r="BL17" s="157">
        <f t="shared" si="16"/>
        <v>5444.5283873065691</v>
      </c>
      <c r="BM17" s="72"/>
      <c r="BN17" s="72">
        <f t="shared" si="31"/>
        <v>160235.8959117257</v>
      </c>
      <c r="BO17" s="72">
        <f t="shared" si="32"/>
        <v>146638.54367259683</v>
      </c>
      <c r="BP17" s="39"/>
      <c r="BQ17" s="72">
        <f t="shared" ref="BQ17:BQ80" si="37">IF($K17&lt;=$F$15,$F$135*(1-$F$18/100)^(I17-I$15),"")</f>
        <v>5984.1071099999999</v>
      </c>
      <c r="BR17" s="72">
        <f t="shared" si="33"/>
        <v>5476.3057103924402</v>
      </c>
    </row>
    <row r="18" spans="3:70" x14ac:dyDescent="0.15">
      <c r="C18" s="236" t="s">
        <v>503</v>
      </c>
      <c r="F18" s="454">
        <v>0.5</v>
      </c>
      <c r="G18" s="81" t="s">
        <v>172</v>
      </c>
      <c r="I18" s="459">
        <f t="shared" si="34"/>
        <v>2033</v>
      </c>
      <c r="K18" s="9">
        <f t="shared" si="35"/>
        <v>4</v>
      </c>
      <c r="M18" s="7">
        <f t="shared" si="0"/>
        <v>0.888487047915689</v>
      </c>
      <c r="O18" s="10">
        <f t="shared" si="36"/>
        <v>726161.05809000006</v>
      </c>
      <c r="P18" s="29">
        <f t="shared" si="1"/>
        <v>0.14699999999999999</v>
      </c>
      <c r="R18" s="10">
        <f t="shared" si="17"/>
        <v>779319.01602467149</v>
      </c>
      <c r="T18" s="10">
        <f t="shared" si="18"/>
        <v>779000</v>
      </c>
      <c r="V18" s="10">
        <f t="shared" si="2"/>
        <v>106745.67553923</v>
      </c>
      <c r="W18" s="10">
        <f t="shared" si="19"/>
        <v>94842.150137616438</v>
      </c>
      <c r="Y18" s="10">
        <f t="shared" si="3"/>
        <v>0</v>
      </c>
      <c r="Z18" s="10">
        <f t="shared" si="20"/>
        <v>0</v>
      </c>
      <c r="AB18" s="10">
        <f t="shared" si="4"/>
        <v>0</v>
      </c>
      <c r="AC18" s="10">
        <f t="shared" si="21"/>
        <v>0</v>
      </c>
      <c r="AE18" s="10">
        <f t="shared" si="5"/>
        <v>0</v>
      </c>
      <c r="AF18" s="10">
        <f t="shared" si="22"/>
        <v>0</v>
      </c>
      <c r="AH18" s="10">
        <f t="shared" si="6"/>
        <v>15000</v>
      </c>
      <c r="AI18" s="10">
        <f t="shared" si="23"/>
        <v>13327.305718735335</v>
      </c>
      <c r="AK18" s="10">
        <f t="shared" si="7"/>
        <v>0</v>
      </c>
      <c r="AL18" s="10">
        <f t="shared" si="24"/>
        <v>0</v>
      </c>
      <c r="AN18" s="10">
        <f t="shared" si="8"/>
        <v>0</v>
      </c>
      <c r="AO18" s="10">
        <f t="shared" si="25"/>
        <v>0</v>
      </c>
      <c r="AQ18" s="10">
        <f t="shared" si="9"/>
        <v>0</v>
      </c>
      <c r="AR18" s="10">
        <f t="shared" si="26"/>
        <v>0</v>
      </c>
      <c r="AT18" s="7">
        <f>IF($K18&lt;=$F$15,IF($F$41&lt;&gt;"",$F$41/1000,IF(ISERROR(VLOOKUP($F$3&amp;IF($G$4&lt;&gt;"",$G$4,"")&amp;IF($F$44&lt;&gt;"","_"&amp;$F$44,""),'表3）燃料価格'!$AF$9:$AG$25,2,0)),0,VLOOKUP($I18,'表3）燃料価格'!$A$6:$U$66,VLOOKUP($F$3&amp;IF($G$4&lt;&gt;"",$G$4,"")&amp;IF($F$44&lt;&gt;"","_"&amp;$F$44,""),'表3）燃料価格'!$AF$9:$AG$25,2,0)+VLOOKUP($F$42,'表3）燃料価格'!$AF$28:$AG$29,2,0),0)*IF($F$44="需要地価格",1,$F$8/$F$142))),"")</f>
        <v>0</v>
      </c>
      <c r="AV18" s="10">
        <f t="shared" si="10"/>
        <v>0</v>
      </c>
      <c r="AW18" s="10">
        <f t="shared" si="27"/>
        <v>0</v>
      </c>
      <c r="AY18" s="7">
        <f>IF(ISERROR(IF($K18&lt;=$F$15,VLOOKUP($I18,'表4）CO2価格'!$A$7:$E$67,VLOOKUP($F$49,'表4）CO2価格'!$H$10:$I$12,2,0),0)*$F$8/1000,"")),0,IF($K18&lt;=$F$15,VLOOKUP($I18,'表4）CO2価格'!$A$7:$E$67,VLOOKUP($F$49,'表4）CO2価格'!$H$10:$I$12,2,0),0)*$F$8/1000,""))</f>
        <v>0</v>
      </c>
      <c r="BA18" s="11">
        <f t="shared" si="11"/>
        <v>0</v>
      </c>
      <c r="BB18" s="10">
        <f t="shared" si="28"/>
        <v>0</v>
      </c>
      <c r="BD18" s="10">
        <f t="shared" si="12"/>
        <v>0</v>
      </c>
      <c r="BE18" s="10">
        <f t="shared" si="29"/>
        <v>0</v>
      </c>
      <c r="BG18" s="11">
        <f t="shared" si="13"/>
        <v>0</v>
      </c>
      <c r="BH18" s="10">
        <f t="shared" si="30"/>
        <v>0</v>
      </c>
      <c r="BJ18" s="7">
        <f t="shared" si="14"/>
        <v>0.88161954735694092</v>
      </c>
      <c r="BK18" s="158">
        <f t="shared" si="15"/>
        <v>13224.293210354113</v>
      </c>
      <c r="BL18" s="158">
        <f t="shared" si="16"/>
        <v>5249.3272726453833</v>
      </c>
      <c r="BM18" s="10"/>
      <c r="BN18" s="10">
        <f t="shared" si="31"/>
        <v>159434.71643216707</v>
      </c>
      <c r="BO18" s="10">
        <f t="shared" si="32"/>
        <v>141655.68053809111</v>
      </c>
      <c r="BQ18" s="10">
        <f t="shared" si="37"/>
        <v>5954.1865744500001</v>
      </c>
      <c r="BR18" s="10">
        <f t="shared" si="33"/>
        <v>5290.2176522723094</v>
      </c>
    </row>
    <row r="19" spans="3:70" x14ac:dyDescent="0.15">
      <c r="I19" s="458">
        <f t="shared" si="34"/>
        <v>2034</v>
      </c>
      <c r="J19" s="470"/>
      <c r="K19" s="470">
        <f t="shared" si="35"/>
        <v>5</v>
      </c>
      <c r="L19" s="470"/>
      <c r="M19" s="40">
        <f t="shared" si="0"/>
        <v>0.86260878438416411</v>
      </c>
      <c r="N19" s="39"/>
      <c r="O19" s="72">
        <f t="shared" si="36"/>
        <v>619415.38255077007</v>
      </c>
      <c r="P19" s="41">
        <f t="shared" si="1"/>
        <v>0.14699999999999999</v>
      </c>
      <c r="Q19" s="39"/>
      <c r="R19" s="72">
        <f t="shared" si="17"/>
        <v>680599.68553679995</v>
      </c>
      <c r="S19" s="39"/>
      <c r="T19" s="72">
        <f t="shared" si="18"/>
        <v>680000</v>
      </c>
      <c r="U19" s="39"/>
      <c r="V19" s="72">
        <f t="shared" si="2"/>
        <v>91054.061234963199</v>
      </c>
      <c r="W19" s="72">
        <f t="shared" si="19"/>
        <v>78544.033075132844</v>
      </c>
      <c r="X19" s="39"/>
      <c r="Y19" s="72">
        <f t="shared" si="3"/>
        <v>0</v>
      </c>
      <c r="Z19" s="72">
        <f t="shared" si="20"/>
        <v>0</v>
      </c>
      <c r="AA19" s="39"/>
      <c r="AB19" s="72">
        <f t="shared" si="4"/>
        <v>0</v>
      </c>
      <c r="AC19" s="72">
        <f t="shared" si="21"/>
        <v>0</v>
      </c>
      <c r="AD19" s="39"/>
      <c r="AE19" s="72">
        <f t="shared" si="5"/>
        <v>0</v>
      </c>
      <c r="AF19" s="72">
        <f t="shared" si="22"/>
        <v>0</v>
      </c>
      <c r="AG19" s="39"/>
      <c r="AH19" s="72">
        <f t="shared" si="6"/>
        <v>15000</v>
      </c>
      <c r="AI19" s="72">
        <f t="shared" si="23"/>
        <v>12939.131765762462</v>
      </c>
      <c r="AJ19" s="39"/>
      <c r="AK19" s="72">
        <f t="shared" si="7"/>
        <v>0</v>
      </c>
      <c r="AL19" s="72">
        <f t="shared" si="24"/>
        <v>0</v>
      </c>
      <c r="AM19" s="39"/>
      <c r="AN19" s="72">
        <f t="shared" si="8"/>
        <v>0</v>
      </c>
      <c r="AO19" s="72">
        <f t="shared" si="25"/>
        <v>0</v>
      </c>
      <c r="AP19" s="39"/>
      <c r="AQ19" s="72">
        <f t="shared" si="9"/>
        <v>0</v>
      </c>
      <c r="AR19" s="72">
        <f t="shared" si="26"/>
        <v>0</v>
      </c>
      <c r="AS19" s="39"/>
      <c r="AT19" s="40">
        <f>IF($K19&lt;=$F$15,IF($F$41&lt;&gt;"",$F$41/1000,IF(ISERROR(VLOOKUP($F$3&amp;IF($G$4&lt;&gt;"",$G$4,"")&amp;IF($F$44&lt;&gt;"","_"&amp;$F$44,""),'表3）燃料価格'!$AF$9:$AG$25,2,0)),0,VLOOKUP($I19,'表3）燃料価格'!$A$6:$U$66,VLOOKUP($F$3&amp;IF($G$4&lt;&gt;"",$G$4,"")&amp;IF($F$44&lt;&gt;"","_"&amp;$F$44,""),'表3）燃料価格'!$AF$9:$AG$25,2,0)+VLOOKUP($F$42,'表3）燃料価格'!$AF$28:$AG$29,2,0),0)*IF($F$44="需要地価格",1,$F$8/$F$142))),"")</f>
        <v>0</v>
      </c>
      <c r="AU19" s="39"/>
      <c r="AV19" s="72">
        <f t="shared" si="10"/>
        <v>0</v>
      </c>
      <c r="AW19" s="72">
        <f t="shared" si="27"/>
        <v>0</v>
      </c>
      <c r="AX19" s="39"/>
      <c r="AY19" s="40">
        <f>IF(ISERROR(IF($K19&lt;=$F$15,VLOOKUP($I19,'表4）CO2価格'!$A$7:$E$67,VLOOKUP($F$49,'表4）CO2価格'!$H$10:$I$12,2,0),0)*$F$8/1000,"")),0,IF($K19&lt;=$F$15,VLOOKUP($I19,'表4）CO2価格'!$A$7:$E$67,VLOOKUP($F$49,'表4）CO2価格'!$H$10:$I$12,2,0),0)*$F$8/1000,""))</f>
        <v>0</v>
      </c>
      <c r="AZ19" s="39"/>
      <c r="BA19" s="42">
        <f t="shared" si="11"/>
        <v>0</v>
      </c>
      <c r="BB19" s="72">
        <f t="shared" si="28"/>
        <v>0</v>
      </c>
      <c r="BC19" s="39"/>
      <c r="BD19" s="72">
        <f t="shared" si="12"/>
        <v>0</v>
      </c>
      <c r="BE19" s="72">
        <f t="shared" si="29"/>
        <v>0</v>
      </c>
      <c r="BF19" s="39"/>
      <c r="BG19" s="42">
        <f t="shared" si="13"/>
        <v>0</v>
      </c>
      <c r="BH19" s="72">
        <f t="shared" si="30"/>
        <v>0</v>
      </c>
      <c r="BI19" s="39"/>
      <c r="BJ19" s="40">
        <f t="shared" si="14"/>
        <v>0.85428250712881859</v>
      </c>
      <c r="BK19" s="157">
        <f t="shared" si="15"/>
        <v>12814.237606932278</v>
      </c>
      <c r="BL19" s="157">
        <f t="shared" si="16"/>
        <v>5061.1246475602284</v>
      </c>
      <c r="BM19" s="72"/>
      <c r="BN19" s="72">
        <f t="shared" si="31"/>
        <v>158637.54285000623</v>
      </c>
      <c r="BO19" s="72">
        <f t="shared" si="32"/>
        <v>136842.13799553461</v>
      </c>
      <c r="BP19" s="39"/>
      <c r="BQ19" s="72">
        <f t="shared" si="37"/>
        <v>5924.4156415777497</v>
      </c>
      <c r="BR19" s="72">
        <f t="shared" si="33"/>
        <v>5110.4529747679107</v>
      </c>
    </row>
    <row r="20" spans="3:70" x14ac:dyDescent="0.15">
      <c r="C20" s="89" t="s">
        <v>371</v>
      </c>
      <c r="D20" s="101"/>
      <c r="E20" s="101"/>
      <c r="F20" s="89"/>
      <c r="G20" s="101"/>
      <c r="I20" s="459">
        <f t="shared" si="34"/>
        <v>2035</v>
      </c>
      <c r="K20" s="9">
        <f t="shared" si="35"/>
        <v>6</v>
      </c>
      <c r="M20" s="7">
        <f t="shared" si="0"/>
        <v>0.83748425668365445</v>
      </c>
      <c r="O20" s="10">
        <f t="shared" si="36"/>
        <v>528361.32131580682</v>
      </c>
      <c r="P20" s="29">
        <f t="shared" si="1"/>
        <v>0.14699999999999999</v>
      </c>
      <c r="R20" s="10">
        <f t="shared" si="17"/>
        <v>594385.51148882345</v>
      </c>
      <c r="T20" s="10">
        <f t="shared" si="18"/>
        <v>594000</v>
      </c>
      <c r="V20" s="10">
        <f t="shared" si="2"/>
        <v>77669.114233423592</v>
      </c>
      <c r="W20" s="10">
        <f t="shared" si="19"/>
        <v>65046.660401056601</v>
      </c>
      <c r="Y20" s="10">
        <f t="shared" si="3"/>
        <v>0</v>
      </c>
      <c r="Z20" s="10">
        <f t="shared" si="20"/>
        <v>0</v>
      </c>
      <c r="AB20" s="10">
        <f t="shared" si="4"/>
        <v>0</v>
      </c>
      <c r="AC20" s="10">
        <f t="shared" si="21"/>
        <v>0</v>
      </c>
      <c r="AE20" s="10">
        <f t="shared" si="5"/>
        <v>0</v>
      </c>
      <c r="AF20" s="10">
        <f t="shared" si="22"/>
        <v>0</v>
      </c>
      <c r="AH20" s="10">
        <f t="shared" si="6"/>
        <v>15000</v>
      </c>
      <c r="AI20" s="10">
        <f t="shared" si="23"/>
        <v>12562.263850254816</v>
      </c>
      <c r="AK20" s="10">
        <f t="shared" si="7"/>
        <v>0</v>
      </c>
      <c r="AL20" s="10">
        <f t="shared" si="24"/>
        <v>0</v>
      </c>
      <c r="AN20" s="10">
        <f t="shared" si="8"/>
        <v>0</v>
      </c>
      <c r="AO20" s="10">
        <f t="shared" si="25"/>
        <v>0</v>
      </c>
      <c r="AQ20" s="10">
        <f t="shared" si="9"/>
        <v>0</v>
      </c>
      <c r="AR20" s="10">
        <f t="shared" si="26"/>
        <v>0</v>
      </c>
      <c r="AT20" s="7">
        <f>IF($K20&lt;=$F$15,IF($F$41&lt;&gt;"",$F$41/1000,IF(ISERROR(VLOOKUP($F$3&amp;IF($G$4&lt;&gt;"",$G$4,"")&amp;IF($F$44&lt;&gt;"","_"&amp;$F$44,""),'表3）燃料価格'!$AF$9:$AG$25,2,0)),0,VLOOKUP($I20,'表3）燃料価格'!$A$6:$U$66,VLOOKUP($F$3&amp;IF($G$4&lt;&gt;"",$G$4,"")&amp;IF($F$44&lt;&gt;"","_"&amp;$F$44,""),'表3）燃料価格'!$AF$9:$AG$25,2,0)+VLOOKUP($F$42,'表3）燃料価格'!$AF$28:$AG$29,2,0),0)*IF($F$44="需要地価格",1,$F$8/$F$142))),"")</f>
        <v>0</v>
      </c>
      <c r="AV20" s="10">
        <f t="shared" si="10"/>
        <v>0</v>
      </c>
      <c r="AW20" s="10">
        <f t="shared" si="27"/>
        <v>0</v>
      </c>
      <c r="AY20" s="7">
        <f>IF(ISERROR(IF($K20&lt;=$F$15,VLOOKUP($I20,'表4）CO2価格'!$A$7:$E$67,VLOOKUP($F$49,'表4）CO2価格'!$H$10:$I$12,2,0),0)*$F$8/1000,"")),0,IF($K20&lt;=$F$15,VLOOKUP($I20,'表4）CO2価格'!$A$7:$E$67,VLOOKUP($F$49,'表4）CO2価格'!$H$10:$I$12,2,0),0)*$F$8/1000,""))</f>
        <v>0</v>
      </c>
      <c r="BA20" s="11">
        <f t="shared" si="11"/>
        <v>0</v>
      </c>
      <c r="BB20" s="10">
        <f t="shared" si="28"/>
        <v>0</v>
      </c>
      <c r="BD20" s="10">
        <f t="shared" si="12"/>
        <v>0</v>
      </c>
      <c r="BE20" s="10">
        <f t="shared" si="29"/>
        <v>0</v>
      </c>
      <c r="BG20" s="11">
        <f t="shared" si="13"/>
        <v>0</v>
      </c>
      <c r="BH20" s="10">
        <f t="shared" si="30"/>
        <v>0</v>
      </c>
      <c r="BJ20" s="7">
        <f t="shared" si="14"/>
        <v>0.82779312706280883</v>
      </c>
      <c r="BK20" s="158">
        <f t="shared" si="15"/>
        <v>12416.896905942132</v>
      </c>
      <c r="BL20" s="158">
        <f t="shared" si="16"/>
        <v>4879.6695972116559</v>
      </c>
      <c r="BM20" s="10"/>
      <c r="BN20" s="10">
        <f t="shared" si="31"/>
        <v>157844.35513575622</v>
      </c>
      <c r="BO20" s="10">
        <f t="shared" si="32"/>
        <v>132192.16243257959</v>
      </c>
      <c r="BQ20" s="10">
        <f t="shared" si="37"/>
        <v>5894.7935633698617</v>
      </c>
      <c r="BR20" s="10">
        <f t="shared" si="33"/>
        <v>4936.7968057223989</v>
      </c>
    </row>
    <row r="21" spans="3:70" x14ac:dyDescent="0.15">
      <c r="I21" s="458">
        <f t="shared" si="34"/>
        <v>2036</v>
      </c>
      <c r="J21" s="470"/>
      <c r="K21" s="470">
        <f t="shared" si="35"/>
        <v>7</v>
      </c>
      <c r="L21" s="470"/>
      <c r="M21" s="40">
        <f t="shared" si="0"/>
        <v>0.81309151134335378</v>
      </c>
      <c r="N21" s="39"/>
      <c r="O21" s="72">
        <f t="shared" si="36"/>
        <v>450692.20708238322</v>
      </c>
      <c r="P21" s="41">
        <f t="shared" si="1"/>
        <v>0.14699999999999999</v>
      </c>
      <c r="Q21" s="39"/>
      <c r="R21" s="72">
        <f t="shared" si="17"/>
        <v>519092.41772449762</v>
      </c>
      <c r="S21" s="39"/>
      <c r="T21" s="72">
        <f t="shared" si="18"/>
        <v>519000</v>
      </c>
      <c r="U21" s="39"/>
      <c r="V21" s="72">
        <f t="shared" si="2"/>
        <v>66251.75444111033</v>
      </c>
      <c r="W21" s="72">
        <f t="shared" si="19"/>
        <v>53868.739147671149</v>
      </c>
      <c r="X21" s="39"/>
      <c r="Y21" s="72">
        <f t="shared" si="3"/>
        <v>0</v>
      </c>
      <c r="Z21" s="72">
        <f t="shared" si="20"/>
        <v>0</v>
      </c>
      <c r="AA21" s="39"/>
      <c r="AB21" s="72">
        <f t="shared" si="4"/>
        <v>0</v>
      </c>
      <c r="AC21" s="72">
        <f t="shared" si="21"/>
        <v>0</v>
      </c>
      <c r="AD21" s="39"/>
      <c r="AE21" s="72">
        <f t="shared" si="5"/>
        <v>0</v>
      </c>
      <c r="AF21" s="72">
        <f t="shared" si="22"/>
        <v>0</v>
      </c>
      <c r="AG21" s="39"/>
      <c r="AH21" s="72">
        <f t="shared" si="6"/>
        <v>15000</v>
      </c>
      <c r="AI21" s="72">
        <f t="shared" si="23"/>
        <v>12196.372670150307</v>
      </c>
      <c r="AJ21" s="39"/>
      <c r="AK21" s="72">
        <f t="shared" si="7"/>
        <v>0</v>
      </c>
      <c r="AL21" s="72">
        <f t="shared" si="24"/>
        <v>0</v>
      </c>
      <c r="AM21" s="39"/>
      <c r="AN21" s="72">
        <f t="shared" si="8"/>
        <v>0</v>
      </c>
      <c r="AO21" s="72">
        <f t="shared" si="25"/>
        <v>0</v>
      </c>
      <c r="AP21" s="39"/>
      <c r="AQ21" s="72">
        <f t="shared" si="9"/>
        <v>0</v>
      </c>
      <c r="AR21" s="72">
        <f t="shared" si="26"/>
        <v>0</v>
      </c>
      <c r="AS21" s="39"/>
      <c r="AT21" s="40">
        <f>IF($K21&lt;=$F$15,IF($F$41&lt;&gt;"",$F$41/1000,IF(ISERROR(VLOOKUP($F$3&amp;IF($G$4&lt;&gt;"",$G$4,"")&amp;IF($F$44&lt;&gt;"","_"&amp;$F$44,""),'表3）燃料価格'!$AF$9:$AG$25,2,0)),0,VLOOKUP($I21,'表3）燃料価格'!$A$6:$U$66,VLOOKUP($F$3&amp;IF($G$4&lt;&gt;"",$G$4,"")&amp;IF($F$44&lt;&gt;"","_"&amp;$F$44,""),'表3）燃料価格'!$AF$9:$AG$25,2,0)+VLOOKUP($F$42,'表3）燃料価格'!$AF$28:$AG$29,2,0),0)*IF($F$44="需要地価格",1,$F$8/$F$142))),"")</f>
        <v>0</v>
      </c>
      <c r="AU21" s="39"/>
      <c r="AV21" s="72">
        <f t="shared" si="10"/>
        <v>0</v>
      </c>
      <c r="AW21" s="72">
        <f t="shared" si="27"/>
        <v>0</v>
      </c>
      <c r="AX21" s="39"/>
      <c r="AY21" s="40">
        <f>IF(ISERROR(IF($K21&lt;=$F$15,VLOOKUP($I21,'表4）CO2価格'!$A$7:$E$67,VLOOKUP($F$49,'表4）CO2価格'!$H$10:$I$12,2,0),0)*$F$8/1000,"")),0,IF($K21&lt;=$F$15,VLOOKUP($I21,'表4）CO2価格'!$A$7:$E$67,VLOOKUP($F$49,'表4）CO2価格'!$H$10:$I$12,2,0),0)*$F$8/1000,""))</f>
        <v>0</v>
      </c>
      <c r="AZ21" s="39"/>
      <c r="BA21" s="42">
        <f t="shared" si="11"/>
        <v>0</v>
      </c>
      <c r="BB21" s="72">
        <f t="shared" si="28"/>
        <v>0</v>
      </c>
      <c r="BC21" s="39"/>
      <c r="BD21" s="72">
        <f t="shared" si="12"/>
        <v>0</v>
      </c>
      <c r="BE21" s="72">
        <f t="shared" si="29"/>
        <v>0</v>
      </c>
      <c r="BF21" s="39"/>
      <c r="BG21" s="42">
        <f t="shared" si="13"/>
        <v>0</v>
      </c>
      <c r="BH21" s="72">
        <f t="shared" si="30"/>
        <v>0</v>
      </c>
      <c r="BI21" s="39"/>
      <c r="BJ21" s="40">
        <f t="shared" si="14"/>
        <v>0.80212512312287687</v>
      </c>
      <c r="BK21" s="157">
        <f t="shared" si="15"/>
        <v>12031.876846843154</v>
      </c>
      <c r="BL21" s="157">
        <f t="shared" si="16"/>
        <v>4704.7202027379817</v>
      </c>
      <c r="BM21" s="72"/>
      <c r="BN21" s="72">
        <f t="shared" si="31"/>
        <v>157055.13336007742</v>
      </c>
      <c r="BO21" s="72">
        <f t="shared" si="32"/>
        <v>127700.19574797733</v>
      </c>
      <c r="BP21" s="39"/>
      <c r="BQ21" s="72">
        <f t="shared" si="37"/>
        <v>5865.3195955530118</v>
      </c>
      <c r="BR21" s="72">
        <f t="shared" si="33"/>
        <v>4769.0415744599868</v>
      </c>
    </row>
    <row r="22" spans="3:70" x14ac:dyDescent="0.15">
      <c r="D22" s="81" t="s">
        <v>110</v>
      </c>
      <c r="F22" s="147">
        <f>'表6）太陽光・風力シナリオ'!C12</f>
        <v>23.4</v>
      </c>
      <c r="G22" s="81" t="s">
        <v>174</v>
      </c>
      <c r="I22" s="459">
        <f t="shared" si="34"/>
        <v>2037</v>
      </c>
      <c r="K22" s="9">
        <f t="shared" si="35"/>
        <v>8</v>
      </c>
      <c r="M22" s="7">
        <f t="shared" si="0"/>
        <v>0.78940923431393573</v>
      </c>
      <c r="O22" s="10">
        <f t="shared" si="36"/>
        <v>384440.45264127292</v>
      </c>
      <c r="P22" s="29">
        <f t="shared" si="1"/>
        <v>0.14699999999999999</v>
      </c>
      <c r="R22" s="10">
        <f t="shared" si="17"/>
        <v>453336.98909336736</v>
      </c>
      <c r="T22" s="10">
        <f t="shared" si="18"/>
        <v>453000</v>
      </c>
      <c r="V22" s="10">
        <f t="shared" si="2"/>
        <v>56512.746538267114</v>
      </c>
      <c r="W22" s="10">
        <f t="shared" si="19"/>
        <v>44611.683973750965</v>
      </c>
      <c r="Y22" s="10">
        <f t="shared" si="3"/>
        <v>0</v>
      </c>
      <c r="Z22" s="10">
        <f t="shared" si="20"/>
        <v>0</v>
      </c>
      <c r="AB22" s="10">
        <f t="shared" si="4"/>
        <v>0</v>
      </c>
      <c r="AC22" s="10">
        <f t="shared" si="21"/>
        <v>0</v>
      </c>
      <c r="AE22" s="10">
        <f t="shared" si="5"/>
        <v>0</v>
      </c>
      <c r="AF22" s="10">
        <f t="shared" si="22"/>
        <v>0</v>
      </c>
      <c r="AH22" s="10">
        <f t="shared" si="6"/>
        <v>15000</v>
      </c>
      <c r="AI22" s="10">
        <f t="shared" si="23"/>
        <v>11841.138514709035</v>
      </c>
      <c r="AK22" s="10">
        <f t="shared" si="7"/>
        <v>0</v>
      </c>
      <c r="AL22" s="10">
        <f t="shared" si="24"/>
        <v>0</v>
      </c>
      <c r="AN22" s="10">
        <f t="shared" si="8"/>
        <v>0</v>
      </c>
      <c r="AO22" s="10">
        <f t="shared" si="25"/>
        <v>0</v>
      </c>
      <c r="AQ22" s="10">
        <f t="shared" si="9"/>
        <v>0</v>
      </c>
      <c r="AR22" s="10">
        <f t="shared" si="26"/>
        <v>0</v>
      </c>
      <c r="AT22" s="7">
        <f>IF($K22&lt;=$F$15,IF($F$41&lt;&gt;"",$F$41/1000,IF(ISERROR(VLOOKUP($F$3&amp;IF($G$4&lt;&gt;"",$G$4,"")&amp;IF($F$44&lt;&gt;"","_"&amp;$F$44,""),'表3）燃料価格'!$AF$9:$AG$25,2,0)),0,VLOOKUP($I22,'表3）燃料価格'!$A$6:$U$66,VLOOKUP($F$3&amp;IF($G$4&lt;&gt;"",$G$4,"")&amp;IF($F$44&lt;&gt;"","_"&amp;$F$44,""),'表3）燃料価格'!$AF$9:$AG$25,2,0)+VLOOKUP($F$42,'表3）燃料価格'!$AF$28:$AG$29,2,0),0)*IF($F$44="需要地価格",1,$F$8/$F$142))),"")</f>
        <v>0</v>
      </c>
      <c r="AV22" s="10">
        <f t="shared" si="10"/>
        <v>0</v>
      </c>
      <c r="AW22" s="10">
        <f t="shared" si="27"/>
        <v>0</v>
      </c>
      <c r="AY22" s="7">
        <f>IF(ISERROR(IF($K22&lt;=$F$15,VLOOKUP($I22,'表4）CO2価格'!$A$7:$E$67,VLOOKUP($F$49,'表4）CO2価格'!$H$10:$I$12,2,0),0)*$F$8/1000,"")),0,IF($K22&lt;=$F$15,VLOOKUP($I22,'表4）CO2価格'!$A$7:$E$67,VLOOKUP($F$49,'表4）CO2価格'!$H$10:$I$12,2,0),0)*$F$8/1000,""))</f>
        <v>0</v>
      </c>
      <c r="BA22" s="11">
        <f t="shared" si="11"/>
        <v>0</v>
      </c>
      <c r="BB22" s="10">
        <f t="shared" si="28"/>
        <v>0</v>
      </c>
      <c r="BD22" s="10">
        <f t="shared" si="12"/>
        <v>0</v>
      </c>
      <c r="BE22" s="10">
        <f t="shared" si="29"/>
        <v>0</v>
      </c>
      <c r="BG22" s="11">
        <f t="shared" si="13"/>
        <v>0</v>
      </c>
      <c r="BH22" s="10">
        <f t="shared" si="30"/>
        <v>0</v>
      </c>
      <c r="BJ22" s="7">
        <f t="shared" si="14"/>
        <v>0.77725302628185733</v>
      </c>
      <c r="BK22" s="158">
        <f t="shared" si="15"/>
        <v>11658.79539422786</v>
      </c>
      <c r="BL22" s="158">
        <f t="shared" si="16"/>
        <v>4536.0432187250881</v>
      </c>
      <c r="BM22" s="10"/>
      <c r="BN22" s="10">
        <f t="shared" si="31"/>
        <v>156269.85769327701</v>
      </c>
      <c r="BO22" s="10">
        <f t="shared" si="32"/>
        <v>123360.86870799751</v>
      </c>
      <c r="BQ22" s="10">
        <f t="shared" si="37"/>
        <v>5835.9929975752466</v>
      </c>
      <c r="BR22" s="10">
        <f t="shared" si="33"/>
        <v>4606.9867636773661</v>
      </c>
    </row>
    <row r="23" spans="3:70" ht="16.5" x14ac:dyDescent="0.15">
      <c r="D23" s="81" t="s">
        <v>111</v>
      </c>
      <c r="F23" s="90"/>
      <c r="G23" s="9" t="s">
        <v>372</v>
      </c>
      <c r="I23" s="458">
        <f t="shared" si="34"/>
        <v>2038</v>
      </c>
      <c r="J23" s="470"/>
      <c r="K23" s="470">
        <f t="shared" si="35"/>
        <v>9</v>
      </c>
      <c r="L23" s="470"/>
      <c r="M23" s="40">
        <f t="shared" si="0"/>
        <v>0.76641673234362695</v>
      </c>
      <c r="N23" s="39"/>
      <c r="O23" s="72">
        <f t="shared" si="36"/>
        <v>327927.7061030058</v>
      </c>
      <c r="P23" s="41">
        <f t="shared" si="1"/>
        <v>0.14699999999999999</v>
      </c>
      <c r="Q23" s="39"/>
      <c r="R23" s="72">
        <f t="shared" si="17"/>
        <v>395911.05295110343</v>
      </c>
      <c r="S23" s="39"/>
      <c r="T23" s="72">
        <f t="shared" si="18"/>
        <v>395000</v>
      </c>
      <c r="U23" s="39"/>
      <c r="V23" s="72">
        <f t="shared" si="2"/>
        <v>48205.372797141848</v>
      </c>
      <c r="W23" s="72">
        <f t="shared" si="19"/>
        <v>36945.404300591821</v>
      </c>
      <c r="X23" s="39"/>
      <c r="Y23" s="72">
        <f t="shared" si="3"/>
        <v>0</v>
      </c>
      <c r="Z23" s="72">
        <f t="shared" si="20"/>
        <v>0</v>
      </c>
      <c r="AA23" s="39"/>
      <c r="AB23" s="72">
        <f t="shared" si="4"/>
        <v>0</v>
      </c>
      <c r="AC23" s="72">
        <f t="shared" si="21"/>
        <v>0</v>
      </c>
      <c r="AD23" s="39"/>
      <c r="AE23" s="72">
        <f t="shared" si="5"/>
        <v>0</v>
      </c>
      <c r="AF23" s="72">
        <f t="shared" si="22"/>
        <v>0</v>
      </c>
      <c r="AG23" s="39"/>
      <c r="AH23" s="72">
        <f t="shared" si="6"/>
        <v>15000</v>
      </c>
      <c r="AI23" s="72">
        <f t="shared" si="23"/>
        <v>11496.250985154404</v>
      </c>
      <c r="AJ23" s="39"/>
      <c r="AK23" s="72">
        <f t="shared" si="7"/>
        <v>0</v>
      </c>
      <c r="AL23" s="72">
        <f t="shared" si="24"/>
        <v>0</v>
      </c>
      <c r="AM23" s="39"/>
      <c r="AN23" s="72">
        <f t="shared" si="8"/>
        <v>0</v>
      </c>
      <c r="AO23" s="72">
        <f t="shared" si="25"/>
        <v>0</v>
      </c>
      <c r="AP23" s="39"/>
      <c r="AQ23" s="72">
        <f t="shared" si="9"/>
        <v>0</v>
      </c>
      <c r="AR23" s="72">
        <f t="shared" si="26"/>
        <v>0</v>
      </c>
      <c r="AS23" s="39"/>
      <c r="AT23" s="40">
        <f>IF($K23&lt;=$F$15,IF($F$41&lt;&gt;"",$F$41/1000,IF(ISERROR(VLOOKUP($F$3&amp;IF($G$4&lt;&gt;"",$G$4,"")&amp;IF($F$44&lt;&gt;"","_"&amp;$F$44,""),'表3）燃料価格'!$AF$9:$AG$25,2,0)),0,VLOOKUP($I23,'表3）燃料価格'!$A$6:$U$66,VLOOKUP($F$3&amp;IF($G$4&lt;&gt;"",$G$4,"")&amp;IF($F$44&lt;&gt;"","_"&amp;$F$44,""),'表3）燃料価格'!$AF$9:$AG$25,2,0)+VLOOKUP($F$42,'表3）燃料価格'!$AF$28:$AG$29,2,0),0)*IF($F$44="需要地価格",1,$F$8/$F$142))),"")</f>
        <v>0</v>
      </c>
      <c r="AU23" s="39"/>
      <c r="AV23" s="72">
        <f t="shared" si="10"/>
        <v>0</v>
      </c>
      <c r="AW23" s="72">
        <f t="shared" si="27"/>
        <v>0</v>
      </c>
      <c r="AX23" s="39"/>
      <c r="AY23" s="40">
        <f>IF(ISERROR(IF($K23&lt;=$F$15,VLOOKUP($I23,'表4）CO2価格'!$A$7:$E$67,VLOOKUP($F$49,'表4）CO2価格'!$H$10:$I$12,2,0),0)*$F$8/1000,"")),0,IF($K23&lt;=$F$15,VLOOKUP($I23,'表4）CO2価格'!$A$7:$E$67,VLOOKUP($F$49,'表4）CO2価格'!$H$10:$I$12,2,0),0)*$F$8/1000,""))</f>
        <v>0</v>
      </c>
      <c r="AZ23" s="39"/>
      <c r="BA23" s="42">
        <f t="shared" si="11"/>
        <v>0</v>
      </c>
      <c r="BB23" s="72">
        <f t="shared" si="28"/>
        <v>0</v>
      </c>
      <c r="BC23" s="39"/>
      <c r="BD23" s="72">
        <f t="shared" si="12"/>
        <v>0</v>
      </c>
      <c r="BE23" s="72">
        <f t="shared" si="29"/>
        <v>0</v>
      </c>
      <c r="BF23" s="39"/>
      <c r="BG23" s="42">
        <f t="shared" si="13"/>
        <v>0</v>
      </c>
      <c r="BH23" s="72">
        <f t="shared" si="30"/>
        <v>0</v>
      </c>
      <c r="BI23" s="39"/>
      <c r="BJ23" s="40">
        <f t="shared" si="14"/>
        <v>0.75315215724986173</v>
      </c>
      <c r="BK23" s="157">
        <f t="shared" si="15"/>
        <v>11297.282358747925</v>
      </c>
      <c r="BL23" s="157">
        <f t="shared" si="16"/>
        <v>4373.4137622397902</v>
      </c>
      <c r="BM23" s="72"/>
      <c r="BN23" s="72">
        <f t="shared" si="31"/>
        <v>155488.50840481065</v>
      </c>
      <c r="BO23" s="72">
        <f t="shared" si="32"/>
        <v>119168.99452859955</v>
      </c>
      <c r="BP23" s="39"/>
      <c r="BQ23" s="72">
        <f t="shared" si="37"/>
        <v>5806.8130325873708</v>
      </c>
      <c r="BR23" s="72">
        <f t="shared" si="33"/>
        <v>4450.4386697659993</v>
      </c>
    </row>
    <row r="24" spans="3:70" x14ac:dyDescent="0.15">
      <c r="D24" s="81" t="s">
        <v>112</v>
      </c>
      <c r="F24" s="147"/>
      <c r="G24" s="81" t="s">
        <v>172</v>
      </c>
      <c r="I24" s="459">
        <f t="shared" si="34"/>
        <v>2039</v>
      </c>
      <c r="K24" s="9">
        <f t="shared" si="35"/>
        <v>10</v>
      </c>
      <c r="M24" s="7">
        <f t="shared" si="0"/>
        <v>0.74409391489672516</v>
      </c>
      <c r="O24" s="10">
        <f t="shared" si="36"/>
        <v>279722.33330586395</v>
      </c>
      <c r="P24" s="29">
        <f t="shared" si="1"/>
        <v>0.14699999999999999</v>
      </c>
      <c r="R24" s="10">
        <f t="shared" si="17"/>
        <v>345759.48051873781</v>
      </c>
      <c r="T24" s="10">
        <f t="shared" si="18"/>
        <v>345000</v>
      </c>
      <c r="V24" s="10">
        <f t="shared" si="2"/>
        <v>41119.182995962001</v>
      </c>
      <c r="W24" s="10">
        <f t="shared" si="19"/>
        <v>30596.533852820219</v>
      </c>
      <c r="Y24" s="10">
        <f t="shared" si="3"/>
        <v>0</v>
      </c>
      <c r="Z24" s="10">
        <f t="shared" si="20"/>
        <v>0</v>
      </c>
      <c r="AB24" s="10">
        <f t="shared" si="4"/>
        <v>0</v>
      </c>
      <c r="AC24" s="10">
        <f t="shared" si="21"/>
        <v>0</v>
      </c>
      <c r="AE24" s="10">
        <f t="shared" si="5"/>
        <v>0</v>
      </c>
      <c r="AF24" s="10">
        <f t="shared" si="22"/>
        <v>0</v>
      </c>
      <c r="AH24" s="10">
        <f t="shared" si="6"/>
        <v>15000</v>
      </c>
      <c r="AI24" s="10">
        <f t="shared" si="23"/>
        <v>11161.408723450877</v>
      </c>
      <c r="AK24" s="10">
        <f t="shared" si="7"/>
        <v>0</v>
      </c>
      <c r="AL24" s="10">
        <f t="shared" si="24"/>
        <v>0</v>
      </c>
      <c r="AN24" s="10">
        <f t="shared" si="8"/>
        <v>0</v>
      </c>
      <c r="AO24" s="10">
        <f t="shared" si="25"/>
        <v>0</v>
      </c>
      <c r="AQ24" s="10">
        <f t="shared" si="9"/>
        <v>0</v>
      </c>
      <c r="AR24" s="10">
        <f t="shared" si="26"/>
        <v>0</v>
      </c>
      <c r="AT24" s="7">
        <f>IF($K24&lt;=$F$15,IF($F$41&lt;&gt;"",$F$41/1000,IF(ISERROR(VLOOKUP($F$3&amp;IF($G$4&lt;&gt;"",$G$4,"")&amp;IF($F$44&lt;&gt;"","_"&amp;$F$44,""),'表3）燃料価格'!$AF$9:$AG$25,2,0)),0,VLOOKUP($I24,'表3）燃料価格'!$A$6:$U$66,VLOOKUP($F$3&amp;IF($G$4&lt;&gt;"",$G$4,"")&amp;IF($F$44&lt;&gt;"","_"&amp;$F$44,""),'表3）燃料価格'!$AF$9:$AG$25,2,0)+VLOOKUP($F$42,'表3）燃料価格'!$AF$28:$AG$29,2,0),0)*IF($F$44="需要地価格",1,$F$8/$F$142))),"")</f>
        <v>0</v>
      </c>
      <c r="AV24" s="10">
        <f t="shared" si="10"/>
        <v>0</v>
      </c>
      <c r="AW24" s="10">
        <f t="shared" si="27"/>
        <v>0</v>
      </c>
      <c r="AY24" s="7">
        <f>IF(ISERROR(IF($K24&lt;=$F$15,VLOOKUP($I24,'表4）CO2価格'!$A$7:$E$67,VLOOKUP($F$49,'表4）CO2価格'!$H$10:$I$12,2,0),0)*$F$8/1000,"")),0,IF($K24&lt;=$F$15,VLOOKUP($I24,'表4）CO2価格'!$A$7:$E$67,VLOOKUP($F$49,'表4）CO2価格'!$H$10:$I$12,2,0),0)*$F$8/1000,""))</f>
        <v>0</v>
      </c>
      <c r="BA24" s="11">
        <f t="shared" si="11"/>
        <v>0</v>
      </c>
      <c r="BB24" s="10">
        <f t="shared" si="28"/>
        <v>0</v>
      </c>
      <c r="BD24" s="10">
        <f t="shared" si="12"/>
        <v>0</v>
      </c>
      <c r="BE24" s="10">
        <f t="shared" si="29"/>
        <v>0</v>
      </c>
      <c r="BG24" s="11">
        <f t="shared" si="13"/>
        <v>0</v>
      </c>
      <c r="BH24" s="10">
        <f t="shared" si="30"/>
        <v>0</v>
      </c>
      <c r="BJ24" s="7">
        <f t="shared" si="14"/>
        <v>0.7297986019863002</v>
      </c>
      <c r="BK24" s="158">
        <f t="shared" si="15"/>
        <v>10946.979029794504</v>
      </c>
      <c r="BL24" s="158">
        <f t="shared" si="16"/>
        <v>4216.6150130122014</v>
      </c>
      <c r="BM24" s="10"/>
      <c r="BN24" s="10">
        <f t="shared" si="31"/>
        <v>154711.06586278661</v>
      </c>
      <c r="BO24" s="10">
        <f t="shared" si="32"/>
        <v>115119.56267568599</v>
      </c>
      <c r="BQ24" s="10">
        <f t="shared" si="37"/>
        <v>5777.7789674244341</v>
      </c>
      <c r="BR24" s="10">
        <f t="shared" si="33"/>
        <v>4299.2101712788053</v>
      </c>
    </row>
    <row r="25" spans="3:70" x14ac:dyDescent="0.15">
      <c r="D25" s="81" t="s">
        <v>113</v>
      </c>
      <c r="F25" s="68">
        <v>0</v>
      </c>
      <c r="G25" s="81" t="s">
        <v>172</v>
      </c>
      <c r="I25" s="458">
        <f t="shared" si="34"/>
        <v>2040</v>
      </c>
      <c r="J25" s="470"/>
      <c r="K25" s="470">
        <f t="shared" si="35"/>
        <v>11</v>
      </c>
      <c r="L25" s="470"/>
      <c r="M25" s="40">
        <f t="shared" si="0"/>
        <v>0.72242127659876232</v>
      </c>
      <c r="N25" s="39"/>
      <c r="O25" s="72">
        <f t="shared" si="36"/>
        <v>238603.15030990195</v>
      </c>
      <c r="P25" s="41">
        <f t="shared" si="1"/>
        <v>0.14699999999999999</v>
      </c>
      <c r="Q25" s="39"/>
      <c r="R25" s="72">
        <f t="shared" si="17"/>
        <v>301960.80022891477</v>
      </c>
      <c r="S25" s="39"/>
      <c r="T25" s="72">
        <f t="shared" si="18"/>
        <v>301000</v>
      </c>
      <c r="U25" s="39"/>
      <c r="V25" s="72">
        <f t="shared" si="2"/>
        <v>35074.663095555581</v>
      </c>
      <c r="W25" s="72">
        <f t="shared" si="19"/>
        <v>25338.68288976276</v>
      </c>
      <c r="X25" s="39"/>
      <c r="Y25" s="72">
        <f t="shared" si="3"/>
        <v>0</v>
      </c>
      <c r="Z25" s="72">
        <f t="shared" si="20"/>
        <v>0</v>
      </c>
      <c r="AA25" s="39"/>
      <c r="AB25" s="72">
        <f t="shared" si="4"/>
        <v>0</v>
      </c>
      <c r="AC25" s="72">
        <f t="shared" si="21"/>
        <v>0</v>
      </c>
      <c r="AD25" s="39"/>
      <c r="AE25" s="72">
        <f t="shared" si="5"/>
        <v>0</v>
      </c>
      <c r="AF25" s="72">
        <f t="shared" si="22"/>
        <v>0</v>
      </c>
      <c r="AG25" s="39"/>
      <c r="AH25" s="72">
        <f t="shared" si="6"/>
        <v>15000</v>
      </c>
      <c r="AI25" s="72">
        <f t="shared" si="23"/>
        <v>10836.319148981434</v>
      </c>
      <c r="AJ25" s="39"/>
      <c r="AK25" s="72">
        <f t="shared" si="7"/>
        <v>0</v>
      </c>
      <c r="AL25" s="72">
        <f t="shared" si="24"/>
        <v>0</v>
      </c>
      <c r="AM25" s="39"/>
      <c r="AN25" s="72">
        <f t="shared" si="8"/>
        <v>0</v>
      </c>
      <c r="AO25" s="72">
        <f t="shared" si="25"/>
        <v>0</v>
      </c>
      <c r="AP25" s="39"/>
      <c r="AQ25" s="72">
        <f t="shared" si="9"/>
        <v>0</v>
      </c>
      <c r="AR25" s="72">
        <f t="shared" si="26"/>
        <v>0</v>
      </c>
      <c r="AS25" s="39"/>
      <c r="AT25" s="40">
        <f>IF($K25&lt;=$F$15,IF($F$41&lt;&gt;"",$F$41/1000,IF(ISERROR(VLOOKUP($F$3&amp;IF($G$4&lt;&gt;"",$G$4,"")&amp;IF($F$44&lt;&gt;"","_"&amp;$F$44,""),'表3）燃料価格'!$AF$9:$AG$25,2,0)),0,VLOOKUP($I25,'表3）燃料価格'!$A$6:$U$66,VLOOKUP($F$3&amp;IF($G$4&lt;&gt;"",$G$4,"")&amp;IF($F$44&lt;&gt;"","_"&amp;$F$44,""),'表3）燃料価格'!$AF$9:$AG$25,2,0)+VLOOKUP($F$42,'表3）燃料価格'!$AF$28:$AG$29,2,0),0)*IF($F$44="需要地価格",1,$F$8/$F$142))),"")</f>
        <v>0</v>
      </c>
      <c r="AU25" s="39"/>
      <c r="AV25" s="72">
        <f t="shared" si="10"/>
        <v>0</v>
      </c>
      <c r="AW25" s="72">
        <f t="shared" si="27"/>
        <v>0</v>
      </c>
      <c r="AX25" s="39"/>
      <c r="AY25" s="40">
        <f>IF(ISERROR(IF($K25&lt;=$F$15,VLOOKUP($I25,'表4）CO2価格'!$A$7:$E$67,VLOOKUP($F$49,'表4）CO2価格'!$H$10:$I$12,2,0),0)*$F$8/1000,"")),0,IF($K25&lt;=$F$15,VLOOKUP($I25,'表4）CO2価格'!$A$7:$E$67,VLOOKUP($F$49,'表4）CO2価格'!$H$10:$I$12,2,0),0)*$F$8/1000,""))</f>
        <v>0</v>
      </c>
      <c r="AZ25" s="39"/>
      <c r="BA25" s="42">
        <f t="shared" si="11"/>
        <v>0</v>
      </c>
      <c r="BB25" s="72">
        <f t="shared" si="28"/>
        <v>0</v>
      </c>
      <c r="BC25" s="39"/>
      <c r="BD25" s="72">
        <f t="shared" si="12"/>
        <v>0</v>
      </c>
      <c r="BE25" s="72">
        <f t="shared" si="29"/>
        <v>0</v>
      </c>
      <c r="BF25" s="39"/>
      <c r="BG25" s="42">
        <f t="shared" si="13"/>
        <v>0</v>
      </c>
      <c r="BH25" s="72">
        <f t="shared" si="30"/>
        <v>0</v>
      </c>
      <c r="BI25" s="39"/>
      <c r="BJ25" s="40">
        <f t="shared" si="14"/>
        <v>0.70716918797122119</v>
      </c>
      <c r="BK25" s="157">
        <f t="shared" si="15"/>
        <v>41369.397496316436</v>
      </c>
      <c r="BL25" s="157" t="str">
        <f t="shared" si="16"/>
        <v/>
      </c>
      <c r="BM25" s="72"/>
      <c r="BN25" s="72" t="str">
        <f t="shared" si="31"/>
        <v/>
      </c>
      <c r="BO25" s="72" t="str">
        <f t="shared" si="32"/>
        <v/>
      </c>
      <c r="BP25" s="39"/>
      <c r="BQ25" s="72">
        <f t="shared" si="37"/>
        <v>5748.8900725873118</v>
      </c>
      <c r="BR25" s="72">
        <f t="shared" si="33"/>
        <v>4153.1205052644773</v>
      </c>
    </row>
    <row r="26" spans="3:70" x14ac:dyDescent="0.15">
      <c r="D26" s="81" t="s">
        <v>114</v>
      </c>
      <c r="F26" s="66">
        <v>0</v>
      </c>
      <c r="G26" s="81" t="s">
        <v>172</v>
      </c>
      <c r="I26" s="459">
        <f t="shared" si="34"/>
        <v>2041</v>
      </c>
      <c r="K26" s="9">
        <f t="shared" si="35"/>
        <v>12</v>
      </c>
      <c r="M26" s="7">
        <f t="shared" si="0"/>
        <v>0.70137988019297326</v>
      </c>
      <c r="O26" s="10">
        <f t="shared" si="36"/>
        <v>203528.48721434636</v>
      </c>
      <c r="P26" s="29">
        <f t="shared" si="1"/>
        <v>0.16700000000000001</v>
      </c>
      <c r="R26" s="10">
        <f t="shared" si="17"/>
        <v>263710.26685397053</v>
      </c>
      <c r="T26" s="10">
        <f t="shared" si="18"/>
        <v>263000</v>
      </c>
      <c r="V26" s="10">
        <f t="shared" si="2"/>
        <v>33989.257364795842</v>
      </c>
      <c r="W26" s="10">
        <f t="shared" si="19"/>
        <v>23839.381258368641</v>
      </c>
      <c r="Y26" s="10">
        <f t="shared" si="3"/>
        <v>0</v>
      </c>
      <c r="Z26" s="10">
        <f t="shared" si="20"/>
        <v>0</v>
      </c>
      <c r="AB26" s="10">
        <f t="shared" si="4"/>
        <v>0</v>
      </c>
      <c r="AC26" s="10">
        <f t="shared" si="21"/>
        <v>0</v>
      </c>
      <c r="AE26" s="10">
        <f t="shared" si="5"/>
        <v>0</v>
      </c>
      <c r="AF26" s="10">
        <f t="shared" si="22"/>
        <v>0</v>
      </c>
      <c r="AH26" s="10">
        <f t="shared" si="6"/>
        <v>15000</v>
      </c>
      <c r="AI26" s="10">
        <f t="shared" si="23"/>
        <v>10520.698202894599</v>
      </c>
      <c r="AK26" s="10">
        <f t="shared" si="7"/>
        <v>0</v>
      </c>
      <c r="AL26" s="10">
        <f t="shared" si="24"/>
        <v>0</v>
      </c>
      <c r="AN26" s="10">
        <f t="shared" si="8"/>
        <v>0</v>
      </c>
      <c r="AO26" s="10">
        <f t="shared" si="25"/>
        <v>0</v>
      </c>
      <c r="AQ26" s="10">
        <f t="shared" si="9"/>
        <v>0</v>
      </c>
      <c r="AR26" s="10">
        <f t="shared" si="26"/>
        <v>0</v>
      </c>
      <c r="AT26" s="7">
        <f>IF($K26&lt;=$F$15,IF($F$41&lt;&gt;"",$F$41/1000,IF(ISERROR(VLOOKUP($F$3&amp;IF($G$4&lt;&gt;"",$G$4,"")&amp;IF($F$44&lt;&gt;"","_"&amp;$F$44,""),'表3）燃料価格'!$AF$9:$AG$25,2,0)),0,VLOOKUP($I26,'表3）燃料価格'!$A$6:$U$66,VLOOKUP($F$3&amp;IF($G$4&lt;&gt;"",$G$4,"")&amp;IF($F$44&lt;&gt;"","_"&amp;$F$44,""),'表3）燃料価格'!$AF$9:$AG$25,2,0)+VLOOKUP($F$42,'表3）燃料価格'!$AF$28:$AG$29,2,0),0)*IF($F$44="需要地価格",1,$F$8/$F$142))),"")</f>
        <v>0</v>
      </c>
      <c r="AV26" s="10">
        <f t="shared" si="10"/>
        <v>0</v>
      </c>
      <c r="AW26" s="10">
        <f t="shared" si="27"/>
        <v>0</v>
      </c>
      <c r="AY26" s="7">
        <f>IF(ISERROR(IF($K26&lt;=$F$15,VLOOKUP($I26,'表4）CO2価格'!$A$7:$E$67,VLOOKUP($F$49,'表4）CO2価格'!$H$10:$I$12,2,0),0)*$F$8/1000,"")),0,IF($K26&lt;=$F$15,VLOOKUP($I26,'表4）CO2価格'!$A$7:$E$67,VLOOKUP($F$49,'表4）CO2価格'!$H$10:$I$12,2,0),0)*$F$8/1000,""))</f>
        <v>0</v>
      </c>
      <c r="BA26" s="11">
        <f t="shared" si="11"/>
        <v>0</v>
      </c>
      <c r="BB26" s="10">
        <f t="shared" si="28"/>
        <v>0</v>
      </c>
      <c r="BD26" s="10">
        <f t="shared" si="12"/>
        <v>0</v>
      </c>
      <c r="BE26" s="10">
        <f t="shared" si="29"/>
        <v>0</v>
      </c>
      <c r="BG26" s="11">
        <f t="shared" si="13"/>
        <v>0</v>
      </c>
      <c r="BH26" s="10">
        <f t="shared" si="30"/>
        <v>0</v>
      </c>
      <c r="BJ26" s="7" t="str">
        <f t="shared" si="14"/>
        <v/>
      </c>
      <c r="BK26" s="158" t="str">
        <f t="shared" si="15"/>
        <v/>
      </c>
      <c r="BL26" s="158" t="str">
        <f t="shared" si="16"/>
        <v/>
      </c>
      <c r="BM26" s="10"/>
      <c r="BN26" s="10" t="str">
        <f t="shared" si="31"/>
        <v/>
      </c>
      <c r="BO26" s="10" t="str">
        <f t="shared" si="32"/>
        <v/>
      </c>
      <c r="BQ26" s="10">
        <f t="shared" si="37"/>
        <v>5720.1456222243751</v>
      </c>
      <c r="BR26" s="10">
        <f t="shared" si="33"/>
        <v>4011.9950512020928</v>
      </c>
    </row>
    <row r="27" spans="3:70" x14ac:dyDescent="0.15">
      <c r="D27" s="81" t="s">
        <v>115</v>
      </c>
      <c r="F27" s="59"/>
      <c r="G27" s="81" t="s">
        <v>175</v>
      </c>
      <c r="I27" s="458">
        <f t="shared" si="34"/>
        <v>2042</v>
      </c>
      <c r="J27" s="470"/>
      <c r="K27" s="470">
        <f t="shared" si="35"/>
        <v>13</v>
      </c>
      <c r="L27" s="470"/>
      <c r="M27" s="40">
        <f t="shared" si="0"/>
        <v>0.68095133999317792</v>
      </c>
      <c r="N27" s="39"/>
      <c r="O27" s="72">
        <f t="shared" si="36"/>
        <v>169539.22984955052</v>
      </c>
      <c r="P27" s="41" t="str">
        <f t="shared" si="1"/>
        <v>-</v>
      </c>
      <c r="Q27" s="39"/>
      <c r="R27" s="72">
        <f t="shared" si="17"/>
        <v>230305.07533253363</v>
      </c>
      <c r="S27" s="39"/>
      <c r="T27" s="72">
        <f t="shared" si="18"/>
        <v>230000</v>
      </c>
      <c r="U27" s="39"/>
      <c r="V27" s="72">
        <f t="shared" si="2"/>
        <v>33989.257364795842</v>
      </c>
      <c r="W27" s="72">
        <f t="shared" si="19"/>
        <v>23145.030347930719</v>
      </c>
      <c r="X27" s="39"/>
      <c r="Y27" s="72">
        <f t="shared" si="3"/>
        <v>0</v>
      </c>
      <c r="Z27" s="72">
        <f t="shared" si="20"/>
        <v>0</v>
      </c>
      <c r="AA27" s="39"/>
      <c r="AB27" s="72">
        <f t="shared" si="4"/>
        <v>0</v>
      </c>
      <c r="AC27" s="72">
        <f t="shared" si="21"/>
        <v>0</v>
      </c>
      <c r="AD27" s="39"/>
      <c r="AE27" s="72">
        <f t="shared" si="5"/>
        <v>0</v>
      </c>
      <c r="AF27" s="72">
        <f t="shared" si="22"/>
        <v>0</v>
      </c>
      <c r="AG27" s="39"/>
      <c r="AH27" s="72">
        <f t="shared" si="6"/>
        <v>15000</v>
      </c>
      <c r="AI27" s="72">
        <f t="shared" si="23"/>
        <v>10214.270099897669</v>
      </c>
      <c r="AJ27" s="39"/>
      <c r="AK27" s="72">
        <f t="shared" si="7"/>
        <v>0</v>
      </c>
      <c r="AL27" s="72">
        <f t="shared" si="24"/>
        <v>0</v>
      </c>
      <c r="AM27" s="39"/>
      <c r="AN27" s="72">
        <f t="shared" si="8"/>
        <v>0</v>
      </c>
      <c r="AO27" s="72">
        <f t="shared" si="25"/>
        <v>0</v>
      </c>
      <c r="AP27" s="39"/>
      <c r="AQ27" s="72">
        <f t="shared" si="9"/>
        <v>0</v>
      </c>
      <c r="AR27" s="72">
        <f t="shared" si="26"/>
        <v>0</v>
      </c>
      <c r="AS27" s="39"/>
      <c r="AT27" s="40">
        <f>IF($K27&lt;=$F$15,IF($F$41&lt;&gt;"",$F$41/1000,IF(ISERROR(VLOOKUP($F$3&amp;IF($G$4&lt;&gt;"",$G$4,"")&amp;IF($F$44&lt;&gt;"","_"&amp;$F$44,""),'表3）燃料価格'!$AF$9:$AG$25,2,0)),0,VLOOKUP($I27,'表3）燃料価格'!$A$6:$U$66,VLOOKUP($F$3&amp;IF($G$4&lt;&gt;"",$G$4,"")&amp;IF($F$44&lt;&gt;"","_"&amp;$F$44,""),'表3）燃料価格'!$AF$9:$AG$25,2,0)+VLOOKUP($F$42,'表3）燃料価格'!$AF$28:$AG$29,2,0),0)*IF($F$44="需要地価格",1,$F$8/$F$142))),"")</f>
        <v>0</v>
      </c>
      <c r="AU27" s="39"/>
      <c r="AV27" s="72">
        <f t="shared" si="10"/>
        <v>0</v>
      </c>
      <c r="AW27" s="72">
        <f t="shared" si="27"/>
        <v>0</v>
      </c>
      <c r="AX27" s="39"/>
      <c r="AY27" s="40">
        <f>IF(ISERROR(IF($K27&lt;=$F$15,VLOOKUP($I27,'表4）CO2価格'!$A$7:$E$67,VLOOKUP($F$49,'表4）CO2価格'!$H$10:$I$12,2,0),0)*$F$8/1000,"")),0,IF($K27&lt;=$F$15,VLOOKUP($I27,'表4）CO2価格'!$A$7:$E$67,VLOOKUP($F$49,'表4）CO2価格'!$H$10:$I$12,2,0),0)*$F$8/1000,""))</f>
        <v>0</v>
      </c>
      <c r="AZ27" s="39"/>
      <c r="BA27" s="42">
        <f t="shared" si="11"/>
        <v>0</v>
      </c>
      <c r="BB27" s="72">
        <f t="shared" si="28"/>
        <v>0</v>
      </c>
      <c r="BC27" s="39"/>
      <c r="BD27" s="72">
        <f t="shared" si="12"/>
        <v>0</v>
      </c>
      <c r="BE27" s="72">
        <f t="shared" si="29"/>
        <v>0</v>
      </c>
      <c r="BF27" s="39"/>
      <c r="BG27" s="42">
        <f t="shared" si="13"/>
        <v>0</v>
      </c>
      <c r="BH27" s="72">
        <f t="shared" si="30"/>
        <v>0</v>
      </c>
      <c r="BI27" s="39"/>
      <c r="BJ27" s="40" t="str">
        <f t="shared" si="14"/>
        <v/>
      </c>
      <c r="BK27" s="157" t="str">
        <f t="shared" si="15"/>
        <v/>
      </c>
      <c r="BL27" s="157" t="str">
        <f t="shared" si="16"/>
        <v/>
      </c>
      <c r="BM27" s="72"/>
      <c r="BN27" s="72" t="str">
        <f t="shared" si="31"/>
        <v/>
      </c>
      <c r="BO27" s="72" t="str">
        <f t="shared" si="32"/>
        <v/>
      </c>
      <c r="BP27" s="39"/>
      <c r="BQ27" s="72">
        <f t="shared" si="37"/>
        <v>5691.5448941132536</v>
      </c>
      <c r="BR27" s="72">
        <f t="shared" si="33"/>
        <v>3875.66512227775</v>
      </c>
    </row>
    <row r="28" spans="3:70" x14ac:dyDescent="0.15">
      <c r="D28" s="82" t="s">
        <v>86</v>
      </c>
      <c r="F28" s="373">
        <f>F118*5%/10^8</f>
        <v>5.8500000000000002E-4</v>
      </c>
      <c r="G28" s="81" t="s">
        <v>176</v>
      </c>
      <c r="I28" s="459">
        <f t="shared" si="34"/>
        <v>2043</v>
      </c>
      <c r="K28" s="9">
        <f t="shared" si="35"/>
        <v>14</v>
      </c>
      <c r="M28" s="7">
        <f t="shared" si="0"/>
        <v>0.66111780581861923</v>
      </c>
      <c r="O28" s="10">
        <f t="shared" si="36"/>
        <v>135549.97248475469</v>
      </c>
      <c r="P28" s="29" t="str">
        <f t="shared" si="1"/>
        <v>-</v>
      </c>
      <c r="R28" s="10">
        <f t="shared" si="17"/>
        <v>201131.44761745323</v>
      </c>
      <c r="T28" s="10">
        <f t="shared" si="18"/>
        <v>201000</v>
      </c>
      <c r="V28" s="10">
        <f t="shared" si="2"/>
        <v>33989.257364795842</v>
      </c>
      <c r="W28" s="10">
        <f t="shared" si="19"/>
        <v>22470.903250418171</v>
      </c>
      <c r="Y28" s="10">
        <f t="shared" si="3"/>
        <v>0</v>
      </c>
      <c r="Z28" s="10">
        <f t="shared" si="20"/>
        <v>0</v>
      </c>
      <c r="AB28" s="10">
        <f t="shared" si="4"/>
        <v>0</v>
      </c>
      <c r="AC28" s="10">
        <f t="shared" si="21"/>
        <v>0</v>
      </c>
      <c r="AE28" s="10">
        <f t="shared" si="5"/>
        <v>0</v>
      </c>
      <c r="AF28" s="10">
        <f t="shared" si="22"/>
        <v>0</v>
      </c>
      <c r="AH28" s="10">
        <f t="shared" si="6"/>
        <v>15000</v>
      </c>
      <c r="AI28" s="10">
        <f t="shared" si="23"/>
        <v>9916.7670872792878</v>
      </c>
      <c r="AK28" s="10">
        <f t="shared" si="7"/>
        <v>0</v>
      </c>
      <c r="AL28" s="10">
        <f t="shared" si="24"/>
        <v>0</v>
      </c>
      <c r="AN28" s="10">
        <f t="shared" si="8"/>
        <v>0</v>
      </c>
      <c r="AO28" s="10">
        <f t="shared" si="25"/>
        <v>0</v>
      </c>
      <c r="AQ28" s="10">
        <f t="shared" si="9"/>
        <v>0</v>
      </c>
      <c r="AR28" s="10">
        <f t="shared" si="26"/>
        <v>0</v>
      </c>
      <c r="AT28" s="7">
        <f>IF($K28&lt;=$F$15,IF($F$41&lt;&gt;"",$F$41/1000,IF(ISERROR(VLOOKUP($F$3&amp;IF($G$4&lt;&gt;"",$G$4,"")&amp;IF($F$44&lt;&gt;"","_"&amp;$F$44,""),'表3）燃料価格'!$AF$9:$AG$25,2,0)),0,VLOOKUP($I28,'表3）燃料価格'!$A$6:$U$66,VLOOKUP($F$3&amp;IF($G$4&lt;&gt;"",$G$4,"")&amp;IF($F$44&lt;&gt;"","_"&amp;$F$44,""),'表3）燃料価格'!$AF$9:$AG$25,2,0)+VLOOKUP($F$42,'表3）燃料価格'!$AF$28:$AG$29,2,0),0)*IF($F$44="需要地価格",1,$F$8/$F$142))),"")</f>
        <v>0</v>
      </c>
      <c r="AV28" s="10">
        <f t="shared" si="10"/>
        <v>0</v>
      </c>
      <c r="AW28" s="10">
        <f t="shared" si="27"/>
        <v>0</v>
      </c>
      <c r="AY28" s="7">
        <f>IF(ISERROR(IF($K28&lt;=$F$15,VLOOKUP($I28,'表4）CO2価格'!$A$7:$E$67,VLOOKUP($F$49,'表4）CO2価格'!$H$10:$I$12,2,0),0)*$F$8/1000,"")),0,IF($K28&lt;=$F$15,VLOOKUP($I28,'表4）CO2価格'!$A$7:$E$67,VLOOKUP($F$49,'表4）CO2価格'!$H$10:$I$12,2,0),0)*$F$8/1000,""))</f>
        <v>0</v>
      </c>
      <c r="BA28" s="11">
        <f t="shared" si="11"/>
        <v>0</v>
      </c>
      <c r="BB28" s="10">
        <f t="shared" si="28"/>
        <v>0</v>
      </c>
      <c r="BD28" s="10">
        <f t="shared" si="12"/>
        <v>0</v>
      </c>
      <c r="BE28" s="10">
        <f t="shared" si="29"/>
        <v>0</v>
      </c>
      <c r="BG28" s="11">
        <f t="shared" si="13"/>
        <v>0</v>
      </c>
      <c r="BH28" s="10">
        <f t="shared" si="30"/>
        <v>0</v>
      </c>
      <c r="BJ28" s="7" t="str">
        <f t="shared" si="14"/>
        <v/>
      </c>
      <c r="BK28" s="158" t="str">
        <f t="shared" si="15"/>
        <v/>
      </c>
      <c r="BL28" s="158" t="str">
        <f t="shared" si="16"/>
        <v/>
      </c>
      <c r="BM28" s="10"/>
      <c r="BN28" s="10" t="str">
        <f t="shared" si="31"/>
        <v/>
      </c>
      <c r="BO28" s="10" t="str">
        <f t="shared" si="32"/>
        <v/>
      </c>
      <c r="BQ28" s="10">
        <f t="shared" si="37"/>
        <v>5663.0871696426875</v>
      </c>
      <c r="BR28" s="10">
        <f t="shared" si="33"/>
        <v>3743.9677637537484</v>
      </c>
    </row>
    <row r="29" spans="3:70" x14ac:dyDescent="0.15">
      <c r="D29" s="81" t="s">
        <v>116</v>
      </c>
      <c r="F29" s="59">
        <v>1</v>
      </c>
      <c r="G29" s="81" t="s">
        <v>108</v>
      </c>
      <c r="I29" s="458">
        <f t="shared" si="34"/>
        <v>2044</v>
      </c>
      <c r="J29" s="470"/>
      <c r="K29" s="470">
        <f t="shared" si="35"/>
        <v>15</v>
      </c>
      <c r="L29" s="470"/>
      <c r="M29" s="40">
        <f t="shared" si="0"/>
        <v>0.64186194739671765</v>
      </c>
      <c r="N29" s="39"/>
      <c r="O29" s="72">
        <f t="shared" si="36"/>
        <v>101560.71511995886</v>
      </c>
      <c r="P29" s="41" t="str">
        <f t="shared" si="1"/>
        <v>-</v>
      </c>
      <c r="Q29" s="39"/>
      <c r="R29" s="72">
        <f t="shared" si="17"/>
        <v>175653.35528225632</v>
      </c>
      <c r="S29" s="39"/>
      <c r="T29" s="72">
        <f t="shared" si="18"/>
        <v>175000</v>
      </c>
      <c r="U29" s="39"/>
      <c r="V29" s="72">
        <f t="shared" si="2"/>
        <v>33989.257364795842</v>
      </c>
      <c r="W29" s="72">
        <f t="shared" si="19"/>
        <v>21816.410922736086</v>
      </c>
      <c r="X29" s="39"/>
      <c r="Y29" s="72">
        <f t="shared" si="3"/>
        <v>0</v>
      </c>
      <c r="Z29" s="72">
        <f t="shared" si="20"/>
        <v>0</v>
      </c>
      <c r="AA29" s="39"/>
      <c r="AB29" s="72">
        <f t="shared" si="4"/>
        <v>0</v>
      </c>
      <c r="AC29" s="72">
        <f t="shared" si="21"/>
        <v>0</v>
      </c>
      <c r="AD29" s="39"/>
      <c r="AE29" s="72">
        <f t="shared" si="5"/>
        <v>0</v>
      </c>
      <c r="AF29" s="72">
        <f t="shared" si="22"/>
        <v>0</v>
      </c>
      <c r="AG29" s="39"/>
      <c r="AH29" s="72">
        <f t="shared" si="6"/>
        <v>15000</v>
      </c>
      <c r="AI29" s="72">
        <f t="shared" si="23"/>
        <v>9627.9292109507642</v>
      </c>
      <c r="AJ29" s="39"/>
      <c r="AK29" s="72">
        <f t="shared" si="7"/>
        <v>0</v>
      </c>
      <c r="AL29" s="72">
        <f t="shared" si="24"/>
        <v>0</v>
      </c>
      <c r="AM29" s="39"/>
      <c r="AN29" s="72">
        <f t="shared" si="8"/>
        <v>0</v>
      </c>
      <c r="AO29" s="72">
        <f t="shared" si="25"/>
        <v>0</v>
      </c>
      <c r="AP29" s="39"/>
      <c r="AQ29" s="72">
        <f t="shared" si="9"/>
        <v>0</v>
      </c>
      <c r="AR29" s="72">
        <f t="shared" si="26"/>
        <v>0</v>
      </c>
      <c r="AS29" s="39"/>
      <c r="AT29" s="40">
        <f>IF($K29&lt;=$F$15,IF($F$41&lt;&gt;"",$F$41/1000,IF(ISERROR(VLOOKUP($F$3&amp;IF($G$4&lt;&gt;"",$G$4,"")&amp;IF($F$44&lt;&gt;"","_"&amp;$F$44,""),'表3）燃料価格'!$AF$9:$AG$25,2,0)),0,VLOOKUP($I29,'表3）燃料価格'!$A$6:$U$66,VLOOKUP($F$3&amp;IF($G$4&lt;&gt;"",$G$4,"")&amp;IF($F$44&lt;&gt;"","_"&amp;$F$44,""),'表3）燃料価格'!$AF$9:$AG$25,2,0)+VLOOKUP($F$42,'表3）燃料価格'!$AF$28:$AG$29,2,0),0)*IF($F$44="需要地価格",1,$F$8/$F$142))),"")</f>
        <v>0</v>
      </c>
      <c r="AU29" s="39"/>
      <c r="AV29" s="72">
        <f t="shared" si="10"/>
        <v>0</v>
      </c>
      <c r="AW29" s="72">
        <f t="shared" si="27"/>
        <v>0</v>
      </c>
      <c r="AX29" s="39"/>
      <c r="AY29" s="40">
        <f>IF(ISERROR(IF($K29&lt;=$F$15,VLOOKUP($I29,'表4）CO2価格'!$A$7:$E$67,VLOOKUP($F$49,'表4）CO2価格'!$H$10:$I$12,2,0),0)*$F$8/1000,"")),0,IF($K29&lt;=$F$15,VLOOKUP($I29,'表4）CO2価格'!$A$7:$E$67,VLOOKUP($F$49,'表4）CO2価格'!$H$10:$I$12,2,0),0)*$F$8/1000,""))</f>
        <v>0</v>
      </c>
      <c r="AZ29" s="39"/>
      <c r="BA29" s="42">
        <f t="shared" si="11"/>
        <v>0</v>
      </c>
      <c r="BB29" s="72">
        <f t="shared" si="28"/>
        <v>0</v>
      </c>
      <c r="BC29" s="39"/>
      <c r="BD29" s="72">
        <f t="shared" si="12"/>
        <v>0</v>
      </c>
      <c r="BE29" s="72">
        <f t="shared" si="29"/>
        <v>0</v>
      </c>
      <c r="BF29" s="39"/>
      <c r="BG29" s="42">
        <f t="shared" si="13"/>
        <v>0</v>
      </c>
      <c r="BH29" s="72">
        <f t="shared" si="30"/>
        <v>0</v>
      </c>
      <c r="BI29" s="39"/>
      <c r="BJ29" s="40" t="str">
        <f t="shared" si="14"/>
        <v/>
      </c>
      <c r="BK29" s="157" t="str">
        <f t="shared" si="15"/>
        <v/>
      </c>
      <c r="BL29" s="157" t="str">
        <f t="shared" si="16"/>
        <v/>
      </c>
      <c r="BM29" s="72"/>
      <c r="BN29" s="72" t="str">
        <f t="shared" si="31"/>
        <v/>
      </c>
      <c r="BO29" s="72" t="str">
        <f t="shared" si="32"/>
        <v/>
      </c>
      <c r="BP29" s="39"/>
      <c r="BQ29" s="72">
        <f t="shared" si="37"/>
        <v>5634.7717337944741</v>
      </c>
      <c r="BR29" s="72">
        <f t="shared" si="33"/>
        <v>3616.7455581893</v>
      </c>
    </row>
    <row r="30" spans="3:70" x14ac:dyDescent="0.15">
      <c r="D30" s="81" t="s">
        <v>117</v>
      </c>
      <c r="F30" s="59"/>
      <c r="G30" s="81" t="s">
        <v>176</v>
      </c>
      <c r="I30" s="459">
        <f t="shared" si="34"/>
        <v>2045</v>
      </c>
      <c r="K30" s="9">
        <f t="shared" si="35"/>
        <v>16</v>
      </c>
      <c r="M30" s="7">
        <f t="shared" si="0"/>
        <v>0.62316693922011435</v>
      </c>
      <c r="O30" s="10">
        <f t="shared" si="36"/>
        <v>67571.457755163021</v>
      </c>
      <c r="P30" s="29" t="str">
        <f t="shared" si="1"/>
        <v>-</v>
      </c>
      <c r="R30" s="10">
        <f t="shared" si="17"/>
        <v>153402.67067832305</v>
      </c>
      <c r="T30" s="10">
        <f t="shared" si="18"/>
        <v>153000</v>
      </c>
      <c r="V30" s="10">
        <f t="shared" si="2"/>
        <v>33989.257364795842</v>
      </c>
      <c r="W30" s="10">
        <f t="shared" si="19"/>
        <v>21180.981478384554</v>
      </c>
      <c r="Y30" s="10">
        <f t="shared" si="3"/>
        <v>0</v>
      </c>
      <c r="Z30" s="10">
        <f t="shared" si="20"/>
        <v>0</v>
      </c>
      <c r="AB30" s="10">
        <f t="shared" si="4"/>
        <v>0</v>
      </c>
      <c r="AC30" s="10">
        <f t="shared" si="21"/>
        <v>0</v>
      </c>
      <c r="AE30" s="10">
        <f t="shared" si="5"/>
        <v>0</v>
      </c>
      <c r="AF30" s="10">
        <f t="shared" si="22"/>
        <v>0</v>
      </c>
      <c r="AH30" s="10">
        <f t="shared" si="6"/>
        <v>15000</v>
      </c>
      <c r="AI30" s="10">
        <f t="shared" si="23"/>
        <v>9347.5040883017155</v>
      </c>
      <c r="AK30" s="10">
        <f t="shared" si="7"/>
        <v>0</v>
      </c>
      <c r="AL30" s="10">
        <f t="shared" si="24"/>
        <v>0</v>
      </c>
      <c r="AN30" s="10">
        <f t="shared" si="8"/>
        <v>0</v>
      </c>
      <c r="AO30" s="10">
        <f t="shared" si="25"/>
        <v>0</v>
      </c>
      <c r="AQ30" s="10">
        <f t="shared" si="9"/>
        <v>0</v>
      </c>
      <c r="AR30" s="10">
        <f t="shared" si="26"/>
        <v>0</v>
      </c>
      <c r="AT30" s="7">
        <f>IF($K30&lt;=$F$15,IF($F$41&lt;&gt;"",$F$41/1000,IF(ISERROR(VLOOKUP($F$3&amp;IF($G$4&lt;&gt;"",$G$4,"")&amp;IF($F$44&lt;&gt;"","_"&amp;$F$44,""),'表3）燃料価格'!$AF$9:$AG$25,2,0)),0,VLOOKUP($I30,'表3）燃料価格'!$A$6:$U$66,VLOOKUP($F$3&amp;IF($G$4&lt;&gt;"",$G$4,"")&amp;IF($F$44&lt;&gt;"","_"&amp;$F$44,""),'表3）燃料価格'!$AF$9:$AG$25,2,0)+VLOOKUP($F$42,'表3）燃料価格'!$AF$28:$AG$29,2,0),0)*IF($F$44="需要地価格",1,$F$8/$F$142))),"")</f>
        <v>0</v>
      </c>
      <c r="AV30" s="10">
        <f t="shared" si="10"/>
        <v>0</v>
      </c>
      <c r="AW30" s="10">
        <f t="shared" si="27"/>
        <v>0</v>
      </c>
      <c r="AY30" s="7">
        <f>IF(ISERROR(IF($K30&lt;=$F$15,VLOOKUP($I30,'表4）CO2価格'!$A$7:$E$67,VLOOKUP($F$49,'表4）CO2価格'!$H$10:$I$12,2,0),0)*$F$8/1000,"")),0,IF($K30&lt;=$F$15,VLOOKUP($I30,'表4）CO2価格'!$A$7:$E$67,VLOOKUP($F$49,'表4）CO2価格'!$H$10:$I$12,2,0),0)*$F$8/1000,""))</f>
        <v>0</v>
      </c>
      <c r="BA30" s="11">
        <f t="shared" si="11"/>
        <v>0</v>
      </c>
      <c r="BB30" s="10">
        <f t="shared" si="28"/>
        <v>0</v>
      </c>
      <c r="BD30" s="10">
        <f t="shared" si="12"/>
        <v>0</v>
      </c>
      <c r="BE30" s="10">
        <f t="shared" si="29"/>
        <v>0</v>
      </c>
      <c r="BG30" s="11">
        <f t="shared" si="13"/>
        <v>0</v>
      </c>
      <c r="BH30" s="10">
        <f t="shared" si="30"/>
        <v>0</v>
      </c>
      <c r="BJ30" s="7" t="str">
        <f t="shared" si="14"/>
        <v/>
      </c>
      <c r="BK30" s="158" t="str">
        <f t="shared" si="15"/>
        <v/>
      </c>
      <c r="BL30" s="158" t="str">
        <f t="shared" si="16"/>
        <v/>
      </c>
      <c r="BM30" s="10"/>
      <c r="BN30" s="10" t="str">
        <f t="shared" si="31"/>
        <v/>
      </c>
      <c r="BO30" s="10" t="str">
        <f t="shared" si="32"/>
        <v/>
      </c>
      <c r="BQ30" s="10">
        <f t="shared" si="37"/>
        <v>5606.5978751255016</v>
      </c>
      <c r="BR30" s="10">
        <f t="shared" si="33"/>
        <v>3493.8464372799558</v>
      </c>
    </row>
    <row r="31" spans="3:70" x14ac:dyDescent="0.15">
      <c r="I31" s="458">
        <f t="shared" si="34"/>
        <v>2046</v>
      </c>
      <c r="J31" s="470"/>
      <c r="K31" s="470">
        <f t="shared" si="35"/>
        <v>17</v>
      </c>
      <c r="L31" s="470"/>
      <c r="M31" s="40">
        <f t="shared" si="0"/>
        <v>0.60501644584477121</v>
      </c>
      <c r="N31" s="39"/>
      <c r="O31" s="72">
        <f t="shared" si="36"/>
        <v>33582.200390367179</v>
      </c>
      <c r="P31" s="41" t="str">
        <f t="shared" si="1"/>
        <v>-</v>
      </c>
      <c r="Q31" s="39"/>
      <c r="R31" s="72">
        <f t="shared" si="17"/>
        <v>133970.56568277898</v>
      </c>
      <c r="S31" s="39"/>
      <c r="T31" s="72">
        <f t="shared" si="18"/>
        <v>133000</v>
      </c>
      <c r="U31" s="39"/>
      <c r="V31" s="72">
        <f t="shared" si="2"/>
        <v>33582.200390367179</v>
      </c>
      <c r="W31" s="72">
        <f t="shared" si="19"/>
        <v>20317.783523826838</v>
      </c>
      <c r="X31" s="39"/>
      <c r="Y31" s="72">
        <f t="shared" si="3"/>
        <v>0</v>
      </c>
      <c r="Z31" s="72">
        <f t="shared" si="20"/>
        <v>0</v>
      </c>
      <c r="AA31" s="39"/>
      <c r="AB31" s="72">
        <f t="shared" si="4"/>
        <v>0</v>
      </c>
      <c r="AC31" s="72">
        <f t="shared" si="21"/>
        <v>0</v>
      </c>
      <c r="AD31" s="39"/>
      <c r="AE31" s="72">
        <f t="shared" si="5"/>
        <v>0</v>
      </c>
      <c r="AF31" s="72">
        <f t="shared" si="22"/>
        <v>0</v>
      </c>
      <c r="AG31" s="39"/>
      <c r="AH31" s="72">
        <f t="shared" si="6"/>
        <v>15000</v>
      </c>
      <c r="AI31" s="72">
        <f t="shared" si="23"/>
        <v>9075.246687671568</v>
      </c>
      <c r="AJ31" s="39"/>
      <c r="AK31" s="72">
        <f t="shared" si="7"/>
        <v>0</v>
      </c>
      <c r="AL31" s="72">
        <f t="shared" si="24"/>
        <v>0</v>
      </c>
      <c r="AM31" s="39"/>
      <c r="AN31" s="72">
        <f t="shared" si="8"/>
        <v>0</v>
      </c>
      <c r="AO31" s="72">
        <f t="shared" si="25"/>
        <v>0</v>
      </c>
      <c r="AP31" s="39"/>
      <c r="AQ31" s="72">
        <f t="shared" si="9"/>
        <v>0</v>
      </c>
      <c r="AR31" s="72">
        <f t="shared" si="26"/>
        <v>0</v>
      </c>
      <c r="AS31" s="39"/>
      <c r="AT31" s="40">
        <f>IF($K31&lt;=$F$15,IF($F$41&lt;&gt;"",$F$41/1000,IF(ISERROR(VLOOKUP($F$3&amp;IF($G$4&lt;&gt;"",$G$4,"")&amp;IF($F$44&lt;&gt;"","_"&amp;$F$44,""),'表3）燃料価格'!$AF$9:$AG$25,2,0)),0,VLOOKUP($I31,'表3）燃料価格'!$A$6:$U$66,VLOOKUP($F$3&amp;IF($G$4&lt;&gt;"",$G$4,"")&amp;IF($F$44&lt;&gt;"","_"&amp;$F$44,""),'表3）燃料価格'!$AF$9:$AG$25,2,0)+VLOOKUP($F$42,'表3）燃料価格'!$AF$28:$AG$29,2,0),0)*IF($F$44="需要地価格",1,$F$8/$F$142))),"")</f>
        <v>0</v>
      </c>
      <c r="AU31" s="39"/>
      <c r="AV31" s="72">
        <f t="shared" si="10"/>
        <v>0</v>
      </c>
      <c r="AW31" s="72">
        <f t="shared" si="27"/>
        <v>0</v>
      </c>
      <c r="AX31" s="39"/>
      <c r="AY31" s="40">
        <f>IF(ISERROR(IF($K31&lt;=$F$15,VLOOKUP($I31,'表4）CO2価格'!$A$7:$E$67,VLOOKUP($F$49,'表4）CO2価格'!$H$10:$I$12,2,0),0)*$F$8/1000,"")),0,IF($K31&lt;=$F$15,VLOOKUP($I31,'表4）CO2価格'!$A$7:$E$67,VLOOKUP($F$49,'表4）CO2価格'!$H$10:$I$12,2,0),0)*$F$8/1000,""))</f>
        <v>0</v>
      </c>
      <c r="AZ31" s="39"/>
      <c r="BA31" s="42">
        <f t="shared" si="11"/>
        <v>0</v>
      </c>
      <c r="BB31" s="72">
        <f t="shared" si="28"/>
        <v>0</v>
      </c>
      <c r="BC31" s="39"/>
      <c r="BD31" s="72">
        <f t="shared" si="12"/>
        <v>0</v>
      </c>
      <c r="BE31" s="72">
        <f t="shared" si="29"/>
        <v>0</v>
      </c>
      <c r="BF31" s="39"/>
      <c r="BG31" s="42">
        <f t="shared" si="13"/>
        <v>0</v>
      </c>
      <c r="BH31" s="72">
        <f t="shared" si="30"/>
        <v>0</v>
      </c>
      <c r="BI31" s="39"/>
      <c r="BJ31" s="40" t="str">
        <f t="shared" si="14"/>
        <v/>
      </c>
      <c r="BK31" s="157" t="str">
        <f t="shared" si="15"/>
        <v/>
      </c>
      <c r="BL31" s="157" t="str">
        <f t="shared" si="16"/>
        <v/>
      </c>
      <c r="BM31" s="72"/>
      <c r="BN31" s="72" t="str">
        <f t="shared" si="31"/>
        <v/>
      </c>
      <c r="BO31" s="72" t="str">
        <f t="shared" si="32"/>
        <v/>
      </c>
      <c r="BP31" s="39"/>
      <c r="BQ31" s="72">
        <f t="shared" si="37"/>
        <v>5578.5648857498736</v>
      </c>
      <c r="BR31" s="72">
        <f t="shared" si="33"/>
        <v>3375.1235000908309</v>
      </c>
    </row>
    <row r="32" spans="3:70" x14ac:dyDescent="0.15">
      <c r="C32" s="89" t="s">
        <v>507</v>
      </c>
      <c r="D32" s="101"/>
      <c r="E32" s="101"/>
      <c r="F32" s="89"/>
      <c r="G32" s="101"/>
      <c r="I32" s="459">
        <f t="shared" si="34"/>
        <v>2047</v>
      </c>
      <c r="K32" s="9">
        <f t="shared" si="35"/>
        <v>18</v>
      </c>
      <c r="M32" s="7">
        <f t="shared" si="0"/>
        <v>0.5873946076162827</v>
      </c>
      <c r="O32" s="10">
        <f t="shared" si="36"/>
        <v>0</v>
      </c>
      <c r="P32" s="29" t="str">
        <f t="shared" si="1"/>
        <v>-</v>
      </c>
      <c r="R32" s="10">
        <f t="shared" si="17"/>
        <v>117000.00000000001</v>
      </c>
      <c r="T32" s="10">
        <f t="shared" si="18"/>
        <v>117000</v>
      </c>
      <c r="V32" s="10">
        <f t="shared" si="2"/>
        <v>0</v>
      </c>
      <c r="W32" s="10">
        <f t="shared" si="19"/>
        <v>0</v>
      </c>
      <c r="Y32" s="10">
        <f t="shared" si="3"/>
        <v>0</v>
      </c>
      <c r="Z32" s="10">
        <f t="shared" si="20"/>
        <v>0</v>
      </c>
      <c r="AB32" s="10">
        <f t="shared" si="4"/>
        <v>0</v>
      </c>
      <c r="AC32" s="10">
        <f t="shared" si="21"/>
        <v>0</v>
      </c>
      <c r="AE32" s="10">
        <f t="shared" si="5"/>
        <v>0</v>
      </c>
      <c r="AF32" s="10">
        <f t="shared" si="22"/>
        <v>0</v>
      </c>
      <c r="AH32" s="10">
        <f t="shared" si="6"/>
        <v>15000</v>
      </c>
      <c r="AI32" s="10">
        <f t="shared" si="23"/>
        <v>8810.9191142442414</v>
      </c>
      <c r="AK32" s="10">
        <f t="shared" si="7"/>
        <v>0</v>
      </c>
      <c r="AL32" s="10">
        <f t="shared" si="24"/>
        <v>0</v>
      </c>
      <c r="AN32" s="10">
        <f t="shared" si="8"/>
        <v>0</v>
      </c>
      <c r="AO32" s="10">
        <f t="shared" si="25"/>
        <v>0</v>
      </c>
      <c r="AQ32" s="10">
        <f t="shared" si="9"/>
        <v>0</v>
      </c>
      <c r="AR32" s="10">
        <f t="shared" si="26"/>
        <v>0</v>
      </c>
      <c r="AT32" s="7">
        <f>IF($K32&lt;=$F$15,IF($F$41&lt;&gt;"",$F$41/1000,IF(ISERROR(VLOOKUP($F$3&amp;IF($G$4&lt;&gt;"",$G$4,"")&amp;IF($F$44&lt;&gt;"","_"&amp;$F$44,""),'表3）燃料価格'!$AF$9:$AG$25,2,0)),0,VLOOKUP($I32,'表3）燃料価格'!$A$6:$U$66,VLOOKUP($F$3&amp;IF($G$4&lt;&gt;"",$G$4,"")&amp;IF($F$44&lt;&gt;"","_"&amp;$F$44,""),'表3）燃料価格'!$AF$9:$AG$25,2,0)+VLOOKUP($F$42,'表3）燃料価格'!$AF$28:$AG$29,2,0),0)*IF($F$44="需要地価格",1,$F$8/$F$142))),"")</f>
        <v>0</v>
      </c>
      <c r="AV32" s="10">
        <f t="shared" si="10"/>
        <v>0</v>
      </c>
      <c r="AW32" s="10">
        <f t="shared" si="27"/>
        <v>0</v>
      </c>
      <c r="AY32" s="7">
        <f>IF(ISERROR(IF($K32&lt;=$F$15,VLOOKUP($I32,'表4）CO2価格'!$A$7:$E$67,VLOOKUP($F$49,'表4）CO2価格'!$H$10:$I$12,2,0),0)*$F$8/1000,"")),0,IF($K32&lt;=$F$15,VLOOKUP($I32,'表4）CO2価格'!$A$7:$E$67,VLOOKUP($F$49,'表4）CO2価格'!$H$10:$I$12,2,0),0)*$F$8/1000,""))</f>
        <v>0</v>
      </c>
      <c r="BA32" s="11">
        <f t="shared" si="11"/>
        <v>0</v>
      </c>
      <c r="BB32" s="10">
        <f t="shared" si="28"/>
        <v>0</v>
      </c>
      <c r="BD32" s="10">
        <f t="shared" si="12"/>
        <v>0</v>
      </c>
      <c r="BE32" s="10">
        <f t="shared" si="29"/>
        <v>0</v>
      </c>
      <c r="BG32" s="11">
        <f t="shared" si="13"/>
        <v>0</v>
      </c>
      <c r="BH32" s="10">
        <f t="shared" si="30"/>
        <v>0</v>
      </c>
      <c r="BJ32" s="7" t="str">
        <f t="shared" si="14"/>
        <v/>
      </c>
      <c r="BK32" s="158" t="str">
        <f t="shared" si="15"/>
        <v/>
      </c>
      <c r="BL32" s="158" t="str">
        <f t="shared" si="16"/>
        <v/>
      </c>
      <c r="BM32" s="10"/>
      <c r="BN32" s="10" t="str">
        <f t="shared" si="31"/>
        <v/>
      </c>
      <c r="BO32" s="10" t="str">
        <f t="shared" si="32"/>
        <v/>
      </c>
      <c r="BQ32" s="10">
        <f t="shared" si="37"/>
        <v>5550.6720613211246</v>
      </c>
      <c r="BR32" s="10">
        <f t="shared" si="33"/>
        <v>3260.434837466385</v>
      </c>
    </row>
    <row r="33" spans="3:70" x14ac:dyDescent="0.15">
      <c r="I33" s="458">
        <f t="shared" si="34"/>
        <v>2048</v>
      </c>
      <c r="J33" s="470"/>
      <c r="K33" s="470">
        <f t="shared" si="35"/>
        <v>19</v>
      </c>
      <c r="L33" s="470"/>
      <c r="M33" s="40">
        <f t="shared" si="0"/>
        <v>0.57028602681192497</v>
      </c>
      <c r="N33" s="39"/>
      <c r="O33" s="72">
        <f t="shared" si="36"/>
        <v>0</v>
      </c>
      <c r="P33" s="41" t="str">
        <f t="shared" si="1"/>
        <v>-</v>
      </c>
      <c r="Q33" s="39"/>
      <c r="R33" s="72">
        <f t="shared" si="17"/>
        <v>102179.16099879268</v>
      </c>
      <c r="S33" s="39"/>
      <c r="T33" s="72">
        <f t="shared" si="18"/>
        <v>102000</v>
      </c>
      <c r="U33" s="39"/>
      <c r="V33" s="72">
        <f t="shared" si="2"/>
        <v>0</v>
      </c>
      <c r="W33" s="72">
        <f t="shared" si="19"/>
        <v>0</v>
      </c>
      <c r="X33" s="39"/>
      <c r="Y33" s="72">
        <f t="shared" si="3"/>
        <v>0</v>
      </c>
      <c r="Z33" s="72">
        <f t="shared" si="20"/>
        <v>0</v>
      </c>
      <c r="AA33" s="39"/>
      <c r="AB33" s="72">
        <f t="shared" si="4"/>
        <v>0</v>
      </c>
      <c r="AC33" s="72">
        <f t="shared" si="21"/>
        <v>0</v>
      </c>
      <c r="AD33" s="39"/>
      <c r="AE33" s="72">
        <f t="shared" si="5"/>
        <v>0</v>
      </c>
      <c r="AF33" s="72">
        <f t="shared" si="22"/>
        <v>0</v>
      </c>
      <c r="AG33" s="39"/>
      <c r="AH33" s="72">
        <f t="shared" si="6"/>
        <v>15000</v>
      </c>
      <c r="AI33" s="72">
        <f t="shared" si="23"/>
        <v>8554.2904021788745</v>
      </c>
      <c r="AJ33" s="39"/>
      <c r="AK33" s="72">
        <f t="shared" si="7"/>
        <v>0</v>
      </c>
      <c r="AL33" s="72">
        <f t="shared" si="24"/>
        <v>0</v>
      </c>
      <c r="AM33" s="39"/>
      <c r="AN33" s="72">
        <f t="shared" si="8"/>
        <v>0</v>
      </c>
      <c r="AO33" s="72">
        <f t="shared" si="25"/>
        <v>0</v>
      </c>
      <c r="AP33" s="39"/>
      <c r="AQ33" s="72">
        <f t="shared" si="9"/>
        <v>0</v>
      </c>
      <c r="AR33" s="72">
        <f t="shared" si="26"/>
        <v>0</v>
      </c>
      <c r="AS33" s="39"/>
      <c r="AT33" s="40">
        <f>IF($K33&lt;=$F$15,IF($F$41&lt;&gt;"",$F$41/1000,IF(ISERROR(VLOOKUP($F$3&amp;IF($G$4&lt;&gt;"",$G$4,"")&amp;IF($F$44&lt;&gt;"","_"&amp;$F$44,""),'表3）燃料価格'!$AF$9:$AG$25,2,0)),0,VLOOKUP($I33,'表3）燃料価格'!$A$6:$U$66,VLOOKUP($F$3&amp;IF($G$4&lt;&gt;"",$G$4,"")&amp;IF($F$44&lt;&gt;"","_"&amp;$F$44,""),'表3）燃料価格'!$AF$9:$AG$25,2,0)+VLOOKUP($F$42,'表3）燃料価格'!$AF$28:$AG$29,2,0),0)*IF($F$44="需要地価格",1,$F$8/$F$142))),"")</f>
        <v>0</v>
      </c>
      <c r="AU33" s="39"/>
      <c r="AV33" s="72">
        <f t="shared" si="10"/>
        <v>0</v>
      </c>
      <c r="AW33" s="72">
        <f t="shared" si="27"/>
        <v>0</v>
      </c>
      <c r="AX33" s="39"/>
      <c r="AY33" s="40">
        <f>IF(ISERROR(IF($K33&lt;=$F$15,VLOOKUP($I33,'表4）CO2価格'!$A$7:$E$67,VLOOKUP($F$49,'表4）CO2価格'!$H$10:$I$12,2,0),0)*$F$8/1000,"")),0,IF($K33&lt;=$F$15,VLOOKUP($I33,'表4）CO2価格'!$A$7:$E$67,VLOOKUP($F$49,'表4）CO2価格'!$H$10:$I$12,2,0),0)*$F$8/1000,""))</f>
        <v>0</v>
      </c>
      <c r="AZ33" s="39"/>
      <c r="BA33" s="42">
        <f t="shared" si="11"/>
        <v>0</v>
      </c>
      <c r="BB33" s="72">
        <f t="shared" si="28"/>
        <v>0</v>
      </c>
      <c r="BC33" s="39"/>
      <c r="BD33" s="72">
        <f t="shared" si="12"/>
        <v>0</v>
      </c>
      <c r="BE33" s="72">
        <f t="shared" si="29"/>
        <v>0</v>
      </c>
      <c r="BF33" s="39"/>
      <c r="BG33" s="42">
        <f t="shared" si="13"/>
        <v>0</v>
      </c>
      <c r="BH33" s="72">
        <f t="shared" si="30"/>
        <v>0</v>
      </c>
      <c r="BI33" s="39"/>
      <c r="BJ33" s="40" t="str">
        <f t="shared" si="14"/>
        <v/>
      </c>
      <c r="BK33" s="157" t="str">
        <f t="shared" si="15"/>
        <v/>
      </c>
      <c r="BL33" s="157" t="str">
        <f t="shared" si="16"/>
        <v/>
      </c>
      <c r="BM33" s="72"/>
      <c r="BN33" s="72" t="str">
        <f t="shared" si="31"/>
        <v/>
      </c>
      <c r="BO33" s="72" t="str">
        <f t="shared" si="32"/>
        <v/>
      </c>
      <c r="BP33" s="39"/>
      <c r="BQ33" s="72">
        <f t="shared" si="37"/>
        <v>5522.9187010145188</v>
      </c>
      <c r="BR33" s="72">
        <f t="shared" si="33"/>
        <v>3149.6433624068477</v>
      </c>
    </row>
    <row r="34" spans="3:70" x14ac:dyDescent="0.15">
      <c r="D34" s="82" t="s">
        <v>232</v>
      </c>
      <c r="F34" s="110">
        <v>0.3</v>
      </c>
      <c r="G34" s="81" t="s">
        <v>227</v>
      </c>
      <c r="I34" s="459">
        <f t="shared" si="34"/>
        <v>2049</v>
      </c>
      <c r="K34" s="9">
        <f t="shared" si="35"/>
        <v>20</v>
      </c>
      <c r="M34" s="7">
        <f t="shared" si="0"/>
        <v>0.55367575418633497</v>
      </c>
      <c r="O34" s="10">
        <f t="shared" si="36"/>
        <v>0</v>
      </c>
      <c r="P34" s="29" t="str">
        <f t="shared" si="1"/>
        <v>-</v>
      </c>
      <c r="R34" s="10">
        <f t="shared" si="17"/>
        <v>89235.7345505743</v>
      </c>
      <c r="T34" s="10">
        <f t="shared" si="18"/>
        <v>89000</v>
      </c>
      <c r="V34" s="10">
        <f t="shared" si="2"/>
        <v>0</v>
      </c>
      <c r="W34" s="10">
        <f t="shared" si="19"/>
        <v>0</v>
      </c>
      <c r="Y34" s="10">
        <f t="shared" si="3"/>
        <v>0</v>
      </c>
      <c r="Z34" s="10">
        <f t="shared" si="20"/>
        <v>0</v>
      </c>
      <c r="AB34" s="10">
        <f t="shared" si="4"/>
        <v>0</v>
      </c>
      <c r="AC34" s="10">
        <f t="shared" si="21"/>
        <v>0</v>
      </c>
      <c r="AE34" s="10">
        <f t="shared" si="5"/>
        <v>0</v>
      </c>
      <c r="AF34" s="10">
        <f t="shared" si="22"/>
        <v>0</v>
      </c>
      <c r="AH34" s="10">
        <f t="shared" si="6"/>
        <v>15000</v>
      </c>
      <c r="AI34" s="10">
        <f t="shared" si="23"/>
        <v>8305.1363127950244</v>
      </c>
      <c r="AK34" s="10">
        <f t="shared" si="7"/>
        <v>0</v>
      </c>
      <c r="AL34" s="10">
        <f t="shared" si="24"/>
        <v>0</v>
      </c>
      <c r="AN34" s="10">
        <f t="shared" si="8"/>
        <v>0</v>
      </c>
      <c r="AO34" s="10">
        <f t="shared" si="25"/>
        <v>0</v>
      </c>
      <c r="AQ34" s="10">
        <f t="shared" si="9"/>
        <v>0</v>
      </c>
      <c r="AR34" s="10">
        <f t="shared" si="26"/>
        <v>0</v>
      </c>
      <c r="AT34" s="7">
        <f>IF($K34&lt;=$F$15,IF($F$41&lt;&gt;"",$F$41/1000,IF(ISERROR(VLOOKUP($F$3&amp;IF($G$4&lt;&gt;"",$G$4,"")&amp;IF($F$44&lt;&gt;"","_"&amp;$F$44,""),'表3）燃料価格'!$AF$9:$AG$25,2,0)),0,VLOOKUP($I34,'表3）燃料価格'!$A$6:$U$66,VLOOKUP($F$3&amp;IF($G$4&lt;&gt;"",$G$4,"")&amp;IF($F$44&lt;&gt;"","_"&amp;$F$44,""),'表3）燃料価格'!$AF$9:$AG$25,2,0)+VLOOKUP($F$42,'表3）燃料価格'!$AF$28:$AG$29,2,0),0)*IF($F$44="需要地価格",1,$F$8/$F$142))),"")</f>
        <v>0</v>
      </c>
      <c r="AV34" s="10">
        <f t="shared" si="10"/>
        <v>0</v>
      </c>
      <c r="AW34" s="10">
        <f t="shared" si="27"/>
        <v>0</v>
      </c>
      <c r="AY34" s="7">
        <f>IF(ISERROR(IF($K34&lt;=$F$15,VLOOKUP($I34,'表4）CO2価格'!$A$7:$E$67,VLOOKUP($F$49,'表4）CO2価格'!$H$10:$I$12,2,0),0)*$F$8/1000,"")),0,IF($K34&lt;=$F$15,VLOOKUP($I34,'表4）CO2価格'!$A$7:$E$67,VLOOKUP($F$49,'表4）CO2価格'!$H$10:$I$12,2,0),0)*$F$8/1000,""))</f>
        <v>0</v>
      </c>
      <c r="BA34" s="11">
        <f t="shared" si="11"/>
        <v>0</v>
      </c>
      <c r="BB34" s="10">
        <f t="shared" si="28"/>
        <v>0</v>
      </c>
      <c r="BD34" s="10">
        <f t="shared" si="12"/>
        <v>0</v>
      </c>
      <c r="BE34" s="10">
        <f t="shared" si="29"/>
        <v>0</v>
      </c>
      <c r="BG34" s="11">
        <f t="shared" si="13"/>
        <v>0</v>
      </c>
      <c r="BH34" s="10">
        <f t="shared" si="30"/>
        <v>0</v>
      </c>
      <c r="BJ34" s="7" t="str">
        <f t="shared" si="14"/>
        <v/>
      </c>
      <c r="BK34" s="158" t="str">
        <f t="shared" si="15"/>
        <v/>
      </c>
      <c r="BL34" s="158" t="str">
        <f t="shared" si="16"/>
        <v/>
      </c>
      <c r="BM34" s="10"/>
      <c r="BN34" s="10" t="str">
        <f t="shared" si="31"/>
        <v/>
      </c>
      <c r="BO34" s="10" t="str">
        <f t="shared" si="32"/>
        <v/>
      </c>
      <c r="BQ34" s="10">
        <f t="shared" si="37"/>
        <v>5495.3041075094461</v>
      </c>
      <c r="BR34" s="10">
        <f t="shared" si="33"/>
        <v>3042.6166462085571</v>
      </c>
    </row>
    <row r="35" spans="3:70" x14ac:dyDescent="0.15">
      <c r="D35" s="82"/>
      <c r="F35" s="374"/>
      <c r="I35" s="458">
        <f t="shared" si="34"/>
        <v>2050</v>
      </c>
      <c r="J35" s="470"/>
      <c r="K35" s="470">
        <f t="shared" si="35"/>
        <v>21</v>
      </c>
      <c r="L35" s="470"/>
      <c r="M35" s="40">
        <f t="shared" si="0"/>
        <v>0.5375492759090631</v>
      </c>
      <c r="N35" s="39"/>
      <c r="O35" s="72">
        <f t="shared" si="36"/>
        <v>0</v>
      </c>
      <c r="P35" s="41" t="str">
        <f t="shared" si="1"/>
        <v>-</v>
      </c>
      <c r="Q35" s="39"/>
      <c r="R35" s="72">
        <f t="shared" si="17"/>
        <v>77931.901602467158</v>
      </c>
      <c r="S35" s="39"/>
      <c r="T35" s="72">
        <f t="shared" si="18"/>
        <v>77000</v>
      </c>
      <c r="U35" s="39"/>
      <c r="V35" s="72">
        <f t="shared" si="2"/>
        <v>0</v>
      </c>
      <c r="W35" s="72">
        <f t="shared" si="19"/>
        <v>0</v>
      </c>
      <c r="X35" s="39"/>
      <c r="Y35" s="72">
        <f t="shared" si="3"/>
        <v>0</v>
      </c>
      <c r="Z35" s="72">
        <f t="shared" si="20"/>
        <v>0</v>
      </c>
      <c r="AA35" s="39"/>
      <c r="AB35" s="72">
        <f t="shared" si="4"/>
        <v>0</v>
      </c>
      <c r="AC35" s="72">
        <f t="shared" si="21"/>
        <v>0</v>
      </c>
      <c r="AD35" s="39"/>
      <c r="AE35" s="72">
        <f t="shared" si="5"/>
        <v>0</v>
      </c>
      <c r="AF35" s="72">
        <f t="shared" si="22"/>
        <v>0</v>
      </c>
      <c r="AG35" s="39"/>
      <c r="AH35" s="72">
        <f t="shared" si="6"/>
        <v>15000</v>
      </c>
      <c r="AI35" s="72">
        <f t="shared" si="23"/>
        <v>8063.2391386359468</v>
      </c>
      <c r="AJ35" s="39"/>
      <c r="AK35" s="72">
        <f t="shared" si="7"/>
        <v>0</v>
      </c>
      <c r="AL35" s="72">
        <f t="shared" si="24"/>
        <v>0</v>
      </c>
      <c r="AM35" s="39"/>
      <c r="AN35" s="72">
        <f t="shared" si="8"/>
        <v>0</v>
      </c>
      <c r="AO35" s="72">
        <f t="shared" si="25"/>
        <v>0</v>
      </c>
      <c r="AP35" s="39"/>
      <c r="AQ35" s="72">
        <f t="shared" si="9"/>
        <v>0</v>
      </c>
      <c r="AR35" s="72">
        <f t="shared" si="26"/>
        <v>0</v>
      </c>
      <c r="AS35" s="39"/>
      <c r="AT35" s="40">
        <f>IF($K35&lt;=$F$15,IF($F$41&lt;&gt;"",$F$41/1000,IF(ISERROR(VLOOKUP($F$3&amp;IF($G$4&lt;&gt;"",$G$4,"")&amp;IF($F$44&lt;&gt;"","_"&amp;$F$44,""),'表3）燃料価格'!$AF$9:$AG$25,2,0)),0,VLOOKUP($I35,'表3）燃料価格'!$A$6:$U$66,VLOOKUP($F$3&amp;IF($G$4&lt;&gt;"",$G$4,"")&amp;IF($F$44&lt;&gt;"","_"&amp;$F$44,""),'表3）燃料価格'!$AF$9:$AG$25,2,0)+VLOOKUP($F$42,'表3）燃料価格'!$AF$28:$AG$29,2,0),0)*IF($F$44="需要地価格",1,$F$8/$F$142))),"")</f>
        <v>0</v>
      </c>
      <c r="AU35" s="39"/>
      <c r="AV35" s="72">
        <f t="shared" si="10"/>
        <v>0</v>
      </c>
      <c r="AW35" s="72">
        <f t="shared" si="27"/>
        <v>0</v>
      </c>
      <c r="AX35" s="39"/>
      <c r="AY35" s="40">
        <f>IF(ISERROR(IF($K35&lt;=$F$15,VLOOKUP($I35,'表4）CO2価格'!$A$7:$E$67,VLOOKUP($F$49,'表4）CO2価格'!$H$10:$I$12,2,0),0)*$F$8/1000,"")),0,IF($K35&lt;=$F$15,VLOOKUP($I35,'表4）CO2価格'!$A$7:$E$67,VLOOKUP($F$49,'表4）CO2価格'!$H$10:$I$12,2,0),0)*$F$8/1000,""))</f>
        <v>0</v>
      </c>
      <c r="AZ35" s="39"/>
      <c r="BA35" s="42">
        <f t="shared" si="11"/>
        <v>0</v>
      </c>
      <c r="BB35" s="72">
        <f t="shared" si="28"/>
        <v>0</v>
      </c>
      <c r="BC35" s="39"/>
      <c r="BD35" s="72">
        <f t="shared" si="12"/>
        <v>0</v>
      </c>
      <c r="BE35" s="72">
        <f t="shared" si="29"/>
        <v>0</v>
      </c>
      <c r="BF35" s="39"/>
      <c r="BG35" s="42">
        <f t="shared" si="13"/>
        <v>0</v>
      </c>
      <c r="BH35" s="72">
        <f t="shared" si="30"/>
        <v>0</v>
      </c>
      <c r="BI35" s="39"/>
      <c r="BJ35" s="40" t="str">
        <f t="shared" si="14"/>
        <v/>
      </c>
      <c r="BK35" s="157" t="str">
        <f t="shared" si="15"/>
        <v/>
      </c>
      <c r="BL35" s="157" t="str">
        <f t="shared" si="16"/>
        <v/>
      </c>
      <c r="BM35" s="72"/>
      <c r="BN35" s="72" t="str">
        <f t="shared" si="31"/>
        <v/>
      </c>
      <c r="BO35" s="72" t="str">
        <f t="shared" si="32"/>
        <v/>
      </c>
      <c r="BP35" s="39"/>
      <c r="BQ35" s="72">
        <f t="shared" si="37"/>
        <v>5467.8275869718991</v>
      </c>
      <c r="BR35" s="72">
        <f t="shared" si="33"/>
        <v>2939.2267601723443</v>
      </c>
    </row>
    <row r="36" spans="3:70" x14ac:dyDescent="0.15">
      <c r="D36" s="82"/>
      <c r="F36" s="96"/>
      <c r="I36" s="459">
        <f t="shared" si="34"/>
        <v>2051</v>
      </c>
      <c r="K36" s="9">
        <f t="shared" si="35"/>
        <v>22</v>
      </c>
      <c r="M36" s="7">
        <f t="shared" si="0"/>
        <v>0.52189250088258554</v>
      </c>
      <c r="O36" s="10">
        <f t="shared" si="36"/>
        <v>0</v>
      </c>
      <c r="P36" s="29" t="str">
        <f t="shared" si="1"/>
        <v>-</v>
      </c>
      <c r="R36" s="10">
        <f t="shared" si="17"/>
        <v>68059.968553679995</v>
      </c>
      <c r="T36" s="10">
        <f t="shared" si="18"/>
        <v>68000</v>
      </c>
      <c r="V36" s="10">
        <f t="shared" si="2"/>
        <v>0</v>
      </c>
      <c r="W36" s="10">
        <f t="shared" si="19"/>
        <v>0</v>
      </c>
      <c r="Y36" s="10">
        <f t="shared" si="3"/>
        <v>0</v>
      </c>
      <c r="Z36" s="10">
        <f t="shared" si="20"/>
        <v>0</v>
      </c>
      <c r="AB36" s="10">
        <f t="shared" si="4"/>
        <v>0</v>
      </c>
      <c r="AC36" s="10">
        <f t="shared" si="21"/>
        <v>0</v>
      </c>
      <c r="AE36" s="10">
        <f t="shared" si="5"/>
        <v>0</v>
      </c>
      <c r="AF36" s="10">
        <f t="shared" si="22"/>
        <v>0</v>
      </c>
      <c r="AH36" s="10">
        <f t="shared" si="6"/>
        <v>15000</v>
      </c>
      <c r="AI36" s="10">
        <f t="shared" si="23"/>
        <v>7828.387513238783</v>
      </c>
      <c r="AK36" s="10">
        <f t="shared" si="7"/>
        <v>0</v>
      </c>
      <c r="AL36" s="10">
        <f t="shared" si="24"/>
        <v>0</v>
      </c>
      <c r="AN36" s="10">
        <f t="shared" si="8"/>
        <v>0</v>
      </c>
      <c r="AO36" s="10">
        <f t="shared" si="25"/>
        <v>0</v>
      </c>
      <c r="AQ36" s="10">
        <f t="shared" si="9"/>
        <v>0</v>
      </c>
      <c r="AR36" s="10">
        <f t="shared" si="26"/>
        <v>0</v>
      </c>
      <c r="AT36" s="7">
        <f>IF($K36&lt;=$F$15,IF($F$41&lt;&gt;"",$F$41/1000,IF(ISERROR(VLOOKUP($F$3&amp;IF($G$4&lt;&gt;"",$G$4,"")&amp;IF($F$44&lt;&gt;"","_"&amp;$F$44,""),'表3）燃料価格'!$AF$9:$AG$25,2,0)),0,VLOOKUP($I36,'表3）燃料価格'!$A$6:$U$66,VLOOKUP($F$3&amp;IF($G$4&lt;&gt;"",$G$4,"")&amp;IF($F$44&lt;&gt;"","_"&amp;$F$44,""),'表3）燃料価格'!$AF$9:$AG$25,2,0)+VLOOKUP($F$42,'表3）燃料価格'!$AF$28:$AG$29,2,0),0)*IF($F$44="需要地価格",1,$F$8/$F$142))),"")</f>
        <v>0</v>
      </c>
      <c r="AV36" s="10">
        <f t="shared" si="10"/>
        <v>0</v>
      </c>
      <c r="AW36" s="10">
        <f t="shared" si="27"/>
        <v>0</v>
      </c>
      <c r="AY36" s="7">
        <f>IF(ISERROR(IF($K36&lt;=$F$15,VLOOKUP($I36,'表4）CO2価格'!$A$7:$E$67,VLOOKUP($F$49,'表4）CO2価格'!$H$10:$I$12,2,0),0)*$F$8/1000,"")),0,IF($K36&lt;=$F$15,VLOOKUP($I36,'表4）CO2価格'!$A$7:$E$67,VLOOKUP($F$49,'表4）CO2価格'!$H$10:$I$12,2,0),0)*$F$8/1000,""))</f>
        <v>0</v>
      </c>
      <c r="BA36" s="11">
        <f t="shared" si="11"/>
        <v>0</v>
      </c>
      <c r="BB36" s="10">
        <f t="shared" si="28"/>
        <v>0</v>
      </c>
      <c r="BD36" s="10">
        <f t="shared" si="12"/>
        <v>0</v>
      </c>
      <c r="BE36" s="10">
        <f t="shared" si="29"/>
        <v>0</v>
      </c>
      <c r="BG36" s="11">
        <f t="shared" si="13"/>
        <v>0</v>
      </c>
      <c r="BH36" s="10">
        <f t="shared" si="30"/>
        <v>0</v>
      </c>
      <c r="BJ36" s="7" t="str">
        <f t="shared" si="14"/>
        <v/>
      </c>
      <c r="BK36" s="158" t="str">
        <f t="shared" si="15"/>
        <v/>
      </c>
      <c r="BL36" s="158" t="str">
        <f t="shared" si="16"/>
        <v/>
      </c>
      <c r="BM36" s="10"/>
      <c r="BN36" s="10" t="str">
        <f t="shared" si="31"/>
        <v/>
      </c>
      <c r="BO36" s="10" t="str">
        <f t="shared" si="32"/>
        <v/>
      </c>
      <c r="BQ36" s="10">
        <f t="shared" si="37"/>
        <v>5440.4884490370396</v>
      </c>
      <c r="BR36" s="10">
        <f t="shared" si="33"/>
        <v>2839.3501226907597</v>
      </c>
    </row>
    <row r="37" spans="3:70" x14ac:dyDescent="0.15">
      <c r="D37" s="82"/>
      <c r="F37" s="375"/>
      <c r="I37" s="458">
        <f t="shared" si="34"/>
        <v>2052</v>
      </c>
      <c r="J37" s="470"/>
      <c r="K37" s="470">
        <f t="shared" si="35"/>
        <v>23</v>
      </c>
      <c r="L37" s="470"/>
      <c r="M37" s="40">
        <f t="shared" si="0"/>
        <v>0.50669174842969467</v>
      </c>
      <c r="N37" s="39"/>
      <c r="O37" s="72">
        <f t="shared" si="36"/>
        <v>0</v>
      </c>
      <c r="P37" s="41" t="str">
        <f t="shared" si="1"/>
        <v>-</v>
      </c>
      <c r="Q37" s="39"/>
      <c r="R37" s="72">
        <f t="shared" si="17"/>
        <v>59438.551148882347</v>
      </c>
      <c r="S37" s="39"/>
      <c r="T37" s="72">
        <f t="shared" si="18"/>
        <v>59000</v>
      </c>
      <c r="U37" s="39"/>
      <c r="V37" s="72">
        <f t="shared" si="2"/>
        <v>0</v>
      </c>
      <c r="W37" s="72">
        <f t="shared" si="19"/>
        <v>0</v>
      </c>
      <c r="X37" s="39"/>
      <c r="Y37" s="72">
        <f t="shared" si="3"/>
        <v>0</v>
      </c>
      <c r="Z37" s="72">
        <f t="shared" si="20"/>
        <v>0</v>
      </c>
      <c r="AA37" s="39"/>
      <c r="AB37" s="72">
        <f t="shared" si="4"/>
        <v>0</v>
      </c>
      <c r="AC37" s="72">
        <f t="shared" si="21"/>
        <v>0</v>
      </c>
      <c r="AD37" s="39"/>
      <c r="AE37" s="72">
        <f t="shared" si="5"/>
        <v>0</v>
      </c>
      <c r="AF37" s="72">
        <f t="shared" si="22"/>
        <v>0</v>
      </c>
      <c r="AG37" s="39"/>
      <c r="AH37" s="72">
        <f t="shared" si="6"/>
        <v>15000</v>
      </c>
      <c r="AI37" s="72">
        <f t="shared" si="23"/>
        <v>7600.3762264454199</v>
      </c>
      <c r="AJ37" s="39"/>
      <c r="AK37" s="72">
        <f t="shared" si="7"/>
        <v>0</v>
      </c>
      <c r="AL37" s="72">
        <f t="shared" si="24"/>
        <v>0</v>
      </c>
      <c r="AM37" s="39"/>
      <c r="AN37" s="72">
        <f t="shared" si="8"/>
        <v>0</v>
      </c>
      <c r="AO37" s="72">
        <f t="shared" si="25"/>
        <v>0</v>
      </c>
      <c r="AP37" s="39"/>
      <c r="AQ37" s="72">
        <f t="shared" si="9"/>
        <v>0</v>
      </c>
      <c r="AR37" s="72">
        <f t="shared" si="26"/>
        <v>0</v>
      </c>
      <c r="AS37" s="39"/>
      <c r="AT37" s="40">
        <f>IF($K37&lt;=$F$15,IF($F$41&lt;&gt;"",$F$41/1000,IF(ISERROR(VLOOKUP($F$3&amp;IF($G$4&lt;&gt;"",$G$4,"")&amp;IF($F$44&lt;&gt;"","_"&amp;$F$44,""),'表3）燃料価格'!$AF$9:$AG$25,2,0)),0,VLOOKUP($I37,'表3）燃料価格'!$A$6:$U$66,VLOOKUP($F$3&amp;IF($G$4&lt;&gt;"",$G$4,"")&amp;IF($F$44&lt;&gt;"","_"&amp;$F$44,""),'表3）燃料価格'!$AF$9:$AG$25,2,0)+VLOOKUP($F$42,'表3）燃料価格'!$AF$28:$AG$29,2,0),0)*IF($F$44="需要地価格",1,$F$8/$F$142))),"")</f>
        <v>0</v>
      </c>
      <c r="AU37" s="39"/>
      <c r="AV37" s="72">
        <f t="shared" si="10"/>
        <v>0</v>
      </c>
      <c r="AW37" s="72">
        <f t="shared" si="27"/>
        <v>0</v>
      </c>
      <c r="AX37" s="39"/>
      <c r="AY37" s="40">
        <f>IF(ISERROR(IF($K37&lt;=$F$15,VLOOKUP($I37,'表4）CO2価格'!$A$7:$E$67,VLOOKUP($F$49,'表4）CO2価格'!$H$10:$I$12,2,0),0)*$F$8/1000,"")),0,IF($K37&lt;=$F$15,VLOOKUP($I37,'表4）CO2価格'!$A$7:$E$67,VLOOKUP($F$49,'表4）CO2価格'!$H$10:$I$12,2,0),0)*$F$8/1000,""))</f>
        <v>0</v>
      </c>
      <c r="AZ37" s="39"/>
      <c r="BA37" s="42">
        <f t="shared" si="11"/>
        <v>0</v>
      </c>
      <c r="BB37" s="72">
        <f t="shared" si="28"/>
        <v>0</v>
      </c>
      <c r="BC37" s="39"/>
      <c r="BD37" s="72">
        <f t="shared" si="12"/>
        <v>0</v>
      </c>
      <c r="BE37" s="72">
        <f t="shared" si="29"/>
        <v>0</v>
      </c>
      <c r="BF37" s="39"/>
      <c r="BG37" s="42">
        <f t="shared" si="13"/>
        <v>0</v>
      </c>
      <c r="BH37" s="72">
        <f t="shared" si="30"/>
        <v>0</v>
      </c>
      <c r="BI37" s="39"/>
      <c r="BJ37" s="40" t="str">
        <f t="shared" si="14"/>
        <v/>
      </c>
      <c r="BK37" s="157" t="str">
        <f t="shared" si="15"/>
        <v/>
      </c>
      <c r="BL37" s="157" t="str">
        <f t="shared" si="16"/>
        <v/>
      </c>
      <c r="BM37" s="72"/>
      <c r="BN37" s="72" t="str">
        <f t="shared" si="31"/>
        <v/>
      </c>
      <c r="BO37" s="72" t="str">
        <f t="shared" si="32"/>
        <v/>
      </c>
      <c r="BP37" s="39"/>
      <c r="BQ37" s="72">
        <f t="shared" si="37"/>
        <v>5413.2860067918546</v>
      </c>
      <c r="BR37" s="72">
        <f t="shared" si="33"/>
        <v>2742.8673515313649</v>
      </c>
    </row>
    <row r="38" spans="3:70" x14ac:dyDescent="0.15">
      <c r="I38" s="459">
        <f t="shared" si="34"/>
        <v>2053</v>
      </c>
      <c r="K38" s="9">
        <f t="shared" si="35"/>
        <v>24</v>
      </c>
      <c r="M38" s="7">
        <f t="shared" si="0"/>
        <v>0.49193373633950943</v>
      </c>
      <c r="O38" s="10">
        <f t="shared" si="36"/>
        <v>0</v>
      </c>
      <c r="P38" s="29" t="str">
        <f t="shared" si="1"/>
        <v>-</v>
      </c>
      <c r="R38" s="10">
        <f t="shared" si="17"/>
        <v>58500</v>
      </c>
      <c r="T38" s="10">
        <f t="shared" si="18"/>
        <v>58000</v>
      </c>
      <c r="V38" s="10">
        <f t="shared" si="2"/>
        <v>0</v>
      </c>
      <c r="W38" s="10">
        <f t="shared" si="19"/>
        <v>0</v>
      </c>
      <c r="Y38" s="10">
        <f t="shared" si="3"/>
        <v>0</v>
      </c>
      <c r="Z38" s="10">
        <f t="shared" si="20"/>
        <v>0</v>
      </c>
      <c r="AB38" s="10">
        <f t="shared" si="4"/>
        <v>0</v>
      </c>
      <c r="AC38" s="10">
        <f t="shared" si="21"/>
        <v>0</v>
      </c>
      <c r="AE38" s="10">
        <f t="shared" si="5"/>
        <v>0</v>
      </c>
      <c r="AF38" s="10">
        <f t="shared" si="22"/>
        <v>0</v>
      </c>
      <c r="AH38" s="10">
        <f t="shared" si="6"/>
        <v>15000</v>
      </c>
      <c r="AI38" s="10">
        <f t="shared" si="23"/>
        <v>7379.0060450926412</v>
      </c>
      <c r="AK38" s="10">
        <f t="shared" si="7"/>
        <v>0</v>
      </c>
      <c r="AL38" s="10">
        <f t="shared" si="24"/>
        <v>0</v>
      </c>
      <c r="AN38" s="10">
        <f t="shared" si="8"/>
        <v>0</v>
      </c>
      <c r="AO38" s="10">
        <f t="shared" si="25"/>
        <v>0</v>
      </c>
      <c r="AQ38" s="10">
        <f t="shared" si="9"/>
        <v>0</v>
      </c>
      <c r="AR38" s="10">
        <f t="shared" si="26"/>
        <v>0</v>
      </c>
      <c r="AT38" s="7">
        <f>IF($K38&lt;=$F$15,IF($F$41&lt;&gt;"",$F$41/1000,IF(ISERROR(VLOOKUP($F$3&amp;IF($G$4&lt;&gt;"",$G$4,"")&amp;IF($F$44&lt;&gt;"","_"&amp;$F$44,""),'表3）燃料価格'!$AF$9:$AG$25,2,0)),0,VLOOKUP($I38,'表3）燃料価格'!$A$6:$U$66,VLOOKUP($F$3&amp;IF($G$4&lt;&gt;"",$G$4,"")&amp;IF($F$44&lt;&gt;"","_"&amp;$F$44,""),'表3）燃料価格'!$AF$9:$AG$25,2,0)+VLOOKUP($F$42,'表3）燃料価格'!$AF$28:$AG$29,2,0),0)*IF($F$44="需要地価格",1,$F$8/$F$142))),"")</f>
        <v>0</v>
      </c>
      <c r="AV38" s="10">
        <f t="shared" si="10"/>
        <v>0</v>
      </c>
      <c r="AW38" s="10">
        <f t="shared" si="27"/>
        <v>0</v>
      </c>
      <c r="AY38" s="7">
        <f>IF(ISERROR(IF($K38&lt;=$F$15,VLOOKUP($I38,'表4）CO2価格'!$A$7:$E$67,VLOOKUP($F$49,'表4）CO2価格'!$H$10:$I$12,2,0),0)*$F$8/1000,"")),0,IF($K38&lt;=$F$15,VLOOKUP($I38,'表4）CO2価格'!$A$7:$E$67,VLOOKUP($F$49,'表4）CO2価格'!$H$10:$I$12,2,0),0)*$F$8/1000,""))</f>
        <v>0</v>
      </c>
      <c r="BA38" s="11">
        <f t="shared" si="11"/>
        <v>0</v>
      </c>
      <c r="BB38" s="10">
        <f t="shared" si="28"/>
        <v>0</v>
      </c>
      <c r="BD38" s="10">
        <f t="shared" si="12"/>
        <v>0</v>
      </c>
      <c r="BE38" s="10">
        <f t="shared" si="29"/>
        <v>0</v>
      </c>
      <c r="BG38" s="11">
        <f t="shared" si="13"/>
        <v>0</v>
      </c>
      <c r="BH38" s="10">
        <f t="shared" si="30"/>
        <v>0</v>
      </c>
      <c r="BJ38" s="7" t="str">
        <f t="shared" si="14"/>
        <v/>
      </c>
      <c r="BK38" s="158" t="str">
        <f t="shared" si="15"/>
        <v/>
      </c>
      <c r="BL38" s="158" t="str">
        <f t="shared" si="16"/>
        <v/>
      </c>
      <c r="BM38" s="10"/>
      <c r="BN38" s="10" t="str">
        <f t="shared" si="31"/>
        <v/>
      </c>
      <c r="BO38" s="10" t="str">
        <f t="shared" si="32"/>
        <v/>
      </c>
      <c r="BQ38" s="10">
        <f t="shared" si="37"/>
        <v>5386.2195767578951</v>
      </c>
      <c r="BR38" s="10">
        <f t="shared" si="33"/>
        <v>2649.6631211395224</v>
      </c>
    </row>
    <row r="39" spans="3:70" x14ac:dyDescent="0.15">
      <c r="C39" s="89" t="s">
        <v>508</v>
      </c>
      <c r="D39" s="101"/>
      <c r="E39" s="101"/>
      <c r="F39" s="89"/>
      <c r="G39" s="101"/>
      <c r="I39" s="458">
        <f t="shared" si="34"/>
        <v>2054</v>
      </c>
      <c r="J39" s="470"/>
      <c r="K39" s="470">
        <f t="shared" si="35"/>
        <v>25</v>
      </c>
      <c r="L39" s="470"/>
      <c r="M39" s="40">
        <f t="shared" si="0"/>
        <v>0.47760556926165965</v>
      </c>
      <c r="N39" s="39"/>
      <c r="O39" s="72">
        <f t="shared" si="36"/>
        <v>0</v>
      </c>
      <c r="P39" s="41" t="str">
        <f t="shared" si="1"/>
        <v>-</v>
      </c>
      <c r="Q39" s="39"/>
      <c r="R39" s="72">
        <f t="shared" si="17"/>
        <v>58500</v>
      </c>
      <c r="S39" s="39"/>
      <c r="T39" s="72">
        <f t="shared" si="18"/>
        <v>58000</v>
      </c>
      <c r="U39" s="39"/>
      <c r="V39" s="72">
        <f t="shared" si="2"/>
        <v>0</v>
      </c>
      <c r="W39" s="72">
        <f t="shared" si="19"/>
        <v>0</v>
      </c>
      <c r="X39" s="39"/>
      <c r="Y39" s="72">
        <f t="shared" si="3"/>
        <v>0</v>
      </c>
      <c r="Z39" s="72">
        <f t="shared" si="20"/>
        <v>0</v>
      </c>
      <c r="AA39" s="39"/>
      <c r="AB39" s="72">
        <f t="shared" si="4"/>
        <v>0</v>
      </c>
      <c r="AC39" s="72">
        <f t="shared" si="21"/>
        <v>0</v>
      </c>
      <c r="AD39" s="39"/>
      <c r="AE39" s="72">
        <f t="shared" si="5"/>
        <v>0</v>
      </c>
      <c r="AF39" s="72">
        <f t="shared" si="22"/>
        <v>0</v>
      </c>
      <c r="AG39" s="39"/>
      <c r="AH39" s="72">
        <f t="shared" si="6"/>
        <v>15000</v>
      </c>
      <c r="AI39" s="72">
        <f t="shared" si="23"/>
        <v>7164.083538924895</v>
      </c>
      <c r="AJ39" s="39"/>
      <c r="AK39" s="72">
        <f t="shared" si="7"/>
        <v>0</v>
      </c>
      <c r="AL39" s="72">
        <f t="shared" si="24"/>
        <v>0</v>
      </c>
      <c r="AM39" s="39"/>
      <c r="AN39" s="72">
        <f t="shared" si="8"/>
        <v>0</v>
      </c>
      <c r="AO39" s="72">
        <f t="shared" si="25"/>
        <v>0</v>
      </c>
      <c r="AP39" s="39"/>
      <c r="AQ39" s="72">
        <f t="shared" si="9"/>
        <v>0</v>
      </c>
      <c r="AR39" s="72">
        <f t="shared" si="26"/>
        <v>0</v>
      </c>
      <c r="AS39" s="39"/>
      <c r="AT39" s="40">
        <f>IF($K39&lt;=$F$15,IF($F$41&lt;&gt;"",$F$41/1000,IF(ISERROR(VLOOKUP($F$3&amp;IF($G$4&lt;&gt;"",$G$4,"")&amp;IF($F$44&lt;&gt;"","_"&amp;$F$44,""),'表3）燃料価格'!$AF$9:$AG$25,2,0)),0,VLOOKUP($I39,'表3）燃料価格'!$A$6:$U$66,VLOOKUP($F$3&amp;IF($G$4&lt;&gt;"",$G$4,"")&amp;IF($F$44&lt;&gt;"","_"&amp;$F$44,""),'表3）燃料価格'!$AF$9:$AG$25,2,0)+VLOOKUP($F$42,'表3）燃料価格'!$AF$28:$AG$29,2,0),0)*IF($F$44="需要地価格",1,$F$8/$F$142))),"")</f>
        <v>0</v>
      </c>
      <c r="AU39" s="39"/>
      <c r="AV39" s="72">
        <f t="shared" si="10"/>
        <v>0</v>
      </c>
      <c r="AW39" s="72">
        <f t="shared" si="27"/>
        <v>0</v>
      </c>
      <c r="AX39" s="39"/>
      <c r="AY39" s="40">
        <f>IF(ISERROR(IF($K39&lt;=$F$15,VLOOKUP($I39,'表4）CO2価格'!$A$7:$E$67,VLOOKUP($F$49,'表4）CO2価格'!$H$10:$I$12,2,0),0)*$F$8/1000,"")),0,IF($K39&lt;=$F$15,VLOOKUP($I39,'表4）CO2価格'!$A$7:$E$67,VLOOKUP($F$49,'表4）CO2価格'!$H$10:$I$12,2,0),0)*$F$8/1000,""))</f>
        <v>0</v>
      </c>
      <c r="AZ39" s="39"/>
      <c r="BA39" s="42">
        <f t="shared" si="11"/>
        <v>0</v>
      </c>
      <c r="BB39" s="72">
        <f t="shared" si="28"/>
        <v>0</v>
      </c>
      <c r="BC39" s="39"/>
      <c r="BD39" s="72">
        <f t="shared" si="12"/>
        <v>0</v>
      </c>
      <c r="BE39" s="72">
        <f t="shared" si="29"/>
        <v>0</v>
      </c>
      <c r="BF39" s="39"/>
      <c r="BG39" s="42">
        <f t="shared" si="13"/>
        <v>0</v>
      </c>
      <c r="BH39" s="72">
        <f t="shared" si="30"/>
        <v>0</v>
      </c>
      <c r="BI39" s="39"/>
      <c r="BJ39" s="40" t="str">
        <f t="shared" si="14"/>
        <v/>
      </c>
      <c r="BK39" s="157" t="str">
        <f t="shared" si="15"/>
        <v/>
      </c>
      <c r="BL39" s="157" t="str">
        <f t="shared" si="16"/>
        <v/>
      </c>
      <c r="BM39" s="72"/>
      <c r="BN39" s="72" t="str">
        <f t="shared" si="31"/>
        <v/>
      </c>
      <c r="BO39" s="72" t="str">
        <f t="shared" si="32"/>
        <v/>
      </c>
      <c r="BP39" s="39"/>
      <c r="BQ39" s="72">
        <f t="shared" si="37"/>
        <v>5359.2884788741057</v>
      </c>
      <c r="BR39" s="72">
        <f t="shared" si="33"/>
        <v>2559.6260247901214</v>
      </c>
    </row>
    <row r="40" spans="3:70" x14ac:dyDescent="0.15">
      <c r="I40" s="459">
        <f t="shared" si="34"/>
        <v>2055</v>
      </c>
      <c r="K40" s="9">
        <f t="shared" si="35"/>
        <v>26</v>
      </c>
      <c r="M40" s="7">
        <f t="shared" si="0"/>
        <v>0.46369472743850448</v>
      </c>
      <c r="O40" s="10" t="str">
        <f t="shared" si="36"/>
        <v/>
      </c>
      <c r="P40" s="29" t="str">
        <f t="shared" si="1"/>
        <v/>
      </c>
      <c r="R40" s="10" t="str">
        <f t="shared" si="17"/>
        <v/>
      </c>
      <c r="T40" s="10" t="str">
        <f t="shared" si="18"/>
        <v/>
      </c>
      <c r="V40" s="10" t="str">
        <f t="shared" si="2"/>
        <v/>
      </c>
      <c r="W40" s="10" t="str">
        <f t="shared" si="19"/>
        <v/>
      </c>
      <c r="Y40" s="10" t="str">
        <f t="shared" si="3"/>
        <v/>
      </c>
      <c r="Z40" s="10" t="str">
        <f t="shared" si="20"/>
        <v/>
      </c>
      <c r="AB40" s="10">
        <f t="shared" si="4"/>
        <v>58500</v>
      </c>
      <c r="AC40" s="10">
        <f t="shared" si="21"/>
        <v>27126.141555152513</v>
      </c>
      <c r="AE40" s="10" t="str">
        <f t="shared" si="5"/>
        <v/>
      </c>
      <c r="AF40" s="10" t="str">
        <f t="shared" si="22"/>
        <v/>
      </c>
      <c r="AH40" s="10" t="str">
        <f t="shared" si="6"/>
        <v/>
      </c>
      <c r="AI40" s="10" t="str">
        <f t="shared" si="23"/>
        <v/>
      </c>
      <c r="AK40" s="10" t="str">
        <f t="shared" si="7"/>
        <v/>
      </c>
      <c r="AL40" s="10" t="str">
        <f t="shared" si="24"/>
        <v/>
      </c>
      <c r="AN40" s="10" t="str">
        <f t="shared" si="8"/>
        <v/>
      </c>
      <c r="AO40" s="10" t="str">
        <f t="shared" si="25"/>
        <v/>
      </c>
      <c r="AQ40" s="10" t="str">
        <f t="shared" si="9"/>
        <v/>
      </c>
      <c r="AR40" s="10" t="str">
        <f t="shared" si="26"/>
        <v/>
      </c>
      <c r="AT40" s="7" t="str">
        <f>IF($K40&lt;=$F$15,IF($F$41&lt;&gt;"",$F$41/1000,IF(ISERROR(VLOOKUP($F$3&amp;IF($G$4&lt;&gt;"",$G$4,"")&amp;IF($F$44&lt;&gt;"","_"&amp;$F$44,""),'表3）燃料価格'!$AF$9:$AG$25,2,0)),0,VLOOKUP($I40,'表3）燃料価格'!$A$6:$U$66,VLOOKUP($F$3&amp;IF($G$4&lt;&gt;"",$G$4,"")&amp;IF($F$44&lt;&gt;"","_"&amp;$F$44,""),'表3）燃料価格'!$AF$9:$AG$25,2,0)+VLOOKUP($F$42,'表3）燃料価格'!$AF$28:$AG$29,2,0),0)*IF($F$44="需要地価格",1,$F$8/$F$142))),"")</f>
        <v/>
      </c>
      <c r="AV40" s="10" t="str">
        <f t="shared" si="10"/>
        <v/>
      </c>
      <c r="AW40" s="10" t="str">
        <f t="shared" si="27"/>
        <v/>
      </c>
      <c r="AY40" s="7" t="str">
        <f>IF(ISERROR(IF($K40&lt;=$F$15,VLOOKUP($I40,'表4）CO2価格'!$A$7:$E$67,VLOOKUP($F$49,'表4）CO2価格'!$H$10:$I$12,2,0),0)*$F$8/1000,"")),0,IF($K40&lt;=$F$15,VLOOKUP($I40,'表4）CO2価格'!$A$7:$E$67,VLOOKUP($F$49,'表4）CO2価格'!$H$10:$I$12,2,0),0)*$F$8/1000,""))</f>
        <v/>
      </c>
      <c r="BA40" s="11" t="str">
        <f t="shared" si="11"/>
        <v/>
      </c>
      <c r="BB40" s="10" t="str">
        <f t="shared" si="28"/>
        <v/>
      </c>
      <c r="BD40" s="10" t="str">
        <f t="shared" si="12"/>
        <v/>
      </c>
      <c r="BE40" s="10" t="str">
        <f t="shared" si="29"/>
        <v/>
      </c>
      <c r="BG40" s="11" t="str">
        <f t="shared" si="13"/>
        <v/>
      </c>
      <c r="BH40" s="10" t="str">
        <f t="shared" si="30"/>
        <v/>
      </c>
      <c r="BJ40" s="7" t="str">
        <f t="shared" si="14"/>
        <v/>
      </c>
      <c r="BK40" s="158" t="str">
        <f t="shared" si="15"/>
        <v/>
      </c>
      <c r="BL40" s="158" t="str">
        <f t="shared" si="16"/>
        <v/>
      </c>
      <c r="BM40" s="10"/>
      <c r="BN40" s="10" t="str">
        <f t="shared" si="31"/>
        <v/>
      </c>
      <c r="BO40" s="10" t="str">
        <f t="shared" si="32"/>
        <v/>
      </c>
      <c r="BQ40" s="10" t="str">
        <f t="shared" si="37"/>
        <v/>
      </c>
      <c r="BR40" s="10" t="str">
        <f t="shared" si="33"/>
        <v/>
      </c>
    </row>
    <row r="41" spans="3:70" x14ac:dyDescent="0.15">
      <c r="D41" s="81" t="s">
        <v>124</v>
      </c>
      <c r="F41" s="108"/>
      <c r="G41" s="82" t="s">
        <v>178</v>
      </c>
      <c r="I41" s="458">
        <f t="shared" si="34"/>
        <v>2056</v>
      </c>
      <c r="J41" s="470"/>
      <c r="K41" s="470">
        <f t="shared" si="35"/>
        <v>27</v>
      </c>
      <c r="L41" s="470"/>
      <c r="M41" s="40">
        <f t="shared" si="0"/>
        <v>0.45018905576553836</v>
      </c>
      <c r="N41" s="39"/>
      <c r="O41" s="72" t="str">
        <f t="shared" si="36"/>
        <v/>
      </c>
      <c r="P41" s="41" t="str">
        <f t="shared" si="1"/>
        <v/>
      </c>
      <c r="Q41" s="39"/>
      <c r="R41" s="72" t="str">
        <f t="shared" si="17"/>
        <v/>
      </c>
      <c r="S41" s="39"/>
      <c r="T41" s="72" t="str">
        <f t="shared" si="18"/>
        <v/>
      </c>
      <c r="U41" s="39"/>
      <c r="V41" s="72" t="str">
        <f t="shared" si="2"/>
        <v/>
      </c>
      <c r="W41" s="72" t="str">
        <f t="shared" si="19"/>
        <v/>
      </c>
      <c r="X41" s="39"/>
      <c r="Y41" s="72" t="str">
        <f t="shared" si="3"/>
        <v/>
      </c>
      <c r="Z41" s="72" t="str">
        <f t="shared" si="20"/>
        <v/>
      </c>
      <c r="AA41" s="39"/>
      <c r="AB41" s="72" t="str">
        <f t="shared" si="4"/>
        <v/>
      </c>
      <c r="AC41" s="72" t="str">
        <f t="shared" si="21"/>
        <v/>
      </c>
      <c r="AD41" s="39"/>
      <c r="AE41" s="72" t="str">
        <f t="shared" si="5"/>
        <v/>
      </c>
      <c r="AF41" s="72" t="str">
        <f t="shared" si="22"/>
        <v/>
      </c>
      <c r="AG41" s="39"/>
      <c r="AH41" s="72" t="str">
        <f t="shared" si="6"/>
        <v/>
      </c>
      <c r="AI41" s="72" t="str">
        <f t="shared" si="23"/>
        <v/>
      </c>
      <c r="AJ41" s="39"/>
      <c r="AK41" s="72" t="str">
        <f t="shared" si="7"/>
        <v/>
      </c>
      <c r="AL41" s="72" t="str">
        <f t="shared" si="24"/>
        <v/>
      </c>
      <c r="AM41" s="39"/>
      <c r="AN41" s="72" t="str">
        <f t="shared" si="8"/>
        <v/>
      </c>
      <c r="AO41" s="72" t="str">
        <f t="shared" si="25"/>
        <v/>
      </c>
      <c r="AP41" s="39"/>
      <c r="AQ41" s="72" t="str">
        <f t="shared" si="9"/>
        <v/>
      </c>
      <c r="AR41" s="72" t="str">
        <f t="shared" si="26"/>
        <v/>
      </c>
      <c r="AS41" s="39"/>
      <c r="AT41" s="40" t="str">
        <f>IF($K41&lt;=$F$15,IF($F$41&lt;&gt;"",$F$41/1000,IF(ISERROR(VLOOKUP($F$3&amp;IF($G$4&lt;&gt;"",$G$4,"")&amp;IF($F$44&lt;&gt;"","_"&amp;$F$44,""),'表3）燃料価格'!$AF$9:$AG$25,2,0)),0,VLOOKUP($I41,'表3）燃料価格'!$A$6:$U$66,VLOOKUP($F$3&amp;IF($G$4&lt;&gt;"",$G$4,"")&amp;IF($F$44&lt;&gt;"","_"&amp;$F$44,""),'表3）燃料価格'!$AF$9:$AG$25,2,0)+VLOOKUP($F$42,'表3）燃料価格'!$AF$28:$AG$29,2,0),0)*IF($F$44="需要地価格",1,$F$8/$F$142))),"")</f>
        <v/>
      </c>
      <c r="AU41" s="39"/>
      <c r="AV41" s="72" t="str">
        <f t="shared" si="10"/>
        <v/>
      </c>
      <c r="AW41" s="72" t="str">
        <f t="shared" si="27"/>
        <v/>
      </c>
      <c r="AX41" s="39"/>
      <c r="AY41" s="40" t="str">
        <f>IF(ISERROR(IF($K41&lt;=$F$15,VLOOKUP($I41,'表4）CO2価格'!$A$7:$E$67,VLOOKUP($F$49,'表4）CO2価格'!$H$10:$I$12,2,0),0)*$F$8/1000,"")),0,IF($K41&lt;=$F$15,VLOOKUP($I41,'表4）CO2価格'!$A$7:$E$67,VLOOKUP($F$49,'表4）CO2価格'!$H$10:$I$12,2,0),0)*$F$8/1000,""))</f>
        <v/>
      </c>
      <c r="AZ41" s="39"/>
      <c r="BA41" s="42" t="str">
        <f t="shared" si="11"/>
        <v/>
      </c>
      <c r="BB41" s="72" t="str">
        <f t="shared" si="28"/>
        <v/>
      </c>
      <c r="BC41" s="39"/>
      <c r="BD41" s="72" t="str">
        <f t="shared" si="12"/>
        <v/>
      </c>
      <c r="BE41" s="72" t="str">
        <f t="shared" si="29"/>
        <v/>
      </c>
      <c r="BF41" s="39"/>
      <c r="BG41" s="42" t="str">
        <f t="shared" si="13"/>
        <v/>
      </c>
      <c r="BH41" s="72" t="str">
        <f t="shared" si="30"/>
        <v/>
      </c>
      <c r="BI41" s="39"/>
      <c r="BJ41" s="40" t="str">
        <f t="shared" si="14"/>
        <v/>
      </c>
      <c r="BK41" s="157" t="str">
        <f t="shared" si="15"/>
        <v/>
      </c>
      <c r="BL41" s="157" t="str">
        <f t="shared" si="16"/>
        <v/>
      </c>
      <c r="BM41" s="72"/>
      <c r="BN41" s="72" t="str">
        <f t="shared" si="31"/>
        <v/>
      </c>
      <c r="BO41" s="72" t="str">
        <f t="shared" si="32"/>
        <v/>
      </c>
      <c r="BP41" s="39"/>
      <c r="BQ41" s="72" t="str">
        <f t="shared" si="37"/>
        <v/>
      </c>
      <c r="BR41" s="72" t="str">
        <f t="shared" si="33"/>
        <v/>
      </c>
    </row>
    <row r="42" spans="3:70" x14ac:dyDescent="0.15">
      <c r="D42" s="81" t="s">
        <v>179</v>
      </c>
      <c r="F42" s="88"/>
      <c r="I42" s="459">
        <f t="shared" si="34"/>
        <v>2057</v>
      </c>
      <c r="K42" s="9">
        <f t="shared" si="35"/>
        <v>28</v>
      </c>
      <c r="M42" s="7">
        <f t="shared" si="0"/>
        <v>0.4370767531704256</v>
      </c>
      <c r="O42" s="10" t="str">
        <f t="shared" si="36"/>
        <v/>
      </c>
      <c r="P42" s="29" t="str">
        <f t="shared" si="1"/>
        <v/>
      </c>
      <c r="R42" s="10" t="str">
        <f t="shared" si="17"/>
        <v/>
      </c>
      <c r="T42" s="10" t="str">
        <f t="shared" si="18"/>
        <v/>
      </c>
      <c r="V42" s="10" t="str">
        <f t="shared" si="2"/>
        <v/>
      </c>
      <c r="W42" s="10" t="str">
        <f t="shared" si="19"/>
        <v/>
      </c>
      <c r="Y42" s="10" t="str">
        <f t="shared" si="3"/>
        <v/>
      </c>
      <c r="Z42" s="10" t="str">
        <f t="shared" si="20"/>
        <v/>
      </c>
      <c r="AB42" s="10" t="str">
        <f t="shared" si="4"/>
        <v/>
      </c>
      <c r="AC42" s="10" t="str">
        <f t="shared" si="21"/>
        <v/>
      </c>
      <c r="AE42" s="10" t="str">
        <f t="shared" si="5"/>
        <v/>
      </c>
      <c r="AF42" s="10" t="str">
        <f t="shared" si="22"/>
        <v/>
      </c>
      <c r="AH42" s="10" t="str">
        <f t="shared" si="6"/>
        <v/>
      </c>
      <c r="AI42" s="10" t="str">
        <f t="shared" si="23"/>
        <v/>
      </c>
      <c r="AK42" s="10" t="str">
        <f t="shared" si="7"/>
        <v/>
      </c>
      <c r="AL42" s="10" t="str">
        <f t="shared" si="24"/>
        <v/>
      </c>
      <c r="AN42" s="10" t="str">
        <f t="shared" si="8"/>
        <v/>
      </c>
      <c r="AO42" s="10" t="str">
        <f t="shared" si="25"/>
        <v/>
      </c>
      <c r="AQ42" s="10" t="str">
        <f t="shared" si="9"/>
        <v/>
      </c>
      <c r="AR42" s="10" t="str">
        <f t="shared" si="26"/>
        <v/>
      </c>
      <c r="AT42" s="7" t="str">
        <f>IF($K42&lt;=$F$15,IF($F$41&lt;&gt;"",$F$41/1000,IF(ISERROR(VLOOKUP($F$3&amp;IF($G$4&lt;&gt;"",$G$4,"")&amp;IF($F$44&lt;&gt;"","_"&amp;$F$44,""),'表3）燃料価格'!$AF$9:$AG$25,2,0)),0,VLOOKUP($I42,'表3）燃料価格'!$A$6:$U$66,VLOOKUP($F$3&amp;IF($G$4&lt;&gt;"",$G$4,"")&amp;IF($F$44&lt;&gt;"","_"&amp;$F$44,""),'表3）燃料価格'!$AF$9:$AG$25,2,0)+VLOOKUP($F$42,'表3）燃料価格'!$AF$28:$AG$29,2,0),0)*IF($F$44="需要地価格",1,$F$8/$F$142))),"")</f>
        <v/>
      </c>
      <c r="AV42" s="10" t="str">
        <f t="shared" si="10"/>
        <v/>
      </c>
      <c r="AW42" s="10" t="str">
        <f t="shared" si="27"/>
        <v/>
      </c>
      <c r="AY42" s="7" t="str">
        <f>IF(ISERROR(IF($K42&lt;=$F$15,VLOOKUP($I42,'表4）CO2価格'!$A$7:$E$67,VLOOKUP($F$49,'表4）CO2価格'!$H$10:$I$12,2,0),0)*$F$8/1000,"")),0,IF($K42&lt;=$F$15,VLOOKUP($I42,'表4）CO2価格'!$A$7:$E$67,VLOOKUP($F$49,'表4）CO2価格'!$H$10:$I$12,2,0),0)*$F$8/1000,""))</f>
        <v/>
      </c>
      <c r="BA42" s="11" t="str">
        <f t="shared" si="11"/>
        <v/>
      </c>
      <c r="BB42" s="10" t="str">
        <f t="shared" si="28"/>
        <v/>
      </c>
      <c r="BD42" s="10" t="str">
        <f t="shared" si="12"/>
        <v/>
      </c>
      <c r="BE42" s="10" t="str">
        <f t="shared" si="29"/>
        <v/>
      </c>
      <c r="BG42" s="11" t="str">
        <f t="shared" si="13"/>
        <v/>
      </c>
      <c r="BH42" s="10" t="str">
        <f t="shared" si="30"/>
        <v/>
      </c>
      <c r="BJ42" s="7" t="str">
        <f t="shared" si="14"/>
        <v/>
      </c>
      <c r="BK42" s="158" t="str">
        <f t="shared" si="15"/>
        <v/>
      </c>
      <c r="BL42" s="158" t="str">
        <f t="shared" si="16"/>
        <v/>
      </c>
      <c r="BM42" s="10"/>
      <c r="BN42" s="10" t="str">
        <f t="shared" si="31"/>
        <v/>
      </c>
      <c r="BO42" s="10" t="str">
        <f t="shared" si="32"/>
        <v/>
      </c>
      <c r="BQ42" s="10" t="str">
        <f t="shared" si="37"/>
        <v/>
      </c>
      <c r="BR42" s="10" t="str">
        <f t="shared" si="33"/>
        <v/>
      </c>
    </row>
    <row r="43" spans="3:70" x14ac:dyDescent="0.15">
      <c r="D43" s="81" t="s">
        <v>180</v>
      </c>
      <c r="F43" s="59"/>
      <c r="G43" s="81" t="s">
        <v>181</v>
      </c>
      <c r="I43" s="458">
        <f t="shared" si="34"/>
        <v>2058</v>
      </c>
      <c r="J43" s="470"/>
      <c r="K43" s="470">
        <f t="shared" si="35"/>
        <v>29</v>
      </c>
      <c r="L43" s="470"/>
      <c r="M43" s="40">
        <f t="shared" si="0"/>
        <v>0.42434636230138412</v>
      </c>
      <c r="N43" s="39"/>
      <c r="O43" s="72" t="str">
        <f t="shared" si="36"/>
        <v/>
      </c>
      <c r="P43" s="41" t="str">
        <f t="shared" si="1"/>
        <v/>
      </c>
      <c r="Q43" s="39"/>
      <c r="R43" s="72" t="str">
        <f t="shared" si="17"/>
        <v/>
      </c>
      <c r="S43" s="39"/>
      <c r="T43" s="72" t="str">
        <f t="shared" si="18"/>
        <v/>
      </c>
      <c r="U43" s="39"/>
      <c r="V43" s="72" t="str">
        <f t="shared" si="2"/>
        <v/>
      </c>
      <c r="W43" s="72" t="str">
        <f t="shared" si="19"/>
        <v/>
      </c>
      <c r="X43" s="39"/>
      <c r="Y43" s="72" t="str">
        <f t="shared" si="3"/>
        <v/>
      </c>
      <c r="Z43" s="72" t="str">
        <f t="shared" si="20"/>
        <v/>
      </c>
      <c r="AA43" s="39"/>
      <c r="AB43" s="72" t="str">
        <f t="shared" si="4"/>
        <v/>
      </c>
      <c r="AC43" s="72" t="str">
        <f t="shared" si="21"/>
        <v/>
      </c>
      <c r="AD43" s="39"/>
      <c r="AE43" s="72" t="str">
        <f t="shared" si="5"/>
        <v/>
      </c>
      <c r="AF43" s="72" t="str">
        <f t="shared" si="22"/>
        <v/>
      </c>
      <c r="AG43" s="39"/>
      <c r="AH43" s="72" t="str">
        <f t="shared" si="6"/>
        <v/>
      </c>
      <c r="AI43" s="72" t="str">
        <f t="shared" si="23"/>
        <v/>
      </c>
      <c r="AJ43" s="39"/>
      <c r="AK43" s="72" t="str">
        <f t="shared" si="7"/>
        <v/>
      </c>
      <c r="AL43" s="72" t="str">
        <f t="shared" si="24"/>
        <v/>
      </c>
      <c r="AM43" s="39"/>
      <c r="AN43" s="72" t="str">
        <f t="shared" si="8"/>
        <v/>
      </c>
      <c r="AO43" s="72" t="str">
        <f t="shared" si="25"/>
        <v/>
      </c>
      <c r="AP43" s="39"/>
      <c r="AQ43" s="72" t="str">
        <f t="shared" si="9"/>
        <v/>
      </c>
      <c r="AR43" s="72" t="str">
        <f t="shared" si="26"/>
        <v/>
      </c>
      <c r="AS43" s="39"/>
      <c r="AT43" s="40" t="str">
        <f>IF($K43&lt;=$F$15,IF($F$41&lt;&gt;"",$F$41/1000,IF(ISERROR(VLOOKUP($F$3&amp;IF($G$4&lt;&gt;"",$G$4,"")&amp;IF($F$44&lt;&gt;"","_"&amp;$F$44,""),'表3）燃料価格'!$AF$9:$AG$25,2,0)),0,VLOOKUP($I43,'表3）燃料価格'!$A$6:$U$66,VLOOKUP($F$3&amp;IF($G$4&lt;&gt;"",$G$4,"")&amp;IF($F$44&lt;&gt;"","_"&amp;$F$44,""),'表3）燃料価格'!$AF$9:$AG$25,2,0)+VLOOKUP($F$42,'表3）燃料価格'!$AF$28:$AG$29,2,0),0)*IF($F$44="需要地価格",1,$F$8/$F$142))),"")</f>
        <v/>
      </c>
      <c r="AU43" s="39"/>
      <c r="AV43" s="72" t="str">
        <f t="shared" si="10"/>
        <v/>
      </c>
      <c r="AW43" s="72" t="str">
        <f t="shared" si="27"/>
        <v/>
      </c>
      <c r="AX43" s="39"/>
      <c r="AY43" s="40" t="str">
        <f>IF(ISERROR(IF($K43&lt;=$F$15,VLOOKUP($I43,'表4）CO2価格'!$A$7:$E$67,VLOOKUP($F$49,'表4）CO2価格'!$H$10:$I$12,2,0),0)*$F$8/1000,"")),0,IF($K43&lt;=$F$15,VLOOKUP($I43,'表4）CO2価格'!$A$7:$E$67,VLOOKUP($F$49,'表4）CO2価格'!$H$10:$I$12,2,0),0)*$F$8/1000,""))</f>
        <v/>
      </c>
      <c r="AZ43" s="39"/>
      <c r="BA43" s="42" t="str">
        <f t="shared" si="11"/>
        <v/>
      </c>
      <c r="BB43" s="72" t="str">
        <f t="shared" si="28"/>
        <v/>
      </c>
      <c r="BC43" s="39"/>
      <c r="BD43" s="72" t="str">
        <f t="shared" si="12"/>
        <v/>
      </c>
      <c r="BE43" s="72" t="str">
        <f t="shared" si="29"/>
        <v/>
      </c>
      <c r="BF43" s="39"/>
      <c r="BG43" s="42" t="str">
        <f t="shared" si="13"/>
        <v/>
      </c>
      <c r="BH43" s="72" t="str">
        <f t="shared" si="30"/>
        <v/>
      </c>
      <c r="BI43" s="39"/>
      <c r="BJ43" s="40" t="str">
        <f t="shared" si="14"/>
        <v/>
      </c>
      <c r="BK43" s="157" t="str">
        <f t="shared" si="15"/>
        <v/>
      </c>
      <c r="BL43" s="157" t="str">
        <f t="shared" si="16"/>
        <v/>
      </c>
      <c r="BM43" s="72"/>
      <c r="BN43" s="72" t="str">
        <f t="shared" si="31"/>
        <v/>
      </c>
      <c r="BO43" s="72" t="str">
        <f t="shared" si="32"/>
        <v/>
      </c>
      <c r="BP43" s="39"/>
      <c r="BQ43" s="72" t="str">
        <f t="shared" si="37"/>
        <v/>
      </c>
      <c r="BR43" s="72" t="str">
        <f t="shared" si="33"/>
        <v/>
      </c>
    </row>
    <row r="44" spans="3:70" x14ac:dyDescent="0.15">
      <c r="D44" s="82" t="s">
        <v>126</v>
      </c>
      <c r="F44" s="88"/>
      <c r="I44" s="459">
        <f t="shared" si="34"/>
        <v>2059</v>
      </c>
      <c r="K44" s="9">
        <f t="shared" si="35"/>
        <v>30</v>
      </c>
      <c r="M44" s="7">
        <f t="shared" si="0"/>
        <v>0.41198675951590691</v>
      </c>
      <c r="O44" s="10" t="str">
        <f t="shared" si="36"/>
        <v/>
      </c>
      <c r="P44" s="29" t="str">
        <f t="shared" si="1"/>
        <v/>
      </c>
      <c r="R44" s="10" t="str">
        <f t="shared" si="17"/>
        <v/>
      </c>
      <c r="T44" s="10" t="str">
        <f t="shared" si="18"/>
        <v/>
      </c>
      <c r="V44" s="10" t="str">
        <f t="shared" si="2"/>
        <v/>
      </c>
      <c r="W44" s="10" t="str">
        <f t="shared" si="19"/>
        <v/>
      </c>
      <c r="Y44" s="10" t="str">
        <f t="shared" si="3"/>
        <v/>
      </c>
      <c r="Z44" s="10" t="str">
        <f t="shared" si="20"/>
        <v/>
      </c>
      <c r="AB44" s="10" t="str">
        <f t="shared" si="4"/>
        <v/>
      </c>
      <c r="AC44" s="10" t="str">
        <f t="shared" si="21"/>
        <v/>
      </c>
      <c r="AE44" s="10" t="str">
        <f t="shared" si="5"/>
        <v/>
      </c>
      <c r="AF44" s="10" t="str">
        <f t="shared" si="22"/>
        <v/>
      </c>
      <c r="AH44" s="10" t="str">
        <f t="shared" si="6"/>
        <v/>
      </c>
      <c r="AI44" s="10" t="str">
        <f t="shared" si="23"/>
        <v/>
      </c>
      <c r="AK44" s="10" t="str">
        <f t="shared" si="7"/>
        <v/>
      </c>
      <c r="AL44" s="10" t="str">
        <f t="shared" si="24"/>
        <v/>
      </c>
      <c r="AN44" s="10" t="str">
        <f t="shared" si="8"/>
        <v/>
      </c>
      <c r="AO44" s="10" t="str">
        <f t="shared" si="25"/>
        <v/>
      </c>
      <c r="AQ44" s="10" t="str">
        <f t="shared" si="9"/>
        <v/>
      </c>
      <c r="AR44" s="10" t="str">
        <f t="shared" si="26"/>
        <v/>
      </c>
      <c r="AT44" s="7" t="str">
        <f>IF($K44&lt;=$F$15,IF($F$41&lt;&gt;"",$F$41/1000,IF(ISERROR(VLOOKUP($F$3&amp;IF($G$4&lt;&gt;"",$G$4,"")&amp;IF($F$44&lt;&gt;"","_"&amp;$F$44,""),'表3）燃料価格'!$AF$9:$AG$25,2,0)),0,VLOOKUP($I44,'表3）燃料価格'!$A$6:$U$66,VLOOKUP($F$3&amp;IF($G$4&lt;&gt;"",$G$4,"")&amp;IF($F$44&lt;&gt;"","_"&amp;$F$44,""),'表3）燃料価格'!$AF$9:$AG$25,2,0)+VLOOKUP($F$42,'表3）燃料価格'!$AF$28:$AG$29,2,0),0)*IF($F$44="需要地価格",1,$F$8/$F$142))),"")</f>
        <v/>
      </c>
      <c r="AV44" s="10" t="str">
        <f t="shared" si="10"/>
        <v/>
      </c>
      <c r="AW44" s="10" t="str">
        <f t="shared" si="27"/>
        <v/>
      </c>
      <c r="AY44" s="7" t="str">
        <f>IF(ISERROR(IF($K44&lt;=$F$15,VLOOKUP($I44,'表4）CO2価格'!$A$7:$E$67,VLOOKUP($F$49,'表4）CO2価格'!$H$10:$I$12,2,0),0)*$F$8/1000,"")),0,IF($K44&lt;=$F$15,VLOOKUP($I44,'表4）CO2価格'!$A$7:$E$67,VLOOKUP($F$49,'表4）CO2価格'!$H$10:$I$12,2,0),0)*$F$8/1000,""))</f>
        <v/>
      </c>
      <c r="BA44" s="11" t="str">
        <f t="shared" si="11"/>
        <v/>
      </c>
      <c r="BB44" s="10" t="str">
        <f t="shared" si="28"/>
        <v/>
      </c>
      <c r="BD44" s="10" t="str">
        <f t="shared" si="12"/>
        <v/>
      </c>
      <c r="BE44" s="10" t="str">
        <f t="shared" si="29"/>
        <v/>
      </c>
      <c r="BG44" s="11" t="str">
        <f t="shared" si="13"/>
        <v/>
      </c>
      <c r="BH44" s="10" t="str">
        <f t="shared" si="30"/>
        <v/>
      </c>
      <c r="BJ44" s="7" t="str">
        <f t="shared" si="14"/>
        <v/>
      </c>
      <c r="BK44" s="158" t="str">
        <f t="shared" si="15"/>
        <v/>
      </c>
      <c r="BL44" s="158" t="str">
        <f t="shared" si="16"/>
        <v/>
      </c>
      <c r="BM44" s="10"/>
      <c r="BN44" s="10" t="str">
        <f t="shared" si="31"/>
        <v/>
      </c>
      <c r="BO44" s="10" t="str">
        <f t="shared" si="32"/>
        <v/>
      </c>
      <c r="BQ44" s="10" t="str">
        <f t="shared" si="37"/>
        <v/>
      </c>
      <c r="BR44" s="10" t="str">
        <f t="shared" si="33"/>
        <v/>
      </c>
    </row>
    <row r="45" spans="3:70" x14ac:dyDescent="0.15">
      <c r="I45" s="458">
        <f t="shared" si="34"/>
        <v>2060</v>
      </c>
      <c r="J45" s="470"/>
      <c r="K45" s="470">
        <f t="shared" si="35"/>
        <v>31</v>
      </c>
      <c r="L45" s="470"/>
      <c r="M45" s="40">
        <f t="shared" si="0"/>
        <v>0.39998714516107459</v>
      </c>
      <c r="N45" s="39"/>
      <c r="O45" s="72" t="str">
        <f t="shared" si="36"/>
        <v/>
      </c>
      <c r="P45" s="41" t="str">
        <f t="shared" si="1"/>
        <v/>
      </c>
      <c r="Q45" s="39"/>
      <c r="R45" s="72" t="str">
        <f t="shared" si="17"/>
        <v/>
      </c>
      <c r="S45" s="39"/>
      <c r="T45" s="72" t="str">
        <f t="shared" si="18"/>
        <v/>
      </c>
      <c r="U45" s="39"/>
      <c r="V45" s="72" t="str">
        <f t="shared" si="2"/>
        <v/>
      </c>
      <c r="W45" s="72" t="str">
        <f t="shared" si="19"/>
        <v/>
      </c>
      <c r="X45" s="39"/>
      <c r="Y45" s="72" t="str">
        <f t="shared" si="3"/>
        <v/>
      </c>
      <c r="Z45" s="72" t="str">
        <f t="shared" si="20"/>
        <v/>
      </c>
      <c r="AA45" s="39"/>
      <c r="AB45" s="72" t="str">
        <f t="shared" si="4"/>
        <v/>
      </c>
      <c r="AC45" s="72" t="str">
        <f t="shared" si="21"/>
        <v/>
      </c>
      <c r="AD45" s="39"/>
      <c r="AE45" s="72" t="str">
        <f t="shared" si="5"/>
        <v/>
      </c>
      <c r="AF45" s="72" t="str">
        <f t="shared" si="22"/>
        <v/>
      </c>
      <c r="AG45" s="39"/>
      <c r="AH45" s="72" t="str">
        <f t="shared" si="6"/>
        <v/>
      </c>
      <c r="AI45" s="72" t="str">
        <f t="shared" si="23"/>
        <v/>
      </c>
      <c r="AJ45" s="39"/>
      <c r="AK45" s="72" t="str">
        <f t="shared" si="7"/>
        <v/>
      </c>
      <c r="AL45" s="72" t="str">
        <f t="shared" si="24"/>
        <v/>
      </c>
      <c r="AM45" s="39"/>
      <c r="AN45" s="72" t="str">
        <f t="shared" si="8"/>
        <v/>
      </c>
      <c r="AO45" s="72" t="str">
        <f t="shared" si="25"/>
        <v/>
      </c>
      <c r="AP45" s="39"/>
      <c r="AQ45" s="72" t="str">
        <f t="shared" si="9"/>
        <v/>
      </c>
      <c r="AR45" s="72" t="str">
        <f t="shared" si="26"/>
        <v/>
      </c>
      <c r="AS45" s="39"/>
      <c r="AT45" s="40" t="str">
        <f>IF($K45&lt;=$F$15,IF($F$41&lt;&gt;"",$F$41/1000,IF(ISERROR(VLOOKUP($F$3&amp;IF($G$4&lt;&gt;"",$G$4,"")&amp;IF($F$44&lt;&gt;"","_"&amp;$F$44,""),'表3）燃料価格'!$AF$9:$AG$25,2,0)),0,VLOOKUP($I45,'表3）燃料価格'!$A$6:$U$66,VLOOKUP($F$3&amp;IF($G$4&lt;&gt;"",$G$4,"")&amp;IF($F$44&lt;&gt;"","_"&amp;$F$44,""),'表3）燃料価格'!$AF$9:$AG$25,2,0)+VLOOKUP($F$42,'表3）燃料価格'!$AF$28:$AG$29,2,0),0)*IF($F$44="需要地価格",1,$F$8/$F$142))),"")</f>
        <v/>
      </c>
      <c r="AU45" s="39"/>
      <c r="AV45" s="72" t="str">
        <f t="shared" si="10"/>
        <v/>
      </c>
      <c r="AW45" s="72" t="str">
        <f t="shared" si="27"/>
        <v/>
      </c>
      <c r="AX45" s="39"/>
      <c r="AY45" s="40" t="str">
        <f>IF(ISERROR(IF($K45&lt;=$F$15,VLOOKUP($I45,'表4）CO2価格'!$A$7:$E$67,VLOOKUP($F$49,'表4）CO2価格'!$H$10:$I$12,2,0),0)*$F$8/1000,"")),0,IF($K45&lt;=$F$15,VLOOKUP($I45,'表4）CO2価格'!$A$7:$E$67,VLOOKUP($F$49,'表4）CO2価格'!$H$10:$I$12,2,0),0)*$F$8/1000,""))</f>
        <v/>
      </c>
      <c r="AZ45" s="39"/>
      <c r="BA45" s="42" t="str">
        <f t="shared" si="11"/>
        <v/>
      </c>
      <c r="BB45" s="72" t="str">
        <f t="shared" si="28"/>
        <v/>
      </c>
      <c r="BC45" s="39"/>
      <c r="BD45" s="72" t="str">
        <f t="shared" si="12"/>
        <v/>
      </c>
      <c r="BE45" s="72" t="str">
        <f t="shared" si="29"/>
        <v/>
      </c>
      <c r="BF45" s="39"/>
      <c r="BG45" s="42" t="str">
        <f t="shared" si="13"/>
        <v/>
      </c>
      <c r="BH45" s="72" t="str">
        <f t="shared" si="30"/>
        <v/>
      </c>
      <c r="BI45" s="39"/>
      <c r="BJ45" s="40" t="str">
        <f t="shared" si="14"/>
        <v/>
      </c>
      <c r="BK45" s="157" t="str">
        <f t="shared" si="15"/>
        <v/>
      </c>
      <c r="BL45" s="157" t="str">
        <f t="shared" si="16"/>
        <v/>
      </c>
      <c r="BM45" s="72"/>
      <c r="BN45" s="72" t="str">
        <f t="shared" si="31"/>
        <v/>
      </c>
      <c r="BO45" s="72" t="str">
        <f t="shared" si="32"/>
        <v/>
      </c>
      <c r="BP45" s="39"/>
      <c r="BQ45" s="72" t="str">
        <f t="shared" si="37"/>
        <v/>
      </c>
      <c r="BR45" s="72" t="str">
        <f t="shared" si="33"/>
        <v/>
      </c>
    </row>
    <row r="46" spans="3:70" x14ac:dyDescent="0.15">
      <c r="C46" s="89" t="s">
        <v>509</v>
      </c>
      <c r="D46" s="101"/>
      <c r="E46" s="101"/>
      <c r="F46" s="89"/>
      <c r="G46" s="101"/>
      <c r="I46" s="459">
        <f t="shared" si="34"/>
        <v>2061</v>
      </c>
      <c r="K46" s="9">
        <f t="shared" si="35"/>
        <v>32</v>
      </c>
      <c r="M46" s="7">
        <f t="shared" si="0"/>
        <v>0.38833703413696569</v>
      </c>
      <c r="O46" s="10" t="str">
        <f t="shared" si="36"/>
        <v/>
      </c>
      <c r="P46" s="29" t="str">
        <f t="shared" si="1"/>
        <v/>
      </c>
      <c r="R46" s="10" t="str">
        <f t="shared" si="17"/>
        <v/>
      </c>
      <c r="T46" s="10" t="str">
        <f t="shared" si="18"/>
        <v/>
      </c>
      <c r="V46" s="10" t="str">
        <f t="shared" si="2"/>
        <v/>
      </c>
      <c r="W46" s="10" t="str">
        <f t="shared" si="19"/>
        <v/>
      </c>
      <c r="Y46" s="10" t="str">
        <f t="shared" si="3"/>
        <v/>
      </c>
      <c r="Z46" s="10" t="str">
        <f t="shared" si="20"/>
        <v/>
      </c>
      <c r="AB46" s="10" t="str">
        <f t="shared" si="4"/>
        <v/>
      </c>
      <c r="AC46" s="10" t="str">
        <f t="shared" si="21"/>
        <v/>
      </c>
      <c r="AE46" s="10" t="str">
        <f t="shared" si="5"/>
        <v/>
      </c>
      <c r="AF46" s="10" t="str">
        <f t="shared" si="22"/>
        <v/>
      </c>
      <c r="AH46" s="10" t="str">
        <f t="shared" si="6"/>
        <v/>
      </c>
      <c r="AI46" s="10" t="str">
        <f t="shared" si="23"/>
        <v/>
      </c>
      <c r="AK46" s="10" t="str">
        <f t="shared" si="7"/>
        <v/>
      </c>
      <c r="AL46" s="10" t="str">
        <f t="shared" si="24"/>
        <v/>
      </c>
      <c r="AN46" s="10" t="str">
        <f t="shared" si="8"/>
        <v/>
      </c>
      <c r="AO46" s="10" t="str">
        <f t="shared" si="25"/>
        <v/>
      </c>
      <c r="AQ46" s="10" t="str">
        <f t="shared" si="9"/>
        <v/>
      </c>
      <c r="AR46" s="10" t="str">
        <f t="shared" si="26"/>
        <v/>
      </c>
      <c r="AT46" s="7" t="str">
        <f>IF($K46&lt;=$F$15,IF($F$41&lt;&gt;"",$F$41/1000,IF(ISERROR(VLOOKUP($F$3&amp;IF($G$4&lt;&gt;"",$G$4,"")&amp;IF($F$44&lt;&gt;"","_"&amp;$F$44,""),'表3）燃料価格'!$AF$9:$AG$25,2,0)),0,VLOOKUP($I46,'表3）燃料価格'!$A$6:$U$66,VLOOKUP($F$3&amp;IF($G$4&lt;&gt;"",$G$4,"")&amp;IF($F$44&lt;&gt;"","_"&amp;$F$44,""),'表3）燃料価格'!$AF$9:$AG$25,2,0)+VLOOKUP($F$42,'表3）燃料価格'!$AF$28:$AG$29,2,0),0)*IF($F$44="需要地価格",1,$F$8/$F$142))),"")</f>
        <v/>
      </c>
      <c r="AV46" s="10" t="str">
        <f t="shared" si="10"/>
        <v/>
      </c>
      <c r="AW46" s="10" t="str">
        <f t="shared" si="27"/>
        <v/>
      </c>
      <c r="AY46" s="7" t="str">
        <f>IF(ISERROR(IF($K46&lt;=$F$15,VLOOKUP($I46,'表4）CO2価格'!$A$7:$E$67,VLOOKUP($F$49,'表4）CO2価格'!$H$10:$I$12,2,0),0)*$F$8/1000,"")),0,IF($K46&lt;=$F$15,VLOOKUP($I46,'表4）CO2価格'!$A$7:$E$67,VLOOKUP($F$49,'表4）CO2価格'!$H$10:$I$12,2,0),0)*$F$8/1000,""))</f>
        <v/>
      </c>
      <c r="BA46" s="11" t="str">
        <f t="shared" si="11"/>
        <v/>
      </c>
      <c r="BB46" s="10" t="str">
        <f t="shared" si="28"/>
        <v/>
      </c>
      <c r="BD46" s="10" t="str">
        <f t="shared" si="12"/>
        <v/>
      </c>
      <c r="BE46" s="10" t="str">
        <f t="shared" si="29"/>
        <v/>
      </c>
      <c r="BG46" s="11" t="str">
        <f t="shared" si="13"/>
        <v/>
      </c>
      <c r="BH46" s="10" t="str">
        <f t="shared" si="30"/>
        <v/>
      </c>
      <c r="BJ46" s="7" t="str">
        <f t="shared" si="14"/>
        <v/>
      </c>
      <c r="BK46" s="158" t="str">
        <f t="shared" si="15"/>
        <v/>
      </c>
      <c r="BL46" s="158" t="str">
        <f t="shared" si="16"/>
        <v/>
      </c>
      <c r="BM46" s="10"/>
      <c r="BN46" s="10" t="str">
        <f t="shared" si="31"/>
        <v/>
      </c>
      <c r="BO46" s="10" t="str">
        <f t="shared" si="32"/>
        <v/>
      </c>
      <c r="BQ46" s="10" t="str">
        <f t="shared" si="37"/>
        <v/>
      </c>
      <c r="BR46" s="10" t="str">
        <f t="shared" si="33"/>
        <v/>
      </c>
    </row>
    <row r="47" spans="3:70" x14ac:dyDescent="0.15">
      <c r="I47" s="458">
        <f t="shared" si="34"/>
        <v>2062</v>
      </c>
      <c r="J47" s="470"/>
      <c r="K47" s="470">
        <f t="shared" si="35"/>
        <v>33</v>
      </c>
      <c r="L47" s="470"/>
      <c r="M47" s="40">
        <f t="shared" si="0"/>
        <v>0.37702624673491814</v>
      </c>
      <c r="N47" s="39"/>
      <c r="O47" s="72" t="str">
        <f t="shared" si="36"/>
        <v/>
      </c>
      <c r="P47" s="41" t="str">
        <f t="shared" ref="P47:P78" si="38">IF(K47&lt;=$F$15,IF(OR(P46=$F$125,P46="-"),"-",IF(O47*$F$124&gt;$F$128,$F$124,$F$125)),"")</f>
        <v/>
      </c>
      <c r="Q47" s="39"/>
      <c r="R47" s="72" t="str">
        <f t="shared" si="17"/>
        <v/>
      </c>
      <c r="S47" s="39"/>
      <c r="T47" s="72" t="str">
        <f t="shared" si="18"/>
        <v/>
      </c>
      <c r="U47" s="39"/>
      <c r="V47" s="72" t="str">
        <f t="shared" ref="V47:V78" si="39">IF(K47&lt;=$F$15,IF(K47&lt;$F$120,IF(P47="-",V46,O47*P47),IF(K47=$F$120,MIN(IF(P47="-",V46,O47*P47),O47),0)),"")</f>
        <v/>
      </c>
      <c r="W47" s="72" t="str">
        <f t="shared" si="19"/>
        <v/>
      </c>
      <c r="X47" s="39"/>
      <c r="Y47" s="72" t="str">
        <f t="shared" ref="Y47:Y78" si="40">IF($K47&lt;=$F$15,ROUNDDOWN(T47*$F$26/100,-2),"")</f>
        <v/>
      </c>
      <c r="Z47" s="72" t="str">
        <f t="shared" si="20"/>
        <v/>
      </c>
      <c r="AA47" s="39"/>
      <c r="AB47" s="72" t="str">
        <f t="shared" ref="AB47:AB78" si="41">IF($K47&lt;=$F$15,0,IF(AND($K47&gt;$F$15,$K47&lt;=$F$15+$F$29),$F$28*10^8/$F$29,""))</f>
        <v/>
      </c>
      <c r="AC47" s="72" t="str">
        <f t="shared" si="21"/>
        <v/>
      </c>
      <c r="AD47" s="39"/>
      <c r="AE47" s="72" t="str">
        <f t="shared" ref="AE47:AE78" si="42">IF($K47&lt;=$F$15,$F$27,"")</f>
        <v/>
      </c>
      <c r="AF47" s="72" t="str">
        <f t="shared" si="22"/>
        <v/>
      </c>
      <c r="AG47" s="39"/>
      <c r="AH47" s="72" t="str">
        <f t="shared" ref="AH47:AH78" si="43">IF($K47&lt;=$F$15,$F$34*10^4*$F$13*10^4,"")</f>
        <v/>
      </c>
      <c r="AI47" s="72" t="str">
        <f t="shared" si="23"/>
        <v/>
      </c>
      <c r="AJ47" s="39"/>
      <c r="AK47" s="72" t="str">
        <f t="shared" ref="AK47:AK78" si="44">IF($K47&lt;=$F$15,$F$118*$F$35/100,"")</f>
        <v/>
      </c>
      <c r="AL47" s="72" t="str">
        <f t="shared" si="24"/>
        <v/>
      </c>
      <c r="AM47" s="39"/>
      <c r="AN47" s="72" t="str">
        <f t="shared" ref="AN47:AN78" si="45">IF($K47&lt;=$F$15,$F$118*$F$36/100,"")</f>
        <v/>
      </c>
      <c r="AO47" s="72" t="str">
        <f t="shared" si="25"/>
        <v/>
      </c>
      <c r="AP47" s="39"/>
      <c r="AQ47" s="72" t="str">
        <f t="shared" ref="AQ47:AQ78" si="46">IF($K47&lt;=$F$15,SUM(AH47,AK47,AN47)*($F$37/100),"")</f>
        <v/>
      </c>
      <c r="AR47" s="72" t="str">
        <f t="shared" si="26"/>
        <v/>
      </c>
      <c r="AS47" s="39"/>
      <c r="AT47" s="40" t="str">
        <f>IF($K47&lt;=$F$15,IF($F$41&lt;&gt;"",$F$41/1000,IF(ISERROR(VLOOKUP($F$3&amp;IF($G$4&lt;&gt;"",$G$4,"")&amp;IF($F$44&lt;&gt;"","_"&amp;$F$44,""),'表3）燃料価格'!$AF$9:$AG$25,2,0)),0,VLOOKUP($I47,'表3）燃料価格'!$A$6:$U$66,VLOOKUP($F$3&amp;IF($G$4&lt;&gt;"",$G$4,"")&amp;IF($F$44&lt;&gt;"","_"&amp;$F$44,""),'表3）燃料価格'!$AF$9:$AG$25,2,0)+VLOOKUP($F$42,'表3）燃料価格'!$AF$28:$AG$29,2,0),0)*IF($F$44="需要地価格",1,$F$8/$F$142))),"")</f>
        <v/>
      </c>
      <c r="AU47" s="39"/>
      <c r="AV47" s="72" t="str">
        <f t="shared" ref="AV47:AV78" si="47">IF($K47&lt;=$F$15,($AT47+$F$143)*$F$138,"")</f>
        <v/>
      </c>
      <c r="AW47" s="72" t="str">
        <f t="shared" si="27"/>
        <v/>
      </c>
      <c r="AX47" s="39"/>
      <c r="AY47" s="40" t="str">
        <f>IF(ISERROR(IF($K47&lt;=$F$15,VLOOKUP($I47,'表4）CO2価格'!$A$7:$E$67,VLOOKUP($F$49,'表4）CO2価格'!$H$10:$I$12,2,0),0)*$F$8/1000,"")),0,IF($K47&lt;=$F$15,VLOOKUP($I47,'表4）CO2価格'!$A$7:$E$67,VLOOKUP($F$49,'表4）CO2価格'!$H$10:$I$12,2,0),0)*$F$8/1000,""))</f>
        <v/>
      </c>
      <c r="AZ47" s="39"/>
      <c r="BA47" s="42" t="str">
        <f t="shared" ref="BA47:BA78" si="48">IF($K47&lt;=$F$15,$F$146*AY47,"")</f>
        <v/>
      </c>
      <c r="BB47" s="72" t="str">
        <f t="shared" si="28"/>
        <v/>
      </c>
      <c r="BC47" s="39"/>
      <c r="BD47" s="72" t="str">
        <f t="shared" ref="BD47:BD78" si="49">IF($K47&lt;=$F$15,($AT47+$F$153)*$F$152,"")</f>
        <v/>
      </c>
      <c r="BE47" s="72" t="str">
        <f t="shared" si="29"/>
        <v/>
      </c>
      <c r="BF47" s="39"/>
      <c r="BG47" s="42" t="str">
        <f t="shared" ref="BG47:BG78" si="50">IF($K47&lt;=$F$15,$F$154*AY47,"")</f>
        <v/>
      </c>
      <c r="BH47" s="72" t="str">
        <f t="shared" si="30"/>
        <v/>
      </c>
      <c r="BI47" s="39"/>
      <c r="BJ47" s="40" t="str">
        <f t="shared" ref="BJ47:BJ78" si="51">IF(ISNUMBER($F$16),IF($K47&lt;=$F$16+$F$29,1/(1+($F$17/100))^K47,""),"")</f>
        <v/>
      </c>
      <c r="BK47" s="157" t="str">
        <f t="shared" ref="BK47:BK78" si="52">IF(ISNUMBER($F$16),IF($K47&lt;=$F$16+$F$29,IF($K47&lt;=$F$16,SUM(Y47,AB47,AE47,AH47,AK47,AN47,AQ47,AV47,BA47,BD47,BG47),$F$28/$F$29*10^8)*BJ47,""),"")</f>
        <v/>
      </c>
      <c r="BL47" s="157" t="str">
        <f t="shared" si="16"/>
        <v/>
      </c>
      <c r="BM47" s="72"/>
      <c r="BN47" s="72" t="str">
        <f t="shared" si="31"/>
        <v/>
      </c>
      <c r="BO47" s="72" t="str">
        <f t="shared" si="32"/>
        <v/>
      </c>
      <c r="BP47" s="39"/>
      <c r="BQ47" s="72" t="str">
        <f t="shared" si="37"/>
        <v/>
      </c>
      <c r="BR47" s="72" t="str">
        <f t="shared" si="33"/>
        <v/>
      </c>
    </row>
    <row r="48" spans="3:70" x14ac:dyDescent="0.15">
      <c r="D48" s="81" t="s">
        <v>182</v>
      </c>
      <c r="F48" s="66"/>
      <c r="G48" s="81" t="s">
        <v>226</v>
      </c>
      <c r="I48" s="459">
        <f t="shared" si="34"/>
        <v>2063</v>
      </c>
      <c r="K48" s="9">
        <f t="shared" si="35"/>
        <v>34</v>
      </c>
      <c r="M48" s="7">
        <f t="shared" si="0"/>
        <v>0.36604489974263904</v>
      </c>
      <c r="O48" s="10" t="str">
        <f t="shared" si="36"/>
        <v/>
      </c>
      <c r="P48" s="29" t="str">
        <f t="shared" si="38"/>
        <v/>
      </c>
      <c r="R48" s="10" t="str">
        <f t="shared" ref="R48:R79" si="53">IF($K48&lt;=$F$15,MAX($F$118*5%,R47*$F$130),"")</f>
        <v/>
      </c>
      <c r="T48" s="10" t="str">
        <f t="shared" si="18"/>
        <v/>
      </c>
      <c r="V48" s="10" t="str">
        <f t="shared" si="39"/>
        <v/>
      </c>
      <c r="W48" s="10" t="str">
        <f t="shared" si="19"/>
        <v/>
      </c>
      <c r="Y48" s="10" t="str">
        <f t="shared" si="40"/>
        <v/>
      </c>
      <c r="Z48" s="10" t="str">
        <f t="shared" si="20"/>
        <v/>
      </c>
      <c r="AB48" s="10" t="str">
        <f t="shared" si="41"/>
        <v/>
      </c>
      <c r="AC48" s="10" t="str">
        <f t="shared" si="21"/>
        <v/>
      </c>
      <c r="AE48" s="10" t="str">
        <f t="shared" si="42"/>
        <v/>
      </c>
      <c r="AF48" s="10" t="str">
        <f t="shared" si="22"/>
        <v/>
      </c>
      <c r="AH48" s="10" t="str">
        <f t="shared" si="43"/>
        <v/>
      </c>
      <c r="AI48" s="10" t="str">
        <f t="shared" si="23"/>
        <v/>
      </c>
      <c r="AK48" s="10" t="str">
        <f t="shared" si="44"/>
        <v/>
      </c>
      <c r="AL48" s="10" t="str">
        <f t="shared" si="24"/>
        <v/>
      </c>
      <c r="AN48" s="10" t="str">
        <f t="shared" si="45"/>
        <v/>
      </c>
      <c r="AO48" s="10" t="str">
        <f t="shared" si="25"/>
        <v/>
      </c>
      <c r="AQ48" s="10" t="str">
        <f t="shared" si="46"/>
        <v/>
      </c>
      <c r="AR48" s="10" t="str">
        <f t="shared" si="26"/>
        <v/>
      </c>
      <c r="AT48" s="7" t="str">
        <f>IF($K48&lt;=$F$15,IF($F$41&lt;&gt;"",$F$41/1000,IF(ISERROR(VLOOKUP($F$3&amp;IF($G$4&lt;&gt;"",$G$4,"")&amp;IF($F$44&lt;&gt;"","_"&amp;$F$44,""),'表3）燃料価格'!$AF$9:$AG$25,2,0)),0,VLOOKUP($I48,'表3）燃料価格'!$A$6:$U$66,VLOOKUP($F$3&amp;IF($G$4&lt;&gt;"",$G$4,"")&amp;IF($F$44&lt;&gt;"","_"&amp;$F$44,""),'表3）燃料価格'!$AF$9:$AG$25,2,0)+VLOOKUP($F$42,'表3）燃料価格'!$AF$28:$AG$29,2,0),0)*IF($F$44="需要地価格",1,$F$8/$F$142))),"")</f>
        <v/>
      </c>
      <c r="AV48" s="10" t="str">
        <f t="shared" si="47"/>
        <v/>
      </c>
      <c r="AW48" s="10" t="str">
        <f t="shared" si="27"/>
        <v/>
      </c>
      <c r="AY48" s="7" t="str">
        <f>IF(ISERROR(IF($K48&lt;=$F$15,VLOOKUP($I48,'表4）CO2価格'!$A$7:$E$67,VLOOKUP($F$49,'表4）CO2価格'!$H$10:$I$12,2,0),0)*$F$8/1000,"")),0,IF($K48&lt;=$F$15,VLOOKUP($I48,'表4）CO2価格'!$A$7:$E$67,VLOOKUP($F$49,'表4）CO2価格'!$H$10:$I$12,2,0),0)*$F$8/1000,""))</f>
        <v/>
      </c>
      <c r="BA48" s="11" t="str">
        <f t="shared" si="48"/>
        <v/>
      </c>
      <c r="BB48" s="10" t="str">
        <f t="shared" si="28"/>
        <v/>
      </c>
      <c r="BD48" s="10" t="str">
        <f t="shared" si="49"/>
        <v/>
      </c>
      <c r="BE48" s="10" t="str">
        <f t="shared" si="29"/>
        <v/>
      </c>
      <c r="BG48" s="11" t="str">
        <f t="shared" si="50"/>
        <v/>
      </c>
      <c r="BH48" s="10" t="str">
        <f t="shared" si="30"/>
        <v/>
      </c>
      <c r="BJ48" s="7" t="str">
        <f t="shared" si="51"/>
        <v/>
      </c>
      <c r="BK48" s="158" t="str">
        <f t="shared" si="52"/>
        <v/>
      </c>
      <c r="BL48" s="158" t="str">
        <f t="shared" si="16"/>
        <v/>
      </c>
      <c r="BM48" s="10"/>
      <c r="BN48" s="10" t="str">
        <f t="shared" si="31"/>
        <v/>
      </c>
      <c r="BO48" s="10" t="str">
        <f t="shared" si="32"/>
        <v/>
      </c>
      <c r="BQ48" s="10" t="str">
        <f t="shared" si="37"/>
        <v/>
      </c>
      <c r="BR48" s="10" t="str">
        <f t="shared" si="33"/>
        <v/>
      </c>
    </row>
    <row r="49" spans="3:70" x14ac:dyDescent="0.15">
      <c r="D49" s="81" t="s">
        <v>184</v>
      </c>
      <c r="F49" s="88"/>
      <c r="I49" s="458">
        <f t="shared" si="34"/>
        <v>2064</v>
      </c>
      <c r="J49" s="470"/>
      <c r="K49" s="470">
        <f t="shared" si="35"/>
        <v>35</v>
      </c>
      <c r="L49" s="470"/>
      <c r="M49" s="40">
        <f t="shared" si="0"/>
        <v>0.35538339780838735</v>
      </c>
      <c r="N49" s="39"/>
      <c r="O49" s="72" t="str">
        <f t="shared" si="36"/>
        <v/>
      </c>
      <c r="P49" s="41" t="str">
        <f t="shared" si="38"/>
        <v/>
      </c>
      <c r="Q49" s="39"/>
      <c r="R49" s="72" t="str">
        <f t="shared" si="53"/>
        <v/>
      </c>
      <c r="S49" s="39"/>
      <c r="T49" s="72" t="str">
        <f t="shared" si="18"/>
        <v/>
      </c>
      <c r="U49" s="39"/>
      <c r="V49" s="72" t="str">
        <f t="shared" si="39"/>
        <v/>
      </c>
      <c r="W49" s="72" t="str">
        <f t="shared" si="19"/>
        <v/>
      </c>
      <c r="X49" s="39"/>
      <c r="Y49" s="72" t="str">
        <f t="shared" si="40"/>
        <v/>
      </c>
      <c r="Z49" s="72" t="str">
        <f t="shared" si="20"/>
        <v/>
      </c>
      <c r="AA49" s="39"/>
      <c r="AB49" s="72" t="str">
        <f t="shared" si="41"/>
        <v/>
      </c>
      <c r="AC49" s="72" t="str">
        <f t="shared" si="21"/>
        <v/>
      </c>
      <c r="AD49" s="39"/>
      <c r="AE49" s="72" t="str">
        <f t="shared" si="42"/>
        <v/>
      </c>
      <c r="AF49" s="72" t="str">
        <f t="shared" si="22"/>
        <v/>
      </c>
      <c r="AG49" s="39"/>
      <c r="AH49" s="72" t="str">
        <f t="shared" si="43"/>
        <v/>
      </c>
      <c r="AI49" s="72" t="str">
        <f t="shared" si="23"/>
        <v/>
      </c>
      <c r="AJ49" s="39"/>
      <c r="AK49" s="72" t="str">
        <f t="shared" si="44"/>
        <v/>
      </c>
      <c r="AL49" s="72" t="str">
        <f t="shared" si="24"/>
        <v/>
      </c>
      <c r="AM49" s="39"/>
      <c r="AN49" s="72" t="str">
        <f t="shared" si="45"/>
        <v/>
      </c>
      <c r="AO49" s="72" t="str">
        <f t="shared" si="25"/>
        <v/>
      </c>
      <c r="AP49" s="39"/>
      <c r="AQ49" s="72" t="str">
        <f t="shared" si="46"/>
        <v/>
      </c>
      <c r="AR49" s="72" t="str">
        <f t="shared" si="26"/>
        <v/>
      </c>
      <c r="AS49" s="39"/>
      <c r="AT49" s="40" t="str">
        <f>IF($K49&lt;=$F$15,IF($F$41&lt;&gt;"",$F$41/1000,IF(ISERROR(VLOOKUP($F$3&amp;IF($G$4&lt;&gt;"",$G$4,"")&amp;IF($F$44&lt;&gt;"","_"&amp;$F$44,""),'表3）燃料価格'!$AF$9:$AG$25,2,0)),0,VLOOKUP($I49,'表3）燃料価格'!$A$6:$U$66,VLOOKUP($F$3&amp;IF($G$4&lt;&gt;"",$G$4,"")&amp;IF($F$44&lt;&gt;"","_"&amp;$F$44,""),'表3）燃料価格'!$AF$9:$AG$25,2,0)+VLOOKUP($F$42,'表3）燃料価格'!$AF$28:$AG$29,2,0),0)*IF($F$44="需要地価格",1,$F$8/$F$142))),"")</f>
        <v/>
      </c>
      <c r="AU49" s="39"/>
      <c r="AV49" s="72" t="str">
        <f t="shared" si="47"/>
        <v/>
      </c>
      <c r="AW49" s="72" t="str">
        <f t="shared" si="27"/>
        <v/>
      </c>
      <c r="AX49" s="39"/>
      <c r="AY49" s="40" t="str">
        <f>IF(ISERROR(IF($K49&lt;=$F$15,VLOOKUP($I49,'表4）CO2価格'!$A$7:$E$67,VLOOKUP($F$49,'表4）CO2価格'!$H$10:$I$12,2,0),0)*$F$8/1000,"")),0,IF($K49&lt;=$F$15,VLOOKUP($I49,'表4）CO2価格'!$A$7:$E$67,VLOOKUP($F$49,'表4）CO2価格'!$H$10:$I$12,2,0),0)*$F$8/1000,""))</f>
        <v/>
      </c>
      <c r="AZ49" s="39"/>
      <c r="BA49" s="42" t="str">
        <f t="shared" si="48"/>
        <v/>
      </c>
      <c r="BB49" s="72" t="str">
        <f t="shared" si="28"/>
        <v/>
      </c>
      <c r="BC49" s="39"/>
      <c r="BD49" s="72" t="str">
        <f t="shared" si="49"/>
        <v/>
      </c>
      <c r="BE49" s="72" t="str">
        <f t="shared" si="29"/>
        <v/>
      </c>
      <c r="BF49" s="39"/>
      <c r="BG49" s="42" t="str">
        <f t="shared" si="50"/>
        <v/>
      </c>
      <c r="BH49" s="72" t="str">
        <f t="shared" si="30"/>
        <v/>
      </c>
      <c r="BI49" s="39"/>
      <c r="BJ49" s="40" t="str">
        <f t="shared" si="51"/>
        <v/>
      </c>
      <c r="BK49" s="157" t="str">
        <f t="shared" si="52"/>
        <v/>
      </c>
      <c r="BL49" s="157" t="str">
        <f t="shared" si="16"/>
        <v/>
      </c>
      <c r="BM49" s="72"/>
      <c r="BN49" s="72" t="str">
        <f t="shared" si="31"/>
        <v/>
      </c>
      <c r="BO49" s="72" t="str">
        <f t="shared" si="32"/>
        <v/>
      </c>
      <c r="BP49" s="39"/>
      <c r="BQ49" s="72" t="str">
        <f t="shared" si="37"/>
        <v/>
      </c>
      <c r="BR49" s="72" t="str">
        <f t="shared" si="33"/>
        <v/>
      </c>
    </row>
    <row r="50" spans="3:70" x14ac:dyDescent="0.15">
      <c r="I50" s="459">
        <f t="shared" si="34"/>
        <v>2065</v>
      </c>
      <c r="K50" s="9">
        <f t="shared" si="35"/>
        <v>36</v>
      </c>
      <c r="M50" s="7">
        <f t="shared" si="0"/>
        <v>0.34503242505668674</v>
      </c>
      <c r="O50" s="10" t="str">
        <f t="shared" si="36"/>
        <v/>
      </c>
      <c r="P50" s="29" t="str">
        <f t="shared" si="38"/>
        <v/>
      </c>
      <c r="R50" s="10" t="str">
        <f t="shared" si="53"/>
        <v/>
      </c>
      <c r="T50" s="10" t="str">
        <f t="shared" si="18"/>
        <v/>
      </c>
      <c r="V50" s="10" t="str">
        <f t="shared" si="39"/>
        <v/>
      </c>
      <c r="W50" s="10" t="str">
        <f t="shared" si="19"/>
        <v/>
      </c>
      <c r="Y50" s="10" t="str">
        <f t="shared" si="40"/>
        <v/>
      </c>
      <c r="Z50" s="10" t="str">
        <f t="shared" si="20"/>
        <v/>
      </c>
      <c r="AB50" s="10" t="str">
        <f t="shared" si="41"/>
        <v/>
      </c>
      <c r="AC50" s="10" t="str">
        <f t="shared" si="21"/>
        <v/>
      </c>
      <c r="AE50" s="10" t="str">
        <f t="shared" si="42"/>
        <v/>
      </c>
      <c r="AF50" s="10" t="str">
        <f t="shared" si="22"/>
        <v/>
      </c>
      <c r="AH50" s="10" t="str">
        <f t="shared" si="43"/>
        <v/>
      </c>
      <c r="AI50" s="10" t="str">
        <f t="shared" si="23"/>
        <v/>
      </c>
      <c r="AK50" s="10" t="str">
        <f t="shared" si="44"/>
        <v/>
      </c>
      <c r="AL50" s="10" t="str">
        <f t="shared" si="24"/>
        <v/>
      </c>
      <c r="AN50" s="10" t="str">
        <f t="shared" si="45"/>
        <v/>
      </c>
      <c r="AO50" s="10" t="str">
        <f t="shared" si="25"/>
        <v/>
      </c>
      <c r="AQ50" s="10" t="str">
        <f t="shared" si="46"/>
        <v/>
      </c>
      <c r="AR50" s="10" t="str">
        <f t="shared" si="26"/>
        <v/>
      </c>
      <c r="AT50" s="7" t="str">
        <f>IF($K50&lt;=$F$15,IF($F$41&lt;&gt;"",$F$41/1000,IF(ISERROR(VLOOKUP($F$3&amp;IF($G$4&lt;&gt;"",$G$4,"")&amp;IF($F$44&lt;&gt;"","_"&amp;$F$44,""),'表3）燃料価格'!$AF$9:$AG$25,2,0)),0,VLOOKUP($I50,'表3）燃料価格'!$A$6:$U$66,VLOOKUP($F$3&amp;IF($G$4&lt;&gt;"",$G$4,"")&amp;IF($F$44&lt;&gt;"","_"&amp;$F$44,""),'表3）燃料価格'!$AF$9:$AG$25,2,0)+VLOOKUP($F$42,'表3）燃料価格'!$AF$28:$AG$29,2,0),0)*IF($F$44="需要地価格",1,$F$8/$F$142))),"")</f>
        <v/>
      </c>
      <c r="AV50" s="10" t="str">
        <f t="shared" si="47"/>
        <v/>
      </c>
      <c r="AW50" s="10" t="str">
        <f t="shared" si="27"/>
        <v/>
      </c>
      <c r="AY50" s="7" t="str">
        <f>IF(ISERROR(IF($K50&lt;=$F$15,VLOOKUP($I50,'表4）CO2価格'!$A$7:$E$67,VLOOKUP($F$49,'表4）CO2価格'!$H$10:$I$12,2,0),0)*$F$8/1000,"")),0,IF($K50&lt;=$F$15,VLOOKUP($I50,'表4）CO2価格'!$A$7:$E$67,VLOOKUP($F$49,'表4）CO2価格'!$H$10:$I$12,2,0),0)*$F$8/1000,""))</f>
        <v/>
      </c>
      <c r="BA50" s="11" t="str">
        <f t="shared" si="48"/>
        <v/>
      </c>
      <c r="BB50" s="10" t="str">
        <f t="shared" si="28"/>
        <v/>
      </c>
      <c r="BD50" s="10" t="str">
        <f t="shared" si="49"/>
        <v/>
      </c>
      <c r="BE50" s="10" t="str">
        <f t="shared" si="29"/>
        <v/>
      </c>
      <c r="BG50" s="11" t="str">
        <f t="shared" si="50"/>
        <v/>
      </c>
      <c r="BH50" s="10" t="str">
        <f t="shared" si="30"/>
        <v/>
      </c>
      <c r="BJ50" s="7" t="str">
        <f t="shared" si="51"/>
        <v/>
      </c>
      <c r="BK50" s="158" t="str">
        <f t="shared" si="52"/>
        <v/>
      </c>
      <c r="BL50" s="158" t="str">
        <f t="shared" si="16"/>
        <v/>
      </c>
      <c r="BM50" s="10"/>
      <c r="BN50" s="10" t="str">
        <f t="shared" si="31"/>
        <v/>
      </c>
      <c r="BO50" s="10" t="str">
        <f t="shared" si="32"/>
        <v/>
      </c>
      <c r="BQ50" s="10" t="str">
        <f t="shared" si="37"/>
        <v/>
      </c>
      <c r="BR50" s="10" t="str">
        <f t="shared" si="33"/>
        <v/>
      </c>
    </row>
    <row r="51" spans="3:70" x14ac:dyDescent="0.15">
      <c r="C51" s="89" t="s">
        <v>510</v>
      </c>
      <c r="D51" s="101"/>
      <c r="E51" s="101"/>
      <c r="F51" s="89"/>
      <c r="G51" s="101"/>
      <c r="I51" s="458">
        <f t="shared" si="34"/>
        <v>2066</v>
      </c>
      <c r="J51" s="470"/>
      <c r="K51" s="470">
        <f t="shared" si="35"/>
        <v>37</v>
      </c>
      <c r="L51" s="470"/>
      <c r="M51" s="40">
        <f t="shared" si="0"/>
        <v>0.33498293694823961</v>
      </c>
      <c r="N51" s="39"/>
      <c r="O51" s="72" t="str">
        <f t="shared" si="36"/>
        <v/>
      </c>
      <c r="P51" s="41" t="str">
        <f t="shared" si="38"/>
        <v/>
      </c>
      <c r="Q51" s="39"/>
      <c r="R51" s="72" t="str">
        <f t="shared" si="53"/>
        <v/>
      </c>
      <c r="S51" s="39"/>
      <c r="T51" s="72" t="str">
        <f t="shared" si="18"/>
        <v/>
      </c>
      <c r="U51" s="39"/>
      <c r="V51" s="72" t="str">
        <f t="shared" si="39"/>
        <v/>
      </c>
      <c r="W51" s="72" t="str">
        <f t="shared" si="19"/>
        <v/>
      </c>
      <c r="X51" s="39"/>
      <c r="Y51" s="72" t="str">
        <f t="shared" si="40"/>
        <v/>
      </c>
      <c r="Z51" s="72" t="str">
        <f t="shared" si="20"/>
        <v/>
      </c>
      <c r="AA51" s="39"/>
      <c r="AB51" s="72" t="str">
        <f t="shared" si="41"/>
        <v/>
      </c>
      <c r="AC51" s="72" t="str">
        <f t="shared" si="21"/>
        <v/>
      </c>
      <c r="AD51" s="39"/>
      <c r="AE51" s="72" t="str">
        <f t="shared" si="42"/>
        <v/>
      </c>
      <c r="AF51" s="72" t="str">
        <f t="shared" si="22"/>
        <v/>
      </c>
      <c r="AG51" s="39"/>
      <c r="AH51" s="72" t="str">
        <f t="shared" si="43"/>
        <v/>
      </c>
      <c r="AI51" s="72" t="str">
        <f t="shared" si="23"/>
        <v/>
      </c>
      <c r="AJ51" s="39"/>
      <c r="AK51" s="72" t="str">
        <f t="shared" si="44"/>
        <v/>
      </c>
      <c r="AL51" s="72" t="str">
        <f t="shared" si="24"/>
        <v/>
      </c>
      <c r="AM51" s="39"/>
      <c r="AN51" s="72" t="str">
        <f t="shared" si="45"/>
        <v/>
      </c>
      <c r="AO51" s="72" t="str">
        <f t="shared" si="25"/>
        <v/>
      </c>
      <c r="AP51" s="39"/>
      <c r="AQ51" s="72" t="str">
        <f t="shared" si="46"/>
        <v/>
      </c>
      <c r="AR51" s="72" t="str">
        <f t="shared" si="26"/>
        <v/>
      </c>
      <c r="AS51" s="39"/>
      <c r="AT51" s="40" t="str">
        <f>IF($K51&lt;=$F$15,IF($F$41&lt;&gt;"",$F$41/1000,IF(ISERROR(VLOOKUP($F$3&amp;IF($G$4&lt;&gt;"",$G$4,"")&amp;IF($F$44&lt;&gt;"","_"&amp;$F$44,""),'表3）燃料価格'!$AF$9:$AG$25,2,0)),0,VLOOKUP($I51,'表3）燃料価格'!$A$6:$U$66,VLOOKUP($F$3&amp;IF($G$4&lt;&gt;"",$G$4,"")&amp;IF($F$44&lt;&gt;"","_"&amp;$F$44,""),'表3）燃料価格'!$AF$9:$AG$25,2,0)+VLOOKUP($F$42,'表3）燃料価格'!$AF$28:$AG$29,2,0),0)*IF($F$44="需要地価格",1,$F$8/$F$142))),"")</f>
        <v/>
      </c>
      <c r="AU51" s="39"/>
      <c r="AV51" s="72" t="str">
        <f t="shared" si="47"/>
        <v/>
      </c>
      <c r="AW51" s="72" t="str">
        <f t="shared" si="27"/>
        <v/>
      </c>
      <c r="AX51" s="39"/>
      <c r="AY51" s="40" t="str">
        <f>IF(ISERROR(IF($K51&lt;=$F$15,VLOOKUP($I51,'表4）CO2価格'!$A$7:$E$67,VLOOKUP($F$49,'表4）CO2価格'!$H$10:$I$12,2,0),0)*$F$8/1000,"")),0,IF($K51&lt;=$F$15,VLOOKUP($I51,'表4）CO2価格'!$A$7:$E$67,VLOOKUP($F$49,'表4）CO2価格'!$H$10:$I$12,2,0),0)*$F$8/1000,""))</f>
        <v/>
      </c>
      <c r="AZ51" s="39"/>
      <c r="BA51" s="42" t="str">
        <f t="shared" si="48"/>
        <v/>
      </c>
      <c r="BB51" s="72" t="str">
        <f t="shared" si="28"/>
        <v/>
      </c>
      <c r="BC51" s="39"/>
      <c r="BD51" s="72" t="str">
        <f t="shared" si="49"/>
        <v/>
      </c>
      <c r="BE51" s="72" t="str">
        <f t="shared" si="29"/>
        <v/>
      </c>
      <c r="BF51" s="39"/>
      <c r="BG51" s="42" t="str">
        <f t="shared" si="50"/>
        <v/>
      </c>
      <c r="BH51" s="72" t="str">
        <f t="shared" si="30"/>
        <v/>
      </c>
      <c r="BI51" s="39"/>
      <c r="BJ51" s="40" t="str">
        <f t="shared" si="51"/>
        <v/>
      </c>
      <c r="BK51" s="157" t="str">
        <f t="shared" si="52"/>
        <v/>
      </c>
      <c r="BL51" s="157" t="str">
        <f t="shared" si="16"/>
        <v/>
      </c>
      <c r="BM51" s="72"/>
      <c r="BN51" s="72" t="str">
        <f t="shared" si="31"/>
        <v/>
      </c>
      <c r="BO51" s="72" t="str">
        <f t="shared" si="32"/>
        <v/>
      </c>
      <c r="BP51" s="39"/>
      <c r="BQ51" s="72" t="str">
        <f t="shared" si="37"/>
        <v/>
      </c>
      <c r="BR51" s="72" t="str">
        <f t="shared" si="33"/>
        <v/>
      </c>
    </row>
    <row r="52" spans="3:70" x14ac:dyDescent="0.15">
      <c r="I52" s="459">
        <f t="shared" si="34"/>
        <v>2067</v>
      </c>
      <c r="K52" s="9">
        <f t="shared" si="35"/>
        <v>38</v>
      </c>
      <c r="M52" s="7">
        <f t="shared" si="0"/>
        <v>0.3252261523769317</v>
      </c>
      <c r="O52" s="10" t="str">
        <f t="shared" si="36"/>
        <v/>
      </c>
      <c r="P52" s="29" t="str">
        <f t="shared" si="38"/>
        <v/>
      </c>
      <c r="R52" s="10" t="str">
        <f t="shared" si="53"/>
        <v/>
      </c>
      <c r="T52" s="10" t="str">
        <f t="shared" si="18"/>
        <v/>
      </c>
      <c r="V52" s="10" t="str">
        <f t="shared" si="39"/>
        <v/>
      </c>
      <c r="W52" s="10" t="str">
        <f t="shared" si="19"/>
        <v/>
      </c>
      <c r="Y52" s="10" t="str">
        <f t="shared" si="40"/>
        <v/>
      </c>
      <c r="Z52" s="10" t="str">
        <f t="shared" si="20"/>
        <v/>
      </c>
      <c r="AB52" s="10" t="str">
        <f t="shared" si="41"/>
        <v/>
      </c>
      <c r="AC52" s="10" t="str">
        <f t="shared" si="21"/>
        <v/>
      </c>
      <c r="AE52" s="10" t="str">
        <f t="shared" si="42"/>
        <v/>
      </c>
      <c r="AF52" s="10" t="str">
        <f t="shared" si="22"/>
        <v/>
      </c>
      <c r="AH52" s="10" t="str">
        <f t="shared" si="43"/>
        <v/>
      </c>
      <c r="AI52" s="10" t="str">
        <f t="shared" si="23"/>
        <v/>
      </c>
      <c r="AK52" s="10" t="str">
        <f t="shared" si="44"/>
        <v/>
      </c>
      <c r="AL52" s="10" t="str">
        <f t="shared" si="24"/>
        <v/>
      </c>
      <c r="AN52" s="10" t="str">
        <f t="shared" si="45"/>
        <v/>
      </c>
      <c r="AO52" s="10" t="str">
        <f t="shared" si="25"/>
        <v/>
      </c>
      <c r="AQ52" s="10" t="str">
        <f t="shared" si="46"/>
        <v/>
      </c>
      <c r="AR52" s="10" t="str">
        <f t="shared" si="26"/>
        <v/>
      </c>
      <c r="AT52" s="7" t="str">
        <f>IF($K52&lt;=$F$15,IF($F$41&lt;&gt;"",$F$41/1000,IF(ISERROR(VLOOKUP($F$3&amp;IF($G$4&lt;&gt;"",$G$4,"")&amp;IF($F$44&lt;&gt;"","_"&amp;$F$44,""),'表3）燃料価格'!$AF$9:$AG$25,2,0)),0,VLOOKUP($I52,'表3）燃料価格'!$A$6:$U$66,VLOOKUP($F$3&amp;IF($G$4&lt;&gt;"",$G$4,"")&amp;IF($F$44&lt;&gt;"","_"&amp;$F$44,""),'表3）燃料価格'!$AF$9:$AG$25,2,0)+VLOOKUP($F$42,'表3）燃料価格'!$AF$28:$AG$29,2,0),0)*IF($F$44="需要地価格",1,$F$8/$F$142))),"")</f>
        <v/>
      </c>
      <c r="AV52" s="10" t="str">
        <f t="shared" si="47"/>
        <v/>
      </c>
      <c r="AW52" s="10" t="str">
        <f t="shared" si="27"/>
        <v/>
      </c>
      <c r="AY52" s="7" t="str">
        <f>IF(ISERROR(IF($K52&lt;=$F$15,VLOOKUP($I52,'表4）CO2価格'!$A$7:$E$67,VLOOKUP($F$49,'表4）CO2価格'!$H$10:$I$12,2,0),0)*$F$8/1000,"")),0,IF($K52&lt;=$F$15,VLOOKUP($I52,'表4）CO2価格'!$A$7:$E$67,VLOOKUP($F$49,'表4）CO2価格'!$H$10:$I$12,2,0),0)*$F$8/1000,""))</f>
        <v/>
      </c>
      <c r="BA52" s="11" t="str">
        <f t="shared" si="48"/>
        <v/>
      </c>
      <c r="BB52" s="10" t="str">
        <f t="shared" si="28"/>
        <v/>
      </c>
      <c r="BD52" s="10" t="str">
        <f t="shared" si="49"/>
        <v/>
      </c>
      <c r="BE52" s="10" t="str">
        <f t="shared" si="29"/>
        <v/>
      </c>
      <c r="BG52" s="11" t="str">
        <f t="shared" si="50"/>
        <v/>
      </c>
      <c r="BH52" s="10" t="str">
        <f t="shared" si="30"/>
        <v/>
      </c>
      <c r="BJ52" s="7" t="str">
        <f t="shared" si="51"/>
        <v/>
      </c>
      <c r="BK52" s="158" t="str">
        <f t="shared" si="52"/>
        <v/>
      </c>
      <c r="BL52" s="158" t="str">
        <f t="shared" si="16"/>
        <v/>
      </c>
      <c r="BM52" s="10"/>
      <c r="BN52" s="10" t="str">
        <f t="shared" si="31"/>
        <v/>
      </c>
      <c r="BO52" s="10" t="str">
        <f t="shared" si="32"/>
        <v/>
      </c>
      <c r="BQ52" s="10" t="str">
        <f t="shared" si="37"/>
        <v/>
      </c>
      <c r="BR52" s="10" t="str">
        <f t="shared" si="33"/>
        <v/>
      </c>
    </row>
    <row r="53" spans="3:70" x14ac:dyDescent="0.15">
      <c r="D53" s="81" t="s">
        <v>185</v>
      </c>
      <c r="F53" s="90"/>
      <c r="G53" s="81" t="s">
        <v>172</v>
      </c>
      <c r="I53" s="458">
        <f t="shared" si="34"/>
        <v>2068</v>
      </c>
      <c r="J53" s="470"/>
      <c r="K53" s="470">
        <f t="shared" si="35"/>
        <v>39</v>
      </c>
      <c r="L53" s="470"/>
      <c r="M53" s="40">
        <f t="shared" si="0"/>
        <v>0.31575354599702099</v>
      </c>
      <c r="N53" s="39"/>
      <c r="O53" s="72" t="str">
        <f t="shared" si="36"/>
        <v/>
      </c>
      <c r="P53" s="41" t="str">
        <f t="shared" si="38"/>
        <v/>
      </c>
      <c r="Q53" s="39"/>
      <c r="R53" s="72" t="str">
        <f t="shared" si="53"/>
        <v/>
      </c>
      <c r="S53" s="39"/>
      <c r="T53" s="72" t="str">
        <f t="shared" si="18"/>
        <v/>
      </c>
      <c r="U53" s="39"/>
      <c r="V53" s="72" t="str">
        <f t="shared" si="39"/>
        <v/>
      </c>
      <c r="W53" s="72" t="str">
        <f t="shared" si="19"/>
        <v/>
      </c>
      <c r="X53" s="39"/>
      <c r="Y53" s="72" t="str">
        <f t="shared" si="40"/>
        <v/>
      </c>
      <c r="Z53" s="72" t="str">
        <f t="shared" si="20"/>
        <v/>
      </c>
      <c r="AA53" s="39"/>
      <c r="AB53" s="72" t="str">
        <f t="shared" si="41"/>
        <v/>
      </c>
      <c r="AC53" s="72" t="str">
        <f t="shared" si="21"/>
        <v/>
      </c>
      <c r="AD53" s="39"/>
      <c r="AE53" s="72" t="str">
        <f t="shared" si="42"/>
        <v/>
      </c>
      <c r="AF53" s="72" t="str">
        <f t="shared" si="22"/>
        <v/>
      </c>
      <c r="AG53" s="39"/>
      <c r="AH53" s="72" t="str">
        <f t="shared" si="43"/>
        <v/>
      </c>
      <c r="AI53" s="72" t="str">
        <f t="shared" si="23"/>
        <v/>
      </c>
      <c r="AJ53" s="39"/>
      <c r="AK53" s="72" t="str">
        <f t="shared" si="44"/>
        <v/>
      </c>
      <c r="AL53" s="72" t="str">
        <f t="shared" si="24"/>
        <v/>
      </c>
      <c r="AM53" s="39"/>
      <c r="AN53" s="72" t="str">
        <f t="shared" si="45"/>
        <v/>
      </c>
      <c r="AO53" s="72" t="str">
        <f t="shared" si="25"/>
        <v/>
      </c>
      <c r="AP53" s="39"/>
      <c r="AQ53" s="72" t="str">
        <f t="shared" si="46"/>
        <v/>
      </c>
      <c r="AR53" s="72" t="str">
        <f t="shared" si="26"/>
        <v/>
      </c>
      <c r="AS53" s="39"/>
      <c r="AT53" s="40" t="str">
        <f>IF($K53&lt;=$F$15,IF($F$41&lt;&gt;"",$F$41/1000,IF(ISERROR(VLOOKUP($F$3&amp;IF($G$4&lt;&gt;"",$G$4,"")&amp;IF($F$44&lt;&gt;"","_"&amp;$F$44,""),'表3）燃料価格'!$AF$9:$AG$25,2,0)),0,VLOOKUP($I53,'表3）燃料価格'!$A$6:$U$66,VLOOKUP($F$3&amp;IF($G$4&lt;&gt;"",$G$4,"")&amp;IF($F$44&lt;&gt;"","_"&amp;$F$44,""),'表3）燃料価格'!$AF$9:$AG$25,2,0)+VLOOKUP($F$42,'表3）燃料価格'!$AF$28:$AG$29,2,0),0)*IF($F$44="需要地価格",1,$F$8/$F$142))),"")</f>
        <v/>
      </c>
      <c r="AU53" s="39"/>
      <c r="AV53" s="72" t="str">
        <f t="shared" si="47"/>
        <v/>
      </c>
      <c r="AW53" s="72" t="str">
        <f t="shared" si="27"/>
        <v/>
      </c>
      <c r="AX53" s="39"/>
      <c r="AY53" s="40" t="str">
        <f>IF(ISERROR(IF($K53&lt;=$F$15,VLOOKUP($I53,'表4）CO2価格'!$A$7:$E$67,VLOOKUP($F$49,'表4）CO2価格'!$H$10:$I$12,2,0),0)*$F$8/1000,"")),0,IF($K53&lt;=$F$15,VLOOKUP($I53,'表4）CO2価格'!$A$7:$E$67,VLOOKUP($F$49,'表4）CO2価格'!$H$10:$I$12,2,0),0)*$F$8/1000,""))</f>
        <v/>
      </c>
      <c r="AZ53" s="39"/>
      <c r="BA53" s="42" t="str">
        <f t="shared" si="48"/>
        <v/>
      </c>
      <c r="BB53" s="72" t="str">
        <f t="shared" si="28"/>
        <v/>
      </c>
      <c r="BC53" s="39"/>
      <c r="BD53" s="72" t="str">
        <f t="shared" si="49"/>
        <v/>
      </c>
      <c r="BE53" s="72" t="str">
        <f t="shared" si="29"/>
        <v/>
      </c>
      <c r="BF53" s="39"/>
      <c r="BG53" s="42" t="str">
        <f t="shared" si="50"/>
        <v/>
      </c>
      <c r="BH53" s="72" t="str">
        <f t="shared" si="30"/>
        <v/>
      </c>
      <c r="BI53" s="39"/>
      <c r="BJ53" s="40" t="str">
        <f t="shared" si="51"/>
        <v/>
      </c>
      <c r="BK53" s="157" t="str">
        <f t="shared" si="52"/>
        <v/>
      </c>
      <c r="BL53" s="157" t="str">
        <f t="shared" si="16"/>
        <v/>
      </c>
      <c r="BM53" s="72"/>
      <c r="BN53" s="72" t="str">
        <f t="shared" si="31"/>
        <v/>
      </c>
      <c r="BO53" s="72" t="str">
        <f t="shared" si="32"/>
        <v/>
      </c>
      <c r="BP53" s="39"/>
      <c r="BQ53" s="72" t="str">
        <f t="shared" si="37"/>
        <v/>
      </c>
      <c r="BR53" s="72" t="str">
        <f t="shared" si="33"/>
        <v/>
      </c>
    </row>
    <row r="54" spans="3:70" x14ac:dyDescent="0.15">
      <c r="D54" s="81" t="s">
        <v>186</v>
      </c>
      <c r="F54" s="66"/>
      <c r="G54" s="81" t="s">
        <v>172</v>
      </c>
      <c r="I54" s="459">
        <f t="shared" si="34"/>
        <v>2069</v>
      </c>
      <c r="K54" s="9">
        <f t="shared" si="35"/>
        <v>40</v>
      </c>
      <c r="M54" s="7">
        <f t="shared" si="0"/>
        <v>0.30655684077380685</v>
      </c>
      <c r="O54" s="10" t="str">
        <f t="shared" si="36"/>
        <v/>
      </c>
      <c r="P54" s="29" t="str">
        <f t="shared" si="38"/>
        <v/>
      </c>
      <c r="R54" s="10" t="str">
        <f t="shared" si="53"/>
        <v/>
      </c>
      <c r="T54" s="10" t="str">
        <f t="shared" si="18"/>
        <v/>
      </c>
      <c r="V54" s="10" t="str">
        <f t="shared" si="39"/>
        <v/>
      </c>
      <c r="W54" s="10" t="str">
        <f t="shared" si="19"/>
        <v/>
      </c>
      <c r="Y54" s="10" t="str">
        <f t="shared" si="40"/>
        <v/>
      </c>
      <c r="Z54" s="10" t="str">
        <f t="shared" si="20"/>
        <v/>
      </c>
      <c r="AB54" s="10" t="str">
        <f t="shared" si="41"/>
        <v/>
      </c>
      <c r="AC54" s="10" t="str">
        <f t="shared" si="21"/>
        <v/>
      </c>
      <c r="AE54" s="10" t="str">
        <f t="shared" si="42"/>
        <v/>
      </c>
      <c r="AF54" s="10" t="str">
        <f t="shared" si="22"/>
        <v/>
      </c>
      <c r="AH54" s="10" t="str">
        <f t="shared" si="43"/>
        <v/>
      </c>
      <c r="AI54" s="10" t="str">
        <f t="shared" si="23"/>
        <v/>
      </c>
      <c r="AK54" s="10" t="str">
        <f t="shared" si="44"/>
        <v/>
      </c>
      <c r="AL54" s="10" t="str">
        <f t="shared" si="24"/>
        <v/>
      </c>
      <c r="AN54" s="10" t="str">
        <f t="shared" si="45"/>
        <v/>
      </c>
      <c r="AO54" s="10" t="str">
        <f t="shared" si="25"/>
        <v/>
      </c>
      <c r="AQ54" s="10" t="str">
        <f t="shared" si="46"/>
        <v/>
      </c>
      <c r="AR54" s="10" t="str">
        <f t="shared" si="26"/>
        <v/>
      </c>
      <c r="AT54" s="7" t="str">
        <f>IF($K54&lt;=$F$15,IF($F$41&lt;&gt;"",$F$41/1000,IF(ISERROR(VLOOKUP($F$3&amp;IF($G$4&lt;&gt;"",$G$4,"")&amp;IF($F$44&lt;&gt;"","_"&amp;$F$44,""),'表3）燃料価格'!$AF$9:$AG$25,2,0)),0,VLOOKUP($I54,'表3）燃料価格'!$A$6:$U$66,VLOOKUP($F$3&amp;IF($G$4&lt;&gt;"",$G$4,"")&amp;IF($F$44&lt;&gt;"","_"&amp;$F$44,""),'表3）燃料価格'!$AF$9:$AG$25,2,0)+VLOOKUP($F$42,'表3）燃料価格'!$AF$28:$AG$29,2,0),0)*IF($F$44="需要地価格",1,$F$8/$F$142))),"")</f>
        <v/>
      </c>
      <c r="AV54" s="10" t="str">
        <f t="shared" si="47"/>
        <v/>
      </c>
      <c r="AW54" s="10" t="str">
        <f t="shared" si="27"/>
        <v/>
      </c>
      <c r="AY54" s="7" t="str">
        <f>IF(ISERROR(IF($K54&lt;=$F$15,VLOOKUP($I54,'表4）CO2価格'!$A$7:$E$67,VLOOKUP($F$49,'表4）CO2価格'!$H$10:$I$12,2,0),0)*$F$8/1000,"")),0,IF($K54&lt;=$F$15,VLOOKUP($I54,'表4）CO2価格'!$A$7:$E$67,VLOOKUP($F$49,'表4）CO2価格'!$H$10:$I$12,2,0),0)*$F$8/1000,""))</f>
        <v/>
      </c>
      <c r="BA54" s="11" t="str">
        <f t="shared" si="48"/>
        <v/>
      </c>
      <c r="BB54" s="10" t="str">
        <f t="shared" si="28"/>
        <v/>
      </c>
      <c r="BD54" s="10" t="str">
        <f t="shared" si="49"/>
        <v/>
      </c>
      <c r="BE54" s="10" t="str">
        <f t="shared" si="29"/>
        <v/>
      </c>
      <c r="BG54" s="11" t="str">
        <f t="shared" si="50"/>
        <v/>
      </c>
      <c r="BH54" s="10" t="str">
        <f t="shared" si="30"/>
        <v/>
      </c>
      <c r="BJ54" s="7" t="str">
        <f t="shared" si="51"/>
        <v/>
      </c>
      <c r="BK54" s="158" t="str">
        <f t="shared" si="52"/>
        <v/>
      </c>
      <c r="BL54" s="158" t="str">
        <f t="shared" si="16"/>
        <v/>
      </c>
      <c r="BM54" s="10"/>
      <c r="BN54" s="10" t="str">
        <f t="shared" si="31"/>
        <v/>
      </c>
      <c r="BO54" s="10" t="str">
        <f t="shared" si="32"/>
        <v/>
      </c>
      <c r="BQ54" s="10" t="str">
        <f t="shared" si="37"/>
        <v/>
      </c>
      <c r="BR54" s="10" t="str">
        <f t="shared" si="33"/>
        <v/>
      </c>
    </row>
    <row r="55" spans="3:70" x14ac:dyDescent="0.15">
      <c r="D55" s="81" t="s">
        <v>187</v>
      </c>
      <c r="F55" s="66"/>
      <c r="G55" s="81" t="s">
        <v>172</v>
      </c>
      <c r="I55" s="458">
        <f>I54+1</f>
        <v>2070</v>
      </c>
      <c r="J55" s="470"/>
      <c r="K55" s="470">
        <f>IF(I55&lt;&gt;"",K54+1,"")</f>
        <v>41</v>
      </c>
      <c r="L55" s="470"/>
      <c r="M55" s="40">
        <f t="shared" si="0"/>
        <v>0.29762800075126877</v>
      </c>
      <c r="N55" s="39"/>
      <c r="O55" s="72" t="str">
        <f t="shared" si="36"/>
        <v/>
      </c>
      <c r="P55" s="41" t="str">
        <f t="shared" si="38"/>
        <v/>
      </c>
      <c r="Q55" s="39"/>
      <c r="R55" s="72" t="str">
        <f t="shared" si="53"/>
        <v/>
      </c>
      <c r="S55" s="39"/>
      <c r="T55" s="72" t="str">
        <f t="shared" si="18"/>
        <v/>
      </c>
      <c r="U55" s="39"/>
      <c r="V55" s="72" t="str">
        <f t="shared" si="39"/>
        <v/>
      </c>
      <c r="W55" s="72" t="str">
        <f t="shared" si="19"/>
        <v/>
      </c>
      <c r="X55" s="39"/>
      <c r="Y55" s="72" t="str">
        <f t="shared" si="40"/>
        <v/>
      </c>
      <c r="Z55" s="72" t="str">
        <f t="shared" si="20"/>
        <v/>
      </c>
      <c r="AA55" s="39"/>
      <c r="AB55" s="72" t="str">
        <f t="shared" si="41"/>
        <v/>
      </c>
      <c r="AC55" s="72" t="str">
        <f t="shared" si="21"/>
        <v/>
      </c>
      <c r="AD55" s="39"/>
      <c r="AE55" s="72" t="str">
        <f t="shared" si="42"/>
        <v/>
      </c>
      <c r="AF55" s="72" t="str">
        <f t="shared" si="22"/>
        <v/>
      </c>
      <c r="AG55" s="39"/>
      <c r="AH55" s="72" t="str">
        <f t="shared" si="43"/>
        <v/>
      </c>
      <c r="AI55" s="72" t="str">
        <f t="shared" si="23"/>
        <v/>
      </c>
      <c r="AJ55" s="39"/>
      <c r="AK55" s="72" t="str">
        <f t="shared" si="44"/>
        <v/>
      </c>
      <c r="AL55" s="72" t="str">
        <f t="shared" si="24"/>
        <v/>
      </c>
      <c r="AM55" s="39"/>
      <c r="AN55" s="72" t="str">
        <f t="shared" si="45"/>
        <v/>
      </c>
      <c r="AO55" s="72" t="str">
        <f t="shared" si="25"/>
        <v/>
      </c>
      <c r="AP55" s="39"/>
      <c r="AQ55" s="72" t="str">
        <f t="shared" si="46"/>
        <v/>
      </c>
      <c r="AR55" s="72" t="str">
        <f t="shared" si="26"/>
        <v/>
      </c>
      <c r="AS55" s="39"/>
      <c r="AT55" s="40" t="str">
        <f>IF($K55&lt;=$F$15,IF($F$41&lt;&gt;"",$F$41/1000,IF(ISERROR(VLOOKUP($F$3&amp;IF($G$4&lt;&gt;"",$G$4,"")&amp;IF($F$44&lt;&gt;"","_"&amp;$F$44,""),'表3）燃料価格'!$AF$9:$AG$25,2,0)),0,VLOOKUP($I55,'表3）燃料価格'!$A$6:$U$66,VLOOKUP($F$3&amp;IF($G$4&lt;&gt;"",$G$4,"")&amp;IF($F$44&lt;&gt;"","_"&amp;$F$44,""),'表3）燃料価格'!$AF$9:$AG$25,2,0)+VLOOKUP($F$42,'表3）燃料価格'!$AF$28:$AG$29,2,0),0)*IF($F$44="需要地価格",1,$F$8/$F$142))),"")</f>
        <v/>
      </c>
      <c r="AU55" s="39"/>
      <c r="AV55" s="72" t="str">
        <f t="shared" si="47"/>
        <v/>
      </c>
      <c r="AW55" s="72" t="str">
        <f t="shared" si="27"/>
        <v/>
      </c>
      <c r="AX55" s="39"/>
      <c r="AY55" s="40" t="str">
        <f>IF(ISERROR(IF($K55&lt;=$F$15,VLOOKUP($I55,'表4）CO2価格'!$A$7:$E$67,VLOOKUP($F$49,'表4）CO2価格'!$H$10:$I$12,2,0),0)*$F$8/1000,"")),0,IF($K55&lt;=$F$15,VLOOKUP($I55,'表4）CO2価格'!$A$7:$E$67,VLOOKUP($F$49,'表4）CO2価格'!$H$10:$I$12,2,0),0)*$F$8/1000,""))</f>
        <v/>
      </c>
      <c r="AZ55" s="39"/>
      <c r="BA55" s="42" t="str">
        <f t="shared" si="48"/>
        <v/>
      </c>
      <c r="BB55" s="72" t="str">
        <f t="shared" si="28"/>
        <v/>
      </c>
      <c r="BC55" s="39"/>
      <c r="BD55" s="72" t="str">
        <f t="shared" si="49"/>
        <v/>
      </c>
      <c r="BE55" s="72" t="str">
        <f t="shared" si="29"/>
        <v/>
      </c>
      <c r="BF55" s="39"/>
      <c r="BG55" s="42" t="str">
        <f t="shared" si="50"/>
        <v/>
      </c>
      <c r="BH55" s="72" t="str">
        <f t="shared" si="30"/>
        <v/>
      </c>
      <c r="BI55" s="39"/>
      <c r="BJ55" s="40" t="str">
        <f t="shared" si="51"/>
        <v/>
      </c>
      <c r="BK55" s="157" t="str">
        <f t="shared" si="52"/>
        <v/>
      </c>
      <c r="BL55" s="157" t="str">
        <f t="shared" si="16"/>
        <v/>
      </c>
      <c r="BM55" s="72"/>
      <c r="BN55" s="72" t="str">
        <f t="shared" si="31"/>
        <v/>
      </c>
      <c r="BO55" s="72" t="str">
        <f t="shared" si="32"/>
        <v/>
      </c>
      <c r="BP55" s="39"/>
      <c r="BQ55" s="72" t="str">
        <f t="shared" si="37"/>
        <v/>
      </c>
      <c r="BR55" s="72" t="str">
        <f t="shared" si="33"/>
        <v/>
      </c>
    </row>
    <row r="56" spans="3:70" ht="16.5" x14ac:dyDescent="0.15">
      <c r="D56" s="81" t="s">
        <v>188</v>
      </c>
      <c r="F56" s="66"/>
      <c r="G56" s="9" t="s">
        <v>372</v>
      </c>
      <c r="I56" s="459">
        <f t="shared" si="34"/>
        <v>2071</v>
      </c>
      <c r="K56" s="9">
        <f t="shared" si="35"/>
        <v>42</v>
      </c>
      <c r="M56" s="7">
        <f t="shared" si="0"/>
        <v>0.28895922403035801</v>
      </c>
      <c r="O56" s="10" t="str">
        <f t="shared" si="36"/>
        <v/>
      </c>
      <c r="P56" s="29" t="str">
        <f t="shared" si="38"/>
        <v/>
      </c>
      <c r="R56" s="10" t="str">
        <f t="shared" si="53"/>
        <v/>
      </c>
      <c r="T56" s="10" t="str">
        <f t="shared" si="18"/>
        <v/>
      </c>
      <c r="V56" s="10" t="str">
        <f t="shared" si="39"/>
        <v/>
      </c>
      <c r="W56" s="10" t="str">
        <f t="shared" si="19"/>
        <v/>
      </c>
      <c r="Y56" s="10" t="str">
        <f t="shared" si="40"/>
        <v/>
      </c>
      <c r="Z56" s="10" t="str">
        <f t="shared" si="20"/>
        <v/>
      </c>
      <c r="AB56" s="10" t="str">
        <f t="shared" si="41"/>
        <v/>
      </c>
      <c r="AC56" s="10" t="str">
        <f t="shared" si="21"/>
        <v/>
      </c>
      <c r="AE56" s="10" t="str">
        <f t="shared" si="42"/>
        <v/>
      </c>
      <c r="AF56" s="10" t="str">
        <f t="shared" si="22"/>
        <v/>
      </c>
      <c r="AH56" s="10" t="str">
        <f t="shared" si="43"/>
        <v/>
      </c>
      <c r="AI56" s="10" t="str">
        <f t="shared" si="23"/>
        <v/>
      </c>
      <c r="AK56" s="10" t="str">
        <f t="shared" si="44"/>
        <v/>
      </c>
      <c r="AL56" s="10" t="str">
        <f t="shared" si="24"/>
        <v/>
      </c>
      <c r="AN56" s="10" t="str">
        <f t="shared" si="45"/>
        <v/>
      </c>
      <c r="AO56" s="10" t="str">
        <f t="shared" si="25"/>
        <v/>
      </c>
      <c r="AQ56" s="10" t="str">
        <f t="shared" si="46"/>
        <v/>
      </c>
      <c r="AR56" s="10" t="str">
        <f t="shared" si="26"/>
        <v/>
      </c>
      <c r="AT56" s="7" t="str">
        <f>IF($K56&lt;=$F$15,IF($F$41&lt;&gt;"",$F$41/1000,IF(ISERROR(VLOOKUP($F$3&amp;IF($G$4&lt;&gt;"",$G$4,"")&amp;IF($F$44&lt;&gt;"","_"&amp;$F$44,""),'表3）燃料価格'!$AF$9:$AG$25,2,0)),0,VLOOKUP($I56,'表3）燃料価格'!$A$6:$U$66,VLOOKUP($F$3&amp;IF($G$4&lt;&gt;"",$G$4,"")&amp;IF($F$44&lt;&gt;"","_"&amp;$F$44,""),'表3）燃料価格'!$AF$9:$AG$25,2,0)+VLOOKUP($F$42,'表3）燃料価格'!$AF$28:$AG$29,2,0),0)*IF($F$44="需要地価格",1,$F$8/$F$142))),"")</f>
        <v/>
      </c>
      <c r="AV56" s="10" t="str">
        <f t="shared" si="47"/>
        <v/>
      </c>
      <c r="AW56" s="10" t="str">
        <f t="shared" si="27"/>
        <v/>
      </c>
      <c r="AY56" s="7" t="str">
        <f>IF(ISERROR(IF($K56&lt;=$F$15,VLOOKUP($I56,'表4）CO2価格'!$A$7:$E$67,VLOOKUP($F$49,'表4）CO2価格'!$H$10:$I$12,2,0),0)*$F$8/1000,"")),0,IF($K56&lt;=$F$15,VLOOKUP($I56,'表4）CO2価格'!$A$7:$E$67,VLOOKUP($F$49,'表4）CO2価格'!$H$10:$I$12,2,0),0)*$F$8/1000,""))</f>
        <v/>
      </c>
      <c r="BA56" s="11" t="str">
        <f t="shared" si="48"/>
        <v/>
      </c>
      <c r="BB56" s="10" t="str">
        <f t="shared" si="28"/>
        <v/>
      </c>
      <c r="BD56" s="10" t="str">
        <f t="shared" si="49"/>
        <v/>
      </c>
      <c r="BE56" s="10" t="str">
        <f t="shared" si="29"/>
        <v/>
      </c>
      <c r="BG56" s="11" t="str">
        <f t="shared" si="50"/>
        <v/>
      </c>
      <c r="BH56" s="10" t="str">
        <f t="shared" si="30"/>
        <v/>
      </c>
      <c r="BJ56" s="7" t="str">
        <f t="shared" si="51"/>
        <v/>
      </c>
      <c r="BK56" s="158" t="str">
        <f t="shared" si="52"/>
        <v/>
      </c>
      <c r="BL56" s="158" t="str">
        <f t="shared" si="16"/>
        <v/>
      </c>
      <c r="BM56" s="10"/>
      <c r="BN56" s="10" t="str">
        <f t="shared" si="31"/>
        <v/>
      </c>
      <c r="BO56" s="10" t="str">
        <f t="shared" si="32"/>
        <v/>
      </c>
      <c r="BQ56" s="10" t="str">
        <f t="shared" si="37"/>
        <v/>
      </c>
      <c r="BR56" s="10" t="str">
        <f t="shared" si="33"/>
        <v/>
      </c>
    </row>
    <row r="57" spans="3:70" x14ac:dyDescent="0.15">
      <c r="D57" s="81" t="s">
        <v>189</v>
      </c>
      <c r="F57" s="59"/>
      <c r="G57" s="81" t="s">
        <v>181</v>
      </c>
      <c r="I57" s="458">
        <f t="shared" si="34"/>
        <v>2072</v>
      </c>
      <c r="J57" s="470"/>
      <c r="K57" s="470">
        <f t="shared" si="35"/>
        <v>43</v>
      </c>
      <c r="L57" s="470"/>
      <c r="M57" s="40">
        <f t="shared" si="0"/>
        <v>0.28054293595180391</v>
      </c>
      <c r="N57" s="39"/>
      <c r="O57" s="72" t="str">
        <f t="shared" si="36"/>
        <v/>
      </c>
      <c r="P57" s="41" t="str">
        <f t="shared" si="38"/>
        <v/>
      </c>
      <c r="Q57" s="39"/>
      <c r="R57" s="72" t="str">
        <f t="shared" si="53"/>
        <v/>
      </c>
      <c r="S57" s="39"/>
      <c r="T57" s="72" t="str">
        <f t="shared" si="18"/>
        <v/>
      </c>
      <c r="U57" s="39"/>
      <c r="V57" s="72" t="str">
        <f t="shared" si="39"/>
        <v/>
      </c>
      <c r="W57" s="72" t="str">
        <f t="shared" si="19"/>
        <v/>
      </c>
      <c r="X57" s="39"/>
      <c r="Y57" s="72" t="str">
        <f t="shared" si="40"/>
        <v/>
      </c>
      <c r="Z57" s="72" t="str">
        <f t="shared" si="20"/>
        <v/>
      </c>
      <c r="AA57" s="39"/>
      <c r="AB57" s="72" t="str">
        <f t="shared" si="41"/>
        <v/>
      </c>
      <c r="AC57" s="72" t="str">
        <f t="shared" si="21"/>
        <v/>
      </c>
      <c r="AD57" s="39"/>
      <c r="AE57" s="72" t="str">
        <f t="shared" si="42"/>
        <v/>
      </c>
      <c r="AF57" s="72" t="str">
        <f t="shared" si="22"/>
        <v/>
      </c>
      <c r="AG57" s="39"/>
      <c r="AH57" s="72" t="str">
        <f t="shared" si="43"/>
        <v/>
      </c>
      <c r="AI57" s="72" t="str">
        <f t="shared" si="23"/>
        <v/>
      </c>
      <c r="AJ57" s="39"/>
      <c r="AK57" s="72" t="str">
        <f t="shared" si="44"/>
        <v/>
      </c>
      <c r="AL57" s="72" t="str">
        <f t="shared" si="24"/>
        <v/>
      </c>
      <c r="AM57" s="39"/>
      <c r="AN57" s="72" t="str">
        <f t="shared" si="45"/>
        <v/>
      </c>
      <c r="AO57" s="72" t="str">
        <f t="shared" si="25"/>
        <v/>
      </c>
      <c r="AP57" s="39"/>
      <c r="AQ57" s="72" t="str">
        <f t="shared" si="46"/>
        <v/>
      </c>
      <c r="AR57" s="72" t="str">
        <f t="shared" si="26"/>
        <v/>
      </c>
      <c r="AS57" s="39"/>
      <c r="AT57" s="40" t="str">
        <f>IF($K57&lt;=$F$15,IF($F$41&lt;&gt;"",$F$41/1000,IF(ISERROR(VLOOKUP($F$3&amp;IF($G$4&lt;&gt;"",$G$4,"")&amp;IF($F$44&lt;&gt;"","_"&amp;$F$44,""),'表3）燃料価格'!$AF$9:$AG$25,2,0)),0,VLOOKUP($I57,'表3）燃料価格'!$A$6:$U$66,VLOOKUP($F$3&amp;IF($G$4&lt;&gt;"",$G$4,"")&amp;IF($F$44&lt;&gt;"","_"&amp;$F$44,""),'表3）燃料価格'!$AF$9:$AG$25,2,0)+VLOOKUP($F$42,'表3）燃料価格'!$AF$28:$AG$29,2,0),0)*IF($F$44="需要地価格",1,$F$8/$F$142))),"")</f>
        <v/>
      </c>
      <c r="AU57" s="39"/>
      <c r="AV57" s="72" t="str">
        <f t="shared" si="47"/>
        <v/>
      </c>
      <c r="AW57" s="72" t="str">
        <f t="shared" si="27"/>
        <v/>
      </c>
      <c r="AX57" s="39"/>
      <c r="AY57" s="40" t="str">
        <f>IF(ISERROR(IF($K57&lt;=$F$15,VLOOKUP($I57,'表4）CO2価格'!$A$7:$E$67,VLOOKUP($F$49,'表4）CO2価格'!$H$10:$I$12,2,0),0)*$F$8/1000,"")),0,IF($K57&lt;=$F$15,VLOOKUP($I57,'表4）CO2価格'!$A$7:$E$67,VLOOKUP($F$49,'表4）CO2価格'!$H$10:$I$12,2,0),0)*$F$8/1000,""))</f>
        <v/>
      </c>
      <c r="AZ57" s="39"/>
      <c r="BA57" s="42" t="str">
        <f t="shared" si="48"/>
        <v/>
      </c>
      <c r="BB57" s="72" t="str">
        <f t="shared" si="28"/>
        <v/>
      </c>
      <c r="BC57" s="39"/>
      <c r="BD57" s="72" t="str">
        <f t="shared" si="49"/>
        <v/>
      </c>
      <c r="BE57" s="72" t="str">
        <f t="shared" si="29"/>
        <v/>
      </c>
      <c r="BF57" s="39"/>
      <c r="BG57" s="42" t="str">
        <f t="shared" si="50"/>
        <v/>
      </c>
      <c r="BH57" s="72" t="str">
        <f t="shared" si="30"/>
        <v/>
      </c>
      <c r="BI57" s="39"/>
      <c r="BJ57" s="40" t="str">
        <f t="shared" si="51"/>
        <v/>
      </c>
      <c r="BK57" s="157" t="str">
        <f t="shared" si="52"/>
        <v/>
      </c>
      <c r="BL57" s="157" t="str">
        <f t="shared" si="16"/>
        <v/>
      </c>
      <c r="BM57" s="72"/>
      <c r="BN57" s="72" t="str">
        <f t="shared" si="31"/>
        <v/>
      </c>
      <c r="BO57" s="72" t="str">
        <f t="shared" si="32"/>
        <v/>
      </c>
      <c r="BP57" s="39"/>
      <c r="BQ57" s="72" t="str">
        <f t="shared" si="37"/>
        <v/>
      </c>
      <c r="BR57" s="72" t="str">
        <f t="shared" si="33"/>
        <v/>
      </c>
    </row>
    <row r="58" spans="3:70" x14ac:dyDescent="0.15">
      <c r="I58" s="459">
        <f t="shared" si="34"/>
        <v>2073</v>
      </c>
      <c r="K58" s="9">
        <f t="shared" si="35"/>
        <v>44</v>
      </c>
      <c r="M58" s="7">
        <f t="shared" si="0"/>
        <v>0.27237178247747956</v>
      </c>
      <c r="O58" s="10" t="str">
        <f t="shared" si="36"/>
        <v/>
      </c>
      <c r="P58" s="29" t="str">
        <f t="shared" si="38"/>
        <v/>
      </c>
      <c r="R58" s="10" t="str">
        <f t="shared" si="53"/>
        <v/>
      </c>
      <c r="T58" s="10" t="str">
        <f t="shared" si="18"/>
        <v/>
      </c>
      <c r="V58" s="10" t="str">
        <f t="shared" si="39"/>
        <v/>
      </c>
      <c r="W58" s="10" t="str">
        <f t="shared" si="19"/>
        <v/>
      </c>
      <c r="Y58" s="10" t="str">
        <f t="shared" si="40"/>
        <v/>
      </c>
      <c r="Z58" s="10" t="str">
        <f t="shared" si="20"/>
        <v/>
      </c>
      <c r="AB58" s="10" t="str">
        <f t="shared" si="41"/>
        <v/>
      </c>
      <c r="AC58" s="10" t="str">
        <f t="shared" si="21"/>
        <v/>
      </c>
      <c r="AE58" s="10" t="str">
        <f t="shared" si="42"/>
        <v/>
      </c>
      <c r="AF58" s="10" t="str">
        <f t="shared" si="22"/>
        <v/>
      </c>
      <c r="AH58" s="10" t="str">
        <f t="shared" si="43"/>
        <v/>
      </c>
      <c r="AI58" s="10" t="str">
        <f t="shared" si="23"/>
        <v/>
      </c>
      <c r="AK58" s="10" t="str">
        <f t="shared" si="44"/>
        <v/>
      </c>
      <c r="AL58" s="10" t="str">
        <f t="shared" si="24"/>
        <v/>
      </c>
      <c r="AN58" s="10" t="str">
        <f t="shared" si="45"/>
        <v/>
      </c>
      <c r="AO58" s="10" t="str">
        <f t="shared" si="25"/>
        <v/>
      </c>
      <c r="AQ58" s="10" t="str">
        <f t="shared" si="46"/>
        <v/>
      </c>
      <c r="AR58" s="10" t="str">
        <f t="shared" si="26"/>
        <v/>
      </c>
      <c r="AT58" s="7" t="str">
        <f>IF($K58&lt;=$F$15,IF($F$41&lt;&gt;"",$F$41/1000,IF(ISERROR(VLOOKUP($F$3&amp;IF($G$4&lt;&gt;"",$G$4,"")&amp;IF($F$44&lt;&gt;"","_"&amp;$F$44,""),'表3）燃料価格'!$AF$9:$AG$25,2,0)),0,VLOOKUP($I58,'表3）燃料価格'!$A$6:$U$66,VLOOKUP($F$3&amp;IF($G$4&lt;&gt;"",$G$4,"")&amp;IF($F$44&lt;&gt;"","_"&amp;$F$44,""),'表3）燃料価格'!$AF$9:$AG$25,2,0)+VLOOKUP($F$42,'表3）燃料価格'!$AF$28:$AG$29,2,0),0)*IF($F$44="需要地価格",1,$F$8/$F$142))),"")</f>
        <v/>
      </c>
      <c r="AV58" s="10" t="str">
        <f t="shared" si="47"/>
        <v/>
      </c>
      <c r="AW58" s="10" t="str">
        <f t="shared" si="27"/>
        <v/>
      </c>
      <c r="AY58" s="7" t="str">
        <f>IF(ISERROR(IF($K58&lt;=$F$15,VLOOKUP($I58,'表4）CO2価格'!$A$7:$E$67,VLOOKUP($F$49,'表4）CO2価格'!$H$10:$I$12,2,0),0)*$F$8/1000,"")),0,IF($K58&lt;=$F$15,VLOOKUP($I58,'表4）CO2価格'!$A$7:$E$67,VLOOKUP($F$49,'表4）CO2価格'!$H$10:$I$12,2,0),0)*$F$8/1000,""))</f>
        <v/>
      </c>
      <c r="BA58" s="11" t="str">
        <f t="shared" si="48"/>
        <v/>
      </c>
      <c r="BB58" s="10" t="str">
        <f t="shared" si="28"/>
        <v/>
      </c>
      <c r="BD58" s="10" t="str">
        <f t="shared" si="49"/>
        <v/>
      </c>
      <c r="BE58" s="10" t="str">
        <f t="shared" si="29"/>
        <v/>
      </c>
      <c r="BG58" s="11" t="str">
        <f t="shared" si="50"/>
        <v/>
      </c>
      <c r="BH58" s="10" t="str">
        <f t="shared" si="30"/>
        <v/>
      </c>
      <c r="BJ58" s="7" t="str">
        <f t="shared" si="51"/>
        <v/>
      </c>
      <c r="BK58" s="158" t="str">
        <f t="shared" si="52"/>
        <v/>
      </c>
      <c r="BL58" s="158" t="str">
        <f t="shared" si="16"/>
        <v/>
      </c>
      <c r="BM58" s="10"/>
      <c r="BN58" s="10" t="str">
        <f t="shared" si="31"/>
        <v/>
      </c>
      <c r="BO58" s="10" t="str">
        <f t="shared" si="32"/>
        <v/>
      </c>
      <c r="BQ58" s="10" t="str">
        <f t="shared" si="37"/>
        <v/>
      </c>
      <c r="BR58" s="10" t="str">
        <f t="shared" si="33"/>
        <v/>
      </c>
    </row>
    <row r="59" spans="3:70" x14ac:dyDescent="0.15">
      <c r="C59" s="89" t="s">
        <v>512</v>
      </c>
      <c r="D59" s="101"/>
      <c r="E59" s="101"/>
      <c r="F59" s="89"/>
      <c r="G59" s="101"/>
      <c r="I59" s="458">
        <f t="shared" si="34"/>
        <v>2074</v>
      </c>
      <c r="J59" s="470"/>
      <c r="K59" s="470">
        <f t="shared" si="35"/>
        <v>45</v>
      </c>
      <c r="L59" s="470"/>
      <c r="M59" s="40">
        <f t="shared" si="0"/>
        <v>0.26443862376454325</v>
      </c>
      <c r="N59" s="39"/>
      <c r="O59" s="72" t="str">
        <f t="shared" si="36"/>
        <v/>
      </c>
      <c r="P59" s="41" t="str">
        <f t="shared" si="38"/>
        <v/>
      </c>
      <c r="Q59" s="39"/>
      <c r="R59" s="72" t="str">
        <f t="shared" si="53"/>
        <v/>
      </c>
      <c r="S59" s="39"/>
      <c r="T59" s="72" t="str">
        <f t="shared" si="18"/>
        <v/>
      </c>
      <c r="U59" s="39"/>
      <c r="V59" s="72" t="str">
        <f t="shared" si="39"/>
        <v/>
      </c>
      <c r="W59" s="72" t="str">
        <f t="shared" si="19"/>
        <v/>
      </c>
      <c r="X59" s="39"/>
      <c r="Y59" s="72" t="str">
        <f t="shared" si="40"/>
        <v/>
      </c>
      <c r="Z59" s="72" t="str">
        <f t="shared" si="20"/>
        <v/>
      </c>
      <c r="AA59" s="39"/>
      <c r="AB59" s="72" t="str">
        <f t="shared" si="41"/>
        <v/>
      </c>
      <c r="AC59" s="72" t="str">
        <f t="shared" si="21"/>
        <v/>
      </c>
      <c r="AD59" s="39"/>
      <c r="AE59" s="72" t="str">
        <f t="shared" si="42"/>
        <v/>
      </c>
      <c r="AF59" s="72" t="str">
        <f t="shared" si="22"/>
        <v/>
      </c>
      <c r="AG59" s="39"/>
      <c r="AH59" s="72" t="str">
        <f t="shared" si="43"/>
        <v/>
      </c>
      <c r="AI59" s="72" t="str">
        <f t="shared" si="23"/>
        <v/>
      </c>
      <c r="AJ59" s="39"/>
      <c r="AK59" s="72" t="str">
        <f t="shared" si="44"/>
        <v/>
      </c>
      <c r="AL59" s="72" t="str">
        <f t="shared" si="24"/>
        <v/>
      </c>
      <c r="AM59" s="39"/>
      <c r="AN59" s="72" t="str">
        <f t="shared" si="45"/>
        <v/>
      </c>
      <c r="AO59" s="72" t="str">
        <f t="shared" si="25"/>
        <v/>
      </c>
      <c r="AP59" s="39"/>
      <c r="AQ59" s="72" t="str">
        <f t="shared" si="46"/>
        <v/>
      </c>
      <c r="AR59" s="72" t="str">
        <f t="shared" si="26"/>
        <v/>
      </c>
      <c r="AS59" s="39"/>
      <c r="AT59" s="40" t="str">
        <f>IF($K59&lt;=$F$15,IF($F$41&lt;&gt;"",$F$41/1000,IF(ISERROR(VLOOKUP($F$3&amp;IF($G$4&lt;&gt;"",$G$4,"")&amp;IF($F$44&lt;&gt;"","_"&amp;$F$44,""),'表3）燃料価格'!$AF$9:$AG$25,2,0)),0,VLOOKUP($I59,'表3）燃料価格'!$A$6:$U$66,VLOOKUP($F$3&amp;IF($G$4&lt;&gt;"",$G$4,"")&amp;IF($F$44&lt;&gt;"","_"&amp;$F$44,""),'表3）燃料価格'!$AF$9:$AG$25,2,0)+VLOOKUP($F$42,'表3）燃料価格'!$AF$28:$AG$29,2,0),0)*IF($F$44="需要地価格",1,$F$8/$F$142))),"")</f>
        <v/>
      </c>
      <c r="AU59" s="39"/>
      <c r="AV59" s="72" t="str">
        <f t="shared" si="47"/>
        <v/>
      </c>
      <c r="AW59" s="72" t="str">
        <f t="shared" si="27"/>
        <v/>
      </c>
      <c r="AX59" s="39"/>
      <c r="AY59" s="40" t="str">
        <f>IF(ISERROR(IF($K59&lt;=$F$15,VLOOKUP($I59,'表4）CO2価格'!$A$7:$E$67,VLOOKUP($F$49,'表4）CO2価格'!$H$10:$I$12,2,0),0)*$F$8/1000,"")),0,IF($K59&lt;=$F$15,VLOOKUP($I59,'表4）CO2価格'!$A$7:$E$67,VLOOKUP($F$49,'表4）CO2価格'!$H$10:$I$12,2,0),0)*$F$8/1000,""))</f>
        <v/>
      </c>
      <c r="AZ59" s="39"/>
      <c r="BA59" s="42" t="str">
        <f t="shared" si="48"/>
        <v/>
      </c>
      <c r="BB59" s="72" t="str">
        <f t="shared" si="28"/>
        <v/>
      </c>
      <c r="BC59" s="39"/>
      <c r="BD59" s="72" t="str">
        <f t="shared" si="49"/>
        <v/>
      </c>
      <c r="BE59" s="72" t="str">
        <f t="shared" si="29"/>
        <v/>
      </c>
      <c r="BF59" s="39"/>
      <c r="BG59" s="42" t="str">
        <f t="shared" si="50"/>
        <v/>
      </c>
      <c r="BH59" s="72" t="str">
        <f t="shared" si="30"/>
        <v/>
      </c>
      <c r="BI59" s="39"/>
      <c r="BJ59" s="40" t="str">
        <f t="shared" si="51"/>
        <v/>
      </c>
      <c r="BK59" s="157" t="str">
        <f t="shared" si="52"/>
        <v/>
      </c>
      <c r="BL59" s="157" t="str">
        <f t="shared" si="16"/>
        <v/>
      </c>
      <c r="BM59" s="72"/>
      <c r="BN59" s="72" t="str">
        <f t="shared" si="31"/>
        <v/>
      </c>
      <c r="BO59" s="72" t="str">
        <f t="shared" si="32"/>
        <v/>
      </c>
      <c r="BP59" s="39"/>
      <c r="BQ59" s="72" t="str">
        <f t="shared" si="37"/>
        <v/>
      </c>
      <c r="BR59" s="72" t="str">
        <f t="shared" si="33"/>
        <v/>
      </c>
    </row>
    <row r="60" spans="3:70" x14ac:dyDescent="0.15">
      <c r="I60" s="459">
        <f t="shared" si="34"/>
        <v>2075</v>
      </c>
      <c r="K60" s="9">
        <f t="shared" si="35"/>
        <v>46</v>
      </c>
      <c r="M60" s="7">
        <f t="shared" si="0"/>
        <v>0.25673652792674101</v>
      </c>
      <c r="O60" s="10" t="str">
        <f t="shared" si="36"/>
        <v/>
      </c>
      <c r="P60" s="29" t="str">
        <f t="shared" si="38"/>
        <v/>
      </c>
      <c r="R60" s="10" t="str">
        <f t="shared" si="53"/>
        <v/>
      </c>
      <c r="T60" s="10" t="str">
        <f t="shared" si="18"/>
        <v/>
      </c>
      <c r="V60" s="10" t="str">
        <f t="shared" si="39"/>
        <v/>
      </c>
      <c r="W60" s="10" t="str">
        <f t="shared" si="19"/>
        <v/>
      </c>
      <c r="Y60" s="10" t="str">
        <f t="shared" si="40"/>
        <v/>
      </c>
      <c r="Z60" s="10" t="str">
        <f t="shared" si="20"/>
        <v/>
      </c>
      <c r="AB60" s="10" t="str">
        <f t="shared" si="41"/>
        <v/>
      </c>
      <c r="AC60" s="10" t="str">
        <f t="shared" si="21"/>
        <v/>
      </c>
      <c r="AE60" s="10" t="str">
        <f t="shared" si="42"/>
        <v/>
      </c>
      <c r="AF60" s="10" t="str">
        <f t="shared" si="22"/>
        <v/>
      </c>
      <c r="AH60" s="10" t="str">
        <f t="shared" si="43"/>
        <v/>
      </c>
      <c r="AI60" s="10" t="str">
        <f t="shared" si="23"/>
        <v/>
      </c>
      <c r="AK60" s="10" t="str">
        <f t="shared" si="44"/>
        <v/>
      </c>
      <c r="AL60" s="10" t="str">
        <f t="shared" si="24"/>
        <v/>
      </c>
      <c r="AN60" s="10" t="str">
        <f t="shared" si="45"/>
        <v/>
      </c>
      <c r="AO60" s="10" t="str">
        <f t="shared" si="25"/>
        <v/>
      </c>
      <c r="AQ60" s="10" t="str">
        <f t="shared" si="46"/>
        <v/>
      </c>
      <c r="AR60" s="10" t="str">
        <f t="shared" si="26"/>
        <v/>
      </c>
      <c r="AT60" s="7" t="str">
        <f>IF($K60&lt;=$F$15,IF($F$41&lt;&gt;"",$F$41/1000,IF(ISERROR(VLOOKUP($F$3&amp;IF($G$4&lt;&gt;"",$G$4,"")&amp;IF($F$44&lt;&gt;"","_"&amp;$F$44,""),'表3）燃料価格'!$AF$9:$AG$25,2,0)),0,VLOOKUP($I60,'表3）燃料価格'!$A$6:$U$66,VLOOKUP($F$3&amp;IF($G$4&lt;&gt;"",$G$4,"")&amp;IF($F$44&lt;&gt;"","_"&amp;$F$44,""),'表3）燃料価格'!$AF$9:$AG$25,2,0)+VLOOKUP($F$42,'表3）燃料価格'!$AF$28:$AG$29,2,0),0)*IF($F$44="需要地価格",1,$F$8/$F$142))),"")</f>
        <v/>
      </c>
      <c r="AV60" s="10" t="str">
        <f t="shared" si="47"/>
        <v/>
      </c>
      <c r="AW60" s="10" t="str">
        <f t="shared" si="27"/>
        <v/>
      </c>
      <c r="AY60" s="7" t="str">
        <f>IF(ISERROR(IF($K60&lt;=$F$15,VLOOKUP($I60,'表4）CO2価格'!$A$7:$E$67,VLOOKUP($F$49,'表4）CO2価格'!$H$10:$I$12,2,0),0)*$F$8/1000,"")),0,IF($K60&lt;=$F$15,VLOOKUP($I60,'表4）CO2価格'!$A$7:$E$67,VLOOKUP($F$49,'表4）CO2価格'!$H$10:$I$12,2,0),0)*$F$8/1000,""))</f>
        <v/>
      </c>
      <c r="BA60" s="11" t="str">
        <f t="shared" si="48"/>
        <v/>
      </c>
      <c r="BB60" s="10" t="str">
        <f t="shared" si="28"/>
        <v/>
      </c>
      <c r="BD60" s="10" t="str">
        <f t="shared" si="49"/>
        <v/>
      </c>
      <c r="BE60" s="10" t="str">
        <f t="shared" si="29"/>
        <v/>
      </c>
      <c r="BG60" s="11" t="str">
        <f t="shared" si="50"/>
        <v/>
      </c>
      <c r="BH60" s="10" t="str">
        <f t="shared" si="30"/>
        <v/>
      </c>
      <c r="BJ60" s="7" t="str">
        <f t="shared" si="51"/>
        <v/>
      </c>
      <c r="BK60" s="158" t="str">
        <f t="shared" si="52"/>
        <v/>
      </c>
      <c r="BL60" s="158" t="str">
        <f t="shared" si="16"/>
        <v/>
      </c>
      <c r="BM60" s="10"/>
      <c r="BN60" s="10" t="str">
        <f t="shared" si="31"/>
        <v/>
      </c>
      <c r="BO60" s="10" t="str">
        <f t="shared" si="32"/>
        <v/>
      </c>
      <c r="BQ60" s="10" t="str">
        <f t="shared" si="37"/>
        <v/>
      </c>
      <c r="BR60" s="10" t="str">
        <f t="shared" si="33"/>
        <v/>
      </c>
    </row>
    <row r="61" spans="3:70" x14ac:dyDescent="0.15">
      <c r="D61" s="81" t="s">
        <v>128</v>
      </c>
      <c r="F61" s="59"/>
      <c r="G61" s="81" t="s">
        <v>176</v>
      </c>
      <c r="I61" s="458">
        <f t="shared" si="34"/>
        <v>2076</v>
      </c>
      <c r="J61" s="470"/>
      <c r="K61" s="470">
        <f t="shared" si="35"/>
        <v>47</v>
      </c>
      <c r="L61" s="470"/>
      <c r="M61" s="40">
        <f t="shared" si="0"/>
        <v>0.24925876497741845</v>
      </c>
      <c r="N61" s="39"/>
      <c r="O61" s="72" t="str">
        <f t="shared" si="36"/>
        <v/>
      </c>
      <c r="P61" s="41" t="str">
        <f t="shared" si="38"/>
        <v/>
      </c>
      <c r="Q61" s="39"/>
      <c r="R61" s="72" t="str">
        <f t="shared" si="53"/>
        <v/>
      </c>
      <c r="S61" s="39"/>
      <c r="T61" s="72" t="str">
        <f t="shared" si="18"/>
        <v/>
      </c>
      <c r="U61" s="39"/>
      <c r="V61" s="72" t="str">
        <f t="shared" si="39"/>
        <v/>
      </c>
      <c r="W61" s="72" t="str">
        <f t="shared" si="19"/>
        <v/>
      </c>
      <c r="X61" s="39"/>
      <c r="Y61" s="72" t="str">
        <f t="shared" si="40"/>
        <v/>
      </c>
      <c r="Z61" s="72" t="str">
        <f t="shared" si="20"/>
        <v/>
      </c>
      <c r="AA61" s="39"/>
      <c r="AB61" s="72" t="str">
        <f t="shared" si="41"/>
        <v/>
      </c>
      <c r="AC61" s="72" t="str">
        <f t="shared" si="21"/>
        <v/>
      </c>
      <c r="AD61" s="39"/>
      <c r="AE61" s="72" t="str">
        <f t="shared" si="42"/>
        <v/>
      </c>
      <c r="AF61" s="72" t="str">
        <f t="shared" si="22"/>
        <v/>
      </c>
      <c r="AG61" s="39"/>
      <c r="AH61" s="72" t="str">
        <f t="shared" si="43"/>
        <v/>
      </c>
      <c r="AI61" s="72" t="str">
        <f t="shared" si="23"/>
        <v/>
      </c>
      <c r="AJ61" s="39"/>
      <c r="AK61" s="72" t="str">
        <f t="shared" si="44"/>
        <v/>
      </c>
      <c r="AL61" s="72" t="str">
        <f t="shared" si="24"/>
        <v/>
      </c>
      <c r="AM61" s="39"/>
      <c r="AN61" s="72" t="str">
        <f t="shared" si="45"/>
        <v/>
      </c>
      <c r="AO61" s="72" t="str">
        <f t="shared" si="25"/>
        <v/>
      </c>
      <c r="AP61" s="39"/>
      <c r="AQ61" s="72" t="str">
        <f t="shared" si="46"/>
        <v/>
      </c>
      <c r="AR61" s="72" t="str">
        <f t="shared" si="26"/>
        <v/>
      </c>
      <c r="AS61" s="39"/>
      <c r="AT61" s="40" t="str">
        <f>IF($K61&lt;=$F$15,IF($F$41&lt;&gt;"",$F$41/1000,IF(ISERROR(VLOOKUP($F$3&amp;IF($G$4&lt;&gt;"",$G$4,"")&amp;IF($F$44&lt;&gt;"","_"&amp;$F$44,""),'表3）燃料価格'!$AF$9:$AG$25,2,0)),0,VLOOKUP($I61,'表3）燃料価格'!$A$6:$U$66,VLOOKUP($F$3&amp;IF($G$4&lt;&gt;"",$G$4,"")&amp;IF($F$44&lt;&gt;"","_"&amp;$F$44,""),'表3）燃料価格'!$AF$9:$AG$25,2,0)+VLOOKUP($F$42,'表3）燃料価格'!$AF$28:$AG$29,2,0),0)*IF($F$44="需要地価格",1,$F$8/$F$142))),"")</f>
        <v/>
      </c>
      <c r="AU61" s="39"/>
      <c r="AV61" s="72" t="str">
        <f t="shared" si="47"/>
        <v/>
      </c>
      <c r="AW61" s="72" t="str">
        <f t="shared" si="27"/>
        <v/>
      </c>
      <c r="AX61" s="39"/>
      <c r="AY61" s="40" t="str">
        <f>IF(ISERROR(IF($K61&lt;=$F$15,VLOOKUP($I61,'表4）CO2価格'!$A$7:$E$67,VLOOKUP($F$49,'表4）CO2価格'!$H$10:$I$12,2,0),0)*$F$8/1000,"")),0,IF($K61&lt;=$F$15,VLOOKUP($I61,'表4）CO2価格'!$A$7:$E$67,VLOOKUP($F$49,'表4）CO2価格'!$H$10:$I$12,2,0),0)*$F$8/1000,""))</f>
        <v/>
      </c>
      <c r="AZ61" s="39"/>
      <c r="BA61" s="42" t="str">
        <f t="shared" si="48"/>
        <v/>
      </c>
      <c r="BB61" s="72" t="str">
        <f t="shared" si="28"/>
        <v/>
      </c>
      <c r="BC61" s="39"/>
      <c r="BD61" s="72" t="str">
        <f t="shared" si="49"/>
        <v/>
      </c>
      <c r="BE61" s="72" t="str">
        <f t="shared" si="29"/>
        <v/>
      </c>
      <c r="BF61" s="39"/>
      <c r="BG61" s="42" t="str">
        <f t="shared" si="50"/>
        <v/>
      </c>
      <c r="BH61" s="72" t="str">
        <f t="shared" si="30"/>
        <v/>
      </c>
      <c r="BI61" s="39"/>
      <c r="BJ61" s="40" t="str">
        <f t="shared" si="51"/>
        <v/>
      </c>
      <c r="BK61" s="157" t="str">
        <f t="shared" si="52"/>
        <v/>
      </c>
      <c r="BL61" s="157" t="str">
        <f t="shared" si="16"/>
        <v/>
      </c>
      <c r="BM61" s="72"/>
      <c r="BN61" s="72" t="str">
        <f t="shared" si="31"/>
        <v/>
      </c>
      <c r="BO61" s="72" t="str">
        <f t="shared" si="32"/>
        <v/>
      </c>
      <c r="BP61" s="39"/>
      <c r="BQ61" s="72" t="str">
        <f t="shared" si="37"/>
        <v/>
      </c>
      <c r="BR61" s="72" t="str">
        <f t="shared" si="33"/>
        <v/>
      </c>
    </row>
    <row r="62" spans="3:70" x14ac:dyDescent="0.15">
      <c r="D62" s="81" t="s">
        <v>190</v>
      </c>
      <c r="F62" s="66"/>
      <c r="G62" s="81" t="s">
        <v>108</v>
      </c>
      <c r="I62" s="459">
        <f t="shared" si="34"/>
        <v>2077</v>
      </c>
      <c r="K62" s="9">
        <f t="shared" si="35"/>
        <v>48</v>
      </c>
      <c r="M62" s="7">
        <f t="shared" si="0"/>
        <v>0.24199880094894996</v>
      </c>
      <c r="O62" s="10" t="str">
        <f t="shared" si="36"/>
        <v/>
      </c>
      <c r="P62" s="29" t="str">
        <f t="shared" si="38"/>
        <v/>
      </c>
      <c r="R62" s="10" t="str">
        <f t="shared" si="53"/>
        <v/>
      </c>
      <c r="T62" s="10" t="str">
        <f t="shared" si="18"/>
        <v/>
      </c>
      <c r="V62" s="10" t="str">
        <f t="shared" si="39"/>
        <v/>
      </c>
      <c r="W62" s="10" t="str">
        <f t="shared" si="19"/>
        <v/>
      </c>
      <c r="Y62" s="10" t="str">
        <f t="shared" si="40"/>
        <v/>
      </c>
      <c r="Z62" s="10" t="str">
        <f t="shared" si="20"/>
        <v/>
      </c>
      <c r="AB62" s="10" t="str">
        <f t="shared" si="41"/>
        <v/>
      </c>
      <c r="AC62" s="10" t="str">
        <f t="shared" si="21"/>
        <v/>
      </c>
      <c r="AE62" s="10" t="str">
        <f t="shared" si="42"/>
        <v/>
      </c>
      <c r="AF62" s="10" t="str">
        <f t="shared" si="22"/>
        <v/>
      </c>
      <c r="AH62" s="10" t="str">
        <f t="shared" si="43"/>
        <v/>
      </c>
      <c r="AI62" s="10" t="str">
        <f t="shared" si="23"/>
        <v/>
      </c>
      <c r="AK62" s="10" t="str">
        <f t="shared" si="44"/>
        <v/>
      </c>
      <c r="AL62" s="10" t="str">
        <f t="shared" si="24"/>
        <v/>
      </c>
      <c r="AN62" s="10" t="str">
        <f t="shared" si="45"/>
        <v/>
      </c>
      <c r="AO62" s="10" t="str">
        <f t="shared" si="25"/>
        <v/>
      </c>
      <c r="AQ62" s="10" t="str">
        <f t="shared" si="46"/>
        <v/>
      </c>
      <c r="AR62" s="10" t="str">
        <f t="shared" si="26"/>
        <v/>
      </c>
      <c r="AT62" s="7" t="str">
        <f>IF($K62&lt;=$F$15,IF($F$41&lt;&gt;"",$F$41/1000,IF(ISERROR(VLOOKUP($F$3&amp;IF($G$4&lt;&gt;"",$G$4,"")&amp;IF($F$44&lt;&gt;"","_"&amp;$F$44,""),'表3）燃料価格'!$AF$9:$AG$25,2,0)),0,VLOOKUP($I62,'表3）燃料価格'!$A$6:$U$66,VLOOKUP($F$3&amp;IF($G$4&lt;&gt;"",$G$4,"")&amp;IF($F$44&lt;&gt;"","_"&amp;$F$44,""),'表3）燃料価格'!$AF$9:$AG$25,2,0)+VLOOKUP($F$42,'表3）燃料価格'!$AF$28:$AG$29,2,0),0)*IF($F$44="需要地価格",1,$F$8/$F$142))),"")</f>
        <v/>
      </c>
      <c r="AV62" s="10" t="str">
        <f t="shared" si="47"/>
        <v/>
      </c>
      <c r="AW62" s="10" t="str">
        <f t="shared" si="27"/>
        <v/>
      </c>
      <c r="AY62" s="7" t="str">
        <f>IF(ISERROR(IF($K62&lt;=$F$15,VLOOKUP($I62,'表4）CO2価格'!$A$7:$E$67,VLOOKUP($F$49,'表4）CO2価格'!$H$10:$I$12,2,0),0)*$F$8/1000,"")),0,IF($K62&lt;=$F$15,VLOOKUP($I62,'表4）CO2価格'!$A$7:$E$67,VLOOKUP($F$49,'表4）CO2価格'!$H$10:$I$12,2,0),0)*$F$8/1000,""))</f>
        <v/>
      </c>
      <c r="BA62" s="11" t="str">
        <f t="shared" si="48"/>
        <v/>
      </c>
      <c r="BB62" s="10" t="str">
        <f t="shared" si="28"/>
        <v/>
      </c>
      <c r="BD62" s="10" t="str">
        <f t="shared" si="49"/>
        <v/>
      </c>
      <c r="BE62" s="10" t="str">
        <f t="shared" si="29"/>
        <v/>
      </c>
      <c r="BG62" s="11" t="str">
        <f t="shared" si="50"/>
        <v/>
      </c>
      <c r="BH62" s="10" t="str">
        <f t="shared" si="30"/>
        <v/>
      </c>
      <c r="BJ62" s="7" t="str">
        <f t="shared" si="51"/>
        <v/>
      </c>
      <c r="BK62" s="158" t="str">
        <f t="shared" si="52"/>
        <v/>
      </c>
      <c r="BL62" s="158" t="str">
        <f t="shared" si="16"/>
        <v/>
      </c>
      <c r="BM62" s="10"/>
      <c r="BN62" s="10" t="str">
        <f t="shared" si="31"/>
        <v/>
      </c>
      <c r="BO62" s="10" t="str">
        <f t="shared" si="32"/>
        <v/>
      </c>
      <c r="BQ62" s="10" t="str">
        <f t="shared" si="37"/>
        <v/>
      </c>
      <c r="BR62" s="10" t="str">
        <f t="shared" si="33"/>
        <v/>
      </c>
    </row>
    <row r="63" spans="3:70" x14ac:dyDescent="0.15">
      <c r="D63" s="81" t="s">
        <v>131</v>
      </c>
      <c r="F63" s="59"/>
      <c r="G63" s="81" t="s">
        <v>191</v>
      </c>
      <c r="I63" s="458">
        <f t="shared" si="34"/>
        <v>2078</v>
      </c>
      <c r="J63" s="470"/>
      <c r="K63" s="470">
        <f t="shared" si="35"/>
        <v>49</v>
      </c>
      <c r="L63" s="470"/>
      <c r="M63" s="40">
        <f t="shared" si="0"/>
        <v>0.2349502921834466</v>
      </c>
      <c r="N63" s="39"/>
      <c r="O63" s="72" t="str">
        <f t="shared" si="36"/>
        <v/>
      </c>
      <c r="P63" s="41" t="str">
        <f t="shared" si="38"/>
        <v/>
      </c>
      <c r="Q63" s="39"/>
      <c r="R63" s="72" t="str">
        <f t="shared" si="53"/>
        <v/>
      </c>
      <c r="S63" s="39"/>
      <c r="T63" s="72" t="str">
        <f t="shared" si="18"/>
        <v/>
      </c>
      <c r="U63" s="39"/>
      <c r="V63" s="72" t="str">
        <f t="shared" si="39"/>
        <v/>
      </c>
      <c r="W63" s="72" t="str">
        <f t="shared" si="19"/>
        <v/>
      </c>
      <c r="X63" s="39"/>
      <c r="Y63" s="72" t="str">
        <f t="shared" si="40"/>
        <v/>
      </c>
      <c r="Z63" s="72" t="str">
        <f t="shared" si="20"/>
        <v/>
      </c>
      <c r="AA63" s="39"/>
      <c r="AB63" s="72" t="str">
        <f t="shared" si="41"/>
        <v/>
      </c>
      <c r="AC63" s="72" t="str">
        <f t="shared" si="21"/>
        <v/>
      </c>
      <c r="AD63" s="39"/>
      <c r="AE63" s="72" t="str">
        <f t="shared" si="42"/>
        <v/>
      </c>
      <c r="AF63" s="72" t="str">
        <f t="shared" si="22"/>
        <v/>
      </c>
      <c r="AG63" s="39"/>
      <c r="AH63" s="72" t="str">
        <f t="shared" si="43"/>
        <v/>
      </c>
      <c r="AI63" s="72" t="str">
        <f t="shared" si="23"/>
        <v/>
      </c>
      <c r="AJ63" s="39"/>
      <c r="AK63" s="72" t="str">
        <f t="shared" si="44"/>
        <v/>
      </c>
      <c r="AL63" s="72" t="str">
        <f t="shared" si="24"/>
        <v/>
      </c>
      <c r="AM63" s="39"/>
      <c r="AN63" s="72" t="str">
        <f t="shared" si="45"/>
        <v/>
      </c>
      <c r="AO63" s="72" t="str">
        <f t="shared" si="25"/>
        <v/>
      </c>
      <c r="AP63" s="39"/>
      <c r="AQ63" s="72" t="str">
        <f t="shared" si="46"/>
        <v/>
      </c>
      <c r="AR63" s="72" t="str">
        <f t="shared" si="26"/>
        <v/>
      </c>
      <c r="AS63" s="39"/>
      <c r="AT63" s="40" t="str">
        <f>IF($K63&lt;=$F$15,IF($F$41&lt;&gt;"",$F$41/1000,IF(ISERROR(VLOOKUP($F$3&amp;IF($G$4&lt;&gt;"",$G$4,"")&amp;IF($F$44&lt;&gt;"","_"&amp;$F$44,""),'表3）燃料価格'!$AF$9:$AG$25,2,0)),0,VLOOKUP($I63,'表3）燃料価格'!$A$6:$U$66,VLOOKUP($F$3&amp;IF($G$4&lt;&gt;"",$G$4,"")&amp;IF($F$44&lt;&gt;"","_"&amp;$F$44,""),'表3）燃料価格'!$AF$9:$AG$25,2,0)+VLOOKUP($F$42,'表3）燃料価格'!$AF$28:$AG$29,2,0),0)*IF($F$44="需要地価格",1,$F$8/$F$142))),"")</f>
        <v/>
      </c>
      <c r="AU63" s="39"/>
      <c r="AV63" s="72" t="str">
        <f t="shared" si="47"/>
        <v/>
      </c>
      <c r="AW63" s="72" t="str">
        <f t="shared" si="27"/>
        <v/>
      </c>
      <c r="AX63" s="39"/>
      <c r="AY63" s="40" t="str">
        <f>IF(ISERROR(IF($K63&lt;=$F$15,VLOOKUP($I63,'表4）CO2価格'!$A$7:$E$67,VLOOKUP($F$49,'表4）CO2価格'!$H$10:$I$12,2,0),0)*$F$8/1000,"")),0,IF($K63&lt;=$F$15,VLOOKUP($I63,'表4）CO2価格'!$A$7:$E$67,VLOOKUP($F$49,'表4）CO2価格'!$H$10:$I$12,2,0),0)*$F$8/1000,""))</f>
        <v/>
      </c>
      <c r="AZ63" s="39"/>
      <c r="BA63" s="42" t="str">
        <f t="shared" si="48"/>
        <v/>
      </c>
      <c r="BB63" s="72" t="str">
        <f t="shared" si="28"/>
        <v/>
      </c>
      <c r="BC63" s="39"/>
      <c r="BD63" s="72" t="str">
        <f t="shared" si="49"/>
        <v/>
      </c>
      <c r="BE63" s="72" t="str">
        <f t="shared" si="29"/>
        <v/>
      </c>
      <c r="BF63" s="39"/>
      <c r="BG63" s="42" t="str">
        <f t="shared" si="50"/>
        <v/>
      </c>
      <c r="BH63" s="72" t="str">
        <f t="shared" si="30"/>
        <v/>
      </c>
      <c r="BI63" s="39"/>
      <c r="BJ63" s="40" t="str">
        <f t="shared" si="51"/>
        <v/>
      </c>
      <c r="BK63" s="157" t="str">
        <f t="shared" si="52"/>
        <v/>
      </c>
      <c r="BL63" s="157" t="str">
        <f t="shared" si="16"/>
        <v/>
      </c>
      <c r="BM63" s="72"/>
      <c r="BN63" s="72" t="str">
        <f t="shared" si="31"/>
        <v/>
      </c>
      <c r="BO63" s="72" t="str">
        <f t="shared" si="32"/>
        <v/>
      </c>
      <c r="BP63" s="39"/>
      <c r="BQ63" s="72" t="str">
        <f t="shared" si="37"/>
        <v/>
      </c>
      <c r="BR63" s="72" t="str">
        <f t="shared" si="33"/>
        <v/>
      </c>
    </row>
    <row r="64" spans="3:70" x14ac:dyDescent="0.15">
      <c r="I64" s="459">
        <f t="shared" si="34"/>
        <v>2079</v>
      </c>
      <c r="K64" s="9">
        <f t="shared" si="35"/>
        <v>50</v>
      </c>
      <c r="M64" s="7">
        <f t="shared" si="0"/>
        <v>0.22810707978975397</v>
      </c>
      <c r="O64" s="10" t="str">
        <f t="shared" si="36"/>
        <v/>
      </c>
      <c r="P64" s="29" t="str">
        <f t="shared" si="38"/>
        <v/>
      </c>
      <c r="R64" s="10" t="str">
        <f t="shared" si="53"/>
        <v/>
      </c>
      <c r="T64" s="10" t="str">
        <f t="shared" si="18"/>
        <v/>
      </c>
      <c r="V64" s="10" t="str">
        <f t="shared" si="39"/>
        <v/>
      </c>
      <c r="W64" s="10" t="str">
        <f t="shared" si="19"/>
        <v/>
      </c>
      <c r="Y64" s="10" t="str">
        <f t="shared" si="40"/>
        <v/>
      </c>
      <c r="Z64" s="10" t="str">
        <f t="shared" si="20"/>
        <v/>
      </c>
      <c r="AB64" s="10" t="str">
        <f t="shared" si="41"/>
        <v/>
      </c>
      <c r="AC64" s="10" t="str">
        <f t="shared" si="21"/>
        <v/>
      </c>
      <c r="AE64" s="10" t="str">
        <f t="shared" si="42"/>
        <v/>
      </c>
      <c r="AF64" s="10" t="str">
        <f t="shared" si="22"/>
        <v/>
      </c>
      <c r="AH64" s="10" t="str">
        <f t="shared" si="43"/>
        <v/>
      </c>
      <c r="AI64" s="10" t="str">
        <f t="shared" si="23"/>
        <v/>
      </c>
      <c r="AK64" s="10" t="str">
        <f t="shared" si="44"/>
        <v/>
      </c>
      <c r="AL64" s="10" t="str">
        <f t="shared" si="24"/>
        <v/>
      </c>
      <c r="AN64" s="10" t="str">
        <f t="shared" si="45"/>
        <v/>
      </c>
      <c r="AO64" s="10" t="str">
        <f t="shared" si="25"/>
        <v/>
      </c>
      <c r="AQ64" s="10" t="str">
        <f t="shared" si="46"/>
        <v/>
      </c>
      <c r="AR64" s="10" t="str">
        <f t="shared" si="26"/>
        <v/>
      </c>
      <c r="AT64" s="7" t="str">
        <f>IF($K64&lt;=$F$15,IF($F$41&lt;&gt;"",$F$41/1000,IF(ISERROR(VLOOKUP($F$3&amp;IF($G$4&lt;&gt;"",$G$4,"")&amp;IF($F$44&lt;&gt;"","_"&amp;$F$44,""),'表3）燃料価格'!$AF$9:$AG$25,2,0)),0,VLOOKUP($I64,'表3）燃料価格'!$A$6:$U$66,VLOOKUP($F$3&amp;IF($G$4&lt;&gt;"",$G$4,"")&amp;IF($F$44&lt;&gt;"","_"&amp;$F$44,""),'表3）燃料価格'!$AF$9:$AG$25,2,0)+VLOOKUP($F$42,'表3）燃料価格'!$AF$28:$AG$29,2,0),0)*IF($F$44="需要地価格",1,$F$8/$F$142))),"")</f>
        <v/>
      </c>
      <c r="AV64" s="10" t="str">
        <f t="shared" si="47"/>
        <v/>
      </c>
      <c r="AW64" s="10" t="str">
        <f t="shared" si="27"/>
        <v/>
      </c>
      <c r="AY64" s="7" t="str">
        <f>IF(ISERROR(IF($K64&lt;=$F$15,VLOOKUP($I64,'表4）CO2価格'!$A$7:$E$67,VLOOKUP($F$49,'表4）CO2価格'!$H$10:$I$12,2,0),0)*$F$8/1000,"")),0,IF($K64&lt;=$F$15,VLOOKUP($I64,'表4）CO2価格'!$A$7:$E$67,VLOOKUP($F$49,'表4）CO2価格'!$H$10:$I$12,2,0),0)*$F$8/1000,""))</f>
        <v/>
      </c>
      <c r="BA64" s="11" t="str">
        <f t="shared" si="48"/>
        <v/>
      </c>
      <c r="BB64" s="10" t="str">
        <f t="shared" si="28"/>
        <v/>
      </c>
      <c r="BD64" s="10" t="str">
        <f t="shared" si="49"/>
        <v/>
      </c>
      <c r="BE64" s="10" t="str">
        <f t="shared" si="29"/>
        <v/>
      </c>
      <c r="BG64" s="11" t="str">
        <f t="shared" si="50"/>
        <v/>
      </c>
      <c r="BH64" s="10" t="str">
        <f t="shared" si="30"/>
        <v/>
      </c>
      <c r="BJ64" s="7" t="str">
        <f t="shared" si="51"/>
        <v/>
      </c>
      <c r="BK64" s="158" t="str">
        <f t="shared" si="52"/>
        <v/>
      </c>
      <c r="BL64" s="158" t="str">
        <f t="shared" si="16"/>
        <v/>
      </c>
      <c r="BM64" s="10"/>
      <c r="BN64" s="10" t="str">
        <f t="shared" si="31"/>
        <v/>
      </c>
      <c r="BO64" s="10" t="str">
        <f t="shared" si="32"/>
        <v/>
      </c>
      <c r="BQ64" s="10" t="str">
        <f t="shared" si="37"/>
        <v/>
      </c>
      <c r="BR64" s="10" t="str">
        <f t="shared" si="33"/>
        <v/>
      </c>
    </row>
    <row r="65" spans="2:70" x14ac:dyDescent="0.15">
      <c r="C65" s="9" t="s">
        <v>513</v>
      </c>
      <c r="F65" s="67">
        <v>0.06</v>
      </c>
      <c r="G65" s="81" t="s">
        <v>132</v>
      </c>
      <c r="I65" s="458">
        <f t="shared" si="34"/>
        <v>2080</v>
      </c>
      <c r="J65" s="470"/>
      <c r="K65" s="470">
        <f t="shared" si="35"/>
        <v>51</v>
      </c>
      <c r="L65" s="470"/>
      <c r="M65" s="40">
        <f t="shared" si="0"/>
        <v>0.22146318426189707</v>
      </c>
      <c r="N65" s="39"/>
      <c r="O65" s="72" t="str">
        <f t="shared" si="36"/>
        <v/>
      </c>
      <c r="P65" s="41" t="str">
        <f t="shared" si="38"/>
        <v/>
      </c>
      <c r="Q65" s="39"/>
      <c r="R65" s="72" t="str">
        <f t="shared" si="53"/>
        <v/>
      </c>
      <c r="S65" s="39"/>
      <c r="T65" s="72" t="str">
        <f t="shared" si="18"/>
        <v/>
      </c>
      <c r="U65" s="39"/>
      <c r="V65" s="72" t="str">
        <f t="shared" si="39"/>
        <v/>
      </c>
      <c r="W65" s="72" t="str">
        <f t="shared" si="19"/>
        <v/>
      </c>
      <c r="X65" s="39"/>
      <c r="Y65" s="72" t="str">
        <f t="shared" si="40"/>
        <v/>
      </c>
      <c r="Z65" s="72" t="str">
        <f t="shared" si="20"/>
        <v/>
      </c>
      <c r="AA65" s="39"/>
      <c r="AB65" s="72" t="str">
        <f t="shared" si="41"/>
        <v/>
      </c>
      <c r="AC65" s="72" t="str">
        <f t="shared" si="21"/>
        <v/>
      </c>
      <c r="AD65" s="39"/>
      <c r="AE65" s="72" t="str">
        <f t="shared" si="42"/>
        <v/>
      </c>
      <c r="AF65" s="72" t="str">
        <f t="shared" si="22"/>
        <v/>
      </c>
      <c r="AG65" s="39"/>
      <c r="AH65" s="72" t="str">
        <f t="shared" si="43"/>
        <v/>
      </c>
      <c r="AI65" s="72" t="str">
        <f t="shared" si="23"/>
        <v/>
      </c>
      <c r="AJ65" s="39"/>
      <c r="AK65" s="72" t="str">
        <f t="shared" si="44"/>
        <v/>
      </c>
      <c r="AL65" s="72" t="str">
        <f t="shared" si="24"/>
        <v/>
      </c>
      <c r="AM65" s="39"/>
      <c r="AN65" s="72" t="str">
        <f t="shared" si="45"/>
        <v/>
      </c>
      <c r="AO65" s="72" t="str">
        <f t="shared" si="25"/>
        <v/>
      </c>
      <c r="AP65" s="39"/>
      <c r="AQ65" s="72" t="str">
        <f t="shared" si="46"/>
        <v/>
      </c>
      <c r="AR65" s="72" t="str">
        <f t="shared" si="26"/>
        <v/>
      </c>
      <c r="AS65" s="39"/>
      <c r="AT65" s="40" t="str">
        <f>IF($K65&lt;=$F$15,IF($F$41&lt;&gt;"",$F$41/1000,IF(ISERROR(VLOOKUP($F$3&amp;IF($G$4&lt;&gt;"",$G$4,"")&amp;IF($F$44&lt;&gt;"","_"&amp;$F$44,""),'表3）燃料価格'!$AF$9:$AG$25,2,0)),0,VLOOKUP($I65,'表3）燃料価格'!$A$6:$U$66,VLOOKUP($F$3&amp;IF($G$4&lt;&gt;"",$G$4,"")&amp;IF($F$44&lt;&gt;"","_"&amp;$F$44,""),'表3）燃料価格'!$AF$9:$AG$25,2,0)+VLOOKUP($F$42,'表3）燃料価格'!$AF$28:$AG$29,2,0),0)*IF($F$44="需要地価格",1,$F$8/$F$142))),"")</f>
        <v/>
      </c>
      <c r="AU65" s="39"/>
      <c r="AV65" s="72" t="str">
        <f t="shared" si="47"/>
        <v/>
      </c>
      <c r="AW65" s="72" t="str">
        <f t="shared" si="27"/>
        <v/>
      </c>
      <c r="AX65" s="39"/>
      <c r="AY65" s="40" t="str">
        <f>IF(ISERROR(IF($K65&lt;=$F$15,VLOOKUP($I65,'表4）CO2価格'!$A$7:$E$67,VLOOKUP($F$49,'表4）CO2価格'!$H$10:$I$12,2,0),0)*$F$8/1000,"")),0,IF($K65&lt;=$F$15,VLOOKUP($I65,'表4）CO2価格'!$A$7:$E$67,VLOOKUP($F$49,'表4）CO2価格'!$H$10:$I$12,2,0),0)*$F$8/1000,""))</f>
        <v/>
      </c>
      <c r="AZ65" s="39"/>
      <c r="BA65" s="42" t="str">
        <f t="shared" si="48"/>
        <v/>
      </c>
      <c r="BB65" s="72" t="str">
        <f t="shared" si="28"/>
        <v/>
      </c>
      <c r="BC65" s="39"/>
      <c r="BD65" s="72" t="str">
        <f t="shared" si="49"/>
        <v/>
      </c>
      <c r="BE65" s="72" t="str">
        <f t="shared" si="29"/>
        <v/>
      </c>
      <c r="BF65" s="39"/>
      <c r="BG65" s="42" t="str">
        <f t="shared" si="50"/>
        <v/>
      </c>
      <c r="BH65" s="72" t="str">
        <f t="shared" si="30"/>
        <v/>
      </c>
      <c r="BI65" s="39"/>
      <c r="BJ65" s="40" t="str">
        <f t="shared" si="51"/>
        <v/>
      </c>
      <c r="BK65" s="157" t="str">
        <f t="shared" si="52"/>
        <v/>
      </c>
      <c r="BL65" s="157" t="str">
        <f t="shared" si="16"/>
        <v/>
      </c>
      <c r="BM65" s="72"/>
      <c r="BN65" s="72" t="str">
        <f t="shared" si="31"/>
        <v/>
      </c>
      <c r="BO65" s="72" t="str">
        <f t="shared" si="32"/>
        <v/>
      </c>
      <c r="BP65" s="39"/>
      <c r="BQ65" s="72" t="str">
        <f t="shared" si="37"/>
        <v/>
      </c>
      <c r="BR65" s="72" t="str">
        <f t="shared" si="33"/>
        <v/>
      </c>
    </row>
    <row r="66" spans="2:70" x14ac:dyDescent="0.15">
      <c r="I66" s="459">
        <f t="shared" si="34"/>
        <v>2081</v>
      </c>
      <c r="K66" s="9">
        <f t="shared" si="35"/>
        <v>52</v>
      </c>
      <c r="M66" s="7">
        <f t="shared" si="0"/>
        <v>0.215012800254269</v>
      </c>
      <c r="O66" s="10" t="str">
        <f t="shared" si="36"/>
        <v/>
      </c>
      <c r="P66" s="29" t="str">
        <f t="shared" si="38"/>
        <v/>
      </c>
      <c r="R66" s="10" t="str">
        <f t="shared" si="53"/>
        <v/>
      </c>
      <c r="T66" s="10" t="str">
        <f t="shared" si="18"/>
        <v/>
      </c>
      <c r="V66" s="10" t="str">
        <f t="shared" si="39"/>
        <v/>
      </c>
      <c r="W66" s="10" t="str">
        <f t="shared" si="19"/>
        <v/>
      </c>
      <c r="Y66" s="10" t="str">
        <f t="shared" si="40"/>
        <v/>
      </c>
      <c r="Z66" s="10" t="str">
        <f t="shared" si="20"/>
        <v/>
      </c>
      <c r="AB66" s="10" t="str">
        <f t="shared" si="41"/>
        <v/>
      </c>
      <c r="AC66" s="10" t="str">
        <f t="shared" si="21"/>
        <v/>
      </c>
      <c r="AE66" s="10" t="str">
        <f t="shared" si="42"/>
        <v/>
      </c>
      <c r="AF66" s="10" t="str">
        <f t="shared" si="22"/>
        <v/>
      </c>
      <c r="AH66" s="10" t="str">
        <f t="shared" si="43"/>
        <v/>
      </c>
      <c r="AI66" s="10" t="str">
        <f t="shared" si="23"/>
        <v/>
      </c>
      <c r="AK66" s="10" t="str">
        <f t="shared" si="44"/>
        <v/>
      </c>
      <c r="AL66" s="10" t="str">
        <f t="shared" si="24"/>
        <v/>
      </c>
      <c r="AN66" s="10" t="str">
        <f t="shared" si="45"/>
        <v/>
      </c>
      <c r="AO66" s="10" t="str">
        <f t="shared" si="25"/>
        <v/>
      </c>
      <c r="AQ66" s="10" t="str">
        <f t="shared" si="46"/>
        <v/>
      </c>
      <c r="AR66" s="10" t="str">
        <f t="shared" si="26"/>
        <v/>
      </c>
      <c r="AT66" s="7" t="str">
        <f>IF($K66&lt;=$F$15,IF($F$41&lt;&gt;"",$F$41/1000,IF(ISERROR(VLOOKUP($F$3&amp;IF($G$4&lt;&gt;"",$G$4,"")&amp;IF($F$44&lt;&gt;"","_"&amp;$F$44,""),'表3）燃料価格'!$AF$9:$AG$25,2,0)),0,VLOOKUP($I66,'表3）燃料価格'!$A$6:$U$66,VLOOKUP($F$3&amp;IF($G$4&lt;&gt;"",$G$4,"")&amp;IF($F$44&lt;&gt;"","_"&amp;$F$44,""),'表3）燃料価格'!$AF$9:$AG$25,2,0)+VLOOKUP($F$42,'表3）燃料価格'!$AF$28:$AG$29,2,0),0)*IF($F$44="需要地価格",1,$F$8/$F$142))),"")</f>
        <v/>
      </c>
      <c r="AV66" s="10" t="str">
        <f t="shared" si="47"/>
        <v/>
      </c>
      <c r="AW66" s="10" t="str">
        <f t="shared" si="27"/>
        <v/>
      </c>
      <c r="AY66" s="7" t="str">
        <f>IF(ISERROR(IF($K66&lt;=$F$15,VLOOKUP($I66,'表4）CO2価格'!$A$7:$E$67,VLOOKUP($F$49,'表4）CO2価格'!$H$10:$I$12,2,0),0)*$F$8/1000,"")),0,IF($K66&lt;=$F$15,VLOOKUP($I66,'表4）CO2価格'!$A$7:$E$67,VLOOKUP($F$49,'表4）CO2価格'!$H$10:$I$12,2,0),0)*$F$8/1000,""))</f>
        <v/>
      </c>
      <c r="BA66" s="11" t="str">
        <f t="shared" si="48"/>
        <v/>
      </c>
      <c r="BB66" s="10" t="str">
        <f t="shared" si="28"/>
        <v/>
      </c>
      <c r="BD66" s="10" t="str">
        <f t="shared" si="49"/>
        <v/>
      </c>
      <c r="BE66" s="10" t="str">
        <f t="shared" si="29"/>
        <v/>
      </c>
      <c r="BG66" s="11" t="str">
        <f t="shared" si="50"/>
        <v/>
      </c>
      <c r="BH66" s="10" t="str">
        <f t="shared" si="30"/>
        <v/>
      </c>
      <c r="BJ66" s="7" t="str">
        <f t="shared" si="51"/>
        <v/>
      </c>
      <c r="BK66" s="158" t="str">
        <f t="shared" si="52"/>
        <v/>
      </c>
      <c r="BL66" s="158" t="str">
        <f t="shared" si="16"/>
        <v/>
      </c>
      <c r="BM66" s="10"/>
      <c r="BN66" s="10" t="str">
        <f t="shared" si="31"/>
        <v/>
      </c>
      <c r="BO66" s="10" t="str">
        <f t="shared" si="32"/>
        <v/>
      </c>
      <c r="BQ66" s="10" t="str">
        <f t="shared" si="37"/>
        <v/>
      </c>
      <c r="BR66" s="10" t="str">
        <f t="shared" si="33"/>
        <v/>
      </c>
    </row>
    <row r="67" spans="2:70" x14ac:dyDescent="0.15">
      <c r="I67" s="458">
        <f t="shared" si="34"/>
        <v>2082</v>
      </c>
      <c r="J67" s="470"/>
      <c r="K67" s="470">
        <f t="shared" si="35"/>
        <v>53</v>
      </c>
      <c r="L67" s="470"/>
      <c r="M67" s="40">
        <f t="shared" si="0"/>
        <v>0.20875029150899907</v>
      </c>
      <c r="N67" s="39"/>
      <c r="O67" s="72" t="str">
        <f t="shared" si="36"/>
        <v/>
      </c>
      <c r="P67" s="41" t="str">
        <f t="shared" si="38"/>
        <v/>
      </c>
      <c r="Q67" s="39"/>
      <c r="R67" s="72" t="str">
        <f t="shared" si="53"/>
        <v/>
      </c>
      <c r="S67" s="39"/>
      <c r="T67" s="72" t="str">
        <f t="shared" si="18"/>
        <v/>
      </c>
      <c r="U67" s="39"/>
      <c r="V67" s="72" t="str">
        <f t="shared" si="39"/>
        <v/>
      </c>
      <c r="W67" s="72" t="str">
        <f t="shared" si="19"/>
        <v/>
      </c>
      <c r="X67" s="39"/>
      <c r="Y67" s="72" t="str">
        <f t="shared" si="40"/>
        <v/>
      </c>
      <c r="Z67" s="72" t="str">
        <f t="shared" si="20"/>
        <v/>
      </c>
      <c r="AA67" s="39"/>
      <c r="AB67" s="72" t="str">
        <f t="shared" si="41"/>
        <v/>
      </c>
      <c r="AC67" s="72" t="str">
        <f t="shared" si="21"/>
        <v/>
      </c>
      <c r="AD67" s="39"/>
      <c r="AE67" s="72" t="str">
        <f t="shared" si="42"/>
        <v/>
      </c>
      <c r="AF67" s="72" t="str">
        <f t="shared" si="22"/>
        <v/>
      </c>
      <c r="AG67" s="39"/>
      <c r="AH67" s="72" t="str">
        <f t="shared" si="43"/>
        <v/>
      </c>
      <c r="AI67" s="72" t="str">
        <f t="shared" si="23"/>
        <v/>
      </c>
      <c r="AJ67" s="39"/>
      <c r="AK67" s="72" t="str">
        <f t="shared" si="44"/>
        <v/>
      </c>
      <c r="AL67" s="72" t="str">
        <f t="shared" si="24"/>
        <v/>
      </c>
      <c r="AM67" s="39"/>
      <c r="AN67" s="72" t="str">
        <f t="shared" si="45"/>
        <v/>
      </c>
      <c r="AO67" s="72" t="str">
        <f t="shared" si="25"/>
        <v/>
      </c>
      <c r="AP67" s="39"/>
      <c r="AQ67" s="72" t="str">
        <f t="shared" si="46"/>
        <v/>
      </c>
      <c r="AR67" s="72" t="str">
        <f t="shared" si="26"/>
        <v/>
      </c>
      <c r="AS67" s="39"/>
      <c r="AT67" s="40" t="str">
        <f>IF($K67&lt;=$F$15,IF($F$41&lt;&gt;"",$F$41/1000,IF(ISERROR(VLOOKUP($F$3&amp;IF($G$4&lt;&gt;"",$G$4,"")&amp;IF($F$44&lt;&gt;"","_"&amp;$F$44,""),'表3）燃料価格'!$AF$9:$AG$25,2,0)),0,VLOOKUP($I67,'表3）燃料価格'!$A$6:$U$66,VLOOKUP($F$3&amp;IF($G$4&lt;&gt;"",$G$4,"")&amp;IF($F$44&lt;&gt;"","_"&amp;$F$44,""),'表3）燃料価格'!$AF$9:$AG$25,2,0)+VLOOKUP($F$42,'表3）燃料価格'!$AF$28:$AG$29,2,0),0)*IF($F$44="需要地価格",1,$F$8/$F$142))),"")</f>
        <v/>
      </c>
      <c r="AU67" s="39"/>
      <c r="AV67" s="72" t="str">
        <f t="shared" si="47"/>
        <v/>
      </c>
      <c r="AW67" s="72" t="str">
        <f t="shared" si="27"/>
        <v/>
      </c>
      <c r="AX67" s="39"/>
      <c r="AY67" s="40" t="str">
        <f>IF(ISERROR(IF($K67&lt;=$F$15,VLOOKUP($I67,'表4）CO2価格'!$A$7:$E$67,VLOOKUP($F$49,'表4）CO2価格'!$H$10:$I$12,2,0),0)*$F$8/1000,"")),0,IF($K67&lt;=$F$15,VLOOKUP($I67,'表4）CO2価格'!$A$7:$E$67,VLOOKUP($F$49,'表4）CO2価格'!$H$10:$I$12,2,0),0)*$F$8/1000,""))</f>
        <v/>
      </c>
      <c r="AZ67" s="39"/>
      <c r="BA67" s="42" t="str">
        <f t="shared" si="48"/>
        <v/>
      </c>
      <c r="BB67" s="72" t="str">
        <f t="shared" si="28"/>
        <v/>
      </c>
      <c r="BC67" s="39"/>
      <c r="BD67" s="72" t="str">
        <f t="shared" si="49"/>
        <v/>
      </c>
      <c r="BE67" s="72" t="str">
        <f t="shared" si="29"/>
        <v/>
      </c>
      <c r="BF67" s="39"/>
      <c r="BG67" s="42" t="str">
        <f t="shared" si="50"/>
        <v/>
      </c>
      <c r="BH67" s="72" t="str">
        <f t="shared" si="30"/>
        <v/>
      </c>
      <c r="BI67" s="39"/>
      <c r="BJ67" s="40" t="str">
        <f t="shared" si="51"/>
        <v/>
      </c>
      <c r="BK67" s="157" t="str">
        <f t="shared" si="52"/>
        <v/>
      </c>
      <c r="BL67" s="157" t="str">
        <f t="shared" si="16"/>
        <v/>
      </c>
      <c r="BM67" s="72"/>
      <c r="BN67" s="72" t="str">
        <f t="shared" si="31"/>
        <v/>
      </c>
      <c r="BO67" s="72" t="str">
        <f t="shared" si="32"/>
        <v/>
      </c>
      <c r="BP67" s="39"/>
      <c r="BQ67" s="72" t="str">
        <f t="shared" si="37"/>
        <v/>
      </c>
      <c r="BR67" s="72" t="str">
        <f t="shared" si="33"/>
        <v/>
      </c>
    </row>
    <row r="68" spans="2:70" ht="15.75" thickBot="1" x14ac:dyDescent="0.2">
      <c r="B68" s="460" t="s">
        <v>133</v>
      </c>
      <c r="C68" s="86"/>
      <c r="D68" s="104"/>
      <c r="E68" s="104"/>
      <c r="F68" s="86"/>
      <c r="G68" s="104"/>
      <c r="I68" s="459">
        <f t="shared" si="34"/>
        <v>2083</v>
      </c>
      <c r="K68" s="9">
        <f t="shared" si="35"/>
        <v>54</v>
      </c>
      <c r="M68" s="7">
        <f t="shared" si="0"/>
        <v>0.20267018593106703</v>
      </c>
      <c r="O68" s="10" t="str">
        <f t="shared" si="36"/>
        <v/>
      </c>
      <c r="P68" s="29" t="str">
        <f t="shared" si="38"/>
        <v/>
      </c>
      <c r="R68" s="10" t="str">
        <f t="shared" si="53"/>
        <v/>
      </c>
      <c r="T68" s="10" t="str">
        <f t="shared" si="18"/>
        <v/>
      </c>
      <c r="V68" s="10" t="str">
        <f t="shared" si="39"/>
        <v/>
      </c>
      <c r="W68" s="10" t="str">
        <f t="shared" si="19"/>
        <v/>
      </c>
      <c r="Y68" s="10" t="str">
        <f t="shared" si="40"/>
        <v/>
      </c>
      <c r="Z68" s="10" t="str">
        <f t="shared" si="20"/>
        <v/>
      </c>
      <c r="AB68" s="10" t="str">
        <f t="shared" si="41"/>
        <v/>
      </c>
      <c r="AC68" s="10" t="str">
        <f t="shared" si="21"/>
        <v/>
      </c>
      <c r="AE68" s="10" t="str">
        <f t="shared" si="42"/>
        <v/>
      </c>
      <c r="AF68" s="10" t="str">
        <f t="shared" si="22"/>
        <v/>
      </c>
      <c r="AH68" s="10" t="str">
        <f t="shared" si="43"/>
        <v/>
      </c>
      <c r="AI68" s="10" t="str">
        <f t="shared" si="23"/>
        <v/>
      </c>
      <c r="AK68" s="10" t="str">
        <f t="shared" si="44"/>
        <v/>
      </c>
      <c r="AL68" s="10" t="str">
        <f t="shared" si="24"/>
        <v/>
      </c>
      <c r="AN68" s="10" t="str">
        <f t="shared" si="45"/>
        <v/>
      </c>
      <c r="AO68" s="10" t="str">
        <f t="shared" si="25"/>
        <v/>
      </c>
      <c r="AQ68" s="10" t="str">
        <f t="shared" si="46"/>
        <v/>
      </c>
      <c r="AR68" s="10" t="str">
        <f t="shared" si="26"/>
        <v/>
      </c>
      <c r="AT68" s="7" t="str">
        <f>IF($K68&lt;=$F$15,IF($F$41&lt;&gt;"",$F$41/1000,IF(ISERROR(VLOOKUP($F$3&amp;IF($G$4&lt;&gt;"",$G$4,"")&amp;IF($F$44&lt;&gt;"","_"&amp;$F$44,""),'表3）燃料価格'!$AF$9:$AG$25,2,0)),0,VLOOKUP($I68,'表3）燃料価格'!$A$6:$U$66,VLOOKUP($F$3&amp;IF($G$4&lt;&gt;"",$G$4,"")&amp;IF($F$44&lt;&gt;"","_"&amp;$F$44,""),'表3）燃料価格'!$AF$9:$AG$25,2,0)+VLOOKUP($F$42,'表3）燃料価格'!$AF$28:$AG$29,2,0),0)*IF($F$44="需要地価格",1,$F$8/$F$142))),"")</f>
        <v/>
      </c>
      <c r="AV68" s="10" t="str">
        <f t="shared" si="47"/>
        <v/>
      </c>
      <c r="AW68" s="10" t="str">
        <f t="shared" si="27"/>
        <v/>
      </c>
      <c r="AY68" s="7" t="str">
        <f>IF(ISERROR(IF($K68&lt;=$F$15,VLOOKUP($I68,'表4）CO2価格'!$A$7:$E$67,VLOOKUP($F$49,'表4）CO2価格'!$H$10:$I$12,2,0),0)*$F$8/1000,"")),0,IF($K68&lt;=$F$15,VLOOKUP($I68,'表4）CO2価格'!$A$7:$E$67,VLOOKUP($F$49,'表4）CO2価格'!$H$10:$I$12,2,0),0)*$F$8/1000,""))</f>
        <v/>
      </c>
      <c r="BA68" s="11" t="str">
        <f t="shared" si="48"/>
        <v/>
      </c>
      <c r="BB68" s="10" t="str">
        <f t="shared" si="28"/>
        <v/>
      </c>
      <c r="BD68" s="10" t="str">
        <f t="shared" si="49"/>
        <v/>
      </c>
      <c r="BE68" s="10" t="str">
        <f t="shared" si="29"/>
        <v/>
      </c>
      <c r="BG68" s="11" t="str">
        <f t="shared" si="50"/>
        <v/>
      </c>
      <c r="BH68" s="10" t="str">
        <f t="shared" si="30"/>
        <v/>
      </c>
      <c r="BJ68" s="7" t="str">
        <f t="shared" si="51"/>
        <v/>
      </c>
      <c r="BK68" s="158" t="str">
        <f t="shared" si="52"/>
        <v/>
      </c>
      <c r="BL68" s="158" t="str">
        <f t="shared" si="16"/>
        <v/>
      </c>
      <c r="BM68" s="10"/>
      <c r="BN68" s="10" t="str">
        <f t="shared" si="31"/>
        <v/>
      </c>
      <c r="BO68" s="10" t="str">
        <f t="shared" si="32"/>
        <v/>
      </c>
      <c r="BQ68" s="10" t="str">
        <f t="shared" si="37"/>
        <v/>
      </c>
      <c r="BR68" s="10" t="str">
        <f t="shared" si="33"/>
        <v/>
      </c>
    </row>
    <row r="69" spans="2:70" x14ac:dyDescent="0.15">
      <c r="I69" s="458">
        <f t="shared" si="34"/>
        <v>2084</v>
      </c>
      <c r="J69" s="470"/>
      <c r="K69" s="470">
        <f t="shared" si="35"/>
        <v>55</v>
      </c>
      <c r="L69" s="470"/>
      <c r="M69" s="40">
        <f t="shared" si="0"/>
        <v>0.19676717080686118</v>
      </c>
      <c r="N69" s="39"/>
      <c r="O69" s="72" t="str">
        <f t="shared" si="36"/>
        <v/>
      </c>
      <c r="P69" s="41" t="str">
        <f t="shared" si="38"/>
        <v/>
      </c>
      <c r="Q69" s="39"/>
      <c r="R69" s="72" t="str">
        <f t="shared" si="53"/>
        <v/>
      </c>
      <c r="S69" s="39"/>
      <c r="T69" s="72" t="str">
        <f t="shared" si="18"/>
        <v/>
      </c>
      <c r="U69" s="39"/>
      <c r="V69" s="72" t="str">
        <f t="shared" si="39"/>
        <v/>
      </c>
      <c r="W69" s="72" t="str">
        <f t="shared" si="19"/>
        <v/>
      </c>
      <c r="X69" s="39"/>
      <c r="Y69" s="72" t="str">
        <f t="shared" si="40"/>
        <v/>
      </c>
      <c r="Z69" s="72" t="str">
        <f t="shared" si="20"/>
        <v/>
      </c>
      <c r="AA69" s="39"/>
      <c r="AB69" s="72" t="str">
        <f t="shared" si="41"/>
        <v/>
      </c>
      <c r="AC69" s="72" t="str">
        <f t="shared" si="21"/>
        <v/>
      </c>
      <c r="AD69" s="39"/>
      <c r="AE69" s="72" t="str">
        <f t="shared" si="42"/>
        <v/>
      </c>
      <c r="AF69" s="72" t="str">
        <f t="shared" si="22"/>
        <v/>
      </c>
      <c r="AG69" s="39"/>
      <c r="AH69" s="72" t="str">
        <f t="shared" si="43"/>
        <v/>
      </c>
      <c r="AI69" s="72" t="str">
        <f t="shared" si="23"/>
        <v/>
      </c>
      <c r="AJ69" s="39"/>
      <c r="AK69" s="72" t="str">
        <f t="shared" si="44"/>
        <v/>
      </c>
      <c r="AL69" s="72" t="str">
        <f t="shared" si="24"/>
        <v/>
      </c>
      <c r="AM69" s="39"/>
      <c r="AN69" s="72" t="str">
        <f t="shared" si="45"/>
        <v/>
      </c>
      <c r="AO69" s="72" t="str">
        <f t="shared" si="25"/>
        <v/>
      </c>
      <c r="AP69" s="39"/>
      <c r="AQ69" s="72" t="str">
        <f t="shared" si="46"/>
        <v/>
      </c>
      <c r="AR69" s="72" t="str">
        <f t="shared" si="26"/>
        <v/>
      </c>
      <c r="AS69" s="39"/>
      <c r="AT69" s="40" t="str">
        <f>IF($K69&lt;=$F$15,IF($F$41&lt;&gt;"",$F$41/1000,IF(ISERROR(VLOOKUP($F$3&amp;IF($G$4&lt;&gt;"",$G$4,"")&amp;IF($F$44&lt;&gt;"","_"&amp;$F$44,""),'表3）燃料価格'!$AF$9:$AG$25,2,0)),0,VLOOKUP($I69,'表3）燃料価格'!$A$6:$U$66,VLOOKUP($F$3&amp;IF($G$4&lt;&gt;"",$G$4,"")&amp;IF($F$44&lt;&gt;"","_"&amp;$F$44,""),'表3）燃料価格'!$AF$9:$AG$25,2,0)+VLOOKUP($F$42,'表3）燃料価格'!$AF$28:$AG$29,2,0),0)*IF($F$44="需要地価格",1,$F$8/$F$142))),"")</f>
        <v/>
      </c>
      <c r="AU69" s="39"/>
      <c r="AV69" s="72" t="str">
        <f t="shared" si="47"/>
        <v/>
      </c>
      <c r="AW69" s="72" t="str">
        <f t="shared" si="27"/>
        <v/>
      </c>
      <c r="AX69" s="39"/>
      <c r="AY69" s="40" t="str">
        <f>IF(ISERROR(IF($K69&lt;=$F$15,VLOOKUP($I69,'表4）CO2価格'!$A$7:$E$67,VLOOKUP($F$49,'表4）CO2価格'!$H$10:$I$12,2,0),0)*$F$8/1000,"")),0,IF($K69&lt;=$F$15,VLOOKUP($I69,'表4）CO2価格'!$A$7:$E$67,VLOOKUP($F$49,'表4）CO2価格'!$H$10:$I$12,2,0),0)*$F$8/1000,""))</f>
        <v/>
      </c>
      <c r="AZ69" s="39"/>
      <c r="BA69" s="42" t="str">
        <f t="shared" si="48"/>
        <v/>
      </c>
      <c r="BB69" s="72" t="str">
        <f t="shared" si="28"/>
        <v/>
      </c>
      <c r="BC69" s="39"/>
      <c r="BD69" s="72" t="str">
        <f t="shared" si="49"/>
        <v/>
      </c>
      <c r="BE69" s="72" t="str">
        <f t="shared" si="29"/>
        <v/>
      </c>
      <c r="BF69" s="39"/>
      <c r="BG69" s="42" t="str">
        <f t="shared" si="50"/>
        <v/>
      </c>
      <c r="BH69" s="72" t="str">
        <f t="shared" si="30"/>
        <v/>
      </c>
      <c r="BI69" s="39"/>
      <c r="BJ69" s="40" t="str">
        <f t="shared" si="51"/>
        <v/>
      </c>
      <c r="BK69" s="157" t="str">
        <f t="shared" si="52"/>
        <v/>
      </c>
      <c r="BL69" s="157" t="str">
        <f t="shared" si="16"/>
        <v/>
      </c>
      <c r="BM69" s="72"/>
      <c r="BN69" s="72" t="str">
        <f t="shared" si="31"/>
        <v/>
      </c>
      <c r="BO69" s="72" t="str">
        <f t="shared" si="32"/>
        <v/>
      </c>
      <c r="BP69" s="39"/>
      <c r="BQ69" s="72" t="str">
        <f t="shared" si="37"/>
        <v/>
      </c>
      <c r="BR69" s="72" t="str">
        <f t="shared" si="33"/>
        <v/>
      </c>
    </row>
    <row r="70" spans="2:70" x14ac:dyDescent="0.15">
      <c r="C70" s="461" t="s">
        <v>134</v>
      </c>
      <c r="D70" s="9"/>
      <c r="E70" s="9"/>
      <c r="F70" s="94">
        <f>SUBTOTAL(9,F75:F113)-F106</f>
        <v>14.593356750104679</v>
      </c>
      <c r="G70" s="9" t="s">
        <v>132</v>
      </c>
      <c r="I70" s="459">
        <f t="shared" si="34"/>
        <v>2085</v>
      </c>
      <c r="K70" s="9">
        <f t="shared" si="35"/>
        <v>56</v>
      </c>
      <c r="M70" s="7">
        <f t="shared" si="0"/>
        <v>0.19103608816200118</v>
      </c>
      <c r="O70" s="10" t="str">
        <f t="shared" si="36"/>
        <v/>
      </c>
      <c r="P70" s="29" t="str">
        <f t="shared" si="38"/>
        <v/>
      </c>
      <c r="R70" s="10" t="str">
        <f t="shared" si="53"/>
        <v/>
      </c>
      <c r="T70" s="10" t="str">
        <f t="shared" si="18"/>
        <v/>
      </c>
      <c r="V70" s="10" t="str">
        <f t="shared" si="39"/>
        <v/>
      </c>
      <c r="W70" s="10" t="str">
        <f t="shared" si="19"/>
        <v/>
      </c>
      <c r="Y70" s="10" t="str">
        <f t="shared" si="40"/>
        <v/>
      </c>
      <c r="Z70" s="10" t="str">
        <f t="shared" si="20"/>
        <v/>
      </c>
      <c r="AB70" s="10" t="str">
        <f t="shared" si="41"/>
        <v/>
      </c>
      <c r="AC70" s="10" t="str">
        <f t="shared" si="21"/>
        <v/>
      </c>
      <c r="AE70" s="10" t="str">
        <f t="shared" si="42"/>
        <v/>
      </c>
      <c r="AF70" s="10" t="str">
        <f t="shared" si="22"/>
        <v/>
      </c>
      <c r="AH70" s="10" t="str">
        <f t="shared" si="43"/>
        <v/>
      </c>
      <c r="AI70" s="10" t="str">
        <f t="shared" si="23"/>
        <v/>
      </c>
      <c r="AK70" s="10" t="str">
        <f t="shared" si="44"/>
        <v/>
      </c>
      <c r="AL70" s="10" t="str">
        <f t="shared" si="24"/>
        <v/>
      </c>
      <c r="AN70" s="10" t="str">
        <f t="shared" si="45"/>
        <v/>
      </c>
      <c r="AO70" s="10" t="str">
        <f t="shared" si="25"/>
        <v/>
      </c>
      <c r="AQ70" s="10" t="str">
        <f t="shared" si="46"/>
        <v/>
      </c>
      <c r="AR70" s="10" t="str">
        <f t="shared" si="26"/>
        <v/>
      </c>
      <c r="AT70" s="7" t="str">
        <f>IF($K70&lt;=$F$15,IF($F$41&lt;&gt;"",$F$41/1000,IF(ISERROR(VLOOKUP($F$3&amp;IF($G$4&lt;&gt;"",$G$4,"")&amp;IF($F$44&lt;&gt;"","_"&amp;$F$44,""),'表3）燃料価格'!$AF$9:$AG$25,2,0)),0,VLOOKUP($I70,'表3）燃料価格'!$A$6:$U$66,VLOOKUP($F$3&amp;IF($G$4&lt;&gt;"",$G$4,"")&amp;IF($F$44&lt;&gt;"","_"&amp;$F$44,""),'表3）燃料価格'!$AF$9:$AG$25,2,0)+VLOOKUP($F$42,'表3）燃料価格'!$AF$28:$AG$29,2,0),0)*IF($F$44="需要地価格",1,$F$8/$F$142))),"")</f>
        <v/>
      </c>
      <c r="AV70" s="10" t="str">
        <f t="shared" si="47"/>
        <v/>
      </c>
      <c r="AW70" s="10" t="str">
        <f t="shared" si="27"/>
        <v/>
      </c>
      <c r="AY70" s="7" t="str">
        <f>IF(ISERROR(IF($K70&lt;=$F$15,VLOOKUP($I70,'表4）CO2価格'!$A$7:$E$67,VLOOKUP($F$49,'表4）CO2価格'!$H$10:$I$12,2,0),0)*$F$8/1000,"")),0,IF($K70&lt;=$F$15,VLOOKUP($I70,'表4）CO2価格'!$A$7:$E$67,VLOOKUP($F$49,'表4）CO2価格'!$H$10:$I$12,2,0),0)*$F$8/1000,""))</f>
        <v/>
      </c>
      <c r="BA70" s="11" t="str">
        <f t="shared" si="48"/>
        <v/>
      </c>
      <c r="BB70" s="10" t="str">
        <f t="shared" si="28"/>
        <v/>
      </c>
      <c r="BD70" s="10" t="str">
        <f t="shared" si="49"/>
        <v/>
      </c>
      <c r="BE70" s="10" t="str">
        <f t="shared" si="29"/>
        <v/>
      </c>
      <c r="BG70" s="11" t="str">
        <f t="shared" si="50"/>
        <v/>
      </c>
      <c r="BH70" s="10" t="str">
        <f t="shared" si="30"/>
        <v/>
      </c>
      <c r="BJ70" s="7" t="str">
        <f t="shared" si="51"/>
        <v/>
      </c>
      <c r="BK70" s="158" t="str">
        <f t="shared" si="52"/>
        <v/>
      </c>
      <c r="BL70" s="158" t="str">
        <f t="shared" si="16"/>
        <v/>
      </c>
      <c r="BM70" s="10"/>
      <c r="BN70" s="10" t="str">
        <f t="shared" si="31"/>
        <v/>
      </c>
      <c r="BO70" s="10" t="str">
        <f t="shared" si="32"/>
        <v/>
      </c>
      <c r="BQ70" s="10" t="str">
        <f t="shared" si="37"/>
        <v/>
      </c>
      <c r="BR70" s="10" t="str">
        <f t="shared" si="33"/>
        <v/>
      </c>
    </row>
    <row r="71" spans="2:70" x14ac:dyDescent="0.15">
      <c r="C71" s="461" t="s">
        <v>135</v>
      </c>
      <c r="D71" s="9"/>
      <c r="E71" s="9"/>
      <c r="F71" s="94">
        <f ca="1">MAX(SUM($Z$117,$AF$117,$AI$117,$AL$117,$AO$117,$AR$117,$AW$117,$BB$117,$BE$117,$BH$117,$BO$116)/$BR$116+$F$106,SUBTOTAL(9,F75:F113))</f>
        <v>14.918860033734541</v>
      </c>
      <c r="G71" s="9" t="s">
        <v>132</v>
      </c>
      <c r="I71" s="458">
        <f t="shared" si="34"/>
        <v>2086</v>
      </c>
      <c r="J71" s="470"/>
      <c r="K71" s="470">
        <f t="shared" si="35"/>
        <v>57</v>
      </c>
      <c r="L71" s="470"/>
      <c r="M71" s="40">
        <f t="shared" si="0"/>
        <v>0.18547193025437006</v>
      </c>
      <c r="N71" s="39"/>
      <c r="O71" s="72" t="str">
        <f t="shared" si="36"/>
        <v/>
      </c>
      <c r="P71" s="41" t="str">
        <f t="shared" si="38"/>
        <v/>
      </c>
      <c r="Q71" s="39"/>
      <c r="R71" s="72" t="str">
        <f t="shared" si="53"/>
        <v/>
      </c>
      <c r="S71" s="39"/>
      <c r="T71" s="72" t="str">
        <f t="shared" si="18"/>
        <v/>
      </c>
      <c r="U71" s="39"/>
      <c r="V71" s="72" t="str">
        <f t="shared" si="39"/>
        <v/>
      </c>
      <c r="W71" s="72" t="str">
        <f t="shared" si="19"/>
        <v/>
      </c>
      <c r="X71" s="39"/>
      <c r="Y71" s="72" t="str">
        <f t="shared" si="40"/>
        <v/>
      </c>
      <c r="Z71" s="72" t="str">
        <f t="shared" si="20"/>
        <v/>
      </c>
      <c r="AA71" s="39"/>
      <c r="AB71" s="72" t="str">
        <f t="shared" si="41"/>
        <v/>
      </c>
      <c r="AC71" s="72" t="str">
        <f t="shared" si="21"/>
        <v/>
      </c>
      <c r="AD71" s="39"/>
      <c r="AE71" s="72" t="str">
        <f t="shared" si="42"/>
        <v/>
      </c>
      <c r="AF71" s="72" t="str">
        <f t="shared" si="22"/>
        <v/>
      </c>
      <c r="AG71" s="39"/>
      <c r="AH71" s="72" t="str">
        <f t="shared" si="43"/>
        <v/>
      </c>
      <c r="AI71" s="72" t="str">
        <f t="shared" si="23"/>
        <v/>
      </c>
      <c r="AJ71" s="39"/>
      <c r="AK71" s="72" t="str">
        <f t="shared" si="44"/>
        <v/>
      </c>
      <c r="AL71" s="72" t="str">
        <f t="shared" si="24"/>
        <v/>
      </c>
      <c r="AM71" s="39"/>
      <c r="AN71" s="72" t="str">
        <f t="shared" si="45"/>
        <v/>
      </c>
      <c r="AO71" s="72" t="str">
        <f t="shared" si="25"/>
        <v/>
      </c>
      <c r="AP71" s="39"/>
      <c r="AQ71" s="72" t="str">
        <f t="shared" si="46"/>
        <v/>
      </c>
      <c r="AR71" s="72" t="str">
        <f t="shared" si="26"/>
        <v/>
      </c>
      <c r="AS71" s="39"/>
      <c r="AT71" s="40" t="str">
        <f>IF($K71&lt;=$F$15,IF($F$41&lt;&gt;"",$F$41/1000,IF(ISERROR(VLOOKUP($F$3&amp;IF($G$4&lt;&gt;"",$G$4,"")&amp;IF($F$44&lt;&gt;"","_"&amp;$F$44,""),'表3）燃料価格'!$AF$9:$AG$25,2,0)),0,VLOOKUP($I71,'表3）燃料価格'!$A$6:$U$66,VLOOKUP($F$3&amp;IF($G$4&lt;&gt;"",$G$4,"")&amp;IF($F$44&lt;&gt;"","_"&amp;$F$44,""),'表3）燃料価格'!$AF$9:$AG$25,2,0)+VLOOKUP($F$42,'表3）燃料価格'!$AF$28:$AG$29,2,0),0)*IF($F$44="需要地価格",1,$F$8/$F$142))),"")</f>
        <v/>
      </c>
      <c r="AU71" s="39"/>
      <c r="AV71" s="72" t="str">
        <f t="shared" si="47"/>
        <v/>
      </c>
      <c r="AW71" s="72" t="str">
        <f t="shared" si="27"/>
        <v/>
      </c>
      <c r="AX71" s="39"/>
      <c r="AY71" s="40" t="str">
        <f>IF(ISERROR(IF($K71&lt;=$F$15,VLOOKUP($I71,'表4）CO2価格'!$A$7:$E$67,VLOOKUP($F$49,'表4）CO2価格'!$H$10:$I$12,2,0),0)*$F$8/1000,"")),0,IF($K71&lt;=$F$15,VLOOKUP($I71,'表4）CO2価格'!$A$7:$E$67,VLOOKUP($F$49,'表4）CO2価格'!$H$10:$I$12,2,0),0)*$F$8/1000,""))</f>
        <v/>
      </c>
      <c r="AZ71" s="39"/>
      <c r="BA71" s="42" t="str">
        <f t="shared" si="48"/>
        <v/>
      </c>
      <c r="BB71" s="72" t="str">
        <f t="shared" si="28"/>
        <v/>
      </c>
      <c r="BC71" s="39"/>
      <c r="BD71" s="72" t="str">
        <f t="shared" si="49"/>
        <v/>
      </c>
      <c r="BE71" s="72" t="str">
        <f t="shared" si="29"/>
        <v/>
      </c>
      <c r="BF71" s="39"/>
      <c r="BG71" s="42" t="str">
        <f t="shared" si="50"/>
        <v/>
      </c>
      <c r="BH71" s="72" t="str">
        <f t="shared" si="30"/>
        <v/>
      </c>
      <c r="BI71" s="39"/>
      <c r="BJ71" s="40" t="str">
        <f t="shared" si="51"/>
        <v/>
      </c>
      <c r="BK71" s="157" t="str">
        <f t="shared" si="52"/>
        <v/>
      </c>
      <c r="BL71" s="157" t="str">
        <f t="shared" si="16"/>
        <v/>
      </c>
      <c r="BM71" s="72"/>
      <c r="BN71" s="72" t="str">
        <f t="shared" si="31"/>
        <v/>
      </c>
      <c r="BO71" s="72" t="str">
        <f t="shared" si="32"/>
        <v/>
      </c>
      <c r="BP71" s="39"/>
      <c r="BQ71" s="72" t="str">
        <f t="shared" si="37"/>
        <v/>
      </c>
      <c r="BR71" s="72" t="str">
        <f t="shared" si="33"/>
        <v/>
      </c>
    </row>
    <row r="72" spans="2:70" x14ac:dyDescent="0.15">
      <c r="F72" s="145"/>
      <c r="I72" s="459">
        <f t="shared" si="34"/>
        <v>2087</v>
      </c>
      <c r="K72" s="9">
        <f t="shared" si="35"/>
        <v>58</v>
      </c>
      <c r="M72" s="7">
        <f t="shared" si="0"/>
        <v>0.18006983519841754</v>
      </c>
      <c r="O72" s="10" t="str">
        <f t="shared" si="36"/>
        <v/>
      </c>
      <c r="P72" s="29" t="str">
        <f t="shared" si="38"/>
        <v/>
      </c>
      <c r="R72" s="10" t="str">
        <f t="shared" si="53"/>
        <v/>
      </c>
      <c r="T72" s="10" t="str">
        <f t="shared" si="18"/>
        <v/>
      </c>
      <c r="V72" s="10" t="str">
        <f t="shared" si="39"/>
        <v/>
      </c>
      <c r="W72" s="10" t="str">
        <f t="shared" si="19"/>
        <v/>
      </c>
      <c r="Y72" s="10" t="str">
        <f t="shared" si="40"/>
        <v/>
      </c>
      <c r="Z72" s="10" t="str">
        <f t="shared" si="20"/>
        <v/>
      </c>
      <c r="AB72" s="10" t="str">
        <f t="shared" si="41"/>
        <v/>
      </c>
      <c r="AC72" s="10" t="str">
        <f t="shared" si="21"/>
        <v/>
      </c>
      <c r="AE72" s="10" t="str">
        <f t="shared" si="42"/>
        <v/>
      </c>
      <c r="AF72" s="10" t="str">
        <f t="shared" si="22"/>
        <v/>
      </c>
      <c r="AH72" s="10" t="str">
        <f t="shared" si="43"/>
        <v/>
      </c>
      <c r="AI72" s="10" t="str">
        <f t="shared" si="23"/>
        <v/>
      </c>
      <c r="AK72" s="10" t="str">
        <f t="shared" si="44"/>
        <v/>
      </c>
      <c r="AL72" s="10" t="str">
        <f t="shared" si="24"/>
        <v/>
      </c>
      <c r="AN72" s="10" t="str">
        <f t="shared" si="45"/>
        <v/>
      </c>
      <c r="AO72" s="10" t="str">
        <f t="shared" si="25"/>
        <v/>
      </c>
      <c r="AQ72" s="10" t="str">
        <f t="shared" si="46"/>
        <v/>
      </c>
      <c r="AR72" s="10" t="str">
        <f t="shared" si="26"/>
        <v/>
      </c>
      <c r="AT72" s="7" t="str">
        <f>IF($K72&lt;=$F$15,IF($F$41&lt;&gt;"",$F$41/1000,IF(ISERROR(VLOOKUP($F$3&amp;IF($G$4&lt;&gt;"",$G$4,"")&amp;IF($F$44&lt;&gt;"","_"&amp;$F$44,""),'表3）燃料価格'!$AF$9:$AG$25,2,0)),0,VLOOKUP($I72,'表3）燃料価格'!$A$6:$U$66,VLOOKUP($F$3&amp;IF($G$4&lt;&gt;"",$G$4,"")&amp;IF($F$44&lt;&gt;"","_"&amp;$F$44,""),'表3）燃料価格'!$AF$9:$AG$25,2,0)+VLOOKUP($F$42,'表3）燃料価格'!$AF$28:$AG$29,2,0),0)*IF($F$44="需要地価格",1,$F$8/$F$142))),"")</f>
        <v/>
      </c>
      <c r="AV72" s="10" t="str">
        <f t="shared" si="47"/>
        <v/>
      </c>
      <c r="AW72" s="10" t="str">
        <f t="shared" si="27"/>
        <v/>
      </c>
      <c r="AY72" s="7" t="str">
        <f>IF(ISERROR(IF($K72&lt;=$F$15,VLOOKUP($I72,'表4）CO2価格'!$A$7:$E$67,VLOOKUP($F$49,'表4）CO2価格'!$H$10:$I$12,2,0),0)*$F$8/1000,"")),0,IF($K72&lt;=$F$15,VLOOKUP($I72,'表4）CO2価格'!$A$7:$E$67,VLOOKUP($F$49,'表4）CO2価格'!$H$10:$I$12,2,0),0)*$F$8/1000,""))</f>
        <v/>
      </c>
      <c r="BA72" s="11" t="str">
        <f t="shared" si="48"/>
        <v/>
      </c>
      <c r="BB72" s="10" t="str">
        <f t="shared" si="28"/>
        <v/>
      </c>
      <c r="BD72" s="10" t="str">
        <f t="shared" si="49"/>
        <v/>
      </c>
      <c r="BE72" s="10" t="str">
        <f t="shared" si="29"/>
        <v/>
      </c>
      <c r="BG72" s="11" t="str">
        <f t="shared" si="50"/>
        <v/>
      </c>
      <c r="BH72" s="10" t="str">
        <f t="shared" si="30"/>
        <v/>
      </c>
      <c r="BJ72" s="7" t="str">
        <f t="shared" si="51"/>
        <v/>
      </c>
      <c r="BK72" s="158" t="str">
        <f t="shared" si="52"/>
        <v/>
      </c>
      <c r="BL72" s="158" t="str">
        <f t="shared" si="16"/>
        <v/>
      </c>
      <c r="BM72" s="10"/>
      <c r="BN72" s="10" t="str">
        <f t="shared" si="31"/>
        <v/>
      </c>
      <c r="BO72" s="10" t="str">
        <f t="shared" si="32"/>
        <v/>
      </c>
      <c r="BQ72" s="10" t="str">
        <f t="shared" si="37"/>
        <v/>
      </c>
      <c r="BR72" s="10" t="str">
        <f t="shared" si="33"/>
        <v/>
      </c>
    </row>
    <row r="73" spans="2:70" x14ac:dyDescent="0.15">
      <c r="C73" s="89" t="s">
        <v>136</v>
      </c>
      <c r="D73" s="101"/>
      <c r="E73" s="101"/>
      <c r="F73" s="92"/>
      <c r="G73" s="101"/>
      <c r="I73" s="458">
        <f t="shared" si="34"/>
        <v>2088</v>
      </c>
      <c r="J73" s="470"/>
      <c r="K73" s="470">
        <f t="shared" si="35"/>
        <v>59</v>
      </c>
      <c r="L73" s="470"/>
      <c r="M73" s="40">
        <f t="shared" si="0"/>
        <v>0.17482508271691022</v>
      </c>
      <c r="N73" s="39"/>
      <c r="O73" s="72" t="str">
        <f t="shared" si="36"/>
        <v/>
      </c>
      <c r="P73" s="41" t="str">
        <f t="shared" si="38"/>
        <v/>
      </c>
      <c r="Q73" s="39"/>
      <c r="R73" s="72" t="str">
        <f t="shared" si="53"/>
        <v/>
      </c>
      <c r="S73" s="39"/>
      <c r="T73" s="72" t="str">
        <f t="shared" si="18"/>
        <v/>
      </c>
      <c r="U73" s="39"/>
      <c r="V73" s="72" t="str">
        <f t="shared" si="39"/>
        <v/>
      </c>
      <c r="W73" s="72" t="str">
        <f t="shared" si="19"/>
        <v/>
      </c>
      <c r="X73" s="39"/>
      <c r="Y73" s="72" t="str">
        <f t="shared" si="40"/>
        <v/>
      </c>
      <c r="Z73" s="72" t="str">
        <f t="shared" si="20"/>
        <v/>
      </c>
      <c r="AA73" s="39"/>
      <c r="AB73" s="72" t="str">
        <f t="shared" si="41"/>
        <v/>
      </c>
      <c r="AC73" s="72" t="str">
        <f t="shared" si="21"/>
        <v/>
      </c>
      <c r="AD73" s="39"/>
      <c r="AE73" s="72" t="str">
        <f t="shared" si="42"/>
        <v/>
      </c>
      <c r="AF73" s="72" t="str">
        <f t="shared" si="22"/>
        <v/>
      </c>
      <c r="AG73" s="39"/>
      <c r="AH73" s="72" t="str">
        <f t="shared" si="43"/>
        <v/>
      </c>
      <c r="AI73" s="72" t="str">
        <f t="shared" si="23"/>
        <v/>
      </c>
      <c r="AJ73" s="39"/>
      <c r="AK73" s="72" t="str">
        <f t="shared" si="44"/>
        <v/>
      </c>
      <c r="AL73" s="72" t="str">
        <f t="shared" si="24"/>
        <v/>
      </c>
      <c r="AM73" s="39"/>
      <c r="AN73" s="72" t="str">
        <f t="shared" si="45"/>
        <v/>
      </c>
      <c r="AO73" s="72" t="str">
        <f t="shared" si="25"/>
        <v/>
      </c>
      <c r="AP73" s="39"/>
      <c r="AQ73" s="72" t="str">
        <f t="shared" si="46"/>
        <v/>
      </c>
      <c r="AR73" s="72" t="str">
        <f t="shared" si="26"/>
        <v/>
      </c>
      <c r="AS73" s="39"/>
      <c r="AT73" s="40" t="str">
        <f>IF($K73&lt;=$F$15,IF($F$41&lt;&gt;"",$F$41/1000,IF(ISERROR(VLOOKUP($F$3&amp;IF($G$4&lt;&gt;"",$G$4,"")&amp;IF($F$44&lt;&gt;"","_"&amp;$F$44,""),'表3）燃料価格'!$AF$9:$AG$25,2,0)),0,VLOOKUP($I73,'表3）燃料価格'!$A$6:$U$66,VLOOKUP($F$3&amp;IF($G$4&lt;&gt;"",$G$4,"")&amp;IF($F$44&lt;&gt;"","_"&amp;$F$44,""),'表3）燃料価格'!$AF$9:$AG$25,2,0)+VLOOKUP($F$42,'表3）燃料価格'!$AF$28:$AG$29,2,0),0)*IF($F$44="需要地価格",1,$F$8/$F$142))),"")</f>
        <v/>
      </c>
      <c r="AU73" s="39"/>
      <c r="AV73" s="72" t="str">
        <f t="shared" si="47"/>
        <v/>
      </c>
      <c r="AW73" s="72" t="str">
        <f t="shared" si="27"/>
        <v/>
      </c>
      <c r="AX73" s="39"/>
      <c r="AY73" s="40" t="str">
        <f>IF(ISERROR(IF($K73&lt;=$F$15,VLOOKUP($I73,'表4）CO2価格'!$A$7:$E$67,VLOOKUP($F$49,'表4）CO2価格'!$H$10:$I$12,2,0),0)*$F$8/1000,"")),0,IF($K73&lt;=$F$15,VLOOKUP($I73,'表4）CO2価格'!$A$7:$E$67,VLOOKUP($F$49,'表4）CO2価格'!$H$10:$I$12,2,0),0)*$F$8/1000,""))</f>
        <v/>
      </c>
      <c r="AZ73" s="39"/>
      <c r="BA73" s="42" t="str">
        <f t="shared" si="48"/>
        <v/>
      </c>
      <c r="BB73" s="72" t="str">
        <f t="shared" si="28"/>
        <v/>
      </c>
      <c r="BC73" s="39"/>
      <c r="BD73" s="72" t="str">
        <f t="shared" si="49"/>
        <v/>
      </c>
      <c r="BE73" s="72" t="str">
        <f t="shared" si="29"/>
        <v/>
      </c>
      <c r="BF73" s="39"/>
      <c r="BG73" s="42" t="str">
        <f t="shared" si="50"/>
        <v/>
      </c>
      <c r="BH73" s="72" t="str">
        <f t="shared" si="30"/>
        <v/>
      </c>
      <c r="BI73" s="39"/>
      <c r="BJ73" s="40" t="str">
        <f t="shared" si="51"/>
        <v/>
      </c>
      <c r="BK73" s="157" t="str">
        <f t="shared" si="52"/>
        <v/>
      </c>
      <c r="BL73" s="157" t="str">
        <f t="shared" si="16"/>
        <v/>
      </c>
      <c r="BM73" s="72"/>
      <c r="BN73" s="72" t="str">
        <f t="shared" si="31"/>
        <v/>
      </c>
      <c r="BO73" s="72" t="str">
        <f t="shared" si="32"/>
        <v/>
      </c>
      <c r="BP73" s="39"/>
      <c r="BQ73" s="72" t="str">
        <f t="shared" si="37"/>
        <v/>
      </c>
      <c r="BR73" s="72" t="str">
        <f t="shared" si="33"/>
        <v/>
      </c>
    </row>
    <row r="74" spans="2:70" x14ac:dyDescent="0.15">
      <c r="F74" s="93"/>
      <c r="I74" s="459">
        <f t="shared" si="34"/>
        <v>2089</v>
      </c>
      <c r="K74" s="9">
        <f t="shared" si="35"/>
        <v>60</v>
      </c>
      <c r="M74" s="7">
        <f t="shared" si="0"/>
        <v>0.1697330900164177</v>
      </c>
      <c r="O74" s="10" t="str">
        <f t="shared" si="36"/>
        <v/>
      </c>
      <c r="P74" s="29" t="str">
        <f t="shared" si="38"/>
        <v/>
      </c>
      <c r="R74" s="10" t="str">
        <f t="shared" si="53"/>
        <v/>
      </c>
      <c r="T74" s="10" t="str">
        <f t="shared" si="18"/>
        <v/>
      </c>
      <c r="V74" s="10" t="str">
        <f t="shared" si="39"/>
        <v/>
      </c>
      <c r="W74" s="10" t="str">
        <f t="shared" si="19"/>
        <v/>
      </c>
      <c r="Y74" s="10" t="str">
        <f t="shared" si="40"/>
        <v/>
      </c>
      <c r="Z74" s="10" t="str">
        <f t="shared" si="20"/>
        <v/>
      </c>
      <c r="AB74" s="10" t="str">
        <f t="shared" si="41"/>
        <v/>
      </c>
      <c r="AC74" s="10" t="str">
        <f t="shared" si="21"/>
        <v/>
      </c>
      <c r="AE74" s="10" t="str">
        <f t="shared" si="42"/>
        <v/>
      </c>
      <c r="AF74" s="10" t="str">
        <f t="shared" si="22"/>
        <v/>
      </c>
      <c r="AH74" s="10" t="str">
        <f t="shared" si="43"/>
        <v/>
      </c>
      <c r="AI74" s="10" t="str">
        <f t="shared" si="23"/>
        <v/>
      </c>
      <c r="AK74" s="10" t="str">
        <f t="shared" si="44"/>
        <v/>
      </c>
      <c r="AL74" s="10" t="str">
        <f t="shared" si="24"/>
        <v/>
      </c>
      <c r="AN74" s="10" t="str">
        <f t="shared" si="45"/>
        <v/>
      </c>
      <c r="AO74" s="10" t="str">
        <f t="shared" si="25"/>
        <v/>
      </c>
      <c r="AQ74" s="10" t="str">
        <f t="shared" si="46"/>
        <v/>
      </c>
      <c r="AR74" s="10" t="str">
        <f t="shared" si="26"/>
        <v/>
      </c>
      <c r="AT74" s="7" t="str">
        <f>IF($K74&lt;=$F$15,IF($F$41&lt;&gt;"",$F$41/1000,IF(ISERROR(VLOOKUP($F$3&amp;IF($G$4&lt;&gt;"",$G$4,"")&amp;IF($F$44&lt;&gt;"","_"&amp;$F$44,""),'表3）燃料価格'!$AF$9:$AG$25,2,0)),0,VLOOKUP($I74,'表3）燃料価格'!$A$6:$U$66,VLOOKUP($F$3&amp;IF($G$4&lt;&gt;"",$G$4,"")&amp;IF($F$44&lt;&gt;"","_"&amp;$F$44,""),'表3）燃料価格'!$AF$9:$AG$25,2,0)+VLOOKUP($F$42,'表3）燃料価格'!$AF$28:$AG$29,2,0),0)*IF($F$44="需要地価格",1,$F$8/$F$142))),"")</f>
        <v/>
      </c>
      <c r="AV74" s="10" t="str">
        <f t="shared" si="47"/>
        <v/>
      </c>
      <c r="AW74" s="10" t="str">
        <f t="shared" si="27"/>
        <v/>
      </c>
      <c r="AY74" s="7" t="str">
        <f>IF(ISERROR(IF($K74&lt;=$F$15,VLOOKUP($I74,'表4）CO2価格'!$A$7:$E$67,VLOOKUP($F$49,'表4）CO2価格'!$H$10:$I$12,2,0),0)*$F$8/1000,"")),0,IF($K74&lt;=$F$15,VLOOKUP($I74,'表4）CO2価格'!$A$7:$E$67,VLOOKUP($F$49,'表4）CO2価格'!$H$10:$I$12,2,0),0)*$F$8/1000,""))</f>
        <v/>
      </c>
      <c r="BA74" s="11" t="str">
        <f t="shared" si="48"/>
        <v/>
      </c>
      <c r="BB74" s="10" t="str">
        <f t="shared" si="28"/>
        <v/>
      </c>
      <c r="BD74" s="10" t="str">
        <f t="shared" si="49"/>
        <v/>
      </c>
      <c r="BE74" s="10" t="str">
        <f t="shared" si="29"/>
        <v/>
      </c>
      <c r="BG74" s="11" t="str">
        <f t="shared" si="50"/>
        <v/>
      </c>
      <c r="BH74" s="10" t="str">
        <f t="shared" si="30"/>
        <v/>
      </c>
      <c r="BJ74" s="7" t="str">
        <f t="shared" si="51"/>
        <v/>
      </c>
      <c r="BK74" s="158" t="str">
        <f t="shared" si="52"/>
        <v/>
      </c>
      <c r="BL74" s="158" t="str">
        <f t="shared" si="16"/>
        <v/>
      </c>
      <c r="BM74" s="10"/>
      <c r="BN74" s="10" t="str">
        <f t="shared" si="31"/>
        <v/>
      </c>
      <c r="BO74" s="10" t="str">
        <f t="shared" si="32"/>
        <v/>
      </c>
      <c r="BQ74" s="10" t="str">
        <f t="shared" si="37"/>
        <v/>
      </c>
      <c r="BR74" s="10" t="str">
        <f t="shared" si="33"/>
        <v/>
      </c>
    </row>
    <row r="75" spans="2:70" ht="15" x14ac:dyDescent="0.15">
      <c r="D75" s="116" t="s">
        <v>192</v>
      </c>
      <c r="F75" s="94">
        <f>SUBTOTAL(9,F79:F82)</f>
        <v>11.979571454876748</v>
      </c>
      <c r="G75" s="81" t="s">
        <v>132</v>
      </c>
      <c r="I75" s="458">
        <f t="shared" si="34"/>
        <v>2090</v>
      </c>
      <c r="J75" s="470"/>
      <c r="K75" s="470">
        <f t="shared" si="35"/>
        <v>61</v>
      </c>
      <c r="L75" s="470"/>
      <c r="M75" s="40">
        <f t="shared" si="0"/>
        <v>0.16478940778292983</v>
      </c>
      <c r="N75" s="39"/>
      <c r="O75" s="72" t="str">
        <f t="shared" si="36"/>
        <v/>
      </c>
      <c r="P75" s="41" t="str">
        <f t="shared" si="38"/>
        <v/>
      </c>
      <c r="Q75" s="39"/>
      <c r="R75" s="72" t="str">
        <f t="shared" si="53"/>
        <v/>
      </c>
      <c r="S75" s="39"/>
      <c r="T75" s="72" t="str">
        <f t="shared" si="18"/>
        <v/>
      </c>
      <c r="U75" s="39"/>
      <c r="V75" s="72" t="str">
        <f t="shared" si="39"/>
        <v/>
      </c>
      <c r="W75" s="72" t="str">
        <f t="shared" si="19"/>
        <v/>
      </c>
      <c r="X75" s="39"/>
      <c r="Y75" s="72" t="str">
        <f t="shared" si="40"/>
        <v/>
      </c>
      <c r="Z75" s="72" t="str">
        <f t="shared" si="20"/>
        <v/>
      </c>
      <c r="AA75" s="39"/>
      <c r="AB75" s="72" t="str">
        <f t="shared" si="41"/>
        <v/>
      </c>
      <c r="AC75" s="72" t="str">
        <f t="shared" si="21"/>
        <v/>
      </c>
      <c r="AD75" s="39"/>
      <c r="AE75" s="72" t="str">
        <f t="shared" si="42"/>
        <v/>
      </c>
      <c r="AF75" s="72" t="str">
        <f t="shared" si="22"/>
        <v/>
      </c>
      <c r="AG75" s="39"/>
      <c r="AH75" s="72" t="str">
        <f t="shared" si="43"/>
        <v/>
      </c>
      <c r="AI75" s="72" t="str">
        <f t="shared" si="23"/>
        <v/>
      </c>
      <c r="AJ75" s="39"/>
      <c r="AK75" s="72" t="str">
        <f t="shared" si="44"/>
        <v/>
      </c>
      <c r="AL75" s="72" t="str">
        <f t="shared" si="24"/>
        <v/>
      </c>
      <c r="AM75" s="39"/>
      <c r="AN75" s="72" t="str">
        <f t="shared" si="45"/>
        <v/>
      </c>
      <c r="AO75" s="72" t="str">
        <f t="shared" si="25"/>
        <v/>
      </c>
      <c r="AP75" s="39"/>
      <c r="AQ75" s="72" t="str">
        <f t="shared" si="46"/>
        <v/>
      </c>
      <c r="AR75" s="72" t="str">
        <f t="shared" si="26"/>
        <v/>
      </c>
      <c r="AS75" s="39"/>
      <c r="AT75" s="40" t="str">
        <f>IF($K75&lt;=$F$15,IF($F$41&lt;&gt;"",$F$41/1000,IF(ISERROR(VLOOKUP($F$3&amp;IF($G$4&lt;&gt;"",$G$4,"")&amp;IF($F$44&lt;&gt;"","_"&amp;$F$44,""),'表3）燃料価格'!$AF$9:$AG$25,2,0)),0,VLOOKUP($I75,'表3）燃料価格'!$A$6:$U$66,VLOOKUP($F$3&amp;IF($G$4&lt;&gt;"",$G$4,"")&amp;IF($F$44&lt;&gt;"","_"&amp;$F$44,""),'表3）燃料価格'!$AF$9:$AG$25,2,0)+VLOOKUP($F$42,'表3）燃料価格'!$AF$28:$AG$29,2,0),0)*IF($F$44="需要地価格",1,$F$8/$F$142))),"")</f>
        <v/>
      </c>
      <c r="AU75" s="39"/>
      <c r="AV75" s="72" t="str">
        <f t="shared" si="47"/>
        <v/>
      </c>
      <c r="AW75" s="72" t="str">
        <f t="shared" si="27"/>
        <v/>
      </c>
      <c r="AX75" s="39"/>
      <c r="AY75" s="40" t="str">
        <f>IF(ISERROR(IF($K75&lt;=$F$15,VLOOKUP($I75,'表4）CO2価格'!$A$7:$E$67,VLOOKUP($F$49,'表4）CO2価格'!$H$10:$I$12,2,0),0)*$F$8/1000,"")),0,IF($K75&lt;=$F$15,VLOOKUP($I75,'表4）CO2価格'!$A$7:$E$67,VLOOKUP($F$49,'表4）CO2価格'!$H$10:$I$12,2,0),0)*$F$8/1000,""))</f>
        <v/>
      </c>
      <c r="AZ75" s="39"/>
      <c r="BA75" s="42" t="str">
        <f t="shared" si="48"/>
        <v/>
      </c>
      <c r="BB75" s="72" t="str">
        <f t="shared" si="28"/>
        <v/>
      </c>
      <c r="BC75" s="39"/>
      <c r="BD75" s="72" t="str">
        <f t="shared" si="49"/>
        <v/>
      </c>
      <c r="BE75" s="72" t="str">
        <f t="shared" si="29"/>
        <v/>
      </c>
      <c r="BF75" s="39"/>
      <c r="BG75" s="42" t="str">
        <f t="shared" si="50"/>
        <v/>
      </c>
      <c r="BH75" s="72" t="str">
        <f t="shared" si="30"/>
        <v/>
      </c>
      <c r="BI75" s="39"/>
      <c r="BJ75" s="40" t="str">
        <f t="shared" si="51"/>
        <v/>
      </c>
      <c r="BK75" s="157" t="str">
        <f t="shared" si="52"/>
        <v/>
      </c>
      <c r="BL75" s="157" t="str">
        <f t="shared" si="16"/>
        <v/>
      </c>
      <c r="BM75" s="72"/>
      <c r="BN75" s="72" t="str">
        <f t="shared" si="31"/>
        <v/>
      </c>
      <c r="BO75" s="72" t="str">
        <f t="shared" si="32"/>
        <v/>
      </c>
      <c r="BP75" s="39"/>
      <c r="BQ75" s="72" t="str">
        <f t="shared" si="37"/>
        <v/>
      </c>
      <c r="BR75" s="72" t="str">
        <f t="shared" si="33"/>
        <v/>
      </c>
    </row>
    <row r="76" spans="2:70" x14ac:dyDescent="0.15">
      <c r="F76" s="145"/>
      <c r="I76" s="459">
        <f t="shared" si="34"/>
        <v>2091</v>
      </c>
      <c r="K76" s="9">
        <f t="shared" si="35"/>
        <v>62</v>
      </c>
      <c r="M76" s="7">
        <f t="shared" si="0"/>
        <v>0.15998971629410663</v>
      </c>
      <c r="O76" s="10" t="str">
        <f t="shared" si="36"/>
        <v/>
      </c>
      <c r="P76" s="29" t="str">
        <f t="shared" si="38"/>
        <v/>
      </c>
      <c r="R76" s="10" t="str">
        <f t="shared" si="53"/>
        <v/>
      </c>
      <c r="T76" s="10" t="str">
        <f t="shared" si="18"/>
        <v/>
      </c>
      <c r="V76" s="10" t="str">
        <f t="shared" si="39"/>
        <v/>
      </c>
      <c r="W76" s="10" t="str">
        <f t="shared" si="19"/>
        <v/>
      </c>
      <c r="Y76" s="10" t="str">
        <f t="shared" si="40"/>
        <v/>
      </c>
      <c r="Z76" s="10" t="str">
        <f t="shared" si="20"/>
        <v/>
      </c>
      <c r="AB76" s="10" t="str">
        <f t="shared" si="41"/>
        <v/>
      </c>
      <c r="AC76" s="10" t="str">
        <f t="shared" si="21"/>
        <v/>
      </c>
      <c r="AE76" s="10" t="str">
        <f t="shared" si="42"/>
        <v/>
      </c>
      <c r="AF76" s="10" t="str">
        <f t="shared" si="22"/>
        <v/>
      </c>
      <c r="AH76" s="10" t="str">
        <f t="shared" si="43"/>
        <v/>
      </c>
      <c r="AI76" s="10" t="str">
        <f t="shared" si="23"/>
        <v/>
      </c>
      <c r="AK76" s="10" t="str">
        <f t="shared" si="44"/>
        <v/>
      </c>
      <c r="AL76" s="10" t="str">
        <f t="shared" si="24"/>
        <v/>
      </c>
      <c r="AN76" s="10" t="str">
        <f t="shared" si="45"/>
        <v/>
      </c>
      <c r="AO76" s="10" t="str">
        <f t="shared" si="25"/>
        <v/>
      </c>
      <c r="AQ76" s="10" t="str">
        <f t="shared" si="46"/>
        <v/>
      </c>
      <c r="AR76" s="10" t="str">
        <f t="shared" si="26"/>
        <v/>
      </c>
      <c r="AT76" s="7" t="str">
        <f>IF($K76&lt;=$F$15,IF($F$41&lt;&gt;"",$F$41/1000,IF(ISERROR(VLOOKUP($F$3&amp;IF($G$4&lt;&gt;"",$G$4,"")&amp;IF($F$44&lt;&gt;"","_"&amp;$F$44,""),'表3）燃料価格'!$AF$9:$AG$25,2,0)),0,VLOOKUP($I76,'表3）燃料価格'!$A$6:$U$66,VLOOKUP($F$3&amp;IF($G$4&lt;&gt;"",$G$4,"")&amp;IF($F$44&lt;&gt;"","_"&amp;$F$44,""),'表3）燃料価格'!$AF$9:$AG$25,2,0)+VLOOKUP($F$42,'表3）燃料価格'!$AF$28:$AG$29,2,0),0)*IF($F$44="需要地価格",1,$F$8/$F$142))),"")</f>
        <v/>
      </c>
      <c r="AV76" s="10" t="str">
        <f t="shared" si="47"/>
        <v/>
      </c>
      <c r="AW76" s="10" t="str">
        <f t="shared" si="27"/>
        <v/>
      </c>
      <c r="AY76" s="7" t="str">
        <f>IF(ISERROR(IF($K76&lt;=$F$15,VLOOKUP($I76,'表4）CO2価格'!$A$7:$E$67,VLOOKUP($F$49,'表4）CO2価格'!$H$10:$I$12,2,0),0)*$F$8/1000,"")),0,IF($K76&lt;=$F$15,VLOOKUP($I76,'表4）CO2価格'!$A$7:$E$67,VLOOKUP($F$49,'表4）CO2価格'!$H$10:$I$12,2,0),0)*$F$8/1000,""))</f>
        <v/>
      </c>
      <c r="BA76" s="11" t="str">
        <f t="shared" si="48"/>
        <v/>
      </c>
      <c r="BB76" s="10" t="str">
        <f t="shared" si="28"/>
        <v/>
      </c>
      <c r="BD76" s="10" t="str">
        <f t="shared" si="49"/>
        <v/>
      </c>
      <c r="BE76" s="10" t="str">
        <f t="shared" si="29"/>
        <v/>
      </c>
      <c r="BG76" s="11" t="str">
        <f t="shared" si="50"/>
        <v/>
      </c>
      <c r="BH76" s="10" t="str">
        <f t="shared" si="30"/>
        <v/>
      </c>
      <c r="BJ76" s="7" t="str">
        <f t="shared" si="51"/>
        <v/>
      </c>
      <c r="BK76" s="158" t="str">
        <f t="shared" si="52"/>
        <v/>
      </c>
      <c r="BL76" s="158" t="str">
        <f t="shared" si="16"/>
        <v/>
      </c>
      <c r="BM76" s="10"/>
      <c r="BN76" s="10" t="str">
        <f t="shared" si="31"/>
        <v/>
      </c>
      <c r="BO76" s="10" t="str">
        <f t="shared" si="32"/>
        <v/>
      </c>
      <c r="BQ76" s="10" t="str">
        <f t="shared" si="37"/>
        <v/>
      </c>
      <c r="BR76" s="10" t="str">
        <f t="shared" si="33"/>
        <v/>
      </c>
    </row>
    <row r="77" spans="2:70" x14ac:dyDescent="0.15">
      <c r="D77" s="101" t="s">
        <v>193</v>
      </c>
      <c r="E77" s="101"/>
      <c r="F77" s="92"/>
      <c r="G77" s="101"/>
      <c r="I77" s="458">
        <f t="shared" si="34"/>
        <v>2092</v>
      </c>
      <c r="J77" s="470"/>
      <c r="K77" s="470">
        <f t="shared" si="35"/>
        <v>63</v>
      </c>
      <c r="L77" s="470"/>
      <c r="M77" s="40">
        <f t="shared" si="0"/>
        <v>0.15532982164476369</v>
      </c>
      <c r="N77" s="39"/>
      <c r="O77" s="72" t="str">
        <f t="shared" si="36"/>
        <v/>
      </c>
      <c r="P77" s="41" t="str">
        <f t="shared" si="38"/>
        <v/>
      </c>
      <c r="Q77" s="39"/>
      <c r="R77" s="72" t="str">
        <f t="shared" si="53"/>
        <v/>
      </c>
      <c r="S77" s="39"/>
      <c r="T77" s="72" t="str">
        <f t="shared" si="18"/>
        <v/>
      </c>
      <c r="U77" s="39"/>
      <c r="V77" s="72" t="str">
        <f t="shared" si="39"/>
        <v/>
      </c>
      <c r="W77" s="72" t="str">
        <f t="shared" si="19"/>
        <v/>
      </c>
      <c r="X77" s="39"/>
      <c r="Y77" s="72" t="str">
        <f t="shared" si="40"/>
        <v/>
      </c>
      <c r="Z77" s="72" t="str">
        <f t="shared" si="20"/>
        <v/>
      </c>
      <c r="AA77" s="39"/>
      <c r="AB77" s="72" t="str">
        <f t="shared" si="41"/>
        <v/>
      </c>
      <c r="AC77" s="72" t="str">
        <f t="shared" si="21"/>
        <v/>
      </c>
      <c r="AD77" s="39"/>
      <c r="AE77" s="72" t="str">
        <f t="shared" si="42"/>
        <v/>
      </c>
      <c r="AF77" s="72" t="str">
        <f t="shared" si="22"/>
        <v/>
      </c>
      <c r="AG77" s="39"/>
      <c r="AH77" s="72" t="str">
        <f t="shared" si="43"/>
        <v/>
      </c>
      <c r="AI77" s="72" t="str">
        <f t="shared" si="23"/>
        <v/>
      </c>
      <c r="AJ77" s="39"/>
      <c r="AK77" s="72" t="str">
        <f t="shared" si="44"/>
        <v/>
      </c>
      <c r="AL77" s="72" t="str">
        <f t="shared" si="24"/>
        <v/>
      </c>
      <c r="AM77" s="39"/>
      <c r="AN77" s="72" t="str">
        <f t="shared" si="45"/>
        <v/>
      </c>
      <c r="AO77" s="72" t="str">
        <f t="shared" si="25"/>
        <v/>
      </c>
      <c r="AP77" s="39"/>
      <c r="AQ77" s="72" t="str">
        <f t="shared" si="46"/>
        <v/>
      </c>
      <c r="AR77" s="72" t="str">
        <f t="shared" si="26"/>
        <v/>
      </c>
      <c r="AS77" s="39"/>
      <c r="AT77" s="40" t="str">
        <f>IF($K77&lt;=$F$15,IF($F$41&lt;&gt;"",$F$41/1000,IF(ISERROR(VLOOKUP($F$3&amp;IF($G$4&lt;&gt;"",$G$4,"")&amp;IF($F$44&lt;&gt;"","_"&amp;$F$44,""),'表3）燃料価格'!$AF$9:$AG$25,2,0)),0,VLOOKUP($I77,'表3）燃料価格'!$A$6:$U$66,VLOOKUP($F$3&amp;IF($G$4&lt;&gt;"",$G$4,"")&amp;IF($F$44&lt;&gt;"","_"&amp;$F$44,""),'表3）燃料価格'!$AF$9:$AG$25,2,0)+VLOOKUP($F$42,'表3）燃料価格'!$AF$28:$AG$29,2,0),0)*IF($F$44="需要地価格",1,$F$8/$F$142))),"")</f>
        <v/>
      </c>
      <c r="AU77" s="39"/>
      <c r="AV77" s="72" t="str">
        <f t="shared" si="47"/>
        <v/>
      </c>
      <c r="AW77" s="72" t="str">
        <f t="shared" si="27"/>
        <v/>
      </c>
      <c r="AX77" s="39"/>
      <c r="AY77" s="40" t="str">
        <f>IF(ISERROR(IF($K77&lt;=$F$15,VLOOKUP($I77,'表4）CO2価格'!$A$7:$E$67,VLOOKUP($F$49,'表4）CO2価格'!$H$10:$I$12,2,0),0)*$F$8/1000,"")),0,IF($K77&lt;=$F$15,VLOOKUP($I77,'表4）CO2価格'!$A$7:$E$67,VLOOKUP($F$49,'表4）CO2価格'!$H$10:$I$12,2,0),0)*$F$8/1000,""))</f>
        <v/>
      </c>
      <c r="AZ77" s="39"/>
      <c r="BA77" s="42" t="str">
        <f t="shared" si="48"/>
        <v/>
      </c>
      <c r="BB77" s="72" t="str">
        <f t="shared" si="28"/>
        <v/>
      </c>
      <c r="BC77" s="39"/>
      <c r="BD77" s="72" t="str">
        <f t="shared" si="49"/>
        <v/>
      </c>
      <c r="BE77" s="72" t="str">
        <f t="shared" si="29"/>
        <v/>
      </c>
      <c r="BF77" s="39"/>
      <c r="BG77" s="42" t="str">
        <f t="shared" si="50"/>
        <v/>
      </c>
      <c r="BH77" s="72" t="str">
        <f t="shared" si="30"/>
        <v/>
      </c>
      <c r="BI77" s="39"/>
      <c r="BJ77" s="40" t="str">
        <f t="shared" si="51"/>
        <v/>
      </c>
      <c r="BK77" s="157" t="str">
        <f t="shared" si="52"/>
        <v/>
      </c>
      <c r="BL77" s="157" t="str">
        <f t="shared" si="16"/>
        <v/>
      </c>
      <c r="BM77" s="72"/>
      <c r="BN77" s="72" t="str">
        <f t="shared" si="31"/>
        <v/>
      </c>
      <c r="BO77" s="72" t="str">
        <f t="shared" si="32"/>
        <v/>
      </c>
      <c r="BP77" s="39"/>
      <c r="BQ77" s="72" t="str">
        <f t="shared" si="37"/>
        <v/>
      </c>
      <c r="BR77" s="72" t="str">
        <f t="shared" si="33"/>
        <v/>
      </c>
    </row>
    <row r="78" spans="2:70" x14ac:dyDescent="0.15">
      <c r="F78" s="93"/>
      <c r="I78" s="459">
        <f t="shared" si="34"/>
        <v>2093</v>
      </c>
      <c r="K78" s="9">
        <f t="shared" si="35"/>
        <v>64</v>
      </c>
      <c r="M78" s="7">
        <f t="shared" si="0"/>
        <v>0.15080565208229488</v>
      </c>
      <c r="O78" s="10" t="str">
        <f t="shared" si="36"/>
        <v/>
      </c>
      <c r="P78" s="29" t="str">
        <f t="shared" si="38"/>
        <v/>
      </c>
      <c r="R78" s="10" t="str">
        <f t="shared" si="53"/>
        <v/>
      </c>
      <c r="T78" s="10" t="str">
        <f t="shared" si="18"/>
        <v/>
      </c>
      <c r="V78" s="10" t="str">
        <f t="shared" si="39"/>
        <v/>
      </c>
      <c r="W78" s="10" t="str">
        <f t="shared" si="19"/>
        <v/>
      </c>
      <c r="Y78" s="10" t="str">
        <f t="shared" si="40"/>
        <v/>
      </c>
      <c r="Z78" s="10" t="str">
        <f t="shared" si="20"/>
        <v/>
      </c>
      <c r="AB78" s="10" t="str">
        <f t="shared" si="41"/>
        <v/>
      </c>
      <c r="AC78" s="10" t="str">
        <f t="shared" si="21"/>
        <v/>
      </c>
      <c r="AE78" s="10" t="str">
        <f t="shared" si="42"/>
        <v/>
      </c>
      <c r="AF78" s="10" t="str">
        <f t="shared" si="22"/>
        <v/>
      </c>
      <c r="AH78" s="10" t="str">
        <f t="shared" si="43"/>
        <v/>
      </c>
      <c r="AI78" s="10" t="str">
        <f t="shared" si="23"/>
        <v/>
      </c>
      <c r="AK78" s="10" t="str">
        <f t="shared" si="44"/>
        <v/>
      </c>
      <c r="AL78" s="10" t="str">
        <f t="shared" si="24"/>
        <v/>
      </c>
      <c r="AN78" s="10" t="str">
        <f t="shared" si="45"/>
        <v/>
      </c>
      <c r="AO78" s="10" t="str">
        <f t="shared" si="25"/>
        <v/>
      </c>
      <c r="AQ78" s="10" t="str">
        <f t="shared" si="46"/>
        <v/>
      </c>
      <c r="AR78" s="10" t="str">
        <f t="shared" si="26"/>
        <v/>
      </c>
      <c r="AT78" s="7" t="str">
        <f>IF($K78&lt;=$F$15,IF($F$41&lt;&gt;"",$F$41/1000,IF(ISERROR(VLOOKUP($F$3&amp;IF($G$4&lt;&gt;"",$G$4,"")&amp;IF($F$44&lt;&gt;"","_"&amp;$F$44,""),'表3）燃料価格'!$AF$9:$AG$25,2,0)),0,VLOOKUP($I78,'表3）燃料価格'!$A$6:$U$66,VLOOKUP($F$3&amp;IF($G$4&lt;&gt;"",$G$4,"")&amp;IF($F$44&lt;&gt;"","_"&amp;$F$44,""),'表3）燃料価格'!$AF$9:$AG$25,2,0)+VLOOKUP($F$42,'表3）燃料価格'!$AF$28:$AG$29,2,0),0)*IF($F$44="需要地価格",1,$F$8/$F$142))),"")</f>
        <v/>
      </c>
      <c r="AV78" s="10" t="str">
        <f t="shared" si="47"/>
        <v/>
      </c>
      <c r="AW78" s="10" t="str">
        <f t="shared" si="27"/>
        <v/>
      </c>
      <c r="AY78" s="7" t="str">
        <f>IF(ISERROR(IF($K78&lt;=$F$15,VLOOKUP($I78,'表4）CO2価格'!$A$7:$E$67,VLOOKUP($F$49,'表4）CO2価格'!$H$10:$I$12,2,0),0)*$F$8/1000,"")),0,IF($K78&lt;=$F$15,VLOOKUP($I78,'表4）CO2価格'!$A$7:$E$67,VLOOKUP($F$49,'表4）CO2価格'!$H$10:$I$12,2,0),0)*$F$8/1000,""))</f>
        <v/>
      </c>
      <c r="BA78" s="11" t="str">
        <f t="shared" si="48"/>
        <v/>
      </c>
      <c r="BB78" s="10" t="str">
        <f t="shared" si="28"/>
        <v/>
      </c>
      <c r="BD78" s="10" t="str">
        <f t="shared" si="49"/>
        <v/>
      </c>
      <c r="BE78" s="10" t="str">
        <f t="shared" si="29"/>
        <v/>
      </c>
      <c r="BG78" s="11" t="str">
        <f t="shared" si="50"/>
        <v/>
      </c>
      <c r="BH78" s="10" t="str">
        <f t="shared" si="30"/>
        <v/>
      </c>
      <c r="BJ78" s="7" t="str">
        <f t="shared" si="51"/>
        <v/>
      </c>
      <c r="BK78" s="158" t="str">
        <f t="shared" si="52"/>
        <v/>
      </c>
      <c r="BL78" s="158" t="str">
        <f t="shared" si="16"/>
        <v/>
      </c>
      <c r="BM78" s="10"/>
      <c r="BN78" s="10" t="str">
        <f t="shared" si="31"/>
        <v/>
      </c>
      <c r="BO78" s="10" t="str">
        <f t="shared" si="32"/>
        <v/>
      </c>
      <c r="BQ78" s="10" t="str">
        <f t="shared" si="37"/>
        <v/>
      </c>
      <c r="BR78" s="10" t="str">
        <f t="shared" si="33"/>
        <v/>
      </c>
    </row>
    <row r="79" spans="2:70" x14ac:dyDescent="0.15">
      <c r="E79" s="74" t="s">
        <v>138</v>
      </c>
      <c r="F79" s="91">
        <f>R15/$BR$116</f>
        <v>11.708121738948813</v>
      </c>
      <c r="G79" s="81" t="s">
        <v>132</v>
      </c>
      <c r="I79" s="458">
        <f t="shared" si="34"/>
        <v>2094</v>
      </c>
      <c r="J79" s="470"/>
      <c r="K79" s="470">
        <f t="shared" si="35"/>
        <v>65</v>
      </c>
      <c r="L79" s="470"/>
      <c r="M79" s="40">
        <f t="shared" ref="M79:M114" si="54">1/(1+($F$9/100))^K79</f>
        <v>0.14641325444882999</v>
      </c>
      <c r="N79" s="39"/>
      <c r="O79" s="72" t="str">
        <f t="shared" si="36"/>
        <v/>
      </c>
      <c r="P79" s="41" t="str">
        <f t="shared" ref="P79:P110" si="55">IF(K79&lt;=$F$15,IF(OR(P78=$F$125,P78="-"),"-",IF(O79*$F$124&gt;$F$128,$F$124,$F$125)),"")</f>
        <v/>
      </c>
      <c r="Q79" s="39"/>
      <c r="R79" s="72" t="str">
        <f t="shared" si="53"/>
        <v/>
      </c>
      <c r="S79" s="39"/>
      <c r="T79" s="72" t="str">
        <f t="shared" si="18"/>
        <v/>
      </c>
      <c r="U79" s="39"/>
      <c r="V79" s="72" t="str">
        <f t="shared" ref="V79:V114" si="56">IF(K79&lt;=$F$15,IF(K79&lt;$F$120,IF(P79="-",V78,O79*P79),IF(K79=$F$120,MIN(IF(P79="-",V78,O79*P79),O79),0)),"")</f>
        <v/>
      </c>
      <c r="W79" s="72" t="str">
        <f t="shared" si="19"/>
        <v/>
      </c>
      <c r="X79" s="39"/>
      <c r="Y79" s="72" t="str">
        <f t="shared" ref="Y79:Y114" si="57">IF($K79&lt;=$F$15,ROUNDDOWN(T79*$F$26/100,-2),"")</f>
        <v/>
      </c>
      <c r="Z79" s="72" t="str">
        <f t="shared" si="20"/>
        <v/>
      </c>
      <c r="AA79" s="39"/>
      <c r="AB79" s="72" t="str">
        <f t="shared" ref="AB79:AB114" si="58">IF($K79&lt;=$F$15,0,IF(AND($K79&gt;$F$15,$K79&lt;=$F$15+$F$29),$F$28*10^8/$F$29,""))</f>
        <v/>
      </c>
      <c r="AC79" s="72" t="str">
        <f t="shared" si="21"/>
        <v/>
      </c>
      <c r="AD79" s="39"/>
      <c r="AE79" s="72" t="str">
        <f t="shared" ref="AE79:AE114" si="59">IF($K79&lt;=$F$15,$F$27,"")</f>
        <v/>
      </c>
      <c r="AF79" s="72" t="str">
        <f t="shared" si="22"/>
        <v/>
      </c>
      <c r="AG79" s="39"/>
      <c r="AH79" s="72" t="str">
        <f t="shared" ref="AH79:AH114" si="60">IF($K79&lt;=$F$15,$F$34*10^4*$F$13*10^4,"")</f>
        <v/>
      </c>
      <c r="AI79" s="72" t="str">
        <f t="shared" si="23"/>
        <v/>
      </c>
      <c r="AJ79" s="39"/>
      <c r="AK79" s="72" t="str">
        <f t="shared" ref="AK79:AK114" si="61">IF($K79&lt;=$F$15,$F$118*$F$35/100,"")</f>
        <v/>
      </c>
      <c r="AL79" s="72" t="str">
        <f t="shared" si="24"/>
        <v/>
      </c>
      <c r="AM79" s="39"/>
      <c r="AN79" s="72" t="str">
        <f t="shared" ref="AN79:AN114" si="62">IF($K79&lt;=$F$15,$F$118*$F$36/100,"")</f>
        <v/>
      </c>
      <c r="AO79" s="72" t="str">
        <f t="shared" si="25"/>
        <v/>
      </c>
      <c r="AP79" s="39"/>
      <c r="AQ79" s="72" t="str">
        <f t="shared" ref="AQ79:AQ114" si="63">IF($K79&lt;=$F$15,SUM(AH79,AK79,AN79)*($F$37/100),"")</f>
        <v/>
      </c>
      <c r="AR79" s="72" t="str">
        <f t="shared" si="26"/>
        <v/>
      </c>
      <c r="AS79" s="39"/>
      <c r="AT79" s="40" t="str">
        <f>IF($K79&lt;=$F$15,IF($F$41&lt;&gt;"",$F$41/1000,IF(ISERROR(VLOOKUP($F$3&amp;IF($G$4&lt;&gt;"",$G$4,"")&amp;IF($F$44&lt;&gt;"","_"&amp;$F$44,""),'表3）燃料価格'!$AF$9:$AG$25,2,0)),0,VLOOKUP($I79,'表3）燃料価格'!$A$6:$U$66,VLOOKUP($F$3&amp;IF($G$4&lt;&gt;"",$G$4,"")&amp;IF($F$44&lt;&gt;"","_"&amp;$F$44,""),'表3）燃料価格'!$AF$9:$AG$25,2,0)+VLOOKUP($F$42,'表3）燃料価格'!$AF$28:$AG$29,2,0),0)*IF($F$44="需要地価格",1,$F$8/$F$142))),"")</f>
        <v/>
      </c>
      <c r="AU79" s="39"/>
      <c r="AV79" s="72" t="str">
        <f t="shared" ref="AV79:AV114" si="64">IF($K79&lt;=$F$15,($AT79+$F$143)*$F$138,"")</f>
        <v/>
      </c>
      <c r="AW79" s="72" t="str">
        <f t="shared" si="27"/>
        <v/>
      </c>
      <c r="AX79" s="39"/>
      <c r="AY79" s="40" t="str">
        <f>IF(ISERROR(IF($K79&lt;=$F$15,VLOOKUP($I79,'表4）CO2価格'!$A$7:$E$67,VLOOKUP($F$49,'表4）CO2価格'!$H$10:$I$12,2,0),0)*$F$8/1000,"")),0,IF($K79&lt;=$F$15,VLOOKUP($I79,'表4）CO2価格'!$A$7:$E$67,VLOOKUP($F$49,'表4）CO2価格'!$H$10:$I$12,2,0),0)*$F$8/1000,""))</f>
        <v/>
      </c>
      <c r="AZ79" s="39"/>
      <c r="BA79" s="42" t="str">
        <f t="shared" ref="BA79:BA114" si="65">IF($K79&lt;=$F$15,$F$146*AY79,"")</f>
        <v/>
      </c>
      <c r="BB79" s="72" t="str">
        <f t="shared" si="28"/>
        <v/>
      </c>
      <c r="BC79" s="39"/>
      <c r="BD79" s="72" t="str">
        <f t="shared" ref="BD79:BD114" si="66">IF($K79&lt;=$F$15,($AT79+$F$153)*$F$152,"")</f>
        <v/>
      </c>
      <c r="BE79" s="72" t="str">
        <f t="shared" si="29"/>
        <v/>
      </c>
      <c r="BF79" s="39"/>
      <c r="BG79" s="42" t="str">
        <f t="shared" ref="BG79:BG114" si="67">IF($K79&lt;=$F$15,$F$154*AY79,"")</f>
        <v/>
      </c>
      <c r="BH79" s="72" t="str">
        <f t="shared" si="30"/>
        <v/>
      </c>
      <c r="BI79" s="39"/>
      <c r="BJ79" s="40" t="str">
        <f t="shared" ref="BJ79:BJ114" si="68">IF(ISNUMBER($F$16),IF($K79&lt;=$F$16+$F$29,1/(1+($F$17/100))^K79,""),"")</f>
        <v/>
      </c>
      <c r="BK79" s="157" t="str">
        <f t="shared" ref="BK79:BK110" si="69">IF(ISNUMBER($F$16),IF($K79&lt;=$F$16+$F$29,IF($K79&lt;=$F$16,SUM(Y79,AB79,AE79,AH79,AK79,AN79,AQ79,AV79,BA79,BD79,BG79),$F$28/$F$29*10^8)*BJ79,""),"")</f>
        <v/>
      </c>
      <c r="BL79" s="157" t="str">
        <f t="shared" ref="BL79:BL114" si="70">IF(AND(ISNUMBER(BJ79),$K79&lt;=$F$16),BQ79*BJ79,"")</f>
        <v/>
      </c>
      <c r="BM79" s="72"/>
      <c r="BN79" s="72" t="str">
        <f t="shared" si="31"/>
        <v/>
      </c>
      <c r="BO79" s="72" t="str">
        <f t="shared" si="32"/>
        <v/>
      </c>
      <c r="BP79" s="39"/>
      <c r="BQ79" s="72" t="str">
        <f t="shared" si="37"/>
        <v/>
      </c>
      <c r="BR79" s="72" t="str">
        <f t="shared" si="33"/>
        <v/>
      </c>
    </row>
    <row r="80" spans="2:70" x14ac:dyDescent="0.15">
      <c r="E80" s="81" t="s">
        <v>139</v>
      </c>
      <c r="F80" s="91">
        <f>Z116/$BR$116</f>
        <v>0</v>
      </c>
      <c r="G80" s="81" t="s">
        <v>132</v>
      </c>
      <c r="I80" s="459">
        <f t="shared" si="34"/>
        <v>2095</v>
      </c>
      <c r="K80" s="9">
        <f t="shared" si="35"/>
        <v>66</v>
      </c>
      <c r="M80" s="7">
        <f t="shared" si="54"/>
        <v>0.14214879072701941</v>
      </c>
      <c r="O80" s="10" t="str">
        <f t="shared" si="36"/>
        <v/>
      </c>
      <c r="P80" s="29" t="str">
        <f t="shared" si="55"/>
        <v/>
      </c>
      <c r="R80" s="10" t="str">
        <f t="shared" ref="R80:R114" si="71">IF($K80&lt;=$F$15,MAX($F$118*5%,R79*$F$130),"")</f>
        <v/>
      </c>
      <c r="T80" s="10" t="str">
        <f t="shared" ref="T80:T114" si="72">IF(ISNUMBER(R80),ROUNDDOWN(R80,-3),"")</f>
        <v/>
      </c>
      <c r="V80" s="10" t="str">
        <f t="shared" si="56"/>
        <v/>
      </c>
      <c r="W80" s="10" t="str">
        <f t="shared" ref="W80:W114" si="73">IF(ISNUMBER(V80),V80*$M80,"")</f>
        <v/>
      </c>
      <c r="Y80" s="10" t="str">
        <f t="shared" si="57"/>
        <v/>
      </c>
      <c r="Z80" s="10" t="str">
        <f t="shared" ref="Z80:Z114" si="74">IF(ISNUMBER(Y80),Y80*$M80,"")</f>
        <v/>
      </c>
      <c r="AB80" s="10" t="str">
        <f t="shared" si="58"/>
        <v/>
      </c>
      <c r="AC80" s="10" t="str">
        <f t="shared" ref="AC80:AC114" si="75">IF(ISNUMBER(AB80),AB80*$M80,"")</f>
        <v/>
      </c>
      <c r="AE80" s="10" t="str">
        <f t="shared" si="59"/>
        <v/>
      </c>
      <c r="AF80" s="10" t="str">
        <f t="shared" ref="AF80:AF114" si="76">IF(ISNUMBER(AE80),AE80*$M80,"")</f>
        <v/>
      </c>
      <c r="AH80" s="10" t="str">
        <f t="shared" si="60"/>
        <v/>
      </c>
      <c r="AI80" s="10" t="str">
        <f t="shared" ref="AI80:AI114" si="77">IF(ISNUMBER(AH80),AH80*$M80,"")</f>
        <v/>
      </c>
      <c r="AK80" s="10" t="str">
        <f t="shared" si="61"/>
        <v/>
      </c>
      <c r="AL80" s="10" t="str">
        <f t="shared" ref="AL80:AL114" si="78">IF(ISNUMBER(AK80),AK80*$M80,"")</f>
        <v/>
      </c>
      <c r="AN80" s="10" t="str">
        <f t="shared" si="62"/>
        <v/>
      </c>
      <c r="AO80" s="10" t="str">
        <f t="shared" ref="AO80:AO114" si="79">IF(ISNUMBER(AN80),AN80*$M80,"")</f>
        <v/>
      </c>
      <c r="AQ80" s="10" t="str">
        <f t="shared" si="63"/>
        <v/>
      </c>
      <c r="AR80" s="10" t="str">
        <f t="shared" ref="AR80:AR114" si="80">IF(ISNUMBER(AQ80),AQ80*$M80,"")</f>
        <v/>
      </c>
      <c r="AT80" s="7" t="str">
        <f>IF($K80&lt;=$F$15,IF($F$41&lt;&gt;"",$F$41/1000,IF(ISERROR(VLOOKUP($F$3&amp;IF($G$4&lt;&gt;"",$G$4,"")&amp;IF($F$44&lt;&gt;"","_"&amp;$F$44,""),'表3）燃料価格'!$AF$9:$AG$25,2,0)),0,VLOOKUP($I80,'表3）燃料価格'!$A$6:$U$66,VLOOKUP($F$3&amp;IF($G$4&lt;&gt;"",$G$4,"")&amp;IF($F$44&lt;&gt;"","_"&amp;$F$44,""),'表3）燃料価格'!$AF$9:$AG$25,2,0)+VLOOKUP($F$42,'表3）燃料価格'!$AF$28:$AG$29,2,0),0)*IF($F$44="需要地価格",1,$F$8/$F$142))),"")</f>
        <v/>
      </c>
      <c r="AV80" s="10" t="str">
        <f t="shared" si="64"/>
        <v/>
      </c>
      <c r="AW80" s="10" t="str">
        <f t="shared" ref="AW80:AW114" si="81">IF(ISNUMBER(AV80),AV80*$M80,"")</f>
        <v/>
      </c>
      <c r="AY80" s="7" t="str">
        <f>IF(ISERROR(IF($K80&lt;=$F$15,VLOOKUP($I80,'表4）CO2価格'!$A$7:$E$67,VLOOKUP($F$49,'表4）CO2価格'!$H$10:$I$12,2,0),0)*$F$8/1000,"")),0,IF($K80&lt;=$F$15,VLOOKUP($I80,'表4）CO2価格'!$A$7:$E$67,VLOOKUP($F$49,'表4）CO2価格'!$H$10:$I$12,2,0),0)*$F$8/1000,""))</f>
        <v/>
      </c>
      <c r="BA80" s="11" t="str">
        <f t="shared" si="65"/>
        <v/>
      </c>
      <c r="BB80" s="10" t="str">
        <f t="shared" ref="BB80:BB114" si="82">IF(ISNUMBER(BA80),BA80*$M80,"")</f>
        <v/>
      </c>
      <c r="BD80" s="10" t="str">
        <f t="shared" si="66"/>
        <v/>
      </c>
      <c r="BE80" s="10" t="str">
        <f t="shared" ref="BE80:BE114" si="83">IF(ISNUMBER(BD80),BD80*$M80,"")</f>
        <v/>
      </c>
      <c r="BG80" s="11" t="str">
        <f t="shared" si="67"/>
        <v/>
      </c>
      <c r="BH80" s="10" t="str">
        <f t="shared" ref="BH80:BH114" si="84">IF(ISNUMBER(BG80),BG80*$M80,"")</f>
        <v/>
      </c>
      <c r="BJ80" s="7" t="str">
        <f t="shared" si="68"/>
        <v/>
      </c>
      <c r="BK80" s="158" t="str">
        <f t="shared" si="69"/>
        <v/>
      </c>
      <c r="BL80" s="158" t="str">
        <f t="shared" si="70"/>
        <v/>
      </c>
      <c r="BM80" s="10"/>
      <c r="BN80" s="10" t="str">
        <f t="shared" ref="BN80:BN114" si="85">IF(AND(ISNUMBER($F$16),$K80&lt;=$F$16),BQ80*($O$15+$BK$116)/$BL$116,"")</f>
        <v/>
      </c>
      <c r="BO80" s="10" t="str">
        <f t="shared" ref="BO80:BO114" si="86">IF(ISNUMBER(BN80),BN80*$M80,"")</f>
        <v/>
      </c>
      <c r="BQ80" s="10" t="str">
        <f t="shared" si="37"/>
        <v/>
      </c>
      <c r="BR80" s="10" t="str">
        <f t="shared" ref="BR80:BR114" si="87">IF(ISNUMBER(BQ80),BQ80*$M80,"")</f>
        <v/>
      </c>
    </row>
    <row r="81" spans="4:70" x14ac:dyDescent="0.15">
      <c r="E81" s="81" t="s">
        <v>115</v>
      </c>
      <c r="F81" s="91">
        <f>AF116/$BR$116</f>
        <v>0</v>
      </c>
      <c r="G81" s="81" t="s">
        <v>132</v>
      </c>
      <c r="I81" s="458">
        <f t="shared" ref="I81:I114" si="88">I80+1</f>
        <v>2096</v>
      </c>
      <c r="J81" s="470"/>
      <c r="K81" s="470">
        <f t="shared" ref="K81:K114" si="89">IF(I81&lt;&gt;"",K80+1,"")</f>
        <v>67</v>
      </c>
      <c r="L81" s="470"/>
      <c r="M81" s="40">
        <f t="shared" si="54"/>
        <v>0.1380085346864266</v>
      </c>
      <c r="N81" s="39"/>
      <c r="O81" s="72" t="str">
        <f t="shared" ref="O81:O114" si="90">IF(K81&lt;=$F$15,O80-V80,"")</f>
        <v/>
      </c>
      <c r="P81" s="41" t="str">
        <f t="shared" si="55"/>
        <v/>
      </c>
      <c r="Q81" s="39"/>
      <c r="R81" s="72" t="str">
        <f t="shared" si="71"/>
        <v/>
      </c>
      <c r="S81" s="39"/>
      <c r="T81" s="72" t="str">
        <f t="shared" si="72"/>
        <v/>
      </c>
      <c r="U81" s="39"/>
      <c r="V81" s="72" t="str">
        <f t="shared" si="56"/>
        <v/>
      </c>
      <c r="W81" s="72" t="str">
        <f t="shared" si="73"/>
        <v/>
      </c>
      <c r="X81" s="39"/>
      <c r="Y81" s="72" t="str">
        <f t="shared" si="57"/>
        <v/>
      </c>
      <c r="Z81" s="72" t="str">
        <f t="shared" si="74"/>
        <v/>
      </c>
      <c r="AA81" s="39"/>
      <c r="AB81" s="72" t="str">
        <f t="shared" si="58"/>
        <v/>
      </c>
      <c r="AC81" s="72" t="str">
        <f t="shared" si="75"/>
        <v/>
      </c>
      <c r="AD81" s="39"/>
      <c r="AE81" s="72" t="str">
        <f t="shared" si="59"/>
        <v/>
      </c>
      <c r="AF81" s="72" t="str">
        <f t="shared" si="76"/>
        <v/>
      </c>
      <c r="AG81" s="39"/>
      <c r="AH81" s="72" t="str">
        <f t="shared" si="60"/>
        <v/>
      </c>
      <c r="AI81" s="72" t="str">
        <f t="shared" si="77"/>
        <v/>
      </c>
      <c r="AJ81" s="39"/>
      <c r="AK81" s="72" t="str">
        <f t="shared" si="61"/>
        <v/>
      </c>
      <c r="AL81" s="72" t="str">
        <f t="shared" si="78"/>
        <v/>
      </c>
      <c r="AM81" s="39"/>
      <c r="AN81" s="72" t="str">
        <f t="shared" si="62"/>
        <v/>
      </c>
      <c r="AO81" s="72" t="str">
        <f t="shared" si="79"/>
        <v/>
      </c>
      <c r="AP81" s="39"/>
      <c r="AQ81" s="72" t="str">
        <f t="shared" si="63"/>
        <v/>
      </c>
      <c r="AR81" s="72" t="str">
        <f t="shared" si="80"/>
        <v/>
      </c>
      <c r="AS81" s="39"/>
      <c r="AT81" s="40" t="str">
        <f>IF($K81&lt;=$F$15,IF($F$41&lt;&gt;"",$F$41/1000,IF(ISERROR(VLOOKUP($F$3&amp;IF($G$4&lt;&gt;"",$G$4,"")&amp;IF($F$44&lt;&gt;"","_"&amp;$F$44,""),'表3）燃料価格'!$AF$9:$AG$25,2,0)),0,VLOOKUP($I81,'表3）燃料価格'!$A$6:$U$66,VLOOKUP($F$3&amp;IF($G$4&lt;&gt;"",$G$4,"")&amp;IF($F$44&lt;&gt;"","_"&amp;$F$44,""),'表3）燃料価格'!$AF$9:$AG$25,2,0)+VLOOKUP($F$42,'表3）燃料価格'!$AF$28:$AG$29,2,0),0)*IF($F$44="需要地価格",1,$F$8/$F$142))),"")</f>
        <v/>
      </c>
      <c r="AU81" s="39"/>
      <c r="AV81" s="72" t="str">
        <f t="shared" si="64"/>
        <v/>
      </c>
      <c r="AW81" s="72" t="str">
        <f t="shared" si="81"/>
        <v/>
      </c>
      <c r="AX81" s="39"/>
      <c r="AY81" s="40" t="str">
        <f>IF(ISERROR(IF($K81&lt;=$F$15,VLOOKUP($I81,'表4）CO2価格'!$A$7:$E$67,VLOOKUP($F$49,'表4）CO2価格'!$H$10:$I$12,2,0),0)*$F$8/1000,"")),0,IF($K81&lt;=$F$15,VLOOKUP($I81,'表4）CO2価格'!$A$7:$E$67,VLOOKUP($F$49,'表4）CO2価格'!$H$10:$I$12,2,0),0)*$F$8/1000,""))</f>
        <v/>
      </c>
      <c r="AZ81" s="39"/>
      <c r="BA81" s="42" t="str">
        <f t="shared" si="65"/>
        <v/>
      </c>
      <c r="BB81" s="72" t="str">
        <f t="shared" si="82"/>
        <v/>
      </c>
      <c r="BC81" s="39"/>
      <c r="BD81" s="72" t="str">
        <f t="shared" si="66"/>
        <v/>
      </c>
      <c r="BE81" s="72" t="str">
        <f t="shared" si="83"/>
        <v/>
      </c>
      <c r="BF81" s="39"/>
      <c r="BG81" s="42" t="str">
        <f t="shared" si="67"/>
        <v/>
      </c>
      <c r="BH81" s="72" t="str">
        <f t="shared" si="84"/>
        <v/>
      </c>
      <c r="BI81" s="39"/>
      <c r="BJ81" s="40" t="str">
        <f t="shared" si="68"/>
        <v/>
      </c>
      <c r="BK81" s="157" t="str">
        <f t="shared" si="69"/>
        <v/>
      </c>
      <c r="BL81" s="157" t="str">
        <f t="shared" si="70"/>
        <v/>
      </c>
      <c r="BM81" s="72"/>
      <c r="BN81" s="72" t="str">
        <f t="shared" si="85"/>
        <v/>
      </c>
      <c r="BO81" s="72" t="str">
        <f t="shared" si="86"/>
        <v/>
      </c>
      <c r="BP81" s="39"/>
      <c r="BQ81" s="72" t="str">
        <f t="shared" ref="BQ81:BQ114" si="91">IF($K81&lt;=$F$15,$F$135*(1-$F$18/100)^(I81-I$15),"")</f>
        <v/>
      </c>
      <c r="BR81" s="72" t="str">
        <f t="shared" si="87"/>
        <v/>
      </c>
    </row>
    <row r="82" spans="4:70" x14ac:dyDescent="0.15">
      <c r="E82" s="82" t="s">
        <v>86</v>
      </c>
      <c r="F82" s="91">
        <f>AC116/$BR$116</f>
        <v>0.27144971592793499</v>
      </c>
      <c r="G82" s="81" t="s">
        <v>132</v>
      </c>
      <c r="I82" s="459">
        <f t="shared" si="88"/>
        <v>2097</v>
      </c>
      <c r="K82" s="9">
        <f t="shared" si="89"/>
        <v>68</v>
      </c>
      <c r="M82" s="7">
        <f t="shared" si="54"/>
        <v>0.13398886862759865</v>
      </c>
      <c r="O82" s="10" t="str">
        <f t="shared" si="90"/>
        <v/>
      </c>
      <c r="P82" s="29" t="str">
        <f t="shared" si="55"/>
        <v/>
      </c>
      <c r="R82" s="10" t="str">
        <f t="shared" si="71"/>
        <v/>
      </c>
      <c r="T82" s="10" t="str">
        <f t="shared" si="72"/>
        <v/>
      </c>
      <c r="V82" s="10" t="str">
        <f t="shared" si="56"/>
        <v/>
      </c>
      <c r="W82" s="10" t="str">
        <f t="shared" si="73"/>
        <v/>
      </c>
      <c r="Y82" s="10" t="str">
        <f t="shared" si="57"/>
        <v/>
      </c>
      <c r="Z82" s="10" t="str">
        <f t="shared" si="74"/>
        <v/>
      </c>
      <c r="AB82" s="10" t="str">
        <f t="shared" si="58"/>
        <v/>
      </c>
      <c r="AC82" s="10" t="str">
        <f t="shared" si="75"/>
        <v/>
      </c>
      <c r="AE82" s="10" t="str">
        <f t="shared" si="59"/>
        <v/>
      </c>
      <c r="AF82" s="10" t="str">
        <f t="shared" si="76"/>
        <v/>
      </c>
      <c r="AH82" s="10" t="str">
        <f t="shared" si="60"/>
        <v/>
      </c>
      <c r="AI82" s="10" t="str">
        <f t="shared" si="77"/>
        <v/>
      </c>
      <c r="AK82" s="10" t="str">
        <f t="shared" si="61"/>
        <v/>
      </c>
      <c r="AL82" s="10" t="str">
        <f t="shared" si="78"/>
        <v/>
      </c>
      <c r="AN82" s="10" t="str">
        <f t="shared" si="62"/>
        <v/>
      </c>
      <c r="AO82" s="10" t="str">
        <f t="shared" si="79"/>
        <v/>
      </c>
      <c r="AQ82" s="10" t="str">
        <f t="shared" si="63"/>
        <v/>
      </c>
      <c r="AR82" s="10" t="str">
        <f t="shared" si="80"/>
        <v/>
      </c>
      <c r="AT82" s="7" t="str">
        <f>IF($K82&lt;=$F$15,IF($F$41&lt;&gt;"",$F$41/1000,IF(ISERROR(VLOOKUP($F$3&amp;IF($G$4&lt;&gt;"",$G$4,"")&amp;IF($F$44&lt;&gt;"","_"&amp;$F$44,""),'表3）燃料価格'!$AF$9:$AG$25,2,0)),0,VLOOKUP($I82,'表3）燃料価格'!$A$6:$U$66,VLOOKUP($F$3&amp;IF($G$4&lt;&gt;"",$G$4,"")&amp;IF($F$44&lt;&gt;"","_"&amp;$F$44,""),'表3）燃料価格'!$AF$9:$AG$25,2,0)+VLOOKUP($F$42,'表3）燃料価格'!$AF$28:$AG$29,2,0),0)*IF($F$44="需要地価格",1,$F$8/$F$142))),"")</f>
        <v/>
      </c>
      <c r="AV82" s="10" t="str">
        <f t="shared" si="64"/>
        <v/>
      </c>
      <c r="AW82" s="10" t="str">
        <f t="shared" si="81"/>
        <v/>
      </c>
      <c r="AY82" s="7" t="str">
        <f>IF(ISERROR(IF($K82&lt;=$F$15,VLOOKUP($I82,'表4）CO2価格'!$A$7:$E$67,VLOOKUP($F$49,'表4）CO2価格'!$H$10:$I$12,2,0),0)*$F$8/1000,"")),0,IF($K82&lt;=$F$15,VLOOKUP($I82,'表4）CO2価格'!$A$7:$E$67,VLOOKUP($F$49,'表4）CO2価格'!$H$10:$I$12,2,0),0)*$F$8/1000,""))</f>
        <v/>
      </c>
      <c r="BA82" s="11" t="str">
        <f t="shared" si="65"/>
        <v/>
      </c>
      <c r="BB82" s="10" t="str">
        <f t="shared" si="82"/>
        <v/>
      </c>
      <c r="BD82" s="10" t="str">
        <f t="shared" si="66"/>
        <v/>
      </c>
      <c r="BE82" s="10" t="str">
        <f t="shared" si="83"/>
        <v/>
      </c>
      <c r="BG82" s="11" t="str">
        <f t="shared" si="67"/>
        <v/>
      </c>
      <c r="BH82" s="10" t="str">
        <f t="shared" si="84"/>
        <v/>
      </c>
      <c r="BJ82" s="7" t="str">
        <f t="shared" si="68"/>
        <v/>
      </c>
      <c r="BK82" s="158" t="str">
        <f t="shared" si="69"/>
        <v/>
      </c>
      <c r="BL82" s="158" t="str">
        <f t="shared" si="70"/>
        <v/>
      </c>
      <c r="BM82" s="10"/>
      <c r="BN82" s="10" t="str">
        <f t="shared" si="85"/>
        <v/>
      </c>
      <c r="BO82" s="10" t="str">
        <f t="shared" si="86"/>
        <v/>
      </c>
      <c r="BQ82" s="10" t="str">
        <f t="shared" si="91"/>
        <v/>
      </c>
      <c r="BR82" s="10" t="str">
        <f t="shared" si="87"/>
        <v/>
      </c>
    </row>
    <row r="83" spans="4:70" x14ac:dyDescent="0.15">
      <c r="F83" s="93"/>
      <c r="I83" s="458">
        <f>I82+1</f>
        <v>2098</v>
      </c>
      <c r="J83" s="470"/>
      <c r="K83" s="470">
        <f>IF(I83&lt;&gt;"",K82+1,"")</f>
        <v>69</v>
      </c>
      <c r="L83" s="470"/>
      <c r="M83" s="40">
        <f t="shared" si="54"/>
        <v>0.13008628022096957</v>
      </c>
      <c r="N83" s="39"/>
      <c r="O83" s="72" t="str">
        <f t="shared" si="90"/>
        <v/>
      </c>
      <c r="P83" s="41" t="str">
        <f t="shared" si="55"/>
        <v/>
      </c>
      <c r="Q83" s="39"/>
      <c r="R83" s="72" t="str">
        <f t="shared" si="71"/>
        <v/>
      </c>
      <c r="S83" s="39"/>
      <c r="T83" s="72" t="str">
        <f t="shared" si="72"/>
        <v/>
      </c>
      <c r="U83" s="39"/>
      <c r="V83" s="72" t="str">
        <f t="shared" si="56"/>
        <v/>
      </c>
      <c r="W83" s="72" t="str">
        <f t="shared" si="73"/>
        <v/>
      </c>
      <c r="X83" s="39"/>
      <c r="Y83" s="72" t="str">
        <f t="shared" si="57"/>
        <v/>
      </c>
      <c r="Z83" s="72" t="str">
        <f t="shared" si="74"/>
        <v/>
      </c>
      <c r="AA83" s="39"/>
      <c r="AB83" s="72" t="str">
        <f t="shared" si="58"/>
        <v/>
      </c>
      <c r="AC83" s="72" t="str">
        <f t="shared" si="75"/>
        <v/>
      </c>
      <c r="AD83" s="39"/>
      <c r="AE83" s="72" t="str">
        <f t="shared" si="59"/>
        <v/>
      </c>
      <c r="AF83" s="72" t="str">
        <f t="shared" si="76"/>
        <v/>
      </c>
      <c r="AG83" s="39"/>
      <c r="AH83" s="72" t="str">
        <f t="shared" si="60"/>
        <v/>
      </c>
      <c r="AI83" s="72" t="str">
        <f t="shared" si="77"/>
        <v/>
      </c>
      <c r="AJ83" s="39"/>
      <c r="AK83" s="72" t="str">
        <f t="shared" si="61"/>
        <v/>
      </c>
      <c r="AL83" s="72" t="str">
        <f t="shared" si="78"/>
        <v/>
      </c>
      <c r="AM83" s="39"/>
      <c r="AN83" s="72" t="str">
        <f t="shared" si="62"/>
        <v/>
      </c>
      <c r="AO83" s="72" t="str">
        <f t="shared" si="79"/>
        <v/>
      </c>
      <c r="AP83" s="39"/>
      <c r="AQ83" s="72" t="str">
        <f t="shared" si="63"/>
        <v/>
      </c>
      <c r="AR83" s="72" t="str">
        <f t="shared" si="80"/>
        <v/>
      </c>
      <c r="AS83" s="39"/>
      <c r="AT83" s="40" t="str">
        <f>IF($K83&lt;=$F$15,IF($F$41&lt;&gt;"",$F$41/1000,IF(ISERROR(VLOOKUP($F$3&amp;IF($G$4&lt;&gt;"",$G$4,"")&amp;IF($F$44&lt;&gt;"","_"&amp;$F$44,""),'表3）燃料価格'!$AF$9:$AG$25,2,0)),0,VLOOKUP($I83,'表3）燃料価格'!$A$6:$U$66,VLOOKUP($F$3&amp;IF($G$4&lt;&gt;"",$G$4,"")&amp;IF($F$44&lt;&gt;"","_"&amp;$F$44,""),'表3）燃料価格'!$AF$9:$AG$25,2,0)+VLOOKUP($F$42,'表3）燃料価格'!$AF$28:$AG$29,2,0),0)*IF($F$44="需要地価格",1,$F$8/$F$142))),"")</f>
        <v/>
      </c>
      <c r="AU83" s="39"/>
      <c r="AV83" s="72" t="str">
        <f t="shared" si="64"/>
        <v/>
      </c>
      <c r="AW83" s="72" t="str">
        <f t="shared" si="81"/>
        <v/>
      </c>
      <c r="AX83" s="39"/>
      <c r="AY83" s="40" t="str">
        <f>IF(ISERROR(IF($K83&lt;=$F$15,VLOOKUP($I83,'表4）CO2価格'!$A$7:$E$67,VLOOKUP($F$49,'表4）CO2価格'!$H$10:$I$12,2,0),0)*$F$8/1000,"")),0,IF($K83&lt;=$F$15,VLOOKUP($I83,'表4）CO2価格'!$A$7:$E$67,VLOOKUP($F$49,'表4）CO2価格'!$H$10:$I$12,2,0),0)*$F$8/1000,""))</f>
        <v/>
      </c>
      <c r="AZ83" s="39"/>
      <c r="BA83" s="42" t="str">
        <f t="shared" si="65"/>
        <v/>
      </c>
      <c r="BB83" s="72" t="str">
        <f t="shared" si="82"/>
        <v/>
      </c>
      <c r="BC83" s="39"/>
      <c r="BD83" s="72" t="str">
        <f t="shared" si="66"/>
        <v/>
      </c>
      <c r="BE83" s="72" t="str">
        <f t="shared" si="83"/>
        <v/>
      </c>
      <c r="BF83" s="39"/>
      <c r="BG83" s="42" t="str">
        <f t="shared" si="67"/>
        <v/>
      </c>
      <c r="BH83" s="72" t="str">
        <f t="shared" si="84"/>
        <v/>
      </c>
      <c r="BI83" s="39"/>
      <c r="BJ83" s="40" t="str">
        <f t="shared" si="68"/>
        <v/>
      </c>
      <c r="BK83" s="157" t="str">
        <f t="shared" si="69"/>
        <v/>
      </c>
      <c r="BL83" s="157" t="str">
        <f t="shared" si="70"/>
        <v/>
      </c>
      <c r="BM83" s="72"/>
      <c r="BN83" s="72" t="str">
        <f t="shared" si="85"/>
        <v/>
      </c>
      <c r="BO83" s="72" t="str">
        <f t="shared" si="86"/>
        <v/>
      </c>
      <c r="BP83" s="39"/>
      <c r="BQ83" s="72" t="str">
        <f t="shared" si="91"/>
        <v/>
      </c>
      <c r="BR83" s="72" t="str">
        <f t="shared" si="87"/>
        <v/>
      </c>
    </row>
    <row r="84" spans="4:70" ht="15" x14ac:dyDescent="0.15">
      <c r="D84" s="116" t="s">
        <v>194</v>
      </c>
      <c r="F84" s="94">
        <f>SUBTOTAL(9,F88:F91)</f>
        <v>2.6137852952279301</v>
      </c>
      <c r="G84" s="81" t="s">
        <v>132</v>
      </c>
      <c r="I84" s="459">
        <f t="shared" si="88"/>
        <v>2099</v>
      </c>
      <c r="K84" s="9">
        <f t="shared" si="89"/>
        <v>70</v>
      </c>
      <c r="M84" s="7">
        <f t="shared" si="54"/>
        <v>0.12629735943783454</v>
      </c>
      <c r="O84" s="10" t="str">
        <f t="shared" si="90"/>
        <v/>
      </c>
      <c r="P84" s="29" t="str">
        <f t="shared" si="55"/>
        <v/>
      </c>
      <c r="R84" s="10" t="str">
        <f t="shared" si="71"/>
        <v/>
      </c>
      <c r="T84" s="10" t="str">
        <f t="shared" si="72"/>
        <v/>
      </c>
      <c r="V84" s="10" t="str">
        <f t="shared" si="56"/>
        <v/>
      </c>
      <c r="W84" s="10" t="str">
        <f t="shared" si="73"/>
        <v/>
      </c>
      <c r="Y84" s="10" t="str">
        <f t="shared" si="57"/>
        <v/>
      </c>
      <c r="Z84" s="10" t="str">
        <f t="shared" si="74"/>
        <v/>
      </c>
      <c r="AB84" s="10" t="str">
        <f t="shared" si="58"/>
        <v/>
      </c>
      <c r="AC84" s="10" t="str">
        <f t="shared" si="75"/>
        <v/>
      </c>
      <c r="AE84" s="10" t="str">
        <f t="shared" si="59"/>
        <v/>
      </c>
      <c r="AF84" s="10" t="str">
        <f t="shared" si="76"/>
        <v/>
      </c>
      <c r="AH84" s="10" t="str">
        <f t="shared" si="60"/>
        <v/>
      </c>
      <c r="AI84" s="10" t="str">
        <f t="shared" si="77"/>
        <v/>
      </c>
      <c r="AK84" s="10" t="str">
        <f t="shared" si="61"/>
        <v/>
      </c>
      <c r="AL84" s="10" t="str">
        <f t="shared" si="78"/>
        <v/>
      </c>
      <c r="AN84" s="10" t="str">
        <f t="shared" si="62"/>
        <v/>
      </c>
      <c r="AO84" s="10" t="str">
        <f t="shared" si="79"/>
        <v/>
      </c>
      <c r="AQ84" s="10" t="str">
        <f t="shared" si="63"/>
        <v/>
      </c>
      <c r="AR84" s="10" t="str">
        <f t="shared" si="80"/>
        <v/>
      </c>
      <c r="AT84" s="7" t="str">
        <f>IF($K84&lt;=$F$15,IF($F$41&lt;&gt;"",$F$41/1000,IF(ISERROR(VLOOKUP($F$3&amp;IF($G$4&lt;&gt;"",$G$4,"")&amp;IF($F$44&lt;&gt;"","_"&amp;$F$44,""),'表3）燃料価格'!$AF$9:$AG$25,2,0)),0,VLOOKUP($I84,'表3）燃料価格'!$A$6:$U$66,VLOOKUP($F$3&amp;IF($G$4&lt;&gt;"",$G$4,"")&amp;IF($F$44&lt;&gt;"","_"&amp;$F$44,""),'表3）燃料価格'!$AF$9:$AG$25,2,0)+VLOOKUP($F$42,'表3）燃料価格'!$AF$28:$AG$29,2,0),0)*IF($F$44="需要地価格",1,$F$8/$F$142))),"")</f>
        <v/>
      </c>
      <c r="AV84" s="10" t="str">
        <f t="shared" si="64"/>
        <v/>
      </c>
      <c r="AW84" s="10" t="str">
        <f t="shared" si="81"/>
        <v/>
      </c>
      <c r="AY84" s="7" t="str">
        <f>IF(ISERROR(IF($K84&lt;=$F$15,VLOOKUP($I84,'表4）CO2価格'!$A$7:$E$67,VLOOKUP($F$49,'表4）CO2価格'!$H$10:$I$12,2,0),0)*$F$8/1000,"")),0,IF($K84&lt;=$F$15,VLOOKUP($I84,'表4）CO2価格'!$A$7:$E$67,VLOOKUP($F$49,'表4）CO2価格'!$H$10:$I$12,2,0),0)*$F$8/1000,""))</f>
        <v/>
      </c>
      <c r="BA84" s="11" t="str">
        <f t="shared" si="65"/>
        <v/>
      </c>
      <c r="BB84" s="10" t="str">
        <f t="shared" si="82"/>
        <v/>
      </c>
      <c r="BD84" s="10" t="str">
        <f t="shared" si="66"/>
        <v/>
      </c>
      <c r="BE84" s="10" t="str">
        <f t="shared" si="83"/>
        <v/>
      </c>
      <c r="BG84" s="11" t="str">
        <f t="shared" si="67"/>
        <v/>
      </c>
      <c r="BH84" s="10" t="str">
        <f t="shared" si="84"/>
        <v/>
      </c>
      <c r="BJ84" s="7" t="str">
        <f t="shared" si="68"/>
        <v/>
      </c>
      <c r="BK84" s="158" t="str">
        <f t="shared" si="69"/>
        <v/>
      </c>
      <c r="BL84" s="158" t="str">
        <f t="shared" si="70"/>
        <v/>
      </c>
      <c r="BM84" s="10"/>
      <c r="BN84" s="10" t="str">
        <f t="shared" si="85"/>
        <v/>
      </c>
      <c r="BO84" s="10" t="str">
        <f t="shared" si="86"/>
        <v/>
      </c>
      <c r="BQ84" s="10" t="str">
        <f t="shared" si="91"/>
        <v/>
      </c>
      <c r="BR84" s="10" t="str">
        <f t="shared" si="87"/>
        <v/>
      </c>
    </row>
    <row r="85" spans="4:70" x14ac:dyDescent="0.15">
      <c r="F85" s="93"/>
      <c r="I85" s="458">
        <f t="shared" si="88"/>
        <v>2100</v>
      </c>
      <c r="J85" s="470"/>
      <c r="K85" s="470">
        <f t="shared" si="89"/>
        <v>71</v>
      </c>
      <c r="L85" s="470"/>
      <c r="M85" s="40">
        <f t="shared" si="54"/>
        <v>0.12261879557071313</v>
      </c>
      <c r="N85" s="39"/>
      <c r="O85" s="72" t="str">
        <f t="shared" si="90"/>
        <v/>
      </c>
      <c r="P85" s="41" t="str">
        <f t="shared" si="55"/>
        <v/>
      </c>
      <c r="Q85" s="39"/>
      <c r="R85" s="72" t="str">
        <f t="shared" si="71"/>
        <v/>
      </c>
      <c r="S85" s="39"/>
      <c r="T85" s="72" t="str">
        <f t="shared" si="72"/>
        <v/>
      </c>
      <c r="U85" s="39"/>
      <c r="V85" s="72" t="str">
        <f t="shared" si="56"/>
        <v/>
      </c>
      <c r="W85" s="72" t="str">
        <f t="shared" si="73"/>
        <v/>
      </c>
      <c r="X85" s="39"/>
      <c r="Y85" s="72" t="str">
        <f t="shared" si="57"/>
        <v/>
      </c>
      <c r="Z85" s="72" t="str">
        <f t="shared" si="74"/>
        <v/>
      </c>
      <c r="AA85" s="39"/>
      <c r="AB85" s="72" t="str">
        <f t="shared" si="58"/>
        <v/>
      </c>
      <c r="AC85" s="72" t="str">
        <f t="shared" si="75"/>
        <v/>
      </c>
      <c r="AD85" s="39"/>
      <c r="AE85" s="72" t="str">
        <f t="shared" si="59"/>
        <v/>
      </c>
      <c r="AF85" s="72" t="str">
        <f t="shared" si="76"/>
        <v/>
      </c>
      <c r="AG85" s="39"/>
      <c r="AH85" s="72" t="str">
        <f t="shared" si="60"/>
        <v/>
      </c>
      <c r="AI85" s="72" t="str">
        <f t="shared" si="77"/>
        <v/>
      </c>
      <c r="AJ85" s="39"/>
      <c r="AK85" s="72" t="str">
        <f t="shared" si="61"/>
        <v/>
      </c>
      <c r="AL85" s="72" t="str">
        <f t="shared" si="78"/>
        <v/>
      </c>
      <c r="AM85" s="39"/>
      <c r="AN85" s="72" t="str">
        <f t="shared" si="62"/>
        <v/>
      </c>
      <c r="AO85" s="72" t="str">
        <f t="shared" si="79"/>
        <v/>
      </c>
      <c r="AP85" s="39"/>
      <c r="AQ85" s="72" t="str">
        <f t="shared" si="63"/>
        <v/>
      </c>
      <c r="AR85" s="72" t="str">
        <f t="shared" si="80"/>
        <v/>
      </c>
      <c r="AS85" s="39"/>
      <c r="AT85" s="40" t="str">
        <f>IF($K85&lt;=$F$15,IF($F$41&lt;&gt;"",$F$41/1000,IF(ISERROR(VLOOKUP($F$3&amp;IF($G$4&lt;&gt;"",$G$4,"")&amp;IF($F$44&lt;&gt;"","_"&amp;$F$44,""),'表3）燃料価格'!$AF$9:$AG$25,2,0)),0,VLOOKUP($I85,'表3）燃料価格'!$A$6:$U$66,VLOOKUP($F$3&amp;IF($G$4&lt;&gt;"",$G$4,"")&amp;IF($F$44&lt;&gt;"","_"&amp;$F$44,""),'表3）燃料価格'!$AF$9:$AG$25,2,0)+VLOOKUP($F$42,'表3）燃料価格'!$AF$28:$AG$29,2,0),0)*IF($F$44="需要地価格",1,$F$8/$F$142))),"")</f>
        <v/>
      </c>
      <c r="AU85" s="39"/>
      <c r="AV85" s="72" t="str">
        <f t="shared" si="64"/>
        <v/>
      </c>
      <c r="AW85" s="72" t="str">
        <f t="shared" si="81"/>
        <v/>
      </c>
      <c r="AX85" s="39"/>
      <c r="AY85" s="40" t="str">
        <f>IF(ISERROR(IF($K85&lt;=$F$15,VLOOKUP($I85,'表4）CO2価格'!$A$7:$E$67,VLOOKUP($F$49,'表4）CO2価格'!$H$10:$I$12,2,0),0)*$F$8/1000,"")),0,IF($K85&lt;=$F$15,VLOOKUP($I85,'表4）CO2価格'!$A$7:$E$67,VLOOKUP($F$49,'表4）CO2価格'!$H$10:$I$12,2,0),0)*$F$8/1000,""))</f>
        <v/>
      </c>
      <c r="AZ85" s="39"/>
      <c r="BA85" s="42" t="str">
        <f t="shared" si="65"/>
        <v/>
      </c>
      <c r="BB85" s="72" t="str">
        <f t="shared" si="82"/>
        <v/>
      </c>
      <c r="BC85" s="39"/>
      <c r="BD85" s="72" t="str">
        <f t="shared" si="66"/>
        <v/>
      </c>
      <c r="BE85" s="72" t="str">
        <f t="shared" si="83"/>
        <v/>
      </c>
      <c r="BF85" s="39"/>
      <c r="BG85" s="42" t="str">
        <f t="shared" si="67"/>
        <v/>
      </c>
      <c r="BH85" s="72" t="str">
        <f t="shared" si="84"/>
        <v/>
      </c>
      <c r="BI85" s="39"/>
      <c r="BJ85" s="40" t="str">
        <f t="shared" si="68"/>
        <v/>
      </c>
      <c r="BK85" s="157" t="str">
        <f t="shared" si="69"/>
        <v/>
      </c>
      <c r="BL85" s="157" t="str">
        <f t="shared" si="70"/>
        <v/>
      </c>
      <c r="BM85" s="72"/>
      <c r="BN85" s="72" t="str">
        <f t="shared" si="85"/>
        <v/>
      </c>
      <c r="BO85" s="72" t="str">
        <f t="shared" si="86"/>
        <v/>
      </c>
      <c r="BP85" s="39"/>
      <c r="BQ85" s="72" t="str">
        <f t="shared" si="91"/>
        <v/>
      </c>
      <c r="BR85" s="72" t="str">
        <f t="shared" si="87"/>
        <v/>
      </c>
    </row>
    <row r="86" spans="4:70" x14ac:dyDescent="0.15">
      <c r="D86" s="101" t="s">
        <v>195</v>
      </c>
      <c r="E86" s="113"/>
      <c r="F86" s="92"/>
      <c r="G86" s="101"/>
      <c r="I86" s="459">
        <f t="shared" si="88"/>
        <v>2101</v>
      </c>
      <c r="K86" s="9">
        <f t="shared" si="89"/>
        <v>72</v>
      </c>
      <c r="M86" s="7">
        <f t="shared" si="54"/>
        <v>0.1190473743404982</v>
      </c>
      <c r="O86" s="10" t="str">
        <f t="shared" si="90"/>
        <v/>
      </c>
      <c r="P86" s="29" t="str">
        <f t="shared" si="55"/>
        <v/>
      </c>
      <c r="R86" s="10" t="str">
        <f t="shared" si="71"/>
        <v/>
      </c>
      <c r="T86" s="10" t="str">
        <f t="shared" si="72"/>
        <v/>
      </c>
      <c r="V86" s="10" t="str">
        <f t="shared" si="56"/>
        <v/>
      </c>
      <c r="W86" s="10" t="str">
        <f t="shared" si="73"/>
        <v/>
      </c>
      <c r="Y86" s="10" t="str">
        <f t="shared" si="57"/>
        <v/>
      </c>
      <c r="Z86" s="10" t="str">
        <f t="shared" si="74"/>
        <v/>
      </c>
      <c r="AB86" s="10" t="str">
        <f t="shared" si="58"/>
        <v/>
      </c>
      <c r="AC86" s="10" t="str">
        <f t="shared" si="75"/>
        <v/>
      </c>
      <c r="AE86" s="10" t="str">
        <f t="shared" si="59"/>
        <v/>
      </c>
      <c r="AF86" s="10" t="str">
        <f t="shared" si="76"/>
        <v/>
      </c>
      <c r="AH86" s="10" t="str">
        <f t="shared" si="60"/>
        <v/>
      </c>
      <c r="AI86" s="10" t="str">
        <f t="shared" si="77"/>
        <v/>
      </c>
      <c r="AK86" s="10" t="str">
        <f t="shared" si="61"/>
        <v/>
      </c>
      <c r="AL86" s="10" t="str">
        <f t="shared" si="78"/>
        <v/>
      </c>
      <c r="AN86" s="10" t="str">
        <f t="shared" si="62"/>
        <v/>
      </c>
      <c r="AO86" s="10" t="str">
        <f t="shared" si="79"/>
        <v/>
      </c>
      <c r="AQ86" s="10" t="str">
        <f t="shared" si="63"/>
        <v/>
      </c>
      <c r="AR86" s="10" t="str">
        <f t="shared" si="80"/>
        <v/>
      </c>
      <c r="AT86" s="7" t="str">
        <f>IF($K86&lt;=$F$15,IF($F$41&lt;&gt;"",$F$41/1000,IF(ISERROR(VLOOKUP($F$3&amp;IF($G$4&lt;&gt;"",$G$4,"")&amp;IF($F$44&lt;&gt;"","_"&amp;$F$44,""),'表3）燃料価格'!$AF$9:$AG$25,2,0)),0,VLOOKUP($I86,'表3）燃料価格'!$A$6:$U$66,VLOOKUP($F$3&amp;IF($G$4&lt;&gt;"",$G$4,"")&amp;IF($F$44&lt;&gt;"","_"&amp;$F$44,""),'表3）燃料価格'!$AF$9:$AG$25,2,0)+VLOOKUP($F$42,'表3）燃料価格'!$AF$28:$AG$29,2,0),0)*IF($F$44="需要地価格",1,$F$8/$F$142))),"")</f>
        <v/>
      </c>
      <c r="AV86" s="10" t="str">
        <f t="shared" si="64"/>
        <v/>
      </c>
      <c r="AW86" s="10" t="str">
        <f t="shared" si="81"/>
        <v/>
      </c>
      <c r="AY86" s="7" t="str">
        <f>IF(ISERROR(IF($K86&lt;=$F$15,VLOOKUP($I86,'表4）CO2価格'!$A$7:$E$67,VLOOKUP($F$49,'表4）CO2価格'!$H$10:$I$12,2,0),0)*$F$8/1000,"")),0,IF($K86&lt;=$F$15,VLOOKUP($I86,'表4）CO2価格'!$A$7:$E$67,VLOOKUP($F$49,'表4）CO2価格'!$H$10:$I$12,2,0),0)*$F$8/1000,""))</f>
        <v/>
      </c>
      <c r="BA86" s="11" t="str">
        <f t="shared" si="65"/>
        <v/>
      </c>
      <c r="BB86" s="10" t="str">
        <f t="shared" si="82"/>
        <v/>
      </c>
      <c r="BD86" s="10" t="str">
        <f t="shared" si="66"/>
        <v/>
      </c>
      <c r="BE86" s="10" t="str">
        <f t="shared" si="83"/>
        <v/>
      </c>
      <c r="BG86" s="11" t="str">
        <f t="shared" si="67"/>
        <v/>
      </c>
      <c r="BH86" s="10" t="str">
        <f t="shared" si="84"/>
        <v/>
      </c>
      <c r="BJ86" s="7" t="str">
        <f t="shared" si="68"/>
        <v/>
      </c>
      <c r="BK86" s="158" t="str">
        <f t="shared" si="69"/>
        <v/>
      </c>
      <c r="BL86" s="158" t="str">
        <f t="shared" si="70"/>
        <v/>
      </c>
      <c r="BM86" s="10"/>
      <c r="BN86" s="10" t="str">
        <f t="shared" si="85"/>
        <v/>
      </c>
      <c r="BO86" s="10" t="str">
        <f t="shared" si="86"/>
        <v/>
      </c>
      <c r="BQ86" s="10" t="str">
        <f t="shared" si="91"/>
        <v/>
      </c>
      <c r="BR86" s="10" t="str">
        <f t="shared" si="87"/>
        <v/>
      </c>
    </row>
    <row r="87" spans="4:70" x14ac:dyDescent="0.15">
      <c r="F87" s="93"/>
      <c r="I87" s="458">
        <f t="shared" si="88"/>
        <v>2102</v>
      </c>
      <c r="J87" s="470"/>
      <c r="K87" s="470">
        <f t="shared" si="89"/>
        <v>73</v>
      </c>
      <c r="L87" s="470"/>
      <c r="M87" s="40">
        <f t="shared" si="54"/>
        <v>0.11557997508786232</v>
      </c>
      <c r="N87" s="39"/>
      <c r="O87" s="72" t="str">
        <f t="shared" si="90"/>
        <v/>
      </c>
      <c r="P87" s="41" t="str">
        <f t="shared" si="55"/>
        <v/>
      </c>
      <c r="Q87" s="39"/>
      <c r="R87" s="72" t="str">
        <f t="shared" si="71"/>
        <v/>
      </c>
      <c r="S87" s="39"/>
      <c r="T87" s="72" t="str">
        <f t="shared" si="72"/>
        <v/>
      </c>
      <c r="U87" s="39"/>
      <c r="V87" s="72" t="str">
        <f t="shared" si="56"/>
        <v/>
      </c>
      <c r="W87" s="72" t="str">
        <f t="shared" si="73"/>
        <v/>
      </c>
      <c r="X87" s="39"/>
      <c r="Y87" s="72" t="str">
        <f t="shared" si="57"/>
        <v/>
      </c>
      <c r="Z87" s="72" t="str">
        <f t="shared" si="74"/>
        <v/>
      </c>
      <c r="AA87" s="39"/>
      <c r="AB87" s="72" t="str">
        <f t="shared" si="58"/>
        <v/>
      </c>
      <c r="AC87" s="72" t="str">
        <f t="shared" si="75"/>
        <v/>
      </c>
      <c r="AD87" s="39"/>
      <c r="AE87" s="72" t="str">
        <f t="shared" si="59"/>
        <v/>
      </c>
      <c r="AF87" s="72" t="str">
        <f t="shared" si="76"/>
        <v/>
      </c>
      <c r="AG87" s="39"/>
      <c r="AH87" s="72" t="str">
        <f t="shared" si="60"/>
        <v/>
      </c>
      <c r="AI87" s="72" t="str">
        <f t="shared" si="77"/>
        <v/>
      </c>
      <c r="AJ87" s="39"/>
      <c r="AK87" s="72" t="str">
        <f t="shared" si="61"/>
        <v/>
      </c>
      <c r="AL87" s="72" t="str">
        <f t="shared" si="78"/>
        <v/>
      </c>
      <c r="AM87" s="39"/>
      <c r="AN87" s="72" t="str">
        <f t="shared" si="62"/>
        <v/>
      </c>
      <c r="AO87" s="72" t="str">
        <f t="shared" si="79"/>
        <v/>
      </c>
      <c r="AP87" s="39"/>
      <c r="AQ87" s="72" t="str">
        <f t="shared" si="63"/>
        <v/>
      </c>
      <c r="AR87" s="72" t="str">
        <f t="shared" si="80"/>
        <v/>
      </c>
      <c r="AS87" s="39"/>
      <c r="AT87" s="40" t="str">
        <f>IF($K87&lt;=$F$15,IF($F$41&lt;&gt;"",$F$41/1000,IF(ISERROR(VLOOKUP($F$3&amp;IF($G$4&lt;&gt;"",$G$4,"")&amp;IF($F$44&lt;&gt;"","_"&amp;$F$44,""),'表3）燃料価格'!$AF$9:$AG$25,2,0)),0,VLOOKUP($I87,'表3）燃料価格'!$A$6:$U$66,VLOOKUP($F$3&amp;IF($G$4&lt;&gt;"",$G$4,"")&amp;IF($F$44&lt;&gt;"","_"&amp;$F$44,""),'表3）燃料価格'!$AF$9:$AG$25,2,0)+VLOOKUP($F$42,'表3）燃料価格'!$AF$28:$AG$29,2,0),0)*IF($F$44="需要地価格",1,$F$8/$F$142))),"")</f>
        <v/>
      </c>
      <c r="AU87" s="39"/>
      <c r="AV87" s="72" t="str">
        <f t="shared" si="64"/>
        <v/>
      </c>
      <c r="AW87" s="72" t="str">
        <f t="shared" si="81"/>
        <v/>
      </c>
      <c r="AX87" s="39"/>
      <c r="AY87" s="40" t="str">
        <f>IF(ISERROR(IF($K87&lt;=$F$15,VLOOKUP($I87,'表4）CO2価格'!$A$7:$E$67,VLOOKUP($F$49,'表4）CO2価格'!$H$10:$I$12,2,0),0)*$F$8/1000,"")),0,IF($K87&lt;=$F$15,VLOOKUP($I87,'表4）CO2価格'!$A$7:$E$67,VLOOKUP($F$49,'表4）CO2価格'!$H$10:$I$12,2,0),0)*$F$8/1000,""))</f>
        <v/>
      </c>
      <c r="AZ87" s="39"/>
      <c r="BA87" s="42" t="str">
        <f t="shared" si="65"/>
        <v/>
      </c>
      <c r="BB87" s="72" t="str">
        <f t="shared" si="82"/>
        <v/>
      </c>
      <c r="BC87" s="39"/>
      <c r="BD87" s="72" t="str">
        <f t="shared" si="66"/>
        <v/>
      </c>
      <c r="BE87" s="72" t="str">
        <f t="shared" si="83"/>
        <v/>
      </c>
      <c r="BF87" s="39"/>
      <c r="BG87" s="42" t="str">
        <f t="shared" si="67"/>
        <v/>
      </c>
      <c r="BH87" s="72" t="str">
        <f t="shared" si="84"/>
        <v/>
      </c>
      <c r="BI87" s="39"/>
      <c r="BJ87" s="40" t="str">
        <f t="shared" si="68"/>
        <v/>
      </c>
      <c r="BK87" s="157" t="str">
        <f t="shared" si="69"/>
        <v/>
      </c>
      <c r="BL87" s="157" t="str">
        <f t="shared" si="70"/>
        <v/>
      </c>
      <c r="BM87" s="72"/>
      <c r="BN87" s="72" t="str">
        <f t="shared" si="85"/>
        <v/>
      </c>
      <c r="BO87" s="72" t="str">
        <f t="shared" si="86"/>
        <v/>
      </c>
      <c r="BP87" s="39"/>
      <c r="BQ87" s="72" t="str">
        <f t="shared" si="91"/>
        <v/>
      </c>
      <c r="BR87" s="72" t="str">
        <f t="shared" si="87"/>
        <v/>
      </c>
    </row>
    <row r="88" spans="4:70" x14ac:dyDescent="0.15">
      <c r="E88" s="82" t="s">
        <v>232</v>
      </c>
      <c r="F88" s="91">
        <f>AI116/$BR$116</f>
        <v>2.6137852952279301</v>
      </c>
      <c r="G88" s="81" t="s">
        <v>132</v>
      </c>
      <c r="I88" s="459">
        <f t="shared" si="88"/>
        <v>2103</v>
      </c>
      <c r="K88" s="9">
        <f t="shared" si="89"/>
        <v>74</v>
      </c>
      <c r="M88" s="7">
        <f t="shared" si="54"/>
        <v>0.11221356804646829</v>
      </c>
      <c r="O88" s="10" t="str">
        <f t="shared" si="90"/>
        <v/>
      </c>
      <c r="P88" s="29" t="str">
        <f t="shared" si="55"/>
        <v/>
      </c>
      <c r="R88" s="10" t="str">
        <f t="shared" si="71"/>
        <v/>
      </c>
      <c r="T88" s="10" t="str">
        <f t="shared" si="72"/>
        <v/>
      </c>
      <c r="V88" s="10" t="str">
        <f t="shared" si="56"/>
        <v/>
      </c>
      <c r="W88" s="10" t="str">
        <f t="shared" si="73"/>
        <v/>
      </c>
      <c r="Y88" s="10" t="str">
        <f t="shared" si="57"/>
        <v/>
      </c>
      <c r="Z88" s="10" t="str">
        <f t="shared" si="74"/>
        <v/>
      </c>
      <c r="AB88" s="10" t="str">
        <f t="shared" si="58"/>
        <v/>
      </c>
      <c r="AC88" s="10" t="str">
        <f t="shared" si="75"/>
        <v/>
      </c>
      <c r="AE88" s="10" t="str">
        <f t="shared" si="59"/>
        <v/>
      </c>
      <c r="AF88" s="10" t="str">
        <f t="shared" si="76"/>
        <v/>
      </c>
      <c r="AH88" s="10" t="str">
        <f t="shared" si="60"/>
        <v/>
      </c>
      <c r="AI88" s="10" t="str">
        <f t="shared" si="77"/>
        <v/>
      </c>
      <c r="AK88" s="10" t="str">
        <f t="shared" si="61"/>
        <v/>
      </c>
      <c r="AL88" s="10" t="str">
        <f t="shared" si="78"/>
        <v/>
      </c>
      <c r="AN88" s="10" t="str">
        <f t="shared" si="62"/>
        <v/>
      </c>
      <c r="AO88" s="10" t="str">
        <f t="shared" si="79"/>
        <v/>
      </c>
      <c r="AQ88" s="10" t="str">
        <f t="shared" si="63"/>
        <v/>
      </c>
      <c r="AR88" s="10" t="str">
        <f t="shared" si="80"/>
        <v/>
      </c>
      <c r="AT88" s="7" t="str">
        <f>IF($K88&lt;=$F$15,IF($F$41&lt;&gt;"",$F$41/1000,IF(ISERROR(VLOOKUP($F$3&amp;IF($G$4&lt;&gt;"",$G$4,"")&amp;IF($F$44&lt;&gt;"","_"&amp;$F$44,""),'表3）燃料価格'!$AF$9:$AG$25,2,0)),0,VLOOKUP($I88,'表3）燃料価格'!$A$6:$U$66,VLOOKUP($F$3&amp;IF($G$4&lt;&gt;"",$G$4,"")&amp;IF($F$44&lt;&gt;"","_"&amp;$F$44,""),'表3）燃料価格'!$AF$9:$AG$25,2,0)+VLOOKUP($F$42,'表3）燃料価格'!$AF$28:$AG$29,2,0),0)*IF($F$44="需要地価格",1,$F$8/$F$142))),"")</f>
        <v/>
      </c>
      <c r="AV88" s="10" t="str">
        <f t="shared" si="64"/>
        <v/>
      </c>
      <c r="AW88" s="10" t="str">
        <f t="shared" si="81"/>
        <v/>
      </c>
      <c r="AY88" s="7" t="str">
        <f>IF(ISERROR(IF($K88&lt;=$F$15,VLOOKUP($I88,'表4）CO2価格'!$A$7:$E$67,VLOOKUP($F$49,'表4）CO2価格'!$H$10:$I$12,2,0),0)*$F$8/1000,"")),0,IF($K88&lt;=$F$15,VLOOKUP($I88,'表4）CO2価格'!$A$7:$E$67,VLOOKUP($F$49,'表4）CO2価格'!$H$10:$I$12,2,0),0)*$F$8/1000,""))</f>
        <v/>
      </c>
      <c r="BA88" s="11" t="str">
        <f t="shared" si="65"/>
        <v/>
      </c>
      <c r="BB88" s="10" t="str">
        <f t="shared" si="82"/>
        <v/>
      </c>
      <c r="BD88" s="10" t="str">
        <f t="shared" si="66"/>
        <v/>
      </c>
      <c r="BE88" s="10" t="str">
        <f t="shared" si="83"/>
        <v/>
      </c>
      <c r="BG88" s="11" t="str">
        <f t="shared" si="67"/>
        <v/>
      </c>
      <c r="BH88" s="10" t="str">
        <f t="shared" si="84"/>
        <v/>
      </c>
      <c r="BJ88" s="7" t="str">
        <f t="shared" si="68"/>
        <v/>
      </c>
      <c r="BK88" s="158" t="str">
        <f t="shared" si="69"/>
        <v/>
      </c>
      <c r="BL88" s="158" t="str">
        <f t="shared" si="70"/>
        <v/>
      </c>
      <c r="BM88" s="10"/>
      <c r="BN88" s="10" t="str">
        <f t="shared" si="85"/>
        <v/>
      </c>
      <c r="BO88" s="10" t="str">
        <f t="shared" si="86"/>
        <v/>
      </c>
      <c r="BQ88" s="10" t="str">
        <f t="shared" si="91"/>
        <v/>
      </c>
      <c r="BR88" s="10" t="str">
        <f t="shared" si="87"/>
        <v/>
      </c>
    </row>
    <row r="89" spans="4:70" x14ac:dyDescent="0.15">
      <c r="E89" s="82" t="s">
        <v>234</v>
      </c>
      <c r="F89" s="91">
        <f>AL116/$BR$116</f>
        <v>0</v>
      </c>
      <c r="G89" s="81" t="s">
        <v>132</v>
      </c>
      <c r="I89" s="458">
        <f t="shared" si="88"/>
        <v>2104</v>
      </c>
      <c r="J89" s="470"/>
      <c r="K89" s="470">
        <f t="shared" si="89"/>
        <v>75</v>
      </c>
      <c r="L89" s="470"/>
      <c r="M89" s="40">
        <f t="shared" si="54"/>
        <v>0.10894521169560026</v>
      </c>
      <c r="N89" s="39"/>
      <c r="O89" s="72" t="str">
        <f t="shared" si="90"/>
        <v/>
      </c>
      <c r="P89" s="41" t="str">
        <f t="shared" si="55"/>
        <v/>
      </c>
      <c r="Q89" s="39"/>
      <c r="R89" s="72" t="str">
        <f t="shared" si="71"/>
        <v/>
      </c>
      <c r="S89" s="39"/>
      <c r="T89" s="72" t="str">
        <f t="shared" si="72"/>
        <v/>
      </c>
      <c r="U89" s="39"/>
      <c r="V89" s="72" t="str">
        <f t="shared" si="56"/>
        <v/>
      </c>
      <c r="W89" s="72" t="str">
        <f t="shared" si="73"/>
        <v/>
      </c>
      <c r="X89" s="39"/>
      <c r="Y89" s="72" t="str">
        <f t="shared" si="57"/>
        <v/>
      </c>
      <c r="Z89" s="72" t="str">
        <f t="shared" si="74"/>
        <v/>
      </c>
      <c r="AA89" s="39"/>
      <c r="AB89" s="72" t="str">
        <f t="shared" si="58"/>
        <v/>
      </c>
      <c r="AC89" s="72" t="str">
        <f t="shared" si="75"/>
        <v/>
      </c>
      <c r="AD89" s="39"/>
      <c r="AE89" s="72" t="str">
        <f t="shared" si="59"/>
        <v/>
      </c>
      <c r="AF89" s="72" t="str">
        <f t="shared" si="76"/>
        <v/>
      </c>
      <c r="AG89" s="39"/>
      <c r="AH89" s="72" t="str">
        <f t="shared" si="60"/>
        <v/>
      </c>
      <c r="AI89" s="72" t="str">
        <f t="shared" si="77"/>
        <v/>
      </c>
      <c r="AJ89" s="39"/>
      <c r="AK89" s="72" t="str">
        <f t="shared" si="61"/>
        <v/>
      </c>
      <c r="AL89" s="72" t="str">
        <f t="shared" si="78"/>
        <v/>
      </c>
      <c r="AM89" s="39"/>
      <c r="AN89" s="72" t="str">
        <f t="shared" si="62"/>
        <v/>
      </c>
      <c r="AO89" s="72" t="str">
        <f t="shared" si="79"/>
        <v/>
      </c>
      <c r="AP89" s="39"/>
      <c r="AQ89" s="72" t="str">
        <f t="shared" si="63"/>
        <v/>
      </c>
      <c r="AR89" s="72" t="str">
        <f t="shared" si="80"/>
        <v/>
      </c>
      <c r="AS89" s="39"/>
      <c r="AT89" s="40" t="str">
        <f>IF($K89&lt;=$F$15,IF($F$41&lt;&gt;"",$F$41/1000,IF(ISERROR(VLOOKUP($F$3&amp;IF($G$4&lt;&gt;"",$G$4,"")&amp;IF($F$44&lt;&gt;"","_"&amp;$F$44,""),'表3）燃料価格'!$AF$9:$AG$25,2,0)),0,VLOOKUP($I89,'表3）燃料価格'!$A$6:$U$66,VLOOKUP($F$3&amp;IF($G$4&lt;&gt;"",$G$4,"")&amp;IF($F$44&lt;&gt;"","_"&amp;$F$44,""),'表3）燃料価格'!$AF$9:$AG$25,2,0)+VLOOKUP($F$42,'表3）燃料価格'!$AF$28:$AG$29,2,0),0)*IF($F$44="需要地価格",1,$F$8/$F$142))),"")</f>
        <v/>
      </c>
      <c r="AU89" s="39"/>
      <c r="AV89" s="72" t="str">
        <f t="shared" si="64"/>
        <v/>
      </c>
      <c r="AW89" s="72" t="str">
        <f t="shared" si="81"/>
        <v/>
      </c>
      <c r="AX89" s="39"/>
      <c r="AY89" s="40" t="str">
        <f>IF(ISERROR(IF($K89&lt;=$F$15,VLOOKUP($I89,'表4）CO2価格'!$A$7:$E$67,VLOOKUP($F$49,'表4）CO2価格'!$H$10:$I$12,2,0),0)*$F$8/1000,"")),0,IF($K89&lt;=$F$15,VLOOKUP($I89,'表4）CO2価格'!$A$7:$E$67,VLOOKUP($F$49,'表4）CO2価格'!$H$10:$I$12,2,0),0)*$F$8/1000,""))</f>
        <v/>
      </c>
      <c r="AZ89" s="39"/>
      <c r="BA89" s="42" t="str">
        <f t="shared" si="65"/>
        <v/>
      </c>
      <c r="BB89" s="72" t="str">
        <f t="shared" si="82"/>
        <v/>
      </c>
      <c r="BC89" s="39"/>
      <c r="BD89" s="72" t="str">
        <f t="shared" si="66"/>
        <v/>
      </c>
      <c r="BE89" s="72" t="str">
        <f t="shared" si="83"/>
        <v/>
      </c>
      <c r="BF89" s="39"/>
      <c r="BG89" s="42" t="str">
        <f t="shared" si="67"/>
        <v/>
      </c>
      <c r="BH89" s="72" t="str">
        <f t="shared" si="84"/>
        <v/>
      </c>
      <c r="BI89" s="39"/>
      <c r="BJ89" s="40" t="str">
        <f t="shared" si="68"/>
        <v/>
      </c>
      <c r="BK89" s="157" t="str">
        <f t="shared" si="69"/>
        <v/>
      </c>
      <c r="BL89" s="157" t="str">
        <f t="shared" si="70"/>
        <v/>
      </c>
      <c r="BM89" s="72"/>
      <c r="BN89" s="72" t="str">
        <f t="shared" si="85"/>
        <v/>
      </c>
      <c r="BO89" s="72" t="str">
        <f t="shared" si="86"/>
        <v/>
      </c>
      <c r="BP89" s="39"/>
      <c r="BQ89" s="72" t="str">
        <f t="shared" si="91"/>
        <v/>
      </c>
      <c r="BR89" s="72" t="str">
        <f t="shared" si="87"/>
        <v/>
      </c>
    </row>
    <row r="90" spans="4:70" x14ac:dyDescent="0.15">
      <c r="E90" s="82" t="s">
        <v>235</v>
      </c>
      <c r="F90" s="91">
        <f>AO116/$BR$116</f>
        <v>0</v>
      </c>
      <c r="G90" s="81" t="s">
        <v>132</v>
      </c>
      <c r="I90" s="459">
        <f t="shared" si="88"/>
        <v>2105</v>
      </c>
      <c r="K90" s="9">
        <f t="shared" si="89"/>
        <v>76</v>
      </c>
      <c r="M90" s="7">
        <f t="shared" si="54"/>
        <v>0.10577205018990318</v>
      </c>
      <c r="O90" s="10" t="str">
        <f t="shared" si="90"/>
        <v/>
      </c>
      <c r="P90" s="29" t="str">
        <f t="shared" si="55"/>
        <v/>
      </c>
      <c r="R90" s="10" t="str">
        <f t="shared" si="71"/>
        <v/>
      </c>
      <c r="T90" s="10" t="str">
        <f t="shared" si="72"/>
        <v/>
      </c>
      <c r="V90" s="10" t="str">
        <f t="shared" si="56"/>
        <v/>
      </c>
      <c r="W90" s="10" t="str">
        <f t="shared" si="73"/>
        <v/>
      </c>
      <c r="Y90" s="10" t="str">
        <f t="shared" si="57"/>
        <v/>
      </c>
      <c r="Z90" s="10" t="str">
        <f t="shared" si="74"/>
        <v/>
      </c>
      <c r="AB90" s="10" t="str">
        <f t="shared" si="58"/>
        <v/>
      </c>
      <c r="AC90" s="10" t="str">
        <f t="shared" si="75"/>
        <v/>
      </c>
      <c r="AE90" s="10" t="str">
        <f t="shared" si="59"/>
        <v/>
      </c>
      <c r="AF90" s="10" t="str">
        <f t="shared" si="76"/>
        <v/>
      </c>
      <c r="AH90" s="10" t="str">
        <f t="shared" si="60"/>
        <v/>
      </c>
      <c r="AI90" s="10" t="str">
        <f t="shared" si="77"/>
        <v/>
      </c>
      <c r="AK90" s="10" t="str">
        <f t="shared" si="61"/>
        <v/>
      </c>
      <c r="AL90" s="10" t="str">
        <f t="shared" si="78"/>
        <v/>
      </c>
      <c r="AN90" s="10" t="str">
        <f t="shared" si="62"/>
        <v/>
      </c>
      <c r="AO90" s="10" t="str">
        <f t="shared" si="79"/>
        <v/>
      </c>
      <c r="AQ90" s="10" t="str">
        <f t="shared" si="63"/>
        <v/>
      </c>
      <c r="AR90" s="10" t="str">
        <f t="shared" si="80"/>
        <v/>
      </c>
      <c r="AT90" s="7" t="str">
        <f>IF($K90&lt;=$F$15,IF($F$41&lt;&gt;"",$F$41/1000,IF(ISERROR(VLOOKUP($F$3&amp;IF($G$4&lt;&gt;"",$G$4,"")&amp;IF($F$44&lt;&gt;"","_"&amp;$F$44,""),'表3）燃料価格'!$AF$9:$AG$25,2,0)),0,VLOOKUP($I90,'表3）燃料価格'!$A$6:$U$66,VLOOKUP($F$3&amp;IF($G$4&lt;&gt;"",$G$4,"")&amp;IF($F$44&lt;&gt;"","_"&amp;$F$44,""),'表3）燃料価格'!$AF$9:$AG$25,2,0)+VLOOKUP($F$42,'表3）燃料価格'!$AF$28:$AG$29,2,0),0)*IF($F$44="需要地価格",1,$F$8/$F$142))),"")</f>
        <v/>
      </c>
      <c r="AV90" s="10" t="str">
        <f t="shared" si="64"/>
        <v/>
      </c>
      <c r="AW90" s="10" t="str">
        <f t="shared" si="81"/>
        <v/>
      </c>
      <c r="AY90" s="7" t="str">
        <f>IF(ISERROR(IF($K90&lt;=$F$15,VLOOKUP($I90,'表4）CO2価格'!$A$7:$E$67,VLOOKUP($F$49,'表4）CO2価格'!$H$10:$I$12,2,0),0)*$F$8/1000,"")),0,IF($K90&lt;=$F$15,VLOOKUP($I90,'表4）CO2価格'!$A$7:$E$67,VLOOKUP($F$49,'表4）CO2価格'!$H$10:$I$12,2,0),0)*$F$8/1000,""))</f>
        <v/>
      </c>
      <c r="BA90" s="11" t="str">
        <f t="shared" si="65"/>
        <v/>
      </c>
      <c r="BB90" s="10" t="str">
        <f t="shared" si="82"/>
        <v/>
      </c>
      <c r="BD90" s="10" t="str">
        <f t="shared" si="66"/>
        <v/>
      </c>
      <c r="BE90" s="10" t="str">
        <f t="shared" si="83"/>
        <v/>
      </c>
      <c r="BG90" s="11" t="str">
        <f t="shared" si="67"/>
        <v/>
      </c>
      <c r="BH90" s="10" t="str">
        <f t="shared" si="84"/>
        <v/>
      </c>
      <c r="BJ90" s="7" t="str">
        <f t="shared" si="68"/>
        <v/>
      </c>
      <c r="BK90" s="158" t="str">
        <f t="shared" si="69"/>
        <v/>
      </c>
      <c r="BL90" s="158" t="str">
        <f t="shared" si="70"/>
        <v/>
      </c>
      <c r="BM90" s="10"/>
      <c r="BN90" s="10" t="str">
        <f t="shared" si="85"/>
        <v/>
      </c>
      <c r="BO90" s="10" t="str">
        <f t="shared" si="86"/>
        <v/>
      </c>
      <c r="BQ90" s="10" t="str">
        <f t="shared" si="91"/>
        <v/>
      </c>
      <c r="BR90" s="10" t="str">
        <f t="shared" si="87"/>
        <v/>
      </c>
    </row>
    <row r="91" spans="4:70" x14ac:dyDescent="0.15">
      <c r="E91" s="82" t="s">
        <v>236</v>
      </c>
      <c r="F91" s="91">
        <f>AR116/$BR$116</f>
        <v>0</v>
      </c>
      <c r="G91" s="81" t="s">
        <v>132</v>
      </c>
      <c r="I91" s="458">
        <f t="shared" si="88"/>
        <v>2106</v>
      </c>
      <c r="J91" s="470"/>
      <c r="K91" s="470">
        <f t="shared" si="89"/>
        <v>77</v>
      </c>
      <c r="L91" s="470"/>
      <c r="M91" s="40">
        <f t="shared" si="54"/>
        <v>0.10269131086398368</v>
      </c>
      <c r="N91" s="39"/>
      <c r="O91" s="72" t="str">
        <f t="shared" si="90"/>
        <v/>
      </c>
      <c r="P91" s="41" t="str">
        <f t="shared" si="55"/>
        <v/>
      </c>
      <c r="Q91" s="39"/>
      <c r="R91" s="72" t="str">
        <f t="shared" si="71"/>
        <v/>
      </c>
      <c r="S91" s="39"/>
      <c r="T91" s="72" t="str">
        <f t="shared" si="72"/>
        <v/>
      </c>
      <c r="U91" s="39"/>
      <c r="V91" s="72" t="str">
        <f t="shared" si="56"/>
        <v/>
      </c>
      <c r="W91" s="72" t="str">
        <f t="shared" si="73"/>
        <v/>
      </c>
      <c r="X91" s="39"/>
      <c r="Y91" s="72" t="str">
        <f t="shared" si="57"/>
        <v/>
      </c>
      <c r="Z91" s="72" t="str">
        <f t="shared" si="74"/>
        <v/>
      </c>
      <c r="AA91" s="39"/>
      <c r="AB91" s="72" t="str">
        <f t="shared" si="58"/>
        <v/>
      </c>
      <c r="AC91" s="72" t="str">
        <f t="shared" si="75"/>
        <v/>
      </c>
      <c r="AD91" s="39"/>
      <c r="AE91" s="72" t="str">
        <f t="shared" si="59"/>
        <v/>
      </c>
      <c r="AF91" s="72" t="str">
        <f t="shared" si="76"/>
        <v/>
      </c>
      <c r="AG91" s="39"/>
      <c r="AH91" s="72" t="str">
        <f t="shared" si="60"/>
        <v/>
      </c>
      <c r="AI91" s="72" t="str">
        <f t="shared" si="77"/>
        <v/>
      </c>
      <c r="AJ91" s="39"/>
      <c r="AK91" s="72" t="str">
        <f t="shared" si="61"/>
        <v/>
      </c>
      <c r="AL91" s="72" t="str">
        <f t="shared" si="78"/>
        <v/>
      </c>
      <c r="AM91" s="39"/>
      <c r="AN91" s="72" t="str">
        <f t="shared" si="62"/>
        <v/>
      </c>
      <c r="AO91" s="72" t="str">
        <f t="shared" si="79"/>
        <v/>
      </c>
      <c r="AP91" s="39"/>
      <c r="AQ91" s="72" t="str">
        <f t="shared" si="63"/>
        <v/>
      </c>
      <c r="AR91" s="72" t="str">
        <f t="shared" si="80"/>
        <v/>
      </c>
      <c r="AS91" s="39"/>
      <c r="AT91" s="40" t="str">
        <f>IF($K91&lt;=$F$15,IF($F$41&lt;&gt;"",$F$41/1000,IF(ISERROR(VLOOKUP($F$3&amp;IF($G$4&lt;&gt;"",$G$4,"")&amp;IF($F$44&lt;&gt;"","_"&amp;$F$44,""),'表3）燃料価格'!$AF$9:$AG$25,2,0)),0,VLOOKUP($I91,'表3）燃料価格'!$A$6:$U$66,VLOOKUP($F$3&amp;IF($G$4&lt;&gt;"",$G$4,"")&amp;IF($F$44&lt;&gt;"","_"&amp;$F$44,""),'表3）燃料価格'!$AF$9:$AG$25,2,0)+VLOOKUP($F$42,'表3）燃料価格'!$AF$28:$AG$29,2,0),0)*IF($F$44="需要地価格",1,$F$8/$F$142))),"")</f>
        <v/>
      </c>
      <c r="AU91" s="39"/>
      <c r="AV91" s="72" t="str">
        <f t="shared" si="64"/>
        <v/>
      </c>
      <c r="AW91" s="72" t="str">
        <f t="shared" si="81"/>
        <v/>
      </c>
      <c r="AX91" s="39"/>
      <c r="AY91" s="40" t="str">
        <f>IF(ISERROR(IF($K91&lt;=$F$15,VLOOKUP($I91,'表4）CO2価格'!$A$7:$E$67,VLOOKUP($F$49,'表4）CO2価格'!$H$10:$I$12,2,0),0)*$F$8/1000,"")),0,IF($K91&lt;=$F$15,VLOOKUP($I91,'表4）CO2価格'!$A$7:$E$67,VLOOKUP($F$49,'表4）CO2価格'!$H$10:$I$12,2,0),0)*$F$8/1000,""))</f>
        <v/>
      </c>
      <c r="AZ91" s="39"/>
      <c r="BA91" s="42" t="str">
        <f t="shared" si="65"/>
        <v/>
      </c>
      <c r="BB91" s="72" t="str">
        <f t="shared" si="82"/>
        <v/>
      </c>
      <c r="BC91" s="39"/>
      <c r="BD91" s="72" t="str">
        <f t="shared" si="66"/>
        <v/>
      </c>
      <c r="BE91" s="72" t="str">
        <f t="shared" si="83"/>
        <v/>
      </c>
      <c r="BF91" s="39"/>
      <c r="BG91" s="42" t="str">
        <f t="shared" si="67"/>
        <v/>
      </c>
      <c r="BH91" s="72" t="str">
        <f t="shared" si="84"/>
        <v/>
      </c>
      <c r="BI91" s="39"/>
      <c r="BJ91" s="40" t="str">
        <f t="shared" si="68"/>
        <v/>
      </c>
      <c r="BK91" s="157" t="str">
        <f t="shared" si="69"/>
        <v/>
      </c>
      <c r="BL91" s="157" t="str">
        <f t="shared" si="70"/>
        <v/>
      </c>
      <c r="BM91" s="72"/>
      <c r="BN91" s="72" t="str">
        <f t="shared" si="85"/>
        <v/>
      </c>
      <c r="BO91" s="72" t="str">
        <f t="shared" si="86"/>
        <v/>
      </c>
      <c r="BP91" s="39"/>
      <c r="BQ91" s="72" t="str">
        <f t="shared" si="91"/>
        <v/>
      </c>
      <c r="BR91" s="72" t="str">
        <f t="shared" si="87"/>
        <v/>
      </c>
    </row>
    <row r="92" spans="4:70" x14ac:dyDescent="0.15">
      <c r="F92" s="93"/>
      <c r="I92" s="459">
        <f t="shared" si="88"/>
        <v>2107</v>
      </c>
      <c r="K92" s="9">
        <f t="shared" si="89"/>
        <v>78</v>
      </c>
      <c r="M92" s="7">
        <f t="shared" si="54"/>
        <v>9.9700301809692873E-2</v>
      </c>
      <c r="O92" s="10" t="str">
        <f t="shared" si="90"/>
        <v/>
      </c>
      <c r="P92" s="29" t="str">
        <f t="shared" si="55"/>
        <v/>
      </c>
      <c r="R92" s="10" t="str">
        <f t="shared" si="71"/>
        <v/>
      </c>
      <c r="T92" s="10" t="str">
        <f t="shared" si="72"/>
        <v/>
      </c>
      <c r="V92" s="10" t="str">
        <f t="shared" si="56"/>
        <v/>
      </c>
      <c r="W92" s="10" t="str">
        <f t="shared" si="73"/>
        <v/>
      </c>
      <c r="Y92" s="10" t="str">
        <f t="shared" si="57"/>
        <v/>
      </c>
      <c r="Z92" s="10" t="str">
        <f t="shared" si="74"/>
        <v/>
      </c>
      <c r="AB92" s="10" t="str">
        <f t="shared" si="58"/>
        <v/>
      </c>
      <c r="AC92" s="10" t="str">
        <f t="shared" si="75"/>
        <v/>
      </c>
      <c r="AE92" s="10" t="str">
        <f t="shared" si="59"/>
        <v/>
      </c>
      <c r="AF92" s="10" t="str">
        <f t="shared" si="76"/>
        <v/>
      </c>
      <c r="AH92" s="10" t="str">
        <f t="shared" si="60"/>
        <v/>
      </c>
      <c r="AI92" s="10" t="str">
        <f t="shared" si="77"/>
        <v/>
      </c>
      <c r="AK92" s="10" t="str">
        <f t="shared" si="61"/>
        <v/>
      </c>
      <c r="AL92" s="10" t="str">
        <f t="shared" si="78"/>
        <v/>
      </c>
      <c r="AN92" s="10" t="str">
        <f t="shared" si="62"/>
        <v/>
      </c>
      <c r="AO92" s="10" t="str">
        <f t="shared" si="79"/>
        <v/>
      </c>
      <c r="AQ92" s="10" t="str">
        <f t="shared" si="63"/>
        <v/>
      </c>
      <c r="AR92" s="10" t="str">
        <f t="shared" si="80"/>
        <v/>
      </c>
      <c r="AT92" s="7" t="str">
        <f>IF($K92&lt;=$F$15,IF($F$41&lt;&gt;"",$F$41/1000,IF(ISERROR(VLOOKUP($F$3&amp;IF($G$4&lt;&gt;"",$G$4,"")&amp;IF($F$44&lt;&gt;"","_"&amp;$F$44,""),'表3）燃料価格'!$AF$9:$AG$25,2,0)),0,VLOOKUP($I92,'表3）燃料価格'!$A$6:$U$66,VLOOKUP($F$3&amp;IF($G$4&lt;&gt;"",$G$4,"")&amp;IF($F$44&lt;&gt;"","_"&amp;$F$44,""),'表3）燃料価格'!$AF$9:$AG$25,2,0)+VLOOKUP($F$42,'表3）燃料価格'!$AF$28:$AG$29,2,0),0)*IF($F$44="需要地価格",1,$F$8/$F$142))),"")</f>
        <v/>
      </c>
      <c r="AV92" s="10" t="str">
        <f t="shared" si="64"/>
        <v/>
      </c>
      <c r="AW92" s="10" t="str">
        <f t="shared" si="81"/>
        <v/>
      </c>
      <c r="AY92" s="7" t="str">
        <f>IF(ISERROR(IF($K92&lt;=$F$15,VLOOKUP($I92,'表4）CO2価格'!$A$7:$E$67,VLOOKUP($F$49,'表4）CO2価格'!$H$10:$I$12,2,0),0)*$F$8/1000,"")),0,IF($K92&lt;=$F$15,VLOOKUP($I92,'表4）CO2価格'!$A$7:$E$67,VLOOKUP($F$49,'表4）CO2価格'!$H$10:$I$12,2,0),0)*$F$8/1000,""))</f>
        <v/>
      </c>
      <c r="BA92" s="11" t="str">
        <f t="shared" si="65"/>
        <v/>
      </c>
      <c r="BB92" s="10" t="str">
        <f t="shared" si="82"/>
        <v/>
      </c>
      <c r="BD92" s="10" t="str">
        <f t="shared" si="66"/>
        <v/>
      </c>
      <c r="BE92" s="10" t="str">
        <f t="shared" si="83"/>
        <v/>
      </c>
      <c r="BG92" s="11" t="str">
        <f t="shared" si="67"/>
        <v/>
      </c>
      <c r="BH92" s="10" t="str">
        <f t="shared" si="84"/>
        <v/>
      </c>
      <c r="BJ92" s="7" t="str">
        <f t="shared" si="68"/>
        <v/>
      </c>
      <c r="BK92" s="158" t="str">
        <f t="shared" si="69"/>
        <v/>
      </c>
      <c r="BL92" s="158" t="str">
        <f t="shared" si="70"/>
        <v/>
      </c>
      <c r="BM92" s="10"/>
      <c r="BN92" s="10" t="str">
        <f t="shared" si="85"/>
        <v/>
      </c>
      <c r="BO92" s="10" t="str">
        <f t="shared" si="86"/>
        <v/>
      </c>
      <c r="BQ92" s="10" t="str">
        <f t="shared" si="91"/>
        <v/>
      </c>
      <c r="BR92" s="10" t="str">
        <f t="shared" si="87"/>
        <v/>
      </c>
    </row>
    <row r="93" spans="4:70" ht="15" x14ac:dyDescent="0.15">
      <c r="D93" s="116" t="s">
        <v>196</v>
      </c>
      <c r="F93" s="94">
        <f>SUBTOTAL(9,F97:F98)</f>
        <v>0</v>
      </c>
      <c r="I93" s="458">
        <f t="shared" si="88"/>
        <v>2108</v>
      </c>
      <c r="J93" s="470"/>
      <c r="K93" s="470">
        <f t="shared" si="89"/>
        <v>79</v>
      </c>
      <c r="L93" s="470"/>
      <c r="M93" s="40">
        <f t="shared" si="54"/>
        <v>9.679640952397367E-2</v>
      </c>
      <c r="N93" s="39"/>
      <c r="O93" s="72" t="str">
        <f t="shared" si="90"/>
        <v/>
      </c>
      <c r="P93" s="41" t="str">
        <f t="shared" si="55"/>
        <v/>
      </c>
      <c r="Q93" s="39"/>
      <c r="R93" s="72" t="str">
        <f t="shared" si="71"/>
        <v/>
      </c>
      <c r="S93" s="39"/>
      <c r="T93" s="72" t="str">
        <f t="shared" si="72"/>
        <v/>
      </c>
      <c r="U93" s="39"/>
      <c r="V93" s="72" t="str">
        <f t="shared" si="56"/>
        <v/>
      </c>
      <c r="W93" s="72" t="str">
        <f t="shared" si="73"/>
        <v/>
      </c>
      <c r="X93" s="39"/>
      <c r="Y93" s="72" t="str">
        <f t="shared" si="57"/>
        <v/>
      </c>
      <c r="Z93" s="72" t="str">
        <f t="shared" si="74"/>
        <v/>
      </c>
      <c r="AA93" s="39"/>
      <c r="AB93" s="72" t="str">
        <f t="shared" si="58"/>
        <v/>
      </c>
      <c r="AC93" s="72" t="str">
        <f t="shared" si="75"/>
        <v/>
      </c>
      <c r="AD93" s="39"/>
      <c r="AE93" s="72" t="str">
        <f t="shared" si="59"/>
        <v/>
      </c>
      <c r="AF93" s="72" t="str">
        <f t="shared" si="76"/>
        <v/>
      </c>
      <c r="AG93" s="39"/>
      <c r="AH93" s="72" t="str">
        <f t="shared" si="60"/>
        <v/>
      </c>
      <c r="AI93" s="72" t="str">
        <f t="shared" si="77"/>
        <v/>
      </c>
      <c r="AJ93" s="39"/>
      <c r="AK93" s="72" t="str">
        <f t="shared" si="61"/>
        <v/>
      </c>
      <c r="AL93" s="72" t="str">
        <f t="shared" si="78"/>
        <v/>
      </c>
      <c r="AM93" s="39"/>
      <c r="AN93" s="72" t="str">
        <f t="shared" si="62"/>
        <v/>
      </c>
      <c r="AO93" s="72" t="str">
        <f t="shared" si="79"/>
        <v/>
      </c>
      <c r="AP93" s="39"/>
      <c r="AQ93" s="72" t="str">
        <f t="shared" si="63"/>
        <v/>
      </c>
      <c r="AR93" s="72" t="str">
        <f t="shared" si="80"/>
        <v/>
      </c>
      <c r="AS93" s="39"/>
      <c r="AT93" s="40" t="str">
        <f>IF($K93&lt;=$F$15,IF($F$41&lt;&gt;"",$F$41/1000,IF(ISERROR(VLOOKUP($F$3&amp;IF($G$4&lt;&gt;"",$G$4,"")&amp;IF($F$44&lt;&gt;"","_"&amp;$F$44,""),'表3）燃料価格'!$AF$9:$AG$25,2,0)),0,VLOOKUP($I93,'表3）燃料価格'!$A$6:$U$66,VLOOKUP($F$3&amp;IF($G$4&lt;&gt;"",$G$4,"")&amp;IF($F$44&lt;&gt;"","_"&amp;$F$44,""),'表3）燃料価格'!$AF$9:$AG$25,2,0)+VLOOKUP($F$42,'表3）燃料価格'!$AF$28:$AG$29,2,0),0)*IF($F$44="需要地価格",1,$F$8/$F$142))),"")</f>
        <v/>
      </c>
      <c r="AU93" s="39"/>
      <c r="AV93" s="72" t="str">
        <f t="shared" si="64"/>
        <v/>
      </c>
      <c r="AW93" s="72" t="str">
        <f t="shared" si="81"/>
        <v/>
      </c>
      <c r="AX93" s="39"/>
      <c r="AY93" s="40" t="str">
        <f>IF(ISERROR(IF($K93&lt;=$F$15,VLOOKUP($I93,'表4）CO2価格'!$A$7:$E$67,VLOOKUP($F$49,'表4）CO2価格'!$H$10:$I$12,2,0),0)*$F$8/1000,"")),0,IF($K93&lt;=$F$15,VLOOKUP($I93,'表4）CO2価格'!$A$7:$E$67,VLOOKUP($F$49,'表4）CO2価格'!$H$10:$I$12,2,0),0)*$F$8/1000,""))</f>
        <v/>
      </c>
      <c r="AZ93" s="39"/>
      <c r="BA93" s="42" t="str">
        <f t="shared" si="65"/>
        <v/>
      </c>
      <c r="BB93" s="72" t="str">
        <f t="shared" si="82"/>
        <v/>
      </c>
      <c r="BC93" s="39"/>
      <c r="BD93" s="72" t="str">
        <f t="shared" si="66"/>
        <v/>
      </c>
      <c r="BE93" s="72" t="str">
        <f t="shared" si="83"/>
        <v/>
      </c>
      <c r="BF93" s="39"/>
      <c r="BG93" s="42" t="str">
        <f t="shared" si="67"/>
        <v/>
      </c>
      <c r="BH93" s="72" t="str">
        <f t="shared" si="84"/>
        <v/>
      </c>
      <c r="BI93" s="39"/>
      <c r="BJ93" s="40" t="str">
        <f t="shared" si="68"/>
        <v/>
      </c>
      <c r="BK93" s="157" t="str">
        <f t="shared" si="69"/>
        <v/>
      </c>
      <c r="BL93" s="157" t="str">
        <f t="shared" si="70"/>
        <v/>
      </c>
      <c r="BM93" s="72"/>
      <c r="BN93" s="72" t="str">
        <f t="shared" si="85"/>
        <v/>
      </c>
      <c r="BO93" s="72" t="str">
        <f t="shared" si="86"/>
        <v/>
      </c>
      <c r="BP93" s="39"/>
      <c r="BQ93" s="72" t="str">
        <f t="shared" si="91"/>
        <v/>
      </c>
      <c r="BR93" s="72" t="str">
        <f t="shared" si="87"/>
        <v/>
      </c>
    </row>
    <row r="94" spans="4:70" ht="15" x14ac:dyDescent="0.15">
      <c r="D94" s="116"/>
      <c r="F94" s="93"/>
      <c r="I94" s="459">
        <f t="shared" si="88"/>
        <v>2109</v>
      </c>
      <c r="K94" s="9">
        <f t="shared" si="89"/>
        <v>80</v>
      </c>
      <c r="M94" s="7">
        <f t="shared" si="54"/>
        <v>9.3977096625217166E-2</v>
      </c>
      <c r="O94" s="10" t="str">
        <f t="shared" si="90"/>
        <v/>
      </c>
      <c r="P94" s="29" t="str">
        <f t="shared" si="55"/>
        <v/>
      </c>
      <c r="R94" s="10" t="str">
        <f t="shared" si="71"/>
        <v/>
      </c>
      <c r="T94" s="10" t="str">
        <f t="shared" si="72"/>
        <v/>
      </c>
      <c r="V94" s="10" t="str">
        <f t="shared" si="56"/>
        <v/>
      </c>
      <c r="W94" s="10" t="str">
        <f t="shared" si="73"/>
        <v/>
      </c>
      <c r="Y94" s="10" t="str">
        <f t="shared" si="57"/>
        <v/>
      </c>
      <c r="Z94" s="10" t="str">
        <f t="shared" si="74"/>
        <v/>
      </c>
      <c r="AB94" s="10" t="str">
        <f t="shared" si="58"/>
        <v/>
      </c>
      <c r="AC94" s="10" t="str">
        <f t="shared" si="75"/>
        <v/>
      </c>
      <c r="AE94" s="10" t="str">
        <f t="shared" si="59"/>
        <v/>
      </c>
      <c r="AF94" s="10" t="str">
        <f t="shared" si="76"/>
        <v/>
      </c>
      <c r="AH94" s="10" t="str">
        <f t="shared" si="60"/>
        <v/>
      </c>
      <c r="AI94" s="10" t="str">
        <f t="shared" si="77"/>
        <v/>
      </c>
      <c r="AK94" s="10" t="str">
        <f t="shared" si="61"/>
        <v/>
      </c>
      <c r="AL94" s="10" t="str">
        <f t="shared" si="78"/>
        <v/>
      </c>
      <c r="AN94" s="10" t="str">
        <f t="shared" si="62"/>
        <v/>
      </c>
      <c r="AO94" s="10" t="str">
        <f t="shared" si="79"/>
        <v/>
      </c>
      <c r="AQ94" s="10" t="str">
        <f t="shared" si="63"/>
        <v/>
      </c>
      <c r="AR94" s="10" t="str">
        <f t="shared" si="80"/>
        <v/>
      </c>
      <c r="AT94" s="7" t="str">
        <f>IF($K94&lt;=$F$15,IF($F$41&lt;&gt;"",$F$41/1000,IF(ISERROR(VLOOKUP($F$3&amp;IF($G$4&lt;&gt;"",$G$4,"")&amp;IF($F$44&lt;&gt;"","_"&amp;$F$44,""),'表3）燃料価格'!$AF$9:$AG$25,2,0)),0,VLOOKUP($I94,'表3）燃料価格'!$A$6:$U$66,VLOOKUP($F$3&amp;IF($G$4&lt;&gt;"",$G$4,"")&amp;IF($F$44&lt;&gt;"","_"&amp;$F$44,""),'表3）燃料価格'!$AF$9:$AG$25,2,0)+VLOOKUP($F$42,'表3）燃料価格'!$AF$28:$AG$29,2,0),0)*IF($F$44="需要地価格",1,$F$8/$F$142))),"")</f>
        <v/>
      </c>
      <c r="AV94" s="10" t="str">
        <f t="shared" si="64"/>
        <v/>
      </c>
      <c r="AW94" s="10" t="str">
        <f t="shared" si="81"/>
        <v/>
      </c>
      <c r="AY94" s="7" t="str">
        <f>IF(ISERROR(IF($K94&lt;=$F$15,VLOOKUP($I94,'表4）CO2価格'!$A$7:$E$67,VLOOKUP($F$49,'表4）CO2価格'!$H$10:$I$12,2,0),0)*$F$8/1000,"")),0,IF($K94&lt;=$F$15,VLOOKUP($I94,'表4）CO2価格'!$A$7:$E$67,VLOOKUP($F$49,'表4）CO2価格'!$H$10:$I$12,2,0),0)*$F$8/1000,""))</f>
        <v/>
      </c>
      <c r="BA94" s="11" t="str">
        <f t="shared" si="65"/>
        <v/>
      </c>
      <c r="BB94" s="10" t="str">
        <f t="shared" si="82"/>
        <v/>
      </c>
      <c r="BD94" s="10" t="str">
        <f t="shared" si="66"/>
        <v/>
      </c>
      <c r="BE94" s="10" t="str">
        <f t="shared" si="83"/>
        <v/>
      </c>
      <c r="BG94" s="11" t="str">
        <f t="shared" si="67"/>
        <v/>
      </c>
      <c r="BH94" s="10" t="str">
        <f t="shared" si="84"/>
        <v/>
      </c>
      <c r="BJ94" s="7" t="str">
        <f t="shared" si="68"/>
        <v/>
      </c>
      <c r="BK94" s="158" t="str">
        <f t="shared" si="69"/>
        <v/>
      </c>
      <c r="BL94" s="158" t="str">
        <f t="shared" si="70"/>
        <v/>
      </c>
      <c r="BM94" s="10"/>
      <c r="BN94" s="10" t="str">
        <f t="shared" si="85"/>
        <v/>
      </c>
      <c r="BO94" s="10" t="str">
        <f t="shared" si="86"/>
        <v/>
      </c>
      <c r="BQ94" s="10" t="str">
        <f t="shared" si="91"/>
        <v/>
      </c>
      <c r="BR94" s="10" t="str">
        <f t="shared" si="87"/>
        <v/>
      </c>
    </row>
    <row r="95" spans="4:70" x14ac:dyDescent="0.15">
      <c r="D95" s="101" t="s">
        <v>197</v>
      </c>
      <c r="E95" s="101"/>
      <c r="F95" s="92"/>
      <c r="G95" s="101"/>
      <c r="I95" s="458">
        <f t="shared" si="88"/>
        <v>2110</v>
      </c>
      <c r="J95" s="470"/>
      <c r="K95" s="470">
        <f t="shared" si="89"/>
        <v>81</v>
      </c>
      <c r="L95" s="470"/>
      <c r="M95" s="40">
        <f t="shared" si="54"/>
        <v>9.1239899636133173E-2</v>
      </c>
      <c r="N95" s="39"/>
      <c r="O95" s="72" t="str">
        <f t="shared" si="90"/>
        <v/>
      </c>
      <c r="P95" s="41" t="str">
        <f t="shared" si="55"/>
        <v/>
      </c>
      <c r="Q95" s="39"/>
      <c r="R95" s="72" t="str">
        <f t="shared" si="71"/>
        <v/>
      </c>
      <c r="S95" s="39"/>
      <c r="T95" s="72" t="str">
        <f t="shared" si="72"/>
        <v/>
      </c>
      <c r="U95" s="39"/>
      <c r="V95" s="72" t="str">
        <f t="shared" si="56"/>
        <v/>
      </c>
      <c r="W95" s="72" t="str">
        <f t="shared" si="73"/>
        <v/>
      </c>
      <c r="X95" s="39"/>
      <c r="Y95" s="72" t="str">
        <f t="shared" si="57"/>
        <v/>
      </c>
      <c r="Z95" s="72" t="str">
        <f t="shared" si="74"/>
        <v/>
      </c>
      <c r="AA95" s="39"/>
      <c r="AB95" s="72" t="str">
        <f t="shared" si="58"/>
        <v/>
      </c>
      <c r="AC95" s="72" t="str">
        <f t="shared" si="75"/>
        <v/>
      </c>
      <c r="AD95" s="39"/>
      <c r="AE95" s="72" t="str">
        <f t="shared" si="59"/>
        <v/>
      </c>
      <c r="AF95" s="72" t="str">
        <f t="shared" si="76"/>
        <v/>
      </c>
      <c r="AG95" s="39"/>
      <c r="AH95" s="72" t="str">
        <f t="shared" si="60"/>
        <v/>
      </c>
      <c r="AI95" s="72" t="str">
        <f t="shared" si="77"/>
        <v/>
      </c>
      <c r="AJ95" s="39"/>
      <c r="AK95" s="72" t="str">
        <f t="shared" si="61"/>
        <v/>
      </c>
      <c r="AL95" s="72" t="str">
        <f t="shared" si="78"/>
        <v/>
      </c>
      <c r="AM95" s="39"/>
      <c r="AN95" s="72" t="str">
        <f t="shared" si="62"/>
        <v/>
      </c>
      <c r="AO95" s="72" t="str">
        <f t="shared" si="79"/>
        <v/>
      </c>
      <c r="AP95" s="39"/>
      <c r="AQ95" s="72" t="str">
        <f t="shared" si="63"/>
        <v/>
      </c>
      <c r="AR95" s="72" t="str">
        <f t="shared" si="80"/>
        <v/>
      </c>
      <c r="AS95" s="39"/>
      <c r="AT95" s="40" t="str">
        <f>IF($K95&lt;=$F$15,IF($F$41&lt;&gt;"",$F$41/1000,IF(ISERROR(VLOOKUP($F$3&amp;IF($G$4&lt;&gt;"",$G$4,"")&amp;IF($F$44&lt;&gt;"","_"&amp;$F$44,""),'表3）燃料価格'!$AF$9:$AG$25,2,0)),0,VLOOKUP($I95,'表3）燃料価格'!$A$6:$U$66,VLOOKUP($F$3&amp;IF($G$4&lt;&gt;"",$G$4,"")&amp;IF($F$44&lt;&gt;"","_"&amp;$F$44,""),'表3）燃料価格'!$AF$9:$AG$25,2,0)+VLOOKUP($F$42,'表3）燃料価格'!$AF$28:$AG$29,2,0),0)*IF($F$44="需要地価格",1,$F$8/$F$142))),"")</f>
        <v/>
      </c>
      <c r="AU95" s="39"/>
      <c r="AV95" s="72" t="str">
        <f t="shared" si="64"/>
        <v/>
      </c>
      <c r="AW95" s="72" t="str">
        <f t="shared" si="81"/>
        <v/>
      </c>
      <c r="AX95" s="39"/>
      <c r="AY95" s="40" t="str">
        <f>IF(ISERROR(IF($K95&lt;=$F$15,VLOOKUP($I95,'表4）CO2価格'!$A$7:$E$67,VLOOKUP($F$49,'表4）CO2価格'!$H$10:$I$12,2,0),0)*$F$8/1000,"")),0,IF($K95&lt;=$F$15,VLOOKUP($I95,'表4）CO2価格'!$A$7:$E$67,VLOOKUP($F$49,'表4）CO2価格'!$H$10:$I$12,2,0),0)*$F$8/1000,""))</f>
        <v/>
      </c>
      <c r="AZ95" s="39"/>
      <c r="BA95" s="42" t="str">
        <f t="shared" si="65"/>
        <v/>
      </c>
      <c r="BB95" s="72" t="str">
        <f t="shared" si="82"/>
        <v/>
      </c>
      <c r="BC95" s="39"/>
      <c r="BD95" s="72" t="str">
        <f t="shared" si="66"/>
        <v/>
      </c>
      <c r="BE95" s="72" t="str">
        <f t="shared" si="83"/>
        <v/>
      </c>
      <c r="BF95" s="39"/>
      <c r="BG95" s="42" t="str">
        <f t="shared" si="67"/>
        <v/>
      </c>
      <c r="BH95" s="72" t="str">
        <f t="shared" si="84"/>
        <v/>
      </c>
      <c r="BI95" s="39"/>
      <c r="BJ95" s="40" t="str">
        <f t="shared" si="68"/>
        <v/>
      </c>
      <c r="BK95" s="157" t="str">
        <f t="shared" si="69"/>
        <v/>
      </c>
      <c r="BL95" s="157" t="str">
        <f t="shared" si="70"/>
        <v/>
      </c>
      <c r="BM95" s="72"/>
      <c r="BN95" s="72" t="str">
        <f t="shared" si="85"/>
        <v/>
      </c>
      <c r="BO95" s="72" t="str">
        <f t="shared" si="86"/>
        <v/>
      </c>
      <c r="BP95" s="39"/>
      <c r="BQ95" s="72" t="str">
        <f t="shared" si="91"/>
        <v/>
      </c>
      <c r="BR95" s="72" t="str">
        <f t="shared" si="87"/>
        <v/>
      </c>
    </row>
    <row r="96" spans="4:70" ht="15" x14ac:dyDescent="0.15">
      <c r="D96" s="116"/>
      <c r="F96" s="93"/>
      <c r="I96" s="459">
        <f t="shared" si="88"/>
        <v>2111</v>
      </c>
      <c r="K96" s="9">
        <f t="shared" si="89"/>
        <v>82</v>
      </c>
      <c r="M96" s="7">
        <f t="shared" si="54"/>
        <v>8.8582426831197242E-2</v>
      </c>
      <c r="O96" s="10" t="str">
        <f t="shared" si="90"/>
        <v/>
      </c>
      <c r="P96" s="29" t="str">
        <f t="shared" si="55"/>
        <v/>
      </c>
      <c r="R96" s="10" t="str">
        <f t="shared" si="71"/>
        <v/>
      </c>
      <c r="T96" s="10" t="str">
        <f t="shared" si="72"/>
        <v/>
      </c>
      <c r="V96" s="10" t="str">
        <f t="shared" si="56"/>
        <v/>
      </c>
      <c r="W96" s="10" t="str">
        <f t="shared" si="73"/>
        <v/>
      </c>
      <c r="Y96" s="10" t="str">
        <f t="shared" si="57"/>
        <v/>
      </c>
      <c r="Z96" s="10" t="str">
        <f t="shared" si="74"/>
        <v/>
      </c>
      <c r="AB96" s="10" t="str">
        <f t="shared" si="58"/>
        <v/>
      </c>
      <c r="AC96" s="10" t="str">
        <f t="shared" si="75"/>
        <v/>
      </c>
      <c r="AE96" s="10" t="str">
        <f t="shared" si="59"/>
        <v/>
      </c>
      <c r="AF96" s="10" t="str">
        <f t="shared" si="76"/>
        <v/>
      </c>
      <c r="AH96" s="10" t="str">
        <f t="shared" si="60"/>
        <v/>
      </c>
      <c r="AI96" s="10" t="str">
        <f t="shared" si="77"/>
        <v/>
      </c>
      <c r="AK96" s="10" t="str">
        <f t="shared" si="61"/>
        <v/>
      </c>
      <c r="AL96" s="10" t="str">
        <f t="shared" si="78"/>
        <v/>
      </c>
      <c r="AN96" s="10" t="str">
        <f t="shared" si="62"/>
        <v/>
      </c>
      <c r="AO96" s="10" t="str">
        <f t="shared" si="79"/>
        <v/>
      </c>
      <c r="AQ96" s="10" t="str">
        <f t="shared" si="63"/>
        <v/>
      </c>
      <c r="AR96" s="10" t="str">
        <f t="shared" si="80"/>
        <v/>
      </c>
      <c r="AT96" s="7" t="str">
        <f>IF($K96&lt;=$F$15,IF($F$41&lt;&gt;"",$F$41/1000,IF(ISERROR(VLOOKUP($F$3&amp;IF($G$4&lt;&gt;"",$G$4,"")&amp;IF($F$44&lt;&gt;"","_"&amp;$F$44,""),'表3）燃料価格'!$AF$9:$AG$25,2,0)),0,VLOOKUP($I96,'表3）燃料価格'!$A$6:$U$66,VLOOKUP($F$3&amp;IF($G$4&lt;&gt;"",$G$4,"")&amp;IF($F$44&lt;&gt;"","_"&amp;$F$44,""),'表3）燃料価格'!$AF$9:$AG$25,2,0)+VLOOKUP($F$42,'表3）燃料価格'!$AF$28:$AG$29,2,0),0)*IF($F$44="需要地価格",1,$F$8/$F$142))),"")</f>
        <v/>
      </c>
      <c r="AV96" s="10" t="str">
        <f t="shared" si="64"/>
        <v/>
      </c>
      <c r="AW96" s="10" t="str">
        <f t="shared" si="81"/>
        <v/>
      </c>
      <c r="AY96" s="7" t="str">
        <f>IF(ISERROR(IF($K96&lt;=$F$15,VLOOKUP($I96,'表4）CO2価格'!$A$7:$E$67,VLOOKUP($F$49,'表4）CO2価格'!$H$10:$I$12,2,0),0)*$F$8/1000,"")),0,IF($K96&lt;=$F$15,VLOOKUP($I96,'表4）CO2価格'!$A$7:$E$67,VLOOKUP($F$49,'表4）CO2価格'!$H$10:$I$12,2,0),0)*$F$8/1000,""))</f>
        <v/>
      </c>
      <c r="BA96" s="11" t="str">
        <f t="shared" si="65"/>
        <v/>
      </c>
      <c r="BB96" s="10" t="str">
        <f t="shared" si="82"/>
        <v/>
      </c>
      <c r="BD96" s="10" t="str">
        <f t="shared" si="66"/>
        <v/>
      </c>
      <c r="BE96" s="10" t="str">
        <f t="shared" si="83"/>
        <v/>
      </c>
      <c r="BG96" s="11" t="str">
        <f t="shared" si="67"/>
        <v/>
      </c>
      <c r="BH96" s="10" t="str">
        <f t="shared" si="84"/>
        <v/>
      </c>
      <c r="BJ96" s="7" t="str">
        <f t="shared" si="68"/>
        <v/>
      </c>
      <c r="BK96" s="158" t="str">
        <f t="shared" si="69"/>
        <v/>
      </c>
      <c r="BL96" s="158" t="str">
        <f t="shared" si="70"/>
        <v/>
      </c>
      <c r="BM96" s="10"/>
      <c r="BN96" s="10" t="str">
        <f t="shared" si="85"/>
        <v/>
      </c>
      <c r="BO96" s="10" t="str">
        <f t="shared" si="86"/>
        <v/>
      </c>
      <c r="BQ96" s="10" t="str">
        <f t="shared" si="91"/>
        <v/>
      </c>
      <c r="BR96" s="10" t="str">
        <f t="shared" si="87"/>
        <v/>
      </c>
    </row>
    <row r="97" spans="4:70" ht="15" x14ac:dyDescent="0.15">
      <c r="D97" s="116"/>
      <c r="E97" s="81" t="s">
        <v>198</v>
      </c>
      <c r="F97" s="91">
        <f>IF(F3&lt;&gt;"原子力",AW116/$BR$116,0)</f>
        <v>0</v>
      </c>
      <c r="G97" s="81" t="s">
        <v>132</v>
      </c>
      <c r="I97" s="458">
        <f t="shared" si="88"/>
        <v>2112</v>
      </c>
      <c r="J97" s="470"/>
      <c r="K97" s="470">
        <f t="shared" si="89"/>
        <v>83</v>
      </c>
      <c r="L97" s="470"/>
      <c r="M97" s="40">
        <f t="shared" si="54"/>
        <v>8.6002356146793454E-2</v>
      </c>
      <c r="N97" s="39"/>
      <c r="O97" s="72" t="str">
        <f t="shared" si="90"/>
        <v/>
      </c>
      <c r="P97" s="41" t="str">
        <f t="shared" si="55"/>
        <v/>
      </c>
      <c r="Q97" s="39"/>
      <c r="R97" s="72" t="str">
        <f t="shared" si="71"/>
        <v/>
      </c>
      <c r="S97" s="39"/>
      <c r="T97" s="72" t="str">
        <f t="shared" si="72"/>
        <v/>
      </c>
      <c r="U97" s="39"/>
      <c r="V97" s="72" t="str">
        <f t="shared" si="56"/>
        <v/>
      </c>
      <c r="W97" s="72" t="str">
        <f t="shared" si="73"/>
        <v/>
      </c>
      <c r="X97" s="39"/>
      <c r="Y97" s="72" t="str">
        <f t="shared" si="57"/>
        <v/>
      </c>
      <c r="Z97" s="72" t="str">
        <f t="shared" si="74"/>
        <v/>
      </c>
      <c r="AA97" s="39"/>
      <c r="AB97" s="72" t="str">
        <f t="shared" si="58"/>
        <v/>
      </c>
      <c r="AC97" s="72" t="str">
        <f t="shared" si="75"/>
        <v/>
      </c>
      <c r="AD97" s="39"/>
      <c r="AE97" s="72" t="str">
        <f t="shared" si="59"/>
        <v/>
      </c>
      <c r="AF97" s="72" t="str">
        <f t="shared" si="76"/>
        <v/>
      </c>
      <c r="AG97" s="39"/>
      <c r="AH97" s="72" t="str">
        <f t="shared" si="60"/>
        <v/>
      </c>
      <c r="AI97" s="72" t="str">
        <f t="shared" si="77"/>
        <v/>
      </c>
      <c r="AJ97" s="39"/>
      <c r="AK97" s="72" t="str">
        <f t="shared" si="61"/>
        <v/>
      </c>
      <c r="AL97" s="72" t="str">
        <f t="shared" si="78"/>
        <v/>
      </c>
      <c r="AM97" s="39"/>
      <c r="AN97" s="72" t="str">
        <f t="shared" si="62"/>
        <v/>
      </c>
      <c r="AO97" s="72" t="str">
        <f t="shared" si="79"/>
        <v/>
      </c>
      <c r="AP97" s="39"/>
      <c r="AQ97" s="72" t="str">
        <f t="shared" si="63"/>
        <v/>
      </c>
      <c r="AR97" s="72" t="str">
        <f t="shared" si="80"/>
        <v/>
      </c>
      <c r="AS97" s="39"/>
      <c r="AT97" s="40" t="str">
        <f>IF($K97&lt;=$F$15,IF($F$41&lt;&gt;"",$F$41/1000,IF(ISERROR(VLOOKUP($F$3&amp;IF($G$4&lt;&gt;"",$G$4,"")&amp;IF($F$44&lt;&gt;"","_"&amp;$F$44,""),'表3）燃料価格'!$AF$9:$AG$25,2,0)),0,VLOOKUP($I97,'表3）燃料価格'!$A$6:$U$66,VLOOKUP($F$3&amp;IF($G$4&lt;&gt;"",$G$4,"")&amp;IF($F$44&lt;&gt;"","_"&amp;$F$44,""),'表3）燃料価格'!$AF$9:$AG$25,2,0)+VLOOKUP($F$42,'表3）燃料価格'!$AF$28:$AG$29,2,0),0)*IF($F$44="需要地価格",1,$F$8/$F$142))),"")</f>
        <v/>
      </c>
      <c r="AU97" s="39"/>
      <c r="AV97" s="72" t="str">
        <f t="shared" si="64"/>
        <v/>
      </c>
      <c r="AW97" s="72" t="str">
        <f t="shared" si="81"/>
        <v/>
      </c>
      <c r="AX97" s="39"/>
      <c r="AY97" s="40" t="str">
        <f>IF(ISERROR(IF($K97&lt;=$F$15,VLOOKUP($I97,'表4）CO2価格'!$A$7:$E$67,VLOOKUP($F$49,'表4）CO2価格'!$H$10:$I$12,2,0),0)*$F$8/1000,"")),0,IF($K97&lt;=$F$15,VLOOKUP($I97,'表4）CO2価格'!$A$7:$E$67,VLOOKUP($F$49,'表4）CO2価格'!$H$10:$I$12,2,0),0)*$F$8/1000,""))</f>
        <v/>
      </c>
      <c r="AZ97" s="39"/>
      <c r="BA97" s="42" t="str">
        <f t="shared" si="65"/>
        <v/>
      </c>
      <c r="BB97" s="72" t="str">
        <f t="shared" si="82"/>
        <v/>
      </c>
      <c r="BC97" s="39"/>
      <c r="BD97" s="72" t="str">
        <f t="shared" si="66"/>
        <v/>
      </c>
      <c r="BE97" s="72" t="str">
        <f t="shared" si="83"/>
        <v/>
      </c>
      <c r="BF97" s="39"/>
      <c r="BG97" s="42" t="str">
        <f t="shared" si="67"/>
        <v/>
      </c>
      <c r="BH97" s="72" t="str">
        <f t="shared" si="84"/>
        <v/>
      </c>
      <c r="BI97" s="39"/>
      <c r="BJ97" s="40" t="str">
        <f t="shared" si="68"/>
        <v/>
      </c>
      <c r="BK97" s="157" t="str">
        <f t="shared" si="69"/>
        <v/>
      </c>
      <c r="BL97" s="157" t="str">
        <f t="shared" si="70"/>
        <v/>
      </c>
      <c r="BM97" s="72"/>
      <c r="BN97" s="72" t="str">
        <f t="shared" si="85"/>
        <v/>
      </c>
      <c r="BO97" s="72" t="str">
        <f t="shared" si="86"/>
        <v/>
      </c>
      <c r="BP97" s="39"/>
      <c r="BQ97" s="72" t="str">
        <f t="shared" si="91"/>
        <v/>
      </c>
      <c r="BR97" s="72" t="str">
        <f t="shared" si="87"/>
        <v/>
      </c>
    </row>
    <row r="98" spans="4:70" ht="15" x14ac:dyDescent="0.15">
      <c r="D98" s="116"/>
      <c r="E98" s="81" t="s">
        <v>199</v>
      </c>
      <c r="F98" s="91">
        <f>IF(F3="原子力",#REF!,0)</f>
        <v>0</v>
      </c>
      <c r="G98" s="81" t="s">
        <v>132</v>
      </c>
      <c r="I98" s="459">
        <f t="shared" si="88"/>
        <v>2113</v>
      </c>
      <c r="K98" s="9">
        <f t="shared" si="89"/>
        <v>84</v>
      </c>
      <c r="M98" s="7">
        <f t="shared" si="54"/>
        <v>8.3497433152226644E-2</v>
      </c>
      <c r="O98" s="10" t="str">
        <f t="shared" si="90"/>
        <v/>
      </c>
      <c r="P98" s="29" t="str">
        <f t="shared" si="55"/>
        <v/>
      </c>
      <c r="R98" s="10" t="str">
        <f t="shared" si="71"/>
        <v/>
      </c>
      <c r="T98" s="10" t="str">
        <f t="shared" si="72"/>
        <v/>
      </c>
      <c r="V98" s="10" t="str">
        <f t="shared" si="56"/>
        <v/>
      </c>
      <c r="W98" s="10" t="str">
        <f t="shared" si="73"/>
        <v/>
      </c>
      <c r="Y98" s="10" t="str">
        <f t="shared" si="57"/>
        <v/>
      </c>
      <c r="Z98" s="10" t="str">
        <f t="shared" si="74"/>
        <v/>
      </c>
      <c r="AB98" s="10" t="str">
        <f t="shared" si="58"/>
        <v/>
      </c>
      <c r="AC98" s="10" t="str">
        <f t="shared" si="75"/>
        <v/>
      </c>
      <c r="AE98" s="10" t="str">
        <f t="shared" si="59"/>
        <v/>
      </c>
      <c r="AF98" s="10" t="str">
        <f t="shared" si="76"/>
        <v/>
      </c>
      <c r="AH98" s="10" t="str">
        <f t="shared" si="60"/>
        <v/>
      </c>
      <c r="AI98" s="10" t="str">
        <f t="shared" si="77"/>
        <v/>
      </c>
      <c r="AK98" s="10" t="str">
        <f t="shared" si="61"/>
        <v/>
      </c>
      <c r="AL98" s="10" t="str">
        <f t="shared" si="78"/>
        <v/>
      </c>
      <c r="AN98" s="10" t="str">
        <f t="shared" si="62"/>
        <v/>
      </c>
      <c r="AO98" s="10" t="str">
        <f t="shared" si="79"/>
        <v/>
      </c>
      <c r="AQ98" s="10" t="str">
        <f t="shared" si="63"/>
        <v/>
      </c>
      <c r="AR98" s="10" t="str">
        <f t="shared" si="80"/>
        <v/>
      </c>
      <c r="AT98" s="7" t="str">
        <f>IF($K98&lt;=$F$15,IF($F$41&lt;&gt;"",$F$41/1000,IF(ISERROR(VLOOKUP($F$3&amp;IF($G$4&lt;&gt;"",$G$4,"")&amp;IF($F$44&lt;&gt;"","_"&amp;$F$44,""),'表3）燃料価格'!$AF$9:$AG$25,2,0)),0,VLOOKUP($I98,'表3）燃料価格'!$A$6:$U$66,VLOOKUP($F$3&amp;IF($G$4&lt;&gt;"",$G$4,"")&amp;IF($F$44&lt;&gt;"","_"&amp;$F$44,""),'表3）燃料価格'!$AF$9:$AG$25,2,0)+VLOOKUP($F$42,'表3）燃料価格'!$AF$28:$AG$29,2,0),0)*IF($F$44="需要地価格",1,$F$8/$F$142))),"")</f>
        <v/>
      </c>
      <c r="AV98" s="10" t="str">
        <f t="shared" si="64"/>
        <v/>
      </c>
      <c r="AW98" s="10" t="str">
        <f t="shared" si="81"/>
        <v/>
      </c>
      <c r="AY98" s="7" t="str">
        <f>IF(ISERROR(IF($K98&lt;=$F$15,VLOOKUP($I98,'表4）CO2価格'!$A$7:$E$67,VLOOKUP($F$49,'表4）CO2価格'!$H$10:$I$12,2,0),0)*$F$8/1000,"")),0,IF($K98&lt;=$F$15,VLOOKUP($I98,'表4）CO2価格'!$A$7:$E$67,VLOOKUP($F$49,'表4）CO2価格'!$H$10:$I$12,2,0),0)*$F$8/1000,""))</f>
        <v/>
      </c>
      <c r="BA98" s="11" t="str">
        <f t="shared" si="65"/>
        <v/>
      </c>
      <c r="BB98" s="10" t="str">
        <f t="shared" si="82"/>
        <v/>
      </c>
      <c r="BD98" s="10" t="str">
        <f t="shared" si="66"/>
        <v/>
      </c>
      <c r="BE98" s="10" t="str">
        <f t="shared" si="83"/>
        <v/>
      </c>
      <c r="BG98" s="11" t="str">
        <f t="shared" si="67"/>
        <v/>
      </c>
      <c r="BH98" s="10" t="str">
        <f t="shared" si="84"/>
        <v/>
      </c>
      <c r="BJ98" s="7" t="str">
        <f t="shared" si="68"/>
        <v/>
      </c>
      <c r="BK98" s="158" t="str">
        <f t="shared" si="69"/>
        <v/>
      </c>
      <c r="BL98" s="158" t="str">
        <f t="shared" si="70"/>
        <v/>
      </c>
      <c r="BM98" s="10"/>
      <c r="BN98" s="10" t="str">
        <f t="shared" si="85"/>
        <v/>
      </c>
      <c r="BO98" s="10" t="str">
        <f t="shared" si="86"/>
        <v/>
      </c>
      <c r="BQ98" s="10" t="str">
        <f t="shared" si="91"/>
        <v/>
      </c>
      <c r="BR98" s="10" t="str">
        <f t="shared" si="87"/>
        <v/>
      </c>
    </row>
    <row r="99" spans="4:70" x14ac:dyDescent="0.15">
      <c r="F99" s="93"/>
      <c r="I99" s="458">
        <f t="shared" si="88"/>
        <v>2114</v>
      </c>
      <c r="J99" s="470"/>
      <c r="K99" s="470">
        <f t="shared" si="89"/>
        <v>85</v>
      </c>
      <c r="L99" s="470"/>
      <c r="M99" s="40">
        <f t="shared" si="54"/>
        <v>8.1065469079831712E-2</v>
      </c>
      <c r="N99" s="39"/>
      <c r="O99" s="72" t="str">
        <f t="shared" si="90"/>
        <v/>
      </c>
      <c r="P99" s="41" t="str">
        <f t="shared" si="55"/>
        <v/>
      </c>
      <c r="Q99" s="39"/>
      <c r="R99" s="72" t="str">
        <f t="shared" si="71"/>
        <v/>
      </c>
      <c r="S99" s="39"/>
      <c r="T99" s="72" t="str">
        <f t="shared" si="72"/>
        <v/>
      </c>
      <c r="U99" s="39"/>
      <c r="V99" s="72" t="str">
        <f t="shared" si="56"/>
        <v/>
      </c>
      <c r="W99" s="72" t="str">
        <f t="shared" si="73"/>
        <v/>
      </c>
      <c r="X99" s="39"/>
      <c r="Y99" s="72" t="str">
        <f t="shared" si="57"/>
        <v/>
      </c>
      <c r="Z99" s="72" t="str">
        <f t="shared" si="74"/>
        <v/>
      </c>
      <c r="AA99" s="39"/>
      <c r="AB99" s="72" t="str">
        <f t="shared" si="58"/>
        <v/>
      </c>
      <c r="AC99" s="72" t="str">
        <f t="shared" si="75"/>
        <v/>
      </c>
      <c r="AD99" s="39"/>
      <c r="AE99" s="72" t="str">
        <f t="shared" si="59"/>
        <v/>
      </c>
      <c r="AF99" s="72" t="str">
        <f t="shared" si="76"/>
        <v/>
      </c>
      <c r="AG99" s="39"/>
      <c r="AH99" s="72" t="str">
        <f t="shared" si="60"/>
        <v/>
      </c>
      <c r="AI99" s="72" t="str">
        <f t="shared" si="77"/>
        <v/>
      </c>
      <c r="AJ99" s="39"/>
      <c r="AK99" s="72" t="str">
        <f t="shared" si="61"/>
        <v/>
      </c>
      <c r="AL99" s="72" t="str">
        <f t="shared" si="78"/>
        <v/>
      </c>
      <c r="AM99" s="39"/>
      <c r="AN99" s="72" t="str">
        <f t="shared" si="62"/>
        <v/>
      </c>
      <c r="AO99" s="72" t="str">
        <f t="shared" si="79"/>
        <v/>
      </c>
      <c r="AP99" s="39"/>
      <c r="AQ99" s="72" t="str">
        <f t="shared" si="63"/>
        <v/>
      </c>
      <c r="AR99" s="72" t="str">
        <f t="shared" si="80"/>
        <v/>
      </c>
      <c r="AS99" s="39"/>
      <c r="AT99" s="40" t="str">
        <f>IF($K99&lt;=$F$15,IF($F$41&lt;&gt;"",$F$41/1000,IF(ISERROR(VLOOKUP($F$3&amp;IF($G$4&lt;&gt;"",$G$4,"")&amp;IF($F$44&lt;&gt;"","_"&amp;$F$44,""),'表3）燃料価格'!$AF$9:$AG$25,2,0)),0,VLOOKUP($I99,'表3）燃料価格'!$A$6:$U$66,VLOOKUP($F$3&amp;IF($G$4&lt;&gt;"",$G$4,"")&amp;IF($F$44&lt;&gt;"","_"&amp;$F$44,""),'表3）燃料価格'!$AF$9:$AG$25,2,0)+VLOOKUP($F$42,'表3）燃料価格'!$AF$28:$AG$29,2,0),0)*IF($F$44="需要地価格",1,$F$8/$F$142))),"")</f>
        <v/>
      </c>
      <c r="AU99" s="39"/>
      <c r="AV99" s="72" t="str">
        <f t="shared" si="64"/>
        <v/>
      </c>
      <c r="AW99" s="72" t="str">
        <f t="shared" si="81"/>
        <v/>
      </c>
      <c r="AX99" s="39"/>
      <c r="AY99" s="40" t="str">
        <f>IF(ISERROR(IF($K99&lt;=$F$15,VLOOKUP($I99,'表4）CO2価格'!$A$7:$E$67,VLOOKUP($F$49,'表4）CO2価格'!$H$10:$I$12,2,0),0)*$F$8/1000,"")),0,IF($K99&lt;=$F$15,VLOOKUP($I99,'表4）CO2価格'!$A$7:$E$67,VLOOKUP($F$49,'表4）CO2価格'!$H$10:$I$12,2,0),0)*$F$8/1000,""))</f>
        <v/>
      </c>
      <c r="AZ99" s="39"/>
      <c r="BA99" s="42" t="str">
        <f t="shared" si="65"/>
        <v/>
      </c>
      <c r="BB99" s="72" t="str">
        <f t="shared" si="82"/>
        <v/>
      </c>
      <c r="BC99" s="39"/>
      <c r="BD99" s="72" t="str">
        <f t="shared" si="66"/>
        <v/>
      </c>
      <c r="BE99" s="72" t="str">
        <f t="shared" si="83"/>
        <v/>
      </c>
      <c r="BF99" s="39"/>
      <c r="BG99" s="42" t="str">
        <f t="shared" si="67"/>
        <v/>
      </c>
      <c r="BH99" s="72" t="str">
        <f t="shared" si="84"/>
        <v/>
      </c>
      <c r="BI99" s="39"/>
      <c r="BJ99" s="40" t="str">
        <f t="shared" si="68"/>
        <v/>
      </c>
      <c r="BK99" s="157" t="str">
        <f t="shared" si="69"/>
        <v/>
      </c>
      <c r="BL99" s="157" t="str">
        <f t="shared" si="70"/>
        <v/>
      </c>
      <c r="BM99" s="72"/>
      <c r="BN99" s="72" t="str">
        <f t="shared" si="85"/>
        <v/>
      </c>
      <c r="BO99" s="72" t="str">
        <f t="shared" si="86"/>
        <v/>
      </c>
      <c r="BP99" s="39"/>
      <c r="BQ99" s="72" t="str">
        <f t="shared" si="91"/>
        <v/>
      </c>
      <c r="BR99" s="72" t="str">
        <f t="shared" si="87"/>
        <v/>
      </c>
    </row>
    <row r="100" spans="4:70" ht="15" x14ac:dyDescent="0.15">
      <c r="D100" s="116" t="s">
        <v>200</v>
      </c>
      <c r="F100" s="94">
        <f>SUBTOTAL(9,F104:F106)</f>
        <v>0.06</v>
      </c>
      <c r="G100" s="81" t="s">
        <v>132</v>
      </c>
      <c r="I100" s="459">
        <f t="shared" si="88"/>
        <v>2115</v>
      </c>
      <c r="K100" s="9">
        <f t="shared" si="89"/>
        <v>86</v>
      </c>
      <c r="M100" s="7">
        <f t="shared" si="54"/>
        <v>7.8704338912457969E-2</v>
      </c>
      <c r="O100" s="10" t="str">
        <f t="shared" si="90"/>
        <v/>
      </c>
      <c r="P100" s="29" t="str">
        <f t="shared" si="55"/>
        <v/>
      </c>
      <c r="R100" s="10" t="str">
        <f t="shared" si="71"/>
        <v/>
      </c>
      <c r="T100" s="10" t="str">
        <f t="shared" si="72"/>
        <v/>
      </c>
      <c r="V100" s="10" t="str">
        <f t="shared" si="56"/>
        <v/>
      </c>
      <c r="W100" s="10" t="str">
        <f t="shared" si="73"/>
        <v/>
      </c>
      <c r="Y100" s="10" t="str">
        <f t="shared" si="57"/>
        <v/>
      </c>
      <c r="Z100" s="10" t="str">
        <f t="shared" si="74"/>
        <v/>
      </c>
      <c r="AB100" s="10" t="str">
        <f t="shared" si="58"/>
        <v/>
      </c>
      <c r="AC100" s="10" t="str">
        <f t="shared" si="75"/>
        <v/>
      </c>
      <c r="AE100" s="10" t="str">
        <f t="shared" si="59"/>
        <v/>
      </c>
      <c r="AF100" s="10" t="str">
        <f t="shared" si="76"/>
        <v/>
      </c>
      <c r="AH100" s="10" t="str">
        <f t="shared" si="60"/>
        <v/>
      </c>
      <c r="AI100" s="10" t="str">
        <f t="shared" si="77"/>
        <v/>
      </c>
      <c r="AK100" s="10" t="str">
        <f t="shared" si="61"/>
        <v/>
      </c>
      <c r="AL100" s="10" t="str">
        <f t="shared" si="78"/>
        <v/>
      </c>
      <c r="AN100" s="10" t="str">
        <f t="shared" si="62"/>
        <v/>
      </c>
      <c r="AO100" s="10" t="str">
        <f t="shared" si="79"/>
        <v/>
      </c>
      <c r="AQ100" s="10" t="str">
        <f t="shared" si="63"/>
        <v/>
      </c>
      <c r="AR100" s="10" t="str">
        <f t="shared" si="80"/>
        <v/>
      </c>
      <c r="AT100" s="7" t="str">
        <f>IF($K100&lt;=$F$15,IF($F$41&lt;&gt;"",$F$41/1000,IF(ISERROR(VLOOKUP($F$3&amp;IF($G$4&lt;&gt;"",$G$4,"")&amp;IF($F$44&lt;&gt;"","_"&amp;$F$44,""),'表3）燃料価格'!$AF$9:$AG$25,2,0)),0,VLOOKUP($I100,'表3）燃料価格'!$A$6:$U$66,VLOOKUP($F$3&amp;IF($G$4&lt;&gt;"",$G$4,"")&amp;IF($F$44&lt;&gt;"","_"&amp;$F$44,""),'表3）燃料価格'!$AF$9:$AG$25,2,0)+VLOOKUP($F$42,'表3）燃料価格'!$AF$28:$AG$29,2,0),0)*IF($F$44="需要地価格",1,$F$8/$F$142))),"")</f>
        <v/>
      </c>
      <c r="AV100" s="10" t="str">
        <f t="shared" si="64"/>
        <v/>
      </c>
      <c r="AW100" s="10" t="str">
        <f t="shared" si="81"/>
        <v/>
      </c>
      <c r="AY100" s="7" t="str">
        <f>IF(ISERROR(IF($K100&lt;=$F$15,VLOOKUP($I100,'表4）CO2価格'!$A$7:$E$67,VLOOKUP($F$49,'表4）CO2価格'!$H$10:$I$12,2,0),0)*$F$8/1000,"")),0,IF($K100&lt;=$F$15,VLOOKUP($I100,'表4）CO2価格'!$A$7:$E$67,VLOOKUP($F$49,'表4）CO2価格'!$H$10:$I$12,2,0),0)*$F$8/1000,""))</f>
        <v/>
      </c>
      <c r="BA100" s="11" t="str">
        <f t="shared" si="65"/>
        <v/>
      </c>
      <c r="BB100" s="10" t="str">
        <f t="shared" si="82"/>
        <v/>
      </c>
      <c r="BD100" s="10" t="str">
        <f t="shared" si="66"/>
        <v/>
      </c>
      <c r="BE100" s="10" t="str">
        <f t="shared" si="83"/>
        <v/>
      </c>
      <c r="BG100" s="11" t="str">
        <f t="shared" si="67"/>
        <v/>
      </c>
      <c r="BH100" s="10" t="str">
        <f t="shared" si="84"/>
        <v/>
      </c>
      <c r="BJ100" s="7" t="str">
        <f t="shared" si="68"/>
        <v/>
      </c>
      <c r="BK100" s="158" t="str">
        <f t="shared" si="69"/>
        <v/>
      </c>
      <c r="BL100" s="158" t="str">
        <f t="shared" si="70"/>
        <v/>
      </c>
      <c r="BM100" s="10"/>
      <c r="BN100" s="10" t="str">
        <f t="shared" si="85"/>
        <v/>
      </c>
      <c r="BO100" s="10" t="str">
        <f t="shared" si="86"/>
        <v/>
      </c>
      <c r="BQ100" s="10" t="str">
        <f t="shared" si="91"/>
        <v/>
      </c>
      <c r="BR100" s="10" t="str">
        <f t="shared" si="87"/>
        <v/>
      </c>
    </row>
    <row r="101" spans="4:70" x14ac:dyDescent="0.15">
      <c r="F101" s="93"/>
      <c r="I101" s="458">
        <f t="shared" si="88"/>
        <v>2116</v>
      </c>
      <c r="J101" s="470"/>
      <c r="K101" s="470">
        <f t="shared" si="89"/>
        <v>87</v>
      </c>
      <c r="L101" s="470"/>
      <c r="M101" s="40">
        <f t="shared" si="54"/>
        <v>7.6411979526658208E-2</v>
      </c>
      <c r="N101" s="39"/>
      <c r="O101" s="72" t="str">
        <f t="shared" si="90"/>
        <v/>
      </c>
      <c r="P101" s="41" t="str">
        <f t="shared" si="55"/>
        <v/>
      </c>
      <c r="Q101" s="39"/>
      <c r="R101" s="72" t="str">
        <f t="shared" si="71"/>
        <v/>
      </c>
      <c r="S101" s="39"/>
      <c r="T101" s="72" t="str">
        <f t="shared" si="72"/>
        <v/>
      </c>
      <c r="U101" s="39"/>
      <c r="V101" s="72" t="str">
        <f t="shared" si="56"/>
        <v/>
      </c>
      <c r="W101" s="72" t="str">
        <f t="shared" si="73"/>
        <v/>
      </c>
      <c r="X101" s="39"/>
      <c r="Y101" s="72" t="str">
        <f t="shared" si="57"/>
        <v/>
      </c>
      <c r="Z101" s="72" t="str">
        <f t="shared" si="74"/>
        <v/>
      </c>
      <c r="AA101" s="39"/>
      <c r="AB101" s="72" t="str">
        <f t="shared" si="58"/>
        <v/>
      </c>
      <c r="AC101" s="72" t="str">
        <f t="shared" si="75"/>
        <v/>
      </c>
      <c r="AD101" s="39"/>
      <c r="AE101" s="72" t="str">
        <f t="shared" si="59"/>
        <v/>
      </c>
      <c r="AF101" s="72" t="str">
        <f t="shared" si="76"/>
        <v/>
      </c>
      <c r="AG101" s="39"/>
      <c r="AH101" s="72" t="str">
        <f t="shared" si="60"/>
        <v/>
      </c>
      <c r="AI101" s="72" t="str">
        <f t="shared" si="77"/>
        <v/>
      </c>
      <c r="AJ101" s="39"/>
      <c r="AK101" s="72" t="str">
        <f t="shared" si="61"/>
        <v/>
      </c>
      <c r="AL101" s="72" t="str">
        <f t="shared" si="78"/>
        <v/>
      </c>
      <c r="AM101" s="39"/>
      <c r="AN101" s="72" t="str">
        <f t="shared" si="62"/>
        <v/>
      </c>
      <c r="AO101" s="72" t="str">
        <f t="shared" si="79"/>
        <v/>
      </c>
      <c r="AP101" s="39"/>
      <c r="AQ101" s="72" t="str">
        <f t="shared" si="63"/>
        <v/>
      </c>
      <c r="AR101" s="72" t="str">
        <f t="shared" si="80"/>
        <v/>
      </c>
      <c r="AS101" s="39"/>
      <c r="AT101" s="40" t="str">
        <f>IF($K101&lt;=$F$15,IF($F$41&lt;&gt;"",$F$41/1000,IF(ISERROR(VLOOKUP($F$3&amp;IF($G$4&lt;&gt;"",$G$4,"")&amp;IF($F$44&lt;&gt;"","_"&amp;$F$44,""),'表3）燃料価格'!$AF$9:$AG$25,2,0)),0,VLOOKUP($I101,'表3）燃料価格'!$A$6:$U$66,VLOOKUP($F$3&amp;IF($G$4&lt;&gt;"",$G$4,"")&amp;IF($F$44&lt;&gt;"","_"&amp;$F$44,""),'表3）燃料価格'!$AF$9:$AG$25,2,0)+VLOOKUP($F$42,'表3）燃料価格'!$AF$28:$AG$29,2,0),0)*IF($F$44="需要地価格",1,$F$8/$F$142))),"")</f>
        <v/>
      </c>
      <c r="AU101" s="39"/>
      <c r="AV101" s="72" t="str">
        <f t="shared" si="64"/>
        <v/>
      </c>
      <c r="AW101" s="72" t="str">
        <f t="shared" si="81"/>
        <v/>
      </c>
      <c r="AX101" s="39"/>
      <c r="AY101" s="40" t="str">
        <f>IF(ISERROR(IF($K101&lt;=$F$15,VLOOKUP($I101,'表4）CO2価格'!$A$7:$E$67,VLOOKUP($F$49,'表4）CO2価格'!$H$10:$I$12,2,0),0)*$F$8/1000,"")),0,IF($K101&lt;=$F$15,VLOOKUP($I101,'表4）CO2価格'!$A$7:$E$67,VLOOKUP($F$49,'表4）CO2価格'!$H$10:$I$12,2,0),0)*$F$8/1000,""))</f>
        <v/>
      </c>
      <c r="AZ101" s="39"/>
      <c r="BA101" s="42" t="str">
        <f t="shared" si="65"/>
        <v/>
      </c>
      <c r="BB101" s="72" t="str">
        <f t="shared" si="82"/>
        <v/>
      </c>
      <c r="BC101" s="39"/>
      <c r="BD101" s="72" t="str">
        <f t="shared" si="66"/>
        <v/>
      </c>
      <c r="BE101" s="72" t="str">
        <f t="shared" si="83"/>
        <v/>
      </c>
      <c r="BF101" s="39"/>
      <c r="BG101" s="42" t="str">
        <f t="shared" si="67"/>
        <v/>
      </c>
      <c r="BH101" s="72" t="str">
        <f t="shared" si="84"/>
        <v/>
      </c>
      <c r="BI101" s="39"/>
      <c r="BJ101" s="40" t="str">
        <f t="shared" si="68"/>
        <v/>
      </c>
      <c r="BK101" s="157" t="str">
        <f t="shared" si="69"/>
        <v/>
      </c>
      <c r="BL101" s="157" t="str">
        <f t="shared" si="70"/>
        <v/>
      </c>
      <c r="BM101" s="72"/>
      <c r="BN101" s="72" t="str">
        <f t="shared" si="85"/>
        <v/>
      </c>
      <c r="BO101" s="72" t="str">
        <f t="shared" si="86"/>
        <v/>
      </c>
      <c r="BP101" s="39"/>
      <c r="BQ101" s="72" t="str">
        <f t="shared" si="91"/>
        <v/>
      </c>
      <c r="BR101" s="72" t="str">
        <f t="shared" si="87"/>
        <v/>
      </c>
    </row>
    <row r="102" spans="4:70" x14ac:dyDescent="0.15">
      <c r="D102" s="101" t="s">
        <v>201</v>
      </c>
      <c r="E102" s="101"/>
      <c r="F102" s="92"/>
      <c r="G102" s="101"/>
      <c r="I102" s="459">
        <f t="shared" si="88"/>
        <v>2117</v>
      </c>
      <c r="K102" s="9">
        <f t="shared" si="89"/>
        <v>88</v>
      </c>
      <c r="M102" s="7">
        <f t="shared" si="54"/>
        <v>7.4186387889959446E-2</v>
      </c>
      <c r="O102" s="10" t="str">
        <f t="shared" si="90"/>
        <v/>
      </c>
      <c r="P102" s="29" t="str">
        <f t="shared" si="55"/>
        <v/>
      </c>
      <c r="R102" s="10" t="str">
        <f t="shared" si="71"/>
        <v/>
      </c>
      <c r="T102" s="10" t="str">
        <f t="shared" si="72"/>
        <v/>
      </c>
      <c r="V102" s="10" t="str">
        <f t="shared" si="56"/>
        <v/>
      </c>
      <c r="W102" s="10" t="str">
        <f t="shared" si="73"/>
        <v/>
      </c>
      <c r="Y102" s="10" t="str">
        <f t="shared" si="57"/>
        <v/>
      </c>
      <c r="Z102" s="10" t="str">
        <f t="shared" si="74"/>
        <v/>
      </c>
      <c r="AB102" s="10" t="str">
        <f t="shared" si="58"/>
        <v/>
      </c>
      <c r="AC102" s="10" t="str">
        <f t="shared" si="75"/>
        <v/>
      </c>
      <c r="AE102" s="10" t="str">
        <f t="shared" si="59"/>
        <v/>
      </c>
      <c r="AF102" s="10" t="str">
        <f t="shared" si="76"/>
        <v/>
      </c>
      <c r="AH102" s="10" t="str">
        <f t="shared" si="60"/>
        <v/>
      </c>
      <c r="AI102" s="10" t="str">
        <f t="shared" si="77"/>
        <v/>
      </c>
      <c r="AK102" s="10" t="str">
        <f t="shared" si="61"/>
        <v/>
      </c>
      <c r="AL102" s="10" t="str">
        <f t="shared" si="78"/>
        <v/>
      </c>
      <c r="AN102" s="10" t="str">
        <f t="shared" si="62"/>
        <v/>
      </c>
      <c r="AO102" s="10" t="str">
        <f t="shared" si="79"/>
        <v/>
      </c>
      <c r="AQ102" s="10" t="str">
        <f t="shared" si="63"/>
        <v/>
      </c>
      <c r="AR102" s="10" t="str">
        <f t="shared" si="80"/>
        <v/>
      </c>
      <c r="AT102" s="7" t="str">
        <f>IF($K102&lt;=$F$15,IF($F$41&lt;&gt;"",$F$41/1000,IF(ISERROR(VLOOKUP($F$3&amp;IF($G$4&lt;&gt;"",$G$4,"")&amp;IF($F$44&lt;&gt;"","_"&amp;$F$44,""),'表3）燃料価格'!$AF$9:$AG$25,2,0)),0,VLOOKUP($I102,'表3）燃料価格'!$A$6:$U$66,VLOOKUP($F$3&amp;IF($G$4&lt;&gt;"",$G$4,"")&amp;IF($F$44&lt;&gt;"","_"&amp;$F$44,""),'表3）燃料価格'!$AF$9:$AG$25,2,0)+VLOOKUP($F$42,'表3）燃料価格'!$AF$28:$AG$29,2,0),0)*IF($F$44="需要地価格",1,$F$8/$F$142))),"")</f>
        <v/>
      </c>
      <c r="AV102" s="10" t="str">
        <f t="shared" si="64"/>
        <v/>
      </c>
      <c r="AW102" s="10" t="str">
        <f t="shared" si="81"/>
        <v/>
      </c>
      <c r="AY102" s="7" t="str">
        <f>IF(ISERROR(IF($K102&lt;=$F$15,VLOOKUP($I102,'表4）CO2価格'!$A$7:$E$67,VLOOKUP($F$49,'表4）CO2価格'!$H$10:$I$12,2,0),0)*$F$8/1000,"")),0,IF($K102&lt;=$F$15,VLOOKUP($I102,'表4）CO2価格'!$A$7:$E$67,VLOOKUP($F$49,'表4）CO2価格'!$H$10:$I$12,2,0),0)*$F$8/1000,""))</f>
        <v/>
      </c>
      <c r="BA102" s="11" t="str">
        <f t="shared" si="65"/>
        <v/>
      </c>
      <c r="BB102" s="10" t="str">
        <f t="shared" si="82"/>
        <v/>
      </c>
      <c r="BD102" s="10" t="str">
        <f t="shared" si="66"/>
        <v/>
      </c>
      <c r="BE102" s="10" t="str">
        <f t="shared" si="83"/>
        <v/>
      </c>
      <c r="BG102" s="11" t="str">
        <f t="shared" si="67"/>
        <v/>
      </c>
      <c r="BH102" s="10" t="str">
        <f t="shared" si="84"/>
        <v/>
      </c>
      <c r="BJ102" s="7" t="str">
        <f t="shared" si="68"/>
        <v/>
      </c>
      <c r="BK102" s="158" t="str">
        <f t="shared" si="69"/>
        <v/>
      </c>
      <c r="BL102" s="158" t="str">
        <f t="shared" si="70"/>
        <v/>
      </c>
      <c r="BM102" s="10"/>
      <c r="BN102" s="10" t="str">
        <f t="shared" si="85"/>
        <v/>
      </c>
      <c r="BO102" s="10" t="str">
        <f t="shared" si="86"/>
        <v/>
      </c>
      <c r="BQ102" s="10" t="str">
        <f t="shared" si="91"/>
        <v/>
      </c>
      <c r="BR102" s="10" t="str">
        <f t="shared" si="87"/>
        <v/>
      </c>
    </row>
    <row r="103" spans="4:70" x14ac:dyDescent="0.15">
      <c r="F103" s="93"/>
      <c r="I103" s="458">
        <f t="shared" si="88"/>
        <v>2118</v>
      </c>
      <c r="J103" s="470"/>
      <c r="K103" s="470">
        <f t="shared" si="89"/>
        <v>89</v>
      </c>
      <c r="L103" s="470"/>
      <c r="M103" s="40">
        <f t="shared" si="54"/>
        <v>7.2025619310640235E-2</v>
      </c>
      <c r="N103" s="39"/>
      <c r="O103" s="72" t="str">
        <f t="shared" si="90"/>
        <v/>
      </c>
      <c r="P103" s="41" t="str">
        <f t="shared" si="55"/>
        <v/>
      </c>
      <c r="Q103" s="39"/>
      <c r="R103" s="72" t="str">
        <f t="shared" si="71"/>
        <v/>
      </c>
      <c r="S103" s="39"/>
      <c r="T103" s="72" t="str">
        <f t="shared" si="72"/>
        <v/>
      </c>
      <c r="U103" s="39"/>
      <c r="V103" s="72" t="str">
        <f t="shared" si="56"/>
        <v/>
      </c>
      <c r="W103" s="72" t="str">
        <f t="shared" si="73"/>
        <v/>
      </c>
      <c r="X103" s="39"/>
      <c r="Y103" s="72" t="str">
        <f t="shared" si="57"/>
        <v/>
      </c>
      <c r="Z103" s="72" t="str">
        <f t="shared" si="74"/>
        <v/>
      </c>
      <c r="AA103" s="39"/>
      <c r="AB103" s="72" t="str">
        <f t="shared" si="58"/>
        <v/>
      </c>
      <c r="AC103" s="72" t="str">
        <f t="shared" si="75"/>
        <v/>
      </c>
      <c r="AD103" s="39"/>
      <c r="AE103" s="72" t="str">
        <f t="shared" si="59"/>
        <v/>
      </c>
      <c r="AF103" s="72" t="str">
        <f t="shared" si="76"/>
        <v/>
      </c>
      <c r="AG103" s="39"/>
      <c r="AH103" s="72" t="str">
        <f t="shared" si="60"/>
        <v/>
      </c>
      <c r="AI103" s="72" t="str">
        <f t="shared" si="77"/>
        <v/>
      </c>
      <c r="AJ103" s="39"/>
      <c r="AK103" s="72" t="str">
        <f t="shared" si="61"/>
        <v/>
      </c>
      <c r="AL103" s="72" t="str">
        <f t="shared" si="78"/>
        <v/>
      </c>
      <c r="AM103" s="39"/>
      <c r="AN103" s="72" t="str">
        <f t="shared" si="62"/>
        <v/>
      </c>
      <c r="AO103" s="72" t="str">
        <f t="shared" si="79"/>
        <v/>
      </c>
      <c r="AP103" s="39"/>
      <c r="AQ103" s="72" t="str">
        <f t="shared" si="63"/>
        <v/>
      </c>
      <c r="AR103" s="72" t="str">
        <f t="shared" si="80"/>
        <v/>
      </c>
      <c r="AS103" s="39"/>
      <c r="AT103" s="40" t="str">
        <f>IF($K103&lt;=$F$15,IF($F$41&lt;&gt;"",$F$41/1000,IF(ISERROR(VLOOKUP($F$3&amp;IF($G$4&lt;&gt;"",$G$4,"")&amp;IF($F$44&lt;&gt;"","_"&amp;$F$44,""),'表3）燃料価格'!$AF$9:$AG$25,2,0)),0,VLOOKUP($I103,'表3）燃料価格'!$A$6:$U$66,VLOOKUP($F$3&amp;IF($G$4&lt;&gt;"",$G$4,"")&amp;IF($F$44&lt;&gt;"","_"&amp;$F$44,""),'表3）燃料価格'!$AF$9:$AG$25,2,0)+VLOOKUP($F$42,'表3）燃料価格'!$AF$28:$AG$29,2,0),0)*IF($F$44="需要地価格",1,$F$8/$F$142))),"")</f>
        <v/>
      </c>
      <c r="AU103" s="39"/>
      <c r="AV103" s="72" t="str">
        <f t="shared" si="64"/>
        <v/>
      </c>
      <c r="AW103" s="72" t="str">
        <f t="shared" si="81"/>
        <v/>
      </c>
      <c r="AX103" s="39"/>
      <c r="AY103" s="40" t="str">
        <f>IF(ISERROR(IF($K103&lt;=$F$15,VLOOKUP($I103,'表4）CO2価格'!$A$7:$E$67,VLOOKUP($F$49,'表4）CO2価格'!$H$10:$I$12,2,0),0)*$F$8/1000,"")),0,IF($K103&lt;=$F$15,VLOOKUP($I103,'表4）CO2価格'!$A$7:$E$67,VLOOKUP($F$49,'表4）CO2価格'!$H$10:$I$12,2,0),0)*$F$8/1000,""))</f>
        <v/>
      </c>
      <c r="AZ103" s="39"/>
      <c r="BA103" s="42" t="str">
        <f t="shared" si="65"/>
        <v/>
      </c>
      <c r="BB103" s="72" t="str">
        <f t="shared" si="82"/>
        <v/>
      </c>
      <c r="BC103" s="39"/>
      <c r="BD103" s="72" t="str">
        <f t="shared" si="66"/>
        <v/>
      </c>
      <c r="BE103" s="72" t="str">
        <f t="shared" si="83"/>
        <v/>
      </c>
      <c r="BF103" s="39"/>
      <c r="BG103" s="42" t="str">
        <f t="shared" si="67"/>
        <v/>
      </c>
      <c r="BH103" s="72" t="str">
        <f t="shared" si="84"/>
        <v/>
      </c>
      <c r="BI103" s="39"/>
      <c r="BJ103" s="40" t="str">
        <f t="shared" si="68"/>
        <v/>
      </c>
      <c r="BK103" s="157" t="str">
        <f t="shared" si="69"/>
        <v/>
      </c>
      <c r="BL103" s="157" t="str">
        <f t="shared" si="70"/>
        <v/>
      </c>
      <c r="BM103" s="72"/>
      <c r="BN103" s="72" t="str">
        <f t="shared" si="85"/>
        <v/>
      </c>
      <c r="BO103" s="72" t="str">
        <f t="shared" si="86"/>
        <v/>
      </c>
      <c r="BP103" s="39"/>
      <c r="BQ103" s="72" t="str">
        <f t="shared" si="91"/>
        <v/>
      </c>
      <c r="BR103" s="72" t="str">
        <f t="shared" si="87"/>
        <v/>
      </c>
    </row>
    <row r="104" spans="4:70" x14ac:dyDescent="0.15">
      <c r="E104" s="81" t="s">
        <v>202</v>
      </c>
      <c r="F104" s="91">
        <f>BB116/$BR$116</f>
        <v>0</v>
      </c>
      <c r="G104" s="81" t="s">
        <v>132</v>
      </c>
      <c r="I104" s="459">
        <f t="shared" si="88"/>
        <v>2119</v>
      </c>
      <c r="K104" s="9">
        <f t="shared" si="89"/>
        <v>90</v>
      </c>
      <c r="M104" s="7">
        <f t="shared" si="54"/>
        <v>6.9927785738485654E-2</v>
      </c>
      <c r="O104" s="10" t="str">
        <f t="shared" si="90"/>
        <v/>
      </c>
      <c r="P104" s="29" t="str">
        <f t="shared" si="55"/>
        <v/>
      </c>
      <c r="R104" s="10" t="str">
        <f t="shared" si="71"/>
        <v/>
      </c>
      <c r="T104" s="10" t="str">
        <f t="shared" si="72"/>
        <v/>
      </c>
      <c r="V104" s="10" t="str">
        <f t="shared" si="56"/>
        <v/>
      </c>
      <c r="W104" s="10" t="str">
        <f t="shared" si="73"/>
        <v/>
      </c>
      <c r="Y104" s="10" t="str">
        <f t="shared" si="57"/>
        <v/>
      </c>
      <c r="Z104" s="10" t="str">
        <f t="shared" si="74"/>
        <v/>
      </c>
      <c r="AB104" s="10" t="str">
        <f t="shared" si="58"/>
        <v/>
      </c>
      <c r="AC104" s="10" t="str">
        <f t="shared" si="75"/>
        <v/>
      </c>
      <c r="AE104" s="10" t="str">
        <f t="shared" si="59"/>
        <v/>
      </c>
      <c r="AF104" s="10" t="str">
        <f t="shared" si="76"/>
        <v/>
      </c>
      <c r="AH104" s="10" t="str">
        <f t="shared" si="60"/>
        <v/>
      </c>
      <c r="AI104" s="10" t="str">
        <f t="shared" si="77"/>
        <v/>
      </c>
      <c r="AK104" s="10" t="str">
        <f t="shared" si="61"/>
        <v/>
      </c>
      <c r="AL104" s="10" t="str">
        <f t="shared" si="78"/>
        <v/>
      </c>
      <c r="AN104" s="10" t="str">
        <f t="shared" si="62"/>
        <v/>
      </c>
      <c r="AO104" s="10" t="str">
        <f t="shared" si="79"/>
        <v/>
      </c>
      <c r="AQ104" s="10" t="str">
        <f t="shared" si="63"/>
        <v/>
      </c>
      <c r="AR104" s="10" t="str">
        <f t="shared" si="80"/>
        <v/>
      </c>
      <c r="AT104" s="7" t="str">
        <f>IF($K104&lt;=$F$15,IF($F$41&lt;&gt;"",$F$41/1000,IF(ISERROR(VLOOKUP($F$3&amp;IF($G$4&lt;&gt;"",$G$4,"")&amp;IF($F$44&lt;&gt;"","_"&amp;$F$44,""),'表3）燃料価格'!$AF$9:$AG$25,2,0)),0,VLOOKUP($I104,'表3）燃料価格'!$A$6:$U$66,VLOOKUP($F$3&amp;IF($G$4&lt;&gt;"",$G$4,"")&amp;IF($F$44&lt;&gt;"","_"&amp;$F$44,""),'表3）燃料価格'!$AF$9:$AG$25,2,0)+VLOOKUP($F$42,'表3）燃料価格'!$AF$28:$AG$29,2,0),0)*IF($F$44="需要地価格",1,$F$8/$F$142))),"")</f>
        <v/>
      </c>
      <c r="AV104" s="10" t="str">
        <f t="shared" si="64"/>
        <v/>
      </c>
      <c r="AW104" s="10" t="str">
        <f t="shared" si="81"/>
        <v/>
      </c>
      <c r="AY104" s="7" t="str">
        <f>IF(ISERROR(IF($K104&lt;=$F$15,VLOOKUP($I104,'表4）CO2価格'!$A$7:$E$67,VLOOKUP($F$49,'表4）CO2価格'!$H$10:$I$12,2,0),0)*$F$8/1000,"")),0,IF($K104&lt;=$F$15,VLOOKUP($I104,'表4）CO2価格'!$A$7:$E$67,VLOOKUP($F$49,'表4）CO2価格'!$H$10:$I$12,2,0),0)*$F$8/1000,""))</f>
        <v/>
      </c>
      <c r="BA104" s="11" t="str">
        <f t="shared" si="65"/>
        <v/>
      </c>
      <c r="BB104" s="10" t="str">
        <f t="shared" si="82"/>
        <v/>
      </c>
      <c r="BD104" s="10" t="str">
        <f t="shared" si="66"/>
        <v/>
      </c>
      <c r="BE104" s="10" t="str">
        <f t="shared" si="83"/>
        <v/>
      </c>
      <c r="BG104" s="11" t="str">
        <f t="shared" si="67"/>
        <v/>
      </c>
      <c r="BH104" s="10" t="str">
        <f t="shared" si="84"/>
        <v/>
      </c>
      <c r="BJ104" s="7" t="str">
        <f t="shared" si="68"/>
        <v/>
      </c>
      <c r="BK104" s="158" t="str">
        <f t="shared" si="69"/>
        <v/>
      </c>
      <c r="BL104" s="158" t="str">
        <f t="shared" si="70"/>
        <v/>
      </c>
      <c r="BM104" s="10"/>
      <c r="BN104" s="10" t="str">
        <f t="shared" si="85"/>
        <v/>
      </c>
      <c r="BO104" s="10" t="str">
        <f t="shared" si="86"/>
        <v/>
      </c>
      <c r="BQ104" s="10" t="str">
        <f t="shared" si="91"/>
        <v/>
      </c>
      <c r="BR104" s="10" t="str">
        <f t="shared" si="87"/>
        <v/>
      </c>
    </row>
    <row r="105" spans="4:70" x14ac:dyDescent="0.15">
      <c r="E105" s="81" t="s">
        <v>203</v>
      </c>
      <c r="F105" s="91">
        <f>IF(ISERROR(F61*(1/F62)/F63),0,F61*(1/F62)/F63)</f>
        <v>0</v>
      </c>
      <c r="G105" s="81" t="s">
        <v>132</v>
      </c>
      <c r="I105" s="458">
        <f t="shared" si="88"/>
        <v>2120</v>
      </c>
      <c r="J105" s="470"/>
      <c r="K105" s="470">
        <f t="shared" si="89"/>
        <v>91</v>
      </c>
      <c r="L105" s="470"/>
      <c r="M105" s="40">
        <f t="shared" si="54"/>
        <v>6.7891054115034627E-2</v>
      </c>
      <c r="N105" s="39"/>
      <c r="O105" s="72" t="str">
        <f t="shared" si="90"/>
        <v/>
      </c>
      <c r="P105" s="41" t="str">
        <f t="shared" si="55"/>
        <v/>
      </c>
      <c r="Q105" s="39"/>
      <c r="R105" s="72" t="str">
        <f t="shared" si="71"/>
        <v/>
      </c>
      <c r="S105" s="39"/>
      <c r="T105" s="72" t="str">
        <f t="shared" si="72"/>
        <v/>
      </c>
      <c r="U105" s="39"/>
      <c r="V105" s="72" t="str">
        <f t="shared" si="56"/>
        <v/>
      </c>
      <c r="W105" s="72" t="str">
        <f t="shared" si="73"/>
        <v/>
      </c>
      <c r="X105" s="39"/>
      <c r="Y105" s="72" t="str">
        <f t="shared" si="57"/>
        <v/>
      </c>
      <c r="Z105" s="72" t="str">
        <f t="shared" si="74"/>
        <v/>
      </c>
      <c r="AA105" s="39"/>
      <c r="AB105" s="72" t="str">
        <f t="shared" si="58"/>
        <v/>
      </c>
      <c r="AC105" s="72" t="str">
        <f t="shared" si="75"/>
        <v/>
      </c>
      <c r="AD105" s="39"/>
      <c r="AE105" s="72" t="str">
        <f t="shared" si="59"/>
        <v/>
      </c>
      <c r="AF105" s="72" t="str">
        <f t="shared" si="76"/>
        <v/>
      </c>
      <c r="AG105" s="39"/>
      <c r="AH105" s="72" t="str">
        <f t="shared" si="60"/>
        <v/>
      </c>
      <c r="AI105" s="72" t="str">
        <f t="shared" si="77"/>
        <v/>
      </c>
      <c r="AJ105" s="39"/>
      <c r="AK105" s="72" t="str">
        <f t="shared" si="61"/>
        <v/>
      </c>
      <c r="AL105" s="72" t="str">
        <f t="shared" si="78"/>
        <v/>
      </c>
      <c r="AM105" s="39"/>
      <c r="AN105" s="72" t="str">
        <f t="shared" si="62"/>
        <v/>
      </c>
      <c r="AO105" s="72" t="str">
        <f t="shared" si="79"/>
        <v/>
      </c>
      <c r="AP105" s="39"/>
      <c r="AQ105" s="72" t="str">
        <f t="shared" si="63"/>
        <v/>
      </c>
      <c r="AR105" s="72" t="str">
        <f t="shared" si="80"/>
        <v/>
      </c>
      <c r="AS105" s="39"/>
      <c r="AT105" s="40" t="str">
        <f>IF($K105&lt;=$F$15,IF($F$41&lt;&gt;"",$F$41/1000,IF(ISERROR(VLOOKUP($F$3&amp;IF($G$4&lt;&gt;"",$G$4,"")&amp;IF($F$44&lt;&gt;"","_"&amp;$F$44,""),'表3）燃料価格'!$AF$9:$AG$25,2,0)),0,VLOOKUP($I105,'表3）燃料価格'!$A$6:$U$66,VLOOKUP($F$3&amp;IF($G$4&lt;&gt;"",$G$4,"")&amp;IF($F$44&lt;&gt;"","_"&amp;$F$44,""),'表3）燃料価格'!$AF$9:$AG$25,2,0)+VLOOKUP($F$42,'表3）燃料価格'!$AF$28:$AG$29,2,0),0)*IF($F$44="需要地価格",1,$F$8/$F$142))),"")</f>
        <v/>
      </c>
      <c r="AU105" s="39"/>
      <c r="AV105" s="72" t="str">
        <f t="shared" si="64"/>
        <v/>
      </c>
      <c r="AW105" s="72" t="str">
        <f t="shared" si="81"/>
        <v/>
      </c>
      <c r="AX105" s="39"/>
      <c r="AY105" s="40" t="str">
        <f>IF(ISERROR(IF($K105&lt;=$F$15,VLOOKUP($I105,'表4）CO2価格'!$A$7:$E$67,VLOOKUP($F$49,'表4）CO2価格'!$H$10:$I$12,2,0),0)*$F$8/1000,"")),0,IF($K105&lt;=$F$15,VLOOKUP($I105,'表4）CO2価格'!$A$7:$E$67,VLOOKUP($F$49,'表4）CO2価格'!$H$10:$I$12,2,0),0)*$F$8/1000,""))</f>
        <v/>
      </c>
      <c r="AZ105" s="39"/>
      <c r="BA105" s="42" t="str">
        <f t="shared" si="65"/>
        <v/>
      </c>
      <c r="BB105" s="72" t="str">
        <f t="shared" si="82"/>
        <v/>
      </c>
      <c r="BC105" s="39"/>
      <c r="BD105" s="72" t="str">
        <f t="shared" si="66"/>
        <v/>
      </c>
      <c r="BE105" s="72" t="str">
        <f t="shared" si="83"/>
        <v/>
      </c>
      <c r="BF105" s="39"/>
      <c r="BG105" s="42" t="str">
        <f t="shared" si="67"/>
        <v/>
      </c>
      <c r="BH105" s="72" t="str">
        <f t="shared" si="84"/>
        <v/>
      </c>
      <c r="BI105" s="39"/>
      <c r="BJ105" s="40" t="str">
        <f t="shared" si="68"/>
        <v/>
      </c>
      <c r="BK105" s="157" t="str">
        <f t="shared" si="69"/>
        <v/>
      </c>
      <c r="BL105" s="157" t="str">
        <f t="shared" si="70"/>
        <v/>
      </c>
      <c r="BM105" s="72"/>
      <c r="BN105" s="72" t="str">
        <f t="shared" si="85"/>
        <v/>
      </c>
      <c r="BO105" s="72" t="str">
        <f t="shared" si="86"/>
        <v/>
      </c>
      <c r="BP105" s="39"/>
      <c r="BQ105" s="72" t="str">
        <f t="shared" si="91"/>
        <v/>
      </c>
      <c r="BR105" s="72" t="str">
        <f t="shared" si="87"/>
        <v/>
      </c>
    </row>
    <row r="106" spans="4:70" x14ac:dyDescent="0.15">
      <c r="E106" s="9" t="s">
        <v>367</v>
      </c>
      <c r="F106" s="91">
        <f>F65</f>
        <v>0.06</v>
      </c>
      <c r="G106" s="81" t="s">
        <v>132</v>
      </c>
      <c r="I106" s="459">
        <f t="shared" si="88"/>
        <v>2121</v>
      </c>
      <c r="K106" s="9">
        <f t="shared" si="89"/>
        <v>92</v>
      </c>
      <c r="M106" s="7">
        <f t="shared" si="54"/>
        <v>6.5913644771878277E-2</v>
      </c>
      <c r="O106" s="10" t="str">
        <f t="shared" si="90"/>
        <v/>
      </c>
      <c r="P106" s="29" t="str">
        <f t="shared" si="55"/>
        <v/>
      </c>
      <c r="R106" s="10" t="str">
        <f t="shared" si="71"/>
        <v/>
      </c>
      <c r="T106" s="10" t="str">
        <f t="shared" si="72"/>
        <v/>
      </c>
      <c r="V106" s="10" t="str">
        <f t="shared" si="56"/>
        <v/>
      </c>
      <c r="W106" s="10" t="str">
        <f t="shared" si="73"/>
        <v/>
      </c>
      <c r="Y106" s="10" t="str">
        <f t="shared" si="57"/>
        <v/>
      </c>
      <c r="Z106" s="10" t="str">
        <f t="shared" si="74"/>
        <v/>
      </c>
      <c r="AB106" s="10" t="str">
        <f t="shared" si="58"/>
        <v/>
      </c>
      <c r="AC106" s="10" t="str">
        <f t="shared" si="75"/>
        <v/>
      </c>
      <c r="AE106" s="10" t="str">
        <f t="shared" si="59"/>
        <v/>
      </c>
      <c r="AF106" s="10" t="str">
        <f t="shared" si="76"/>
        <v/>
      </c>
      <c r="AH106" s="10" t="str">
        <f t="shared" si="60"/>
        <v/>
      </c>
      <c r="AI106" s="10" t="str">
        <f t="shared" si="77"/>
        <v/>
      </c>
      <c r="AK106" s="10" t="str">
        <f t="shared" si="61"/>
        <v/>
      </c>
      <c r="AL106" s="10" t="str">
        <f t="shared" si="78"/>
        <v/>
      </c>
      <c r="AN106" s="10" t="str">
        <f t="shared" si="62"/>
        <v/>
      </c>
      <c r="AO106" s="10" t="str">
        <f t="shared" si="79"/>
        <v/>
      </c>
      <c r="AQ106" s="10" t="str">
        <f t="shared" si="63"/>
        <v/>
      </c>
      <c r="AR106" s="10" t="str">
        <f t="shared" si="80"/>
        <v/>
      </c>
      <c r="AT106" s="7" t="str">
        <f>IF($K106&lt;=$F$15,IF($F$41&lt;&gt;"",$F$41/1000,IF(ISERROR(VLOOKUP($F$3&amp;IF($G$4&lt;&gt;"",$G$4,"")&amp;IF($F$44&lt;&gt;"","_"&amp;$F$44,""),'表3）燃料価格'!$AF$9:$AG$25,2,0)),0,VLOOKUP($I106,'表3）燃料価格'!$A$6:$U$66,VLOOKUP($F$3&amp;IF($G$4&lt;&gt;"",$G$4,"")&amp;IF($F$44&lt;&gt;"","_"&amp;$F$44,""),'表3）燃料価格'!$AF$9:$AG$25,2,0)+VLOOKUP($F$42,'表3）燃料価格'!$AF$28:$AG$29,2,0),0)*IF($F$44="需要地価格",1,$F$8/$F$142))),"")</f>
        <v/>
      </c>
      <c r="AV106" s="10" t="str">
        <f t="shared" si="64"/>
        <v/>
      </c>
      <c r="AW106" s="10" t="str">
        <f t="shared" si="81"/>
        <v/>
      </c>
      <c r="AY106" s="7" t="str">
        <f>IF(ISERROR(IF($K106&lt;=$F$15,VLOOKUP($I106,'表4）CO2価格'!$A$7:$E$67,VLOOKUP($F$49,'表4）CO2価格'!$H$10:$I$12,2,0),0)*$F$8/1000,"")),0,IF($K106&lt;=$F$15,VLOOKUP($I106,'表4）CO2価格'!$A$7:$E$67,VLOOKUP($F$49,'表4）CO2価格'!$H$10:$I$12,2,0),0)*$F$8/1000,""))</f>
        <v/>
      </c>
      <c r="BA106" s="11" t="str">
        <f t="shared" si="65"/>
        <v/>
      </c>
      <c r="BB106" s="10" t="str">
        <f t="shared" si="82"/>
        <v/>
      </c>
      <c r="BD106" s="10" t="str">
        <f t="shared" si="66"/>
        <v/>
      </c>
      <c r="BE106" s="10" t="str">
        <f t="shared" si="83"/>
        <v/>
      </c>
      <c r="BG106" s="11" t="str">
        <f t="shared" si="67"/>
        <v/>
      </c>
      <c r="BH106" s="10" t="str">
        <f t="shared" si="84"/>
        <v/>
      </c>
      <c r="BJ106" s="7" t="str">
        <f t="shared" si="68"/>
        <v/>
      </c>
      <c r="BK106" s="158" t="str">
        <f t="shared" si="69"/>
        <v/>
      </c>
      <c r="BL106" s="158" t="str">
        <f t="shared" si="70"/>
        <v/>
      </c>
      <c r="BM106" s="10"/>
      <c r="BN106" s="10" t="str">
        <f t="shared" si="85"/>
        <v/>
      </c>
      <c r="BO106" s="10" t="str">
        <f t="shared" si="86"/>
        <v/>
      </c>
      <c r="BQ106" s="10" t="str">
        <f t="shared" si="91"/>
        <v/>
      </c>
      <c r="BR106" s="10" t="str">
        <f t="shared" si="87"/>
        <v/>
      </c>
    </row>
    <row r="107" spans="4:70" x14ac:dyDescent="0.15">
      <c r="F107" s="93"/>
      <c r="I107" s="458">
        <f t="shared" si="88"/>
        <v>2122</v>
      </c>
      <c r="J107" s="470"/>
      <c r="K107" s="470">
        <f t="shared" si="89"/>
        <v>93</v>
      </c>
      <c r="L107" s="470"/>
      <c r="M107" s="40">
        <f t="shared" si="54"/>
        <v>6.3993829875609989E-2</v>
      </c>
      <c r="N107" s="39"/>
      <c r="O107" s="72" t="str">
        <f t="shared" si="90"/>
        <v/>
      </c>
      <c r="P107" s="41" t="str">
        <f t="shared" si="55"/>
        <v/>
      </c>
      <c r="Q107" s="39"/>
      <c r="R107" s="72" t="str">
        <f t="shared" si="71"/>
        <v/>
      </c>
      <c r="S107" s="39"/>
      <c r="T107" s="72" t="str">
        <f t="shared" si="72"/>
        <v/>
      </c>
      <c r="U107" s="39"/>
      <c r="V107" s="72" t="str">
        <f t="shared" si="56"/>
        <v/>
      </c>
      <c r="W107" s="72" t="str">
        <f t="shared" si="73"/>
        <v/>
      </c>
      <c r="X107" s="39"/>
      <c r="Y107" s="72" t="str">
        <f t="shared" si="57"/>
        <v/>
      </c>
      <c r="Z107" s="72" t="str">
        <f t="shared" si="74"/>
        <v/>
      </c>
      <c r="AA107" s="39"/>
      <c r="AB107" s="72" t="str">
        <f t="shared" si="58"/>
        <v/>
      </c>
      <c r="AC107" s="72" t="str">
        <f t="shared" si="75"/>
        <v/>
      </c>
      <c r="AD107" s="39"/>
      <c r="AE107" s="72" t="str">
        <f t="shared" si="59"/>
        <v/>
      </c>
      <c r="AF107" s="72" t="str">
        <f t="shared" si="76"/>
        <v/>
      </c>
      <c r="AG107" s="39"/>
      <c r="AH107" s="72" t="str">
        <f t="shared" si="60"/>
        <v/>
      </c>
      <c r="AI107" s="72" t="str">
        <f t="shared" si="77"/>
        <v/>
      </c>
      <c r="AJ107" s="39"/>
      <c r="AK107" s="72" t="str">
        <f t="shared" si="61"/>
        <v/>
      </c>
      <c r="AL107" s="72" t="str">
        <f t="shared" si="78"/>
        <v/>
      </c>
      <c r="AM107" s="39"/>
      <c r="AN107" s="72" t="str">
        <f t="shared" si="62"/>
        <v/>
      </c>
      <c r="AO107" s="72" t="str">
        <f t="shared" si="79"/>
        <v/>
      </c>
      <c r="AP107" s="39"/>
      <c r="AQ107" s="72" t="str">
        <f t="shared" si="63"/>
        <v/>
      </c>
      <c r="AR107" s="72" t="str">
        <f t="shared" si="80"/>
        <v/>
      </c>
      <c r="AS107" s="39"/>
      <c r="AT107" s="40" t="str">
        <f>IF($K107&lt;=$F$15,IF($F$41&lt;&gt;"",$F$41/1000,IF(ISERROR(VLOOKUP($F$3&amp;IF($G$4&lt;&gt;"",$G$4,"")&amp;IF($F$44&lt;&gt;"","_"&amp;$F$44,""),'表3）燃料価格'!$AF$9:$AG$25,2,0)),0,VLOOKUP($I107,'表3）燃料価格'!$A$6:$U$66,VLOOKUP($F$3&amp;IF($G$4&lt;&gt;"",$G$4,"")&amp;IF($F$44&lt;&gt;"","_"&amp;$F$44,""),'表3）燃料価格'!$AF$9:$AG$25,2,0)+VLOOKUP($F$42,'表3）燃料価格'!$AF$28:$AG$29,2,0),0)*IF($F$44="需要地価格",1,$F$8/$F$142))),"")</f>
        <v/>
      </c>
      <c r="AU107" s="39"/>
      <c r="AV107" s="72" t="str">
        <f t="shared" si="64"/>
        <v/>
      </c>
      <c r="AW107" s="72" t="str">
        <f t="shared" si="81"/>
        <v/>
      </c>
      <c r="AX107" s="39"/>
      <c r="AY107" s="40" t="str">
        <f>IF(ISERROR(IF($K107&lt;=$F$15,VLOOKUP($I107,'表4）CO2価格'!$A$7:$E$67,VLOOKUP($F$49,'表4）CO2価格'!$H$10:$I$12,2,0),0)*$F$8/1000,"")),0,IF($K107&lt;=$F$15,VLOOKUP($I107,'表4）CO2価格'!$A$7:$E$67,VLOOKUP($F$49,'表4）CO2価格'!$H$10:$I$12,2,0),0)*$F$8/1000,""))</f>
        <v/>
      </c>
      <c r="AZ107" s="39"/>
      <c r="BA107" s="42" t="str">
        <f t="shared" si="65"/>
        <v/>
      </c>
      <c r="BB107" s="72" t="str">
        <f t="shared" si="82"/>
        <v/>
      </c>
      <c r="BC107" s="39"/>
      <c r="BD107" s="72" t="str">
        <f t="shared" si="66"/>
        <v/>
      </c>
      <c r="BE107" s="72" t="str">
        <f t="shared" si="83"/>
        <v/>
      </c>
      <c r="BF107" s="39"/>
      <c r="BG107" s="42" t="str">
        <f t="shared" si="67"/>
        <v/>
      </c>
      <c r="BH107" s="72" t="str">
        <f t="shared" si="84"/>
        <v/>
      </c>
      <c r="BI107" s="39"/>
      <c r="BJ107" s="40" t="str">
        <f t="shared" si="68"/>
        <v/>
      </c>
      <c r="BK107" s="157" t="str">
        <f t="shared" si="69"/>
        <v/>
      </c>
      <c r="BL107" s="157" t="str">
        <f t="shared" si="70"/>
        <v/>
      </c>
      <c r="BM107" s="72"/>
      <c r="BN107" s="72" t="str">
        <f t="shared" si="85"/>
        <v/>
      </c>
      <c r="BO107" s="72" t="str">
        <f t="shared" si="86"/>
        <v/>
      </c>
      <c r="BP107" s="39"/>
      <c r="BQ107" s="72" t="str">
        <f t="shared" si="91"/>
        <v/>
      </c>
      <c r="BR107" s="72" t="str">
        <f t="shared" si="87"/>
        <v/>
      </c>
    </row>
    <row r="108" spans="4:70" ht="15" x14ac:dyDescent="0.15">
      <c r="D108" s="116" t="s">
        <v>204</v>
      </c>
      <c r="F108" s="94">
        <f>SUBTOTAL(9,F112:F113)</f>
        <v>0</v>
      </c>
      <c r="G108" s="81" t="s">
        <v>132</v>
      </c>
      <c r="I108" s="459">
        <f t="shared" si="88"/>
        <v>2123</v>
      </c>
      <c r="K108" s="9">
        <f t="shared" si="89"/>
        <v>94</v>
      </c>
      <c r="M108" s="7">
        <f t="shared" si="54"/>
        <v>6.212993191806794E-2</v>
      </c>
      <c r="O108" s="10" t="str">
        <f t="shared" si="90"/>
        <v/>
      </c>
      <c r="P108" s="29" t="str">
        <f t="shared" si="55"/>
        <v/>
      </c>
      <c r="R108" s="10" t="str">
        <f t="shared" si="71"/>
        <v/>
      </c>
      <c r="T108" s="10" t="str">
        <f t="shared" si="72"/>
        <v/>
      </c>
      <c r="V108" s="10" t="str">
        <f t="shared" si="56"/>
        <v/>
      </c>
      <c r="W108" s="10" t="str">
        <f t="shared" si="73"/>
        <v/>
      </c>
      <c r="Y108" s="10" t="str">
        <f t="shared" si="57"/>
        <v/>
      </c>
      <c r="Z108" s="10" t="str">
        <f t="shared" si="74"/>
        <v/>
      </c>
      <c r="AB108" s="10" t="str">
        <f t="shared" si="58"/>
        <v/>
      </c>
      <c r="AC108" s="10" t="str">
        <f t="shared" si="75"/>
        <v/>
      </c>
      <c r="AE108" s="10" t="str">
        <f t="shared" si="59"/>
        <v/>
      </c>
      <c r="AF108" s="10" t="str">
        <f t="shared" si="76"/>
        <v/>
      </c>
      <c r="AH108" s="10" t="str">
        <f t="shared" si="60"/>
        <v/>
      </c>
      <c r="AI108" s="10" t="str">
        <f t="shared" si="77"/>
        <v/>
      </c>
      <c r="AK108" s="10" t="str">
        <f t="shared" si="61"/>
        <v/>
      </c>
      <c r="AL108" s="10" t="str">
        <f t="shared" si="78"/>
        <v/>
      </c>
      <c r="AN108" s="10" t="str">
        <f t="shared" si="62"/>
        <v/>
      </c>
      <c r="AO108" s="10" t="str">
        <f t="shared" si="79"/>
        <v/>
      </c>
      <c r="AQ108" s="10" t="str">
        <f t="shared" si="63"/>
        <v/>
      </c>
      <c r="AR108" s="10" t="str">
        <f t="shared" si="80"/>
        <v/>
      </c>
      <c r="AT108" s="7" t="str">
        <f>IF($K108&lt;=$F$15,IF($F$41&lt;&gt;"",$F$41/1000,IF(ISERROR(VLOOKUP($F$3&amp;IF($G$4&lt;&gt;"",$G$4,"")&amp;IF($F$44&lt;&gt;"","_"&amp;$F$44,""),'表3）燃料価格'!$AF$9:$AG$25,2,0)),0,VLOOKUP($I108,'表3）燃料価格'!$A$6:$U$66,VLOOKUP($F$3&amp;IF($G$4&lt;&gt;"",$G$4,"")&amp;IF($F$44&lt;&gt;"","_"&amp;$F$44,""),'表3）燃料価格'!$AF$9:$AG$25,2,0)+VLOOKUP($F$42,'表3）燃料価格'!$AF$28:$AG$29,2,0),0)*IF($F$44="需要地価格",1,$F$8/$F$142))),"")</f>
        <v/>
      </c>
      <c r="AV108" s="10" t="str">
        <f t="shared" si="64"/>
        <v/>
      </c>
      <c r="AW108" s="10" t="str">
        <f t="shared" si="81"/>
        <v/>
      </c>
      <c r="AY108" s="7" t="str">
        <f>IF(ISERROR(IF($K108&lt;=$F$15,VLOOKUP($I108,'表4）CO2価格'!$A$7:$E$67,VLOOKUP($F$49,'表4）CO2価格'!$H$10:$I$12,2,0),0)*$F$8/1000,"")),0,IF($K108&lt;=$F$15,VLOOKUP($I108,'表4）CO2価格'!$A$7:$E$67,VLOOKUP($F$49,'表4）CO2価格'!$H$10:$I$12,2,0),0)*$F$8/1000,""))</f>
        <v/>
      </c>
      <c r="BA108" s="11" t="str">
        <f t="shared" si="65"/>
        <v/>
      </c>
      <c r="BB108" s="10" t="str">
        <f t="shared" si="82"/>
        <v/>
      </c>
      <c r="BD108" s="10" t="str">
        <f t="shared" si="66"/>
        <v/>
      </c>
      <c r="BE108" s="10" t="str">
        <f t="shared" si="83"/>
        <v/>
      </c>
      <c r="BG108" s="11" t="str">
        <f t="shared" si="67"/>
        <v/>
      </c>
      <c r="BH108" s="10" t="str">
        <f t="shared" si="84"/>
        <v/>
      </c>
      <c r="BJ108" s="7" t="str">
        <f t="shared" si="68"/>
        <v/>
      </c>
      <c r="BK108" s="158" t="str">
        <f t="shared" si="69"/>
        <v/>
      </c>
      <c r="BL108" s="158" t="str">
        <f t="shared" si="70"/>
        <v/>
      </c>
      <c r="BM108" s="10"/>
      <c r="BN108" s="10" t="str">
        <f t="shared" si="85"/>
        <v/>
      </c>
      <c r="BO108" s="10" t="str">
        <f t="shared" si="86"/>
        <v/>
      </c>
      <c r="BQ108" s="10" t="str">
        <f t="shared" si="91"/>
        <v/>
      </c>
      <c r="BR108" s="10" t="str">
        <f t="shared" si="87"/>
        <v/>
      </c>
    </row>
    <row r="109" spans="4:70" ht="15" x14ac:dyDescent="0.15">
      <c r="D109" s="116"/>
      <c r="F109" s="93"/>
      <c r="I109" s="458">
        <f t="shared" si="88"/>
        <v>2124</v>
      </c>
      <c r="J109" s="470"/>
      <c r="K109" s="470">
        <f t="shared" si="89"/>
        <v>95</v>
      </c>
      <c r="L109" s="470"/>
      <c r="M109" s="40">
        <f t="shared" si="54"/>
        <v>6.0320322250551395E-2</v>
      </c>
      <c r="N109" s="39"/>
      <c r="O109" s="72" t="str">
        <f t="shared" si="90"/>
        <v/>
      </c>
      <c r="P109" s="41" t="str">
        <f t="shared" si="55"/>
        <v/>
      </c>
      <c r="Q109" s="39"/>
      <c r="R109" s="72" t="str">
        <f t="shared" si="71"/>
        <v/>
      </c>
      <c r="S109" s="39"/>
      <c r="T109" s="72" t="str">
        <f t="shared" si="72"/>
        <v/>
      </c>
      <c r="U109" s="39"/>
      <c r="V109" s="72" t="str">
        <f t="shared" si="56"/>
        <v/>
      </c>
      <c r="W109" s="72" t="str">
        <f t="shared" si="73"/>
        <v/>
      </c>
      <c r="X109" s="39"/>
      <c r="Y109" s="72" t="str">
        <f t="shared" si="57"/>
        <v/>
      </c>
      <c r="Z109" s="72" t="str">
        <f t="shared" si="74"/>
        <v/>
      </c>
      <c r="AA109" s="39"/>
      <c r="AB109" s="72" t="str">
        <f t="shared" si="58"/>
        <v/>
      </c>
      <c r="AC109" s="72" t="str">
        <f t="shared" si="75"/>
        <v/>
      </c>
      <c r="AD109" s="39"/>
      <c r="AE109" s="72" t="str">
        <f t="shared" si="59"/>
        <v/>
      </c>
      <c r="AF109" s="72" t="str">
        <f t="shared" si="76"/>
        <v/>
      </c>
      <c r="AG109" s="39"/>
      <c r="AH109" s="72" t="str">
        <f t="shared" si="60"/>
        <v/>
      </c>
      <c r="AI109" s="72" t="str">
        <f t="shared" si="77"/>
        <v/>
      </c>
      <c r="AJ109" s="39"/>
      <c r="AK109" s="72" t="str">
        <f t="shared" si="61"/>
        <v/>
      </c>
      <c r="AL109" s="72" t="str">
        <f t="shared" si="78"/>
        <v/>
      </c>
      <c r="AM109" s="39"/>
      <c r="AN109" s="72" t="str">
        <f t="shared" si="62"/>
        <v/>
      </c>
      <c r="AO109" s="72" t="str">
        <f t="shared" si="79"/>
        <v/>
      </c>
      <c r="AP109" s="39"/>
      <c r="AQ109" s="72" t="str">
        <f t="shared" si="63"/>
        <v/>
      </c>
      <c r="AR109" s="72" t="str">
        <f t="shared" si="80"/>
        <v/>
      </c>
      <c r="AS109" s="39"/>
      <c r="AT109" s="40" t="str">
        <f>IF($K109&lt;=$F$15,IF($F$41&lt;&gt;"",$F$41/1000,IF(ISERROR(VLOOKUP($F$3&amp;IF($G$4&lt;&gt;"",$G$4,"")&amp;IF($F$44&lt;&gt;"","_"&amp;$F$44,""),'表3）燃料価格'!$AF$9:$AG$25,2,0)),0,VLOOKUP($I109,'表3）燃料価格'!$A$6:$U$66,VLOOKUP($F$3&amp;IF($G$4&lt;&gt;"",$G$4,"")&amp;IF($F$44&lt;&gt;"","_"&amp;$F$44,""),'表3）燃料価格'!$AF$9:$AG$25,2,0)+VLOOKUP($F$42,'表3）燃料価格'!$AF$28:$AG$29,2,0),0)*IF($F$44="需要地価格",1,$F$8/$F$142))),"")</f>
        <v/>
      </c>
      <c r="AU109" s="39"/>
      <c r="AV109" s="72" t="str">
        <f t="shared" si="64"/>
        <v/>
      </c>
      <c r="AW109" s="72" t="str">
        <f t="shared" si="81"/>
        <v/>
      </c>
      <c r="AX109" s="39"/>
      <c r="AY109" s="40" t="str">
        <f>IF(ISERROR(IF($K109&lt;=$F$15,VLOOKUP($I109,'表4）CO2価格'!$A$7:$E$67,VLOOKUP($F$49,'表4）CO2価格'!$H$10:$I$12,2,0),0)*$F$8/1000,"")),0,IF($K109&lt;=$F$15,VLOOKUP($I109,'表4）CO2価格'!$A$7:$E$67,VLOOKUP($F$49,'表4）CO2価格'!$H$10:$I$12,2,0),0)*$F$8/1000,""))</f>
        <v/>
      </c>
      <c r="AZ109" s="39"/>
      <c r="BA109" s="42" t="str">
        <f t="shared" si="65"/>
        <v/>
      </c>
      <c r="BB109" s="72" t="str">
        <f t="shared" si="82"/>
        <v/>
      </c>
      <c r="BC109" s="39"/>
      <c r="BD109" s="72" t="str">
        <f t="shared" si="66"/>
        <v/>
      </c>
      <c r="BE109" s="72" t="str">
        <f t="shared" si="83"/>
        <v/>
      </c>
      <c r="BF109" s="39"/>
      <c r="BG109" s="42" t="str">
        <f t="shared" si="67"/>
        <v/>
      </c>
      <c r="BH109" s="72" t="str">
        <f t="shared" si="84"/>
        <v/>
      </c>
      <c r="BI109" s="39"/>
      <c r="BJ109" s="40" t="str">
        <f t="shared" si="68"/>
        <v/>
      </c>
      <c r="BK109" s="157" t="str">
        <f t="shared" si="69"/>
        <v/>
      </c>
      <c r="BL109" s="157" t="str">
        <f t="shared" si="70"/>
        <v/>
      </c>
      <c r="BM109" s="72"/>
      <c r="BN109" s="72" t="str">
        <f t="shared" si="85"/>
        <v/>
      </c>
      <c r="BO109" s="72" t="str">
        <f t="shared" si="86"/>
        <v/>
      </c>
      <c r="BP109" s="39"/>
      <c r="BQ109" s="72" t="str">
        <f t="shared" si="91"/>
        <v/>
      </c>
      <c r="BR109" s="72" t="str">
        <f t="shared" si="87"/>
        <v/>
      </c>
    </row>
    <row r="110" spans="4:70" x14ac:dyDescent="0.15">
      <c r="D110" s="101" t="s">
        <v>205</v>
      </c>
      <c r="E110" s="101"/>
      <c r="F110" s="92"/>
      <c r="G110" s="101"/>
      <c r="I110" s="459">
        <f t="shared" si="88"/>
        <v>2125</v>
      </c>
      <c r="K110" s="9">
        <f t="shared" si="89"/>
        <v>96</v>
      </c>
      <c r="M110" s="7">
        <f t="shared" si="54"/>
        <v>5.8563419660729518E-2</v>
      </c>
      <c r="O110" s="10" t="str">
        <f t="shared" si="90"/>
        <v/>
      </c>
      <c r="P110" s="29" t="str">
        <f t="shared" si="55"/>
        <v/>
      </c>
      <c r="R110" s="10" t="str">
        <f t="shared" si="71"/>
        <v/>
      </c>
      <c r="T110" s="10" t="str">
        <f t="shared" si="72"/>
        <v/>
      </c>
      <c r="V110" s="10" t="str">
        <f t="shared" si="56"/>
        <v/>
      </c>
      <c r="W110" s="10" t="str">
        <f t="shared" si="73"/>
        <v/>
      </c>
      <c r="Y110" s="10" t="str">
        <f t="shared" si="57"/>
        <v/>
      </c>
      <c r="Z110" s="10" t="str">
        <f t="shared" si="74"/>
        <v/>
      </c>
      <c r="AB110" s="10" t="str">
        <f t="shared" si="58"/>
        <v/>
      </c>
      <c r="AC110" s="10" t="str">
        <f t="shared" si="75"/>
        <v/>
      </c>
      <c r="AE110" s="10" t="str">
        <f t="shared" si="59"/>
        <v/>
      </c>
      <c r="AF110" s="10" t="str">
        <f t="shared" si="76"/>
        <v/>
      </c>
      <c r="AH110" s="10" t="str">
        <f t="shared" si="60"/>
        <v/>
      </c>
      <c r="AI110" s="10" t="str">
        <f t="shared" si="77"/>
        <v/>
      </c>
      <c r="AK110" s="10" t="str">
        <f t="shared" si="61"/>
        <v/>
      </c>
      <c r="AL110" s="10" t="str">
        <f t="shared" si="78"/>
        <v/>
      </c>
      <c r="AN110" s="10" t="str">
        <f t="shared" si="62"/>
        <v/>
      </c>
      <c r="AO110" s="10" t="str">
        <f t="shared" si="79"/>
        <v/>
      </c>
      <c r="AQ110" s="10" t="str">
        <f t="shared" si="63"/>
        <v/>
      </c>
      <c r="AR110" s="10" t="str">
        <f t="shared" si="80"/>
        <v/>
      </c>
      <c r="AT110" s="7" t="str">
        <f>IF($K110&lt;=$F$15,IF($F$41&lt;&gt;"",$F$41/1000,IF(ISERROR(VLOOKUP($F$3&amp;IF($G$4&lt;&gt;"",$G$4,"")&amp;IF($F$44&lt;&gt;"","_"&amp;$F$44,""),'表3）燃料価格'!$AF$9:$AG$25,2,0)),0,VLOOKUP($I110,'表3）燃料価格'!$A$6:$U$66,VLOOKUP($F$3&amp;IF($G$4&lt;&gt;"",$G$4,"")&amp;IF($F$44&lt;&gt;"","_"&amp;$F$44,""),'表3）燃料価格'!$AF$9:$AG$25,2,0)+VLOOKUP($F$42,'表3）燃料価格'!$AF$28:$AG$29,2,0),0)*IF($F$44="需要地価格",1,$F$8/$F$142))),"")</f>
        <v/>
      </c>
      <c r="AV110" s="10" t="str">
        <f t="shared" si="64"/>
        <v/>
      </c>
      <c r="AW110" s="10" t="str">
        <f t="shared" si="81"/>
        <v/>
      </c>
      <c r="AY110" s="7" t="str">
        <f>IF(ISERROR(IF($K110&lt;=$F$15,VLOOKUP($I110,'表4）CO2価格'!$A$7:$E$67,VLOOKUP($F$49,'表4）CO2価格'!$H$10:$I$12,2,0),0)*$F$8/1000,"")),0,IF($K110&lt;=$F$15,VLOOKUP($I110,'表4）CO2価格'!$A$7:$E$67,VLOOKUP($F$49,'表4）CO2価格'!$H$10:$I$12,2,0),0)*$F$8/1000,""))</f>
        <v/>
      </c>
      <c r="BA110" s="11" t="str">
        <f t="shared" si="65"/>
        <v/>
      </c>
      <c r="BB110" s="10" t="str">
        <f t="shared" si="82"/>
        <v/>
      </c>
      <c r="BD110" s="10" t="str">
        <f t="shared" si="66"/>
        <v/>
      </c>
      <c r="BE110" s="10" t="str">
        <f t="shared" si="83"/>
        <v/>
      </c>
      <c r="BG110" s="11" t="str">
        <f t="shared" si="67"/>
        <v/>
      </c>
      <c r="BH110" s="10" t="str">
        <f t="shared" si="84"/>
        <v/>
      </c>
      <c r="BJ110" s="7" t="str">
        <f t="shared" si="68"/>
        <v/>
      </c>
      <c r="BK110" s="158" t="str">
        <f t="shared" si="69"/>
        <v/>
      </c>
      <c r="BL110" s="158" t="str">
        <f t="shared" si="70"/>
        <v/>
      </c>
      <c r="BM110" s="10"/>
      <c r="BN110" s="10" t="str">
        <f t="shared" si="85"/>
        <v/>
      </c>
      <c r="BO110" s="10" t="str">
        <f t="shared" si="86"/>
        <v/>
      </c>
      <c r="BQ110" s="10" t="str">
        <f t="shared" si="91"/>
        <v/>
      </c>
      <c r="BR110" s="10" t="str">
        <f t="shared" si="87"/>
        <v/>
      </c>
    </row>
    <row r="111" spans="4:70" ht="15" x14ac:dyDescent="0.15">
      <c r="D111" s="116"/>
      <c r="F111" s="93"/>
      <c r="I111" s="458">
        <f t="shared" si="88"/>
        <v>2126</v>
      </c>
      <c r="J111" s="470"/>
      <c r="K111" s="470">
        <f t="shared" si="89"/>
        <v>97</v>
      </c>
      <c r="L111" s="470"/>
      <c r="M111" s="40">
        <f t="shared" si="54"/>
        <v>5.6857688990999529E-2</v>
      </c>
      <c r="N111" s="39"/>
      <c r="O111" s="72" t="str">
        <f t="shared" si="90"/>
        <v/>
      </c>
      <c r="P111" s="41" t="str">
        <f t="shared" ref="P111:P114" si="92">IF(K111&lt;=$F$15,IF(OR(P110=$F$125,P110="-"),"-",IF(O111*$F$124&gt;$F$128,$F$124,$F$125)),"")</f>
        <v/>
      </c>
      <c r="Q111" s="39"/>
      <c r="R111" s="72" t="str">
        <f t="shared" si="71"/>
        <v/>
      </c>
      <c r="S111" s="39"/>
      <c r="T111" s="72" t="str">
        <f t="shared" si="72"/>
        <v/>
      </c>
      <c r="U111" s="39"/>
      <c r="V111" s="72" t="str">
        <f t="shared" si="56"/>
        <v/>
      </c>
      <c r="W111" s="72" t="str">
        <f t="shared" si="73"/>
        <v/>
      </c>
      <c r="X111" s="39"/>
      <c r="Y111" s="72" t="str">
        <f t="shared" si="57"/>
        <v/>
      </c>
      <c r="Z111" s="72" t="str">
        <f t="shared" si="74"/>
        <v/>
      </c>
      <c r="AA111" s="39"/>
      <c r="AB111" s="72" t="str">
        <f t="shared" si="58"/>
        <v/>
      </c>
      <c r="AC111" s="72" t="str">
        <f t="shared" si="75"/>
        <v/>
      </c>
      <c r="AD111" s="39"/>
      <c r="AE111" s="72" t="str">
        <f t="shared" si="59"/>
        <v/>
      </c>
      <c r="AF111" s="72" t="str">
        <f t="shared" si="76"/>
        <v/>
      </c>
      <c r="AG111" s="39"/>
      <c r="AH111" s="72" t="str">
        <f t="shared" si="60"/>
        <v/>
      </c>
      <c r="AI111" s="72" t="str">
        <f t="shared" si="77"/>
        <v/>
      </c>
      <c r="AJ111" s="39"/>
      <c r="AK111" s="72" t="str">
        <f t="shared" si="61"/>
        <v/>
      </c>
      <c r="AL111" s="72" t="str">
        <f t="shared" si="78"/>
        <v/>
      </c>
      <c r="AM111" s="39"/>
      <c r="AN111" s="72" t="str">
        <f t="shared" si="62"/>
        <v/>
      </c>
      <c r="AO111" s="72" t="str">
        <f t="shared" si="79"/>
        <v/>
      </c>
      <c r="AP111" s="39"/>
      <c r="AQ111" s="72" t="str">
        <f t="shared" si="63"/>
        <v/>
      </c>
      <c r="AR111" s="72" t="str">
        <f t="shared" si="80"/>
        <v/>
      </c>
      <c r="AS111" s="39"/>
      <c r="AT111" s="40" t="str">
        <f>IF($K111&lt;=$F$15,IF($F$41&lt;&gt;"",$F$41/1000,IF(ISERROR(VLOOKUP($F$3&amp;IF($G$4&lt;&gt;"",$G$4,"")&amp;IF($F$44&lt;&gt;"","_"&amp;$F$44,""),'表3）燃料価格'!$AF$9:$AG$25,2,0)),0,VLOOKUP($I111,'表3）燃料価格'!$A$6:$U$66,VLOOKUP($F$3&amp;IF($G$4&lt;&gt;"",$G$4,"")&amp;IF($F$44&lt;&gt;"","_"&amp;$F$44,""),'表3）燃料価格'!$AF$9:$AG$25,2,0)+VLOOKUP($F$42,'表3）燃料価格'!$AF$28:$AG$29,2,0),0)*IF($F$44="需要地価格",1,$F$8/$F$142))),"")</f>
        <v/>
      </c>
      <c r="AU111" s="39"/>
      <c r="AV111" s="72" t="str">
        <f t="shared" si="64"/>
        <v/>
      </c>
      <c r="AW111" s="72" t="str">
        <f t="shared" si="81"/>
        <v/>
      </c>
      <c r="AX111" s="39"/>
      <c r="AY111" s="40" t="str">
        <f>IF(ISERROR(IF($K111&lt;=$F$15,VLOOKUP($I111,'表4）CO2価格'!$A$7:$E$67,VLOOKUP($F$49,'表4）CO2価格'!$H$10:$I$12,2,0),0)*$F$8/1000,"")),0,IF($K111&lt;=$F$15,VLOOKUP($I111,'表4）CO2価格'!$A$7:$E$67,VLOOKUP($F$49,'表4）CO2価格'!$H$10:$I$12,2,0),0)*$F$8/1000,""))</f>
        <v/>
      </c>
      <c r="AZ111" s="39"/>
      <c r="BA111" s="42" t="str">
        <f t="shared" si="65"/>
        <v/>
      </c>
      <c r="BB111" s="72" t="str">
        <f t="shared" si="82"/>
        <v/>
      </c>
      <c r="BC111" s="39"/>
      <c r="BD111" s="72" t="str">
        <f t="shared" si="66"/>
        <v/>
      </c>
      <c r="BE111" s="72" t="str">
        <f t="shared" si="83"/>
        <v/>
      </c>
      <c r="BF111" s="39"/>
      <c r="BG111" s="42" t="str">
        <f t="shared" si="67"/>
        <v/>
      </c>
      <c r="BH111" s="72" t="str">
        <f t="shared" si="84"/>
        <v/>
      </c>
      <c r="BI111" s="39"/>
      <c r="BJ111" s="40" t="str">
        <f t="shared" si="68"/>
        <v/>
      </c>
      <c r="BK111" s="157" t="str">
        <f t="shared" ref="BK111:BK114" si="93">IF(ISNUMBER($F$16),IF($K111&lt;=$F$16+$F$29,IF($K111&lt;=$F$16,SUM(Y111,AB111,AE111,AH111,AK111,AN111,AQ111,AV111,BA111,BD111,BG111),$F$28/$F$29*10^8)*BJ111,""),"")</f>
        <v/>
      </c>
      <c r="BL111" s="157" t="str">
        <f t="shared" si="70"/>
        <v/>
      </c>
      <c r="BM111" s="72"/>
      <c r="BN111" s="72" t="str">
        <f t="shared" si="85"/>
        <v/>
      </c>
      <c r="BO111" s="72" t="str">
        <f t="shared" si="86"/>
        <v/>
      </c>
      <c r="BP111" s="39"/>
      <c r="BQ111" s="72" t="str">
        <f t="shared" si="91"/>
        <v/>
      </c>
      <c r="BR111" s="72" t="str">
        <f t="shared" si="87"/>
        <v/>
      </c>
    </row>
    <row r="112" spans="4:70" ht="15" x14ac:dyDescent="0.15">
      <c r="D112" s="116"/>
      <c r="E112" s="81" t="s">
        <v>206</v>
      </c>
      <c r="F112" s="91">
        <f>-BE116/BR116</f>
        <v>0</v>
      </c>
      <c r="G112" s="81" t="s">
        <v>132</v>
      </c>
      <c r="I112" s="459">
        <f t="shared" si="88"/>
        <v>2127</v>
      </c>
      <c r="K112" s="9">
        <f t="shared" si="89"/>
        <v>98</v>
      </c>
      <c r="M112" s="7">
        <f t="shared" si="54"/>
        <v>5.5201639797086935E-2</v>
      </c>
      <c r="O112" s="10" t="str">
        <f t="shared" si="90"/>
        <v/>
      </c>
      <c r="P112" s="29" t="str">
        <f t="shared" si="92"/>
        <v/>
      </c>
      <c r="R112" s="10" t="str">
        <f t="shared" si="71"/>
        <v/>
      </c>
      <c r="T112" s="10" t="str">
        <f t="shared" si="72"/>
        <v/>
      </c>
      <c r="V112" s="10" t="str">
        <f t="shared" si="56"/>
        <v/>
      </c>
      <c r="W112" s="10" t="str">
        <f t="shared" si="73"/>
        <v/>
      </c>
      <c r="Y112" s="10" t="str">
        <f t="shared" si="57"/>
        <v/>
      </c>
      <c r="Z112" s="10" t="str">
        <f t="shared" si="74"/>
        <v/>
      </c>
      <c r="AB112" s="10" t="str">
        <f t="shared" si="58"/>
        <v/>
      </c>
      <c r="AC112" s="10" t="str">
        <f t="shared" si="75"/>
        <v/>
      </c>
      <c r="AE112" s="10" t="str">
        <f t="shared" si="59"/>
        <v/>
      </c>
      <c r="AF112" s="10" t="str">
        <f t="shared" si="76"/>
        <v/>
      </c>
      <c r="AH112" s="10" t="str">
        <f t="shared" si="60"/>
        <v/>
      </c>
      <c r="AI112" s="10" t="str">
        <f t="shared" si="77"/>
        <v/>
      </c>
      <c r="AK112" s="10" t="str">
        <f t="shared" si="61"/>
        <v/>
      </c>
      <c r="AL112" s="10" t="str">
        <f t="shared" si="78"/>
        <v/>
      </c>
      <c r="AN112" s="10" t="str">
        <f t="shared" si="62"/>
        <v/>
      </c>
      <c r="AO112" s="10" t="str">
        <f t="shared" si="79"/>
        <v/>
      </c>
      <c r="AQ112" s="10" t="str">
        <f t="shared" si="63"/>
        <v/>
      </c>
      <c r="AR112" s="10" t="str">
        <f t="shared" si="80"/>
        <v/>
      </c>
      <c r="AT112" s="7" t="str">
        <f>IF($K112&lt;=$F$15,IF($F$41&lt;&gt;"",$F$41/1000,IF(ISERROR(VLOOKUP($F$3&amp;IF($G$4&lt;&gt;"",$G$4,"")&amp;IF($F$44&lt;&gt;"","_"&amp;$F$44,""),'表3）燃料価格'!$AF$9:$AG$25,2,0)),0,VLOOKUP($I112,'表3）燃料価格'!$A$6:$U$66,VLOOKUP($F$3&amp;IF($G$4&lt;&gt;"",$G$4,"")&amp;IF($F$44&lt;&gt;"","_"&amp;$F$44,""),'表3）燃料価格'!$AF$9:$AG$25,2,0)+VLOOKUP($F$42,'表3）燃料価格'!$AF$28:$AG$29,2,0),0)*IF($F$44="需要地価格",1,$F$8/$F$142))),"")</f>
        <v/>
      </c>
      <c r="AV112" s="10" t="str">
        <f t="shared" si="64"/>
        <v/>
      </c>
      <c r="AW112" s="10" t="str">
        <f t="shared" si="81"/>
        <v/>
      </c>
      <c r="AY112" s="7" t="str">
        <f>IF(ISERROR(IF($K112&lt;=$F$15,VLOOKUP($I112,'表4）CO2価格'!$A$7:$E$67,VLOOKUP($F$49,'表4）CO2価格'!$H$10:$I$12,2,0),0)*$F$8/1000,"")),0,IF($K112&lt;=$F$15,VLOOKUP($I112,'表4）CO2価格'!$A$7:$E$67,VLOOKUP($F$49,'表4）CO2価格'!$H$10:$I$12,2,0),0)*$F$8/1000,""))</f>
        <v/>
      </c>
      <c r="BA112" s="11" t="str">
        <f t="shared" si="65"/>
        <v/>
      </c>
      <c r="BB112" s="10" t="str">
        <f t="shared" si="82"/>
        <v/>
      </c>
      <c r="BD112" s="10" t="str">
        <f t="shared" si="66"/>
        <v/>
      </c>
      <c r="BE112" s="10" t="str">
        <f t="shared" si="83"/>
        <v/>
      </c>
      <c r="BG112" s="11" t="str">
        <f t="shared" si="67"/>
        <v/>
      </c>
      <c r="BH112" s="10" t="str">
        <f t="shared" si="84"/>
        <v/>
      </c>
      <c r="BJ112" s="7" t="str">
        <f t="shared" si="68"/>
        <v/>
      </c>
      <c r="BK112" s="158" t="str">
        <f t="shared" si="93"/>
        <v/>
      </c>
      <c r="BL112" s="158" t="str">
        <f t="shared" si="70"/>
        <v/>
      </c>
      <c r="BM112" s="10"/>
      <c r="BN112" s="10" t="str">
        <f t="shared" si="85"/>
        <v/>
      </c>
      <c r="BO112" s="10" t="str">
        <f t="shared" si="86"/>
        <v/>
      </c>
      <c r="BQ112" s="10" t="str">
        <f t="shared" si="91"/>
        <v/>
      </c>
      <c r="BR112" s="10" t="str">
        <f t="shared" si="87"/>
        <v/>
      </c>
    </row>
    <row r="113" spans="2:70" ht="15" x14ac:dyDescent="0.15">
      <c r="D113" s="116"/>
      <c r="E113" s="81" t="s">
        <v>207</v>
      </c>
      <c r="F113" s="91">
        <f>-BH116/BR116</f>
        <v>0</v>
      </c>
      <c r="G113" s="81" t="s">
        <v>132</v>
      </c>
      <c r="I113" s="458">
        <f t="shared" si="88"/>
        <v>2128</v>
      </c>
      <c r="J113" s="470"/>
      <c r="K113" s="470">
        <f t="shared" si="89"/>
        <v>99</v>
      </c>
      <c r="L113" s="470"/>
      <c r="M113" s="40">
        <f t="shared" si="54"/>
        <v>5.3593825045715457E-2</v>
      </c>
      <c r="N113" s="39"/>
      <c r="O113" s="72" t="str">
        <f t="shared" si="90"/>
        <v/>
      </c>
      <c r="P113" s="41" t="str">
        <f t="shared" si="92"/>
        <v/>
      </c>
      <c r="Q113" s="39"/>
      <c r="R113" s="72" t="str">
        <f t="shared" si="71"/>
        <v/>
      </c>
      <c r="S113" s="39"/>
      <c r="T113" s="72" t="str">
        <f t="shared" si="72"/>
        <v/>
      </c>
      <c r="U113" s="39"/>
      <c r="V113" s="72" t="str">
        <f t="shared" si="56"/>
        <v/>
      </c>
      <c r="W113" s="72" t="str">
        <f t="shared" si="73"/>
        <v/>
      </c>
      <c r="X113" s="39"/>
      <c r="Y113" s="72" t="str">
        <f t="shared" si="57"/>
        <v/>
      </c>
      <c r="Z113" s="72" t="str">
        <f t="shared" si="74"/>
        <v/>
      </c>
      <c r="AA113" s="39"/>
      <c r="AB113" s="72" t="str">
        <f t="shared" si="58"/>
        <v/>
      </c>
      <c r="AC113" s="72" t="str">
        <f t="shared" si="75"/>
        <v/>
      </c>
      <c r="AD113" s="39"/>
      <c r="AE113" s="72" t="str">
        <f t="shared" si="59"/>
        <v/>
      </c>
      <c r="AF113" s="72" t="str">
        <f t="shared" si="76"/>
        <v/>
      </c>
      <c r="AG113" s="39"/>
      <c r="AH113" s="72" t="str">
        <f t="shared" si="60"/>
        <v/>
      </c>
      <c r="AI113" s="72" t="str">
        <f t="shared" si="77"/>
        <v/>
      </c>
      <c r="AJ113" s="39"/>
      <c r="AK113" s="72" t="str">
        <f t="shared" si="61"/>
        <v/>
      </c>
      <c r="AL113" s="72" t="str">
        <f t="shared" si="78"/>
        <v/>
      </c>
      <c r="AM113" s="39"/>
      <c r="AN113" s="72" t="str">
        <f t="shared" si="62"/>
        <v/>
      </c>
      <c r="AO113" s="72" t="str">
        <f t="shared" si="79"/>
        <v/>
      </c>
      <c r="AP113" s="39"/>
      <c r="AQ113" s="72" t="str">
        <f t="shared" si="63"/>
        <v/>
      </c>
      <c r="AR113" s="72" t="str">
        <f t="shared" si="80"/>
        <v/>
      </c>
      <c r="AS113" s="39"/>
      <c r="AT113" s="40" t="str">
        <f>IF($K113&lt;=$F$15,IF($F$41&lt;&gt;"",$F$41/1000,IF(ISERROR(VLOOKUP($F$3&amp;IF($G$4&lt;&gt;"",$G$4,"")&amp;IF($F$44&lt;&gt;"","_"&amp;$F$44,""),'表3）燃料価格'!$AF$9:$AG$25,2,0)),0,VLOOKUP($I113,'表3）燃料価格'!$A$6:$U$66,VLOOKUP($F$3&amp;IF($G$4&lt;&gt;"",$G$4,"")&amp;IF($F$44&lt;&gt;"","_"&amp;$F$44,""),'表3）燃料価格'!$AF$9:$AG$25,2,0)+VLOOKUP($F$42,'表3）燃料価格'!$AF$28:$AG$29,2,0),0)*IF($F$44="需要地価格",1,$F$8/$F$142))),"")</f>
        <v/>
      </c>
      <c r="AU113" s="39"/>
      <c r="AV113" s="72" t="str">
        <f t="shared" si="64"/>
        <v/>
      </c>
      <c r="AW113" s="72" t="str">
        <f t="shared" si="81"/>
        <v/>
      </c>
      <c r="AX113" s="39"/>
      <c r="AY113" s="40" t="str">
        <f>IF(ISERROR(IF($K113&lt;=$F$15,VLOOKUP($I113,'表4）CO2価格'!$A$7:$E$67,VLOOKUP($F$49,'表4）CO2価格'!$H$10:$I$12,2,0),0)*$F$8/1000,"")),0,IF($K113&lt;=$F$15,VLOOKUP($I113,'表4）CO2価格'!$A$7:$E$67,VLOOKUP($F$49,'表4）CO2価格'!$H$10:$I$12,2,0),0)*$F$8/1000,""))</f>
        <v/>
      </c>
      <c r="AZ113" s="39"/>
      <c r="BA113" s="42" t="str">
        <f t="shared" si="65"/>
        <v/>
      </c>
      <c r="BB113" s="72" t="str">
        <f t="shared" si="82"/>
        <v/>
      </c>
      <c r="BC113" s="39"/>
      <c r="BD113" s="72" t="str">
        <f t="shared" si="66"/>
        <v/>
      </c>
      <c r="BE113" s="72" t="str">
        <f t="shared" si="83"/>
        <v/>
      </c>
      <c r="BF113" s="39"/>
      <c r="BG113" s="42" t="str">
        <f t="shared" si="67"/>
        <v/>
      </c>
      <c r="BH113" s="72" t="str">
        <f t="shared" si="84"/>
        <v/>
      </c>
      <c r="BI113" s="39"/>
      <c r="BJ113" s="40" t="str">
        <f t="shared" si="68"/>
        <v/>
      </c>
      <c r="BK113" s="157" t="str">
        <f t="shared" si="93"/>
        <v/>
      </c>
      <c r="BL113" s="157" t="str">
        <f t="shared" si="70"/>
        <v/>
      </c>
      <c r="BM113" s="72"/>
      <c r="BN113" s="72" t="str">
        <f t="shared" si="85"/>
        <v/>
      </c>
      <c r="BO113" s="72" t="str">
        <f t="shared" si="86"/>
        <v/>
      </c>
      <c r="BP113" s="39"/>
      <c r="BQ113" s="72" t="str">
        <f t="shared" si="91"/>
        <v/>
      </c>
      <c r="BR113" s="72" t="str">
        <f t="shared" si="87"/>
        <v/>
      </c>
    </row>
    <row r="114" spans="2:70" x14ac:dyDescent="0.15">
      <c r="I114" s="459">
        <f t="shared" si="88"/>
        <v>2129</v>
      </c>
      <c r="K114" s="9">
        <f t="shared" si="89"/>
        <v>100</v>
      </c>
      <c r="M114" s="7">
        <f t="shared" si="54"/>
        <v>5.2032839850209185E-2</v>
      </c>
      <c r="O114" s="10" t="str">
        <f t="shared" si="90"/>
        <v/>
      </c>
      <c r="P114" s="29" t="str">
        <f t="shared" si="92"/>
        <v/>
      </c>
      <c r="R114" s="10" t="str">
        <f t="shared" si="71"/>
        <v/>
      </c>
      <c r="T114" s="10" t="str">
        <f t="shared" si="72"/>
        <v/>
      </c>
      <c r="V114" s="10" t="str">
        <f t="shared" si="56"/>
        <v/>
      </c>
      <c r="W114" s="10" t="str">
        <f t="shared" si="73"/>
        <v/>
      </c>
      <c r="Y114" s="10" t="str">
        <f t="shared" si="57"/>
        <v/>
      </c>
      <c r="Z114" s="10" t="str">
        <f t="shared" si="74"/>
        <v/>
      </c>
      <c r="AB114" s="10" t="str">
        <f t="shared" si="58"/>
        <v/>
      </c>
      <c r="AC114" s="10" t="str">
        <f t="shared" si="75"/>
        <v/>
      </c>
      <c r="AE114" s="10" t="str">
        <f t="shared" si="59"/>
        <v/>
      </c>
      <c r="AF114" s="10" t="str">
        <f t="shared" si="76"/>
        <v/>
      </c>
      <c r="AH114" s="10" t="str">
        <f t="shared" si="60"/>
        <v/>
      </c>
      <c r="AI114" s="10" t="str">
        <f t="shared" si="77"/>
        <v/>
      </c>
      <c r="AK114" s="10" t="str">
        <f t="shared" si="61"/>
        <v/>
      </c>
      <c r="AL114" s="10" t="str">
        <f t="shared" si="78"/>
        <v/>
      </c>
      <c r="AN114" s="10" t="str">
        <f t="shared" si="62"/>
        <v/>
      </c>
      <c r="AO114" s="10" t="str">
        <f t="shared" si="79"/>
        <v/>
      </c>
      <c r="AQ114" s="10" t="str">
        <f t="shared" si="63"/>
        <v/>
      </c>
      <c r="AR114" s="10" t="str">
        <f t="shared" si="80"/>
        <v/>
      </c>
      <c r="AT114" s="7" t="str">
        <f>IF($K114&lt;=$F$15,IF($F$41&lt;&gt;"",$F$41/1000,IF(ISERROR(VLOOKUP($F$3&amp;IF($G$4&lt;&gt;"",$G$4,"")&amp;IF($F$44&lt;&gt;"","_"&amp;$F$44,""),'表3）燃料価格'!$AF$9:$AG$25,2,0)),0,VLOOKUP($I114,'表3）燃料価格'!$A$6:$U$66,VLOOKUP($F$3&amp;IF($G$4&lt;&gt;"",$G$4,"")&amp;IF($F$44&lt;&gt;"","_"&amp;$F$44,""),'表3）燃料価格'!$AF$9:$AG$25,2,0)+VLOOKUP($F$42,'表3）燃料価格'!$AF$28:$AG$29,2,0),0)*IF($F$44="需要地価格",1,$F$8/$F$142))),"")</f>
        <v/>
      </c>
      <c r="AV114" s="10" t="str">
        <f t="shared" si="64"/>
        <v/>
      </c>
      <c r="AW114" s="10" t="str">
        <f t="shared" si="81"/>
        <v/>
      </c>
      <c r="AY114" s="7" t="str">
        <f>IF(ISERROR(IF($K114&lt;=$F$15,VLOOKUP($I114,'表4）CO2価格'!$A$7:$E$67,VLOOKUP($F$49,'表4）CO2価格'!$H$10:$I$12,2,0),0)*$F$8/1000,"")),0,IF($K114&lt;=$F$15,VLOOKUP($I114,'表4）CO2価格'!$A$7:$E$67,VLOOKUP($F$49,'表4）CO2価格'!$H$10:$I$12,2,0),0)*$F$8/1000,""))</f>
        <v/>
      </c>
      <c r="BA114" s="11" t="str">
        <f t="shared" si="65"/>
        <v/>
      </c>
      <c r="BB114" s="10" t="str">
        <f t="shared" si="82"/>
        <v/>
      </c>
      <c r="BD114" s="10" t="str">
        <f t="shared" si="66"/>
        <v/>
      </c>
      <c r="BE114" s="10" t="str">
        <f t="shared" si="83"/>
        <v/>
      </c>
      <c r="BG114" s="11" t="str">
        <f t="shared" si="67"/>
        <v/>
      </c>
      <c r="BH114" s="10" t="str">
        <f t="shared" si="84"/>
        <v/>
      </c>
      <c r="BJ114" s="7" t="str">
        <f t="shared" si="68"/>
        <v/>
      </c>
      <c r="BK114" s="158" t="str">
        <f t="shared" si="93"/>
        <v/>
      </c>
      <c r="BL114" s="158" t="str">
        <f t="shared" si="70"/>
        <v/>
      </c>
      <c r="BM114" s="10"/>
      <c r="BN114" s="10" t="str">
        <f t="shared" si="85"/>
        <v/>
      </c>
      <c r="BO114" s="10" t="str">
        <f t="shared" si="86"/>
        <v/>
      </c>
      <c r="BQ114" s="10" t="str">
        <f t="shared" si="91"/>
        <v/>
      </c>
      <c r="BR114" s="10" t="str">
        <f t="shared" si="87"/>
        <v/>
      </c>
    </row>
    <row r="115" spans="2:70" ht="15.75" thickBot="1" x14ac:dyDescent="0.2">
      <c r="B115" s="460" t="s">
        <v>515</v>
      </c>
      <c r="I115" s="464"/>
      <c r="J115" s="89"/>
      <c r="K115" s="89"/>
      <c r="L115" s="89"/>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ht="15" thickBot="1" x14ac:dyDescent="0.2">
      <c r="C116" s="86"/>
      <c r="D116" s="104"/>
      <c r="E116" s="104"/>
      <c r="F116" s="86"/>
      <c r="G116" s="104"/>
      <c r="I116" s="9" t="s">
        <v>516</v>
      </c>
      <c r="V116" s="11"/>
      <c r="W116" s="11"/>
      <c r="Z116" s="11">
        <f>SUM(Z15:Z114)</f>
        <v>0</v>
      </c>
      <c r="AC116" s="11">
        <f>SUM(AC15:AC114)</f>
        <v>27126.141555152513</v>
      </c>
      <c r="AF116" s="11">
        <f>SUM(AF15:AF114)</f>
        <v>0</v>
      </c>
      <c r="AI116" s="11">
        <f>SUM(AI15:AI114)</f>
        <v>261197.21536917033</v>
      </c>
      <c r="AL116" s="11">
        <f>SUM(AL15:AL114)</f>
        <v>0</v>
      </c>
      <c r="AO116" s="11">
        <f>SUM(AO15:AO114)</f>
        <v>0</v>
      </c>
      <c r="AR116" s="11">
        <f>SUM(AR15:AR114)</f>
        <v>0</v>
      </c>
      <c r="AW116" s="11">
        <f>SUM(AW15:AW114)</f>
        <v>0</v>
      </c>
      <c r="BB116" s="11">
        <f>SUM(BB15:BB114)</f>
        <v>0</v>
      </c>
      <c r="BE116" s="11">
        <f>SUM(BE15:BE114)</f>
        <v>0</v>
      </c>
      <c r="BH116" s="11">
        <f>SUM(BH15:BH114)</f>
        <v>0</v>
      </c>
      <c r="BK116" s="11">
        <f>SUM(BK15:BK114)</f>
        <v>168026.30281523825</v>
      </c>
      <c r="BL116" s="11">
        <f>SUM(BL15:BL114)</f>
        <v>49969.407082509744</v>
      </c>
      <c r="BO116" s="11">
        <f>SUM(BO15:BO114)</f>
        <v>1351611.0949267426</v>
      </c>
      <c r="BR116" s="11">
        <f>SUM(BR15:BR114)</f>
        <v>99930.631580966612</v>
      </c>
    </row>
    <row r="117" spans="2:70" x14ac:dyDescent="0.15">
      <c r="I117" s="236" t="s">
        <v>145</v>
      </c>
      <c r="W117" s="11"/>
      <c r="Z117" s="11">
        <f ca="1">IF(ISNUMBER($F$16),SUM(INDIRECT(ADDRESS($F$16+15,COLUMN())):INDIRECT(ADDRESS(114,COLUMN()))),"")</f>
        <v>0</v>
      </c>
      <c r="AC117" s="11">
        <f ca="1">IF(ISNUMBER($F$16),SUM(INDIRECT(ADDRESS($F$16+15,COLUMN())):INDIRECT(ADDRESS(114,COLUMN()))),"")</f>
        <v>27126.141555152513</v>
      </c>
      <c r="AF117" s="11">
        <f ca="1">IF(ISNUMBER($F$16),SUM(INDIRECT(ADDRESS($F$16+15,COLUMN())):INDIRECT(ADDRESS(114,COLUMN()))),"")</f>
        <v>0</v>
      </c>
      <c r="AI117" s="11">
        <f ca="1">IF(ISNUMBER($F$16),SUM(INDIRECT(ADDRESS($F$16+15,COLUMN())):INDIRECT(ADDRESS(114,COLUMN()))),"")</f>
        <v>133244.17281753285</v>
      </c>
      <c r="AL117" s="11">
        <f ca="1">IF(ISNUMBER($F$16),SUM(INDIRECT(ADDRESS($F$16+15,COLUMN())):INDIRECT(ADDRESS(114,COLUMN()))),"")</f>
        <v>0</v>
      </c>
      <c r="AO117" s="11">
        <f ca="1">IF(ISNUMBER($F$16),SUM(INDIRECT(ADDRESS($F$16+15,COLUMN())):INDIRECT(ADDRESS(114,COLUMN()))),"")</f>
        <v>0</v>
      </c>
      <c r="AR117" s="11">
        <f ca="1">IF(ISNUMBER($F$16),SUM(INDIRECT(ADDRESS($F$16+15,COLUMN())):INDIRECT(ADDRESS(114,COLUMN()))),"")</f>
        <v>0</v>
      </c>
      <c r="AW117" s="11">
        <f ca="1">IF(ISNUMBER($F$16),SUM(INDIRECT(ADDRESS($F$16+15,COLUMN())):INDIRECT(ADDRESS(114,COLUMN()))),"")</f>
        <v>0</v>
      </c>
      <c r="BB117" s="11">
        <f ca="1">IF(ISNUMBER($F$16),SUM(INDIRECT(ADDRESS($F$16+15,COLUMN())):INDIRECT(ADDRESS(114,COLUMN()))),"")</f>
        <v>0</v>
      </c>
      <c r="BE117" s="11">
        <f ca="1">IF(ISNUMBER($F$16),SUM(INDIRECT(ADDRESS($F$16+15,COLUMN())):INDIRECT(ADDRESS(114,COLUMN()))),"")</f>
        <v>0</v>
      </c>
      <c r="BH117" s="11">
        <f ca="1">IF(ISNUMBER($F$16),SUM(INDIRECT(ADDRESS($F$16+15,COLUMN())):INDIRECT(ADDRESS(114,COLUMN()))),"")</f>
        <v>0</v>
      </c>
      <c r="BK117" s="11">
        <f ca="1">IF(ISNUMBER($F$16),SUM(INDIRECT(ADDRESS($F$16+15,COLUMN())):INDIRECT(ADDRESS(114,COLUMN()))),"")</f>
        <v>41369.397496316436</v>
      </c>
      <c r="BL117" s="11">
        <f ca="1">IF(ISNUMBER($F$16),SUM(INDIRECT(ADDRESS($F$16+15,COLUMN())):INDIRECT(ADDRESS(114,COLUMN()))),"")</f>
        <v>0</v>
      </c>
      <c r="BO117" s="11">
        <f ca="1">IF(ISNUMBER($F$16),SUM(INDIRECT(ADDRESS($F$16+15,COLUMN())):INDIRECT(ADDRESS(114,COLUMN()))),"")</f>
        <v>0</v>
      </c>
      <c r="BR117" s="11">
        <f ca="1">IF(ISNUMBER($F$16),SUM(INDIRECT(ADDRESS($F$16+15,COLUMN())):INDIRECT(ADDRESS(114,COLUMN()))),"")</f>
        <v>49453.892164464058</v>
      </c>
    </row>
    <row r="118" spans="2:70" x14ac:dyDescent="0.15">
      <c r="C118" s="9" t="s">
        <v>529</v>
      </c>
      <c r="F118" s="44">
        <f>F22*10^4*F13*10^4+F30*10^8</f>
        <v>1170000</v>
      </c>
      <c r="G118" s="81" t="s">
        <v>208</v>
      </c>
    </row>
    <row r="120" spans="2:70" x14ac:dyDescent="0.15">
      <c r="C120" s="9" t="s">
        <v>521</v>
      </c>
      <c r="F120" s="44">
        <f>VLOOKUP(F3,'表2）法定耐用年数'!$A$2:$B$24,2,0)</f>
        <v>17</v>
      </c>
      <c r="G120" s="81" t="s">
        <v>108</v>
      </c>
    </row>
    <row r="122" spans="2:70" x14ac:dyDescent="0.15">
      <c r="C122" s="89" t="s">
        <v>522</v>
      </c>
      <c r="D122" s="101"/>
      <c r="E122" s="101"/>
      <c r="F122" s="89"/>
      <c r="G122" s="101"/>
    </row>
    <row r="124" spans="2:70" x14ac:dyDescent="0.15">
      <c r="D124" s="81" t="s">
        <v>209</v>
      </c>
      <c r="F124" s="95">
        <f>VLOOKUP($F$120,'表1）減価償却率表'!$A$9:$E$107,3,0)</f>
        <v>0.14699999999999999</v>
      </c>
    </row>
    <row r="125" spans="2:70" x14ac:dyDescent="0.15">
      <c r="D125" s="81" t="s">
        <v>210</v>
      </c>
      <c r="F125" s="95">
        <f>VLOOKUP($F$120,'表1）減価償却率表'!$A$9:$E$107,4,0)</f>
        <v>0.16700000000000001</v>
      </c>
    </row>
    <row r="126" spans="2:70" x14ac:dyDescent="0.15">
      <c r="D126" s="81" t="s">
        <v>211</v>
      </c>
      <c r="F126" s="88">
        <f>VLOOKUP($F$120,'表1）減価償却率表'!$A$9:$E$107,5,0)</f>
        <v>2.9049999999999999E-2</v>
      </c>
    </row>
    <row r="127" spans="2:70" x14ac:dyDescent="0.15">
      <c r="F127" s="96"/>
    </row>
    <row r="128" spans="2:70" x14ac:dyDescent="0.15">
      <c r="C128" s="111" t="s">
        <v>523</v>
      </c>
      <c r="D128" s="85"/>
      <c r="E128" s="114"/>
      <c r="F128" s="44">
        <f>F118*F126</f>
        <v>33988.5</v>
      </c>
      <c r="G128" s="81" t="s">
        <v>208</v>
      </c>
    </row>
    <row r="130" spans="3:7" x14ac:dyDescent="0.15">
      <c r="C130" s="111" t="s">
        <v>152</v>
      </c>
      <c r="D130" s="85"/>
      <c r="E130" s="85"/>
      <c r="F130" s="95">
        <f>0.1^(1/F120)</f>
        <v>0.87332616238284333</v>
      </c>
      <c r="G130" s="85"/>
    </row>
    <row r="132" spans="3:7" x14ac:dyDescent="0.15">
      <c r="C132" s="89" t="s">
        <v>524</v>
      </c>
      <c r="D132" s="101"/>
      <c r="E132" s="101"/>
      <c r="F132" s="89"/>
      <c r="G132" s="101"/>
    </row>
    <row r="134" spans="3:7" x14ac:dyDescent="0.15">
      <c r="D134" s="81" t="s">
        <v>212</v>
      </c>
      <c r="F134" s="44">
        <f>F13*10000*24*365*F14/100</f>
        <v>6044.4</v>
      </c>
      <c r="G134" s="81" t="s">
        <v>213</v>
      </c>
    </row>
    <row r="135" spans="3:7" x14ac:dyDescent="0.15">
      <c r="D135" s="81" t="s">
        <v>214</v>
      </c>
      <c r="F135" s="44">
        <f>F134*(1-F25/100)</f>
        <v>6044.4</v>
      </c>
      <c r="G135" s="81" t="s">
        <v>213</v>
      </c>
    </row>
    <row r="136" spans="3:7" x14ac:dyDescent="0.15">
      <c r="F136" s="97"/>
    </row>
    <row r="138" spans="3:7" ht="16.5" x14ac:dyDescent="0.15">
      <c r="C138" s="9" t="s">
        <v>525</v>
      </c>
      <c r="F138" s="44">
        <f>IF(ISERROR(F134*3.6/(F24/100)/F23),0,F134*3.6/(F24/100)/F23)</f>
        <v>0</v>
      </c>
      <c r="G138" s="9" t="s">
        <v>370</v>
      </c>
    </row>
    <row r="140" spans="3:7" x14ac:dyDescent="0.15">
      <c r="C140" s="89" t="s">
        <v>526</v>
      </c>
      <c r="D140" s="101"/>
      <c r="E140" s="101"/>
      <c r="F140" s="89"/>
      <c r="G140" s="101"/>
    </row>
    <row r="142" spans="3:7" x14ac:dyDescent="0.15">
      <c r="D142" s="81" t="s">
        <v>215</v>
      </c>
      <c r="F142" s="98" t="str">
        <f>IF(OR(F3="石炭火力",F3= "LNG火力", F3="ガスコジェネ",F3="バイオマス（石炭混焼）",F3="バイオマス（木質専焼）",F3="燃料電池"),IF($F$44="需要地価格","",1000),IF(OR(F3="石油火力",F3="石油コジェネ"),IF($F$44="需要地価格","",158.987294928),""))</f>
        <v/>
      </c>
      <c r="G142" s="81" t="s">
        <v>216</v>
      </c>
    </row>
    <row r="143" spans="3:7" x14ac:dyDescent="0.15">
      <c r="D143" s="81" t="s">
        <v>180</v>
      </c>
      <c r="F143" s="91">
        <f>IF(ISERROR(F43/1000),0,F43/1000)</f>
        <v>0</v>
      </c>
      <c r="G143" s="81" t="s">
        <v>217</v>
      </c>
    </row>
    <row r="146" spans="3:7" x14ac:dyDescent="0.15">
      <c r="C146" s="9" t="s">
        <v>368</v>
      </c>
      <c r="F146" s="98">
        <f>IF(ISERROR(F134*(F48*3.6/(F24/100)/1000*(44/12))),0,F134*(F48*3.6/(F24/100)/1000*(44/12)))</f>
        <v>0</v>
      </c>
      <c r="G146" s="81" t="s">
        <v>218</v>
      </c>
    </row>
    <row r="148" spans="3:7" x14ac:dyDescent="0.15">
      <c r="C148" s="89" t="s">
        <v>369</v>
      </c>
      <c r="D148" s="101"/>
      <c r="E148" s="101"/>
      <c r="F148" s="89"/>
      <c r="G148" s="101"/>
    </row>
    <row r="150" spans="3:7" x14ac:dyDescent="0.15">
      <c r="D150" s="81" t="s">
        <v>219</v>
      </c>
      <c r="F150" s="98">
        <f>IF(ISERROR(F53/F24),0,F53/F24)</f>
        <v>0</v>
      </c>
    </row>
    <row r="151" spans="3:7" x14ac:dyDescent="0.15">
      <c r="D151" s="81" t="s">
        <v>220</v>
      </c>
      <c r="F151" s="98">
        <f>F134*F150*(F54/100)*3.6</f>
        <v>0</v>
      </c>
      <c r="G151" s="81" t="s">
        <v>221</v>
      </c>
    </row>
    <row r="152" spans="3:7" ht="16.5" x14ac:dyDescent="0.15">
      <c r="D152" s="81" t="s">
        <v>222</v>
      </c>
      <c r="F152" s="44">
        <f>IF(ISERROR(F151/(F55/100)/F56),0,F151/(F55/100)/F56)</f>
        <v>0</v>
      </c>
      <c r="G152" s="9" t="s">
        <v>370</v>
      </c>
    </row>
    <row r="153" spans="3:7" x14ac:dyDescent="0.15">
      <c r="D153" s="81" t="s">
        <v>223</v>
      </c>
      <c r="F153" s="146">
        <f>IF(ISERROR(F57/1000),0,F57/1000)</f>
        <v>0</v>
      </c>
      <c r="G153" s="81" t="s">
        <v>217</v>
      </c>
    </row>
    <row r="154" spans="3:7" x14ac:dyDescent="0.15">
      <c r="D154" s="81" t="s">
        <v>224</v>
      </c>
      <c r="F154" s="98">
        <f>IF(ISERROR(F151*F48/1000*(44/12)/(F55/100)),0,F151*F48/1000*(44/12)/(F55/100))</f>
        <v>0</v>
      </c>
      <c r="G154" s="81" t="s">
        <v>218</v>
      </c>
    </row>
  </sheetData>
  <mergeCells count="48">
    <mergeCell ref="F3:G3"/>
    <mergeCell ref="V7:AF7"/>
    <mergeCell ref="AH7:AR7"/>
    <mergeCell ref="AT7:AW7"/>
    <mergeCell ref="AY7:BB7"/>
    <mergeCell ref="AQ9:AR10"/>
    <mergeCell ref="BJ7:BO7"/>
    <mergeCell ref="BQ7:BR7"/>
    <mergeCell ref="I9:I10"/>
    <mergeCell ref="K9:K10"/>
    <mergeCell ref="M9:M10"/>
    <mergeCell ref="O9:P10"/>
    <mergeCell ref="R9:R10"/>
    <mergeCell ref="T9:T10"/>
    <mergeCell ref="V9:W10"/>
    <mergeCell ref="Y9:Z10"/>
    <mergeCell ref="BD7:BH7"/>
    <mergeCell ref="AB9:AC10"/>
    <mergeCell ref="AE9:AF10"/>
    <mergeCell ref="AH9:AI10"/>
    <mergeCell ref="AK9:AL10"/>
    <mergeCell ref="AN9:AO10"/>
    <mergeCell ref="BJ9:BL10"/>
    <mergeCell ref="BN9:BO10"/>
    <mergeCell ref="P12:P13"/>
    <mergeCell ref="W12:W13"/>
    <mergeCell ref="Z12:Z13"/>
    <mergeCell ref="AC12:AC13"/>
    <mergeCell ref="AF12:AF13"/>
    <mergeCell ref="AI12:AI13"/>
    <mergeCell ref="AL12:AL13"/>
    <mergeCell ref="AO12:AO13"/>
    <mergeCell ref="AT9:AT10"/>
    <mergeCell ref="AV9:AW10"/>
    <mergeCell ref="AY9:AY10"/>
    <mergeCell ref="BA9:BB10"/>
    <mergeCell ref="BD9:BE10"/>
    <mergeCell ref="BG9:BH10"/>
    <mergeCell ref="BK12:BK13"/>
    <mergeCell ref="BL12:BL13"/>
    <mergeCell ref="BO12:BO13"/>
    <mergeCell ref="BR12:BR13"/>
    <mergeCell ref="BJ12:BJ13"/>
    <mergeCell ref="AR12:AR13"/>
    <mergeCell ref="AW12:AW13"/>
    <mergeCell ref="BB12:BB13"/>
    <mergeCell ref="BE12:BE13"/>
    <mergeCell ref="BH12:BH13"/>
  </mergeCells>
  <phoneticPr fontId="56"/>
  <dataValidations count="4">
    <dataValidation type="list" allowBlank="1" showDropDown="1" showInputMessage="1" showErrorMessage="1" sqref="F3:G3" xr:uid="{00000000-0002-0000-1400-000000000000}">
      <formula1>"原子力,石炭火力,LNG火力,石油火力,一般水力,太陽光（メガソーラー）,太陽光（住宅用）,風力（陸上）,風力（洋上）,小水力,地熱,バイオマス（石炭混焼）,バイオマス（木質専焼）,ガスコジェネ,石油コジェネ,燃料電池"</formula1>
    </dataValidation>
    <dataValidation type="list" allowBlank="1" showDropDown="1" showInputMessage="1" showErrorMessage="1" sqref="F49 F42" xr:uid="{00000000-0002-0000-1400-000001000000}">
      <formula1>"現行政策シナリオ, 新政策シナリオ"</formula1>
    </dataValidation>
    <dataValidation type="whole" allowBlank="1" showInputMessage="1" showErrorMessage="1" sqref="F7" xr:uid="{00000000-0002-0000-1400-000002000000}">
      <formula1>2010</formula1>
      <formula2>2030</formula2>
    </dataValidation>
    <dataValidation type="list" allowBlank="1" showDropDown="1" showInputMessage="1" showErrorMessage="1" sqref="F44" xr:uid="{00000000-0002-0000-1400-000003000000}">
      <formula1>"CIF価格, 需要地価格"</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BR153"/>
  <sheetViews>
    <sheetView showGridLines="0" zoomScale="85" zoomScaleNormal="85" workbookViewId="0">
      <pane xSplit="10" ySplit="14" topLeftCell="AA30" activePane="bottomRight" state="frozen"/>
      <selection pane="topRight" activeCell="AF12" sqref="AF12:AF13"/>
      <selection pane="bottomLeft" activeCell="AF12" sqref="AF12:AF13"/>
      <selection pane="bottomRight" activeCell="AC36" sqref="AC36"/>
    </sheetView>
  </sheetViews>
  <sheetFormatPr defaultColWidth="9" defaultRowHeight="14.25" outlineLevelCol="1" x14ac:dyDescent="0.15"/>
  <cols>
    <col min="1" max="3" width="6.25" style="9" customWidth="1"/>
    <col min="4" max="4" width="6.25" style="81" customWidth="1"/>
    <col min="5" max="5" width="24.375" style="81" customWidth="1"/>
    <col min="6" max="6" width="18.75" style="9" customWidth="1"/>
    <col min="7" max="7" width="24.375" style="81" bestFit="1" customWidth="1"/>
    <col min="8" max="8" width="9" style="9"/>
    <col min="9" max="9" width="6.25" style="9" customWidth="1"/>
    <col min="10" max="10" width="3" style="2" customWidth="1"/>
    <col min="11" max="11" width="6.25" style="2" customWidth="1"/>
    <col min="12" max="12" width="3" style="2" customWidth="1"/>
    <col min="13" max="13" width="6.25" style="2" customWidth="1"/>
    <col min="14" max="14" width="3" style="2" customWidth="1"/>
    <col min="15" max="15" width="17.375" style="2" bestFit="1" customWidth="1"/>
    <col min="16" max="16" width="8.625" style="2" customWidth="1"/>
    <col min="17" max="17" width="3" style="2" customWidth="1"/>
    <col min="18" max="18" width="17.375" style="2" bestFit="1" customWidth="1"/>
    <col min="19" max="19" width="3" style="2" customWidth="1"/>
    <col min="20" max="20" width="17.375" style="2" bestFit="1" customWidth="1"/>
    <col min="21" max="21" width="3" style="2" customWidth="1"/>
    <col min="22" max="22" width="15" style="2" customWidth="1" outlineLevel="1"/>
    <col min="23" max="23" width="17.375" style="2" bestFit="1" customWidth="1"/>
    <col min="24" max="24" width="3" style="2" customWidth="1"/>
    <col min="25" max="25" width="15" style="2" customWidth="1" outlineLevel="1"/>
    <col min="26" max="26" width="15" style="2" customWidth="1"/>
    <col min="27" max="27" width="3" style="2" customWidth="1"/>
    <col min="28" max="28" width="15" style="2" customWidth="1" outlineLevel="1"/>
    <col min="29" max="29" width="15" style="2" customWidth="1"/>
    <col min="30" max="30" width="3" style="2" customWidth="1"/>
    <col min="31" max="31" width="15" style="2" customWidth="1" outlineLevel="1"/>
    <col min="32" max="32" width="15" style="2" customWidth="1"/>
    <col min="33" max="33" width="3" style="2" customWidth="1"/>
    <col min="34" max="34" width="14.875" style="2" customWidth="1" outlineLevel="1"/>
    <col min="35" max="35" width="15" style="2" customWidth="1"/>
    <col min="36" max="36" width="3" style="2" customWidth="1"/>
    <col min="37" max="37" width="15" style="2" customWidth="1" outlineLevel="1"/>
    <col min="38" max="38" width="15" style="2" customWidth="1"/>
    <col min="39" max="39" width="3" style="2" customWidth="1"/>
    <col min="40" max="40" width="15" style="2" customWidth="1" outlineLevel="1"/>
    <col min="41" max="41" width="15" style="2" customWidth="1"/>
    <col min="42" max="42" width="3" style="2" customWidth="1"/>
    <col min="43" max="43" width="15" style="2" customWidth="1" outlineLevel="1"/>
    <col min="44" max="44" width="15" style="2" customWidth="1"/>
    <col min="45" max="45" width="3" style="2" customWidth="1"/>
    <col min="46" max="46" width="10.75" style="2" bestFit="1" customWidth="1"/>
    <col min="47" max="47" width="3" style="2" customWidth="1"/>
    <col min="48" max="48" width="15" style="2" customWidth="1" outlineLevel="1"/>
    <col min="49" max="49" width="17.375" style="2" bestFit="1" customWidth="1"/>
    <col min="50" max="50" width="3" style="2" customWidth="1"/>
    <col min="51" max="51" width="9.625" style="2" bestFit="1" customWidth="1"/>
    <col min="52" max="52" width="3" style="2" customWidth="1"/>
    <col min="53" max="53" width="15" style="2" customWidth="1" outlineLevel="1"/>
    <col min="54" max="54" width="17.375" style="2" bestFit="1" customWidth="1"/>
    <col min="55" max="55" width="3" style="2" customWidth="1"/>
    <col min="56" max="56" width="19.25" style="2" customWidth="1" outlineLevel="1"/>
    <col min="57" max="57" width="19.25" style="2" bestFit="1" customWidth="1"/>
    <col min="58" max="58" width="3" style="2" customWidth="1"/>
    <col min="59" max="59" width="19.25" style="2" customWidth="1" outlineLevel="1"/>
    <col min="60" max="60" width="19.25" style="2"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2" customWidth="1" outlineLevel="1"/>
    <col min="70" max="70" width="17.375" style="2" bestFit="1" customWidth="1"/>
    <col min="71" max="16384" width="9" style="2"/>
  </cols>
  <sheetData>
    <row r="1" spans="1:70" ht="18.75" x14ac:dyDescent="0.15">
      <c r="A1" s="465" t="s">
        <v>60</v>
      </c>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Q1" s="71"/>
      <c r="BR1" s="71"/>
    </row>
    <row r="2" spans="1:70" x14ac:dyDescent="0.15">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Q2" s="71"/>
      <c r="BR2" s="71"/>
    </row>
    <row r="3" spans="1:70" ht="23.25" x14ac:dyDescent="0.15">
      <c r="B3" s="462" t="s">
        <v>517</v>
      </c>
      <c r="F3" s="728" t="s">
        <v>244</v>
      </c>
      <c r="G3" s="725"/>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Q3" s="71"/>
      <c r="BR3" s="71"/>
    </row>
    <row r="4" spans="1:70" x14ac:dyDescent="0.15">
      <c r="G4" s="112"/>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Q4" s="71"/>
      <c r="BR4" s="71"/>
    </row>
    <row r="5" spans="1:70" ht="15.75" thickBot="1" x14ac:dyDescent="0.2">
      <c r="B5" s="460" t="s">
        <v>518</v>
      </c>
      <c r="C5" s="86"/>
      <c r="D5" s="104"/>
      <c r="E5" s="104"/>
      <c r="F5" s="86"/>
      <c r="G5" s="104"/>
      <c r="I5" s="460" t="s">
        <v>531</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111"/>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9" t="s">
        <v>65</v>
      </c>
      <c r="F7" s="87">
        <v>2020</v>
      </c>
      <c r="I7" s="111"/>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9" t="s">
        <v>519</v>
      </c>
      <c r="F8" s="88">
        <f>まとめ!B3</f>
        <v>107</v>
      </c>
      <c r="G8" s="81" t="s">
        <v>171</v>
      </c>
      <c r="I8" s="111"/>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9" t="s">
        <v>520</v>
      </c>
      <c r="F9" s="88">
        <f>まとめ!B2</f>
        <v>3</v>
      </c>
      <c r="G9" s="81" t="s">
        <v>172</v>
      </c>
      <c r="I9" s="726" t="s">
        <v>532</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30" t="s">
        <v>232</v>
      </c>
      <c r="AI9" s="729"/>
      <c r="AJ9" s="60"/>
      <c r="AK9" s="730" t="s">
        <v>233</v>
      </c>
      <c r="AL9" s="729"/>
      <c r="AM9" s="111"/>
      <c r="AN9" s="730" t="s">
        <v>233</v>
      </c>
      <c r="AO9" s="729"/>
      <c r="AP9" s="111"/>
      <c r="AQ9" s="730" t="s">
        <v>233</v>
      </c>
      <c r="AR9" s="729"/>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I10" s="727"/>
      <c r="J10" s="71"/>
      <c r="K10" s="708"/>
      <c r="L10" s="71"/>
      <c r="M10" s="708"/>
      <c r="N10" s="71"/>
      <c r="O10" s="717"/>
      <c r="P10" s="717"/>
      <c r="Q10" s="71"/>
      <c r="R10" s="708"/>
      <c r="S10" s="71"/>
      <c r="T10" s="708"/>
      <c r="U10" s="71"/>
      <c r="V10" s="717"/>
      <c r="W10" s="717"/>
      <c r="X10" s="71"/>
      <c r="Y10" s="717"/>
      <c r="Z10" s="717"/>
      <c r="AA10" s="71"/>
      <c r="AB10" s="723"/>
      <c r="AC10" s="723"/>
      <c r="AD10" s="81"/>
      <c r="AE10" s="723"/>
      <c r="AF10" s="723"/>
      <c r="AG10" s="71"/>
      <c r="AH10" s="731"/>
      <c r="AI10" s="731"/>
      <c r="AJ10" s="61"/>
      <c r="AK10" s="731"/>
      <c r="AL10" s="731"/>
      <c r="AM10" s="9"/>
      <c r="AN10" s="731"/>
      <c r="AO10" s="731"/>
      <c r="AP10" s="9"/>
      <c r="AQ10" s="731"/>
      <c r="AR10" s="731"/>
      <c r="AS10" s="71"/>
      <c r="AT10" s="717"/>
      <c r="AU10" s="71"/>
      <c r="AV10" s="717"/>
      <c r="AW10" s="717"/>
      <c r="AX10" s="322"/>
      <c r="AY10" s="708"/>
      <c r="AZ10" s="71"/>
      <c r="BA10" s="708"/>
      <c r="BB10" s="708"/>
      <c r="BC10" s="71"/>
      <c r="BD10" s="717"/>
      <c r="BE10" s="717"/>
      <c r="BF10" s="71"/>
      <c r="BG10" s="717"/>
      <c r="BH10" s="717"/>
      <c r="BJ10" s="708"/>
      <c r="BK10" s="708"/>
      <c r="BL10" s="708"/>
      <c r="BM10" s="322"/>
      <c r="BN10" s="717"/>
      <c r="BO10" s="717"/>
      <c r="BQ10" s="322"/>
      <c r="BR10" s="322"/>
    </row>
    <row r="11" spans="1:70" ht="15.75" customHeight="1" thickBot="1" x14ac:dyDescent="0.2">
      <c r="B11" s="460" t="s">
        <v>95</v>
      </c>
      <c r="C11" s="86"/>
      <c r="D11" s="104"/>
      <c r="E11" s="104"/>
      <c r="F11" s="86"/>
      <c r="G11" s="104"/>
      <c r="J11" s="71"/>
      <c r="K11" s="71"/>
      <c r="L11" s="71"/>
      <c r="M11" s="71"/>
      <c r="N11" s="71"/>
      <c r="O11" s="322" t="s">
        <v>96</v>
      </c>
      <c r="P11" s="322"/>
      <c r="Q11" s="322"/>
      <c r="R11" s="322" t="s">
        <v>96</v>
      </c>
      <c r="S11" s="322"/>
      <c r="T11" s="322"/>
      <c r="U11" s="71"/>
      <c r="V11" s="322"/>
      <c r="W11" s="322"/>
      <c r="X11" s="71"/>
      <c r="Y11" s="322"/>
      <c r="Z11" s="322"/>
      <c r="AA11" s="71"/>
      <c r="AB11" s="322"/>
      <c r="AC11" s="322"/>
      <c r="AD11" s="71"/>
      <c r="AE11" s="322"/>
      <c r="AF11" s="322"/>
      <c r="AG11" s="71"/>
      <c r="AH11" s="322"/>
      <c r="AI11" s="322"/>
      <c r="AJ11" s="71"/>
      <c r="AK11" s="322"/>
      <c r="AL11" s="322"/>
      <c r="AM11" s="71"/>
      <c r="AN11" s="322"/>
      <c r="AO11" s="322"/>
      <c r="AP11" s="71"/>
      <c r="AQ11" s="322"/>
      <c r="AR11" s="322"/>
      <c r="AS11" s="71"/>
      <c r="AT11" s="322"/>
      <c r="AU11" s="71"/>
      <c r="AV11" s="322"/>
      <c r="AW11" s="322"/>
      <c r="AX11" s="322"/>
      <c r="AY11" s="71"/>
      <c r="AZ11" s="71"/>
      <c r="BA11" s="71"/>
      <c r="BB11" s="322"/>
      <c r="BC11" s="71"/>
      <c r="BD11" s="322"/>
      <c r="BE11" s="322"/>
      <c r="BF11" s="71"/>
      <c r="BG11" s="322"/>
      <c r="BH11" s="322"/>
      <c r="BJ11" s="156"/>
      <c r="BM11" s="322"/>
      <c r="BN11" s="322"/>
      <c r="BO11" s="322"/>
      <c r="BQ11" s="322"/>
      <c r="BR11" s="322"/>
    </row>
    <row r="12" spans="1:70" ht="14.25" customHeight="1" x14ac:dyDescent="0.15">
      <c r="J12" s="71"/>
      <c r="K12" s="71"/>
      <c r="L12" s="71"/>
      <c r="M12" s="71"/>
      <c r="N12" s="71"/>
      <c r="O12" s="322"/>
      <c r="P12" s="707" t="s">
        <v>97</v>
      </c>
      <c r="Q12" s="71"/>
      <c r="R12" s="71"/>
      <c r="S12" s="71"/>
      <c r="T12" s="71"/>
      <c r="U12" s="71"/>
      <c r="V12" s="71"/>
      <c r="W12" s="707" t="s">
        <v>98</v>
      </c>
      <c r="X12" s="71"/>
      <c r="Y12" s="71"/>
      <c r="Z12" s="707" t="s">
        <v>98</v>
      </c>
      <c r="AA12" s="71"/>
      <c r="AB12" s="71"/>
      <c r="AC12" s="707" t="s">
        <v>98</v>
      </c>
      <c r="AD12" s="71"/>
      <c r="AE12" s="71"/>
      <c r="AF12" s="707" t="s">
        <v>98</v>
      </c>
      <c r="AG12" s="71"/>
      <c r="AH12" s="71"/>
      <c r="AI12" s="707" t="s">
        <v>98</v>
      </c>
      <c r="AJ12" s="71"/>
      <c r="AK12" s="71"/>
      <c r="AL12" s="707" t="s">
        <v>98</v>
      </c>
      <c r="AM12" s="71"/>
      <c r="AN12" s="71"/>
      <c r="AO12" s="707" t="s">
        <v>98</v>
      </c>
      <c r="AP12" s="71"/>
      <c r="AQ12" s="71"/>
      <c r="AR12" s="707" t="s">
        <v>98</v>
      </c>
      <c r="AS12" s="71"/>
      <c r="AT12" s="71"/>
      <c r="AU12" s="71"/>
      <c r="AV12" s="71"/>
      <c r="AW12" s="707" t="s">
        <v>98</v>
      </c>
      <c r="AX12" s="71"/>
      <c r="AY12" s="71"/>
      <c r="AZ12" s="71"/>
      <c r="BA12" s="71"/>
      <c r="BB12" s="707" t="s">
        <v>98</v>
      </c>
      <c r="BC12" s="71"/>
      <c r="BD12" s="71"/>
      <c r="BE12" s="707" t="s">
        <v>98</v>
      </c>
      <c r="BF12" s="71"/>
      <c r="BG12" s="71"/>
      <c r="BH12" s="707" t="s">
        <v>98</v>
      </c>
      <c r="BJ12" s="709" t="s">
        <v>99</v>
      </c>
      <c r="BK12" s="709" t="s">
        <v>100</v>
      </c>
      <c r="BL12" s="709" t="s">
        <v>101</v>
      </c>
      <c r="BO12" s="709" t="s">
        <v>102</v>
      </c>
      <c r="BQ12" s="71"/>
      <c r="BR12" s="707" t="s">
        <v>103</v>
      </c>
    </row>
    <row r="13" spans="1:70" ht="14.25" customHeight="1" x14ac:dyDescent="0.15">
      <c r="C13" s="9" t="s">
        <v>504</v>
      </c>
      <c r="F13" s="66">
        <v>3</v>
      </c>
      <c r="G13" s="81" t="s">
        <v>173</v>
      </c>
      <c r="J13" s="71"/>
      <c r="K13" s="71"/>
      <c r="L13" s="71"/>
      <c r="M13" s="71"/>
      <c r="N13" s="71"/>
      <c r="O13" s="322"/>
      <c r="P13" s="708"/>
      <c r="Q13" s="322"/>
      <c r="R13" s="322"/>
      <c r="S13" s="322"/>
      <c r="T13" s="322"/>
      <c r="U13" s="71"/>
      <c r="V13" s="322"/>
      <c r="W13" s="708"/>
      <c r="X13" s="71"/>
      <c r="Y13" s="322"/>
      <c r="Z13" s="708"/>
      <c r="AA13" s="71"/>
      <c r="AB13" s="322"/>
      <c r="AC13" s="708"/>
      <c r="AD13" s="71"/>
      <c r="AE13" s="322"/>
      <c r="AF13" s="708"/>
      <c r="AG13" s="71"/>
      <c r="AH13" s="322"/>
      <c r="AI13" s="708"/>
      <c r="AJ13" s="71"/>
      <c r="AK13" s="322"/>
      <c r="AL13" s="708"/>
      <c r="AM13" s="71"/>
      <c r="AN13" s="322"/>
      <c r="AO13" s="708"/>
      <c r="AP13" s="71"/>
      <c r="AQ13" s="322"/>
      <c r="AR13" s="708"/>
      <c r="AS13" s="71"/>
      <c r="AT13" s="322"/>
      <c r="AU13" s="71"/>
      <c r="AV13" s="322"/>
      <c r="AW13" s="708"/>
      <c r="AX13" s="71"/>
      <c r="AY13" s="71"/>
      <c r="AZ13" s="71"/>
      <c r="BA13" s="71"/>
      <c r="BB13" s="708"/>
      <c r="BC13" s="71"/>
      <c r="BD13" s="322"/>
      <c r="BE13" s="708"/>
      <c r="BF13" s="71"/>
      <c r="BG13" s="322"/>
      <c r="BH13" s="708"/>
      <c r="BJ13" s="712"/>
      <c r="BK13" s="710"/>
      <c r="BL13" s="708"/>
      <c r="BM13" s="322"/>
      <c r="BO13" s="708"/>
      <c r="BQ13" s="322"/>
      <c r="BR13" s="708"/>
    </row>
    <row r="14" spans="1:70" ht="16.5" x14ac:dyDescent="0.15">
      <c r="C14" s="9" t="s">
        <v>505</v>
      </c>
      <c r="F14" s="88">
        <f>VLOOKUP(F3&amp;IF(G4&lt;&gt;"","_"&amp;G4,""),まとめ!$A$12:$G$34,IF(F7=2030,4,IF(F7=2020,3,IF(F7=2014,2,"-"))),0)</f>
        <v>25.4</v>
      </c>
      <c r="G14" s="81" t="s">
        <v>172</v>
      </c>
      <c r="J14" s="71"/>
      <c r="K14" s="71"/>
      <c r="L14" s="71"/>
      <c r="M14" s="71"/>
      <c r="N14" s="71"/>
      <c r="O14" s="322"/>
      <c r="P14" s="322"/>
      <c r="Q14" s="322"/>
      <c r="R14" s="322"/>
      <c r="S14" s="322"/>
      <c r="T14" s="322"/>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50" t="s">
        <v>104</v>
      </c>
      <c r="AU14" s="71"/>
      <c r="AV14" s="71"/>
      <c r="AW14" s="71"/>
      <c r="AX14" s="71"/>
      <c r="AY14" s="71" t="s">
        <v>105</v>
      </c>
      <c r="AZ14" s="71"/>
      <c r="BA14" s="71"/>
      <c r="BB14" s="71"/>
      <c r="BC14" s="71"/>
      <c r="BD14" s="71"/>
      <c r="BE14" s="71"/>
      <c r="BF14" s="71"/>
      <c r="BG14" s="71"/>
      <c r="BH14" s="71"/>
      <c r="BQ14" s="71"/>
      <c r="BR14" s="71"/>
    </row>
    <row r="15" spans="1:70" x14ac:dyDescent="0.15">
      <c r="C15" s="9" t="s">
        <v>506</v>
      </c>
      <c r="F15" s="88">
        <f>VLOOKUP(F3&amp;IF(G4&lt;&gt;"","_"&amp;G4,""),まとめ!$A$12:$G$34,IF(F7=2030,7,IF(F7=2020,6,IF(F7=2014,5,"-"))),0)</f>
        <v>25</v>
      </c>
      <c r="G15" s="81" t="s">
        <v>108</v>
      </c>
      <c r="I15" s="458">
        <f>F7</f>
        <v>2020</v>
      </c>
      <c r="J15" s="39"/>
      <c r="K15" s="39">
        <f>IF(I15&lt;&gt;"",1,"")</f>
        <v>1</v>
      </c>
      <c r="L15" s="39"/>
      <c r="M15" s="40">
        <f t="shared" ref="M15:M78" si="0">1/(1+($F$9/100))^K15</f>
        <v>0.970873786407767</v>
      </c>
      <c r="N15" s="39"/>
      <c r="O15" s="72">
        <f>F117</f>
        <v>10410000000</v>
      </c>
      <c r="P15" s="41">
        <f t="shared" ref="P15:P46" si="1">IF(K15&lt;=$F$15,IF(OR(P14=$F$124,P14="-"),"-",IF(O15*$F$123&gt;$F$127,$F$123,$F$124)),"")</f>
        <v>0.14699999999999999</v>
      </c>
      <c r="Q15" s="39"/>
      <c r="R15" s="72">
        <f>F117</f>
        <v>10410000000</v>
      </c>
      <c r="S15" s="39"/>
      <c r="T15" s="72">
        <f>IF(ISNUMBER(R15),ROUNDDOWN(R15,-3),"")</f>
        <v>10410000000</v>
      </c>
      <c r="U15" s="39"/>
      <c r="V15" s="72">
        <f t="shared" ref="V15:V46" si="2">IF(K15&lt;=$F$15,IF(K15&lt;$F$119,IF(P15="-",V14,O15*P15),IF(K15=$F$119,MIN(IF(P15="-",V14,O15*P15),O15),0)),"")</f>
        <v>1530270000</v>
      </c>
      <c r="W15" s="72">
        <f>IF(ISNUMBER(V15),V15*$M15,"")</f>
        <v>1485699029.1262136</v>
      </c>
      <c r="X15" s="39"/>
      <c r="Y15" s="72">
        <f t="shared" ref="Y15:Y46" si="3">IF($K15&lt;=$F$15,ROUNDDOWN(T15*$F$25/100,-2),"")</f>
        <v>145740000</v>
      </c>
      <c r="Z15" s="72">
        <f>IF(ISNUMBER(Y15),Y15*$M15,"")</f>
        <v>141495145.63106796</v>
      </c>
      <c r="AA15" s="39"/>
      <c r="AB15" s="72">
        <f t="shared" ref="AB15:AB78" si="4">IF($K15&lt;=$F$15,0,IF(AND($K15&gt;$F$15,$K15&lt;=$F$15+$F$28),$F$27*10^8/$F$28,""))</f>
        <v>0</v>
      </c>
      <c r="AC15" s="72">
        <f>IF(ISNUMBER(AB15),AB15*$M15,"")</f>
        <v>0</v>
      </c>
      <c r="AD15" s="39"/>
      <c r="AE15" s="72">
        <f t="shared" ref="AE15:AE46" si="5">IF($K15&lt;=$F$15,$F$26,"")</f>
        <v>0</v>
      </c>
      <c r="AF15" s="72">
        <f>IF(ISNUMBER(AE15),AE15*$M15,"")</f>
        <v>0</v>
      </c>
      <c r="AG15" s="39"/>
      <c r="AH15" s="72">
        <f t="shared" ref="AH15:AH46" si="6">IF($K15&lt;=$F$15,$F$33*10^4*$F$13*10^4,"")</f>
        <v>312000000</v>
      </c>
      <c r="AI15" s="72">
        <f>IF(ISNUMBER(AH15),AH15*$M15,"")</f>
        <v>302912621.35922331</v>
      </c>
      <c r="AJ15" s="39"/>
      <c r="AK15" s="72">
        <f t="shared" ref="AK15:AK46" si="7">IF($K15&lt;=$F$15,$F$117*$F$34/100,"")</f>
        <v>0</v>
      </c>
      <c r="AL15" s="72">
        <f>IF(ISNUMBER(AK15),AK15*$M15,"")</f>
        <v>0</v>
      </c>
      <c r="AM15" s="39"/>
      <c r="AN15" s="72">
        <f t="shared" ref="AN15:AN46" si="8">IF($K15&lt;=$F$15,$F$117*$F$35/100,"")</f>
        <v>0</v>
      </c>
      <c r="AO15" s="72">
        <f>IF(ISNUMBER(AN15),AN15*$M15,"")</f>
        <v>0</v>
      </c>
      <c r="AP15" s="39"/>
      <c r="AQ15" s="72">
        <f t="shared" ref="AQ15:AQ46" si="9">IF($K15&lt;=$F$15,SUM(AH15,AK15,AN15)*($F$36/100),"")</f>
        <v>0</v>
      </c>
      <c r="AR15" s="72">
        <f>IF(ISNUMBER(AQ15),AQ15*$M15,"")</f>
        <v>0</v>
      </c>
      <c r="AS15" s="39"/>
      <c r="AT15" s="40">
        <f>IF($K15&lt;=$F$15,IF($F$40&lt;&gt;"",$F$40/1000,IF(ISERROR(VLOOKUP($F$3&amp;IF($G$4&lt;&gt;"",$G$4,"")&amp;IF($F$43&lt;&gt;"","_"&amp;$F$43,""),'表3）燃料価格'!$AF$9:$AG$25,2,0)),0,VLOOKUP($I15,'表3）燃料価格'!$A$6:$U$66,VLOOKUP($F$3&amp;IF($G$4&lt;&gt;"",$G$4,"")&amp;IF($F$43&lt;&gt;"","_"&amp;$F$43,""),'表3）燃料価格'!$AF$9:$AG$25,2,0)+VLOOKUP($F$41,'表3）燃料価格'!$AF$28:$AG$29,2,0),0)*IF($F$43="需要地価格",1,$F$8/$F$141))),"")</f>
        <v>0</v>
      </c>
      <c r="AU15" s="39"/>
      <c r="AV15" s="72">
        <f t="shared" ref="AV15:AV46" si="10">IF($K15&lt;=$F$15,($AT15+$F$142)*$F$137,"")</f>
        <v>0</v>
      </c>
      <c r="AW15" s="72">
        <f>IF(ISNUMBER(AV15),AV15*$M15,"")</f>
        <v>0</v>
      </c>
      <c r="AX15" s="39"/>
      <c r="AY15" s="40">
        <f>IF(ISERROR(IF($K15&lt;=$F$15,VLOOKUP($I15,'表4）CO2価格'!$A$7:$E$67,VLOOKUP($F$48,'表4）CO2価格'!$H$10:$I$12,2,0),0)*$F$8/1000,"")),0,IF($K15&lt;=$F$15,VLOOKUP($I15,'表4）CO2価格'!$A$7:$E$67,VLOOKUP($F$48,'表4）CO2価格'!$H$10:$I$12,2,0),0)*$F$8/1000,""))</f>
        <v>0</v>
      </c>
      <c r="AZ15" s="39"/>
      <c r="BA15" s="42">
        <f t="shared" ref="BA15:BA46" si="11">IF($K15&lt;=$F$15,$F$145*AY15,"")</f>
        <v>0</v>
      </c>
      <c r="BB15" s="72">
        <f>IF(ISNUMBER(BA15),BA15*$M15,"")</f>
        <v>0</v>
      </c>
      <c r="BC15" s="39"/>
      <c r="BD15" s="72">
        <f t="shared" ref="BD15:BD46" si="12">IF($K15&lt;=$F$15,($AT15+$F$152)*$F$151,"")</f>
        <v>0</v>
      </c>
      <c r="BE15" s="72">
        <f>IF(ISNUMBER(BD15),BD15*$M15,"")</f>
        <v>0</v>
      </c>
      <c r="BF15" s="39"/>
      <c r="BG15" s="42">
        <f t="shared" ref="BG15:BG46" si="13">IF($K15&lt;=$F$15,$F$153*AY15,"")</f>
        <v>0</v>
      </c>
      <c r="BH15" s="72">
        <f>IF(ISNUMBER(BG15),BG15*$M15,"")</f>
        <v>0</v>
      </c>
      <c r="BI15" s="39"/>
      <c r="BJ15" s="40">
        <f>IF(ISNUMBER($F$16),IF($K15&lt;=$F$16+$F$28,1/(1+($F$17/100))^K15,""),"")</f>
        <v>0.92592592592592582</v>
      </c>
      <c r="BK15" s="157">
        <f>IF(ISNUMBER($F$16),IF($K15&lt;=$F$16+$F$28,IF($K15&lt;=$F$16,SUM(Y15,AB15,AE15,AH15,AK15,AN15,AQ15,AV15,BA15,BD15,BG15),$F$27/$F$28*10^8)*BJ15,""),"")</f>
        <v>423833333.33333331</v>
      </c>
      <c r="BL15" s="157">
        <f t="shared" ref="BL15:BL78" si="14">IF(AND(ISNUMBER(BJ15),$K15&lt;=$F$16),BQ15*BJ15,"")</f>
        <v>61806666.666666657</v>
      </c>
      <c r="BM15" s="72"/>
      <c r="BN15" s="72">
        <f>IF(AND(ISNUMBER($F$16),$K15&lt;=$F$16),BQ15*($O$15+$BK$116)/$BL$116,"")</f>
        <v>1453609615.5666051</v>
      </c>
      <c r="BO15" s="72">
        <f>IF(ISNUMBER(BN15),BN15*$M15,"")</f>
        <v>1411271471.4238884</v>
      </c>
      <c r="BP15" s="39"/>
      <c r="BQ15" s="72">
        <f t="shared" ref="BQ15:BQ46" si="15">IF($K15&lt;=$F$15,$F$134,"")</f>
        <v>66751200</v>
      </c>
      <c r="BR15" s="72">
        <f>IF(ISNUMBER(BQ15),BQ15*$M15,"")</f>
        <v>64806990.291262135</v>
      </c>
    </row>
    <row r="16" spans="1:70" x14ac:dyDescent="0.15">
      <c r="C16" s="236" t="s">
        <v>107</v>
      </c>
      <c r="F16" s="88">
        <f>IF(ISERROR(VLOOKUP(F3&amp;IF(G4&lt;&gt;"","_"&amp;G4,""),'表7）買取期間・IRR'!$A$3:$A$10,1,0)),"",VLOOKUP(F3&amp;IF(G4&lt;&gt;"","_"&amp;G4,""),'表7）買取期間・IRR'!$A$3:$C$10,IF(F7=2030,3,IF(F7=2020,3,IF(F7=2014,2,"-"))),0))</f>
        <v>20</v>
      </c>
      <c r="G16" s="81" t="s">
        <v>108</v>
      </c>
      <c r="I16" s="459">
        <f>I15+1</f>
        <v>2021</v>
      </c>
      <c r="J16" s="71"/>
      <c r="K16" s="71">
        <f>IF(I16&lt;&gt;"",K15+1,"")</f>
        <v>2</v>
      </c>
      <c r="L16" s="71"/>
      <c r="M16" s="7">
        <f t="shared" si="0"/>
        <v>0.94259590913375435</v>
      </c>
      <c r="N16" s="71"/>
      <c r="O16" s="10">
        <f t="shared" ref="O16:O79" si="16">IF(K16&lt;=$F$15,O15-V15,"")</f>
        <v>8879730000</v>
      </c>
      <c r="P16" s="29">
        <f t="shared" si="1"/>
        <v>0.14699999999999999</v>
      </c>
      <c r="Q16" s="71"/>
      <c r="R16" s="10">
        <f t="shared" ref="R16:R47" si="17">IF($K16&lt;=$F$15,MAX($F$117*5%,R15*$F$129),"")</f>
        <v>9091325350.4053993</v>
      </c>
      <c r="S16" s="71"/>
      <c r="T16" s="10">
        <f t="shared" ref="T16:T79" si="18">IF(ISNUMBER(R16),ROUNDDOWN(R16,-3),"")</f>
        <v>9091325000</v>
      </c>
      <c r="U16" s="71"/>
      <c r="V16" s="10">
        <f t="shared" si="2"/>
        <v>1305320310</v>
      </c>
      <c r="W16" s="10">
        <f t="shared" ref="W16:W79" si="19">IF(ISNUMBER(V16),V16*$M16,"")</f>
        <v>1230389584.3152041</v>
      </c>
      <c r="X16" s="71"/>
      <c r="Y16" s="10">
        <f t="shared" si="3"/>
        <v>127278500</v>
      </c>
      <c r="Z16" s="10">
        <f t="shared" ref="Z16:Z79" si="20">IF(ISNUMBER(Y16),Y16*$M16,"")</f>
        <v>119972193.42068055</v>
      </c>
      <c r="AA16" s="71"/>
      <c r="AB16" s="10">
        <f t="shared" si="4"/>
        <v>0</v>
      </c>
      <c r="AC16" s="10">
        <f t="shared" ref="AC16:AC79" si="21">IF(ISNUMBER(AB16),AB16*$M16,"")</f>
        <v>0</v>
      </c>
      <c r="AD16" s="71"/>
      <c r="AE16" s="10">
        <f t="shared" si="5"/>
        <v>0</v>
      </c>
      <c r="AF16" s="10">
        <f t="shared" ref="AF16:AF79" si="22">IF(ISNUMBER(AE16),AE16*$M16,"")</f>
        <v>0</v>
      </c>
      <c r="AG16" s="71"/>
      <c r="AH16" s="10">
        <f t="shared" si="6"/>
        <v>312000000</v>
      </c>
      <c r="AI16" s="10">
        <f t="shared" ref="AI16:AI79" si="23">IF(ISNUMBER(AH16),AH16*$M16,"")</f>
        <v>294089923.64973134</v>
      </c>
      <c r="AJ16" s="71"/>
      <c r="AK16" s="10">
        <f t="shared" si="7"/>
        <v>0</v>
      </c>
      <c r="AL16" s="10">
        <f t="shared" ref="AL16:AL79" si="24">IF(ISNUMBER(AK16),AK16*$M16,"")</f>
        <v>0</v>
      </c>
      <c r="AM16" s="71"/>
      <c r="AN16" s="10">
        <f t="shared" si="8"/>
        <v>0</v>
      </c>
      <c r="AO16" s="10">
        <f t="shared" ref="AO16:AO79" si="25">IF(ISNUMBER(AN16),AN16*$M16,"")</f>
        <v>0</v>
      </c>
      <c r="AP16" s="71"/>
      <c r="AQ16" s="10">
        <f t="shared" si="9"/>
        <v>0</v>
      </c>
      <c r="AR16" s="10">
        <f t="shared" ref="AR16:AR79" si="26">IF(ISNUMBER(AQ16),AQ16*$M16,"")</f>
        <v>0</v>
      </c>
      <c r="AS16" s="71"/>
      <c r="AT16" s="7">
        <f>IF($K16&lt;=$F$15,IF($F$40&lt;&gt;"",$F$40/1000,IF(ISERROR(VLOOKUP($F$3&amp;IF($G$4&lt;&gt;"",$G$4,"")&amp;IF($F$43&lt;&gt;"","_"&amp;$F$43,""),'表3）燃料価格'!$AF$9:$AG$25,2,0)),0,VLOOKUP($I16,'表3）燃料価格'!$A$6:$U$66,VLOOKUP($F$3&amp;IF($G$4&lt;&gt;"",$G$4,"")&amp;IF($F$43&lt;&gt;"","_"&amp;$F$43,""),'表3）燃料価格'!$AF$9:$AG$25,2,0)+VLOOKUP($F$41,'表3）燃料価格'!$AF$28:$AG$29,2,0),0)*IF($F$43="需要地価格",1,$F$8/$F$141))),"")</f>
        <v>0</v>
      </c>
      <c r="AU16" s="71"/>
      <c r="AV16" s="10">
        <f t="shared" si="10"/>
        <v>0</v>
      </c>
      <c r="AW16" s="10">
        <f t="shared" ref="AW16:AW79" si="27">IF(ISNUMBER(AV16),AV16*$M16,"")</f>
        <v>0</v>
      </c>
      <c r="AX16" s="71"/>
      <c r="AY16" s="7">
        <f>IF(ISERROR(IF($K16&lt;=$F$15,VLOOKUP($I16,'表4）CO2価格'!$A$7:$E$67,VLOOKUP($F$48,'表4）CO2価格'!$H$10:$I$12,2,0),0)*$F$8/1000,"")),0,IF($K16&lt;=$F$15,VLOOKUP($I16,'表4）CO2価格'!$A$7:$E$67,VLOOKUP($F$48,'表4）CO2価格'!$H$10:$I$12,2,0),0)*$F$8/1000,""))</f>
        <v>0</v>
      </c>
      <c r="AZ16" s="71"/>
      <c r="BA16" s="11">
        <f t="shared" si="11"/>
        <v>0</v>
      </c>
      <c r="BB16" s="10">
        <f t="shared" ref="BB16:BB79" si="28">IF(ISNUMBER(BA16),BA16*$M16,"")</f>
        <v>0</v>
      </c>
      <c r="BC16" s="71"/>
      <c r="BD16" s="10">
        <f t="shared" si="12"/>
        <v>0</v>
      </c>
      <c r="BE16" s="10">
        <f t="shared" ref="BE16:BE79" si="29">IF(ISNUMBER(BD16),BD16*$M16,"")</f>
        <v>0</v>
      </c>
      <c r="BF16" s="71"/>
      <c r="BG16" s="11">
        <f t="shared" si="13"/>
        <v>0</v>
      </c>
      <c r="BH16" s="10">
        <f t="shared" ref="BH16:BH79" si="30">IF(ISNUMBER(BG16),BG16*$M16,"")</f>
        <v>0</v>
      </c>
      <c r="BJ16" s="7">
        <f t="shared" ref="BJ16:BJ79" si="31">IF(ISNUMBER($F$16),IF($K16&lt;=$F$16+$F$28,1/(1+($F$17/100))^K16,""),"")</f>
        <v>0.85733882030178321</v>
      </c>
      <c r="BK16" s="158">
        <f t="shared" ref="BK16:BK79" si="32">IF(ISNUMBER($F$16),IF($K16&lt;=$F$16+$F$28,IF($K16&lt;=$F$16,SUM(Y16,AB16,AE16,AH16,AK16,AN16,AQ16,AV16,BA16,BD16,BG16),$F$27/$F$28*10^8)*BJ16,""),"")</f>
        <v>376610510.97393686</v>
      </c>
      <c r="BL16" s="158">
        <f t="shared" si="14"/>
        <v>57228395.061728388</v>
      </c>
      <c r="BM16" s="10"/>
      <c r="BN16" s="10">
        <f t="shared" ref="BN16:BN79" si="33">IF(AND(ISNUMBER($F$16),$K16&lt;=$F$16),BQ16*($O$15+$BK$116)/$BL$116,"")</f>
        <v>1453609615.5666051</v>
      </c>
      <c r="BO16" s="10">
        <f t="shared" ref="BO16:BO79" si="34">IF(ISNUMBER(BN16),BN16*$M16,"")</f>
        <v>1370166477.1105714</v>
      </c>
      <c r="BQ16" s="10">
        <f t="shared" si="15"/>
        <v>66751200</v>
      </c>
      <c r="BR16" s="10">
        <f t="shared" ref="BR16:BR79" si="35">IF(ISNUMBER(BQ16),BQ16*$M16,"")</f>
        <v>62919408.049769066</v>
      </c>
    </row>
    <row r="17" spans="3:70" x14ac:dyDescent="0.15">
      <c r="C17" s="9" t="s">
        <v>109</v>
      </c>
      <c r="F17" s="143">
        <f>IF(ISERROR(VLOOKUP(F3&amp;IF(G4&lt;&gt;"","_"&amp;G4,""),'表7）買取期間・IRR'!$A$14:$C$21,1,0)),"",VLOOKUP(F3&amp;IF(G4&lt;&gt;"","_"&amp;G4,""),'表7）買取期間・IRR'!$A$14:$C$21,IF(F7=2030,3,IF(F7=2020,2,"-")),0))</f>
        <v>8</v>
      </c>
      <c r="G17" s="81" t="s">
        <v>172</v>
      </c>
      <c r="I17" s="458">
        <f t="shared" ref="I17:I80" si="36">I16+1</f>
        <v>2022</v>
      </c>
      <c r="J17" s="39"/>
      <c r="K17" s="39">
        <f t="shared" ref="K17:K80" si="37">IF(I17&lt;&gt;"",K16+1,"")</f>
        <v>3</v>
      </c>
      <c r="L17" s="39"/>
      <c r="M17" s="40">
        <f t="shared" si="0"/>
        <v>0.91514165935315961</v>
      </c>
      <c r="N17" s="39"/>
      <c r="O17" s="72">
        <f t="shared" si="16"/>
        <v>7574409690</v>
      </c>
      <c r="P17" s="41">
        <f t="shared" si="1"/>
        <v>0.14699999999999999</v>
      </c>
      <c r="Q17" s="39"/>
      <c r="R17" s="72">
        <f t="shared" si="17"/>
        <v>7939692279.2434053</v>
      </c>
      <c r="S17" s="39"/>
      <c r="T17" s="72">
        <f t="shared" si="18"/>
        <v>7939692000</v>
      </c>
      <c r="U17" s="39"/>
      <c r="V17" s="72">
        <f t="shared" si="2"/>
        <v>1113438224.4299998</v>
      </c>
      <c r="W17" s="72">
        <f t="shared" si="19"/>
        <v>1018953704.2921058</v>
      </c>
      <c r="X17" s="39"/>
      <c r="Y17" s="72">
        <f t="shared" si="3"/>
        <v>111155600</v>
      </c>
      <c r="Z17" s="72">
        <f t="shared" si="20"/>
        <v>101723120.23039606</v>
      </c>
      <c r="AA17" s="39"/>
      <c r="AB17" s="72">
        <f t="shared" si="4"/>
        <v>0</v>
      </c>
      <c r="AC17" s="72">
        <f t="shared" si="21"/>
        <v>0</v>
      </c>
      <c r="AD17" s="39"/>
      <c r="AE17" s="72">
        <f t="shared" si="5"/>
        <v>0</v>
      </c>
      <c r="AF17" s="72">
        <f t="shared" si="22"/>
        <v>0</v>
      </c>
      <c r="AG17" s="39"/>
      <c r="AH17" s="72">
        <f t="shared" si="6"/>
        <v>312000000</v>
      </c>
      <c r="AI17" s="72">
        <f t="shared" si="23"/>
        <v>285524197.71818578</v>
      </c>
      <c r="AJ17" s="39"/>
      <c r="AK17" s="72">
        <f t="shared" si="7"/>
        <v>0</v>
      </c>
      <c r="AL17" s="72">
        <f t="shared" si="24"/>
        <v>0</v>
      </c>
      <c r="AM17" s="39"/>
      <c r="AN17" s="72">
        <f t="shared" si="8"/>
        <v>0</v>
      </c>
      <c r="AO17" s="72">
        <f t="shared" si="25"/>
        <v>0</v>
      </c>
      <c r="AP17" s="39"/>
      <c r="AQ17" s="72">
        <f t="shared" si="9"/>
        <v>0</v>
      </c>
      <c r="AR17" s="72">
        <f t="shared" si="26"/>
        <v>0</v>
      </c>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0</v>
      </c>
      <c r="AU17" s="39"/>
      <c r="AV17" s="72">
        <f t="shared" si="10"/>
        <v>0</v>
      </c>
      <c r="AW17" s="72">
        <f t="shared" si="27"/>
        <v>0</v>
      </c>
      <c r="AX17" s="39"/>
      <c r="AY17" s="40">
        <f>IF(ISERROR(IF($K17&lt;=$F$15,VLOOKUP($I17,'表4）CO2価格'!$A$7:$E$67,VLOOKUP($F$48,'表4）CO2価格'!$H$10:$I$12,2,0),0)*$F$8/1000,"")),0,IF($K17&lt;=$F$15,VLOOKUP($I17,'表4）CO2価格'!$A$7:$E$67,VLOOKUP($F$48,'表4）CO2価格'!$H$10:$I$12,2,0),0)*$F$8/1000,""))</f>
        <v>0</v>
      </c>
      <c r="AZ17" s="39"/>
      <c r="BA17" s="42">
        <f t="shared" si="11"/>
        <v>0</v>
      </c>
      <c r="BB17" s="72">
        <f t="shared" si="28"/>
        <v>0</v>
      </c>
      <c r="BC17" s="39"/>
      <c r="BD17" s="72">
        <f t="shared" si="12"/>
        <v>0</v>
      </c>
      <c r="BE17" s="72">
        <f t="shared" si="29"/>
        <v>0</v>
      </c>
      <c r="BF17" s="39"/>
      <c r="BG17" s="42">
        <f t="shared" si="13"/>
        <v>0</v>
      </c>
      <c r="BH17" s="72">
        <f t="shared" si="30"/>
        <v>0</v>
      </c>
      <c r="BI17" s="39"/>
      <c r="BJ17" s="40">
        <f t="shared" si="31"/>
        <v>0.79383224102016958</v>
      </c>
      <c r="BK17" s="157">
        <f t="shared" si="32"/>
        <v>335914558.24823445</v>
      </c>
      <c r="BL17" s="157">
        <f t="shared" si="14"/>
        <v>52989254.686785541</v>
      </c>
      <c r="BM17" s="72"/>
      <c r="BN17" s="72">
        <f t="shared" si="33"/>
        <v>1453609615.5666051</v>
      </c>
      <c r="BO17" s="72">
        <f t="shared" si="34"/>
        <v>1330258715.6413314</v>
      </c>
      <c r="BP17" s="39"/>
      <c r="BQ17" s="72">
        <f t="shared" si="15"/>
        <v>66751200</v>
      </c>
      <c r="BR17" s="72">
        <f t="shared" si="35"/>
        <v>61086803.931814626</v>
      </c>
    </row>
    <row r="18" spans="3:70" x14ac:dyDescent="0.15">
      <c r="I18" s="459">
        <f t="shared" si="36"/>
        <v>2023</v>
      </c>
      <c r="J18" s="71"/>
      <c r="K18" s="71">
        <f t="shared" si="37"/>
        <v>4</v>
      </c>
      <c r="L18" s="71"/>
      <c r="M18" s="7">
        <f t="shared" si="0"/>
        <v>0.888487047915689</v>
      </c>
      <c r="N18" s="71"/>
      <c r="O18" s="10">
        <f t="shared" si="16"/>
        <v>6460971465.5699997</v>
      </c>
      <c r="P18" s="29">
        <f t="shared" si="1"/>
        <v>0.14699999999999999</v>
      </c>
      <c r="Q18" s="71"/>
      <c r="R18" s="10">
        <f t="shared" si="17"/>
        <v>6933940988.7323341</v>
      </c>
      <c r="S18" s="71"/>
      <c r="T18" s="10">
        <f t="shared" si="18"/>
        <v>6933940000</v>
      </c>
      <c r="U18" s="71"/>
      <c r="V18" s="10">
        <f t="shared" si="2"/>
        <v>949762805.43878984</v>
      </c>
      <c r="W18" s="10">
        <f t="shared" si="19"/>
        <v>843851951.2244333</v>
      </c>
      <c r="X18" s="71"/>
      <c r="Y18" s="10">
        <f t="shared" si="3"/>
        <v>97075100</v>
      </c>
      <c r="Z18" s="10">
        <f t="shared" si="20"/>
        <v>86249969.025120303</v>
      </c>
      <c r="AA18" s="71"/>
      <c r="AB18" s="10">
        <f t="shared" si="4"/>
        <v>0</v>
      </c>
      <c r="AC18" s="10">
        <f t="shared" si="21"/>
        <v>0</v>
      </c>
      <c r="AD18" s="71"/>
      <c r="AE18" s="10">
        <f t="shared" si="5"/>
        <v>0</v>
      </c>
      <c r="AF18" s="10">
        <f t="shared" si="22"/>
        <v>0</v>
      </c>
      <c r="AG18" s="71"/>
      <c r="AH18" s="10">
        <f t="shared" si="6"/>
        <v>312000000</v>
      </c>
      <c r="AI18" s="10">
        <f t="shared" si="23"/>
        <v>277207958.94969499</v>
      </c>
      <c r="AJ18" s="71"/>
      <c r="AK18" s="10">
        <f t="shared" si="7"/>
        <v>0</v>
      </c>
      <c r="AL18" s="10">
        <f t="shared" si="24"/>
        <v>0</v>
      </c>
      <c r="AM18" s="71"/>
      <c r="AN18" s="10">
        <f t="shared" si="8"/>
        <v>0</v>
      </c>
      <c r="AO18" s="10">
        <f t="shared" si="25"/>
        <v>0</v>
      </c>
      <c r="AP18" s="71"/>
      <c r="AQ18" s="10">
        <f t="shared" si="9"/>
        <v>0</v>
      </c>
      <c r="AR18" s="10">
        <f t="shared" si="26"/>
        <v>0</v>
      </c>
      <c r="AS18" s="71"/>
      <c r="AT18" s="7">
        <f>IF($K18&lt;=$F$15,IF($F$40&lt;&gt;"",$F$40/1000,IF(ISERROR(VLOOKUP($F$3&amp;IF($G$4&lt;&gt;"",$G$4,"")&amp;IF($F$43&lt;&gt;"","_"&amp;$F$43,""),'表3）燃料価格'!$AF$9:$AG$25,2,0)),0,VLOOKUP($I18,'表3）燃料価格'!$A$6:$U$66,VLOOKUP($F$3&amp;IF($G$4&lt;&gt;"",$G$4,"")&amp;IF($F$43&lt;&gt;"","_"&amp;$F$43,""),'表3）燃料価格'!$AF$9:$AG$25,2,0)+VLOOKUP($F$41,'表3）燃料価格'!$AF$28:$AG$29,2,0),0)*IF($F$43="需要地価格",1,$F$8/$F$141))),"")</f>
        <v>0</v>
      </c>
      <c r="AU18" s="71"/>
      <c r="AV18" s="10">
        <f t="shared" si="10"/>
        <v>0</v>
      </c>
      <c r="AW18" s="10">
        <f t="shared" si="27"/>
        <v>0</v>
      </c>
      <c r="AX18" s="71"/>
      <c r="AY18" s="7">
        <f>IF(ISERROR(IF($K18&lt;=$F$15,VLOOKUP($I18,'表4）CO2価格'!$A$7:$E$67,VLOOKUP($F$48,'表4）CO2価格'!$H$10:$I$12,2,0),0)*$F$8/1000,"")),0,IF($K18&lt;=$F$15,VLOOKUP($I18,'表4）CO2価格'!$A$7:$E$67,VLOOKUP($F$48,'表4）CO2価格'!$H$10:$I$12,2,0),0)*$F$8/1000,""))</f>
        <v>0</v>
      </c>
      <c r="AZ18" s="71"/>
      <c r="BA18" s="11">
        <f t="shared" si="11"/>
        <v>0</v>
      </c>
      <c r="BB18" s="10">
        <f t="shared" si="28"/>
        <v>0</v>
      </c>
      <c r="BC18" s="71"/>
      <c r="BD18" s="10">
        <f t="shared" si="12"/>
        <v>0</v>
      </c>
      <c r="BE18" s="10">
        <f t="shared" si="29"/>
        <v>0</v>
      </c>
      <c r="BF18" s="71"/>
      <c r="BG18" s="11">
        <f t="shared" si="13"/>
        <v>0</v>
      </c>
      <c r="BH18" s="10">
        <f t="shared" si="30"/>
        <v>0</v>
      </c>
      <c r="BJ18" s="7">
        <f t="shared" si="31"/>
        <v>0.73502985279645328</v>
      </c>
      <c r="BK18" s="158">
        <f t="shared" si="32"/>
        <v>300682410.53569442</v>
      </c>
      <c r="BL18" s="158">
        <f t="shared" si="14"/>
        <v>49064124.709986612</v>
      </c>
      <c r="BM18" s="10"/>
      <c r="BN18" s="10">
        <f t="shared" si="33"/>
        <v>1453609615.5666051</v>
      </c>
      <c r="BO18" s="10">
        <f t="shared" si="34"/>
        <v>1291513316.1566324</v>
      </c>
      <c r="BQ18" s="10">
        <f t="shared" si="15"/>
        <v>66751200</v>
      </c>
      <c r="BR18" s="10">
        <f t="shared" si="35"/>
        <v>59307576.632829741</v>
      </c>
    </row>
    <row r="19" spans="3:70" x14ac:dyDescent="0.15">
      <c r="C19" s="89" t="s">
        <v>371</v>
      </c>
      <c r="D19" s="101"/>
      <c r="E19" s="101"/>
      <c r="F19" s="89"/>
      <c r="G19" s="101"/>
      <c r="I19" s="458">
        <f t="shared" si="36"/>
        <v>2024</v>
      </c>
      <c r="J19" s="39"/>
      <c r="K19" s="39">
        <f t="shared" si="37"/>
        <v>5</v>
      </c>
      <c r="L19" s="39"/>
      <c r="M19" s="40">
        <f t="shared" si="0"/>
        <v>0.86260878438416411</v>
      </c>
      <c r="N19" s="39"/>
      <c r="O19" s="72">
        <f t="shared" si="16"/>
        <v>5511208660.1312103</v>
      </c>
      <c r="P19" s="41">
        <f t="shared" si="1"/>
        <v>0.14699999999999999</v>
      </c>
      <c r="Q19" s="39"/>
      <c r="R19" s="72">
        <f t="shared" si="17"/>
        <v>6055592073.8787079</v>
      </c>
      <c r="S19" s="39"/>
      <c r="T19" s="72">
        <f t="shared" si="18"/>
        <v>6055592000</v>
      </c>
      <c r="U19" s="39"/>
      <c r="V19" s="72">
        <f t="shared" si="2"/>
        <v>810147673.03928792</v>
      </c>
      <c r="W19" s="72">
        <f t="shared" si="19"/>
        <v>698840499.41207945</v>
      </c>
      <c r="X19" s="39"/>
      <c r="Y19" s="72">
        <f t="shared" si="3"/>
        <v>84778200</v>
      </c>
      <c r="Z19" s="72">
        <f t="shared" si="20"/>
        <v>73130420.044277549</v>
      </c>
      <c r="AA19" s="39"/>
      <c r="AB19" s="72">
        <f t="shared" si="4"/>
        <v>0</v>
      </c>
      <c r="AC19" s="72">
        <f t="shared" si="21"/>
        <v>0</v>
      </c>
      <c r="AD19" s="39"/>
      <c r="AE19" s="72">
        <f t="shared" si="5"/>
        <v>0</v>
      </c>
      <c r="AF19" s="72">
        <f t="shared" si="22"/>
        <v>0</v>
      </c>
      <c r="AG19" s="39"/>
      <c r="AH19" s="72">
        <f t="shared" si="6"/>
        <v>312000000</v>
      </c>
      <c r="AI19" s="72">
        <f t="shared" si="23"/>
        <v>269133940.7278592</v>
      </c>
      <c r="AJ19" s="39"/>
      <c r="AK19" s="72">
        <f t="shared" si="7"/>
        <v>0</v>
      </c>
      <c r="AL19" s="72">
        <f t="shared" si="24"/>
        <v>0</v>
      </c>
      <c r="AM19" s="39"/>
      <c r="AN19" s="72">
        <f t="shared" si="8"/>
        <v>0</v>
      </c>
      <c r="AO19" s="72">
        <f t="shared" si="25"/>
        <v>0</v>
      </c>
      <c r="AP19" s="39"/>
      <c r="AQ19" s="72">
        <f t="shared" si="9"/>
        <v>0</v>
      </c>
      <c r="AR19" s="72">
        <f t="shared" si="26"/>
        <v>0</v>
      </c>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0</v>
      </c>
      <c r="AU19" s="39"/>
      <c r="AV19" s="72">
        <f t="shared" si="10"/>
        <v>0</v>
      </c>
      <c r="AW19" s="72">
        <f t="shared" si="27"/>
        <v>0</v>
      </c>
      <c r="AX19" s="39"/>
      <c r="AY19" s="40">
        <f>IF(ISERROR(IF($K19&lt;=$F$15,VLOOKUP($I19,'表4）CO2価格'!$A$7:$E$67,VLOOKUP($F$48,'表4）CO2価格'!$H$10:$I$12,2,0),0)*$F$8/1000,"")),0,IF($K19&lt;=$F$15,VLOOKUP($I19,'表4）CO2価格'!$A$7:$E$67,VLOOKUP($F$48,'表4）CO2価格'!$H$10:$I$12,2,0),0)*$F$8/1000,""))</f>
        <v>0</v>
      </c>
      <c r="AZ19" s="39"/>
      <c r="BA19" s="42">
        <f t="shared" si="11"/>
        <v>0</v>
      </c>
      <c r="BB19" s="72">
        <f t="shared" si="28"/>
        <v>0</v>
      </c>
      <c r="BC19" s="39"/>
      <c r="BD19" s="72">
        <f t="shared" si="12"/>
        <v>0</v>
      </c>
      <c r="BE19" s="72">
        <f t="shared" si="29"/>
        <v>0</v>
      </c>
      <c r="BF19" s="39"/>
      <c r="BG19" s="42">
        <f t="shared" si="13"/>
        <v>0</v>
      </c>
      <c r="BH19" s="72">
        <f t="shared" si="30"/>
        <v>0</v>
      </c>
      <c r="BI19" s="39"/>
      <c r="BJ19" s="40">
        <f t="shared" si="31"/>
        <v>0.68058319703375303</v>
      </c>
      <c r="BK19" s="157">
        <f t="shared" si="32"/>
        <v>270040575.86929786</v>
      </c>
      <c r="BL19" s="157">
        <f t="shared" si="14"/>
        <v>45429745.101839453</v>
      </c>
      <c r="BM19" s="72"/>
      <c r="BN19" s="72">
        <f t="shared" si="33"/>
        <v>1453609615.5666051</v>
      </c>
      <c r="BO19" s="72">
        <f t="shared" si="34"/>
        <v>1253896423.4530413</v>
      </c>
      <c r="BP19" s="39"/>
      <c r="BQ19" s="72">
        <f t="shared" si="15"/>
        <v>66751200</v>
      </c>
      <c r="BR19" s="72">
        <f t="shared" si="35"/>
        <v>57580171.488184214</v>
      </c>
    </row>
    <row r="20" spans="3:70" x14ac:dyDescent="0.15">
      <c r="I20" s="459">
        <f t="shared" si="36"/>
        <v>2025</v>
      </c>
      <c r="J20" s="71"/>
      <c r="K20" s="71">
        <f t="shared" si="37"/>
        <v>6</v>
      </c>
      <c r="L20" s="71"/>
      <c r="M20" s="7">
        <f t="shared" si="0"/>
        <v>0.83748425668365445</v>
      </c>
      <c r="N20" s="71"/>
      <c r="O20" s="10">
        <f t="shared" si="16"/>
        <v>4701060987.0919228</v>
      </c>
      <c r="P20" s="29">
        <f t="shared" si="1"/>
        <v>0.14699999999999999</v>
      </c>
      <c r="Q20" s="71"/>
      <c r="R20" s="10">
        <f t="shared" si="17"/>
        <v>5288506986.8364553</v>
      </c>
      <c r="S20" s="71"/>
      <c r="T20" s="10">
        <f t="shared" si="18"/>
        <v>5288506000</v>
      </c>
      <c r="U20" s="71"/>
      <c r="V20" s="10">
        <f t="shared" si="2"/>
        <v>691055965.1025126</v>
      </c>
      <c r="W20" s="10">
        <f t="shared" si="19"/>
        <v>578748491.26068318</v>
      </c>
      <c r="X20" s="71"/>
      <c r="Y20" s="10">
        <f t="shared" si="3"/>
        <v>74039000</v>
      </c>
      <c r="Z20" s="10">
        <f t="shared" si="20"/>
        <v>62006496.880601093</v>
      </c>
      <c r="AA20" s="71"/>
      <c r="AB20" s="10">
        <f t="shared" si="4"/>
        <v>0</v>
      </c>
      <c r="AC20" s="10">
        <f t="shared" si="21"/>
        <v>0</v>
      </c>
      <c r="AD20" s="71"/>
      <c r="AE20" s="10">
        <f t="shared" si="5"/>
        <v>0</v>
      </c>
      <c r="AF20" s="10">
        <f t="shared" si="22"/>
        <v>0</v>
      </c>
      <c r="AG20" s="71"/>
      <c r="AH20" s="10">
        <f t="shared" si="6"/>
        <v>312000000</v>
      </c>
      <c r="AI20" s="10">
        <f t="shared" si="23"/>
        <v>261295088.08530018</v>
      </c>
      <c r="AJ20" s="71"/>
      <c r="AK20" s="10">
        <f t="shared" si="7"/>
        <v>0</v>
      </c>
      <c r="AL20" s="10">
        <f t="shared" si="24"/>
        <v>0</v>
      </c>
      <c r="AM20" s="71"/>
      <c r="AN20" s="10">
        <f t="shared" si="8"/>
        <v>0</v>
      </c>
      <c r="AO20" s="10">
        <f t="shared" si="25"/>
        <v>0</v>
      </c>
      <c r="AP20" s="71"/>
      <c r="AQ20" s="10">
        <f t="shared" si="9"/>
        <v>0</v>
      </c>
      <c r="AR20" s="10">
        <f t="shared" si="26"/>
        <v>0</v>
      </c>
      <c r="AS20" s="71"/>
      <c r="AT20" s="7">
        <f>IF($K20&lt;=$F$15,IF($F$40&lt;&gt;"",$F$40/1000,IF(ISERROR(VLOOKUP($F$3&amp;IF($G$4&lt;&gt;"",$G$4,"")&amp;IF($F$43&lt;&gt;"","_"&amp;$F$43,""),'表3）燃料価格'!$AF$9:$AG$25,2,0)),0,VLOOKUP($I20,'表3）燃料価格'!$A$6:$U$66,VLOOKUP($F$3&amp;IF($G$4&lt;&gt;"",$G$4,"")&amp;IF($F$43&lt;&gt;"","_"&amp;$F$43,""),'表3）燃料価格'!$AF$9:$AG$25,2,0)+VLOOKUP($F$41,'表3）燃料価格'!$AF$28:$AG$29,2,0),0)*IF($F$43="需要地価格",1,$F$8/$F$141))),"")</f>
        <v>0</v>
      </c>
      <c r="AU20" s="71"/>
      <c r="AV20" s="10">
        <f t="shared" si="10"/>
        <v>0</v>
      </c>
      <c r="AW20" s="10">
        <f t="shared" si="27"/>
        <v>0</v>
      </c>
      <c r="AX20" s="71"/>
      <c r="AY20" s="7">
        <f>IF(ISERROR(IF($K20&lt;=$F$15,VLOOKUP($I20,'表4）CO2価格'!$A$7:$E$67,VLOOKUP($F$48,'表4）CO2価格'!$H$10:$I$12,2,0),0)*$F$8/1000,"")),0,IF($K20&lt;=$F$15,VLOOKUP($I20,'表4）CO2価格'!$A$7:$E$67,VLOOKUP($F$48,'表4）CO2価格'!$H$10:$I$12,2,0),0)*$F$8/1000,""))</f>
        <v>0</v>
      </c>
      <c r="AZ20" s="71"/>
      <c r="BA20" s="11">
        <f t="shared" si="11"/>
        <v>0</v>
      </c>
      <c r="BB20" s="10">
        <f t="shared" si="28"/>
        <v>0</v>
      </c>
      <c r="BC20" s="71"/>
      <c r="BD20" s="10">
        <f t="shared" si="12"/>
        <v>0</v>
      </c>
      <c r="BE20" s="10">
        <f t="shared" si="29"/>
        <v>0</v>
      </c>
      <c r="BF20" s="71"/>
      <c r="BG20" s="11">
        <f t="shared" si="13"/>
        <v>0</v>
      </c>
      <c r="BH20" s="10">
        <f t="shared" si="30"/>
        <v>0</v>
      </c>
      <c r="BJ20" s="7">
        <f t="shared" si="31"/>
        <v>0.63016962688310452</v>
      </c>
      <c r="BK20" s="158">
        <f t="shared" si="32"/>
        <v>243270052.59232679</v>
      </c>
      <c r="BL20" s="158">
        <f t="shared" si="14"/>
        <v>42064578.797999486</v>
      </c>
      <c r="BM20" s="10"/>
      <c r="BN20" s="10">
        <f t="shared" si="33"/>
        <v>1453609615.5666051</v>
      </c>
      <c r="BO20" s="10">
        <f t="shared" si="34"/>
        <v>1217375168.401011</v>
      </c>
      <c r="BQ20" s="10">
        <f t="shared" si="15"/>
        <v>66751200</v>
      </c>
      <c r="BR20" s="10">
        <f t="shared" si="35"/>
        <v>55903079.114741951</v>
      </c>
    </row>
    <row r="21" spans="3:70" x14ac:dyDescent="0.15">
      <c r="D21" s="81" t="s">
        <v>110</v>
      </c>
      <c r="F21" s="147">
        <v>34.700000000000003</v>
      </c>
      <c r="G21" s="81" t="s">
        <v>174</v>
      </c>
      <c r="I21" s="458">
        <f t="shared" si="36"/>
        <v>2026</v>
      </c>
      <c r="J21" s="39"/>
      <c r="K21" s="39">
        <f t="shared" si="37"/>
        <v>7</v>
      </c>
      <c r="L21" s="39"/>
      <c r="M21" s="40">
        <f t="shared" si="0"/>
        <v>0.81309151134335378</v>
      </c>
      <c r="N21" s="39"/>
      <c r="O21" s="72">
        <f t="shared" si="16"/>
        <v>4010005021.9894104</v>
      </c>
      <c r="P21" s="41">
        <f t="shared" si="1"/>
        <v>0.14699999999999999</v>
      </c>
      <c r="Q21" s="39"/>
      <c r="R21" s="72">
        <f t="shared" si="17"/>
        <v>4618591511.5487356</v>
      </c>
      <c r="S21" s="39"/>
      <c r="T21" s="72">
        <f t="shared" si="18"/>
        <v>4618591000</v>
      </c>
      <c r="U21" s="39"/>
      <c r="V21" s="72">
        <f t="shared" si="2"/>
        <v>589470738.23244333</v>
      </c>
      <c r="W21" s="72">
        <f t="shared" si="19"/>
        <v>479293653.44209981</v>
      </c>
      <c r="X21" s="39"/>
      <c r="Y21" s="72">
        <f t="shared" si="3"/>
        <v>64660200</v>
      </c>
      <c r="Z21" s="72">
        <f t="shared" si="20"/>
        <v>52574659.741763525</v>
      </c>
      <c r="AA21" s="39"/>
      <c r="AB21" s="72">
        <f t="shared" si="4"/>
        <v>0</v>
      </c>
      <c r="AC21" s="72">
        <f t="shared" si="21"/>
        <v>0</v>
      </c>
      <c r="AD21" s="39"/>
      <c r="AE21" s="72">
        <f t="shared" si="5"/>
        <v>0</v>
      </c>
      <c r="AF21" s="72">
        <f t="shared" si="22"/>
        <v>0</v>
      </c>
      <c r="AG21" s="39"/>
      <c r="AH21" s="72">
        <f t="shared" si="6"/>
        <v>312000000</v>
      </c>
      <c r="AI21" s="72">
        <f t="shared" si="23"/>
        <v>253684551.53912637</v>
      </c>
      <c r="AJ21" s="39"/>
      <c r="AK21" s="72">
        <f t="shared" si="7"/>
        <v>0</v>
      </c>
      <c r="AL21" s="72">
        <f t="shared" si="24"/>
        <v>0</v>
      </c>
      <c r="AM21" s="39"/>
      <c r="AN21" s="72">
        <f t="shared" si="8"/>
        <v>0</v>
      </c>
      <c r="AO21" s="72">
        <f t="shared" si="25"/>
        <v>0</v>
      </c>
      <c r="AP21" s="39"/>
      <c r="AQ21" s="72">
        <f t="shared" si="9"/>
        <v>0</v>
      </c>
      <c r="AR21" s="72">
        <f t="shared" si="26"/>
        <v>0</v>
      </c>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0</v>
      </c>
      <c r="AU21" s="39"/>
      <c r="AV21" s="72">
        <f t="shared" si="10"/>
        <v>0</v>
      </c>
      <c r="AW21" s="72">
        <f t="shared" si="27"/>
        <v>0</v>
      </c>
      <c r="AX21" s="39"/>
      <c r="AY21" s="40">
        <f>IF(ISERROR(IF($K21&lt;=$F$15,VLOOKUP($I21,'表4）CO2価格'!$A$7:$E$67,VLOOKUP($F$48,'表4）CO2価格'!$H$10:$I$12,2,0),0)*$F$8/1000,"")),0,IF($K21&lt;=$F$15,VLOOKUP($I21,'表4）CO2価格'!$A$7:$E$67,VLOOKUP($F$48,'表4）CO2価格'!$H$10:$I$12,2,0),0)*$F$8/1000,""))</f>
        <v>0</v>
      </c>
      <c r="AZ21" s="39"/>
      <c r="BA21" s="42">
        <f t="shared" si="11"/>
        <v>0</v>
      </c>
      <c r="BB21" s="72">
        <f t="shared" si="28"/>
        <v>0</v>
      </c>
      <c r="BC21" s="39"/>
      <c r="BD21" s="72">
        <f t="shared" si="12"/>
        <v>0</v>
      </c>
      <c r="BE21" s="72">
        <f t="shared" si="29"/>
        <v>0</v>
      </c>
      <c r="BF21" s="39"/>
      <c r="BG21" s="42">
        <f t="shared" si="13"/>
        <v>0</v>
      </c>
      <c r="BH21" s="72">
        <f t="shared" si="30"/>
        <v>0</v>
      </c>
      <c r="BI21" s="39"/>
      <c r="BJ21" s="40">
        <f t="shared" si="31"/>
        <v>0.58349039526213387</v>
      </c>
      <c r="BK21" s="157">
        <f t="shared" si="32"/>
        <v>219777608.97751439</v>
      </c>
      <c r="BL21" s="157">
        <f t="shared" si="14"/>
        <v>38948684.072221749</v>
      </c>
      <c r="BM21" s="72"/>
      <c r="BN21" s="72">
        <f t="shared" si="33"/>
        <v>1453609615.5666051</v>
      </c>
      <c r="BO21" s="72">
        <f t="shared" si="34"/>
        <v>1181917639.2242825</v>
      </c>
      <c r="BP21" s="39"/>
      <c r="BQ21" s="72">
        <f t="shared" si="15"/>
        <v>66751200</v>
      </c>
      <c r="BR21" s="72">
        <f t="shared" si="35"/>
        <v>54274834.091982476</v>
      </c>
    </row>
    <row r="22" spans="3:70" ht="16.5" x14ac:dyDescent="0.15">
      <c r="D22" s="81" t="s">
        <v>111</v>
      </c>
      <c r="F22" s="90"/>
      <c r="G22" s="9" t="s">
        <v>372</v>
      </c>
      <c r="I22" s="459">
        <f t="shared" si="36"/>
        <v>2027</v>
      </c>
      <c r="J22" s="71"/>
      <c r="K22" s="71">
        <f t="shared" si="37"/>
        <v>8</v>
      </c>
      <c r="L22" s="71"/>
      <c r="M22" s="7">
        <f t="shared" si="0"/>
        <v>0.78940923431393573</v>
      </c>
      <c r="N22" s="71"/>
      <c r="O22" s="10">
        <f t="shared" si="16"/>
        <v>3420534283.7569671</v>
      </c>
      <c r="P22" s="29">
        <f t="shared" si="1"/>
        <v>0.14699999999999999</v>
      </c>
      <c r="Q22" s="71"/>
      <c r="R22" s="10">
        <f t="shared" si="17"/>
        <v>4033536800.3948331</v>
      </c>
      <c r="S22" s="71"/>
      <c r="T22" s="10">
        <f t="shared" si="18"/>
        <v>4033536000</v>
      </c>
      <c r="U22" s="71"/>
      <c r="V22" s="10">
        <f t="shared" si="2"/>
        <v>502818539.71227413</v>
      </c>
      <c r="W22" s="10">
        <f t="shared" si="19"/>
        <v>396929598.43311763</v>
      </c>
      <c r="X22" s="71"/>
      <c r="Y22" s="10">
        <f t="shared" si="3"/>
        <v>56469500</v>
      </c>
      <c r="Z22" s="10">
        <f t="shared" si="20"/>
        <v>44577544.757090792</v>
      </c>
      <c r="AA22" s="71"/>
      <c r="AB22" s="10">
        <f t="shared" si="4"/>
        <v>0</v>
      </c>
      <c r="AC22" s="10">
        <f t="shared" si="21"/>
        <v>0</v>
      </c>
      <c r="AD22" s="71"/>
      <c r="AE22" s="10">
        <f t="shared" si="5"/>
        <v>0</v>
      </c>
      <c r="AF22" s="10">
        <f t="shared" si="22"/>
        <v>0</v>
      </c>
      <c r="AG22" s="71"/>
      <c r="AH22" s="10">
        <f t="shared" si="6"/>
        <v>312000000</v>
      </c>
      <c r="AI22" s="10">
        <f t="shared" si="23"/>
        <v>246295681.10594794</v>
      </c>
      <c r="AJ22" s="71"/>
      <c r="AK22" s="10">
        <f t="shared" si="7"/>
        <v>0</v>
      </c>
      <c r="AL22" s="10">
        <f t="shared" si="24"/>
        <v>0</v>
      </c>
      <c r="AM22" s="71"/>
      <c r="AN22" s="10">
        <f t="shared" si="8"/>
        <v>0</v>
      </c>
      <c r="AO22" s="10">
        <f t="shared" si="25"/>
        <v>0</v>
      </c>
      <c r="AP22" s="71"/>
      <c r="AQ22" s="10">
        <f t="shared" si="9"/>
        <v>0</v>
      </c>
      <c r="AR22" s="10">
        <f t="shared" si="26"/>
        <v>0</v>
      </c>
      <c r="AS22" s="71"/>
      <c r="AT22" s="7">
        <f>IF($K22&lt;=$F$15,IF($F$40&lt;&gt;"",$F$40/1000,IF(ISERROR(VLOOKUP($F$3&amp;IF($G$4&lt;&gt;"",$G$4,"")&amp;IF($F$43&lt;&gt;"","_"&amp;$F$43,""),'表3）燃料価格'!$AF$9:$AG$25,2,0)),0,VLOOKUP($I22,'表3）燃料価格'!$A$6:$U$66,VLOOKUP($F$3&amp;IF($G$4&lt;&gt;"",$G$4,"")&amp;IF($F$43&lt;&gt;"","_"&amp;$F$43,""),'表3）燃料価格'!$AF$9:$AG$25,2,0)+VLOOKUP($F$41,'表3）燃料価格'!$AF$28:$AG$29,2,0),0)*IF($F$43="需要地価格",1,$F$8/$F$141))),"")</f>
        <v>0</v>
      </c>
      <c r="AU22" s="71"/>
      <c r="AV22" s="10">
        <f t="shared" si="10"/>
        <v>0</v>
      </c>
      <c r="AW22" s="10">
        <f t="shared" si="27"/>
        <v>0</v>
      </c>
      <c r="AX22" s="71"/>
      <c r="AY22" s="7">
        <f>IF(ISERROR(IF($K22&lt;=$F$15,VLOOKUP($I22,'表4）CO2価格'!$A$7:$E$67,VLOOKUP($F$48,'表4）CO2価格'!$H$10:$I$12,2,0),0)*$F$8/1000,"")),0,IF($K22&lt;=$F$15,VLOOKUP($I22,'表4）CO2価格'!$A$7:$E$67,VLOOKUP($F$48,'表4）CO2価格'!$H$10:$I$12,2,0),0)*$F$8/1000,""))</f>
        <v>0</v>
      </c>
      <c r="AZ22" s="71"/>
      <c r="BA22" s="11">
        <f t="shared" si="11"/>
        <v>0</v>
      </c>
      <c r="BB22" s="10">
        <f t="shared" si="28"/>
        <v>0</v>
      </c>
      <c r="BC22" s="71"/>
      <c r="BD22" s="10">
        <f t="shared" si="12"/>
        <v>0</v>
      </c>
      <c r="BE22" s="10">
        <f t="shared" si="29"/>
        <v>0</v>
      </c>
      <c r="BF22" s="71"/>
      <c r="BG22" s="11">
        <f t="shared" si="13"/>
        <v>0</v>
      </c>
      <c r="BH22" s="10">
        <f t="shared" si="30"/>
        <v>0</v>
      </c>
      <c r="BJ22" s="7">
        <f t="shared" si="31"/>
        <v>0.54026888450197574</v>
      </c>
      <c r="BK22" s="158">
        <f t="shared" si="32"/>
        <v>199072605.73800075</v>
      </c>
      <c r="BL22" s="158">
        <f t="shared" si="14"/>
        <v>36063596.363168284</v>
      </c>
      <c r="BM22" s="10"/>
      <c r="BN22" s="10">
        <f t="shared" si="33"/>
        <v>1453609615.5666051</v>
      </c>
      <c r="BO22" s="10">
        <f t="shared" si="34"/>
        <v>1147492853.6158082</v>
      </c>
      <c r="BQ22" s="10">
        <f t="shared" si="15"/>
        <v>66751200</v>
      </c>
      <c r="BR22" s="10">
        <f t="shared" si="35"/>
        <v>52694013.681536384</v>
      </c>
    </row>
    <row r="23" spans="3:70" x14ac:dyDescent="0.15">
      <c r="D23" s="81" t="s">
        <v>112</v>
      </c>
      <c r="F23" s="147"/>
      <c r="G23" s="81" t="s">
        <v>172</v>
      </c>
      <c r="I23" s="458">
        <f t="shared" si="36"/>
        <v>2028</v>
      </c>
      <c r="J23" s="39"/>
      <c r="K23" s="39">
        <f t="shared" si="37"/>
        <v>9</v>
      </c>
      <c r="L23" s="39"/>
      <c r="M23" s="40">
        <f t="shared" si="0"/>
        <v>0.76641673234362695</v>
      </c>
      <c r="N23" s="39"/>
      <c r="O23" s="72">
        <f t="shared" si="16"/>
        <v>2917715744.044693</v>
      </c>
      <c r="P23" s="41">
        <f t="shared" si="1"/>
        <v>0.14699999999999999</v>
      </c>
      <c r="Q23" s="39"/>
      <c r="R23" s="72">
        <f t="shared" si="17"/>
        <v>3522593214.7187924</v>
      </c>
      <c r="S23" s="39"/>
      <c r="T23" s="72">
        <f t="shared" si="18"/>
        <v>3522593000</v>
      </c>
      <c r="U23" s="39"/>
      <c r="V23" s="72">
        <f t="shared" si="2"/>
        <v>428904214.37456983</v>
      </c>
      <c r="W23" s="72">
        <f t="shared" si="19"/>
        <v>328719366.46936828</v>
      </c>
      <c r="X23" s="39"/>
      <c r="Y23" s="72">
        <f t="shared" si="3"/>
        <v>49316300</v>
      </c>
      <c r="Z23" s="72">
        <f t="shared" si="20"/>
        <v>37796837.497278012</v>
      </c>
      <c r="AA23" s="39"/>
      <c r="AB23" s="72">
        <f t="shared" si="4"/>
        <v>0</v>
      </c>
      <c r="AC23" s="72">
        <f t="shared" si="21"/>
        <v>0</v>
      </c>
      <c r="AD23" s="39"/>
      <c r="AE23" s="72">
        <f t="shared" si="5"/>
        <v>0</v>
      </c>
      <c r="AF23" s="72">
        <f t="shared" si="22"/>
        <v>0</v>
      </c>
      <c r="AG23" s="39"/>
      <c r="AH23" s="72">
        <f t="shared" si="6"/>
        <v>312000000</v>
      </c>
      <c r="AI23" s="72">
        <f t="shared" si="23"/>
        <v>239122020.49121162</v>
      </c>
      <c r="AJ23" s="39"/>
      <c r="AK23" s="72">
        <f t="shared" si="7"/>
        <v>0</v>
      </c>
      <c r="AL23" s="72">
        <f t="shared" si="24"/>
        <v>0</v>
      </c>
      <c r="AM23" s="39"/>
      <c r="AN23" s="72">
        <f t="shared" si="8"/>
        <v>0</v>
      </c>
      <c r="AO23" s="72">
        <f t="shared" si="25"/>
        <v>0</v>
      </c>
      <c r="AP23" s="39"/>
      <c r="AQ23" s="72">
        <f t="shared" si="9"/>
        <v>0</v>
      </c>
      <c r="AR23" s="72">
        <f t="shared" si="26"/>
        <v>0</v>
      </c>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0</v>
      </c>
      <c r="AU23" s="39"/>
      <c r="AV23" s="72">
        <f t="shared" si="10"/>
        <v>0</v>
      </c>
      <c r="AW23" s="72">
        <f t="shared" si="27"/>
        <v>0</v>
      </c>
      <c r="AX23" s="39"/>
      <c r="AY23" s="40">
        <f>IF(ISERROR(IF($K23&lt;=$F$15,VLOOKUP($I23,'表4）CO2価格'!$A$7:$E$67,VLOOKUP($F$48,'表4）CO2価格'!$H$10:$I$12,2,0),0)*$F$8/1000,"")),0,IF($K23&lt;=$F$15,VLOOKUP($I23,'表4）CO2価格'!$A$7:$E$67,VLOOKUP($F$48,'表4）CO2価格'!$H$10:$I$12,2,0),0)*$F$8/1000,""))</f>
        <v>0</v>
      </c>
      <c r="AZ23" s="39"/>
      <c r="BA23" s="42">
        <f t="shared" si="11"/>
        <v>0</v>
      </c>
      <c r="BB23" s="72">
        <f t="shared" si="28"/>
        <v>0</v>
      </c>
      <c r="BC23" s="39"/>
      <c r="BD23" s="72">
        <f t="shared" si="12"/>
        <v>0</v>
      </c>
      <c r="BE23" s="72">
        <f t="shared" si="29"/>
        <v>0</v>
      </c>
      <c r="BF23" s="39"/>
      <c r="BG23" s="42">
        <f t="shared" si="13"/>
        <v>0</v>
      </c>
      <c r="BH23" s="72">
        <f t="shared" si="30"/>
        <v>0</v>
      </c>
      <c r="BI23" s="39"/>
      <c r="BJ23" s="40">
        <f t="shared" si="31"/>
        <v>0.50024896713145905</v>
      </c>
      <c r="BK23" s="157">
        <f t="shared" si="32"/>
        <v>180748105.88276041</v>
      </c>
      <c r="BL23" s="157">
        <f t="shared" si="14"/>
        <v>33392218.85478545</v>
      </c>
      <c r="BM23" s="72"/>
      <c r="BN23" s="72">
        <f t="shared" si="33"/>
        <v>1453609615.5666051</v>
      </c>
      <c r="BO23" s="72">
        <f t="shared" si="34"/>
        <v>1114070731.6658332</v>
      </c>
      <c r="BP23" s="39"/>
      <c r="BQ23" s="72">
        <f t="shared" si="15"/>
        <v>66751200</v>
      </c>
      <c r="BR23" s="72">
        <f t="shared" si="35"/>
        <v>51159236.584015913</v>
      </c>
    </row>
    <row r="24" spans="3:70" x14ac:dyDescent="0.15">
      <c r="D24" s="81" t="s">
        <v>113</v>
      </c>
      <c r="F24" s="68">
        <v>0</v>
      </c>
      <c r="G24" s="81" t="s">
        <v>172</v>
      </c>
      <c r="I24" s="459">
        <f t="shared" si="36"/>
        <v>2029</v>
      </c>
      <c r="J24" s="71"/>
      <c r="K24" s="71">
        <f t="shared" si="37"/>
        <v>10</v>
      </c>
      <c r="L24" s="71"/>
      <c r="M24" s="7">
        <f t="shared" si="0"/>
        <v>0.74409391489672516</v>
      </c>
      <c r="N24" s="71"/>
      <c r="O24" s="10">
        <f t="shared" si="16"/>
        <v>2488811529.6701231</v>
      </c>
      <c r="P24" s="29">
        <f t="shared" si="1"/>
        <v>0.14699999999999999</v>
      </c>
      <c r="Q24" s="71"/>
      <c r="R24" s="10">
        <f t="shared" si="17"/>
        <v>3076372813.8462062</v>
      </c>
      <c r="S24" s="71"/>
      <c r="T24" s="10">
        <f t="shared" si="18"/>
        <v>3076372000</v>
      </c>
      <c r="U24" s="71"/>
      <c r="V24" s="10">
        <f t="shared" si="2"/>
        <v>365855294.86150807</v>
      </c>
      <c r="W24" s="10">
        <f t="shared" si="19"/>
        <v>272230698.63919526</v>
      </c>
      <c r="X24" s="71"/>
      <c r="Y24" s="10">
        <f t="shared" si="3"/>
        <v>43069200</v>
      </c>
      <c r="Z24" s="10">
        <f t="shared" si="20"/>
        <v>32047529.639470037</v>
      </c>
      <c r="AA24" s="71"/>
      <c r="AB24" s="10">
        <f t="shared" si="4"/>
        <v>0</v>
      </c>
      <c r="AC24" s="10">
        <f t="shared" si="21"/>
        <v>0</v>
      </c>
      <c r="AD24" s="71"/>
      <c r="AE24" s="10">
        <f t="shared" si="5"/>
        <v>0</v>
      </c>
      <c r="AF24" s="10">
        <f t="shared" si="22"/>
        <v>0</v>
      </c>
      <c r="AG24" s="71"/>
      <c r="AH24" s="10">
        <f t="shared" si="6"/>
        <v>312000000</v>
      </c>
      <c r="AI24" s="10">
        <f t="shared" si="23"/>
        <v>232157301.44777825</v>
      </c>
      <c r="AJ24" s="71"/>
      <c r="AK24" s="10">
        <f t="shared" si="7"/>
        <v>0</v>
      </c>
      <c r="AL24" s="10">
        <f t="shared" si="24"/>
        <v>0</v>
      </c>
      <c r="AM24" s="71"/>
      <c r="AN24" s="10">
        <f t="shared" si="8"/>
        <v>0</v>
      </c>
      <c r="AO24" s="10">
        <f t="shared" si="25"/>
        <v>0</v>
      </c>
      <c r="AP24" s="71"/>
      <c r="AQ24" s="10">
        <f t="shared" si="9"/>
        <v>0</v>
      </c>
      <c r="AR24" s="10">
        <f t="shared" si="26"/>
        <v>0</v>
      </c>
      <c r="AS24" s="71"/>
      <c r="AT24" s="7">
        <f>IF($K24&lt;=$F$15,IF($F$40&lt;&gt;"",$F$40/1000,IF(ISERROR(VLOOKUP($F$3&amp;IF($G$4&lt;&gt;"",$G$4,"")&amp;IF($F$43&lt;&gt;"","_"&amp;$F$43,""),'表3）燃料価格'!$AF$9:$AG$25,2,0)),0,VLOOKUP($I24,'表3）燃料価格'!$A$6:$U$66,VLOOKUP($F$3&amp;IF($G$4&lt;&gt;"",$G$4,"")&amp;IF($F$43&lt;&gt;"","_"&amp;$F$43,""),'表3）燃料価格'!$AF$9:$AG$25,2,0)+VLOOKUP($F$41,'表3）燃料価格'!$AF$28:$AG$29,2,0),0)*IF($F$43="需要地価格",1,$F$8/$F$141))),"")</f>
        <v>0</v>
      </c>
      <c r="AU24" s="71"/>
      <c r="AV24" s="10">
        <f t="shared" si="10"/>
        <v>0</v>
      </c>
      <c r="AW24" s="10">
        <f t="shared" si="27"/>
        <v>0</v>
      </c>
      <c r="AX24" s="71"/>
      <c r="AY24" s="7">
        <f>IF(ISERROR(IF($K24&lt;=$F$15,VLOOKUP($I24,'表4）CO2価格'!$A$7:$E$67,VLOOKUP($F$48,'表4）CO2価格'!$H$10:$I$12,2,0),0)*$F$8/1000,"")),0,IF($K24&lt;=$F$15,VLOOKUP($I24,'表4）CO2価格'!$A$7:$E$67,VLOOKUP($F$48,'表4）CO2価格'!$H$10:$I$12,2,0),0)*$F$8/1000,""))</f>
        <v>0</v>
      </c>
      <c r="AZ24" s="71"/>
      <c r="BA24" s="11">
        <f t="shared" si="11"/>
        <v>0</v>
      </c>
      <c r="BB24" s="10">
        <f t="shared" si="28"/>
        <v>0</v>
      </c>
      <c r="BC24" s="71"/>
      <c r="BD24" s="10">
        <f t="shared" si="12"/>
        <v>0</v>
      </c>
      <c r="BE24" s="10">
        <f t="shared" si="29"/>
        <v>0</v>
      </c>
      <c r="BF24" s="71"/>
      <c r="BG24" s="11">
        <f t="shared" si="13"/>
        <v>0</v>
      </c>
      <c r="BH24" s="10">
        <f t="shared" si="30"/>
        <v>0</v>
      </c>
      <c r="BJ24" s="7">
        <f t="shared" si="31"/>
        <v>0.46319348808468425</v>
      </c>
      <c r="BK24" s="158">
        <f t="shared" si="32"/>
        <v>164465741.25943837</v>
      </c>
      <c r="BL24" s="158">
        <f t="shared" si="14"/>
        <v>30918721.161838375</v>
      </c>
      <c r="BM24" s="10"/>
      <c r="BN24" s="10">
        <f t="shared" si="33"/>
        <v>1453609615.5666051</v>
      </c>
      <c r="BO24" s="10">
        <f t="shared" si="34"/>
        <v>1081622069.5784788</v>
      </c>
      <c r="BQ24" s="10">
        <f t="shared" si="15"/>
        <v>66751200</v>
      </c>
      <c r="BR24" s="10">
        <f t="shared" si="35"/>
        <v>49669161.732054278</v>
      </c>
    </row>
    <row r="25" spans="3:70" x14ac:dyDescent="0.15">
      <c r="D25" s="81" t="s">
        <v>114</v>
      </c>
      <c r="F25" s="66">
        <v>1.4</v>
      </c>
      <c r="G25" s="81" t="s">
        <v>172</v>
      </c>
      <c r="I25" s="458">
        <f t="shared" si="36"/>
        <v>2030</v>
      </c>
      <c r="J25" s="39"/>
      <c r="K25" s="39">
        <f t="shared" si="37"/>
        <v>11</v>
      </c>
      <c r="L25" s="39"/>
      <c r="M25" s="40">
        <f t="shared" si="0"/>
        <v>0.72242127659876232</v>
      </c>
      <c r="N25" s="39"/>
      <c r="O25" s="72">
        <f t="shared" si="16"/>
        <v>2122956234.808615</v>
      </c>
      <c r="P25" s="41">
        <f t="shared" si="1"/>
        <v>0.14699999999999999</v>
      </c>
      <c r="Q25" s="39"/>
      <c r="R25" s="72">
        <f t="shared" si="17"/>
        <v>2686676863.5752163</v>
      </c>
      <c r="S25" s="39"/>
      <c r="T25" s="72">
        <f t="shared" si="18"/>
        <v>2686676000</v>
      </c>
      <c r="U25" s="39"/>
      <c r="V25" s="72">
        <f t="shared" si="2"/>
        <v>312074566.51686639</v>
      </c>
      <c r="W25" s="72">
        <f t="shared" si="19"/>
        <v>225449306.73711997</v>
      </c>
      <c r="X25" s="39"/>
      <c r="Y25" s="72">
        <f t="shared" si="3"/>
        <v>37613400</v>
      </c>
      <c r="Z25" s="72">
        <f t="shared" si="20"/>
        <v>27172720.445219886</v>
      </c>
      <c r="AA25" s="39"/>
      <c r="AB25" s="72">
        <f t="shared" si="4"/>
        <v>0</v>
      </c>
      <c r="AC25" s="72">
        <f t="shared" si="21"/>
        <v>0</v>
      </c>
      <c r="AD25" s="39"/>
      <c r="AE25" s="72">
        <f t="shared" si="5"/>
        <v>0</v>
      </c>
      <c r="AF25" s="72">
        <f t="shared" si="22"/>
        <v>0</v>
      </c>
      <c r="AG25" s="39"/>
      <c r="AH25" s="72">
        <f t="shared" si="6"/>
        <v>312000000</v>
      </c>
      <c r="AI25" s="72">
        <f t="shared" si="23"/>
        <v>225395438.29881385</v>
      </c>
      <c r="AJ25" s="39"/>
      <c r="AK25" s="72">
        <f t="shared" si="7"/>
        <v>0</v>
      </c>
      <c r="AL25" s="72">
        <f t="shared" si="24"/>
        <v>0</v>
      </c>
      <c r="AM25" s="39"/>
      <c r="AN25" s="72">
        <f t="shared" si="8"/>
        <v>0</v>
      </c>
      <c r="AO25" s="72">
        <f t="shared" si="25"/>
        <v>0</v>
      </c>
      <c r="AP25" s="39"/>
      <c r="AQ25" s="72">
        <f t="shared" si="9"/>
        <v>0</v>
      </c>
      <c r="AR25" s="72">
        <f t="shared" si="26"/>
        <v>0</v>
      </c>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0</v>
      </c>
      <c r="AU25" s="39"/>
      <c r="AV25" s="72">
        <f t="shared" si="10"/>
        <v>0</v>
      </c>
      <c r="AW25" s="72">
        <f t="shared" si="27"/>
        <v>0</v>
      </c>
      <c r="AX25" s="39"/>
      <c r="AY25" s="40">
        <f>IF(ISERROR(IF($K25&lt;=$F$15,VLOOKUP($I25,'表4）CO2価格'!$A$7:$E$67,VLOOKUP($F$48,'表4）CO2価格'!$H$10:$I$12,2,0),0)*$F$8/1000,"")),0,IF($K25&lt;=$F$15,VLOOKUP($I25,'表4）CO2価格'!$A$7:$E$67,VLOOKUP($F$48,'表4）CO2価格'!$H$10:$I$12,2,0),0)*$F$8/1000,""))</f>
        <v>0</v>
      </c>
      <c r="AZ25" s="39"/>
      <c r="BA25" s="42">
        <f t="shared" si="11"/>
        <v>0</v>
      </c>
      <c r="BB25" s="72">
        <f t="shared" si="28"/>
        <v>0</v>
      </c>
      <c r="BC25" s="39"/>
      <c r="BD25" s="72">
        <f t="shared" si="12"/>
        <v>0</v>
      </c>
      <c r="BE25" s="72">
        <f t="shared" si="29"/>
        <v>0</v>
      </c>
      <c r="BF25" s="39"/>
      <c r="BG25" s="42">
        <f t="shared" si="13"/>
        <v>0</v>
      </c>
      <c r="BH25" s="72">
        <f t="shared" si="30"/>
        <v>0</v>
      </c>
      <c r="BI25" s="39"/>
      <c r="BJ25" s="40">
        <f t="shared" si="31"/>
        <v>0.42888285933767062</v>
      </c>
      <c r="BK25" s="157">
        <f t="shared" si="32"/>
        <v>149943194.65476477</v>
      </c>
      <c r="BL25" s="157">
        <f t="shared" si="14"/>
        <v>28628445.520220719</v>
      </c>
      <c r="BM25" s="72"/>
      <c r="BN25" s="72">
        <f t="shared" si="33"/>
        <v>1453609615.5666051</v>
      </c>
      <c r="BO25" s="72">
        <f t="shared" si="34"/>
        <v>1050118514.153863</v>
      </c>
      <c r="BP25" s="39"/>
      <c r="BQ25" s="72">
        <f t="shared" si="15"/>
        <v>66751200</v>
      </c>
      <c r="BR25" s="72">
        <f t="shared" si="35"/>
        <v>48222487.118499301</v>
      </c>
    </row>
    <row r="26" spans="3:70" x14ac:dyDescent="0.15">
      <c r="D26" s="81" t="s">
        <v>115</v>
      </c>
      <c r="F26" s="59"/>
      <c r="G26" s="81" t="s">
        <v>175</v>
      </c>
      <c r="I26" s="459">
        <f t="shared" si="36"/>
        <v>2031</v>
      </c>
      <c r="J26" s="71"/>
      <c r="K26" s="71">
        <f t="shared" si="37"/>
        <v>12</v>
      </c>
      <c r="L26" s="71"/>
      <c r="M26" s="7">
        <f t="shared" si="0"/>
        <v>0.70137988019297326</v>
      </c>
      <c r="N26" s="71"/>
      <c r="O26" s="10">
        <f t="shared" si="16"/>
        <v>1810881668.2917485</v>
      </c>
      <c r="P26" s="29">
        <f t="shared" si="1"/>
        <v>0.16700000000000001</v>
      </c>
      <c r="Q26" s="71"/>
      <c r="R26" s="10">
        <f t="shared" si="17"/>
        <v>2346345194.8289175</v>
      </c>
      <c r="S26" s="71"/>
      <c r="T26" s="10">
        <f t="shared" si="18"/>
        <v>2346345000</v>
      </c>
      <c r="U26" s="71"/>
      <c r="V26" s="10">
        <f t="shared" si="2"/>
        <v>302417238.60472202</v>
      </c>
      <c r="W26" s="10">
        <f t="shared" si="19"/>
        <v>212109366.58086973</v>
      </c>
      <c r="X26" s="71"/>
      <c r="Y26" s="10">
        <f t="shared" si="3"/>
        <v>32848800</v>
      </c>
      <c r="Z26" s="10">
        <f t="shared" si="20"/>
        <v>23039487.408482939</v>
      </c>
      <c r="AA26" s="71"/>
      <c r="AB26" s="10">
        <f t="shared" si="4"/>
        <v>0</v>
      </c>
      <c r="AC26" s="10">
        <f t="shared" si="21"/>
        <v>0</v>
      </c>
      <c r="AD26" s="71"/>
      <c r="AE26" s="10">
        <f t="shared" si="5"/>
        <v>0</v>
      </c>
      <c r="AF26" s="10">
        <f t="shared" si="22"/>
        <v>0</v>
      </c>
      <c r="AG26" s="71"/>
      <c r="AH26" s="10">
        <f t="shared" si="6"/>
        <v>312000000</v>
      </c>
      <c r="AI26" s="10">
        <f t="shared" si="23"/>
        <v>218830522.62020767</v>
      </c>
      <c r="AJ26" s="71"/>
      <c r="AK26" s="10">
        <f t="shared" si="7"/>
        <v>0</v>
      </c>
      <c r="AL26" s="10">
        <f t="shared" si="24"/>
        <v>0</v>
      </c>
      <c r="AM26" s="71"/>
      <c r="AN26" s="10">
        <f t="shared" si="8"/>
        <v>0</v>
      </c>
      <c r="AO26" s="10">
        <f t="shared" si="25"/>
        <v>0</v>
      </c>
      <c r="AP26" s="71"/>
      <c r="AQ26" s="10">
        <f t="shared" si="9"/>
        <v>0</v>
      </c>
      <c r="AR26" s="10">
        <f t="shared" si="26"/>
        <v>0</v>
      </c>
      <c r="AS26" s="71"/>
      <c r="AT26" s="7">
        <f>IF($K26&lt;=$F$15,IF($F$40&lt;&gt;"",$F$40/1000,IF(ISERROR(VLOOKUP($F$3&amp;IF($G$4&lt;&gt;"",$G$4,"")&amp;IF($F$43&lt;&gt;"","_"&amp;$F$43,""),'表3）燃料価格'!$AF$9:$AG$25,2,0)),0,VLOOKUP($I26,'表3）燃料価格'!$A$6:$U$66,VLOOKUP($F$3&amp;IF($G$4&lt;&gt;"",$G$4,"")&amp;IF($F$43&lt;&gt;"","_"&amp;$F$43,""),'表3）燃料価格'!$AF$9:$AG$25,2,0)+VLOOKUP($F$41,'表3）燃料価格'!$AF$28:$AG$29,2,0),0)*IF($F$43="需要地価格",1,$F$8/$F$141))),"")</f>
        <v>0</v>
      </c>
      <c r="AU26" s="71"/>
      <c r="AV26" s="10">
        <f t="shared" si="10"/>
        <v>0</v>
      </c>
      <c r="AW26" s="10">
        <f t="shared" si="27"/>
        <v>0</v>
      </c>
      <c r="AX26" s="71"/>
      <c r="AY26" s="7">
        <f>IF(ISERROR(IF($K26&lt;=$F$15,VLOOKUP($I26,'表4）CO2価格'!$A$7:$E$67,VLOOKUP($F$48,'表4）CO2価格'!$H$10:$I$12,2,0),0)*$F$8/1000,"")),0,IF($K26&lt;=$F$15,VLOOKUP($I26,'表4）CO2価格'!$A$7:$E$67,VLOOKUP($F$48,'表4）CO2価格'!$H$10:$I$12,2,0),0)*$F$8/1000,""))</f>
        <v>0</v>
      </c>
      <c r="AZ26" s="71"/>
      <c r="BA26" s="11">
        <f t="shared" si="11"/>
        <v>0</v>
      </c>
      <c r="BB26" s="10">
        <f t="shared" si="28"/>
        <v>0</v>
      </c>
      <c r="BC26" s="71"/>
      <c r="BD26" s="10">
        <f t="shared" si="12"/>
        <v>0</v>
      </c>
      <c r="BE26" s="10">
        <f t="shared" si="29"/>
        <v>0</v>
      </c>
      <c r="BF26" s="71"/>
      <c r="BG26" s="11">
        <f t="shared" si="13"/>
        <v>0</v>
      </c>
      <c r="BH26" s="10">
        <f t="shared" si="30"/>
        <v>0</v>
      </c>
      <c r="BJ26" s="7">
        <f t="shared" si="31"/>
        <v>0.39711375864599124</v>
      </c>
      <c r="BK26" s="158">
        <f t="shared" si="32"/>
        <v>136944203.13255972</v>
      </c>
      <c r="BL26" s="158">
        <f t="shared" si="14"/>
        <v>26507819.926130291</v>
      </c>
      <c r="BM26" s="10"/>
      <c r="BN26" s="10">
        <f t="shared" si="33"/>
        <v>1453609615.5666051</v>
      </c>
      <c r="BO26" s="10">
        <f t="shared" si="34"/>
        <v>1019532538.0134594</v>
      </c>
      <c r="BQ26" s="10">
        <f t="shared" si="15"/>
        <v>66751200</v>
      </c>
      <c r="BR26" s="10">
        <f t="shared" si="35"/>
        <v>46817948.658737198</v>
      </c>
    </row>
    <row r="27" spans="3:70" x14ac:dyDescent="0.15">
      <c r="D27" s="82" t="s">
        <v>86</v>
      </c>
      <c r="F27" s="59">
        <f>F117*5%/10^8</f>
        <v>5.2050000000000001</v>
      </c>
      <c r="G27" s="81" t="s">
        <v>176</v>
      </c>
      <c r="I27" s="458">
        <f t="shared" si="36"/>
        <v>2032</v>
      </c>
      <c r="J27" s="39"/>
      <c r="K27" s="39">
        <f t="shared" si="37"/>
        <v>13</v>
      </c>
      <c r="L27" s="39"/>
      <c r="M27" s="40">
        <f t="shared" si="0"/>
        <v>0.68095133999317792</v>
      </c>
      <c r="N27" s="39"/>
      <c r="O27" s="72">
        <f t="shared" si="16"/>
        <v>1508464429.6870265</v>
      </c>
      <c r="P27" s="41" t="str">
        <f t="shared" si="1"/>
        <v>-</v>
      </c>
      <c r="Q27" s="39"/>
      <c r="R27" s="72">
        <f t="shared" si="17"/>
        <v>2049124644.6253633</v>
      </c>
      <c r="S27" s="39"/>
      <c r="T27" s="72">
        <f t="shared" si="18"/>
        <v>2049124000</v>
      </c>
      <c r="U27" s="39"/>
      <c r="V27" s="72">
        <f t="shared" si="2"/>
        <v>302417238.60472202</v>
      </c>
      <c r="W27" s="72">
        <f t="shared" si="19"/>
        <v>205931423.86492208</v>
      </c>
      <c r="X27" s="39"/>
      <c r="Y27" s="72">
        <f t="shared" si="3"/>
        <v>28687700</v>
      </c>
      <c r="Z27" s="72">
        <f t="shared" si="20"/>
        <v>19534927.756322291</v>
      </c>
      <c r="AA27" s="39"/>
      <c r="AB27" s="72">
        <f t="shared" si="4"/>
        <v>0</v>
      </c>
      <c r="AC27" s="72">
        <f t="shared" si="21"/>
        <v>0</v>
      </c>
      <c r="AD27" s="39"/>
      <c r="AE27" s="72">
        <f t="shared" si="5"/>
        <v>0</v>
      </c>
      <c r="AF27" s="72">
        <f t="shared" si="22"/>
        <v>0</v>
      </c>
      <c r="AG27" s="39"/>
      <c r="AH27" s="72">
        <f t="shared" si="6"/>
        <v>312000000</v>
      </c>
      <c r="AI27" s="72">
        <f t="shared" si="23"/>
        <v>212456818.0778715</v>
      </c>
      <c r="AJ27" s="39"/>
      <c r="AK27" s="72">
        <f t="shared" si="7"/>
        <v>0</v>
      </c>
      <c r="AL27" s="72">
        <f t="shared" si="24"/>
        <v>0</v>
      </c>
      <c r="AM27" s="39"/>
      <c r="AN27" s="72">
        <f t="shared" si="8"/>
        <v>0</v>
      </c>
      <c r="AO27" s="72">
        <f t="shared" si="25"/>
        <v>0</v>
      </c>
      <c r="AP27" s="39"/>
      <c r="AQ27" s="72">
        <f t="shared" si="9"/>
        <v>0</v>
      </c>
      <c r="AR27" s="72">
        <f t="shared" si="26"/>
        <v>0</v>
      </c>
      <c r="AS27" s="39"/>
      <c r="AT27" s="40">
        <f>IF($K27&lt;=$F$15,IF($F$40&lt;&gt;"",$F$40/1000,IF(ISERROR(VLOOKUP($F$3&amp;IF($G$4&lt;&gt;"",$G$4,"")&amp;IF($F$43&lt;&gt;"","_"&amp;$F$43,""),'表3）燃料価格'!$AF$9:$AG$25,2,0)),0,VLOOKUP($I27,'表3）燃料価格'!$A$6:$U$66,VLOOKUP($F$3&amp;IF($G$4&lt;&gt;"",$G$4,"")&amp;IF($F$43&lt;&gt;"","_"&amp;$F$43,""),'表3）燃料価格'!$AF$9:$AG$25,2,0)+VLOOKUP($F$41,'表3）燃料価格'!$AF$28:$AG$29,2,0),0)*IF($F$43="需要地価格",1,$F$8/$F$141))),"")</f>
        <v>0</v>
      </c>
      <c r="AU27" s="39"/>
      <c r="AV27" s="72">
        <f t="shared" si="10"/>
        <v>0</v>
      </c>
      <c r="AW27" s="72">
        <f t="shared" si="27"/>
        <v>0</v>
      </c>
      <c r="AX27" s="39"/>
      <c r="AY27" s="40">
        <f>IF(ISERROR(IF($K27&lt;=$F$15,VLOOKUP($I27,'表4）CO2価格'!$A$7:$E$67,VLOOKUP($F$48,'表4）CO2価格'!$H$10:$I$12,2,0),0)*$F$8/1000,"")),0,IF($K27&lt;=$F$15,VLOOKUP($I27,'表4）CO2価格'!$A$7:$E$67,VLOOKUP($F$48,'表4）CO2価格'!$H$10:$I$12,2,0),0)*$F$8/1000,""))</f>
        <v>0</v>
      </c>
      <c r="AZ27" s="39"/>
      <c r="BA27" s="42">
        <f t="shared" si="11"/>
        <v>0</v>
      </c>
      <c r="BB27" s="72">
        <f t="shared" si="28"/>
        <v>0</v>
      </c>
      <c r="BC27" s="39"/>
      <c r="BD27" s="72">
        <f t="shared" si="12"/>
        <v>0</v>
      </c>
      <c r="BE27" s="72">
        <f t="shared" si="29"/>
        <v>0</v>
      </c>
      <c r="BF27" s="39"/>
      <c r="BG27" s="42">
        <f t="shared" si="13"/>
        <v>0</v>
      </c>
      <c r="BH27" s="72">
        <f t="shared" si="30"/>
        <v>0</v>
      </c>
      <c r="BI27" s="39"/>
      <c r="BJ27" s="40">
        <f t="shared" si="31"/>
        <v>0.36769792467221413</v>
      </c>
      <c r="BK27" s="157">
        <f t="shared" si="32"/>
        <v>125270160.25134988</v>
      </c>
      <c r="BL27" s="157">
        <f t="shared" si="14"/>
        <v>24544277.7093799</v>
      </c>
      <c r="BM27" s="72"/>
      <c r="BN27" s="72">
        <f t="shared" si="33"/>
        <v>1453609615.5666051</v>
      </c>
      <c r="BO27" s="72">
        <f t="shared" si="34"/>
        <v>989837415.54704797</v>
      </c>
      <c r="BP27" s="39"/>
      <c r="BQ27" s="72">
        <f t="shared" si="15"/>
        <v>66751200</v>
      </c>
      <c r="BR27" s="72">
        <f t="shared" si="35"/>
        <v>45454319.086152621</v>
      </c>
    </row>
    <row r="28" spans="3:70" x14ac:dyDescent="0.15">
      <c r="D28" s="81" t="s">
        <v>116</v>
      </c>
      <c r="F28" s="59">
        <v>1</v>
      </c>
      <c r="G28" s="81" t="s">
        <v>108</v>
      </c>
      <c r="I28" s="459">
        <f t="shared" si="36"/>
        <v>2033</v>
      </c>
      <c r="J28" s="71"/>
      <c r="K28" s="71">
        <f t="shared" si="37"/>
        <v>14</v>
      </c>
      <c r="L28" s="71"/>
      <c r="M28" s="7">
        <f t="shared" si="0"/>
        <v>0.66111780581861923</v>
      </c>
      <c r="N28" s="71"/>
      <c r="O28" s="10">
        <f t="shared" si="16"/>
        <v>1206047191.0823045</v>
      </c>
      <c r="P28" s="29" t="str">
        <f t="shared" si="1"/>
        <v>-</v>
      </c>
      <c r="Q28" s="71"/>
      <c r="R28" s="10">
        <f t="shared" si="17"/>
        <v>1789554162.1347761</v>
      </c>
      <c r="S28" s="71"/>
      <c r="T28" s="10">
        <f t="shared" si="18"/>
        <v>1789554000</v>
      </c>
      <c r="U28" s="71"/>
      <c r="V28" s="10">
        <f t="shared" si="2"/>
        <v>302417238.60472202</v>
      </c>
      <c r="W28" s="10">
        <f t="shared" si="19"/>
        <v>199933421.22807965</v>
      </c>
      <c r="X28" s="71"/>
      <c r="Y28" s="10">
        <f t="shared" si="3"/>
        <v>25053700</v>
      </c>
      <c r="Z28" s="10">
        <f t="shared" si="20"/>
        <v>16563447.171637941</v>
      </c>
      <c r="AA28" s="71"/>
      <c r="AB28" s="10">
        <f t="shared" si="4"/>
        <v>0</v>
      </c>
      <c r="AC28" s="10">
        <f t="shared" si="21"/>
        <v>0</v>
      </c>
      <c r="AD28" s="71"/>
      <c r="AE28" s="10">
        <f t="shared" si="5"/>
        <v>0</v>
      </c>
      <c r="AF28" s="10">
        <f t="shared" si="22"/>
        <v>0</v>
      </c>
      <c r="AG28" s="71"/>
      <c r="AH28" s="10">
        <f t="shared" si="6"/>
        <v>312000000</v>
      </c>
      <c r="AI28" s="10">
        <f t="shared" si="23"/>
        <v>206268755.41540921</v>
      </c>
      <c r="AJ28" s="71"/>
      <c r="AK28" s="10">
        <f t="shared" si="7"/>
        <v>0</v>
      </c>
      <c r="AL28" s="10">
        <f t="shared" si="24"/>
        <v>0</v>
      </c>
      <c r="AM28" s="71"/>
      <c r="AN28" s="10">
        <f t="shared" si="8"/>
        <v>0</v>
      </c>
      <c r="AO28" s="10">
        <f t="shared" si="25"/>
        <v>0</v>
      </c>
      <c r="AP28" s="71"/>
      <c r="AQ28" s="10">
        <f t="shared" si="9"/>
        <v>0</v>
      </c>
      <c r="AR28" s="10">
        <f t="shared" si="26"/>
        <v>0</v>
      </c>
      <c r="AS28" s="71"/>
      <c r="AT28" s="7">
        <f>IF($K28&lt;=$F$15,IF($F$40&lt;&gt;"",$F$40/1000,IF(ISERROR(VLOOKUP($F$3&amp;IF($G$4&lt;&gt;"",$G$4,"")&amp;IF($F$43&lt;&gt;"","_"&amp;$F$43,""),'表3）燃料価格'!$AF$9:$AG$25,2,0)),0,VLOOKUP($I28,'表3）燃料価格'!$A$6:$U$66,VLOOKUP($F$3&amp;IF($G$4&lt;&gt;"",$G$4,"")&amp;IF($F$43&lt;&gt;"","_"&amp;$F$43,""),'表3）燃料価格'!$AF$9:$AG$25,2,0)+VLOOKUP($F$41,'表3）燃料価格'!$AF$28:$AG$29,2,0),0)*IF($F$43="需要地価格",1,$F$8/$F$141))),"")</f>
        <v>0</v>
      </c>
      <c r="AU28" s="71"/>
      <c r="AV28" s="10">
        <f t="shared" si="10"/>
        <v>0</v>
      </c>
      <c r="AW28" s="10">
        <f t="shared" si="27"/>
        <v>0</v>
      </c>
      <c r="AX28" s="71"/>
      <c r="AY28" s="7">
        <f>IF(ISERROR(IF($K28&lt;=$F$15,VLOOKUP($I28,'表4）CO2価格'!$A$7:$E$67,VLOOKUP($F$48,'表4）CO2価格'!$H$10:$I$12,2,0),0)*$F$8/1000,"")),0,IF($K28&lt;=$F$15,VLOOKUP($I28,'表4）CO2価格'!$A$7:$E$67,VLOOKUP($F$48,'表4）CO2価格'!$H$10:$I$12,2,0),0)*$F$8/1000,""))</f>
        <v>0</v>
      </c>
      <c r="AZ28" s="71"/>
      <c r="BA28" s="11">
        <f t="shared" si="11"/>
        <v>0</v>
      </c>
      <c r="BB28" s="10">
        <f t="shared" si="28"/>
        <v>0</v>
      </c>
      <c r="BC28" s="71"/>
      <c r="BD28" s="10">
        <f t="shared" si="12"/>
        <v>0</v>
      </c>
      <c r="BE28" s="10">
        <f t="shared" si="29"/>
        <v>0</v>
      </c>
      <c r="BF28" s="71"/>
      <c r="BG28" s="11">
        <f t="shared" si="13"/>
        <v>0</v>
      </c>
      <c r="BH28" s="10">
        <f t="shared" si="30"/>
        <v>0</v>
      </c>
      <c r="BJ28" s="7">
        <f t="shared" si="31"/>
        <v>0.34046104136316119</v>
      </c>
      <c r="BK28" s="158">
        <f t="shared" si="32"/>
        <v>114753653.69730653</v>
      </c>
      <c r="BL28" s="158">
        <f t="shared" si="14"/>
        <v>22726183.064240646</v>
      </c>
      <c r="BM28" s="10"/>
      <c r="BN28" s="10">
        <f t="shared" si="33"/>
        <v>1453609615.5666051</v>
      </c>
      <c r="BO28" s="10">
        <f t="shared" si="34"/>
        <v>961007199.56024063</v>
      </c>
      <c r="BQ28" s="10">
        <f t="shared" si="15"/>
        <v>66751200</v>
      </c>
      <c r="BR28" s="10">
        <f t="shared" si="35"/>
        <v>44130406.879759818</v>
      </c>
    </row>
    <row r="29" spans="3:70" x14ac:dyDescent="0.15">
      <c r="D29" s="81" t="s">
        <v>117</v>
      </c>
      <c r="F29" s="59"/>
      <c r="G29" s="81" t="s">
        <v>176</v>
      </c>
      <c r="I29" s="458">
        <f t="shared" si="36"/>
        <v>2034</v>
      </c>
      <c r="J29" s="39"/>
      <c r="K29" s="39">
        <f t="shared" si="37"/>
        <v>15</v>
      </c>
      <c r="L29" s="39"/>
      <c r="M29" s="40">
        <f t="shared" si="0"/>
        <v>0.64186194739671765</v>
      </c>
      <c r="N29" s="39"/>
      <c r="O29" s="72">
        <f t="shared" si="16"/>
        <v>903629952.47758245</v>
      </c>
      <c r="P29" s="41" t="str">
        <f t="shared" si="1"/>
        <v>-</v>
      </c>
      <c r="Q29" s="39"/>
      <c r="R29" s="72">
        <f t="shared" si="17"/>
        <v>1562864468.7934086</v>
      </c>
      <c r="S29" s="39"/>
      <c r="T29" s="72">
        <f t="shared" si="18"/>
        <v>1562864000</v>
      </c>
      <c r="U29" s="39"/>
      <c r="V29" s="72">
        <f t="shared" si="2"/>
        <v>302417238.60472202</v>
      </c>
      <c r="W29" s="72">
        <f t="shared" si="19"/>
        <v>194110117.69716468</v>
      </c>
      <c r="X29" s="39"/>
      <c r="Y29" s="72">
        <f t="shared" si="3"/>
        <v>21880000</v>
      </c>
      <c r="Z29" s="72">
        <f t="shared" si="20"/>
        <v>14043939.409040183</v>
      </c>
      <c r="AA29" s="39"/>
      <c r="AB29" s="72">
        <f t="shared" si="4"/>
        <v>0</v>
      </c>
      <c r="AC29" s="72">
        <f t="shared" si="21"/>
        <v>0</v>
      </c>
      <c r="AD29" s="39"/>
      <c r="AE29" s="72">
        <f t="shared" si="5"/>
        <v>0</v>
      </c>
      <c r="AF29" s="72">
        <f t="shared" si="22"/>
        <v>0</v>
      </c>
      <c r="AG29" s="39"/>
      <c r="AH29" s="72">
        <f t="shared" si="6"/>
        <v>312000000</v>
      </c>
      <c r="AI29" s="72">
        <f t="shared" si="23"/>
        <v>200260927.58777592</v>
      </c>
      <c r="AJ29" s="39"/>
      <c r="AK29" s="72">
        <f t="shared" si="7"/>
        <v>0</v>
      </c>
      <c r="AL29" s="72">
        <f t="shared" si="24"/>
        <v>0</v>
      </c>
      <c r="AM29" s="39"/>
      <c r="AN29" s="72">
        <f t="shared" si="8"/>
        <v>0</v>
      </c>
      <c r="AO29" s="72">
        <f t="shared" si="25"/>
        <v>0</v>
      </c>
      <c r="AP29" s="39"/>
      <c r="AQ29" s="72">
        <f t="shared" si="9"/>
        <v>0</v>
      </c>
      <c r="AR29" s="72">
        <f t="shared" si="26"/>
        <v>0</v>
      </c>
      <c r="AS29" s="39"/>
      <c r="AT29" s="40">
        <f>IF($K29&lt;=$F$15,IF($F$40&lt;&gt;"",$F$40/1000,IF(ISERROR(VLOOKUP($F$3&amp;IF($G$4&lt;&gt;"",$G$4,"")&amp;IF($F$43&lt;&gt;"","_"&amp;$F$43,""),'表3）燃料価格'!$AF$9:$AG$25,2,0)),0,VLOOKUP($I29,'表3）燃料価格'!$A$6:$U$66,VLOOKUP($F$3&amp;IF($G$4&lt;&gt;"",$G$4,"")&amp;IF($F$43&lt;&gt;"","_"&amp;$F$43,""),'表3）燃料価格'!$AF$9:$AG$25,2,0)+VLOOKUP($F$41,'表3）燃料価格'!$AF$28:$AG$29,2,0),0)*IF($F$43="需要地価格",1,$F$8/$F$141))),"")</f>
        <v>0</v>
      </c>
      <c r="AU29" s="39"/>
      <c r="AV29" s="72">
        <f t="shared" si="10"/>
        <v>0</v>
      </c>
      <c r="AW29" s="72">
        <f t="shared" si="27"/>
        <v>0</v>
      </c>
      <c r="AX29" s="39"/>
      <c r="AY29" s="40">
        <f>IF(ISERROR(IF($K29&lt;=$F$15,VLOOKUP($I29,'表4）CO2価格'!$A$7:$E$67,VLOOKUP($F$48,'表4）CO2価格'!$H$10:$I$12,2,0),0)*$F$8/1000,"")),0,IF($K29&lt;=$F$15,VLOOKUP($I29,'表4）CO2価格'!$A$7:$E$67,VLOOKUP($F$48,'表4）CO2価格'!$H$10:$I$12,2,0),0)*$F$8/1000,""))</f>
        <v>0</v>
      </c>
      <c r="AZ29" s="39"/>
      <c r="BA29" s="42">
        <f t="shared" si="11"/>
        <v>0</v>
      </c>
      <c r="BB29" s="72">
        <f t="shared" si="28"/>
        <v>0</v>
      </c>
      <c r="BC29" s="39"/>
      <c r="BD29" s="72">
        <f t="shared" si="12"/>
        <v>0</v>
      </c>
      <c r="BE29" s="72">
        <f t="shared" si="29"/>
        <v>0</v>
      </c>
      <c r="BF29" s="39"/>
      <c r="BG29" s="42">
        <f t="shared" si="13"/>
        <v>0</v>
      </c>
      <c r="BH29" s="72">
        <f t="shared" si="30"/>
        <v>0</v>
      </c>
      <c r="BI29" s="39"/>
      <c r="BJ29" s="40">
        <f t="shared" si="31"/>
        <v>0.31524170496588994</v>
      </c>
      <c r="BK29" s="157">
        <f t="shared" si="32"/>
        <v>105252900.45401134</v>
      </c>
      <c r="BL29" s="157">
        <f t="shared" si="14"/>
        <v>21042762.096519113</v>
      </c>
      <c r="BM29" s="72"/>
      <c r="BN29" s="72">
        <f t="shared" si="33"/>
        <v>1453609615.5666051</v>
      </c>
      <c r="BO29" s="72">
        <f t="shared" si="34"/>
        <v>933016698.60217524</v>
      </c>
      <c r="BP29" s="39"/>
      <c r="BQ29" s="72">
        <f t="shared" si="15"/>
        <v>66751200</v>
      </c>
      <c r="BR29" s="72">
        <f t="shared" si="35"/>
        <v>42845055.223067775</v>
      </c>
    </row>
    <row r="30" spans="3:70" x14ac:dyDescent="0.15">
      <c r="I30" s="459">
        <f t="shared" si="36"/>
        <v>2035</v>
      </c>
      <c r="J30" s="71"/>
      <c r="K30" s="71">
        <f t="shared" si="37"/>
        <v>16</v>
      </c>
      <c r="L30" s="71"/>
      <c r="M30" s="7">
        <f t="shared" si="0"/>
        <v>0.62316693922011435</v>
      </c>
      <c r="N30" s="71"/>
      <c r="O30" s="10">
        <f t="shared" si="16"/>
        <v>601212713.87286043</v>
      </c>
      <c r="P30" s="29" t="str">
        <f t="shared" si="1"/>
        <v>-</v>
      </c>
      <c r="Q30" s="71"/>
      <c r="R30" s="10">
        <f t="shared" si="17"/>
        <v>1364890428.8558486</v>
      </c>
      <c r="S30" s="71"/>
      <c r="T30" s="10">
        <f t="shared" si="18"/>
        <v>1364890000</v>
      </c>
      <c r="U30" s="71"/>
      <c r="V30" s="10">
        <f t="shared" si="2"/>
        <v>302417238.60472202</v>
      </c>
      <c r="W30" s="10">
        <f t="shared" si="19"/>
        <v>188456424.94870362</v>
      </c>
      <c r="X30" s="71"/>
      <c r="Y30" s="10">
        <f t="shared" si="3"/>
        <v>19108400</v>
      </c>
      <c r="Z30" s="10">
        <f t="shared" si="20"/>
        <v>11907723.141393634</v>
      </c>
      <c r="AA30" s="71"/>
      <c r="AB30" s="10">
        <f t="shared" si="4"/>
        <v>0</v>
      </c>
      <c r="AC30" s="10">
        <f t="shared" si="21"/>
        <v>0</v>
      </c>
      <c r="AD30" s="71"/>
      <c r="AE30" s="10">
        <f t="shared" si="5"/>
        <v>0</v>
      </c>
      <c r="AF30" s="10">
        <f t="shared" si="22"/>
        <v>0</v>
      </c>
      <c r="AG30" s="71"/>
      <c r="AH30" s="10">
        <f t="shared" si="6"/>
        <v>312000000</v>
      </c>
      <c r="AI30" s="10">
        <f t="shared" si="23"/>
        <v>194428085.03667566</v>
      </c>
      <c r="AJ30" s="71"/>
      <c r="AK30" s="10">
        <f t="shared" si="7"/>
        <v>0</v>
      </c>
      <c r="AL30" s="10">
        <f t="shared" si="24"/>
        <v>0</v>
      </c>
      <c r="AM30" s="71"/>
      <c r="AN30" s="10">
        <f t="shared" si="8"/>
        <v>0</v>
      </c>
      <c r="AO30" s="10">
        <f t="shared" si="25"/>
        <v>0</v>
      </c>
      <c r="AP30" s="71"/>
      <c r="AQ30" s="10">
        <f t="shared" si="9"/>
        <v>0</v>
      </c>
      <c r="AR30" s="10">
        <f t="shared" si="26"/>
        <v>0</v>
      </c>
      <c r="AS30" s="71"/>
      <c r="AT30" s="7">
        <f>IF($K30&lt;=$F$15,IF($F$40&lt;&gt;"",$F$40/1000,IF(ISERROR(VLOOKUP($F$3&amp;IF($G$4&lt;&gt;"",$G$4,"")&amp;IF($F$43&lt;&gt;"","_"&amp;$F$43,""),'表3）燃料価格'!$AF$9:$AG$25,2,0)),0,VLOOKUP($I30,'表3）燃料価格'!$A$6:$U$66,VLOOKUP($F$3&amp;IF($G$4&lt;&gt;"",$G$4,"")&amp;IF($F$43&lt;&gt;"","_"&amp;$F$43,""),'表3）燃料価格'!$AF$9:$AG$25,2,0)+VLOOKUP($F$41,'表3）燃料価格'!$AF$28:$AG$29,2,0),0)*IF($F$43="需要地価格",1,$F$8/$F$141))),"")</f>
        <v>0</v>
      </c>
      <c r="AU30" s="71"/>
      <c r="AV30" s="10">
        <f t="shared" si="10"/>
        <v>0</v>
      </c>
      <c r="AW30" s="10">
        <f t="shared" si="27"/>
        <v>0</v>
      </c>
      <c r="AX30" s="71"/>
      <c r="AY30" s="7">
        <f>IF(ISERROR(IF($K30&lt;=$F$15,VLOOKUP($I30,'表4）CO2価格'!$A$7:$E$67,VLOOKUP($F$48,'表4）CO2価格'!$H$10:$I$12,2,0),0)*$F$8/1000,"")),0,IF($K30&lt;=$F$15,VLOOKUP($I30,'表4）CO2価格'!$A$7:$E$67,VLOOKUP($F$48,'表4）CO2価格'!$H$10:$I$12,2,0),0)*$F$8/1000,""))</f>
        <v>0</v>
      </c>
      <c r="AZ30" s="71"/>
      <c r="BA30" s="11">
        <f t="shared" si="11"/>
        <v>0</v>
      </c>
      <c r="BB30" s="10">
        <f t="shared" si="28"/>
        <v>0</v>
      </c>
      <c r="BC30" s="71"/>
      <c r="BD30" s="10">
        <f t="shared" si="12"/>
        <v>0</v>
      </c>
      <c r="BE30" s="10">
        <f t="shared" si="29"/>
        <v>0</v>
      </c>
      <c r="BF30" s="71"/>
      <c r="BG30" s="11">
        <f t="shared" si="13"/>
        <v>0</v>
      </c>
      <c r="BH30" s="10">
        <f t="shared" si="30"/>
        <v>0</v>
      </c>
      <c r="BJ30" s="7">
        <f t="shared" si="31"/>
        <v>0.29189046756100923</v>
      </c>
      <c r="BK30" s="158">
        <f t="shared" si="32"/>
        <v>96647385.689377666</v>
      </c>
      <c r="BL30" s="158">
        <f t="shared" si="14"/>
        <v>19484038.978258438</v>
      </c>
      <c r="BM30" s="10"/>
      <c r="BN30" s="10">
        <f t="shared" si="33"/>
        <v>1453609615.5666051</v>
      </c>
      <c r="BO30" s="10">
        <f t="shared" si="34"/>
        <v>905841454.95356834</v>
      </c>
      <c r="BQ30" s="10">
        <f t="shared" si="15"/>
        <v>66751200</v>
      </c>
      <c r="BR30" s="10">
        <f t="shared" si="35"/>
        <v>41597140.993269697</v>
      </c>
    </row>
    <row r="31" spans="3:70" x14ac:dyDescent="0.15">
      <c r="C31" s="89" t="s">
        <v>507</v>
      </c>
      <c r="D31" s="101"/>
      <c r="E31" s="101"/>
      <c r="F31" s="89"/>
      <c r="G31" s="101"/>
      <c r="I31" s="458">
        <f t="shared" si="36"/>
        <v>2036</v>
      </c>
      <c r="J31" s="39"/>
      <c r="K31" s="39">
        <f t="shared" si="37"/>
        <v>17</v>
      </c>
      <c r="L31" s="39"/>
      <c r="M31" s="40">
        <f t="shared" si="0"/>
        <v>0.60501644584477121</v>
      </c>
      <c r="N31" s="39"/>
      <c r="O31" s="72">
        <f t="shared" si="16"/>
        <v>298795475.26813841</v>
      </c>
      <c r="P31" s="41" t="str">
        <f t="shared" si="1"/>
        <v>-</v>
      </c>
      <c r="Q31" s="39"/>
      <c r="R31" s="72">
        <f t="shared" si="17"/>
        <v>1191994520.3057516</v>
      </c>
      <c r="S31" s="39"/>
      <c r="T31" s="72">
        <f t="shared" si="18"/>
        <v>1191994000</v>
      </c>
      <c r="U31" s="39"/>
      <c r="V31" s="72">
        <f t="shared" si="2"/>
        <v>298795475.26813841</v>
      </c>
      <c r="W31" s="72">
        <f t="shared" si="19"/>
        <v>180776176.48122835</v>
      </c>
      <c r="X31" s="39"/>
      <c r="Y31" s="72">
        <f t="shared" si="3"/>
        <v>16687900</v>
      </c>
      <c r="Z31" s="72">
        <f t="shared" si="20"/>
        <v>10096453.946612958</v>
      </c>
      <c r="AA31" s="39"/>
      <c r="AB31" s="72">
        <f t="shared" si="4"/>
        <v>0</v>
      </c>
      <c r="AC31" s="72">
        <f t="shared" si="21"/>
        <v>0</v>
      </c>
      <c r="AD31" s="39"/>
      <c r="AE31" s="72">
        <f t="shared" si="5"/>
        <v>0</v>
      </c>
      <c r="AF31" s="72">
        <f t="shared" si="22"/>
        <v>0</v>
      </c>
      <c r="AG31" s="39"/>
      <c r="AH31" s="72">
        <f t="shared" si="6"/>
        <v>312000000</v>
      </c>
      <c r="AI31" s="72">
        <f t="shared" si="23"/>
        <v>188765131.10356861</v>
      </c>
      <c r="AJ31" s="39"/>
      <c r="AK31" s="72">
        <f t="shared" si="7"/>
        <v>0</v>
      </c>
      <c r="AL31" s="72">
        <f t="shared" si="24"/>
        <v>0</v>
      </c>
      <c r="AM31" s="39"/>
      <c r="AN31" s="72">
        <f t="shared" si="8"/>
        <v>0</v>
      </c>
      <c r="AO31" s="72">
        <f t="shared" si="25"/>
        <v>0</v>
      </c>
      <c r="AP31" s="39"/>
      <c r="AQ31" s="72">
        <f t="shared" si="9"/>
        <v>0</v>
      </c>
      <c r="AR31" s="72">
        <f t="shared" si="26"/>
        <v>0</v>
      </c>
      <c r="AS31" s="39"/>
      <c r="AT31" s="40">
        <f>IF($K31&lt;=$F$15,IF($F$40&lt;&gt;"",$F$40/1000,IF(ISERROR(VLOOKUP($F$3&amp;IF($G$4&lt;&gt;"",$G$4,"")&amp;IF($F$43&lt;&gt;"","_"&amp;$F$43,""),'表3）燃料価格'!$AF$9:$AG$25,2,0)),0,VLOOKUP($I31,'表3）燃料価格'!$A$6:$U$66,VLOOKUP($F$3&amp;IF($G$4&lt;&gt;"",$G$4,"")&amp;IF($F$43&lt;&gt;"","_"&amp;$F$43,""),'表3）燃料価格'!$AF$9:$AG$25,2,0)+VLOOKUP($F$41,'表3）燃料価格'!$AF$28:$AG$29,2,0),0)*IF($F$43="需要地価格",1,$F$8/$F$141))),"")</f>
        <v>0</v>
      </c>
      <c r="AU31" s="39"/>
      <c r="AV31" s="72">
        <f t="shared" si="10"/>
        <v>0</v>
      </c>
      <c r="AW31" s="72">
        <f t="shared" si="27"/>
        <v>0</v>
      </c>
      <c r="AX31" s="39"/>
      <c r="AY31" s="40">
        <f>IF(ISERROR(IF($K31&lt;=$F$15,VLOOKUP($I31,'表4）CO2価格'!$A$7:$E$67,VLOOKUP($F$48,'表4）CO2価格'!$H$10:$I$12,2,0),0)*$F$8/1000,"")),0,IF($K31&lt;=$F$15,VLOOKUP($I31,'表4）CO2価格'!$A$7:$E$67,VLOOKUP($F$48,'表4）CO2価格'!$H$10:$I$12,2,0),0)*$F$8/1000,""))</f>
        <v>0</v>
      </c>
      <c r="AZ31" s="39"/>
      <c r="BA31" s="42">
        <f t="shared" si="11"/>
        <v>0</v>
      </c>
      <c r="BB31" s="72">
        <f t="shared" si="28"/>
        <v>0</v>
      </c>
      <c r="BC31" s="39"/>
      <c r="BD31" s="72">
        <f t="shared" si="12"/>
        <v>0</v>
      </c>
      <c r="BE31" s="72">
        <f t="shared" si="29"/>
        <v>0</v>
      </c>
      <c r="BF31" s="39"/>
      <c r="BG31" s="42">
        <f t="shared" si="13"/>
        <v>0</v>
      </c>
      <c r="BH31" s="72">
        <f t="shared" si="30"/>
        <v>0</v>
      </c>
      <c r="BI31" s="39"/>
      <c r="BJ31" s="40">
        <f t="shared" si="31"/>
        <v>0.27026895144537894</v>
      </c>
      <c r="BK31" s="157">
        <f t="shared" si="32"/>
        <v>88834134.085783571</v>
      </c>
      <c r="BL31" s="157">
        <f t="shared" si="14"/>
        <v>18040776.831720777</v>
      </c>
      <c r="BM31" s="72"/>
      <c r="BN31" s="72">
        <f t="shared" si="33"/>
        <v>1453609615.5666051</v>
      </c>
      <c r="BO31" s="72">
        <f t="shared" si="34"/>
        <v>879457723.25589168</v>
      </c>
      <c r="BP31" s="39"/>
      <c r="BQ31" s="72">
        <f t="shared" si="15"/>
        <v>66751200</v>
      </c>
      <c r="BR31" s="72">
        <f t="shared" si="35"/>
        <v>40385573.77987349</v>
      </c>
    </row>
    <row r="32" spans="3:70" x14ac:dyDescent="0.15">
      <c r="I32" s="459">
        <f t="shared" si="36"/>
        <v>2037</v>
      </c>
      <c r="J32" s="71"/>
      <c r="K32" s="71">
        <f t="shared" si="37"/>
        <v>18</v>
      </c>
      <c r="L32" s="71"/>
      <c r="M32" s="7">
        <f t="shared" si="0"/>
        <v>0.5873946076162827</v>
      </c>
      <c r="N32" s="71"/>
      <c r="O32" s="10">
        <f t="shared" si="16"/>
        <v>0</v>
      </c>
      <c r="P32" s="29" t="str">
        <f t="shared" si="1"/>
        <v>-</v>
      </c>
      <c r="Q32" s="71"/>
      <c r="R32" s="10">
        <f t="shared" si="17"/>
        <v>1041000000.0000002</v>
      </c>
      <c r="S32" s="71"/>
      <c r="T32" s="10">
        <f t="shared" si="18"/>
        <v>1041000000</v>
      </c>
      <c r="U32" s="71"/>
      <c r="V32" s="10">
        <f t="shared" si="2"/>
        <v>0</v>
      </c>
      <c r="W32" s="10">
        <f t="shared" si="19"/>
        <v>0</v>
      </c>
      <c r="X32" s="71"/>
      <c r="Y32" s="10">
        <f t="shared" si="3"/>
        <v>14574000</v>
      </c>
      <c r="Z32" s="10">
        <f t="shared" si="20"/>
        <v>8560689.011399705</v>
      </c>
      <c r="AA32" s="71"/>
      <c r="AB32" s="10">
        <f t="shared" si="4"/>
        <v>0</v>
      </c>
      <c r="AC32" s="10">
        <f t="shared" si="21"/>
        <v>0</v>
      </c>
      <c r="AD32" s="71"/>
      <c r="AE32" s="10">
        <f t="shared" si="5"/>
        <v>0</v>
      </c>
      <c r="AF32" s="10">
        <f t="shared" si="22"/>
        <v>0</v>
      </c>
      <c r="AG32" s="71"/>
      <c r="AH32" s="10">
        <f t="shared" si="6"/>
        <v>312000000</v>
      </c>
      <c r="AI32" s="10">
        <f t="shared" si="23"/>
        <v>183267117.57628021</v>
      </c>
      <c r="AJ32" s="71"/>
      <c r="AK32" s="10">
        <f t="shared" si="7"/>
        <v>0</v>
      </c>
      <c r="AL32" s="10">
        <f t="shared" si="24"/>
        <v>0</v>
      </c>
      <c r="AM32" s="71"/>
      <c r="AN32" s="10">
        <f t="shared" si="8"/>
        <v>0</v>
      </c>
      <c r="AO32" s="10">
        <f t="shared" si="25"/>
        <v>0</v>
      </c>
      <c r="AP32" s="71"/>
      <c r="AQ32" s="10">
        <f t="shared" si="9"/>
        <v>0</v>
      </c>
      <c r="AR32" s="10">
        <f t="shared" si="26"/>
        <v>0</v>
      </c>
      <c r="AS32" s="71"/>
      <c r="AT32" s="7">
        <f>IF($K32&lt;=$F$15,IF($F$40&lt;&gt;"",$F$40/1000,IF(ISERROR(VLOOKUP($F$3&amp;IF($G$4&lt;&gt;"",$G$4,"")&amp;IF($F$43&lt;&gt;"","_"&amp;$F$43,""),'表3）燃料価格'!$AF$9:$AG$25,2,0)),0,VLOOKUP($I32,'表3）燃料価格'!$A$6:$U$66,VLOOKUP($F$3&amp;IF($G$4&lt;&gt;"",$G$4,"")&amp;IF($F$43&lt;&gt;"","_"&amp;$F$43,""),'表3）燃料価格'!$AF$9:$AG$25,2,0)+VLOOKUP($F$41,'表3）燃料価格'!$AF$28:$AG$29,2,0),0)*IF($F$43="需要地価格",1,$F$8/$F$141))),"")</f>
        <v>0</v>
      </c>
      <c r="AU32" s="71"/>
      <c r="AV32" s="10">
        <f t="shared" si="10"/>
        <v>0</v>
      </c>
      <c r="AW32" s="10">
        <f t="shared" si="27"/>
        <v>0</v>
      </c>
      <c r="AX32" s="71"/>
      <c r="AY32" s="7">
        <f>IF(ISERROR(IF($K32&lt;=$F$15,VLOOKUP($I32,'表4）CO2価格'!$A$7:$E$67,VLOOKUP($F$48,'表4）CO2価格'!$H$10:$I$12,2,0),0)*$F$8/1000,"")),0,IF($K32&lt;=$F$15,VLOOKUP($I32,'表4）CO2価格'!$A$7:$E$67,VLOOKUP($F$48,'表4）CO2価格'!$H$10:$I$12,2,0),0)*$F$8/1000,""))</f>
        <v>0</v>
      </c>
      <c r="AZ32" s="71"/>
      <c r="BA32" s="11">
        <f t="shared" si="11"/>
        <v>0</v>
      </c>
      <c r="BB32" s="10">
        <f t="shared" si="28"/>
        <v>0</v>
      </c>
      <c r="BC32" s="71"/>
      <c r="BD32" s="10">
        <f t="shared" si="12"/>
        <v>0</v>
      </c>
      <c r="BE32" s="10">
        <f t="shared" si="29"/>
        <v>0</v>
      </c>
      <c r="BF32" s="71"/>
      <c r="BG32" s="11">
        <f t="shared" si="13"/>
        <v>0</v>
      </c>
      <c r="BH32" s="10">
        <f t="shared" si="30"/>
        <v>0</v>
      </c>
      <c r="BJ32" s="7">
        <f t="shared" si="31"/>
        <v>0.25024902911609154</v>
      </c>
      <c r="BK32" s="158">
        <f t="shared" si="32"/>
        <v>81724826.434558481</v>
      </c>
      <c r="BL32" s="158">
        <f t="shared" si="14"/>
        <v>16704422.992334049</v>
      </c>
      <c r="BM32" s="10"/>
      <c r="BN32" s="10">
        <f t="shared" si="33"/>
        <v>1453609615.5666051</v>
      </c>
      <c r="BO32" s="10">
        <f t="shared" si="34"/>
        <v>853842449.76300156</v>
      </c>
      <c r="BQ32" s="10">
        <f t="shared" si="15"/>
        <v>66751200</v>
      </c>
      <c r="BR32" s="10">
        <f t="shared" si="35"/>
        <v>39209294.931916013</v>
      </c>
    </row>
    <row r="33" spans="3:70" x14ac:dyDescent="0.15">
      <c r="D33" s="82" t="s">
        <v>232</v>
      </c>
      <c r="F33" s="148">
        <v>1.04</v>
      </c>
      <c r="G33" s="81" t="s">
        <v>243</v>
      </c>
      <c r="I33" s="458">
        <f t="shared" si="36"/>
        <v>2038</v>
      </c>
      <c r="J33" s="39"/>
      <c r="K33" s="39">
        <f t="shared" si="37"/>
        <v>19</v>
      </c>
      <c r="L33" s="39"/>
      <c r="M33" s="40">
        <f t="shared" si="0"/>
        <v>0.57028602681192497</v>
      </c>
      <c r="N33" s="39"/>
      <c r="O33" s="72">
        <f t="shared" si="16"/>
        <v>0</v>
      </c>
      <c r="P33" s="41" t="str">
        <f t="shared" si="1"/>
        <v>-</v>
      </c>
      <c r="Q33" s="39"/>
      <c r="R33" s="72">
        <f t="shared" si="17"/>
        <v>909132535.0405401</v>
      </c>
      <c r="S33" s="39"/>
      <c r="T33" s="72">
        <f t="shared" si="18"/>
        <v>909132000</v>
      </c>
      <c r="U33" s="39"/>
      <c r="V33" s="72">
        <f t="shared" si="2"/>
        <v>0</v>
      </c>
      <c r="W33" s="72">
        <f t="shared" si="19"/>
        <v>0</v>
      </c>
      <c r="X33" s="39"/>
      <c r="Y33" s="72">
        <f t="shared" si="3"/>
        <v>12727800</v>
      </c>
      <c r="Z33" s="72">
        <f t="shared" si="20"/>
        <v>7258486.4920568187</v>
      </c>
      <c r="AA33" s="39"/>
      <c r="AB33" s="72">
        <f t="shared" si="4"/>
        <v>0</v>
      </c>
      <c r="AC33" s="72">
        <f t="shared" si="21"/>
        <v>0</v>
      </c>
      <c r="AD33" s="39"/>
      <c r="AE33" s="72">
        <f t="shared" si="5"/>
        <v>0</v>
      </c>
      <c r="AF33" s="72">
        <f t="shared" si="22"/>
        <v>0</v>
      </c>
      <c r="AG33" s="39"/>
      <c r="AH33" s="72">
        <f t="shared" si="6"/>
        <v>312000000</v>
      </c>
      <c r="AI33" s="72">
        <f t="shared" si="23"/>
        <v>177929240.36532059</v>
      </c>
      <c r="AJ33" s="39"/>
      <c r="AK33" s="72">
        <f t="shared" si="7"/>
        <v>0</v>
      </c>
      <c r="AL33" s="72">
        <f t="shared" si="24"/>
        <v>0</v>
      </c>
      <c r="AM33" s="39"/>
      <c r="AN33" s="72">
        <f t="shared" si="8"/>
        <v>0</v>
      </c>
      <c r="AO33" s="72">
        <f t="shared" si="25"/>
        <v>0</v>
      </c>
      <c r="AP33" s="39"/>
      <c r="AQ33" s="72">
        <f t="shared" si="9"/>
        <v>0</v>
      </c>
      <c r="AR33" s="72">
        <f t="shared" si="26"/>
        <v>0</v>
      </c>
      <c r="AS33" s="39"/>
      <c r="AT33" s="40">
        <f>IF($K33&lt;=$F$15,IF($F$40&lt;&gt;"",$F$40/1000,IF(ISERROR(VLOOKUP($F$3&amp;IF($G$4&lt;&gt;"",$G$4,"")&amp;IF($F$43&lt;&gt;"","_"&amp;$F$43,""),'表3）燃料価格'!$AF$9:$AG$25,2,0)),0,VLOOKUP($I33,'表3）燃料価格'!$A$6:$U$66,VLOOKUP($F$3&amp;IF($G$4&lt;&gt;"",$G$4,"")&amp;IF($F$43&lt;&gt;"","_"&amp;$F$43,""),'表3）燃料価格'!$AF$9:$AG$25,2,0)+VLOOKUP($F$41,'表3）燃料価格'!$AF$28:$AG$29,2,0),0)*IF($F$43="需要地価格",1,$F$8/$F$141))),"")</f>
        <v>0</v>
      </c>
      <c r="AU33" s="39"/>
      <c r="AV33" s="72">
        <f t="shared" si="10"/>
        <v>0</v>
      </c>
      <c r="AW33" s="72">
        <f t="shared" si="27"/>
        <v>0</v>
      </c>
      <c r="AX33" s="39"/>
      <c r="AY33" s="40">
        <f>IF(ISERROR(IF($K33&lt;=$F$15,VLOOKUP($I33,'表4）CO2価格'!$A$7:$E$67,VLOOKUP($F$48,'表4）CO2価格'!$H$10:$I$12,2,0),0)*$F$8/1000,"")),0,IF($K33&lt;=$F$15,VLOOKUP($I33,'表4）CO2価格'!$A$7:$E$67,VLOOKUP($F$48,'表4）CO2価格'!$H$10:$I$12,2,0),0)*$F$8/1000,""))</f>
        <v>0</v>
      </c>
      <c r="AZ33" s="39"/>
      <c r="BA33" s="42">
        <f t="shared" si="11"/>
        <v>0</v>
      </c>
      <c r="BB33" s="72">
        <f t="shared" si="28"/>
        <v>0</v>
      </c>
      <c r="BC33" s="39"/>
      <c r="BD33" s="72">
        <f t="shared" si="12"/>
        <v>0</v>
      </c>
      <c r="BE33" s="72">
        <f t="shared" si="29"/>
        <v>0</v>
      </c>
      <c r="BF33" s="39"/>
      <c r="BG33" s="42">
        <f t="shared" si="13"/>
        <v>0</v>
      </c>
      <c r="BH33" s="72">
        <f t="shared" si="30"/>
        <v>0</v>
      </c>
      <c r="BI33" s="39"/>
      <c r="BJ33" s="40">
        <f t="shared" si="31"/>
        <v>0.23171206399638106</v>
      </c>
      <c r="BK33" s="157">
        <f t="shared" si="32"/>
        <v>75243348.775004029</v>
      </c>
      <c r="BL33" s="157">
        <f t="shared" si="14"/>
        <v>15467058.326235231</v>
      </c>
      <c r="BM33" s="72"/>
      <c r="BN33" s="72">
        <f t="shared" si="33"/>
        <v>1453609615.5666051</v>
      </c>
      <c r="BO33" s="72">
        <f t="shared" si="34"/>
        <v>828973252.19708896</v>
      </c>
      <c r="BP33" s="39"/>
      <c r="BQ33" s="72">
        <f t="shared" si="15"/>
        <v>66751200</v>
      </c>
      <c r="BR33" s="72">
        <f t="shared" si="35"/>
        <v>38067276.632928163</v>
      </c>
    </row>
    <row r="34" spans="3:70" x14ac:dyDescent="0.15">
      <c r="D34" s="82"/>
      <c r="F34" s="66"/>
      <c r="I34" s="459">
        <f t="shared" si="36"/>
        <v>2039</v>
      </c>
      <c r="J34" s="71"/>
      <c r="K34" s="71">
        <f t="shared" si="37"/>
        <v>20</v>
      </c>
      <c r="L34" s="71"/>
      <c r="M34" s="7">
        <f t="shared" si="0"/>
        <v>0.55367575418633497</v>
      </c>
      <c r="N34" s="71"/>
      <c r="O34" s="10">
        <f t="shared" si="16"/>
        <v>0</v>
      </c>
      <c r="P34" s="29" t="str">
        <f t="shared" si="1"/>
        <v>-</v>
      </c>
      <c r="Q34" s="71"/>
      <c r="R34" s="10">
        <f t="shared" si="17"/>
        <v>793969227.92434072</v>
      </c>
      <c r="S34" s="71"/>
      <c r="T34" s="10">
        <f t="shared" si="18"/>
        <v>793969000</v>
      </c>
      <c r="U34" s="71"/>
      <c r="V34" s="10">
        <f t="shared" si="2"/>
        <v>0</v>
      </c>
      <c r="W34" s="10">
        <f t="shared" si="19"/>
        <v>0</v>
      </c>
      <c r="X34" s="71"/>
      <c r="Y34" s="10">
        <f t="shared" si="3"/>
        <v>11115500</v>
      </c>
      <c r="Z34" s="10">
        <f t="shared" si="20"/>
        <v>6154382.8456582064</v>
      </c>
      <c r="AA34" s="71"/>
      <c r="AB34" s="10">
        <f t="shared" si="4"/>
        <v>0</v>
      </c>
      <c r="AC34" s="10">
        <f t="shared" si="21"/>
        <v>0</v>
      </c>
      <c r="AD34" s="71"/>
      <c r="AE34" s="10">
        <f t="shared" si="5"/>
        <v>0</v>
      </c>
      <c r="AF34" s="10">
        <f t="shared" si="22"/>
        <v>0</v>
      </c>
      <c r="AG34" s="71"/>
      <c r="AH34" s="10">
        <f t="shared" si="6"/>
        <v>312000000</v>
      </c>
      <c r="AI34" s="10">
        <f t="shared" si="23"/>
        <v>172746835.30613652</v>
      </c>
      <c r="AJ34" s="71"/>
      <c r="AK34" s="10">
        <f t="shared" si="7"/>
        <v>0</v>
      </c>
      <c r="AL34" s="10">
        <f t="shared" si="24"/>
        <v>0</v>
      </c>
      <c r="AM34" s="71"/>
      <c r="AN34" s="10">
        <f t="shared" si="8"/>
        <v>0</v>
      </c>
      <c r="AO34" s="10">
        <f t="shared" si="25"/>
        <v>0</v>
      </c>
      <c r="AP34" s="71"/>
      <c r="AQ34" s="10">
        <f t="shared" si="9"/>
        <v>0</v>
      </c>
      <c r="AR34" s="10">
        <f t="shared" si="26"/>
        <v>0</v>
      </c>
      <c r="AS34" s="71"/>
      <c r="AT34" s="7">
        <f>IF($K34&lt;=$F$15,IF($F$40&lt;&gt;"",$F$40/1000,IF(ISERROR(VLOOKUP($F$3&amp;IF($G$4&lt;&gt;"",$G$4,"")&amp;IF($F$43&lt;&gt;"","_"&amp;$F$43,""),'表3）燃料価格'!$AF$9:$AG$25,2,0)),0,VLOOKUP($I34,'表3）燃料価格'!$A$6:$U$66,VLOOKUP($F$3&amp;IF($G$4&lt;&gt;"",$G$4,"")&amp;IF($F$43&lt;&gt;"","_"&amp;$F$43,""),'表3）燃料価格'!$AF$9:$AG$25,2,0)+VLOOKUP($F$41,'表3）燃料価格'!$AF$28:$AG$29,2,0),0)*IF($F$43="需要地価格",1,$F$8/$F$141))),"")</f>
        <v>0</v>
      </c>
      <c r="AU34" s="71"/>
      <c r="AV34" s="10">
        <f t="shared" si="10"/>
        <v>0</v>
      </c>
      <c r="AW34" s="10">
        <f t="shared" si="27"/>
        <v>0</v>
      </c>
      <c r="AX34" s="71"/>
      <c r="AY34" s="7">
        <f>IF(ISERROR(IF($K34&lt;=$F$15,VLOOKUP($I34,'表4）CO2価格'!$A$7:$E$67,VLOOKUP($F$48,'表4）CO2価格'!$H$10:$I$12,2,0),0)*$F$8/1000,"")),0,IF($K34&lt;=$F$15,VLOOKUP($I34,'表4）CO2価格'!$A$7:$E$67,VLOOKUP($F$48,'表4）CO2価格'!$H$10:$I$12,2,0),0)*$F$8/1000,""))</f>
        <v>0</v>
      </c>
      <c r="AZ34" s="71"/>
      <c r="BA34" s="11">
        <f t="shared" si="11"/>
        <v>0</v>
      </c>
      <c r="BB34" s="10">
        <f t="shared" si="28"/>
        <v>0</v>
      </c>
      <c r="BC34" s="71"/>
      <c r="BD34" s="10">
        <f t="shared" si="12"/>
        <v>0</v>
      </c>
      <c r="BE34" s="10">
        <f t="shared" si="29"/>
        <v>0</v>
      </c>
      <c r="BF34" s="71"/>
      <c r="BG34" s="11">
        <f t="shared" si="13"/>
        <v>0</v>
      </c>
      <c r="BH34" s="10">
        <f t="shared" si="30"/>
        <v>0</v>
      </c>
      <c r="BJ34" s="7">
        <f t="shared" si="31"/>
        <v>0.21454820740405653</v>
      </c>
      <c r="BK34" s="158">
        <f t="shared" si="32"/>
        <v>69323851.309465423</v>
      </c>
      <c r="BL34" s="158">
        <f t="shared" si="14"/>
        <v>14321350.302069658</v>
      </c>
      <c r="BM34" s="10"/>
      <c r="BN34" s="10">
        <f t="shared" si="33"/>
        <v>1453609615.5666051</v>
      </c>
      <c r="BO34" s="10">
        <f t="shared" si="34"/>
        <v>804828400.19134855</v>
      </c>
      <c r="BQ34" s="10">
        <f t="shared" si="15"/>
        <v>66751200</v>
      </c>
      <c r="BR34" s="10">
        <f t="shared" si="35"/>
        <v>36958521.002842881</v>
      </c>
    </row>
    <row r="35" spans="3:70" x14ac:dyDescent="0.15">
      <c r="D35" s="82"/>
      <c r="F35" s="66"/>
      <c r="I35" s="458">
        <f t="shared" si="36"/>
        <v>2040</v>
      </c>
      <c r="J35" s="39"/>
      <c r="K35" s="39">
        <f t="shared" si="37"/>
        <v>21</v>
      </c>
      <c r="L35" s="39"/>
      <c r="M35" s="40">
        <f t="shared" si="0"/>
        <v>0.5375492759090631</v>
      </c>
      <c r="N35" s="39"/>
      <c r="O35" s="72">
        <f t="shared" si="16"/>
        <v>0</v>
      </c>
      <c r="P35" s="41" t="str">
        <f t="shared" si="1"/>
        <v>-</v>
      </c>
      <c r="Q35" s="39"/>
      <c r="R35" s="72">
        <f t="shared" si="17"/>
        <v>693394098.87323356</v>
      </c>
      <c r="S35" s="39"/>
      <c r="T35" s="72">
        <f t="shared" si="18"/>
        <v>693394000</v>
      </c>
      <c r="U35" s="39"/>
      <c r="V35" s="72">
        <f t="shared" si="2"/>
        <v>0</v>
      </c>
      <c r="W35" s="72">
        <f t="shared" si="19"/>
        <v>0</v>
      </c>
      <c r="X35" s="39"/>
      <c r="Y35" s="72">
        <f t="shared" si="3"/>
        <v>9707500</v>
      </c>
      <c r="Z35" s="72">
        <f t="shared" si="20"/>
        <v>5218259.5958872298</v>
      </c>
      <c r="AA35" s="39"/>
      <c r="AB35" s="72">
        <f t="shared" si="4"/>
        <v>0</v>
      </c>
      <c r="AC35" s="72">
        <f t="shared" si="21"/>
        <v>0</v>
      </c>
      <c r="AD35" s="39"/>
      <c r="AE35" s="72">
        <f t="shared" si="5"/>
        <v>0</v>
      </c>
      <c r="AF35" s="72">
        <f t="shared" si="22"/>
        <v>0</v>
      </c>
      <c r="AG35" s="39"/>
      <c r="AH35" s="72">
        <f t="shared" si="6"/>
        <v>312000000</v>
      </c>
      <c r="AI35" s="72">
        <f t="shared" si="23"/>
        <v>167715374.08362767</v>
      </c>
      <c r="AJ35" s="39"/>
      <c r="AK35" s="72">
        <f t="shared" si="7"/>
        <v>0</v>
      </c>
      <c r="AL35" s="72">
        <f t="shared" si="24"/>
        <v>0</v>
      </c>
      <c r="AM35" s="39"/>
      <c r="AN35" s="72">
        <f t="shared" si="8"/>
        <v>0</v>
      </c>
      <c r="AO35" s="72">
        <f t="shared" si="25"/>
        <v>0</v>
      </c>
      <c r="AP35" s="39"/>
      <c r="AQ35" s="72">
        <f t="shared" si="9"/>
        <v>0</v>
      </c>
      <c r="AR35" s="72">
        <f t="shared" si="26"/>
        <v>0</v>
      </c>
      <c r="AS35" s="39"/>
      <c r="AT35" s="40">
        <f>IF($K35&lt;=$F$15,IF($F$40&lt;&gt;"",$F$40/1000,IF(ISERROR(VLOOKUP($F$3&amp;IF($G$4&lt;&gt;"",$G$4,"")&amp;IF($F$43&lt;&gt;"","_"&amp;$F$43,""),'表3）燃料価格'!$AF$9:$AG$25,2,0)),0,VLOOKUP($I35,'表3）燃料価格'!$A$6:$U$66,VLOOKUP($F$3&amp;IF($G$4&lt;&gt;"",$G$4,"")&amp;IF($F$43&lt;&gt;"","_"&amp;$F$43,""),'表3）燃料価格'!$AF$9:$AG$25,2,0)+VLOOKUP($F$41,'表3）燃料価格'!$AF$28:$AG$29,2,0),0)*IF($F$43="需要地価格",1,$F$8/$F$141))),"")</f>
        <v>0</v>
      </c>
      <c r="AU35" s="39"/>
      <c r="AV35" s="72">
        <f t="shared" si="10"/>
        <v>0</v>
      </c>
      <c r="AW35" s="72">
        <f t="shared" si="27"/>
        <v>0</v>
      </c>
      <c r="AX35" s="39"/>
      <c r="AY35" s="40">
        <f>IF(ISERROR(IF($K35&lt;=$F$15,VLOOKUP($I35,'表4）CO2価格'!$A$7:$E$67,VLOOKUP($F$48,'表4）CO2価格'!$H$10:$I$12,2,0),0)*$F$8/1000,"")),0,IF($K35&lt;=$F$15,VLOOKUP($I35,'表4）CO2価格'!$A$7:$E$67,VLOOKUP($F$48,'表4）CO2価格'!$H$10:$I$12,2,0),0)*$F$8/1000,""))</f>
        <v>0</v>
      </c>
      <c r="AZ35" s="39"/>
      <c r="BA35" s="42">
        <f t="shared" si="11"/>
        <v>0</v>
      </c>
      <c r="BB35" s="72">
        <f t="shared" si="28"/>
        <v>0</v>
      </c>
      <c r="BC35" s="39"/>
      <c r="BD35" s="72">
        <f t="shared" si="12"/>
        <v>0</v>
      </c>
      <c r="BE35" s="72">
        <f t="shared" si="29"/>
        <v>0</v>
      </c>
      <c r="BF35" s="39"/>
      <c r="BG35" s="42">
        <f t="shared" si="13"/>
        <v>0</v>
      </c>
      <c r="BH35" s="72">
        <f t="shared" si="30"/>
        <v>0</v>
      </c>
      <c r="BI35" s="39"/>
      <c r="BJ35" s="40">
        <f t="shared" si="31"/>
        <v>0.19865574759634863</v>
      </c>
      <c r="BK35" s="157">
        <f t="shared" si="32"/>
        <v>103400316.62389946</v>
      </c>
      <c r="BL35" s="157" t="str">
        <f t="shared" si="14"/>
        <v/>
      </c>
      <c r="BM35" s="72"/>
      <c r="BN35" s="72" t="str">
        <f t="shared" si="33"/>
        <v/>
      </c>
      <c r="BO35" s="72" t="str">
        <f t="shared" si="34"/>
        <v/>
      </c>
      <c r="BP35" s="39"/>
      <c r="BQ35" s="72">
        <f t="shared" si="15"/>
        <v>66751200</v>
      </c>
      <c r="BR35" s="72">
        <f t="shared" si="35"/>
        <v>35882059.226061054</v>
      </c>
    </row>
    <row r="36" spans="3:70" x14ac:dyDescent="0.15">
      <c r="D36" s="82"/>
      <c r="F36" s="68"/>
      <c r="I36" s="459">
        <f t="shared" si="36"/>
        <v>2041</v>
      </c>
      <c r="J36" s="71"/>
      <c r="K36" s="71">
        <f t="shared" si="37"/>
        <v>22</v>
      </c>
      <c r="L36" s="71"/>
      <c r="M36" s="7">
        <f t="shared" si="0"/>
        <v>0.52189250088258554</v>
      </c>
      <c r="N36" s="71"/>
      <c r="O36" s="10">
        <f t="shared" si="16"/>
        <v>0</v>
      </c>
      <c r="P36" s="29" t="str">
        <f t="shared" si="1"/>
        <v>-</v>
      </c>
      <c r="Q36" s="71"/>
      <c r="R36" s="10">
        <f t="shared" si="17"/>
        <v>605559207.38787091</v>
      </c>
      <c r="S36" s="71"/>
      <c r="T36" s="10">
        <f t="shared" si="18"/>
        <v>605559000</v>
      </c>
      <c r="U36" s="71"/>
      <c r="V36" s="10">
        <f t="shared" si="2"/>
        <v>0</v>
      </c>
      <c r="W36" s="10">
        <f t="shared" si="19"/>
        <v>0</v>
      </c>
      <c r="X36" s="71"/>
      <c r="Y36" s="10">
        <f t="shared" si="3"/>
        <v>8477800</v>
      </c>
      <c r="Z36" s="10">
        <f t="shared" si="20"/>
        <v>4424500.243982384</v>
      </c>
      <c r="AA36" s="71"/>
      <c r="AB36" s="10">
        <f t="shared" si="4"/>
        <v>0</v>
      </c>
      <c r="AC36" s="10">
        <f t="shared" si="21"/>
        <v>0</v>
      </c>
      <c r="AD36" s="71"/>
      <c r="AE36" s="10">
        <f t="shared" si="5"/>
        <v>0</v>
      </c>
      <c r="AF36" s="10">
        <f t="shared" si="22"/>
        <v>0</v>
      </c>
      <c r="AG36" s="71"/>
      <c r="AH36" s="10">
        <f t="shared" si="6"/>
        <v>312000000</v>
      </c>
      <c r="AI36" s="10">
        <f t="shared" si="23"/>
        <v>162830460.27536669</v>
      </c>
      <c r="AJ36" s="71"/>
      <c r="AK36" s="10">
        <f t="shared" si="7"/>
        <v>0</v>
      </c>
      <c r="AL36" s="10">
        <f t="shared" si="24"/>
        <v>0</v>
      </c>
      <c r="AM36" s="71"/>
      <c r="AN36" s="10">
        <f t="shared" si="8"/>
        <v>0</v>
      </c>
      <c r="AO36" s="10">
        <f t="shared" si="25"/>
        <v>0</v>
      </c>
      <c r="AP36" s="71"/>
      <c r="AQ36" s="10">
        <f t="shared" si="9"/>
        <v>0</v>
      </c>
      <c r="AR36" s="10">
        <f t="shared" si="26"/>
        <v>0</v>
      </c>
      <c r="AS36" s="71"/>
      <c r="AT36" s="7">
        <f>IF($K36&lt;=$F$15,IF($F$40&lt;&gt;"",$F$40/1000,IF(ISERROR(VLOOKUP($F$3&amp;IF($G$4&lt;&gt;"",$G$4,"")&amp;IF($F$43&lt;&gt;"","_"&amp;$F$43,""),'表3）燃料価格'!$AF$9:$AG$25,2,0)),0,VLOOKUP($I36,'表3）燃料価格'!$A$6:$U$66,VLOOKUP($F$3&amp;IF($G$4&lt;&gt;"",$G$4,"")&amp;IF($F$43&lt;&gt;"","_"&amp;$F$43,""),'表3）燃料価格'!$AF$9:$AG$25,2,0)+VLOOKUP($F$41,'表3）燃料価格'!$AF$28:$AG$29,2,0),0)*IF($F$43="需要地価格",1,$F$8/$F$141))),"")</f>
        <v>0</v>
      </c>
      <c r="AU36" s="71"/>
      <c r="AV36" s="10">
        <f t="shared" si="10"/>
        <v>0</v>
      </c>
      <c r="AW36" s="10">
        <f t="shared" si="27"/>
        <v>0</v>
      </c>
      <c r="AX36" s="71"/>
      <c r="AY36" s="7">
        <f>IF(ISERROR(IF($K36&lt;=$F$15,VLOOKUP($I36,'表4）CO2価格'!$A$7:$E$67,VLOOKUP($F$48,'表4）CO2価格'!$H$10:$I$12,2,0),0)*$F$8/1000,"")),0,IF($K36&lt;=$F$15,VLOOKUP($I36,'表4）CO2価格'!$A$7:$E$67,VLOOKUP($F$48,'表4）CO2価格'!$H$10:$I$12,2,0),0)*$F$8/1000,""))</f>
        <v>0</v>
      </c>
      <c r="AZ36" s="71"/>
      <c r="BA36" s="11">
        <f t="shared" si="11"/>
        <v>0</v>
      </c>
      <c r="BB36" s="10">
        <f t="shared" si="28"/>
        <v>0</v>
      </c>
      <c r="BC36" s="71"/>
      <c r="BD36" s="10">
        <f t="shared" si="12"/>
        <v>0</v>
      </c>
      <c r="BE36" s="10">
        <f t="shared" si="29"/>
        <v>0</v>
      </c>
      <c r="BF36" s="71"/>
      <c r="BG36" s="11">
        <f t="shared" si="13"/>
        <v>0</v>
      </c>
      <c r="BH36" s="10">
        <f t="shared" si="30"/>
        <v>0</v>
      </c>
      <c r="BJ36" s="7" t="str">
        <f t="shared" si="31"/>
        <v/>
      </c>
      <c r="BK36" s="158" t="str">
        <f t="shared" si="32"/>
        <v/>
      </c>
      <c r="BL36" s="158" t="str">
        <f t="shared" si="14"/>
        <v/>
      </c>
      <c r="BM36" s="10"/>
      <c r="BN36" s="10" t="str">
        <f t="shared" si="33"/>
        <v/>
      </c>
      <c r="BO36" s="10" t="str">
        <f t="shared" si="34"/>
        <v/>
      </c>
      <c r="BQ36" s="10">
        <f t="shared" si="15"/>
        <v>66751200</v>
      </c>
      <c r="BR36" s="10">
        <f t="shared" si="35"/>
        <v>34836950.704913646</v>
      </c>
    </row>
    <row r="37" spans="3:70" x14ac:dyDescent="0.15">
      <c r="I37" s="458">
        <f t="shared" si="36"/>
        <v>2042</v>
      </c>
      <c r="J37" s="39"/>
      <c r="K37" s="39">
        <f t="shared" si="37"/>
        <v>23</v>
      </c>
      <c r="L37" s="39"/>
      <c r="M37" s="40">
        <f t="shared" si="0"/>
        <v>0.50669174842969467</v>
      </c>
      <c r="N37" s="39"/>
      <c r="O37" s="72">
        <f t="shared" si="16"/>
        <v>0</v>
      </c>
      <c r="P37" s="41" t="str">
        <f t="shared" si="1"/>
        <v>-</v>
      </c>
      <c r="Q37" s="39"/>
      <c r="R37" s="72">
        <f t="shared" si="17"/>
        <v>528850698.68364567</v>
      </c>
      <c r="S37" s="39"/>
      <c r="T37" s="72">
        <f t="shared" si="18"/>
        <v>528850000</v>
      </c>
      <c r="U37" s="39"/>
      <c r="V37" s="72">
        <f t="shared" si="2"/>
        <v>0</v>
      </c>
      <c r="W37" s="72">
        <f t="shared" si="19"/>
        <v>0</v>
      </c>
      <c r="X37" s="39"/>
      <c r="Y37" s="72">
        <f t="shared" si="3"/>
        <v>7403900</v>
      </c>
      <c r="Z37" s="72">
        <f t="shared" si="20"/>
        <v>3751495.0361986165</v>
      </c>
      <c r="AA37" s="39"/>
      <c r="AB37" s="72">
        <f t="shared" si="4"/>
        <v>0</v>
      </c>
      <c r="AC37" s="72">
        <f t="shared" si="21"/>
        <v>0</v>
      </c>
      <c r="AD37" s="39"/>
      <c r="AE37" s="72">
        <f t="shared" si="5"/>
        <v>0</v>
      </c>
      <c r="AF37" s="72">
        <f t="shared" si="22"/>
        <v>0</v>
      </c>
      <c r="AG37" s="39"/>
      <c r="AH37" s="72">
        <f t="shared" si="6"/>
        <v>312000000</v>
      </c>
      <c r="AI37" s="72">
        <f t="shared" si="23"/>
        <v>158087825.51006472</v>
      </c>
      <c r="AJ37" s="39"/>
      <c r="AK37" s="72">
        <f t="shared" si="7"/>
        <v>0</v>
      </c>
      <c r="AL37" s="72">
        <f t="shared" si="24"/>
        <v>0</v>
      </c>
      <c r="AM37" s="39"/>
      <c r="AN37" s="72">
        <f t="shared" si="8"/>
        <v>0</v>
      </c>
      <c r="AO37" s="72">
        <f t="shared" si="25"/>
        <v>0</v>
      </c>
      <c r="AP37" s="39"/>
      <c r="AQ37" s="72">
        <f t="shared" si="9"/>
        <v>0</v>
      </c>
      <c r="AR37" s="72">
        <f t="shared" si="26"/>
        <v>0</v>
      </c>
      <c r="AS37" s="39"/>
      <c r="AT37" s="40">
        <f>IF($K37&lt;=$F$15,IF($F$40&lt;&gt;"",$F$40/1000,IF(ISERROR(VLOOKUP($F$3&amp;IF($G$4&lt;&gt;"",$G$4,"")&amp;IF($F$43&lt;&gt;"","_"&amp;$F$43,""),'表3）燃料価格'!$AF$9:$AG$25,2,0)),0,VLOOKUP($I37,'表3）燃料価格'!$A$6:$U$66,VLOOKUP($F$3&amp;IF($G$4&lt;&gt;"",$G$4,"")&amp;IF($F$43&lt;&gt;"","_"&amp;$F$43,""),'表3）燃料価格'!$AF$9:$AG$25,2,0)+VLOOKUP($F$41,'表3）燃料価格'!$AF$28:$AG$29,2,0),0)*IF($F$43="需要地価格",1,$F$8/$F$141))),"")</f>
        <v>0</v>
      </c>
      <c r="AU37" s="39"/>
      <c r="AV37" s="72">
        <f t="shared" si="10"/>
        <v>0</v>
      </c>
      <c r="AW37" s="72">
        <f t="shared" si="27"/>
        <v>0</v>
      </c>
      <c r="AX37" s="39"/>
      <c r="AY37" s="40">
        <f>IF(ISERROR(IF($K37&lt;=$F$15,VLOOKUP($I37,'表4）CO2価格'!$A$7:$E$67,VLOOKUP($F$48,'表4）CO2価格'!$H$10:$I$12,2,0),0)*$F$8/1000,"")),0,IF($K37&lt;=$F$15,VLOOKUP($I37,'表4）CO2価格'!$A$7:$E$67,VLOOKUP($F$48,'表4）CO2価格'!$H$10:$I$12,2,0),0)*$F$8/1000,""))</f>
        <v>0</v>
      </c>
      <c r="AZ37" s="39"/>
      <c r="BA37" s="42">
        <f t="shared" si="11"/>
        <v>0</v>
      </c>
      <c r="BB37" s="72">
        <f t="shared" si="28"/>
        <v>0</v>
      </c>
      <c r="BC37" s="39"/>
      <c r="BD37" s="72">
        <f t="shared" si="12"/>
        <v>0</v>
      </c>
      <c r="BE37" s="72">
        <f t="shared" si="29"/>
        <v>0</v>
      </c>
      <c r="BF37" s="39"/>
      <c r="BG37" s="42">
        <f t="shared" si="13"/>
        <v>0</v>
      </c>
      <c r="BH37" s="72">
        <f t="shared" si="30"/>
        <v>0</v>
      </c>
      <c r="BI37" s="39"/>
      <c r="BJ37" s="40" t="str">
        <f t="shared" si="31"/>
        <v/>
      </c>
      <c r="BK37" s="157" t="str">
        <f t="shared" si="32"/>
        <v/>
      </c>
      <c r="BL37" s="157" t="str">
        <f t="shared" si="14"/>
        <v/>
      </c>
      <c r="BM37" s="72"/>
      <c r="BN37" s="72" t="str">
        <f t="shared" si="33"/>
        <v/>
      </c>
      <c r="BO37" s="72" t="str">
        <f t="shared" si="34"/>
        <v/>
      </c>
      <c r="BP37" s="39"/>
      <c r="BQ37" s="72">
        <f t="shared" si="15"/>
        <v>66751200</v>
      </c>
      <c r="BR37" s="72">
        <f t="shared" si="35"/>
        <v>33822282.237780236</v>
      </c>
    </row>
    <row r="38" spans="3:70" x14ac:dyDescent="0.15">
      <c r="C38" s="89" t="s">
        <v>508</v>
      </c>
      <c r="D38" s="101"/>
      <c r="E38" s="101"/>
      <c r="F38" s="89"/>
      <c r="G38" s="101"/>
      <c r="I38" s="459">
        <f t="shared" si="36"/>
        <v>2043</v>
      </c>
      <c r="J38" s="71"/>
      <c r="K38" s="71">
        <f t="shared" si="37"/>
        <v>24</v>
      </c>
      <c r="L38" s="71"/>
      <c r="M38" s="7">
        <f t="shared" si="0"/>
        <v>0.49193373633950943</v>
      </c>
      <c r="N38" s="71"/>
      <c r="O38" s="10">
        <f t="shared" si="16"/>
        <v>0</v>
      </c>
      <c r="P38" s="29" t="str">
        <f t="shared" si="1"/>
        <v>-</v>
      </c>
      <c r="Q38" s="71"/>
      <c r="R38" s="10">
        <f t="shared" si="17"/>
        <v>520500000</v>
      </c>
      <c r="S38" s="71"/>
      <c r="T38" s="10">
        <f t="shared" si="18"/>
        <v>520500000</v>
      </c>
      <c r="U38" s="71"/>
      <c r="V38" s="10">
        <f t="shared" si="2"/>
        <v>0</v>
      </c>
      <c r="W38" s="10">
        <f t="shared" si="19"/>
        <v>0</v>
      </c>
      <c r="X38" s="71"/>
      <c r="Y38" s="10">
        <f t="shared" si="3"/>
        <v>7287000</v>
      </c>
      <c r="Z38" s="10">
        <f t="shared" si="20"/>
        <v>3584721.1367060053</v>
      </c>
      <c r="AA38" s="71"/>
      <c r="AB38" s="10">
        <f t="shared" si="4"/>
        <v>0</v>
      </c>
      <c r="AC38" s="10">
        <f t="shared" si="21"/>
        <v>0</v>
      </c>
      <c r="AD38" s="71"/>
      <c r="AE38" s="10">
        <f t="shared" si="5"/>
        <v>0</v>
      </c>
      <c r="AF38" s="10">
        <f t="shared" si="22"/>
        <v>0</v>
      </c>
      <c r="AG38" s="71"/>
      <c r="AH38" s="10">
        <f t="shared" si="6"/>
        <v>312000000</v>
      </c>
      <c r="AI38" s="10">
        <f t="shared" si="23"/>
        <v>153483325.73792693</v>
      </c>
      <c r="AJ38" s="71"/>
      <c r="AK38" s="10">
        <f t="shared" si="7"/>
        <v>0</v>
      </c>
      <c r="AL38" s="10">
        <f t="shared" si="24"/>
        <v>0</v>
      </c>
      <c r="AM38" s="71"/>
      <c r="AN38" s="10">
        <f t="shared" si="8"/>
        <v>0</v>
      </c>
      <c r="AO38" s="10">
        <f t="shared" si="25"/>
        <v>0</v>
      </c>
      <c r="AP38" s="71"/>
      <c r="AQ38" s="10">
        <f t="shared" si="9"/>
        <v>0</v>
      </c>
      <c r="AR38" s="10">
        <f t="shared" si="26"/>
        <v>0</v>
      </c>
      <c r="AS38" s="71"/>
      <c r="AT38" s="7">
        <f>IF($K38&lt;=$F$15,IF($F$40&lt;&gt;"",$F$40/1000,IF(ISERROR(VLOOKUP($F$3&amp;IF($G$4&lt;&gt;"",$G$4,"")&amp;IF($F$43&lt;&gt;"","_"&amp;$F$43,""),'表3）燃料価格'!$AF$9:$AG$25,2,0)),0,VLOOKUP($I38,'表3）燃料価格'!$A$6:$U$66,VLOOKUP($F$3&amp;IF($G$4&lt;&gt;"",$G$4,"")&amp;IF($F$43&lt;&gt;"","_"&amp;$F$43,""),'表3）燃料価格'!$AF$9:$AG$25,2,0)+VLOOKUP($F$41,'表3）燃料価格'!$AF$28:$AG$29,2,0),0)*IF($F$43="需要地価格",1,$F$8/$F$141))),"")</f>
        <v>0</v>
      </c>
      <c r="AU38" s="71"/>
      <c r="AV38" s="10">
        <f t="shared" si="10"/>
        <v>0</v>
      </c>
      <c r="AW38" s="10">
        <f t="shared" si="27"/>
        <v>0</v>
      </c>
      <c r="AX38" s="71"/>
      <c r="AY38" s="7">
        <f>IF(ISERROR(IF($K38&lt;=$F$15,VLOOKUP($I38,'表4）CO2価格'!$A$7:$E$67,VLOOKUP($F$48,'表4）CO2価格'!$H$10:$I$12,2,0),0)*$F$8/1000,"")),0,IF($K38&lt;=$F$15,VLOOKUP($I38,'表4）CO2価格'!$A$7:$E$67,VLOOKUP($F$48,'表4）CO2価格'!$H$10:$I$12,2,0),0)*$F$8/1000,""))</f>
        <v>0</v>
      </c>
      <c r="AZ38" s="71"/>
      <c r="BA38" s="11">
        <f t="shared" si="11"/>
        <v>0</v>
      </c>
      <c r="BB38" s="10">
        <f t="shared" si="28"/>
        <v>0</v>
      </c>
      <c r="BC38" s="71"/>
      <c r="BD38" s="10">
        <f t="shared" si="12"/>
        <v>0</v>
      </c>
      <c r="BE38" s="10">
        <f t="shared" si="29"/>
        <v>0</v>
      </c>
      <c r="BF38" s="71"/>
      <c r="BG38" s="11">
        <f t="shared" si="13"/>
        <v>0</v>
      </c>
      <c r="BH38" s="10">
        <f t="shared" si="30"/>
        <v>0</v>
      </c>
      <c r="BJ38" s="7" t="str">
        <f t="shared" si="31"/>
        <v/>
      </c>
      <c r="BK38" s="158" t="str">
        <f t="shared" si="32"/>
        <v/>
      </c>
      <c r="BL38" s="158" t="str">
        <f t="shared" si="14"/>
        <v/>
      </c>
      <c r="BM38" s="10"/>
      <c r="BN38" s="10" t="str">
        <f t="shared" si="33"/>
        <v/>
      </c>
      <c r="BO38" s="10" t="str">
        <f t="shared" si="34"/>
        <v/>
      </c>
      <c r="BQ38" s="10">
        <f t="shared" si="15"/>
        <v>66751200</v>
      </c>
      <c r="BR38" s="10">
        <f t="shared" si="35"/>
        <v>32837167.221145861</v>
      </c>
    </row>
    <row r="39" spans="3:70" x14ac:dyDescent="0.15">
      <c r="I39" s="458">
        <f t="shared" si="36"/>
        <v>2044</v>
      </c>
      <c r="J39" s="39"/>
      <c r="K39" s="39">
        <f t="shared" si="37"/>
        <v>25</v>
      </c>
      <c r="L39" s="39"/>
      <c r="M39" s="40">
        <f t="shared" si="0"/>
        <v>0.47760556926165965</v>
      </c>
      <c r="N39" s="39"/>
      <c r="O39" s="72">
        <f t="shared" si="16"/>
        <v>0</v>
      </c>
      <c r="P39" s="41" t="str">
        <f t="shared" si="1"/>
        <v>-</v>
      </c>
      <c r="Q39" s="39"/>
      <c r="R39" s="72">
        <f t="shared" si="17"/>
        <v>520500000</v>
      </c>
      <c r="S39" s="39"/>
      <c r="T39" s="72">
        <f t="shared" si="18"/>
        <v>520500000</v>
      </c>
      <c r="U39" s="39"/>
      <c r="V39" s="72">
        <f t="shared" si="2"/>
        <v>0</v>
      </c>
      <c r="W39" s="72">
        <f t="shared" si="19"/>
        <v>0</v>
      </c>
      <c r="X39" s="39"/>
      <c r="Y39" s="72">
        <f t="shared" si="3"/>
        <v>7287000</v>
      </c>
      <c r="Z39" s="72">
        <f t="shared" si="20"/>
        <v>3480311.7832097136</v>
      </c>
      <c r="AA39" s="39"/>
      <c r="AB39" s="72">
        <f t="shared" si="4"/>
        <v>0</v>
      </c>
      <c r="AC39" s="72">
        <f t="shared" si="21"/>
        <v>0</v>
      </c>
      <c r="AD39" s="39"/>
      <c r="AE39" s="72">
        <f t="shared" si="5"/>
        <v>0</v>
      </c>
      <c r="AF39" s="72">
        <f t="shared" si="22"/>
        <v>0</v>
      </c>
      <c r="AG39" s="39"/>
      <c r="AH39" s="72">
        <f t="shared" si="6"/>
        <v>312000000</v>
      </c>
      <c r="AI39" s="72">
        <f t="shared" si="23"/>
        <v>149012937.6096378</v>
      </c>
      <c r="AJ39" s="39"/>
      <c r="AK39" s="72">
        <f t="shared" si="7"/>
        <v>0</v>
      </c>
      <c r="AL39" s="72">
        <f t="shared" si="24"/>
        <v>0</v>
      </c>
      <c r="AM39" s="39"/>
      <c r="AN39" s="72">
        <f t="shared" si="8"/>
        <v>0</v>
      </c>
      <c r="AO39" s="72">
        <f t="shared" si="25"/>
        <v>0</v>
      </c>
      <c r="AP39" s="39"/>
      <c r="AQ39" s="72">
        <f t="shared" si="9"/>
        <v>0</v>
      </c>
      <c r="AR39" s="72">
        <f t="shared" si="26"/>
        <v>0</v>
      </c>
      <c r="AS39" s="39"/>
      <c r="AT39" s="40">
        <f>IF($K39&lt;=$F$15,IF($F$40&lt;&gt;"",$F$40/1000,IF(ISERROR(VLOOKUP($F$3&amp;IF($G$4&lt;&gt;"",$G$4,"")&amp;IF($F$43&lt;&gt;"","_"&amp;$F$43,""),'表3）燃料価格'!$AF$9:$AG$25,2,0)),0,VLOOKUP($I39,'表3）燃料価格'!$A$6:$U$66,VLOOKUP($F$3&amp;IF($G$4&lt;&gt;"",$G$4,"")&amp;IF($F$43&lt;&gt;"","_"&amp;$F$43,""),'表3）燃料価格'!$AF$9:$AG$25,2,0)+VLOOKUP($F$41,'表3）燃料価格'!$AF$28:$AG$29,2,0),0)*IF($F$43="需要地価格",1,$F$8/$F$141))),"")</f>
        <v>0</v>
      </c>
      <c r="AU39" s="39"/>
      <c r="AV39" s="72">
        <f t="shared" si="10"/>
        <v>0</v>
      </c>
      <c r="AW39" s="72">
        <f t="shared" si="27"/>
        <v>0</v>
      </c>
      <c r="AX39" s="39"/>
      <c r="AY39" s="40">
        <f>IF(ISERROR(IF($K39&lt;=$F$15,VLOOKUP($I39,'表4）CO2価格'!$A$7:$E$67,VLOOKUP($F$48,'表4）CO2価格'!$H$10:$I$12,2,0),0)*$F$8/1000,"")),0,IF($K39&lt;=$F$15,VLOOKUP($I39,'表4）CO2価格'!$A$7:$E$67,VLOOKUP($F$48,'表4）CO2価格'!$H$10:$I$12,2,0),0)*$F$8/1000,""))</f>
        <v>0</v>
      </c>
      <c r="AZ39" s="39"/>
      <c r="BA39" s="42">
        <f t="shared" si="11"/>
        <v>0</v>
      </c>
      <c r="BB39" s="72">
        <f t="shared" si="28"/>
        <v>0</v>
      </c>
      <c r="BC39" s="39"/>
      <c r="BD39" s="72">
        <f t="shared" si="12"/>
        <v>0</v>
      </c>
      <c r="BE39" s="72">
        <f t="shared" si="29"/>
        <v>0</v>
      </c>
      <c r="BF39" s="39"/>
      <c r="BG39" s="42">
        <f t="shared" si="13"/>
        <v>0</v>
      </c>
      <c r="BH39" s="72">
        <f t="shared" si="30"/>
        <v>0</v>
      </c>
      <c r="BI39" s="39"/>
      <c r="BJ39" s="40" t="str">
        <f t="shared" si="31"/>
        <v/>
      </c>
      <c r="BK39" s="157" t="str">
        <f t="shared" si="32"/>
        <v/>
      </c>
      <c r="BL39" s="157" t="str">
        <f t="shared" si="14"/>
        <v/>
      </c>
      <c r="BM39" s="72"/>
      <c r="BN39" s="72" t="str">
        <f t="shared" si="33"/>
        <v/>
      </c>
      <c r="BO39" s="72" t="str">
        <f t="shared" si="34"/>
        <v/>
      </c>
      <c r="BP39" s="39"/>
      <c r="BQ39" s="72">
        <f t="shared" si="15"/>
        <v>66751200</v>
      </c>
      <c r="BR39" s="72">
        <f t="shared" si="35"/>
        <v>31880744.874898896</v>
      </c>
    </row>
    <row r="40" spans="3:70" x14ac:dyDescent="0.15">
      <c r="D40" s="81" t="s">
        <v>124</v>
      </c>
      <c r="F40" s="108"/>
      <c r="G40" s="82" t="s">
        <v>178</v>
      </c>
      <c r="I40" s="459">
        <f t="shared" si="36"/>
        <v>2045</v>
      </c>
      <c r="J40" s="71"/>
      <c r="K40" s="71">
        <f t="shared" si="37"/>
        <v>26</v>
      </c>
      <c r="L40" s="71"/>
      <c r="M40" s="7">
        <f t="shared" si="0"/>
        <v>0.46369472743850448</v>
      </c>
      <c r="N40" s="71"/>
      <c r="O40" s="10" t="str">
        <f t="shared" si="16"/>
        <v/>
      </c>
      <c r="P40" s="29" t="str">
        <f t="shared" si="1"/>
        <v/>
      </c>
      <c r="Q40" s="71"/>
      <c r="R40" s="10" t="str">
        <f t="shared" si="17"/>
        <v/>
      </c>
      <c r="S40" s="71"/>
      <c r="T40" s="10" t="str">
        <f t="shared" si="18"/>
        <v/>
      </c>
      <c r="U40" s="71"/>
      <c r="V40" s="10" t="str">
        <f t="shared" si="2"/>
        <v/>
      </c>
      <c r="W40" s="10" t="str">
        <f t="shared" si="19"/>
        <v/>
      </c>
      <c r="X40" s="71"/>
      <c r="Y40" s="10" t="str">
        <f t="shared" si="3"/>
        <v/>
      </c>
      <c r="Z40" s="10" t="str">
        <f t="shared" si="20"/>
        <v/>
      </c>
      <c r="AA40" s="71"/>
      <c r="AB40" s="10">
        <f t="shared" si="4"/>
        <v>520500000</v>
      </c>
      <c r="AC40" s="10">
        <f t="shared" si="21"/>
        <v>241353105.63174158</v>
      </c>
      <c r="AD40" s="71"/>
      <c r="AE40" s="10" t="str">
        <f t="shared" si="5"/>
        <v/>
      </c>
      <c r="AF40" s="10" t="str">
        <f t="shared" si="22"/>
        <v/>
      </c>
      <c r="AG40" s="71"/>
      <c r="AH40" s="10" t="str">
        <f t="shared" si="6"/>
        <v/>
      </c>
      <c r="AI40" s="10" t="str">
        <f t="shared" si="23"/>
        <v/>
      </c>
      <c r="AJ40" s="71"/>
      <c r="AK40" s="10" t="str">
        <f t="shared" si="7"/>
        <v/>
      </c>
      <c r="AL40" s="10" t="str">
        <f t="shared" si="24"/>
        <v/>
      </c>
      <c r="AM40" s="71"/>
      <c r="AN40" s="10" t="str">
        <f t="shared" si="8"/>
        <v/>
      </c>
      <c r="AO40" s="10" t="str">
        <f t="shared" si="25"/>
        <v/>
      </c>
      <c r="AP40" s="71"/>
      <c r="AQ40" s="10" t="str">
        <f t="shared" si="9"/>
        <v/>
      </c>
      <c r="AR40" s="10" t="str">
        <f t="shared" si="26"/>
        <v/>
      </c>
      <c r="AS40" s="71"/>
      <c r="AT40" s="7" t="str">
        <f>IF($K40&lt;=$F$15,IF($F$40&lt;&gt;"",$F$40/1000,IF(ISERROR(VLOOKUP($F$3&amp;IF($G$4&lt;&gt;"",$G$4,"")&amp;IF($F$43&lt;&gt;"","_"&amp;$F$43,""),'表3）燃料価格'!$AF$9:$AG$25,2,0)),0,VLOOKUP($I40,'表3）燃料価格'!$A$6:$U$66,VLOOKUP($F$3&amp;IF($G$4&lt;&gt;"",$G$4,"")&amp;IF($F$43&lt;&gt;"","_"&amp;$F$43,""),'表3）燃料価格'!$AF$9:$AG$25,2,0)+VLOOKUP($F$41,'表3）燃料価格'!$AF$28:$AG$29,2,0),0)*IF($F$43="需要地価格",1,$F$8/$F$141))),"")</f>
        <v/>
      </c>
      <c r="AU40" s="71"/>
      <c r="AV40" s="10" t="str">
        <f t="shared" si="10"/>
        <v/>
      </c>
      <c r="AW40" s="10" t="str">
        <f t="shared" si="27"/>
        <v/>
      </c>
      <c r="AX40" s="71"/>
      <c r="AY40" s="7" t="str">
        <f>IF(ISERROR(IF($K40&lt;=$F$15,VLOOKUP($I40,'表4）CO2価格'!$A$7:$E$67,VLOOKUP($F$48,'表4）CO2価格'!$H$10:$I$12,2,0),0)*$F$8/1000,"")),0,IF($K40&lt;=$F$15,VLOOKUP($I40,'表4）CO2価格'!$A$7:$E$67,VLOOKUP($F$48,'表4）CO2価格'!$H$10:$I$12,2,0),0)*$F$8/1000,""))</f>
        <v/>
      </c>
      <c r="AZ40" s="71"/>
      <c r="BA40" s="11" t="str">
        <f t="shared" si="11"/>
        <v/>
      </c>
      <c r="BB40" s="10" t="str">
        <f t="shared" si="28"/>
        <v/>
      </c>
      <c r="BC40" s="71"/>
      <c r="BD40" s="10" t="str">
        <f t="shared" si="12"/>
        <v/>
      </c>
      <c r="BE40" s="10" t="str">
        <f t="shared" si="29"/>
        <v/>
      </c>
      <c r="BF40" s="71"/>
      <c r="BG40" s="11" t="str">
        <f t="shared" si="13"/>
        <v/>
      </c>
      <c r="BH40" s="10" t="str">
        <f t="shared" si="30"/>
        <v/>
      </c>
      <c r="BJ40" s="7" t="str">
        <f t="shared" si="31"/>
        <v/>
      </c>
      <c r="BK40" s="158" t="str">
        <f t="shared" si="32"/>
        <v/>
      </c>
      <c r="BL40" s="158" t="str">
        <f t="shared" si="14"/>
        <v/>
      </c>
      <c r="BM40" s="10"/>
      <c r="BN40" s="10" t="str">
        <f t="shared" si="33"/>
        <v/>
      </c>
      <c r="BO40" s="10" t="str">
        <f t="shared" si="34"/>
        <v/>
      </c>
      <c r="BQ40" s="10" t="str">
        <f t="shared" si="15"/>
        <v/>
      </c>
      <c r="BR40" s="10" t="str">
        <f t="shared" si="35"/>
        <v/>
      </c>
    </row>
    <row r="41" spans="3:70" x14ac:dyDescent="0.15">
      <c r="D41" s="81" t="s">
        <v>179</v>
      </c>
      <c r="F41" s="88"/>
      <c r="I41" s="458">
        <f t="shared" si="36"/>
        <v>2046</v>
      </c>
      <c r="J41" s="39"/>
      <c r="K41" s="39">
        <f t="shared" si="37"/>
        <v>27</v>
      </c>
      <c r="L41" s="39"/>
      <c r="M41" s="40">
        <f t="shared" si="0"/>
        <v>0.45018905576553836</v>
      </c>
      <c r="N41" s="39"/>
      <c r="O41" s="72" t="str">
        <f t="shared" si="16"/>
        <v/>
      </c>
      <c r="P41" s="41" t="str">
        <f t="shared" si="1"/>
        <v/>
      </c>
      <c r="Q41" s="39"/>
      <c r="R41" s="72" t="str">
        <f t="shared" si="17"/>
        <v/>
      </c>
      <c r="S41" s="39"/>
      <c r="T41" s="72" t="str">
        <f t="shared" si="18"/>
        <v/>
      </c>
      <c r="U41" s="39"/>
      <c r="V41" s="72" t="str">
        <f t="shared" si="2"/>
        <v/>
      </c>
      <c r="W41" s="72" t="str">
        <f t="shared" si="19"/>
        <v/>
      </c>
      <c r="X41" s="39"/>
      <c r="Y41" s="72" t="str">
        <f t="shared" si="3"/>
        <v/>
      </c>
      <c r="Z41" s="72" t="str">
        <f t="shared" si="20"/>
        <v/>
      </c>
      <c r="AA41" s="39"/>
      <c r="AB41" s="72" t="str">
        <f t="shared" si="4"/>
        <v/>
      </c>
      <c r="AC41" s="72" t="str">
        <f t="shared" si="21"/>
        <v/>
      </c>
      <c r="AD41" s="39"/>
      <c r="AE41" s="72" t="str">
        <f t="shared" si="5"/>
        <v/>
      </c>
      <c r="AF41" s="72" t="str">
        <f t="shared" si="22"/>
        <v/>
      </c>
      <c r="AG41" s="39"/>
      <c r="AH41" s="72" t="str">
        <f t="shared" si="6"/>
        <v/>
      </c>
      <c r="AI41" s="72" t="str">
        <f t="shared" si="23"/>
        <v/>
      </c>
      <c r="AJ41" s="39"/>
      <c r="AK41" s="72" t="str">
        <f t="shared" si="7"/>
        <v/>
      </c>
      <c r="AL41" s="72" t="str">
        <f t="shared" si="24"/>
        <v/>
      </c>
      <c r="AM41" s="39"/>
      <c r="AN41" s="72" t="str">
        <f t="shared" si="8"/>
        <v/>
      </c>
      <c r="AO41" s="72" t="str">
        <f t="shared" si="25"/>
        <v/>
      </c>
      <c r="AP41" s="39"/>
      <c r="AQ41" s="72" t="str">
        <f t="shared" si="9"/>
        <v/>
      </c>
      <c r="AR41" s="72" t="str">
        <f t="shared" si="26"/>
        <v/>
      </c>
      <c r="AS41" s="39"/>
      <c r="AT41" s="40" t="str">
        <f>IF($K41&lt;=$F$15,IF($F$40&lt;&gt;"",$F$40/1000,IF(ISERROR(VLOOKUP($F$3&amp;IF($G$4&lt;&gt;"",$G$4,"")&amp;IF($F$43&lt;&gt;"","_"&amp;$F$43,""),'表3）燃料価格'!$AF$9:$AG$25,2,0)),0,VLOOKUP($I41,'表3）燃料価格'!$A$6:$U$66,VLOOKUP($F$3&amp;IF($G$4&lt;&gt;"",$G$4,"")&amp;IF($F$43&lt;&gt;"","_"&amp;$F$43,""),'表3）燃料価格'!$AF$9:$AG$25,2,0)+VLOOKUP($F$41,'表3）燃料価格'!$AF$28:$AG$29,2,0),0)*IF($F$43="需要地価格",1,$F$8/$F$141))),"")</f>
        <v/>
      </c>
      <c r="AU41" s="39"/>
      <c r="AV41" s="72" t="str">
        <f t="shared" si="10"/>
        <v/>
      </c>
      <c r="AW41" s="72" t="str">
        <f t="shared" si="27"/>
        <v/>
      </c>
      <c r="AX41" s="39"/>
      <c r="AY41" s="40" t="str">
        <f>IF(ISERROR(IF($K41&lt;=$F$15,VLOOKUP($I41,'表4）CO2価格'!$A$7:$E$67,VLOOKUP($F$48,'表4）CO2価格'!$H$10:$I$12,2,0),0)*$F$8/1000,"")),0,IF($K41&lt;=$F$15,VLOOKUP($I41,'表4）CO2価格'!$A$7:$E$67,VLOOKUP($F$48,'表4）CO2価格'!$H$10:$I$12,2,0),0)*$F$8/1000,""))</f>
        <v/>
      </c>
      <c r="AZ41" s="39"/>
      <c r="BA41" s="42" t="str">
        <f t="shared" si="11"/>
        <v/>
      </c>
      <c r="BB41" s="72" t="str">
        <f t="shared" si="28"/>
        <v/>
      </c>
      <c r="BC41" s="39"/>
      <c r="BD41" s="72" t="str">
        <f t="shared" si="12"/>
        <v/>
      </c>
      <c r="BE41" s="72" t="str">
        <f t="shared" si="29"/>
        <v/>
      </c>
      <c r="BF41" s="39"/>
      <c r="BG41" s="42" t="str">
        <f t="shared" si="13"/>
        <v/>
      </c>
      <c r="BH41" s="72" t="str">
        <f t="shared" si="30"/>
        <v/>
      </c>
      <c r="BI41" s="39"/>
      <c r="BJ41" s="40" t="str">
        <f t="shared" si="31"/>
        <v/>
      </c>
      <c r="BK41" s="157" t="str">
        <f t="shared" si="32"/>
        <v/>
      </c>
      <c r="BL41" s="157" t="str">
        <f t="shared" si="14"/>
        <v/>
      </c>
      <c r="BM41" s="72"/>
      <c r="BN41" s="72" t="str">
        <f t="shared" si="33"/>
        <v/>
      </c>
      <c r="BO41" s="72" t="str">
        <f t="shared" si="34"/>
        <v/>
      </c>
      <c r="BP41" s="39"/>
      <c r="BQ41" s="72" t="str">
        <f t="shared" si="15"/>
        <v/>
      </c>
      <c r="BR41" s="72" t="str">
        <f t="shared" si="35"/>
        <v/>
      </c>
    </row>
    <row r="42" spans="3:70" x14ac:dyDescent="0.15">
      <c r="D42" s="81" t="s">
        <v>180</v>
      </c>
      <c r="F42" s="59"/>
      <c r="G42" s="81" t="s">
        <v>181</v>
      </c>
      <c r="I42" s="459">
        <f t="shared" si="36"/>
        <v>2047</v>
      </c>
      <c r="J42" s="71"/>
      <c r="K42" s="71">
        <f t="shared" si="37"/>
        <v>28</v>
      </c>
      <c r="L42" s="71"/>
      <c r="M42" s="7">
        <f t="shared" si="0"/>
        <v>0.4370767531704256</v>
      </c>
      <c r="N42" s="71"/>
      <c r="O42" s="10" t="str">
        <f t="shared" si="16"/>
        <v/>
      </c>
      <c r="P42" s="29" t="str">
        <f t="shared" si="1"/>
        <v/>
      </c>
      <c r="Q42" s="71"/>
      <c r="R42" s="10" t="str">
        <f t="shared" si="17"/>
        <v/>
      </c>
      <c r="S42" s="71"/>
      <c r="T42" s="10" t="str">
        <f t="shared" si="18"/>
        <v/>
      </c>
      <c r="U42" s="71"/>
      <c r="V42" s="10" t="str">
        <f t="shared" si="2"/>
        <v/>
      </c>
      <c r="W42" s="10" t="str">
        <f t="shared" si="19"/>
        <v/>
      </c>
      <c r="X42" s="71"/>
      <c r="Y42" s="10" t="str">
        <f t="shared" si="3"/>
        <v/>
      </c>
      <c r="Z42" s="10" t="str">
        <f t="shared" si="20"/>
        <v/>
      </c>
      <c r="AA42" s="71"/>
      <c r="AB42" s="10" t="str">
        <f t="shared" si="4"/>
        <v/>
      </c>
      <c r="AC42" s="10" t="str">
        <f t="shared" si="21"/>
        <v/>
      </c>
      <c r="AD42" s="71"/>
      <c r="AE42" s="10" t="str">
        <f t="shared" si="5"/>
        <v/>
      </c>
      <c r="AF42" s="10" t="str">
        <f t="shared" si="22"/>
        <v/>
      </c>
      <c r="AG42" s="71"/>
      <c r="AH42" s="10" t="str">
        <f t="shared" si="6"/>
        <v/>
      </c>
      <c r="AI42" s="10" t="str">
        <f t="shared" si="23"/>
        <v/>
      </c>
      <c r="AJ42" s="71"/>
      <c r="AK42" s="10" t="str">
        <f t="shared" si="7"/>
        <v/>
      </c>
      <c r="AL42" s="10" t="str">
        <f t="shared" si="24"/>
        <v/>
      </c>
      <c r="AM42" s="71"/>
      <c r="AN42" s="10" t="str">
        <f t="shared" si="8"/>
        <v/>
      </c>
      <c r="AO42" s="10" t="str">
        <f t="shared" si="25"/>
        <v/>
      </c>
      <c r="AP42" s="71"/>
      <c r="AQ42" s="10" t="str">
        <f t="shared" si="9"/>
        <v/>
      </c>
      <c r="AR42" s="10" t="str">
        <f t="shared" si="26"/>
        <v/>
      </c>
      <c r="AS42" s="71"/>
      <c r="AT42" s="7" t="str">
        <f>IF($K42&lt;=$F$15,IF($F$40&lt;&gt;"",$F$40/1000,IF(ISERROR(VLOOKUP($F$3&amp;IF($G$4&lt;&gt;"",$G$4,"")&amp;IF($F$43&lt;&gt;"","_"&amp;$F$43,""),'表3）燃料価格'!$AF$9:$AG$25,2,0)),0,VLOOKUP($I42,'表3）燃料価格'!$A$6:$U$66,VLOOKUP($F$3&amp;IF($G$4&lt;&gt;"",$G$4,"")&amp;IF($F$43&lt;&gt;"","_"&amp;$F$43,""),'表3）燃料価格'!$AF$9:$AG$25,2,0)+VLOOKUP($F$41,'表3）燃料価格'!$AF$28:$AG$29,2,0),0)*IF($F$43="需要地価格",1,$F$8/$F$141))),"")</f>
        <v/>
      </c>
      <c r="AU42" s="71"/>
      <c r="AV42" s="10" t="str">
        <f t="shared" si="10"/>
        <v/>
      </c>
      <c r="AW42" s="10" t="str">
        <f t="shared" si="27"/>
        <v/>
      </c>
      <c r="AX42" s="71"/>
      <c r="AY42" s="7" t="str">
        <f>IF(ISERROR(IF($K42&lt;=$F$15,VLOOKUP($I42,'表4）CO2価格'!$A$7:$E$67,VLOOKUP($F$48,'表4）CO2価格'!$H$10:$I$12,2,0),0)*$F$8/1000,"")),0,IF($K42&lt;=$F$15,VLOOKUP($I42,'表4）CO2価格'!$A$7:$E$67,VLOOKUP($F$48,'表4）CO2価格'!$H$10:$I$12,2,0),0)*$F$8/1000,""))</f>
        <v/>
      </c>
      <c r="AZ42" s="71"/>
      <c r="BA42" s="11" t="str">
        <f t="shared" si="11"/>
        <v/>
      </c>
      <c r="BB42" s="10" t="str">
        <f t="shared" si="28"/>
        <v/>
      </c>
      <c r="BC42" s="71"/>
      <c r="BD42" s="10" t="str">
        <f t="shared" si="12"/>
        <v/>
      </c>
      <c r="BE42" s="10" t="str">
        <f t="shared" si="29"/>
        <v/>
      </c>
      <c r="BF42" s="71"/>
      <c r="BG42" s="11" t="str">
        <f t="shared" si="13"/>
        <v/>
      </c>
      <c r="BH42" s="10" t="str">
        <f t="shared" si="30"/>
        <v/>
      </c>
      <c r="BJ42" s="7" t="str">
        <f t="shared" si="31"/>
        <v/>
      </c>
      <c r="BK42" s="158" t="str">
        <f t="shared" si="32"/>
        <v/>
      </c>
      <c r="BL42" s="158" t="str">
        <f t="shared" si="14"/>
        <v/>
      </c>
      <c r="BM42" s="10"/>
      <c r="BN42" s="10" t="str">
        <f t="shared" si="33"/>
        <v/>
      </c>
      <c r="BO42" s="10" t="str">
        <f t="shared" si="34"/>
        <v/>
      </c>
      <c r="BQ42" s="10" t="str">
        <f t="shared" si="15"/>
        <v/>
      </c>
      <c r="BR42" s="10" t="str">
        <f t="shared" si="35"/>
        <v/>
      </c>
    </row>
    <row r="43" spans="3:70" x14ac:dyDescent="0.15">
      <c r="D43" s="82" t="s">
        <v>126</v>
      </c>
      <c r="F43" s="88"/>
      <c r="I43" s="458">
        <f t="shared" si="36"/>
        <v>2048</v>
      </c>
      <c r="J43" s="39"/>
      <c r="K43" s="39">
        <f t="shared" si="37"/>
        <v>29</v>
      </c>
      <c r="L43" s="39"/>
      <c r="M43" s="40">
        <f t="shared" si="0"/>
        <v>0.42434636230138412</v>
      </c>
      <c r="N43" s="39"/>
      <c r="O43" s="72" t="str">
        <f t="shared" si="16"/>
        <v/>
      </c>
      <c r="P43" s="41" t="str">
        <f t="shared" si="1"/>
        <v/>
      </c>
      <c r="Q43" s="39"/>
      <c r="R43" s="72" t="str">
        <f t="shared" si="17"/>
        <v/>
      </c>
      <c r="S43" s="39"/>
      <c r="T43" s="72" t="str">
        <f t="shared" si="18"/>
        <v/>
      </c>
      <c r="U43" s="39"/>
      <c r="V43" s="72" t="str">
        <f t="shared" si="2"/>
        <v/>
      </c>
      <c r="W43" s="72" t="str">
        <f t="shared" si="19"/>
        <v/>
      </c>
      <c r="X43" s="39"/>
      <c r="Y43" s="72" t="str">
        <f t="shared" si="3"/>
        <v/>
      </c>
      <c r="Z43" s="72" t="str">
        <f t="shared" si="20"/>
        <v/>
      </c>
      <c r="AA43" s="39"/>
      <c r="AB43" s="72" t="str">
        <f t="shared" si="4"/>
        <v/>
      </c>
      <c r="AC43" s="72" t="str">
        <f t="shared" si="21"/>
        <v/>
      </c>
      <c r="AD43" s="39"/>
      <c r="AE43" s="72" t="str">
        <f t="shared" si="5"/>
        <v/>
      </c>
      <c r="AF43" s="72" t="str">
        <f t="shared" si="22"/>
        <v/>
      </c>
      <c r="AG43" s="39"/>
      <c r="AH43" s="72" t="str">
        <f t="shared" si="6"/>
        <v/>
      </c>
      <c r="AI43" s="72" t="str">
        <f t="shared" si="23"/>
        <v/>
      </c>
      <c r="AJ43" s="39"/>
      <c r="AK43" s="72" t="str">
        <f t="shared" si="7"/>
        <v/>
      </c>
      <c r="AL43" s="72" t="str">
        <f t="shared" si="24"/>
        <v/>
      </c>
      <c r="AM43" s="39"/>
      <c r="AN43" s="72" t="str">
        <f t="shared" si="8"/>
        <v/>
      </c>
      <c r="AO43" s="72" t="str">
        <f t="shared" si="25"/>
        <v/>
      </c>
      <c r="AP43" s="39"/>
      <c r="AQ43" s="72" t="str">
        <f t="shared" si="9"/>
        <v/>
      </c>
      <c r="AR43" s="72" t="str">
        <f t="shared" si="26"/>
        <v/>
      </c>
      <c r="AS43" s="39"/>
      <c r="AT43" s="40" t="str">
        <f>IF($K43&lt;=$F$15,IF($F$40&lt;&gt;"",$F$40/1000,IF(ISERROR(VLOOKUP($F$3&amp;IF($G$4&lt;&gt;"",$G$4,"")&amp;IF($F$43&lt;&gt;"","_"&amp;$F$43,""),'表3）燃料価格'!$AF$9:$AG$25,2,0)),0,VLOOKUP($I43,'表3）燃料価格'!$A$6:$U$66,VLOOKUP($F$3&amp;IF($G$4&lt;&gt;"",$G$4,"")&amp;IF($F$43&lt;&gt;"","_"&amp;$F$43,""),'表3）燃料価格'!$AF$9:$AG$25,2,0)+VLOOKUP($F$41,'表3）燃料価格'!$AF$28:$AG$29,2,0),0)*IF($F$43="需要地価格",1,$F$8/$F$141))),"")</f>
        <v/>
      </c>
      <c r="AU43" s="39"/>
      <c r="AV43" s="72" t="str">
        <f t="shared" si="10"/>
        <v/>
      </c>
      <c r="AW43" s="72" t="str">
        <f t="shared" si="27"/>
        <v/>
      </c>
      <c r="AX43" s="39"/>
      <c r="AY43" s="40" t="str">
        <f>IF(ISERROR(IF($K43&lt;=$F$15,VLOOKUP($I43,'表4）CO2価格'!$A$7:$E$67,VLOOKUP($F$48,'表4）CO2価格'!$H$10:$I$12,2,0),0)*$F$8/1000,"")),0,IF($K43&lt;=$F$15,VLOOKUP($I43,'表4）CO2価格'!$A$7:$E$67,VLOOKUP($F$48,'表4）CO2価格'!$H$10:$I$12,2,0),0)*$F$8/1000,""))</f>
        <v/>
      </c>
      <c r="AZ43" s="39"/>
      <c r="BA43" s="42" t="str">
        <f t="shared" si="11"/>
        <v/>
      </c>
      <c r="BB43" s="72" t="str">
        <f t="shared" si="28"/>
        <v/>
      </c>
      <c r="BC43" s="39"/>
      <c r="BD43" s="72" t="str">
        <f t="shared" si="12"/>
        <v/>
      </c>
      <c r="BE43" s="72" t="str">
        <f t="shared" si="29"/>
        <v/>
      </c>
      <c r="BF43" s="39"/>
      <c r="BG43" s="42" t="str">
        <f t="shared" si="13"/>
        <v/>
      </c>
      <c r="BH43" s="72" t="str">
        <f t="shared" si="30"/>
        <v/>
      </c>
      <c r="BI43" s="39"/>
      <c r="BJ43" s="40" t="str">
        <f t="shared" si="31"/>
        <v/>
      </c>
      <c r="BK43" s="157" t="str">
        <f t="shared" si="32"/>
        <v/>
      </c>
      <c r="BL43" s="157" t="str">
        <f t="shared" si="14"/>
        <v/>
      </c>
      <c r="BM43" s="72"/>
      <c r="BN43" s="72" t="str">
        <f t="shared" si="33"/>
        <v/>
      </c>
      <c r="BO43" s="72" t="str">
        <f t="shared" si="34"/>
        <v/>
      </c>
      <c r="BP43" s="39"/>
      <c r="BQ43" s="72" t="str">
        <f t="shared" si="15"/>
        <v/>
      </c>
      <c r="BR43" s="72" t="str">
        <f t="shared" si="35"/>
        <v/>
      </c>
    </row>
    <row r="44" spans="3:70" x14ac:dyDescent="0.15">
      <c r="I44" s="459">
        <f t="shared" si="36"/>
        <v>2049</v>
      </c>
      <c r="J44" s="71"/>
      <c r="K44" s="71">
        <f t="shared" si="37"/>
        <v>30</v>
      </c>
      <c r="L44" s="71"/>
      <c r="M44" s="7">
        <f t="shared" si="0"/>
        <v>0.41198675951590691</v>
      </c>
      <c r="N44" s="71"/>
      <c r="O44" s="10" t="str">
        <f t="shared" si="16"/>
        <v/>
      </c>
      <c r="P44" s="29" t="str">
        <f t="shared" si="1"/>
        <v/>
      </c>
      <c r="Q44" s="71"/>
      <c r="R44" s="10" t="str">
        <f t="shared" si="17"/>
        <v/>
      </c>
      <c r="S44" s="71"/>
      <c r="T44" s="10" t="str">
        <f t="shared" si="18"/>
        <v/>
      </c>
      <c r="U44" s="71"/>
      <c r="V44" s="10" t="str">
        <f t="shared" si="2"/>
        <v/>
      </c>
      <c r="W44" s="10" t="str">
        <f t="shared" si="19"/>
        <v/>
      </c>
      <c r="X44" s="71"/>
      <c r="Y44" s="10" t="str">
        <f t="shared" si="3"/>
        <v/>
      </c>
      <c r="Z44" s="10" t="str">
        <f t="shared" si="20"/>
        <v/>
      </c>
      <c r="AA44" s="71"/>
      <c r="AB44" s="10" t="str">
        <f t="shared" si="4"/>
        <v/>
      </c>
      <c r="AC44" s="10" t="str">
        <f t="shared" si="21"/>
        <v/>
      </c>
      <c r="AD44" s="71"/>
      <c r="AE44" s="10" t="str">
        <f t="shared" si="5"/>
        <v/>
      </c>
      <c r="AF44" s="10" t="str">
        <f t="shared" si="22"/>
        <v/>
      </c>
      <c r="AG44" s="71"/>
      <c r="AH44" s="10" t="str">
        <f t="shared" si="6"/>
        <v/>
      </c>
      <c r="AI44" s="10" t="str">
        <f t="shared" si="23"/>
        <v/>
      </c>
      <c r="AJ44" s="71"/>
      <c r="AK44" s="10" t="str">
        <f t="shared" si="7"/>
        <v/>
      </c>
      <c r="AL44" s="10" t="str">
        <f t="shared" si="24"/>
        <v/>
      </c>
      <c r="AM44" s="71"/>
      <c r="AN44" s="10" t="str">
        <f t="shared" si="8"/>
        <v/>
      </c>
      <c r="AO44" s="10" t="str">
        <f t="shared" si="25"/>
        <v/>
      </c>
      <c r="AP44" s="71"/>
      <c r="AQ44" s="10" t="str">
        <f t="shared" si="9"/>
        <v/>
      </c>
      <c r="AR44" s="10" t="str">
        <f t="shared" si="26"/>
        <v/>
      </c>
      <c r="AS44" s="71"/>
      <c r="AT44" s="7" t="str">
        <f>IF($K44&lt;=$F$15,IF($F$40&lt;&gt;"",$F$40/1000,IF(ISERROR(VLOOKUP($F$3&amp;IF($G$4&lt;&gt;"",$G$4,"")&amp;IF($F$43&lt;&gt;"","_"&amp;$F$43,""),'表3）燃料価格'!$AF$9:$AG$25,2,0)),0,VLOOKUP($I44,'表3）燃料価格'!$A$6:$U$66,VLOOKUP($F$3&amp;IF($G$4&lt;&gt;"",$G$4,"")&amp;IF($F$43&lt;&gt;"","_"&amp;$F$43,""),'表3）燃料価格'!$AF$9:$AG$25,2,0)+VLOOKUP($F$41,'表3）燃料価格'!$AF$28:$AG$29,2,0),0)*IF($F$43="需要地価格",1,$F$8/$F$141))),"")</f>
        <v/>
      </c>
      <c r="AU44" s="71"/>
      <c r="AV44" s="10" t="str">
        <f t="shared" si="10"/>
        <v/>
      </c>
      <c r="AW44" s="10" t="str">
        <f t="shared" si="27"/>
        <v/>
      </c>
      <c r="AX44" s="71"/>
      <c r="AY44" s="7" t="str">
        <f>IF(ISERROR(IF($K44&lt;=$F$15,VLOOKUP($I44,'表4）CO2価格'!$A$7:$E$67,VLOOKUP($F$48,'表4）CO2価格'!$H$10:$I$12,2,0),0)*$F$8/1000,"")),0,IF($K44&lt;=$F$15,VLOOKUP($I44,'表4）CO2価格'!$A$7:$E$67,VLOOKUP($F$48,'表4）CO2価格'!$H$10:$I$12,2,0),0)*$F$8/1000,""))</f>
        <v/>
      </c>
      <c r="AZ44" s="71"/>
      <c r="BA44" s="11" t="str">
        <f t="shared" si="11"/>
        <v/>
      </c>
      <c r="BB44" s="10" t="str">
        <f t="shared" si="28"/>
        <v/>
      </c>
      <c r="BC44" s="71"/>
      <c r="BD44" s="10" t="str">
        <f t="shared" si="12"/>
        <v/>
      </c>
      <c r="BE44" s="10" t="str">
        <f t="shared" si="29"/>
        <v/>
      </c>
      <c r="BF44" s="71"/>
      <c r="BG44" s="11" t="str">
        <f t="shared" si="13"/>
        <v/>
      </c>
      <c r="BH44" s="10" t="str">
        <f t="shared" si="30"/>
        <v/>
      </c>
      <c r="BJ44" s="7" t="str">
        <f t="shared" si="31"/>
        <v/>
      </c>
      <c r="BK44" s="158" t="str">
        <f t="shared" si="32"/>
        <v/>
      </c>
      <c r="BL44" s="158" t="str">
        <f t="shared" si="14"/>
        <v/>
      </c>
      <c r="BM44" s="10"/>
      <c r="BN44" s="10" t="str">
        <f t="shared" si="33"/>
        <v/>
      </c>
      <c r="BO44" s="10" t="str">
        <f t="shared" si="34"/>
        <v/>
      </c>
      <c r="BQ44" s="10" t="str">
        <f t="shared" si="15"/>
        <v/>
      </c>
      <c r="BR44" s="10" t="str">
        <f t="shared" si="35"/>
        <v/>
      </c>
    </row>
    <row r="45" spans="3:70" x14ac:dyDescent="0.15">
      <c r="C45" s="89" t="s">
        <v>509</v>
      </c>
      <c r="D45" s="101"/>
      <c r="E45" s="101"/>
      <c r="F45" s="89"/>
      <c r="G45" s="101"/>
      <c r="I45" s="458">
        <f t="shared" si="36"/>
        <v>2050</v>
      </c>
      <c r="J45" s="39"/>
      <c r="K45" s="39">
        <f t="shared" si="37"/>
        <v>31</v>
      </c>
      <c r="L45" s="39"/>
      <c r="M45" s="40">
        <f t="shared" si="0"/>
        <v>0.39998714516107459</v>
      </c>
      <c r="N45" s="39"/>
      <c r="O45" s="72" t="str">
        <f t="shared" si="16"/>
        <v/>
      </c>
      <c r="P45" s="41" t="str">
        <f t="shared" si="1"/>
        <v/>
      </c>
      <c r="Q45" s="39"/>
      <c r="R45" s="72" t="str">
        <f t="shared" si="17"/>
        <v/>
      </c>
      <c r="S45" s="39"/>
      <c r="T45" s="72" t="str">
        <f t="shared" si="18"/>
        <v/>
      </c>
      <c r="U45" s="39"/>
      <c r="V45" s="72" t="str">
        <f t="shared" si="2"/>
        <v/>
      </c>
      <c r="W45" s="72" t="str">
        <f t="shared" si="19"/>
        <v/>
      </c>
      <c r="X45" s="39"/>
      <c r="Y45" s="72" t="str">
        <f t="shared" si="3"/>
        <v/>
      </c>
      <c r="Z45" s="72" t="str">
        <f t="shared" si="20"/>
        <v/>
      </c>
      <c r="AA45" s="39"/>
      <c r="AB45" s="72" t="str">
        <f t="shared" si="4"/>
        <v/>
      </c>
      <c r="AC45" s="72" t="str">
        <f t="shared" si="21"/>
        <v/>
      </c>
      <c r="AD45" s="39"/>
      <c r="AE45" s="72" t="str">
        <f t="shared" si="5"/>
        <v/>
      </c>
      <c r="AF45" s="72" t="str">
        <f t="shared" si="22"/>
        <v/>
      </c>
      <c r="AG45" s="39"/>
      <c r="AH45" s="72" t="str">
        <f t="shared" si="6"/>
        <v/>
      </c>
      <c r="AI45" s="72" t="str">
        <f t="shared" si="23"/>
        <v/>
      </c>
      <c r="AJ45" s="39"/>
      <c r="AK45" s="72" t="str">
        <f t="shared" si="7"/>
        <v/>
      </c>
      <c r="AL45" s="72" t="str">
        <f t="shared" si="24"/>
        <v/>
      </c>
      <c r="AM45" s="39"/>
      <c r="AN45" s="72" t="str">
        <f t="shared" si="8"/>
        <v/>
      </c>
      <c r="AO45" s="72" t="str">
        <f t="shared" si="25"/>
        <v/>
      </c>
      <c r="AP45" s="39"/>
      <c r="AQ45" s="72" t="str">
        <f t="shared" si="9"/>
        <v/>
      </c>
      <c r="AR45" s="72" t="str">
        <f t="shared" si="26"/>
        <v/>
      </c>
      <c r="AS45" s="39"/>
      <c r="AT45" s="40" t="str">
        <f>IF($K45&lt;=$F$15,IF($F$40&lt;&gt;"",$F$40/1000,IF(ISERROR(VLOOKUP($F$3&amp;IF($G$4&lt;&gt;"",$G$4,"")&amp;IF($F$43&lt;&gt;"","_"&amp;$F$43,""),'表3）燃料価格'!$AF$9:$AG$25,2,0)),0,VLOOKUP($I45,'表3）燃料価格'!$A$6:$U$66,VLOOKUP($F$3&amp;IF($G$4&lt;&gt;"",$G$4,"")&amp;IF($F$43&lt;&gt;"","_"&amp;$F$43,""),'表3）燃料価格'!$AF$9:$AG$25,2,0)+VLOOKUP($F$41,'表3）燃料価格'!$AF$28:$AG$29,2,0),0)*IF($F$43="需要地価格",1,$F$8/$F$141))),"")</f>
        <v/>
      </c>
      <c r="AU45" s="39"/>
      <c r="AV45" s="72" t="str">
        <f t="shared" si="10"/>
        <v/>
      </c>
      <c r="AW45" s="72" t="str">
        <f t="shared" si="27"/>
        <v/>
      </c>
      <c r="AX45" s="39"/>
      <c r="AY45" s="40" t="str">
        <f>IF(ISERROR(IF($K45&lt;=$F$15,VLOOKUP($I45,'表4）CO2価格'!$A$7:$E$67,VLOOKUP($F$48,'表4）CO2価格'!$H$10:$I$12,2,0),0)*$F$8/1000,"")),0,IF($K45&lt;=$F$15,VLOOKUP($I45,'表4）CO2価格'!$A$7:$E$67,VLOOKUP($F$48,'表4）CO2価格'!$H$10:$I$12,2,0),0)*$F$8/1000,""))</f>
        <v/>
      </c>
      <c r="AZ45" s="39"/>
      <c r="BA45" s="42" t="str">
        <f t="shared" si="11"/>
        <v/>
      </c>
      <c r="BB45" s="72" t="str">
        <f t="shared" si="28"/>
        <v/>
      </c>
      <c r="BC45" s="39"/>
      <c r="BD45" s="72" t="str">
        <f t="shared" si="12"/>
        <v/>
      </c>
      <c r="BE45" s="72" t="str">
        <f t="shared" si="29"/>
        <v/>
      </c>
      <c r="BF45" s="39"/>
      <c r="BG45" s="42" t="str">
        <f t="shared" si="13"/>
        <v/>
      </c>
      <c r="BH45" s="72" t="str">
        <f t="shared" si="30"/>
        <v/>
      </c>
      <c r="BI45" s="39"/>
      <c r="BJ45" s="40" t="str">
        <f t="shared" si="31"/>
        <v/>
      </c>
      <c r="BK45" s="157" t="str">
        <f t="shared" si="32"/>
        <v/>
      </c>
      <c r="BL45" s="157" t="str">
        <f t="shared" si="14"/>
        <v/>
      </c>
      <c r="BM45" s="72"/>
      <c r="BN45" s="72" t="str">
        <f t="shared" si="33"/>
        <v/>
      </c>
      <c r="BO45" s="72" t="str">
        <f t="shared" si="34"/>
        <v/>
      </c>
      <c r="BP45" s="39"/>
      <c r="BQ45" s="72" t="str">
        <f t="shared" si="15"/>
        <v/>
      </c>
      <c r="BR45" s="72" t="str">
        <f t="shared" si="35"/>
        <v/>
      </c>
    </row>
    <row r="46" spans="3:70" x14ac:dyDescent="0.15">
      <c r="I46" s="459">
        <f t="shared" si="36"/>
        <v>2051</v>
      </c>
      <c r="J46" s="71"/>
      <c r="K46" s="71">
        <f t="shared" si="37"/>
        <v>32</v>
      </c>
      <c r="L46" s="71"/>
      <c r="M46" s="7">
        <f t="shared" si="0"/>
        <v>0.38833703413696569</v>
      </c>
      <c r="N46" s="71"/>
      <c r="O46" s="10" t="str">
        <f t="shared" si="16"/>
        <v/>
      </c>
      <c r="P46" s="29" t="str">
        <f t="shared" si="1"/>
        <v/>
      </c>
      <c r="Q46" s="71"/>
      <c r="R46" s="10" t="str">
        <f t="shared" si="17"/>
        <v/>
      </c>
      <c r="S46" s="71"/>
      <c r="T46" s="10" t="str">
        <f t="shared" si="18"/>
        <v/>
      </c>
      <c r="U46" s="71"/>
      <c r="V46" s="10" t="str">
        <f t="shared" si="2"/>
        <v/>
      </c>
      <c r="W46" s="10" t="str">
        <f t="shared" si="19"/>
        <v/>
      </c>
      <c r="X46" s="71"/>
      <c r="Y46" s="10" t="str">
        <f t="shared" si="3"/>
        <v/>
      </c>
      <c r="Z46" s="10" t="str">
        <f t="shared" si="20"/>
        <v/>
      </c>
      <c r="AA46" s="71"/>
      <c r="AB46" s="10" t="str">
        <f t="shared" si="4"/>
        <v/>
      </c>
      <c r="AC46" s="10" t="str">
        <f t="shared" si="21"/>
        <v/>
      </c>
      <c r="AD46" s="71"/>
      <c r="AE46" s="10" t="str">
        <f t="shared" si="5"/>
        <v/>
      </c>
      <c r="AF46" s="10" t="str">
        <f t="shared" si="22"/>
        <v/>
      </c>
      <c r="AG46" s="71"/>
      <c r="AH46" s="10" t="str">
        <f t="shared" si="6"/>
        <v/>
      </c>
      <c r="AI46" s="10" t="str">
        <f t="shared" si="23"/>
        <v/>
      </c>
      <c r="AJ46" s="71"/>
      <c r="AK46" s="10" t="str">
        <f t="shared" si="7"/>
        <v/>
      </c>
      <c r="AL46" s="10" t="str">
        <f t="shared" si="24"/>
        <v/>
      </c>
      <c r="AM46" s="71"/>
      <c r="AN46" s="10" t="str">
        <f t="shared" si="8"/>
        <v/>
      </c>
      <c r="AO46" s="10" t="str">
        <f t="shared" si="25"/>
        <v/>
      </c>
      <c r="AP46" s="71"/>
      <c r="AQ46" s="10" t="str">
        <f t="shared" si="9"/>
        <v/>
      </c>
      <c r="AR46" s="10" t="str">
        <f t="shared" si="26"/>
        <v/>
      </c>
      <c r="AS46" s="71"/>
      <c r="AT46" s="7" t="str">
        <f>IF($K46&lt;=$F$15,IF($F$40&lt;&gt;"",$F$40/1000,IF(ISERROR(VLOOKUP($F$3&amp;IF($G$4&lt;&gt;"",$G$4,"")&amp;IF($F$43&lt;&gt;"","_"&amp;$F$43,""),'表3）燃料価格'!$AF$9:$AG$25,2,0)),0,VLOOKUP($I46,'表3）燃料価格'!$A$6:$U$66,VLOOKUP($F$3&amp;IF($G$4&lt;&gt;"",$G$4,"")&amp;IF($F$43&lt;&gt;"","_"&amp;$F$43,""),'表3）燃料価格'!$AF$9:$AG$25,2,0)+VLOOKUP($F$41,'表3）燃料価格'!$AF$28:$AG$29,2,0),0)*IF($F$43="需要地価格",1,$F$8/$F$141))),"")</f>
        <v/>
      </c>
      <c r="AU46" s="71"/>
      <c r="AV46" s="10" t="str">
        <f t="shared" si="10"/>
        <v/>
      </c>
      <c r="AW46" s="10" t="str">
        <f t="shared" si="27"/>
        <v/>
      </c>
      <c r="AX46" s="71"/>
      <c r="AY46" s="7" t="str">
        <f>IF(ISERROR(IF($K46&lt;=$F$15,VLOOKUP($I46,'表4）CO2価格'!$A$7:$E$67,VLOOKUP($F$48,'表4）CO2価格'!$H$10:$I$12,2,0),0)*$F$8/1000,"")),0,IF($K46&lt;=$F$15,VLOOKUP($I46,'表4）CO2価格'!$A$7:$E$67,VLOOKUP($F$48,'表4）CO2価格'!$H$10:$I$12,2,0),0)*$F$8/1000,""))</f>
        <v/>
      </c>
      <c r="AZ46" s="71"/>
      <c r="BA46" s="11" t="str">
        <f t="shared" si="11"/>
        <v/>
      </c>
      <c r="BB46" s="10" t="str">
        <f t="shared" si="28"/>
        <v/>
      </c>
      <c r="BC46" s="71"/>
      <c r="BD46" s="10" t="str">
        <f t="shared" si="12"/>
        <v/>
      </c>
      <c r="BE46" s="10" t="str">
        <f t="shared" si="29"/>
        <v/>
      </c>
      <c r="BF46" s="71"/>
      <c r="BG46" s="11" t="str">
        <f t="shared" si="13"/>
        <v/>
      </c>
      <c r="BH46" s="10" t="str">
        <f t="shared" si="30"/>
        <v/>
      </c>
      <c r="BJ46" s="7" t="str">
        <f t="shared" si="31"/>
        <v/>
      </c>
      <c r="BK46" s="158" t="str">
        <f t="shared" si="32"/>
        <v/>
      </c>
      <c r="BL46" s="158" t="str">
        <f t="shared" si="14"/>
        <v/>
      </c>
      <c r="BM46" s="10"/>
      <c r="BN46" s="10" t="str">
        <f t="shared" si="33"/>
        <v/>
      </c>
      <c r="BO46" s="10" t="str">
        <f t="shared" si="34"/>
        <v/>
      </c>
      <c r="BQ46" s="10" t="str">
        <f t="shared" si="15"/>
        <v/>
      </c>
      <c r="BR46" s="10" t="str">
        <f t="shared" si="35"/>
        <v/>
      </c>
    </row>
    <row r="47" spans="3:70" x14ac:dyDescent="0.15">
      <c r="D47" s="81" t="s">
        <v>182</v>
      </c>
      <c r="F47" s="66"/>
      <c r="G47" s="81" t="s">
        <v>226</v>
      </c>
      <c r="I47" s="458">
        <f t="shared" si="36"/>
        <v>2052</v>
      </c>
      <c r="J47" s="39"/>
      <c r="K47" s="39">
        <f t="shared" si="37"/>
        <v>33</v>
      </c>
      <c r="L47" s="39"/>
      <c r="M47" s="40">
        <f t="shared" si="0"/>
        <v>0.37702624673491814</v>
      </c>
      <c r="N47" s="39"/>
      <c r="O47" s="72" t="str">
        <f t="shared" si="16"/>
        <v/>
      </c>
      <c r="P47" s="41" t="str">
        <f t="shared" ref="P47:P78" si="38">IF(K47&lt;=$F$15,IF(OR(P46=$F$124,P46="-"),"-",IF(O47*$F$123&gt;$F$127,$F$123,$F$124)),"")</f>
        <v/>
      </c>
      <c r="Q47" s="39"/>
      <c r="R47" s="72" t="str">
        <f t="shared" si="17"/>
        <v/>
      </c>
      <c r="S47" s="39"/>
      <c r="T47" s="72" t="str">
        <f t="shared" si="18"/>
        <v/>
      </c>
      <c r="U47" s="39"/>
      <c r="V47" s="72" t="str">
        <f t="shared" ref="V47:V78" si="39">IF(K47&lt;=$F$15,IF(K47&lt;$F$119,IF(P47="-",V46,O47*P47),IF(K47=$F$119,MIN(IF(P47="-",V46,O47*P47),O47),0)),"")</f>
        <v/>
      </c>
      <c r="W47" s="72" t="str">
        <f t="shared" si="19"/>
        <v/>
      </c>
      <c r="X47" s="39"/>
      <c r="Y47" s="72" t="str">
        <f t="shared" ref="Y47:Y78" si="40">IF($K47&lt;=$F$15,ROUNDDOWN(T47*$F$25/100,-2),"")</f>
        <v/>
      </c>
      <c r="Z47" s="72" t="str">
        <f t="shared" si="20"/>
        <v/>
      </c>
      <c r="AA47" s="39"/>
      <c r="AB47" s="72" t="str">
        <f t="shared" si="4"/>
        <v/>
      </c>
      <c r="AC47" s="72" t="str">
        <f t="shared" si="21"/>
        <v/>
      </c>
      <c r="AD47" s="39"/>
      <c r="AE47" s="72" t="str">
        <f t="shared" ref="AE47:AE78" si="41">IF($K47&lt;=$F$15,$F$26,"")</f>
        <v/>
      </c>
      <c r="AF47" s="72" t="str">
        <f t="shared" si="22"/>
        <v/>
      </c>
      <c r="AG47" s="39"/>
      <c r="AH47" s="72" t="str">
        <f t="shared" ref="AH47:AH78" si="42">IF($K47&lt;=$F$15,$F$33*10^4*$F$13*10^4,"")</f>
        <v/>
      </c>
      <c r="AI47" s="72" t="str">
        <f t="shared" si="23"/>
        <v/>
      </c>
      <c r="AJ47" s="39"/>
      <c r="AK47" s="72" t="str">
        <f t="shared" ref="AK47:AK78" si="43">IF($K47&lt;=$F$15,$F$117*$F$34/100,"")</f>
        <v/>
      </c>
      <c r="AL47" s="72" t="str">
        <f t="shared" si="24"/>
        <v/>
      </c>
      <c r="AM47" s="39"/>
      <c r="AN47" s="72" t="str">
        <f t="shared" ref="AN47:AN78" si="44">IF($K47&lt;=$F$15,$F$117*$F$35/100,"")</f>
        <v/>
      </c>
      <c r="AO47" s="72" t="str">
        <f t="shared" si="25"/>
        <v/>
      </c>
      <c r="AP47" s="39"/>
      <c r="AQ47" s="72" t="str">
        <f t="shared" ref="AQ47:AQ78" si="45">IF($K47&lt;=$F$15,SUM(AH47,AK47,AN47)*($F$36/100),"")</f>
        <v/>
      </c>
      <c r="AR47" s="72" t="str">
        <f t="shared" si="26"/>
        <v/>
      </c>
      <c r="AS47" s="39"/>
      <c r="AT47" s="40" t="str">
        <f>IF($K47&lt;=$F$15,IF($F$40&lt;&gt;"",$F$40/1000,IF(ISERROR(VLOOKUP($F$3&amp;IF($G$4&lt;&gt;"",$G$4,"")&amp;IF($F$43&lt;&gt;"","_"&amp;$F$43,""),'表3）燃料価格'!$AF$9:$AG$25,2,0)),0,VLOOKUP($I47,'表3）燃料価格'!$A$6:$U$66,VLOOKUP($F$3&amp;IF($G$4&lt;&gt;"",$G$4,"")&amp;IF($F$43&lt;&gt;"","_"&amp;$F$43,""),'表3）燃料価格'!$AF$9:$AG$25,2,0)+VLOOKUP($F$41,'表3）燃料価格'!$AF$28:$AG$29,2,0),0)*IF($F$43="需要地価格",1,$F$8/$F$141))),"")</f>
        <v/>
      </c>
      <c r="AU47" s="39"/>
      <c r="AV47" s="72" t="str">
        <f t="shared" ref="AV47:AV78" si="46">IF($K47&lt;=$F$15,($AT47+$F$142)*$F$137,"")</f>
        <v/>
      </c>
      <c r="AW47" s="72" t="str">
        <f t="shared" si="27"/>
        <v/>
      </c>
      <c r="AX47" s="39"/>
      <c r="AY47" s="40" t="str">
        <f>IF(ISERROR(IF($K47&lt;=$F$15,VLOOKUP($I47,'表4）CO2価格'!$A$7:$E$67,VLOOKUP($F$48,'表4）CO2価格'!$H$10:$I$12,2,0),0)*$F$8/1000,"")),0,IF($K47&lt;=$F$15,VLOOKUP($I47,'表4）CO2価格'!$A$7:$E$67,VLOOKUP($F$48,'表4）CO2価格'!$H$10:$I$12,2,0),0)*$F$8/1000,""))</f>
        <v/>
      </c>
      <c r="AZ47" s="39"/>
      <c r="BA47" s="42" t="str">
        <f t="shared" ref="BA47:BA78" si="47">IF($K47&lt;=$F$15,$F$145*AY47,"")</f>
        <v/>
      </c>
      <c r="BB47" s="72" t="str">
        <f t="shared" si="28"/>
        <v/>
      </c>
      <c r="BC47" s="39"/>
      <c r="BD47" s="72" t="str">
        <f t="shared" ref="BD47:BD78" si="48">IF($K47&lt;=$F$15,($AT47+$F$152)*$F$151,"")</f>
        <v/>
      </c>
      <c r="BE47" s="72" t="str">
        <f t="shared" si="29"/>
        <v/>
      </c>
      <c r="BF47" s="39"/>
      <c r="BG47" s="42" t="str">
        <f t="shared" ref="BG47:BG78" si="49">IF($K47&lt;=$F$15,$F$153*AY47,"")</f>
        <v/>
      </c>
      <c r="BH47" s="72" t="str">
        <f t="shared" si="30"/>
        <v/>
      </c>
      <c r="BI47" s="39"/>
      <c r="BJ47" s="40" t="str">
        <f t="shared" si="31"/>
        <v/>
      </c>
      <c r="BK47" s="157" t="str">
        <f t="shared" si="32"/>
        <v/>
      </c>
      <c r="BL47" s="157" t="str">
        <f t="shared" si="14"/>
        <v/>
      </c>
      <c r="BM47" s="72"/>
      <c r="BN47" s="72" t="str">
        <f t="shared" si="33"/>
        <v/>
      </c>
      <c r="BO47" s="72" t="str">
        <f t="shared" si="34"/>
        <v/>
      </c>
      <c r="BP47" s="39"/>
      <c r="BQ47" s="72" t="str">
        <f t="shared" ref="BQ47:BQ78" si="50">IF($K47&lt;=$F$15,$F$134,"")</f>
        <v/>
      </c>
      <c r="BR47" s="72" t="str">
        <f t="shared" si="35"/>
        <v/>
      </c>
    </row>
    <row r="48" spans="3:70" x14ac:dyDescent="0.15">
      <c r="D48" s="81" t="s">
        <v>184</v>
      </c>
      <c r="F48" s="88"/>
      <c r="I48" s="459">
        <f t="shared" si="36"/>
        <v>2053</v>
      </c>
      <c r="J48" s="71"/>
      <c r="K48" s="71">
        <f t="shared" si="37"/>
        <v>34</v>
      </c>
      <c r="L48" s="71"/>
      <c r="M48" s="7">
        <f t="shared" si="0"/>
        <v>0.36604489974263904</v>
      </c>
      <c r="N48" s="71"/>
      <c r="O48" s="10" t="str">
        <f t="shared" si="16"/>
        <v/>
      </c>
      <c r="P48" s="29" t="str">
        <f t="shared" si="38"/>
        <v/>
      </c>
      <c r="Q48" s="71"/>
      <c r="R48" s="10" t="str">
        <f t="shared" ref="R48:R79" si="51">IF($K48&lt;=$F$15,MAX($F$117*5%,R47*$F$129),"")</f>
        <v/>
      </c>
      <c r="S48" s="71"/>
      <c r="T48" s="10" t="str">
        <f t="shared" si="18"/>
        <v/>
      </c>
      <c r="U48" s="71"/>
      <c r="V48" s="10" t="str">
        <f t="shared" si="39"/>
        <v/>
      </c>
      <c r="W48" s="10" t="str">
        <f t="shared" si="19"/>
        <v/>
      </c>
      <c r="X48" s="71"/>
      <c r="Y48" s="10" t="str">
        <f t="shared" si="40"/>
        <v/>
      </c>
      <c r="Z48" s="10" t="str">
        <f t="shared" si="20"/>
        <v/>
      </c>
      <c r="AA48" s="71"/>
      <c r="AB48" s="10" t="str">
        <f t="shared" si="4"/>
        <v/>
      </c>
      <c r="AC48" s="10" t="str">
        <f t="shared" si="21"/>
        <v/>
      </c>
      <c r="AD48" s="71"/>
      <c r="AE48" s="10" t="str">
        <f t="shared" si="41"/>
        <v/>
      </c>
      <c r="AF48" s="10" t="str">
        <f t="shared" si="22"/>
        <v/>
      </c>
      <c r="AG48" s="71"/>
      <c r="AH48" s="10" t="str">
        <f t="shared" si="42"/>
        <v/>
      </c>
      <c r="AI48" s="10" t="str">
        <f t="shared" si="23"/>
        <v/>
      </c>
      <c r="AJ48" s="71"/>
      <c r="AK48" s="10" t="str">
        <f t="shared" si="43"/>
        <v/>
      </c>
      <c r="AL48" s="10" t="str">
        <f t="shared" si="24"/>
        <v/>
      </c>
      <c r="AM48" s="71"/>
      <c r="AN48" s="10" t="str">
        <f t="shared" si="44"/>
        <v/>
      </c>
      <c r="AO48" s="10" t="str">
        <f t="shared" si="25"/>
        <v/>
      </c>
      <c r="AP48" s="71"/>
      <c r="AQ48" s="10" t="str">
        <f t="shared" si="45"/>
        <v/>
      </c>
      <c r="AR48" s="10" t="str">
        <f t="shared" si="26"/>
        <v/>
      </c>
      <c r="AS48" s="71"/>
      <c r="AT48" s="7" t="str">
        <f>IF($K48&lt;=$F$15,IF($F$40&lt;&gt;"",$F$40/1000,IF(ISERROR(VLOOKUP($F$3&amp;IF($G$4&lt;&gt;"",$G$4,"")&amp;IF($F$43&lt;&gt;"","_"&amp;$F$43,""),'表3）燃料価格'!$AF$9:$AG$25,2,0)),0,VLOOKUP($I48,'表3）燃料価格'!$A$6:$U$66,VLOOKUP($F$3&amp;IF($G$4&lt;&gt;"",$G$4,"")&amp;IF($F$43&lt;&gt;"","_"&amp;$F$43,""),'表3）燃料価格'!$AF$9:$AG$25,2,0)+VLOOKUP($F$41,'表3）燃料価格'!$AF$28:$AG$29,2,0),0)*IF($F$43="需要地価格",1,$F$8/$F$141))),"")</f>
        <v/>
      </c>
      <c r="AU48" s="71"/>
      <c r="AV48" s="10" t="str">
        <f t="shared" si="46"/>
        <v/>
      </c>
      <c r="AW48" s="10" t="str">
        <f t="shared" si="27"/>
        <v/>
      </c>
      <c r="AX48" s="71"/>
      <c r="AY48" s="7" t="str">
        <f>IF(ISERROR(IF($K48&lt;=$F$15,VLOOKUP($I48,'表4）CO2価格'!$A$7:$E$67,VLOOKUP($F$48,'表4）CO2価格'!$H$10:$I$12,2,0),0)*$F$8/1000,"")),0,IF($K48&lt;=$F$15,VLOOKUP($I48,'表4）CO2価格'!$A$7:$E$67,VLOOKUP($F$48,'表4）CO2価格'!$H$10:$I$12,2,0),0)*$F$8/1000,""))</f>
        <v/>
      </c>
      <c r="AZ48" s="71"/>
      <c r="BA48" s="11" t="str">
        <f t="shared" si="47"/>
        <v/>
      </c>
      <c r="BB48" s="10" t="str">
        <f t="shared" si="28"/>
        <v/>
      </c>
      <c r="BC48" s="71"/>
      <c r="BD48" s="10" t="str">
        <f t="shared" si="48"/>
        <v/>
      </c>
      <c r="BE48" s="10" t="str">
        <f t="shared" si="29"/>
        <v/>
      </c>
      <c r="BF48" s="71"/>
      <c r="BG48" s="11" t="str">
        <f t="shared" si="49"/>
        <v/>
      </c>
      <c r="BH48" s="10" t="str">
        <f t="shared" si="30"/>
        <v/>
      </c>
      <c r="BJ48" s="7" t="str">
        <f t="shared" si="31"/>
        <v/>
      </c>
      <c r="BK48" s="158" t="str">
        <f t="shared" si="32"/>
        <v/>
      </c>
      <c r="BL48" s="158" t="str">
        <f t="shared" si="14"/>
        <v/>
      </c>
      <c r="BM48" s="10"/>
      <c r="BN48" s="10" t="str">
        <f t="shared" si="33"/>
        <v/>
      </c>
      <c r="BO48" s="10" t="str">
        <f t="shared" si="34"/>
        <v/>
      </c>
      <c r="BQ48" s="10" t="str">
        <f t="shared" si="50"/>
        <v/>
      </c>
      <c r="BR48" s="10" t="str">
        <f t="shared" si="35"/>
        <v/>
      </c>
    </row>
    <row r="49" spans="3:70" x14ac:dyDescent="0.15">
      <c r="I49" s="458">
        <f t="shared" si="36"/>
        <v>2054</v>
      </c>
      <c r="J49" s="39"/>
      <c r="K49" s="39">
        <f t="shared" si="37"/>
        <v>35</v>
      </c>
      <c r="L49" s="39"/>
      <c r="M49" s="40">
        <f t="shared" si="0"/>
        <v>0.35538339780838735</v>
      </c>
      <c r="N49" s="39"/>
      <c r="O49" s="72" t="str">
        <f t="shared" si="16"/>
        <v/>
      </c>
      <c r="P49" s="41" t="str">
        <f t="shared" si="38"/>
        <v/>
      </c>
      <c r="Q49" s="39"/>
      <c r="R49" s="72" t="str">
        <f t="shared" si="51"/>
        <v/>
      </c>
      <c r="S49" s="39"/>
      <c r="T49" s="72" t="str">
        <f t="shared" si="18"/>
        <v/>
      </c>
      <c r="U49" s="39"/>
      <c r="V49" s="72" t="str">
        <f t="shared" si="39"/>
        <v/>
      </c>
      <c r="W49" s="72" t="str">
        <f t="shared" si="19"/>
        <v/>
      </c>
      <c r="X49" s="39"/>
      <c r="Y49" s="72" t="str">
        <f t="shared" si="40"/>
        <v/>
      </c>
      <c r="Z49" s="72" t="str">
        <f t="shared" si="20"/>
        <v/>
      </c>
      <c r="AA49" s="39"/>
      <c r="AB49" s="72" t="str">
        <f t="shared" si="4"/>
        <v/>
      </c>
      <c r="AC49" s="72" t="str">
        <f t="shared" si="21"/>
        <v/>
      </c>
      <c r="AD49" s="39"/>
      <c r="AE49" s="72" t="str">
        <f t="shared" si="41"/>
        <v/>
      </c>
      <c r="AF49" s="72" t="str">
        <f t="shared" si="22"/>
        <v/>
      </c>
      <c r="AG49" s="39"/>
      <c r="AH49" s="72" t="str">
        <f t="shared" si="42"/>
        <v/>
      </c>
      <c r="AI49" s="72" t="str">
        <f t="shared" si="23"/>
        <v/>
      </c>
      <c r="AJ49" s="39"/>
      <c r="AK49" s="72" t="str">
        <f t="shared" si="43"/>
        <v/>
      </c>
      <c r="AL49" s="72" t="str">
        <f t="shared" si="24"/>
        <v/>
      </c>
      <c r="AM49" s="39"/>
      <c r="AN49" s="72" t="str">
        <f t="shared" si="44"/>
        <v/>
      </c>
      <c r="AO49" s="72" t="str">
        <f t="shared" si="25"/>
        <v/>
      </c>
      <c r="AP49" s="39"/>
      <c r="AQ49" s="72" t="str">
        <f t="shared" si="45"/>
        <v/>
      </c>
      <c r="AR49" s="72" t="str">
        <f t="shared" si="26"/>
        <v/>
      </c>
      <c r="AS49" s="39"/>
      <c r="AT49" s="40" t="str">
        <f>IF($K49&lt;=$F$15,IF($F$40&lt;&gt;"",$F$40/1000,IF(ISERROR(VLOOKUP($F$3&amp;IF($G$4&lt;&gt;"",$G$4,"")&amp;IF($F$43&lt;&gt;"","_"&amp;$F$43,""),'表3）燃料価格'!$AF$9:$AG$25,2,0)),0,VLOOKUP($I49,'表3）燃料価格'!$A$6:$U$66,VLOOKUP($F$3&amp;IF($G$4&lt;&gt;"",$G$4,"")&amp;IF($F$43&lt;&gt;"","_"&amp;$F$43,""),'表3）燃料価格'!$AF$9:$AG$25,2,0)+VLOOKUP($F$41,'表3）燃料価格'!$AF$28:$AG$29,2,0),0)*IF($F$43="需要地価格",1,$F$8/$F$141))),"")</f>
        <v/>
      </c>
      <c r="AU49" s="39"/>
      <c r="AV49" s="72" t="str">
        <f t="shared" si="46"/>
        <v/>
      </c>
      <c r="AW49" s="72" t="str">
        <f t="shared" si="27"/>
        <v/>
      </c>
      <c r="AX49" s="39"/>
      <c r="AY49" s="40" t="str">
        <f>IF(ISERROR(IF($K49&lt;=$F$15,VLOOKUP($I49,'表4）CO2価格'!$A$7:$E$67,VLOOKUP($F$48,'表4）CO2価格'!$H$10:$I$12,2,0),0)*$F$8/1000,"")),0,IF($K49&lt;=$F$15,VLOOKUP($I49,'表4）CO2価格'!$A$7:$E$67,VLOOKUP($F$48,'表4）CO2価格'!$H$10:$I$12,2,0),0)*$F$8/1000,""))</f>
        <v/>
      </c>
      <c r="AZ49" s="39"/>
      <c r="BA49" s="42" t="str">
        <f t="shared" si="47"/>
        <v/>
      </c>
      <c r="BB49" s="72" t="str">
        <f t="shared" si="28"/>
        <v/>
      </c>
      <c r="BC49" s="39"/>
      <c r="BD49" s="72" t="str">
        <f t="shared" si="48"/>
        <v/>
      </c>
      <c r="BE49" s="72" t="str">
        <f t="shared" si="29"/>
        <v/>
      </c>
      <c r="BF49" s="39"/>
      <c r="BG49" s="42" t="str">
        <f t="shared" si="49"/>
        <v/>
      </c>
      <c r="BH49" s="72" t="str">
        <f t="shared" si="30"/>
        <v/>
      </c>
      <c r="BI49" s="39"/>
      <c r="BJ49" s="40" t="str">
        <f t="shared" si="31"/>
        <v/>
      </c>
      <c r="BK49" s="157" t="str">
        <f t="shared" si="32"/>
        <v/>
      </c>
      <c r="BL49" s="157" t="str">
        <f t="shared" si="14"/>
        <v/>
      </c>
      <c r="BM49" s="72"/>
      <c r="BN49" s="72" t="str">
        <f t="shared" si="33"/>
        <v/>
      </c>
      <c r="BO49" s="72" t="str">
        <f t="shared" si="34"/>
        <v/>
      </c>
      <c r="BP49" s="39"/>
      <c r="BQ49" s="72" t="str">
        <f t="shared" si="50"/>
        <v/>
      </c>
      <c r="BR49" s="72" t="str">
        <f t="shared" si="35"/>
        <v/>
      </c>
    </row>
    <row r="50" spans="3:70" x14ac:dyDescent="0.15">
      <c r="C50" s="89" t="s">
        <v>510</v>
      </c>
      <c r="D50" s="101"/>
      <c r="E50" s="101"/>
      <c r="F50" s="89"/>
      <c r="G50" s="101"/>
      <c r="I50" s="459">
        <f t="shared" si="36"/>
        <v>2055</v>
      </c>
      <c r="J50" s="71"/>
      <c r="K50" s="71">
        <f t="shared" si="37"/>
        <v>36</v>
      </c>
      <c r="L50" s="71"/>
      <c r="M50" s="7">
        <f t="shared" si="0"/>
        <v>0.34503242505668674</v>
      </c>
      <c r="N50" s="71"/>
      <c r="O50" s="10" t="str">
        <f t="shared" si="16"/>
        <v/>
      </c>
      <c r="P50" s="29" t="str">
        <f t="shared" si="38"/>
        <v/>
      </c>
      <c r="Q50" s="71"/>
      <c r="R50" s="10" t="str">
        <f t="shared" si="51"/>
        <v/>
      </c>
      <c r="S50" s="71"/>
      <c r="T50" s="10" t="str">
        <f t="shared" si="18"/>
        <v/>
      </c>
      <c r="U50" s="71"/>
      <c r="V50" s="10" t="str">
        <f t="shared" si="39"/>
        <v/>
      </c>
      <c r="W50" s="10" t="str">
        <f t="shared" si="19"/>
        <v/>
      </c>
      <c r="X50" s="71"/>
      <c r="Y50" s="10" t="str">
        <f t="shared" si="40"/>
        <v/>
      </c>
      <c r="Z50" s="10" t="str">
        <f t="shared" si="20"/>
        <v/>
      </c>
      <c r="AA50" s="71"/>
      <c r="AB50" s="10" t="str">
        <f t="shared" si="4"/>
        <v/>
      </c>
      <c r="AC50" s="10" t="str">
        <f t="shared" si="21"/>
        <v/>
      </c>
      <c r="AD50" s="71"/>
      <c r="AE50" s="10" t="str">
        <f t="shared" si="41"/>
        <v/>
      </c>
      <c r="AF50" s="10" t="str">
        <f t="shared" si="22"/>
        <v/>
      </c>
      <c r="AG50" s="71"/>
      <c r="AH50" s="10" t="str">
        <f t="shared" si="42"/>
        <v/>
      </c>
      <c r="AI50" s="10" t="str">
        <f t="shared" si="23"/>
        <v/>
      </c>
      <c r="AJ50" s="71"/>
      <c r="AK50" s="10" t="str">
        <f t="shared" si="43"/>
        <v/>
      </c>
      <c r="AL50" s="10" t="str">
        <f t="shared" si="24"/>
        <v/>
      </c>
      <c r="AM50" s="71"/>
      <c r="AN50" s="10" t="str">
        <f t="shared" si="44"/>
        <v/>
      </c>
      <c r="AO50" s="10" t="str">
        <f t="shared" si="25"/>
        <v/>
      </c>
      <c r="AP50" s="71"/>
      <c r="AQ50" s="10" t="str">
        <f t="shared" si="45"/>
        <v/>
      </c>
      <c r="AR50" s="10" t="str">
        <f t="shared" si="26"/>
        <v/>
      </c>
      <c r="AS50" s="71"/>
      <c r="AT50" s="7" t="str">
        <f>IF($K50&lt;=$F$15,IF($F$40&lt;&gt;"",$F$40/1000,IF(ISERROR(VLOOKUP($F$3&amp;IF($G$4&lt;&gt;"",$G$4,"")&amp;IF($F$43&lt;&gt;"","_"&amp;$F$43,""),'表3）燃料価格'!$AF$9:$AG$25,2,0)),0,VLOOKUP($I50,'表3）燃料価格'!$A$6:$U$66,VLOOKUP($F$3&amp;IF($G$4&lt;&gt;"",$G$4,"")&amp;IF($F$43&lt;&gt;"","_"&amp;$F$43,""),'表3）燃料価格'!$AF$9:$AG$25,2,0)+VLOOKUP($F$41,'表3）燃料価格'!$AF$28:$AG$29,2,0),0)*IF($F$43="需要地価格",1,$F$8/$F$141))),"")</f>
        <v/>
      </c>
      <c r="AU50" s="71"/>
      <c r="AV50" s="10" t="str">
        <f t="shared" si="46"/>
        <v/>
      </c>
      <c r="AW50" s="10" t="str">
        <f t="shared" si="27"/>
        <v/>
      </c>
      <c r="AX50" s="71"/>
      <c r="AY50" s="7" t="str">
        <f>IF(ISERROR(IF($K50&lt;=$F$15,VLOOKUP($I50,'表4）CO2価格'!$A$7:$E$67,VLOOKUP($F$48,'表4）CO2価格'!$H$10:$I$12,2,0),0)*$F$8/1000,"")),0,IF($K50&lt;=$F$15,VLOOKUP($I50,'表4）CO2価格'!$A$7:$E$67,VLOOKUP($F$48,'表4）CO2価格'!$H$10:$I$12,2,0),0)*$F$8/1000,""))</f>
        <v/>
      </c>
      <c r="AZ50" s="71"/>
      <c r="BA50" s="11" t="str">
        <f t="shared" si="47"/>
        <v/>
      </c>
      <c r="BB50" s="10" t="str">
        <f t="shared" si="28"/>
        <v/>
      </c>
      <c r="BC50" s="71"/>
      <c r="BD50" s="10" t="str">
        <f t="shared" si="48"/>
        <v/>
      </c>
      <c r="BE50" s="10" t="str">
        <f t="shared" si="29"/>
        <v/>
      </c>
      <c r="BF50" s="71"/>
      <c r="BG50" s="11" t="str">
        <f t="shared" si="49"/>
        <v/>
      </c>
      <c r="BH50" s="10" t="str">
        <f t="shared" si="30"/>
        <v/>
      </c>
      <c r="BJ50" s="7" t="str">
        <f t="shared" si="31"/>
        <v/>
      </c>
      <c r="BK50" s="158" t="str">
        <f t="shared" si="32"/>
        <v/>
      </c>
      <c r="BL50" s="158" t="str">
        <f t="shared" si="14"/>
        <v/>
      </c>
      <c r="BM50" s="10"/>
      <c r="BN50" s="10" t="str">
        <f t="shared" si="33"/>
        <v/>
      </c>
      <c r="BO50" s="10" t="str">
        <f t="shared" si="34"/>
        <v/>
      </c>
      <c r="BQ50" s="10" t="str">
        <f t="shared" si="50"/>
        <v/>
      </c>
      <c r="BR50" s="10" t="str">
        <f t="shared" si="35"/>
        <v/>
      </c>
    </row>
    <row r="51" spans="3:70" x14ac:dyDescent="0.15">
      <c r="I51" s="458">
        <f t="shared" si="36"/>
        <v>2056</v>
      </c>
      <c r="J51" s="39"/>
      <c r="K51" s="39">
        <f t="shared" si="37"/>
        <v>37</v>
      </c>
      <c r="L51" s="39"/>
      <c r="M51" s="40">
        <f t="shared" si="0"/>
        <v>0.33498293694823961</v>
      </c>
      <c r="N51" s="39"/>
      <c r="O51" s="72" t="str">
        <f t="shared" si="16"/>
        <v/>
      </c>
      <c r="P51" s="41" t="str">
        <f t="shared" si="38"/>
        <v/>
      </c>
      <c r="Q51" s="39"/>
      <c r="R51" s="72" t="str">
        <f t="shared" si="51"/>
        <v/>
      </c>
      <c r="S51" s="39"/>
      <c r="T51" s="72" t="str">
        <f t="shared" si="18"/>
        <v/>
      </c>
      <c r="U51" s="39"/>
      <c r="V51" s="72" t="str">
        <f t="shared" si="39"/>
        <v/>
      </c>
      <c r="W51" s="72" t="str">
        <f t="shared" si="19"/>
        <v/>
      </c>
      <c r="X51" s="39"/>
      <c r="Y51" s="72" t="str">
        <f t="shared" si="40"/>
        <v/>
      </c>
      <c r="Z51" s="72" t="str">
        <f t="shared" si="20"/>
        <v/>
      </c>
      <c r="AA51" s="39"/>
      <c r="AB51" s="72" t="str">
        <f t="shared" si="4"/>
        <v/>
      </c>
      <c r="AC51" s="72" t="str">
        <f t="shared" si="21"/>
        <v/>
      </c>
      <c r="AD51" s="39"/>
      <c r="AE51" s="72" t="str">
        <f t="shared" si="41"/>
        <v/>
      </c>
      <c r="AF51" s="72" t="str">
        <f t="shared" si="22"/>
        <v/>
      </c>
      <c r="AG51" s="39"/>
      <c r="AH51" s="72" t="str">
        <f t="shared" si="42"/>
        <v/>
      </c>
      <c r="AI51" s="72" t="str">
        <f t="shared" si="23"/>
        <v/>
      </c>
      <c r="AJ51" s="39"/>
      <c r="AK51" s="72" t="str">
        <f t="shared" si="43"/>
        <v/>
      </c>
      <c r="AL51" s="72" t="str">
        <f t="shared" si="24"/>
        <v/>
      </c>
      <c r="AM51" s="39"/>
      <c r="AN51" s="72" t="str">
        <f t="shared" si="44"/>
        <v/>
      </c>
      <c r="AO51" s="72" t="str">
        <f t="shared" si="25"/>
        <v/>
      </c>
      <c r="AP51" s="39"/>
      <c r="AQ51" s="72" t="str">
        <f t="shared" si="45"/>
        <v/>
      </c>
      <c r="AR51" s="72" t="str">
        <f t="shared" si="26"/>
        <v/>
      </c>
      <c r="AS51" s="39"/>
      <c r="AT51" s="40" t="str">
        <f>IF($K51&lt;=$F$15,IF($F$40&lt;&gt;"",$F$40/1000,IF(ISERROR(VLOOKUP($F$3&amp;IF($G$4&lt;&gt;"",$G$4,"")&amp;IF($F$43&lt;&gt;"","_"&amp;$F$43,""),'表3）燃料価格'!$AF$9:$AG$25,2,0)),0,VLOOKUP($I51,'表3）燃料価格'!$A$6:$U$66,VLOOKUP($F$3&amp;IF($G$4&lt;&gt;"",$G$4,"")&amp;IF($F$43&lt;&gt;"","_"&amp;$F$43,""),'表3）燃料価格'!$AF$9:$AG$25,2,0)+VLOOKUP($F$41,'表3）燃料価格'!$AF$28:$AG$29,2,0),0)*IF($F$43="需要地価格",1,$F$8/$F$141))),"")</f>
        <v/>
      </c>
      <c r="AU51" s="39"/>
      <c r="AV51" s="72" t="str">
        <f t="shared" si="46"/>
        <v/>
      </c>
      <c r="AW51" s="72" t="str">
        <f t="shared" si="27"/>
        <v/>
      </c>
      <c r="AX51" s="39"/>
      <c r="AY51" s="40" t="str">
        <f>IF(ISERROR(IF($K51&lt;=$F$15,VLOOKUP($I51,'表4）CO2価格'!$A$7:$E$67,VLOOKUP($F$48,'表4）CO2価格'!$H$10:$I$12,2,0),0)*$F$8/1000,"")),0,IF($K51&lt;=$F$15,VLOOKUP($I51,'表4）CO2価格'!$A$7:$E$67,VLOOKUP($F$48,'表4）CO2価格'!$H$10:$I$12,2,0),0)*$F$8/1000,""))</f>
        <v/>
      </c>
      <c r="AZ51" s="39"/>
      <c r="BA51" s="42" t="str">
        <f t="shared" si="47"/>
        <v/>
      </c>
      <c r="BB51" s="72" t="str">
        <f t="shared" si="28"/>
        <v/>
      </c>
      <c r="BC51" s="39"/>
      <c r="BD51" s="72" t="str">
        <f t="shared" si="48"/>
        <v/>
      </c>
      <c r="BE51" s="72" t="str">
        <f t="shared" si="29"/>
        <v/>
      </c>
      <c r="BF51" s="39"/>
      <c r="BG51" s="42" t="str">
        <f t="shared" si="49"/>
        <v/>
      </c>
      <c r="BH51" s="72" t="str">
        <f t="shared" si="30"/>
        <v/>
      </c>
      <c r="BI51" s="39"/>
      <c r="BJ51" s="40" t="str">
        <f t="shared" si="31"/>
        <v/>
      </c>
      <c r="BK51" s="157" t="str">
        <f t="shared" si="32"/>
        <v/>
      </c>
      <c r="BL51" s="157" t="str">
        <f t="shared" si="14"/>
        <v/>
      </c>
      <c r="BM51" s="72"/>
      <c r="BN51" s="72" t="str">
        <f t="shared" si="33"/>
        <v/>
      </c>
      <c r="BO51" s="72" t="str">
        <f t="shared" si="34"/>
        <v/>
      </c>
      <c r="BP51" s="39"/>
      <c r="BQ51" s="72" t="str">
        <f t="shared" si="50"/>
        <v/>
      </c>
      <c r="BR51" s="72" t="str">
        <f t="shared" si="35"/>
        <v/>
      </c>
    </row>
    <row r="52" spans="3:70" x14ac:dyDescent="0.15">
      <c r="D52" s="81" t="s">
        <v>185</v>
      </c>
      <c r="F52" s="90"/>
      <c r="G52" s="81" t="s">
        <v>172</v>
      </c>
      <c r="I52" s="459">
        <f t="shared" si="36"/>
        <v>2057</v>
      </c>
      <c r="J52" s="71"/>
      <c r="K52" s="71">
        <f t="shared" si="37"/>
        <v>38</v>
      </c>
      <c r="L52" s="71"/>
      <c r="M52" s="7">
        <f t="shared" si="0"/>
        <v>0.3252261523769317</v>
      </c>
      <c r="N52" s="71"/>
      <c r="O52" s="10" t="str">
        <f t="shared" si="16"/>
        <v/>
      </c>
      <c r="P52" s="29" t="str">
        <f t="shared" si="38"/>
        <v/>
      </c>
      <c r="Q52" s="71"/>
      <c r="R52" s="10" t="str">
        <f t="shared" si="51"/>
        <v/>
      </c>
      <c r="S52" s="71"/>
      <c r="T52" s="10" t="str">
        <f t="shared" si="18"/>
        <v/>
      </c>
      <c r="U52" s="71"/>
      <c r="V52" s="10" t="str">
        <f t="shared" si="39"/>
        <v/>
      </c>
      <c r="W52" s="10" t="str">
        <f t="shared" si="19"/>
        <v/>
      </c>
      <c r="X52" s="71"/>
      <c r="Y52" s="10" t="str">
        <f t="shared" si="40"/>
        <v/>
      </c>
      <c r="Z52" s="10" t="str">
        <f t="shared" si="20"/>
        <v/>
      </c>
      <c r="AA52" s="71"/>
      <c r="AB52" s="10" t="str">
        <f t="shared" si="4"/>
        <v/>
      </c>
      <c r="AC52" s="10" t="str">
        <f t="shared" si="21"/>
        <v/>
      </c>
      <c r="AD52" s="71"/>
      <c r="AE52" s="10" t="str">
        <f t="shared" si="41"/>
        <v/>
      </c>
      <c r="AF52" s="10" t="str">
        <f t="shared" si="22"/>
        <v/>
      </c>
      <c r="AG52" s="71"/>
      <c r="AH52" s="10" t="str">
        <f t="shared" si="42"/>
        <v/>
      </c>
      <c r="AI52" s="10" t="str">
        <f t="shared" si="23"/>
        <v/>
      </c>
      <c r="AJ52" s="71"/>
      <c r="AK52" s="10" t="str">
        <f t="shared" si="43"/>
        <v/>
      </c>
      <c r="AL52" s="10" t="str">
        <f t="shared" si="24"/>
        <v/>
      </c>
      <c r="AM52" s="71"/>
      <c r="AN52" s="10" t="str">
        <f t="shared" si="44"/>
        <v/>
      </c>
      <c r="AO52" s="10" t="str">
        <f t="shared" si="25"/>
        <v/>
      </c>
      <c r="AP52" s="71"/>
      <c r="AQ52" s="10" t="str">
        <f t="shared" si="45"/>
        <v/>
      </c>
      <c r="AR52" s="10" t="str">
        <f t="shared" si="26"/>
        <v/>
      </c>
      <c r="AS52" s="71"/>
      <c r="AT52" s="7" t="str">
        <f>IF($K52&lt;=$F$15,IF($F$40&lt;&gt;"",$F$40/1000,IF(ISERROR(VLOOKUP($F$3&amp;IF($G$4&lt;&gt;"",$G$4,"")&amp;IF($F$43&lt;&gt;"","_"&amp;$F$43,""),'表3）燃料価格'!$AF$9:$AG$25,2,0)),0,VLOOKUP($I52,'表3）燃料価格'!$A$6:$U$66,VLOOKUP($F$3&amp;IF($G$4&lt;&gt;"",$G$4,"")&amp;IF($F$43&lt;&gt;"","_"&amp;$F$43,""),'表3）燃料価格'!$AF$9:$AG$25,2,0)+VLOOKUP($F$41,'表3）燃料価格'!$AF$28:$AG$29,2,0),0)*IF($F$43="需要地価格",1,$F$8/$F$141))),"")</f>
        <v/>
      </c>
      <c r="AU52" s="71"/>
      <c r="AV52" s="10" t="str">
        <f t="shared" si="46"/>
        <v/>
      </c>
      <c r="AW52" s="10" t="str">
        <f t="shared" si="27"/>
        <v/>
      </c>
      <c r="AX52" s="71"/>
      <c r="AY52" s="7" t="str">
        <f>IF(ISERROR(IF($K52&lt;=$F$15,VLOOKUP($I52,'表4）CO2価格'!$A$7:$E$67,VLOOKUP($F$48,'表4）CO2価格'!$H$10:$I$12,2,0),0)*$F$8/1000,"")),0,IF($K52&lt;=$F$15,VLOOKUP($I52,'表4）CO2価格'!$A$7:$E$67,VLOOKUP($F$48,'表4）CO2価格'!$H$10:$I$12,2,0),0)*$F$8/1000,""))</f>
        <v/>
      </c>
      <c r="AZ52" s="71"/>
      <c r="BA52" s="11" t="str">
        <f t="shared" si="47"/>
        <v/>
      </c>
      <c r="BB52" s="10" t="str">
        <f t="shared" si="28"/>
        <v/>
      </c>
      <c r="BC52" s="71"/>
      <c r="BD52" s="10" t="str">
        <f t="shared" si="48"/>
        <v/>
      </c>
      <c r="BE52" s="10" t="str">
        <f t="shared" si="29"/>
        <v/>
      </c>
      <c r="BF52" s="71"/>
      <c r="BG52" s="11" t="str">
        <f t="shared" si="49"/>
        <v/>
      </c>
      <c r="BH52" s="10" t="str">
        <f t="shared" si="30"/>
        <v/>
      </c>
      <c r="BJ52" s="7" t="str">
        <f t="shared" si="31"/>
        <v/>
      </c>
      <c r="BK52" s="158" t="str">
        <f t="shared" si="32"/>
        <v/>
      </c>
      <c r="BL52" s="158" t="str">
        <f t="shared" si="14"/>
        <v/>
      </c>
      <c r="BM52" s="10"/>
      <c r="BN52" s="10" t="str">
        <f t="shared" si="33"/>
        <v/>
      </c>
      <c r="BO52" s="10" t="str">
        <f t="shared" si="34"/>
        <v/>
      </c>
      <c r="BQ52" s="10" t="str">
        <f t="shared" si="50"/>
        <v/>
      </c>
      <c r="BR52" s="10" t="str">
        <f t="shared" si="35"/>
        <v/>
      </c>
    </row>
    <row r="53" spans="3:70" x14ac:dyDescent="0.15">
      <c r="D53" s="81" t="s">
        <v>186</v>
      </c>
      <c r="F53" s="66"/>
      <c r="G53" s="81" t="s">
        <v>172</v>
      </c>
      <c r="I53" s="458">
        <f t="shared" si="36"/>
        <v>2058</v>
      </c>
      <c r="J53" s="39"/>
      <c r="K53" s="39">
        <f t="shared" si="37"/>
        <v>39</v>
      </c>
      <c r="L53" s="39"/>
      <c r="M53" s="40">
        <f t="shared" si="0"/>
        <v>0.31575354599702099</v>
      </c>
      <c r="N53" s="39"/>
      <c r="O53" s="72" t="str">
        <f t="shared" si="16"/>
        <v/>
      </c>
      <c r="P53" s="41" t="str">
        <f t="shared" si="38"/>
        <v/>
      </c>
      <c r="Q53" s="39"/>
      <c r="R53" s="72" t="str">
        <f t="shared" si="51"/>
        <v/>
      </c>
      <c r="S53" s="39"/>
      <c r="T53" s="72" t="str">
        <f t="shared" si="18"/>
        <v/>
      </c>
      <c r="U53" s="39"/>
      <c r="V53" s="72" t="str">
        <f t="shared" si="39"/>
        <v/>
      </c>
      <c r="W53" s="72" t="str">
        <f t="shared" si="19"/>
        <v/>
      </c>
      <c r="X53" s="39"/>
      <c r="Y53" s="72" t="str">
        <f t="shared" si="40"/>
        <v/>
      </c>
      <c r="Z53" s="72" t="str">
        <f t="shared" si="20"/>
        <v/>
      </c>
      <c r="AA53" s="39"/>
      <c r="AB53" s="72" t="str">
        <f t="shared" si="4"/>
        <v/>
      </c>
      <c r="AC53" s="72" t="str">
        <f t="shared" si="21"/>
        <v/>
      </c>
      <c r="AD53" s="39"/>
      <c r="AE53" s="72" t="str">
        <f t="shared" si="41"/>
        <v/>
      </c>
      <c r="AF53" s="72" t="str">
        <f t="shared" si="22"/>
        <v/>
      </c>
      <c r="AG53" s="39"/>
      <c r="AH53" s="72" t="str">
        <f t="shared" si="42"/>
        <v/>
      </c>
      <c r="AI53" s="72" t="str">
        <f t="shared" si="23"/>
        <v/>
      </c>
      <c r="AJ53" s="39"/>
      <c r="AK53" s="72" t="str">
        <f t="shared" si="43"/>
        <v/>
      </c>
      <c r="AL53" s="72" t="str">
        <f t="shared" si="24"/>
        <v/>
      </c>
      <c r="AM53" s="39"/>
      <c r="AN53" s="72" t="str">
        <f t="shared" si="44"/>
        <v/>
      </c>
      <c r="AO53" s="72" t="str">
        <f t="shared" si="25"/>
        <v/>
      </c>
      <c r="AP53" s="39"/>
      <c r="AQ53" s="72" t="str">
        <f t="shared" si="45"/>
        <v/>
      </c>
      <c r="AR53" s="72" t="str">
        <f t="shared" si="26"/>
        <v/>
      </c>
      <c r="AS53" s="39"/>
      <c r="AT53" s="40" t="str">
        <f>IF($K53&lt;=$F$15,IF($F$40&lt;&gt;"",$F$40/1000,IF(ISERROR(VLOOKUP($F$3&amp;IF($G$4&lt;&gt;"",$G$4,"")&amp;IF($F$43&lt;&gt;"","_"&amp;$F$43,""),'表3）燃料価格'!$AF$9:$AG$25,2,0)),0,VLOOKUP($I53,'表3）燃料価格'!$A$6:$U$66,VLOOKUP($F$3&amp;IF($G$4&lt;&gt;"",$G$4,"")&amp;IF($F$43&lt;&gt;"","_"&amp;$F$43,""),'表3）燃料価格'!$AF$9:$AG$25,2,0)+VLOOKUP($F$41,'表3）燃料価格'!$AF$28:$AG$29,2,0),0)*IF($F$43="需要地価格",1,$F$8/$F$141))),"")</f>
        <v/>
      </c>
      <c r="AU53" s="39"/>
      <c r="AV53" s="72" t="str">
        <f t="shared" si="46"/>
        <v/>
      </c>
      <c r="AW53" s="72" t="str">
        <f t="shared" si="27"/>
        <v/>
      </c>
      <c r="AX53" s="39"/>
      <c r="AY53" s="40" t="str">
        <f>IF(ISERROR(IF($K53&lt;=$F$15,VLOOKUP($I53,'表4）CO2価格'!$A$7:$E$67,VLOOKUP($F$48,'表4）CO2価格'!$H$10:$I$12,2,0),0)*$F$8/1000,"")),0,IF($K53&lt;=$F$15,VLOOKUP($I53,'表4）CO2価格'!$A$7:$E$67,VLOOKUP($F$48,'表4）CO2価格'!$H$10:$I$12,2,0),0)*$F$8/1000,""))</f>
        <v/>
      </c>
      <c r="AZ53" s="39"/>
      <c r="BA53" s="42" t="str">
        <f t="shared" si="47"/>
        <v/>
      </c>
      <c r="BB53" s="72" t="str">
        <f t="shared" si="28"/>
        <v/>
      </c>
      <c r="BC53" s="39"/>
      <c r="BD53" s="72" t="str">
        <f t="shared" si="48"/>
        <v/>
      </c>
      <c r="BE53" s="72" t="str">
        <f t="shared" si="29"/>
        <v/>
      </c>
      <c r="BF53" s="39"/>
      <c r="BG53" s="42" t="str">
        <f t="shared" si="49"/>
        <v/>
      </c>
      <c r="BH53" s="72" t="str">
        <f t="shared" si="30"/>
        <v/>
      </c>
      <c r="BI53" s="39"/>
      <c r="BJ53" s="40" t="str">
        <f t="shared" si="31"/>
        <v/>
      </c>
      <c r="BK53" s="157" t="str">
        <f t="shared" si="32"/>
        <v/>
      </c>
      <c r="BL53" s="157" t="str">
        <f t="shared" si="14"/>
        <v/>
      </c>
      <c r="BM53" s="72"/>
      <c r="BN53" s="72" t="str">
        <f t="shared" si="33"/>
        <v/>
      </c>
      <c r="BO53" s="72" t="str">
        <f t="shared" si="34"/>
        <v/>
      </c>
      <c r="BP53" s="39"/>
      <c r="BQ53" s="72" t="str">
        <f t="shared" si="50"/>
        <v/>
      </c>
      <c r="BR53" s="72" t="str">
        <f t="shared" si="35"/>
        <v/>
      </c>
    </row>
    <row r="54" spans="3:70" x14ac:dyDescent="0.15">
      <c r="D54" s="81" t="s">
        <v>187</v>
      </c>
      <c r="F54" s="66"/>
      <c r="G54" s="81" t="s">
        <v>172</v>
      </c>
      <c r="I54" s="459">
        <f t="shared" si="36"/>
        <v>2059</v>
      </c>
      <c r="J54" s="71"/>
      <c r="K54" s="71">
        <f t="shared" si="37"/>
        <v>40</v>
      </c>
      <c r="L54" s="71"/>
      <c r="M54" s="7">
        <f t="shared" si="0"/>
        <v>0.30655684077380685</v>
      </c>
      <c r="N54" s="71"/>
      <c r="O54" s="10" t="str">
        <f t="shared" si="16"/>
        <v/>
      </c>
      <c r="P54" s="29" t="str">
        <f t="shared" si="38"/>
        <v/>
      </c>
      <c r="Q54" s="71"/>
      <c r="R54" s="10" t="str">
        <f t="shared" si="51"/>
        <v/>
      </c>
      <c r="S54" s="71"/>
      <c r="T54" s="10" t="str">
        <f t="shared" si="18"/>
        <v/>
      </c>
      <c r="U54" s="71"/>
      <c r="V54" s="10" t="str">
        <f t="shared" si="39"/>
        <v/>
      </c>
      <c r="W54" s="10" t="str">
        <f t="shared" si="19"/>
        <v/>
      </c>
      <c r="X54" s="71"/>
      <c r="Y54" s="10" t="str">
        <f t="shared" si="40"/>
        <v/>
      </c>
      <c r="Z54" s="10" t="str">
        <f t="shared" si="20"/>
        <v/>
      </c>
      <c r="AA54" s="71"/>
      <c r="AB54" s="10" t="str">
        <f t="shared" si="4"/>
        <v/>
      </c>
      <c r="AC54" s="10" t="str">
        <f t="shared" si="21"/>
        <v/>
      </c>
      <c r="AD54" s="71"/>
      <c r="AE54" s="10" t="str">
        <f t="shared" si="41"/>
        <v/>
      </c>
      <c r="AF54" s="10" t="str">
        <f t="shared" si="22"/>
        <v/>
      </c>
      <c r="AG54" s="71"/>
      <c r="AH54" s="10" t="str">
        <f t="shared" si="42"/>
        <v/>
      </c>
      <c r="AI54" s="10" t="str">
        <f t="shared" si="23"/>
        <v/>
      </c>
      <c r="AJ54" s="71"/>
      <c r="AK54" s="10" t="str">
        <f t="shared" si="43"/>
        <v/>
      </c>
      <c r="AL54" s="10" t="str">
        <f t="shared" si="24"/>
        <v/>
      </c>
      <c r="AM54" s="71"/>
      <c r="AN54" s="10" t="str">
        <f t="shared" si="44"/>
        <v/>
      </c>
      <c r="AO54" s="10" t="str">
        <f t="shared" si="25"/>
        <v/>
      </c>
      <c r="AP54" s="71"/>
      <c r="AQ54" s="10" t="str">
        <f t="shared" si="45"/>
        <v/>
      </c>
      <c r="AR54" s="10" t="str">
        <f t="shared" si="26"/>
        <v/>
      </c>
      <c r="AS54" s="71"/>
      <c r="AT54" s="7" t="str">
        <f>IF($K54&lt;=$F$15,IF($F$40&lt;&gt;"",$F$40/1000,IF(ISERROR(VLOOKUP($F$3&amp;IF($G$4&lt;&gt;"",$G$4,"")&amp;IF($F$43&lt;&gt;"","_"&amp;$F$43,""),'表3）燃料価格'!$AF$9:$AG$25,2,0)),0,VLOOKUP($I54,'表3）燃料価格'!$A$6:$U$66,VLOOKUP($F$3&amp;IF($G$4&lt;&gt;"",$G$4,"")&amp;IF($F$43&lt;&gt;"","_"&amp;$F$43,""),'表3）燃料価格'!$AF$9:$AG$25,2,0)+VLOOKUP($F$41,'表3）燃料価格'!$AF$28:$AG$29,2,0),0)*IF($F$43="需要地価格",1,$F$8/$F$141))),"")</f>
        <v/>
      </c>
      <c r="AU54" s="71"/>
      <c r="AV54" s="10" t="str">
        <f t="shared" si="46"/>
        <v/>
      </c>
      <c r="AW54" s="10" t="str">
        <f t="shared" si="27"/>
        <v/>
      </c>
      <c r="AX54" s="71"/>
      <c r="AY54" s="7" t="str">
        <f>IF(ISERROR(IF($K54&lt;=$F$15,VLOOKUP($I54,'表4）CO2価格'!$A$7:$E$67,VLOOKUP($F$48,'表4）CO2価格'!$H$10:$I$12,2,0),0)*$F$8/1000,"")),0,IF($K54&lt;=$F$15,VLOOKUP($I54,'表4）CO2価格'!$A$7:$E$67,VLOOKUP($F$48,'表4）CO2価格'!$H$10:$I$12,2,0),0)*$F$8/1000,""))</f>
        <v/>
      </c>
      <c r="AZ54" s="71"/>
      <c r="BA54" s="11" t="str">
        <f t="shared" si="47"/>
        <v/>
      </c>
      <c r="BB54" s="10" t="str">
        <f t="shared" si="28"/>
        <v/>
      </c>
      <c r="BC54" s="71"/>
      <c r="BD54" s="10" t="str">
        <f t="shared" si="48"/>
        <v/>
      </c>
      <c r="BE54" s="10" t="str">
        <f t="shared" si="29"/>
        <v/>
      </c>
      <c r="BF54" s="71"/>
      <c r="BG54" s="11" t="str">
        <f t="shared" si="49"/>
        <v/>
      </c>
      <c r="BH54" s="10" t="str">
        <f t="shared" si="30"/>
        <v/>
      </c>
      <c r="BJ54" s="7" t="str">
        <f t="shared" si="31"/>
        <v/>
      </c>
      <c r="BK54" s="158" t="str">
        <f t="shared" si="32"/>
        <v/>
      </c>
      <c r="BL54" s="158" t="str">
        <f t="shared" si="14"/>
        <v/>
      </c>
      <c r="BM54" s="10"/>
      <c r="BN54" s="10" t="str">
        <f t="shared" si="33"/>
        <v/>
      </c>
      <c r="BO54" s="10" t="str">
        <f t="shared" si="34"/>
        <v/>
      </c>
      <c r="BQ54" s="10" t="str">
        <f t="shared" si="50"/>
        <v/>
      </c>
      <c r="BR54" s="10" t="str">
        <f t="shared" si="35"/>
        <v/>
      </c>
    </row>
    <row r="55" spans="3:70" ht="16.5" x14ac:dyDescent="0.15">
      <c r="D55" s="81" t="s">
        <v>188</v>
      </c>
      <c r="F55" s="66"/>
      <c r="G55" s="9" t="s">
        <v>372</v>
      </c>
      <c r="I55" s="458">
        <f>I54+1</f>
        <v>2060</v>
      </c>
      <c r="J55" s="39"/>
      <c r="K55" s="39">
        <f>IF(I55&lt;&gt;"",K54+1,"")</f>
        <v>41</v>
      </c>
      <c r="L55" s="39"/>
      <c r="M55" s="40">
        <f t="shared" si="0"/>
        <v>0.29762800075126877</v>
      </c>
      <c r="N55" s="39"/>
      <c r="O55" s="72" t="str">
        <f t="shared" si="16"/>
        <v/>
      </c>
      <c r="P55" s="41" t="str">
        <f t="shared" si="38"/>
        <v/>
      </c>
      <c r="Q55" s="39"/>
      <c r="R55" s="72" t="str">
        <f t="shared" si="51"/>
        <v/>
      </c>
      <c r="S55" s="39"/>
      <c r="T55" s="72" t="str">
        <f t="shared" si="18"/>
        <v/>
      </c>
      <c r="U55" s="39"/>
      <c r="V55" s="72" t="str">
        <f t="shared" si="39"/>
        <v/>
      </c>
      <c r="W55" s="72" t="str">
        <f t="shared" si="19"/>
        <v/>
      </c>
      <c r="X55" s="39"/>
      <c r="Y55" s="72" t="str">
        <f t="shared" si="40"/>
        <v/>
      </c>
      <c r="Z55" s="72" t="str">
        <f t="shared" si="20"/>
        <v/>
      </c>
      <c r="AA55" s="39"/>
      <c r="AB55" s="72" t="str">
        <f t="shared" si="4"/>
        <v/>
      </c>
      <c r="AC55" s="72" t="str">
        <f t="shared" si="21"/>
        <v/>
      </c>
      <c r="AD55" s="39"/>
      <c r="AE55" s="72" t="str">
        <f t="shared" si="41"/>
        <v/>
      </c>
      <c r="AF55" s="72" t="str">
        <f t="shared" si="22"/>
        <v/>
      </c>
      <c r="AG55" s="39"/>
      <c r="AH55" s="72" t="str">
        <f t="shared" si="42"/>
        <v/>
      </c>
      <c r="AI55" s="72" t="str">
        <f t="shared" si="23"/>
        <v/>
      </c>
      <c r="AJ55" s="39"/>
      <c r="AK55" s="72" t="str">
        <f t="shared" si="43"/>
        <v/>
      </c>
      <c r="AL55" s="72" t="str">
        <f t="shared" si="24"/>
        <v/>
      </c>
      <c r="AM55" s="39"/>
      <c r="AN55" s="72" t="str">
        <f t="shared" si="44"/>
        <v/>
      </c>
      <c r="AO55" s="72" t="str">
        <f t="shared" si="25"/>
        <v/>
      </c>
      <c r="AP55" s="39"/>
      <c r="AQ55" s="72" t="str">
        <f t="shared" si="45"/>
        <v/>
      </c>
      <c r="AR55" s="72" t="str">
        <f t="shared" si="26"/>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46"/>
        <v/>
      </c>
      <c r="AW55" s="72" t="str">
        <f t="shared" si="27"/>
        <v/>
      </c>
      <c r="AX55" s="39"/>
      <c r="AY55" s="40" t="str">
        <f>IF(ISERROR(IF($K55&lt;=$F$15,VLOOKUP($I55,'表4）CO2価格'!$A$7:$E$67,VLOOKUP($F$48,'表4）CO2価格'!$H$10:$I$12,2,0),0)*$F$8/1000,"")),0,IF($K55&lt;=$F$15,VLOOKUP($I55,'表4）CO2価格'!$A$7:$E$67,VLOOKUP($F$48,'表4）CO2価格'!$H$10:$I$12,2,0),0)*$F$8/1000,""))</f>
        <v/>
      </c>
      <c r="AZ55" s="39"/>
      <c r="BA55" s="42" t="str">
        <f t="shared" si="47"/>
        <v/>
      </c>
      <c r="BB55" s="72" t="str">
        <f t="shared" si="28"/>
        <v/>
      </c>
      <c r="BC55" s="39"/>
      <c r="BD55" s="72" t="str">
        <f t="shared" si="48"/>
        <v/>
      </c>
      <c r="BE55" s="72" t="str">
        <f t="shared" si="29"/>
        <v/>
      </c>
      <c r="BF55" s="39"/>
      <c r="BG55" s="42" t="str">
        <f t="shared" si="49"/>
        <v/>
      </c>
      <c r="BH55" s="72" t="str">
        <f t="shared" si="30"/>
        <v/>
      </c>
      <c r="BI55" s="39"/>
      <c r="BJ55" s="40" t="str">
        <f t="shared" si="31"/>
        <v/>
      </c>
      <c r="BK55" s="157" t="str">
        <f t="shared" si="32"/>
        <v/>
      </c>
      <c r="BL55" s="157" t="str">
        <f t="shared" si="14"/>
        <v/>
      </c>
      <c r="BM55" s="72"/>
      <c r="BN55" s="72" t="str">
        <f t="shared" si="33"/>
        <v/>
      </c>
      <c r="BO55" s="72" t="str">
        <f t="shared" si="34"/>
        <v/>
      </c>
      <c r="BP55" s="39"/>
      <c r="BQ55" s="72" t="str">
        <f t="shared" si="50"/>
        <v/>
      </c>
      <c r="BR55" s="72" t="str">
        <f t="shared" si="35"/>
        <v/>
      </c>
    </row>
    <row r="56" spans="3:70" x14ac:dyDescent="0.15">
      <c r="D56" s="81" t="s">
        <v>189</v>
      </c>
      <c r="F56" s="59"/>
      <c r="G56" s="81" t="s">
        <v>181</v>
      </c>
      <c r="I56" s="459">
        <f t="shared" si="36"/>
        <v>2061</v>
      </c>
      <c r="J56" s="71"/>
      <c r="K56" s="71">
        <f t="shared" si="37"/>
        <v>42</v>
      </c>
      <c r="L56" s="71"/>
      <c r="M56" s="7">
        <f t="shared" si="0"/>
        <v>0.28895922403035801</v>
      </c>
      <c r="N56" s="71"/>
      <c r="O56" s="10" t="str">
        <f t="shared" si="16"/>
        <v/>
      </c>
      <c r="P56" s="29" t="str">
        <f t="shared" si="38"/>
        <v/>
      </c>
      <c r="Q56" s="71"/>
      <c r="R56" s="10" t="str">
        <f t="shared" si="51"/>
        <v/>
      </c>
      <c r="S56" s="71"/>
      <c r="T56" s="10" t="str">
        <f t="shared" si="18"/>
        <v/>
      </c>
      <c r="U56" s="71"/>
      <c r="V56" s="10" t="str">
        <f t="shared" si="39"/>
        <v/>
      </c>
      <c r="W56" s="10" t="str">
        <f t="shared" si="19"/>
        <v/>
      </c>
      <c r="X56" s="71"/>
      <c r="Y56" s="10" t="str">
        <f t="shared" si="40"/>
        <v/>
      </c>
      <c r="Z56" s="10" t="str">
        <f t="shared" si="20"/>
        <v/>
      </c>
      <c r="AA56" s="71"/>
      <c r="AB56" s="10" t="str">
        <f t="shared" si="4"/>
        <v/>
      </c>
      <c r="AC56" s="10" t="str">
        <f t="shared" si="21"/>
        <v/>
      </c>
      <c r="AD56" s="71"/>
      <c r="AE56" s="10" t="str">
        <f t="shared" si="41"/>
        <v/>
      </c>
      <c r="AF56" s="10" t="str">
        <f t="shared" si="22"/>
        <v/>
      </c>
      <c r="AG56" s="71"/>
      <c r="AH56" s="10" t="str">
        <f t="shared" si="42"/>
        <v/>
      </c>
      <c r="AI56" s="10" t="str">
        <f t="shared" si="23"/>
        <v/>
      </c>
      <c r="AJ56" s="71"/>
      <c r="AK56" s="10" t="str">
        <f t="shared" si="43"/>
        <v/>
      </c>
      <c r="AL56" s="10" t="str">
        <f t="shared" si="24"/>
        <v/>
      </c>
      <c r="AM56" s="71"/>
      <c r="AN56" s="10" t="str">
        <f t="shared" si="44"/>
        <v/>
      </c>
      <c r="AO56" s="10" t="str">
        <f t="shared" si="25"/>
        <v/>
      </c>
      <c r="AP56" s="71"/>
      <c r="AQ56" s="10" t="str">
        <f t="shared" si="45"/>
        <v/>
      </c>
      <c r="AR56" s="10" t="str">
        <f t="shared" si="26"/>
        <v/>
      </c>
      <c r="AS56" s="71"/>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U56" s="71"/>
      <c r="AV56" s="10" t="str">
        <f t="shared" si="46"/>
        <v/>
      </c>
      <c r="AW56" s="10" t="str">
        <f t="shared" si="27"/>
        <v/>
      </c>
      <c r="AX56" s="71"/>
      <c r="AY56" s="7" t="str">
        <f>IF(ISERROR(IF($K56&lt;=$F$15,VLOOKUP($I56,'表4）CO2価格'!$A$7:$E$67,VLOOKUP($F$48,'表4）CO2価格'!$H$10:$I$12,2,0),0)*$F$8/1000,"")),0,IF($K56&lt;=$F$15,VLOOKUP($I56,'表4）CO2価格'!$A$7:$E$67,VLOOKUP($F$48,'表4）CO2価格'!$H$10:$I$12,2,0),0)*$F$8/1000,""))</f>
        <v/>
      </c>
      <c r="AZ56" s="71"/>
      <c r="BA56" s="11" t="str">
        <f t="shared" si="47"/>
        <v/>
      </c>
      <c r="BB56" s="10" t="str">
        <f t="shared" si="28"/>
        <v/>
      </c>
      <c r="BC56" s="71"/>
      <c r="BD56" s="10" t="str">
        <f t="shared" si="48"/>
        <v/>
      </c>
      <c r="BE56" s="10" t="str">
        <f t="shared" si="29"/>
        <v/>
      </c>
      <c r="BF56" s="71"/>
      <c r="BG56" s="11" t="str">
        <f t="shared" si="49"/>
        <v/>
      </c>
      <c r="BH56" s="10" t="str">
        <f t="shared" si="30"/>
        <v/>
      </c>
      <c r="BJ56" s="7" t="str">
        <f t="shared" si="31"/>
        <v/>
      </c>
      <c r="BK56" s="158" t="str">
        <f t="shared" si="32"/>
        <v/>
      </c>
      <c r="BL56" s="158" t="str">
        <f t="shared" si="14"/>
        <v/>
      </c>
      <c r="BM56" s="10"/>
      <c r="BN56" s="10" t="str">
        <f t="shared" si="33"/>
        <v/>
      </c>
      <c r="BO56" s="10" t="str">
        <f t="shared" si="34"/>
        <v/>
      </c>
      <c r="BQ56" s="10" t="str">
        <f t="shared" si="50"/>
        <v/>
      </c>
      <c r="BR56" s="10" t="str">
        <f t="shared" si="35"/>
        <v/>
      </c>
    </row>
    <row r="57" spans="3:70" x14ac:dyDescent="0.15">
      <c r="I57" s="458">
        <f t="shared" si="36"/>
        <v>2062</v>
      </c>
      <c r="J57" s="39"/>
      <c r="K57" s="39">
        <f t="shared" si="37"/>
        <v>43</v>
      </c>
      <c r="L57" s="39"/>
      <c r="M57" s="40">
        <f t="shared" si="0"/>
        <v>0.28054293595180391</v>
      </c>
      <c r="N57" s="39"/>
      <c r="O57" s="72" t="str">
        <f t="shared" si="16"/>
        <v/>
      </c>
      <c r="P57" s="41" t="str">
        <f t="shared" si="38"/>
        <v/>
      </c>
      <c r="Q57" s="39"/>
      <c r="R57" s="72" t="str">
        <f t="shared" si="51"/>
        <v/>
      </c>
      <c r="S57" s="39"/>
      <c r="T57" s="72" t="str">
        <f t="shared" si="18"/>
        <v/>
      </c>
      <c r="U57" s="39"/>
      <c r="V57" s="72" t="str">
        <f t="shared" si="39"/>
        <v/>
      </c>
      <c r="W57" s="72" t="str">
        <f t="shared" si="19"/>
        <v/>
      </c>
      <c r="X57" s="39"/>
      <c r="Y57" s="72" t="str">
        <f t="shared" si="40"/>
        <v/>
      </c>
      <c r="Z57" s="72" t="str">
        <f t="shared" si="20"/>
        <v/>
      </c>
      <c r="AA57" s="39"/>
      <c r="AB57" s="72" t="str">
        <f t="shared" si="4"/>
        <v/>
      </c>
      <c r="AC57" s="72" t="str">
        <f t="shared" si="21"/>
        <v/>
      </c>
      <c r="AD57" s="39"/>
      <c r="AE57" s="72" t="str">
        <f t="shared" si="41"/>
        <v/>
      </c>
      <c r="AF57" s="72" t="str">
        <f t="shared" si="22"/>
        <v/>
      </c>
      <c r="AG57" s="39"/>
      <c r="AH57" s="72" t="str">
        <f t="shared" si="42"/>
        <v/>
      </c>
      <c r="AI57" s="72" t="str">
        <f t="shared" si="23"/>
        <v/>
      </c>
      <c r="AJ57" s="39"/>
      <c r="AK57" s="72" t="str">
        <f t="shared" si="43"/>
        <v/>
      </c>
      <c r="AL57" s="72" t="str">
        <f t="shared" si="24"/>
        <v/>
      </c>
      <c r="AM57" s="39"/>
      <c r="AN57" s="72" t="str">
        <f t="shared" si="44"/>
        <v/>
      </c>
      <c r="AO57" s="72" t="str">
        <f t="shared" si="25"/>
        <v/>
      </c>
      <c r="AP57" s="39"/>
      <c r="AQ57" s="72" t="str">
        <f t="shared" si="45"/>
        <v/>
      </c>
      <c r="AR57" s="72" t="str">
        <f t="shared" si="26"/>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46"/>
        <v/>
      </c>
      <c r="AW57" s="72" t="str">
        <f t="shared" si="27"/>
        <v/>
      </c>
      <c r="AX57" s="39"/>
      <c r="AY57" s="40" t="str">
        <f>IF(ISERROR(IF($K57&lt;=$F$15,VLOOKUP($I57,'表4）CO2価格'!$A$7:$E$67,VLOOKUP($F$48,'表4）CO2価格'!$H$10:$I$12,2,0),0)*$F$8/1000,"")),0,IF($K57&lt;=$F$15,VLOOKUP($I57,'表4）CO2価格'!$A$7:$E$67,VLOOKUP($F$48,'表4）CO2価格'!$H$10:$I$12,2,0),0)*$F$8/1000,""))</f>
        <v/>
      </c>
      <c r="AZ57" s="39"/>
      <c r="BA57" s="42" t="str">
        <f t="shared" si="47"/>
        <v/>
      </c>
      <c r="BB57" s="72" t="str">
        <f t="shared" si="28"/>
        <v/>
      </c>
      <c r="BC57" s="39"/>
      <c r="BD57" s="72" t="str">
        <f t="shared" si="48"/>
        <v/>
      </c>
      <c r="BE57" s="72" t="str">
        <f t="shared" si="29"/>
        <v/>
      </c>
      <c r="BF57" s="39"/>
      <c r="BG57" s="42" t="str">
        <f t="shared" si="49"/>
        <v/>
      </c>
      <c r="BH57" s="72" t="str">
        <f t="shared" si="30"/>
        <v/>
      </c>
      <c r="BI57" s="39"/>
      <c r="BJ57" s="40" t="str">
        <f t="shared" si="31"/>
        <v/>
      </c>
      <c r="BK57" s="157" t="str">
        <f t="shared" si="32"/>
        <v/>
      </c>
      <c r="BL57" s="157" t="str">
        <f t="shared" si="14"/>
        <v/>
      </c>
      <c r="BM57" s="72"/>
      <c r="BN57" s="72" t="str">
        <f t="shared" si="33"/>
        <v/>
      </c>
      <c r="BO57" s="72" t="str">
        <f t="shared" si="34"/>
        <v/>
      </c>
      <c r="BP57" s="39"/>
      <c r="BQ57" s="72" t="str">
        <f t="shared" si="50"/>
        <v/>
      </c>
      <c r="BR57" s="72" t="str">
        <f t="shared" si="35"/>
        <v/>
      </c>
    </row>
    <row r="58" spans="3:70" x14ac:dyDescent="0.15">
      <c r="C58" s="89" t="s">
        <v>512</v>
      </c>
      <c r="D58" s="101"/>
      <c r="E58" s="101"/>
      <c r="F58" s="89"/>
      <c r="G58" s="101"/>
      <c r="I58" s="459">
        <f t="shared" si="36"/>
        <v>2063</v>
      </c>
      <c r="J58" s="71"/>
      <c r="K58" s="71">
        <f t="shared" si="37"/>
        <v>44</v>
      </c>
      <c r="L58" s="71"/>
      <c r="M58" s="7">
        <f t="shared" si="0"/>
        <v>0.27237178247747956</v>
      </c>
      <c r="N58" s="71"/>
      <c r="O58" s="10" t="str">
        <f t="shared" si="16"/>
        <v/>
      </c>
      <c r="P58" s="29" t="str">
        <f t="shared" si="38"/>
        <v/>
      </c>
      <c r="Q58" s="71"/>
      <c r="R58" s="10" t="str">
        <f t="shared" si="51"/>
        <v/>
      </c>
      <c r="S58" s="71"/>
      <c r="T58" s="10" t="str">
        <f t="shared" si="18"/>
        <v/>
      </c>
      <c r="U58" s="71"/>
      <c r="V58" s="10" t="str">
        <f t="shared" si="39"/>
        <v/>
      </c>
      <c r="W58" s="10" t="str">
        <f t="shared" si="19"/>
        <v/>
      </c>
      <c r="X58" s="71"/>
      <c r="Y58" s="10" t="str">
        <f t="shared" si="40"/>
        <v/>
      </c>
      <c r="Z58" s="10" t="str">
        <f t="shared" si="20"/>
        <v/>
      </c>
      <c r="AA58" s="71"/>
      <c r="AB58" s="10" t="str">
        <f t="shared" si="4"/>
        <v/>
      </c>
      <c r="AC58" s="10" t="str">
        <f t="shared" si="21"/>
        <v/>
      </c>
      <c r="AD58" s="71"/>
      <c r="AE58" s="10" t="str">
        <f t="shared" si="41"/>
        <v/>
      </c>
      <c r="AF58" s="10" t="str">
        <f t="shared" si="22"/>
        <v/>
      </c>
      <c r="AG58" s="71"/>
      <c r="AH58" s="10" t="str">
        <f t="shared" si="42"/>
        <v/>
      </c>
      <c r="AI58" s="10" t="str">
        <f t="shared" si="23"/>
        <v/>
      </c>
      <c r="AJ58" s="71"/>
      <c r="AK58" s="10" t="str">
        <f t="shared" si="43"/>
        <v/>
      </c>
      <c r="AL58" s="10" t="str">
        <f t="shared" si="24"/>
        <v/>
      </c>
      <c r="AM58" s="71"/>
      <c r="AN58" s="10" t="str">
        <f t="shared" si="44"/>
        <v/>
      </c>
      <c r="AO58" s="10" t="str">
        <f t="shared" si="25"/>
        <v/>
      </c>
      <c r="AP58" s="71"/>
      <c r="AQ58" s="10" t="str">
        <f t="shared" si="45"/>
        <v/>
      </c>
      <c r="AR58" s="10" t="str">
        <f t="shared" si="26"/>
        <v/>
      </c>
      <c r="AS58" s="71"/>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U58" s="71"/>
      <c r="AV58" s="10" t="str">
        <f t="shared" si="46"/>
        <v/>
      </c>
      <c r="AW58" s="10" t="str">
        <f t="shared" si="27"/>
        <v/>
      </c>
      <c r="AX58" s="71"/>
      <c r="AY58" s="7" t="str">
        <f>IF(ISERROR(IF($K58&lt;=$F$15,VLOOKUP($I58,'表4）CO2価格'!$A$7:$E$67,VLOOKUP($F$48,'表4）CO2価格'!$H$10:$I$12,2,0),0)*$F$8/1000,"")),0,IF($K58&lt;=$F$15,VLOOKUP($I58,'表4）CO2価格'!$A$7:$E$67,VLOOKUP($F$48,'表4）CO2価格'!$H$10:$I$12,2,0),0)*$F$8/1000,""))</f>
        <v/>
      </c>
      <c r="AZ58" s="71"/>
      <c r="BA58" s="11" t="str">
        <f t="shared" si="47"/>
        <v/>
      </c>
      <c r="BB58" s="10" t="str">
        <f t="shared" si="28"/>
        <v/>
      </c>
      <c r="BC58" s="71"/>
      <c r="BD58" s="10" t="str">
        <f t="shared" si="48"/>
        <v/>
      </c>
      <c r="BE58" s="10" t="str">
        <f t="shared" si="29"/>
        <v/>
      </c>
      <c r="BF58" s="71"/>
      <c r="BG58" s="11" t="str">
        <f t="shared" si="49"/>
        <v/>
      </c>
      <c r="BH58" s="10" t="str">
        <f t="shared" si="30"/>
        <v/>
      </c>
      <c r="BJ58" s="7" t="str">
        <f t="shared" si="31"/>
        <v/>
      </c>
      <c r="BK58" s="158" t="str">
        <f t="shared" si="32"/>
        <v/>
      </c>
      <c r="BL58" s="158" t="str">
        <f t="shared" si="14"/>
        <v/>
      </c>
      <c r="BM58" s="10"/>
      <c r="BN58" s="10" t="str">
        <f t="shared" si="33"/>
        <v/>
      </c>
      <c r="BO58" s="10" t="str">
        <f t="shared" si="34"/>
        <v/>
      </c>
      <c r="BQ58" s="10" t="str">
        <f t="shared" si="50"/>
        <v/>
      </c>
      <c r="BR58" s="10" t="str">
        <f t="shared" si="35"/>
        <v/>
      </c>
    </row>
    <row r="59" spans="3:70" x14ac:dyDescent="0.15">
      <c r="I59" s="458">
        <f t="shared" si="36"/>
        <v>2064</v>
      </c>
      <c r="J59" s="39"/>
      <c r="K59" s="39">
        <f t="shared" si="37"/>
        <v>45</v>
      </c>
      <c r="L59" s="39"/>
      <c r="M59" s="40">
        <f t="shared" si="0"/>
        <v>0.26443862376454325</v>
      </c>
      <c r="N59" s="39"/>
      <c r="O59" s="72" t="str">
        <f t="shared" si="16"/>
        <v/>
      </c>
      <c r="P59" s="41" t="str">
        <f t="shared" si="38"/>
        <v/>
      </c>
      <c r="Q59" s="39"/>
      <c r="R59" s="72" t="str">
        <f t="shared" si="51"/>
        <v/>
      </c>
      <c r="S59" s="39"/>
      <c r="T59" s="72" t="str">
        <f t="shared" si="18"/>
        <v/>
      </c>
      <c r="U59" s="39"/>
      <c r="V59" s="72" t="str">
        <f t="shared" si="39"/>
        <v/>
      </c>
      <c r="W59" s="72" t="str">
        <f t="shared" si="19"/>
        <v/>
      </c>
      <c r="X59" s="39"/>
      <c r="Y59" s="72" t="str">
        <f t="shared" si="40"/>
        <v/>
      </c>
      <c r="Z59" s="72" t="str">
        <f t="shared" si="20"/>
        <v/>
      </c>
      <c r="AA59" s="39"/>
      <c r="AB59" s="72" t="str">
        <f t="shared" si="4"/>
        <v/>
      </c>
      <c r="AC59" s="72" t="str">
        <f t="shared" si="21"/>
        <v/>
      </c>
      <c r="AD59" s="39"/>
      <c r="AE59" s="72" t="str">
        <f t="shared" si="41"/>
        <v/>
      </c>
      <c r="AF59" s="72" t="str">
        <f t="shared" si="22"/>
        <v/>
      </c>
      <c r="AG59" s="39"/>
      <c r="AH59" s="72" t="str">
        <f t="shared" si="42"/>
        <v/>
      </c>
      <c r="AI59" s="72" t="str">
        <f t="shared" si="23"/>
        <v/>
      </c>
      <c r="AJ59" s="39"/>
      <c r="AK59" s="72" t="str">
        <f t="shared" si="43"/>
        <v/>
      </c>
      <c r="AL59" s="72" t="str">
        <f t="shared" si="24"/>
        <v/>
      </c>
      <c r="AM59" s="39"/>
      <c r="AN59" s="72" t="str">
        <f t="shared" si="44"/>
        <v/>
      </c>
      <c r="AO59" s="72" t="str">
        <f t="shared" si="25"/>
        <v/>
      </c>
      <c r="AP59" s="39"/>
      <c r="AQ59" s="72" t="str">
        <f t="shared" si="45"/>
        <v/>
      </c>
      <c r="AR59" s="72" t="str">
        <f t="shared" si="26"/>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46"/>
        <v/>
      </c>
      <c r="AW59" s="72" t="str">
        <f t="shared" si="27"/>
        <v/>
      </c>
      <c r="AX59" s="39"/>
      <c r="AY59" s="40" t="str">
        <f>IF(ISERROR(IF($K59&lt;=$F$15,VLOOKUP($I59,'表4）CO2価格'!$A$7:$E$67,VLOOKUP($F$48,'表4）CO2価格'!$H$10:$I$12,2,0),0)*$F$8/1000,"")),0,IF($K59&lt;=$F$15,VLOOKUP($I59,'表4）CO2価格'!$A$7:$E$67,VLOOKUP($F$48,'表4）CO2価格'!$H$10:$I$12,2,0),0)*$F$8/1000,""))</f>
        <v/>
      </c>
      <c r="AZ59" s="39"/>
      <c r="BA59" s="42" t="str">
        <f t="shared" si="47"/>
        <v/>
      </c>
      <c r="BB59" s="72" t="str">
        <f t="shared" si="28"/>
        <v/>
      </c>
      <c r="BC59" s="39"/>
      <c r="BD59" s="72" t="str">
        <f t="shared" si="48"/>
        <v/>
      </c>
      <c r="BE59" s="72" t="str">
        <f t="shared" si="29"/>
        <v/>
      </c>
      <c r="BF59" s="39"/>
      <c r="BG59" s="42" t="str">
        <f t="shared" si="49"/>
        <v/>
      </c>
      <c r="BH59" s="72" t="str">
        <f t="shared" si="30"/>
        <v/>
      </c>
      <c r="BI59" s="39"/>
      <c r="BJ59" s="40" t="str">
        <f t="shared" si="31"/>
        <v/>
      </c>
      <c r="BK59" s="157" t="str">
        <f t="shared" si="32"/>
        <v/>
      </c>
      <c r="BL59" s="157" t="str">
        <f t="shared" si="14"/>
        <v/>
      </c>
      <c r="BM59" s="72"/>
      <c r="BN59" s="72" t="str">
        <f t="shared" si="33"/>
        <v/>
      </c>
      <c r="BO59" s="72" t="str">
        <f t="shared" si="34"/>
        <v/>
      </c>
      <c r="BP59" s="39"/>
      <c r="BQ59" s="72" t="str">
        <f t="shared" si="50"/>
        <v/>
      </c>
      <c r="BR59" s="72" t="str">
        <f t="shared" si="35"/>
        <v/>
      </c>
    </row>
    <row r="60" spans="3:70" x14ac:dyDescent="0.15">
      <c r="D60" s="81" t="s">
        <v>128</v>
      </c>
      <c r="F60" s="59"/>
      <c r="G60" s="81" t="s">
        <v>176</v>
      </c>
      <c r="I60" s="459">
        <f t="shared" si="36"/>
        <v>2065</v>
      </c>
      <c r="J60" s="71"/>
      <c r="K60" s="71">
        <f t="shared" si="37"/>
        <v>46</v>
      </c>
      <c r="L60" s="71"/>
      <c r="M60" s="7">
        <f t="shared" si="0"/>
        <v>0.25673652792674101</v>
      </c>
      <c r="N60" s="71"/>
      <c r="O60" s="10" t="str">
        <f t="shared" si="16"/>
        <v/>
      </c>
      <c r="P60" s="29" t="str">
        <f t="shared" si="38"/>
        <v/>
      </c>
      <c r="Q60" s="71"/>
      <c r="R60" s="10" t="str">
        <f t="shared" si="51"/>
        <v/>
      </c>
      <c r="S60" s="71"/>
      <c r="T60" s="10" t="str">
        <f t="shared" si="18"/>
        <v/>
      </c>
      <c r="U60" s="71"/>
      <c r="V60" s="10" t="str">
        <f t="shared" si="39"/>
        <v/>
      </c>
      <c r="W60" s="10" t="str">
        <f t="shared" si="19"/>
        <v/>
      </c>
      <c r="X60" s="71"/>
      <c r="Y60" s="10" t="str">
        <f t="shared" si="40"/>
        <v/>
      </c>
      <c r="Z60" s="10" t="str">
        <f t="shared" si="20"/>
        <v/>
      </c>
      <c r="AA60" s="71"/>
      <c r="AB60" s="10" t="str">
        <f t="shared" si="4"/>
        <v/>
      </c>
      <c r="AC60" s="10" t="str">
        <f t="shared" si="21"/>
        <v/>
      </c>
      <c r="AD60" s="71"/>
      <c r="AE60" s="10" t="str">
        <f t="shared" si="41"/>
        <v/>
      </c>
      <c r="AF60" s="10" t="str">
        <f t="shared" si="22"/>
        <v/>
      </c>
      <c r="AG60" s="71"/>
      <c r="AH60" s="10" t="str">
        <f t="shared" si="42"/>
        <v/>
      </c>
      <c r="AI60" s="10" t="str">
        <f t="shared" si="23"/>
        <v/>
      </c>
      <c r="AJ60" s="71"/>
      <c r="AK60" s="10" t="str">
        <f t="shared" si="43"/>
        <v/>
      </c>
      <c r="AL60" s="10" t="str">
        <f t="shared" si="24"/>
        <v/>
      </c>
      <c r="AM60" s="71"/>
      <c r="AN60" s="10" t="str">
        <f t="shared" si="44"/>
        <v/>
      </c>
      <c r="AO60" s="10" t="str">
        <f t="shared" si="25"/>
        <v/>
      </c>
      <c r="AP60" s="71"/>
      <c r="AQ60" s="10" t="str">
        <f t="shared" si="45"/>
        <v/>
      </c>
      <c r="AR60" s="10" t="str">
        <f t="shared" si="26"/>
        <v/>
      </c>
      <c r="AS60" s="71"/>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U60" s="71"/>
      <c r="AV60" s="10" t="str">
        <f t="shared" si="46"/>
        <v/>
      </c>
      <c r="AW60" s="10" t="str">
        <f t="shared" si="27"/>
        <v/>
      </c>
      <c r="AX60" s="71"/>
      <c r="AY60" s="7" t="str">
        <f>IF(ISERROR(IF($K60&lt;=$F$15,VLOOKUP($I60,'表4）CO2価格'!$A$7:$E$67,VLOOKUP($F$48,'表4）CO2価格'!$H$10:$I$12,2,0),0)*$F$8/1000,"")),0,IF($K60&lt;=$F$15,VLOOKUP($I60,'表4）CO2価格'!$A$7:$E$67,VLOOKUP($F$48,'表4）CO2価格'!$H$10:$I$12,2,0),0)*$F$8/1000,""))</f>
        <v/>
      </c>
      <c r="AZ60" s="71"/>
      <c r="BA60" s="11" t="str">
        <f t="shared" si="47"/>
        <v/>
      </c>
      <c r="BB60" s="10" t="str">
        <f t="shared" si="28"/>
        <v/>
      </c>
      <c r="BC60" s="71"/>
      <c r="BD60" s="10" t="str">
        <f t="shared" si="48"/>
        <v/>
      </c>
      <c r="BE60" s="10" t="str">
        <f t="shared" si="29"/>
        <v/>
      </c>
      <c r="BF60" s="71"/>
      <c r="BG60" s="11" t="str">
        <f t="shared" si="49"/>
        <v/>
      </c>
      <c r="BH60" s="10" t="str">
        <f t="shared" si="30"/>
        <v/>
      </c>
      <c r="BJ60" s="7" t="str">
        <f t="shared" si="31"/>
        <v/>
      </c>
      <c r="BK60" s="158" t="str">
        <f t="shared" si="32"/>
        <v/>
      </c>
      <c r="BL60" s="158" t="str">
        <f t="shared" si="14"/>
        <v/>
      </c>
      <c r="BM60" s="10"/>
      <c r="BN60" s="10" t="str">
        <f t="shared" si="33"/>
        <v/>
      </c>
      <c r="BO60" s="10" t="str">
        <f t="shared" si="34"/>
        <v/>
      </c>
      <c r="BQ60" s="10" t="str">
        <f t="shared" si="50"/>
        <v/>
      </c>
      <c r="BR60" s="10" t="str">
        <f t="shared" si="35"/>
        <v/>
      </c>
    </row>
    <row r="61" spans="3:70" x14ac:dyDescent="0.15">
      <c r="D61" s="81" t="s">
        <v>190</v>
      </c>
      <c r="F61" s="66"/>
      <c r="G61" s="81" t="s">
        <v>108</v>
      </c>
      <c r="I61" s="458">
        <f t="shared" si="36"/>
        <v>2066</v>
      </c>
      <c r="J61" s="39"/>
      <c r="K61" s="39">
        <f t="shared" si="37"/>
        <v>47</v>
      </c>
      <c r="L61" s="39"/>
      <c r="M61" s="40">
        <f t="shared" si="0"/>
        <v>0.24925876497741845</v>
      </c>
      <c r="N61" s="39"/>
      <c r="O61" s="72" t="str">
        <f t="shared" si="16"/>
        <v/>
      </c>
      <c r="P61" s="41" t="str">
        <f t="shared" si="38"/>
        <v/>
      </c>
      <c r="Q61" s="39"/>
      <c r="R61" s="72" t="str">
        <f t="shared" si="51"/>
        <v/>
      </c>
      <c r="S61" s="39"/>
      <c r="T61" s="72" t="str">
        <f t="shared" si="18"/>
        <v/>
      </c>
      <c r="U61" s="39"/>
      <c r="V61" s="72" t="str">
        <f t="shared" si="39"/>
        <v/>
      </c>
      <c r="W61" s="72" t="str">
        <f t="shared" si="19"/>
        <v/>
      </c>
      <c r="X61" s="39"/>
      <c r="Y61" s="72" t="str">
        <f t="shared" si="40"/>
        <v/>
      </c>
      <c r="Z61" s="72" t="str">
        <f t="shared" si="20"/>
        <v/>
      </c>
      <c r="AA61" s="39"/>
      <c r="AB61" s="72" t="str">
        <f t="shared" si="4"/>
        <v/>
      </c>
      <c r="AC61" s="72" t="str">
        <f t="shared" si="21"/>
        <v/>
      </c>
      <c r="AD61" s="39"/>
      <c r="AE61" s="72" t="str">
        <f t="shared" si="41"/>
        <v/>
      </c>
      <c r="AF61" s="72" t="str">
        <f t="shared" si="22"/>
        <v/>
      </c>
      <c r="AG61" s="39"/>
      <c r="AH61" s="72" t="str">
        <f t="shared" si="42"/>
        <v/>
      </c>
      <c r="AI61" s="72" t="str">
        <f t="shared" si="23"/>
        <v/>
      </c>
      <c r="AJ61" s="39"/>
      <c r="AK61" s="72" t="str">
        <f t="shared" si="43"/>
        <v/>
      </c>
      <c r="AL61" s="72" t="str">
        <f t="shared" si="24"/>
        <v/>
      </c>
      <c r="AM61" s="39"/>
      <c r="AN61" s="72" t="str">
        <f t="shared" si="44"/>
        <v/>
      </c>
      <c r="AO61" s="72" t="str">
        <f t="shared" si="25"/>
        <v/>
      </c>
      <c r="AP61" s="39"/>
      <c r="AQ61" s="72" t="str">
        <f t="shared" si="45"/>
        <v/>
      </c>
      <c r="AR61" s="72" t="str">
        <f t="shared" si="26"/>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46"/>
        <v/>
      </c>
      <c r="AW61" s="72" t="str">
        <f t="shared" si="27"/>
        <v/>
      </c>
      <c r="AX61" s="39"/>
      <c r="AY61" s="40" t="str">
        <f>IF(ISERROR(IF($K61&lt;=$F$15,VLOOKUP($I61,'表4）CO2価格'!$A$7:$E$67,VLOOKUP($F$48,'表4）CO2価格'!$H$10:$I$12,2,0),0)*$F$8/1000,"")),0,IF($K61&lt;=$F$15,VLOOKUP($I61,'表4）CO2価格'!$A$7:$E$67,VLOOKUP($F$48,'表4）CO2価格'!$H$10:$I$12,2,0),0)*$F$8/1000,""))</f>
        <v/>
      </c>
      <c r="AZ61" s="39"/>
      <c r="BA61" s="42" t="str">
        <f t="shared" si="47"/>
        <v/>
      </c>
      <c r="BB61" s="72" t="str">
        <f t="shared" si="28"/>
        <v/>
      </c>
      <c r="BC61" s="39"/>
      <c r="BD61" s="72" t="str">
        <f t="shared" si="48"/>
        <v/>
      </c>
      <c r="BE61" s="72" t="str">
        <f t="shared" si="29"/>
        <v/>
      </c>
      <c r="BF61" s="39"/>
      <c r="BG61" s="42" t="str">
        <f t="shared" si="49"/>
        <v/>
      </c>
      <c r="BH61" s="72" t="str">
        <f t="shared" si="30"/>
        <v/>
      </c>
      <c r="BI61" s="39"/>
      <c r="BJ61" s="40" t="str">
        <f t="shared" si="31"/>
        <v/>
      </c>
      <c r="BK61" s="157" t="str">
        <f t="shared" si="32"/>
        <v/>
      </c>
      <c r="BL61" s="157" t="str">
        <f t="shared" si="14"/>
        <v/>
      </c>
      <c r="BM61" s="72"/>
      <c r="BN61" s="72" t="str">
        <f t="shared" si="33"/>
        <v/>
      </c>
      <c r="BO61" s="72" t="str">
        <f t="shared" si="34"/>
        <v/>
      </c>
      <c r="BP61" s="39"/>
      <c r="BQ61" s="72" t="str">
        <f t="shared" si="50"/>
        <v/>
      </c>
      <c r="BR61" s="72" t="str">
        <f t="shared" si="35"/>
        <v/>
      </c>
    </row>
    <row r="62" spans="3:70" x14ac:dyDescent="0.15">
      <c r="D62" s="81" t="s">
        <v>131</v>
      </c>
      <c r="F62" s="59"/>
      <c r="G62" s="81" t="s">
        <v>191</v>
      </c>
      <c r="I62" s="459">
        <f t="shared" si="36"/>
        <v>2067</v>
      </c>
      <c r="J62" s="71"/>
      <c r="K62" s="71">
        <f t="shared" si="37"/>
        <v>48</v>
      </c>
      <c r="L62" s="71"/>
      <c r="M62" s="7">
        <f t="shared" si="0"/>
        <v>0.24199880094894996</v>
      </c>
      <c r="N62" s="71"/>
      <c r="O62" s="10" t="str">
        <f t="shared" si="16"/>
        <v/>
      </c>
      <c r="P62" s="29" t="str">
        <f t="shared" si="38"/>
        <v/>
      </c>
      <c r="Q62" s="71"/>
      <c r="R62" s="10" t="str">
        <f t="shared" si="51"/>
        <v/>
      </c>
      <c r="S62" s="71"/>
      <c r="T62" s="10" t="str">
        <f t="shared" si="18"/>
        <v/>
      </c>
      <c r="U62" s="71"/>
      <c r="V62" s="10" t="str">
        <f t="shared" si="39"/>
        <v/>
      </c>
      <c r="W62" s="10" t="str">
        <f t="shared" si="19"/>
        <v/>
      </c>
      <c r="X62" s="71"/>
      <c r="Y62" s="10" t="str">
        <f t="shared" si="40"/>
        <v/>
      </c>
      <c r="Z62" s="10" t="str">
        <f t="shared" si="20"/>
        <v/>
      </c>
      <c r="AA62" s="71"/>
      <c r="AB62" s="10" t="str">
        <f t="shared" si="4"/>
        <v/>
      </c>
      <c r="AC62" s="10" t="str">
        <f t="shared" si="21"/>
        <v/>
      </c>
      <c r="AD62" s="71"/>
      <c r="AE62" s="10" t="str">
        <f t="shared" si="41"/>
        <v/>
      </c>
      <c r="AF62" s="10" t="str">
        <f t="shared" si="22"/>
        <v/>
      </c>
      <c r="AG62" s="71"/>
      <c r="AH62" s="10" t="str">
        <f t="shared" si="42"/>
        <v/>
      </c>
      <c r="AI62" s="10" t="str">
        <f t="shared" si="23"/>
        <v/>
      </c>
      <c r="AJ62" s="71"/>
      <c r="AK62" s="10" t="str">
        <f t="shared" si="43"/>
        <v/>
      </c>
      <c r="AL62" s="10" t="str">
        <f t="shared" si="24"/>
        <v/>
      </c>
      <c r="AM62" s="71"/>
      <c r="AN62" s="10" t="str">
        <f t="shared" si="44"/>
        <v/>
      </c>
      <c r="AO62" s="10" t="str">
        <f t="shared" si="25"/>
        <v/>
      </c>
      <c r="AP62" s="71"/>
      <c r="AQ62" s="10" t="str">
        <f t="shared" si="45"/>
        <v/>
      </c>
      <c r="AR62" s="10" t="str">
        <f t="shared" si="26"/>
        <v/>
      </c>
      <c r="AS62" s="71"/>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U62" s="71"/>
      <c r="AV62" s="10" t="str">
        <f t="shared" si="46"/>
        <v/>
      </c>
      <c r="AW62" s="10" t="str">
        <f t="shared" si="27"/>
        <v/>
      </c>
      <c r="AX62" s="71"/>
      <c r="AY62" s="7" t="str">
        <f>IF(ISERROR(IF($K62&lt;=$F$15,VLOOKUP($I62,'表4）CO2価格'!$A$7:$E$67,VLOOKUP($F$48,'表4）CO2価格'!$H$10:$I$12,2,0),0)*$F$8/1000,"")),0,IF($K62&lt;=$F$15,VLOOKUP($I62,'表4）CO2価格'!$A$7:$E$67,VLOOKUP($F$48,'表4）CO2価格'!$H$10:$I$12,2,0),0)*$F$8/1000,""))</f>
        <v/>
      </c>
      <c r="AZ62" s="71"/>
      <c r="BA62" s="11" t="str">
        <f t="shared" si="47"/>
        <v/>
      </c>
      <c r="BB62" s="10" t="str">
        <f t="shared" si="28"/>
        <v/>
      </c>
      <c r="BC62" s="71"/>
      <c r="BD62" s="10" t="str">
        <f t="shared" si="48"/>
        <v/>
      </c>
      <c r="BE62" s="10" t="str">
        <f t="shared" si="29"/>
        <v/>
      </c>
      <c r="BF62" s="71"/>
      <c r="BG62" s="11" t="str">
        <f t="shared" si="49"/>
        <v/>
      </c>
      <c r="BH62" s="10" t="str">
        <f t="shared" si="30"/>
        <v/>
      </c>
      <c r="BJ62" s="7" t="str">
        <f t="shared" si="31"/>
        <v/>
      </c>
      <c r="BK62" s="158" t="str">
        <f t="shared" si="32"/>
        <v/>
      </c>
      <c r="BL62" s="158" t="str">
        <f t="shared" si="14"/>
        <v/>
      </c>
      <c r="BM62" s="10"/>
      <c r="BN62" s="10" t="str">
        <f t="shared" si="33"/>
        <v/>
      </c>
      <c r="BO62" s="10" t="str">
        <f t="shared" si="34"/>
        <v/>
      </c>
      <c r="BQ62" s="10" t="str">
        <f t="shared" si="50"/>
        <v/>
      </c>
      <c r="BR62" s="10" t="str">
        <f t="shared" si="35"/>
        <v/>
      </c>
    </row>
    <row r="63" spans="3:70" x14ac:dyDescent="0.15">
      <c r="I63" s="458">
        <f t="shared" si="36"/>
        <v>2068</v>
      </c>
      <c r="J63" s="39"/>
      <c r="K63" s="39">
        <f t="shared" si="37"/>
        <v>49</v>
      </c>
      <c r="L63" s="39"/>
      <c r="M63" s="40">
        <f t="shared" si="0"/>
        <v>0.2349502921834466</v>
      </c>
      <c r="N63" s="39"/>
      <c r="O63" s="72" t="str">
        <f t="shared" si="16"/>
        <v/>
      </c>
      <c r="P63" s="41" t="str">
        <f t="shared" si="38"/>
        <v/>
      </c>
      <c r="Q63" s="39"/>
      <c r="R63" s="72" t="str">
        <f t="shared" si="51"/>
        <v/>
      </c>
      <c r="S63" s="39"/>
      <c r="T63" s="72" t="str">
        <f t="shared" si="18"/>
        <v/>
      </c>
      <c r="U63" s="39"/>
      <c r="V63" s="72" t="str">
        <f t="shared" si="39"/>
        <v/>
      </c>
      <c r="W63" s="72" t="str">
        <f t="shared" si="19"/>
        <v/>
      </c>
      <c r="X63" s="39"/>
      <c r="Y63" s="72" t="str">
        <f t="shared" si="40"/>
        <v/>
      </c>
      <c r="Z63" s="72" t="str">
        <f t="shared" si="20"/>
        <v/>
      </c>
      <c r="AA63" s="39"/>
      <c r="AB63" s="72" t="str">
        <f t="shared" si="4"/>
        <v/>
      </c>
      <c r="AC63" s="72" t="str">
        <f t="shared" si="21"/>
        <v/>
      </c>
      <c r="AD63" s="39"/>
      <c r="AE63" s="72" t="str">
        <f t="shared" si="41"/>
        <v/>
      </c>
      <c r="AF63" s="72" t="str">
        <f t="shared" si="22"/>
        <v/>
      </c>
      <c r="AG63" s="39"/>
      <c r="AH63" s="72" t="str">
        <f t="shared" si="42"/>
        <v/>
      </c>
      <c r="AI63" s="72" t="str">
        <f t="shared" si="23"/>
        <v/>
      </c>
      <c r="AJ63" s="39"/>
      <c r="AK63" s="72" t="str">
        <f t="shared" si="43"/>
        <v/>
      </c>
      <c r="AL63" s="72" t="str">
        <f t="shared" si="24"/>
        <v/>
      </c>
      <c r="AM63" s="39"/>
      <c r="AN63" s="72" t="str">
        <f t="shared" si="44"/>
        <v/>
      </c>
      <c r="AO63" s="72" t="str">
        <f t="shared" si="25"/>
        <v/>
      </c>
      <c r="AP63" s="39"/>
      <c r="AQ63" s="72" t="str">
        <f t="shared" si="45"/>
        <v/>
      </c>
      <c r="AR63" s="72" t="str">
        <f t="shared" si="26"/>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46"/>
        <v/>
      </c>
      <c r="AW63" s="72" t="str">
        <f t="shared" si="27"/>
        <v/>
      </c>
      <c r="AX63" s="39"/>
      <c r="AY63" s="40" t="str">
        <f>IF(ISERROR(IF($K63&lt;=$F$15,VLOOKUP($I63,'表4）CO2価格'!$A$7:$E$67,VLOOKUP($F$48,'表4）CO2価格'!$H$10:$I$12,2,0),0)*$F$8/1000,"")),0,IF($K63&lt;=$F$15,VLOOKUP($I63,'表4）CO2価格'!$A$7:$E$67,VLOOKUP($F$48,'表4）CO2価格'!$H$10:$I$12,2,0),0)*$F$8/1000,""))</f>
        <v/>
      </c>
      <c r="AZ63" s="39"/>
      <c r="BA63" s="42" t="str">
        <f t="shared" si="47"/>
        <v/>
      </c>
      <c r="BB63" s="72" t="str">
        <f t="shared" si="28"/>
        <v/>
      </c>
      <c r="BC63" s="39"/>
      <c r="BD63" s="72" t="str">
        <f t="shared" si="48"/>
        <v/>
      </c>
      <c r="BE63" s="72" t="str">
        <f t="shared" si="29"/>
        <v/>
      </c>
      <c r="BF63" s="39"/>
      <c r="BG63" s="42" t="str">
        <f t="shared" si="49"/>
        <v/>
      </c>
      <c r="BH63" s="72" t="str">
        <f t="shared" si="30"/>
        <v/>
      </c>
      <c r="BI63" s="39"/>
      <c r="BJ63" s="40" t="str">
        <f t="shared" si="31"/>
        <v/>
      </c>
      <c r="BK63" s="157" t="str">
        <f t="shared" si="32"/>
        <v/>
      </c>
      <c r="BL63" s="157" t="str">
        <f t="shared" si="14"/>
        <v/>
      </c>
      <c r="BM63" s="72"/>
      <c r="BN63" s="72" t="str">
        <f t="shared" si="33"/>
        <v/>
      </c>
      <c r="BO63" s="72" t="str">
        <f t="shared" si="34"/>
        <v/>
      </c>
      <c r="BP63" s="39"/>
      <c r="BQ63" s="72" t="str">
        <f t="shared" si="50"/>
        <v/>
      </c>
      <c r="BR63" s="72" t="str">
        <f t="shared" si="35"/>
        <v/>
      </c>
    </row>
    <row r="64" spans="3:70" x14ac:dyDescent="0.15">
      <c r="C64" s="9" t="s">
        <v>513</v>
      </c>
      <c r="F64" s="67">
        <v>0.47733799999999998</v>
      </c>
      <c r="G64" s="81" t="s">
        <v>132</v>
      </c>
      <c r="I64" s="459">
        <f t="shared" si="36"/>
        <v>2069</v>
      </c>
      <c r="J64" s="71"/>
      <c r="K64" s="71">
        <f t="shared" si="37"/>
        <v>50</v>
      </c>
      <c r="L64" s="71"/>
      <c r="M64" s="7">
        <f t="shared" si="0"/>
        <v>0.22810707978975397</v>
      </c>
      <c r="N64" s="71"/>
      <c r="O64" s="10" t="str">
        <f t="shared" si="16"/>
        <v/>
      </c>
      <c r="P64" s="29" t="str">
        <f t="shared" si="38"/>
        <v/>
      </c>
      <c r="Q64" s="71"/>
      <c r="R64" s="10" t="str">
        <f t="shared" si="51"/>
        <v/>
      </c>
      <c r="S64" s="71"/>
      <c r="T64" s="10" t="str">
        <f t="shared" si="18"/>
        <v/>
      </c>
      <c r="U64" s="71"/>
      <c r="V64" s="10" t="str">
        <f t="shared" si="39"/>
        <v/>
      </c>
      <c r="W64" s="10" t="str">
        <f t="shared" si="19"/>
        <v/>
      </c>
      <c r="X64" s="71"/>
      <c r="Y64" s="10" t="str">
        <f t="shared" si="40"/>
        <v/>
      </c>
      <c r="Z64" s="10" t="str">
        <f t="shared" si="20"/>
        <v/>
      </c>
      <c r="AA64" s="71"/>
      <c r="AB64" s="10" t="str">
        <f t="shared" si="4"/>
        <v/>
      </c>
      <c r="AC64" s="10" t="str">
        <f t="shared" si="21"/>
        <v/>
      </c>
      <c r="AD64" s="71"/>
      <c r="AE64" s="10" t="str">
        <f t="shared" si="41"/>
        <v/>
      </c>
      <c r="AF64" s="10" t="str">
        <f t="shared" si="22"/>
        <v/>
      </c>
      <c r="AG64" s="71"/>
      <c r="AH64" s="10" t="str">
        <f t="shared" si="42"/>
        <v/>
      </c>
      <c r="AI64" s="10" t="str">
        <f t="shared" si="23"/>
        <v/>
      </c>
      <c r="AJ64" s="71"/>
      <c r="AK64" s="10" t="str">
        <f t="shared" si="43"/>
        <v/>
      </c>
      <c r="AL64" s="10" t="str">
        <f t="shared" si="24"/>
        <v/>
      </c>
      <c r="AM64" s="71"/>
      <c r="AN64" s="10" t="str">
        <f t="shared" si="44"/>
        <v/>
      </c>
      <c r="AO64" s="10" t="str">
        <f t="shared" si="25"/>
        <v/>
      </c>
      <c r="AP64" s="71"/>
      <c r="AQ64" s="10" t="str">
        <f t="shared" si="45"/>
        <v/>
      </c>
      <c r="AR64" s="10" t="str">
        <f t="shared" si="26"/>
        <v/>
      </c>
      <c r="AS64" s="71"/>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U64" s="71"/>
      <c r="AV64" s="10" t="str">
        <f t="shared" si="46"/>
        <v/>
      </c>
      <c r="AW64" s="10" t="str">
        <f t="shared" si="27"/>
        <v/>
      </c>
      <c r="AX64" s="71"/>
      <c r="AY64" s="7" t="str">
        <f>IF(ISERROR(IF($K64&lt;=$F$15,VLOOKUP($I64,'表4）CO2価格'!$A$7:$E$67,VLOOKUP($F$48,'表4）CO2価格'!$H$10:$I$12,2,0),0)*$F$8/1000,"")),0,IF($K64&lt;=$F$15,VLOOKUP($I64,'表4）CO2価格'!$A$7:$E$67,VLOOKUP($F$48,'表4）CO2価格'!$H$10:$I$12,2,0),0)*$F$8/1000,""))</f>
        <v/>
      </c>
      <c r="AZ64" s="71"/>
      <c r="BA64" s="11" t="str">
        <f t="shared" si="47"/>
        <v/>
      </c>
      <c r="BB64" s="10" t="str">
        <f t="shared" si="28"/>
        <v/>
      </c>
      <c r="BC64" s="71"/>
      <c r="BD64" s="10" t="str">
        <f t="shared" si="48"/>
        <v/>
      </c>
      <c r="BE64" s="10" t="str">
        <f t="shared" si="29"/>
        <v/>
      </c>
      <c r="BF64" s="71"/>
      <c r="BG64" s="11" t="str">
        <f t="shared" si="49"/>
        <v/>
      </c>
      <c r="BH64" s="10" t="str">
        <f t="shared" si="30"/>
        <v/>
      </c>
      <c r="BJ64" s="7" t="str">
        <f t="shared" si="31"/>
        <v/>
      </c>
      <c r="BK64" s="158" t="str">
        <f t="shared" si="32"/>
        <v/>
      </c>
      <c r="BL64" s="158" t="str">
        <f t="shared" si="14"/>
        <v/>
      </c>
      <c r="BM64" s="10"/>
      <c r="BN64" s="10" t="str">
        <f t="shared" si="33"/>
        <v/>
      </c>
      <c r="BO64" s="10" t="str">
        <f t="shared" si="34"/>
        <v/>
      </c>
      <c r="BQ64" s="10" t="str">
        <f t="shared" si="50"/>
        <v/>
      </c>
      <c r="BR64" s="10" t="str">
        <f t="shared" si="35"/>
        <v/>
      </c>
    </row>
    <row r="65" spans="2:70" x14ac:dyDescent="0.15">
      <c r="I65" s="458">
        <f t="shared" si="36"/>
        <v>2070</v>
      </c>
      <c r="J65" s="39"/>
      <c r="K65" s="39">
        <f t="shared" si="37"/>
        <v>51</v>
      </c>
      <c r="L65" s="39"/>
      <c r="M65" s="40">
        <f t="shared" si="0"/>
        <v>0.22146318426189707</v>
      </c>
      <c r="N65" s="39"/>
      <c r="O65" s="72" t="str">
        <f t="shared" si="16"/>
        <v/>
      </c>
      <c r="P65" s="41" t="str">
        <f t="shared" si="38"/>
        <v/>
      </c>
      <c r="Q65" s="39"/>
      <c r="R65" s="72" t="str">
        <f t="shared" si="51"/>
        <v/>
      </c>
      <c r="S65" s="39"/>
      <c r="T65" s="72" t="str">
        <f t="shared" si="18"/>
        <v/>
      </c>
      <c r="U65" s="39"/>
      <c r="V65" s="72" t="str">
        <f t="shared" si="39"/>
        <v/>
      </c>
      <c r="W65" s="72" t="str">
        <f t="shared" si="19"/>
        <v/>
      </c>
      <c r="X65" s="39"/>
      <c r="Y65" s="72" t="str">
        <f t="shared" si="40"/>
        <v/>
      </c>
      <c r="Z65" s="72" t="str">
        <f t="shared" si="20"/>
        <v/>
      </c>
      <c r="AA65" s="39"/>
      <c r="AB65" s="72" t="str">
        <f t="shared" si="4"/>
        <v/>
      </c>
      <c r="AC65" s="72" t="str">
        <f t="shared" si="21"/>
        <v/>
      </c>
      <c r="AD65" s="39"/>
      <c r="AE65" s="72" t="str">
        <f t="shared" si="41"/>
        <v/>
      </c>
      <c r="AF65" s="72" t="str">
        <f t="shared" si="22"/>
        <v/>
      </c>
      <c r="AG65" s="39"/>
      <c r="AH65" s="72" t="str">
        <f t="shared" si="42"/>
        <v/>
      </c>
      <c r="AI65" s="72" t="str">
        <f t="shared" si="23"/>
        <v/>
      </c>
      <c r="AJ65" s="39"/>
      <c r="AK65" s="72" t="str">
        <f t="shared" si="43"/>
        <v/>
      </c>
      <c r="AL65" s="72" t="str">
        <f t="shared" si="24"/>
        <v/>
      </c>
      <c r="AM65" s="39"/>
      <c r="AN65" s="72" t="str">
        <f t="shared" si="44"/>
        <v/>
      </c>
      <c r="AO65" s="72" t="str">
        <f t="shared" si="25"/>
        <v/>
      </c>
      <c r="AP65" s="39"/>
      <c r="AQ65" s="72" t="str">
        <f t="shared" si="45"/>
        <v/>
      </c>
      <c r="AR65" s="72" t="str">
        <f t="shared" si="26"/>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46"/>
        <v/>
      </c>
      <c r="AW65" s="72" t="str">
        <f t="shared" si="27"/>
        <v/>
      </c>
      <c r="AX65" s="39"/>
      <c r="AY65" s="40" t="str">
        <f>IF(ISERROR(IF($K65&lt;=$F$15,VLOOKUP($I65,'表4）CO2価格'!$A$7:$E$67,VLOOKUP($F$48,'表4）CO2価格'!$H$10:$I$12,2,0),0)*$F$8/1000,"")),0,IF($K65&lt;=$F$15,VLOOKUP($I65,'表4）CO2価格'!$A$7:$E$67,VLOOKUP($F$48,'表4）CO2価格'!$H$10:$I$12,2,0),0)*$F$8/1000,""))</f>
        <v/>
      </c>
      <c r="AZ65" s="39"/>
      <c r="BA65" s="42" t="str">
        <f t="shared" si="47"/>
        <v/>
      </c>
      <c r="BB65" s="72" t="str">
        <f t="shared" si="28"/>
        <v/>
      </c>
      <c r="BC65" s="39"/>
      <c r="BD65" s="72" t="str">
        <f t="shared" si="48"/>
        <v/>
      </c>
      <c r="BE65" s="72" t="str">
        <f t="shared" si="29"/>
        <v/>
      </c>
      <c r="BF65" s="39"/>
      <c r="BG65" s="42" t="str">
        <f t="shared" si="49"/>
        <v/>
      </c>
      <c r="BH65" s="72" t="str">
        <f t="shared" si="30"/>
        <v/>
      </c>
      <c r="BI65" s="39"/>
      <c r="BJ65" s="40" t="str">
        <f t="shared" si="31"/>
        <v/>
      </c>
      <c r="BK65" s="157" t="str">
        <f t="shared" si="32"/>
        <v/>
      </c>
      <c r="BL65" s="157" t="str">
        <f t="shared" si="14"/>
        <v/>
      </c>
      <c r="BM65" s="72"/>
      <c r="BN65" s="72" t="str">
        <f t="shared" si="33"/>
        <v/>
      </c>
      <c r="BO65" s="72" t="str">
        <f t="shared" si="34"/>
        <v/>
      </c>
      <c r="BP65" s="39"/>
      <c r="BQ65" s="72" t="str">
        <f t="shared" si="50"/>
        <v/>
      </c>
      <c r="BR65" s="72" t="str">
        <f t="shared" si="35"/>
        <v/>
      </c>
    </row>
    <row r="66" spans="2:70" x14ac:dyDescent="0.15">
      <c r="I66" s="459">
        <f t="shared" si="36"/>
        <v>2071</v>
      </c>
      <c r="J66" s="71"/>
      <c r="K66" s="71">
        <f t="shared" si="37"/>
        <v>52</v>
      </c>
      <c r="L66" s="71"/>
      <c r="M66" s="7">
        <f t="shared" si="0"/>
        <v>0.215012800254269</v>
      </c>
      <c r="N66" s="71"/>
      <c r="O66" s="10" t="str">
        <f t="shared" si="16"/>
        <v/>
      </c>
      <c r="P66" s="29" t="str">
        <f t="shared" si="38"/>
        <v/>
      </c>
      <c r="Q66" s="71"/>
      <c r="R66" s="10" t="str">
        <f t="shared" si="51"/>
        <v/>
      </c>
      <c r="S66" s="71"/>
      <c r="T66" s="10" t="str">
        <f t="shared" si="18"/>
        <v/>
      </c>
      <c r="U66" s="71"/>
      <c r="V66" s="10" t="str">
        <f t="shared" si="39"/>
        <v/>
      </c>
      <c r="W66" s="10" t="str">
        <f t="shared" si="19"/>
        <v/>
      </c>
      <c r="X66" s="71"/>
      <c r="Y66" s="10" t="str">
        <f t="shared" si="40"/>
        <v/>
      </c>
      <c r="Z66" s="10" t="str">
        <f t="shared" si="20"/>
        <v/>
      </c>
      <c r="AA66" s="71"/>
      <c r="AB66" s="10" t="str">
        <f t="shared" si="4"/>
        <v/>
      </c>
      <c r="AC66" s="10" t="str">
        <f t="shared" si="21"/>
        <v/>
      </c>
      <c r="AD66" s="71"/>
      <c r="AE66" s="10" t="str">
        <f t="shared" si="41"/>
        <v/>
      </c>
      <c r="AF66" s="10" t="str">
        <f t="shared" si="22"/>
        <v/>
      </c>
      <c r="AG66" s="71"/>
      <c r="AH66" s="10" t="str">
        <f t="shared" si="42"/>
        <v/>
      </c>
      <c r="AI66" s="10" t="str">
        <f t="shared" si="23"/>
        <v/>
      </c>
      <c r="AJ66" s="71"/>
      <c r="AK66" s="10" t="str">
        <f t="shared" si="43"/>
        <v/>
      </c>
      <c r="AL66" s="10" t="str">
        <f t="shared" si="24"/>
        <v/>
      </c>
      <c r="AM66" s="71"/>
      <c r="AN66" s="10" t="str">
        <f t="shared" si="44"/>
        <v/>
      </c>
      <c r="AO66" s="10" t="str">
        <f t="shared" si="25"/>
        <v/>
      </c>
      <c r="AP66" s="71"/>
      <c r="AQ66" s="10" t="str">
        <f t="shared" si="45"/>
        <v/>
      </c>
      <c r="AR66" s="10" t="str">
        <f t="shared" si="26"/>
        <v/>
      </c>
      <c r="AS66" s="71"/>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U66" s="71"/>
      <c r="AV66" s="10" t="str">
        <f t="shared" si="46"/>
        <v/>
      </c>
      <c r="AW66" s="10" t="str">
        <f t="shared" si="27"/>
        <v/>
      </c>
      <c r="AX66" s="71"/>
      <c r="AY66" s="7" t="str">
        <f>IF(ISERROR(IF($K66&lt;=$F$15,VLOOKUP($I66,'表4）CO2価格'!$A$7:$E$67,VLOOKUP($F$48,'表4）CO2価格'!$H$10:$I$12,2,0),0)*$F$8/1000,"")),0,IF($K66&lt;=$F$15,VLOOKUP($I66,'表4）CO2価格'!$A$7:$E$67,VLOOKUP($F$48,'表4）CO2価格'!$H$10:$I$12,2,0),0)*$F$8/1000,""))</f>
        <v/>
      </c>
      <c r="AZ66" s="71"/>
      <c r="BA66" s="11" t="str">
        <f t="shared" si="47"/>
        <v/>
      </c>
      <c r="BB66" s="10" t="str">
        <f t="shared" si="28"/>
        <v/>
      </c>
      <c r="BC66" s="71"/>
      <c r="BD66" s="10" t="str">
        <f t="shared" si="48"/>
        <v/>
      </c>
      <c r="BE66" s="10" t="str">
        <f t="shared" si="29"/>
        <v/>
      </c>
      <c r="BF66" s="71"/>
      <c r="BG66" s="11" t="str">
        <f t="shared" si="49"/>
        <v/>
      </c>
      <c r="BH66" s="10" t="str">
        <f t="shared" si="30"/>
        <v/>
      </c>
      <c r="BJ66" s="7" t="str">
        <f t="shared" si="31"/>
        <v/>
      </c>
      <c r="BK66" s="158" t="str">
        <f t="shared" si="32"/>
        <v/>
      </c>
      <c r="BL66" s="158" t="str">
        <f t="shared" si="14"/>
        <v/>
      </c>
      <c r="BM66" s="10"/>
      <c r="BN66" s="10" t="str">
        <f t="shared" si="33"/>
        <v/>
      </c>
      <c r="BO66" s="10" t="str">
        <f t="shared" si="34"/>
        <v/>
      </c>
      <c r="BQ66" s="10" t="str">
        <f t="shared" si="50"/>
        <v/>
      </c>
      <c r="BR66" s="10" t="str">
        <f t="shared" si="35"/>
        <v/>
      </c>
    </row>
    <row r="67" spans="2:70" ht="15.75" thickBot="1" x14ac:dyDescent="0.2">
      <c r="B67" s="460" t="s">
        <v>133</v>
      </c>
      <c r="C67" s="86"/>
      <c r="D67" s="104"/>
      <c r="E67" s="104"/>
      <c r="F67" s="86"/>
      <c r="G67" s="104"/>
      <c r="I67" s="458">
        <f t="shared" si="36"/>
        <v>2072</v>
      </c>
      <c r="J67" s="39"/>
      <c r="K67" s="39">
        <f t="shared" si="37"/>
        <v>53</v>
      </c>
      <c r="L67" s="39"/>
      <c r="M67" s="40">
        <f t="shared" si="0"/>
        <v>0.20875029150899907</v>
      </c>
      <c r="N67" s="39"/>
      <c r="O67" s="72" t="str">
        <f t="shared" si="16"/>
        <v/>
      </c>
      <c r="P67" s="41" t="str">
        <f t="shared" si="38"/>
        <v/>
      </c>
      <c r="Q67" s="39"/>
      <c r="R67" s="72" t="str">
        <f t="shared" si="51"/>
        <v/>
      </c>
      <c r="S67" s="39"/>
      <c r="T67" s="72" t="str">
        <f t="shared" si="18"/>
        <v/>
      </c>
      <c r="U67" s="39"/>
      <c r="V67" s="72" t="str">
        <f t="shared" si="39"/>
        <v/>
      </c>
      <c r="W67" s="72" t="str">
        <f t="shared" si="19"/>
        <v/>
      </c>
      <c r="X67" s="39"/>
      <c r="Y67" s="72" t="str">
        <f t="shared" si="40"/>
        <v/>
      </c>
      <c r="Z67" s="72" t="str">
        <f t="shared" si="20"/>
        <v/>
      </c>
      <c r="AA67" s="39"/>
      <c r="AB67" s="72" t="str">
        <f t="shared" si="4"/>
        <v/>
      </c>
      <c r="AC67" s="72" t="str">
        <f t="shared" si="21"/>
        <v/>
      </c>
      <c r="AD67" s="39"/>
      <c r="AE67" s="72" t="str">
        <f t="shared" si="41"/>
        <v/>
      </c>
      <c r="AF67" s="72" t="str">
        <f t="shared" si="22"/>
        <v/>
      </c>
      <c r="AG67" s="39"/>
      <c r="AH67" s="72" t="str">
        <f t="shared" si="42"/>
        <v/>
      </c>
      <c r="AI67" s="72" t="str">
        <f t="shared" si="23"/>
        <v/>
      </c>
      <c r="AJ67" s="39"/>
      <c r="AK67" s="72" t="str">
        <f t="shared" si="43"/>
        <v/>
      </c>
      <c r="AL67" s="72" t="str">
        <f t="shared" si="24"/>
        <v/>
      </c>
      <c r="AM67" s="39"/>
      <c r="AN67" s="72" t="str">
        <f t="shared" si="44"/>
        <v/>
      </c>
      <c r="AO67" s="72" t="str">
        <f t="shared" si="25"/>
        <v/>
      </c>
      <c r="AP67" s="39"/>
      <c r="AQ67" s="72" t="str">
        <f t="shared" si="45"/>
        <v/>
      </c>
      <c r="AR67" s="72" t="str">
        <f t="shared" si="26"/>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46"/>
        <v/>
      </c>
      <c r="AW67" s="72" t="str">
        <f t="shared" si="27"/>
        <v/>
      </c>
      <c r="AX67" s="39"/>
      <c r="AY67" s="40" t="str">
        <f>IF(ISERROR(IF($K67&lt;=$F$15,VLOOKUP($I67,'表4）CO2価格'!$A$7:$E$67,VLOOKUP($F$48,'表4）CO2価格'!$H$10:$I$12,2,0),0)*$F$8/1000,"")),0,IF($K67&lt;=$F$15,VLOOKUP($I67,'表4）CO2価格'!$A$7:$E$67,VLOOKUP($F$48,'表4）CO2価格'!$H$10:$I$12,2,0),0)*$F$8/1000,""))</f>
        <v/>
      </c>
      <c r="AZ67" s="39"/>
      <c r="BA67" s="42" t="str">
        <f t="shared" si="47"/>
        <v/>
      </c>
      <c r="BB67" s="72" t="str">
        <f t="shared" si="28"/>
        <v/>
      </c>
      <c r="BC67" s="39"/>
      <c r="BD67" s="72" t="str">
        <f t="shared" si="48"/>
        <v/>
      </c>
      <c r="BE67" s="72" t="str">
        <f t="shared" si="29"/>
        <v/>
      </c>
      <c r="BF67" s="39"/>
      <c r="BG67" s="42" t="str">
        <f t="shared" si="49"/>
        <v/>
      </c>
      <c r="BH67" s="72" t="str">
        <f t="shared" si="30"/>
        <v/>
      </c>
      <c r="BI67" s="39"/>
      <c r="BJ67" s="40" t="str">
        <f t="shared" si="31"/>
        <v/>
      </c>
      <c r="BK67" s="157" t="str">
        <f t="shared" si="32"/>
        <v/>
      </c>
      <c r="BL67" s="157" t="str">
        <f t="shared" si="14"/>
        <v/>
      </c>
      <c r="BM67" s="72"/>
      <c r="BN67" s="72" t="str">
        <f t="shared" si="33"/>
        <v/>
      </c>
      <c r="BO67" s="72" t="str">
        <f t="shared" si="34"/>
        <v/>
      </c>
      <c r="BP67" s="39"/>
      <c r="BQ67" s="72" t="str">
        <f t="shared" si="50"/>
        <v/>
      </c>
      <c r="BR67" s="72" t="str">
        <f t="shared" si="35"/>
        <v/>
      </c>
    </row>
    <row r="68" spans="2:70" x14ac:dyDescent="0.15">
      <c r="I68" s="459">
        <f t="shared" si="36"/>
        <v>2073</v>
      </c>
      <c r="J68" s="71"/>
      <c r="K68" s="71">
        <f t="shared" si="37"/>
        <v>54</v>
      </c>
      <c r="L68" s="71"/>
      <c r="M68" s="7">
        <f t="shared" si="0"/>
        <v>0.20267018593106703</v>
      </c>
      <c r="N68" s="71"/>
      <c r="O68" s="10" t="str">
        <f t="shared" si="16"/>
        <v/>
      </c>
      <c r="P68" s="29" t="str">
        <f t="shared" si="38"/>
        <v/>
      </c>
      <c r="Q68" s="71"/>
      <c r="R68" s="10" t="str">
        <f t="shared" si="51"/>
        <v/>
      </c>
      <c r="S68" s="71"/>
      <c r="T68" s="10" t="str">
        <f t="shared" si="18"/>
        <v/>
      </c>
      <c r="U68" s="71"/>
      <c r="V68" s="10" t="str">
        <f t="shared" si="39"/>
        <v/>
      </c>
      <c r="W68" s="10" t="str">
        <f t="shared" si="19"/>
        <v/>
      </c>
      <c r="X68" s="71"/>
      <c r="Y68" s="10" t="str">
        <f t="shared" si="40"/>
        <v/>
      </c>
      <c r="Z68" s="10" t="str">
        <f t="shared" si="20"/>
        <v/>
      </c>
      <c r="AA68" s="71"/>
      <c r="AB68" s="10" t="str">
        <f t="shared" si="4"/>
        <v/>
      </c>
      <c r="AC68" s="10" t="str">
        <f t="shared" si="21"/>
        <v/>
      </c>
      <c r="AD68" s="71"/>
      <c r="AE68" s="10" t="str">
        <f t="shared" si="41"/>
        <v/>
      </c>
      <c r="AF68" s="10" t="str">
        <f t="shared" si="22"/>
        <v/>
      </c>
      <c r="AG68" s="71"/>
      <c r="AH68" s="10" t="str">
        <f t="shared" si="42"/>
        <v/>
      </c>
      <c r="AI68" s="10" t="str">
        <f t="shared" si="23"/>
        <v/>
      </c>
      <c r="AJ68" s="71"/>
      <c r="AK68" s="10" t="str">
        <f t="shared" si="43"/>
        <v/>
      </c>
      <c r="AL68" s="10" t="str">
        <f t="shared" si="24"/>
        <v/>
      </c>
      <c r="AM68" s="71"/>
      <c r="AN68" s="10" t="str">
        <f t="shared" si="44"/>
        <v/>
      </c>
      <c r="AO68" s="10" t="str">
        <f t="shared" si="25"/>
        <v/>
      </c>
      <c r="AP68" s="71"/>
      <c r="AQ68" s="10" t="str">
        <f t="shared" si="45"/>
        <v/>
      </c>
      <c r="AR68" s="10" t="str">
        <f t="shared" si="26"/>
        <v/>
      </c>
      <c r="AS68" s="71"/>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U68" s="71"/>
      <c r="AV68" s="10" t="str">
        <f t="shared" si="46"/>
        <v/>
      </c>
      <c r="AW68" s="10" t="str">
        <f t="shared" si="27"/>
        <v/>
      </c>
      <c r="AX68" s="71"/>
      <c r="AY68" s="7" t="str">
        <f>IF(ISERROR(IF($K68&lt;=$F$15,VLOOKUP($I68,'表4）CO2価格'!$A$7:$E$67,VLOOKUP($F$48,'表4）CO2価格'!$H$10:$I$12,2,0),0)*$F$8/1000,"")),0,IF($K68&lt;=$F$15,VLOOKUP($I68,'表4）CO2価格'!$A$7:$E$67,VLOOKUP($F$48,'表4）CO2価格'!$H$10:$I$12,2,0),0)*$F$8/1000,""))</f>
        <v/>
      </c>
      <c r="AZ68" s="71"/>
      <c r="BA68" s="11" t="str">
        <f t="shared" si="47"/>
        <v/>
      </c>
      <c r="BB68" s="10" t="str">
        <f t="shared" si="28"/>
        <v/>
      </c>
      <c r="BC68" s="71"/>
      <c r="BD68" s="10" t="str">
        <f t="shared" si="48"/>
        <v/>
      </c>
      <c r="BE68" s="10" t="str">
        <f t="shared" si="29"/>
        <v/>
      </c>
      <c r="BF68" s="71"/>
      <c r="BG68" s="11" t="str">
        <f t="shared" si="49"/>
        <v/>
      </c>
      <c r="BH68" s="10" t="str">
        <f t="shared" si="30"/>
        <v/>
      </c>
      <c r="BJ68" s="7" t="str">
        <f t="shared" si="31"/>
        <v/>
      </c>
      <c r="BK68" s="158" t="str">
        <f t="shared" si="32"/>
        <v/>
      </c>
      <c r="BL68" s="158" t="str">
        <f t="shared" si="14"/>
        <v/>
      </c>
      <c r="BM68" s="10"/>
      <c r="BN68" s="10" t="str">
        <f t="shared" si="33"/>
        <v/>
      </c>
      <c r="BO68" s="10" t="str">
        <f t="shared" si="34"/>
        <v/>
      </c>
      <c r="BQ68" s="10" t="str">
        <f t="shared" si="50"/>
        <v/>
      </c>
      <c r="BR68" s="10" t="str">
        <f t="shared" si="35"/>
        <v/>
      </c>
    </row>
    <row r="69" spans="2:70" x14ac:dyDescent="0.15">
      <c r="C69" s="461" t="s">
        <v>134</v>
      </c>
      <c r="D69" s="9"/>
      <c r="E69" s="9"/>
      <c r="F69" s="94">
        <f>SUBTOTAL(9,F74:F112)-F105</f>
        <v>14.626095862480721</v>
      </c>
      <c r="G69" s="9" t="s">
        <v>132</v>
      </c>
      <c r="I69" s="458">
        <f t="shared" si="36"/>
        <v>2074</v>
      </c>
      <c r="J69" s="39"/>
      <c r="K69" s="39">
        <f t="shared" si="37"/>
        <v>55</v>
      </c>
      <c r="L69" s="39"/>
      <c r="M69" s="40">
        <f t="shared" si="0"/>
        <v>0.19676717080686118</v>
      </c>
      <c r="N69" s="39"/>
      <c r="O69" s="72" t="str">
        <f t="shared" si="16"/>
        <v/>
      </c>
      <c r="P69" s="41" t="str">
        <f t="shared" si="38"/>
        <v/>
      </c>
      <c r="Q69" s="39"/>
      <c r="R69" s="72" t="str">
        <f t="shared" si="51"/>
        <v/>
      </c>
      <c r="S69" s="39"/>
      <c r="T69" s="72" t="str">
        <f t="shared" si="18"/>
        <v/>
      </c>
      <c r="U69" s="39"/>
      <c r="V69" s="72" t="str">
        <f t="shared" si="39"/>
        <v/>
      </c>
      <c r="W69" s="72" t="str">
        <f t="shared" si="19"/>
        <v/>
      </c>
      <c r="X69" s="39"/>
      <c r="Y69" s="72" t="str">
        <f t="shared" si="40"/>
        <v/>
      </c>
      <c r="Z69" s="72" t="str">
        <f t="shared" si="20"/>
        <v/>
      </c>
      <c r="AA69" s="39"/>
      <c r="AB69" s="72" t="str">
        <f t="shared" si="4"/>
        <v/>
      </c>
      <c r="AC69" s="72" t="str">
        <f t="shared" si="21"/>
        <v/>
      </c>
      <c r="AD69" s="39"/>
      <c r="AE69" s="72" t="str">
        <f t="shared" si="41"/>
        <v/>
      </c>
      <c r="AF69" s="72" t="str">
        <f t="shared" si="22"/>
        <v/>
      </c>
      <c r="AG69" s="39"/>
      <c r="AH69" s="72" t="str">
        <f t="shared" si="42"/>
        <v/>
      </c>
      <c r="AI69" s="72" t="str">
        <f t="shared" si="23"/>
        <v/>
      </c>
      <c r="AJ69" s="39"/>
      <c r="AK69" s="72" t="str">
        <f t="shared" si="43"/>
        <v/>
      </c>
      <c r="AL69" s="72" t="str">
        <f t="shared" si="24"/>
        <v/>
      </c>
      <c r="AM69" s="39"/>
      <c r="AN69" s="72" t="str">
        <f t="shared" si="44"/>
        <v/>
      </c>
      <c r="AO69" s="72" t="str">
        <f t="shared" si="25"/>
        <v/>
      </c>
      <c r="AP69" s="39"/>
      <c r="AQ69" s="72" t="str">
        <f t="shared" si="45"/>
        <v/>
      </c>
      <c r="AR69" s="72" t="str">
        <f t="shared" si="26"/>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46"/>
        <v/>
      </c>
      <c r="AW69" s="72" t="str">
        <f t="shared" si="27"/>
        <v/>
      </c>
      <c r="AX69" s="39"/>
      <c r="AY69" s="40" t="str">
        <f>IF(ISERROR(IF($K69&lt;=$F$15,VLOOKUP($I69,'表4）CO2価格'!$A$7:$E$67,VLOOKUP($F$48,'表4）CO2価格'!$H$10:$I$12,2,0),0)*$F$8/1000,"")),0,IF($K69&lt;=$F$15,VLOOKUP($I69,'表4）CO2価格'!$A$7:$E$67,VLOOKUP($F$48,'表4）CO2価格'!$H$10:$I$12,2,0),0)*$F$8/1000,""))</f>
        <v/>
      </c>
      <c r="AZ69" s="39"/>
      <c r="BA69" s="42" t="str">
        <f t="shared" si="47"/>
        <v/>
      </c>
      <c r="BB69" s="72" t="str">
        <f t="shared" si="28"/>
        <v/>
      </c>
      <c r="BC69" s="39"/>
      <c r="BD69" s="72" t="str">
        <f t="shared" si="48"/>
        <v/>
      </c>
      <c r="BE69" s="72" t="str">
        <f t="shared" si="29"/>
        <v/>
      </c>
      <c r="BF69" s="39"/>
      <c r="BG69" s="42" t="str">
        <f t="shared" si="49"/>
        <v/>
      </c>
      <c r="BH69" s="72" t="str">
        <f t="shared" si="30"/>
        <v/>
      </c>
      <c r="BI69" s="39"/>
      <c r="BJ69" s="40" t="str">
        <f t="shared" si="31"/>
        <v/>
      </c>
      <c r="BK69" s="157" t="str">
        <f t="shared" si="32"/>
        <v/>
      </c>
      <c r="BL69" s="157" t="str">
        <f t="shared" si="14"/>
        <v/>
      </c>
      <c r="BM69" s="72"/>
      <c r="BN69" s="72" t="str">
        <f t="shared" si="33"/>
        <v/>
      </c>
      <c r="BO69" s="72" t="str">
        <f t="shared" si="34"/>
        <v/>
      </c>
      <c r="BP69" s="39"/>
      <c r="BQ69" s="72" t="str">
        <f t="shared" si="50"/>
        <v/>
      </c>
      <c r="BR69" s="72" t="str">
        <f t="shared" si="35"/>
        <v/>
      </c>
    </row>
    <row r="70" spans="2:70" x14ac:dyDescent="0.15">
      <c r="C70" s="461" t="s">
        <v>135</v>
      </c>
      <c r="D70" s="9"/>
      <c r="E70" s="9"/>
      <c r="F70" s="94">
        <f ca="1">MAX(SUM($Z$117,$AF$117,$AI$117,$AL$117,$AO$117,$AR$117,$AW$117,$BB$117,$BE$117,$BH$117,$BO$116)/$BR$116+$F$105,SUBTOTAL(9,F74:F112))</f>
        <v>19.781040498023621</v>
      </c>
      <c r="G70" s="9" t="s">
        <v>132</v>
      </c>
      <c r="I70" s="459">
        <f t="shared" si="36"/>
        <v>2075</v>
      </c>
      <c r="J70" s="71"/>
      <c r="K70" s="71">
        <f t="shared" si="37"/>
        <v>56</v>
      </c>
      <c r="L70" s="71"/>
      <c r="M70" s="7">
        <f t="shared" si="0"/>
        <v>0.19103608816200118</v>
      </c>
      <c r="N70" s="71"/>
      <c r="O70" s="10" t="str">
        <f t="shared" si="16"/>
        <v/>
      </c>
      <c r="P70" s="29" t="str">
        <f t="shared" si="38"/>
        <v/>
      </c>
      <c r="Q70" s="71"/>
      <c r="R70" s="10" t="str">
        <f t="shared" si="51"/>
        <v/>
      </c>
      <c r="S70" s="71"/>
      <c r="T70" s="10" t="str">
        <f t="shared" si="18"/>
        <v/>
      </c>
      <c r="U70" s="71"/>
      <c r="V70" s="10" t="str">
        <f t="shared" si="39"/>
        <v/>
      </c>
      <c r="W70" s="10" t="str">
        <f t="shared" si="19"/>
        <v/>
      </c>
      <c r="X70" s="71"/>
      <c r="Y70" s="10" t="str">
        <f t="shared" si="40"/>
        <v/>
      </c>
      <c r="Z70" s="10" t="str">
        <f t="shared" si="20"/>
        <v/>
      </c>
      <c r="AA70" s="71"/>
      <c r="AB70" s="10" t="str">
        <f t="shared" si="4"/>
        <v/>
      </c>
      <c r="AC70" s="10" t="str">
        <f t="shared" si="21"/>
        <v/>
      </c>
      <c r="AD70" s="71"/>
      <c r="AE70" s="10" t="str">
        <f t="shared" si="41"/>
        <v/>
      </c>
      <c r="AF70" s="10" t="str">
        <f t="shared" si="22"/>
        <v/>
      </c>
      <c r="AG70" s="71"/>
      <c r="AH70" s="10" t="str">
        <f t="shared" si="42"/>
        <v/>
      </c>
      <c r="AI70" s="10" t="str">
        <f t="shared" si="23"/>
        <v/>
      </c>
      <c r="AJ70" s="71"/>
      <c r="AK70" s="10" t="str">
        <f t="shared" si="43"/>
        <v/>
      </c>
      <c r="AL70" s="10" t="str">
        <f t="shared" si="24"/>
        <v/>
      </c>
      <c r="AM70" s="71"/>
      <c r="AN70" s="10" t="str">
        <f t="shared" si="44"/>
        <v/>
      </c>
      <c r="AO70" s="10" t="str">
        <f t="shared" si="25"/>
        <v/>
      </c>
      <c r="AP70" s="71"/>
      <c r="AQ70" s="10" t="str">
        <f t="shared" si="45"/>
        <v/>
      </c>
      <c r="AR70" s="10" t="str">
        <f t="shared" si="26"/>
        <v/>
      </c>
      <c r="AS70" s="71"/>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U70" s="71"/>
      <c r="AV70" s="10" t="str">
        <f t="shared" si="46"/>
        <v/>
      </c>
      <c r="AW70" s="10" t="str">
        <f t="shared" si="27"/>
        <v/>
      </c>
      <c r="AX70" s="71"/>
      <c r="AY70" s="7" t="str">
        <f>IF(ISERROR(IF($K70&lt;=$F$15,VLOOKUP($I70,'表4）CO2価格'!$A$7:$E$67,VLOOKUP($F$48,'表4）CO2価格'!$H$10:$I$12,2,0),0)*$F$8/1000,"")),0,IF($K70&lt;=$F$15,VLOOKUP($I70,'表4）CO2価格'!$A$7:$E$67,VLOOKUP($F$48,'表4）CO2価格'!$H$10:$I$12,2,0),0)*$F$8/1000,""))</f>
        <v/>
      </c>
      <c r="AZ70" s="71"/>
      <c r="BA70" s="11" t="str">
        <f t="shared" si="47"/>
        <v/>
      </c>
      <c r="BB70" s="10" t="str">
        <f t="shared" si="28"/>
        <v/>
      </c>
      <c r="BC70" s="71"/>
      <c r="BD70" s="10" t="str">
        <f t="shared" si="48"/>
        <v/>
      </c>
      <c r="BE70" s="10" t="str">
        <f t="shared" si="29"/>
        <v/>
      </c>
      <c r="BF70" s="71"/>
      <c r="BG70" s="11" t="str">
        <f t="shared" si="49"/>
        <v/>
      </c>
      <c r="BH70" s="10" t="str">
        <f t="shared" si="30"/>
        <v/>
      </c>
      <c r="BJ70" s="7" t="str">
        <f t="shared" si="31"/>
        <v/>
      </c>
      <c r="BK70" s="158" t="str">
        <f t="shared" si="32"/>
        <v/>
      </c>
      <c r="BL70" s="158" t="str">
        <f t="shared" si="14"/>
        <v/>
      </c>
      <c r="BM70" s="10"/>
      <c r="BN70" s="10" t="str">
        <f t="shared" si="33"/>
        <v/>
      </c>
      <c r="BO70" s="10" t="str">
        <f t="shared" si="34"/>
        <v/>
      </c>
      <c r="BQ70" s="10" t="str">
        <f t="shared" si="50"/>
        <v/>
      </c>
      <c r="BR70" s="10" t="str">
        <f t="shared" si="35"/>
        <v/>
      </c>
    </row>
    <row r="71" spans="2:70" x14ac:dyDescent="0.15">
      <c r="F71" s="145"/>
      <c r="I71" s="458">
        <f t="shared" si="36"/>
        <v>2076</v>
      </c>
      <c r="J71" s="39"/>
      <c r="K71" s="39">
        <f t="shared" si="37"/>
        <v>57</v>
      </c>
      <c r="L71" s="39"/>
      <c r="M71" s="40">
        <f t="shared" si="0"/>
        <v>0.18547193025437006</v>
      </c>
      <c r="N71" s="39"/>
      <c r="O71" s="72" t="str">
        <f t="shared" si="16"/>
        <v/>
      </c>
      <c r="P71" s="41" t="str">
        <f t="shared" si="38"/>
        <v/>
      </c>
      <c r="Q71" s="39"/>
      <c r="R71" s="72" t="str">
        <f t="shared" si="51"/>
        <v/>
      </c>
      <c r="S71" s="39"/>
      <c r="T71" s="72" t="str">
        <f t="shared" si="18"/>
        <v/>
      </c>
      <c r="U71" s="39"/>
      <c r="V71" s="72" t="str">
        <f t="shared" si="39"/>
        <v/>
      </c>
      <c r="W71" s="72" t="str">
        <f t="shared" si="19"/>
        <v/>
      </c>
      <c r="X71" s="39"/>
      <c r="Y71" s="72" t="str">
        <f t="shared" si="40"/>
        <v/>
      </c>
      <c r="Z71" s="72" t="str">
        <f t="shared" si="20"/>
        <v/>
      </c>
      <c r="AA71" s="39"/>
      <c r="AB71" s="72" t="str">
        <f t="shared" si="4"/>
        <v/>
      </c>
      <c r="AC71" s="72" t="str">
        <f t="shared" si="21"/>
        <v/>
      </c>
      <c r="AD71" s="39"/>
      <c r="AE71" s="72" t="str">
        <f t="shared" si="41"/>
        <v/>
      </c>
      <c r="AF71" s="72" t="str">
        <f t="shared" si="22"/>
        <v/>
      </c>
      <c r="AG71" s="39"/>
      <c r="AH71" s="72" t="str">
        <f t="shared" si="42"/>
        <v/>
      </c>
      <c r="AI71" s="72" t="str">
        <f t="shared" si="23"/>
        <v/>
      </c>
      <c r="AJ71" s="39"/>
      <c r="AK71" s="72" t="str">
        <f t="shared" si="43"/>
        <v/>
      </c>
      <c r="AL71" s="72" t="str">
        <f t="shared" si="24"/>
        <v/>
      </c>
      <c r="AM71" s="39"/>
      <c r="AN71" s="72" t="str">
        <f t="shared" si="44"/>
        <v/>
      </c>
      <c r="AO71" s="72" t="str">
        <f t="shared" si="25"/>
        <v/>
      </c>
      <c r="AP71" s="39"/>
      <c r="AQ71" s="72" t="str">
        <f t="shared" si="45"/>
        <v/>
      </c>
      <c r="AR71" s="72" t="str">
        <f t="shared" si="26"/>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46"/>
        <v/>
      </c>
      <c r="AW71" s="72" t="str">
        <f t="shared" si="27"/>
        <v/>
      </c>
      <c r="AX71" s="39"/>
      <c r="AY71" s="40" t="str">
        <f>IF(ISERROR(IF($K71&lt;=$F$15,VLOOKUP($I71,'表4）CO2価格'!$A$7:$E$67,VLOOKUP($F$48,'表4）CO2価格'!$H$10:$I$12,2,0),0)*$F$8/1000,"")),0,IF($K71&lt;=$F$15,VLOOKUP($I71,'表4）CO2価格'!$A$7:$E$67,VLOOKUP($F$48,'表4）CO2価格'!$H$10:$I$12,2,0),0)*$F$8/1000,""))</f>
        <v/>
      </c>
      <c r="AZ71" s="39"/>
      <c r="BA71" s="42" t="str">
        <f t="shared" si="47"/>
        <v/>
      </c>
      <c r="BB71" s="72" t="str">
        <f t="shared" si="28"/>
        <v/>
      </c>
      <c r="BC71" s="39"/>
      <c r="BD71" s="72" t="str">
        <f t="shared" si="48"/>
        <v/>
      </c>
      <c r="BE71" s="72" t="str">
        <f t="shared" si="29"/>
        <v/>
      </c>
      <c r="BF71" s="39"/>
      <c r="BG71" s="42" t="str">
        <f t="shared" si="49"/>
        <v/>
      </c>
      <c r="BH71" s="72" t="str">
        <f t="shared" si="30"/>
        <v/>
      </c>
      <c r="BI71" s="39"/>
      <c r="BJ71" s="40" t="str">
        <f t="shared" si="31"/>
        <v/>
      </c>
      <c r="BK71" s="157" t="str">
        <f t="shared" si="32"/>
        <v/>
      </c>
      <c r="BL71" s="157" t="str">
        <f t="shared" si="14"/>
        <v/>
      </c>
      <c r="BM71" s="72"/>
      <c r="BN71" s="72" t="str">
        <f t="shared" si="33"/>
        <v/>
      </c>
      <c r="BO71" s="72" t="str">
        <f t="shared" si="34"/>
        <v/>
      </c>
      <c r="BP71" s="39"/>
      <c r="BQ71" s="72" t="str">
        <f t="shared" si="50"/>
        <v/>
      </c>
      <c r="BR71" s="72" t="str">
        <f t="shared" si="35"/>
        <v/>
      </c>
    </row>
    <row r="72" spans="2:70" x14ac:dyDescent="0.15">
      <c r="C72" s="89" t="s">
        <v>136</v>
      </c>
      <c r="D72" s="101"/>
      <c r="E72" s="101"/>
      <c r="F72" s="92"/>
      <c r="G72" s="101"/>
      <c r="I72" s="459">
        <f t="shared" si="36"/>
        <v>2077</v>
      </c>
      <c r="J72" s="71"/>
      <c r="K72" s="71">
        <f t="shared" si="37"/>
        <v>58</v>
      </c>
      <c r="L72" s="71"/>
      <c r="M72" s="7">
        <f t="shared" si="0"/>
        <v>0.18006983519841754</v>
      </c>
      <c r="N72" s="71"/>
      <c r="O72" s="10" t="str">
        <f t="shared" si="16"/>
        <v/>
      </c>
      <c r="P72" s="29" t="str">
        <f t="shared" si="38"/>
        <v/>
      </c>
      <c r="Q72" s="71"/>
      <c r="R72" s="10" t="str">
        <f t="shared" si="51"/>
        <v/>
      </c>
      <c r="S72" s="71"/>
      <c r="T72" s="10" t="str">
        <f t="shared" si="18"/>
        <v/>
      </c>
      <c r="U72" s="71"/>
      <c r="V72" s="10" t="str">
        <f t="shared" si="39"/>
        <v/>
      </c>
      <c r="W72" s="10" t="str">
        <f t="shared" si="19"/>
        <v/>
      </c>
      <c r="X72" s="71"/>
      <c r="Y72" s="10" t="str">
        <f t="shared" si="40"/>
        <v/>
      </c>
      <c r="Z72" s="10" t="str">
        <f t="shared" si="20"/>
        <v/>
      </c>
      <c r="AA72" s="71"/>
      <c r="AB72" s="10" t="str">
        <f t="shared" si="4"/>
        <v/>
      </c>
      <c r="AC72" s="10" t="str">
        <f t="shared" si="21"/>
        <v/>
      </c>
      <c r="AD72" s="71"/>
      <c r="AE72" s="10" t="str">
        <f t="shared" si="41"/>
        <v/>
      </c>
      <c r="AF72" s="10" t="str">
        <f t="shared" si="22"/>
        <v/>
      </c>
      <c r="AG72" s="71"/>
      <c r="AH72" s="10" t="str">
        <f t="shared" si="42"/>
        <v/>
      </c>
      <c r="AI72" s="10" t="str">
        <f t="shared" si="23"/>
        <v/>
      </c>
      <c r="AJ72" s="71"/>
      <c r="AK72" s="10" t="str">
        <f t="shared" si="43"/>
        <v/>
      </c>
      <c r="AL72" s="10" t="str">
        <f t="shared" si="24"/>
        <v/>
      </c>
      <c r="AM72" s="71"/>
      <c r="AN72" s="10" t="str">
        <f t="shared" si="44"/>
        <v/>
      </c>
      <c r="AO72" s="10" t="str">
        <f t="shared" si="25"/>
        <v/>
      </c>
      <c r="AP72" s="71"/>
      <c r="AQ72" s="10" t="str">
        <f t="shared" si="45"/>
        <v/>
      </c>
      <c r="AR72" s="10" t="str">
        <f t="shared" si="26"/>
        <v/>
      </c>
      <c r="AS72" s="71"/>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U72" s="71"/>
      <c r="AV72" s="10" t="str">
        <f t="shared" si="46"/>
        <v/>
      </c>
      <c r="AW72" s="10" t="str">
        <f t="shared" si="27"/>
        <v/>
      </c>
      <c r="AX72" s="71"/>
      <c r="AY72" s="7" t="str">
        <f>IF(ISERROR(IF($K72&lt;=$F$15,VLOOKUP($I72,'表4）CO2価格'!$A$7:$E$67,VLOOKUP($F$48,'表4）CO2価格'!$H$10:$I$12,2,0),0)*$F$8/1000,"")),0,IF($K72&lt;=$F$15,VLOOKUP($I72,'表4）CO2価格'!$A$7:$E$67,VLOOKUP($F$48,'表4）CO2価格'!$H$10:$I$12,2,0),0)*$F$8/1000,""))</f>
        <v/>
      </c>
      <c r="AZ72" s="71"/>
      <c r="BA72" s="11" t="str">
        <f t="shared" si="47"/>
        <v/>
      </c>
      <c r="BB72" s="10" t="str">
        <f t="shared" si="28"/>
        <v/>
      </c>
      <c r="BC72" s="71"/>
      <c r="BD72" s="10" t="str">
        <f t="shared" si="48"/>
        <v/>
      </c>
      <c r="BE72" s="10" t="str">
        <f t="shared" si="29"/>
        <v/>
      </c>
      <c r="BF72" s="71"/>
      <c r="BG72" s="11" t="str">
        <f t="shared" si="49"/>
        <v/>
      </c>
      <c r="BH72" s="10" t="str">
        <f t="shared" si="30"/>
        <v/>
      </c>
      <c r="BJ72" s="7" t="str">
        <f t="shared" si="31"/>
        <v/>
      </c>
      <c r="BK72" s="158" t="str">
        <f t="shared" si="32"/>
        <v/>
      </c>
      <c r="BL72" s="158" t="str">
        <f t="shared" si="14"/>
        <v/>
      </c>
      <c r="BM72" s="10"/>
      <c r="BN72" s="10" t="str">
        <f t="shared" si="33"/>
        <v/>
      </c>
      <c r="BO72" s="10" t="str">
        <f t="shared" si="34"/>
        <v/>
      </c>
      <c r="BQ72" s="10" t="str">
        <f t="shared" si="50"/>
        <v/>
      </c>
      <c r="BR72" s="10" t="str">
        <f t="shared" si="35"/>
        <v/>
      </c>
    </row>
    <row r="73" spans="2:70" x14ac:dyDescent="0.15">
      <c r="F73" s="93"/>
      <c r="I73" s="458">
        <f t="shared" si="36"/>
        <v>2078</v>
      </c>
      <c r="J73" s="39"/>
      <c r="K73" s="39">
        <f t="shared" si="37"/>
        <v>59</v>
      </c>
      <c r="L73" s="39"/>
      <c r="M73" s="40">
        <f t="shared" si="0"/>
        <v>0.17482508271691022</v>
      </c>
      <c r="N73" s="39"/>
      <c r="O73" s="72" t="str">
        <f t="shared" si="16"/>
        <v/>
      </c>
      <c r="P73" s="41" t="str">
        <f t="shared" si="38"/>
        <v/>
      </c>
      <c r="Q73" s="39"/>
      <c r="R73" s="72" t="str">
        <f t="shared" si="51"/>
        <v/>
      </c>
      <c r="S73" s="39"/>
      <c r="T73" s="72" t="str">
        <f t="shared" si="18"/>
        <v/>
      </c>
      <c r="U73" s="39"/>
      <c r="V73" s="72" t="str">
        <f t="shared" si="39"/>
        <v/>
      </c>
      <c r="W73" s="72" t="str">
        <f t="shared" si="19"/>
        <v/>
      </c>
      <c r="X73" s="39"/>
      <c r="Y73" s="72" t="str">
        <f t="shared" si="40"/>
        <v/>
      </c>
      <c r="Z73" s="72" t="str">
        <f t="shared" si="20"/>
        <v/>
      </c>
      <c r="AA73" s="39"/>
      <c r="AB73" s="72" t="str">
        <f t="shared" si="4"/>
        <v/>
      </c>
      <c r="AC73" s="72" t="str">
        <f t="shared" si="21"/>
        <v/>
      </c>
      <c r="AD73" s="39"/>
      <c r="AE73" s="72" t="str">
        <f t="shared" si="41"/>
        <v/>
      </c>
      <c r="AF73" s="72" t="str">
        <f t="shared" si="22"/>
        <v/>
      </c>
      <c r="AG73" s="39"/>
      <c r="AH73" s="72" t="str">
        <f t="shared" si="42"/>
        <v/>
      </c>
      <c r="AI73" s="72" t="str">
        <f t="shared" si="23"/>
        <v/>
      </c>
      <c r="AJ73" s="39"/>
      <c r="AK73" s="72" t="str">
        <f t="shared" si="43"/>
        <v/>
      </c>
      <c r="AL73" s="72" t="str">
        <f t="shared" si="24"/>
        <v/>
      </c>
      <c r="AM73" s="39"/>
      <c r="AN73" s="72" t="str">
        <f t="shared" si="44"/>
        <v/>
      </c>
      <c r="AO73" s="72" t="str">
        <f t="shared" si="25"/>
        <v/>
      </c>
      <c r="AP73" s="39"/>
      <c r="AQ73" s="72" t="str">
        <f t="shared" si="45"/>
        <v/>
      </c>
      <c r="AR73" s="72" t="str">
        <f t="shared" si="26"/>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46"/>
        <v/>
      </c>
      <c r="AW73" s="72" t="str">
        <f t="shared" si="27"/>
        <v/>
      </c>
      <c r="AX73" s="39"/>
      <c r="AY73" s="40" t="str">
        <f>IF(ISERROR(IF($K73&lt;=$F$15,VLOOKUP($I73,'表4）CO2価格'!$A$7:$E$67,VLOOKUP($F$48,'表4）CO2価格'!$H$10:$I$12,2,0),0)*$F$8/1000,"")),0,IF($K73&lt;=$F$15,VLOOKUP($I73,'表4）CO2価格'!$A$7:$E$67,VLOOKUP($F$48,'表4）CO2価格'!$H$10:$I$12,2,0),0)*$F$8/1000,""))</f>
        <v/>
      </c>
      <c r="AZ73" s="39"/>
      <c r="BA73" s="42" t="str">
        <f t="shared" si="47"/>
        <v/>
      </c>
      <c r="BB73" s="72" t="str">
        <f t="shared" si="28"/>
        <v/>
      </c>
      <c r="BC73" s="39"/>
      <c r="BD73" s="72" t="str">
        <f t="shared" si="48"/>
        <v/>
      </c>
      <c r="BE73" s="72" t="str">
        <f t="shared" si="29"/>
        <v/>
      </c>
      <c r="BF73" s="39"/>
      <c r="BG73" s="42" t="str">
        <f t="shared" si="49"/>
        <v/>
      </c>
      <c r="BH73" s="72" t="str">
        <f t="shared" si="30"/>
        <v/>
      </c>
      <c r="BI73" s="39"/>
      <c r="BJ73" s="40" t="str">
        <f t="shared" si="31"/>
        <v/>
      </c>
      <c r="BK73" s="157" t="str">
        <f t="shared" si="32"/>
        <v/>
      </c>
      <c r="BL73" s="157" t="str">
        <f t="shared" si="14"/>
        <v/>
      </c>
      <c r="BM73" s="72"/>
      <c r="BN73" s="72" t="str">
        <f t="shared" si="33"/>
        <v/>
      </c>
      <c r="BO73" s="72" t="str">
        <f t="shared" si="34"/>
        <v/>
      </c>
      <c r="BP73" s="39"/>
      <c r="BQ73" s="72" t="str">
        <f t="shared" si="50"/>
        <v/>
      </c>
      <c r="BR73" s="72" t="str">
        <f t="shared" si="35"/>
        <v/>
      </c>
    </row>
    <row r="74" spans="2:70" ht="15" x14ac:dyDescent="0.15">
      <c r="D74" s="116" t="s">
        <v>192</v>
      </c>
      <c r="F74" s="94">
        <f>SUBTOTAL(9,F78:F81)</f>
        <v>9.9520225873935324</v>
      </c>
      <c r="G74" s="81" t="s">
        <v>132</v>
      </c>
      <c r="I74" s="459">
        <f t="shared" si="36"/>
        <v>2079</v>
      </c>
      <c r="J74" s="71"/>
      <c r="K74" s="71">
        <f t="shared" si="37"/>
        <v>60</v>
      </c>
      <c r="L74" s="71"/>
      <c r="M74" s="7">
        <f t="shared" si="0"/>
        <v>0.1697330900164177</v>
      </c>
      <c r="N74" s="71"/>
      <c r="O74" s="10" t="str">
        <f t="shared" si="16"/>
        <v/>
      </c>
      <c r="P74" s="29" t="str">
        <f t="shared" si="38"/>
        <v/>
      </c>
      <c r="Q74" s="71"/>
      <c r="R74" s="10" t="str">
        <f t="shared" si="51"/>
        <v/>
      </c>
      <c r="S74" s="71"/>
      <c r="T74" s="10" t="str">
        <f t="shared" si="18"/>
        <v/>
      </c>
      <c r="U74" s="71"/>
      <c r="V74" s="10" t="str">
        <f t="shared" si="39"/>
        <v/>
      </c>
      <c r="W74" s="10" t="str">
        <f t="shared" si="19"/>
        <v/>
      </c>
      <c r="X74" s="71"/>
      <c r="Y74" s="10" t="str">
        <f t="shared" si="40"/>
        <v/>
      </c>
      <c r="Z74" s="10" t="str">
        <f t="shared" si="20"/>
        <v/>
      </c>
      <c r="AA74" s="71"/>
      <c r="AB74" s="10" t="str">
        <f t="shared" si="4"/>
        <v/>
      </c>
      <c r="AC74" s="10" t="str">
        <f t="shared" si="21"/>
        <v/>
      </c>
      <c r="AD74" s="71"/>
      <c r="AE74" s="10" t="str">
        <f t="shared" si="41"/>
        <v/>
      </c>
      <c r="AF74" s="10" t="str">
        <f t="shared" si="22"/>
        <v/>
      </c>
      <c r="AG74" s="71"/>
      <c r="AH74" s="10" t="str">
        <f t="shared" si="42"/>
        <v/>
      </c>
      <c r="AI74" s="10" t="str">
        <f t="shared" si="23"/>
        <v/>
      </c>
      <c r="AJ74" s="71"/>
      <c r="AK74" s="10" t="str">
        <f t="shared" si="43"/>
        <v/>
      </c>
      <c r="AL74" s="10" t="str">
        <f t="shared" si="24"/>
        <v/>
      </c>
      <c r="AM74" s="71"/>
      <c r="AN74" s="10" t="str">
        <f t="shared" si="44"/>
        <v/>
      </c>
      <c r="AO74" s="10" t="str">
        <f t="shared" si="25"/>
        <v/>
      </c>
      <c r="AP74" s="71"/>
      <c r="AQ74" s="10" t="str">
        <f t="shared" si="45"/>
        <v/>
      </c>
      <c r="AR74" s="10" t="str">
        <f t="shared" si="26"/>
        <v/>
      </c>
      <c r="AS74" s="71"/>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U74" s="71"/>
      <c r="AV74" s="10" t="str">
        <f t="shared" si="46"/>
        <v/>
      </c>
      <c r="AW74" s="10" t="str">
        <f t="shared" si="27"/>
        <v/>
      </c>
      <c r="AX74" s="71"/>
      <c r="AY74" s="7" t="str">
        <f>IF(ISERROR(IF($K74&lt;=$F$15,VLOOKUP($I74,'表4）CO2価格'!$A$7:$E$67,VLOOKUP($F$48,'表4）CO2価格'!$H$10:$I$12,2,0),0)*$F$8/1000,"")),0,IF($K74&lt;=$F$15,VLOOKUP($I74,'表4）CO2価格'!$A$7:$E$67,VLOOKUP($F$48,'表4）CO2価格'!$H$10:$I$12,2,0),0)*$F$8/1000,""))</f>
        <v/>
      </c>
      <c r="AZ74" s="71"/>
      <c r="BA74" s="11" t="str">
        <f t="shared" si="47"/>
        <v/>
      </c>
      <c r="BB74" s="10" t="str">
        <f t="shared" si="28"/>
        <v/>
      </c>
      <c r="BC74" s="71"/>
      <c r="BD74" s="10" t="str">
        <f t="shared" si="48"/>
        <v/>
      </c>
      <c r="BE74" s="10" t="str">
        <f t="shared" si="29"/>
        <v/>
      </c>
      <c r="BF74" s="71"/>
      <c r="BG74" s="11" t="str">
        <f t="shared" si="49"/>
        <v/>
      </c>
      <c r="BH74" s="10" t="str">
        <f t="shared" si="30"/>
        <v/>
      </c>
      <c r="BJ74" s="7" t="str">
        <f t="shared" si="31"/>
        <v/>
      </c>
      <c r="BK74" s="158" t="str">
        <f t="shared" si="32"/>
        <v/>
      </c>
      <c r="BL74" s="158" t="str">
        <f t="shared" si="14"/>
        <v/>
      </c>
      <c r="BM74" s="10"/>
      <c r="BN74" s="10" t="str">
        <f t="shared" si="33"/>
        <v/>
      </c>
      <c r="BO74" s="10" t="str">
        <f t="shared" si="34"/>
        <v/>
      </c>
      <c r="BQ74" s="10" t="str">
        <f t="shared" si="50"/>
        <v/>
      </c>
      <c r="BR74" s="10" t="str">
        <f t="shared" si="35"/>
        <v/>
      </c>
    </row>
    <row r="75" spans="2:70" x14ac:dyDescent="0.15">
      <c r="F75" s="93"/>
      <c r="I75" s="458">
        <f t="shared" si="36"/>
        <v>2080</v>
      </c>
      <c r="J75" s="39"/>
      <c r="K75" s="39">
        <f t="shared" si="37"/>
        <v>61</v>
      </c>
      <c r="L75" s="39"/>
      <c r="M75" s="40">
        <f t="shared" si="0"/>
        <v>0.16478940778292983</v>
      </c>
      <c r="N75" s="39"/>
      <c r="O75" s="72" t="str">
        <f t="shared" si="16"/>
        <v/>
      </c>
      <c r="P75" s="41" t="str">
        <f t="shared" si="38"/>
        <v/>
      </c>
      <c r="Q75" s="39"/>
      <c r="R75" s="72" t="str">
        <f t="shared" si="51"/>
        <v/>
      </c>
      <c r="S75" s="39"/>
      <c r="T75" s="72" t="str">
        <f t="shared" si="18"/>
        <v/>
      </c>
      <c r="U75" s="39"/>
      <c r="V75" s="72" t="str">
        <f t="shared" si="39"/>
        <v/>
      </c>
      <c r="W75" s="72" t="str">
        <f t="shared" si="19"/>
        <v/>
      </c>
      <c r="X75" s="39"/>
      <c r="Y75" s="72" t="str">
        <f t="shared" si="40"/>
        <v/>
      </c>
      <c r="Z75" s="72" t="str">
        <f t="shared" si="20"/>
        <v/>
      </c>
      <c r="AA75" s="39"/>
      <c r="AB75" s="72" t="str">
        <f t="shared" si="4"/>
        <v/>
      </c>
      <c r="AC75" s="72" t="str">
        <f t="shared" si="21"/>
        <v/>
      </c>
      <c r="AD75" s="39"/>
      <c r="AE75" s="72" t="str">
        <f t="shared" si="41"/>
        <v/>
      </c>
      <c r="AF75" s="72" t="str">
        <f t="shared" si="22"/>
        <v/>
      </c>
      <c r="AG75" s="39"/>
      <c r="AH75" s="72" t="str">
        <f t="shared" si="42"/>
        <v/>
      </c>
      <c r="AI75" s="72" t="str">
        <f t="shared" si="23"/>
        <v/>
      </c>
      <c r="AJ75" s="39"/>
      <c r="AK75" s="72" t="str">
        <f t="shared" si="43"/>
        <v/>
      </c>
      <c r="AL75" s="72" t="str">
        <f t="shared" si="24"/>
        <v/>
      </c>
      <c r="AM75" s="39"/>
      <c r="AN75" s="72" t="str">
        <f t="shared" si="44"/>
        <v/>
      </c>
      <c r="AO75" s="72" t="str">
        <f t="shared" si="25"/>
        <v/>
      </c>
      <c r="AP75" s="39"/>
      <c r="AQ75" s="72" t="str">
        <f t="shared" si="45"/>
        <v/>
      </c>
      <c r="AR75" s="72" t="str">
        <f t="shared" si="26"/>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46"/>
        <v/>
      </c>
      <c r="AW75" s="72" t="str">
        <f t="shared" si="27"/>
        <v/>
      </c>
      <c r="AX75" s="39"/>
      <c r="AY75" s="40" t="str">
        <f>IF(ISERROR(IF($K75&lt;=$F$15,VLOOKUP($I75,'表4）CO2価格'!$A$7:$E$67,VLOOKUP($F$48,'表4）CO2価格'!$H$10:$I$12,2,0),0)*$F$8/1000,"")),0,IF($K75&lt;=$F$15,VLOOKUP($I75,'表4）CO2価格'!$A$7:$E$67,VLOOKUP($F$48,'表4）CO2価格'!$H$10:$I$12,2,0),0)*$F$8/1000,""))</f>
        <v/>
      </c>
      <c r="AZ75" s="39"/>
      <c r="BA75" s="42" t="str">
        <f t="shared" si="47"/>
        <v/>
      </c>
      <c r="BB75" s="72" t="str">
        <f t="shared" si="28"/>
        <v/>
      </c>
      <c r="BC75" s="39"/>
      <c r="BD75" s="72" t="str">
        <f t="shared" si="48"/>
        <v/>
      </c>
      <c r="BE75" s="72" t="str">
        <f t="shared" si="29"/>
        <v/>
      </c>
      <c r="BF75" s="39"/>
      <c r="BG75" s="42" t="str">
        <f t="shared" si="49"/>
        <v/>
      </c>
      <c r="BH75" s="72" t="str">
        <f t="shared" si="30"/>
        <v/>
      </c>
      <c r="BI75" s="39"/>
      <c r="BJ75" s="40" t="str">
        <f t="shared" si="31"/>
        <v/>
      </c>
      <c r="BK75" s="157" t="str">
        <f t="shared" si="32"/>
        <v/>
      </c>
      <c r="BL75" s="157" t="str">
        <f t="shared" si="14"/>
        <v/>
      </c>
      <c r="BM75" s="72"/>
      <c r="BN75" s="72" t="str">
        <f t="shared" si="33"/>
        <v/>
      </c>
      <c r="BO75" s="72" t="str">
        <f t="shared" si="34"/>
        <v/>
      </c>
      <c r="BP75" s="39"/>
      <c r="BQ75" s="72" t="str">
        <f t="shared" si="50"/>
        <v/>
      </c>
      <c r="BR75" s="72" t="str">
        <f t="shared" si="35"/>
        <v/>
      </c>
    </row>
    <row r="76" spans="2:70" x14ac:dyDescent="0.15">
      <c r="D76" s="101" t="s">
        <v>193</v>
      </c>
      <c r="E76" s="101"/>
      <c r="F76" s="92"/>
      <c r="G76" s="101"/>
      <c r="I76" s="459">
        <f t="shared" si="36"/>
        <v>2081</v>
      </c>
      <c r="J76" s="71"/>
      <c r="K76" s="71">
        <f t="shared" si="37"/>
        <v>62</v>
      </c>
      <c r="L76" s="71"/>
      <c r="M76" s="7">
        <f t="shared" si="0"/>
        <v>0.15998971629410663</v>
      </c>
      <c r="N76" s="71"/>
      <c r="O76" s="10" t="str">
        <f t="shared" si="16"/>
        <v/>
      </c>
      <c r="P76" s="29" t="str">
        <f t="shared" si="38"/>
        <v/>
      </c>
      <c r="Q76" s="71"/>
      <c r="R76" s="10" t="str">
        <f t="shared" si="51"/>
        <v/>
      </c>
      <c r="S76" s="71"/>
      <c r="T76" s="10" t="str">
        <f t="shared" si="18"/>
        <v/>
      </c>
      <c r="U76" s="71"/>
      <c r="V76" s="10" t="str">
        <f t="shared" si="39"/>
        <v/>
      </c>
      <c r="W76" s="10" t="str">
        <f t="shared" si="19"/>
        <v/>
      </c>
      <c r="X76" s="71"/>
      <c r="Y76" s="10" t="str">
        <f t="shared" si="40"/>
        <v/>
      </c>
      <c r="Z76" s="10" t="str">
        <f t="shared" si="20"/>
        <v/>
      </c>
      <c r="AA76" s="71"/>
      <c r="AB76" s="10" t="str">
        <f t="shared" si="4"/>
        <v/>
      </c>
      <c r="AC76" s="10" t="str">
        <f t="shared" si="21"/>
        <v/>
      </c>
      <c r="AD76" s="71"/>
      <c r="AE76" s="10" t="str">
        <f t="shared" si="41"/>
        <v/>
      </c>
      <c r="AF76" s="10" t="str">
        <f t="shared" si="22"/>
        <v/>
      </c>
      <c r="AG76" s="71"/>
      <c r="AH76" s="10" t="str">
        <f t="shared" si="42"/>
        <v/>
      </c>
      <c r="AI76" s="10" t="str">
        <f t="shared" si="23"/>
        <v/>
      </c>
      <c r="AJ76" s="71"/>
      <c r="AK76" s="10" t="str">
        <f t="shared" si="43"/>
        <v/>
      </c>
      <c r="AL76" s="10" t="str">
        <f t="shared" si="24"/>
        <v/>
      </c>
      <c r="AM76" s="71"/>
      <c r="AN76" s="10" t="str">
        <f t="shared" si="44"/>
        <v/>
      </c>
      <c r="AO76" s="10" t="str">
        <f t="shared" si="25"/>
        <v/>
      </c>
      <c r="AP76" s="71"/>
      <c r="AQ76" s="10" t="str">
        <f t="shared" si="45"/>
        <v/>
      </c>
      <c r="AR76" s="10" t="str">
        <f t="shared" si="26"/>
        <v/>
      </c>
      <c r="AS76" s="71"/>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U76" s="71"/>
      <c r="AV76" s="10" t="str">
        <f t="shared" si="46"/>
        <v/>
      </c>
      <c r="AW76" s="10" t="str">
        <f t="shared" si="27"/>
        <v/>
      </c>
      <c r="AX76" s="71"/>
      <c r="AY76" s="7" t="str">
        <f>IF(ISERROR(IF($K76&lt;=$F$15,VLOOKUP($I76,'表4）CO2価格'!$A$7:$E$67,VLOOKUP($F$48,'表4）CO2価格'!$H$10:$I$12,2,0),0)*$F$8/1000,"")),0,IF($K76&lt;=$F$15,VLOOKUP($I76,'表4）CO2価格'!$A$7:$E$67,VLOOKUP($F$48,'表4）CO2価格'!$H$10:$I$12,2,0),0)*$F$8/1000,""))</f>
        <v/>
      </c>
      <c r="AZ76" s="71"/>
      <c r="BA76" s="11" t="str">
        <f t="shared" si="47"/>
        <v/>
      </c>
      <c r="BB76" s="10" t="str">
        <f t="shared" si="28"/>
        <v/>
      </c>
      <c r="BC76" s="71"/>
      <c r="BD76" s="10" t="str">
        <f t="shared" si="48"/>
        <v/>
      </c>
      <c r="BE76" s="10" t="str">
        <f t="shared" si="29"/>
        <v/>
      </c>
      <c r="BF76" s="71"/>
      <c r="BG76" s="11" t="str">
        <f t="shared" si="49"/>
        <v/>
      </c>
      <c r="BH76" s="10" t="str">
        <f t="shared" si="30"/>
        <v/>
      </c>
      <c r="BJ76" s="7" t="str">
        <f t="shared" si="31"/>
        <v/>
      </c>
      <c r="BK76" s="158" t="str">
        <f t="shared" si="32"/>
        <v/>
      </c>
      <c r="BL76" s="158" t="str">
        <f t="shared" si="14"/>
        <v/>
      </c>
      <c r="BM76" s="10"/>
      <c r="BN76" s="10" t="str">
        <f t="shared" si="33"/>
        <v/>
      </c>
      <c r="BO76" s="10" t="str">
        <f t="shared" si="34"/>
        <v/>
      </c>
      <c r="BQ76" s="10" t="str">
        <f t="shared" si="50"/>
        <v/>
      </c>
      <c r="BR76" s="10" t="str">
        <f t="shared" si="35"/>
        <v/>
      </c>
    </row>
    <row r="77" spans="2:70" x14ac:dyDescent="0.15">
      <c r="F77" s="93"/>
      <c r="I77" s="458">
        <f t="shared" si="36"/>
        <v>2082</v>
      </c>
      <c r="J77" s="39"/>
      <c r="K77" s="39">
        <f t="shared" si="37"/>
        <v>63</v>
      </c>
      <c r="L77" s="39"/>
      <c r="M77" s="40">
        <f t="shared" si="0"/>
        <v>0.15532982164476369</v>
      </c>
      <c r="N77" s="39"/>
      <c r="O77" s="72" t="str">
        <f t="shared" si="16"/>
        <v/>
      </c>
      <c r="P77" s="41" t="str">
        <f t="shared" si="38"/>
        <v/>
      </c>
      <c r="Q77" s="39"/>
      <c r="R77" s="72" t="str">
        <f t="shared" si="51"/>
        <v/>
      </c>
      <c r="S77" s="39"/>
      <c r="T77" s="72" t="str">
        <f t="shared" si="18"/>
        <v/>
      </c>
      <c r="U77" s="39"/>
      <c r="V77" s="72" t="str">
        <f t="shared" si="39"/>
        <v/>
      </c>
      <c r="W77" s="72" t="str">
        <f t="shared" si="19"/>
        <v/>
      </c>
      <c r="X77" s="39"/>
      <c r="Y77" s="72" t="str">
        <f t="shared" si="40"/>
        <v/>
      </c>
      <c r="Z77" s="72" t="str">
        <f t="shared" si="20"/>
        <v/>
      </c>
      <c r="AA77" s="39"/>
      <c r="AB77" s="72" t="str">
        <f t="shared" si="4"/>
        <v/>
      </c>
      <c r="AC77" s="72" t="str">
        <f t="shared" si="21"/>
        <v/>
      </c>
      <c r="AD77" s="39"/>
      <c r="AE77" s="72" t="str">
        <f t="shared" si="41"/>
        <v/>
      </c>
      <c r="AF77" s="72" t="str">
        <f t="shared" si="22"/>
        <v/>
      </c>
      <c r="AG77" s="39"/>
      <c r="AH77" s="72" t="str">
        <f t="shared" si="42"/>
        <v/>
      </c>
      <c r="AI77" s="72" t="str">
        <f t="shared" si="23"/>
        <v/>
      </c>
      <c r="AJ77" s="39"/>
      <c r="AK77" s="72" t="str">
        <f t="shared" si="43"/>
        <v/>
      </c>
      <c r="AL77" s="72" t="str">
        <f t="shared" si="24"/>
        <v/>
      </c>
      <c r="AM77" s="39"/>
      <c r="AN77" s="72" t="str">
        <f t="shared" si="44"/>
        <v/>
      </c>
      <c r="AO77" s="72" t="str">
        <f t="shared" si="25"/>
        <v/>
      </c>
      <c r="AP77" s="39"/>
      <c r="AQ77" s="72" t="str">
        <f t="shared" si="45"/>
        <v/>
      </c>
      <c r="AR77" s="72" t="str">
        <f t="shared" si="26"/>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46"/>
        <v/>
      </c>
      <c r="AW77" s="72" t="str">
        <f t="shared" si="27"/>
        <v/>
      </c>
      <c r="AX77" s="39"/>
      <c r="AY77" s="40" t="str">
        <f>IF(ISERROR(IF($K77&lt;=$F$15,VLOOKUP($I77,'表4）CO2価格'!$A$7:$E$67,VLOOKUP($F$48,'表4）CO2価格'!$H$10:$I$12,2,0),0)*$F$8/1000,"")),0,IF($K77&lt;=$F$15,VLOOKUP($I77,'表4）CO2価格'!$A$7:$E$67,VLOOKUP($F$48,'表4）CO2価格'!$H$10:$I$12,2,0),0)*$F$8/1000,""))</f>
        <v/>
      </c>
      <c r="AZ77" s="39"/>
      <c r="BA77" s="42" t="str">
        <f t="shared" si="47"/>
        <v/>
      </c>
      <c r="BB77" s="72" t="str">
        <f t="shared" si="28"/>
        <v/>
      </c>
      <c r="BC77" s="39"/>
      <c r="BD77" s="72" t="str">
        <f t="shared" si="48"/>
        <v/>
      </c>
      <c r="BE77" s="72" t="str">
        <f t="shared" si="29"/>
        <v/>
      </c>
      <c r="BF77" s="39"/>
      <c r="BG77" s="42" t="str">
        <f t="shared" si="49"/>
        <v/>
      </c>
      <c r="BH77" s="72" t="str">
        <f t="shared" si="30"/>
        <v/>
      </c>
      <c r="BI77" s="39"/>
      <c r="BJ77" s="40" t="str">
        <f t="shared" si="31"/>
        <v/>
      </c>
      <c r="BK77" s="157" t="str">
        <f t="shared" si="32"/>
        <v/>
      </c>
      <c r="BL77" s="157" t="str">
        <f t="shared" si="14"/>
        <v/>
      </c>
      <c r="BM77" s="72"/>
      <c r="BN77" s="72" t="str">
        <f t="shared" si="33"/>
        <v/>
      </c>
      <c r="BO77" s="72" t="str">
        <f t="shared" si="34"/>
        <v/>
      </c>
      <c r="BP77" s="39"/>
      <c r="BQ77" s="72" t="str">
        <f t="shared" si="50"/>
        <v/>
      </c>
      <c r="BR77" s="72" t="str">
        <f t="shared" si="35"/>
        <v/>
      </c>
    </row>
    <row r="78" spans="2:70" x14ac:dyDescent="0.15">
      <c r="E78" s="74" t="s">
        <v>138</v>
      </c>
      <c r="F78" s="91">
        <f>R15/$BR$116</f>
        <v>8.9560058473453719</v>
      </c>
      <c r="G78" s="81" t="s">
        <v>132</v>
      </c>
      <c r="I78" s="459">
        <f t="shared" si="36"/>
        <v>2083</v>
      </c>
      <c r="J78" s="71"/>
      <c r="K78" s="71">
        <f t="shared" si="37"/>
        <v>64</v>
      </c>
      <c r="L78" s="71"/>
      <c r="M78" s="7">
        <f t="shared" si="0"/>
        <v>0.15080565208229488</v>
      </c>
      <c r="N78" s="71"/>
      <c r="O78" s="10" t="str">
        <f t="shared" si="16"/>
        <v/>
      </c>
      <c r="P78" s="29" t="str">
        <f t="shared" si="38"/>
        <v/>
      </c>
      <c r="Q78" s="71"/>
      <c r="R78" s="10" t="str">
        <f t="shared" si="51"/>
        <v/>
      </c>
      <c r="S78" s="71"/>
      <c r="T78" s="10" t="str">
        <f t="shared" si="18"/>
        <v/>
      </c>
      <c r="U78" s="71"/>
      <c r="V78" s="10" t="str">
        <f t="shared" si="39"/>
        <v/>
      </c>
      <c r="W78" s="10" t="str">
        <f t="shared" si="19"/>
        <v/>
      </c>
      <c r="X78" s="71"/>
      <c r="Y78" s="10" t="str">
        <f t="shared" si="40"/>
        <v/>
      </c>
      <c r="Z78" s="10" t="str">
        <f t="shared" si="20"/>
        <v/>
      </c>
      <c r="AA78" s="71"/>
      <c r="AB78" s="10" t="str">
        <f t="shared" si="4"/>
        <v/>
      </c>
      <c r="AC78" s="10" t="str">
        <f t="shared" si="21"/>
        <v/>
      </c>
      <c r="AD78" s="71"/>
      <c r="AE78" s="10" t="str">
        <f t="shared" si="41"/>
        <v/>
      </c>
      <c r="AF78" s="10" t="str">
        <f t="shared" si="22"/>
        <v/>
      </c>
      <c r="AG78" s="71"/>
      <c r="AH78" s="10" t="str">
        <f t="shared" si="42"/>
        <v/>
      </c>
      <c r="AI78" s="10" t="str">
        <f t="shared" si="23"/>
        <v/>
      </c>
      <c r="AJ78" s="71"/>
      <c r="AK78" s="10" t="str">
        <f t="shared" si="43"/>
        <v/>
      </c>
      <c r="AL78" s="10" t="str">
        <f t="shared" si="24"/>
        <v/>
      </c>
      <c r="AM78" s="71"/>
      <c r="AN78" s="10" t="str">
        <f t="shared" si="44"/>
        <v/>
      </c>
      <c r="AO78" s="10" t="str">
        <f t="shared" si="25"/>
        <v/>
      </c>
      <c r="AP78" s="71"/>
      <c r="AQ78" s="10" t="str">
        <f t="shared" si="45"/>
        <v/>
      </c>
      <c r="AR78" s="10" t="str">
        <f t="shared" si="26"/>
        <v/>
      </c>
      <c r="AS78" s="71"/>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U78" s="71"/>
      <c r="AV78" s="10" t="str">
        <f t="shared" si="46"/>
        <v/>
      </c>
      <c r="AW78" s="10" t="str">
        <f t="shared" si="27"/>
        <v/>
      </c>
      <c r="AX78" s="71"/>
      <c r="AY78" s="7" t="str">
        <f>IF(ISERROR(IF($K78&lt;=$F$15,VLOOKUP($I78,'表4）CO2価格'!$A$7:$E$67,VLOOKUP($F$48,'表4）CO2価格'!$H$10:$I$12,2,0),0)*$F$8/1000,"")),0,IF($K78&lt;=$F$15,VLOOKUP($I78,'表4）CO2価格'!$A$7:$E$67,VLOOKUP($F$48,'表4）CO2価格'!$H$10:$I$12,2,0),0)*$F$8/1000,""))</f>
        <v/>
      </c>
      <c r="AZ78" s="71"/>
      <c r="BA78" s="11" t="str">
        <f t="shared" si="47"/>
        <v/>
      </c>
      <c r="BB78" s="10" t="str">
        <f t="shared" si="28"/>
        <v/>
      </c>
      <c r="BC78" s="71"/>
      <c r="BD78" s="10" t="str">
        <f t="shared" si="48"/>
        <v/>
      </c>
      <c r="BE78" s="10" t="str">
        <f t="shared" si="29"/>
        <v/>
      </c>
      <c r="BF78" s="71"/>
      <c r="BG78" s="11" t="str">
        <f t="shared" si="49"/>
        <v/>
      </c>
      <c r="BH78" s="10" t="str">
        <f t="shared" si="30"/>
        <v/>
      </c>
      <c r="BJ78" s="7" t="str">
        <f t="shared" si="31"/>
        <v/>
      </c>
      <c r="BK78" s="158" t="str">
        <f t="shared" si="32"/>
        <v/>
      </c>
      <c r="BL78" s="158" t="str">
        <f t="shared" si="14"/>
        <v/>
      </c>
      <c r="BM78" s="10"/>
      <c r="BN78" s="10" t="str">
        <f t="shared" si="33"/>
        <v/>
      </c>
      <c r="BO78" s="10" t="str">
        <f t="shared" si="34"/>
        <v/>
      </c>
      <c r="BQ78" s="10" t="str">
        <f t="shared" si="50"/>
        <v/>
      </c>
      <c r="BR78" s="10" t="str">
        <f t="shared" si="35"/>
        <v/>
      </c>
    </row>
    <row r="79" spans="2:70" x14ac:dyDescent="0.15">
      <c r="E79" s="81" t="s">
        <v>139</v>
      </c>
      <c r="F79" s="91">
        <f>Z116/$BR$116</f>
        <v>0.78837410553203691</v>
      </c>
      <c r="G79" s="81" t="s">
        <v>132</v>
      </c>
      <c r="I79" s="458">
        <f t="shared" si="36"/>
        <v>2084</v>
      </c>
      <c r="J79" s="39"/>
      <c r="K79" s="39">
        <f t="shared" si="37"/>
        <v>65</v>
      </c>
      <c r="L79" s="39"/>
      <c r="M79" s="40">
        <f t="shared" ref="M79:M114" si="52">1/(1+($F$9/100))^K79</f>
        <v>0.14641325444882999</v>
      </c>
      <c r="N79" s="39"/>
      <c r="O79" s="72" t="str">
        <f t="shared" si="16"/>
        <v/>
      </c>
      <c r="P79" s="41" t="str">
        <f t="shared" ref="P79:P110" si="53">IF(K79&lt;=$F$15,IF(OR(P78=$F$124,P78="-"),"-",IF(O79*$F$123&gt;$F$127,$F$123,$F$124)),"")</f>
        <v/>
      </c>
      <c r="Q79" s="39"/>
      <c r="R79" s="72" t="str">
        <f t="shared" si="51"/>
        <v/>
      </c>
      <c r="S79" s="39"/>
      <c r="T79" s="72" t="str">
        <f t="shared" si="18"/>
        <v/>
      </c>
      <c r="U79" s="39"/>
      <c r="V79" s="72" t="str">
        <f t="shared" ref="V79:V114" si="54">IF(K79&lt;=$F$15,IF(K79&lt;$F$119,IF(P79="-",V78,O79*P79),IF(K79=$F$119,MIN(IF(P79="-",V78,O79*P79),O79),0)),"")</f>
        <v/>
      </c>
      <c r="W79" s="72" t="str">
        <f t="shared" si="19"/>
        <v/>
      </c>
      <c r="X79" s="39"/>
      <c r="Y79" s="72" t="str">
        <f t="shared" ref="Y79:Y114" si="55">IF($K79&lt;=$F$15,ROUNDDOWN(T79*$F$25/100,-2),"")</f>
        <v/>
      </c>
      <c r="Z79" s="72" t="str">
        <f t="shared" si="20"/>
        <v/>
      </c>
      <c r="AA79" s="39"/>
      <c r="AB79" s="72" t="str">
        <f t="shared" ref="AB79:AB114" si="56">IF($K79&lt;=$F$15,0,IF(AND($K79&gt;$F$15,$K79&lt;=$F$15+$F$28),$F$27*10^8/$F$28,""))</f>
        <v/>
      </c>
      <c r="AC79" s="72" t="str">
        <f t="shared" si="21"/>
        <v/>
      </c>
      <c r="AD79" s="39"/>
      <c r="AE79" s="72" t="str">
        <f t="shared" ref="AE79:AE114" si="57">IF($K79&lt;=$F$15,$F$26,"")</f>
        <v/>
      </c>
      <c r="AF79" s="72" t="str">
        <f t="shared" si="22"/>
        <v/>
      </c>
      <c r="AG79" s="39"/>
      <c r="AH79" s="72" t="str">
        <f t="shared" ref="AH79:AH114" si="58">IF($K79&lt;=$F$15,$F$33*10^4*$F$13*10^4,"")</f>
        <v/>
      </c>
      <c r="AI79" s="72" t="str">
        <f t="shared" si="23"/>
        <v/>
      </c>
      <c r="AJ79" s="39"/>
      <c r="AK79" s="72" t="str">
        <f t="shared" ref="AK79:AK114" si="59">IF($K79&lt;=$F$15,$F$117*$F$34/100,"")</f>
        <v/>
      </c>
      <c r="AL79" s="72" t="str">
        <f t="shared" si="24"/>
        <v/>
      </c>
      <c r="AM79" s="39"/>
      <c r="AN79" s="72" t="str">
        <f t="shared" ref="AN79:AN114" si="60">IF($K79&lt;=$F$15,$F$117*$F$35/100,"")</f>
        <v/>
      </c>
      <c r="AO79" s="72" t="str">
        <f t="shared" si="25"/>
        <v/>
      </c>
      <c r="AP79" s="39"/>
      <c r="AQ79" s="72" t="str">
        <f t="shared" ref="AQ79:AQ114" si="61">IF($K79&lt;=$F$15,SUM(AH79,AK79,AN79)*($F$36/100),"")</f>
        <v/>
      </c>
      <c r="AR79" s="72" t="str">
        <f t="shared" si="26"/>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62">IF($K79&lt;=$F$15,($AT79+$F$142)*$F$137,"")</f>
        <v/>
      </c>
      <c r="AW79" s="72" t="str">
        <f t="shared" si="27"/>
        <v/>
      </c>
      <c r="AX79" s="39"/>
      <c r="AY79" s="40" t="str">
        <f>IF(ISERROR(IF($K79&lt;=$F$15,VLOOKUP($I79,'表4）CO2価格'!$A$7:$E$67,VLOOKUP($F$48,'表4）CO2価格'!$H$10:$I$12,2,0),0)*$F$8/1000,"")),0,IF($K79&lt;=$F$15,VLOOKUP($I79,'表4）CO2価格'!$A$7:$E$67,VLOOKUP($F$48,'表4）CO2価格'!$H$10:$I$12,2,0),0)*$F$8/1000,""))</f>
        <v/>
      </c>
      <c r="AZ79" s="39"/>
      <c r="BA79" s="42" t="str">
        <f t="shared" ref="BA79:BA114" si="63">IF($K79&lt;=$F$15,$F$145*AY79,"")</f>
        <v/>
      </c>
      <c r="BB79" s="72" t="str">
        <f t="shared" si="28"/>
        <v/>
      </c>
      <c r="BC79" s="39"/>
      <c r="BD79" s="72" t="str">
        <f t="shared" ref="BD79:BD114" si="64">IF($K79&lt;=$F$15,($AT79+$F$152)*$F$151,"")</f>
        <v/>
      </c>
      <c r="BE79" s="72" t="str">
        <f t="shared" si="29"/>
        <v/>
      </c>
      <c r="BF79" s="39"/>
      <c r="BG79" s="42" t="str">
        <f t="shared" ref="BG79:BG114" si="65">IF($K79&lt;=$F$15,$F$153*AY79,"")</f>
        <v/>
      </c>
      <c r="BH79" s="72" t="str">
        <f t="shared" si="30"/>
        <v/>
      </c>
      <c r="BI79" s="39"/>
      <c r="BJ79" s="40" t="str">
        <f t="shared" si="31"/>
        <v/>
      </c>
      <c r="BK79" s="157" t="str">
        <f t="shared" si="32"/>
        <v/>
      </c>
      <c r="BL79" s="157" t="str">
        <f t="shared" ref="BL79:BL114" si="66">IF(AND(ISNUMBER(BJ79),$K79&lt;=$F$16),BQ79*BJ79,"")</f>
        <v/>
      </c>
      <c r="BM79" s="72"/>
      <c r="BN79" s="72" t="str">
        <f t="shared" si="33"/>
        <v/>
      </c>
      <c r="BO79" s="72" t="str">
        <f t="shared" si="34"/>
        <v/>
      </c>
      <c r="BP79" s="39"/>
      <c r="BQ79" s="72" t="str">
        <f t="shared" ref="BQ79:BQ114" si="67">IF($K79&lt;=$F$15,$F$134,"")</f>
        <v/>
      </c>
      <c r="BR79" s="72" t="str">
        <f t="shared" si="35"/>
        <v/>
      </c>
    </row>
    <row r="80" spans="2:70" x14ac:dyDescent="0.15">
      <c r="E80" s="81" t="s">
        <v>115</v>
      </c>
      <c r="F80" s="91">
        <f>AF116/$BR$116</f>
        <v>0</v>
      </c>
      <c r="G80" s="81" t="s">
        <v>132</v>
      </c>
      <c r="I80" s="459">
        <f t="shared" si="36"/>
        <v>2085</v>
      </c>
      <c r="J80" s="71"/>
      <c r="K80" s="71">
        <f t="shared" si="37"/>
        <v>66</v>
      </c>
      <c r="L80" s="71"/>
      <c r="M80" s="7">
        <f t="shared" si="52"/>
        <v>0.14214879072701941</v>
      </c>
      <c r="N80" s="71"/>
      <c r="O80" s="10" t="str">
        <f t="shared" ref="O80:O114" si="68">IF(K80&lt;=$F$15,O79-V79,"")</f>
        <v/>
      </c>
      <c r="P80" s="29" t="str">
        <f t="shared" si="53"/>
        <v/>
      </c>
      <c r="Q80" s="71"/>
      <c r="R80" s="10" t="str">
        <f t="shared" ref="R80:R114" si="69">IF($K80&lt;=$F$15,MAX($F$117*5%,R79*$F$129),"")</f>
        <v/>
      </c>
      <c r="S80" s="71"/>
      <c r="T80" s="10" t="str">
        <f t="shared" ref="T80:T114" si="70">IF(ISNUMBER(R80),ROUNDDOWN(R80,-3),"")</f>
        <v/>
      </c>
      <c r="U80" s="71"/>
      <c r="V80" s="10" t="str">
        <f t="shared" si="54"/>
        <v/>
      </c>
      <c r="W80" s="10" t="str">
        <f t="shared" ref="W80:W114" si="71">IF(ISNUMBER(V80),V80*$M80,"")</f>
        <v/>
      </c>
      <c r="X80" s="71"/>
      <c r="Y80" s="10" t="str">
        <f t="shared" si="55"/>
        <v/>
      </c>
      <c r="Z80" s="10" t="str">
        <f t="shared" ref="Z80:Z114" si="72">IF(ISNUMBER(Y80),Y80*$M80,"")</f>
        <v/>
      </c>
      <c r="AA80" s="71"/>
      <c r="AB80" s="10" t="str">
        <f t="shared" si="56"/>
        <v/>
      </c>
      <c r="AC80" s="10" t="str">
        <f t="shared" ref="AC80:AC114" si="73">IF(ISNUMBER(AB80),AB80*$M80,"")</f>
        <v/>
      </c>
      <c r="AD80" s="71"/>
      <c r="AE80" s="10" t="str">
        <f t="shared" si="57"/>
        <v/>
      </c>
      <c r="AF80" s="10" t="str">
        <f t="shared" ref="AF80:AF114" si="74">IF(ISNUMBER(AE80),AE80*$M80,"")</f>
        <v/>
      </c>
      <c r="AG80" s="71"/>
      <c r="AH80" s="10" t="str">
        <f t="shared" si="58"/>
        <v/>
      </c>
      <c r="AI80" s="10" t="str">
        <f t="shared" ref="AI80:AI114" si="75">IF(ISNUMBER(AH80),AH80*$M80,"")</f>
        <v/>
      </c>
      <c r="AJ80" s="71"/>
      <c r="AK80" s="10" t="str">
        <f t="shared" si="59"/>
        <v/>
      </c>
      <c r="AL80" s="10" t="str">
        <f t="shared" ref="AL80:AL114" si="76">IF(ISNUMBER(AK80),AK80*$M80,"")</f>
        <v/>
      </c>
      <c r="AM80" s="71"/>
      <c r="AN80" s="10" t="str">
        <f t="shared" si="60"/>
        <v/>
      </c>
      <c r="AO80" s="10" t="str">
        <f t="shared" ref="AO80:AO114" si="77">IF(ISNUMBER(AN80),AN80*$M80,"")</f>
        <v/>
      </c>
      <c r="AP80" s="71"/>
      <c r="AQ80" s="10" t="str">
        <f t="shared" si="61"/>
        <v/>
      </c>
      <c r="AR80" s="10" t="str">
        <f t="shared" ref="AR80:AR114" si="78">IF(ISNUMBER(AQ80),AQ80*$M80,"")</f>
        <v/>
      </c>
      <c r="AS80" s="71"/>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U80" s="71"/>
      <c r="AV80" s="10" t="str">
        <f t="shared" si="62"/>
        <v/>
      </c>
      <c r="AW80" s="10" t="str">
        <f t="shared" ref="AW80:AW114" si="79">IF(ISNUMBER(AV80),AV80*$M80,"")</f>
        <v/>
      </c>
      <c r="AX80" s="71"/>
      <c r="AY80" s="7" t="str">
        <f>IF(ISERROR(IF($K80&lt;=$F$15,VLOOKUP($I80,'表4）CO2価格'!$A$7:$E$67,VLOOKUP($F$48,'表4）CO2価格'!$H$10:$I$12,2,0),0)*$F$8/1000,"")),0,IF($K80&lt;=$F$15,VLOOKUP($I80,'表4）CO2価格'!$A$7:$E$67,VLOOKUP($F$48,'表4）CO2価格'!$H$10:$I$12,2,0),0)*$F$8/1000,""))</f>
        <v/>
      </c>
      <c r="AZ80" s="71"/>
      <c r="BA80" s="11" t="str">
        <f t="shared" si="63"/>
        <v/>
      </c>
      <c r="BB80" s="10" t="str">
        <f t="shared" ref="BB80:BB114" si="80">IF(ISNUMBER(BA80),BA80*$M80,"")</f>
        <v/>
      </c>
      <c r="BC80" s="71"/>
      <c r="BD80" s="10" t="str">
        <f t="shared" si="64"/>
        <v/>
      </c>
      <c r="BE80" s="10" t="str">
        <f t="shared" ref="BE80:BE114" si="81">IF(ISNUMBER(BD80),BD80*$M80,"")</f>
        <v/>
      </c>
      <c r="BF80" s="71"/>
      <c r="BG80" s="11" t="str">
        <f t="shared" si="65"/>
        <v/>
      </c>
      <c r="BH80" s="10" t="str">
        <f t="shared" ref="BH80:BH114" si="82">IF(ISNUMBER(BG80),BG80*$M80,"")</f>
        <v/>
      </c>
      <c r="BJ80" s="7" t="str">
        <f t="shared" ref="BJ80:BJ114" si="83">IF(ISNUMBER($F$16),IF($K80&lt;=$F$16+$F$28,1/(1+($F$17/100))^K80,""),"")</f>
        <v/>
      </c>
      <c r="BK80" s="158" t="str">
        <f t="shared" ref="BK80:BK114" si="84">IF(ISNUMBER($F$16),IF($K80&lt;=$F$16+$F$28,IF($K80&lt;=$F$16,SUM(Y80,AB80,AE80,AH80,AK80,AN80,AQ80,AV80,BA80,BD80,BG80),$F$27/$F$28*10^8)*BJ80,""),"")</f>
        <v/>
      </c>
      <c r="BL80" s="158" t="str">
        <f t="shared" si="66"/>
        <v/>
      </c>
      <c r="BM80" s="10"/>
      <c r="BN80" s="10" t="str">
        <f t="shared" ref="BN80:BN114" si="85">IF(AND(ISNUMBER($F$16),$K80&lt;=$F$16),BQ80*($O$15+$BK$116)/$BL$116,"")</f>
        <v/>
      </c>
      <c r="BO80" s="10" t="str">
        <f t="shared" ref="BO80:BO114" si="86">IF(ISNUMBER(BN80),BN80*$M80,"")</f>
        <v/>
      </c>
      <c r="BQ80" s="10" t="str">
        <f t="shared" si="67"/>
        <v/>
      </c>
      <c r="BR80" s="10" t="str">
        <f t="shared" ref="BR80:BR114" si="87">IF(ISNUMBER(BQ80),BQ80*$M80,"")</f>
        <v/>
      </c>
    </row>
    <row r="81" spans="4:70" x14ac:dyDescent="0.15">
      <c r="E81" s="82" t="s">
        <v>86</v>
      </c>
      <c r="F81" s="91">
        <f>AC116/$BR$116</f>
        <v>0.20764263451612322</v>
      </c>
      <c r="G81" s="81" t="s">
        <v>132</v>
      </c>
      <c r="I81" s="458">
        <f t="shared" ref="I81:I114" si="88">I80+1</f>
        <v>2086</v>
      </c>
      <c r="J81" s="39"/>
      <c r="K81" s="39">
        <f t="shared" ref="K81:K114" si="89">IF(I81&lt;&gt;"",K80+1,"")</f>
        <v>67</v>
      </c>
      <c r="L81" s="39"/>
      <c r="M81" s="40">
        <f t="shared" si="52"/>
        <v>0.1380085346864266</v>
      </c>
      <c r="N81" s="39"/>
      <c r="O81" s="72" t="str">
        <f t="shared" si="68"/>
        <v/>
      </c>
      <c r="P81" s="41" t="str">
        <f t="shared" si="53"/>
        <v/>
      </c>
      <c r="Q81" s="39"/>
      <c r="R81" s="72" t="str">
        <f t="shared" si="69"/>
        <v/>
      </c>
      <c r="S81" s="39"/>
      <c r="T81" s="72" t="str">
        <f t="shared" si="70"/>
        <v/>
      </c>
      <c r="U81" s="39"/>
      <c r="V81" s="72" t="str">
        <f t="shared" si="54"/>
        <v/>
      </c>
      <c r="W81" s="72" t="str">
        <f t="shared" si="71"/>
        <v/>
      </c>
      <c r="X81" s="39"/>
      <c r="Y81" s="72" t="str">
        <f t="shared" si="55"/>
        <v/>
      </c>
      <c r="Z81" s="72" t="str">
        <f t="shared" si="72"/>
        <v/>
      </c>
      <c r="AA81" s="39"/>
      <c r="AB81" s="72" t="str">
        <f t="shared" si="56"/>
        <v/>
      </c>
      <c r="AC81" s="72" t="str">
        <f t="shared" si="73"/>
        <v/>
      </c>
      <c r="AD81" s="39"/>
      <c r="AE81" s="72" t="str">
        <f t="shared" si="57"/>
        <v/>
      </c>
      <c r="AF81" s="72" t="str">
        <f t="shared" si="74"/>
        <v/>
      </c>
      <c r="AG81" s="39"/>
      <c r="AH81" s="72" t="str">
        <f t="shared" si="58"/>
        <v/>
      </c>
      <c r="AI81" s="72" t="str">
        <f t="shared" si="75"/>
        <v/>
      </c>
      <c r="AJ81" s="39"/>
      <c r="AK81" s="72" t="str">
        <f t="shared" si="59"/>
        <v/>
      </c>
      <c r="AL81" s="72" t="str">
        <f t="shared" si="76"/>
        <v/>
      </c>
      <c r="AM81" s="39"/>
      <c r="AN81" s="72" t="str">
        <f t="shared" si="60"/>
        <v/>
      </c>
      <c r="AO81" s="72" t="str">
        <f t="shared" si="77"/>
        <v/>
      </c>
      <c r="AP81" s="39"/>
      <c r="AQ81" s="72" t="str">
        <f t="shared" si="61"/>
        <v/>
      </c>
      <c r="AR81" s="72" t="str">
        <f t="shared" si="78"/>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62"/>
        <v/>
      </c>
      <c r="AW81" s="72" t="str">
        <f t="shared" si="79"/>
        <v/>
      </c>
      <c r="AX81" s="39"/>
      <c r="AY81" s="40" t="str">
        <f>IF(ISERROR(IF($K81&lt;=$F$15,VLOOKUP($I81,'表4）CO2価格'!$A$7:$E$67,VLOOKUP($F$48,'表4）CO2価格'!$H$10:$I$12,2,0),0)*$F$8/1000,"")),0,IF($K81&lt;=$F$15,VLOOKUP($I81,'表4）CO2価格'!$A$7:$E$67,VLOOKUP($F$48,'表4）CO2価格'!$H$10:$I$12,2,0),0)*$F$8/1000,""))</f>
        <v/>
      </c>
      <c r="AZ81" s="39"/>
      <c r="BA81" s="42" t="str">
        <f t="shared" si="63"/>
        <v/>
      </c>
      <c r="BB81" s="72" t="str">
        <f t="shared" si="80"/>
        <v/>
      </c>
      <c r="BC81" s="39"/>
      <c r="BD81" s="72" t="str">
        <f t="shared" si="64"/>
        <v/>
      </c>
      <c r="BE81" s="72" t="str">
        <f t="shared" si="81"/>
        <v/>
      </c>
      <c r="BF81" s="39"/>
      <c r="BG81" s="42" t="str">
        <f t="shared" si="65"/>
        <v/>
      </c>
      <c r="BH81" s="72" t="str">
        <f t="shared" si="82"/>
        <v/>
      </c>
      <c r="BI81" s="39"/>
      <c r="BJ81" s="40" t="str">
        <f t="shared" si="83"/>
        <v/>
      </c>
      <c r="BK81" s="157" t="str">
        <f t="shared" si="84"/>
        <v/>
      </c>
      <c r="BL81" s="157" t="str">
        <f t="shared" si="66"/>
        <v/>
      </c>
      <c r="BM81" s="72"/>
      <c r="BN81" s="72" t="str">
        <f t="shared" si="85"/>
        <v/>
      </c>
      <c r="BO81" s="72" t="str">
        <f t="shared" si="86"/>
        <v/>
      </c>
      <c r="BP81" s="39"/>
      <c r="BQ81" s="72" t="str">
        <f t="shared" si="67"/>
        <v/>
      </c>
      <c r="BR81" s="72" t="str">
        <f t="shared" si="87"/>
        <v/>
      </c>
    </row>
    <row r="82" spans="4:70" x14ac:dyDescent="0.15">
      <c r="F82" s="93"/>
      <c r="I82" s="459">
        <f t="shared" si="88"/>
        <v>2087</v>
      </c>
      <c r="J82" s="71"/>
      <c r="K82" s="71">
        <f t="shared" si="89"/>
        <v>68</v>
      </c>
      <c r="L82" s="71"/>
      <c r="M82" s="7">
        <f t="shared" si="52"/>
        <v>0.13398886862759865</v>
      </c>
      <c r="N82" s="71"/>
      <c r="O82" s="10" t="str">
        <f t="shared" si="68"/>
        <v/>
      </c>
      <c r="P82" s="29" t="str">
        <f t="shared" si="53"/>
        <v/>
      </c>
      <c r="Q82" s="71"/>
      <c r="R82" s="10" t="str">
        <f t="shared" si="69"/>
        <v/>
      </c>
      <c r="S82" s="71"/>
      <c r="T82" s="10" t="str">
        <f t="shared" si="70"/>
        <v/>
      </c>
      <c r="U82" s="71"/>
      <c r="V82" s="10" t="str">
        <f t="shared" si="54"/>
        <v/>
      </c>
      <c r="W82" s="10" t="str">
        <f t="shared" si="71"/>
        <v/>
      </c>
      <c r="X82" s="71"/>
      <c r="Y82" s="10" t="str">
        <f t="shared" si="55"/>
        <v/>
      </c>
      <c r="Z82" s="10" t="str">
        <f t="shared" si="72"/>
        <v/>
      </c>
      <c r="AA82" s="71"/>
      <c r="AB82" s="10" t="str">
        <f t="shared" si="56"/>
        <v/>
      </c>
      <c r="AC82" s="10" t="str">
        <f t="shared" si="73"/>
        <v/>
      </c>
      <c r="AD82" s="71"/>
      <c r="AE82" s="10" t="str">
        <f t="shared" si="57"/>
        <v/>
      </c>
      <c r="AF82" s="10" t="str">
        <f t="shared" si="74"/>
        <v/>
      </c>
      <c r="AG82" s="71"/>
      <c r="AH82" s="10" t="str">
        <f t="shared" si="58"/>
        <v/>
      </c>
      <c r="AI82" s="10" t="str">
        <f t="shared" si="75"/>
        <v/>
      </c>
      <c r="AJ82" s="71"/>
      <c r="AK82" s="10" t="str">
        <f t="shared" si="59"/>
        <v/>
      </c>
      <c r="AL82" s="10" t="str">
        <f t="shared" si="76"/>
        <v/>
      </c>
      <c r="AM82" s="71"/>
      <c r="AN82" s="10" t="str">
        <f t="shared" si="60"/>
        <v/>
      </c>
      <c r="AO82" s="10" t="str">
        <f t="shared" si="77"/>
        <v/>
      </c>
      <c r="AP82" s="71"/>
      <c r="AQ82" s="10" t="str">
        <f t="shared" si="61"/>
        <v/>
      </c>
      <c r="AR82" s="10" t="str">
        <f t="shared" si="78"/>
        <v/>
      </c>
      <c r="AS82" s="71"/>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U82" s="71"/>
      <c r="AV82" s="10" t="str">
        <f t="shared" si="62"/>
        <v/>
      </c>
      <c r="AW82" s="10" t="str">
        <f t="shared" si="79"/>
        <v/>
      </c>
      <c r="AX82" s="71"/>
      <c r="AY82" s="7" t="str">
        <f>IF(ISERROR(IF($K82&lt;=$F$15,VLOOKUP($I82,'表4）CO2価格'!$A$7:$E$67,VLOOKUP($F$48,'表4）CO2価格'!$H$10:$I$12,2,0),0)*$F$8/1000,"")),0,IF($K82&lt;=$F$15,VLOOKUP($I82,'表4）CO2価格'!$A$7:$E$67,VLOOKUP($F$48,'表4）CO2価格'!$H$10:$I$12,2,0),0)*$F$8/1000,""))</f>
        <v/>
      </c>
      <c r="AZ82" s="71"/>
      <c r="BA82" s="11" t="str">
        <f t="shared" si="63"/>
        <v/>
      </c>
      <c r="BB82" s="10" t="str">
        <f t="shared" si="80"/>
        <v/>
      </c>
      <c r="BC82" s="71"/>
      <c r="BD82" s="10" t="str">
        <f t="shared" si="64"/>
        <v/>
      </c>
      <c r="BE82" s="10" t="str">
        <f t="shared" si="81"/>
        <v/>
      </c>
      <c r="BF82" s="71"/>
      <c r="BG82" s="11" t="str">
        <f t="shared" si="65"/>
        <v/>
      </c>
      <c r="BH82" s="10" t="str">
        <f t="shared" si="82"/>
        <v/>
      </c>
      <c r="BJ82" s="7" t="str">
        <f t="shared" si="83"/>
        <v/>
      </c>
      <c r="BK82" s="158" t="str">
        <f t="shared" si="84"/>
        <v/>
      </c>
      <c r="BL82" s="158" t="str">
        <f t="shared" si="66"/>
        <v/>
      </c>
      <c r="BM82" s="10"/>
      <c r="BN82" s="10" t="str">
        <f t="shared" si="85"/>
        <v/>
      </c>
      <c r="BO82" s="10" t="str">
        <f t="shared" si="86"/>
        <v/>
      </c>
      <c r="BQ82" s="10" t="str">
        <f t="shared" si="67"/>
        <v/>
      </c>
      <c r="BR82" s="10" t="str">
        <f t="shared" si="87"/>
        <v/>
      </c>
    </row>
    <row r="83" spans="4:70" ht="15" x14ac:dyDescent="0.15">
      <c r="D83" s="116" t="s">
        <v>194</v>
      </c>
      <c r="F83" s="94">
        <f>SUBTOTAL(9,F87:F90)</f>
        <v>4.6740732750871894</v>
      </c>
      <c r="G83" s="81" t="s">
        <v>132</v>
      </c>
      <c r="I83" s="458">
        <f>I82+1</f>
        <v>2088</v>
      </c>
      <c r="J83" s="39"/>
      <c r="K83" s="39">
        <f>IF(I83&lt;&gt;"",K82+1,"")</f>
        <v>69</v>
      </c>
      <c r="L83" s="39"/>
      <c r="M83" s="40">
        <f t="shared" si="52"/>
        <v>0.13008628022096957</v>
      </c>
      <c r="N83" s="39"/>
      <c r="O83" s="72" t="str">
        <f t="shared" si="68"/>
        <v/>
      </c>
      <c r="P83" s="41" t="str">
        <f t="shared" si="53"/>
        <v/>
      </c>
      <c r="Q83" s="39"/>
      <c r="R83" s="72" t="str">
        <f t="shared" si="69"/>
        <v/>
      </c>
      <c r="S83" s="39"/>
      <c r="T83" s="72" t="str">
        <f t="shared" si="70"/>
        <v/>
      </c>
      <c r="U83" s="39"/>
      <c r="V83" s="72" t="str">
        <f t="shared" si="54"/>
        <v/>
      </c>
      <c r="W83" s="72" t="str">
        <f t="shared" si="71"/>
        <v/>
      </c>
      <c r="X83" s="39"/>
      <c r="Y83" s="72" t="str">
        <f t="shared" si="55"/>
        <v/>
      </c>
      <c r="Z83" s="72" t="str">
        <f t="shared" si="72"/>
        <v/>
      </c>
      <c r="AA83" s="39"/>
      <c r="AB83" s="72" t="str">
        <f t="shared" si="56"/>
        <v/>
      </c>
      <c r="AC83" s="72" t="str">
        <f t="shared" si="73"/>
        <v/>
      </c>
      <c r="AD83" s="39"/>
      <c r="AE83" s="72" t="str">
        <f t="shared" si="57"/>
        <v/>
      </c>
      <c r="AF83" s="72" t="str">
        <f t="shared" si="74"/>
        <v/>
      </c>
      <c r="AG83" s="39"/>
      <c r="AH83" s="72" t="str">
        <f t="shared" si="58"/>
        <v/>
      </c>
      <c r="AI83" s="72" t="str">
        <f t="shared" si="75"/>
        <v/>
      </c>
      <c r="AJ83" s="39"/>
      <c r="AK83" s="72" t="str">
        <f t="shared" si="59"/>
        <v/>
      </c>
      <c r="AL83" s="72" t="str">
        <f t="shared" si="76"/>
        <v/>
      </c>
      <c r="AM83" s="39"/>
      <c r="AN83" s="72" t="str">
        <f t="shared" si="60"/>
        <v/>
      </c>
      <c r="AO83" s="72" t="str">
        <f t="shared" si="77"/>
        <v/>
      </c>
      <c r="AP83" s="39"/>
      <c r="AQ83" s="72" t="str">
        <f t="shared" si="61"/>
        <v/>
      </c>
      <c r="AR83" s="72" t="str">
        <f t="shared" si="78"/>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62"/>
        <v/>
      </c>
      <c r="AW83" s="72" t="str">
        <f t="shared" si="79"/>
        <v/>
      </c>
      <c r="AX83" s="39"/>
      <c r="AY83" s="40" t="str">
        <f>IF(ISERROR(IF($K83&lt;=$F$15,VLOOKUP($I83,'表4）CO2価格'!$A$7:$E$67,VLOOKUP($F$48,'表4）CO2価格'!$H$10:$I$12,2,0),0)*$F$8/1000,"")),0,IF($K83&lt;=$F$15,VLOOKUP($I83,'表4）CO2価格'!$A$7:$E$67,VLOOKUP($F$48,'表4）CO2価格'!$H$10:$I$12,2,0),0)*$F$8/1000,""))</f>
        <v/>
      </c>
      <c r="AZ83" s="39"/>
      <c r="BA83" s="42" t="str">
        <f t="shared" si="63"/>
        <v/>
      </c>
      <c r="BB83" s="72" t="str">
        <f t="shared" si="80"/>
        <v/>
      </c>
      <c r="BC83" s="39"/>
      <c r="BD83" s="72" t="str">
        <f t="shared" si="64"/>
        <v/>
      </c>
      <c r="BE83" s="72" t="str">
        <f t="shared" si="81"/>
        <v/>
      </c>
      <c r="BF83" s="39"/>
      <c r="BG83" s="42" t="str">
        <f t="shared" si="65"/>
        <v/>
      </c>
      <c r="BH83" s="72" t="str">
        <f t="shared" si="82"/>
        <v/>
      </c>
      <c r="BI83" s="39"/>
      <c r="BJ83" s="40" t="str">
        <f t="shared" si="83"/>
        <v/>
      </c>
      <c r="BK83" s="157" t="str">
        <f t="shared" si="84"/>
        <v/>
      </c>
      <c r="BL83" s="157" t="str">
        <f t="shared" si="66"/>
        <v/>
      </c>
      <c r="BM83" s="72"/>
      <c r="BN83" s="72" t="str">
        <f t="shared" si="85"/>
        <v/>
      </c>
      <c r="BO83" s="72" t="str">
        <f t="shared" si="86"/>
        <v/>
      </c>
      <c r="BP83" s="39"/>
      <c r="BQ83" s="72" t="str">
        <f t="shared" si="67"/>
        <v/>
      </c>
      <c r="BR83" s="72" t="str">
        <f t="shared" si="87"/>
        <v/>
      </c>
    </row>
    <row r="84" spans="4:70" x14ac:dyDescent="0.15">
      <c r="F84" s="93"/>
      <c r="I84" s="459">
        <f t="shared" si="88"/>
        <v>2089</v>
      </c>
      <c r="J84" s="71"/>
      <c r="K84" s="71">
        <f t="shared" si="89"/>
        <v>70</v>
      </c>
      <c r="L84" s="71"/>
      <c r="M84" s="7">
        <f t="shared" si="52"/>
        <v>0.12629735943783454</v>
      </c>
      <c r="N84" s="71"/>
      <c r="O84" s="10" t="str">
        <f t="shared" si="68"/>
        <v/>
      </c>
      <c r="P84" s="29" t="str">
        <f t="shared" si="53"/>
        <v/>
      </c>
      <c r="Q84" s="71"/>
      <c r="R84" s="10" t="str">
        <f t="shared" si="69"/>
        <v/>
      </c>
      <c r="S84" s="71"/>
      <c r="T84" s="10" t="str">
        <f t="shared" si="70"/>
        <v/>
      </c>
      <c r="U84" s="71"/>
      <c r="V84" s="10" t="str">
        <f t="shared" si="54"/>
        <v/>
      </c>
      <c r="W84" s="10" t="str">
        <f t="shared" si="71"/>
        <v/>
      </c>
      <c r="X84" s="71"/>
      <c r="Y84" s="10" t="str">
        <f t="shared" si="55"/>
        <v/>
      </c>
      <c r="Z84" s="10" t="str">
        <f t="shared" si="72"/>
        <v/>
      </c>
      <c r="AA84" s="71"/>
      <c r="AB84" s="10" t="str">
        <f t="shared" si="56"/>
        <v/>
      </c>
      <c r="AC84" s="10" t="str">
        <f t="shared" si="73"/>
        <v/>
      </c>
      <c r="AD84" s="71"/>
      <c r="AE84" s="10" t="str">
        <f t="shared" si="57"/>
        <v/>
      </c>
      <c r="AF84" s="10" t="str">
        <f t="shared" si="74"/>
        <v/>
      </c>
      <c r="AG84" s="71"/>
      <c r="AH84" s="10" t="str">
        <f t="shared" si="58"/>
        <v/>
      </c>
      <c r="AI84" s="10" t="str">
        <f t="shared" si="75"/>
        <v/>
      </c>
      <c r="AJ84" s="71"/>
      <c r="AK84" s="10" t="str">
        <f t="shared" si="59"/>
        <v/>
      </c>
      <c r="AL84" s="10" t="str">
        <f t="shared" si="76"/>
        <v/>
      </c>
      <c r="AM84" s="71"/>
      <c r="AN84" s="10" t="str">
        <f t="shared" si="60"/>
        <v/>
      </c>
      <c r="AO84" s="10" t="str">
        <f t="shared" si="77"/>
        <v/>
      </c>
      <c r="AP84" s="71"/>
      <c r="AQ84" s="10" t="str">
        <f t="shared" si="61"/>
        <v/>
      </c>
      <c r="AR84" s="10" t="str">
        <f t="shared" si="78"/>
        <v/>
      </c>
      <c r="AS84" s="71"/>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U84" s="71"/>
      <c r="AV84" s="10" t="str">
        <f t="shared" si="62"/>
        <v/>
      </c>
      <c r="AW84" s="10" t="str">
        <f t="shared" si="79"/>
        <v/>
      </c>
      <c r="AX84" s="71"/>
      <c r="AY84" s="7" t="str">
        <f>IF(ISERROR(IF($K84&lt;=$F$15,VLOOKUP($I84,'表4）CO2価格'!$A$7:$E$67,VLOOKUP($F$48,'表4）CO2価格'!$H$10:$I$12,2,0),0)*$F$8/1000,"")),0,IF($K84&lt;=$F$15,VLOOKUP($I84,'表4）CO2価格'!$A$7:$E$67,VLOOKUP($F$48,'表4）CO2価格'!$H$10:$I$12,2,0),0)*$F$8/1000,""))</f>
        <v/>
      </c>
      <c r="AZ84" s="71"/>
      <c r="BA84" s="11" t="str">
        <f t="shared" si="63"/>
        <v/>
      </c>
      <c r="BB84" s="10" t="str">
        <f t="shared" si="80"/>
        <v/>
      </c>
      <c r="BC84" s="71"/>
      <c r="BD84" s="10" t="str">
        <f t="shared" si="64"/>
        <v/>
      </c>
      <c r="BE84" s="10" t="str">
        <f t="shared" si="81"/>
        <v/>
      </c>
      <c r="BF84" s="71"/>
      <c r="BG84" s="11" t="str">
        <f t="shared" si="65"/>
        <v/>
      </c>
      <c r="BH84" s="10" t="str">
        <f t="shared" si="82"/>
        <v/>
      </c>
      <c r="BJ84" s="7" t="str">
        <f t="shared" si="83"/>
        <v/>
      </c>
      <c r="BK84" s="158" t="str">
        <f t="shared" si="84"/>
        <v/>
      </c>
      <c r="BL84" s="158" t="str">
        <f t="shared" si="66"/>
        <v/>
      </c>
      <c r="BM84" s="10"/>
      <c r="BN84" s="10" t="str">
        <f t="shared" si="85"/>
        <v/>
      </c>
      <c r="BO84" s="10" t="str">
        <f t="shared" si="86"/>
        <v/>
      </c>
      <c r="BQ84" s="10" t="str">
        <f t="shared" si="67"/>
        <v/>
      </c>
      <c r="BR84" s="10" t="str">
        <f t="shared" si="87"/>
        <v/>
      </c>
    </row>
    <row r="85" spans="4:70" x14ac:dyDescent="0.15">
      <c r="D85" s="101" t="s">
        <v>195</v>
      </c>
      <c r="E85" s="113"/>
      <c r="F85" s="92"/>
      <c r="G85" s="101"/>
      <c r="I85" s="458">
        <f t="shared" si="88"/>
        <v>2090</v>
      </c>
      <c r="J85" s="39"/>
      <c r="K85" s="39">
        <f t="shared" si="89"/>
        <v>71</v>
      </c>
      <c r="L85" s="39"/>
      <c r="M85" s="40">
        <f t="shared" si="52"/>
        <v>0.12261879557071313</v>
      </c>
      <c r="N85" s="39"/>
      <c r="O85" s="72" t="str">
        <f t="shared" si="68"/>
        <v/>
      </c>
      <c r="P85" s="41" t="str">
        <f t="shared" si="53"/>
        <v/>
      </c>
      <c r="Q85" s="39"/>
      <c r="R85" s="72" t="str">
        <f t="shared" si="69"/>
        <v/>
      </c>
      <c r="S85" s="39"/>
      <c r="T85" s="72" t="str">
        <f t="shared" si="70"/>
        <v/>
      </c>
      <c r="U85" s="39"/>
      <c r="V85" s="72" t="str">
        <f t="shared" si="54"/>
        <v/>
      </c>
      <c r="W85" s="72" t="str">
        <f t="shared" si="71"/>
        <v/>
      </c>
      <c r="X85" s="39"/>
      <c r="Y85" s="72" t="str">
        <f t="shared" si="55"/>
        <v/>
      </c>
      <c r="Z85" s="72" t="str">
        <f t="shared" si="72"/>
        <v/>
      </c>
      <c r="AA85" s="39"/>
      <c r="AB85" s="72" t="str">
        <f t="shared" si="56"/>
        <v/>
      </c>
      <c r="AC85" s="72" t="str">
        <f t="shared" si="73"/>
        <v/>
      </c>
      <c r="AD85" s="39"/>
      <c r="AE85" s="72" t="str">
        <f t="shared" si="57"/>
        <v/>
      </c>
      <c r="AF85" s="72" t="str">
        <f t="shared" si="74"/>
        <v/>
      </c>
      <c r="AG85" s="39"/>
      <c r="AH85" s="72" t="str">
        <f t="shared" si="58"/>
        <v/>
      </c>
      <c r="AI85" s="72" t="str">
        <f t="shared" si="75"/>
        <v/>
      </c>
      <c r="AJ85" s="39"/>
      <c r="AK85" s="72" t="str">
        <f t="shared" si="59"/>
        <v/>
      </c>
      <c r="AL85" s="72" t="str">
        <f t="shared" si="76"/>
        <v/>
      </c>
      <c r="AM85" s="39"/>
      <c r="AN85" s="72" t="str">
        <f t="shared" si="60"/>
        <v/>
      </c>
      <c r="AO85" s="72" t="str">
        <f t="shared" si="77"/>
        <v/>
      </c>
      <c r="AP85" s="39"/>
      <c r="AQ85" s="72" t="str">
        <f t="shared" si="61"/>
        <v/>
      </c>
      <c r="AR85" s="72" t="str">
        <f t="shared" si="78"/>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62"/>
        <v/>
      </c>
      <c r="AW85" s="72" t="str">
        <f t="shared" si="79"/>
        <v/>
      </c>
      <c r="AX85" s="39"/>
      <c r="AY85" s="40" t="str">
        <f>IF(ISERROR(IF($K85&lt;=$F$15,VLOOKUP($I85,'表4）CO2価格'!$A$7:$E$67,VLOOKUP($F$48,'表4）CO2価格'!$H$10:$I$12,2,0),0)*$F$8/1000,"")),0,IF($K85&lt;=$F$15,VLOOKUP($I85,'表4）CO2価格'!$A$7:$E$67,VLOOKUP($F$48,'表4）CO2価格'!$H$10:$I$12,2,0),0)*$F$8/1000,""))</f>
        <v/>
      </c>
      <c r="AZ85" s="39"/>
      <c r="BA85" s="42" t="str">
        <f t="shared" si="63"/>
        <v/>
      </c>
      <c r="BB85" s="72" t="str">
        <f t="shared" si="80"/>
        <v/>
      </c>
      <c r="BC85" s="39"/>
      <c r="BD85" s="72" t="str">
        <f t="shared" si="64"/>
        <v/>
      </c>
      <c r="BE85" s="72" t="str">
        <f t="shared" si="81"/>
        <v/>
      </c>
      <c r="BF85" s="39"/>
      <c r="BG85" s="42" t="str">
        <f t="shared" si="65"/>
        <v/>
      </c>
      <c r="BH85" s="72" t="str">
        <f t="shared" si="82"/>
        <v/>
      </c>
      <c r="BI85" s="39"/>
      <c r="BJ85" s="40" t="str">
        <f t="shared" si="83"/>
        <v/>
      </c>
      <c r="BK85" s="157" t="str">
        <f t="shared" si="84"/>
        <v/>
      </c>
      <c r="BL85" s="157" t="str">
        <f t="shared" si="66"/>
        <v/>
      </c>
      <c r="BM85" s="72"/>
      <c r="BN85" s="72" t="str">
        <f t="shared" si="85"/>
        <v/>
      </c>
      <c r="BO85" s="72" t="str">
        <f t="shared" si="86"/>
        <v/>
      </c>
      <c r="BP85" s="39"/>
      <c r="BQ85" s="72" t="str">
        <f t="shared" si="67"/>
        <v/>
      </c>
      <c r="BR85" s="72" t="str">
        <f t="shared" si="87"/>
        <v/>
      </c>
    </row>
    <row r="86" spans="4:70" x14ac:dyDescent="0.15">
      <c r="F86" s="93"/>
      <c r="I86" s="459">
        <f t="shared" si="88"/>
        <v>2091</v>
      </c>
      <c r="J86" s="71"/>
      <c r="K86" s="71">
        <f t="shared" si="89"/>
        <v>72</v>
      </c>
      <c r="L86" s="71"/>
      <c r="M86" s="7">
        <f t="shared" si="52"/>
        <v>0.1190473743404982</v>
      </c>
      <c r="N86" s="71"/>
      <c r="O86" s="10" t="str">
        <f t="shared" si="68"/>
        <v/>
      </c>
      <c r="P86" s="29" t="str">
        <f t="shared" si="53"/>
        <v/>
      </c>
      <c r="Q86" s="71"/>
      <c r="R86" s="10" t="str">
        <f t="shared" si="69"/>
        <v/>
      </c>
      <c r="S86" s="71"/>
      <c r="T86" s="10" t="str">
        <f t="shared" si="70"/>
        <v/>
      </c>
      <c r="U86" s="71"/>
      <c r="V86" s="10" t="str">
        <f t="shared" si="54"/>
        <v/>
      </c>
      <c r="W86" s="10" t="str">
        <f t="shared" si="71"/>
        <v/>
      </c>
      <c r="X86" s="71"/>
      <c r="Y86" s="10" t="str">
        <f t="shared" si="55"/>
        <v/>
      </c>
      <c r="Z86" s="10" t="str">
        <f t="shared" si="72"/>
        <v/>
      </c>
      <c r="AA86" s="71"/>
      <c r="AB86" s="10" t="str">
        <f t="shared" si="56"/>
        <v/>
      </c>
      <c r="AC86" s="10" t="str">
        <f t="shared" si="73"/>
        <v/>
      </c>
      <c r="AD86" s="71"/>
      <c r="AE86" s="10" t="str">
        <f t="shared" si="57"/>
        <v/>
      </c>
      <c r="AF86" s="10" t="str">
        <f t="shared" si="74"/>
        <v/>
      </c>
      <c r="AG86" s="71"/>
      <c r="AH86" s="10" t="str">
        <f t="shared" si="58"/>
        <v/>
      </c>
      <c r="AI86" s="10" t="str">
        <f t="shared" si="75"/>
        <v/>
      </c>
      <c r="AJ86" s="71"/>
      <c r="AK86" s="10" t="str">
        <f t="shared" si="59"/>
        <v/>
      </c>
      <c r="AL86" s="10" t="str">
        <f t="shared" si="76"/>
        <v/>
      </c>
      <c r="AM86" s="71"/>
      <c r="AN86" s="10" t="str">
        <f t="shared" si="60"/>
        <v/>
      </c>
      <c r="AO86" s="10" t="str">
        <f t="shared" si="77"/>
        <v/>
      </c>
      <c r="AP86" s="71"/>
      <c r="AQ86" s="10" t="str">
        <f t="shared" si="61"/>
        <v/>
      </c>
      <c r="AR86" s="10" t="str">
        <f t="shared" si="78"/>
        <v/>
      </c>
      <c r="AS86" s="71"/>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U86" s="71"/>
      <c r="AV86" s="10" t="str">
        <f t="shared" si="62"/>
        <v/>
      </c>
      <c r="AW86" s="10" t="str">
        <f t="shared" si="79"/>
        <v/>
      </c>
      <c r="AX86" s="71"/>
      <c r="AY86" s="7" t="str">
        <f>IF(ISERROR(IF($K86&lt;=$F$15,VLOOKUP($I86,'表4）CO2価格'!$A$7:$E$67,VLOOKUP($F$48,'表4）CO2価格'!$H$10:$I$12,2,0),0)*$F$8/1000,"")),0,IF($K86&lt;=$F$15,VLOOKUP($I86,'表4）CO2価格'!$A$7:$E$67,VLOOKUP($F$48,'表4）CO2価格'!$H$10:$I$12,2,0),0)*$F$8/1000,""))</f>
        <v/>
      </c>
      <c r="AZ86" s="71"/>
      <c r="BA86" s="11" t="str">
        <f t="shared" si="63"/>
        <v/>
      </c>
      <c r="BB86" s="10" t="str">
        <f t="shared" si="80"/>
        <v/>
      </c>
      <c r="BC86" s="71"/>
      <c r="BD86" s="10" t="str">
        <f t="shared" si="64"/>
        <v/>
      </c>
      <c r="BE86" s="10" t="str">
        <f t="shared" si="81"/>
        <v/>
      </c>
      <c r="BF86" s="71"/>
      <c r="BG86" s="11" t="str">
        <f t="shared" si="65"/>
        <v/>
      </c>
      <c r="BH86" s="10" t="str">
        <f t="shared" si="82"/>
        <v/>
      </c>
      <c r="BJ86" s="7" t="str">
        <f t="shared" si="83"/>
        <v/>
      </c>
      <c r="BK86" s="158" t="str">
        <f t="shared" si="84"/>
        <v/>
      </c>
      <c r="BL86" s="158" t="str">
        <f t="shared" si="66"/>
        <v/>
      </c>
      <c r="BM86" s="10"/>
      <c r="BN86" s="10" t="str">
        <f t="shared" si="85"/>
        <v/>
      </c>
      <c r="BO86" s="10" t="str">
        <f t="shared" si="86"/>
        <v/>
      </c>
      <c r="BQ86" s="10" t="str">
        <f t="shared" si="67"/>
        <v/>
      </c>
      <c r="BR86" s="10" t="str">
        <f t="shared" si="87"/>
        <v/>
      </c>
    </row>
    <row r="87" spans="4:70" x14ac:dyDescent="0.15">
      <c r="E87" s="81" t="s">
        <v>141</v>
      </c>
      <c r="F87" s="91">
        <f>AI116/$BR$116</f>
        <v>4.6740732750871894</v>
      </c>
      <c r="G87" s="81" t="s">
        <v>132</v>
      </c>
      <c r="I87" s="458">
        <f t="shared" si="88"/>
        <v>2092</v>
      </c>
      <c r="J87" s="39"/>
      <c r="K87" s="39">
        <f t="shared" si="89"/>
        <v>73</v>
      </c>
      <c r="L87" s="39"/>
      <c r="M87" s="40">
        <f t="shared" si="52"/>
        <v>0.11557997508786232</v>
      </c>
      <c r="N87" s="39"/>
      <c r="O87" s="72" t="str">
        <f t="shared" si="68"/>
        <v/>
      </c>
      <c r="P87" s="41" t="str">
        <f t="shared" si="53"/>
        <v/>
      </c>
      <c r="Q87" s="39"/>
      <c r="R87" s="72" t="str">
        <f t="shared" si="69"/>
        <v/>
      </c>
      <c r="S87" s="39"/>
      <c r="T87" s="72" t="str">
        <f t="shared" si="70"/>
        <v/>
      </c>
      <c r="U87" s="39"/>
      <c r="V87" s="72" t="str">
        <f t="shared" si="54"/>
        <v/>
      </c>
      <c r="W87" s="72" t="str">
        <f t="shared" si="71"/>
        <v/>
      </c>
      <c r="X87" s="39"/>
      <c r="Y87" s="72" t="str">
        <f t="shared" si="55"/>
        <v/>
      </c>
      <c r="Z87" s="72" t="str">
        <f t="shared" si="72"/>
        <v/>
      </c>
      <c r="AA87" s="39"/>
      <c r="AB87" s="72" t="str">
        <f t="shared" si="56"/>
        <v/>
      </c>
      <c r="AC87" s="72" t="str">
        <f t="shared" si="73"/>
        <v/>
      </c>
      <c r="AD87" s="39"/>
      <c r="AE87" s="72" t="str">
        <f t="shared" si="57"/>
        <v/>
      </c>
      <c r="AF87" s="72" t="str">
        <f t="shared" si="74"/>
        <v/>
      </c>
      <c r="AG87" s="39"/>
      <c r="AH87" s="72" t="str">
        <f t="shared" si="58"/>
        <v/>
      </c>
      <c r="AI87" s="72" t="str">
        <f t="shared" si="75"/>
        <v/>
      </c>
      <c r="AJ87" s="39"/>
      <c r="AK87" s="72" t="str">
        <f t="shared" si="59"/>
        <v/>
      </c>
      <c r="AL87" s="72" t="str">
        <f t="shared" si="76"/>
        <v/>
      </c>
      <c r="AM87" s="39"/>
      <c r="AN87" s="72" t="str">
        <f t="shared" si="60"/>
        <v/>
      </c>
      <c r="AO87" s="72" t="str">
        <f t="shared" si="77"/>
        <v/>
      </c>
      <c r="AP87" s="39"/>
      <c r="AQ87" s="72" t="str">
        <f t="shared" si="61"/>
        <v/>
      </c>
      <c r="AR87" s="72" t="str">
        <f t="shared" si="78"/>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62"/>
        <v/>
      </c>
      <c r="AW87" s="72" t="str">
        <f t="shared" si="79"/>
        <v/>
      </c>
      <c r="AX87" s="39"/>
      <c r="AY87" s="40" t="str">
        <f>IF(ISERROR(IF($K87&lt;=$F$15,VLOOKUP($I87,'表4）CO2価格'!$A$7:$E$67,VLOOKUP($F$48,'表4）CO2価格'!$H$10:$I$12,2,0),0)*$F$8/1000,"")),0,IF($K87&lt;=$F$15,VLOOKUP($I87,'表4）CO2価格'!$A$7:$E$67,VLOOKUP($F$48,'表4）CO2価格'!$H$10:$I$12,2,0),0)*$F$8/1000,""))</f>
        <v/>
      </c>
      <c r="AZ87" s="39"/>
      <c r="BA87" s="42" t="str">
        <f t="shared" si="63"/>
        <v/>
      </c>
      <c r="BB87" s="72" t="str">
        <f t="shared" si="80"/>
        <v/>
      </c>
      <c r="BC87" s="39"/>
      <c r="BD87" s="72" t="str">
        <f t="shared" si="64"/>
        <v/>
      </c>
      <c r="BE87" s="72" t="str">
        <f t="shared" si="81"/>
        <v/>
      </c>
      <c r="BF87" s="39"/>
      <c r="BG87" s="42" t="str">
        <f t="shared" si="65"/>
        <v/>
      </c>
      <c r="BH87" s="72" t="str">
        <f t="shared" si="82"/>
        <v/>
      </c>
      <c r="BI87" s="39"/>
      <c r="BJ87" s="40" t="str">
        <f t="shared" si="83"/>
        <v/>
      </c>
      <c r="BK87" s="157" t="str">
        <f t="shared" si="84"/>
        <v/>
      </c>
      <c r="BL87" s="157" t="str">
        <f t="shared" si="66"/>
        <v/>
      </c>
      <c r="BM87" s="72"/>
      <c r="BN87" s="72" t="str">
        <f t="shared" si="85"/>
        <v/>
      </c>
      <c r="BO87" s="72" t="str">
        <f t="shared" si="86"/>
        <v/>
      </c>
      <c r="BP87" s="39"/>
      <c r="BQ87" s="72" t="str">
        <f t="shared" si="67"/>
        <v/>
      </c>
      <c r="BR87" s="72" t="str">
        <f t="shared" si="87"/>
        <v/>
      </c>
    </row>
    <row r="88" spans="4:70" x14ac:dyDescent="0.15">
      <c r="E88" s="81" t="s">
        <v>120</v>
      </c>
      <c r="F88" s="91">
        <f>AL116/$BR$116</f>
        <v>0</v>
      </c>
      <c r="G88" s="81" t="s">
        <v>132</v>
      </c>
      <c r="I88" s="459">
        <f t="shared" si="88"/>
        <v>2093</v>
      </c>
      <c r="J88" s="71"/>
      <c r="K88" s="71">
        <f t="shared" si="89"/>
        <v>74</v>
      </c>
      <c r="L88" s="71"/>
      <c r="M88" s="7">
        <f t="shared" si="52"/>
        <v>0.11221356804646829</v>
      </c>
      <c r="N88" s="71"/>
      <c r="O88" s="10" t="str">
        <f t="shared" si="68"/>
        <v/>
      </c>
      <c r="P88" s="29" t="str">
        <f t="shared" si="53"/>
        <v/>
      </c>
      <c r="Q88" s="71"/>
      <c r="R88" s="10" t="str">
        <f t="shared" si="69"/>
        <v/>
      </c>
      <c r="S88" s="71"/>
      <c r="T88" s="10" t="str">
        <f t="shared" si="70"/>
        <v/>
      </c>
      <c r="U88" s="71"/>
      <c r="V88" s="10" t="str">
        <f t="shared" si="54"/>
        <v/>
      </c>
      <c r="W88" s="10" t="str">
        <f t="shared" si="71"/>
        <v/>
      </c>
      <c r="X88" s="71"/>
      <c r="Y88" s="10" t="str">
        <f t="shared" si="55"/>
        <v/>
      </c>
      <c r="Z88" s="10" t="str">
        <f t="shared" si="72"/>
        <v/>
      </c>
      <c r="AA88" s="71"/>
      <c r="AB88" s="10" t="str">
        <f t="shared" si="56"/>
        <v/>
      </c>
      <c r="AC88" s="10" t="str">
        <f t="shared" si="73"/>
        <v/>
      </c>
      <c r="AD88" s="71"/>
      <c r="AE88" s="10" t="str">
        <f t="shared" si="57"/>
        <v/>
      </c>
      <c r="AF88" s="10" t="str">
        <f t="shared" si="74"/>
        <v/>
      </c>
      <c r="AG88" s="71"/>
      <c r="AH88" s="10" t="str">
        <f t="shared" si="58"/>
        <v/>
      </c>
      <c r="AI88" s="10" t="str">
        <f t="shared" si="75"/>
        <v/>
      </c>
      <c r="AJ88" s="71"/>
      <c r="AK88" s="10" t="str">
        <f t="shared" si="59"/>
        <v/>
      </c>
      <c r="AL88" s="10" t="str">
        <f t="shared" si="76"/>
        <v/>
      </c>
      <c r="AM88" s="71"/>
      <c r="AN88" s="10" t="str">
        <f t="shared" si="60"/>
        <v/>
      </c>
      <c r="AO88" s="10" t="str">
        <f t="shared" si="77"/>
        <v/>
      </c>
      <c r="AP88" s="71"/>
      <c r="AQ88" s="10" t="str">
        <f t="shared" si="61"/>
        <v/>
      </c>
      <c r="AR88" s="10" t="str">
        <f t="shared" si="78"/>
        <v/>
      </c>
      <c r="AS88" s="71"/>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U88" s="71"/>
      <c r="AV88" s="10" t="str">
        <f t="shared" si="62"/>
        <v/>
      </c>
      <c r="AW88" s="10" t="str">
        <f t="shared" si="79"/>
        <v/>
      </c>
      <c r="AX88" s="71"/>
      <c r="AY88" s="7" t="str">
        <f>IF(ISERROR(IF($K88&lt;=$F$15,VLOOKUP($I88,'表4）CO2価格'!$A$7:$E$67,VLOOKUP($F$48,'表4）CO2価格'!$H$10:$I$12,2,0),0)*$F$8/1000,"")),0,IF($K88&lt;=$F$15,VLOOKUP($I88,'表4）CO2価格'!$A$7:$E$67,VLOOKUP($F$48,'表4）CO2価格'!$H$10:$I$12,2,0),0)*$F$8/1000,""))</f>
        <v/>
      </c>
      <c r="AZ88" s="71"/>
      <c r="BA88" s="11" t="str">
        <f t="shared" si="63"/>
        <v/>
      </c>
      <c r="BB88" s="10" t="str">
        <f t="shared" si="80"/>
        <v/>
      </c>
      <c r="BC88" s="71"/>
      <c r="BD88" s="10" t="str">
        <f t="shared" si="64"/>
        <v/>
      </c>
      <c r="BE88" s="10" t="str">
        <f t="shared" si="81"/>
        <v/>
      </c>
      <c r="BF88" s="71"/>
      <c r="BG88" s="11" t="str">
        <f t="shared" si="65"/>
        <v/>
      </c>
      <c r="BH88" s="10" t="str">
        <f t="shared" si="82"/>
        <v/>
      </c>
      <c r="BJ88" s="7" t="str">
        <f t="shared" si="83"/>
        <v/>
      </c>
      <c r="BK88" s="158" t="str">
        <f t="shared" si="84"/>
        <v/>
      </c>
      <c r="BL88" s="158" t="str">
        <f t="shared" si="66"/>
        <v/>
      </c>
      <c r="BM88" s="10"/>
      <c r="BN88" s="10" t="str">
        <f t="shared" si="85"/>
        <v/>
      </c>
      <c r="BO88" s="10" t="str">
        <f t="shared" si="86"/>
        <v/>
      </c>
      <c r="BQ88" s="10" t="str">
        <f t="shared" si="67"/>
        <v/>
      </c>
      <c r="BR88" s="10" t="str">
        <f t="shared" si="87"/>
        <v/>
      </c>
    </row>
    <row r="89" spans="4:70" x14ac:dyDescent="0.15">
      <c r="E89" s="81" t="s">
        <v>122</v>
      </c>
      <c r="F89" s="91">
        <f>AO116/$BR$116</f>
        <v>0</v>
      </c>
      <c r="G89" s="81" t="s">
        <v>132</v>
      </c>
      <c r="I89" s="458">
        <f t="shared" si="88"/>
        <v>2094</v>
      </c>
      <c r="J89" s="39"/>
      <c r="K89" s="39">
        <f t="shared" si="89"/>
        <v>75</v>
      </c>
      <c r="L89" s="39"/>
      <c r="M89" s="40">
        <f t="shared" si="52"/>
        <v>0.10894521169560026</v>
      </c>
      <c r="N89" s="39"/>
      <c r="O89" s="72" t="str">
        <f t="shared" si="68"/>
        <v/>
      </c>
      <c r="P89" s="41" t="str">
        <f t="shared" si="53"/>
        <v/>
      </c>
      <c r="Q89" s="39"/>
      <c r="R89" s="72" t="str">
        <f t="shared" si="69"/>
        <v/>
      </c>
      <c r="S89" s="39"/>
      <c r="T89" s="72" t="str">
        <f t="shared" si="70"/>
        <v/>
      </c>
      <c r="U89" s="39"/>
      <c r="V89" s="72" t="str">
        <f t="shared" si="54"/>
        <v/>
      </c>
      <c r="W89" s="72" t="str">
        <f t="shared" si="71"/>
        <v/>
      </c>
      <c r="X89" s="39"/>
      <c r="Y89" s="72" t="str">
        <f t="shared" si="55"/>
        <v/>
      </c>
      <c r="Z89" s="72" t="str">
        <f t="shared" si="72"/>
        <v/>
      </c>
      <c r="AA89" s="39"/>
      <c r="AB89" s="72" t="str">
        <f t="shared" si="56"/>
        <v/>
      </c>
      <c r="AC89" s="72" t="str">
        <f t="shared" si="73"/>
        <v/>
      </c>
      <c r="AD89" s="39"/>
      <c r="AE89" s="72" t="str">
        <f t="shared" si="57"/>
        <v/>
      </c>
      <c r="AF89" s="72" t="str">
        <f t="shared" si="74"/>
        <v/>
      </c>
      <c r="AG89" s="39"/>
      <c r="AH89" s="72" t="str">
        <f t="shared" si="58"/>
        <v/>
      </c>
      <c r="AI89" s="72" t="str">
        <f t="shared" si="75"/>
        <v/>
      </c>
      <c r="AJ89" s="39"/>
      <c r="AK89" s="72" t="str">
        <f t="shared" si="59"/>
        <v/>
      </c>
      <c r="AL89" s="72" t="str">
        <f t="shared" si="76"/>
        <v/>
      </c>
      <c r="AM89" s="39"/>
      <c r="AN89" s="72" t="str">
        <f t="shared" si="60"/>
        <v/>
      </c>
      <c r="AO89" s="72" t="str">
        <f t="shared" si="77"/>
        <v/>
      </c>
      <c r="AP89" s="39"/>
      <c r="AQ89" s="72" t="str">
        <f t="shared" si="61"/>
        <v/>
      </c>
      <c r="AR89" s="72" t="str">
        <f t="shared" si="78"/>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62"/>
        <v/>
      </c>
      <c r="AW89" s="72" t="str">
        <f t="shared" si="79"/>
        <v/>
      </c>
      <c r="AX89" s="39"/>
      <c r="AY89" s="40" t="str">
        <f>IF(ISERROR(IF($K89&lt;=$F$15,VLOOKUP($I89,'表4）CO2価格'!$A$7:$E$67,VLOOKUP($F$48,'表4）CO2価格'!$H$10:$I$12,2,0),0)*$F$8/1000,"")),0,IF($K89&lt;=$F$15,VLOOKUP($I89,'表4）CO2価格'!$A$7:$E$67,VLOOKUP($F$48,'表4）CO2価格'!$H$10:$I$12,2,0),0)*$F$8/1000,""))</f>
        <v/>
      </c>
      <c r="AZ89" s="39"/>
      <c r="BA89" s="42" t="str">
        <f t="shared" si="63"/>
        <v/>
      </c>
      <c r="BB89" s="72" t="str">
        <f t="shared" si="80"/>
        <v/>
      </c>
      <c r="BC89" s="39"/>
      <c r="BD89" s="72" t="str">
        <f t="shared" si="64"/>
        <v/>
      </c>
      <c r="BE89" s="72" t="str">
        <f t="shared" si="81"/>
        <v/>
      </c>
      <c r="BF89" s="39"/>
      <c r="BG89" s="42" t="str">
        <f t="shared" si="65"/>
        <v/>
      </c>
      <c r="BH89" s="72" t="str">
        <f t="shared" si="82"/>
        <v/>
      </c>
      <c r="BI89" s="39"/>
      <c r="BJ89" s="40" t="str">
        <f t="shared" si="83"/>
        <v/>
      </c>
      <c r="BK89" s="157" t="str">
        <f t="shared" si="84"/>
        <v/>
      </c>
      <c r="BL89" s="157" t="str">
        <f t="shared" si="66"/>
        <v/>
      </c>
      <c r="BM89" s="72"/>
      <c r="BN89" s="72" t="str">
        <f t="shared" si="85"/>
        <v/>
      </c>
      <c r="BO89" s="72" t="str">
        <f t="shared" si="86"/>
        <v/>
      </c>
      <c r="BP89" s="39"/>
      <c r="BQ89" s="72" t="str">
        <f t="shared" si="67"/>
        <v/>
      </c>
      <c r="BR89" s="72" t="str">
        <f t="shared" si="87"/>
        <v/>
      </c>
    </row>
    <row r="90" spans="4:70" x14ac:dyDescent="0.15">
      <c r="E90" s="81" t="s">
        <v>142</v>
      </c>
      <c r="F90" s="91">
        <f>AR116/$BR$116</f>
        <v>0</v>
      </c>
      <c r="G90" s="81" t="s">
        <v>132</v>
      </c>
      <c r="I90" s="459">
        <f t="shared" si="88"/>
        <v>2095</v>
      </c>
      <c r="J90" s="71"/>
      <c r="K90" s="71">
        <f t="shared" si="89"/>
        <v>76</v>
      </c>
      <c r="L90" s="71"/>
      <c r="M90" s="7">
        <f t="shared" si="52"/>
        <v>0.10577205018990318</v>
      </c>
      <c r="N90" s="71"/>
      <c r="O90" s="10" t="str">
        <f t="shared" si="68"/>
        <v/>
      </c>
      <c r="P90" s="29" t="str">
        <f t="shared" si="53"/>
        <v/>
      </c>
      <c r="Q90" s="71"/>
      <c r="R90" s="10" t="str">
        <f t="shared" si="69"/>
        <v/>
      </c>
      <c r="S90" s="71"/>
      <c r="T90" s="10" t="str">
        <f t="shared" si="70"/>
        <v/>
      </c>
      <c r="U90" s="71"/>
      <c r="V90" s="10" t="str">
        <f t="shared" si="54"/>
        <v/>
      </c>
      <c r="W90" s="10" t="str">
        <f t="shared" si="71"/>
        <v/>
      </c>
      <c r="X90" s="71"/>
      <c r="Y90" s="10" t="str">
        <f t="shared" si="55"/>
        <v/>
      </c>
      <c r="Z90" s="10" t="str">
        <f t="shared" si="72"/>
        <v/>
      </c>
      <c r="AA90" s="71"/>
      <c r="AB90" s="10" t="str">
        <f t="shared" si="56"/>
        <v/>
      </c>
      <c r="AC90" s="10" t="str">
        <f t="shared" si="73"/>
        <v/>
      </c>
      <c r="AD90" s="71"/>
      <c r="AE90" s="10" t="str">
        <f t="shared" si="57"/>
        <v/>
      </c>
      <c r="AF90" s="10" t="str">
        <f t="shared" si="74"/>
        <v/>
      </c>
      <c r="AG90" s="71"/>
      <c r="AH90" s="10" t="str">
        <f t="shared" si="58"/>
        <v/>
      </c>
      <c r="AI90" s="10" t="str">
        <f t="shared" si="75"/>
        <v/>
      </c>
      <c r="AJ90" s="71"/>
      <c r="AK90" s="10" t="str">
        <f t="shared" si="59"/>
        <v/>
      </c>
      <c r="AL90" s="10" t="str">
        <f t="shared" si="76"/>
        <v/>
      </c>
      <c r="AM90" s="71"/>
      <c r="AN90" s="10" t="str">
        <f t="shared" si="60"/>
        <v/>
      </c>
      <c r="AO90" s="10" t="str">
        <f t="shared" si="77"/>
        <v/>
      </c>
      <c r="AP90" s="71"/>
      <c r="AQ90" s="10" t="str">
        <f t="shared" si="61"/>
        <v/>
      </c>
      <c r="AR90" s="10" t="str">
        <f t="shared" si="78"/>
        <v/>
      </c>
      <c r="AS90" s="71"/>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U90" s="71"/>
      <c r="AV90" s="10" t="str">
        <f t="shared" si="62"/>
        <v/>
      </c>
      <c r="AW90" s="10" t="str">
        <f t="shared" si="79"/>
        <v/>
      </c>
      <c r="AX90" s="71"/>
      <c r="AY90" s="7" t="str">
        <f>IF(ISERROR(IF($K90&lt;=$F$15,VLOOKUP($I90,'表4）CO2価格'!$A$7:$E$67,VLOOKUP($F$48,'表4）CO2価格'!$H$10:$I$12,2,0),0)*$F$8/1000,"")),0,IF($K90&lt;=$F$15,VLOOKUP($I90,'表4）CO2価格'!$A$7:$E$67,VLOOKUP($F$48,'表4）CO2価格'!$H$10:$I$12,2,0),0)*$F$8/1000,""))</f>
        <v/>
      </c>
      <c r="AZ90" s="71"/>
      <c r="BA90" s="11" t="str">
        <f t="shared" si="63"/>
        <v/>
      </c>
      <c r="BB90" s="10" t="str">
        <f t="shared" si="80"/>
        <v/>
      </c>
      <c r="BC90" s="71"/>
      <c r="BD90" s="10" t="str">
        <f t="shared" si="64"/>
        <v/>
      </c>
      <c r="BE90" s="10" t="str">
        <f t="shared" si="81"/>
        <v/>
      </c>
      <c r="BF90" s="71"/>
      <c r="BG90" s="11" t="str">
        <f t="shared" si="65"/>
        <v/>
      </c>
      <c r="BH90" s="10" t="str">
        <f t="shared" si="82"/>
        <v/>
      </c>
      <c r="BJ90" s="7" t="str">
        <f t="shared" si="83"/>
        <v/>
      </c>
      <c r="BK90" s="158" t="str">
        <f t="shared" si="84"/>
        <v/>
      </c>
      <c r="BL90" s="158" t="str">
        <f t="shared" si="66"/>
        <v/>
      </c>
      <c r="BM90" s="10"/>
      <c r="BN90" s="10" t="str">
        <f t="shared" si="85"/>
        <v/>
      </c>
      <c r="BO90" s="10" t="str">
        <f t="shared" si="86"/>
        <v/>
      </c>
      <c r="BQ90" s="10" t="str">
        <f t="shared" si="67"/>
        <v/>
      </c>
      <c r="BR90" s="10" t="str">
        <f t="shared" si="87"/>
        <v/>
      </c>
    </row>
    <row r="91" spans="4:70" x14ac:dyDescent="0.15">
      <c r="F91" s="93"/>
      <c r="I91" s="458">
        <f t="shared" si="88"/>
        <v>2096</v>
      </c>
      <c r="J91" s="39"/>
      <c r="K91" s="39">
        <f t="shared" si="89"/>
        <v>77</v>
      </c>
      <c r="L91" s="39"/>
      <c r="M91" s="40">
        <f t="shared" si="52"/>
        <v>0.10269131086398368</v>
      </c>
      <c r="N91" s="39"/>
      <c r="O91" s="72" t="str">
        <f t="shared" si="68"/>
        <v/>
      </c>
      <c r="P91" s="41" t="str">
        <f t="shared" si="53"/>
        <v/>
      </c>
      <c r="Q91" s="39"/>
      <c r="R91" s="72" t="str">
        <f t="shared" si="69"/>
        <v/>
      </c>
      <c r="S91" s="39"/>
      <c r="T91" s="72" t="str">
        <f t="shared" si="70"/>
        <v/>
      </c>
      <c r="U91" s="39"/>
      <c r="V91" s="72" t="str">
        <f t="shared" si="54"/>
        <v/>
      </c>
      <c r="W91" s="72" t="str">
        <f t="shared" si="71"/>
        <v/>
      </c>
      <c r="X91" s="39"/>
      <c r="Y91" s="72" t="str">
        <f t="shared" si="55"/>
        <v/>
      </c>
      <c r="Z91" s="72" t="str">
        <f t="shared" si="72"/>
        <v/>
      </c>
      <c r="AA91" s="39"/>
      <c r="AB91" s="72" t="str">
        <f t="shared" si="56"/>
        <v/>
      </c>
      <c r="AC91" s="72" t="str">
        <f t="shared" si="73"/>
        <v/>
      </c>
      <c r="AD91" s="39"/>
      <c r="AE91" s="72" t="str">
        <f t="shared" si="57"/>
        <v/>
      </c>
      <c r="AF91" s="72" t="str">
        <f t="shared" si="74"/>
        <v/>
      </c>
      <c r="AG91" s="39"/>
      <c r="AH91" s="72" t="str">
        <f t="shared" si="58"/>
        <v/>
      </c>
      <c r="AI91" s="72" t="str">
        <f t="shared" si="75"/>
        <v/>
      </c>
      <c r="AJ91" s="39"/>
      <c r="AK91" s="72" t="str">
        <f t="shared" si="59"/>
        <v/>
      </c>
      <c r="AL91" s="72" t="str">
        <f t="shared" si="76"/>
        <v/>
      </c>
      <c r="AM91" s="39"/>
      <c r="AN91" s="72" t="str">
        <f t="shared" si="60"/>
        <v/>
      </c>
      <c r="AO91" s="72" t="str">
        <f t="shared" si="77"/>
        <v/>
      </c>
      <c r="AP91" s="39"/>
      <c r="AQ91" s="72" t="str">
        <f t="shared" si="61"/>
        <v/>
      </c>
      <c r="AR91" s="72" t="str">
        <f t="shared" si="78"/>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62"/>
        <v/>
      </c>
      <c r="AW91" s="72" t="str">
        <f t="shared" si="79"/>
        <v/>
      </c>
      <c r="AX91" s="39"/>
      <c r="AY91" s="40" t="str">
        <f>IF(ISERROR(IF($K91&lt;=$F$15,VLOOKUP($I91,'表4）CO2価格'!$A$7:$E$67,VLOOKUP($F$48,'表4）CO2価格'!$H$10:$I$12,2,0),0)*$F$8/1000,"")),0,IF($K91&lt;=$F$15,VLOOKUP($I91,'表4）CO2価格'!$A$7:$E$67,VLOOKUP($F$48,'表4）CO2価格'!$H$10:$I$12,2,0),0)*$F$8/1000,""))</f>
        <v/>
      </c>
      <c r="AZ91" s="39"/>
      <c r="BA91" s="42" t="str">
        <f t="shared" si="63"/>
        <v/>
      </c>
      <c r="BB91" s="72" t="str">
        <f t="shared" si="80"/>
        <v/>
      </c>
      <c r="BC91" s="39"/>
      <c r="BD91" s="72" t="str">
        <f t="shared" si="64"/>
        <v/>
      </c>
      <c r="BE91" s="72" t="str">
        <f t="shared" si="81"/>
        <v/>
      </c>
      <c r="BF91" s="39"/>
      <c r="BG91" s="42" t="str">
        <f t="shared" si="65"/>
        <v/>
      </c>
      <c r="BH91" s="72" t="str">
        <f t="shared" si="82"/>
        <v/>
      </c>
      <c r="BI91" s="39"/>
      <c r="BJ91" s="40" t="str">
        <f t="shared" si="83"/>
        <v/>
      </c>
      <c r="BK91" s="157" t="str">
        <f t="shared" si="84"/>
        <v/>
      </c>
      <c r="BL91" s="157" t="str">
        <f t="shared" si="66"/>
        <v/>
      </c>
      <c r="BM91" s="72"/>
      <c r="BN91" s="72" t="str">
        <f t="shared" si="85"/>
        <v/>
      </c>
      <c r="BO91" s="72" t="str">
        <f t="shared" si="86"/>
        <v/>
      </c>
      <c r="BP91" s="39"/>
      <c r="BQ91" s="72" t="str">
        <f t="shared" si="67"/>
        <v/>
      </c>
      <c r="BR91" s="72" t="str">
        <f t="shared" si="87"/>
        <v/>
      </c>
    </row>
    <row r="92" spans="4:70" ht="15" x14ac:dyDescent="0.15">
      <c r="D92" s="116" t="s">
        <v>196</v>
      </c>
      <c r="F92" s="94">
        <f>SUBTOTAL(9,F96:F97)</f>
        <v>0</v>
      </c>
      <c r="I92" s="459">
        <f t="shared" si="88"/>
        <v>2097</v>
      </c>
      <c r="J92" s="71"/>
      <c r="K92" s="71">
        <f t="shared" si="89"/>
        <v>78</v>
      </c>
      <c r="L92" s="71"/>
      <c r="M92" s="7">
        <f t="shared" si="52"/>
        <v>9.9700301809692873E-2</v>
      </c>
      <c r="N92" s="71"/>
      <c r="O92" s="10" t="str">
        <f t="shared" si="68"/>
        <v/>
      </c>
      <c r="P92" s="29" t="str">
        <f t="shared" si="53"/>
        <v/>
      </c>
      <c r="Q92" s="71"/>
      <c r="R92" s="10" t="str">
        <f t="shared" si="69"/>
        <v/>
      </c>
      <c r="S92" s="71"/>
      <c r="T92" s="10" t="str">
        <f t="shared" si="70"/>
        <v/>
      </c>
      <c r="U92" s="71"/>
      <c r="V92" s="10" t="str">
        <f t="shared" si="54"/>
        <v/>
      </c>
      <c r="W92" s="10" t="str">
        <f t="shared" si="71"/>
        <v/>
      </c>
      <c r="X92" s="71"/>
      <c r="Y92" s="10" t="str">
        <f t="shared" si="55"/>
        <v/>
      </c>
      <c r="Z92" s="10" t="str">
        <f t="shared" si="72"/>
        <v/>
      </c>
      <c r="AA92" s="71"/>
      <c r="AB92" s="10" t="str">
        <f t="shared" si="56"/>
        <v/>
      </c>
      <c r="AC92" s="10" t="str">
        <f t="shared" si="73"/>
        <v/>
      </c>
      <c r="AD92" s="71"/>
      <c r="AE92" s="10" t="str">
        <f t="shared" si="57"/>
        <v/>
      </c>
      <c r="AF92" s="10" t="str">
        <f t="shared" si="74"/>
        <v/>
      </c>
      <c r="AG92" s="71"/>
      <c r="AH92" s="10" t="str">
        <f t="shared" si="58"/>
        <v/>
      </c>
      <c r="AI92" s="10" t="str">
        <f t="shared" si="75"/>
        <v/>
      </c>
      <c r="AJ92" s="71"/>
      <c r="AK92" s="10" t="str">
        <f t="shared" si="59"/>
        <v/>
      </c>
      <c r="AL92" s="10" t="str">
        <f t="shared" si="76"/>
        <v/>
      </c>
      <c r="AM92" s="71"/>
      <c r="AN92" s="10" t="str">
        <f t="shared" si="60"/>
        <v/>
      </c>
      <c r="AO92" s="10" t="str">
        <f t="shared" si="77"/>
        <v/>
      </c>
      <c r="AP92" s="71"/>
      <c r="AQ92" s="10" t="str">
        <f t="shared" si="61"/>
        <v/>
      </c>
      <c r="AR92" s="10" t="str">
        <f t="shared" si="78"/>
        <v/>
      </c>
      <c r="AS92" s="71"/>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U92" s="71"/>
      <c r="AV92" s="10" t="str">
        <f t="shared" si="62"/>
        <v/>
      </c>
      <c r="AW92" s="10" t="str">
        <f t="shared" si="79"/>
        <v/>
      </c>
      <c r="AX92" s="71"/>
      <c r="AY92" s="7" t="str">
        <f>IF(ISERROR(IF($K92&lt;=$F$15,VLOOKUP($I92,'表4）CO2価格'!$A$7:$E$67,VLOOKUP($F$48,'表4）CO2価格'!$H$10:$I$12,2,0),0)*$F$8/1000,"")),0,IF($K92&lt;=$F$15,VLOOKUP($I92,'表4）CO2価格'!$A$7:$E$67,VLOOKUP($F$48,'表4）CO2価格'!$H$10:$I$12,2,0),0)*$F$8/1000,""))</f>
        <v/>
      </c>
      <c r="AZ92" s="71"/>
      <c r="BA92" s="11" t="str">
        <f t="shared" si="63"/>
        <v/>
      </c>
      <c r="BB92" s="10" t="str">
        <f t="shared" si="80"/>
        <v/>
      </c>
      <c r="BC92" s="71"/>
      <c r="BD92" s="10" t="str">
        <f t="shared" si="64"/>
        <v/>
      </c>
      <c r="BE92" s="10" t="str">
        <f t="shared" si="81"/>
        <v/>
      </c>
      <c r="BF92" s="71"/>
      <c r="BG92" s="11" t="str">
        <f t="shared" si="65"/>
        <v/>
      </c>
      <c r="BH92" s="10" t="str">
        <f t="shared" si="82"/>
        <v/>
      </c>
      <c r="BJ92" s="7" t="str">
        <f t="shared" si="83"/>
        <v/>
      </c>
      <c r="BK92" s="158" t="str">
        <f t="shared" si="84"/>
        <v/>
      </c>
      <c r="BL92" s="158" t="str">
        <f t="shared" si="66"/>
        <v/>
      </c>
      <c r="BM92" s="10"/>
      <c r="BN92" s="10" t="str">
        <f t="shared" si="85"/>
        <v/>
      </c>
      <c r="BO92" s="10" t="str">
        <f t="shared" si="86"/>
        <v/>
      </c>
      <c r="BQ92" s="10" t="str">
        <f t="shared" si="67"/>
        <v/>
      </c>
      <c r="BR92" s="10" t="str">
        <f t="shared" si="87"/>
        <v/>
      </c>
    </row>
    <row r="93" spans="4:70" ht="15" x14ac:dyDescent="0.15">
      <c r="D93" s="116"/>
      <c r="F93" s="93"/>
      <c r="I93" s="458">
        <f t="shared" si="88"/>
        <v>2098</v>
      </c>
      <c r="J93" s="39"/>
      <c r="K93" s="39">
        <f t="shared" si="89"/>
        <v>79</v>
      </c>
      <c r="L93" s="39"/>
      <c r="M93" s="40">
        <f t="shared" si="52"/>
        <v>9.679640952397367E-2</v>
      </c>
      <c r="N93" s="39"/>
      <c r="O93" s="72" t="str">
        <f t="shared" si="68"/>
        <v/>
      </c>
      <c r="P93" s="41" t="str">
        <f t="shared" si="53"/>
        <v/>
      </c>
      <c r="Q93" s="39"/>
      <c r="R93" s="72" t="str">
        <f t="shared" si="69"/>
        <v/>
      </c>
      <c r="S93" s="39"/>
      <c r="T93" s="72" t="str">
        <f t="shared" si="70"/>
        <v/>
      </c>
      <c r="U93" s="39"/>
      <c r="V93" s="72" t="str">
        <f t="shared" si="54"/>
        <v/>
      </c>
      <c r="W93" s="72" t="str">
        <f t="shared" si="71"/>
        <v/>
      </c>
      <c r="X93" s="39"/>
      <c r="Y93" s="72" t="str">
        <f t="shared" si="55"/>
        <v/>
      </c>
      <c r="Z93" s="72" t="str">
        <f t="shared" si="72"/>
        <v/>
      </c>
      <c r="AA93" s="39"/>
      <c r="AB93" s="72" t="str">
        <f t="shared" si="56"/>
        <v/>
      </c>
      <c r="AC93" s="72" t="str">
        <f t="shared" si="73"/>
        <v/>
      </c>
      <c r="AD93" s="39"/>
      <c r="AE93" s="72" t="str">
        <f t="shared" si="57"/>
        <v/>
      </c>
      <c r="AF93" s="72" t="str">
        <f t="shared" si="74"/>
        <v/>
      </c>
      <c r="AG93" s="39"/>
      <c r="AH93" s="72" t="str">
        <f t="shared" si="58"/>
        <v/>
      </c>
      <c r="AI93" s="72" t="str">
        <f t="shared" si="75"/>
        <v/>
      </c>
      <c r="AJ93" s="39"/>
      <c r="AK93" s="72" t="str">
        <f t="shared" si="59"/>
        <v/>
      </c>
      <c r="AL93" s="72" t="str">
        <f t="shared" si="76"/>
        <v/>
      </c>
      <c r="AM93" s="39"/>
      <c r="AN93" s="72" t="str">
        <f t="shared" si="60"/>
        <v/>
      </c>
      <c r="AO93" s="72" t="str">
        <f t="shared" si="77"/>
        <v/>
      </c>
      <c r="AP93" s="39"/>
      <c r="AQ93" s="72" t="str">
        <f t="shared" si="61"/>
        <v/>
      </c>
      <c r="AR93" s="72" t="str">
        <f t="shared" si="78"/>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62"/>
        <v/>
      </c>
      <c r="AW93" s="72" t="str">
        <f t="shared" si="79"/>
        <v/>
      </c>
      <c r="AX93" s="39"/>
      <c r="AY93" s="40" t="str">
        <f>IF(ISERROR(IF($K93&lt;=$F$15,VLOOKUP($I93,'表4）CO2価格'!$A$7:$E$67,VLOOKUP($F$48,'表4）CO2価格'!$H$10:$I$12,2,0),0)*$F$8/1000,"")),0,IF($K93&lt;=$F$15,VLOOKUP($I93,'表4）CO2価格'!$A$7:$E$67,VLOOKUP($F$48,'表4）CO2価格'!$H$10:$I$12,2,0),0)*$F$8/1000,""))</f>
        <v/>
      </c>
      <c r="AZ93" s="39"/>
      <c r="BA93" s="42" t="str">
        <f t="shared" si="63"/>
        <v/>
      </c>
      <c r="BB93" s="72" t="str">
        <f t="shared" si="80"/>
        <v/>
      </c>
      <c r="BC93" s="39"/>
      <c r="BD93" s="72" t="str">
        <f t="shared" si="64"/>
        <v/>
      </c>
      <c r="BE93" s="72" t="str">
        <f t="shared" si="81"/>
        <v/>
      </c>
      <c r="BF93" s="39"/>
      <c r="BG93" s="42" t="str">
        <f t="shared" si="65"/>
        <v/>
      </c>
      <c r="BH93" s="72" t="str">
        <f t="shared" si="82"/>
        <v/>
      </c>
      <c r="BI93" s="39"/>
      <c r="BJ93" s="40" t="str">
        <f t="shared" si="83"/>
        <v/>
      </c>
      <c r="BK93" s="157" t="str">
        <f t="shared" si="84"/>
        <v/>
      </c>
      <c r="BL93" s="157" t="str">
        <f t="shared" si="66"/>
        <v/>
      </c>
      <c r="BM93" s="72"/>
      <c r="BN93" s="72" t="str">
        <f t="shared" si="85"/>
        <v/>
      </c>
      <c r="BO93" s="72" t="str">
        <f t="shared" si="86"/>
        <v/>
      </c>
      <c r="BP93" s="39"/>
      <c r="BQ93" s="72" t="str">
        <f t="shared" si="67"/>
        <v/>
      </c>
      <c r="BR93" s="72" t="str">
        <f t="shared" si="87"/>
        <v/>
      </c>
    </row>
    <row r="94" spans="4:70" x14ac:dyDescent="0.15">
      <c r="D94" s="101" t="s">
        <v>197</v>
      </c>
      <c r="E94" s="101"/>
      <c r="F94" s="92"/>
      <c r="G94" s="101"/>
      <c r="I94" s="459">
        <f t="shared" si="88"/>
        <v>2099</v>
      </c>
      <c r="J94" s="71"/>
      <c r="K94" s="71">
        <f t="shared" si="89"/>
        <v>80</v>
      </c>
      <c r="L94" s="71"/>
      <c r="M94" s="7">
        <f t="shared" si="52"/>
        <v>9.3977096625217166E-2</v>
      </c>
      <c r="N94" s="71"/>
      <c r="O94" s="10" t="str">
        <f t="shared" si="68"/>
        <v/>
      </c>
      <c r="P94" s="29" t="str">
        <f t="shared" si="53"/>
        <v/>
      </c>
      <c r="Q94" s="71"/>
      <c r="R94" s="10" t="str">
        <f t="shared" si="69"/>
        <v/>
      </c>
      <c r="S94" s="71"/>
      <c r="T94" s="10" t="str">
        <f t="shared" si="70"/>
        <v/>
      </c>
      <c r="U94" s="71"/>
      <c r="V94" s="10" t="str">
        <f t="shared" si="54"/>
        <v/>
      </c>
      <c r="W94" s="10" t="str">
        <f t="shared" si="71"/>
        <v/>
      </c>
      <c r="X94" s="71"/>
      <c r="Y94" s="10" t="str">
        <f t="shared" si="55"/>
        <v/>
      </c>
      <c r="Z94" s="10" t="str">
        <f t="shared" si="72"/>
        <v/>
      </c>
      <c r="AA94" s="71"/>
      <c r="AB94" s="10" t="str">
        <f t="shared" si="56"/>
        <v/>
      </c>
      <c r="AC94" s="10" t="str">
        <f t="shared" si="73"/>
        <v/>
      </c>
      <c r="AD94" s="71"/>
      <c r="AE94" s="10" t="str">
        <f t="shared" si="57"/>
        <v/>
      </c>
      <c r="AF94" s="10" t="str">
        <f t="shared" si="74"/>
        <v/>
      </c>
      <c r="AG94" s="71"/>
      <c r="AH94" s="10" t="str">
        <f t="shared" si="58"/>
        <v/>
      </c>
      <c r="AI94" s="10" t="str">
        <f t="shared" si="75"/>
        <v/>
      </c>
      <c r="AJ94" s="71"/>
      <c r="AK94" s="10" t="str">
        <f t="shared" si="59"/>
        <v/>
      </c>
      <c r="AL94" s="10" t="str">
        <f t="shared" si="76"/>
        <v/>
      </c>
      <c r="AM94" s="71"/>
      <c r="AN94" s="10" t="str">
        <f t="shared" si="60"/>
        <v/>
      </c>
      <c r="AO94" s="10" t="str">
        <f t="shared" si="77"/>
        <v/>
      </c>
      <c r="AP94" s="71"/>
      <c r="AQ94" s="10" t="str">
        <f t="shared" si="61"/>
        <v/>
      </c>
      <c r="AR94" s="10" t="str">
        <f t="shared" si="78"/>
        <v/>
      </c>
      <c r="AS94" s="71"/>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U94" s="71"/>
      <c r="AV94" s="10" t="str">
        <f t="shared" si="62"/>
        <v/>
      </c>
      <c r="AW94" s="10" t="str">
        <f t="shared" si="79"/>
        <v/>
      </c>
      <c r="AX94" s="71"/>
      <c r="AY94" s="7" t="str">
        <f>IF(ISERROR(IF($K94&lt;=$F$15,VLOOKUP($I94,'表4）CO2価格'!$A$7:$E$67,VLOOKUP($F$48,'表4）CO2価格'!$H$10:$I$12,2,0),0)*$F$8/1000,"")),0,IF($K94&lt;=$F$15,VLOOKUP($I94,'表4）CO2価格'!$A$7:$E$67,VLOOKUP($F$48,'表4）CO2価格'!$H$10:$I$12,2,0),0)*$F$8/1000,""))</f>
        <v/>
      </c>
      <c r="AZ94" s="71"/>
      <c r="BA94" s="11" t="str">
        <f t="shared" si="63"/>
        <v/>
      </c>
      <c r="BB94" s="10" t="str">
        <f t="shared" si="80"/>
        <v/>
      </c>
      <c r="BC94" s="71"/>
      <c r="BD94" s="10" t="str">
        <f t="shared" si="64"/>
        <v/>
      </c>
      <c r="BE94" s="10" t="str">
        <f t="shared" si="81"/>
        <v/>
      </c>
      <c r="BF94" s="71"/>
      <c r="BG94" s="11" t="str">
        <f t="shared" si="65"/>
        <v/>
      </c>
      <c r="BH94" s="10" t="str">
        <f t="shared" si="82"/>
        <v/>
      </c>
      <c r="BJ94" s="7" t="str">
        <f t="shared" si="83"/>
        <v/>
      </c>
      <c r="BK94" s="158" t="str">
        <f t="shared" si="84"/>
        <v/>
      </c>
      <c r="BL94" s="158" t="str">
        <f t="shared" si="66"/>
        <v/>
      </c>
      <c r="BM94" s="10"/>
      <c r="BN94" s="10" t="str">
        <f t="shared" si="85"/>
        <v/>
      </c>
      <c r="BO94" s="10" t="str">
        <f t="shared" si="86"/>
        <v/>
      </c>
      <c r="BQ94" s="10" t="str">
        <f t="shared" si="67"/>
        <v/>
      </c>
      <c r="BR94" s="10" t="str">
        <f t="shared" si="87"/>
        <v/>
      </c>
    </row>
    <row r="95" spans="4:70" ht="15" x14ac:dyDescent="0.15">
      <c r="D95" s="116"/>
      <c r="F95" s="93"/>
      <c r="I95" s="458">
        <f t="shared" si="88"/>
        <v>2100</v>
      </c>
      <c r="J95" s="39"/>
      <c r="K95" s="39">
        <f t="shared" si="89"/>
        <v>81</v>
      </c>
      <c r="L95" s="39"/>
      <c r="M95" s="40">
        <f t="shared" si="52"/>
        <v>9.1239899636133173E-2</v>
      </c>
      <c r="N95" s="39"/>
      <c r="O95" s="72" t="str">
        <f t="shared" si="68"/>
        <v/>
      </c>
      <c r="P95" s="41" t="str">
        <f t="shared" si="53"/>
        <v/>
      </c>
      <c r="Q95" s="39"/>
      <c r="R95" s="72" t="str">
        <f t="shared" si="69"/>
        <v/>
      </c>
      <c r="S95" s="39"/>
      <c r="T95" s="72" t="str">
        <f t="shared" si="70"/>
        <v/>
      </c>
      <c r="U95" s="39"/>
      <c r="V95" s="72" t="str">
        <f t="shared" si="54"/>
        <v/>
      </c>
      <c r="W95" s="72" t="str">
        <f t="shared" si="71"/>
        <v/>
      </c>
      <c r="X95" s="39"/>
      <c r="Y95" s="72" t="str">
        <f t="shared" si="55"/>
        <v/>
      </c>
      <c r="Z95" s="72" t="str">
        <f t="shared" si="72"/>
        <v/>
      </c>
      <c r="AA95" s="39"/>
      <c r="AB95" s="72" t="str">
        <f t="shared" si="56"/>
        <v/>
      </c>
      <c r="AC95" s="72" t="str">
        <f t="shared" si="73"/>
        <v/>
      </c>
      <c r="AD95" s="39"/>
      <c r="AE95" s="72" t="str">
        <f t="shared" si="57"/>
        <v/>
      </c>
      <c r="AF95" s="72" t="str">
        <f t="shared" si="74"/>
        <v/>
      </c>
      <c r="AG95" s="39"/>
      <c r="AH95" s="72" t="str">
        <f t="shared" si="58"/>
        <v/>
      </c>
      <c r="AI95" s="72" t="str">
        <f t="shared" si="75"/>
        <v/>
      </c>
      <c r="AJ95" s="39"/>
      <c r="AK95" s="72" t="str">
        <f t="shared" si="59"/>
        <v/>
      </c>
      <c r="AL95" s="72" t="str">
        <f t="shared" si="76"/>
        <v/>
      </c>
      <c r="AM95" s="39"/>
      <c r="AN95" s="72" t="str">
        <f t="shared" si="60"/>
        <v/>
      </c>
      <c r="AO95" s="72" t="str">
        <f t="shared" si="77"/>
        <v/>
      </c>
      <c r="AP95" s="39"/>
      <c r="AQ95" s="72" t="str">
        <f t="shared" si="61"/>
        <v/>
      </c>
      <c r="AR95" s="72" t="str">
        <f t="shared" si="78"/>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62"/>
        <v/>
      </c>
      <c r="AW95" s="72" t="str">
        <f t="shared" si="79"/>
        <v/>
      </c>
      <c r="AX95" s="39"/>
      <c r="AY95" s="40" t="str">
        <f>IF(ISERROR(IF($K95&lt;=$F$15,VLOOKUP($I95,'表4）CO2価格'!$A$7:$E$67,VLOOKUP($F$48,'表4）CO2価格'!$H$10:$I$12,2,0),0)*$F$8/1000,"")),0,IF($K95&lt;=$F$15,VLOOKUP($I95,'表4）CO2価格'!$A$7:$E$67,VLOOKUP($F$48,'表4）CO2価格'!$H$10:$I$12,2,0),0)*$F$8/1000,""))</f>
        <v/>
      </c>
      <c r="AZ95" s="39"/>
      <c r="BA95" s="42" t="str">
        <f t="shared" si="63"/>
        <v/>
      </c>
      <c r="BB95" s="72" t="str">
        <f t="shared" si="80"/>
        <v/>
      </c>
      <c r="BC95" s="39"/>
      <c r="BD95" s="72" t="str">
        <f t="shared" si="64"/>
        <v/>
      </c>
      <c r="BE95" s="72" t="str">
        <f t="shared" si="81"/>
        <v/>
      </c>
      <c r="BF95" s="39"/>
      <c r="BG95" s="42" t="str">
        <f t="shared" si="65"/>
        <v/>
      </c>
      <c r="BH95" s="72" t="str">
        <f t="shared" si="82"/>
        <v/>
      </c>
      <c r="BI95" s="39"/>
      <c r="BJ95" s="40" t="str">
        <f t="shared" si="83"/>
        <v/>
      </c>
      <c r="BK95" s="157" t="str">
        <f t="shared" si="84"/>
        <v/>
      </c>
      <c r="BL95" s="157" t="str">
        <f t="shared" si="66"/>
        <v/>
      </c>
      <c r="BM95" s="72"/>
      <c r="BN95" s="72" t="str">
        <f t="shared" si="85"/>
        <v/>
      </c>
      <c r="BO95" s="72" t="str">
        <f t="shared" si="86"/>
        <v/>
      </c>
      <c r="BP95" s="39"/>
      <c r="BQ95" s="72" t="str">
        <f t="shared" si="67"/>
        <v/>
      </c>
      <c r="BR95" s="72" t="str">
        <f t="shared" si="87"/>
        <v/>
      </c>
    </row>
    <row r="96" spans="4:70" ht="15" x14ac:dyDescent="0.15">
      <c r="D96" s="116"/>
      <c r="E96" s="81" t="s">
        <v>198</v>
      </c>
      <c r="F96" s="91">
        <f>IF(F3&lt;&gt;"原子力",AW116/$BR$116,0)</f>
        <v>0</v>
      </c>
      <c r="G96" s="81" t="s">
        <v>132</v>
      </c>
      <c r="I96" s="459">
        <f t="shared" si="88"/>
        <v>2101</v>
      </c>
      <c r="J96" s="71"/>
      <c r="K96" s="71">
        <f t="shared" si="89"/>
        <v>82</v>
      </c>
      <c r="L96" s="71"/>
      <c r="M96" s="7">
        <f t="shared" si="52"/>
        <v>8.8582426831197242E-2</v>
      </c>
      <c r="N96" s="71"/>
      <c r="O96" s="10" t="str">
        <f t="shared" si="68"/>
        <v/>
      </c>
      <c r="P96" s="29" t="str">
        <f t="shared" si="53"/>
        <v/>
      </c>
      <c r="Q96" s="71"/>
      <c r="R96" s="10" t="str">
        <f t="shared" si="69"/>
        <v/>
      </c>
      <c r="S96" s="71"/>
      <c r="T96" s="10" t="str">
        <f t="shared" si="70"/>
        <v/>
      </c>
      <c r="U96" s="71"/>
      <c r="V96" s="10" t="str">
        <f t="shared" si="54"/>
        <v/>
      </c>
      <c r="W96" s="10" t="str">
        <f t="shared" si="71"/>
        <v/>
      </c>
      <c r="X96" s="71"/>
      <c r="Y96" s="10" t="str">
        <f t="shared" si="55"/>
        <v/>
      </c>
      <c r="Z96" s="10" t="str">
        <f t="shared" si="72"/>
        <v/>
      </c>
      <c r="AA96" s="71"/>
      <c r="AB96" s="10" t="str">
        <f t="shared" si="56"/>
        <v/>
      </c>
      <c r="AC96" s="10" t="str">
        <f t="shared" si="73"/>
        <v/>
      </c>
      <c r="AD96" s="71"/>
      <c r="AE96" s="10" t="str">
        <f t="shared" si="57"/>
        <v/>
      </c>
      <c r="AF96" s="10" t="str">
        <f t="shared" si="74"/>
        <v/>
      </c>
      <c r="AG96" s="71"/>
      <c r="AH96" s="10" t="str">
        <f t="shared" si="58"/>
        <v/>
      </c>
      <c r="AI96" s="10" t="str">
        <f t="shared" si="75"/>
        <v/>
      </c>
      <c r="AJ96" s="71"/>
      <c r="AK96" s="10" t="str">
        <f t="shared" si="59"/>
        <v/>
      </c>
      <c r="AL96" s="10" t="str">
        <f t="shared" si="76"/>
        <v/>
      </c>
      <c r="AM96" s="71"/>
      <c r="AN96" s="10" t="str">
        <f t="shared" si="60"/>
        <v/>
      </c>
      <c r="AO96" s="10" t="str">
        <f t="shared" si="77"/>
        <v/>
      </c>
      <c r="AP96" s="71"/>
      <c r="AQ96" s="10" t="str">
        <f t="shared" si="61"/>
        <v/>
      </c>
      <c r="AR96" s="10" t="str">
        <f t="shared" si="78"/>
        <v/>
      </c>
      <c r="AS96" s="71"/>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U96" s="71"/>
      <c r="AV96" s="10" t="str">
        <f t="shared" si="62"/>
        <v/>
      </c>
      <c r="AW96" s="10" t="str">
        <f t="shared" si="79"/>
        <v/>
      </c>
      <c r="AX96" s="71"/>
      <c r="AY96" s="7" t="str">
        <f>IF(ISERROR(IF($K96&lt;=$F$15,VLOOKUP($I96,'表4）CO2価格'!$A$7:$E$67,VLOOKUP($F$48,'表4）CO2価格'!$H$10:$I$12,2,0),0)*$F$8/1000,"")),0,IF($K96&lt;=$F$15,VLOOKUP($I96,'表4）CO2価格'!$A$7:$E$67,VLOOKUP($F$48,'表4）CO2価格'!$H$10:$I$12,2,0),0)*$F$8/1000,""))</f>
        <v/>
      </c>
      <c r="AZ96" s="71"/>
      <c r="BA96" s="11" t="str">
        <f t="shared" si="63"/>
        <v/>
      </c>
      <c r="BB96" s="10" t="str">
        <f t="shared" si="80"/>
        <v/>
      </c>
      <c r="BC96" s="71"/>
      <c r="BD96" s="10" t="str">
        <f t="shared" si="64"/>
        <v/>
      </c>
      <c r="BE96" s="10" t="str">
        <f t="shared" si="81"/>
        <v/>
      </c>
      <c r="BF96" s="71"/>
      <c r="BG96" s="11" t="str">
        <f t="shared" si="65"/>
        <v/>
      </c>
      <c r="BH96" s="10" t="str">
        <f t="shared" si="82"/>
        <v/>
      </c>
      <c r="BJ96" s="7" t="str">
        <f t="shared" si="83"/>
        <v/>
      </c>
      <c r="BK96" s="158" t="str">
        <f t="shared" si="84"/>
        <v/>
      </c>
      <c r="BL96" s="158" t="str">
        <f t="shared" si="66"/>
        <v/>
      </c>
      <c r="BM96" s="10"/>
      <c r="BN96" s="10" t="str">
        <f t="shared" si="85"/>
        <v/>
      </c>
      <c r="BO96" s="10" t="str">
        <f t="shared" si="86"/>
        <v/>
      </c>
      <c r="BQ96" s="10" t="str">
        <f t="shared" si="67"/>
        <v/>
      </c>
      <c r="BR96" s="10" t="str">
        <f t="shared" si="87"/>
        <v/>
      </c>
    </row>
    <row r="97" spans="4:70" ht="15" x14ac:dyDescent="0.15">
      <c r="D97" s="116"/>
      <c r="E97" s="81" t="s">
        <v>199</v>
      </c>
      <c r="F97" s="91">
        <f>IF(F3="原子力",#REF!,0)</f>
        <v>0</v>
      </c>
      <c r="G97" s="81" t="s">
        <v>132</v>
      </c>
      <c r="I97" s="458">
        <f t="shared" si="88"/>
        <v>2102</v>
      </c>
      <c r="J97" s="39"/>
      <c r="K97" s="39">
        <f t="shared" si="89"/>
        <v>83</v>
      </c>
      <c r="L97" s="39"/>
      <c r="M97" s="40">
        <f t="shared" si="52"/>
        <v>8.6002356146793454E-2</v>
      </c>
      <c r="N97" s="39"/>
      <c r="O97" s="72" t="str">
        <f t="shared" si="68"/>
        <v/>
      </c>
      <c r="P97" s="41" t="str">
        <f t="shared" si="53"/>
        <v/>
      </c>
      <c r="Q97" s="39"/>
      <c r="R97" s="72" t="str">
        <f t="shared" si="69"/>
        <v/>
      </c>
      <c r="S97" s="39"/>
      <c r="T97" s="72" t="str">
        <f t="shared" si="70"/>
        <v/>
      </c>
      <c r="U97" s="39"/>
      <c r="V97" s="72" t="str">
        <f t="shared" si="54"/>
        <v/>
      </c>
      <c r="W97" s="72" t="str">
        <f t="shared" si="71"/>
        <v/>
      </c>
      <c r="X97" s="39"/>
      <c r="Y97" s="72" t="str">
        <f t="shared" si="55"/>
        <v/>
      </c>
      <c r="Z97" s="72" t="str">
        <f t="shared" si="72"/>
        <v/>
      </c>
      <c r="AA97" s="39"/>
      <c r="AB97" s="72" t="str">
        <f t="shared" si="56"/>
        <v/>
      </c>
      <c r="AC97" s="72" t="str">
        <f t="shared" si="73"/>
        <v/>
      </c>
      <c r="AD97" s="39"/>
      <c r="AE97" s="72" t="str">
        <f t="shared" si="57"/>
        <v/>
      </c>
      <c r="AF97" s="72" t="str">
        <f t="shared" si="74"/>
        <v/>
      </c>
      <c r="AG97" s="39"/>
      <c r="AH97" s="72" t="str">
        <f t="shared" si="58"/>
        <v/>
      </c>
      <c r="AI97" s="72" t="str">
        <f t="shared" si="75"/>
        <v/>
      </c>
      <c r="AJ97" s="39"/>
      <c r="AK97" s="72" t="str">
        <f t="shared" si="59"/>
        <v/>
      </c>
      <c r="AL97" s="72" t="str">
        <f t="shared" si="76"/>
        <v/>
      </c>
      <c r="AM97" s="39"/>
      <c r="AN97" s="72" t="str">
        <f t="shared" si="60"/>
        <v/>
      </c>
      <c r="AO97" s="72" t="str">
        <f t="shared" si="77"/>
        <v/>
      </c>
      <c r="AP97" s="39"/>
      <c r="AQ97" s="72" t="str">
        <f t="shared" si="61"/>
        <v/>
      </c>
      <c r="AR97" s="72" t="str">
        <f t="shared" si="78"/>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62"/>
        <v/>
      </c>
      <c r="AW97" s="72" t="str">
        <f t="shared" si="79"/>
        <v/>
      </c>
      <c r="AX97" s="39"/>
      <c r="AY97" s="40" t="str">
        <f>IF(ISERROR(IF($K97&lt;=$F$15,VLOOKUP($I97,'表4）CO2価格'!$A$7:$E$67,VLOOKUP($F$48,'表4）CO2価格'!$H$10:$I$12,2,0),0)*$F$8/1000,"")),0,IF($K97&lt;=$F$15,VLOOKUP($I97,'表4）CO2価格'!$A$7:$E$67,VLOOKUP($F$48,'表4）CO2価格'!$H$10:$I$12,2,0),0)*$F$8/1000,""))</f>
        <v/>
      </c>
      <c r="AZ97" s="39"/>
      <c r="BA97" s="42" t="str">
        <f t="shared" si="63"/>
        <v/>
      </c>
      <c r="BB97" s="72" t="str">
        <f t="shared" si="80"/>
        <v/>
      </c>
      <c r="BC97" s="39"/>
      <c r="BD97" s="72" t="str">
        <f t="shared" si="64"/>
        <v/>
      </c>
      <c r="BE97" s="72" t="str">
        <f t="shared" si="81"/>
        <v/>
      </c>
      <c r="BF97" s="39"/>
      <c r="BG97" s="42" t="str">
        <f t="shared" si="65"/>
        <v/>
      </c>
      <c r="BH97" s="72" t="str">
        <f t="shared" si="82"/>
        <v/>
      </c>
      <c r="BI97" s="39"/>
      <c r="BJ97" s="40" t="str">
        <f t="shared" si="83"/>
        <v/>
      </c>
      <c r="BK97" s="157" t="str">
        <f t="shared" si="84"/>
        <v/>
      </c>
      <c r="BL97" s="157" t="str">
        <f t="shared" si="66"/>
        <v/>
      </c>
      <c r="BM97" s="72"/>
      <c r="BN97" s="72" t="str">
        <f t="shared" si="85"/>
        <v/>
      </c>
      <c r="BO97" s="72" t="str">
        <f t="shared" si="86"/>
        <v/>
      </c>
      <c r="BP97" s="39"/>
      <c r="BQ97" s="72" t="str">
        <f t="shared" si="67"/>
        <v/>
      </c>
      <c r="BR97" s="72" t="str">
        <f t="shared" si="87"/>
        <v/>
      </c>
    </row>
    <row r="98" spans="4:70" x14ac:dyDescent="0.15">
      <c r="F98" s="93"/>
      <c r="I98" s="459">
        <f t="shared" si="88"/>
        <v>2103</v>
      </c>
      <c r="J98" s="71"/>
      <c r="K98" s="71">
        <f t="shared" si="89"/>
        <v>84</v>
      </c>
      <c r="L98" s="71"/>
      <c r="M98" s="7">
        <f t="shared" si="52"/>
        <v>8.3497433152226644E-2</v>
      </c>
      <c r="N98" s="71"/>
      <c r="O98" s="10" t="str">
        <f t="shared" si="68"/>
        <v/>
      </c>
      <c r="P98" s="29" t="str">
        <f t="shared" si="53"/>
        <v/>
      </c>
      <c r="Q98" s="71"/>
      <c r="R98" s="10" t="str">
        <f t="shared" si="69"/>
        <v/>
      </c>
      <c r="S98" s="71"/>
      <c r="T98" s="10" t="str">
        <f t="shared" si="70"/>
        <v/>
      </c>
      <c r="U98" s="71"/>
      <c r="V98" s="10" t="str">
        <f t="shared" si="54"/>
        <v/>
      </c>
      <c r="W98" s="10" t="str">
        <f t="shared" si="71"/>
        <v/>
      </c>
      <c r="X98" s="71"/>
      <c r="Y98" s="10" t="str">
        <f t="shared" si="55"/>
        <v/>
      </c>
      <c r="Z98" s="10" t="str">
        <f t="shared" si="72"/>
        <v/>
      </c>
      <c r="AA98" s="71"/>
      <c r="AB98" s="10" t="str">
        <f t="shared" si="56"/>
        <v/>
      </c>
      <c r="AC98" s="10" t="str">
        <f t="shared" si="73"/>
        <v/>
      </c>
      <c r="AD98" s="71"/>
      <c r="AE98" s="10" t="str">
        <f t="shared" si="57"/>
        <v/>
      </c>
      <c r="AF98" s="10" t="str">
        <f t="shared" si="74"/>
        <v/>
      </c>
      <c r="AG98" s="71"/>
      <c r="AH98" s="10" t="str">
        <f t="shared" si="58"/>
        <v/>
      </c>
      <c r="AI98" s="10" t="str">
        <f t="shared" si="75"/>
        <v/>
      </c>
      <c r="AJ98" s="71"/>
      <c r="AK98" s="10" t="str">
        <f t="shared" si="59"/>
        <v/>
      </c>
      <c r="AL98" s="10" t="str">
        <f t="shared" si="76"/>
        <v/>
      </c>
      <c r="AM98" s="71"/>
      <c r="AN98" s="10" t="str">
        <f t="shared" si="60"/>
        <v/>
      </c>
      <c r="AO98" s="10" t="str">
        <f t="shared" si="77"/>
        <v/>
      </c>
      <c r="AP98" s="71"/>
      <c r="AQ98" s="10" t="str">
        <f t="shared" si="61"/>
        <v/>
      </c>
      <c r="AR98" s="10" t="str">
        <f t="shared" si="78"/>
        <v/>
      </c>
      <c r="AS98" s="71"/>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U98" s="71"/>
      <c r="AV98" s="10" t="str">
        <f t="shared" si="62"/>
        <v/>
      </c>
      <c r="AW98" s="10" t="str">
        <f t="shared" si="79"/>
        <v/>
      </c>
      <c r="AX98" s="71"/>
      <c r="AY98" s="7" t="str">
        <f>IF(ISERROR(IF($K98&lt;=$F$15,VLOOKUP($I98,'表4）CO2価格'!$A$7:$E$67,VLOOKUP($F$48,'表4）CO2価格'!$H$10:$I$12,2,0),0)*$F$8/1000,"")),0,IF($K98&lt;=$F$15,VLOOKUP($I98,'表4）CO2価格'!$A$7:$E$67,VLOOKUP($F$48,'表4）CO2価格'!$H$10:$I$12,2,0),0)*$F$8/1000,""))</f>
        <v/>
      </c>
      <c r="AZ98" s="71"/>
      <c r="BA98" s="11" t="str">
        <f t="shared" si="63"/>
        <v/>
      </c>
      <c r="BB98" s="10" t="str">
        <f t="shared" si="80"/>
        <v/>
      </c>
      <c r="BC98" s="71"/>
      <c r="BD98" s="10" t="str">
        <f t="shared" si="64"/>
        <v/>
      </c>
      <c r="BE98" s="10" t="str">
        <f t="shared" si="81"/>
        <v/>
      </c>
      <c r="BF98" s="71"/>
      <c r="BG98" s="11" t="str">
        <f t="shared" si="65"/>
        <v/>
      </c>
      <c r="BH98" s="10" t="str">
        <f t="shared" si="82"/>
        <v/>
      </c>
      <c r="BJ98" s="7" t="str">
        <f t="shared" si="83"/>
        <v/>
      </c>
      <c r="BK98" s="158" t="str">
        <f t="shared" si="84"/>
        <v/>
      </c>
      <c r="BL98" s="158" t="str">
        <f t="shared" si="66"/>
        <v/>
      </c>
      <c r="BM98" s="10"/>
      <c r="BN98" s="10" t="str">
        <f t="shared" si="85"/>
        <v/>
      </c>
      <c r="BO98" s="10" t="str">
        <f t="shared" si="86"/>
        <v/>
      </c>
      <c r="BQ98" s="10" t="str">
        <f t="shared" si="67"/>
        <v/>
      </c>
      <c r="BR98" s="10" t="str">
        <f t="shared" si="87"/>
        <v/>
      </c>
    </row>
    <row r="99" spans="4:70" ht="15" x14ac:dyDescent="0.15">
      <c r="D99" s="116" t="s">
        <v>200</v>
      </c>
      <c r="F99" s="94">
        <f>SUBTOTAL(9,F103:F105)</f>
        <v>0.47733799999999998</v>
      </c>
      <c r="G99" s="81" t="s">
        <v>132</v>
      </c>
      <c r="I99" s="458">
        <f t="shared" si="88"/>
        <v>2104</v>
      </c>
      <c r="J99" s="39"/>
      <c r="K99" s="39">
        <f t="shared" si="89"/>
        <v>85</v>
      </c>
      <c r="L99" s="39"/>
      <c r="M99" s="40">
        <f t="shared" si="52"/>
        <v>8.1065469079831712E-2</v>
      </c>
      <c r="N99" s="39"/>
      <c r="O99" s="72" t="str">
        <f t="shared" si="68"/>
        <v/>
      </c>
      <c r="P99" s="41" t="str">
        <f t="shared" si="53"/>
        <v/>
      </c>
      <c r="Q99" s="39"/>
      <c r="R99" s="72" t="str">
        <f t="shared" si="69"/>
        <v/>
      </c>
      <c r="S99" s="39"/>
      <c r="T99" s="72" t="str">
        <f t="shared" si="70"/>
        <v/>
      </c>
      <c r="U99" s="39"/>
      <c r="V99" s="72" t="str">
        <f t="shared" si="54"/>
        <v/>
      </c>
      <c r="W99" s="72" t="str">
        <f t="shared" si="71"/>
        <v/>
      </c>
      <c r="X99" s="39"/>
      <c r="Y99" s="72" t="str">
        <f t="shared" si="55"/>
        <v/>
      </c>
      <c r="Z99" s="72" t="str">
        <f t="shared" si="72"/>
        <v/>
      </c>
      <c r="AA99" s="39"/>
      <c r="AB99" s="72" t="str">
        <f t="shared" si="56"/>
        <v/>
      </c>
      <c r="AC99" s="72" t="str">
        <f t="shared" si="73"/>
        <v/>
      </c>
      <c r="AD99" s="39"/>
      <c r="AE99" s="72" t="str">
        <f t="shared" si="57"/>
        <v/>
      </c>
      <c r="AF99" s="72" t="str">
        <f t="shared" si="74"/>
        <v/>
      </c>
      <c r="AG99" s="39"/>
      <c r="AH99" s="72" t="str">
        <f t="shared" si="58"/>
        <v/>
      </c>
      <c r="AI99" s="72" t="str">
        <f t="shared" si="75"/>
        <v/>
      </c>
      <c r="AJ99" s="39"/>
      <c r="AK99" s="72" t="str">
        <f t="shared" si="59"/>
        <v/>
      </c>
      <c r="AL99" s="72" t="str">
        <f t="shared" si="76"/>
        <v/>
      </c>
      <c r="AM99" s="39"/>
      <c r="AN99" s="72" t="str">
        <f t="shared" si="60"/>
        <v/>
      </c>
      <c r="AO99" s="72" t="str">
        <f t="shared" si="77"/>
        <v/>
      </c>
      <c r="AP99" s="39"/>
      <c r="AQ99" s="72" t="str">
        <f t="shared" si="61"/>
        <v/>
      </c>
      <c r="AR99" s="72" t="str">
        <f t="shared" si="78"/>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62"/>
        <v/>
      </c>
      <c r="AW99" s="72" t="str">
        <f t="shared" si="79"/>
        <v/>
      </c>
      <c r="AX99" s="39"/>
      <c r="AY99" s="40" t="str">
        <f>IF(ISERROR(IF($K99&lt;=$F$15,VLOOKUP($I99,'表4）CO2価格'!$A$7:$E$67,VLOOKUP($F$48,'表4）CO2価格'!$H$10:$I$12,2,0),0)*$F$8/1000,"")),0,IF($K99&lt;=$F$15,VLOOKUP($I99,'表4）CO2価格'!$A$7:$E$67,VLOOKUP($F$48,'表4）CO2価格'!$H$10:$I$12,2,0),0)*$F$8/1000,""))</f>
        <v/>
      </c>
      <c r="AZ99" s="39"/>
      <c r="BA99" s="42" t="str">
        <f t="shared" si="63"/>
        <v/>
      </c>
      <c r="BB99" s="72" t="str">
        <f t="shared" si="80"/>
        <v/>
      </c>
      <c r="BC99" s="39"/>
      <c r="BD99" s="72" t="str">
        <f t="shared" si="64"/>
        <v/>
      </c>
      <c r="BE99" s="72" t="str">
        <f t="shared" si="81"/>
        <v/>
      </c>
      <c r="BF99" s="39"/>
      <c r="BG99" s="42" t="str">
        <f t="shared" si="65"/>
        <v/>
      </c>
      <c r="BH99" s="72" t="str">
        <f t="shared" si="82"/>
        <v/>
      </c>
      <c r="BI99" s="39"/>
      <c r="BJ99" s="40" t="str">
        <f t="shared" si="83"/>
        <v/>
      </c>
      <c r="BK99" s="157" t="str">
        <f t="shared" si="84"/>
        <v/>
      </c>
      <c r="BL99" s="157" t="str">
        <f t="shared" si="66"/>
        <v/>
      </c>
      <c r="BM99" s="72"/>
      <c r="BN99" s="72" t="str">
        <f t="shared" si="85"/>
        <v/>
      </c>
      <c r="BO99" s="72" t="str">
        <f t="shared" si="86"/>
        <v/>
      </c>
      <c r="BP99" s="39"/>
      <c r="BQ99" s="72" t="str">
        <f t="shared" si="67"/>
        <v/>
      </c>
      <c r="BR99" s="72" t="str">
        <f t="shared" si="87"/>
        <v/>
      </c>
    </row>
    <row r="100" spans="4:70" x14ac:dyDescent="0.15">
      <c r="F100" s="93"/>
      <c r="I100" s="459">
        <f t="shared" si="88"/>
        <v>2105</v>
      </c>
      <c r="J100" s="71"/>
      <c r="K100" s="71">
        <f t="shared" si="89"/>
        <v>86</v>
      </c>
      <c r="L100" s="71"/>
      <c r="M100" s="7">
        <f t="shared" si="52"/>
        <v>7.8704338912457969E-2</v>
      </c>
      <c r="N100" s="71"/>
      <c r="O100" s="10" t="str">
        <f t="shared" si="68"/>
        <v/>
      </c>
      <c r="P100" s="29" t="str">
        <f t="shared" si="53"/>
        <v/>
      </c>
      <c r="Q100" s="71"/>
      <c r="R100" s="10" t="str">
        <f t="shared" si="69"/>
        <v/>
      </c>
      <c r="S100" s="71"/>
      <c r="T100" s="10" t="str">
        <f t="shared" si="70"/>
        <v/>
      </c>
      <c r="U100" s="71"/>
      <c r="V100" s="10" t="str">
        <f t="shared" si="54"/>
        <v/>
      </c>
      <c r="W100" s="10" t="str">
        <f t="shared" si="71"/>
        <v/>
      </c>
      <c r="X100" s="71"/>
      <c r="Y100" s="10" t="str">
        <f t="shared" si="55"/>
        <v/>
      </c>
      <c r="Z100" s="10" t="str">
        <f t="shared" si="72"/>
        <v/>
      </c>
      <c r="AA100" s="71"/>
      <c r="AB100" s="10" t="str">
        <f t="shared" si="56"/>
        <v/>
      </c>
      <c r="AC100" s="10" t="str">
        <f t="shared" si="73"/>
        <v/>
      </c>
      <c r="AD100" s="71"/>
      <c r="AE100" s="10" t="str">
        <f t="shared" si="57"/>
        <v/>
      </c>
      <c r="AF100" s="10" t="str">
        <f t="shared" si="74"/>
        <v/>
      </c>
      <c r="AG100" s="71"/>
      <c r="AH100" s="10" t="str">
        <f t="shared" si="58"/>
        <v/>
      </c>
      <c r="AI100" s="10" t="str">
        <f t="shared" si="75"/>
        <v/>
      </c>
      <c r="AJ100" s="71"/>
      <c r="AK100" s="10" t="str">
        <f t="shared" si="59"/>
        <v/>
      </c>
      <c r="AL100" s="10" t="str">
        <f t="shared" si="76"/>
        <v/>
      </c>
      <c r="AM100" s="71"/>
      <c r="AN100" s="10" t="str">
        <f t="shared" si="60"/>
        <v/>
      </c>
      <c r="AO100" s="10" t="str">
        <f t="shared" si="77"/>
        <v/>
      </c>
      <c r="AP100" s="71"/>
      <c r="AQ100" s="10" t="str">
        <f t="shared" si="61"/>
        <v/>
      </c>
      <c r="AR100" s="10" t="str">
        <f t="shared" si="78"/>
        <v/>
      </c>
      <c r="AS100" s="71"/>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U100" s="71"/>
      <c r="AV100" s="10" t="str">
        <f t="shared" si="62"/>
        <v/>
      </c>
      <c r="AW100" s="10" t="str">
        <f t="shared" si="79"/>
        <v/>
      </c>
      <c r="AX100" s="71"/>
      <c r="AY100" s="7" t="str">
        <f>IF(ISERROR(IF($K100&lt;=$F$15,VLOOKUP($I100,'表4）CO2価格'!$A$7:$E$67,VLOOKUP($F$48,'表4）CO2価格'!$H$10:$I$12,2,0),0)*$F$8/1000,"")),0,IF($K100&lt;=$F$15,VLOOKUP($I100,'表4）CO2価格'!$A$7:$E$67,VLOOKUP($F$48,'表4）CO2価格'!$H$10:$I$12,2,0),0)*$F$8/1000,""))</f>
        <v/>
      </c>
      <c r="AZ100" s="71"/>
      <c r="BA100" s="11" t="str">
        <f t="shared" si="63"/>
        <v/>
      </c>
      <c r="BB100" s="10" t="str">
        <f t="shared" si="80"/>
        <v/>
      </c>
      <c r="BC100" s="71"/>
      <c r="BD100" s="10" t="str">
        <f t="shared" si="64"/>
        <v/>
      </c>
      <c r="BE100" s="10" t="str">
        <f t="shared" si="81"/>
        <v/>
      </c>
      <c r="BF100" s="71"/>
      <c r="BG100" s="11" t="str">
        <f t="shared" si="65"/>
        <v/>
      </c>
      <c r="BH100" s="10" t="str">
        <f t="shared" si="82"/>
        <v/>
      </c>
      <c r="BJ100" s="7" t="str">
        <f t="shared" si="83"/>
        <v/>
      </c>
      <c r="BK100" s="158" t="str">
        <f t="shared" si="84"/>
        <v/>
      </c>
      <c r="BL100" s="158" t="str">
        <f t="shared" si="66"/>
        <v/>
      </c>
      <c r="BM100" s="10"/>
      <c r="BN100" s="10" t="str">
        <f t="shared" si="85"/>
        <v/>
      </c>
      <c r="BO100" s="10" t="str">
        <f t="shared" si="86"/>
        <v/>
      </c>
      <c r="BQ100" s="10" t="str">
        <f t="shared" si="67"/>
        <v/>
      </c>
      <c r="BR100" s="10" t="str">
        <f t="shared" si="87"/>
        <v/>
      </c>
    </row>
    <row r="101" spans="4:70" x14ac:dyDescent="0.15">
      <c r="D101" s="101" t="s">
        <v>201</v>
      </c>
      <c r="E101" s="101"/>
      <c r="F101" s="92"/>
      <c r="G101" s="101"/>
      <c r="I101" s="458">
        <f t="shared" si="88"/>
        <v>2106</v>
      </c>
      <c r="J101" s="39"/>
      <c r="K101" s="39">
        <f t="shared" si="89"/>
        <v>87</v>
      </c>
      <c r="L101" s="39"/>
      <c r="M101" s="40">
        <f t="shared" si="52"/>
        <v>7.6411979526658208E-2</v>
      </c>
      <c r="N101" s="39"/>
      <c r="O101" s="72" t="str">
        <f t="shared" si="68"/>
        <v/>
      </c>
      <c r="P101" s="41" t="str">
        <f t="shared" si="53"/>
        <v/>
      </c>
      <c r="Q101" s="39"/>
      <c r="R101" s="72" t="str">
        <f t="shared" si="69"/>
        <v/>
      </c>
      <c r="S101" s="39"/>
      <c r="T101" s="72" t="str">
        <f t="shared" si="70"/>
        <v/>
      </c>
      <c r="U101" s="39"/>
      <c r="V101" s="72" t="str">
        <f t="shared" si="54"/>
        <v/>
      </c>
      <c r="W101" s="72" t="str">
        <f t="shared" si="71"/>
        <v/>
      </c>
      <c r="X101" s="39"/>
      <c r="Y101" s="72" t="str">
        <f t="shared" si="55"/>
        <v/>
      </c>
      <c r="Z101" s="72" t="str">
        <f t="shared" si="72"/>
        <v/>
      </c>
      <c r="AA101" s="39"/>
      <c r="AB101" s="72" t="str">
        <f t="shared" si="56"/>
        <v/>
      </c>
      <c r="AC101" s="72" t="str">
        <f t="shared" si="73"/>
        <v/>
      </c>
      <c r="AD101" s="39"/>
      <c r="AE101" s="72" t="str">
        <f t="shared" si="57"/>
        <v/>
      </c>
      <c r="AF101" s="72" t="str">
        <f t="shared" si="74"/>
        <v/>
      </c>
      <c r="AG101" s="39"/>
      <c r="AH101" s="72" t="str">
        <f t="shared" si="58"/>
        <v/>
      </c>
      <c r="AI101" s="72" t="str">
        <f t="shared" si="75"/>
        <v/>
      </c>
      <c r="AJ101" s="39"/>
      <c r="AK101" s="72" t="str">
        <f t="shared" si="59"/>
        <v/>
      </c>
      <c r="AL101" s="72" t="str">
        <f t="shared" si="76"/>
        <v/>
      </c>
      <c r="AM101" s="39"/>
      <c r="AN101" s="72" t="str">
        <f t="shared" si="60"/>
        <v/>
      </c>
      <c r="AO101" s="72" t="str">
        <f t="shared" si="77"/>
        <v/>
      </c>
      <c r="AP101" s="39"/>
      <c r="AQ101" s="72" t="str">
        <f t="shared" si="61"/>
        <v/>
      </c>
      <c r="AR101" s="72" t="str">
        <f t="shared" si="78"/>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62"/>
        <v/>
      </c>
      <c r="AW101" s="72" t="str">
        <f t="shared" si="79"/>
        <v/>
      </c>
      <c r="AX101" s="39"/>
      <c r="AY101" s="40" t="str">
        <f>IF(ISERROR(IF($K101&lt;=$F$15,VLOOKUP($I101,'表4）CO2価格'!$A$7:$E$67,VLOOKUP($F$48,'表4）CO2価格'!$H$10:$I$12,2,0),0)*$F$8/1000,"")),0,IF($K101&lt;=$F$15,VLOOKUP($I101,'表4）CO2価格'!$A$7:$E$67,VLOOKUP($F$48,'表4）CO2価格'!$H$10:$I$12,2,0),0)*$F$8/1000,""))</f>
        <v/>
      </c>
      <c r="AZ101" s="39"/>
      <c r="BA101" s="42" t="str">
        <f t="shared" si="63"/>
        <v/>
      </c>
      <c r="BB101" s="72" t="str">
        <f t="shared" si="80"/>
        <v/>
      </c>
      <c r="BC101" s="39"/>
      <c r="BD101" s="72" t="str">
        <f t="shared" si="64"/>
        <v/>
      </c>
      <c r="BE101" s="72" t="str">
        <f t="shared" si="81"/>
        <v/>
      </c>
      <c r="BF101" s="39"/>
      <c r="BG101" s="42" t="str">
        <f t="shared" si="65"/>
        <v/>
      </c>
      <c r="BH101" s="72" t="str">
        <f t="shared" si="82"/>
        <v/>
      </c>
      <c r="BI101" s="39"/>
      <c r="BJ101" s="40" t="str">
        <f t="shared" si="83"/>
        <v/>
      </c>
      <c r="BK101" s="157" t="str">
        <f t="shared" si="84"/>
        <v/>
      </c>
      <c r="BL101" s="157" t="str">
        <f t="shared" si="66"/>
        <v/>
      </c>
      <c r="BM101" s="72"/>
      <c r="BN101" s="72" t="str">
        <f t="shared" si="85"/>
        <v/>
      </c>
      <c r="BO101" s="72" t="str">
        <f t="shared" si="86"/>
        <v/>
      </c>
      <c r="BP101" s="39"/>
      <c r="BQ101" s="72" t="str">
        <f t="shared" si="67"/>
        <v/>
      </c>
      <c r="BR101" s="72" t="str">
        <f t="shared" si="87"/>
        <v/>
      </c>
    </row>
    <row r="102" spans="4:70" x14ac:dyDescent="0.15">
      <c r="F102" s="93"/>
      <c r="I102" s="459">
        <f t="shared" si="88"/>
        <v>2107</v>
      </c>
      <c r="J102" s="71"/>
      <c r="K102" s="71">
        <f t="shared" si="89"/>
        <v>88</v>
      </c>
      <c r="L102" s="71"/>
      <c r="M102" s="7">
        <f t="shared" si="52"/>
        <v>7.4186387889959446E-2</v>
      </c>
      <c r="N102" s="71"/>
      <c r="O102" s="10" t="str">
        <f t="shared" si="68"/>
        <v/>
      </c>
      <c r="P102" s="29" t="str">
        <f t="shared" si="53"/>
        <v/>
      </c>
      <c r="Q102" s="71"/>
      <c r="R102" s="10" t="str">
        <f t="shared" si="69"/>
        <v/>
      </c>
      <c r="S102" s="71"/>
      <c r="T102" s="10" t="str">
        <f t="shared" si="70"/>
        <v/>
      </c>
      <c r="U102" s="71"/>
      <c r="V102" s="10" t="str">
        <f t="shared" si="54"/>
        <v/>
      </c>
      <c r="W102" s="10" t="str">
        <f t="shared" si="71"/>
        <v/>
      </c>
      <c r="X102" s="71"/>
      <c r="Y102" s="10" t="str">
        <f t="shared" si="55"/>
        <v/>
      </c>
      <c r="Z102" s="10" t="str">
        <f t="shared" si="72"/>
        <v/>
      </c>
      <c r="AA102" s="71"/>
      <c r="AB102" s="10" t="str">
        <f t="shared" si="56"/>
        <v/>
      </c>
      <c r="AC102" s="10" t="str">
        <f t="shared" si="73"/>
        <v/>
      </c>
      <c r="AD102" s="71"/>
      <c r="AE102" s="10" t="str">
        <f t="shared" si="57"/>
        <v/>
      </c>
      <c r="AF102" s="10" t="str">
        <f t="shared" si="74"/>
        <v/>
      </c>
      <c r="AG102" s="71"/>
      <c r="AH102" s="10" t="str">
        <f t="shared" si="58"/>
        <v/>
      </c>
      <c r="AI102" s="10" t="str">
        <f t="shared" si="75"/>
        <v/>
      </c>
      <c r="AJ102" s="71"/>
      <c r="AK102" s="10" t="str">
        <f t="shared" si="59"/>
        <v/>
      </c>
      <c r="AL102" s="10" t="str">
        <f t="shared" si="76"/>
        <v/>
      </c>
      <c r="AM102" s="71"/>
      <c r="AN102" s="10" t="str">
        <f t="shared" si="60"/>
        <v/>
      </c>
      <c r="AO102" s="10" t="str">
        <f t="shared" si="77"/>
        <v/>
      </c>
      <c r="AP102" s="71"/>
      <c r="AQ102" s="10" t="str">
        <f t="shared" si="61"/>
        <v/>
      </c>
      <c r="AR102" s="10" t="str">
        <f t="shared" si="78"/>
        <v/>
      </c>
      <c r="AS102" s="71"/>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U102" s="71"/>
      <c r="AV102" s="10" t="str">
        <f t="shared" si="62"/>
        <v/>
      </c>
      <c r="AW102" s="10" t="str">
        <f t="shared" si="79"/>
        <v/>
      </c>
      <c r="AX102" s="71"/>
      <c r="AY102" s="7" t="str">
        <f>IF(ISERROR(IF($K102&lt;=$F$15,VLOOKUP($I102,'表4）CO2価格'!$A$7:$E$67,VLOOKUP($F$48,'表4）CO2価格'!$H$10:$I$12,2,0),0)*$F$8/1000,"")),0,IF($K102&lt;=$F$15,VLOOKUP($I102,'表4）CO2価格'!$A$7:$E$67,VLOOKUP($F$48,'表4）CO2価格'!$H$10:$I$12,2,0),0)*$F$8/1000,""))</f>
        <v/>
      </c>
      <c r="AZ102" s="71"/>
      <c r="BA102" s="11" t="str">
        <f t="shared" si="63"/>
        <v/>
      </c>
      <c r="BB102" s="10" t="str">
        <f t="shared" si="80"/>
        <v/>
      </c>
      <c r="BC102" s="71"/>
      <c r="BD102" s="10" t="str">
        <f t="shared" si="64"/>
        <v/>
      </c>
      <c r="BE102" s="10" t="str">
        <f t="shared" si="81"/>
        <v/>
      </c>
      <c r="BF102" s="71"/>
      <c r="BG102" s="11" t="str">
        <f t="shared" si="65"/>
        <v/>
      </c>
      <c r="BH102" s="10" t="str">
        <f t="shared" si="82"/>
        <v/>
      </c>
      <c r="BJ102" s="7" t="str">
        <f t="shared" si="83"/>
        <v/>
      </c>
      <c r="BK102" s="158" t="str">
        <f t="shared" si="84"/>
        <v/>
      </c>
      <c r="BL102" s="158" t="str">
        <f t="shared" si="66"/>
        <v/>
      </c>
      <c r="BM102" s="10"/>
      <c r="BN102" s="10" t="str">
        <f t="shared" si="85"/>
        <v/>
      </c>
      <c r="BO102" s="10" t="str">
        <f t="shared" si="86"/>
        <v/>
      </c>
      <c r="BQ102" s="10" t="str">
        <f t="shared" si="67"/>
        <v/>
      </c>
      <c r="BR102" s="10" t="str">
        <f t="shared" si="87"/>
        <v/>
      </c>
    </row>
    <row r="103" spans="4:70" x14ac:dyDescent="0.15">
      <c r="E103" s="81" t="s">
        <v>202</v>
      </c>
      <c r="F103" s="91">
        <f>BB116/$BR$116</f>
        <v>0</v>
      </c>
      <c r="G103" s="81" t="s">
        <v>132</v>
      </c>
      <c r="I103" s="458">
        <f t="shared" si="88"/>
        <v>2108</v>
      </c>
      <c r="J103" s="39"/>
      <c r="K103" s="39">
        <f t="shared" si="89"/>
        <v>89</v>
      </c>
      <c r="L103" s="39"/>
      <c r="M103" s="40">
        <f t="shared" si="52"/>
        <v>7.2025619310640235E-2</v>
      </c>
      <c r="N103" s="39"/>
      <c r="O103" s="72" t="str">
        <f t="shared" si="68"/>
        <v/>
      </c>
      <c r="P103" s="41" t="str">
        <f t="shared" si="53"/>
        <v/>
      </c>
      <c r="Q103" s="39"/>
      <c r="R103" s="72" t="str">
        <f t="shared" si="69"/>
        <v/>
      </c>
      <c r="S103" s="39"/>
      <c r="T103" s="72" t="str">
        <f t="shared" si="70"/>
        <v/>
      </c>
      <c r="U103" s="39"/>
      <c r="V103" s="72" t="str">
        <f t="shared" si="54"/>
        <v/>
      </c>
      <c r="W103" s="72" t="str">
        <f t="shared" si="71"/>
        <v/>
      </c>
      <c r="X103" s="39"/>
      <c r="Y103" s="72" t="str">
        <f t="shared" si="55"/>
        <v/>
      </c>
      <c r="Z103" s="72" t="str">
        <f t="shared" si="72"/>
        <v/>
      </c>
      <c r="AA103" s="39"/>
      <c r="AB103" s="72" t="str">
        <f t="shared" si="56"/>
        <v/>
      </c>
      <c r="AC103" s="72" t="str">
        <f t="shared" si="73"/>
        <v/>
      </c>
      <c r="AD103" s="39"/>
      <c r="AE103" s="72" t="str">
        <f t="shared" si="57"/>
        <v/>
      </c>
      <c r="AF103" s="72" t="str">
        <f t="shared" si="74"/>
        <v/>
      </c>
      <c r="AG103" s="39"/>
      <c r="AH103" s="72" t="str">
        <f t="shared" si="58"/>
        <v/>
      </c>
      <c r="AI103" s="72" t="str">
        <f t="shared" si="75"/>
        <v/>
      </c>
      <c r="AJ103" s="39"/>
      <c r="AK103" s="72" t="str">
        <f t="shared" si="59"/>
        <v/>
      </c>
      <c r="AL103" s="72" t="str">
        <f t="shared" si="76"/>
        <v/>
      </c>
      <c r="AM103" s="39"/>
      <c r="AN103" s="72" t="str">
        <f t="shared" si="60"/>
        <v/>
      </c>
      <c r="AO103" s="72" t="str">
        <f t="shared" si="77"/>
        <v/>
      </c>
      <c r="AP103" s="39"/>
      <c r="AQ103" s="72" t="str">
        <f t="shared" si="61"/>
        <v/>
      </c>
      <c r="AR103" s="72" t="str">
        <f t="shared" si="78"/>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62"/>
        <v/>
      </c>
      <c r="AW103" s="72" t="str">
        <f t="shared" si="79"/>
        <v/>
      </c>
      <c r="AX103" s="39"/>
      <c r="AY103" s="40" t="str">
        <f>IF(ISERROR(IF($K103&lt;=$F$15,VLOOKUP($I103,'表4）CO2価格'!$A$7:$E$67,VLOOKUP($F$48,'表4）CO2価格'!$H$10:$I$12,2,0),0)*$F$8/1000,"")),0,IF($K103&lt;=$F$15,VLOOKUP($I103,'表4）CO2価格'!$A$7:$E$67,VLOOKUP($F$48,'表4）CO2価格'!$H$10:$I$12,2,0),0)*$F$8/1000,""))</f>
        <v/>
      </c>
      <c r="AZ103" s="39"/>
      <c r="BA103" s="42" t="str">
        <f t="shared" si="63"/>
        <v/>
      </c>
      <c r="BB103" s="72" t="str">
        <f t="shared" si="80"/>
        <v/>
      </c>
      <c r="BC103" s="39"/>
      <c r="BD103" s="72" t="str">
        <f t="shared" si="64"/>
        <v/>
      </c>
      <c r="BE103" s="72" t="str">
        <f t="shared" si="81"/>
        <v/>
      </c>
      <c r="BF103" s="39"/>
      <c r="BG103" s="42" t="str">
        <f t="shared" si="65"/>
        <v/>
      </c>
      <c r="BH103" s="72" t="str">
        <f t="shared" si="82"/>
        <v/>
      </c>
      <c r="BI103" s="39"/>
      <c r="BJ103" s="40" t="str">
        <f t="shared" si="83"/>
        <v/>
      </c>
      <c r="BK103" s="157" t="str">
        <f t="shared" si="84"/>
        <v/>
      </c>
      <c r="BL103" s="157" t="str">
        <f t="shared" si="66"/>
        <v/>
      </c>
      <c r="BM103" s="72"/>
      <c r="BN103" s="72" t="str">
        <f t="shared" si="85"/>
        <v/>
      </c>
      <c r="BO103" s="72" t="str">
        <f t="shared" si="86"/>
        <v/>
      </c>
      <c r="BP103" s="39"/>
      <c r="BQ103" s="72" t="str">
        <f t="shared" si="67"/>
        <v/>
      </c>
      <c r="BR103" s="72" t="str">
        <f t="shared" si="87"/>
        <v/>
      </c>
    </row>
    <row r="104" spans="4:70" x14ac:dyDescent="0.15">
      <c r="E104" s="81" t="s">
        <v>203</v>
      </c>
      <c r="F104" s="91">
        <f>IF(ISERROR(F60*(1/F61)/F62),0,F60*(1/F61)/F62)</f>
        <v>0</v>
      </c>
      <c r="G104" s="81" t="s">
        <v>132</v>
      </c>
      <c r="I104" s="459">
        <f t="shared" si="88"/>
        <v>2109</v>
      </c>
      <c r="J104" s="71"/>
      <c r="K104" s="71">
        <f t="shared" si="89"/>
        <v>90</v>
      </c>
      <c r="L104" s="71"/>
      <c r="M104" s="7">
        <f t="shared" si="52"/>
        <v>6.9927785738485654E-2</v>
      </c>
      <c r="N104" s="71"/>
      <c r="O104" s="10" t="str">
        <f t="shared" si="68"/>
        <v/>
      </c>
      <c r="P104" s="29" t="str">
        <f t="shared" si="53"/>
        <v/>
      </c>
      <c r="Q104" s="71"/>
      <c r="R104" s="10" t="str">
        <f t="shared" si="69"/>
        <v/>
      </c>
      <c r="S104" s="71"/>
      <c r="T104" s="10" t="str">
        <f t="shared" si="70"/>
        <v/>
      </c>
      <c r="U104" s="71"/>
      <c r="V104" s="10" t="str">
        <f t="shared" si="54"/>
        <v/>
      </c>
      <c r="W104" s="10" t="str">
        <f t="shared" si="71"/>
        <v/>
      </c>
      <c r="X104" s="71"/>
      <c r="Y104" s="10" t="str">
        <f t="shared" si="55"/>
        <v/>
      </c>
      <c r="Z104" s="10" t="str">
        <f t="shared" si="72"/>
        <v/>
      </c>
      <c r="AA104" s="71"/>
      <c r="AB104" s="10" t="str">
        <f t="shared" si="56"/>
        <v/>
      </c>
      <c r="AC104" s="10" t="str">
        <f t="shared" si="73"/>
        <v/>
      </c>
      <c r="AD104" s="71"/>
      <c r="AE104" s="10" t="str">
        <f t="shared" si="57"/>
        <v/>
      </c>
      <c r="AF104" s="10" t="str">
        <f t="shared" si="74"/>
        <v/>
      </c>
      <c r="AG104" s="71"/>
      <c r="AH104" s="10" t="str">
        <f t="shared" si="58"/>
        <v/>
      </c>
      <c r="AI104" s="10" t="str">
        <f t="shared" si="75"/>
        <v/>
      </c>
      <c r="AJ104" s="71"/>
      <c r="AK104" s="10" t="str">
        <f t="shared" si="59"/>
        <v/>
      </c>
      <c r="AL104" s="10" t="str">
        <f t="shared" si="76"/>
        <v/>
      </c>
      <c r="AM104" s="71"/>
      <c r="AN104" s="10" t="str">
        <f t="shared" si="60"/>
        <v/>
      </c>
      <c r="AO104" s="10" t="str">
        <f t="shared" si="77"/>
        <v/>
      </c>
      <c r="AP104" s="71"/>
      <c r="AQ104" s="10" t="str">
        <f t="shared" si="61"/>
        <v/>
      </c>
      <c r="AR104" s="10" t="str">
        <f t="shared" si="78"/>
        <v/>
      </c>
      <c r="AS104" s="71"/>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U104" s="71"/>
      <c r="AV104" s="10" t="str">
        <f t="shared" si="62"/>
        <v/>
      </c>
      <c r="AW104" s="10" t="str">
        <f t="shared" si="79"/>
        <v/>
      </c>
      <c r="AX104" s="71"/>
      <c r="AY104" s="7" t="str">
        <f>IF(ISERROR(IF($K104&lt;=$F$15,VLOOKUP($I104,'表4）CO2価格'!$A$7:$E$67,VLOOKUP($F$48,'表4）CO2価格'!$H$10:$I$12,2,0),0)*$F$8/1000,"")),0,IF($K104&lt;=$F$15,VLOOKUP($I104,'表4）CO2価格'!$A$7:$E$67,VLOOKUP($F$48,'表4）CO2価格'!$H$10:$I$12,2,0),0)*$F$8/1000,""))</f>
        <v/>
      </c>
      <c r="AZ104" s="71"/>
      <c r="BA104" s="11" t="str">
        <f t="shared" si="63"/>
        <v/>
      </c>
      <c r="BB104" s="10" t="str">
        <f t="shared" si="80"/>
        <v/>
      </c>
      <c r="BC104" s="71"/>
      <c r="BD104" s="10" t="str">
        <f t="shared" si="64"/>
        <v/>
      </c>
      <c r="BE104" s="10" t="str">
        <f t="shared" si="81"/>
        <v/>
      </c>
      <c r="BF104" s="71"/>
      <c r="BG104" s="11" t="str">
        <f t="shared" si="65"/>
        <v/>
      </c>
      <c r="BH104" s="10" t="str">
        <f t="shared" si="82"/>
        <v/>
      </c>
      <c r="BJ104" s="7" t="str">
        <f t="shared" si="83"/>
        <v/>
      </c>
      <c r="BK104" s="158" t="str">
        <f t="shared" si="84"/>
        <v/>
      </c>
      <c r="BL104" s="158" t="str">
        <f t="shared" si="66"/>
        <v/>
      </c>
      <c r="BM104" s="10"/>
      <c r="BN104" s="10" t="str">
        <f t="shared" si="85"/>
        <v/>
      </c>
      <c r="BO104" s="10" t="str">
        <f t="shared" si="86"/>
        <v/>
      </c>
      <c r="BQ104" s="10" t="str">
        <f t="shared" si="67"/>
        <v/>
      </c>
      <c r="BR104" s="10" t="str">
        <f t="shared" si="87"/>
        <v/>
      </c>
    </row>
    <row r="105" spans="4:70" x14ac:dyDescent="0.15">
      <c r="E105" s="9" t="s">
        <v>367</v>
      </c>
      <c r="F105" s="91">
        <f>F64</f>
        <v>0.47733799999999998</v>
      </c>
      <c r="G105" s="81" t="s">
        <v>132</v>
      </c>
      <c r="I105" s="458">
        <f t="shared" si="88"/>
        <v>2110</v>
      </c>
      <c r="J105" s="39"/>
      <c r="K105" s="39">
        <f t="shared" si="89"/>
        <v>91</v>
      </c>
      <c r="L105" s="39"/>
      <c r="M105" s="40">
        <f t="shared" si="52"/>
        <v>6.7891054115034627E-2</v>
      </c>
      <c r="N105" s="39"/>
      <c r="O105" s="72" t="str">
        <f t="shared" si="68"/>
        <v/>
      </c>
      <c r="P105" s="41" t="str">
        <f t="shared" si="53"/>
        <v/>
      </c>
      <c r="Q105" s="39"/>
      <c r="R105" s="72" t="str">
        <f t="shared" si="69"/>
        <v/>
      </c>
      <c r="S105" s="39"/>
      <c r="T105" s="72" t="str">
        <f t="shared" si="70"/>
        <v/>
      </c>
      <c r="U105" s="39"/>
      <c r="V105" s="72" t="str">
        <f t="shared" si="54"/>
        <v/>
      </c>
      <c r="W105" s="72" t="str">
        <f t="shared" si="71"/>
        <v/>
      </c>
      <c r="X105" s="39"/>
      <c r="Y105" s="72" t="str">
        <f t="shared" si="55"/>
        <v/>
      </c>
      <c r="Z105" s="72" t="str">
        <f t="shared" si="72"/>
        <v/>
      </c>
      <c r="AA105" s="39"/>
      <c r="AB105" s="72" t="str">
        <f t="shared" si="56"/>
        <v/>
      </c>
      <c r="AC105" s="72" t="str">
        <f t="shared" si="73"/>
        <v/>
      </c>
      <c r="AD105" s="39"/>
      <c r="AE105" s="72" t="str">
        <f t="shared" si="57"/>
        <v/>
      </c>
      <c r="AF105" s="72" t="str">
        <f t="shared" si="74"/>
        <v/>
      </c>
      <c r="AG105" s="39"/>
      <c r="AH105" s="72" t="str">
        <f t="shared" si="58"/>
        <v/>
      </c>
      <c r="AI105" s="72" t="str">
        <f t="shared" si="75"/>
        <v/>
      </c>
      <c r="AJ105" s="39"/>
      <c r="AK105" s="72" t="str">
        <f t="shared" si="59"/>
        <v/>
      </c>
      <c r="AL105" s="72" t="str">
        <f t="shared" si="76"/>
        <v/>
      </c>
      <c r="AM105" s="39"/>
      <c r="AN105" s="72" t="str">
        <f t="shared" si="60"/>
        <v/>
      </c>
      <c r="AO105" s="72" t="str">
        <f t="shared" si="77"/>
        <v/>
      </c>
      <c r="AP105" s="39"/>
      <c r="AQ105" s="72" t="str">
        <f t="shared" si="61"/>
        <v/>
      </c>
      <c r="AR105" s="72" t="str">
        <f t="shared" si="78"/>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62"/>
        <v/>
      </c>
      <c r="AW105" s="72" t="str">
        <f t="shared" si="79"/>
        <v/>
      </c>
      <c r="AX105" s="39"/>
      <c r="AY105" s="40" t="str">
        <f>IF(ISERROR(IF($K105&lt;=$F$15,VLOOKUP($I105,'表4）CO2価格'!$A$7:$E$67,VLOOKUP($F$48,'表4）CO2価格'!$H$10:$I$12,2,0),0)*$F$8/1000,"")),0,IF($K105&lt;=$F$15,VLOOKUP($I105,'表4）CO2価格'!$A$7:$E$67,VLOOKUP($F$48,'表4）CO2価格'!$H$10:$I$12,2,0),0)*$F$8/1000,""))</f>
        <v/>
      </c>
      <c r="AZ105" s="39"/>
      <c r="BA105" s="42" t="str">
        <f t="shared" si="63"/>
        <v/>
      </c>
      <c r="BB105" s="72" t="str">
        <f t="shared" si="80"/>
        <v/>
      </c>
      <c r="BC105" s="39"/>
      <c r="BD105" s="72" t="str">
        <f t="shared" si="64"/>
        <v/>
      </c>
      <c r="BE105" s="72" t="str">
        <f t="shared" si="81"/>
        <v/>
      </c>
      <c r="BF105" s="39"/>
      <c r="BG105" s="42" t="str">
        <f t="shared" si="65"/>
        <v/>
      </c>
      <c r="BH105" s="72" t="str">
        <f t="shared" si="82"/>
        <v/>
      </c>
      <c r="BI105" s="39"/>
      <c r="BJ105" s="40" t="str">
        <f t="shared" si="83"/>
        <v/>
      </c>
      <c r="BK105" s="157" t="str">
        <f t="shared" si="84"/>
        <v/>
      </c>
      <c r="BL105" s="157" t="str">
        <f t="shared" si="66"/>
        <v/>
      </c>
      <c r="BM105" s="72"/>
      <c r="BN105" s="72" t="str">
        <f t="shared" si="85"/>
        <v/>
      </c>
      <c r="BO105" s="72" t="str">
        <f t="shared" si="86"/>
        <v/>
      </c>
      <c r="BP105" s="39"/>
      <c r="BQ105" s="72" t="str">
        <f t="shared" si="67"/>
        <v/>
      </c>
      <c r="BR105" s="72" t="str">
        <f t="shared" si="87"/>
        <v/>
      </c>
    </row>
    <row r="106" spans="4:70" x14ac:dyDescent="0.15">
      <c r="F106" s="93"/>
      <c r="I106" s="459">
        <f t="shared" si="88"/>
        <v>2111</v>
      </c>
      <c r="J106" s="71"/>
      <c r="K106" s="71">
        <f t="shared" si="89"/>
        <v>92</v>
      </c>
      <c r="L106" s="71"/>
      <c r="M106" s="7">
        <f t="shared" si="52"/>
        <v>6.5913644771878277E-2</v>
      </c>
      <c r="N106" s="71"/>
      <c r="O106" s="10" t="str">
        <f t="shared" si="68"/>
        <v/>
      </c>
      <c r="P106" s="29" t="str">
        <f t="shared" si="53"/>
        <v/>
      </c>
      <c r="Q106" s="71"/>
      <c r="R106" s="10" t="str">
        <f t="shared" si="69"/>
        <v/>
      </c>
      <c r="S106" s="71"/>
      <c r="T106" s="10" t="str">
        <f t="shared" si="70"/>
        <v/>
      </c>
      <c r="U106" s="71"/>
      <c r="V106" s="10" t="str">
        <f t="shared" si="54"/>
        <v/>
      </c>
      <c r="W106" s="10" t="str">
        <f t="shared" si="71"/>
        <v/>
      </c>
      <c r="X106" s="71"/>
      <c r="Y106" s="10" t="str">
        <f t="shared" si="55"/>
        <v/>
      </c>
      <c r="Z106" s="10" t="str">
        <f t="shared" si="72"/>
        <v/>
      </c>
      <c r="AA106" s="71"/>
      <c r="AB106" s="10" t="str">
        <f t="shared" si="56"/>
        <v/>
      </c>
      <c r="AC106" s="10" t="str">
        <f t="shared" si="73"/>
        <v/>
      </c>
      <c r="AD106" s="71"/>
      <c r="AE106" s="10" t="str">
        <f t="shared" si="57"/>
        <v/>
      </c>
      <c r="AF106" s="10" t="str">
        <f t="shared" si="74"/>
        <v/>
      </c>
      <c r="AG106" s="71"/>
      <c r="AH106" s="10" t="str">
        <f t="shared" si="58"/>
        <v/>
      </c>
      <c r="AI106" s="10" t="str">
        <f t="shared" si="75"/>
        <v/>
      </c>
      <c r="AJ106" s="71"/>
      <c r="AK106" s="10" t="str">
        <f t="shared" si="59"/>
        <v/>
      </c>
      <c r="AL106" s="10" t="str">
        <f t="shared" si="76"/>
        <v/>
      </c>
      <c r="AM106" s="71"/>
      <c r="AN106" s="10" t="str">
        <f t="shared" si="60"/>
        <v/>
      </c>
      <c r="AO106" s="10" t="str">
        <f t="shared" si="77"/>
        <v/>
      </c>
      <c r="AP106" s="71"/>
      <c r="AQ106" s="10" t="str">
        <f t="shared" si="61"/>
        <v/>
      </c>
      <c r="AR106" s="10" t="str">
        <f t="shared" si="78"/>
        <v/>
      </c>
      <c r="AS106" s="71"/>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U106" s="71"/>
      <c r="AV106" s="10" t="str">
        <f t="shared" si="62"/>
        <v/>
      </c>
      <c r="AW106" s="10" t="str">
        <f t="shared" si="79"/>
        <v/>
      </c>
      <c r="AX106" s="71"/>
      <c r="AY106" s="7" t="str">
        <f>IF(ISERROR(IF($K106&lt;=$F$15,VLOOKUP($I106,'表4）CO2価格'!$A$7:$E$67,VLOOKUP($F$48,'表4）CO2価格'!$H$10:$I$12,2,0),0)*$F$8/1000,"")),0,IF($K106&lt;=$F$15,VLOOKUP($I106,'表4）CO2価格'!$A$7:$E$67,VLOOKUP($F$48,'表4）CO2価格'!$H$10:$I$12,2,0),0)*$F$8/1000,""))</f>
        <v/>
      </c>
      <c r="AZ106" s="71"/>
      <c r="BA106" s="11" t="str">
        <f t="shared" si="63"/>
        <v/>
      </c>
      <c r="BB106" s="10" t="str">
        <f t="shared" si="80"/>
        <v/>
      </c>
      <c r="BC106" s="71"/>
      <c r="BD106" s="10" t="str">
        <f t="shared" si="64"/>
        <v/>
      </c>
      <c r="BE106" s="10" t="str">
        <f t="shared" si="81"/>
        <v/>
      </c>
      <c r="BF106" s="71"/>
      <c r="BG106" s="11" t="str">
        <f t="shared" si="65"/>
        <v/>
      </c>
      <c r="BH106" s="10" t="str">
        <f t="shared" si="82"/>
        <v/>
      </c>
      <c r="BJ106" s="7" t="str">
        <f t="shared" si="83"/>
        <v/>
      </c>
      <c r="BK106" s="158" t="str">
        <f t="shared" si="84"/>
        <v/>
      </c>
      <c r="BL106" s="158" t="str">
        <f t="shared" si="66"/>
        <v/>
      </c>
      <c r="BM106" s="10"/>
      <c r="BN106" s="10" t="str">
        <f t="shared" si="85"/>
        <v/>
      </c>
      <c r="BO106" s="10" t="str">
        <f t="shared" si="86"/>
        <v/>
      </c>
      <c r="BQ106" s="10" t="str">
        <f t="shared" si="67"/>
        <v/>
      </c>
      <c r="BR106" s="10" t="str">
        <f t="shared" si="87"/>
        <v/>
      </c>
    </row>
    <row r="107" spans="4:70" ht="15" x14ac:dyDescent="0.15">
      <c r="D107" s="116" t="s">
        <v>204</v>
      </c>
      <c r="F107" s="94">
        <f>SUBTOTAL(9,F111:F112)</f>
        <v>0</v>
      </c>
      <c r="G107" s="81" t="s">
        <v>132</v>
      </c>
      <c r="I107" s="458">
        <f t="shared" si="88"/>
        <v>2112</v>
      </c>
      <c r="J107" s="39"/>
      <c r="K107" s="39">
        <f t="shared" si="89"/>
        <v>93</v>
      </c>
      <c r="L107" s="39"/>
      <c r="M107" s="40">
        <f t="shared" si="52"/>
        <v>6.3993829875609989E-2</v>
      </c>
      <c r="N107" s="39"/>
      <c r="O107" s="72" t="str">
        <f t="shared" si="68"/>
        <v/>
      </c>
      <c r="P107" s="41" t="str">
        <f t="shared" si="53"/>
        <v/>
      </c>
      <c r="Q107" s="39"/>
      <c r="R107" s="72" t="str">
        <f t="shared" si="69"/>
        <v/>
      </c>
      <c r="S107" s="39"/>
      <c r="T107" s="72" t="str">
        <f t="shared" si="70"/>
        <v/>
      </c>
      <c r="U107" s="39"/>
      <c r="V107" s="72" t="str">
        <f t="shared" si="54"/>
        <v/>
      </c>
      <c r="W107" s="72" t="str">
        <f t="shared" si="71"/>
        <v/>
      </c>
      <c r="X107" s="39"/>
      <c r="Y107" s="72" t="str">
        <f t="shared" si="55"/>
        <v/>
      </c>
      <c r="Z107" s="72" t="str">
        <f t="shared" si="72"/>
        <v/>
      </c>
      <c r="AA107" s="39"/>
      <c r="AB107" s="72" t="str">
        <f t="shared" si="56"/>
        <v/>
      </c>
      <c r="AC107" s="72" t="str">
        <f t="shared" si="73"/>
        <v/>
      </c>
      <c r="AD107" s="39"/>
      <c r="AE107" s="72" t="str">
        <f t="shared" si="57"/>
        <v/>
      </c>
      <c r="AF107" s="72" t="str">
        <f t="shared" si="74"/>
        <v/>
      </c>
      <c r="AG107" s="39"/>
      <c r="AH107" s="72" t="str">
        <f t="shared" si="58"/>
        <v/>
      </c>
      <c r="AI107" s="72" t="str">
        <f t="shared" si="75"/>
        <v/>
      </c>
      <c r="AJ107" s="39"/>
      <c r="AK107" s="72" t="str">
        <f t="shared" si="59"/>
        <v/>
      </c>
      <c r="AL107" s="72" t="str">
        <f t="shared" si="76"/>
        <v/>
      </c>
      <c r="AM107" s="39"/>
      <c r="AN107" s="72" t="str">
        <f t="shared" si="60"/>
        <v/>
      </c>
      <c r="AO107" s="72" t="str">
        <f t="shared" si="77"/>
        <v/>
      </c>
      <c r="AP107" s="39"/>
      <c r="AQ107" s="72" t="str">
        <f t="shared" si="61"/>
        <v/>
      </c>
      <c r="AR107" s="72" t="str">
        <f t="shared" si="78"/>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62"/>
        <v/>
      </c>
      <c r="AW107" s="72" t="str">
        <f t="shared" si="79"/>
        <v/>
      </c>
      <c r="AX107" s="39"/>
      <c r="AY107" s="40" t="str">
        <f>IF(ISERROR(IF($K107&lt;=$F$15,VLOOKUP($I107,'表4）CO2価格'!$A$7:$E$67,VLOOKUP($F$48,'表4）CO2価格'!$H$10:$I$12,2,0),0)*$F$8/1000,"")),0,IF($K107&lt;=$F$15,VLOOKUP($I107,'表4）CO2価格'!$A$7:$E$67,VLOOKUP($F$48,'表4）CO2価格'!$H$10:$I$12,2,0),0)*$F$8/1000,""))</f>
        <v/>
      </c>
      <c r="AZ107" s="39"/>
      <c r="BA107" s="42" t="str">
        <f t="shared" si="63"/>
        <v/>
      </c>
      <c r="BB107" s="72" t="str">
        <f t="shared" si="80"/>
        <v/>
      </c>
      <c r="BC107" s="39"/>
      <c r="BD107" s="72" t="str">
        <f t="shared" si="64"/>
        <v/>
      </c>
      <c r="BE107" s="72" t="str">
        <f t="shared" si="81"/>
        <v/>
      </c>
      <c r="BF107" s="39"/>
      <c r="BG107" s="42" t="str">
        <f t="shared" si="65"/>
        <v/>
      </c>
      <c r="BH107" s="72" t="str">
        <f t="shared" si="82"/>
        <v/>
      </c>
      <c r="BI107" s="39"/>
      <c r="BJ107" s="40" t="str">
        <f t="shared" si="83"/>
        <v/>
      </c>
      <c r="BK107" s="157" t="str">
        <f t="shared" si="84"/>
        <v/>
      </c>
      <c r="BL107" s="157" t="str">
        <f t="shared" si="66"/>
        <v/>
      </c>
      <c r="BM107" s="72"/>
      <c r="BN107" s="72" t="str">
        <f t="shared" si="85"/>
        <v/>
      </c>
      <c r="BO107" s="72" t="str">
        <f t="shared" si="86"/>
        <v/>
      </c>
      <c r="BP107" s="39"/>
      <c r="BQ107" s="72" t="str">
        <f t="shared" si="67"/>
        <v/>
      </c>
      <c r="BR107" s="72" t="str">
        <f t="shared" si="87"/>
        <v/>
      </c>
    </row>
    <row r="108" spans="4:70" ht="15" x14ac:dyDescent="0.15">
      <c r="D108" s="116"/>
      <c r="F108" s="93"/>
      <c r="I108" s="459">
        <f t="shared" si="88"/>
        <v>2113</v>
      </c>
      <c r="J108" s="71"/>
      <c r="K108" s="71">
        <f t="shared" si="89"/>
        <v>94</v>
      </c>
      <c r="L108" s="71"/>
      <c r="M108" s="7">
        <f t="shared" si="52"/>
        <v>6.212993191806794E-2</v>
      </c>
      <c r="N108" s="71"/>
      <c r="O108" s="10" t="str">
        <f t="shared" si="68"/>
        <v/>
      </c>
      <c r="P108" s="29" t="str">
        <f t="shared" si="53"/>
        <v/>
      </c>
      <c r="Q108" s="71"/>
      <c r="R108" s="10" t="str">
        <f t="shared" si="69"/>
        <v/>
      </c>
      <c r="S108" s="71"/>
      <c r="T108" s="10" t="str">
        <f t="shared" si="70"/>
        <v/>
      </c>
      <c r="U108" s="71"/>
      <c r="V108" s="10" t="str">
        <f t="shared" si="54"/>
        <v/>
      </c>
      <c r="W108" s="10" t="str">
        <f t="shared" si="71"/>
        <v/>
      </c>
      <c r="X108" s="71"/>
      <c r="Y108" s="10" t="str">
        <f t="shared" si="55"/>
        <v/>
      </c>
      <c r="Z108" s="10" t="str">
        <f t="shared" si="72"/>
        <v/>
      </c>
      <c r="AA108" s="71"/>
      <c r="AB108" s="10" t="str">
        <f t="shared" si="56"/>
        <v/>
      </c>
      <c r="AC108" s="10" t="str">
        <f t="shared" si="73"/>
        <v/>
      </c>
      <c r="AD108" s="71"/>
      <c r="AE108" s="10" t="str">
        <f t="shared" si="57"/>
        <v/>
      </c>
      <c r="AF108" s="10" t="str">
        <f t="shared" si="74"/>
        <v/>
      </c>
      <c r="AG108" s="71"/>
      <c r="AH108" s="10" t="str">
        <f t="shared" si="58"/>
        <v/>
      </c>
      <c r="AI108" s="10" t="str">
        <f t="shared" si="75"/>
        <v/>
      </c>
      <c r="AJ108" s="71"/>
      <c r="AK108" s="10" t="str">
        <f t="shared" si="59"/>
        <v/>
      </c>
      <c r="AL108" s="10" t="str">
        <f t="shared" si="76"/>
        <v/>
      </c>
      <c r="AM108" s="71"/>
      <c r="AN108" s="10" t="str">
        <f t="shared" si="60"/>
        <v/>
      </c>
      <c r="AO108" s="10" t="str">
        <f t="shared" si="77"/>
        <v/>
      </c>
      <c r="AP108" s="71"/>
      <c r="AQ108" s="10" t="str">
        <f t="shared" si="61"/>
        <v/>
      </c>
      <c r="AR108" s="10" t="str">
        <f t="shared" si="78"/>
        <v/>
      </c>
      <c r="AS108" s="71"/>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U108" s="71"/>
      <c r="AV108" s="10" t="str">
        <f t="shared" si="62"/>
        <v/>
      </c>
      <c r="AW108" s="10" t="str">
        <f t="shared" si="79"/>
        <v/>
      </c>
      <c r="AX108" s="71"/>
      <c r="AY108" s="7" t="str">
        <f>IF(ISERROR(IF($K108&lt;=$F$15,VLOOKUP($I108,'表4）CO2価格'!$A$7:$E$67,VLOOKUP($F$48,'表4）CO2価格'!$H$10:$I$12,2,0),0)*$F$8/1000,"")),0,IF($K108&lt;=$F$15,VLOOKUP($I108,'表4）CO2価格'!$A$7:$E$67,VLOOKUP($F$48,'表4）CO2価格'!$H$10:$I$12,2,0),0)*$F$8/1000,""))</f>
        <v/>
      </c>
      <c r="AZ108" s="71"/>
      <c r="BA108" s="11" t="str">
        <f t="shared" si="63"/>
        <v/>
      </c>
      <c r="BB108" s="10" t="str">
        <f t="shared" si="80"/>
        <v/>
      </c>
      <c r="BC108" s="71"/>
      <c r="BD108" s="10" t="str">
        <f t="shared" si="64"/>
        <v/>
      </c>
      <c r="BE108" s="10" t="str">
        <f t="shared" si="81"/>
        <v/>
      </c>
      <c r="BF108" s="71"/>
      <c r="BG108" s="11" t="str">
        <f t="shared" si="65"/>
        <v/>
      </c>
      <c r="BH108" s="10" t="str">
        <f t="shared" si="82"/>
        <v/>
      </c>
      <c r="BJ108" s="7" t="str">
        <f t="shared" si="83"/>
        <v/>
      </c>
      <c r="BK108" s="158" t="str">
        <f t="shared" si="84"/>
        <v/>
      </c>
      <c r="BL108" s="158" t="str">
        <f t="shared" si="66"/>
        <v/>
      </c>
      <c r="BM108" s="10"/>
      <c r="BN108" s="10" t="str">
        <f t="shared" si="85"/>
        <v/>
      </c>
      <c r="BO108" s="10" t="str">
        <f t="shared" si="86"/>
        <v/>
      </c>
      <c r="BQ108" s="10" t="str">
        <f t="shared" si="67"/>
        <v/>
      </c>
      <c r="BR108" s="10" t="str">
        <f t="shared" si="87"/>
        <v/>
      </c>
    </row>
    <row r="109" spans="4:70" x14ac:dyDescent="0.15">
      <c r="D109" s="101" t="s">
        <v>205</v>
      </c>
      <c r="E109" s="101"/>
      <c r="F109" s="92"/>
      <c r="G109" s="101"/>
      <c r="I109" s="458">
        <f t="shared" si="88"/>
        <v>2114</v>
      </c>
      <c r="J109" s="39"/>
      <c r="K109" s="39">
        <f t="shared" si="89"/>
        <v>95</v>
      </c>
      <c r="L109" s="39"/>
      <c r="M109" s="40">
        <f t="shared" si="52"/>
        <v>6.0320322250551395E-2</v>
      </c>
      <c r="N109" s="39"/>
      <c r="O109" s="72" t="str">
        <f t="shared" si="68"/>
        <v/>
      </c>
      <c r="P109" s="41" t="str">
        <f t="shared" si="53"/>
        <v/>
      </c>
      <c r="Q109" s="39"/>
      <c r="R109" s="72" t="str">
        <f t="shared" si="69"/>
        <v/>
      </c>
      <c r="S109" s="39"/>
      <c r="T109" s="72" t="str">
        <f t="shared" si="70"/>
        <v/>
      </c>
      <c r="U109" s="39"/>
      <c r="V109" s="72" t="str">
        <f t="shared" si="54"/>
        <v/>
      </c>
      <c r="W109" s="72" t="str">
        <f t="shared" si="71"/>
        <v/>
      </c>
      <c r="X109" s="39"/>
      <c r="Y109" s="72" t="str">
        <f t="shared" si="55"/>
        <v/>
      </c>
      <c r="Z109" s="72" t="str">
        <f t="shared" si="72"/>
        <v/>
      </c>
      <c r="AA109" s="39"/>
      <c r="AB109" s="72" t="str">
        <f t="shared" si="56"/>
        <v/>
      </c>
      <c r="AC109" s="72" t="str">
        <f t="shared" si="73"/>
        <v/>
      </c>
      <c r="AD109" s="39"/>
      <c r="AE109" s="72" t="str">
        <f t="shared" si="57"/>
        <v/>
      </c>
      <c r="AF109" s="72" t="str">
        <f t="shared" si="74"/>
        <v/>
      </c>
      <c r="AG109" s="39"/>
      <c r="AH109" s="72" t="str">
        <f t="shared" si="58"/>
        <v/>
      </c>
      <c r="AI109" s="72" t="str">
        <f t="shared" si="75"/>
        <v/>
      </c>
      <c r="AJ109" s="39"/>
      <c r="AK109" s="72" t="str">
        <f t="shared" si="59"/>
        <v/>
      </c>
      <c r="AL109" s="72" t="str">
        <f t="shared" si="76"/>
        <v/>
      </c>
      <c r="AM109" s="39"/>
      <c r="AN109" s="72" t="str">
        <f t="shared" si="60"/>
        <v/>
      </c>
      <c r="AO109" s="72" t="str">
        <f t="shared" si="77"/>
        <v/>
      </c>
      <c r="AP109" s="39"/>
      <c r="AQ109" s="72" t="str">
        <f t="shared" si="61"/>
        <v/>
      </c>
      <c r="AR109" s="72" t="str">
        <f t="shared" si="78"/>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62"/>
        <v/>
      </c>
      <c r="AW109" s="72" t="str">
        <f t="shared" si="79"/>
        <v/>
      </c>
      <c r="AX109" s="39"/>
      <c r="AY109" s="40" t="str">
        <f>IF(ISERROR(IF($K109&lt;=$F$15,VLOOKUP($I109,'表4）CO2価格'!$A$7:$E$67,VLOOKUP($F$48,'表4）CO2価格'!$H$10:$I$12,2,0),0)*$F$8/1000,"")),0,IF($K109&lt;=$F$15,VLOOKUP($I109,'表4）CO2価格'!$A$7:$E$67,VLOOKUP($F$48,'表4）CO2価格'!$H$10:$I$12,2,0),0)*$F$8/1000,""))</f>
        <v/>
      </c>
      <c r="AZ109" s="39"/>
      <c r="BA109" s="42" t="str">
        <f t="shared" si="63"/>
        <v/>
      </c>
      <c r="BB109" s="72" t="str">
        <f t="shared" si="80"/>
        <v/>
      </c>
      <c r="BC109" s="39"/>
      <c r="BD109" s="72" t="str">
        <f t="shared" si="64"/>
        <v/>
      </c>
      <c r="BE109" s="72" t="str">
        <f t="shared" si="81"/>
        <v/>
      </c>
      <c r="BF109" s="39"/>
      <c r="BG109" s="42" t="str">
        <f t="shared" si="65"/>
        <v/>
      </c>
      <c r="BH109" s="72" t="str">
        <f t="shared" si="82"/>
        <v/>
      </c>
      <c r="BI109" s="39"/>
      <c r="BJ109" s="40" t="str">
        <f t="shared" si="83"/>
        <v/>
      </c>
      <c r="BK109" s="157" t="str">
        <f t="shared" si="84"/>
        <v/>
      </c>
      <c r="BL109" s="157" t="str">
        <f t="shared" si="66"/>
        <v/>
      </c>
      <c r="BM109" s="72"/>
      <c r="BN109" s="72" t="str">
        <f t="shared" si="85"/>
        <v/>
      </c>
      <c r="BO109" s="72" t="str">
        <f t="shared" si="86"/>
        <v/>
      </c>
      <c r="BP109" s="39"/>
      <c r="BQ109" s="72" t="str">
        <f t="shared" si="67"/>
        <v/>
      </c>
      <c r="BR109" s="72" t="str">
        <f t="shared" si="87"/>
        <v/>
      </c>
    </row>
    <row r="110" spans="4:70" ht="15" x14ac:dyDescent="0.15">
      <c r="D110" s="116"/>
      <c r="F110" s="93"/>
      <c r="I110" s="459">
        <f t="shared" si="88"/>
        <v>2115</v>
      </c>
      <c r="J110" s="71"/>
      <c r="K110" s="71">
        <f t="shared" si="89"/>
        <v>96</v>
      </c>
      <c r="L110" s="71"/>
      <c r="M110" s="7">
        <f t="shared" si="52"/>
        <v>5.8563419660729518E-2</v>
      </c>
      <c r="N110" s="71"/>
      <c r="O110" s="10" t="str">
        <f t="shared" si="68"/>
        <v/>
      </c>
      <c r="P110" s="29" t="str">
        <f t="shared" si="53"/>
        <v/>
      </c>
      <c r="Q110" s="71"/>
      <c r="R110" s="10" t="str">
        <f t="shared" si="69"/>
        <v/>
      </c>
      <c r="S110" s="71"/>
      <c r="T110" s="10" t="str">
        <f t="shared" si="70"/>
        <v/>
      </c>
      <c r="U110" s="71"/>
      <c r="V110" s="10" t="str">
        <f t="shared" si="54"/>
        <v/>
      </c>
      <c r="W110" s="10" t="str">
        <f t="shared" si="71"/>
        <v/>
      </c>
      <c r="X110" s="71"/>
      <c r="Y110" s="10" t="str">
        <f t="shared" si="55"/>
        <v/>
      </c>
      <c r="Z110" s="10" t="str">
        <f t="shared" si="72"/>
        <v/>
      </c>
      <c r="AA110" s="71"/>
      <c r="AB110" s="10" t="str">
        <f t="shared" si="56"/>
        <v/>
      </c>
      <c r="AC110" s="10" t="str">
        <f t="shared" si="73"/>
        <v/>
      </c>
      <c r="AD110" s="71"/>
      <c r="AE110" s="10" t="str">
        <f t="shared" si="57"/>
        <v/>
      </c>
      <c r="AF110" s="10" t="str">
        <f t="shared" si="74"/>
        <v/>
      </c>
      <c r="AG110" s="71"/>
      <c r="AH110" s="10" t="str">
        <f t="shared" si="58"/>
        <v/>
      </c>
      <c r="AI110" s="10" t="str">
        <f t="shared" si="75"/>
        <v/>
      </c>
      <c r="AJ110" s="71"/>
      <c r="AK110" s="10" t="str">
        <f t="shared" si="59"/>
        <v/>
      </c>
      <c r="AL110" s="10" t="str">
        <f t="shared" si="76"/>
        <v/>
      </c>
      <c r="AM110" s="71"/>
      <c r="AN110" s="10" t="str">
        <f t="shared" si="60"/>
        <v/>
      </c>
      <c r="AO110" s="10" t="str">
        <f t="shared" si="77"/>
        <v/>
      </c>
      <c r="AP110" s="71"/>
      <c r="AQ110" s="10" t="str">
        <f t="shared" si="61"/>
        <v/>
      </c>
      <c r="AR110" s="10" t="str">
        <f t="shared" si="78"/>
        <v/>
      </c>
      <c r="AS110" s="71"/>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U110" s="71"/>
      <c r="AV110" s="10" t="str">
        <f t="shared" si="62"/>
        <v/>
      </c>
      <c r="AW110" s="10" t="str">
        <f t="shared" si="79"/>
        <v/>
      </c>
      <c r="AX110" s="71"/>
      <c r="AY110" s="7" t="str">
        <f>IF(ISERROR(IF($K110&lt;=$F$15,VLOOKUP($I110,'表4）CO2価格'!$A$7:$E$67,VLOOKUP($F$48,'表4）CO2価格'!$H$10:$I$12,2,0),0)*$F$8/1000,"")),0,IF($K110&lt;=$F$15,VLOOKUP($I110,'表4）CO2価格'!$A$7:$E$67,VLOOKUP($F$48,'表4）CO2価格'!$H$10:$I$12,2,0),0)*$F$8/1000,""))</f>
        <v/>
      </c>
      <c r="AZ110" s="71"/>
      <c r="BA110" s="11" t="str">
        <f t="shared" si="63"/>
        <v/>
      </c>
      <c r="BB110" s="10" t="str">
        <f t="shared" si="80"/>
        <v/>
      </c>
      <c r="BC110" s="71"/>
      <c r="BD110" s="10" t="str">
        <f t="shared" si="64"/>
        <v/>
      </c>
      <c r="BE110" s="10" t="str">
        <f t="shared" si="81"/>
        <v/>
      </c>
      <c r="BF110" s="71"/>
      <c r="BG110" s="11" t="str">
        <f t="shared" si="65"/>
        <v/>
      </c>
      <c r="BH110" s="10" t="str">
        <f t="shared" si="82"/>
        <v/>
      </c>
      <c r="BJ110" s="7" t="str">
        <f t="shared" si="83"/>
        <v/>
      </c>
      <c r="BK110" s="158" t="str">
        <f t="shared" si="84"/>
        <v/>
      </c>
      <c r="BL110" s="158" t="str">
        <f t="shared" si="66"/>
        <v/>
      </c>
      <c r="BM110" s="10"/>
      <c r="BN110" s="10" t="str">
        <f t="shared" si="85"/>
        <v/>
      </c>
      <c r="BO110" s="10" t="str">
        <f t="shared" si="86"/>
        <v/>
      </c>
      <c r="BQ110" s="10" t="str">
        <f t="shared" si="67"/>
        <v/>
      </c>
      <c r="BR110" s="10" t="str">
        <f t="shared" si="87"/>
        <v/>
      </c>
    </row>
    <row r="111" spans="4:70" ht="15" x14ac:dyDescent="0.15">
      <c r="D111" s="116"/>
      <c r="E111" s="81" t="s">
        <v>206</v>
      </c>
      <c r="F111" s="91">
        <f>-BE116/BR116</f>
        <v>0</v>
      </c>
      <c r="G111" s="81" t="s">
        <v>132</v>
      </c>
      <c r="I111" s="458">
        <f t="shared" si="88"/>
        <v>2116</v>
      </c>
      <c r="J111" s="39"/>
      <c r="K111" s="39">
        <f t="shared" si="89"/>
        <v>97</v>
      </c>
      <c r="L111" s="39"/>
      <c r="M111" s="40">
        <f t="shared" si="52"/>
        <v>5.6857688990999529E-2</v>
      </c>
      <c r="N111" s="39"/>
      <c r="O111" s="72" t="str">
        <f t="shared" si="68"/>
        <v/>
      </c>
      <c r="P111" s="41" t="str">
        <f>IF(K111&lt;=$F$15,IF(OR(P110=$F$124,P110="-"),"-",IF(O111*$F$123&gt;$F$127,$F$123,$F$124)),"")</f>
        <v/>
      </c>
      <c r="Q111" s="39"/>
      <c r="R111" s="72" t="str">
        <f t="shared" si="69"/>
        <v/>
      </c>
      <c r="S111" s="39"/>
      <c r="T111" s="72" t="str">
        <f t="shared" si="70"/>
        <v/>
      </c>
      <c r="U111" s="39"/>
      <c r="V111" s="72" t="str">
        <f t="shared" si="54"/>
        <v/>
      </c>
      <c r="W111" s="72" t="str">
        <f t="shared" si="71"/>
        <v/>
      </c>
      <c r="X111" s="39"/>
      <c r="Y111" s="72" t="str">
        <f t="shared" si="55"/>
        <v/>
      </c>
      <c r="Z111" s="72" t="str">
        <f t="shared" si="72"/>
        <v/>
      </c>
      <c r="AA111" s="39"/>
      <c r="AB111" s="72" t="str">
        <f t="shared" si="56"/>
        <v/>
      </c>
      <c r="AC111" s="72" t="str">
        <f t="shared" si="73"/>
        <v/>
      </c>
      <c r="AD111" s="39"/>
      <c r="AE111" s="72" t="str">
        <f t="shared" si="57"/>
        <v/>
      </c>
      <c r="AF111" s="72" t="str">
        <f t="shared" si="74"/>
        <v/>
      </c>
      <c r="AG111" s="39"/>
      <c r="AH111" s="72" t="str">
        <f t="shared" si="58"/>
        <v/>
      </c>
      <c r="AI111" s="72" t="str">
        <f t="shared" si="75"/>
        <v/>
      </c>
      <c r="AJ111" s="39"/>
      <c r="AK111" s="72" t="str">
        <f t="shared" si="59"/>
        <v/>
      </c>
      <c r="AL111" s="72" t="str">
        <f t="shared" si="76"/>
        <v/>
      </c>
      <c r="AM111" s="39"/>
      <c r="AN111" s="72" t="str">
        <f t="shared" si="60"/>
        <v/>
      </c>
      <c r="AO111" s="72" t="str">
        <f t="shared" si="77"/>
        <v/>
      </c>
      <c r="AP111" s="39"/>
      <c r="AQ111" s="72" t="str">
        <f t="shared" si="61"/>
        <v/>
      </c>
      <c r="AR111" s="72" t="str">
        <f t="shared" si="78"/>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62"/>
        <v/>
      </c>
      <c r="AW111" s="72" t="str">
        <f t="shared" si="79"/>
        <v/>
      </c>
      <c r="AX111" s="39"/>
      <c r="AY111" s="40" t="str">
        <f>IF(ISERROR(IF($K111&lt;=$F$15,VLOOKUP($I111,'表4）CO2価格'!$A$7:$E$67,VLOOKUP($F$48,'表4）CO2価格'!$H$10:$I$12,2,0),0)*$F$8/1000,"")),0,IF($K111&lt;=$F$15,VLOOKUP($I111,'表4）CO2価格'!$A$7:$E$67,VLOOKUP($F$48,'表4）CO2価格'!$H$10:$I$12,2,0),0)*$F$8/1000,""))</f>
        <v/>
      </c>
      <c r="AZ111" s="39"/>
      <c r="BA111" s="42" t="str">
        <f t="shared" si="63"/>
        <v/>
      </c>
      <c r="BB111" s="72" t="str">
        <f t="shared" si="80"/>
        <v/>
      </c>
      <c r="BC111" s="39"/>
      <c r="BD111" s="72" t="str">
        <f t="shared" si="64"/>
        <v/>
      </c>
      <c r="BE111" s="72" t="str">
        <f t="shared" si="81"/>
        <v/>
      </c>
      <c r="BF111" s="39"/>
      <c r="BG111" s="42" t="str">
        <f t="shared" si="65"/>
        <v/>
      </c>
      <c r="BH111" s="72" t="str">
        <f t="shared" si="82"/>
        <v/>
      </c>
      <c r="BI111" s="39"/>
      <c r="BJ111" s="40" t="str">
        <f t="shared" si="83"/>
        <v/>
      </c>
      <c r="BK111" s="157" t="str">
        <f t="shared" si="84"/>
        <v/>
      </c>
      <c r="BL111" s="157" t="str">
        <f t="shared" si="66"/>
        <v/>
      </c>
      <c r="BM111" s="72"/>
      <c r="BN111" s="72" t="str">
        <f t="shared" si="85"/>
        <v/>
      </c>
      <c r="BO111" s="72" t="str">
        <f t="shared" si="86"/>
        <v/>
      </c>
      <c r="BP111" s="39"/>
      <c r="BQ111" s="72" t="str">
        <f t="shared" si="67"/>
        <v/>
      </c>
      <c r="BR111" s="72" t="str">
        <f t="shared" si="87"/>
        <v/>
      </c>
    </row>
    <row r="112" spans="4:70" ht="15" x14ac:dyDescent="0.15">
      <c r="D112" s="116"/>
      <c r="E112" s="81" t="s">
        <v>207</v>
      </c>
      <c r="F112" s="91">
        <f>-BH116/BR116</f>
        <v>0</v>
      </c>
      <c r="G112" s="81" t="s">
        <v>132</v>
      </c>
      <c r="I112" s="459">
        <f t="shared" si="88"/>
        <v>2117</v>
      </c>
      <c r="J112" s="71"/>
      <c r="K112" s="71">
        <f t="shared" si="89"/>
        <v>98</v>
      </c>
      <c r="L112" s="71"/>
      <c r="M112" s="7">
        <f t="shared" si="52"/>
        <v>5.5201639797086935E-2</v>
      </c>
      <c r="N112" s="71"/>
      <c r="O112" s="10" t="str">
        <f t="shared" si="68"/>
        <v/>
      </c>
      <c r="P112" s="29" t="str">
        <f>IF(K112&lt;=$F$15,IF(OR(P111=$F$124,P111="-"),"-",IF(O112*$F$123&gt;$F$127,$F$123,$F$124)),"")</f>
        <v/>
      </c>
      <c r="Q112" s="71"/>
      <c r="R112" s="10" t="str">
        <f t="shared" si="69"/>
        <v/>
      </c>
      <c r="S112" s="71"/>
      <c r="T112" s="10" t="str">
        <f t="shared" si="70"/>
        <v/>
      </c>
      <c r="U112" s="71"/>
      <c r="V112" s="10" t="str">
        <f t="shared" si="54"/>
        <v/>
      </c>
      <c r="W112" s="10" t="str">
        <f t="shared" si="71"/>
        <v/>
      </c>
      <c r="X112" s="71"/>
      <c r="Y112" s="10" t="str">
        <f t="shared" si="55"/>
        <v/>
      </c>
      <c r="Z112" s="10" t="str">
        <f t="shared" si="72"/>
        <v/>
      </c>
      <c r="AA112" s="71"/>
      <c r="AB112" s="10" t="str">
        <f t="shared" si="56"/>
        <v/>
      </c>
      <c r="AC112" s="10" t="str">
        <f t="shared" si="73"/>
        <v/>
      </c>
      <c r="AD112" s="71"/>
      <c r="AE112" s="10" t="str">
        <f t="shared" si="57"/>
        <v/>
      </c>
      <c r="AF112" s="10" t="str">
        <f t="shared" si="74"/>
        <v/>
      </c>
      <c r="AG112" s="71"/>
      <c r="AH112" s="10" t="str">
        <f t="shared" si="58"/>
        <v/>
      </c>
      <c r="AI112" s="10" t="str">
        <f t="shared" si="75"/>
        <v/>
      </c>
      <c r="AJ112" s="71"/>
      <c r="AK112" s="10" t="str">
        <f t="shared" si="59"/>
        <v/>
      </c>
      <c r="AL112" s="10" t="str">
        <f t="shared" si="76"/>
        <v/>
      </c>
      <c r="AM112" s="71"/>
      <c r="AN112" s="10" t="str">
        <f t="shared" si="60"/>
        <v/>
      </c>
      <c r="AO112" s="10" t="str">
        <f t="shared" si="77"/>
        <v/>
      </c>
      <c r="AP112" s="71"/>
      <c r="AQ112" s="10" t="str">
        <f t="shared" si="61"/>
        <v/>
      </c>
      <c r="AR112" s="10" t="str">
        <f t="shared" si="78"/>
        <v/>
      </c>
      <c r="AS112" s="71"/>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U112" s="71"/>
      <c r="AV112" s="10" t="str">
        <f t="shared" si="62"/>
        <v/>
      </c>
      <c r="AW112" s="10" t="str">
        <f t="shared" si="79"/>
        <v/>
      </c>
      <c r="AX112" s="71"/>
      <c r="AY112" s="7" t="str">
        <f>IF(ISERROR(IF($K112&lt;=$F$15,VLOOKUP($I112,'表4）CO2価格'!$A$7:$E$67,VLOOKUP($F$48,'表4）CO2価格'!$H$10:$I$12,2,0),0)*$F$8/1000,"")),0,IF($K112&lt;=$F$15,VLOOKUP($I112,'表4）CO2価格'!$A$7:$E$67,VLOOKUP($F$48,'表4）CO2価格'!$H$10:$I$12,2,0),0)*$F$8/1000,""))</f>
        <v/>
      </c>
      <c r="AZ112" s="71"/>
      <c r="BA112" s="11" t="str">
        <f t="shared" si="63"/>
        <v/>
      </c>
      <c r="BB112" s="10" t="str">
        <f t="shared" si="80"/>
        <v/>
      </c>
      <c r="BC112" s="71"/>
      <c r="BD112" s="10" t="str">
        <f t="shared" si="64"/>
        <v/>
      </c>
      <c r="BE112" s="10" t="str">
        <f t="shared" si="81"/>
        <v/>
      </c>
      <c r="BF112" s="71"/>
      <c r="BG112" s="11" t="str">
        <f t="shared" si="65"/>
        <v/>
      </c>
      <c r="BH112" s="10" t="str">
        <f t="shared" si="82"/>
        <v/>
      </c>
      <c r="BJ112" s="7" t="str">
        <f t="shared" si="83"/>
        <v/>
      </c>
      <c r="BK112" s="158" t="str">
        <f t="shared" si="84"/>
        <v/>
      </c>
      <c r="BL112" s="158" t="str">
        <f t="shared" si="66"/>
        <v/>
      </c>
      <c r="BM112" s="10"/>
      <c r="BN112" s="10" t="str">
        <f t="shared" si="85"/>
        <v/>
      </c>
      <c r="BO112" s="10" t="str">
        <f t="shared" si="86"/>
        <v/>
      </c>
      <c r="BQ112" s="10" t="str">
        <f t="shared" si="67"/>
        <v/>
      </c>
      <c r="BR112" s="10" t="str">
        <f t="shared" si="87"/>
        <v/>
      </c>
    </row>
    <row r="113" spans="2:70" x14ac:dyDescent="0.15">
      <c r="I113" s="458">
        <f t="shared" si="88"/>
        <v>2118</v>
      </c>
      <c r="J113" s="39"/>
      <c r="K113" s="39">
        <f t="shared" si="89"/>
        <v>99</v>
      </c>
      <c r="L113" s="39"/>
      <c r="M113" s="40">
        <f t="shared" si="52"/>
        <v>5.3593825045715457E-2</v>
      </c>
      <c r="N113" s="39"/>
      <c r="O113" s="72" t="str">
        <f t="shared" si="68"/>
        <v/>
      </c>
      <c r="P113" s="41" t="str">
        <f>IF(K113&lt;=$F$15,IF(OR(P112=$F$124,P112="-"),"-",IF(O113*$F$123&gt;$F$127,$F$123,$F$124)),"")</f>
        <v/>
      </c>
      <c r="Q113" s="39"/>
      <c r="R113" s="72" t="str">
        <f t="shared" si="69"/>
        <v/>
      </c>
      <c r="S113" s="39"/>
      <c r="T113" s="72" t="str">
        <f t="shared" si="70"/>
        <v/>
      </c>
      <c r="U113" s="39"/>
      <c r="V113" s="72" t="str">
        <f t="shared" si="54"/>
        <v/>
      </c>
      <c r="W113" s="72" t="str">
        <f t="shared" si="71"/>
        <v/>
      </c>
      <c r="X113" s="39"/>
      <c r="Y113" s="72" t="str">
        <f t="shared" si="55"/>
        <v/>
      </c>
      <c r="Z113" s="72" t="str">
        <f t="shared" si="72"/>
        <v/>
      </c>
      <c r="AA113" s="39"/>
      <c r="AB113" s="72" t="str">
        <f t="shared" si="56"/>
        <v/>
      </c>
      <c r="AC113" s="72" t="str">
        <f t="shared" si="73"/>
        <v/>
      </c>
      <c r="AD113" s="39"/>
      <c r="AE113" s="72" t="str">
        <f t="shared" si="57"/>
        <v/>
      </c>
      <c r="AF113" s="72" t="str">
        <f t="shared" si="74"/>
        <v/>
      </c>
      <c r="AG113" s="39"/>
      <c r="AH113" s="72" t="str">
        <f t="shared" si="58"/>
        <v/>
      </c>
      <c r="AI113" s="72" t="str">
        <f t="shared" si="75"/>
        <v/>
      </c>
      <c r="AJ113" s="39"/>
      <c r="AK113" s="72" t="str">
        <f t="shared" si="59"/>
        <v/>
      </c>
      <c r="AL113" s="72" t="str">
        <f t="shared" si="76"/>
        <v/>
      </c>
      <c r="AM113" s="39"/>
      <c r="AN113" s="72" t="str">
        <f t="shared" si="60"/>
        <v/>
      </c>
      <c r="AO113" s="72" t="str">
        <f t="shared" si="77"/>
        <v/>
      </c>
      <c r="AP113" s="39"/>
      <c r="AQ113" s="72" t="str">
        <f t="shared" si="61"/>
        <v/>
      </c>
      <c r="AR113" s="72" t="str">
        <f t="shared" si="78"/>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62"/>
        <v/>
      </c>
      <c r="AW113" s="72" t="str">
        <f t="shared" si="79"/>
        <v/>
      </c>
      <c r="AX113" s="39"/>
      <c r="AY113" s="40" t="str">
        <f>IF(ISERROR(IF($K113&lt;=$F$15,VLOOKUP($I113,'表4）CO2価格'!$A$7:$E$67,VLOOKUP($F$48,'表4）CO2価格'!$H$10:$I$12,2,0),0)*$F$8/1000,"")),0,IF($K113&lt;=$F$15,VLOOKUP($I113,'表4）CO2価格'!$A$7:$E$67,VLOOKUP($F$48,'表4）CO2価格'!$H$10:$I$12,2,0),0)*$F$8/1000,""))</f>
        <v/>
      </c>
      <c r="AZ113" s="39"/>
      <c r="BA113" s="42" t="str">
        <f t="shared" si="63"/>
        <v/>
      </c>
      <c r="BB113" s="72" t="str">
        <f t="shared" si="80"/>
        <v/>
      </c>
      <c r="BC113" s="39"/>
      <c r="BD113" s="72" t="str">
        <f t="shared" si="64"/>
        <v/>
      </c>
      <c r="BE113" s="72" t="str">
        <f t="shared" si="81"/>
        <v/>
      </c>
      <c r="BF113" s="39"/>
      <c r="BG113" s="42" t="str">
        <f t="shared" si="65"/>
        <v/>
      </c>
      <c r="BH113" s="72" t="str">
        <f t="shared" si="82"/>
        <v/>
      </c>
      <c r="BI113" s="39"/>
      <c r="BJ113" s="40" t="str">
        <f t="shared" si="83"/>
        <v/>
      </c>
      <c r="BK113" s="157" t="str">
        <f t="shared" si="84"/>
        <v/>
      </c>
      <c r="BL113" s="157" t="str">
        <f t="shared" si="66"/>
        <v/>
      </c>
      <c r="BM113" s="72"/>
      <c r="BN113" s="72" t="str">
        <f t="shared" si="85"/>
        <v/>
      </c>
      <c r="BO113" s="72" t="str">
        <f t="shared" si="86"/>
        <v/>
      </c>
      <c r="BP113" s="39"/>
      <c r="BQ113" s="72" t="str">
        <f t="shared" si="67"/>
        <v/>
      </c>
      <c r="BR113" s="72" t="str">
        <f t="shared" si="87"/>
        <v/>
      </c>
    </row>
    <row r="114" spans="2:70" x14ac:dyDescent="0.15">
      <c r="I114" s="459">
        <f t="shared" si="88"/>
        <v>2119</v>
      </c>
      <c r="J114" s="71"/>
      <c r="K114" s="71">
        <f t="shared" si="89"/>
        <v>100</v>
      </c>
      <c r="L114" s="71"/>
      <c r="M114" s="7">
        <f t="shared" si="52"/>
        <v>5.2032839850209185E-2</v>
      </c>
      <c r="N114" s="71"/>
      <c r="O114" s="10" t="str">
        <f t="shared" si="68"/>
        <v/>
      </c>
      <c r="P114" s="29" t="str">
        <f>IF(K114&lt;=$F$15,IF(OR(P113=$F$124,P113="-"),"-",IF(O114*$F$123&gt;$F$127,$F$123,$F$124)),"")</f>
        <v/>
      </c>
      <c r="Q114" s="71"/>
      <c r="R114" s="10" t="str">
        <f t="shared" si="69"/>
        <v/>
      </c>
      <c r="S114" s="71"/>
      <c r="T114" s="10" t="str">
        <f t="shared" si="70"/>
        <v/>
      </c>
      <c r="U114" s="71"/>
      <c r="V114" s="10" t="str">
        <f t="shared" si="54"/>
        <v/>
      </c>
      <c r="W114" s="10" t="str">
        <f t="shared" si="71"/>
        <v/>
      </c>
      <c r="X114" s="71"/>
      <c r="Y114" s="10" t="str">
        <f t="shared" si="55"/>
        <v/>
      </c>
      <c r="Z114" s="10" t="str">
        <f t="shared" si="72"/>
        <v/>
      </c>
      <c r="AA114" s="71"/>
      <c r="AB114" s="10" t="str">
        <f t="shared" si="56"/>
        <v/>
      </c>
      <c r="AC114" s="10" t="str">
        <f t="shared" si="73"/>
        <v/>
      </c>
      <c r="AD114" s="71"/>
      <c r="AE114" s="10" t="str">
        <f t="shared" si="57"/>
        <v/>
      </c>
      <c r="AF114" s="10" t="str">
        <f t="shared" si="74"/>
        <v/>
      </c>
      <c r="AG114" s="71"/>
      <c r="AH114" s="10" t="str">
        <f t="shared" si="58"/>
        <v/>
      </c>
      <c r="AI114" s="10" t="str">
        <f t="shared" si="75"/>
        <v/>
      </c>
      <c r="AJ114" s="71"/>
      <c r="AK114" s="10" t="str">
        <f t="shared" si="59"/>
        <v/>
      </c>
      <c r="AL114" s="10" t="str">
        <f t="shared" si="76"/>
        <v/>
      </c>
      <c r="AM114" s="71"/>
      <c r="AN114" s="10" t="str">
        <f t="shared" si="60"/>
        <v/>
      </c>
      <c r="AO114" s="10" t="str">
        <f t="shared" si="77"/>
        <v/>
      </c>
      <c r="AP114" s="71"/>
      <c r="AQ114" s="10" t="str">
        <f t="shared" si="61"/>
        <v/>
      </c>
      <c r="AR114" s="10" t="str">
        <f t="shared" si="78"/>
        <v/>
      </c>
      <c r="AS114" s="71"/>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U114" s="71"/>
      <c r="AV114" s="10" t="str">
        <f t="shared" si="62"/>
        <v/>
      </c>
      <c r="AW114" s="10" t="str">
        <f t="shared" si="79"/>
        <v/>
      </c>
      <c r="AX114" s="71"/>
      <c r="AY114" s="7" t="str">
        <f>IF(ISERROR(IF($K114&lt;=$F$15,VLOOKUP($I114,'表4）CO2価格'!$A$7:$E$67,VLOOKUP($F$48,'表4）CO2価格'!$H$10:$I$12,2,0),0)*$F$8/1000,"")),0,IF($K114&lt;=$F$15,VLOOKUP($I114,'表4）CO2価格'!$A$7:$E$67,VLOOKUP($F$48,'表4）CO2価格'!$H$10:$I$12,2,0),0)*$F$8/1000,""))</f>
        <v/>
      </c>
      <c r="AZ114" s="71"/>
      <c r="BA114" s="11" t="str">
        <f t="shared" si="63"/>
        <v/>
      </c>
      <c r="BB114" s="10" t="str">
        <f t="shared" si="80"/>
        <v/>
      </c>
      <c r="BC114" s="71"/>
      <c r="BD114" s="10" t="str">
        <f t="shared" si="64"/>
        <v/>
      </c>
      <c r="BE114" s="10" t="str">
        <f t="shared" si="81"/>
        <v/>
      </c>
      <c r="BF114" s="71"/>
      <c r="BG114" s="11" t="str">
        <f t="shared" si="65"/>
        <v/>
      </c>
      <c r="BH114" s="10" t="str">
        <f t="shared" si="82"/>
        <v/>
      </c>
      <c r="BJ114" s="7" t="str">
        <f t="shared" si="83"/>
        <v/>
      </c>
      <c r="BK114" s="158" t="str">
        <f t="shared" si="84"/>
        <v/>
      </c>
      <c r="BL114" s="158" t="str">
        <f t="shared" si="66"/>
        <v/>
      </c>
      <c r="BM114" s="10"/>
      <c r="BN114" s="10" t="str">
        <f t="shared" si="85"/>
        <v/>
      </c>
      <c r="BO114" s="10" t="str">
        <f t="shared" si="86"/>
        <v/>
      </c>
      <c r="BQ114" s="10" t="str">
        <f t="shared" si="67"/>
        <v/>
      </c>
      <c r="BR114" s="10" t="str">
        <f t="shared" si="87"/>
        <v/>
      </c>
    </row>
    <row r="115" spans="2:70" ht="15.75" thickBot="1" x14ac:dyDescent="0.2">
      <c r="B115" s="460" t="s">
        <v>515</v>
      </c>
      <c r="C115" s="86"/>
      <c r="D115" s="104"/>
      <c r="E115" s="104"/>
      <c r="F115" s="86"/>
      <c r="G115" s="104"/>
      <c r="I115" s="464"/>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9" t="s">
        <v>516</v>
      </c>
      <c r="J116" s="71"/>
      <c r="K116" s="71"/>
      <c r="L116" s="71"/>
      <c r="M116" s="71"/>
      <c r="N116" s="71"/>
      <c r="O116" s="71"/>
      <c r="P116" s="71"/>
      <c r="Q116" s="71"/>
      <c r="R116" s="71"/>
      <c r="S116" s="71"/>
      <c r="T116" s="71"/>
      <c r="U116" s="71"/>
      <c r="V116" s="71"/>
      <c r="W116" s="11"/>
      <c r="X116" s="71"/>
      <c r="Y116" s="71"/>
      <c r="Z116" s="11">
        <f>SUM(Z15:Z114)</f>
        <v>916365462.29155421</v>
      </c>
      <c r="AA116" s="71"/>
      <c r="AB116" s="71"/>
      <c r="AC116" s="11">
        <f>SUM(AC15:AC114)</f>
        <v>241353105.63174158</v>
      </c>
      <c r="AD116" s="71"/>
      <c r="AE116" s="71"/>
      <c r="AF116" s="11">
        <f>SUM(AF15:AF114)</f>
        <v>0</v>
      </c>
      <c r="AG116" s="71"/>
      <c r="AH116" s="71"/>
      <c r="AI116" s="11">
        <f>SUM(AI15:AI114)</f>
        <v>5432902079.6787415</v>
      </c>
      <c r="AJ116" s="71"/>
      <c r="AK116" s="71"/>
      <c r="AL116" s="11">
        <f>SUM(AL15:AL114)</f>
        <v>0</v>
      </c>
      <c r="AM116" s="71"/>
      <c r="AN116" s="71"/>
      <c r="AO116" s="11">
        <f>SUM(AO15:AO114)</f>
        <v>0</v>
      </c>
      <c r="AP116" s="71"/>
      <c r="AQ116" s="71"/>
      <c r="AR116" s="11">
        <f>SUM(AR15:AR114)</f>
        <v>0</v>
      </c>
      <c r="AS116" s="71"/>
      <c r="AT116" s="71"/>
      <c r="AU116" s="71"/>
      <c r="AV116" s="71"/>
      <c r="AW116" s="11">
        <f>SUM(AW15:AW114)</f>
        <v>0</v>
      </c>
      <c r="AX116" s="71"/>
      <c r="AY116" s="71"/>
      <c r="AZ116" s="71"/>
      <c r="BA116" s="71"/>
      <c r="BB116" s="11">
        <f>SUM(BB15:BB114)</f>
        <v>0</v>
      </c>
      <c r="BC116" s="71"/>
      <c r="BD116" s="71"/>
      <c r="BE116" s="11">
        <f>SUM(BE15:BE114)</f>
        <v>0</v>
      </c>
      <c r="BF116" s="71"/>
      <c r="BG116" s="71"/>
      <c r="BH116" s="11">
        <f>SUM(BH15:BH114)</f>
        <v>0</v>
      </c>
      <c r="BK116" s="11">
        <f>SUM(BK15:BK114)</f>
        <v>3861753478.5186191</v>
      </c>
      <c r="BL116" s="11">
        <f>SUM(BL15:BL114)</f>
        <v>655373121.22412884</v>
      </c>
      <c r="BO116" s="11">
        <f>SUM(BO15:BO114)</f>
        <v>21626040512.50856</v>
      </c>
      <c r="BQ116" s="71"/>
      <c r="BR116" s="11">
        <f>SUM(BR15:BR114)</f>
        <v>1162348504.1700373</v>
      </c>
    </row>
    <row r="117" spans="2:70" x14ac:dyDescent="0.15">
      <c r="C117" s="9" t="s">
        <v>529</v>
      </c>
      <c r="F117" s="44">
        <f>F21*10^4*F13*10^4+F29*10^8</f>
        <v>10410000000</v>
      </c>
      <c r="G117" s="81" t="s">
        <v>208</v>
      </c>
      <c r="I117" s="236" t="s">
        <v>145</v>
      </c>
      <c r="J117" s="71"/>
      <c r="K117" s="71"/>
      <c r="L117" s="71"/>
      <c r="M117" s="71"/>
      <c r="N117" s="71"/>
      <c r="O117" s="71"/>
      <c r="P117" s="71"/>
      <c r="Q117" s="71"/>
      <c r="R117" s="71"/>
      <c r="S117" s="71"/>
      <c r="T117" s="71"/>
      <c r="U117" s="71"/>
      <c r="V117" s="71"/>
      <c r="W117" s="11"/>
      <c r="X117" s="71"/>
      <c r="Y117" s="71"/>
      <c r="Z117" s="11">
        <f ca="1">IF(ISNUMBER($F$16),SUM(INDIRECT(ADDRESS($F$16+15,COLUMN())):INDIRECT(ADDRESS(114,COLUMN()))),"")</f>
        <v>20459287.795983952</v>
      </c>
      <c r="AA117" s="71"/>
      <c r="AB117" s="71"/>
      <c r="AC117" s="11">
        <f ca="1">IF(ISNUMBER($F$16),SUM(INDIRECT(ADDRESS($F$16+15,COLUMN())):INDIRECT(ADDRESS(114,COLUMN()))),"")</f>
        <v>241353105.63174158</v>
      </c>
      <c r="AD117" s="71"/>
      <c r="AE117" s="71"/>
      <c r="AF117" s="11">
        <f ca="1">IF(ISNUMBER($F$16),SUM(INDIRECT(ADDRESS($F$16+15,COLUMN())):INDIRECT(ADDRESS(114,COLUMN()))),"")</f>
        <v>0</v>
      </c>
      <c r="AG117" s="71"/>
      <c r="AH117" s="71"/>
      <c r="AI117" s="11">
        <f ca="1">IF(ISNUMBER($F$16),SUM(INDIRECT(ADDRESS($F$16+15,COLUMN())):INDIRECT(ADDRESS(114,COLUMN()))),"")</f>
        <v>791129923.21662378</v>
      </c>
      <c r="AJ117" s="71"/>
      <c r="AK117" s="71"/>
      <c r="AL117" s="11">
        <f ca="1">IF(ISNUMBER($F$16),SUM(INDIRECT(ADDRESS($F$16+15,COLUMN())):INDIRECT(ADDRESS(114,COLUMN()))),"")</f>
        <v>0</v>
      </c>
      <c r="AM117" s="71"/>
      <c r="AN117" s="71"/>
      <c r="AO117" s="11">
        <f ca="1">IF(ISNUMBER($F$16),SUM(INDIRECT(ADDRESS($F$16+15,COLUMN())):INDIRECT(ADDRESS(114,COLUMN()))),"")</f>
        <v>0</v>
      </c>
      <c r="AP117" s="71"/>
      <c r="AQ117" s="71"/>
      <c r="AR117" s="11">
        <f ca="1">IF(ISNUMBER($F$16),SUM(INDIRECT(ADDRESS($F$16+15,COLUMN())):INDIRECT(ADDRESS(114,COLUMN()))),"")</f>
        <v>0</v>
      </c>
      <c r="AS117" s="71"/>
      <c r="AT117" s="71"/>
      <c r="AU117" s="71"/>
      <c r="AV117" s="71"/>
      <c r="AW117" s="11">
        <f ca="1">IF(ISNUMBER($F$16),SUM(INDIRECT(ADDRESS($F$16+15,COLUMN())):INDIRECT(ADDRESS(114,COLUMN()))),"")</f>
        <v>0</v>
      </c>
      <c r="AX117" s="71"/>
      <c r="AY117" s="71"/>
      <c r="AZ117" s="71"/>
      <c r="BA117" s="71"/>
      <c r="BB117" s="11">
        <f ca="1">IF(ISNUMBER($F$16),SUM(INDIRECT(ADDRESS($F$16+15,COLUMN())):INDIRECT(ADDRESS(114,COLUMN()))),"")</f>
        <v>0</v>
      </c>
      <c r="BC117" s="71"/>
      <c r="BD117" s="71"/>
      <c r="BE117" s="11">
        <f ca="1">IF(ISNUMBER($F$16),SUM(INDIRECT(ADDRESS($F$16+15,COLUMN())):INDIRECT(ADDRESS(114,COLUMN()))),"")</f>
        <v>0</v>
      </c>
      <c r="BF117" s="71"/>
      <c r="BG117" s="71"/>
      <c r="BH117" s="11">
        <f ca="1">IF(ISNUMBER($F$16),SUM(INDIRECT(ADDRESS($F$16+15,COLUMN())):INDIRECT(ADDRESS(114,COLUMN()))),"")</f>
        <v>0</v>
      </c>
      <c r="BK117" s="11">
        <f ca="1">IF(ISNUMBER($F$16),SUM(INDIRECT(ADDRESS($F$16+15,COLUMN())):INDIRECT(ADDRESS(114,COLUMN()))),"")</f>
        <v>103400316.62389946</v>
      </c>
      <c r="BL117" s="11">
        <f ca="1">IF(ISNUMBER($F$16),SUM(INDIRECT(ADDRESS($F$16+15,COLUMN())):INDIRECT(ADDRESS(114,COLUMN()))),"")</f>
        <v>0</v>
      </c>
      <c r="BO117" s="11">
        <f ca="1">IF(ISNUMBER($F$16),SUM(INDIRECT(ADDRESS($F$16+15,COLUMN())):INDIRECT(ADDRESS(114,COLUMN()))),"")</f>
        <v>0</v>
      </c>
      <c r="BQ117" s="71"/>
      <c r="BR117" s="11">
        <f ca="1">IF(ISNUMBER($F$16),SUM(INDIRECT(ADDRESS($F$16+15,COLUMN())):INDIRECT(ADDRESS(114,COLUMN()))),"")</f>
        <v>169259204.26479971</v>
      </c>
    </row>
    <row r="119" spans="2:70" x14ac:dyDescent="0.15">
      <c r="C119" s="9" t="s">
        <v>521</v>
      </c>
      <c r="F119" s="44">
        <f>VLOOKUP(F3,'表2）法定耐用年数'!$A$2:$B$24,2,0)</f>
        <v>17</v>
      </c>
      <c r="G119" s="81" t="s">
        <v>108</v>
      </c>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Q119" s="71"/>
      <c r="BR119" s="71"/>
    </row>
    <row r="121" spans="2:70" x14ac:dyDescent="0.15">
      <c r="C121" s="89" t="s">
        <v>522</v>
      </c>
      <c r="D121" s="101"/>
      <c r="E121" s="101"/>
      <c r="F121" s="89"/>
      <c r="G121" s="10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Q121" s="71"/>
      <c r="BR121" s="71"/>
    </row>
    <row r="123" spans="2:70" x14ac:dyDescent="0.15">
      <c r="D123" s="81" t="s">
        <v>209</v>
      </c>
      <c r="F123" s="95">
        <f>VLOOKUP($F$119,'表1）減価償却率表'!$A$9:$E$107,3,0)</f>
        <v>0.14699999999999999</v>
      </c>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Q123" s="71"/>
      <c r="BR123" s="71"/>
    </row>
    <row r="124" spans="2:70" x14ac:dyDescent="0.15">
      <c r="D124" s="81" t="s">
        <v>210</v>
      </c>
      <c r="F124" s="95">
        <f>VLOOKUP($F$119,'表1）減価償却率表'!$A$9:$E$107,4,0)</f>
        <v>0.16700000000000001</v>
      </c>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Q124" s="71"/>
      <c r="BR124" s="71"/>
    </row>
    <row r="125" spans="2:70" x14ac:dyDescent="0.15">
      <c r="D125" s="81" t="s">
        <v>211</v>
      </c>
      <c r="F125" s="88">
        <f>VLOOKUP($F$119,'表1）減価償却率表'!$A$9:$E$107,5,0)</f>
        <v>2.9049999999999999E-2</v>
      </c>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Q125" s="71"/>
      <c r="BR125" s="71"/>
    </row>
    <row r="126" spans="2:70" x14ac:dyDescent="0.15">
      <c r="F126" s="96"/>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Q126" s="71"/>
      <c r="BR126" s="71"/>
    </row>
    <row r="127" spans="2:70" x14ac:dyDescent="0.15">
      <c r="C127" s="111" t="s">
        <v>523</v>
      </c>
      <c r="D127" s="85"/>
      <c r="E127" s="114"/>
      <c r="F127" s="44">
        <f>F117*F125</f>
        <v>302410500</v>
      </c>
      <c r="G127" s="81" t="s">
        <v>208</v>
      </c>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Q127" s="71"/>
      <c r="BR127" s="71"/>
    </row>
    <row r="129" spans="3:7" x14ac:dyDescent="0.15">
      <c r="C129" s="111" t="s">
        <v>152</v>
      </c>
      <c r="D129" s="85"/>
      <c r="E129" s="85"/>
      <c r="F129" s="95">
        <f>0.1^(1/F119)</f>
        <v>0.87332616238284333</v>
      </c>
      <c r="G129" s="85"/>
    </row>
    <row r="131" spans="3:7" x14ac:dyDescent="0.15">
      <c r="C131" s="89" t="s">
        <v>524</v>
      </c>
      <c r="D131" s="101"/>
      <c r="E131" s="101"/>
      <c r="F131" s="89"/>
      <c r="G131" s="101"/>
    </row>
    <row r="133" spans="3:7" x14ac:dyDescent="0.15">
      <c r="D133" s="81" t="s">
        <v>212</v>
      </c>
      <c r="F133" s="44">
        <f>F13*10000*24*365*F14/100</f>
        <v>66751200</v>
      </c>
      <c r="G133" s="81" t="s">
        <v>213</v>
      </c>
    </row>
    <row r="134" spans="3:7" x14ac:dyDescent="0.15">
      <c r="D134" s="81" t="s">
        <v>214</v>
      </c>
      <c r="F134" s="44">
        <f>F133*(1-F24/100)</f>
        <v>66751200</v>
      </c>
      <c r="G134" s="81" t="s">
        <v>213</v>
      </c>
    </row>
    <row r="135" spans="3:7" x14ac:dyDescent="0.15">
      <c r="F135" s="97"/>
    </row>
    <row r="137" spans="3:7" ht="16.5" x14ac:dyDescent="0.15">
      <c r="C137" s="9" t="s">
        <v>525</v>
      </c>
      <c r="F137" s="44">
        <f>IF(ISERROR(F133*3.6/(F23/100)/F22),0,F133*3.6/(F23/100)/F22)</f>
        <v>0</v>
      </c>
      <c r="G137" s="9" t="s">
        <v>370</v>
      </c>
    </row>
    <row r="139" spans="3:7" x14ac:dyDescent="0.15">
      <c r="C139" s="89" t="s">
        <v>526</v>
      </c>
      <c r="D139" s="101"/>
      <c r="E139" s="101"/>
      <c r="F139" s="89"/>
      <c r="G139" s="101"/>
    </row>
    <row r="141" spans="3:7" x14ac:dyDescent="0.15">
      <c r="D141" s="81" t="s">
        <v>215</v>
      </c>
      <c r="F141" s="98" t="str">
        <f>IF(OR(F3="石炭火力",F3= "LNG火力", F3="ガスコジェネ",F3="バイオマス（石炭混焼）",F3="バイオマス（木質専焼）",F3="燃料電池"),IF($F$43="需要地価格","",1000),IF(OR(F3="石油火力",F3="石油コジェネ"),IF($F$43="需要地価格","",158.987294928),""))</f>
        <v/>
      </c>
      <c r="G141" s="81" t="s">
        <v>216</v>
      </c>
    </row>
    <row r="142" spans="3:7" x14ac:dyDescent="0.15">
      <c r="D142" s="81" t="s">
        <v>180</v>
      </c>
      <c r="F142" s="91">
        <f>IF(ISERROR(F42/1000),0,F42/1000)</f>
        <v>0</v>
      </c>
      <c r="G142" s="81" t="s">
        <v>217</v>
      </c>
    </row>
    <row r="145" spans="3:7" x14ac:dyDescent="0.15">
      <c r="C145" s="9" t="s">
        <v>368</v>
      </c>
      <c r="F145" s="98">
        <f>IF(ISERROR(F133*(F47*3.6/(F23/100)/1000*(44/12))),0,F133*(F47*3.6/(F23/100)/1000*(44/12)))</f>
        <v>0</v>
      </c>
      <c r="G145" s="81" t="s">
        <v>218</v>
      </c>
    </row>
    <row r="147" spans="3:7" x14ac:dyDescent="0.15">
      <c r="C147" s="89" t="s">
        <v>369</v>
      </c>
      <c r="D147" s="101"/>
      <c r="E147" s="101"/>
      <c r="F147" s="89"/>
      <c r="G147" s="101"/>
    </row>
    <row r="149" spans="3:7" x14ac:dyDescent="0.15">
      <c r="D149" s="81" t="s">
        <v>219</v>
      </c>
      <c r="F149" s="98">
        <f>IF(ISERROR(F52/F23),0,F52/F23)</f>
        <v>0</v>
      </c>
    </row>
    <row r="150" spans="3:7" x14ac:dyDescent="0.15">
      <c r="D150" s="81" t="s">
        <v>220</v>
      </c>
      <c r="F150" s="98">
        <f>F133*F149*(F53/100)*3.6</f>
        <v>0</v>
      </c>
      <c r="G150" s="81" t="s">
        <v>221</v>
      </c>
    </row>
    <row r="151" spans="3:7" ht="16.5" x14ac:dyDescent="0.15">
      <c r="D151" s="81" t="s">
        <v>222</v>
      </c>
      <c r="F151" s="44">
        <f>IF(ISERROR(F150/(F54/100)/F55),0,F150/(F54/100)/F55)</f>
        <v>0</v>
      </c>
      <c r="G151" s="9" t="s">
        <v>370</v>
      </c>
    </row>
    <row r="152" spans="3:7" x14ac:dyDescent="0.15">
      <c r="D152" s="81" t="s">
        <v>223</v>
      </c>
      <c r="F152" s="146">
        <f>IF(ISERROR(F56/1000),0,F56/1000)</f>
        <v>0</v>
      </c>
      <c r="G152" s="81" t="s">
        <v>217</v>
      </c>
    </row>
    <row r="153" spans="3:7" x14ac:dyDescent="0.15">
      <c r="D153" s="81" t="s">
        <v>224</v>
      </c>
      <c r="F153" s="98">
        <f>IF(ISERROR(F150*F47/1000*(44/12)/(F54/100)),0,F150*F47/1000*(44/12)/(F54/100))</f>
        <v>0</v>
      </c>
      <c r="G153" s="81" t="s">
        <v>218</v>
      </c>
    </row>
  </sheetData>
  <mergeCells count="48">
    <mergeCell ref="BR12:BR13"/>
    <mergeCell ref="AI12:AI13"/>
    <mergeCell ref="AL12:AL13"/>
    <mergeCell ref="AO12:AO13"/>
    <mergeCell ref="AR12:AR13"/>
    <mergeCell ref="AW12:AW13"/>
    <mergeCell ref="BB12:BB13"/>
    <mergeCell ref="BL12:BL13"/>
    <mergeCell ref="BK12:BK13"/>
    <mergeCell ref="BO12:BO13"/>
    <mergeCell ref="BJ12:BJ13"/>
    <mergeCell ref="BA9:BB10"/>
    <mergeCell ref="AE9:AF10"/>
    <mergeCell ref="V9:W10"/>
    <mergeCell ref="BE12:BE13"/>
    <mergeCell ref="BH12:BH13"/>
    <mergeCell ref="P12:P13"/>
    <mergeCell ref="W12:W13"/>
    <mergeCell ref="Z12:Z13"/>
    <mergeCell ref="AC12:AC13"/>
    <mergeCell ref="AF12:AF13"/>
    <mergeCell ref="BQ7:BR7"/>
    <mergeCell ref="BJ7:BO7"/>
    <mergeCell ref="I9:I10"/>
    <mergeCell ref="K9:K10"/>
    <mergeCell ref="M9:M10"/>
    <mergeCell ref="O9:P10"/>
    <mergeCell ref="R9:R10"/>
    <mergeCell ref="AN9:AO10"/>
    <mergeCell ref="AQ9:AR10"/>
    <mergeCell ref="AY7:BB7"/>
    <mergeCell ref="AY9:AY10"/>
    <mergeCell ref="BD7:BH7"/>
    <mergeCell ref="BJ9:BL10"/>
    <mergeCell ref="BN9:BO10"/>
    <mergeCell ref="BD9:BE10"/>
    <mergeCell ref="BG9:BH10"/>
    <mergeCell ref="F3:G3"/>
    <mergeCell ref="V7:AF7"/>
    <mergeCell ref="AH7:AR7"/>
    <mergeCell ref="AT7:AW7"/>
    <mergeCell ref="AK9:AL10"/>
    <mergeCell ref="T9:T10"/>
    <mergeCell ref="AV9:AW10"/>
    <mergeCell ref="AT9:AT10"/>
    <mergeCell ref="AH9:AI10"/>
    <mergeCell ref="AB9:AC10"/>
    <mergeCell ref="Y9:Z10"/>
  </mergeCells>
  <phoneticPr fontId="17"/>
  <dataValidations count="4">
    <dataValidation type="list" allowBlank="1" showDropDown="1" showInputMessage="1" showErrorMessage="1" sqref="F48 F41" xr:uid="{00000000-0002-0000-1500-000000000000}">
      <formula1>"現行政策シナリオ, 新政策シナリオ"</formula1>
    </dataValidation>
    <dataValidation type="whole" allowBlank="1" showInputMessage="1" showErrorMessage="1" sqref="F7" xr:uid="{00000000-0002-0000-1500-000001000000}">
      <formula1>2010</formula1>
      <formula2>2030</formula2>
    </dataValidation>
    <dataValidation type="list" allowBlank="1" showDropDown="1" showInputMessage="1" showErrorMessage="1" sqref="F43" xr:uid="{00000000-0002-0000-1500-000002000000}">
      <formula1>"CIF価格, 需要地価格"</formula1>
    </dataValidation>
    <dataValidation type="list" allowBlank="1" showDropDown="1" showInputMessage="1" showErrorMessage="1" sqref="F3:G3" xr:uid="{00000000-0002-0000-1500-000003000000}">
      <formula1>"原子力,石炭火力,LNG火力,石油火力,陸上風力,太陽光（メガソーラー）,太陽光（住宅）,風力（陸上）,風力（洋上）,小水力,地熱,バイオマス（石炭混焼）,バイオマス（木質専焼）,ガスコジェネ,石油コジェネ,燃料電池"</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BR153"/>
  <sheetViews>
    <sheetView showGridLines="0" zoomScale="85" zoomScaleNormal="85" workbookViewId="0">
      <pane xSplit="10" ySplit="14" topLeftCell="K57" activePane="bottomRight" state="frozen"/>
      <selection pane="topRight" activeCell="AF12" sqref="AF12:AF13"/>
      <selection pane="bottomLeft" activeCell="AF12" sqref="AF12:AF13"/>
      <selection pane="bottomRight" sqref="A1:I1048576"/>
    </sheetView>
  </sheetViews>
  <sheetFormatPr defaultColWidth="9" defaultRowHeight="14.25" outlineLevelCol="1" x14ac:dyDescent="0.15"/>
  <cols>
    <col min="1" max="3" width="6.25" style="9" customWidth="1"/>
    <col min="4" max="4" width="6.25" style="81" customWidth="1"/>
    <col min="5" max="5" width="24.375" style="81" customWidth="1"/>
    <col min="6" max="6" width="18.75" style="9" customWidth="1"/>
    <col min="7" max="7" width="24.375" style="81" bestFit="1" customWidth="1"/>
    <col min="8" max="8" width="9" style="9"/>
    <col min="9" max="9" width="6.25" style="9" customWidth="1"/>
    <col min="10" max="10" width="3" style="2" customWidth="1"/>
    <col min="11" max="11" width="6.25" style="2" customWidth="1"/>
    <col min="12" max="12" width="3" style="2" customWidth="1"/>
    <col min="13" max="13" width="6.25" style="2" customWidth="1"/>
    <col min="14" max="14" width="3" style="2" customWidth="1"/>
    <col min="15" max="15" width="17.375" style="2" bestFit="1" customWidth="1"/>
    <col min="16" max="16" width="8.625" style="2" customWidth="1"/>
    <col min="17" max="17" width="3" style="2" customWidth="1"/>
    <col min="18" max="18" width="17.375" style="2" bestFit="1" customWidth="1"/>
    <col min="19" max="19" width="3" style="2" customWidth="1"/>
    <col min="20" max="20" width="17.375" style="2" bestFit="1" customWidth="1"/>
    <col min="21" max="21" width="3" style="2" customWidth="1"/>
    <col min="22" max="22" width="15" style="2" customWidth="1" outlineLevel="1"/>
    <col min="23" max="23" width="17.375" style="2" bestFit="1" customWidth="1"/>
    <col min="24" max="24" width="3" style="2" customWidth="1"/>
    <col min="25" max="25" width="15" style="2" customWidth="1" outlineLevel="1"/>
    <col min="26" max="26" width="15" style="2" customWidth="1"/>
    <col min="27" max="27" width="3" style="2" customWidth="1"/>
    <col min="28" max="28" width="15" style="2" customWidth="1" outlineLevel="1"/>
    <col min="29" max="29" width="15" style="2" customWidth="1"/>
    <col min="30" max="30" width="3" style="2" customWidth="1"/>
    <col min="31" max="31" width="15" style="2" customWidth="1" outlineLevel="1"/>
    <col min="32" max="32" width="15" style="2" customWidth="1"/>
    <col min="33" max="33" width="3" style="2" customWidth="1"/>
    <col min="34" max="34" width="14.875" style="2" customWidth="1" outlineLevel="1"/>
    <col min="35" max="35" width="15" style="2" customWidth="1"/>
    <col min="36" max="36" width="3" style="2" customWidth="1"/>
    <col min="37" max="37" width="15" style="2" customWidth="1" outlineLevel="1"/>
    <col min="38" max="38" width="15" style="2" customWidth="1"/>
    <col min="39" max="39" width="3" style="2" customWidth="1"/>
    <col min="40" max="40" width="15" style="2" customWidth="1" outlineLevel="1"/>
    <col min="41" max="41" width="15" style="2" customWidth="1"/>
    <col min="42" max="42" width="3" style="2" customWidth="1"/>
    <col min="43" max="43" width="15" style="2" customWidth="1" outlineLevel="1"/>
    <col min="44" max="44" width="15" style="2" customWidth="1"/>
    <col min="45" max="45" width="3" style="2" customWidth="1"/>
    <col min="46" max="46" width="10.75" style="2" bestFit="1" customWidth="1"/>
    <col min="47" max="47" width="3" style="2" customWidth="1"/>
    <col min="48" max="48" width="15" style="2" customWidth="1" outlineLevel="1"/>
    <col min="49" max="49" width="17.375" style="2" bestFit="1" customWidth="1"/>
    <col min="50" max="50" width="3" style="2" customWidth="1"/>
    <col min="51" max="51" width="9.625" style="2" bestFit="1" customWidth="1"/>
    <col min="52" max="52" width="3" style="2" customWidth="1"/>
    <col min="53" max="53" width="15" style="2" customWidth="1" outlineLevel="1"/>
    <col min="54" max="54" width="17.375" style="2" bestFit="1" customWidth="1"/>
    <col min="55" max="55" width="3" style="2" customWidth="1"/>
    <col min="56" max="56" width="19.25" style="2" customWidth="1" outlineLevel="1"/>
    <col min="57" max="57" width="19.25" style="2" bestFit="1" customWidth="1"/>
    <col min="58" max="58" width="3" style="2" customWidth="1"/>
    <col min="59" max="59" width="19.25" style="2" customWidth="1" outlineLevel="1"/>
    <col min="60" max="60" width="19.25" style="2"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2" customWidth="1" outlineLevel="1"/>
    <col min="70" max="70" width="17.375" style="2" bestFit="1" customWidth="1"/>
    <col min="71" max="16384" width="9" style="2"/>
  </cols>
  <sheetData>
    <row r="1" spans="1:70" ht="18.75" x14ac:dyDescent="0.15">
      <c r="A1" s="465" t="s">
        <v>60</v>
      </c>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Q1" s="71"/>
      <c r="BR1" s="71"/>
    </row>
    <row r="3" spans="1:70" ht="23.25" x14ac:dyDescent="0.15">
      <c r="B3" s="462" t="s">
        <v>517</v>
      </c>
      <c r="F3" s="728" t="s">
        <v>244</v>
      </c>
      <c r="G3" s="725"/>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Q3" s="71"/>
      <c r="BR3" s="71"/>
    </row>
    <row r="4" spans="1:70" x14ac:dyDescent="0.15">
      <c r="F4" s="9" t="str">
        <f>まとめ!$B$7</f>
        <v>低減率10%と低減率47%の平均</v>
      </c>
      <c r="G4" s="112"/>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Q4" s="71"/>
      <c r="BR4" s="71"/>
    </row>
    <row r="5" spans="1:70" ht="15.75" thickBot="1" x14ac:dyDescent="0.2">
      <c r="B5" s="460" t="s">
        <v>518</v>
      </c>
      <c r="C5" s="86"/>
      <c r="D5" s="104"/>
      <c r="E5" s="104"/>
      <c r="F5" s="86" t="str">
        <f>まとめ!$F$7</f>
        <v>建設費が国際価格と同率で低減</v>
      </c>
      <c r="G5" s="104"/>
      <c r="I5" s="460" t="s">
        <v>531</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111"/>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9" t="s">
        <v>65</v>
      </c>
      <c r="F7" s="87">
        <v>2030</v>
      </c>
      <c r="I7" s="111"/>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9" t="s">
        <v>519</v>
      </c>
      <c r="F8" s="88">
        <f>まとめ!B3</f>
        <v>107</v>
      </c>
      <c r="G8" s="81" t="s">
        <v>171</v>
      </c>
      <c r="I8" s="111"/>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9" t="s">
        <v>520</v>
      </c>
      <c r="F9" s="88">
        <f>まとめ!B2</f>
        <v>3</v>
      </c>
      <c r="G9" s="81" t="s">
        <v>172</v>
      </c>
      <c r="I9" s="726" t="s">
        <v>532</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30" t="s">
        <v>232</v>
      </c>
      <c r="AI9" s="729"/>
      <c r="AJ9" s="60"/>
      <c r="AK9" s="730" t="s">
        <v>233</v>
      </c>
      <c r="AL9" s="729"/>
      <c r="AM9" s="111"/>
      <c r="AN9" s="730" t="s">
        <v>233</v>
      </c>
      <c r="AO9" s="729"/>
      <c r="AP9" s="111"/>
      <c r="AQ9" s="730" t="s">
        <v>233</v>
      </c>
      <c r="AR9" s="729"/>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I10" s="727"/>
      <c r="J10" s="71"/>
      <c r="K10" s="708"/>
      <c r="L10" s="71"/>
      <c r="M10" s="708"/>
      <c r="N10" s="71"/>
      <c r="O10" s="717"/>
      <c r="P10" s="717"/>
      <c r="Q10" s="71"/>
      <c r="R10" s="708"/>
      <c r="S10" s="71"/>
      <c r="T10" s="708"/>
      <c r="U10" s="71"/>
      <c r="V10" s="717"/>
      <c r="W10" s="717"/>
      <c r="X10" s="71"/>
      <c r="Y10" s="717"/>
      <c r="Z10" s="717"/>
      <c r="AA10" s="71"/>
      <c r="AB10" s="723"/>
      <c r="AC10" s="723"/>
      <c r="AD10" s="81"/>
      <c r="AE10" s="723"/>
      <c r="AF10" s="723"/>
      <c r="AG10" s="71"/>
      <c r="AH10" s="731"/>
      <c r="AI10" s="731"/>
      <c r="AJ10" s="61"/>
      <c r="AK10" s="731"/>
      <c r="AL10" s="731"/>
      <c r="AM10" s="9"/>
      <c r="AN10" s="731"/>
      <c r="AO10" s="731"/>
      <c r="AP10" s="9"/>
      <c r="AQ10" s="731"/>
      <c r="AR10" s="731"/>
      <c r="AS10" s="71"/>
      <c r="AT10" s="717"/>
      <c r="AU10" s="71"/>
      <c r="AV10" s="717"/>
      <c r="AW10" s="717"/>
      <c r="AX10" s="322"/>
      <c r="AY10" s="708"/>
      <c r="AZ10" s="71"/>
      <c r="BA10" s="708"/>
      <c r="BB10" s="708"/>
      <c r="BC10" s="71"/>
      <c r="BD10" s="717"/>
      <c r="BE10" s="717"/>
      <c r="BF10" s="71"/>
      <c r="BG10" s="717"/>
      <c r="BH10" s="717"/>
      <c r="BJ10" s="708"/>
      <c r="BK10" s="708"/>
      <c r="BL10" s="708"/>
      <c r="BM10" s="322"/>
      <c r="BN10" s="717"/>
      <c r="BO10" s="717"/>
      <c r="BQ10" s="322"/>
      <c r="BR10" s="322"/>
    </row>
    <row r="11" spans="1:70" ht="15.75" customHeight="1" thickBot="1" x14ac:dyDescent="0.2">
      <c r="B11" s="460" t="s">
        <v>95</v>
      </c>
      <c r="C11" s="86"/>
      <c r="D11" s="104"/>
      <c r="E11" s="104"/>
      <c r="F11" s="86"/>
      <c r="G11" s="104"/>
      <c r="J11" s="71"/>
      <c r="K11" s="71"/>
      <c r="L11" s="71"/>
      <c r="M11" s="71"/>
      <c r="N11" s="71"/>
      <c r="O11" s="322" t="s">
        <v>96</v>
      </c>
      <c r="P11" s="322"/>
      <c r="Q11" s="322"/>
      <c r="R11" s="322" t="s">
        <v>96</v>
      </c>
      <c r="S11" s="322"/>
      <c r="T11" s="322"/>
      <c r="U11" s="71"/>
      <c r="V11" s="322"/>
      <c r="W11" s="322"/>
      <c r="X11" s="71"/>
      <c r="Y11" s="322"/>
      <c r="Z11" s="322"/>
      <c r="AA11" s="71"/>
      <c r="AB11" s="322"/>
      <c r="AC11" s="322"/>
      <c r="AD11" s="71"/>
      <c r="AE11" s="322"/>
      <c r="AF11" s="322"/>
      <c r="AG11" s="71"/>
      <c r="AH11" s="322"/>
      <c r="AI11" s="322"/>
      <c r="AJ11" s="71"/>
      <c r="AK11" s="322"/>
      <c r="AL11" s="322"/>
      <c r="AM11" s="71"/>
      <c r="AN11" s="322"/>
      <c r="AO11" s="322"/>
      <c r="AP11" s="71"/>
      <c r="AQ11" s="322"/>
      <c r="AR11" s="322"/>
      <c r="AS11" s="71"/>
      <c r="AT11" s="322"/>
      <c r="AU11" s="71"/>
      <c r="AV11" s="322"/>
      <c r="AW11" s="322"/>
      <c r="AX11" s="322"/>
      <c r="AY11" s="71"/>
      <c r="AZ11" s="71"/>
      <c r="BA11" s="71"/>
      <c r="BB11" s="322"/>
      <c r="BC11" s="71"/>
      <c r="BD11" s="322"/>
      <c r="BE11" s="322"/>
      <c r="BF11" s="71"/>
      <c r="BG11" s="322"/>
      <c r="BH11" s="322"/>
      <c r="BJ11" s="156"/>
      <c r="BM11" s="322"/>
      <c r="BN11" s="322"/>
      <c r="BO11" s="322"/>
      <c r="BQ11" s="322"/>
      <c r="BR11" s="322"/>
    </row>
    <row r="12" spans="1:70" ht="14.25" customHeight="1" x14ac:dyDescent="0.15">
      <c r="J12" s="71"/>
      <c r="K12" s="71"/>
      <c r="L12" s="71"/>
      <c r="M12" s="71"/>
      <c r="N12" s="71"/>
      <c r="O12" s="322"/>
      <c r="P12" s="707" t="s">
        <v>97</v>
      </c>
      <c r="Q12" s="71"/>
      <c r="R12" s="71"/>
      <c r="S12" s="71"/>
      <c r="T12" s="71"/>
      <c r="U12" s="71"/>
      <c r="V12" s="71"/>
      <c r="W12" s="707" t="s">
        <v>98</v>
      </c>
      <c r="X12" s="71"/>
      <c r="Y12" s="71"/>
      <c r="Z12" s="707" t="s">
        <v>98</v>
      </c>
      <c r="AA12" s="71"/>
      <c r="AB12" s="71"/>
      <c r="AC12" s="707" t="s">
        <v>98</v>
      </c>
      <c r="AD12" s="71"/>
      <c r="AE12" s="71"/>
      <c r="AF12" s="707" t="s">
        <v>98</v>
      </c>
      <c r="AG12" s="71"/>
      <c r="AH12" s="71"/>
      <c r="AI12" s="707" t="s">
        <v>98</v>
      </c>
      <c r="AJ12" s="71"/>
      <c r="AK12" s="71"/>
      <c r="AL12" s="707" t="s">
        <v>98</v>
      </c>
      <c r="AM12" s="71"/>
      <c r="AN12" s="71"/>
      <c r="AO12" s="707" t="s">
        <v>98</v>
      </c>
      <c r="AP12" s="71"/>
      <c r="AQ12" s="71"/>
      <c r="AR12" s="707" t="s">
        <v>98</v>
      </c>
      <c r="AS12" s="71"/>
      <c r="AT12" s="71"/>
      <c r="AU12" s="71"/>
      <c r="AV12" s="71"/>
      <c r="AW12" s="707" t="s">
        <v>98</v>
      </c>
      <c r="AX12" s="71"/>
      <c r="AY12" s="71"/>
      <c r="AZ12" s="71"/>
      <c r="BA12" s="71"/>
      <c r="BB12" s="707" t="s">
        <v>98</v>
      </c>
      <c r="BC12" s="71"/>
      <c r="BD12" s="71"/>
      <c r="BE12" s="707" t="s">
        <v>98</v>
      </c>
      <c r="BF12" s="71"/>
      <c r="BG12" s="71"/>
      <c r="BH12" s="707" t="s">
        <v>98</v>
      </c>
      <c r="BJ12" s="709" t="s">
        <v>99</v>
      </c>
      <c r="BK12" s="709" t="s">
        <v>100</v>
      </c>
      <c r="BL12" s="709" t="s">
        <v>101</v>
      </c>
      <c r="BO12" s="709" t="s">
        <v>102</v>
      </c>
      <c r="BQ12" s="71"/>
      <c r="BR12" s="707" t="s">
        <v>103</v>
      </c>
    </row>
    <row r="13" spans="1:70" ht="14.25" customHeight="1" x14ac:dyDescent="0.15">
      <c r="C13" s="9" t="s">
        <v>504</v>
      </c>
      <c r="F13" s="66">
        <v>3</v>
      </c>
      <c r="G13" s="81" t="s">
        <v>173</v>
      </c>
      <c r="J13" s="71"/>
      <c r="K13" s="71"/>
      <c r="L13" s="71"/>
      <c r="M13" s="71"/>
      <c r="N13" s="71"/>
      <c r="O13" s="322"/>
      <c r="P13" s="708"/>
      <c r="Q13" s="322"/>
      <c r="R13" s="322"/>
      <c r="S13" s="322"/>
      <c r="T13" s="322"/>
      <c r="U13" s="71"/>
      <c r="V13" s="322"/>
      <c r="W13" s="708"/>
      <c r="X13" s="71"/>
      <c r="Y13" s="322"/>
      <c r="Z13" s="708"/>
      <c r="AA13" s="71"/>
      <c r="AB13" s="322"/>
      <c r="AC13" s="708"/>
      <c r="AD13" s="71"/>
      <c r="AE13" s="322"/>
      <c r="AF13" s="708"/>
      <c r="AG13" s="71"/>
      <c r="AH13" s="322"/>
      <c r="AI13" s="708"/>
      <c r="AJ13" s="71"/>
      <c r="AK13" s="322"/>
      <c r="AL13" s="708"/>
      <c r="AM13" s="71"/>
      <c r="AN13" s="322"/>
      <c r="AO13" s="708"/>
      <c r="AP13" s="71"/>
      <c r="AQ13" s="322"/>
      <c r="AR13" s="708"/>
      <c r="AS13" s="71"/>
      <c r="AT13" s="322"/>
      <c r="AU13" s="71"/>
      <c r="AV13" s="322"/>
      <c r="AW13" s="708"/>
      <c r="AX13" s="71"/>
      <c r="AY13" s="71"/>
      <c r="AZ13" s="71"/>
      <c r="BA13" s="71"/>
      <c r="BB13" s="708"/>
      <c r="BC13" s="71"/>
      <c r="BD13" s="322"/>
      <c r="BE13" s="708"/>
      <c r="BF13" s="71"/>
      <c r="BG13" s="322"/>
      <c r="BH13" s="708"/>
      <c r="BJ13" s="712"/>
      <c r="BK13" s="710"/>
      <c r="BL13" s="708"/>
      <c r="BM13" s="322"/>
      <c r="BO13" s="708"/>
      <c r="BQ13" s="322"/>
      <c r="BR13" s="708"/>
    </row>
    <row r="14" spans="1:70" ht="16.5" x14ac:dyDescent="0.15">
      <c r="C14" s="9" t="s">
        <v>505</v>
      </c>
      <c r="F14" s="88">
        <f>VLOOKUP(F3&amp;IF(G4&lt;&gt;"","_"&amp;G4,""),まとめ!$A$12:$G$34,IF(F7=2030,4,IF(F7=2020,3,IF(F7=2014,2,"-"))),0)</f>
        <v>25.4</v>
      </c>
      <c r="G14" s="81" t="s">
        <v>172</v>
      </c>
      <c r="J14" s="71"/>
      <c r="K14" s="71"/>
      <c r="L14" s="71"/>
      <c r="M14" s="71"/>
      <c r="N14" s="71"/>
      <c r="O14" s="322"/>
      <c r="P14" s="322"/>
      <c r="Q14" s="322"/>
      <c r="R14" s="322"/>
      <c r="S14" s="322"/>
      <c r="T14" s="322"/>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50" t="s">
        <v>104</v>
      </c>
      <c r="AU14" s="71"/>
      <c r="AV14" s="71"/>
      <c r="AW14" s="71"/>
      <c r="AX14" s="71"/>
      <c r="AY14" s="71" t="s">
        <v>105</v>
      </c>
      <c r="AZ14" s="71"/>
      <c r="BA14" s="71"/>
      <c r="BB14" s="71"/>
      <c r="BC14" s="71"/>
      <c r="BD14" s="71"/>
      <c r="BE14" s="71"/>
      <c r="BF14" s="71"/>
      <c r="BG14" s="71"/>
      <c r="BH14" s="71"/>
      <c r="BQ14" s="71"/>
      <c r="BR14" s="71"/>
    </row>
    <row r="15" spans="1:70" x14ac:dyDescent="0.15">
      <c r="C15" s="9" t="s">
        <v>506</v>
      </c>
      <c r="F15" s="88">
        <f>VLOOKUP(F3&amp;IF(G4&lt;&gt;"","_"&amp;G4,""),まとめ!$A$12:$G$34,IF(F7=2030,7,IF(F7=2020,6,IF(F7=2014,5,"-"))),0)</f>
        <v>25</v>
      </c>
      <c r="G15" s="81" t="s">
        <v>108</v>
      </c>
      <c r="I15" s="458">
        <f>F7</f>
        <v>2030</v>
      </c>
      <c r="J15" s="39"/>
      <c r="K15" s="39">
        <f>IF(I15&lt;&gt;"",1,"")</f>
        <v>1</v>
      </c>
      <c r="L15" s="39"/>
      <c r="M15" s="40">
        <f t="shared" ref="M15:M78" si="0">1/(1+($F$9/100))^K15</f>
        <v>0.970873786407767</v>
      </c>
      <c r="N15" s="39"/>
      <c r="O15" s="72">
        <f>F117</f>
        <v>7440000000</v>
      </c>
      <c r="P15" s="41">
        <f t="shared" ref="P15:P46" si="1">IF(K15&lt;=$F$15,IF(OR(P14=$F$124,P14="-"),"-",IF(O15*$F$123&gt;$F$127,$F$123,$F$124)),"")</f>
        <v>0.14699999999999999</v>
      </c>
      <c r="Q15" s="39"/>
      <c r="R15" s="72">
        <f>F117</f>
        <v>7440000000</v>
      </c>
      <c r="S15" s="39"/>
      <c r="T15" s="72">
        <f>IF(ISNUMBER(R15),ROUNDDOWN(R15,-3),"")</f>
        <v>7440000000</v>
      </c>
      <c r="U15" s="39"/>
      <c r="V15" s="72">
        <f t="shared" ref="V15:V46" si="2">IF(K15&lt;=$F$15,IF(K15&lt;$F$119,IF(P15="-",V14,O15*P15),IF(K15=$F$119,MIN(IF(P15="-",V14,O15*P15),O15),0)),"")</f>
        <v>1093680000</v>
      </c>
      <c r="W15" s="72">
        <f>IF(ISNUMBER(V15),V15*$M15,"")</f>
        <v>1061825242.7184466</v>
      </c>
      <c r="X15" s="39"/>
      <c r="Y15" s="72">
        <f t="shared" ref="Y15:Y46" si="3">IF($K15&lt;=$F$15,ROUNDDOWN(T15*$F$25/100,-2),"")</f>
        <v>104160000</v>
      </c>
      <c r="Z15" s="72">
        <f>IF(ISNUMBER(Y15),Y15*$M15,"")</f>
        <v>101126213.59223302</v>
      </c>
      <c r="AA15" s="39"/>
      <c r="AB15" s="72">
        <f t="shared" ref="AB15:AB78" si="4">IF($K15&lt;=$F$15,0,IF(AND($K15&gt;$F$15,$K15&lt;=$F$15+$F$28),$F$27*10^8/$F$28,""))</f>
        <v>0</v>
      </c>
      <c r="AC15" s="72">
        <f>IF(ISNUMBER(AB15),AB15*$M15,"")</f>
        <v>0</v>
      </c>
      <c r="AD15" s="39"/>
      <c r="AE15" s="72">
        <f t="shared" ref="AE15:AE46" si="5">IF($K15&lt;=$F$15,$F$26,"")</f>
        <v>0</v>
      </c>
      <c r="AF15" s="72">
        <f>IF(ISNUMBER(AE15),AE15*$M15,"")</f>
        <v>0</v>
      </c>
      <c r="AG15" s="39"/>
      <c r="AH15" s="72">
        <f t="shared" ref="AH15:AH46" si="6">IF($K15&lt;=$F$15,$F$33*10^4*$F$13*10^4,"")</f>
        <v>312000000</v>
      </c>
      <c r="AI15" s="72">
        <f>IF(ISNUMBER(AH15),AH15*$M15,"")</f>
        <v>302912621.35922331</v>
      </c>
      <c r="AJ15" s="39"/>
      <c r="AK15" s="72">
        <f t="shared" ref="AK15:AK46" si="7">IF($K15&lt;=$F$15,$F$117*$F$34/100,"")</f>
        <v>0</v>
      </c>
      <c r="AL15" s="72">
        <f>IF(ISNUMBER(AK15),AK15*$M15,"")</f>
        <v>0</v>
      </c>
      <c r="AM15" s="39"/>
      <c r="AN15" s="72">
        <f t="shared" ref="AN15:AN46" si="8">IF($K15&lt;=$F$15,$F$117*$F$35/100,"")</f>
        <v>0</v>
      </c>
      <c r="AO15" s="72">
        <f>IF(ISNUMBER(AN15),AN15*$M15,"")</f>
        <v>0</v>
      </c>
      <c r="AP15" s="39"/>
      <c r="AQ15" s="72">
        <f t="shared" ref="AQ15:AQ46" si="9">IF($K15&lt;=$F$15,SUM(AH15,AK15,AN15)*($F$36/100),"")</f>
        <v>0</v>
      </c>
      <c r="AR15" s="72">
        <f>IF(ISNUMBER(AQ15),AQ15*$M15,"")</f>
        <v>0</v>
      </c>
      <c r="AS15" s="39"/>
      <c r="AT15" s="40">
        <f>IF($K15&lt;=$F$15,IF($F$40&lt;&gt;"",$F$40/1000,IF(ISERROR(VLOOKUP($F$3&amp;IF($G$4&lt;&gt;"",$G$4,"")&amp;IF($F$43&lt;&gt;"","_"&amp;$F$43,""),'表3）燃料価格'!$AF$9:$AG$25,2,0)),0,VLOOKUP($I15,'表3）燃料価格'!$A$6:$U$66,VLOOKUP($F$3&amp;IF($G$4&lt;&gt;"",$G$4,"")&amp;IF($F$43&lt;&gt;"","_"&amp;$F$43,""),'表3）燃料価格'!$AF$9:$AG$25,2,0)+VLOOKUP($F$41,'表3）燃料価格'!$AF$28:$AG$29,2,0),0)*IF($F$43="需要地価格",1,$F$8/$F$141))),"")</f>
        <v>0</v>
      </c>
      <c r="AU15" s="39"/>
      <c r="AV15" s="72">
        <f t="shared" ref="AV15:AV46" si="10">IF($K15&lt;=$F$15,($AT15+$F$142)*$F$137,"")</f>
        <v>0</v>
      </c>
      <c r="AW15" s="72">
        <f>IF(ISNUMBER(AV15),AV15*$M15,"")</f>
        <v>0</v>
      </c>
      <c r="AX15" s="39"/>
      <c r="AY15" s="40">
        <f>IF(ISERROR(IF($K15&lt;=$F$15,VLOOKUP($I15,'表4）CO2価格'!$A$7:$E$67,VLOOKUP($F$48,'表4）CO2価格'!$H$10:$I$12,2,0),0)*$F$8/1000,"")),0,IF($K15&lt;=$F$15,VLOOKUP($I15,'表4）CO2価格'!$A$7:$E$67,VLOOKUP($F$48,'表4）CO2価格'!$H$10:$I$12,2,0),0)*$F$8/1000,""))</f>
        <v>0</v>
      </c>
      <c r="AZ15" s="39"/>
      <c r="BA15" s="42">
        <f t="shared" ref="BA15:BA46" si="11">IF($K15&lt;=$F$15,$F$145*AY15,"")</f>
        <v>0</v>
      </c>
      <c r="BB15" s="72">
        <f>IF(ISNUMBER(BA15),BA15*$M15,"")</f>
        <v>0</v>
      </c>
      <c r="BC15" s="39"/>
      <c r="BD15" s="72">
        <f t="shared" ref="BD15:BD46" si="12">IF($K15&lt;=$F$15,($AT15+$F$152)*$F$151,"")</f>
        <v>0</v>
      </c>
      <c r="BE15" s="72">
        <f>IF(ISNUMBER(BD15),BD15*$M15,"")</f>
        <v>0</v>
      </c>
      <c r="BF15" s="39"/>
      <c r="BG15" s="42">
        <f t="shared" ref="BG15:BG46" si="13">IF($K15&lt;=$F$15,$F$153*AY15,"")</f>
        <v>0</v>
      </c>
      <c r="BH15" s="72">
        <f>IF(ISNUMBER(BG15),BG15*$M15,"")</f>
        <v>0</v>
      </c>
      <c r="BI15" s="39"/>
      <c r="BJ15" s="40">
        <f>IF(ISNUMBER($F$16),IF($K15&lt;=$F$16+$F$28,1/(1+($F$17/100))^K15,""),"")</f>
        <v>0.93457943925233644</v>
      </c>
      <c r="BK15" s="157">
        <f>IF(ISNUMBER($F$16),IF($K15&lt;=$F$16+$F$28,IF($K15&lt;=$F$16,SUM(Y15,AB15,AE15,AH15,AK15,AN15,AQ15,AV15,BA15,BD15,BG15),$F$27/$F$28*10^8)*BJ15,""),"")</f>
        <v>388934579.43925232</v>
      </c>
      <c r="BL15" s="157">
        <f t="shared" ref="BL15:BL78" si="14">IF(AND(ISNUMBER(BJ15),$K15&lt;=$F$16),BQ15*BJ15,"")</f>
        <v>62384299.065420561</v>
      </c>
      <c r="BM15" s="72"/>
      <c r="BN15" s="72">
        <f>IF(AND(ISNUMBER($F$16),$K15&lt;=$F$16),BQ15*($O$15+$BK$116)/$BL$116,"")</f>
        <v>1071894589.0487453</v>
      </c>
      <c r="BO15" s="72">
        <f>IF(ISNUMBER(BN15),BN15*$M15,"")</f>
        <v>1040674358.2997527</v>
      </c>
      <c r="BP15" s="39"/>
      <c r="BQ15" s="72">
        <f t="shared" ref="BQ15:BQ46" si="15">IF($K15&lt;=$F$15,$F$134,"")</f>
        <v>66751200</v>
      </c>
      <c r="BR15" s="72">
        <f>IF(ISNUMBER(BQ15),BQ15*$M15,"")</f>
        <v>64806990.291262135</v>
      </c>
    </row>
    <row r="16" spans="1:70" x14ac:dyDescent="0.15">
      <c r="C16" s="236" t="s">
        <v>107</v>
      </c>
      <c r="F16" s="88">
        <f>IF(ISERROR(VLOOKUP(F3&amp;IF(G4&lt;&gt;"","_"&amp;G4,""),'表7）買取期間・IRR'!$A$3:$A$10,1,0)),"",VLOOKUP(F3&amp;IF(G4&lt;&gt;"","_"&amp;G4,""),'表7）買取期間・IRR'!$A$3:$C$10,IF(F7=2030,3,IF(F7=2020,3,IF(F7=2014,2,"-"))),0))</f>
        <v>20</v>
      </c>
      <c r="G16" s="81" t="s">
        <v>108</v>
      </c>
      <c r="I16" s="459">
        <f>I15+1</f>
        <v>2031</v>
      </c>
      <c r="J16" s="71"/>
      <c r="K16" s="71">
        <f>IF(I16&lt;&gt;"",K15+1,"")</f>
        <v>2</v>
      </c>
      <c r="L16" s="71"/>
      <c r="M16" s="7">
        <f t="shared" si="0"/>
        <v>0.94259590913375435</v>
      </c>
      <c r="N16" s="71"/>
      <c r="O16" s="10">
        <f t="shared" ref="O16:O79" si="16">IF(K16&lt;=$F$15,O15-V15,"")</f>
        <v>6346320000</v>
      </c>
      <c r="P16" s="29">
        <f t="shared" si="1"/>
        <v>0.14699999999999999</v>
      </c>
      <c r="Q16" s="71"/>
      <c r="R16" s="10">
        <f t="shared" ref="R16:R47" si="17">IF($K16&lt;=$F$15,MAX($F$117*5%,R15*$F$129),"")</f>
        <v>6497546648.1283541</v>
      </c>
      <c r="S16" s="71"/>
      <c r="T16" s="10">
        <f t="shared" ref="T16:T79" si="18">IF(ISNUMBER(R16),ROUNDDOWN(R16,-3),"")</f>
        <v>6497546000</v>
      </c>
      <c r="U16" s="71"/>
      <c r="V16" s="10">
        <f t="shared" si="2"/>
        <v>932909040</v>
      </c>
      <c r="W16" s="10">
        <f t="shared" ref="W16:W79" si="19">IF(ISNUMBER(V16),V16*$M16,"")</f>
        <v>879356244.69789803</v>
      </c>
      <c r="X16" s="71"/>
      <c r="Y16" s="10">
        <f t="shared" si="3"/>
        <v>90965600</v>
      </c>
      <c r="Z16" s="10">
        <f t="shared" ref="Z16:Z79" si="20">IF(ISNUMBER(Y16),Y16*$M16,"")</f>
        <v>85743802.431897447</v>
      </c>
      <c r="AA16" s="71"/>
      <c r="AB16" s="10">
        <f t="shared" si="4"/>
        <v>0</v>
      </c>
      <c r="AC16" s="10">
        <f t="shared" ref="AC16:AC79" si="21">IF(ISNUMBER(AB16),AB16*$M16,"")</f>
        <v>0</v>
      </c>
      <c r="AD16" s="71"/>
      <c r="AE16" s="10">
        <f t="shared" si="5"/>
        <v>0</v>
      </c>
      <c r="AF16" s="10">
        <f t="shared" ref="AF16:AF79" si="22">IF(ISNUMBER(AE16),AE16*$M16,"")</f>
        <v>0</v>
      </c>
      <c r="AG16" s="71"/>
      <c r="AH16" s="10">
        <f t="shared" si="6"/>
        <v>312000000</v>
      </c>
      <c r="AI16" s="10">
        <f t="shared" ref="AI16:AI79" si="23">IF(ISNUMBER(AH16),AH16*$M16,"")</f>
        <v>294089923.64973134</v>
      </c>
      <c r="AJ16" s="71"/>
      <c r="AK16" s="10">
        <f t="shared" si="7"/>
        <v>0</v>
      </c>
      <c r="AL16" s="10">
        <f t="shared" ref="AL16:AL79" si="24">IF(ISNUMBER(AK16),AK16*$M16,"")</f>
        <v>0</v>
      </c>
      <c r="AM16" s="71"/>
      <c r="AN16" s="10">
        <f t="shared" si="8"/>
        <v>0</v>
      </c>
      <c r="AO16" s="10">
        <f t="shared" ref="AO16:AO79" si="25">IF(ISNUMBER(AN16),AN16*$M16,"")</f>
        <v>0</v>
      </c>
      <c r="AP16" s="71"/>
      <c r="AQ16" s="10">
        <f t="shared" si="9"/>
        <v>0</v>
      </c>
      <c r="AR16" s="10">
        <f t="shared" ref="AR16:AR79" si="26">IF(ISNUMBER(AQ16),AQ16*$M16,"")</f>
        <v>0</v>
      </c>
      <c r="AS16" s="71"/>
      <c r="AT16" s="7">
        <f>IF($K16&lt;=$F$15,IF($F$40&lt;&gt;"",$F$40/1000,IF(ISERROR(VLOOKUP($F$3&amp;IF($G$4&lt;&gt;"",$G$4,"")&amp;IF($F$43&lt;&gt;"","_"&amp;$F$43,""),'表3）燃料価格'!$AF$9:$AG$25,2,0)),0,VLOOKUP($I16,'表3）燃料価格'!$A$6:$U$66,VLOOKUP($F$3&amp;IF($G$4&lt;&gt;"",$G$4,"")&amp;IF($F$43&lt;&gt;"","_"&amp;$F$43,""),'表3）燃料価格'!$AF$9:$AG$25,2,0)+VLOOKUP($F$41,'表3）燃料価格'!$AF$28:$AG$29,2,0),0)*IF($F$43="需要地価格",1,$F$8/$F$141))),"")</f>
        <v>0</v>
      </c>
      <c r="AU16" s="71"/>
      <c r="AV16" s="10">
        <f t="shared" si="10"/>
        <v>0</v>
      </c>
      <c r="AW16" s="10">
        <f t="shared" ref="AW16:AW79" si="27">IF(ISNUMBER(AV16),AV16*$M16,"")</f>
        <v>0</v>
      </c>
      <c r="AX16" s="71"/>
      <c r="AY16" s="7">
        <f>IF(ISERROR(IF($K16&lt;=$F$15,VLOOKUP($I16,'表4）CO2価格'!$A$7:$E$67,VLOOKUP($F$48,'表4）CO2価格'!$H$10:$I$12,2,0),0)*$F$8/1000,"")),0,IF($K16&lt;=$F$15,VLOOKUP($I16,'表4）CO2価格'!$A$7:$E$67,VLOOKUP($F$48,'表4）CO2価格'!$H$10:$I$12,2,0),0)*$F$8/1000,""))</f>
        <v>0</v>
      </c>
      <c r="AZ16" s="71"/>
      <c r="BA16" s="11">
        <f t="shared" si="11"/>
        <v>0</v>
      </c>
      <c r="BB16" s="10">
        <f t="shared" ref="BB16:BB79" si="28">IF(ISNUMBER(BA16),BA16*$M16,"")</f>
        <v>0</v>
      </c>
      <c r="BC16" s="71"/>
      <c r="BD16" s="10">
        <f t="shared" si="12"/>
        <v>0</v>
      </c>
      <c r="BE16" s="10">
        <f t="shared" ref="BE16:BE79" si="29">IF(ISNUMBER(BD16),BD16*$M16,"")</f>
        <v>0</v>
      </c>
      <c r="BF16" s="71"/>
      <c r="BG16" s="11">
        <f t="shared" si="13"/>
        <v>0</v>
      </c>
      <c r="BH16" s="10">
        <f t="shared" ref="BH16:BH79" si="30">IF(ISNUMBER(BG16),BG16*$M16,"")</f>
        <v>0</v>
      </c>
      <c r="BJ16" s="7">
        <f t="shared" ref="BJ16:BJ79" si="31">IF(ISNUMBER($F$16),IF($K16&lt;=$F$16+$F$28,1/(1+($F$17/100))^K16,""),"")</f>
        <v>0.87343872827321156</v>
      </c>
      <c r="BK16" s="158">
        <f t="shared" ref="BK16:BK79" si="32">IF(ISNUMBER($F$16),IF($K16&lt;=$F$16+$F$28,IF($K16&lt;=$F$16,SUM(Y16,AB16,AE16,AH16,AK16,AN16,AQ16,AV16,BA16,BD16,BG16),$F$27/$F$28*10^8)*BJ16,""),"")</f>
        <v>351965761.20185167</v>
      </c>
      <c r="BL16" s="158">
        <f t="shared" si="14"/>
        <v>58303083.238710798</v>
      </c>
      <c r="BM16" s="10"/>
      <c r="BN16" s="10">
        <f t="shared" ref="BN16:BN79" si="33">IF(AND(ISNUMBER($F$16),$K16&lt;=$F$16),BQ16*($O$15+$BK$116)/$BL$116,"")</f>
        <v>1071894589.0487453</v>
      </c>
      <c r="BO16" s="10">
        <f t="shared" ref="BO16:BO79" si="34">IF(ISNUMBER(BN16),BN16*$M16,"")</f>
        <v>1010363454.6599541</v>
      </c>
      <c r="BQ16" s="10">
        <f t="shared" si="15"/>
        <v>66751200</v>
      </c>
      <c r="BR16" s="10">
        <f t="shared" ref="BR16:BR79" si="35">IF(ISNUMBER(BQ16),BQ16*$M16,"")</f>
        <v>62919408.049769066</v>
      </c>
    </row>
    <row r="17" spans="3:70" x14ac:dyDescent="0.15">
      <c r="C17" s="9" t="s">
        <v>109</v>
      </c>
      <c r="F17" s="143">
        <f>IF(ISERROR(VLOOKUP(F3&amp;IF(G4&lt;&gt;"","_"&amp;G4,""),'表7）買取期間・IRR'!$A$14:$C$21,1,0)),"",VLOOKUP(F3&amp;IF(G4&lt;&gt;"","_"&amp;G4,""),'表7）買取期間・IRR'!$A$14:$C$21,IF(F7=2030,3,IF(F7=2020,2,"-")),0))</f>
        <v>7</v>
      </c>
      <c r="G17" s="81" t="s">
        <v>172</v>
      </c>
      <c r="I17" s="458">
        <f t="shared" ref="I17:I80" si="36">I16+1</f>
        <v>2032</v>
      </c>
      <c r="J17" s="39"/>
      <c r="K17" s="39">
        <f t="shared" ref="K17:K80" si="37">IF(I17&lt;&gt;"",K16+1,"")</f>
        <v>3</v>
      </c>
      <c r="L17" s="39"/>
      <c r="M17" s="40">
        <f t="shared" si="0"/>
        <v>0.91514165935315961</v>
      </c>
      <c r="N17" s="39"/>
      <c r="O17" s="72">
        <f t="shared" si="16"/>
        <v>5413410960</v>
      </c>
      <c r="P17" s="41">
        <f t="shared" si="1"/>
        <v>0.14699999999999999</v>
      </c>
      <c r="Q17" s="39"/>
      <c r="R17" s="72">
        <f t="shared" si="17"/>
        <v>5674477479.1134424</v>
      </c>
      <c r="S17" s="39"/>
      <c r="T17" s="72">
        <f t="shared" si="18"/>
        <v>5674477000</v>
      </c>
      <c r="U17" s="39"/>
      <c r="V17" s="72">
        <f t="shared" si="2"/>
        <v>795771411.12</v>
      </c>
      <c r="W17" s="72">
        <f t="shared" si="19"/>
        <v>728243569.63816214</v>
      </c>
      <c r="X17" s="39"/>
      <c r="Y17" s="72">
        <f t="shared" si="3"/>
        <v>79442600</v>
      </c>
      <c r="Z17" s="72">
        <f t="shared" si="20"/>
        <v>72701232.787329316</v>
      </c>
      <c r="AA17" s="39"/>
      <c r="AB17" s="72">
        <f t="shared" si="4"/>
        <v>0</v>
      </c>
      <c r="AC17" s="72">
        <f t="shared" si="21"/>
        <v>0</v>
      </c>
      <c r="AD17" s="39"/>
      <c r="AE17" s="72">
        <f t="shared" si="5"/>
        <v>0</v>
      </c>
      <c r="AF17" s="72">
        <f t="shared" si="22"/>
        <v>0</v>
      </c>
      <c r="AG17" s="39"/>
      <c r="AH17" s="72">
        <f t="shared" si="6"/>
        <v>312000000</v>
      </c>
      <c r="AI17" s="72">
        <f t="shared" si="23"/>
        <v>285524197.71818578</v>
      </c>
      <c r="AJ17" s="39"/>
      <c r="AK17" s="72">
        <f t="shared" si="7"/>
        <v>0</v>
      </c>
      <c r="AL17" s="72">
        <f t="shared" si="24"/>
        <v>0</v>
      </c>
      <c r="AM17" s="39"/>
      <c r="AN17" s="72">
        <f t="shared" si="8"/>
        <v>0</v>
      </c>
      <c r="AO17" s="72">
        <f t="shared" si="25"/>
        <v>0</v>
      </c>
      <c r="AP17" s="39"/>
      <c r="AQ17" s="72">
        <f t="shared" si="9"/>
        <v>0</v>
      </c>
      <c r="AR17" s="72">
        <f t="shared" si="26"/>
        <v>0</v>
      </c>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0</v>
      </c>
      <c r="AU17" s="39"/>
      <c r="AV17" s="72">
        <f t="shared" si="10"/>
        <v>0</v>
      </c>
      <c r="AW17" s="72">
        <f t="shared" si="27"/>
        <v>0</v>
      </c>
      <c r="AX17" s="39"/>
      <c r="AY17" s="40">
        <f>IF(ISERROR(IF($K17&lt;=$F$15,VLOOKUP($I17,'表4）CO2価格'!$A$7:$E$67,VLOOKUP($F$48,'表4）CO2価格'!$H$10:$I$12,2,0),0)*$F$8/1000,"")),0,IF($K17&lt;=$F$15,VLOOKUP($I17,'表4）CO2価格'!$A$7:$E$67,VLOOKUP($F$48,'表4）CO2価格'!$H$10:$I$12,2,0),0)*$F$8/1000,""))</f>
        <v>0</v>
      </c>
      <c r="AZ17" s="39"/>
      <c r="BA17" s="42">
        <f t="shared" si="11"/>
        <v>0</v>
      </c>
      <c r="BB17" s="72">
        <f t="shared" si="28"/>
        <v>0</v>
      </c>
      <c r="BC17" s="39"/>
      <c r="BD17" s="72">
        <f t="shared" si="12"/>
        <v>0</v>
      </c>
      <c r="BE17" s="72">
        <f t="shared" si="29"/>
        <v>0</v>
      </c>
      <c r="BF17" s="39"/>
      <c r="BG17" s="42">
        <f t="shared" si="13"/>
        <v>0</v>
      </c>
      <c r="BH17" s="72">
        <f t="shared" si="30"/>
        <v>0</v>
      </c>
      <c r="BI17" s="39"/>
      <c r="BJ17" s="40">
        <f t="shared" si="31"/>
        <v>0.81629787689085187</v>
      </c>
      <c r="BK17" s="157">
        <f t="shared" si="32"/>
        <v>319533763.30463499</v>
      </c>
      <c r="BL17" s="157">
        <f t="shared" si="14"/>
        <v>54488862.839916632</v>
      </c>
      <c r="BM17" s="72"/>
      <c r="BN17" s="72">
        <f t="shared" si="33"/>
        <v>1071894589.0487453</v>
      </c>
      <c r="BO17" s="72">
        <f t="shared" si="34"/>
        <v>980935392.87374187</v>
      </c>
      <c r="BP17" s="39"/>
      <c r="BQ17" s="72">
        <f t="shared" si="15"/>
        <v>66751200</v>
      </c>
      <c r="BR17" s="72">
        <f t="shared" si="35"/>
        <v>61086803.931814626</v>
      </c>
    </row>
    <row r="18" spans="3:70" x14ac:dyDescent="0.15">
      <c r="I18" s="459">
        <f t="shared" si="36"/>
        <v>2033</v>
      </c>
      <c r="J18" s="71"/>
      <c r="K18" s="71">
        <f t="shared" si="37"/>
        <v>4</v>
      </c>
      <c r="L18" s="71"/>
      <c r="M18" s="7">
        <f t="shared" si="0"/>
        <v>0.888487047915689</v>
      </c>
      <c r="N18" s="71"/>
      <c r="O18" s="10">
        <f t="shared" si="16"/>
        <v>4617639548.8800001</v>
      </c>
      <c r="P18" s="29">
        <f t="shared" si="1"/>
        <v>0.14699999999999999</v>
      </c>
      <c r="Q18" s="71"/>
      <c r="R18" s="10">
        <f t="shared" si="17"/>
        <v>4955669640.3620138</v>
      </c>
      <c r="S18" s="71"/>
      <c r="T18" s="10">
        <f t="shared" si="18"/>
        <v>4955669000</v>
      </c>
      <c r="U18" s="71"/>
      <c r="V18" s="10">
        <f t="shared" si="2"/>
        <v>678793013.68535995</v>
      </c>
      <c r="W18" s="10">
        <f t="shared" si="19"/>
        <v>603098800.8750993</v>
      </c>
      <c r="X18" s="71"/>
      <c r="Y18" s="10">
        <f t="shared" si="3"/>
        <v>69379300</v>
      </c>
      <c r="Z18" s="10">
        <f t="shared" si="20"/>
        <v>61642609.443456963</v>
      </c>
      <c r="AA18" s="71"/>
      <c r="AB18" s="10">
        <f t="shared" si="4"/>
        <v>0</v>
      </c>
      <c r="AC18" s="10">
        <f t="shared" si="21"/>
        <v>0</v>
      </c>
      <c r="AD18" s="71"/>
      <c r="AE18" s="10">
        <f t="shared" si="5"/>
        <v>0</v>
      </c>
      <c r="AF18" s="10">
        <f t="shared" si="22"/>
        <v>0</v>
      </c>
      <c r="AG18" s="71"/>
      <c r="AH18" s="10">
        <f t="shared" si="6"/>
        <v>312000000</v>
      </c>
      <c r="AI18" s="10">
        <f t="shared" si="23"/>
        <v>277207958.94969499</v>
      </c>
      <c r="AJ18" s="71"/>
      <c r="AK18" s="10">
        <f t="shared" si="7"/>
        <v>0</v>
      </c>
      <c r="AL18" s="10">
        <f t="shared" si="24"/>
        <v>0</v>
      </c>
      <c r="AM18" s="71"/>
      <c r="AN18" s="10">
        <f t="shared" si="8"/>
        <v>0</v>
      </c>
      <c r="AO18" s="10">
        <f t="shared" si="25"/>
        <v>0</v>
      </c>
      <c r="AP18" s="71"/>
      <c r="AQ18" s="10">
        <f t="shared" si="9"/>
        <v>0</v>
      </c>
      <c r="AR18" s="10">
        <f t="shared" si="26"/>
        <v>0</v>
      </c>
      <c r="AS18" s="71"/>
      <c r="AT18" s="7">
        <f>IF($K18&lt;=$F$15,IF($F$40&lt;&gt;"",$F$40/1000,IF(ISERROR(VLOOKUP($F$3&amp;IF($G$4&lt;&gt;"",$G$4,"")&amp;IF($F$43&lt;&gt;"","_"&amp;$F$43,""),'表3）燃料価格'!$AF$9:$AG$25,2,0)),0,VLOOKUP($I18,'表3）燃料価格'!$A$6:$U$66,VLOOKUP($F$3&amp;IF($G$4&lt;&gt;"",$G$4,"")&amp;IF($F$43&lt;&gt;"","_"&amp;$F$43,""),'表3）燃料価格'!$AF$9:$AG$25,2,0)+VLOOKUP($F$41,'表3）燃料価格'!$AF$28:$AG$29,2,0),0)*IF($F$43="需要地価格",1,$F$8/$F$141))),"")</f>
        <v>0</v>
      </c>
      <c r="AU18" s="71"/>
      <c r="AV18" s="10">
        <f t="shared" si="10"/>
        <v>0</v>
      </c>
      <c r="AW18" s="10">
        <f t="shared" si="27"/>
        <v>0</v>
      </c>
      <c r="AX18" s="71"/>
      <c r="AY18" s="7">
        <f>IF(ISERROR(IF($K18&lt;=$F$15,VLOOKUP($I18,'表4）CO2価格'!$A$7:$E$67,VLOOKUP($F$48,'表4）CO2価格'!$H$10:$I$12,2,0),0)*$F$8/1000,"")),0,IF($K18&lt;=$F$15,VLOOKUP($I18,'表4）CO2価格'!$A$7:$E$67,VLOOKUP($F$48,'表4）CO2価格'!$H$10:$I$12,2,0),0)*$F$8/1000,""))</f>
        <v>0</v>
      </c>
      <c r="AZ18" s="71"/>
      <c r="BA18" s="11">
        <f t="shared" si="11"/>
        <v>0</v>
      </c>
      <c r="BB18" s="10">
        <f t="shared" si="28"/>
        <v>0</v>
      </c>
      <c r="BC18" s="71"/>
      <c r="BD18" s="10">
        <f t="shared" si="12"/>
        <v>0</v>
      </c>
      <c r="BE18" s="10">
        <f t="shared" si="29"/>
        <v>0</v>
      </c>
      <c r="BF18" s="71"/>
      <c r="BG18" s="11">
        <f t="shared" si="13"/>
        <v>0</v>
      </c>
      <c r="BH18" s="10">
        <f t="shared" si="30"/>
        <v>0</v>
      </c>
      <c r="BJ18" s="7">
        <f t="shared" si="31"/>
        <v>0.7628952120475252</v>
      </c>
      <c r="BK18" s="158">
        <f t="shared" si="32"/>
        <v>290952441.94403672</v>
      </c>
      <c r="BL18" s="158">
        <f t="shared" si="14"/>
        <v>50924170.87842676</v>
      </c>
      <c r="BM18" s="10"/>
      <c r="BN18" s="10">
        <f t="shared" si="33"/>
        <v>1071894589.0487453</v>
      </c>
      <c r="BO18" s="10">
        <f t="shared" si="34"/>
        <v>952364459.10072029</v>
      </c>
      <c r="BQ18" s="10">
        <f t="shared" si="15"/>
        <v>66751200</v>
      </c>
      <c r="BR18" s="10">
        <f t="shared" si="35"/>
        <v>59307576.632829741</v>
      </c>
    </row>
    <row r="19" spans="3:70" x14ac:dyDescent="0.15">
      <c r="C19" s="89" t="s">
        <v>371</v>
      </c>
      <c r="D19" s="101"/>
      <c r="E19" s="101"/>
      <c r="F19" s="89"/>
      <c r="G19" s="101"/>
      <c r="I19" s="458">
        <f t="shared" si="36"/>
        <v>2034</v>
      </c>
      <c r="J19" s="39"/>
      <c r="K19" s="39">
        <f t="shared" si="37"/>
        <v>5</v>
      </c>
      <c r="L19" s="39"/>
      <c r="M19" s="40">
        <f t="shared" si="0"/>
        <v>0.86260878438416411</v>
      </c>
      <c r="N19" s="39"/>
      <c r="O19" s="72">
        <f t="shared" si="16"/>
        <v>3938846535.1946402</v>
      </c>
      <c r="P19" s="41">
        <f t="shared" si="1"/>
        <v>0.14699999999999999</v>
      </c>
      <c r="Q19" s="39"/>
      <c r="R19" s="72">
        <f t="shared" si="17"/>
        <v>4327915949.0545225</v>
      </c>
      <c r="S19" s="39"/>
      <c r="T19" s="72">
        <f t="shared" si="18"/>
        <v>4327915000</v>
      </c>
      <c r="U19" s="39"/>
      <c r="V19" s="72">
        <f t="shared" si="2"/>
        <v>579010440.67361212</v>
      </c>
      <c r="W19" s="72">
        <f t="shared" si="19"/>
        <v>499459492.37520373</v>
      </c>
      <c r="X19" s="39"/>
      <c r="Y19" s="72">
        <f t="shared" si="3"/>
        <v>60590800</v>
      </c>
      <c r="Z19" s="72">
        <f t="shared" si="20"/>
        <v>52266156.332864009</v>
      </c>
      <c r="AA19" s="39"/>
      <c r="AB19" s="72">
        <f t="shared" si="4"/>
        <v>0</v>
      </c>
      <c r="AC19" s="72">
        <f t="shared" si="21"/>
        <v>0</v>
      </c>
      <c r="AD19" s="39"/>
      <c r="AE19" s="72">
        <f t="shared" si="5"/>
        <v>0</v>
      </c>
      <c r="AF19" s="72">
        <f t="shared" si="22"/>
        <v>0</v>
      </c>
      <c r="AG19" s="39"/>
      <c r="AH19" s="72">
        <f t="shared" si="6"/>
        <v>312000000</v>
      </c>
      <c r="AI19" s="72">
        <f t="shared" si="23"/>
        <v>269133940.7278592</v>
      </c>
      <c r="AJ19" s="39"/>
      <c r="AK19" s="72">
        <f t="shared" si="7"/>
        <v>0</v>
      </c>
      <c r="AL19" s="72">
        <f t="shared" si="24"/>
        <v>0</v>
      </c>
      <c r="AM19" s="39"/>
      <c r="AN19" s="72">
        <f t="shared" si="8"/>
        <v>0</v>
      </c>
      <c r="AO19" s="72">
        <f t="shared" si="25"/>
        <v>0</v>
      </c>
      <c r="AP19" s="39"/>
      <c r="AQ19" s="72">
        <f t="shared" si="9"/>
        <v>0</v>
      </c>
      <c r="AR19" s="72">
        <f t="shared" si="26"/>
        <v>0</v>
      </c>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0</v>
      </c>
      <c r="AU19" s="39"/>
      <c r="AV19" s="72">
        <f t="shared" si="10"/>
        <v>0</v>
      </c>
      <c r="AW19" s="72">
        <f t="shared" si="27"/>
        <v>0</v>
      </c>
      <c r="AX19" s="39"/>
      <c r="AY19" s="40">
        <f>IF(ISERROR(IF($K19&lt;=$F$15,VLOOKUP($I19,'表4）CO2価格'!$A$7:$E$67,VLOOKUP($F$48,'表4）CO2価格'!$H$10:$I$12,2,0),0)*$F$8/1000,"")),0,IF($K19&lt;=$F$15,VLOOKUP($I19,'表4）CO2価格'!$A$7:$E$67,VLOOKUP($F$48,'表4）CO2価格'!$H$10:$I$12,2,0),0)*$F$8/1000,""))</f>
        <v>0</v>
      </c>
      <c r="AZ19" s="39"/>
      <c r="BA19" s="42">
        <f t="shared" si="11"/>
        <v>0</v>
      </c>
      <c r="BB19" s="72">
        <f t="shared" si="28"/>
        <v>0</v>
      </c>
      <c r="BC19" s="39"/>
      <c r="BD19" s="72">
        <f t="shared" si="12"/>
        <v>0</v>
      </c>
      <c r="BE19" s="72">
        <f t="shared" si="29"/>
        <v>0</v>
      </c>
      <c r="BF19" s="39"/>
      <c r="BG19" s="42">
        <f t="shared" si="13"/>
        <v>0</v>
      </c>
      <c r="BH19" s="72">
        <f t="shared" si="30"/>
        <v>0</v>
      </c>
      <c r="BI19" s="39"/>
      <c r="BJ19" s="40">
        <f t="shared" si="31"/>
        <v>0.71298617948366838</v>
      </c>
      <c r="BK19" s="157">
        <f t="shared" si="32"/>
        <v>265652091.0027636</v>
      </c>
      <c r="BL19" s="157">
        <f t="shared" si="14"/>
        <v>47592683.063950248</v>
      </c>
      <c r="BM19" s="72"/>
      <c r="BN19" s="72">
        <f t="shared" si="33"/>
        <v>1071894589.0487453</v>
      </c>
      <c r="BO19" s="72">
        <f t="shared" si="34"/>
        <v>924625688.44730127</v>
      </c>
      <c r="BP19" s="39"/>
      <c r="BQ19" s="72">
        <f t="shared" si="15"/>
        <v>66751200</v>
      </c>
      <c r="BR19" s="72">
        <f t="shared" si="35"/>
        <v>57580171.488184214</v>
      </c>
    </row>
    <row r="20" spans="3:70" x14ac:dyDescent="0.15">
      <c r="I20" s="459">
        <f t="shared" si="36"/>
        <v>2035</v>
      </c>
      <c r="J20" s="71"/>
      <c r="K20" s="71">
        <f t="shared" si="37"/>
        <v>6</v>
      </c>
      <c r="L20" s="71"/>
      <c r="M20" s="7">
        <f t="shared" si="0"/>
        <v>0.83748425668365445</v>
      </c>
      <c r="N20" s="71"/>
      <c r="O20" s="10">
        <f t="shared" si="16"/>
        <v>3359836094.521028</v>
      </c>
      <c r="P20" s="29">
        <f t="shared" si="1"/>
        <v>0.14699999999999999</v>
      </c>
      <c r="Q20" s="71"/>
      <c r="R20" s="10">
        <f t="shared" si="17"/>
        <v>3779682226.9032874</v>
      </c>
      <c r="S20" s="71"/>
      <c r="T20" s="10">
        <f t="shared" si="18"/>
        <v>3779682000</v>
      </c>
      <c r="U20" s="71"/>
      <c r="V20" s="10">
        <f t="shared" si="2"/>
        <v>493895905.89459109</v>
      </c>
      <c r="W20" s="10">
        <f t="shared" si="19"/>
        <v>413630045.62723178</v>
      </c>
      <c r="X20" s="71"/>
      <c r="Y20" s="10">
        <f t="shared" si="3"/>
        <v>52915500</v>
      </c>
      <c r="Z20" s="10">
        <f t="shared" si="20"/>
        <v>44315898.184543915</v>
      </c>
      <c r="AA20" s="71"/>
      <c r="AB20" s="10">
        <f t="shared" si="4"/>
        <v>0</v>
      </c>
      <c r="AC20" s="10">
        <f t="shared" si="21"/>
        <v>0</v>
      </c>
      <c r="AD20" s="71"/>
      <c r="AE20" s="10">
        <f t="shared" si="5"/>
        <v>0</v>
      </c>
      <c r="AF20" s="10">
        <f t="shared" si="22"/>
        <v>0</v>
      </c>
      <c r="AG20" s="71"/>
      <c r="AH20" s="10">
        <f t="shared" si="6"/>
        <v>312000000</v>
      </c>
      <c r="AI20" s="10">
        <f t="shared" si="23"/>
        <v>261295088.08530018</v>
      </c>
      <c r="AJ20" s="71"/>
      <c r="AK20" s="10">
        <f t="shared" si="7"/>
        <v>0</v>
      </c>
      <c r="AL20" s="10">
        <f t="shared" si="24"/>
        <v>0</v>
      </c>
      <c r="AM20" s="71"/>
      <c r="AN20" s="10">
        <f t="shared" si="8"/>
        <v>0</v>
      </c>
      <c r="AO20" s="10">
        <f t="shared" si="25"/>
        <v>0</v>
      </c>
      <c r="AP20" s="71"/>
      <c r="AQ20" s="10">
        <f t="shared" si="9"/>
        <v>0</v>
      </c>
      <c r="AR20" s="10">
        <f t="shared" si="26"/>
        <v>0</v>
      </c>
      <c r="AS20" s="71"/>
      <c r="AT20" s="7">
        <f>IF($K20&lt;=$F$15,IF($F$40&lt;&gt;"",$F$40/1000,IF(ISERROR(VLOOKUP($F$3&amp;IF($G$4&lt;&gt;"",$G$4,"")&amp;IF($F$43&lt;&gt;"","_"&amp;$F$43,""),'表3）燃料価格'!$AF$9:$AG$25,2,0)),0,VLOOKUP($I20,'表3）燃料価格'!$A$6:$U$66,VLOOKUP($F$3&amp;IF($G$4&lt;&gt;"",$G$4,"")&amp;IF($F$43&lt;&gt;"","_"&amp;$F$43,""),'表3）燃料価格'!$AF$9:$AG$25,2,0)+VLOOKUP($F$41,'表3）燃料価格'!$AF$28:$AG$29,2,0),0)*IF($F$43="需要地価格",1,$F$8/$F$141))),"")</f>
        <v>0</v>
      </c>
      <c r="AU20" s="71"/>
      <c r="AV20" s="10">
        <f t="shared" si="10"/>
        <v>0</v>
      </c>
      <c r="AW20" s="10">
        <f t="shared" si="27"/>
        <v>0</v>
      </c>
      <c r="AX20" s="71"/>
      <c r="AY20" s="7">
        <f>IF(ISERROR(IF($K20&lt;=$F$15,VLOOKUP($I20,'表4）CO2価格'!$A$7:$E$67,VLOOKUP($F$48,'表4）CO2価格'!$H$10:$I$12,2,0),0)*$F$8/1000,"")),0,IF($K20&lt;=$F$15,VLOOKUP($I20,'表4）CO2価格'!$A$7:$E$67,VLOOKUP($F$48,'表4）CO2価格'!$H$10:$I$12,2,0),0)*$F$8/1000,""))</f>
        <v>0</v>
      </c>
      <c r="AZ20" s="71"/>
      <c r="BA20" s="11">
        <f t="shared" si="11"/>
        <v>0</v>
      </c>
      <c r="BB20" s="10">
        <f t="shared" si="28"/>
        <v>0</v>
      </c>
      <c r="BC20" s="71"/>
      <c r="BD20" s="10">
        <f t="shared" si="12"/>
        <v>0</v>
      </c>
      <c r="BE20" s="10">
        <f t="shared" si="29"/>
        <v>0</v>
      </c>
      <c r="BF20" s="71"/>
      <c r="BG20" s="11">
        <f t="shared" si="13"/>
        <v>0</v>
      </c>
      <c r="BH20" s="10">
        <f t="shared" si="30"/>
        <v>0</v>
      </c>
      <c r="BJ20" s="7">
        <f t="shared" si="31"/>
        <v>0.66634222381651254</v>
      </c>
      <c r="BK20" s="158">
        <f t="shared" si="32"/>
        <v>243158605.77511457</v>
      </c>
      <c r="BL20" s="158">
        <f t="shared" si="14"/>
        <v>44479143.050420791</v>
      </c>
      <c r="BM20" s="10"/>
      <c r="BN20" s="10">
        <f t="shared" si="33"/>
        <v>1071894589.0487453</v>
      </c>
      <c r="BO20" s="10">
        <f t="shared" si="34"/>
        <v>897694843.15271974</v>
      </c>
      <c r="BQ20" s="10">
        <f t="shared" si="15"/>
        <v>66751200</v>
      </c>
      <c r="BR20" s="10">
        <f t="shared" si="35"/>
        <v>55903079.114741951</v>
      </c>
    </row>
    <row r="21" spans="3:70" x14ac:dyDescent="0.15">
      <c r="D21" s="81" t="s">
        <v>110</v>
      </c>
      <c r="F21" s="147">
        <f>'表6）太陽光・風力シナリオ'!C14</f>
        <v>24.8</v>
      </c>
      <c r="G21" s="81" t="s">
        <v>174</v>
      </c>
      <c r="I21" s="458">
        <f t="shared" si="36"/>
        <v>2036</v>
      </c>
      <c r="J21" s="39"/>
      <c r="K21" s="39">
        <f t="shared" si="37"/>
        <v>7</v>
      </c>
      <c r="L21" s="39"/>
      <c r="M21" s="40">
        <f t="shared" si="0"/>
        <v>0.81309151134335378</v>
      </c>
      <c r="N21" s="39"/>
      <c r="O21" s="72">
        <f t="shared" si="16"/>
        <v>2865940188.6264372</v>
      </c>
      <c r="P21" s="41">
        <f t="shared" si="1"/>
        <v>0.14699999999999999</v>
      </c>
      <c r="Q21" s="39"/>
      <c r="R21" s="72">
        <f t="shared" si="17"/>
        <v>3300895374.2480874</v>
      </c>
      <c r="S21" s="39"/>
      <c r="T21" s="72">
        <f t="shared" si="18"/>
        <v>3300895000</v>
      </c>
      <c r="U21" s="39"/>
      <c r="V21" s="72">
        <f t="shared" si="2"/>
        <v>421293207.72808623</v>
      </c>
      <c r="W21" s="72">
        <f t="shared" si="19"/>
        <v>342549930.99031913</v>
      </c>
      <c r="X21" s="39"/>
      <c r="Y21" s="72">
        <f t="shared" si="3"/>
        <v>46212500</v>
      </c>
      <c r="Z21" s="72">
        <f t="shared" si="20"/>
        <v>37574991.46795474</v>
      </c>
      <c r="AA21" s="39"/>
      <c r="AB21" s="72">
        <f t="shared" si="4"/>
        <v>0</v>
      </c>
      <c r="AC21" s="72">
        <f t="shared" si="21"/>
        <v>0</v>
      </c>
      <c r="AD21" s="39"/>
      <c r="AE21" s="72">
        <f t="shared" si="5"/>
        <v>0</v>
      </c>
      <c r="AF21" s="72">
        <f t="shared" si="22"/>
        <v>0</v>
      </c>
      <c r="AG21" s="39"/>
      <c r="AH21" s="72">
        <f t="shared" si="6"/>
        <v>312000000</v>
      </c>
      <c r="AI21" s="72">
        <f t="shared" si="23"/>
        <v>253684551.53912637</v>
      </c>
      <c r="AJ21" s="39"/>
      <c r="AK21" s="72">
        <f t="shared" si="7"/>
        <v>0</v>
      </c>
      <c r="AL21" s="72">
        <f t="shared" si="24"/>
        <v>0</v>
      </c>
      <c r="AM21" s="39"/>
      <c r="AN21" s="72">
        <f t="shared" si="8"/>
        <v>0</v>
      </c>
      <c r="AO21" s="72">
        <f t="shared" si="25"/>
        <v>0</v>
      </c>
      <c r="AP21" s="39"/>
      <c r="AQ21" s="72">
        <f t="shared" si="9"/>
        <v>0</v>
      </c>
      <c r="AR21" s="72">
        <f t="shared" si="26"/>
        <v>0</v>
      </c>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0</v>
      </c>
      <c r="AU21" s="39"/>
      <c r="AV21" s="72">
        <f t="shared" si="10"/>
        <v>0</v>
      </c>
      <c r="AW21" s="72">
        <f t="shared" si="27"/>
        <v>0</v>
      </c>
      <c r="AX21" s="39"/>
      <c r="AY21" s="40">
        <f>IF(ISERROR(IF($K21&lt;=$F$15,VLOOKUP($I21,'表4）CO2価格'!$A$7:$E$67,VLOOKUP($F$48,'表4）CO2価格'!$H$10:$I$12,2,0),0)*$F$8/1000,"")),0,IF($K21&lt;=$F$15,VLOOKUP($I21,'表4）CO2価格'!$A$7:$E$67,VLOOKUP($F$48,'表4）CO2価格'!$H$10:$I$12,2,0),0)*$F$8/1000,""))</f>
        <v>0</v>
      </c>
      <c r="AZ21" s="39"/>
      <c r="BA21" s="42">
        <f t="shared" si="11"/>
        <v>0</v>
      </c>
      <c r="BB21" s="72">
        <f t="shared" si="28"/>
        <v>0</v>
      </c>
      <c r="BC21" s="39"/>
      <c r="BD21" s="72">
        <f t="shared" si="12"/>
        <v>0</v>
      </c>
      <c r="BE21" s="72">
        <f t="shared" si="29"/>
        <v>0</v>
      </c>
      <c r="BF21" s="39"/>
      <c r="BG21" s="42">
        <f t="shared" si="13"/>
        <v>0</v>
      </c>
      <c r="BH21" s="72">
        <f t="shared" si="30"/>
        <v>0</v>
      </c>
      <c r="BI21" s="39"/>
      <c r="BJ21" s="40">
        <f t="shared" si="31"/>
        <v>0.62274974188459109</v>
      </c>
      <c r="BK21" s="157">
        <f t="shared" si="32"/>
        <v>223076741.91483408</v>
      </c>
      <c r="BL21" s="157">
        <f t="shared" si="14"/>
        <v>41569292.570486717</v>
      </c>
      <c r="BM21" s="72"/>
      <c r="BN21" s="72">
        <f t="shared" si="33"/>
        <v>1071894589.0487453</v>
      </c>
      <c r="BO21" s="72">
        <f t="shared" si="34"/>
        <v>871548391.41040742</v>
      </c>
      <c r="BP21" s="39"/>
      <c r="BQ21" s="72">
        <f t="shared" si="15"/>
        <v>66751200</v>
      </c>
      <c r="BR21" s="72">
        <f t="shared" si="35"/>
        <v>54274834.091982476</v>
      </c>
    </row>
    <row r="22" spans="3:70" ht="16.5" x14ac:dyDescent="0.15">
      <c r="D22" s="81" t="s">
        <v>111</v>
      </c>
      <c r="F22" s="90"/>
      <c r="G22" s="9" t="s">
        <v>372</v>
      </c>
      <c r="I22" s="459">
        <f t="shared" si="36"/>
        <v>2037</v>
      </c>
      <c r="J22" s="71"/>
      <c r="K22" s="71">
        <f t="shared" si="37"/>
        <v>8</v>
      </c>
      <c r="L22" s="71"/>
      <c r="M22" s="7">
        <f t="shared" si="0"/>
        <v>0.78940923431393573</v>
      </c>
      <c r="N22" s="71"/>
      <c r="O22" s="10">
        <f t="shared" si="16"/>
        <v>2444646980.8983507</v>
      </c>
      <c r="P22" s="29">
        <f t="shared" si="1"/>
        <v>0.14699999999999999</v>
      </c>
      <c r="Q22" s="71"/>
      <c r="R22" s="10">
        <f t="shared" si="17"/>
        <v>2882758289.6193614</v>
      </c>
      <c r="S22" s="71"/>
      <c r="T22" s="10">
        <f t="shared" si="18"/>
        <v>2882758000</v>
      </c>
      <c r="U22" s="71"/>
      <c r="V22" s="10">
        <f t="shared" si="2"/>
        <v>359363106.19205755</v>
      </c>
      <c r="W22" s="10">
        <f t="shared" si="19"/>
        <v>283684554.49974972</v>
      </c>
      <c r="X22" s="71"/>
      <c r="Y22" s="10">
        <f t="shared" si="3"/>
        <v>40358600</v>
      </c>
      <c r="Z22" s="10">
        <f t="shared" si="20"/>
        <v>31859451.523982406</v>
      </c>
      <c r="AA22" s="71"/>
      <c r="AB22" s="10">
        <f t="shared" si="4"/>
        <v>0</v>
      </c>
      <c r="AC22" s="10">
        <f t="shared" si="21"/>
        <v>0</v>
      </c>
      <c r="AD22" s="71"/>
      <c r="AE22" s="10">
        <f t="shared" si="5"/>
        <v>0</v>
      </c>
      <c r="AF22" s="10">
        <f t="shared" si="22"/>
        <v>0</v>
      </c>
      <c r="AG22" s="71"/>
      <c r="AH22" s="10">
        <f t="shared" si="6"/>
        <v>312000000</v>
      </c>
      <c r="AI22" s="10">
        <f t="shared" si="23"/>
        <v>246295681.10594794</v>
      </c>
      <c r="AJ22" s="71"/>
      <c r="AK22" s="10">
        <f t="shared" si="7"/>
        <v>0</v>
      </c>
      <c r="AL22" s="10">
        <f t="shared" si="24"/>
        <v>0</v>
      </c>
      <c r="AM22" s="71"/>
      <c r="AN22" s="10">
        <f t="shared" si="8"/>
        <v>0</v>
      </c>
      <c r="AO22" s="10">
        <f t="shared" si="25"/>
        <v>0</v>
      </c>
      <c r="AP22" s="71"/>
      <c r="AQ22" s="10">
        <f t="shared" si="9"/>
        <v>0</v>
      </c>
      <c r="AR22" s="10">
        <f t="shared" si="26"/>
        <v>0</v>
      </c>
      <c r="AS22" s="71"/>
      <c r="AT22" s="7">
        <f>IF($K22&lt;=$F$15,IF($F$40&lt;&gt;"",$F$40/1000,IF(ISERROR(VLOOKUP($F$3&amp;IF($G$4&lt;&gt;"",$G$4,"")&amp;IF($F$43&lt;&gt;"","_"&amp;$F$43,""),'表3）燃料価格'!$AF$9:$AG$25,2,0)),0,VLOOKUP($I22,'表3）燃料価格'!$A$6:$U$66,VLOOKUP($F$3&amp;IF($G$4&lt;&gt;"",$G$4,"")&amp;IF($F$43&lt;&gt;"","_"&amp;$F$43,""),'表3）燃料価格'!$AF$9:$AG$25,2,0)+VLOOKUP($F$41,'表3）燃料価格'!$AF$28:$AG$29,2,0),0)*IF($F$43="需要地価格",1,$F$8/$F$141))),"")</f>
        <v>0</v>
      </c>
      <c r="AU22" s="71"/>
      <c r="AV22" s="10">
        <f t="shared" si="10"/>
        <v>0</v>
      </c>
      <c r="AW22" s="10">
        <f t="shared" si="27"/>
        <v>0</v>
      </c>
      <c r="AX22" s="71"/>
      <c r="AY22" s="7">
        <f>IF(ISERROR(IF($K22&lt;=$F$15,VLOOKUP($I22,'表4）CO2価格'!$A$7:$E$67,VLOOKUP($F$48,'表4）CO2価格'!$H$10:$I$12,2,0),0)*$F$8/1000,"")),0,IF($K22&lt;=$F$15,VLOOKUP($I22,'表4）CO2価格'!$A$7:$E$67,VLOOKUP($F$48,'表4）CO2価格'!$H$10:$I$12,2,0),0)*$F$8/1000,""))</f>
        <v>0</v>
      </c>
      <c r="AZ22" s="71"/>
      <c r="BA22" s="11">
        <f t="shared" si="11"/>
        <v>0</v>
      </c>
      <c r="BB22" s="10">
        <f t="shared" si="28"/>
        <v>0</v>
      </c>
      <c r="BC22" s="71"/>
      <c r="BD22" s="10">
        <f t="shared" si="12"/>
        <v>0</v>
      </c>
      <c r="BE22" s="10">
        <f t="shared" si="29"/>
        <v>0</v>
      </c>
      <c r="BF22" s="71"/>
      <c r="BG22" s="11">
        <f t="shared" si="13"/>
        <v>0</v>
      </c>
      <c r="BH22" s="10">
        <f t="shared" si="30"/>
        <v>0</v>
      </c>
      <c r="BJ22" s="7">
        <f t="shared" si="31"/>
        <v>0.5820091045650384</v>
      </c>
      <c r="BK22" s="158">
        <f t="shared" si="32"/>
        <v>205075913.27179053</v>
      </c>
      <c r="BL22" s="158">
        <f t="shared" si="14"/>
        <v>38849806.140641794</v>
      </c>
      <c r="BM22" s="10"/>
      <c r="BN22" s="10">
        <f t="shared" si="33"/>
        <v>1071894589.0487453</v>
      </c>
      <c r="BO22" s="10">
        <f t="shared" si="34"/>
        <v>846163486.80622077</v>
      </c>
      <c r="BQ22" s="10">
        <f t="shared" si="15"/>
        <v>66751200</v>
      </c>
      <c r="BR22" s="10">
        <f t="shared" si="35"/>
        <v>52694013.681536384</v>
      </c>
    </row>
    <row r="23" spans="3:70" x14ac:dyDescent="0.15">
      <c r="D23" s="81" t="s">
        <v>112</v>
      </c>
      <c r="F23" s="147"/>
      <c r="G23" s="81" t="s">
        <v>172</v>
      </c>
      <c r="I23" s="458">
        <f t="shared" si="36"/>
        <v>2038</v>
      </c>
      <c r="J23" s="39"/>
      <c r="K23" s="39">
        <f t="shared" si="37"/>
        <v>9</v>
      </c>
      <c r="L23" s="39"/>
      <c r="M23" s="40">
        <f t="shared" si="0"/>
        <v>0.76641673234362695</v>
      </c>
      <c r="N23" s="39"/>
      <c r="O23" s="72">
        <f t="shared" si="16"/>
        <v>2085283874.7062931</v>
      </c>
      <c r="P23" s="41">
        <f t="shared" si="1"/>
        <v>0.14699999999999999</v>
      </c>
      <c r="Q23" s="39"/>
      <c r="R23" s="72">
        <f t="shared" si="17"/>
        <v>2517588234.1506062</v>
      </c>
      <c r="S23" s="39"/>
      <c r="T23" s="72">
        <f t="shared" si="18"/>
        <v>2517588000</v>
      </c>
      <c r="U23" s="39"/>
      <c r="V23" s="72">
        <f t="shared" si="2"/>
        <v>306536729.58182508</v>
      </c>
      <c r="W23" s="72">
        <f t="shared" si="19"/>
        <v>234934878.6294044</v>
      </c>
      <c r="X23" s="39"/>
      <c r="Y23" s="72">
        <f t="shared" si="3"/>
        <v>35246200</v>
      </c>
      <c r="Z23" s="72">
        <f t="shared" si="20"/>
        <v>27013277.431529943</v>
      </c>
      <c r="AA23" s="39"/>
      <c r="AB23" s="72">
        <f t="shared" si="4"/>
        <v>0</v>
      </c>
      <c r="AC23" s="72">
        <f t="shared" si="21"/>
        <v>0</v>
      </c>
      <c r="AD23" s="39"/>
      <c r="AE23" s="72">
        <f t="shared" si="5"/>
        <v>0</v>
      </c>
      <c r="AF23" s="72">
        <f t="shared" si="22"/>
        <v>0</v>
      </c>
      <c r="AG23" s="39"/>
      <c r="AH23" s="72">
        <f t="shared" si="6"/>
        <v>312000000</v>
      </c>
      <c r="AI23" s="72">
        <f t="shared" si="23"/>
        <v>239122020.49121162</v>
      </c>
      <c r="AJ23" s="39"/>
      <c r="AK23" s="72">
        <f t="shared" si="7"/>
        <v>0</v>
      </c>
      <c r="AL23" s="72">
        <f t="shared" si="24"/>
        <v>0</v>
      </c>
      <c r="AM23" s="39"/>
      <c r="AN23" s="72">
        <f t="shared" si="8"/>
        <v>0</v>
      </c>
      <c r="AO23" s="72">
        <f t="shared" si="25"/>
        <v>0</v>
      </c>
      <c r="AP23" s="39"/>
      <c r="AQ23" s="72">
        <f t="shared" si="9"/>
        <v>0</v>
      </c>
      <c r="AR23" s="72">
        <f t="shared" si="26"/>
        <v>0</v>
      </c>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0</v>
      </c>
      <c r="AU23" s="39"/>
      <c r="AV23" s="72">
        <f t="shared" si="10"/>
        <v>0</v>
      </c>
      <c r="AW23" s="72">
        <f t="shared" si="27"/>
        <v>0</v>
      </c>
      <c r="AX23" s="39"/>
      <c r="AY23" s="40">
        <f>IF(ISERROR(IF($K23&lt;=$F$15,VLOOKUP($I23,'表4）CO2価格'!$A$7:$E$67,VLOOKUP($F$48,'表4）CO2価格'!$H$10:$I$12,2,0),0)*$F$8/1000,"")),0,IF($K23&lt;=$F$15,VLOOKUP($I23,'表4）CO2価格'!$A$7:$E$67,VLOOKUP($F$48,'表4）CO2価格'!$H$10:$I$12,2,0),0)*$F$8/1000,""))</f>
        <v>0</v>
      </c>
      <c r="AZ23" s="39"/>
      <c r="BA23" s="42">
        <f t="shared" si="11"/>
        <v>0</v>
      </c>
      <c r="BB23" s="72">
        <f t="shared" si="28"/>
        <v>0</v>
      </c>
      <c r="BC23" s="39"/>
      <c r="BD23" s="72">
        <f t="shared" si="12"/>
        <v>0</v>
      </c>
      <c r="BE23" s="72">
        <f t="shared" si="29"/>
        <v>0</v>
      </c>
      <c r="BF23" s="39"/>
      <c r="BG23" s="42">
        <f t="shared" si="13"/>
        <v>0</v>
      </c>
      <c r="BH23" s="72">
        <f t="shared" si="30"/>
        <v>0</v>
      </c>
      <c r="BI23" s="39"/>
      <c r="BJ23" s="40">
        <f t="shared" si="31"/>
        <v>0.54393374258414806</v>
      </c>
      <c r="BK23" s="157">
        <f t="shared" si="32"/>
        <v>188878925.16412359</v>
      </c>
      <c r="BL23" s="157">
        <f t="shared" si="14"/>
        <v>36308230.037982985</v>
      </c>
      <c r="BM23" s="72"/>
      <c r="BN23" s="72">
        <f t="shared" si="33"/>
        <v>1071894589.0487453</v>
      </c>
      <c r="BO23" s="72">
        <f t="shared" si="34"/>
        <v>821517948.35555422</v>
      </c>
      <c r="BP23" s="39"/>
      <c r="BQ23" s="72">
        <f t="shared" si="15"/>
        <v>66751200</v>
      </c>
      <c r="BR23" s="72">
        <f t="shared" si="35"/>
        <v>51159236.584015913</v>
      </c>
    </row>
    <row r="24" spans="3:70" x14ac:dyDescent="0.15">
      <c r="D24" s="81" t="s">
        <v>113</v>
      </c>
      <c r="F24" s="68">
        <v>0</v>
      </c>
      <c r="G24" s="81" t="s">
        <v>172</v>
      </c>
      <c r="I24" s="459">
        <f t="shared" si="36"/>
        <v>2039</v>
      </c>
      <c r="J24" s="71"/>
      <c r="K24" s="71">
        <f t="shared" si="37"/>
        <v>10</v>
      </c>
      <c r="L24" s="71"/>
      <c r="M24" s="7">
        <f t="shared" si="0"/>
        <v>0.74409391489672516</v>
      </c>
      <c r="N24" s="71"/>
      <c r="O24" s="10">
        <f t="shared" si="16"/>
        <v>1778747145.1244681</v>
      </c>
      <c r="P24" s="29">
        <f t="shared" si="1"/>
        <v>0.14699999999999999</v>
      </c>
      <c r="Q24" s="71"/>
      <c r="R24" s="10">
        <f t="shared" si="17"/>
        <v>2198675670.9909482</v>
      </c>
      <c r="S24" s="71"/>
      <c r="T24" s="10">
        <f t="shared" si="18"/>
        <v>2198675000</v>
      </c>
      <c r="U24" s="71"/>
      <c r="V24" s="10">
        <f t="shared" si="2"/>
        <v>261475830.33329681</v>
      </c>
      <c r="W24" s="10">
        <f t="shared" si="19"/>
        <v>194562574.24357471</v>
      </c>
      <c r="X24" s="71"/>
      <c r="Y24" s="10">
        <f t="shared" si="3"/>
        <v>30781400</v>
      </c>
      <c r="Z24" s="10">
        <f t="shared" si="20"/>
        <v>22904252.432002056</v>
      </c>
      <c r="AA24" s="71"/>
      <c r="AB24" s="10">
        <f t="shared" si="4"/>
        <v>0</v>
      </c>
      <c r="AC24" s="10">
        <f t="shared" si="21"/>
        <v>0</v>
      </c>
      <c r="AD24" s="71"/>
      <c r="AE24" s="10">
        <f t="shared" si="5"/>
        <v>0</v>
      </c>
      <c r="AF24" s="10">
        <f t="shared" si="22"/>
        <v>0</v>
      </c>
      <c r="AG24" s="71"/>
      <c r="AH24" s="10">
        <f t="shared" si="6"/>
        <v>312000000</v>
      </c>
      <c r="AI24" s="10">
        <f t="shared" si="23"/>
        <v>232157301.44777825</v>
      </c>
      <c r="AJ24" s="71"/>
      <c r="AK24" s="10">
        <f t="shared" si="7"/>
        <v>0</v>
      </c>
      <c r="AL24" s="10">
        <f t="shared" si="24"/>
        <v>0</v>
      </c>
      <c r="AM24" s="71"/>
      <c r="AN24" s="10">
        <f t="shared" si="8"/>
        <v>0</v>
      </c>
      <c r="AO24" s="10">
        <f t="shared" si="25"/>
        <v>0</v>
      </c>
      <c r="AP24" s="71"/>
      <c r="AQ24" s="10">
        <f t="shared" si="9"/>
        <v>0</v>
      </c>
      <c r="AR24" s="10">
        <f t="shared" si="26"/>
        <v>0</v>
      </c>
      <c r="AS24" s="71"/>
      <c r="AT24" s="7">
        <f>IF($K24&lt;=$F$15,IF($F$40&lt;&gt;"",$F$40/1000,IF(ISERROR(VLOOKUP($F$3&amp;IF($G$4&lt;&gt;"",$G$4,"")&amp;IF($F$43&lt;&gt;"","_"&amp;$F$43,""),'表3）燃料価格'!$AF$9:$AG$25,2,0)),0,VLOOKUP($I24,'表3）燃料価格'!$A$6:$U$66,VLOOKUP($F$3&amp;IF($G$4&lt;&gt;"",$G$4,"")&amp;IF($F$43&lt;&gt;"","_"&amp;$F$43,""),'表3）燃料価格'!$AF$9:$AG$25,2,0)+VLOOKUP($F$41,'表3）燃料価格'!$AF$28:$AG$29,2,0),0)*IF($F$43="需要地価格",1,$F$8/$F$141))),"")</f>
        <v>0</v>
      </c>
      <c r="AU24" s="71"/>
      <c r="AV24" s="10">
        <f t="shared" si="10"/>
        <v>0</v>
      </c>
      <c r="AW24" s="10">
        <f t="shared" si="27"/>
        <v>0</v>
      </c>
      <c r="AX24" s="71"/>
      <c r="AY24" s="7">
        <f>IF(ISERROR(IF($K24&lt;=$F$15,VLOOKUP($I24,'表4）CO2価格'!$A$7:$E$67,VLOOKUP($F$48,'表4）CO2価格'!$H$10:$I$12,2,0),0)*$F$8/1000,"")),0,IF($K24&lt;=$F$15,VLOOKUP($I24,'表4）CO2価格'!$A$7:$E$67,VLOOKUP($F$48,'表4）CO2価格'!$H$10:$I$12,2,0),0)*$F$8/1000,""))</f>
        <v>0</v>
      </c>
      <c r="AZ24" s="71"/>
      <c r="BA24" s="11">
        <f t="shared" si="11"/>
        <v>0</v>
      </c>
      <c r="BB24" s="10">
        <f t="shared" si="28"/>
        <v>0</v>
      </c>
      <c r="BC24" s="71"/>
      <c r="BD24" s="10">
        <f t="shared" si="12"/>
        <v>0</v>
      </c>
      <c r="BE24" s="10">
        <f t="shared" si="29"/>
        <v>0</v>
      </c>
      <c r="BF24" s="71"/>
      <c r="BG24" s="11">
        <f t="shared" si="13"/>
        <v>0</v>
      </c>
      <c r="BH24" s="10">
        <f t="shared" si="30"/>
        <v>0</v>
      </c>
      <c r="BJ24" s="7">
        <f t="shared" si="31"/>
        <v>0.5083492921347178</v>
      </c>
      <c r="BK24" s="158">
        <f t="shared" si="32"/>
        <v>174252682.04694757</v>
      </c>
      <c r="BL24" s="158">
        <f t="shared" si="14"/>
        <v>33932925.269142978</v>
      </c>
      <c r="BM24" s="10"/>
      <c r="BN24" s="10">
        <f t="shared" si="33"/>
        <v>1071894589.0487453</v>
      </c>
      <c r="BO24" s="10">
        <f t="shared" si="34"/>
        <v>797590241.12189722</v>
      </c>
      <c r="BQ24" s="10">
        <f t="shared" si="15"/>
        <v>66751200</v>
      </c>
      <c r="BR24" s="10">
        <f t="shared" si="35"/>
        <v>49669161.732054278</v>
      </c>
    </row>
    <row r="25" spans="3:70" x14ac:dyDescent="0.15">
      <c r="D25" s="81" t="s">
        <v>114</v>
      </c>
      <c r="F25" s="66">
        <v>1.4</v>
      </c>
      <c r="G25" s="81" t="s">
        <v>172</v>
      </c>
      <c r="I25" s="458">
        <f t="shared" si="36"/>
        <v>2040</v>
      </c>
      <c r="J25" s="39"/>
      <c r="K25" s="39">
        <f t="shared" si="37"/>
        <v>11</v>
      </c>
      <c r="L25" s="39"/>
      <c r="M25" s="40">
        <f t="shared" si="0"/>
        <v>0.72242127659876232</v>
      </c>
      <c r="N25" s="39"/>
      <c r="O25" s="72">
        <f t="shared" si="16"/>
        <v>1517271314.7911713</v>
      </c>
      <c r="P25" s="41">
        <f t="shared" si="1"/>
        <v>0.14699999999999999</v>
      </c>
      <c r="Q25" s="39"/>
      <c r="R25" s="72">
        <f t="shared" si="17"/>
        <v>1920160986.0710478</v>
      </c>
      <c r="S25" s="39"/>
      <c r="T25" s="72">
        <f t="shared" si="18"/>
        <v>1920160000</v>
      </c>
      <c r="U25" s="39"/>
      <c r="V25" s="72">
        <f t="shared" si="2"/>
        <v>223038883.27430218</v>
      </c>
      <c r="W25" s="72">
        <f t="shared" si="19"/>
        <v>161128034.78618371</v>
      </c>
      <c r="X25" s="39"/>
      <c r="Y25" s="72">
        <f t="shared" si="3"/>
        <v>26882200</v>
      </c>
      <c r="Z25" s="72">
        <f t="shared" si="20"/>
        <v>19420273.24178325</v>
      </c>
      <c r="AA25" s="39"/>
      <c r="AB25" s="72">
        <f t="shared" si="4"/>
        <v>0</v>
      </c>
      <c r="AC25" s="72">
        <f t="shared" si="21"/>
        <v>0</v>
      </c>
      <c r="AD25" s="39"/>
      <c r="AE25" s="72">
        <f t="shared" si="5"/>
        <v>0</v>
      </c>
      <c r="AF25" s="72">
        <f t="shared" si="22"/>
        <v>0</v>
      </c>
      <c r="AG25" s="39"/>
      <c r="AH25" s="72">
        <f t="shared" si="6"/>
        <v>312000000</v>
      </c>
      <c r="AI25" s="72">
        <f t="shared" si="23"/>
        <v>225395438.29881385</v>
      </c>
      <c r="AJ25" s="39"/>
      <c r="AK25" s="72">
        <f t="shared" si="7"/>
        <v>0</v>
      </c>
      <c r="AL25" s="72">
        <f t="shared" si="24"/>
        <v>0</v>
      </c>
      <c r="AM25" s="39"/>
      <c r="AN25" s="72">
        <f t="shared" si="8"/>
        <v>0</v>
      </c>
      <c r="AO25" s="72">
        <f t="shared" si="25"/>
        <v>0</v>
      </c>
      <c r="AP25" s="39"/>
      <c r="AQ25" s="72">
        <f t="shared" si="9"/>
        <v>0</v>
      </c>
      <c r="AR25" s="72">
        <f t="shared" si="26"/>
        <v>0</v>
      </c>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0</v>
      </c>
      <c r="AU25" s="39"/>
      <c r="AV25" s="72">
        <f t="shared" si="10"/>
        <v>0</v>
      </c>
      <c r="AW25" s="72">
        <f t="shared" si="27"/>
        <v>0</v>
      </c>
      <c r="AX25" s="39"/>
      <c r="AY25" s="40">
        <f>IF(ISERROR(IF($K25&lt;=$F$15,VLOOKUP($I25,'表4）CO2価格'!$A$7:$E$67,VLOOKUP($F$48,'表4）CO2価格'!$H$10:$I$12,2,0),0)*$F$8/1000,"")),0,IF($K25&lt;=$F$15,VLOOKUP($I25,'表4）CO2価格'!$A$7:$E$67,VLOOKUP($F$48,'表4）CO2価格'!$H$10:$I$12,2,0),0)*$F$8/1000,""))</f>
        <v>0</v>
      </c>
      <c r="AZ25" s="39"/>
      <c r="BA25" s="42">
        <f t="shared" si="11"/>
        <v>0</v>
      </c>
      <c r="BB25" s="72">
        <f t="shared" si="28"/>
        <v>0</v>
      </c>
      <c r="BC25" s="39"/>
      <c r="BD25" s="72">
        <f t="shared" si="12"/>
        <v>0</v>
      </c>
      <c r="BE25" s="72">
        <f t="shared" si="29"/>
        <v>0</v>
      </c>
      <c r="BF25" s="39"/>
      <c r="BG25" s="42">
        <f t="shared" si="13"/>
        <v>0</v>
      </c>
      <c r="BH25" s="72">
        <f t="shared" si="30"/>
        <v>0</v>
      </c>
      <c r="BI25" s="39"/>
      <c r="BJ25" s="40">
        <f t="shared" si="31"/>
        <v>0.47509279638758667</v>
      </c>
      <c r="BK25" s="157">
        <f t="shared" si="32"/>
        <v>161000492.04397741</v>
      </c>
      <c r="BL25" s="157">
        <f t="shared" si="14"/>
        <v>31713014.270227075</v>
      </c>
      <c r="BM25" s="72"/>
      <c r="BN25" s="72">
        <f t="shared" si="33"/>
        <v>1071894589.0487453</v>
      </c>
      <c r="BO25" s="72">
        <f t="shared" si="34"/>
        <v>774359457.39990032</v>
      </c>
      <c r="BP25" s="39"/>
      <c r="BQ25" s="72">
        <f t="shared" si="15"/>
        <v>66751200</v>
      </c>
      <c r="BR25" s="72">
        <f t="shared" si="35"/>
        <v>48222487.118499301</v>
      </c>
    </row>
    <row r="26" spans="3:70" x14ac:dyDescent="0.15">
      <c r="D26" s="81" t="s">
        <v>115</v>
      </c>
      <c r="F26" s="59"/>
      <c r="G26" s="81" t="s">
        <v>175</v>
      </c>
      <c r="I26" s="459">
        <f t="shared" si="36"/>
        <v>2041</v>
      </c>
      <c r="J26" s="71"/>
      <c r="K26" s="71">
        <f t="shared" si="37"/>
        <v>12</v>
      </c>
      <c r="L26" s="71"/>
      <c r="M26" s="7">
        <f t="shared" si="0"/>
        <v>0.70137988019297326</v>
      </c>
      <c r="N26" s="71"/>
      <c r="O26" s="10">
        <f t="shared" si="16"/>
        <v>1294232431.5168691</v>
      </c>
      <c r="P26" s="29">
        <f t="shared" si="1"/>
        <v>0.16700000000000001</v>
      </c>
      <c r="Q26" s="71"/>
      <c r="R26" s="10">
        <f t="shared" si="17"/>
        <v>1676926825.1226845</v>
      </c>
      <c r="S26" s="71"/>
      <c r="T26" s="10">
        <f t="shared" si="18"/>
        <v>1676926000</v>
      </c>
      <c r="U26" s="71"/>
      <c r="V26" s="10">
        <f t="shared" si="2"/>
        <v>216136816.06331715</v>
      </c>
      <c r="W26" s="10">
        <f t="shared" si="19"/>
        <v>151594014.15578008</v>
      </c>
      <c r="X26" s="71"/>
      <c r="Y26" s="10">
        <f t="shared" si="3"/>
        <v>23476900</v>
      </c>
      <c r="Z26" s="10">
        <f t="shared" si="20"/>
        <v>16466225.309302414</v>
      </c>
      <c r="AA26" s="71"/>
      <c r="AB26" s="10">
        <f t="shared" si="4"/>
        <v>0</v>
      </c>
      <c r="AC26" s="10">
        <f t="shared" si="21"/>
        <v>0</v>
      </c>
      <c r="AD26" s="71"/>
      <c r="AE26" s="10">
        <f t="shared" si="5"/>
        <v>0</v>
      </c>
      <c r="AF26" s="10">
        <f t="shared" si="22"/>
        <v>0</v>
      </c>
      <c r="AG26" s="71"/>
      <c r="AH26" s="10">
        <f t="shared" si="6"/>
        <v>312000000</v>
      </c>
      <c r="AI26" s="10">
        <f t="shared" si="23"/>
        <v>218830522.62020767</v>
      </c>
      <c r="AJ26" s="71"/>
      <c r="AK26" s="10">
        <f t="shared" si="7"/>
        <v>0</v>
      </c>
      <c r="AL26" s="10">
        <f t="shared" si="24"/>
        <v>0</v>
      </c>
      <c r="AM26" s="71"/>
      <c r="AN26" s="10">
        <f t="shared" si="8"/>
        <v>0</v>
      </c>
      <c r="AO26" s="10">
        <f t="shared" si="25"/>
        <v>0</v>
      </c>
      <c r="AP26" s="71"/>
      <c r="AQ26" s="10">
        <f t="shared" si="9"/>
        <v>0</v>
      </c>
      <c r="AR26" s="10">
        <f t="shared" si="26"/>
        <v>0</v>
      </c>
      <c r="AS26" s="71"/>
      <c r="AT26" s="7">
        <f>IF($K26&lt;=$F$15,IF($F$40&lt;&gt;"",$F$40/1000,IF(ISERROR(VLOOKUP($F$3&amp;IF($G$4&lt;&gt;"",$G$4,"")&amp;IF($F$43&lt;&gt;"","_"&amp;$F$43,""),'表3）燃料価格'!$AF$9:$AG$25,2,0)),0,VLOOKUP($I26,'表3）燃料価格'!$A$6:$U$66,VLOOKUP($F$3&amp;IF($G$4&lt;&gt;"",$G$4,"")&amp;IF($F$43&lt;&gt;"","_"&amp;$F$43,""),'表3）燃料価格'!$AF$9:$AG$25,2,0)+VLOOKUP($F$41,'表3）燃料価格'!$AF$28:$AG$29,2,0),0)*IF($F$43="需要地価格",1,$F$8/$F$141))),"")</f>
        <v>0</v>
      </c>
      <c r="AU26" s="71"/>
      <c r="AV26" s="10">
        <f t="shared" si="10"/>
        <v>0</v>
      </c>
      <c r="AW26" s="10">
        <f t="shared" si="27"/>
        <v>0</v>
      </c>
      <c r="AX26" s="71"/>
      <c r="AY26" s="7">
        <f>IF(ISERROR(IF($K26&lt;=$F$15,VLOOKUP($I26,'表4）CO2価格'!$A$7:$E$67,VLOOKUP($F$48,'表4）CO2価格'!$H$10:$I$12,2,0),0)*$F$8/1000,"")),0,IF($K26&lt;=$F$15,VLOOKUP($I26,'表4）CO2価格'!$A$7:$E$67,VLOOKUP($F$48,'表4）CO2価格'!$H$10:$I$12,2,0),0)*$F$8/1000,""))</f>
        <v>0</v>
      </c>
      <c r="AZ26" s="71"/>
      <c r="BA26" s="11">
        <f t="shared" si="11"/>
        <v>0</v>
      </c>
      <c r="BB26" s="10">
        <f t="shared" si="28"/>
        <v>0</v>
      </c>
      <c r="BC26" s="71"/>
      <c r="BD26" s="10">
        <f t="shared" si="12"/>
        <v>0</v>
      </c>
      <c r="BE26" s="10">
        <f t="shared" si="29"/>
        <v>0</v>
      </c>
      <c r="BF26" s="71"/>
      <c r="BG26" s="11">
        <f t="shared" si="13"/>
        <v>0</v>
      </c>
      <c r="BH26" s="10">
        <f t="shared" si="30"/>
        <v>0</v>
      </c>
      <c r="BJ26" s="7">
        <f t="shared" si="31"/>
        <v>0.44401195924073528</v>
      </c>
      <c r="BK26" s="158">
        <f t="shared" si="32"/>
        <v>148955755.64900821</v>
      </c>
      <c r="BL26" s="158">
        <f t="shared" si="14"/>
        <v>29638331.093670167</v>
      </c>
      <c r="BM26" s="10"/>
      <c r="BN26" s="10">
        <f t="shared" si="33"/>
        <v>1071894589.0487453</v>
      </c>
      <c r="BO26" s="10">
        <f t="shared" si="34"/>
        <v>751805298.44650531</v>
      </c>
      <c r="BQ26" s="10">
        <f t="shared" si="15"/>
        <v>66751200</v>
      </c>
      <c r="BR26" s="10">
        <f t="shared" si="35"/>
        <v>46817948.658737198</v>
      </c>
    </row>
    <row r="27" spans="3:70" x14ac:dyDescent="0.15">
      <c r="D27" s="82" t="s">
        <v>86</v>
      </c>
      <c r="F27" s="59">
        <f>F117*5%/10^8</f>
        <v>3.72</v>
      </c>
      <c r="G27" s="81" t="s">
        <v>176</v>
      </c>
      <c r="I27" s="458">
        <f t="shared" si="36"/>
        <v>2042</v>
      </c>
      <c r="J27" s="39"/>
      <c r="K27" s="39">
        <f t="shared" si="37"/>
        <v>13</v>
      </c>
      <c r="L27" s="39"/>
      <c r="M27" s="40">
        <f t="shared" si="0"/>
        <v>0.68095133999317792</v>
      </c>
      <c r="N27" s="39"/>
      <c r="O27" s="72">
        <f t="shared" si="16"/>
        <v>1078095615.453552</v>
      </c>
      <c r="P27" s="41" t="str">
        <f t="shared" si="1"/>
        <v>-</v>
      </c>
      <c r="Q27" s="39"/>
      <c r="R27" s="72">
        <f t="shared" si="17"/>
        <v>1464504068.7812395</v>
      </c>
      <c r="S27" s="39"/>
      <c r="T27" s="72">
        <f t="shared" si="18"/>
        <v>1464504000</v>
      </c>
      <c r="U27" s="39"/>
      <c r="V27" s="72">
        <f t="shared" si="2"/>
        <v>216136816.06331715</v>
      </c>
      <c r="W27" s="72">
        <f t="shared" si="19"/>
        <v>147178654.52017483</v>
      </c>
      <c r="X27" s="39"/>
      <c r="Y27" s="72">
        <f t="shared" si="3"/>
        <v>20503000</v>
      </c>
      <c r="Z27" s="72">
        <f t="shared" si="20"/>
        <v>13961545.323880127</v>
      </c>
      <c r="AA27" s="39"/>
      <c r="AB27" s="72">
        <f t="shared" si="4"/>
        <v>0</v>
      </c>
      <c r="AC27" s="72">
        <f t="shared" si="21"/>
        <v>0</v>
      </c>
      <c r="AD27" s="39"/>
      <c r="AE27" s="72">
        <f t="shared" si="5"/>
        <v>0</v>
      </c>
      <c r="AF27" s="72">
        <f t="shared" si="22"/>
        <v>0</v>
      </c>
      <c r="AG27" s="39"/>
      <c r="AH27" s="72">
        <f t="shared" si="6"/>
        <v>312000000</v>
      </c>
      <c r="AI27" s="72">
        <f t="shared" si="23"/>
        <v>212456818.0778715</v>
      </c>
      <c r="AJ27" s="39"/>
      <c r="AK27" s="72">
        <f t="shared" si="7"/>
        <v>0</v>
      </c>
      <c r="AL27" s="72">
        <f t="shared" si="24"/>
        <v>0</v>
      </c>
      <c r="AM27" s="39"/>
      <c r="AN27" s="72">
        <f t="shared" si="8"/>
        <v>0</v>
      </c>
      <c r="AO27" s="72">
        <f t="shared" si="25"/>
        <v>0</v>
      </c>
      <c r="AP27" s="39"/>
      <c r="AQ27" s="72">
        <f t="shared" si="9"/>
        <v>0</v>
      </c>
      <c r="AR27" s="72">
        <f t="shared" si="26"/>
        <v>0</v>
      </c>
      <c r="AS27" s="39"/>
      <c r="AT27" s="40">
        <f>IF($K27&lt;=$F$15,IF($F$40&lt;&gt;"",$F$40/1000,IF(ISERROR(VLOOKUP($F$3&amp;IF($G$4&lt;&gt;"",$G$4,"")&amp;IF($F$43&lt;&gt;"","_"&amp;$F$43,""),'表3）燃料価格'!$AF$9:$AG$25,2,0)),0,VLOOKUP($I27,'表3）燃料価格'!$A$6:$U$66,VLOOKUP($F$3&amp;IF($G$4&lt;&gt;"",$G$4,"")&amp;IF($F$43&lt;&gt;"","_"&amp;$F$43,""),'表3）燃料価格'!$AF$9:$AG$25,2,0)+VLOOKUP($F$41,'表3）燃料価格'!$AF$28:$AG$29,2,0),0)*IF($F$43="需要地価格",1,$F$8/$F$141))),"")</f>
        <v>0</v>
      </c>
      <c r="AU27" s="39"/>
      <c r="AV27" s="72">
        <f t="shared" si="10"/>
        <v>0</v>
      </c>
      <c r="AW27" s="72">
        <f t="shared" si="27"/>
        <v>0</v>
      </c>
      <c r="AX27" s="39"/>
      <c r="AY27" s="40">
        <f>IF(ISERROR(IF($K27&lt;=$F$15,VLOOKUP($I27,'表4）CO2価格'!$A$7:$E$67,VLOOKUP($F$48,'表4）CO2価格'!$H$10:$I$12,2,0),0)*$F$8/1000,"")),0,IF($K27&lt;=$F$15,VLOOKUP($I27,'表4）CO2価格'!$A$7:$E$67,VLOOKUP($F$48,'表4）CO2価格'!$H$10:$I$12,2,0),0)*$F$8/1000,""))</f>
        <v>0</v>
      </c>
      <c r="AZ27" s="39"/>
      <c r="BA27" s="42">
        <f t="shared" si="11"/>
        <v>0</v>
      </c>
      <c r="BB27" s="72">
        <f t="shared" si="28"/>
        <v>0</v>
      </c>
      <c r="BC27" s="39"/>
      <c r="BD27" s="72">
        <f t="shared" si="12"/>
        <v>0</v>
      </c>
      <c r="BE27" s="72">
        <f t="shared" si="29"/>
        <v>0</v>
      </c>
      <c r="BF27" s="39"/>
      <c r="BG27" s="42">
        <f t="shared" si="13"/>
        <v>0</v>
      </c>
      <c r="BH27" s="72">
        <f t="shared" si="30"/>
        <v>0</v>
      </c>
      <c r="BI27" s="39"/>
      <c r="BJ27" s="40">
        <f t="shared" si="31"/>
        <v>0.41496444788853759</v>
      </c>
      <c r="BK27" s="157">
        <f t="shared" si="32"/>
        <v>137976923.81628242</v>
      </c>
      <c r="BL27" s="157">
        <f t="shared" si="14"/>
        <v>27699374.853897352</v>
      </c>
      <c r="BM27" s="72"/>
      <c r="BN27" s="72">
        <f t="shared" si="33"/>
        <v>1071894589.0487453</v>
      </c>
      <c r="BO27" s="72">
        <f t="shared" si="34"/>
        <v>729908056.74417984</v>
      </c>
      <c r="BP27" s="39"/>
      <c r="BQ27" s="72">
        <f t="shared" si="15"/>
        <v>66751200</v>
      </c>
      <c r="BR27" s="72">
        <f t="shared" si="35"/>
        <v>45454319.086152621</v>
      </c>
    </row>
    <row r="28" spans="3:70" x14ac:dyDescent="0.15">
      <c r="D28" s="81" t="s">
        <v>116</v>
      </c>
      <c r="F28" s="59">
        <v>1</v>
      </c>
      <c r="G28" s="81" t="s">
        <v>108</v>
      </c>
      <c r="I28" s="459">
        <f t="shared" si="36"/>
        <v>2043</v>
      </c>
      <c r="J28" s="71"/>
      <c r="K28" s="71">
        <f t="shared" si="37"/>
        <v>14</v>
      </c>
      <c r="L28" s="71"/>
      <c r="M28" s="7">
        <f t="shared" si="0"/>
        <v>0.66111780581861923</v>
      </c>
      <c r="N28" s="71"/>
      <c r="O28" s="10">
        <f t="shared" si="16"/>
        <v>861958799.39023483</v>
      </c>
      <c r="P28" s="29" t="str">
        <f t="shared" si="1"/>
        <v>-</v>
      </c>
      <c r="Q28" s="71"/>
      <c r="R28" s="10">
        <f t="shared" si="17"/>
        <v>1278989718.1827796</v>
      </c>
      <c r="S28" s="71"/>
      <c r="T28" s="10">
        <f t="shared" si="18"/>
        <v>1278989000</v>
      </c>
      <c r="U28" s="71"/>
      <c r="V28" s="10">
        <f t="shared" si="2"/>
        <v>216136816.06331715</v>
      </c>
      <c r="W28" s="10">
        <f t="shared" si="19"/>
        <v>142891897.59240273</v>
      </c>
      <c r="X28" s="71"/>
      <c r="Y28" s="10">
        <f t="shared" si="3"/>
        <v>17905800</v>
      </c>
      <c r="Z28" s="10">
        <f t="shared" si="20"/>
        <v>11837843.207427032</v>
      </c>
      <c r="AA28" s="71"/>
      <c r="AB28" s="10">
        <f t="shared" si="4"/>
        <v>0</v>
      </c>
      <c r="AC28" s="10">
        <f t="shared" si="21"/>
        <v>0</v>
      </c>
      <c r="AD28" s="71"/>
      <c r="AE28" s="10">
        <f t="shared" si="5"/>
        <v>0</v>
      </c>
      <c r="AF28" s="10">
        <f t="shared" si="22"/>
        <v>0</v>
      </c>
      <c r="AG28" s="71"/>
      <c r="AH28" s="10">
        <f t="shared" si="6"/>
        <v>312000000</v>
      </c>
      <c r="AI28" s="10">
        <f t="shared" si="23"/>
        <v>206268755.41540921</v>
      </c>
      <c r="AJ28" s="71"/>
      <c r="AK28" s="10">
        <f t="shared" si="7"/>
        <v>0</v>
      </c>
      <c r="AL28" s="10">
        <f t="shared" si="24"/>
        <v>0</v>
      </c>
      <c r="AM28" s="71"/>
      <c r="AN28" s="10">
        <f t="shared" si="8"/>
        <v>0</v>
      </c>
      <c r="AO28" s="10">
        <f t="shared" si="25"/>
        <v>0</v>
      </c>
      <c r="AP28" s="71"/>
      <c r="AQ28" s="10">
        <f t="shared" si="9"/>
        <v>0</v>
      </c>
      <c r="AR28" s="10">
        <f t="shared" si="26"/>
        <v>0</v>
      </c>
      <c r="AS28" s="71"/>
      <c r="AT28" s="7">
        <f>IF($K28&lt;=$F$15,IF($F$40&lt;&gt;"",$F$40/1000,IF(ISERROR(VLOOKUP($F$3&amp;IF($G$4&lt;&gt;"",$G$4,"")&amp;IF($F$43&lt;&gt;"","_"&amp;$F$43,""),'表3）燃料価格'!$AF$9:$AG$25,2,0)),0,VLOOKUP($I28,'表3）燃料価格'!$A$6:$U$66,VLOOKUP($F$3&amp;IF($G$4&lt;&gt;"",$G$4,"")&amp;IF($F$43&lt;&gt;"","_"&amp;$F$43,""),'表3）燃料価格'!$AF$9:$AG$25,2,0)+VLOOKUP($F$41,'表3）燃料価格'!$AF$28:$AG$29,2,0),0)*IF($F$43="需要地価格",1,$F$8/$F$141))),"")</f>
        <v>0</v>
      </c>
      <c r="AU28" s="71"/>
      <c r="AV28" s="10">
        <f t="shared" si="10"/>
        <v>0</v>
      </c>
      <c r="AW28" s="10">
        <f t="shared" si="27"/>
        <v>0</v>
      </c>
      <c r="AX28" s="71"/>
      <c r="AY28" s="7">
        <f>IF(ISERROR(IF($K28&lt;=$F$15,VLOOKUP($I28,'表4）CO2価格'!$A$7:$E$67,VLOOKUP($F$48,'表4）CO2価格'!$H$10:$I$12,2,0),0)*$F$8/1000,"")),0,IF($K28&lt;=$F$15,VLOOKUP($I28,'表4）CO2価格'!$A$7:$E$67,VLOOKUP($F$48,'表4）CO2価格'!$H$10:$I$12,2,0),0)*$F$8/1000,""))</f>
        <v>0</v>
      </c>
      <c r="AZ28" s="71"/>
      <c r="BA28" s="11">
        <f t="shared" si="11"/>
        <v>0</v>
      </c>
      <c r="BB28" s="10">
        <f t="shared" si="28"/>
        <v>0</v>
      </c>
      <c r="BC28" s="71"/>
      <c r="BD28" s="10">
        <f t="shared" si="12"/>
        <v>0</v>
      </c>
      <c r="BE28" s="10">
        <f t="shared" si="29"/>
        <v>0</v>
      </c>
      <c r="BF28" s="71"/>
      <c r="BG28" s="11">
        <f t="shared" si="13"/>
        <v>0</v>
      </c>
      <c r="BH28" s="10">
        <f t="shared" si="30"/>
        <v>0</v>
      </c>
      <c r="BJ28" s="7">
        <f t="shared" si="31"/>
        <v>0.3878172410173249</v>
      </c>
      <c r="BK28" s="158">
        <f t="shared" si="32"/>
        <v>127943157.15161338</v>
      </c>
      <c r="BL28" s="158">
        <f t="shared" si="14"/>
        <v>25887266.218595657</v>
      </c>
      <c r="BM28" s="10"/>
      <c r="BN28" s="10">
        <f t="shared" si="33"/>
        <v>1071894589.0487453</v>
      </c>
      <c r="BO28" s="10">
        <f t="shared" si="34"/>
        <v>708648598.78075707</v>
      </c>
      <c r="BQ28" s="10">
        <f t="shared" si="15"/>
        <v>66751200</v>
      </c>
      <c r="BR28" s="10">
        <f t="shared" si="35"/>
        <v>44130406.879759818</v>
      </c>
    </row>
    <row r="29" spans="3:70" x14ac:dyDescent="0.15">
      <c r="D29" s="81" t="s">
        <v>117</v>
      </c>
      <c r="F29" s="59"/>
      <c r="G29" s="81" t="s">
        <v>176</v>
      </c>
      <c r="I29" s="458">
        <f t="shared" si="36"/>
        <v>2044</v>
      </c>
      <c r="J29" s="39"/>
      <c r="K29" s="39">
        <f t="shared" si="37"/>
        <v>15</v>
      </c>
      <c r="L29" s="39"/>
      <c r="M29" s="40">
        <f t="shared" si="0"/>
        <v>0.64186194739671765</v>
      </c>
      <c r="N29" s="39"/>
      <c r="O29" s="72">
        <f t="shared" si="16"/>
        <v>645821983.32691765</v>
      </c>
      <c r="P29" s="41" t="str">
        <f t="shared" si="1"/>
        <v>-</v>
      </c>
      <c r="Q29" s="39"/>
      <c r="R29" s="72">
        <f t="shared" si="17"/>
        <v>1116975182.3076811</v>
      </c>
      <c r="S29" s="39"/>
      <c r="T29" s="72">
        <f t="shared" si="18"/>
        <v>1116975000</v>
      </c>
      <c r="U29" s="39"/>
      <c r="V29" s="72">
        <f t="shared" si="2"/>
        <v>216136816.06331715</v>
      </c>
      <c r="W29" s="72">
        <f t="shared" si="19"/>
        <v>138729997.66252691</v>
      </c>
      <c r="X29" s="39"/>
      <c r="Y29" s="72">
        <f t="shared" si="3"/>
        <v>15637600</v>
      </c>
      <c r="Z29" s="72">
        <f t="shared" si="20"/>
        <v>10037180.388610912</v>
      </c>
      <c r="AA29" s="39"/>
      <c r="AB29" s="72">
        <f t="shared" si="4"/>
        <v>0</v>
      </c>
      <c r="AC29" s="72">
        <f t="shared" si="21"/>
        <v>0</v>
      </c>
      <c r="AD29" s="39"/>
      <c r="AE29" s="72">
        <f t="shared" si="5"/>
        <v>0</v>
      </c>
      <c r="AF29" s="72">
        <f t="shared" si="22"/>
        <v>0</v>
      </c>
      <c r="AG29" s="39"/>
      <c r="AH29" s="72">
        <f t="shared" si="6"/>
        <v>312000000</v>
      </c>
      <c r="AI29" s="72">
        <f t="shared" si="23"/>
        <v>200260927.58777592</v>
      </c>
      <c r="AJ29" s="39"/>
      <c r="AK29" s="72">
        <f t="shared" si="7"/>
        <v>0</v>
      </c>
      <c r="AL29" s="72">
        <f t="shared" si="24"/>
        <v>0</v>
      </c>
      <c r="AM29" s="39"/>
      <c r="AN29" s="72">
        <f t="shared" si="8"/>
        <v>0</v>
      </c>
      <c r="AO29" s="72">
        <f t="shared" si="25"/>
        <v>0</v>
      </c>
      <c r="AP29" s="39"/>
      <c r="AQ29" s="72">
        <f t="shared" si="9"/>
        <v>0</v>
      </c>
      <c r="AR29" s="72">
        <f t="shared" si="26"/>
        <v>0</v>
      </c>
      <c r="AS29" s="39"/>
      <c r="AT29" s="40">
        <f>IF($K29&lt;=$F$15,IF($F$40&lt;&gt;"",$F$40/1000,IF(ISERROR(VLOOKUP($F$3&amp;IF($G$4&lt;&gt;"",$G$4,"")&amp;IF($F$43&lt;&gt;"","_"&amp;$F$43,""),'表3）燃料価格'!$AF$9:$AG$25,2,0)),0,VLOOKUP($I29,'表3）燃料価格'!$A$6:$U$66,VLOOKUP($F$3&amp;IF($G$4&lt;&gt;"",$G$4,"")&amp;IF($F$43&lt;&gt;"","_"&amp;$F$43,""),'表3）燃料価格'!$AF$9:$AG$25,2,0)+VLOOKUP($F$41,'表3）燃料価格'!$AF$28:$AG$29,2,0),0)*IF($F$43="需要地価格",1,$F$8/$F$141))),"")</f>
        <v>0</v>
      </c>
      <c r="AU29" s="39"/>
      <c r="AV29" s="72">
        <f t="shared" si="10"/>
        <v>0</v>
      </c>
      <c r="AW29" s="72">
        <f t="shared" si="27"/>
        <v>0</v>
      </c>
      <c r="AX29" s="39"/>
      <c r="AY29" s="40">
        <f>IF(ISERROR(IF($K29&lt;=$F$15,VLOOKUP($I29,'表4）CO2価格'!$A$7:$E$67,VLOOKUP($F$48,'表4）CO2価格'!$H$10:$I$12,2,0),0)*$F$8/1000,"")),0,IF($K29&lt;=$F$15,VLOOKUP($I29,'表4）CO2価格'!$A$7:$E$67,VLOOKUP($F$48,'表4）CO2価格'!$H$10:$I$12,2,0),0)*$F$8/1000,""))</f>
        <v>0</v>
      </c>
      <c r="AZ29" s="39"/>
      <c r="BA29" s="42">
        <f t="shared" si="11"/>
        <v>0</v>
      </c>
      <c r="BB29" s="72">
        <f t="shared" si="28"/>
        <v>0</v>
      </c>
      <c r="BC29" s="39"/>
      <c r="BD29" s="72">
        <f t="shared" si="12"/>
        <v>0</v>
      </c>
      <c r="BE29" s="72">
        <f t="shared" si="29"/>
        <v>0</v>
      </c>
      <c r="BF29" s="39"/>
      <c r="BG29" s="42">
        <f t="shared" si="13"/>
        <v>0</v>
      </c>
      <c r="BH29" s="72">
        <f t="shared" si="30"/>
        <v>0</v>
      </c>
      <c r="BI29" s="39"/>
      <c r="BJ29" s="40">
        <f t="shared" si="31"/>
        <v>0.36244601964235967</v>
      </c>
      <c r="BK29" s="157">
        <f t="shared" si="32"/>
        <v>118750944.00517558</v>
      </c>
      <c r="BL29" s="157">
        <f t="shared" si="14"/>
        <v>24193706.746351078</v>
      </c>
      <c r="BM29" s="72"/>
      <c r="BN29" s="72">
        <f t="shared" si="33"/>
        <v>1071894589.0487453</v>
      </c>
      <c r="BO29" s="72">
        <f t="shared" si="34"/>
        <v>688008348.330832</v>
      </c>
      <c r="BP29" s="39"/>
      <c r="BQ29" s="72">
        <f t="shared" si="15"/>
        <v>66751200</v>
      </c>
      <c r="BR29" s="72">
        <f t="shared" si="35"/>
        <v>42845055.223067775</v>
      </c>
    </row>
    <row r="30" spans="3:70" x14ac:dyDescent="0.15">
      <c r="I30" s="459">
        <f t="shared" si="36"/>
        <v>2045</v>
      </c>
      <c r="J30" s="71"/>
      <c r="K30" s="71">
        <f t="shared" si="37"/>
        <v>16</v>
      </c>
      <c r="L30" s="71"/>
      <c r="M30" s="7">
        <f t="shared" si="0"/>
        <v>0.62316693922011435</v>
      </c>
      <c r="N30" s="71"/>
      <c r="O30" s="10">
        <f t="shared" si="16"/>
        <v>429685167.26360047</v>
      </c>
      <c r="P30" s="29" t="str">
        <f t="shared" si="1"/>
        <v>-</v>
      </c>
      <c r="Q30" s="71"/>
      <c r="R30" s="10">
        <f t="shared" si="17"/>
        <v>975483649.44164395</v>
      </c>
      <c r="S30" s="71"/>
      <c r="T30" s="10">
        <f t="shared" si="18"/>
        <v>975483000</v>
      </c>
      <c r="U30" s="71"/>
      <c r="V30" s="10">
        <f t="shared" si="2"/>
        <v>216136816.06331715</v>
      </c>
      <c r="W30" s="10">
        <f t="shared" si="19"/>
        <v>134689318.1189582</v>
      </c>
      <c r="X30" s="71"/>
      <c r="Y30" s="10">
        <f t="shared" si="3"/>
        <v>13656700</v>
      </c>
      <c r="Z30" s="10">
        <f t="shared" si="20"/>
        <v>8510403.9388473351</v>
      </c>
      <c r="AA30" s="71"/>
      <c r="AB30" s="10">
        <f t="shared" si="4"/>
        <v>0</v>
      </c>
      <c r="AC30" s="10">
        <f t="shared" si="21"/>
        <v>0</v>
      </c>
      <c r="AD30" s="71"/>
      <c r="AE30" s="10">
        <f t="shared" si="5"/>
        <v>0</v>
      </c>
      <c r="AF30" s="10">
        <f t="shared" si="22"/>
        <v>0</v>
      </c>
      <c r="AG30" s="71"/>
      <c r="AH30" s="10">
        <f t="shared" si="6"/>
        <v>312000000</v>
      </c>
      <c r="AI30" s="10">
        <f t="shared" si="23"/>
        <v>194428085.03667566</v>
      </c>
      <c r="AJ30" s="71"/>
      <c r="AK30" s="10">
        <f t="shared" si="7"/>
        <v>0</v>
      </c>
      <c r="AL30" s="10">
        <f t="shared" si="24"/>
        <v>0</v>
      </c>
      <c r="AM30" s="71"/>
      <c r="AN30" s="10">
        <f t="shared" si="8"/>
        <v>0</v>
      </c>
      <c r="AO30" s="10">
        <f t="shared" si="25"/>
        <v>0</v>
      </c>
      <c r="AP30" s="71"/>
      <c r="AQ30" s="10">
        <f t="shared" si="9"/>
        <v>0</v>
      </c>
      <c r="AR30" s="10">
        <f t="shared" si="26"/>
        <v>0</v>
      </c>
      <c r="AS30" s="71"/>
      <c r="AT30" s="7">
        <f>IF($K30&lt;=$F$15,IF($F$40&lt;&gt;"",$F$40/1000,IF(ISERROR(VLOOKUP($F$3&amp;IF($G$4&lt;&gt;"",$G$4,"")&amp;IF($F$43&lt;&gt;"","_"&amp;$F$43,""),'表3）燃料価格'!$AF$9:$AG$25,2,0)),0,VLOOKUP($I30,'表3）燃料価格'!$A$6:$U$66,VLOOKUP($F$3&amp;IF($G$4&lt;&gt;"",$G$4,"")&amp;IF($F$43&lt;&gt;"","_"&amp;$F$43,""),'表3）燃料価格'!$AF$9:$AG$25,2,0)+VLOOKUP($F$41,'表3）燃料価格'!$AF$28:$AG$29,2,0),0)*IF($F$43="需要地価格",1,$F$8/$F$141))),"")</f>
        <v>0</v>
      </c>
      <c r="AU30" s="71"/>
      <c r="AV30" s="10">
        <f t="shared" si="10"/>
        <v>0</v>
      </c>
      <c r="AW30" s="10">
        <f t="shared" si="27"/>
        <v>0</v>
      </c>
      <c r="AX30" s="71"/>
      <c r="AY30" s="7">
        <f>IF(ISERROR(IF($K30&lt;=$F$15,VLOOKUP($I30,'表4）CO2価格'!$A$7:$E$67,VLOOKUP($F$48,'表4）CO2価格'!$H$10:$I$12,2,0),0)*$F$8/1000,"")),0,IF($K30&lt;=$F$15,VLOOKUP($I30,'表4）CO2価格'!$A$7:$E$67,VLOOKUP($F$48,'表4）CO2価格'!$H$10:$I$12,2,0),0)*$F$8/1000,""))</f>
        <v>0</v>
      </c>
      <c r="AZ30" s="71"/>
      <c r="BA30" s="11">
        <f t="shared" si="11"/>
        <v>0</v>
      </c>
      <c r="BB30" s="10">
        <f t="shared" si="28"/>
        <v>0</v>
      </c>
      <c r="BC30" s="71"/>
      <c r="BD30" s="10">
        <f t="shared" si="12"/>
        <v>0</v>
      </c>
      <c r="BE30" s="10">
        <f t="shared" si="29"/>
        <v>0</v>
      </c>
      <c r="BF30" s="71"/>
      <c r="BG30" s="11">
        <f t="shared" si="13"/>
        <v>0</v>
      </c>
      <c r="BH30" s="10">
        <f t="shared" si="30"/>
        <v>0</v>
      </c>
      <c r="BJ30" s="7">
        <f t="shared" si="31"/>
        <v>0.33873459779659787</v>
      </c>
      <c r="BK30" s="158">
        <f t="shared" si="32"/>
        <v>110311191.29426733</v>
      </c>
      <c r="BL30" s="158">
        <f t="shared" si="14"/>
        <v>22610940.884440262</v>
      </c>
      <c r="BM30" s="10"/>
      <c r="BN30" s="10">
        <f t="shared" si="33"/>
        <v>1071894589.0487453</v>
      </c>
      <c r="BO30" s="10">
        <f t="shared" si="34"/>
        <v>667969270.22410893</v>
      </c>
      <c r="BQ30" s="10">
        <f t="shared" si="15"/>
        <v>66751200</v>
      </c>
      <c r="BR30" s="10">
        <f t="shared" si="35"/>
        <v>41597140.993269697</v>
      </c>
    </row>
    <row r="31" spans="3:70" x14ac:dyDescent="0.15">
      <c r="C31" s="89" t="s">
        <v>507</v>
      </c>
      <c r="D31" s="101"/>
      <c r="E31" s="101"/>
      <c r="F31" s="89"/>
      <c r="G31" s="101"/>
      <c r="I31" s="458">
        <f t="shared" si="36"/>
        <v>2046</v>
      </c>
      <c r="J31" s="39"/>
      <c r="K31" s="39">
        <f t="shared" si="37"/>
        <v>17</v>
      </c>
      <c r="L31" s="39"/>
      <c r="M31" s="40">
        <f t="shared" si="0"/>
        <v>0.60501644584477121</v>
      </c>
      <c r="N31" s="39"/>
      <c r="O31" s="72">
        <f t="shared" si="16"/>
        <v>213548351.20028332</v>
      </c>
      <c r="P31" s="41" t="str">
        <f t="shared" si="1"/>
        <v>-</v>
      </c>
      <c r="Q31" s="39"/>
      <c r="R31" s="72">
        <f t="shared" si="17"/>
        <v>851915392.03408182</v>
      </c>
      <c r="S31" s="39"/>
      <c r="T31" s="72">
        <f t="shared" si="18"/>
        <v>851915000</v>
      </c>
      <c r="U31" s="39"/>
      <c r="V31" s="72">
        <f t="shared" si="2"/>
        <v>213548351.20028332</v>
      </c>
      <c r="W31" s="72">
        <f t="shared" si="19"/>
        <v>129200264.4592064</v>
      </c>
      <c r="X31" s="39"/>
      <c r="Y31" s="72">
        <f t="shared" si="3"/>
        <v>11926800</v>
      </c>
      <c r="Z31" s="72">
        <f t="shared" si="20"/>
        <v>7215910.1463014176</v>
      </c>
      <c r="AA31" s="39"/>
      <c r="AB31" s="72">
        <f t="shared" si="4"/>
        <v>0</v>
      </c>
      <c r="AC31" s="72">
        <f t="shared" si="21"/>
        <v>0</v>
      </c>
      <c r="AD31" s="39"/>
      <c r="AE31" s="72">
        <f t="shared" si="5"/>
        <v>0</v>
      </c>
      <c r="AF31" s="72">
        <f t="shared" si="22"/>
        <v>0</v>
      </c>
      <c r="AG31" s="39"/>
      <c r="AH31" s="72">
        <f t="shared" si="6"/>
        <v>312000000</v>
      </c>
      <c r="AI31" s="72">
        <f t="shared" si="23"/>
        <v>188765131.10356861</v>
      </c>
      <c r="AJ31" s="39"/>
      <c r="AK31" s="72">
        <f t="shared" si="7"/>
        <v>0</v>
      </c>
      <c r="AL31" s="72">
        <f t="shared" si="24"/>
        <v>0</v>
      </c>
      <c r="AM31" s="39"/>
      <c r="AN31" s="72">
        <f t="shared" si="8"/>
        <v>0</v>
      </c>
      <c r="AO31" s="72">
        <f t="shared" si="25"/>
        <v>0</v>
      </c>
      <c r="AP31" s="39"/>
      <c r="AQ31" s="72">
        <f t="shared" si="9"/>
        <v>0</v>
      </c>
      <c r="AR31" s="72">
        <f t="shared" si="26"/>
        <v>0</v>
      </c>
      <c r="AS31" s="39"/>
      <c r="AT31" s="40">
        <f>IF($K31&lt;=$F$15,IF($F$40&lt;&gt;"",$F$40/1000,IF(ISERROR(VLOOKUP($F$3&amp;IF($G$4&lt;&gt;"",$G$4,"")&amp;IF($F$43&lt;&gt;"","_"&amp;$F$43,""),'表3）燃料価格'!$AF$9:$AG$25,2,0)),0,VLOOKUP($I31,'表3）燃料価格'!$A$6:$U$66,VLOOKUP($F$3&amp;IF($G$4&lt;&gt;"",$G$4,"")&amp;IF($F$43&lt;&gt;"","_"&amp;$F$43,""),'表3）燃料価格'!$AF$9:$AG$25,2,0)+VLOOKUP($F$41,'表3）燃料価格'!$AF$28:$AG$29,2,0),0)*IF($F$43="需要地価格",1,$F$8/$F$141))),"")</f>
        <v>0</v>
      </c>
      <c r="AU31" s="39"/>
      <c r="AV31" s="72">
        <f t="shared" si="10"/>
        <v>0</v>
      </c>
      <c r="AW31" s="72">
        <f t="shared" si="27"/>
        <v>0</v>
      </c>
      <c r="AX31" s="39"/>
      <c r="AY31" s="40">
        <f>IF(ISERROR(IF($K31&lt;=$F$15,VLOOKUP($I31,'表4）CO2価格'!$A$7:$E$67,VLOOKUP($F$48,'表4）CO2価格'!$H$10:$I$12,2,0),0)*$F$8/1000,"")),0,IF($K31&lt;=$F$15,VLOOKUP($I31,'表4）CO2価格'!$A$7:$E$67,VLOOKUP($F$48,'表4）CO2価格'!$H$10:$I$12,2,0),0)*$F$8/1000,""))</f>
        <v>0</v>
      </c>
      <c r="AZ31" s="39"/>
      <c r="BA31" s="42">
        <f t="shared" si="11"/>
        <v>0</v>
      </c>
      <c r="BB31" s="72">
        <f t="shared" si="28"/>
        <v>0</v>
      </c>
      <c r="BC31" s="39"/>
      <c r="BD31" s="72">
        <f t="shared" si="12"/>
        <v>0</v>
      </c>
      <c r="BE31" s="72">
        <f t="shared" si="29"/>
        <v>0</v>
      </c>
      <c r="BF31" s="39"/>
      <c r="BG31" s="42">
        <f t="shared" si="13"/>
        <v>0</v>
      </c>
      <c r="BH31" s="72">
        <f t="shared" si="30"/>
        <v>0</v>
      </c>
      <c r="BI31" s="39"/>
      <c r="BJ31" s="40">
        <f t="shared" si="31"/>
        <v>0.31657439046411018</v>
      </c>
      <c r="BK31" s="157">
        <f t="shared" si="32"/>
        <v>102546929.26498972</v>
      </c>
      <c r="BL31" s="157">
        <f t="shared" si="14"/>
        <v>21131720.452747911</v>
      </c>
      <c r="BM31" s="72"/>
      <c r="BN31" s="72">
        <f t="shared" si="33"/>
        <v>1071894589.0487453</v>
      </c>
      <c r="BO31" s="72">
        <f t="shared" si="34"/>
        <v>648513854.58651352</v>
      </c>
      <c r="BP31" s="39"/>
      <c r="BQ31" s="72">
        <f t="shared" si="15"/>
        <v>66751200</v>
      </c>
      <c r="BR31" s="72">
        <f t="shared" si="35"/>
        <v>40385573.77987349</v>
      </c>
    </row>
    <row r="32" spans="3:70" x14ac:dyDescent="0.15">
      <c r="I32" s="459">
        <f t="shared" si="36"/>
        <v>2047</v>
      </c>
      <c r="J32" s="71"/>
      <c r="K32" s="71">
        <f t="shared" si="37"/>
        <v>18</v>
      </c>
      <c r="L32" s="71"/>
      <c r="M32" s="7">
        <f t="shared" si="0"/>
        <v>0.5873946076162827</v>
      </c>
      <c r="N32" s="71"/>
      <c r="O32" s="10">
        <f t="shared" si="16"/>
        <v>0</v>
      </c>
      <c r="P32" s="29" t="str">
        <f t="shared" si="1"/>
        <v>-</v>
      </c>
      <c r="Q32" s="71"/>
      <c r="R32" s="10">
        <f t="shared" si="17"/>
        <v>744000000.00000012</v>
      </c>
      <c r="S32" s="71"/>
      <c r="T32" s="10">
        <f t="shared" si="18"/>
        <v>744000000</v>
      </c>
      <c r="U32" s="71"/>
      <c r="V32" s="10">
        <f t="shared" si="2"/>
        <v>0</v>
      </c>
      <c r="W32" s="10">
        <f t="shared" si="19"/>
        <v>0</v>
      </c>
      <c r="X32" s="71"/>
      <c r="Y32" s="10">
        <f t="shared" si="3"/>
        <v>10416000</v>
      </c>
      <c r="Z32" s="10">
        <f t="shared" si="20"/>
        <v>6118302.2329312004</v>
      </c>
      <c r="AA32" s="71"/>
      <c r="AB32" s="10">
        <f t="shared" si="4"/>
        <v>0</v>
      </c>
      <c r="AC32" s="10">
        <f t="shared" si="21"/>
        <v>0</v>
      </c>
      <c r="AD32" s="71"/>
      <c r="AE32" s="10">
        <f t="shared" si="5"/>
        <v>0</v>
      </c>
      <c r="AF32" s="10">
        <f t="shared" si="22"/>
        <v>0</v>
      </c>
      <c r="AG32" s="71"/>
      <c r="AH32" s="10">
        <f t="shared" si="6"/>
        <v>312000000</v>
      </c>
      <c r="AI32" s="10">
        <f t="shared" si="23"/>
        <v>183267117.57628021</v>
      </c>
      <c r="AJ32" s="71"/>
      <c r="AK32" s="10">
        <f t="shared" si="7"/>
        <v>0</v>
      </c>
      <c r="AL32" s="10">
        <f t="shared" si="24"/>
        <v>0</v>
      </c>
      <c r="AM32" s="71"/>
      <c r="AN32" s="10">
        <f t="shared" si="8"/>
        <v>0</v>
      </c>
      <c r="AO32" s="10">
        <f t="shared" si="25"/>
        <v>0</v>
      </c>
      <c r="AP32" s="71"/>
      <c r="AQ32" s="10">
        <f t="shared" si="9"/>
        <v>0</v>
      </c>
      <c r="AR32" s="10">
        <f t="shared" si="26"/>
        <v>0</v>
      </c>
      <c r="AS32" s="71"/>
      <c r="AT32" s="7">
        <f>IF($K32&lt;=$F$15,IF($F$40&lt;&gt;"",$F$40/1000,IF(ISERROR(VLOOKUP($F$3&amp;IF($G$4&lt;&gt;"",$G$4,"")&amp;IF($F$43&lt;&gt;"","_"&amp;$F$43,""),'表3）燃料価格'!$AF$9:$AG$25,2,0)),0,VLOOKUP($I32,'表3）燃料価格'!$A$6:$U$66,VLOOKUP($F$3&amp;IF($G$4&lt;&gt;"",$G$4,"")&amp;IF($F$43&lt;&gt;"","_"&amp;$F$43,""),'表3）燃料価格'!$AF$9:$AG$25,2,0)+VLOOKUP($F$41,'表3）燃料価格'!$AF$28:$AG$29,2,0),0)*IF($F$43="需要地価格",1,$F$8/$F$141))),"")</f>
        <v>0</v>
      </c>
      <c r="AU32" s="71"/>
      <c r="AV32" s="10">
        <f t="shared" si="10"/>
        <v>0</v>
      </c>
      <c r="AW32" s="10">
        <f t="shared" si="27"/>
        <v>0</v>
      </c>
      <c r="AX32" s="71"/>
      <c r="AY32" s="7">
        <f>IF(ISERROR(IF($K32&lt;=$F$15,VLOOKUP($I32,'表4）CO2価格'!$A$7:$E$67,VLOOKUP($F$48,'表4）CO2価格'!$H$10:$I$12,2,0),0)*$F$8/1000,"")),0,IF($K32&lt;=$F$15,VLOOKUP($I32,'表4）CO2価格'!$A$7:$E$67,VLOOKUP($F$48,'表4）CO2価格'!$H$10:$I$12,2,0),0)*$F$8/1000,""))</f>
        <v>0</v>
      </c>
      <c r="AZ32" s="71"/>
      <c r="BA32" s="11">
        <f t="shared" si="11"/>
        <v>0</v>
      </c>
      <c r="BB32" s="10">
        <f t="shared" si="28"/>
        <v>0</v>
      </c>
      <c r="BC32" s="71"/>
      <c r="BD32" s="10">
        <f t="shared" si="12"/>
        <v>0</v>
      </c>
      <c r="BE32" s="10">
        <f t="shared" si="29"/>
        <v>0</v>
      </c>
      <c r="BF32" s="71"/>
      <c r="BG32" s="11">
        <f t="shared" si="13"/>
        <v>0</v>
      </c>
      <c r="BH32" s="10">
        <f t="shared" si="30"/>
        <v>0</v>
      </c>
      <c r="BJ32" s="7">
        <f t="shared" si="31"/>
        <v>0.29586391632159825</v>
      </c>
      <c r="BK32" s="158">
        <f t="shared" si="32"/>
        <v>95391260.444744423</v>
      </c>
      <c r="BL32" s="158">
        <f t="shared" si="14"/>
        <v>19749271.451166268</v>
      </c>
      <c r="BM32" s="10"/>
      <c r="BN32" s="10">
        <f t="shared" si="33"/>
        <v>1071894589.0487453</v>
      </c>
      <c r="BO32" s="10">
        <f t="shared" si="34"/>
        <v>629625101.5403043</v>
      </c>
      <c r="BQ32" s="10">
        <f t="shared" si="15"/>
        <v>66751200</v>
      </c>
      <c r="BR32" s="10">
        <f t="shared" si="35"/>
        <v>39209294.931916013</v>
      </c>
    </row>
    <row r="33" spans="3:70" x14ac:dyDescent="0.15">
      <c r="D33" s="82" t="s">
        <v>232</v>
      </c>
      <c r="F33" s="148">
        <v>1.04</v>
      </c>
      <c r="G33" s="81" t="s">
        <v>243</v>
      </c>
      <c r="I33" s="458">
        <f t="shared" si="36"/>
        <v>2048</v>
      </c>
      <c r="J33" s="39"/>
      <c r="K33" s="39">
        <f t="shared" si="37"/>
        <v>19</v>
      </c>
      <c r="L33" s="39"/>
      <c r="M33" s="40">
        <f t="shared" si="0"/>
        <v>0.57028602681192497</v>
      </c>
      <c r="N33" s="39"/>
      <c r="O33" s="72">
        <f t="shared" si="16"/>
        <v>0</v>
      </c>
      <c r="P33" s="41" t="str">
        <f t="shared" si="1"/>
        <v>-</v>
      </c>
      <c r="Q33" s="39"/>
      <c r="R33" s="72">
        <f t="shared" si="17"/>
        <v>649754664.81283557</v>
      </c>
      <c r="S33" s="39"/>
      <c r="T33" s="72">
        <f t="shared" si="18"/>
        <v>649754000</v>
      </c>
      <c r="U33" s="39"/>
      <c r="V33" s="72">
        <f t="shared" si="2"/>
        <v>0</v>
      </c>
      <c r="W33" s="72">
        <f t="shared" si="19"/>
        <v>0</v>
      </c>
      <c r="X33" s="39"/>
      <c r="Y33" s="72">
        <f t="shared" si="3"/>
        <v>9096500</v>
      </c>
      <c r="Z33" s="72">
        <f t="shared" si="20"/>
        <v>5187606.8428946752</v>
      </c>
      <c r="AA33" s="39"/>
      <c r="AB33" s="72">
        <f t="shared" si="4"/>
        <v>0</v>
      </c>
      <c r="AC33" s="72">
        <f t="shared" si="21"/>
        <v>0</v>
      </c>
      <c r="AD33" s="39"/>
      <c r="AE33" s="72">
        <f t="shared" si="5"/>
        <v>0</v>
      </c>
      <c r="AF33" s="72">
        <f t="shared" si="22"/>
        <v>0</v>
      </c>
      <c r="AG33" s="39"/>
      <c r="AH33" s="72">
        <f t="shared" si="6"/>
        <v>312000000</v>
      </c>
      <c r="AI33" s="72">
        <f t="shared" si="23"/>
        <v>177929240.36532059</v>
      </c>
      <c r="AJ33" s="39"/>
      <c r="AK33" s="72">
        <f t="shared" si="7"/>
        <v>0</v>
      </c>
      <c r="AL33" s="72">
        <f t="shared" si="24"/>
        <v>0</v>
      </c>
      <c r="AM33" s="39"/>
      <c r="AN33" s="72">
        <f t="shared" si="8"/>
        <v>0</v>
      </c>
      <c r="AO33" s="72">
        <f t="shared" si="25"/>
        <v>0</v>
      </c>
      <c r="AP33" s="39"/>
      <c r="AQ33" s="72">
        <f t="shared" si="9"/>
        <v>0</v>
      </c>
      <c r="AR33" s="72">
        <f t="shared" si="26"/>
        <v>0</v>
      </c>
      <c r="AS33" s="39"/>
      <c r="AT33" s="40">
        <f>IF($K33&lt;=$F$15,IF($F$40&lt;&gt;"",$F$40/1000,IF(ISERROR(VLOOKUP($F$3&amp;IF($G$4&lt;&gt;"",$G$4,"")&amp;IF($F$43&lt;&gt;"","_"&amp;$F$43,""),'表3）燃料価格'!$AF$9:$AG$25,2,0)),0,VLOOKUP($I33,'表3）燃料価格'!$A$6:$U$66,VLOOKUP($F$3&amp;IF($G$4&lt;&gt;"",$G$4,"")&amp;IF($F$43&lt;&gt;"","_"&amp;$F$43,""),'表3）燃料価格'!$AF$9:$AG$25,2,0)+VLOOKUP($F$41,'表3）燃料価格'!$AF$28:$AG$29,2,0),0)*IF($F$43="需要地価格",1,$F$8/$F$141))),"")</f>
        <v>0</v>
      </c>
      <c r="AU33" s="39"/>
      <c r="AV33" s="72">
        <f t="shared" si="10"/>
        <v>0</v>
      </c>
      <c r="AW33" s="72">
        <f t="shared" si="27"/>
        <v>0</v>
      </c>
      <c r="AX33" s="39"/>
      <c r="AY33" s="40">
        <f>IF(ISERROR(IF($K33&lt;=$F$15,VLOOKUP($I33,'表4）CO2価格'!$A$7:$E$67,VLOOKUP($F$48,'表4）CO2価格'!$H$10:$I$12,2,0),0)*$F$8/1000,"")),0,IF($K33&lt;=$F$15,VLOOKUP($I33,'表4）CO2価格'!$A$7:$E$67,VLOOKUP($F$48,'表4）CO2価格'!$H$10:$I$12,2,0),0)*$F$8/1000,""))</f>
        <v>0</v>
      </c>
      <c r="AZ33" s="39"/>
      <c r="BA33" s="42">
        <f t="shared" si="11"/>
        <v>0</v>
      </c>
      <c r="BB33" s="72">
        <f t="shared" si="28"/>
        <v>0</v>
      </c>
      <c r="BC33" s="39"/>
      <c r="BD33" s="72">
        <f t="shared" si="12"/>
        <v>0</v>
      </c>
      <c r="BE33" s="72">
        <f t="shared" si="29"/>
        <v>0</v>
      </c>
      <c r="BF33" s="39"/>
      <c r="BG33" s="42">
        <f t="shared" si="13"/>
        <v>0</v>
      </c>
      <c r="BH33" s="72">
        <f t="shared" si="30"/>
        <v>0</v>
      </c>
      <c r="BI33" s="39"/>
      <c r="BJ33" s="40">
        <f t="shared" si="31"/>
        <v>0.27650833301083949</v>
      </c>
      <c r="BK33" s="157">
        <f t="shared" si="32"/>
        <v>88785857.950615019</v>
      </c>
      <c r="BL33" s="157">
        <f t="shared" si="14"/>
        <v>18457263.038473148</v>
      </c>
      <c r="BM33" s="72"/>
      <c r="BN33" s="72">
        <f t="shared" si="33"/>
        <v>1071894589.0487453</v>
      </c>
      <c r="BO33" s="72">
        <f t="shared" si="34"/>
        <v>611286506.34981</v>
      </c>
      <c r="BP33" s="39"/>
      <c r="BQ33" s="72">
        <f t="shared" si="15"/>
        <v>66751200</v>
      </c>
      <c r="BR33" s="72">
        <f t="shared" si="35"/>
        <v>38067276.632928163</v>
      </c>
    </row>
    <row r="34" spans="3:70" x14ac:dyDescent="0.15">
      <c r="D34" s="82"/>
      <c r="F34" s="66"/>
      <c r="I34" s="459">
        <f t="shared" si="36"/>
        <v>2049</v>
      </c>
      <c r="J34" s="71"/>
      <c r="K34" s="71">
        <f t="shared" si="37"/>
        <v>20</v>
      </c>
      <c r="L34" s="71"/>
      <c r="M34" s="7">
        <f t="shared" si="0"/>
        <v>0.55367575418633497</v>
      </c>
      <c r="N34" s="71"/>
      <c r="O34" s="10">
        <f t="shared" si="16"/>
        <v>0</v>
      </c>
      <c r="P34" s="29" t="str">
        <f t="shared" si="1"/>
        <v>-</v>
      </c>
      <c r="Q34" s="71"/>
      <c r="R34" s="10">
        <f t="shared" si="17"/>
        <v>567447747.91134441</v>
      </c>
      <c r="S34" s="71"/>
      <c r="T34" s="10">
        <f t="shared" si="18"/>
        <v>567447000</v>
      </c>
      <c r="U34" s="71"/>
      <c r="V34" s="10">
        <f t="shared" si="2"/>
        <v>0</v>
      </c>
      <c r="W34" s="10">
        <f t="shared" si="19"/>
        <v>0</v>
      </c>
      <c r="X34" s="71"/>
      <c r="Y34" s="10">
        <f t="shared" si="3"/>
        <v>7944200</v>
      </c>
      <c r="Z34" s="10">
        <f t="shared" si="20"/>
        <v>4398510.926407082</v>
      </c>
      <c r="AA34" s="71"/>
      <c r="AB34" s="10">
        <f t="shared" si="4"/>
        <v>0</v>
      </c>
      <c r="AC34" s="10">
        <f t="shared" si="21"/>
        <v>0</v>
      </c>
      <c r="AD34" s="71"/>
      <c r="AE34" s="10">
        <f t="shared" si="5"/>
        <v>0</v>
      </c>
      <c r="AF34" s="10">
        <f t="shared" si="22"/>
        <v>0</v>
      </c>
      <c r="AG34" s="71"/>
      <c r="AH34" s="10">
        <f t="shared" si="6"/>
        <v>312000000</v>
      </c>
      <c r="AI34" s="10">
        <f t="shared" si="23"/>
        <v>172746835.30613652</v>
      </c>
      <c r="AJ34" s="71"/>
      <c r="AK34" s="10">
        <f t="shared" si="7"/>
        <v>0</v>
      </c>
      <c r="AL34" s="10">
        <f t="shared" si="24"/>
        <v>0</v>
      </c>
      <c r="AM34" s="71"/>
      <c r="AN34" s="10">
        <f t="shared" si="8"/>
        <v>0</v>
      </c>
      <c r="AO34" s="10">
        <f t="shared" si="25"/>
        <v>0</v>
      </c>
      <c r="AP34" s="71"/>
      <c r="AQ34" s="10">
        <f t="shared" si="9"/>
        <v>0</v>
      </c>
      <c r="AR34" s="10">
        <f t="shared" si="26"/>
        <v>0</v>
      </c>
      <c r="AS34" s="71"/>
      <c r="AT34" s="7">
        <f>IF($K34&lt;=$F$15,IF($F$40&lt;&gt;"",$F$40/1000,IF(ISERROR(VLOOKUP($F$3&amp;IF($G$4&lt;&gt;"",$G$4,"")&amp;IF($F$43&lt;&gt;"","_"&amp;$F$43,""),'表3）燃料価格'!$AF$9:$AG$25,2,0)),0,VLOOKUP($I34,'表3）燃料価格'!$A$6:$U$66,VLOOKUP($F$3&amp;IF($G$4&lt;&gt;"",$G$4,"")&amp;IF($F$43&lt;&gt;"","_"&amp;$F$43,""),'表3）燃料価格'!$AF$9:$AG$25,2,0)+VLOOKUP($F$41,'表3）燃料価格'!$AF$28:$AG$29,2,0),0)*IF($F$43="需要地価格",1,$F$8/$F$141))),"")</f>
        <v>0</v>
      </c>
      <c r="AU34" s="71"/>
      <c r="AV34" s="10">
        <f t="shared" si="10"/>
        <v>0</v>
      </c>
      <c r="AW34" s="10">
        <f t="shared" si="27"/>
        <v>0</v>
      </c>
      <c r="AX34" s="71"/>
      <c r="AY34" s="7">
        <f>IF(ISERROR(IF($K34&lt;=$F$15,VLOOKUP($I34,'表4）CO2価格'!$A$7:$E$67,VLOOKUP($F$48,'表4）CO2価格'!$H$10:$I$12,2,0),0)*$F$8/1000,"")),0,IF($K34&lt;=$F$15,VLOOKUP($I34,'表4）CO2価格'!$A$7:$E$67,VLOOKUP($F$48,'表4）CO2価格'!$H$10:$I$12,2,0),0)*$F$8/1000,""))</f>
        <v>0</v>
      </c>
      <c r="AZ34" s="71"/>
      <c r="BA34" s="11">
        <f t="shared" si="11"/>
        <v>0</v>
      </c>
      <c r="BB34" s="10">
        <f t="shared" si="28"/>
        <v>0</v>
      </c>
      <c r="BC34" s="71"/>
      <c r="BD34" s="10">
        <f t="shared" si="12"/>
        <v>0</v>
      </c>
      <c r="BE34" s="10">
        <f t="shared" si="29"/>
        <v>0</v>
      </c>
      <c r="BF34" s="71"/>
      <c r="BG34" s="11">
        <f t="shared" si="13"/>
        <v>0</v>
      </c>
      <c r="BH34" s="10">
        <f t="shared" si="30"/>
        <v>0</v>
      </c>
      <c r="BJ34" s="7">
        <f t="shared" si="31"/>
        <v>0.2584190028138687</v>
      </c>
      <c r="BK34" s="158">
        <f t="shared" si="32"/>
        <v>82679661.120080978</v>
      </c>
      <c r="BL34" s="158">
        <f t="shared" si="14"/>
        <v>17249778.540629111</v>
      </c>
      <c r="BM34" s="10"/>
      <c r="BN34" s="10">
        <f t="shared" si="33"/>
        <v>1071894589.0487453</v>
      </c>
      <c r="BO34" s="10">
        <f t="shared" si="34"/>
        <v>593482044.99981558</v>
      </c>
      <c r="BQ34" s="10">
        <f t="shared" si="15"/>
        <v>66751200</v>
      </c>
      <c r="BR34" s="10">
        <f t="shared" si="35"/>
        <v>36958521.002842881</v>
      </c>
    </row>
    <row r="35" spans="3:70" x14ac:dyDescent="0.15">
      <c r="D35" s="82"/>
      <c r="F35" s="66"/>
      <c r="I35" s="458">
        <f t="shared" si="36"/>
        <v>2050</v>
      </c>
      <c r="J35" s="39"/>
      <c r="K35" s="39">
        <f t="shared" si="37"/>
        <v>21</v>
      </c>
      <c r="L35" s="39"/>
      <c r="M35" s="40">
        <f t="shared" si="0"/>
        <v>0.5375492759090631</v>
      </c>
      <c r="N35" s="39"/>
      <c r="O35" s="72">
        <f t="shared" si="16"/>
        <v>0</v>
      </c>
      <c r="P35" s="41" t="str">
        <f t="shared" si="1"/>
        <v>-</v>
      </c>
      <c r="Q35" s="39"/>
      <c r="R35" s="72">
        <f t="shared" si="17"/>
        <v>495566964.03620154</v>
      </c>
      <c r="S35" s="39"/>
      <c r="T35" s="72">
        <f t="shared" si="18"/>
        <v>495566000</v>
      </c>
      <c r="U35" s="39"/>
      <c r="V35" s="72">
        <f t="shared" si="2"/>
        <v>0</v>
      </c>
      <c r="W35" s="72">
        <f t="shared" si="19"/>
        <v>0</v>
      </c>
      <c r="X35" s="39"/>
      <c r="Y35" s="72">
        <f t="shared" si="3"/>
        <v>6937900</v>
      </c>
      <c r="Z35" s="72">
        <f t="shared" si="20"/>
        <v>3729463.1213294887</v>
      </c>
      <c r="AA35" s="39"/>
      <c r="AB35" s="72">
        <f t="shared" si="4"/>
        <v>0</v>
      </c>
      <c r="AC35" s="72">
        <f t="shared" si="21"/>
        <v>0</v>
      </c>
      <c r="AD35" s="39"/>
      <c r="AE35" s="72">
        <f t="shared" si="5"/>
        <v>0</v>
      </c>
      <c r="AF35" s="72">
        <f t="shared" si="22"/>
        <v>0</v>
      </c>
      <c r="AG35" s="39"/>
      <c r="AH35" s="72">
        <f t="shared" si="6"/>
        <v>312000000</v>
      </c>
      <c r="AI35" s="72">
        <f t="shared" si="23"/>
        <v>167715374.08362767</v>
      </c>
      <c r="AJ35" s="39"/>
      <c r="AK35" s="72">
        <f t="shared" si="7"/>
        <v>0</v>
      </c>
      <c r="AL35" s="72">
        <f t="shared" si="24"/>
        <v>0</v>
      </c>
      <c r="AM35" s="39"/>
      <c r="AN35" s="72">
        <f t="shared" si="8"/>
        <v>0</v>
      </c>
      <c r="AO35" s="72">
        <f t="shared" si="25"/>
        <v>0</v>
      </c>
      <c r="AP35" s="39"/>
      <c r="AQ35" s="72">
        <f t="shared" si="9"/>
        <v>0</v>
      </c>
      <c r="AR35" s="72">
        <f t="shared" si="26"/>
        <v>0</v>
      </c>
      <c r="AS35" s="39"/>
      <c r="AT35" s="40">
        <f>IF($K35&lt;=$F$15,IF($F$40&lt;&gt;"",$F$40/1000,IF(ISERROR(VLOOKUP($F$3&amp;IF($G$4&lt;&gt;"",$G$4,"")&amp;IF($F$43&lt;&gt;"","_"&amp;$F$43,""),'表3）燃料価格'!$AF$9:$AG$25,2,0)),0,VLOOKUP($I35,'表3）燃料価格'!$A$6:$U$66,VLOOKUP($F$3&amp;IF($G$4&lt;&gt;"",$G$4,"")&amp;IF($F$43&lt;&gt;"","_"&amp;$F$43,""),'表3）燃料価格'!$AF$9:$AG$25,2,0)+VLOOKUP($F$41,'表3）燃料価格'!$AF$28:$AG$29,2,0),0)*IF($F$43="需要地価格",1,$F$8/$F$141))),"")</f>
        <v>0</v>
      </c>
      <c r="AU35" s="39"/>
      <c r="AV35" s="72">
        <f t="shared" si="10"/>
        <v>0</v>
      </c>
      <c r="AW35" s="72">
        <f t="shared" si="27"/>
        <v>0</v>
      </c>
      <c r="AX35" s="39"/>
      <c r="AY35" s="40">
        <f>IF(ISERROR(IF($K35&lt;=$F$15,VLOOKUP($I35,'表4）CO2価格'!$A$7:$E$67,VLOOKUP($F$48,'表4）CO2価格'!$H$10:$I$12,2,0),0)*$F$8/1000,"")),0,IF($K35&lt;=$F$15,VLOOKUP($I35,'表4）CO2価格'!$A$7:$E$67,VLOOKUP($F$48,'表4）CO2価格'!$H$10:$I$12,2,0),0)*$F$8/1000,""))</f>
        <v>0</v>
      </c>
      <c r="AZ35" s="39"/>
      <c r="BA35" s="42">
        <f t="shared" si="11"/>
        <v>0</v>
      </c>
      <c r="BB35" s="72">
        <f t="shared" si="28"/>
        <v>0</v>
      </c>
      <c r="BC35" s="39"/>
      <c r="BD35" s="72">
        <f t="shared" si="12"/>
        <v>0</v>
      </c>
      <c r="BE35" s="72">
        <f t="shared" si="29"/>
        <v>0</v>
      </c>
      <c r="BF35" s="39"/>
      <c r="BG35" s="42">
        <f t="shared" si="13"/>
        <v>0</v>
      </c>
      <c r="BH35" s="72">
        <f t="shared" si="30"/>
        <v>0</v>
      </c>
      <c r="BI35" s="39"/>
      <c r="BJ35" s="40">
        <f t="shared" si="31"/>
        <v>0.24151308674193336</v>
      </c>
      <c r="BK35" s="157">
        <f t="shared" si="32"/>
        <v>89842868.267999217</v>
      </c>
      <c r="BL35" s="157" t="str">
        <f t="shared" si="14"/>
        <v/>
      </c>
      <c r="BM35" s="72"/>
      <c r="BN35" s="72" t="str">
        <f t="shared" si="33"/>
        <v/>
      </c>
      <c r="BO35" s="72" t="str">
        <f t="shared" si="34"/>
        <v/>
      </c>
      <c r="BP35" s="39"/>
      <c r="BQ35" s="72">
        <f t="shared" si="15"/>
        <v>66751200</v>
      </c>
      <c r="BR35" s="72">
        <f t="shared" si="35"/>
        <v>35882059.226061054</v>
      </c>
    </row>
    <row r="36" spans="3:70" x14ac:dyDescent="0.15">
      <c r="D36" s="82"/>
      <c r="F36" s="68"/>
      <c r="I36" s="459">
        <f t="shared" si="36"/>
        <v>2051</v>
      </c>
      <c r="J36" s="71"/>
      <c r="K36" s="71">
        <f t="shared" si="37"/>
        <v>22</v>
      </c>
      <c r="L36" s="71"/>
      <c r="M36" s="7">
        <f t="shared" si="0"/>
        <v>0.52189250088258554</v>
      </c>
      <c r="N36" s="71"/>
      <c r="O36" s="10">
        <f t="shared" si="16"/>
        <v>0</v>
      </c>
      <c r="P36" s="29" t="str">
        <f t="shared" si="1"/>
        <v>-</v>
      </c>
      <c r="Q36" s="71"/>
      <c r="R36" s="10">
        <f t="shared" si="17"/>
        <v>432791594.90545243</v>
      </c>
      <c r="S36" s="71"/>
      <c r="T36" s="10">
        <f t="shared" si="18"/>
        <v>432791000</v>
      </c>
      <c r="U36" s="71"/>
      <c r="V36" s="10">
        <f t="shared" si="2"/>
        <v>0</v>
      </c>
      <c r="W36" s="10">
        <f t="shared" si="19"/>
        <v>0</v>
      </c>
      <c r="X36" s="71"/>
      <c r="Y36" s="10">
        <f t="shared" si="3"/>
        <v>6059000</v>
      </c>
      <c r="Z36" s="10">
        <f t="shared" si="20"/>
        <v>3162146.662847586</v>
      </c>
      <c r="AA36" s="71"/>
      <c r="AB36" s="10">
        <f t="shared" si="4"/>
        <v>0</v>
      </c>
      <c r="AC36" s="10">
        <f t="shared" si="21"/>
        <v>0</v>
      </c>
      <c r="AD36" s="71"/>
      <c r="AE36" s="10">
        <f t="shared" si="5"/>
        <v>0</v>
      </c>
      <c r="AF36" s="10">
        <f t="shared" si="22"/>
        <v>0</v>
      </c>
      <c r="AG36" s="71"/>
      <c r="AH36" s="10">
        <f t="shared" si="6"/>
        <v>312000000</v>
      </c>
      <c r="AI36" s="10">
        <f t="shared" si="23"/>
        <v>162830460.27536669</v>
      </c>
      <c r="AJ36" s="71"/>
      <c r="AK36" s="10">
        <f t="shared" si="7"/>
        <v>0</v>
      </c>
      <c r="AL36" s="10">
        <f t="shared" si="24"/>
        <v>0</v>
      </c>
      <c r="AM36" s="71"/>
      <c r="AN36" s="10">
        <f t="shared" si="8"/>
        <v>0</v>
      </c>
      <c r="AO36" s="10">
        <f t="shared" si="25"/>
        <v>0</v>
      </c>
      <c r="AP36" s="71"/>
      <c r="AQ36" s="10">
        <f t="shared" si="9"/>
        <v>0</v>
      </c>
      <c r="AR36" s="10">
        <f t="shared" si="26"/>
        <v>0</v>
      </c>
      <c r="AS36" s="71"/>
      <c r="AT36" s="7">
        <f>IF($K36&lt;=$F$15,IF($F$40&lt;&gt;"",$F$40/1000,IF(ISERROR(VLOOKUP($F$3&amp;IF($G$4&lt;&gt;"",$G$4,"")&amp;IF($F$43&lt;&gt;"","_"&amp;$F$43,""),'表3）燃料価格'!$AF$9:$AG$25,2,0)),0,VLOOKUP($I36,'表3）燃料価格'!$A$6:$U$66,VLOOKUP($F$3&amp;IF($G$4&lt;&gt;"",$G$4,"")&amp;IF($F$43&lt;&gt;"","_"&amp;$F$43,""),'表3）燃料価格'!$AF$9:$AG$25,2,0)+VLOOKUP($F$41,'表3）燃料価格'!$AF$28:$AG$29,2,0),0)*IF($F$43="需要地価格",1,$F$8/$F$141))),"")</f>
        <v>0</v>
      </c>
      <c r="AU36" s="71"/>
      <c r="AV36" s="10">
        <f t="shared" si="10"/>
        <v>0</v>
      </c>
      <c r="AW36" s="10">
        <f t="shared" si="27"/>
        <v>0</v>
      </c>
      <c r="AX36" s="71"/>
      <c r="AY36" s="7">
        <f>IF(ISERROR(IF($K36&lt;=$F$15,VLOOKUP($I36,'表4）CO2価格'!$A$7:$E$67,VLOOKUP($F$48,'表4）CO2価格'!$H$10:$I$12,2,0),0)*$F$8/1000,"")),0,IF($K36&lt;=$F$15,VLOOKUP($I36,'表4）CO2価格'!$A$7:$E$67,VLOOKUP($F$48,'表4）CO2価格'!$H$10:$I$12,2,0),0)*$F$8/1000,""))</f>
        <v>0</v>
      </c>
      <c r="AZ36" s="71"/>
      <c r="BA36" s="11">
        <f t="shared" si="11"/>
        <v>0</v>
      </c>
      <c r="BB36" s="10">
        <f t="shared" si="28"/>
        <v>0</v>
      </c>
      <c r="BC36" s="71"/>
      <c r="BD36" s="10">
        <f t="shared" si="12"/>
        <v>0</v>
      </c>
      <c r="BE36" s="10">
        <f t="shared" si="29"/>
        <v>0</v>
      </c>
      <c r="BF36" s="71"/>
      <c r="BG36" s="11">
        <f t="shared" si="13"/>
        <v>0</v>
      </c>
      <c r="BH36" s="10">
        <f t="shared" si="30"/>
        <v>0</v>
      </c>
      <c r="BJ36" s="7" t="str">
        <f t="shared" si="31"/>
        <v/>
      </c>
      <c r="BK36" s="158" t="str">
        <f t="shared" si="32"/>
        <v/>
      </c>
      <c r="BL36" s="158" t="str">
        <f t="shared" si="14"/>
        <v/>
      </c>
      <c r="BM36" s="10"/>
      <c r="BN36" s="10" t="str">
        <f t="shared" si="33"/>
        <v/>
      </c>
      <c r="BO36" s="10" t="str">
        <f t="shared" si="34"/>
        <v/>
      </c>
      <c r="BQ36" s="10">
        <f t="shared" si="15"/>
        <v>66751200</v>
      </c>
      <c r="BR36" s="10">
        <f t="shared" si="35"/>
        <v>34836950.704913646</v>
      </c>
    </row>
    <row r="37" spans="3:70" x14ac:dyDescent="0.15">
      <c r="I37" s="458">
        <f t="shared" si="36"/>
        <v>2052</v>
      </c>
      <c r="J37" s="39"/>
      <c r="K37" s="39">
        <f t="shared" si="37"/>
        <v>23</v>
      </c>
      <c r="L37" s="39"/>
      <c r="M37" s="40">
        <f t="shared" si="0"/>
        <v>0.50669174842969467</v>
      </c>
      <c r="N37" s="39"/>
      <c r="O37" s="72">
        <f t="shared" si="16"/>
        <v>0</v>
      </c>
      <c r="P37" s="41" t="str">
        <f t="shared" si="1"/>
        <v>-</v>
      </c>
      <c r="Q37" s="39"/>
      <c r="R37" s="72">
        <f t="shared" si="17"/>
        <v>377968222.6903289</v>
      </c>
      <c r="S37" s="39"/>
      <c r="T37" s="72">
        <f t="shared" si="18"/>
        <v>377968000</v>
      </c>
      <c r="U37" s="39"/>
      <c r="V37" s="72">
        <f t="shared" si="2"/>
        <v>0</v>
      </c>
      <c r="W37" s="72">
        <f t="shared" si="19"/>
        <v>0</v>
      </c>
      <c r="X37" s="39"/>
      <c r="Y37" s="72">
        <f t="shared" si="3"/>
        <v>5291500</v>
      </c>
      <c r="Z37" s="72">
        <f t="shared" si="20"/>
        <v>2681159.3868157296</v>
      </c>
      <c r="AA37" s="39"/>
      <c r="AB37" s="72">
        <f t="shared" si="4"/>
        <v>0</v>
      </c>
      <c r="AC37" s="72">
        <f t="shared" si="21"/>
        <v>0</v>
      </c>
      <c r="AD37" s="39"/>
      <c r="AE37" s="72">
        <f t="shared" si="5"/>
        <v>0</v>
      </c>
      <c r="AF37" s="72">
        <f t="shared" si="22"/>
        <v>0</v>
      </c>
      <c r="AG37" s="39"/>
      <c r="AH37" s="72">
        <f t="shared" si="6"/>
        <v>312000000</v>
      </c>
      <c r="AI37" s="72">
        <f t="shared" si="23"/>
        <v>158087825.51006472</v>
      </c>
      <c r="AJ37" s="39"/>
      <c r="AK37" s="72">
        <f t="shared" si="7"/>
        <v>0</v>
      </c>
      <c r="AL37" s="72">
        <f t="shared" si="24"/>
        <v>0</v>
      </c>
      <c r="AM37" s="39"/>
      <c r="AN37" s="72">
        <f t="shared" si="8"/>
        <v>0</v>
      </c>
      <c r="AO37" s="72">
        <f t="shared" si="25"/>
        <v>0</v>
      </c>
      <c r="AP37" s="39"/>
      <c r="AQ37" s="72">
        <f t="shared" si="9"/>
        <v>0</v>
      </c>
      <c r="AR37" s="72">
        <f t="shared" si="26"/>
        <v>0</v>
      </c>
      <c r="AS37" s="39"/>
      <c r="AT37" s="40">
        <f>IF($K37&lt;=$F$15,IF($F$40&lt;&gt;"",$F$40/1000,IF(ISERROR(VLOOKUP($F$3&amp;IF($G$4&lt;&gt;"",$G$4,"")&amp;IF($F$43&lt;&gt;"","_"&amp;$F$43,""),'表3）燃料価格'!$AF$9:$AG$25,2,0)),0,VLOOKUP($I37,'表3）燃料価格'!$A$6:$U$66,VLOOKUP($F$3&amp;IF($G$4&lt;&gt;"",$G$4,"")&amp;IF($F$43&lt;&gt;"","_"&amp;$F$43,""),'表3）燃料価格'!$AF$9:$AG$25,2,0)+VLOOKUP($F$41,'表3）燃料価格'!$AF$28:$AG$29,2,0),0)*IF($F$43="需要地価格",1,$F$8/$F$141))),"")</f>
        <v>0</v>
      </c>
      <c r="AU37" s="39"/>
      <c r="AV37" s="72">
        <f t="shared" si="10"/>
        <v>0</v>
      </c>
      <c r="AW37" s="72">
        <f t="shared" si="27"/>
        <v>0</v>
      </c>
      <c r="AX37" s="39"/>
      <c r="AY37" s="40">
        <f>IF(ISERROR(IF($K37&lt;=$F$15,VLOOKUP($I37,'表4）CO2価格'!$A$7:$E$67,VLOOKUP($F$48,'表4）CO2価格'!$H$10:$I$12,2,0),0)*$F$8/1000,"")),0,IF($K37&lt;=$F$15,VLOOKUP($I37,'表4）CO2価格'!$A$7:$E$67,VLOOKUP($F$48,'表4）CO2価格'!$H$10:$I$12,2,0),0)*$F$8/1000,""))</f>
        <v>0</v>
      </c>
      <c r="AZ37" s="39"/>
      <c r="BA37" s="42">
        <f t="shared" si="11"/>
        <v>0</v>
      </c>
      <c r="BB37" s="72">
        <f t="shared" si="28"/>
        <v>0</v>
      </c>
      <c r="BC37" s="39"/>
      <c r="BD37" s="72">
        <f t="shared" si="12"/>
        <v>0</v>
      </c>
      <c r="BE37" s="72">
        <f t="shared" si="29"/>
        <v>0</v>
      </c>
      <c r="BF37" s="39"/>
      <c r="BG37" s="42">
        <f t="shared" si="13"/>
        <v>0</v>
      </c>
      <c r="BH37" s="72">
        <f t="shared" si="30"/>
        <v>0</v>
      </c>
      <c r="BI37" s="39"/>
      <c r="BJ37" s="40" t="str">
        <f t="shared" si="31"/>
        <v/>
      </c>
      <c r="BK37" s="157" t="str">
        <f t="shared" si="32"/>
        <v/>
      </c>
      <c r="BL37" s="157" t="str">
        <f t="shared" si="14"/>
        <v/>
      </c>
      <c r="BM37" s="72"/>
      <c r="BN37" s="72" t="str">
        <f t="shared" si="33"/>
        <v/>
      </c>
      <c r="BO37" s="72" t="str">
        <f t="shared" si="34"/>
        <v/>
      </c>
      <c r="BP37" s="39"/>
      <c r="BQ37" s="72">
        <f t="shared" si="15"/>
        <v>66751200</v>
      </c>
      <c r="BR37" s="72">
        <f t="shared" si="35"/>
        <v>33822282.237780236</v>
      </c>
    </row>
    <row r="38" spans="3:70" x14ac:dyDescent="0.15">
      <c r="C38" s="89" t="s">
        <v>508</v>
      </c>
      <c r="D38" s="101"/>
      <c r="E38" s="101"/>
      <c r="F38" s="89"/>
      <c r="G38" s="101"/>
      <c r="I38" s="459">
        <f t="shared" si="36"/>
        <v>2053</v>
      </c>
      <c r="J38" s="71"/>
      <c r="K38" s="71">
        <f t="shared" si="37"/>
        <v>24</v>
      </c>
      <c r="L38" s="71"/>
      <c r="M38" s="7">
        <f t="shared" si="0"/>
        <v>0.49193373633950943</v>
      </c>
      <c r="N38" s="71"/>
      <c r="O38" s="10">
        <f t="shared" si="16"/>
        <v>0</v>
      </c>
      <c r="P38" s="29" t="str">
        <f t="shared" si="1"/>
        <v>-</v>
      </c>
      <c r="Q38" s="71"/>
      <c r="R38" s="10">
        <f t="shared" si="17"/>
        <v>372000000</v>
      </c>
      <c r="S38" s="71"/>
      <c r="T38" s="10">
        <f t="shared" si="18"/>
        <v>372000000</v>
      </c>
      <c r="U38" s="71"/>
      <c r="V38" s="10">
        <f t="shared" si="2"/>
        <v>0</v>
      </c>
      <c r="W38" s="10">
        <f t="shared" si="19"/>
        <v>0</v>
      </c>
      <c r="X38" s="71"/>
      <c r="Y38" s="10">
        <f t="shared" si="3"/>
        <v>5208000</v>
      </c>
      <c r="Z38" s="10">
        <f t="shared" si="20"/>
        <v>2561990.8988561649</v>
      </c>
      <c r="AA38" s="71"/>
      <c r="AB38" s="10">
        <f t="shared" si="4"/>
        <v>0</v>
      </c>
      <c r="AC38" s="10">
        <f t="shared" si="21"/>
        <v>0</v>
      </c>
      <c r="AD38" s="71"/>
      <c r="AE38" s="10">
        <f t="shared" si="5"/>
        <v>0</v>
      </c>
      <c r="AF38" s="10">
        <f t="shared" si="22"/>
        <v>0</v>
      </c>
      <c r="AG38" s="71"/>
      <c r="AH38" s="10">
        <f t="shared" si="6"/>
        <v>312000000</v>
      </c>
      <c r="AI38" s="10">
        <f t="shared" si="23"/>
        <v>153483325.73792693</v>
      </c>
      <c r="AJ38" s="71"/>
      <c r="AK38" s="10">
        <f t="shared" si="7"/>
        <v>0</v>
      </c>
      <c r="AL38" s="10">
        <f t="shared" si="24"/>
        <v>0</v>
      </c>
      <c r="AM38" s="71"/>
      <c r="AN38" s="10">
        <f t="shared" si="8"/>
        <v>0</v>
      </c>
      <c r="AO38" s="10">
        <f t="shared" si="25"/>
        <v>0</v>
      </c>
      <c r="AP38" s="71"/>
      <c r="AQ38" s="10">
        <f t="shared" si="9"/>
        <v>0</v>
      </c>
      <c r="AR38" s="10">
        <f t="shared" si="26"/>
        <v>0</v>
      </c>
      <c r="AS38" s="71"/>
      <c r="AT38" s="7">
        <f>IF($K38&lt;=$F$15,IF($F$40&lt;&gt;"",$F$40/1000,IF(ISERROR(VLOOKUP($F$3&amp;IF($G$4&lt;&gt;"",$G$4,"")&amp;IF($F$43&lt;&gt;"","_"&amp;$F$43,""),'表3）燃料価格'!$AF$9:$AG$25,2,0)),0,VLOOKUP($I38,'表3）燃料価格'!$A$6:$U$66,VLOOKUP($F$3&amp;IF($G$4&lt;&gt;"",$G$4,"")&amp;IF($F$43&lt;&gt;"","_"&amp;$F$43,""),'表3）燃料価格'!$AF$9:$AG$25,2,0)+VLOOKUP($F$41,'表3）燃料価格'!$AF$28:$AG$29,2,0),0)*IF($F$43="需要地価格",1,$F$8/$F$141))),"")</f>
        <v>0</v>
      </c>
      <c r="AU38" s="71"/>
      <c r="AV38" s="10">
        <f t="shared" si="10"/>
        <v>0</v>
      </c>
      <c r="AW38" s="10">
        <f t="shared" si="27"/>
        <v>0</v>
      </c>
      <c r="AX38" s="71"/>
      <c r="AY38" s="7">
        <f>IF(ISERROR(IF($K38&lt;=$F$15,VLOOKUP($I38,'表4）CO2価格'!$A$7:$E$67,VLOOKUP($F$48,'表4）CO2価格'!$H$10:$I$12,2,0),0)*$F$8/1000,"")),0,IF($K38&lt;=$F$15,VLOOKUP($I38,'表4）CO2価格'!$A$7:$E$67,VLOOKUP($F$48,'表4）CO2価格'!$H$10:$I$12,2,0),0)*$F$8/1000,""))</f>
        <v>0</v>
      </c>
      <c r="AZ38" s="71"/>
      <c r="BA38" s="11">
        <f t="shared" si="11"/>
        <v>0</v>
      </c>
      <c r="BB38" s="10">
        <f t="shared" si="28"/>
        <v>0</v>
      </c>
      <c r="BC38" s="71"/>
      <c r="BD38" s="10">
        <f t="shared" si="12"/>
        <v>0</v>
      </c>
      <c r="BE38" s="10">
        <f t="shared" si="29"/>
        <v>0</v>
      </c>
      <c r="BF38" s="71"/>
      <c r="BG38" s="11">
        <f t="shared" si="13"/>
        <v>0</v>
      </c>
      <c r="BH38" s="10">
        <f t="shared" si="30"/>
        <v>0</v>
      </c>
      <c r="BJ38" s="7" t="str">
        <f t="shared" si="31"/>
        <v/>
      </c>
      <c r="BK38" s="158" t="str">
        <f t="shared" si="32"/>
        <v/>
      </c>
      <c r="BL38" s="158" t="str">
        <f t="shared" si="14"/>
        <v/>
      </c>
      <c r="BM38" s="10"/>
      <c r="BN38" s="10" t="str">
        <f t="shared" si="33"/>
        <v/>
      </c>
      <c r="BO38" s="10" t="str">
        <f t="shared" si="34"/>
        <v/>
      </c>
      <c r="BQ38" s="10">
        <f t="shared" si="15"/>
        <v>66751200</v>
      </c>
      <c r="BR38" s="10">
        <f t="shared" si="35"/>
        <v>32837167.221145861</v>
      </c>
    </row>
    <row r="39" spans="3:70" x14ac:dyDescent="0.15">
      <c r="I39" s="458">
        <f t="shared" si="36"/>
        <v>2054</v>
      </c>
      <c r="J39" s="39"/>
      <c r="K39" s="39">
        <f t="shared" si="37"/>
        <v>25</v>
      </c>
      <c r="L39" s="39"/>
      <c r="M39" s="40">
        <f t="shared" si="0"/>
        <v>0.47760556926165965</v>
      </c>
      <c r="N39" s="39"/>
      <c r="O39" s="72">
        <f t="shared" si="16"/>
        <v>0</v>
      </c>
      <c r="P39" s="41" t="str">
        <f t="shared" si="1"/>
        <v>-</v>
      </c>
      <c r="Q39" s="39"/>
      <c r="R39" s="72">
        <f t="shared" si="17"/>
        <v>372000000</v>
      </c>
      <c r="S39" s="39"/>
      <c r="T39" s="72">
        <f t="shared" si="18"/>
        <v>372000000</v>
      </c>
      <c r="U39" s="39"/>
      <c r="V39" s="72">
        <f t="shared" si="2"/>
        <v>0</v>
      </c>
      <c r="W39" s="72">
        <f t="shared" si="19"/>
        <v>0</v>
      </c>
      <c r="X39" s="39"/>
      <c r="Y39" s="72">
        <f t="shared" si="3"/>
        <v>5208000</v>
      </c>
      <c r="Z39" s="72">
        <f t="shared" si="20"/>
        <v>2487369.8047147235</v>
      </c>
      <c r="AA39" s="39"/>
      <c r="AB39" s="72">
        <f t="shared" si="4"/>
        <v>0</v>
      </c>
      <c r="AC39" s="72">
        <f t="shared" si="21"/>
        <v>0</v>
      </c>
      <c r="AD39" s="39"/>
      <c r="AE39" s="72">
        <f t="shared" si="5"/>
        <v>0</v>
      </c>
      <c r="AF39" s="72">
        <f t="shared" si="22"/>
        <v>0</v>
      </c>
      <c r="AG39" s="39"/>
      <c r="AH39" s="72">
        <f t="shared" si="6"/>
        <v>312000000</v>
      </c>
      <c r="AI39" s="72">
        <f t="shared" si="23"/>
        <v>149012937.6096378</v>
      </c>
      <c r="AJ39" s="39"/>
      <c r="AK39" s="72">
        <f t="shared" si="7"/>
        <v>0</v>
      </c>
      <c r="AL39" s="72">
        <f t="shared" si="24"/>
        <v>0</v>
      </c>
      <c r="AM39" s="39"/>
      <c r="AN39" s="72">
        <f t="shared" si="8"/>
        <v>0</v>
      </c>
      <c r="AO39" s="72">
        <f t="shared" si="25"/>
        <v>0</v>
      </c>
      <c r="AP39" s="39"/>
      <c r="AQ39" s="72">
        <f t="shared" si="9"/>
        <v>0</v>
      </c>
      <c r="AR39" s="72">
        <f t="shared" si="26"/>
        <v>0</v>
      </c>
      <c r="AS39" s="39"/>
      <c r="AT39" s="40">
        <f>IF($K39&lt;=$F$15,IF($F$40&lt;&gt;"",$F$40/1000,IF(ISERROR(VLOOKUP($F$3&amp;IF($G$4&lt;&gt;"",$G$4,"")&amp;IF($F$43&lt;&gt;"","_"&amp;$F$43,""),'表3）燃料価格'!$AF$9:$AG$25,2,0)),0,VLOOKUP($I39,'表3）燃料価格'!$A$6:$U$66,VLOOKUP($F$3&amp;IF($G$4&lt;&gt;"",$G$4,"")&amp;IF($F$43&lt;&gt;"","_"&amp;$F$43,""),'表3）燃料価格'!$AF$9:$AG$25,2,0)+VLOOKUP($F$41,'表3）燃料価格'!$AF$28:$AG$29,2,0),0)*IF($F$43="需要地価格",1,$F$8/$F$141))),"")</f>
        <v>0</v>
      </c>
      <c r="AU39" s="39"/>
      <c r="AV39" s="72">
        <f t="shared" si="10"/>
        <v>0</v>
      </c>
      <c r="AW39" s="72">
        <f t="shared" si="27"/>
        <v>0</v>
      </c>
      <c r="AX39" s="39"/>
      <c r="AY39" s="40">
        <f>IF(ISERROR(IF($K39&lt;=$F$15,VLOOKUP($I39,'表4）CO2価格'!$A$7:$E$67,VLOOKUP($F$48,'表4）CO2価格'!$H$10:$I$12,2,0),0)*$F$8/1000,"")),0,IF($K39&lt;=$F$15,VLOOKUP($I39,'表4）CO2価格'!$A$7:$E$67,VLOOKUP($F$48,'表4）CO2価格'!$H$10:$I$12,2,0),0)*$F$8/1000,""))</f>
        <v>0</v>
      </c>
      <c r="AZ39" s="39"/>
      <c r="BA39" s="42">
        <f t="shared" si="11"/>
        <v>0</v>
      </c>
      <c r="BB39" s="72">
        <f t="shared" si="28"/>
        <v>0</v>
      </c>
      <c r="BC39" s="39"/>
      <c r="BD39" s="72">
        <f t="shared" si="12"/>
        <v>0</v>
      </c>
      <c r="BE39" s="72">
        <f t="shared" si="29"/>
        <v>0</v>
      </c>
      <c r="BF39" s="39"/>
      <c r="BG39" s="42">
        <f t="shared" si="13"/>
        <v>0</v>
      </c>
      <c r="BH39" s="72">
        <f t="shared" si="30"/>
        <v>0</v>
      </c>
      <c r="BI39" s="39"/>
      <c r="BJ39" s="40" t="str">
        <f t="shared" si="31"/>
        <v/>
      </c>
      <c r="BK39" s="157" t="str">
        <f t="shared" si="32"/>
        <v/>
      </c>
      <c r="BL39" s="157" t="str">
        <f t="shared" si="14"/>
        <v/>
      </c>
      <c r="BM39" s="72"/>
      <c r="BN39" s="72" t="str">
        <f t="shared" si="33"/>
        <v/>
      </c>
      <c r="BO39" s="72" t="str">
        <f t="shared" si="34"/>
        <v/>
      </c>
      <c r="BP39" s="39"/>
      <c r="BQ39" s="72">
        <f t="shared" si="15"/>
        <v>66751200</v>
      </c>
      <c r="BR39" s="72">
        <f t="shared" si="35"/>
        <v>31880744.874898896</v>
      </c>
    </row>
    <row r="40" spans="3:70" x14ac:dyDescent="0.15">
      <c r="D40" s="81" t="s">
        <v>124</v>
      </c>
      <c r="F40" s="108"/>
      <c r="G40" s="82" t="s">
        <v>178</v>
      </c>
      <c r="I40" s="459">
        <f t="shared" si="36"/>
        <v>2055</v>
      </c>
      <c r="J40" s="71"/>
      <c r="K40" s="71">
        <f t="shared" si="37"/>
        <v>26</v>
      </c>
      <c r="L40" s="71"/>
      <c r="M40" s="7">
        <f t="shared" si="0"/>
        <v>0.46369472743850448</v>
      </c>
      <c r="N40" s="71"/>
      <c r="O40" s="10" t="str">
        <f t="shared" si="16"/>
        <v/>
      </c>
      <c r="P40" s="29" t="str">
        <f t="shared" si="1"/>
        <v/>
      </c>
      <c r="Q40" s="71"/>
      <c r="R40" s="10" t="str">
        <f t="shared" si="17"/>
        <v/>
      </c>
      <c r="S40" s="71"/>
      <c r="T40" s="10" t="str">
        <f t="shared" si="18"/>
        <v/>
      </c>
      <c r="U40" s="71"/>
      <c r="V40" s="10" t="str">
        <f t="shared" si="2"/>
        <v/>
      </c>
      <c r="W40" s="10" t="str">
        <f t="shared" si="19"/>
        <v/>
      </c>
      <c r="X40" s="71"/>
      <c r="Y40" s="10" t="str">
        <f t="shared" si="3"/>
        <v/>
      </c>
      <c r="Z40" s="10" t="str">
        <f t="shared" si="20"/>
        <v/>
      </c>
      <c r="AA40" s="71"/>
      <c r="AB40" s="10">
        <f t="shared" si="4"/>
        <v>372000000</v>
      </c>
      <c r="AC40" s="10">
        <f t="shared" si="21"/>
        <v>172494438.60712367</v>
      </c>
      <c r="AD40" s="71"/>
      <c r="AE40" s="10" t="str">
        <f t="shared" si="5"/>
        <v/>
      </c>
      <c r="AF40" s="10" t="str">
        <f t="shared" si="22"/>
        <v/>
      </c>
      <c r="AG40" s="71"/>
      <c r="AH40" s="10" t="str">
        <f t="shared" si="6"/>
        <v/>
      </c>
      <c r="AI40" s="10" t="str">
        <f t="shared" si="23"/>
        <v/>
      </c>
      <c r="AJ40" s="71"/>
      <c r="AK40" s="10" t="str">
        <f t="shared" si="7"/>
        <v/>
      </c>
      <c r="AL40" s="10" t="str">
        <f t="shared" si="24"/>
        <v/>
      </c>
      <c r="AM40" s="71"/>
      <c r="AN40" s="10" t="str">
        <f t="shared" si="8"/>
        <v/>
      </c>
      <c r="AO40" s="10" t="str">
        <f t="shared" si="25"/>
        <v/>
      </c>
      <c r="AP40" s="71"/>
      <c r="AQ40" s="10" t="str">
        <f t="shared" si="9"/>
        <v/>
      </c>
      <c r="AR40" s="10" t="str">
        <f t="shared" si="26"/>
        <v/>
      </c>
      <c r="AS40" s="71"/>
      <c r="AT40" s="7" t="str">
        <f>IF($K40&lt;=$F$15,IF($F$40&lt;&gt;"",$F$40/1000,IF(ISERROR(VLOOKUP($F$3&amp;IF($G$4&lt;&gt;"",$G$4,"")&amp;IF($F$43&lt;&gt;"","_"&amp;$F$43,""),'表3）燃料価格'!$AF$9:$AG$25,2,0)),0,VLOOKUP($I40,'表3）燃料価格'!$A$6:$U$66,VLOOKUP($F$3&amp;IF($G$4&lt;&gt;"",$G$4,"")&amp;IF($F$43&lt;&gt;"","_"&amp;$F$43,""),'表3）燃料価格'!$AF$9:$AG$25,2,0)+VLOOKUP($F$41,'表3）燃料価格'!$AF$28:$AG$29,2,0),0)*IF($F$43="需要地価格",1,$F$8/$F$141))),"")</f>
        <v/>
      </c>
      <c r="AU40" s="71"/>
      <c r="AV40" s="10" t="str">
        <f t="shared" si="10"/>
        <v/>
      </c>
      <c r="AW40" s="10" t="str">
        <f t="shared" si="27"/>
        <v/>
      </c>
      <c r="AX40" s="71"/>
      <c r="AY40" s="7" t="str">
        <f>IF(ISERROR(IF($K40&lt;=$F$15,VLOOKUP($I40,'表4）CO2価格'!$A$7:$E$67,VLOOKUP($F$48,'表4）CO2価格'!$H$10:$I$12,2,0),0)*$F$8/1000,"")),0,IF($K40&lt;=$F$15,VLOOKUP($I40,'表4）CO2価格'!$A$7:$E$67,VLOOKUP($F$48,'表4）CO2価格'!$H$10:$I$12,2,0),0)*$F$8/1000,""))</f>
        <v/>
      </c>
      <c r="AZ40" s="71"/>
      <c r="BA40" s="11" t="str">
        <f t="shared" si="11"/>
        <v/>
      </c>
      <c r="BB40" s="10" t="str">
        <f t="shared" si="28"/>
        <v/>
      </c>
      <c r="BC40" s="71"/>
      <c r="BD40" s="10" t="str">
        <f t="shared" si="12"/>
        <v/>
      </c>
      <c r="BE40" s="10" t="str">
        <f t="shared" si="29"/>
        <v/>
      </c>
      <c r="BF40" s="71"/>
      <c r="BG40" s="11" t="str">
        <f t="shared" si="13"/>
        <v/>
      </c>
      <c r="BH40" s="10" t="str">
        <f t="shared" si="30"/>
        <v/>
      </c>
      <c r="BJ40" s="7" t="str">
        <f t="shared" si="31"/>
        <v/>
      </c>
      <c r="BK40" s="158" t="str">
        <f t="shared" si="32"/>
        <v/>
      </c>
      <c r="BL40" s="158" t="str">
        <f t="shared" si="14"/>
        <v/>
      </c>
      <c r="BM40" s="10"/>
      <c r="BN40" s="10" t="str">
        <f t="shared" si="33"/>
        <v/>
      </c>
      <c r="BO40" s="10" t="str">
        <f t="shared" si="34"/>
        <v/>
      </c>
      <c r="BQ40" s="10" t="str">
        <f t="shared" si="15"/>
        <v/>
      </c>
      <c r="BR40" s="10" t="str">
        <f t="shared" si="35"/>
        <v/>
      </c>
    </row>
    <row r="41" spans="3:70" x14ac:dyDescent="0.15">
      <c r="D41" s="81" t="s">
        <v>179</v>
      </c>
      <c r="F41" s="88"/>
      <c r="I41" s="458">
        <f t="shared" si="36"/>
        <v>2056</v>
      </c>
      <c r="J41" s="39"/>
      <c r="K41" s="39">
        <f t="shared" si="37"/>
        <v>27</v>
      </c>
      <c r="L41" s="39"/>
      <c r="M41" s="40">
        <f t="shared" si="0"/>
        <v>0.45018905576553836</v>
      </c>
      <c r="N41" s="39"/>
      <c r="O41" s="72" t="str">
        <f t="shared" si="16"/>
        <v/>
      </c>
      <c r="P41" s="41" t="str">
        <f t="shared" si="1"/>
        <v/>
      </c>
      <c r="Q41" s="39"/>
      <c r="R41" s="72" t="str">
        <f t="shared" si="17"/>
        <v/>
      </c>
      <c r="S41" s="39"/>
      <c r="T41" s="72" t="str">
        <f t="shared" si="18"/>
        <v/>
      </c>
      <c r="U41" s="39"/>
      <c r="V41" s="72" t="str">
        <f t="shared" si="2"/>
        <v/>
      </c>
      <c r="W41" s="72" t="str">
        <f t="shared" si="19"/>
        <v/>
      </c>
      <c r="X41" s="39"/>
      <c r="Y41" s="72" t="str">
        <f t="shared" si="3"/>
        <v/>
      </c>
      <c r="Z41" s="72" t="str">
        <f t="shared" si="20"/>
        <v/>
      </c>
      <c r="AA41" s="39"/>
      <c r="AB41" s="72" t="str">
        <f t="shared" si="4"/>
        <v/>
      </c>
      <c r="AC41" s="72" t="str">
        <f t="shared" si="21"/>
        <v/>
      </c>
      <c r="AD41" s="39"/>
      <c r="AE41" s="72" t="str">
        <f t="shared" si="5"/>
        <v/>
      </c>
      <c r="AF41" s="72" t="str">
        <f t="shared" si="22"/>
        <v/>
      </c>
      <c r="AG41" s="39"/>
      <c r="AH41" s="72" t="str">
        <f t="shared" si="6"/>
        <v/>
      </c>
      <c r="AI41" s="72" t="str">
        <f t="shared" si="23"/>
        <v/>
      </c>
      <c r="AJ41" s="39"/>
      <c r="AK41" s="72" t="str">
        <f t="shared" si="7"/>
        <v/>
      </c>
      <c r="AL41" s="72" t="str">
        <f t="shared" si="24"/>
        <v/>
      </c>
      <c r="AM41" s="39"/>
      <c r="AN41" s="72" t="str">
        <f t="shared" si="8"/>
        <v/>
      </c>
      <c r="AO41" s="72" t="str">
        <f t="shared" si="25"/>
        <v/>
      </c>
      <c r="AP41" s="39"/>
      <c r="AQ41" s="72" t="str">
        <f t="shared" si="9"/>
        <v/>
      </c>
      <c r="AR41" s="72" t="str">
        <f t="shared" si="26"/>
        <v/>
      </c>
      <c r="AS41" s="39"/>
      <c r="AT41" s="40" t="str">
        <f>IF($K41&lt;=$F$15,IF($F$40&lt;&gt;"",$F$40/1000,IF(ISERROR(VLOOKUP($F$3&amp;IF($G$4&lt;&gt;"",$G$4,"")&amp;IF($F$43&lt;&gt;"","_"&amp;$F$43,""),'表3）燃料価格'!$AF$9:$AG$25,2,0)),0,VLOOKUP($I41,'表3）燃料価格'!$A$6:$U$66,VLOOKUP($F$3&amp;IF($G$4&lt;&gt;"",$G$4,"")&amp;IF($F$43&lt;&gt;"","_"&amp;$F$43,""),'表3）燃料価格'!$AF$9:$AG$25,2,0)+VLOOKUP($F$41,'表3）燃料価格'!$AF$28:$AG$29,2,0),0)*IF($F$43="需要地価格",1,$F$8/$F$141))),"")</f>
        <v/>
      </c>
      <c r="AU41" s="39"/>
      <c r="AV41" s="72" t="str">
        <f t="shared" si="10"/>
        <v/>
      </c>
      <c r="AW41" s="72" t="str">
        <f t="shared" si="27"/>
        <v/>
      </c>
      <c r="AX41" s="39"/>
      <c r="AY41" s="40" t="str">
        <f>IF(ISERROR(IF($K41&lt;=$F$15,VLOOKUP($I41,'表4）CO2価格'!$A$7:$E$67,VLOOKUP($F$48,'表4）CO2価格'!$H$10:$I$12,2,0),0)*$F$8/1000,"")),0,IF($K41&lt;=$F$15,VLOOKUP($I41,'表4）CO2価格'!$A$7:$E$67,VLOOKUP($F$48,'表4）CO2価格'!$H$10:$I$12,2,0),0)*$F$8/1000,""))</f>
        <v/>
      </c>
      <c r="AZ41" s="39"/>
      <c r="BA41" s="42" t="str">
        <f t="shared" si="11"/>
        <v/>
      </c>
      <c r="BB41" s="72" t="str">
        <f t="shared" si="28"/>
        <v/>
      </c>
      <c r="BC41" s="39"/>
      <c r="BD41" s="72" t="str">
        <f t="shared" si="12"/>
        <v/>
      </c>
      <c r="BE41" s="72" t="str">
        <f t="shared" si="29"/>
        <v/>
      </c>
      <c r="BF41" s="39"/>
      <c r="BG41" s="42" t="str">
        <f t="shared" si="13"/>
        <v/>
      </c>
      <c r="BH41" s="72" t="str">
        <f t="shared" si="30"/>
        <v/>
      </c>
      <c r="BI41" s="39"/>
      <c r="BJ41" s="40" t="str">
        <f t="shared" si="31"/>
        <v/>
      </c>
      <c r="BK41" s="157" t="str">
        <f t="shared" si="32"/>
        <v/>
      </c>
      <c r="BL41" s="157" t="str">
        <f t="shared" si="14"/>
        <v/>
      </c>
      <c r="BM41" s="72"/>
      <c r="BN41" s="72" t="str">
        <f t="shared" si="33"/>
        <v/>
      </c>
      <c r="BO41" s="72" t="str">
        <f t="shared" si="34"/>
        <v/>
      </c>
      <c r="BP41" s="39"/>
      <c r="BQ41" s="72" t="str">
        <f t="shared" si="15"/>
        <v/>
      </c>
      <c r="BR41" s="72" t="str">
        <f t="shared" si="35"/>
        <v/>
      </c>
    </row>
    <row r="42" spans="3:70" x14ac:dyDescent="0.15">
      <c r="D42" s="81" t="s">
        <v>180</v>
      </c>
      <c r="F42" s="59"/>
      <c r="G42" s="81" t="s">
        <v>181</v>
      </c>
      <c r="I42" s="459">
        <f t="shared" si="36"/>
        <v>2057</v>
      </c>
      <c r="J42" s="71"/>
      <c r="K42" s="71">
        <f t="shared" si="37"/>
        <v>28</v>
      </c>
      <c r="L42" s="71"/>
      <c r="M42" s="7">
        <f t="shared" si="0"/>
        <v>0.4370767531704256</v>
      </c>
      <c r="N42" s="71"/>
      <c r="O42" s="10" t="str">
        <f t="shared" si="16"/>
        <v/>
      </c>
      <c r="P42" s="29" t="str">
        <f t="shared" si="1"/>
        <v/>
      </c>
      <c r="Q42" s="71"/>
      <c r="R42" s="10" t="str">
        <f t="shared" si="17"/>
        <v/>
      </c>
      <c r="S42" s="71"/>
      <c r="T42" s="10" t="str">
        <f t="shared" si="18"/>
        <v/>
      </c>
      <c r="U42" s="71"/>
      <c r="V42" s="10" t="str">
        <f t="shared" si="2"/>
        <v/>
      </c>
      <c r="W42" s="10" t="str">
        <f t="shared" si="19"/>
        <v/>
      </c>
      <c r="X42" s="71"/>
      <c r="Y42" s="10" t="str">
        <f t="shared" si="3"/>
        <v/>
      </c>
      <c r="Z42" s="10" t="str">
        <f t="shared" si="20"/>
        <v/>
      </c>
      <c r="AA42" s="71"/>
      <c r="AB42" s="10" t="str">
        <f t="shared" si="4"/>
        <v/>
      </c>
      <c r="AC42" s="10" t="str">
        <f t="shared" si="21"/>
        <v/>
      </c>
      <c r="AD42" s="71"/>
      <c r="AE42" s="10" t="str">
        <f t="shared" si="5"/>
        <v/>
      </c>
      <c r="AF42" s="10" t="str">
        <f t="shared" si="22"/>
        <v/>
      </c>
      <c r="AG42" s="71"/>
      <c r="AH42" s="10" t="str">
        <f t="shared" si="6"/>
        <v/>
      </c>
      <c r="AI42" s="10" t="str">
        <f t="shared" si="23"/>
        <v/>
      </c>
      <c r="AJ42" s="71"/>
      <c r="AK42" s="10" t="str">
        <f t="shared" si="7"/>
        <v/>
      </c>
      <c r="AL42" s="10" t="str">
        <f t="shared" si="24"/>
        <v/>
      </c>
      <c r="AM42" s="71"/>
      <c r="AN42" s="10" t="str">
        <f t="shared" si="8"/>
        <v/>
      </c>
      <c r="AO42" s="10" t="str">
        <f t="shared" si="25"/>
        <v/>
      </c>
      <c r="AP42" s="71"/>
      <c r="AQ42" s="10" t="str">
        <f t="shared" si="9"/>
        <v/>
      </c>
      <c r="AR42" s="10" t="str">
        <f t="shared" si="26"/>
        <v/>
      </c>
      <c r="AS42" s="71"/>
      <c r="AT42" s="7" t="str">
        <f>IF($K42&lt;=$F$15,IF($F$40&lt;&gt;"",$F$40/1000,IF(ISERROR(VLOOKUP($F$3&amp;IF($G$4&lt;&gt;"",$G$4,"")&amp;IF($F$43&lt;&gt;"","_"&amp;$F$43,""),'表3）燃料価格'!$AF$9:$AG$25,2,0)),0,VLOOKUP($I42,'表3）燃料価格'!$A$6:$U$66,VLOOKUP($F$3&amp;IF($G$4&lt;&gt;"",$G$4,"")&amp;IF($F$43&lt;&gt;"","_"&amp;$F$43,""),'表3）燃料価格'!$AF$9:$AG$25,2,0)+VLOOKUP($F$41,'表3）燃料価格'!$AF$28:$AG$29,2,0),0)*IF($F$43="需要地価格",1,$F$8/$F$141))),"")</f>
        <v/>
      </c>
      <c r="AU42" s="71"/>
      <c r="AV42" s="10" t="str">
        <f t="shared" si="10"/>
        <v/>
      </c>
      <c r="AW42" s="10" t="str">
        <f t="shared" si="27"/>
        <v/>
      </c>
      <c r="AX42" s="71"/>
      <c r="AY42" s="7" t="str">
        <f>IF(ISERROR(IF($K42&lt;=$F$15,VLOOKUP($I42,'表4）CO2価格'!$A$7:$E$67,VLOOKUP($F$48,'表4）CO2価格'!$H$10:$I$12,2,0),0)*$F$8/1000,"")),0,IF($K42&lt;=$F$15,VLOOKUP($I42,'表4）CO2価格'!$A$7:$E$67,VLOOKUP($F$48,'表4）CO2価格'!$H$10:$I$12,2,0),0)*$F$8/1000,""))</f>
        <v/>
      </c>
      <c r="AZ42" s="71"/>
      <c r="BA42" s="11" t="str">
        <f t="shared" si="11"/>
        <v/>
      </c>
      <c r="BB42" s="10" t="str">
        <f t="shared" si="28"/>
        <v/>
      </c>
      <c r="BC42" s="71"/>
      <c r="BD42" s="10" t="str">
        <f t="shared" si="12"/>
        <v/>
      </c>
      <c r="BE42" s="10" t="str">
        <f t="shared" si="29"/>
        <v/>
      </c>
      <c r="BF42" s="71"/>
      <c r="BG42" s="11" t="str">
        <f t="shared" si="13"/>
        <v/>
      </c>
      <c r="BH42" s="10" t="str">
        <f t="shared" si="30"/>
        <v/>
      </c>
      <c r="BJ42" s="7" t="str">
        <f t="shared" si="31"/>
        <v/>
      </c>
      <c r="BK42" s="158" t="str">
        <f t="shared" si="32"/>
        <v/>
      </c>
      <c r="BL42" s="158" t="str">
        <f t="shared" si="14"/>
        <v/>
      </c>
      <c r="BM42" s="10"/>
      <c r="BN42" s="10" t="str">
        <f t="shared" si="33"/>
        <v/>
      </c>
      <c r="BO42" s="10" t="str">
        <f t="shared" si="34"/>
        <v/>
      </c>
      <c r="BQ42" s="10" t="str">
        <f t="shared" si="15"/>
        <v/>
      </c>
      <c r="BR42" s="10" t="str">
        <f t="shared" si="35"/>
        <v/>
      </c>
    </row>
    <row r="43" spans="3:70" x14ac:dyDescent="0.15">
      <c r="D43" s="82" t="s">
        <v>126</v>
      </c>
      <c r="F43" s="88"/>
      <c r="I43" s="458">
        <f t="shared" si="36"/>
        <v>2058</v>
      </c>
      <c r="J43" s="39"/>
      <c r="K43" s="39">
        <f t="shared" si="37"/>
        <v>29</v>
      </c>
      <c r="L43" s="39"/>
      <c r="M43" s="40">
        <f t="shared" si="0"/>
        <v>0.42434636230138412</v>
      </c>
      <c r="N43" s="39"/>
      <c r="O43" s="72" t="str">
        <f t="shared" si="16"/>
        <v/>
      </c>
      <c r="P43" s="41" t="str">
        <f t="shared" si="1"/>
        <v/>
      </c>
      <c r="Q43" s="39"/>
      <c r="R43" s="72" t="str">
        <f t="shared" si="17"/>
        <v/>
      </c>
      <c r="S43" s="39"/>
      <c r="T43" s="72" t="str">
        <f t="shared" si="18"/>
        <v/>
      </c>
      <c r="U43" s="39"/>
      <c r="V43" s="72" t="str">
        <f t="shared" si="2"/>
        <v/>
      </c>
      <c r="W43" s="72" t="str">
        <f t="shared" si="19"/>
        <v/>
      </c>
      <c r="X43" s="39"/>
      <c r="Y43" s="72" t="str">
        <f t="shared" si="3"/>
        <v/>
      </c>
      <c r="Z43" s="72" t="str">
        <f t="shared" si="20"/>
        <v/>
      </c>
      <c r="AA43" s="39"/>
      <c r="AB43" s="72" t="str">
        <f t="shared" si="4"/>
        <v/>
      </c>
      <c r="AC43" s="72" t="str">
        <f t="shared" si="21"/>
        <v/>
      </c>
      <c r="AD43" s="39"/>
      <c r="AE43" s="72" t="str">
        <f t="shared" si="5"/>
        <v/>
      </c>
      <c r="AF43" s="72" t="str">
        <f t="shared" si="22"/>
        <v/>
      </c>
      <c r="AG43" s="39"/>
      <c r="AH43" s="72" t="str">
        <f t="shared" si="6"/>
        <v/>
      </c>
      <c r="AI43" s="72" t="str">
        <f t="shared" si="23"/>
        <v/>
      </c>
      <c r="AJ43" s="39"/>
      <c r="AK43" s="72" t="str">
        <f t="shared" si="7"/>
        <v/>
      </c>
      <c r="AL43" s="72" t="str">
        <f t="shared" si="24"/>
        <v/>
      </c>
      <c r="AM43" s="39"/>
      <c r="AN43" s="72" t="str">
        <f t="shared" si="8"/>
        <v/>
      </c>
      <c r="AO43" s="72" t="str">
        <f t="shared" si="25"/>
        <v/>
      </c>
      <c r="AP43" s="39"/>
      <c r="AQ43" s="72" t="str">
        <f t="shared" si="9"/>
        <v/>
      </c>
      <c r="AR43" s="72" t="str">
        <f t="shared" si="26"/>
        <v/>
      </c>
      <c r="AS43" s="39"/>
      <c r="AT43" s="40" t="str">
        <f>IF($K43&lt;=$F$15,IF($F$40&lt;&gt;"",$F$40/1000,IF(ISERROR(VLOOKUP($F$3&amp;IF($G$4&lt;&gt;"",$G$4,"")&amp;IF($F$43&lt;&gt;"","_"&amp;$F$43,""),'表3）燃料価格'!$AF$9:$AG$25,2,0)),0,VLOOKUP($I43,'表3）燃料価格'!$A$6:$U$66,VLOOKUP($F$3&amp;IF($G$4&lt;&gt;"",$G$4,"")&amp;IF($F$43&lt;&gt;"","_"&amp;$F$43,""),'表3）燃料価格'!$AF$9:$AG$25,2,0)+VLOOKUP($F$41,'表3）燃料価格'!$AF$28:$AG$29,2,0),0)*IF($F$43="需要地価格",1,$F$8/$F$141))),"")</f>
        <v/>
      </c>
      <c r="AU43" s="39"/>
      <c r="AV43" s="72" t="str">
        <f t="shared" si="10"/>
        <v/>
      </c>
      <c r="AW43" s="72" t="str">
        <f t="shared" si="27"/>
        <v/>
      </c>
      <c r="AX43" s="39"/>
      <c r="AY43" s="40" t="str">
        <f>IF(ISERROR(IF($K43&lt;=$F$15,VLOOKUP($I43,'表4）CO2価格'!$A$7:$E$67,VLOOKUP($F$48,'表4）CO2価格'!$H$10:$I$12,2,0),0)*$F$8/1000,"")),0,IF($K43&lt;=$F$15,VLOOKUP($I43,'表4）CO2価格'!$A$7:$E$67,VLOOKUP($F$48,'表4）CO2価格'!$H$10:$I$12,2,0),0)*$F$8/1000,""))</f>
        <v/>
      </c>
      <c r="AZ43" s="39"/>
      <c r="BA43" s="42" t="str">
        <f t="shared" si="11"/>
        <v/>
      </c>
      <c r="BB43" s="72" t="str">
        <f t="shared" si="28"/>
        <v/>
      </c>
      <c r="BC43" s="39"/>
      <c r="BD43" s="72" t="str">
        <f t="shared" si="12"/>
        <v/>
      </c>
      <c r="BE43" s="72" t="str">
        <f t="shared" si="29"/>
        <v/>
      </c>
      <c r="BF43" s="39"/>
      <c r="BG43" s="42" t="str">
        <f t="shared" si="13"/>
        <v/>
      </c>
      <c r="BH43" s="72" t="str">
        <f t="shared" si="30"/>
        <v/>
      </c>
      <c r="BI43" s="39"/>
      <c r="BJ43" s="40" t="str">
        <f t="shared" si="31"/>
        <v/>
      </c>
      <c r="BK43" s="157" t="str">
        <f t="shared" si="32"/>
        <v/>
      </c>
      <c r="BL43" s="157" t="str">
        <f t="shared" si="14"/>
        <v/>
      </c>
      <c r="BM43" s="72"/>
      <c r="BN43" s="72" t="str">
        <f t="shared" si="33"/>
        <v/>
      </c>
      <c r="BO43" s="72" t="str">
        <f t="shared" si="34"/>
        <v/>
      </c>
      <c r="BP43" s="39"/>
      <c r="BQ43" s="72" t="str">
        <f t="shared" si="15"/>
        <v/>
      </c>
      <c r="BR43" s="72" t="str">
        <f t="shared" si="35"/>
        <v/>
      </c>
    </row>
    <row r="44" spans="3:70" x14ac:dyDescent="0.15">
      <c r="I44" s="459">
        <f t="shared" si="36"/>
        <v>2059</v>
      </c>
      <c r="J44" s="71"/>
      <c r="K44" s="71">
        <f t="shared" si="37"/>
        <v>30</v>
      </c>
      <c r="L44" s="71"/>
      <c r="M44" s="7">
        <f t="shared" si="0"/>
        <v>0.41198675951590691</v>
      </c>
      <c r="N44" s="71"/>
      <c r="O44" s="10" t="str">
        <f t="shared" si="16"/>
        <v/>
      </c>
      <c r="P44" s="29" t="str">
        <f t="shared" si="1"/>
        <v/>
      </c>
      <c r="Q44" s="71"/>
      <c r="R44" s="10" t="str">
        <f t="shared" si="17"/>
        <v/>
      </c>
      <c r="S44" s="71"/>
      <c r="T44" s="10" t="str">
        <f t="shared" si="18"/>
        <v/>
      </c>
      <c r="U44" s="71"/>
      <c r="V44" s="10" t="str">
        <f t="shared" si="2"/>
        <v/>
      </c>
      <c r="W44" s="10" t="str">
        <f t="shared" si="19"/>
        <v/>
      </c>
      <c r="X44" s="71"/>
      <c r="Y44" s="10" t="str">
        <f t="shared" si="3"/>
        <v/>
      </c>
      <c r="Z44" s="10" t="str">
        <f t="shared" si="20"/>
        <v/>
      </c>
      <c r="AA44" s="71"/>
      <c r="AB44" s="10" t="str">
        <f t="shared" si="4"/>
        <v/>
      </c>
      <c r="AC44" s="10" t="str">
        <f t="shared" si="21"/>
        <v/>
      </c>
      <c r="AD44" s="71"/>
      <c r="AE44" s="10" t="str">
        <f t="shared" si="5"/>
        <v/>
      </c>
      <c r="AF44" s="10" t="str">
        <f t="shared" si="22"/>
        <v/>
      </c>
      <c r="AG44" s="71"/>
      <c r="AH44" s="10" t="str">
        <f t="shared" si="6"/>
        <v/>
      </c>
      <c r="AI44" s="10" t="str">
        <f t="shared" si="23"/>
        <v/>
      </c>
      <c r="AJ44" s="71"/>
      <c r="AK44" s="10" t="str">
        <f t="shared" si="7"/>
        <v/>
      </c>
      <c r="AL44" s="10" t="str">
        <f t="shared" si="24"/>
        <v/>
      </c>
      <c r="AM44" s="71"/>
      <c r="AN44" s="10" t="str">
        <f t="shared" si="8"/>
        <v/>
      </c>
      <c r="AO44" s="10" t="str">
        <f t="shared" si="25"/>
        <v/>
      </c>
      <c r="AP44" s="71"/>
      <c r="AQ44" s="10" t="str">
        <f t="shared" si="9"/>
        <v/>
      </c>
      <c r="AR44" s="10" t="str">
        <f t="shared" si="26"/>
        <v/>
      </c>
      <c r="AS44" s="71"/>
      <c r="AT44" s="7" t="str">
        <f>IF($K44&lt;=$F$15,IF($F$40&lt;&gt;"",$F$40/1000,IF(ISERROR(VLOOKUP($F$3&amp;IF($G$4&lt;&gt;"",$G$4,"")&amp;IF($F$43&lt;&gt;"","_"&amp;$F$43,""),'表3）燃料価格'!$AF$9:$AG$25,2,0)),0,VLOOKUP($I44,'表3）燃料価格'!$A$6:$U$66,VLOOKUP($F$3&amp;IF($G$4&lt;&gt;"",$G$4,"")&amp;IF($F$43&lt;&gt;"","_"&amp;$F$43,""),'表3）燃料価格'!$AF$9:$AG$25,2,0)+VLOOKUP($F$41,'表3）燃料価格'!$AF$28:$AG$29,2,0),0)*IF($F$43="需要地価格",1,$F$8/$F$141))),"")</f>
        <v/>
      </c>
      <c r="AU44" s="71"/>
      <c r="AV44" s="10" t="str">
        <f t="shared" si="10"/>
        <v/>
      </c>
      <c r="AW44" s="10" t="str">
        <f t="shared" si="27"/>
        <v/>
      </c>
      <c r="AX44" s="71"/>
      <c r="AY44" s="7" t="str">
        <f>IF(ISERROR(IF($K44&lt;=$F$15,VLOOKUP($I44,'表4）CO2価格'!$A$7:$E$67,VLOOKUP($F$48,'表4）CO2価格'!$H$10:$I$12,2,0),0)*$F$8/1000,"")),0,IF($K44&lt;=$F$15,VLOOKUP($I44,'表4）CO2価格'!$A$7:$E$67,VLOOKUP($F$48,'表4）CO2価格'!$H$10:$I$12,2,0),0)*$F$8/1000,""))</f>
        <v/>
      </c>
      <c r="AZ44" s="71"/>
      <c r="BA44" s="11" t="str">
        <f t="shared" si="11"/>
        <v/>
      </c>
      <c r="BB44" s="10" t="str">
        <f t="shared" si="28"/>
        <v/>
      </c>
      <c r="BC44" s="71"/>
      <c r="BD44" s="10" t="str">
        <f t="shared" si="12"/>
        <v/>
      </c>
      <c r="BE44" s="10" t="str">
        <f t="shared" si="29"/>
        <v/>
      </c>
      <c r="BF44" s="71"/>
      <c r="BG44" s="11" t="str">
        <f t="shared" si="13"/>
        <v/>
      </c>
      <c r="BH44" s="10" t="str">
        <f t="shared" si="30"/>
        <v/>
      </c>
      <c r="BJ44" s="7" t="str">
        <f t="shared" si="31"/>
        <v/>
      </c>
      <c r="BK44" s="158" t="str">
        <f t="shared" si="32"/>
        <v/>
      </c>
      <c r="BL44" s="158" t="str">
        <f t="shared" si="14"/>
        <v/>
      </c>
      <c r="BM44" s="10"/>
      <c r="BN44" s="10" t="str">
        <f t="shared" si="33"/>
        <v/>
      </c>
      <c r="BO44" s="10" t="str">
        <f t="shared" si="34"/>
        <v/>
      </c>
      <c r="BQ44" s="10" t="str">
        <f t="shared" si="15"/>
        <v/>
      </c>
      <c r="BR44" s="10" t="str">
        <f t="shared" si="35"/>
        <v/>
      </c>
    </row>
    <row r="45" spans="3:70" x14ac:dyDescent="0.15">
      <c r="C45" s="89" t="s">
        <v>509</v>
      </c>
      <c r="D45" s="101"/>
      <c r="E45" s="101"/>
      <c r="F45" s="89"/>
      <c r="G45" s="101"/>
      <c r="I45" s="458">
        <f t="shared" si="36"/>
        <v>2060</v>
      </c>
      <c r="J45" s="39"/>
      <c r="K45" s="39">
        <f t="shared" si="37"/>
        <v>31</v>
      </c>
      <c r="L45" s="39"/>
      <c r="M45" s="40">
        <f t="shared" si="0"/>
        <v>0.39998714516107459</v>
      </c>
      <c r="N45" s="39"/>
      <c r="O45" s="72" t="str">
        <f t="shared" si="16"/>
        <v/>
      </c>
      <c r="P45" s="41" t="str">
        <f t="shared" si="1"/>
        <v/>
      </c>
      <c r="Q45" s="39"/>
      <c r="R45" s="72" t="str">
        <f t="shared" si="17"/>
        <v/>
      </c>
      <c r="S45" s="39"/>
      <c r="T45" s="72" t="str">
        <f t="shared" si="18"/>
        <v/>
      </c>
      <c r="U45" s="39"/>
      <c r="V45" s="72" t="str">
        <f t="shared" si="2"/>
        <v/>
      </c>
      <c r="W45" s="72" t="str">
        <f t="shared" si="19"/>
        <v/>
      </c>
      <c r="X45" s="39"/>
      <c r="Y45" s="72" t="str">
        <f t="shared" si="3"/>
        <v/>
      </c>
      <c r="Z45" s="72" t="str">
        <f t="shared" si="20"/>
        <v/>
      </c>
      <c r="AA45" s="39"/>
      <c r="AB45" s="72" t="str">
        <f t="shared" si="4"/>
        <v/>
      </c>
      <c r="AC45" s="72" t="str">
        <f t="shared" si="21"/>
        <v/>
      </c>
      <c r="AD45" s="39"/>
      <c r="AE45" s="72" t="str">
        <f t="shared" si="5"/>
        <v/>
      </c>
      <c r="AF45" s="72" t="str">
        <f t="shared" si="22"/>
        <v/>
      </c>
      <c r="AG45" s="39"/>
      <c r="AH45" s="72" t="str">
        <f t="shared" si="6"/>
        <v/>
      </c>
      <c r="AI45" s="72" t="str">
        <f t="shared" si="23"/>
        <v/>
      </c>
      <c r="AJ45" s="39"/>
      <c r="AK45" s="72" t="str">
        <f t="shared" si="7"/>
        <v/>
      </c>
      <c r="AL45" s="72" t="str">
        <f t="shared" si="24"/>
        <v/>
      </c>
      <c r="AM45" s="39"/>
      <c r="AN45" s="72" t="str">
        <f t="shared" si="8"/>
        <v/>
      </c>
      <c r="AO45" s="72" t="str">
        <f t="shared" si="25"/>
        <v/>
      </c>
      <c r="AP45" s="39"/>
      <c r="AQ45" s="72" t="str">
        <f t="shared" si="9"/>
        <v/>
      </c>
      <c r="AR45" s="72" t="str">
        <f t="shared" si="26"/>
        <v/>
      </c>
      <c r="AS45" s="39"/>
      <c r="AT45" s="40" t="str">
        <f>IF($K45&lt;=$F$15,IF($F$40&lt;&gt;"",$F$40/1000,IF(ISERROR(VLOOKUP($F$3&amp;IF($G$4&lt;&gt;"",$G$4,"")&amp;IF($F$43&lt;&gt;"","_"&amp;$F$43,""),'表3）燃料価格'!$AF$9:$AG$25,2,0)),0,VLOOKUP($I45,'表3）燃料価格'!$A$6:$U$66,VLOOKUP($F$3&amp;IF($G$4&lt;&gt;"",$G$4,"")&amp;IF($F$43&lt;&gt;"","_"&amp;$F$43,""),'表3）燃料価格'!$AF$9:$AG$25,2,0)+VLOOKUP($F$41,'表3）燃料価格'!$AF$28:$AG$29,2,0),0)*IF($F$43="需要地価格",1,$F$8/$F$141))),"")</f>
        <v/>
      </c>
      <c r="AU45" s="39"/>
      <c r="AV45" s="72" t="str">
        <f t="shared" si="10"/>
        <v/>
      </c>
      <c r="AW45" s="72" t="str">
        <f t="shared" si="27"/>
        <v/>
      </c>
      <c r="AX45" s="39"/>
      <c r="AY45" s="40" t="str">
        <f>IF(ISERROR(IF($K45&lt;=$F$15,VLOOKUP($I45,'表4）CO2価格'!$A$7:$E$67,VLOOKUP($F$48,'表4）CO2価格'!$H$10:$I$12,2,0),0)*$F$8/1000,"")),0,IF($K45&lt;=$F$15,VLOOKUP($I45,'表4）CO2価格'!$A$7:$E$67,VLOOKUP($F$48,'表4）CO2価格'!$H$10:$I$12,2,0),0)*$F$8/1000,""))</f>
        <v/>
      </c>
      <c r="AZ45" s="39"/>
      <c r="BA45" s="42" t="str">
        <f t="shared" si="11"/>
        <v/>
      </c>
      <c r="BB45" s="72" t="str">
        <f t="shared" si="28"/>
        <v/>
      </c>
      <c r="BC45" s="39"/>
      <c r="BD45" s="72" t="str">
        <f t="shared" si="12"/>
        <v/>
      </c>
      <c r="BE45" s="72" t="str">
        <f t="shared" si="29"/>
        <v/>
      </c>
      <c r="BF45" s="39"/>
      <c r="BG45" s="42" t="str">
        <f t="shared" si="13"/>
        <v/>
      </c>
      <c r="BH45" s="72" t="str">
        <f t="shared" si="30"/>
        <v/>
      </c>
      <c r="BI45" s="39"/>
      <c r="BJ45" s="40" t="str">
        <f t="shared" si="31"/>
        <v/>
      </c>
      <c r="BK45" s="157" t="str">
        <f t="shared" si="32"/>
        <v/>
      </c>
      <c r="BL45" s="157" t="str">
        <f t="shared" si="14"/>
        <v/>
      </c>
      <c r="BM45" s="72"/>
      <c r="BN45" s="72" t="str">
        <f t="shared" si="33"/>
        <v/>
      </c>
      <c r="BO45" s="72" t="str">
        <f t="shared" si="34"/>
        <v/>
      </c>
      <c r="BP45" s="39"/>
      <c r="BQ45" s="72" t="str">
        <f t="shared" si="15"/>
        <v/>
      </c>
      <c r="BR45" s="72" t="str">
        <f t="shared" si="35"/>
        <v/>
      </c>
    </row>
    <row r="46" spans="3:70" x14ac:dyDescent="0.15">
      <c r="I46" s="459">
        <f t="shared" si="36"/>
        <v>2061</v>
      </c>
      <c r="J46" s="71"/>
      <c r="K46" s="71">
        <f t="shared" si="37"/>
        <v>32</v>
      </c>
      <c r="L46" s="71"/>
      <c r="M46" s="7">
        <f t="shared" si="0"/>
        <v>0.38833703413696569</v>
      </c>
      <c r="N46" s="71"/>
      <c r="O46" s="10" t="str">
        <f t="shared" si="16"/>
        <v/>
      </c>
      <c r="P46" s="29" t="str">
        <f t="shared" si="1"/>
        <v/>
      </c>
      <c r="Q46" s="71"/>
      <c r="R46" s="10" t="str">
        <f t="shared" si="17"/>
        <v/>
      </c>
      <c r="S46" s="71"/>
      <c r="T46" s="10" t="str">
        <f t="shared" si="18"/>
        <v/>
      </c>
      <c r="U46" s="71"/>
      <c r="V46" s="10" t="str">
        <f t="shared" si="2"/>
        <v/>
      </c>
      <c r="W46" s="10" t="str">
        <f t="shared" si="19"/>
        <v/>
      </c>
      <c r="X46" s="71"/>
      <c r="Y46" s="10" t="str">
        <f t="shared" si="3"/>
        <v/>
      </c>
      <c r="Z46" s="10" t="str">
        <f t="shared" si="20"/>
        <v/>
      </c>
      <c r="AA46" s="71"/>
      <c r="AB46" s="10" t="str">
        <f t="shared" si="4"/>
        <v/>
      </c>
      <c r="AC46" s="10" t="str">
        <f t="shared" si="21"/>
        <v/>
      </c>
      <c r="AD46" s="71"/>
      <c r="AE46" s="10" t="str">
        <f t="shared" si="5"/>
        <v/>
      </c>
      <c r="AF46" s="10" t="str">
        <f t="shared" si="22"/>
        <v/>
      </c>
      <c r="AG46" s="71"/>
      <c r="AH46" s="10" t="str">
        <f t="shared" si="6"/>
        <v/>
      </c>
      <c r="AI46" s="10" t="str">
        <f t="shared" si="23"/>
        <v/>
      </c>
      <c r="AJ46" s="71"/>
      <c r="AK46" s="10" t="str">
        <f t="shared" si="7"/>
        <v/>
      </c>
      <c r="AL46" s="10" t="str">
        <f t="shared" si="24"/>
        <v/>
      </c>
      <c r="AM46" s="71"/>
      <c r="AN46" s="10" t="str">
        <f t="shared" si="8"/>
        <v/>
      </c>
      <c r="AO46" s="10" t="str">
        <f t="shared" si="25"/>
        <v/>
      </c>
      <c r="AP46" s="71"/>
      <c r="AQ46" s="10" t="str">
        <f t="shared" si="9"/>
        <v/>
      </c>
      <c r="AR46" s="10" t="str">
        <f t="shared" si="26"/>
        <v/>
      </c>
      <c r="AS46" s="71"/>
      <c r="AT46" s="7" t="str">
        <f>IF($K46&lt;=$F$15,IF($F$40&lt;&gt;"",$F$40/1000,IF(ISERROR(VLOOKUP($F$3&amp;IF($G$4&lt;&gt;"",$G$4,"")&amp;IF($F$43&lt;&gt;"","_"&amp;$F$43,""),'表3）燃料価格'!$AF$9:$AG$25,2,0)),0,VLOOKUP($I46,'表3）燃料価格'!$A$6:$U$66,VLOOKUP($F$3&amp;IF($G$4&lt;&gt;"",$G$4,"")&amp;IF($F$43&lt;&gt;"","_"&amp;$F$43,""),'表3）燃料価格'!$AF$9:$AG$25,2,0)+VLOOKUP($F$41,'表3）燃料価格'!$AF$28:$AG$29,2,0),0)*IF($F$43="需要地価格",1,$F$8/$F$141))),"")</f>
        <v/>
      </c>
      <c r="AU46" s="71"/>
      <c r="AV46" s="10" t="str">
        <f t="shared" si="10"/>
        <v/>
      </c>
      <c r="AW46" s="10" t="str">
        <f t="shared" si="27"/>
        <v/>
      </c>
      <c r="AX46" s="71"/>
      <c r="AY46" s="7" t="str">
        <f>IF(ISERROR(IF($K46&lt;=$F$15,VLOOKUP($I46,'表4）CO2価格'!$A$7:$E$67,VLOOKUP($F$48,'表4）CO2価格'!$H$10:$I$12,2,0),0)*$F$8/1000,"")),0,IF($K46&lt;=$F$15,VLOOKUP($I46,'表4）CO2価格'!$A$7:$E$67,VLOOKUP($F$48,'表4）CO2価格'!$H$10:$I$12,2,0),0)*$F$8/1000,""))</f>
        <v/>
      </c>
      <c r="AZ46" s="71"/>
      <c r="BA46" s="11" t="str">
        <f t="shared" si="11"/>
        <v/>
      </c>
      <c r="BB46" s="10" t="str">
        <f t="shared" si="28"/>
        <v/>
      </c>
      <c r="BC46" s="71"/>
      <c r="BD46" s="10" t="str">
        <f t="shared" si="12"/>
        <v/>
      </c>
      <c r="BE46" s="10" t="str">
        <f t="shared" si="29"/>
        <v/>
      </c>
      <c r="BF46" s="71"/>
      <c r="BG46" s="11" t="str">
        <f t="shared" si="13"/>
        <v/>
      </c>
      <c r="BH46" s="10" t="str">
        <f t="shared" si="30"/>
        <v/>
      </c>
      <c r="BJ46" s="7" t="str">
        <f t="shared" si="31"/>
        <v/>
      </c>
      <c r="BK46" s="158" t="str">
        <f t="shared" si="32"/>
        <v/>
      </c>
      <c r="BL46" s="158" t="str">
        <f t="shared" si="14"/>
        <v/>
      </c>
      <c r="BM46" s="10"/>
      <c r="BN46" s="10" t="str">
        <f t="shared" si="33"/>
        <v/>
      </c>
      <c r="BO46" s="10" t="str">
        <f t="shared" si="34"/>
        <v/>
      </c>
      <c r="BQ46" s="10" t="str">
        <f t="shared" si="15"/>
        <v/>
      </c>
      <c r="BR46" s="10" t="str">
        <f t="shared" si="35"/>
        <v/>
      </c>
    </row>
    <row r="47" spans="3:70" x14ac:dyDescent="0.15">
      <c r="D47" s="81" t="s">
        <v>182</v>
      </c>
      <c r="F47" s="66"/>
      <c r="G47" s="81" t="s">
        <v>226</v>
      </c>
      <c r="I47" s="458">
        <f t="shared" si="36"/>
        <v>2062</v>
      </c>
      <c r="J47" s="39"/>
      <c r="K47" s="39">
        <f t="shared" si="37"/>
        <v>33</v>
      </c>
      <c r="L47" s="39"/>
      <c r="M47" s="40">
        <f t="shared" si="0"/>
        <v>0.37702624673491814</v>
      </c>
      <c r="N47" s="39"/>
      <c r="O47" s="72" t="str">
        <f t="shared" si="16"/>
        <v/>
      </c>
      <c r="P47" s="41" t="str">
        <f t="shared" ref="P47:P78" si="38">IF(K47&lt;=$F$15,IF(OR(P46=$F$124,P46="-"),"-",IF(O47*$F$123&gt;$F$127,$F$123,$F$124)),"")</f>
        <v/>
      </c>
      <c r="Q47" s="39"/>
      <c r="R47" s="72" t="str">
        <f t="shared" si="17"/>
        <v/>
      </c>
      <c r="S47" s="39"/>
      <c r="T47" s="72" t="str">
        <f t="shared" si="18"/>
        <v/>
      </c>
      <c r="U47" s="39"/>
      <c r="V47" s="72" t="str">
        <f t="shared" ref="V47:V78" si="39">IF(K47&lt;=$F$15,IF(K47&lt;$F$119,IF(P47="-",V46,O47*P47),IF(K47=$F$119,MIN(IF(P47="-",V46,O47*P47),O47),0)),"")</f>
        <v/>
      </c>
      <c r="W47" s="72" t="str">
        <f t="shared" si="19"/>
        <v/>
      </c>
      <c r="X47" s="39"/>
      <c r="Y47" s="72" t="str">
        <f t="shared" ref="Y47:Y78" si="40">IF($K47&lt;=$F$15,ROUNDDOWN(T47*$F$25/100,-2),"")</f>
        <v/>
      </c>
      <c r="Z47" s="72" t="str">
        <f t="shared" si="20"/>
        <v/>
      </c>
      <c r="AA47" s="39"/>
      <c r="AB47" s="72" t="str">
        <f t="shared" si="4"/>
        <v/>
      </c>
      <c r="AC47" s="72" t="str">
        <f t="shared" si="21"/>
        <v/>
      </c>
      <c r="AD47" s="39"/>
      <c r="AE47" s="72" t="str">
        <f t="shared" ref="AE47:AE78" si="41">IF($K47&lt;=$F$15,$F$26,"")</f>
        <v/>
      </c>
      <c r="AF47" s="72" t="str">
        <f t="shared" si="22"/>
        <v/>
      </c>
      <c r="AG47" s="39"/>
      <c r="AH47" s="72" t="str">
        <f t="shared" ref="AH47:AH78" si="42">IF($K47&lt;=$F$15,$F$33*10^4*$F$13*10^4,"")</f>
        <v/>
      </c>
      <c r="AI47" s="72" t="str">
        <f t="shared" si="23"/>
        <v/>
      </c>
      <c r="AJ47" s="39"/>
      <c r="AK47" s="72" t="str">
        <f t="shared" ref="AK47:AK78" si="43">IF($K47&lt;=$F$15,$F$117*$F$34/100,"")</f>
        <v/>
      </c>
      <c r="AL47" s="72" t="str">
        <f t="shared" si="24"/>
        <v/>
      </c>
      <c r="AM47" s="39"/>
      <c r="AN47" s="72" t="str">
        <f t="shared" ref="AN47:AN78" si="44">IF($K47&lt;=$F$15,$F$117*$F$35/100,"")</f>
        <v/>
      </c>
      <c r="AO47" s="72" t="str">
        <f t="shared" si="25"/>
        <v/>
      </c>
      <c r="AP47" s="39"/>
      <c r="AQ47" s="72" t="str">
        <f t="shared" ref="AQ47:AQ78" si="45">IF($K47&lt;=$F$15,SUM(AH47,AK47,AN47)*($F$36/100),"")</f>
        <v/>
      </c>
      <c r="AR47" s="72" t="str">
        <f t="shared" si="26"/>
        <v/>
      </c>
      <c r="AS47" s="39"/>
      <c r="AT47" s="40" t="str">
        <f>IF($K47&lt;=$F$15,IF($F$40&lt;&gt;"",$F$40/1000,IF(ISERROR(VLOOKUP($F$3&amp;IF($G$4&lt;&gt;"",$G$4,"")&amp;IF($F$43&lt;&gt;"","_"&amp;$F$43,""),'表3）燃料価格'!$AF$9:$AG$25,2,0)),0,VLOOKUP($I47,'表3）燃料価格'!$A$6:$U$66,VLOOKUP($F$3&amp;IF($G$4&lt;&gt;"",$G$4,"")&amp;IF($F$43&lt;&gt;"","_"&amp;$F$43,""),'表3）燃料価格'!$AF$9:$AG$25,2,0)+VLOOKUP($F$41,'表3）燃料価格'!$AF$28:$AG$29,2,0),0)*IF($F$43="需要地価格",1,$F$8/$F$141))),"")</f>
        <v/>
      </c>
      <c r="AU47" s="39"/>
      <c r="AV47" s="72" t="str">
        <f t="shared" ref="AV47:AV78" si="46">IF($K47&lt;=$F$15,($AT47+$F$142)*$F$137,"")</f>
        <v/>
      </c>
      <c r="AW47" s="72" t="str">
        <f t="shared" si="27"/>
        <v/>
      </c>
      <c r="AX47" s="39"/>
      <c r="AY47" s="40" t="str">
        <f>IF(ISERROR(IF($K47&lt;=$F$15,VLOOKUP($I47,'表4）CO2価格'!$A$7:$E$67,VLOOKUP($F$48,'表4）CO2価格'!$H$10:$I$12,2,0),0)*$F$8/1000,"")),0,IF($K47&lt;=$F$15,VLOOKUP($I47,'表4）CO2価格'!$A$7:$E$67,VLOOKUP($F$48,'表4）CO2価格'!$H$10:$I$12,2,0),0)*$F$8/1000,""))</f>
        <v/>
      </c>
      <c r="AZ47" s="39"/>
      <c r="BA47" s="42" t="str">
        <f t="shared" ref="BA47:BA78" si="47">IF($K47&lt;=$F$15,$F$145*AY47,"")</f>
        <v/>
      </c>
      <c r="BB47" s="72" t="str">
        <f t="shared" si="28"/>
        <v/>
      </c>
      <c r="BC47" s="39"/>
      <c r="BD47" s="72" t="str">
        <f t="shared" ref="BD47:BD78" si="48">IF($K47&lt;=$F$15,($AT47+$F$152)*$F$151,"")</f>
        <v/>
      </c>
      <c r="BE47" s="72" t="str">
        <f t="shared" si="29"/>
        <v/>
      </c>
      <c r="BF47" s="39"/>
      <c r="BG47" s="42" t="str">
        <f t="shared" ref="BG47:BG78" si="49">IF($K47&lt;=$F$15,$F$153*AY47,"")</f>
        <v/>
      </c>
      <c r="BH47" s="72" t="str">
        <f t="shared" si="30"/>
        <v/>
      </c>
      <c r="BI47" s="39"/>
      <c r="BJ47" s="40" t="str">
        <f t="shared" si="31"/>
        <v/>
      </c>
      <c r="BK47" s="157" t="str">
        <f t="shared" si="32"/>
        <v/>
      </c>
      <c r="BL47" s="157" t="str">
        <f t="shared" si="14"/>
        <v/>
      </c>
      <c r="BM47" s="72"/>
      <c r="BN47" s="72" t="str">
        <f t="shared" si="33"/>
        <v/>
      </c>
      <c r="BO47" s="72" t="str">
        <f t="shared" si="34"/>
        <v/>
      </c>
      <c r="BP47" s="39"/>
      <c r="BQ47" s="72" t="str">
        <f t="shared" ref="BQ47:BQ78" si="50">IF($K47&lt;=$F$15,$F$134,"")</f>
        <v/>
      </c>
      <c r="BR47" s="72" t="str">
        <f t="shared" si="35"/>
        <v/>
      </c>
    </row>
    <row r="48" spans="3:70" x14ac:dyDescent="0.15">
      <c r="D48" s="81" t="s">
        <v>184</v>
      </c>
      <c r="F48" s="88"/>
      <c r="I48" s="459">
        <f t="shared" si="36"/>
        <v>2063</v>
      </c>
      <c r="J48" s="71"/>
      <c r="K48" s="71">
        <f t="shared" si="37"/>
        <v>34</v>
      </c>
      <c r="L48" s="71"/>
      <c r="M48" s="7">
        <f t="shared" si="0"/>
        <v>0.36604489974263904</v>
      </c>
      <c r="N48" s="71"/>
      <c r="O48" s="10" t="str">
        <f t="shared" si="16"/>
        <v/>
      </c>
      <c r="P48" s="29" t="str">
        <f t="shared" si="38"/>
        <v/>
      </c>
      <c r="Q48" s="71"/>
      <c r="R48" s="10" t="str">
        <f t="shared" ref="R48:R79" si="51">IF($K48&lt;=$F$15,MAX($F$117*5%,R47*$F$129),"")</f>
        <v/>
      </c>
      <c r="S48" s="71"/>
      <c r="T48" s="10" t="str">
        <f t="shared" si="18"/>
        <v/>
      </c>
      <c r="U48" s="71"/>
      <c r="V48" s="10" t="str">
        <f t="shared" si="39"/>
        <v/>
      </c>
      <c r="W48" s="10" t="str">
        <f t="shared" si="19"/>
        <v/>
      </c>
      <c r="X48" s="71"/>
      <c r="Y48" s="10" t="str">
        <f t="shared" si="40"/>
        <v/>
      </c>
      <c r="Z48" s="10" t="str">
        <f t="shared" si="20"/>
        <v/>
      </c>
      <c r="AA48" s="71"/>
      <c r="AB48" s="10" t="str">
        <f t="shared" si="4"/>
        <v/>
      </c>
      <c r="AC48" s="10" t="str">
        <f t="shared" si="21"/>
        <v/>
      </c>
      <c r="AD48" s="71"/>
      <c r="AE48" s="10" t="str">
        <f t="shared" si="41"/>
        <v/>
      </c>
      <c r="AF48" s="10" t="str">
        <f t="shared" si="22"/>
        <v/>
      </c>
      <c r="AG48" s="71"/>
      <c r="AH48" s="10" t="str">
        <f t="shared" si="42"/>
        <v/>
      </c>
      <c r="AI48" s="10" t="str">
        <f t="shared" si="23"/>
        <v/>
      </c>
      <c r="AJ48" s="71"/>
      <c r="AK48" s="10" t="str">
        <f t="shared" si="43"/>
        <v/>
      </c>
      <c r="AL48" s="10" t="str">
        <f t="shared" si="24"/>
        <v/>
      </c>
      <c r="AM48" s="71"/>
      <c r="AN48" s="10" t="str">
        <f t="shared" si="44"/>
        <v/>
      </c>
      <c r="AO48" s="10" t="str">
        <f t="shared" si="25"/>
        <v/>
      </c>
      <c r="AP48" s="71"/>
      <c r="AQ48" s="10" t="str">
        <f t="shared" si="45"/>
        <v/>
      </c>
      <c r="AR48" s="10" t="str">
        <f t="shared" si="26"/>
        <v/>
      </c>
      <c r="AS48" s="71"/>
      <c r="AT48" s="7" t="str">
        <f>IF($K48&lt;=$F$15,IF($F$40&lt;&gt;"",$F$40/1000,IF(ISERROR(VLOOKUP($F$3&amp;IF($G$4&lt;&gt;"",$G$4,"")&amp;IF($F$43&lt;&gt;"","_"&amp;$F$43,""),'表3）燃料価格'!$AF$9:$AG$25,2,0)),0,VLOOKUP($I48,'表3）燃料価格'!$A$6:$U$66,VLOOKUP($F$3&amp;IF($G$4&lt;&gt;"",$G$4,"")&amp;IF($F$43&lt;&gt;"","_"&amp;$F$43,""),'表3）燃料価格'!$AF$9:$AG$25,2,0)+VLOOKUP($F$41,'表3）燃料価格'!$AF$28:$AG$29,2,0),0)*IF($F$43="需要地価格",1,$F$8/$F$141))),"")</f>
        <v/>
      </c>
      <c r="AU48" s="71"/>
      <c r="AV48" s="10" t="str">
        <f t="shared" si="46"/>
        <v/>
      </c>
      <c r="AW48" s="10" t="str">
        <f t="shared" si="27"/>
        <v/>
      </c>
      <c r="AX48" s="71"/>
      <c r="AY48" s="7" t="str">
        <f>IF(ISERROR(IF($K48&lt;=$F$15,VLOOKUP($I48,'表4）CO2価格'!$A$7:$E$67,VLOOKUP($F$48,'表4）CO2価格'!$H$10:$I$12,2,0),0)*$F$8/1000,"")),0,IF($K48&lt;=$F$15,VLOOKUP($I48,'表4）CO2価格'!$A$7:$E$67,VLOOKUP($F$48,'表4）CO2価格'!$H$10:$I$12,2,0),0)*$F$8/1000,""))</f>
        <v/>
      </c>
      <c r="AZ48" s="71"/>
      <c r="BA48" s="11" t="str">
        <f t="shared" si="47"/>
        <v/>
      </c>
      <c r="BB48" s="10" t="str">
        <f t="shared" si="28"/>
        <v/>
      </c>
      <c r="BC48" s="71"/>
      <c r="BD48" s="10" t="str">
        <f t="shared" si="48"/>
        <v/>
      </c>
      <c r="BE48" s="10" t="str">
        <f t="shared" si="29"/>
        <v/>
      </c>
      <c r="BF48" s="71"/>
      <c r="BG48" s="11" t="str">
        <f t="shared" si="49"/>
        <v/>
      </c>
      <c r="BH48" s="10" t="str">
        <f t="shared" si="30"/>
        <v/>
      </c>
      <c r="BJ48" s="7" t="str">
        <f t="shared" si="31"/>
        <v/>
      </c>
      <c r="BK48" s="158" t="str">
        <f t="shared" si="32"/>
        <v/>
      </c>
      <c r="BL48" s="158" t="str">
        <f t="shared" si="14"/>
        <v/>
      </c>
      <c r="BM48" s="10"/>
      <c r="BN48" s="10" t="str">
        <f t="shared" si="33"/>
        <v/>
      </c>
      <c r="BO48" s="10" t="str">
        <f t="shared" si="34"/>
        <v/>
      </c>
      <c r="BQ48" s="10" t="str">
        <f t="shared" si="50"/>
        <v/>
      </c>
      <c r="BR48" s="10" t="str">
        <f t="shared" si="35"/>
        <v/>
      </c>
    </row>
    <row r="49" spans="3:70" x14ac:dyDescent="0.15">
      <c r="I49" s="458">
        <f t="shared" si="36"/>
        <v>2064</v>
      </c>
      <c r="J49" s="39"/>
      <c r="K49" s="39">
        <f t="shared" si="37"/>
        <v>35</v>
      </c>
      <c r="L49" s="39"/>
      <c r="M49" s="40">
        <f t="shared" si="0"/>
        <v>0.35538339780838735</v>
      </c>
      <c r="N49" s="39"/>
      <c r="O49" s="72" t="str">
        <f t="shared" si="16"/>
        <v/>
      </c>
      <c r="P49" s="41" t="str">
        <f t="shared" si="38"/>
        <v/>
      </c>
      <c r="Q49" s="39"/>
      <c r="R49" s="72" t="str">
        <f t="shared" si="51"/>
        <v/>
      </c>
      <c r="S49" s="39"/>
      <c r="T49" s="72" t="str">
        <f t="shared" si="18"/>
        <v/>
      </c>
      <c r="U49" s="39"/>
      <c r="V49" s="72" t="str">
        <f t="shared" si="39"/>
        <v/>
      </c>
      <c r="W49" s="72" t="str">
        <f t="shared" si="19"/>
        <v/>
      </c>
      <c r="X49" s="39"/>
      <c r="Y49" s="72" t="str">
        <f t="shared" si="40"/>
        <v/>
      </c>
      <c r="Z49" s="72" t="str">
        <f t="shared" si="20"/>
        <v/>
      </c>
      <c r="AA49" s="39"/>
      <c r="AB49" s="72" t="str">
        <f t="shared" si="4"/>
        <v/>
      </c>
      <c r="AC49" s="72" t="str">
        <f t="shared" si="21"/>
        <v/>
      </c>
      <c r="AD49" s="39"/>
      <c r="AE49" s="72" t="str">
        <f t="shared" si="41"/>
        <v/>
      </c>
      <c r="AF49" s="72" t="str">
        <f t="shared" si="22"/>
        <v/>
      </c>
      <c r="AG49" s="39"/>
      <c r="AH49" s="72" t="str">
        <f t="shared" si="42"/>
        <v/>
      </c>
      <c r="AI49" s="72" t="str">
        <f t="shared" si="23"/>
        <v/>
      </c>
      <c r="AJ49" s="39"/>
      <c r="AK49" s="72" t="str">
        <f t="shared" si="43"/>
        <v/>
      </c>
      <c r="AL49" s="72" t="str">
        <f t="shared" si="24"/>
        <v/>
      </c>
      <c r="AM49" s="39"/>
      <c r="AN49" s="72" t="str">
        <f t="shared" si="44"/>
        <v/>
      </c>
      <c r="AO49" s="72" t="str">
        <f t="shared" si="25"/>
        <v/>
      </c>
      <c r="AP49" s="39"/>
      <c r="AQ49" s="72" t="str">
        <f t="shared" si="45"/>
        <v/>
      </c>
      <c r="AR49" s="72" t="str">
        <f t="shared" si="26"/>
        <v/>
      </c>
      <c r="AS49" s="39"/>
      <c r="AT49" s="40" t="str">
        <f>IF($K49&lt;=$F$15,IF($F$40&lt;&gt;"",$F$40/1000,IF(ISERROR(VLOOKUP($F$3&amp;IF($G$4&lt;&gt;"",$G$4,"")&amp;IF($F$43&lt;&gt;"","_"&amp;$F$43,""),'表3）燃料価格'!$AF$9:$AG$25,2,0)),0,VLOOKUP($I49,'表3）燃料価格'!$A$6:$U$66,VLOOKUP($F$3&amp;IF($G$4&lt;&gt;"",$G$4,"")&amp;IF($F$43&lt;&gt;"","_"&amp;$F$43,""),'表3）燃料価格'!$AF$9:$AG$25,2,0)+VLOOKUP($F$41,'表3）燃料価格'!$AF$28:$AG$29,2,0),0)*IF($F$43="需要地価格",1,$F$8/$F$141))),"")</f>
        <v/>
      </c>
      <c r="AU49" s="39"/>
      <c r="AV49" s="72" t="str">
        <f t="shared" si="46"/>
        <v/>
      </c>
      <c r="AW49" s="72" t="str">
        <f t="shared" si="27"/>
        <v/>
      </c>
      <c r="AX49" s="39"/>
      <c r="AY49" s="40" t="str">
        <f>IF(ISERROR(IF($K49&lt;=$F$15,VLOOKUP($I49,'表4）CO2価格'!$A$7:$E$67,VLOOKUP($F$48,'表4）CO2価格'!$H$10:$I$12,2,0),0)*$F$8/1000,"")),0,IF($K49&lt;=$F$15,VLOOKUP($I49,'表4）CO2価格'!$A$7:$E$67,VLOOKUP($F$48,'表4）CO2価格'!$H$10:$I$12,2,0),0)*$F$8/1000,""))</f>
        <v/>
      </c>
      <c r="AZ49" s="39"/>
      <c r="BA49" s="42" t="str">
        <f t="shared" si="47"/>
        <v/>
      </c>
      <c r="BB49" s="72" t="str">
        <f t="shared" si="28"/>
        <v/>
      </c>
      <c r="BC49" s="39"/>
      <c r="BD49" s="72" t="str">
        <f t="shared" si="48"/>
        <v/>
      </c>
      <c r="BE49" s="72" t="str">
        <f t="shared" si="29"/>
        <v/>
      </c>
      <c r="BF49" s="39"/>
      <c r="BG49" s="42" t="str">
        <f t="shared" si="49"/>
        <v/>
      </c>
      <c r="BH49" s="72" t="str">
        <f t="shared" si="30"/>
        <v/>
      </c>
      <c r="BI49" s="39"/>
      <c r="BJ49" s="40" t="str">
        <f t="shared" si="31"/>
        <v/>
      </c>
      <c r="BK49" s="157" t="str">
        <f t="shared" si="32"/>
        <v/>
      </c>
      <c r="BL49" s="157" t="str">
        <f t="shared" si="14"/>
        <v/>
      </c>
      <c r="BM49" s="72"/>
      <c r="BN49" s="72" t="str">
        <f t="shared" si="33"/>
        <v/>
      </c>
      <c r="BO49" s="72" t="str">
        <f t="shared" si="34"/>
        <v/>
      </c>
      <c r="BP49" s="39"/>
      <c r="BQ49" s="72" t="str">
        <f t="shared" si="50"/>
        <v/>
      </c>
      <c r="BR49" s="72" t="str">
        <f t="shared" si="35"/>
        <v/>
      </c>
    </row>
    <row r="50" spans="3:70" x14ac:dyDescent="0.15">
      <c r="C50" s="89" t="s">
        <v>510</v>
      </c>
      <c r="D50" s="101"/>
      <c r="E50" s="101"/>
      <c r="F50" s="89"/>
      <c r="G50" s="101"/>
      <c r="I50" s="459">
        <f t="shared" si="36"/>
        <v>2065</v>
      </c>
      <c r="J50" s="71"/>
      <c r="K50" s="71">
        <f t="shared" si="37"/>
        <v>36</v>
      </c>
      <c r="L50" s="71"/>
      <c r="M50" s="7">
        <f t="shared" si="0"/>
        <v>0.34503242505668674</v>
      </c>
      <c r="N50" s="71"/>
      <c r="O50" s="10" t="str">
        <f t="shared" si="16"/>
        <v/>
      </c>
      <c r="P50" s="29" t="str">
        <f t="shared" si="38"/>
        <v/>
      </c>
      <c r="Q50" s="71"/>
      <c r="R50" s="10" t="str">
        <f t="shared" si="51"/>
        <v/>
      </c>
      <c r="S50" s="71"/>
      <c r="T50" s="10" t="str">
        <f t="shared" si="18"/>
        <v/>
      </c>
      <c r="U50" s="71"/>
      <c r="V50" s="10" t="str">
        <f t="shared" si="39"/>
        <v/>
      </c>
      <c r="W50" s="10" t="str">
        <f t="shared" si="19"/>
        <v/>
      </c>
      <c r="X50" s="71"/>
      <c r="Y50" s="10" t="str">
        <f t="shared" si="40"/>
        <v/>
      </c>
      <c r="Z50" s="10" t="str">
        <f t="shared" si="20"/>
        <v/>
      </c>
      <c r="AA50" s="71"/>
      <c r="AB50" s="10" t="str">
        <f t="shared" si="4"/>
        <v/>
      </c>
      <c r="AC50" s="10" t="str">
        <f t="shared" si="21"/>
        <v/>
      </c>
      <c r="AD50" s="71"/>
      <c r="AE50" s="10" t="str">
        <f t="shared" si="41"/>
        <v/>
      </c>
      <c r="AF50" s="10" t="str">
        <f t="shared" si="22"/>
        <v/>
      </c>
      <c r="AG50" s="71"/>
      <c r="AH50" s="10" t="str">
        <f t="shared" si="42"/>
        <v/>
      </c>
      <c r="AI50" s="10" t="str">
        <f t="shared" si="23"/>
        <v/>
      </c>
      <c r="AJ50" s="71"/>
      <c r="AK50" s="10" t="str">
        <f t="shared" si="43"/>
        <v/>
      </c>
      <c r="AL50" s="10" t="str">
        <f t="shared" si="24"/>
        <v/>
      </c>
      <c r="AM50" s="71"/>
      <c r="AN50" s="10" t="str">
        <f t="shared" si="44"/>
        <v/>
      </c>
      <c r="AO50" s="10" t="str">
        <f t="shared" si="25"/>
        <v/>
      </c>
      <c r="AP50" s="71"/>
      <c r="AQ50" s="10" t="str">
        <f t="shared" si="45"/>
        <v/>
      </c>
      <c r="AR50" s="10" t="str">
        <f t="shared" si="26"/>
        <v/>
      </c>
      <c r="AS50" s="71"/>
      <c r="AT50" s="7" t="str">
        <f>IF($K50&lt;=$F$15,IF($F$40&lt;&gt;"",$F$40/1000,IF(ISERROR(VLOOKUP($F$3&amp;IF($G$4&lt;&gt;"",$G$4,"")&amp;IF($F$43&lt;&gt;"","_"&amp;$F$43,""),'表3）燃料価格'!$AF$9:$AG$25,2,0)),0,VLOOKUP($I50,'表3）燃料価格'!$A$6:$U$66,VLOOKUP($F$3&amp;IF($G$4&lt;&gt;"",$G$4,"")&amp;IF($F$43&lt;&gt;"","_"&amp;$F$43,""),'表3）燃料価格'!$AF$9:$AG$25,2,0)+VLOOKUP($F$41,'表3）燃料価格'!$AF$28:$AG$29,2,0),0)*IF($F$43="需要地価格",1,$F$8/$F$141))),"")</f>
        <v/>
      </c>
      <c r="AU50" s="71"/>
      <c r="AV50" s="10" t="str">
        <f t="shared" si="46"/>
        <v/>
      </c>
      <c r="AW50" s="10" t="str">
        <f t="shared" si="27"/>
        <v/>
      </c>
      <c r="AX50" s="71"/>
      <c r="AY50" s="7" t="str">
        <f>IF(ISERROR(IF($K50&lt;=$F$15,VLOOKUP($I50,'表4）CO2価格'!$A$7:$E$67,VLOOKUP($F$48,'表4）CO2価格'!$H$10:$I$12,2,0),0)*$F$8/1000,"")),0,IF($K50&lt;=$F$15,VLOOKUP($I50,'表4）CO2価格'!$A$7:$E$67,VLOOKUP($F$48,'表4）CO2価格'!$H$10:$I$12,2,0),0)*$F$8/1000,""))</f>
        <v/>
      </c>
      <c r="AZ50" s="71"/>
      <c r="BA50" s="11" t="str">
        <f t="shared" si="47"/>
        <v/>
      </c>
      <c r="BB50" s="10" t="str">
        <f t="shared" si="28"/>
        <v/>
      </c>
      <c r="BC50" s="71"/>
      <c r="BD50" s="10" t="str">
        <f t="shared" si="48"/>
        <v/>
      </c>
      <c r="BE50" s="10" t="str">
        <f t="shared" si="29"/>
        <v/>
      </c>
      <c r="BF50" s="71"/>
      <c r="BG50" s="11" t="str">
        <f t="shared" si="49"/>
        <v/>
      </c>
      <c r="BH50" s="10" t="str">
        <f t="shared" si="30"/>
        <v/>
      </c>
      <c r="BJ50" s="7" t="str">
        <f t="shared" si="31"/>
        <v/>
      </c>
      <c r="BK50" s="158" t="str">
        <f t="shared" si="32"/>
        <v/>
      </c>
      <c r="BL50" s="158" t="str">
        <f t="shared" si="14"/>
        <v/>
      </c>
      <c r="BM50" s="10"/>
      <c r="BN50" s="10" t="str">
        <f t="shared" si="33"/>
        <v/>
      </c>
      <c r="BO50" s="10" t="str">
        <f t="shared" si="34"/>
        <v/>
      </c>
      <c r="BQ50" s="10" t="str">
        <f t="shared" si="50"/>
        <v/>
      </c>
      <c r="BR50" s="10" t="str">
        <f t="shared" si="35"/>
        <v/>
      </c>
    </row>
    <row r="51" spans="3:70" x14ac:dyDescent="0.15">
      <c r="I51" s="458">
        <f t="shared" si="36"/>
        <v>2066</v>
      </c>
      <c r="J51" s="39"/>
      <c r="K51" s="39">
        <f t="shared" si="37"/>
        <v>37</v>
      </c>
      <c r="L51" s="39"/>
      <c r="M51" s="40">
        <f t="shared" si="0"/>
        <v>0.33498293694823961</v>
      </c>
      <c r="N51" s="39"/>
      <c r="O51" s="72" t="str">
        <f t="shared" si="16"/>
        <v/>
      </c>
      <c r="P51" s="41" t="str">
        <f t="shared" si="38"/>
        <v/>
      </c>
      <c r="Q51" s="39"/>
      <c r="R51" s="72" t="str">
        <f t="shared" si="51"/>
        <v/>
      </c>
      <c r="S51" s="39"/>
      <c r="T51" s="72" t="str">
        <f t="shared" si="18"/>
        <v/>
      </c>
      <c r="U51" s="39"/>
      <c r="V51" s="72" t="str">
        <f t="shared" si="39"/>
        <v/>
      </c>
      <c r="W51" s="72" t="str">
        <f t="shared" si="19"/>
        <v/>
      </c>
      <c r="X51" s="39"/>
      <c r="Y51" s="72" t="str">
        <f t="shared" si="40"/>
        <v/>
      </c>
      <c r="Z51" s="72" t="str">
        <f t="shared" si="20"/>
        <v/>
      </c>
      <c r="AA51" s="39"/>
      <c r="AB51" s="72" t="str">
        <f t="shared" si="4"/>
        <v/>
      </c>
      <c r="AC51" s="72" t="str">
        <f t="shared" si="21"/>
        <v/>
      </c>
      <c r="AD51" s="39"/>
      <c r="AE51" s="72" t="str">
        <f t="shared" si="41"/>
        <v/>
      </c>
      <c r="AF51" s="72" t="str">
        <f t="shared" si="22"/>
        <v/>
      </c>
      <c r="AG51" s="39"/>
      <c r="AH51" s="72" t="str">
        <f t="shared" si="42"/>
        <v/>
      </c>
      <c r="AI51" s="72" t="str">
        <f t="shared" si="23"/>
        <v/>
      </c>
      <c r="AJ51" s="39"/>
      <c r="AK51" s="72" t="str">
        <f t="shared" si="43"/>
        <v/>
      </c>
      <c r="AL51" s="72" t="str">
        <f t="shared" si="24"/>
        <v/>
      </c>
      <c r="AM51" s="39"/>
      <c r="AN51" s="72" t="str">
        <f t="shared" si="44"/>
        <v/>
      </c>
      <c r="AO51" s="72" t="str">
        <f t="shared" si="25"/>
        <v/>
      </c>
      <c r="AP51" s="39"/>
      <c r="AQ51" s="72" t="str">
        <f t="shared" si="45"/>
        <v/>
      </c>
      <c r="AR51" s="72" t="str">
        <f t="shared" si="26"/>
        <v/>
      </c>
      <c r="AS51" s="39"/>
      <c r="AT51" s="40" t="str">
        <f>IF($K51&lt;=$F$15,IF($F$40&lt;&gt;"",$F$40/1000,IF(ISERROR(VLOOKUP($F$3&amp;IF($G$4&lt;&gt;"",$G$4,"")&amp;IF($F$43&lt;&gt;"","_"&amp;$F$43,""),'表3）燃料価格'!$AF$9:$AG$25,2,0)),0,VLOOKUP($I51,'表3）燃料価格'!$A$6:$U$66,VLOOKUP($F$3&amp;IF($G$4&lt;&gt;"",$G$4,"")&amp;IF($F$43&lt;&gt;"","_"&amp;$F$43,""),'表3）燃料価格'!$AF$9:$AG$25,2,0)+VLOOKUP($F$41,'表3）燃料価格'!$AF$28:$AG$29,2,0),0)*IF($F$43="需要地価格",1,$F$8/$F$141))),"")</f>
        <v/>
      </c>
      <c r="AU51" s="39"/>
      <c r="AV51" s="72" t="str">
        <f t="shared" si="46"/>
        <v/>
      </c>
      <c r="AW51" s="72" t="str">
        <f t="shared" si="27"/>
        <v/>
      </c>
      <c r="AX51" s="39"/>
      <c r="AY51" s="40" t="str">
        <f>IF(ISERROR(IF($K51&lt;=$F$15,VLOOKUP($I51,'表4）CO2価格'!$A$7:$E$67,VLOOKUP($F$48,'表4）CO2価格'!$H$10:$I$12,2,0),0)*$F$8/1000,"")),0,IF($K51&lt;=$F$15,VLOOKUP($I51,'表4）CO2価格'!$A$7:$E$67,VLOOKUP($F$48,'表4）CO2価格'!$H$10:$I$12,2,0),0)*$F$8/1000,""))</f>
        <v/>
      </c>
      <c r="AZ51" s="39"/>
      <c r="BA51" s="42" t="str">
        <f t="shared" si="47"/>
        <v/>
      </c>
      <c r="BB51" s="72" t="str">
        <f t="shared" si="28"/>
        <v/>
      </c>
      <c r="BC51" s="39"/>
      <c r="BD51" s="72" t="str">
        <f t="shared" si="48"/>
        <v/>
      </c>
      <c r="BE51" s="72" t="str">
        <f t="shared" si="29"/>
        <v/>
      </c>
      <c r="BF51" s="39"/>
      <c r="BG51" s="42" t="str">
        <f t="shared" si="49"/>
        <v/>
      </c>
      <c r="BH51" s="72" t="str">
        <f t="shared" si="30"/>
        <v/>
      </c>
      <c r="BI51" s="39"/>
      <c r="BJ51" s="40" t="str">
        <f t="shared" si="31"/>
        <v/>
      </c>
      <c r="BK51" s="157" t="str">
        <f t="shared" si="32"/>
        <v/>
      </c>
      <c r="BL51" s="157" t="str">
        <f t="shared" si="14"/>
        <v/>
      </c>
      <c r="BM51" s="72"/>
      <c r="BN51" s="72" t="str">
        <f t="shared" si="33"/>
        <v/>
      </c>
      <c r="BO51" s="72" t="str">
        <f t="shared" si="34"/>
        <v/>
      </c>
      <c r="BP51" s="39"/>
      <c r="BQ51" s="72" t="str">
        <f t="shared" si="50"/>
        <v/>
      </c>
      <c r="BR51" s="72" t="str">
        <f t="shared" si="35"/>
        <v/>
      </c>
    </row>
    <row r="52" spans="3:70" x14ac:dyDescent="0.15">
      <c r="D52" s="81" t="s">
        <v>185</v>
      </c>
      <c r="F52" s="90"/>
      <c r="G52" s="81" t="s">
        <v>172</v>
      </c>
      <c r="I52" s="459">
        <f t="shared" si="36"/>
        <v>2067</v>
      </c>
      <c r="J52" s="71"/>
      <c r="K52" s="71">
        <f t="shared" si="37"/>
        <v>38</v>
      </c>
      <c r="L52" s="71"/>
      <c r="M52" s="7">
        <f t="shared" si="0"/>
        <v>0.3252261523769317</v>
      </c>
      <c r="N52" s="71"/>
      <c r="O52" s="10" t="str">
        <f t="shared" si="16"/>
        <v/>
      </c>
      <c r="P52" s="29" t="str">
        <f t="shared" si="38"/>
        <v/>
      </c>
      <c r="Q52" s="71"/>
      <c r="R52" s="10" t="str">
        <f t="shared" si="51"/>
        <v/>
      </c>
      <c r="S52" s="71"/>
      <c r="T52" s="10" t="str">
        <f t="shared" si="18"/>
        <v/>
      </c>
      <c r="U52" s="71"/>
      <c r="V52" s="10" t="str">
        <f t="shared" si="39"/>
        <v/>
      </c>
      <c r="W52" s="10" t="str">
        <f t="shared" si="19"/>
        <v/>
      </c>
      <c r="X52" s="71"/>
      <c r="Y52" s="10" t="str">
        <f t="shared" si="40"/>
        <v/>
      </c>
      <c r="Z52" s="10" t="str">
        <f t="shared" si="20"/>
        <v/>
      </c>
      <c r="AA52" s="71"/>
      <c r="AB52" s="10" t="str">
        <f t="shared" si="4"/>
        <v/>
      </c>
      <c r="AC52" s="10" t="str">
        <f t="shared" si="21"/>
        <v/>
      </c>
      <c r="AD52" s="71"/>
      <c r="AE52" s="10" t="str">
        <f t="shared" si="41"/>
        <v/>
      </c>
      <c r="AF52" s="10" t="str">
        <f t="shared" si="22"/>
        <v/>
      </c>
      <c r="AG52" s="71"/>
      <c r="AH52" s="10" t="str">
        <f t="shared" si="42"/>
        <v/>
      </c>
      <c r="AI52" s="10" t="str">
        <f t="shared" si="23"/>
        <v/>
      </c>
      <c r="AJ52" s="71"/>
      <c r="AK52" s="10" t="str">
        <f t="shared" si="43"/>
        <v/>
      </c>
      <c r="AL52" s="10" t="str">
        <f t="shared" si="24"/>
        <v/>
      </c>
      <c r="AM52" s="71"/>
      <c r="AN52" s="10" t="str">
        <f t="shared" si="44"/>
        <v/>
      </c>
      <c r="AO52" s="10" t="str">
        <f t="shared" si="25"/>
        <v/>
      </c>
      <c r="AP52" s="71"/>
      <c r="AQ52" s="10" t="str">
        <f t="shared" si="45"/>
        <v/>
      </c>
      <c r="AR52" s="10" t="str">
        <f t="shared" si="26"/>
        <v/>
      </c>
      <c r="AS52" s="71"/>
      <c r="AT52" s="7" t="str">
        <f>IF($K52&lt;=$F$15,IF($F$40&lt;&gt;"",$F$40/1000,IF(ISERROR(VLOOKUP($F$3&amp;IF($G$4&lt;&gt;"",$G$4,"")&amp;IF($F$43&lt;&gt;"","_"&amp;$F$43,""),'表3）燃料価格'!$AF$9:$AG$25,2,0)),0,VLOOKUP($I52,'表3）燃料価格'!$A$6:$U$66,VLOOKUP($F$3&amp;IF($G$4&lt;&gt;"",$G$4,"")&amp;IF($F$43&lt;&gt;"","_"&amp;$F$43,""),'表3）燃料価格'!$AF$9:$AG$25,2,0)+VLOOKUP($F$41,'表3）燃料価格'!$AF$28:$AG$29,2,0),0)*IF($F$43="需要地価格",1,$F$8/$F$141))),"")</f>
        <v/>
      </c>
      <c r="AU52" s="71"/>
      <c r="AV52" s="10" t="str">
        <f t="shared" si="46"/>
        <v/>
      </c>
      <c r="AW52" s="10" t="str">
        <f t="shared" si="27"/>
        <v/>
      </c>
      <c r="AX52" s="71"/>
      <c r="AY52" s="7" t="str">
        <f>IF(ISERROR(IF($K52&lt;=$F$15,VLOOKUP($I52,'表4）CO2価格'!$A$7:$E$67,VLOOKUP($F$48,'表4）CO2価格'!$H$10:$I$12,2,0),0)*$F$8/1000,"")),0,IF($K52&lt;=$F$15,VLOOKUP($I52,'表4）CO2価格'!$A$7:$E$67,VLOOKUP($F$48,'表4）CO2価格'!$H$10:$I$12,2,0),0)*$F$8/1000,""))</f>
        <v/>
      </c>
      <c r="AZ52" s="71"/>
      <c r="BA52" s="11" t="str">
        <f t="shared" si="47"/>
        <v/>
      </c>
      <c r="BB52" s="10" t="str">
        <f t="shared" si="28"/>
        <v/>
      </c>
      <c r="BC52" s="71"/>
      <c r="BD52" s="10" t="str">
        <f t="shared" si="48"/>
        <v/>
      </c>
      <c r="BE52" s="10" t="str">
        <f t="shared" si="29"/>
        <v/>
      </c>
      <c r="BF52" s="71"/>
      <c r="BG52" s="11" t="str">
        <f t="shared" si="49"/>
        <v/>
      </c>
      <c r="BH52" s="10" t="str">
        <f t="shared" si="30"/>
        <v/>
      </c>
      <c r="BJ52" s="7" t="str">
        <f t="shared" si="31"/>
        <v/>
      </c>
      <c r="BK52" s="158" t="str">
        <f t="shared" si="32"/>
        <v/>
      </c>
      <c r="BL52" s="158" t="str">
        <f t="shared" si="14"/>
        <v/>
      </c>
      <c r="BM52" s="10"/>
      <c r="BN52" s="10" t="str">
        <f t="shared" si="33"/>
        <v/>
      </c>
      <c r="BO52" s="10" t="str">
        <f t="shared" si="34"/>
        <v/>
      </c>
      <c r="BQ52" s="10" t="str">
        <f t="shared" si="50"/>
        <v/>
      </c>
      <c r="BR52" s="10" t="str">
        <f t="shared" si="35"/>
        <v/>
      </c>
    </row>
    <row r="53" spans="3:70" x14ac:dyDescent="0.15">
      <c r="D53" s="81" t="s">
        <v>186</v>
      </c>
      <c r="F53" s="66"/>
      <c r="G53" s="81" t="s">
        <v>172</v>
      </c>
      <c r="I53" s="458">
        <f t="shared" si="36"/>
        <v>2068</v>
      </c>
      <c r="J53" s="39"/>
      <c r="K53" s="39">
        <f t="shared" si="37"/>
        <v>39</v>
      </c>
      <c r="L53" s="39"/>
      <c r="M53" s="40">
        <f t="shared" si="0"/>
        <v>0.31575354599702099</v>
      </c>
      <c r="N53" s="39"/>
      <c r="O53" s="72" t="str">
        <f t="shared" si="16"/>
        <v/>
      </c>
      <c r="P53" s="41" t="str">
        <f t="shared" si="38"/>
        <v/>
      </c>
      <c r="Q53" s="39"/>
      <c r="R53" s="72" t="str">
        <f t="shared" si="51"/>
        <v/>
      </c>
      <c r="S53" s="39"/>
      <c r="T53" s="72" t="str">
        <f t="shared" si="18"/>
        <v/>
      </c>
      <c r="U53" s="39"/>
      <c r="V53" s="72" t="str">
        <f t="shared" si="39"/>
        <v/>
      </c>
      <c r="W53" s="72" t="str">
        <f t="shared" si="19"/>
        <v/>
      </c>
      <c r="X53" s="39"/>
      <c r="Y53" s="72" t="str">
        <f t="shared" si="40"/>
        <v/>
      </c>
      <c r="Z53" s="72" t="str">
        <f t="shared" si="20"/>
        <v/>
      </c>
      <c r="AA53" s="39"/>
      <c r="AB53" s="72" t="str">
        <f t="shared" si="4"/>
        <v/>
      </c>
      <c r="AC53" s="72" t="str">
        <f t="shared" si="21"/>
        <v/>
      </c>
      <c r="AD53" s="39"/>
      <c r="AE53" s="72" t="str">
        <f t="shared" si="41"/>
        <v/>
      </c>
      <c r="AF53" s="72" t="str">
        <f t="shared" si="22"/>
        <v/>
      </c>
      <c r="AG53" s="39"/>
      <c r="AH53" s="72" t="str">
        <f t="shared" si="42"/>
        <v/>
      </c>
      <c r="AI53" s="72" t="str">
        <f t="shared" si="23"/>
        <v/>
      </c>
      <c r="AJ53" s="39"/>
      <c r="AK53" s="72" t="str">
        <f t="shared" si="43"/>
        <v/>
      </c>
      <c r="AL53" s="72" t="str">
        <f t="shared" si="24"/>
        <v/>
      </c>
      <c r="AM53" s="39"/>
      <c r="AN53" s="72" t="str">
        <f t="shared" si="44"/>
        <v/>
      </c>
      <c r="AO53" s="72" t="str">
        <f t="shared" si="25"/>
        <v/>
      </c>
      <c r="AP53" s="39"/>
      <c r="AQ53" s="72" t="str">
        <f t="shared" si="45"/>
        <v/>
      </c>
      <c r="AR53" s="72" t="str">
        <f t="shared" si="26"/>
        <v/>
      </c>
      <c r="AS53" s="39"/>
      <c r="AT53" s="40" t="str">
        <f>IF($K53&lt;=$F$15,IF($F$40&lt;&gt;"",$F$40/1000,IF(ISERROR(VLOOKUP($F$3&amp;IF($G$4&lt;&gt;"",$G$4,"")&amp;IF($F$43&lt;&gt;"","_"&amp;$F$43,""),'表3）燃料価格'!$AF$9:$AG$25,2,0)),0,VLOOKUP($I53,'表3）燃料価格'!$A$6:$U$66,VLOOKUP($F$3&amp;IF($G$4&lt;&gt;"",$G$4,"")&amp;IF($F$43&lt;&gt;"","_"&amp;$F$43,""),'表3）燃料価格'!$AF$9:$AG$25,2,0)+VLOOKUP($F$41,'表3）燃料価格'!$AF$28:$AG$29,2,0),0)*IF($F$43="需要地価格",1,$F$8/$F$141))),"")</f>
        <v/>
      </c>
      <c r="AU53" s="39"/>
      <c r="AV53" s="72" t="str">
        <f t="shared" si="46"/>
        <v/>
      </c>
      <c r="AW53" s="72" t="str">
        <f t="shared" si="27"/>
        <v/>
      </c>
      <c r="AX53" s="39"/>
      <c r="AY53" s="40" t="str">
        <f>IF(ISERROR(IF($K53&lt;=$F$15,VLOOKUP($I53,'表4）CO2価格'!$A$7:$E$67,VLOOKUP($F$48,'表4）CO2価格'!$H$10:$I$12,2,0),0)*$F$8/1000,"")),0,IF($K53&lt;=$F$15,VLOOKUP($I53,'表4）CO2価格'!$A$7:$E$67,VLOOKUP($F$48,'表4）CO2価格'!$H$10:$I$12,2,0),0)*$F$8/1000,""))</f>
        <v/>
      </c>
      <c r="AZ53" s="39"/>
      <c r="BA53" s="42" t="str">
        <f t="shared" si="47"/>
        <v/>
      </c>
      <c r="BB53" s="72" t="str">
        <f t="shared" si="28"/>
        <v/>
      </c>
      <c r="BC53" s="39"/>
      <c r="BD53" s="72" t="str">
        <f t="shared" si="48"/>
        <v/>
      </c>
      <c r="BE53" s="72" t="str">
        <f t="shared" si="29"/>
        <v/>
      </c>
      <c r="BF53" s="39"/>
      <c r="BG53" s="42" t="str">
        <f t="shared" si="49"/>
        <v/>
      </c>
      <c r="BH53" s="72" t="str">
        <f t="shared" si="30"/>
        <v/>
      </c>
      <c r="BI53" s="39"/>
      <c r="BJ53" s="40" t="str">
        <f t="shared" si="31"/>
        <v/>
      </c>
      <c r="BK53" s="157" t="str">
        <f t="shared" si="32"/>
        <v/>
      </c>
      <c r="BL53" s="157" t="str">
        <f t="shared" si="14"/>
        <v/>
      </c>
      <c r="BM53" s="72"/>
      <c r="BN53" s="72" t="str">
        <f t="shared" si="33"/>
        <v/>
      </c>
      <c r="BO53" s="72" t="str">
        <f t="shared" si="34"/>
        <v/>
      </c>
      <c r="BP53" s="39"/>
      <c r="BQ53" s="72" t="str">
        <f t="shared" si="50"/>
        <v/>
      </c>
      <c r="BR53" s="72" t="str">
        <f t="shared" si="35"/>
        <v/>
      </c>
    </row>
    <row r="54" spans="3:70" x14ac:dyDescent="0.15">
      <c r="D54" s="81" t="s">
        <v>187</v>
      </c>
      <c r="F54" s="66"/>
      <c r="G54" s="81" t="s">
        <v>172</v>
      </c>
      <c r="I54" s="459">
        <f t="shared" si="36"/>
        <v>2069</v>
      </c>
      <c r="J54" s="71"/>
      <c r="K54" s="71">
        <f t="shared" si="37"/>
        <v>40</v>
      </c>
      <c r="L54" s="71"/>
      <c r="M54" s="7">
        <f t="shared" si="0"/>
        <v>0.30655684077380685</v>
      </c>
      <c r="N54" s="71"/>
      <c r="O54" s="10" t="str">
        <f t="shared" si="16"/>
        <v/>
      </c>
      <c r="P54" s="29" t="str">
        <f t="shared" si="38"/>
        <v/>
      </c>
      <c r="Q54" s="71"/>
      <c r="R54" s="10" t="str">
        <f t="shared" si="51"/>
        <v/>
      </c>
      <c r="S54" s="71"/>
      <c r="T54" s="10" t="str">
        <f t="shared" si="18"/>
        <v/>
      </c>
      <c r="U54" s="71"/>
      <c r="V54" s="10" t="str">
        <f t="shared" si="39"/>
        <v/>
      </c>
      <c r="W54" s="10" t="str">
        <f t="shared" si="19"/>
        <v/>
      </c>
      <c r="X54" s="71"/>
      <c r="Y54" s="10" t="str">
        <f t="shared" si="40"/>
        <v/>
      </c>
      <c r="Z54" s="10" t="str">
        <f t="shared" si="20"/>
        <v/>
      </c>
      <c r="AA54" s="71"/>
      <c r="AB54" s="10" t="str">
        <f t="shared" si="4"/>
        <v/>
      </c>
      <c r="AC54" s="10" t="str">
        <f t="shared" si="21"/>
        <v/>
      </c>
      <c r="AD54" s="71"/>
      <c r="AE54" s="10" t="str">
        <f t="shared" si="41"/>
        <v/>
      </c>
      <c r="AF54" s="10" t="str">
        <f t="shared" si="22"/>
        <v/>
      </c>
      <c r="AG54" s="71"/>
      <c r="AH54" s="10" t="str">
        <f t="shared" si="42"/>
        <v/>
      </c>
      <c r="AI54" s="10" t="str">
        <f t="shared" si="23"/>
        <v/>
      </c>
      <c r="AJ54" s="71"/>
      <c r="AK54" s="10" t="str">
        <f t="shared" si="43"/>
        <v/>
      </c>
      <c r="AL54" s="10" t="str">
        <f t="shared" si="24"/>
        <v/>
      </c>
      <c r="AM54" s="71"/>
      <c r="AN54" s="10" t="str">
        <f t="shared" si="44"/>
        <v/>
      </c>
      <c r="AO54" s="10" t="str">
        <f t="shared" si="25"/>
        <v/>
      </c>
      <c r="AP54" s="71"/>
      <c r="AQ54" s="10" t="str">
        <f t="shared" si="45"/>
        <v/>
      </c>
      <c r="AR54" s="10" t="str">
        <f t="shared" si="26"/>
        <v/>
      </c>
      <c r="AS54" s="71"/>
      <c r="AT54" s="7" t="str">
        <f>IF($K54&lt;=$F$15,IF($F$40&lt;&gt;"",$F$40/1000,IF(ISERROR(VLOOKUP($F$3&amp;IF($G$4&lt;&gt;"",$G$4,"")&amp;IF($F$43&lt;&gt;"","_"&amp;$F$43,""),'表3）燃料価格'!$AF$9:$AG$25,2,0)),0,VLOOKUP($I54,'表3）燃料価格'!$A$6:$U$66,VLOOKUP($F$3&amp;IF($G$4&lt;&gt;"",$G$4,"")&amp;IF($F$43&lt;&gt;"","_"&amp;$F$43,""),'表3）燃料価格'!$AF$9:$AG$25,2,0)+VLOOKUP($F$41,'表3）燃料価格'!$AF$28:$AG$29,2,0),0)*IF($F$43="需要地価格",1,$F$8/$F$141))),"")</f>
        <v/>
      </c>
      <c r="AU54" s="71"/>
      <c r="AV54" s="10" t="str">
        <f t="shared" si="46"/>
        <v/>
      </c>
      <c r="AW54" s="10" t="str">
        <f t="shared" si="27"/>
        <v/>
      </c>
      <c r="AX54" s="71"/>
      <c r="AY54" s="7" t="str">
        <f>IF(ISERROR(IF($K54&lt;=$F$15,VLOOKUP($I54,'表4）CO2価格'!$A$7:$E$67,VLOOKUP($F$48,'表4）CO2価格'!$H$10:$I$12,2,0),0)*$F$8/1000,"")),0,IF($K54&lt;=$F$15,VLOOKUP($I54,'表4）CO2価格'!$A$7:$E$67,VLOOKUP($F$48,'表4）CO2価格'!$H$10:$I$12,2,0),0)*$F$8/1000,""))</f>
        <v/>
      </c>
      <c r="AZ54" s="71"/>
      <c r="BA54" s="11" t="str">
        <f t="shared" si="47"/>
        <v/>
      </c>
      <c r="BB54" s="10" t="str">
        <f t="shared" si="28"/>
        <v/>
      </c>
      <c r="BC54" s="71"/>
      <c r="BD54" s="10" t="str">
        <f t="shared" si="48"/>
        <v/>
      </c>
      <c r="BE54" s="10" t="str">
        <f t="shared" si="29"/>
        <v/>
      </c>
      <c r="BF54" s="71"/>
      <c r="BG54" s="11" t="str">
        <f t="shared" si="49"/>
        <v/>
      </c>
      <c r="BH54" s="10" t="str">
        <f t="shared" si="30"/>
        <v/>
      </c>
      <c r="BJ54" s="7" t="str">
        <f t="shared" si="31"/>
        <v/>
      </c>
      <c r="BK54" s="158" t="str">
        <f t="shared" si="32"/>
        <v/>
      </c>
      <c r="BL54" s="158" t="str">
        <f t="shared" si="14"/>
        <v/>
      </c>
      <c r="BM54" s="10"/>
      <c r="BN54" s="10" t="str">
        <f t="shared" si="33"/>
        <v/>
      </c>
      <c r="BO54" s="10" t="str">
        <f t="shared" si="34"/>
        <v/>
      </c>
      <c r="BQ54" s="10" t="str">
        <f t="shared" si="50"/>
        <v/>
      </c>
      <c r="BR54" s="10" t="str">
        <f t="shared" si="35"/>
        <v/>
      </c>
    </row>
    <row r="55" spans="3:70" ht="16.5" x14ac:dyDescent="0.15">
      <c r="D55" s="81" t="s">
        <v>188</v>
      </c>
      <c r="F55" s="66"/>
      <c r="G55" s="9" t="s">
        <v>372</v>
      </c>
      <c r="I55" s="458">
        <f>I54+1</f>
        <v>2070</v>
      </c>
      <c r="J55" s="39"/>
      <c r="K55" s="39">
        <f>IF(I55&lt;&gt;"",K54+1,"")</f>
        <v>41</v>
      </c>
      <c r="L55" s="39"/>
      <c r="M55" s="40">
        <f t="shared" si="0"/>
        <v>0.29762800075126877</v>
      </c>
      <c r="N55" s="39"/>
      <c r="O55" s="72" t="str">
        <f t="shared" si="16"/>
        <v/>
      </c>
      <c r="P55" s="41" t="str">
        <f t="shared" si="38"/>
        <v/>
      </c>
      <c r="Q55" s="39"/>
      <c r="R55" s="72" t="str">
        <f t="shared" si="51"/>
        <v/>
      </c>
      <c r="S55" s="39"/>
      <c r="T55" s="72" t="str">
        <f t="shared" si="18"/>
        <v/>
      </c>
      <c r="U55" s="39"/>
      <c r="V55" s="72" t="str">
        <f t="shared" si="39"/>
        <v/>
      </c>
      <c r="W55" s="72" t="str">
        <f t="shared" si="19"/>
        <v/>
      </c>
      <c r="X55" s="39"/>
      <c r="Y55" s="72" t="str">
        <f t="shared" si="40"/>
        <v/>
      </c>
      <c r="Z55" s="72" t="str">
        <f t="shared" si="20"/>
        <v/>
      </c>
      <c r="AA55" s="39"/>
      <c r="AB55" s="72" t="str">
        <f t="shared" si="4"/>
        <v/>
      </c>
      <c r="AC55" s="72" t="str">
        <f t="shared" si="21"/>
        <v/>
      </c>
      <c r="AD55" s="39"/>
      <c r="AE55" s="72" t="str">
        <f t="shared" si="41"/>
        <v/>
      </c>
      <c r="AF55" s="72" t="str">
        <f t="shared" si="22"/>
        <v/>
      </c>
      <c r="AG55" s="39"/>
      <c r="AH55" s="72" t="str">
        <f t="shared" si="42"/>
        <v/>
      </c>
      <c r="AI55" s="72" t="str">
        <f t="shared" si="23"/>
        <v/>
      </c>
      <c r="AJ55" s="39"/>
      <c r="AK55" s="72" t="str">
        <f t="shared" si="43"/>
        <v/>
      </c>
      <c r="AL55" s="72" t="str">
        <f t="shared" si="24"/>
        <v/>
      </c>
      <c r="AM55" s="39"/>
      <c r="AN55" s="72" t="str">
        <f t="shared" si="44"/>
        <v/>
      </c>
      <c r="AO55" s="72" t="str">
        <f t="shared" si="25"/>
        <v/>
      </c>
      <c r="AP55" s="39"/>
      <c r="AQ55" s="72" t="str">
        <f t="shared" si="45"/>
        <v/>
      </c>
      <c r="AR55" s="72" t="str">
        <f t="shared" si="26"/>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46"/>
        <v/>
      </c>
      <c r="AW55" s="72" t="str">
        <f t="shared" si="27"/>
        <v/>
      </c>
      <c r="AX55" s="39"/>
      <c r="AY55" s="40" t="str">
        <f>IF(ISERROR(IF($K55&lt;=$F$15,VLOOKUP($I55,'表4）CO2価格'!$A$7:$E$67,VLOOKUP($F$48,'表4）CO2価格'!$H$10:$I$12,2,0),0)*$F$8/1000,"")),0,IF($K55&lt;=$F$15,VLOOKUP($I55,'表4）CO2価格'!$A$7:$E$67,VLOOKUP($F$48,'表4）CO2価格'!$H$10:$I$12,2,0),0)*$F$8/1000,""))</f>
        <v/>
      </c>
      <c r="AZ55" s="39"/>
      <c r="BA55" s="42" t="str">
        <f t="shared" si="47"/>
        <v/>
      </c>
      <c r="BB55" s="72" t="str">
        <f t="shared" si="28"/>
        <v/>
      </c>
      <c r="BC55" s="39"/>
      <c r="BD55" s="72" t="str">
        <f t="shared" si="48"/>
        <v/>
      </c>
      <c r="BE55" s="72" t="str">
        <f t="shared" si="29"/>
        <v/>
      </c>
      <c r="BF55" s="39"/>
      <c r="BG55" s="42" t="str">
        <f t="shared" si="49"/>
        <v/>
      </c>
      <c r="BH55" s="72" t="str">
        <f t="shared" si="30"/>
        <v/>
      </c>
      <c r="BI55" s="39"/>
      <c r="BJ55" s="40" t="str">
        <f t="shared" si="31"/>
        <v/>
      </c>
      <c r="BK55" s="157" t="str">
        <f t="shared" si="32"/>
        <v/>
      </c>
      <c r="BL55" s="157" t="str">
        <f t="shared" si="14"/>
        <v/>
      </c>
      <c r="BM55" s="72"/>
      <c r="BN55" s="72" t="str">
        <f t="shared" si="33"/>
        <v/>
      </c>
      <c r="BO55" s="72" t="str">
        <f t="shared" si="34"/>
        <v/>
      </c>
      <c r="BP55" s="39"/>
      <c r="BQ55" s="72" t="str">
        <f t="shared" si="50"/>
        <v/>
      </c>
      <c r="BR55" s="72" t="str">
        <f t="shared" si="35"/>
        <v/>
      </c>
    </row>
    <row r="56" spans="3:70" x14ac:dyDescent="0.15">
      <c r="D56" s="81" t="s">
        <v>189</v>
      </c>
      <c r="F56" s="59"/>
      <c r="G56" s="81" t="s">
        <v>181</v>
      </c>
      <c r="I56" s="459">
        <f t="shared" si="36"/>
        <v>2071</v>
      </c>
      <c r="J56" s="71"/>
      <c r="K56" s="71">
        <f t="shared" si="37"/>
        <v>42</v>
      </c>
      <c r="L56" s="71"/>
      <c r="M56" s="7">
        <f t="shared" si="0"/>
        <v>0.28895922403035801</v>
      </c>
      <c r="N56" s="71"/>
      <c r="O56" s="10" t="str">
        <f t="shared" si="16"/>
        <v/>
      </c>
      <c r="P56" s="29" t="str">
        <f t="shared" si="38"/>
        <v/>
      </c>
      <c r="Q56" s="71"/>
      <c r="R56" s="10" t="str">
        <f t="shared" si="51"/>
        <v/>
      </c>
      <c r="S56" s="71"/>
      <c r="T56" s="10" t="str">
        <f t="shared" si="18"/>
        <v/>
      </c>
      <c r="U56" s="71"/>
      <c r="V56" s="10" t="str">
        <f t="shared" si="39"/>
        <v/>
      </c>
      <c r="W56" s="10" t="str">
        <f t="shared" si="19"/>
        <v/>
      </c>
      <c r="X56" s="71"/>
      <c r="Y56" s="10" t="str">
        <f t="shared" si="40"/>
        <v/>
      </c>
      <c r="Z56" s="10" t="str">
        <f t="shared" si="20"/>
        <v/>
      </c>
      <c r="AA56" s="71"/>
      <c r="AB56" s="10" t="str">
        <f t="shared" si="4"/>
        <v/>
      </c>
      <c r="AC56" s="10" t="str">
        <f t="shared" si="21"/>
        <v/>
      </c>
      <c r="AD56" s="71"/>
      <c r="AE56" s="10" t="str">
        <f t="shared" si="41"/>
        <v/>
      </c>
      <c r="AF56" s="10" t="str">
        <f t="shared" si="22"/>
        <v/>
      </c>
      <c r="AG56" s="71"/>
      <c r="AH56" s="10" t="str">
        <f t="shared" si="42"/>
        <v/>
      </c>
      <c r="AI56" s="10" t="str">
        <f t="shared" si="23"/>
        <v/>
      </c>
      <c r="AJ56" s="71"/>
      <c r="AK56" s="10" t="str">
        <f t="shared" si="43"/>
        <v/>
      </c>
      <c r="AL56" s="10" t="str">
        <f t="shared" si="24"/>
        <v/>
      </c>
      <c r="AM56" s="71"/>
      <c r="AN56" s="10" t="str">
        <f t="shared" si="44"/>
        <v/>
      </c>
      <c r="AO56" s="10" t="str">
        <f t="shared" si="25"/>
        <v/>
      </c>
      <c r="AP56" s="71"/>
      <c r="AQ56" s="10" t="str">
        <f t="shared" si="45"/>
        <v/>
      </c>
      <c r="AR56" s="10" t="str">
        <f t="shared" si="26"/>
        <v/>
      </c>
      <c r="AS56" s="71"/>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U56" s="71"/>
      <c r="AV56" s="10" t="str">
        <f t="shared" si="46"/>
        <v/>
      </c>
      <c r="AW56" s="10" t="str">
        <f t="shared" si="27"/>
        <v/>
      </c>
      <c r="AX56" s="71"/>
      <c r="AY56" s="7" t="str">
        <f>IF(ISERROR(IF($K56&lt;=$F$15,VLOOKUP($I56,'表4）CO2価格'!$A$7:$E$67,VLOOKUP($F$48,'表4）CO2価格'!$H$10:$I$12,2,0),0)*$F$8/1000,"")),0,IF($K56&lt;=$F$15,VLOOKUP($I56,'表4）CO2価格'!$A$7:$E$67,VLOOKUP($F$48,'表4）CO2価格'!$H$10:$I$12,2,0),0)*$F$8/1000,""))</f>
        <v/>
      </c>
      <c r="AZ56" s="71"/>
      <c r="BA56" s="11" t="str">
        <f t="shared" si="47"/>
        <v/>
      </c>
      <c r="BB56" s="10" t="str">
        <f t="shared" si="28"/>
        <v/>
      </c>
      <c r="BC56" s="71"/>
      <c r="BD56" s="10" t="str">
        <f t="shared" si="48"/>
        <v/>
      </c>
      <c r="BE56" s="10" t="str">
        <f t="shared" si="29"/>
        <v/>
      </c>
      <c r="BF56" s="71"/>
      <c r="BG56" s="11" t="str">
        <f t="shared" si="49"/>
        <v/>
      </c>
      <c r="BH56" s="10" t="str">
        <f t="shared" si="30"/>
        <v/>
      </c>
      <c r="BJ56" s="7" t="str">
        <f t="shared" si="31"/>
        <v/>
      </c>
      <c r="BK56" s="158" t="str">
        <f t="shared" si="32"/>
        <v/>
      </c>
      <c r="BL56" s="158" t="str">
        <f t="shared" si="14"/>
        <v/>
      </c>
      <c r="BM56" s="10"/>
      <c r="BN56" s="10" t="str">
        <f t="shared" si="33"/>
        <v/>
      </c>
      <c r="BO56" s="10" t="str">
        <f t="shared" si="34"/>
        <v/>
      </c>
      <c r="BQ56" s="10" t="str">
        <f t="shared" si="50"/>
        <v/>
      </c>
      <c r="BR56" s="10" t="str">
        <f t="shared" si="35"/>
        <v/>
      </c>
    </row>
    <row r="57" spans="3:70" x14ac:dyDescent="0.15">
      <c r="I57" s="458">
        <f t="shared" si="36"/>
        <v>2072</v>
      </c>
      <c r="J57" s="39"/>
      <c r="K57" s="39">
        <f t="shared" si="37"/>
        <v>43</v>
      </c>
      <c r="L57" s="39"/>
      <c r="M57" s="40">
        <f t="shared" si="0"/>
        <v>0.28054293595180391</v>
      </c>
      <c r="N57" s="39"/>
      <c r="O57" s="72" t="str">
        <f t="shared" si="16"/>
        <v/>
      </c>
      <c r="P57" s="41" t="str">
        <f t="shared" si="38"/>
        <v/>
      </c>
      <c r="Q57" s="39"/>
      <c r="R57" s="72" t="str">
        <f t="shared" si="51"/>
        <v/>
      </c>
      <c r="S57" s="39"/>
      <c r="T57" s="72" t="str">
        <f t="shared" si="18"/>
        <v/>
      </c>
      <c r="U57" s="39"/>
      <c r="V57" s="72" t="str">
        <f t="shared" si="39"/>
        <v/>
      </c>
      <c r="W57" s="72" t="str">
        <f t="shared" si="19"/>
        <v/>
      </c>
      <c r="X57" s="39"/>
      <c r="Y57" s="72" t="str">
        <f t="shared" si="40"/>
        <v/>
      </c>
      <c r="Z57" s="72" t="str">
        <f t="shared" si="20"/>
        <v/>
      </c>
      <c r="AA57" s="39"/>
      <c r="AB57" s="72" t="str">
        <f t="shared" si="4"/>
        <v/>
      </c>
      <c r="AC57" s="72" t="str">
        <f t="shared" si="21"/>
        <v/>
      </c>
      <c r="AD57" s="39"/>
      <c r="AE57" s="72" t="str">
        <f t="shared" si="41"/>
        <v/>
      </c>
      <c r="AF57" s="72" t="str">
        <f t="shared" si="22"/>
        <v/>
      </c>
      <c r="AG57" s="39"/>
      <c r="AH57" s="72" t="str">
        <f t="shared" si="42"/>
        <v/>
      </c>
      <c r="AI57" s="72" t="str">
        <f t="shared" si="23"/>
        <v/>
      </c>
      <c r="AJ57" s="39"/>
      <c r="AK57" s="72" t="str">
        <f t="shared" si="43"/>
        <v/>
      </c>
      <c r="AL57" s="72" t="str">
        <f t="shared" si="24"/>
        <v/>
      </c>
      <c r="AM57" s="39"/>
      <c r="AN57" s="72" t="str">
        <f t="shared" si="44"/>
        <v/>
      </c>
      <c r="AO57" s="72" t="str">
        <f t="shared" si="25"/>
        <v/>
      </c>
      <c r="AP57" s="39"/>
      <c r="AQ57" s="72" t="str">
        <f t="shared" si="45"/>
        <v/>
      </c>
      <c r="AR57" s="72" t="str">
        <f t="shared" si="26"/>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46"/>
        <v/>
      </c>
      <c r="AW57" s="72" t="str">
        <f t="shared" si="27"/>
        <v/>
      </c>
      <c r="AX57" s="39"/>
      <c r="AY57" s="40" t="str">
        <f>IF(ISERROR(IF($K57&lt;=$F$15,VLOOKUP($I57,'表4）CO2価格'!$A$7:$E$67,VLOOKUP($F$48,'表4）CO2価格'!$H$10:$I$12,2,0),0)*$F$8/1000,"")),0,IF($K57&lt;=$F$15,VLOOKUP($I57,'表4）CO2価格'!$A$7:$E$67,VLOOKUP($F$48,'表4）CO2価格'!$H$10:$I$12,2,0),0)*$F$8/1000,""))</f>
        <v/>
      </c>
      <c r="AZ57" s="39"/>
      <c r="BA57" s="42" t="str">
        <f t="shared" si="47"/>
        <v/>
      </c>
      <c r="BB57" s="72" t="str">
        <f t="shared" si="28"/>
        <v/>
      </c>
      <c r="BC57" s="39"/>
      <c r="BD57" s="72" t="str">
        <f t="shared" si="48"/>
        <v/>
      </c>
      <c r="BE57" s="72" t="str">
        <f t="shared" si="29"/>
        <v/>
      </c>
      <c r="BF57" s="39"/>
      <c r="BG57" s="42" t="str">
        <f t="shared" si="49"/>
        <v/>
      </c>
      <c r="BH57" s="72" t="str">
        <f t="shared" si="30"/>
        <v/>
      </c>
      <c r="BI57" s="39"/>
      <c r="BJ57" s="40" t="str">
        <f t="shared" si="31"/>
        <v/>
      </c>
      <c r="BK57" s="157" t="str">
        <f t="shared" si="32"/>
        <v/>
      </c>
      <c r="BL57" s="157" t="str">
        <f t="shared" si="14"/>
        <v/>
      </c>
      <c r="BM57" s="72"/>
      <c r="BN57" s="72" t="str">
        <f t="shared" si="33"/>
        <v/>
      </c>
      <c r="BO57" s="72" t="str">
        <f t="shared" si="34"/>
        <v/>
      </c>
      <c r="BP57" s="39"/>
      <c r="BQ57" s="72" t="str">
        <f t="shared" si="50"/>
        <v/>
      </c>
      <c r="BR57" s="72" t="str">
        <f t="shared" si="35"/>
        <v/>
      </c>
    </row>
    <row r="58" spans="3:70" x14ac:dyDescent="0.15">
      <c r="C58" s="89" t="s">
        <v>512</v>
      </c>
      <c r="D58" s="101"/>
      <c r="E58" s="101"/>
      <c r="F58" s="89"/>
      <c r="G58" s="101"/>
      <c r="I58" s="459">
        <f t="shared" si="36"/>
        <v>2073</v>
      </c>
      <c r="J58" s="71"/>
      <c r="K58" s="71">
        <f t="shared" si="37"/>
        <v>44</v>
      </c>
      <c r="L58" s="71"/>
      <c r="M58" s="7">
        <f t="shared" si="0"/>
        <v>0.27237178247747956</v>
      </c>
      <c r="N58" s="71"/>
      <c r="O58" s="10" t="str">
        <f t="shared" si="16"/>
        <v/>
      </c>
      <c r="P58" s="29" t="str">
        <f t="shared" si="38"/>
        <v/>
      </c>
      <c r="Q58" s="71"/>
      <c r="R58" s="10" t="str">
        <f t="shared" si="51"/>
        <v/>
      </c>
      <c r="S58" s="71"/>
      <c r="T58" s="10" t="str">
        <f t="shared" si="18"/>
        <v/>
      </c>
      <c r="U58" s="71"/>
      <c r="V58" s="10" t="str">
        <f t="shared" si="39"/>
        <v/>
      </c>
      <c r="W58" s="10" t="str">
        <f t="shared" si="19"/>
        <v/>
      </c>
      <c r="X58" s="71"/>
      <c r="Y58" s="10" t="str">
        <f t="shared" si="40"/>
        <v/>
      </c>
      <c r="Z58" s="10" t="str">
        <f t="shared" si="20"/>
        <v/>
      </c>
      <c r="AA58" s="71"/>
      <c r="AB58" s="10" t="str">
        <f t="shared" si="4"/>
        <v/>
      </c>
      <c r="AC58" s="10" t="str">
        <f t="shared" si="21"/>
        <v/>
      </c>
      <c r="AD58" s="71"/>
      <c r="AE58" s="10" t="str">
        <f t="shared" si="41"/>
        <v/>
      </c>
      <c r="AF58" s="10" t="str">
        <f t="shared" si="22"/>
        <v/>
      </c>
      <c r="AG58" s="71"/>
      <c r="AH58" s="10" t="str">
        <f t="shared" si="42"/>
        <v/>
      </c>
      <c r="AI58" s="10" t="str">
        <f t="shared" si="23"/>
        <v/>
      </c>
      <c r="AJ58" s="71"/>
      <c r="AK58" s="10" t="str">
        <f t="shared" si="43"/>
        <v/>
      </c>
      <c r="AL58" s="10" t="str">
        <f t="shared" si="24"/>
        <v/>
      </c>
      <c r="AM58" s="71"/>
      <c r="AN58" s="10" t="str">
        <f t="shared" si="44"/>
        <v/>
      </c>
      <c r="AO58" s="10" t="str">
        <f t="shared" si="25"/>
        <v/>
      </c>
      <c r="AP58" s="71"/>
      <c r="AQ58" s="10" t="str">
        <f t="shared" si="45"/>
        <v/>
      </c>
      <c r="AR58" s="10" t="str">
        <f t="shared" si="26"/>
        <v/>
      </c>
      <c r="AS58" s="71"/>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U58" s="71"/>
      <c r="AV58" s="10" t="str">
        <f t="shared" si="46"/>
        <v/>
      </c>
      <c r="AW58" s="10" t="str">
        <f t="shared" si="27"/>
        <v/>
      </c>
      <c r="AX58" s="71"/>
      <c r="AY58" s="7" t="str">
        <f>IF(ISERROR(IF($K58&lt;=$F$15,VLOOKUP($I58,'表4）CO2価格'!$A$7:$E$67,VLOOKUP($F$48,'表4）CO2価格'!$H$10:$I$12,2,0),0)*$F$8/1000,"")),0,IF($K58&lt;=$F$15,VLOOKUP($I58,'表4）CO2価格'!$A$7:$E$67,VLOOKUP($F$48,'表4）CO2価格'!$H$10:$I$12,2,0),0)*$F$8/1000,""))</f>
        <v/>
      </c>
      <c r="AZ58" s="71"/>
      <c r="BA58" s="11" t="str">
        <f t="shared" si="47"/>
        <v/>
      </c>
      <c r="BB58" s="10" t="str">
        <f t="shared" si="28"/>
        <v/>
      </c>
      <c r="BC58" s="71"/>
      <c r="BD58" s="10" t="str">
        <f t="shared" si="48"/>
        <v/>
      </c>
      <c r="BE58" s="10" t="str">
        <f t="shared" si="29"/>
        <v/>
      </c>
      <c r="BF58" s="71"/>
      <c r="BG58" s="11" t="str">
        <f t="shared" si="49"/>
        <v/>
      </c>
      <c r="BH58" s="10" t="str">
        <f t="shared" si="30"/>
        <v/>
      </c>
      <c r="BJ58" s="7" t="str">
        <f t="shared" si="31"/>
        <v/>
      </c>
      <c r="BK58" s="158" t="str">
        <f t="shared" si="32"/>
        <v/>
      </c>
      <c r="BL58" s="158" t="str">
        <f t="shared" si="14"/>
        <v/>
      </c>
      <c r="BM58" s="10"/>
      <c r="BN58" s="10" t="str">
        <f t="shared" si="33"/>
        <v/>
      </c>
      <c r="BO58" s="10" t="str">
        <f t="shared" si="34"/>
        <v/>
      </c>
      <c r="BQ58" s="10" t="str">
        <f t="shared" si="50"/>
        <v/>
      </c>
      <c r="BR58" s="10" t="str">
        <f t="shared" si="35"/>
        <v/>
      </c>
    </row>
    <row r="59" spans="3:70" x14ac:dyDescent="0.15">
      <c r="I59" s="458">
        <f t="shared" si="36"/>
        <v>2074</v>
      </c>
      <c r="J59" s="39"/>
      <c r="K59" s="39">
        <f t="shared" si="37"/>
        <v>45</v>
      </c>
      <c r="L59" s="39"/>
      <c r="M59" s="40">
        <f t="shared" si="0"/>
        <v>0.26443862376454325</v>
      </c>
      <c r="N59" s="39"/>
      <c r="O59" s="72" t="str">
        <f t="shared" si="16"/>
        <v/>
      </c>
      <c r="P59" s="41" t="str">
        <f t="shared" si="38"/>
        <v/>
      </c>
      <c r="Q59" s="39"/>
      <c r="R59" s="72" t="str">
        <f t="shared" si="51"/>
        <v/>
      </c>
      <c r="S59" s="39"/>
      <c r="T59" s="72" t="str">
        <f t="shared" si="18"/>
        <v/>
      </c>
      <c r="U59" s="39"/>
      <c r="V59" s="72" t="str">
        <f t="shared" si="39"/>
        <v/>
      </c>
      <c r="W59" s="72" t="str">
        <f t="shared" si="19"/>
        <v/>
      </c>
      <c r="X59" s="39"/>
      <c r="Y59" s="72" t="str">
        <f t="shared" si="40"/>
        <v/>
      </c>
      <c r="Z59" s="72" t="str">
        <f t="shared" si="20"/>
        <v/>
      </c>
      <c r="AA59" s="39"/>
      <c r="AB59" s="72" t="str">
        <f t="shared" si="4"/>
        <v/>
      </c>
      <c r="AC59" s="72" t="str">
        <f t="shared" si="21"/>
        <v/>
      </c>
      <c r="AD59" s="39"/>
      <c r="AE59" s="72" t="str">
        <f t="shared" si="41"/>
        <v/>
      </c>
      <c r="AF59" s="72" t="str">
        <f t="shared" si="22"/>
        <v/>
      </c>
      <c r="AG59" s="39"/>
      <c r="AH59" s="72" t="str">
        <f t="shared" si="42"/>
        <v/>
      </c>
      <c r="AI59" s="72" t="str">
        <f t="shared" si="23"/>
        <v/>
      </c>
      <c r="AJ59" s="39"/>
      <c r="AK59" s="72" t="str">
        <f t="shared" si="43"/>
        <v/>
      </c>
      <c r="AL59" s="72" t="str">
        <f t="shared" si="24"/>
        <v/>
      </c>
      <c r="AM59" s="39"/>
      <c r="AN59" s="72" t="str">
        <f t="shared" si="44"/>
        <v/>
      </c>
      <c r="AO59" s="72" t="str">
        <f t="shared" si="25"/>
        <v/>
      </c>
      <c r="AP59" s="39"/>
      <c r="AQ59" s="72" t="str">
        <f t="shared" si="45"/>
        <v/>
      </c>
      <c r="AR59" s="72" t="str">
        <f t="shared" si="26"/>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46"/>
        <v/>
      </c>
      <c r="AW59" s="72" t="str">
        <f t="shared" si="27"/>
        <v/>
      </c>
      <c r="AX59" s="39"/>
      <c r="AY59" s="40" t="str">
        <f>IF(ISERROR(IF($K59&lt;=$F$15,VLOOKUP($I59,'表4）CO2価格'!$A$7:$E$67,VLOOKUP($F$48,'表4）CO2価格'!$H$10:$I$12,2,0),0)*$F$8/1000,"")),0,IF($K59&lt;=$F$15,VLOOKUP($I59,'表4）CO2価格'!$A$7:$E$67,VLOOKUP($F$48,'表4）CO2価格'!$H$10:$I$12,2,0),0)*$F$8/1000,""))</f>
        <v/>
      </c>
      <c r="AZ59" s="39"/>
      <c r="BA59" s="42" t="str">
        <f t="shared" si="47"/>
        <v/>
      </c>
      <c r="BB59" s="72" t="str">
        <f t="shared" si="28"/>
        <v/>
      </c>
      <c r="BC59" s="39"/>
      <c r="BD59" s="72" t="str">
        <f t="shared" si="48"/>
        <v/>
      </c>
      <c r="BE59" s="72" t="str">
        <f t="shared" si="29"/>
        <v/>
      </c>
      <c r="BF59" s="39"/>
      <c r="BG59" s="42" t="str">
        <f t="shared" si="49"/>
        <v/>
      </c>
      <c r="BH59" s="72" t="str">
        <f t="shared" si="30"/>
        <v/>
      </c>
      <c r="BI59" s="39"/>
      <c r="BJ59" s="40" t="str">
        <f t="shared" si="31"/>
        <v/>
      </c>
      <c r="BK59" s="157" t="str">
        <f t="shared" si="32"/>
        <v/>
      </c>
      <c r="BL59" s="157" t="str">
        <f t="shared" si="14"/>
        <v/>
      </c>
      <c r="BM59" s="72"/>
      <c r="BN59" s="72" t="str">
        <f t="shared" si="33"/>
        <v/>
      </c>
      <c r="BO59" s="72" t="str">
        <f t="shared" si="34"/>
        <v/>
      </c>
      <c r="BP59" s="39"/>
      <c r="BQ59" s="72" t="str">
        <f t="shared" si="50"/>
        <v/>
      </c>
      <c r="BR59" s="72" t="str">
        <f t="shared" si="35"/>
        <v/>
      </c>
    </row>
    <row r="60" spans="3:70" x14ac:dyDescent="0.15">
      <c r="D60" s="81" t="s">
        <v>128</v>
      </c>
      <c r="F60" s="59"/>
      <c r="G60" s="81" t="s">
        <v>176</v>
      </c>
      <c r="I60" s="459">
        <f t="shared" si="36"/>
        <v>2075</v>
      </c>
      <c r="J60" s="71"/>
      <c r="K60" s="71">
        <f t="shared" si="37"/>
        <v>46</v>
      </c>
      <c r="L60" s="71"/>
      <c r="M60" s="7">
        <f t="shared" si="0"/>
        <v>0.25673652792674101</v>
      </c>
      <c r="N60" s="71"/>
      <c r="O60" s="10" t="str">
        <f t="shared" si="16"/>
        <v/>
      </c>
      <c r="P60" s="29" t="str">
        <f t="shared" si="38"/>
        <v/>
      </c>
      <c r="Q60" s="71"/>
      <c r="R60" s="10" t="str">
        <f t="shared" si="51"/>
        <v/>
      </c>
      <c r="S60" s="71"/>
      <c r="T60" s="10" t="str">
        <f t="shared" si="18"/>
        <v/>
      </c>
      <c r="U60" s="71"/>
      <c r="V60" s="10" t="str">
        <f t="shared" si="39"/>
        <v/>
      </c>
      <c r="W60" s="10" t="str">
        <f t="shared" si="19"/>
        <v/>
      </c>
      <c r="X60" s="71"/>
      <c r="Y60" s="10" t="str">
        <f t="shared" si="40"/>
        <v/>
      </c>
      <c r="Z60" s="10" t="str">
        <f t="shared" si="20"/>
        <v/>
      </c>
      <c r="AA60" s="71"/>
      <c r="AB60" s="10" t="str">
        <f t="shared" si="4"/>
        <v/>
      </c>
      <c r="AC60" s="10" t="str">
        <f t="shared" si="21"/>
        <v/>
      </c>
      <c r="AD60" s="71"/>
      <c r="AE60" s="10" t="str">
        <f t="shared" si="41"/>
        <v/>
      </c>
      <c r="AF60" s="10" t="str">
        <f t="shared" si="22"/>
        <v/>
      </c>
      <c r="AG60" s="71"/>
      <c r="AH60" s="10" t="str">
        <f t="shared" si="42"/>
        <v/>
      </c>
      <c r="AI60" s="10" t="str">
        <f t="shared" si="23"/>
        <v/>
      </c>
      <c r="AJ60" s="71"/>
      <c r="AK60" s="10" t="str">
        <f t="shared" si="43"/>
        <v/>
      </c>
      <c r="AL60" s="10" t="str">
        <f t="shared" si="24"/>
        <v/>
      </c>
      <c r="AM60" s="71"/>
      <c r="AN60" s="10" t="str">
        <f t="shared" si="44"/>
        <v/>
      </c>
      <c r="AO60" s="10" t="str">
        <f t="shared" si="25"/>
        <v/>
      </c>
      <c r="AP60" s="71"/>
      <c r="AQ60" s="10" t="str">
        <f t="shared" si="45"/>
        <v/>
      </c>
      <c r="AR60" s="10" t="str">
        <f t="shared" si="26"/>
        <v/>
      </c>
      <c r="AS60" s="71"/>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U60" s="71"/>
      <c r="AV60" s="10" t="str">
        <f t="shared" si="46"/>
        <v/>
      </c>
      <c r="AW60" s="10" t="str">
        <f t="shared" si="27"/>
        <v/>
      </c>
      <c r="AX60" s="71"/>
      <c r="AY60" s="7" t="str">
        <f>IF(ISERROR(IF($K60&lt;=$F$15,VLOOKUP($I60,'表4）CO2価格'!$A$7:$E$67,VLOOKUP($F$48,'表4）CO2価格'!$H$10:$I$12,2,0),0)*$F$8/1000,"")),0,IF($K60&lt;=$F$15,VLOOKUP($I60,'表4）CO2価格'!$A$7:$E$67,VLOOKUP($F$48,'表4）CO2価格'!$H$10:$I$12,2,0),0)*$F$8/1000,""))</f>
        <v/>
      </c>
      <c r="AZ60" s="71"/>
      <c r="BA60" s="11" t="str">
        <f t="shared" si="47"/>
        <v/>
      </c>
      <c r="BB60" s="10" t="str">
        <f t="shared" si="28"/>
        <v/>
      </c>
      <c r="BC60" s="71"/>
      <c r="BD60" s="10" t="str">
        <f t="shared" si="48"/>
        <v/>
      </c>
      <c r="BE60" s="10" t="str">
        <f t="shared" si="29"/>
        <v/>
      </c>
      <c r="BF60" s="71"/>
      <c r="BG60" s="11" t="str">
        <f t="shared" si="49"/>
        <v/>
      </c>
      <c r="BH60" s="10" t="str">
        <f t="shared" si="30"/>
        <v/>
      </c>
      <c r="BJ60" s="7" t="str">
        <f t="shared" si="31"/>
        <v/>
      </c>
      <c r="BK60" s="158" t="str">
        <f t="shared" si="32"/>
        <v/>
      </c>
      <c r="BL60" s="158" t="str">
        <f t="shared" si="14"/>
        <v/>
      </c>
      <c r="BM60" s="10"/>
      <c r="BN60" s="10" t="str">
        <f t="shared" si="33"/>
        <v/>
      </c>
      <c r="BO60" s="10" t="str">
        <f t="shared" si="34"/>
        <v/>
      </c>
      <c r="BQ60" s="10" t="str">
        <f t="shared" si="50"/>
        <v/>
      </c>
      <c r="BR60" s="10" t="str">
        <f t="shared" si="35"/>
        <v/>
      </c>
    </row>
    <row r="61" spans="3:70" x14ac:dyDescent="0.15">
      <c r="D61" s="81" t="s">
        <v>190</v>
      </c>
      <c r="F61" s="66"/>
      <c r="G61" s="81" t="s">
        <v>108</v>
      </c>
      <c r="I61" s="458">
        <f t="shared" si="36"/>
        <v>2076</v>
      </c>
      <c r="J61" s="39"/>
      <c r="K61" s="39">
        <f t="shared" si="37"/>
        <v>47</v>
      </c>
      <c r="L61" s="39"/>
      <c r="M61" s="40">
        <f t="shared" si="0"/>
        <v>0.24925876497741845</v>
      </c>
      <c r="N61" s="39"/>
      <c r="O61" s="72" t="str">
        <f t="shared" si="16"/>
        <v/>
      </c>
      <c r="P61" s="41" t="str">
        <f t="shared" si="38"/>
        <v/>
      </c>
      <c r="Q61" s="39"/>
      <c r="R61" s="72" t="str">
        <f t="shared" si="51"/>
        <v/>
      </c>
      <c r="S61" s="39"/>
      <c r="T61" s="72" t="str">
        <f t="shared" si="18"/>
        <v/>
      </c>
      <c r="U61" s="39"/>
      <c r="V61" s="72" t="str">
        <f t="shared" si="39"/>
        <v/>
      </c>
      <c r="W61" s="72" t="str">
        <f t="shared" si="19"/>
        <v/>
      </c>
      <c r="X61" s="39"/>
      <c r="Y61" s="72" t="str">
        <f t="shared" si="40"/>
        <v/>
      </c>
      <c r="Z61" s="72" t="str">
        <f t="shared" si="20"/>
        <v/>
      </c>
      <c r="AA61" s="39"/>
      <c r="AB61" s="72" t="str">
        <f t="shared" si="4"/>
        <v/>
      </c>
      <c r="AC61" s="72" t="str">
        <f t="shared" si="21"/>
        <v/>
      </c>
      <c r="AD61" s="39"/>
      <c r="AE61" s="72" t="str">
        <f t="shared" si="41"/>
        <v/>
      </c>
      <c r="AF61" s="72" t="str">
        <f t="shared" si="22"/>
        <v/>
      </c>
      <c r="AG61" s="39"/>
      <c r="AH61" s="72" t="str">
        <f t="shared" si="42"/>
        <v/>
      </c>
      <c r="AI61" s="72" t="str">
        <f t="shared" si="23"/>
        <v/>
      </c>
      <c r="AJ61" s="39"/>
      <c r="AK61" s="72" t="str">
        <f t="shared" si="43"/>
        <v/>
      </c>
      <c r="AL61" s="72" t="str">
        <f t="shared" si="24"/>
        <v/>
      </c>
      <c r="AM61" s="39"/>
      <c r="AN61" s="72" t="str">
        <f t="shared" si="44"/>
        <v/>
      </c>
      <c r="AO61" s="72" t="str">
        <f t="shared" si="25"/>
        <v/>
      </c>
      <c r="AP61" s="39"/>
      <c r="AQ61" s="72" t="str">
        <f t="shared" si="45"/>
        <v/>
      </c>
      <c r="AR61" s="72" t="str">
        <f t="shared" si="26"/>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46"/>
        <v/>
      </c>
      <c r="AW61" s="72" t="str">
        <f t="shared" si="27"/>
        <v/>
      </c>
      <c r="AX61" s="39"/>
      <c r="AY61" s="40" t="str">
        <f>IF(ISERROR(IF($K61&lt;=$F$15,VLOOKUP($I61,'表4）CO2価格'!$A$7:$E$67,VLOOKUP($F$48,'表4）CO2価格'!$H$10:$I$12,2,0),0)*$F$8/1000,"")),0,IF($K61&lt;=$F$15,VLOOKUP($I61,'表4）CO2価格'!$A$7:$E$67,VLOOKUP($F$48,'表4）CO2価格'!$H$10:$I$12,2,0),0)*$F$8/1000,""))</f>
        <v/>
      </c>
      <c r="AZ61" s="39"/>
      <c r="BA61" s="42" t="str">
        <f t="shared" si="47"/>
        <v/>
      </c>
      <c r="BB61" s="72" t="str">
        <f t="shared" si="28"/>
        <v/>
      </c>
      <c r="BC61" s="39"/>
      <c r="BD61" s="72" t="str">
        <f t="shared" si="48"/>
        <v/>
      </c>
      <c r="BE61" s="72" t="str">
        <f t="shared" si="29"/>
        <v/>
      </c>
      <c r="BF61" s="39"/>
      <c r="BG61" s="42" t="str">
        <f t="shared" si="49"/>
        <v/>
      </c>
      <c r="BH61" s="72" t="str">
        <f t="shared" si="30"/>
        <v/>
      </c>
      <c r="BI61" s="39"/>
      <c r="BJ61" s="40" t="str">
        <f t="shared" si="31"/>
        <v/>
      </c>
      <c r="BK61" s="157" t="str">
        <f t="shared" si="32"/>
        <v/>
      </c>
      <c r="BL61" s="157" t="str">
        <f t="shared" si="14"/>
        <v/>
      </c>
      <c r="BM61" s="72"/>
      <c r="BN61" s="72" t="str">
        <f t="shared" si="33"/>
        <v/>
      </c>
      <c r="BO61" s="72" t="str">
        <f t="shared" si="34"/>
        <v/>
      </c>
      <c r="BP61" s="39"/>
      <c r="BQ61" s="72" t="str">
        <f t="shared" si="50"/>
        <v/>
      </c>
      <c r="BR61" s="72" t="str">
        <f t="shared" si="35"/>
        <v/>
      </c>
    </row>
    <row r="62" spans="3:70" x14ac:dyDescent="0.15">
      <c r="D62" s="81" t="s">
        <v>131</v>
      </c>
      <c r="F62" s="59"/>
      <c r="G62" s="81" t="s">
        <v>191</v>
      </c>
      <c r="I62" s="459">
        <f t="shared" si="36"/>
        <v>2077</v>
      </c>
      <c r="J62" s="71"/>
      <c r="K62" s="71">
        <f t="shared" si="37"/>
        <v>48</v>
      </c>
      <c r="L62" s="71"/>
      <c r="M62" s="7">
        <f t="shared" si="0"/>
        <v>0.24199880094894996</v>
      </c>
      <c r="N62" s="71"/>
      <c r="O62" s="10" t="str">
        <f t="shared" si="16"/>
        <v/>
      </c>
      <c r="P62" s="29" t="str">
        <f t="shared" si="38"/>
        <v/>
      </c>
      <c r="Q62" s="71"/>
      <c r="R62" s="10" t="str">
        <f t="shared" si="51"/>
        <v/>
      </c>
      <c r="S62" s="71"/>
      <c r="T62" s="10" t="str">
        <f t="shared" si="18"/>
        <v/>
      </c>
      <c r="U62" s="71"/>
      <c r="V62" s="10" t="str">
        <f t="shared" si="39"/>
        <v/>
      </c>
      <c r="W62" s="10" t="str">
        <f t="shared" si="19"/>
        <v/>
      </c>
      <c r="X62" s="71"/>
      <c r="Y62" s="10" t="str">
        <f t="shared" si="40"/>
        <v/>
      </c>
      <c r="Z62" s="10" t="str">
        <f t="shared" si="20"/>
        <v/>
      </c>
      <c r="AA62" s="71"/>
      <c r="AB62" s="10" t="str">
        <f t="shared" si="4"/>
        <v/>
      </c>
      <c r="AC62" s="10" t="str">
        <f t="shared" si="21"/>
        <v/>
      </c>
      <c r="AD62" s="71"/>
      <c r="AE62" s="10" t="str">
        <f t="shared" si="41"/>
        <v/>
      </c>
      <c r="AF62" s="10" t="str">
        <f t="shared" si="22"/>
        <v/>
      </c>
      <c r="AG62" s="71"/>
      <c r="AH62" s="10" t="str">
        <f t="shared" si="42"/>
        <v/>
      </c>
      <c r="AI62" s="10" t="str">
        <f t="shared" si="23"/>
        <v/>
      </c>
      <c r="AJ62" s="71"/>
      <c r="AK62" s="10" t="str">
        <f t="shared" si="43"/>
        <v/>
      </c>
      <c r="AL62" s="10" t="str">
        <f t="shared" si="24"/>
        <v/>
      </c>
      <c r="AM62" s="71"/>
      <c r="AN62" s="10" t="str">
        <f t="shared" si="44"/>
        <v/>
      </c>
      <c r="AO62" s="10" t="str">
        <f t="shared" si="25"/>
        <v/>
      </c>
      <c r="AP62" s="71"/>
      <c r="AQ62" s="10" t="str">
        <f t="shared" si="45"/>
        <v/>
      </c>
      <c r="AR62" s="10" t="str">
        <f t="shared" si="26"/>
        <v/>
      </c>
      <c r="AS62" s="71"/>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U62" s="71"/>
      <c r="AV62" s="10" t="str">
        <f t="shared" si="46"/>
        <v/>
      </c>
      <c r="AW62" s="10" t="str">
        <f t="shared" si="27"/>
        <v/>
      </c>
      <c r="AX62" s="71"/>
      <c r="AY62" s="7" t="str">
        <f>IF(ISERROR(IF($K62&lt;=$F$15,VLOOKUP($I62,'表4）CO2価格'!$A$7:$E$67,VLOOKUP($F$48,'表4）CO2価格'!$H$10:$I$12,2,0),0)*$F$8/1000,"")),0,IF($K62&lt;=$F$15,VLOOKUP($I62,'表4）CO2価格'!$A$7:$E$67,VLOOKUP($F$48,'表4）CO2価格'!$H$10:$I$12,2,0),0)*$F$8/1000,""))</f>
        <v/>
      </c>
      <c r="AZ62" s="71"/>
      <c r="BA62" s="11" t="str">
        <f t="shared" si="47"/>
        <v/>
      </c>
      <c r="BB62" s="10" t="str">
        <f t="shared" si="28"/>
        <v/>
      </c>
      <c r="BC62" s="71"/>
      <c r="BD62" s="10" t="str">
        <f t="shared" si="48"/>
        <v/>
      </c>
      <c r="BE62" s="10" t="str">
        <f t="shared" si="29"/>
        <v/>
      </c>
      <c r="BF62" s="71"/>
      <c r="BG62" s="11" t="str">
        <f t="shared" si="49"/>
        <v/>
      </c>
      <c r="BH62" s="10" t="str">
        <f t="shared" si="30"/>
        <v/>
      </c>
      <c r="BJ62" s="7" t="str">
        <f t="shared" si="31"/>
        <v/>
      </c>
      <c r="BK62" s="158" t="str">
        <f t="shared" si="32"/>
        <v/>
      </c>
      <c r="BL62" s="158" t="str">
        <f t="shared" si="14"/>
        <v/>
      </c>
      <c r="BM62" s="10"/>
      <c r="BN62" s="10" t="str">
        <f t="shared" si="33"/>
        <v/>
      </c>
      <c r="BO62" s="10" t="str">
        <f t="shared" si="34"/>
        <v/>
      </c>
      <c r="BQ62" s="10" t="str">
        <f t="shared" si="50"/>
        <v/>
      </c>
      <c r="BR62" s="10" t="str">
        <f t="shared" si="35"/>
        <v/>
      </c>
    </row>
    <row r="63" spans="3:70" x14ac:dyDescent="0.15">
      <c r="I63" s="458">
        <f t="shared" si="36"/>
        <v>2078</v>
      </c>
      <c r="J63" s="39"/>
      <c r="K63" s="39">
        <f t="shared" si="37"/>
        <v>49</v>
      </c>
      <c r="L63" s="39"/>
      <c r="M63" s="40">
        <f t="shared" si="0"/>
        <v>0.2349502921834466</v>
      </c>
      <c r="N63" s="39"/>
      <c r="O63" s="72" t="str">
        <f t="shared" si="16"/>
        <v/>
      </c>
      <c r="P63" s="41" t="str">
        <f t="shared" si="38"/>
        <v/>
      </c>
      <c r="Q63" s="39"/>
      <c r="R63" s="72" t="str">
        <f t="shared" si="51"/>
        <v/>
      </c>
      <c r="S63" s="39"/>
      <c r="T63" s="72" t="str">
        <f t="shared" si="18"/>
        <v/>
      </c>
      <c r="U63" s="39"/>
      <c r="V63" s="72" t="str">
        <f t="shared" si="39"/>
        <v/>
      </c>
      <c r="W63" s="72" t="str">
        <f t="shared" si="19"/>
        <v/>
      </c>
      <c r="X63" s="39"/>
      <c r="Y63" s="72" t="str">
        <f t="shared" si="40"/>
        <v/>
      </c>
      <c r="Z63" s="72" t="str">
        <f t="shared" si="20"/>
        <v/>
      </c>
      <c r="AA63" s="39"/>
      <c r="AB63" s="72" t="str">
        <f t="shared" si="4"/>
        <v/>
      </c>
      <c r="AC63" s="72" t="str">
        <f t="shared" si="21"/>
        <v/>
      </c>
      <c r="AD63" s="39"/>
      <c r="AE63" s="72" t="str">
        <f t="shared" si="41"/>
        <v/>
      </c>
      <c r="AF63" s="72" t="str">
        <f t="shared" si="22"/>
        <v/>
      </c>
      <c r="AG63" s="39"/>
      <c r="AH63" s="72" t="str">
        <f t="shared" si="42"/>
        <v/>
      </c>
      <c r="AI63" s="72" t="str">
        <f t="shared" si="23"/>
        <v/>
      </c>
      <c r="AJ63" s="39"/>
      <c r="AK63" s="72" t="str">
        <f t="shared" si="43"/>
        <v/>
      </c>
      <c r="AL63" s="72" t="str">
        <f t="shared" si="24"/>
        <v/>
      </c>
      <c r="AM63" s="39"/>
      <c r="AN63" s="72" t="str">
        <f t="shared" si="44"/>
        <v/>
      </c>
      <c r="AO63" s="72" t="str">
        <f t="shared" si="25"/>
        <v/>
      </c>
      <c r="AP63" s="39"/>
      <c r="AQ63" s="72" t="str">
        <f t="shared" si="45"/>
        <v/>
      </c>
      <c r="AR63" s="72" t="str">
        <f t="shared" si="26"/>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46"/>
        <v/>
      </c>
      <c r="AW63" s="72" t="str">
        <f t="shared" si="27"/>
        <v/>
      </c>
      <c r="AX63" s="39"/>
      <c r="AY63" s="40" t="str">
        <f>IF(ISERROR(IF($K63&lt;=$F$15,VLOOKUP($I63,'表4）CO2価格'!$A$7:$E$67,VLOOKUP($F$48,'表4）CO2価格'!$H$10:$I$12,2,0),0)*$F$8/1000,"")),0,IF($K63&lt;=$F$15,VLOOKUP($I63,'表4）CO2価格'!$A$7:$E$67,VLOOKUP($F$48,'表4）CO2価格'!$H$10:$I$12,2,0),0)*$F$8/1000,""))</f>
        <v/>
      </c>
      <c r="AZ63" s="39"/>
      <c r="BA63" s="42" t="str">
        <f t="shared" si="47"/>
        <v/>
      </c>
      <c r="BB63" s="72" t="str">
        <f t="shared" si="28"/>
        <v/>
      </c>
      <c r="BC63" s="39"/>
      <c r="BD63" s="72" t="str">
        <f t="shared" si="48"/>
        <v/>
      </c>
      <c r="BE63" s="72" t="str">
        <f t="shared" si="29"/>
        <v/>
      </c>
      <c r="BF63" s="39"/>
      <c r="BG63" s="42" t="str">
        <f t="shared" si="49"/>
        <v/>
      </c>
      <c r="BH63" s="72" t="str">
        <f t="shared" si="30"/>
        <v/>
      </c>
      <c r="BI63" s="39"/>
      <c r="BJ63" s="40" t="str">
        <f t="shared" si="31"/>
        <v/>
      </c>
      <c r="BK63" s="157" t="str">
        <f t="shared" si="32"/>
        <v/>
      </c>
      <c r="BL63" s="157" t="str">
        <f t="shared" si="14"/>
        <v/>
      </c>
      <c r="BM63" s="72"/>
      <c r="BN63" s="72" t="str">
        <f t="shared" si="33"/>
        <v/>
      </c>
      <c r="BO63" s="72" t="str">
        <f t="shared" si="34"/>
        <v/>
      </c>
      <c r="BP63" s="39"/>
      <c r="BQ63" s="72" t="str">
        <f t="shared" si="50"/>
        <v/>
      </c>
      <c r="BR63" s="72" t="str">
        <f t="shared" si="35"/>
        <v/>
      </c>
    </row>
    <row r="64" spans="3:70" x14ac:dyDescent="0.15">
      <c r="C64" s="9" t="s">
        <v>513</v>
      </c>
      <c r="F64" s="67">
        <v>0.24</v>
      </c>
      <c r="G64" s="81" t="s">
        <v>132</v>
      </c>
      <c r="I64" s="459">
        <f t="shared" si="36"/>
        <v>2079</v>
      </c>
      <c r="J64" s="71"/>
      <c r="K64" s="71">
        <f t="shared" si="37"/>
        <v>50</v>
      </c>
      <c r="L64" s="71"/>
      <c r="M64" s="7">
        <f t="shared" si="0"/>
        <v>0.22810707978975397</v>
      </c>
      <c r="N64" s="71"/>
      <c r="O64" s="10" t="str">
        <f t="shared" si="16"/>
        <v/>
      </c>
      <c r="P64" s="29" t="str">
        <f t="shared" si="38"/>
        <v/>
      </c>
      <c r="Q64" s="71"/>
      <c r="R64" s="10" t="str">
        <f t="shared" si="51"/>
        <v/>
      </c>
      <c r="S64" s="71"/>
      <c r="T64" s="10" t="str">
        <f t="shared" si="18"/>
        <v/>
      </c>
      <c r="U64" s="71"/>
      <c r="V64" s="10" t="str">
        <f t="shared" si="39"/>
        <v/>
      </c>
      <c r="W64" s="10" t="str">
        <f t="shared" si="19"/>
        <v/>
      </c>
      <c r="X64" s="71"/>
      <c r="Y64" s="10" t="str">
        <f t="shared" si="40"/>
        <v/>
      </c>
      <c r="Z64" s="10" t="str">
        <f t="shared" si="20"/>
        <v/>
      </c>
      <c r="AA64" s="71"/>
      <c r="AB64" s="10" t="str">
        <f t="shared" si="4"/>
        <v/>
      </c>
      <c r="AC64" s="10" t="str">
        <f t="shared" si="21"/>
        <v/>
      </c>
      <c r="AD64" s="71"/>
      <c r="AE64" s="10" t="str">
        <f t="shared" si="41"/>
        <v/>
      </c>
      <c r="AF64" s="10" t="str">
        <f t="shared" si="22"/>
        <v/>
      </c>
      <c r="AG64" s="71"/>
      <c r="AH64" s="10" t="str">
        <f t="shared" si="42"/>
        <v/>
      </c>
      <c r="AI64" s="10" t="str">
        <f t="shared" si="23"/>
        <v/>
      </c>
      <c r="AJ64" s="71"/>
      <c r="AK64" s="10" t="str">
        <f t="shared" si="43"/>
        <v/>
      </c>
      <c r="AL64" s="10" t="str">
        <f t="shared" si="24"/>
        <v/>
      </c>
      <c r="AM64" s="71"/>
      <c r="AN64" s="10" t="str">
        <f t="shared" si="44"/>
        <v/>
      </c>
      <c r="AO64" s="10" t="str">
        <f t="shared" si="25"/>
        <v/>
      </c>
      <c r="AP64" s="71"/>
      <c r="AQ64" s="10" t="str">
        <f t="shared" si="45"/>
        <v/>
      </c>
      <c r="AR64" s="10" t="str">
        <f t="shared" si="26"/>
        <v/>
      </c>
      <c r="AS64" s="71"/>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U64" s="71"/>
      <c r="AV64" s="10" t="str">
        <f t="shared" si="46"/>
        <v/>
      </c>
      <c r="AW64" s="10" t="str">
        <f t="shared" si="27"/>
        <v/>
      </c>
      <c r="AX64" s="71"/>
      <c r="AY64" s="7" t="str">
        <f>IF(ISERROR(IF($K64&lt;=$F$15,VLOOKUP($I64,'表4）CO2価格'!$A$7:$E$67,VLOOKUP($F$48,'表4）CO2価格'!$H$10:$I$12,2,0),0)*$F$8/1000,"")),0,IF($K64&lt;=$F$15,VLOOKUP($I64,'表4）CO2価格'!$A$7:$E$67,VLOOKUP($F$48,'表4）CO2価格'!$H$10:$I$12,2,0),0)*$F$8/1000,""))</f>
        <v/>
      </c>
      <c r="AZ64" s="71"/>
      <c r="BA64" s="11" t="str">
        <f t="shared" si="47"/>
        <v/>
      </c>
      <c r="BB64" s="10" t="str">
        <f t="shared" si="28"/>
        <v/>
      </c>
      <c r="BC64" s="71"/>
      <c r="BD64" s="10" t="str">
        <f t="shared" si="48"/>
        <v/>
      </c>
      <c r="BE64" s="10" t="str">
        <f t="shared" si="29"/>
        <v/>
      </c>
      <c r="BF64" s="71"/>
      <c r="BG64" s="11" t="str">
        <f t="shared" si="49"/>
        <v/>
      </c>
      <c r="BH64" s="10" t="str">
        <f t="shared" si="30"/>
        <v/>
      </c>
      <c r="BJ64" s="7" t="str">
        <f t="shared" si="31"/>
        <v/>
      </c>
      <c r="BK64" s="158" t="str">
        <f t="shared" si="32"/>
        <v/>
      </c>
      <c r="BL64" s="158" t="str">
        <f t="shared" si="14"/>
        <v/>
      </c>
      <c r="BM64" s="10"/>
      <c r="BN64" s="10" t="str">
        <f t="shared" si="33"/>
        <v/>
      </c>
      <c r="BO64" s="10" t="str">
        <f t="shared" si="34"/>
        <v/>
      </c>
      <c r="BQ64" s="10" t="str">
        <f t="shared" si="50"/>
        <v/>
      </c>
      <c r="BR64" s="10" t="str">
        <f t="shared" si="35"/>
        <v/>
      </c>
    </row>
    <row r="65" spans="2:70" x14ac:dyDescent="0.15">
      <c r="I65" s="458">
        <f t="shared" si="36"/>
        <v>2080</v>
      </c>
      <c r="J65" s="39"/>
      <c r="K65" s="39">
        <f t="shared" si="37"/>
        <v>51</v>
      </c>
      <c r="L65" s="39"/>
      <c r="M65" s="40">
        <f t="shared" si="0"/>
        <v>0.22146318426189707</v>
      </c>
      <c r="N65" s="39"/>
      <c r="O65" s="72" t="str">
        <f t="shared" si="16"/>
        <v/>
      </c>
      <c r="P65" s="41" t="str">
        <f t="shared" si="38"/>
        <v/>
      </c>
      <c r="Q65" s="39"/>
      <c r="R65" s="72" t="str">
        <f t="shared" si="51"/>
        <v/>
      </c>
      <c r="S65" s="39"/>
      <c r="T65" s="72" t="str">
        <f t="shared" si="18"/>
        <v/>
      </c>
      <c r="U65" s="39"/>
      <c r="V65" s="72" t="str">
        <f t="shared" si="39"/>
        <v/>
      </c>
      <c r="W65" s="72" t="str">
        <f t="shared" si="19"/>
        <v/>
      </c>
      <c r="X65" s="39"/>
      <c r="Y65" s="72" t="str">
        <f t="shared" si="40"/>
        <v/>
      </c>
      <c r="Z65" s="72" t="str">
        <f t="shared" si="20"/>
        <v/>
      </c>
      <c r="AA65" s="39"/>
      <c r="AB65" s="72" t="str">
        <f t="shared" si="4"/>
        <v/>
      </c>
      <c r="AC65" s="72" t="str">
        <f t="shared" si="21"/>
        <v/>
      </c>
      <c r="AD65" s="39"/>
      <c r="AE65" s="72" t="str">
        <f t="shared" si="41"/>
        <v/>
      </c>
      <c r="AF65" s="72" t="str">
        <f t="shared" si="22"/>
        <v/>
      </c>
      <c r="AG65" s="39"/>
      <c r="AH65" s="72" t="str">
        <f t="shared" si="42"/>
        <v/>
      </c>
      <c r="AI65" s="72" t="str">
        <f t="shared" si="23"/>
        <v/>
      </c>
      <c r="AJ65" s="39"/>
      <c r="AK65" s="72" t="str">
        <f t="shared" si="43"/>
        <v/>
      </c>
      <c r="AL65" s="72" t="str">
        <f t="shared" si="24"/>
        <v/>
      </c>
      <c r="AM65" s="39"/>
      <c r="AN65" s="72" t="str">
        <f t="shared" si="44"/>
        <v/>
      </c>
      <c r="AO65" s="72" t="str">
        <f t="shared" si="25"/>
        <v/>
      </c>
      <c r="AP65" s="39"/>
      <c r="AQ65" s="72" t="str">
        <f t="shared" si="45"/>
        <v/>
      </c>
      <c r="AR65" s="72" t="str">
        <f t="shared" si="26"/>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46"/>
        <v/>
      </c>
      <c r="AW65" s="72" t="str">
        <f t="shared" si="27"/>
        <v/>
      </c>
      <c r="AX65" s="39"/>
      <c r="AY65" s="40" t="str">
        <f>IF(ISERROR(IF($K65&lt;=$F$15,VLOOKUP($I65,'表4）CO2価格'!$A$7:$E$67,VLOOKUP($F$48,'表4）CO2価格'!$H$10:$I$12,2,0),0)*$F$8/1000,"")),0,IF($K65&lt;=$F$15,VLOOKUP($I65,'表4）CO2価格'!$A$7:$E$67,VLOOKUP($F$48,'表4）CO2価格'!$H$10:$I$12,2,0),0)*$F$8/1000,""))</f>
        <v/>
      </c>
      <c r="AZ65" s="39"/>
      <c r="BA65" s="42" t="str">
        <f t="shared" si="47"/>
        <v/>
      </c>
      <c r="BB65" s="72" t="str">
        <f t="shared" si="28"/>
        <v/>
      </c>
      <c r="BC65" s="39"/>
      <c r="BD65" s="72" t="str">
        <f t="shared" si="48"/>
        <v/>
      </c>
      <c r="BE65" s="72" t="str">
        <f t="shared" si="29"/>
        <v/>
      </c>
      <c r="BF65" s="39"/>
      <c r="BG65" s="42" t="str">
        <f t="shared" si="49"/>
        <v/>
      </c>
      <c r="BH65" s="72" t="str">
        <f t="shared" si="30"/>
        <v/>
      </c>
      <c r="BI65" s="39"/>
      <c r="BJ65" s="40" t="str">
        <f t="shared" si="31"/>
        <v/>
      </c>
      <c r="BK65" s="157" t="str">
        <f t="shared" si="32"/>
        <v/>
      </c>
      <c r="BL65" s="157" t="str">
        <f t="shared" si="14"/>
        <v/>
      </c>
      <c r="BM65" s="72"/>
      <c r="BN65" s="72" t="str">
        <f t="shared" si="33"/>
        <v/>
      </c>
      <c r="BO65" s="72" t="str">
        <f t="shared" si="34"/>
        <v/>
      </c>
      <c r="BP65" s="39"/>
      <c r="BQ65" s="72" t="str">
        <f t="shared" si="50"/>
        <v/>
      </c>
      <c r="BR65" s="72" t="str">
        <f t="shared" si="35"/>
        <v/>
      </c>
    </row>
    <row r="66" spans="2:70" x14ac:dyDescent="0.15">
      <c r="I66" s="459">
        <f t="shared" si="36"/>
        <v>2081</v>
      </c>
      <c r="J66" s="71"/>
      <c r="K66" s="71">
        <f t="shared" si="37"/>
        <v>52</v>
      </c>
      <c r="L66" s="71"/>
      <c r="M66" s="7">
        <f t="shared" si="0"/>
        <v>0.215012800254269</v>
      </c>
      <c r="N66" s="71"/>
      <c r="O66" s="10" t="str">
        <f t="shared" si="16"/>
        <v/>
      </c>
      <c r="P66" s="29" t="str">
        <f t="shared" si="38"/>
        <v/>
      </c>
      <c r="Q66" s="71"/>
      <c r="R66" s="10" t="str">
        <f t="shared" si="51"/>
        <v/>
      </c>
      <c r="S66" s="71"/>
      <c r="T66" s="10" t="str">
        <f t="shared" si="18"/>
        <v/>
      </c>
      <c r="U66" s="71"/>
      <c r="V66" s="10" t="str">
        <f t="shared" si="39"/>
        <v/>
      </c>
      <c r="W66" s="10" t="str">
        <f t="shared" si="19"/>
        <v/>
      </c>
      <c r="X66" s="71"/>
      <c r="Y66" s="10" t="str">
        <f t="shared" si="40"/>
        <v/>
      </c>
      <c r="Z66" s="10" t="str">
        <f t="shared" si="20"/>
        <v/>
      </c>
      <c r="AA66" s="71"/>
      <c r="AB66" s="10" t="str">
        <f t="shared" si="4"/>
        <v/>
      </c>
      <c r="AC66" s="10" t="str">
        <f t="shared" si="21"/>
        <v/>
      </c>
      <c r="AD66" s="71"/>
      <c r="AE66" s="10" t="str">
        <f t="shared" si="41"/>
        <v/>
      </c>
      <c r="AF66" s="10" t="str">
        <f t="shared" si="22"/>
        <v/>
      </c>
      <c r="AG66" s="71"/>
      <c r="AH66" s="10" t="str">
        <f t="shared" si="42"/>
        <v/>
      </c>
      <c r="AI66" s="10" t="str">
        <f t="shared" si="23"/>
        <v/>
      </c>
      <c r="AJ66" s="71"/>
      <c r="AK66" s="10" t="str">
        <f t="shared" si="43"/>
        <v/>
      </c>
      <c r="AL66" s="10" t="str">
        <f t="shared" si="24"/>
        <v/>
      </c>
      <c r="AM66" s="71"/>
      <c r="AN66" s="10" t="str">
        <f t="shared" si="44"/>
        <v/>
      </c>
      <c r="AO66" s="10" t="str">
        <f t="shared" si="25"/>
        <v/>
      </c>
      <c r="AP66" s="71"/>
      <c r="AQ66" s="10" t="str">
        <f t="shared" si="45"/>
        <v/>
      </c>
      <c r="AR66" s="10" t="str">
        <f t="shared" si="26"/>
        <v/>
      </c>
      <c r="AS66" s="71"/>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U66" s="71"/>
      <c r="AV66" s="10" t="str">
        <f t="shared" si="46"/>
        <v/>
      </c>
      <c r="AW66" s="10" t="str">
        <f t="shared" si="27"/>
        <v/>
      </c>
      <c r="AX66" s="71"/>
      <c r="AY66" s="7" t="str">
        <f>IF(ISERROR(IF($K66&lt;=$F$15,VLOOKUP($I66,'表4）CO2価格'!$A$7:$E$67,VLOOKUP($F$48,'表4）CO2価格'!$H$10:$I$12,2,0),0)*$F$8/1000,"")),0,IF($K66&lt;=$F$15,VLOOKUP($I66,'表4）CO2価格'!$A$7:$E$67,VLOOKUP($F$48,'表4）CO2価格'!$H$10:$I$12,2,0),0)*$F$8/1000,""))</f>
        <v/>
      </c>
      <c r="AZ66" s="71"/>
      <c r="BA66" s="11" t="str">
        <f t="shared" si="47"/>
        <v/>
      </c>
      <c r="BB66" s="10" t="str">
        <f t="shared" si="28"/>
        <v/>
      </c>
      <c r="BC66" s="71"/>
      <c r="BD66" s="10" t="str">
        <f t="shared" si="48"/>
        <v/>
      </c>
      <c r="BE66" s="10" t="str">
        <f t="shared" si="29"/>
        <v/>
      </c>
      <c r="BF66" s="71"/>
      <c r="BG66" s="11" t="str">
        <f t="shared" si="49"/>
        <v/>
      </c>
      <c r="BH66" s="10" t="str">
        <f t="shared" si="30"/>
        <v/>
      </c>
      <c r="BJ66" s="7" t="str">
        <f t="shared" si="31"/>
        <v/>
      </c>
      <c r="BK66" s="158" t="str">
        <f t="shared" si="32"/>
        <v/>
      </c>
      <c r="BL66" s="158" t="str">
        <f t="shared" si="14"/>
        <v/>
      </c>
      <c r="BM66" s="10"/>
      <c r="BN66" s="10" t="str">
        <f t="shared" si="33"/>
        <v/>
      </c>
      <c r="BO66" s="10" t="str">
        <f t="shared" si="34"/>
        <v/>
      </c>
      <c r="BQ66" s="10" t="str">
        <f t="shared" si="50"/>
        <v/>
      </c>
      <c r="BR66" s="10" t="str">
        <f t="shared" si="35"/>
        <v/>
      </c>
    </row>
    <row r="67" spans="2:70" ht="15.75" thickBot="1" x14ac:dyDescent="0.2">
      <c r="B67" s="460" t="s">
        <v>133</v>
      </c>
      <c r="C67" s="86"/>
      <c r="D67" s="104"/>
      <c r="E67" s="104"/>
      <c r="F67" s="86"/>
      <c r="G67" s="104"/>
      <c r="I67" s="458">
        <f t="shared" si="36"/>
        <v>2082</v>
      </c>
      <c r="J67" s="39"/>
      <c r="K67" s="39">
        <f t="shared" si="37"/>
        <v>53</v>
      </c>
      <c r="L67" s="39"/>
      <c r="M67" s="40">
        <f t="shared" si="0"/>
        <v>0.20875029150899907</v>
      </c>
      <c r="N67" s="39"/>
      <c r="O67" s="72" t="str">
        <f t="shared" si="16"/>
        <v/>
      </c>
      <c r="P67" s="41" t="str">
        <f t="shared" si="38"/>
        <v/>
      </c>
      <c r="Q67" s="39"/>
      <c r="R67" s="72" t="str">
        <f t="shared" si="51"/>
        <v/>
      </c>
      <c r="S67" s="39"/>
      <c r="T67" s="72" t="str">
        <f t="shared" si="18"/>
        <v/>
      </c>
      <c r="U67" s="39"/>
      <c r="V67" s="72" t="str">
        <f t="shared" si="39"/>
        <v/>
      </c>
      <c r="W67" s="72" t="str">
        <f t="shared" si="19"/>
        <v/>
      </c>
      <c r="X67" s="39"/>
      <c r="Y67" s="72" t="str">
        <f t="shared" si="40"/>
        <v/>
      </c>
      <c r="Z67" s="72" t="str">
        <f t="shared" si="20"/>
        <v/>
      </c>
      <c r="AA67" s="39"/>
      <c r="AB67" s="72" t="str">
        <f t="shared" si="4"/>
        <v/>
      </c>
      <c r="AC67" s="72" t="str">
        <f t="shared" si="21"/>
        <v/>
      </c>
      <c r="AD67" s="39"/>
      <c r="AE67" s="72" t="str">
        <f t="shared" si="41"/>
        <v/>
      </c>
      <c r="AF67" s="72" t="str">
        <f t="shared" si="22"/>
        <v/>
      </c>
      <c r="AG67" s="39"/>
      <c r="AH67" s="72" t="str">
        <f t="shared" si="42"/>
        <v/>
      </c>
      <c r="AI67" s="72" t="str">
        <f t="shared" si="23"/>
        <v/>
      </c>
      <c r="AJ67" s="39"/>
      <c r="AK67" s="72" t="str">
        <f t="shared" si="43"/>
        <v/>
      </c>
      <c r="AL67" s="72" t="str">
        <f t="shared" si="24"/>
        <v/>
      </c>
      <c r="AM67" s="39"/>
      <c r="AN67" s="72" t="str">
        <f t="shared" si="44"/>
        <v/>
      </c>
      <c r="AO67" s="72" t="str">
        <f t="shared" si="25"/>
        <v/>
      </c>
      <c r="AP67" s="39"/>
      <c r="AQ67" s="72" t="str">
        <f t="shared" si="45"/>
        <v/>
      </c>
      <c r="AR67" s="72" t="str">
        <f t="shared" si="26"/>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46"/>
        <v/>
      </c>
      <c r="AW67" s="72" t="str">
        <f t="shared" si="27"/>
        <v/>
      </c>
      <c r="AX67" s="39"/>
      <c r="AY67" s="40" t="str">
        <f>IF(ISERROR(IF($K67&lt;=$F$15,VLOOKUP($I67,'表4）CO2価格'!$A$7:$E$67,VLOOKUP($F$48,'表4）CO2価格'!$H$10:$I$12,2,0),0)*$F$8/1000,"")),0,IF($K67&lt;=$F$15,VLOOKUP($I67,'表4）CO2価格'!$A$7:$E$67,VLOOKUP($F$48,'表4）CO2価格'!$H$10:$I$12,2,0),0)*$F$8/1000,""))</f>
        <v/>
      </c>
      <c r="AZ67" s="39"/>
      <c r="BA67" s="42" t="str">
        <f t="shared" si="47"/>
        <v/>
      </c>
      <c r="BB67" s="72" t="str">
        <f t="shared" si="28"/>
        <v/>
      </c>
      <c r="BC67" s="39"/>
      <c r="BD67" s="72" t="str">
        <f t="shared" si="48"/>
        <v/>
      </c>
      <c r="BE67" s="72" t="str">
        <f t="shared" si="29"/>
        <v/>
      </c>
      <c r="BF67" s="39"/>
      <c r="BG67" s="42" t="str">
        <f t="shared" si="49"/>
        <v/>
      </c>
      <c r="BH67" s="72" t="str">
        <f t="shared" si="30"/>
        <v/>
      </c>
      <c r="BI67" s="39"/>
      <c r="BJ67" s="40" t="str">
        <f t="shared" si="31"/>
        <v/>
      </c>
      <c r="BK67" s="157" t="str">
        <f t="shared" si="32"/>
        <v/>
      </c>
      <c r="BL67" s="157" t="str">
        <f t="shared" si="14"/>
        <v/>
      </c>
      <c r="BM67" s="72"/>
      <c r="BN67" s="72" t="str">
        <f t="shared" si="33"/>
        <v/>
      </c>
      <c r="BO67" s="72" t="str">
        <f t="shared" si="34"/>
        <v/>
      </c>
      <c r="BP67" s="39"/>
      <c r="BQ67" s="72" t="str">
        <f t="shared" si="50"/>
        <v/>
      </c>
      <c r="BR67" s="72" t="str">
        <f t="shared" si="35"/>
        <v/>
      </c>
    </row>
    <row r="68" spans="2:70" x14ac:dyDescent="0.15">
      <c r="I68" s="459">
        <f t="shared" si="36"/>
        <v>2083</v>
      </c>
      <c r="J68" s="71"/>
      <c r="K68" s="71">
        <f t="shared" si="37"/>
        <v>54</v>
      </c>
      <c r="L68" s="71"/>
      <c r="M68" s="7">
        <f t="shared" si="0"/>
        <v>0.20267018593106703</v>
      </c>
      <c r="N68" s="71"/>
      <c r="O68" s="10" t="str">
        <f t="shared" si="16"/>
        <v/>
      </c>
      <c r="P68" s="29" t="str">
        <f t="shared" si="38"/>
        <v/>
      </c>
      <c r="Q68" s="71"/>
      <c r="R68" s="10" t="str">
        <f t="shared" si="51"/>
        <v/>
      </c>
      <c r="S68" s="71"/>
      <c r="T68" s="10" t="str">
        <f t="shared" si="18"/>
        <v/>
      </c>
      <c r="U68" s="71"/>
      <c r="V68" s="10" t="str">
        <f t="shared" si="39"/>
        <v/>
      </c>
      <c r="W68" s="10" t="str">
        <f t="shared" si="19"/>
        <v/>
      </c>
      <c r="X68" s="71"/>
      <c r="Y68" s="10" t="str">
        <f t="shared" si="40"/>
        <v/>
      </c>
      <c r="Z68" s="10" t="str">
        <f t="shared" si="20"/>
        <v/>
      </c>
      <c r="AA68" s="71"/>
      <c r="AB68" s="10" t="str">
        <f t="shared" si="4"/>
        <v/>
      </c>
      <c r="AC68" s="10" t="str">
        <f t="shared" si="21"/>
        <v/>
      </c>
      <c r="AD68" s="71"/>
      <c r="AE68" s="10" t="str">
        <f t="shared" si="41"/>
        <v/>
      </c>
      <c r="AF68" s="10" t="str">
        <f t="shared" si="22"/>
        <v/>
      </c>
      <c r="AG68" s="71"/>
      <c r="AH68" s="10" t="str">
        <f t="shared" si="42"/>
        <v/>
      </c>
      <c r="AI68" s="10" t="str">
        <f t="shared" si="23"/>
        <v/>
      </c>
      <c r="AJ68" s="71"/>
      <c r="AK68" s="10" t="str">
        <f t="shared" si="43"/>
        <v/>
      </c>
      <c r="AL68" s="10" t="str">
        <f t="shared" si="24"/>
        <v/>
      </c>
      <c r="AM68" s="71"/>
      <c r="AN68" s="10" t="str">
        <f t="shared" si="44"/>
        <v/>
      </c>
      <c r="AO68" s="10" t="str">
        <f t="shared" si="25"/>
        <v/>
      </c>
      <c r="AP68" s="71"/>
      <c r="AQ68" s="10" t="str">
        <f t="shared" si="45"/>
        <v/>
      </c>
      <c r="AR68" s="10" t="str">
        <f t="shared" si="26"/>
        <v/>
      </c>
      <c r="AS68" s="71"/>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U68" s="71"/>
      <c r="AV68" s="10" t="str">
        <f t="shared" si="46"/>
        <v/>
      </c>
      <c r="AW68" s="10" t="str">
        <f t="shared" si="27"/>
        <v/>
      </c>
      <c r="AX68" s="71"/>
      <c r="AY68" s="7" t="str">
        <f>IF(ISERROR(IF($K68&lt;=$F$15,VLOOKUP($I68,'表4）CO2価格'!$A$7:$E$67,VLOOKUP($F$48,'表4）CO2価格'!$H$10:$I$12,2,0),0)*$F$8/1000,"")),0,IF($K68&lt;=$F$15,VLOOKUP($I68,'表4）CO2価格'!$A$7:$E$67,VLOOKUP($F$48,'表4）CO2価格'!$H$10:$I$12,2,0),0)*$F$8/1000,""))</f>
        <v/>
      </c>
      <c r="AZ68" s="71"/>
      <c r="BA68" s="11" t="str">
        <f t="shared" si="47"/>
        <v/>
      </c>
      <c r="BB68" s="10" t="str">
        <f t="shared" si="28"/>
        <v/>
      </c>
      <c r="BC68" s="71"/>
      <c r="BD68" s="10" t="str">
        <f t="shared" si="48"/>
        <v/>
      </c>
      <c r="BE68" s="10" t="str">
        <f t="shared" si="29"/>
        <v/>
      </c>
      <c r="BF68" s="71"/>
      <c r="BG68" s="11" t="str">
        <f t="shared" si="49"/>
        <v/>
      </c>
      <c r="BH68" s="10" t="str">
        <f t="shared" si="30"/>
        <v/>
      </c>
      <c r="BJ68" s="7" t="str">
        <f t="shared" si="31"/>
        <v/>
      </c>
      <c r="BK68" s="158" t="str">
        <f t="shared" si="32"/>
        <v/>
      </c>
      <c r="BL68" s="158" t="str">
        <f t="shared" si="14"/>
        <v/>
      </c>
      <c r="BM68" s="10"/>
      <c r="BN68" s="10" t="str">
        <f t="shared" si="33"/>
        <v/>
      </c>
      <c r="BO68" s="10" t="str">
        <f t="shared" si="34"/>
        <v/>
      </c>
      <c r="BQ68" s="10" t="str">
        <f t="shared" si="50"/>
        <v/>
      </c>
      <c r="BR68" s="10" t="str">
        <f t="shared" si="35"/>
        <v/>
      </c>
    </row>
    <row r="69" spans="2:70" x14ac:dyDescent="0.15">
      <c r="C69" s="461" t="s">
        <v>134</v>
      </c>
      <c r="D69" s="9"/>
      <c r="E69" s="9"/>
      <c r="F69" s="94">
        <f>SUBTOTAL(9,F74:F112)-F105</f>
        <v>11.786757832264065</v>
      </c>
      <c r="G69" s="9" t="s">
        <v>132</v>
      </c>
      <c r="I69" s="458">
        <f t="shared" si="36"/>
        <v>2084</v>
      </c>
      <c r="J69" s="39"/>
      <c r="K69" s="39">
        <f t="shared" si="37"/>
        <v>55</v>
      </c>
      <c r="L69" s="39"/>
      <c r="M69" s="40">
        <f t="shared" si="0"/>
        <v>0.19676717080686118</v>
      </c>
      <c r="N69" s="39"/>
      <c r="O69" s="72" t="str">
        <f t="shared" si="16"/>
        <v/>
      </c>
      <c r="P69" s="41" t="str">
        <f t="shared" si="38"/>
        <v/>
      </c>
      <c r="Q69" s="39"/>
      <c r="R69" s="72" t="str">
        <f t="shared" si="51"/>
        <v/>
      </c>
      <c r="S69" s="39"/>
      <c r="T69" s="72" t="str">
        <f t="shared" si="18"/>
        <v/>
      </c>
      <c r="U69" s="39"/>
      <c r="V69" s="72" t="str">
        <f t="shared" si="39"/>
        <v/>
      </c>
      <c r="W69" s="72" t="str">
        <f t="shared" si="19"/>
        <v/>
      </c>
      <c r="X69" s="39"/>
      <c r="Y69" s="72" t="str">
        <f t="shared" si="40"/>
        <v/>
      </c>
      <c r="Z69" s="72" t="str">
        <f t="shared" si="20"/>
        <v/>
      </c>
      <c r="AA69" s="39"/>
      <c r="AB69" s="72" t="str">
        <f t="shared" si="4"/>
        <v/>
      </c>
      <c r="AC69" s="72" t="str">
        <f t="shared" si="21"/>
        <v/>
      </c>
      <c r="AD69" s="39"/>
      <c r="AE69" s="72" t="str">
        <f t="shared" si="41"/>
        <v/>
      </c>
      <c r="AF69" s="72" t="str">
        <f t="shared" si="22"/>
        <v/>
      </c>
      <c r="AG69" s="39"/>
      <c r="AH69" s="72" t="str">
        <f t="shared" si="42"/>
        <v/>
      </c>
      <c r="AI69" s="72" t="str">
        <f t="shared" si="23"/>
        <v/>
      </c>
      <c r="AJ69" s="39"/>
      <c r="AK69" s="72" t="str">
        <f t="shared" si="43"/>
        <v/>
      </c>
      <c r="AL69" s="72" t="str">
        <f t="shared" si="24"/>
        <v/>
      </c>
      <c r="AM69" s="39"/>
      <c r="AN69" s="72" t="str">
        <f t="shared" si="44"/>
        <v/>
      </c>
      <c r="AO69" s="72" t="str">
        <f t="shared" si="25"/>
        <v/>
      </c>
      <c r="AP69" s="39"/>
      <c r="AQ69" s="72" t="str">
        <f t="shared" si="45"/>
        <v/>
      </c>
      <c r="AR69" s="72" t="str">
        <f t="shared" si="26"/>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46"/>
        <v/>
      </c>
      <c r="AW69" s="72" t="str">
        <f t="shared" si="27"/>
        <v/>
      </c>
      <c r="AX69" s="39"/>
      <c r="AY69" s="40" t="str">
        <f>IF(ISERROR(IF($K69&lt;=$F$15,VLOOKUP($I69,'表4）CO2価格'!$A$7:$E$67,VLOOKUP($F$48,'表4）CO2価格'!$H$10:$I$12,2,0),0)*$F$8/1000,"")),0,IF($K69&lt;=$F$15,VLOOKUP($I69,'表4）CO2価格'!$A$7:$E$67,VLOOKUP($F$48,'表4）CO2価格'!$H$10:$I$12,2,0),0)*$F$8/1000,""))</f>
        <v/>
      </c>
      <c r="AZ69" s="39"/>
      <c r="BA69" s="42" t="str">
        <f t="shared" si="47"/>
        <v/>
      </c>
      <c r="BB69" s="72" t="str">
        <f t="shared" si="28"/>
        <v/>
      </c>
      <c r="BC69" s="39"/>
      <c r="BD69" s="72" t="str">
        <f t="shared" si="48"/>
        <v/>
      </c>
      <c r="BE69" s="72" t="str">
        <f t="shared" si="29"/>
        <v/>
      </c>
      <c r="BF69" s="39"/>
      <c r="BG69" s="42" t="str">
        <f t="shared" si="49"/>
        <v/>
      </c>
      <c r="BH69" s="72" t="str">
        <f t="shared" si="30"/>
        <v/>
      </c>
      <c r="BI69" s="39"/>
      <c r="BJ69" s="40" t="str">
        <f t="shared" si="31"/>
        <v/>
      </c>
      <c r="BK69" s="157" t="str">
        <f t="shared" si="32"/>
        <v/>
      </c>
      <c r="BL69" s="157" t="str">
        <f t="shared" si="14"/>
        <v/>
      </c>
      <c r="BM69" s="72"/>
      <c r="BN69" s="72" t="str">
        <f t="shared" si="33"/>
        <v/>
      </c>
      <c r="BO69" s="72" t="str">
        <f t="shared" si="34"/>
        <v/>
      </c>
      <c r="BP69" s="39"/>
      <c r="BQ69" s="72" t="str">
        <f t="shared" si="50"/>
        <v/>
      </c>
      <c r="BR69" s="72" t="str">
        <f t="shared" si="35"/>
        <v/>
      </c>
    </row>
    <row r="70" spans="2:70" x14ac:dyDescent="0.15">
      <c r="C70" s="461" t="s">
        <v>135</v>
      </c>
      <c r="D70" s="9"/>
      <c r="E70" s="9"/>
      <c r="F70" s="94">
        <f ca="1">MAX(SUM($Z$117,$AF$117,$AI$117,$AL$117,$AO$117,$AR$117,$AW$117,$BB$117,$BE$117,$BH$117,$BO$116)/$BR$116+$F$105,SUBTOTAL(9,F74:F112))</f>
        <v>14.652920732998551</v>
      </c>
      <c r="G70" s="9" t="s">
        <v>132</v>
      </c>
      <c r="I70" s="459">
        <f t="shared" si="36"/>
        <v>2085</v>
      </c>
      <c r="J70" s="71"/>
      <c r="K70" s="71">
        <f t="shared" si="37"/>
        <v>56</v>
      </c>
      <c r="L70" s="71"/>
      <c r="M70" s="7">
        <f t="shared" si="0"/>
        <v>0.19103608816200118</v>
      </c>
      <c r="N70" s="71"/>
      <c r="O70" s="10" t="str">
        <f t="shared" si="16"/>
        <v/>
      </c>
      <c r="P70" s="29" t="str">
        <f t="shared" si="38"/>
        <v/>
      </c>
      <c r="Q70" s="71"/>
      <c r="R70" s="10" t="str">
        <f t="shared" si="51"/>
        <v/>
      </c>
      <c r="S70" s="71"/>
      <c r="T70" s="10" t="str">
        <f t="shared" si="18"/>
        <v/>
      </c>
      <c r="U70" s="71"/>
      <c r="V70" s="10" t="str">
        <f t="shared" si="39"/>
        <v/>
      </c>
      <c r="W70" s="10" t="str">
        <f t="shared" si="19"/>
        <v/>
      </c>
      <c r="X70" s="71"/>
      <c r="Y70" s="10" t="str">
        <f t="shared" si="40"/>
        <v/>
      </c>
      <c r="Z70" s="10" t="str">
        <f t="shared" si="20"/>
        <v/>
      </c>
      <c r="AA70" s="71"/>
      <c r="AB70" s="10" t="str">
        <f t="shared" si="4"/>
        <v/>
      </c>
      <c r="AC70" s="10" t="str">
        <f t="shared" si="21"/>
        <v/>
      </c>
      <c r="AD70" s="71"/>
      <c r="AE70" s="10" t="str">
        <f t="shared" si="41"/>
        <v/>
      </c>
      <c r="AF70" s="10" t="str">
        <f t="shared" si="22"/>
        <v/>
      </c>
      <c r="AG70" s="71"/>
      <c r="AH70" s="10" t="str">
        <f t="shared" si="42"/>
        <v/>
      </c>
      <c r="AI70" s="10" t="str">
        <f t="shared" si="23"/>
        <v/>
      </c>
      <c r="AJ70" s="71"/>
      <c r="AK70" s="10" t="str">
        <f t="shared" si="43"/>
        <v/>
      </c>
      <c r="AL70" s="10" t="str">
        <f t="shared" si="24"/>
        <v/>
      </c>
      <c r="AM70" s="71"/>
      <c r="AN70" s="10" t="str">
        <f t="shared" si="44"/>
        <v/>
      </c>
      <c r="AO70" s="10" t="str">
        <f t="shared" si="25"/>
        <v/>
      </c>
      <c r="AP70" s="71"/>
      <c r="AQ70" s="10" t="str">
        <f t="shared" si="45"/>
        <v/>
      </c>
      <c r="AR70" s="10" t="str">
        <f t="shared" si="26"/>
        <v/>
      </c>
      <c r="AS70" s="71"/>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U70" s="71"/>
      <c r="AV70" s="10" t="str">
        <f t="shared" si="46"/>
        <v/>
      </c>
      <c r="AW70" s="10" t="str">
        <f t="shared" si="27"/>
        <v/>
      </c>
      <c r="AX70" s="71"/>
      <c r="AY70" s="7" t="str">
        <f>IF(ISERROR(IF($K70&lt;=$F$15,VLOOKUP($I70,'表4）CO2価格'!$A$7:$E$67,VLOOKUP($F$48,'表4）CO2価格'!$H$10:$I$12,2,0),0)*$F$8/1000,"")),0,IF($K70&lt;=$F$15,VLOOKUP($I70,'表4）CO2価格'!$A$7:$E$67,VLOOKUP($F$48,'表4）CO2価格'!$H$10:$I$12,2,0),0)*$F$8/1000,""))</f>
        <v/>
      </c>
      <c r="AZ70" s="71"/>
      <c r="BA70" s="11" t="str">
        <f t="shared" si="47"/>
        <v/>
      </c>
      <c r="BB70" s="10" t="str">
        <f t="shared" si="28"/>
        <v/>
      </c>
      <c r="BC70" s="71"/>
      <c r="BD70" s="10" t="str">
        <f t="shared" si="48"/>
        <v/>
      </c>
      <c r="BE70" s="10" t="str">
        <f t="shared" si="29"/>
        <v/>
      </c>
      <c r="BF70" s="71"/>
      <c r="BG70" s="11" t="str">
        <f t="shared" si="49"/>
        <v/>
      </c>
      <c r="BH70" s="10" t="str">
        <f t="shared" si="30"/>
        <v/>
      </c>
      <c r="BJ70" s="7" t="str">
        <f t="shared" si="31"/>
        <v/>
      </c>
      <c r="BK70" s="158" t="str">
        <f t="shared" si="32"/>
        <v/>
      </c>
      <c r="BL70" s="158" t="str">
        <f t="shared" si="14"/>
        <v/>
      </c>
      <c r="BM70" s="10"/>
      <c r="BN70" s="10" t="str">
        <f t="shared" si="33"/>
        <v/>
      </c>
      <c r="BO70" s="10" t="str">
        <f t="shared" si="34"/>
        <v/>
      </c>
      <c r="BQ70" s="10" t="str">
        <f t="shared" si="50"/>
        <v/>
      </c>
      <c r="BR70" s="10" t="str">
        <f t="shared" si="35"/>
        <v/>
      </c>
    </row>
    <row r="71" spans="2:70" x14ac:dyDescent="0.15">
      <c r="F71" s="145"/>
      <c r="I71" s="458">
        <f t="shared" si="36"/>
        <v>2086</v>
      </c>
      <c r="J71" s="39"/>
      <c r="K71" s="39">
        <f t="shared" si="37"/>
        <v>57</v>
      </c>
      <c r="L71" s="39"/>
      <c r="M71" s="40">
        <f t="shared" si="0"/>
        <v>0.18547193025437006</v>
      </c>
      <c r="N71" s="39"/>
      <c r="O71" s="72" t="str">
        <f t="shared" si="16"/>
        <v/>
      </c>
      <c r="P71" s="41" t="str">
        <f t="shared" si="38"/>
        <v/>
      </c>
      <c r="Q71" s="39"/>
      <c r="R71" s="72" t="str">
        <f t="shared" si="51"/>
        <v/>
      </c>
      <c r="S71" s="39"/>
      <c r="T71" s="72" t="str">
        <f t="shared" si="18"/>
        <v/>
      </c>
      <c r="U71" s="39"/>
      <c r="V71" s="72" t="str">
        <f t="shared" si="39"/>
        <v/>
      </c>
      <c r="W71" s="72" t="str">
        <f t="shared" si="19"/>
        <v/>
      </c>
      <c r="X71" s="39"/>
      <c r="Y71" s="72" t="str">
        <f t="shared" si="40"/>
        <v/>
      </c>
      <c r="Z71" s="72" t="str">
        <f t="shared" si="20"/>
        <v/>
      </c>
      <c r="AA71" s="39"/>
      <c r="AB71" s="72" t="str">
        <f t="shared" si="4"/>
        <v/>
      </c>
      <c r="AC71" s="72" t="str">
        <f t="shared" si="21"/>
        <v/>
      </c>
      <c r="AD71" s="39"/>
      <c r="AE71" s="72" t="str">
        <f t="shared" si="41"/>
        <v/>
      </c>
      <c r="AF71" s="72" t="str">
        <f t="shared" si="22"/>
        <v/>
      </c>
      <c r="AG71" s="39"/>
      <c r="AH71" s="72" t="str">
        <f t="shared" si="42"/>
        <v/>
      </c>
      <c r="AI71" s="72" t="str">
        <f t="shared" si="23"/>
        <v/>
      </c>
      <c r="AJ71" s="39"/>
      <c r="AK71" s="72" t="str">
        <f t="shared" si="43"/>
        <v/>
      </c>
      <c r="AL71" s="72" t="str">
        <f t="shared" si="24"/>
        <v/>
      </c>
      <c r="AM71" s="39"/>
      <c r="AN71" s="72" t="str">
        <f t="shared" si="44"/>
        <v/>
      </c>
      <c r="AO71" s="72" t="str">
        <f t="shared" si="25"/>
        <v/>
      </c>
      <c r="AP71" s="39"/>
      <c r="AQ71" s="72" t="str">
        <f t="shared" si="45"/>
        <v/>
      </c>
      <c r="AR71" s="72" t="str">
        <f t="shared" si="26"/>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46"/>
        <v/>
      </c>
      <c r="AW71" s="72" t="str">
        <f t="shared" si="27"/>
        <v/>
      </c>
      <c r="AX71" s="39"/>
      <c r="AY71" s="40" t="str">
        <f>IF(ISERROR(IF($K71&lt;=$F$15,VLOOKUP($I71,'表4）CO2価格'!$A$7:$E$67,VLOOKUP($F$48,'表4）CO2価格'!$H$10:$I$12,2,0),0)*$F$8/1000,"")),0,IF($K71&lt;=$F$15,VLOOKUP($I71,'表4）CO2価格'!$A$7:$E$67,VLOOKUP($F$48,'表4）CO2価格'!$H$10:$I$12,2,0),0)*$F$8/1000,""))</f>
        <v/>
      </c>
      <c r="AZ71" s="39"/>
      <c r="BA71" s="42" t="str">
        <f t="shared" si="47"/>
        <v/>
      </c>
      <c r="BB71" s="72" t="str">
        <f t="shared" si="28"/>
        <v/>
      </c>
      <c r="BC71" s="39"/>
      <c r="BD71" s="72" t="str">
        <f t="shared" si="48"/>
        <v/>
      </c>
      <c r="BE71" s="72" t="str">
        <f t="shared" si="29"/>
        <v/>
      </c>
      <c r="BF71" s="39"/>
      <c r="BG71" s="42" t="str">
        <f t="shared" si="49"/>
        <v/>
      </c>
      <c r="BH71" s="72" t="str">
        <f t="shared" si="30"/>
        <v/>
      </c>
      <c r="BI71" s="39"/>
      <c r="BJ71" s="40" t="str">
        <f t="shared" si="31"/>
        <v/>
      </c>
      <c r="BK71" s="157" t="str">
        <f t="shared" si="32"/>
        <v/>
      </c>
      <c r="BL71" s="157" t="str">
        <f t="shared" si="14"/>
        <v/>
      </c>
      <c r="BM71" s="72"/>
      <c r="BN71" s="72" t="str">
        <f t="shared" si="33"/>
        <v/>
      </c>
      <c r="BO71" s="72" t="str">
        <f t="shared" si="34"/>
        <v/>
      </c>
      <c r="BP71" s="39"/>
      <c r="BQ71" s="72" t="str">
        <f t="shared" si="50"/>
        <v/>
      </c>
      <c r="BR71" s="72" t="str">
        <f t="shared" si="35"/>
        <v/>
      </c>
    </row>
    <row r="72" spans="2:70" x14ac:dyDescent="0.15">
      <c r="C72" s="89" t="s">
        <v>136</v>
      </c>
      <c r="D72" s="101"/>
      <c r="E72" s="101"/>
      <c r="F72" s="92"/>
      <c r="G72" s="101"/>
      <c r="I72" s="459">
        <f t="shared" si="36"/>
        <v>2087</v>
      </c>
      <c r="J72" s="71"/>
      <c r="K72" s="71">
        <f t="shared" si="37"/>
        <v>58</v>
      </c>
      <c r="L72" s="71"/>
      <c r="M72" s="7">
        <f t="shared" si="0"/>
        <v>0.18006983519841754</v>
      </c>
      <c r="N72" s="71"/>
      <c r="O72" s="10" t="str">
        <f t="shared" si="16"/>
        <v/>
      </c>
      <c r="P72" s="29" t="str">
        <f t="shared" si="38"/>
        <v/>
      </c>
      <c r="Q72" s="71"/>
      <c r="R72" s="10" t="str">
        <f t="shared" si="51"/>
        <v/>
      </c>
      <c r="S72" s="71"/>
      <c r="T72" s="10" t="str">
        <f t="shared" si="18"/>
        <v/>
      </c>
      <c r="U72" s="71"/>
      <c r="V72" s="10" t="str">
        <f t="shared" si="39"/>
        <v/>
      </c>
      <c r="W72" s="10" t="str">
        <f t="shared" si="19"/>
        <v/>
      </c>
      <c r="X72" s="71"/>
      <c r="Y72" s="10" t="str">
        <f t="shared" si="40"/>
        <v/>
      </c>
      <c r="Z72" s="10" t="str">
        <f t="shared" si="20"/>
        <v/>
      </c>
      <c r="AA72" s="71"/>
      <c r="AB72" s="10" t="str">
        <f t="shared" si="4"/>
        <v/>
      </c>
      <c r="AC72" s="10" t="str">
        <f t="shared" si="21"/>
        <v/>
      </c>
      <c r="AD72" s="71"/>
      <c r="AE72" s="10" t="str">
        <f t="shared" si="41"/>
        <v/>
      </c>
      <c r="AF72" s="10" t="str">
        <f t="shared" si="22"/>
        <v/>
      </c>
      <c r="AG72" s="71"/>
      <c r="AH72" s="10" t="str">
        <f t="shared" si="42"/>
        <v/>
      </c>
      <c r="AI72" s="10" t="str">
        <f t="shared" si="23"/>
        <v/>
      </c>
      <c r="AJ72" s="71"/>
      <c r="AK72" s="10" t="str">
        <f t="shared" si="43"/>
        <v/>
      </c>
      <c r="AL72" s="10" t="str">
        <f t="shared" si="24"/>
        <v/>
      </c>
      <c r="AM72" s="71"/>
      <c r="AN72" s="10" t="str">
        <f t="shared" si="44"/>
        <v/>
      </c>
      <c r="AO72" s="10" t="str">
        <f t="shared" si="25"/>
        <v/>
      </c>
      <c r="AP72" s="71"/>
      <c r="AQ72" s="10" t="str">
        <f t="shared" si="45"/>
        <v/>
      </c>
      <c r="AR72" s="10" t="str">
        <f t="shared" si="26"/>
        <v/>
      </c>
      <c r="AS72" s="71"/>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U72" s="71"/>
      <c r="AV72" s="10" t="str">
        <f t="shared" si="46"/>
        <v/>
      </c>
      <c r="AW72" s="10" t="str">
        <f t="shared" si="27"/>
        <v/>
      </c>
      <c r="AX72" s="71"/>
      <c r="AY72" s="7" t="str">
        <f>IF(ISERROR(IF($K72&lt;=$F$15,VLOOKUP($I72,'表4）CO2価格'!$A$7:$E$67,VLOOKUP($F$48,'表4）CO2価格'!$H$10:$I$12,2,0),0)*$F$8/1000,"")),0,IF($K72&lt;=$F$15,VLOOKUP($I72,'表4）CO2価格'!$A$7:$E$67,VLOOKUP($F$48,'表4）CO2価格'!$H$10:$I$12,2,0),0)*$F$8/1000,""))</f>
        <v/>
      </c>
      <c r="AZ72" s="71"/>
      <c r="BA72" s="11" t="str">
        <f t="shared" si="47"/>
        <v/>
      </c>
      <c r="BB72" s="10" t="str">
        <f t="shared" si="28"/>
        <v/>
      </c>
      <c r="BC72" s="71"/>
      <c r="BD72" s="10" t="str">
        <f t="shared" si="48"/>
        <v/>
      </c>
      <c r="BE72" s="10" t="str">
        <f t="shared" si="29"/>
        <v/>
      </c>
      <c r="BF72" s="71"/>
      <c r="BG72" s="11" t="str">
        <f t="shared" si="49"/>
        <v/>
      </c>
      <c r="BH72" s="10" t="str">
        <f t="shared" si="30"/>
        <v/>
      </c>
      <c r="BJ72" s="7" t="str">
        <f t="shared" si="31"/>
        <v/>
      </c>
      <c r="BK72" s="158" t="str">
        <f t="shared" si="32"/>
        <v/>
      </c>
      <c r="BL72" s="158" t="str">
        <f t="shared" si="14"/>
        <v/>
      </c>
      <c r="BM72" s="10"/>
      <c r="BN72" s="10" t="str">
        <f t="shared" si="33"/>
        <v/>
      </c>
      <c r="BO72" s="10" t="str">
        <f t="shared" si="34"/>
        <v/>
      </c>
      <c r="BQ72" s="10" t="str">
        <f t="shared" si="50"/>
        <v/>
      </c>
      <c r="BR72" s="10" t="str">
        <f t="shared" si="35"/>
        <v/>
      </c>
    </row>
    <row r="73" spans="2:70" x14ac:dyDescent="0.15">
      <c r="F73" s="93"/>
      <c r="I73" s="458">
        <f t="shared" si="36"/>
        <v>2088</v>
      </c>
      <c r="J73" s="39"/>
      <c r="K73" s="39">
        <f t="shared" si="37"/>
        <v>59</v>
      </c>
      <c r="L73" s="39"/>
      <c r="M73" s="40">
        <f t="shared" si="0"/>
        <v>0.17482508271691022</v>
      </c>
      <c r="N73" s="39"/>
      <c r="O73" s="72" t="str">
        <f t="shared" si="16"/>
        <v/>
      </c>
      <c r="P73" s="41" t="str">
        <f t="shared" si="38"/>
        <v/>
      </c>
      <c r="Q73" s="39"/>
      <c r="R73" s="72" t="str">
        <f t="shared" si="51"/>
        <v/>
      </c>
      <c r="S73" s="39"/>
      <c r="T73" s="72" t="str">
        <f t="shared" si="18"/>
        <v/>
      </c>
      <c r="U73" s="39"/>
      <c r="V73" s="72" t="str">
        <f t="shared" si="39"/>
        <v/>
      </c>
      <c r="W73" s="72" t="str">
        <f t="shared" si="19"/>
        <v/>
      </c>
      <c r="X73" s="39"/>
      <c r="Y73" s="72" t="str">
        <f t="shared" si="40"/>
        <v/>
      </c>
      <c r="Z73" s="72" t="str">
        <f t="shared" si="20"/>
        <v/>
      </c>
      <c r="AA73" s="39"/>
      <c r="AB73" s="72" t="str">
        <f t="shared" si="4"/>
        <v/>
      </c>
      <c r="AC73" s="72" t="str">
        <f t="shared" si="21"/>
        <v/>
      </c>
      <c r="AD73" s="39"/>
      <c r="AE73" s="72" t="str">
        <f t="shared" si="41"/>
        <v/>
      </c>
      <c r="AF73" s="72" t="str">
        <f t="shared" si="22"/>
        <v/>
      </c>
      <c r="AG73" s="39"/>
      <c r="AH73" s="72" t="str">
        <f t="shared" si="42"/>
        <v/>
      </c>
      <c r="AI73" s="72" t="str">
        <f t="shared" si="23"/>
        <v/>
      </c>
      <c r="AJ73" s="39"/>
      <c r="AK73" s="72" t="str">
        <f t="shared" si="43"/>
        <v/>
      </c>
      <c r="AL73" s="72" t="str">
        <f t="shared" si="24"/>
        <v/>
      </c>
      <c r="AM73" s="39"/>
      <c r="AN73" s="72" t="str">
        <f t="shared" si="44"/>
        <v/>
      </c>
      <c r="AO73" s="72" t="str">
        <f t="shared" si="25"/>
        <v/>
      </c>
      <c r="AP73" s="39"/>
      <c r="AQ73" s="72" t="str">
        <f t="shared" si="45"/>
        <v/>
      </c>
      <c r="AR73" s="72" t="str">
        <f t="shared" si="26"/>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46"/>
        <v/>
      </c>
      <c r="AW73" s="72" t="str">
        <f t="shared" si="27"/>
        <v/>
      </c>
      <c r="AX73" s="39"/>
      <c r="AY73" s="40" t="str">
        <f>IF(ISERROR(IF($K73&lt;=$F$15,VLOOKUP($I73,'表4）CO2価格'!$A$7:$E$67,VLOOKUP($F$48,'表4）CO2価格'!$H$10:$I$12,2,0),0)*$F$8/1000,"")),0,IF($K73&lt;=$F$15,VLOOKUP($I73,'表4）CO2価格'!$A$7:$E$67,VLOOKUP($F$48,'表4）CO2価格'!$H$10:$I$12,2,0),0)*$F$8/1000,""))</f>
        <v/>
      </c>
      <c r="AZ73" s="39"/>
      <c r="BA73" s="42" t="str">
        <f t="shared" si="47"/>
        <v/>
      </c>
      <c r="BB73" s="72" t="str">
        <f t="shared" si="28"/>
        <v/>
      </c>
      <c r="BC73" s="39"/>
      <c r="BD73" s="72" t="str">
        <f t="shared" si="48"/>
        <v/>
      </c>
      <c r="BE73" s="72" t="str">
        <f t="shared" si="29"/>
        <v/>
      </c>
      <c r="BF73" s="39"/>
      <c r="BG73" s="42" t="str">
        <f t="shared" si="49"/>
        <v/>
      </c>
      <c r="BH73" s="72" t="str">
        <f t="shared" si="30"/>
        <v/>
      </c>
      <c r="BI73" s="39"/>
      <c r="BJ73" s="40" t="str">
        <f t="shared" si="31"/>
        <v/>
      </c>
      <c r="BK73" s="157" t="str">
        <f t="shared" si="32"/>
        <v/>
      </c>
      <c r="BL73" s="157" t="str">
        <f t="shared" si="14"/>
        <v/>
      </c>
      <c r="BM73" s="72"/>
      <c r="BN73" s="72" t="str">
        <f t="shared" si="33"/>
        <v/>
      </c>
      <c r="BO73" s="72" t="str">
        <f t="shared" si="34"/>
        <v/>
      </c>
      <c r="BP73" s="39"/>
      <c r="BQ73" s="72" t="str">
        <f t="shared" si="50"/>
        <v/>
      </c>
      <c r="BR73" s="72" t="str">
        <f t="shared" si="35"/>
        <v/>
      </c>
    </row>
    <row r="74" spans="2:70" ht="15" x14ac:dyDescent="0.15">
      <c r="D74" s="116" t="s">
        <v>192</v>
      </c>
      <c r="F74" s="94">
        <f>SUBTOTAL(9,F78:F81)</f>
        <v>7.112684557176876</v>
      </c>
      <c r="G74" s="81" t="s">
        <v>132</v>
      </c>
      <c r="I74" s="459">
        <f t="shared" si="36"/>
        <v>2089</v>
      </c>
      <c r="J74" s="71"/>
      <c r="K74" s="71">
        <f t="shared" si="37"/>
        <v>60</v>
      </c>
      <c r="L74" s="71"/>
      <c r="M74" s="7">
        <f t="shared" si="0"/>
        <v>0.1697330900164177</v>
      </c>
      <c r="N74" s="71"/>
      <c r="O74" s="10" t="str">
        <f t="shared" si="16"/>
        <v/>
      </c>
      <c r="P74" s="29" t="str">
        <f t="shared" si="38"/>
        <v/>
      </c>
      <c r="Q74" s="71"/>
      <c r="R74" s="10" t="str">
        <f t="shared" si="51"/>
        <v/>
      </c>
      <c r="S74" s="71"/>
      <c r="T74" s="10" t="str">
        <f t="shared" si="18"/>
        <v/>
      </c>
      <c r="U74" s="71"/>
      <c r="V74" s="10" t="str">
        <f t="shared" si="39"/>
        <v/>
      </c>
      <c r="W74" s="10" t="str">
        <f t="shared" si="19"/>
        <v/>
      </c>
      <c r="X74" s="71"/>
      <c r="Y74" s="10" t="str">
        <f t="shared" si="40"/>
        <v/>
      </c>
      <c r="Z74" s="10" t="str">
        <f t="shared" si="20"/>
        <v/>
      </c>
      <c r="AA74" s="71"/>
      <c r="AB74" s="10" t="str">
        <f t="shared" si="4"/>
        <v/>
      </c>
      <c r="AC74" s="10" t="str">
        <f t="shared" si="21"/>
        <v/>
      </c>
      <c r="AD74" s="71"/>
      <c r="AE74" s="10" t="str">
        <f t="shared" si="41"/>
        <v/>
      </c>
      <c r="AF74" s="10" t="str">
        <f t="shared" si="22"/>
        <v/>
      </c>
      <c r="AG74" s="71"/>
      <c r="AH74" s="10" t="str">
        <f t="shared" si="42"/>
        <v/>
      </c>
      <c r="AI74" s="10" t="str">
        <f t="shared" si="23"/>
        <v/>
      </c>
      <c r="AJ74" s="71"/>
      <c r="AK74" s="10" t="str">
        <f t="shared" si="43"/>
        <v/>
      </c>
      <c r="AL74" s="10" t="str">
        <f t="shared" si="24"/>
        <v/>
      </c>
      <c r="AM74" s="71"/>
      <c r="AN74" s="10" t="str">
        <f t="shared" si="44"/>
        <v/>
      </c>
      <c r="AO74" s="10" t="str">
        <f t="shared" si="25"/>
        <v/>
      </c>
      <c r="AP74" s="71"/>
      <c r="AQ74" s="10" t="str">
        <f t="shared" si="45"/>
        <v/>
      </c>
      <c r="AR74" s="10" t="str">
        <f t="shared" si="26"/>
        <v/>
      </c>
      <c r="AS74" s="71"/>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U74" s="71"/>
      <c r="AV74" s="10" t="str">
        <f t="shared" si="46"/>
        <v/>
      </c>
      <c r="AW74" s="10" t="str">
        <f t="shared" si="27"/>
        <v/>
      </c>
      <c r="AX74" s="71"/>
      <c r="AY74" s="7" t="str">
        <f>IF(ISERROR(IF($K74&lt;=$F$15,VLOOKUP($I74,'表4）CO2価格'!$A$7:$E$67,VLOOKUP($F$48,'表4）CO2価格'!$H$10:$I$12,2,0),0)*$F$8/1000,"")),0,IF($K74&lt;=$F$15,VLOOKUP($I74,'表4）CO2価格'!$A$7:$E$67,VLOOKUP($F$48,'表4）CO2価格'!$H$10:$I$12,2,0),0)*$F$8/1000,""))</f>
        <v/>
      </c>
      <c r="AZ74" s="71"/>
      <c r="BA74" s="11" t="str">
        <f t="shared" si="47"/>
        <v/>
      </c>
      <c r="BB74" s="10" t="str">
        <f t="shared" si="28"/>
        <v/>
      </c>
      <c r="BC74" s="71"/>
      <c r="BD74" s="10" t="str">
        <f t="shared" si="48"/>
        <v/>
      </c>
      <c r="BE74" s="10" t="str">
        <f t="shared" si="29"/>
        <v/>
      </c>
      <c r="BF74" s="71"/>
      <c r="BG74" s="11" t="str">
        <f t="shared" si="49"/>
        <v/>
      </c>
      <c r="BH74" s="10" t="str">
        <f t="shared" si="30"/>
        <v/>
      </c>
      <c r="BJ74" s="7" t="str">
        <f t="shared" si="31"/>
        <v/>
      </c>
      <c r="BK74" s="158" t="str">
        <f t="shared" si="32"/>
        <v/>
      </c>
      <c r="BL74" s="158" t="str">
        <f t="shared" si="14"/>
        <v/>
      </c>
      <c r="BM74" s="10"/>
      <c r="BN74" s="10" t="str">
        <f t="shared" si="33"/>
        <v/>
      </c>
      <c r="BO74" s="10" t="str">
        <f t="shared" si="34"/>
        <v/>
      </c>
      <c r="BQ74" s="10" t="str">
        <f t="shared" si="50"/>
        <v/>
      </c>
      <c r="BR74" s="10" t="str">
        <f t="shared" si="35"/>
        <v/>
      </c>
    </row>
    <row r="75" spans="2:70" x14ac:dyDescent="0.15">
      <c r="F75" s="93"/>
      <c r="I75" s="458">
        <f t="shared" si="36"/>
        <v>2090</v>
      </c>
      <c r="J75" s="39"/>
      <c r="K75" s="39">
        <f t="shared" si="37"/>
        <v>61</v>
      </c>
      <c r="L75" s="39"/>
      <c r="M75" s="40">
        <f t="shared" si="0"/>
        <v>0.16478940778292983</v>
      </c>
      <c r="N75" s="39"/>
      <c r="O75" s="72" t="str">
        <f t="shared" si="16"/>
        <v/>
      </c>
      <c r="P75" s="41" t="str">
        <f t="shared" si="38"/>
        <v/>
      </c>
      <c r="Q75" s="39"/>
      <c r="R75" s="72" t="str">
        <f t="shared" si="51"/>
        <v/>
      </c>
      <c r="S75" s="39"/>
      <c r="T75" s="72" t="str">
        <f t="shared" si="18"/>
        <v/>
      </c>
      <c r="U75" s="39"/>
      <c r="V75" s="72" t="str">
        <f t="shared" si="39"/>
        <v/>
      </c>
      <c r="W75" s="72" t="str">
        <f t="shared" si="19"/>
        <v/>
      </c>
      <c r="X75" s="39"/>
      <c r="Y75" s="72" t="str">
        <f t="shared" si="40"/>
        <v/>
      </c>
      <c r="Z75" s="72" t="str">
        <f t="shared" si="20"/>
        <v/>
      </c>
      <c r="AA75" s="39"/>
      <c r="AB75" s="72" t="str">
        <f t="shared" si="4"/>
        <v/>
      </c>
      <c r="AC75" s="72" t="str">
        <f t="shared" si="21"/>
        <v/>
      </c>
      <c r="AD75" s="39"/>
      <c r="AE75" s="72" t="str">
        <f t="shared" si="41"/>
        <v/>
      </c>
      <c r="AF75" s="72" t="str">
        <f t="shared" si="22"/>
        <v/>
      </c>
      <c r="AG75" s="39"/>
      <c r="AH75" s="72" t="str">
        <f t="shared" si="42"/>
        <v/>
      </c>
      <c r="AI75" s="72" t="str">
        <f t="shared" si="23"/>
        <v/>
      </c>
      <c r="AJ75" s="39"/>
      <c r="AK75" s="72" t="str">
        <f t="shared" si="43"/>
        <v/>
      </c>
      <c r="AL75" s="72" t="str">
        <f t="shared" si="24"/>
        <v/>
      </c>
      <c r="AM75" s="39"/>
      <c r="AN75" s="72" t="str">
        <f t="shared" si="44"/>
        <v/>
      </c>
      <c r="AO75" s="72" t="str">
        <f t="shared" si="25"/>
        <v/>
      </c>
      <c r="AP75" s="39"/>
      <c r="AQ75" s="72" t="str">
        <f t="shared" si="45"/>
        <v/>
      </c>
      <c r="AR75" s="72" t="str">
        <f t="shared" si="26"/>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46"/>
        <v/>
      </c>
      <c r="AW75" s="72" t="str">
        <f t="shared" si="27"/>
        <v/>
      </c>
      <c r="AX75" s="39"/>
      <c r="AY75" s="40" t="str">
        <f>IF(ISERROR(IF($K75&lt;=$F$15,VLOOKUP($I75,'表4）CO2価格'!$A$7:$E$67,VLOOKUP($F$48,'表4）CO2価格'!$H$10:$I$12,2,0),0)*$F$8/1000,"")),0,IF($K75&lt;=$F$15,VLOOKUP($I75,'表4）CO2価格'!$A$7:$E$67,VLOOKUP($F$48,'表4）CO2価格'!$H$10:$I$12,2,0),0)*$F$8/1000,""))</f>
        <v/>
      </c>
      <c r="AZ75" s="39"/>
      <c r="BA75" s="42" t="str">
        <f t="shared" si="47"/>
        <v/>
      </c>
      <c r="BB75" s="72" t="str">
        <f t="shared" si="28"/>
        <v/>
      </c>
      <c r="BC75" s="39"/>
      <c r="BD75" s="72" t="str">
        <f t="shared" si="48"/>
        <v/>
      </c>
      <c r="BE75" s="72" t="str">
        <f t="shared" si="29"/>
        <v/>
      </c>
      <c r="BF75" s="39"/>
      <c r="BG75" s="42" t="str">
        <f t="shared" si="49"/>
        <v/>
      </c>
      <c r="BH75" s="72" t="str">
        <f t="shared" si="30"/>
        <v/>
      </c>
      <c r="BI75" s="39"/>
      <c r="BJ75" s="40" t="str">
        <f t="shared" si="31"/>
        <v/>
      </c>
      <c r="BK75" s="157" t="str">
        <f t="shared" si="32"/>
        <v/>
      </c>
      <c r="BL75" s="157" t="str">
        <f t="shared" si="14"/>
        <v/>
      </c>
      <c r="BM75" s="72"/>
      <c r="BN75" s="72" t="str">
        <f t="shared" si="33"/>
        <v/>
      </c>
      <c r="BO75" s="72" t="str">
        <f t="shared" si="34"/>
        <v/>
      </c>
      <c r="BP75" s="39"/>
      <c r="BQ75" s="72" t="str">
        <f t="shared" si="50"/>
        <v/>
      </c>
      <c r="BR75" s="72" t="str">
        <f t="shared" si="35"/>
        <v/>
      </c>
    </row>
    <row r="76" spans="2:70" x14ac:dyDescent="0.15">
      <c r="D76" s="101" t="s">
        <v>193</v>
      </c>
      <c r="E76" s="101"/>
      <c r="F76" s="92"/>
      <c r="G76" s="101"/>
      <c r="I76" s="459">
        <f t="shared" si="36"/>
        <v>2091</v>
      </c>
      <c r="J76" s="71"/>
      <c r="K76" s="71">
        <f t="shared" si="37"/>
        <v>62</v>
      </c>
      <c r="L76" s="71"/>
      <c r="M76" s="7">
        <f t="shared" si="0"/>
        <v>0.15998971629410663</v>
      </c>
      <c r="N76" s="71"/>
      <c r="O76" s="10" t="str">
        <f t="shared" si="16"/>
        <v/>
      </c>
      <c r="P76" s="29" t="str">
        <f t="shared" si="38"/>
        <v/>
      </c>
      <c r="Q76" s="71"/>
      <c r="R76" s="10" t="str">
        <f t="shared" si="51"/>
        <v/>
      </c>
      <c r="S76" s="71"/>
      <c r="T76" s="10" t="str">
        <f t="shared" si="18"/>
        <v/>
      </c>
      <c r="U76" s="71"/>
      <c r="V76" s="10" t="str">
        <f t="shared" si="39"/>
        <v/>
      </c>
      <c r="W76" s="10" t="str">
        <f t="shared" si="19"/>
        <v/>
      </c>
      <c r="X76" s="71"/>
      <c r="Y76" s="10" t="str">
        <f t="shared" si="40"/>
        <v/>
      </c>
      <c r="Z76" s="10" t="str">
        <f t="shared" si="20"/>
        <v/>
      </c>
      <c r="AA76" s="71"/>
      <c r="AB76" s="10" t="str">
        <f t="shared" si="4"/>
        <v/>
      </c>
      <c r="AC76" s="10" t="str">
        <f t="shared" si="21"/>
        <v/>
      </c>
      <c r="AD76" s="71"/>
      <c r="AE76" s="10" t="str">
        <f t="shared" si="41"/>
        <v/>
      </c>
      <c r="AF76" s="10" t="str">
        <f t="shared" si="22"/>
        <v/>
      </c>
      <c r="AG76" s="71"/>
      <c r="AH76" s="10" t="str">
        <f t="shared" si="42"/>
        <v/>
      </c>
      <c r="AI76" s="10" t="str">
        <f t="shared" si="23"/>
        <v/>
      </c>
      <c r="AJ76" s="71"/>
      <c r="AK76" s="10" t="str">
        <f t="shared" si="43"/>
        <v/>
      </c>
      <c r="AL76" s="10" t="str">
        <f t="shared" si="24"/>
        <v/>
      </c>
      <c r="AM76" s="71"/>
      <c r="AN76" s="10" t="str">
        <f t="shared" si="44"/>
        <v/>
      </c>
      <c r="AO76" s="10" t="str">
        <f t="shared" si="25"/>
        <v/>
      </c>
      <c r="AP76" s="71"/>
      <c r="AQ76" s="10" t="str">
        <f t="shared" si="45"/>
        <v/>
      </c>
      <c r="AR76" s="10" t="str">
        <f t="shared" si="26"/>
        <v/>
      </c>
      <c r="AS76" s="71"/>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U76" s="71"/>
      <c r="AV76" s="10" t="str">
        <f t="shared" si="46"/>
        <v/>
      </c>
      <c r="AW76" s="10" t="str">
        <f t="shared" si="27"/>
        <v/>
      </c>
      <c r="AX76" s="71"/>
      <c r="AY76" s="7" t="str">
        <f>IF(ISERROR(IF($K76&lt;=$F$15,VLOOKUP($I76,'表4）CO2価格'!$A$7:$E$67,VLOOKUP($F$48,'表4）CO2価格'!$H$10:$I$12,2,0),0)*$F$8/1000,"")),0,IF($K76&lt;=$F$15,VLOOKUP($I76,'表4）CO2価格'!$A$7:$E$67,VLOOKUP($F$48,'表4）CO2価格'!$H$10:$I$12,2,0),0)*$F$8/1000,""))</f>
        <v/>
      </c>
      <c r="AZ76" s="71"/>
      <c r="BA76" s="11" t="str">
        <f t="shared" si="47"/>
        <v/>
      </c>
      <c r="BB76" s="10" t="str">
        <f t="shared" si="28"/>
        <v/>
      </c>
      <c r="BC76" s="71"/>
      <c r="BD76" s="10" t="str">
        <f t="shared" si="48"/>
        <v/>
      </c>
      <c r="BE76" s="10" t="str">
        <f t="shared" si="29"/>
        <v/>
      </c>
      <c r="BF76" s="71"/>
      <c r="BG76" s="11" t="str">
        <f t="shared" si="49"/>
        <v/>
      </c>
      <c r="BH76" s="10" t="str">
        <f t="shared" si="30"/>
        <v/>
      </c>
      <c r="BJ76" s="7" t="str">
        <f t="shared" si="31"/>
        <v/>
      </c>
      <c r="BK76" s="158" t="str">
        <f t="shared" si="32"/>
        <v/>
      </c>
      <c r="BL76" s="158" t="str">
        <f t="shared" si="14"/>
        <v/>
      </c>
      <c r="BM76" s="10"/>
      <c r="BN76" s="10" t="str">
        <f t="shared" si="33"/>
        <v/>
      </c>
      <c r="BO76" s="10" t="str">
        <f t="shared" si="34"/>
        <v/>
      </c>
      <c r="BQ76" s="10" t="str">
        <f t="shared" si="50"/>
        <v/>
      </c>
      <c r="BR76" s="10" t="str">
        <f t="shared" si="35"/>
        <v/>
      </c>
    </row>
    <row r="77" spans="2:70" x14ac:dyDescent="0.15">
      <c r="F77" s="93"/>
      <c r="I77" s="458">
        <f t="shared" si="36"/>
        <v>2092</v>
      </c>
      <c r="J77" s="39"/>
      <c r="K77" s="39">
        <f t="shared" si="37"/>
        <v>63</v>
      </c>
      <c r="L77" s="39"/>
      <c r="M77" s="40">
        <f t="shared" si="0"/>
        <v>0.15532982164476369</v>
      </c>
      <c r="N77" s="39"/>
      <c r="O77" s="72" t="str">
        <f t="shared" si="16"/>
        <v/>
      </c>
      <c r="P77" s="41" t="str">
        <f t="shared" si="38"/>
        <v/>
      </c>
      <c r="Q77" s="39"/>
      <c r="R77" s="72" t="str">
        <f t="shared" si="51"/>
        <v/>
      </c>
      <c r="S77" s="39"/>
      <c r="T77" s="72" t="str">
        <f t="shared" si="18"/>
        <v/>
      </c>
      <c r="U77" s="39"/>
      <c r="V77" s="72" t="str">
        <f t="shared" si="39"/>
        <v/>
      </c>
      <c r="W77" s="72" t="str">
        <f t="shared" si="19"/>
        <v/>
      </c>
      <c r="X77" s="39"/>
      <c r="Y77" s="72" t="str">
        <f t="shared" si="40"/>
        <v/>
      </c>
      <c r="Z77" s="72" t="str">
        <f t="shared" si="20"/>
        <v/>
      </c>
      <c r="AA77" s="39"/>
      <c r="AB77" s="72" t="str">
        <f t="shared" si="4"/>
        <v/>
      </c>
      <c r="AC77" s="72" t="str">
        <f t="shared" si="21"/>
        <v/>
      </c>
      <c r="AD77" s="39"/>
      <c r="AE77" s="72" t="str">
        <f t="shared" si="41"/>
        <v/>
      </c>
      <c r="AF77" s="72" t="str">
        <f t="shared" si="22"/>
        <v/>
      </c>
      <c r="AG77" s="39"/>
      <c r="AH77" s="72" t="str">
        <f t="shared" si="42"/>
        <v/>
      </c>
      <c r="AI77" s="72" t="str">
        <f t="shared" si="23"/>
        <v/>
      </c>
      <c r="AJ77" s="39"/>
      <c r="AK77" s="72" t="str">
        <f t="shared" si="43"/>
        <v/>
      </c>
      <c r="AL77" s="72" t="str">
        <f t="shared" si="24"/>
        <v/>
      </c>
      <c r="AM77" s="39"/>
      <c r="AN77" s="72" t="str">
        <f t="shared" si="44"/>
        <v/>
      </c>
      <c r="AO77" s="72" t="str">
        <f t="shared" si="25"/>
        <v/>
      </c>
      <c r="AP77" s="39"/>
      <c r="AQ77" s="72" t="str">
        <f t="shared" si="45"/>
        <v/>
      </c>
      <c r="AR77" s="72" t="str">
        <f t="shared" si="26"/>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46"/>
        <v/>
      </c>
      <c r="AW77" s="72" t="str">
        <f t="shared" si="27"/>
        <v/>
      </c>
      <c r="AX77" s="39"/>
      <c r="AY77" s="40" t="str">
        <f>IF(ISERROR(IF($K77&lt;=$F$15,VLOOKUP($I77,'表4）CO2価格'!$A$7:$E$67,VLOOKUP($F$48,'表4）CO2価格'!$H$10:$I$12,2,0),0)*$F$8/1000,"")),0,IF($K77&lt;=$F$15,VLOOKUP($I77,'表4）CO2価格'!$A$7:$E$67,VLOOKUP($F$48,'表4）CO2価格'!$H$10:$I$12,2,0),0)*$F$8/1000,""))</f>
        <v/>
      </c>
      <c r="AZ77" s="39"/>
      <c r="BA77" s="42" t="str">
        <f t="shared" si="47"/>
        <v/>
      </c>
      <c r="BB77" s="72" t="str">
        <f t="shared" si="28"/>
        <v/>
      </c>
      <c r="BC77" s="39"/>
      <c r="BD77" s="72" t="str">
        <f t="shared" si="48"/>
        <v/>
      </c>
      <c r="BE77" s="72" t="str">
        <f t="shared" si="29"/>
        <v/>
      </c>
      <c r="BF77" s="39"/>
      <c r="BG77" s="42" t="str">
        <f t="shared" si="49"/>
        <v/>
      </c>
      <c r="BH77" s="72" t="str">
        <f t="shared" si="30"/>
        <v/>
      </c>
      <c r="BI77" s="39"/>
      <c r="BJ77" s="40" t="str">
        <f t="shared" si="31"/>
        <v/>
      </c>
      <c r="BK77" s="157" t="str">
        <f t="shared" si="32"/>
        <v/>
      </c>
      <c r="BL77" s="157" t="str">
        <f t="shared" si="14"/>
        <v/>
      </c>
      <c r="BM77" s="72"/>
      <c r="BN77" s="72" t="str">
        <f t="shared" si="33"/>
        <v/>
      </c>
      <c r="BO77" s="72" t="str">
        <f t="shared" si="34"/>
        <v/>
      </c>
      <c r="BP77" s="39"/>
      <c r="BQ77" s="72" t="str">
        <f t="shared" si="50"/>
        <v/>
      </c>
      <c r="BR77" s="72" t="str">
        <f t="shared" si="35"/>
        <v/>
      </c>
    </row>
    <row r="78" spans="2:70" x14ac:dyDescent="0.15">
      <c r="E78" s="74" t="s">
        <v>138</v>
      </c>
      <c r="F78" s="91">
        <f>R15/$BR$116</f>
        <v>6.4008341502641271</v>
      </c>
      <c r="G78" s="81" t="s">
        <v>132</v>
      </c>
      <c r="I78" s="459">
        <f t="shared" si="36"/>
        <v>2093</v>
      </c>
      <c r="J78" s="71"/>
      <c r="K78" s="71">
        <f t="shared" si="37"/>
        <v>64</v>
      </c>
      <c r="L78" s="71"/>
      <c r="M78" s="7">
        <f t="shared" si="0"/>
        <v>0.15080565208229488</v>
      </c>
      <c r="N78" s="71"/>
      <c r="O78" s="10" t="str">
        <f t="shared" si="16"/>
        <v/>
      </c>
      <c r="P78" s="29" t="str">
        <f t="shared" si="38"/>
        <v/>
      </c>
      <c r="Q78" s="71"/>
      <c r="R78" s="10" t="str">
        <f t="shared" si="51"/>
        <v/>
      </c>
      <c r="S78" s="71"/>
      <c r="T78" s="10" t="str">
        <f t="shared" si="18"/>
        <v/>
      </c>
      <c r="U78" s="71"/>
      <c r="V78" s="10" t="str">
        <f t="shared" si="39"/>
        <v/>
      </c>
      <c r="W78" s="10" t="str">
        <f t="shared" si="19"/>
        <v/>
      </c>
      <c r="X78" s="71"/>
      <c r="Y78" s="10" t="str">
        <f t="shared" si="40"/>
        <v/>
      </c>
      <c r="Z78" s="10" t="str">
        <f t="shared" si="20"/>
        <v/>
      </c>
      <c r="AA78" s="71"/>
      <c r="AB78" s="10" t="str">
        <f t="shared" si="4"/>
        <v/>
      </c>
      <c r="AC78" s="10" t="str">
        <f t="shared" si="21"/>
        <v/>
      </c>
      <c r="AD78" s="71"/>
      <c r="AE78" s="10" t="str">
        <f t="shared" si="41"/>
        <v/>
      </c>
      <c r="AF78" s="10" t="str">
        <f t="shared" si="22"/>
        <v/>
      </c>
      <c r="AG78" s="71"/>
      <c r="AH78" s="10" t="str">
        <f t="shared" si="42"/>
        <v/>
      </c>
      <c r="AI78" s="10" t="str">
        <f t="shared" si="23"/>
        <v/>
      </c>
      <c r="AJ78" s="71"/>
      <c r="AK78" s="10" t="str">
        <f t="shared" si="43"/>
        <v/>
      </c>
      <c r="AL78" s="10" t="str">
        <f t="shared" si="24"/>
        <v/>
      </c>
      <c r="AM78" s="71"/>
      <c r="AN78" s="10" t="str">
        <f t="shared" si="44"/>
        <v/>
      </c>
      <c r="AO78" s="10" t="str">
        <f t="shared" si="25"/>
        <v/>
      </c>
      <c r="AP78" s="71"/>
      <c r="AQ78" s="10" t="str">
        <f t="shared" si="45"/>
        <v/>
      </c>
      <c r="AR78" s="10" t="str">
        <f t="shared" si="26"/>
        <v/>
      </c>
      <c r="AS78" s="71"/>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U78" s="71"/>
      <c r="AV78" s="10" t="str">
        <f t="shared" si="46"/>
        <v/>
      </c>
      <c r="AW78" s="10" t="str">
        <f t="shared" si="27"/>
        <v/>
      </c>
      <c r="AX78" s="71"/>
      <c r="AY78" s="7" t="str">
        <f>IF(ISERROR(IF($K78&lt;=$F$15,VLOOKUP($I78,'表4）CO2価格'!$A$7:$E$67,VLOOKUP($F$48,'表4）CO2価格'!$H$10:$I$12,2,0),0)*$F$8/1000,"")),0,IF($K78&lt;=$F$15,VLOOKUP($I78,'表4）CO2価格'!$A$7:$E$67,VLOOKUP($F$48,'表4）CO2価格'!$H$10:$I$12,2,0),0)*$F$8/1000,""))</f>
        <v/>
      </c>
      <c r="AZ78" s="71"/>
      <c r="BA78" s="11" t="str">
        <f t="shared" si="47"/>
        <v/>
      </c>
      <c r="BB78" s="10" t="str">
        <f t="shared" si="28"/>
        <v/>
      </c>
      <c r="BC78" s="71"/>
      <c r="BD78" s="10" t="str">
        <f t="shared" si="48"/>
        <v/>
      </c>
      <c r="BE78" s="10" t="str">
        <f t="shared" si="29"/>
        <v/>
      </c>
      <c r="BF78" s="71"/>
      <c r="BG78" s="11" t="str">
        <f t="shared" si="49"/>
        <v/>
      </c>
      <c r="BH78" s="10" t="str">
        <f t="shared" si="30"/>
        <v/>
      </c>
      <c r="BJ78" s="7" t="str">
        <f t="shared" si="31"/>
        <v/>
      </c>
      <c r="BK78" s="158" t="str">
        <f t="shared" si="32"/>
        <v/>
      </c>
      <c r="BL78" s="158" t="str">
        <f t="shared" si="14"/>
        <v/>
      </c>
      <c r="BM78" s="10"/>
      <c r="BN78" s="10" t="str">
        <f t="shared" si="33"/>
        <v/>
      </c>
      <c r="BO78" s="10" t="str">
        <f t="shared" si="34"/>
        <v/>
      </c>
      <c r="BQ78" s="10" t="str">
        <f t="shared" si="50"/>
        <v/>
      </c>
      <c r="BR78" s="10" t="str">
        <f t="shared" si="35"/>
        <v/>
      </c>
    </row>
    <row r="79" spans="2:70" x14ac:dyDescent="0.15">
      <c r="E79" s="81" t="s">
        <v>139</v>
      </c>
      <c r="F79" s="91">
        <f>Z116/$BR$116</f>
        <v>0.56344875457845967</v>
      </c>
      <c r="G79" s="81" t="s">
        <v>132</v>
      </c>
      <c r="I79" s="458">
        <f t="shared" si="36"/>
        <v>2094</v>
      </c>
      <c r="J79" s="39"/>
      <c r="K79" s="39">
        <f t="shared" si="37"/>
        <v>65</v>
      </c>
      <c r="L79" s="39"/>
      <c r="M79" s="40">
        <f t="shared" ref="M79:M114" si="52">1/(1+($F$9/100))^K79</f>
        <v>0.14641325444882999</v>
      </c>
      <c r="N79" s="39"/>
      <c r="O79" s="72" t="str">
        <f t="shared" si="16"/>
        <v/>
      </c>
      <c r="P79" s="41" t="str">
        <f t="shared" ref="P79:P110" si="53">IF(K79&lt;=$F$15,IF(OR(P78=$F$124,P78="-"),"-",IF(O79*$F$123&gt;$F$127,$F$123,$F$124)),"")</f>
        <v/>
      </c>
      <c r="Q79" s="39"/>
      <c r="R79" s="72" t="str">
        <f t="shared" si="51"/>
        <v/>
      </c>
      <c r="S79" s="39"/>
      <c r="T79" s="72" t="str">
        <f t="shared" si="18"/>
        <v/>
      </c>
      <c r="U79" s="39"/>
      <c r="V79" s="72" t="str">
        <f t="shared" ref="V79:V114" si="54">IF(K79&lt;=$F$15,IF(K79&lt;$F$119,IF(P79="-",V78,O79*P79),IF(K79=$F$119,MIN(IF(P79="-",V78,O79*P79),O79),0)),"")</f>
        <v/>
      </c>
      <c r="W79" s="72" t="str">
        <f t="shared" si="19"/>
        <v/>
      </c>
      <c r="X79" s="39"/>
      <c r="Y79" s="72" t="str">
        <f t="shared" ref="Y79:Y114" si="55">IF($K79&lt;=$F$15,ROUNDDOWN(T79*$F$25/100,-2),"")</f>
        <v/>
      </c>
      <c r="Z79" s="72" t="str">
        <f t="shared" si="20"/>
        <v/>
      </c>
      <c r="AA79" s="39"/>
      <c r="AB79" s="72" t="str">
        <f t="shared" ref="AB79:AB114" si="56">IF($K79&lt;=$F$15,0,IF(AND($K79&gt;$F$15,$K79&lt;=$F$15+$F$28),$F$27*10^8/$F$28,""))</f>
        <v/>
      </c>
      <c r="AC79" s="72" t="str">
        <f t="shared" si="21"/>
        <v/>
      </c>
      <c r="AD79" s="39"/>
      <c r="AE79" s="72" t="str">
        <f t="shared" ref="AE79:AE114" si="57">IF($K79&lt;=$F$15,$F$26,"")</f>
        <v/>
      </c>
      <c r="AF79" s="72" t="str">
        <f t="shared" si="22"/>
        <v/>
      </c>
      <c r="AG79" s="39"/>
      <c r="AH79" s="72" t="str">
        <f t="shared" ref="AH79:AH114" si="58">IF($K79&lt;=$F$15,$F$33*10^4*$F$13*10^4,"")</f>
        <v/>
      </c>
      <c r="AI79" s="72" t="str">
        <f t="shared" si="23"/>
        <v/>
      </c>
      <c r="AJ79" s="39"/>
      <c r="AK79" s="72" t="str">
        <f t="shared" ref="AK79:AK114" si="59">IF($K79&lt;=$F$15,$F$117*$F$34/100,"")</f>
        <v/>
      </c>
      <c r="AL79" s="72" t="str">
        <f t="shared" si="24"/>
        <v/>
      </c>
      <c r="AM79" s="39"/>
      <c r="AN79" s="72" t="str">
        <f t="shared" ref="AN79:AN114" si="60">IF($K79&lt;=$F$15,$F$117*$F$35/100,"")</f>
        <v/>
      </c>
      <c r="AO79" s="72" t="str">
        <f t="shared" si="25"/>
        <v/>
      </c>
      <c r="AP79" s="39"/>
      <c r="AQ79" s="72" t="str">
        <f t="shared" ref="AQ79:AQ114" si="61">IF($K79&lt;=$F$15,SUM(AH79,AK79,AN79)*($F$36/100),"")</f>
        <v/>
      </c>
      <c r="AR79" s="72" t="str">
        <f t="shared" si="26"/>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62">IF($K79&lt;=$F$15,($AT79+$F$142)*$F$137,"")</f>
        <v/>
      </c>
      <c r="AW79" s="72" t="str">
        <f t="shared" si="27"/>
        <v/>
      </c>
      <c r="AX79" s="39"/>
      <c r="AY79" s="40" t="str">
        <f>IF(ISERROR(IF($K79&lt;=$F$15,VLOOKUP($I79,'表4）CO2価格'!$A$7:$E$67,VLOOKUP($F$48,'表4）CO2価格'!$H$10:$I$12,2,0),0)*$F$8/1000,"")),0,IF($K79&lt;=$F$15,VLOOKUP($I79,'表4）CO2価格'!$A$7:$E$67,VLOOKUP($F$48,'表4）CO2価格'!$H$10:$I$12,2,0),0)*$F$8/1000,""))</f>
        <v/>
      </c>
      <c r="AZ79" s="39"/>
      <c r="BA79" s="42" t="str">
        <f t="shared" ref="BA79:BA114" si="63">IF($K79&lt;=$F$15,$F$145*AY79,"")</f>
        <v/>
      </c>
      <c r="BB79" s="72" t="str">
        <f t="shared" si="28"/>
        <v/>
      </c>
      <c r="BC79" s="39"/>
      <c r="BD79" s="72" t="str">
        <f t="shared" ref="BD79:BD114" si="64">IF($K79&lt;=$F$15,($AT79+$F$152)*$F$151,"")</f>
        <v/>
      </c>
      <c r="BE79" s="72" t="str">
        <f t="shared" si="29"/>
        <v/>
      </c>
      <c r="BF79" s="39"/>
      <c r="BG79" s="42" t="str">
        <f t="shared" ref="BG79:BG114" si="65">IF($K79&lt;=$F$15,$F$153*AY79,"")</f>
        <v/>
      </c>
      <c r="BH79" s="72" t="str">
        <f t="shared" si="30"/>
        <v/>
      </c>
      <c r="BI79" s="39"/>
      <c r="BJ79" s="40" t="str">
        <f t="shared" si="31"/>
        <v/>
      </c>
      <c r="BK79" s="157" t="str">
        <f t="shared" si="32"/>
        <v/>
      </c>
      <c r="BL79" s="157" t="str">
        <f t="shared" ref="BL79:BL114" si="66">IF(AND(ISNUMBER(BJ79),$K79&lt;=$F$16),BQ79*BJ79,"")</f>
        <v/>
      </c>
      <c r="BM79" s="72"/>
      <c r="BN79" s="72" t="str">
        <f t="shared" si="33"/>
        <v/>
      </c>
      <c r="BO79" s="72" t="str">
        <f t="shared" si="34"/>
        <v/>
      </c>
      <c r="BP79" s="39"/>
      <c r="BQ79" s="72" t="str">
        <f t="shared" ref="BQ79:BQ114" si="67">IF($K79&lt;=$F$15,$F$134,"")</f>
        <v/>
      </c>
      <c r="BR79" s="72" t="str">
        <f t="shared" si="35"/>
        <v/>
      </c>
    </row>
    <row r="80" spans="2:70" x14ac:dyDescent="0.15">
      <c r="E80" s="81" t="s">
        <v>115</v>
      </c>
      <c r="F80" s="91">
        <f>AF116/$BR$116</f>
        <v>0</v>
      </c>
      <c r="G80" s="81" t="s">
        <v>132</v>
      </c>
      <c r="I80" s="459">
        <f t="shared" si="36"/>
        <v>2095</v>
      </c>
      <c r="J80" s="71"/>
      <c r="K80" s="71">
        <f t="shared" si="37"/>
        <v>66</v>
      </c>
      <c r="L80" s="71"/>
      <c r="M80" s="7">
        <f t="shared" si="52"/>
        <v>0.14214879072701941</v>
      </c>
      <c r="N80" s="71"/>
      <c r="O80" s="10" t="str">
        <f t="shared" ref="O80:O114" si="68">IF(K80&lt;=$F$15,O79-V79,"")</f>
        <v/>
      </c>
      <c r="P80" s="29" t="str">
        <f t="shared" si="53"/>
        <v/>
      </c>
      <c r="Q80" s="71"/>
      <c r="R80" s="10" t="str">
        <f t="shared" ref="R80:R114" si="69">IF($K80&lt;=$F$15,MAX($F$117*5%,R79*$F$129),"")</f>
        <v/>
      </c>
      <c r="S80" s="71"/>
      <c r="T80" s="10" t="str">
        <f t="shared" ref="T80:T114" si="70">IF(ISNUMBER(R80),ROUNDDOWN(R80,-3),"")</f>
        <v/>
      </c>
      <c r="U80" s="71"/>
      <c r="V80" s="10" t="str">
        <f t="shared" si="54"/>
        <v/>
      </c>
      <c r="W80" s="10" t="str">
        <f t="shared" ref="W80:W114" si="71">IF(ISNUMBER(V80),V80*$M80,"")</f>
        <v/>
      </c>
      <c r="X80" s="71"/>
      <c r="Y80" s="10" t="str">
        <f t="shared" si="55"/>
        <v/>
      </c>
      <c r="Z80" s="10" t="str">
        <f t="shared" ref="Z80:Z114" si="72">IF(ISNUMBER(Y80),Y80*$M80,"")</f>
        <v/>
      </c>
      <c r="AA80" s="71"/>
      <c r="AB80" s="10" t="str">
        <f t="shared" si="56"/>
        <v/>
      </c>
      <c r="AC80" s="10" t="str">
        <f t="shared" ref="AC80:AC114" si="73">IF(ISNUMBER(AB80),AB80*$M80,"")</f>
        <v/>
      </c>
      <c r="AD80" s="71"/>
      <c r="AE80" s="10" t="str">
        <f t="shared" si="57"/>
        <v/>
      </c>
      <c r="AF80" s="10" t="str">
        <f t="shared" ref="AF80:AF114" si="74">IF(ISNUMBER(AE80),AE80*$M80,"")</f>
        <v/>
      </c>
      <c r="AG80" s="71"/>
      <c r="AH80" s="10" t="str">
        <f t="shared" si="58"/>
        <v/>
      </c>
      <c r="AI80" s="10" t="str">
        <f t="shared" ref="AI80:AI114" si="75">IF(ISNUMBER(AH80),AH80*$M80,"")</f>
        <v/>
      </c>
      <c r="AJ80" s="71"/>
      <c r="AK80" s="10" t="str">
        <f t="shared" si="59"/>
        <v/>
      </c>
      <c r="AL80" s="10" t="str">
        <f t="shared" ref="AL80:AL114" si="76">IF(ISNUMBER(AK80),AK80*$M80,"")</f>
        <v/>
      </c>
      <c r="AM80" s="71"/>
      <c r="AN80" s="10" t="str">
        <f t="shared" si="60"/>
        <v/>
      </c>
      <c r="AO80" s="10" t="str">
        <f t="shared" ref="AO80:AO114" si="77">IF(ISNUMBER(AN80),AN80*$M80,"")</f>
        <v/>
      </c>
      <c r="AP80" s="71"/>
      <c r="AQ80" s="10" t="str">
        <f t="shared" si="61"/>
        <v/>
      </c>
      <c r="AR80" s="10" t="str">
        <f t="shared" ref="AR80:AR114" si="78">IF(ISNUMBER(AQ80),AQ80*$M80,"")</f>
        <v/>
      </c>
      <c r="AS80" s="71"/>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U80" s="71"/>
      <c r="AV80" s="10" t="str">
        <f t="shared" si="62"/>
        <v/>
      </c>
      <c r="AW80" s="10" t="str">
        <f t="shared" ref="AW80:AW114" si="79">IF(ISNUMBER(AV80),AV80*$M80,"")</f>
        <v/>
      </c>
      <c r="AX80" s="71"/>
      <c r="AY80" s="7" t="str">
        <f>IF(ISERROR(IF($K80&lt;=$F$15,VLOOKUP($I80,'表4）CO2価格'!$A$7:$E$67,VLOOKUP($F$48,'表4）CO2価格'!$H$10:$I$12,2,0),0)*$F$8/1000,"")),0,IF($K80&lt;=$F$15,VLOOKUP($I80,'表4）CO2価格'!$A$7:$E$67,VLOOKUP($F$48,'表4）CO2価格'!$H$10:$I$12,2,0),0)*$F$8/1000,""))</f>
        <v/>
      </c>
      <c r="AZ80" s="71"/>
      <c r="BA80" s="11" t="str">
        <f t="shared" si="63"/>
        <v/>
      </c>
      <c r="BB80" s="10" t="str">
        <f t="shared" ref="BB80:BB114" si="80">IF(ISNUMBER(BA80),BA80*$M80,"")</f>
        <v/>
      </c>
      <c r="BC80" s="71"/>
      <c r="BD80" s="10" t="str">
        <f t="shared" si="64"/>
        <v/>
      </c>
      <c r="BE80" s="10" t="str">
        <f t="shared" ref="BE80:BE114" si="81">IF(ISNUMBER(BD80),BD80*$M80,"")</f>
        <v/>
      </c>
      <c r="BF80" s="71"/>
      <c r="BG80" s="11" t="str">
        <f t="shared" si="65"/>
        <v/>
      </c>
      <c r="BH80" s="10" t="str">
        <f t="shared" ref="BH80:BH114" si="82">IF(ISNUMBER(BG80),BG80*$M80,"")</f>
        <v/>
      </c>
      <c r="BJ80" s="7" t="str">
        <f t="shared" ref="BJ80:BJ114" si="83">IF(ISNUMBER($F$16),IF($K80&lt;=$F$16+$F$28,1/(1+($F$17/100))^K80,""),"")</f>
        <v/>
      </c>
      <c r="BK80" s="158" t="str">
        <f t="shared" ref="BK80:BK114" si="84">IF(ISNUMBER($F$16),IF($K80&lt;=$F$16+$F$28,IF($K80&lt;=$F$16,SUM(Y80,AB80,AE80,AH80,AK80,AN80,AQ80,AV80,BA80,BD80,BG80),$F$27/$F$28*10^8)*BJ80,""),"")</f>
        <v/>
      </c>
      <c r="BL80" s="158" t="str">
        <f t="shared" si="66"/>
        <v/>
      </c>
      <c r="BM80" s="10"/>
      <c r="BN80" s="10" t="str">
        <f t="shared" ref="BN80:BN114" si="85">IF(AND(ISNUMBER($F$16),$K80&lt;=$F$16),BQ80*($O$15+$BK$116)/$BL$116,"")</f>
        <v/>
      </c>
      <c r="BO80" s="10" t="str">
        <f t="shared" ref="BO80:BO114" si="86">IF(ISNUMBER(BN80),BN80*$M80,"")</f>
        <v/>
      </c>
      <c r="BQ80" s="10" t="str">
        <f t="shared" si="67"/>
        <v/>
      </c>
      <c r="BR80" s="10" t="str">
        <f t="shared" ref="BR80:BR114" si="87">IF(ISNUMBER(BQ80),BQ80*$M80,"")</f>
        <v/>
      </c>
    </row>
    <row r="81" spans="4:70" x14ac:dyDescent="0.15">
      <c r="E81" s="82" t="s">
        <v>86</v>
      </c>
      <c r="F81" s="91">
        <f>AC116/$BR$116</f>
        <v>0.14840165233428981</v>
      </c>
      <c r="G81" s="81" t="s">
        <v>132</v>
      </c>
      <c r="I81" s="458">
        <f t="shared" ref="I81:I114" si="88">I80+1</f>
        <v>2096</v>
      </c>
      <c r="J81" s="39"/>
      <c r="K81" s="39">
        <f t="shared" ref="K81:K114" si="89">IF(I81&lt;&gt;"",K80+1,"")</f>
        <v>67</v>
      </c>
      <c r="L81" s="39"/>
      <c r="M81" s="40">
        <f t="shared" si="52"/>
        <v>0.1380085346864266</v>
      </c>
      <c r="N81" s="39"/>
      <c r="O81" s="72" t="str">
        <f t="shared" si="68"/>
        <v/>
      </c>
      <c r="P81" s="41" t="str">
        <f t="shared" si="53"/>
        <v/>
      </c>
      <c r="Q81" s="39"/>
      <c r="R81" s="72" t="str">
        <f t="shared" si="69"/>
        <v/>
      </c>
      <c r="S81" s="39"/>
      <c r="T81" s="72" t="str">
        <f t="shared" si="70"/>
        <v/>
      </c>
      <c r="U81" s="39"/>
      <c r="V81" s="72" t="str">
        <f t="shared" si="54"/>
        <v/>
      </c>
      <c r="W81" s="72" t="str">
        <f t="shared" si="71"/>
        <v/>
      </c>
      <c r="X81" s="39"/>
      <c r="Y81" s="72" t="str">
        <f t="shared" si="55"/>
        <v/>
      </c>
      <c r="Z81" s="72" t="str">
        <f t="shared" si="72"/>
        <v/>
      </c>
      <c r="AA81" s="39"/>
      <c r="AB81" s="72" t="str">
        <f t="shared" si="56"/>
        <v/>
      </c>
      <c r="AC81" s="72" t="str">
        <f t="shared" si="73"/>
        <v/>
      </c>
      <c r="AD81" s="39"/>
      <c r="AE81" s="72" t="str">
        <f t="shared" si="57"/>
        <v/>
      </c>
      <c r="AF81" s="72" t="str">
        <f t="shared" si="74"/>
        <v/>
      </c>
      <c r="AG81" s="39"/>
      <c r="AH81" s="72" t="str">
        <f t="shared" si="58"/>
        <v/>
      </c>
      <c r="AI81" s="72" t="str">
        <f t="shared" si="75"/>
        <v/>
      </c>
      <c r="AJ81" s="39"/>
      <c r="AK81" s="72" t="str">
        <f t="shared" si="59"/>
        <v/>
      </c>
      <c r="AL81" s="72" t="str">
        <f t="shared" si="76"/>
        <v/>
      </c>
      <c r="AM81" s="39"/>
      <c r="AN81" s="72" t="str">
        <f t="shared" si="60"/>
        <v/>
      </c>
      <c r="AO81" s="72" t="str">
        <f t="shared" si="77"/>
        <v/>
      </c>
      <c r="AP81" s="39"/>
      <c r="AQ81" s="72" t="str">
        <f t="shared" si="61"/>
        <v/>
      </c>
      <c r="AR81" s="72" t="str">
        <f t="shared" si="78"/>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62"/>
        <v/>
      </c>
      <c r="AW81" s="72" t="str">
        <f t="shared" si="79"/>
        <v/>
      </c>
      <c r="AX81" s="39"/>
      <c r="AY81" s="40" t="str">
        <f>IF(ISERROR(IF($K81&lt;=$F$15,VLOOKUP($I81,'表4）CO2価格'!$A$7:$E$67,VLOOKUP($F$48,'表4）CO2価格'!$H$10:$I$12,2,0),0)*$F$8/1000,"")),0,IF($K81&lt;=$F$15,VLOOKUP($I81,'表4）CO2価格'!$A$7:$E$67,VLOOKUP($F$48,'表4）CO2価格'!$H$10:$I$12,2,0),0)*$F$8/1000,""))</f>
        <v/>
      </c>
      <c r="AZ81" s="39"/>
      <c r="BA81" s="42" t="str">
        <f t="shared" si="63"/>
        <v/>
      </c>
      <c r="BB81" s="72" t="str">
        <f t="shared" si="80"/>
        <v/>
      </c>
      <c r="BC81" s="39"/>
      <c r="BD81" s="72" t="str">
        <f t="shared" si="64"/>
        <v/>
      </c>
      <c r="BE81" s="72" t="str">
        <f t="shared" si="81"/>
        <v/>
      </c>
      <c r="BF81" s="39"/>
      <c r="BG81" s="42" t="str">
        <f t="shared" si="65"/>
        <v/>
      </c>
      <c r="BH81" s="72" t="str">
        <f t="shared" si="82"/>
        <v/>
      </c>
      <c r="BI81" s="39"/>
      <c r="BJ81" s="40" t="str">
        <f t="shared" si="83"/>
        <v/>
      </c>
      <c r="BK81" s="157" t="str">
        <f t="shared" si="84"/>
        <v/>
      </c>
      <c r="BL81" s="157" t="str">
        <f t="shared" si="66"/>
        <v/>
      </c>
      <c r="BM81" s="72"/>
      <c r="BN81" s="72" t="str">
        <f t="shared" si="85"/>
        <v/>
      </c>
      <c r="BO81" s="72" t="str">
        <f t="shared" si="86"/>
        <v/>
      </c>
      <c r="BP81" s="39"/>
      <c r="BQ81" s="72" t="str">
        <f t="shared" si="67"/>
        <v/>
      </c>
      <c r="BR81" s="72" t="str">
        <f t="shared" si="87"/>
        <v/>
      </c>
    </row>
    <row r="82" spans="4:70" x14ac:dyDescent="0.15">
      <c r="F82" s="93"/>
      <c r="I82" s="459">
        <f t="shared" si="88"/>
        <v>2097</v>
      </c>
      <c r="J82" s="71"/>
      <c r="K82" s="71">
        <f t="shared" si="89"/>
        <v>68</v>
      </c>
      <c r="L82" s="71"/>
      <c r="M82" s="7">
        <f t="shared" si="52"/>
        <v>0.13398886862759865</v>
      </c>
      <c r="N82" s="71"/>
      <c r="O82" s="10" t="str">
        <f t="shared" si="68"/>
        <v/>
      </c>
      <c r="P82" s="29" t="str">
        <f t="shared" si="53"/>
        <v/>
      </c>
      <c r="Q82" s="71"/>
      <c r="R82" s="10" t="str">
        <f t="shared" si="69"/>
        <v/>
      </c>
      <c r="S82" s="71"/>
      <c r="T82" s="10" t="str">
        <f t="shared" si="70"/>
        <v/>
      </c>
      <c r="U82" s="71"/>
      <c r="V82" s="10" t="str">
        <f t="shared" si="54"/>
        <v/>
      </c>
      <c r="W82" s="10" t="str">
        <f t="shared" si="71"/>
        <v/>
      </c>
      <c r="X82" s="71"/>
      <c r="Y82" s="10" t="str">
        <f t="shared" si="55"/>
        <v/>
      </c>
      <c r="Z82" s="10" t="str">
        <f t="shared" si="72"/>
        <v/>
      </c>
      <c r="AA82" s="71"/>
      <c r="AB82" s="10" t="str">
        <f t="shared" si="56"/>
        <v/>
      </c>
      <c r="AC82" s="10" t="str">
        <f t="shared" si="73"/>
        <v/>
      </c>
      <c r="AD82" s="71"/>
      <c r="AE82" s="10" t="str">
        <f t="shared" si="57"/>
        <v/>
      </c>
      <c r="AF82" s="10" t="str">
        <f t="shared" si="74"/>
        <v/>
      </c>
      <c r="AG82" s="71"/>
      <c r="AH82" s="10" t="str">
        <f t="shared" si="58"/>
        <v/>
      </c>
      <c r="AI82" s="10" t="str">
        <f t="shared" si="75"/>
        <v/>
      </c>
      <c r="AJ82" s="71"/>
      <c r="AK82" s="10" t="str">
        <f t="shared" si="59"/>
        <v/>
      </c>
      <c r="AL82" s="10" t="str">
        <f t="shared" si="76"/>
        <v/>
      </c>
      <c r="AM82" s="71"/>
      <c r="AN82" s="10" t="str">
        <f t="shared" si="60"/>
        <v/>
      </c>
      <c r="AO82" s="10" t="str">
        <f t="shared" si="77"/>
        <v/>
      </c>
      <c r="AP82" s="71"/>
      <c r="AQ82" s="10" t="str">
        <f t="shared" si="61"/>
        <v/>
      </c>
      <c r="AR82" s="10" t="str">
        <f t="shared" si="78"/>
        <v/>
      </c>
      <c r="AS82" s="71"/>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U82" s="71"/>
      <c r="AV82" s="10" t="str">
        <f t="shared" si="62"/>
        <v/>
      </c>
      <c r="AW82" s="10" t="str">
        <f t="shared" si="79"/>
        <v/>
      </c>
      <c r="AX82" s="71"/>
      <c r="AY82" s="7" t="str">
        <f>IF(ISERROR(IF($K82&lt;=$F$15,VLOOKUP($I82,'表4）CO2価格'!$A$7:$E$67,VLOOKUP($F$48,'表4）CO2価格'!$H$10:$I$12,2,0),0)*$F$8/1000,"")),0,IF($K82&lt;=$F$15,VLOOKUP($I82,'表4）CO2価格'!$A$7:$E$67,VLOOKUP($F$48,'表4）CO2価格'!$H$10:$I$12,2,0),0)*$F$8/1000,""))</f>
        <v/>
      </c>
      <c r="AZ82" s="71"/>
      <c r="BA82" s="11" t="str">
        <f t="shared" si="63"/>
        <v/>
      </c>
      <c r="BB82" s="10" t="str">
        <f t="shared" si="80"/>
        <v/>
      </c>
      <c r="BC82" s="71"/>
      <c r="BD82" s="10" t="str">
        <f t="shared" si="64"/>
        <v/>
      </c>
      <c r="BE82" s="10" t="str">
        <f t="shared" si="81"/>
        <v/>
      </c>
      <c r="BF82" s="71"/>
      <c r="BG82" s="11" t="str">
        <f t="shared" si="65"/>
        <v/>
      </c>
      <c r="BH82" s="10" t="str">
        <f t="shared" si="82"/>
        <v/>
      </c>
      <c r="BJ82" s="7" t="str">
        <f t="shared" si="83"/>
        <v/>
      </c>
      <c r="BK82" s="158" t="str">
        <f t="shared" si="84"/>
        <v/>
      </c>
      <c r="BL82" s="158" t="str">
        <f t="shared" si="66"/>
        <v/>
      </c>
      <c r="BM82" s="10"/>
      <c r="BN82" s="10" t="str">
        <f t="shared" si="85"/>
        <v/>
      </c>
      <c r="BO82" s="10" t="str">
        <f t="shared" si="86"/>
        <v/>
      </c>
      <c r="BQ82" s="10" t="str">
        <f t="shared" si="67"/>
        <v/>
      </c>
      <c r="BR82" s="10" t="str">
        <f t="shared" si="87"/>
        <v/>
      </c>
    </row>
    <row r="83" spans="4:70" ht="15" x14ac:dyDescent="0.15">
      <c r="D83" s="116" t="s">
        <v>194</v>
      </c>
      <c r="F83" s="94">
        <f>SUBTOTAL(9,F87:F90)</f>
        <v>4.6740732750871894</v>
      </c>
      <c r="G83" s="81" t="s">
        <v>132</v>
      </c>
      <c r="I83" s="458">
        <f>I82+1</f>
        <v>2098</v>
      </c>
      <c r="J83" s="39"/>
      <c r="K83" s="39">
        <f>IF(I83&lt;&gt;"",K82+1,"")</f>
        <v>69</v>
      </c>
      <c r="L83" s="39"/>
      <c r="M83" s="40">
        <f t="shared" si="52"/>
        <v>0.13008628022096957</v>
      </c>
      <c r="N83" s="39"/>
      <c r="O83" s="72" t="str">
        <f t="shared" si="68"/>
        <v/>
      </c>
      <c r="P83" s="41" t="str">
        <f t="shared" si="53"/>
        <v/>
      </c>
      <c r="Q83" s="39"/>
      <c r="R83" s="72" t="str">
        <f t="shared" si="69"/>
        <v/>
      </c>
      <c r="S83" s="39"/>
      <c r="T83" s="72" t="str">
        <f t="shared" si="70"/>
        <v/>
      </c>
      <c r="U83" s="39"/>
      <c r="V83" s="72" t="str">
        <f t="shared" si="54"/>
        <v/>
      </c>
      <c r="W83" s="72" t="str">
        <f t="shared" si="71"/>
        <v/>
      </c>
      <c r="X83" s="39"/>
      <c r="Y83" s="72" t="str">
        <f t="shared" si="55"/>
        <v/>
      </c>
      <c r="Z83" s="72" t="str">
        <f t="shared" si="72"/>
        <v/>
      </c>
      <c r="AA83" s="39"/>
      <c r="AB83" s="72" t="str">
        <f t="shared" si="56"/>
        <v/>
      </c>
      <c r="AC83" s="72" t="str">
        <f t="shared" si="73"/>
        <v/>
      </c>
      <c r="AD83" s="39"/>
      <c r="AE83" s="72" t="str">
        <f t="shared" si="57"/>
        <v/>
      </c>
      <c r="AF83" s="72" t="str">
        <f t="shared" si="74"/>
        <v/>
      </c>
      <c r="AG83" s="39"/>
      <c r="AH83" s="72" t="str">
        <f t="shared" si="58"/>
        <v/>
      </c>
      <c r="AI83" s="72" t="str">
        <f t="shared" si="75"/>
        <v/>
      </c>
      <c r="AJ83" s="39"/>
      <c r="AK83" s="72" t="str">
        <f t="shared" si="59"/>
        <v/>
      </c>
      <c r="AL83" s="72" t="str">
        <f t="shared" si="76"/>
        <v/>
      </c>
      <c r="AM83" s="39"/>
      <c r="AN83" s="72" t="str">
        <f t="shared" si="60"/>
        <v/>
      </c>
      <c r="AO83" s="72" t="str">
        <f t="shared" si="77"/>
        <v/>
      </c>
      <c r="AP83" s="39"/>
      <c r="AQ83" s="72" t="str">
        <f t="shared" si="61"/>
        <v/>
      </c>
      <c r="AR83" s="72" t="str">
        <f t="shared" si="78"/>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62"/>
        <v/>
      </c>
      <c r="AW83" s="72" t="str">
        <f t="shared" si="79"/>
        <v/>
      </c>
      <c r="AX83" s="39"/>
      <c r="AY83" s="40" t="str">
        <f>IF(ISERROR(IF($K83&lt;=$F$15,VLOOKUP($I83,'表4）CO2価格'!$A$7:$E$67,VLOOKUP($F$48,'表4）CO2価格'!$H$10:$I$12,2,0),0)*$F$8/1000,"")),0,IF($K83&lt;=$F$15,VLOOKUP($I83,'表4）CO2価格'!$A$7:$E$67,VLOOKUP($F$48,'表4）CO2価格'!$H$10:$I$12,2,0),0)*$F$8/1000,""))</f>
        <v/>
      </c>
      <c r="AZ83" s="39"/>
      <c r="BA83" s="42" t="str">
        <f t="shared" si="63"/>
        <v/>
      </c>
      <c r="BB83" s="72" t="str">
        <f t="shared" si="80"/>
        <v/>
      </c>
      <c r="BC83" s="39"/>
      <c r="BD83" s="72" t="str">
        <f t="shared" si="64"/>
        <v/>
      </c>
      <c r="BE83" s="72" t="str">
        <f t="shared" si="81"/>
        <v/>
      </c>
      <c r="BF83" s="39"/>
      <c r="BG83" s="42" t="str">
        <f t="shared" si="65"/>
        <v/>
      </c>
      <c r="BH83" s="72" t="str">
        <f t="shared" si="82"/>
        <v/>
      </c>
      <c r="BI83" s="39"/>
      <c r="BJ83" s="40" t="str">
        <f t="shared" si="83"/>
        <v/>
      </c>
      <c r="BK83" s="157" t="str">
        <f t="shared" si="84"/>
        <v/>
      </c>
      <c r="BL83" s="157" t="str">
        <f t="shared" si="66"/>
        <v/>
      </c>
      <c r="BM83" s="72"/>
      <c r="BN83" s="72" t="str">
        <f t="shared" si="85"/>
        <v/>
      </c>
      <c r="BO83" s="72" t="str">
        <f t="shared" si="86"/>
        <v/>
      </c>
      <c r="BP83" s="39"/>
      <c r="BQ83" s="72" t="str">
        <f t="shared" si="67"/>
        <v/>
      </c>
      <c r="BR83" s="72" t="str">
        <f t="shared" si="87"/>
        <v/>
      </c>
    </row>
    <row r="84" spans="4:70" x14ac:dyDescent="0.15">
      <c r="F84" s="93"/>
      <c r="I84" s="459">
        <f t="shared" si="88"/>
        <v>2099</v>
      </c>
      <c r="J84" s="71"/>
      <c r="K84" s="71">
        <f t="shared" si="89"/>
        <v>70</v>
      </c>
      <c r="L84" s="71"/>
      <c r="M84" s="7">
        <f t="shared" si="52"/>
        <v>0.12629735943783454</v>
      </c>
      <c r="N84" s="71"/>
      <c r="O84" s="10" t="str">
        <f t="shared" si="68"/>
        <v/>
      </c>
      <c r="P84" s="29" t="str">
        <f t="shared" si="53"/>
        <v/>
      </c>
      <c r="Q84" s="71"/>
      <c r="R84" s="10" t="str">
        <f t="shared" si="69"/>
        <v/>
      </c>
      <c r="S84" s="71"/>
      <c r="T84" s="10" t="str">
        <f t="shared" si="70"/>
        <v/>
      </c>
      <c r="U84" s="71"/>
      <c r="V84" s="10" t="str">
        <f t="shared" si="54"/>
        <v/>
      </c>
      <c r="W84" s="10" t="str">
        <f t="shared" si="71"/>
        <v/>
      </c>
      <c r="X84" s="71"/>
      <c r="Y84" s="10" t="str">
        <f t="shared" si="55"/>
        <v/>
      </c>
      <c r="Z84" s="10" t="str">
        <f t="shared" si="72"/>
        <v/>
      </c>
      <c r="AA84" s="71"/>
      <c r="AB84" s="10" t="str">
        <f t="shared" si="56"/>
        <v/>
      </c>
      <c r="AC84" s="10" t="str">
        <f t="shared" si="73"/>
        <v/>
      </c>
      <c r="AD84" s="71"/>
      <c r="AE84" s="10" t="str">
        <f t="shared" si="57"/>
        <v/>
      </c>
      <c r="AF84" s="10" t="str">
        <f t="shared" si="74"/>
        <v/>
      </c>
      <c r="AG84" s="71"/>
      <c r="AH84" s="10" t="str">
        <f t="shared" si="58"/>
        <v/>
      </c>
      <c r="AI84" s="10" t="str">
        <f t="shared" si="75"/>
        <v/>
      </c>
      <c r="AJ84" s="71"/>
      <c r="AK84" s="10" t="str">
        <f t="shared" si="59"/>
        <v/>
      </c>
      <c r="AL84" s="10" t="str">
        <f t="shared" si="76"/>
        <v/>
      </c>
      <c r="AM84" s="71"/>
      <c r="AN84" s="10" t="str">
        <f t="shared" si="60"/>
        <v/>
      </c>
      <c r="AO84" s="10" t="str">
        <f t="shared" si="77"/>
        <v/>
      </c>
      <c r="AP84" s="71"/>
      <c r="AQ84" s="10" t="str">
        <f t="shared" si="61"/>
        <v/>
      </c>
      <c r="AR84" s="10" t="str">
        <f t="shared" si="78"/>
        <v/>
      </c>
      <c r="AS84" s="71"/>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U84" s="71"/>
      <c r="AV84" s="10" t="str">
        <f t="shared" si="62"/>
        <v/>
      </c>
      <c r="AW84" s="10" t="str">
        <f t="shared" si="79"/>
        <v/>
      </c>
      <c r="AX84" s="71"/>
      <c r="AY84" s="7" t="str">
        <f>IF(ISERROR(IF($K84&lt;=$F$15,VLOOKUP($I84,'表4）CO2価格'!$A$7:$E$67,VLOOKUP($F$48,'表4）CO2価格'!$H$10:$I$12,2,0),0)*$F$8/1000,"")),0,IF($K84&lt;=$F$15,VLOOKUP($I84,'表4）CO2価格'!$A$7:$E$67,VLOOKUP($F$48,'表4）CO2価格'!$H$10:$I$12,2,0),0)*$F$8/1000,""))</f>
        <v/>
      </c>
      <c r="AZ84" s="71"/>
      <c r="BA84" s="11" t="str">
        <f t="shared" si="63"/>
        <v/>
      </c>
      <c r="BB84" s="10" t="str">
        <f t="shared" si="80"/>
        <v/>
      </c>
      <c r="BC84" s="71"/>
      <c r="BD84" s="10" t="str">
        <f t="shared" si="64"/>
        <v/>
      </c>
      <c r="BE84" s="10" t="str">
        <f t="shared" si="81"/>
        <v/>
      </c>
      <c r="BF84" s="71"/>
      <c r="BG84" s="11" t="str">
        <f t="shared" si="65"/>
        <v/>
      </c>
      <c r="BH84" s="10" t="str">
        <f t="shared" si="82"/>
        <v/>
      </c>
      <c r="BJ84" s="7" t="str">
        <f t="shared" si="83"/>
        <v/>
      </c>
      <c r="BK84" s="158" t="str">
        <f t="shared" si="84"/>
        <v/>
      </c>
      <c r="BL84" s="158" t="str">
        <f t="shared" si="66"/>
        <v/>
      </c>
      <c r="BM84" s="10"/>
      <c r="BN84" s="10" t="str">
        <f t="shared" si="85"/>
        <v/>
      </c>
      <c r="BO84" s="10" t="str">
        <f t="shared" si="86"/>
        <v/>
      </c>
      <c r="BQ84" s="10" t="str">
        <f t="shared" si="67"/>
        <v/>
      </c>
      <c r="BR84" s="10" t="str">
        <f t="shared" si="87"/>
        <v/>
      </c>
    </row>
    <row r="85" spans="4:70" x14ac:dyDescent="0.15">
      <c r="D85" s="101" t="s">
        <v>195</v>
      </c>
      <c r="E85" s="113"/>
      <c r="F85" s="92"/>
      <c r="G85" s="101"/>
      <c r="I85" s="458">
        <f t="shared" si="88"/>
        <v>2100</v>
      </c>
      <c r="J85" s="39"/>
      <c r="K85" s="39">
        <f t="shared" si="89"/>
        <v>71</v>
      </c>
      <c r="L85" s="39"/>
      <c r="M85" s="40">
        <f t="shared" si="52"/>
        <v>0.12261879557071313</v>
      </c>
      <c r="N85" s="39"/>
      <c r="O85" s="72" t="str">
        <f t="shared" si="68"/>
        <v/>
      </c>
      <c r="P85" s="41" t="str">
        <f t="shared" si="53"/>
        <v/>
      </c>
      <c r="Q85" s="39"/>
      <c r="R85" s="72" t="str">
        <f t="shared" si="69"/>
        <v/>
      </c>
      <c r="S85" s="39"/>
      <c r="T85" s="72" t="str">
        <f t="shared" si="70"/>
        <v/>
      </c>
      <c r="U85" s="39"/>
      <c r="V85" s="72" t="str">
        <f t="shared" si="54"/>
        <v/>
      </c>
      <c r="W85" s="72" t="str">
        <f t="shared" si="71"/>
        <v/>
      </c>
      <c r="X85" s="39"/>
      <c r="Y85" s="72" t="str">
        <f t="shared" si="55"/>
        <v/>
      </c>
      <c r="Z85" s="72" t="str">
        <f t="shared" si="72"/>
        <v/>
      </c>
      <c r="AA85" s="39"/>
      <c r="AB85" s="72" t="str">
        <f t="shared" si="56"/>
        <v/>
      </c>
      <c r="AC85" s="72" t="str">
        <f t="shared" si="73"/>
        <v/>
      </c>
      <c r="AD85" s="39"/>
      <c r="AE85" s="72" t="str">
        <f t="shared" si="57"/>
        <v/>
      </c>
      <c r="AF85" s="72" t="str">
        <f t="shared" si="74"/>
        <v/>
      </c>
      <c r="AG85" s="39"/>
      <c r="AH85" s="72" t="str">
        <f t="shared" si="58"/>
        <v/>
      </c>
      <c r="AI85" s="72" t="str">
        <f t="shared" si="75"/>
        <v/>
      </c>
      <c r="AJ85" s="39"/>
      <c r="AK85" s="72" t="str">
        <f t="shared" si="59"/>
        <v/>
      </c>
      <c r="AL85" s="72" t="str">
        <f t="shared" si="76"/>
        <v/>
      </c>
      <c r="AM85" s="39"/>
      <c r="AN85" s="72" t="str">
        <f t="shared" si="60"/>
        <v/>
      </c>
      <c r="AO85" s="72" t="str">
        <f t="shared" si="77"/>
        <v/>
      </c>
      <c r="AP85" s="39"/>
      <c r="AQ85" s="72" t="str">
        <f t="shared" si="61"/>
        <v/>
      </c>
      <c r="AR85" s="72" t="str">
        <f t="shared" si="78"/>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62"/>
        <v/>
      </c>
      <c r="AW85" s="72" t="str">
        <f t="shared" si="79"/>
        <v/>
      </c>
      <c r="AX85" s="39"/>
      <c r="AY85" s="40" t="str">
        <f>IF(ISERROR(IF($K85&lt;=$F$15,VLOOKUP($I85,'表4）CO2価格'!$A$7:$E$67,VLOOKUP($F$48,'表4）CO2価格'!$H$10:$I$12,2,0),0)*$F$8/1000,"")),0,IF($K85&lt;=$F$15,VLOOKUP($I85,'表4）CO2価格'!$A$7:$E$67,VLOOKUP($F$48,'表4）CO2価格'!$H$10:$I$12,2,0),0)*$F$8/1000,""))</f>
        <v/>
      </c>
      <c r="AZ85" s="39"/>
      <c r="BA85" s="42" t="str">
        <f t="shared" si="63"/>
        <v/>
      </c>
      <c r="BB85" s="72" t="str">
        <f t="shared" si="80"/>
        <v/>
      </c>
      <c r="BC85" s="39"/>
      <c r="BD85" s="72" t="str">
        <f t="shared" si="64"/>
        <v/>
      </c>
      <c r="BE85" s="72" t="str">
        <f t="shared" si="81"/>
        <v/>
      </c>
      <c r="BF85" s="39"/>
      <c r="BG85" s="42" t="str">
        <f t="shared" si="65"/>
        <v/>
      </c>
      <c r="BH85" s="72" t="str">
        <f t="shared" si="82"/>
        <v/>
      </c>
      <c r="BI85" s="39"/>
      <c r="BJ85" s="40" t="str">
        <f t="shared" si="83"/>
        <v/>
      </c>
      <c r="BK85" s="157" t="str">
        <f t="shared" si="84"/>
        <v/>
      </c>
      <c r="BL85" s="157" t="str">
        <f t="shared" si="66"/>
        <v/>
      </c>
      <c r="BM85" s="72"/>
      <c r="BN85" s="72" t="str">
        <f t="shared" si="85"/>
        <v/>
      </c>
      <c r="BO85" s="72" t="str">
        <f t="shared" si="86"/>
        <v/>
      </c>
      <c r="BP85" s="39"/>
      <c r="BQ85" s="72" t="str">
        <f t="shared" si="67"/>
        <v/>
      </c>
      <c r="BR85" s="72" t="str">
        <f t="shared" si="87"/>
        <v/>
      </c>
    </row>
    <row r="86" spans="4:70" x14ac:dyDescent="0.15">
      <c r="F86" s="93"/>
      <c r="I86" s="459">
        <f t="shared" si="88"/>
        <v>2101</v>
      </c>
      <c r="J86" s="71"/>
      <c r="K86" s="71">
        <f t="shared" si="89"/>
        <v>72</v>
      </c>
      <c r="L86" s="71"/>
      <c r="M86" s="7">
        <f t="shared" si="52"/>
        <v>0.1190473743404982</v>
      </c>
      <c r="N86" s="71"/>
      <c r="O86" s="10" t="str">
        <f t="shared" si="68"/>
        <v/>
      </c>
      <c r="P86" s="29" t="str">
        <f t="shared" si="53"/>
        <v/>
      </c>
      <c r="Q86" s="71"/>
      <c r="R86" s="10" t="str">
        <f t="shared" si="69"/>
        <v/>
      </c>
      <c r="S86" s="71"/>
      <c r="T86" s="10" t="str">
        <f t="shared" si="70"/>
        <v/>
      </c>
      <c r="U86" s="71"/>
      <c r="V86" s="10" t="str">
        <f t="shared" si="54"/>
        <v/>
      </c>
      <c r="W86" s="10" t="str">
        <f t="shared" si="71"/>
        <v/>
      </c>
      <c r="X86" s="71"/>
      <c r="Y86" s="10" t="str">
        <f t="shared" si="55"/>
        <v/>
      </c>
      <c r="Z86" s="10" t="str">
        <f t="shared" si="72"/>
        <v/>
      </c>
      <c r="AA86" s="71"/>
      <c r="AB86" s="10" t="str">
        <f t="shared" si="56"/>
        <v/>
      </c>
      <c r="AC86" s="10" t="str">
        <f t="shared" si="73"/>
        <v/>
      </c>
      <c r="AD86" s="71"/>
      <c r="AE86" s="10" t="str">
        <f t="shared" si="57"/>
        <v/>
      </c>
      <c r="AF86" s="10" t="str">
        <f t="shared" si="74"/>
        <v/>
      </c>
      <c r="AG86" s="71"/>
      <c r="AH86" s="10" t="str">
        <f t="shared" si="58"/>
        <v/>
      </c>
      <c r="AI86" s="10" t="str">
        <f t="shared" si="75"/>
        <v/>
      </c>
      <c r="AJ86" s="71"/>
      <c r="AK86" s="10" t="str">
        <f t="shared" si="59"/>
        <v/>
      </c>
      <c r="AL86" s="10" t="str">
        <f t="shared" si="76"/>
        <v/>
      </c>
      <c r="AM86" s="71"/>
      <c r="AN86" s="10" t="str">
        <f t="shared" si="60"/>
        <v/>
      </c>
      <c r="AO86" s="10" t="str">
        <f t="shared" si="77"/>
        <v/>
      </c>
      <c r="AP86" s="71"/>
      <c r="AQ86" s="10" t="str">
        <f t="shared" si="61"/>
        <v/>
      </c>
      <c r="AR86" s="10" t="str">
        <f t="shared" si="78"/>
        <v/>
      </c>
      <c r="AS86" s="71"/>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U86" s="71"/>
      <c r="AV86" s="10" t="str">
        <f t="shared" si="62"/>
        <v/>
      </c>
      <c r="AW86" s="10" t="str">
        <f t="shared" si="79"/>
        <v/>
      </c>
      <c r="AX86" s="71"/>
      <c r="AY86" s="7" t="str">
        <f>IF(ISERROR(IF($K86&lt;=$F$15,VLOOKUP($I86,'表4）CO2価格'!$A$7:$E$67,VLOOKUP($F$48,'表4）CO2価格'!$H$10:$I$12,2,0),0)*$F$8/1000,"")),0,IF($K86&lt;=$F$15,VLOOKUP($I86,'表4）CO2価格'!$A$7:$E$67,VLOOKUP($F$48,'表4）CO2価格'!$H$10:$I$12,2,0),0)*$F$8/1000,""))</f>
        <v/>
      </c>
      <c r="AZ86" s="71"/>
      <c r="BA86" s="11" t="str">
        <f t="shared" si="63"/>
        <v/>
      </c>
      <c r="BB86" s="10" t="str">
        <f t="shared" si="80"/>
        <v/>
      </c>
      <c r="BC86" s="71"/>
      <c r="BD86" s="10" t="str">
        <f t="shared" si="64"/>
        <v/>
      </c>
      <c r="BE86" s="10" t="str">
        <f t="shared" si="81"/>
        <v/>
      </c>
      <c r="BF86" s="71"/>
      <c r="BG86" s="11" t="str">
        <f t="shared" si="65"/>
        <v/>
      </c>
      <c r="BH86" s="10" t="str">
        <f t="shared" si="82"/>
        <v/>
      </c>
      <c r="BJ86" s="7" t="str">
        <f t="shared" si="83"/>
        <v/>
      </c>
      <c r="BK86" s="158" t="str">
        <f t="shared" si="84"/>
        <v/>
      </c>
      <c r="BL86" s="158" t="str">
        <f t="shared" si="66"/>
        <v/>
      </c>
      <c r="BM86" s="10"/>
      <c r="BN86" s="10" t="str">
        <f t="shared" si="85"/>
        <v/>
      </c>
      <c r="BO86" s="10" t="str">
        <f t="shared" si="86"/>
        <v/>
      </c>
      <c r="BQ86" s="10" t="str">
        <f t="shared" si="67"/>
        <v/>
      </c>
      <c r="BR86" s="10" t="str">
        <f t="shared" si="87"/>
        <v/>
      </c>
    </row>
    <row r="87" spans="4:70" x14ac:dyDescent="0.15">
      <c r="E87" s="81" t="s">
        <v>141</v>
      </c>
      <c r="F87" s="91">
        <f>AI116/$BR$116</f>
        <v>4.6740732750871894</v>
      </c>
      <c r="G87" s="81" t="s">
        <v>132</v>
      </c>
      <c r="I87" s="458">
        <f t="shared" si="88"/>
        <v>2102</v>
      </c>
      <c r="J87" s="39"/>
      <c r="K87" s="39">
        <f t="shared" si="89"/>
        <v>73</v>
      </c>
      <c r="L87" s="39"/>
      <c r="M87" s="40">
        <f t="shared" si="52"/>
        <v>0.11557997508786232</v>
      </c>
      <c r="N87" s="39"/>
      <c r="O87" s="72" t="str">
        <f t="shared" si="68"/>
        <v/>
      </c>
      <c r="P87" s="41" t="str">
        <f t="shared" si="53"/>
        <v/>
      </c>
      <c r="Q87" s="39"/>
      <c r="R87" s="72" t="str">
        <f t="shared" si="69"/>
        <v/>
      </c>
      <c r="S87" s="39"/>
      <c r="T87" s="72" t="str">
        <f t="shared" si="70"/>
        <v/>
      </c>
      <c r="U87" s="39"/>
      <c r="V87" s="72" t="str">
        <f t="shared" si="54"/>
        <v/>
      </c>
      <c r="W87" s="72" t="str">
        <f t="shared" si="71"/>
        <v/>
      </c>
      <c r="X87" s="39"/>
      <c r="Y87" s="72" t="str">
        <f t="shared" si="55"/>
        <v/>
      </c>
      <c r="Z87" s="72" t="str">
        <f t="shared" si="72"/>
        <v/>
      </c>
      <c r="AA87" s="39"/>
      <c r="AB87" s="72" t="str">
        <f t="shared" si="56"/>
        <v/>
      </c>
      <c r="AC87" s="72" t="str">
        <f t="shared" si="73"/>
        <v/>
      </c>
      <c r="AD87" s="39"/>
      <c r="AE87" s="72" t="str">
        <f t="shared" si="57"/>
        <v/>
      </c>
      <c r="AF87" s="72" t="str">
        <f t="shared" si="74"/>
        <v/>
      </c>
      <c r="AG87" s="39"/>
      <c r="AH87" s="72" t="str">
        <f t="shared" si="58"/>
        <v/>
      </c>
      <c r="AI87" s="72" t="str">
        <f t="shared" si="75"/>
        <v/>
      </c>
      <c r="AJ87" s="39"/>
      <c r="AK87" s="72" t="str">
        <f t="shared" si="59"/>
        <v/>
      </c>
      <c r="AL87" s="72" t="str">
        <f t="shared" si="76"/>
        <v/>
      </c>
      <c r="AM87" s="39"/>
      <c r="AN87" s="72" t="str">
        <f t="shared" si="60"/>
        <v/>
      </c>
      <c r="AO87" s="72" t="str">
        <f t="shared" si="77"/>
        <v/>
      </c>
      <c r="AP87" s="39"/>
      <c r="AQ87" s="72" t="str">
        <f t="shared" si="61"/>
        <v/>
      </c>
      <c r="AR87" s="72" t="str">
        <f t="shared" si="78"/>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62"/>
        <v/>
      </c>
      <c r="AW87" s="72" t="str">
        <f t="shared" si="79"/>
        <v/>
      </c>
      <c r="AX87" s="39"/>
      <c r="AY87" s="40" t="str">
        <f>IF(ISERROR(IF($K87&lt;=$F$15,VLOOKUP($I87,'表4）CO2価格'!$A$7:$E$67,VLOOKUP($F$48,'表4）CO2価格'!$H$10:$I$12,2,0),0)*$F$8/1000,"")),0,IF($K87&lt;=$F$15,VLOOKUP($I87,'表4）CO2価格'!$A$7:$E$67,VLOOKUP($F$48,'表4）CO2価格'!$H$10:$I$12,2,0),0)*$F$8/1000,""))</f>
        <v/>
      </c>
      <c r="AZ87" s="39"/>
      <c r="BA87" s="42" t="str">
        <f t="shared" si="63"/>
        <v/>
      </c>
      <c r="BB87" s="72" t="str">
        <f t="shared" si="80"/>
        <v/>
      </c>
      <c r="BC87" s="39"/>
      <c r="BD87" s="72" t="str">
        <f t="shared" si="64"/>
        <v/>
      </c>
      <c r="BE87" s="72" t="str">
        <f t="shared" si="81"/>
        <v/>
      </c>
      <c r="BF87" s="39"/>
      <c r="BG87" s="42" t="str">
        <f t="shared" si="65"/>
        <v/>
      </c>
      <c r="BH87" s="72" t="str">
        <f t="shared" si="82"/>
        <v/>
      </c>
      <c r="BI87" s="39"/>
      <c r="BJ87" s="40" t="str">
        <f t="shared" si="83"/>
        <v/>
      </c>
      <c r="BK87" s="157" t="str">
        <f t="shared" si="84"/>
        <v/>
      </c>
      <c r="BL87" s="157" t="str">
        <f t="shared" si="66"/>
        <v/>
      </c>
      <c r="BM87" s="72"/>
      <c r="BN87" s="72" t="str">
        <f t="shared" si="85"/>
        <v/>
      </c>
      <c r="BO87" s="72" t="str">
        <f t="shared" si="86"/>
        <v/>
      </c>
      <c r="BP87" s="39"/>
      <c r="BQ87" s="72" t="str">
        <f t="shared" si="67"/>
        <v/>
      </c>
      <c r="BR87" s="72" t="str">
        <f t="shared" si="87"/>
        <v/>
      </c>
    </row>
    <row r="88" spans="4:70" x14ac:dyDescent="0.15">
      <c r="E88" s="81" t="s">
        <v>120</v>
      </c>
      <c r="F88" s="91">
        <f>AL116/$BR$116</f>
        <v>0</v>
      </c>
      <c r="G88" s="81" t="s">
        <v>132</v>
      </c>
      <c r="I88" s="459">
        <f t="shared" si="88"/>
        <v>2103</v>
      </c>
      <c r="J88" s="71"/>
      <c r="K88" s="71">
        <f t="shared" si="89"/>
        <v>74</v>
      </c>
      <c r="L88" s="71"/>
      <c r="M88" s="7">
        <f t="shared" si="52"/>
        <v>0.11221356804646829</v>
      </c>
      <c r="N88" s="71"/>
      <c r="O88" s="10" t="str">
        <f t="shared" si="68"/>
        <v/>
      </c>
      <c r="P88" s="29" t="str">
        <f t="shared" si="53"/>
        <v/>
      </c>
      <c r="Q88" s="71"/>
      <c r="R88" s="10" t="str">
        <f t="shared" si="69"/>
        <v/>
      </c>
      <c r="S88" s="71"/>
      <c r="T88" s="10" t="str">
        <f t="shared" si="70"/>
        <v/>
      </c>
      <c r="U88" s="71"/>
      <c r="V88" s="10" t="str">
        <f t="shared" si="54"/>
        <v/>
      </c>
      <c r="W88" s="10" t="str">
        <f t="shared" si="71"/>
        <v/>
      </c>
      <c r="X88" s="71"/>
      <c r="Y88" s="10" t="str">
        <f t="shared" si="55"/>
        <v/>
      </c>
      <c r="Z88" s="10" t="str">
        <f t="shared" si="72"/>
        <v/>
      </c>
      <c r="AA88" s="71"/>
      <c r="AB88" s="10" t="str">
        <f t="shared" si="56"/>
        <v/>
      </c>
      <c r="AC88" s="10" t="str">
        <f t="shared" si="73"/>
        <v/>
      </c>
      <c r="AD88" s="71"/>
      <c r="AE88" s="10" t="str">
        <f t="shared" si="57"/>
        <v/>
      </c>
      <c r="AF88" s="10" t="str">
        <f t="shared" si="74"/>
        <v/>
      </c>
      <c r="AG88" s="71"/>
      <c r="AH88" s="10" t="str">
        <f t="shared" si="58"/>
        <v/>
      </c>
      <c r="AI88" s="10" t="str">
        <f t="shared" si="75"/>
        <v/>
      </c>
      <c r="AJ88" s="71"/>
      <c r="AK88" s="10" t="str">
        <f t="shared" si="59"/>
        <v/>
      </c>
      <c r="AL88" s="10" t="str">
        <f t="shared" si="76"/>
        <v/>
      </c>
      <c r="AM88" s="71"/>
      <c r="AN88" s="10" t="str">
        <f t="shared" si="60"/>
        <v/>
      </c>
      <c r="AO88" s="10" t="str">
        <f t="shared" si="77"/>
        <v/>
      </c>
      <c r="AP88" s="71"/>
      <c r="AQ88" s="10" t="str">
        <f t="shared" si="61"/>
        <v/>
      </c>
      <c r="AR88" s="10" t="str">
        <f t="shared" si="78"/>
        <v/>
      </c>
      <c r="AS88" s="71"/>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U88" s="71"/>
      <c r="AV88" s="10" t="str">
        <f t="shared" si="62"/>
        <v/>
      </c>
      <c r="AW88" s="10" t="str">
        <f t="shared" si="79"/>
        <v/>
      </c>
      <c r="AX88" s="71"/>
      <c r="AY88" s="7" t="str">
        <f>IF(ISERROR(IF($K88&lt;=$F$15,VLOOKUP($I88,'表4）CO2価格'!$A$7:$E$67,VLOOKUP($F$48,'表4）CO2価格'!$H$10:$I$12,2,0),0)*$F$8/1000,"")),0,IF($K88&lt;=$F$15,VLOOKUP($I88,'表4）CO2価格'!$A$7:$E$67,VLOOKUP($F$48,'表4）CO2価格'!$H$10:$I$12,2,0),0)*$F$8/1000,""))</f>
        <v/>
      </c>
      <c r="AZ88" s="71"/>
      <c r="BA88" s="11" t="str">
        <f t="shared" si="63"/>
        <v/>
      </c>
      <c r="BB88" s="10" t="str">
        <f t="shared" si="80"/>
        <v/>
      </c>
      <c r="BC88" s="71"/>
      <c r="BD88" s="10" t="str">
        <f t="shared" si="64"/>
        <v/>
      </c>
      <c r="BE88" s="10" t="str">
        <f t="shared" si="81"/>
        <v/>
      </c>
      <c r="BF88" s="71"/>
      <c r="BG88" s="11" t="str">
        <f t="shared" si="65"/>
        <v/>
      </c>
      <c r="BH88" s="10" t="str">
        <f t="shared" si="82"/>
        <v/>
      </c>
      <c r="BJ88" s="7" t="str">
        <f t="shared" si="83"/>
        <v/>
      </c>
      <c r="BK88" s="158" t="str">
        <f t="shared" si="84"/>
        <v/>
      </c>
      <c r="BL88" s="158" t="str">
        <f t="shared" si="66"/>
        <v/>
      </c>
      <c r="BM88" s="10"/>
      <c r="BN88" s="10" t="str">
        <f t="shared" si="85"/>
        <v/>
      </c>
      <c r="BO88" s="10" t="str">
        <f t="shared" si="86"/>
        <v/>
      </c>
      <c r="BQ88" s="10" t="str">
        <f t="shared" si="67"/>
        <v/>
      </c>
      <c r="BR88" s="10" t="str">
        <f t="shared" si="87"/>
        <v/>
      </c>
    </row>
    <row r="89" spans="4:70" x14ac:dyDescent="0.15">
      <c r="E89" s="81" t="s">
        <v>122</v>
      </c>
      <c r="F89" s="91">
        <f>AO116/$BR$116</f>
        <v>0</v>
      </c>
      <c r="G89" s="81" t="s">
        <v>132</v>
      </c>
      <c r="I89" s="458">
        <f t="shared" si="88"/>
        <v>2104</v>
      </c>
      <c r="J89" s="39"/>
      <c r="K89" s="39">
        <f t="shared" si="89"/>
        <v>75</v>
      </c>
      <c r="L89" s="39"/>
      <c r="M89" s="40">
        <f t="shared" si="52"/>
        <v>0.10894521169560026</v>
      </c>
      <c r="N89" s="39"/>
      <c r="O89" s="72" t="str">
        <f t="shared" si="68"/>
        <v/>
      </c>
      <c r="P89" s="41" t="str">
        <f t="shared" si="53"/>
        <v/>
      </c>
      <c r="Q89" s="39"/>
      <c r="R89" s="72" t="str">
        <f t="shared" si="69"/>
        <v/>
      </c>
      <c r="S89" s="39"/>
      <c r="T89" s="72" t="str">
        <f t="shared" si="70"/>
        <v/>
      </c>
      <c r="U89" s="39"/>
      <c r="V89" s="72" t="str">
        <f t="shared" si="54"/>
        <v/>
      </c>
      <c r="W89" s="72" t="str">
        <f t="shared" si="71"/>
        <v/>
      </c>
      <c r="X89" s="39"/>
      <c r="Y89" s="72" t="str">
        <f t="shared" si="55"/>
        <v/>
      </c>
      <c r="Z89" s="72" t="str">
        <f t="shared" si="72"/>
        <v/>
      </c>
      <c r="AA89" s="39"/>
      <c r="AB89" s="72" t="str">
        <f t="shared" si="56"/>
        <v/>
      </c>
      <c r="AC89" s="72" t="str">
        <f t="shared" si="73"/>
        <v/>
      </c>
      <c r="AD89" s="39"/>
      <c r="AE89" s="72" t="str">
        <f t="shared" si="57"/>
        <v/>
      </c>
      <c r="AF89" s="72" t="str">
        <f t="shared" si="74"/>
        <v/>
      </c>
      <c r="AG89" s="39"/>
      <c r="AH89" s="72" t="str">
        <f t="shared" si="58"/>
        <v/>
      </c>
      <c r="AI89" s="72" t="str">
        <f t="shared" si="75"/>
        <v/>
      </c>
      <c r="AJ89" s="39"/>
      <c r="AK89" s="72" t="str">
        <f t="shared" si="59"/>
        <v/>
      </c>
      <c r="AL89" s="72" t="str">
        <f t="shared" si="76"/>
        <v/>
      </c>
      <c r="AM89" s="39"/>
      <c r="AN89" s="72" t="str">
        <f t="shared" si="60"/>
        <v/>
      </c>
      <c r="AO89" s="72" t="str">
        <f t="shared" si="77"/>
        <v/>
      </c>
      <c r="AP89" s="39"/>
      <c r="AQ89" s="72" t="str">
        <f t="shared" si="61"/>
        <v/>
      </c>
      <c r="AR89" s="72" t="str">
        <f t="shared" si="78"/>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62"/>
        <v/>
      </c>
      <c r="AW89" s="72" t="str">
        <f t="shared" si="79"/>
        <v/>
      </c>
      <c r="AX89" s="39"/>
      <c r="AY89" s="40" t="str">
        <f>IF(ISERROR(IF($K89&lt;=$F$15,VLOOKUP($I89,'表4）CO2価格'!$A$7:$E$67,VLOOKUP($F$48,'表4）CO2価格'!$H$10:$I$12,2,0),0)*$F$8/1000,"")),0,IF($K89&lt;=$F$15,VLOOKUP($I89,'表4）CO2価格'!$A$7:$E$67,VLOOKUP($F$48,'表4）CO2価格'!$H$10:$I$12,2,0),0)*$F$8/1000,""))</f>
        <v/>
      </c>
      <c r="AZ89" s="39"/>
      <c r="BA89" s="42" t="str">
        <f t="shared" si="63"/>
        <v/>
      </c>
      <c r="BB89" s="72" t="str">
        <f t="shared" si="80"/>
        <v/>
      </c>
      <c r="BC89" s="39"/>
      <c r="BD89" s="72" t="str">
        <f t="shared" si="64"/>
        <v/>
      </c>
      <c r="BE89" s="72" t="str">
        <f t="shared" si="81"/>
        <v/>
      </c>
      <c r="BF89" s="39"/>
      <c r="BG89" s="42" t="str">
        <f t="shared" si="65"/>
        <v/>
      </c>
      <c r="BH89" s="72" t="str">
        <f t="shared" si="82"/>
        <v/>
      </c>
      <c r="BI89" s="39"/>
      <c r="BJ89" s="40" t="str">
        <f t="shared" si="83"/>
        <v/>
      </c>
      <c r="BK89" s="157" t="str">
        <f t="shared" si="84"/>
        <v/>
      </c>
      <c r="BL89" s="157" t="str">
        <f t="shared" si="66"/>
        <v/>
      </c>
      <c r="BM89" s="72"/>
      <c r="BN89" s="72" t="str">
        <f t="shared" si="85"/>
        <v/>
      </c>
      <c r="BO89" s="72" t="str">
        <f t="shared" si="86"/>
        <v/>
      </c>
      <c r="BP89" s="39"/>
      <c r="BQ89" s="72" t="str">
        <f t="shared" si="67"/>
        <v/>
      </c>
      <c r="BR89" s="72" t="str">
        <f t="shared" si="87"/>
        <v/>
      </c>
    </row>
    <row r="90" spans="4:70" x14ac:dyDescent="0.15">
      <c r="E90" s="81" t="s">
        <v>142</v>
      </c>
      <c r="F90" s="91">
        <f>AR116/$BR$116</f>
        <v>0</v>
      </c>
      <c r="G90" s="81" t="s">
        <v>132</v>
      </c>
      <c r="I90" s="459">
        <f t="shared" si="88"/>
        <v>2105</v>
      </c>
      <c r="J90" s="71"/>
      <c r="K90" s="71">
        <f t="shared" si="89"/>
        <v>76</v>
      </c>
      <c r="L90" s="71"/>
      <c r="M90" s="7">
        <f t="shared" si="52"/>
        <v>0.10577205018990318</v>
      </c>
      <c r="N90" s="71"/>
      <c r="O90" s="10" t="str">
        <f t="shared" si="68"/>
        <v/>
      </c>
      <c r="P90" s="29" t="str">
        <f t="shared" si="53"/>
        <v/>
      </c>
      <c r="Q90" s="71"/>
      <c r="R90" s="10" t="str">
        <f t="shared" si="69"/>
        <v/>
      </c>
      <c r="S90" s="71"/>
      <c r="T90" s="10" t="str">
        <f t="shared" si="70"/>
        <v/>
      </c>
      <c r="U90" s="71"/>
      <c r="V90" s="10" t="str">
        <f t="shared" si="54"/>
        <v/>
      </c>
      <c r="W90" s="10" t="str">
        <f t="shared" si="71"/>
        <v/>
      </c>
      <c r="X90" s="71"/>
      <c r="Y90" s="10" t="str">
        <f t="shared" si="55"/>
        <v/>
      </c>
      <c r="Z90" s="10" t="str">
        <f t="shared" si="72"/>
        <v/>
      </c>
      <c r="AA90" s="71"/>
      <c r="AB90" s="10" t="str">
        <f t="shared" si="56"/>
        <v/>
      </c>
      <c r="AC90" s="10" t="str">
        <f t="shared" si="73"/>
        <v/>
      </c>
      <c r="AD90" s="71"/>
      <c r="AE90" s="10" t="str">
        <f t="shared" si="57"/>
        <v/>
      </c>
      <c r="AF90" s="10" t="str">
        <f t="shared" si="74"/>
        <v/>
      </c>
      <c r="AG90" s="71"/>
      <c r="AH90" s="10" t="str">
        <f t="shared" si="58"/>
        <v/>
      </c>
      <c r="AI90" s="10" t="str">
        <f t="shared" si="75"/>
        <v/>
      </c>
      <c r="AJ90" s="71"/>
      <c r="AK90" s="10" t="str">
        <f t="shared" si="59"/>
        <v/>
      </c>
      <c r="AL90" s="10" t="str">
        <f t="shared" si="76"/>
        <v/>
      </c>
      <c r="AM90" s="71"/>
      <c r="AN90" s="10" t="str">
        <f t="shared" si="60"/>
        <v/>
      </c>
      <c r="AO90" s="10" t="str">
        <f t="shared" si="77"/>
        <v/>
      </c>
      <c r="AP90" s="71"/>
      <c r="AQ90" s="10" t="str">
        <f t="shared" si="61"/>
        <v/>
      </c>
      <c r="AR90" s="10" t="str">
        <f t="shared" si="78"/>
        <v/>
      </c>
      <c r="AS90" s="71"/>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U90" s="71"/>
      <c r="AV90" s="10" t="str">
        <f t="shared" si="62"/>
        <v/>
      </c>
      <c r="AW90" s="10" t="str">
        <f t="shared" si="79"/>
        <v/>
      </c>
      <c r="AX90" s="71"/>
      <c r="AY90" s="7" t="str">
        <f>IF(ISERROR(IF($K90&lt;=$F$15,VLOOKUP($I90,'表4）CO2価格'!$A$7:$E$67,VLOOKUP($F$48,'表4）CO2価格'!$H$10:$I$12,2,0),0)*$F$8/1000,"")),0,IF($K90&lt;=$F$15,VLOOKUP($I90,'表4）CO2価格'!$A$7:$E$67,VLOOKUP($F$48,'表4）CO2価格'!$H$10:$I$12,2,0),0)*$F$8/1000,""))</f>
        <v/>
      </c>
      <c r="AZ90" s="71"/>
      <c r="BA90" s="11" t="str">
        <f t="shared" si="63"/>
        <v/>
      </c>
      <c r="BB90" s="10" t="str">
        <f t="shared" si="80"/>
        <v/>
      </c>
      <c r="BC90" s="71"/>
      <c r="BD90" s="10" t="str">
        <f t="shared" si="64"/>
        <v/>
      </c>
      <c r="BE90" s="10" t="str">
        <f t="shared" si="81"/>
        <v/>
      </c>
      <c r="BF90" s="71"/>
      <c r="BG90" s="11" t="str">
        <f t="shared" si="65"/>
        <v/>
      </c>
      <c r="BH90" s="10" t="str">
        <f t="shared" si="82"/>
        <v/>
      </c>
      <c r="BJ90" s="7" t="str">
        <f t="shared" si="83"/>
        <v/>
      </c>
      <c r="BK90" s="158" t="str">
        <f t="shared" si="84"/>
        <v/>
      </c>
      <c r="BL90" s="158" t="str">
        <f t="shared" si="66"/>
        <v/>
      </c>
      <c r="BM90" s="10"/>
      <c r="BN90" s="10" t="str">
        <f t="shared" si="85"/>
        <v/>
      </c>
      <c r="BO90" s="10" t="str">
        <f t="shared" si="86"/>
        <v/>
      </c>
      <c r="BQ90" s="10" t="str">
        <f t="shared" si="67"/>
        <v/>
      </c>
      <c r="BR90" s="10" t="str">
        <f t="shared" si="87"/>
        <v/>
      </c>
    </row>
    <row r="91" spans="4:70" x14ac:dyDescent="0.15">
      <c r="F91" s="93"/>
      <c r="I91" s="458">
        <f t="shared" si="88"/>
        <v>2106</v>
      </c>
      <c r="J91" s="39"/>
      <c r="K91" s="39">
        <f t="shared" si="89"/>
        <v>77</v>
      </c>
      <c r="L91" s="39"/>
      <c r="M91" s="40">
        <f t="shared" si="52"/>
        <v>0.10269131086398368</v>
      </c>
      <c r="N91" s="39"/>
      <c r="O91" s="72" t="str">
        <f t="shared" si="68"/>
        <v/>
      </c>
      <c r="P91" s="41" t="str">
        <f t="shared" si="53"/>
        <v/>
      </c>
      <c r="Q91" s="39"/>
      <c r="R91" s="72" t="str">
        <f t="shared" si="69"/>
        <v/>
      </c>
      <c r="S91" s="39"/>
      <c r="T91" s="72" t="str">
        <f t="shared" si="70"/>
        <v/>
      </c>
      <c r="U91" s="39"/>
      <c r="V91" s="72" t="str">
        <f t="shared" si="54"/>
        <v/>
      </c>
      <c r="W91" s="72" t="str">
        <f t="shared" si="71"/>
        <v/>
      </c>
      <c r="X91" s="39"/>
      <c r="Y91" s="72" t="str">
        <f t="shared" si="55"/>
        <v/>
      </c>
      <c r="Z91" s="72" t="str">
        <f t="shared" si="72"/>
        <v/>
      </c>
      <c r="AA91" s="39"/>
      <c r="AB91" s="72" t="str">
        <f t="shared" si="56"/>
        <v/>
      </c>
      <c r="AC91" s="72" t="str">
        <f t="shared" si="73"/>
        <v/>
      </c>
      <c r="AD91" s="39"/>
      <c r="AE91" s="72" t="str">
        <f t="shared" si="57"/>
        <v/>
      </c>
      <c r="AF91" s="72" t="str">
        <f t="shared" si="74"/>
        <v/>
      </c>
      <c r="AG91" s="39"/>
      <c r="AH91" s="72" t="str">
        <f t="shared" si="58"/>
        <v/>
      </c>
      <c r="AI91" s="72" t="str">
        <f t="shared" si="75"/>
        <v/>
      </c>
      <c r="AJ91" s="39"/>
      <c r="AK91" s="72" t="str">
        <f t="shared" si="59"/>
        <v/>
      </c>
      <c r="AL91" s="72" t="str">
        <f t="shared" si="76"/>
        <v/>
      </c>
      <c r="AM91" s="39"/>
      <c r="AN91" s="72" t="str">
        <f t="shared" si="60"/>
        <v/>
      </c>
      <c r="AO91" s="72" t="str">
        <f t="shared" si="77"/>
        <v/>
      </c>
      <c r="AP91" s="39"/>
      <c r="AQ91" s="72" t="str">
        <f t="shared" si="61"/>
        <v/>
      </c>
      <c r="AR91" s="72" t="str">
        <f t="shared" si="78"/>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62"/>
        <v/>
      </c>
      <c r="AW91" s="72" t="str">
        <f t="shared" si="79"/>
        <v/>
      </c>
      <c r="AX91" s="39"/>
      <c r="AY91" s="40" t="str">
        <f>IF(ISERROR(IF($K91&lt;=$F$15,VLOOKUP($I91,'表4）CO2価格'!$A$7:$E$67,VLOOKUP($F$48,'表4）CO2価格'!$H$10:$I$12,2,0),0)*$F$8/1000,"")),0,IF($K91&lt;=$F$15,VLOOKUP($I91,'表4）CO2価格'!$A$7:$E$67,VLOOKUP($F$48,'表4）CO2価格'!$H$10:$I$12,2,0),0)*$F$8/1000,""))</f>
        <v/>
      </c>
      <c r="AZ91" s="39"/>
      <c r="BA91" s="42" t="str">
        <f t="shared" si="63"/>
        <v/>
      </c>
      <c r="BB91" s="72" t="str">
        <f t="shared" si="80"/>
        <v/>
      </c>
      <c r="BC91" s="39"/>
      <c r="BD91" s="72" t="str">
        <f t="shared" si="64"/>
        <v/>
      </c>
      <c r="BE91" s="72" t="str">
        <f t="shared" si="81"/>
        <v/>
      </c>
      <c r="BF91" s="39"/>
      <c r="BG91" s="42" t="str">
        <f t="shared" si="65"/>
        <v/>
      </c>
      <c r="BH91" s="72" t="str">
        <f t="shared" si="82"/>
        <v/>
      </c>
      <c r="BI91" s="39"/>
      <c r="BJ91" s="40" t="str">
        <f t="shared" si="83"/>
        <v/>
      </c>
      <c r="BK91" s="157" t="str">
        <f t="shared" si="84"/>
        <v/>
      </c>
      <c r="BL91" s="157" t="str">
        <f t="shared" si="66"/>
        <v/>
      </c>
      <c r="BM91" s="72"/>
      <c r="BN91" s="72" t="str">
        <f t="shared" si="85"/>
        <v/>
      </c>
      <c r="BO91" s="72" t="str">
        <f t="shared" si="86"/>
        <v/>
      </c>
      <c r="BP91" s="39"/>
      <c r="BQ91" s="72" t="str">
        <f t="shared" si="67"/>
        <v/>
      </c>
      <c r="BR91" s="72" t="str">
        <f t="shared" si="87"/>
        <v/>
      </c>
    </row>
    <row r="92" spans="4:70" ht="15" x14ac:dyDescent="0.15">
      <c r="D92" s="116" t="s">
        <v>196</v>
      </c>
      <c r="F92" s="94">
        <f>SUBTOTAL(9,F96:F97)</f>
        <v>0</v>
      </c>
      <c r="I92" s="459">
        <f t="shared" si="88"/>
        <v>2107</v>
      </c>
      <c r="J92" s="71"/>
      <c r="K92" s="71">
        <f t="shared" si="89"/>
        <v>78</v>
      </c>
      <c r="L92" s="71"/>
      <c r="M92" s="7">
        <f t="shared" si="52"/>
        <v>9.9700301809692873E-2</v>
      </c>
      <c r="N92" s="71"/>
      <c r="O92" s="10" t="str">
        <f t="shared" si="68"/>
        <v/>
      </c>
      <c r="P92" s="29" t="str">
        <f t="shared" si="53"/>
        <v/>
      </c>
      <c r="Q92" s="71"/>
      <c r="R92" s="10" t="str">
        <f t="shared" si="69"/>
        <v/>
      </c>
      <c r="S92" s="71"/>
      <c r="T92" s="10" t="str">
        <f t="shared" si="70"/>
        <v/>
      </c>
      <c r="U92" s="71"/>
      <c r="V92" s="10" t="str">
        <f t="shared" si="54"/>
        <v/>
      </c>
      <c r="W92" s="10" t="str">
        <f t="shared" si="71"/>
        <v/>
      </c>
      <c r="X92" s="71"/>
      <c r="Y92" s="10" t="str">
        <f t="shared" si="55"/>
        <v/>
      </c>
      <c r="Z92" s="10" t="str">
        <f t="shared" si="72"/>
        <v/>
      </c>
      <c r="AA92" s="71"/>
      <c r="AB92" s="10" t="str">
        <f t="shared" si="56"/>
        <v/>
      </c>
      <c r="AC92" s="10" t="str">
        <f t="shared" si="73"/>
        <v/>
      </c>
      <c r="AD92" s="71"/>
      <c r="AE92" s="10" t="str">
        <f t="shared" si="57"/>
        <v/>
      </c>
      <c r="AF92" s="10" t="str">
        <f t="shared" si="74"/>
        <v/>
      </c>
      <c r="AG92" s="71"/>
      <c r="AH92" s="10" t="str">
        <f t="shared" si="58"/>
        <v/>
      </c>
      <c r="AI92" s="10" t="str">
        <f t="shared" si="75"/>
        <v/>
      </c>
      <c r="AJ92" s="71"/>
      <c r="AK92" s="10" t="str">
        <f t="shared" si="59"/>
        <v/>
      </c>
      <c r="AL92" s="10" t="str">
        <f t="shared" si="76"/>
        <v/>
      </c>
      <c r="AM92" s="71"/>
      <c r="AN92" s="10" t="str">
        <f t="shared" si="60"/>
        <v/>
      </c>
      <c r="AO92" s="10" t="str">
        <f t="shared" si="77"/>
        <v/>
      </c>
      <c r="AP92" s="71"/>
      <c r="AQ92" s="10" t="str">
        <f t="shared" si="61"/>
        <v/>
      </c>
      <c r="AR92" s="10" t="str">
        <f t="shared" si="78"/>
        <v/>
      </c>
      <c r="AS92" s="71"/>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U92" s="71"/>
      <c r="AV92" s="10" t="str">
        <f t="shared" si="62"/>
        <v/>
      </c>
      <c r="AW92" s="10" t="str">
        <f t="shared" si="79"/>
        <v/>
      </c>
      <c r="AX92" s="71"/>
      <c r="AY92" s="7" t="str">
        <f>IF(ISERROR(IF($K92&lt;=$F$15,VLOOKUP($I92,'表4）CO2価格'!$A$7:$E$67,VLOOKUP($F$48,'表4）CO2価格'!$H$10:$I$12,2,0),0)*$F$8/1000,"")),0,IF($K92&lt;=$F$15,VLOOKUP($I92,'表4）CO2価格'!$A$7:$E$67,VLOOKUP($F$48,'表4）CO2価格'!$H$10:$I$12,2,0),0)*$F$8/1000,""))</f>
        <v/>
      </c>
      <c r="AZ92" s="71"/>
      <c r="BA92" s="11" t="str">
        <f t="shared" si="63"/>
        <v/>
      </c>
      <c r="BB92" s="10" t="str">
        <f t="shared" si="80"/>
        <v/>
      </c>
      <c r="BC92" s="71"/>
      <c r="BD92" s="10" t="str">
        <f t="shared" si="64"/>
        <v/>
      </c>
      <c r="BE92" s="10" t="str">
        <f t="shared" si="81"/>
        <v/>
      </c>
      <c r="BF92" s="71"/>
      <c r="BG92" s="11" t="str">
        <f t="shared" si="65"/>
        <v/>
      </c>
      <c r="BH92" s="10" t="str">
        <f t="shared" si="82"/>
        <v/>
      </c>
      <c r="BJ92" s="7" t="str">
        <f t="shared" si="83"/>
        <v/>
      </c>
      <c r="BK92" s="158" t="str">
        <f t="shared" si="84"/>
        <v/>
      </c>
      <c r="BL92" s="158" t="str">
        <f t="shared" si="66"/>
        <v/>
      </c>
      <c r="BM92" s="10"/>
      <c r="BN92" s="10" t="str">
        <f t="shared" si="85"/>
        <v/>
      </c>
      <c r="BO92" s="10" t="str">
        <f t="shared" si="86"/>
        <v/>
      </c>
      <c r="BQ92" s="10" t="str">
        <f t="shared" si="67"/>
        <v/>
      </c>
      <c r="BR92" s="10" t="str">
        <f t="shared" si="87"/>
        <v/>
      </c>
    </row>
    <row r="93" spans="4:70" ht="15" x14ac:dyDescent="0.15">
      <c r="D93" s="116"/>
      <c r="F93" s="93"/>
      <c r="I93" s="458">
        <f t="shared" si="88"/>
        <v>2108</v>
      </c>
      <c r="J93" s="39"/>
      <c r="K93" s="39">
        <f t="shared" si="89"/>
        <v>79</v>
      </c>
      <c r="L93" s="39"/>
      <c r="M93" s="40">
        <f t="shared" si="52"/>
        <v>9.679640952397367E-2</v>
      </c>
      <c r="N93" s="39"/>
      <c r="O93" s="72" t="str">
        <f t="shared" si="68"/>
        <v/>
      </c>
      <c r="P93" s="41" t="str">
        <f t="shared" si="53"/>
        <v/>
      </c>
      <c r="Q93" s="39"/>
      <c r="R93" s="72" t="str">
        <f t="shared" si="69"/>
        <v/>
      </c>
      <c r="S93" s="39"/>
      <c r="T93" s="72" t="str">
        <f t="shared" si="70"/>
        <v/>
      </c>
      <c r="U93" s="39"/>
      <c r="V93" s="72" t="str">
        <f t="shared" si="54"/>
        <v/>
      </c>
      <c r="W93" s="72" t="str">
        <f t="shared" si="71"/>
        <v/>
      </c>
      <c r="X93" s="39"/>
      <c r="Y93" s="72" t="str">
        <f t="shared" si="55"/>
        <v/>
      </c>
      <c r="Z93" s="72" t="str">
        <f t="shared" si="72"/>
        <v/>
      </c>
      <c r="AA93" s="39"/>
      <c r="AB93" s="72" t="str">
        <f t="shared" si="56"/>
        <v/>
      </c>
      <c r="AC93" s="72" t="str">
        <f t="shared" si="73"/>
        <v/>
      </c>
      <c r="AD93" s="39"/>
      <c r="AE93" s="72" t="str">
        <f t="shared" si="57"/>
        <v/>
      </c>
      <c r="AF93" s="72" t="str">
        <f t="shared" si="74"/>
        <v/>
      </c>
      <c r="AG93" s="39"/>
      <c r="AH93" s="72" t="str">
        <f t="shared" si="58"/>
        <v/>
      </c>
      <c r="AI93" s="72" t="str">
        <f t="shared" si="75"/>
        <v/>
      </c>
      <c r="AJ93" s="39"/>
      <c r="AK93" s="72" t="str">
        <f t="shared" si="59"/>
        <v/>
      </c>
      <c r="AL93" s="72" t="str">
        <f t="shared" si="76"/>
        <v/>
      </c>
      <c r="AM93" s="39"/>
      <c r="AN93" s="72" t="str">
        <f t="shared" si="60"/>
        <v/>
      </c>
      <c r="AO93" s="72" t="str">
        <f t="shared" si="77"/>
        <v/>
      </c>
      <c r="AP93" s="39"/>
      <c r="AQ93" s="72" t="str">
        <f t="shared" si="61"/>
        <v/>
      </c>
      <c r="AR93" s="72" t="str">
        <f t="shared" si="78"/>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62"/>
        <v/>
      </c>
      <c r="AW93" s="72" t="str">
        <f t="shared" si="79"/>
        <v/>
      </c>
      <c r="AX93" s="39"/>
      <c r="AY93" s="40" t="str">
        <f>IF(ISERROR(IF($K93&lt;=$F$15,VLOOKUP($I93,'表4）CO2価格'!$A$7:$E$67,VLOOKUP($F$48,'表4）CO2価格'!$H$10:$I$12,2,0),0)*$F$8/1000,"")),0,IF($K93&lt;=$F$15,VLOOKUP($I93,'表4）CO2価格'!$A$7:$E$67,VLOOKUP($F$48,'表4）CO2価格'!$H$10:$I$12,2,0),0)*$F$8/1000,""))</f>
        <v/>
      </c>
      <c r="AZ93" s="39"/>
      <c r="BA93" s="42" t="str">
        <f t="shared" si="63"/>
        <v/>
      </c>
      <c r="BB93" s="72" t="str">
        <f t="shared" si="80"/>
        <v/>
      </c>
      <c r="BC93" s="39"/>
      <c r="BD93" s="72" t="str">
        <f t="shared" si="64"/>
        <v/>
      </c>
      <c r="BE93" s="72" t="str">
        <f t="shared" si="81"/>
        <v/>
      </c>
      <c r="BF93" s="39"/>
      <c r="BG93" s="42" t="str">
        <f t="shared" si="65"/>
        <v/>
      </c>
      <c r="BH93" s="72" t="str">
        <f t="shared" si="82"/>
        <v/>
      </c>
      <c r="BI93" s="39"/>
      <c r="BJ93" s="40" t="str">
        <f t="shared" si="83"/>
        <v/>
      </c>
      <c r="BK93" s="157" t="str">
        <f t="shared" si="84"/>
        <v/>
      </c>
      <c r="BL93" s="157" t="str">
        <f t="shared" si="66"/>
        <v/>
      </c>
      <c r="BM93" s="72"/>
      <c r="BN93" s="72" t="str">
        <f t="shared" si="85"/>
        <v/>
      </c>
      <c r="BO93" s="72" t="str">
        <f t="shared" si="86"/>
        <v/>
      </c>
      <c r="BP93" s="39"/>
      <c r="BQ93" s="72" t="str">
        <f t="shared" si="67"/>
        <v/>
      </c>
      <c r="BR93" s="72" t="str">
        <f t="shared" si="87"/>
        <v/>
      </c>
    </row>
    <row r="94" spans="4:70" x14ac:dyDescent="0.15">
      <c r="D94" s="101" t="s">
        <v>197</v>
      </c>
      <c r="E94" s="101"/>
      <c r="F94" s="92"/>
      <c r="G94" s="101"/>
      <c r="I94" s="459">
        <f t="shared" si="88"/>
        <v>2109</v>
      </c>
      <c r="J94" s="71"/>
      <c r="K94" s="71">
        <f t="shared" si="89"/>
        <v>80</v>
      </c>
      <c r="L94" s="71"/>
      <c r="M94" s="7">
        <f t="shared" si="52"/>
        <v>9.3977096625217166E-2</v>
      </c>
      <c r="N94" s="71"/>
      <c r="O94" s="10" t="str">
        <f t="shared" si="68"/>
        <v/>
      </c>
      <c r="P94" s="29" t="str">
        <f t="shared" si="53"/>
        <v/>
      </c>
      <c r="Q94" s="71"/>
      <c r="R94" s="10" t="str">
        <f t="shared" si="69"/>
        <v/>
      </c>
      <c r="S94" s="71"/>
      <c r="T94" s="10" t="str">
        <f t="shared" si="70"/>
        <v/>
      </c>
      <c r="U94" s="71"/>
      <c r="V94" s="10" t="str">
        <f t="shared" si="54"/>
        <v/>
      </c>
      <c r="W94" s="10" t="str">
        <f t="shared" si="71"/>
        <v/>
      </c>
      <c r="X94" s="71"/>
      <c r="Y94" s="10" t="str">
        <f t="shared" si="55"/>
        <v/>
      </c>
      <c r="Z94" s="10" t="str">
        <f t="shared" si="72"/>
        <v/>
      </c>
      <c r="AA94" s="71"/>
      <c r="AB94" s="10" t="str">
        <f t="shared" si="56"/>
        <v/>
      </c>
      <c r="AC94" s="10" t="str">
        <f t="shared" si="73"/>
        <v/>
      </c>
      <c r="AD94" s="71"/>
      <c r="AE94" s="10" t="str">
        <f t="shared" si="57"/>
        <v/>
      </c>
      <c r="AF94" s="10" t="str">
        <f t="shared" si="74"/>
        <v/>
      </c>
      <c r="AG94" s="71"/>
      <c r="AH94" s="10" t="str">
        <f t="shared" si="58"/>
        <v/>
      </c>
      <c r="AI94" s="10" t="str">
        <f t="shared" si="75"/>
        <v/>
      </c>
      <c r="AJ94" s="71"/>
      <c r="AK94" s="10" t="str">
        <f t="shared" si="59"/>
        <v/>
      </c>
      <c r="AL94" s="10" t="str">
        <f t="shared" si="76"/>
        <v/>
      </c>
      <c r="AM94" s="71"/>
      <c r="AN94" s="10" t="str">
        <f t="shared" si="60"/>
        <v/>
      </c>
      <c r="AO94" s="10" t="str">
        <f t="shared" si="77"/>
        <v/>
      </c>
      <c r="AP94" s="71"/>
      <c r="AQ94" s="10" t="str">
        <f t="shared" si="61"/>
        <v/>
      </c>
      <c r="AR94" s="10" t="str">
        <f t="shared" si="78"/>
        <v/>
      </c>
      <c r="AS94" s="71"/>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U94" s="71"/>
      <c r="AV94" s="10" t="str">
        <f t="shared" si="62"/>
        <v/>
      </c>
      <c r="AW94" s="10" t="str">
        <f t="shared" si="79"/>
        <v/>
      </c>
      <c r="AX94" s="71"/>
      <c r="AY94" s="7" t="str">
        <f>IF(ISERROR(IF($K94&lt;=$F$15,VLOOKUP($I94,'表4）CO2価格'!$A$7:$E$67,VLOOKUP($F$48,'表4）CO2価格'!$H$10:$I$12,2,0),0)*$F$8/1000,"")),0,IF($K94&lt;=$F$15,VLOOKUP($I94,'表4）CO2価格'!$A$7:$E$67,VLOOKUP($F$48,'表4）CO2価格'!$H$10:$I$12,2,0),0)*$F$8/1000,""))</f>
        <v/>
      </c>
      <c r="AZ94" s="71"/>
      <c r="BA94" s="11" t="str">
        <f t="shared" si="63"/>
        <v/>
      </c>
      <c r="BB94" s="10" t="str">
        <f t="shared" si="80"/>
        <v/>
      </c>
      <c r="BC94" s="71"/>
      <c r="BD94" s="10" t="str">
        <f t="shared" si="64"/>
        <v/>
      </c>
      <c r="BE94" s="10" t="str">
        <f t="shared" si="81"/>
        <v/>
      </c>
      <c r="BF94" s="71"/>
      <c r="BG94" s="11" t="str">
        <f t="shared" si="65"/>
        <v/>
      </c>
      <c r="BH94" s="10" t="str">
        <f t="shared" si="82"/>
        <v/>
      </c>
      <c r="BJ94" s="7" t="str">
        <f t="shared" si="83"/>
        <v/>
      </c>
      <c r="BK94" s="158" t="str">
        <f t="shared" si="84"/>
        <v/>
      </c>
      <c r="BL94" s="158" t="str">
        <f t="shared" si="66"/>
        <v/>
      </c>
      <c r="BM94" s="10"/>
      <c r="BN94" s="10" t="str">
        <f t="shared" si="85"/>
        <v/>
      </c>
      <c r="BO94" s="10" t="str">
        <f t="shared" si="86"/>
        <v/>
      </c>
      <c r="BQ94" s="10" t="str">
        <f t="shared" si="67"/>
        <v/>
      </c>
      <c r="BR94" s="10" t="str">
        <f t="shared" si="87"/>
        <v/>
      </c>
    </row>
    <row r="95" spans="4:70" ht="15" x14ac:dyDescent="0.15">
      <c r="D95" s="116"/>
      <c r="F95" s="93"/>
      <c r="I95" s="458">
        <f t="shared" si="88"/>
        <v>2110</v>
      </c>
      <c r="J95" s="39"/>
      <c r="K95" s="39">
        <f t="shared" si="89"/>
        <v>81</v>
      </c>
      <c r="L95" s="39"/>
      <c r="M95" s="40">
        <f t="shared" si="52"/>
        <v>9.1239899636133173E-2</v>
      </c>
      <c r="N95" s="39"/>
      <c r="O95" s="72" t="str">
        <f t="shared" si="68"/>
        <v/>
      </c>
      <c r="P95" s="41" t="str">
        <f t="shared" si="53"/>
        <v/>
      </c>
      <c r="Q95" s="39"/>
      <c r="R95" s="72" t="str">
        <f t="shared" si="69"/>
        <v/>
      </c>
      <c r="S95" s="39"/>
      <c r="T95" s="72" t="str">
        <f t="shared" si="70"/>
        <v/>
      </c>
      <c r="U95" s="39"/>
      <c r="V95" s="72" t="str">
        <f t="shared" si="54"/>
        <v/>
      </c>
      <c r="W95" s="72" t="str">
        <f t="shared" si="71"/>
        <v/>
      </c>
      <c r="X95" s="39"/>
      <c r="Y95" s="72" t="str">
        <f t="shared" si="55"/>
        <v/>
      </c>
      <c r="Z95" s="72" t="str">
        <f t="shared" si="72"/>
        <v/>
      </c>
      <c r="AA95" s="39"/>
      <c r="AB95" s="72" t="str">
        <f t="shared" si="56"/>
        <v/>
      </c>
      <c r="AC95" s="72" t="str">
        <f t="shared" si="73"/>
        <v/>
      </c>
      <c r="AD95" s="39"/>
      <c r="AE95" s="72" t="str">
        <f t="shared" si="57"/>
        <v/>
      </c>
      <c r="AF95" s="72" t="str">
        <f t="shared" si="74"/>
        <v/>
      </c>
      <c r="AG95" s="39"/>
      <c r="AH95" s="72" t="str">
        <f t="shared" si="58"/>
        <v/>
      </c>
      <c r="AI95" s="72" t="str">
        <f t="shared" si="75"/>
        <v/>
      </c>
      <c r="AJ95" s="39"/>
      <c r="AK95" s="72" t="str">
        <f t="shared" si="59"/>
        <v/>
      </c>
      <c r="AL95" s="72" t="str">
        <f t="shared" si="76"/>
        <v/>
      </c>
      <c r="AM95" s="39"/>
      <c r="AN95" s="72" t="str">
        <f t="shared" si="60"/>
        <v/>
      </c>
      <c r="AO95" s="72" t="str">
        <f t="shared" si="77"/>
        <v/>
      </c>
      <c r="AP95" s="39"/>
      <c r="AQ95" s="72" t="str">
        <f t="shared" si="61"/>
        <v/>
      </c>
      <c r="AR95" s="72" t="str">
        <f t="shared" si="78"/>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62"/>
        <v/>
      </c>
      <c r="AW95" s="72" t="str">
        <f t="shared" si="79"/>
        <v/>
      </c>
      <c r="AX95" s="39"/>
      <c r="AY95" s="40" t="str">
        <f>IF(ISERROR(IF($K95&lt;=$F$15,VLOOKUP($I95,'表4）CO2価格'!$A$7:$E$67,VLOOKUP($F$48,'表4）CO2価格'!$H$10:$I$12,2,0),0)*$F$8/1000,"")),0,IF($K95&lt;=$F$15,VLOOKUP($I95,'表4）CO2価格'!$A$7:$E$67,VLOOKUP($F$48,'表4）CO2価格'!$H$10:$I$12,2,0),0)*$F$8/1000,""))</f>
        <v/>
      </c>
      <c r="AZ95" s="39"/>
      <c r="BA95" s="42" t="str">
        <f t="shared" si="63"/>
        <v/>
      </c>
      <c r="BB95" s="72" t="str">
        <f t="shared" si="80"/>
        <v/>
      </c>
      <c r="BC95" s="39"/>
      <c r="BD95" s="72" t="str">
        <f t="shared" si="64"/>
        <v/>
      </c>
      <c r="BE95" s="72" t="str">
        <f t="shared" si="81"/>
        <v/>
      </c>
      <c r="BF95" s="39"/>
      <c r="BG95" s="42" t="str">
        <f t="shared" si="65"/>
        <v/>
      </c>
      <c r="BH95" s="72" t="str">
        <f t="shared" si="82"/>
        <v/>
      </c>
      <c r="BI95" s="39"/>
      <c r="BJ95" s="40" t="str">
        <f t="shared" si="83"/>
        <v/>
      </c>
      <c r="BK95" s="157" t="str">
        <f t="shared" si="84"/>
        <v/>
      </c>
      <c r="BL95" s="157" t="str">
        <f t="shared" si="66"/>
        <v/>
      </c>
      <c r="BM95" s="72"/>
      <c r="BN95" s="72" t="str">
        <f t="shared" si="85"/>
        <v/>
      </c>
      <c r="BO95" s="72" t="str">
        <f t="shared" si="86"/>
        <v/>
      </c>
      <c r="BP95" s="39"/>
      <c r="BQ95" s="72" t="str">
        <f t="shared" si="67"/>
        <v/>
      </c>
      <c r="BR95" s="72" t="str">
        <f t="shared" si="87"/>
        <v/>
      </c>
    </row>
    <row r="96" spans="4:70" ht="15" x14ac:dyDescent="0.15">
      <c r="D96" s="116"/>
      <c r="E96" s="81" t="s">
        <v>198</v>
      </c>
      <c r="F96" s="91">
        <f>IF(F3&lt;&gt;"原子力",AW116/$BR$116,0)</f>
        <v>0</v>
      </c>
      <c r="G96" s="81" t="s">
        <v>132</v>
      </c>
      <c r="I96" s="459">
        <f t="shared" si="88"/>
        <v>2111</v>
      </c>
      <c r="J96" s="71"/>
      <c r="K96" s="71">
        <f t="shared" si="89"/>
        <v>82</v>
      </c>
      <c r="L96" s="71"/>
      <c r="M96" s="7">
        <f t="shared" si="52"/>
        <v>8.8582426831197242E-2</v>
      </c>
      <c r="N96" s="71"/>
      <c r="O96" s="10" t="str">
        <f t="shared" si="68"/>
        <v/>
      </c>
      <c r="P96" s="29" t="str">
        <f t="shared" si="53"/>
        <v/>
      </c>
      <c r="Q96" s="71"/>
      <c r="R96" s="10" t="str">
        <f t="shared" si="69"/>
        <v/>
      </c>
      <c r="S96" s="71"/>
      <c r="T96" s="10" t="str">
        <f t="shared" si="70"/>
        <v/>
      </c>
      <c r="U96" s="71"/>
      <c r="V96" s="10" t="str">
        <f t="shared" si="54"/>
        <v/>
      </c>
      <c r="W96" s="10" t="str">
        <f t="shared" si="71"/>
        <v/>
      </c>
      <c r="X96" s="71"/>
      <c r="Y96" s="10" t="str">
        <f t="shared" si="55"/>
        <v/>
      </c>
      <c r="Z96" s="10" t="str">
        <f t="shared" si="72"/>
        <v/>
      </c>
      <c r="AA96" s="71"/>
      <c r="AB96" s="10" t="str">
        <f t="shared" si="56"/>
        <v/>
      </c>
      <c r="AC96" s="10" t="str">
        <f t="shared" si="73"/>
        <v/>
      </c>
      <c r="AD96" s="71"/>
      <c r="AE96" s="10" t="str">
        <f t="shared" si="57"/>
        <v/>
      </c>
      <c r="AF96" s="10" t="str">
        <f t="shared" si="74"/>
        <v/>
      </c>
      <c r="AG96" s="71"/>
      <c r="AH96" s="10" t="str">
        <f t="shared" si="58"/>
        <v/>
      </c>
      <c r="AI96" s="10" t="str">
        <f t="shared" si="75"/>
        <v/>
      </c>
      <c r="AJ96" s="71"/>
      <c r="AK96" s="10" t="str">
        <f t="shared" si="59"/>
        <v/>
      </c>
      <c r="AL96" s="10" t="str">
        <f t="shared" si="76"/>
        <v/>
      </c>
      <c r="AM96" s="71"/>
      <c r="AN96" s="10" t="str">
        <f t="shared" si="60"/>
        <v/>
      </c>
      <c r="AO96" s="10" t="str">
        <f t="shared" si="77"/>
        <v/>
      </c>
      <c r="AP96" s="71"/>
      <c r="AQ96" s="10" t="str">
        <f t="shared" si="61"/>
        <v/>
      </c>
      <c r="AR96" s="10" t="str">
        <f t="shared" si="78"/>
        <v/>
      </c>
      <c r="AS96" s="71"/>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U96" s="71"/>
      <c r="AV96" s="10" t="str">
        <f t="shared" si="62"/>
        <v/>
      </c>
      <c r="AW96" s="10" t="str">
        <f t="shared" si="79"/>
        <v/>
      </c>
      <c r="AX96" s="71"/>
      <c r="AY96" s="7" t="str">
        <f>IF(ISERROR(IF($K96&lt;=$F$15,VLOOKUP($I96,'表4）CO2価格'!$A$7:$E$67,VLOOKUP($F$48,'表4）CO2価格'!$H$10:$I$12,2,0),0)*$F$8/1000,"")),0,IF($K96&lt;=$F$15,VLOOKUP($I96,'表4）CO2価格'!$A$7:$E$67,VLOOKUP($F$48,'表4）CO2価格'!$H$10:$I$12,2,0),0)*$F$8/1000,""))</f>
        <v/>
      </c>
      <c r="AZ96" s="71"/>
      <c r="BA96" s="11" t="str">
        <f t="shared" si="63"/>
        <v/>
      </c>
      <c r="BB96" s="10" t="str">
        <f t="shared" si="80"/>
        <v/>
      </c>
      <c r="BC96" s="71"/>
      <c r="BD96" s="10" t="str">
        <f t="shared" si="64"/>
        <v/>
      </c>
      <c r="BE96" s="10" t="str">
        <f t="shared" si="81"/>
        <v/>
      </c>
      <c r="BF96" s="71"/>
      <c r="BG96" s="11" t="str">
        <f t="shared" si="65"/>
        <v/>
      </c>
      <c r="BH96" s="10" t="str">
        <f t="shared" si="82"/>
        <v/>
      </c>
      <c r="BJ96" s="7" t="str">
        <f t="shared" si="83"/>
        <v/>
      </c>
      <c r="BK96" s="158" t="str">
        <f t="shared" si="84"/>
        <v/>
      </c>
      <c r="BL96" s="158" t="str">
        <f t="shared" si="66"/>
        <v/>
      </c>
      <c r="BM96" s="10"/>
      <c r="BN96" s="10" t="str">
        <f t="shared" si="85"/>
        <v/>
      </c>
      <c r="BO96" s="10" t="str">
        <f t="shared" si="86"/>
        <v/>
      </c>
      <c r="BQ96" s="10" t="str">
        <f t="shared" si="67"/>
        <v/>
      </c>
      <c r="BR96" s="10" t="str">
        <f t="shared" si="87"/>
        <v/>
      </c>
    </row>
    <row r="97" spans="4:70" ht="15" x14ac:dyDescent="0.15">
      <c r="D97" s="116"/>
      <c r="E97" s="81" t="s">
        <v>199</v>
      </c>
      <c r="F97" s="91">
        <f>IF(F3="原子力",#REF!,0)</f>
        <v>0</v>
      </c>
      <c r="G97" s="81" t="s">
        <v>132</v>
      </c>
      <c r="I97" s="458">
        <f t="shared" si="88"/>
        <v>2112</v>
      </c>
      <c r="J97" s="39"/>
      <c r="K97" s="39">
        <f t="shared" si="89"/>
        <v>83</v>
      </c>
      <c r="L97" s="39"/>
      <c r="M97" s="40">
        <f t="shared" si="52"/>
        <v>8.6002356146793454E-2</v>
      </c>
      <c r="N97" s="39"/>
      <c r="O97" s="72" t="str">
        <f t="shared" si="68"/>
        <v/>
      </c>
      <c r="P97" s="41" t="str">
        <f t="shared" si="53"/>
        <v/>
      </c>
      <c r="Q97" s="39"/>
      <c r="R97" s="72" t="str">
        <f t="shared" si="69"/>
        <v/>
      </c>
      <c r="S97" s="39"/>
      <c r="T97" s="72" t="str">
        <f t="shared" si="70"/>
        <v/>
      </c>
      <c r="U97" s="39"/>
      <c r="V97" s="72" t="str">
        <f t="shared" si="54"/>
        <v/>
      </c>
      <c r="W97" s="72" t="str">
        <f t="shared" si="71"/>
        <v/>
      </c>
      <c r="X97" s="39"/>
      <c r="Y97" s="72" t="str">
        <f t="shared" si="55"/>
        <v/>
      </c>
      <c r="Z97" s="72" t="str">
        <f t="shared" si="72"/>
        <v/>
      </c>
      <c r="AA97" s="39"/>
      <c r="AB97" s="72" t="str">
        <f t="shared" si="56"/>
        <v/>
      </c>
      <c r="AC97" s="72" t="str">
        <f t="shared" si="73"/>
        <v/>
      </c>
      <c r="AD97" s="39"/>
      <c r="AE97" s="72" t="str">
        <f t="shared" si="57"/>
        <v/>
      </c>
      <c r="AF97" s="72" t="str">
        <f t="shared" si="74"/>
        <v/>
      </c>
      <c r="AG97" s="39"/>
      <c r="AH97" s="72" t="str">
        <f t="shared" si="58"/>
        <v/>
      </c>
      <c r="AI97" s="72" t="str">
        <f t="shared" si="75"/>
        <v/>
      </c>
      <c r="AJ97" s="39"/>
      <c r="AK97" s="72" t="str">
        <f t="shared" si="59"/>
        <v/>
      </c>
      <c r="AL97" s="72" t="str">
        <f t="shared" si="76"/>
        <v/>
      </c>
      <c r="AM97" s="39"/>
      <c r="AN97" s="72" t="str">
        <f t="shared" si="60"/>
        <v/>
      </c>
      <c r="AO97" s="72" t="str">
        <f t="shared" si="77"/>
        <v/>
      </c>
      <c r="AP97" s="39"/>
      <c r="AQ97" s="72" t="str">
        <f t="shared" si="61"/>
        <v/>
      </c>
      <c r="AR97" s="72" t="str">
        <f t="shared" si="78"/>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62"/>
        <v/>
      </c>
      <c r="AW97" s="72" t="str">
        <f t="shared" si="79"/>
        <v/>
      </c>
      <c r="AX97" s="39"/>
      <c r="AY97" s="40" t="str">
        <f>IF(ISERROR(IF($K97&lt;=$F$15,VLOOKUP($I97,'表4）CO2価格'!$A$7:$E$67,VLOOKUP($F$48,'表4）CO2価格'!$H$10:$I$12,2,0),0)*$F$8/1000,"")),0,IF($K97&lt;=$F$15,VLOOKUP($I97,'表4）CO2価格'!$A$7:$E$67,VLOOKUP($F$48,'表4）CO2価格'!$H$10:$I$12,2,0),0)*$F$8/1000,""))</f>
        <v/>
      </c>
      <c r="AZ97" s="39"/>
      <c r="BA97" s="42" t="str">
        <f t="shared" si="63"/>
        <v/>
      </c>
      <c r="BB97" s="72" t="str">
        <f t="shared" si="80"/>
        <v/>
      </c>
      <c r="BC97" s="39"/>
      <c r="BD97" s="72" t="str">
        <f t="shared" si="64"/>
        <v/>
      </c>
      <c r="BE97" s="72" t="str">
        <f t="shared" si="81"/>
        <v/>
      </c>
      <c r="BF97" s="39"/>
      <c r="BG97" s="42" t="str">
        <f t="shared" si="65"/>
        <v/>
      </c>
      <c r="BH97" s="72" t="str">
        <f t="shared" si="82"/>
        <v/>
      </c>
      <c r="BI97" s="39"/>
      <c r="BJ97" s="40" t="str">
        <f t="shared" si="83"/>
        <v/>
      </c>
      <c r="BK97" s="157" t="str">
        <f t="shared" si="84"/>
        <v/>
      </c>
      <c r="BL97" s="157" t="str">
        <f t="shared" si="66"/>
        <v/>
      </c>
      <c r="BM97" s="72"/>
      <c r="BN97" s="72" t="str">
        <f t="shared" si="85"/>
        <v/>
      </c>
      <c r="BO97" s="72" t="str">
        <f t="shared" si="86"/>
        <v/>
      </c>
      <c r="BP97" s="39"/>
      <c r="BQ97" s="72" t="str">
        <f t="shared" si="67"/>
        <v/>
      </c>
      <c r="BR97" s="72" t="str">
        <f t="shared" si="87"/>
        <v/>
      </c>
    </row>
    <row r="98" spans="4:70" x14ac:dyDescent="0.15">
      <c r="F98" s="93"/>
      <c r="I98" s="459">
        <f t="shared" si="88"/>
        <v>2113</v>
      </c>
      <c r="J98" s="71"/>
      <c r="K98" s="71">
        <f t="shared" si="89"/>
        <v>84</v>
      </c>
      <c r="L98" s="71"/>
      <c r="M98" s="7">
        <f t="shared" si="52"/>
        <v>8.3497433152226644E-2</v>
      </c>
      <c r="N98" s="71"/>
      <c r="O98" s="10" t="str">
        <f t="shared" si="68"/>
        <v/>
      </c>
      <c r="P98" s="29" t="str">
        <f t="shared" si="53"/>
        <v/>
      </c>
      <c r="Q98" s="71"/>
      <c r="R98" s="10" t="str">
        <f t="shared" si="69"/>
        <v/>
      </c>
      <c r="S98" s="71"/>
      <c r="T98" s="10" t="str">
        <f t="shared" si="70"/>
        <v/>
      </c>
      <c r="U98" s="71"/>
      <c r="V98" s="10" t="str">
        <f t="shared" si="54"/>
        <v/>
      </c>
      <c r="W98" s="10" t="str">
        <f t="shared" si="71"/>
        <v/>
      </c>
      <c r="X98" s="71"/>
      <c r="Y98" s="10" t="str">
        <f t="shared" si="55"/>
        <v/>
      </c>
      <c r="Z98" s="10" t="str">
        <f t="shared" si="72"/>
        <v/>
      </c>
      <c r="AA98" s="71"/>
      <c r="AB98" s="10" t="str">
        <f t="shared" si="56"/>
        <v/>
      </c>
      <c r="AC98" s="10" t="str">
        <f t="shared" si="73"/>
        <v/>
      </c>
      <c r="AD98" s="71"/>
      <c r="AE98" s="10" t="str">
        <f t="shared" si="57"/>
        <v/>
      </c>
      <c r="AF98" s="10" t="str">
        <f t="shared" si="74"/>
        <v/>
      </c>
      <c r="AG98" s="71"/>
      <c r="AH98" s="10" t="str">
        <f t="shared" si="58"/>
        <v/>
      </c>
      <c r="AI98" s="10" t="str">
        <f t="shared" si="75"/>
        <v/>
      </c>
      <c r="AJ98" s="71"/>
      <c r="AK98" s="10" t="str">
        <f t="shared" si="59"/>
        <v/>
      </c>
      <c r="AL98" s="10" t="str">
        <f t="shared" si="76"/>
        <v/>
      </c>
      <c r="AM98" s="71"/>
      <c r="AN98" s="10" t="str">
        <f t="shared" si="60"/>
        <v/>
      </c>
      <c r="AO98" s="10" t="str">
        <f t="shared" si="77"/>
        <v/>
      </c>
      <c r="AP98" s="71"/>
      <c r="AQ98" s="10" t="str">
        <f t="shared" si="61"/>
        <v/>
      </c>
      <c r="AR98" s="10" t="str">
        <f t="shared" si="78"/>
        <v/>
      </c>
      <c r="AS98" s="71"/>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U98" s="71"/>
      <c r="AV98" s="10" t="str">
        <f t="shared" si="62"/>
        <v/>
      </c>
      <c r="AW98" s="10" t="str">
        <f t="shared" si="79"/>
        <v/>
      </c>
      <c r="AX98" s="71"/>
      <c r="AY98" s="7" t="str">
        <f>IF(ISERROR(IF($K98&lt;=$F$15,VLOOKUP($I98,'表4）CO2価格'!$A$7:$E$67,VLOOKUP($F$48,'表4）CO2価格'!$H$10:$I$12,2,0),0)*$F$8/1000,"")),0,IF($K98&lt;=$F$15,VLOOKUP($I98,'表4）CO2価格'!$A$7:$E$67,VLOOKUP($F$48,'表4）CO2価格'!$H$10:$I$12,2,0),0)*$F$8/1000,""))</f>
        <v/>
      </c>
      <c r="AZ98" s="71"/>
      <c r="BA98" s="11" t="str">
        <f t="shared" si="63"/>
        <v/>
      </c>
      <c r="BB98" s="10" t="str">
        <f t="shared" si="80"/>
        <v/>
      </c>
      <c r="BC98" s="71"/>
      <c r="BD98" s="10" t="str">
        <f t="shared" si="64"/>
        <v/>
      </c>
      <c r="BE98" s="10" t="str">
        <f t="shared" si="81"/>
        <v/>
      </c>
      <c r="BF98" s="71"/>
      <c r="BG98" s="11" t="str">
        <f t="shared" si="65"/>
        <v/>
      </c>
      <c r="BH98" s="10" t="str">
        <f t="shared" si="82"/>
        <v/>
      </c>
      <c r="BJ98" s="7" t="str">
        <f t="shared" si="83"/>
        <v/>
      </c>
      <c r="BK98" s="158" t="str">
        <f t="shared" si="84"/>
        <v/>
      </c>
      <c r="BL98" s="158" t="str">
        <f t="shared" si="66"/>
        <v/>
      </c>
      <c r="BM98" s="10"/>
      <c r="BN98" s="10" t="str">
        <f t="shared" si="85"/>
        <v/>
      </c>
      <c r="BO98" s="10" t="str">
        <f t="shared" si="86"/>
        <v/>
      </c>
      <c r="BQ98" s="10" t="str">
        <f t="shared" si="67"/>
        <v/>
      </c>
      <c r="BR98" s="10" t="str">
        <f t="shared" si="87"/>
        <v/>
      </c>
    </row>
    <row r="99" spans="4:70" ht="15" x14ac:dyDescent="0.15">
      <c r="D99" s="116" t="s">
        <v>200</v>
      </c>
      <c r="F99" s="94">
        <f>SUBTOTAL(9,F103:F105)</f>
        <v>0.24</v>
      </c>
      <c r="G99" s="81" t="s">
        <v>132</v>
      </c>
      <c r="I99" s="458">
        <f t="shared" si="88"/>
        <v>2114</v>
      </c>
      <c r="J99" s="39"/>
      <c r="K99" s="39">
        <f t="shared" si="89"/>
        <v>85</v>
      </c>
      <c r="L99" s="39"/>
      <c r="M99" s="40">
        <f t="shared" si="52"/>
        <v>8.1065469079831712E-2</v>
      </c>
      <c r="N99" s="39"/>
      <c r="O99" s="72" t="str">
        <f t="shared" si="68"/>
        <v/>
      </c>
      <c r="P99" s="41" t="str">
        <f t="shared" si="53"/>
        <v/>
      </c>
      <c r="Q99" s="39"/>
      <c r="R99" s="72" t="str">
        <f t="shared" si="69"/>
        <v/>
      </c>
      <c r="S99" s="39"/>
      <c r="T99" s="72" t="str">
        <f t="shared" si="70"/>
        <v/>
      </c>
      <c r="U99" s="39"/>
      <c r="V99" s="72" t="str">
        <f t="shared" si="54"/>
        <v/>
      </c>
      <c r="W99" s="72" t="str">
        <f t="shared" si="71"/>
        <v/>
      </c>
      <c r="X99" s="39"/>
      <c r="Y99" s="72" t="str">
        <f t="shared" si="55"/>
        <v/>
      </c>
      <c r="Z99" s="72" t="str">
        <f t="shared" si="72"/>
        <v/>
      </c>
      <c r="AA99" s="39"/>
      <c r="AB99" s="72" t="str">
        <f t="shared" si="56"/>
        <v/>
      </c>
      <c r="AC99" s="72" t="str">
        <f t="shared" si="73"/>
        <v/>
      </c>
      <c r="AD99" s="39"/>
      <c r="AE99" s="72" t="str">
        <f t="shared" si="57"/>
        <v/>
      </c>
      <c r="AF99" s="72" t="str">
        <f t="shared" si="74"/>
        <v/>
      </c>
      <c r="AG99" s="39"/>
      <c r="AH99" s="72" t="str">
        <f t="shared" si="58"/>
        <v/>
      </c>
      <c r="AI99" s="72" t="str">
        <f t="shared" si="75"/>
        <v/>
      </c>
      <c r="AJ99" s="39"/>
      <c r="AK99" s="72" t="str">
        <f t="shared" si="59"/>
        <v/>
      </c>
      <c r="AL99" s="72" t="str">
        <f t="shared" si="76"/>
        <v/>
      </c>
      <c r="AM99" s="39"/>
      <c r="AN99" s="72" t="str">
        <f t="shared" si="60"/>
        <v/>
      </c>
      <c r="AO99" s="72" t="str">
        <f t="shared" si="77"/>
        <v/>
      </c>
      <c r="AP99" s="39"/>
      <c r="AQ99" s="72" t="str">
        <f t="shared" si="61"/>
        <v/>
      </c>
      <c r="AR99" s="72" t="str">
        <f t="shared" si="78"/>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62"/>
        <v/>
      </c>
      <c r="AW99" s="72" t="str">
        <f t="shared" si="79"/>
        <v/>
      </c>
      <c r="AX99" s="39"/>
      <c r="AY99" s="40" t="str">
        <f>IF(ISERROR(IF($K99&lt;=$F$15,VLOOKUP($I99,'表4）CO2価格'!$A$7:$E$67,VLOOKUP($F$48,'表4）CO2価格'!$H$10:$I$12,2,0),0)*$F$8/1000,"")),0,IF($K99&lt;=$F$15,VLOOKUP($I99,'表4）CO2価格'!$A$7:$E$67,VLOOKUP($F$48,'表4）CO2価格'!$H$10:$I$12,2,0),0)*$F$8/1000,""))</f>
        <v/>
      </c>
      <c r="AZ99" s="39"/>
      <c r="BA99" s="42" t="str">
        <f t="shared" si="63"/>
        <v/>
      </c>
      <c r="BB99" s="72" t="str">
        <f t="shared" si="80"/>
        <v/>
      </c>
      <c r="BC99" s="39"/>
      <c r="BD99" s="72" t="str">
        <f t="shared" si="64"/>
        <v/>
      </c>
      <c r="BE99" s="72" t="str">
        <f t="shared" si="81"/>
        <v/>
      </c>
      <c r="BF99" s="39"/>
      <c r="BG99" s="42" t="str">
        <f t="shared" si="65"/>
        <v/>
      </c>
      <c r="BH99" s="72" t="str">
        <f t="shared" si="82"/>
        <v/>
      </c>
      <c r="BI99" s="39"/>
      <c r="BJ99" s="40" t="str">
        <f t="shared" si="83"/>
        <v/>
      </c>
      <c r="BK99" s="157" t="str">
        <f t="shared" si="84"/>
        <v/>
      </c>
      <c r="BL99" s="157" t="str">
        <f t="shared" si="66"/>
        <v/>
      </c>
      <c r="BM99" s="72"/>
      <c r="BN99" s="72" t="str">
        <f t="shared" si="85"/>
        <v/>
      </c>
      <c r="BO99" s="72" t="str">
        <f t="shared" si="86"/>
        <v/>
      </c>
      <c r="BP99" s="39"/>
      <c r="BQ99" s="72" t="str">
        <f t="shared" si="67"/>
        <v/>
      </c>
      <c r="BR99" s="72" t="str">
        <f t="shared" si="87"/>
        <v/>
      </c>
    </row>
    <row r="100" spans="4:70" x14ac:dyDescent="0.15">
      <c r="F100" s="93"/>
      <c r="I100" s="459">
        <f t="shared" si="88"/>
        <v>2115</v>
      </c>
      <c r="J100" s="71"/>
      <c r="K100" s="71">
        <f t="shared" si="89"/>
        <v>86</v>
      </c>
      <c r="L100" s="71"/>
      <c r="M100" s="7">
        <f t="shared" si="52"/>
        <v>7.8704338912457969E-2</v>
      </c>
      <c r="N100" s="71"/>
      <c r="O100" s="10" t="str">
        <f t="shared" si="68"/>
        <v/>
      </c>
      <c r="P100" s="29" t="str">
        <f t="shared" si="53"/>
        <v/>
      </c>
      <c r="Q100" s="71"/>
      <c r="R100" s="10" t="str">
        <f t="shared" si="69"/>
        <v/>
      </c>
      <c r="S100" s="71"/>
      <c r="T100" s="10" t="str">
        <f t="shared" si="70"/>
        <v/>
      </c>
      <c r="U100" s="71"/>
      <c r="V100" s="10" t="str">
        <f t="shared" si="54"/>
        <v/>
      </c>
      <c r="W100" s="10" t="str">
        <f t="shared" si="71"/>
        <v/>
      </c>
      <c r="X100" s="71"/>
      <c r="Y100" s="10" t="str">
        <f t="shared" si="55"/>
        <v/>
      </c>
      <c r="Z100" s="10" t="str">
        <f t="shared" si="72"/>
        <v/>
      </c>
      <c r="AA100" s="71"/>
      <c r="AB100" s="10" t="str">
        <f t="shared" si="56"/>
        <v/>
      </c>
      <c r="AC100" s="10" t="str">
        <f t="shared" si="73"/>
        <v/>
      </c>
      <c r="AD100" s="71"/>
      <c r="AE100" s="10" t="str">
        <f t="shared" si="57"/>
        <v/>
      </c>
      <c r="AF100" s="10" t="str">
        <f t="shared" si="74"/>
        <v/>
      </c>
      <c r="AG100" s="71"/>
      <c r="AH100" s="10" t="str">
        <f t="shared" si="58"/>
        <v/>
      </c>
      <c r="AI100" s="10" t="str">
        <f t="shared" si="75"/>
        <v/>
      </c>
      <c r="AJ100" s="71"/>
      <c r="AK100" s="10" t="str">
        <f t="shared" si="59"/>
        <v/>
      </c>
      <c r="AL100" s="10" t="str">
        <f t="shared" si="76"/>
        <v/>
      </c>
      <c r="AM100" s="71"/>
      <c r="AN100" s="10" t="str">
        <f t="shared" si="60"/>
        <v/>
      </c>
      <c r="AO100" s="10" t="str">
        <f t="shared" si="77"/>
        <v/>
      </c>
      <c r="AP100" s="71"/>
      <c r="AQ100" s="10" t="str">
        <f t="shared" si="61"/>
        <v/>
      </c>
      <c r="AR100" s="10" t="str">
        <f t="shared" si="78"/>
        <v/>
      </c>
      <c r="AS100" s="71"/>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U100" s="71"/>
      <c r="AV100" s="10" t="str">
        <f t="shared" si="62"/>
        <v/>
      </c>
      <c r="AW100" s="10" t="str">
        <f t="shared" si="79"/>
        <v/>
      </c>
      <c r="AX100" s="71"/>
      <c r="AY100" s="7" t="str">
        <f>IF(ISERROR(IF($K100&lt;=$F$15,VLOOKUP($I100,'表4）CO2価格'!$A$7:$E$67,VLOOKUP($F$48,'表4）CO2価格'!$H$10:$I$12,2,0),0)*$F$8/1000,"")),0,IF($K100&lt;=$F$15,VLOOKUP($I100,'表4）CO2価格'!$A$7:$E$67,VLOOKUP($F$48,'表4）CO2価格'!$H$10:$I$12,2,0),0)*$F$8/1000,""))</f>
        <v/>
      </c>
      <c r="AZ100" s="71"/>
      <c r="BA100" s="11" t="str">
        <f t="shared" si="63"/>
        <v/>
      </c>
      <c r="BB100" s="10" t="str">
        <f t="shared" si="80"/>
        <v/>
      </c>
      <c r="BC100" s="71"/>
      <c r="BD100" s="10" t="str">
        <f t="shared" si="64"/>
        <v/>
      </c>
      <c r="BE100" s="10" t="str">
        <f t="shared" si="81"/>
        <v/>
      </c>
      <c r="BF100" s="71"/>
      <c r="BG100" s="11" t="str">
        <f t="shared" si="65"/>
        <v/>
      </c>
      <c r="BH100" s="10" t="str">
        <f t="shared" si="82"/>
        <v/>
      </c>
      <c r="BJ100" s="7" t="str">
        <f t="shared" si="83"/>
        <v/>
      </c>
      <c r="BK100" s="158" t="str">
        <f t="shared" si="84"/>
        <v/>
      </c>
      <c r="BL100" s="158" t="str">
        <f t="shared" si="66"/>
        <v/>
      </c>
      <c r="BM100" s="10"/>
      <c r="BN100" s="10" t="str">
        <f t="shared" si="85"/>
        <v/>
      </c>
      <c r="BO100" s="10" t="str">
        <f t="shared" si="86"/>
        <v/>
      </c>
      <c r="BQ100" s="10" t="str">
        <f t="shared" si="67"/>
        <v/>
      </c>
      <c r="BR100" s="10" t="str">
        <f t="shared" si="87"/>
        <v/>
      </c>
    </row>
    <row r="101" spans="4:70" x14ac:dyDescent="0.15">
      <c r="D101" s="101" t="s">
        <v>201</v>
      </c>
      <c r="E101" s="101"/>
      <c r="F101" s="92"/>
      <c r="G101" s="101"/>
      <c r="I101" s="458">
        <f t="shared" si="88"/>
        <v>2116</v>
      </c>
      <c r="J101" s="39"/>
      <c r="K101" s="39">
        <f t="shared" si="89"/>
        <v>87</v>
      </c>
      <c r="L101" s="39"/>
      <c r="M101" s="40">
        <f t="shared" si="52"/>
        <v>7.6411979526658208E-2</v>
      </c>
      <c r="N101" s="39"/>
      <c r="O101" s="72" t="str">
        <f t="shared" si="68"/>
        <v/>
      </c>
      <c r="P101" s="41" t="str">
        <f t="shared" si="53"/>
        <v/>
      </c>
      <c r="Q101" s="39"/>
      <c r="R101" s="72" t="str">
        <f t="shared" si="69"/>
        <v/>
      </c>
      <c r="S101" s="39"/>
      <c r="T101" s="72" t="str">
        <f t="shared" si="70"/>
        <v/>
      </c>
      <c r="U101" s="39"/>
      <c r="V101" s="72" t="str">
        <f t="shared" si="54"/>
        <v/>
      </c>
      <c r="W101" s="72" t="str">
        <f t="shared" si="71"/>
        <v/>
      </c>
      <c r="X101" s="39"/>
      <c r="Y101" s="72" t="str">
        <f t="shared" si="55"/>
        <v/>
      </c>
      <c r="Z101" s="72" t="str">
        <f t="shared" si="72"/>
        <v/>
      </c>
      <c r="AA101" s="39"/>
      <c r="AB101" s="72" t="str">
        <f t="shared" si="56"/>
        <v/>
      </c>
      <c r="AC101" s="72" t="str">
        <f t="shared" si="73"/>
        <v/>
      </c>
      <c r="AD101" s="39"/>
      <c r="AE101" s="72" t="str">
        <f t="shared" si="57"/>
        <v/>
      </c>
      <c r="AF101" s="72" t="str">
        <f t="shared" si="74"/>
        <v/>
      </c>
      <c r="AG101" s="39"/>
      <c r="AH101" s="72" t="str">
        <f t="shared" si="58"/>
        <v/>
      </c>
      <c r="AI101" s="72" t="str">
        <f t="shared" si="75"/>
        <v/>
      </c>
      <c r="AJ101" s="39"/>
      <c r="AK101" s="72" t="str">
        <f t="shared" si="59"/>
        <v/>
      </c>
      <c r="AL101" s="72" t="str">
        <f t="shared" si="76"/>
        <v/>
      </c>
      <c r="AM101" s="39"/>
      <c r="AN101" s="72" t="str">
        <f t="shared" si="60"/>
        <v/>
      </c>
      <c r="AO101" s="72" t="str">
        <f t="shared" si="77"/>
        <v/>
      </c>
      <c r="AP101" s="39"/>
      <c r="AQ101" s="72" t="str">
        <f t="shared" si="61"/>
        <v/>
      </c>
      <c r="AR101" s="72" t="str">
        <f t="shared" si="78"/>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62"/>
        <v/>
      </c>
      <c r="AW101" s="72" t="str">
        <f t="shared" si="79"/>
        <v/>
      </c>
      <c r="AX101" s="39"/>
      <c r="AY101" s="40" t="str">
        <f>IF(ISERROR(IF($K101&lt;=$F$15,VLOOKUP($I101,'表4）CO2価格'!$A$7:$E$67,VLOOKUP($F$48,'表4）CO2価格'!$H$10:$I$12,2,0),0)*$F$8/1000,"")),0,IF($K101&lt;=$F$15,VLOOKUP($I101,'表4）CO2価格'!$A$7:$E$67,VLOOKUP($F$48,'表4）CO2価格'!$H$10:$I$12,2,0),0)*$F$8/1000,""))</f>
        <v/>
      </c>
      <c r="AZ101" s="39"/>
      <c r="BA101" s="42" t="str">
        <f t="shared" si="63"/>
        <v/>
      </c>
      <c r="BB101" s="72" t="str">
        <f t="shared" si="80"/>
        <v/>
      </c>
      <c r="BC101" s="39"/>
      <c r="BD101" s="72" t="str">
        <f t="shared" si="64"/>
        <v/>
      </c>
      <c r="BE101" s="72" t="str">
        <f t="shared" si="81"/>
        <v/>
      </c>
      <c r="BF101" s="39"/>
      <c r="BG101" s="42" t="str">
        <f t="shared" si="65"/>
        <v/>
      </c>
      <c r="BH101" s="72" t="str">
        <f t="shared" si="82"/>
        <v/>
      </c>
      <c r="BI101" s="39"/>
      <c r="BJ101" s="40" t="str">
        <f t="shared" si="83"/>
        <v/>
      </c>
      <c r="BK101" s="157" t="str">
        <f t="shared" si="84"/>
        <v/>
      </c>
      <c r="BL101" s="157" t="str">
        <f t="shared" si="66"/>
        <v/>
      </c>
      <c r="BM101" s="72"/>
      <c r="BN101" s="72" t="str">
        <f t="shared" si="85"/>
        <v/>
      </c>
      <c r="BO101" s="72" t="str">
        <f t="shared" si="86"/>
        <v/>
      </c>
      <c r="BP101" s="39"/>
      <c r="BQ101" s="72" t="str">
        <f t="shared" si="67"/>
        <v/>
      </c>
      <c r="BR101" s="72" t="str">
        <f t="shared" si="87"/>
        <v/>
      </c>
    </row>
    <row r="102" spans="4:70" x14ac:dyDescent="0.15">
      <c r="F102" s="93"/>
      <c r="I102" s="459">
        <f t="shared" si="88"/>
        <v>2117</v>
      </c>
      <c r="J102" s="71"/>
      <c r="K102" s="71">
        <f t="shared" si="89"/>
        <v>88</v>
      </c>
      <c r="L102" s="71"/>
      <c r="M102" s="7">
        <f t="shared" si="52"/>
        <v>7.4186387889959446E-2</v>
      </c>
      <c r="N102" s="71"/>
      <c r="O102" s="10" t="str">
        <f t="shared" si="68"/>
        <v/>
      </c>
      <c r="P102" s="29" t="str">
        <f t="shared" si="53"/>
        <v/>
      </c>
      <c r="Q102" s="71"/>
      <c r="R102" s="10" t="str">
        <f t="shared" si="69"/>
        <v/>
      </c>
      <c r="S102" s="71"/>
      <c r="T102" s="10" t="str">
        <f t="shared" si="70"/>
        <v/>
      </c>
      <c r="U102" s="71"/>
      <c r="V102" s="10" t="str">
        <f t="shared" si="54"/>
        <v/>
      </c>
      <c r="W102" s="10" t="str">
        <f t="shared" si="71"/>
        <v/>
      </c>
      <c r="X102" s="71"/>
      <c r="Y102" s="10" t="str">
        <f t="shared" si="55"/>
        <v/>
      </c>
      <c r="Z102" s="10" t="str">
        <f t="shared" si="72"/>
        <v/>
      </c>
      <c r="AA102" s="71"/>
      <c r="AB102" s="10" t="str">
        <f t="shared" si="56"/>
        <v/>
      </c>
      <c r="AC102" s="10" t="str">
        <f t="shared" si="73"/>
        <v/>
      </c>
      <c r="AD102" s="71"/>
      <c r="AE102" s="10" t="str">
        <f t="shared" si="57"/>
        <v/>
      </c>
      <c r="AF102" s="10" t="str">
        <f t="shared" si="74"/>
        <v/>
      </c>
      <c r="AG102" s="71"/>
      <c r="AH102" s="10" t="str">
        <f t="shared" si="58"/>
        <v/>
      </c>
      <c r="AI102" s="10" t="str">
        <f t="shared" si="75"/>
        <v/>
      </c>
      <c r="AJ102" s="71"/>
      <c r="AK102" s="10" t="str">
        <f t="shared" si="59"/>
        <v/>
      </c>
      <c r="AL102" s="10" t="str">
        <f t="shared" si="76"/>
        <v/>
      </c>
      <c r="AM102" s="71"/>
      <c r="AN102" s="10" t="str">
        <f t="shared" si="60"/>
        <v/>
      </c>
      <c r="AO102" s="10" t="str">
        <f t="shared" si="77"/>
        <v/>
      </c>
      <c r="AP102" s="71"/>
      <c r="AQ102" s="10" t="str">
        <f t="shared" si="61"/>
        <v/>
      </c>
      <c r="AR102" s="10" t="str">
        <f t="shared" si="78"/>
        <v/>
      </c>
      <c r="AS102" s="71"/>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U102" s="71"/>
      <c r="AV102" s="10" t="str">
        <f t="shared" si="62"/>
        <v/>
      </c>
      <c r="AW102" s="10" t="str">
        <f t="shared" si="79"/>
        <v/>
      </c>
      <c r="AX102" s="71"/>
      <c r="AY102" s="7" t="str">
        <f>IF(ISERROR(IF($K102&lt;=$F$15,VLOOKUP($I102,'表4）CO2価格'!$A$7:$E$67,VLOOKUP($F$48,'表4）CO2価格'!$H$10:$I$12,2,0),0)*$F$8/1000,"")),0,IF($K102&lt;=$F$15,VLOOKUP($I102,'表4）CO2価格'!$A$7:$E$67,VLOOKUP($F$48,'表4）CO2価格'!$H$10:$I$12,2,0),0)*$F$8/1000,""))</f>
        <v/>
      </c>
      <c r="AZ102" s="71"/>
      <c r="BA102" s="11" t="str">
        <f t="shared" si="63"/>
        <v/>
      </c>
      <c r="BB102" s="10" t="str">
        <f t="shared" si="80"/>
        <v/>
      </c>
      <c r="BC102" s="71"/>
      <c r="BD102" s="10" t="str">
        <f t="shared" si="64"/>
        <v/>
      </c>
      <c r="BE102" s="10" t="str">
        <f t="shared" si="81"/>
        <v/>
      </c>
      <c r="BF102" s="71"/>
      <c r="BG102" s="11" t="str">
        <f t="shared" si="65"/>
        <v/>
      </c>
      <c r="BH102" s="10" t="str">
        <f t="shared" si="82"/>
        <v/>
      </c>
      <c r="BJ102" s="7" t="str">
        <f t="shared" si="83"/>
        <v/>
      </c>
      <c r="BK102" s="158" t="str">
        <f t="shared" si="84"/>
        <v/>
      </c>
      <c r="BL102" s="158" t="str">
        <f t="shared" si="66"/>
        <v/>
      </c>
      <c r="BM102" s="10"/>
      <c r="BN102" s="10" t="str">
        <f t="shared" si="85"/>
        <v/>
      </c>
      <c r="BO102" s="10" t="str">
        <f t="shared" si="86"/>
        <v/>
      </c>
      <c r="BQ102" s="10" t="str">
        <f t="shared" si="67"/>
        <v/>
      </c>
      <c r="BR102" s="10" t="str">
        <f t="shared" si="87"/>
        <v/>
      </c>
    </row>
    <row r="103" spans="4:70" x14ac:dyDescent="0.15">
      <c r="E103" s="81" t="s">
        <v>202</v>
      </c>
      <c r="F103" s="91">
        <f>BB116/$BR$116</f>
        <v>0</v>
      </c>
      <c r="G103" s="81" t="s">
        <v>132</v>
      </c>
      <c r="I103" s="458">
        <f t="shared" si="88"/>
        <v>2118</v>
      </c>
      <c r="J103" s="39"/>
      <c r="K103" s="39">
        <f t="shared" si="89"/>
        <v>89</v>
      </c>
      <c r="L103" s="39"/>
      <c r="M103" s="40">
        <f t="shared" si="52"/>
        <v>7.2025619310640235E-2</v>
      </c>
      <c r="N103" s="39"/>
      <c r="O103" s="72" t="str">
        <f t="shared" si="68"/>
        <v/>
      </c>
      <c r="P103" s="41" t="str">
        <f t="shared" si="53"/>
        <v/>
      </c>
      <c r="Q103" s="39"/>
      <c r="R103" s="72" t="str">
        <f t="shared" si="69"/>
        <v/>
      </c>
      <c r="S103" s="39"/>
      <c r="T103" s="72" t="str">
        <f t="shared" si="70"/>
        <v/>
      </c>
      <c r="U103" s="39"/>
      <c r="V103" s="72" t="str">
        <f t="shared" si="54"/>
        <v/>
      </c>
      <c r="W103" s="72" t="str">
        <f t="shared" si="71"/>
        <v/>
      </c>
      <c r="X103" s="39"/>
      <c r="Y103" s="72" t="str">
        <f t="shared" si="55"/>
        <v/>
      </c>
      <c r="Z103" s="72" t="str">
        <f t="shared" si="72"/>
        <v/>
      </c>
      <c r="AA103" s="39"/>
      <c r="AB103" s="72" t="str">
        <f t="shared" si="56"/>
        <v/>
      </c>
      <c r="AC103" s="72" t="str">
        <f t="shared" si="73"/>
        <v/>
      </c>
      <c r="AD103" s="39"/>
      <c r="AE103" s="72" t="str">
        <f t="shared" si="57"/>
        <v/>
      </c>
      <c r="AF103" s="72" t="str">
        <f t="shared" si="74"/>
        <v/>
      </c>
      <c r="AG103" s="39"/>
      <c r="AH103" s="72" t="str">
        <f t="shared" si="58"/>
        <v/>
      </c>
      <c r="AI103" s="72" t="str">
        <f t="shared" si="75"/>
        <v/>
      </c>
      <c r="AJ103" s="39"/>
      <c r="AK103" s="72" t="str">
        <f t="shared" si="59"/>
        <v/>
      </c>
      <c r="AL103" s="72" t="str">
        <f t="shared" si="76"/>
        <v/>
      </c>
      <c r="AM103" s="39"/>
      <c r="AN103" s="72" t="str">
        <f t="shared" si="60"/>
        <v/>
      </c>
      <c r="AO103" s="72" t="str">
        <f t="shared" si="77"/>
        <v/>
      </c>
      <c r="AP103" s="39"/>
      <c r="AQ103" s="72" t="str">
        <f t="shared" si="61"/>
        <v/>
      </c>
      <c r="AR103" s="72" t="str">
        <f t="shared" si="78"/>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62"/>
        <v/>
      </c>
      <c r="AW103" s="72" t="str">
        <f t="shared" si="79"/>
        <v/>
      </c>
      <c r="AX103" s="39"/>
      <c r="AY103" s="40" t="str">
        <f>IF(ISERROR(IF($K103&lt;=$F$15,VLOOKUP($I103,'表4）CO2価格'!$A$7:$E$67,VLOOKUP($F$48,'表4）CO2価格'!$H$10:$I$12,2,0),0)*$F$8/1000,"")),0,IF($K103&lt;=$F$15,VLOOKUP($I103,'表4）CO2価格'!$A$7:$E$67,VLOOKUP($F$48,'表4）CO2価格'!$H$10:$I$12,2,0),0)*$F$8/1000,""))</f>
        <v/>
      </c>
      <c r="AZ103" s="39"/>
      <c r="BA103" s="42" t="str">
        <f t="shared" si="63"/>
        <v/>
      </c>
      <c r="BB103" s="72" t="str">
        <f t="shared" si="80"/>
        <v/>
      </c>
      <c r="BC103" s="39"/>
      <c r="BD103" s="72" t="str">
        <f t="shared" si="64"/>
        <v/>
      </c>
      <c r="BE103" s="72" t="str">
        <f t="shared" si="81"/>
        <v/>
      </c>
      <c r="BF103" s="39"/>
      <c r="BG103" s="42" t="str">
        <f t="shared" si="65"/>
        <v/>
      </c>
      <c r="BH103" s="72" t="str">
        <f t="shared" si="82"/>
        <v/>
      </c>
      <c r="BI103" s="39"/>
      <c r="BJ103" s="40" t="str">
        <f t="shared" si="83"/>
        <v/>
      </c>
      <c r="BK103" s="157" t="str">
        <f t="shared" si="84"/>
        <v/>
      </c>
      <c r="BL103" s="157" t="str">
        <f t="shared" si="66"/>
        <v/>
      </c>
      <c r="BM103" s="72"/>
      <c r="BN103" s="72" t="str">
        <f t="shared" si="85"/>
        <v/>
      </c>
      <c r="BO103" s="72" t="str">
        <f t="shared" si="86"/>
        <v/>
      </c>
      <c r="BP103" s="39"/>
      <c r="BQ103" s="72" t="str">
        <f t="shared" si="67"/>
        <v/>
      </c>
      <c r="BR103" s="72" t="str">
        <f t="shared" si="87"/>
        <v/>
      </c>
    </row>
    <row r="104" spans="4:70" x14ac:dyDescent="0.15">
      <c r="E104" s="81" t="s">
        <v>203</v>
      </c>
      <c r="F104" s="91">
        <f>IF(ISERROR(F60*(1/F61)/F62),0,F60*(1/F61)/F62)</f>
        <v>0</v>
      </c>
      <c r="G104" s="81" t="s">
        <v>132</v>
      </c>
      <c r="I104" s="459">
        <f t="shared" si="88"/>
        <v>2119</v>
      </c>
      <c r="J104" s="71"/>
      <c r="K104" s="71">
        <f t="shared" si="89"/>
        <v>90</v>
      </c>
      <c r="L104" s="71"/>
      <c r="M104" s="7">
        <f t="shared" si="52"/>
        <v>6.9927785738485654E-2</v>
      </c>
      <c r="N104" s="71"/>
      <c r="O104" s="10" t="str">
        <f t="shared" si="68"/>
        <v/>
      </c>
      <c r="P104" s="29" t="str">
        <f t="shared" si="53"/>
        <v/>
      </c>
      <c r="Q104" s="71"/>
      <c r="R104" s="10" t="str">
        <f t="shared" si="69"/>
        <v/>
      </c>
      <c r="S104" s="71"/>
      <c r="T104" s="10" t="str">
        <f t="shared" si="70"/>
        <v/>
      </c>
      <c r="U104" s="71"/>
      <c r="V104" s="10" t="str">
        <f t="shared" si="54"/>
        <v/>
      </c>
      <c r="W104" s="10" t="str">
        <f t="shared" si="71"/>
        <v/>
      </c>
      <c r="X104" s="71"/>
      <c r="Y104" s="10" t="str">
        <f t="shared" si="55"/>
        <v/>
      </c>
      <c r="Z104" s="10" t="str">
        <f t="shared" si="72"/>
        <v/>
      </c>
      <c r="AA104" s="71"/>
      <c r="AB104" s="10" t="str">
        <f t="shared" si="56"/>
        <v/>
      </c>
      <c r="AC104" s="10" t="str">
        <f t="shared" si="73"/>
        <v/>
      </c>
      <c r="AD104" s="71"/>
      <c r="AE104" s="10" t="str">
        <f t="shared" si="57"/>
        <v/>
      </c>
      <c r="AF104" s="10" t="str">
        <f t="shared" si="74"/>
        <v/>
      </c>
      <c r="AG104" s="71"/>
      <c r="AH104" s="10" t="str">
        <f t="shared" si="58"/>
        <v/>
      </c>
      <c r="AI104" s="10" t="str">
        <f t="shared" si="75"/>
        <v/>
      </c>
      <c r="AJ104" s="71"/>
      <c r="AK104" s="10" t="str">
        <f t="shared" si="59"/>
        <v/>
      </c>
      <c r="AL104" s="10" t="str">
        <f t="shared" si="76"/>
        <v/>
      </c>
      <c r="AM104" s="71"/>
      <c r="AN104" s="10" t="str">
        <f t="shared" si="60"/>
        <v/>
      </c>
      <c r="AO104" s="10" t="str">
        <f t="shared" si="77"/>
        <v/>
      </c>
      <c r="AP104" s="71"/>
      <c r="AQ104" s="10" t="str">
        <f t="shared" si="61"/>
        <v/>
      </c>
      <c r="AR104" s="10" t="str">
        <f t="shared" si="78"/>
        <v/>
      </c>
      <c r="AS104" s="71"/>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U104" s="71"/>
      <c r="AV104" s="10" t="str">
        <f t="shared" si="62"/>
        <v/>
      </c>
      <c r="AW104" s="10" t="str">
        <f t="shared" si="79"/>
        <v/>
      </c>
      <c r="AX104" s="71"/>
      <c r="AY104" s="7" t="str">
        <f>IF(ISERROR(IF($K104&lt;=$F$15,VLOOKUP($I104,'表4）CO2価格'!$A$7:$E$67,VLOOKUP($F$48,'表4）CO2価格'!$H$10:$I$12,2,0),0)*$F$8/1000,"")),0,IF($K104&lt;=$F$15,VLOOKUP($I104,'表4）CO2価格'!$A$7:$E$67,VLOOKUP($F$48,'表4）CO2価格'!$H$10:$I$12,2,0),0)*$F$8/1000,""))</f>
        <v/>
      </c>
      <c r="AZ104" s="71"/>
      <c r="BA104" s="11" t="str">
        <f t="shared" si="63"/>
        <v/>
      </c>
      <c r="BB104" s="10" t="str">
        <f t="shared" si="80"/>
        <v/>
      </c>
      <c r="BC104" s="71"/>
      <c r="BD104" s="10" t="str">
        <f t="shared" si="64"/>
        <v/>
      </c>
      <c r="BE104" s="10" t="str">
        <f t="shared" si="81"/>
        <v/>
      </c>
      <c r="BF104" s="71"/>
      <c r="BG104" s="11" t="str">
        <f t="shared" si="65"/>
        <v/>
      </c>
      <c r="BH104" s="10" t="str">
        <f t="shared" si="82"/>
        <v/>
      </c>
      <c r="BJ104" s="7" t="str">
        <f t="shared" si="83"/>
        <v/>
      </c>
      <c r="BK104" s="158" t="str">
        <f t="shared" si="84"/>
        <v/>
      </c>
      <c r="BL104" s="158" t="str">
        <f t="shared" si="66"/>
        <v/>
      </c>
      <c r="BM104" s="10"/>
      <c r="BN104" s="10" t="str">
        <f t="shared" si="85"/>
        <v/>
      </c>
      <c r="BO104" s="10" t="str">
        <f t="shared" si="86"/>
        <v/>
      </c>
      <c r="BQ104" s="10" t="str">
        <f t="shared" si="67"/>
        <v/>
      </c>
      <c r="BR104" s="10" t="str">
        <f t="shared" si="87"/>
        <v/>
      </c>
    </row>
    <row r="105" spans="4:70" x14ac:dyDescent="0.15">
      <c r="E105" s="9" t="s">
        <v>367</v>
      </c>
      <c r="F105" s="91">
        <f>F64</f>
        <v>0.24</v>
      </c>
      <c r="G105" s="81" t="s">
        <v>132</v>
      </c>
      <c r="I105" s="458">
        <f t="shared" si="88"/>
        <v>2120</v>
      </c>
      <c r="J105" s="39"/>
      <c r="K105" s="39">
        <f t="shared" si="89"/>
        <v>91</v>
      </c>
      <c r="L105" s="39"/>
      <c r="M105" s="40">
        <f t="shared" si="52"/>
        <v>6.7891054115034627E-2</v>
      </c>
      <c r="N105" s="39"/>
      <c r="O105" s="72" t="str">
        <f t="shared" si="68"/>
        <v/>
      </c>
      <c r="P105" s="41" t="str">
        <f t="shared" si="53"/>
        <v/>
      </c>
      <c r="Q105" s="39"/>
      <c r="R105" s="72" t="str">
        <f t="shared" si="69"/>
        <v/>
      </c>
      <c r="S105" s="39"/>
      <c r="T105" s="72" t="str">
        <f t="shared" si="70"/>
        <v/>
      </c>
      <c r="U105" s="39"/>
      <c r="V105" s="72" t="str">
        <f t="shared" si="54"/>
        <v/>
      </c>
      <c r="W105" s="72" t="str">
        <f t="shared" si="71"/>
        <v/>
      </c>
      <c r="X105" s="39"/>
      <c r="Y105" s="72" t="str">
        <f t="shared" si="55"/>
        <v/>
      </c>
      <c r="Z105" s="72" t="str">
        <f t="shared" si="72"/>
        <v/>
      </c>
      <c r="AA105" s="39"/>
      <c r="AB105" s="72" t="str">
        <f t="shared" si="56"/>
        <v/>
      </c>
      <c r="AC105" s="72" t="str">
        <f t="shared" si="73"/>
        <v/>
      </c>
      <c r="AD105" s="39"/>
      <c r="AE105" s="72" t="str">
        <f t="shared" si="57"/>
        <v/>
      </c>
      <c r="AF105" s="72" t="str">
        <f t="shared" si="74"/>
        <v/>
      </c>
      <c r="AG105" s="39"/>
      <c r="AH105" s="72" t="str">
        <f t="shared" si="58"/>
        <v/>
      </c>
      <c r="AI105" s="72" t="str">
        <f t="shared" si="75"/>
        <v/>
      </c>
      <c r="AJ105" s="39"/>
      <c r="AK105" s="72" t="str">
        <f t="shared" si="59"/>
        <v/>
      </c>
      <c r="AL105" s="72" t="str">
        <f t="shared" si="76"/>
        <v/>
      </c>
      <c r="AM105" s="39"/>
      <c r="AN105" s="72" t="str">
        <f t="shared" si="60"/>
        <v/>
      </c>
      <c r="AO105" s="72" t="str">
        <f t="shared" si="77"/>
        <v/>
      </c>
      <c r="AP105" s="39"/>
      <c r="AQ105" s="72" t="str">
        <f t="shared" si="61"/>
        <v/>
      </c>
      <c r="AR105" s="72" t="str">
        <f t="shared" si="78"/>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62"/>
        <v/>
      </c>
      <c r="AW105" s="72" t="str">
        <f t="shared" si="79"/>
        <v/>
      </c>
      <c r="AX105" s="39"/>
      <c r="AY105" s="40" t="str">
        <f>IF(ISERROR(IF($K105&lt;=$F$15,VLOOKUP($I105,'表4）CO2価格'!$A$7:$E$67,VLOOKUP($F$48,'表4）CO2価格'!$H$10:$I$12,2,0),0)*$F$8/1000,"")),0,IF($K105&lt;=$F$15,VLOOKUP($I105,'表4）CO2価格'!$A$7:$E$67,VLOOKUP($F$48,'表4）CO2価格'!$H$10:$I$12,2,0),0)*$F$8/1000,""))</f>
        <v/>
      </c>
      <c r="AZ105" s="39"/>
      <c r="BA105" s="42" t="str">
        <f t="shared" si="63"/>
        <v/>
      </c>
      <c r="BB105" s="72" t="str">
        <f t="shared" si="80"/>
        <v/>
      </c>
      <c r="BC105" s="39"/>
      <c r="BD105" s="72" t="str">
        <f t="shared" si="64"/>
        <v/>
      </c>
      <c r="BE105" s="72" t="str">
        <f t="shared" si="81"/>
        <v/>
      </c>
      <c r="BF105" s="39"/>
      <c r="BG105" s="42" t="str">
        <f t="shared" si="65"/>
        <v/>
      </c>
      <c r="BH105" s="72" t="str">
        <f t="shared" si="82"/>
        <v/>
      </c>
      <c r="BI105" s="39"/>
      <c r="BJ105" s="40" t="str">
        <f t="shared" si="83"/>
        <v/>
      </c>
      <c r="BK105" s="157" t="str">
        <f t="shared" si="84"/>
        <v/>
      </c>
      <c r="BL105" s="157" t="str">
        <f t="shared" si="66"/>
        <v/>
      </c>
      <c r="BM105" s="72"/>
      <c r="BN105" s="72" t="str">
        <f t="shared" si="85"/>
        <v/>
      </c>
      <c r="BO105" s="72" t="str">
        <f t="shared" si="86"/>
        <v/>
      </c>
      <c r="BP105" s="39"/>
      <c r="BQ105" s="72" t="str">
        <f t="shared" si="67"/>
        <v/>
      </c>
      <c r="BR105" s="72" t="str">
        <f t="shared" si="87"/>
        <v/>
      </c>
    </row>
    <row r="106" spans="4:70" x14ac:dyDescent="0.15">
      <c r="F106" s="93"/>
      <c r="I106" s="459">
        <f t="shared" si="88"/>
        <v>2121</v>
      </c>
      <c r="J106" s="71"/>
      <c r="K106" s="71">
        <f t="shared" si="89"/>
        <v>92</v>
      </c>
      <c r="L106" s="71"/>
      <c r="M106" s="7">
        <f t="shared" si="52"/>
        <v>6.5913644771878277E-2</v>
      </c>
      <c r="N106" s="71"/>
      <c r="O106" s="10" t="str">
        <f t="shared" si="68"/>
        <v/>
      </c>
      <c r="P106" s="29" t="str">
        <f t="shared" si="53"/>
        <v/>
      </c>
      <c r="Q106" s="71"/>
      <c r="R106" s="10" t="str">
        <f t="shared" si="69"/>
        <v/>
      </c>
      <c r="S106" s="71"/>
      <c r="T106" s="10" t="str">
        <f t="shared" si="70"/>
        <v/>
      </c>
      <c r="U106" s="71"/>
      <c r="V106" s="10" t="str">
        <f t="shared" si="54"/>
        <v/>
      </c>
      <c r="W106" s="10" t="str">
        <f t="shared" si="71"/>
        <v/>
      </c>
      <c r="X106" s="71"/>
      <c r="Y106" s="10" t="str">
        <f t="shared" si="55"/>
        <v/>
      </c>
      <c r="Z106" s="10" t="str">
        <f t="shared" si="72"/>
        <v/>
      </c>
      <c r="AA106" s="71"/>
      <c r="AB106" s="10" t="str">
        <f t="shared" si="56"/>
        <v/>
      </c>
      <c r="AC106" s="10" t="str">
        <f t="shared" si="73"/>
        <v/>
      </c>
      <c r="AD106" s="71"/>
      <c r="AE106" s="10" t="str">
        <f t="shared" si="57"/>
        <v/>
      </c>
      <c r="AF106" s="10" t="str">
        <f t="shared" si="74"/>
        <v/>
      </c>
      <c r="AG106" s="71"/>
      <c r="AH106" s="10" t="str">
        <f t="shared" si="58"/>
        <v/>
      </c>
      <c r="AI106" s="10" t="str">
        <f t="shared" si="75"/>
        <v/>
      </c>
      <c r="AJ106" s="71"/>
      <c r="AK106" s="10" t="str">
        <f t="shared" si="59"/>
        <v/>
      </c>
      <c r="AL106" s="10" t="str">
        <f t="shared" si="76"/>
        <v/>
      </c>
      <c r="AM106" s="71"/>
      <c r="AN106" s="10" t="str">
        <f t="shared" si="60"/>
        <v/>
      </c>
      <c r="AO106" s="10" t="str">
        <f t="shared" si="77"/>
        <v/>
      </c>
      <c r="AP106" s="71"/>
      <c r="AQ106" s="10" t="str">
        <f t="shared" si="61"/>
        <v/>
      </c>
      <c r="AR106" s="10" t="str">
        <f t="shared" si="78"/>
        <v/>
      </c>
      <c r="AS106" s="71"/>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U106" s="71"/>
      <c r="AV106" s="10" t="str">
        <f t="shared" si="62"/>
        <v/>
      </c>
      <c r="AW106" s="10" t="str">
        <f t="shared" si="79"/>
        <v/>
      </c>
      <c r="AX106" s="71"/>
      <c r="AY106" s="7" t="str">
        <f>IF(ISERROR(IF($K106&lt;=$F$15,VLOOKUP($I106,'表4）CO2価格'!$A$7:$E$67,VLOOKUP($F$48,'表4）CO2価格'!$H$10:$I$12,2,0),0)*$F$8/1000,"")),0,IF($K106&lt;=$F$15,VLOOKUP($I106,'表4）CO2価格'!$A$7:$E$67,VLOOKUP($F$48,'表4）CO2価格'!$H$10:$I$12,2,0),0)*$F$8/1000,""))</f>
        <v/>
      </c>
      <c r="AZ106" s="71"/>
      <c r="BA106" s="11" t="str">
        <f t="shared" si="63"/>
        <v/>
      </c>
      <c r="BB106" s="10" t="str">
        <f t="shared" si="80"/>
        <v/>
      </c>
      <c r="BC106" s="71"/>
      <c r="BD106" s="10" t="str">
        <f t="shared" si="64"/>
        <v/>
      </c>
      <c r="BE106" s="10" t="str">
        <f t="shared" si="81"/>
        <v/>
      </c>
      <c r="BF106" s="71"/>
      <c r="BG106" s="11" t="str">
        <f t="shared" si="65"/>
        <v/>
      </c>
      <c r="BH106" s="10" t="str">
        <f t="shared" si="82"/>
        <v/>
      </c>
      <c r="BJ106" s="7" t="str">
        <f t="shared" si="83"/>
        <v/>
      </c>
      <c r="BK106" s="158" t="str">
        <f t="shared" si="84"/>
        <v/>
      </c>
      <c r="BL106" s="158" t="str">
        <f t="shared" si="66"/>
        <v/>
      </c>
      <c r="BM106" s="10"/>
      <c r="BN106" s="10" t="str">
        <f t="shared" si="85"/>
        <v/>
      </c>
      <c r="BO106" s="10" t="str">
        <f t="shared" si="86"/>
        <v/>
      </c>
      <c r="BQ106" s="10" t="str">
        <f t="shared" si="67"/>
        <v/>
      </c>
      <c r="BR106" s="10" t="str">
        <f t="shared" si="87"/>
        <v/>
      </c>
    </row>
    <row r="107" spans="4:70" ht="15" x14ac:dyDescent="0.15">
      <c r="D107" s="116" t="s">
        <v>204</v>
      </c>
      <c r="F107" s="94">
        <f>SUBTOTAL(9,F111:F112)</f>
        <v>0</v>
      </c>
      <c r="G107" s="81" t="s">
        <v>132</v>
      </c>
      <c r="I107" s="458">
        <f t="shared" si="88"/>
        <v>2122</v>
      </c>
      <c r="J107" s="39"/>
      <c r="K107" s="39">
        <f t="shared" si="89"/>
        <v>93</v>
      </c>
      <c r="L107" s="39"/>
      <c r="M107" s="40">
        <f t="shared" si="52"/>
        <v>6.3993829875609989E-2</v>
      </c>
      <c r="N107" s="39"/>
      <c r="O107" s="72" t="str">
        <f t="shared" si="68"/>
        <v/>
      </c>
      <c r="P107" s="41" t="str">
        <f t="shared" si="53"/>
        <v/>
      </c>
      <c r="Q107" s="39"/>
      <c r="R107" s="72" t="str">
        <f t="shared" si="69"/>
        <v/>
      </c>
      <c r="S107" s="39"/>
      <c r="T107" s="72" t="str">
        <f t="shared" si="70"/>
        <v/>
      </c>
      <c r="U107" s="39"/>
      <c r="V107" s="72" t="str">
        <f t="shared" si="54"/>
        <v/>
      </c>
      <c r="W107" s="72" t="str">
        <f t="shared" si="71"/>
        <v/>
      </c>
      <c r="X107" s="39"/>
      <c r="Y107" s="72" t="str">
        <f t="shared" si="55"/>
        <v/>
      </c>
      <c r="Z107" s="72" t="str">
        <f t="shared" si="72"/>
        <v/>
      </c>
      <c r="AA107" s="39"/>
      <c r="AB107" s="72" t="str">
        <f t="shared" si="56"/>
        <v/>
      </c>
      <c r="AC107" s="72" t="str">
        <f t="shared" si="73"/>
        <v/>
      </c>
      <c r="AD107" s="39"/>
      <c r="AE107" s="72" t="str">
        <f t="shared" si="57"/>
        <v/>
      </c>
      <c r="AF107" s="72" t="str">
        <f t="shared" si="74"/>
        <v/>
      </c>
      <c r="AG107" s="39"/>
      <c r="AH107" s="72" t="str">
        <f t="shared" si="58"/>
        <v/>
      </c>
      <c r="AI107" s="72" t="str">
        <f t="shared" si="75"/>
        <v/>
      </c>
      <c r="AJ107" s="39"/>
      <c r="AK107" s="72" t="str">
        <f t="shared" si="59"/>
        <v/>
      </c>
      <c r="AL107" s="72" t="str">
        <f t="shared" si="76"/>
        <v/>
      </c>
      <c r="AM107" s="39"/>
      <c r="AN107" s="72" t="str">
        <f t="shared" si="60"/>
        <v/>
      </c>
      <c r="AO107" s="72" t="str">
        <f t="shared" si="77"/>
        <v/>
      </c>
      <c r="AP107" s="39"/>
      <c r="AQ107" s="72" t="str">
        <f t="shared" si="61"/>
        <v/>
      </c>
      <c r="AR107" s="72" t="str">
        <f t="shared" si="78"/>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62"/>
        <v/>
      </c>
      <c r="AW107" s="72" t="str">
        <f t="shared" si="79"/>
        <v/>
      </c>
      <c r="AX107" s="39"/>
      <c r="AY107" s="40" t="str">
        <f>IF(ISERROR(IF($K107&lt;=$F$15,VLOOKUP($I107,'表4）CO2価格'!$A$7:$E$67,VLOOKUP($F$48,'表4）CO2価格'!$H$10:$I$12,2,0),0)*$F$8/1000,"")),0,IF($K107&lt;=$F$15,VLOOKUP($I107,'表4）CO2価格'!$A$7:$E$67,VLOOKUP($F$48,'表4）CO2価格'!$H$10:$I$12,2,0),0)*$F$8/1000,""))</f>
        <v/>
      </c>
      <c r="AZ107" s="39"/>
      <c r="BA107" s="42" t="str">
        <f t="shared" si="63"/>
        <v/>
      </c>
      <c r="BB107" s="72" t="str">
        <f t="shared" si="80"/>
        <v/>
      </c>
      <c r="BC107" s="39"/>
      <c r="BD107" s="72" t="str">
        <f t="shared" si="64"/>
        <v/>
      </c>
      <c r="BE107" s="72" t="str">
        <f t="shared" si="81"/>
        <v/>
      </c>
      <c r="BF107" s="39"/>
      <c r="BG107" s="42" t="str">
        <f t="shared" si="65"/>
        <v/>
      </c>
      <c r="BH107" s="72" t="str">
        <f t="shared" si="82"/>
        <v/>
      </c>
      <c r="BI107" s="39"/>
      <c r="BJ107" s="40" t="str">
        <f t="shared" si="83"/>
        <v/>
      </c>
      <c r="BK107" s="157" t="str">
        <f t="shared" si="84"/>
        <v/>
      </c>
      <c r="BL107" s="157" t="str">
        <f t="shared" si="66"/>
        <v/>
      </c>
      <c r="BM107" s="72"/>
      <c r="BN107" s="72" t="str">
        <f t="shared" si="85"/>
        <v/>
      </c>
      <c r="BO107" s="72" t="str">
        <f t="shared" si="86"/>
        <v/>
      </c>
      <c r="BP107" s="39"/>
      <c r="BQ107" s="72" t="str">
        <f t="shared" si="67"/>
        <v/>
      </c>
      <c r="BR107" s="72" t="str">
        <f t="shared" si="87"/>
        <v/>
      </c>
    </row>
    <row r="108" spans="4:70" ht="15" x14ac:dyDescent="0.15">
      <c r="D108" s="116"/>
      <c r="F108" s="93"/>
      <c r="I108" s="459">
        <f t="shared" si="88"/>
        <v>2123</v>
      </c>
      <c r="J108" s="71"/>
      <c r="K108" s="71">
        <f t="shared" si="89"/>
        <v>94</v>
      </c>
      <c r="L108" s="71"/>
      <c r="M108" s="7">
        <f t="shared" si="52"/>
        <v>6.212993191806794E-2</v>
      </c>
      <c r="N108" s="71"/>
      <c r="O108" s="10" t="str">
        <f t="shared" si="68"/>
        <v/>
      </c>
      <c r="P108" s="29" t="str">
        <f t="shared" si="53"/>
        <v/>
      </c>
      <c r="Q108" s="71"/>
      <c r="R108" s="10" t="str">
        <f t="shared" si="69"/>
        <v/>
      </c>
      <c r="S108" s="71"/>
      <c r="T108" s="10" t="str">
        <f t="shared" si="70"/>
        <v/>
      </c>
      <c r="U108" s="71"/>
      <c r="V108" s="10" t="str">
        <f t="shared" si="54"/>
        <v/>
      </c>
      <c r="W108" s="10" t="str">
        <f t="shared" si="71"/>
        <v/>
      </c>
      <c r="X108" s="71"/>
      <c r="Y108" s="10" t="str">
        <f t="shared" si="55"/>
        <v/>
      </c>
      <c r="Z108" s="10" t="str">
        <f t="shared" si="72"/>
        <v/>
      </c>
      <c r="AA108" s="71"/>
      <c r="AB108" s="10" t="str">
        <f t="shared" si="56"/>
        <v/>
      </c>
      <c r="AC108" s="10" t="str">
        <f t="shared" si="73"/>
        <v/>
      </c>
      <c r="AD108" s="71"/>
      <c r="AE108" s="10" t="str">
        <f t="shared" si="57"/>
        <v/>
      </c>
      <c r="AF108" s="10" t="str">
        <f t="shared" si="74"/>
        <v/>
      </c>
      <c r="AG108" s="71"/>
      <c r="AH108" s="10" t="str">
        <f t="shared" si="58"/>
        <v/>
      </c>
      <c r="AI108" s="10" t="str">
        <f t="shared" si="75"/>
        <v/>
      </c>
      <c r="AJ108" s="71"/>
      <c r="AK108" s="10" t="str">
        <f t="shared" si="59"/>
        <v/>
      </c>
      <c r="AL108" s="10" t="str">
        <f t="shared" si="76"/>
        <v/>
      </c>
      <c r="AM108" s="71"/>
      <c r="AN108" s="10" t="str">
        <f t="shared" si="60"/>
        <v/>
      </c>
      <c r="AO108" s="10" t="str">
        <f t="shared" si="77"/>
        <v/>
      </c>
      <c r="AP108" s="71"/>
      <c r="AQ108" s="10" t="str">
        <f t="shared" si="61"/>
        <v/>
      </c>
      <c r="AR108" s="10" t="str">
        <f t="shared" si="78"/>
        <v/>
      </c>
      <c r="AS108" s="71"/>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U108" s="71"/>
      <c r="AV108" s="10" t="str">
        <f t="shared" si="62"/>
        <v/>
      </c>
      <c r="AW108" s="10" t="str">
        <f t="shared" si="79"/>
        <v/>
      </c>
      <c r="AX108" s="71"/>
      <c r="AY108" s="7" t="str">
        <f>IF(ISERROR(IF($K108&lt;=$F$15,VLOOKUP($I108,'表4）CO2価格'!$A$7:$E$67,VLOOKUP($F$48,'表4）CO2価格'!$H$10:$I$12,2,0),0)*$F$8/1000,"")),0,IF($K108&lt;=$F$15,VLOOKUP($I108,'表4）CO2価格'!$A$7:$E$67,VLOOKUP($F$48,'表4）CO2価格'!$H$10:$I$12,2,0),0)*$F$8/1000,""))</f>
        <v/>
      </c>
      <c r="AZ108" s="71"/>
      <c r="BA108" s="11" t="str">
        <f t="shared" si="63"/>
        <v/>
      </c>
      <c r="BB108" s="10" t="str">
        <f t="shared" si="80"/>
        <v/>
      </c>
      <c r="BC108" s="71"/>
      <c r="BD108" s="10" t="str">
        <f t="shared" si="64"/>
        <v/>
      </c>
      <c r="BE108" s="10" t="str">
        <f t="shared" si="81"/>
        <v/>
      </c>
      <c r="BF108" s="71"/>
      <c r="BG108" s="11" t="str">
        <f t="shared" si="65"/>
        <v/>
      </c>
      <c r="BH108" s="10" t="str">
        <f t="shared" si="82"/>
        <v/>
      </c>
      <c r="BJ108" s="7" t="str">
        <f t="shared" si="83"/>
        <v/>
      </c>
      <c r="BK108" s="158" t="str">
        <f t="shared" si="84"/>
        <v/>
      </c>
      <c r="BL108" s="158" t="str">
        <f t="shared" si="66"/>
        <v/>
      </c>
      <c r="BM108" s="10"/>
      <c r="BN108" s="10" t="str">
        <f t="shared" si="85"/>
        <v/>
      </c>
      <c r="BO108" s="10" t="str">
        <f t="shared" si="86"/>
        <v/>
      </c>
      <c r="BQ108" s="10" t="str">
        <f t="shared" si="67"/>
        <v/>
      </c>
      <c r="BR108" s="10" t="str">
        <f t="shared" si="87"/>
        <v/>
      </c>
    </row>
    <row r="109" spans="4:70" x14ac:dyDescent="0.15">
      <c r="D109" s="101" t="s">
        <v>205</v>
      </c>
      <c r="E109" s="101"/>
      <c r="F109" s="92"/>
      <c r="G109" s="101"/>
      <c r="I109" s="458">
        <f t="shared" si="88"/>
        <v>2124</v>
      </c>
      <c r="J109" s="39"/>
      <c r="K109" s="39">
        <f t="shared" si="89"/>
        <v>95</v>
      </c>
      <c r="L109" s="39"/>
      <c r="M109" s="40">
        <f t="shared" si="52"/>
        <v>6.0320322250551395E-2</v>
      </c>
      <c r="N109" s="39"/>
      <c r="O109" s="72" t="str">
        <f t="shared" si="68"/>
        <v/>
      </c>
      <c r="P109" s="41" t="str">
        <f t="shared" si="53"/>
        <v/>
      </c>
      <c r="Q109" s="39"/>
      <c r="R109" s="72" t="str">
        <f t="shared" si="69"/>
        <v/>
      </c>
      <c r="S109" s="39"/>
      <c r="T109" s="72" t="str">
        <f t="shared" si="70"/>
        <v/>
      </c>
      <c r="U109" s="39"/>
      <c r="V109" s="72" t="str">
        <f t="shared" si="54"/>
        <v/>
      </c>
      <c r="W109" s="72" t="str">
        <f t="shared" si="71"/>
        <v/>
      </c>
      <c r="X109" s="39"/>
      <c r="Y109" s="72" t="str">
        <f t="shared" si="55"/>
        <v/>
      </c>
      <c r="Z109" s="72" t="str">
        <f t="shared" si="72"/>
        <v/>
      </c>
      <c r="AA109" s="39"/>
      <c r="AB109" s="72" t="str">
        <f t="shared" si="56"/>
        <v/>
      </c>
      <c r="AC109" s="72" t="str">
        <f t="shared" si="73"/>
        <v/>
      </c>
      <c r="AD109" s="39"/>
      <c r="AE109" s="72" t="str">
        <f t="shared" si="57"/>
        <v/>
      </c>
      <c r="AF109" s="72" t="str">
        <f t="shared" si="74"/>
        <v/>
      </c>
      <c r="AG109" s="39"/>
      <c r="AH109" s="72" t="str">
        <f t="shared" si="58"/>
        <v/>
      </c>
      <c r="AI109" s="72" t="str">
        <f t="shared" si="75"/>
        <v/>
      </c>
      <c r="AJ109" s="39"/>
      <c r="AK109" s="72" t="str">
        <f t="shared" si="59"/>
        <v/>
      </c>
      <c r="AL109" s="72" t="str">
        <f t="shared" si="76"/>
        <v/>
      </c>
      <c r="AM109" s="39"/>
      <c r="AN109" s="72" t="str">
        <f t="shared" si="60"/>
        <v/>
      </c>
      <c r="AO109" s="72" t="str">
        <f t="shared" si="77"/>
        <v/>
      </c>
      <c r="AP109" s="39"/>
      <c r="AQ109" s="72" t="str">
        <f t="shared" si="61"/>
        <v/>
      </c>
      <c r="AR109" s="72" t="str">
        <f t="shared" si="78"/>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62"/>
        <v/>
      </c>
      <c r="AW109" s="72" t="str">
        <f t="shared" si="79"/>
        <v/>
      </c>
      <c r="AX109" s="39"/>
      <c r="AY109" s="40" t="str">
        <f>IF(ISERROR(IF($K109&lt;=$F$15,VLOOKUP($I109,'表4）CO2価格'!$A$7:$E$67,VLOOKUP($F$48,'表4）CO2価格'!$H$10:$I$12,2,0),0)*$F$8/1000,"")),0,IF($K109&lt;=$F$15,VLOOKUP($I109,'表4）CO2価格'!$A$7:$E$67,VLOOKUP($F$48,'表4）CO2価格'!$H$10:$I$12,2,0),0)*$F$8/1000,""))</f>
        <v/>
      </c>
      <c r="AZ109" s="39"/>
      <c r="BA109" s="42" t="str">
        <f t="shared" si="63"/>
        <v/>
      </c>
      <c r="BB109" s="72" t="str">
        <f t="shared" si="80"/>
        <v/>
      </c>
      <c r="BC109" s="39"/>
      <c r="BD109" s="72" t="str">
        <f t="shared" si="64"/>
        <v/>
      </c>
      <c r="BE109" s="72" t="str">
        <f t="shared" si="81"/>
        <v/>
      </c>
      <c r="BF109" s="39"/>
      <c r="BG109" s="42" t="str">
        <f t="shared" si="65"/>
        <v/>
      </c>
      <c r="BH109" s="72" t="str">
        <f t="shared" si="82"/>
        <v/>
      </c>
      <c r="BI109" s="39"/>
      <c r="BJ109" s="40" t="str">
        <f t="shared" si="83"/>
        <v/>
      </c>
      <c r="BK109" s="157" t="str">
        <f t="shared" si="84"/>
        <v/>
      </c>
      <c r="BL109" s="157" t="str">
        <f t="shared" si="66"/>
        <v/>
      </c>
      <c r="BM109" s="72"/>
      <c r="BN109" s="72" t="str">
        <f t="shared" si="85"/>
        <v/>
      </c>
      <c r="BO109" s="72" t="str">
        <f t="shared" si="86"/>
        <v/>
      </c>
      <c r="BP109" s="39"/>
      <c r="BQ109" s="72" t="str">
        <f t="shared" si="67"/>
        <v/>
      </c>
      <c r="BR109" s="72" t="str">
        <f t="shared" si="87"/>
        <v/>
      </c>
    </row>
    <row r="110" spans="4:70" ht="15" x14ac:dyDescent="0.15">
      <c r="D110" s="116"/>
      <c r="F110" s="93"/>
      <c r="I110" s="459">
        <f t="shared" si="88"/>
        <v>2125</v>
      </c>
      <c r="J110" s="71"/>
      <c r="K110" s="71">
        <f t="shared" si="89"/>
        <v>96</v>
      </c>
      <c r="L110" s="71"/>
      <c r="M110" s="7">
        <f t="shared" si="52"/>
        <v>5.8563419660729518E-2</v>
      </c>
      <c r="N110" s="71"/>
      <c r="O110" s="10" t="str">
        <f t="shared" si="68"/>
        <v/>
      </c>
      <c r="P110" s="29" t="str">
        <f t="shared" si="53"/>
        <v/>
      </c>
      <c r="Q110" s="71"/>
      <c r="R110" s="10" t="str">
        <f t="shared" si="69"/>
        <v/>
      </c>
      <c r="S110" s="71"/>
      <c r="T110" s="10" t="str">
        <f t="shared" si="70"/>
        <v/>
      </c>
      <c r="U110" s="71"/>
      <c r="V110" s="10" t="str">
        <f t="shared" si="54"/>
        <v/>
      </c>
      <c r="W110" s="10" t="str">
        <f t="shared" si="71"/>
        <v/>
      </c>
      <c r="X110" s="71"/>
      <c r="Y110" s="10" t="str">
        <f t="shared" si="55"/>
        <v/>
      </c>
      <c r="Z110" s="10" t="str">
        <f t="shared" si="72"/>
        <v/>
      </c>
      <c r="AA110" s="71"/>
      <c r="AB110" s="10" t="str">
        <f t="shared" si="56"/>
        <v/>
      </c>
      <c r="AC110" s="10" t="str">
        <f t="shared" si="73"/>
        <v/>
      </c>
      <c r="AD110" s="71"/>
      <c r="AE110" s="10" t="str">
        <f t="shared" si="57"/>
        <v/>
      </c>
      <c r="AF110" s="10" t="str">
        <f t="shared" si="74"/>
        <v/>
      </c>
      <c r="AG110" s="71"/>
      <c r="AH110" s="10" t="str">
        <f t="shared" si="58"/>
        <v/>
      </c>
      <c r="AI110" s="10" t="str">
        <f t="shared" si="75"/>
        <v/>
      </c>
      <c r="AJ110" s="71"/>
      <c r="AK110" s="10" t="str">
        <f t="shared" si="59"/>
        <v/>
      </c>
      <c r="AL110" s="10" t="str">
        <f t="shared" si="76"/>
        <v/>
      </c>
      <c r="AM110" s="71"/>
      <c r="AN110" s="10" t="str">
        <f t="shared" si="60"/>
        <v/>
      </c>
      <c r="AO110" s="10" t="str">
        <f t="shared" si="77"/>
        <v/>
      </c>
      <c r="AP110" s="71"/>
      <c r="AQ110" s="10" t="str">
        <f t="shared" si="61"/>
        <v/>
      </c>
      <c r="AR110" s="10" t="str">
        <f t="shared" si="78"/>
        <v/>
      </c>
      <c r="AS110" s="71"/>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U110" s="71"/>
      <c r="AV110" s="10" t="str">
        <f t="shared" si="62"/>
        <v/>
      </c>
      <c r="AW110" s="10" t="str">
        <f t="shared" si="79"/>
        <v/>
      </c>
      <c r="AX110" s="71"/>
      <c r="AY110" s="7" t="str">
        <f>IF(ISERROR(IF($K110&lt;=$F$15,VLOOKUP($I110,'表4）CO2価格'!$A$7:$E$67,VLOOKUP($F$48,'表4）CO2価格'!$H$10:$I$12,2,0),0)*$F$8/1000,"")),0,IF($K110&lt;=$F$15,VLOOKUP($I110,'表4）CO2価格'!$A$7:$E$67,VLOOKUP($F$48,'表4）CO2価格'!$H$10:$I$12,2,0),0)*$F$8/1000,""))</f>
        <v/>
      </c>
      <c r="AZ110" s="71"/>
      <c r="BA110" s="11" t="str">
        <f t="shared" si="63"/>
        <v/>
      </c>
      <c r="BB110" s="10" t="str">
        <f t="shared" si="80"/>
        <v/>
      </c>
      <c r="BC110" s="71"/>
      <c r="BD110" s="10" t="str">
        <f t="shared" si="64"/>
        <v/>
      </c>
      <c r="BE110" s="10" t="str">
        <f t="shared" si="81"/>
        <v/>
      </c>
      <c r="BF110" s="71"/>
      <c r="BG110" s="11" t="str">
        <f t="shared" si="65"/>
        <v/>
      </c>
      <c r="BH110" s="10" t="str">
        <f t="shared" si="82"/>
        <v/>
      </c>
      <c r="BJ110" s="7" t="str">
        <f t="shared" si="83"/>
        <v/>
      </c>
      <c r="BK110" s="158" t="str">
        <f t="shared" si="84"/>
        <v/>
      </c>
      <c r="BL110" s="158" t="str">
        <f t="shared" si="66"/>
        <v/>
      </c>
      <c r="BM110" s="10"/>
      <c r="BN110" s="10" t="str">
        <f t="shared" si="85"/>
        <v/>
      </c>
      <c r="BO110" s="10" t="str">
        <f t="shared" si="86"/>
        <v/>
      </c>
      <c r="BQ110" s="10" t="str">
        <f t="shared" si="67"/>
        <v/>
      </c>
      <c r="BR110" s="10" t="str">
        <f t="shared" si="87"/>
        <v/>
      </c>
    </row>
    <row r="111" spans="4:70" ht="15" x14ac:dyDescent="0.15">
      <c r="D111" s="116"/>
      <c r="E111" s="81" t="s">
        <v>206</v>
      </c>
      <c r="F111" s="91">
        <f>-BE116/BR116</f>
        <v>0</v>
      </c>
      <c r="G111" s="81" t="s">
        <v>132</v>
      </c>
      <c r="I111" s="458">
        <f t="shared" si="88"/>
        <v>2126</v>
      </c>
      <c r="J111" s="39"/>
      <c r="K111" s="39">
        <f t="shared" si="89"/>
        <v>97</v>
      </c>
      <c r="L111" s="39"/>
      <c r="M111" s="40">
        <f t="shared" si="52"/>
        <v>5.6857688990999529E-2</v>
      </c>
      <c r="N111" s="39"/>
      <c r="O111" s="72" t="str">
        <f t="shared" si="68"/>
        <v/>
      </c>
      <c r="P111" s="41" t="str">
        <f>IF(K111&lt;=$F$15,IF(OR(P110=$F$124,P110="-"),"-",IF(O111*$F$123&gt;$F$127,$F$123,$F$124)),"")</f>
        <v/>
      </c>
      <c r="Q111" s="39"/>
      <c r="R111" s="72" t="str">
        <f t="shared" si="69"/>
        <v/>
      </c>
      <c r="S111" s="39"/>
      <c r="T111" s="72" t="str">
        <f t="shared" si="70"/>
        <v/>
      </c>
      <c r="U111" s="39"/>
      <c r="V111" s="72" t="str">
        <f t="shared" si="54"/>
        <v/>
      </c>
      <c r="W111" s="72" t="str">
        <f t="shared" si="71"/>
        <v/>
      </c>
      <c r="X111" s="39"/>
      <c r="Y111" s="72" t="str">
        <f t="shared" si="55"/>
        <v/>
      </c>
      <c r="Z111" s="72" t="str">
        <f t="shared" si="72"/>
        <v/>
      </c>
      <c r="AA111" s="39"/>
      <c r="AB111" s="72" t="str">
        <f t="shared" si="56"/>
        <v/>
      </c>
      <c r="AC111" s="72" t="str">
        <f t="shared" si="73"/>
        <v/>
      </c>
      <c r="AD111" s="39"/>
      <c r="AE111" s="72" t="str">
        <f t="shared" si="57"/>
        <v/>
      </c>
      <c r="AF111" s="72" t="str">
        <f t="shared" si="74"/>
        <v/>
      </c>
      <c r="AG111" s="39"/>
      <c r="AH111" s="72" t="str">
        <f t="shared" si="58"/>
        <v/>
      </c>
      <c r="AI111" s="72" t="str">
        <f t="shared" si="75"/>
        <v/>
      </c>
      <c r="AJ111" s="39"/>
      <c r="AK111" s="72" t="str">
        <f t="shared" si="59"/>
        <v/>
      </c>
      <c r="AL111" s="72" t="str">
        <f t="shared" si="76"/>
        <v/>
      </c>
      <c r="AM111" s="39"/>
      <c r="AN111" s="72" t="str">
        <f t="shared" si="60"/>
        <v/>
      </c>
      <c r="AO111" s="72" t="str">
        <f t="shared" si="77"/>
        <v/>
      </c>
      <c r="AP111" s="39"/>
      <c r="AQ111" s="72" t="str">
        <f t="shared" si="61"/>
        <v/>
      </c>
      <c r="AR111" s="72" t="str">
        <f t="shared" si="78"/>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62"/>
        <v/>
      </c>
      <c r="AW111" s="72" t="str">
        <f t="shared" si="79"/>
        <v/>
      </c>
      <c r="AX111" s="39"/>
      <c r="AY111" s="40" t="str">
        <f>IF(ISERROR(IF($K111&lt;=$F$15,VLOOKUP($I111,'表4）CO2価格'!$A$7:$E$67,VLOOKUP($F$48,'表4）CO2価格'!$H$10:$I$12,2,0),0)*$F$8/1000,"")),0,IF($K111&lt;=$F$15,VLOOKUP($I111,'表4）CO2価格'!$A$7:$E$67,VLOOKUP($F$48,'表4）CO2価格'!$H$10:$I$12,2,0),0)*$F$8/1000,""))</f>
        <v/>
      </c>
      <c r="AZ111" s="39"/>
      <c r="BA111" s="42" t="str">
        <f t="shared" si="63"/>
        <v/>
      </c>
      <c r="BB111" s="72" t="str">
        <f t="shared" si="80"/>
        <v/>
      </c>
      <c r="BC111" s="39"/>
      <c r="BD111" s="72" t="str">
        <f t="shared" si="64"/>
        <v/>
      </c>
      <c r="BE111" s="72" t="str">
        <f t="shared" si="81"/>
        <v/>
      </c>
      <c r="BF111" s="39"/>
      <c r="BG111" s="42" t="str">
        <f t="shared" si="65"/>
        <v/>
      </c>
      <c r="BH111" s="72" t="str">
        <f t="shared" si="82"/>
        <v/>
      </c>
      <c r="BI111" s="39"/>
      <c r="BJ111" s="40" t="str">
        <f t="shared" si="83"/>
        <v/>
      </c>
      <c r="BK111" s="157" t="str">
        <f t="shared" si="84"/>
        <v/>
      </c>
      <c r="BL111" s="157" t="str">
        <f t="shared" si="66"/>
        <v/>
      </c>
      <c r="BM111" s="72"/>
      <c r="BN111" s="72" t="str">
        <f t="shared" si="85"/>
        <v/>
      </c>
      <c r="BO111" s="72" t="str">
        <f t="shared" si="86"/>
        <v/>
      </c>
      <c r="BP111" s="39"/>
      <c r="BQ111" s="72" t="str">
        <f t="shared" si="67"/>
        <v/>
      </c>
      <c r="BR111" s="72" t="str">
        <f t="shared" si="87"/>
        <v/>
      </c>
    </row>
    <row r="112" spans="4:70" ht="15" x14ac:dyDescent="0.15">
      <c r="D112" s="116"/>
      <c r="E112" s="81" t="s">
        <v>207</v>
      </c>
      <c r="F112" s="91">
        <f>-BH116/BR116</f>
        <v>0</v>
      </c>
      <c r="G112" s="81" t="s">
        <v>132</v>
      </c>
      <c r="I112" s="459">
        <f t="shared" si="88"/>
        <v>2127</v>
      </c>
      <c r="J112" s="71"/>
      <c r="K112" s="71">
        <f t="shared" si="89"/>
        <v>98</v>
      </c>
      <c r="L112" s="71"/>
      <c r="M112" s="7">
        <f t="shared" si="52"/>
        <v>5.5201639797086935E-2</v>
      </c>
      <c r="N112" s="71"/>
      <c r="O112" s="10" t="str">
        <f t="shared" si="68"/>
        <v/>
      </c>
      <c r="P112" s="29" t="str">
        <f>IF(K112&lt;=$F$15,IF(OR(P111=$F$124,P111="-"),"-",IF(O112*$F$123&gt;$F$127,$F$123,$F$124)),"")</f>
        <v/>
      </c>
      <c r="Q112" s="71"/>
      <c r="R112" s="10" t="str">
        <f t="shared" si="69"/>
        <v/>
      </c>
      <c r="S112" s="71"/>
      <c r="T112" s="10" t="str">
        <f t="shared" si="70"/>
        <v/>
      </c>
      <c r="U112" s="71"/>
      <c r="V112" s="10" t="str">
        <f t="shared" si="54"/>
        <v/>
      </c>
      <c r="W112" s="10" t="str">
        <f t="shared" si="71"/>
        <v/>
      </c>
      <c r="X112" s="71"/>
      <c r="Y112" s="10" t="str">
        <f t="shared" si="55"/>
        <v/>
      </c>
      <c r="Z112" s="10" t="str">
        <f t="shared" si="72"/>
        <v/>
      </c>
      <c r="AA112" s="71"/>
      <c r="AB112" s="10" t="str">
        <f t="shared" si="56"/>
        <v/>
      </c>
      <c r="AC112" s="10" t="str">
        <f t="shared" si="73"/>
        <v/>
      </c>
      <c r="AD112" s="71"/>
      <c r="AE112" s="10" t="str">
        <f t="shared" si="57"/>
        <v/>
      </c>
      <c r="AF112" s="10" t="str">
        <f t="shared" si="74"/>
        <v/>
      </c>
      <c r="AG112" s="71"/>
      <c r="AH112" s="10" t="str">
        <f t="shared" si="58"/>
        <v/>
      </c>
      <c r="AI112" s="10" t="str">
        <f t="shared" si="75"/>
        <v/>
      </c>
      <c r="AJ112" s="71"/>
      <c r="AK112" s="10" t="str">
        <f t="shared" si="59"/>
        <v/>
      </c>
      <c r="AL112" s="10" t="str">
        <f t="shared" si="76"/>
        <v/>
      </c>
      <c r="AM112" s="71"/>
      <c r="AN112" s="10" t="str">
        <f t="shared" si="60"/>
        <v/>
      </c>
      <c r="AO112" s="10" t="str">
        <f t="shared" si="77"/>
        <v/>
      </c>
      <c r="AP112" s="71"/>
      <c r="AQ112" s="10" t="str">
        <f t="shared" si="61"/>
        <v/>
      </c>
      <c r="AR112" s="10" t="str">
        <f t="shared" si="78"/>
        <v/>
      </c>
      <c r="AS112" s="71"/>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U112" s="71"/>
      <c r="AV112" s="10" t="str">
        <f t="shared" si="62"/>
        <v/>
      </c>
      <c r="AW112" s="10" t="str">
        <f t="shared" si="79"/>
        <v/>
      </c>
      <c r="AX112" s="71"/>
      <c r="AY112" s="7" t="str">
        <f>IF(ISERROR(IF($K112&lt;=$F$15,VLOOKUP($I112,'表4）CO2価格'!$A$7:$E$67,VLOOKUP($F$48,'表4）CO2価格'!$H$10:$I$12,2,0),0)*$F$8/1000,"")),0,IF($K112&lt;=$F$15,VLOOKUP($I112,'表4）CO2価格'!$A$7:$E$67,VLOOKUP($F$48,'表4）CO2価格'!$H$10:$I$12,2,0),0)*$F$8/1000,""))</f>
        <v/>
      </c>
      <c r="AZ112" s="71"/>
      <c r="BA112" s="11" t="str">
        <f t="shared" si="63"/>
        <v/>
      </c>
      <c r="BB112" s="10" t="str">
        <f t="shared" si="80"/>
        <v/>
      </c>
      <c r="BC112" s="71"/>
      <c r="BD112" s="10" t="str">
        <f t="shared" si="64"/>
        <v/>
      </c>
      <c r="BE112" s="10" t="str">
        <f t="shared" si="81"/>
        <v/>
      </c>
      <c r="BF112" s="71"/>
      <c r="BG112" s="11" t="str">
        <f t="shared" si="65"/>
        <v/>
      </c>
      <c r="BH112" s="10" t="str">
        <f t="shared" si="82"/>
        <v/>
      </c>
      <c r="BJ112" s="7" t="str">
        <f t="shared" si="83"/>
        <v/>
      </c>
      <c r="BK112" s="158" t="str">
        <f t="shared" si="84"/>
        <v/>
      </c>
      <c r="BL112" s="158" t="str">
        <f t="shared" si="66"/>
        <v/>
      </c>
      <c r="BM112" s="10"/>
      <c r="BN112" s="10" t="str">
        <f t="shared" si="85"/>
        <v/>
      </c>
      <c r="BO112" s="10" t="str">
        <f t="shared" si="86"/>
        <v/>
      </c>
      <c r="BQ112" s="10" t="str">
        <f t="shared" si="67"/>
        <v/>
      </c>
      <c r="BR112" s="10" t="str">
        <f t="shared" si="87"/>
        <v/>
      </c>
    </row>
    <row r="113" spans="2:70" x14ac:dyDescent="0.15">
      <c r="I113" s="458">
        <f t="shared" si="88"/>
        <v>2128</v>
      </c>
      <c r="J113" s="39"/>
      <c r="K113" s="39">
        <f t="shared" si="89"/>
        <v>99</v>
      </c>
      <c r="L113" s="39"/>
      <c r="M113" s="40">
        <f t="shared" si="52"/>
        <v>5.3593825045715457E-2</v>
      </c>
      <c r="N113" s="39"/>
      <c r="O113" s="72" t="str">
        <f t="shared" si="68"/>
        <v/>
      </c>
      <c r="P113" s="41" t="str">
        <f>IF(K113&lt;=$F$15,IF(OR(P112=$F$124,P112="-"),"-",IF(O113*$F$123&gt;$F$127,$F$123,$F$124)),"")</f>
        <v/>
      </c>
      <c r="Q113" s="39"/>
      <c r="R113" s="72" t="str">
        <f t="shared" si="69"/>
        <v/>
      </c>
      <c r="S113" s="39"/>
      <c r="T113" s="72" t="str">
        <f t="shared" si="70"/>
        <v/>
      </c>
      <c r="U113" s="39"/>
      <c r="V113" s="72" t="str">
        <f t="shared" si="54"/>
        <v/>
      </c>
      <c r="W113" s="72" t="str">
        <f t="shared" si="71"/>
        <v/>
      </c>
      <c r="X113" s="39"/>
      <c r="Y113" s="72" t="str">
        <f t="shared" si="55"/>
        <v/>
      </c>
      <c r="Z113" s="72" t="str">
        <f t="shared" si="72"/>
        <v/>
      </c>
      <c r="AA113" s="39"/>
      <c r="AB113" s="72" t="str">
        <f t="shared" si="56"/>
        <v/>
      </c>
      <c r="AC113" s="72" t="str">
        <f t="shared" si="73"/>
        <v/>
      </c>
      <c r="AD113" s="39"/>
      <c r="AE113" s="72" t="str">
        <f t="shared" si="57"/>
        <v/>
      </c>
      <c r="AF113" s="72" t="str">
        <f t="shared" si="74"/>
        <v/>
      </c>
      <c r="AG113" s="39"/>
      <c r="AH113" s="72" t="str">
        <f t="shared" si="58"/>
        <v/>
      </c>
      <c r="AI113" s="72" t="str">
        <f t="shared" si="75"/>
        <v/>
      </c>
      <c r="AJ113" s="39"/>
      <c r="AK113" s="72" t="str">
        <f t="shared" si="59"/>
        <v/>
      </c>
      <c r="AL113" s="72" t="str">
        <f t="shared" si="76"/>
        <v/>
      </c>
      <c r="AM113" s="39"/>
      <c r="AN113" s="72" t="str">
        <f t="shared" si="60"/>
        <v/>
      </c>
      <c r="AO113" s="72" t="str">
        <f t="shared" si="77"/>
        <v/>
      </c>
      <c r="AP113" s="39"/>
      <c r="AQ113" s="72" t="str">
        <f t="shared" si="61"/>
        <v/>
      </c>
      <c r="AR113" s="72" t="str">
        <f t="shared" si="78"/>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62"/>
        <v/>
      </c>
      <c r="AW113" s="72" t="str">
        <f t="shared" si="79"/>
        <v/>
      </c>
      <c r="AX113" s="39"/>
      <c r="AY113" s="40" t="str">
        <f>IF(ISERROR(IF($K113&lt;=$F$15,VLOOKUP($I113,'表4）CO2価格'!$A$7:$E$67,VLOOKUP($F$48,'表4）CO2価格'!$H$10:$I$12,2,0),0)*$F$8/1000,"")),0,IF($K113&lt;=$F$15,VLOOKUP($I113,'表4）CO2価格'!$A$7:$E$67,VLOOKUP($F$48,'表4）CO2価格'!$H$10:$I$12,2,0),0)*$F$8/1000,""))</f>
        <v/>
      </c>
      <c r="AZ113" s="39"/>
      <c r="BA113" s="42" t="str">
        <f t="shared" si="63"/>
        <v/>
      </c>
      <c r="BB113" s="72" t="str">
        <f t="shared" si="80"/>
        <v/>
      </c>
      <c r="BC113" s="39"/>
      <c r="BD113" s="72" t="str">
        <f t="shared" si="64"/>
        <v/>
      </c>
      <c r="BE113" s="72" t="str">
        <f t="shared" si="81"/>
        <v/>
      </c>
      <c r="BF113" s="39"/>
      <c r="BG113" s="42" t="str">
        <f t="shared" si="65"/>
        <v/>
      </c>
      <c r="BH113" s="72" t="str">
        <f t="shared" si="82"/>
        <v/>
      </c>
      <c r="BI113" s="39"/>
      <c r="BJ113" s="40" t="str">
        <f t="shared" si="83"/>
        <v/>
      </c>
      <c r="BK113" s="157" t="str">
        <f t="shared" si="84"/>
        <v/>
      </c>
      <c r="BL113" s="157" t="str">
        <f t="shared" si="66"/>
        <v/>
      </c>
      <c r="BM113" s="72"/>
      <c r="BN113" s="72" t="str">
        <f t="shared" si="85"/>
        <v/>
      </c>
      <c r="BO113" s="72" t="str">
        <f t="shared" si="86"/>
        <v/>
      </c>
      <c r="BP113" s="39"/>
      <c r="BQ113" s="72" t="str">
        <f t="shared" si="67"/>
        <v/>
      </c>
      <c r="BR113" s="72" t="str">
        <f t="shared" si="87"/>
        <v/>
      </c>
    </row>
    <row r="114" spans="2:70" x14ac:dyDescent="0.15">
      <c r="I114" s="459">
        <f t="shared" si="88"/>
        <v>2129</v>
      </c>
      <c r="J114" s="71"/>
      <c r="K114" s="71">
        <f t="shared" si="89"/>
        <v>100</v>
      </c>
      <c r="L114" s="71"/>
      <c r="M114" s="7">
        <f t="shared" si="52"/>
        <v>5.2032839850209185E-2</v>
      </c>
      <c r="N114" s="71"/>
      <c r="O114" s="10" t="str">
        <f t="shared" si="68"/>
        <v/>
      </c>
      <c r="P114" s="29" t="str">
        <f>IF(K114&lt;=$F$15,IF(OR(P113=$F$124,P113="-"),"-",IF(O114*$F$123&gt;$F$127,$F$123,$F$124)),"")</f>
        <v/>
      </c>
      <c r="Q114" s="71"/>
      <c r="R114" s="10" t="str">
        <f t="shared" si="69"/>
        <v/>
      </c>
      <c r="S114" s="71"/>
      <c r="T114" s="10" t="str">
        <f t="shared" si="70"/>
        <v/>
      </c>
      <c r="U114" s="71"/>
      <c r="V114" s="10" t="str">
        <f t="shared" si="54"/>
        <v/>
      </c>
      <c r="W114" s="10" t="str">
        <f t="shared" si="71"/>
        <v/>
      </c>
      <c r="X114" s="71"/>
      <c r="Y114" s="10" t="str">
        <f t="shared" si="55"/>
        <v/>
      </c>
      <c r="Z114" s="10" t="str">
        <f t="shared" si="72"/>
        <v/>
      </c>
      <c r="AA114" s="71"/>
      <c r="AB114" s="10" t="str">
        <f t="shared" si="56"/>
        <v/>
      </c>
      <c r="AC114" s="10" t="str">
        <f t="shared" si="73"/>
        <v/>
      </c>
      <c r="AD114" s="71"/>
      <c r="AE114" s="10" t="str">
        <f t="shared" si="57"/>
        <v/>
      </c>
      <c r="AF114" s="10" t="str">
        <f t="shared" si="74"/>
        <v/>
      </c>
      <c r="AG114" s="71"/>
      <c r="AH114" s="10" t="str">
        <f t="shared" si="58"/>
        <v/>
      </c>
      <c r="AI114" s="10" t="str">
        <f t="shared" si="75"/>
        <v/>
      </c>
      <c r="AJ114" s="71"/>
      <c r="AK114" s="10" t="str">
        <f t="shared" si="59"/>
        <v/>
      </c>
      <c r="AL114" s="10" t="str">
        <f t="shared" si="76"/>
        <v/>
      </c>
      <c r="AM114" s="71"/>
      <c r="AN114" s="10" t="str">
        <f t="shared" si="60"/>
        <v/>
      </c>
      <c r="AO114" s="10" t="str">
        <f t="shared" si="77"/>
        <v/>
      </c>
      <c r="AP114" s="71"/>
      <c r="AQ114" s="10" t="str">
        <f t="shared" si="61"/>
        <v/>
      </c>
      <c r="AR114" s="10" t="str">
        <f t="shared" si="78"/>
        <v/>
      </c>
      <c r="AS114" s="71"/>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U114" s="71"/>
      <c r="AV114" s="10" t="str">
        <f t="shared" si="62"/>
        <v/>
      </c>
      <c r="AW114" s="10" t="str">
        <f t="shared" si="79"/>
        <v/>
      </c>
      <c r="AX114" s="71"/>
      <c r="AY114" s="7" t="str">
        <f>IF(ISERROR(IF($K114&lt;=$F$15,VLOOKUP($I114,'表4）CO2価格'!$A$7:$E$67,VLOOKUP($F$48,'表4）CO2価格'!$H$10:$I$12,2,0),0)*$F$8/1000,"")),0,IF($K114&lt;=$F$15,VLOOKUP($I114,'表4）CO2価格'!$A$7:$E$67,VLOOKUP($F$48,'表4）CO2価格'!$H$10:$I$12,2,0),0)*$F$8/1000,""))</f>
        <v/>
      </c>
      <c r="AZ114" s="71"/>
      <c r="BA114" s="11" t="str">
        <f t="shared" si="63"/>
        <v/>
      </c>
      <c r="BB114" s="10" t="str">
        <f t="shared" si="80"/>
        <v/>
      </c>
      <c r="BC114" s="71"/>
      <c r="BD114" s="10" t="str">
        <f t="shared" si="64"/>
        <v/>
      </c>
      <c r="BE114" s="10" t="str">
        <f t="shared" si="81"/>
        <v/>
      </c>
      <c r="BF114" s="71"/>
      <c r="BG114" s="11" t="str">
        <f t="shared" si="65"/>
        <v/>
      </c>
      <c r="BH114" s="10" t="str">
        <f t="shared" si="82"/>
        <v/>
      </c>
      <c r="BJ114" s="7" t="str">
        <f t="shared" si="83"/>
        <v/>
      </c>
      <c r="BK114" s="158" t="str">
        <f t="shared" si="84"/>
        <v/>
      </c>
      <c r="BL114" s="158" t="str">
        <f t="shared" si="66"/>
        <v/>
      </c>
      <c r="BM114" s="10"/>
      <c r="BN114" s="10" t="str">
        <f t="shared" si="85"/>
        <v/>
      </c>
      <c r="BO114" s="10" t="str">
        <f t="shared" si="86"/>
        <v/>
      </c>
      <c r="BQ114" s="10" t="str">
        <f t="shared" si="67"/>
        <v/>
      </c>
      <c r="BR114" s="10" t="str">
        <f t="shared" si="87"/>
        <v/>
      </c>
    </row>
    <row r="115" spans="2:70" ht="15.75" thickBot="1" x14ac:dyDescent="0.2">
      <c r="B115" s="460" t="s">
        <v>515</v>
      </c>
      <c r="C115" s="86"/>
      <c r="D115" s="104"/>
      <c r="E115" s="104"/>
      <c r="F115" s="86"/>
      <c r="G115" s="104"/>
      <c r="I115" s="464"/>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9" t="s">
        <v>516</v>
      </c>
      <c r="J116" s="71"/>
      <c r="K116" s="71"/>
      <c r="L116" s="71"/>
      <c r="M116" s="71"/>
      <c r="N116" s="71"/>
      <c r="O116" s="71"/>
      <c r="P116" s="71"/>
      <c r="Q116" s="71"/>
      <c r="R116" s="71"/>
      <c r="S116" s="71"/>
      <c r="T116" s="71"/>
      <c r="U116" s="71"/>
      <c r="V116" s="71"/>
      <c r="W116" s="11"/>
      <c r="X116" s="71"/>
      <c r="Y116" s="71"/>
      <c r="Z116" s="11">
        <f>SUM(Z15:Z114)</f>
        <v>654923817.06074309</v>
      </c>
      <c r="AA116" s="71"/>
      <c r="AB116" s="71"/>
      <c r="AC116" s="11">
        <f>SUM(AC15:AC114)</f>
        <v>172494438.60712367</v>
      </c>
      <c r="AD116" s="71"/>
      <c r="AE116" s="71"/>
      <c r="AF116" s="11">
        <f>SUM(AF15:AF114)</f>
        <v>0</v>
      </c>
      <c r="AG116" s="71"/>
      <c r="AH116" s="71"/>
      <c r="AI116" s="11">
        <f>SUM(AI15:AI114)</f>
        <v>5432902079.6787415</v>
      </c>
      <c r="AJ116" s="71"/>
      <c r="AK116" s="71"/>
      <c r="AL116" s="11">
        <f>SUM(AL15:AL114)</f>
        <v>0</v>
      </c>
      <c r="AM116" s="71"/>
      <c r="AN116" s="71"/>
      <c r="AO116" s="11">
        <f>SUM(AO15:AO114)</f>
        <v>0</v>
      </c>
      <c r="AP116" s="71"/>
      <c r="AQ116" s="71"/>
      <c r="AR116" s="11">
        <f>SUM(AR15:AR114)</f>
        <v>0</v>
      </c>
      <c r="AS116" s="71"/>
      <c r="AT116" s="71"/>
      <c r="AU116" s="71"/>
      <c r="AV116" s="71"/>
      <c r="AW116" s="11">
        <f>SUM(AW15:AW114)</f>
        <v>0</v>
      </c>
      <c r="AX116" s="71"/>
      <c r="AY116" s="71"/>
      <c r="AZ116" s="71"/>
      <c r="BA116" s="71"/>
      <c r="BB116" s="11">
        <f>SUM(BB15:BB114)</f>
        <v>0</v>
      </c>
      <c r="BC116" s="71"/>
      <c r="BD116" s="71"/>
      <c r="BE116" s="11">
        <f>SUM(BE15:BE114)</f>
        <v>0</v>
      </c>
      <c r="BF116" s="71"/>
      <c r="BG116" s="71"/>
      <c r="BH116" s="11">
        <f>SUM(BH15:BH114)</f>
        <v>0</v>
      </c>
      <c r="BK116" s="11">
        <f>SUM(BK15:BK114)</f>
        <v>3915666546.0741029</v>
      </c>
      <c r="BL116" s="11">
        <f>SUM(BL15:BL114)</f>
        <v>707163163.70529854</v>
      </c>
      <c r="BO116" s="11">
        <f>SUM(BO15:BO114)</f>
        <v>15947084801.630997</v>
      </c>
      <c r="BQ116" s="71"/>
      <c r="BR116" s="11">
        <f>SUM(BR15:BR114)</f>
        <v>1162348504.1700373</v>
      </c>
    </row>
    <row r="117" spans="2:70" x14ac:dyDescent="0.15">
      <c r="C117" s="9" t="s">
        <v>529</v>
      </c>
      <c r="F117" s="44">
        <f>F21*10^4*F13*10^4+F29*10^8</f>
        <v>7440000000</v>
      </c>
      <c r="G117" s="81" t="s">
        <v>208</v>
      </c>
      <c r="I117" s="236" t="s">
        <v>145</v>
      </c>
      <c r="J117" s="71"/>
      <c r="K117" s="71"/>
      <c r="L117" s="71"/>
      <c r="M117" s="71"/>
      <c r="N117" s="71"/>
      <c r="O117" s="71"/>
      <c r="P117" s="71"/>
      <c r="Q117" s="71"/>
      <c r="R117" s="71"/>
      <c r="S117" s="71"/>
      <c r="T117" s="71"/>
      <c r="U117" s="71"/>
      <c r="V117" s="71"/>
      <c r="W117" s="11"/>
      <c r="X117" s="71"/>
      <c r="Y117" s="71"/>
      <c r="Z117" s="11">
        <f ca="1">IF(ISNUMBER($F$16),SUM(INDIRECT(ADDRESS($F$16+15,COLUMN())):INDIRECT(ADDRESS(114,COLUMN()))),"")</f>
        <v>14622129.87456369</v>
      </c>
      <c r="AA117" s="71"/>
      <c r="AB117" s="71"/>
      <c r="AC117" s="11">
        <f ca="1">IF(ISNUMBER($F$16),SUM(INDIRECT(ADDRESS($F$16+15,COLUMN())):INDIRECT(ADDRESS(114,COLUMN()))),"")</f>
        <v>172494438.60712367</v>
      </c>
      <c r="AD117" s="71"/>
      <c r="AE117" s="71"/>
      <c r="AF117" s="11">
        <f ca="1">IF(ISNUMBER($F$16),SUM(INDIRECT(ADDRESS($F$16+15,COLUMN())):INDIRECT(ADDRESS(114,COLUMN()))),"")</f>
        <v>0</v>
      </c>
      <c r="AG117" s="71"/>
      <c r="AH117" s="71"/>
      <c r="AI117" s="11">
        <f ca="1">IF(ISNUMBER($F$16),SUM(INDIRECT(ADDRESS($F$16+15,COLUMN())):INDIRECT(ADDRESS(114,COLUMN()))),"")</f>
        <v>791129923.21662378</v>
      </c>
      <c r="AJ117" s="71"/>
      <c r="AK117" s="71"/>
      <c r="AL117" s="11">
        <f ca="1">IF(ISNUMBER($F$16),SUM(INDIRECT(ADDRESS($F$16+15,COLUMN())):INDIRECT(ADDRESS(114,COLUMN()))),"")</f>
        <v>0</v>
      </c>
      <c r="AM117" s="71"/>
      <c r="AN117" s="71"/>
      <c r="AO117" s="11">
        <f ca="1">IF(ISNUMBER($F$16),SUM(INDIRECT(ADDRESS($F$16+15,COLUMN())):INDIRECT(ADDRESS(114,COLUMN()))),"")</f>
        <v>0</v>
      </c>
      <c r="AP117" s="71"/>
      <c r="AQ117" s="71"/>
      <c r="AR117" s="11">
        <f ca="1">IF(ISNUMBER($F$16),SUM(INDIRECT(ADDRESS($F$16+15,COLUMN())):INDIRECT(ADDRESS(114,COLUMN()))),"")</f>
        <v>0</v>
      </c>
      <c r="AS117" s="71"/>
      <c r="AT117" s="71"/>
      <c r="AU117" s="71"/>
      <c r="AV117" s="71"/>
      <c r="AW117" s="11">
        <f ca="1">IF(ISNUMBER($F$16),SUM(INDIRECT(ADDRESS($F$16+15,COLUMN())):INDIRECT(ADDRESS(114,COLUMN()))),"")</f>
        <v>0</v>
      </c>
      <c r="AX117" s="71"/>
      <c r="AY117" s="71"/>
      <c r="AZ117" s="71"/>
      <c r="BA117" s="71"/>
      <c r="BB117" s="11">
        <f ca="1">IF(ISNUMBER($F$16),SUM(INDIRECT(ADDRESS($F$16+15,COLUMN())):INDIRECT(ADDRESS(114,COLUMN()))),"")</f>
        <v>0</v>
      </c>
      <c r="BC117" s="71"/>
      <c r="BD117" s="71"/>
      <c r="BE117" s="11">
        <f ca="1">IF(ISNUMBER($F$16),SUM(INDIRECT(ADDRESS($F$16+15,COLUMN())):INDIRECT(ADDRESS(114,COLUMN()))),"")</f>
        <v>0</v>
      </c>
      <c r="BF117" s="71"/>
      <c r="BG117" s="71"/>
      <c r="BH117" s="11">
        <f ca="1">IF(ISNUMBER($F$16),SUM(INDIRECT(ADDRESS($F$16+15,COLUMN())):INDIRECT(ADDRESS(114,COLUMN()))),"")</f>
        <v>0</v>
      </c>
      <c r="BK117" s="11">
        <f ca="1">IF(ISNUMBER($F$16),SUM(INDIRECT(ADDRESS($F$16+15,COLUMN())):INDIRECT(ADDRESS(114,COLUMN()))),"")</f>
        <v>89842868.267999217</v>
      </c>
      <c r="BL117" s="11">
        <f ca="1">IF(ISNUMBER($F$16),SUM(INDIRECT(ADDRESS($F$16+15,COLUMN())):INDIRECT(ADDRESS(114,COLUMN()))),"")</f>
        <v>0</v>
      </c>
      <c r="BO117" s="11">
        <f ca="1">IF(ISNUMBER($F$16),SUM(INDIRECT(ADDRESS($F$16+15,COLUMN())):INDIRECT(ADDRESS(114,COLUMN()))),"")</f>
        <v>0</v>
      </c>
      <c r="BQ117" s="71"/>
      <c r="BR117" s="11">
        <f ca="1">IF(ISNUMBER($F$16),SUM(INDIRECT(ADDRESS($F$16+15,COLUMN())):INDIRECT(ADDRESS(114,COLUMN()))),"")</f>
        <v>169259204.26479971</v>
      </c>
    </row>
    <row r="119" spans="2:70" x14ac:dyDescent="0.15">
      <c r="C119" s="9" t="s">
        <v>521</v>
      </c>
      <c r="F119" s="44">
        <f>VLOOKUP(F3,'表2）法定耐用年数'!$A$2:$B$24,2,0)</f>
        <v>17</v>
      </c>
      <c r="G119" s="81" t="s">
        <v>108</v>
      </c>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Q119" s="71"/>
      <c r="BR119" s="71"/>
    </row>
    <row r="121" spans="2:70" x14ac:dyDescent="0.15">
      <c r="C121" s="89" t="s">
        <v>522</v>
      </c>
      <c r="D121" s="101"/>
      <c r="E121" s="101"/>
      <c r="F121" s="89"/>
      <c r="G121" s="10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Q121" s="71"/>
      <c r="BR121" s="71"/>
    </row>
    <row r="123" spans="2:70" x14ac:dyDescent="0.15">
      <c r="D123" s="81" t="s">
        <v>209</v>
      </c>
      <c r="F123" s="95">
        <f>VLOOKUP($F$119,'表1）減価償却率表'!$A$9:$E$107,3,0)</f>
        <v>0.14699999999999999</v>
      </c>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Q123" s="71"/>
      <c r="BR123" s="71"/>
    </row>
    <row r="124" spans="2:70" x14ac:dyDescent="0.15">
      <c r="D124" s="81" t="s">
        <v>210</v>
      </c>
      <c r="F124" s="95">
        <f>VLOOKUP($F$119,'表1）減価償却率表'!$A$9:$E$107,4,0)</f>
        <v>0.16700000000000001</v>
      </c>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Q124" s="71"/>
      <c r="BR124" s="71"/>
    </row>
    <row r="125" spans="2:70" x14ac:dyDescent="0.15">
      <c r="D125" s="81" t="s">
        <v>211</v>
      </c>
      <c r="F125" s="88">
        <f>VLOOKUP($F$119,'表1）減価償却率表'!$A$9:$E$107,5,0)</f>
        <v>2.9049999999999999E-2</v>
      </c>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Q125" s="71"/>
      <c r="BR125" s="71"/>
    </row>
    <row r="126" spans="2:70" x14ac:dyDescent="0.15">
      <c r="F126" s="96"/>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Q126" s="71"/>
      <c r="BR126" s="71"/>
    </row>
    <row r="127" spans="2:70" x14ac:dyDescent="0.15">
      <c r="C127" s="111" t="s">
        <v>523</v>
      </c>
      <c r="D127" s="85"/>
      <c r="E127" s="114"/>
      <c r="F127" s="44">
        <f>F117*F125</f>
        <v>216132000</v>
      </c>
      <c r="G127" s="81" t="s">
        <v>208</v>
      </c>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Q127" s="71"/>
      <c r="BR127" s="71"/>
    </row>
    <row r="129" spans="3:7" x14ac:dyDescent="0.15">
      <c r="C129" s="111" t="s">
        <v>152</v>
      </c>
      <c r="D129" s="85"/>
      <c r="E129" s="85"/>
      <c r="F129" s="95">
        <f>0.1^(1/F119)</f>
        <v>0.87332616238284333</v>
      </c>
      <c r="G129" s="85"/>
    </row>
    <row r="131" spans="3:7" x14ac:dyDescent="0.15">
      <c r="C131" s="89" t="s">
        <v>524</v>
      </c>
      <c r="D131" s="101"/>
      <c r="E131" s="101"/>
      <c r="F131" s="89"/>
      <c r="G131" s="101"/>
    </row>
    <row r="133" spans="3:7" x14ac:dyDescent="0.15">
      <c r="D133" s="81" t="s">
        <v>212</v>
      </c>
      <c r="F133" s="44">
        <f>F13*10000*24*365*F14/100</f>
        <v>66751200</v>
      </c>
      <c r="G133" s="81" t="s">
        <v>213</v>
      </c>
    </row>
    <row r="134" spans="3:7" x14ac:dyDescent="0.15">
      <c r="D134" s="81" t="s">
        <v>214</v>
      </c>
      <c r="F134" s="44">
        <f>F133*(1-F24/100)</f>
        <v>66751200</v>
      </c>
      <c r="G134" s="81" t="s">
        <v>213</v>
      </c>
    </row>
    <row r="135" spans="3:7" x14ac:dyDescent="0.15">
      <c r="F135" s="97"/>
    </row>
    <row r="137" spans="3:7" ht="16.5" x14ac:dyDescent="0.15">
      <c r="C137" s="9" t="s">
        <v>525</v>
      </c>
      <c r="F137" s="44">
        <f>IF(ISERROR(F133*3.6/(F23/100)/F22),0,F133*3.6/(F23/100)/F22)</f>
        <v>0</v>
      </c>
      <c r="G137" s="9" t="s">
        <v>370</v>
      </c>
    </row>
    <row r="139" spans="3:7" x14ac:dyDescent="0.15">
      <c r="C139" s="89" t="s">
        <v>526</v>
      </c>
      <c r="D139" s="101"/>
      <c r="E139" s="101"/>
      <c r="F139" s="89"/>
      <c r="G139" s="101"/>
    </row>
    <row r="141" spans="3:7" x14ac:dyDescent="0.15">
      <c r="D141" s="81" t="s">
        <v>215</v>
      </c>
      <c r="F141" s="98" t="str">
        <f>IF(OR(F3="石炭火力",F3= "LNG火力", F3="ガスコジェネ",F3="バイオマス（石炭混焼）",F3="バイオマス（木質専焼）",F3="燃料電池"),IF($F$43="需要地価格","",1000),IF(OR(F3="石油火力",F3="石油コジェネ"),IF($F$43="需要地価格","",158.987294928),""))</f>
        <v/>
      </c>
      <c r="G141" s="81" t="s">
        <v>216</v>
      </c>
    </row>
    <row r="142" spans="3:7" x14ac:dyDescent="0.15">
      <c r="D142" s="81" t="s">
        <v>180</v>
      </c>
      <c r="F142" s="91">
        <f>IF(ISERROR(F42/1000),0,F42/1000)</f>
        <v>0</v>
      </c>
      <c r="G142" s="81" t="s">
        <v>217</v>
      </c>
    </row>
    <row r="145" spans="3:7" x14ac:dyDescent="0.15">
      <c r="C145" s="9" t="s">
        <v>368</v>
      </c>
      <c r="F145" s="98">
        <f>IF(ISERROR(F133*(F47*3.6/(F23/100)/1000*(44/12))),0,F133*(F47*3.6/(F23/100)/1000*(44/12)))</f>
        <v>0</v>
      </c>
      <c r="G145" s="81" t="s">
        <v>218</v>
      </c>
    </row>
    <row r="147" spans="3:7" x14ac:dyDescent="0.15">
      <c r="C147" s="89" t="s">
        <v>369</v>
      </c>
      <c r="D147" s="101"/>
      <c r="E147" s="101"/>
      <c r="F147" s="89"/>
      <c r="G147" s="101"/>
    </row>
    <row r="149" spans="3:7" x14ac:dyDescent="0.15">
      <c r="D149" s="81" t="s">
        <v>219</v>
      </c>
      <c r="F149" s="98">
        <f>IF(ISERROR(F52/F23),0,F52/F23)</f>
        <v>0</v>
      </c>
    </row>
    <row r="150" spans="3:7" x14ac:dyDescent="0.15">
      <c r="D150" s="81" t="s">
        <v>220</v>
      </c>
      <c r="F150" s="98">
        <f>F133*F149*(F53/100)*3.6</f>
        <v>0</v>
      </c>
      <c r="G150" s="81" t="s">
        <v>221</v>
      </c>
    </row>
    <row r="151" spans="3:7" ht="16.5" x14ac:dyDescent="0.15">
      <c r="D151" s="81" t="s">
        <v>222</v>
      </c>
      <c r="F151" s="44">
        <f>IF(ISERROR(F150/(F54/100)/F55),0,F150/(F54/100)/F55)</f>
        <v>0</v>
      </c>
      <c r="G151" s="9" t="s">
        <v>370</v>
      </c>
    </row>
    <row r="152" spans="3:7" x14ac:dyDescent="0.15">
      <c r="D152" s="81" t="s">
        <v>223</v>
      </c>
      <c r="F152" s="146">
        <f>IF(ISERROR(F56/1000),0,F56/1000)</f>
        <v>0</v>
      </c>
      <c r="G152" s="81" t="s">
        <v>217</v>
      </c>
    </row>
    <row r="153" spans="3:7" x14ac:dyDescent="0.15">
      <c r="D153" s="81" t="s">
        <v>224</v>
      </c>
      <c r="F153" s="98">
        <f>IF(ISERROR(F150*F47/1000*(44/12)/(F54/100)),0,F150*F47/1000*(44/12)/(F54/100))</f>
        <v>0</v>
      </c>
      <c r="G153" s="81" t="s">
        <v>218</v>
      </c>
    </row>
  </sheetData>
  <mergeCells count="48">
    <mergeCell ref="BR12:BR13"/>
    <mergeCell ref="AI12:AI13"/>
    <mergeCell ref="AL12:AL13"/>
    <mergeCell ref="AO12:AO13"/>
    <mergeCell ref="AR12:AR13"/>
    <mergeCell ref="AW12:AW13"/>
    <mergeCell ref="BB12:BB13"/>
    <mergeCell ref="BL12:BL13"/>
    <mergeCell ref="BK12:BK13"/>
    <mergeCell ref="BO12:BO13"/>
    <mergeCell ref="BJ12:BJ13"/>
    <mergeCell ref="BA9:BB10"/>
    <mergeCell ref="AE9:AF10"/>
    <mergeCell ref="V9:W10"/>
    <mergeCell ref="BE12:BE13"/>
    <mergeCell ref="BH12:BH13"/>
    <mergeCell ref="P12:P13"/>
    <mergeCell ref="W12:W13"/>
    <mergeCell ref="Z12:Z13"/>
    <mergeCell ref="AC12:AC13"/>
    <mergeCell ref="AF12:AF13"/>
    <mergeCell ref="BQ7:BR7"/>
    <mergeCell ref="BJ7:BO7"/>
    <mergeCell ref="I9:I10"/>
    <mergeCell ref="K9:K10"/>
    <mergeCell ref="M9:M10"/>
    <mergeCell ref="O9:P10"/>
    <mergeCell ref="R9:R10"/>
    <mergeCell ref="AN9:AO10"/>
    <mergeCell ref="AQ9:AR10"/>
    <mergeCell ref="AY7:BB7"/>
    <mergeCell ref="AY9:AY10"/>
    <mergeCell ref="BD7:BH7"/>
    <mergeCell ref="BJ9:BL10"/>
    <mergeCell ref="BN9:BO10"/>
    <mergeCell ref="BD9:BE10"/>
    <mergeCell ref="BG9:BH10"/>
    <mergeCell ref="F3:G3"/>
    <mergeCell ref="V7:AF7"/>
    <mergeCell ref="AH7:AR7"/>
    <mergeCell ref="AT7:AW7"/>
    <mergeCell ref="AK9:AL10"/>
    <mergeCell ref="T9:T10"/>
    <mergeCell ref="AV9:AW10"/>
    <mergeCell ref="AT9:AT10"/>
    <mergeCell ref="AH9:AI10"/>
    <mergeCell ref="AB9:AC10"/>
    <mergeCell ref="Y9:Z10"/>
  </mergeCells>
  <phoneticPr fontId="17"/>
  <dataValidations count="4">
    <dataValidation type="list" allowBlank="1" showDropDown="1" showInputMessage="1" showErrorMessage="1" sqref="F48 F41" xr:uid="{00000000-0002-0000-1600-000000000000}">
      <formula1>"現行政策シナリオ, 新政策シナリオ"</formula1>
    </dataValidation>
    <dataValidation type="whole" allowBlank="1" showInputMessage="1" showErrorMessage="1" sqref="F7" xr:uid="{00000000-0002-0000-1600-000001000000}">
      <formula1>2010</formula1>
      <formula2>2030</formula2>
    </dataValidation>
    <dataValidation type="list" allowBlank="1" showDropDown="1" showInputMessage="1" showErrorMessage="1" sqref="F43" xr:uid="{00000000-0002-0000-1600-000002000000}">
      <formula1>"CIF価格, 需要地価格"</formula1>
    </dataValidation>
    <dataValidation type="list" allowBlank="1" showDropDown="1" showInputMessage="1" showErrorMessage="1" sqref="F3:G3" xr:uid="{00000000-0002-0000-1600-000003000000}">
      <formula1>"原子力,石炭火力,LNG火力,石油火力,一般水力,太陽光（メガソーラー）,太陽光（住宅）,風力（陸上）,風力（洋上）,小水力,地熱,バイオマス（石炭混焼）,バイオマス（木質専焼）,ガスコジェネ,石油コジェネ,陸上風力"</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BR153"/>
  <sheetViews>
    <sheetView showGridLines="0" zoomScale="85" zoomScaleNormal="85" workbookViewId="0">
      <pane xSplit="10" ySplit="14" topLeftCell="K57" activePane="bottomRight" state="frozen"/>
      <selection pane="topRight" activeCell="AF12" sqref="AF12:AF13"/>
      <selection pane="bottomLeft" activeCell="AF12" sqref="AF12:AF13"/>
      <selection pane="bottomRight" activeCell="N66" sqref="N66"/>
    </sheetView>
  </sheetViews>
  <sheetFormatPr defaultColWidth="9" defaultRowHeight="14.25" outlineLevelCol="1" x14ac:dyDescent="0.15"/>
  <cols>
    <col min="1" max="3" width="6.25" style="71" customWidth="1"/>
    <col min="4" max="4" width="6.25" style="84" customWidth="1"/>
    <col min="5" max="5" width="24.375" style="84" customWidth="1"/>
    <col min="6" max="6" width="18.75" style="71" customWidth="1"/>
    <col min="7" max="7" width="24.375" style="84" bestFit="1" customWidth="1"/>
    <col min="8" max="8" width="9" style="71"/>
    <col min="9" max="9" width="6.25" style="71" customWidth="1"/>
    <col min="10" max="10" width="3" style="71" customWidth="1"/>
    <col min="11" max="11" width="6.25" style="71" customWidth="1"/>
    <col min="12" max="12" width="3" style="2" customWidth="1"/>
    <col min="13" max="13" width="6.25" style="2" customWidth="1"/>
    <col min="14" max="14" width="3" style="2" customWidth="1"/>
    <col min="15" max="15" width="17.375" style="2" bestFit="1" customWidth="1"/>
    <col min="16" max="16" width="8.625" style="2" customWidth="1"/>
    <col min="17" max="17" width="3" style="2" customWidth="1"/>
    <col min="18" max="18" width="17.375" style="2" bestFit="1" customWidth="1"/>
    <col min="19" max="19" width="3" style="2" customWidth="1"/>
    <col min="20" max="20" width="17.375" style="2" bestFit="1" customWidth="1"/>
    <col min="21" max="21" width="3" style="2" customWidth="1"/>
    <col min="22" max="22" width="15" style="2" customWidth="1" outlineLevel="1"/>
    <col min="23" max="23" width="17.375" style="2" bestFit="1" customWidth="1"/>
    <col min="24" max="24" width="3" style="2" customWidth="1"/>
    <col min="25" max="25" width="15" style="2" customWidth="1" outlineLevel="1"/>
    <col min="26" max="26" width="15" style="2" customWidth="1"/>
    <col min="27" max="27" width="3" style="2" customWidth="1"/>
    <col min="28" max="28" width="15" style="2" customWidth="1" outlineLevel="1"/>
    <col min="29" max="29" width="15" style="2" customWidth="1"/>
    <col min="30" max="30" width="3" style="2" customWidth="1"/>
    <col min="31" max="31" width="15" style="2" customWidth="1" outlineLevel="1"/>
    <col min="32" max="32" width="15" style="2" customWidth="1"/>
    <col min="33" max="33" width="3" style="2" customWidth="1"/>
    <col min="34" max="34" width="14.875" style="2" customWidth="1" outlineLevel="1"/>
    <col min="35" max="35" width="15" style="2" customWidth="1"/>
    <col min="36" max="36" width="3" style="2" customWidth="1"/>
    <col min="37" max="37" width="15" style="2" customWidth="1" outlineLevel="1"/>
    <col min="38" max="38" width="15" style="2" customWidth="1"/>
    <col min="39" max="39" width="3" style="2" customWidth="1"/>
    <col min="40" max="40" width="15" style="2" customWidth="1" outlineLevel="1"/>
    <col min="41" max="41" width="15" style="2" customWidth="1"/>
    <col min="42" max="42" width="3" style="2" customWidth="1"/>
    <col min="43" max="43" width="15" style="2" customWidth="1" outlineLevel="1"/>
    <col min="44" max="44" width="15" style="2" customWidth="1"/>
    <col min="45" max="45" width="3" style="2" customWidth="1"/>
    <col min="46" max="46" width="10.75" style="2" bestFit="1" customWidth="1"/>
    <col min="47" max="47" width="3" style="2" customWidth="1"/>
    <col min="48" max="48" width="15" style="2" customWidth="1" outlineLevel="1"/>
    <col min="49" max="49" width="17.375" style="2" bestFit="1" customWidth="1"/>
    <col min="50" max="50" width="3" style="2" customWidth="1"/>
    <col min="51" max="51" width="9.625" style="2" bestFit="1" customWidth="1"/>
    <col min="52" max="52" width="3" style="2" customWidth="1"/>
    <col min="53" max="53" width="15" style="2" customWidth="1" outlineLevel="1"/>
    <col min="54" max="54" width="17.375" style="2" bestFit="1" customWidth="1"/>
    <col min="55" max="55" width="3" style="2" customWidth="1"/>
    <col min="56" max="56" width="19.25" style="2" customWidth="1" outlineLevel="1"/>
    <col min="57" max="57" width="19.25" style="2" bestFit="1" customWidth="1"/>
    <col min="58" max="58" width="3" style="2" customWidth="1"/>
    <col min="59" max="59" width="19.25" style="2" customWidth="1" outlineLevel="1"/>
    <col min="60" max="60" width="19.25" style="2"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2" customWidth="1" outlineLevel="1"/>
    <col min="70" max="70" width="17.375" style="2" bestFit="1" customWidth="1"/>
    <col min="71" max="16384" width="9" style="2"/>
  </cols>
  <sheetData>
    <row r="1" spans="1:70" ht="18.75" x14ac:dyDescent="0.15">
      <c r="A1" s="6" t="s">
        <v>60</v>
      </c>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Q1" s="71"/>
      <c r="BR1" s="71"/>
    </row>
    <row r="3" spans="1:70" ht="23.25" x14ac:dyDescent="0.15">
      <c r="B3" s="1" t="s">
        <v>542</v>
      </c>
      <c r="F3" s="732" t="s">
        <v>245</v>
      </c>
      <c r="G3" s="719"/>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Q3" s="71"/>
      <c r="BR3" s="71"/>
    </row>
    <row r="4" spans="1:70" x14ac:dyDescent="0.15">
      <c r="G4" s="472"/>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Q4" s="71"/>
      <c r="BR4" s="71"/>
    </row>
    <row r="5" spans="1:70" ht="15.75" thickBot="1" x14ac:dyDescent="0.2">
      <c r="B5" s="5" t="s">
        <v>543</v>
      </c>
      <c r="C5" s="3"/>
      <c r="D5" s="102"/>
      <c r="E5" s="102"/>
      <c r="F5" s="3"/>
      <c r="G5" s="102"/>
      <c r="I5" s="5" t="s">
        <v>544</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71" t="s">
        <v>545</v>
      </c>
      <c r="F7" s="473">
        <v>2020</v>
      </c>
      <c r="I7" s="8"/>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71" t="s">
        <v>546</v>
      </c>
      <c r="F8" s="474">
        <f>まとめ!B3</f>
        <v>107</v>
      </c>
      <c r="G8" s="84" t="s">
        <v>547</v>
      </c>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71" t="s">
        <v>548</v>
      </c>
      <c r="F9" s="474">
        <f>まとめ!B2</f>
        <v>3</v>
      </c>
      <c r="G9" s="84" t="s">
        <v>549</v>
      </c>
      <c r="I9" s="720" t="s">
        <v>550</v>
      </c>
      <c r="J9" s="8"/>
      <c r="K9" s="707" t="s">
        <v>551</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30" t="s">
        <v>232</v>
      </c>
      <c r="AI9" s="729"/>
      <c r="AJ9" s="60"/>
      <c r="AK9" s="730" t="s">
        <v>233</v>
      </c>
      <c r="AL9" s="729"/>
      <c r="AM9" s="111"/>
      <c r="AN9" s="730" t="s">
        <v>233</v>
      </c>
      <c r="AO9" s="729"/>
      <c r="AP9" s="111"/>
      <c r="AQ9" s="730" t="s">
        <v>233</v>
      </c>
      <c r="AR9" s="729"/>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I10" s="708"/>
      <c r="K10" s="708"/>
      <c r="L10" s="71"/>
      <c r="M10" s="708"/>
      <c r="N10" s="71"/>
      <c r="O10" s="717"/>
      <c r="P10" s="717"/>
      <c r="Q10" s="71"/>
      <c r="R10" s="708"/>
      <c r="S10" s="71"/>
      <c r="T10" s="708"/>
      <c r="U10" s="71"/>
      <c r="V10" s="717"/>
      <c r="W10" s="717"/>
      <c r="X10" s="71"/>
      <c r="Y10" s="717"/>
      <c r="Z10" s="717"/>
      <c r="AA10" s="71"/>
      <c r="AB10" s="723"/>
      <c r="AC10" s="723"/>
      <c r="AD10" s="81"/>
      <c r="AE10" s="723"/>
      <c r="AF10" s="723"/>
      <c r="AG10" s="71"/>
      <c r="AH10" s="731"/>
      <c r="AI10" s="731"/>
      <c r="AJ10" s="61"/>
      <c r="AK10" s="731"/>
      <c r="AL10" s="731"/>
      <c r="AM10" s="9"/>
      <c r="AN10" s="731"/>
      <c r="AO10" s="731"/>
      <c r="AP10" s="9"/>
      <c r="AQ10" s="731"/>
      <c r="AR10" s="731"/>
      <c r="AS10" s="71"/>
      <c r="AT10" s="717"/>
      <c r="AU10" s="71"/>
      <c r="AV10" s="717"/>
      <c r="AW10" s="717"/>
      <c r="AX10" s="322"/>
      <c r="AY10" s="708"/>
      <c r="AZ10" s="71"/>
      <c r="BA10" s="708"/>
      <c r="BB10" s="708"/>
      <c r="BC10" s="71"/>
      <c r="BD10" s="717"/>
      <c r="BE10" s="717"/>
      <c r="BF10" s="71"/>
      <c r="BG10" s="717"/>
      <c r="BH10" s="717"/>
      <c r="BJ10" s="708"/>
      <c r="BK10" s="708"/>
      <c r="BL10" s="708"/>
      <c r="BM10" s="322"/>
      <c r="BN10" s="717"/>
      <c r="BO10" s="717"/>
      <c r="BQ10" s="322"/>
      <c r="BR10" s="322"/>
    </row>
    <row r="11" spans="1:70" ht="15.75" customHeight="1" thickBot="1" x14ac:dyDescent="0.2">
      <c r="B11" s="5" t="s">
        <v>95</v>
      </c>
      <c r="C11" s="3"/>
      <c r="D11" s="102"/>
      <c r="E11" s="102"/>
      <c r="F11" s="3"/>
      <c r="G11" s="102"/>
      <c r="L11" s="71"/>
      <c r="M11" s="71"/>
      <c r="N11" s="71"/>
      <c r="O11" s="322" t="s">
        <v>96</v>
      </c>
      <c r="P11" s="322"/>
      <c r="Q11" s="322"/>
      <c r="R11" s="322" t="s">
        <v>96</v>
      </c>
      <c r="S11" s="322"/>
      <c r="T11" s="322"/>
      <c r="U11" s="71"/>
      <c r="V11" s="322"/>
      <c r="W11" s="322"/>
      <c r="X11" s="71"/>
      <c r="Y11" s="322"/>
      <c r="Z11" s="322"/>
      <c r="AA11" s="71"/>
      <c r="AB11" s="322"/>
      <c r="AC11" s="322"/>
      <c r="AD11" s="71"/>
      <c r="AE11" s="322"/>
      <c r="AF11" s="322"/>
      <c r="AG11" s="71"/>
      <c r="AH11" s="322"/>
      <c r="AI11" s="322"/>
      <c r="AJ11" s="71"/>
      <c r="AK11" s="322"/>
      <c r="AL11" s="322"/>
      <c r="AM11" s="71"/>
      <c r="AN11" s="322"/>
      <c r="AO11" s="322"/>
      <c r="AP11" s="71"/>
      <c r="AQ11" s="322"/>
      <c r="AR11" s="322"/>
      <c r="AS11" s="71"/>
      <c r="AT11" s="322"/>
      <c r="AU11" s="71"/>
      <c r="AV11" s="322"/>
      <c r="AW11" s="322"/>
      <c r="AX11" s="322"/>
      <c r="AY11" s="71"/>
      <c r="AZ11" s="71"/>
      <c r="BA11" s="71"/>
      <c r="BB11" s="322"/>
      <c r="BC11" s="71"/>
      <c r="BD11" s="322"/>
      <c r="BE11" s="322"/>
      <c r="BF11" s="71"/>
      <c r="BG11" s="322"/>
      <c r="BH11" s="322"/>
      <c r="BJ11" s="156"/>
      <c r="BM11" s="322"/>
      <c r="BN11" s="322"/>
      <c r="BO11" s="322"/>
      <c r="BQ11" s="322"/>
      <c r="BR11" s="322"/>
    </row>
    <row r="12" spans="1:70" ht="14.25" customHeight="1" x14ac:dyDescent="0.15">
      <c r="L12" s="71"/>
      <c r="M12" s="71"/>
      <c r="N12" s="71"/>
      <c r="O12" s="322"/>
      <c r="P12" s="707" t="s">
        <v>97</v>
      </c>
      <c r="Q12" s="71"/>
      <c r="R12" s="71"/>
      <c r="S12" s="71"/>
      <c r="T12" s="71"/>
      <c r="U12" s="71"/>
      <c r="V12" s="71"/>
      <c r="W12" s="707" t="s">
        <v>98</v>
      </c>
      <c r="X12" s="71"/>
      <c r="Y12" s="71"/>
      <c r="Z12" s="707" t="s">
        <v>98</v>
      </c>
      <c r="AA12" s="71"/>
      <c r="AB12" s="71"/>
      <c r="AC12" s="707" t="s">
        <v>98</v>
      </c>
      <c r="AD12" s="71"/>
      <c r="AE12" s="71"/>
      <c r="AF12" s="707" t="s">
        <v>98</v>
      </c>
      <c r="AG12" s="71"/>
      <c r="AH12" s="71"/>
      <c r="AI12" s="707" t="s">
        <v>98</v>
      </c>
      <c r="AJ12" s="71"/>
      <c r="AK12" s="71"/>
      <c r="AL12" s="707" t="s">
        <v>98</v>
      </c>
      <c r="AM12" s="71"/>
      <c r="AN12" s="71"/>
      <c r="AO12" s="707" t="s">
        <v>98</v>
      </c>
      <c r="AP12" s="71"/>
      <c r="AQ12" s="71"/>
      <c r="AR12" s="707" t="s">
        <v>98</v>
      </c>
      <c r="AS12" s="71"/>
      <c r="AT12" s="71"/>
      <c r="AU12" s="71"/>
      <c r="AV12" s="71"/>
      <c r="AW12" s="707" t="s">
        <v>98</v>
      </c>
      <c r="AX12" s="71"/>
      <c r="AY12" s="71"/>
      <c r="AZ12" s="71"/>
      <c r="BA12" s="71"/>
      <c r="BB12" s="707" t="s">
        <v>98</v>
      </c>
      <c r="BC12" s="71"/>
      <c r="BD12" s="71"/>
      <c r="BE12" s="707" t="s">
        <v>98</v>
      </c>
      <c r="BF12" s="71"/>
      <c r="BG12" s="71"/>
      <c r="BH12" s="707" t="s">
        <v>98</v>
      </c>
      <c r="BJ12" s="709" t="s">
        <v>99</v>
      </c>
      <c r="BK12" s="709" t="s">
        <v>100</v>
      </c>
      <c r="BL12" s="709" t="s">
        <v>101</v>
      </c>
      <c r="BO12" s="709" t="s">
        <v>102</v>
      </c>
      <c r="BQ12" s="71"/>
      <c r="BR12" s="707" t="s">
        <v>103</v>
      </c>
    </row>
    <row r="13" spans="1:70" ht="14.25" customHeight="1" x14ac:dyDescent="0.15">
      <c r="C13" s="71" t="s">
        <v>552</v>
      </c>
      <c r="F13" s="475">
        <v>35</v>
      </c>
      <c r="G13" s="84" t="s">
        <v>553</v>
      </c>
      <c r="L13" s="71"/>
      <c r="M13" s="71"/>
      <c r="N13" s="71"/>
      <c r="O13" s="322"/>
      <c r="P13" s="708"/>
      <c r="Q13" s="322"/>
      <c r="R13" s="322"/>
      <c r="S13" s="322"/>
      <c r="T13" s="322"/>
      <c r="U13" s="71"/>
      <c r="V13" s="322"/>
      <c r="W13" s="708"/>
      <c r="X13" s="71"/>
      <c r="Y13" s="322"/>
      <c r="Z13" s="708"/>
      <c r="AA13" s="71"/>
      <c r="AB13" s="322"/>
      <c r="AC13" s="708"/>
      <c r="AD13" s="71"/>
      <c r="AE13" s="322"/>
      <c r="AF13" s="708"/>
      <c r="AG13" s="71"/>
      <c r="AH13" s="322"/>
      <c r="AI13" s="708"/>
      <c r="AJ13" s="71"/>
      <c r="AK13" s="322"/>
      <c r="AL13" s="708"/>
      <c r="AM13" s="71"/>
      <c r="AN13" s="322"/>
      <c r="AO13" s="708"/>
      <c r="AP13" s="71"/>
      <c r="AQ13" s="322"/>
      <c r="AR13" s="708"/>
      <c r="AS13" s="71"/>
      <c r="AT13" s="322"/>
      <c r="AU13" s="71"/>
      <c r="AV13" s="322"/>
      <c r="AW13" s="708"/>
      <c r="AX13" s="71"/>
      <c r="AY13" s="71"/>
      <c r="AZ13" s="71"/>
      <c r="BA13" s="71"/>
      <c r="BB13" s="708"/>
      <c r="BC13" s="71"/>
      <c r="BD13" s="322"/>
      <c r="BE13" s="708"/>
      <c r="BF13" s="71"/>
      <c r="BG13" s="322"/>
      <c r="BH13" s="708"/>
      <c r="BJ13" s="712"/>
      <c r="BK13" s="710"/>
      <c r="BL13" s="708"/>
      <c r="BM13" s="322"/>
      <c r="BO13" s="708"/>
      <c r="BQ13" s="322"/>
      <c r="BR13" s="708"/>
    </row>
    <row r="14" spans="1:70" ht="16.5" x14ac:dyDescent="0.15">
      <c r="C14" s="71" t="s">
        <v>554</v>
      </c>
      <c r="F14" s="474">
        <f>VLOOKUP(F3&amp;IF(G4&lt;&gt;"","_"&amp;G4,""),まとめ!$A$12:$G$34,IF(F7=2030,4,IF(F7=2020,3,IF(F7=2014,2,"-"))),0)</f>
        <v>30</v>
      </c>
      <c r="G14" s="84" t="s">
        <v>549</v>
      </c>
      <c r="L14" s="71"/>
      <c r="M14" s="71"/>
      <c r="N14" s="71"/>
      <c r="O14" s="322"/>
      <c r="P14" s="322"/>
      <c r="Q14" s="322"/>
      <c r="R14" s="322"/>
      <c r="S14" s="322"/>
      <c r="T14" s="322"/>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50" t="s">
        <v>104</v>
      </c>
      <c r="AU14" s="71"/>
      <c r="AV14" s="71"/>
      <c r="AW14" s="71"/>
      <c r="AX14" s="71"/>
      <c r="AY14" s="71" t="s">
        <v>105</v>
      </c>
      <c r="AZ14" s="71"/>
      <c r="BA14" s="71"/>
      <c r="BB14" s="71"/>
      <c r="BC14" s="71"/>
      <c r="BD14" s="71"/>
      <c r="BE14" s="71"/>
      <c r="BF14" s="71"/>
      <c r="BG14" s="71"/>
      <c r="BH14" s="71"/>
      <c r="BQ14" s="71"/>
      <c r="BR14" s="71"/>
    </row>
    <row r="15" spans="1:70" x14ac:dyDescent="0.15">
      <c r="C15" s="71" t="s">
        <v>555</v>
      </c>
      <c r="F15" s="474">
        <f>VLOOKUP(F3&amp;IF(G4&lt;&gt;"","_"&amp;G4,""),まとめ!$A$12:$G$34,IF(F7=2030,7,IF(F7=2020,6,IF(F7=2014,5,"-"))),0)</f>
        <v>25</v>
      </c>
      <c r="G15" s="84" t="s">
        <v>556</v>
      </c>
      <c r="I15" s="38">
        <f>F7</f>
        <v>2020</v>
      </c>
      <c r="J15" s="39"/>
      <c r="K15" s="39">
        <f>IF(I15&lt;&gt;"",1,"")</f>
        <v>1</v>
      </c>
      <c r="L15" s="39"/>
      <c r="M15" s="40">
        <f t="shared" ref="M15:M78" si="0">1/(1+($F$9/100))^K15</f>
        <v>0.970873786407767</v>
      </c>
      <c r="N15" s="39"/>
      <c r="O15" s="72">
        <f>F117</f>
        <v>180250000000</v>
      </c>
      <c r="P15" s="41">
        <f t="shared" ref="P15:P46" si="1">IF(K15&lt;=$F$15,IF(OR(P14=$F$124,P14="-"),"-",IF(O15*$F$123&gt;$F$127,$F$123,$F$124)),"")</f>
        <v>0.14699999999999999</v>
      </c>
      <c r="Q15" s="39"/>
      <c r="R15" s="72">
        <f>F117</f>
        <v>180250000000</v>
      </c>
      <c r="S15" s="39"/>
      <c r="T15" s="72">
        <f>IF(ISNUMBER(R15),ROUNDDOWN(R15,-3),"")</f>
        <v>180250000000</v>
      </c>
      <c r="U15" s="39"/>
      <c r="V15" s="72">
        <f t="shared" ref="V15:V46" si="2">IF(K15&lt;=$F$15,IF(K15&lt;$F$119,IF(P15="-",V14,O15*P15),IF(K15=$F$119,MIN(IF(P15="-",V14,O15*P15),O15),0)),"")</f>
        <v>26496750000</v>
      </c>
      <c r="W15" s="72">
        <f>IF(ISNUMBER(V15),V15*$M15,"")</f>
        <v>25725000000</v>
      </c>
      <c r="X15" s="39"/>
      <c r="Y15" s="72">
        <f t="shared" ref="Y15:Y46" si="3">IF($K15&lt;=$F$15,ROUNDDOWN(T15*$F$25/100,-2),"")</f>
        <v>2523500000</v>
      </c>
      <c r="Z15" s="72">
        <f>IF(ISNUMBER(Y15),Y15*$M15,"")</f>
        <v>2450000000</v>
      </c>
      <c r="AA15" s="39"/>
      <c r="AB15" s="72">
        <f t="shared" ref="AB15:AB78" si="4">IF($K15&lt;=$F$15,0,IF(AND($K15&gt;$F$15,$K15&lt;=$F$15+$F$28),$F$27*10^8/$F$28,""))</f>
        <v>0</v>
      </c>
      <c r="AC15" s="72">
        <f>IF(ISNUMBER(AB15),AB15*$M15,"")</f>
        <v>0</v>
      </c>
      <c r="AD15" s="39"/>
      <c r="AE15" s="72">
        <f t="shared" ref="AE15:AE46" si="5">IF($K15&lt;=$F$15,$F$26,"")</f>
        <v>0</v>
      </c>
      <c r="AF15" s="72">
        <f>IF(ISNUMBER(AE15),AE15*$M15,"")</f>
        <v>0</v>
      </c>
      <c r="AG15" s="39"/>
      <c r="AH15" s="72">
        <f t="shared" ref="AH15:AH46" si="6">IF($K15&lt;=$F$15,$F$33*10^4*$F$13*10^4,"")</f>
        <v>7875000000</v>
      </c>
      <c r="AI15" s="72">
        <f>IF(ISNUMBER(AH15),AH15*$M15,"")</f>
        <v>7645631067.9611654</v>
      </c>
      <c r="AJ15" s="39"/>
      <c r="AK15" s="72">
        <f t="shared" ref="AK15:AK46" si="7">IF($K15&lt;=$F$15,$F$117*$F$34/100,"")</f>
        <v>0</v>
      </c>
      <c r="AL15" s="72">
        <f>IF(ISNUMBER(AK15),AK15*$M15,"")</f>
        <v>0</v>
      </c>
      <c r="AM15" s="39"/>
      <c r="AN15" s="72">
        <f t="shared" ref="AN15:AN46" si="8">IF($K15&lt;=$F$15,$F$117*$F$35/100,"")</f>
        <v>0</v>
      </c>
      <c r="AO15" s="72">
        <f>IF(ISNUMBER(AN15),AN15*$M15,"")</f>
        <v>0</v>
      </c>
      <c r="AP15" s="39"/>
      <c r="AQ15" s="72">
        <f t="shared" ref="AQ15:AQ46" si="9">IF($K15&lt;=$F$15,SUM(AH15,AK15,AN15)*($F$36/100),"")</f>
        <v>0</v>
      </c>
      <c r="AR15" s="72">
        <f>IF(ISNUMBER(AQ15),AQ15*$M15,"")</f>
        <v>0</v>
      </c>
      <c r="AS15" s="39"/>
      <c r="AT15" s="40">
        <f>IF($K15&lt;=$F$15,IF($F$40&lt;&gt;"",$F$40/1000,IF(ISERROR(VLOOKUP($F$3&amp;IF($G$4&lt;&gt;"",$G$4,"")&amp;IF($F$43&lt;&gt;"","_"&amp;$F$43,""),'表3）燃料価格'!$AF$9:$AG$25,2,0)),0,VLOOKUP($I15,'表3）燃料価格'!$A$6:$U$66,VLOOKUP($F$3&amp;IF($G$4&lt;&gt;"",$G$4,"")&amp;IF($F$43&lt;&gt;"","_"&amp;$F$43,""),'表3）燃料価格'!$AF$9:$AG$25,2,0)+VLOOKUP($F$41,'表3）燃料価格'!$AF$28:$AG$29,2,0),0)*IF($F$43="需要地価格",1,$F$8/$F$141))),"")</f>
        <v>0</v>
      </c>
      <c r="AU15" s="39"/>
      <c r="AV15" s="72">
        <f t="shared" ref="AV15:AV46" si="10">IF($K15&lt;=$F$15,($AT15+$F$142)*$F$137,"")</f>
        <v>0</v>
      </c>
      <c r="AW15" s="72">
        <f>IF(ISNUMBER(AV15),AV15*$M15,"")</f>
        <v>0</v>
      </c>
      <c r="AX15" s="39"/>
      <c r="AY15" s="40">
        <f>IF(ISERROR(IF($K15&lt;=$F$15,VLOOKUP($I15,'表4）CO2価格'!$A$7:$E$67,VLOOKUP($F$48,'表4）CO2価格'!$H$10:$I$12,2,0),0)*$F$8/1000,"")),0,IF($K15&lt;=$F$15,VLOOKUP($I15,'表4）CO2価格'!$A$7:$E$67,VLOOKUP($F$48,'表4）CO2価格'!$H$10:$I$12,2,0),0)*$F$8/1000,""))</f>
        <v>0</v>
      </c>
      <c r="AZ15" s="39"/>
      <c r="BA15" s="42">
        <f t="shared" ref="BA15:BA46" si="11">IF($K15&lt;=$F$15,$F$145*AY15,"")</f>
        <v>0</v>
      </c>
      <c r="BB15" s="72">
        <f>IF(ISNUMBER(BA15),BA15*$M15,"")</f>
        <v>0</v>
      </c>
      <c r="BC15" s="39"/>
      <c r="BD15" s="72">
        <f t="shared" ref="BD15:BD46" si="12">IF($K15&lt;=$F$15,($AT15+$F$152)*$F$151,"")</f>
        <v>0</v>
      </c>
      <c r="BE15" s="72">
        <f>IF(ISNUMBER(BD15),BD15*$M15,"")</f>
        <v>0</v>
      </c>
      <c r="BF15" s="39"/>
      <c r="BG15" s="42">
        <f t="shared" ref="BG15:BG46" si="13">IF($K15&lt;=$F$15,$F$153*AY15,"")</f>
        <v>0</v>
      </c>
      <c r="BH15" s="72">
        <f>IF(ISNUMBER(BG15),BG15*$M15,"")</f>
        <v>0</v>
      </c>
      <c r="BI15" s="39"/>
      <c r="BJ15" s="40">
        <f>IF(ISNUMBER($F$16),IF($K15&lt;=$F$16+$F$28,1/(1+($F$17/100))^K15,""),"")</f>
        <v>0.90909090909090906</v>
      </c>
      <c r="BK15" s="157">
        <f>IF(ISNUMBER($F$16),IF($K15&lt;=$F$16+$F$28,IF($K15&lt;=$F$16,SUM(Y15,AB15,AE15,AH15,AK15,AN15,AQ15,AV15,BA15,BD15,BG15),$F$27/$F$28*10^8)*BJ15,""),"")</f>
        <v>9453181818.181818</v>
      </c>
      <c r="BL15" s="157">
        <f t="shared" ref="BL15:BL78" si="14">IF(AND(ISNUMBER(BJ15),$K15&lt;=$F$16),BQ15*BJ15,"")</f>
        <v>836181818.18181813</v>
      </c>
      <c r="BM15" s="72"/>
      <c r="BN15" s="72">
        <f>IF(AND(ISNUMBER($F$16),$K15&lt;=$F$16),BQ15*($O$15+$BK$116)/$BL$116,"")</f>
        <v>30484847278.973122</v>
      </c>
      <c r="BO15" s="72">
        <f>IF(ISNUMBER(BN15),BN15*$M15,"")</f>
        <v>29596939105.799149</v>
      </c>
      <c r="BP15" s="39"/>
      <c r="BQ15" s="72">
        <f t="shared" ref="BQ15:BQ46" si="15">IF($K15&lt;=$F$15,$F$134,"")</f>
        <v>919800000</v>
      </c>
      <c r="BR15" s="72">
        <f>IF(ISNUMBER(BQ15),BQ15*$M15,"")</f>
        <v>893009708.73786414</v>
      </c>
    </row>
    <row r="16" spans="1:70" x14ac:dyDescent="0.15">
      <c r="C16" s="184" t="s">
        <v>107</v>
      </c>
      <c r="F16" s="474">
        <f>IF(ISERROR(VLOOKUP(F3&amp;IF(G4&lt;&gt;"","_"&amp;G4,""),'表7）買取期間・IRR'!$A$3:$A$10,1,0)),"",VLOOKUP(F3&amp;IF(G4&lt;&gt;"","_"&amp;G4,""),'表7）買取期間・IRR'!$A$3:$C$10,IF(F7=2030,3,IF(F7=2020,3,IF(F7=2014,2,"-"))),0))</f>
        <v>20</v>
      </c>
      <c r="G16" s="84" t="s">
        <v>556</v>
      </c>
      <c r="I16" s="457">
        <f>I15+1</f>
        <v>2021</v>
      </c>
      <c r="K16" s="71">
        <f>IF(I16&lt;&gt;"",K15+1,"")</f>
        <v>2</v>
      </c>
      <c r="L16" s="71"/>
      <c r="M16" s="7">
        <f t="shared" si="0"/>
        <v>0.94259590913375435</v>
      </c>
      <c r="N16" s="71"/>
      <c r="O16" s="10">
        <f t="shared" ref="O16:O79" si="16">IF(K16&lt;=$F$15,O15-V15,"")</f>
        <v>153753250000</v>
      </c>
      <c r="P16" s="29">
        <f t="shared" si="1"/>
        <v>0.14699999999999999</v>
      </c>
      <c r="Q16" s="71"/>
      <c r="R16" s="10">
        <f t="shared" ref="R16:R47" si="17">IF($K16&lt;=$F$15,MAX($F$117*5%,R15*$F$129),"")</f>
        <v>157417040769.50751</v>
      </c>
      <c r="S16" s="71"/>
      <c r="T16" s="10">
        <f t="shared" ref="T16:T79" si="18">IF(ISNUMBER(R16),ROUNDDOWN(R16,-3),"")</f>
        <v>157417040000</v>
      </c>
      <c r="U16" s="71"/>
      <c r="V16" s="10">
        <f t="shared" si="2"/>
        <v>22601727750</v>
      </c>
      <c r="W16" s="10">
        <f t="shared" ref="W16:W79" si="19">IF(ISNUMBER(V16),V16*$M16,"")</f>
        <v>21304296116.504852</v>
      </c>
      <c r="X16" s="71"/>
      <c r="Y16" s="10">
        <f t="shared" si="3"/>
        <v>2203838500</v>
      </c>
      <c r="Z16" s="10">
        <f t="shared" ref="Z16:Z79" si="20">IF(ISNUMBER(Y16),Y16*$M16,"")</f>
        <v>2077329154.4914694</v>
      </c>
      <c r="AA16" s="71"/>
      <c r="AB16" s="10">
        <f t="shared" si="4"/>
        <v>0</v>
      </c>
      <c r="AC16" s="10">
        <f t="shared" ref="AC16:AC79" si="21">IF(ISNUMBER(AB16),AB16*$M16,"")</f>
        <v>0</v>
      </c>
      <c r="AD16" s="71"/>
      <c r="AE16" s="10">
        <f t="shared" si="5"/>
        <v>0</v>
      </c>
      <c r="AF16" s="10">
        <f t="shared" ref="AF16:AF79" si="22">IF(ISNUMBER(AE16),AE16*$M16,"")</f>
        <v>0</v>
      </c>
      <c r="AG16" s="71"/>
      <c r="AH16" s="10">
        <f t="shared" si="6"/>
        <v>7875000000</v>
      </c>
      <c r="AI16" s="10">
        <f t="shared" ref="AI16:AI79" si="23">IF(ISNUMBER(AH16),AH16*$M16,"")</f>
        <v>7422942784.4283152</v>
      </c>
      <c r="AJ16" s="71"/>
      <c r="AK16" s="10">
        <f t="shared" si="7"/>
        <v>0</v>
      </c>
      <c r="AL16" s="10">
        <f t="shared" ref="AL16:AL79" si="24">IF(ISNUMBER(AK16),AK16*$M16,"")</f>
        <v>0</v>
      </c>
      <c r="AM16" s="71"/>
      <c r="AN16" s="10">
        <f t="shared" si="8"/>
        <v>0</v>
      </c>
      <c r="AO16" s="10">
        <f t="shared" ref="AO16:AO79" si="25">IF(ISNUMBER(AN16),AN16*$M16,"")</f>
        <v>0</v>
      </c>
      <c r="AP16" s="71"/>
      <c r="AQ16" s="10">
        <f t="shared" si="9"/>
        <v>0</v>
      </c>
      <c r="AR16" s="10">
        <f t="shared" ref="AR16:AR79" si="26">IF(ISNUMBER(AQ16),AQ16*$M16,"")</f>
        <v>0</v>
      </c>
      <c r="AS16" s="71"/>
      <c r="AT16" s="7">
        <f>IF($K16&lt;=$F$15,IF($F$40&lt;&gt;"",$F$40/1000,IF(ISERROR(VLOOKUP($F$3&amp;IF($G$4&lt;&gt;"",$G$4,"")&amp;IF($F$43&lt;&gt;"","_"&amp;$F$43,""),'表3）燃料価格'!$AF$9:$AG$25,2,0)),0,VLOOKUP($I16,'表3）燃料価格'!$A$6:$U$66,VLOOKUP($F$3&amp;IF($G$4&lt;&gt;"",$G$4,"")&amp;IF($F$43&lt;&gt;"","_"&amp;$F$43,""),'表3）燃料価格'!$AF$9:$AG$25,2,0)+VLOOKUP($F$41,'表3）燃料価格'!$AF$28:$AG$29,2,0),0)*IF($F$43="需要地価格",1,$F$8/$F$141))),"")</f>
        <v>0</v>
      </c>
      <c r="AU16" s="71"/>
      <c r="AV16" s="10">
        <f t="shared" si="10"/>
        <v>0</v>
      </c>
      <c r="AW16" s="10">
        <f t="shared" ref="AW16:AW79" si="27">IF(ISNUMBER(AV16),AV16*$M16,"")</f>
        <v>0</v>
      </c>
      <c r="AX16" s="71"/>
      <c r="AY16" s="7">
        <f>IF(ISERROR(IF($K16&lt;=$F$15,VLOOKUP($I16,'表4）CO2価格'!$A$7:$E$67,VLOOKUP($F$48,'表4）CO2価格'!$H$10:$I$12,2,0),0)*$F$8/1000,"")),0,IF($K16&lt;=$F$15,VLOOKUP($I16,'表4）CO2価格'!$A$7:$E$67,VLOOKUP($F$48,'表4）CO2価格'!$H$10:$I$12,2,0),0)*$F$8/1000,""))</f>
        <v>0</v>
      </c>
      <c r="AZ16" s="71"/>
      <c r="BA16" s="11">
        <f t="shared" si="11"/>
        <v>0</v>
      </c>
      <c r="BB16" s="10">
        <f t="shared" ref="BB16:BB79" si="28">IF(ISNUMBER(BA16),BA16*$M16,"")</f>
        <v>0</v>
      </c>
      <c r="BC16" s="71"/>
      <c r="BD16" s="10">
        <f t="shared" si="12"/>
        <v>0</v>
      </c>
      <c r="BE16" s="10">
        <f t="shared" ref="BE16:BE79" si="29">IF(ISNUMBER(BD16),BD16*$M16,"")</f>
        <v>0</v>
      </c>
      <c r="BF16" s="71"/>
      <c r="BG16" s="11">
        <f t="shared" si="13"/>
        <v>0</v>
      </c>
      <c r="BH16" s="10">
        <f t="shared" ref="BH16:BH79" si="30">IF(ISNUMBER(BG16),BG16*$M16,"")</f>
        <v>0</v>
      </c>
      <c r="BJ16" s="7">
        <f t="shared" ref="BJ16:BJ79" si="31">IF(ISNUMBER($F$16),IF($K16&lt;=$F$16+$F$28,1/(1+($F$17/100))^K16,""),"")</f>
        <v>0.82644628099173545</v>
      </c>
      <c r="BK16" s="158">
        <f t="shared" ref="BK16:BK79" si="32">IF(ISNUMBER($F$16),IF($K16&lt;=$F$16+$F$28,IF($K16&lt;=$F$16,SUM(Y16,AB16,AE16,AH16,AK16,AN16,AQ16,AV16,BA16,BD16,BG16),$F$27/$F$28*10^8)*BJ16,""),"")</f>
        <v>8329618595.0413218</v>
      </c>
      <c r="BL16" s="158">
        <f t="shared" si="14"/>
        <v>760165289.25619829</v>
      </c>
      <c r="BM16" s="10"/>
      <c r="BN16" s="10">
        <f t="shared" ref="BN16:BN79" si="33">IF(AND(ISNUMBER($F$16),$K16&lt;=$F$16),BQ16*($O$15+$BK$116)/$BL$116,"")</f>
        <v>30484847278.973122</v>
      </c>
      <c r="BO16" s="10">
        <f t="shared" ref="BO16:BO79" si="34">IF(ISNUMBER(BN16),BN16*$M16,"")</f>
        <v>28734892335.727325</v>
      </c>
      <c r="BQ16" s="10">
        <f t="shared" si="15"/>
        <v>919800000</v>
      </c>
      <c r="BR16" s="10">
        <f t="shared" ref="BR16:BR79" si="35">IF(ISNUMBER(BQ16),BQ16*$M16,"")</f>
        <v>866999717.22122729</v>
      </c>
    </row>
    <row r="17" spans="3:70" x14ac:dyDescent="0.15">
      <c r="C17" s="71" t="s">
        <v>109</v>
      </c>
      <c r="F17" s="476">
        <f>IF(ISERROR(VLOOKUP(F3&amp;IF(G4&lt;&gt;"","_"&amp;G4,""),'表7）買取期間・IRR'!$A$14:$C$21,1,0)),"",VLOOKUP(F3&amp;IF(G4&lt;&gt;"","_"&amp;G4,""),'表7）買取期間・IRR'!$A$14:$C$21,IF(F7=2030,3,IF(F7=2020,2,"-")),0))</f>
        <v>10</v>
      </c>
      <c r="G17" s="84" t="s">
        <v>549</v>
      </c>
      <c r="I17" s="38">
        <f t="shared" ref="I17:I80" si="36">I16+1</f>
        <v>2022</v>
      </c>
      <c r="J17" s="39"/>
      <c r="K17" s="39">
        <f t="shared" ref="K17:K80" si="37">IF(I17&lt;&gt;"",K16+1,"")</f>
        <v>3</v>
      </c>
      <c r="L17" s="39"/>
      <c r="M17" s="40">
        <f t="shared" si="0"/>
        <v>0.91514165935315961</v>
      </c>
      <c r="N17" s="39"/>
      <c r="O17" s="72">
        <f t="shared" si="16"/>
        <v>131151522250</v>
      </c>
      <c r="P17" s="41">
        <f t="shared" si="1"/>
        <v>0.14699999999999999</v>
      </c>
      <c r="Q17" s="39"/>
      <c r="R17" s="72">
        <f t="shared" si="17"/>
        <v>137476420108.89758</v>
      </c>
      <c r="S17" s="39"/>
      <c r="T17" s="72">
        <f t="shared" si="18"/>
        <v>137476420000</v>
      </c>
      <c r="U17" s="39"/>
      <c r="V17" s="72">
        <f t="shared" si="2"/>
        <v>19279273770.75</v>
      </c>
      <c r="W17" s="72">
        <f t="shared" si="19"/>
        <v>17643266589.688</v>
      </c>
      <c r="X17" s="39"/>
      <c r="Y17" s="72">
        <f t="shared" si="3"/>
        <v>1924669800</v>
      </c>
      <c r="Z17" s="72">
        <f t="shared" si="20"/>
        <v>1761345514.4789138</v>
      </c>
      <c r="AA17" s="39"/>
      <c r="AB17" s="72">
        <f t="shared" si="4"/>
        <v>0</v>
      </c>
      <c r="AC17" s="72">
        <f t="shared" si="21"/>
        <v>0</v>
      </c>
      <c r="AD17" s="39"/>
      <c r="AE17" s="72">
        <f t="shared" si="5"/>
        <v>0</v>
      </c>
      <c r="AF17" s="72">
        <f t="shared" si="22"/>
        <v>0</v>
      </c>
      <c r="AG17" s="39"/>
      <c r="AH17" s="72">
        <f t="shared" si="6"/>
        <v>7875000000</v>
      </c>
      <c r="AI17" s="72">
        <f t="shared" si="23"/>
        <v>7206740567.4061317</v>
      </c>
      <c r="AJ17" s="39"/>
      <c r="AK17" s="72">
        <f t="shared" si="7"/>
        <v>0</v>
      </c>
      <c r="AL17" s="72">
        <f t="shared" si="24"/>
        <v>0</v>
      </c>
      <c r="AM17" s="39"/>
      <c r="AN17" s="72">
        <f t="shared" si="8"/>
        <v>0</v>
      </c>
      <c r="AO17" s="72">
        <f t="shared" si="25"/>
        <v>0</v>
      </c>
      <c r="AP17" s="39"/>
      <c r="AQ17" s="72">
        <f t="shared" si="9"/>
        <v>0</v>
      </c>
      <c r="AR17" s="72">
        <f t="shared" si="26"/>
        <v>0</v>
      </c>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0</v>
      </c>
      <c r="AU17" s="39"/>
      <c r="AV17" s="72">
        <f t="shared" si="10"/>
        <v>0</v>
      </c>
      <c r="AW17" s="72">
        <f t="shared" si="27"/>
        <v>0</v>
      </c>
      <c r="AX17" s="39"/>
      <c r="AY17" s="40">
        <f>IF(ISERROR(IF($K17&lt;=$F$15,VLOOKUP($I17,'表4）CO2価格'!$A$7:$E$67,VLOOKUP($F$48,'表4）CO2価格'!$H$10:$I$12,2,0),0)*$F$8/1000,"")),0,IF($K17&lt;=$F$15,VLOOKUP($I17,'表4）CO2価格'!$A$7:$E$67,VLOOKUP($F$48,'表4）CO2価格'!$H$10:$I$12,2,0),0)*$F$8/1000,""))</f>
        <v>0</v>
      </c>
      <c r="AZ17" s="39"/>
      <c r="BA17" s="42">
        <f t="shared" si="11"/>
        <v>0</v>
      </c>
      <c r="BB17" s="72">
        <f t="shared" si="28"/>
        <v>0</v>
      </c>
      <c r="BC17" s="39"/>
      <c r="BD17" s="72">
        <f t="shared" si="12"/>
        <v>0</v>
      </c>
      <c r="BE17" s="72">
        <f t="shared" si="29"/>
        <v>0</v>
      </c>
      <c r="BF17" s="39"/>
      <c r="BG17" s="42">
        <f t="shared" si="13"/>
        <v>0</v>
      </c>
      <c r="BH17" s="72">
        <f t="shared" si="30"/>
        <v>0</v>
      </c>
      <c r="BI17" s="39"/>
      <c r="BJ17" s="40">
        <f t="shared" si="31"/>
        <v>0.75131480090157754</v>
      </c>
      <c r="BK17" s="157">
        <f t="shared" si="32"/>
        <v>7362636964.6882019</v>
      </c>
      <c r="BL17" s="157">
        <f t="shared" si="14"/>
        <v>691059353.86927104</v>
      </c>
      <c r="BM17" s="72"/>
      <c r="BN17" s="72">
        <f t="shared" si="33"/>
        <v>30484847278.973122</v>
      </c>
      <c r="BO17" s="72">
        <f t="shared" si="34"/>
        <v>27897953724.007114</v>
      </c>
      <c r="BP17" s="39"/>
      <c r="BQ17" s="72">
        <f t="shared" si="15"/>
        <v>919800000</v>
      </c>
      <c r="BR17" s="72">
        <f t="shared" si="35"/>
        <v>841747298.27303624</v>
      </c>
    </row>
    <row r="18" spans="3:70" x14ac:dyDescent="0.15">
      <c r="I18" s="457">
        <f t="shared" si="36"/>
        <v>2023</v>
      </c>
      <c r="K18" s="71">
        <f t="shared" si="37"/>
        <v>4</v>
      </c>
      <c r="L18" s="71"/>
      <c r="M18" s="7">
        <f t="shared" si="0"/>
        <v>0.888487047915689</v>
      </c>
      <c r="N18" s="71"/>
      <c r="O18" s="10">
        <f t="shared" si="16"/>
        <v>111872248479.25</v>
      </c>
      <c r="P18" s="29">
        <f t="shared" si="1"/>
        <v>0.14699999999999999</v>
      </c>
      <c r="Q18" s="71"/>
      <c r="R18" s="10">
        <f t="shared" si="17"/>
        <v>120061754391.83508</v>
      </c>
      <c r="S18" s="71"/>
      <c r="T18" s="10">
        <f t="shared" si="18"/>
        <v>120061754000</v>
      </c>
      <c r="U18" s="71"/>
      <c r="V18" s="10">
        <f t="shared" si="2"/>
        <v>16445220526.449749</v>
      </c>
      <c r="W18" s="10">
        <f t="shared" si="19"/>
        <v>14611365437.86783</v>
      </c>
      <c r="X18" s="71"/>
      <c r="Y18" s="10">
        <f t="shared" si="3"/>
        <v>1680864500</v>
      </c>
      <c r="Z18" s="10">
        <f t="shared" si="20"/>
        <v>1493426337.5512807</v>
      </c>
      <c r="AA18" s="71"/>
      <c r="AB18" s="10">
        <f t="shared" si="4"/>
        <v>0</v>
      </c>
      <c r="AC18" s="10">
        <f t="shared" si="21"/>
        <v>0</v>
      </c>
      <c r="AD18" s="71"/>
      <c r="AE18" s="10">
        <f t="shared" si="5"/>
        <v>0</v>
      </c>
      <c r="AF18" s="10">
        <f t="shared" si="22"/>
        <v>0</v>
      </c>
      <c r="AG18" s="71"/>
      <c r="AH18" s="10">
        <f t="shared" si="6"/>
        <v>7875000000</v>
      </c>
      <c r="AI18" s="10">
        <f t="shared" si="23"/>
        <v>6996835502.336051</v>
      </c>
      <c r="AJ18" s="71"/>
      <c r="AK18" s="10">
        <f t="shared" si="7"/>
        <v>0</v>
      </c>
      <c r="AL18" s="10">
        <f t="shared" si="24"/>
        <v>0</v>
      </c>
      <c r="AM18" s="71"/>
      <c r="AN18" s="10">
        <f t="shared" si="8"/>
        <v>0</v>
      </c>
      <c r="AO18" s="10">
        <f t="shared" si="25"/>
        <v>0</v>
      </c>
      <c r="AP18" s="71"/>
      <c r="AQ18" s="10">
        <f t="shared" si="9"/>
        <v>0</v>
      </c>
      <c r="AR18" s="10">
        <f t="shared" si="26"/>
        <v>0</v>
      </c>
      <c r="AS18" s="71"/>
      <c r="AT18" s="7">
        <f>IF($K18&lt;=$F$15,IF($F$40&lt;&gt;"",$F$40/1000,IF(ISERROR(VLOOKUP($F$3&amp;IF($G$4&lt;&gt;"",$G$4,"")&amp;IF($F$43&lt;&gt;"","_"&amp;$F$43,""),'表3）燃料価格'!$AF$9:$AG$25,2,0)),0,VLOOKUP($I18,'表3）燃料価格'!$A$6:$U$66,VLOOKUP($F$3&amp;IF($G$4&lt;&gt;"",$G$4,"")&amp;IF($F$43&lt;&gt;"","_"&amp;$F$43,""),'表3）燃料価格'!$AF$9:$AG$25,2,0)+VLOOKUP($F$41,'表3）燃料価格'!$AF$28:$AG$29,2,0),0)*IF($F$43="需要地価格",1,$F$8/$F$141))),"")</f>
        <v>0</v>
      </c>
      <c r="AU18" s="71"/>
      <c r="AV18" s="10">
        <f t="shared" si="10"/>
        <v>0</v>
      </c>
      <c r="AW18" s="10">
        <f t="shared" si="27"/>
        <v>0</v>
      </c>
      <c r="AX18" s="71"/>
      <c r="AY18" s="7">
        <f>IF(ISERROR(IF($K18&lt;=$F$15,VLOOKUP($I18,'表4）CO2価格'!$A$7:$E$67,VLOOKUP($F$48,'表4）CO2価格'!$H$10:$I$12,2,0),0)*$F$8/1000,"")),0,IF($K18&lt;=$F$15,VLOOKUP($I18,'表4）CO2価格'!$A$7:$E$67,VLOOKUP($F$48,'表4）CO2価格'!$H$10:$I$12,2,0),0)*$F$8/1000,""))</f>
        <v>0</v>
      </c>
      <c r="AZ18" s="71"/>
      <c r="BA18" s="11">
        <f t="shared" si="11"/>
        <v>0</v>
      </c>
      <c r="BB18" s="10">
        <f t="shared" si="28"/>
        <v>0</v>
      </c>
      <c r="BC18" s="71"/>
      <c r="BD18" s="10">
        <f t="shared" si="12"/>
        <v>0</v>
      </c>
      <c r="BE18" s="10">
        <f t="shared" si="29"/>
        <v>0</v>
      </c>
      <c r="BF18" s="71"/>
      <c r="BG18" s="11">
        <f t="shared" si="13"/>
        <v>0</v>
      </c>
      <c r="BH18" s="10">
        <f t="shared" si="30"/>
        <v>0</v>
      </c>
      <c r="BJ18" s="7">
        <f t="shared" si="31"/>
        <v>0.68301345536507052</v>
      </c>
      <c r="BK18" s="158">
        <f t="shared" si="32"/>
        <v>6526784031.1454115</v>
      </c>
      <c r="BL18" s="158">
        <f t="shared" si="14"/>
        <v>628235776.24479187</v>
      </c>
      <c r="BM18" s="10"/>
      <c r="BN18" s="10">
        <f t="shared" si="33"/>
        <v>30484847278.973122</v>
      </c>
      <c r="BO18" s="10">
        <f t="shared" si="34"/>
        <v>27085391965.055454</v>
      </c>
      <c r="BQ18" s="10">
        <f t="shared" si="15"/>
        <v>919800000</v>
      </c>
      <c r="BR18" s="10">
        <f t="shared" si="35"/>
        <v>817230386.67285073</v>
      </c>
    </row>
    <row r="19" spans="3:70" x14ac:dyDescent="0.15">
      <c r="C19" s="4" t="s">
        <v>557</v>
      </c>
      <c r="D19" s="100"/>
      <c r="E19" s="100"/>
      <c r="F19" s="4"/>
      <c r="G19" s="100"/>
      <c r="I19" s="38">
        <f t="shared" si="36"/>
        <v>2024</v>
      </c>
      <c r="J19" s="39"/>
      <c r="K19" s="39">
        <f t="shared" si="37"/>
        <v>5</v>
      </c>
      <c r="L19" s="39"/>
      <c r="M19" s="40">
        <f t="shared" si="0"/>
        <v>0.86260878438416411</v>
      </c>
      <c r="N19" s="39"/>
      <c r="O19" s="72">
        <f t="shared" si="16"/>
        <v>95427027952.800247</v>
      </c>
      <c r="P19" s="41">
        <f t="shared" si="1"/>
        <v>0.14699999999999999</v>
      </c>
      <c r="Q19" s="39"/>
      <c r="R19" s="72">
        <f t="shared" si="17"/>
        <v>104853071211.97282</v>
      </c>
      <c r="S19" s="39"/>
      <c r="T19" s="72">
        <f t="shared" si="18"/>
        <v>104853071000</v>
      </c>
      <c r="U19" s="39"/>
      <c r="V19" s="72">
        <f t="shared" si="2"/>
        <v>14027773109.061636</v>
      </c>
      <c r="W19" s="72">
        <f t="shared" si="19"/>
        <v>12100480309.224524</v>
      </c>
      <c r="X19" s="39"/>
      <c r="Y19" s="72">
        <f t="shared" si="3"/>
        <v>1467942900</v>
      </c>
      <c r="Z19" s="72">
        <f t="shared" si="20"/>
        <v>1266260440.5143645</v>
      </c>
      <c r="AA19" s="39"/>
      <c r="AB19" s="72">
        <f t="shared" si="4"/>
        <v>0</v>
      </c>
      <c r="AC19" s="72">
        <f t="shared" si="21"/>
        <v>0</v>
      </c>
      <c r="AD19" s="39"/>
      <c r="AE19" s="72">
        <f t="shared" si="5"/>
        <v>0</v>
      </c>
      <c r="AF19" s="72">
        <f t="shared" si="22"/>
        <v>0</v>
      </c>
      <c r="AG19" s="39"/>
      <c r="AH19" s="72">
        <f t="shared" si="6"/>
        <v>7875000000</v>
      </c>
      <c r="AI19" s="72">
        <f t="shared" si="23"/>
        <v>6793044177.0252924</v>
      </c>
      <c r="AJ19" s="39"/>
      <c r="AK19" s="72">
        <f t="shared" si="7"/>
        <v>0</v>
      </c>
      <c r="AL19" s="72">
        <f t="shared" si="24"/>
        <v>0</v>
      </c>
      <c r="AM19" s="39"/>
      <c r="AN19" s="72">
        <f t="shared" si="8"/>
        <v>0</v>
      </c>
      <c r="AO19" s="72">
        <f t="shared" si="25"/>
        <v>0</v>
      </c>
      <c r="AP19" s="39"/>
      <c r="AQ19" s="72">
        <f t="shared" si="9"/>
        <v>0</v>
      </c>
      <c r="AR19" s="72">
        <f t="shared" si="26"/>
        <v>0</v>
      </c>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0</v>
      </c>
      <c r="AU19" s="39"/>
      <c r="AV19" s="72">
        <f t="shared" si="10"/>
        <v>0</v>
      </c>
      <c r="AW19" s="72">
        <f t="shared" si="27"/>
        <v>0</v>
      </c>
      <c r="AX19" s="39"/>
      <c r="AY19" s="40">
        <f>IF(ISERROR(IF($K19&lt;=$F$15,VLOOKUP($I19,'表4）CO2価格'!$A$7:$E$67,VLOOKUP($F$48,'表4）CO2価格'!$H$10:$I$12,2,0),0)*$F$8/1000,"")),0,IF($K19&lt;=$F$15,VLOOKUP($I19,'表4）CO2価格'!$A$7:$E$67,VLOOKUP($F$48,'表4）CO2価格'!$H$10:$I$12,2,0),0)*$F$8/1000,""))</f>
        <v>0</v>
      </c>
      <c r="AZ19" s="39"/>
      <c r="BA19" s="42">
        <f t="shared" si="11"/>
        <v>0</v>
      </c>
      <c r="BB19" s="72">
        <f t="shared" si="28"/>
        <v>0</v>
      </c>
      <c r="BC19" s="39"/>
      <c r="BD19" s="72">
        <f t="shared" si="12"/>
        <v>0</v>
      </c>
      <c r="BE19" s="72">
        <f t="shared" si="29"/>
        <v>0</v>
      </c>
      <c r="BF19" s="39"/>
      <c r="BG19" s="42">
        <f t="shared" si="13"/>
        <v>0</v>
      </c>
      <c r="BH19" s="72">
        <f t="shared" si="30"/>
        <v>0</v>
      </c>
      <c r="BI19" s="39"/>
      <c r="BJ19" s="40">
        <f t="shared" si="31"/>
        <v>0.62092132305915493</v>
      </c>
      <c r="BK19" s="157">
        <f t="shared" si="32"/>
        <v>5801232466.7341375</v>
      </c>
      <c r="BL19" s="157">
        <f t="shared" si="14"/>
        <v>571123432.94981074</v>
      </c>
      <c r="BM19" s="72"/>
      <c r="BN19" s="72">
        <f t="shared" si="33"/>
        <v>30484847278.973122</v>
      </c>
      <c r="BO19" s="72">
        <f t="shared" si="34"/>
        <v>26296497053.451897</v>
      </c>
      <c r="BP19" s="39"/>
      <c r="BQ19" s="72">
        <f t="shared" si="15"/>
        <v>919800000</v>
      </c>
      <c r="BR19" s="72">
        <f t="shared" si="35"/>
        <v>793427559.87655413</v>
      </c>
    </row>
    <row r="20" spans="3:70" x14ac:dyDescent="0.15">
      <c r="I20" s="457">
        <f t="shared" si="36"/>
        <v>2025</v>
      </c>
      <c r="K20" s="71">
        <f t="shared" si="37"/>
        <v>6</v>
      </c>
      <c r="L20" s="71"/>
      <c r="M20" s="7">
        <f t="shared" si="0"/>
        <v>0.83748425668365445</v>
      </c>
      <c r="N20" s="71"/>
      <c r="O20" s="10">
        <f t="shared" si="16"/>
        <v>81399254843.738617</v>
      </c>
      <c r="P20" s="29">
        <f t="shared" si="1"/>
        <v>0.14699999999999999</v>
      </c>
      <c r="Q20" s="71"/>
      <c r="R20" s="10">
        <f t="shared" si="17"/>
        <v>91570930295.607208</v>
      </c>
      <c r="S20" s="71"/>
      <c r="T20" s="10">
        <f t="shared" si="18"/>
        <v>91570930000</v>
      </c>
      <c r="U20" s="71"/>
      <c r="V20" s="10">
        <f t="shared" si="2"/>
        <v>11965690462.029575</v>
      </c>
      <c r="W20" s="10">
        <f t="shared" si="19"/>
        <v>10021077382.299532</v>
      </c>
      <c r="X20" s="71"/>
      <c r="Y20" s="10">
        <f t="shared" si="3"/>
        <v>1281993000</v>
      </c>
      <c r="Z20" s="10">
        <f t="shared" si="20"/>
        <v>1073648954.6786482</v>
      </c>
      <c r="AA20" s="71"/>
      <c r="AB20" s="10">
        <f t="shared" si="4"/>
        <v>0</v>
      </c>
      <c r="AC20" s="10">
        <f t="shared" si="21"/>
        <v>0</v>
      </c>
      <c r="AD20" s="71"/>
      <c r="AE20" s="10">
        <f t="shared" si="5"/>
        <v>0</v>
      </c>
      <c r="AF20" s="10">
        <f t="shared" si="22"/>
        <v>0</v>
      </c>
      <c r="AG20" s="71"/>
      <c r="AH20" s="10">
        <f t="shared" si="6"/>
        <v>7875000000</v>
      </c>
      <c r="AI20" s="10">
        <f t="shared" si="23"/>
        <v>6595188521.3837786</v>
      </c>
      <c r="AJ20" s="71"/>
      <c r="AK20" s="10">
        <f t="shared" si="7"/>
        <v>0</v>
      </c>
      <c r="AL20" s="10">
        <f t="shared" si="24"/>
        <v>0</v>
      </c>
      <c r="AM20" s="71"/>
      <c r="AN20" s="10">
        <f t="shared" si="8"/>
        <v>0</v>
      </c>
      <c r="AO20" s="10">
        <f t="shared" si="25"/>
        <v>0</v>
      </c>
      <c r="AP20" s="71"/>
      <c r="AQ20" s="10">
        <f t="shared" si="9"/>
        <v>0</v>
      </c>
      <c r="AR20" s="10">
        <f t="shared" si="26"/>
        <v>0</v>
      </c>
      <c r="AS20" s="71"/>
      <c r="AT20" s="7">
        <f>IF($K20&lt;=$F$15,IF($F$40&lt;&gt;"",$F$40/1000,IF(ISERROR(VLOOKUP($F$3&amp;IF($G$4&lt;&gt;"",$G$4,"")&amp;IF($F$43&lt;&gt;"","_"&amp;$F$43,""),'表3）燃料価格'!$AF$9:$AG$25,2,0)),0,VLOOKUP($I20,'表3）燃料価格'!$A$6:$U$66,VLOOKUP($F$3&amp;IF($G$4&lt;&gt;"",$G$4,"")&amp;IF($F$43&lt;&gt;"","_"&amp;$F$43,""),'表3）燃料価格'!$AF$9:$AG$25,2,0)+VLOOKUP($F$41,'表3）燃料価格'!$AF$28:$AG$29,2,0),0)*IF($F$43="需要地価格",1,$F$8/$F$141))),"")</f>
        <v>0</v>
      </c>
      <c r="AU20" s="71"/>
      <c r="AV20" s="10">
        <f t="shared" si="10"/>
        <v>0</v>
      </c>
      <c r="AW20" s="10">
        <f t="shared" si="27"/>
        <v>0</v>
      </c>
      <c r="AX20" s="71"/>
      <c r="AY20" s="7">
        <f>IF(ISERROR(IF($K20&lt;=$F$15,VLOOKUP($I20,'表4）CO2価格'!$A$7:$E$67,VLOOKUP($F$48,'表4）CO2価格'!$H$10:$I$12,2,0),0)*$F$8/1000,"")),0,IF($K20&lt;=$F$15,VLOOKUP($I20,'表4）CO2価格'!$A$7:$E$67,VLOOKUP($F$48,'表4）CO2価格'!$H$10:$I$12,2,0),0)*$F$8/1000,""))</f>
        <v>0</v>
      </c>
      <c r="AZ20" s="71"/>
      <c r="BA20" s="11">
        <f t="shared" si="11"/>
        <v>0</v>
      </c>
      <c r="BB20" s="10">
        <f t="shared" si="28"/>
        <v>0</v>
      </c>
      <c r="BC20" s="71"/>
      <c r="BD20" s="10">
        <f t="shared" si="12"/>
        <v>0</v>
      </c>
      <c r="BE20" s="10">
        <f t="shared" si="29"/>
        <v>0</v>
      </c>
      <c r="BF20" s="71"/>
      <c r="BG20" s="11">
        <f t="shared" si="13"/>
        <v>0</v>
      </c>
      <c r="BH20" s="10">
        <f t="shared" si="30"/>
        <v>0</v>
      </c>
      <c r="BJ20" s="7">
        <f t="shared" si="31"/>
        <v>0.56447393005377722</v>
      </c>
      <c r="BK20" s="158">
        <f t="shared" si="32"/>
        <v>5168883826.1849279</v>
      </c>
      <c r="BL20" s="158">
        <f t="shared" si="14"/>
        <v>519203120.8634643</v>
      </c>
      <c r="BM20" s="10"/>
      <c r="BN20" s="10">
        <f t="shared" si="33"/>
        <v>30484847278.973122</v>
      </c>
      <c r="BO20" s="10">
        <f t="shared" si="34"/>
        <v>25530579663.545532</v>
      </c>
      <c r="BQ20" s="10">
        <f t="shared" si="15"/>
        <v>919800000</v>
      </c>
      <c r="BR20" s="10">
        <f t="shared" si="35"/>
        <v>770318019.2976253</v>
      </c>
    </row>
    <row r="21" spans="3:70" x14ac:dyDescent="0.15">
      <c r="D21" s="84" t="s">
        <v>558</v>
      </c>
      <c r="F21" s="477">
        <v>51.5</v>
      </c>
      <c r="G21" s="84" t="s">
        <v>559</v>
      </c>
      <c r="I21" s="38">
        <f t="shared" si="36"/>
        <v>2026</v>
      </c>
      <c r="J21" s="39"/>
      <c r="K21" s="39">
        <f t="shared" si="37"/>
        <v>7</v>
      </c>
      <c r="L21" s="39"/>
      <c r="M21" s="40">
        <f t="shared" si="0"/>
        <v>0.81309151134335378</v>
      </c>
      <c r="N21" s="39"/>
      <c r="O21" s="72">
        <f t="shared" si="16"/>
        <v>69433564381.709045</v>
      </c>
      <c r="P21" s="41">
        <f t="shared" si="1"/>
        <v>0.14699999999999999</v>
      </c>
      <c r="Q21" s="39"/>
      <c r="R21" s="72">
        <f t="shared" si="17"/>
        <v>79971289140.889496</v>
      </c>
      <c r="S21" s="39"/>
      <c r="T21" s="72">
        <f t="shared" si="18"/>
        <v>79971289000</v>
      </c>
      <c r="U21" s="39"/>
      <c r="V21" s="72">
        <f t="shared" si="2"/>
        <v>10206733964.111229</v>
      </c>
      <c r="W21" s="72">
        <f t="shared" si="19"/>
        <v>8299008744.7587395</v>
      </c>
      <c r="X21" s="39"/>
      <c r="Y21" s="72">
        <f t="shared" si="3"/>
        <v>1119598000</v>
      </c>
      <c r="Z21" s="72">
        <f t="shared" si="20"/>
        <v>910335629.91699624</v>
      </c>
      <c r="AA21" s="39"/>
      <c r="AB21" s="72">
        <f t="shared" si="4"/>
        <v>0</v>
      </c>
      <c r="AC21" s="72">
        <f t="shared" si="21"/>
        <v>0</v>
      </c>
      <c r="AD21" s="39"/>
      <c r="AE21" s="72">
        <f t="shared" si="5"/>
        <v>0</v>
      </c>
      <c r="AF21" s="72">
        <f t="shared" si="22"/>
        <v>0</v>
      </c>
      <c r="AG21" s="39"/>
      <c r="AH21" s="72">
        <f t="shared" si="6"/>
        <v>7875000000</v>
      </c>
      <c r="AI21" s="72">
        <f t="shared" si="23"/>
        <v>6403095651.8289108</v>
      </c>
      <c r="AJ21" s="39"/>
      <c r="AK21" s="72">
        <f t="shared" si="7"/>
        <v>0</v>
      </c>
      <c r="AL21" s="72">
        <f t="shared" si="24"/>
        <v>0</v>
      </c>
      <c r="AM21" s="39"/>
      <c r="AN21" s="72">
        <f t="shared" si="8"/>
        <v>0</v>
      </c>
      <c r="AO21" s="72">
        <f t="shared" si="25"/>
        <v>0</v>
      </c>
      <c r="AP21" s="39"/>
      <c r="AQ21" s="72">
        <f t="shared" si="9"/>
        <v>0</v>
      </c>
      <c r="AR21" s="72">
        <f t="shared" si="26"/>
        <v>0</v>
      </c>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0</v>
      </c>
      <c r="AU21" s="39"/>
      <c r="AV21" s="72">
        <f t="shared" si="10"/>
        <v>0</v>
      </c>
      <c r="AW21" s="72">
        <f t="shared" si="27"/>
        <v>0</v>
      </c>
      <c r="AX21" s="39"/>
      <c r="AY21" s="40">
        <f>IF(ISERROR(IF($K21&lt;=$F$15,VLOOKUP($I21,'表4）CO2価格'!$A$7:$E$67,VLOOKUP($F$48,'表4）CO2価格'!$H$10:$I$12,2,0),0)*$F$8/1000,"")),0,IF($K21&lt;=$F$15,VLOOKUP($I21,'表4）CO2価格'!$A$7:$E$67,VLOOKUP($F$48,'表4）CO2価格'!$H$10:$I$12,2,0),0)*$F$8/1000,""))</f>
        <v>0</v>
      </c>
      <c r="AZ21" s="39"/>
      <c r="BA21" s="42">
        <f t="shared" si="11"/>
        <v>0</v>
      </c>
      <c r="BB21" s="72">
        <f t="shared" si="28"/>
        <v>0</v>
      </c>
      <c r="BC21" s="39"/>
      <c r="BD21" s="72">
        <f t="shared" si="12"/>
        <v>0</v>
      </c>
      <c r="BE21" s="72">
        <f t="shared" si="29"/>
        <v>0</v>
      </c>
      <c r="BF21" s="39"/>
      <c r="BG21" s="42">
        <f t="shared" si="13"/>
        <v>0</v>
      </c>
      <c r="BH21" s="72">
        <f t="shared" si="30"/>
        <v>0</v>
      </c>
      <c r="BI21" s="39"/>
      <c r="BJ21" s="40">
        <f t="shared" si="31"/>
        <v>0.51315811823070645</v>
      </c>
      <c r="BK21" s="157">
        <f t="shared" si="32"/>
        <v>4615650983.9216757</v>
      </c>
      <c r="BL21" s="157">
        <f t="shared" si="14"/>
        <v>472002837.1486038</v>
      </c>
      <c r="BM21" s="72"/>
      <c r="BN21" s="72">
        <f t="shared" si="33"/>
        <v>30484847278.973122</v>
      </c>
      <c r="BO21" s="72">
        <f t="shared" si="34"/>
        <v>24786970547.13158</v>
      </c>
      <c r="BP21" s="39"/>
      <c r="BQ21" s="72">
        <f t="shared" si="15"/>
        <v>919800000</v>
      </c>
      <c r="BR21" s="72">
        <f t="shared" si="35"/>
        <v>747881572.13361681</v>
      </c>
    </row>
    <row r="22" spans="3:70" ht="16.5" x14ac:dyDescent="0.15">
      <c r="D22" s="84" t="s">
        <v>560</v>
      </c>
      <c r="F22" s="478"/>
      <c r="G22" s="71" t="s">
        <v>561</v>
      </c>
      <c r="I22" s="457">
        <f t="shared" si="36"/>
        <v>2027</v>
      </c>
      <c r="K22" s="71">
        <f t="shared" si="37"/>
        <v>8</v>
      </c>
      <c r="L22" s="71"/>
      <c r="M22" s="7">
        <f t="shared" si="0"/>
        <v>0.78940923431393573</v>
      </c>
      <c r="N22" s="71"/>
      <c r="O22" s="10">
        <f t="shared" si="16"/>
        <v>59226830417.597816</v>
      </c>
      <c r="P22" s="29">
        <f t="shared" si="1"/>
        <v>0.14699999999999999</v>
      </c>
      <c r="Q22" s="71"/>
      <c r="R22" s="10">
        <f t="shared" si="17"/>
        <v>69841019046.221771</v>
      </c>
      <c r="S22" s="71"/>
      <c r="T22" s="10">
        <f t="shared" si="18"/>
        <v>69841019000</v>
      </c>
      <c r="U22" s="71"/>
      <c r="V22" s="10">
        <f t="shared" si="2"/>
        <v>8706344071.386879</v>
      </c>
      <c r="W22" s="10">
        <f t="shared" si="19"/>
        <v>6872868407.0671902</v>
      </c>
      <c r="X22" s="71"/>
      <c r="Y22" s="10">
        <f t="shared" si="3"/>
        <v>977774200</v>
      </c>
      <c r="Z22" s="10">
        <f t="shared" si="20"/>
        <v>771863982.5539211</v>
      </c>
      <c r="AA22" s="71"/>
      <c r="AB22" s="10">
        <f t="shared" si="4"/>
        <v>0</v>
      </c>
      <c r="AC22" s="10">
        <f t="shared" si="21"/>
        <v>0</v>
      </c>
      <c r="AD22" s="71"/>
      <c r="AE22" s="10">
        <f t="shared" si="5"/>
        <v>0</v>
      </c>
      <c r="AF22" s="10">
        <f t="shared" si="22"/>
        <v>0</v>
      </c>
      <c r="AG22" s="71"/>
      <c r="AH22" s="10">
        <f t="shared" si="6"/>
        <v>7875000000</v>
      </c>
      <c r="AI22" s="10">
        <f t="shared" si="23"/>
        <v>6216597720.2222443</v>
      </c>
      <c r="AJ22" s="71"/>
      <c r="AK22" s="10">
        <f t="shared" si="7"/>
        <v>0</v>
      </c>
      <c r="AL22" s="10">
        <f t="shared" si="24"/>
        <v>0</v>
      </c>
      <c r="AM22" s="71"/>
      <c r="AN22" s="10">
        <f t="shared" si="8"/>
        <v>0</v>
      </c>
      <c r="AO22" s="10">
        <f t="shared" si="25"/>
        <v>0</v>
      </c>
      <c r="AP22" s="71"/>
      <c r="AQ22" s="10">
        <f t="shared" si="9"/>
        <v>0</v>
      </c>
      <c r="AR22" s="10">
        <f t="shared" si="26"/>
        <v>0</v>
      </c>
      <c r="AS22" s="71"/>
      <c r="AT22" s="7">
        <f>IF($K22&lt;=$F$15,IF($F$40&lt;&gt;"",$F$40/1000,IF(ISERROR(VLOOKUP($F$3&amp;IF($G$4&lt;&gt;"",$G$4,"")&amp;IF($F$43&lt;&gt;"","_"&amp;$F$43,""),'表3）燃料価格'!$AF$9:$AG$25,2,0)),0,VLOOKUP($I22,'表3）燃料価格'!$A$6:$U$66,VLOOKUP($F$3&amp;IF($G$4&lt;&gt;"",$G$4,"")&amp;IF($F$43&lt;&gt;"","_"&amp;$F$43,""),'表3）燃料価格'!$AF$9:$AG$25,2,0)+VLOOKUP($F$41,'表3）燃料価格'!$AF$28:$AG$29,2,0),0)*IF($F$43="需要地価格",1,$F$8/$F$141))),"")</f>
        <v>0</v>
      </c>
      <c r="AU22" s="71"/>
      <c r="AV22" s="10">
        <f t="shared" si="10"/>
        <v>0</v>
      </c>
      <c r="AW22" s="10">
        <f t="shared" si="27"/>
        <v>0</v>
      </c>
      <c r="AX22" s="71"/>
      <c r="AY22" s="7">
        <f>IF(ISERROR(IF($K22&lt;=$F$15,VLOOKUP($I22,'表4）CO2価格'!$A$7:$E$67,VLOOKUP($F$48,'表4）CO2価格'!$H$10:$I$12,2,0),0)*$F$8/1000,"")),0,IF($K22&lt;=$F$15,VLOOKUP($I22,'表4）CO2価格'!$A$7:$E$67,VLOOKUP($F$48,'表4）CO2価格'!$H$10:$I$12,2,0),0)*$F$8/1000,""))</f>
        <v>0</v>
      </c>
      <c r="AZ22" s="71"/>
      <c r="BA22" s="11">
        <f t="shared" si="11"/>
        <v>0</v>
      </c>
      <c r="BB22" s="10">
        <f t="shared" si="28"/>
        <v>0</v>
      </c>
      <c r="BC22" s="71"/>
      <c r="BD22" s="10">
        <f t="shared" si="12"/>
        <v>0</v>
      </c>
      <c r="BE22" s="10">
        <f t="shared" si="29"/>
        <v>0</v>
      </c>
      <c r="BF22" s="71"/>
      <c r="BG22" s="11">
        <f t="shared" si="13"/>
        <v>0</v>
      </c>
      <c r="BH22" s="10">
        <f t="shared" si="30"/>
        <v>0</v>
      </c>
      <c r="BJ22" s="7">
        <f t="shared" si="31"/>
        <v>0.46650738020973315</v>
      </c>
      <c r="BK22" s="158">
        <f t="shared" si="32"/>
        <v>4129884499.6303163</v>
      </c>
      <c r="BL22" s="158">
        <f t="shared" si="14"/>
        <v>429093488.31691253</v>
      </c>
      <c r="BM22" s="10"/>
      <c r="BN22" s="10">
        <f t="shared" si="33"/>
        <v>30484847278.973122</v>
      </c>
      <c r="BO22" s="10">
        <f t="shared" si="34"/>
        <v>24065019948.67144</v>
      </c>
      <c r="BQ22" s="10">
        <f t="shared" si="15"/>
        <v>919800000</v>
      </c>
      <c r="BR22" s="10">
        <f t="shared" si="35"/>
        <v>726098613.72195804</v>
      </c>
    </row>
    <row r="23" spans="3:70" x14ac:dyDescent="0.15">
      <c r="D23" s="84" t="s">
        <v>562</v>
      </c>
      <c r="F23" s="479"/>
      <c r="G23" s="84" t="s">
        <v>549</v>
      </c>
      <c r="I23" s="38">
        <f t="shared" si="36"/>
        <v>2028</v>
      </c>
      <c r="J23" s="39"/>
      <c r="K23" s="39">
        <f t="shared" si="37"/>
        <v>9</v>
      </c>
      <c r="L23" s="39"/>
      <c r="M23" s="40">
        <f t="shared" si="0"/>
        <v>0.76641673234362695</v>
      </c>
      <c r="N23" s="39"/>
      <c r="O23" s="72">
        <f t="shared" si="16"/>
        <v>50520486346.210938</v>
      </c>
      <c r="P23" s="41">
        <f t="shared" si="1"/>
        <v>0.14699999999999999</v>
      </c>
      <c r="Q23" s="39"/>
      <c r="R23" s="72">
        <f t="shared" si="17"/>
        <v>60993989140.54393</v>
      </c>
      <c r="S23" s="39"/>
      <c r="T23" s="72">
        <f t="shared" si="18"/>
        <v>60993989000</v>
      </c>
      <c r="U23" s="39"/>
      <c r="V23" s="72">
        <f t="shared" si="2"/>
        <v>7426511492.8930073</v>
      </c>
      <c r="W23" s="72">
        <f t="shared" si="19"/>
        <v>5691802671.0954494</v>
      </c>
      <c r="X23" s="39"/>
      <c r="Y23" s="72">
        <f t="shared" si="3"/>
        <v>853915800</v>
      </c>
      <c r="Z23" s="72">
        <f t="shared" si="20"/>
        <v>654455357.13259411</v>
      </c>
      <c r="AA23" s="39"/>
      <c r="AB23" s="72">
        <f t="shared" si="4"/>
        <v>0</v>
      </c>
      <c r="AC23" s="72">
        <f t="shared" si="21"/>
        <v>0</v>
      </c>
      <c r="AD23" s="39"/>
      <c r="AE23" s="72">
        <f t="shared" si="5"/>
        <v>0</v>
      </c>
      <c r="AF23" s="72">
        <f t="shared" si="22"/>
        <v>0</v>
      </c>
      <c r="AG23" s="39"/>
      <c r="AH23" s="72">
        <f t="shared" si="6"/>
        <v>7875000000</v>
      </c>
      <c r="AI23" s="72">
        <f t="shared" si="23"/>
        <v>6035531767.2060623</v>
      </c>
      <c r="AJ23" s="39"/>
      <c r="AK23" s="72">
        <f t="shared" si="7"/>
        <v>0</v>
      </c>
      <c r="AL23" s="72">
        <f t="shared" si="24"/>
        <v>0</v>
      </c>
      <c r="AM23" s="39"/>
      <c r="AN23" s="72">
        <f t="shared" si="8"/>
        <v>0</v>
      </c>
      <c r="AO23" s="72">
        <f t="shared" si="25"/>
        <v>0</v>
      </c>
      <c r="AP23" s="39"/>
      <c r="AQ23" s="72">
        <f t="shared" si="9"/>
        <v>0</v>
      </c>
      <c r="AR23" s="72">
        <f t="shared" si="26"/>
        <v>0</v>
      </c>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0</v>
      </c>
      <c r="AU23" s="39"/>
      <c r="AV23" s="72">
        <f t="shared" si="10"/>
        <v>0</v>
      </c>
      <c r="AW23" s="72">
        <f t="shared" si="27"/>
        <v>0</v>
      </c>
      <c r="AX23" s="39"/>
      <c r="AY23" s="40">
        <f>IF(ISERROR(IF($K23&lt;=$F$15,VLOOKUP($I23,'表4）CO2価格'!$A$7:$E$67,VLOOKUP($F$48,'表4）CO2価格'!$H$10:$I$12,2,0),0)*$F$8/1000,"")),0,IF($K23&lt;=$F$15,VLOOKUP($I23,'表4）CO2価格'!$A$7:$E$67,VLOOKUP($F$48,'表4）CO2価格'!$H$10:$I$12,2,0),0)*$F$8/1000,""))</f>
        <v>0</v>
      </c>
      <c r="AZ23" s="39"/>
      <c r="BA23" s="42">
        <f t="shared" si="11"/>
        <v>0</v>
      </c>
      <c r="BB23" s="72">
        <f t="shared" si="28"/>
        <v>0</v>
      </c>
      <c r="BC23" s="39"/>
      <c r="BD23" s="72">
        <f t="shared" si="12"/>
        <v>0</v>
      </c>
      <c r="BE23" s="72">
        <f t="shared" si="29"/>
        <v>0</v>
      </c>
      <c r="BF23" s="39"/>
      <c r="BG23" s="42">
        <f t="shared" si="13"/>
        <v>0</v>
      </c>
      <c r="BH23" s="72">
        <f t="shared" si="30"/>
        <v>0</v>
      </c>
      <c r="BI23" s="39"/>
      <c r="BJ23" s="40">
        <f t="shared" si="31"/>
        <v>0.42409761837248466</v>
      </c>
      <c r="BK23" s="157">
        <f t="shared" si="32"/>
        <v>3701912401.7539515</v>
      </c>
      <c r="BL23" s="157">
        <f t="shared" si="14"/>
        <v>390084989.37901139</v>
      </c>
      <c r="BM23" s="72"/>
      <c r="BN23" s="72">
        <f t="shared" si="33"/>
        <v>30484847278.973122</v>
      </c>
      <c r="BO23" s="72">
        <f t="shared" si="34"/>
        <v>23364097037.545086</v>
      </c>
      <c r="BP23" s="39"/>
      <c r="BQ23" s="72">
        <f t="shared" si="15"/>
        <v>919800000</v>
      </c>
      <c r="BR23" s="72">
        <f t="shared" si="35"/>
        <v>704950110.40966809</v>
      </c>
    </row>
    <row r="24" spans="3:70" x14ac:dyDescent="0.15">
      <c r="D24" s="84" t="s">
        <v>563</v>
      </c>
      <c r="F24" s="480">
        <v>0</v>
      </c>
      <c r="G24" s="84" t="s">
        <v>549</v>
      </c>
      <c r="I24" s="457">
        <f t="shared" si="36"/>
        <v>2029</v>
      </c>
      <c r="K24" s="71">
        <f t="shared" si="37"/>
        <v>10</v>
      </c>
      <c r="L24" s="71"/>
      <c r="M24" s="7">
        <f t="shared" si="0"/>
        <v>0.74409391489672516</v>
      </c>
      <c r="N24" s="71"/>
      <c r="O24" s="10">
        <f t="shared" si="16"/>
        <v>43093974853.317932</v>
      </c>
      <c r="P24" s="29">
        <f t="shared" si="1"/>
        <v>0.14699999999999999</v>
      </c>
      <c r="Q24" s="71"/>
      <c r="R24" s="10">
        <f t="shared" si="17"/>
        <v>53267646464.532051</v>
      </c>
      <c r="S24" s="71"/>
      <c r="T24" s="10">
        <f t="shared" si="18"/>
        <v>53267646000</v>
      </c>
      <c r="U24" s="71"/>
      <c r="V24" s="10">
        <f t="shared" si="2"/>
        <v>6334814303.4377356</v>
      </c>
      <c r="W24" s="10">
        <f t="shared" si="19"/>
        <v>4713696775.188756</v>
      </c>
      <c r="X24" s="71"/>
      <c r="Y24" s="10">
        <f t="shared" si="3"/>
        <v>745747000</v>
      </c>
      <c r="Z24" s="10">
        <f t="shared" si="20"/>
        <v>554905804.75248814</v>
      </c>
      <c r="AA24" s="71"/>
      <c r="AB24" s="10">
        <f t="shared" si="4"/>
        <v>0</v>
      </c>
      <c r="AC24" s="10">
        <f t="shared" si="21"/>
        <v>0</v>
      </c>
      <c r="AD24" s="71"/>
      <c r="AE24" s="10">
        <f t="shared" si="5"/>
        <v>0</v>
      </c>
      <c r="AF24" s="10">
        <f t="shared" si="22"/>
        <v>0</v>
      </c>
      <c r="AG24" s="71"/>
      <c r="AH24" s="10">
        <f t="shared" si="6"/>
        <v>7875000000</v>
      </c>
      <c r="AI24" s="10">
        <f t="shared" si="23"/>
        <v>5859739579.8117104</v>
      </c>
      <c r="AJ24" s="71"/>
      <c r="AK24" s="10">
        <f t="shared" si="7"/>
        <v>0</v>
      </c>
      <c r="AL24" s="10">
        <f t="shared" si="24"/>
        <v>0</v>
      </c>
      <c r="AM24" s="71"/>
      <c r="AN24" s="10">
        <f t="shared" si="8"/>
        <v>0</v>
      </c>
      <c r="AO24" s="10">
        <f t="shared" si="25"/>
        <v>0</v>
      </c>
      <c r="AP24" s="71"/>
      <c r="AQ24" s="10">
        <f t="shared" si="9"/>
        <v>0</v>
      </c>
      <c r="AR24" s="10">
        <f t="shared" si="26"/>
        <v>0</v>
      </c>
      <c r="AS24" s="71"/>
      <c r="AT24" s="7">
        <f>IF($K24&lt;=$F$15,IF($F$40&lt;&gt;"",$F$40/1000,IF(ISERROR(VLOOKUP($F$3&amp;IF($G$4&lt;&gt;"",$G$4,"")&amp;IF($F$43&lt;&gt;"","_"&amp;$F$43,""),'表3）燃料価格'!$AF$9:$AG$25,2,0)),0,VLOOKUP($I24,'表3）燃料価格'!$A$6:$U$66,VLOOKUP($F$3&amp;IF($G$4&lt;&gt;"",$G$4,"")&amp;IF($F$43&lt;&gt;"","_"&amp;$F$43,""),'表3）燃料価格'!$AF$9:$AG$25,2,0)+VLOOKUP($F$41,'表3）燃料価格'!$AF$28:$AG$29,2,0),0)*IF($F$43="需要地価格",1,$F$8/$F$141))),"")</f>
        <v>0</v>
      </c>
      <c r="AU24" s="71"/>
      <c r="AV24" s="10">
        <f t="shared" si="10"/>
        <v>0</v>
      </c>
      <c r="AW24" s="10">
        <f t="shared" si="27"/>
        <v>0</v>
      </c>
      <c r="AX24" s="71"/>
      <c r="AY24" s="7">
        <f>IF(ISERROR(IF($K24&lt;=$F$15,VLOOKUP($I24,'表4）CO2価格'!$A$7:$E$67,VLOOKUP($F$48,'表4）CO2価格'!$H$10:$I$12,2,0),0)*$F$8/1000,"")),0,IF($K24&lt;=$F$15,VLOOKUP($I24,'表4）CO2価格'!$A$7:$E$67,VLOOKUP($F$48,'表4）CO2価格'!$H$10:$I$12,2,0),0)*$F$8/1000,""))</f>
        <v>0</v>
      </c>
      <c r="AZ24" s="71"/>
      <c r="BA24" s="11">
        <f t="shared" si="11"/>
        <v>0</v>
      </c>
      <c r="BB24" s="10">
        <f t="shared" si="28"/>
        <v>0</v>
      </c>
      <c r="BC24" s="71"/>
      <c r="BD24" s="10">
        <f t="shared" si="12"/>
        <v>0</v>
      </c>
      <c r="BE24" s="10">
        <f t="shared" si="29"/>
        <v>0</v>
      </c>
      <c r="BF24" s="71"/>
      <c r="BG24" s="11">
        <f t="shared" si="13"/>
        <v>0</v>
      </c>
      <c r="BH24" s="10">
        <f t="shared" si="30"/>
        <v>0</v>
      </c>
      <c r="BJ24" s="7">
        <f t="shared" si="31"/>
        <v>0.38554328942953148</v>
      </c>
      <c r="BK24" s="158">
        <f t="shared" si="32"/>
        <v>3323671155.7197652</v>
      </c>
      <c r="BL24" s="158">
        <f t="shared" si="14"/>
        <v>354622717.61728305</v>
      </c>
      <c r="BM24" s="10"/>
      <c r="BN24" s="10">
        <f t="shared" si="33"/>
        <v>30484847278.973122</v>
      </c>
      <c r="BO24" s="10">
        <f t="shared" si="34"/>
        <v>22683589356.83989</v>
      </c>
      <c r="BQ24" s="10">
        <f t="shared" si="15"/>
        <v>919800000</v>
      </c>
      <c r="BR24" s="10">
        <f t="shared" si="35"/>
        <v>684417582.9220078</v>
      </c>
    </row>
    <row r="25" spans="3:70" x14ac:dyDescent="0.15">
      <c r="D25" s="84" t="s">
        <v>564</v>
      </c>
      <c r="F25" s="475">
        <v>1.4</v>
      </c>
      <c r="G25" s="84" t="s">
        <v>549</v>
      </c>
      <c r="I25" s="38">
        <f t="shared" si="36"/>
        <v>2030</v>
      </c>
      <c r="J25" s="39"/>
      <c r="K25" s="39">
        <f t="shared" si="37"/>
        <v>11</v>
      </c>
      <c r="L25" s="39"/>
      <c r="M25" s="40">
        <f t="shared" si="0"/>
        <v>0.72242127659876232</v>
      </c>
      <c r="N25" s="39"/>
      <c r="O25" s="72">
        <f t="shared" si="16"/>
        <v>36759160549.880196</v>
      </c>
      <c r="P25" s="41">
        <f t="shared" si="1"/>
        <v>0.14699999999999999</v>
      </c>
      <c r="Q25" s="39"/>
      <c r="R25" s="72">
        <f t="shared" si="17"/>
        <v>46520029266.035805</v>
      </c>
      <c r="S25" s="39"/>
      <c r="T25" s="72">
        <f t="shared" si="18"/>
        <v>46520029000</v>
      </c>
      <c r="U25" s="39"/>
      <c r="V25" s="72">
        <f t="shared" si="2"/>
        <v>5403596600.8323889</v>
      </c>
      <c r="W25" s="72">
        <f t="shared" si="19"/>
        <v>3903673154.5980673</v>
      </c>
      <c r="X25" s="39"/>
      <c r="Y25" s="72">
        <f t="shared" si="3"/>
        <v>651280400</v>
      </c>
      <c r="Z25" s="72">
        <f t="shared" si="20"/>
        <v>470498817.99175256</v>
      </c>
      <c r="AA25" s="39"/>
      <c r="AB25" s="72">
        <f t="shared" si="4"/>
        <v>0</v>
      </c>
      <c r="AC25" s="72">
        <f t="shared" si="21"/>
        <v>0</v>
      </c>
      <c r="AD25" s="39"/>
      <c r="AE25" s="72">
        <f t="shared" si="5"/>
        <v>0</v>
      </c>
      <c r="AF25" s="72">
        <f t="shared" si="22"/>
        <v>0</v>
      </c>
      <c r="AG25" s="39"/>
      <c r="AH25" s="72">
        <f t="shared" si="6"/>
        <v>7875000000</v>
      </c>
      <c r="AI25" s="72">
        <f t="shared" si="23"/>
        <v>5689067553.2152529</v>
      </c>
      <c r="AJ25" s="39"/>
      <c r="AK25" s="72">
        <f t="shared" si="7"/>
        <v>0</v>
      </c>
      <c r="AL25" s="72">
        <f t="shared" si="24"/>
        <v>0</v>
      </c>
      <c r="AM25" s="39"/>
      <c r="AN25" s="72">
        <f t="shared" si="8"/>
        <v>0</v>
      </c>
      <c r="AO25" s="72">
        <f t="shared" si="25"/>
        <v>0</v>
      </c>
      <c r="AP25" s="39"/>
      <c r="AQ25" s="72">
        <f t="shared" si="9"/>
        <v>0</v>
      </c>
      <c r="AR25" s="72">
        <f t="shared" si="26"/>
        <v>0</v>
      </c>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0</v>
      </c>
      <c r="AU25" s="39"/>
      <c r="AV25" s="72">
        <f t="shared" si="10"/>
        <v>0</v>
      </c>
      <c r="AW25" s="72">
        <f t="shared" si="27"/>
        <v>0</v>
      </c>
      <c r="AX25" s="39"/>
      <c r="AY25" s="40">
        <f>IF(ISERROR(IF($K25&lt;=$F$15,VLOOKUP($I25,'表4）CO2価格'!$A$7:$E$67,VLOOKUP($F$48,'表4）CO2価格'!$H$10:$I$12,2,0),0)*$F$8/1000,"")),0,IF($K25&lt;=$F$15,VLOOKUP($I25,'表4）CO2価格'!$A$7:$E$67,VLOOKUP($F$48,'表4）CO2価格'!$H$10:$I$12,2,0),0)*$F$8/1000,""))</f>
        <v>0</v>
      </c>
      <c r="AZ25" s="39"/>
      <c r="BA25" s="42">
        <f t="shared" si="11"/>
        <v>0</v>
      </c>
      <c r="BB25" s="72">
        <f t="shared" si="28"/>
        <v>0</v>
      </c>
      <c r="BC25" s="39"/>
      <c r="BD25" s="72">
        <f t="shared" si="12"/>
        <v>0</v>
      </c>
      <c r="BE25" s="72">
        <f t="shared" si="29"/>
        <v>0</v>
      </c>
      <c r="BF25" s="39"/>
      <c r="BG25" s="42">
        <f t="shared" si="13"/>
        <v>0</v>
      </c>
      <c r="BH25" s="72">
        <f t="shared" si="30"/>
        <v>0</v>
      </c>
      <c r="BI25" s="39"/>
      <c r="BJ25" s="40">
        <f t="shared" si="31"/>
        <v>0.3504938994813922</v>
      </c>
      <c r="BK25" s="157">
        <f t="shared" si="32"/>
        <v>2988409265.4677644</v>
      </c>
      <c r="BL25" s="157">
        <f t="shared" si="14"/>
        <v>322384288.74298453</v>
      </c>
      <c r="BM25" s="72"/>
      <c r="BN25" s="72">
        <f t="shared" si="33"/>
        <v>30484847278.973122</v>
      </c>
      <c r="BO25" s="72">
        <f t="shared" si="34"/>
        <v>22022902288.194069</v>
      </c>
      <c r="BP25" s="39"/>
      <c r="BQ25" s="72">
        <f t="shared" si="15"/>
        <v>919800000</v>
      </c>
      <c r="BR25" s="72">
        <f t="shared" si="35"/>
        <v>664483090.2155416</v>
      </c>
    </row>
    <row r="26" spans="3:70" x14ac:dyDescent="0.15">
      <c r="D26" s="84" t="s">
        <v>115</v>
      </c>
      <c r="F26" s="481"/>
      <c r="G26" s="84" t="s">
        <v>565</v>
      </c>
      <c r="I26" s="457">
        <f t="shared" si="36"/>
        <v>2031</v>
      </c>
      <c r="K26" s="71">
        <f t="shared" si="37"/>
        <v>12</v>
      </c>
      <c r="L26" s="71"/>
      <c r="M26" s="7">
        <f t="shared" si="0"/>
        <v>0.70137988019297326</v>
      </c>
      <c r="N26" s="71"/>
      <c r="O26" s="10">
        <f t="shared" si="16"/>
        <v>31355563949.047806</v>
      </c>
      <c r="P26" s="29">
        <f t="shared" si="1"/>
        <v>0.16700000000000001</v>
      </c>
      <c r="Q26" s="71"/>
      <c r="R26" s="10">
        <f t="shared" si="17"/>
        <v>40627158632.844612</v>
      </c>
      <c r="S26" s="71"/>
      <c r="T26" s="10">
        <f t="shared" si="18"/>
        <v>40627158000</v>
      </c>
      <c r="U26" s="71"/>
      <c r="V26" s="10">
        <f t="shared" si="2"/>
        <v>5236379179.490984</v>
      </c>
      <c r="W26" s="10">
        <f t="shared" si="19"/>
        <v>3672691001.556366</v>
      </c>
      <c r="X26" s="71"/>
      <c r="Y26" s="10">
        <f t="shared" si="3"/>
        <v>568780200</v>
      </c>
      <c r="Z26" s="10">
        <f t="shared" si="20"/>
        <v>398930988.53213537</v>
      </c>
      <c r="AA26" s="71"/>
      <c r="AB26" s="10">
        <f t="shared" si="4"/>
        <v>0</v>
      </c>
      <c r="AC26" s="10">
        <f t="shared" si="21"/>
        <v>0</v>
      </c>
      <c r="AD26" s="71"/>
      <c r="AE26" s="10">
        <f t="shared" si="5"/>
        <v>0</v>
      </c>
      <c r="AF26" s="10">
        <f t="shared" si="22"/>
        <v>0</v>
      </c>
      <c r="AG26" s="71"/>
      <c r="AH26" s="10">
        <f t="shared" si="6"/>
        <v>7875000000</v>
      </c>
      <c r="AI26" s="10">
        <f t="shared" si="23"/>
        <v>5523366556.5196648</v>
      </c>
      <c r="AJ26" s="71"/>
      <c r="AK26" s="10">
        <f t="shared" si="7"/>
        <v>0</v>
      </c>
      <c r="AL26" s="10">
        <f t="shared" si="24"/>
        <v>0</v>
      </c>
      <c r="AM26" s="71"/>
      <c r="AN26" s="10">
        <f t="shared" si="8"/>
        <v>0</v>
      </c>
      <c r="AO26" s="10">
        <f t="shared" si="25"/>
        <v>0</v>
      </c>
      <c r="AP26" s="71"/>
      <c r="AQ26" s="10">
        <f t="shared" si="9"/>
        <v>0</v>
      </c>
      <c r="AR26" s="10">
        <f t="shared" si="26"/>
        <v>0</v>
      </c>
      <c r="AS26" s="71"/>
      <c r="AT26" s="7">
        <f>IF($K26&lt;=$F$15,IF($F$40&lt;&gt;"",$F$40/1000,IF(ISERROR(VLOOKUP($F$3&amp;IF($G$4&lt;&gt;"",$G$4,"")&amp;IF($F$43&lt;&gt;"","_"&amp;$F$43,""),'表3）燃料価格'!$AF$9:$AG$25,2,0)),0,VLOOKUP($I26,'表3）燃料価格'!$A$6:$U$66,VLOOKUP($F$3&amp;IF($G$4&lt;&gt;"",$G$4,"")&amp;IF($F$43&lt;&gt;"","_"&amp;$F$43,""),'表3）燃料価格'!$AF$9:$AG$25,2,0)+VLOOKUP($F$41,'表3）燃料価格'!$AF$28:$AG$29,2,0),0)*IF($F$43="需要地価格",1,$F$8/$F$141))),"")</f>
        <v>0</v>
      </c>
      <c r="AU26" s="71"/>
      <c r="AV26" s="10">
        <f t="shared" si="10"/>
        <v>0</v>
      </c>
      <c r="AW26" s="10">
        <f t="shared" si="27"/>
        <v>0</v>
      </c>
      <c r="AX26" s="71"/>
      <c r="AY26" s="7">
        <f>IF(ISERROR(IF($K26&lt;=$F$15,VLOOKUP($I26,'表4）CO2価格'!$A$7:$E$67,VLOOKUP($F$48,'表4）CO2価格'!$H$10:$I$12,2,0),0)*$F$8/1000,"")),0,IF($K26&lt;=$F$15,VLOOKUP($I26,'表4）CO2価格'!$A$7:$E$67,VLOOKUP($F$48,'表4）CO2価格'!$H$10:$I$12,2,0),0)*$F$8/1000,""))</f>
        <v>0</v>
      </c>
      <c r="AZ26" s="71"/>
      <c r="BA26" s="11">
        <f t="shared" si="11"/>
        <v>0</v>
      </c>
      <c r="BB26" s="10">
        <f t="shared" si="28"/>
        <v>0</v>
      </c>
      <c r="BC26" s="71"/>
      <c r="BD26" s="10">
        <f t="shared" si="12"/>
        <v>0</v>
      </c>
      <c r="BE26" s="10">
        <f t="shared" si="29"/>
        <v>0</v>
      </c>
      <c r="BF26" s="71"/>
      <c r="BG26" s="11">
        <f t="shared" si="13"/>
        <v>0</v>
      </c>
      <c r="BH26" s="10">
        <f t="shared" si="30"/>
        <v>0</v>
      </c>
      <c r="BJ26" s="7">
        <f t="shared" si="31"/>
        <v>0.31863081771035656</v>
      </c>
      <c r="BK26" s="158">
        <f t="shared" si="32"/>
        <v>2690448589.6925182</v>
      </c>
      <c r="BL26" s="158">
        <f t="shared" si="14"/>
        <v>293076626.12998599</v>
      </c>
      <c r="BM26" s="10"/>
      <c r="BN26" s="10">
        <f t="shared" si="33"/>
        <v>30484847278.973122</v>
      </c>
      <c r="BO26" s="10">
        <f t="shared" si="34"/>
        <v>21381458532.227257</v>
      </c>
      <c r="BQ26" s="10">
        <f t="shared" si="15"/>
        <v>919800000</v>
      </c>
      <c r="BR26" s="10">
        <f t="shared" si="35"/>
        <v>645129213.80149686</v>
      </c>
    </row>
    <row r="27" spans="3:70" x14ac:dyDescent="0.15">
      <c r="D27" s="160" t="s">
        <v>86</v>
      </c>
      <c r="F27" s="481">
        <f>F117*5%/10^8</f>
        <v>90.125</v>
      </c>
      <c r="G27" s="84" t="s">
        <v>566</v>
      </c>
      <c r="I27" s="38">
        <f t="shared" si="36"/>
        <v>2032</v>
      </c>
      <c r="J27" s="39"/>
      <c r="K27" s="39">
        <f t="shared" si="37"/>
        <v>13</v>
      </c>
      <c r="L27" s="39"/>
      <c r="M27" s="40">
        <f t="shared" si="0"/>
        <v>0.68095133999317792</v>
      </c>
      <c r="N27" s="39"/>
      <c r="O27" s="72">
        <f t="shared" si="16"/>
        <v>26119184769.556824</v>
      </c>
      <c r="P27" s="41" t="str">
        <f t="shared" si="1"/>
        <v>-</v>
      </c>
      <c r="Q27" s="39"/>
      <c r="R27" s="72">
        <f t="shared" si="17"/>
        <v>35480760537.341187</v>
      </c>
      <c r="S27" s="39"/>
      <c r="T27" s="72">
        <f t="shared" si="18"/>
        <v>35480760000</v>
      </c>
      <c r="U27" s="39"/>
      <c r="V27" s="72">
        <f t="shared" si="2"/>
        <v>5236379179.490984</v>
      </c>
      <c r="W27" s="72">
        <f t="shared" si="19"/>
        <v>3565719418.986763</v>
      </c>
      <c r="X27" s="39"/>
      <c r="Y27" s="72">
        <f t="shared" si="3"/>
        <v>496730600</v>
      </c>
      <c r="Z27" s="72">
        <f t="shared" si="20"/>
        <v>338249367.68561524</v>
      </c>
      <c r="AA27" s="39"/>
      <c r="AB27" s="72">
        <f t="shared" si="4"/>
        <v>0</v>
      </c>
      <c r="AC27" s="72">
        <f t="shared" si="21"/>
        <v>0</v>
      </c>
      <c r="AD27" s="39"/>
      <c r="AE27" s="72">
        <f t="shared" si="5"/>
        <v>0</v>
      </c>
      <c r="AF27" s="72">
        <f t="shared" si="22"/>
        <v>0</v>
      </c>
      <c r="AG27" s="39"/>
      <c r="AH27" s="72">
        <f t="shared" si="6"/>
        <v>7875000000</v>
      </c>
      <c r="AI27" s="72">
        <f t="shared" si="23"/>
        <v>5362491802.4462757</v>
      </c>
      <c r="AJ27" s="39"/>
      <c r="AK27" s="72">
        <f t="shared" si="7"/>
        <v>0</v>
      </c>
      <c r="AL27" s="72">
        <f t="shared" si="24"/>
        <v>0</v>
      </c>
      <c r="AM27" s="39"/>
      <c r="AN27" s="72">
        <f t="shared" si="8"/>
        <v>0</v>
      </c>
      <c r="AO27" s="72">
        <f t="shared" si="25"/>
        <v>0</v>
      </c>
      <c r="AP27" s="39"/>
      <c r="AQ27" s="72">
        <f t="shared" si="9"/>
        <v>0</v>
      </c>
      <c r="AR27" s="72">
        <f t="shared" si="26"/>
        <v>0</v>
      </c>
      <c r="AS27" s="39"/>
      <c r="AT27" s="40">
        <f>IF($K27&lt;=$F$15,IF($F$40&lt;&gt;"",$F$40/1000,IF(ISERROR(VLOOKUP($F$3&amp;IF($G$4&lt;&gt;"",$G$4,"")&amp;IF($F$43&lt;&gt;"","_"&amp;$F$43,""),'表3）燃料価格'!$AF$9:$AG$25,2,0)),0,VLOOKUP($I27,'表3）燃料価格'!$A$6:$U$66,VLOOKUP($F$3&amp;IF($G$4&lt;&gt;"",$G$4,"")&amp;IF($F$43&lt;&gt;"","_"&amp;$F$43,""),'表3）燃料価格'!$AF$9:$AG$25,2,0)+VLOOKUP($F$41,'表3）燃料価格'!$AF$28:$AG$29,2,0),0)*IF($F$43="需要地価格",1,$F$8/$F$141))),"")</f>
        <v>0</v>
      </c>
      <c r="AU27" s="39"/>
      <c r="AV27" s="72">
        <f t="shared" si="10"/>
        <v>0</v>
      </c>
      <c r="AW27" s="72">
        <f t="shared" si="27"/>
        <v>0</v>
      </c>
      <c r="AX27" s="39"/>
      <c r="AY27" s="40">
        <f>IF(ISERROR(IF($K27&lt;=$F$15,VLOOKUP($I27,'表4）CO2価格'!$A$7:$E$67,VLOOKUP($F$48,'表4）CO2価格'!$H$10:$I$12,2,0),0)*$F$8/1000,"")),0,IF($K27&lt;=$F$15,VLOOKUP($I27,'表4）CO2価格'!$A$7:$E$67,VLOOKUP($F$48,'表4）CO2価格'!$H$10:$I$12,2,0),0)*$F$8/1000,""))</f>
        <v>0</v>
      </c>
      <c r="AZ27" s="39"/>
      <c r="BA27" s="42">
        <f t="shared" si="11"/>
        <v>0</v>
      </c>
      <c r="BB27" s="72">
        <f t="shared" si="28"/>
        <v>0</v>
      </c>
      <c r="BC27" s="39"/>
      <c r="BD27" s="72">
        <f t="shared" si="12"/>
        <v>0</v>
      </c>
      <c r="BE27" s="72">
        <f t="shared" si="29"/>
        <v>0</v>
      </c>
      <c r="BF27" s="39"/>
      <c r="BG27" s="42">
        <f t="shared" si="13"/>
        <v>0</v>
      </c>
      <c r="BH27" s="72">
        <f t="shared" si="30"/>
        <v>0</v>
      </c>
      <c r="BI27" s="39"/>
      <c r="BJ27" s="40">
        <f t="shared" si="31"/>
        <v>0.28966437973668779</v>
      </c>
      <c r="BK27" s="157">
        <f t="shared" si="32"/>
        <v>2424992151.5716491</v>
      </c>
      <c r="BL27" s="157">
        <f t="shared" si="14"/>
        <v>266433296.48180544</v>
      </c>
      <c r="BM27" s="72"/>
      <c r="BN27" s="72">
        <f t="shared" si="33"/>
        <v>30484847278.973122</v>
      </c>
      <c r="BO27" s="72">
        <f t="shared" si="34"/>
        <v>20758697604.10413</v>
      </c>
      <c r="BP27" s="39"/>
      <c r="BQ27" s="72">
        <f t="shared" si="15"/>
        <v>919800000</v>
      </c>
      <c r="BR27" s="72">
        <f t="shared" si="35"/>
        <v>626339042.52572501</v>
      </c>
    </row>
    <row r="28" spans="3:70" x14ac:dyDescent="0.15">
      <c r="D28" s="84" t="s">
        <v>116</v>
      </c>
      <c r="F28" s="481">
        <v>1</v>
      </c>
      <c r="G28" s="84" t="s">
        <v>556</v>
      </c>
      <c r="I28" s="457">
        <f t="shared" si="36"/>
        <v>2033</v>
      </c>
      <c r="K28" s="71">
        <f t="shared" si="37"/>
        <v>14</v>
      </c>
      <c r="L28" s="71"/>
      <c r="M28" s="7">
        <f t="shared" si="0"/>
        <v>0.66111780581861923</v>
      </c>
      <c r="N28" s="71"/>
      <c r="O28" s="10">
        <f t="shared" si="16"/>
        <v>20882805590.065842</v>
      </c>
      <c r="P28" s="29" t="str">
        <f t="shared" si="1"/>
        <v>-</v>
      </c>
      <c r="Q28" s="71"/>
      <c r="R28" s="10">
        <f t="shared" si="17"/>
        <v>30986276438.500809</v>
      </c>
      <c r="S28" s="71"/>
      <c r="T28" s="10">
        <f t="shared" si="18"/>
        <v>30986276000</v>
      </c>
      <c r="U28" s="71"/>
      <c r="V28" s="10">
        <f t="shared" si="2"/>
        <v>5236379179.490984</v>
      </c>
      <c r="W28" s="10">
        <f t="shared" si="19"/>
        <v>3461863513.579381</v>
      </c>
      <c r="X28" s="71"/>
      <c r="Y28" s="10">
        <f t="shared" si="3"/>
        <v>433807800</v>
      </c>
      <c r="Z28" s="10">
        <f t="shared" si="20"/>
        <v>286798060.8830024</v>
      </c>
      <c r="AA28" s="71"/>
      <c r="AB28" s="10">
        <f t="shared" si="4"/>
        <v>0</v>
      </c>
      <c r="AC28" s="10">
        <f t="shared" si="21"/>
        <v>0</v>
      </c>
      <c r="AD28" s="71"/>
      <c r="AE28" s="10">
        <f t="shared" si="5"/>
        <v>0</v>
      </c>
      <c r="AF28" s="10">
        <f t="shared" si="22"/>
        <v>0</v>
      </c>
      <c r="AG28" s="71"/>
      <c r="AH28" s="10">
        <f t="shared" si="6"/>
        <v>7875000000</v>
      </c>
      <c r="AI28" s="10">
        <f t="shared" si="23"/>
        <v>5206302720.8216267</v>
      </c>
      <c r="AJ28" s="71"/>
      <c r="AK28" s="10">
        <f t="shared" si="7"/>
        <v>0</v>
      </c>
      <c r="AL28" s="10">
        <f t="shared" si="24"/>
        <v>0</v>
      </c>
      <c r="AM28" s="71"/>
      <c r="AN28" s="10">
        <f t="shared" si="8"/>
        <v>0</v>
      </c>
      <c r="AO28" s="10">
        <f t="shared" si="25"/>
        <v>0</v>
      </c>
      <c r="AP28" s="71"/>
      <c r="AQ28" s="10">
        <f t="shared" si="9"/>
        <v>0</v>
      </c>
      <c r="AR28" s="10">
        <f t="shared" si="26"/>
        <v>0</v>
      </c>
      <c r="AS28" s="71"/>
      <c r="AT28" s="7">
        <f>IF($K28&lt;=$F$15,IF($F$40&lt;&gt;"",$F$40/1000,IF(ISERROR(VLOOKUP($F$3&amp;IF($G$4&lt;&gt;"",$G$4,"")&amp;IF($F$43&lt;&gt;"","_"&amp;$F$43,""),'表3）燃料価格'!$AF$9:$AG$25,2,0)),0,VLOOKUP($I28,'表3）燃料価格'!$A$6:$U$66,VLOOKUP($F$3&amp;IF($G$4&lt;&gt;"",$G$4,"")&amp;IF($F$43&lt;&gt;"","_"&amp;$F$43,""),'表3）燃料価格'!$AF$9:$AG$25,2,0)+VLOOKUP($F$41,'表3）燃料価格'!$AF$28:$AG$29,2,0),0)*IF($F$43="需要地価格",1,$F$8/$F$141))),"")</f>
        <v>0</v>
      </c>
      <c r="AU28" s="71"/>
      <c r="AV28" s="10">
        <f t="shared" si="10"/>
        <v>0</v>
      </c>
      <c r="AW28" s="10">
        <f t="shared" si="27"/>
        <v>0</v>
      </c>
      <c r="AX28" s="71"/>
      <c r="AY28" s="7">
        <f>IF(ISERROR(IF($K28&lt;=$F$15,VLOOKUP($I28,'表4）CO2価格'!$A$7:$E$67,VLOOKUP($F$48,'表4）CO2価格'!$H$10:$I$12,2,0),0)*$F$8/1000,"")),0,IF($K28&lt;=$F$15,VLOOKUP($I28,'表4）CO2価格'!$A$7:$E$67,VLOOKUP($F$48,'表4）CO2価格'!$H$10:$I$12,2,0),0)*$F$8/1000,""))</f>
        <v>0</v>
      </c>
      <c r="AZ28" s="71"/>
      <c r="BA28" s="11">
        <f t="shared" si="11"/>
        <v>0</v>
      </c>
      <c r="BB28" s="10">
        <f t="shared" si="28"/>
        <v>0</v>
      </c>
      <c r="BC28" s="71"/>
      <c r="BD28" s="10">
        <f t="shared" si="12"/>
        <v>0</v>
      </c>
      <c r="BE28" s="10">
        <f t="shared" si="29"/>
        <v>0</v>
      </c>
      <c r="BF28" s="71"/>
      <c r="BG28" s="11">
        <f t="shared" si="13"/>
        <v>0</v>
      </c>
      <c r="BH28" s="10">
        <f t="shared" si="30"/>
        <v>0</v>
      </c>
      <c r="BJ28" s="7">
        <f t="shared" si="31"/>
        <v>0.26333125430607973</v>
      </c>
      <c r="BK28" s="158">
        <f t="shared" si="32"/>
        <v>2187968779.7621388</v>
      </c>
      <c r="BL28" s="158">
        <f t="shared" si="14"/>
        <v>242212087.71073213</v>
      </c>
      <c r="BM28" s="10"/>
      <c r="BN28" s="10">
        <f t="shared" si="33"/>
        <v>30484847278.973122</v>
      </c>
      <c r="BO28" s="10">
        <f t="shared" si="34"/>
        <v>20154075343.790417</v>
      </c>
      <c r="BQ28" s="10">
        <f t="shared" si="15"/>
        <v>919800000</v>
      </c>
      <c r="BR28" s="10">
        <f t="shared" si="35"/>
        <v>608096157.79196596</v>
      </c>
    </row>
    <row r="29" spans="3:70" x14ac:dyDescent="0.15">
      <c r="D29" s="84" t="s">
        <v>567</v>
      </c>
      <c r="F29" s="481"/>
      <c r="G29" s="84" t="s">
        <v>566</v>
      </c>
      <c r="I29" s="38">
        <f t="shared" si="36"/>
        <v>2034</v>
      </c>
      <c r="J29" s="39"/>
      <c r="K29" s="39">
        <f t="shared" si="37"/>
        <v>15</v>
      </c>
      <c r="L29" s="39"/>
      <c r="M29" s="40">
        <f t="shared" si="0"/>
        <v>0.64186194739671765</v>
      </c>
      <c r="N29" s="39"/>
      <c r="O29" s="72">
        <f t="shared" si="16"/>
        <v>15646426410.574858</v>
      </c>
      <c r="P29" s="41" t="str">
        <f t="shared" si="1"/>
        <v>-</v>
      </c>
      <c r="Q29" s="39"/>
      <c r="R29" s="72">
        <f t="shared" si="17"/>
        <v>27061125888.569828</v>
      </c>
      <c r="S29" s="39"/>
      <c r="T29" s="72">
        <f t="shared" si="18"/>
        <v>27061125000</v>
      </c>
      <c r="U29" s="39"/>
      <c r="V29" s="72">
        <f t="shared" si="2"/>
        <v>5236379179.490984</v>
      </c>
      <c r="W29" s="72">
        <f t="shared" si="19"/>
        <v>3361032537.4557095</v>
      </c>
      <c r="X29" s="39"/>
      <c r="Y29" s="72">
        <f t="shared" si="3"/>
        <v>378855700</v>
      </c>
      <c r="Z29" s="72">
        <f t="shared" si="20"/>
        <v>243173057.38434663</v>
      </c>
      <c r="AA29" s="39"/>
      <c r="AB29" s="72">
        <f t="shared" si="4"/>
        <v>0</v>
      </c>
      <c r="AC29" s="72">
        <f t="shared" si="21"/>
        <v>0</v>
      </c>
      <c r="AD29" s="39"/>
      <c r="AE29" s="72">
        <f t="shared" si="5"/>
        <v>0</v>
      </c>
      <c r="AF29" s="72">
        <f t="shared" si="22"/>
        <v>0</v>
      </c>
      <c r="AG29" s="39"/>
      <c r="AH29" s="72">
        <f t="shared" si="6"/>
        <v>7875000000</v>
      </c>
      <c r="AI29" s="72">
        <f t="shared" si="23"/>
        <v>5054662835.7491512</v>
      </c>
      <c r="AJ29" s="39"/>
      <c r="AK29" s="72">
        <f t="shared" si="7"/>
        <v>0</v>
      </c>
      <c r="AL29" s="72">
        <f t="shared" si="24"/>
        <v>0</v>
      </c>
      <c r="AM29" s="39"/>
      <c r="AN29" s="72">
        <f t="shared" si="8"/>
        <v>0</v>
      </c>
      <c r="AO29" s="72">
        <f t="shared" si="25"/>
        <v>0</v>
      </c>
      <c r="AP29" s="39"/>
      <c r="AQ29" s="72">
        <f t="shared" si="9"/>
        <v>0</v>
      </c>
      <c r="AR29" s="72">
        <f t="shared" si="26"/>
        <v>0</v>
      </c>
      <c r="AS29" s="39"/>
      <c r="AT29" s="40">
        <f>IF($K29&lt;=$F$15,IF($F$40&lt;&gt;"",$F$40/1000,IF(ISERROR(VLOOKUP($F$3&amp;IF($G$4&lt;&gt;"",$G$4,"")&amp;IF($F$43&lt;&gt;"","_"&amp;$F$43,""),'表3）燃料価格'!$AF$9:$AG$25,2,0)),0,VLOOKUP($I29,'表3）燃料価格'!$A$6:$U$66,VLOOKUP($F$3&amp;IF($G$4&lt;&gt;"",$G$4,"")&amp;IF($F$43&lt;&gt;"","_"&amp;$F$43,""),'表3）燃料価格'!$AF$9:$AG$25,2,0)+VLOOKUP($F$41,'表3）燃料価格'!$AF$28:$AG$29,2,0),0)*IF($F$43="需要地価格",1,$F$8/$F$141))),"")</f>
        <v>0</v>
      </c>
      <c r="AU29" s="39"/>
      <c r="AV29" s="72">
        <f t="shared" si="10"/>
        <v>0</v>
      </c>
      <c r="AW29" s="72">
        <f t="shared" si="27"/>
        <v>0</v>
      </c>
      <c r="AX29" s="39"/>
      <c r="AY29" s="40">
        <f>IF(ISERROR(IF($K29&lt;=$F$15,VLOOKUP($I29,'表4）CO2価格'!$A$7:$E$67,VLOOKUP($F$48,'表4）CO2価格'!$H$10:$I$12,2,0),0)*$F$8/1000,"")),0,IF($K29&lt;=$F$15,VLOOKUP($I29,'表4）CO2価格'!$A$7:$E$67,VLOOKUP($F$48,'表4）CO2価格'!$H$10:$I$12,2,0),0)*$F$8/1000,""))</f>
        <v>0</v>
      </c>
      <c r="AZ29" s="39"/>
      <c r="BA29" s="42">
        <f t="shared" si="11"/>
        <v>0</v>
      </c>
      <c r="BB29" s="72">
        <f t="shared" si="28"/>
        <v>0</v>
      </c>
      <c r="BC29" s="39"/>
      <c r="BD29" s="72">
        <f t="shared" si="12"/>
        <v>0</v>
      </c>
      <c r="BE29" s="72">
        <f t="shared" si="29"/>
        <v>0</v>
      </c>
      <c r="BF29" s="39"/>
      <c r="BG29" s="42">
        <f t="shared" si="13"/>
        <v>0</v>
      </c>
      <c r="BH29" s="72">
        <f t="shared" si="30"/>
        <v>0</v>
      </c>
      <c r="BI29" s="39"/>
      <c r="BJ29" s="40">
        <f t="shared" si="31"/>
        <v>0.23939204936916339</v>
      </c>
      <c r="BK29" s="157">
        <f t="shared" si="32"/>
        <v>1975907431.2203507</v>
      </c>
      <c r="BL29" s="157">
        <f t="shared" si="14"/>
        <v>220192807.00975648</v>
      </c>
      <c r="BM29" s="72"/>
      <c r="BN29" s="72">
        <f t="shared" si="33"/>
        <v>30484847278.973122</v>
      </c>
      <c r="BO29" s="72">
        <f t="shared" si="34"/>
        <v>19567063440.573215</v>
      </c>
      <c r="BP29" s="39"/>
      <c r="BQ29" s="72">
        <f t="shared" si="15"/>
        <v>919800000</v>
      </c>
      <c r="BR29" s="72">
        <f t="shared" si="35"/>
        <v>590384619.21550095</v>
      </c>
    </row>
    <row r="30" spans="3:70" x14ac:dyDescent="0.15">
      <c r="I30" s="457">
        <f t="shared" si="36"/>
        <v>2035</v>
      </c>
      <c r="K30" s="71">
        <f t="shared" si="37"/>
        <v>16</v>
      </c>
      <c r="L30" s="71"/>
      <c r="M30" s="7">
        <f t="shared" si="0"/>
        <v>0.62316693922011435</v>
      </c>
      <c r="N30" s="71"/>
      <c r="O30" s="10">
        <f t="shared" si="16"/>
        <v>10410047231.083874</v>
      </c>
      <c r="P30" s="29" t="str">
        <f t="shared" si="1"/>
        <v>-</v>
      </c>
      <c r="Q30" s="71"/>
      <c r="R30" s="10">
        <f t="shared" si="17"/>
        <v>23633189222.023701</v>
      </c>
      <c r="S30" s="71"/>
      <c r="T30" s="10">
        <f t="shared" si="18"/>
        <v>23633189000</v>
      </c>
      <c r="U30" s="71"/>
      <c r="V30" s="10">
        <f t="shared" si="2"/>
        <v>5236379179.490984</v>
      </c>
      <c r="W30" s="10">
        <f t="shared" si="19"/>
        <v>3263138385.8793302</v>
      </c>
      <c r="X30" s="71"/>
      <c r="Y30" s="10">
        <f t="shared" si="3"/>
        <v>330864600</v>
      </c>
      <c r="Z30" s="10">
        <f t="shared" si="20"/>
        <v>206183880.07828745</v>
      </c>
      <c r="AA30" s="71"/>
      <c r="AB30" s="10">
        <f t="shared" si="4"/>
        <v>0</v>
      </c>
      <c r="AC30" s="10">
        <f t="shared" si="21"/>
        <v>0</v>
      </c>
      <c r="AD30" s="71"/>
      <c r="AE30" s="10">
        <f t="shared" si="5"/>
        <v>0</v>
      </c>
      <c r="AF30" s="10">
        <f t="shared" si="22"/>
        <v>0</v>
      </c>
      <c r="AG30" s="71"/>
      <c r="AH30" s="10">
        <f t="shared" si="6"/>
        <v>7875000000</v>
      </c>
      <c r="AI30" s="10">
        <f t="shared" si="23"/>
        <v>4907439646.3584003</v>
      </c>
      <c r="AJ30" s="71"/>
      <c r="AK30" s="10">
        <f t="shared" si="7"/>
        <v>0</v>
      </c>
      <c r="AL30" s="10">
        <f t="shared" si="24"/>
        <v>0</v>
      </c>
      <c r="AM30" s="71"/>
      <c r="AN30" s="10">
        <f t="shared" si="8"/>
        <v>0</v>
      </c>
      <c r="AO30" s="10">
        <f t="shared" si="25"/>
        <v>0</v>
      </c>
      <c r="AP30" s="71"/>
      <c r="AQ30" s="10">
        <f t="shared" si="9"/>
        <v>0</v>
      </c>
      <c r="AR30" s="10">
        <f t="shared" si="26"/>
        <v>0</v>
      </c>
      <c r="AS30" s="71"/>
      <c r="AT30" s="7">
        <f>IF($K30&lt;=$F$15,IF($F$40&lt;&gt;"",$F$40/1000,IF(ISERROR(VLOOKUP($F$3&amp;IF($G$4&lt;&gt;"",$G$4,"")&amp;IF($F$43&lt;&gt;"","_"&amp;$F$43,""),'表3）燃料価格'!$AF$9:$AG$25,2,0)),0,VLOOKUP($I30,'表3）燃料価格'!$A$6:$U$66,VLOOKUP($F$3&amp;IF($G$4&lt;&gt;"",$G$4,"")&amp;IF($F$43&lt;&gt;"","_"&amp;$F$43,""),'表3）燃料価格'!$AF$9:$AG$25,2,0)+VLOOKUP($F$41,'表3）燃料価格'!$AF$28:$AG$29,2,0),0)*IF($F$43="需要地価格",1,$F$8/$F$141))),"")</f>
        <v>0</v>
      </c>
      <c r="AU30" s="71"/>
      <c r="AV30" s="10">
        <f t="shared" si="10"/>
        <v>0</v>
      </c>
      <c r="AW30" s="10">
        <f t="shared" si="27"/>
        <v>0</v>
      </c>
      <c r="AX30" s="71"/>
      <c r="AY30" s="7">
        <f>IF(ISERROR(IF($K30&lt;=$F$15,VLOOKUP($I30,'表4）CO2価格'!$A$7:$E$67,VLOOKUP($F$48,'表4）CO2価格'!$H$10:$I$12,2,0),0)*$F$8/1000,"")),0,IF($K30&lt;=$F$15,VLOOKUP($I30,'表4）CO2価格'!$A$7:$E$67,VLOOKUP($F$48,'表4）CO2価格'!$H$10:$I$12,2,0),0)*$F$8/1000,""))</f>
        <v>0</v>
      </c>
      <c r="AZ30" s="71"/>
      <c r="BA30" s="11">
        <f t="shared" si="11"/>
        <v>0</v>
      </c>
      <c r="BB30" s="10">
        <f t="shared" si="28"/>
        <v>0</v>
      </c>
      <c r="BC30" s="71"/>
      <c r="BD30" s="10">
        <f t="shared" si="12"/>
        <v>0</v>
      </c>
      <c r="BE30" s="10">
        <f t="shared" si="29"/>
        <v>0</v>
      </c>
      <c r="BF30" s="71"/>
      <c r="BG30" s="11">
        <f t="shared" si="13"/>
        <v>0</v>
      </c>
      <c r="BH30" s="10">
        <f t="shared" si="30"/>
        <v>0</v>
      </c>
      <c r="BJ30" s="7">
        <f t="shared" si="31"/>
        <v>0.21762913579014853</v>
      </c>
      <c r="BK30" s="158">
        <f t="shared" si="32"/>
        <v>1785835221.3089728</v>
      </c>
      <c r="BL30" s="158">
        <f t="shared" si="14"/>
        <v>200175279.09977862</v>
      </c>
      <c r="BM30" s="10"/>
      <c r="BN30" s="10">
        <f t="shared" si="33"/>
        <v>30484847278.973122</v>
      </c>
      <c r="BO30" s="10">
        <f t="shared" si="34"/>
        <v>18997148971.430313</v>
      </c>
      <c r="BQ30" s="10">
        <f t="shared" si="15"/>
        <v>919800000</v>
      </c>
      <c r="BR30" s="10">
        <f t="shared" si="35"/>
        <v>573188950.69466114</v>
      </c>
    </row>
    <row r="31" spans="3:70" x14ac:dyDescent="0.15">
      <c r="C31" s="4" t="s">
        <v>568</v>
      </c>
      <c r="D31" s="100"/>
      <c r="E31" s="100"/>
      <c r="F31" s="4"/>
      <c r="G31" s="100"/>
      <c r="I31" s="38">
        <f t="shared" si="36"/>
        <v>2036</v>
      </c>
      <c r="J31" s="39"/>
      <c r="K31" s="39">
        <f t="shared" si="37"/>
        <v>17</v>
      </c>
      <c r="L31" s="39"/>
      <c r="M31" s="40">
        <f t="shared" si="0"/>
        <v>0.60501644584477121</v>
      </c>
      <c r="N31" s="39"/>
      <c r="O31" s="72">
        <f t="shared" si="16"/>
        <v>5173668051.5928898</v>
      </c>
      <c r="P31" s="41" t="str">
        <f t="shared" si="1"/>
        <v>-</v>
      </c>
      <c r="Q31" s="39"/>
      <c r="R31" s="72">
        <f t="shared" si="17"/>
        <v>20639482448.137535</v>
      </c>
      <c r="S31" s="39"/>
      <c r="T31" s="72">
        <f t="shared" si="18"/>
        <v>20639482000</v>
      </c>
      <c r="U31" s="39"/>
      <c r="V31" s="72">
        <f t="shared" si="2"/>
        <v>5173668051.5928898</v>
      </c>
      <c r="W31" s="72">
        <f t="shared" si="19"/>
        <v>3130154256.5553727</v>
      </c>
      <c r="X31" s="39"/>
      <c r="Y31" s="72">
        <f t="shared" si="3"/>
        <v>288952700</v>
      </c>
      <c r="Z31" s="72">
        <f t="shared" si="20"/>
        <v>174821135.57125041</v>
      </c>
      <c r="AA31" s="39"/>
      <c r="AB31" s="72">
        <f t="shared" si="4"/>
        <v>0</v>
      </c>
      <c r="AC31" s="72">
        <f t="shared" si="21"/>
        <v>0</v>
      </c>
      <c r="AD31" s="39"/>
      <c r="AE31" s="72">
        <f t="shared" si="5"/>
        <v>0</v>
      </c>
      <c r="AF31" s="72">
        <f t="shared" si="22"/>
        <v>0</v>
      </c>
      <c r="AG31" s="39"/>
      <c r="AH31" s="72">
        <f t="shared" si="6"/>
        <v>7875000000</v>
      </c>
      <c r="AI31" s="72">
        <f t="shared" si="23"/>
        <v>4764504511.0275736</v>
      </c>
      <c r="AJ31" s="39"/>
      <c r="AK31" s="72">
        <f t="shared" si="7"/>
        <v>0</v>
      </c>
      <c r="AL31" s="72">
        <f t="shared" si="24"/>
        <v>0</v>
      </c>
      <c r="AM31" s="39"/>
      <c r="AN31" s="72">
        <f t="shared" si="8"/>
        <v>0</v>
      </c>
      <c r="AO31" s="72">
        <f t="shared" si="25"/>
        <v>0</v>
      </c>
      <c r="AP31" s="39"/>
      <c r="AQ31" s="72">
        <f t="shared" si="9"/>
        <v>0</v>
      </c>
      <c r="AR31" s="72">
        <f t="shared" si="26"/>
        <v>0</v>
      </c>
      <c r="AS31" s="39"/>
      <c r="AT31" s="40">
        <f>IF($K31&lt;=$F$15,IF($F$40&lt;&gt;"",$F$40/1000,IF(ISERROR(VLOOKUP($F$3&amp;IF($G$4&lt;&gt;"",$G$4,"")&amp;IF($F$43&lt;&gt;"","_"&amp;$F$43,""),'表3）燃料価格'!$AF$9:$AG$25,2,0)),0,VLOOKUP($I31,'表3）燃料価格'!$A$6:$U$66,VLOOKUP($F$3&amp;IF($G$4&lt;&gt;"",$G$4,"")&amp;IF($F$43&lt;&gt;"","_"&amp;$F$43,""),'表3）燃料価格'!$AF$9:$AG$25,2,0)+VLOOKUP($F$41,'表3）燃料価格'!$AF$28:$AG$29,2,0),0)*IF($F$43="需要地価格",1,$F$8/$F$141))),"")</f>
        <v>0</v>
      </c>
      <c r="AU31" s="39"/>
      <c r="AV31" s="72">
        <f t="shared" si="10"/>
        <v>0</v>
      </c>
      <c r="AW31" s="72">
        <f t="shared" si="27"/>
        <v>0</v>
      </c>
      <c r="AX31" s="39"/>
      <c r="AY31" s="40">
        <f>IF(ISERROR(IF($K31&lt;=$F$15,VLOOKUP($I31,'表4）CO2価格'!$A$7:$E$67,VLOOKUP($F$48,'表4）CO2価格'!$H$10:$I$12,2,0),0)*$F$8/1000,"")),0,IF($K31&lt;=$F$15,VLOOKUP($I31,'表4）CO2価格'!$A$7:$E$67,VLOOKUP($F$48,'表4）CO2価格'!$H$10:$I$12,2,0),0)*$F$8/1000,""))</f>
        <v>0</v>
      </c>
      <c r="AZ31" s="39"/>
      <c r="BA31" s="42">
        <f t="shared" si="11"/>
        <v>0</v>
      </c>
      <c r="BB31" s="72">
        <f t="shared" si="28"/>
        <v>0</v>
      </c>
      <c r="BC31" s="39"/>
      <c r="BD31" s="72">
        <f t="shared" si="12"/>
        <v>0</v>
      </c>
      <c r="BE31" s="72">
        <f t="shared" si="29"/>
        <v>0</v>
      </c>
      <c r="BF31" s="39"/>
      <c r="BG31" s="42">
        <f t="shared" si="13"/>
        <v>0</v>
      </c>
      <c r="BH31" s="72">
        <f t="shared" si="30"/>
        <v>0</v>
      </c>
      <c r="BI31" s="39"/>
      <c r="BJ31" s="40">
        <f t="shared" si="31"/>
        <v>0.19784466890013502</v>
      </c>
      <c r="BK31" s="157">
        <f t="shared" si="32"/>
        <v>1615194518.8478634</v>
      </c>
      <c r="BL31" s="157">
        <f t="shared" si="14"/>
        <v>181977526.45434418</v>
      </c>
      <c r="BM31" s="72"/>
      <c r="BN31" s="72">
        <f t="shared" si="33"/>
        <v>30484847278.973122</v>
      </c>
      <c r="BO31" s="72">
        <f t="shared" si="34"/>
        <v>18443833952.844963</v>
      </c>
      <c r="BP31" s="39"/>
      <c r="BQ31" s="72">
        <f t="shared" si="15"/>
        <v>919800000</v>
      </c>
      <c r="BR31" s="72">
        <f t="shared" si="35"/>
        <v>556494126.88802052</v>
      </c>
    </row>
    <row r="32" spans="3:70" x14ac:dyDescent="0.15">
      <c r="I32" s="457">
        <f t="shared" si="36"/>
        <v>2037</v>
      </c>
      <c r="K32" s="71">
        <f t="shared" si="37"/>
        <v>18</v>
      </c>
      <c r="L32" s="71"/>
      <c r="M32" s="7">
        <f t="shared" si="0"/>
        <v>0.5873946076162827</v>
      </c>
      <c r="N32" s="71"/>
      <c r="O32" s="10">
        <f t="shared" si="16"/>
        <v>0</v>
      </c>
      <c r="P32" s="29" t="str">
        <f t="shared" si="1"/>
        <v>-</v>
      </c>
      <c r="Q32" s="71"/>
      <c r="R32" s="10">
        <f t="shared" si="17"/>
        <v>18025000000.000008</v>
      </c>
      <c r="S32" s="71"/>
      <c r="T32" s="10">
        <f t="shared" si="18"/>
        <v>18025000000</v>
      </c>
      <c r="U32" s="71"/>
      <c r="V32" s="10">
        <f t="shared" si="2"/>
        <v>0</v>
      </c>
      <c r="W32" s="10">
        <f t="shared" si="19"/>
        <v>0</v>
      </c>
      <c r="X32" s="71"/>
      <c r="Y32" s="10">
        <f t="shared" si="3"/>
        <v>252350000</v>
      </c>
      <c r="Z32" s="10">
        <f t="shared" si="20"/>
        <v>148229029.23196894</v>
      </c>
      <c r="AA32" s="71"/>
      <c r="AB32" s="10">
        <f t="shared" si="4"/>
        <v>0</v>
      </c>
      <c r="AC32" s="10">
        <f t="shared" si="21"/>
        <v>0</v>
      </c>
      <c r="AD32" s="71"/>
      <c r="AE32" s="10">
        <f t="shared" si="5"/>
        <v>0</v>
      </c>
      <c r="AF32" s="10">
        <f t="shared" si="22"/>
        <v>0</v>
      </c>
      <c r="AG32" s="71"/>
      <c r="AH32" s="10">
        <f t="shared" si="6"/>
        <v>7875000000</v>
      </c>
      <c r="AI32" s="10">
        <f t="shared" si="23"/>
        <v>4625732534.9782267</v>
      </c>
      <c r="AJ32" s="71"/>
      <c r="AK32" s="10">
        <f t="shared" si="7"/>
        <v>0</v>
      </c>
      <c r="AL32" s="10">
        <f t="shared" si="24"/>
        <v>0</v>
      </c>
      <c r="AM32" s="71"/>
      <c r="AN32" s="10">
        <f t="shared" si="8"/>
        <v>0</v>
      </c>
      <c r="AO32" s="10">
        <f t="shared" si="25"/>
        <v>0</v>
      </c>
      <c r="AP32" s="71"/>
      <c r="AQ32" s="10">
        <f t="shared" si="9"/>
        <v>0</v>
      </c>
      <c r="AR32" s="10">
        <f t="shared" si="26"/>
        <v>0</v>
      </c>
      <c r="AS32" s="71"/>
      <c r="AT32" s="7">
        <f>IF($K32&lt;=$F$15,IF($F$40&lt;&gt;"",$F$40/1000,IF(ISERROR(VLOOKUP($F$3&amp;IF($G$4&lt;&gt;"",$G$4,"")&amp;IF($F$43&lt;&gt;"","_"&amp;$F$43,""),'表3）燃料価格'!$AF$9:$AG$25,2,0)),0,VLOOKUP($I32,'表3）燃料価格'!$A$6:$U$66,VLOOKUP($F$3&amp;IF($G$4&lt;&gt;"",$G$4,"")&amp;IF($F$43&lt;&gt;"","_"&amp;$F$43,""),'表3）燃料価格'!$AF$9:$AG$25,2,0)+VLOOKUP($F$41,'表3）燃料価格'!$AF$28:$AG$29,2,0),0)*IF($F$43="需要地価格",1,$F$8/$F$141))),"")</f>
        <v>0</v>
      </c>
      <c r="AU32" s="71"/>
      <c r="AV32" s="10">
        <f t="shared" si="10"/>
        <v>0</v>
      </c>
      <c r="AW32" s="10">
        <f t="shared" si="27"/>
        <v>0</v>
      </c>
      <c r="AX32" s="71"/>
      <c r="AY32" s="7">
        <f>IF(ISERROR(IF($K32&lt;=$F$15,VLOOKUP($I32,'表4）CO2価格'!$A$7:$E$67,VLOOKUP($F$48,'表4）CO2価格'!$H$10:$I$12,2,0),0)*$F$8/1000,"")),0,IF($K32&lt;=$F$15,VLOOKUP($I32,'表4）CO2価格'!$A$7:$E$67,VLOOKUP($F$48,'表4）CO2価格'!$H$10:$I$12,2,0),0)*$F$8/1000,""))</f>
        <v>0</v>
      </c>
      <c r="AZ32" s="71"/>
      <c r="BA32" s="11">
        <f t="shared" si="11"/>
        <v>0</v>
      </c>
      <c r="BB32" s="10">
        <f t="shared" si="28"/>
        <v>0</v>
      </c>
      <c r="BC32" s="71"/>
      <c r="BD32" s="10">
        <f t="shared" si="12"/>
        <v>0</v>
      </c>
      <c r="BE32" s="10">
        <f t="shared" si="29"/>
        <v>0</v>
      </c>
      <c r="BF32" s="71"/>
      <c r="BG32" s="11">
        <f t="shared" si="13"/>
        <v>0</v>
      </c>
      <c r="BH32" s="10">
        <f t="shared" si="30"/>
        <v>0</v>
      </c>
      <c r="BJ32" s="7">
        <f t="shared" si="31"/>
        <v>0.17985878990921364</v>
      </c>
      <c r="BK32" s="158">
        <f t="shared" si="32"/>
        <v>1461775336.1686475</v>
      </c>
      <c r="BL32" s="158">
        <f t="shared" si="14"/>
        <v>165434114.95849469</v>
      </c>
      <c r="BM32" s="10"/>
      <c r="BN32" s="10">
        <f t="shared" si="33"/>
        <v>30484847278.973122</v>
      </c>
      <c r="BO32" s="10">
        <f t="shared" si="34"/>
        <v>17906634905.674721</v>
      </c>
      <c r="BQ32" s="10">
        <f t="shared" si="15"/>
        <v>919800000</v>
      </c>
      <c r="BR32" s="10">
        <f t="shared" si="35"/>
        <v>540285560.08545685</v>
      </c>
    </row>
    <row r="33" spans="3:70" x14ac:dyDescent="0.15">
      <c r="D33" s="160" t="s">
        <v>232</v>
      </c>
      <c r="F33" s="475">
        <v>2.25</v>
      </c>
      <c r="G33" s="84" t="s">
        <v>569</v>
      </c>
      <c r="I33" s="38">
        <f t="shared" si="36"/>
        <v>2038</v>
      </c>
      <c r="J33" s="39"/>
      <c r="K33" s="39">
        <f t="shared" si="37"/>
        <v>19</v>
      </c>
      <c r="L33" s="39"/>
      <c r="M33" s="40">
        <f t="shared" si="0"/>
        <v>0.57028602681192497</v>
      </c>
      <c r="N33" s="39"/>
      <c r="O33" s="72">
        <f t="shared" si="16"/>
        <v>0</v>
      </c>
      <c r="P33" s="41" t="str">
        <f t="shared" si="1"/>
        <v>-</v>
      </c>
      <c r="Q33" s="39"/>
      <c r="R33" s="72">
        <f t="shared" si="17"/>
        <v>15741704076.950758</v>
      </c>
      <c r="S33" s="39"/>
      <c r="T33" s="72">
        <f t="shared" si="18"/>
        <v>15741704000</v>
      </c>
      <c r="U33" s="39"/>
      <c r="V33" s="72">
        <f t="shared" si="2"/>
        <v>0</v>
      </c>
      <c r="W33" s="72">
        <f t="shared" si="19"/>
        <v>0</v>
      </c>
      <c r="X33" s="39"/>
      <c r="Y33" s="72">
        <f t="shared" si="3"/>
        <v>220383800</v>
      </c>
      <c r="Z33" s="72">
        <f t="shared" si="20"/>
        <v>125681801.67571391</v>
      </c>
      <c r="AA33" s="39"/>
      <c r="AB33" s="72">
        <f t="shared" si="4"/>
        <v>0</v>
      </c>
      <c r="AC33" s="72">
        <f t="shared" si="21"/>
        <v>0</v>
      </c>
      <c r="AD33" s="39"/>
      <c r="AE33" s="72">
        <f t="shared" si="5"/>
        <v>0</v>
      </c>
      <c r="AF33" s="72">
        <f t="shared" si="22"/>
        <v>0</v>
      </c>
      <c r="AG33" s="39"/>
      <c r="AH33" s="72">
        <f t="shared" si="6"/>
        <v>7875000000</v>
      </c>
      <c r="AI33" s="72">
        <f t="shared" si="23"/>
        <v>4491002461.1439095</v>
      </c>
      <c r="AJ33" s="39"/>
      <c r="AK33" s="72">
        <f t="shared" si="7"/>
        <v>0</v>
      </c>
      <c r="AL33" s="72">
        <f t="shared" si="24"/>
        <v>0</v>
      </c>
      <c r="AM33" s="39"/>
      <c r="AN33" s="72">
        <f t="shared" si="8"/>
        <v>0</v>
      </c>
      <c r="AO33" s="72">
        <f t="shared" si="25"/>
        <v>0</v>
      </c>
      <c r="AP33" s="39"/>
      <c r="AQ33" s="72">
        <f t="shared" si="9"/>
        <v>0</v>
      </c>
      <c r="AR33" s="72">
        <f t="shared" si="26"/>
        <v>0</v>
      </c>
      <c r="AS33" s="39"/>
      <c r="AT33" s="40">
        <f>IF($K33&lt;=$F$15,IF($F$40&lt;&gt;"",$F$40/1000,IF(ISERROR(VLOOKUP($F$3&amp;IF($G$4&lt;&gt;"",$G$4,"")&amp;IF($F$43&lt;&gt;"","_"&amp;$F$43,""),'表3）燃料価格'!$AF$9:$AG$25,2,0)),0,VLOOKUP($I33,'表3）燃料価格'!$A$6:$U$66,VLOOKUP($F$3&amp;IF($G$4&lt;&gt;"",$G$4,"")&amp;IF($F$43&lt;&gt;"","_"&amp;$F$43,""),'表3）燃料価格'!$AF$9:$AG$25,2,0)+VLOOKUP($F$41,'表3）燃料価格'!$AF$28:$AG$29,2,0),0)*IF($F$43="需要地価格",1,$F$8/$F$141))),"")</f>
        <v>0</v>
      </c>
      <c r="AU33" s="39"/>
      <c r="AV33" s="72">
        <f t="shared" si="10"/>
        <v>0</v>
      </c>
      <c r="AW33" s="72">
        <f t="shared" si="27"/>
        <v>0</v>
      </c>
      <c r="AX33" s="39"/>
      <c r="AY33" s="40">
        <f>IF(ISERROR(IF($K33&lt;=$F$15,VLOOKUP($I33,'表4）CO2価格'!$A$7:$E$67,VLOOKUP($F$48,'表4）CO2価格'!$H$10:$I$12,2,0),0)*$F$8/1000,"")),0,IF($K33&lt;=$F$15,VLOOKUP($I33,'表4）CO2価格'!$A$7:$E$67,VLOOKUP($F$48,'表4）CO2価格'!$H$10:$I$12,2,0),0)*$F$8/1000,""))</f>
        <v>0</v>
      </c>
      <c r="AZ33" s="39"/>
      <c r="BA33" s="42">
        <f t="shared" si="11"/>
        <v>0</v>
      </c>
      <c r="BB33" s="72">
        <f t="shared" si="28"/>
        <v>0</v>
      </c>
      <c r="BC33" s="39"/>
      <c r="BD33" s="72">
        <f t="shared" si="12"/>
        <v>0</v>
      </c>
      <c r="BE33" s="72">
        <f t="shared" si="29"/>
        <v>0</v>
      </c>
      <c r="BF33" s="39"/>
      <c r="BG33" s="42">
        <f t="shared" si="13"/>
        <v>0</v>
      </c>
      <c r="BH33" s="72">
        <f t="shared" si="30"/>
        <v>0</v>
      </c>
      <c r="BI33" s="39"/>
      <c r="BJ33" s="40">
        <f t="shared" si="31"/>
        <v>0.16350799082655781</v>
      </c>
      <c r="BK33" s="157">
        <f t="shared" si="32"/>
        <v>1323659940.1078649</v>
      </c>
      <c r="BL33" s="157">
        <f t="shared" si="14"/>
        <v>150394649.96226788</v>
      </c>
      <c r="BM33" s="72"/>
      <c r="BN33" s="72">
        <f t="shared" si="33"/>
        <v>30484847278.973122</v>
      </c>
      <c r="BO33" s="72">
        <f t="shared" si="34"/>
        <v>17385082432.693905</v>
      </c>
      <c r="BP33" s="39"/>
      <c r="BQ33" s="72">
        <f t="shared" si="15"/>
        <v>919800000</v>
      </c>
      <c r="BR33" s="72">
        <f t="shared" si="35"/>
        <v>524549087.46160859</v>
      </c>
    </row>
    <row r="34" spans="3:70" x14ac:dyDescent="0.15">
      <c r="D34" s="160"/>
      <c r="F34" s="475"/>
      <c r="I34" s="457">
        <f t="shared" si="36"/>
        <v>2039</v>
      </c>
      <c r="K34" s="71">
        <f t="shared" si="37"/>
        <v>20</v>
      </c>
      <c r="L34" s="71"/>
      <c r="M34" s="7">
        <f t="shared" si="0"/>
        <v>0.55367575418633497</v>
      </c>
      <c r="N34" s="71"/>
      <c r="O34" s="10">
        <f t="shared" si="16"/>
        <v>0</v>
      </c>
      <c r="P34" s="29" t="str">
        <f t="shared" si="1"/>
        <v>-</v>
      </c>
      <c r="Q34" s="71"/>
      <c r="R34" s="10">
        <f t="shared" si="17"/>
        <v>13747642010.889765</v>
      </c>
      <c r="S34" s="71"/>
      <c r="T34" s="10">
        <f t="shared" si="18"/>
        <v>13747642000</v>
      </c>
      <c r="U34" s="71"/>
      <c r="V34" s="10">
        <f t="shared" si="2"/>
        <v>0</v>
      </c>
      <c r="W34" s="10">
        <f t="shared" si="19"/>
        <v>0</v>
      </c>
      <c r="X34" s="71"/>
      <c r="Y34" s="10">
        <f t="shared" si="3"/>
        <v>192466900</v>
      </c>
      <c r="Z34" s="10">
        <f t="shared" si="20"/>
        <v>106564256.01340592</v>
      </c>
      <c r="AA34" s="71"/>
      <c r="AB34" s="10">
        <f t="shared" si="4"/>
        <v>0</v>
      </c>
      <c r="AC34" s="10">
        <f t="shared" si="21"/>
        <v>0</v>
      </c>
      <c r="AD34" s="71"/>
      <c r="AE34" s="10">
        <f t="shared" si="5"/>
        <v>0</v>
      </c>
      <c r="AF34" s="10">
        <f t="shared" si="22"/>
        <v>0</v>
      </c>
      <c r="AG34" s="71"/>
      <c r="AH34" s="10">
        <f t="shared" si="6"/>
        <v>7875000000</v>
      </c>
      <c r="AI34" s="10">
        <f t="shared" si="23"/>
        <v>4360196564.2173882</v>
      </c>
      <c r="AJ34" s="71"/>
      <c r="AK34" s="10">
        <f t="shared" si="7"/>
        <v>0</v>
      </c>
      <c r="AL34" s="10">
        <f t="shared" si="24"/>
        <v>0</v>
      </c>
      <c r="AM34" s="71"/>
      <c r="AN34" s="10">
        <f t="shared" si="8"/>
        <v>0</v>
      </c>
      <c r="AO34" s="10">
        <f t="shared" si="25"/>
        <v>0</v>
      </c>
      <c r="AP34" s="71"/>
      <c r="AQ34" s="10">
        <f t="shared" si="9"/>
        <v>0</v>
      </c>
      <c r="AR34" s="10">
        <f t="shared" si="26"/>
        <v>0</v>
      </c>
      <c r="AS34" s="71"/>
      <c r="AT34" s="7">
        <f>IF($K34&lt;=$F$15,IF($F$40&lt;&gt;"",$F$40/1000,IF(ISERROR(VLOOKUP($F$3&amp;IF($G$4&lt;&gt;"",$G$4,"")&amp;IF($F$43&lt;&gt;"","_"&amp;$F$43,""),'表3）燃料価格'!$AF$9:$AG$25,2,0)),0,VLOOKUP($I34,'表3）燃料価格'!$A$6:$U$66,VLOOKUP($F$3&amp;IF($G$4&lt;&gt;"",$G$4,"")&amp;IF($F$43&lt;&gt;"","_"&amp;$F$43,""),'表3）燃料価格'!$AF$9:$AG$25,2,0)+VLOOKUP($F$41,'表3）燃料価格'!$AF$28:$AG$29,2,0),0)*IF($F$43="需要地価格",1,$F$8/$F$141))),"")</f>
        <v>0</v>
      </c>
      <c r="AU34" s="71"/>
      <c r="AV34" s="10">
        <f t="shared" si="10"/>
        <v>0</v>
      </c>
      <c r="AW34" s="10">
        <f t="shared" si="27"/>
        <v>0</v>
      </c>
      <c r="AX34" s="71"/>
      <c r="AY34" s="7">
        <f>IF(ISERROR(IF($K34&lt;=$F$15,VLOOKUP($I34,'表4）CO2価格'!$A$7:$E$67,VLOOKUP($F$48,'表4）CO2価格'!$H$10:$I$12,2,0),0)*$F$8/1000,"")),0,IF($K34&lt;=$F$15,VLOOKUP($I34,'表4）CO2価格'!$A$7:$E$67,VLOOKUP($F$48,'表4）CO2価格'!$H$10:$I$12,2,0),0)*$F$8/1000,""))</f>
        <v>0</v>
      </c>
      <c r="AZ34" s="71"/>
      <c r="BA34" s="11">
        <f t="shared" si="11"/>
        <v>0</v>
      </c>
      <c r="BB34" s="10">
        <f t="shared" si="28"/>
        <v>0</v>
      </c>
      <c r="BC34" s="71"/>
      <c r="BD34" s="10">
        <f t="shared" si="12"/>
        <v>0</v>
      </c>
      <c r="BE34" s="10">
        <f t="shared" si="29"/>
        <v>0</v>
      </c>
      <c r="BF34" s="71"/>
      <c r="BG34" s="11">
        <f t="shared" si="13"/>
        <v>0</v>
      </c>
      <c r="BH34" s="10">
        <f t="shared" si="30"/>
        <v>0</v>
      </c>
      <c r="BJ34" s="7">
        <f t="shared" si="31"/>
        <v>0.14864362802414349</v>
      </c>
      <c r="BK34" s="158">
        <f t="shared" si="32"/>
        <v>1199177548.98069</v>
      </c>
      <c r="BL34" s="158">
        <f t="shared" si="14"/>
        <v>136722409.05660719</v>
      </c>
      <c r="BM34" s="10"/>
      <c r="BN34" s="10">
        <f t="shared" si="33"/>
        <v>30484847278.973122</v>
      </c>
      <c r="BO34" s="10">
        <f t="shared" si="34"/>
        <v>16878720808.440685</v>
      </c>
      <c r="BQ34" s="10">
        <f t="shared" si="15"/>
        <v>919800000</v>
      </c>
      <c r="BR34" s="10">
        <f t="shared" si="35"/>
        <v>509270958.70059091</v>
      </c>
    </row>
    <row r="35" spans="3:70" x14ac:dyDescent="0.15">
      <c r="D35" s="160"/>
      <c r="F35" s="475"/>
      <c r="I35" s="38">
        <f t="shared" si="36"/>
        <v>2040</v>
      </c>
      <c r="J35" s="39"/>
      <c r="K35" s="39">
        <f t="shared" si="37"/>
        <v>21</v>
      </c>
      <c r="L35" s="39"/>
      <c r="M35" s="40">
        <f t="shared" si="0"/>
        <v>0.5375492759090631</v>
      </c>
      <c r="N35" s="39"/>
      <c r="O35" s="72">
        <f t="shared" si="16"/>
        <v>0</v>
      </c>
      <c r="P35" s="41" t="str">
        <f t="shared" si="1"/>
        <v>-</v>
      </c>
      <c r="Q35" s="39"/>
      <c r="R35" s="72">
        <f t="shared" si="17"/>
        <v>12006175439.183514</v>
      </c>
      <c r="S35" s="39"/>
      <c r="T35" s="72">
        <f t="shared" si="18"/>
        <v>12006175000</v>
      </c>
      <c r="U35" s="39"/>
      <c r="V35" s="72">
        <f t="shared" si="2"/>
        <v>0</v>
      </c>
      <c r="W35" s="72">
        <f t="shared" si="19"/>
        <v>0</v>
      </c>
      <c r="X35" s="39"/>
      <c r="Y35" s="72">
        <f t="shared" si="3"/>
        <v>168086400</v>
      </c>
      <c r="Z35" s="72">
        <f t="shared" si="20"/>
        <v>90354722.610161141</v>
      </c>
      <c r="AA35" s="39"/>
      <c r="AB35" s="72">
        <f t="shared" si="4"/>
        <v>0</v>
      </c>
      <c r="AC35" s="72">
        <f t="shared" si="21"/>
        <v>0</v>
      </c>
      <c r="AD35" s="39"/>
      <c r="AE35" s="72">
        <f t="shared" si="5"/>
        <v>0</v>
      </c>
      <c r="AF35" s="72">
        <f t="shared" si="22"/>
        <v>0</v>
      </c>
      <c r="AG35" s="39"/>
      <c r="AH35" s="72">
        <f t="shared" si="6"/>
        <v>7875000000</v>
      </c>
      <c r="AI35" s="72">
        <f t="shared" si="23"/>
        <v>4233200547.7838717</v>
      </c>
      <c r="AJ35" s="39"/>
      <c r="AK35" s="72">
        <f t="shared" si="7"/>
        <v>0</v>
      </c>
      <c r="AL35" s="72">
        <f t="shared" si="24"/>
        <v>0</v>
      </c>
      <c r="AM35" s="39"/>
      <c r="AN35" s="72">
        <f t="shared" si="8"/>
        <v>0</v>
      </c>
      <c r="AO35" s="72">
        <f t="shared" si="25"/>
        <v>0</v>
      </c>
      <c r="AP35" s="39"/>
      <c r="AQ35" s="72">
        <f t="shared" si="9"/>
        <v>0</v>
      </c>
      <c r="AR35" s="72">
        <f t="shared" si="26"/>
        <v>0</v>
      </c>
      <c r="AS35" s="39"/>
      <c r="AT35" s="40">
        <f>IF($K35&lt;=$F$15,IF($F$40&lt;&gt;"",$F$40/1000,IF(ISERROR(VLOOKUP($F$3&amp;IF($G$4&lt;&gt;"",$G$4,"")&amp;IF($F$43&lt;&gt;"","_"&amp;$F$43,""),'表3）燃料価格'!$AF$9:$AG$25,2,0)),0,VLOOKUP($I35,'表3）燃料価格'!$A$6:$U$66,VLOOKUP($F$3&amp;IF($G$4&lt;&gt;"",$G$4,"")&amp;IF($F$43&lt;&gt;"","_"&amp;$F$43,""),'表3）燃料価格'!$AF$9:$AG$25,2,0)+VLOOKUP($F$41,'表3）燃料価格'!$AF$28:$AG$29,2,0),0)*IF($F$43="需要地価格",1,$F$8/$F$141))),"")</f>
        <v>0</v>
      </c>
      <c r="AU35" s="39"/>
      <c r="AV35" s="72">
        <f t="shared" si="10"/>
        <v>0</v>
      </c>
      <c r="AW35" s="72">
        <f t="shared" si="27"/>
        <v>0</v>
      </c>
      <c r="AX35" s="39"/>
      <c r="AY35" s="40">
        <f>IF(ISERROR(IF($K35&lt;=$F$15,VLOOKUP($I35,'表4）CO2価格'!$A$7:$E$67,VLOOKUP($F$48,'表4）CO2価格'!$H$10:$I$12,2,0),0)*$F$8/1000,"")),0,IF($K35&lt;=$F$15,VLOOKUP($I35,'表4）CO2価格'!$A$7:$E$67,VLOOKUP($F$48,'表4）CO2価格'!$H$10:$I$12,2,0),0)*$F$8/1000,""))</f>
        <v>0</v>
      </c>
      <c r="AZ35" s="39"/>
      <c r="BA35" s="42">
        <f t="shared" si="11"/>
        <v>0</v>
      </c>
      <c r="BB35" s="72">
        <f t="shared" si="28"/>
        <v>0</v>
      </c>
      <c r="BC35" s="39"/>
      <c r="BD35" s="72">
        <f t="shared" si="12"/>
        <v>0</v>
      </c>
      <c r="BE35" s="72">
        <f t="shared" si="29"/>
        <v>0</v>
      </c>
      <c r="BF35" s="39"/>
      <c r="BG35" s="42">
        <f t="shared" si="13"/>
        <v>0</v>
      </c>
      <c r="BH35" s="72">
        <f t="shared" si="30"/>
        <v>0</v>
      </c>
      <c r="BI35" s="39"/>
      <c r="BJ35" s="40">
        <f t="shared" si="31"/>
        <v>0.13513057093103953</v>
      </c>
      <c r="BK35" s="157">
        <f t="shared" si="32"/>
        <v>1217864270.5159938</v>
      </c>
      <c r="BL35" s="157" t="str">
        <f t="shared" si="14"/>
        <v/>
      </c>
      <c r="BM35" s="72"/>
      <c r="BN35" s="72" t="str">
        <f t="shared" si="33"/>
        <v/>
      </c>
      <c r="BO35" s="72" t="str">
        <f t="shared" si="34"/>
        <v/>
      </c>
      <c r="BP35" s="39"/>
      <c r="BQ35" s="72">
        <f t="shared" si="15"/>
        <v>919800000</v>
      </c>
      <c r="BR35" s="72">
        <f t="shared" si="35"/>
        <v>494437823.98115623</v>
      </c>
    </row>
    <row r="36" spans="3:70" x14ac:dyDescent="0.15">
      <c r="D36" s="160"/>
      <c r="F36" s="480"/>
      <c r="I36" s="457">
        <f t="shared" si="36"/>
        <v>2041</v>
      </c>
      <c r="K36" s="71">
        <f t="shared" si="37"/>
        <v>22</v>
      </c>
      <c r="L36" s="71"/>
      <c r="M36" s="7">
        <f t="shared" si="0"/>
        <v>0.52189250088258554</v>
      </c>
      <c r="N36" s="71"/>
      <c r="O36" s="10">
        <f t="shared" si="16"/>
        <v>0</v>
      </c>
      <c r="P36" s="29" t="str">
        <f t="shared" si="1"/>
        <v>-</v>
      </c>
      <c r="Q36" s="71"/>
      <c r="R36" s="10">
        <f t="shared" si="17"/>
        <v>10485307121.197287</v>
      </c>
      <c r="S36" s="71"/>
      <c r="T36" s="10">
        <f t="shared" si="18"/>
        <v>10485307000</v>
      </c>
      <c r="U36" s="71"/>
      <c r="V36" s="10">
        <f t="shared" si="2"/>
        <v>0</v>
      </c>
      <c r="W36" s="10">
        <f t="shared" si="19"/>
        <v>0</v>
      </c>
      <c r="X36" s="71"/>
      <c r="Y36" s="10">
        <f t="shared" si="3"/>
        <v>146794200</v>
      </c>
      <c r="Z36" s="10">
        <f t="shared" si="20"/>
        <v>76610792.153058439</v>
      </c>
      <c r="AA36" s="71"/>
      <c r="AB36" s="10">
        <f t="shared" si="4"/>
        <v>0</v>
      </c>
      <c r="AC36" s="10">
        <f t="shared" si="21"/>
        <v>0</v>
      </c>
      <c r="AD36" s="71"/>
      <c r="AE36" s="10">
        <f t="shared" si="5"/>
        <v>0</v>
      </c>
      <c r="AF36" s="10">
        <f t="shared" si="22"/>
        <v>0</v>
      </c>
      <c r="AG36" s="71"/>
      <c r="AH36" s="10">
        <f t="shared" si="6"/>
        <v>7875000000</v>
      </c>
      <c r="AI36" s="10">
        <f t="shared" si="23"/>
        <v>4109903444.4503613</v>
      </c>
      <c r="AJ36" s="71"/>
      <c r="AK36" s="10">
        <f t="shared" si="7"/>
        <v>0</v>
      </c>
      <c r="AL36" s="10">
        <f t="shared" si="24"/>
        <v>0</v>
      </c>
      <c r="AM36" s="71"/>
      <c r="AN36" s="10">
        <f t="shared" si="8"/>
        <v>0</v>
      </c>
      <c r="AO36" s="10">
        <f t="shared" si="25"/>
        <v>0</v>
      </c>
      <c r="AP36" s="71"/>
      <c r="AQ36" s="10">
        <f t="shared" si="9"/>
        <v>0</v>
      </c>
      <c r="AR36" s="10">
        <f t="shared" si="26"/>
        <v>0</v>
      </c>
      <c r="AS36" s="71"/>
      <c r="AT36" s="7">
        <f>IF($K36&lt;=$F$15,IF($F$40&lt;&gt;"",$F$40/1000,IF(ISERROR(VLOOKUP($F$3&amp;IF($G$4&lt;&gt;"",$G$4,"")&amp;IF($F$43&lt;&gt;"","_"&amp;$F$43,""),'表3）燃料価格'!$AF$9:$AG$25,2,0)),0,VLOOKUP($I36,'表3）燃料価格'!$A$6:$U$66,VLOOKUP($F$3&amp;IF($G$4&lt;&gt;"",$G$4,"")&amp;IF($F$43&lt;&gt;"","_"&amp;$F$43,""),'表3）燃料価格'!$AF$9:$AG$25,2,0)+VLOOKUP($F$41,'表3）燃料価格'!$AF$28:$AG$29,2,0),0)*IF($F$43="需要地価格",1,$F$8/$F$141))),"")</f>
        <v>0</v>
      </c>
      <c r="AU36" s="71"/>
      <c r="AV36" s="10">
        <f t="shared" si="10"/>
        <v>0</v>
      </c>
      <c r="AW36" s="10">
        <f t="shared" si="27"/>
        <v>0</v>
      </c>
      <c r="AX36" s="71"/>
      <c r="AY36" s="7">
        <f>IF(ISERROR(IF($K36&lt;=$F$15,VLOOKUP($I36,'表4）CO2価格'!$A$7:$E$67,VLOOKUP($F$48,'表4）CO2価格'!$H$10:$I$12,2,0),0)*$F$8/1000,"")),0,IF($K36&lt;=$F$15,VLOOKUP($I36,'表4）CO2価格'!$A$7:$E$67,VLOOKUP($F$48,'表4）CO2価格'!$H$10:$I$12,2,0),0)*$F$8/1000,""))</f>
        <v>0</v>
      </c>
      <c r="AZ36" s="71"/>
      <c r="BA36" s="11">
        <f t="shared" si="11"/>
        <v>0</v>
      </c>
      <c r="BB36" s="10">
        <f t="shared" si="28"/>
        <v>0</v>
      </c>
      <c r="BC36" s="71"/>
      <c r="BD36" s="10">
        <f t="shared" si="12"/>
        <v>0</v>
      </c>
      <c r="BE36" s="10">
        <f t="shared" si="29"/>
        <v>0</v>
      </c>
      <c r="BF36" s="71"/>
      <c r="BG36" s="11">
        <f t="shared" si="13"/>
        <v>0</v>
      </c>
      <c r="BH36" s="10">
        <f t="shared" si="30"/>
        <v>0</v>
      </c>
      <c r="BJ36" s="7" t="str">
        <f t="shared" si="31"/>
        <v/>
      </c>
      <c r="BK36" s="158" t="str">
        <f t="shared" si="32"/>
        <v/>
      </c>
      <c r="BL36" s="158" t="str">
        <f t="shared" si="14"/>
        <v/>
      </c>
      <c r="BM36" s="10"/>
      <c r="BN36" s="10" t="str">
        <f t="shared" si="33"/>
        <v/>
      </c>
      <c r="BO36" s="10" t="str">
        <f t="shared" si="34"/>
        <v/>
      </c>
      <c r="BQ36" s="10">
        <f t="shared" si="15"/>
        <v>919800000</v>
      </c>
      <c r="BR36" s="10">
        <f t="shared" si="35"/>
        <v>480036722.31180221</v>
      </c>
    </row>
    <row r="37" spans="3:70" x14ac:dyDescent="0.15">
      <c r="I37" s="38">
        <f t="shared" si="36"/>
        <v>2042</v>
      </c>
      <c r="J37" s="39"/>
      <c r="K37" s="39">
        <f t="shared" si="37"/>
        <v>23</v>
      </c>
      <c r="L37" s="39"/>
      <c r="M37" s="40">
        <f t="shared" si="0"/>
        <v>0.50669174842969467</v>
      </c>
      <c r="N37" s="39"/>
      <c r="O37" s="72">
        <f t="shared" si="16"/>
        <v>0</v>
      </c>
      <c r="P37" s="41" t="str">
        <f t="shared" si="1"/>
        <v>-</v>
      </c>
      <c r="Q37" s="39"/>
      <c r="R37" s="72">
        <f t="shared" si="17"/>
        <v>9157093029.5607243</v>
      </c>
      <c r="S37" s="39"/>
      <c r="T37" s="72">
        <f t="shared" si="18"/>
        <v>9157093000</v>
      </c>
      <c r="U37" s="39"/>
      <c r="V37" s="72">
        <f t="shared" si="2"/>
        <v>0</v>
      </c>
      <c r="W37" s="72">
        <f t="shared" si="19"/>
        <v>0</v>
      </c>
      <c r="X37" s="39"/>
      <c r="Y37" s="72">
        <f t="shared" si="3"/>
        <v>128199300</v>
      </c>
      <c r="Z37" s="72">
        <f t="shared" si="20"/>
        <v>64957527.464462958</v>
      </c>
      <c r="AA37" s="39"/>
      <c r="AB37" s="72">
        <f t="shared" si="4"/>
        <v>0</v>
      </c>
      <c r="AC37" s="72">
        <f t="shared" si="21"/>
        <v>0</v>
      </c>
      <c r="AD37" s="39"/>
      <c r="AE37" s="72">
        <f t="shared" si="5"/>
        <v>0</v>
      </c>
      <c r="AF37" s="72">
        <f t="shared" si="22"/>
        <v>0</v>
      </c>
      <c r="AG37" s="39"/>
      <c r="AH37" s="72">
        <f t="shared" si="6"/>
        <v>7875000000</v>
      </c>
      <c r="AI37" s="72">
        <f t="shared" si="23"/>
        <v>3990197518.8838453</v>
      </c>
      <c r="AJ37" s="39"/>
      <c r="AK37" s="72">
        <f t="shared" si="7"/>
        <v>0</v>
      </c>
      <c r="AL37" s="72">
        <f t="shared" si="24"/>
        <v>0</v>
      </c>
      <c r="AM37" s="39"/>
      <c r="AN37" s="72">
        <f t="shared" si="8"/>
        <v>0</v>
      </c>
      <c r="AO37" s="72">
        <f t="shared" si="25"/>
        <v>0</v>
      </c>
      <c r="AP37" s="39"/>
      <c r="AQ37" s="72">
        <f t="shared" si="9"/>
        <v>0</v>
      </c>
      <c r="AR37" s="72">
        <f t="shared" si="26"/>
        <v>0</v>
      </c>
      <c r="AS37" s="39"/>
      <c r="AT37" s="40">
        <f>IF($K37&lt;=$F$15,IF($F$40&lt;&gt;"",$F$40/1000,IF(ISERROR(VLOOKUP($F$3&amp;IF($G$4&lt;&gt;"",$G$4,"")&amp;IF($F$43&lt;&gt;"","_"&amp;$F$43,""),'表3）燃料価格'!$AF$9:$AG$25,2,0)),0,VLOOKUP($I37,'表3）燃料価格'!$A$6:$U$66,VLOOKUP($F$3&amp;IF($G$4&lt;&gt;"",$G$4,"")&amp;IF($F$43&lt;&gt;"","_"&amp;$F$43,""),'表3）燃料価格'!$AF$9:$AG$25,2,0)+VLOOKUP($F$41,'表3）燃料価格'!$AF$28:$AG$29,2,0),0)*IF($F$43="需要地価格",1,$F$8/$F$141))),"")</f>
        <v>0</v>
      </c>
      <c r="AU37" s="39"/>
      <c r="AV37" s="72">
        <f t="shared" si="10"/>
        <v>0</v>
      </c>
      <c r="AW37" s="72">
        <f t="shared" si="27"/>
        <v>0</v>
      </c>
      <c r="AX37" s="39"/>
      <c r="AY37" s="40">
        <f>IF(ISERROR(IF($K37&lt;=$F$15,VLOOKUP($I37,'表4）CO2価格'!$A$7:$E$67,VLOOKUP($F$48,'表4）CO2価格'!$H$10:$I$12,2,0),0)*$F$8/1000,"")),0,IF($K37&lt;=$F$15,VLOOKUP($I37,'表4）CO2価格'!$A$7:$E$67,VLOOKUP($F$48,'表4）CO2価格'!$H$10:$I$12,2,0),0)*$F$8/1000,""))</f>
        <v>0</v>
      </c>
      <c r="AZ37" s="39"/>
      <c r="BA37" s="42">
        <f t="shared" si="11"/>
        <v>0</v>
      </c>
      <c r="BB37" s="72">
        <f t="shared" si="28"/>
        <v>0</v>
      </c>
      <c r="BC37" s="39"/>
      <c r="BD37" s="72">
        <f t="shared" si="12"/>
        <v>0</v>
      </c>
      <c r="BE37" s="72">
        <f t="shared" si="29"/>
        <v>0</v>
      </c>
      <c r="BF37" s="39"/>
      <c r="BG37" s="42">
        <f t="shared" si="13"/>
        <v>0</v>
      </c>
      <c r="BH37" s="72">
        <f t="shared" si="30"/>
        <v>0</v>
      </c>
      <c r="BI37" s="39"/>
      <c r="BJ37" s="40" t="str">
        <f t="shared" si="31"/>
        <v/>
      </c>
      <c r="BK37" s="157" t="str">
        <f t="shared" si="32"/>
        <v/>
      </c>
      <c r="BL37" s="157" t="str">
        <f t="shared" si="14"/>
        <v/>
      </c>
      <c r="BM37" s="72"/>
      <c r="BN37" s="72" t="str">
        <f t="shared" si="33"/>
        <v/>
      </c>
      <c r="BO37" s="72" t="str">
        <f t="shared" si="34"/>
        <v/>
      </c>
      <c r="BP37" s="39"/>
      <c r="BQ37" s="72">
        <f t="shared" si="15"/>
        <v>919800000</v>
      </c>
      <c r="BR37" s="72">
        <f t="shared" si="35"/>
        <v>466055070.20563316</v>
      </c>
    </row>
    <row r="38" spans="3:70" x14ac:dyDescent="0.15">
      <c r="C38" s="4" t="s">
        <v>570</v>
      </c>
      <c r="D38" s="100"/>
      <c r="E38" s="100"/>
      <c r="F38" s="4"/>
      <c r="G38" s="100"/>
      <c r="I38" s="457">
        <f t="shared" si="36"/>
        <v>2043</v>
      </c>
      <c r="K38" s="71">
        <f t="shared" si="37"/>
        <v>24</v>
      </c>
      <c r="L38" s="71"/>
      <c r="M38" s="7">
        <f t="shared" si="0"/>
        <v>0.49193373633950943</v>
      </c>
      <c r="N38" s="71"/>
      <c r="O38" s="10">
        <f t="shared" si="16"/>
        <v>0</v>
      </c>
      <c r="P38" s="29" t="str">
        <f t="shared" si="1"/>
        <v>-</v>
      </c>
      <c r="Q38" s="71"/>
      <c r="R38" s="10">
        <f t="shared" si="17"/>
        <v>9012500000</v>
      </c>
      <c r="S38" s="71"/>
      <c r="T38" s="10">
        <f t="shared" si="18"/>
        <v>9012500000</v>
      </c>
      <c r="U38" s="71"/>
      <c r="V38" s="10">
        <f t="shared" si="2"/>
        <v>0</v>
      </c>
      <c r="W38" s="10">
        <f t="shared" si="19"/>
        <v>0</v>
      </c>
      <c r="X38" s="71"/>
      <c r="Y38" s="10">
        <f t="shared" si="3"/>
        <v>126175000</v>
      </c>
      <c r="Z38" s="10">
        <f t="shared" si="20"/>
        <v>62069739.182637602</v>
      </c>
      <c r="AA38" s="71"/>
      <c r="AB38" s="10">
        <f t="shared" si="4"/>
        <v>0</v>
      </c>
      <c r="AC38" s="10">
        <f t="shared" si="21"/>
        <v>0</v>
      </c>
      <c r="AD38" s="71"/>
      <c r="AE38" s="10">
        <f t="shared" si="5"/>
        <v>0</v>
      </c>
      <c r="AF38" s="10">
        <f t="shared" si="22"/>
        <v>0</v>
      </c>
      <c r="AG38" s="71"/>
      <c r="AH38" s="10">
        <f t="shared" si="6"/>
        <v>7875000000</v>
      </c>
      <c r="AI38" s="10">
        <f t="shared" si="23"/>
        <v>3873978173.6736369</v>
      </c>
      <c r="AJ38" s="71"/>
      <c r="AK38" s="10">
        <f t="shared" si="7"/>
        <v>0</v>
      </c>
      <c r="AL38" s="10">
        <f t="shared" si="24"/>
        <v>0</v>
      </c>
      <c r="AM38" s="71"/>
      <c r="AN38" s="10">
        <f t="shared" si="8"/>
        <v>0</v>
      </c>
      <c r="AO38" s="10">
        <f t="shared" si="25"/>
        <v>0</v>
      </c>
      <c r="AP38" s="71"/>
      <c r="AQ38" s="10">
        <f t="shared" si="9"/>
        <v>0</v>
      </c>
      <c r="AR38" s="10">
        <f t="shared" si="26"/>
        <v>0</v>
      </c>
      <c r="AS38" s="71"/>
      <c r="AT38" s="7">
        <f>IF($K38&lt;=$F$15,IF($F$40&lt;&gt;"",$F$40/1000,IF(ISERROR(VLOOKUP($F$3&amp;IF($G$4&lt;&gt;"",$G$4,"")&amp;IF($F$43&lt;&gt;"","_"&amp;$F$43,""),'表3）燃料価格'!$AF$9:$AG$25,2,0)),0,VLOOKUP($I38,'表3）燃料価格'!$A$6:$U$66,VLOOKUP($F$3&amp;IF($G$4&lt;&gt;"",$G$4,"")&amp;IF($F$43&lt;&gt;"","_"&amp;$F$43,""),'表3）燃料価格'!$AF$9:$AG$25,2,0)+VLOOKUP($F$41,'表3）燃料価格'!$AF$28:$AG$29,2,0),0)*IF($F$43="需要地価格",1,$F$8/$F$141))),"")</f>
        <v>0</v>
      </c>
      <c r="AU38" s="71"/>
      <c r="AV38" s="10">
        <f t="shared" si="10"/>
        <v>0</v>
      </c>
      <c r="AW38" s="10">
        <f t="shared" si="27"/>
        <v>0</v>
      </c>
      <c r="AX38" s="71"/>
      <c r="AY38" s="7">
        <f>IF(ISERROR(IF($K38&lt;=$F$15,VLOOKUP($I38,'表4）CO2価格'!$A$7:$E$67,VLOOKUP($F$48,'表4）CO2価格'!$H$10:$I$12,2,0),0)*$F$8/1000,"")),0,IF($K38&lt;=$F$15,VLOOKUP($I38,'表4）CO2価格'!$A$7:$E$67,VLOOKUP($F$48,'表4）CO2価格'!$H$10:$I$12,2,0),0)*$F$8/1000,""))</f>
        <v>0</v>
      </c>
      <c r="AZ38" s="71"/>
      <c r="BA38" s="11">
        <f t="shared" si="11"/>
        <v>0</v>
      </c>
      <c r="BB38" s="10">
        <f t="shared" si="28"/>
        <v>0</v>
      </c>
      <c r="BC38" s="71"/>
      <c r="BD38" s="10">
        <f t="shared" si="12"/>
        <v>0</v>
      </c>
      <c r="BE38" s="10">
        <f t="shared" si="29"/>
        <v>0</v>
      </c>
      <c r="BF38" s="71"/>
      <c r="BG38" s="11">
        <f t="shared" si="13"/>
        <v>0</v>
      </c>
      <c r="BH38" s="10">
        <f t="shared" si="30"/>
        <v>0</v>
      </c>
      <c r="BJ38" s="7" t="str">
        <f t="shared" si="31"/>
        <v/>
      </c>
      <c r="BK38" s="158" t="str">
        <f t="shared" si="32"/>
        <v/>
      </c>
      <c r="BL38" s="158" t="str">
        <f t="shared" si="14"/>
        <v/>
      </c>
      <c r="BM38" s="10"/>
      <c r="BN38" s="10" t="str">
        <f t="shared" si="33"/>
        <v/>
      </c>
      <c r="BO38" s="10" t="str">
        <f t="shared" si="34"/>
        <v/>
      </c>
      <c r="BQ38" s="10">
        <f t="shared" si="15"/>
        <v>919800000</v>
      </c>
      <c r="BR38" s="10">
        <f t="shared" si="35"/>
        <v>452480650.68508077</v>
      </c>
    </row>
    <row r="39" spans="3:70" x14ac:dyDescent="0.15">
      <c r="I39" s="38">
        <f t="shared" si="36"/>
        <v>2044</v>
      </c>
      <c r="J39" s="39"/>
      <c r="K39" s="39">
        <f t="shared" si="37"/>
        <v>25</v>
      </c>
      <c r="L39" s="39"/>
      <c r="M39" s="40">
        <f t="shared" si="0"/>
        <v>0.47760556926165965</v>
      </c>
      <c r="N39" s="39"/>
      <c r="O39" s="72">
        <f t="shared" si="16"/>
        <v>0</v>
      </c>
      <c r="P39" s="41" t="str">
        <f t="shared" si="1"/>
        <v>-</v>
      </c>
      <c r="Q39" s="39"/>
      <c r="R39" s="72">
        <f t="shared" si="17"/>
        <v>9012500000</v>
      </c>
      <c r="S39" s="39"/>
      <c r="T39" s="72">
        <f t="shared" si="18"/>
        <v>9012500000</v>
      </c>
      <c r="U39" s="39"/>
      <c r="V39" s="72">
        <f t="shared" si="2"/>
        <v>0</v>
      </c>
      <c r="W39" s="72">
        <f t="shared" si="19"/>
        <v>0</v>
      </c>
      <c r="X39" s="39"/>
      <c r="Y39" s="72">
        <f t="shared" si="3"/>
        <v>126175000</v>
      </c>
      <c r="Z39" s="72">
        <f t="shared" si="20"/>
        <v>60261882.701589905</v>
      </c>
      <c r="AA39" s="39"/>
      <c r="AB39" s="72">
        <f t="shared" si="4"/>
        <v>0</v>
      </c>
      <c r="AC39" s="72">
        <f t="shared" si="21"/>
        <v>0</v>
      </c>
      <c r="AD39" s="39"/>
      <c r="AE39" s="72">
        <f t="shared" si="5"/>
        <v>0</v>
      </c>
      <c r="AF39" s="72">
        <f t="shared" si="22"/>
        <v>0</v>
      </c>
      <c r="AG39" s="39"/>
      <c r="AH39" s="72">
        <f t="shared" si="6"/>
        <v>7875000000</v>
      </c>
      <c r="AI39" s="72">
        <f t="shared" si="23"/>
        <v>3761143857.9355698</v>
      </c>
      <c r="AJ39" s="39"/>
      <c r="AK39" s="72">
        <f t="shared" si="7"/>
        <v>0</v>
      </c>
      <c r="AL39" s="72">
        <f t="shared" si="24"/>
        <v>0</v>
      </c>
      <c r="AM39" s="39"/>
      <c r="AN39" s="72">
        <f t="shared" si="8"/>
        <v>0</v>
      </c>
      <c r="AO39" s="72">
        <f t="shared" si="25"/>
        <v>0</v>
      </c>
      <c r="AP39" s="39"/>
      <c r="AQ39" s="72">
        <f t="shared" si="9"/>
        <v>0</v>
      </c>
      <c r="AR39" s="72">
        <f t="shared" si="26"/>
        <v>0</v>
      </c>
      <c r="AS39" s="39"/>
      <c r="AT39" s="40">
        <f>IF($K39&lt;=$F$15,IF($F$40&lt;&gt;"",$F$40/1000,IF(ISERROR(VLOOKUP($F$3&amp;IF($G$4&lt;&gt;"",$G$4,"")&amp;IF($F$43&lt;&gt;"","_"&amp;$F$43,""),'表3）燃料価格'!$AF$9:$AG$25,2,0)),0,VLOOKUP($I39,'表3）燃料価格'!$A$6:$U$66,VLOOKUP($F$3&amp;IF($G$4&lt;&gt;"",$G$4,"")&amp;IF($F$43&lt;&gt;"","_"&amp;$F$43,""),'表3）燃料価格'!$AF$9:$AG$25,2,0)+VLOOKUP($F$41,'表3）燃料価格'!$AF$28:$AG$29,2,0),0)*IF($F$43="需要地価格",1,$F$8/$F$141))),"")</f>
        <v>0</v>
      </c>
      <c r="AU39" s="39"/>
      <c r="AV39" s="72">
        <f t="shared" si="10"/>
        <v>0</v>
      </c>
      <c r="AW39" s="72">
        <f t="shared" si="27"/>
        <v>0</v>
      </c>
      <c r="AX39" s="39"/>
      <c r="AY39" s="40">
        <f>IF(ISERROR(IF($K39&lt;=$F$15,VLOOKUP($I39,'表4）CO2価格'!$A$7:$E$67,VLOOKUP($F$48,'表4）CO2価格'!$H$10:$I$12,2,0),0)*$F$8/1000,"")),0,IF($K39&lt;=$F$15,VLOOKUP($I39,'表4）CO2価格'!$A$7:$E$67,VLOOKUP($F$48,'表4）CO2価格'!$H$10:$I$12,2,0),0)*$F$8/1000,""))</f>
        <v>0</v>
      </c>
      <c r="AZ39" s="39"/>
      <c r="BA39" s="42">
        <f t="shared" si="11"/>
        <v>0</v>
      </c>
      <c r="BB39" s="72">
        <f t="shared" si="28"/>
        <v>0</v>
      </c>
      <c r="BC39" s="39"/>
      <c r="BD39" s="72">
        <f t="shared" si="12"/>
        <v>0</v>
      </c>
      <c r="BE39" s="72">
        <f t="shared" si="29"/>
        <v>0</v>
      </c>
      <c r="BF39" s="39"/>
      <c r="BG39" s="42">
        <f t="shared" si="13"/>
        <v>0</v>
      </c>
      <c r="BH39" s="72">
        <f t="shared" si="30"/>
        <v>0</v>
      </c>
      <c r="BI39" s="39"/>
      <c r="BJ39" s="40" t="str">
        <f t="shared" si="31"/>
        <v/>
      </c>
      <c r="BK39" s="157" t="str">
        <f t="shared" si="32"/>
        <v/>
      </c>
      <c r="BL39" s="157" t="str">
        <f t="shared" si="14"/>
        <v/>
      </c>
      <c r="BM39" s="72"/>
      <c r="BN39" s="72" t="str">
        <f t="shared" si="33"/>
        <v/>
      </c>
      <c r="BO39" s="72" t="str">
        <f t="shared" si="34"/>
        <v/>
      </c>
      <c r="BP39" s="39"/>
      <c r="BQ39" s="72">
        <f t="shared" si="15"/>
        <v>919800000</v>
      </c>
      <c r="BR39" s="72">
        <f t="shared" si="35"/>
        <v>439301602.60687453</v>
      </c>
    </row>
    <row r="40" spans="3:70" x14ac:dyDescent="0.15">
      <c r="D40" s="84" t="s">
        <v>124</v>
      </c>
      <c r="F40" s="482"/>
      <c r="G40" s="160" t="s">
        <v>571</v>
      </c>
      <c r="I40" s="457">
        <f t="shared" si="36"/>
        <v>2045</v>
      </c>
      <c r="K40" s="71">
        <f t="shared" si="37"/>
        <v>26</v>
      </c>
      <c r="L40" s="71"/>
      <c r="M40" s="7">
        <f t="shared" si="0"/>
        <v>0.46369472743850448</v>
      </c>
      <c r="N40" s="71"/>
      <c r="O40" s="10" t="str">
        <f t="shared" si="16"/>
        <v/>
      </c>
      <c r="P40" s="29" t="str">
        <f t="shared" si="1"/>
        <v/>
      </c>
      <c r="Q40" s="71"/>
      <c r="R40" s="10" t="str">
        <f t="shared" si="17"/>
        <v/>
      </c>
      <c r="S40" s="71"/>
      <c r="T40" s="10" t="str">
        <f t="shared" si="18"/>
        <v/>
      </c>
      <c r="U40" s="71"/>
      <c r="V40" s="10" t="str">
        <f t="shared" si="2"/>
        <v/>
      </c>
      <c r="W40" s="10" t="str">
        <f t="shared" si="19"/>
        <v/>
      </c>
      <c r="X40" s="71"/>
      <c r="Y40" s="10" t="str">
        <f t="shared" si="3"/>
        <v/>
      </c>
      <c r="Z40" s="10" t="str">
        <f t="shared" si="20"/>
        <v/>
      </c>
      <c r="AA40" s="71"/>
      <c r="AB40" s="10">
        <f t="shared" si="4"/>
        <v>9012500000</v>
      </c>
      <c r="AC40" s="10">
        <f t="shared" si="21"/>
        <v>4179048731.0395217</v>
      </c>
      <c r="AD40" s="71"/>
      <c r="AE40" s="10" t="str">
        <f t="shared" si="5"/>
        <v/>
      </c>
      <c r="AF40" s="10" t="str">
        <f t="shared" si="22"/>
        <v/>
      </c>
      <c r="AG40" s="71"/>
      <c r="AH40" s="10" t="str">
        <f t="shared" si="6"/>
        <v/>
      </c>
      <c r="AI40" s="10" t="str">
        <f t="shared" si="23"/>
        <v/>
      </c>
      <c r="AJ40" s="71"/>
      <c r="AK40" s="10" t="str">
        <f t="shared" si="7"/>
        <v/>
      </c>
      <c r="AL40" s="10" t="str">
        <f t="shared" si="24"/>
        <v/>
      </c>
      <c r="AM40" s="71"/>
      <c r="AN40" s="10" t="str">
        <f t="shared" si="8"/>
        <v/>
      </c>
      <c r="AO40" s="10" t="str">
        <f t="shared" si="25"/>
        <v/>
      </c>
      <c r="AP40" s="71"/>
      <c r="AQ40" s="10" t="str">
        <f t="shared" si="9"/>
        <v/>
      </c>
      <c r="AR40" s="10" t="str">
        <f t="shared" si="26"/>
        <v/>
      </c>
      <c r="AS40" s="71"/>
      <c r="AT40" s="7" t="str">
        <f>IF($K40&lt;=$F$15,IF($F$40&lt;&gt;"",$F$40/1000,IF(ISERROR(VLOOKUP($F$3&amp;IF($G$4&lt;&gt;"",$G$4,"")&amp;IF($F$43&lt;&gt;"","_"&amp;$F$43,""),'表3）燃料価格'!$AF$9:$AG$25,2,0)),0,VLOOKUP($I40,'表3）燃料価格'!$A$6:$U$66,VLOOKUP($F$3&amp;IF($G$4&lt;&gt;"",$G$4,"")&amp;IF($F$43&lt;&gt;"","_"&amp;$F$43,""),'表3）燃料価格'!$AF$9:$AG$25,2,0)+VLOOKUP($F$41,'表3）燃料価格'!$AF$28:$AG$29,2,0),0)*IF($F$43="需要地価格",1,$F$8/$F$141))),"")</f>
        <v/>
      </c>
      <c r="AU40" s="71"/>
      <c r="AV40" s="10" t="str">
        <f t="shared" si="10"/>
        <v/>
      </c>
      <c r="AW40" s="10" t="str">
        <f t="shared" si="27"/>
        <v/>
      </c>
      <c r="AX40" s="71"/>
      <c r="AY40" s="7" t="str">
        <f>IF(ISERROR(IF($K40&lt;=$F$15,VLOOKUP($I40,'表4）CO2価格'!$A$7:$E$67,VLOOKUP($F$48,'表4）CO2価格'!$H$10:$I$12,2,0),0)*$F$8/1000,"")),0,IF($K40&lt;=$F$15,VLOOKUP($I40,'表4）CO2価格'!$A$7:$E$67,VLOOKUP($F$48,'表4）CO2価格'!$H$10:$I$12,2,0),0)*$F$8/1000,""))</f>
        <v/>
      </c>
      <c r="AZ40" s="71"/>
      <c r="BA40" s="11" t="str">
        <f t="shared" si="11"/>
        <v/>
      </c>
      <c r="BB40" s="10" t="str">
        <f t="shared" si="28"/>
        <v/>
      </c>
      <c r="BC40" s="71"/>
      <c r="BD40" s="10" t="str">
        <f t="shared" si="12"/>
        <v/>
      </c>
      <c r="BE40" s="10" t="str">
        <f t="shared" si="29"/>
        <v/>
      </c>
      <c r="BF40" s="71"/>
      <c r="BG40" s="11" t="str">
        <f t="shared" si="13"/>
        <v/>
      </c>
      <c r="BH40" s="10" t="str">
        <f t="shared" si="30"/>
        <v/>
      </c>
      <c r="BJ40" s="7" t="str">
        <f t="shared" si="31"/>
        <v/>
      </c>
      <c r="BK40" s="158" t="str">
        <f t="shared" si="32"/>
        <v/>
      </c>
      <c r="BL40" s="158" t="str">
        <f t="shared" si="14"/>
        <v/>
      </c>
      <c r="BM40" s="10"/>
      <c r="BN40" s="10" t="str">
        <f t="shared" si="33"/>
        <v/>
      </c>
      <c r="BO40" s="10" t="str">
        <f t="shared" si="34"/>
        <v/>
      </c>
      <c r="BQ40" s="10" t="str">
        <f t="shared" si="15"/>
        <v/>
      </c>
      <c r="BR40" s="10" t="str">
        <f t="shared" si="35"/>
        <v/>
      </c>
    </row>
    <row r="41" spans="3:70" x14ac:dyDescent="0.15">
      <c r="D41" s="84" t="s">
        <v>572</v>
      </c>
      <c r="F41" s="474"/>
      <c r="I41" s="38">
        <f t="shared" si="36"/>
        <v>2046</v>
      </c>
      <c r="J41" s="39"/>
      <c r="K41" s="39">
        <f t="shared" si="37"/>
        <v>27</v>
      </c>
      <c r="L41" s="39"/>
      <c r="M41" s="40">
        <f t="shared" si="0"/>
        <v>0.45018905576553836</v>
      </c>
      <c r="N41" s="39"/>
      <c r="O41" s="72" t="str">
        <f t="shared" si="16"/>
        <v/>
      </c>
      <c r="P41" s="41" t="str">
        <f t="shared" si="1"/>
        <v/>
      </c>
      <c r="Q41" s="39"/>
      <c r="R41" s="72" t="str">
        <f t="shared" si="17"/>
        <v/>
      </c>
      <c r="S41" s="39"/>
      <c r="T41" s="72" t="str">
        <f t="shared" si="18"/>
        <v/>
      </c>
      <c r="U41" s="39"/>
      <c r="V41" s="72" t="str">
        <f t="shared" si="2"/>
        <v/>
      </c>
      <c r="W41" s="72" t="str">
        <f t="shared" si="19"/>
        <v/>
      </c>
      <c r="X41" s="39"/>
      <c r="Y41" s="72" t="str">
        <f t="shared" si="3"/>
        <v/>
      </c>
      <c r="Z41" s="72" t="str">
        <f t="shared" si="20"/>
        <v/>
      </c>
      <c r="AA41" s="39"/>
      <c r="AB41" s="72" t="str">
        <f t="shared" si="4"/>
        <v/>
      </c>
      <c r="AC41" s="72" t="str">
        <f t="shared" si="21"/>
        <v/>
      </c>
      <c r="AD41" s="39"/>
      <c r="AE41" s="72" t="str">
        <f t="shared" si="5"/>
        <v/>
      </c>
      <c r="AF41" s="72" t="str">
        <f t="shared" si="22"/>
        <v/>
      </c>
      <c r="AG41" s="39"/>
      <c r="AH41" s="72" t="str">
        <f t="shared" si="6"/>
        <v/>
      </c>
      <c r="AI41" s="72" t="str">
        <f t="shared" si="23"/>
        <v/>
      </c>
      <c r="AJ41" s="39"/>
      <c r="AK41" s="72" t="str">
        <f t="shared" si="7"/>
        <v/>
      </c>
      <c r="AL41" s="72" t="str">
        <f t="shared" si="24"/>
        <v/>
      </c>
      <c r="AM41" s="39"/>
      <c r="AN41" s="72" t="str">
        <f t="shared" si="8"/>
        <v/>
      </c>
      <c r="AO41" s="72" t="str">
        <f t="shared" si="25"/>
        <v/>
      </c>
      <c r="AP41" s="39"/>
      <c r="AQ41" s="72" t="str">
        <f t="shared" si="9"/>
        <v/>
      </c>
      <c r="AR41" s="72" t="str">
        <f t="shared" si="26"/>
        <v/>
      </c>
      <c r="AS41" s="39"/>
      <c r="AT41" s="40" t="str">
        <f>IF($K41&lt;=$F$15,IF($F$40&lt;&gt;"",$F$40/1000,IF(ISERROR(VLOOKUP($F$3&amp;IF($G$4&lt;&gt;"",$G$4,"")&amp;IF($F$43&lt;&gt;"","_"&amp;$F$43,""),'表3）燃料価格'!$AF$9:$AG$25,2,0)),0,VLOOKUP($I41,'表3）燃料価格'!$A$6:$U$66,VLOOKUP($F$3&amp;IF($G$4&lt;&gt;"",$G$4,"")&amp;IF($F$43&lt;&gt;"","_"&amp;$F$43,""),'表3）燃料価格'!$AF$9:$AG$25,2,0)+VLOOKUP($F$41,'表3）燃料価格'!$AF$28:$AG$29,2,0),0)*IF($F$43="需要地価格",1,$F$8/$F$141))),"")</f>
        <v/>
      </c>
      <c r="AU41" s="39"/>
      <c r="AV41" s="72" t="str">
        <f t="shared" si="10"/>
        <v/>
      </c>
      <c r="AW41" s="72" t="str">
        <f t="shared" si="27"/>
        <v/>
      </c>
      <c r="AX41" s="39"/>
      <c r="AY41" s="40" t="str">
        <f>IF(ISERROR(IF($K41&lt;=$F$15,VLOOKUP($I41,'表4）CO2価格'!$A$7:$E$67,VLOOKUP($F$48,'表4）CO2価格'!$H$10:$I$12,2,0),0)*$F$8/1000,"")),0,IF($K41&lt;=$F$15,VLOOKUP($I41,'表4）CO2価格'!$A$7:$E$67,VLOOKUP($F$48,'表4）CO2価格'!$H$10:$I$12,2,0),0)*$F$8/1000,""))</f>
        <v/>
      </c>
      <c r="AZ41" s="39"/>
      <c r="BA41" s="42" t="str">
        <f t="shared" si="11"/>
        <v/>
      </c>
      <c r="BB41" s="72" t="str">
        <f t="shared" si="28"/>
        <v/>
      </c>
      <c r="BC41" s="39"/>
      <c r="BD41" s="72" t="str">
        <f t="shared" si="12"/>
        <v/>
      </c>
      <c r="BE41" s="72" t="str">
        <f t="shared" si="29"/>
        <v/>
      </c>
      <c r="BF41" s="39"/>
      <c r="BG41" s="42" t="str">
        <f t="shared" si="13"/>
        <v/>
      </c>
      <c r="BH41" s="72" t="str">
        <f t="shared" si="30"/>
        <v/>
      </c>
      <c r="BI41" s="39"/>
      <c r="BJ41" s="40" t="str">
        <f t="shared" si="31"/>
        <v/>
      </c>
      <c r="BK41" s="157" t="str">
        <f t="shared" si="32"/>
        <v/>
      </c>
      <c r="BL41" s="157" t="str">
        <f t="shared" si="14"/>
        <v/>
      </c>
      <c r="BM41" s="72"/>
      <c r="BN41" s="72" t="str">
        <f t="shared" si="33"/>
        <v/>
      </c>
      <c r="BO41" s="72" t="str">
        <f t="shared" si="34"/>
        <v/>
      </c>
      <c r="BP41" s="39"/>
      <c r="BQ41" s="72" t="str">
        <f t="shared" si="15"/>
        <v/>
      </c>
      <c r="BR41" s="72" t="str">
        <f t="shared" si="35"/>
        <v/>
      </c>
    </row>
    <row r="42" spans="3:70" x14ac:dyDescent="0.15">
      <c r="D42" s="84" t="s">
        <v>573</v>
      </c>
      <c r="F42" s="481"/>
      <c r="G42" s="84" t="s">
        <v>574</v>
      </c>
      <c r="I42" s="457">
        <f t="shared" si="36"/>
        <v>2047</v>
      </c>
      <c r="K42" s="71">
        <f t="shared" si="37"/>
        <v>28</v>
      </c>
      <c r="L42" s="71"/>
      <c r="M42" s="7">
        <f t="shared" si="0"/>
        <v>0.4370767531704256</v>
      </c>
      <c r="N42" s="71"/>
      <c r="O42" s="10" t="str">
        <f t="shared" si="16"/>
        <v/>
      </c>
      <c r="P42" s="29" t="str">
        <f t="shared" si="1"/>
        <v/>
      </c>
      <c r="Q42" s="71"/>
      <c r="R42" s="10" t="str">
        <f t="shared" si="17"/>
        <v/>
      </c>
      <c r="S42" s="71"/>
      <c r="T42" s="10" t="str">
        <f t="shared" si="18"/>
        <v/>
      </c>
      <c r="U42" s="71"/>
      <c r="V42" s="10" t="str">
        <f t="shared" si="2"/>
        <v/>
      </c>
      <c r="W42" s="10" t="str">
        <f t="shared" si="19"/>
        <v/>
      </c>
      <c r="X42" s="71"/>
      <c r="Y42" s="10" t="str">
        <f t="shared" si="3"/>
        <v/>
      </c>
      <c r="Z42" s="10" t="str">
        <f t="shared" si="20"/>
        <v/>
      </c>
      <c r="AA42" s="71"/>
      <c r="AB42" s="10" t="str">
        <f t="shared" si="4"/>
        <v/>
      </c>
      <c r="AC42" s="10" t="str">
        <f t="shared" si="21"/>
        <v/>
      </c>
      <c r="AD42" s="71"/>
      <c r="AE42" s="10" t="str">
        <f t="shared" si="5"/>
        <v/>
      </c>
      <c r="AF42" s="10" t="str">
        <f t="shared" si="22"/>
        <v/>
      </c>
      <c r="AG42" s="71"/>
      <c r="AH42" s="10" t="str">
        <f t="shared" si="6"/>
        <v/>
      </c>
      <c r="AI42" s="10" t="str">
        <f t="shared" si="23"/>
        <v/>
      </c>
      <c r="AJ42" s="71"/>
      <c r="AK42" s="10" t="str">
        <f t="shared" si="7"/>
        <v/>
      </c>
      <c r="AL42" s="10" t="str">
        <f t="shared" si="24"/>
        <v/>
      </c>
      <c r="AM42" s="71"/>
      <c r="AN42" s="10" t="str">
        <f t="shared" si="8"/>
        <v/>
      </c>
      <c r="AO42" s="10" t="str">
        <f t="shared" si="25"/>
        <v/>
      </c>
      <c r="AP42" s="71"/>
      <c r="AQ42" s="10" t="str">
        <f t="shared" si="9"/>
        <v/>
      </c>
      <c r="AR42" s="10" t="str">
        <f t="shared" si="26"/>
        <v/>
      </c>
      <c r="AS42" s="71"/>
      <c r="AT42" s="7" t="str">
        <f>IF($K42&lt;=$F$15,IF($F$40&lt;&gt;"",$F$40/1000,IF(ISERROR(VLOOKUP($F$3&amp;IF($G$4&lt;&gt;"",$G$4,"")&amp;IF($F$43&lt;&gt;"","_"&amp;$F$43,""),'表3）燃料価格'!$AF$9:$AG$25,2,0)),0,VLOOKUP($I42,'表3）燃料価格'!$A$6:$U$66,VLOOKUP($F$3&amp;IF($G$4&lt;&gt;"",$G$4,"")&amp;IF($F$43&lt;&gt;"","_"&amp;$F$43,""),'表3）燃料価格'!$AF$9:$AG$25,2,0)+VLOOKUP($F$41,'表3）燃料価格'!$AF$28:$AG$29,2,0),0)*IF($F$43="需要地価格",1,$F$8/$F$141))),"")</f>
        <v/>
      </c>
      <c r="AU42" s="71"/>
      <c r="AV42" s="10" t="str">
        <f t="shared" si="10"/>
        <v/>
      </c>
      <c r="AW42" s="10" t="str">
        <f t="shared" si="27"/>
        <v/>
      </c>
      <c r="AX42" s="71"/>
      <c r="AY42" s="7" t="str">
        <f>IF(ISERROR(IF($K42&lt;=$F$15,VLOOKUP($I42,'表4）CO2価格'!$A$7:$E$67,VLOOKUP($F$48,'表4）CO2価格'!$H$10:$I$12,2,0),0)*$F$8/1000,"")),0,IF($K42&lt;=$F$15,VLOOKUP($I42,'表4）CO2価格'!$A$7:$E$67,VLOOKUP($F$48,'表4）CO2価格'!$H$10:$I$12,2,0),0)*$F$8/1000,""))</f>
        <v/>
      </c>
      <c r="AZ42" s="71"/>
      <c r="BA42" s="11" t="str">
        <f t="shared" si="11"/>
        <v/>
      </c>
      <c r="BB42" s="10" t="str">
        <f t="shared" si="28"/>
        <v/>
      </c>
      <c r="BC42" s="71"/>
      <c r="BD42" s="10" t="str">
        <f t="shared" si="12"/>
        <v/>
      </c>
      <c r="BE42" s="10" t="str">
        <f t="shared" si="29"/>
        <v/>
      </c>
      <c r="BF42" s="71"/>
      <c r="BG42" s="11" t="str">
        <f t="shared" si="13"/>
        <v/>
      </c>
      <c r="BH42" s="10" t="str">
        <f t="shared" si="30"/>
        <v/>
      </c>
      <c r="BJ42" s="7" t="str">
        <f t="shared" si="31"/>
        <v/>
      </c>
      <c r="BK42" s="158" t="str">
        <f t="shared" si="32"/>
        <v/>
      </c>
      <c r="BL42" s="158" t="str">
        <f t="shared" si="14"/>
        <v/>
      </c>
      <c r="BM42" s="10"/>
      <c r="BN42" s="10" t="str">
        <f t="shared" si="33"/>
        <v/>
      </c>
      <c r="BO42" s="10" t="str">
        <f t="shared" si="34"/>
        <v/>
      </c>
      <c r="BQ42" s="10" t="str">
        <f t="shared" si="15"/>
        <v/>
      </c>
      <c r="BR42" s="10" t="str">
        <f t="shared" si="35"/>
        <v/>
      </c>
    </row>
    <row r="43" spans="3:70" x14ac:dyDescent="0.15">
      <c r="D43" s="160" t="s">
        <v>126</v>
      </c>
      <c r="F43" s="474"/>
      <c r="I43" s="38">
        <f t="shared" si="36"/>
        <v>2048</v>
      </c>
      <c r="J43" s="39"/>
      <c r="K43" s="39">
        <f t="shared" si="37"/>
        <v>29</v>
      </c>
      <c r="L43" s="39"/>
      <c r="M43" s="40">
        <f t="shared" si="0"/>
        <v>0.42434636230138412</v>
      </c>
      <c r="N43" s="39"/>
      <c r="O43" s="72" t="str">
        <f t="shared" si="16"/>
        <v/>
      </c>
      <c r="P43" s="41" t="str">
        <f t="shared" si="1"/>
        <v/>
      </c>
      <c r="Q43" s="39"/>
      <c r="R43" s="72" t="str">
        <f t="shared" si="17"/>
        <v/>
      </c>
      <c r="S43" s="39"/>
      <c r="T43" s="72" t="str">
        <f t="shared" si="18"/>
        <v/>
      </c>
      <c r="U43" s="39"/>
      <c r="V43" s="72" t="str">
        <f t="shared" si="2"/>
        <v/>
      </c>
      <c r="W43" s="72" t="str">
        <f t="shared" si="19"/>
        <v/>
      </c>
      <c r="X43" s="39"/>
      <c r="Y43" s="72" t="str">
        <f t="shared" si="3"/>
        <v/>
      </c>
      <c r="Z43" s="72" t="str">
        <f t="shared" si="20"/>
        <v/>
      </c>
      <c r="AA43" s="39"/>
      <c r="AB43" s="72" t="str">
        <f t="shared" si="4"/>
        <v/>
      </c>
      <c r="AC43" s="72" t="str">
        <f t="shared" si="21"/>
        <v/>
      </c>
      <c r="AD43" s="39"/>
      <c r="AE43" s="72" t="str">
        <f t="shared" si="5"/>
        <v/>
      </c>
      <c r="AF43" s="72" t="str">
        <f t="shared" si="22"/>
        <v/>
      </c>
      <c r="AG43" s="39"/>
      <c r="AH43" s="72" t="str">
        <f t="shared" si="6"/>
        <v/>
      </c>
      <c r="AI43" s="72" t="str">
        <f t="shared" si="23"/>
        <v/>
      </c>
      <c r="AJ43" s="39"/>
      <c r="AK43" s="72" t="str">
        <f t="shared" si="7"/>
        <v/>
      </c>
      <c r="AL43" s="72" t="str">
        <f t="shared" si="24"/>
        <v/>
      </c>
      <c r="AM43" s="39"/>
      <c r="AN43" s="72" t="str">
        <f t="shared" si="8"/>
        <v/>
      </c>
      <c r="AO43" s="72" t="str">
        <f t="shared" si="25"/>
        <v/>
      </c>
      <c r="AP43" s="39"/>
      <c r="AQ43" s="72" t="str">
        <f t="shared" si="9"/>
        <v/>
      </c>
      <c r="AR43" s="72" t="str">
        <f t="shared" si="26"/>
        <v/>
      </c>
      <c r="AS43" s="39"/>
      <c r="AT43" s="40" t="str">
        <f>IF($K43&lt;=$F$15,IF($F$40&lt;&gt;"",$F$40/1000,IF(ISERROR(VLOOKUP($F$3&amp;IF($G$4&lt;&gt;"",$G$4,"")&amp;IF($F$43&lt;&gt;"","_"&amp;$F$43,""),'表3）燃料価格'!$AF$9:$AG$25,2,0)),0,VLOOKUP($I43,'表3）燃料価格'!$A$6:$U$66,VLOOKUP($F$3&amp;IF($G$4&lt;&gt;"",$G$4,"")&amp;IF($F$43&lt;&gt;"","_"&amp;$F$43,""),'表3）燃料価格'!$AF$9:$AG$25,2,0)+VLOOKUP($F$41,'表3）燃料価格'!$AF$28:$AG$29,2,0),0)*IF($F$43="需要地価格",1,$F$8/$F$141))),"")</f>
        <v/>
      </c>
      <c r="AU43" s="39"/>
      <c r="AV43" s="72" t="str">
        <f t="shared" si="10"/>
        <v/>
      </c>
      <c r="AW43" s="72" t="str">
        <f t="shared" si="27"/>
        <v/>
      </c>
      <c r="AX43" s="39"/>
      <c r="AY43" s="40" t="str">
        <f>IF(ISERROR(IF($K43&lt;=$F$15,VLOOKUP($I43,'表4）CO2価格'!$A$7:$E$67,VLOOKUP($F$48,'表4）CO2価格'!$H$10:$I$12,2,0),0)*$F$8/1000,"")),0,IF($K43&lt;=$F$15,VLOOKUP($I43,'表4）CO2価格'!$A$7:$E$67,VLOOKUP($F$48,'表4）CO2価格'!$H$10:$I$12,2,0),0)*$F$8/1000,""))</f>
        <v/>
      </c>
      <c r="AZ43" s="39"/>
      <c r="BA43" s="42" t="str">
        <f t="shared" si="11"/>
        <v/>
      </c>
      <c r="BB43" s="72" t="str">
        <f t="shared" si="28"/>
        <v/>
      </c>
      <c r="BC43" s="39"/>
      <c r="BD43" s="72" t="str">
        <f t="shared" si="12"/>
        <v/>
      </c>
      <c r="BE43" s="72" t="str">
        <f t="shared" si="29"/>
        <v/>
      </c>
      <c r="BF43" s="39"/>
      <c r="BG43" s="42" t="str">
        <f t="shared" si="13"/>
        <v/>
      </c>
      <c r="BH43" s="72" t="str">
        <f t="shared" si="30"/>
        <v/>
      </c>
      <c r="BI43" s="39"/>
      <c r="BJ43" s="40" t="str">
        <f t="shared" si="31"/>
        <v/>
      </c>
      <c r="BK43" s="157" t="str">
        <f t="shared" si="32"/>
        <v/>
      </c>
      <c r="BL43" s="157" t="str">
        <f t="shared" si="14"/>
        <v/>
      </c>
      <c r="BM43" s="72"/>
      <c r="BN43" s="72" t="str">
        <f t="shared" si="33"/>
        <v/>
      </c>
      <c r="BO43" s="72" t="str">
        <f t="shared" si="34"/>
        <v/>
      </c>
      <c r="BP43" s="39"/>
      <c r="BQ43" s="72" t="str">
        <f t="shared" si="15"/>
        <v/>
      </c>
      <c r="BR43" s="72" t="str">
        <f t="shared" si="35"/>
        <v/>
      </c>
    </row>
    <row r="44" spans="3:70" x14ac:dyDescent="0.15">
      <c r="I44" s="457">
        <f t="shared" si="36"/>
        <v>2049</v>
      </c>
      <c r="K44" s="71">
        <f t="shared" si="37"/>
        <v>30</v>
      </c>
      <c r="L44" s="71"/>
      <c r="M44" s="7">
        <f t="shared" si="0"/>
        <v>0.41198675951590691</v>
      </c>
      <c r="N44" s="71"/>
      <c r="O44" s="10" t="str">
        <f t="shared" si="16"/>
        <v/>
      </c>
      <c r="P44" s="29" t="str">
        <f t="shared" si="1"/>
        <v/>
      </c>
      <c r="Q44" s="71"/>
      <c r="R44" s="10" t="str">
        <f t="shared" si="17"/>
        <v/>
      </c>
      <c r="S44" s="71"/>
      <c r="T44" s="10" t="str">
        <f t="shared" si="18"/>
        <v/>
      </c>
      <c r="U44" s="71"/>
      <c r="V44" s="10" t="str">
        <f t="shared" si="2"/>
        <v/>
      </c>
      <c r="W44" s="10" t="str">
        <f t="shared" si="19"/>
        <v/>
      </c>
      <c r="X44" s="71"/>
      <c r="Y44" s="10" t="str">
        <f t="shared" si="3"/>
        <v/>
      </c>
      <c r="Z44" s="10" t="str">
        <f t="shared" si="20"/>
        <v/>
      </c>
      <c r="AA44" s="71"/>
      <c r="AB44" s="10" t="str">
        <f t="shared" si="4"/>
        <v/>
      </c>
      <c r="AC44" s="10" t="str">
        <f t="shared" si="21"/>
        <v/>
      </c>
      <c r="AD44" s="71"/>
      <c r="AE44" s="10" t="str">
        <f t="shared" si="5"/>
        <v/>
      </c>
      <c r="AF44" s="10" t="str">
        <f t="shared" si="22"/>
        <v/>
      </c>
      <c r="AG44" s="71"/>
      <c r="AH44" s="10" t="str">
        <f t="shared" si="6"/>
        <v/>
      </c>
      <c r="AI44" s="10" t="str">
        <f t="shared" si="23"/>
        <v/>
      </c>
      <c r="AJ44" s="71"/>
      <c r="AK44" s="10" t="str">
        <f t="shared" si="7"/>
        <v/>
      </c>
      <c r="AL44" s="10" t="str">
        <f t="shared" si="24"/>
        <v/>
      </c>
      <c r="AM44" s="71"/>
      <c r="AN44" s="10" t="str">
        <f t="shared" si="8"/>
        <v/>
      </c>
      <c r="AO44" s="10" t="str">
        <f t="shared" si="25"/>
        <v/>
      </c>
      <c r="AP44" s="71"/>
      <c r="AQ44" s="10" t="str">
        <f t="shared" si="9"/>
        <v/>
      </c>
      <c r="AR44" s="10" t="str">
        <f t="shared" si="26"/>
        <v/>
      </c>
      <c r="AS44" s="71"/>
      <c r="AT44" s="7" t="str">
        <f>IF($K44&lt;=$F$15,IF($F$40&lt;&gt;"",$F$40/1000,IF(ISERROR(VLOOKUP($F$3&amp;IF($G$4&lt;&gt;"",$G$4,"")&amp;IF($F$43&lt;&gt;"","_"&amp;$F$43,""),'表3）燃料価格'!$AF$9:$AG$25,2,0)),0,VLOOKUP($I44,'表3）燃料価格'!$A$6:$U$66,VLOOKUP($F$3&amp;IF($G$4&lt;&gt;"",$G$4,"")&amp;IF($F$43&lt;&gt;"","_"&amp;$F$43,""),'表3）燃料価格'!$AF$9:$AG$25,2,0)+VLOOKUP($F$41,'表3）燃料価格'!$AF$28:$AG$29,2,0),0)*IF($F$43="需要地価格",1,$F$8/$F$141))),"")</f>
        <v/>
      </c>
      <c r="AU44" s="71"/>
      <c r="AV44" s="10" t="str">
        <f t="shared" si="10"/>
        <v/>
      </c>
      <c r="AW44" s="10" t="str">
        <f t="shared" si="27"/>
        <v/>
      </c>
      <c r="AX44" s="71"/>
      <c r="AY44" s="7" t="str">
        <f>IF(ISERROR(IF($K44&lt;=$F$15,VLOOKUP($I44,'表4）CO2価格'!$A$7:$E$67,VLOOKUP($F$48,'表4）CO2価格'!$H$10:$I$12,2,0),0)*$F$8/1000,"")),0,IF($K44&lt;=$F$15,VLOOKUP($I44,'表4）CO2価格'!$A$7:$E$67,VLOOKUP($F$48,'表4）CO2価格'!$H$10:$I$12,2,0),0)*$F$8/1000,""))</f>
        <v/>
      </c>
      <c r="AZ44" s="71"/>
      <c r="BA44" s="11" t="str">
        <f t="shared" si="11"/>
        <v/>
      </c>
      <c r="BB44" s="10" t="str">
        <f t="shared" si="28"/>
        <v/>
      </c>
      <c r="BC44" s="71"/>
      <c r="BD44" s="10" t="str">
        <f t="shared" si="12"/>
        <v/>
      </c>
      <c r="BE44" s="10" t="str">
        <f t="shared" si="29"/>
        <v/>
      </c>
      <c r="BF44" s="71"/>
      <c r="BG44" s="11" t="str">
        <f t="shared" si="13"/>
        <v/>
      </c>
      <c r="BH44" s="10" t="str">
        <f t="shared" si="30"/>
        <v/>
      </c>
      <c r="BJ44" s="7" t="str">
        <f t="shared" si="31"/>
        <v/>
      </c>
      <c r="BK44" s="158" t="str">
        <f t="shared" si="32"/>
        <v/>
      </c>
      <c r="BL44" s="158" t="str">
        <f t="shared" si="14"/>
        <v/>
      </c>
      <c r="BM44" s="10"/>
      <c r="BN44" s="10" t="str">
        <f t="shared" si="33"/>
        <v/>
      </c>
      <c r="BO44" s="10" t="str">
        <f t="shared" si="34"/>
        <v/>
      </c>
      <c r="BQ44" s="10" t="str">
        <f t="shared" si="15"/>
        <v/>
      </c>
      <c r="BR44" s="10" t="str">
        <f t="shared" si="35"/>
        <v/>
      </c>
    </row>
    <row r="45" spans="3:70" x14ac:dyDescent="0.15">
      <c r="C45" s="4" t="s">
        <v>575</v>
      </c>
      <c r="D45" s="100"/>
      <c r="E45" s="100"/>
      <c r="F45" s="4"/>
      <c r="G45" s="100"/>
      <c r="I45" s="38">
        <f t="shared" si="36"/>
        <v>2050</v>
      </c>
      <c r="J45" s="39"/>
      <c r="K45" s="39">
        <f t="shared" si="37"/>
        <v>31</v>
      </c>
      <c r="L45" s="39"/>
      <c r="M45" s="40">
        <f t="shared" si="0"/>
        <v>0.39998714516107459</v>
      </c>
      <c r="N45" s="39"/>
      <c r="O45" s="72" t="str">
        <f t="shared" si="16"/>
        <v/>
      </c>
      <c r="P45" s="41" t="str">
        <f t="shared" si="1"/>
        <v/>
      </c>
      <c r="Q45" s="39"/>
      <c r="R45" s="72" t="str">
        <f t="shared" si="17"/>
        <v/>
      </c>
      <c r="S45" s="39"/>
      <c r="T45" s="72" t="str">
        <f t="shared" si="18"/>
        <v/>
      </c>
      <c r="U45" s="39"/>
      <c r="V45" s="72" t="str">
        <f t="shared" si="2"/>
        <v/>
      </c>
      <c r="W45" s="72" t="str">
        <f t="shared" si="19"/>
        <v/>
      </c>
      <c r="X45" s="39"/>
      <c r="Y45" s="72" t="str">
        <f t="shared" si="3"/>
        <v/>
      </c>
      <c r="Z45" s="72" t="str">
        <f t="shared" si="20"/>
        <v/>
      </c>
      <c r="AA45" s="39"/>
      <c r="AB45" s="72" t="str">
        <f t="shared" si="4"/>
        <v/>
      </c>
      <c r="AC45" s="72" t="str">
        <f t="shared" si="21"/>
        <v/>
      </c>
      <c r="AD45" s="39"/>
      <c r="AE45" s="72" t="str">
        <f t="shared" si="5"/>
        <v/>
      </c>
      <c r="AF45" s="72" t="str">
        <f t="shared" si="22"/>
        <v/>
      </c>
      <c r="AG45" s="39"/>
      <c r="AH45" s="72" t="str">
        <f t="shared" si="6"/>
        <v/>
      </c>
      <c r="AI45" s="72" t="str">
        <f t="shared" si="23"/>
        <v/>
      </c>
      <c r="AJ45" s="39"/>
      <c r="AK45" s="72" t="str">
        <f t="shared" si="7"/>
        <v/>
      </c>
      <c r="AL45" s="72" t="str">
        <f t="shared" si="24"/>
        <v/>
      </c>
      <c r="AM45" s="39"/>
      <c r="AN45" s="72" t="str">
        <f t="shared" si="8"/>
        <v/>
      </c>
      <c r="AO45" s="72" t="str">
        <f t="shared" si="25"/>
        <v/>
      </c>
      <c r="AP45" s="39"/>
      <c r="AQ45" s="72" t="str">
        <f t="shared" si="9"/>
        <v/>
      </c>
      <c r="AR45" s="72" t="str">
        <f t="shared" si="26"/>
        <v/>
      </c>
      <c r="AS45" s="39"/>
      <c r="AT45" s="40" t="str">
        <f>IF($K45&lt;=$F$15,IF($F$40&lt;&gt;"",$F$40/1000,IF(ISERROR(VLOOKUP($F$3&amp;IF($G$4&lt;&gt;"",$G$4,"")&amp;IF($F$43&lt;&gt;"","_"&amp;$F$43,""),'表3）燃料価格'!$AF$9:$AG$25,2,0)),0,VLOOKUP($I45,'表3）燃料価格'!$A$6:$U$66,VLOOKUP($F$3&amp;IF($G$4&lt;&gt;"",$G$4,"")&amp;IF($F$43&lt;&gt;"","_"&amp;$F$43,""),'表3）燃料価格'!$AF$9:$AG$25,2,0)+VLOOKUP($F$41,'表3）燃料価格'!$AF$28:$AG$29,2,0),0)*IF($F$43="需要地価格",1,$F$8/$F$141))),"")</f>
        <v/>
      </c>
      <c r="AU45" s="39"/>
      <c r="AV45" s="72" t="str">
        <f t="shared" si="10"/>
        <v/>
      </c>
      <c r="AW45" s="72" t="str">
        <f t="shared" si="27"/>
        <v/>
      </c>
      <c r="AX45" s="39"/>
      <c r="AY45" s="40" t="str">
        <f>IF(ISERROR(IF($K45&lt;=$F$15,VLOOKUP($I45,'表4）CO2価格'!$A$7:$E$67,VLOOKUP($F$48,'表4）CO2価格'!$H$10:$I$12,2,0),0)*$F$8/1000,"")),0,IF($K45&lt;=$F$15,VLOOKUP($I45,'表4）CO2価格'!$A$7:$E$67,VLOOKUP($F$48,'表4）CO2価格'!$H$10:$I$12,2,0),0)*$F$8/1000,""))</f>
        <v/>
      </c>
      <c r="AZ45" s="39"/>
      <c r="BA45" s="42" t="str">
        <f t="shared" si="11"/>
        <v/>
      </c>
      <c r="BB45" s="72" t="str">
        <f t="shared" si="28"/>
        <v/>
      </c>
      <c r="BC45" s="39"/>
      <c r="BD45" s="72" t="str">
        <f t="shared" si="12"/>
        <v/>
      </c>
      <c r="BE45" s="72" t="str">
        <f t="shared" si="29"/>
        <v/>
      </c>
      <c r="BF45" s="39"/>
      <c r="BG45" s="42" t="str">
        <f t="shared" si="13"/>
        <v/>
      </c>
      <c r="BH45" s="72" t="str">
        <f t="shared" si="30"/>
        <v/>
      </c>
      <c r="BI45" s="39"/>
      <c r="BJ45" s="40" t="str">
        <f t="shared" si="31"/>
        <v/>
      </c>
      <c r="BK45" s="157" t="str">
        <f t="shared" si="32"/>
        <v/>
      </c>
      <c r="BL45" s="157" t="str">
        <f t="shared" si="14"/>
        <v/>
      </c>
      <c r="BM45" s="72"/>
      <c r="BN45" s="72" t="str">
        <f t="shared" si="33"/>
        <v/>
      </c>
      <c r="BO45" s="72" t="str">
        <f t="shared" si="34"/>
        <v/>
      </c>
      <c r="BP45" s="39"/>
      <c r="BQ45" s="72" t="str">
        <f t="shared" si="15"/>
        <v/>
      </c>
      <c r="BR45" s="72" t="str">
        <f t="shared" si="35"/>
        <v/>
      </c>
    </row>
    <row r="46" spans="3:70" x14ac:dyDescent="0.15">
      <c r="I46" s="457">
        <f t="shared" si="36"/>
        <v>2051</v>
      </c>
      <c r="K46" s="71">
        <f t="shared" si="37"/>
        <v>32</v>
      </c>
      <c r="L46" s="71"/>
      <c r="M46" s="7">
        <f t="shared" si="0"/>
        <v>0.38833703413696569</v>
      </c>
      <c r="N46" s="71"/>
      <c r="O46" s="10" t="str">
        <f t="shared" si="16"/>
        <v/>
      </c>
      <c r="P46" s="29" t="str">
        <f t="shared" si="1"/>
        <v/>
      </c>
      <c r="Q46" s="71"/>
      <c r="R46" s="10" t="str">
        <f t="shared" si="17"/>
        <v/>
      </c>
      <c r="S46" s="71"/>
      <c r="T46" s="10" t="str">
        <f t="shared" si="18"/>
        <v/>
      </c>
      <c r="U46" s="71"/>
      <c r="V46" s="10" t="str">
        <f t="shared" si="2"/>
        <v/>
      </c>
      <c r="W46" s="10" t="str">
        <f t="shared" si="19"/>
        <v/>
      </c>
      <c r="X46" s="71"/>
      <c r="Y46" s="10" t="str">
        <f t="shared" si="3"/>
        <v/>
      </c>
      <c r="Z46" s="10" t="str">
        <f t="shared" si="20"/>
        <v/>
      </c>
      <c r="AA46" s="71"/>
      <c r="AB46" s="10" t="str">
        <f t="shared" si="4"/>
        <v/>
      </c>
      <c r="AC46" s="10" t="str">
        <f t="shared" si="21"/>
        <v/>
      </c>
      <c r="AD46" s="71"/>
      <c r="AE46" s="10" t="str">
        <f t="shared" si="5"/>
        <v/>
      </c>
      <c r="AF46" s="10" t="str">
        <f t="shared" si="22"/>
        <v/>
      </c>
      <c r="AG46" s="71"/>
      <c r="AH46" s="10" t="str">
        <f t="shared" si="6"/>
        <v/>
      </c>
      <c r="AI46" s="10" t="str">
        <f t="shared" si="23"/>
        <v/>
      </c>
      <c r="AJ46" s="71"/>
      <c r="AK46" s="10" t="str">
        <f t="shared" si="7"/>
        <v/>
      </c>
      <c r="AL46" s="10" t="str">
        <f t="shared" si="24"/>
        <v/>
      </c>
      <c r="AM46" s="71"/>
      <c r="AN46" s="10" t="str">
        <f t="shared" si="8"/>
        <v/>
      </c>
      <c r="AO46" s="10" t="str">
        <f t="shared" si="25"/>
        <v/>
      </c>
      <c r="AP46" s="71"/>
      <c r="AQ46" s="10" t="str">
        <f t="shared" si="9"/>
        <v/>
      </c>
      <c r="AR46" s="10" t="str">
        <f t="shared" si="26"/>
        <v/>
      </c>
      <c r="AS46" s="71"/>
      <c r="AT46" s="7" t="str">
        <f>IF($K46&lt;=$F$15,IF($F$40&lt;&gt;"",$F$40/1000,IF(ISERROR(VLOOKUP($F$3&amp;IF($G$4&lt;&gt;"",$G$4,"")&amp;IF($F$43&lt;&gt;"","_"&amp;$F$43,""),'表3）燃料価格'!$AF$9:$AG$25,2,0)),0,VLOOKUP($I46,'表3）燃料価格'!$A$6:$U$66,VLOOKUP($F$3&amp;IF($G$4&lt;&gt;"",$G$4,"")&amp;IF($F$43&lt;&gt;"","_"&amp;$F$43,""),'表3）燃料価格'!$AF$9:$AG$25,2,0)+VLOOKUP($F$41,'表3）燃料価格'!$AF$28:$AG$29,2,0),0)*IF($F$43="需要地価格",1,$F$8/$F$141))),"")</f>
        <v/>
      </c>
      <c r="AU46" s="71"/>
      <c r="AV46" s="10" t="str">
        <f t="shared" si="10"/>
        <v/>
      </c>
      <c r="AW46" s="10" t="str">
        <f t="shared" si="27"/>
        <v/>
      </c>
      <c r="AX46" s="71"/>
      <c r="AY46" s="7" t="str">
        <f>IF(ISERROR(IF($K46&lt;=$F$15,VLOOKUP($I46,'表4）CO2価格'!$A$7:$E$67,VLOOKUP($F$48,'表4）CO2価格'!$H$10:$I$12,2,0),0)*$F$8/1000,"")),0,IF($K46&lt;=$F$15,VLOOKUP($I46,'表4）CO2価格'!$A$7:$E$67,VLOOKUP($F$48,'表4）CO2価格'!$H$10:$I$12,2,0),0)*$F$8/1000,""))</f>
        <v/>
      </c>
      <c r="AZ46" s="71"/>
      <c r="BA46" s="11" t="str">
        <f t="shared" si="11"/>
        <v/>
      </c>
      <c r="BB46" s="10" t="str">
        <f t="shared" si="28"/>
        <v/>
      </c>
      <c r="BC46" s="71"/>
      <c r="BD46" s="10" t="str">
        <f t="shared" si="12"/>
        <v/>
      </c>
      <c r="BE46" s="10" t="str">
        <f t="shared" si="29"/>
        <v/>
      </c>
      <c r="BF46" s="71"/>
      <c r="BG46" s="11" t="str">
        <f t="shared" si="13"/>
        <v/>
      </c>
      <c r="BH46" s="10" t="str">
        <f t="shared" si="30"/>
        <v/>
      </c>
      <c r="BJ46" s="7" t="str">
        <f t="shared" si="31"/>
        <v/>
      </c>
      <c r="BK46" s="158" t="str">
        <f t="shared" si="32"/>
        <v/>
      </c>
      <c r="BL46" s="158" t="str">
        <f t="shared" si="14"/>
        <v/>
      </c>
      <c r="BM46" s="10"/>
      <c r="BN46" s="10" t="str">
        <f t="shared" si="33"/>
        <v/>
      </c>
      <c r="BO46" s="10" t="str">
        <f t="shared" si="34"/>
        <v/>
      </c>
      <c r="BQ46" s="10" t="str">
        <f t="shared" si="15"/>
        <v/>
      </c>
      <c r="BR46" s="10" t="str">
        <f t="shared" si="35"/>
        <v/>
      </c>
    </row>
    <row r="47" spans="3:70" x14ac:dyDescent="0.15">
      <c r="D47" s="84" t="s">
        <v>576</v>
      </c>
      <c r="F47" s="475"/>
      <c r="G47" s="84" t="s">
        <v>577</v>
      </c>
      <c r="I47" s="38">
        <f t="shared" si="36"/>
        <v>2052</v>
      </c>
      <c r="J47" s="39"/>
      <c r="K47" s="39">
        <f t="shared" si="37"/>
        <v>33</v>
      </c>
      <c r="L47" s="39"/>
      <c r="M47" s="40">
        <f t="shared" si="0"/>
        <v>0.37702624673491814</v>
      </c>
      <c r="N47" s="39"/>
      <c r="O47" s="72" t="str">
        <f t="shared" si="16"/>
        <v/>
      </c>
      <c r="P47" s="41" t="str">
        <f t="shared" ref="P47:P78" si="38">IF(K47&lt;=$F$15,IF(OR(P46=$F$124,P46="-"),"-",IF(O47*$F$123&gt;$F$127,$F$123,$F$124)),"")</f>
        <v/>
      </c>
      <c r="Q47" s="39"/>
      <c r="R47" s="72" t="str">
        <f t="shared" si="17"/>
        <v/>
      </c>
      <c r="S47" s="39"/>
      <c r="T47" s="72" t="str">
        <f t="shared" si="18"/>
        <v/>
      </c>
      <c r="U47" s="39"/>
      <c r="V47" s="72" t="str">
        <f t="shared" ref="V47:V78" si="39">IF(K47&lt;=$F$15,IF(K47&lt;$F$119,IF(P47="-",V46,O47*P47),IF(K47=$F$119,MIN(IF(P47="-",V46,O47*P47),O47),0)),"")</f>
        <v/>
      </c>
      <c r="W47" s="72" t="str">
        <f t="shared" si="19"/>
        <v/>
      </c>
      <c r="X47" s="39"/>
      <c r="Y47" s="72" t="str">
        <f t="shared" ref="Y47:Y78" si="40">IF($K47&lt;=$F$15,ROUNDDOWN(T47*$F$25/100,-2),"")</f>
        <v/>
      </c>
      <c r="Z47" s="72" t="str">
        <f t="shared" si="20"/>
        <v/>
      </c>
      <c r="AA47" s="39"/>
      <c r="AB47" s="72" t="str">
        <f t="shared" si="4"/>
        <v/>
      </c>
      <c r="AC47" s="72" t="str">
        <f t="shared" si="21"/>
        <v/>
      </c>
      <c r="AD47" s="39"/>
      <c r="AE47" s="72" t="str">
        <f t="shared" ref="AE47:AE78" si="41">IF($K47&lt;=$F$15,$F$26,"")</f>
        <v/>
      </c>
      <c r="AF47" s="72" t="str">
        <f t="shared" si="22"/>
        <v/>
      </c>
      <c r="AG47" s="39"/>
      <c r="AH47" s="72" t="str">
        <f t="shared" ref="AH47:AH78" si="42">IF($K47&lt;=$F$15,$F$33*10^4*$F$13*10^4,"")</f>
        <v/>
      </c>
      <c r="AI47" s="72" t="str">
        <f t="shared" si="23"/>
        <v/>
      </c>
      <c r="AJ47" s="39"/>
      <c r="AK47" s="72" t="str">
        <f t="shared" ref="AK47:AK78" si="43">IF($K47&lt;=$F$15,$F$117*$F$34/100,"")</f>
        <v/>
      </c>
      <c r="AL47" s="72" t="str">
        <f t="shared" si="24"/>
        <v/>
      </c>
      <c r="AM47" s="39"/>
      <c r="AN47" s="72" t="str">
        <f t="shared" ref="AN47:AN78" si="44">IF($K47&lt;=$F$15,$F$117*$F$35/100,"")</f>
        <v/>
      </c>
      <c r="AO47" s="72" t="str">
        <f t="shared" si="25"/>
        <v/>
      </c>
      <c r="AP47" s="39"/>
      <c r="AQ47" s="72" t="str">
        <f t="shared" ref="AQ47:AQ78" si="45">IF($K47&lt;=$F$15,SUM(AH47,AK47,AN47)*($F$36/100),"")</f>
        <v/>
      </c>
      <c r="AR47" s="72" t="str">
        <f t="shared" si="26"/>
        <v/>
      </c>
      <c r="AS47" s="39"/>
      <c r="AT47" s="40" t="str">
        <f>IF($K47&lt;=$F$15,IF($F$40&lt;&gt;"",$F$40/1000,IF(ISERROR(VLOOKUP($F$3&amp;IF($G$4&lt;&gt;"",$G$4,"")&amp;IF($F$43&lt;&gt;"","_"&amp;$F$43,""),'表3）燃料価格'!$AF$9:$AG$25,2,0)),0,VLOOKUP($I47,'表3）燃料価格'!$A$6:$U$66,VLOOKUP($F$3&amp;IF($G$4&lt;&gt;"",$G$4,"")&amp;IF($F$43&lt;&gt;"","_"&amp;$F$43,""),'表3）燃料価格'!$AF$9:$AG$25,2,0)+VLOOKUP($F$41,'表3）燃料価格'!$AF$28:$AG$29,2,0),0)*IF($F$43="需要地価格",1,$F$8/$F$141))),"")</f>
        <v/>
      </c>
      <c r="AU47" s="39"/>
      <c r="AV47" s="72" t="str">
        <f t="shared" ref="AV47:AV78" si="46">IF($K47&lt;=$F$15,($AT47+$F$142)*$F$137,"")</f>
        <v/>
      </c>
      <c r="AW47" s="72" t="str">
        <f t="shared" si="27"/>
        <v/>
      </c>
      <c r="AX47" s="39"/>
      <c r="AY47" s="40" t="str">
        <f>IF(ISERROR(IF($K47&lt;=$F$15,VLOOKUP($I47,'表4）CO2価格'!$A$7:$E$67,VLOOKUP($F$48,'表4）CO2価格'!$H$10:$I$12,2,0),0)*$F$8/1000,"")),0,IF($K47&lt;=$F$15,VLOOKUP($I47,'表4）CO2価格'!$A$7:$E$67,VLOOKUP($F$48,'表4）CO2価格'!$H$10:$I$12,2,0),0)*$F$8/1000,""))</f>
        <v/>
      </c>
      <c r="AZ47" s="39"/>
      <c r="BA47" s="42" t="str">
        <f t="shared" ref="BA47:BA78" si="47">IF($K47&lt;=$F$15,$F$145*AY47,"")</f>
        <v/>
      </c>
      <c r="BB47" s="72" t="str">
        <f t="shared" si="28"/>
        <v/>
      </c>
      <c r="BC47" s="39"/>
      <c r="BD47" s="72" t="str">
        <f t="shared" ref="BD47:BD78" si="48">IF($K47&lt;=$F$15,($AT47+$F$152)*$F$151,"")</f>
        <v/>
      </c>
      <c r="BE47" s="72" t="str">
        <f t="shared" si="29"/>
        <v/>
      </c>
      <c r="BF47" s="39"/>
      <c r="BG47" s="42" t="str">
        <f t="shared" ref="BG47:BG78" si="49">IF($K47&lt;=$F$15,$F$153*AY47,"")</f>
        <v/>
      </c>
      <c r="BH47" s="72" t="str">
        <f t="shared" si="30"/>
        <v/>
      </c>
      <c r="BI47" s="39"/>
      <c r="BJ47" s="40" t="str">
        <f t="shared" si="31"/>
        <v/>
      </c>
      <c r="BK47" s="157" t="str">
        <f t="shared" si="32"/>
        <v/>
      </c>
      <c r="BL47" s="157" t="str">
        <f t="shared" si="14"/>
        <v/>
      </c>
      <c r="BM47" s="72"/>
      <c r="BN47" s="72" t="str">
        <f t="shared" si="33"/>
        <v/>
      </c>
      <c r="BO47" s="72" t="str">
        <f t="shared" si="34"/>
        <v/>
      </c>
      <c r="BP47" s="39"/>
      <c r="BQ47" s="72" t="str">
        <f t="shared" ref="BQ47:BQ78" si="50">IF($K47&lt;=$F$15,$F$134,"")</f>
        <v/>
      </c>
      <c r="BR47" s="72" t="str">
        <f t="shared" si="35"/>
        <v/>
      </c>
    </row>
    <row r="48" spans="3:70" x14ac:dyDescent="0.15">
      <c r="D48" s="84" t="s">
        <v>578</v>
      </c>
      <c r="F48" s="474"/>
      <c r="I48" s="457">
        <f t="shared" si="36"/>
        <v>2053</v>
      </c>
      <c r="K48" s="71">
        <f t="shared" si="37"/>
        <v>34</v>
      </c>
      <c r="L48" s="71"/>
      <c r="M48" s="7">
        <f t="shared" si="0"/>
        <v>0.36604489974263904</v>
      </c>
      <c r="N48" s="71"/>
      <c r="O48" s="10" t="str">
        <f t="shared" si="16"/>
        <v/>
      </c>
      <c r="P48" s="29" t="str">
        <f t="shared" si="38"/>
        <v/>
      </c>
      <c r="Q48" s="71"/>
      <c r="R48" s="10" t="str">
        <f t="shared" ref="R48:R79" si="51">IF($K48&lt;=$F$15,MAX($F$117*5%,R47*$F$129),"")</f>
        <v/>
      </c>
      <c r="S48" s="71"/>
      <c r="T48" s="10" t="str">
        <f t="shared" si="18"/>
        <v/>
      </c>
      <c r="U48" s="71"/>
      <c r="V48" s="10" t="str">
        <f t="shared" si="39"/>
        <v/>
      </c>
      <c r="W48" s="10" t="str">
        <f t="shared" si="19"/>
        <v/>
      </c>
      <c r="X48" s="71"/>
      <c r="Y48" s="10" t="str">
        <f t="shared" si="40"/>
        <v/>
      </c>
      <c r="Z48" s="10" t="str">
        <f t="shared" si="20"/>
        <v/>
      </c>
      <c r="AA48" s="71"/>
      <c r="AB48" s="10" t="str">
        <f t="shared" si="4"/>
        <v/>
      </c>
      <c r="AC48" s="10" t="str">
        <f t="shared" si="21"/>
        <v/>
      </c>
      <c r="AD48" s="71"/>
      <c r="AE48" s="10" t="str">
        <f t="shared" si="41"/>
        <v/>
      </c>
      <c r="AF48" s="10" t="str">
        <f t="shared" si="22"/>
        <v/>
      </c>
      <c r="AG48" s="71"/>
      <c r="AH48" s="10" t="str">
        <f t="shared" si="42"/>
        <v/>
      </c>
      <c r="AI48" s="10" t="str">
        <f t="shared" si="23"/>
        <v/>
      </c>
      <c r="AJ48" s="71"/>
      <c r="AK48" s="10" t="str">
        <f t="shared" si="43"/>
        <v/>
      </c>
      <c r="AL48" s="10" t="str">
        <f t="shared" si="24"/>
        <v/>
      </c>
      <c r="AM48" s="71"/>
      <c r="AN48" s="10" t="str">
        <f t="shared" si="44"/>
        <v/>
      </c>
      <c r="AO48" s="10" t="str">
        <f t="shared" si="25"/>
        <v/>
      </c>
      <c r="AP48" s="71"/>
      <c r="AQ48" s="10" t="str">
        <f t="shared" si="45"/>
        <v/>
      </c>
      <c r="AR48" s="10" t="str">
        <f t="shared" si="26"/>
        <v/>
      </c>
      <c r="AS48" s="71"/>
      <c r="AT48" s="7" t="str">
        <f>IF($K48&lt;=$F$15,IF($F$40&lt;&gt;"",$F$40/1000,IF(ISERROR(VLOOKUP($F$3&amp;IF($G$4&lt;&gt;"",$G$4,"")&amp;IF($F$43&lt;&gt;"","_"&amp;$F$43,""),'表3）燃料価格'!$AF$9:$AG$25,2,0)),0,VLOOKUP($I48,'表3）燃料価格'!$A$6:$U$66,VLOOKUP($F$3&amp;IF($G$4&lt;&gt;"",$G$4,"")&amp;IF($F$43&lt;&gt;"","_"&amp;$F$43,""),'表3）燃料価格'!$AF$9:$AG$25,2,0)+VLOOKUP($F$41,'表3）燃料価格'!$AF$28:$AG$29,2,0),0)*IF($F$43="需要地価格",1,$F$8/$F$141))),"")</f>
        <v/>
      </c>
      <c r="AU48" s="71"/>
      <c r="AV48" s="10" t="str">
        <f t="shared" si="46"/>
        <v/>
      </c>
      <c r="AW48" s="10" t="str">
        <f t="shared" si="27"/>
        <v/>
      </c>
      <c r="AX48" s="71"/>
      <c r="AY48" s="7" t="str">
        <f>IF(ISERROR(IF($K48&lt;=$F$15,VLOOKUP($I48,'表4）CO2価格'!$A$7:$E$67,VLOOKUP($F$48,'表4）CO2価格'!$H$10:$I$12,2,0),0)*$F$8/1000,"")),0,IF($K48&lt;=$F$15,VLOOKUP($I48,'表4）CO2価格'!$A$7:$E$67,VLOOKUP($F$48,'表4）CO2価格'!$H$10:$I$12,2,0),0)*$F$8/1000,""))</f>
        <v/>
      </c>
      <c r="AZ48" s="71"/>
      <c r="BA48" s="11" t="str">
        <f t="shared" si="47"/>
        <v/>
      </c>
      <c r="BB48" s="10" t="str">
        <f t="shared" si="28"/>
        <v/>
      </c>
      <c r="BC48" s="71"/>
      <c r="BD48" s="10" t="str">
        <f t="shared" si="48"/>
        <v/>
      </c>
      <c r="BE48" s="10" t="str">
        <f t="shared" si="29"/>
        <v/>
      </c>
      <c r="BF48" s="71"/>
      <c r="BG48" s="11" t="str">
        <f t="shared" si="49"/>
        <v/>
      </c>
      <c r="BH48" s="10" t="str">
        <f t="shared" si="30"/>
        <v/>
      </c>
      <c r="BJ48" s="7" t="str">
        <f t="shared" si="31"/>
        <v/>
      </c>
      <c r="BK48" s="158" t="str">
        <f t="shared" si="32"/>
        <v/>
      </c>
      <c r="BL48" s="158" t="str">
        <f t="shared" si="14"/>
        <v/>
      </c>
      <c r="BM48" s="10"/>
      <c r="BN48" s="10" t="str">
        <f t="shared" si="33"/>
        <v/>
      </c>
      <c r="BO48" s="10" t="str">
        <f t="shared" si="34"/>
        <v/>
      </c>
      <c r="BQ48" s="10" t="str">
        <f t="shared" si="50"/>
        <v/>
      </c>
      <c r="BR48" s="10" t="str">
        <f t="shared" si="35"/>
        <v/>
      </c>
    </row>
    <row r="49" spans="3:70" x14ac:dyDescent="0.15">
      <c r="I49" s="38">
        <f t="shared" si="36"/>
        <v>2054</v>
      </c>
      <c r="J49" s="39"/>
      <c r="K49" s="39">
        <f t="shared" si="37"/>
        <v>35</v>
      </c>
      <c r="L49" s="39"/>
      <c r="M49" s="40">
        <f t="shared" si="0"/>
        <v>0.35538339780838735</v>
      </c>
      <c r="N49" s="39"/>
      <c r="O49" s="72" t="str">
        <f t="shared" si="16"/>
        <v/>
      </c>
      <c r="P49" s="41" t="str">
        <f t="shared" si="38"/>
        <v/>
      </c>
      <c r="Q49" s="39"/>
      <c r="R49" s="72" t="str">
        <f t="shared" si="51"/>
        <v/>
      </c>
      <c r="S49" s="39"/>
      <c r="T49" s="72" t="str">
        <f t="shared" si="18"/>
        <v/>
      </c>
      <c r="U49" s="39"/>
      <c r="V49" s="72" t="str">
        <f t="shared" si="39"/>
        <v/>
      </c>
      <c r="W49" s="72" t="str">
        <f t="shared" si="19"/>
        <v/>
      </c>
      <c r="X49" s="39"/>
      <c r="Y49" s="72" t="str">
        <f t="shared" si="40"/>
        <v/>
      </c>
      <c r="Z49" s="72" t="str">
        <f t="shared" si="20"/>
        <v/>
      </c>
      <c r="AA49" s="39"/>
      <c r="AB49" s="72" t="str">
        <f t="shared" si="4"/>
        <v/>
      </c>
      <c r="AC49" s="72" t="str">
        <f t="shared" si="21"/>
        <v/>
      </c>
      <c r="AD49" s="39"/>
      <c r="AE49" s="72" t="str">
        <f t="shared" si="41"/>
        <v/>
      </c>
      <c r="AF49" s="72" t="str">
        <f t="shared" si="22"/>
        <v/>
      </c>
      <c r="AG49" s="39"/>
      <c r="AH49" s="72" t="str">
        <f t="shared" si="42"/>
        <v/>
      </c>
      <c r="AI49" s="72" t="str">
        <f t="shared" si="23"/>
        <v/>
      </c>
      <c r="AJ49" s="39"/>
      <c r="AK49" s="72" t="str">
        <f t="shared" si="43"/>
        <v/>
      </c>
      <c r="AL49" s="72" t="str">
        <f t="shared" si="24"/>
        <v/>
      </c>
      <c r="AM49" s="39"/>
      <c r="AN49" s="72" t="str">
        <f t="shared" si="44"/>
        <v/>
      </c>
      <c r="AO49" s="72" t="str">
        <f t="shared" si="25"/>
        <v/>
      </c>
      <c r="AP49" s="39"/>
      <c r="AQ49" s="72" t="str">
        <f t="shared" si="45"/>
        <v/>
      </c>
      <c r="AR49" s="72" t="str">
        <f t="shared" si="26"/>
        <v/>
      </c>
      <c r="AS49" s="39"/>
      <c r="AT49" s="40" t="str">
        <f>IF($K49&lt;=$F$15,IF($F$40&lt;&gt;"",$F$40/1000,IF(ISERROR(VLOOKUP($F$3&amp;IF($G$4&lt;&gt;"",$G$4,"")&amp;IF($F$43&lt;&gt;"","_"&amp;$F$43,""),'表3）燃料価格'!$AF$9:$AG$25,2,0)),0,VLOOKUP($I49,'表3）燃料価格'!$A$6:$U$66,VLOOKUP($F$3&amp;IF($G$4&lt;&gt;"",$G$4,"")&amp;IF($F$43&lt;&gt;"","_"&amp;$F$43,""),'表3）燃料価格'!$AF$9:$AG$25,2,0)+VLOOKUP($F$41,'表3）燃料価格'!$AF$28:$AG$29,2,0),0)*IF($F$43="需要地価格",1,$F$8/$F$141))),"")</f>
        <v/>
      </c>
      <c r="AU49" s="39"/>
      <c r="AV49" s="72" t="str">
        <f t="shared" si="46"/>
        <v/>
      </c>
      <c r="AW49" s="72" t="str">
        <f t="shared" si="27"/>
        <v/>
      </c>
      <c r="AX49" s="39"/>
      <c r="AY49" s="40" t="str">
        <f>IF(ISERROR(IF($K49&lt;=$F$15,VLOOKUP($I49,'表4）CO2価格'!$A$7:$E$67,VLOOKUP($F$48,'表4）CO2価格'!$H$10:$I$12,2,0),0)*$F$8/1000,"")),0,IF($K49&lt;=$F$15,VLOOKUP($I49,'表4）CO2価格'!$A$7:$E$67,VLOOKUP($F$48,'表4）CO2価格'!$H$10:$I$12,2,0),0)*$F$8/1000,""))</f>
        <v/>
      </c>
      <c r="AZ49" s="39"/>
      <c r="BA49" s="42" t="str">
        <f t="shared" si="47"/>
        <v/>
      </c>
      <c r="BB49" s="72" t="str">
        <f t="shared" si="28"/>
        <v/>
      </c>
      <c r="BC49" s="39"/>
      <c r="BD49" s="72" t="str">
        <f t="shared" si="48"/>
        <v/>
      </c>
      <c r="BE49" s="72" t="str">
        <f t="shared" si="29"/>
        <v/>
      </c>
      <c r="BF49" s="39"/>
      <c r="BG49" s="42" t="str">
        <f t="shared" si="49"/>
        <v/>
      </c>
      <c r="BH49" s="72" t="str">
        <f t="shared" si="30"/>
        <v/>
      </c>
      <c r="BI49" s="39"/>
      <c r="BJ49" s="40" t="str">
        <f t="shared" si="31"/>
        <v/>
      </c>
      <c r="BK49" s="157" t="str">
        <f t="shared" si="32"/>
        <v/>
      </c>
      <c r="BL49" s="157" t="str">
        <f t="shared" si="14"/>
        <v/>
      </c>
      <c r="BM49" s="72"/>
      <c r="BN49" s="72" t="str">
        <f t="shared" si="33"/>
        <v/>
      </c>
      <c r="BO49" s="72" t="str">
        <f t="shared" si="34"/>
        <v/>
      </c>
      <c r="BP49" s="39"/>
      <c r="BQ49" s="72" t="str">
        <f t="shared" si="50"/>
        <v/>
      </c>
      <c r="BR49" s="72" t="str">
        <f t="shared" si="35"/>
        <v/>
      </c>
    </row>
    <row r="50" spans="3:70" x14ac:dyDescent="0.15">
      <c r="C50" s="4" t="s">
        <v>579</v>
      </c>
      <c r="D50" s="100"/>
      <c r="E50" s="100"/>
      <c r="F50" s="4"/>
      <c r="G50" s="100"/>
      <c r="I50" s="457">
        <f t="shared" si="36"/>
        <v>2055</v>
      </c>
      <c r="K50" s="71">
        <f t="shared" si="37"/>
        <v>36</v>
      </c>
      <c r="L50" s="71"/>
      <c r="M50" s="7">
        <f t="shared" si="0"/>
        <v>0.34503242505668674</v>
      </c>
      <c r="N50" s="71"/>
      <c r="O50" s="10" t="str">
        <f t="shared" si="16"/>
        <v/>
      </c>
      <c r="P50" s="29" t="str">
        <f t="shared" si="38"/>
        <v/>
      </c>
      <c r="Q50" s="71"/>
      <c r="R50" s="10" t="str">
        <f t="shared" si="51"/>
        <v/>
      </c>
      <c r="S50" s="71"/>
      <c r="T50" s="10" t="str">
        <f t="shared" si="18"/>
        <v/>
      </c>
      <c r="U50" s="71"/>
      <c r="V50" s="10" t="str">
        <f t="shared" si="39"/>
        <v/>
      </c>
      <c r="W50" s="10" t="str">
        <f t="shared" si="19"/>
        <v/>
      </c>
      <c r="X50" s="71"/>
      <c r="Y50" s="10" t="str">
        <f t="shared" si="40"/>
        <v/>
      </c>
      <c r="Z50" s="10" t="str">
        <f t="shared" si="20"/>
        <v/>
      </c>
      <c r="AA50" s="71"/>
      <c r="AB50" s="10" t="str">
        <f t="shared" si="4"/>
        <v/>
      </c>
      <c r="AC50" s="10" t="str">
        <f t="shared" si="21"/>
        <v/>
      </c>
      <c r="AD50" s="71"/>
      <c r="AE50" s="10" t="str">
        <f t="shared" si="41"/>
        <v/>
      </c>
      <c r="AF50" s="10" t="str">
        <f t="shared" si="22"/>
        <v/>
      </c>
      <c r="AG50" s="71"/>
      <c r="AH50" s="10" t="str">
        <f t="shared" si="42"/>
        <v/>
      </c>
      <c r="AI50" s="10" t="str">
        <f t="shared" si="23"/>
        <v/>
      </c>
      <c r="AJ50" s="71"/>
      <c r="AK50" s="10" t="str">
        <f t="shared" si="43"/>
        <v/>
      </c>
      <c r="AL50" s="10" t="str">
        <f t="shared" si="24"/>
        <v/>
      </c>
      <c r="AM50" s="71"/>
      <c r="AN50" s="10" t="str">
        <f t="shared" si="44"/>
        <v/>
      </c>
      <c r="AO50" s="10" t="str">
        <f t="shared" si="25"/>
        <v/>
      </c>
      <c r="AP50" s="71"/>
      <c r="AQ50" s="10" t="str">
        <f t="shared" si="45"/>
        <v/>
      </c>
      <c r="AR50" s="10" t="str">
        <f t="shared" si="26"/>
        <v/>
      </c>
      <c r="AS50" s="71"/>
      <c r="AT50" s="7" t="str">
        <f>IF($K50&lt;=$F$15,IF($F$40&lt;&gt;"",$F$40/1000,IF(ISERROR(VLOOKUP($F$3&amp;IF($G$4&lt;&gt;"",$G$4,"")&amp;IF($F$43&lt;&gt;"","_"&amp;$F$43,""),'表3）燃料価格'!$AF$9:$AG$25,2,0)),0,VLOOKUP($I50,'表3）燃料価格'!$A$6:$U$66,VLOOKUP($F$3&amp;IF($G$4&lt;&gt;"",$G$4,"")&amp;IF($F$43&lt;&gt;"","_"&amp;$F$43,""),'表3）燃料価格'!$AF$9:$AG$25,2,0)+VLOOKUP($F$41,'表3）燃料価格'!$AF$28:$AG$29,2,0),0)*IF($F$43="需要地価格",1,$F$8/$F$141))),"")</f>
        <v/>
      </c>
      <c r="AU50" s="71"/>
      <c r="AV50" s="10" t="str">
        <f t="shared" si="46"/>
        <v/>
      </c>
      <c r="AW50" s="10" t="str">
        <f t="shared" si="27"/>
        <v/>
      </c>
      <c r="AX50" s="71"/>
      <c r="AY50" s="7" t="str">
        <f>IF(ISERROR(IF($K50&lt;=$F$15,VLOOKUP($I50,'表4）CO2価格'!$A$7:$E$67,VLOOKUP($F$48,'表4）CO2価格'!$H$10:$I$12,2,0),0)*$F$8/1000,"")),0,IF($K50&lt;=$F$15,VLOOKUP($I50,'表4）CO2価格'!$A$7:$E$67,VLOOKUP($F$48,'表4）CO2価格'!$H$10:$I$12,2,0),0)*$F$8/1000,""))</f>
        <v/>
      </c>
      <c r="AZ50" s="71"/>
      <c r="BA50" s="11" t="str">
        <f t="shared" si="47"/>
        <v/>
      </c>
      <c r="BB50" s="10" t="str">
        <f t="shared" si="28"/>
        <v/>
      </c>
      <c r="BC50" s="71"/>
      <c r="BD50" s="10" t="str">
        <f t="shared" si="48"/>
        <v/>
      </c>
      <c r="BE50" s="10" t="str">
        <f t="shared" si="29"/>
        <v/>
      </c>
      <c r="BF50" s="71"/>
      <c r="BG50" s="11" t="str">
        <f t="shared" si="49"/>
        <v/>
      </c>
      <c r="BH50" s="10" t="str">
        <f t="shared" si="30"/>
        <v/>
      </c>
      <c r="BJ50" s="7" t="str">
        <f t="shared" si="31"/>
        <v/>
      </c>
      <c r="BK50" s="158" t="str">
        <f t="shared" si="32"/>
        <v/>
      </c>
      <c r="BL50" s="158" t="str">
        <f t="shared" si="14"/>
        <v/>
      </c>
      <c r="BM50" s="10"/>
      <c r="BN50" s="10" t="str">
        <f t="shared" si="33"/>
        <v/>
      </c>
      <c r="BO50" s="10" t="str">
        <f t="shared" si="34"/>
        <v/>
      </c>
      <c r="BQ50" s="10" t="str">
        <f t="shared" si="50"/>
        <v/>
      </c>
      <c r="BR50" s="10" t="str">
        <f t="shared" si="35"/>
        <v/>
      </c>
    </row>
    <row r="51" spans="3:70" x14ac:dyDescent="0.15">
      <c r="I51" s="38">
        <f t="shared" si="36"/>
        <v>2056</v>
      </c>
      <c r="J51" s="39"/>
      <c r="K51" s="39">
        <f t="shared" si="37"/>
        <v>37</v>
      </c>
      <c r="L51" s="39"/>
      <c r="M51" s="40">
        <f t="shared" si="0"/>
        <v>0.33498293694823961</v>
      </c>
      <c r="N51" s="39"/>
      <c r="O51" s="72" t="str">
        <f t="shared" si="16"/>
        <v/>
      </c>
      <c r="P51" s="41" t="str">
        <f t="shared" si="38"/>
        <v/>
      </c>
      <c r="Q51" s="39"/>
      <c r="R51" s="72" t="str">
        <f t="shared" si="51"/>
        <v/>
      </c>
      <c r="S51" s="39"/>
      <c r="T51" s="72" t="str">
        <f t="shared" si="18"/>
        <v/>
      </c>
      <c r="U51" s="39"/>
      <c r="V51" s="72" t="str">
        <f t="shared" si="39"/>
        <v/>
      </c>
      <c r="W51" s="72" t="str">
        <f t="shared" si="19"/>
        <v/>
      </c>
      <c r="X51" s="39"/>
      <c r="Y51" s="72" t="str">
        <f t="shared" si="40"/>
        <v/>
      </c>
      <c r="Z51" s="72" t="str">
        <f t="shared" si="20"/>
        <v/>
      </c>
      <c r="AA51" s="39"/>
      <c r="AB51" s="72" t="str">
        <f t="shared" si="4"/>
        <v/>
      </c>
      <c r="AC51" s="72" t="str">
        <f t="shared" si="21"/>
        <v/>
      </c>
      <c r="AD51" s="39"/>
      <c r="AE51" s="72" t="str">
        <f t="shared" si="41"/>
        <v/>
      </c>
      <c r="AF51" s="72" t="str">
        <f t="shared" si="22"/>
        <v/>
      </c>
      <c r="AG51" s="39"/>
      <c r="AH51" s="72" t="str">
        <f t="shared" si="42"/>
        <v/>
      </c>
      <c r="AI51" s="72" t="str">
        <f t="shared" si="23"/>
        <v/>
      </c>
      <c r="AJ51" s="39"/>
      <c r="AK51" s="72" t="str">
        <f t="shared" si="43"/>
        <v/>
      </c>
      <c r="AL51" s="72" t="str">
        <f t="shared" si="24"/>
        <v/>
      </c>
      <c r="AM51" s="39"/>
      <c r="AN51" s="72" t="str">
        <f t="shared" si="44"/>
        <v/>
      </c>
      <c r="AO51" s="72" t="str">
        <f t="shared" si="25"/>
        <v/>
      </c>
      <c r="AP51" s="39"/>
      <c r="AQ51" s="72" t="str">
        <f t="shared" si="45"/>
        <v/>
      </c>
      <c r="AR51" s="72" t="str">
        <f t="shared" si="26"/>
        <v/>
      </c>
      <c r="AS51" s="39"/>
      <c r="AT51" s="40" t="str">
        <f>IF($K51&lt;=$F$15,IF($F$40&lt;&gt;"",$F$40/1000,IF(ISERROR(VLOOKUP($F$3&amp;IF($G$4&lt;&gt;"",$G$4,"")&amp;IF($F$43&lt;&gt;"","_"&amp;$F$43,""),'表3）燃料価格'!$AF$9:$AG$25,2,0)),0,VLOOKUP($I51,'表3）燃料価格'!$A$6:$U$66,VLOOKUP($F$3&amp;IF($G$4&lt;&gt;"",$G$4,"")&amp;IF($F$43&lt;&gt;"","_"&amp;$F$43,""),'表3）燃料価格'!$AF$9:$AG$25,2,0)+VLOOKUP($F$41,'表3）燃料価格'!$AF$28:$AG$29,2,0),0)*IF($F$43="需要地価格",1,$F$8/$F$141))),"")</f>
        <v/>
      </c>
      <c r="AU51" s="39"/>
      <c r="AV51" s="72" t="str">
        <f t="shared" si="46"/>
        <v/>
      </c>
      <c r="AW51" s="72" t="str">
        <f t="shared" si="27"/>
        <v/>
      </c>
      <c r="AX51" s="39"/>
      <c r="AY51" s="40" t="str">
        <f>IF(ISERROR(IF($K51&lt;=$F$15,VLOOKUP($I51,'表4）CO2価格'!$A$7:$E$67,VLOOKUP($F$48,'表4）CO2価格'!$H$10:$I$12,2,0),0)*$F$8/1000,"")),0,IF($K51&lt;=$F$15,VLOOKUP($I51,'表4）CO2価格'!$A$7:$E$67,VLOOKUP($F$48,'表4）CO2価格'!$H$10:$I$12,2,0),0)*$F$8/1000,""))</f>
        <v/>
      </c>
      <c r="AZ51" s="39"/>
      <c r="BA51" s="42" t="str">
        <f t="shared" si="47"/>
        <v/>
      </c>
      <c r="BB51" s="72" t="str">
        <f t="shared" si="28"/>
        <v/>
      </c>
      <c r="BC51" s="39"/>
      <c r="BD51" s="72" t="str">
        <f t="shared" si="48"/>
        <v/>
      </c>
      <c r="BE51" s="72" t="str">
        <f t="shared" si="29"/>
        <v/>
      </c>
      <c r="BF51" s="39"/>
      <c r="BG51" s="42" t="str">
        <f t="shared" si="49"/>
        <v/>
      </c>
      <c r="BH51" s="72" t="str">
        <f t="shared" si="30"/>
        <v/>
      </c>
      <c r="BI51" s="39"/>
      <c r="BJ51" s="40" t="str">
        <f t="shared" si="31"/>
        <v/>
      </c>
      <c r="BK51" s="157" t="str">
        <f t="shared" si="32"/>
        <v/>
      </c>
      <c r="BL51" s="157" t="str">
        <f t="shared" si="14"/>
        <v/>
      </c>
      <c r="BM51" s="72"/>
      <c r="BN51" s="72" t="str">
        <f t="shared" si="33"/>
        <v/>
      </c>
      <c r="BO51" s="72" t="str">
        <f t="shared" si="34"/>
        <v/>
      </c>
      <c r="BP51" s="39"/>
      <c r="BQ51" s="72" t="str">
        <f t="shared" si="50"/>
        <v/>
      </c>
      <c r="BR51" s="72" t="str">
        <f t="shared" si="35"/>
        <v/>
      </c>
    </row>
    <row r="52" spans="3:70" x14ac:dyDescent="0.15">
      <c r="D52" s="84" t="s">
        <v>185</v>
      </c>
      <c r="F52" s="478"/>
      <c r="G52" s="84" t="s">
        <v>549</v>
      </c>
      <c r="I52" s="457">
        <f t="shared" si="36"/>
        <v>2057</v>
      </c>
      <c r="K52" s="71">
        <f t="shared" si="37"/>
        <v>38</v>
      </c>
      <c r="L52" s="71"/>
      <c r="M52" s="7">
        <f t="shared" si="0"/>
        <v>0.3252261523769317</v>
      </c>
      <c r="N52" s="71"/>
      <c r="O52" s="10" t="str">
        <f t="shared" si="16"/>
        <v/>
      </c>
      <c r="P52" s="29" t="str">
        <f t="shared" si="38"/>
        <v/>
      </c>
      <c r="Q52" s="71"/>
      <c r="R52" s="10" t="str">
        <f t="shared" si="51"/>
        <v/>
      </c>
      <c r="S52" s="71"/>
      <c r="T52" s="10" t="str">
        <f t="shared" si="18"/>
        <v/>
      </c>
      <c r="U52" s="71"/>
      <c r="V52" s="10" t="str">
        <f t="shared" si="39"/>
        <v/>
      </c>
      <c r="W52" s="10" t="str">
        <f t="shared" si="19"/>
        <v/>
      </c>
      <c r="X52" s="71"/>
      <c r="Y52" s="10" t="str">
        <f t="shared" si="40"/>
        <v/>
      </c>
      <c r="Z52" s="10" t="str">
        <f t="shared" si="20"/>
        <v/>
      </c>
      <c r="AA52" s="71"/>
      <c r="AB52" s="10" t="str">
        <f t="shared" si="4"/>
        <v/>
      </c>
      <c r="AC52" s="10" t="str">
        <f t="shared" si="21"/>
        <v/>
      </c>
      <c r="AD52" s="71"/>
      <c r="AE52" s="10" t="str">
        <f t="shared" si="41"/>
        <v/>
      </c>
      <c r="AF52" s="10" t="str">
        <f t="shared" si="22"/>
        <v/>
      </c>
      <c r="AG52" s="71"/>
      <c r="AH52" s="10" t="str">
        <f t="shared" si="42"/>
        <v/>
      </c>
      <c r="AI52" s="10" t="str">
        <f t="shared" si="23"/>
        <v/>
      </c>
      <c r="AJ52" s="71"/>
      <c r="AK52" s="10" t="str">
        <f t="shared" si="43"/>
        <v/>
      </c>
      <c r="AL52" s="10" t="str">
        <f t="shared" si="24"/>
        <v/>
      </c>
      <c r="AM52" s="71"/>
      <c r="AN52" s="10" t="str">
        <f t="shared" si="44"/>
        <v/>
      </c>
      <c r="AO52" s="10" t="str">
        <f t="shared" si="25"/>
        <v/>
      </c>
      <c r="AP52" s="71"/>
      <c r="AQ52" s="10" t="str">
        <f t="shared" si="45"/>
        <v/>
      </c>
      <c r="AR52" s="10" t="str">
        <f t="shared" si="26"/>
        <v/>
      </c>
      <c r="AS52" s="71"/>
      <c r="AT52" s="7" t="str">
        <f>IF($K52&lt;=$F$15,IF($F$40&lt;&gt;"",$F$40/1000,IF(ISERROR(VLOOKUP($F$3&amp;IF($G$4&lt;&gt;"",$G$4,"")&amp;IF($F$43&lt;&gt;"","_"&amp;$F$43,""),'表3）燃料価格'!$AF$9:$AG$25,2,0)),0,VLOOKUP($I52,'表3）燃料価格'!$A$6:$U$66,VLOOKUP($F$3&amp;IF($G$4&lt;&gt;"",$G$4,"")&amp;IF($F$43&lt;&gt;"","_"&amp;$F$43,""),'表3）燃料価格'!$AF$9:$AG$25,2,0)+VLOOKUP($F$41,'表3）燃料価格'!$AF$28:$AG$29,2,0),0)*IF($F$43="需要地価格",1,$F$8/$F$141))),"")</f>
        <v/>
      </c>
      <c r="AU52" s="71"/>
      <c r="AV52" s="10" t="str">
        <f t="shared" si="46"/>
        <v/>
      </c>
      <c r="AW52" s="10" t="str">
        <f t="shared" si="27"/>
        <v/>
      </c>
      <c r="AX52" s="71"/>
      <c r="AY52" s="7" t="str">
        <f>IF(ISERROR(IF($K52&lt;=$F$15,VLOOKUP($I52,'表4）CO2価格'!$A$7:$E$67,VLOOKUP($F$48,'表4）CO2価格'!$H$10:$I$12,2,0),0)*$F$8/1000,"")),0,IF($K52&lt;=$F$15,VLOOKUP($I52,'表4）CO2価格'!$A$7:$E$67,VLOOKUP($F$48,'表4）CO2価格'!$H$10:$I$12,2,0),0)*$F$8/1000,""))</f>
        <v/>
      </c>
      <c r="AZ52" s="71"/>
      <c r="BA52" s="11" t="str">
        <f t="shared" si="47"/>
        <v/>
      </c>
      <c r="BB52" s="10" t="str">
        <f t="shared" si="28"/>
        <v/>
      </c>
      <c r="BC52" s="71"/>
      <c r="BD52" s="10" t="str">
        <f t="shared" si="48"/>
        <v/>
      </c>
      <c r="BE52" s="10" t="str">
        <f t="shared" si="29"/>
        <v/>
      </c>
      <c r="BF52" s="71"/>
      <c r="BG52" s="11" t="str">
        <f t="shared" si="49"/>
        <v/>
      </c>
      <c r="BH52" s="10" t="str">
        <f t="shared" si="30"/>
        <v/>
      </c>
      <c r="BJ52" s="7" t="str">
        <f t="shared" si="31"/>
        <v/>
      </c>
      <c r="BK52" s="158" t="str">
        <f t="shared" si="32"/>
        <v/>
      </c>
      <c r="BL52" s="158" t="str">
        <f t="shared" si="14"/>
        <v/>
      </c>
      <c r="BM52" s="10"/>
      <c r="BN52" s="10" t="str">
        <f t="shared" si="33"/>
        <v/>
      </c>
      <c r="BO52" s="10" t="str">
        <f t="shared" si="34"/>
        <v/>
      </c>
      <c r="BQ52" s="10" t="str">
        <f t="shared" si="50"/>
        <v/>
      </c>
      <c r="BR52" s="10" t="str">
        <f t="shared" si="35"/>
        <v/>
      </c>
    </row>
    <row r="53" spans="3:70" x14ac:dyDescent="0.15">
      <c r="D53" s="84" t="s">
        <v>580</v>
      </c>
      <c r="F53" s="475"/>
      <c r="G53" s="84" t="s">
        <v>549</v>
      </c>
      <c r="I53" s="38">
        <f t="shared" si="36"/>
        <v>2058</v>
      </c>
      <c r="J53" s="39"/>
      <c r="K53" s="39">
        <f t="shared" si="37"/>
        <v>39</v>
      </c>
      <c r="L53" s="39"/>
      <c r="M53" s="40">
        <f t="shared" si="0"/>
        <v>0.31575354599702099</v>
      </c>
      <c r="N53" s="39"/>
      <c r="O53" s="72" t="str">
        <f t="shared" si="16"/>
        <v/>
      </c>
      <c r="P53" s="41" t="str">
        <f t="shared" si="38"/>
        <v/>
      </c>
      <c r="Q53" s="39"/>
      <c r="R53" s="72" t="str">
        <f t="shared" si="51"/>
        <v/>
      </c>
      <c r="S53" s="39"/>
      <c r="T53" s="72" t="str">
        <f t="shared" si="18"/>
        <v/>
      </c>
      <c r="U53" s="39"/>
      <c r="V53" s="72" t="str">
        <f t="shared" si="39"/>
        <v/>
      </c>
      <c r="W53" s="72" t="str">
        <f t="shared" si="19"/>
        <v/>
      </c>
      <c r="X53" s="39"/>
      <c r="Y53" s="72" t="str">
        <f t="shared" si="40"/>
        <v/>
      </c>
      <c r="Z53" s="72" t="str">
        <f t="shared" si="20"/>
        <v/>
      </c>
      <c r="AA53" s="39"/>
      <c r="AB53" s="72" t="str">
        <f t="shared" si="4"/>
        <v/>
      </c>
      <c r="AC53" s="72" t="str">
        <f t="shared" si="21"/>
        <v/>
      </c>
      <c r="AD53" s="39"/>
      <c r="AE53" s="72" t="str">
        <f t="shared" si="41"/>
        <v/>
      </c>
      <c r="AF53" s="72" t="str">
        <f t="shared" si="22"/>
        <v/>
      </c>
      <c r="AG53" s="39"/>
      <c r="AH53" s="72" t="str">
        <f t="shared" si="42"/>
        <v/>
      </c>
      <c r="AI53" s="72" t="str">
        <f t="shared" si="23"/>
        <v/>
      </c>
      <c r="AJ53" s="39"/>
      <c r="AK53" s="72" t="str">
        <f t="shared" si="43"/>
        <v/>
      </c>
      <c r="AL53" s="72" t="str">
        <f t="shared" si="24"/>
        <v/>
      </c>
      <c r="AM53" s="39"/>
      <c r="AN53" s="72" t="str">
        <f t="shared" si="44"/>
        <v/>
      </c>
      <c r="AO53" s="72" t="str">
        <f t="shared" si="25"/>
        <v/>
      </c>
      <c r="AP53" s="39"/>
      <c r="AQ53" s="72" t="str">
        <f t="shared" si="45"/>
        <v/>
      </c>
      <c r="AR53" s="72" t="str">
        <f t="shared" si="26"/>
        <v/>
      </c>
      <c r="AS53" s="39"/>
      <c r="AT53" s="40" t="str">
        <f>IF($K53&lt;=$F$15,IF($F$40&lt;&gt;"",$F$40/1000,IF(ISERROR(VLOOKUP($F$3&amp;IF($G$4&lt;&gt;"",$G$4,"")&amp;IF($F$43&lt;&gt;"","_"&amp;$F$43,""),'表3）燃料価格'!$AF$9:$AG$25,2,0)),0,VLOOKUP($I53,'表3）燃料価格'!$A$6:$U$66,VLOOKUP($F$3&amp;IF($G$4&lt;&gt;"",$G$4,"")&amp;IF($F$43&lt;&gt;"","_"&amp;$F$43,""),'表3）燃料価格'!$AF$9:$AG$25,2,0)+VLOOKUP($F$41,'表3）燃料価格'!$AF$28:$AG$29,2,0),0)*IF($F$43="需要地価格",1,$F$8/$F$141))),"")</f>
        <v/>
      </c>
      <c r="AU53" s="39"/>
      <c r="AV53" s="72" t="str">
        <f t="shared" si="46"/>
        <v/>
      </c>
      <c r="AW53" s="72" t="str">
        <f t="shared" si="27"/>
        <v/>
      </c>
      <c r="AX53" s="39"/>
      <c r="AY53" s="40" t="str">
        <f>IF(ISERROR(IF($K53&lt;=$F$15,VLOOKUP($I53,'表4）CO2価格'!$A$7:$E$67,VLOOKUP($F$48,'表4）CO2価格'!$H$10:$I$12,2,0),0)*$F$8/1000,"")),0,IF($K53&lt;=$F$15,VLOOKUP($I53,'表4）CO2価格'!$A$7:$E$67,VLOOKUP($F$48,'表4）CO2価格'!$H$10:$I$12,2,0),0)*$F$8/1000,""))</f>
        <v/>
      </c>
      <c r="AZ53" s="39"/>
      <c r="BA53" s="42" t="str">
        <f t="shared" si="47"/>
        <v/>
      </c>
      <c r="BB53" s="72" t="str">
        <f t="shared" si="28"/>
        <v/>
      </c>
      <c r="BC53" s="39"/>
      <c r="BD53" s="72" t="str">
        <f t="shared" si="48"/>
        <v/>
      </c>
      <c r="BE53" s="72" t="str">
        <f t="shared" si="29"/>
        <v/>
      </c>
      <c r="BF53" s="39"/>
      <c r="BG53" s="42" t="str">
        <f t="shared" si="49"/>
        <v/>
      </c>
      <c r="BH53" s="72" t="str">
        <f t="shared" si="30"/>
        <v/>
      </c>
      <c r="BI53" s="39"/>
      <c r="BJ53" s="40" t="str">
        <f t="shared" si="31"/>
        <v/>
      </c>
      <c r="BK53" s="157" t="str">
        <f t="shared" si="32"/>
        <v/>
      </c>
      <c r="BL53" s="157" t="str">
        <f t="shared" si="14"/>
        <v/>
      </c>
      <c r="BM53" s="72"/>
      <c r="BN53" s="72" t="str">
        <f t="shared" si="33"/>
        <v/>
      </c>
      <c r="BO53" s="72" t="str">
        <f t="shared" si="34"/>
        <v/>
      </c>
      <c r="BP53" s="39"/>
      <c r="BQ53" s="72" t="str">
        <f t="shared" si="50"/>
        <v/>
      </c>
      <c r="BR53" s="72" t="str">
        <f t="shared" si="35"/>
        <v/>
      </c>
    </row>
    <row r="54" spans="3:70" x14ac:dyDescent="0.15">
      <c r="D54" s="84" t="s">
        <v>581</v>
      </c>
      <c r="F54" s="475"/>
      <c r="G54" s="84" t="s">
        <v>549</v>
      </c>
      <c r="I54" s="457">
        <f t="shared" si="36"/>
        <v>2059</v>
      </c>
      <c r="K54" s="71">
        <f t="shared" si="37"/>
        <v>40</v>
      </c>
      <c r="L54" s="71"/>
      <c r="M54" s="7">
        <f t="shared" si="0"/>
        <v>0.30655684077380685</v>
      </c>
      <c r="N54" s="71"/>
      <c r="O54" s="10" t="str">
        <f t="shared" si="16"/>
        <v/>
      </c>
      <c r="P54" s="29" t="str">
        <f t="shared" si="38"/>
        <v/>
      </c>
      <c r="Q54" s="71"/>
      <c r="R54" s="10" t="str">
        <f t="shared" si="51"/>
        <v/>
      </c>
      <c r="S54" s="71"/>
      <c r="T54" s="10" t="str">
        <f t="shared" si="18"/>
        <v/>
      </c>
      <c r="U54" s="71"/>
      <c r="V54" s="10" t="str">
        <f t="shared" si="39"/>
        <v/>
      </c>
      <c r="W54" s="10" t="str">
        <f t="shared" si="19"/>
        <v/>
      </c>
      <c r="X54" s="71"/>
      <c r="Y54" s="10" t="str">
        <f t="shared" si="40"/>
        <v/>
      </c>
      <c r="Z54" s="10" t="str">
        <f t="shared" si="20"/>
        <v/>
      </c>
      <c r="AA54" s="71"/>
      <c r="AB54" s="10" t="str">
        <f t="shared" si="4"/>
        <v/>
      </c>
      <c r="AC54" s="10" t="str">
        <f t="shared" si="21"/>
        <v/>
      </c>
      <c r="AD54" s="71"/>
      <c r="AE54" s="10" t="str">
        <f t="shared" si="41"/>
        <v/>
      </c>
      <c r="AF54" s="10" t="str">
        <f t="shared" si="22"/>
        <v/>
      </c>
      <c r="AG54" s="71"/>
      <c r="AH54" s="10" t="str">
        <f t="shared" si="42"/>
        <v/>
      </c>
      <c r="AI54" s="10" t="str">
        <f t="shared" si="23"/>
        <v/>
      </c>
      <c r="AJ54" s="71"/>
      <c r="AK54" s="10" t="str">
        <f t="shared" si="43"/>
        <v/>
      </c>
      <c r="AL54" s="10" t="str">
        <f t="shared" si="24"/>
        <v/>
      </c>
      <c r="AM54" s="71"/>
      <c r="AN54" s="10" t="str">
        <f t="shared" si="44"/>
        <v/>
      </c>
      <c r="AO54" s="10" t="str">
        <f t="shared" si="25"/>
        <v/>
      </c>
      <c r="AP54" s="71"/>
      <c r="AQ54" s="10" t="str">
        <f t="shared" si="45"/>
        <v/>
      </c>
      <c r="AR54" s="10" t="str">
        <f t="shared" si="26"/>
        <v/>
      </c>
      <c r="AS54" s="71"/>
      <c r="AT54" s="7" t="str">
        <f>IF($K54&lt;=$F$15,IF($F$40&lt;&gt;"",$F$40/1000,IF(ISERROR(VLOOKUP($F$3&amp;IF($G$4&lt;&gt;"",$G$4,"")&amp;IF($F$43&lt;&gt;"","_"&amp;$F$43,""),'表3）燃料価格'!$AF$9:$AG$25,2,0)),0,VLOOKUP($I54,'表3）燃料価格'!$A$6:$U$66,VLOOKUP($F$3&amp;IF($G$4&lt;&gt;"",$G$4,"")&amp;IF($F$43&lt;&gt;"","_"&amp;$F$43,""),'表3）燃料価格'!$AF$9:$AG$25,2,0)+VLOOKUP($F$41,'表3）燃料価格'!$AF$28:$AG$29,2,0),0)*IF($F$43="需要地価格",1,$F$8/$F$141))),"")</f>
        <v/>
      </c>
      <c r="AU54" s="71"/>
      <c r="AV54" s="10" t="str">
        <f t="shared" si="46"/>
        <v/>
      </c>
      <c r="AW54" s="10" t="str">
        <f t="shared" si="27"/>
        <v/>
      </c>
      <c r="AX54" s="71"/>
      <c r="AY54" s="7" t="str">
        <f>IF(ISERROR(IF($K54&lt;=$F$15,VLOOKUP($I54,'表4）CO2価格'!$A$7:$E$67,VLOOKUP($F$48,'表4）CO2価格'!$H$10:$I$12,2,0),0)*$F$8/1000,"")),0,IF($K54&lt;=$F$15,VLOOKUP($I54,'表4）CO2価格'!$A$7:$E$67,VLOOKUP($F$48,'表4）CO2価格'!$H$10:$I$12,2,0),0)*$F$8/1000,""))</f>
        <v/>
      </c>
      <c r="AZ54" s="71"/>
      <c r="BA54" s="11" t="str">
        <f t="shared" si="47"/>
        <v/>
      </c>
      <c r="BB54" s="10" t="str">
        <f t="shared" si="28"/>
        <v/>
      </c>
      <c r="BC54" s="71"/>
      <c r="BD54" s="10" t="str">
        <f t="shared" si="48"/>
        <v/>
      </c>
      <c r="BE54" s="10" t="str">
        <f t="shared" si="29"/>
        <v/>
      </c>
      <c r="BF54" s="71"/>
      <c r="BG54" s="11" t="str">
        <f t="shared" si="49"/>
        <v/>
      </c>
      <c r="BH54" s="10" t="str">
        <f t="shared" si="30"/>
        <v/>
      </c>
      <c r="BJ54" s="7" t="str">
        <f t="shared" si="31"/>
        <v/>
      </c>
      <c r="BK54" s="158" t="str">
        <f t="shared" si="32"/>
        <v/>
      </c>
      <c r="BL54" s="158" t="str">
        <f t="shared" si="14"/>
        <v/>
      </c>
      <c r="BM54" s="10"/>
      <c r="BN54" s="10" t="str">
        <f t="shared" si="33"/>
        <v/>
      </c>
      <c r="BO54" s="10" t="str">
        <f t="shared" si="34"/>
        <v/>
      </c>
      <c r="BQ54" s="10" t="str">
        <f t="shared" si="50"/>
        <v/>
      </c>
      <c r="BR54" s="10" t="str">
        <f t="shared" si="35"/>
        <v/>
      </c>
    </row>
    <row r="55" spans="3:70" ht="16.5" x14ac:dyDescent="0.15">
      <c r="D55" s="84" t="s">
        <v>582</v>
      </c>
      <c r="F55" s="475"/>
      <c r="G55" s="71" t="s">
        <v>561</v>
      </c>
      <c r="I55" s="38">
        <f>I54+1</f>
        <v>2060</v>
      </c>
      <c r="J55" s="39"/>
      <c r="K55" s="39">
        <f>IF(I55&lt;&gt;"",K54+1,"")</f>
        <v>41</v>
      </c>
      <c r="L55" s="39"/>
      <c r="M55" s="40">
        <f t="shared" si="0"/>
        <v>0.29762800075126877</v>
      </c>
      <c r="N55" s="39"/>
      <c r="O55" s="72" t="str">
        <f t="shared" si="16"/>
        <v/>
      </c>
      <c r="P55" s="41" t="str">
        <f t="shared" si="38"/>
        <v/>
      </c>
      <c r="Q55" s="39"/>
      <c r="R55" s="72" t="str">
        <f t="shared" si="51"/>
        <v/>
      </c>
      <c r="S55" s="39"/>
      <c r="T55" s="72" t="str">
        <f t="shared" si="18"/>
        <v/>
      </c>
      <c r="U55" s="39"/>
      <c r="V55" s="72" t="str">
        <f t="shared" si="39"/>
        <v/>
      </c>
      <c r="W55" s="72" t="str">
        <f t="shared" si="19"/>
        <v/>
      </c>
      <c r="X55" s="39"/>
      <c r="Y55" s="72" t="str">
        <f t="shared" si="40"/>
        <v/>
      </c>
      <c r="Z55" s="72" t="str">
        <f t="shared" si="20"/>
        <v/>
      </c>
      <c r="AA55" s="39"/>
      <c r="AB55" s="72" t="str">
        <f t="shared" si="4"/>
        <v/>
      </c>
      <c r="AC55" s="72" t="str">
        <f t="shared" si="21"/>
        <v/>
      </c>
      <c r="AD55" s="39"/>
      <c r="AE55" s="72" t="str">
        <f t="shared" si="41"/>
        <v/>
      </c>
      <c r="AF55" s="72" t="str">
        <f t="shared" si="22"/>
        <v/>
      </c>
      <c r="AG55" s="39"/>
      <c r="AH55" s="72" t="str">
        <f t="shared" si="42"/>
        <v/>
      </c>
      <c r="AI55" s="72" t="str">
        <f t="shared" si="23"/>
        <v/>
      </c>
      <c r="AJ55" s="39"/>
      <c r="AK55" s="72" t="str">
        <f t="shared" si="43"/>
        <v/>
      </c>
      <c r="AL55" s="72" t="str">
        <f t="shared" si="24"/>
        <v/>
      </c>
      <c r="AM55" s="39"/>
      <c r="AN55" s="72" t="str">
        <f t="shared" si="44"/>
        <v/>
      </c>
      <c r="AO55" s="72" t="str">
        <f t="shared" si="25"/>
        <v/>
      </c>
      <c r="AP55" s="39"/>
      <c r="AQ55" s="72" t="str">
        <f t="shared" si="45"/>
        <v/>
      </c>
      <c r="AR55" s="72" t="str">
        <f t="shared" si="26"/>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46"/>
        <v/>
      </c>
      <c r="AW55" s="72" t="str">
        <f t="shared" si="27"/>
        <v/>
      </c>
      <c r="AX55" s="39"/>
      <c r="AY55" s="40" t="str">
        <f>IF(ISERROR(IF($K55&lt;=$F$15,VLOOKUP($I55,'表4）CO2価格'!$A$7:$E$67,VLOOKUP($F$48,'表4）CO2価格'!$H$10:$I$12,2,0),0)*$F$8/1000,"")),0,IF($K55&lt;=$F$15,VLOOKUP($I55,'表4）CO2価格'!$A$7:$E$67,VLOOKUP($F$48,'表4）CO2価格'!$H$10:$I$12,2,0),0)*$F$8/1000,""))</f>
        <v/>
      </c>
      <c r="AZ55" s="39"/>
      <c r="BA55" s="42" t="str">
        <f t="shared" si="47"/>
        <v/>
      </c>
      <c r="BB55" s="72" t="str">
        <f t="shared" si="28"/>
        <v/>
      </c>
      <c r="BC55" s="39"/>
      <c r="BD55" s="72" t="str">
        <f t="shared" si="48"/>
        <v/>
      </c>
      <c r="BE55" s="72" t="str">
        <f t="shared" si="29"/>
        <v/>
      </c>
      <c r="BF55" s="39"/>
      <c r="BG55" s="42" t="str">
        <f t="shared" si="49"/>
        <v/>
      </c>
      <c r="BH55" s="72" t="str">
        <f t="shared" si="30"/>
        <v/>
      </c>
      <c r="BI55" s="39"/>
      <c r="BJ55" s="40" t="str">
        <f t="shared" si="31"/>
        <v/>
      </c>
      <c r="BK55" s="157" t="str">
        <f t="shared" si="32"/>
        <v/>
      </c>
      <c r="BL55" s="157" t="str">
        <f t="shared" si="14"/>
        <v/>
      </c>
      <c r="BM55" s="72"/>
      <c r="BN55" s="72" t="str">
        <f t="shared" si="33"/>
        <v/>
      </c>
      <c r="BO55" s="72" t="str">
        <f t="shared" si="34"/>
        <v/>
      </c>
      <c r="BP55" s="39"/>
      <c r="BQ55" s="72" t="str">
        <f t="shared" si="50"/>
        <v/>
      </c>
      <c r="BR55" s="72" t="str">
        <f t="shared" si="35"/>
        <v/>
      </c>
    </row>
    <row r="56" spans="3:70" x14ac:dyDescent="0.15">
      <c r="D56" s="84" t="s">
        <v>583</v>
      </c>
      <c r="F56" s="481"/>
      <c r="G56" s="84" t="s">
        <v>574</v>
      </c>
      <c r="I56" s="457">
        <f t="shared" si="36"/>
        <v>2061</v>
      </c>
      <c r="K56" s="71">
        <f t="shared" si="37"/>
        <v>42</v>
      </c>
      <c r="L56" s="71"/>
      <c r="M56" s="7">
        <f t="shared" si="0"/>
        <v>0.28895922403035801</v>
      </c>
      <c r="N56" s="71"/>
      <c r="O56" s="10" t="str">
        <f t="shared" si="16"/>
        <v/>
      </c>
      <c r="P56" s="29" t="str">
        <f t="shared" si="38"/>
        <v/>
      </c>
      <c r="Q56" s="71"/>
      <c r="R56" s="10" t="str">
        <f t="shared" si="51"/>
        <v/>
      </c>
      <c r="S56" s="71"/>
      <c r="T56" s="10" t="str">
        <f t="shared" si="18"/>
        <v/>
      </c>
      <c r="U56" s="71"/>
      <c r="V56" s="10" t="str">
        <f t="shared" si="39"/>
        <v/>
      </c>
      <c r="W56" s="10" t="str">
        <f t="shared" si="19"/>
        <v/>
      </c>
      <c r="X56" s="71"/>
      <c r="Y56" s="10" t="str">
        <f t="shared" si="40"/>
        <v/>
      </c>
      <c r="Z56" s="10" t="str">
        <f t="shared" si="20"/>
        <v/>
      </c>
      <c r="AA56" s="71"/>
      <c r="AB56" s="10" t="str">
        <f t="shared" si="4"/>
        <v/>
      </c>
      <c r="AC56" s="10" t="str">
        <f t="shared" si="21"/>
        <v/>
      </c>
      <c r="AD56" s="71"/>
      <c r="AE56" s="10" t="str">
        <f t="shared" si="41"/>
        <v/>
      </c>
      <c r="AF56" s="10" t="str">
        <f t="shared" si="22"/>
        <v/>
      </c>
      <c r="AG56" s="71"/>
      <c r="AH56" s="10" t="str">
        <f t="shared" si="42"/>
        <v/>
      </c>
      <c r="AI56" s="10" t="str">
        <f t="shared" si="23"/>
        <v/>
      </c>
      <c r="AJ56" s="71"/>
      <c r="AK56" s="10" t="str">
        <f t="shared" si="43"/>
        <v/>
      </c>
      <c r="AL56" s="10" t="str">
        <f t="shared" si="24"/>
        <v/>
      </c>
      <c r="AM56" s="71"/>
      <c r="AN56" s="10" t="str">
        <f t="shared" si="44"/>
        <v/>
      </c>
      <c r="AO56" s="10" t="str">
        <f t="shared" si="25"/>
        <v/>
      </c>
      <c r="AP56" s="71"/>
      <c r="AQ56" s="10" t="str">
        <f t="shared" si="45"/>
        <v/>
      </c>
      <c r="AR56" s="10" t="str">
        <f t="shared" si="26"/>
        <v/>
      </c>
      <c r="AS56" s="71"/>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U56" s="71"/>
      <c r="AV56" s="10" t="str">
        <f t="shared" si="46"/>
        <v/>
      </c>
      <c r="AW56" s="10" t="str">
        <f t="shared" si="27"/>
        <v/>
      </c>
      <c r="AX56" s="71"/>
      <c r="AY56" s="7" t="str">
        <f>IF(ISERROR(IF($K56&lt;=$F$15,VLOOKUP($I56,'表4）CO2価格'!$A$7:$E$67,VLOOKUP($F$48,'表4）CO2価格'!$H$10:$I$12,2,0),0)*$F$8/1000,"")),0,IF($K56&lt;=$F$15,VLOOKUP($I56,'表4）CO2価格'!$A$7:$E$67,VLOOKUP($F$48,'表4）CO2価格'!$H$10:$I$12,2,0),0)*$F$8/1000,""))</f>
        <v/>
      </c>
      <c r="AZ56" s="71"/>
      <c r="BA56" s="11" t="str">
        <f t="shared" si="47"/>
        <v/>
      </c>
      <c r="BB56" s="10" t="str">
        <f t="shared" si="28"/>
        <v/>
      </c>
      <c r="BC56" s="71"/>
      <c r="BD56" s="10" t="str">
        <f t="shared" si="48"/>
        <v/>
      </c>
      <c r="BE56" s="10" t="str">
        <f t="shared" si="29"/>
        <v/>
      </c>
      <c r="BF56" s="71"/>
      <c r="BG56" s="11" t="str">
        <f t="shared" si="49"/>
        <v/>
      </c>
      <c r="BH56" s="10" t="str">
        <f t="shared" si="30"/>
        <v/>
      </c>
      <c r="BJ56" s="7" t="str">
        <f t="shared" si="31"/>
        <v/>
      </c>
      <c r="BK56" s="158" t="str">
        <f t="shared" si="32"/>
        <v/>
      </c>
      <c r="BL56" s="158" t="str">
        <f t="shared" si="14"/>
        <v/>
      </c>
      <c r="BM56" s="10"/>
      <c r="BN56" s="10" t="str">
        <f t="shared" si="33"/>
        <v/>
      </c>
      <c r="BO56" s="10" t="str">
        <f t="shared" si="34"/>
        <v/>
      </c>
      <c r="BQ56" s="10" t="str">
        <f t="shared" si="50"/>
        <v/>
      </c>
      <c r="BR56" s="10" t="str">
        <f t="shared" si="35"/>
        <v/>
      </c>
    </row>
    <row r="57" spans="3:70" x14ac:dyDescent="0.15">
      <c r="I57" s="38">
        <f t="shared" si="36"/>
        <v>2062</v>
      </c>
      <c r="J57" s="39"/>
      <c r="K57" s="39">
        <f t="shared" si="37"/>
        <v>43</v>
      </c>
      <c r="L57" s="39"/>
      <c r="M57" s="40">
        <f t="shared" si="0"/>
        <v>0.28054293595180391</v>
      </c>
      <c r="N57" s="39"/>
      <c r="O57" s="72" t="str">
        <f t="shared" si="16"/>
        <v/>
      </c>
      <c r="P57" s="41" t="str">
        <f t="shared" si="38"/>
        <v/>
      </c>
      <c r="Q57" s="39"/>
      <c r="R57" s="72" t="str">
        <f t="shared" si="51"/>
        <v/>
      </c>
      <c r="S57" s="39"/>
      <c r="T57" s="72" t="str">
        <f t="shared" si="18"/>
        <v/>
      </c>
      <c r="U57" s="39"/>
      <c r="V57" s="72" t="str">
        <f t="shared" si="39"/>
        <v/>
      </c>
      <c r="W57" s="72" t="str">
        <f t="shared" si="19"/>
        <v/>
      </c>
      <c r="X57" s="39"/>
      <c r="Y57" s="72" t="str">
        <f t="shared" si="40"/>
        <v/>
      </c>
      <c r="Z57" s="72" t="str">
        <f t="shared" si="20"/>
        <v/>
      </c>
      <c r="AA57" s="39"/>
      <c r="AB57" s="72" t="str">
        <f t="shared" si="4"/>
        <v/>
      </c>
      <c r="AC57" s="72" t="str">
        <f t="shared" si="21"/>
        <v/>
      </c>
      <c r="AD57" s="39"/>
      <c r="AE57" s="72" t="str">
        <f t="shared" si="41"/>
        <v/>
      </c>
      <c r="AF57" s="72" t="str">
        <f t="shared" si="22"/>
        <v/>
      </c>
      <c r="AG57" s="39"/>
      <c r="AH57" s="72" t="str">
        <f t="shared" si="42"/>
        <v/>
      </c>
      <c r="AI57" s="72" t="str">
        <f t="shared" si="23"/>
        <v/>
      </c>
      <c r="AJ57" s="39"/>
      <c r="AK57" s="72" t="str">
        <f t="shared" si="43"/>
        <v/>
      </c>
      <c r="AL57" s="72" t="str">
        <f t="shared" si="24"/>
        <v/>
      </c>
      <c r="AM57" s="39"/>
      <c r="AN57" s="72" t="str">
        <f t="shared" si="44"/>
        <v/>
      </c>
      <c r="AO57" s="72" t="str">
        <f t="shared" si="25"/>
        <v/>
      </c>
      <c r="AP57" s="39"/>
      <c r="AQ57" s="72" t="str">
        <f t="shared" si="45"/>
        <v/>
      </c>
      <c r="AR57" s="72" t="str">
        <f t="shared" si="26"/>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46"/>
        <v/>
      </c>
      <c r="AW57" s="72" t="str">
        <f t="shared" si="27"/>
        <v/>
      </c>
      <c r="AX57" s="39"/>
      <c r="AY57" s="40" t="str">
        <f>IF(ISERROR(IF($K57&lt;=$F$15,VLOOKUP($I57,'表4）CO2価格'!$A$7:$E$67,VLOOKUP($F$48,'表4）CO2価格'!$H$10:$I$12,2,0),0)*$F$8/1000,"")),0,IF($K57&lt;=$F$15,VLOOKUP($I57,'表4）CO2価格'!$A$7:$E$67,VLOOKUP($F$48,'表4）CO2価格'!$H$10:$I$12,2,0),0)*$F$8/1000,""))</f>
        <v/>
      </c>
      <c r="AZ57" s="39"/>
      <c r="BA57" s="42" t="str">
        <f t="shared" si="47"/>
        <v/>
      </c>
      <c r="BB57" s="72" t="str">
        <f t="shared" si="28"/>
        <v/>
      </c>
      <c r="BC57" s="39"/>
      <c r="BD57" s="72" t="str">
        <f t="shared" si="48"/>
        <v/>
      </c>
      <c r="BE57" s="72" t="str">
        <f t="shared" si="29"/>
        <v/>
      </c>
      <c r="BF57" s="39"/>
      <c r="BG57" s="42" t="str">
        <f t="shared" si="49"/>
        <v/>
      </c>
      <c r="BH57" s="72" t="str">
        <f t="shared" si="30"/>
        <v/>
      </c>
      <c r="BI57" s="39"/>
      <c r="BJ57" s="40" t="str">
        <f t="shared" si="31"/>
        <v/>
      </c>
      <c r="BK57" s="157" t="str">
        <f t="shared" si="32"/>
        <v/>
      </c>
      <c r="BL57" s="157" t="str">
        <f t="shared" si="14"/>
        <v/>
      </c>
      <c r="BM57" s="72"/>
      <c r="BN57" s="72" t="str">
        <f t="shared" si="33"/>
        <v/>
      </c>
      <c r="BO57" s="72" t="str">
        <f t="shared" si="34"/>
        <v/>
      </c>
      <c r="BP57" s="39"/>
      <c r="BQ57" s="72" t="str">
        <f t="shared" si="50"/>
        <v/>
      </c>
      <c r="BR57" s="72" t="str">
        <f t="shared" si="35"/>
        <v/>
      </c>
    </row>
    <row r="58" spans="3:70" x14ac:dyDescent="0.15">
      <c r="C58" s="4" t="s">
        <v>584</v>
      </c>
      <c r="D58" s="100"/>
      <c r="E58" s="100"/>
      <c r="F58" s="4"/>
      <c r="G58" s="100"/>
      <c r="I58" s="457">
        <f t="shared" si="36"/>
        <v>2063</v>
      </c>
      <c r="K58" s="71">
        <f t="shared" si="37"/>
        <v>44</v>
      </c>
      <c r="L58" s="71"/>
      <c r="M58" s="7">
        <f t="shared" si="0"/>
        <v>0.27237178247747956</v>
      </c>
      <c r="N58" s="71"/>
      <c r="O58" s="10" t="str">
        <f t="shared" si="16"/>
        <v/>
      </c>
      <c r="P58" s="29" t="str">
        <f t="shared" si="38"/>
        <v/>
      </c>
      <c r="Q58" s="71"/>
      <c r="R58" s="10" t="str">
        <f t="shared" si="51"/>
        <v/>
      </c>
      <c r="S58" s="71"/>
      <c r="T58" s="10" t="str">
        <f t="shared" si="18"/>
        <v/>
      </c>
      <c r="U58" s="71"/>
      <c r="V58" s="10" t="str">
        <f t="shared" si="39"/>
        <v/>
      </c>
      <c r="W58" s="10" t="str">
        <f t="shared" si="19"/>
        <v/>
      </c>
      <c r="X58" s="71"/>
      <c r="Y58" s="10" t="str">
        <f t="shared" si="40"/>
        <v/>
      </c>
      <c r="Z58" s="10" t="str">
        <f t="shared" si="20"/>
        <v/>
      </c>
      <c r="AA58" s="71"/>
      <c r="AB58" s="10" t="str">
        <f t="shared" si="4"/>
        <v/>
      </c>
      <c r="AC58" s="10" t="str">
        <f t="shared" si="21"/>
        <v/>
      </c>
      <c r="AD58" s="71"/>
      <c r="AE58" s="10" t="str">
        <f t="shared" si="41"/>
        <v/>
      </c>
      <c r="AF58" s="10" t="str">
        <f t="shared" si="22"/>
        <v/>
      </c>
      <c r="AG58" s="71"/>
      <c r="AH58" s="10" t="str">
        <f t="shared" si="42"/>
        <v/>
      </c>
      <c r="AI58" s="10" t="str">
        <f t="shared" si="23"/>
        <v/>
      </c>
      <c r="AJ58" s="71"/>
      <c r="AK58" s="10" t="str">
        <f t="shared" si="43"/>
        <v/>
      </c>
      <c r="AL58" s="10" t="str">
        <f t="shared" si="24"/>
        <v/>
      </c>
      <c r="AM58" s="71"/>
      <c r="AN58" s="10" t="str">
        <f t="shared" si="44"/>
        <v/>
      </c>
      <c r="AO58" s="10" t="str">
        <f t="shared" si="25"/>
        <v/>
      </c>
      <c r="AP58" s="71"/>
      <c r="AQ58" s="10" t="str">
        <f t="shared" si="45"/>
        <v/>
      </c>
      <c r="AR58" s="10" t="str">
        <f t="shared" si="26"/>
        <v/>
      </c>
      <c r="AS58" s="71"/>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U58" s="71"/>
      <c r="AV58" s="10" t="str">
        <f t="shared" si="46"/>
        <v/>
      </c>
      <c r="AW58" s="10" t="str">
        <f t="shared" si="27"/>
        <v/>
      </c>
      <c r="AX58" s="71"/>
      <c r="AY58" s="7" t="str">
        <f>IF(ISERROR(IF($K58&lt;=$F$15,VLOOKUP($I58,'表4）CO2価格'!$A$7:$E$67,VLOOKUP($F$48,'表4）CO2価格'!$H$10:$I$12,2,0),0)*$F$8/1000,"")),0,IF($K58&lt;=$F$15,VLOOKUP($I58,'表4）CO2価格'!$A$7:$E$67,VLOOKUP($F$48,'表4）CO2価格'!$H$10:$I$12,2,0),0)*$F$8/1000,""))</f>
        <v/>
      </c>
      <c r="AZ58" s="71"/>
      <c r="BA58" s="11" t="str">
        <f t="shared" si="47"/>
        <v/>
      </c>
      <c r="BB58" s="10" t="str">
        <f t="shared" si="28"/>
        <v/>
      </c>
      <c r="BC58" s="71"/>
      <c r="BD58" s="10" t="str">
        <f t="shared" si="48"/>
        <v/>
      </c>
      <c r="BE58" s="10" t="str">
        <f t="shared" si="29"/>
        <v/>
      </c>
      <c r="BF58" s="71"/>
      <c r="BG58" s="11" t="str">
        <f t="shared" si="49"/>
        <v/>
      </c>
      <c r="BH58" s="10" t="str">
        <f t="shared" si="30"/>
        <v/>
      </c>
      <c r="BJ58" s="7" t="str">
        <f t="shared" si="31"/>
        <v/>
      </c>
      <c r="BK58" s="158" t="str">
        <f t="shared" si="32"/>
        <v/>
      </c>
      <c r="BL58" s="158" t="str">
        <f t="shared" si="14"/>
        <v/>
      </c>
      <c r="BM58" s="10"/>
      <c r="BN58" s="10" t="str">
        <f t="shared" si="33"/>
        <v/>
      </c>
      <c r="BO58" s="10" t="str">
        <f t="shared" si="34"/>
        <v/>
      </c>
      <c r="BQ58" s="10" t="str">
        <f t="shared" si="50"/>
        <v/>
      </c>
      <c r="BR58" s="10" t="str">
        <f t="shared" si="35"/>
        <v/>
      </c>
    </row>
    <row r="59" spans="3:70" x14ac:dyDescent="0.15">
      <c r="I59" s="38">
        <f t="shared" si="36"/>
        <v>2064</v>
      </c>
      <c r="J59" s="39"/>
      <c r="K59" s="39">
        <f t="shared" si="37"/>
        <v>45</v>
      </c>
      <c r="L59" s="39"/>
      <c r="M59" s="40">
        <f t="shared" si="0"/>
        <v>0.26443862376454325</v>
      </c>
      <c r="N59" s="39"/>
      <c r="O59" s="72" t="str">
        <f t="shared" si="16"/>
        <v/>
      </c>
      <c r="P59" s="41" t="str">
        <f t="shared" si="38"/>
        <v/>
      </c>
      <c r="Q59" s="39"/>
      <c r="R59" s="72" t="str">
        <f t="shared" si="51"/>
        <v/>
      </c>
      <c r="S59" s="39"/>
      <c r="T59" s="72" t="str">
        <f t="shared" si="18"/>
        <v/>
      </c>
      <c r="U59" s="39"/>
      <c r="V59" s="72" t="str">
        <f t="shared" si="39"/>
        <v/>
      </c>
      <c r="W59" s="72" t="str">
        <f t="shared" si="19"/>
        <v/>
      </c>
      <c r="X59" s="39"/>
      <c r="Y59" s="72" t="str">
        <f t="shared" si="40"/>
        <v/>
      </c>
      <c r="Z59" s="72" t="str">
        <f t="shared" si="20"/>
        <v/>
      </c>
      <c r="AA59" s="39"/>
      <c r="AB59" s="72" t="str">
        <f t="shared" si="4"/>
        <v/>
      </c>
      <c r="AC59" s="72" t="str">
        <f t="shared" si="21"/>
        <v/>
      </c>
      <c r="AD59" s="39"/>
      <c r="AE59" s="72" t="str">
        <f t="shared" si="41"/>
        <v/>
      </c>
      <c r="AF59" s="72" t="str">
        <f t="shared" si="22"/>
        <v/>
      </c>
      <c r="AG59" s="39"/>
      <c r="AH59" s="72" t="str">
        <f t="shared" si="42"/>
        <v/>
      </c>
      <c r="AI59" s="72" t="str">
        <f t="shared" si="23"/>
        <v/>
      </c>
      <c r="AJ59" s="39"/>
      <c r="AK59" s="72" t="str">
        <f t="shared" si="43"/>
        <v/>
      </c>
      <c r="AL59" s="72" t="str">
        <f t="shared" si="24"/>
        <v/>
      </c>
      <c r="AM59" s="39"/>
      <c r="AN59" s="72" t="str">
        <f t="shared" si="44"/>
        <v/>
      </c>
      <c r="AO59" s="72" t="str">
        <f t="shared" si="25"/>
        <v/>
      </c>
      <c r="AP59" s="39"/>
      <c r="AQ59" s="72" t="str">
        <f t="shared" si="45"/>
        <v/>
      </c>
      <c r="AR59" s="72" t="str">
        <f t="shared" si="26"/>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46"/>
        <v/>
      </c>
      <c r="AW59" s="72" t="str">
        <f t="shared" si="27"/>
        <v/>
      </c>
      <c r="AX59" s="39"/>
      <c r="AY59" s="40" t="str">
        <f>IF(ISERROR(IF($K59&lt;=$F$15,VLOOKUP($I59,'表4）CO2価格'!$A$7:$E$67,VLOOKUP($F$48,'表4）CO2価格'!$H$10:$I$12,2,0),0)*$F$8/1000,"")),0,IF($K59&lt;=$F$15,VLOOKUP($I59,'表4）CO2価格'!$A$7:$E$67,VLOOKUP($F$48,'表4）CO2価格'!$H$10:$I$12,2,0),0)*$F$8/1000,""))</f>
        <v/>
      </c>
      <c r="AZ59" s="39"/>
      <c r="BA59" s="42" t="str">
        <f t="shared" si="47"/>
        <v/>
      </c>
      <c r="BB59" s="72" t="str">
        <f t="shared" si="28"/>
        <v/>
      </c>
      <c r="BC59" s="39"/>
      <c r="BD59" s="72" t="str">
        <f t="shared" si="48"/>
        <v/>
      </c>
      <c r="BE59" s="72" t="str">
        <f t="shared" si="29"/>
        <v/>
      </c>
      <c r="BF59" s="39"/>
      <c r="BG59" s="42" t="str">
        <f t="shared" si="49"/>
        <v/>
      </c>
      <c r="BH59" s="72" t="str">
        <f t="shared" si="30"/>
        <v/>
      </c>
      <c r="BI59" s="39"/>
      <c r="BJ59" s="40" t="str">
        <f t="shared" si="31"/>
        <v/>
      </c>
      <c r="BK59" s="157" t="str">
        <f t="shared" si="32"/>
        <v/>
      </c>
      <c r="BL59" s="157" t="str">
        <f t="shared" si="14"/>
        <v/>
      </c>
      <c r="BM59" s="72"/>
      <c r="BN59" s="72" t="str">
        <f t="shared" si="33"/>
        <v/>
      </c>
      <c r="BO59" s="72" t="str">
        <f t="shared" si="34"/>
        <v/>
      </c>
      <c r="BP59" s="39"/>
      <c r="BQ59" s="72" t="str">
        <f t="shared" si="50"/>
        <v/>
      </c>
      <c r="BR59" s="72" t="str">
        <f t="shared" si="35"/>
        <v/>
      </c>
    </row>
    <row r="60" spans="3:70" x14ac:dyDescent="0.15">
      <c r="D60" s="84" t="s">
        <v>585</v>
      </c>
      <c r="F60" s="481"/>
      <c r="G60" s="84" t="s">
        <v>566</v>
      </c>
      <c r="I60" s="457">
        <f t="shared" si="36"/>
        <v>2065</v>
      </c>
      <c r="K60" s="71">
        <f t="shared" si="37"/>
        <v>46</v>
      </c>
      <c r="L60" s="71"/>
      <c r="M60" s="7">
        <f t="shared" si="0"/>
        <v>0.25673652792674101</v>
      </c>
      <c r="N60" s="71"/>
      <c r="O60" s="10" t="str">
        <f t="shared" si="16"/>
        <v/>
      </c>
      <c r="P60" s="29" t="str">
        <f t="shared" si="38"/>
        <v/>
      </c>
      <c r="Q60" s="71"/>
      <c r="R60" s="10" t="str">
        <f t="shared" si="51"/>
        <v/>
      </c>
      <c r="S60" s="71"/>
      <c r="T60" s="10" t="str">
        <f t="shared" si="18"/>
        <v/>
      </c>
      <c r="U60" s="71"/>
      <c r="V60" s="10" t="str">
        <f t="shared" si="39"/>
        <v/>
      </c>
      <c r="W60" s="10" t="str">
        <f t="shared" si="19"/>
        <v/>
      </c>
      <c r="X60" s="71"/>
      <c r="Y60" s="10" t="str">
        <f t="shared" si="40"/>
        <v/>
      </c>
      <c r="Z60" s="10" t="str">
        <f t="shared" si="20"/>
        <v/>
      </c>
      <c r="AA60" s="71"/>
      <c r="AB60" s="10" t="str">
        <f t="shared" si="4"/>
        <v/>
      </c>
      <c r="AC60" s="10" t="str">
        <f t="shared" si="21"/>
        <v/>
      </c>
      <c r="AD60" s="71"/>
      <c r="AE60" s="10" t="str">
        <f t="shared" si="41"/>
        <v/>
      </c>
      <c r="AF60" s="10" t="str">
        <f t="shared" si="22"/>
        <v/>
      </c>
      <c r="AG60" s="71"/>
      <c r="AH60" s="10" t="str">
        <f t="shared" si="42"/>
        <v/>
      </c>
      <c r="AI60" s="10" t="str">
        <f t="shared" si="23"/>
        <v/>
      </c>
      <c r="AJ60" s="71"/>
      <c r="AK60" s="10" t="str">
        <f t="shared" si="43"/>
        <v/>
      </c>
      <c r="AL60" s="10" t="str">
        <f t="shared" si="24"/>
        <v/>
      </c>
      <c r="AM60" s="71"/>
      <c r="AN60" s="10" t="str">
        <f t="shared" si="44"/>
        <v/>
      </c>
      <c r="AO60" s="10" t="str">
        <f t="shared" si="25"/>
        <v/>
      </c>
      <c r="AP60" s="71"/>
      <c r="AQ60" s="10" t="str">
        <f t="shared" si="45"/>
        <v/>
      </c>
      <c r="AR60" s="10" t="str">
        <f t="shared" si="26"/>
        <v/>
      </c>
      <c r="AS60" s="71"/>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U60" s="71"/>
      <c r="AV60" s="10" t="str">
        <f t="shared" si="46"/>
        <v/>
      </c>
      <c r="AW60" s="10" t="str">
        <f t="shared" si="27"/>
        <v/>
      </c>
      <c r="AX60" s="71"/>
      <c r="AY60" s="7" t="str">
        <f>IF(ISERROR(IF($K60&lt;=$F$15,VLOOKUP($I60,'表4）CO2価格'!$A$7:$E$67,VLOOKUP($F$48,'表4）CO2価格'!$H$10:$I$12,2,0),0)*$F$8/1000,"")),0,IF($K60&lt;=$F$15,VLOOKUP($I60,'表4）CO2価格'!$A$7:$E$67,VLOOKUP($F$48,'表4）CO2価格'!$H$10:$I$12,2,0),0)*$F$8/1000,""))</f>
        <v/>
      </c>
      <c r="AZ60" s="71"/>
      <c r="BA60" s="11" t="str">
        <f t="shared" si="47"/>
        <v/>
      </c>
      <c r="BB60" s="10" t="str">
        <f t="shared" si="28"/>
        <v/>
      </c>
      <c r="BC60" s="71"/>
      <c r="BD60" s="10" t="str">
        <f t="shared" si="48"/>
        <v/>
      </c>
      <c r="BE60" s="10" t="str">
        <f t="shared" si="29"/>
        <v/>
      </c>
      <c r="BF60" s="71"/>
      <c r="BG60" s="11" t="str">
        <f t="shared" si="49"/>
        <v/>
      </c>
      <c r="BH60" s="10" t="str">
        <f t="shared" si="30"/>
        <v/>
      </c>
      <c r="BJ60" s="7" t="str">
        <f t="shared" si="31"/>
        <v/>
      </c>
      <c r="BK60" s="158" t="str">
        <f t="shared" si="32"/>
        <v/>
      </c>
      <c r="BL60" s="158" t="str">
        <f t="shared" si="14"/>
        <v/>
      </c>
      <c r="BM60" s="10"/>
      <c r="BN60" s="10" t="str">
        <f t="shared" si="33"/>
        <v/>
      </c>
      <c r="BO60" s="10" t="str">
        <f t="shared" si="34"/>
        <v/>
      </c>
      <c r="BQ60" s="10" t="str">
        <f t="shared" si="50"/>
        <v/>
      </c>
      <c r="BR60" s="10" t="str">
        <f t="shared" si="35"/>
        <v/>
      </c>
    </row>
    <row r="61" spans="3:70" x14ac:dyDescent="0.15">
      <c r="D61" s="84" t="s">
        <v>586</v>
      </c>
      <c r="F61" s="475"/>
      <c r="G61" s="84" t="s">
        <v>556</v>
      </c>
      <c r="I61" s="38">
        <f t="shared" si="36"/>
        <v>2066</v>
      </c>
      <c r="J61" s="39"/>
      <c r="K61" s="39">
        <f t="shared" si="37"/>
        <v>47</v>
      </c>
      <c r="L61" s="39"/>
      <c r="M61" s="40">
        <f t="shared" si="0"/>
        <v>0.24925876497741845</v>
      </c>
      <c r="N61" s="39"/>
      <c r="O61" s="72" t="str">
        <f t="shared" si="16"/>
        <v/>
      </c>
      <c r="P61" s="41" t="str">
        <f t="shared" si="38"/>
        <v/>
      </c>
      <c r="Q61" s="39"/>
      <c r="R61" s="72" t="str">
        <f t="shared" si="51"/>
        <v/>
      </c>
      <c r="S61" s="39"/>
      <c r="T61" s="72" t="str">
        <f t="shared" si="18"/>
        <v/>
      </c>
      <c r="U61" s="39"/>
      <c r="V61" s="72" t="str">
        <f t="shared" si="39"/>
        <v/>
      </c>
      <c r="W61" s="72" t="str">
        <f t="shared" si="19"/>
        <v/>
      </c>
      <c r="X61" s="39"/>
      <c r="Y61" s="72" t="str">
        <f t="shared" si="40"/>
        <v/>
      </c>
      <c r="Z61" s="72" t="str">
        <f t="shared" si="20"/>
        <v/>
      </c>
      <c r="AA61" s="39"/>
      <c r="AB61" s="72" t="str">
        <f t="shared" si="4"/>
        <v/>
      </c>
      <c r="AC61" s="72" t="str">
        <f t="shared" si="21"/>
        <v/>
      </c>
      <c r="AD61" s="39"/>
      <c r="AE61" s="72" t="str">
        <f t="shared" si="41"/>
        <v/>
      </c>
      <c r="AF61" s="72" t="str">
        <f t="shared" si="22"/>
        <v/>
      </c>
      <c r="AG61" s="39"/>
      <c r="AH61" s="72" t="str">
        <f t="shared" si="42"/>
        <v/>
      </c>
      <c r="AI61" s="72" t="str">
        <f t="shared" si="23"/>
        <v/>
      </c>
      <c r="AJ61" s="39"/>
      <c r="AK61" s="72" t="str">
        <f t="shared" si="43"/>
        <v/>
      </c>
      <c r="AL61" s="72" t="str">
        <f t="shared" si="24"/>
        <v/>
      </c>
      <c r="AM61" s="39"/>
      <c r="AN61" s="72" t="str">
        <f t="shared" si="44"/>
        <v/>
      </c>
      <c r="AO61" s="72" t="str">
        <f t="shared" si="25"/>
        <v/>
      </c>
      <c r="AP61" s="39"/>
      <c r="AQ61" s="72" t="str">
        <f t="shared" si="45"/>
        <v/>
      </c>
      <c r="AR61" s="72" t="str">
        <f t="shared" si="26"/>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46"/>
        <v/>
      </c>
      <c r="AW61" s="72" t="str">
        <f t="shared" si="27"/>
        <v/>
      </c>
      <c r="AX61" s="39"/>
      <c r="AY61" s="40" t="str">
        <f>IF(ISERROR(IF($K61&lt;=$F$15,VLOOKUP($I61,'表4）CO2価格'!$A$7:$E$67,VLOOKUP($F$48,'表4）CO2価格'!$H$10:$I$12,2,0),0)*$F$8/1000,"")),0,IF($K61&lt;=$F$15,VLOOKUP($I61,'表4）CO2価格'!$A$7:$E$67,VLOOKUP($F$48,'表4）CO2価格'!$H$10:$I$12,2,0),0)*$F$8/1000,""))</f>
        <v/>
      </c>
      <c r="AZ61" s="39"/>
      <c r="BA61" s="42" t="str">
        <f t="shared" si="47"/>
        <v/>
      </c>
      <c r="BB61" s="72" t="str">
        <f t="shared" si="28"/>
        <v/>
      </c>
      <c r="BC61" s="39"/>
      <c r="BD61" s="72" t="str">
        <f t="shared" si="48"/>
        <v/>
      </c>
      <c r="BE61" s="72" t="str">
        <f t="shared" si="29"/>
        <v/>
      </c>
      <c r="BF61" s="39"/>
      <c r="BG61" s="42" t="str">
        <f t="shared" si="49"/>
        <v/>
      </c>
      <c r="BH61" s="72" t="str">
        <f t="shared" si="30"/>
        <v/>
      </c>
      <c r="BI61" s="39"/>
      <c r="BJ61" s="40" t="str">
        <f t="shared" si="31"/>
        <v/>
      </c>
      <c r="BK61" s="157" t="str">
        <f t="shared" si="32"/>
        <v/>
      </c>
      <c r="BL61" s="157" t="str">
        <f t="shared" si="14"/>
        <v/>
      </c>
      <c r="BM61" s="72"/>
      <c r="BN61" s="72" t="str">
        <f t="shared" si="33"/>
        <v/>
      </c>
      <c r="BO61" s="72" t="str">
        <f t="shared" si="34"/>
        <v/>
      </c>
      <c r="BP61" s="39"/>
      <c r="BQ61" s="72" t="str">
        <f t="shared" si="50"/>
        <v/>
      </c>
      <c r="BR61" s="72" t="str">
        <f t="shared" si="35"/>
        <v/>
      </c>
    </row>
    <row r="62" spans="3:70" x14ac:dyDescent="0.15">
      <c r="D62" s="84" t="s">
        <v>587</v>
      </c>
      <c r="F62" s="481"/>
      <c r="G62" s="84" t="s">
        <v>588</v>
      </c>
      <c r="I62" s="457">
        <f t="shared" si="36"/>
        <v>2067</v>
      </c>
      <c r="K62" s="71">
        <f t="shared" si="37"/>
        <v>48</v>
      </c>
      <c r="L62" s="71"/>
      <c r="M62" s="7">
        <f t="shared" si="0"/>
        <v>0.24199880094894996</v>
      </c>
      <c r="N62" s="71"/>
      <c r="O62" s="10" t="str">
        <f t="shared" si="16"/>
        <v/>
      </c>
      <c r="P62" s="29" t="str">
        <f t="shared" si="38"/>
        <v/>
      </c>
      <c r="Q62" s="71"/>
      <c r="R62" s="10" t="str">
        <f t="shared" si="51"/>
        <v/>
      </c>
      <c r="S62" s="71"/>
      <c r="T62" s="10" t="str">
        <f t="shared" si="18"/>
        <v/>
      </c>
      <c r="U62" s="71"/>
      <c r="V62" s="10" t="str">
        <f t="shared" si="39"/>
        <v/>
      </c>
      <c r="W62" s="10" t="str">
        <f t="shared" si="19"/>
        <v/>
      </c>
      <c r="X62" s="71"/>
      <c r="Y62" s="10" t="str">
        <f t="shared" si="40"/>
        <v/>
      </c>
      <c r="Z62" s="10" t="str">
        <f t="shared" si="20"/>
        <v/>
      </c>
      <c r="AA62" s="71"/>
      <c r="AB62" s="10" t="str">
        <f t="shared" si="4"/>
        <v/>
      </c>
      <c r="AC62" s="10" t="str">
        <f t="shared" si="21"/>
        <v/>
      </c>
      <c r="AD62" s="71"/>
      <c r="AE62" s="10" t="str">
        <f t="shared" si="41"/>
        <v/>
      </c>
      <c r="AF62" s="10" t="str">
        <f t="shared" si="22"/>
        <v/>
      </c>
      <c r="AG62" s="71"/>
      <c r="AH62" s="10" t="str">
        <f t="shared" si="42"/>
        <v/>
      </c>
      <c r="AI62" s="10" t="str">
        <f t="shared" si="23"/>
        <v/>
      </c>
      <c r="AJ62" s="71"/>
      <c r="AK62" s="10" t="str">
        <f t="shared" si="43"/>
        <v/>
      </c>
      <c r="AL62" s="10" t="str">
        <f t="shared" si="24"/>
        <v/>
      </c>
      <c r="AM62" s="71"/>
      <c r="AN62" s="10" t="str">
        <f t="shared" si="44"/>
        <v/>
      </c>
      <c r="AO62" s="10" t="str">
        <f t="shared" si="25"/>
        <v/>
      </c>
      <c r="AP62" s="71"/>
      <c r="AQ62" s="10" t="str">
        <f t="shared" si="45"/>
        <v/>
      </c>
      <c r="AR62" s="10" t="str">
        <f t="shared" si="26"/>
        <v/>
      </c>
      <c r="AS62" s="71"/>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U62" s="71"/>
      <c r="AV62" s="10" t="str">
        <f t="shared" si="46"/>
        <v/>
      </c>
      <c r="AW62" s="10" t="str">
        <f t="shared" si="27"/>
        <v/>
      </c>
      <c r="AX62" s="71"/>
      <c r="AY62" s="7" t="str">
        <f>IF(ISERROR(IF($K62&lt;=$F$15,VLOOKUP($I62,'表4）CO2価格'!$A$7:$E$67,VLOOKUP($F$48,'表4）CO2価格'!$H$10:$I$12,2,0),0)*$F$8/1000,"")),0,IF($K62&lt;=$F$15,VLOOKUP($I62,'表4）CO2価格'!$A$7:$E$67,VLOOKUP($F$48,'表4）CO2価格'!$H$10:$I$12,2,0),0)*$F$8/1000,""))</f>
        <v/>
      </c>
      <c r="AZ62" s="71"/>
      <c r="BA62" s="11" t="str">
        <f t="shared" si="47"/>
        <v/>
      </c>
      <c r="BB62" s="10" t="str">
        <f t="shared" si="28"/>
        <v/>
      </c>
      <c r="BC62" s="71"/>
      <c r="BD62" s="10" t="str">
        <f t="shared" si="48"/>
        <v/>
      </c>
      <c r="BE62" s="10" t="str">
        <f t="shared" si="29"/>
        <v/>
      </c>
      <c r="BF62" s="71"/>
      <c r="BG62" s="11" t="str">
        <f t="shared" si="49"/>
        <v/>
      </c>
      <c r="BH62" s="10" t="str">
        <f t="shared" si="30"/>
        <v/>
      </c>
      <c r="BJ62" s="7" t="str">
        <f t="shared" si="31"/>
        <v/>
      </c>
      <c r="BK62" s="158" t="str">
        <f t="shared" si="32"/>
        <v/>
      </c>
      <c r="BL62" s="158" t="str">
        <f t="shared" si="14"/>
        <v/>
      </c>
      <c r="BM62" s="10"/>
      <c r="BN62" s="10" t="str">
        <f t="shared" si="33"/>
        <v/>
      </c>
      <c r="BO62" s="10" t="str">
        <f t="shared" si="34"/>
        <v/>
      </c>
      <c r="BQ62" s="10" t="str">
        <f t="shared" si="50"/>
        <v/>
      </c>
      <c r="BR62" s="10" t="str">
        <f t="shared" si="35"/>
        <v/>
      </c>
    </row>
    <row r="63" spans="3:70" x14ac:dyDescent="0.15">
      <c r="I63" s="38">
        <f t="shared" si="36"/>
        <v>2068</v>
      </c>
      <c r="J63" s="39"/>
      <c r="K63" s="39">
        <f t="shared" si="37"/>
        <v>49</v>
      </c>
      <c r="L63" s="39"/>
      <c r="M63" s="40">
        <f t="shared" si="0"/>
        <v>0.2349502921834466</v>
      </c>
      <c r="N63" s="39"/>
      <c r="O63" s="72" t="str">
        <f t="shared" si="16"/>
        <v/>
      </c>
      <c r="P63" s="41" t="str">
        <f t="shared" si="38"/>
        <v/>
      </c>
      <c r="Q63" s="39"/>
      <c r="R63" s="72" t="str">
        <f t="shared" si="51"/>
        <v/>
      </c>
      <c r="S63" s="39"/>
      <c r="T63" s="72" t="str">
        <f t="shared" si="18"/>
        <v/>
      </c>
      <c r="U63" s="39"/>
      <c r="V63" s="72" t="str">
        <f t="shared" si="39"/>
        <v/>
      </c>
      <c r="W63" s="72" t="str">
        <f t="shared" si="19"/>
        <v/>
      </c>
      <c r="X63" s="39"/>
      <c r="Y63" s="72" t="str">
        <f t="shared" si="40"/>
        <v/>
      </c>
      <c r="Z63" s="72" t="str">
        <f t="shared" si="20"/>
        <v/>
      </c>
      <c r="AA63" s="39"/>
      <c r="AB63" s="72" t="str">
        <f t="shared" si="4"/>
        <v/>
      </c>
      <c r="AC63" s="72" t="str">
        <f t="shared" si="21"/>
        <v/>
      </c>
      <c r="AD63" s="39"/>
      <c r="AE63" s="72" t="str">
        <f t="shared" si="41"/>
        <v/>
      </c>
      <c r="AF63" s="72" t="str">
        <f t="shared" si="22"/>
        <v/>
      </c>
      <c r="AG63" s="39"/>
      <c r="AH63" s="72" t="str">
        <f t="shared" si="42"/>
        <v/>
      </c>
      <c r="AI63" s="72" t="str">
        <f t="shared" si="23"/>
        <v/>
      </c>
      <c r="AJ63" s="39"/>
      <c r="AK63" s="72" t="str">
        <f t="shared" si="43"/>
        <v/>
      </c>
      <c r="AL63" s="72" t="str">
        <f t="shared" si="24"/>
        <v/>
      </c>
      <c r="AM63" s="39"/>
      <c r="AN63" s="72" t="str">
        <f t="shared" si="44"/>
        <v/>
      </c>
      <c r="AO63" s="72" t="str">
        <f t="shared" si="25"/>
        <v/>
      </c>
      <c r="AP63" s="39"/>
      <c r="AQ63" s="72" t="str">
        <f t="shared" si="45"/>
        <v/>
      </c>
      <c r="AR63" s="72" t="str">
        <f t="shared" si="26"/>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46"/>
        <v/>
      </c>
      <c r="AW63" s="72" t="str">
        <f t="shared" si="27"/>
        <v/>
      </c>
      <c r="AX63" s="39"/>
      <c r="AY63" s="40" t="str">
        <f>IF(ISERROR(IF($K63&lt;=$F$15,VLOOKUP($I63,'表4）CO2価格'!$A$7:$E$67,VLOOKUP($F$48,'表4）CO2価格'!$H$10:$I$12,2,0),0)*$F$8/1000,"")),0,IF($K63&lt;=$F$15,VLOOKUP($I63,'表4）CO2価格'!$A$7:$E$67,VLOOKUP($F$48,'表4）CO2価格'!$H$10:$I$12,2,0),0)*$F$8/1000,""))</f>
        <v/>
      </c>
      <c r="AZ63" s="39"/>
      <c r="BA63" s="42" t="str">
        <f t="shared" si="47"/>
        <v/>
      </c>
      <c r="BB63" s="72" t="str">
        <f t="shared" si="28"/>
        <v/>
      </c>
      <c r="BC63" s="39"/>
      <c r="BD63" s="72" t="str">
        <f t="shared" si="48"/>
        <v/>
      </c>
      <c r="BE63" s="72" t="str">
        <f t="shared" si="29"/>
        <v/>
      </c>
      <c r="BF63" s="39"/>
      <c r="BG63" s="42" t="str">
        <f t="shared" si="49"/>
        <v/>
      </c>
      <c r="BH63" s="72" t="str">
        <f t="shared" si="30"/>
        <v/>
      </c>
      <c r="BI63" s="39"/>
      <c r="BJ63" s="40" t="str">
        <f t="shared" si="31"/>
        <v/>
      </c>
      <c r="BK63" s="157" t="str">
        <f t="shared" si="32"/>
        <v/>
      </c>
      <c r="BL63" s="157" t="str">
        <f t="shared" si="14"/>
        <v/>
      </c>
      <c r="BM63" s="72"/>
      <c r="BN63" s="72" t="str">
        <f t="shared" si="33"/>
        <v/>
      </c>
      <c r="BO63" s="72" t="str">
        <f t="shared" si="34"/>
        <v/>
      </c>
      <c r="BP63" s="39"/>
      <c r="BQ63" s="72" t="str">
        <f t="shared" si="50"/>
        <v/>
      </c>
      <c r="BR63" s="72" t="str">
        <f t="shared" si="35"/>
        <v/>
      </c>
    </row>
    <row r="64" spans="3:70" x14ac:dyDescent="0.15">
      <c r="C64" s="71" t="s">
        <v>589</v>
      </c>
      <c r="F64" s="477">
        <v>0.45</v>
      </c>
      <c r="G64" s="84" t="s">
        <v>590</v>
      </c>
      <c r="I64" s="457">
        <f t="shared" si="36"/>
        <v>2069</v>
      </c>
      <c r="K64" s="71">
        <f t="shared" si="37"/>
        <v>50</v>
      </c>
      <c r="L64" s="71"/>
      <c r="M64" s="7">
        <f t="shared" si="0"/>
        <v>0.22810707978975397</v>
      </c>
      <c r="N64" s="71"/>
      <c r="O64" s="10" t="str">
        <f t="shared" si="16"/>
        <v/>
      </c>
      <c r="P64" s="29" t="str">
        <f t="shared" si="38"/>
        <v/>
      </c>
      <c r="Q64" s="71"/>
      <c r="R64" s="10" t="str">
        <f t="shared" si="51"/>
        <v/>
      </c>
      <c r="S64" s="71"/>
      <c r="T64" s="10" t="str">
        <f t="shared" si="18"/>
        <v/>
      </c>
      <c r="U64" s="71"/>
      <c r="V64" s="10" t="str">
        <f t="shared" si="39"/>
        <v/>
      </c>
      <c r="W64" s="10" t="str">
        <f t="shared" si="19"/>
        <v/>
      </c>
      <c r="X64" s="71"/>
      <c r="Y64" s="10" t="str">
        <f t="shared" si="40"/>
        <v/>
      </c>
      <c r="Z64" s="10" t="str">
        <f t="shared" si="20"/>
        <v/>
      </c>
      <c r="AA64" s="71"/>
      <c r="AB64" s="10" t="str">
        <f t="shared" si="4"/>
        <v/>
      </c>
      <c r="AC64" s="10" t="str">
        <f t="shared" si="21"/>
        <v/>
      </c>
      <c r="AD64" s="71"/>
      <c r="AE64" s="10" t="str">
        <f t="shared" si="41"/>
        <v/>
      </c>
      <c r="AF64" s="10" t="str">
        <f t="shared" si="22"/>
        <v/>
      </c>
      <c r="AG64" s="71"/>
      <c r="AH64" s="10" t="str">
        <f t="shared" si="42"/>
        <v/>
      </c>
      <c r="AI64" s="10" t="str">
        <f t="shared" si="23"/>
        <v/>
      </c>
      <c r="AJ64" s="71"/>
      <c r="AK64" s="10" t="str">
        <f t="shared" si="43"/>
        <v/>
      </c>
      <c r="AL64" s="10" t="str">
        <f t="shared" si="24"/>
        <v/>
      </c>
      <c r="AM64" s="71"/>
      <c r="AN64" s="10" t="str">
        <f t="shared" si="44"/>
        <v/>
      </c>
      <c r="AO64" s="10" t="str">
        <f t="shared" si="25"/>
        <v/>
      </c>
      <c r="AP64" s="71"/>
      <c r="AQ64" s="10" t="str">
        <f t="shared" si="45"/>
        <v/>
      </c>
      <c r="AR64" s="10" t="str">
        <f t="shared" si="26"/>
        <v/>
      </c>
      <c r="AS64" s="71"/>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U64" s="71"/>
      <c r="AV64" s="10" t="str">
        <f t="shared" si="46"/>
        <v/>
      </c>
      <c r="AW64" s="10" t="str">
        <f t="shared" si="27"/>
        <v/>
      </c>
      <c r="AX64" s="71"/>
      <c r="AY64" s="7" t="str">
        <f>IF(ISERROR(IF($K64&lt;=$F$15,VLOOKUP($I64,'表4）CO2価格'!$A$7:$E$67,VLOOKUP($F$48,'表4）CO2価格'!$H$10:$I$12,2,0),0)*$F$8/1000,"")),0,IF($K64&lt;=$F$15,VLOOKUP($I64,'表4）CO2価格'!$A$7:$E$67,VLOOKUP($F$48,'表4）CO2価格'!$H$10:$I$12,2,0),0)*$F$8/1000,""))</f>
        <v/>
      </c>
      <c r="AZ64" s="71"/>
      <c r="BA64" s="11" t="str">
        <f t="shared" si="47"/>
        <v/>
      </c>
      <c r="BB64" s="10" t="str">
        <f t="shared" si="28"/>
        <v/>
      </c>
      <c r="BC64" s="71"/>
      <c r="BD64" s="10" t="str">
        <f t="shared" si="48"/>
        <v/>
      </c>
      <c r="BE64" s="10" t="str">
        <f t="shared" si="29"/>
        <v/>
      </c>
      <c r="BF64" s="71"/>
      <c r="BG64" s="11" t="str">
        <f t="shared" si="49"/>
        <v/>
      </c>
      <c r="BH64" s="10" t="str">
        <f t="shared" si="30"/>
        <v/>
      </c>
      <c r="BJ64" s="7" t="str">
        <f t="shared" si="31"/>
        <v/>
      </c>
      <c r="BK64" s="158" t="str">
        <f t="shared" si="32"/>
        <v/>
      </c>
      <c r="BL64" s="158" t="str">
        <f t="shared" si="14"/>
        <v/>
      </c>
      <c r="BM64" s="10"/>
      <c r="BN64" s="10" t="str">
        <f t="shared" si="33"/>
        <v/>
      </c>
      <c r="BO64" s="10" t="str">
        <f t="shared" si="34"/>
        <v/>
      </c>
      <c r="BQ64" s="10" t="str">
        <f t="shared" si="50"/>
        <v/>
      </c>
      <c r="BR64" s="10" t="str">
        <f t="shared" si="35"/>
        <v/>
      </c>
    </row>
    <row r="65" spans="2:70" x14ac:dyDescent="0.15">
      <c r="I65" s="38">
        <f t="shared" si="36"/>
        <v>2070</v>
      </c>
      <c r="J65" s="39"/>
      <c r="K65" s="39">
        <f t="shared" si="37"/>
        <v>51</v>
      </c>
      <c r="L65" s="39"/>
      <c r="M65" s="40">
        <f t="shared" si="0"/>
        <v>0.22146318426189707</v>
      </c>
      <c r="N65" s="39"/>
      <c r="O65" s="72" t="str">
        <f t="shared" si="16"/>
        <v/>
      </c>
      <c r="P65" s="41" t="str">
        <f t="shared" si="38"/>
        <v/>
      </c>
      <c r="Q65" s="39"/>
      <c r="R65" s="72" t="str">
        <f t="shared" si="51"/>
        <v/>
      </c>
      <c r="S65" s="39"/>
      <c r="T65" s="72" t="str">
        <f t="shared" si="18"/>
        <v/>
      </c>
      <c r="U65" s="39"/>
      <c r="V65" s="72" t="str">
        <f t="shared" si="39"/>
        <v/>
      </c>
      <c r="W65" s="72" t="str">
        <f t="shared" si="19"/>
        <v/>
      </c>
      <c r="X65" s="39"/>
      <c r="Y65" s="72" t="str">
        <f t="shared" si="40"/>
        <v/>
      </c>
      <c r="Z65" s="72" t="str">
        <f t="shared" si="20"/>
        <v/>
      </c>
      <c r="AA65" s="39"/>
      <c r="AB65" s="72" t="str">
        <f t="shared" si="4"/>
        <v/>
      </c>
      <c r="AC65" s="72" t="str">
        <f t="shared" si="21"/>
        <v/>
      </c>
      <c r="AD65" s="39"/>
      <c r="AE65" s="72" t="str">
        <f t="shared" si="41"/>
        <v/>
      </c>
      <c r="AF65" s="72" t="str">
        <f t="shared" si="22"/>
        <v/>
      </c>
      <c r="AG65" s="39"/>
      <c r="AH65" s="72" t="str">
        <f t="shared" si="42"/>
        <v/>
      </c>
      <c r="AI65" s="72" t="str">
        <f t="shared" si="23"/>
        <v/>
      </c>
      <c r="AJ65" s="39"/>
      <c r="AK65" s="72" t="str">
        <f t="shared" si="43"/>
        <v/>
      </c>
      <c r="AL65" s="72" t="str">
        <f t="shared" si="24"/>
        <v/>
      </c>
      <c r="AM65" s="39"/>
      <c r="AN65" s="72" t="str">
        <f t="shared" si="44"/>
        <v/>
      </c>
      <c r="AO65" s="72" t="str">
        <f t="shared" si="25"/>
        <v/>
      </c>
      <c r="AP65" s="39"/>
      <c r="AQ65" s="72" t="str">
        <f t="shared" si="45"/>
        <v/>
      </c>
      <c r="AR65" s="72" t="str">
        <f t="shared" si="26"/>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46"/>
        <v/>
      </c>
      <c r="AW65" s="72" t="str">
        <f t="shared" si="27"/>
        <v/>
      </c>
      <c r="AX65" s="39"/>
      <c r="AY65" s="40" t="str">
        <f>IF(ISERROR(IF($K65&lt;=$F$15,VLOOKUP($I65,'表4）CO2価格'!$A$7:$E$67,VLOOKUP($F$48,'表4）CO2価格'!$H$10:$I$12,2,0),0)*$F$8/1000,"")),0,IF($K65&lt;=$F$15,VLOOKUP($I65,'表4）CO2価格'!$A$7:$E$67,VLOOKUP($F$48,'表4）CO2価格'!$H$10:$I$12,2,0),0)*$F$8/1000,""))</f>
        <v/>
      </c>
      <c r="AZ65" s="39"/>
      <c r="BA65" s="42" t="str">
        <f t="shared" si="47"/>
        <v/>
      </c>
      <c r="BB65" s="72" t="str">
        <f t="shared" si="28"/>
        <v/>
      </c>
      <c r="BC65" s="39"/>
      <c r="BD65" s="72" t="str">
        <f t="shared" si="48"/>
        <v/>
      </c>
      <c r="BE65" s="72" t="str">
        <f t="shared" si="29"/>
        <v/>
      </c>
      <c r="BF65" s="39"/>
      <c r="BG65" s="42" t="str">
        <f t="shared" si="49"/>
        <v/>
      </c>
      <c r="BH65" s="72" t="str">
        <f t="shared" si="30"/>
        <v/>
      </c>
      <c r="BI65" s="39"/>
      <c r="BJ65" s="40" t="str">
        <f t="shared" si="31"/>
        <v/>
      </c>
      <c r="BK65" s="157" t="str">
        <f t="shared" si="32"/>
        <v/>
      </c>
      <c r="BL65" s="157" t="str">
        <f t="shared" si="14"/>
        <v/>
      </c>
      <c r="BM65" s="72"/>
      <c r="BN65" s="72" t="str">
        <f t="shared" si="33"/>
        <v/>
      </c>
      <c r="BO65" s="72" t="str">
        <f t="shared" si="34"/>
        <v/>
      </c>
      <c r="BP65" s="39"/>
      <c r="BQ65" s="72" t="str">
        <f t="shared" si="50"/>
        <v/>
      </c>
      <c r="BR65" s="72" t="str">
        <f t="shared" si="35"/>
        <v/>
      </c>
    </row>
    <row r="66" spans="2:70" x14ac:dyDescent="0.15">
      <c r="I66" s="457">
        <f t="shared" si="36"/>
        <v>2071</v>
      </c>
      <c r="K66" s="71">
        <f t="shared" si="37"/>
        <v>52</v>
      </c>
      <c r="L66" s="71"/>
      <c r="M66" s="7">
        <f t="shared" si="0"/>
        <v>0.215012800254269</v>
      </c>
      <c r="N66" s="71"/>
      <c r="O66" s="10" t="str">
        <f t="shared" si="16"/>
        <v/>
      </c>
      <c r="P66" s="29" t="str">
        <f t="shared" si="38"/>
        <v/>
      </c>
      <c r="Q66" s="71"/>
      <c r="R66" s="10" t="str">
        <f t="shared" si="51"/>
        <v/>
      </c>
      <c r="S66" s="71"/>
      <c r="T66" s="10" t="str">
        <f t="shared" si="18"/>
        <v/>
      </c>
      <c r="U66" s="71"/>
      <c r="V66" s="10" t="str">
        <f t="shared" si="39"/>
        <v/>
      </c>
      <c r="W66" s="10" t="str">
        <f t="shared" si="19"/>
        <v/>
      </c>
      <c r="X66" s="71"/>
      <c r="Y66" s="10" t="str">
        <f t="shared" si="40"/>
        <v/>
      </c>
      <c r="Z66" s="10" t="str">
        <f t="shared" si="20"/>
        <v/>
      </c>
      <c r="AA66" s="71"/>
      <c r="AB66" s="10" t="str">
        <f t="shared" si="4"/>
        <v/>
      </c>
      <c r="AC66" s="10" t="str">
        <f t="shared" si="21"/>
        <v/>
      </c>
      <c r="AD66" s="71"/>
      <c r="AE66" s="10" t="str">
        <f t="shared" si="41"/>
        <v/>
      </c>
      <c r="AF66" s="10" t="str">
        <f t="shared" si="22"/>
        <v/>
      </c>
      <c r="AG66" s="71"/>
      <c r="AH66" s="10" t="str">
        <f t="shared" si="42"/>
        <v/>
      </c>
      <c r="AI66" s="10" t="str">
        <f t="shared" si="23"/>
        <v/>
      </c>
      <c r="AJ66" s="71"/>
      <c r="AK66" s="10" t="str">
        <f t="shared" si="43"/>
        <v/>
      </c>
      <c r="AL66" s="10" t="str">
        <f t="shared" si="24"/>
        <v/>
      </c>
      <c r="AM66" s="71"/>
      <c r="AN66" s="10" t="str">
        <f t="shared" si="44"/>
        <v/>
      </c>
      <c r="AO66" s="10" t="str">
        <f t="shared" si="25"/>
        <v/>
      </c>
      <c r="AP66" s="71"/>
      <c r="AQ66" s="10" t="str">
        <f t="shared" si="45"/>
        <v/>
      </c>
      <c r="AR66" s="10" t="str">
        <f t="shared" si="26"/>
        <v/>
      </c>
      <c r="AS66" s="71"/>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U66" s="71"/>
      <c r="AV66" s="10" t="str">
        <f t="shared" si="46"/>
        <v/>
      </c>
      <c r="AW66" s="10" t="str">
        <f t="shared" si="27"/>
        <v/>
      </c>
      <c r="AX66" s="71"/>
      <c r="AY66" s="7" t="str">
        <f>IF(ISERROR(IF($K66&lt;=$F$15,VLOOKUP($I66,'表4）CO2価格'!$A$7:$E$67,VLOOKUP($F$48,'表4）CO2価格'!$H$10:$I$12,2,0),0)*$F$8/1000,"")),0,IF($K66&lt;=$F$15,VLOOKUP($I66,'表4）CO2価格'!$A$7:$E$67,VLOOKUP($F$48,'表4）CO2価格'!$H$10:$I$12,2,0),0)*$F$8/1000,""))</f>
        <v/>
      </c>
      <c r="AZ66" s="71"/>
      <c r="BA66" s="11" t="str">
        <f t="shared" si="47"/>
        <v/>
      </c>
      <c r="BB66" s="10" t="str">
        <f t="shared" si="28"/>
        <v/>
      </c>
      <c r="BC66" s="71"/>
      <c r="BD66" s="10" t="str">
        <f t="shared" si="48"/>
        <v/>
      </c>
      <c r="BE66" s="10" t="str">
        <f t="shared" si="29"/>
        <v/>
      </c>
      <c r="BF66" s="71"/>
      <c r="BG66" s="11" t="str">
        <f t="shared" si="49"/>
        <v/>
      </c>
      <c r="BH66" s="10" t="str">
        <f t="shared" si="30"/>
        <v/>
      </c>
      <c r="BJ66" s="7" t="str">
        <f t="shared" si="31"/>
        <v/>
      </c>
      <c r="BK66" s="158" t="str">
        <f t="shared" si="32"/>
        <v/>
      </c>
      <c r="BL66" s="158" t="str">
        <f t="shared" si="14"/>
        <v/>
      </c>
      <c r="BM66" s="10"/>
      <c r="BN66" s="10" t="str">
        <f t="shared" si="33"/>
        <v/>
      </c>
      <c r="BO66" s="10" t="str">
        <f t="shared" si="34"/>
        <v/>
      </c>
      <c r="BQ66" s="10" t="str">
        <f t="shared" si="50"/>
        <v/>
      </c>
      <c r="BR66" s="10" t="str">
        <f t="shared" si="35"/>
        <v/>
      </c>
    </row>
    <row r="67" spans="2:70" ht="15.75" thickBot="1" x14ac:dyDescent="0.2">
      <c r="B67" s="5" t="s">
        <v>133</v>
      </c>
      <c r="C67" s="3"/>
      <c r="D67" s="102"/>
      <c r="E67" s="102"/>
      <c r="F67" s="3"/>
      <c r="G67" s="102"/>
      <c r="I67" s="38">
        <f t="shared" si="36"/>
        <v>2072</v>
      </c>
      <c r="J67" s="39"/>
      <c r="K67" s="39">
        <f t="shared" si="37"/>
        <v>53</v>
      </c>
      <c r="L67" s="39"/>
      <c r="M67" s="40">
        <f t="shared" si="0"/>
        <v>0.20875029150899907</v>
      </c>
      <c r="N67" s="39"/>
      <c r="O67" s="72" t="str">
        <f t="shared" si="16"/>
        <v/>
      </c>
      <c r="P67" s="41" t="str">
        <f t="shared" si="38"/>
        <v/>
      </c>
      <c r="Q67" s="39"/>
      <c r="R67" s="72" t="str">
        <f t="shared" si="51"/>
        <v/>
      </c>
      <c r="S67" s="39"/>
      <c r="T67" s="72" t="str">
        <f t="shared" si="18"/>
        <v/>
      </c>
      <c r="U67" s="39"/>
      <c r="V67" s="72" t="str">
        <f t="shared" si="39"/>
        <v/>
      </c>
      <c r="W67" s="72" t="str">
        <f t="shared" si="19"/>
        <v/>
      </c>
      <c r="X67" s="39"/>
      <c r="Y67" s="72" t="str">
        <f t="shared" si="40"/>
        <v/>
      </c>
      <c r="Z67" s="72" t="str">
        <f t="shared" si="20"/>
        <v/>
      </c>
      <c r="AA67" s="39"/>
      <c r="AB67" s="72" t="str">
        <f t="shared" si="4"/>
        <v/>
      </c>
      <c r="AC67" s="72" t="str">
        <f t="shared" si="21"/>
        <v/>
      </c>
      <c r="AD67" s="39"/>
      <c r="AE67" s="72" t="str">
        <f t="shared" si="41"/>
        <v/>
      </c>
      <c r="AF67" s="72" t="str">
        <f t="shared" si="22"/>
        <v/>
      </c>
      <c r="AG67" s="39"/>
      <c r="AH67" s="72" t="str">
        <f t="shared" si="42"/>
        <v/>
      </c>
      <c r="AI67" s="72" t="str">
        <f t="shared" si="23"/>
        <v/>
      </c>
      <c r="AJ67" s="39"/>
      <c r="AK67" s="72" t="str">
        <f t="shared" si="43"/>
        <v/>
      </c>
      <c r="AL67" s="72" t="str">
        <f t="shared" si="24"/>
        <v/>
      </c>
      <c r="AM67" s="39"/>
      <c r="AN67" s="72" t="str">
        <f t="shared" si="44"/>
        <v/>
      </c>
      <c r="AO67" s="72" t="str">
        <f t="shared" si="25"/>
        <v/>
      </c>
      <c r="AP67" s="39"/>
      <c r="AQ67" s="72" t="str">
        <f t="shared" si="45"/>
        <v/>
      </c>
      <c r="AR67" s="72" t="str">
        <f t="shared" si="26"/>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46"/>
        <v/>
      </c>
      <c r="AW67" s="72" t="str">
        <f t="shared" si="27"/>
        <v/>
      </c>
      <c r="AX67" s="39"/>
      <c r="AY67" s="40" t="str">
        <f>IF(ISERROR(IF($K67&lt;=$F$15,VLOOKUP($I67,'表4）CO2価格'!$A$7:$E$67,VLOOKUP($F$48,'表4）CO2価格'!$H$10:$I$12,2,0),0)*$F$8/1000,"")),0,IF($K67&lt;=$F$15,VLOOKUP($I67,'表4）CO2価格'!$A$7:$E$67,VLOOKUP($F$48,'表4）CO2価格'!$H$10:$I$12,2,0),0)*$F$8/1000,""))</f>
        <v/>
      </c>
      <c r="AZ67" s="39"/>
      <c r="BA67" s="42" t="str">
        <f t="shared" si="47"/>
        <v/>
      </c>
      <c r="BB67" s="72" t="str">
        <f t="shared" si="28"/>
        <v/>
      </c>
      <c r="BC67" s="39"/>
      <c r="BD67" s="72" t="str">
        <f t="shared" si="48"/>
        <v/>
      </c>
      <c r="BE67" s="72" t="str">
        <f t="shared" si="29"/>
        <v/>
      </c>
      <c r="BF67" s="39"/>
      <c r="BG67" s="42" t="str">
        <f t="shared" si="49"/>
        <v/>
      </c>
      <c r="BH67" s="72" t="str">
        <f t="shared" si="30"/>
        <v/>
      </c>
      <c r="BI67" s="39"/>
      <c r="BJ67" s="40" t="str">
        <f t="shared" si="31"/>
        <v/>
      </c>
      <c r="BK67" s="157" t="str">
        <f t="shared" si="32"/>
        <v/>
      </c>
      <c r="BL67" s="157" t="str">
        <f t="shared" si="14"/>
        <v/>
      </c>
      <c r="BM67" s="72"/>
      <c r="BN67" s="72" t="str">
        <f t="shared" si="33"/>
        <v/>
      </c>
      <c r="BO67" s="72" t="str">
        <f t="shared" si="34"/>
        <v/>
      </c>
      <c r="BP67" s="39"/>
      <c r="BQ67" s="72" t="str">
        <f t="shared" si="50"/>
        <v/>
      </c>
      <c r="BR67" s="72" t="str">
        <f t="shared" si="35"/>
        <v/>
      </c>
    </row>
    <row r="68" spans="2:70" x14ac:dyDescent="0.15">
      <c r="I68" s="457">
        <f t="shared" si="36"/>
        <v>2073</v>
      </c>
      <c r="K68" s="71">
        <f t="shared" si="37"/>
        <v>54</v>
      </c>
      <c r="L68" s="71"/>
      <c r="M68" s="7">
        <f t="shared" si="0"/>
        <v>0.20267018593106703</v>
      </c>
      <c r="N68" s="71"/>
      <c r="O68" s="10" t="str">
        <f t="shared" si="16"/>
        <v/>
      </c>
      <c r="P68" s="29" t="str">
        <f t="shared" si="38"/>
        <v/>
      </c>
      <c r="Q68" s="71"/>
      <c r="R68" s="10" t="str">
        <f t="shared" si="51"/>
        <v/>
      </c>
      <c r="S68" s="71"/>
      <c r="T68" s="10" t="str">
        <f t="shared" si="18"/>
        <v/>
      </c>
      <c r="U68" s="71"/>
      <c r="V68" s="10" t="str">
        <f t="shared" si="39"/>
        <v/>
      </c>
      <c r="W68" s="10" t="str">
        <f t="shared" si="19"/>
        <v/>
      </c>
      <c r="X68" s="71"/>
      <c r="Y68" s="10" t="str">
        <f t="shared" si="40"/>
        <v/>
      </c>
      <c r="Z68" s="10" t="str">
        <f t="shared" si="20"/>
        <v/>
      </c>
      <c r="AA68" s="71"/>
      <c r="AB68" s="10" t="str">
        <f t="shared" si="4"/>
        <v/>
      </c>
      <c r="AC68" s="10" t="str">
        <f t="shared" si="21"/>
        <v/>
      </c>
      <c r="AD68" s="71"/>
      <c r="AE68" s="10" t="str">
        <f t="shared" si="41"/>
        <v/>
      </c>
      <c r="AF68" s="10" t="str">
        <f t="shared" si="22"/>
        <v/>
      </c>
      <c r="AG68" s="71"/>
      <c r="AH68" s="10" t="str">
        <f t="shared" si="42"/>
        <v/>
      </c>
      <c r="AI68" s="10" t="str">
        <f t="shared" si="23"/>
        <v/>
      </c>
      <c r="AJ68" s="71"/>
      <c r="AK68" s="10" t="str">
        <f t="shared" si="43"/>
        <v/>
      </c>
      <c r="AL68" s="10" t="str">
        <f t="shared" si="24"/>
        <v/>
      </c>
      <c r="AM68" s="71"/>
      <c r="AN68" s="10" t="str">
        <f t="shared" si="44"/>
        <v/>
      </c>
      <c r="AO68" s="10" t="str">
        <f t="shared" si="25"/>
        <v/>
      </c>
      <c r="AP68" s="71"/>
      <c r="AQ68" s="10" t="str">
        <f t="shared" si="45"/>
        <v/>
      </c>
      <c r="AR68" s="10" t="str">
        <f t="shared" si="26"/>
        <v/>
      </c>
      <c r="AS68" s="71"/>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U68" s="71"/>
      <c r="AV68" s="10" t="str">
        <f t="shared" si="46"/>
        <v/>
      </c>
      <c r="AW68" s="10" t="str">
        <f t="shared" si="27"/>
        <v/>
      </c>
      <c r="AX68" s="71"/>
      <c r="AY68" s="7" t="str">
        <f>IF(ISERROR(IF($K68&lt;=$F$15,VLOOKUP($I68,'表4）CO2価格'!$A$7:$E$67,VLOOKUP($F$48,'表4）CO2価格'!$H$10:$I$12,2,0),0)*$F$8/1000,"")),0,IF($K68&lt;=$F$15,VLOOKUP($I68,'表4）CO2価格'!$A$7:$E$67,VLOOKUP($F$48,'表4）CO2価格'!$H$10:$I$12,2,0),0)*$F$8/1000,""))</f>
        <v/>
      </c>
      <c r="AZ68" s="71"/>
      <c r="BA68" s="11" t="str">
        <f t="shared" si="47"/>
        <v/>
      </c>
      <c r="BB68" s="10" t="str">
        <f t="shared" si="28"/>
        <v/>
      </c>
      <c r="BC68" s="71"/>
      <c r="BD68" s="10" t="str">
        <f t="shared" si="48"/>
        <v/>
      </c>
      <c r="BE68" s="10" t="str">
        <f t="shared" si="29"/>
        <v/>
      </c>
      <c r="BF68" s="71"/>
      <c r="BG68" s="11" t="str">
        <f t="shared" si="49"/>
        <v/>
      </c>
      <c r="BH68" s="10" t="str">
        <f t="shared" si="30"/>
        <v/>
      </c>
      <c r="BJ68" s="7" t="str">
        <f t="shared" si="31"/>
        <v/>
      </c>
      <c r="BK68" s="158" t="str">
        <f t="shared" si="32"/>
        <v/>
      </c>
      <c r="BL68" s="158" t="str">
        <f t="shared" si="14"/>
        <v/>
      </c>
      <c r="BM68" s="10"/>
      <c r="BN68" s="10" t="str">
        <f t="shared" si="33"/>
        <v/>
      </c>
      <c r="BO68" s="10" t="str">
        <f t="shared" si="34"/>
        <v/>
      </c>
      <c r="BQ68" s="10" t="str">
        <f t="shared" si="50"/>
        <v/>
      </c>
      <c r="BR68" s="10" t="str">
        <f t="shared" si="35"/>
        <v/>
      </c>
    </row>
    <row r="69" spans="2:70" x14ac:dyDescent="0.15">
      <c r="C69" s="483" t="s">
        <v>134</v>
      </c>
      <c r="D69" s="71"/>
      <c r="E69" s="71"/>
      <c r="F69" s="484">
        <f>SUBTOTAL(9,F74:F112)-F105</f>
        <v>21.067159320347287</v>
      </c>
      <c r="G69" s="71" t="s">
        <v>590</v>
      </c>
      <c r="I69" s="38">
        <f t="shared" si="36"/>
        <v>2074</v>
      </c>
      <c r="J69" s="39"/>
      <c r="K69" s="39">
        <f t="shared" si="37"/>
        <v>55</v>
      </c>
      <c r="L69" s="39"/>
      <c r="M69" s="40">
        <f t="shared" si="0"/>
        <v>0.19676717080686118</v>
      </c>
      <c r="N69" s="39"/>
      <c r="O69" s="72" t="str">
        <f t="shared" si="16"/>
        <v/>
      </c>
      <c r="P69" s="41" t="str">
        <f t="shared" si="38"/>
        <v/>
      </c>
      <c r="Q69" s="39"/>
      <c r="R69" s="72" t="str">
        <f t="shared" si="51"/>
        <v/>
      </c>
      <c r="S69" s="39"/>
      <c r="T69" s="72" t="str">
        <f t="shared" si="18"/>
        <v/>
      </c>
      <c r="U69" s="39"/>
      <c r="V69" s="72" t="str">
        <f t="shared" si="39"/>
        <v/>
      </c>
      <c r="W69" s="72" t="str">
        <f t="shared" si="19"/>
        <v/>
      </c>
      <c r="X69" s="39"/>
      <c r="Y69" s="72" t="str">
        <f t="shared" si="40"/>
        <v/>
      </c>
      <c r="Z69" s="72" t="str">
        <f t="shared" si="20"/>
        <v/>
      </c>
      <c r="AA69" s="39"/>
      <c r="AB69" s="72" t="str">
        <f t="shared" si="4"/>
        <v/>
      </c>
      <c r="AC69" s="72" t="str">
        <f t="shared" si="21"/>
        <v/>
      </c>
      <c r="AD69" s="39"/>
      <c r="AE69" s="72" t="str">
        <f t="shared" si="41"/>
        <v/>
      </c>
      <c r="AF69" s="72" t="str">
        <f t="shared" si="22"/>
        <v/>
      </c>
      <c r="AG69" s="39"/>
      <c r="AH69" s="72" t="str">
        <f t="shared" si="42"/>
        <v/>
      </c>
      <c r="AI69" s="72" t="str">
        <f t="shared" si="23"/>
        <v/>
      </c>
      <c r="AJ69" s="39"/>
      <c r="AK69" s="72" t="str">
        <f t="shared" si="43"/>
        <v/>
      </c>
      <c r="AL69" s="72" t="str">
        <f t="shared" si="24"/>
        <v/>
      </c>
      <c r="AM69" s="39"/>
      <c r="AN69" s="72" t="str">
        <f t="shared" si="44"/>
        <v/>
      </c>
      <c r="AO69" s="72" t="str">
        <f t="shared" si="25"/>
        <v/>
      </c>
      <c r="AP69" s="39"/>
      <c r="AQ69" s="72" t="str">
        <f t="shared" si="45"/>
        <v/>
      </c>
      <c r="AR69" s="72" t="str">
        <f t="shared" si="26"/>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46"/>
        <v/>
      </c>
      <c r="AW69" s="72" t="str">
        <f t="shared" si="27"/>
        <v/>
      </c>
      <c r="AX69" s="39"/>
      <c r="AY69" s="40" t="str">
        <f>IF(ISERROR(IF($K69&lt;=$F$15,VLOOKUP($I69,'表4）CO2価格'!$A$7:$E$67,VLOOKUP($F$48,'表4）CO2価格'!$H$10:$I$12,2,0),0)*$F$8/1000,"")),0,IF($K69&lt;=$F$15,VLOOKUP($I69,'表4）CO2価格'!$A$7:$E$67,VLOOKUP($F$48,'表4）CO2価格'!$H$10:$I$12,2,0),0)*$F$8/1000,""))</f>
        <v/>
      </c>
      <c r="AZ69" s="39"/>
      <c r="BA69" s="42" t="str">
        <f t="shared" si="47"/>
        <v/>
      </c>
      <c r="BB69" s="72" t="str">
        <f t="shared" si="28"/>
        <v/>
      </c>
      <c r="BC69" s="39"/>
      <c r="BD69" s="72" t="str">
        <f t="shared" si="48"/>
        <v/>
      </c>
      <c r="BE69" s="72" t="str">
        <f t="shared" si="29"/>
        <v/>
      </c>
      <c r="BF69" s="39"/>
      <c r="BG69" s="42" t="str">
        <f t="shared" si="49"/>
        <v/>
      </c>
      <c r="BH69" s="72" t="str">
        <f t="shared" si="30"/>
        <v/>
      </c>
      <c r="BI69" s="39"/>
      <c r="BJ69" s="40" t="str">
        <f t="shared" si="31"/>
        <v/>
      </c>
      <c r="BK69" s="157" t="str">
        <f t="shared" si="32"/>
        <v/>
      </c>
      <c r="BL69" s="157" t="str">
        <f t="shared" si="14"/>
        <v/>
      </c>
      <c r="BM69" s="72"/>
      <c r="BN69" s="72" t="str">
        <f t="shared" si="33"/>
        <v/>
      </c>
      <c r="BO69" s="72" t="str">
        <f t="shared" si="34"/>
        <v/>
      </c>
      <c r="BP69" s="39"/>
      <c r="BQ69" s="72" t="str">
        <f t="shared" si="50"/>
        <v/>
      </c>
      <c r="BR69" s="72" t="str">
        <f t="shared" si="35"/>
        <v/>
      </c>
    </row>
    <row r="70" spans="2:70" x14ac:dyDescent="0.15">
      <c r="C70" s="483" t="s">
        <v>135</v>
      </c>
      <c r="D70" s="71"/>
      <c r="E70" s="71"/>
      <c r="F70" s="484">
        <f ca="1">MAX(SUM($Z$117,$AF$117,$AI$117,$AL$117,$AO$117,$AR$117,$AW$117,$BB$117,$BE$117,$BH$117,$BO$116)/$BR$116+$F$105,SUBTOTAL(9,F74:F112))</f>
        <v>30.035544704963467</v>
      </c>
      <c r="G70" s="71" t="s">
        <v>590</v>
      </c>
      <c r="I70" s="457">
        <f t="shared" si="36"/>
        <v>2075</v>
      </c>
      <c r="K70" s="71">
        <f t="shared" si="37"/>
        <v>56</v>
      </c>
      <c r="L70" s="71"/>
      <c r="M70" s="7">
        <f t="shared" si="0"/>
        <v>0.19103608816200118</v>
      </c>
      <c r="N70" s="71"/>
      <c r="O70" s="10" t="str">
        <f t="shared" si="16"/>
        <v/>
      </c>
      <c r="P70" s="29" t="str">
        <f t="shared" si="38"/>
        <v/>
      </c>
      <c r="Q70" s="71"/>
      <c r="R70" s="10" t="str">
        <f t="shared" si="51"/>
        <v/>
      </c>
      <c r="S70" s="71"/>
      <c r="T70" s="10" t="str">
        <f t="shared" si="18"/>
        <v/>
      </c>
      <c r="U70" s="71"/>
      <c r="V70" s="10" t="str">
        <f t="shared" si="39"/>
        <v/>
      </c>
      <c r="W70" s="10" t="str">
        <f t="shared" si="19"/>
        <v/>
      </c>
      <c r="X70" s="71"/>
      <c r="Y70" s="10" t="str">
        <f t="shared" si="40"/>
        <v/>
      </c>
      <c r="Z70" s="10" t="str">
        <f t="shared" si="20"/>
        <v/>
      </c>
      <c r="AA70" s="71"/>
      <c r="AB70" s="10" t="str">
        <f t="shared" si="4"/>
        <v/>
      </c>
      <c r="AC70" s="10" t="str">
        <f t="shared" si="21"/>
        <v/>
      </c>
      <c r="AD70" s="71"/>
      <c r="AE70" s="10" t="str">
        <f t="shared" si="41"/>
        <v/>
      </c>
      <c r="AF70" s="10" t="str">
        <f t="shared" si="22"/>
        <v/>
      </c>
      <c r="AG70" s="71"/>
      <c r="AH70" s="10" t="str">
        <f t="shared" si="42"/>
        <v/>
      </c>
      <c r="AI70" s="10" t="str">
        <f t="shared" si="23"/>
        <v/>
      </c>
      <c r="AJ70" s="71"/>
      <c r="AK70" s="10" t="str">
        <f t="shared" si="43"/>
        <v/>
      </c>
      <c r="AL70" s="10" t="str">
        <f t="shared" si="24"/>
        <v/>
      </c>
      <c r="AM70" s="71"/>
      <c r="AN70" s="10" t="str">
        <f t="shared" si="44"/>
        <v/>
      </c>
      <c r="AO70" s="10" t="str">
        <f t="shared" si="25"/>
        <v/>
      </c>
      <c r="AP70" s="71"/>
      <c r="AQ70" s="10" t="str">
        <f t="shared" si="45"/>
        <v/>
      </c>
      <c r="AR70" s="10" t="str">
        <f t="shared" si="26"/>
        <v/>
      </c>
      <c r="AS70" s="71"/>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U70" s="71"/>
      <c r="AV70" s="10" t="str">
        <f t="shared" si="46"/>
        <v/>
      </c>
      <c r="AW70" s="10" t="str">
        <f t="shared" si="27"/>
        <v/>
      </c>
      <c r="AX70" s="71"/>
      <c r="AY70" s="7" t="str">
        <f>IF(ISERROR(IF($K70&lt;=$F$15,VLOOKUP($I70,'表4）CO2価格'!$A$7:$E$67,VLOOKUP($F$48,'表4）CO2価格'!$H$10:$I$12,2,0),0)*$F$8/1000,"")),0,IF($K70&lt;=$F$15,VLOOKUP($I70,'表4）CO2価格'!$A$7:$E$67,VLOOKUP($F$48,'表4）CO2価格'!$H$10:$I$12,2,0),0)*$F$8/1000,""))</f>
        <v/>
      </c>
      <c r="AZ70" s="71"/>
      <c r="BA70" s="11" t="str">
        <f t="shared" si="47"/>
        <v/>
      </c>
      <c r="BB70" s="10" t="str">
        <f t="shared" si="28"/>
        <v/>
      </c>
      <c r="BC70" s="71"/>
      <c r="BD70" s="10" t="str">
        <f t="shared" si="48"/>
        <v/>
      </c>
      <c r="BE70" s="10" t="str">
        <f t="shared" si="29"/>
        <v/>
      </c>
      <c r="BF70" s="71"/>
      <c r="BG70" s="11" t="str">
        <f t="shared" si="49"/>
        <v/>
      </c>
      <c r="BH70" s="10" t="str">
        <f t="shared" si="30"/>
        <v/>
      </c>
      <c r="BJ70" s="7" t="str">
        <f t="shared" si="31"/>
        <v/>
      </c>
      <c r="BK70" s="158" t="str">
        <f t="shared" si="32"/>
        <v/>
      </c>
      <c r="BL70" s="158" t="str">
        <f t="shared" si="14"/>
        <v/>
      </c>
      <c r="BM70" s="10"/>
      <c r="BN70" s="10" t="str">
        <f t="shared" si="33"/>
        <v/>
      </c>
      <c r="BO70" s="10" t="str">
        <f t="shared" si="34"/>
        <v/>
      </c>
      <c r="BQ70" s="10" t="str">
        <f t="shared" si="50"/>
        <v/>
      </c>
      <c r="BR70" s="10" t="str">
        <f t="shared" si="35"/>
        <v/>
      </c>
    </row>
    <row r="71" spans="2:70" x14ac:dyDescent="0.15">
      <c r="F71" s="485"/>
      <c r="I71" s="38">
        <f t="shared" si="36"/>
        <v>2076</v>
      </c>
      <c r="J71" s="39"/>
      <c r="K71" s="39">
        <f t="shared" si="37"/>
        <v>57</v>
      </c>
      <c r="L71" s="39"/>
      <c r="M71" s="40">
        <f t="shared" si="0"/>
        <v>0.18547193025437006</v>
      </c>
      <c r="N71" s="39"/>
      <c r="O71" s="72" t="str">
        <f t="shared" si="16"/>
        <v/>
      </c>
      <c r="P71" s="41" t="str">
        <f t="shared" si="38"/>
        <v/>
      </c>
      <c r="Q71" s="39"/>
      <c r="R71" s="72" t="str">
        <f t="shared" si="51"/>
        <v/>
      </c>
      <c r="S71" s="39"/>
      <c r="T71" s="72" t="str">
        <f t="shared" si="18"/>
        <v/>
      </c>
      <c r="U71" s="39"/>
      <c r="V71" s="72" t="str">
        <f t="shared" si="39"/>
        <v/>
      </c>
      <c r="W71" s="72" t="str">
        <f t="shared" si="19"/>
        <v/>
      </c>
      <c r="X71" s="39"/>
      <c r="Y71" s="72" t="str">
        <f t="shared" si="40"/>
        <v/>
      </c>
      <c r="Z71" s="72" t="str">
        <f t="shared" si="20"/>
        <v/>
      </c>
      <c r="AA71" s="39"/>
      <c r="AB71" s="72" t="str">
        <f t="shared" si="4"/>
        <v/>
      </c>
      <c r="AC71" s="72" t="str">
        <f t="shared" si="21"/>
        <v/>
      </c>
      <c r="AD71" s="39"/>
      <c r="AE71" s="72" t="str">
        <f t="shared" si="41"/>
        <v/>
      </c>
      <c r="AF71" s="72" t="str">
        <f t="shared" si="22"/>
        <v/>
      </c>
      <c r="AG71" s="39"/>
      <c r="AH71" s="72" t="str">
        <f t="shared" si="42"/>
        <v/>
      </c>
      <c r="AI71" s="72" t="str">
        <f t="shared" si="23"/>
        <v/>
      </c>
      <c r="AJ71" s="39"/>
      <c r="AK71" s="72" t="str">
        <f t="shared" si="43"/>
        <v/>
      </c>
      <c r="AL71" s="72" t="str">
        <f t="shared" si="24"/>
        <v/>
      </c>
      <c r="AM71" s="39"/>
      <c r="AN71" s="72" t="str">
        <f t="shared" si="44"/>
        <v/>
      </c>
      <c r="AO71" s="72" t="str">
        <f t="shared" si="25"/>
        <v/>
      </c>
      <c r="AP71" s="39"/>
      <c r="AQ71" s="72" t="str">
        <f t="shared" si="45"/>
        <v/>
      </c>
      <c r="AR71" s="72" t="str">
        <f t="shared" si="26"/>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46"/>
        <v/>
      </c>
      <c r="AW71" s="72" t="str">
        <f t="shared" si="27"/>
        <v/>
      </c>
      <c r="AX71" s="39"/>
      <c r="AY71" s="40" t="str">
        <f>IF(ISERROR(IF($K71&lt;=$F$15,VLOOKUP($I71,'表4）CO2価格'!$A$7:$E$67,VLOOKUP($F$48,'表4）CO2価格'!$H$10:$I$12,2,0),0)*$F$8/1000,"")),0,IF($K71&lt;=$F$15,VLOOKUP($I71,'表4）CO2価格'!$A$7:$E$67,VLOOKUP($F$48,'表4）CO2価格'!$H$10:$I$12,2,0),0)*$F$8/1000,""))</f>
        <v/>
      </c>
      <c r="AZ71" s="39"/>
      <c r="BA71" s="42" t="str">
        <f t="shared" si="47"/>
        <v/>
      </c>
      <c r="BB71" s="72" t="str">
        <f t="shared" si="28"/>
        <v/>
      </c>
      <c r="BC71" s="39"/>
      <c r="BD71" s="72" t="str">
        <f t="shared" si="48"/>
        <v/>
      </c>
      <c r="BE71" s="72" t="str">
        <f t="shared" si="29"/>
        <v/>
      </c>
      <c r="BF71" s="39"/>
      <c r="BG71" s="42" t="str">
        <f t="shared" si="49"/>
        <v/>
      </c>
      <c r="BH71" s="72" t="str">
        <f t="shared" si="30"/>
        <v/>
      </c>
      <c r="BI71" s="39"/>
      <c r="BJ71" s="40" t="str">
        <f t="shared" si="31"/>
        <v/>
      </c>
      <c r="BK71" s="157" t="str">
        <f t="shared" si="32"/>
        <v/>
      </c>
      <c r="BL71" s="157" t="str">
        <f t="shared" si="14"/>
        <v/>
      </c>
      <c r="BM71" s="72"/>
      <c r="BN71" s="72" t="str">
        <f t="shared" si="33"/>
        <v/>
      </c>
      <c r="BO71" s="72" t="str">
        <f t="shared" si="34"/>
        <v/>
      </c>
      <c r="BP71" s="39"/>
      <c r="BQ71" s="72" t="str">
        <f t="shared" si="50"/>
        <v/>
      </c>
      <c r="BR71" s="72" t="str">
        <f t="shared" si="35"/>
        <v/>
      </c>
    </row>
    <row r="72" spans="2:70" x14ac:dyDescent="0.15">
      <c r="C72" s="4" t="s">
        <v>136</v>
      </c>
      <c r="D72" s="100"/>
      <c r="E72" s="100"/>
      <c r="F72" s="486"/>
      <c r="G72" s="100"/>
      <c r="I72" s="457">
        <f t="shared" si="36"/>
        <v>2077</v>
      </c>
      <c r="K72" s="71">
        <f t="shared" si="37"/>
        <v>58</v>
      </c>
      <c r="L72" s="71"/>
      <c r="M72" s="7">
        <f t="shared" si="0"/>
        <v>0.18006983519841754</v>
      </c>
      <c r="N72" s="71"/>
      <c r="O72" s="10" t="str">
        <f t="shared" si="16"/>
        <v/>
      </c>
      <c r="P72" s="29" t="str">
        <f t="shared" si="38"/>
        <v/>
      </c>
      <c r="Q72" s="71"/>
      <c r="R72" s="10" t="str">
        <f t="shared" si="51"/>
        <v/>
      </c>
      <c r="S72" s="71"/>
      <c r="T72" s="10" t="str">
        <f t="shared" si="18"/>
        <v/>
      </c>
      <c r="U72" s="71"/>
      <c r="V72" s="10" t="str">
        <f t="shared" si="39"/>
        <v/>
      </c>
      <c r="W72" s="10" t="str">
        <f t="shared" si="19"/>
        <v/>
      </c>
      <c r="X72" s="71"/>
      <c r="Y72" s="10" t="str">
        <f t="shared" si="40"/>
        <v/>
      </c>
      <c r="Z72" s="10" t="str">
        <f t="shared" si="20"/>
        <v/>
      </c>
      <c r="AA72" s="71"/>
      <c r="AB72" s="10" t="str">
        <f t="shared" si="4"/>
        <v/>
      </c>
      <c r="AC72" s="10" t="str">
        <f t="shared" si="21"/>
        <v/>
      </c>
      <c r="AD72" s="71"/>
      <c r="AE72" s="10" t="str">
        <f t="shared" si="41"/>
        <v/>
      </c>
      <c r="AF72" s="10" t="str">
        <f t="shared" si="22"/>
        <v/>
      </c>
      <c r="AG72" s="71"/>
      <c r="AH72" s="10" t="str">
        <f t="shared" si="42"/>
        <v/>
      </c>
      <c r="AI72" s="10" t="str">
        <f t="shared" si="23"/>
        <v/>
      </c>
      <c r="AJ72" s="71"/>
      <c r="AK72" s="10" t="str">
        <f t="shared" si="43"/>
        <v/>
      </c>
      <c r="AL72" s="10" t="str">
        <f t="shared" si="24"/>
        <v/>
      </c>
      <c r="AM72" s="71"/>
      <c r="AN72" s="10" t="str">
        <f t="shared" si="44"/>
        <v/>
      </c>
      <c r="AO72" s="10" t="str">
        <f t="shared" si="25"/>
        <v/>
      </c>
      <c r="AP72" s="71"/>
      <c r="AQ72" s="10" t="str">
        <f t="shared" si="45"/>
        <v/>
      </c>
      <c r="AR72" s="10" t="str">
        <f t="shared" si="26"/>
        <v/>
      </c>
      <c r="AS72" s="71"/>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U72" s="71"/>
      <c r="AV72" s="10" t="str">
        <f t="shared" si="46"/>
        <v/>
      </c>
      <c r="AW72" s="10" t="str">
        <f t="shared" si="27"/>
        <v/>
      </c>
      <c r="AX72" s="71"/>
      <c r="AY72" s="7" t="str">
        <f>IF(ISERROR(IF($K72&lt;=$F$15,VLOOKUP($I72,'表4）CO2価格'!$A$7:$E$67,VLOOKUP($F$48,'表4）CO2価格'!$H$10:$I$12,2,0),0)*$F$8/1000,"")),0,IF($K72&lt;=$F$15,VLOOKUP($I72,'表4）CO2価格'!$A$7:$E$67,VLOOKUP($F$48,'表4）CO2価格'!$H$10:$I$12,2,0),0)*$F$8/1000,""))</f>
        <v/>
      </c>
      <c r="AZ72" s="71"/>
      <c r="BA72" s="11" t="str">
        <f t="shared" si="47"/>
        <v/>
      </c>
      <c r="BB72" s="10" t="str">
        <f t="shared" si="28"/>
        <v/>
      </c>
      <c r="BC72" s="71"/>
      <c r="BD72" s="10" t="str">
        <f t="shared" si="48"/>
        <v/>
      </c>
      <c r="BE72" s="10" t="str">
        <f t="shared" si="29"/>
        <v/>
      </c>
      <c r="BF72" s="71"/>
      <c r="BG72" s="11" t="str">
        <f t="shared" si="49"/>
        <v/>
      </c>
      <c r="BH72" s="10" t="str">
        <f t="shared" si="30"/>
        <v/>
      </c>
      <c r="BJ72" s="7" t="str">
        <f t="shared" si="31"/>
        <v/>
      </c>
      <c r="BK72" s="158" t="str">
        <f t="shared" si="32"/>
        <v/>
      </c>
      <c r="BL72" s="158" t="str">
        <f t="shared" si="14"/>
        <v/>
      </c>
      <c r="BM72" s="10"/>
      <c r="BN72" s="10" t="str">
        <f t="shared" si="33"/>
        <v/>
      </c>
      <c r="BO72" s="10" t="str">
        <f t="shared" si="34"/>
        <v/>
      </c>
      <c r="BQ72" s="10" t="str">
        <f t="shared" si="50"/>
        <v/>
      </c>
      <c r="BR72" s="10" t="str">
        <f t="shared" si="35"/>
        <v/>
      </c>
    </row>
    <row r="73" spans="2:70" x14ac:dyDescent="0.15">
      <c r="F73" s="487"/>
      <c r="I73" s="38">
        <f t="shared" si="36"/>
        <v>2078</v>
      </c>
      <c r="J73" s="39"/>
      <c r="K73" s="39">
        <f t="shared" si="37"/>
        <v>59</v>
      </c>
      <c r="L73" s="39"/>
      <c r="M73" s="40">
        <f t="shared" si="0"/>
        <v>0.17482508271691022</v>
      </c>
      <c r="N73" s="39"/>
      <c r="O73" s="72" t="str">
        <f t="shared" si="16"/>
        <v/>
      </c>
      <c r="P73" s="41" t="str">
        <f t="shared" si="38"/>
        <v/>
      </c>
      <c r="Q73" s="39"/>
      <c r="R73" s="72" t="str">
        <f t="shared" si="51"/>
        <v/>
      </c>
      <c r="S73" s="39"/>
      <c r="T73" s="72" t="str">
        <f t="shared" si="18"/>
        <v/>
      </c>
      <c r="U73" s="39"/>
      <c r="V73" s="72" t="str">
        <f t="shared" si="39"/>
        <v/>
      </c>
      <c r="W73" s="72" t="str">
        <f t="shared" si="19"/>
        <v/>
      </c>
      <c r="X73" s="39"/>
      <c r="Y73" s="72" t="str">
        <f t="shared" si="40"/>
        <v/>
      </c>
      <c r="Z73" s="72" t="str">
        <f t="shared" si="20"/>
        <v/>
      </c>
      <c r="AA73" s="39"/>
      <c r="AB73" s="72" t="str">
        <f t="shared" si="4"/>
        <v/>
      </c>
      <c r="AC73" s="72" t="str">
        <f t="shared" si="21"/>
        <v/>
      </c>
      <c r="AD73" s="39"/>
      <c r="AE73" s="72" t="str">
        <f t="shared" si="41"/>
        <v/>
      </c>
      <c r="AF73" s="72" t="str">
        <f t="shared" si="22"/>
        <v/>
      </c>
      <c r="AG73" s="39"/>
      <c r="AH73" s="72" t="str">
        <f t="shared" si="42"/>
        <v/>
      </c>
      <c r="AI73" s="72" t="str">
        <f t="shared" si="23"/>
        <v/>
      </c>
      <c r="AJ73" s="39"/>
      <c r="AK73" s="72" t="str">
        <f t="shared" si="43"/>
        <v/>
      </c>
      <c r="AL73" s="72" t="str">
        <f t="shared" si="24"/>
        <v/>
      </c>
      <c r="AM73" s="39"/>
      <c r="AN73" s="72" t="str">
        <f t="shared" si="44"/>
        <v/>
      </c>
      <c r="AO73" s="72" t="str">
        <f t="shared" si="25"/>
        <v/>
      </c>
      <c r="AP73" s="39"/>
      <c r="AQ73" s="72" t="str">
        <f t="shared" si="45"/>
        <v/>
      </c>
      <c r="AR73" s="72" t="str">
        <f t="shared" si="26"/>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46"/>
        <v/>
      </c>
      <c r="AW73" s="72" t="str">
        <f t="shared" si="27"/>
        <v/>
      </c>
      <c r="AX73" s="39"/>
      <c r="AY73" s="40" t="str">
        <f>IF(ISERROR(IF($K73&lt;=$F$15,VLOOKUP($I73,'表4）CO2価格'!$A$7:$E$67,VLOOKUP($F$48,'表4）CO2価格'!$H$10:$I$12,2,0),0)*$F$8/1000,"")),0,IF($K73&lt;=$F$15,VLOOKUP($I73,'表4）CO2価格'!$A$7:$E$67,VLOOKUP($F$48,'表4）CO2価格'!$H$10:$I$12,2,0),0)*$F$8/1000,""))</f>
        <v/>
      </c>
      <c r="AZ73" s="39"/>
      <c r="BA73" s="42" t="str">
        <f t="shared" si="47"/>
        <v/>
      </c>
      <c r="BB73" s="72" t="str">
        <f t="shared" si="28"/>
        <v/>
      </c>
      <c r="BC73" s="39"/>
      <c r="BD73" s="72" t="str">
        <f t="shared" si="48"/>
        <v/>
      </c>
      <c r="BE73" s="72" t="str">
        <f t="shared" si="29"/>
        <v/>
      </c>
      <c r="BF73" s="39"/>
      <c r="BG73" s="42" t="str">
        <f t="shared" si="49"/>
        <v/>
      </c>
      <c r="BH73" s="72" t="str">
        <f t="shared" si="30"/>
        <v/>
      </c>
      <c r="BI73" s="39"/>
      <c r="BJ73" s="40" t="str">
        <f t="shared" si="31"/>
        <v/>
      </c>
      <c r="BK73" s="157" t="str">
        <f t="shared" si="32"/>
        <v/>
      </c>
      <c r="BL73" s="157" t="str">
        <f t="shared" si="14"/>
        <v/>
      </c>
      <c r="BM73" s="72"/>
      <c r="BN73" s="72" t="str">
        <f t="shared" si="33"/>
        <v/>
      </c>
      <c r="BO73" s="72" t="str">
        <f t="shared" si="34"/>
        <v/>
      </c>
      <c r="BP73" s="39"/>
      <c r="BQ73" s="72" t="str">
        <f t="shared" si="50"/>
        <v/>
      </c>
      <c r="BR73" s="72" t="str">
        <f t="shared" si="35"/>
        <v/>
      </c>
    </row>
    <row r="74" spans="2:70" ht="15" x14ac:dyDescent="0.15">
      <c r="D74" s="103" t="s">
        <v>591</v>
      </c>
      <c r="F74" s="484">
        <f>SUBTOTAL(9,F78:F81)</f>
        <v>12.505515484730845</v>
      </c>
      <c r="G74" s="84" t="s">
        <v>590</v>
      </c>
      <c r="I74" s="457">
        <f t="shared" si="36"/>
        <v>2079</v>
      </c>
      <c r="K74" s="71">
        <f t="shared" si="37"/>
        <v>60</v>
      </c>
      <c r="L74" s="71"/>
      <c r="M74" s="7">
        <f t="shared" si="0"/>
        <v>0.1697330900164177</v>
      </c>
      <c r="N74" s="71"/>
      <c r="O74" s="10" t="str">
        <f t="shared" si="16"/>
        <v/>
      </c>
      <c r="P74" s="29" t="str">
        <f t="shared" si="38"/>
        <v/>
      </c>
      <c r="Q74" s="71"/>
      <c r="R74" s="10" t="str">
        <f t="shared" si="51"/>
        <v/>
      </c>
      <c r="S74" s="71"/>
      <c r="T74" s="10" t="str">
        <f t="shared" si="18"/>
        <v/>
      </c>
      <c r="U74" s="71"/>
      <c r="V74" s="10" t="str">
        <f t="shared" si="39"/>
        <v/>
      </c>
      <c r="W74" s="10" t="str">
        <f t="shared" si="19"/>
        <v/>
      </c>
      <c r="X74" s="71"/>
      <c r="Y74" s="10" t="str">
        <f t="shared" si="40"/>
        <v/>
      </c>
      <c r="Z74" s="10" t="str">
        <f t="shared" si="20"/>
        <v/>
      </c>
      <c r="AA74" s="71"/>
      <c r="AB74" s="10" t="str">
        <f t="shared" si="4"/>
        <v/>
      </c>
      <c r="AC74" s="10" t="str">
        <f t="shared" si="21"/>
        <v/>
      </c>
      <c r="AD74" s="71"/>
      <c r="AE74" s="10" t="str">
        <f t="shared" si="41"/>
        <v/>
      </c>
      <c r="AF74" s="10" t="str">
        <f t="shared" si="22"/>
        <v/>
      </c>
      <c r="AG74" s="71"/>
      <c r="AH74" s="10" t="str">
        <f t="shared" si="42"/>
        <v/>
      </c>
      <c r="AI74" s="10" t="str">
        <f t="shared" si="23"/>
        <v/>
      </c>
      <c r="AJ74" s="71"/>
      <c r="AK74" s="10" t="str">
        <f t="shared" si="43"/>
        <v/>
      </c>
      <c r="AL74" s="10" t="str">
        <f t="shared" si="24"/>
        <v/>
      </c>
      <c r="AM74" s="71"/>
      <c r="AN74" s="10" t="str">
        <f t="shared" si="44"/>
        <v/>
      </c>
      <c r="AO74" s="10" t="str">
        <f t="shared" si="25"/>
        <v/>
      </c>
      <c r="AP74" s="71"/>
      <c r="AQ74" s="10" t="str">
        <f t="shared" si="45"/>
        <v/>
      </c>
      <c r="AR74" s="10" t="str">
        <f t="shared" si="26"/>
        <v/>
      </c>
      <c r="AS74" s="71"/>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U74" s="71"/>
      <c r="AV74" s="10" t="str">
        <f t="shared" si="46"/>
        <v/>
      </c>
      <c r="AW74" s="10" t="str">
        <f t="shared" si="27"/>
        <v/>
      </c>
      <c r="AX74" s="71"/>
      <c r="AY74" s="7" t="str">
        <f>IF(ISERROR(IF($K74&lt;=$F$15,VLOOKUP($I74,'表4）CO2価格'!$A$7:$E$67,VLOOKUP($F$48,'表4）CO2価格'!$H$10:$I$12,2,0),0)*$F$8/1000,"")),0,IF($K74&lt;=$F$15,VLOOKUP($I74,'表4）CO2価格'!$A$7:$E$67,VLOOKUP($F$48,'表4）CO2価格'!$H$10:$I$12,2,0),0)*$F$8/1000,""))</f>
        <v/>
      </c>
      <c r="AZ74" s="71"/>
      <c r="BA74" s="11" t="str">
        <f t="shared" si="47"/>
        <v/>
      </c>
      <c r="BB74" s="10" t="str">
        <f t="shared" si="28"/>
        <v/>
      </c>
      <c r="BC74" s="71"/>
      <c r="BD74" s="10" t="str">
        <f t="shared" si="48"/>
        <v/>
      </c>
      <c r="BE74" s="10" t="str">
        <f t="shared" si="29"/>
        <v/>
      </c>
      <c r="BF74" s="71"/>
      <c r="BG74" s="11" t="str">
        <f t="shared" si="49"/>
        <v/>
      </c>
      <c r="BH74" s="10" t="str">
        <f t="shared" si="30"/>
        <v/>
      </c>
      <c r="BJ74" s="7" t="str">
        <f t="shared" si="31"/>
        <v/>
      </c>
      <c r="BK74" s="158" t="str">
        <f t="shared" si="32"/>
        <v/>
      </c>
      <c r="BL74" s="158" t="str">
        <f t="shared" si="14"/>
        <v/>
      </c>
      <c r="BM74" s="10"/>
      <c r="BN74" s="10" t="str">
        <f t="shared" si="33"/>
        <v/>
      </c>
      <c r="BO74" s="10" t="str">
        <f t="shared" si="34"/>
        <v/>
      </c>
      <c r="BQ74" s="10" t="str">
        <f t="shared" si="50"/>
        <v/>
      </c>
      <c r="BR74" s="10" t="str">
        <f t="shared" si="35"/>
        <v/>
      </c>
    </row>
    <row r="75" spans="2:70" x14ac:dyDescent="0.15">
      <c r="F75" s="485"/>
      <c r="I75" s="38">
        <f t="shared" si="36"/>
        <v>2080</v>
      </c>
      <c r="J75" s="39"/>
      <c r="K75" s="39">
        <f t="shared" si="37"/>
        <v>61</v>
      </c>
      <c r="L75" s="39"/>
      <c r="M75" s="40">
        <f t="shared" si="0"/>
        <v>0.16478940778292983</v>
      </c>
      <c r="N75" s="39"/>
      <c r="O75" s="72" t="str">
        <f t="shared" si="16"/>
        <v/>
      </c>
      <c r="P75" s="41" t="str">
        <f t="shared" si="38"/>
        <v/>
      </c>
      <c r="Q75" s="39"/>
      <c r="R75" s="72" t="str">
        <f t="shared" si="51"/>
        <v/>
      </c>
      <c r="S75" s="39"/>
      <c r="T75" s="72" t="str">
        <f t="shared" si="18"/>
        <v/>
      </c>
      <c r="U75" s="39"/>
      <c r="V75" s="72" t="str">
        <f t="shared" si="39"/>
        <v/>
      </c>
      <c r="W75" s="72" t="str">
        <f t="shared" si="19"/>
        <v/>
      </c>
      <c r="X75" s="39"/>
      <c r="Y75" s="72" t="str">
        <f t="shared" si="40"/>
        <v/>
      </c>
      <c r="Z75" s="72" t="str">
        <f t="shared" si="20"/>
        <v/>
      </c>
      <c r="AA75" s="39"/>
      <c r="AB75" s="72" t="str">
        <f t="shared" si="4"/>
        <v/>
      </c>
      <c r="AC75" s="72" t="str">
        <f t="shared" si="21"/>
        <v/>
      </c>
      <c r="AD75" s="39"/>
      <c r="AE75" s="72" t="str">
        <f t="shared" si="41"/>
        <v/>
      </c>
      <c r="AF75" s="72" t="str">
        <f t="shared" si="22"/>
        <v/>
      </c>
      <c r="AG75" s="39"/>
      <c r="AH75" s="72" t="str">
        <f t="shared" si="42"/>
        <v/>
      </c>
      <c r="AI75" s="72" t="str">
        <f t="shared" si="23"/>
        <v/>
      </c>
      <c r="AJ75" s="39"/>
      <c r="AK75" s="72" t="str">
        <f t="shared" si="43"/>
        <v/>
      </c>
      <c r="AL75" s="72" t="str">
        <f t="shared" si="24"/>
        <v/>
      </c>
      <c r="AM75" s="39"/>
      <c r="AN75" s="72" t="str">
        <f t="shared" si="44"/>
        <v/>
      </c>
      <c r="AO75" s="72" t="str">
        <f t="shared" si="25"/>
        <v/>
      </c>
      <c r="AP75" s="39"/>
      <c r="AQ75" s="72" t="str">
        <f t="shared" si="45"/>
        <v/>
      </c>
      <c r="AR75" s="72" t="str">
        <f t="shared" si="26"/>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46"/>
        <v/>
      </c>
      <c r="AW75" s="72" t="str">
        <f t="shared" si="27"/>
        <v/>
      </c>
      <c r="AX75" s="39"/>
      <c r="AY75" s="40" t="str">
        <f>IF(ISERROR(IF($K75&lt;=$F$15,VLOOKUP($I75,'表4）CO2価格'!$A$7:$E$67,VLOOKUP($F$48,'表4）CO2価格'!$H$10:$I$12,2,0),0)*$F$8/1000,"")),0,IF($K75&lt;=$F$15,VLOOKUP($I75,'表4）CO2価格'!$A$7:$E$67,VLOOKUP($F$48,'表4）CO2価格'!$H$10:$I$12,2,0),0)*$F$8/1000,""))</f>
        <v/>
      </c>
      <c r="AZ75" s="39"/>
      <c r="BA75" s="42" t="str">
        <f t="shared" si="47"/>
        <v/>
      </c>
      <c r="BB75" s="72" t="str">
        <f t="shared" si="28"/>
        <v/>
      </c>
      <c r="BC75" s="39"/>
      <c r="BD75" s="72" t="str">
        <f t="shared" si="48"/>
        <v/>
      </c>
      <c r="BE75" s="72" t="str">
        <f t="shared" si="29"/>
        <v/>
      </c>
      <c r="BF75" s="39"/>
      <c r="BG75" s="42" t="str">
        <f t="shared" si="49"/>
        <v/>
      </c>
      <c r="BH75" s="72" t="str">
        <f t="shared" si="30"/>
        <v/>
      </c>
      <c r="BI75" s="39"/>
      <c r="BJ75" s="40" t="str">
        <f t="shared" si="31"/>
        <v/>
      </c>
      <c r="BK75" s="157" t="str">
        <f t="shared" si="32"/>
        <v/>
      </c>
      <c r="BL75" s="157" t="str">
        <f t="shared" si="14"/>
        <v/>
      </c>
      <c r="BM75" s="72"/>
      <c r="BN75" s="72" t="str">
        <f t="shared" si="33"/>
        <v/>
      </c>
      <c r="BO75" s="72" t="str">
        <f t="shared" si="34"/>
        <v/>
      </c>
      <c r="BP75" s="39"/>
      <c r="BQ75" s="72" t="str">
        <f t="shared" si="50"/>
        <v/>
      </c>
      <c r="BR75" s="72" t="str">
        <f t="shared" si="35"/>
        <v/>
      </c>
    </row>
    <row r="76" spans="2:70" x14ac:dyDescent="0.15">
      <c r="D76" s="100" t="s">
        <v>592</v>
      </c>
      <c r="E76" s="100"/>
      <c r="F76" s="486"/>
      <c r="G76" s="100"/>
      <c r="I76" s="457">
        <f t="shared" si="36"/>
        <v>2081</v>
      </c>
      <c r="K76" s="71">
        <f t="shared" si="37"/>
        <v>62</v>
      </c>
      <c r="L76" s="71"/>
      <c r="M76" s="7">
        <f t="shared" si="0"/>
        <v>0.15998971629410663</v>
      </c>
      <c r="N76" s="71"/>
      <c r="O76" s="10" t="str">
        <f t="shared" si="16"/>
        <v/>
      </c>
      <c r="P76" s="29" t="str">
        <f t="shared" si="38"/>
        <v/>
      </c>
      <c r="Q76" s="71"/>
      <c r="R76" s="10" t="str">
        <f t="shared" si="51"/>
        <v/>
      </c>
      <c r="S76" s="71"/>
      <c r="T76" s="10" t="str">
        <f t="shared" si="18"/>
        <v/>
      </c>
      <c r="U76" s="71"/>
      <c r="V76" s="10" t="str">
        <f t="shared" si="39"/>
        <v/>
      </c>
      <c r="W76" s="10" t="str">
        <f t="shared" si="19"/>
        <v/>
      </c>
      <c r="X76" s="71"/>
      <c r="Y76" s="10" t="str">
        <f t="shared" si="40"/>
        <v/>
      </c>
      <c r="Z76" s="10" t="str">
        <f t="shared" si="20"/>
        <v/>
      </c>
      <c r="AA76" s="71"/>
      <c r="AB76" s="10" t="str">
        <f t="shared" si="4"/>
        <v/>
      </c>
      <c r="AC76" s="10" t="str">
        <f t="shared" si="21"/>
        <v/>
      </c>
      <c r="AD76" s="71"/>
      <c r="AE76" s="10" t="str">
        <f t="shared" si="41"/>
        <v/>
      </c>
      <c r="AF76" s="10" t="str">
        <f t="shared" si="22"/>
        <v/>
      </c>
      <c r="AG76" s="71"/>
      <c r="AH76" s="10" t="str">
        <f t="shared" si="42"/>
        <v/>
      </c>
      <c r="AI76" s="10" t="str">
        <f t="shared" si="23"/>
        <v/>
      </c>
      <c r="AJ76" s="71"/>
      <c r="AK76" s="10" t="str">
        <f t="shared" si="43"/>
        <v/>
      </c>
      <c r="AL76" s="10" t="str">
        <f t="shared" si="24"/>
        <v/>
      </c>
      <c r="AM76" s="71"/>
      <c r="AN76" s="10" t="str">
        <f t="shared" si="44"/>
        <v/>
      </c>
      <c r="AO76" s="10" t="str">
        <f t="shared" si="25"/>
        <v/>
      </c>
      <c r="AP76" s="71"/>
      <c r="AQ76" s="10" t="str">
        <f t="shared" si="45"/>
        <v/>
      </c>
      <c r="AR76" s="10" t="str">
        <f t="shared" si="26"/>
        <v/>
      </c>
      <c r="AS76" s="71"/>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U76" s="71"/>
      <c r="AV76" s="10" t="str">
        <f t="shared" si="46"/>
        <v/>
      </c>
      <c r="AW76" s="10" t="str">
        <f t="shared" si="27"/>
        <v/>
      </c>
      <c r="AX76" s="71"/>
      <c r="AY76" s="7" t="str">
        <f>IF(ISERROR(IF($K76&lt;=$F$15,VLOOKUP($I76,'表4）CO2価格'!$A$7:$E$67,VLOOKUP($F$48,'表4）CO2価格'!$H$10:$I$12,2,0),0)*$F$8/1000,"")),0,IF($K76&lt;=$F$15,VLOOKUP($I76,'表4）CO2価格'!$A$7:$E$67,VLOOKUP($F$48,'表4）CO2価格'!$H$10:$I$12,2,0),0)*$F$8/1000,""))</f>
        <v/>
      </c>
      <c r="AZ76" s="71"/>
      <c r="BA76" s="11" t="str">
        <f t="shared" si="47"/>
        <v/>
      </c>
      <c r="BB76" s="10" t="str">
        <f t="shared" si="28"/>
        <v/>
      </c>
      <c r="BC76" s="71"/>
      <c r="BD76" s="10" t="str">
        <f t="shared" si="48"/>
        <v/>
      </c>
      <c r="BE76" s="10" t="str">
        <f t="shared" si="29"/>
        <v/>
      </c>
      <c r="BF76" s="71"/>
      <c r="BG76" s="11" t="str">
        <f t="shared" si="49"/>
        <v/>
      </c>
      <c r="BH76" s="10" t="str">
        <f t="shared" si="30"/>
        <v/>
      </c>
      <c r="BJ76" s="7" t="str">
        <f t="shared" si="31"/>
        <v/>
      </c>
      <c r="BK76" s="158" t="str">
        <f t="shared" si="32"/>
        <v/>
      </c>
      <c r="BL76" s="158" t="str">
        <f t="shared" si="14"/>
        <v/>
      </c>
      <c r="BM76" s="10"/>
      <c r="BN76" s="10" t="str">
        <f t="shared" si="33"/>
        <v/>
      </c>
      <c r="BO76" s="10" t="str">
        <f t="shared" si="34"/>
        <v/>
      </c>
      <c r="BQ76" s="10" t="str">
        <f t="shared" si="50"/>
        <v/>
      </c>
      <c r="BR76" s="10" t="str">
        <f t="shared" si="35"/>
        <v/>
      </c>
    </row>
    <row r="77" spans="2:70" x14ac:dyDescent="0.15">
      <c r="F77" s="487"/>
      <c r="I77" s="38">
        <f t="shared" si="36"/>
        <v>2082</v>
      </c>
      <c r="J77" s="39"/>
      <c r="K77" s="39">
        <f t="shared" si="37"/>
        <v>63</v>
      </c>
      <c r="L77" s="39"/>
      <c r="M77" s="40">
        <f t="shared" si="0"/>
        <v>0.15532982164476369</v>
      </c>
      <c r="N77" s="39"/>
      <c r="O77" s="72" t="str">
        <f t="shared" si="16"/>
        <v/>
      </c>
      <c r="P77" s="41" t="str">
        <f t="shared" si="38"/>
        <v/>
      </c>
      <c r="Q77" s="39"/>
      <c r="R77" s="72" t="str">
        <f t="shared" si="51"/>
        <v/>
      </c>
      <c r="S77" s="39"/>
      <c r="T77" s="72" t="str">
        <f t="shared" si="18"/>
        <v/>
      </c>
      <c r="U77" s="39"/>
      <c r="V77" s="72" t="str">
        <f t="shared" si="39"/>
        <v/>
      </c>
      <c r="W77" s="72" t="str">
        <f t="shared" si="19"/>
        <v/>
      </c>
      <c r="X77" s="39"/>
      <c r="Y77" s="72" t="str">
        <f t="shared" si="40"/>
        <v/>
      </c>
      <c r="Z77" s="72" t="str">
        <f t="shared" si="20"/>
        <v/>
      </c>
      <c r="AA77" s="39"/>
      <c r="AB77" s="72" t="str">
        <f t="shared" si="4"/>
        <v/>
      </c>
      <c r="AC77" s="72" t="str">
        <f t="shared" si="21"/>
        <v/>
      </c>
      <c r="AD77" s="39"/>
      <c r="AE77" s="72" t="str">
        <f t="shared" si="41"/>
        <v/>
      </c>
      <c r="AF77" s="72" t="str">
        <f t="shared" si="22"/>
        <v/>
      </c>
      <c r="AG77" s="39"/>
      <c r="AH77" s="72" t="str">
        <f t="shared" si="42"/>
        <v/>
      </c>
      <c r="AI77" s="72" t="str">
        <f t="shared" si="23"/>
        <v/>
      </c>
      <c r="AJ77" s="39"/>
      <c r="AK77" s="72" t="str">
        <f t="shared" si="43"/>
        <v/>
      </c>
      <c r="AL77" s="72" t="str">
        <f t="shared" si="24"/>
        <v/>
      </c>
      <c r="AM77" s="39"/>
      <c r="AN77" s="72" t="str">
        <f t="shared" si="44"/>
        <v/>
      </c>
      <c r="AO77" s="72" t="str">
        <f t="shared" si="25"/>
        <v/>
      </c>
      <c r="AP77" s="39"/>
      <c r="AQ77" s="72" t="str">
        <f t="shared" si="45"/>
        <v/>
      </c>
      <c r="AR77" s="72" t="str">
        <f t="shared" si="26"/>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46"/>
        <v/>
      </c>
      <c r="AW77" s="72" t="str">
        <f t="shared" si="27"/>
        <v/>
      </c>
      <c r="AX77" s="39"/>
      <c r="AY77" s="40" t="str">
        <f>IF(ISERROR(IF($K77&lt;=$F$15,VLOOKUP($I77,'表4）CO2価格'!$A$7:$E$67,VLOOKUP($F$48,'表4）CO2価格'!$H$10:$I$12,2,0),0)*$F$8/1000,"")),0,IF($K77&lt;=$F$15,VLOOKUP($I77,'表4）CO2価格'!$A$7:$E$67,VLOOKUP($F$48,'表4）CO2価格'!$H$10:$I$12,2,0),0)*$F$8/1000,""))</f>
        <v/>
      </c>
      <c r="AZ77" s="39"/>
      <c r="BA77" s="42" t="str">
        <f t="shared" si="47"/>
        <v/>
      </c>
      <c r="BB77" s="72" t="str">
        <f t="shared" si="28"/>
        <v/>
      </c>
      <c r="BC77" s="39"/>
      <c r="BD77" s="72" t="str">
        <f t="shared" si="48"/>
        <v/>
      </c>
      <c r="BE77" s="72" t="str">
        <f t="shared" si="29"/>
        <v/>
      </c>
      <c r="BF77" s="39"/>
      <c r="BG77" s="42" t="str">
        <f t="shared" si="49"/>
        <v/>
      </c>
      <c r="BH77" s="72" t="str">
        <f t="shared" si="30"/>
        <v/>
      </c>
      <c r="BI77" s="39"/>
      <c r="BJ77" s="40" t="str">
        <f t="shared" si="31"/>
        <v/>
      </c>
      <c r="BK77" s="157" t="str">
        <f t="shared" si="32"/>
        <v/>
      </c>
      <c r="BL77" s="157" t="str">
        <f t="shared" si="14"/>
        <v/>
      </c>
      <c r="BM77" s="72"/>
      <c r="BN77" s="72" t="str">
        <f t="shared" si="33"/>
        <v/>
      </c>
      <c r="BO77" s="72" t="str">
        <f t="shared" si="34"/>
        <v/>
      </c>
      <c r="BP77" s="39"/>
      <c r="BQ77" s="72" t="str">
        <f t="shared" si="50"/>
        <v/>
      </c>
      <c r="BR77" s="72" t="str">
        <f t="shared" si="35"/>
        <v/>
      </c>
    </row>
    <row r="78" spans="2:70" x14ac:dyDescent="0.15">
      <c r="E78" s="70" t="s">
        <v>138</v>
      </c>
      <c r="F78" s="488">
        <f>R15/$BR$116</f>
        <v>11.253939720377023</v>
      </c>
      <c r="G78" s="84" t="s">
        <v>590</v>
      </c>
      <c r="I78" s="457">
        <f t="shared" si="36"/>
        <v>2083</v>
      </c>
      <c r="K78" s="71">
        <f t="shared" si="37"/>
        <v>64</v>
      </c>
      <c r="L78" s="71"/>
      <c r="M78" s="7">
        <f t="shared" si="0"/>
        <v>0.15080565208229488</v>
      </c>
      <c r="N78" s="71"/>
      <c r="O78" s="10" t="str">
        <f t="shared" si="16"/>
        <v/>
      </c>
      <c r="P78" s="29" t="str">
        <f t="shared" si="38"/>
        <v/>
      </c>
      <c r="Q78" s="71"/>
      <c r="R78" s="10" t="str">
        <f t="shared" si="51"/>
        <v/>
      </c>
      <c r="S78" s="71"/>
      <c r="T78" s="10" t="str">
        <f t="shared" si="18"/>
        <v/>
      </c>
      <c r="U78" s="71"/>
      <c r="V78" s="10" t="str">
        <f t="shared" si="39"/>
        <v/>
      </c>
      <c r="W78" s="10" t="str">
        <f t="shared" si="19"/>
        <v/>
      </c>
      <c r="X78" s="71"/>
      <c r="Y78" s="10" t="str">
        <f t="shared" si="40"/>
        <v/>
      </c>
      <c r="Z78" s="10" t="str">
        <f t="shared" si="20"/>
        <v/>
      </c>
      <c r="AA78" s="71"/>
      <c r="AB78" s="10" t="str">
        <f t="shared" si="4"/>
        <v/>
      </c>
      <c r="AC78" s="10" t="str">
        <f t="shared" si="21"/>
        <v/>
      </c>
      <c r="AD78" s="71"/>
      <c r="AE78" s="10" t="str">
        <f t="shared" si="41"/>
        <v/>
      </c>
      <c r="AF78" s="10" t="str">
        <f t="shared" si="22"/>
        <v/>
      </c>
      <c r="AG78" s="71"/>
      <c r="AH78" s="10" t="str">
        <f t="shared" si="42"/>
        <v/>
      </c>
      <c r="AI78" s="10" t="str">
        <f t="shared" si="23"/>
        <v/>
      </c>
      <c r="AJ78" s="71"/>
      <c r="AK78" s="10" t="str">
        <f t="shared" si="43"/>
        <v/>
      </c>
      <c r="AL78" s="10" t="str">
        <f t="shared" si="24"/>
        <v/>
      </c>
      <c r="AM78" s="71"/>
      <c r="AN78" s="10" t="str">
        <f t="shared" si="44"/>
        <v/>
      </c>
      <c r="AO78" s="10" t="str">
        <f t="shared" si="25"/>
        <v/>
      </c>
      <c r="AP78" s="71"/>
      <c r="AQ78" s="10" t="str">
        <f t="shared" si="45"/>
        <v/>
      </c>
      <c r="AR78" s="10" t="str">
        <f t="shared" si="26"/>
        <v/>
      </c>
      <c r="AS78" s="71"/>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U78" s="71"/>
      <c r="AV78" s="10" t="str">
        <f t="shared" si="46"/>
        <v/>
      </c>
      <c r="AW78" s="10" t="str">
        <f t="shared" si="27"/>
        <v/>
      </c>
      <c r="AX78" s="71"/>
      <c r="AY78" s="7" t="str">
        <f>IF(ISERROR(IF($K78&lt;=$F$15,VLOOKUP($I78,'表4）CO2価格'!$A$7:$E$67,VLOOKUP($F$48,'表4）CO2価格'!$H$10:$I$12,2,0),0)*$F$8/1000,"")),0,IF($K78&lt;=$F$15,VLOOKUP($I78,'表4）CO2価格'!$A$7:$E$67,VLOOKUP($F$48,'表4）CO2価格'!$H$10:$I$12,2,0),0)*$F$8/1000,""))</f>
        <v/>
      </c>
      <c r="AZ78" s="71"/>
      <c r="BA78" s="11" t="str">
        <f t="shared" si="47"/>
        <v/>
      </c>
      <c r="BB78" s="10" t="str">
        <f t="shared" si="28"/>
        <v/>
      </c>
      <c r="BC78" s="71"/>
      <c r="BD78" s="10" t="str">
        <f t="shared" si="48"/>
        <v/>
      </c>
      <c r="BE78" s="10" t="str">
        <f t="shared" si="29"/>
        <v/>
      </c>
      <c r="BF78" s="71"/>
      <c r="BG78" s="11" t="str">
        <f t="shared" si="49"/>
        <v/>
      </c>
      <c r="BH78" s="10" t="str">
        <f t="shared" si="30"/>
        <v/>
      </c>
      <c r="BJ78" s="7" t="str">
        <f t="shared" si="31"/>
        <v/>
      </c>
      <c r="BK78" s="158" t="str">
        <f t="shared" si="32"/>
        <v/>
      </c>
      <c r="BL78" s="158" t="str">
        <f t="shared" si="14"/>
        <v/>
      </c>
      <c r="BM78" s="10"/>
      <c r="BN78" s="10" t="str">
        <f t="shared" si="33"/>
        <v/>
      </c>
      <c r="BO78" s="10" t="str">
        <f t="shared" si="34"/>
        <v/>
      </c>
      <c r="BQ78" s="10" t="str">
        <f t="shared" si="50"/>
        <v/>
      </c>
      <c r="BR78" s="10" t="str">
        <f t="shared" si="35"/>
        <v/>
      </c>
    </row>
    <row r="79" spans="2:70" x14ac:dyDescent="0.15">
      <c r="E79" s="84" t="s">
        <v>139</v>
      </c>
      <c r="F79" s="488">
        <f>Z116/$BR$116</f>
        <v>0.99065613879134262</v>
      </c>
      <c r="G79" s="84" t="s">
        <v>590</v>
      </c>
      <c r="I79" s="38">
        <f t="shared" si="36"/>
        <v>2084</v>
      </c>
      <c r="J79" s="39"/>
      <c r="K79" s="39">
        <f t="shared" si="37"/>
        <v>65</v>
      </c>
      <c r="L79" s="39"/>
      <c r="M79" s="40">
        <f t="shared" ref="M79:M114" si="52">1/(1+($F$9/100))^K79</f>
        <v>0.14641325444882999</v>
      </c>
      <c r="N79" s="39"/>
      <c r="O79" s="72" t="str">
        <f t="shared" si="16"/>
        <v/>
      </c>
      <c r="P79" s="41" t="str">
        <f t="shared" ref="P79:P110" si="53">IF(K79&lt;=$F$15,IF(OR(P78=$F$124,P78="-"),"-",IF(O79*$F$123&gt;$F$127,$F$123,$F$124)),"")</f>
        <v/>
      </c>
      <c r="Q79" s="39"/>
      <c r="R79" s="72" t="str">
        <f t="shared" si="51"/>
        <v/>
      </c>
      <c r="S79" s="39"/>
      <c r="T79" s="72" t="str">
        <f t="shared" si="18"/>
        <v/>
      </c>
      <c r="U79" s="39"/>
      <c r="V79" s="72" t="str">
        <f t="shared" ref="V79:V114" si="54">IF(K79&lt;=$F$15,IF(K79&lt;$F$119,IF(P79="-",V78,O79*P79),IF(K79=$F$119,MIN(IF(P79="-",V78,O79*P79),O79),0)),"")</f>
        <v/>
      </c>
      <c r="W79" s="72" t="str">
        <f t="shared" si="19"/>
        <v/>
      </c>
      <c r="X79" s="39"/>
      <c r="Y79" s="72" t="str">
        <f t="shared" ref="Y79:Y114" si="55">IF($K79&lt;=$F$15,ROUNDDOWN(T79*$F$25/100,-2),"")</f>
        <v/>
      </c>
      <c r="Z79" s="72" t="str">
        <f t="shared" si="20"/>
        <v/>
      </c>
      <c r="AA79" s="39"/>
      <c r="AB79" s="72" t="str">
        <f t="shared" ref="AB79:AB114" si="56">IF($K79&lt;=$F$15,0,IF(AND($K79&gt;$F$15,$K79&lt;=$F$15+$F$28),$F$27*10^8/$F$28,""))</f>
        <v/>
      </c>
      <c r="AC79" s="72" t="str">
        <f t="shared" si="21"/>
        <v/>
      </c>
      <c r="AD79" s="39"/>
      <c r="AE79" s="72" t="str">
        <f t="shared" ref="AE79:AE114" si="57">IF($K79&lt;=$F$15,$F$26,"")</f>
        <v/>
      </c>
      <c r="AF79" s="72" t="str">
        <f t="shared" si="22"/>
        <v/>
      </c>
      <c r="AG79" s="39"/>
      <c r="AH79" s="72" t="str">
        <f t="shared" ref="AH79:AH114" si="58">IF($K79&lt;=$F$15,$F$33*10^4*$F$13*10^4,"")</f>
        <v/>
      </c>
      <c r="AI79" s="72" t="str">
        <f t="shared" si="23"/>
        <v/>
      </c>
      <c r="AJ79" s="39"/>
      <c r="AK79" s="72" t="str">
        <f t="shared" ref="AK79:AK114" si="59">IF($K79&lt;=$F$15,$F$117*$F$34/100,"")</f>
        <v/>
      </c>
      <c r="AL79" s="72" t="str">
        <f t="shared" si="24"/>
        <v/>
      </c>
      <c r="AM79" s="39"/>
      <c r="AN79" s="72" t="str">
        <f t="shared" ref="AN79:AN114" si="60">IF($K79&lt;=$F$15,$F$117*$F$35/100,"")</f>
        <v/>
      </c>
      <c r="AO79" s="72" t="str">
        <f t="shared" si="25"/>
        <v/>
      </c>
      <c r="AP79" s="39"/>
      <c r="AQ79" s="72" t="str">
        <f t="shared" ref="AQ79:AQ114" si="61">IF($K79&lt;=$F$15,SUM(AH79,AK79,AN79)*($F$36/100),"")</f>
        <v/>
      </c>
      <c r="AR79" s="72" t="str">
        <f t="shared" si="26"/>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62">IF($K79&lt;=$F$15,($AT79+$F$142)*$F$137,"")</f>
        <v/>
      </c>
      <c r="AW79" s="72" t="str">
        <f t="shared" si="27"/>
        <v/>
      </c>
      <c r="AX79" s="39"/>
      <c r="AY79" s="40" t="str">
        <f>IF(ISERROR(IF($K79&lt;=$F$15,VLOOKUP($I79,'表4）CO2価格'!$A$7:$E$67,VLOOKUP($F$48,'表4）CO2価格'!$H$10:$I$12,2,0),0)*$F$8/1000,"")),0,IF($K79&lt;=$F$15,VLOOKUP($I79,'表4）CO2価格'!$A$7:$E$67,VLOOKUP($F$48,'表4）CO2価格'!$H$10:$I$12,2,0),0)*$F$8/1000,""))</f>
        <v/>
      </c>
      <c r="AZ79" s="39"/>
      <c r="BA79" s="42" t="str">
        <f t="shared" ref="BA79:BA114" si="63">IF($K79&lt;=$F$15,$F$145*AY79,"")</f>
        <v/>
      </c>
      <c r="BB79" s="72" t="str">
        <f t="shared" si="28"/>
        <v/>
      </c>
      <c r="BC79" s="39"/>
      <c r="BD79" s="72" t="str">
        <f t="shared" ref="BD79:BD114" si="64">IF($K79&lt;=$F$15,($AT79+$F$152)*$F$151,"")</f>
        <v/>
      </c>
      <c r="BE79" s="72" t="str">
        <f t="shared" si="29"/>
        <v/>
      </c>
      <c r="BF79" s="39"/>
      <c r="BG79" s="42" t="str">
        <f t="shared" ref="BG79:BG114" si="65">IF($K79&lt;=$F$15,$F$153*AY79,"")</f>
        <v/>
      </c>
      <c r="BH79" s="72" t="str">
        <f t="shared" si="30"/>
        <v/>
      </c>
      <c r="BI79" s="39"/>
      <c r="BJ79" s="40" t="str">
        <f t="shared" si="31"/>
        <v/>
      </c>
      <c r="BK79" s="157" t="str">
        <f t="shared" si="32"/>
        <v/>
      </c>
      <c r="BL79" s="157" t="str">
        <f t="shared" ref="BL79:BL114" si="66">IF(AND(ISNUMBER(BJ79),$K79&lt;=$F$16),BQ79*BJ79,"")</f>
        <v/>
      </c>
      <c r="BM79" s="72"/>
      <c r="BN79" s="72" t="str">
        <f t="shared" si="33"/>
        <v/>
      </c>
      <c r="BO79" s="72" t="str">
        <f t="shared" si="34"/>
        <v/>
      </c>
      <c r="BP79" s="39"/>
      <c r="BQ79" s="72" t="str">
        <f t="shared" ref="BQ79:BQ114" si="67">IF($K79&lt;=$F$15,$F$134,"")</f>
        <v/>
      </c>
      <c r="BR79" s="72" t="str">
        <f t="shared" si="35"/>
        <v/>
      </c>
    </row>
    <row r="80" spans="2:70" x14ac:dyDescent="0.15">
      <c r="E80" s="84" t="s">
        <v>115</v>
      </c>
      <c r="F80" s="488">
        <f>AF116/$BR$116</f>
        <v>0</v>
      </c>
      <c r="G80" s="84" t="s">
        <v>590</v>
      </c>
      <c r="I80" s="457">
        <f t="shared" si="36"/>
        <v>2085</v>
      </c>
      <c r="K80" s="71">
        <f t="shared" si="37"/>
        <v>66</v>
      </c>
      <c r="L80" s="71"/>
      <c r="M80" s="7">
        <f t="shared" si="52"/>
        <v>0.14214879072701941</v>
      </c>
      <c r="N80" s="71"/>
      <c r="O80" s="10" t="str">
        <f t="shared" ref="O80:O114" si="68">IF(K80&lt;=$F$15,O79-V79,"")</f>
        <v/>
      </c>
      <c r="P80" s="29" t="str">
        <f t="shared" si="53"/>
        <v/>
      </c>
      <c r="Q80" s="71"/>
      <c r="R80" s="10" t="str">
        <f t="shared" ref="R80:R114" si="69">IF($K80&lt;=$F$15,MAX($F$117*5%,R79*$F$129),"")</f>
        <v/>
      </c>
      <c r="S80" s="71"/>
      <c r="T80" s="10" t="str">
        <f t="shared" ref="T80:T114" si="70">IF(ISNUMBER(R80),ROUNDDOWN(R80,-3),"")</f>
        <v/>
      </c>
      <c r="U80" s="71"/>
      <c r="V80" s="10" t="str">
        <f t="shared" si="54"/>
        <v/>
      </c>
      <c r="W80" s="10" t="str">
        <f t="shared" ref="W80:W114" si="71">IF(ISNUMBER(V80),V80*$M80,"")</f>
        <v/>
      </c>
      <c r="X80" s="71"/>
      <c r="Y80" s="10" t="str">
        <f t="shared" si="55"/>
        <v/>
      </c>
      <c r="Z80" s="10" t="str">
        <f t="shared" ref="Z80:Z114" si="72">IF(ISNUMBER(Y80),Y80*$M80,"")</f>
        <v/>
      </c>
      <c r="AA80" s="71"/>
      <c r="AB80" s="10" t="str">
        <f t="shared" si="56"/>
        <v/>
      </c>
      <c r="AC80" s="10" t="str">
        <f t="shared" ref="AC80:AC114" si="73">IF(ISNUMBER(AB80),AB80*$M80,"")</f>
        <v/>
      </c>
      <c r="AD80" s="71"/>
      <c r="AE80" s="10" t="str">
        <f t="shared" si="57"/>
        <v/>
      </c>
      <c r="AF80" s="10" t="str">
        <f t="shared" ref="AF80:AF114" si="74">IF(ISNUMBER(AE80),AE80*$M80,"")</f>
        <v/>
      </c>
      <c r="AG80" s="71"/>
      <c r="AH80" s="10" t="str">
        <f t="shared" si="58"/>
        <v/>
      </c>
      <c r="AI80" s="10" t="str">
        <f t="shared" ref="AI80:AI114" si="75">IF(ISNUMBER(AH80),AH80*$M80,"")</f>
        <v/>
      </c>
      <c r="AJ80" s="71"/>
      <c r="AK80" s="10" t="str">
        <f t="shared" si="59"/>
        <v/>
      </c>
      <c r="AL80" s="10" t="str">
        <f t="shared" ref="AL80:AL114" si="76">IF(ISNUMBER(AK80),AK80*$M80,"")</f>
        <v/>
      </c>
      <c r="AM80" s="71"/>
      <c r="AN80" s="10" t="str">
        <f t="shared" si="60"/>
        <v/>
      </c>
      <c r="AO80" s="10" t="str">
        <f t="shared" ref="AO80:AO114" si="77">IF(ISNUMBER(AN80),AN80*$M80,"")</f>
        <v/>
      </c>
      <c r="AP80" s="71"/>
      <c r="AQ80" s="10" t="str">
        <f t="shared" si="61"/>
        <v/>
      </c>
      <c r="AR80" s="10" t="str">
        <f t="shared" ref="AR80:AR114" si="78">IF(ISNUMBER(AQ80),AQ80*$M80,"")</f>
        <v/>
      </c>
      <c r="AS80" s="71"/>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U80" s="71"/>
      <c r="AV80" s="10" t="str">
        <f t="shared" si="62"/>
        <v/>
      </c>
      <c r="AW80" s="10" t="str">
        <f t="shared" ref="AW80:AW114" si="79">IF(ISNUMBER(AV80),AV80*$M80,"")</f>
        <v/>
      </c>
      <c r="AX80" s="71"/>
      <c r="AY80" s="7" t="str">
        <f>IF(ISERROR(IF($K80&lt;=$F$15,VLOOKUP($I80,'表4）CO2価格'!$A$7:$E$67,VLOOKUP($F$48,'表4）CO2価格'!$H$10:$I$12,2,0),0)*$F$8/1000,"")),0,IF($K80&lt;=$F$15,VLOOKUP($I80,'表4）CO2価格'!$A$7:$E$67,VLOOKUP($F$48,'表4）CO2価格'!$H$10:$I$12,2,0),0)*$F$8/1000,""))</f>
        <v/>
      </c>
      <c r="AZ80" s="71"/>
      <c r="BA80" s="11" t="str">
        <f t="shared" si="63"/>
        <v/>
      </c>
      <c r="BB80" s="10" t="str">
        <f t="shared" ref="BB80:BB114" si="80">IF(ISNUMBER(BA80),BA80*$M80,"")</f>
        <v/>
      </c>
      <c r="BC80" s="71"/>
      <c r="BD80" s="10" t="str">
        <f t="shared" si="64"/>
        <v/>
      </c>
      <c r="BE80" s="10" t="str">
        <f t="shared" ref="BE80:BE114" si="81">IF(ISNUMBER(BD80),BD80*$M80,"")</f>
        <v/>
      </c>
      <c r="BF80" s="71"/>
      <c r="BG80" s="11" t="str">
        <f t="shared" si="65"/>
        <v/>
      </c>
      <c r="BH80" s="10" t="str">
        <f t="shared" ref="BH80:BH114" si="82">IF(ISNUMBER(BG80),BG80*$M80,"")</f>
        <v/>
      </c>
      <c r="BJ80" s="7" t="str">
        <f t="shared" ref="BJ80:BJ114" si="83">IF(ISNUMBER($F$16),IF($K80&lt;=$F$16+$F$28,1/(1+($F$17/100))^K80,""),"")</f>
        <v/>
      </c>
      <c r="BK80" s="158" t="str">
        <f t="shared" ref="BK80:BK114" si="84">IF(ISNUMBER($F$16),IF($K80&lt;=$F$16+$F$28,IF($K80&lt;=$F$16,SUM(Y80,AB80,AE80,AH80,AK80,AN80,AQ80,AV80,BA80,BD80,BG80),$F$27/$F$28*10^8)*BJ80,""),"")</f>
        <v/>
      </c>
      <c r="BL80" s="158" t="str">
        <f t="shared" si="66"/>
        <v/>
      </c>
      <c r="BM80" s="10"/>
      <c r="BN80" s="10" t="str">
        <f t="shared" ref="BN80:BN114" si="85">IF(AND(ISNUMBER($F$16),$K80&lt;=$F$16),BQ80*($O$15+$BK$116)/$BL$116,"")</f>
        <v/>
      </c>
      <c r="BO80" s="10" t="str">
        <f t="shared" ref="BO80:BO114" si="86">IF(ISNUMBER(BN80),BN80*$M80,"")</f>
        <v/>
      </c>
      <c r="BQ80" s="10" t="str">
        <f t="shared" si="67"/>
        <v/>
      </c>
      <c r="BR80" s="10" t="str">
        <f t="shared" ref="BR80:BR114" si="87">IF(ISNUMBER(BQ80),BQ80*$M80,"")</f>
        <v/>
      </c>
    </row>
    <row r="81" spans="4:70" x14ac:dyDescent="0.15">
      <c r="E81" s="160" t="s">
        <v>86</v>
      </c>
      <c r="F81" s="488">
        <f>AC116/$BR$116</f>
        <v>0.26091962556247916</v>
      </c>
      <c r="G81" s="84" t="s">
        <v>590</v>
      </c>
      <c r="I81" s="38">
        <f t="shared" ref="I81:I114" si="88">I80+1</f>
        <v>2086</v>
      </c>
      <c r="J81" s="39"/>
      <c r="K81" s="39">
        <f t="shared" ref="K81:K114" si="89">IF(I81&lt;&gt;"",K80+1,"")</f>
        <v>67</v>
      </c>
      <c r="L81" s="39"/>
      <c r="M81" s="40">
        <f t="shared" si="52"/>
        <v>0.1380085346864266</v>
      </c>
      <c r="N81" s="39"/>
      <c r="O81" s="72" t="str">
        <f t="shared" si="68"/>
        <v/>
      </c>
      <c r="P81" s="41" t="str">
        <f t="shared" si="53"/>
        <v/>
      </c>
      <c r="Q81" s="39"/>
      <c r="R81" s="72" t="str">
        <f t="shared" si="69"/>
        <v/>
      </c>
      <c r="S81" s="39"/>
      <c r="T81" s="72" t="str">
        <f t="shared" si="70"/>
        <v/>
      </c>
      <c r="U81" s="39"/>
      <c r="V81" s="72" t="str">
        <f t="shared" si="54"/>
        <v/>
      </c>
      <c r="W81" s="72" t="str">
        <f t="shared" si="71"/>
        <v/>
      </c>
      <c r="X81" s="39"/>
      <c r="Y81" s="72" t="str">
        <f t="shared" si="55"/>
        <v/>
      </c>
      <c r="Z81" s="72" t="str">
        <f t="shared" si="72"/>
        <v/>
      </c>
      <c r="AA81" s="39"/>
      <c r="AB81" s="72" t="str">
        <f t="shared" si="56"/>
        <v/>
      </c>
      <c r="AC81" s="72" t="str">
        <f t="shared" si="73"/>
        <v/>
      </c>
      <c r="AD81" s="39"/>
      <c r="AE81" s="72" t="str">
        <f t="shared" si="57"/>
        <v/>
      </c>
      <c r="AF81" s="72" t="str">
        <f t="shared" si="74"/>
        <v/>
      </c>
      <c r="AG81" s="39"/>
      <c r="AH81" s="72" t="str">
        <f t="shared" si="58"/>
        <v/>
      </c>
      <c r="AI81" s="72" t="str">
        <f t="shared" si="75"/>
        <v/>
      </c>
      <c r="AJ81" s="39"/>
      <c r="AK81" s="72" t="str">
        <f t="shared" si="59"/>
        <v/>
      </c>
      <c r="AL81" s="72" t="str">
        <f t="shared" si="76"/>
        <v/>
      </c>
      <c r="AM81" s="39"/>
      <c r="AN81" s="72" t="str">
        <f t="shared" si="60"/>
        <v/>
      </c>
      <c r="AO81" s="72" t="str">
        <f t="shared" si="77"/>
        <v/>
      </c>
      <c r="AP81" s="39"/>
      <c r="AQ81" s="72" t="str">
        <f t="shared" si="61"/>
        <v/>
      </c>
      <c r="AR81" s="72" t="str">
        <f t="shared" si="78"/>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62"/>
        <v/>
      </c>
      <c r="AW81" s="72" t="str">
        <f t="shared" si="79"/>
        <v/>
      </c>
      <c r="AX81" s="39"/>
      <c r="AY81" s="40" t="str">
        <f>IF(ISERROR(IF($K81&lt;=$F$15,VLOOKUP($I81,'表4）CO2価格'!$A$7:$E$67,VLOOKUP($F$48,'表4）CO2価格'!$H$10:$I$12,2,0),0)*$F$8/1000,"")),0,IF($K81&lt;=$F$15,VLOOKUP($I81,'表4）CO2価格'!$A$7:$E$67,VLOOKUP($F$48,'表4）CO2価格'!$H$10:$I$12,2,0),0)*$F$8/1000,""))</f>
        <v/>
      </c>
      <c r="AZ81" s="39"/>
      <c r="BA81" s="42" t="str">
        <f t="shared" si="63"/>
        <v/>
      </c>
      <c r="BB81" s="72" t="str">
        <f t="shared" si="80"/>
        <v/>
      </c>
      <c r="BC81" s="39"/>
      <c r="BD81" s="72" t="str">
        <f t="shared" si="64"/>
        <v/>
      </c>
      <c r="BE81" s="72" t="str">
        <f t="shared" si="81"/>
        <v/>
      </c>
      <c r="BF81" s="39"/>
      <c r="BG81" s="42" t="str">
        <f t="shared" si="65"/>
        <v/>
      </c>
      <c r="BH81" s="72" t="str">
        <f t="shared" si="82"/>
        <v/>
      </c>
      <c r="BI81" s="39"/>
      <c r="BJ81" s="40" t="str">
        <f t="shared" si="83"/>
        <v/>
      </c>
      <c r="BK81" s="157" t="str">
        <f t="shared" si="84"/>
        <v/>
      </c>
      <c r="BL81" s="157" t="str">
        <f t="shared" si="66"/>
        <v/>
      </c>
      <c r="BM81" s="72"/>
      <c r="BN81" s="72" t="str">
        <f t="shared" si="85"/>
        <v/>
      </c>
      <c r="BO81" s="72" t="str">
        <f t="shared" si="86"/>
        <v/>
      </c>
      <c r="BP81" s="39"/>
      <c r="BQ81" s="72" t="str">
        <f t="shared" si="67"/>
        <v/>
      </c>
      <c r="BR81" s="72" t="str">
        <f t="shared" si="87"/>
        <v/>
      </c>
    </row>
    <row r="82" spans="4:70" x14ac:dyDescent="0.15">
      <c r="F82" s="487"/>
      <c r="I82" s="457">
        <f t="shared" si="88"/>
        <v>2087</v>
      </c>
      <c r="K82" s="71">
        <f t="shared" si="89"/>
        <v>68</v>
      </c>
      <c r="L82" s="71"/>
      <c r="M82" s="7">
        <f t="shared" si="52"/>
        <v>0.13398886862759865</v>
      </c>
      <c r="N82" s="71"/>
      <c r="O82" s="10" t="str">
        <f t="shared" si="68"/>
        <v/>
      </c>
      <c r="P82" s="29" t="str">
        <f t="shared" si="53"/>
        <v/>
      </c>
      <c r="Q82" s="71"/>
      <c r="R82" s="10" t="str">
        <f t="shared" si="69"/>
        <v/>
      </c>
      <c r="S82" s="71"/>
      <c r="T82" s="10" t="str">
        <f t="shared" si="70"/>
        <v/>
      </c>
      <c r="U82" s="71"/>
      <c r="V82" s="10" t="str">
        <f t="shared" si="54"/>
        <v/>
      </c>
      <c r="W82" s="10" t="str">
        <f t="shared" si="71"/>
        <v/>
      </c>
      <c r="X82" s="71"/>
      <c r="Y82" s="10" t="str">
        <f t="shared" si="55"/>
        <v/>
      </c>
      <c r="Z82" s="10" t="str">
        <f t="shared" si="72"/>
        <v/>
      </c>
      <c r="AA82" s="71"/>
      <c r="AB82" s="10" t="str">
        <f t="shared" si="56"/>
        <v/>
      </c>
      <c r="AC82" s="10" t="str">
        <f t="shared" si="73"/>
        <v/>
      </c>
      <c r="AD82" s="71"/>
      <c r="AE82" s="10" t="str">
        <f t="shared" si="57"/>
        <v/>
      </c>
      <c r="AF82" s="10" t="str">
        <f t="shared" si="74"/>
        <v/>
      </c>
      <c r="AG82" s="71"/>
      <c r="AH82" s="10" t="str">
        <f t="shared" si="58"/>
        <v/>
      </c>
      <c r="AI82" s="10" t="str">
        <f t="shared" si="75"/>
        <v/>
      </c>
      <c r="AJ82" s="71"/>
      <c r="AK82" s="10" t="str">
        <f t="shared" si="59"/>
        <v/>
      </c>
      <c r="AL82" s="10" t="str">
        <f t="shared" si="76"/>
        <v/>
      </c>
      <c r="AM82" s="71"/>
      <c r="AN82" s="10" t="str">
        <f t="shared" si="60"/>
        <v/>
      </c>
      <c r="AO82" s="10" t="str">
        <f t="shared" si="77"/>
        <v/>
      </c>
      <c r="AP82" s="71"/>
      <c r="AQ82" s="10" t="str">
        <f t="shared" si="61"/>
        <v/>
      </c>
      <c r="AR82" s="10" t="str">
        <f t="shared" si="78"/>
        <v/>
      </c>
      <c r="AS82" s="71"/>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U82" s="71"/>
      <c r="AV82" s="10" t="str">
        <f t="shared" si="62"/>
        <v/>
      </c>
      <c r="AW82" s="10" t="str">
        <f t="shared" si="79"/>
        <v/>
      </c>
      <c r="AX82" s="71"/>
      <c r="AY82" s="7" t="str">
        <f>IF(ISERROR(IF($K82&lt;=$F$15,VLOOKUP($I82,'表4）CO2価格'!$A$7:$E$67,VLOOKUP($F$48,'表4）CO2価格'!$H$10:$I$12,2,0),0)*$F$8/1000,"")),0,IF($K82&lt;=$F$15,VLOOKUP($I82,'表4）CO2価格'!$A$7:$E$67,VLOOKUP($F$48,'表4）CO2価格'!$H$10:$I$12,2,0),0)*$F$8/1000,""))</f>
        <v/>
      </c>
      <c r="AZ82" s="71"/>
      <c r="BA82" s="11" t="str">
        <f t="shared" si="63"/>
        <v/>
      </c>
      <c r="BB82" s="10" t="str">
        <f t="shared" si="80"/>
        <v/>
      </c>
      <c r="BC82" s="71"/>
      <c r="BD82" s="10" t="str">
        <f t="shared" si="64"/>
        <v/>
      </c>
      <c r="BE82" s="10" t="str">
        <f t="shared" si="81"/>
        <v/>
      </c>
      <c r="BF82" s="71"/>
      <c r="BG82" s="11" t="str">
        <f t="shared" si="65"/>
        <v/>
      </c>
      <c r="BH82" s="10" t="str">
        <f t="shared" si="82"/>
        <v/>
      </c>
      <c r="BJ82" s="7" t="str">
        <f t="shared" si="83"/>
        <v/>
      </c>
      <c r="BK82" s="158" t="str">
        <f t="shared" si="84"/>
        <v/>
      </c>
      <c r="BL82" s="158" t="str">
        <f t="shared" si="66"/>
        <v/>
      </c>
      <c r="BM82" s="10"/>
      <c r="BN82" s="10" t="str">
        <f t="shared" si="85"/>
        <v/>
      </c>
      <c r="BO82" s="10" t="str">
        <f t="shared" si="86"/>
        <v/>
      </c>
      <c r="BQ82" s="10" t="str">
        <f t="shared" si="67"/>
        <v/>
      </c>
      <c r="BR82" s="10" t="str">
        <f t="shared" si="87"/>
        <v/>
      </c>
    </row>
    <row r="83" spans="4:70" ht="15" x14ac:dyDescent="0.15">
      <c r="D83" s="103" t="s">
        <v>593</v>
      </c>
      <c r="F83" s="484">
        <f>SUBTOTAL(9,F87:F90)</f>
        <v>8.5616438356164402</v>
      </c>
      <c r="G83" s="84" t="s">
        <v>590</v>
      </c>
      <c r="I83" s="38">
        <f>I82+1</f>
        <v>2088</v>
      </c>
      <c r="J83" s="39"/>
      <c r="K83" s="39">
        <f>IF(I83&lt;&gt;"",K82+1,"")</f>
        <v>69</v>
      </c>
      <c r="L83" s="39"/>
      <c r="M83" s="40">
        <f t="shared" si="52"/>
        <v>0.13008628022096957</v>
      </c>
      <c r="N83" s="39"/>
      <c r="O83" s="72" t="str">
        <f t="shared" si="68"/>
        <v/>
      </c>
      <c r="P83" s="41" t="str">
        <f t="shared" si="53"/>
        <v/>
      </c>
      <c r="Q83" s="39"/>
      <c r="R83" s="72" t="str">
        <f t="shared" si="69"/>
        <v/>
      </c>
      <c r="S83" s="39"/>
      <c r="T83" s="72" t="str">
        <f t="shared" si="70"/>
        <v/>
      </c>
      <c r="U83" s="39"/>
      <c r="V83" s="72" t="str">
        <f t="shared" si="54"/>
        <v/>
      </c>
      <c r="W83" s="72" t="str">
        <f t="shared" si="71"/>
        <v/>
      </c>
      <c r="X83" s="39"/>
      <c r="Y83" s="72" t="str">
        <f t="shared" si="55"/>
        <v/>
      </c>
      <c r="Z83" s="72" t="str">
        <f t="shared" si="72"/>
        <v/>
      </c>
      <c r="AA83" s="39"/>
      <c r="AB83" s="72" t="str">
        <f t="shared" si="56"/>
        <v/>
      </c>
      <c r="AC83" s="72" t="str">
        <f t="shared" si="73"/>
        <v/>
      </c>
      <c r="AD83" s="39"/>
      <c r="AE83" s="72" t="str">
        <f t="shared" si="57"/>
        <v/>
      </c>
      <c r="AF83" s="72" t="str">
        <f t="shared" si="74"/>
        <v/>
      </c>
      <c r="AG83" s="39"/>
      <c r="AH83" s="72" t="str">
        <f t="shared" si="58"/>
        <v/>
      </c>
      <c r="AI83" s="72" t="str">
        <f t="shared" si="75"/>
        <v/>
      </c>
      <c r="AJ83" s="39"/>
      <c r="AK83" s="72" t="str">
        <f t="shared" si="59"/>
        <v/>
      </c>
      <c r="AL83" s="72" t="str">
        <f t="shared" si="76"/>
        <v/>
      </c>
      <c r="AM83" s="39"/>
      <c r="AN83" s="72" t="str">
        <f t="shared" si="60"/>
        <v/>
      </c>
      <c r="AO83" s="72" t="str">
        <f t="shared" si="77"/>
        <v/>
      </c>
      <c r="AP83" s="39"/>
      <c r="AQ83" s="72" t="str">
        <f t="shared" si="61"/>
        <v/>
      </c>
      <c r="AR83" s="72" t="str">
        <f t="shared" si="78"/>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62"/>
        <v/>
      </c>
      <c r="AW83" s="72" t="str">
        <f t="shared" si="79"/>
        <v/>
      </c>
      <c r="AX83" s="39"/>
      <c r="AY83" s="40" t="str">
        <f>IF(ISERROR(IF($K83&lt;=$F$15,VLOOKUP($I83,'表4）CO2価格'!$A$7:$E$67,VLOOKUP($F$48,'表4）CO2価格'!$H$10:$I$12,2,0),0)*$F$8/1000,"")),0,IF($K83&lt;=$F$15,VLOOKUP($I83,'表4）CO2価格'!$A$7:$E$67,VLOOKUP($F$48,'表4）CO2価格'!$H$10:$I$12,2,0),0)*$F$8/1000,""))</f>
        <v/>
      </c>
      <c r="AZ83" s="39"/>
      <c r="BA83" s="42" t="str">
        <f t="shared" si="63"/>
        <v/>
      </c>
      <c r="BB83" s="72" t="str">
        <f t="shared" si="80"/>
        <v/>
      </c>
      <c r="BC83" s="39"/>
      <c r="BD83" s="72" t="str">
        <f t="shared" si="64"/>
        <v/>
      </c>
      <c r="BE83" s="72" t="str">
        <f t="shared" si="81"/>
        <v/>
      </c>
      <c r="BF83" s="39"/>
      <c r="BG83" s="42" t="str">
        <f t="shared" si="65"/>
        <v/>
      </c>
      <c r="BH83" s="72" t="str">
        <f t="shared" si="82"/>
        <v/>
      </c>
      <c r="BI83" s="39"/>
      <c r="BJ83" s="40" t="str">
        <f t="shared" si="83"/>
        <v/>
      </c>
      <c r="BK83" s="157" t="str">
        <f t="shared" si="84"/>
        <v/>
      </c>
      <c r="BL83" s="157" t="str">
        <f t="shared" si="66"/>
        <v/>
      </c>
      <c r="BM83" s="72"/>
      <c r="BN83" s="72" t="str">
        <f t="shared" si="85"/>
        <v/>
      </c>
      <c r="BO83" s="72" t="str">
        <f t="shared" si="86"/>
        <v/>
      </c>
      <c r="BP83" s="39"/>
      <c r="BQ83" s="72" t="str">
        <f t="shared" si="67"/>
        <v/>
      </c>
      <c r="BR83" s="72" t="str">
        <f t="shared" si="87"/>
        <v/>
      </c>
    </row>
    <row r="84" spans="4:70" x14ac:dyDescent="0.15">
      <c r="F84" s="487"/>
      <c r="I84" s="457">
        <f t="shared" si="88"/>
        <v>2089</v>
      </c>
      <c r="K84" s="71">
        <f t="shared" si="89"/>
        <v>70</v>
      </c>
      <c r="L84" s="71"/>
      <c r="M84" s="7">
        <f t="shared" si="52"/>
        <v>0.12629735943783454</v>
      </c>
      <c r="N84" s="71"/>
      <c r="O84" s="10" t="str">
        <f t="shared" si="68"/>
        <v/>
      </c>
      <c r="P84" s="29" t="str">
        <f t="shared" si="53"/>
        <v/>
      </c>
      <c r="Q84" s="71"/>
      <c r="R84" s="10" t="str">
        <f t="shared" si="69"/>
        <v/>
      </c>
      <c r="S84" s="71"/>
      <c r="T84" s="10" t="str">
        <f t="shared" si="70"/>
        <v/>
      </c>
      <c r="U84" s="71"/>
      <c r="V84" s="10" t="str">
        <f t="shared" si="54"/>
        <v/>
      </c>
      <c r="W84" s="10" t="str">
        <f t="shared" si="71"/>
        <v/>
      </c>
      <c r="X84" s="71"/>
      <c r="Y84" s="10" t="str">
        <f t="shared" si="55"/>
        <v/>
      </c>
      <c r="Z84" s="10" t="str">
        <f t="shared" si="72"/>
        <v/>
      </c>
      <c r="AA84" s="71"/>
      <c r="AB84" s="10" t="str">
        <f t="shared" si="56"/>
        <v/>
      </c>
      <c r="AC84" s="10" t="str">
        <f t="shared" si="73"/>
        <v/>
      </c>
      <c r="AD84" s="71"/>
      <c r="AE84" s="10" t="str">
        <f t="shared" si="57"/>
        <v/>
      </c>
      <c r="AF84" s="10" t="str">
        <f t="shared" si="74"/>
        <v/>
      </c>
      <c r="AG84" s="71"/>
      <c r="AH84" s="10" t="str">
        <f t="shared" si="58"/>
        <v/>
      </c>
      <c r="AI84" s="10" t="str">
        <f t="shared" si="75"/>
        <v/>
      </c>
      <c r="AJ84" s="71"/>
      <c r="AK84" s="10" t="str">
        <f t="shared" si="59"/>
        <v/>
      </c>
      <c r="AL84" s="10" t="str">
        <f t="shared" si="76"/>
        <v/>
      </c>
      <c r="AM84" s="71"/>
      <c r="AN84" s="10" t="str">
        <f t="shared" si="60"/>
        <v/>
      </c>
      <c r="AO84" s="10" t="str">
        <f t="shared" si="77"/>
        <v/>
      </c>
      <c r="AP84" s="71"/>
      <c r="AQ84" s="10" t="str">
        <f t="shared" si="61"/>
        <v/>
      </c>
      <c r="AR84" s="10" t="str">
        <f t="shared" si="78"/>
        <v/>
      </c>
      <c r="AS84" s="71"/>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U84" s="71"/>
      <c r="AV84" s="10" t="str">
        <f t="shared" si="62"/>
        <v/>
      </c>
      <c r="AW84" s="10" t="str">
        <f t="shared" si="79"/>
        <v/>
      </c>
      <c r="AX84" s="71"/>
      <c r="AY84" s="7" t="str">
        <f>IF(ISERROR(IF($K84&lt;=$F$15,VLOOKUP($I84,'表4）CO2価格'!$A$7:$E$67,VLOOKUP($F$48,'表4）CO2価格'!$H$10:$I$12,2,0),0)*$F$8/1000,"")),0,IF($K84&lt;=$F$15,VLOOKUP($I84,'表4）CO2価格'!$A$7:$E$67,VLOOKUP($F$48,'表4）CO2価格'!$H$10:$I$12,2,0),0)*$F$8/1000,""))</f>
        <v/>
      </c>
      <c r="AZ84" s="71"/>
      <c r="BA84" s="11" t="str">
        <f t="shared" si="63"/>
        <v/>
      </c>
      <c r="BB84" s="10" t="str">
        <f t="shared" si="80"/>
        <v/>
      </c>
      <c r="BC84" s="71"/>
      <c r="BD84" s="10" t="str">
        <f t="shared" si="64"/>
        <v/>
      </c>
      <c r="BE84" s="10" t="str">
        <f t="shared" si="81"/>
        <v/>
      </c>
      <c r="BF84" s="71"/>
      <c r="BG84" s="11" t="str">
        <f t="shared" si="65"/>
        <v/>
      </c>
      <c r="BH84" s="10" t="str">
        <f t="shared" si="82"/>
        <v/>
      </c>
      <c r="BJ84" s="7" t="str">
        <f t="shared" si="83"/>
        <v/>
      </c>
      <c r="BK84" s="158" t="str">
        <f t="shared" si="84"/>
        <v/>
      </c>
      <c r="BL84" s="158" t="str">
        <f t="shared" si="66"/>
        <v/>
      </c>
      <c r="BM84" s="10"/>
      <c r="BN84" s="10" t="str">
        <f t="shared" si="85"/>
        <v/>
      </c>
      <c r="BO84" s="10" t="str">
        <f t="shared" si="86"/>
        <v/>
      </c>
      <c r="BQ84" s="10" t="str">
        <f t="shared" si="67"/>
        <v/>
      </c>
      <c r="BR84" s="10" t="str">
        <f t="shared" si="87"/>
        <v/>
      </c>
    </row>
    <row r="85" spans="4:70" x14ac:dyDescent="0.15">
      <c r="D85" s="100" t="s">
        <v>594</v>
      </c>
      <c r="E85" s="489"/>
      <c r="F85" s="486"/>
      <c r="G85" s="100"/>
      <c r="I85" s="38">
        <f t="shared" si="88"/>
        <v>2090</v>
      </c>
      <c r="J85" s="39"/>
      <c r="K85" s="39">
        <f t="shared" si="89"/>
        <v>71</v>
      </c>
      <c r="L85" s="39"/>
      <c r="M85" s="40">
        <f t="shared" si="52"/>
        <v>0.12261879557071313</v>
      </c>
      <c r="N85" s="39"/>
      <c r="O85" s="72" t="str">
        <f t="shared" si="68"/>
        <v/>
      </c>
      <c r="P85" s="41" t="str">
        <f t="shared" si="53"/>
        <v/>
      </c>
      <c r="Q85" s="39"/>
      <c r="R85" s="72" t="str">
        <f t="shared" si="69"/>
        <v/>
      </c>
      <c r="S85" s="39"/>
      <c r="T85" s="72" t="str">
        <f t="shared" si="70"/>
        <v/>
      </c>
      <c r="U85" s="39"/>
      <c r="V85" s="72" t="str">
        <f t="shared" si="54"/>
        <v/>
      </c>
      <c r="W85" s="72" t="str">
        <f t="shared" si="71"/>
        <v/>
      </c>
      <c r="X85" s="39"/>
      <c r="Y85" s="72" t="str">
        <f t="shared" si="55"/>
        <v/>
      </c>
      <c r="Z85" s="72" t="str">
        <f t="shared" si="72"/>
        <v/>
      </c>
      <c r="AA85" s="39"/>
      <c r="AB85" s="72" t="str">
        <f t="shared" si="56"/>
        <v/>
      </c>
      <c r="AC85" s="72" t="str">
        <f t="shared" si="73"/>
        <v/>
      </c>
      <c r="AD85" s="39"/>
      <c r="AE85" s="72" t="str">
        <f t="shared" si="57"/>
        <v/>
      </c>
      <c r="AF85" s="72" t="str">
        <f t="shared" si="74"/>
        <v/>
      </c>
      <c r="AG85" s="39"/>
      <c r="AH85" s="72" t="str">
        <f t="shared" si="58"/>
        <v/>
      </c>
      <c r="AI85" s="72" t="str">
        <f t="shared" si="75"/>
        <v/>
      </c>
      <c r="AJ85" s="39"/>
      <c r="AK85" s="72" t="str">
        <f t="shared" si="59"/>
        <v/>
      </c>
      <c r="AL85" s="72" t="str">
        <f t="shared" si="76"/>
        <v/>
      </c>
      <c r="AM85" s="39"/>
      <c r="AN85" s="72" t="str">
        <f t="shared" si="60"/>
        <v/>
      </c>
      <c r="AO85" s="72" t="str">
        <f t="shared" si="77"/>
        <v/>
      </c>
      <c r="AP85" s="39"/>
      <c r="AQ85" s="72" t="str">
        <f t="shared" si="61"/>
        <v/>
      </c>
      <c r="AR85" s="72" t="str">
        <f t="shared" si="78"/>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62"/>
        <v/>
      </c>
      <c r="AW85" s="72" t="str">
        <f t="shared" si="79"/>
        <v/>
      </c>
      <c r="AX85" s="39"/>
      <c r="AY85" s="40" t="str">
        <f>IF(ISERROR(IF($K85&lt;=$F$15,VLOOKUP($I85,'表4）CO2価格'!$A$7:$E$67,VLOOKUP($F$48,'表4）CO2価格'!$H$10:$I$12,2,0),0)*$F$8/1000,"")),0,IF($K85&lt;=$F$15,VLOOKUP($I85,'表4）CO2価格'!$A$7:$E$67,VLOOKUP($F$48,'表4）CO2価格'!$H$10:$I$12,2,0),0)*$F$8/1000,""))</f>
        <v/>
      </c>
      <c r="AZ85" s="39"/>
      <c r="BA85" s="42" t="str">
        <f t="shared" si="63"/>
        <v/>
      </c>
      <c r="BB85" s="72" t="str">
        <f t="shared" si="80"/>
        <v/>
      </c>
      <c r="BC85" s="39"/>
      <c r="BD85" s="72" t="str">
        <f t="shared" si="64"/>
        <v/>
      </c>
      <c r="BE85" s="72" t="str">
        <f t="shared" si="81"/>
        <v/>
      </c>
      <c r="BF85" s="39"/>
      <c r="BG85" s="42" t="str">
        <f t="shared" si="65"/>
        <v/>
      </c>
      <c r="BH85" s="72" t="str">
        <f t="shared" si="82"/>
        <v/>
      </c>
      <c r="BI85" s="39"/>
      <c r="BJ85" s="40" t="str">
        <f t="shared" si="83"/>
        <v/>
      </c>
      <c r="BK85" s="157" t="str">
        <f t="shared" si="84"/>
        <v/>
      </c>
      <c r="BL85" s="157" t="str">
        <f t="shared" si="66"/>
        <v/>
      </c>
      <c r="BM85" s="72"/>
      <c r="BN85" s="72" t="str">
        <f t="shared" si="85"/>
        <v/>
      </c>
      <c r="BO85" s="72" t="str">
        <f t="shared" si="86"/>
        <v/>
      </c>
      <c r="BP85" s="39"/>
      <c r="BQ85" s="72" t="str">
        <f t="shared" si="67"/>
        <v/>
      </c>
      <c r="BR85" s="72" t="str">
        <f t="shared" si="87"/>
        <v/>
      </c>
    </row>
    <row r="86" spans="4:70" x14ac:dyDescent="0.15">
      <c r="F86" s="487"/>
      <c r="I86" s="457">
        <f t="shared" si="88"/>
        <v>2091</v>
      </c>
      <c r="K86" s="71">
        <f t="shared" si="89"/>
        <v>72</v>
      </c>
      <c r="L86" s="71"/>
      <c r="M86" s="7">
        <f t="shared" si="52"/>
        <v>0.1190473743404982</v>
      </c>
      <c r="N86" s="71"/>
      <c r="O86" s="10" t="str">
        <f t="shared" si="68"/>
        <v/>
      </c>
      <c r="P86" s="29" t="str">
        <f t="shared" si="53"/>
        <v/>
      </c>
      <c r="Q86" s="71"/>
      <c r="R86" s="10" t="str">
        <f t="shared" si="69"/>
        <v/>
      </c>
      <c r="S86" s="71"/>
      <c r="T86" s="10" t="str">
        <f t="shared" si="70"/>
        <v/>
      </c>
      <c r="U86" s="71"/>
      <c r="V86" s="10" t="str">
        <f t="shared" si="54"/>
        <v/>
      </c>
      <c r="W86" s="10" t="str">
        <f t="shared" si="71"/>
        <v/>
      </c>
      <c r="X86" s="71"/>
      <c r="Y86" s="10" t="str">
        <f t="shared" si="55"/>
        <v/>
      </c>
      <c r="Z86" s="10" t="str">
        <f t="shared" si="72"/>
        <v/>
      </c>
      <c r="AA86" s="71"/>
      <c r="AB86" s="10" t="str">
        <f t="shared" si="56"/>
        <v/>
      </c>
      <c r="AC86" s="10" t="str">
        <f t="shared" si="73"/>
        <v/>
      </c>
      <c r="AD86" s="71"/>
      <c r="AE86" s="10" t="str">
        <f t="shared" si="57"/>
        <v/>
      </c>
      <c r="AF86" s="10" t="str">
        <f t="shared" si="74"/>
        <v/>
      </c>
      <c r="AG86" s="71"/>
      <c r="AH86" s="10" t="str">
        <f t="shared" si="58"/>
        <v/>
      </c>
      <c r="AI86" s="10" t="str">
        <f t="shared" si="75"/>
        <v/>
      </c>
      <c r="AJ86" s="71"/>
      <c r="AK86" s="10" t="str">
        <f t="shared" si="59"/>
        <v/>
      </c>
      <c r="AL86" s="10" t="str">
        <f t="shared" si="76"/>
        <v/>
      </c>
      <c r="AM86" s="71"/>
      <c r="AN86" s="10" t="str">
        <f t="shared" si="60"/>
        <v/>
      </c>
      <c r="AO86" s="10" t="str">
        <f t="shared" si="77"/>
        <v/>
      </c>
      <c r="AP86" s="71"/>
      <c r="AQ86" s="10" t="str">
        <f t="shared" si="61"/>
        <v/>
      </c>
      <c r="AR86" s="10" t="str">
        <f t="shared" si="78"/>
        <v/>
      </c>
      <c r="AS86" s="71"/>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U86" s="71"/>
      <c r="AV86" s="10" t="str">
        <f t="shared" si="62"/>
        <v/>
      </c>
      <c r="AW86" s="10" t="str">
        <f t="shared" si="79"/>
        <v/>
      </c>
      <c r="AX86" s="71"/>
      <c r="AY86" s="7" t="str">
        <f>IF(ISERROR(IF($K86&lt;=$F$15,VLOOKUP($I86,'表4）CO2価格'!$A$7:$E$67,VLOOKUP($F$48,'表4）CO2価格'!$H$10:$I$12,2,0),0)*$F$8/1000,"")),0,IF($K86&lt;=$F$15,VLOOKUP($I86,'表4）CO2価格'!$A$7:$E$67,VLOOKUP($F$48,'表4）CO2価格'!$H$10:$I$12,2,0),0)*$F$8/1000,""))</f>
        <v/>
      </c>
      <c r="AZ86" s="71"/>
      <c r="BA86" s="11" t="str">
        <f t="shared" si="63"/>
        <v/>
      </c>
      <c r="BB86" s="10" t="str">
        <f t="shared" si="80"/>
        <v/>
      </c>
      <c r="BC86" s="71"/>
      <c r="BD86" s="10" t="str">
        <f t="shared" si="64"/>
        <v/>
      </c>
      <c r="BE86" s="10" t="str">
        <f t="shared" si="81"/>
        <v/>
      </c>
      <c r="BF86" s="71"/>
      <c r="BG86" s="11" t="str">
        <f t="shared" si="65"/>
        <v/>
      </c>
      <c r="BH86" s="10" t="str">
        <f t="shared" si="82"/>
        <v/>
      </c>
      <c r="BJ86" s="7" t="str">
        <f t="shared" si="83"/>
        <v/>
      </c>
      <c r="BK86" s="158" t="str">
        <f t="shared" si="84"/>
        <v/>
      </c>
      <c r="BL86" s="158" t="str">
        <f t="shared" si="66"/>
        <v/>
      </c>
      <c r="BM86" s="10"/>
      <c r="BN86" s="10" t="str">
        <f t="shared" si="85"/>
        <v/>
      </c>
      <c r="BO86" s="10" t="str">
        <f t="shared" si="86"/>
        <v/>
      </c>
      <c r="BQ86" s="10" t="str">
        <f t="shared" si="67"/>
        <v/>
      </c>
      <c r="BR86" s="10" t="str">
        <f t="shared" si="87"/>
        <v/>
      </c>
    </row>
    <row r="87" spans="4:70" x14ac:dyDescent="0.15">
      <c r="E87" s="84" t="s">
        <v>141</v>
      </c>
      <c r="F87" s="488">
        <f>AI116/$BR$116</f>
        <v>8.5616438356164402</v>
      </c>
      <c r="G87" s="84" t="s">
        <v>590</v>
      </c>
      <c r="I87" s="38">
        <f t="shared" si="88"/>
        <v>2092</v>
      </c>
      <c r="J87" s="39"/>
      <c r="K87" s="39">
        <f t="shared" si="89"/>
        <v>73</v>
      </c>
      <c r="L87" s="39"/>
      <c r="M87" s="40">
        <f t="shared" si="52"/>
        <v>0.11557997508786232</v>
      </c>
      <c r="N87" s="39"/>
      <c r="O87" s="72" t="str">
        <f t="shared" si="68"/>
        <v/>
      </c>
      <c r="P87" s="41" t="str">
        <f t="shared" si="53"/>
        <v/>
      </c>
      <c r="Q87" s="39"/>
      <c r="R87" s="72" t="str">
        <f t="shared" si="69"/>
        <v/>
      </c>
      <c r="S87" s="39"/>
      <c r="T87" s="72" t="str">
        <f t="shared" si="70"/>
        <v/>
      </c>
      <c r="U87" s="39"/>
      <c r="V87" s="72" t="str">
        <f t="shared" si="54"/>
        <v/>
      </c>
      <c r="W87" s="72" t="str">
        <f t="shared" si="71"/>
        <v/>
      </c>
      <c r="X87" s="39"/>
      <c r="Y87" s="72" t="str">
        <f t="shared" si="55"/>
        <v/>
      </c>
      <c r="Z87" s="72" t="str">
        <f t="shared" si="72"/>
        <v/>
      </c>
      <c r="AA87" s="39"/>
      <c r="AB87" s="72" t="str">
        <f t="shared" si="56"/>
        <v/>
      </c>
      <c r="AC87" s="72" t="str">
        <f t="shared" si="73"/>
        <v/>
      </c>
      <c r="AD87" s="39"/>
      <c r="AE87" s="72" t="str">
        <f t="shared" si="57"/>
        <v/>
      </c>
      <c r="AF87" s="72" t="str">
        <f t="shared" si="74"/>
        <v/>
      </c>
      <c r="AG87" s="39"/>
      <c r="AH87" s="72" t="str">
        <f t="shared" si="58"/>
        <v/>
      </c>
      <c r="AI87" s="72" t="str">
        <f t="shared" si="75"/>
        <v/>
      </c>
      <c r="AJ87" s="39"/>
      <c r="AK87" s="72" t="str">
        <f t="shared" si="59"/>
        <v/>
      </c>
      <c r="AL87" s="72" t="str">
        <f t="shared" si="76"/>
        <v/>
      </c>
      <c r="AM87" s="39"/>
      <c r="AN87" s="72" t="str">
        <f t="shared" si="60"/>
        <v/>
      </c>
      <c r="AO87" s="72" t="str">
        <f t="shared" si="77"/>
        <v/>
      </c>
      <c r="AP87" s="39"/>
      <c r="AQ87" s="72" t="str">
        <f t="shared" si="61"/>
        <v/>
      </c>
      <c r="AR87" s="72" t="str">
        <f t="shared" si="78"/>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62"/>
        <v/>
      </c>
      <c r="AW87" s="72" t="str">
        <f t="shared" si="79"/>
        <v/>
      </c>
      <c r="AX87" s="39"/>
      <c r="AY87" s="40" t="str">
        <f>IF(ISERROR(IF($K87&lt;=$F$15,VLOOKUP($I87,'表4）CO2価格'!$A$7:$E$67,VLOOKUP($F$48,'表4）CO2価格'!$H$10:$I$12,2,0),0)*$F$8/1000,"")),0,IF($K87&lt;=$F$15,VLOOKUP($I87,'表4）CO2価格'!$A$7:$E$67,VLOOKUP($F$48,'表4）CO2価格'!$H$10:$I$12,2,0),0)*$F$8/1000,""))</f>
        <v/>
      </c>
      <c r="AZ87" s="39"/>
      <c r="BA87" s="42" t="str">
        <f t="shared" si="63"/>
        <v/>
      </c>
      <c r="BB87" s="72" t="str">
        <f t="shared" si="80"/>
        <v/>
      </c>
      <c r="BC87" s="39"/>
      <c r="BD87" s="72" t="str">
        <f t="shared" si="64"/>
        <v/>
      </c>
      <c r="BE87" s="72" t="str">
        <f t="shared" si="81"/>
        <v/>
      </c>
      <c r="BF87" s="39"/>
      <c r="BG87" s="42" t="str">
        <f t="shared" si="65"/>
        <v/>
      </c>
      <c r="BH87" s="72" t="str">
        <f t="shared" si="82"/>
        <v/>
      </c>
      <c r="BI87" s="39"/>
      <c r="BJ87" s="40" t="str">
        <f t="shared" si="83"/>
        <v/>
      </c>
      <c r="BK87" s="157" t="str">
        <f t="shared" si="84"/>
        <v/>
      </c>
      <c r="BL87" s="157" t="str">
        <f t="shared" si="66"/>
        <v/>
      </c>
      <c r="BM87" s="72"/>
      <c r="BN87" s="72" t="str">
        <f t="shared" si="85"/>
        <v/>
      </c>
      <c r="BO87" s="72" t="str">
        <f t="shared" si="86"/>
        <v/>
      </c>
      <c r="BP87" s="39"/>
      <c r="BQ87" s="72" t="str">
        <f t="shared" si="67"/>
        <v/>
      </c>
      <c r="BR87" s="72" t="str">
        <f t="shared" si="87"/>
        <v/>
      </c>
    </row>
    <row r="88" spans="4:70" x14ac:dyDescent="0.15">
      <c r="E88" s="84" t="s">
        <v>120</v>
      </c>
      <c r="F88" s="488">
        <f>AL116/$BR$116</f>
        <v>0</v>
      </c>
      <c r="G88" s="84" t="s">
        <v>590</v>
      </c>
      <c r="I88" s="457">
        <f t="shared" si="88"/>
        <v>2093</v>
      </c>
      <c r="K88" s="71">
        <f t="shared" si="89"/>
        <v>74</v>
      </c>
      <c r="L88" s="71"/>
      <c r="M88" s="7">
        <f t="shared" si="52"/>
        <v>0.11221356804646829</v>
      </c>
      <c r="N88" s="71"/>
      <c r="O88" s="10" t="str">
        <f t="shared" si="68"/>
        <v/>
      </c>
      <c r="P88" s="29" t="str">
        <f t="shared" si="53"/>
        <v/>
      </c>
      <c r="Q88" s="71"/>
      <c r="R88" s="10" t="str">
        <f t="shared" si="69"/>
        <v/>
      </c>
      <c r="S88" s="71"/>
      <c r="T88" s="10" t="str">
        <f t="shared" si="70"/>
        <v/>
      </c>
      <c r="U88" s="71"/>
      <c r="V88" s="10" t="str">
        <f t="shared" si="54"/>
        <v/>
      </c>
      <c r="W88" s="10" t="str">
        <f t="shared" si="71"/>
        <v/>
      </c>
      <c r="X88" s="71"/>
      <c r="Y88" s="10" t="str">
        <f t="shared" si="55"/>
        <v/>
      </c>
      <c r="Z88" s="10" t="str">
        <f t="shared" si="72"/>
        <v/>
      </c>
      <c r="AA88" s="71"/>
      <c r="AB88" s="10" t="str">
        <f t="shared" si="56"/>
        <v/>
      </c>
      <c r="AC88" s="10" t="str">
        <f t="shared" si="73"/>
        <v/>
      </c>
      <c r="AD88" s="71"/>
      <c r="AE88" s="10" t="str">
        <f t="shared" si="57"/>
        <v/>
      </c>
      <c r="AF88" s="10" t="str">
        <f t="shared" si="74"/>
        <v/>
      </c>
      <c r="AG88" s="71"/>
      <c r="AH88" s="10" t="str">
        <f t="shared" si="58"/>
        <v/>
      </c>
      <c r="AI88" s="10" t="str">
        <f t="shared" si="75"/>
        <v/>
      </c>
      <c r="AJ88" s="71"/>
      <c r="AK88" s="10" t="str">
        <f t="shared" si="59"/>
        <v/>
      </c>
      <c r="AL88" s="10" t="str">
        <f t="shared" si="76"/>
        <v/>
      </c>
      <c r="AM88" s="71"/>
      <c r="AN88" s="10" t="str">
        <f t="shared" si="60"/>
        <v/>
      </c>
      <c r="AO88" s="10" t="str">
        <f t="shared" si="77"/>
        <v/>
      </c>
      <c r="AP88" s="71"/>
      <c r="AQ88" s="10" t="str">
        <f t="shared" si="61"/>
        <v/>
      </c>
      <c r="AR88" s="10" t="str">
        <f t="shared" si="78"/>
        <v/>
      </c>
      <c r="AS88" s="71"/>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U88" s="71"/>
      <c r="AV88" s="10" t="str">
        <f t="shared" si="62"/>
        <v/>
      </c>
      <c r="AW88" s="10" t="str">
        <f t="shared" si="79"/>
        <v/>
      </c>
      <c r="AX88" s="71"/>
      <c r="AY88" s="7" t="str">
        <f>IF(ISERROR(IF($K88&lt;=$F$15,VLOOKUP($I88,'表4）CO2価格'!$A$7:$E$67,VLOOKUP($F$48,'表4）CO2価格'!$H$10:$I$12,2,0),0)*$F$8/1000,"")),0,IF($K88&lt;=$F$15,VLOOKUP($I88,'表4）CO2価格'!$A$7:$E$67,VLOOKUP($F$48,'表4）CO2価格'!$H$10:$I$12,2,0),0)*$F$8/1000,""))</f>
        <v/>
      </c>
      <c r="AZ88" s="71"/>
      <c r="BA88" s="11" t="str">
        <f t="shared" si="63"/>
        <v/>
      </c>
      <c r="BB88" s="10" t="str">
        <f t="shared" si="80"/>
        <v/>
      </c>
      <c r="BC88" s="71"/>
      <c r="BD88" s="10" t="str">
        <f t="shared" si="64"/>
        <v/>
      </c>
      <c r="BE88" s="10" t="str">
        <f t="shared" si="81"/>
        <v/>
      </c>
      <c r="BF88" s="71"/>
      <c r="BG88" s="11" t="str">
        <f t="shared" si="65"/>
        <v/>
      </c>
      <c r="BH88" s="10" t="str">
        <f t="shared" si="82"/>
        <v/>
      </c>
      <c r="BJ88" s="7" t="str">
        <f t="shared" si="83"/>
        <v/>
      </c>
      <c r="BK88" s="158" t="str">
        <f t="shared" si="84"/>
        <v/>
      </c>
      <c r="BL88" s="158" t="str">
        <f t="shared" si="66"/>
        <v/>
      </c>
      <c r="BM88" s="10"/>
      <c r="BN88" s="10" t="str">
        <f t="shared" si="85"/>
        <v/>
      </c>
      <c r="BO88" s="10" t="str">
        <f t="shared" si="86"/>
        <v/>
      </c>
      <c r="BQ88" s="10" t="str">
        <f t="shared" si="67"/>
        <v/>
      </c>
      <c r="BR88" s="10" t="str">
        <f t="shared" si="87"/>
        <v/>
      </c>
    </row>
    <row r="89" spans="4:70" x14ac:dyDescent="0.15">
      <c r="E89" s="84" t="s">
        <v>122</v>
      </c>
      <c r="F89" s="488">
        <f>AO116/$BR$116</f>
        <v>0</v>
      </c>
      <c r="G89" s="84" t="s">
        <v>590</v>
      </c>
      <c r="I89" s="38">
        <f t="shared" si="88"/>
        <v>2094</v>
      </c>
      <c r="J89" s="39"/>
      <c r="K89" s="39">
        <f t="shared" si="89"/>
        <v>75</v>
      </c>
      <c r="L89" s="39"/>
      <c r="M89" s="40">
        <f t="shared" si="52"/>
        <v>0.10894521169560026</v>
      </c>
      <c r="N89" s="39"/>
      <c r="O89" s="72" t="str">
        <f t="shared" si="68"/>
        <v/>
      </c>
      <c r="P89" s="41" t="str">
        <f t="shared" si="53"/>
        <v/>
      </c>
      <c r="Q89" s="39"/>
      <c r="R89" s="72" t="str">
        <f t="shared" si="69"/>
        <v/>
      </c>
      <c r="S89" s="39"/>
      <c r="T89" s="72" t="str">
        <f t="shared" si="70"/>
        <v/>
      </c>
      <c r="U89" s="39"/>
      <c r="V89" s="72" t="str">
        <f t="shared" si="54"/>
        <v/>
      </c>
      <c r="W89" s="72" t="str">
        <f t="shared" si="71"/>
        <v/>
      </c>
      <c r="X89" s="39"/>
      <c r="Y89" s="72" t="str">
        <f t="shared" si="55"/>
        <v/>
      </c>
      <c r="Z89" s="72" t="str">
        <f t="shared" si="72"/>
        <v/>
      </c>
      <c r="AA89" s="39"/>
      <c r="AB89" s="72" t="str">
        <f t="shared" si="56"/>
        <v/>
      </c>
      <c r="AC89" s="72" t="str">
        <f t="shared" si="73"/>
        <v/>
      </c>
      <c r="AD89" s="39"/>
      <c r="AE89" s="72" t="str">
        <f t="shared" si="57"/>
        <v/>
      </c>
      <c r="AF89" s="72" t="str">
        <f t="shared" si="74"/>
        <v/>
      </c>
      <c r="AG89" s="39"/>
      <c r="AH89" s="72" t="str">
        <f t="shared" si="58"/>
        <v/>
      </c>
      <c r="AI89" s="72" t="str">
        <f t="shared" si="75"/>
        <v/>
      </c>
      <c r="AJ89" s="39"/>
      <c r="AK89" s="72" t="str">
        <f t="shared" si="59"/>
        <v/>
      </c>
      <c r="AL89" s="72" t="str">
        <f t="shared" si="76"/>
        <v/>
      </c>
      <c r="AM89" s="39"/>
      <c r="AN89" s="72" t="str">
        <f t="shared" si="60"/>
        <v/>
      </c>
      <c r="AO89" s="72" t="str">
        <f t="shared" si="77"/>
        <v/>
      </c>
      <c r="AP89" s="39"/>
      <c r="AQ89" s="72" t="str">
        <f t="shared" si="61"/>
        <v/>
      </c>
      <c r="AR89" s="72" t="str">
        <f t="shared" si="78"/>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62"/>
        <v/>
      </c>
      <c r="AW89" s="72" t="str">
        <f t="shared" si="79"/>
        <v/>
      </c>
      <c r="AX89" s="39"/>
      <c r="AY89" s="40" t="str">
        <f>IF(ISERROR(IF($K89&lt;=$F$15,VLOOKUP($I89,'表4）CO2価格'!$A$7:$E$67,VLOOKUP($F$48,'表4）CO2価格'!$H$10:$I$12,2,0),0)*$F$8/1000,"")),0,IF($K89&lt;=$F$15,VLOOKUP($I89,'表4）CO2価格'!$A$7:$E$67,VLOOKUP($F$48,'表4）CO2価格'!$H$10:$I$12,2,0),0)*$F$8/1000,""))</f>
        <v/>
      </c>
      <c r="AZ89" s="39"/>
      <c r="BA89" s="42" t="str">
        <f t="shared" si="63"/>
        <v/>
      </c>
      <c r="BB89" s="72" t="str">
        <f t="shared" si="80"/>
        <v/>
      </c>
      <c r="BC89" s="39"/>
      <c r="BD89" s="72" t="str">
        <f t="shared" si="64"/>
        <v/>
      </c>
      <c r="BE89" s="72" t="str">
        <f t="shared" si="81"/>
        <v/>
      </c>
      <c r="BF89" s="39"/>
      <c r="BG89" s="42" t="str">
        <f t="shared" si="65"/>
        <v/>
      </c>
      <c r="BH89" s="72" t="str">
        <f t="shared" si="82"/>
        <v/>
      </c>
      <c r="BI89" s="39"/>
      <c r="BJ89" s="40" t="str">
        <f t="shared" si="83"/>
        <v/>
      </c>
      <c r="BK89" s="157" t="str">
        <f t="shared" si="84"/>
        <v/>
      </c>
      <c r="BL89" s="157" t="str">
        <f t="shared" si="66"/>
        <v/>
      </c>
      <c r="BM89" s="72"/>
      <c r="BN89" s="72" t="str">
        <f t="shared" si="85"/>
        <v/>
      </c>
      <c r="BO89" s="72" t="str">
        <f t="shared" si="86"/>
        <v/>
      </c>
      <c r="BP89" s="39"/>
      <c r="BQ89" s="72" t="str">
        <f t="shared" si="67"/>
        <v/>
      </c>
      <c r="BR89" s="72" t="str">
        <f t="shared" si="87"/>
        <v/>
      </c>
    </row>
    <row r="90" spans="4:70" x14ac:dyDescent="0.15">
      <c r="E90" s="84" t="s">
        <v>142</v>
      </c>
      <c r="F90" s="488">
        <f>AR116/$BR$116</f>
        <v>0</v>
      </c>
      <c r="G90" s="84" t="s">
        <v>590</v>
      </c>
      <c r="I90" s="457">
        <f t="shared" si="88"/>
        <v>2095</v>
      </c>
      <c r="K90" s="71">
        <f t="shared" si="89"/>
        <v>76</v>
      </c>
      <c r="L90" s="71"/>
      <c r="M90" s="7">
        <f t="shared" si="52"/>
        <v>0.10577205018990318</v>
      </c>
      <c r="N90" s="71"/>
      <c r="O90" s="10" t="str">
        <f t="shared" si="68"/>
        <v/>
      </c>
      <c r="P90" s="29" t="str">
        <f t="shared" si="53"/>
        <v/>
      </c>
      <c r="Q90" s="71"/>
      <c r="R90" s="10" t="str">
        <f t="shared" si="69"/>
        <v/>
      </c>
      <c r="S90" s="71"/>
      <c r="T90" s="10" t="str">
        <f t="shared" si="70"/>
        <v/>
      </c>
      <c r="U90" s="71"/>
      <c r="V90" s="10" t="str">
        <f t="shared" si="54"/>
        <v/>
      </c>
      <c r="W90" s="10" t="str">
        <f t="shared" si="71"/>
        <v/>
      </c>
      <c r="X90" s="71"/>
      <c r="Y90" s="10" t="str">
        <f t="shared" si="55"/>
        <v/>
      </c>
      <c r="Z90" s="10" t="str">
        <f t="shared" si="72"/>
        <v/>
      </c>
      <c r="AA90" s="71"/>
      <c r="AB90" s="10" t="str">
        <f t="shared" si="56"/>
        <v/>
      </c>
      <c r="AC90" s="10" t="str">
        <f t="shared" si="73"/>
        <v/>
      </c>
      <c r="AD90" s="71"/>
      <c r="AE90" s="10" t="str">
        <f t="shared" si="57"/>
        <v/>
      </c>
      <c r="AF90" s="10" t="str">
        <f t="shared" si="74"/>
        <v/>
      </c>
      <c r="AG90" s="71"/>
      <c r="AH90" s="10" t="str">
        <f t="shared" si="58"/>
        <v/>
      </c>
      <c r="AI90" s="10" t="str">
        <f t="shared" si="75"/>
        <v/>
      </c>
      <c r="AJ90" s="71"/>
      <c r="AK90" s="10" t="str">
        <f t="shared" si="59"/>
        <v/>
      </c>
      <c r="AL90" s="10" t="str">
        <f t="shared" si="76"/>
        <v/>
      </c>
      <c r="AM90" s="71"/>
      <c r="AN90" s="10" t="str">
        <f t="shared" si="60"/>
        <v/>
      </c>
      <c r="AO90" s="10" t="str">
        <f t="shared" si="77"/>
        <v/>
      </c>
      <c r="AP90" s="71"/>
      <c r="AQ90" s="10" t="str">
        <f t="shared" si="61"/>
        <v/>
      </c>
      <c r="AR90" s="10" t="str">
        <f t="shared" si="78"/>
        <v/>
      </c>
      <c r="AS90" s="71"/>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U90" s="71"/>
      <c r="AV90" s="10" t="str">
        <f t="shared" si="62"/>
        <v/>
      </c>
      <c r="AW90" s="10" t="str">
        <f t="shared" si="79"/>
        <v/>
      </c>
      <c r="AX90" s="71"/>
      <c r="AY90" s="7" t="str">
        <f>IF(ISERROR(IF($K90&lt;=$F$15,VLOOKUP($I90,'表4）CO2価格'!$A$7:$E$67,VLOOKUP($F$48,'表4）CO2価格'!$H$10:$I$12,2,0),0)*$F$8/1000,"")),0,IF($K90&lt;=$F$15,VLOOKUP($I90,'表4）CO2価格'!$A$7:$E$67,VLOOKUP($F$48,'表4）CO2価格'!$H$10:$I$12,2,0),0)*$F$8/1000,""))</f>
        <v/>
      </c>
      <c r="AZ90" s="71"/>
      <c r="BA90" s="11" t="str">
        <f t="shared" si="63"/>
        <v/>
      </c>
      <c r="BB90" s="10" t="str">
        <f t="shared" si="80"/>
        <v/>
      </c>
      <c r="BC90" s="71"/>
      <c r="BD90" s="10" t="str">
        <f t="shared" si="64"/>
        <v/>
      </c>
      <c r="BE90" s="10" t="str">
        <f t="shared" si="81"/>
        <v/>
      </c>
      <c r="BF90" s="71"/>
      <c r="BG90" s="11" t="str">
        <f t="shared" si="65"/>
        <v/>
      </c>
      <c r="BH90" s="10" t="str">
        <f t="shared" si="82"/>
        <v/>
      </c>
      <c r="BJ90" s="7" t="str">
        <f t="shared" si="83"/>
        <v/>
      </c>
      <c r="BK90" s="158" t="str">
        <f t="shared" si="84"/>
        <v/>
      </c>
      <c r="BL90" s="158" t="str">
        <f t="shared" si="66"/>
        <v/>
      </c>
      <c r="BM90" s="10"/>
      <c r="BN90" s="10" t="str">
        <f t="shared" si="85"/>
        <v/>
      </c>
      <c r="BO90" s="10" t="str">
        <f t="shared" si="86"/>
        <v/>
      </c>
      <c r="BQ90" s="10" t="str">
        <f t="shared" si="67"/>
        <v/>
      </c>
      <c r="BR90" s="10" t="str">
        <f t="shared" si="87"/>
        <v/>
      </c>
    </row>
    <row r="91" spans="4:70" x14ac:dyDescent="0.15">
      <c r="F91" s="487"/>
      <c r="I91" s="38">
        <f t="shared" si="88"/>
        <v>2096</v>
      </c>
      <c r="J91" s="39"/>
      <c r="K91" s="39">
        <f t="shared" si="89"/>
        <v>77</v>
      </c>
      <c r="L91" s="39"/>
      <c r="M91" s="40">
        <f t="shared" si="52"/>
        <v>0.10269131086398368</v>
      </c>
      <c r="N91" s="39"/>
      <c r="O91" s="72" t="str">
        <f t="shared" si="68"/>
        <v/>
      </c>
      <c r="P91" s="41" t="str">
        <f t="shared" si="53"/>
        <v/>
      </c>
      <c r="Q91" s="39"/>
      <c r="R91" s="72" t="str">
        <f t="shared" si="69"/>
        <v/>
      </c>
      <c r="S91" s="39"/>
      <c r="T91" s="72" t="str">
        <f t="shared" si="70"/>
        <v/>
      </c>
      <c r="U91" s="39"/>
      <c r="V91" s="72" t="str">
        <f t="shared" si="54"/>
        <v/>
      </c>
      <c r="W91" s="72" t="str">
        <f t="shared" si="71"/>
        <v/>
      </c>
      <c r="X91" s="39"/>
      <c r="Y91" s="72" t="str">
        <f t="shared" si="55"/>
        <v/>
      </c>
      <c r="Z91" s="72" t="str">
        <f t="shared" si="72"/>
        <v/>
      </c>
      <c r="AA91" s="39"/>
      <c r="AB91" s="72" t="str">
        <f t="shared" si="56"/>
        <v/>
      </c>
      <c r="AC91" s="72" t="str">
        <f t="shared" si="73"/>
        <v/>
      </c>
      <c r="AD91" s="39"/>
      <c r="AE91" s="72" t="str">
        <f t="shared" si="57"/>
        <v/>
      </c>
      <c r="AF91" s="72" t="str">
        <f t="shared" si="74"/>
        <v/>
      </c>
      <c r="AG91" s="39"/>
      <c r="AH91" s="72" t="str">
        <f t="shared" si="58"/>
        <v/>
      </c>
      <c r="AI91" s="72" t="str">
        <f t="shared" si="75"/>
        <v/>
      </c>
      <c r="AJ91" s="39"/>
      <c r="AK91" s="72" t="str">
        <f t="shared" si="59"/>
        <v/>
      </c>
      <c r="AL91" s="72" t="str">
        <f t="shared" si="76"/>
        <v/>
      </c>
      <c r="AM91" s="39"/>
      <c r="AN91" s="72" t="str">
        <f t="shared" si="60"/>
        <v/>
      </c>
      <c r="AO91" s="72" t="str">
        <f t="shared" si="77"/>
        <v/>
      </c>
      <c r="AP91" s="39"/>
      <c r="AQ91" s="72" t="str">
        <f t="shared" si="61"/>
        <v/>
      </c>
      <c r="AR91" s="72" t="str">
        <f t="shared" si="78"/>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62"/>
        <v/>
      </c>
      <c r="AW91" s="72" t="str">
        <f t="shared" si="79"/>
        <v/>
      </c>
      <c r="AX91" s="39"/>
      <c r="AY91" s="40" t="str">
        <f>IF(ISERROR(IF($K91&lt;=$F$15,VLOOKUP($I91,'表4）CO2価格'!$A$7:$E$67,VLOOKUP($F$48,'表4）CO2価格'!$H$10:$I$12,2,0),0)*$F$8/1000,"")),0,IF($K91&lt;=$F$15,VLOOKUP($I91,'表4）CO2価格'!$A$7:$E$67,VLOOKUP($F$48,'表4）CO2価格'!$H$10:$I$12,2,0),0)*$F$8/1000,""))</f>
        <v/>
      </c>
      <c r="AZ91" s="39"/>
      <c r="BA91" s="42" t="str">
        <f t="shared" si="63"/>
        <v/>
      </c>
      <c r="BB91" s="72" t="str">
        <f t="shared" si="80"/>
        <v/>
      </c>
      <c r="BC91" s="39"/>
      <c r="BD91" s="72" t="str">
        <f t="shared" si="64"/>
        <v/>
      </c>
      <c r="BE91" s="72" t="str">
        <f t="shared" si="81"/>
        <v/>
      </c>
      <c r="BF91" s="39"/>
      <c r="BG91" s="42" t="str">
        <f t="shared" si="65"/>
        <v/>
      </c>
      <c r="BH91" s="72" t="str">
        <f t="shared" si="82"/>
        <v/>
      </c>
      <c r="BI91" s="39"/>
      <c r="BJ91" s="40" t="str">
        <f t="shared" si="83"/>
        <v/>
      </c>
      <c r="BK91" s="157" t="str">
        <f t="shared" si="84"/>
        <v/>
      </c>
      <c r="BL91" s="157" t="str">
        <f t="shared" si="66"/>
        <v/>
      </c>
      <c r="BM91" s="72"/>
      <c r="BN91" s="72" t="str">
        <f t="shared" si="85"/>
        <v/>
      </c>
      <c r="BO91" s="72" t="str">
        <f t="shared" si="86"/>
        <v/>
      </c>
      <c r="BP91" s="39"/>
      <c r="BQ91" s="72" t="str">
        <f t="shared" si="67"/>
        <v/>
      </c>
      <c r="BR91" s="72" t="str">
        <f t="shared" si="87"/>
        <v/>
      </c>
    </row>
    <row r="92" spans="4:70" ht="15" x14ac:dyDescent="0.15">
      <c r="D92" s="103" t="s">
        <v>595</v>
      </c>
      <c r="F92" s="484">
        <f>SUBTOTAL(9,F96:F97)</f>
        <v>0</v>
      </c>
      <c r="I92" s="457">
        <f t="shared" si="88"/>
        <v>2097</v>
      </c>
      <c r="K92" s="71">
        <f t="shared" si="89"/>
        <v>78</v>
      </c>
      <c r="L92" s="71"/>
      <c r="M92" s="7">
        <f t="shared" si="52"/>
        <v>9.9700301809692873E-2</v>
      </c>
      <c r="N92" s="71"/>
      <c r="O92" s="10" t="str">
        <f t="shared" si="68"/>
        <v/>
      </c>
      <c r="P92" s="29" t="str">
        <f t="shared" si="53"/>
        <v/>
      </c>
      <c r="Q92" s="71"/>
      <c r="R92" s="10" t="str">
        <f t="shared" si="69"/>
        <v/>
      </c>
      <c r="S92" s="71"/>
      <c r="T92" s="10" t="str">
        <f t="shared" si="70"/>
        <v/>
      </c>
      <c r="U92" s="71"/>
      <c r="V92" s="10" t="str">
        <f t="shared" si="54"/>
        <v/>
      </c>
      <c r="W92" s="10" t="str">
        <f t="shared" si="71"/>
        <v/>
      </c>
      <c r="X92" s="71"/>
      <c r="Y92" s="10" t="str">
        <f t="shared" si="55"/>
        <v/>
      </c>
      <c r="Z92" s="10" t="str">
        <f t="shared" si="72"/>
        <v/>
      </c>
      <c r="AA92" s="71"/>
      <c r="AB92" s="10" t="str">
        <f t="shared" si="56"/>
        <v/>
      </c>
      <c r="AC92" s="10" t="str">
        <f t="shared" si="73"/>
        <v/>
      </c>
      <c r="AD92" s="71"/>
      <c r="AE92" s="10" t="str">
        <f t="shared" si="57"/>
        <v/>
      </c>
      <c r="AF92" s="10" t="str">
        <f t="shared" si="74"/>
        <v/>
      </c>
      <c r="AG92" s="71"/>
      <c r="AH92" s="10" t="str">
        <f t="shared" si="58"/>
        <v/>
      </c>
      <c r="AI92" s="10" t="str">
        <f t="shared" si="75"/>
        <v/>
      </c>
      <c r="AJ92" s="71"/>
      <c r="AK92" s="10" t="str">
        <f t="shared" si="59"/>
        <v/>
      </c>
      <c r="AL92" s="10" t="str">
        <f t="shared" si="76"/>
        <v/>
      </c>
      <c r="AM92" s="71"/>
      <c r="AN92" s="10" t="str">
        <f t="shared" si="60"/>
        <v/>
      </c>
      <c r="AO92" s="10" t="str">
        <f t="shared" si="77"/>
        <v/>
      </c>
      <c r="AP92" s="71"/>
      <c r="AQ92" s="10" t="str">
        <f t="shared" si="61"/>
        <v/>
      </c>
      <c r="AR92" s="10" t="str">
        <f t="shared" si="78"/>
        <v/>
      </c>
      <c r="AS92" s="71"/>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U92" s="71"/>
      <c r="AV92" s="10" t="str">
        <f t="shared" si="62"/>
        <v/>
      </c>
      <c r="AW92" s="10" t="str">
        <f t="shared" si="79"/>
        <v/>
      </c>
      <c r="AX92" s="71"/>
      <c r="AY92" s="7" t="str">
        <f>IF(ISERROR(IF($K92&lt;=$F$15,VLOOKUP($I92,'表4）CO2価格'!$A$7:$E$67,VLOOKUP($F$48,'表4）CO2価格'!$H$10:$I$12,2,0),0)*$F$8/1000,"")),0,IF($K92&lt;=$F$15,VLOOKUP($I92,'表4）CO2価格'!$A$7:$E$67,VLOOKUP($F$48,'表4）CO2価格'!$H$10:$I$12,2,0),0)*$F$8/1000,""))</f>
        <v/>
      </c>
      <c r="AZ92" s="71"/>
      <c r="BA92" s="11" t="str">
        <f t="shared" si="63"/>
        <v/>
      </c>
      <c r="BB92" s="10" t="str">
        <f t="shared" si="80"/>
        <v/>
      </c>
      <c r="BC92" s="71"/>
      <c r="BD92" s="10" t="str">
        <f t="shared" si="64"/>
        <v/>
      </c>
      <c r="BE92" s="10" t="str">
        <f t="shared" si="81"/>
        <v/>
      </c>
      <c r="BF92" s="71"/>
      <c r="BG92" s="11" t="str">
        <f t="shared" si="65"/>
        <v/>
      </c>
      <c r="BH92" s="10" t="str">
        <f t="shared" si="82"/>
        <v/>
      </c>
      <c r="BJ92" s="7" t="str">
        <f t="shared" si="83"/>
        <v/>
      </c>
      <c r="BK92" s="158" t="str">
        <f t="shared" si="84"/>
        <v/>
      </c>
      <c r="BL92" s="158" t="str">
        <f t="shared" si="66"/>
        <v/>
      </c>
      <c r="BM92" s="10"/>
      <c r="BN92" s="10" t="str">
        <f t="shared" si="85"/>
        <v/>
      </c>
      <c r="BO92" s="10" t="str">
        <f t="shared" si="86"/>
        <v/>
      </c>
      <c r="BQ92" s="10" t="str">
        <f t="shared" si="67"/>
        <v/>
      </c>
      <c r="BR92" s="10" t="str">
        <f t="shared" si="87"/>
        <v/>
      </c>
    </row>
    <row r="93" spans="4:70" ht="15" x14ac:dyDescent="0.15">
      <c r="D93" s="103"/>
      <c r="F93" s="487"/>
      <c r="I93" s="38">
        <f t="shared" si="88"/>
        <v>2098</v>
      </c>
      <c r="J93" s="39"/>
      <c r="K93" s="39">
        <f t="shared" si="89"/>
        <v>79</v>
      </c>
      <c r="L93" s="39"/>
      <c r="M93" s="40">
        <f t="shared" si="52"/>
        <v>9.679640952397367E-2</v>
      </c>
      <c r="N93" s="39"/>
      <c r="O93" s="72" t="str">
        <f t="shared" si="68"/>
        <v/>
      </c>
      <c r="P93" s="41" t="str">
        <f t="shared" si="53"/>
        <v/>
      </c>
      <c r="Q93" s="39"/>
      <c r="R93" s="72" t="str">
        <f t="shared" si="69"/>
        <v/>
      </c>
      <c r="S93" s="39"/>
      <c r="T93" s="72" t="str">
        <f t="shared" si="70"/>
        <v/>
      </c>
      <c r="U93" s="39"/>
      <c r="V93" s="72" t="str">
        <f t="shared" si="54"/>
        <v/>
      </c>
      <c r="W93" s="72" t="str">
        <f t="shared" si="71"/>
        <v/>
      </c>
      <c r="X93" s="39"/>
      <c r="Y93" s="72" t="str">
        <f t="shared" si="55"/>
        <v/>
      </c>
      <c r="Z93" s="72" t="str">
        <f t="shared" si="72"/>
        <v/>
      </c>
      <c r="AA93" s="39"/>
      <c r="AB93" s="72" t="str">
        <f t="shared" si="56"/>
        <v/>
      </c>
      <c r="AC93" s="72" t="str">
        <f t="shared" si="73"/>
        <v/>
      </c>
      <c r="AD93" s="39"/>
      <c r="AE93" s="72" t="str">
        <f t="shared" si="57"/>
        <v/>
      </c>
      <c r="AF93" s="72" t="str">
        <f t="shared" si="74"/>
        <v/>
      </c>
      <c r="AG93" s="39"/>
      <c r="AH93" s="72" t="str">
        <f t="shared" si="58"/>
        <v/>
      </c>
      <c r="AI93" s="72" t="str">
        <f t="shared" si="75"/>
        <v/>
      </c>
      <c r="AJ93" s="39"/>
      <c r="AK93" s="72" t="str">
        <f t="shared" si="59"/>
        <v/>
      </c>
      <c r="AL93" s="72" t="str">
        <f t="shared" si="76"/>
        <v/>
      </c>
      <c r="AM93" s="39"/>
      <c r="AN93" s="72" t="str">
        <f t="shared" si="60"/>
        <v/>
      </c>
      <c r="AO93" s="72" t="str">
        <f t="shared" si="77"/>
        <v/>
      </c>
      <c r="AP93" s="39"/>
      <c r="AQ93" s="72" t="str">
        <f t="shared" si="61"/>
        <v/>
      </c>
      <c r="AR93" s="72" t="str">
        <f t="shared" si="78"/>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62"/>
        <v/>
      </c>
      <c r="AW93" s="72" t="str">
        <f t="shared" si="79"/>
        <v/>
      </c>
      <c r="AX93" s="39"/>
      <c r="AY93" s="40" t="str">
        <f>IF(ISERROR(IF($K93&lt;=$F$15,VLOOKUP($I93,'表4）CO2価格'!$A$7:$E$67,VLOOKUP($F$48,'表4）CO2価格'!$H$10:$I$12,2,0),0)*$F$8/1000,"")),0,IF($K93&lt;=$F$15,VLOOKUP($I93,'表4）CO2価格'!$A$7:$E$67,VLOOKUP($F$48,'表4）CO2価格'!$H$10:$I$12,2,0),0)*$F$8/1000,""))</f>
        <v/>
      </c>
      <c r="AZ93" s="39"/>
      <c r="BA93" s="42" t="str">
        <f t="shared" si="63"/>
        <v/>
      </c>
      <c r="BB93" s="72" t="str">
        <f t="shared" si="80"/>
        <v/>
      </c>
      <c r="BC93" s="39"/>
      <c r="BD93" s="72" t="str">
        <f t="shared" si="64"/>
        <v/>
      </c>
      <c r="BE93" s="72" t="str">
        <f t="shared" si="81"/>
        <v/>
      </c>
      <c r="BF93" s="39"/>
      <c r="BG93" s="42" t="str">
        <f t="shared" si="65"/>
        <v/>
      </c>
      <c r="BH93" s="72" t="str">
        <f t="shared" si="82"/>
        <v/>
      </c>
      <c r="BI93" s="39"/>
      <c r="BJ93" s="40" t="str">
        <f t="shared" si="83"/>
        <v/>
      </c>
      <c r="BK93" s="157" t="str">
        <f t="shared" si="84"/>
        <v/>
      </c>
      <c r="BL93" s="157" t="str">
        <f t="shared" si="66"/>
        <v/>
      </c>
      <c r="BM93" s="72"/>
      <c r="BN93" s="72" t="str">
        <f t="shared" si="85"/>
        <v/>
      </c>
      <c r="BO93" s="72" t="str">
        <f t="shared" si="86"/>
        <v/>
      </c>
      <c r="BP93" s="39"/>
      <c r="BQ93" s="72" t="str">
        <f t="shared" si="67"/>
        <v/>
      </c>
      <c r="BR93" s="72" t="str">
        <f t="shared" si="87"/>
        <v/>
      </c>
    </row>
    <row r="94" spans="4:70" x14ac:dyDescent="0.15">
      <c r="D94" s="100" t="s">
        <v>596</v>
      </c>
      <c r="E94" s="100"/>
      <c r="F94" s="486"/>
      <c r="G94" s="100"/>
      <c r="I94" s="457">
        <f t="shared" si="88"/>
        <v>2099</v>
      </c>
      <c r="K94" s="71">
        <f t="shared" si="89"/>
        <v>80</v>
      </c>
      <c r="L94" s="71"/>
      <c r="M94" s="7">
        <f t="shared" si="52"/>
        <v>9.3977096625217166E-2</v>
      </c>
      <c r="N94" s="71"/>
      <c r="O94" s="10" t="str">
        <f t="shared" si="68"/>
        <v/>
      </c>
      <c r="P94" s="29" t="str">
        <f t="shared" si="53"/>
        <v/>
      </c>
      <c r="Q94" s="71"/>
      <c r="R94" s="10" t="str">
        <f t="shared" si="69"/>
        <v/>
      </c>
      <c r="S94" s="71"/>
      <c r="T94" s="10" t="str">
        <f t="shared" si="70"/>
        <v/>
      </c>
      <c r="U94" s="71"/>
      <c r="V94" s="10" t="str">
        <f t="shared" si="54"/>
        <v/>
      </c>
      <c r="W94" s="10" t="str">
        <f t="shared" si="71"/>
        <v/>
      </c>
      <c r="X94" s="71"/>
      <c r="Y94" s="10" t="str">
        <f t="shared" si="55"/>
        <v/>
      </c>
      <c r="Z94" s="10" t="str">
        <f t="shared" si="72"/>
        <v/>
      </c>
      <c r="AA94" s="71"/>
      <c r="AB94" s="10" t="str">
        <f t="shared" si="56"/>
        <v/>
      </c>
      <c r="AC94" s="10" t="str">
        <f t="shared" si="73"/>
        <v/>
      </c>
      <c r="AD94" s="71"/>
      <c r="AE94" s="10" t="str">
        <f t="shared" si="57"/>
        <v/>
      </c>
      <c r="AF94" s="10" t="str">
        <f t="shared" si="74"/>
        <v/>
      </c>
      <c r="AG94" s="71"/>
      <c r="AH94" s="10" t="str">
        <f t="shared" si="58"/>
        <v/>
      </c>
      <c r="AI94" s="10" t="str">
        <f t="shared" si="75"/>
        <v/>
      </c>
      <c r="AJ94" s="71"/>
      <c r="AK94" s="10" t="str">
        <f t="shared" si="59"/>
        <v/>
      </c>
      <c r="AL94" s="10" t="str">
        <f t="shared" si="76"/>
        <v/>
      </c>
      <c r="AM94" s="71"/>
      <c r="AN94" s="10" t="str">
        <f t="shared" si="60"/>
        <v/>
      </c>
      <c r="AO94" s="10" t="str">
        <f t="shared" si="77"/>
        <v/>
      </c>
      <c r="AP94" s="71"/>
      <c r="AQ94" s="10" t="str">
        <f t="shared" si="61"/>
        <v/>
      </c>
      <c r="AR94" s="10" t="str">
        <f t="shared" si="78"/>
        <v/>
      </c>
      <c r="AS94" s="71"/>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U94" s="71"/>
      <c r="AV94" s="10" t="str">
        <f t="shared" si="62"/>
        <v/>
      </c>
      <c r="AW94" s="10" t="str">
        <f t="shared" si="79"/>
        <v/>
      </c>
      <c r="AX94" s="71"/>
      <c r="AY94" s="7" t="str">
        <f>IF(ISERROR(IF($K94&lt;=$F$15,VLOOKUP($I94,'表4）CO2価格'!$A$7:$E$67,VLOOKUP($F$48,'表4）CO2価格'!$H$10:$I$12,2,0),0)*$F$8/1000,"")),0,IF($K94&lt;=$F$15,VLOOKUP($I94,'表4）CO2価格'!$A$7:$E$67,VLOOKUP($F$48,'表4）CO2価格'!$H$10:$I$12,2,0),0)*$F$8/1000,""))</f>
        <v/>
      </c>
      <c r="AZ94" s="71"/>
      <c r="BA94" s="11" t="str">
        <f t="shared" si="63"/>
        <v/>
      </c>
      <c r="BB94" s="10" t="str">
        <f t="shared" si="80"/>
        <v/>
      </c>
      <c r="BC94" s="71"/>
      <c r="BD94" s="10" t="str">
        <f t="shared" si="64"/>
        <v/>
      </c>
      <c r="BE94" s="10" t="str">
        <f t="shared" si="81"/>
        <v/>
      </c>
      <c r="BF94" s="71"/>
      <c r="BG94" s="11" t="str">
        <f t="shared" si="65"/>
        <v/>
      </c>
      <c r="BH94" s="10" t="str">
        <f t="shared" si="82"/>
        <v/>
      </c>
      <c r="BJ94" s="7" t="str">
        <f t="shared" si="83"/>
        <v/>
      </c>
      <c r="BK94" s="158" t="str">
        <f t="shared" si="84"/>
        <v/>
      </c>
      <c r="BL94" s="158" t="str">
        <f t="shared" si="66"/>
        <v/>
      </c>
      <c r="BM94" s="10"/>
      <c r="BN94" s="10" t="str">
        <f t="shared" si="85"/>
        <v/>
      </c>
      <c r="BO94" s="10" t="str">
        <f t="shared" si="86"/>
        <v/>
      </c>
      <c r="BQ94" s="10" t="str">
        <f t="shared" si="67"/>
        <v/>
      </c>
      <c r="BR94" s="10" t="str">
        <f t="shared" si="87"/>
        <v/>
      </c>
    </row>
    <row r="95" spans="4:70" ht="15" x14ac:dyDescent="0.15">
      <c r="D95" s="103"/>
      <c r="F95" s="487"/>
      <c r="I95" s="38">
        <f t="shared" si="88"/>
        <v>2100</v>
      </c>
      <c r="J95" s="39"/>
      <c r="K95" s="39">
        <f t="shared" si="89"/>
        <v>81</v>
      </c>
      <c r="L95" s="39"/>
      <c r="M95" s="40">
        <f t="shared" si="52"/>
        <v>9.1239899636133173E-2</v>
      </c>
      <c r="N95" s="39"/>
      <c r="O95" s="72" t="str">
        <f t="shared" si="68"/>
        <v/>
      </c>
      <c r="P95" s="41" t="str">
        <f t="shared" si="53"/>
        <v/>
      </c>
      <c r="Q95" s="39"/>
      <c r="R95" s="72" t="str">
        <f t="shared" si="69"/>
        <v/>
      </c>
      <c r="S95" s="39"/>
      <c r="T95" s="72" t="str">
        <f t="shared" si="70"/>
        <v/>
      </c>
      <c r="U95" s="39"/>
      <c r="V95" s="72" t="str">
        <f t="shared" si="54"/>
        <v/>
      </c>
      <c r="W95" s="72" t="str">
        <f t="shared" si="71"/>
        <v/>
      </c>
      <c r="X95" s="39"/>
      <c r="Y95" s="72" t="str">
        <f t="shared" si="55"/>
        <v/>
      </c>
      <c r="Z95" s="72" t="str">
        <f t="shared" si="72"/>
        <v/>
      </c>
      <c r="AA95" s="39"/>
      <c r="AB95" s="72" t="str">
        <f t="shared" si="56"/>
        <v/>
      </c>
      <c r="AC95" s="72" t="str">
        <f t="shared" si="73"/>
        <v/>
      </c>
      <c r="AD95" s="39"/>
      <c r="AE95" s="72" t="str">
        <f t="shared" si="57"/>
        <v/>
      </c>
      <c r="AF95" s="72" t="str">
        <f t="shared" si="74"/>
        <v/>
      </c>
      <c r="AG95" s="39"/>
      <c r="AH95" s="72" t="str">
        <f t="shared" si="58"/>
        <v/>
      </c>
      <c r="AI95" s="72" t="str">
        <f t="shared" si="75"/>
        <v/>
      </c>
      <c r="AJ95" s="39"/>
      <c r="AK95" s="72" t="str">
        <f t="shared" si="59"/>
        <v/>
      </c>
      <c r="AL95" s="72" t="str">
        <f t="shared" si="76"/>
        <v/>
      </c>
      <c r="AM95" s="39"/>
      <c r="AN95" s="72" t="str">
        <f t="shared" si="60"/>
        <v/>
      </c>
      <c r="AO95" s="72" t="str">
        <f t="shared" si="77"/>
        <v/>
      </c>
      <c r="AP95" s="39"/>
      <c r="AQ95" s="72" t="str">
        <f t="shared" si="61"/>
        <v/>
      </c>
      <c r="AR95" s="72" t="str">
        <f t="shared" si="78"/>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62"/>
        <v/>
      </c>
      <c r="AW95" s="72" t="str">
        <f t="shared" si="79"/>
        <v/>
      </c>
      <c r="AX95" s="39"/>
      <c r="AY95" s="40" t="str">
        <f>IF(ISERROR(IF($K95&lt;=$F$15,VLOOKUP($I95,'表4）CO2価格'!$A$7:$E$67,VLOOKUP($F$48,'表4）CO2価格'!$H$10:$I$12,2,0),0)*$F$8/1000,"")),0,IF($K95&lt;=$F$15,VLOOKUP($I95,'表4）CO2価格'!$A$7:$E$67,VLOOKUP($F$48,'表4）CO2価格'!$H$10:$I$12,2,0),0)*$F$8/1000,""))</f>
        <v/>
      </c>
      <c r="AZ95" s="39"/>
      <c r="BA95" s="42" t="str">
        <f t="shared" si="63"/>
        <v/>
      </c>
      <c r="BB95" s="72" t="str">
        <f t="shared" si="80"/>
        <v/>
      </c>
      <c r="BC95" s="39"/>
      <c r="BD95" s="72" t="str">
        <f t="shared" si="64"/>
        <v/>
      </c>
      <c r="BE95" s="72" t="str">
        <f t="shared" si="81"/>
        <v/>
      </c>
      <c r="BF95" s="39"/>
      <c r="BG95" s="42" t="str">
        <f t="shared" si="65"/>
        <v/>
      </c>
      <c r="BH95" s="72" t="str">
        <f t="shared" si="82"/>
        <v/>
      </c>
      <c r="BI95" s="39"/>
      <c r="BJ95" s="40" t="str">
        <f t="shared" si="83"/>
        <v/>
      </c>
      <c r="BK95" s="157" t="str">
        <f t="shared" si="84"/>
        <v/>
      </c>
      <c r="BL95" s="157" t="str">
        <f t="shared" si="66"/>
        <v/>
      </c>
      <c r="BM95" s="72"/>
      <c r="BN95" s="72" t="str">
        <f t="shared" si="85"/>
        <v/>
      </c>
      <c r="BO95" s="72" t="str">
        <f t="shared" si="86"/>
        <v/>
      </c>
      <c r="BP95" s="39"/>
      <c r="BQ95" s="72" t="str">
        <f t="shared" si="67"/>
        <v/>
      </c>
      <c r="BR95" s="72" t="str">
        <f t="shared" si="87"/>
        <v/>
      </c>
    </row>
    <row r="96" spans="4:70" ht="15" x14ac:dyDescent="0.15">
      <c r="D96" s="103"/>
      <c r="E96" s="84" t="s">
        <v>597</v>
      </c>
      <c r="F96" s="488">
        <f>IF(F3&lt;&gt;"原子力",AW116/$BR$116,0)</f>
        <v>0</v>
      </c>
      <c r="G96" s="84" t="s">
        <v>590</v>
      </c>
      <c r="I96" s="457">
        <f t="shared" si="88"/>
        <v>2101</v>
      </c>
      <c r="K96" s="71">
        <f t="shared" si="89"/>
        <v>82</v>
      </c>
      <c r="L96" s="71"/>
      <c r="M96" s="7">
        <f t="shared" si="52"/>
        <v>8.8582426831197242E-2</v>
      </c>
      <c r="N96" s="71"/>
      <c r="O96" s="10" t="str">
        <f t="shared" si="68"/>
        <v/>
      </c>
      <c r="P96" s="29" t="str">
        <f t="shared" si="53"/>
        <v/>
      </c>
      <c r="Q96" s="71"/>
      <c r="R96" s="10" t="str">
        <f t="shared" si="69"/>
        <v/>
      </c>
      <c r="S96" s="71"/>
      <c r="T96" s="10" t="str">
        <f t="shared" si="70"/>
        <v/>
      </c>
      <c r="U96" s="71"/>
      <c r="V96" s="10" t="str">
        <f t="shared" si="54"/>
        <v/>
      </c>
      <c r="W96" s="10" t="str">
        <f t="shared" si="71"/>
        <v/>
      </c>
      <c r="X96" s="71"/>
      <c r="Y96" s="10" t="str">
        <f t="shared" si="55"/>
        <v/>
      </c>
      <c r="Z96" s="10" t="str">
        <f t="shared" si="72"/>
        <v/>
      </c>
      <c r="AA96" s="71"/>
      <c r="AB96" s="10" t="str">
        <f t="shared" si="56"/>
        <v/>
      </c>
      <c r="AC96" s="10" t="str">
        <f t="shared" si="73"/>
        <v/>
      </c>
      <c r="AD96" s="71"/>
      <c r="AE96" s="10" t="str">
        <f t="shared" si="57"/>
        <v/>
      </c>
      <c r="AF96" s="10" t="str">
        <f t="shared" si="74"/>
        <v/>
      </c>
      <c r="AG96" s="71"/>
      <c r="AH96" s="10" t="str">
        <f t="shared" si="58"/>
        <v/>
      </c>
      <c r="AI96" s="10" t="str">
        <f t="shared" si="75"/>
        <v/>
      </c>
      <c r="AJ96" s="71"/>
      <c r="AK96" s="10" t="str">
        <f t="shared" si="59"/>
        <v/>
      </c>
      <c r="AL96" s="10" t="str">
        <f t="shared" si="76"/>
        <v/>
      </c>
      <c r="AM96" s="71"/>
      <c r="AN96" s="10" t="str">
        <f t="shared" si="60"/>
        <v/>
      </c>
      <c r="AO96" s="10" t="str">
        <f t="shared" si="77"/>
        <v/>
      </c>
      <c r="AP96" s="71"/>
      <c r="AQ96" s="10" t="str">
        <f t="shared" si="61"/>
        <v/>
      </c>
      <c r="AR96" s="10" t="str">
        <f t="shared" si="78"/>
        <v/>
      </c>
      <c r="AS96" s="71"/>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U96" s="71"/>
      <c r="AV96" s="10" t="str">
        <f t="shared" si="62"/>
        <v/>
      </c>
      <c r="AW96" s="10" t="str">
        <f t="shared" si="79"/>
        <v/>
      </c>
      <c r="AX96" s="71"/>
      <c r="AY96" s="7" t="str">
        <f>IF(ISERROR(IF($K96&lt;=$F$15,VLOOKUP($I96,'表4）CO2価格'!$A$7:$E$67,VLOOKUP($F$48,'表4）CO2価格'!$H$10:$I$12,2,0),0)*$F$8/1000,"")),0,IF($K96&lt;=$F$15,VLOOKUP($I96,'表4）CO2価格'!$A$7:$E$67,VLOOKUP($F$48,'表4）CO2価格'!$H$10:$I$12,2,0),0)*$F$8/1000,""))</f>
        <v/>
      </c>
      <c r="AZ96" s="71"/>
      <c r="BA96" s="11" t="str">
        <f t="shared" si="63"/>
        <v/>
      </c>
      <c r="BB96" s="10" t="str">
        <f t="shared" si="80"/>
        <v/>
      </c>
      <c r="BC96" s="71"/>
      <c r="BD96" s="10" t="str">
        <f t="shared" si="64"/>
        <v/>
      </c>
      <c r="BE96" s="10" t="str">
        <f t="shared" si="81"/>
        <v/>
      </c>
      <c r="BF96" s="71"/>
      <c r="BG96" s="11" t="str">
        <f t="shared" si="65"/>
        <v/>
      </c>
      <c r="BH96" s="10" t="str">
        <f t="shared" si="82"/>
        <v/>
      </c>
      <c r="BJ96" s="7" t="str">
        <f t="shared" si="83"/>
        <v/>
      </c>
      <c r="BK96" s="158" t="str">
        <f t="shared" si="84"/>
        <v/>
      </c>
      <c r="BL96" s="158" t="str">
        <f t="shared" si="66"/>
        <v/>
      </c>
      <c r="BM96" s="10"/>
      <c r="BN96" s="10" t="str">
        <f t="shared" si="85"/>
        <v/>
      </c>
      <c r="BO96" s="10" t="str">
        <f t="shared" si="86"/>
        <v/>
      </c>
      <c r="BQ96" s="10" t="str">
        <f t="shared" si="67"/>
        <v/>
      </c>
      <c r="BR96" s="10" t="str">
        <f t="shared" si="87"/>
        <v/>
      </c>
    </row>
    <row r="97" spans="4:70" ht="15" x14ac:dyDescent="0.15">
      <c r="D97" s="103"/>
      <c r="E97" s="84" t="s">
        <v>598</v>
      </c>
      <c r="F97" s="488">
        <f>IF(F3="原子力",#REF!,0)</f>
        <v>0</v>
      </c>
      <c r="G97" s="84" t="s">
        <v>590</v>
      </c>
      <c r="I97" s="38">
        <f t="shared" si="88"/>
        <v>2102</v>
      </c>
      <c r="J97" s="39"/>
      <c r="K97" s="39">
        <f t="shared" si="89"/>
        <v>83</v>
      </c>
      <c r="L97" s="39"/>
      <c r="M97" s="40">
        <f t="shared" si="52"/>
        <v>8.6002356146793454E-2</v>
      </c>
      <c r="N97" s="39"/>
      <c r="O97" s="72" t="str">
        <f t="shared" si="68"/>
        <v/>
      </c>
      <c r="P97" s="41" t="str">
        <f t="shared" si="53"/>
        <v/>
      </c>
      <c r="Q97" s="39"/>
      <c r="R97" s="72" t="str">
        <f t="shared" si="69"/>
        <v/>
      </c>
      <c r="S97" s="39"/>
      <c r="T97" s="72" t="str">
        <f t="shared" si="70"/>
        <v/>
      </c>
      <c r="U97" s="39"/>
      <c r="V97" s="72" t="str">
        <f t="shared" si="54"/>
        <v/>
      </c>
      <c r="W97" s="72" t="str">
        <f t="shared" si="71"/>
        <v/>
      </c>
      <c r="X97" s="39"/>
      <c r="Y97" s="72" t="str">
        <f t="shared" si="55"/>
        <v/>
      </c>
      <c r="Z97" s="72" t="str">
        <f t="shared" si="72"/>
        <v/>
      </c>
      <c r="AA97" s="39"/>
      <c r="AB97" s="72" t="str">
        <f t="shared" si="56"/>
        <v/>
      </c>
      <c r="AC97" s="72" t="str">
        <f t="shared" si="73"/>
        <v/>
      </c>
      <c r="AD97" s="39"/>
      <c r="AE97" s="72" t="str">
        <f t="shared" si="57"/>
        <v/>
      </c>
      <c r="AF97" s="72" t="str">
        <f t="shared" si="74"/>
        <v/>
      </c>
      <c r="AG97" s="39"/>
      <c r="AH97" s="72" t="str">
        <f t="shared" si="58"/>
        <v/>
      </c>
      <c r="AI97" s="72" t="str">
        <f t="shared" si="75"/>
        <v/>
      </c>
      <c r="AJ97" s="39"/>
      <c r="AK97" s="72" t="str">
        <f t="shared" si="59"/>
        <v/>
      </c>
      <c r="AL97" s="72" t="str">
        <f t="shared" si="76"/>
        <v/>
      </c>
      <c r="AM97" s="39"/>
      <c r="AN97" s="72" t="str">
        <f t="shared" si="60"/>
        <v/>
      </c>
      <c r="AO97" s="72" t="str">
        <f t="shared" si="77"/>
        <v/>
      </c>
      <c r="AP97" s="39"/>
      <c r="AQ97" s="72" t="str">
        <f t="shared" si="61"/>
        <v/>
      </c>
      <c r="AR97" s="72" t="str">
        <f t="shared" si="78"/>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62"/>
        <v/>
      </c>
      <c r="AW97" s="72" t="str">
        <f t="shared" si="79"/>
        <v/>
      </c>
      <c r="AX97" s="39"/>
      <c r="AY97" s="40" t="str">
        <f>IF(ISERROR(IF($K97&lt;=$F$15,VLOOKUP($I97,'表4）CO2価格'!$A$7:$E$67,VLOOKUP($F$48,'表4）CO2価格'!$H$10:$I$12,2,0),0)*$F$8/1000,"")),0,IF($K97&lt;=$F$15,VLOOKUP($I97,'表4）CO2価格'!$A$7:$E$67,VLOOKUP($F$48,'表4）CO2価格'!$H$10:$I$12,2,0),0)*$F$8/1000,""))</f>
        <v/>
      </c>
      <c r="AZ97" s="39"/>
      <c r="BA97" s="42" t="str">
        <f t="shared" si="63"/>
        <v/>
      </c>
      <c r="BB97" s="72" t="str">
        <f t="shared" si="80"/>
        <v/>
      </c>
      <c r="BC97" s="39"/>
      <c r="BD97" s="72" t="str">
        <f t="shared" si="64"/>
        <v/>
      </c>
      <c r="BE97" s="72" t="str">
        <f t="shared" si="81"/>
        <v/>
      </c>
      <c r="BF97" s="39"/>
      <c r="BG97" s="42" t="str">
        <f t="shared" si="65"/>
        <v/>
      </c>
      <c r="BH97" s="72" t="str">
        <f t="shared" si="82"/>
        <v/>
      </c>
      <c r="BI97" s="39"/>
      <c r="BJ97" s="40" t="str">
        <f t="shared" si="83"/>
        <v/>
      </c>
      <c r="BK97" s="157" t="str">
        <f t="shared" si="84"/>
        <v/>
      </c>
      <c r="BL97" s="157" t="str">
        <f t="shared" si="66"/>
        <v/>
      </c>
      <c r="BM97" s="72"/>
      <c r="BN97" s="72" t="str">
        <f t="shared" si="85"/>
        <v/>
      </c>
      <c r="BO97" s="72" t="str">
        <f t="shared" si="86"/>
        <v/>
      </c>
      <c r="BP97" s="39"/>
      <c r="BQ97" s="72" t="str">
        <f t="shared" si="67"/>
        <v/>
      </c>
      <c r="BR97" s="72" t="str">
        <f t="shared" si="87"/>
        <v/>
      </c>
    </row>
    <row r="98" spans="4:70" x14ac:dyDescent="0.15">
      <c r="F98" s="487"/>
      <c r="I98" s="457">
        <f t="shared" si="88"/>
        <v>2103</v>
      </c>
      <c r="K98" s="71">
        <f t="shared" si="89"/>
        <v>84</v>
      </c>
      <c r="L98" s="71"/>
      <c r="M98" s="7">
        <f t="shared" si="52"/>
        <v>8.3497433152226644E-2</v>
      </c>
      <c r="N98" s="71"/>
      <c r="O98" s="10" t="str">
        <f t="shared" si="68"/>
        <v/>
      </c>
      <c r="P98" s="29" t="str">
        <f t="shared" si="53"/>
        <v/>
      </c>
      <c r="Q98" s="71"/>
      <c r="R98" s="10" t="str">
        <f t="shared" si="69"/>
        <v/>
      </c>
      <c r="S98" s="71"/>
      <c r="T98" s="10" t="str">
        <f t="shared" si="70"/>
        <v/>
      </c>
      <c r="U98" s="71"/>
      <c r="V98" s="10" t="str">
        <f t="shared" si="54"/>
        <v/>
      </c>
      <c r="W98" s="10" t="str">
        <f t="shared" si="71"/>
        <v/>
      </c>
      <c r="X98" s="71"/>
      <c r="Y98" s="10" t="str">
        <f t="shared" si="55"/>
        <v/>
      </c>
      <c r="Z98" s="10" t="str">
        <f t="shared" si="72"/>
        <v/>
      </c>
      <c r="AA98" s="71"/>
      <c r="AB98" s="10" t="str">
        <f t="shared" si="56"/>
        <v/>
      </c>
      <c r="AC98" s="10" t="str">
        <f t="shared" si="73"/>
        <v/>
      </c>
      <c r="AD98" s="71"/>
      <c r="AE98" s="10" t="str">
        <f t="shared" si="57"/>
        <v/>
      </c>
      <c r="AF98" s="10" t="str">
        <f t="shared" si="74"/>
        <v/>
      </c>
      <c r="AG98" s="71"/>
      <c r="AH98" s="10" t="str">
        <f t="shared" si="58"/>
        <v/>
      </c>
      <c r="AI98" s="10" t="str">
        <f t="shared" si="75"/>
        <v/>
      </c>
      <c r="AJ98" s="71"/>
      <c r="AK98" s="10" t="str">
        <f t="shared" si="59"/>
        <v/>
      </c>
      <c r="AL98" s="10" t="str">
        <f t="shared" si="76"/>
        <v/>
      </c>
      <c r="AM98" s="71"/>
      <c r="AN98" s="10" t="str">
        <f t="shared" si="60"/>
        <v/>
      </c>
      <c r="AO98" s="10" t="str">
        <f t="shared" si="77"/>
        <v/>
      </c>
      <c r="AP98" s="71"/>
      <c r="AQ98" s="10" t="str">
        <f t="shared" si="61"/>
        <v/>
      </c>
      <c r="AR98" s="10" t="str">
        <f t="shared" si="78"/>
        <v/>
      </c>
      <c r="AS98" s="71"/>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U98" s="71"/>
      <c r="AV98" s="10" t="str">
        <f t="shared" si="62"/>
        <v/>
      </c>
      <c r="AW98" s="10" t="str">
        <f t="shared" si="79"/>
        <v/>
      </c>
      <c r="AX98" s="71"/>
      <c r="AY98" s="7" t="str">
        <f>IF(ISERROR(IF($K98&lt;=$F$15,VLOOKUP($I98,'表4）CO2価格'!$A$7:$E$67,VLOOKUP($F$48,'表4）CO2価格'!$H$10:$I$12,2,0),0)*$F$8/1000,"")),0,IF($K98&lt;=$F$15,VLOOKUP($I98,'表4）CO2価格'!$A$7:$E$67,VLOOKUP($F$48,'表4）CO2価格'!$H$10:$I$12,2,0),0)*$F$8/1000,""))</f>
        <v/>
      </c>
      <c r="AZ98" s="71"/>
      <c r="BA98" s="11" t="str">
        <f t="shared" si="63"/>
        <v/>
      </c>
      <c r="BB98" s="10" t="str">
        <f t="shared" si="80"/>
        <v/>
      </c>
      <c r="BC98" s="71"/>
      <c r="BD98" s="10" t="str">
        <f t="shared" si="64"/>
        <v/>
      </c>
      <c r="BE98" s="10" t="str">
        <f t="shared" si="81"/>
        <v/>
      </c>
      <c r="BF98" s="71"/>
      <c r="BG98" s="11" t="str">
        <f t="shared" si="65"/>
        <v/>
      </c>
      <c r="BH98" s="10" t="str">
        <f t="shared" si="82"/>
        <v/>
      </c>
      <c r="BJ98" s="7" t="str">
        <f t="shared" si="83"/>
        <v/>
      </c>
      <c r="BK98" s="158" t="str">
        <f t="shared" si="84"/>
        <v/>
      </c>
      <c r="BL98" s="158" t="str">
        <f t="shared" si="66"/>
        <v/>
      </c>
      <c r="BM98" s="10"/>
      <c r="BN98" s="10" t="str">
        <f t="shared" si="85"/>
        <v/>
      </c>
      <c r="BO98" s="10" t="str">
        <f t="shared" si="86"/>
        <v/>
      </c>
      <c r="BQ98" s="10" t="str">
        <f t="shared" si="67"/>
        <v/>
      </c>
      <c r="BR98" s="10" t="str">
        <f t="shared" si="87"/>
        <v/>
      </c>
    </row>
    <row r="99" spans="4:70" ht="15" x14ac:dyDescent="0.15">
      <c r="D99" s="103" t="s">
        <v>599</v>
      </c>
      <c r="F99" s="484">
        <f>SUBTOTAL(9,F103:F105)</f>
        <v>0.45</v>
      </c>
      <c r="G99" s="84" t="s">
        <v>590</v>
      </c>
      <c r="I99" s="38">
        <f t="shared" si="88"/>
        <v>2104</v>
      </c>
      <c r="J99" s="39"/>
      <c r="K99" s="39">
        <f t="shared" si="89"/>
        <v>85</v>
      </c>
      <c r="L99" s="39"/>
      <c r="M99" s="40">
        <f t="shared" si="52"/>
        <v>8.1065469079831712E-2</v>
      </c>
      <c r="N99" s="39"/>
      <c r="O99" s="72" t="str">
        <f t="shared" si="68"/>
        <v/>
      </c>
      <c r="P99" s="41" t="str">
        <f t="shared" si="53"/>
        <v/>
      </c>
      <c r="Q99" s="39"/>
      <c r="R99" s="72" t="str">
        <f t="shared" si="69"/>
        <v/>
      </c>
      <c r="S99" s="39"/>
      <c r="T99" s="72" t="str">
        <f t="shared" si="70"/>
        <v/>
      </c>
      <c r="U99" s="39"/>
      <c r="V99" s="72" t="str">
        <f t="shared" si="54"/>
        <v/>
      </c>
      <c r="W99" s="72" t="str">
        <f t="shared" si="71"/>
        <v/>
      </c>
      <c r="X99" s="39"/>
      <c r="Y99" s="72" t="str">
        <f t="shared" si="55"/>
        <v/>
      </c>
      <c r="Z99" s="72" t="str">
        <f t="shared" si="72"/>
        <v/>
      </c>
      <c r="AA99" s="39"/>
      <c r="AB99" s="72" t="str">
        <f t="shared" si="56"/>
        <v/>
      </c>
      <c r="AC99" s="72" t="str">
        <f t="shared" si="73"/>
        <v/>
      </c>
      <c r="AD99" s="39"/>
      <c r="AE99" s="72" t="str">
        <f t="shared" si="57"/>
        <v/>
      </c>
      <c r="AF99" s="72" t="str">
        <f t="shared" si="74"/>
        <v/>
      </c>
      <c r="AG99" s="39"/>
      <c r="AH99" s="72" t="str">
        <f t="shared" si="58"/>
        <v/>
      </c>
      <c r="AI99" s="72" t="str">
        <f t="shared" si="75"/>
        <v/>
      </c>
      <c r="AJ99" s="39"/>
      <c r="AK99" s="72" t="str">
        <f t="shared" si="59"/>
        <v/>
      </c>
      <c r="AL99" s="72" t="str">
        <f t="shared" si="76"/>
        <v/>
      </c>
      <c r="AM99" s="39"/>
      <c r="AN99" s="72" t="str">
        <f t="shared" si="60"/>
        <v/>
      </c>
      <c r="AO99" s="72" t="str">
        <f t="shared" si="77"/>
        <v/>
      </c>
      <c r="AP99" s="39"/>
      <c r="AQ99" s="72" t="str">
        <f t="shared" si="61"/>
        <v/>
      </c>
      <c r="AR99" s="72" t="str">
        <f t="shared" si="78"/>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62"/>
        <v/>
      </c>
      <c r="AW99" s="72" t="str">
        <f t="shared" si="79"/>
        <v/>
      </c>
      <c r="AX99" s="39"/>
      <c r="AY99" s="40" t="str">
        <f>IF(ISERROR(IF($K99&lt;=$F$15,VLOOKUP($I99,'表4）CO2価格'!$A$7:$E$67,VLOOKUP($F$48,'表4）CO2価格'!$H$10:$I$12,2,0),0)*$F$8/1000,"")),0,IF($K99&lt;=$F$15,VLOOKUP($I99,'表4）CO2価格'!$A$7:$E$67,VLOOKUP($F$48,'表4）CO2価格'!$H$10:$I$12,2,0),0)*$F$8/1000,""))</f>
        <v/>
      </c>
      <c r="AZ99" s="39"/>
      <c r="BA99" s="42" t="str">
        <f t="shared" si="63"/>
        <v/>
      </c>
      <c r="BB99" s="72" t="str">
        <f t="shared" si="80"/>
        <v/>
      </c>
      <c r="BC99" s="39"/>
      <c r="BD99" s="72" t="str">
        <f t="shared" si="64"/>
        <v/>
      </c>
      <c r="BE99" s="72" t="str">
        <f t="shared" si="81"/>
        <v/>
      </c>
      <c r="BF99" s="39"/>
      <c r="BG99" s="42" t="str">
        <f t="shared" si="65"/>
        <v/>
      </c>
      <c r="BH99" s="72" t="str">
        <f t="shared" si="82"/>
        <v/>
      </c>
      <c r="BI99" s="39"/>
      <c r="BJ99" s="40" t="str">
        <f t="shared" si="83"/>
        <v/>
      </c>
      <c r="BK99" s="157" t="str">
        <f t="shared" si="84"/>
        <v/>
      </c>
      <c r="BL99" s="157" t="str">
        <f t="shared" si="66"/>
        <v/>
      </c>
      <c r="BM99" s="72"/>
      <c r="BN99" s="72" t="str">
        <f t="shared" si="85"/>
        <v/>
      </c>
      <c r="BO99" s="72" t="str">
        <f t="shared" si="86"/>
        <v/>
      </c>
      <c r="BP99" s="39"/>
      <c r="BQ99" s="72" t="str">
        <f t="shared" si="67"/>
        <v/>
      </c>
      <c r="BR99" s="72" t="str">
        <f t="shared" si="87"/>
        <v/>
      </c>
    </row>
    <row r="100" spans="4:70" x14ac:dyDescent="0.15">
      <c r="F100" s="487"/>
      <c r="I100" s="457">
        <f t="shared" si="88"/>
        <v>2105</v>
      </c>
      <c r="K100" s="71">
        <f t="shared" si="89"/>
        <v>86</v>
      </c>
      <c r="L100" s="71"/>
      <c r="M100" s="7">
        <f t="shared" si="52"/>
        <v>7.8704338912457969E-2</v>
      </c>
      <c r="N100" s="71"/>
      <c r="O100" s="10" t="str">
        <f t="shared" si="68"/>
        <v/>
      </c>
      <c r="P100" s="29" t="str">
        <f t="shared" si="53"/>
        <v/>
      </c>
      <c r="Q100" s="71"/>
      <c r="R100" s="10" t="str">
        <f t="shared" si="69"/>
        <v/>
      </c>
      <c r="S100" s="71"/>
      <c r="T100" s="10" t="str">
        <f t="shared" si="70"/>
        <v/>
      </c>
      <c r="U100" s="71"/>
      <c r="V100" s="10" t="str">
        <f t="shared" si="54"/>
        <v/>
      </c>
      <c r="W100" s="10" t="str">
        <f t="shared" si="71"/>
        <v/>
      </c>
      <c r="X100" s="71"/>
      <c r="Y100" s="10" t="str">
        <f t="shared" si="55"/>
        <v/>
      </c>
      <c r="Z100" s="10" t="str">
        <f t="shared" si="72"/>
        <v/>
      </c>
      <c r="AA100" s="71"/>
      <c r="AB100" s="10" t="str">
        <f t="shared" si="56"/>
        <v/>
      </c>
      <c r="AC100" s="10" t="str">
        <f t="shared" si="73"/>
        <v/>
      </c>
      <c r="AD100" s="71"/>
      <c r="AE100" s="10" t="str">
        <f t="shared" si="57"/>
        <v/>
      </c>
      <c r="AF100" s="10" t="str">
        <f t="shared" si="74"/>
        <v/>
      </c>
      <c r="AG100" s="71"/>
      <c r="AH100" s="10" t="str">
        <f t="shared" si="58"/>
        <v/>
      </c>
      <c r="AI100" s="10" t="str">
        <f t="shared" si="75"/>
        <v/>
      </c>
      <c r="AJ100" s="71"/>
      <c r="AK100" s="10" t="str">
        <f t="shared" si="59"/>
        <v/>
      </c>
      <c r="AL100" s="10" t="str">
        <f t="shared" si="76"/>
        <v/>
      </c>
      <c r="AM100" s="71"/>
      <c r="AN100" s="10" t="str">
        <f t="shared" si="60"/>
        <v/>
      </c>
      <c r="AO100" s="10" t="str">
        <f t="shared" si="77"/>
        <v/>
      </c>
      <c r="AP100" s="71"/>
      <c r="AQ100" s="10" t="str">
        <f t="shared" si="61"/>
        <v/>
      </c>
      <c r="AR100" s="10" t="str">
        <f t="shared" si="78"/>
        <v/>
      </c>
      <c r="AS100" s="71"/>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U100" s="71"/>
      <c r="AV100" s="10" t="str">
        <f t="shared" si="62"/>
        <v/>
      </c>
      <c r="AW100" s="10" t="str">
        <f t="shared" si="79"/>
        <v/>
      </c>
      <c r="AX100" s="71"/>
      <c r="AY100" s="7" t="str">
        <f>IF(ISERROR(IF($K100&lt;=$F$15,VLOOKUP($I100,'表4）CO2価格'!$A$7:$E$67,VLOOKUP($F$48,'表4）CO2価格'!$H$10:$I$12,2,0),0)*$F$8/1000,"")),0,IF($K100&lt;=$F$15,VLOOKUP($I100,'表4）CO2価格'!$A$7:$E$67,VLOOKUP($F$48,'表4）CO2価格'!$H$10:$I$12,2,0),0)*$F$8/1000,""))</f>
        <v/>
      </c>
      <c r="AZ100" s="71"/>
      <c r="BA100" s="11" t="str">
        <f t="shared" si="63"/>
        <v/>
      </c>
      <c r="BB100" s="10" t="str">
        <f t="shared" si="80"/>
        <v/>
      </c>
      <c r="BC100" s="71"/>
      <c r="BD100" s="10" t="str">
        <f t="shared" si="64"/>
        <v/>
      </c>
      <c r="BE100" s="10" t="str">
        <f t="shared" si="81"/>
        <v/>
      </c>
      <c r="BF100" s="71"/>
      <c r="BG100" s="11" t="str">
        <f t="shared" si="65"/>
        <v/>
      </c>
      <c r="BH100" s="10" t="str">
        <f t="shared" si="82"/>
        <v/>
      </c>
      <c r="BJ100" s="7" t="str">
        <f t="shared" si="83"/>
        <v/>
      </c>
      <c r="BK100" s="158" t="str">
        <f t="shared" si="84"/>
        <v/>
      </c>
      <c r="BL100" s="158" t="str">
        <f t="shared" si="66"/>
        <v/>
      </c>
      <c r="BM100" s="10"/>
      <c r="BN100" s="10" t="str">
        <f t="shared" si="85"/>
        <v/>
      </c>
      <c r="BO100" s="10" t="str">
        <f t="shared" si="86"/>
        <v/>
      </c>
      <c r="BQ100" s="10" t="str">
        <f t="shared" si="67"/>
        <v/>
      </c>
      <c r="BR100" s="10" t="str">
        <f t="shared" si="87"/>
        <v/>
      </c>
    </row>
    <row r="101" spans="4:70" x14ac:dyDescent="0.15">
      <c r="D101" s="100" t="s">
        <v>600</v>
      </c>
      <c r="E101" s="100"/>
      <c r="F101" s="486"/>
      <c r="G101" s="100"/>
      <c r="I101" s="38">
        <f t="shared" si="88"/>
        <v>2106</v>
      </c>
      <c r="J101" s="39"/>
      <c r="K101" s="39">
        <f t="shared" si="89"/>
        <v>87</v>
      </c>
      <c r="L101" s="39"/>
      <c r="M101" s="40">
        <f t="shared" si="52"/>
        <v>7.6411979526658208E-2</v>
      </c>
      <c r="N101" s="39"/>
      <c r="O101" s="72" t="str">
        <f t="shared" si="68"/>
        <v/>
      </c>
      <c r="P101" s="41" t="str">
        <f t="shared" si="53"/>
        <v/>
      </c>
      <c r="Q101" s="39"/>
      <c r="R101" s="72" t="str">
        <f t="shared" si="69"/>
        <v/>
      </c>
      <c r="S101" s="39"/>
      <c r="T101" s="72" t="str">
        <f t="shared" si="70"/>
        <v/>
      </c>
      <c r="U101" s="39"/>
      <c r="V101" s="72" t="str">
        <f t="shared" si="54"/>
        <v/>
      </c>
      <c r="W101" s="72" t="str">
        <f t="shared" si="71"/>
        <v/>
      </c>
      <c r="X101" s="39"/>
      <c r="Y101" s="72" t="str">
        <f t="shared" si="55"/>
        <v/>
      </c>
      <c r="Z101" s="72" t="str">
        <f t="shared" si="72"/>
        <v/>
      </c>
      <c r="AA101" s="39"/>
      <c r="AB101" s="72" t="str">
        <f t="shared" si="56"/>
        <v/>
      </c>
      <c r="AC101" s="72" t="str">
        <f t="shared" si="73"/>
        <v/>
      </c>
      <c r="AD101" s="39"/>
      <c r="AE101" s="72" t="str">
        <f t="shared" si="57"/>
        <v/>
      </c>
      <c r="AF101" s="72" t="str">
        <f t="shared" si="74"/>
        <v/>
      </c>
      <c r="AG101" s="39"/>
      <c r="AH101" s="72" t="str">
        <f t="shared" si="58"/>
        <v/>
      </c>
      <c r="AI101" s="72" t="str">
        <f t="shared" si="75"/>
        <v/>
      </c>
      <c r="AJ101" s="39"/>
      <c r="AK101" s="72" t="str">
        <f t="shared" si="59"/>
        <v/>
      </c>
      <c r="AL101" s="72" t="str">
        <f t="shared" si="76"/>
        <v/>
      </c>
      <c r="AM101" s="39"/>
      <c r="AN101" s="72" t="str">
        <f t="shared" si="60"/>
        <v/>
      </c>
      <c r="AO101" s="72" t="str">
        <f t="shared" si="77"/>
        <v/>
      </c>
      <c r="AP101" s="39"/>
      <c r="AQ101" s="72" t="str">
        <f t="shared" si="61"/>
        <v/>
      </c>
      <c r="AR101" s="72" t="str">
        <f t="shared" si="78"/>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62"/>
        <v/>
      </c>
      <c r="AW101" s="72" t="str">
        <f t="shared" si="79"/>
        <v/>
      </c>
      <c r="AX101" s="39"/>
      <c r="AY101" s="40" t="str">
        <f>IF(ISERROR(IF($K101&lt;=$F$15,VLOOKUP($I101,'表4）CO2価格'!$A$7:$E$67,VLOOKUP($F$48,'表4）CO2価格'!$H$10:$I$12,2,0),0)*$F$8/1000,"")),0,IF($K101&lt;=$F$15,VLOOKUP($I101,'表4）CO2価格'!$A$7:$E$67,VLOOKUP($F$48,'表4）CO2価格'!$H$10:$I$12,2,0),0)*$F$8/1000,""))</f>
        <v/>
      </c>
      <c r="AZ101" s="39"/>
      <c r="BA101" s="42" t="str">
        <f t="shared" si="63"/>
        <v/>
      </c>
      <c r="BB101" s="72" t="str">
        <f t="shared" si="80"/>
        <v/>
      </c>
      <c r="BC101" s="39"/>
      <c r="BD101" s="72" t="str">
        <f t="shared" si="64"/>
        <v/>
      </c>
      <c r="BE101" s="72" t="str">
        <f t="shared" si="81"/>
        <v/>
      </c>
      <c r="BF101" s="39"/>
      <c r="BG101" s="42" t="str">
        <f t="shared" si="65"/>
        <v/>
      </c>
      <c r="BH101" s="72" t="str">
        <f t="shared" si="82"/>
        <v/>
      </c>
      <c r="BI101" s="39"/>
      <c r="BJ101" s="40" t="str">
        <f t="shared" si="83"/>
        <v/>
      </c>
      <c r="BK101" s="157" t="str">
        <f t="shared" si="84"/>
        <v/>
      </c>
      <c r="BL101" s="157" t="str">
        <f t="shared" si="66"/>
        <v/>
      </c>
      <c r="BM101" s="72"/>
      <c r="BN101" s="72" t="str">
        <f t="shared" si="85"/>
        <v/>
      </c>
      <c r="BO101" s="72" t="str">
        <f t="shared" si="86"/>
        <v/>
      </c>
      <c r="BP101" s="39"/>
      <c r="BQ101" s="72" t="str">
        <f t="shared" si="67"/>
        <v/>
      </c>
      <c r="BR101" s="72" t="str">
        <f t="shared" si="87"/>
        <v/>
      </c>
    </row>
    <row r="102" spans="4:70" x14ac:dyDescent="0.15">
      <c r="F102" s="487"/>
      <c r="I102" s="457">
        <f t="shared" si="88"/>
        <v>2107</v>
      </c>
      <c r="K102" s="71">
        <f t="shared" si="89"/>
        <v>88</v>
      </c>
      <c r="L102" s="71"/>
      <c r="M102" s="7">
        <f t="shared" si="52"/>
        <v>7.4186387889959446E-2</v>
      </c>
      <c r="N102" s="71"/>
      <c r="O102" s="10" t="str">
        <f t="shared" si="68"/>
        <v/>
      </c>
      <c r="P102" s="29" t="str">
        <f t="shared" si="53"/>
        <v/>
      </c>
      <c r="Q102" s="71"/>
      <c r="R102" s="10" t="str">
        <f t="shared" si="69"/>
        <v/>
      </c>
      <c r="S102" s="71"/>
      <c r="T102" s="10" t="str">
        <f t="shared" si="70"/>
        <v/>
      </c>
      <c r="U102" s="71"/>
      <c r="V102" s="10" t="str">
        <f t="shared" si="54"/>
        <v/>
      </c>
      <c r="W102" s="10" t="str">
        <f t="shared" si="71"/>
        <v/>
      </c>
      <c r="X102" s="71"/>
      <c r="Y102" s="10" t="str">
        <f t="shared" si="55"/>
        <v/>
      </c>
      <c r="Z102" s="10" t="str">
        <f t="shared" si="72"/>
        <v/>
      </c>
      <c r="AA102" s="71"/>
      <c r="AB102" s="10" t="str">
        <f t="shared" si="56"/>
        <v/>
      </c>
      <c r="AC102" s="10" t="str">
        <f t="shared" si="73"/>
        <v/>
      </c>
      <c r="AD102" s="71"/>
      <c r="AE102" s="10" t="str">
        <f t="shared" si="57"/>
        <v/>
      </c>
      <c r="AF102" s="10" t="str">
        <f t="shared" si="74"/>
        <v/>
      </c>
      <c r="AG102" s="71"/>
      <c r="AH102" s="10" t="str">
        <f t="shared" si="58"/>
        <v/>
      </c>
      <c r="AI102" s="10" t="str">
        <f t="shared" si="75"/>
        <v/>
      </c>
      <c r="AJ102" s="71"/>
      <c r="AK102" s="10" t="str">
        <f t="shared" si="59"/>
        <v/>
      </c>
      <c r="AL102" s="10" t="str">
        <f t="shared" si="76"/>
        <v/>
      </c>
      <c r="AM102" s="71"/>
      <c r="AN102" s="10" t="str">
        <f t="shared" si="60"/>
        <v/>
      </c>
      <c r="AO102" s="10" t="str">
        <f t="shared" si="77"/>
        <v/>
      </c>
      <c r="AP102" s="71"/>
      <c r="AQ102" s="10" t="str">
        <f t="shared" si="61"/>
        <v/>
      </c>
      <c r="AR102" s="10" t="str">
        <f t="shared" si="78"/>
        <v/>
      </c>
      <c r="AS102" s="71"/>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U102" s="71"/>
      <c r="AV102" s="10" t="str">
        <f t="shared" si="62"/>
        <v/>
      </c>
      <c r="AW102" s="10" t="str">
        <f t="shared" si="79"/>
        <v/>
      </c>
      <c r="AX102" s="71"/>
      <c r="AY102" s="7" t="str">
        <f>IF(ISERROR(IF($K102&lt;=$F$15,VLOOKUP($I102,'表4）CO2価格'!$A$7:$E$67,VLOOKUP($F$48,'表4）CO2価格'!$H$10:$I$12,2,0),0)*$F$8/1000,"")),0,IF($K102&lt;=$F$15,VLOOKUP($I102,'表4）CO2価格'!$A$7:$E$67,VLOOKUP($F$48,'表4）CO2価格'!$H$10:$I$12,2,0),0)*$F$8/1000,""))</f>
        <v/>
      </c>
      <c r="AZ102" s="71"/>
      <c r="BA102" s="11" t="str">
        <f t="shared" si="63"/>
        <v/>
      </c>
      <c r="BB102" s="10" t="str">
        <f t="shared" si="80"/>
        <v/>
      </c>
      <c r="BC102" s="71"/>
      <c r="BD102" s="10" t="str">
        <f t="shared" si="64"/>
        <v/>
      </c>
      <c r="BE102" s="10" t="str">
        <f t="shared" si="81"/>
        <v/>
      </c>
      <c r="BF102" s="71"/>
      <c r="BG102" s="11" t="str">
        <f t="shared" si="65"/>
        <v/>
      </c>
      <c r="BH102" s="10" t="str">
        <f t="shared" si="82"/>
        <v/>
      </c>
      <c r="BJ102" s="7" t="str">
        <f t="shared" si="83"/>
        <v/>
      </c>
      <c r="BK102" s="158" t="str">
        <f t="shared" si="84"/>
        <v/>
      </c>
      <c r="BL102" s="158" t="str">
        <f t="shared" si="66"/>
        <v/>
      </c>
      <c r="BM102" s="10"/>
      <c r="BN102" s="10" t="str">
        <f t="shared" si="85"/>
        <v/>
      </c>
      <c r="BO102" s="10" t="str">
        <f t="shared" si="86"/>
        <v/>
      </c>
      <c r="BQ102" s="10" t="str">
        <f t="shared" si="67"/>
        <v/>
      </c>
      <c r="BR102" s="10" t="str">
        <f t="shared" si="87"/>
        <v/>
      </c>
    </row>
    <row r="103" spans="4:70" x14ac:dyDescent="0.15">
      <c r="E103" s="84" t="s">
        <v>601</v>
      </c>
      <c r="F103" s="488">
        <f>BB116/$BR$116</f>
        <v>0</v>
      </c>
      <c r="G103" s="84" t="s">
        <v>590</v>
      </c>
      <c r="I103" s="38">
        <f t="shared" si="88"/>
        <v>2108</v>
      </c>
      <c r="J103" s="39"/>
      <c r="K103" s="39">
        <f t="shared" si="89"/>
        <v>89</v>
      </c>
      <c r="L103" s="39"/>
      <c r="M103" s="40">
        <f t="shared" si="52"/>
        <v>7.2025619310640235E-2</v>
      </c>
      <c r="N103" s="39"/>
      <c r="O103" s="72" t="str">
        <f t="shared" si="68"/>
        <v/>
      </c>
      <c r="P103" s="41" t="str">
        <f t="shared" si="53"/>
        <v/>
      </c>
      <c r="Q103" s="39"/>
      <c r="R103" s="72" t="str">
        <f t="shared" si="69"/>
        <v/>
      </c>
      <c r="S103" s="39"/>
      <c r="T103" s="72" t="str">
        <f t="shared" si="70"/>
        <v/>
      </c>
      <c r="U103" s="39"/>
      <c r="V103" s="72" t="str">
        <f t="shared" si="54"/>
        <v/>
      </c>
      <c r="W103" s="72" t="str">
        <f t="shared" si="71"/>
        <v/>
      </c>
      <c r="X103" s="39"/>
      <c r="Y103" s="72" t="str">
        <f t="shared" si="55"/>
        <v/>
      </c>
      <c r="Z103" s="72" t="str">
        <f t="shared" si="72"/>
        <v/>
      </c>
      <c r="AA103" s="39"/>
      <c r="AB103" s="72" t="str">
        <f t="shared" si="56"/>
        <v/>
      </c>
      <c r="AC103" s="72" t="str">
        <f t="shared" si="73"/>
        <v/>
      </c>
      <c r="AD103" s="39"/>
      <c r="AE103" s="72" t="str">
        <f t="shared" si="57"/>
        <v/>
      </c>
      <c r="AF103" s="72" t="str">
        <f t="shared" si="74"/>
        <v/>
      </c>
      <c r="AG103" s="39"/>
      <c r="AH103" s="72" t="str">
        <f t="shared" si="58"/>
        <v/>
      </c>
      <c r="AI103" s="72" t="str">
        <f t="shared" si="75"/>
        <v/>
      </c>
      <c r="AJ103" s="39"/>
      <c r="AK103" s="72" t="str">
        <f t="shared" si="59"/>
        <v/>
      </c>
      <c r="AL103" s="72" t="str">
        <f t="shared" si="76"/>
        <v/>
      </c>
      <c r="AM103" s="39"/>
      <c r="AN103" s="72" t="str">
        <f t="shared" si="60"/>
        <v/>
      </c>
      <c r="AO103" s="72" t="str">
        <f t="shared" si="77"/>
        <v/>
      </c>
      <c r="AP103" s="39"/>
      <c r="AQ103" s="72" t="str">
        <f t="shared" si="61"/>
        <v/>
      </c>
      <c r="AR103" s="72" t="str">
        <f t="shared" si="78"/>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62"/>
        <v/>
      </c>
      <c r="AW103" s="72" t="str">
        <f t="shared" si="79"/>
        <v/>
      </c>
      <c r="AX103" s="39"/>
      <c r="AY103" s="40" t="str">
        <f>IF(ISERROR(IF($K103&lt;=$F$15,VLOOKUP($I103,'表4）CO2価格'!$A$7:$E$67,VLOOKUP($F$48,'表4）CO2価格'!$H$10:$I$12,2,0),0)*$F$8/1000,"")),0,IF($K103&lt;=$F$15,VLOOKUP($I103,'表4）CO2価格'!$A$7:$E$67,VLOOKUP($F$48,'表4）CO2価格'!$H$10:$I$12,2,0),0)*$F$8/1000,""))</f>
        <v/>
      </c>
      <c r="AZ103" s="39"/>
      <c r="BA103" s="42" t="str">
        <f t="shared" si="63"/>
        <v/>
      </c>
      <c r="BB103" s="72" t="str">
        <f t="shared" si="80"/>
        <v/>
      </c>
      <c r="BC103" s="39"/>
      <c r="BD103" s="72" t="str">
        <f t="shared" si="64"/>
        <v/>
      </c>
      <c r="BE103" s="72" t="str">
        <f t="shared" si="81"/>
        <v/>
      </c>
      <c r="BF103" s="39"/>
      <c r="BG103" s="42" t="str">
        <f t="shared" si="65"/>
        <v/>
      </c>
      <c r="BH103" s="72" t="str">
        <f t="shared" si="82"/>
        <v/>
      </c>
      <c r="BI103" s="39"/>
      <c r="BJ103" s="40" t="str">
        <f t="shared" si="83"/>
        <v/>
      </c>
      <c r="BK103" s="157" t="str">
        <f t="shared" si="84"/>
        <v/>
      </c>
      <c r="BL103" s="157" t="str">
        <f t="shared" si="66"/>
        <v/>
      </c>
      <c r="BM103" s="72"/>
      <c r="BN103" s="72" t="str">
        <f t="shared" si="85"/>
        <v/>
      </c>
      <c r="BO103" s="72" t="str">
        <f t="shared" si="86"/>
        <v/>
      </c>
      <c r="BP103" s="39"/>
      <c r="BQ103" s="72" t="str">
        <f t="shared" si="67"/>
        <v/>
      </c>
      <c r="BR103" s="72" t="str">
        <f t="shared" si="87"/>
        <v/>
      </c>
    </row>
    <row r="104" spans="4:70" x14ac:dyDescent="0.15">
      <c r="E104" s="84" t="s">
        <v>602</v>
      </c>
      <c r="F104" s="488">
        <f>IF(ISERROR(F60*(1/F61)/F62),0,F60*(1/F61)/F62)</f>
        <v>0</v>
      </c>
      <c r="G104" s="84" t="s">
        <v>590</v>
      </c>
      <c r="I104" s="457">
        <f t="shared" si="88"/>
        <v>2109</v>
      </c>
      <c r="K104" s="71">
        <f t="shared" si="89"/>
        <v>90</v>
      </c>
      <c r="L104" s="71"/>
      <c r="M104" s="7">
        <f t="shared" si="52"/>
        <v>6.9927785738485654E-2</v>
      </c>
      <c r="N104" s="71"/>
      <c r="O104" s="10" t="str">
        <f t="shared" si="68"/>
        <v/>
      </c>
      <c r="P104" s="29" t="str">
        <f t="shared" si="53"/>
        <v/>
      </c>
      <c r="Q104" s="71"/>
      <c r="R104" s="10" t="str">
        <f t="shared" si="69"/>
        <v/>
      </c>
      <c r="S104" s="71"/>
      <c r="T104" s="10" t="str">
        <f t="shared" si="70"/>
        <v/>
      </c>
      <c r="U104" s="71"/>
      <c r="V104" s="10" t="str">
        <f t="shared" si="54"/>
        <v/>
      </c>
      <c r="W104" s="10" t="str">
        <f t="shared" si="71"/>
        <v/>
      </c>
      <c r="X104" s="71"/>
      <c r="Y104" s="10" t="str">
        <f t="shared" si="55"/>
        <v/>
      </c>
      <c r="Z104" s="10" t="str">
        <f t="shared" si="72"/>
        <v/>
      </c>
      <c r="AA104" s="71"/>
      <c r="AB104" s="10" t="str">
        <f t="shared" si="56"/>
        <v/>
      </c>
      <c r="AC104" s="10" t="str">
        <f t="shared" si="73"/>
        <v/>
      </c>
      <c r="AD104" s="71"/>
      <c r="AE104" s="10" t="str">
        <f t="shared" si="57"/>
        <v/>
      </c>
      <c r="AF104" s="10" t="str">
        <f t="shared" si="74"/>
        <v/>
      </c>
      <c r="AG104" s="71"/>
      <c r="AH104" s="10" t="str">
        <f t="shared" si="58"/>
        <v/>
      </c>
      <c r="AI104" s="10" t="str">
        <f t="shared" si="75"/>
        <v/>
      </c>
      <c r="AJ104" s="71"/>
      <c r="AK104" s="10" t="str">
        <f t="shared" si="59"/>
        <v/>
      </c>
      <c r="AL104" s="10" t="str">
        <f t="shared" si="76"/>
        <v/>
      </c>
      <c r="AM104" s="71"/>
      <c r="AN104" s="10" t="str">
        <f t="shared" si="60"/>
        <v/>
      </c>
      <c r="AO104" s="10" t="str">
        <f t="shared" si="77"/>
        <v/>
      </c>
      <c r="AP104" s="71"/>
      <c r="AQ104" s="10" t="str">
        <f t="shared" si="61"/>
        <v/>
      </c>
      <c r="AR104" s="10" t="str">
        <f t="shared" si="78"/>
        <v/>
      </c>
      <c r="AS104" s="71"/>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U104" s="71"/>
      <c r="AV104" s="10" t="str">
        <f t="shared" si="62"/>
        <v/>
      </c>
      <c r="AW104" s="10" t="str">
        <f t="shared" si="79"/>
        <v/>
      </c>
      <c r="AX104" s="71"/>
      <c r="AY104" s="7" t="str">
        <f>IF(ISERROR(IF($K104&lt;=$F$15,VLOOKUP($I104,'表4）CO2価格'!$A$7:$E$67,VLOOKUP($F$48,'表4）CO2価格'!$H$10:$I$12,2,0),0)*$F$8/1000,"")),0,IF($K104&lt;=$F$15,VLOOKUP($I104,'表4）CO2価格'!$A$7:$E$67,VLOOKUP($F$48,'表4）CO2価格'!$H$10:$I$12,2,0),0)*$F$8/1000,""))</f>
        <v/>
      </c>
      <c r="AZ104" s="71"/>
      <c r="BA104" s="11" t="str">
        <f t="shared" si="63"/>
        <v/>
      </c>
      <c r="BB104" s="10" t="str">
        <f t="shared" si="80"/>
        <v/>
      </c>
      <c r="BC104" s="71"/>
      <c r="BD104" s="10" t="str">
        <f t="shared" si="64"/>
        <v/>
      </c>
      <c r="BE104" s="10" t="str">
        <f t="shared" si="81"/>
        <v/>
      </c>
      <c r="BF104" s="71"/>
      <c r="BG104" s="11" t="str">
        <f t="shared" si="65"/>
        <v/>
      </c>
      <c r="BH104" s="10" t="str">
        <f t="shared" si="82"/>
        <v/>
      </c>
      <c r="BJ104" s="7" t="str">
        <f t="shared" si="83"/>
        <v/>
      </c>
      <c r="BK104" s="158" t="str">
        <f t="shared" si="84"/>
        <v/>
      </c>
      <c r="BL104" s="158" t="str">
        <f t="shared" si="66"/>
        <v/>
      </c>
      <c r="BM104" s="10"/>
      <c r="BN104" s="10" t="str">
        <f t="shared" si="85"/>
        <v/>
      </c>
      <c r="BO104" s="10" t="str">
        <f t="shared" si="86"/>
        <v/>
      </c>
      <c r="BQ104" s="10" t="str">
        <f t="shared" si="67"/>
        <v/>
      </c>
      <c r="BR104" s="10" t="str">
        <f t="shared" si="87"/>
        <v/>
      </c>
    </row>
    <row r="105" spans="4:70" x14ac:dyDescent="0.15">
      <c r="E105" s="71" t="s">
        <v>603</v>
      </c>
      <c r="F105" s="488">
        <f>F64</f>
        <v>0.45</v>
      </c>
      <c r="G105" s="84" t="s">
        <v>590</v>
      </c>
      <c r="I105" s="38">
        <f t="shared" si="88"/>
        <v>2110</v>
      </c>
      <c r="J105" s="39"/>
      <c r="K105" s="39">
        <f t="shared" si="89"/>
        <v>91</v>
      </c>
      <c r="L105" s="39"/>
      <c r="M105" s="40">
        <f t="shared" si="52"/>
        <v>6.7891054115034627E-2</v>
      </c>
      <c r="N105" s="39"/>
      <c r="O105" s="72" t="str">
        <f t="shared" si="68"/>
        <v/>
      </c>
      <c r="P105" s="41" t="str">
        <f t="shared" si="53"/>
        <v/>
      </c>
      <c r="Q105" s="39"/>
      <c r="R105" s="72" t="str">
        <f t="shared" si="69"/>
        <v/>
      </c>
      <c r="S105" s="39"/>
      <c r="T105" s="72" t="str">
        <f t="shared" si="70"/>
        <v/>
      </c>
      <c r="U105" s="39"/>
      <c r="V105" s="72" t="str">
        <f t="shared" si="54"/>
        <v/>
      </c>
      <c r="W105" s="72" t="str">
        <f t="shared" si="71"/>
        <v/>
      </c>
      <c r="X105" s="39"/>
      <c r="Y105" s="72" t="str">
        <f t="shared" si="55"/>
        <v/>
      </c>
      <c r="Z105" s="72" t="str">
        <f t="shared" si="72"/>
        <v/>
      </c>
      <c r="AA105" s="39"/>
      <c r="AB105" s="72" t="str">
        <f t="shared" si="56"/>
        <v/>
      </c>
      <c r="AC105" s="72" t="str">
        <f t="shared" si="73"/>
        <v/>
      </c>
      <c r="AD105" s="39"/>
      <c r="AE105" s="72" t="str">
        <f t="shared" si="57"/>
        <v/>
      </c>
      <c r="AF105" s="72" t="str">
        <f t="shared" si="74"/>
        <v/>
      </c>
      <c r="AG105" s="39"/>
      <c r="AH105" s="72" t="str">
        <f t="shared" si="58"/>
        <v/>
      </c>
      <c r="AI105" s="72" t="str">
        <f t="shared" si="75"/>
        <v/>
      </c>
      <c r="AJ105" s="39"/>
      <c r="AK105" s="72" t="str">
        <f t="shared" si="59"/>
        <v/>
      </c>
      <c r="AL105" s="72" t="str">
        <f t="shared" si="76"/>
        <v/>
      </c>
      <c r="AM105" s="39"/>
      <c r="AN105" s="72" t="str">
        <f t="shared" si="60"/>
        <v/>
      </c>
      <c r="AO105" s="72" t="str">
        <f t="shared" si="77"/>
        <v/>
      </c>
      <c r="AP105" s="39"/>
      <c r="AQ105" s="72" t="str">
        <f t="shared" si="61"/>
        <v/>
      </c>
      <c r="AR105" s="72" t="str">
        <f t="shared" si="78"/>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62"/>
        <v/>
      </c>
      <c r="AW105" s="72" t="str">
        <f t="shared" si="79"/>
        <v/>
      </c>
      <c r="AX105" s="39"/>
      <c r="AY105" s="40" t="str">
        <f>IF(ISERROR(IF($K105&lt;=$F$15,VLOOKUP($I105,'表4）CO2価格'!$A$7:$E$67,VLOOKUP($F$48,'表4）CO2価格'!$H$10:$I$12,2,0),0)*$F$8/1000,"")),0,IF($K105&lt;=$F$15,VLOOKUP($I105,'表4）CO2価格'!$A$7:$E$67,VLOOKUP($F$48,'表4）CO2価格'!$H$10:$I$12,2,0),0)*$F$8/1000,""))</f>
        <v/>
      </c>
      <c r="AZ105" s="39"/>
      <c r="BA105" s="42" t="str">
        <f t="shared" si="63"/>
        <v/>
      </c>
      <c r="BB105" s="72" t="str">
        <f t="shared" si="80"/>
        <v/>
      </c>
      <c r="BC105" s="39"/>
      <c r="BD105" s="72" t="str">
        <f t="shared" si="64"/>
        <v/>
      </c>
      <c r="BE105" s="72" t="str">
        <f t="shared" si="81"/>
        <v/>
      </c>
      <c r="BF105" s="39"/>
      <c r="BG105" s="42" t="str">
        <f t="shared" si="65"/>
        <v/>
      </c>
      <c r="BH105" s="72" t="str">
        <f t="shared" si="82"/>
        <v/>
      </c>
      <c r="BI105" s="39"/>
      <c r="BJ105" s="40" t="str">
        <f t="shared" si="83"/>
        <v/>
      </c>
      <c r="BK105" s="157" t="str">
        <f t="shared" si="84"/>
        <v/>
      </c>
      <c r="BL105" s="157" t="str">
        <f t="shared" si="66"/>
        <v/>
      </c>
      <c r="BM105" s="72"/>
      <c r="BN105" s="72" t="str">
        <f t="shared" si="85"/>
        <v/>
      </c>
      <c r="BO105" s="72" t="str">
        <f t="shared" si="86"/>
        <v/>
      </c>
      <c r="BP105" s="39"/>
      <c r="BQ105" s="72" t="str">
        <f t="shared" si="67"/>
        <v/>
      </c>
      <c r="BR105" s="72" t="str">
        <f t="shared" si="87"/>
        <v/>
      </c>
    </row>
    <row r="106" spans="4:70" x14ac:dyDescent="0.15">
      <c r="F106" s="487"/>
      <c r="I106" s="457">
        <f t="shared" si="88"/>
        <v>2111</v>
      </c>
      <c r="K106" s="71">
        <f t="shared" si="89"/>
        <v>92</v>
      </c>
      <c r="L106" s="71"/>
      <c r="M106" s="7">
        <f t="shared" si="52"/>
        <v>6.5913644771878277E-2</v>
      </c>
      <c r="N106" s="71"/>
      <c r="O106" s="10" t="str">
        <f t="shared" si="68"/>
        <v/>
      </c>
      <c r="P106" s="29" t="str">
        <f t="shared" si="53"/>
        <v/>
      </c>
      <c r="Q106" s="71"/>
      <c r="R106" s="10" t="str">
        <f t="shared" si="69"/>
        <v/>
      </c>
      <c r="S106" s="71"/>
      <c r="T106" s="10" t="str">
        <f t="shared" si="70"/>
        <v/>
      </c>
      <c r="U106" s="71"/>
      <c r="V106" s="10" t="str">
        <f t="shared" si="54"/>
        <v/>
      </c>
      <c r="W106" s="10" t="str">
        <f t="shared" si="71"/>
        <v/>
      </c>
      <c r="X106" s="71"/>
      <c r="Y106" s="10" t="str">
        <f t="shared" si="55"/>
        <v/>
      </c>
      <c r="Z106" s="10" t="str">
        <f t="shared" si="72"/>
        <v/>
      </c>
      <c r="AA106" s="71"/>
      <c r="AB106" s="10" t="str">
        <f t="shared" si="56"/>
        <v/>
      </c>
      <c r="AC106" s="10" t="str">
        <f t="shared" si="73"/>
        <v/>
      </c>
      <c r="AD106" s="71"/>
      <c r="AE106" s="10" t="str">
        <f t="shared" si="57"/>
        <v/>
      </c>
      <c r="AF106" s="10" t="str">
        <f t="shared" si="74"/>
        <v/>
      </c>
      <c r="AG106" s="71"/>
      <c r="AH106" s="10" t="str">
        <f t="shared" si="58"/>
        <v/>
      </c>
      <c r="AI106" s="10" t="str">
        <f t="shared" si="75"/>
        <v/>
      </c>
      <c r="AJ106" s="71"/>
      <c r="AK106" s="10" t="str">
        <f t="shared" si="59"/>
        <v/>
      </c>
      <c r="AL106" s="10" t="str">
        <f t="shared" si="76"/>
        <v/>
      </c>
      <c r="AM106" s="71"/>
      <c r="AN106" s="10" t="str">
        <f t="shared" si="60"/>
        <v/>
      </c>
      <c r="AO106" s="10" t="str">
        <f t="shared" si="77"/>
        <v/>
      </c>
      <c r="AP106" s="71"/>
      <c r="AQ106" s="10" t="str">
        <f t="shared" si="61"/>
        <v/>
      </c>
      <c r="AR106" s="10" t="str">
        <f t="shared" si="78"/>
        <v/>
      </c>
      <c r="AS106" s="71"/>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U106" s="71"/>
      <c r="AV106" s="10" t="str">
        <f t="shared" si="62"/>
        <v/>
      </c>
      <c r="AW106" s="10" t="str">
        <f t="shared" si="79"/>
        <v/>
      </c>
      <c r="AX106" s="71"/>
      <c r="AY106" s="7" t="str">
        <f>IF(ISERROR(IF($K106&lt;=$F$15,VLOOKUP($I106,'表4）CO2価格'!$A$7:$E$67,VLOOKUP($F$48,'表4）CO2価格'!$H$10:$I$12,2,0),0)*$F$8/1000,"")),0,IF($K106&lt;=$F$15,VLOOKUP($I106,'表4）CO2価格'!$A$7:$E$67,VLOOKUP($F$48,'表4）CO2価格'!$H$10:$I$12,2,0),0)*$F$8/1000,""))</f>
        <v/>
      </c>
      <c r="AZ106" s="71"/>
      <c r="BA106" s="11" t="str">
        <f t="shared" si="63"/>
        <v/>
      </c>
      <c r="BB106" s="10" t="str">
        <f t="shared" si="80"/>
        <v/>
      </c>
      <c r="BC106" s="71"/>
      <c r="BD106" s="10" t="str">
        <f t="shared" si="64"/>
        <v/>
      </c>
      <c r="BE106" s="10" t="str">
        <f t="shared" si="81"/>
        <v/>
      </c>
      <c r="BF106" s="71"/>
      <c r="BG106" s="11" t="str">
        <f t="shared" si="65"/>
        <v/>
      </c>
      <c r="BH106" s="10" t="str">
        <f t="shared" si="82"/>
        <v/>
      </c>
      <c r="BJ106" s="7" t="str">
        <f t="shared" si="83"/>
        <v/>
      </c>
      <c r="BK106" s="158" t="str">
        <f t="shared" si="84"/>
        <v/>
      </c>
      <c r="BL106" s="158" t="str">
        <f t="shared" si="66"/>
        <v/>
      </c>
      <c r="BM106" s="10"/>
      <c r="BN106" s="10" t="str">
        <f t="shared" si="85"/>
        <v/>
      </c>
      <c r="BO106" s="10" t="str">
        <f t="shared" si="86"/>
        <v/>
      </c>
      <c r="BQ106" s="10" t="str">
        <f t="shared" si="67"/>
        <v/>
      </c>
      <c r="BR106" s="10" t="str">
        <f t="shared" si="87"/>
        <v/>
      </c>
    </row>
    <row r="107" spans="4:70" ht="15" x14ac:dyDescent="0.15">
      <c r="D107" s="103" t="s">
        <v>604</v>
      </c>
      <c r="F107" s="484">
        <f>SUBTOTAL(9,F111:F112)</f>
        <v>0</v>
      </c>
      <c r="G107" s="84" t="s">
        <v>590</v>
      </c>
      <c r="I107" s="38">
        <f t="shared" si="88"/>
        <v>2112</v>
      </c>
      <c r="J107" s="39"/>
      <c r="K107" s="39">
        <f t="shared" si="89"/>
        <v>93</v>
      </c>
      <c r="L107" s="39"/>
      <c r="M107" s="40">
        <f t="shared" si="52"/>
        <v>6.3993829875609989E-2</v>
      </c>
      <c r="N107" s="39"/>
      <c r="O107" s="72" t="str">
        <f t="shared" si="68"/>
        <v/>
      </c>
      <c r="P107" s="41" t="str">
        <f t="shared" si="53"/>
        <v/>
      </c>
      <c r="Q107" s="39"/>
      <c r="R107" s="72" t="str">
        <f t="shared" si="69"/>
        <v/>
      </c>
      <c r="S107" s="39"/>
      <c r="T107" s="72" t="str">
        <f t="shared" si="70"/>
        <v/>
      </c>
      <c r="U107" s="39"/>
      <c r="V107" s="72" t="str">
        <f t="shared" si="54"/>
        <v/>
      </c>
      <c r="W107" s="72" t="str">
        <f t="shared" si="71"/>
        <v/>
      </c>
      <c r="X107" s="39"/>
      <c r="Y107" s="72" t="str">
        <f t="shared" si="55"/>
        <v/>
      </c>
      <c r="Z107" s="72" t="str">
        <f t="shared" si="72"/>
        <v/>
      </c>
      <c r="AA107" s="39"/>
      <c r="AB107" s="72" t="str">
        <f t="shared" si="56"/>
        <v/>
      </c>
      <c r="AC107" s="72" t="str">
        <f t="shared" si="73"/>
        <v/>
      </c>
      <c r="AD107" s="39"/>
      <c r="AE107" s="72" t="str">
        <f t="shared" si="57"/>
        <v/>
      </c>
      <c r="AF107" s="72" t="str">
        <f t="shared" si="74"/>
        <v/>
      </c>
      <c r="AG107" s="39"/>
      <c r="AH107" s="72" t="str">
        <f t="shared" si="58"/>
        <v/>
      </c>
      <c r="AI107" s="72" t="str">
        <f t="shared" si="75"/>
        <v/>
      </c>
      <c r="AJ107" s="39"/>
      <c r="AK107" s="72" t="str">
        <f t="shared" si="59"/>
        <v/>
      </c>
      <c r="AL107" s="72" t="str">
        <f t="shared" si="76"/>
        <v/>
      </c>
      <c r="AM107" s="39"/>
      <c r="AN107" s="72" t="str">
        <f t="shared" si="60"/>
        <v/>
      </c>
      <c r="AO107" s="72" t="str">
        <f t="shared" si="77"/>
        <v/>
      </c>
      <c r="AP107" s="39"/>
      <c r="AQ107" s="72" t="str">
        <f t="shared" si="61"/>
        <v/>
      </c>
      <c r="AR107" s="72" t="str">
        <f t="shared" si="78"/>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62"/>
        <v/>
      </c>
      <c r="AW107" s="72" t="str">
        <f t="shared" si="79"/>
        <v/>
      </c>
      <c r="AX107" s="39"/>
      <c r="AY107" s="40" t="str">
        <f>IF(ISERROR(IF($K107&lt;=$F$15,VLOOKUP($I107,'表4）CO2価格'!$A$7:$E$67,VLOOKUP($F$48,'表4）CO2価格'!$H$10:$I$12,2,0),0)*$F$8/1000,"")),0,IF($K107&lt;=$F$15,VLOOKUP($I107,'表4）CO2価格'!$A$7:$E$67,VLOOKUP($F$48,'表4）CO2価格'!$H$10:$I$12,2,0),0)*$F$8/1000,""))</f>
        <v/>
      </c>
      <c r="AZ107" s="39"/>
      <c r="BA107" s="42" t="str">
        <f t="shared" si="63"/>
        <v/>
      </c>
      <c r="BB107" s="72" t="str">
        <f t="shared" si="80"/>
        <v/>
      </c>
      <c r="BC107" s="39"/>
      <c r="BD107" s="72" t="str">
        <f t="shared" si="64"/>
        <v/>
      </c>
      <c r="BE107" s="72" t="str">
        <f t="shared" si="81"/>
        <v/>
      </c>
      <c r="BF107" s="39"/>
      <c r="BG107" s="42" t="str">
        <f t="shared" si="65"/>
        <v/>
      </c>
      <c r="BH107" s="72" t="str">
        <f t="shared" si="82"/>
        <v/>
      </c>
      <c r="BI107" s="39"/>
      <c r="BJ107" s="40" t="str">
        <f t="shared" si="83"/>
        <v/>
      </c>
      <c r="BK107" s="157" t="str">
        <f t="shared" si="84"/>
        <v/>
      </c>
      <c r="BL107" s="157" t="str">
        <f t="shared" si="66"/>
        <v/>
      </c>
      <c r="BM107" s="72"/>
      <c r="BN107" s="72" t="str">
        <f t="shared" si="85"/>
        <v/>
      </c>
      <c r="BO107" s="72" t="str">
        <f t="shared" si="86"/>
        <v/>
      </c>
      <c r="BP107" s="39"/>
      <c r="BQ107" s="72" t="str">
        <f t="shared" si="67"/>
        <v/>
      </c>
      <c r="BR107" s="72" t="str">
        <f t="shared" si="87"/>
        <v/>
      </c>
    </row>
    <row r="108" spans="4:70" ht="15" x14ac:dyDescent="0.15">
      <c r="D108" s="103"/>
      <c r="F108" s="487"/>
      <c r="I108" s="457">
        <f t="shared" si="88"/>
        <v>2113</v>
      </c>
      <c r="K108" s="71">
        <f t="shared" si="89"/>
        <v>94</v>
      </c>
      <c r="L108" s="71"/>
      <c r="M108" s="7">
        <f t="shared" si="52"/>
        <v>6.212993191806794E-2</v>
      </c>
      <c r="N108" s="71"/>
      <c r="O108" s="10" t="str">
        <f t="shared" si="68"/>
        <v/>
      </c>
      <c r="P108" s="29" t="str">
        <f t="shared" si="53"/>
        <v/>
      </c>
      <c r="Q108" s="71"/>
      <c r="R108" s="10" t="str">
        <f t="shared" si="69"/>
        <v/>
      </c>
      <c r="S108" s="71"/>
      <c r="T108" s="10" t="str">
        <f t="shared" si="70"/>
        <v/>
      </c>
      <c r="U108" s="71"/>
      <c r="V108" s="10" t="str">
        <f t="shared" si="54"/>
        <v/>
      </c>
      <c r="W108" s="10" t="str">
        <f t="shared" si="71"/>
        <v/>
      </c>
      <c r="X108" s="71"/>
      <c r="Y108" s="10" t="str">
        <f t="shared" si="55"/>
        <v/>
      </c>
      <c r="Z108" s="10" t="str">
        <f t="shared" si="72"/>
        <v/>
      </c>
      <c r="AA108" s="71"/>
      <c r="AB108" s="10" t="str">
        <f t="shared" si="56"/>
        <v/>
      </c>
      <c r="AC108" s="10" t="str">
        <f t="shared" si="73"/>
        <v/>
      </c>
      <c r="AD108" s="71"/>
      <c r="AE108" s="10" t="str">
        <f t="shared" si="57"/>
        <v/>
      </c>
      <c r="AF108" s="10" t="str">
        <f t="shared" si="74"/>
        <v/>
      </c>
      <c r="AG108" s="71"/>
      <c r="AH108" s="10" t="str">
        <f t="shared" si="58"/>
        <v/>
      </c>
      <c r="AI108" s="10" t="str">
        <f t="shared" si="75"/>
        <v/>
      </c>
      <c r="AJ108" s="71"/>
      <c r="AK108" s="10" t="str">
        <f t="shared" si="59"/>
        <v/>
      </c>
      <c r="AL108" s="10" t="str">
        <f t="shared" si="76"/>
        <v/>
      </c>
      <c r="AM108" s="71"/>
      <c r="AN108" s="10" t="str">
        <f t="shared" si="60"/>
        <v/>
      </c>
      <c r="AO108" s="10" t="str">
        <f t="shared" si="77"/>
        <v/>
      </c>
      <c r="AP108" s="71"/>
      <c r="AQ108" s="10" t="str">
        <f t="shared" si="61"/>
        <v/>
      </c>
      <c r="AR108" s="10" t="str">
        <f t="shared" si="78"/>
        <v/>
      </c>
      <c r="AS108" s="71"/>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U108" s="71"/>
      <c r="AV108" s="10" t="str">
        <f t="shared" si="62"/>
        <v/>
      </c>
      <c r="AW108" s="10" t="str">
        <f t="shared" si="79"/>
        <v/>
      </c>
      <c r="AX108" s="71"/>
      <c r="AY108" s="7" t="str">
        <f>IF(ISERROR(IF($K108&lt;=$F$15,VLOOKUP($I108,'表4）CO2価格'!$A$7:$E$67,VLOOKUP($F$48,'表4）CO2価格'!$H$10:$I$12,2,0),0)*$F$8/1000,"")),0,IF($K108&lt;=$F$15,VLOOKUP($I108,'表4）CO2価格'!$A$7:$E$67,VLOOKUP($F$48,'表4）CO2価格'!$H$10:$I$12,2,0),0)*$F$8/1000,""))</f>
        <v/>
      </c>
      <c r="AZ108" s="71"/>
      <c r="BA108" s="11" t="str">
        <f t="shared" si="63"/>
        <v/>
      </c>
      <c r="BB108" s="10" t="str">
        <f t="shared" si="80"/>
        <v/>
      </c>
      <c r="BC108" s="71"/>
      <c r="BD108" s="10" t="str">
        <f t="shared" si="64"/>
        <v/>
      </c>
      <c r="BE108" s="10" t="str">
        <f t="shared" si="81"/>
        <v/>
      </c>
      <c r="BF108" s="71"/>
      <c r="BG108" s="11" t="str">
        <f t="shared" si="65"/>
        <v/>
      </c>
      <c r="BH108" s="10" t="str">
        <f t="shared" si="82"/>
        <v/>
      </c>
      <c r="BJ108" s="7" t="str">
        <f t="shared" si="83"/>
        <v/>
      </c>
      <c r="BK108" s="158" t="str">
        <f t="shared" si="84"/>
        <v/>
      </c>
      <c r="BL108" s="158" t="str">
        <f t="shared" si="66"/>
        <v/>
      </c>
      <c r="BM108" s="10"/>
      <c r="BN108" s="10" t="str">
        <f t="shared" si="85"/>
        <v/>
      </c>
      <c r="BO108" s="10" t="str">
        <f t="shared" si="86"/>
        <v/>
      </c>
      <c r="BQ108" s="10" t="str">
        <f t="shared" si="67"/>
        <v/>
      </c>
      <c r="BR108" s="10" t="str">
        <f t="shared" si="87"/>
        <v/>
      </c>
    </row>
    <row r="109" spans="4:70" x14ac:dyDescent="0.15">
      <c r="D109" s="100" t="s">
        <v>605</v>
      </c>
      <c r="E109" s="100"/>
      <c r="F109" s="486"/>
      <c r="G109" s="100"/>
      <c r="I109" s="38">
        <f t="shared" si="88"/>
        <v>2114</v>
      </c>
      <c r="J109" s="39"/>
      <c r="K109" s="39">
        <f t="shared" si="89"/>
        <v>95</v>
      </c>
      <c r="L109" s="39"/>
      <c r="M109" s="40">
        <f t="shared" si="52"/>
        <v>6.0320322250551395E-2</v>
      </c>
      <c r="N109" s="39"/>
      <c r="O109" s="72" t="str">
        <f t="shared" si="68"/>
        <v/>
      </c>
      <c r="P109" s="41" t="str">
        <f t="shared" si="53"/>
        <v/>
      </c>
      <c r="Q109" s="39"/>
      <c r="R109" s="72" t="str">
        <f t="shared" si="69"/>
        <v/>
      </c>
      <c r="S109" s="39"/>
      <c r="T109" s="72" t="str">
        <f t="shared" si="70"/>
        <v/>
      </c>
      <c r="U109" s="39"/>
      <c r="V109" s="72" t="str">
        <f t="shared" si="54"/>
        <v/>
      </c>
      <c r="W109" s="72" t="str">
        <f t="shared" si="71"/>
        <v/>
      </c>
      <c r="X109" s="39"/>
      <c r="Y109" s="72" t="str">
        <f t="shared" si="55"/>
        <v/>
      </c>
      <c r="Z109" s="72" t="str">
        <f t="shared" si="72"/>
        <v/>
      </c>
      <c r="AA109" s="39"/>
      <c r="AB109" s="72" t="str">
        <f t="shared" si="56"/>
        <v/>
      </c>
      <c r="AC109" s="72" t="str">
        <f t="shared" si="73"/>
        <v/>
      </c>
      <c r="AD109" s="39"/>
      <c r="AE109" s="72" t="str">
        <f t="shared" si="57"/>
        <v/>
      </c>
      <c r="AF109" s="72" t="str">
        <f t="shared" si="74"/>
        <v/>
      </c>
      <c r="AG109" s="39"/>
      <c r="AH109" s="72" t="str">
        <f t="shared" si="58"/>
        <v/>
      </c>
      <c r="AI109" s="72" t="str">
        <f t="shared" si="75"/>
        <v/>
      </c>
      <c r="AJ109" s="39"/>
      <c r="AK109" s="72" t="str">
        <f t="shared" si="59"/>
        <v/>
      </c>
      <c r="AL109" s="72" t="str">
        <f t="shared" si="76"/>
        <v/>
      </c>
      <c r="AM109" s="39"/>
      <c r="AN109" s="72" t="str">
        <f t="shared" si="60"/>
        <v/>
      </c>
      <c r="AO109" s="72" t="str">
        <f t="shared" si="77"/>
        <v/>
      </c>
      <c r="AP109" s="39"/>
      <c r="AQ109" s="72" t="str">
        <f t="shared" si="61"/>
        <v/>
      </c>
      <c r="AR109" s="72" t="str">
        <f t="shared" si="78"/>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62"/>
        <v/>
      </c>
      <c r="AW109" s="72" t="str">
        <f t="shared" si="79"/>
        <v/>
      </c>
      <c r="AX109" s="39"/>
      <c r="AY109" s="40" t="str">
        <f>IF(ISERROR(IF($K109&lt;=$F$15,VLOOKUP($I109,'表4）CO2価格'!$A$7:$E$67,VLOOKUP($F$48,'表4）CO2価格'!$H$10:$I$12,2,0),0)*$F$8/1000,"")),0,IF($K109&lt;=$F$15,VLOOKUP($I109,'表4）CO2価格'!$A$7:$E$67,VLOOKUP($F$48,'表4）CO2価格'!$H$10:$I$12,2,0),0)*$F$8/1000,""))</f>
        <v/>
      </c>
      <c r="AZ109" s="39"/>
      <c r="BA109" s="42" t="str">
        <f t="shared" si="63"/>
        <v/>
      </c>
      <c r="BB109" s="72" t="str">
        <f t="shared" si="80"/>
        <v/>
      </c>
      <c r="BC109" s="39"/>
      <c r="BD109" s="72" t="str">
        <f t="shared" si="64"/>
        <v/>
      </c>
      <c r="BE109" s="72" t="str">
        <f t="shared" si="81"/>
        <v/>
      </c>
      <c r="BF109" s="39"/>
      <c r="BG109" s="42" t="str">
        <f t="shared" si="65"/>
        <v/>
      </c>
      <c r="BH109" s="72" t="str">
        <f t="shared" si="82"/>
        <v/>
      </c>
      <c r="BI109" s="39"/>
      <c r="BJ109" s="40" t="str">
        <f t="shared" si="83"/>
        <v/>
      </c>
      <c r="BK109" s="157" t="str">
        <f t="shared" si="84"/>
        <v/>
      </c>
      <c r="BL109" s="157" t="str">
        <f t="shared" si="66"/>
        <v/>
      </c>
      <c r="BM109" s="72"/>
      <c r="BN109" s="72" t="str">
        <f t="shared" si="85"/>
        <v/>
      </c>
      <c r="BO109" s="72" t="str">
        <f t="shared" si="86"/>
        <v/>
      </c>
      <c r="BP109" s="39"/>
      <c r="BQ109" s="72" t="str">
        <f t="shared" si="67"/>
        <v/>
      </c>
      <c r="BR109" s="72" t="str">
        <f t="shared" si="87"/>
        <v/>
      </c>
    </row>
    <row r="110" spans="4:70" ht="15" x14ac:dyDescent="0.15">
      <c r="D110" s="103"/>
      <c r="F110" s="487"/>
      <c r="I110" s="457">
        <f t="shared" si="88"/>
        <v>2115</v>
      </c>
      <c r="K110" s="71">
        <f t="shared" si="89"/>
        <v>96</v>
      </c>
      <c r="L110" s="71"/>
      <c r="M110" s="7">
        <f t="shared" si="52"/>
        <v>5.8563419660729518E-2</v>
      </c>
      <c r="N110" s="71"/>
      <c r="O110" s="10" t="str">
        <f t="shared" si="68"/>
        <v/>
      </c>
      <c r="P110" s="29" t="str">
        <f t="shared" si="53"/>
        <v/>
      </c>
      <c r="Q110" s="71"/>
      <c r="R110" s="10" t="str">
        <f t="shared" si="69"/>
        <v/>
      </c>
      <c r="S110" s="71"/>
      <c r="T110" s="10" t="str">
        <f t="shared" si="70"/>
        <v/>
      </c>
      <c r="U110" s="71"/>
      <c r="V110" s="10" t="str">
        <f t="shared" si="54"/>
        <v/>
      </c>
      <c r="W110" s="10" t="str">
        <f t="shared" si="71"/>
        <v/>
      </c>
      <c r="X110" s="71"/>
      <c r="Y110" s="10" t="str">
        <f t="shared" si="55"/>
        <v/>
      </c>
      <c r="Z110" s="10" t="str">
        <f t="shared" si="72"/>
        <v/>
      </c>
      <c r="AA110" s="71"/>
      <c r="AB110" s="10" t="str">
        <f t="shared" si="56"/>
        <v/>
      </c>
      <c r="AC110" s="10" t="str">
        <f t="shared" si="73"/>
        <v/>
      </c>
      <c r="AD110" s="71"/>
      <c r="AE110" s="10" t="str">
        <f t="shared" si="57"/>
        <v/>
      </c>
      <c r="AF110" s="10" t="str">
        <f t="shared" si="74"/>
        <v/>
      </c>
      <c r="AG110" s="71"/>
      <c r="AH110" s="10" t="str">
        <f t="shared" si="58"/>
        <v/>
      </c>
      <c r="AI110" s="10" t="str">
        <f t="shared" si="75"/>
        <v/>
      </c>
      <c r="AJ110" s="71"/>
      <c r="AK110" s="10" t="str">
        <f t="shared" si="59"/>
        <v/>
      </c>
      <c r="AL110" s="10" t="str">
        <f t="shared" si="76"/>
        <v/>
      </c>
      <c r="AM110" s="71"/>
      <c r="AN110" s="10" t="str">
        <f t="shared" si="60"/>
        <v/>
      </c>
      <c r="AO110" s="10" t="str">
        <f t="shared" si="77"/>
        <v/>
      </c>
      <c r="AP110" s="71"/>
      <c r="AQ110" s="10" t="str">
        <f t="shared" si="61"/>
        <v/>
      </c>
      <c r="AR110" s="10" t="str">
        <f t="shared" si="78"/>
        <v/>
      </c>
      <c r="AS110" s="71"/>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U110" s="71"/>
      <c r="AV110" s="10" t="str">
        <f t="shared" si="62"/>
        <v/>
      </c>
      <c r="AW110" s="10" t="str">
        <f t="shared" si="79"/>
        <v/>
      </c>
      <c r="AX110" s="71"/>
      <c r="AY110" s="7" t="str">
        <f>IF(ISERROR(IF($K110&lt;=$F$15,VLOOKUP($I110,'表4）CO2価格'!$A$7:$E$67,VLOOKUP($F$48,'表4）CO2価格'!$H$10:$I$12,2,0),0)*$F$8/1000,"")),0,IF($K110&lt;=$F$15,VLOOKUP($I110,'表4）CO2価格'!$A$7:$E$67,VLOOKUP($F$48,'表4）CO2価格'!$H$10:$I$12,2,0),0)*$F$8/1000,""))</f>
        <v/>
      </c>
      <c r="AZ110" s="71"/>
      <c r="BA110" s="11" t="str">
        <f t="shared" si="63"/>
        <v/>
      </c>
      <c r="BB110" s="10" t="str">
        <f t="shared" si="80"/>
        <v/>
      </c>
      <c r="BC110" s="71"/>
      <c r="BD110" s="10" t="str">
        <f t="shared" si="64"/>
        <v/>
      </c>
      <c r="BE110" s="10" t="str">
        <f t="shared" si="81"/>
        <v/>
      </c>
      <c r="BF110" s="71"/>
      <c r="BG110" s="11" t="str">
        <f t="shared" si="65"/>
        <v/>
      </c>
      <c r="BH110" s="10" t="str">
        <f t="shared" si="82"/>
        <v/>
      </c>
      <c r="BJ110" s="7" t="str">
        <f t="shared" si="83"/>
        <v/>
      </c>
      <c r="BK110" s="158" t="str">
        <f t="shared" si="84"/>
        <v/>
      </c>
      <c r="BL110" s="158" t="str">
        <f t="shared" si="66"/>
        <v/>
      </c>
      <c r="BM110" s="10"/>
      <c r="BN110" s="10" t="str">
        <f t="shared" si="85"/>
        <v/>
      </c>
      <c r="BO110" s="10" t="str">
        <f t="shared" si="86"/>
        <v/>
      </c>
      <c r="BQ110" s="10" t="str">
        <f t="shared" si="67"/>
        <v/>
      </c>
      <c r="BR110" s="10" t="str">
        <f t="shared" si="87"/>
        <v/>
      </c>
    </row>
    <row r="111" spans="4:70" ht="15" x14ac:dyDescent="0.15">
      <c r="D111" s="103"/>
      <c r="E111" s="84" t="s">
        <v>606</v>
      </c>
      <c r="F111" s="488">
        <f>-BE116/BR116</f>
        <v>0</v>
      </c>
      <c r="G111" s="84" t="s">
        <v>590</v>
      </c>
      <c r="I111" s="38">
        <f t="shared" si="88"/>
        <v>2116</v>
      </c>
      <c r="J111" s="39"/>
      <c r="K111" s="39">
        <f t="shared" si="89"/>
        <v>97</v>
      </c>
      <c r="L111" s="39"/>
      <c r="M111" s="40">
        <f t="shared" si="52"/>
        <v>5.6857688990999529E-2</v>
      </c>
      <c r="N111" s="39"/>
      <c r="O111" s="72" t="str">
        <f t="shared" si="68"/>
        <v/>
      </c>
      <c r="P111" s="41" t="str">
        <f>IF(K111&lt;=$F$15,IF(OR(P110=$F$124,P110="-"),"-",IF(O111*$F$123&gt;$F$127,$F$123,$F$124)),"")</f>
        <v/>
      </c>
      <c r="Q111" s="39"/>
      <c r="R111" s="72" t="str">
        <f t="shared" si="69"/>
        <v/>
      </c>
      <c r="S111" s="39"/>
      <c r="T111" s="72" t="str">
        <f t="shared" si="70"/>
        <v/>
      </c>
      <c r="U111" s="39"/>
      <c r="V111" s="72" t="str">
        <f t="shared" si="54"/>
        <v/>
      </c>
      <c r="W111" s="72" t="str">
        <f t="shared" si="71"/>
        <v/>
      </c>
      <c r="X111" s="39"/>
      <c r="Y111" s="72" t="str">
        <f t="shared" si="55"/>
        <v/>
      </c>
      <c r="Z111" s="72" t="str">
        <f t="shared" si="72"/>
        <v/>
      </c>
      <c r="AA111" s="39"/>
      <c r="AB111" s="72" t="str">
        <f t="shared" si="56"/>
        <v/>
      </c>
      <c r="AC111" s="72" t="str">
        <f t="shared" si="73"/>
        <v/>
      </c>
      <c r="AD111" s="39"/>
      <c r="AE111" s="72" t="str">
        <f t="shared" si="57"/>
        <v/>
      </c>
      <c r="AF111" s="72" t="str">
        <f t="shared" si="74"/>
        <v/>
      </c>
      <c r="AG111" s="39"/>
      <c r="AH111" s="72" t="str">
        <f t="shared" si="58"/>
        <v/>
      </c>
      <c r="AI111" s="72" t="str">
        <f t="shared" si="75"/>
        <v/>
      </c>
      <c r="AJ111" s="39"/>
      <c r="AK111" s="72" t="str">
        <f t="shared" si="59"/>
        <v/>
      </c>
      <c r="AL111" s="72" t="str">
        <f t="shared" si="76"/>
        <v/>
      </c>
      <c r="AM111" s="39"/>
      <c r="AN111" s="72" t="str">
        <f t="shared" si="60"/>
        <v/>
      </c>
      <c r="AO111" s="72" t="str">
        <f t="shared" si="77"/>
        <v/>
      </c>
      <c r="AP111" s="39"/>
      <c r="AQ111" s="72" t="str">
        <f t="shared" si="61"/>
        <v/>
      </c>
      <c r="AR111" s="72" t="str">
        <f t="shared" si="78"/>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62"/>
        <v/>
      </c>
      <c r="AW111" s="72" t="str">
        <f t="shared" si="79"/>
        <v/>
      </c>
      <c r="AX111" s="39"/>
      <c r="AY111" s="40" t="str">
        <f>IF(ISERROR(IF($K111&lt;=$F$15,VLOOKUP($I111,'表4）CO2価格'!$A$7:$E$67,VLOOKUP($F$48,'表4）CO2価格'!$H$10:$I$12,2,0),0)*$F$8/1000,"")),0,IF($K111&lt;=$F$15,VLOOKUP($I111,'表4）CO2価格'!$A$7:$E$67,VLOOKUP($F$48,'表4）CO2価格'!$H$10:$I$12,2,0),0)*$F$8/1000,""))</f>
        <v/>
      </c>
      <c r="AZ111" s="39"/>
      <c r="BA111" s="42" t="str">
        <f t="shared" si="63"/>
        <v/>
      </c>
      <c r="BB111" s="72" t="str">
        <f t="shared" si="80"/>
        <v/>
      </c>
      <c r="BC111" s="39"/>
      <c r="BD111" s="72" t="str">
        <f t="shared" si="64"/>
        <v/>
      </c>
      <c r="BE111" s="72" t="str">
        <f t="shared" si="81"/>
        <v/>
      </c>
      <c r="BF111" s="39"/>
      <c r="BG111" s="42" t="str">
        <f t="shared" si="65"/>
        <v/>
      </c>
      <c r="BH111" s="72" t="str">
        <f t="shared" si="82"/>
        <v/>
      </c>
      <c r="BI111" s="39"/>
      <c r="BJ111" s="40" t="str">
        <f t="shared" si="83"/>
        <v/>
      </c>
      <c r="BK111" s="157" t="str">
        <f t="shared" si="84"/>
        <v/>
      </c>
      <c r="BL111" s="157" t="str">
        <f t="shared" si="66"/>
        <v/>
      </c>
      <c r="BM111" s="72"/>
      <c r="BN111" s="72" t="str">
        <f t="shared" si="85"/>
        <v/>
      </c>
      <c r="BO111" s="72" t="str">
        <f t="shared" si="86"/>
        <v/>
      </c>
      <c r="BP111" s="39"/>
      <c r="BQ111" s="72" t="str">
        <f t="shared" si="67"/>
        <v/>
      </c>
      <c r="BR111" s="72" t="str">
        <f t="shared" si="87"/>
        <v/>
      </c>
    </row>
    <row r="112" spans="4:70" ht="15" x14ac:dyDescent="0.15">
      <c r="D112" s="103"/>
      <c r="E112" s="84" t="s">
        <v>607</v>
      </c>
      <c r="F112" s="488">
        <f>-BH116/BR116</f>
        <v>0</v>
      </c>
      <c r="G112" s="84" t="s">
        <v>590</v>
      </c>
      <c r="I112" s="457">
        <f t="shared" si="88"/>
        <v>2117</v>
      </c>
      <c r="K112" s="71">
        <f t="shared" si="89"/>
        <v>98</v>
      </c>
      <c r="L112" s="71"/>
      <c r="M112" s="7">
        <f t="shared" si="52"/>
        <v>5.5201639797086935E-2</v>
      </c>
      <c r="N112" s="71"/>
      <c r="O112" s="10" t="str">
        <f t="shared" si="68"/>
        <v/>
      </c>
      <c r="P112" s="29" t="str">
        <f>IF(K112&lt;=$F$15,IF(OR(P111=$F$124,P111="-"),"-",IF(O112*$F$123&gt;$F$127,$F$123,$F$124)),"")</f>
        <v/>
      </c>
      <c r="Q112" s="71"/>
      <c r="R112" s="10" t="str">
        <f t="shared" si="69"/>
        <v/>
      </c>
      <c r="S112" s="71"/>
      <c r="T112" s="10" t="str">
        <f t="shared" si="70"/>
        <v/>
      </c>
      <c r="U112" s="71"/>
      <c r="V112" s="10" t="str">
        <f t="shared" si="54"/>
        <v/>
      </c>
      <c r="W112" s="10" t="str">
        <f t="shared" si="71"/>
        <v/>
      </c>
      <c r="X112" s="71"/>
      <c r="Y112" s="10" t="str">
        <f t="shared" si="55"/>
        <v/>
      </c>
      <c r="Z112" s="10" t="str">
        <f t="shared" si="72"/>
        <v/>
      </c>
      <c r="AA112" s="71"/>
      <c r="AB112" s="10" t="str">
        <f t="shared" si="56"/>
        <v/>
      </c>
      <c r="AC112" s="10" t="str">
        <f t="shared" si="73"/>
        <v/>
      </c>
      <c r="AD112" s="71"/>
      <c r="AE112" s="10" t="str">
        <f t="shared" si="57"/>
        <v/>
      </c>
      <c r="AF112" s="10" t="str">
        <f t="shared" si="74"/>
        <v/>
      </c>
      <c r="AG112" s="71"/>
      <c r="AH112" s="10" t="str">
        <f t="shared" si="58"/>
        <v/>
      </c>
      <c r="AI112" s="10" t="str">
        <f t="shared" si="75"/>
        <v/>
      </c>
      <c r="AJ112" s="71"/>
      <c r="AK112" s="10" t="str">
        <f t="shared" si="59"/>
        <v/>
      </c>
      <c r="AL112" s="10" t="str">
        <f t="shared" si="76"/>
        <v/>
      </c>
      <c r="AM112" s="71"/>
      <c r="AN112" s="10" t="str">
        <f t="shared" si="60"/>
        <v/>
      </c>
      <c r="AO112" s="10" t="str">
        <f t="shared" si="77"/>
        <v/>
      </c>
      <c r="AP112" s="71"/>
      <c r="AQ112" s="10" t="str">
        <f t="shared" si="61"/>
        <v/>
      </c>
      <c r="AR112" s="10" t="str">
        <f t="shared" si="78"/>
        <v/>
      </c>
      <c r="AS112" s="71"/>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U112" s="71"/>
      <c r="AV112" s="10" t="str">
        <f t="shared" si="62"/>
        <v/>
      </c>
      <c r="AW112" s="10" t="str">
        <f t="shared" si="79"/>
        <v/>
      </c>
      <c r="AX112" s="71"/>
      <c r="AY112" s="7" t="str">
        <f>IF(ISERROR(IF($K112&lt;=$F$15,VLOOKUP($I112,'表4）CO2価格'!$A$7:$E$67,VLOOKUP($F$48,'表4）CO2価格'!$H$10:$I$12,2,0),0)*$F$8/1000,"")),0,IF($K112&lt;=$F$15,VLOOKUP($I112,'表4）CO2価格'!$A$7:$E$67,VLOOKUP($F$48,'表4）CO2価格'!$H$10:$I$12,2,0),0)*$F$8/1000,""))</f>
        <v/>
      </c>
      <c r="AZ112" s="71"/>
      <c r="BA112" s="11" t="str">
        <f t="shared" si="63"/>
        <v/>
      </c>
      <c r="BB112" s="10" t="str">
        <f t="shared" si="80"/>
        <v/>
      </c>
      <c r="BC112" s="71"/>
      <c r="BD112" s="10" t="str">
        <f t="shared" si="64"/>
        <v/>
      </c>
      <c r="BE112" s="10" t="str">
        <f t="shared" si="81"/>
        <v/>
      </c>
      <c r="BF112" s="71"/>
      <c r="BG112" s="11" t="str">
        <f t="shared" si="65"/>
        <v/>
      </c>
      <c r="BH112" s="10" t="str">
        <f t="shared" si="82"/>
        <v/>
      </c>
      <c r="BJ112" s="7" t="str">
        <f t="shared" si="83"/>
        <v/>
      </c>
      <c r="BK112" s="158" t="str">
        <f t="shared" si="84"/>
        <v/>
      </c>
      <c r="BL112" s="158" t="str">
        <f t="shared" si="66"/>
        <v/>
      </c>
      <c r="BM112" s="10"/>
      <c r="BN112" s="10" t="str">
        <f t="shared" si="85"/>
        <v/>
      </c>
      <c r="BO112" s="10" t="str">
        <f t="shared" si="86"/>
        <v/>
      </c>
      <c r="BQ112" s="10" t="str">
        <f t="shared" si="67"/>
        <v/>
      </c>
      <c r="BR112" s="10" t="str">
        <f t="shared" si="87"/>
        <v/>
      </c>
    </row>
    <row r="113" spans="2:70" x14ac:dyDescent="0.15">
      <c r="I113" s="38">
        <f t="shared" si="88"/>
        <v>2118</v>
      </c>
      <c r="J113" s="39"/>
      <c r="K113" s="39">
        <f t="shared" si="89"/>
        <v>99</v>
      </c>
      <c r="L113" s="39"/>
      <c r="M113" s="40">
        <f t="shared" si="52"/>
        <v>5.3593825045715457E-2</v>
      </c>
      <c r="N113" s="39"/>
      <c r="O113" s="72" t="str">
        <f t="shared" si="68"/>
        <v/>
      </c>
      <c r="P113" s="41" t="str">
        <f>IF(K113&lt;=$F$15,IF(OR(P112=$F$124,P112="-"),"-",IF(O113*$F$123&gt;$F$127,$F$123,$F$124)),"")</f>
        <v/>
      </c>
      <c r="Q113" s="39"/>
      <c r="R113" s="72" t="str">
        <f t="shared" si="69"/>
        <v/>
      </c>
      <c r="S113" s="39"/>
      <c r="T113" s="72" t="str">
        <f t="shared" si="70"/>
        <v/>
      </c>
      <c r="U113" s="39"/>
      <c r="V113" s="72" t="str">
        <f t="shared" si="54"/>
        <v/>
      </c>
      <c r="W113" s="72" t="str">
        <f t="shared" si="71"/>
        <v/>
      </c>
      <c r="X113" s="39"/>
      <c r="Y113" s="72" t="str">
        <f t="shared" si="55"/>
        <v/>
      </c>
      <c r="Z113" s="72" t="str">
        <f t="shared" si="72"/>
        <v/>
      </c>
      <c r="AA113" s="39"/>
      <c r="AB113" s="72" t="str">
        <f t="shared" si="56"/>
        <v/>
      </c>
      <c r="AC113" s="72" t="str">
        <f t="shared" si="73"/>
        <v/>
      </c>
      <c r="AD113" s="39"/>
      <c r="AE113" s="72" t="str">
        <f t="shared" si="57"/>
        <v/>
      </c>
      <c r="AF113" s="72" t="str">
        <f t="shared" si="74"/>
        <v/>
      </c>
      <c r="AG113" s="39"/>
      <c r="AH113" s="72" t="str">
        <f t="shared" si="58"/>
        <v/>
      </c>
      <c r="AI113" s="72" t="str">
        <f t="shared" si="75"/>
        <v/>
      </c>
      <c r="AJ113" s="39"/>
      <c r="AK113" s="72" t="str">
        <f t="shared" si="59"/>
        <v/>
      </c>
      <c r="AL113" s="72" t="str">
        <f t="shared" si="76"/>
        <v/>
      </c>
      <c r="AM113" s="39"/>
      <c r="AN113" s="72" t="str">
        <f t="shared" si="60"/>
        <v/>
      </c>
      <c r="AO113" s="72" t="str">
        <f t="shared" si="77"/>
        <v/>
      </c>
      <c r="AP113" s="39"/>
      <c r="AQ113" s="72" t="str">
        <f t="shared" si="61"/>
        <v/>
      </c>
      <c r="AR113" s="72" t="str">
        <f t="shared" si="78"/>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62"/>
        <v/>
      </c>
      <c r="AW113" s="72" t="str">
        <f t="shared" si="79"/>
        <v/>
      </c>
      <c r="AX113" s="39"/>
      <c r="AY113" s="40" t="str">
        <f>IF(ISERROR(IF($K113&lt;=$F$15,VLOOKUP($I113,'表4）CO2価格'!$A$7:$E$67,VLOOKUP($F$48,'表4）CO2価格'!$H$10:$I$12,2,0),0)*$F$8/1000,"")),0,IF($K113&lt;=$F$15,VLOOKUP($I113,'表4）CO2価格'!$A$7:$E$67,VLOOKUP($F$48,'表4）CO2価格'!$H$10:$I$12,2,0),0)*$F$8/1000,""))</f>
        <v/>
      </c>
      <c r="AZ113" s="39"/>
      <c r="BA113" s="42" t="str">
        <f t="shared" si="63"/>
        <v/>
      </c>
      <c r="BB113" s="72" t="str">
        <f t="shared" si="80"/>
        <v/>
      </c>
      <c r="BC113" s="39"/>
      <c r="BD113" s="72" t="str">
        <f t="shared" si="64"/>
        <v/>
      </c>
      <c r="BE113" s="72" t="str">
        <f t="shared" si="81"/>
        <v/>
      </c>
      <c r="BF113" s="39"/>
      <c r="BG113" s="42" t="str">
        <f t="shared" si="65"/>
        <v/>
      </c>
      <c r="BH113" s="72" t="str">
        <f t="shared" si="82"/>
        <v/>
      </c>
      <c r="BI113" s="39"/>
      <c r="BJ113" s="40" t="str">
        <f t="shared" si="83"/>
        <v/>
      </c>
      <c r="BK113" s="157" t="str">
        <f t="shared" si="84"/>
        <v/>
      </c>
      <c r="BL113" s="157" t="str">
        <f t="shared" si="66"/>
        <v/>
      </c>
      <c r="BM113" s="72"/>
      <c r="BN113" s="72" t="str">
        <f t="shared" si="85"/>
        <v/>
      </c>
      <c r="BO113" s="72" t="str">
        <f t="shared" si="86"/>
        <v/>
      </c>
      <c r="BP113" s="39"/>
      <c r="BQ113" s="72" t="str">
        <f t="shared" si="67"/>
        <v/>
      </c>
      <c r="BR113" s="72" t="str">
        <f t="shared" si="87"/>
        <v/>
      </c>
    </row>
    <row r="114" spans="2:70" x14ac:dyDescent="0.15">
      <c r="I114" s="457">
        <f t="shared" si="88"/>
        <v>2119</v>
      </c>
      <c r="K114" s="71">
        <f t="shared" si="89"/>
        <v>100</v>
      </c>
      <c r="L114" s="71"/>
      <c r="M114" s="7">
        <f t="shared" si="52"/>
        <v>5.2032839850209185E-2</v>
      </c>
      <c r="N114" s="71"/>
      <c r="O114" s="10" t="str">
        <f t="shared" si="68"/>
        <v/>
      </c>
      <c r="P114" s="29" t="str">
        <f>IF(K114&lt;=$F$15,IF(OR(P113=$F$124,P113="-"),"-",IF(O114*$F$123&gt;$F$127,$F$123,$F$124)),"")</f>
        <v/>
      </c>
      <c r="Q114" s="71"/>
      <c r="R114" s="10" t="str">
        <f t="shared" si="69"/>
        <v/>
      </c>
      <c r="S114" s="71"/>
      <c r="T114" s="10" t="str">
        <f t="shared" si="70"/>
        <v/>
      </c>
      <c r="U114" s="71"/>
      <c r="V114" s="10" t="str">
        <f t="shared" si="54"/>
        <v/>
      </c>
      <c r="W114" s="10" t="str">
        <f t="shared" si="71"/>
        <v/>
      </c>
      <c r="X114" s="71"/>
      <c r="Y114" s="10" t="str">
        <f t="shared" si="55"/>
        <v/>
      </c>
      <c r="Z114" s="10" t="str">
        <f t="shared" si="72"/>
        <v/>
      </c>
      <c r="AA114" s="71"/>
      <c r="AB114" s="10" t="str">
        <f t="shared" si="56"/>
        <v/>
      </c>
      <c r="AC114" s="10" t="str">
        <f t="shared" si="73"/>
        <v/>
      </c>
      <c r="AD114" s="71"/>
      <c r="AE114" s="10" t="str">
        <f t="shared" si="57"/>
        <v/>
      </c>
      <c r="AF114" s="10" t="str">
        <f t="shared" si="74"/>
        <v/>
      </c>
      <c r="AG114" s="71"/>
      <c r="AH114" s="10" t="str">
        <f t="shared" si="58"/>
        <v/>
      </c>
      <c r="AI114" s="10" t="str">
        <f t="shared" si="75"/>
        <v/>
      </c>
      <c r="AJ114" s="71"/>
      <c r="AK114" s="10" t="str">
        <f t="shared" si="59"/>
        <v/>
      </c>
      <c r="AL114" s="10" t="str">
        <f t="shared" si="76"/>
        <v/>
      </c>
      <c r="AM114" s="71"/>
      <c r="AN114" s="10" t="str">
        <f t="shared" si="60"/>
        <v/>
      </c>
      <c r="AO114" s="10" t="str">
        <f t="shared" si="77"/>
        <v/>
      </c>
      <c r="AP114" s="71"/>
      <c r="AQ114" s="10" t="str">
        <f t="shared" si="61"/>
        <v/>
      </c>
      <c r="AR114" s="10" t="str">
        <f t="shared" si="78"/>
        <v/>
      </c>
      <c r="AS114" s="71"/>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U114" s="71"/>
      <c r="AV114" s="10" t="str">
        <f t="shared" si="62"/>
        <v/>
      </c>
      <c r="AW114" s="10" t="str">
        <f t="shared" si="79"/>
        <v/>
      </c>
      <c r="AX114" s="71"/>
      <c r="AY114" s="7" t="str">
        <f>IF(ISERROR(IF($K114&lt;=$F$15,VLOOKUP($I114,'表4）CO2価格'!$A$7:$E$67,VLOOKUP($F$48,'表4）CO2価格'!$H$10:$I$12,2,0),0)*$F$8/1000,"")),0,IF($K114&lt;=$F$15,VLOOKUP($I114,'表4）CO2価格'!$A$7:$E$67,VLOOKUP($F$48,'表4）CO2価格'!$H$10:$I$12,2,0),0)*$F$8/1000,""))</f>
        <v/>
      </c>
      <c r="AZ114" s="71"/>
      <c r="BA114" s="11" t="str">
        <f t="shared" si="63"/>
        <v/>
      </c>
      <c r="BB114" s="10" t="str">
        <f t="shared" si="80"/>
        <v/>
      </c>
      <c r="BC114" s="71"/>
      <c r="BD114" s="10" t="str">
        <f t="shared" si="64"/>
        <v/>
      </c>
      <c r="BE114" s="10" t="str">
        <f t="shared" si="81"/>
        <v/>
      </c>
      <c r="BF114" s="71"/>
      <c r="BG114" s="11" t="str">
        <f t="shared" si="65"/>
        <v/>
      </c>
      <c r="BH114" s="10" t="str">
        <f t="shared" si="82"/>
        <v/>
      </c>
      <c r="BJ114" s="7" t="str">
        <f t="shared" si="83"/>
        <v/>
      </c>
      <c r="BK114" s="158" t="str">
        <f t="shared" si="84"/>
        <v/>
      </c>
      <c r="BL114" s="158" t="str">
        <f t="shared" si="66"/>
        <v/>
      </c>
      <c r="BM114" s="10"/>
      <c r="BN114" s="10" t="str">
        <f t="shared" si="85"/>
        <v/>
      </c>
      <c r="BO114" s="10" t="str">
        <f t="shared" si="86"/>
        <v/>
      </c>
      <c r="BQ114" s="10" t="str">
        <f t="shared" si="67"/>
        <v/>
      </c>
      <c r="BR114" s="10" t="str">
        <f t="shared" si="87"/>
        <v/>
      </c>
    </row>
    <row r="115" spans="2:70" ht="15.75" thickBot="1" x14ac:dyDescent="0.2">
      <c r="B115" s="5" t="s">
        <v>608</v>
      </c>
      <c r="C115" s="3"/>
      <c r="D115" s="102"/>
      <c r="E115" s="102"/>
      <c r="F115" s="3"/>
      <c r="G115" s="102"/>
      <c r="I115" s="456"/>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71" t="s">
        <v>609</v>
      </c>
      <c r="L116" s="71"/>
      <c r="M116" s="71"/>
      <c r="N116" s="71"/>
      <c r="O116" s="71"/>
      <c r="P116" s="71"/>
      <c r="Q116" s="71"/>
      <c r="R116" s="71"/>
      <c r="S116" s="71"/>
      <c r="T116" s="71"/>
      <c r="U116" s="71"/>
      <c r="V116" s="71"/>
      <c r="W116" s="11"/>
      <c r="X116" s="71"/>
      <c r="Y116" s="71"/>
      <c r="Z116" s="11">
        <f>SUM(Z15:Z114)</f>
        <v>15866956235.230066</v>
      </c>
      <c r="AA116" s="71"/>
      <c r="AB116" s="71"/>
      <c r="AC116" s="11">
        <f>SUM(AC15:AC114)</f>
        <v>4179048731.0395217</v>
      </c>
      <c r="AD116" s="71"/>
      <c r="AE116" s="71"/>
      <c r="AF116" s="11">
        <f>SUM(AF15:AF114)</f>
        <v>0</v>
      </c>
      <c r="AG116" s="71"/>
      <c r="AH116" s="71"/>
      <c r="AI116" s="11">
        <f>SUM(AI15:AI114)</f>
        <v>137128538068.81442</v>
      </c>
      <c r="AJ116" s="71"/>
      <c r="AK116" s="71"/>
      <c r="AL116" s="11">
        <f>SUM(AL15:AL114)</f>
        <v>0</v>
      </c>
      <c r="AM116" s="71"/>
      <c r="AN116" s="71"/>
      <c r="AO116" s="11">
        <f>SUM(AO15:AO114)</f>
        <v>0</v>
      </c>
      <c r="AP116" s="71"/>
      <c r="AQ116" s="71"/>
      <c r="AR116" s="11">
        <f>SUM(AR15:AR114)</f>
        <v>0</v>
      </c>
      <c r="AS116" s="71"/>
      <c r="AT116" s="71"/>
      <c r="AU116" s="71"/>
      <c r="AV116" s="71"/>
      <c r="AW116" s="11">
        <f>SUM(AW15:AW114)</f>
        <v>0</v>
      </c>
      <c r="AX116" s="71"/>
      <c r="AY116" s="71"/>
      <c r="AZ116" s="71"/>
      <c r="BA116" s="71"/>
      <c r="BB116" s="11">
        <f>SUM(BB15:BB114)</f>
        <v>0</v>
      </c>
      <c r="BC116" s="71"/>
      <c r="BD116" s="71"/>
      <c r="BE116" s="11">
        <f>SUM(BE15:BE114)</f>
        <v>0</v>
      </c>
      <c r="BF116" s="71"/>
      <c r="BG116" s="71"/>
      <c r="BH116" s="11">
        <f>SUM(BH15:BH114)</f>
        <v>0</v>
      </c>
      <c r="BK116" s="11">
        <f>SUM(BK15:BK114)</f>
        <v>79284689796.645996</v>
      </c>
      <c r="BL116" s="11">
        <f>SUM(BL15:BL114)</f>
        <v>7830775909.4339218</v>
      </c>
      <c r="BO116" s="11">
        <f>SUM(BO15:BO114)</f>
        <v>453537549017.74817</v>
      </c>
      <c r="BQ116" s="71"/>
      <c r="BR116" s="11">
        <f>SUM(BR15:BR114)</f>
        <v>16016613246.437521</v>
      </c>
    </row>
    <row r="117" spans="2:70" x14ac:dyDescent="0.15">
      <c r="C117" s="71" t="s">
        <v>610</v>
      </c>
      <c r="F117" s="490">
        <f>F21*10^4*F13*10^4+F29*10^8</f>
        <v>180250000000</v>
      </c>
      <c r="G117" s="84" t="s">
        <v>611</v>
      </c>
      <c r="I117" s="184" t="s">
        <v>145</v>
      </c>
      <c r="L117" s="71"/>
      <c r="M117" s="71"/>
      <c r="N117" s="71"/>
      <c r="O117" s="71"/>
      <c r="P117" s="71"/>
      <c r="Q117" s="71"/>
      <c r="R117" s="71"/>
      <c r="S117" s="71"/>
      <c r="T117" s="71"/>
      <c r="U117" s="71"/>
      <c r="V117" s="71"/>
      <c r="W117" s="11"/>
      <c r="X117" s="71"/>
      <c r="Y117" s="71"/>
      <c r="Z117" s="11">
        <f ca="1">IF(ISNUMBER($F$16),SUM(INDIRECT(ADDRESS($F$16+15,COLUMN())):INDIRECT(ADDRESS(114,COLUMN()))),"")</f>
        <v>354254664.11191005</v>
      </c>
      <c r="AA117" s="71"/>
      <c r="AB117" s="71"/>
      <c r="AC117" s="11">
        <f ca="1">IF(ISNUMBER($F$16),SUM(INDIRECT(ADDRESS($F$16+15,COLUMN())):INDIRECT(ADDRESS(114,COLUMN()))),"")</f>
        <v>4179048731.0395217</v>
      </c>
      <c r="AD117" s="71"/>
      <c r="AE117" s="71"/>
      <c r="AF117" s="11">
        <f ca="1">IF(ISNUMBER($F$16),SUM(INDIRECT(ADDRESS($F$16+15,COLUMN())):INDIRECT(ADDRESS(114,COLUMN()))),"")</f>
        <v>0</v>
      </c>
      <c r="AG117" s="71"/>
      <c r="AH117" s="71"/>
      <c r="AI117" s="11">
        <f ca="1">IF(ISNUMBER($F$16),SUM(INDIRECT(ADDRESS($F$16+15,COLUMN())):INDIRECT(ADDRESS(114,COLUMN()))),"")</f>
        <v>19968423542.727287</v>
      </c>
      <c r="AJ117" s="71"/>
      <c r="AK117" s="71"/>
      <c r="AL117" s="11">
        <f ca="1">IF(ISNUMBER($F$16),SUM(INDIRECT(ADDRESS($F$16+15,COLUMN())):INDIRECT(ADDRESS(114,COLUMN()))),"")</f>
        <v>0</v>
      </c>
      <c r="AM117" s="71"/>
      <c r="AN117" s="71"/>
      <c r="AO117" s="11">
        <f ca="1">IF(ISNUMBER($F$16),SUM(INDIRECT(ADDRESS($F$16+15,COLUMN())):INDIRECT(ADDRESS(114,COLUMN()))),"")</f>
        <v>0</v>
      </c>
      <c r="AP117" s="71"/>
      <c r="AQ117" s="71"/>
      <c r="AR117" s="11">
        <f ca="1">IF(ISNUMBER($F$16),SUM(INDIRECT(ADDRESS($F$16+15,COLUMN())):INDIRECT(ADDRESS(114,COLUMN()))),"")</f>
        <v>0</v>
      </c>
      <c r="AS117" s="71"/>
      <c r="AT117" s="71"/>
      <c r="AU117" s="71"/>
      <c r="AV117" s="71"/>
      <c r="AW117" s="11">
        <f ca="1">IF(ISNUMBER($F$16),SUM(INDIRECT(ADDRESS($F$16+15,COLUMN())):INDIRECT(ADDRESS(114,COLUMN()))),"")</f>
        <v>0</v>
      </c>
      <c r="AX117" s="71"/>
      <c r="AY117" s="71"/>
      <c r="AZ117" s="71"/>
      <c r="BA117" s="71"/>
      <c r="BB117" s="11">
        <f ca="1">IF(ISNUMBER($F$16),SUM(INDIRECT(ADDRESS($F$16+15,COLUMN())):INDIRECT(ADDRESS(114,COLUMN()))),"")</f>
        <v>0</v>
      </c>
      <c r="BC117" s="71"/>
      <c r="BD117" s="71"/>
      <c r="BE117" s="11">
        <f ca="1">IF(ISNUMBER($F$16),SUM(INDIRECT(ADDRESS($F$16+15,COLUMN())):INDIRECT(ADDRESS(114,COLUMN()))),"")</f>
        <v>0</v>
      </c>
      <c r="BF117" s="71"/>
      <c r="BG117" s="71"/>
      <c r="BH117" s="11">
        <f ca="1">IF(ISNUMBER($F$16),SUM(INDIRECT(ADDRESS($F$16+15,COLUMN())):INDIRECT(ADDRESS(114,COLUMN()))),"")</f>
        <v>0</v>
      </c>
      <c r="BK117" s="11">
        <f ca="1">IF(ISNUMBER($F$16),SUM(INDIRECT(ADDRESS($F$16+15,COLUMN())):INDIRECT(ADDRESS(114,COLUMN()))),"")</f>
        <v>1217864270.5159938</v>
      </c>
      <c r="BL117" s="11">
        <f ca="1">IF(ISNUMBER($F$16),SUM(INDIRECT(ADDRESS($F$16+15,COLUMN())):INDIRECT(ADDRESS(114,COLUMN()))),"")</f>
        <v>0</v>
      </c>
      <c r="BO117" s="11">
        <f ca="1">IF(ISNUMBER($F$16),SUM(INDIRECT(ADDRESS($F$16+15,COLUMN())):INDIRECT(ADDRESS(114,COLUMN()))),"")</f>
        <v>0</v>
      </c>
      <c r="BQ117" s="71"/>
      <c r="BR117" s="11">
        <f ca="1">IF(ISNUMBER($F$16),SUM(INDIRECT(ADDRESS($F$16+15,COLUMN())):INDIRECT(ADDRESS(114,COLUMN()))),"")</f>
        <v>2332311869.7905469</v>
      </c>
    </row>
    <row r="119" spans="2:70" x14ac:dyDescent="0.15">
      <c r="C119" s="71" t="s">
        <v>612</v>
      </c>
      <c r="F119" s="490">
        <f>VLOOKUP(F3,'表2）法定耐用年数'!$A$2:$B$24,2,0)</f>
        <v>17</v>
      </c>
      <c r="G119" s="84" t="s">
        <v>556</v>
      </c>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Q119" s="71"/>
      <c r="BR119" s="71"/>
    </row>
    <row r="121" spans="2:70" x14ac:dyDescent="0.15">
      <c r="C121" s="4" t="s">
        <v>613</v>
      </c>
      <c r="D121" s="100"/>
      <c r="E121" s="100"/>
      <c r="F121" s="4"/>
      <c r="G121" s="100"/>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Q121" s="71"/>
      <c r="BR121" s="71"/>
    </row>
    <row r="123" spans="2:70" x14ac:dyDescent="0.15">
      <c r="D123" s="84" t="s">
        <v>614</v>
      </c>
      <c r="F123" s="491">
        <f>VLOOKUP($F$119,'表1）減価償却率表'!$A$9:$E$107,3,0)</f>
        <v>0.14699999999999999</v>
      </c>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Q123" s="71"/>
      <c r="BR123" s="71"/>
    </row>
    <row r="124" spans="2:70" x14ac:dyDescent="0.15">
      <c r="D124" s="84" t="s">
        <v>615</v>
      </c>
      <c r="F124" s="491">
        <f>VLOOKUP($F$119,'表1）減価償却率表'!$A$9:$E$107,4,0)</f>
        <v>0.16700000000000001</v>
      </c>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Q124" s="71"/>
      <c r="BR124" s="71"/>
    </row>
    <row r="125" spans="2:70" x14ac:dyDescent="0.15">
      <c r="D125" s="84" t="s">
        <v>616</v>
      </c>
      <c r="F125" s="474">
        <f>VLOOKUP($F$119,'表1）減価償却率表'!$A$9:$E$107,5,0)</f>
        <v>2.9049999999999999E-2</v>
      </c>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Q125" s="71"/>
      <c r="BR125" s="71"/>
    </row>
    <row r="126" spans="2:70" x14ac:dyDescent="0.15">
      <c r="F126" s="492"/>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Q126" s="71"/>
      <c r="BR126" s="71"/>
    </row>
    <row r="127" spans="2:70" x14ac:dyDescent="0.15">
      <c r="C127" s="8" t="s">
        <v>617</v>
      </c>
      <c r="D127" s="493"/>
      <c r="E127" s="494"/>
      <c r="F127" s="490">
        <f>F117*F125</f>
        <v>5236262500</v>
      </c>
      <c r="G127" s="84" t="s">
        <v>611</v>
      </c>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Q127" s="71"/>
      <c r="BR127" s="71"/>
    </row>
    <row r="129" spans="3:7" x14ac:dyDescent="0.15">
      <c r="C129" s="8" t="s">
        <v>152</v>
      </c>
      <c r="D129" s="493"/>
      <c r="E129" s="493"/>
      <c r="F129" s="491">
        <f>0.1^(1/F119)</f>
        <v>0.87332616238284333</v>
      </c>
      <c r="G129" s="493"/>
    </row>
    <row r="131" spans="3:7" x14ac:dyDescent="0.15">
      <c r="C131" s="4" t="s">
        <v>618</v>
      </c>
      <c r="D131" s="100"/>
      <c r="E131" s="100"/>
      <c r="F131" s="4"/>
      <c r="G131" s="100"/>
    </row>
    <row r="133" spans="3:7" x14ac:dyDescent="0.15">
      <c r="D133" s="84" t="s">
        <v>619</v>
      </c>
      <c r="F133" s="490">
        <f>F13*10000*24*365*F14/100</f>
        <v>919800000</v>
      </c>
      <c r="G133" s="84" t="s">
        <v>620</v>
      </c>
    </row>
    <row r="134" spans="3:7" x14ac:dyDescent="0.15">
      <c r="D134" s="84" t="s">
        <v>621</v>
      </c>
      <c r="F134" s="490">
        <f>F133*(1-F24/100)</f>
        <v>919800000</v>
      </c>
      <c r="G134" s="84" t="s">
        <v>620</v>
      </c>
    </row>
    <row r="135" spans="3:7" x14ac:dyDescent="0.15">
      <c r="F135" s="495"/>
    </row>
    <row r="137" spans="3:7" ht="16.5" x14ac:dyDescent="0.15">
      <c r="C137" s="71" t="s">
        <v>622</v>
      </c>
      <c r="F137" s="490">
        <f>IF(ISERROR(F133*3.6/(F23/100)/F22),0,F133*3.6/(F23/100)/F22)</f>
        <v>0</v>
      </c>
      <c r="G137" s="71" t="s">
        <v>623</v>
      </c>
    </row>
    <row r="139" spans="3:7" x14ac:dyDescent="0.15">
      <c r="C139" s="4" t="s">
        <v>624</v>
      </c>
      <c r="D139" s="100"/>
      <c r="E139" s="100"/>
      <c r="F139" s="4"/>
      <c r="G139" s="100"/>
    </row>
    <row r="141" spans="3:7" x14ac:dyDescent="0.15">
      <c r="D141" s="84" t="s">
        <v>625</v>
      </c>
      <c r="F141" s="496" t="str">
        <f>IF(OR(F3="石炭火力",F3= "LNG火力", F3="ガスコジェネ",F3="バイオマス（石炭混焼）",F3="バイオマス（木質専焼）",F3="燃料電池"),IF($F$43="需要地価格","",1000),IF(OR(F3="石油火力",F3="石油コジェネ"),IF($F$43="需要地価格","",158.987294928),""))</f>
        <v/>
      </c>
      <c r="G141" s="84" t="s">
        <v>626</v>
      </c>
    </row>
    <row r="142" spans="3:7" x14ac:dyDescent="0.15">
      <c r="D142" s="84" t="s">
        <v>573</v>
      </c>
      <c r="F142" s="488">
        <f>IF(ISERROR(F42/1000),0,F42/1000)</f>
        <v>0</v>
      </c>
      <c r="G142" s="84" t="s">
        <v>627</v>
      </c>
    </row>
    <row r="145" spans="3:7" x14ac:dyDescent="0.15">
      <c r="C145" s="71" t="s">
        <v>628</v>
      </c>
      <c r="F145" s="496">
        <f>IF(ISERROR(F133*(F47*3.6/(F23/100)/1000*(44/12))),0,F133*(F47*3.6/(F23/100)/1000*(44/12)))</f>
        <v>0</v>
      </c>
      <c r="G145" s="84" t="s">
        <v>629</v>
      </c>
    </row>
    <row r="147" spans="3:7" x14ac:dyDescent="0.15">
      <c r="C147" s="4" t="s">
        <v>630</v>
      </c>
      <c r="D147" s="100"/>
      <c r="E147" s="100"/>
      <c r="F147" s="4"/>
      <c r="G147" s="100"/>
    </row>
    <row r="149" spans="3:7" x14ac:dyDescent="0.15">
      <c r="D149" s="84" t="s">
        <v>219</v>
      </c>
      <c r="F149" s="496">
        <f>IF(ISERROR(F52/F23),0,F52/F23)</f>
        <v>0</v>
      </c>
    </row>
    <row r="150" spans="3:7" x14ac:dyDescent="0.15">
      <c r="D150" s="84" t="s">
        <v>631</v>
      </c>
      <c r="F150" s="496">
        <f>F133*F149*(F53/100)*3.6</f>
        <v>0</v>
      </c>
      <c r="G150" s="84" t="s">
        <v>632</v>
      </c>
    </row>
    <row r="151" spans="3:7" ht="16.5" x14ac:dyDescent="0.15">
      <c r="D151" s="84" t="s">
        <v>633</v>
      </c>
      <c r="F151" s="490">
        <f>IF(ISERROR(F150/(F54/100)/F55),0,F150/(F54/100)/F55)</f>
        <v>0</v>
      </c>
      <c r="G151" s="71" t="s">
        <v>623</v>
      </c>
    </row>
    <row r="152" spans="3:7" x14ac:dyDescent="0.15">
      <c r="D152" s="84" t="s">
        <v>634</v>
      </c>
      <c r="F152" s="497">
        <f>IF(ISERROR(F56/1000),0,F56/1000)</f>
        <v>0</v>
      </c>
      <c r="G152" s="84" t="s">
        <v>627</v>
      </c>
    </row>
    <row r="153" spans="3:7" x14ac:dyDescent="0.15">
      <c r="D153" s="84" t="s">
        <v>635</v>
      </c>
      <c r="F153" s="496">
        <f>IF(ISERROR(F150*F47/1000*(44/12)/(F54/100)),0,F150*F47/1000*(44/12)/(F54/100))</f>
        <v>0</v>
      </c>
      <c r="G153" s="84" t="s">
        <v>629</v>
      </c>
    </row>
  </sheetData>
  <mergeCells count="48">
    <mergeCell ref="BR12:BR13"/>
    <mergeCell ref="AI12:AI13"/>
    <mergeCell ref="AL12:AL13"/>
    <mergeCell ref="AO12:AO13"/>
    <mergeCell ref="AR12:AR13"/>
    <mergeCell ref="AW12:AW13"/>
    <mergeCell ref="BB12:BB13"/>
    <mergeCell ref="BL12:BL13"/>
    <mergeCell ref="BK12:BK13"/>
    <mergeCell ref="BO12:BO13"/>
    <mergeCell ref="BJ12:BJ13"/>
    <mergeCell ref="BA9:BB10"/>
    <mergeCell ref="AE9:AF10"/>
    <mergeCell ref="V9:W10"/>
    <mergeCell ref="BE12:BE13"/>
    <mergeCell ref="BH12:BH13"/>
    <mergeCell ref="P12:P13"/>
    <mergeCell ref="W12:W13"/>
    <mergeCell ref="Z12:Z13"/>
    <mergeCell ref="AC12:AC13"/>
    <mergeCell ref="AF12:AF13"/>
    <mergeCell ref="BQ7:BR7"/>
    <mergeCell ref="BJ7:BO7"/>
    <mergeCell ref="I9:I10"/>
    <mergeCell ref="K9:K10"/>
    <mergeCell ref="M9:M10"/>
    <mergeCell ref="O9:P10"/>
    <mergeCell ref="R9:R10"/>
    <mergeCell ref="AN9:AO10"/>
    <mergeCell ref="AQ9:AR10"/>
    <mergeCell ref="AY7:BB7"/>
    <mergeCell ref="AY9:AY10"/>
    <mergeCell ref="BD7:BH7"/>
    <mergeCell ref="BJ9:BL10"/>
    <mergeCell ref="BN9:BO10"/>
    <mergeCell ref="BD9:BE10"/>
    <mergeCell ref="BG9:BH10"/>
    <mergeCell ref="F3:G3"/>
    <mergeCell ref="V7:AF7"/>
    <mergeCell ref="AH7:AR7"/>
    <mergeCell ref="AT7:AW7"/>
    <mergeCell ref="AK9:AL10"/>
    <mergeCell ref="T9:T10"/>
    <mergeCell ref="AV9:AW10"/>
    <mergeCell ref="AT9:AT10"/>
    <mergeCell ref="AH9:AI10"/>
    <mergeCell ref="AB9:AC10"/>
    <mergeCell ref="Y9:Z10"/>
  </mergeCells>
  <phoneticPr fontId="17"/>
  <dataValidations count="4">
    <dataValidation type="list" allowBlank="1" showDropDown="1" showInputMessage="1" showErrorMessage="1" sqref="F48 F41" xr:uid="{00000000-0002-0000-1700-000000000000}">
      <formula1>"現行政策シナリオ, 新政策シナリオ"</formula1>
    </dataValidation>
    <dataValidation type="whole" allowBlank="1" showInputMessage="1" showErrorMessage="1" sqref="F7" xr:uid="{00000000-0002-0000-1700-000001000000}">
      <formula1>2010</formula1>
      <formula2>2030</formula2>
    </dataValidation>
    <dataValidation type="list" allowBlank="1" showDropDown="1" showInputMessage="1" showErrorMessage="1" sqref="F43" xr:uid="{00000000-0002-0000-1700-000002000000}">
      <formula1>"CIF価格, 需要地価格"</formula1>
    </dataValidation>
    <dataValidation type="list" allowBlank="1" showDropDown="1" showInputMessage="1" showErrorMessage="1" sqref="F3:G3" xr:uid="{00000000-0002-0000-1700-000003000000}">
      <formula1>"原子力,石炭火力,LNG火力,石油火力,洋上風力,太陽光（メガソーラー）,太陽光（住宅）,風力（陸上）,風力（洋上）,小水力,地熱,バイオマス（石炭混焼）,バイオマス（木質専焼）,ガスコジェネ,石油コジェネ,燃料電池"</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BR153"/>
  <sheetViews>
    <sheetView showGridLines="0" zoomScale="85" zoomScaleNormal="85" workbookViewId="0">
      <pane xSplit="10" ySplit="14" topLeftCell="K54" activePane="bottomRight" state="frozen"/>
      <selection pane="topRight" activeCell="AF12" sqref="AF12:AF13"/>
      <selection pane="bottomLeft" activeCell="AF12" sqref="AF12:AF13"/>
      <selection pane="bottomRight" sqref="A1:I1048576"/>
    </sheetView>
  </sheetViews>
  <sheetFormatPr defaultColWidth="9" defaultRowHeight="14.25" outlineLevelCol="1" x14ac:dyDescent="0.15"/>
  <cols>
    <col min="1" max="3" width="6.25" style="71" customWidth="1"/>
    <col min="4" max="4" width="6.25" style="84" customWidth="1"/>
    <col min="5" max="5" width="24.375" style="84" customWidth="1"/>
    <col min="6" max="6" width="18.75" style="71" customWidth="1"/>
    <col min="7" max="7" width="24.375" style="84" bestFit="1" customWidth="1"/>
    <col min="8" max="8" width="9" style="71"/>
    <col min="9" max="9" width="6.25" style="71" customWidth="1"/>
    <col min="10" max="10" width="3" style="2" customWidth="1"/>
    <col min="11" max="11" width="6.25" style="2" customWidth="1"/>
    <col min="12" max="12" width="3" style="2" customWidth="1"/>
    <col min="13" max="13" width="6.25" style="2" customWidth="1"/>
    <col min="14" max="14" width="3" style="2" customWidth="1"/>
    <col min="15" max="15" width="17.375" style="2" bestFit="1" customWidth="1"/>
    <col min="16" max="16" width="8.625" style="2" customWidth="1"/>
    <col min="17" max="17" width="3" style="2" customWidth="1"/>
    <col min="18" max="18" width="17.375" style="2" bestFit="1" customWidth="1"/>
    <col min="19" max="19" width="3" style="2" customWidth="1"/>
    <col min="20" max="20" width="17.375" style="2" bestFit="1" customWidth="1"/>
    <col min="21" max="21" width="3" style="2" customWidth="1"/>
    <col min="22" max="22" width="15" style="2" customWidth="1" outlineLevel="1"/>
    <col min="23" max="23" width="17.375" style="2" bestFit="1" customWidth="1"/>
    <col min="24" max="24" width="3" style="2" customWidth="1"/>
    <col min="25" max="25" width="15" style="2" customWidth="1" outlineLevel="1"/>
    <col min="26" max="26" width="15" style="2" customWidth="1"/>
    <col min="27" max="27" width="3" style="2" customWidth="1"/>
    <col min="28" max="28" width="15" style="2" customWidth="1" outlineLevel="1"/>
    <col min="29" max="29" width="15" style="2" customWidth="1"/>
    <col min="30" max="30" width="3" style="2" customWidth="1"/>
    <col min="31" max="31" width="15" style="2" customWidth="1" outlineLevel="1"/>
    <col min="32" max="32" width="15" style="2" customWidth="1"/>
    <col min="33" max="33" width="3" style="2" customWidth="1"/>
    <col min="34" max="34" width="14.875" style="2" customWidth="1" outlineLevel="1"/>
    <col min="35" max="35" width="15" style="2" customWidth="1"/>
    <col min="36" max="36" width="3" style="2" customWidth="1"/>
    <col min="37" max="37" width="15" style="2" customWidth="1" outlineLevel="1"/>
    <col min="38" max="38" width="15" style="2" customWidth="1"/>
    <col min="39" max="39" width="3" style="2" customWidth="1"/>
    <col min="40" max="40" width="15" style="2" customWidth="1" outlineLevel="1"/>
    <col min="41" max="41" width="15" style="2" customWidth="1"/>
    <col min="42" max="42" width="3" style="2" customWidth="1"/>
    <col min="43" max="43" width="15" style="2" customWidth="1" outlineLevel="1"/>
    <col min="44" max="44" width="15" style="2" customWidth="1"/>
    <col min="45" max="45" width="3" style="2" customWidth="1"/>
    <col min="46" max="46" width="10.75" style="2" bestFit="1" customWidth="1"/>
    <col min="47" max="47" width="3" style="2" customWidth="1"/>
    <col min="48" max="48" width="15" style="2" customWidth="1" outlineLevel="1"/>
    <col min="49" max="49" width="17.375" style="2" bestFit="1" customWidth="1"/>
    <col min="50" max="50" width="3" style="2" customWidth="1"/>
    <col min="51" max="51" width="9.625" style="2" bestFit="1" customWidth="1"/>
    <col min="52" max="52" width="3" style="2" customWidth="1"/>
    <col min="53" max="53" width="15" style="2" customWidth="1" outlineLevel="1"/>
    <col min="54" max="54" width="17.375" style="2" bestFit="1" customWidth="1"/>
    <col min="55" max="55" width="3" style="2" customWidth="1"/>
    <col min="56" max="56" width="19.25" style="2" customWidth="1" outlineLevel="1"/>
    <col min="57" max="57" width="19.25" style="2" bestFit="1" customWidth="1"/>
    <col min="58" max="58" width="3" style="2" customWidth="1"/>
    <col min="59" max="59" width="19.25" style="2" customWidth="1" outlineLevel="1"/>
    <col min="60" max="60" width="19.25" style="2"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2" customWidth="1" outlineLevel="1"/>
    <col min="70" max="70" width="17.375" style="2" bestFit="1" customWidth="1"/>
    <col min="71" max="16384" width="9" style="2"/>
  </cols>
  <sheetData>
    <row r="1" spans="1:70" ht="18.75" x14ac:dyDescent="0.15">
      <c r="A1" s="6" t="s">
        <v>60</v>
      </c>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Q1" s="71"/>
      <c r="BR1" s="71"/>
    </row>
    <row r="3" spans="1:70" ht="23.25" x14ac:dyDescent="0.15">
      <c r="B3" s="1" t="s">
        <v>542</v>
      </c>
      <c r="F3" s="732" t="s">
        <v>245</v>
      </c>
      <c r="G3" s="719"/>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Q3" s="71"/>
      <c r="BR3" s="71"/>
    </row>
    <row r="4" spans="1:70" x14ac:dyDescent="0.15">
      <c r="F4" s="71" t="str">
        <f>IF(OR(まとめ!$B$7="低減シナリオ",まとめ!$B$7="国際価格に収斂"),"低減シナリオ","横置き")</f>
        <v>横置き</v>
      </c>
      <c r="G4" s="472"/>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Q4" s="71"/>
      <c r="BR4" s="71"/>
    </row>
    <row r="5" spans="1:70" ht="15.75" thickBot="1" x14ac:dyDescent="0.2">
      <c r="B5" s="5" t="s">
        <v>543</v>
      </c>
      <c r="C5" s="3"/>
      <c r="D5" s="102"/>
      <c r="E5" s="102"/>
      <c r="F5" s="3"/>
      <c r="G5" s="102"/>
      <c r="I5" s="5" t="s">
        <v>544</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71" t="s">
        <v>545</v>
      </c>
      <c r="F7" s="473">
        <v>2030</v>
      </c>
      <c r="I7" s="8"/>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71" t="s">
        <v>546</v>
      </c>
      <c r="F8" s="474">
        <f>まとめ!B3</f>
        <v>107</v>
      </c>
      <c r="G8" s="84" t="s">
        <v>547</v>
      </c>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71" t="s">
        <v>548</v>
      </c>
      <c r="F9" s="474">
        <f>まとめ!B2</f>
        <v>3</v>
      </c>
      <c r="G9" s="84" t="s">
        <v>549</v>
      </c>
      <c r="I9" s="720" t="s">
        <v>550</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30" t="s">
        <v>232</v>
      </c>
      <c r="AI9" s="729"/>
      <c r="AJ9" s="60"/>
      <c r="AK9" s="730" t="s">
        <v>233</v>
      </c>
      <c r="AL9" s="729"/>
      <c r="AM9" s="111"/>
      <c r="AN9" s="730" t="s">
        <v>233</v>
      </c>
      <c r="AO9" s="729"/>
      <c r="AP9" s="111"/>
      <c r="AQ9" s="730" t="s">
        <v>233</v>
      </c>
      <c r="AR9" s="729"/>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I10" s="708"/>
      <c r="J10" s="71"/>
      <c r="K10" s="708"/>
      <c r="L10" s="71"/>
      <c r="M10" s="708"/>
      <c r="N10" s="71"/>
      <c r="O10" s="717"/>
      <c r="P10" s="717"/>
      <c r="Q10" s="71"/>
      <c r="R10" s="708"/>
      <c r="S10" s="71"/>
      <c r="T10" s="708"/>
      <c r="U10" s="71"/>
      <c r="V10" s="717"/>
      <c r="W10" s="717"/>
      <c r="X10" s="71"/>
      <c r="Y10" s="717"/>
      <c r="Z10" s="717"/>
      <c r="AA10" s="71"/>
      <c r="AB10" s="723"/>
      <c r="AC10" s="723"/>
      <c r="AD10" s="81"/>
      <c r="AE10" s="723"/>
      <c r="AF10" s="723"/>
      <c r="AG10" s="71"/>
      <c r="AH10" s="731"/>
      <c r="AI10" s="731"/>
      <c r="AJ10" s="61"/>
      <c r="AK10" s="731"/>
      <c r="AL10" s="731"/>
      <c r="AM10" s="9"/>
      <c r="AN10" s="731"/>
      <c r="AO10" s="731"/>
      <c r="AP10" s="9"/>
      <c r="AQ10" s="731"/>
      <c r="AR10" s="731"/>
      <c r="AS10" s="71"/>
      <c r="AT10" s="717"/>
      <c r="AU10" s="71"/>
      <c r="AV10" s="717"/>
      <c r="AW10" s="717"/>
      <c r="AX10" s="322"/>
      <c r="AY10" s="708"/>
      <c r="AZ10" s="71"/>
      <c r="BA10" s="708"/>
      <c r="BB10" s="708"/>
      <c r="BC10" s="71"/>
      <c r="BD10" s="717"/>
      <c r="BE10" s="717"/>
      <c r="BF10" s="71"/>
      <c r="BG10" s="717"/>
      <c r="BH10" s="717"/>
      <c r="BJ10" s="708"/>
      <c r="BK10" s="708"/>
      <c r="BL10" s="708"/>
      <c r="BM10" s="322"/>
      <c r="BN10" s="717"/>
      <c r="BO10" s="717"/>
      <c r="BQ10" s="322"/>
      <c r="BR10" s="322"/>
    </row>
    <row r="11" spans="1:70" ht="15.75" customHeight="1" thickBot="1" x14ac:dyDescent="0.2">
      <c r="B11" s="5" t="s">
        <v>95</v>
      </c>
      <c r="C11" s="3"/>
      <c r="D11" s="102"/>
      <c r="E11" s="102"/>
      <c r="F11" s="3"/>
      <c r="G11" s="102"/>
      <c r="J11" s="71"/>
      <c r="K11" s="71"/>
      <c r="L11" s="71"/>
      <c r="M11" s="71"/>
      <c r="N11" s="71"/>
      <c r="O11" s="322" t="s">
        <v>96</v>
      </c>
      <c r="P11" s="322"/>
      <c r="Q11" s="322"/>
      <c r="R11" s="322" t="s">
        <v>96</v>
      </c>
      <c r="S11" s="322"/>
      <c r="T11" s="322"/>
      <c r="U11" s="71"/>
      <c r="V11" s="322"/>
      <c r="W11" s="322"/>
      <c r="X11" s="71"/>
      <c r="Y11" s="322"/>
      <c r="Z11" s="322"/>
      <c r="AA11" s="71"/>
      <c r="AB11" s="322"/>
      <c r="AC11" s="322"/>
      <c r="AD11" s="71"/>
      <c r="AE11" s="322"/>
      <c r="AF11" s="322"/>
      <c r="AG11" s="71"/>
      <c r="AH11" s="322"/>
      <c r="AI11" s="322"/>
      <c r="AJ11" s="71"/>
      <c r="AK11" s="322"/>
      <c r="AL11" s="322"/>
      <c r="AM11" s="71"/>
      <c r="AN11" s="322"/>
      <c r="AO11" s="322"/>
      <c r="AP11" s="71"/>
      <c r="AQ11" s="322"/>
      <c r="AR11" s="322"/>
      <c r="AS11" s="71"/>
      <c r="AT11" s="322"/>
      <c r="AU11" s="71"/>
      <c r="AV11" s="322"/>
      <c r="AW11" s="322"/>
      <c r="AX11" s="322"/>
      <c r="AY11" s="71"/>
      <c r="AZ11" s="71"/>
      <c r="BA11" s="71"/>
      <c r="BB11" s="322"/>
      <c r="BC11" s="71"/>
      <c r="BD11" s="322"/>
      <c r="BE11" s="322"/>
      <c r="BF11" s="71"/>
      <c r="BG11" s="322"/>
      <c r="BH11" s="322"/>
      <c r="BJ11" s="156"/>
      <c r="BM11" s="322"/>
      <c r="BN11" s="322"/>
      <c r="BO11" s="322"/>
      <c r="BQ11" s="322"/>
      <c r="BR11" s="322"/>
    </row>
    <row r="12" spans="1:70" ht="14.25" customHeight="1" x14ac:dyDescent="0.15">
      <c r="J12" s="71"/>
      <c r="K12" s="71"/>
      <c r="L12" s="71"/>
      <c r="M12" s="71"/>
      <c r="N12" s="71"/>
      <c r="O12" s="322"/>
      <c r="P12" s="707" t="s">
        <v>97</v>
      </c>
      <c r="Q12" s="71"/>
      <c r="R12" s="71"/>
      <c r="S12" s="71"/>
      <c r="T12" s="71"/>
      <c r="U12" s="71"/>
      <c r="V12" s="71"/>
      <c r="W12" s="707" t="s">
        <v>98</v>
      </c>
      <c r="X12" s="71"/>
      <c r="Y12" s="71"/>
      <c r="Z12" s="707" t="s">
        <v>98</v>
      </c>
      <c r="AA12" s="71"/>
      <c r="AB12" s="71"/>
      <c r="AC12" s="707" t="s">
        <v>98</v>
      </c>
      <c r="AD12" s="71"/>
      <c r="AE12" s="71"/>
      <c r="AF12" s="707" t="s">
        <v>98</v>
      </c>
      <c r="AG12" s="71"/>
      <c r="AH12" s="71"/>
      <c r="AI12" s="707" t="s">
        <v>98</v>
      </c>
      <c r="AJ12" s="71"/>
      <c r="AK12" s="71"/>
      <c r="AL12" s="707" t="s">
        <v>98</v>
      </c>
      <c r="AM12" s="71"/>
      <c r="AN12" s="71"/>
      <c r="AO12" s="707" t="s">
        <v>98</v>
      </c>
      <c r="AP12" s="71"/>
      <c r="AQ12" s="71"/>
      <c r="AR12" s="707" t="s">
        <v>98</v>
      </c>
      <c r="AS12" s="71"/>
      <c r="AT12" s="71"/>
      <c r="AU12" s="71"/>
      <c r="AV12" s="71"/>
      <c r="AW12" s="707" t="s">
        <v>98</v>
      </c>
      <c r="AX12" s="71"/>
      <c r="AY12" s="71"/>
      <c r="AZ12" s="71"/>
      <c r="BA12" s="71"/>
      <c r="BB12" s="707" t="s">
        <v>98</v>
      </c>
      <c r="BC12" s="71"/>
      <c r="BD12" s="71"/>
      <c r="BE12" s="707" t="s">
        <v>98</v>
      </c>
      <c r="BF12" s="71"/>
      <c r="BG12" s="71"/>
      <c r="BH12" s="707" t="s">
        <v>98</v>
      </c>
      <c r="BJ12" s="709" t="s">
        <v>99</v>
      </c>
      <c r="BK12" s="709" t="s">
        <v>100</v>
      </c>
      <c r="BL12" s="709" t="s">
        <v>101</v>
      </c>
      <c r="BO12" s="709" t="s">
        <v>102</v>
      </c>
      <c r="BQ12" s="71"/>
      <c r="BR12" s="707" t="s">
        <v>103</v>
      </c>
    </row>
    <row r="13" spans="1:70" ht="14.25" customHeight="1" x14ac:dyDescent="0.15">
      <c r="C13" s="71" t="s">
        <v>552</v>
      </c>
      <c r="F13" s="475">
        <v>35</v>
      </c>
      <c r="G13" s="84" t="s">
        <v>553</v>
      </c>
      <c r="J13" s="71"/>
      <c r="K13" s="71"/>
      <c r="L13" s="71"/>
      <c r="M13" s="71"/>
      <c r="N13" s="71"/>
      <c r="O13" s="322"/>
      <c r="P13" s="708"/>
      <c r="Q13" s="322"/>
      <c r="R13" s="322"/>
      <c r="S13" s="322"/>
      <c r="T13" s="322"/>
      <c r="U13" s="71"/>
      <c r="V13" s="322"/>
      <c r="W13" s="708"/>
      <c r="X13" s="71"/>
      <c r="Y13" s="322"/>
      <c r="Z13" s="708"/>
      <c r="AA13" s="71"/>
      <c r="AB13" s="322"/>
      <c r="AC13" s="708"/>
      <c r="AD13" s="71"/>
      <c r="AE13" s="322"/>
      <c r="AF13" s="708"/>
      <c r="AG13" s="71"/>
      <c r="AH13" s="322"/>
      <c r="AI13" s="708"/>
      <c r="AJ13" s="71"/>
      <c r="AK13" s="322"/>
      <c r="AL13" s="708"/>
      <c r="AM13" s="71"/>
      <c r="AN13" s="322"/>
      <c r="AO13" s="708"/>
      <c r="AP13" s="71"/>
      <c r="AQ13" s="322"/>
      <c r="AR13" s="708"/>
      <c r="AS13" s="71"/>
      <c r="AT13" s="322"/>
      <c r="AU13" s="71"/>
      <c r="AV13" s="322"/>
      <c r="AW13" s="708"/>
      <c r="AX13" s="71"/>
      <c r="AY13" s="71"/>
      <c r="AZ13" s="71"/>
      <c r="BA13" s="71"/>
      <c r="BB13" s="708"/>
      <c r="BC13" s="71"/>
      <c r="BD13" s="322"/>
      <c r="BE13" s="708"/>
      <c r="BF13" s="71"/>
      <c r="BG13" s="322"/>
      <c r="BH13" s="708"/>
      <c r="BJ13" s="712"/>
      <c r="BK13" s="710"/>
      <c r="BL13" s="708"/>
      <c r="BM13" s="322"/>
      <c r="BO13" s="708"/>
      <c r="BQ13" s="322"/>
      <c r="BR13" s="708"/>
    </row>
    <row r="14" spans="1:70" ht="16.5" x14ac:dyDescent="0.15">
      <c r="C14" s="71" t="s">
        <v>554</v>
      </c>
      <c r="F14" s="474">
        <f>VLOOKUP(F3&amp;IF(G4&lt;&gt;"","_"&amp;G4,""),まとめ!$A$12:$G$34,IF(F7=2030,4,IF(F7=2020,3,IF(F7=2014,2,"-"))),0)</f>
        <v>33.200000000000003</v>
      </c>
      <c r="G14" s="84" t="s">
        <v>549</v>
      </c>
      <c r="J14" s="71"/>
      <c r="K14" s="71"/>
      <c r="L14" s="71"/>
      <c r="M14" s="71"/>
      <c r="N14" s="71"/>
      <c r="O14" s="322"/>
      <c r="P14" s="322"/>
      <c r="Q14" s="322"/>
      <c r="R14" s="322"/>
      <c r="S14" s="322"/>
      <c r="T14" s="322"/>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50" t="s">
        <v>104</v>
      </c>
      <c r="AU14" s="71"/>
      <c r="AV14" s="71"/>
      <c r="AW14" s="71"/>
      <c r="AX14" s="71"/>
      <c r="AY14" s="71" t="s">
        <v>105</v>
      </c>
      <c r="AZ14" s="71"/>
      <c r="BA14" s="71"/>
      <c r="BB14" s="71"/>
      <c r="BC14" s="71"/>
      <c r="BD14" s="71"/>
      <c r="BE14" s="71"/>
      <c r="BF14" s="71"/>
      <c r="BG14" s="71"/>
      <c r="BH14" s="71"/>
      <c r="BQ14" s="71"/>
      <c r="BR14" s="71"/>
    </row>
    <row r="15" spans="1:70" x14ac:dyDescent="0.15">
      <c r="C15" s="71" t="s">
        <v>555</v>
      </c>
      <c r="F15" s="474">
        <f>VLOOKUP(F3&amp;IF(G4&lt;&gt;"","_"&amp;G4,""),まとめ!$A$12:$G$34,IF(F7=2030,7,IF(F7=2020,6,IF(F7=2014,5,"-"))),0)</f>
        <v>25</v>
      </c>
      <c r="G15" s="84" t="s">
        <v>556</v>
      </c>
      <c r="I15" s="38">
        <f>F7</f>
        <v>2030</v>
      </c>
      <c r="J15" s="39"/>
      <c r="K15" s="39">
        <f>IF(I15&lt;&gt;"",1,"")</f>
        <v>1</v>
      </c>
      <c r="L15" s="39"/>
      <c r="M15" s="40">
        <f t="shared" ref="M15:M78" si="0">1/(1+($F$9/100))^K15</f>
        <v>0.970873786407767</v>
      </c>
      <c r="N15" s="39"/>
      <c r="O15" s="72">
        <f>F117</f>
        <v>177450000000</v>
      </c>
      <c r="P15" s="41">
        <f t="shared" ref="P15:P46" si="1">IF(K15&lt;=$F$15,IF(OR(P14=$F$124,P14="-"),"-",IF(O15*$F$123&gt;$F$127,$F$123,$F$124)),"")</f>
        <v>0.14699999999999999</v>
      </c>
      <c r="Q15" s="39"/>
      <c r="R15" s="72">
        <f>F117</f>
        <v>177450000000</v>
      </c>
      <c r="S15" s="39"/>
      <c r="T15" s="72">
        <f>IF(ISNUMBER(R15),ROUNDDOWN(R15,-3),"")</f>
        <v>177450000000</v>
      </c>
      <c r="U15" s="39"/>
      <c r="V15" s="72">
        <f t="shared" ref="V15:V46" si="2">IF(K15&lt;=$F$15,IF(K15&lt;$F$119,IF(P15="-",V14,O15*P15),IF(K15=$F$119,MIN(IF(P15="-",V14,O15*P15),O15),0)),"")</f>
        <v>26085150000</v>
      </c>
      <c r="W15" s="72">
        <f>IF(ISNUMBER(V15),V15*$M15,"")</f>
        <v>25325388349.514565</v>
      </c>
      <c r="X15" s="39"/>
      <c r="Y15" s="72">
        <f t="shared" ref="Y15:Y46" si="3">IF($K15&lt;=$F$15,ROUNDDOWN(T15*$F$25/100,-2),"")</f>
        <v>2484300000</v>
      </c>
      <c r="Z15" s="72">
        <f>IF(ISNUMBER(Y15),Y15*$M15,"")</f>
        <v>2411941747.5728154</v>
      </c>
      <c r="AA15" s="39"/>
      <c r="AB15" s="72">
        <f t="shared" ref="AB15:AB78" si="4">IF($K15&lt;=$F$15,0,IF(AND($K15&gt;$F$15,$K15&lt;=$F$15+$F$28),$F$27*10^8/$F$28,""))</f>
        <v>0</v>
      </c>
      <c r="AC15" s="72">
        <f>IF(ISNUMBER(AB15),AB15*$M15,"")</f>
        <v>0</v>
      </c>
      <c r="AD15" s="39"/>
      <c r="AE15" s="72">
        <f t="shared" ref="AE15:AE46" si="5">IF($K15&lt;=$F$15,$F$26,"")</f>
        <v>0</v>
      </c>
      <c r="AF15" s="72">
        <f>IF(ISNUMBER(AE15),AE15*$M15,"")</f>
        <v>0</v>
      </c>
      <c r="AG15" s="39"/>
      <c r="AH15" s="72">
        <f t="shared" ref="AH15:AH46" si="6">IF($K15&lt;=$F$15,$F$33*10^4*$F$13*10^4,"")</f>
        <v>6440000000</v>
      </c>
      <c r="AI15" s="72">
        <f>IF(ISNUMBER(AH15),AH15*$M15,"")</f>
        <v>6252427184.4660196</v>
      </c>
      <c r="AJ15" s="39"/>
      <c r="AK15" s="72">
        <f t="shared" ref="AK15:AK46" si="7">IF($K15&lt;=$F$15,$F$117*$F$34/100,"")</f>
        <v>0</v>
      </c>
      <c r="AL15" s="72">
        <f>IF(ISNUMBER(AK15),AK15*$M15,"")</f>
        <v>0</v>
      </c>
      <c r="AM15" s="39"/>
      <c r="AN15" s="72">
        <f t="shared" ref="AN15:AN46" si="8">IF($K15&lt;=$F$15,$F$117*$F$35/100,"")</f>
        <v>0</v>
      </c>
      <c r="AO15" s="72">
        <f>IF(ISNUMBER(AN15),AN15*$M15,"")</f>
        <v>0</v>
      </c>
      <c r="AP15" s="39"/>
      <c r="AQ15" s="72">
        <f t="shared" ref="AQ15:AQ46" si="9">IF($K15&lt;=$F$15,SUM(AH15,AK15,AN15)*($F$36/100),"")</f>
        <v>0</v>
      </c>
      <c r="AR15" s="72">
        <f>IF(ISNUMBER(AQ15),AQ15*$M15,"")</f>
        <v>0</v>
      </c>
      <c r="AS15" s="39"/>
      <c r="AT15" s="40">
        <f>IF($K15&lt;=$F$15,IF($F$40&lt;&gt;"",$F$40/1000,IF(ISERROR(VLOOKUP($F$3&amp;IF($G$4&lt;&gt;"",$G$4,"")&amp;IF($F$43&lt;&gt;"","_"&amp;$F$43,""),'表3）燃料価格'!$AF$9:$AG$25,2,0)),0,VLOOKUP($I15,'表3）燃料価格'!$A$6:$U$66,VLOOKUP($F$3&amp;IF($G$4&lt;&gt;"",$G$4,"")&amp;IF($F$43&lt;&gt;"","_"&amp;$F$43,""),'表3）燃料価格'!$AF$9:$AG$25,2,0)+VLOOKUP($F$41,'表3）燃料価格'!$AF$28:$AG$29,2,0),0)*IF($F$43="需要地価格",1,$F$8/$F$141))),"")</f>
        <v>0</v>
      </c>
      <c r="AU15" s="39"/>
      <c r="AV15" s="72">
        <f t="shared" ref="AV15:AV46" si="10">IF($K15&lt;=$F$15,($AT15+$F$142)*$F$137,"")</f>
        <v>0</v>
      </c>
      <c r="AW15" s="72">
        <f>IF(ISNUMBER(AV15),AV15*$M15,"")</f>
        <v>0</v>
      </c>
      <c r="AX15" s="39"/>
      <c r="AY15" s="40">
        <f>IF(ISERROR(IF($K15&lt;=$F$15,VLOOKUP($I15,'表4）CO2価格'!$A$7:$E$67,VLOOKUP($F$48,'表4）CO2価格'!$H$10:$I$12,2,0),0)*$F$8/1000,"")),0,IF($K15&lt;=$F$15,VLOOKUP($I15,'表4）CO2価格'!$A$7:$E$67,VLOOKUP($F$48,'表4）CO2価格'!$H$10:$I$12,2,0),0)*$F$8/1000,""))</f>
        <v>0</v>
      </c>
      <c r="AZ15" s="39"/>
      <c r="BA15" s="42">
        <f t="shared" ref="BA15:BA46" si="11">IF($K15&lt;=$F$15,$F$145*AY15,"")</f>
        <v>0</v>
      </c>
      <c r="BB15" s="72">
        <f>IF(ISNUMBER(BA15),BA15*$M15,"")</f>
        <v>0</v>
      </c>
      <c r="BC15" s="39"/>
      <c r="BD15" s="72">
        <f t="shared" ref="BD15:BD46" si="12">IF($K15&lt;=$F$15,($AT15+$F$152)*$F$151,"")</f>
        <v>0</v>
      </c>
      <c r="BE15" s="72">
        <f>IF(ISNUMBER(BD15),BD15*$M15,"")</f>
        <v>0</v>
      </c>
      <c r="BF15" s="39"/>
      <c r="BG15" s="42">
        <f t="shared" ref="BG15:BG46" si="13">IF($K15&lt;=$F$15,$F$153*AY15,"")</f>
        <v>0</v>
      </c>
      <c r="BH15" s="72">
        <f>IF(ISNUMBER(BG15),BG15*$M15,"")</f>
        <v>0</v>
      </c>
      <c r="BI15" s="39"/>
      <c r="BJ15" s="40">
        <f>IF(ISNUMBER($F$16),IF($K15&lt;=$F$16+$F$28,1/(1+($F$17/100))^K15,""),"")</f>
        <v>0.90909090909090906</v>
      </c>
      <c r="BK15" s="157">
        <f>IF(ISNUMBER($F$16),IF($K15&lt;=$F$16+$F$28,IF($K15&lt;=$F$16,SUM(Y15,AB15,AE15,AH15,AK15,AN15,AQ15,AV15,BA15,BD15,BG15),$F$27/$F$28*10^8)*BJ15,""),"")</f>
        <v>8113000000</v>
      </c>
      <c r="BL15" s="157">
        <f t="shared" ref="BL15:BL78" si="14">IF(AND(ISNUMBER(BJ15),$K15&lt;=$F$16),BQ15*BJ15,"")</f>
        <v>925374545.4545455</v>
      </c>
      <c r="BM15" s="72"/>
      <c r="BN15" s="72">
        <f>IF(AND(ISNUMBER($F$16),$K15&lt;=$F$16),BQ15*($O$15+$BK$116)/$BL$116,"")</f>
        <v>29152219463.963634</v>
      </c>
      <c r="BO15" s="72">
        <f>IF(ISNUMBER(BN15),BN15*$M15,"")</f>
        <v>28303125693.168579</v>
      </c>
      <c r="BP15" s="39"/>
      <c r="BQ15" s="72">
        <f t="shared" ref="BQ15:BQ46" si="15">IF($K15&lt;=$F$15,$F$134,"")</f>
        <v>1017912000.0000001</v>
      </c>
      <c r="BR15" s="72">
        <f>IF(ISNUMBER(BQ15),BQ15*$M15,"")</f>
        <v>988264077.66990304</v>
      </c>
    </row>
    <row r="16" spans="1:70" x14ac:dyDescent="0.15">
      <c r="C16" s="184" t="s">
        <v>107</v>
      </c>
      <c r="F16" s="474">
        <f>IF(ISERROR(VLOOKUP(F3&amp;IF(G4&lt;&gt;"","_"&amp;G4,""),'表7）買取期間・IRR'!$A$3:$A$10,1,0)),"",VLOOKUP(F3&amp;IF(G4&lt;&gt;"","_"&amp;G4,""),'表7）買取期間・IRR'!$A$3:$C$10,IF(F7=2030,3,IF(F7=2020,3,IF(F7=2014,2,"-"))),0))</f>
        <v>20</v>
      </c>
      <c r="G16" s="84" t="s">
        <v>556</v>
      </c>
      <c r="I16" s="457">
        <f>I15+1</f>
        <v>2031</v>
      </c>
      <c r="J16" s="71"/>
      <c r="K16" s="71">
        <f>IF(I16&lt;&gt;"",K15+1,"")</f>
        <v>2</v>
      </c>
      <c r="L16" s="71"/>
      <c r="M16" s="7">
        <f t="shared" si="0"/>
        <v>0.94259590913375435</v>
      </c>
      <c r="N16" s="71"/>
      <c r="O16" s="10">
        <f t="shared" ref="O16:O79" si="16">IF(K16&lt;=$F$15,O15-V15,"")</f>
        <v>151364850000</v>
      </c>
      <c r="P16" s="29">
        <f t="shared" si="1"/>
        <v>0.14699999999999999</v>
      </c>
      <c r="Q16" s="71"/>
      <c r="R16" s="10">
        <f t="shared" ref="R16:R47" si="17">IF($K16&lt;=$F$15,MAX($F$117*5%,R15*$F$129),"")</f>
        <v>154971727514.83554</v>
      </c>
      <c r="S16" s="71"/>
      <c r="T16" s="10">
        <f t="shared" ref="T16:T79" si="18">IF(ISNUMBER(R16),ROUNDDOWN(R16,-3),"")</f>
        <v>154971727000</v>
      </c>
      <c r="U16" s="71"/>
      <c r="V16" s="10">
        <f t="shared" si="2"/>
        <v>22250632950</v>
      </c>
      <c r="W16" s="10">
        <f t="shared" ref="W16:W79" si="19">IF(ISNUMBER(V16),V16*$M16,"")</f>
        <v>20973355594.306721</v>
      </c>
      <c r="X16" s="71"/>
      <c r="Y16" s="10">
        <f t="shared" si="3"/>
        <v>2169604100</v>
      </c>
      <c r="Z16" s="10">
        <f t="shared" ref="Z16:Z79" si="20">IF(ISNUMBER(Y16),Y16*$M16,"")</f>
        <v>2045059949.0998209</v>
      </c>
      <c r="AA16" s="71"/>
      <c r="AB16" s="10">
        <f t="shared" si="4"/>
        <v>0</v>
      </c>
      <c r="AC16" s="10">
        <f t="shared" ref="AC16:AC79" si="21">IF(ISNUMBER(AB16),AB16*$M16,"")</f>
        <v>0</v>
      </c>
      <c r="AD16" s="71"/>
      <c r="AE16" s="10">
        <f t="shared" si="5"/>
        <v>0</v>
      </c>
      <c r="AF16" s="10">
        <f t="shared" ref="AF16:AF79" si="22">IF(ISNUMBER(AE16),AE16*$M16,"")</f>
        <v>0</v>
      </c>
      <c r="AG16" s="71"/>
      <c r="AH16" s="10">
        <f t="shared" si="6"/>
        <v>6440000000</v>
      </c>
      <c r="AI16" s="10">
        <f t="shared" ref="AI16:AI79" si="23">IF(ISNUMBER(AH16),AH16*$M16,"")</f>
        <v>6070317654.8213778</v>
      </c>
      <c r="AJ16" s="71"/>
      <c r="AK16" s="10">
        <f t="shared" si="7"/>
        <v>0</v>
      </c>
      <c r="AL16" s="10">
        <f t="shared" ref="AL16:AL79" si="24">IF(ISNUMBER(AK16),AK16*$M16,"")</f>
        <v>0</v>
      </c>
      <c r="AM16" s="71"/>
      <c r="AN16" s="10">
        <f t="shared" si="8"/>
        <v>0</v>
      </c>
      <c r="AO16" s="10">
        <f t="shared" ref="AO16:AO79" si="25">IF(ISNUMBER(AN16),AN16*$M16,"")</f>
        <v>0</v>
      </c>
      <c r="AP16" s="71"/>
      <c r="AQ16" s="10">
        <f t="shared" si="9"/>
        <v>0</v>
      </c>
      <c r="AR16" s="10">
        <f t="shared" ref="AR16:AR79" si="26">IF(ISNUMBER(AQ16),AQ16*$M16,"")</f>
        <v>0</v>
      </c>
      <c r="AS16" s="71"/>
      <c r="AT16" s="7">
        <f>IF($K16&lt;=$F$15,IF($F$40&lt;&gt;"",$F$40/1000,IF(ISERROR(VLOOKUP($F$3&amp;IF($G$4&lt;&gt;"",$G$4,"")&amp;IF($F$43&lt;&gt;"","_"&amp;$F$43,""),'表3）燃料価格'!$AF$9:$AG$25,2,0)),0,VLOOKUP($I16,'表3）燃料価格'!$A$6:$U$66,VLOOKUP($F$3&amp;IF($G$4&lt;&gt;"",$G$4,"")&amp;IF($F$43&lt;&gt;"","_"&amp;$F$43,""),'表3）燃料価格'!$AF$9:$AG$25,2,0)+VLOOKUP($F$41,'表3）燃料価格'!$AF$28:$AG$29,2,0),0)*IF($F$43="需要地価格",1,$F$8/$F$141))),"")</f>
        <v>0</v>
      </c>
      <c r="AU16" s="71"/>
      <c r="AV16" s="10">
        <f t="shared" si="10"/>
        <v>0</v>
      </c>
      <c r="AW16" s="10">
        <f t="shared" ref="AW16:AW79" si="27">IF(ISNUMBER(AV16),AV16*$M16,"")</f>
        <v>0</v>
      </c>
      <c r="AX16" s="71"/>
      <c r="AY16" s="7">
        <f>IF(ISERROR(IF($K16&lt;=$F$15,VLOOKUP($I16,'表4）CO2価格'!$A$7:$E$67,VLOOKUP($F$48,'表4）CO2価格'!$H$10:$I$12,2,0),0)*$F$8/1000,"")),0,IF($K16&lt;=$F$15,VLOOKUP($I16,'表4）CO2価格'!$A$7:$E$67,VLOOKUP($F$48,'表4）CO2価格'!$H$10:$I$12,2,0),0)*$F$8/1000,""))</f>
        <v>0</v>
      </c>
      <c r="AZ16" s="71"/>
      <c r="BA16" s="11">
        <f t="shared" si="11"/>
        <v>0</v>
      </c>
      <c r="BB16" s="10">
        <f t="shared" ref="BB16:BB79" si="28">IF(ISNUMBER(BA16),BA16*$M16,"")</f>
        <v>0</v>
      </c>
      <c r="BC16" s="71"/>
      <c r="BD16" s="10">
        <f t="shared" si="12"/>
        <v>0</v>
      </c>
      <c r="BE16" s="10">
        <f t="shared" ref="BE16:BE79" si="29">IF(ISNUMBER(BD16),BD16*$M16,"")</f>
        <v>0</v>
      </c>
      <c r="BF16" s="71"/>
      <c r="BG16" s="11">
        <f t="shared" si="13"/>
        <v>0</v>
      </c>
      <c r="BH16" s="10">
        <f t="shared" ref="BH16:BH79" si="30">IF(ISNUMBER(BG16),BG16*$M16,"")</f>
        <v>0</v>
      </c>
      <c r="BJ16" s="7">
        <f t="shared" ref="BJ16:BJ79" si="31">IF(ISNUMBER($F$16),IF($K16&lt;=$F$16+$F$28,1/(1+($F$17/100))^K16,""),"")</f>
        <v>0.82644628099173545</v>
      </c>
      <c r="BK16" s="158">
        <f t="shared" ref="BK16:BK79" si="32">IF(ISNUMBER($F$16),IF($K16&lt;=$F$16+$F$28,IF($K16&lt;=$F$16,SUM(Y16,AB16,AE16,AH16,AK16,AN16,AQ16,AV16,BA16,BD16,BG16),$F$27/$F$28*10^8)*BJ16,""),"")</f>
        <v>7115375289.2561979</v>
      </c>
      <c r="BL16" s="158">
        <f t="shared" si="14"/>
        <v>841249586.77685952</v>
      </c>
      <c r="BM16" s="10"/>
      <c r="BN16" s="10">
        <f t="shared" ref="BN16:BN79" si="33">IF(AND(ISNUMBER($F$16),$K16&lt;=$F$16),BQ16*($O$15+$BK$116)/$BL$116,"")</f>
        <v>29152219463.963634</v>
      </c>
      <c r="BO16" s="10">
        <f t="shared" ref="BO16:BO79" si="34">IF(ISNUMBER(BN16),BN16*$M16,"")</f>
        <v>27478762808.901531</v>
      </c>
      <c r="BQ16" s="10">
        <f t="shared" si="15"/>
        <v>1017912000.0000001</v>
      </c>
      <c r="BR16" s="10">
        <f t="shared" ref="BR16:BR79" si="35">IF(ISNUMBER(BQ16),BQ16*$M16,"")</f>
        <v>959479687.05815828</v>
      </c>
    </row>
    <row r="17" spans="3:70" x14ac:dyDescent="0.15">
      <c r="C17" s="71" t="s">
        <v>109</v>
      </c>
      <c r="F17" s="476">
        <f>IF(ISERROR(VLOOKUP(F3&amp;IF(G4&lt;&gt;"","_"&amp;G4,""),'表7）買取期間・IRR'!$A$14:$C$21,1,0)),"",VLOOKUP(F3&amp;IF(G4&lt;&gt;"","_"&amp;G4,""),'表7）買取期間・IRR'!$A$14:$C$21,IF(F7=2030,3,IF(F7=2020,2,"-")),0))</f>
        <v>10</v>
      </c>
      <c r="G17" s="84" t="s">
        <v>549</v>
      </c>
      <c r="I17" s="38">
        <f t="shared" ref="I17:I80" si="36">I16+1</f>
        <v>2032</v>
      </c>
      <c r="J17" s="39"/>
      <c r="K17" s="39">
        <f t="shared" ref="K17:K80" si="37">IF(I17&lt;&gt;"",K16+1,"")</f>
        <v>3</v>
      </c>
      <c r="L17" s="39"/>
      <c r="M17" s="40">
        <f t="shared" si="0"/>
        <v>0.91514165935315961</v>
      </c>
      <c r="N17" s="39"/>
      <c r="O17" s="72">
        <f t="shared" si="16"/>
        <v>129114217050</v>
      </c>
      <c r="P17" s="41">
        <f t="shared" si="1"/>
        <v>0.14699999999999999</v>
      </c>
      <c r="Q17" s="39"/>
      <c r="R17" s="72">
        <f t="shared" si="17"/>
        <v>135340864068.37102</v>
      </c>
      <c r="S17" s="39"/>
      <c r="T17" s="72">
        <f t="shared" si="18"/>
        <v>135340864000</v>
      </c>
      <c r="U17" s="39"/>
      <c r="V17" s="72">
        <f t="shared" si="2"/>
        <v>18979789906.349998</v>
      </c>
      <c r="W17" s="72">
        <f t="shared" si="19"/>
        <v>17369196429.071487</v>
      </c>
      <c r="X17" s="39"/>
      <c r="Y17" s="72">
        <f t="shared" si="3"/>
        <v>1894772000</v>
      </c>
      <c r="Z17" s="72">
        <f t="shared" si="20"/>
        <v>1733984792.175905</v>
      </c>
      <c r="AA17" s="39"/>
      <c r="AB17" s="72">
        <f t="shared" si="4"/>
        <v>0</v>
      </c>
      <c r="AC17" s="72">
        <f t="shared" si="21"/>
        <v>0</v>
      </c>
      <c r="AD17" s="39"/>
      <c r="AE17" s="72">
        <f t="shared" si="5"/>
        <v>0</v>
      </c>
      <c r="AF17" s="72">
        <f t="shared" si="22"/>
        <v>0</v>
      </c>
      <c r="AG17" s="39"/>
      <c r="AH17" s="72">
        <f t="shared" si="6"/>
        <v>6440000000</v>
      </c>
      <c r="AI17" s="72">
        <f t="shared" si="23"/>
        <v>5893512286.2343483</v>
      </c>
      <c r="AJ17" s="39"/>
      <c r="AK17" s="72">
        <f t="shared" si="7"/>
        <v>0</v>
      </c>
      <c r="AL17" s="72">
        <f t="shared" si="24"/>
        <v>0</v>
      </c>
      <c r="AM17" s="39"/>
      <c r="AN17" s="72">
        <f t="shared" si="8"/>
        <v>0</v>
      </c>
      <c r="AO17" s="72">
        <f t="shared" si="25"/>
        <v>0</v>
      </c>
      <c r="AP17" s="39"/>
      <c r="AQ17" s="72">
        <f t="shared" si="9"/>
        <v>0</v>
      </c>
      <c r="AR17" s="72">
        <f t="shared" si="26"/>
        <v>0</v>
      </c>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0</v>
      </c>
      <c r="AU17" s="39"/>
      <c r="AV17" s="72">
        <f t="shared" si="10"/>
        <v>0</v>
      </c>
      <c r="AW17" s="72">
        <f t="shared" si="27"/>
        <v>0</v>
      </c>
      <c r="AX17" s="39"/>
      <c r="AY17" s="40">
        <f>IF(ISERROR(IF($K17&lt;=$F$15,VLOOKUP($I17,'表4）CO2価格'!$A$7:$E$67,VLOOKUP($F$48,'表4）CO2価格'!$H$10:$I$12,2,0),0)*$F$8/1000,"")),0,IF($K17&lt;=$F$15,VLOOKUP($I17,'表4）CO2価格'!$A$7:$E$67,VLOOKUP($F$48,'表4）CO2価格'!$H$10:$I$12,2,0),0)*$F$8/1000,""))</f>
        <v>0</v>
      </c>
      <c r="AZ17" s="39"/>
      <c r="BA17" s="42">
        <f t="shared" si="11"/>
        <v>0</v>
      </c>
      <c r="BB17" s="72">
        <f t="shared" si="28"/>
        <v>0</v>
      </c>
      <c r="BC17" s="39"/>
      <c r="BD17" s="72">
        <f t="shared" si="12"/>
        <v>0</v>
      </c>
      <c r="BE17" s="72">
        <f t="shared" si="29"/>
        <v>0</v>
      </c>
      <c r="BF17" s="39"/>
      <c r="BG17" s="42">
        <f t="shared" si="13"/>
        <v>0</v>
      </c>
      <c r="BH17" s="72">
        <f t="shared" si="30"/>
        <v>0</v>
      </c>
      <c r="BI17" s="39"/>
      <c r="BJ17" s="40">
        <f t="shared" si="31"/>
        <v>0.75131480090157754</v>
      </c>
      <c r="BK17" s="157">
        <f t="shared" si="32"/>
        <v>6262037565.7400436</v>
      </c>
      <c r="BL17" s="157">
        <f t="shared" si="14"/>
        <v>764772351.61532664</v>
      </c>
      <c r="BM17" s="72"/>
      <c r="BN17" s="72">
        <f t="shared" si="33"/>
        <v>29152219463.963634</v>
      </c>
      <c r="BO17" s="72">
        <f t="shared" si="34"/>
        <v>26678410494.079159</v>
      </c>
      <c r="BP17" s="39"/>
      <c r="BQ17" s="72">
        <f t="shared" si="15"/>
        <v>1017912000.0000001</v>
      </c>
      <c r="BR17" s="72">
        <f t="shared" si="35"/>
        <v>931533676.75549352</v>
      </c>
    </row>
    <row r="18" spans="3:70" x14ac:dyDescent="0.15">
      <c r="I18" s="457">
        <f t="shared" si="36"/>
        <v>2033</v>
      </c>
      <c r="J18" s="71"/>
      <c r="K18" s="71">
        <f t="shared" si="37"/>
        <v>4</v>
      </c>
      <c r="L18" s="71"/>
      <c r="M18" s="7">
        <f t="shared" si="0"/>
        <v>0.888487047915689</v>
      </c>
      <c r="N18" s="71"/>
      <c r="O18" s="10">
        <f t="shared" si="16"/>
        <v>110134427143.64999</v>
      </c>
      <c r="P18" s="29">
        <f t="shared" si="1"/>
        <v>0.14699999999999999</v>
      </c>
      <c r="Q18" s="71"/>
      <c r="R18" s="10">
        <f t="shared" si="17"/>
        <v>118196717430.40851</v>
      </c>
      <c r="S18" s="71"/>
      <c r="T18" s="10">
        <f t="shared" si="18"/>
        <v>118196717000</v>
      </c>
      <c r="U18" s="71"/>
      <c r="V18" s="10">
        <f t="shared" si="2"/>
        <v>16189760790.116549</v>
      </c>
      <c r="W18" s="10">
        <f t="shared" si="19"/>
        <v>14384392770.871824</v>
      </c>
      <c r="X18" s="71"/>
      <c r="Y18" s="10">
        <f t="shared" si="3"/>
        <v>1654754000</v>
      </c>
      <c r="Z18" s="10">
        <f t="shared" si="20"/>
        <v>1470227496.4866781</v>
      </c>
      <c r="AA18" s="71"/>
      <c r="AB18" s="10">
        <f t="shared" si="4"/>
        <v>0</v>
      </c>
      <c r="AC18" s="10">
        <f t="shared" si="21"/>
        <v>0</v>
      </c>
      <c r="AD18" s="71"/>
      <c r="AE18" s="10">
        <f t="shared" si="5"/>
        <v>0</v>
      </c>
      <c r="AF18" s="10">
        <f t="shared" si="22"/>
        <v>0</v>
      </c>
      <c r="AG18" s="71"/>
      <c r="AH18" s="10">
        <f t="shared" si="6"/>
        <v>6440000000</v>
      </c>
      <c r="AI18" s="10">
        <f t="shared" si="23"/>
        <v>5721856588.5770369</v>
      </c>
      <c r="AJ18" s="71"/>
      <c r="AK18" s="10">
        <f t="shared" si="7"/>
        <v>0</v>
      </c>
      <c r="AL18" s="10">
        <f t="shared" si="24"/>
        <v>0</v>
      </c>
      <c r="AM18" s="71"/>
      <c r="AN18" s="10">
        <f t="shared" si="8"/>
        <v>0</v>
      </c>
      <c r="AO18" s="10">
        <f t="shared" si="25"/>
        <v>0</v>
      </c>
      <c r="AP18" s="71"/>
      <c r="AQ18" s="10">
        <f t="shared" si="9"/>
        <v>0</v>
      </c>
      <c r="AR18" s="10">
        <f t="shared" si="26"/>
        <v>0</v>
      </c>
      <c r="AS18" s="71"/>
      <c r="AT18" s="7">
        <f>IF($K18&lt;=$F$15,IF($F$40&lt;&gt;"",$F$40/1000,IF(ISERROR(VLOOKUP($F$3&amp;IF($G$4&lt;&gt;"",$G$4,"")&amp;IF($F$43&lt;&gt;"","_"&amp;$F$43,""),'表3）燃料価格'!$AF$9:$AG$25,2,0)),0,VLOOKUP($I18,'表3）燃料価格'!$A$6:$U$66,VLOOKUP($F$3&amp;IF($G$4&lt;&gt;"",$G$4,"")&amp;IF($F$43&lt;&gt;"","_"&amp;$F$43,""),'表3）燃料価格'!$AF$9:$AG$25,2,0)+VLOOKUP($F$41,'表3）燃料価格'!$AF$28:$AG$29,2,0),0)*IF($F$43="需要地価格",1,$F$8/$F$141))),"")</f>
        <v>0</v>
      </c>
      <c r="AU18" s="71"/>
      <c r="AV18" s="10">
        <f t="shared" si="10"/>
        <v>0</v>
      </c>
      <c r="AW18" s="10">
        <f t="shared" si="27"/>
        <v>0</v>
      </c>
      <c r="AX18" s="71"/>
      <c r="AY18" s="7">
        <f>IF(ISERROR(IF($K18&lt;=$F$15,VLOOKUP($I18,'表4）CO2価格'!$A$7:$E$67,VLOOKUP($F$48,'表4）CO2価格'!$H$10:$I$12,2,0),0)*$F$8/1000,"")),0,IF($K18&lt;=$F$15,VLOOKUP($I18,'表4）CO2価格'!$A$7:$E$67,VLOOKUP($F$48,'表4）CO2価格'!$H$10:$I$12,2,0),0)*$F$8/1000,""))</f>
        <v>0</v>
      </c>
      <c r="AZ18" s="71"/>
      <c r="BA18" s="11">
        <f t="shared" si="11"/>
        <v>0</v>
      </c>
      <c r="BB18" s="10">
        <f t="shared" si="28"/>
        <v>0</v>
      </c>
      <c r="BC18" s="71"/>
      <c r="BD18" s="10">
        <f t="shared" si="12"/>
        <v>0</v>
      </c>
      <c r="BE18" s="10">
        <f t="shared" si="29"/>
        <v>0</v>
      </c>
      <c r="BF18" s="71"/>
      <c r="BG18" s="11">
        <f t="shared" si="13"/>
        <v>0</v>
      </c>
      <c r="BH18" s="10">
        <f t="shared" si="30"/>
        <v>0</v>
      </c>
      <c r="BJ18" s="7">
        <f t="shared" si="31"/>
        <v>0.68301345536507052</v>
      </c>
      <c r="BK18" s="158">
        <f t="shared" si="32"/>
        <v>5528825899.8702259</v>
      </c>
      <c r="BL18" s="158">
        <f t="shared" si="14"/>
        <v>695247592.37756979</v>
      </c>
      <c r="BM18" s="10"/>
      <c r="BN18" s="10">
        <f t="shared" si="33"/>
        <v>29152219463.963634</v>
      </c>
      <c r="BO18" s="10">
        <f t="shared" si="34"/>
        <v>25901369411.727341</v>
      </c>
      <c r="BQ18" s="10">
        <f t="shared" si="15"/>
        <v>1017912000.0000001</v>
      </c>
      <c r="BR18" s="10">
        <f t="shared" si="35"/>
        <v>904401627.91795492</v>
      </c>
    </row>
    <row r="19" spans="3:70" x14ac:dyDescent="0.15">
      <c r="C19" s="4" t="s">
        <v>557</v>
      </c>
      <c r="D19" s="100"/>
      <c r="E19" s="100"/>
      <c r="F19" s="4"/>
      <c r="G19" s="100"/>
      <c r="I19" s="38">
        <f t="shared" si="36"/>
        <v>2034</v>
      </c>
      <c r="J19" s="39"/>
      <c r="K19" s="39">
        <f t="shared" si="37"/>
        <v>5</v>
      </c>
      <c r="L19" s="39"/>
      <c r="M19" s="40">
        <f t="shared" si="0"/>
        <v>0.86260878438416411</v>
      </c>
      <c r="N19" s="39"/>
      <c r="O19" s="72">
        <f t="shared" si="16"/>
        <v>93944666353.533447</v>
      </c>
      <c r="P19" s="41">
        <f t="shared" si="1"/>
        <v>0.14699999999999999</v>
      </c>
      <c r="Q19" s="39"/>
      <c r="R19" s="72">
        <f t="shared" si="17"/>
        <v>103224285639.74799</v>
      </c>
      <c r="S19" s="39"/>
      <c r="T19" s="72">
        <f t="shared" si="18"/>
        <v>103224285000</v>
      </c>
      <c r="U19" s="39"/>
      <c r="V19" s="72">
        <f t="shared" si="2"/>
        <v>13809865953.969416</v>
      </c>
      <c r="W19" s="72">
        <f t="shared" si="19"/>
        <v>11912511683.061813</v>
      </c>
      <c r="X19" s="39"/>
      <c r="Y19" s="72">
        <f t="shared" si="3"/>
        <v>1445139900</v>
      </c>
      <c r="Z19" s="72">
        <f t="shared" si="20"/>
        <v>1246590372.4040525</v>
      </c>
      <c r="AA19" s="39"/>
      <c r="AB19" s="72">
        <f t="shared" si="4"/>
        <v>0</v>
      </c>
      <c r="AC19" s="72">
        <f t="shared" si="21"/>
        <v>0</v>
      </c>
      <c r="AD19" s="39"/>
      <c r="AE19" s="72">
        <f t="shared" si="5"/>
        <v>0</v>
      </c>
      <c r="AF19" s="72">
        <f t="shared" si="22"/>
        <v>0</v>
      </c>
      <c r="AG19" s="39"/>
      <c r="AH19" s="72">
        <f t="shared" si="6"/>
        <v>6440000000</v>
      </c>
      <c r="AI19" s="72">
        <f t="shared" si="23"/>
        <v>5555200571.4340172</v>
      </c>
      <c r="AJ19" s="39"/>
      <c r="AK19" s="72">
        <f t="shared" si="7"/>
        <v>0</v>
      </c>
      <c r="AL19" s="72">
        <f t="shared" si="24"/>
        <v>0</v>
      </c>
      <c r="AM19" s="39"/>
      <c r="AN19" s="72">
        <f t="shared" si="8"/>
        <v>0</v>
      </c>
      <c r="AO19" s="72">
        <f t="shared" si="25"/>
        <v>0</v>
      </c>
      <c r="AP19" s="39"/>
      <c r="AQ19" s="72">
        <f t="shared" si="9"/>
        <v>0</v>
      </c>
      <c r="AR19" s="72">
        <f t="shared" si="26"/>
        <v>0</v>
      </c>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0</v>
      </c>
      <c r="AU19" s="39"/>
      <c r="AV19" s="72">
        <f t="shared" si="10"/>
        <v>0</v>
      </c>
      <c r="AW19" s="72">
        <f t="shared" si="27"/>
        <v>0</v>
      </c>
      <c r="AX19" s="39"/>
      <c r="AY19" s="40">
        <f>IF(ISERROR(IF($K19&lt;=$F$15,VLOOKUP($I19,'表4）CO2価格'!$A$7:$E$67,VLOOKUP($F$48,'表4）CO2価格'!$H$10:$I$12,2,0),0)*$F$8/1000,"")),0,IF($K19&lt;=$F$15,VLOOKUP($I19,'表4）CO2価格'!$A$7:$E$67,VLOOKUP($F$48,'表4）CO2価格'!$H$10:$I$12,2,0),0)*$F$8/1000,""))</f>
        <v>0</v>
      </c>
      <c r="AZ19" s="39"/>
      <c r="BA19" s="42">
        <f t="shared" si="11"/>
        <v>0</v>
      </c>
      <c r="BB19" s="72">
        <f t="shared" si="28"/>
        <v>0</v>
      </c>
      <c r="BC19" s="39"/>
      <c r="BD19" s="72">
        <f t="shared" si="12"/>
        <v>0</v>
      </c>
      <c r="BE19" s="72">
        <f t="shared" si="29"/>
        <v>0</v>
      </c>
      <c r="BF19" s="39"/>
      <c r="BG19" s="42">
        <f t="shared" si="13"/>
        <v>0</v>
      </c>
      <c r="BH19" s="72">
        <f t="shared" si="30"/>
        <v>0</v>
      </c>
      <c r="BI19" s="39"/>
      <c r="BJ19" s="40">
        <f t="shared" si="31"/>
        <v>0.62092132305915493</v>
      </c>
      <c r="BK19" s="157">
        <f t="shared" si="32"/>
        <v>4896051499.2145329</v>
      </c>
      <c r="BL19" s="157">
        <f t="shared" si="14"/>
        <v>632043265.79779053</v>
      </c>
      <c r="BM19" s="72"/>
      <c r="BN19" s="72">
        <f t="shared" si="33"/>
        <v>29152219463.963634</v>
      </c>
      <c r="BO19" s="72">
        <f t="shared" si="34"/>
        <v>25146960593.910038</v>
      </c>
      <c r="BP19" s="39"/>
      <c r="BQ19" s="72">
        <f t="shared" si="15"/>
        <v>1017912000.0000001</v>
      </c>
      <c r="BR19" s="72">
        <f t="shared" si="35"/>
        <v>878059832.93005335</v>
      </c>
    </row>
    <row r="20" spans="3:70" x14ac:dyDescent="0.15">
      <c r="I20" s="457">
        <f t="shared" si="36"/>
        <v>2035</v>
      </c>
      <c r="J20" s="71"/>
      <c r="K20" s="71">
        <f t="shared" si="37"/>
        <v>6</v>
      </c>
      <c r="L20" s="71"/>
      <c r="M20" s="7">
        <f t="shared" si="0"/>
        <v>0.83748425668365445</v>
      </c>
      <c r="N20" s="71"/>
      <c r="O20" s="10">
        <f t="shared" si="16"/>
        <v>80134800399.564026</v>
      </c>
      <c r="P20" s="29">
        <f t="shared" si="1"/>
        <v>0.14699999999999999</v>
      </c>
      <c r="Q20" s="71"/>
      <c r="R20" s="10">
        <f t="shared" si="17"/>
        <v>90148469242.471558</v>
      </c>
      <c r="S20" s="71"/>
      <c r="T20" s="10">
        <f t="shared" si="18"/>
        <v>90148469000</v>
      </c>
      <c r="U20" s="71"/>
      <c r="V20" s="10">
        <f t="shared" si="2"/>
        <v>11779815658.73591</v>
      </c>
      <c r="W20" s="10">
        <f t="shared" si="19"/>
        <v>9865410160.8269176</v>
      </c>
      <c r="X20" s="71"/>
      <c r="Y20" s="10">
        <f t="shared" si="3"/>
        <v>1262078500</v>
      </c>
      <c r="Z20" s="10">
        <f t="shared" si="20"/>
        <v>1056970874.4489216</v>
      </c>
      <c r="AA20" s="71"/>
      <c r="AB20" s="10">
        <f t="shared" si="4"/>
        <v>0</v>
      </c>
      <c r="AC20" s="10">
        <f t="shared" si="21"/>
        <v>0</v>
      </c>
      <c r="AD20" s="71"/>
      <c r="AE20" s="10">
        <f t="shared" si="5"/>
        <v>0</v>
      </c>
      <c r="AF20" s="10">
        <f t="shared" si="22"/>
        <v>0</v>
      </c>
      <c r="AG20" s="71"/>
      <c r="AH20" s="10">
        <f t="shared" si="6"/>
        <v>6440000000</v>
      </c>
      <c r="AI20" s="10">
        <f t="shared" si="23"/>
        <v>5393398613.0427351</v>
      </c>
      <c r="AJ20" s="71"/>
      <c r="AK20" s="10">
        <f t="shared" si="7"/>
        <v>0</v>
      </c>
      <c r="AL20" s="10">
        <f t="shared" si="24"/>
        <v>0</v>
      </c>
      <c r="AM20" s="71"/>
      <c r="AN20" s="10">
        <f t="shared" si="8"/>
        <v>0</v>
      </c>
      <c r="AO20" s="10">
        <f t="shared" si="25"/>
        <v>0</v>
      </c>
      <c r="AP20" s="71"/>
      <c r="AQ20" s="10">
        <f t="shared" si="9"/>
        <v>0</v>
      </c>
      <c r="AR20" s="10">
        <f t="shared" si="26"/>
        <v>0</v>
      </c>
      <c r="AS20" s="71"/>
      <c r="AT20" s="7">
        <f>IF($K20&lt;=$F$15,IF($F$40&lt;&gt;"",$F$40/1000,IF(ISERROR(VLOOKUP($F$3&amp;IF($G$4&lt;&gt;"",$G$4,"")&amp;IF($F$43&lt;&gt;"","_"&amp;$F$43,""),'表3）燃料価格'!$AF$9:$AG$25,2,0)),0,VLOOKUP($I20,'表3）燃料価格'!$A$6:$U$66,VLOOKUP($F$3&amp;IF($G$4&lt;&gt;"",$G$4,"")&amp;IF($F$43&lt;&gt;"","_"&amp;$F$43,""),'表3）燃料価格'!$AF$9:$AG$25,2,0)+VLOOKUP($F$41,'表3）燃料価格'!$AF$28:$AG$29,2,0),0)*IF($F$43="需要地価格",1,$F$8/$F$141))),"")</f>
        <v>0</v>
      </c>
      <c r="AU20" s="71"/>
      <c r="AV20" s="10">
        <f t="shared" si="10"/>
        <v>0</v>
      </c>
      <c r="AW20" s="10">
        <f t="shared" si="27"/>
        <v>0</v>
      </c>
      <c r="AX20" s="71"/>
      <c r="AY20" s="7">
        <f>IF(ISERROR(IF($K20&lt;=$F$15,VLOOKUP($I20,'表4）CO2価格'!$A$7:$E$67,VLOOKUP($F$48,'表4）CO2価格'!$H$10:$I$12,2,0),0)*$F$8/1000,"")),0,IF($K20&lt;=$F$15,VLOOKUP($I20,'表4）CO2価格'!$A$7:$E$67,VLOOKUP($F$48,'表4）CO2価格'!$H$10:$I$12,2,0),0)*$F$8/1000,""))</f>
        <v>0</v>
      </c>
      <c r="AZ20" s="71"/>
      <c r="BA20" s="11">
        <f t="shared" si="11"/>
        <v>0</v>
      </c>
      <c r="BB20" s="10">
        <f t="shared" si="28"/>
        <v>0</v>
      </c>
      <c r="BC20" s="71"/>
      <c r="BD20" s="10">
        <f t="shared" si="12"/>
        <v>0</v>
      </c>
      <c r="BE20" s="10">
        <f t="shared" si="29"/>
        <v>0</v>
      </c>
      <c r="BF20" s="71"/>
      <c r="BG20" s="11">
        <f t="shared" si="13"/>
        <v>0</v>
      </c>
      <c r="BH20" s="10">
        <f t="shared" si="30"/>
        <v>0</v>
      </c>
      <c r="BJ20" s="7">
        <f t="shared" si="31"/>
        <v>0.56447393005377722</v>
      </c>
      <c r="BK20" s="158">
        <f t="shared" si="32"/>
        <v>4347622520.4777012</v>
      </c>
      <c r="BL20" s="158">
        <f t="shared" si="14"/>
        <v>574584787.08890057</v>
      </c>
      <c r="BM20" s="10"/>
      <c r="BN20" s="10">
        <f t="shared" si="33"/>
        <v>29152219463.963634</v>
      </c>
      <c r="BO20" s="10">
        <f t="shared" si="34"/>
        <v>24414524848.456348</v>
      </c>
      <c r="BQ20" s="10">
        <f t="shared" si="15"/>
        <v>1017912000.0000001</v>
      </c>
      <c r="BR20" s="10">
        <f t="shared" si="35"/>
        <v>852485274.68937218</v>
      </c>
    </row>
    <row r="21" spans="3:70" x14ac:dyDescent="0.15">
      <c r="D21" s="84" t="s">
        <v>558</v>
      </c>
      <c r="F21" s="477">
        <v>50.7</v>
      </c>
      <c r="G21" s="84" t="s">
        <v>559</v>
      </c>
      <c r="I21" s="38">
        <f t="shared" si="36"/>
        <v>2036</v>
      </c>
      <c r="J21" s="39"/>
      <c r="K21" s="39">
        <f t="shared" si="37"/>
        <v>7</v>
      </c>
      <c r="L21" s="39"/>
      <c r="M21" s="40">
        <f t="shared" si="0"/>
        <v>0.81309151134335378</v>
      </c>
      <c r="N21" s="39"/>
      <c r="O21" s="72">
        <f t="shared" si="16"/>
        <v>68354984740.828117</v>
      </c>
      <c r="P21" s="41">
        <f t="shared" si="1"/>
        <v>0.14699999999999999</v>
      </c>
      <c r="Q21" s="39"/>
      <c r="R21" s="72">
        <f t="shared" si="17"/>
        <v>78729016688.215469</v>
      </c>
      <c r="S21" s="39"/>
      <c r="T21" s="72">
        <f t="shared" si="18"/>
        <v>78729016000</v>
      </c>
      <c r="U21" s="39"/>
      <c r="V21" s="72">
        <f t="shared" si="2"/>
        <v>10048182756.901733</v>
      </c>
      <c r="W21" s="72">
        <f t="shared" si="19"/>
        <v>8170092104.0634575</v>
      </c>
      <c r="X21" s="39"/>
      <c r="Y21" s="72">
        <f t="shared" si="3"/>
        <v>1102206200</v>
      </c>
      <c r="Z21" s="72">
        <f t="shared" si="20"/>
        <v>896194504.97001481</v>
      </c>
      <c r="AA21" s="39"/>
      <c r="AB21" s="72">
        <f t="shared" si="4"/>
        <v>0</v>
      </c>
      <c r="AC21" s="72">
        <f t="shared" si="21"/>
        <v>0</v>
      </c>
      <c r="AD21" s="39"/>
      <c r="AE21" s="72">
        <f t="shared" si="5"/>
        <v>0</v>
      </c>
      <c r="AF21" s="72">
        <f t="shared" si="22"/>
        <v>0</v>
      </c>
      <c r="AG21" s="39"/>
      <c r="AH21" s="72">
        <f t="shared" si="6"/>
        <v>6440000000</v>
      </c>
      <c r="AI21" s="72">
        <f t="shared" si="23"/>
        <v>5236309333.051198</v>
      </c>
      <c r="AJ21" s="39"/>
      <c r="AK21" s="72">
        <f t="shared" si="7"/>
        <v>0</v>
      </c>
      <c r="AL21" s="72">
        <f t="shared" si="24"/>
        <v>0</v>
      </c>
      <c r="AM21" s="39"/>
      <c r="AN21" s="72">
        <f t="shared" si="8"/>
        <v>0</v>
      </c>
      <c r="AO21" s="72">
        <f t="shared" si="25"/>
        <v>0</v>
      </c>
      <c r="AP21" s="39"/>
      <c r="AQ21" s="72">
        <f t="shared" si="9"/>
        <v>0</v>
      </c>
      <c r="AR21" s="72">
        <f t="shared" si="26"/>
        <v>0</v>
      </c>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0</v>
      </c>
      <c r="AU21" s="39"/>
      <c r="AV21" s="72">
        <f t="shared" si="10"/>
        <v>0</v>
      </c>
      <c r="AW21" s="72">
        <f t="shared" si="27"/>
        <v>0</v>
      </c>
      <c r="AX21" s="39"/>
      <c r="AY21" s="40">
        <f>IF(ISERROR(IF($K21&lt;=$F$15,VLOOKUP($I21,'表4）CO2価格'!$A$7:$E$67,VLOOKUP($F$48,'表4）CO2価格'!$H$10:$I$12,2,0),0)*$F$8/1000,"")),0,IF($K21&lt;=$F$15,VLOOKUP($I21,'表4）CO2価格'!$A$7:$E$67,VLOOKUP($F$48,'表4）CO2価格'!$H$10:$I$12,2,0),0)*$F$8/1000,""))</f>
        <v>0</v>
      </c>
      <c r="AZ21" s="39"/>
      <c r="BA21" s="42">
        <f t="shared" si="11"/>
        <v>0</v>
      </c>
      <c r="BB21" s="72">
        <f t="shared" si="28"/>
        <v>0</v>
      </c>
      <c r="BC21" s="39"/>
      <c r="BD21" s="72">
        <f t="shared" si="12"/>
        <v>0</v>
      </c>
      <c r="BE21" s="72">
        <f t="shared" si="29"/>
        <v>0</v>
      </c>
      <c r="BF21" s="39"/>
      <c r="BG21" s="42">
        <f t="shared" si="13"/>
        <v>0</v>
      </c>
      <c r="BH21" s="72">
        <f t="shared" si="30"/>
        <v>0</v>
      </c>
      <c r="BI21" s="39"/>
      <c r="BJ21" s="40">
        <f t="shared" si="31"/>
        <v>0.51315811823070645</v>
      </c>
      <c r="BK21" s="157">
        <f t="shared" si="32"/>
        <v>3870344340.8999672</v>
      </c>
      <c r="BL21" s="157">
        <f t="shared" si="14"/>
        <v>522349806.44445491</v>
      </c>
      <c r="BM21" s="72"/>
      <c r="BN21" s="72">
        <f t="shared" si="33"/>
        <v>29152219463.963634</v>
      </c>
      <c r="BO21" s="72">
        <f t="shared" si="34"/>
        <v>23703422182.967327</v>
      </c>
      <c r="BP21" s="39"/>
      <c r="BQ21" s="72">
        <f t="shared" si="15"/>
        <v>1017912000.0000001</v>
      </c>
      <c r="BR21" s="72">
        <f t="shared" si="35"/>
        <v>827655606.49453604</v>
      </c>
    </row>
    <row r="22" spans="3:70" ht="16.5" x14ac:dyDescent="0.15">
      <c r="D22" s="84" t="s">
        <v>560</v>
      </c>
      <c r="F22" s="478"/>
      <c r="G22" s="71" t="s">
        <v>561</v>
      </c>
      <c r="I22" s="457">
        <f t="shared" si="36"/>
        <v>2037</v>
      </c>
      <c r="J22" s="71"/>
      <c r="K22" s="71">
        <f t="shared" si="37"/>
        <v>8</v>
      </c>
      <c r="L22" s="71"/>
      <c r="M22" s="7">
        <f t="shared" si="0"/>
        <v>0.78940923431393573</v>
      </c>
      <c r="N22" s="71"/>
      <c r="O22" s="10">
        <f t="shared" si="16"/>
        <v>58306801983.926384</v>
      </c>
      <c r="P22" s="29">
        <f t="shared" si="1"/>
        <v>0.14699999999999999</v>
      </c>
      <c r="Q22" s="71"/>
      <c r="R22" s="10">
        <f t="shared" si="17"/>
        <v>68756110012.494049</v>
      </c>
      <c r="S22" s="71"/>
      <c r="T22" s="10">
        <f t="shared" si="18"/>
        <v>68756110000</v>
      </c>
      <c r="U22" s="71"/>
      <c r="V22" s="10">
        <f t="shared" si="2"/>
        <v>8571099891.6371784</v>
      </c>
      <c r="W22" s="10">
        <f t="shared" si="19"/>
        <v>6766105402.6855621</v>
      </c>
      <c r="X22" s="71"/>
      <c r="Y22" s="10">
        <f t="shared" si="3"/>
        <v>962585500</v>
      </c>
      <c r="Z22" s="10">
        <f t="shared" si="20"/>
        <v>759873882.51669693</v>
      </c>
      <c r="AA22" s="71"/>
      <c r="AB22" s="10">
        <f t="shared" si="4"/>
        <v>0</v>
      </c>
      <c r="AC22" s="10">
        <f t="shared" si="21"/>
        <v>0</v>
      </c>
      <c r="AD22" s="71"/>
      <c r="AE22" s="10">
        <f t="shared" si="5"/>
        <v>0</v>
      </c>
      <c r="AF22" s="10">
        <f t="shared" si="22"/>
        <v>0</v>
      </c>
      <c r="AG22" s="71"/>
      <c r="AH22" s="10">
        <f t="shared" si="6"/>
        <v>6440000000</v>
      </c>
      <c r="AI22" s="10">
        <f t="shared" si="23"/>
        <v>5083795468.9817457</v>
      </c>
      <c r="AJ22" s="71"/>
      <c r="AK22" s="10">
        <f t="shared" si="7"/>
        <v>0</v>
      </c>
      <c r="AL22" s="10">
        <f t="shared" si="24"/>
        <v>0</v>
      </c>
      <c r="AM22" s="71"/>
      <c r="AN22" s="10">
        <f t="shared" si="8"/>
        <v>0</v>
      </c>
      <c r="AO22" s="10">
        <f t="shared" si="25"/>
        <v>0</v>
      </c>
      <c r="AP22" s="71"/>
      <c r="AQ22" s="10">
        <f t="shared" si="9"/>
        <v>0</v>
      </c>
      <c r="AR22" s="10">
        <f t="shared" si="26"/>
        <v>0</v>
      </c>
      <c r="AS22" s="71"/>
      <c r="AT22" s="7">
        <f>IF($K22&lt;=$F$15,IF($F$40&lt;&gt;"",$F$40/1000,IF(ISERROR(VLOOKUP($F$3&amp;IF($G$4&lt;&gt;"",$G$4,"")&amp;IF($F$43&lt;&gt;"","_"&amp;$F$43,""),'表3）燃料価格'!$AF$9:$AG$25,2,0)),0,VLOOKUP($I22,'表3）燃料価格'!$A$6:$U$66,VLOOKUP($F$3&amp;IF($G$4&lt;&gt;"",$G$4,"")&amp;IF($F$43&lt;&gt;"","_"&amp;$F$43,""),'表3）燃料価格'!$AF$9:$AG$25,2,0)+VLOOKUP($F$41,'表3）燃料価格'!$AF$28:$AG$29,2,0),0)*IF($F$43="需要地価格",1,$F$8/$F$141))),"")</f>
        <v>0</v>
      </c>
      <c r="AU22" s="71"/>
      <c r="AV22" s="10">
        <f t="shared" si="10"/>
        <v>0</v>
      </c>
      <c r="AW22" s="10">
        <f t="shared" si="27"/>
        <v>0</v>
      </c>
      <c r="AX22" s="71"/>
      <c r="AY22" s="7">
        <f>IF(ISERROR(IF($K22&lt;=$F$15,VLOOKUP($I22,'表4）CO2価格'!$A$7:$E$67,VLOOKUP($F$48,'表4）CO2価格'!$H$10:$I$12,2,0),0)*$F$8/1000,"")),0,IF($K22&lt;=$F$15,VLOOKUP($I22,'表4）CO2価格'!$A$7:$E$67,VLOOKUP($F$48,'表4）CO2価格'!$H$10:$I$12,2,0),0)*$F$8/1000,""))</f>
        <v>0</v>
      </c>
      <c r="AZ22" s="71"/>
      <c r="BA22" s="11">
        <f t="shared" si="11"/>
        <v>0</v>
      </c>
      <c r="BB22" s="10">
        <f t="shared" si="28"/>
        <v>0</v>
      </c>
      <c r="BC22" s="71"/>
      <c r="BD22" s="10">
        <f t="shared" si="12"/>
        <v>0</v>
      </c>
      <c r="BE22" s="10">
        <f t="shared" si="29"/>
        <v>0</v>
      </c>
      <c r="BF22" s="71"/>
      <c r="BG22" s="11">
        <f t="shared" si="13"/>
        <v>0</v>
      </c>
      <c r="BH22" s="10">
        <f t="shared" si="30"/>
        <v>0</v>
      </c>
      <c r="BJ22" s="7">
        <f t="shared" si="31"/>
        <v>0.46650738020973315</v>
      </c>
      <c r="BK22" s="158">
        <f t="shared" si="32"/>
        <v>3453360768.3835573</v>
      </c>
      <c r="BL22" s="158">
        <f t="shared" si="14"/>
        <v>474863460.40404993</v>
      </c>
      <c r="BM22" s="10"/>
      <c r="BN22" s="10">
        <f t="shared" si="33"/>
        <v>29152219463.963634</v>
      </c>
      <c r="BO22" s="10">
        <f t="shared" si="34"/>
        <v>23013031245.599346</v>
      </c>
      <c r="BQ22" s="10">
        <f t="shared" si="15"/>
        <v>1017912000.0000001</v>
      </c>
      <c r="BR22" s="10">
        <f t="shared" si="35"/>
        <v>803549132.51896703</v>
      </c>
    </row>
    <row r="23" spans="3:70" x14ac:dyDescent="0.15">
      <c r="D23" s="84" t="s">
        <v>562</v>
      </c>
      <c r="F23" s="479"/>
      <c r="G23" s="84" t="s">
        <v>549</v>
      </c>
      <c r="I23" s="38">
        <f t="shared" si="36"/>
        <v>2038</v>
      </c>
      <c r="J23" s="39"/>
      <c r="K23" s="39">
        <f t="shared" si="37"/>
        <v>9</v>
      </c>
      <c r="L23" s="39"/>
      <c r="M23" s="40">
        <f t="shared" si="0"/>
        <v>0.76641673234362695</v>
      </c>
      <c r="N23" s="39"/>
      <c r="O23" s="72">
        <f t="shared" si="16"/>
        <v>49735702092.289207</v>
      </c>
      <c r="P23" s="41">
        <f t="shared" si="1"/>
        <v>0.14699999999999999</v>
      </c>
      <c r="Q23" s="39"/>
      <c r="R23" s="72">
        <f t="shared" si="17"/>
        <v>60046509697.584015</v>
      </c>
      <c r="S23" s="39"/>
      <c r="T23" s="72">
        <f t="shared" si="18"/>
        <v>60046509000</v>
      </c>
      <c r="U23" s="39"/>
      <c r="V23" s="72">
        <f t="shared" si="2"/>
        <v>7311148207.5665131</v>
      </c>
      <c r="W23" s="72">
        <f t="shared" si="19"/>
        <v>5603386318.9230919</v>
      </c>
      <c r="X23" s="39"/>
      <c r="Y23" s="72">
        <f t="shared" si="3"/>
        <v>840651100</v>
      </c>
      <c r="Z23" s="72">
        <f t="shared" si="20"/>
        <v>644289069.10307562</v>
      </c>
      <c r="AA23" s="39"/>
      <c r="AB23" s="72">
        <f t="shared" si="4"/>
        <v>0</v>
      </c>
      <c r="AC23" s="72">
        <f t="shared" si="21"/>
        <v>0</v>
      </c>
      <c r="AD23" s="39"/>
      <c r="AE23" s="72">
        <f t="shared" si="5"/>
        <v>0</v>
      </c>
      <c r="AF23" s="72">
        <f t="shared" si="22"/>
        <v>0</v>
      </c>
      <c r="AG23" s="39"/>
      <c r="AH23" s="72">
        <f t="shared" si="6"/>
        <v>6440000000</v>
      </c>
      <c r="AI23" s="72">
        <f t="shared" si="23"/>
        <v>4935723756.2929573</v>
      </c>
      <c r="AJ23" s="39"/>
      <c r="AK23" s="72">
        <f t="shared" si="7"/>
        <v>0</v>
      </c>
      <c r="AL23" s="72">
        <f t="shared" si="24"/>
        <v>0</v>
      </c>
      <c r="AM23" s="39"/>
      <c r="AN23" s="72">
        <f t="shared" si="8"/>
        <v>0</v>
      </c>
      <c r="AO23" s="72">
        <f t="shared" si="25"/>
        <v>0</v>
      </c>
      <c r="AP23" s="39"/>
      <c r="AQ23" s="72">
        <f t="shared" si="9"/>
        <v>0</v>
      </c>
      <c r="AR23" s="72">
        <f t="shared" si="26"/>
        <v>0</v>
      </c>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0</v>
      </c>
      <c r="AU23" s="39"/>
      <c r="AV23" s="72">
        <f t="shared" si="10"/>
        <v>0</v>
      </c>
      <c r="AW23" s="72">
        <f t="shared" si="27"/>
        <v>0</v>
      </c>
      <c r="AX23" s="39"/>
      <c r="AY23" s="40">
        <f>IF(ISERROR(IF($K23&lt;=$F$15,VLOOKUP($I23,'表4）CO2価格'!$A$7:$E$67,VLOOKUP($F$48,'表4）CO2価格'!$H$10:$I$12,2,0),0)*$F$8/1000,"")),0,IF($K23&lt;=$F$15,VLOOKUP($I23,'表4）CO2価格'!$A$7:$E$67,VLOOKUP($F$48,'表4）CO2価格'!$H$10:$I$12,2,0),0)*$F$8/1000,""))</f>
        <v>0</v>
      </c>
      <c r="AZ23" s="39"/>
      <c r="BA23" s="42">
        <f t="shared" si="11"/>
        <v>0</v>
      </c>
      <c r="BB23" s="72">
        <f t="shared" si="28"/>
        <v>0</v>
      </c>
      <c r="BC23" s="39"/>
      <c r="BD23" s="72">
        <f t="shared" si="12"/>
        <v>0</v>
      </c>
      <c r="BE23" s="72">
        <f t="shared" si="29"/>
        <v>0</v>
      </c>
      <c r="BF23" s="39"/>
      <c r="BG23" s="42">
        <f t="shared" si="13"/>
        <v>0</v>
      </c>
      <c r="BH23" s="72">
        <f t="shared" si="30"/>
        <v>0</v>
      </c>
      <c r="BI23" s="39"/>
      <c r="BJ23" s="40">
        <f t="shared" si="31"/>
        <v>0.42409761837248466</v>
      </c>
      <c r="BK23" s="157">
        <f t="shared" si="32"/>
        <v>3087706791.7110105</v>
      </c>
      <c r="BL23" s="157">
        <f t="shared" si="14"/>
        <v>431694054.91277266</v>
      </c>
      <c r="BM23" s="72"/>
      <c r="BN23" s="72">
        <f t="shared" si="33"/>
        <v>29152219463.963634</v>
      </c>
      <c r="BO23" s="72">
        <f t="shared" si="34"/>
        <v>22342748782.135288</v>
      </c>
      <c r="BP23" s="39"/>
      <c r="BQ23" s="72">
        <f t="shared" si="15"/>
        <v>1017912000.0000001</v>
      </c>
      <c r="BR23" s="72">
        <f t="shared" si="35"/>
        <v>780144788.85336614</v>
      </c>
    </row>
    <row r="24" spans="3:70" x14ac:dyDescent="0.15">
      <c r="D24" s="84" t="s">
        <v>563</v>
      </c>
      <c r="F24" s="480">
        <v>0</v>
      </c>
      <c r="G24" s="84" t="s">
        <v>549</v>
      </c>
      <c r="I24" s="457">
        <f t="shared" si="36"/>
        <v>2039</v>
      </c>
      <c r="J24" s="71"/>
      <c r="K24" s="71">
        <f t="shared" si="37"/>
        <v>10</v>
      </c>
      <c r="L24" s="71"/>
      <c r="M24" s="7">
        <f t="shared" si="0"/>
        <v>0.74409391489672516</v>
      </c>
      <c r="N24" s="71"/>
      <c r="O24" s="10">
        <f t="shared" si="16"/>
        <v>42424553884.722694</v>
      </c>
      <c r="P24" s="29">
        <f t="shared" si="1"/>
        <v>0.14699999999999999</v>
      </c>
      <c r="Q24" s="71"/>
      <c r="R24" s="10">
        <f t="shared" si="17"/>
        <v>52440187878.675232</v>
      </c>
      <c r="S24" s="71"/>
      <c r="T24" s="10">
        <f t="shared" si="18"/>
        <v>52440187000</v>
      </c>
      <c r="U24" s="71"/>
      <c r="V24" s="10">
        <f t="shared" si="2"/>
        <v>6236409421.0542355</v>
      </c>
      <c r="W24" s="10">
        <f t="shared" si="19"/>
        <v>4640474301.0110655</v>
      </c>
      <c r="X24" s="71"/>
      <c r="Y24" s="10">
        <f t="shared" si="3"/>
        <v>734162600</v>
      </c>
      <c r="Z24" s="10">
        <f t="shared" si="20"/>
        <v>546285923.20475852</v>
      </c>
      <c r="AA24" s="71"/>
      <c r="AB24" s="10">
        <f t="shared" si="4"/>
        <v>0</v>
      </c>
      <c r="AC24" s="10">
        <f t="shared" si="21"/>
        <v>0</v>
      </c>
      <c r="AD24" s="71"/>
      <c r="AE24" s="10">
        <f t="shared" si="5"/>
        <v>0</v>
      </c>
      <c r="AF24" s="10">
        <f t="shared" si="22"/>
        <v>0</v>
      </c>
      <c r="AG24" s="71"/>
      <c r="AH24" s="10">
        <f t="shared" si="6"/>
        <v>6440000000</v>
      </c>
      <c r="AI24" s="10">
        <f t="shared" si="23"/>
        <v>4791964811.9349098</v>
      </c>
      <c r="AJ24" s="71"/>
      <c r="AK24" s="10">
        <f t="shared" si="7"/>
        <v>0</v>
      </c>
      <c r="AL24" s="10">
        <f t="shared" si="24"/>
        <v>0</v>
      </c>
      <c r="AM24" s="71"/>
      <c r="AN24" s="10">
        <f t="shared" si="8"/>
        <v>0</v>
      </c>
      <c r="AO24" s="10">
        <f t="shared" si="25"/>
        <v>0</v>
      </c>
      <c r="AP24" s="71"/>
      <c r="AQ24" s="10">
        <f t="shared" si="9"/>
        <v>0</v>
      </c>
      <c r="AR24" s="10">
        <f t="shared" si="26"/>
        <v>0</v>
      </c>
      <c r="AS24" s="71"/>
      <c r="AT24" s="7">
        <f>IF($K24&lt;=$F$15,IF($F$40&lt;&gt;"",$F$40/1000,IF(ISERROR(VLOOKUP($F$3&amp;IF($G$4&lt;&gt;"",$G$4,"")&amp;IF($F$43&lt;&gt;"","_"&amp;$F$43,""),'表3）燃料価格'!$AF$9:$AG$25,2,0)),0,VLOOKUP($I24,'表3）燃料価格'!$A$6:$U$66,VLOOKUP($F$3&amp;IF($G$4&lt;&gt;"",$G$4,"")&amp;IF($F$43&lt;&gt;"","_"&amp;$F$43,""),'表3）燃料価格'!$AF$9:$AG$25,2,0)+VLOOKUP($F$41,'表3）燃料価格'!$AF$28:$AG$29,2,0),0)*IF($F$43="需要地価格",1,$F$8/$F$141))),"")</f>
        <v>0</v>
      </c>
      <c r="AU24" s="71"/>
      <c r="AV24" s="10">
        <f t="shared" si="10"/>
        <v>0</v>
      </c>
      <c r="AW24" s="10">
        <f t="shared" si="27"/>
        <v>0</v>
      </c>
      <c r="AX24" s="71"/>
      <c r="AY24" s="7">
        <f>IF(ISERROR(IF($K24&lt;=$F$15,VLOOKUP($I24,'表4）CO2価格'!$A$7:$E$67,VLOOKUP($F$48,'表4）CO2価格'!$H$10:$I$12,2,0),0)*$F$8/1000,"")),0,IF($K24&lt;=$F$15,VLOOKUP($I24,'表4）CO2価格'!$A$7:$E$67,VLOOKUP($F$48,'表4）CO2価格'!$H$10:$I$12,2,0),0)*$F$8/1000,""))</f>
        <v>0</v>
      </c>
      <c r="AZ24" s="71"/>
      <c r="BA24" s="11">
        <f t="shared" si="11"/>
        <v>0</v>
      </c>
      <c r="BB24" s="10">
        <f t="shared" si="28"/>
        <v>0</v>
      </c>
      <c r="BC24" s="71"/>
      <c r="BD24" s="10">
        <f t="shared" si="12"/>
        <v>0</v>
      </c>
      <c r="BE24" s="10">
        <f t="shared" si="29"/>
        <v>0</v>
      </c>
      <c r="BF24" s="71"/>
      <c r="BG24" s="11">
        <f t="shared" si="13"/>
        <v>0</v>
      </c>
      <c r="BH24" s="10">
        <f t="shared" si="30"/>
        <v>0</v>
      </c>
      <c r="BJ24" s="7">
        <f t="shared" si="31"/>
        <v>0.38554328942953148</v>
      </c>
      <c r="BK24" s="158">
        <f t="shared" si="32"/>
        <v>2765950247.7063203</v>
      </c>
      <c r="BL24" s="158">
        <f t="shared" si="14"/>
        <v>392449140.82979327</v>
      </c>
      <c r="BM24" s="10"/>
      <c r="BN24" s="10">
        <f t="shared" si="33"/>
        <v>29152219463.963634</v>
      </c>
      <c r="BO24" s="10">
        <f t="shared" si="34"/>
        <v>21691989108.869213</v>
      </c>
      <c r="BQ24" s="10">
        <f t="shared" si="15"/>
        <v>1017912000.0000001</v>
      </c>
      <c r="BR24" s="10">
        <f t="shared" si="35"/>
        <v>757422125.10035539</v>
      </c>
    </row>
    <row r="25" spans="3:70" x14ac:dyDescent="0.15">
      <c r="D25" s="84" t="s">
        <v>564</v>
      </c>
      <c r="F25" s="475">
        <v>1.4</v>
      </c>
      <c r="G25" s="84" t="s">
        <v>549</v>
      </c>
      <c r="I25" s="38">
        <f t="shared" si="36"/>
        <v>2040</v>
      </c>
      <c r="J25" s="39"/>
      <c r="K25" s="39">
        <f t="shared" si="37"/>
        <v>11</v>
      </c>
      <c r="L25" s="39"/>
      <c r="M25" s="40">
        <f t="shared" si="0"/>
        <v>0.72242127659876232</v>
      </c>
      <c r="N25" s="39"/>
      <c r="O25" s="72">
        <f t="shared" si="16"/>
        <v>36188144463.668457</v>
      </c>
      <c r="P25" s="41">
        <f t="shared" si="1"/>
        <v>0.14699999999999999</v>
      </c>
      <c r="Q25" s="39"/>
      <c r="R25" s="72">
        <f t="shared" si="17"/>
        <v>45797388034.718735</v>
      </c>
      <c r="S25" s="39"/>
      <c r="T25" s="72">
        <f t="shared" si="18"/>
        <v>45797388000</v>
      </c>
      <c r="U25" s="39"/>
      <c r="V25" s="72">
        <f t="shared" si="2"/>
        <v>5319657236.1592627</v>
      </c>
      <c r="W25" s="72">
        <f t="shared" si="19"/>
        <v>3843033571.614018</v>
      </c>
      <c r="X25" s="39"/>
      <c r="Y25" s="72">
        <f t="shared" si="3"/>
        <v>641163400</v>
      </c>
      <c r="Z25" s="72">
        <f t="shared" si="20"/>
        <v>463190081.93640286</v>
      </c>
      <c r="AA25" s="39"/>
      <c r="AB25" s="72">
        <f t="shared" si="4"/>
        <v>0</v>
      </c>
      <c r="AC25" s="72">
        <f t="shared" si="21"/>
        <v>0</v>
      </c>
      <c r="AD25" s="39"/>
      <c r="AE25" s="72">
        <f t="shared" si="5"/>
        <v>0</v>
      </c>
      <c r="AF25" s="72">
        <f t="shared" si="22"/>
        <v>0</v>
      </c>
      <c r="AG25" s="39"/>
      <c r="AH25" s="72">
        <f t="shared" si="6"/>
        <v>6440000000</v>
      </c>
      <c r="AI25" s="72">
        <f t="shared" si="23"/>
        <v>4652393021.2960291</v>
      </c>
      <c r="AJ25" s="39"/>
      <c r="AK25" s="72">
        <f t="shared" si="7"/>
        <v>0</v>
      </c>
      <c r="AL25" s="72">
        <f t="shared" si="24"/>
        <v>0</v>
      </c>
      <c r="AM25" s="39"/>
      <c r="AN25" s="72">
        <f t="shared" si="8"/>
        <v>0</v>
      </c>
      <c r="AO25" s="72">
        <f t="shared" si="25"/>
        <v>0</v>
      </c>
      <c r="AP25" s="39"/>
      <c r="AQ25" s="72">
        <f t="shared" si="9"/>
        <v>0</v>
      </c>
      <c r="AR25" s="72">
        <f t="shared" si="26"/>
        <v>0</v>
      </c>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0</v>
      </c>
      <c r="AU25" s="39"/>
      <c r="AV25" s="72">
        <f t="shared" si="10"/>
        <v>0</v>
      </c>
      <c r="AW25" s="72">
        <f t="shared" si="27"/>
        <v>0</v>
      </c>
      <c r="AX25" s="39"/>
      <c r="AY25" s="40">
        <f>IF(ISERROR(IF($K25&lt;=$F$15,VLOOKUP($I25,'表4）CO2価格'!$A$7:$E$67,VLOOKUP($F$48,'表4）CO2価格'!$H$10:$I$12,2,0),0)*$F$8/1000,"")),0,IF($K25&lt;=$F$15,VLOOKUP($I25,'表4）CO2価格'!$A$7:$E$67,VLOOKUP($F$48,'表4）CO2価格'!$H$10:$I$12,2,0),0)*$F$8/1000,""))</f>
        <v>0</v>
      </c>
      <c r="AZ25" s="39"/>
      <c r="BA25" s="42">
        <f t="shared" si="11"/>
        <v>0</v>
      </c>
      <c r="BB25" s="72">
        <f t="shared" si="28"/>
        <v>0</v>
      </c>
      <c r="BC25" s="39"/>
      <c r="BD25" s="72">
        <f t="shared" si="12"/>
        <v>0</v>
      </c>
      <c r="BE25" s="72">
        <f t="shared" si="29"/>
        <v>0</v>
      </c>
      <c r="BF25" s="39"/>
      <c r="BG25" s="42">
        <f t="shared" si="13"/>
        <v>0</v>
      </c>
      <c r="BH25" s="72">
        <f t="shared" si="30"/>
        <v>0</v>
      </c>
      <c r="BI25" s="39"/>
      <c r="BJ25" s="40">
        <f t="shared" si="31"/>
        <v>0.3504938994813922</v>
      </c>
      <c r="BK25" s="157">
        <f t="shared" si="32"/>
        <v>2481904572.9309134</v>
      </c>
      <c r="BL25" s="157">
        <f t="shared" si="14"/>
        <v>356771946.20890296</v>
      </c>
      <c r="BM25" s="72"/>
      <c r="BN25" s="72">
        <f t="shared" si="33"/>
        <v>29152219463.963634</v>
      </c>
      <c r="BO25" s="72">
        <f t="shared" si="34"/>
        <v>21060183600.843895</v>
      </c>
      <c r="BP25" s="39"/>
      <c r="BQ25" s="72">
        <f t="shared" si="15"/>
        <v>1017912000.0000001</v>
      </c>
      <c r="BR25" s="72">
        <f t="shared" si="35"/>
        <v>735361286.50519943</v>
      </c>
    </row>
    <row r="26" spans="3:70" x14ac:dyDescent="0.15">
      <c r="D26" s="84" t="s">
        <v>115</v>
      </c>
      <c r="F26" s="481"/>
      <c r="G26" s="84" t="s">
        <v>565</v>
      </c>
      <c r="I26" s="457">
        <f t="shared" si="36"/>
        <v>2041</v>
      </c>
      <c r="J26" s="71"/>
      <c r="K26" s="71">
        <f t="shared" si="37"/>
        <v>12</v>
      </c>
      <c r="L26" s="71"/>
      <c r="M26" s="7">
        <f t="shared" si="0"/>
        <v>0.70137988019297326</v>
      </c>
      <c r="N26" s="71"/>
      <c r="O26" s="10">
        <f t="shared" si="16"/>
        <v>30868487227.509193</v>
      </c>
      <c r="P26" s="29">
        <f t="shared" si="1"/>
        <v>0.16700000000000001</v>
      </c>
      <c r="Q26" s="71"/>
      <c r="R26" s="10">
        <f t="shared" si="17"/>
        <v>39996057139.51886</v>
      </c>
      <c r="S26" s="71"/>
      <c r="T26" s="10">
        <f t="shared" si="18"/>
        <v>39996057000</v>
      </c>
      <c r="U26" s="71"/>
      <c r="V26" s="10">
        <f t="shared" si="2"/>
        <v>5155037366.9940357</v>
      </c>
      <c r="W26" s="10">
        <f t="shared" si="19"/>
        <v>3615639490.8525772</v>
      </c>
      <c r="X26" s="71"/>
      <c r="Y26" s="10">
        <f t="shared" si="3"/>
        <v>559944700</v>
      </c>
      <c r="Z26" s="10">
        <f t="shared" si="20"/>
        <v>392733946.60069036</v>
      </c>
      <c r="AA26" s="71"/>
      <c r="AB26" s="10">
        <f t="shared" si="4"/>
        <v>0</v>
      </c>
      <c r="AC26" s="10">
        <f t="shared" si="21"/>
        <v>0</v>
      </c>
      <c r="AD26" s="71"/>
      <c r="AE26" s="10">
        <f t="shared" si="5"/>
        <v>0</v>
      </c>
      <c r="AF26" s="10">
        <f t="shared" si="22"/>
        <v>0</v>
      </c>
      <c r="AG26" s="71"/>
      <c r="AH26" s="10">
        <f t="shared" si="6"/>
        <v>6440000000</v>
      </c>
      <c r="AI26" s="10">
        <f t="shared" si="23"/>
        <v>4516886428.4427481</v>
      </c>
      <c r="AJ26" s="71"/>
      <c r="AK26" s="10">
        <f t="shared" si="7"/>
        <v>0</v>
      </c>
      <c r="AL26" s="10">
        <f t="shared" si="24"/>
        <v>0</v>
      </c>
      <c r="AM26" s="71"/>
      <c r="AN26" s="10">
        <f t="shared" si="8"/>
        <v>0</v>
      </c>
      <c r="AO26" s="10">
        <f t="shared" si="25"/>
        <v>0</v>
      </c>
      <c r="AP26" s="71"/>
      <c r="AQ26" s="10">
        <f t="shared" si="9"/>
        <v>0</v>
      </c>
      <c r="AR26" s="10">
        <f t="shared" si="26"/>
        <v>0</v>
      </c>
      <c r="AS26" s="71"/>
      <c r="AT26" s="7">
        <f>IF($K26&lt;=$F$15,IF($F$40&lt;&gt;"",$F$40/1000,IF(ISERROR(VLOOKUP($F$3&amp;IF($G$4&lt;&gt;"",$G$4,"")&amp;IF($F$43&lt;&gt;"","_"&amp;$F$43,""),'表3）燃料価格'!$AF$9:$AG$25,2,0)),0,VLOOKUP($I26,'表3）燃料価格'!$A$6:$U$66,VLOOKUP($F$3&amp;IF($G$4&lt;&gt;"",$G$4,"")&amp;IF($F$43&lt;&gt;"","_"&amp;$F$43,""),'表3）燃料価格'!$AF$9:$AG$25,2,0)+VLOOKUP($F$41,'表3）燃料価格'!$AF$28:$AG$29,2,0),0)*IF($F$43="需要地価格",1,$F$8/$F$141))),"")</f>
        <v>0</v>
      </c>
      <c r="AU26" s="71"/>
      <c r="AV26" s="10">
        <f t="shared" si="10"/>
        <v>0</v>
      </c>
      <c r="AW26" s="10">
        <f t="shared" si="27"/>
        <v>0</v>
      </c>
      <c r="AX26" s="71"/>
      <c r="AY26" s="7">
        <f>IF(ISERROR(IF($K26&lt;=$F$15,VLOOKUP($I26,'表4）CO2価格'!$A$7:$E$67,VLOOKUP($F$48,'表4）CO2価格'!$H$10:$I$12,2,0),0)*$F$8/1000,"")),0,IF($K26&lt;=$F$15,VLOOKUP($I26,'表4）CO2価格'!$A$7:$E$67,VLOOKUP($F$48,'表4）CO2価格'!$H$10:$I$12,2,0),0)*$F$8/1000,""))</f>
        <v>0</v>
      </c>
      <c r="AZ26" s="71"/>
      <c r="BA26" s="11">
        <f t="shared" si="11"/>
        <v>0</v>
      </c>
      <c r="BB26" s="10">
        <f t="shared" si="28"/>
        <v>0</v>
      </c>
      <c r="BC26" s="71"/>
      <c r="BD26" s="10">
        <f t="shared" si="12"/>
        <v>0</v>
      </c>
      <c r="BE26" s="10">
        <f t="shared" si="29"/>
        <v>0</v>
      </c>
      <c r="BF26" s="71"/>
      <c r="BG26" s="11">
        <f t="shared" si="13"/>
        <v>0</v>
      </c>
      <c r="BH26" s="10">
        <f t="shared" si="30"/>
        <v>0</v>
      </c>
      <c r="BJ26" s="7">
        <f t="shared" si="31"/>
        <v>0.31863081771035656</v>
      </c>
      <c r="BK26" s="158">
        <f t="shared" si="32"/>
        <v>2230398103.6882768</v>
      </c>
      <c r="BL26" s="158">
        <f t="shared" si="14"/>
        <v>324338132.91718453</v>
      </c>
      <c r="BM26" s="10"/>
      <c r="BN26" s="10">
        <f t="shared" si="33"/>
        <v>29152219463.963634</v>
      </c>
      <c r="BO26" s="10">
        <f t="shared" si="34"/>
        <v>20446780194.994076</v>
      </c>
      <c r="BQ26" s="10">
        <f t="shared" si="15"/>
        <v>1017912000.0000001</v>
      </c>
      <c r="BR26" s="10">
        <f t="shared" si="35"/>
        <v>713942996.60698986</v>
      </c>
    </row>
    <row r="27" spans="3:70" x14ac:dyDescent="0.15">
      <c r="D27" s="160" t="s">
        <v>86</v>
      </c>
      <c r="F27" s="481">
        <f>F13*10.7</f>
        <v>374.5</v>
      </c>
      <c r="G27" s="84" t="s">
        <v>566</v>
      </c>
      <c r="I27" s="38">
        <f t="shared" si="36"/>
        <v>2042</v>
      </c>
      <c r="J27" s="39"/>
      <c r="K27" s="39">
        <f t="shared" si="37"/>
        <v>13</v>
      </c>
      <c r="L27" s="39"/>
      <c r="M27" s="40">
        <f t="shared" si="0"/>
        <v>0.68095133999317792</v>
      </c>
      <c r="N27" s="39"/>
      <c r="O27" s="72">
        <f t="shared" si="16"/>
        <v>25713449860.51516</v>
      </c>
      <c r="P27" s="41" t="str">
        <f t="shared" si="1"/>
        <v>-</v>
      </c>
      <c r="Q27" s="39"/>
      <c r="R27" s="72">
        <f t="shared" si="17"/>
        <v>34929603092.100929</v>
      </c>
      <c r="S27" s="39"/>
      <c r="T27" s="72">
        <f t="shared" si="18"/>
        <v>34929603000</v>
      </c>
      <c r="U27" s="39"/>
      <c r="V27" s="72">
        <f t="shared" si="2"/>
        <v>5155037366.9940357</v>
      </c>
      <c r="W27" s="72">
        <f t="shared" si="19"/>
        <v>3510329602.7694921</v>
      </c>
      <c r="X27" s="39"/>
      <c r="Y27" s="72">
        <f t="shared" si="3"/>
        <v>489014400</v>
      </c>
      <c r="Z27" s="72">
        <f t="shared" si="20"/>
        <v>332995010.95595992</v>
      </c>
      <c r="AA27" s="39"/>
      <c r="AB27" s="72">
        <f t="shared" si="4"/>
        <v>0</v>
      </c>
      <c r="AC27" s="72">
        <f t="shared" si="21"/>
        <v>0</v>
      </c>
      <c r="AD27" s="39"/>
      <c r="AE27" s="72">
        <f t="shared" si="5"/>
        <v>0</v>
      </c>
      <c r="AF27" s="72">
        <f t="shared" si="22"/>
        <v>0</v>
      </c>
      <c r="AG27" s="39"/>
      <c r="AH27" s="72">
        <f t="shared" si="6"/>
        <v>6440000000</v>
      </c>
      <c r="AI27" s="72">
        <f t="shared" si="23"/>
        <v>4385326629.5560656</v>
      </c>
      <c r="AJ27" s="39"/>
      <c r="AK27" s="72">
        <f t="shared" si="7"/>
        <v>0</v>
      </c>
      <c r="AL27" s="72">
        <f t="shared" si="24"/>
        <v>0</v>
      </c>
      <c r="AM27" s="39"/>
      <c r="AN27" s="72">
        <f t="shared" si="8"/>
        <v>0</v>
      </c>
      <c r="AO27" s="72">
        <f t="shared" si="25"/>
        <v>0</v>
      </c>
      <c r="AP27" s="39"/>
      <c r="AQ27" s="72">
        <f t="shared" si="9"/>
        <v>0</v>
      </c>
      <c r="AR27" s="72">
        <f t="shared" si="26"/>
        <v>0</v>
      </c>
      <c r="AS27" s="39"/>
      <c r="AT27" s="40">
        <f>IF($K27&lt;=$F$15,IF($F$40&lt;&gt;"",$F$40/1000,IF(ISERROR(VLOOKUP($F$3&amp;IF($G$4&lt;&gt;"",$G$4,"")&amp;IF($F$43&lt;&gt;"","_"&amp;$F$43,""),'表3）燃料価格'!$AF$9:$AG$25,2,0)),0,VLOOKUP($I27,'表3）燃料価格'!$A$6:$U$66,VLOOKUP($F$3&amp;IF($G$4&lt;&gt;"",$G$4,"")&amp;IF($F$43&lt;&gt;"","_"&amp;$F$43,""),'表3）燃料価格'!$AF$9:$AG$25,2,0)+VLOOKUP($F$41,'表3）燃料価格'!$AF$28:$AG$29,2,0),0)*IF($F$43="需要地価格",1,$F$8/$F$141))),"")</f>
        <v>0</v>
      </c>
      <c r="AU27" s="39"/>
      <c r="AV27" s="72">
        <f t="shared" si="10"/>
        <v>0</v>
      </c>
      <c r="AW27" s="72">
        <f t="shared" si="27"/>
        <v>0</v>
      </c>
      <c r="AX27" s="39"/>
      <c r="AY27" s="40">
        <f>IF(ISERROR(IF($K27&lt;=$F$15,VLOOKUP($I27,'表4）CO2価格'!$A$7:$E$67,VLOOKUP($F$48,'表4）CO2価格'!$H$10:$I$12,2,0),0)*$F$8/1000,"")),0,IF($K27&lt;=$F$15,VLOOKUP($I27,'表4）CO2価格'!$A$7:$E$67,VLOOKUP($F$48,'表4）CO2価格'!$H$10:$I$12,2,0),0)*$F$8/1000,""))</f>
        <v>0</v>
      </c>
      <c r="AZ27" s="39"/>
      <c r="BA27" s="42">
        <f t="shared" si="11"/>
        <v>0</v>
      </c>
      <c r="BB27" s="72">
        <f t="shared" si="28"/>
        <v>0</v>
      </c>
      <c r="BC27" s="39"/>
      <c r="BD27" s="72">
        <f t="shared" si="12"/>
        <v>0</v>
      </c>
      <c r="BE27" s="72">
        <f t="shared" si="29"/>
        <v>0</v>
      </c>
      <c r="BF27" s="39"/>
      <c r="BG27" s="42">
        <f t="shared" si="13"/>
        <v>0</v>
      </c>
      <c r="BH27" s="72">
        <f t="shared" si="30"/>
        <v>0</v>
      </c>
      <c r="BI27" s="39"/>
      <c r="BJ27" s="40">
        <f t="shared" si="31"/>
        <v>0.28966437973668779</v>
      </c>
      <c r="BK27" s="157">
        <f t="shared" si="32"/>
        <v>2007088658.3625779</v>
      </c>
      <c r="BL27" s="157">
        <f t="shared" si="14"/>
        <v>294852848.10653138</v>
      </c>
      <c r="BM27" s="72"/>
      <c r="BN27" s="72">
        <f t="shared" si="33"/>
        <v>29152219463.963634</v>
      </c>
      <c r="BO27" s="72">
        <f t="shared" si="34"/>
        <v>19851242907.761238</v>
      </c>
      <c r="BP27" s="39"/>
      <c r="BQ27" s="72">
        <f t="shared" si="15"/>
        <v>1017912000.0000001</v>
      </c>
      <c r="BR27" s="72">
        <f t="shared" si="35"/>
        <v>693148540.39513576</v>
      </c>
    </row>
    <row r="28" spans="3:70" x14ac:dyDescent="0.15">
      <c r="D28" s="84" t="s">
        <v>116</v>
      </c>
      <c r="F28" s="481">
        <v>1</v>
      </c>
      <c r="G28" s="84" t="s">
        <v>556</v>
      </c>
      <c r="I28" s="457">
        <f t="shared" si="36"/>
        <v>2043</v>
      </c>
      <c r="J28" s="71"/>
      <c r="K28" s="71">
        <f t="shared" si="37"/>
        <v>14</v>
      </c>
      <c r="L28" s="71"/>
      <c r="M28" s="7">
        <f t="shared" si="0"/>
        <v>0.66111780581861923</v>
      </c>
      <c r="N28" s="71"/>
      <c r="O28" s="10">
        <f t="shared" si="16"/>
        <v>20558412493.521126</v>
      </c>
      <c r="P28" s="29" t="str">
        <f t="shared" si="1"/>
        <v>-</v>
      </c>
      <c r="Q28" s="71"/>
      <c r="R28" s="10">
        <f t="shared" si="17"/>
        <v>30504936221.980404</v>
      </c>
      <c r="S28" s="71"/>
      <c r="T28" s="10">
        <f t="shared" si="18"/>
        <v>30504936000</v>
      </c>
      <c r="U28" s="71"/>
      <c r="V28" s="10">
        <f t="shared" si="2"/>
        <v>5155037366.9940357</v>
      </c>
      <c r="W28" s="10">
        <f t="shared" si="19"/>
        <v>3408086992.9800892</v>
      </c>
      <c r="X28" s="71"/>
      <c r="Y28" s="10">
        <f t="shared" si="3"/>
        <v>427069100</v>
      </c>
      <c r="Z28" s="10">
        <f t="shared" si="20"/>
        <v>282342986.32493246</v>
      </c>
      <c r="AA28" s="71"/>
      <c r="AB28" s="10">
        <f t="shared" si="4"/>
        <v>0</v>
      </c>
      <c r="AC28" s="10">
        <f t="shared" si="21"/>
        <v>0</v>
      </c>
      <c r="AD28" s="71"/>
      <c r="AE28" s="10">
        <f t="shared" si="5"/>
        <v>0</v>
      </c>
      <c r="AF28" s="10">
        <f t="shared" si="22"/>
        <v>0</v>
      </c>
      <c r="AG28" s="71"/>
      <c r="AH28" s="10">
        <f t="shared" si="6"/>
        <v>6440000000</v>
      </c>
      <c r="AI28" s="10">
        <f t="shared" si="23"/>
        <v>4257598669.4719076</v>
      </c>
      <c r="AJ28" s="71"/>
      <c r="AK28" s="10">
        <f t="shared" si="7"/>
        <v>0</v>
      </c>
      <c r="AL28" s="10">
        <f t="shared" si="24"/>
        <v>0</v>
      </c>
      <c r="AM28" s="71"/>
      <c r="AN28" s="10">
        <f t="shared" si="8"/>
        <v>0</v>
      </c>
      <c r="AO28" s="10">
        <f t="shared" si="25"/>
        <v>0</v>
      </c>
      <c r="AP28" s="71"/>
      <c r="AQ28" s="10">
        <f t="shared" si="9"/>
        <v>0</v>
      </c>
      <c r="AR28" s="10">
        <f t="shared" si="26"/>
        <v>0</v>
      </c>
      <c r="AS28" s="71"/>
      <c r="AT28" s="7">
        <f>IF($K28&lt;=$F$15,IF($F$40&lt;&gt;"",$F$40/1000,IF(ISERROR(VLOOKUP($F$3&amp;IF($G$4&lt;&gt;"",$G$4,"")&amp;IF($F$43&lt;&gt;"","_"&amp;$F$43,""),'表3）燃料価格'!$AF$9:$AG$25,2,0)),0,VLOOKUP($I28,'表3）燃料価格'!$A$6:$U$66,VLOOKUP($F$3&amp;IF($G$4&lt;&gt;"",$G$4,"")&amp;IF($F$43&lt;&gt;"","_"&amp;$F$43,""),'表3）燃料価格'!$AF$9:$AG$25,2,0)+VLOOKUP($F$41,'表3）燃料価格'!$AF$28:$AG$29,2,0),0)*IF($F$43="需要地価格",1,$F$8/$F$141))),"")</f>
        <v>0</v>
      </c>
      <c r="AU28" s="71"/>
      <c r="AV28" s="10">
        <f t="shared" si="10"/>
        <v>0</v>
      </c>
      <c r="AW28" s="10">
        <f t="shared" si="27"/>
        <v>0</v>
      </c>
      <c r="AX28" s="71"/>
      <c r="AY28" s="7">
        <f>IF(ISERROR(IF($K28&lt;=$F$15,VLOOKUP($I28,'表4）CO2価格'!$A$7:$E$67,VLOOKUP($F$48,'表4）CO2価格'!$H$10:$I$12,2,0),0)*$F$8/1000,"")),0,IF($K28&lt;=$F$15,VLOOKUP($I28,'表4）CO2価格'!$A$7:$E$67,VLOOKUP($F$48,'表4）CO2価格'!$H$10:$I$12,2,0),0)*$F$8/1000,""))</f>
        <v>0</v>
      </c>
      <c r="AZ28" s="71"/>
      <c r="BA28" s="11">
        <f t="shared" si="11"/>
        <v>0</v>
      </c>
      <c r="BB28" s="10">
        <f t="shared" si="28"/>
        <v>0</v>
      </c>
      <c r="BC28" s="71"/>
      <c r="BD28" s="10">
        <f t="shared" si="12"/>
        <v>0</v>
      </c>
      <c r="BE28" s="10">
        <f t="shared" si="29"/>
        <v>0</v>
      </c>
      <c r="BF28" s="71"/>
      <c r="BG28" s="11">
        <f t="shared" si="13"/>
        <v>0</v>
      </c>
      <c r="BH28" s="10">
        <f t="shared" si="30"/>
        <v>0</v>
      </c>
      <c r="BJ28" s="7">
        <f t="shared" si="31"/>
        <v>0.26333125430607973</v>
      </c>
      <c r="BK28" s="158">
        <f t="shared" si="32"/>
        <v>1808313919.509522</v>
      </c>
      <c r="BL28" s="158">
        <f t="shared" si="14"/>
        <v>268048043.73321027</v>
      </c>
      <c r="BM28" s="10"/>
      <c r="BN28" s="10">
        <f t="shared" si="33"/>
        <v>29152219463.963634</v>
      </c>
      <c r="BO28" s="10">
        <f t="shared" si="34"/>
        <v>19273051366.758484</v>
      </c>
      <c r="BQ28" s="10">
        <f t="shared" si="15"/>
        <v>1017912000.0000001</v>
      </c>
      <c r="BR28" s="10">
        <f t="shared" si="35"/>
        <v>672959747.95644248</v>
      </c>
    </row>
    <row r="29" spans="3:70" x14ac:dyDescent="0.15">
      <c r="D29" s="84" t="s">
        <v>567</v>
      </c>
      <c r="F29" s="481"/>
      <c r="G29" s="84" t="s">
        <v>566</v>
      </c>
      <c r="I29" s="38">
        <f t="shared" si="36"/>
        <v>2044</v>
      </c>
      <c r="J29" s="39"/>
      <c r="K29" s="39">
        <f t="shared" si="37"/>
        <v>15</v>
      </c>
      <c r="L29" s="39"/>
      <c r="M29" s="40">
        <f t="shared" si="0"/>
        <v>0.64186194739671765</v>
      </c>
      <c r="N29" s="39"/>
      <c r="O29" s="72">
        <f t="shared" si="16"/>
        <v>15403375126.52709</v>
      </c>
      <c r="P29" s="41" t="str">
        <f t="shared" si="1"/>
        <v>-</v>
      </c>
      <c r="Q29" s="39"/>
      <c r="R29" s="72">
        <f t="shared" si="17"/>
        <v>26640758884.475536</v>
      </c>
      <c r="S29" s="39"/>
      <c r="T29" s="72">
        <f t="shared" si="18"/>
        <v>26640758000</v>
      </c>
      <c r="U29" s="39"/>
      <c r="V29" s="72">
        <f t="shared" si="2"/>
        <v>5155037366.9940357</v>
      </c>
      <c r="W29" s="72">
        <f t="shared" si="19"/>
        <v>3308822323.2816396</v>
      </c>
      <c r="X29" s="39"/>
      <c r="Y29" s="72">
        <f t="shared" si="3"/>
        <v>372970600</v>
      </c>
      <c r="Z29" s="72">
        <f t="shared" si="20"/>
        <v>239395635.63772222</v>
      </c>
      <c r="AA29" s="39"/>
      <c r="AB29" s="72">
        <f t="shared" si="4"/>
        <v>0</v>
      </c>
      <c r="AC29" s="72">
        <f t="shared" si="21"/>
        <v>0</v>
      </c>
      <c r="AD29" s="39"/>
      <c r="AE29" s="72">
        <f t="shared" si="5"/>
        <v>0</v>
      </c>
      <c r="AF29" s="72">
        <f t="shared" si="22"/>
        <v>0</v>
      </c>
      <c r="AG29" s="39"/>
      <c r="AH29" s="72">
        <f t="shared" si="6"/>
        <v>6440000000</v>
      </c>
      <c r="AI29" s="72">
        <f t="shared" si="23"/>
        <v>4133590941.2348619</v>
      </c>
      <c r="AJ29" s="39"/>
      <c r="AK29" s="72">
        <f t="shared" si="7"/>
        <v>0</v>
      </c>
      <c r="AL29" s="72">
        <f t="shared" si="24"/>
        <v>0</v>
      </c>
      <c r="AM29" s="39"/>
      <c r="AN29" s="72">
        <f t="shared" si="8"/>
        <v>0</v>
      </c>
      <c r="AO29" s="72">
        <f t="shared" si="25"/>
        <v>0</v>
      </c>
      <c r="AP29" s="39"/>
      <c r="AQ29" s="72">
        <f t="shared" si="9"/>
        <v>0</v>
      </c>
      <c r="AR29" s="72">
        <f t="shared" si="26"/>
        <v>0</v>
      </c>
      <c r="AS29" s="39"/>
      <c r="AT29" s="40">
        <f>IF($K29&lt;=$F$15,IF($F$40&lt;&gt;"",$F$40/1000,IF(ISERROR(VLOOKUP($F$3&amp;IF($G$4&lt;&gt;"",$G$4,"")&amp;IF($F$43&lt;&gt;"","_"&amp;$F$43,""),'表3）燃料価格'!$AF$9:$AG$25,2,0)),0,VLOOKUP($I29,'表3）燃料価格'!$A$6:$U$66,VLOOKUP($F$3&amp;IF($G$4&lt;&gt;"",$G$4,"")&amp;IF($F$43&lt;&gt;"","_"&amp;$F$43,""),'表3）燃料価格'!$AF$9:$AG$25,2,0)+VLOOKUP($F$41,'表3）燃料価格'!$AF$28:$AG$29,2,0),0)*IF($F$43="需要地価格",1,$F$8/$F$141))),"")</f>
        <v>0</v>
      </c>
      <c r="AU29" s="39"/>
      <c r="AV29" s="72">
        <f t="shared" si="10"/>
        <v>0</v>
      </c>
      <c r="AW29" s="72">
        <f t="shared" si="27"/>
        <v>0</v>
      </c>
      <c r="AX29" s="39"/>
      <c r="AY29" s="40">
        <f>IF(ISERROR(IF($K29&lt;=$F$15,VLOOKUP($I29,'表4）CO2価格'!$A$7:$E$67,VLOOKUP($F$48,'表4）CO2価格'!$H$10:$I$12,2,0),0)*$F$8/1000,"")),0,IF($K29&lt;=$F$15,VLOOKUP($I29,'表4）CO2価格'!$A$7:$E$67,VLOOKUP($F$48,'表4）CO2価格'!$H$10:$I$12,2,0),0)*$F$8/1000,""))</f>
        <v>0</v>
      </c>
      <c r="AZ29" s="39"/>
      <c r="BA29" s="42">
        <f t="shared" si="11"/>
        <v>0</v>
      </c>
      <c r="BB29" s="72">
        <f t="shared" si="28"/>
        <v>0</v>
      </c>
      <c r="BC29" s="39"/>
      <c r="BD29" s="72">
        <f t="shared" si="12"/>
        <v>0</v>
      </c>
      <c r="BE29" s="72">
        <f t="shared" si="29"/>
        <v>0</v>
      </c>
      <c r="BF29" s="39"/>
      <c r="BG29" s="42">
        <f t="shared" si="13"/>
        <v>0</v>
      </c>
      <c r="BH29" s="72">
        <f t="shared" si="30"/>
        <v>0</v>
      </c>
      <c r="BI29" s="39"/>
      <c r="BJ29" s="40">
        <f t="shared" si="31"/>
        <v>0.23939204936916339</v>
      </c>
      <c r="BK29" s="157">
        <f t="shared" si="32"/>
        <v>1630970994.2258587</v>
      </c>
      <c r="BL29" s="157">
        <f t="shared" si="14"/>
        <v>243680039.75746387</v>
      </c>
      <c r="BM29" s="72"/>
      <c r="BN29" s="72">
        <f t="shared" si="33"/>
        <v>29152219463.963634</v>
      </c>
      <c r="BO29" s="72">
        <f t="shared" si="34"/>
        <v>18711700356.076195</v>
      </c>
      <c r="BP29" s="39"/>
      <c r="BQ29" s="72">
        <f t="shared" si="15"/>
        <v>1017912000.0000001</v>
      </c>
      <c r="BR29" s="72">
        <f t="shared" si="35"/>
        <v>653358978.59848773</v>
      </c>
    </row>
    <row r="30" spans="3:70" x14ac:dyDescent="0.15">
      <c r="I30" s="457">
        <f t="shared" si="36"/>
        <v>2045</v>
      </c>
      <c r="J30" s="71"/>
      <c r="K30" s="71">
        <f t="shared" si="37"/>
        <v>16</v>
      </c>
      <c r="L30" s="71"/>
      <c r="M30" s="7">
        <f t="shared" si="0"/>
        <v>0.62316693922011435</v>
      </c>
      <c r="N30" s="71"/>
      <c r="O30" s="10">
        <f t="shared" si="16"/>
        <v>10248337759.533054</v>
      </c>
      <c r="P30" s="29" t="str">
        <f t="shared" si="1"/>
        <v>-</v>
      </c>
      <c r="Q30" s="71"/>
      <c r="R30" s="10">
        <f t="shared" si="17"/>
        <v>23266071719.545658</v>
      </c>
      <c r="S30" s="71"/>
      <c r="T30" s="10">
        <f t="shared" si="18"/>
        <v>23266071000</v>
      </c>
      <c r="U30" s="71"/>
      <c r="V30" s="10">
        <f t="shared" si="2"/>
        <v>5155037366.9940357</v>
      </c>
      <c r="W30" s="10">
        <f t="shared" si="19"/>
        <v>3212448857.5549908</v>
      </c>
      <c r="X30" s="71"/>
      <c r="Y30" s="10">
        <f t="shared" si="3"/>
        <v>325724900</v>
      </c>
      <c r="Z30" s="10">
        <f t="shared" si="20"/>
        <v>202980988.96077782</v>
      </c>
      <c r="AA30" s="71"/>
      <c r="AB30" s="10">
        <f t="shared" si="4"/>
        <v>0</v>
      </c>
      <c r="AC30" s="10">
        <f t="shared" si="21"/>
        <v>0</v>
      </c>
      <c r="AD30" s="71"/>
      <c r="AE30" s="10">
        <f t="shared" si="5"/>
        <v>0</v>
      </c>
      <c r="AF30" s="10">
        <f t="shared" si="22"/>
        <v>0</v>
      </c>
      <c r="AG30" s="71"/>
      <c r="AH30" s="10">
        <f t="shared" si="6"/>
        <v>6440000000</v>
      </c>
      <c r="AI30" s="10">
        <f t="shared" si="23"/>
        <v>4013195088.5775366</v>
      </c>
      <c r="AJ30" s="71"/>
      <c r="AK30" s="10">
        <f t="shared" si="7"/>
        <v>0</v>
      </c>
      <c r="AL30" s="10">
        <f t="shared" si="24"/>
        <v>0</v>
      </c>
      <c r="AM30" s="71"/>
      <c r="AN30" s="10">
        <f t="shared" si="8"/>
        <v>0</v>
      </c>
      <c r="AO30" s="10">
        <f t="shared" si="25"/>
        <v>0</v>
      </c>
      <c r="AP30" s="71"/>
      <c r="AQ30" s="10">
        <f t="shared" si="9"/>
        <v>0</v>
      </c>
      <c r="AR30" s="10">
        <f t="shared" si="26"/>
        <v>0</v>
      </c>
      <c r="AS30" s="71"/>
      <c r="AT30" s="7">
        <f>IF($K30&lt;=$F$15,IF($F$40&lt;&gt;"",$F$40/1000,IF(ISERROR(VLOOKUP($F$3&amp;IF($G$4&lt;&gt;"",$G$4,"")&amp;IF($F$43&lt;&gt;"","_"&amp;$F$43,""),'表3）燃料価格'!$AF$9:$AG$25,2,0)),0,VLOOKUP($I30,'表3）燃料価格'!$A$6:$U$66,VLOOKUP($F$3&amp;IF($G$4&lt;&gt;"",$G$4,"")&amp;IF($F$43&lt;&gt;"","_"&amp;$F$43,""),'表3）燃料価格'!$AF$9:$AG$25,2,0)+VLOOKUP($F$41,'表3）燃料価格'!$AF$28:$AG$29,2,0),0)*IF($F$43="需要地価格",1,$F$8/$F$141))),"")</f>
        <v>0</v>
      </c>
      <c r="AU30" s="71"/>
      <c r="AV30" s="10">
        <f t="shared" si="10"/>
        <v>0</v>
      </c>
      <c r="AW30" s="10">
        <f t="shared" si="27"/>
        <v>0</v>
      </c>
      <c r="AX30" s="71"/>
      <c r="AY30" s="7">
        <f>IF(ISERROR(IF($K30&lt;=$F$15,VLOOKUP($I30,'表4）CO2価格'!$A$7:$E$67,VLOOKUP($F$48,'表4）CO2価格'!$H$10:$I$12,2,0),0)*$F$8/1000,"")),0,IF($K30&lt;=$F$15,VLOOKUP($I30,'表4）CO2価格'!$A$7:$E$67,VLOOKUP($F$48,'表4）CO2価格'!$H$10:$I$12,2,0),0)*$F$8/1000,""))</f>
        <v>0</v>
      </c>
      <c r="AZ30" s="71"/>
      <c r="BA30" s="11">
        <f t="shared" si="11"/>
        <v>0</v>
      </c>
      <c r="BB30" s="10">
        <f t="shared" si="28"/>
        <v>0</v>
      </c>
      <c r="BC30" s="71"/>
      <c r="BD30" s="10">
        <f t="shared" si="12"/>
        <v>0</v>
      </c>
      <c r="BE30" s="10">
        <f t="shared" si="29"/>
        <v>0</v>
      </c>
      <c r="BF30" s="71"/>
      <c r="BG30" s="11">
        <f t="shared" si="13"/>
        <v>0</v>
      </c>
      <c r="BH30" s="10">
        <f t="shared" si="30"/>
        <v>0</v>
      </c>
      <c r="BJ30" s="7">
        <f t="shared" si="31"/>
        <v>0.21762913579014853</v>
      </c>
      <c r="BK30" s="158">
        <f t="shared" si="32"/>
        <v>1472418862.9808891</v>
      </c>
      <c r="BL30" s="158">
        <f t="shared" si="14"/>
        <v>221527308.87042171</v>
      </c>
      <c r="BM30" s="10"/>
      <c r="BN30" s="10">
        <f t="shared" si="33"/>
        <v>29152219463.963634</v>
      </c>
      <c r="BO30" s="10">
        <f t="shared" si="34"/>
        <v>18166699374.831261</v>
      </c>
      <c r="BQ30" s="10">
        <f t="shared" si="15"/>
        <v>1017912000.0000001</v>
      </c>
      <c r="BR30" s="10">
        <f t="shared" si="35"/>
        <v>634329105.43542516</v>
      </c>
    </row>
    <row r="31" spans="3:70" x14ac:dyDescent="0.15">
      <c r="C31" s="4" t="s">
        <v>568</v>
      </c>
      <c r="D31" s="100"/>
      <c r="E31" s="100"/>
      <c r="F31" s="4"/>
      <c r="G31" s="100"/>
      <c r="I31" s="38">
        <f t="shared" si="36"/>
        <v>2046</v>
      </c>
      <c r="J31" s="39"/>
      <c r="K31" s="39">
        <f t="shared" si="37"/>
        <v>17</v>
      </c>
      <c r="L31" s="39"/>
      <c r="M31" s="40">
        <f t="shared" si="0"/>
        <v>0.60501644584477121</v>
      </c>
      <c r="N31" s="39"/>
      <c r="O31" s="72">
        <f t="shared" si="16"/>
        <v>5093300392.5390186</v>
      </c>
      <c r="P31" s="41" t="str">
        <f t="shared" si="1"/>
        <v>-</v>
      </c>
      <c r="Q31" s="39"/>
      <c r="R31" s="72">
        <f t="shared" si="17"/>
        <v>20318869128.55481</v>
      </c>
      <c r="S31" s="39"/>
      <c r="T31" s="72">
        <f t="shared" si="18"/>
        <v>20318869000</v>
      </c>
      <c r="U31" s="39"/>
      <c r="V31" s="72">
        <f t="shared" si="2"/>
        <v>5093300392.5390186</v>
      </c>
      <c r="W31" s="72">
        <f t="shared" si="19"/>
        <v>3081530501.1137352</v>
      </c>
      <c r="X31" s="39"/>
      <c r="Y31" s="72">
        <f t="shared" si="3"/>
        <v>284464100</v>
      </c>
      <c r="Z31" s="72">
        <f t="shared" si="20"/>
        <v>172105458.75243157</v>
      </c>
      <c r="AA31" s="39"/>
      <c r="AB31" s="72">
        <f t="shared" si="4"/>
        <v>0</v>
      </c>
      <c r="AC31" s="72">
        <f t="shared" si="21"/>
        <v>0</v>
      </c>
      <c r="AD31" s="39"/>
      <c r="AE31" s="72">
        <f t="shared" si="5"/>
        <v>0</v>
      </c>
      <c r="AF31" s="72">
        <f t="shared" si="22"/>
        <v>0</v>
      </c>
      <c r="AG31" s="39"/>
      <c r="AH31" s="72">
        <f t="shared" si="6"/>
        <v>6440000000</v>
      </c>
      <c r="AI31" s="72">
        <f t="shared" si="23"/>
        <v>3896305911.2403264</v>
      </c>
      <c r="AJ31" s="39"/>
      <c r="AK31" s="72">
        <f t="shared" si="7"/>
        <v>0</v>
      </c>
      <c r="AL31" s="72">
        <f t="shared" si="24"/>
        <v>0</v>
      </c>
      <c r="AM31" s="39"/>
      <c r="AN31" s="72">
        <f t="shared" si="8"/>
        <v>0</v>
      </c>
      <c r="AO31" s="72">
        <f t="shared" si="25"/>
        <v>0</v>
      </c>
      <c r="AP31" s="39"/>
      <c r="AQ31" s="72">
        <f t="shared" si="9"/>
        <v>0</v>
      </c>
      <c r="AR31" s="72">
        <f t="shared" si="26"/>
        <v>0</v>
      </c>
      <c r="AS31" s="39"/>
      <c r="AT31" s="40">
        <f>IF($K31&lt;=$F$15,IF($F$40&lt;&gt;"",$F$40/1000,IF(ISERROR(VLOOKUP($F$3&amp;IF($G$4&lt;&gt;"",$G$4,"")&amp;IF($F$43&lt;&gt;"","_"&amp;$F$43,""),'表3）燃料価格'!$AF$9:$AG$25,2,0)),0,VLOOKUP($I31,'表3）燃料価格'!$A$6:$U$66,VLOOKUP($F$3&amp;IF($G$4&lt;&gt;"",$G$4,"")&amp;IF($F$43&lt;&gt;"","_"&amp;$F$43,""),'表3）燃料価格'!$AF$9:$AG$25,2,0)+VLOOKUP($F$41,'表3）燃料価格'!$AF$28:$AG$29,2,0),0)*IF($F$43="需要地価格",1,$F$8/$F$141))),"")</f>
        <v>0</v>
      </c>
      <c r="AU31" s="39"/>
      <c r="AV31" s="72">
        <f t="shared" si="10"/>
        <v>0</v>
      </c>
      <c r="AW31" s="72">
        <f t="shared" si="27"/>
        <v>0</v>
      </c>
      <c r="AX31" s="39"/>
      <c r="AY31" s="40">
        <f>IF(ISERROR(IF($K31&lt;=$F$15,VLOOKUP($I31,'表4）CO2価格'!$A$7:$E$67,VLOOKUP($F$48,'表4）CO2価格'!$H$10:$I$12,2,0),0)*$F$8/1000,"")),0,IF($K31&lt;=$F$15,VLOOKUP($I31,'表4）CO2価格'!$A$7:$E$67,VLOOKUP($F$48,'表4）CO2価格'!$H$10:$I$12,2,0),0)*$F$8/1000,""))</f>
        <v>0</v>
      </c>
      <c r="AZ31" s="39"/>
      <c r="BA31" s="42">
        <f t="shared" si="11"/>
        <v>0</v>
      </c>
      <c r="BB31" s="72">
        <f t="shared" si="28"/>
        <v>0</v>
      </c>
      <c r="BC31" s="39"/>
      <c r="BD31" s="72">
        <f t="shared" si="12"/>
        <v>0</v>
      </c>
      <c r="BE31" s="72">
        <f t="shared" si="29"/>
        <v>0</v>
      </c>
      <c r="BF31" s="39"/>
      <c r="BG31" s="42">
        <f t="shared" si="13"/>
        <v>0</v>
      </c>
      <c r="BH31" s="72">
        <f t="shared" si="30"/>
        <v>0</v>
      </c>
      <c r="BI31" s="39"/>
      <c r="BJ31" s="40">
        <f t="shared" si="31"/>
        <v>0.19784466890013502</v>
      </c>
      <c r="BK31" s="157">
        <f t="shared" si="32"/>
        <v>1330399373.3953445</v>
      </c>
      <c r="BL31" s="157">
        <f t="shared" si="14"/>
        <v>201388462.60947427</v>
      </c>
      <c r="BM31" s="72"/>
      <c r="BN31" s="72">
        <f t="shared" si="33"/>
        <v>29152219463.963634</v>
      </c>
      <c r="BO31" s="72">
        <f t="shared" si="34"/>
        <v>17637572208.574039</v>
      </c>
      <c r="BP31" s="39"/>
      <c r="BQ31" s="72">
        <f t="shared" si="15"/>
        <v>1017912000.0000001</v>
      </c>
      <c r="BR31" s="72">
        <f t="shared" si="35"/>
        <v>615853500.42274284</v>
      </c>
    </row>
    <row r="32" spans="3:70" x14ac:dyDescent="0.15">
      <c r="I32" s="457">
        <f t="shared" si="36"/>
        <v>2047</v>
      </c>
      <c r="J32" s="71"/>
      <c r="K32" s="71">
        <f t="shared" si="37"/>
        <v>18</v>
      </c>
      <c r="L32" s="71"/>
      <c r="M32" s="7">
        <f t="shared" si="0"/>
        <v>0.5873946076162827</v>
      </c>
      <c r="N32" s="71"/>
      <c r="O32" s="10">
        <f t="shared" si="16"/>
        <v>0</v>
      </c>
      <c r="P32" s="29" t="str">
        <f t="shared" si="1"/>
        <v>-</v>
      </c>
      <c r="Q32" s="71"/>
      <c r="R32" s="10">
        <f t="shared" si="17"/>
        <v>17745000000</v>
      </c>
      <c r="S32" s="71"/>
      <c r="T32" s="10">
        <f t="shared" si="18"/>
        <v>17745000000</v>
      </c>
      <c r="U32" s="71"/>
      <c r="V32" s="10">
        <f t="shared" si="2"/>
        <v>0</v>
      </c>
      <c r="W32" s="10">
        <f t="shared" si="19"/>
        <v>0</v>
      </c>
      <c r="X32" s="71"/>
      <c r="Y32" s="10">
        <f t="shared" si="3"/>
        <v>248430000</v>
      </c>
      <c r="Z32" s="10">
        <f t="shared" si="20"/>
        <v>145926442.3701131</v>
      </c>
      <c r="AA32" s="71"/>
      <c r="AB32" s="10">
        <f t="shared" si="4"/>
        <v>0</v>
      </c>
      <c r="AC32" s="10">
        <f t="shared" si="21"/>
        <v>0</v>
      </c>
      <c r="AD32" s="71"/>
      <c r="AE32" s="10">
        <f t="shared" si="5"/>
        <v>0</v>
      </c>
      <c r="AF32" s="10">
        <f t="shared" si="22"/>
        <v>0</v>
      </c>
      <c r="AG32" s="71"/>
      <c r="AH32" s="10">
        <f t="shared" si="6"/>
        <v>6440000000</v>
      </c>
      <c r="AI32" s="10">
        <f t="shared" si="23"/>
        <v>3782821273.0488605</v>
      </c>
      <c r="AJ32" s="71"/>
      <c r="AK32" s="10">
        <f t="shared" si="7"/>
        <v>0</v>
      </c>
      <c r="AL32" s="10">
        <f t="shared" si="24"/>
        <v>0</v>
      </c>
      <c r="AM32" s="71"/>
      <c r="AN32" s="10">
        <f t="shared" si="8"/>
        <v>0</v>
      </c>
      <c r="AO32" s="10">
        <f t="shared" si="25"/>
        <v>0</v>
      </c>
      <c r="AP32" s="71"/>
      <c r="AQ32" s="10">
        <f t="shared" si="9"/>
        <v>0</v>
      </c>
      <c r="AR32" s="10">
        <f t="shared" si="26"/>
        <v>0</v>
      </c>
      <c r="AS32" s="71"/>
      <c r="AT32" s="7">
        <f>IF($K32&lt;=$F$15,IF($F$40&lt;&gt;"",$F$40/1000,IF(ISERROR(VLOOKUP($F$3&amp;IF($G$4&lt;&gt;"",$G$4,"")&amp;IF($F$43&lt;&gt;"","_"&amp;$F$43,""),'表3）燃料価格'!$AF$9:$AG$25,2,0)),0,VLOOKUP($I32,'表3）燃料価格'!$A$6:$U$66,VLOOKUP($F$3&amp;IF($G$4&lt;&gt;"",$G$4,"")&amp;IF($F$43&lt;&gt;"","_"&amp;$F$43,""),'表3）燃料価格'!$AF$9:$AG$25,2,0)+VLOOKUP($F$41,'表3）燃料価格'!$AF$28:$AG$29,2,0),0)*IF($F$43="需要地価格",1,$F$8/$F$141))),"")</f>
        <v>0</v>
      </c>
      <c r="AU32" s="71"/>
      <c r="AV32" s="10">
        <f t="shared" si="10"/>
        <v>0</v>
      </c>
      <c r="AW32" s="10">
        <f t="shared" si="27"/>
        <v>0</v>
      </c>
      <c r="AX32" s="71"/>
      <c r="AY32" s="7">
        <f>IF(ISERROR(IF($K32&lt;=$F$15,VLOOKUP($I32,'表4）CO2価格'!$A$7:$E$67,VLOOKUP($F$48,'表4）CO2価格'!$H$10:$I$12,2,0),0)*$F$8/1000,"")),0,IF($K32&lt;=$F$15,VLOOKUP($I32,'表4）CO2価格'!$A$7:$E$67,VLOOKUP($F$48,'表4）CO2価格'!$H$10:$I$12,2,0),0)*$F$8/1000,""))</f>
        <v>0</v>
      </c>
      <c r="AZ32" s="71"/>
      <c r="BA32" s="11">
        <f t="shared" si="11"/>
        <v>0</v>
      </c>
      <c r="BB32" s="10">
        <f t="shared" si="28"/>
        <v>0</v>
      </c>
      <c r="BC32" s="71"/>
      <c r="BD32" s="10">
        <f t="shared" si="12"/>
        <v>0</v>
      </c>
      <c r="BE32" s="10">
        <f t="shared" si="29"/>
        <v>0</v>
      </c>
      <c r="BF32" s="71"/>
      <c r="BG32" s="11">
        <f t="shared" si="13"/>
        <v>0</v>
      </c>
      <c r="BH32" s="10">
        <f t="shared" si="30"/>
        <v>0</v>
      </c>
      <c r="BJ32" s="7">
        <f t="shared" si="31"/>
        <v>0.17985878990921364</v>
      </c>
      <c r="BK32" s="158">
        <f t="shared" si="32"/>
        <v>1202972926.1924818</v>
      </c>
      <c r="BL32" s="158">
        <f t="shared" si="14"/>
        <v>183080420.55406749</v>
      </c>
      <c r="BM32" s="10"/>
      <c r="BN32" s="10">
        <f t="shared" si="33"/>
        <v>29152219463.963634</v>
      </c>
      <c r="BO32" s="10">
        <f t="shared" si="34"/>
        <v>17123856513.178679</v>
      </c>
      <c r="BQ32" s="10">
        <f t="shared" si="15"/>
        <v>1017912000.0000001</v>
      </c>
      <c r="BR32" s="10">
        <f t="shared" si="35"/>
        <v>597916019.82790565</v>
      </c>
    </row>
    <row r="33" spans="3:70" x14ac:dyDescent="0.15">
      <c r="D33" s="160" t="s">
        <v>232</v>
      </c>
      <c r="F33" s="475">
        <v>1.84</v>
      </c>
      <c r="G33" s="84" t="s">
        <v>569</v>
      </c>
      <c r="I33" s="38">
        <f t="shared" si="36"/>
        <v>2048</v>
      </c>
      <c r="J33" s="39"/>
      <c r="K33" s="39">
        <f t="shared" si="37"/>
        <v>19</v>
      </c>
      <c r="L33" s="39"/>
      <c r="M33" s="40">
        <f t="shared" si="0"/>
        <v>0.57028602681192497</v>
      </c>
      <c r="N33" s="39"/>
      <c r="O33" s="72">
        <f t="shared" si="16"/>
        <v>0</v>
      </c>
      <c r="P33" s="41" t="str">
        <f t="shared" si="1"/>
        <v>-</v>
      </c>
      <c r="Q33" s="39"/>
      <c r="R33" s="72">
        <f t="shared" si="17"/>
        <v>15497172751.483555</v>
      </c>
      <c r="S33" s="39"/>
      <c r="T33" s="72">
        <f t="shared" si="18"/>
        <v>15497172000</v>
      </c>
      <c r="U33" s="39"/>
      <c r="V33" s="72">
        <f t="shared" si="2"/>
        <v>0</v>
      </c>
      <c r="W33" s="72">
        <f t="shared" si="19"/>
        <v>0</v>
      </c>
      <c r="X33" s="39"/>
      <c r="Y33" s="72">
        <f t="shared" si="3"/>
        <v>216960400</v>
      </c>
      <c r="Z33" s="72">
        <f t="shared" si="20"/>
        <v>123729484.49152596</v>
      </c>
      <c r="AA33" s="39"/>
      <c r="AB33" s="72">
        <f t="shared" si="4"/>
        <v>0</v>
      </c>
      <c r="AC33" s="72">
        <f t="shared" si="21"/>
        <v>0</v>
      </c>
      <c r="AD33" s="39"/>
      <c r="AE33" s="72">
        <f t="shared" si="5"/>
        <v>0</v>
      </c>
      <c r="AF33" s="72">
        <f t="shared" si="22"/>
        <v>0</v>
      </c>
      <c r="AG33" s="39"/>
      <c r="AH33" s="72">
        <f t="shared" si="6"/>
        <v>6440000000</v>
      </c>
      <c r="AI33" s="72">
        <f t="shared" si="23"/>
        <v>3672642012.668797</v>
      </c>
      <c r="AJ33" s="39"/>
      <c r="AK33" s="72">
        <f t="shared" si="7"/>
        <v>0</v>
      </c>
      <c r="AL33" s="72">
        <f t="shared" si="24"/>
        <v>0</v>
      </c>
      <c r="AM33" s="39"/>
      <c r="AN33" s="72">
        <f t="shared" si="8"/>
        <v>0</v>
      </c>
      <c r="AO33" s="72">
        <f t="shared" si="25"/>
        <v>0</v>
      </c>
      <c r="AP33" s="39"/>
      <c r="AQ33" s="72">
        <f t="shared" si="9"/>
        <v>0</v>
      </c>
      <c r="AR33" s="72">
        <f t="shared" si="26"/>
        <v>0</v>
      </c>
      <c r="AS33" s="39"/>
      <c r="AT33" s="40">
        <f>IF($K33&lt;=$F$15,IF($F$40&lt;&gt;"",$F$40/1000,IF(ISERROR(VLOOKUP($F$3&amp;IF($G$4&lt;&gt;"",$G$4,"")&amp;IF($F$43&lt;&gt;"","_"&amp;$F$43,""),'表3）燃料価格'!$AF$9:$AG$25,2,0)),0,VLOOKUP($I33,'表3）燃料価格'!$A$6:$U$66,VLOOKUP($F$3&amp;IF($G$4&lt;&gt;"",$G$4,"")&amp;IF($F$43&lt;&gt;"","_"&amp;$F$43,""),'表3）燃料価格'!$AF$9:$AG$25,2,0)+VLOOKUP($F$41,'表3）燃料価格'!$AF$28:$AG$29,2,0),0)*IF($F$43="需要地価格",1,$F$8/$F$141))),"")</f>
        <v>0</v>
      </c>
      <c r="AU33" s="39"/>
      <c r="AV33" s="72">
        <f t="shared" si="10"/>
        <v>0</v>
      </c>
      <c r="AW33" s="72">
        <f t="shared" si="27"/>
        <v>0</v>
      </c>
      <c r="AX33" s="39"/>
      <c r="AY33" s="40">
        <f>IF(ISERROR(IF($K33&lt;=$F$15,VLOOKUP($I33,'表4）CO2価格'!$A$7:$E$67,VLOOKUP($F$48,'表4）CO2価格'!$H$10:$I$12,2,0),0)*$F$8/1000,"")),0,IF($K33&lt;=$F$15,VLOOKUP($I33,'表4）CO2価格'!$A$7:$E$67,VLOOKUP($F$48,'表4）CO2価格'!$H$10:$I$12,2,0),0)*$F$8/1000,""))</f>
        <v>0</v>
      </c>
      <c r="AZ33" s="39"/>
      <c r="BA33" s="42">
        <f t="shared" si="11"/>
        <v>0</v>
      </c>
      <c r="BB33" s="72">
        <f t="shared" si="28"/>
        <v>0</v>
      </c>
      <c r="BC33" s="39"/>
      <c r="BD33" s="72">
        <f t="shared" si="12"/>
        <v>0</v>
      </c>
      <c r="BE33" s="72">
        <f t="shared" si="29"/>
        <v>0</v>
      </c>
      <c r="BF33" s="39"/>
      <c r="BG33" s="42">
        <f t="shared" si="13"/>
        <v>0</v>
      </c>
      <c r="BH33" s="72">
        <f t="shared" si="30"/>
        <v>0</v>
      </c>
      <c r="BI33" s="39"/>
      <c r="BJ33" s="40">
        <f t="shared" si="31"/>
        <v>0.16350799082655781</v>
      </c>
      <c r="BK33" s="157">
        <f t="shared" si="32"/>
        <v>1088466220.0159585</v>
      </c>
      <c r="BL33" s="157">
        <f t="shared" si="14"/>
        <v>166436745.95824313</v>
      </c>
      <c r="BM33" s="72"/>
      <c r="BN33" s="72">
        <f t="shared" si="33"/>
        <v>29152219463.963634</v>
      </c>
      <c r="BO33" s="72">
        <f t="shared" si="34"/>
        <v>16625103410.853086</v>
      </c>
      <c r="BP33" s="39"/>
      <c r="BQ33" s="72">
        <f t="shared" si="15"/>
        <v>1017912000.0000001</v>
      </c>
      <c r="BR33" s="72">
        <f t="shared" si="35"/>
        <v>580500990.1241802</v>
      </c>
    </row>
    <row r="34" spans="3:70" x14ac:dyDescent="0.15">
      <c r="D34" s="160"/>
      <c r="F34" s="475"/>
      <c r="I34" s="457">
        <f t="shared" si="36"/>
        <v>2049</v>
      </c>
      <c r="J34" s="71"/>
      <c r="K34" s="71">
        <f t="shared" si="37"/>
        <v>20</v>
      </c>
      <c r="L34" s="71"/>
      <c r="M34" s="7">
        <f t="shared" si="0"/>
        <v>0.55367575418633497</v>
      </c>
      <c r="N34" s="71"/>
      <c r="O34" s="10">
        <f t="shared" si="16"/>
        <v>0</v>
      </c>
      <c r="P34" s="29" t="str">
        <f t="shared" si="1"/>
        <v>-</v>
      </c>
      <c r="Q34" s="71"/>
      <c r="R34" s="10">
        <f t="shared" si="17"/>
        <v>13534086406.837103</v>
      </c>
      <c r="S34" s="71"/>
      <c r="T34" s="10">
        <f t="shared" si="18"/>
        <v>13534086000</v>
      </c>
      <c r="U34" s="71"/>
      <c r="V34" s="10">
        <f t="shared" si="2"/>
        <v>0</v>
      </c>
      <c r="W34" s="10">
        <f t="shared" si="19"/>
        <v>0</v>
      </c>
      <c r="X34" s="71"/>
      <c r="Y34" s="10">
        <f t="shared" si="3"/>
        <v>189477200</v>
      </c>
      <c r="Z34" s="10">
        <f t="shared" si="20"/>
        <v>104908931.61111502</v>
      </c>
      <c r="AA34" s="71"/>
      <c r="AB34" s="10">
        <f t="shared" si="4"/>
        <v>0</v>
      </c>
      <c r="AC34" s="10">
        <f t="shared" si="21"/>
        <v>0</v>
      </c>
      <c r="AD34" s="71"/>
      <c r="AE34" s="10">
        <f t="shared" si="5"/>
        <v>0</v>
      </c>
      <c r="AF34" s="10">
        <f t="shared" si="22"/>
        <v>0</v>
      </c>
      <c r="AG34" s="71"/>
      <c r="AH34" s="10">
        <f t="shared" si="6"/>
        <v>6440000000</v>
      </c>
      <c r="AI34" s="10">
        <f t="shared" si="23"/>
        <v>3565671856.9599972</v>
      </c>
      <c r="AJ34" s="71"/>
      <c r="AK34" s="10">
        <f t="shared" si="7"/>
        <v>0</v>
      </c>
      <c r="AL34" s="10">
        <f t="shared" si="24"/>
        <v>0</v>
      </c>
      <c r="AM34" s="71"/>
      <c r="AN34" s="10">
        <f t="shared" si="8"/>
        <v>0</v>
      </c>
      <c r="AO34" s="10">
        <f t="shared" si="25"/>
        <v>0</v>
      </c>
      <c r="AP34" s="71"/>
      <c r="AQ34" s="10">
        <f t="shared" si="9"/>
        <v>0</v>
      </c>
      <c r="AR34" s="10">
        <f t="shared" si="26"/>
        <v>0</v>
      </c>
      <c r="AS34" s="71"/>
      <c r="AT34" s="7">
        <f>IF($K34&lt;=$F$15,IF($F$40&lt;&gt;"",$F$40/1000,IF(ISERROR(VLOOKUP($F$3&amp;IF($G$4&lt;&gt;"",$G$4,"")&amp;IF($F$43&lt;&gt;"","_"&amp;$F$43,""),'表3）燃料価格'!$AF$9:$AG$25,2,0)),0,VLOOKUP($I34,'表3）燃料価格'!$A$6:$U$66,VLOOKUP($F$3&amp;IF($G$4&lt;&gt;"",$G$4,"")&amp;IF($F$43&lt;&gt;"","_"&amp;$F$43,""),'表3）燃料価格'!$AF$9:$AG$25,2,0)+VLOOKUP($F$41,'表3）燃料価格'!$AF$28:$AG$29,2,0),0)*IF($F$43="需要地価格",1,$F$8/$F$141))),"")</f>
        <v>0</v>
      </c>
      <c r="AU34" s="71"/>
      <c r="AV34" s="10">
        <f t="shared" si="10"/>
        <v>0</v>
      </c>
      <c r="AW34" s="10">
        <f t="shared" si="27"/>
        <v>0</v>
      </c>
      <c r="AX34" s="71"/>
      <c r="AY34" s="7">
        <f>IF(ISERROR(IF($K34&lt;=$F$15,VLOOKUP($I34,'表4）CO2価格'!$A$7:$E$67,VLOOKUP($F$48,'表4）CO2価格'!$H$10:$I$12,2,0),0)*$F$8/1000,"")),0,IF($K34&lt;=$F$15,VLOOKUP($I34,'表4）CO2価格'!$A$7:$E$67,VLOOKUP($F$48,'表4）CO2価格'!$H$10:$I$12,2,0),0)*$F$8/1000,""))</f>
        <v>0</v>
      </c>
      <c r="AZ34" s="71"/>
      <c r="BA34" s="11">
        <f t="shared" si="11"/>
        <v>0</v>
      </c>
      <c r="BB34" s="10">
        <f t="shared" si="28"/>
        <v>0</v>
      </c>
      <c r="BC34" s="71"/>
      <c r="BD34" s="10">
        <f t="shared" si="12"/>
        <v>0</v>
      </c>
      <c r="BE34" s="10">
        <f t="shared" si="29"/>
        <v>0</v>
      </c>
      <c r="BF34" s="71"/>
      <c r="BG34" s="11">
        <f t="shared" si="13"/>
        <v>0</v>
      </c>
      <c r="BH34" s="10">
        <f t="shared" si="30"/>
        <v>0</v>
      </c>
      <c r="BJ34" s="7">
        <f t="shared" si="31"/>
        <v>0.14864362802414349</v>
      </c>
      <c r="BK34" s="158">
        <f t="shared" si="32"/>
        <v>985429542.91134036</v>
      </c>
      <c r="BL34" s="158">
        <f t="shared" si="14"/>
        <v>151306132.68931198</v>
      </c>
      <c r="BM34" s="10"/>
      <c r="BN34" s="10">
        <f t="shared" si="33"/>
        <v>29152219463.963634</v>
      </c>
      <c r="BO34" s="10">
        <f t="shared" si="34"/>
        <v>16140877097.915619</v>
      </c>
      <c r="BQ34" s="10">
        <f t="shared" si="15"/>
        <v>1017912000.0000001</v>
      </c>
      <c r="BR34" s="10">
        <f t="shared" si="35"/>
        <v>563593194.29532063</v>
      </c>
    </row>
    <row r="35" spans="3:70" x14ac:dyDescent="0.15">
      <c r="D35" s="160"/>
      <c r="F35" s="475"/>
      <c r="I35" s="38">
        <f t="shared" si="36"/>
        <v>2050</v>
      </c>
      <c r="J35" s="39"/>
      <c r="K35" s="39">
        <f t="shared" si="37"/>
        <v>21</v>
      </c>
      <c r="L35" s="39"/>
      <c r="M35" s="40">
        <f t="shared" si="0"/>
        <v>0.5375492759090631</v>
      </c>
      <c r="N35" s="39"/>
      <c r="O35" s="72">
        <f t="shared" si="16"/>
        <v>0</v>
      </c>
      <c r="P35" s="41" t="str">
        <f t="shared" si="1"/>
        <v>-</v>
      </c>
      <c r="Q35" s="39"/>
      <c r="R35" s="72">
        <f t="shared" si="17"/>
        <v>11819671743.040852</v>
      </c>
      <c r="S35" s="39"/>
      <c r="T35" s="72">
        <f t="shared" si="18"/>
        <v>11819671000</v>
      </c>
      <c r="U35" s="39"/>
      <c r="V35" s="72">
        <f t="shared" si="2"/>
        <v>0</v>
      </c>
      <c r="W35" s="72">
        <f t="shared" si="19"/>
        <v>0</v>
      </c>
      <c r="X35" s="39"/>
      <c r="Y35" s="72">
        <f t="shared" si="3"/>
        <v>165475300</v>
      </c>
      <c r="Z35" s="72">
        <f t="shared" si="20"/>
        <v>88951127.695834994</v>
      </c>
      <c r="AA35" s="39"/>
      <c r="AB35" s="72">
        <f t="shared" si="4"/>
        <v>0</v>
      </c>
      <c r="AC35" s="72">
        <f t="shared" si="21"/>
        <v>0</v>
      </c>
      <c r="AD35" s="39"/>
      <c r="AE35" s="72">
        <f t="shared" si="5"/>
        <v>0</v>
      </c>
      <c r="AF35" s="72">
        <f t="shared" si="22"/>
        <v>0</v>
      </c>
      <c r="AG35" s="39"/>
      <c r="AH35" s="72">
        <f t="shared" si="6"/>
        <v>6440000000</v>
      </c>
      <c r="AI35" s="72">
        <f t="shared" si="23"/>
        <v>3461817336.8543663</v>
      </c>
      <c r="AJ35" s="39"/>
      <c r="AK35" s="72">
        <f t="shared" si="7"/>
        <v>0</v>
      </c>
      <c r="AL35" s="72">
        <f t="shared" si="24"/>
        <v>0</v>
      </c>
      <c r="AM35" s="39"/>
      <c r="AN35" s="72">
        <f t="shared" si="8"/>
        <v>0</v>
      </c>
      <c r="AO35" s="72">
        <f t="shared" si="25"/>
        <v>0</v>
      </c>
      <c r="AP35" s="39"/>
      <c r="AQ35" s="72">
        <f t="shared" si="9"/>
        <v>0</v>
      </c>
      <c r="AR35" s="72">
        <f t="shared" si="26"/>
        <v>0</v>
      </c>
      <c r="AS35" s="39"/>
      <c r="AT35" s="40">
        <f>IF($K35&lt;=$F$15,IF($F$40&lt;&gt;"",$F$40/1000,IF(ISERROR(VLOOKUP($F$3&amp;IF($G$4&lt;&gt;"",$G$4,"")&amp;IF($F$43&lt;&gt;"","_"&amp;$F$43,""),'表3）燃料価格'!$AF$9:$AG$25,2,0)),0,VLOOKUP($I35,'表3）燃料価格'!$A$6:$U$66,VLOOKUP($F$3&amp;IF($G$4&lt;&gt;"",$G$4,"")&amp;IF($F$43&lt;&gt;"","_"&amp;$F$43,""),'表3）燃料価格'!$AF$9:$AG$25,2,0)+VLOOKUP($F$41,'表3）燃料価格'!$AF$28:$AG$29,2,0),0)*IF($F$43="需要地価格",1,$F$8/$F$141))),"")</f>
        <v>0</v>
      </c>
      <c r="AU35" s="39"/>
      <c r="AV35" s="72">
        <f t="shared" si="10"/>
        <v>0</v>
      </c>
      <c r="AW35" s="72">
        <f t="shared" si="27"/>
        <v>0</v>
      </c>
      <c r="AX35" s="39"/>
      <c r="AY35" s="40">
        <f>IF(ISERROR(IF($K35&lt;=$F$15,VLOOKUP($I35,'表4）CO2価格'!$A$7:$E$67,VLOOKUP($F$48,'表4）CO2価格'!$H$10:$I$12,2,0),0)*$F$8/1000,"")),0,IF($K35&lt;=$F$15,VLOOKUP($I35,'表4）CO2価格'!$A$7:$E$67,VLOOKUP($F$48,'表4）CO2価格'!$H$10:$I$12,2,0),0)*$F$8/1000,""))</f>
        <v>0</v>
      </c>
      <c r="AZ35" s="39"/>
      <c r="BA35" s="42">
        <f t="shared" si="11"/>
        <v>0</v>
      </c>
      <c r="BB35" s="72">
        <f t="shared" si="28"/>
        <v>0</v>
      </c>
      <c r="BC35" s="39"/>
      <c r="BD35" s="72">
        <f t="shared" si="12"/>
        <v>0</v>
      </c>
      <c r="BE35" s="72">
        <f t="shared" si="29"/>
        <v>0</v>
      </c>
      <c r="BF35" s="39"/>
      <c r="BG35" s="42">
        <f t="shared" si="13"/>
        <v>0</v>
      </c>
      <c r="BH35" s="72">
        <f t="shared" si="30"/>
        <v>0</v>
      </c>
      <c r="BI35" s="39"/>
      <c r="BJ35" s="40">
        <f t="shared" si="31"/>
        <v>0.13513057093103953</v>
      </c>
      <c r="BK35" s="157">
        <f t="shared" si="32"/>
        <v>5060639881.3674307</v>
      </c>
      <c r="BL35" s="157" t="str">
        <f t="shared" si="14"/>
        <v/>
      </c>
      <c r="BM35" s="72"/>
      <c r="BN35" s="72" t="str">
        <f t="shared" si="33"/>
        <v/>
      </c>
      <c r="BO35" s="72" t="str">
        <f t="shared" si="34"/>
        <v/>
      </c>
      <c r="BP35" s="39"/>
      <c r="BQ35" s="72">
        <f t="shared" si="15"/>
        <v>1017912000.0000001</v>
      </c>
      <c r="BR35" s="72">
        <f t="shared" si="35"/>
        <v>547177858.5391463</v>
      </c>
    </row>
    <row r="36" spans="3:70" x14ac:dyDescent="0.15">
      <c r="D36" s="160"/>
      <c r="F36" s="480"/>
      <c r="I36" s="457">
        <f t="shared" si="36"/>
        <v>2051</v>
      </c>
      <c r="J36" s="71"/>
      <c r="K36" s="71">
        <f t="shared" si="37"/>
        <v>22</v>
      </c>
      <c r="L36" s="71"/>
      <c r="M36" s="7">
        <f t="shared" si="0"/>
        <v>0.52189250088258554</v>
      </c>
      <c r="N36" s="71"/>
      <c r="O36" s="10">
        <f t="shared" si="16"/>
        <v>0</v>
      </c>
      <c r="P36" s="29" t="str">
        <f t="shared" si="1"/>
        <v>-</v>
      </c>
      <c r="Q36" s="71"/>
      <c r="R36" s="10">
        <f t="shared" si="17"/>
        <v>10322428563.9748</v>
      </c>
      <c r="S36" s="71"/>
      <c r="T36" s="10">
        <f t="shared" si="18"/>
        <v>10322428000</v>
      </c>
      <c r="U36" s="71"/>
      <c r="V36" s="10">
        <f t="shared" si="2"/>
        <v>0</v>
      </c>
      <c r="W36" s="10">
        <f t="shared" si="19"/>
        <v>0</v>
      </c>
      <c r="X36" s="71"/>
      <c r="Y36" s="10">
        <f t="shared" si="3"/>
        <v>144513900</v>
      </c>
      <c r="Z36" s="10">
        <f t="shared" si="20"/>
        <v>75420720.683295876</v>
      </c>
      <c r="AA36" s="71"/>
      <c r="AB36" s="10">
        <f t="shared" si="4"/>
        <v>0</v>
      </c>
      <c r="AC36" s="10">
        <f t="shared" si="21"/>
        <v>0</v>
      </c>
      <c r="AD36" s="71"/>
      <c r="AE36" s="10">
        <f t="shared" si="5"/>
        <v>0</v>
      </c>
      <c r="AF36" s="10">
        <f t="shared" si="22"/>
        <v>0</v>
      </c>
      <c r="AG36" s="71"/>
      <c r="AH36" s="10">
        <f t="shared" si="6"/>
        <v>6440000000</v>
      </c>
      <c r="AI36" s="10">
        <f t="shared" si="23"/>
        <v>3360987705.6838508</v>
      </c>
      <c r="AJ36" s="71"/>
      <c r="AK36" s="10">
        <f t="shared" si="7"/>
        <v>0</v>
      </c>
      <c r="AL36" s="10">
        <f t="shared" si="24"/>
        <v>0</v>
      </c>
      <c r="AM36" s="71"/>
      <c r="AN36" s="10">
        <f t="shared" si="8"/>
        <v>0</v>
      </c>
      <c r="AO36" s="10">
        <f t="shared" si="25"/>
        <v>0</v>
      </c>
      <c r="AP36" s="71"/>
      <c r="AQ36" s="10">
        <f t="shared" si="9"/>
        <v>0</v>
      </c>
      <c r="AR36" s="10">
        <f t="shared" si="26"/>
        <v>0</v>
      </c>
      <c r="AS36" s="71"/>
      <c r="AT36" s="7">
        <f>IF($K36&lt;=$F$15,IF($F$40&lt;&gt;"",$F$40/1000,IF(ISERROR(VLOOKUP($F$3&amp;IF($G$4&lt;&gt;"",$G$4,"")&amp;IF($F$43&lt;&gt;"","_"&amp;$F$43,""),'表3）燃料価格'!$AF$9:$AG$25,2,0)),0,VLOOKUP($I36,'表3）燃料価格'!$A$6:$U$66,VLOOKUP($F$3&amp;IF($G$4&lt;&gt;"",$G$4,"")&amp;IF($F$43&lt;&gt;"","_"&amp;$F$43,""),'表3）燃料価格'!$AF$9:$AG$25,2,0)+VLOOKUP($F$41,'表3）燃料価格'!$AF$28:$AG$29,2,0),0)*IF($F$43="需要地価格",1,$F$8/$F$141))),"")</f>
        <v>0</v>
      </c>
      <c r="AU36" s="71"/>
      <c r="AV36" s="10">
        <f t="shared" si="10"/>
        <v>0</v>
      </c>
      <c r="AW36" s="10">
        <f t="shared" si="27"/>
        <v>0</v>
      </c>
      <c r="AX36" s="71"/>
      <c r="AY36" s="7">
        <f>IF(ISERROR(IF($K36&lt;=$F$15,VLOOKUP($I36,'表4）CO2価格'!$A$7:$E$67,VLOOKUP($F$48,'表4）CO2価格'!$H$10:$I$12,2,0),0)*$F$8/1000,"")),0,IF($K36&lt;=$F$15,VLOOKUP($I36,'表4）CO2価格'!$A$7:$E$67,VLOOKUP($F$48,'表4）CO2価格'!$H$10:$I$12,2,0),0)*$F$8/1000,""))</f>
        <v>0</v>
      </c>
      <c r="AZ36" s="71"/>
      <c r="BA36" s="11">
        <f t="shared" si="11"/>
        <v>0</v>
      </c>
      <c r="BB36" s="10">
        <f t="shared" si="28"/>
        <v>0</v>
      </c>
      <c r="BC36" s="71"/>
      <c r="BD36" s="10">
        <f t="shared" si="12"/>
        <v>0</v>
      </c>
      <c r="BE36" s="10">
        <f t="shared" si="29"/>
        <v>0</v>
      </c>
      <c r="BF36" s="71"/>
      <c r="BG36" s="11">
        <f t="shared" si="13"/>
        <v>0</v>
      </c>
      <c r="BH36" s="10">
        <f t="shared" si="30"/>
        <v>0</v>
      </c>
      <c r="BJ36" s="7" t="str">
        <f t="shared" si="31"/>
        <v/>
      </c>
      <c r="BK36" s="158" t="str">
        <f t="shared" si="32"/>
        <v/>
      </c>
      <c r="BL36" s="158" t="str">
        <f t="shared" si="14"/>
        <v/>
      </c>
      <c r="BM36" s="10"/>
      <c r="BN36" s="10" t="str">
        <f t="shared" si="33"/>
        <v/>
      </c>
      <c r="BO36" s="10" t="str">
        <f t="shared" si="34"/>
        <v/>
      </c>
      <c r="BQ36" s="10">
        <f t="shared" si="15"/>
        <v>1017912000.0000001</v>
      </c>
      <c r="BR36" s="10">
        <f t="shared" si="35"/>
        <v>531240639.3583945</v>
      </c>
    </row>
    <row r="37" spans="3:70" x14ac:dyDescent="0.15">
      <c r="I37" s="38">
        <f t="shared" si="36"/>
        <v>2052</v>
      </c>
      <c r="J37" s="39"/>
      <c r="K37" s="39">
        <f t="shared" si="37"/>
        <v>23</v>
      </c>
      <c r="L37" s="39"/>
      <c r="M37" s="40">
        <f t="shared" si="0"/>
        <v>0.50669174842969467</v>
      </c>
      <c r="N37" s="39"/>
      <c r="O37" s="72">
        <f t="shared" si="16"/>
        <v>0</v>
      </c>
      <c r="P37" s="41" t="str">
        <f t="shared" si="1"/>
        <v>-</v>
      </c>
      <c r="Q37" s="39"/>
      <c r="R37" s="72">
        <f t="shared" si="17"/>
        <v>9014846924.2471561</v>
      </c>
      <c r="S37" s="39"/>
      <c r="T37" s="72">
        <f t="shared" si="18"/>
        <v>9014846000</v>
      </c>
      <c r="U37" s="39"/>
      <c r="V37" s="72">
        <f t="shared" si="2"/>
        <v>0</v>
      </c>
      <c r="W37" s="72">
        <f t="shared" si="19"/>
        <v>0</v>
      </c>
      <c r="X37" s="39"/>
      <c r="Y37" s="72">
        <f t="shared" si="3"/>
        <v>126207800</v>
      </c>
      <c r="Z37" s="72">
        <f t="shared" si="20"/>
        <v>63948450.847465217</v>
      </c>
      <c r="AA37" s="39"/>
      <c r="AB37" s="72">
        <f t="shared" si="4"/>
        <v>0</v>
      </c>
      <c r="AC37" s="72">
        <f t="shared" si="21"/>
        <v>0</v>
      </c>
      <c r="AD37" s="39"/>
      <c r="AE37" s="72">
        <f t="shared" si="5"/>
        <v>0</v>
      </c>
      <c r="AF37" s="72">
        <f t="shared" si="22"/>
        <v>0</v>
      </c>
      <c r="AG37" s="39"/>
      <c r="AH37" s="72">
        <f t="shared" si="6"/>
        <v>6440000000</v>
      </c>
      <c r="AI37" s="72">
        <f t="shared" si="23"/>
        <v>3263094859.8872337</v>
      </c>
      <c r="AJ37" s="39"/>
      <c r="AK37" s="72">
        <f t="shared" si="7"/>
        <v>0</v>
      </c>
      <c r="AL37" s="72">
        <f t="shared" si="24"/>
        <v>0</v>
      </c>
      <c r="AM37" s="39"/>
      <c r="AN37" s="72">
        <f t="shared" si="8"/>
        <v>0</v>
      </c>
      <c r="AO37" s="72">
        <f t="shared" si="25"/>
        <v>0</v>
      </c>
      <c r="AP37" s="39"/>
      <c r="AQ37" s="72">
        <f t="shared" si="9"/>
        <v>0</v>
      </c>
      <c r="AR37" s="72">
        <f t="shared" si="26"/>
        <v>0</v>
      </c>
      <c r="AS37" s="39"/>
      <c r="AT37" s="40">
        <f>IF($K37&lt;=$F$15,IF($F$40&lt;&gt;"",$F$40/1000,IF(ISERROR(VLOOKUP($F$3&amp;IF($G$4&lt;&gt;"",$G$4,"")&amp;IF($F$43&lt;&gt;"","_"&amp;$F$43,""),'表3）燃料価格'!$AF$9:$AG$25,2,0)),0,VLOOKUP($I37,'表3）燃料価格'!$A$6:$U$66,VLOOKUP($F$3&amp;IF($G$4&lt;&gt;"",$G$4,"")&amp;IF($F$43&lt;&gt;"","_"&amp;$F$43,""),'表3）燃料価格'!$AF$9:$AG$25,2,0)+VLOOKUP($F$41,'表3）燃料価格'!$AF$28:$AG$29,2,0),0)*IF($F$43="需要地価格",1,$F$8/$F$141))),"")</f>
        <v>0</v>
      </c>
      <c r="AU37" s="39"/>
      <c r="AV37" s="72">
        <f t="shared" si="10"/>
        <v>0</v>
      </c>
      <c r="AW37" s="72">
        <f t="shared" si="27"/>
        <v>0</v>
      </c>
      <c r="AX37" s="39"/>
      <c r="AY37" s="40">
        <f>IF(ISERROR(IF($K37&lt;=$F$15,VLOOKUP($I37,'表4）CO2価格'!$A$7:$E$67,VLOOKUP($F$48,'表4）CO2価格'!$H$10:$I$12,2,0),0)*$F$8/1000,"")),0,IF($K37&lt;=$F$15,VLOOKUP($I37,'表4）CO2価格'!$A$7:$E$67,VLOOKUP($F$48,'表4）CO2価格'!$H$10:$I$12,2,0),0)*$F$8/1000,""))</f>
        <v>0</v>
      </c>
      <c r="AZ37" s="39"/>
      <c r="BA37" s="42">
        <f t="shared" si="11"/>
        <v>0</v>
      </c>
      <c r="BB37" s="72">
        <f t="shared" si="28"/>
        <v>0</v>
      </c>
      <c r="BC37" s="39"/>
      <c r="BD37" s="72">
        <f t="shared" si="12"/>
        <v>0</v>
      </c>
      <c r="BE37" s="72">
        <f t="shared" si="29"/>
        <v>0</v>
      </c>
      <c r="BF37" s="39"/>
      <c r="BG37" s="42">
        <f t="shared" si="13"/>
        <v>0</v>
      </c>
      <c r="BH37" s="72">
        <f t="shared" si="30"/>
        <v>0</v>
      </c>
      <c r="BI37" s="39"/>
      <c r="BJ37" s="40" t="str">
        <f t="shared" si="31"/>
        <v/>
      </c>
      <c r="BK37" s="157" t="str">
        <f t="shared" si="32"/>
        <v/>
      </c>
      <c r="BL37" s="157" t="str">
        <f t="shared" si="14"/>
        <v/>
      </c>
      <c r="BM37" s="72"/>
      <c r="BN37" s="72" t="str">
        <f t="shared" si="33"/>
        <v/>
      </c>
      <c r="BO37" s="72" t="str">
        <f t="shared" si="34"/>
        <v/>
      </c>
      <c r="BP37" s="39"/>
      <c r="BQ37" s="72">
        <f t="shared" si="15"/>
        <v>1017912000.0000001</v>
      </c>
      <c r="BR37" s="72">
        <f t="shared" si="35"/>
        <v>515767611.02756745</v>
      </c>
    </row>
    <row r="38" spans="3:70" x14ac:dyDescent="0.15">
      <c r="C38" s="4" t="s">
        <v>570</v>
      </c>
      <c r="D38" s="100"/>
      <c r="E38" s="100"/>
      <c r="F38" s="4"/>
      <c r="G38" s="100"/>
      <c r="I38" s="457">
        <f t="shared" si="36"/>
        <v>2053</v>
      </c>
      <c r="J38" s="71"/>
      <c r="K38" s="71">
        <f t="shared" si="37"/>
        <v>24</v>
      </c>
      <c r="L38" s="71"/>
      <c r="M38" s="7">
        <f t="shared" si="0"/>
        <v>0.49193373633950943</v>
      </c>
      <c r="N38" s="71"/>
      <c r="O38" s="10">
        <f t="shared" si="16"/>
        <v>0</v>
      </c>
      <c r="P38" s="29" t="str">
        <f t="shared" si="1"/>
        <v>-</v>
      </c>
      <c r="Q38" s="71"/>
      <c r="R38" s="10">
        <f t="shared" si="17"/>
        <v>8872500000</v>
      </c>
      <c r="S38" s="71"/>
      <c r="T38" s="10">
        <f t="shared" si="18"/>
        <v>8872500000</v>
      </c>
      <c r="U38" s="71"/>
      <c r="V38" s="10">
        <f t="shared" si="2"/>
        <v>0</v>
      </c>
      <c r="W38" s="10">
        <f t="shared" si="19"/>
        <v>0</v>
      </c>
      <c r="X38" s="71"/>
      <c r="Y38" s="10">
        <f t="shared" si="3"/>
        <v>124215000</v>
      </c>
      <c r="Z38" s="10">
        <f t="shared" si="20"/>
        <v>61105549.059412166</v>
      </c>
      <c r="AA38" s="71"/>
      <c r="AB38" s="10">
        <f t="shared" si="4"/>
        <v>0</v>
      </c>
      <c r="AC38" s="10">
        <f t="shared" si="21"/>
        <v>0</v>
      </c>
      <c r="AD38" s="71"/>
      <c r="AE38" s="10">
        <f t="shared" si="5"/>
        <v>0</v>
      </c>
      <c r="AF38" s="10">
        <f t="shared" si="22"/>
        <v>0</v>
      </c>
      <c r="AG38" s="71"/>
      <c r="AH38" s="10">
        <f t="shared" si="6"/>
        <v>6440000000</v>
      </c>
      <c r="AI38" s="10">
        <f t="shared" si="23"/>
        <v>3168053262.0264406</v>
      </c>
      <c r="AJ38" s="71"/>
      <c r="AK38" s="10">
        <f t="shared" si="7"/>
        <v>0</v>
      </c>
      <c r="AL38" s="10">
        <f t="shared" si="24"/>
        <v>0</v>
      </c>
      <c r="AM38" s="71"/>
      <c r="AN38" s="10">
        <f t="shared" si="8"/>
        <v>0</v>
      </c>
      <c r="AO38" s="10">
        <f t="shared" si="25"/>
        <v>0</v>
      </c>
      <c r="AP38" s="71"/>
      <c r="AQ38" s="10">
        <f t="shared" si="9"/>
        <v>0</v>
      </c>
      <c r="AR38" s="10">
        <f t="shared" si="26"/>
        <v>0</v>
      </c>
      <c r="AS38" s="71"/>
      <c r="AT38" s="7">
        <f>IF($K38&lt;=$F$15,IF($F$40&lt;&gt;"",$F$40/1000,IF(ISERROR(VLOOKUP($F$3&amp;IF($G$4&lt;&gt;"",$G$4,"")&amp;IF($F$43&lt;&gt;"","_"&amp;$F$43,""),'表3）燃料価格'!$AF$9:$AG$25,2,0)),0,VLOOKUP($I38,'表3）燃料価格'!$A$6:$U$66,VLOOKUP($F$3&amp;IF($G$4&lt;&gt;"",$G$4,"")&amp;IF($F$43&lt;&gt;"","_"&amp;$F$43,""),'表3）燃料価格'!$AF$9:$AG$25,2,0)+VLOOKUP($F$41,'表3）燃料価格'!$AF$28:$AG$29,2,0),0)*IF($F$43="需要地価格",1,$F$8/$F$141))),"")</f>
        <v>0</v>
      </c>
      <c r="AU38" s="71"/>
      <c r="AV38" s="10">
        <f t="shared" si="10"/>
        <v>0</v>
      </c>
      <c r="AW38" s="10">
        <f t="shared" si="27"/>
        <v>0</v>
      </c>
      <c r="AX38" s="71"/>
      <c r="AY38" s="7">
        <f>IF(ISERROR(IF($K38&lt;=$F$15,VLOOKUP($I38,'表4）CO2価格'!$A$7:$E$67,VLOOKUP($F$48,'表4）CO2価格'!$H$10:$I$12,2,0),0)*$F$8/1000,"")),0,IF($K38&lt;=$F$15,VLOOKUP($I38,'表4）CO2価格'!$A$7:$E$67,VLOOKUP($F$48,'表4）CO2価格'!$H$10:$I$12,2,0),0)*$F$8/1000,""))</f>
        <v>0</v>
      </c>
      <c r="AZ38" s="71"/>
      <c r="BA38" s="11">
        <f t="shared" si="11"/>
        <v>0</v>
      </c>
      <c r="BB38" s="10">
        <f t="shared" si="28"/>
        <v>0</v>
      </c>
      <c r="BC38" s="71"/>
      <c r="BD38" s="10">
        <f t="shared" si="12"/>
        <v>0</v>
      </c>
      <c r="BE38" s="10">
        <f t="shared" si="29"/>
        <v>0</v>
      </c>
      <c r="BF38" s="71"/>
      <c r="BG38" s="11">
        <f t="shared" si="13"/>
        <v>0</v>
      </c>
      <c r="BH38" s="10">
        <f t="shared" si="30"/>
        <v>0</v>
      </c>
      <c r="BJ38" s="7" t="str">
        <f t="shared" si="31"/>
        <v/>
      </c>
      <c r="BK38" s="158" t="str">
        <f t="shared" si="32"/>
        <v/>
      </c>
      <c r="BL38" s="158" t="str">
        <f t="shared" si="14"/>
        <v/>
      </c>
      <c r="BM38" s="10"/>
      <c r="BN38" s="10" t="str">
        <f t="shared" si="33"/>
        <v/>
      </c>
      <c r="BO38" s="10" t="str">
        <f t="shared" si="34"/>
        <v/>
      </c>
      <c r="BQ38" s="10">
        <f t="shared" si="15"/>
        <v>1017912000.0000001</v>
      </c>
      <c r="BR38" s="10">
        <f t="shared" si="35"/>
        <v>500745253.42482281</v>
      </c>
    </row>
    <row r="39" spans="3:70" x14ac:dyDescent="0.15">
      <c r="I39" s="38">
        <f t="shared" si="36"/>
        <v>2054</v>
      </c>
      <c r="J39" s="39"/>
      <c r="K39" s="39">
        <f t="shared" si="37"/>
        <v>25</v>
      </c>
      <c r="L39" s="39"/>
      <c r="M39" s="40">
        <f t="shared" si="0"/>
        <v>0.47760556926165965</v>
      </c>
      <c r="N39" s="39"/>
      <c r="O39" s="72">
        <f t="shared" si="16"/>
        <v>0</v>
      </c>
      <c r="P39" s="41" t="str">
        <f t="shared" si="1"/>
        <v>-</v>
      </c>
      <c r="Q39" s="39"/>
      <c r="R39" s="72">
        <f t="shared" si="17"/>
        <v>8872500000</v>
      </c>
      <c r="S39" s="39"/>
      <c r="T39" s="72">
        <f t="shared" si="18"/>
        <v>8872500000</v>
      </c>
      <c r="U39" s="39"/>
      <c r="V39" s="72">
        <f t="shared" si="2"/>
        <v>0</v>
      </c>
      <c r="W39" s="72">
        <f t="shared" si="19"/>
        <v>0</v>
      </c>
      <c r="X39" s="39"/>
      <c r="Y39" s="72">
        <f t="shared" si="3"/>
        <v>124215000</v>
      </c>
      <c r="Z39" s="72">
        <f t="shared" si="20"/>
        <v>59325775.785837054</v>
      </c>
      <c r="AA39" s="39"/>
      <c r="AB39" s="72">
        <f t="shared" si="4"/>
        <v>0</v>
      </c>
      <c r="AC39" s="72">
        <f t="shared" si="21"/>
        <v>0</v>
      </c>
      <c r="AD39" s="39"/>
      <c r="AE39" s="72">
        <f t="shared" si="5"/>
        <v>0</v>
      </c>
      <c r="AF39" s="72">
        <f t="shared" si="22"/>
        <v>0</v>
      </c>
      <c r="AG39" s="39"/>
      <c r="AH39" s="72">
        <f t="shared" si="6"/>
        <v>6440000000</v>
      </c>
      <c r="AI39" s="72">
        <f t="shared" si="23"/>
        <v>3075779866.0450883</v>
      </c>
      <c r="AJ39" s="39"/>
      <c r="AK39" s="72">
        <f t="shared" si="7"/>
        <v>0</v>
      </c>
      <c r="AL39" s="72">
        <f t="shared" si="24"/>
        <v>0</v>
      </c>
      <c r="AM39" s="39"/>
      <c r="AN39" s="72">
        <f t="shared" si="8"/>
        <v>0</v>
      </c>
      <c r="AO39" s="72">
        <f t="shared" si="25"/>
        <v>0</v>
      </c>
      <c r="AP39" s="39"/>
      <c r="AQ39" s="72">
        <f t="shared" si="9"/>
        <v>0</v>
      </c>
      <c r="AR39" s="72">
        <f t="shared" si="26"/>
        <v>0</v>
      </c>
      <c r="AS39" s="39"/>
      <c r="AT39" s="40">
        <f>IF($K39&lt;=$F$15,IF($F$40&lt;&gt;"",$F$40/1000,IF(ISERROR(VLOOKUP($F$3&amp;IF($G$4&lt;&gt;"",$G$4,"")&amp;IF($F$43&lt;&gt;"","_"&amp;$F$43,""),'表3）燃料価格'!$AF$9:$AG$25,2,0)),0,VLOOKUP($I39,'表3）燃料価格'!$A$6:$U$66,VLOOKUP($F$3&amp;IF($G$4&lt;&gt;"",$G$4,"")&amp;IF($F$43&lt;&gt;"","_"&amp;$F$43,""),'表3）燃料価格'!$AF$9:$AG$25,2,0)+VLOOKUP($F$41,'表3）燃料価格'!$AF$28:$AG$29,2,0),0)*IF($F$43="需要地価格",1,$F$8/$F$141))),"")</f>
        <v>0</v>
      </c>
      <c r="AU39" s="39"/>
      <c r="AV39" s="72">
        <f t="shared" si="10"/>
        <v>0</v>
      </c>
      <c r="AW39" s="72">
        <f t="shared" si="27"/>
        <v>0</v>
      </c>
      <c r="AX39" s="39"/>
      <c r="AY39" s="40">
        <f>IF(ISERROR(IF($K39&lt;=$F$15,VLOOKUP($I39,'表4）CO2価格'!$A$7:$E$67,VLOOKUP($F$48,'表4）CO2価格'!$H$10:$I$12,2,0),0)*$F$8/1000,"")),0,IF($K39&lt;=$F$15,VLOOKUP($I39,'表4）CO2価格'!$A$7:$E$67,VLOOKUP($F$48,'表4）CO2価格'!$H$10:$I$12,2,0),0)*$F$8/1000,""))</f>
        <v>0</v>
      </c>
      <c r="AZ39" s="39"/>
      <c r="BA39" s="42">
        <f t="shared" si="11"/>
        <v>0</v>
      </c>
      <c r="BB39" s="72">
        <f t="shared" si="28"/>
        <v>0</v>
      </c>
      <c r="BC39" s="39"/>
      <c r="BD39" s="72">
        <f t="shared" si="12"/>
        <v>0</v>
      </c>
      <c r="BE39" s="72">
        <f t="shared" si="29"/>
        <v>0</v>
      </c>
      <c r="BF39" s="39"/>
      <c r="BG39" s="42">
        <f t="shared" si="13"/>
        <v>0</v>
      </c>
      <c r="BH39" s="72">
        <f t="shared" si="30"/>
        <v>0</v>
      </c>
      <c r="BI39" s="39"/>
      <c r="BJ39" s="40" t="str">
        <f t="shared" si="31"/>
        <v/>
      </c>
      <c r="BK39" s="157" t="str">
        <f t="shared" si="32"/>
        <v/>
      </c>
      <c r="BL39" s="157" t="str">
        <f t="shared" si="14"/>
        <v/>
      </c>
      <c r="BM39" s="72"/>
      <c r="BN39" s="72" t="str">
        <f t="shared" si="33"/>
        <v/>
      </c>
      <c r="BO39" s="72" t="str">
        <f t="shared" si="34"/>
        <v/>
      </c>
      <c r="BP39" s="39"/>
      <c r="BQ39" s="72">
        <f t="shared" si="15"/>
        <v>1017912000.0000001</v>
      </c>
      <c r="BR39" s="72">
        <f t="shared" si="35"/>
        <v>486160440.21827453</v>
      </c>
    </row>
    <row r="40" spans="3:70" x14ac:dyDescent="0.15">
      <c r="D40" s="84" t="s">
        <v>124</v>
      </c>
      <c r="F40" s="482"/>
      <c r="G40" s="160" t="s">
        <v>571</v>
      </c>
      <c r="I40" s="457">
        <f t="shared" si="36"/>
        <v>2055</v>
      </c>
      <c r="J40" s="71"/>
      <c r="K40" s="71">
        <f t="shared" si="37"/>
        <v>26</v>
      </c>
      <c r="L40" s="71"/>
      <c r="M40" s="7">
        <f t="shared" si="0"/>
        <v>0.46369472743850448</v>
      </c>
      <c r="N40" s="71"/>
      <c r="O40" s="10" t="str">
        <f t="shared" si="16"/>
        <v/>
      </c>
      <c r="P40" s="29" t="str">
        <f t="shared" si="1"/>
        <v/>
      </c>
      <c r="Q40" s="71"/>
      <c r="R40" s="10" t="str">
        <f t="shared" si="17"/>
        <v/>
      </c>
      <c r="S40" s="71"/>
      <c r="T40" s="10" t="str">
        <f t="shared" si="18"/>
        <v/>
      </c>
      <c r="U40" s="71"/>
      <c r="V40" s="10" t="str">
        <f t="shared" si="2"/>
        <v/>
      </c>
      <c r="W40" s="10" t="str">
        <f t="shared" si="19"/>
        <v/>
      </c>
      <c r="X40" s="71"/>
      <c r="Y40" s="10" t="str">
        <f t="shared" si="3"/>
        <v/>
      </c>
      <c r="Z40" s="10" t="str">
        <f t="shared" si="20"/>
        <v/>
      </c>
      <c r="AA40" s="71"/>
      <c r="AB40" s="10">
        <f t="shared" si="4"/>
        <v>37450000000</v>
      </c>
      <c r="AC40" s="10">
        <f t="shared" si="21"/>
        <v>17365367542.571995</v>
      </c>
      <c r="AD40" s="71"/>
      <c r="AE40" s="10" t="str">
        <f t="shared" si="5"/>
        <v/>
      </c>
      <c r="AF40" s="10" t="str">
        <f t="shared" si="22"/>
        <v/>
      </c>
      <c r="AG40" s="71"/>
      <c r="AH40" s="10" t="str">
        <f t="shared" si="6"/>
        <v/>
      </c>
      <c r="AI40" s="10" t="str">
        <f t="shared" si="23"/>
        <v/>
      </c>
      <c r="AJ40" s="71"/>
      <c r="AK40" s="10" t="str">
        <f t="shared" si="7"/>
        <v/>
      </c>
      <c r="AL40" s="10" t="str">
        <f t="shared" si="24"/>
        <v/>
      </c>
      <c r="AM40" s="71"/>
      <c r="AN40" s="10" t="str">
        <f t="shared" si="8"/>
        <v/>
      </c>
      <c r="AO40" s="10" t="str">
        <f t="shared" si="25"/>
        <v/>
      </c>
      <c r="AP40" s="71"/>
      <c r="AQ40" s="10" t="str">
        <f t="shared" si="9"/>
        <v/>
      </c>
      <c r="AR40" s="10" t="str">
        <f t="shared" si="26"/>
        <v/>
      </c>
      <c r="AS40" s="71"/>
      <c r="AT40" s="7" t="str">
        <f>IF($K40&lt;=$F$15,IF($F$40&lt;&gt;"",$F$40/1000,IF(ISERROR(VLOOKUP($F$3&amp;IF($G$4&lt;&gt;"",$G$4,"")&amp;IF($F$43&lt;&gt;"","_"&amp;$F$43,""),'表3）燃料価格'!$AF$9:$AG$25,2,0)),0,VLOOKUP($I40,'表3）燃料価格'!$A$6:$U$66,VLOOKUP($F$3&amp;IF($G$4&lt;&gt;"",$G$4,"")&amp;IF($F$43&lt;&gt;"","_"&amp;$F$43,""),'表3）燃料価格'!$AF$9:$AG$25,2,0)+VLOOKUP($F$41,'表3）燃料価格'!$AF$28:$AG$29,2,0),0)*IF($F$43="需要地価格",1,$F$8/$F$141))),"")</f>
        <v/>
      </c>
      <c r="AU40" s="71"/>
      <c r="AV40" s="10" t="str">
        <f t="shared" si="10"/>
        <v/>
      </c>
      <c r="AW40" s="10" t="str">
        <f t="shared" si="27"/>
        <v/>
      </c>
      <c r="AX40" s="71"/>
      <c r="AY40" s="7" t="str">
        <f>IF(ISERROR(IF($K40&lt;=$F$15,VLOOKUP($I40,'表4）CO2価格'!$A$7:$E$67,VLOOKUP($F$48,'表4）CO2価格'!$H$10:$I$12,2,0),0)*$F$8/1000,"")),0,IF($K40&lt;=$F$15,VLOOKUP($I40,'表4）CO2価格'!$A$7:$E$67,VLOOKUP($F$48,'表4）CO2価格'!$H$10:$I$12,2,0),0)*$F$8/1000,""))</f>
        <v/>
      </c>
      <c r="AZ40" s="71"/>
      <c r="BA40" s="11" t="str">
        <f t="shared" si="11"/>
        <v/>
      </c>
      <c r="BB40" s="10" t="str">
        <f t="shared" si="28"/>
        <v/>
      </c>
      <c r="BC40" s="71"/>
      <c r="BD40" s="10" t="str">
        <f t="shared" si="12"/>
        <v/>
      </c>
      <c r="BE40" s="10" t="str">
        <f t="shared" si="29"/>
        <v/>
      </c>
      <c r="BF40" s="71"/>
      <c r="BG40" s="11" t="str">
        <f t="shared" si="13"/>
        <v/>
      </c>
      <c r="BH40" s="10" t="str">
        <f t="shared" si="30"/>
        <v/>
      </c>
      <c r="BJ40" s="7" t="str">
        <f t="shared" si="31"/>
        <v/>
      </c>
      <c r="BK40" s="158" t="str">
        <f t="shared" si="32"/>
        <v/>
      </c>
      <c r="BL40" s="158" t="str">
        <f t="shared" si="14"/>
        <v/>
      </c>
      <c r="BM40" s="10"/>
      <c r="BN40" s="10" t="str">
        <f t="shared" si="33"/>
        <v/>
      </c>
      <c r="BO40" s="10" t="str">
        <f t="shared" si="34"/>
        <v/>
      </c>
      <c r="BQ40" s="10" t="str">
        <f t="shared" si="15"/>
        <v/>
      </c>
      <c r="BR40" s="10" t="str">
        <f t="shared" si="35"/>
        <v/>
      </c>
    </row>
    <row r="41" spans="3:70" x14ac:dyDescent="0.15">
      <c r="D41" s="84" t="s">
        <v>572</v>
      </c>
      <c r="F41" s="474"/>
      <c r="I41" s="38">
        <f t="shared" si="36"/>
        <v>2056</v>
      </c>
      <c r="J41" s="39"/>
      <c r="K41" s="39">
        <f t="shared" si="37"/>
        <v>27</v>
      </c>
      <c r="L41" s="39"/>
      <c r="M41" s="40">
        <f t="shared" si="0"/>
        <v>0.45018905576553836</v>
      </c>
      <c r="N41" s="39"/>
      <c r="O41" s="72" t="str">
        <f t="shared" si="16"/>
        <v/>
      </c>
      <c r="P41" s="41" t="str">
        <f t="shared" si="1"/>
        <v/>
      </c>
      <c r="Q41" s="39"/>
      <c r="R41" s="72" t="str">
        <f t="shared" si="17"/>
        <v/>
      </c>
      <c r="S41" s="39"/>
      <c r="T41" s="72" t="str">
        <f t="shared" si="18"/>
        <v/>
      </c>
      <c r="U41" s="39"/>
      <c r="V41" s="72" t="str">
        <f t="shared" si="2"/>
        <v/>
      </c>
      <c r="W41" s="72" t="str">
        <f t="shared" si="19"/>
        <v/>
      </c>
      <c r="X41" s="39"/>
      <c r="Y41" s="72" t="str">
        <f t="shared" si="3"/>
        <v/>
      </c>
      <c r="Z41" s="72" t="str">
        <f t="shared" si="20"/>
        <v/>
      </c>
      <c r="AA41" s="39"/>
      <c r="AB41" s="72" t="str">
        <f t="shared" si="4"/>
        <v/>
      </c>
      <c r="AC41" s="72" t="str">
        <f t="shared" si="21"/>
        <v/>
      </c>
      <c r="AD41" s="39"/>
      <c r="AE41" s="72" t="str">
        <f t="shared" si="5"/>
        <v/>
      </c>
      <c r="AF41" s="72" t="str">
        <f t="shared" si="22"/>
        <v/>
      </c>
      <c r="AG41" s="39"/>
      <c r="AH41" s="72" t="str">
        <f t="shared" si="6"/>
        <v/>
      </c>
      <c r="AI41" s="72" t="str">
        <f t="shared" si="23"/>
        <v/>
      </c>
      <c r="AJ41" s="39"/>
      <c r="AK41" s="72" t="str">
        <f t="shared" si="7"/>
        <v/>
      </c>
      <c r="AL41" s="72" t="str">
        <f t="shared" si="24"/>
        <v/>
      </c>
      <c r="AM41" s="39"/>
      <c r="AN41" s="72" t="str">
        <f t="shared" si="8"/>
        <v/>
      </c>
      <c r="AO41" s="72" t="str">
        <f t="shared" si="25"/>
        <v/>
      </c>
      <c r="AP41" s="39"/>
      <c r="AQ41" s="72" t="str">
        <f t="shared" si="9"/>
        <v/>
      </c>
      <c r="AR41" s="72" t="str">
        <f t="shared" si="26"/>
        <v/>
      </c>
      <c r="AS41" s="39"/>
      <c r="AT41" s="40" t="str">
        <f>IF($K41&lt;=$F$15,IF($F$40&lt;&gt;"",$F$40/1000,IF(ISERROR(VLOOKUP($F$3&amp;IF($G$4&lt;&gt;"",$G$4,"")&amp;IF($F$43&lt;&gt;"","_"&amp;$F$43,""),'表3）燃料価格'!$AF$9:$AG$25,2,0)),0,VLOOKUP($I41,'表3）燃料価格'!$A$6:$U$66,VLOOKUP($F$3&amp;IF($G$4&lt;&gt;"",$G$4,"")&amp;IF($F$43&lt;&gt;"","_"&amp;$F$43,""),'表3）燃料価格'!$AF$9:$AG$25,2,0)+VLOOKUP($F$41,'表3）燃料価格'!$AF$28:$AG$29,2,0),0)*IF($F$43="需要地価格",1,$F$8/$F$141))),"")</f>
        <v/>
      </c>
      <c r="AU41" s="39"/>
      <c r="AV41" s="72" t="str">
        <f t="shared" si="10"/>
        <v/>
      </c>
      <c r="AW41" s="72" t="str">
        <f t="shared" si="27"/>
        <v/>
      </c>
      <c r="AX41" s="39"/>
      <c r="AY41" s="40" t="str">
        <f>IF(ISERROR(IF($K41&lt;=$F$15,VLOOKUP($I41,'表4）CO2価格'!$A$7:$E$67,VLOOKUP($F$48,'表4）CO2価格'!$H$10:$I$12,2,0),0)*$F$8/1000,"")),0,IF($K41&lt;=$F$15,VLOOKUP($I41,'表4）CO2価格'!$A$7:$E$67,VLOOKUP($F$48,'表4）CO2価格'!$H$10:$I$12,2,0),0)*$F$8/1000,""))</f>
        <v/>
      </c>
      <c r="AZ41" s="39"/>
      <c r="BA41" s="42" t="str">
        <f t="shared" si="11"/>
        <v/>
      </c>
      <c r="BB41" s="72" t="str">
        <f t="shared" si="28"/>
        <v/>
      </c>
      <c r="BC41" s="39"/>
      <c r="BD41" s="72" t="str">
        <f t="shared" si="12"/>
        <v/>
      </c>
      <c r="BE41" s="72" t="str">
        <f t="shared" si="29"/>
        <v/>
      </c>
      <c r="BF41" s="39"/>
      <c r="BG41" s="42" t="str">
        <f t="shared" si="13"/>
        <v/>
      </c>
      <c r="BH41" s="72" t="str">
        <f t="shared" si="30"/>
        <v/>
      </c>
      <c r="BI41" s="39"/>
      <c r="BJ41" s="40" t="str">
        <f t="shared" si="31"/>
        <v/>
      </c>
      <c r="BK41" s="157" t="str">
        <f t="shared" si="32"/>
        <v/>
      </c>
      <c r="BL41" s="157" t="str">
        <f t="shared" si="14"/>
        <v/>
      </c>
      <c r="BM41" s="72"/>
      <c r="BN41" s="72" t="str">
        <f t="shared" si="33"/>
        <v/>
      </c>
      <c r="BO41" s="72" t="str">
        <f t="shared" si="34"/>
        <v/>
      </c>
      <c r="BP41" s="39"/>
      <c r="BQ41" s="72" t="str">
        <f t="shared" si="15"/>
        <v/>
      </c>
      <c r="BR41" s="72" t="str">
        <f t="shared" si="35"/>
        <v/>
      </c>
    </row>
    <row r="42" spans="3:70" x14ac:dyDescent="0.15">
      <c r="D42" s="84" t="s">
        <v>573</v>
      </c>
      <c r="F42" s="481"/>
      <c r="G42" s="84" t="s">
        <v>574</v>
      </c>
      <c r="I42" s="457">
        <f t="shared" si="36"/>
        <v>2057</v>
      </c>
      <c r="J42" s="71"/>
      <c r="K42" s="71">
        <f t="shared" si="37"/>
        <v>28</v>
      </c>
      <c r="L42" s="71"/>
      <c r="M42" s="7">
        <f t="shared" si="0"/>
        <v>0.4370767531704256</v>
      </c>
      <c r="N42" s="71"/>
      <c r="O42" s="10" t="str">
        <f t="shared" si="16"/>
        <v/>
      </c>
      <c r="P42" s="29" t="str">
        <f t="shared" si="1"/>
        <v/>
      </c>
      <c r="Q42" s="71"/>
      <c r="R42" s="10" t="str">
        <f t="shared" si="17"/>
        <v/>
      </c>
      <c r="S42" s="71"/>
      <c r="T42" s="10" t="str">
        <f t="shared" si="18"/>
        <v/>
      </c>
      <c r="U42" s="71"/>
      <c r="V42" s="10" t="str">
        <f t="shared" si="2"/>
        <v/>
      </c>
      <c r="W42" s="10" t="str">
        <f t="shared" si="19"/>
        <v/>
      </c>
      <c r="X42" s="71"/>
      <c r="Y42" s="10" t="str">
        <f t="shared" si="3"/>
        <v/>
      </c>
      <c r="Z42" s="10" t="str">
        <f t="shared" si="20"/>
        <v/>
      </c>
      <c r="AA42" s="71"/>
      <c r="AB42" s="10" t="str">
        <f t="shared" si="4"/>
        <v/>
      </c>
      <c r="AC42" s="10" t="str">
        <f t="shared" si="21"/>
        <v/>
      </c>
      <c r="AD42" s="71"/>
      <c r="AE42" s="10" t="str">
        <f t="shared" si="5"/>
        <v/>
      </c>
      <c r="AF42" s="10" t="str">
        <f t="shared" si="22"/>
        <v/>
      </c>
      <c r="AG42" s="71"/>
      <c r="AH42" s="10" t="str">
        <f t="shared" si="6"/>
        <v/>
      </c>
      <c r="AI42" s="10" t="str">
        <f t="shared" si="23"/>
        <v/>
      </c>
      <c r="AJ42" s="71"/>
      <c r="AK42" s="10" t="str">
        <f t="shared" si="7"/>
        <v/>
      </c>
      <c r="AL42" s="10" t="str">
        <f t="shared" si="24"/>
        <v/>
      </c>
      <c r="AM42" s="71"/>
      <c r="AN42" s="10" t="str">
        <f t="shared" si="8"/>
        <v/>
      </c>
      <c r="AO42" s="10" t="str">
        <f t="shared" si="25"/>
        <v/>
      </c>
      <c r="AP42" s="71"/>
      <c r="AQ42" s="10" t="str">
        <f t="shared" si="9"/>
        <v/>
      </c>
      <c r="AR42" s="10" t="str">
        <f t="shared" si="26"/>
        <v/>
      </c>
      <c r="AS42" s="71"/>
      <c r="AT42" s="7" t="str">
        <f>IF($K42&lt;=$F$15,IF($F$40&lt;&gt;"",$F$40/1000,IF(ISERROR(VLOOKUP($F$3&amp;IF($G$4&lt;&gt;"",$G$4,"")&amp;IF($F$43&lt;&gt;"","_"&amp;$F$43,""),'表3）燃料価格'!$AF$9:$AG$25,2,0)),0,VLOOKUP($I42,'表3）燃料価格'!$A$6:$U$66,VLOOKUP($F$3&amp;IF($G$4&lt;&gt;"",$G$4,"")&amp;IF($F$43&lt;&gt;"","_"&amp;$F$43,""),'表3）燃料価格'!$AF$9:$AG$25,2,0)+VLOOKUP($F$41,'表3）燃料価格'!$AF$28:$AG$29,2,0),0)*IF($F$43="需要地価格",1,$F$8/$F$141))),"")</f>
        <v/>
      </c>
      <c r="AU42" s="71"/>
      <c r="AV42" s="10" t="str">
        <f t="shared" si="10"/>
        <v/>
      </c>
      <c r="AW42" s="10" t="str">
        <f t="shared" si="27"/>
        <v/>
      </c>
      <c r="AX42" s="71"/>
      <c r="AY42" s="7" t="str">
        <f>IF(ISERROR(IF($K42&lt;=$F$15,VLOOKUP($I42,'表4）CO2価格'!$A$7:$E$67,VLOOKUP($F$48,'表4）CO2価格'!$H$10:$I$12,2,0),0)*$F$8/1000,"")),0,IF($K42&lt;=$F$15,VLOOKUP($I42,'表4）CO2価格'!$A$7:$E$67,VLOOKUP($F$48,'表4）CO2価格'!$H$10:$I$12,2,0),0)*$F$8/1000,""))</f>
        <v/>
      </c>
      <c r="AZ42" s="71"/>
      <c r="BA42" s="11" t="str">
        <f t="shared" si="11"/>
        <v/>
      </c>
      <c r="BB42" s="10" t="str">
        <f t="shared" si="28"/>
        <v/>
      </c>
      <c r="BC42" s="71"/>
      <c r="BD42" s="10" t="str">
        <f t="shared" si="12"/>
        <v/>
      </c>
      <c r="BE42" s="10" t="str">
        <f t="shared" si="29"/>
        <v/>
      </c>
      <c r="BF42" s="71"/>
      <c r="BG42" s="11" t="str">
        <f t="shared" si="13"/>
        <v/>
      </c>
      <c r="BH42" s="10" t="str">
        <f t="shared" si="30"/>
        <v/>
      </c>
      <c r="BJ42" s="7" t="str">
        <f t="shared" si="31"/>
        <v/>
      </c>
      <c r="BK42" s="158" t="str">
        <f t="shared" si="32"/>
        <v/>
      </c>
      <c r="BL42" s="158" t="str">
        <f t="shared" si="14"/>
        <v/>
      </c>
      <c r="BM42" s="10"/>
      <c r="BN42" s="10" t="str">
        <f t="shared" si="33"/>
        <v/>
      </c>
      <c r="BO42" s="10" t="str">
        <f t="shared" si="34"/>
        <v/>
      </c>
      <c r="BQ42" s="10" t="str">
        <f t="shared" si="15"/>
        <v/>
      </c>
      <c r="BR42" s="10" t="str">
        <f t="shared" si="35"/>
        <v/>
      </c>
    </row>
    <row r="43" spans="3:70" x14ac:dyDescent="0.15">
      <c r="D43" s="160" t="s">
        <v>126</v>
      </c>
      <c r="F43" s="474"/>
      <c r="I43" s="38">
        <f t="shared" si="36"/>
        <v>2058</v>
      </c>
      <c r="J43" s="39"/>
      <c r="K43" s="39">
        <f t="shared" si="37"/>
        <v>29</v>
      </c>
      <c r="L43" s="39"/>
      <c r="M43" s="40">
        <f t="shared" si="0"/>
        <v>0.42434636230138412</v>
      </c>
      <c r="N43" s="39"/>
      <c r="O43" s="72" t="str">
        <f t="shared" si="16"/>
        <v/>
      </c>
      <c r="P43" s="41" t="str">
        <f t="shared" si="1"/>
        <v/>
      </c>
      <c r="Q43" s="39"/>
      <c r="R43" s="72" t="str">
        <f t="shared" si="17"/>
        <v/>
      </c>
      <c r="S43" s="39"/>
      <c r="T43" s="72" t="str">
        <f t="shared" si="18"/>
        <v/>
      </c>
      <c r="U43" s="39"/>
      <c r="V43" s="72" t="str">
        <f t="shared" si="2"/>
        <v/>
      </c>
      <c r="W43" s="72" t="str">
        <f t="shared" si="19"/>
        <v/>
      </c>
      <c r="X43" s="39"/>
      <c r="Y43" s="72" t="str">
        <f t="shared" si="3"/>
        <v/>
      </c>
      <c r="Z43" s="72" t="str">
        <f t="shared" si="20"/>
        <v/>
      </c>
      <c r="AA43" s="39"/>
      <c r="AB43" s="72" t="str">
        <f t="shared" si="4"/>
        <v/>
      </c>
      <c r="AC43" s="72" t="str">
        <f t="shared" si="21"/>
        <v/>
      </c>
      <c r="AD43" s="39"/>
      <c r="AE43" s="72" t="str">
        <f t="shared" si="5"/>
        <v/>
      </c>
      <c r="AF43" s="72" t="str">
        <f t="shared" si="22"/>
        <v/>
      </c>
      <c r="AG43" s="39"/>
      <c r="AH43" s="72" t="str">
        <f t="shared" si="6"/>
        <v/>
      </c>
      <c r="AI43" s="72" t="str">
        <f t="shared" si="23"/>
        <v/>
      </c>
      <c r="AJ43" s="39"/>
      <c r="AK43" s="72" t="str">
        <f t="shared" si="7"/>
        <v/>
      </c>
      <c r="AL43" s="72" t="str">
        <f t="shared" si="24"/>
        <v/>
      </c>
      <c r="AM43" s="39"/>
      <c r="AN43" s="72" t="str">
        <f t="shared" si="8"/>
        <v/>
      </c>
      <c r="AO43" s="72" t="str">
        <f t="shared" si="25"/>
        <v/>
      </c>
      <c r="AP43" s="39"/>
      <c r="AQ43" s="72" t="str">
        <f t="shared" si="9"/>
        <v/>
      </c>
      <c r="AR43" s="72" t="str">
        <f t="shared" si="26"/>
        <v/>
      </c>
      <c r="AS43" s="39"/>
      <c r="AT43" s="40" t="str">
        <f>IF($K43&lt;=$F$15,IF($F$40&lt;&gt;"",$F$40/1000,IF(ISERROR(VLOOKUP($F$3&amp;IF($G$4&lt;&gt;"",$G$4,"")&amp;IF($F$43&lt;&gt;"","_"&amp;$F$43,""),'表3）燃料価格'!$AF$9:$AG$25,2,0)),0,VLOOKUP($I43,'表3）燃料価格'!$A$6:$U$66,VLOOKUP($F$3&amp;IF($G$4&lt;&gt;"",$G$4,"")&amp;IF($F$43&lt;&gt;"","_"&amp;$F$43,""),'表3）燃料価格'!$AF$9:$AG$25,2,0)+VLOOKUP($F$41,'表3）燃料価格'!$AF$28:$AG$29,2,0),0)*IF($F$43="需要地価格",1,$F$8/$F$141))),"")</f>
        <v/>
      </c>
      <c r="AU43" s="39"/>
      <c r="AV43" s="72" t="str">
        <f t="shared" si="10"/>
        <v/>
      </c>
      <c r="AW43" s="72" t="str">
        <f t="shared" si="27"/>
        <v/>
      </c>
      <c r="AX43" s="39"/>
      <c r="AY43" s="40" t="str">
        <f>IF(ISERROR(IF($K43&lt;=$F$15,VLOOKUP($I43,'表4）CO2価格'!$A$7:$E$67,VLOOKUP($F$48,'表4）CO2価格'!$H$10:$I$12,2,0),0)*$F$8/1000,"")),0,IF($K43&lt;=$F$15,VLOOKUP($I43,'表4）CO2価格'!$A$7:$E$67,VLOOKUP($F$48,'表4）CO2価格'!$H$10:$I$12,2,0),0)*$F$8/1000,""))</f>
        <v/>
      </c>
      <c r="AZ43" s="39"/>
      <c r="BA43" s="42" t="str">
        <f t="shared" si="11"/>
        <v/>
      </c>
      <c r="BB43" s="72" t="str">
        <f t="shared" si="28"/>
        <v/>
      </c>
      <c r="BC43" s="39"/>
      <c r="BD43" s="72" t="str">
        <f t="shared" si="12"/>
        <v/>
      </c>
      <c r="BE43" s="72" t="str">
        <f t="shared" si="29"/>
        <v/>
      </c>
      <c r="BF43" s="39"/>
      <c r="BG43" s="42" t="str">
        <f t="shared" si="13"/>
        <v/>
      </c>
      <c r="BH43" s="72" t="str">
        <f t="shared" si="30"/>
        <v/>
      </c>
      <c r="BI43" s="39"/>
      <c r="BJ43" s="40" t="str">
        <f t="shared" si="31"/>
        <v/>
      </c>
      <c r="BK43" s="157" t="str">
        <f t="shared" si="32"/>
        <v/>
      </c>
      <c r="BL43" s="157" t="str">
        <f t="shared" si="14"/>
        <v/>
      </c>
      <c r="BM43" s="72"/>
      <c r="BN43" s="72" t="str">
        <f t="shared" si="33"/>
        <v/>
      </c>
      <c r="BO43" s="72" t="str">
        <f t="shared" si="34"/>
        <v/>
      </c>
      <c r="BP43" s="39"/>
      <c r="BQ43" s="72" t="str">
        <f t="shared" si="15"/>
        <v/>
      </c>
      <c r="BR43" s="72" t="str">
        <f t="shared" si="35"/>
        <v/>
      </c>
    </row>
    <row r="44" spans="3:70" x14ac:dyDescent="0.15">
      <c r="I44" s="457">
        <f t="shared" si="36"/>
        <v>2059</v>
      </c>
      <c r="J44" s="71"/>
      <c r="K44" s="71">
        <f t="shared" si="37"/>
        <v>30</v>
      </c>
      <c r="L44" s="71"/>
      <c r="M44" s="7">
        <f t="shared" si="0"/>
        <v>0.41198675951590691</v>
      </c>
      <c r="N44" s="71"/>
      <c r="O44" s="10" t="str">
        <f t="shared" si="16"/>
        <v/>
      </c>
      <c r="P44" s="29" t="str">
        <f t="shared" si="1"/>
        <v/>
      </c>
      <c r="Q44" s="71"/>
      <c r="R44" s="10" t="str">
        <f t="shared" si="17"/>
        <v/>
      </c>
      <c r="S44" s="71"/>
      <c r="T44" s="10" t="str">
        <f t="shared" si="18"/>
        <v/>
      </c>
      <c r="U44" s="71"/>
      <c r="V44" s="10" t="str">
        <f t="shared" si="2"/>
        <v/>
      </c>
      <c r="W44" s="10" t="str">
        <f t="shared" si="19"/>
        <v/>
      </c>
      <c r="X44" s="71"/>
      <c r="Y44" s="10" t="str">
        <f t="shared" si="3"/>
        <v/>
      </c>
      <c r="Z44" s="10" t="str">
        <f t="shared" si="20"/>
        <v/>
      </c>
      <c r="AA44" s="71"/>
      <c r="AB44" s="10" t="str">
        <f t="shared" si="4"/>
        <v/>
      </c>
      <c r="AC44" s="10" t="str">
        <f t="shared" si="21"/>
        <v/>
      </c>
      <c r="AD44" s="71"/>
      <c r="AE44" s="10" t="str">
        <f t="shared" si="5"/>
        <v/>
      </c>
      <c r="AF44" s="10" t="str">
        <f t="shared" si="22"/>
        <v/>
      </c>
      <c r="AG44" s="71"/>
      <c r="AH44" s="10" t="str">
        <f t="shared" si="6"/>
        <v/>
      </c>
      <c r="AI44" s="10" t="str">
        <f t="shared" si="23"/>
        <v/>
      </c>
      <c r="AJ44" s="71"/>
      <c r="AK44" s="10" t="str">
        <f t="shared" si="7"/>
        <v/>
      </c>
      <c r="AL44" s="10" t="str">
        <f t="shared" si="24"/>
        <v/>
      </c>
      <c r="AM44" s="71"/>
      <c r="AN44" s="10" t="str">
        <f t="shared" si="8"/>
        <v/>
      </c>
      <c r="AO44" s="10" t="str">
        <f t="shared" si="25"/>
        <v/>
      </c>
      <c r="AP44" s="71"/>
      <c r="AQ44" s="10" t="str">
        <f t="shared" si="9"/>
        <v/>
      </c>
      <c r="AR44" s="10" t="str">
        <f t="shared" si="26"/>
        <v/>
      </c>
      <c r="AS44" s="71"/>
      <c r="AT44" s="7" t="str">
        <f>IF($K44&lt;=$F$15,IF($F$40&lt;&gt;"",$F$40/1000,IF(ISERROR(VLOOKUP($F$3&amp;IF($G$4&lt;&gt;"",$G$4,"")&amp;IF($F$43&lt;&gt;"","_"&amp;$F$43,""),'表3）燃料価格'!$AF$9:$AG$25,2,0)),0,VLOOKUP($I44,'表3）燃料価格'!$A$6:$U$66,VLOOKUP($F$3&amp;IF($G$4&lt;&gt;"",$G$4,"")&amp;IF($F$43&lt;&gt;"","_"&amp;$F$43,""),'表3）燃料価格'!$AF$9:$AG$25,2,0)+VLOOKUP($F$41,'表3）燃料価格'!$AF$28:$AG$29,2,0),0)*IF($F$43="需要地価格",1,$F$8/$F$141))),"")</f>
        <v/>
      </c>
      <c r="AU44" s="71"/>
      <c r="AV44" s="10" t="str">
        <f t="shared" si="10"/>
        <v/>
      </c>
      <c r="AW44" s="10" t="str">
        <f t="shared" si="27"/>
        <v/>
      </c>
      <c r="AX44" s="71"/>
      <c r="AY44" s="7" t="str">
        <f>IF(ISERROR(IF($K44&lt;=$F$15,VLOOKUP($I44,'表4）CO2価格'!$A$7:$E$67,VLOOKUP($F$48,'表4）CO2価格'!$H$10:$I$12,2,0),0)*$F$8/1000,"")),0,IF($K44&lt;=$F$15,VLOOKUP($I44,'表4）CO2価格'!$A$7:$E$67,VLOOKUP($F$48,'表4）CO2価格'!$H$10:$I$12,2,0),0)*$F$8/1000,""))</f>
        <v/>
      </c>
      <c r="AZ44" s="71"/>
      <c r="BA44" s="11" t="str">
        <f t="shared" si="11"/>
        <v/>
      </c>
      <c r="BB44" s="10" t="str">
        <f t="shared" si="28"/>
        <v/>
      </c>
      <c r="BC44" s="71"/>
      <c r="BD44" s="10" t="str">
        <f t="shared" si="12"/>
        <v/>
      </c>
      <c r="BE44" s="10" t="str">
        <f t="shared" si="29"/>
        <v/>
      </c>
      <c r="BF44" s="71"/>
      <c r="BG44" s="11" t="str">
        <f t="shared" si="13"/>
        <v/>
      </c>
      <c r="BH44" s="10" t="str">
        <f t="shared" si="30"/>
        <v/>
      </c>
      <c r="BJ44" s="7" t="str">
        <f t="shared" si="31"/>
        <v/>
      </c>
      <c r="BK44" s="158" t="str">
        <f t="shared" si="32"/>
        <v/>
      </c>
      <c r="BL44" s="158" t="str">
        <f t="shared" si="14"/>
        <v/>
      </c>
      <c r="BM44" s="10"/>
      <c r="BN44" s="10" t="str">
        <f t="shared" si="33"/>
        <v/>
      </c>
      <c r="BO44" s="10" t="str">
        <f t="shared" si="34"/>
        <v/>
      </c>
      <c r="BQ44" s="10" t="str">
        <f t="shared" si="15"/>
        <v/>
      </c>
      <c r="BR44" s="10" t="str">
        <f t="shared" si="35"/>
        <v/>
      </c>
    </row>
    <row r="45" spans="3:70" x14ac:dyDescent="0.15">
      <c r="C45" s="4" t="s">
        <v>575</v>
      </c>
      <c r="D45" s="100"/>
      <c r="E45" s="100"/>
      <c r="F45" s="4"/>
      <c r="G45" s="100"/>
      <c r="I45" s="38">
        <f t="shared" si="36"/>
        <v>2060</v>
      </c>
      <c r="J45" s="39"/>
      <c r="K45" s="39">
        <f t="shared" si="37"/>
        <v>31</v>
      </c>
      <c r="L45" s="39"/>
      <c r="M45" s="40">
        <f t="shared" si="0"/>
        <v>0.39998714516107459</v>
      </c>
      <c r="N45" s="39"/>
      <c r="O45" s="72" t="str">
        <f t="shared" si="16"/>
        <v/>
      </c>
      <c r="P45" s="41" t="str">
        <f t="shared" si="1"/>
        <v/>
      </c>
      <c r="Q45" s="39"/>
      <c r="R45" s="72" t="str">
        <f t="shared" si="17"/>
        <v/>
      </c>
      <c r="S45" s="39"/>
      <c r="T45" s="72" t="str">
        <f t="shared" si="18"/>
        <v/>
      </c>
      <c r="U45" s="39"/>
      <c r="V45" s="72" t="str">
        <f t="shared" si="2"/>
        <v/>
      </c>
      <c r="W45" s="72" t="str">
        <f t="shared" si="19"/>
        <v/>
      </c>
      <c r="X45" s="39"/>
      <c r="Y45" s="72" t="str">
        <f t="shared" si="3"/>
        <v/>
      </c>
      <c r="Z45" s="72" t="str">
        <f t="shared" si="20"/>
        <v/>
      </c>
      <c r="AA45" s="39"/>
      <c r="AB45" s="72" t="str">
        <f t="shared" si="4"/>
        <v/>
      </c>
      <c r="AC45" s="72" t="str">
        <f t="shared" si="21"/>
        <v/>
      </c>
      <c r="AD45" s="39"/>
      <c r="AE45" s="72" t="str">
        <f t="shared" si="5"/>
        <v/>
      </c>
      <c r="AF45" s="72" t="str">
        <f t="shared" si="22"/>
        <v/>
      </c>
      <c r="AG45" s="39"/>
      <c r="AH45" s="72" t="str">
        <f t="shared" si="6"/>
        <v/>
      </c>
      <c r="AI45" s="72" t="str">
        <f t="shared" si="23"/>
        <v/>
      </c>
      <c r="AJ45" s="39"/>
      <c r="AK45" s="72" t="str">
        <f t="shared" si="7"/>
        <v/>
      </c>
      <c r="AL45" s="72" t="str">
        <f t="shared" si="24"/>
        <v/>
      </c>
      <c r="AM45" s="39"/>
      <c r="AN45" s="72" t="str">
        <f t="shared" si="8"/>
        <v/>
      </c>
      <c r="AO45" s="72" t="str">
        <f t="shared" si="25"/>
        <v/>
      </c>
      <c r="AP45" s="39"/>
      <c r="AQ45" s="72" t="str">
        <f t="shared" si="9"/>
        <v/>
      </c>
      <c r="AR45" s="72" t="str">
        <f t="shared" si="26"/>
        <v/>
      </c>
      <c r="AS45" s="39"/>
      <c r="AT45" s="40" t="str">
        <f>IF($K45&lt;=$F$15,IF($F$40&lt;&gt;"",$F$40/1000,IF(ISERROR(VLOOKUP($F$3&amp;IF($G$4&lt;&gt;"",$G$4,"")&amp;IF($F$43&lt;&gt;"","_"&amp;$F$43,""),'表3）燃料価格'!$AF$9:$AG$25,2,0)),0,VLOOKUP($I45,'表3）燃料価格'!$A$6:$U$66,VLOOKUP($F$3&amp;IF($G$4&lt;&gt;"",$G$4,"")&amp;IF($F$43&lt;&gt;"","_"&amp;$F$43,""),'表3）燃料価格'!$AF$9:$AG$25,2,0)+VLOOKUP($F$41,'表3）燃料価格'!$AF$28:$AG$29,2,0),0)*IF($F$43="需要地価格",1,$F$8/$F$141))),"")</f>
        <v/>
      </c>
      <c r="AU45" s="39"/>
      <c r="AV45" s="72" t="str">
        <f t="shared" si="10"/>
        <v/>
      </c>
      <c r="AW45" s="72" t="str">
        <f t="shared" si="27"/>
        <v/>
      </c>
      <c r="AX45" s="39"/>
      <c r="AY45" s="40" t="str">
        <f>IF(ISERROR(IF($K45&lt;=$F$15,VLOOKUP($I45,'表4）CO2価格'!$A$7:$E$67,VLOOKUP($F$48,'表4）CO2価格'!$H$10:$I$12,2,0),0)*$F$8/1000,"")),0,IF($K45&lt;=$F$15,VLOOKUP($I45,'表4）CO2価格'!$A$7:$E$67,VLOOKUP($F$48,'表4）CO2価格'!$H$10:$I$12,2,0),0)*$F$8/1000,""))</f>
        <v/>
      </c>
      <c r="AZ45" s="39"/>
      <c r="BA45" s="42" t="str">
        <f t="shared" si="11"/>
        <v/>
      </c>
      <c r="BB45" s="72" t="str">
        <f t="shared" si="28"/>
        <v/>
      </c>
      <c r="BC45" s="39"/>
      <c r="BD45" s="72" t="str">
        <f t="shared" si="12"/>
        <v/>
      </c>
      <c r="BE45" s="72" t="str">
        <f t="shared" si="29"/>
        <v/>
      </c>
      <c r="BF45" s="39"/>
      <c r="BG45" s="42" t="str">
        <f t="shared" si="13"/>
        <v/>
      </c>
      <c r="BH45" s="72" t="str">
        <f t="shared" si="30"/>
        <v/>
      </c>
      <c r="BI45" s="39"/>
      <c r="BJ45" s="40" t="str">
        <f t="shared" si="31"/>
        <v/>
      </c>
      <c r="BK45" s="157" t="str">
        <f t="shared" si="32"/>
        <v/>
      </c>
      <c r="BL45" s="157" t="str">
        <f t="shared" si="14"/>
        <v/>
      </c>
      <c r="BM45" s="72"/>
      <c r="BN45" s="72" t="str">
        <f t="shared" si="33"/>
        <v/>
      </c>
      <c r="BO45" s="72" t="str">
        <f t="shared" si="34"/>
        <v/>
      </c>
      <c r="BP45" s="39"/>
      <c r="BQ45" s="72" t="str">
        <f t="shared" si="15"/>
        <v/>
      </c>
      <c r="BR45" s="72" t="str">
        <f t="shared" si="35"/>
        <v/>
      </c>
    </row>
    <row r="46" spans="3:70" x14ac:dyDescent="0.15">
      <c r="I46" s="457">
        <f t="shared" si="36"/>
        <v>2061</v>
      </c>
      <c r="J46" s="71"/>
      <c r="K46" s="71">
        <f t="shared" si="37"/>
        <v>32</v>
      </c>
      <c r="L46" s="71"/>
      <c r="M46" s="7">
        <f t="shared" si="0"/>
        <v>0.38833703413696569</v>
      </c>
      <c r="N46" s="71"/>
      <c r="O46" s="10" t="str">
        <f t="shared" si="16"/>
        <v/>
      </c>
      <c r="P46" s="29" t="str">
        <f t="shared" si="1"/>
        <v/>
      </c>
      <c r="Q46" s="71"/>
      <c r="R46" s="10" t="str">
        <f t="shared" si="17"/>
        <v/>
      </c>
      <c r="S46" s="71"/>
      <c r="T46" s="10" t="str">
        <f t="shared" si="18"/>
        <v/>
      </c>
      <c r="U46" s="71"/>
      <c r="V46" s="10" t="str">
        <f t="shared" si="2"/>
        <v/>
      </c>
      <c r="W46" s="10" t="str">
        <f t="shared" si="19"/>
        <v/>
      </c>
      <c r="X46" s="71"/>
      <c r="Y46" s="10" t="str">
        <f t="shared" si="3"/>
        <v/>
      </c>
      <c r="Z46" s="10" t="str">
        <f t="shared" si="20"/>
        <v/>
      </c>
      <c r="AA46" s="71"/>
      <c r="AB46" s="10" t="str">
        <f t="shared" si="4"/>
        <v/>
      </c>
      <c r="AC46" s="10" t="str">
        <f t="shared" si="21"/>
        <v/>
      </c>
      <c r="AD46" s="71"/>
      <c r="AE46" s="10" t="str">
        <f t="shared" si="5"/>
        <v/>
      </c>
      <c r="AF46" s="10" t="str">
        <f t="shared" si="22"/>
        <v/>
      </c>
      <c r="AG46" s="71"/>
      <c r="AH46" s="10" t="str">
        <f t="shared" si="6"/>
        <v/>
      </c>
      <c r="AI46" s="10" t="str">
        <f t="shared" si="23"/>
        <v/>
      </c>
      <c r="AJ46" s="71"/>
      <c r="AK46" s="10" t="str">
        <f t="shared" si="7"/>
        <v/>
      </c>
      <c r="AL46" s="10" t="str">
        <f t="shared" si="24"/>
        <v/>
      </c>
      <c r="AM46" s="71"/>
      <c r="AN46" s="10" t="str">
        <f t="shared" si="8"/>
        <v/>
      </c>
      <c r="AO46" s="10" t="str">
        <f t="shared" si="25"/>
        <v/>
      </c>
      <c r="AP46" s="71"/>
      <c r="AQ46" s="10" t="str">
        <f t="shared" si="9"/>
        <v/>
      </c>
      <c r="AR46" s="10" t="str">
        <f t="shared" si="26"/>
        <v/>
      </c>
      <c r="AS46" s="71"/>
      <c r="AT46" s="7" t="str">
        <f>IF($K46&lt;=$F$15,IF($F$40&lt;&gt;"",$F$40/1000,IF(ISERROR(VLOOKUP($F$3&amp;IF($G$4&lt;&gt;"",$G$4,"")&amp;IF($F$43&lt;&gt;"","_"&amp;$F$43,""),'表3）燃料価格'!$AF$9:$AG$25,2,0)),0,VLOOKUP($I46,'表3）燃料価格'!$A$6:$U$66,VLOOKUP($F$3&amp;IF($G$4&lt;&gt;"",$G$4,"")&amp;IF($F$43&lt;&gt;"","_"&amp;$F$43,""),'表3）燃料価格'!$AF$9:$AG$25,2,0)+VLOOKUP($F$41,'表3）燃料価格'!$AF$28:$AG$29,2,0),0)*IF($F$43="需要地価格",1,$F$8/$F$141))),"")</f>
        <v/>
      </c>
      <c r="AU46" s="71"/>
      <c r="AV46" s="10" t="str">
        <f t="shared" si="10"/>
        <v/>
      </c>
      <c r="AW46" s="10" t="str">
        <f t="shared" si="27"/>
        <v/>
      </c>
      <c r="AX46" s="71"/>
      <c r="AY46" s="7" t="str">
        <f>IF(ISERROR(IF($K46&lt;=$F$15,VLOOKUP($I46,'表4）CO2価格'!$A$7:$E$67,VLOOKUP($F$48,'表4）CO2価格'!$H$10:$I$12,2,0),0)*$F$8/1000,"")),0,IF($K46&lt;=$F$15,VLOOKUP($I46,'表4）CO2価格'!$A$7:$E$67,VLOOKUP($F$48,'表4）CO2価格'!$H$10:$I$12,2,0),0)*$F$8/1000,""))</f>
        <v/>
      </c>
      <c r="AZ46" s="71"/>
      <c r="BA46" s="11" t="str">
        <f t="shared" si="11"/>
        <v/>
      </c>
      <c r="BB46" s="10" t="str">
        <f t="shared" si="28"/>
        <v/>
      </c>
      <c r="BC46" s="71"/>
      <c r="BD46" s="10" t="str">
        <f t="shared" si="12"/>
        <v/>
      </c>
      <c r="BE46" s="10" t="str">
        <f t="shared" si="29"/>
        <v/>
      </c>
      <c r="BF46" s="71"/>
      <c r="BG46" s="11" t="str">
        <f t="shared" si="13"/>
        <v/>
      </c>
      <c r="BH46" s="10" t="str">
        <f t="shared" si="30"/>
        <v/>
      </c>
      <c r="BJ46" s="7" t="str">
        <f t="shared" si="31"/>
        <v/>
      </c>
      <c r="BK46" s="158" t="str">
        <f t="shared" si="32"/>
        <v/>
      </c>
      <c r="BL46" s="158" t="str">
        <f t="shared" si="14"/>
        <v/>
      </c>
      <c r="BM46" s="10"/>
      <c r="BN46" s="10" t="str">
        <f t="shared" si="33"/>
        <v/>
      </c>
      <c r="BO46" s="10" t="str">
        <f t="shared" si="34"/>
        <v/>
      </c>
      <c r="BQ46" s="10" t="str">
        <f t="shared" si="15"/>
        <v/>
      </c>
      <c r="BR46" s="10" t="str">
        <f t="shared" si="35"/>
        <v/>
      </c>
    </row>
    <row r="47" spans="3:70" x14ac:dyDescent="0.15">
      <c r="D47" s="84" t="s">
        <v>576</v>
      </c>
      <c r="F47" s="475"/>
      <c r="G47" s="84" t="s">
        <v>577</v>
      </c>
      <c r="I47" s="38">
        <f t="shared" si="36"/>
        <v>2062</v>
      </c>
      <c r="J47" s="39"/>
      <c r="K47" s="39">
        <f t="shared" si="37"/>
        <v>33</v>
      </c>
      <c r="L47" s="39"/>
      <c r="M47" s="40">
        <f t="shared" si="0"/>
        <v>0.37702624673491814</v>
      </c>
      <c r="N47" s="39"/>
      <c r="O47" s="72" t="str">
        <f t="shared" si="16"/>
        <v/>
      </c>
      <c r="P47" s="41" t="str">
        <f t="shared" ref="P47:P78" si="38">IF(K47&lt;=$F$15,IF(OR(P46=$F$124,P46="-"),"-",IF(O47*$F$123&gt;$F$127,$F$123,$F$124)),"")</f>
        <v/>
      </c>
      <c r="Q47" s="39"/>
      <c r="R47" s="72" t="str">
        <f t="shared" si="17"/>
        <v/>
      </c>
      <c r="S47" s="39"/>
      <c r="T47" s="72" t="str">
        <f t="shared" si="18"/>
        <v/>
      </c>
      <c r="U47" s="39"/>
      <c r="V47" s="72" t="str">
        <f t="shared" ref="V47:V78" si="39">IF(K47&lt;=$F$15,IF(K47&lt;$F$119,IF(P47="-",V46,O47*P47),IF(K47=$F$119,MIN(IF(P47="-",V46,O47*P47),O47),0)),"")</f>
        <v/>
      </c>
      <c r="W47" s="72" t="str">
        <f t="shared" si="19"/>
        <v/>
      </c>
      <c r="X47" s="39"/>
      <c r="Y47" s="72" t="str">
        <f t="shared" ref="Y47:Y78" si="40">IF($K47&lt;=$F$15,ROUNDDOWN(T47*$F$25/100,-2),"")</f>
        <v/>
      </c>
      <c r="Z47" s="72" t="str">
        <f t="shared" si="20"/>
        <v/>
      </c>
      <c r="AA47" s="39"/>
      <c r="AB47" s="72" t="str">
        <f t="shared" si="4"/>
        <v/>
      </c>
      <c r="AC47" s="72" t="str">
        <f t="shared" si="21"/>
        <v/>
      </c>
      <c r="AD47" s="39"/>
      <c r="AE47" s="72" t="str">
        <f t="shared" ref="AE47:AE78" si="41">IF($K47&lt;=$F$15,$F$26,"")</f>
        <v/>
      </c>
      <c r="AF47" s="72" t="str">
        <f t="shared" si="22"/>
        <v/>
      </c>
      <c r="AG47" s="39"/>
      <c r="AH47" s="72" t="str">
        <f t="shared" ref="AH47:AH78" si="42">IF($K47&lt;=$F$15,$F$33*10^4*$F$13*10^4,"")</f>
        <v/>
      </c>
      <c r="AI47" s="72" t="str">
        <f t="shared" si="23"/>
        <v/>
      </c>
      <c r="AJ47" s="39"/>
      <c r="AK47" s="72" t="str">
        <f t="shared" ref="AK47:AK78" si="43">IF($K47&lt;=$F$15,$F$117*$F$34/100,"")</f>
        <v/>
      </c>
      <c r="AL47" s="72" t="str">
        <f t="shared" si="24"/>
        <v/>
      </c>
      <c r="AM47" s="39"/>
      <c r="AN47" s="72" t="str">
        <f t="shared" ref="AN47:AN78" si="44">IF($K47&lt;=$F$15,$F$117*$F$35/100,"")</f>
        <v/>
      </c>
      <c r="AO47" s="72" t="str">
        <f t="shared" si="25"/>
        <v/>
      </c>
      <c r="AP47" s="39"/>
      <c r="AQ47" s="72" t="str">
        <f t="shared" ref="AQ47:AQ78" si="45">IF($K47&lt;=$F$15,SUM(AH47,AK47,AN47)*($F$36/100),"")</f>
        <v/>
      </c>
      <c r="AR47" s="72" t="str">
        <f t="shared" si="26"/>
        <v/>
      </c>
      <c r="AS47" s="39"/>
      <c r="AT47" s="40" t="str">
        <f>IF($K47&lt;=$F$15,IF($F$40&lt;&gt;"",$F$40/1000,IF(ISERROR(VLOOKUP($F$3&amp;IF($G$4&lt;&gt;"",$G$4,"")&amp;IF($F$43&lt;&gt;"","_"&amp;$F$43,""),'表3）燃料価格'!$AF$9:$AG$25,2,0)),0,VLOOKUP($I47,'表3）燃料価格'!$A$6:$U$66,VLOOKUP($F$3&amp;IF($G$4&lt;&gt;"",$G$4,"")&amp;IF($F$43&lt;&gt;"","_"&amp;$F$43,""),'表3）燃料価格'!$AF$9:$AG$25,2,0)+VLOOKUP($F$41,'表3）燃料価格'!$AF$28:$AG$29,2,0),0)*IF($F$43="需要地価格",1,$F$8/$F$141))),"")</f>
        <v/>
      </c>
      <c r="AU47" s="39"/>
      <c r="AV47" s="72" t="str">
        <f t="shared" ref="AV47:AV78" si="46">IF($K47&lt;=$F$15,($AT47+$F$142)*$F$137,"")</f>
        <v/>
      </c>
      <c r="AW47" s="72" t="str">
        <f t="shared" si="27"/>
        <v/>
      </c>
      <c r="AX47" s="39"/>
      <c r="AY47" s="40" t="str">
        <f>IF(ISERROR(IF($K47&lt;=$F$15,VLOOKUP($I47,'表4）CO2価格'!$A$7:$E$67,VLOOKUP($F$48,'表4）CO2価格'!$H$10:$I$12,2,0),0)*$F$8/1000,"")),0,IF($K47&lt;=$F$15,VLOOKUP($I47,'表4）CO2価格'!$A$7:$E$67,VLOOKUP($F$48,'表4）CO2価格'!$H$10:$I$12,2,0),0)*$F$8/1000,""))</f>
        <v/>
      </c>
      <c r="AZ47" s="39"/>
      <c r="BA47" s="42" t="str">
        <f t="shared" ref="BA47:BA78" si="47">IF($K47&lt;=$F$15,$F$145*AY47,"")</f>
        <v/>
      </c>
      <c r="BB47" s="72" t="str">
        <f t="shared" si="28"/>
        <v/>
      </c>
      <c r="BC47" s="39"/>
      <c r="BD47" s="72" t="str">
        <f t="shared" ref="BD47:BD78" si="48">IF($K47&lt;=$F$15,($AT47+$F$152)*$F$151,"")</f>
        <v/>
      </c>
      <c r="BE47" s="72" t="str">
        <f t="shared" si="29"/>
        <v/>
      </c>
      <c r="BF47" s="39"/>
      <c r="BG47" s="42" t="str">
        <f t="shared" ref="BG47:BG78" si="49">IF($K47&lt;=$F$15,$F$153*AY47,"")</f>
        <v/>
      </c>
      <c r="BH47" s="72" t="str">
        <f t="shared" si="30"/>
        <v/>
      </c>
      <c r="BI47" s="39"/>
      <c r="BJ47" s="40" t="str">
        <f t="shared" si="31"/>
        <v/>
      </c>
      <c r="BK47" s="157" t="str">
        <f t="shared" si="32"/>
        <v/>
      </c>
      <c r="BL47" s="157" t="str">
        <f t="shared" si="14"/>
        <v/>
      </c>
      <c r="BM47" s="72"/>
      <c r="BN47" s="72" t="str">
        <f t="shared" si="33"/>
        <v/>
      </c>
      <c r="BO47" s="72" t="str">
        <f t="shared" si="34"/>
        <v/>
      </c>
      <c r="BP47" s="39"/>
      <c r="BQ47" s="72" t="str">
        <f t="shared" ref="BQ47:BQ78" si="50">IF($K47&lt;=$F$15,$F$134,"")</f>
        <v/>
      </c>
      <c r="BR47" s="72" t="str">
        <f t="shared" si="35"/>
        <v/>
      </c>
    </row>
    <row r="48" spans="3:70" x14ac:dyDescent="0.15">
      <c r="D48" s="84" t="s">
        <v>578</v>
      </c>
      <c r="F48" s="474"/>
      <c r="I48" s="457">
        <f t="shared" si="36"/>
        <v>2063</v>
      </c>
      <c r="J48" s="71"/>
      <c r="K48" s="71">
        <f t="shared" si="37"/>
        <v>34</v>
      </c>
      <c r="L48" s="71"/>
      <c r="M48" s="7">
        <f t="shared" si="0"/>
        <v>0.36604489974263904</v>
      </c>
      <c r="N48" s="71"/>
      <c r="O48" s="10" t="str">
        <f t="shared" si="16"/>
        <v/>
      </c>
      <c r="P48" s="29" t="str">
        <f t="shared" si="38"/>
        <v/>
      </c>
      <c r="Q48" s="71"/>
      <c r="R48" s="10" t="str">
        <f t="shared" ref="R48:R79" si="51">IF($K48&lt;=$F$15,MAX($F$117*5%,R47*$F$129),"")</f>
        <v/>
      </c>
      <c r="S48" s="71"/>
      <c r="T48" s="10" t="str">
        <f t="shared" si="18"/>
        <v/>
      </c>
      <c r="U48" s="71"/>
      <c r="V48" s="10" t="str">
        <f t="shared" si="39"/>
        <v/>
      </c>
      <c r="W48" s="10" t="str">
        <f t="shared" si="19"/>
        <v/>
      </c>
      <c r="X48" s="71"/>
      <c r="Y48" s="10" t="str">
        <f t="shared" si="40"/>
        <v/>
      </c>
      <c r="Z48" s="10" t="str">
        <f t="shared" si="20"/>
        <v/>
      </c>
      <c r="AA48" s="71"/>
      <c r="AB48" s="10" t="str">
        <f t="shared" si="4"/>
        <v/>
      </c>
      <c r="AC48" s="10" t="str">
        <f t="shared" si="21"/>
        <v/>
      </c>
      <c r="AD48" s="71"/>
      <c r="AE48" s="10" t="str">
        <f t="shared" si="41"/>
        <v/>
      </c>
      <c r="AF48" s="10" t="str">
        <f t="shared" si="22"/>
        <v/>
      </c>
      <c r="AG48" s="71"/>
      <c r="AH48" s="10" t="str">
        <f t="shared" si="42"/>
        <v/>
      </c>
      <c r="AI48" s="10" t="str">
        <f t="shared" si="23"/>
        <v/>
      </c>
      <c r="AJ48" s="71"/>
      <c r="AK48" s="10" t="str">
        <f t="shared" si="43"/>
        <v/>
      </c>
      <c r="AL48" s="10" t="str">
        <f t="shared" si="24"/>
        <v/>
      </c>
      <c r="AM48" s="71"/>
      <c r="AN48" s="10" t="str">
        <f t="shared" si="44"/>
        <v/>
      </c>
      <c r="AO48" s="10" t="str">
        <f t="shared" si="25"/>
        <v/>
      </c>
      <c r="AP48" s="71"/>
      <c r="AQ48" s="10" t="str">
        <f t="shared" si="45"/>
        <v/>
      </c>
      <c r="AR48" s="10" t="str">
        <f t="shared" si="26"/>
        <v/>
      </c>
      <c r="AS48" s="71"/>
      <c r="AT48" s="7" t="str">
        <f>IF($K48&lt;=$F$15,IF($F$40&lt;&gt;"",$F$40/1000,IF(ISERROR(VLOOKUP($F$3&amp;IF($G$4&lt;&gt;"",$G$4,"")&amp;IF($F$43&lt;&gt;"","_"&amp;$F$43,""),'表3）燃料価格'!$AF$9:$AG$25,2,0)),0,VLOOKUP($I48,'表3）燃料価格'!$A$6:$U$66,VLOOKUP($F$3&amp;IF($G$4&lt;&gt;"",$G$4,"")&amp;IF($F$43&lt;&gt;"","_"&amp;$F$43,""),'表3）燃料価格'!$AF$9:$AG$25,2,0)+VLOOKUP($F$41,'表3）燃料価格'!$AF$28:$AG$29,2,0),0)*IF($F$43="需要地価格",1,$F$8/$F$141))),"")</f>
        <v/>
      </c>
      <c r="AU48" s="71"/>
      <c r="AV48" s="10" t="str">
        <f t="shared" si="46"/>
        <v/>
      </c>
      <c r="AW48" s="10" t="str">
        <f t="shared" si="27"/>
        <v/>
      </c>
      <c r="AX48" s="71"/>
      <c r="AY48" s="7" t="str">
        <f>IF(ISERROR(IF($K48&lt;=$F$15,VLOOKUP($I48,'表4）CO2価格'!$A$7:$E$67,VLOOKUP($F$48,'表4）CO2価格'!$H$10:$I$12,2,0),0)*$F$8/1000,"")),0,IF($K48&lt;=$F$15,VLOOKUP($I48,'表4）CO2価格'!$A$7:$E$67,VLOOKUP($F$48,'表4）CO2価格'!$H$10:$I$12,2,0),0)*$F$8/1000,""))</f>
        <v/>
      </c>
      <c r="AZ48" s="71"/>
      <c r="BA48" s="11" t="str">
        <f t="shared" si="47"/>
        <v/>
      </c>
      <c r="BB48" s="10" t="str">
        <f t="shared" si="28"/>
        <v/>
      </c>
      <c r="BC48" s="71"/>
      <c r="BD48" s="10" t="str">
        <f t="shared" si="48"/>
        <v/>
      </c>
      <c r="BE48" s="10" t="str">
        <f t="shared" si="29"/>
        <v/>
      </c>
      <c r="BF48" s="71"/>
      <c r="BG48" s="11" t="str">
        <f t="shared" si="49"/>
        <v/>
      </c>
      <c r="BH48" s="10" t="str">
        <f t="shared" si="30"/>
        <v/>
      </c>
      <c r="BJ48" s="7" t="str">
        <f t="shared" si="31"/>
        <v/>
      </c>
      <c r="BK48" s="158" t="str">
        <f t="shared" si="32"/>
        <v/>
      </c>
      <c r="BL48" s="158" t="str">
        <f t="shared" si="14"/>
        <v/>
      </c>
      <c r="BM48" s="10"/>
      <c r="BN48" s="10" t="str">
        <f t="shared" si="33"/>
        <v/>
      </c>
      <c r="BO48" s="10" t="str">
        <f t="shared" si="34"/>
        <v/>
      </c>
      <c r="BQ48" s="10" t="str">
        <f t="shared" si="50"/>
        <v/>
      </c>
      <c r="BR48" s="10" t="str">
        <f t="shared" si="35"/>
        <v/>
      </c>
    </row>
    <row r="49" spans="3:70" x14ac:dyDescent="0.15">
      <c r="I49" s="38">
        <f t="shared" si="36"/>
        <v>2064</v>
      </c>
      <c r="J49" s="39"/>
      <c r="K49" s="39">
        <f t="shared" si="37"/>
        <v>35</v>
      </c>
      <c r="L49" s="39"/>
      <c r="M49" s="40">
        <f t="shared" si="0"/>
        <v>0.35538339780838735</v>
      </c>
      <c r="N49" s="39"/>
      <c r="O49" s="72" t="str">
        <f t="shared" si="16"/>
        <v/>
      </c>
      <c r="P49" s="41" t="str">
        <f t="shared" si="38"/>
        <v/>
      </c>
      <c r="Q49" s="39"/>
      <c r="R49" s="72" t="str">
        <f t="shared" si="51"/>
        <v/>
      </c>
      <c r="S49" s="39"/>
      <c r="T49" s="72" t="str">
        <f t="shared" si="18"/>
        <v/>
      </c>
      <c r="U49" s="39"/>
      <c r="V49" s="72" t="str">
        <f t="shared" si="39"/>
        <v/>
      </c>
      <c r="W49" s="72" t="str">
        <f t="shared" si="19"/>
        <v/>
      </c>
      <c r="X49" s="39"/>
      <c r="Y49" s="72" t="str">
        <f t="shared" si="40"/>
        <v/>
      </c>
      <c r="Z49" s="72" t="str">
        <f t="shared" si="20"/>
        <v/>
      </c>
      <c r="AA49" s="39"/>
      <c r="AB49" s="72" t="str">
        <f t="shared" si="4"/>
        <v/>
      </c>
      <c r="AC49" s="72" t="str">
        <f t="shared" si="21"/>
        <v/>
      </c>
      <c r="AD49" s="39"/>
      <c r="AE49" s="72" t="str">
        <f t="shared" si="41"/>
        <v/>
      </c>
      <c r="AF49" s="72" t="str">
        <f t="shared" si="22"/>
        <v/>
      </c>
      <c r="AG49" s="39"/>
      <c r="AH49" s="72" t="str">
        <f t="shared" si="42"/>
        <v/>
      </c>
      <c r="AI49" s="72" t="str">
        <f t="shared" si="23"/>
        <v/>
      </c>
      <c r="AJ49" s="39"/>
      <c r="AK49" s="72" t="str">
        <f t="shared" si="43"/>
        <v/>
      </c>
      <c r="AL49" s="72" t="str">
        <f t="shared" si="24"/>
        <v/>
      </c>
      <c r="AM49" s="39"/>
      <c r="AN49" s="72" t="str">
        <f t="shared" si="44"/>
        <v/>
      </c>
      <c r="AO49" s="72" t="str">
        <f t="shared" si="25"/>
        <v/>
      </c>
      <c r="AP49" s="39"/>
      <c r="AQ49" s="72" t="str">
        <f t="shared" si="45"/>
        <v/>
      </c>
      <c r="AR49" s="72" t="str">
        <f t="shared" si="26"/>
        <v/>
      </c>
      <c r="AS49" s="39"/>
      <c r="AT49" s="40" t="str">
        <f>IF($K49&lt;=$F$15,IF($F$40&lt;&gt;"",$F$40/1000,IF(ISERROR(VLOOKUP($F$3&amp;IF($G$4&lt;&gt;"",$G$4,"")&amp;IF($F$43&lt;&gt;"","_"&amp;$F$43,""),'表3）燃料価格'!$AF$9:$AG$25,2,0)),0,VLOOKUP($I49,'表3）燃料価格'!$A$6:$U$66,VLOOKUP($F$3&amp;IF($G$4&lt;&gt;"",$G$4,"")&amp;IF($F$43&lt;&gt;"","_"&amp;$F$43,""),'表3）燃料価格'!$AF$9:$AG$25,2,0)+VLOOKUP($F$41,'表3）燃料価格'!$AF$28:$AG$29,2,0),0)*IF($F$43="需要地価格",1,$F$8/$F$141))),"")</f>
        <v/>
      </c>
      <c r="AU49" s="39"/>
      <c r="AV49" s="72" t="str">
        <f t="shared" si="46"/>
        <v/>
      </c>
      <c r="AW49" s="72" t="str">
        <f t="shared" si="27"/>
        <v/>
      </c>
      <c r="AX49" s="39"/>
      <c r="AY49" s="40" t="str">
        <f>IF(ISERROR(IF($K49&lt;=$F$15,VLOOKUP($I49,'表4）CO2価格'!$A$7:$E$67,VLOOKUP($F$48,'表4）CO2価格'!$H$10:$I$12,2,0),0)*$F$8/1000,"")),0,IF($K49&lt;=$F$15,VLOOKUP($I49,'表4）CO2価格'!$A$7:$E$67,VLOOKUP($F$48,'表4）CO2価格'!$H$10:$I$12,2,0),0)*$F$8/1000,""))</f>
        <v/>
      </c>
      <c r="AZ49" s="39"/>
      <c r="BA49" s="42" t="str">
        <f t="shared" si="47"/>
        <v/>
      </c>
      <c r="BB49" s="72" t="str">
        <f t="shared" si="28"/>
        <v/>
      </c>
      <c r="BC49" s="39"/>
      <c r="BD49" s="72" t="str">
        <f t="shared" si="48"/>
        <v/>
      </c>
      <c r="BE49" s="72" t="str">
        <f t="shared" si="29"/>
        <v/>
      </c>
      <c r="BF49" s="39"/>
      <c r="BG49" s="42" t="str">
        <f t="shared" si="49"/>
        <v/>
      </c>
      <c r="BH49" s="72" t="str">
        <f t="shared" si="30"/>
        <v/>
      </c>
      <c r="BI49" s="39"/>
      <c r="BJ49" s="40" t="str">
        <f t="shared" si="31"/>
        <v/>
      </c>
      <c r="BK49" s="157" t="str">
        <f t="shared" si="32"/>
        <v/>
      </c>
      <c r="BL49" s="157" t="str">
        <f t="shared" si="14"/>
        <v/>
      </c>
      <c r="BM49" s="72"/>
      <c r="BN49" s="72" t="str">
        <f t="shared" si="33"/>
        <v/>
      </c>
      <c r="BO49" s="72" t="str">
        <f t="shared" si="34"/>
        <v/>
      </c>
      <c r="BP49" s="39"/>
      <c r="BQ49" s="72" t="str">
        <f t="shared" si="50"/>
        <v/>
      </c>
      <c r="BR49" s="72" t="str">
        <f t="shared" si="35"/>
        <v/>
      </c>
    </row>
    <row r="50" spans="3:70" x14ac:dyDescent="0.15">
      <c r="C50" s="4" t="s">
        <v>579</v>
      </c>
      <c r="D50" s="100"/>
      <c r="E50" s="100"/>
      <c r="F50" s="4"/>
      <c r="G50" s="100"/>
      <c r="I50" s="457">
        <f t="shared" si="36"/>
        <v>2065</v>
      </c>
      <c r="J50" s="71"/>
      <c r="K50" s="71">
        <f t="shared" si="37"/>
        <v>36</v>
      </c>
      <c r="L50" s="71"/>
      <c r="M50" s="7">
        <f t="shared" si="0"/>
        <v>0.34503242505668674</v>
      </c>
      <c r="N50" s="71"/>
      <c r="O50" s="10" t="str">
        <f t="shared" si="16"/>
        <v/>
      </c>
      <c r="P50" s="29" t="str">
        <f t="shared" si="38"/>
        <v/>
      </c>
      <c r="Q50" s="71"/>
      <c r="R50" s="10" t="str">
        <f t="shared" si="51"/>
        <v/>
      </c>
      <c r="S50" s="71"/>
      <c r="T50" s="10" t="str">
        <f t="shared" si="18"/>
        <v/>
      </c>
      <c r="U50" s="71"/>
      <c r="V50" s="10" t="str">
        <f t="shared" si="39"/>
        <v/>
      </c>
      <c r="W50" s="10" t="str">
        <f t="shared" si="19"/>
        <v/>
      </c>
      <c r="X50" s="71"/>
      <c r="Y50" s="10" t="str">
        <f t="shared" si="40"/>
        <v/>
      </c>
      <c r="Z50" s="10" t="str">
        <f t="shared" si="20"/>
        <v/>
      </c>
      <c r="AA50" s="71"/>
      <c r="AB50" s="10" t="str">
        <f t="shared" si="4"/>
        <v/>
      </c>
      <c r="AC50" s="10" t="str">
        <f t="shared" si="21"/>
        <v/>
      </c>
      <c r="AD50" s="71"/>
      <c r="AE50" s="10" t="str">
        <f t="shared" si="41"/>
        <v/>
      </c>
      <c r="AF50" s="10" t="str">
        <f t="shared" si="22"/>
        <v/>
      </c>
      <c r="AG50" s="71"/>
      <c r="AH50" s="10" t="str">
        <f t="shared" si="42"/>
        <v/>
      </c>
      <c r="AI50" s="10" t="str">
        <f t="shared" si="23"/>
        <v/>
      </c>
      <c r="AJ50" s="71"/>
      <c r="AK50" s="10" t="str">
        <f t="shared" si="43"/>
        <v/>
      </c>
      <c r="AL50" s="10" t="str">
        <f t="shared" si="24"/>
        <v/>
      </c>
      <c r="AM50" s="71"/>
      <c r="AN50" s="10" t="str">
        <f t="shared" si="44"/>
        <v/>
      </c>
      <c r="AO50" s="10" t="str">
        <f t="shared" si="25"/>
        <v/>
      </c>
      <c r="AP50" s="71"/>
      <c r="AQ50" s="10" t="str">
        <f t="shared" si="45"/>
        <v/>
      </c>
      <c r="AR50" s="10" t="str">
        <f t="shared" si="26"/>
        <v/>
      </c>
      <c r="AS50" s="71"/>
      <c r="AT50" s="7" t="str">
        <f>IF($K50&lt;=$F$15,IF($F$40&lt;&gt;"",$F$40/1000,IF(ISERROR(VLOOKUP($F$3&amp;IF($G$4&lt;&gt;"",$G$4,"")&amp;IF($F$43&lt;&gt;"","_"&amp;$F$43,""),'表3）燃料価格'!$AF$9:$AG$25,2,0)),0,VLOOKUP($I50,'表3）燃料価格'!$A$6:$U$66,VLOOKUP($F$3&amp;IF($G$4&lt;&gt;"",$G$4,"")&amp;IF($F$43&lt;&gt;"","_"&amp;$F$43,""),'表3）燃料価格'!$AF$9:$AG$25,2,0)+VLOOKUP($F$41,'表3）燃料価格'!$AF$28:$AG$29,2,0),0)*IF($F$43="需要地価格",1,$F$8/$F$141))),"")</f>
        <v/>
      </c>
      <c r="AU50" s="71"/>
      <c r="AV50" s="10" t="str">
        <f t="shared" si="46"/>
        <v/>
      </c>
      <c r="AW50" s="10" t="str">
        <f t="shared" si="27"/>
        <v/>
      </c>
      <c r="AX50" s="71"/>
      <c r="AY50" s="7" t="str">
        <f>IF(ISERROR(IF($K50&lt;=$F$15,VLOOKUP($I50,'表4）CO2価格'!$A$7:$E$67,VLOOKUP($F$48,'表4）CO2価格'!$H$10:$I$12,2,0),0)*$F$8/1000,"")),0,IF($K50&lt;=$F$15,VLOOKUP($I50,'表4）CO2価格'!$A$7:$E$67,VLOOKUP($F$48,'表4）CO2価格'!$H$10:$I$12,2,0),0)*$F$8/1000,""))</f>
        <v/>
      </c>
      <c r="AZ50" s="71"/>
      <c r="BA50" s="11" t="str">
        <f t="shared" si="47"/>
        <v/>
      </c>
      <c r="BB50" s="10" t="str">
        <f t="shared" si="28"/>
        <v/>
      </c>
      <c r="BC50" s="71"/>
      <c r="BD50" s="10" t="str">
        <f t="shared" si="48"/>
        <v/>
      </c>
      <c r="BE50" s="10" t="str">
        <f t="shared" si="29"/>
        <v/>
      </c>
      <c r="BF50" s="71"/>
      <c r="BG50" s="11" t="str">
        <f t="shared" si="49"/>
        <v/>
      </c>
      <c r="BH50" s="10" t="str">
        <f t="shared" si="30"/>
        <v/>
      </c>
      <c r="BJ50" s="7" t="str">
        <f t="shared" si="31"/>
        <v/>
      </c>
      <c r="BK50" s="158" t="str">
        <f t="shared" si="32"/>
        <v/>
      </c>
      <c r="BL50" s="158" t="str">
        <f t="shared" si="14"/>
        <v/>
      </c>
      <c r="BM50" s="10"/>
      <c r="BN50" s="10" t="str">
        <f t="shared" si="33"/>
        <v/>
      </c>
      <c r="BO50" s="10" t="str">
        <f t="shared" si="34"/>
        <v/>
      </c>
      <c r="BQ50" s="10" t="str">
        <f t="shared" si="50"/>
        <v/>
      </c>
      <c r="BR50" s="10" t="str">
        <f t="shared" si="35"/>
        <v/>
      </c>
    </row>
    <row r="51" spans="3:70" x14ac:dyDescent="0.15">
      <c r="I51" s="38">
        <f t="shared" si="36"/>
        <v>2066</v>
      </c>
      <c r="J51" s="39"/>
      <c r="K51" s="39">
        <f t="shared" si="37"/>
        <v>37</v>
      </c>
      <c r="L51" s="39"/>
      <c r="M51" s="40">
        <f t="shared" si="0"/>
        <v>0.33498293694823961</v>
      </c>
      <c r="N51" s="39"/>
      <c r="O51" s="72" t="str">
        <f t="shared" si="16"/>
        <v/>
      </c>
      <c r="P51" s="41" t="str">
        <f t="shared" si="38"/>
        <v/>
      </c>
      <c r="Q51" s="39"/>
      <c r="R51" s="72" t="str">
        <f t="shared" si="51"/>
        <v/>
      </c>
      <c r="S51" s="39"/>
      <c r="T51" s="72" t="str">
        <f t="shared" si="18"/>
        <v/>
      </c>
      <c r="U51" s="39"/>
      <c r="V51" s="72" t="str">
        <f t="shared" si="39"/>
        <v/>
      </c>
      <c r="W51" s="72" t="str">
        <f t="shared" si="19"/>
        <v/>
      </c>
      <c r="X51" s="39"/>
      <c r="Y51" s="72" t="str">
        <f t="shared" si="40"/>
        <v/>
      </c>
      <c r="Z51" s="72" t="str">
        <f t="shared" si="20"/>
        <v/>
      </c>
      <c r="AA51" s="39"/>
      <c r="AB51" s="72" t="str">
        <f t="shared" si="4"/>
        <v/>
      </c>
      <c r="AC51" s="72" t="str">
        <f t="shared" si="21"/>
        <v/>
      </c>
      <c r="AD51" s="39"/>
      <c r="AE51" s="72" t="str">
        <f t="shared" si="41"/>
        <v/>
      </c>
      <c r="AF51" s="72" t="str">
        <f t="shared" si="22"/>
        <v/>
      </c>
      <c r="AG51" s="39"/>
      <c r="AH51" s="72" t="str">
        <f t="shared" si="42"/>
        <v/>
      </c>
      <c r="AI51" s="72" t="str">
        <f t="shared" si="23"/>
        <v/>
      </c>
      <c r="AJ51" s="39"/>
      <c r="AK51" s="72" t="str">
        <f t="shared" si="43"/>
        <v/>
      </c>
      <c r="AL51" s="72" t="str">
        <f t="shared" si="24"/>
        <v/>
      </c>
      <c r="AM51" s="39"/>
      <c r="AN51" s="72" t="str">
        <f t="shared" si="44"/>
        <v/>
      </c>
      <c r="AO51" s="72" t="str">
        <f t="shared" si="25"/>
        <v/>
      </c>
      <c r="AP51" s="39"/>
      <c r="AQ51" s="72" t="str">
        <f t="shared" si="45"/>
        <v/>
      </c>
      <c r="AR51" s="72" t="str">
        <f t="shared" si="26"/>
        <v/>
      </c>
      <c r="AS51" s="39"/>
      <c r="AT51" s="40" t="str">
        <f>IF($K51&lt;=$F$15,IF($F$40&lt;&gt;"",$F$40/1000,IF(ISERROR(VLOOKUP($F$3&amp;IF($G$4&lt;&gt;"",$G$4,"")&amp;IF($F$43&lt;&gt;"","_"&amp;$F$43,""),'表3）燃料価格'!$AF$9:$AG$25,2,0)),0,VLOOKUP($I51,'表3）燃料価格'!$A$6:$U$66,VLOOKUP($F$3&amp;IF($G$4&lt;&gt;"",$G$4,"")&amp;IF($F$43&lt;&gt;"","_"&amp;$F$43,""),'表3）燃料価格'!$AF$9:$AG$25,2,0)+VLOOKUP($F$41,'表3）燃料価格'!$AF$28:$AG$29,2,0),0)*IF($F$43="需要地価格",1,$F$8/$F$141))),"")</f>
        <v/>
      </c>
      <c r="AU51" s="39"/>
      <c r="AV51" s="72" t="str">
        <f t="shared" si="46"/>
        <v/>
      </c>
      <c r="AW51" s="72" t="str">
        <f t="shared" si="27"/>
        <v/>
      </c>
      <c r="AX51" s="39"/>
      <c r="AY51" s="40" t="str">
        <f>IF(ISERROR(IF($K51&lt;=$F$15,VLOOKUP($I51,'表4）CO2価格'!$A$7:$E$67,VLOOKUP($F$48,'表4）CO2価格'!$H$10:$I$12,2,0),0)*$F$8/1000,"")),0,IF($K51&lt;=$F$15,VLOOKUP($I51,'表4）CO2価格'!$A$7:$E$67,VLOOKUP($F$48,'表4）CO2価格'!$H$10:$I$12,2,0),0)*$F$8/1000,""))</f>
        <v/>
      </c>
      <c r="AZ51" s="39"/>
      <c r="BA51" s="42" t="str">
        <f t="shared" si="47"/>
        <v/>
      </c>
      <c r="BB51" s="72" t="str">
        <f t="shared" si="28"/>
        <v/>
      </c>
      <c r="BC51" s="39"/>
      <c r="BD51" s="72" t="str">
        <f t="shared" si="48"/>
        <v/>
      </c>
      <c r="BE51" s="72" t="str">
        <f t="shared" si="29"/>
        <v/>
      </c>
      <c r="BF51" s="39"/>
      <c r="BG51" s="42" t="str">
        <f t="shared" si="49"/>
        <v/>
      </c>
      <c r="BH51" s="72" t="str">
        <f t="shared" si="30"/>
        <v/>
      </c>
      <c r="BI51" s="39"/>
      <c r="BJ51" s="40" t="str">
        <f t="shared" si="31"/>
        <v/>
      </c>
      <c r="BK51" s="157" t="str">
        <f t="shared" si="32"/>
        <v/>
      </c>
      <c r="BL51" s="157" t="str">
        <f t="shared" si="14"/>
        <v/>
      </c>
      <c r="BM51" s="72"/>
      <c r="BN51" s="72" t="str">
        <f t="shared" si="33"/>
        <v/>
      </c>
      <c r="BO51" s="72" t="str">
        <f t="shared" si="34"/>
        <v/>
      </c>
      <c r="BP51" s="39"/>
      <c r="BQ51" s="72" t="str">
        <f t="shared" si="50"/>
        <v/>
      </c>
      <c r="BR51" s="72" t="str">
        <f t="shared" si="35"/>
        <v/>
      </c>
    </row>
    <row r="52" spans="3:70" x14ac:dyDescent="0.15">
      <c r="D52" s="84" t="s">
        <v>185</v>
      </c>
      <c r="F52" s="478"/>
      <c r="G52" s="84" t="s">
        <v>549</v>
      </c>
      <c r="I52" s="457">
        <f t="shared" si="36"/>
        <v>2067</v>
      </c>
      <c r="J52" s="71"/>
      <c r="K52" s="71">
        <f t="shared" si="37"/>
        <v>38</v>
      </c>
      <c r="L52" s="71"/>
      <c r="M52" s="7">
        <f t="shared" si="0"/>
        <v>0.3252261523769317</v>
      </c>
      <c r="N52" s="71"/>
      <c r="O52" s="10" t="str">
        <f t="shared" si="16"/>
        <v/>
      </c>
      <c r="P52" s="29" t="str">
        <f t="shared" si="38"/>
        <v/>
      </c>
      <c r="Q52" s="71"/>
      <c r="R52" s="10" t="str">
        <f t="shared" si="51"/>
        <v/>
      </c>
      <c r="S52" s="71"/>
      <c r="T52" s="10" t="str">
        <f t="shared" si="18"/>
        <v/>
      </c>
      <c r="U52" s="71"/>
      <c r="V52" s="10" t="str">
        <f t="shared" si="39"/>
        <v/>
      </c>
      <c r="W52" s="10" t="str">
        <f t="shared" si="19"/>
        <v/>
      </c>
      <c r="X52" s="71"/>
      <c r="Y52" s="10" t="str">
        <f t="shared" si="40"/>
        <v/>
      </c>
      <c r="Z52" s="10" t="str">
        <f t="shared" si="20"/>
        <v/>
      </c>
      <c r="AA52" s="71"/>
      <c r="AB52" s="10" t="str">
        <f t="shared" si="4"/>
        <v/>
      </c>
      <c r="AC52" s="10" t="str">
        <f t="shared" si="21"/>
        <v/>
      </c>
      <c r="AD52" s="71"/>
      <c r="AE52" s="10" t="str">
        <f t="shared" si="41"/>
        <v/>
      </c>
      <c r="AF52" s="10" t="str">
        <f t="shared" si="22"/>
        <v/>
      </c>
      <c r="AG52" s="71"/>
      <c r="AH52" s="10" t="str">
        <f t="shared" si="42"/>
        <v/>
      </c>
      <c r="AI52" s="10" t="str">
        <f t="shared" si="23"/>
        <v/>
      </c>
      <c r="AJ52" s="71"/>
      <c r="AK52" s="10" t="str">
        <f t="shared" si="43"/>
        <v/>
      </c>
      <c r="AL52" s="10" t="str">
        <f t="shared" si="24"/>
        <v/>
      </c>
      <c r="AM52" s="71"/>
      <c r="AN52" s="10" t="str">
        <f t="shared" si="44"/>
        <v/>
      </c>
      <c r="AO52" s="10" t="str">
        <f t="shared" si="25"/>
        <v/>
      </c>
      <c r="AP52" s="71"/>
      <c r="AQ52" s="10" t="str">
        <f t="shared" si="45"/>
        <v/>
      </c>
      <c r="AR52" s="10" t="str">
        <f t="shared" si="26"/>
        <v/>
      </c>
      <c r="AS52" s="71"/>
      <c r="AT52" s="7" t="str">
        <f>IF($K52&lt;=$F$15,IF($F$40&lt;&gt;"",$F$40/1000,IF(ISERROR(VLOOKUP($F$3&amp;IF($G$4&lt;&gt;"",$G$4,"")&amp;IF($F$43&lt;&gt;"","_"&amp;$F$43,""),'表3）燃料価格'!$AF$9:$AG$25,2,0)),0,VLOOKUP($I52,'表3）燃料価格'!$A$6:$U$66,VLOOKUP($F$3&amp;IF($G$4&lt;&gt;"",$G$4,"")&amp;IF($F$43&lt;&gt;"","_"&amp;$F$43,""),'表3）燃料価格'!$AF$9:$AG$25,2,0)+VLOOKUP($F$41,'表3）燃料価格'!$AF$28:$AG$29,2,0),0)*IF($F$43="需要地価格",1,$F$8/$F$141))),"")</f>
        <v/>
      </c>
      <c r="AU52" s="71"/>
      <c r="AV52" s="10" t="str">
        <f t="shared" si="46"/>
        <v/>
      </c>
      <c r="AW52" s="10" t="str">
        <f t="shared" si="27"/>
        <v/>
      </c>
      <c r="AX52" s="71"/>
      <c r="AY52" s="7" t="str">
        <f>IF(ISERROR(IF($K52&lt;=$F$15,VLOOKUP($I52,'表4）CO2価格'!$A$7:$E$67,VLOOKUP($F$48,'表4）CO2価格'!$H$10:$I$12,2,0),0)*$F$8/1000,"")),0,IF($K52&lt;=$F$15,VLOOKUP($I52,'表4）CO2価格'!$A$7:$E$67,VLOOKUP($F$48,'表4）CO2価格'!$H$10:$I$12,2,0),0)*$F$8/1000,""))</f>
        <v/>
      </c>
      <c r="AZ52" s="71"/>
      <c r="BA52" s="11" t="str">
        <f t="shared" si="47"/>
        <v/>
      </c>
      <c r="BB52" s="10" t="str">
        <f t="shared" si="28"/>
        <v/>
      </c>
      <c r="BC52" s="71"/>
      <c r="BD52" s="10" t="str">
        <f t="shared" si="48"/>
        <v/>
      </c>
      <c r="BE52" s="10" t="str">
        <f t="shared" si="29"/>
        <v/>
      </c>
      <c r="BF52" s="71"/>
      <c r="BG52" s="11" t="str">
        <f t="shared" si="49"/>
        <v/>
      </c>
      <c r="BH52" s="10" t="str">
        <f t="shared" si="30"/>
        <v/>
      </c>
      <c r="BJ52" s="7" t="str">
        <f t="shared" si="31"/>
        <v/>
      </c>
      <c r="BK52" s="158" t="str">
        <f t="shared" si="32"/>
        <v/>
      </c>
      <c r="BL52" s="158" t="str">
        <f t="shared" si="14"/>
        <v/>
      </c>
      <c r="BM52" s="10"/>
      <c r="BN52" s="10" t="str">
        <f t="shared" si="33"/>
        <v/>
      </c>
      <c r="BO52" s="10" t="str">
        <f t="shared" si="34"/>
        <v/>
      </c>
      <c r="BQ52" s="10" t="str">
        <f t="shared" si="50"/>
        <v/>
      </c>
      <c r="BR52" s="10" t="str">
        <f t="shared" si="35"/>
        <v/>
      </c>
    </row>
    <row r="53" spans="3:70" x14ac:dyDescent="0.15">
      <c r="D53" s="84" t="s">
        <v>580</v>
      </c>
      <c r="F53" s="475"/>
      <c r="G53" s="84" t="s">
        <v>549</v>
      </c>
      <c r="I53" s="38">
        <f t="shared" si="36"/>
        <v>2068</v>
      </c>
      <c r="J53" s="39"/>
      <c r="K53" s="39">
        <f t="shared" si="37"/>
        <v>39</v>
      </c>
      <c r="L53" s="39"/>
      <c r="M53" s="40">
        <f t="shared" si="0"/>
        <v>0.31575354599702099</v>
      </c>
      <c r="N53" s="39"/>
      <c r="O53" s="72" t="str">
        <f t="shared" si="16"/>
        <v/>
      </c>
      <c r="P53" s="41" t="str">
        <f t="shared" si="38"/>
        <v/>
      </c>
      <c r="Q53" s="39"/>
      <c r="R53" s="72" t="str">
        <f t="shared" si="51"/>
        <v/>
      </c>
      <c r="S53" s="39"/>
      <c r="T53" s="72" t="str">
        <f t="shared" si="18"/>
        <v/>
      </c>
      <c r="U53" s="39"/>
      <c r="V53" s="72" t="str">
        <f t="shared" si="39"/>
        <v/>
      </c>
      <c r="W53" s="72" t="str">
        <f t="shared" si="19"/>
        <v/>
      </c>
      <c r="X53" s="39"/>
      <c r="Y53" s="72" t="str">
        <f t="shared" si="40"/>
        <v/>
      </c>
      <c r="Z53" s="72" t="str">
        <f t="shared" si="20"/>
        <v/>
      </c>
      <c r="AA53" s="39"/>
      <c r="AB53" s="72" t="str">
        <f t="shared" si="4"/>
        <v/>
      </c>
      <c r="AC53" s="72" t="str">
        <f t="shared" si="21"/>
        <v/>
      </c>
      <c r="AD53" s="39"/>
      <c r="AE53" s="72" t="str">
        <f t="shared" si="41"/>
        <v/>
      </c>
      <c r="AF53" s="72" t="str">
        <f t="shared" si="22"/>
        <v/>
      </c>
      <c r="AG53" s="39"/>
      <c r="AH53" s="72" t="str">
        <f t="shared" si="42"/>
        <v/>
      </c>
      <c r="AI53" s="72" t="str">
        <f t="shared" si="23"/>
        <v/>
      </c>
      <c r="AJ53" s="39"/>
      <c r="AK53" s="72" t="str">
        <f t="shared" si="43"/>
        <v/>
      </c>
      <c r="AL53" s="72" t="str">
        <f t="shared" si="24"/>
        <v/>
      </c>
      <c r="AM53" s="39"/>
      <c r="AN53" s="72" t="str">
        <f t="shared" si="44"/>
        <v/>
      </c>
      <c r="AO53" s="72" t="str">
        <f t="shared" si="25"/>
        <v/>
      </c>
      <c r="AP53" s="39"/>
      <c r="AQ53" s="72" t="str">
        <f t="shared" si="45"/>
        <v/>
      </c>
      <c r="AR53" s="72" t="str">
        <f t="shared" si="26"/>
        <v/>
      </c>
      <c r="AS53" s="39"/>
      <c r="AT53" s="40" t="str">
        <f>IF($K53&lt;=$F$15,IF($F$40&lt;&gt;"",$F$40/1000,IF(ISERROR(VLOOKUP($F$3&amp;IF($G$4&lt;&gt;"",$G$4,"")&amp;IF($F$43&lt;&gt;"","_"&amp;$F$43,""),'表3）燃料価格'!$AF$9:$AG$25,2,0)),0,VLOOKUP($I53,'表3）燃料価格'!$A$6:$U$66,VLOOKUP($F$3&amp;IF($G$4&lt;&gt;"",$G$4,"")&amp;IF($F$43&lt;&gt;"","_"&amp;$F$43,""),'表3）燃料価格'!$AF$9:$AG$25,2,0)+VLOOKUP($F$41,'表3）燃料価格'!$AF$28:$AG$29,2,0),0)*IF($F$43="需要地価格",1,$F$8/$F$141))),"")</f>
        <v/>
      </c>
      <c r="AU53" s="39"/>
      <c r="AV53" s="72" t="str">
        <f t="shared" si="46"/>
        <v/>
      </c>
      <c r="AW53" s="72" t="str">
        <f t="shared" si="27"/>
        <v/>
      </c>
      <c r="AX53" s="39"/>
      <c r="AY53" s="40" t="str">
        <f>IF(ISERROR(IF($K53&lt;=$F$15,VLOOKUP($I53,'表4）CO2価格'!$A$7:$E$67,VLOOKUP($F$48,'表4）CO2価格'!$H$10:$I$12,2,0),0)*$F$8/1000,"")),0,IF($K53&lt;=$F$15,VLOOKUP($I53,'表4）CO2価格'!$A$7:$E$67,VLOOKUP($F$48,'表4）CO2価格'!$H$10:$I$12,2,0),0)*$F$8/1000,""))</f>
        <v/>
      </c>
      <c r="AZ53" s="39"/>
      <c r="BA53" s="42" t="str">
        <f t="shared" si="47"/>
        <v/>
      </c>
      <c r="BB53" s="72" t="str">
        <f t="shared" si="28"/>
        <v/>
      </c>
      <c r="BC53" s="39"/>
      <c r="BD53" s="72" t="str">
        <f t="shared" si="48"/>
        <v/>
      </c>
      <c r="BE53" s="72" t="str">
        <f t="shared" si="29"/>
        <v/>
      </c>
      <c r="BF53" s="39"/>
      <c r="BG53" s="42" t="str">
        <f t="shared" si="49"/>
        <v/>
      </c>
      <c r="BH53" s="72" t="str">
        <f t="shared" si="30"/>
        <v/>
      </c>
      <c r="BI53" s="39"/>
      <c r="BJ53" s="40" t="str">
        <f t="shared" si="31"/>
        <v/>
      </c>
      <c r="BK53" s="157" t="str">
        <f t="shared" si="32"/>
        <v/>
      </c>
      <c r="BL53" s="157" t="str">
        <f t="shared" si="14"/>
        <v/>
      </c>
      <c r="BM53" s="72"/>
      <c r="BN53" s="72" t="str">
        <f t="shared" si="33"/>
        <v/>
      </c>
      <c r="BO53" s="72" t="str">
        <f t="shared" si="34"/>
        <v/>
      </c>
      <c r="BP53" s="39"/>
      <c r="BQ53" s="72" t="str">
        <f t="shared" si="50"/>
        <v/>
      </c>
      <c r="BR53" s="72" t="str">
        <f t="shared" si="35"/>
        <v/>
      </c>
    </row>
    <row r="54" spans="3:70" x14ac:dyDescent="0.15">
      <c r="D54" s="84" t="s">
        <v>581</v>
      </c>
      <c r="F54" s="475"/>
      <c r="G54" s="84" t="s">
        <v>549</v>
      </c>
      <c r="I54" s="457">
        <f t="shared" si="36"/>
        <v>2069</v>
      </c>
      <c r="J54" s="71"/>
      <c r="K54" s="71">
        <f t="shared" si="37"/>
        <v>40</v>
      </c>
      <c r="L54" s="71"/>
      <c r="M54" s="7">
        <f t="shared" si="0"/>
        <v>0.30655684077380685</v>
      </c>
      <c r="N54" s="71"/>
      <c r="O54" s="10" t="str">
        <f t="shared" si="16"/>
        <v/>
      </c>
      <c r="P54" s="29" t="str">
        <f t="shared" si="38"/>
        <v/>
      </c>
      <c r="Q54" s="71"/>
      <c r="R54" s="10" t="str">
        <f t="shared" si="51"/>
        <v/>
      </c>
      <c r="S54" s="71"/>
      <c r="T54" s="10" t="str">
        <f t="shared" si="18"/>
        <v/>
      </c>
      <c r="U54" s="71"/>
      <c r="V54" s="10" t="str">
        <f t="shared" si="39"/>
        <v/>
      </c>
      <c r="W54" s="10" t="str">
        <f t="shared" si="19"/>
        <v/>
      </c>
      <c r="X54" s="71"/>
      <c r="Y54" s="10" t="str">
        <f t="shared" si="40"/>
        <v/>
      </c>
      <c r="Z54" s="10" t="str">
        <f t="shared" si="20"/>
        <v/>
      </c>
      <c r="AA54" s="71"/>
      <c r="AB54" s="10" t="str">
        <f t="shared" si="4"/>
        <v/>
      </c>
      <c r="AC54" s="10" t="str">
        <f t="shared" si="21"/>
        <v/>
      </c>
      <c r="AD54" s="71"/>
      <c r="AE54" s="10" t="str">
        <f t="shared" si="41"/>
        <v/>
      </c>
      <c r="AF54" s="10" t="str">
        <f t="shared" si="22"/>
        <v/>
      </c>
      <c r="AG54" s="71"/>
      <c r="AH54" s="10" t="str">
        <f t="shared" si="42"/>
        <v/>
      </c>
      <c r="AI54" s="10" t="str">
        <f t="shared" si="23"/>
        <v/>
      </c>
      <c r="AJ54" s="71"/>
      <c r="AK54" s="10" t="str">
        <f t="shared" si="43"/>
        <v/>
      </c>
      <c r="AL54" s="10" t="str">
        <f t="shared" si="24"/>
        <v/>
      </c>
      <c r="AM54" s="71"/>
      <c r="AN54" s="10" t="str">
        <f t="shared" si="44"/>
        <v/>
      </c>
      <c r="AO54" s="10" t="str">
        <f t="shared" si="25"/>
        <v/>
      </c>
      <c r="AP54" s="71"/>
      <c r="AQ54" s="10" t="str">
        <f t="shared" si="45"/>
        <v/>
      </c>
      <c r="AR54" s="10" t="str">
        <f t="shared" si="26"/>
        <v/>
      </c>
      <c r="AS54" s="71"/>
      <c r="AT54" s="7" t="str">
        <f>IF($K54&lt;=$F$15,IF($F$40&lt;&gt;"",$F$40/1000,IF(ISERROR(VLOOKUP($F$3&amp;IF($G$4&lt;&gt;"",$G$4,"")&amp;IF($F$43&lt;&gt;"","_"&amp;$F$43,""),'表3）燃料価格'!$AF$9:$AG$25,2,0)),0,VLOOKUP($I54,'表3）燃料価格'!$A$6:$U$66,VLOOKUP($F$3&amp;IF($G$4&lt;&gt;"",$G$4,"")&amp;IF($F$43&lt;&gt;"","_"&amp;$F$43,""),'表3）燃料価格'!$AF$9:$AG$25,2,0)+VLOOKUP($F$41,'表3）燃料価格'!$AF$28:$AG$29,2,0),0)*IF($F$43="需要地価格",1,$F$8/$F$141))),"")</f>
        <v/>
      </c>
      <c r="AU54" s="71"/>
      <c r="AV54" s="10" t="str">
        <f t="shared" si="46"/>
        <v/>
      </c>
      <c r="AW54" s="10" t="str">
        <f t="shared" si="27"/>
        <v/>
      </c>
      <c r="AX54" s="71"/>
      <c r="AY54" s="7" t="str">
        <f>IF(ISERROR(IF($K54&lt;=$F$15,VLOOKUP($I54,'表4）CO2価格'!$A$7:$E$67,VLOOKUP($F$48,'表4）CO2価格'!$H$10:$I$12,2,0),0)*$F$8/1000,"")),0,IF($K54&lt;=$F$15,VLOOKUP($I54,'表4）CO2価格'!$A$7:$E$67,VLOOKUP($F$48,'表4）CO2価格'!$H$10:$I$12,2,0),0)*$F$8/1000,""))</f>
        <v/>
      </c>
      <c r="AZ54" s="71"/>
      <c r="BA54" s="11" t="str">
        <f t="shared" si="47"/>
        <v/>
      </c>
      <c r="BB54" s="10" t="str">
        <f t="shared" si="28"/>
        <v/>
      </c>
      <c r="BC54" s="71"/>
      <c r="BD54" s="10" t="str">
        <f t="shared" si="48"/>
        <v/>
      </c>
      <c r="BE54" s="10" t="str">
        <f t="shared" si="29"/>
        <v/>
      </c>
      <c r="BF54" s="71"/>
      <c r="BG54" s="11" t="str">
        <f t="shared" si="49"/>
        <v/>
      </c>
      <c r="BH54" s="10" t="str">
        <f t="shared" si="30"/>
        <v/>
      </c>
      <c r="BJ54" s="7" t="str">
        <f t="shared" si="31"/>
        <v/>
      </c>
      <c r="BK54" s="158" t="str">
        <f t="shared" si="32"/>
        <v/>
      </c>
      <c r="BL54" s="158" t="str">
        <f t="shared" si="14"/>
        <v/>
      </c>
      <c r="BM54" s="10"/>
      <c r="BN54" s="10" t="str">
        <f t="shared" si="33"/>
        <v/>
      </c>
      <c r="BO54" s="10" t="str">
        <f t="shared" si="34"/>
        <v/>
      </c>
      <c r="BQ54" s="10" t="str">
        <f t="shared" si="50"/>
        <v/>
      </c>
      <c r="BR54" s="10" t="str">
        <f t="shared" si="35"/>
        <v/>
      </c>
    </row>
    <row r="55" spans="3:70" ht="16.5" x14ac:dyDescent="0.15">
      <c r="D55" s="84" t="s">
        <v>582</v>
      </c>
      <c r="F55" s="475"/>
      <c r="G55" s="71" t="s">
        <v>561</v>
      </c>
      <c r="I55" s="38">
        <f>I54+1</f>
        <v>2070</v>
      </c>
      <c r="J55" s="39"/>
      <c r="K55" s="39">
        <f>IF(I55&lt;&gt;"",K54+1,"")</f>
        <v>41</v>
      </c>
      <c r="L55" s="39"/>
      <c r="M55" s="40">
        <f t="shared" si="0"/>
        <v>0.29762800075126877</v>
      </c>
      <c r="N55" s="39"/>
      <c r="O55" s="72" t="str">
        <f t="shared" si="16"/>
        <v/>
      </c>
      <c r="P55" s="41" t="str">
        <f t="shared" si="38"/>
        <v/>
      </c>
      <c r="Q55" s="39"/>
      <c r="R55" s="72" t="str">
        <f t="shared" si="51"/>
        <v/>
      </c>
      <c r="S55" s="39"/>
      <c r="T55" s="72" t="str">
        <f t="shared" si="18"/>
        <v/>
      </c>
      <c r="U55" s="39"/>
      <c r="V55" s="72" t="str">
        <f t="shared" si="39"/>
        <v/>
      </c>
      <c r="W55" s="72" t="str">
        <f t="shared" si="19"/>
        <v/>
      </c>
      <c r="X55" s="39"/>
      <c r="Y55" s="72" t="str">
        <f t="shared" si="40"/>
        <v/>
      </c>
      <c r="Z55" s="72" t="str">
        <f t="shared" si="20"/>
        <v/>
      </c>
      <c r="AA55" s="39"/>
      <c r="AB55" s="72" t="str">
        <f t="shared" si="4"/>
        <v/>
      </c>
      <c r="AC55" s="72" t="str">
        <f t="shared" si="21"/>
        <v/>
      </c>
      <c r="AD55" s="39"/>
      <c r="AE55" s="72" t="str">
        <f t="shared" si="41"/>
        <v/>
      </c>
      <c r="AF55" s="72" t="str">
        <f t="shared" si="22"/>
        <v/>
      </c>
      <c r="AG55" s="39"/>
      <c r="AH55" s="72" t="str">
        <f t="shared" si="42"/>
        <v/>
      </c>
      <c r="AI55" s="72" t="str">
        <f t="shared" si="23"/>
        <v/>
      </c>
      <c r="AJ55" s="39"/>
      <c r="AK55" s="72" t="str">
        <f t="shared" si="43"/>
        <v/>
      </c>
      <c r="AL55" s="72" t="str">
        <f t="shared" si="24"/>
        <v/>
      </c>
      <c r="AM55" s="39"/>
      <c r="AN55" s="72" t="str">
        <f t="shared" si="44"/>
        <v/>
      </c>
      <c r="AO55" s="72" t="str">
        <f t="shared" si="25"/>
        <v/>
      </c>
      <c r="AP55" s="39"/>
      <c r="AQ55" s="72" t="str">
        <f t="shared" si="45"/>
        <v/>
      </c>
      <c r="AR55" s="72" t="str">
        <f t="shared" si="26"/>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46"/>
        <v/>
      </c>
      <c r="AW55" s="72" t="str">
        <f t="shared" si="27"/>
        <v/>
      </c>
      <c r="AX55" s="39"/>
      <c r="AY55" s="40" t="str">
        <f>IF(ISERROR(IF($K55&lt;=$F$15,VLOOKUP($I55,'表4）CO2価格'!$A$7:$E$67,VLOOKUP($F$48,'表4）CO2価格'!$H$10:$I$12,2,0),0)*$F$8/1000,"")),0,IF($K55&lt;=$F$15,VLOOKUP($I55,'表4）CO2価格'!$A$7:$E$67,VLOOKUP($F$48,'表4）CO2価格'!$H$10:$I$12,2,0),0)*$F$8/1000,""))</f>
        <v/>
      </c>
      <c r="AZ55" s="39"/>
      <c r="BA55" s="42" t="str">
        <f t="shared" si="47"/>
        <v/>
      </c>
      <c r="BB55" s="72" t="str">
        <f t="shared" si="28"/>
        <v/>
      </c>
      <c r="BC55" s="39"/>
      <c r="BD55" s="72" t="str">
        <f t="shared" si="48"/>
        <v/>
      </c>
      <c r="BE55" s="72" t="str">
        <f t="shared" si="29"/>
        <v/>
      </c>
      <c r="BF55" s="39"/>
      <c r="BG55" s="42" t="str">
        <f t="shared" si="49"/>
        <v/>
      </c>
      <c r="BH55" s="72" t="str">
        <f t="shared" si="30"/>
        <v/>
      </c>
      <c r="BI55" s="39"/>
      <c r="BJ55" s="40" t="str">
        <f t="shared" si="31"/>
        <v/>
      </c>
      <c r="BK55" s="157" t="str">
        <f t="shared" si="32"/>
        <v/>
      </c>
      <c r="BL55" s="157" t="str">
        <f t="shared" si="14"/>
        <v/>
      </c>
      <c r="BM55" s="72"/>
      <c r="BN55" s="72" t="str">
        <f t="shared" si="33"/>
        <v/>
      </c>
      <c r="BO55" s="72" t="str">
        <f t="shared" si="34"/>
        <v/>
      </c>
      <c r="BP55" s="39"/>
      <c r="BQ55" s="72" t="str">
        <f t="shared" si="50"/>
        <v/>
      </c>
      <c r="BR55" s="72" t="str">
        <f t="shared" si="35"/>
        <v/>
      </c>
    </row>
    <row r="56" spans="3:70" x14ac:dyDescent="0.15">
      <c r="D56" s="84" t="s">
        <v>583</v>
      </c>
      <c r="F56" s="481"/>
      <c r="G56" s="84" t="s">
        <v>574</v>
      </c>
      <c r="I56" s="457">
        <f t="shared" si="36"/>
        <v>2071</v>
      </c>
      <c r="J56" s="71"/>
      <c r="K56" s="71">
        <f t="shared" si="37"/>
        <v>42</v>
      </c>
      <c r="L56" s="71"/>
      <c r="M56" s="7">
        <f t="shared" si="0"/>
        <v>0.28895922403035801</v>
      </c>
      <c r="N56" s="71"/>
      <c r="O56" s="10" t="str">
        <f t="shared" si="16"/>
        <v/>
      </c>
      <c r="P56" s="29" t="str">
        <f t="shared" si="38"/>
        <v/>
      </c>
      <c r="Q56" s="71"/>
      <c r="R56" s="10" t="str">
        <f t="shared" si="51"/>
        <v/>
      </c>
      <c r="S56" s="71"/>
      <c r="T56" s="10" t="str">
        <f t="shared" si="18"/>
        <v/>
      </c>
      <c r="U56" s="71"/>
      <c r="V56" s="10" t="str">
        <f t="shared" si="39"/>
        <v/>
      </c>
      <c r="W56" s="10" t="str">
        <f t="shared" si="19"/>
        <v/>
      </c>
      <c r="X56" s="71"/>
      <c r="Y56" s="10" t="str">
        <f t="shared" si="40"/>
        <v/>
      </c>
      <c r="Z56" s="10" t="str">
        <f t="shared" si="20"/>
        <v/>
      </c>
      <c r="AA56" s="71"/>
      <c r="AB56" s="10" t="str">
        <f t="shared" si="4"/>
        <v/>
      </c>
      <c r="AC56" s="10" t="str">
        <f t="shared" si="21"/>
        <v/>
      </c>
      <c r="AD56" s="71"/>
      <c r="AE56" s="10" t="str">
        <f t="shared" si="41"/>
        <v/>
      </c>
      <c r="AF56" s="10" t="str">
        <f t="shared" si="22"/>
        <v/>
      </c>
      <c r="AG56" s="71"/>
      <c r="AH56" s="10" t="str">
        <f t="shared" si="42"/>
        <v/>
      </c>
      <c r="AI56" s="10" t="str">
        <f t="shared" si="23"/>
        <v/>
      </c>
      <c r="AJ56" s="71"/>
      <c r="AK56" s="10" t="str">
        <f t="shared" si="43"/>
        <v/>
      </c>
      <c r="AL56" s="10" t="str">
        <f t="shared" si="24"/>
        <v/>
      </c>
      <c r="AM56" s="71"/>
      <c r="AN56" s="10" t="str">
        <f t="shared" si="44"/>
        <v/>
      </c>
      <c r="AO56" s="10" t="str">
        <f t="shared" si="25"/>
        <v/>
      </c>
      <c r="AP56" s="71"/>
      <c r="AQ56" s="10" t="str">
        <f t="shared" si="45"/>
        <v/>
      </c>
      <c r="AR56" s="10" t="str">
        <f t="shared" si="26"/>
        <v/>
      </c>
      <c r="AS56" s="71"/>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U56" s="71"/>
      <c r="AV56" s="10" t="str">
        <f t="shared" si="46"/>
        <v/>
      </c>
      <c r="AW56" s="10" t="str">
        <f t="shared" si="27"/>
        <v/>
      </c>
      <c r="AX56" s="71"/>
      <c r="AY56" s="7" t="str">
        <f>IF(ISERROR(IF($K56&lt;=$F$15,VLOOKUP($I56,'表4）CO2価格'!$A$7:$E$67,VLOOKUP($F$48,'表4）CO2価格'!$H$10:$I$12,2,0),0)*$F$8/1000,"")),0,IF($K56&lt;=$F$15,VLOOKUP($I56,'表4）CO2価格'!$A$7:$E$67,VLOOKUP($F$48,'表4）CO2価格'!$H$10:$I$12,2,0),0)*$F$8/1000,""))</f>
        <v/>
      </c>
      <c r="AZ56" s="71"/>
      <c r="BA56" s="11" t="str">
        <f t="shared" si="47"/>
        <v/>
      </c>
      <c r="BB56" s="10" t="str">
        <f t="shared" si="28"/>
        <v/>
      </c>
      <c r="BC56" s="71"/>
      <c r="BD56" s="10" t="str">
        <f t="shared" si="48"/>
        <v/>
      </c>
      <c r="BE56" s="10" t="str">
        <f t="shared" si="29"/>
        <v/>
      </c>
      <c r="BF56" s="71"/>
      <c r="BG56" s="11" t="str">
        <f t="shared" si="49"/>
        <v/>
      </c>
      <c r="BH56" s="10" t="str">
        <f t="shared" si="30"/>
        <v/>
      </c>
      <c r="BJ56" s="7" t="str">
        <f t="shared" si="31"/>
        <v/>
      </c>
      <c r="BK56" s="158" t="str">
        <f t="shared" si="32"/>
        <v/>
      </c>
      <c r="BL56" s="158" t="str">
        <f t="shared" si="14"/>
        <v/>
      </c>
      <c r="BM56" s="10"/>
      <c r="BN56" s="10" t="str">
        <f t="shared" si="33"/>
        <v/>
      </c>
      <c r="BO56" s="10" t="str">
        <f t="shared" si="34"/>
        <v/>
      </c>
      <c r="BQ56" s="10" t="str">
        <f t="shared" si="50"/>
        <v/>
      </c>
      <c r="BR56" s="10" t="str">
        <f t="shared" si="35"/>
        <v/>
      </c>
    </row>
    <row r="57" spans="3:70" x14ac:dyDescent="0.15">
      <c r="I57" s="38">
        <f t="shared" si="36"/>
        <v>2072</v>
      </c>
      <c r="J57" s="39"/>
      <c r="K57" s="39">
        <f t="shared" si="37"/>
        <v>43</v>
      </c>
      <c r="L57" s="39"/>
      <c r="M57" s="40">
        <f t="shared" si="0"/>
        <v>0.28054293595180391</v>
      </c>
      <c r="N57" s="39"/>
      <c r="O57" s="72" t="str">
        <f t="shared" si="16"/>
        <v/>
      </c>
      <c r="P57" s="41" t="str">
        <f t="shared" si="38"/>
        <v/>
      </c>
      <c r="Q57" s="39"/>
      <c r="R57" s="72" t="str">
        <f t="shared" si="51"/>
        <v/>
      </c>
      <c r="S57" s="39"/>
      <c r="T57" s="72" t="str">
        <f t="shared" si="18"/>
        <v/>
      </c>
      <c r="U57" s="39"/>
      <c r="V57" s="72" t="str">
        <f t="shared" si="39"/>
        <v/>
      </c>
      <c r="W57" s="72" t="str">
        <f t="shared" si="19"/>
        <v/>
      </c>
      <c r="X57" s="39"/>
      <c r="Y57" s="72" t="str">
        <f t="shared" si="40"/>
        <v/>
      </c>
      <c r="Z57" s="72" t="str">
        <f t="shared" si="20"/>
        <v/>
      </c>
      <c r="AA57" s="39"/>
      <c r="AB57" s="72" t="str">
        <f t="shared" si="4"/>
        <v/>
      </c>
      <c r="AC57" s="72" t="str">
        <f t="shared" si="21"/>
        <v/>
      </c>
      <c r="AD57" s="39"/>
      <c r="AE57" s="72" t="str">
        <f t="shared" si="41"/>
        <v/>
      </c>
      <c r="AF57" s="72" t="str">
        <f t="shared" si="22"/>
        <v/>
      </c>
      <c r="AG57" s="39"/>
      <c r="AH57" s="72" t="str">
        <f t="shared" si="42"/>
        <v/>
      </c>
      <c r="AI57" s="72" t="str">
        <f t="shared" si="23"/>
        <v/>
      </c>
      <c r="AJ57" s="39"/>
      <c r="AK57" s="72" t="str">
        <f t="shared" si="43"/>
        <v/>
      </c>
      <c r="AL57" s="72" t="str">
        <f t="shared" si="24"/>
        <v/>
      </c>
      <c r="AM57" s="39"/>
      <c r="AN57" s="72" t="str">
        <f t="shared" si="44"/>
        <v/>
      </c>
      <c r="AO57" s="72" t="str">
        <f t="shared" si="25"/>
        <v/>
      </c>
      <c r="AP57" s="39"/>
      <c r="AQ57" s="72" t="str">
        <f t="shared" si="45"/>
        <v/>
      </c>
      <c r="AR57" s="72" t="str">
        <f t="shared" si="26"/>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46"/>
        <v/>
      </c>
      <c r="AW57" s="72" t="str">
        <f t="shared" si="27"/>
        <v/>
      </c>
      <c r="AX57" s="39"/>
      <c r="AY57" s="40" t="str">
        <f>IF(ISERROR(IF($K57&lt;=$F$15,VLOOKUP($I57,'表4）CO2価格'!$A$7:$E$67,VLOOKUP($F$48,'表4）CO2価格'!$H$10:$I$12,2,0),0)*$F$8/1000,"")),0,IF($K57&lt;=$F$15,VLOOKUP($I57,'表4）CO2価格'!$A$7:$E$67,VLOOKUP($F$48,'表4）CO2価格'!$H$10:$I$12,2,0),0)*$F$8/1000,""))</f>
        <v/>
      </c>
      <c r="AZ57" s="39"/>
      <c r="BA57" s="42" t="str">
        <f t="shared" si="47"/>
        <v/>
      </c>
      <c r="BB57" s="72" t="str">
        <f t="shared" si="28"/>
        <v/>
      </c>
      <c r="BC57" s="39"/>
      <c r="BD57" s="72" t="str">
        <f t="shared" si="48"/>
        <v/>
      </c>
      <c r="BE57" s="72" t="str">
        <f t="shared" si="29"/>
        <v/>
      </c>
      <c r="BF57" s="39"/>
      <c r="BG57" s="42" t="str">
        <f t="shared" si="49"/>
        <v/>
      </c>
      <c r="BH57" s="72" t="str">
        <f t="shared" si="30"/>
        <v/>
      </c>
      <c r="BI57" s="39"/>
      <c r="BJ57" s="40" t="str">
        <f t="shared" si="31"/>
        <v/>
      </c>
      <c r="BK57" s="157" t="str">
        <f t="shared" si="32"/>
        <v/>
      </c>
      <c r="BL57" s="157" t="str">
        <f t="shared" si="14"/>
        <v/>
      </c>
      <c r="BM57" s="72"/>
      <c r="BN57" s="72" t="str">
        <f t="shared" si="33"/>
        <v/>
      </c>
      <c r="BO57" s="72" t="str">
        <f t="shared" si="34"/>
        <v/>
      </c>
      <c r="BP57" s="39"/>
      <c r="BQ57" s="72" t="str">
        <f t="shared" si="50"/>
        <v/>
      </c>
      <c r="BR57" s="72" t="str">
        <f t="shared" si="35"/>
        <v/>
      </c>
    </row>
    <row r="58" spans="3:70" x14ac:dyDescent="0.15">
      <c r="C58" s="4" t="s">
        <v>584</v>
      </c>
      <c r="D58" s="100"/>
      <c r="E58" s="100"/>
      <c r="F58" s="4"/>
      <c r="G58" s="100"/>
      <c r="I58" s="457">
        <f t="shared" si="36"/>
        <v>2073</v>
      </c>
      <c r="J58" s="71"/>
      <c r="K58" s="71">
        <f t="shared" si="37"/>
        <v>44</v>
      </c>
      <c r="L58" s="71"/>
      <c r="M58" s="7">
        <f t="shared" si="0"/>
        <v>0.27237178247747956</v>
      </c>
      <c r="N58" s="71"/>
      <c r="O58" s="10" t="str">
        <f t="shared" si="16"/>
        <v/>
      </c>
      <c r="P58" s="29" t="str">
        <f t="shared" si="38"/>
        <v/>
      </c>
      <c r="Q58" s="71"/>
      <c r="R58" s="10" t="str">
        <f t="shared" si="51"/>
        <v/>
      </c>
      <c r="S58" s="71"/>
      <c r="T58" s="10" t="str">
        <f t="shared" si="18"/>
        <v/>
      </c>
      <c r="U58" s="71"/>
      <c r="V58" s="10" t="str">
        <f t="shared" si="39"/>
        <v/>
      </c>
      <c r="W58" s="10" t="str">
        <f t="shared" si="19"/>
        <v/>
      </c>
      <c r="X58" s="71"/>
      <c r="Y58" s="10" t="str">
        <f t="shared" si="40"/>
        <v/>
      </c>
      <c r="Z58" s="10" t="str">
        <f t="shared" si="20"/>
        <v/>
      </c>
      <c r="AA58" s="71"/>
      <c r="AB58" s="10" t="str">
        <f t="shared" si="4"/>
        <v/>
      </c>
      <c r="AC58" s="10" t="str">
        <f t="shared" si="21"/>
        <v/>
      </c>
      <c r="AD58" s="71"/>
      <c r="AE58" s="10" t="str">
        <f t="shared" si="41"/>
        <v/>
      </c>
      <c r="AF58" s="10" t="str">
        <f t="shared" si="22"/>
        <v/>
      </c>
      <c r="AG58" s="71"/>
      <c r="AH58" s="10" t="str">
        <f t="shared" si="42"/>
        <v/>
      </c>
      <c r="AI58" s="10" t="str">
        <f t="shared" si="23"/>
        <v/>
      </c>
      <c r="AJ58" s="71"/>
      <c r="AK58" s="10" t="str">
        <f t="shared" si="43"/>
        <v/>
      </c>
      <c r="AL58" s="10" t="str">
        <f t="shared" si="24"/>
        <v/>
      </c>
      <c r="AM58" s="71"/>
      <c r="AN58" s="10" t="str">
        <f t="shared" si="44"/>
        <v/>
      </c>
      <c r="AO58" s="10" t="str">
        <f t="shared" si="25"/>
        <v/>
      </c>
      <c r="AP58" s="71"/>
      <c r="AQ58" s="10" t="str">
        <f t="shared" si="45"/>
        <v/>
      </c>
      <c r="AR58" s="10" t="str">
        <f t="shared" si="26"/>
        <v/>
      </c>
      <c r="AS58" s="71"/>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U58" s="71"/>
      <c r="AV58" s="10" t="str">
        <f t="shared" si="46"/>
        <v/>
      </c>
      <c r="AW58" s="10" t="str">
        <f t="shared" si="27"/>
        <v/>
      </c>
      <c r="AX58" s="71"/>
      <c r="AY58" s="7" t="str">
        <f>IF(ISERROR(IF($K58&lt;=$F$15,VLOOKUP($I58,'表4）CO2価格'!$A$7:$E$67,VLOOKUP($F$48,'表4）CO2価格'!$H$10:$I$12,2,0),0)*$F$8/1000,"")),0,IF($K58&lt;=$F$15,VLOOKUP($I58,'表4）CO2価格'!$A$7:$E$67,VLOOKUP($F$48,'表4）CO2価格'!$H$10:$I$12,2,0),0)*$F$8/1000,""))</f>
        <v/>
      </c>
      <c r="AZ58" s="71"/>
      <c r="BA58" s="11" t="str">
        <f t="shared" si="47"/>
        <v/>
      </c>
      <c r="BB58" s="10" t="str">
        <f t="shared" si="28"/>
        <v/>
      </c>
      <c r="BC58" s="71"/>
      <c r="BD58" s="10" t="str">
        <f t="shared" si="48"/>
        <v/>
      </c>
      <c r="BE58" s="10" t="str">
        <f t="shared" si="29"/>
        <v/>
      </c>
      <c r="BF58" s="71"/>
      <c r="BG58" s="11" t="str">
        <f t="shared" si="49"/>
        <v/>
      </c>
      <c r="BH58" s="10" t="str">
        <f t="shared" si="30"/>
        <v/>
      </c>
      <c r="BJ58" s="7" t="str">
        <f t="shared" si="31"/>
        <v/>
      </c>
      <c r="BK58" s="158" t="str">
        <f t="shared" si="32"/>
        <v/>
      </c>
      <c r="BL58" s="158" t="str">
        <f t="shared" si="14"/>
        <v/>
      </c>
      <c r="BM58" s="10"/>
      <c r="BN58" s="10" t="str">
        <f t="shared" si="33"/>
        <v/>
      </c>
      <c r="BO58" s="10" t="str">
        <f t="shared" si="34"/>
        <v/>
      </c>
      <c r="BQ58" s="10" t="str">
        <f t="shared" si="50"/>
        <v/>
      </c>
      <c r="BR58" s="10" t="str">
        <f t="shared" si="35"/>
        <v/>
      </c>
    </row>
    <row r="59" spans="3:70" x14ac:dyDescent="0.15">
      <c r="I59" s="38">
        <f t="shared" si="36"/>
        <v>2074</v>
      </c>
      <c r="J59" s="39"/>
      <c r="K59" s="39">
        <f t="shared" si="37"/>
        <v>45</v>
      </c>
      <c r="L59" s="39"/>
      <c r="M59" s="40">
        <f t="shared" si="0"/>
        <v>0.26443862376454325</v>
      </c>
      <c r="N59" s="39"/>
      <c r="O59" s="72" t="str">
        <f t="shared" si="16"/>
        <v/>
      </c>
      <c r="P59" s="41" t="str">
        <f t="shared" si="38"/>
        <v/>
      </c>
      <c r="Q59" s="39"/>
      <c r="R59" s="72" t="str">
        <f t="shared" si="51"/>
        <v/>
      </c>
      <c r="S59" s="39"/>
      <c r="T59" s="72" t="str">
        <f t="shared" si="18"/>
        <v/>
      </c>
      <c r="U59" s="39"/>
      <c r="V59" s="72" t="str">
        <f t="shared" si="39"/>
        <v/>
      </c>
      <c r="W59" s="72" t="str">
        <f t="shared" si="19"/>
        <v/>
      </c>
      <c r="X59" s="39"/>
      <c r="Y59" s="72" t="str">
        <f t="shared" si="40"/>
        <v/>
      </c>
      <c r="Z59" s="72" t="str">
        <f t="shared" si="20"/>
        <v/>
      </c>
      <c r="AA59" s="39"/>
      <c r="AB59" s="72" t="str">
        <f t="shared" si="4"/>
        <v/>
      </c>
      <c r="AC59" s="72" t="str">
        <f t="shared" si="21"/>
        <v/>
      </c>
      <c r="AD59" s="39"/>
      <c r="AE59" s="72" t="str">
        <f t="shared" si="41"/>
        <v/>
      </c>
      <c r="AF59" s="72" t="str">
        <f t="shared" si="22"/>
        <v/>
      </c>
      <c r="AG59" s="39"/>
      <c r="AH59" s="72" t="str">
        <f t="shared" si="42"/>
        <v/>
      </c>
      <c r="AI59" s="72" t="str">
        <f t="shared" si="23"/>
        <v/>
      </c>
      <c r="AJ59" s="39"/>
      <c r="AK59" s="72" t="str">
        <f t="shared" si="43"/>
        <v/>
      </c>
      <c r="AL59" s="72" t="str">
        <f t="shared" si="24"/>
        <v/>
      </c>
      <c r="AM59" s="39"/>
      <c r="AN59" s="72" t="str">
        <f t="shared" si="44"/>
        <v/>
      </c>
      <c r="AO59" s="72" t="str">
        <f t="shared" si="25"/>
        <v/>
      </c>
      <c r="AP59" s="39"/>
      <c r="AQ59" s="72" t="str">
        <f t="shared" si="45"/>
        <v/>
      </c>
      <c r="AR59" s="72" t="str">
        <f t="shared" si="26"/>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46"/>
        <v/>
      </c>
      <c r="AW59" s="72" t="str">
        <f t="shared" si="27"/>
        <v/>
      </c>
      <c r="AX59" s="39"/>
      <c r="AY59" s="40" t="str">
        <f>IF(ISERROR(IF($K59&lt;=$F$15,VLOOKUP($I59,'表4）CO2価格'!$A$7:$E$67,VLOOKUP($F$48,'表4）CO2価格'!$H$10:$I$12,2,0),0)*$F$8/1000,"")),0,IF($K59&lt;=$F$15,VLOOKUP($I59,'表4）CO2価格'!$A$7:$E$67,VLOOKUP($F$48,'表4）CO2価格'!$H$10:$I$12,2,0),0)*$F$8/1000,""))</f>
        <v/>
      </c>
      <c r="AZ59" s="39"/>
      <c r="BA59" s="42" t="str">
        <f t="shared" si="47"/>
        <v/>
      </c>
      <c r="BB59" s="72" t="str">
        <f t="shared" si="28"/>
        <v/>
      </c>
      <c r="BC59" s="39"/>
      <c r="BD59" s="72" t="str">
        <f t="shared" si="48"/>
        <v/>
      </c>
      <c r="BE59" s="72" t="str">
        <f t="shared" si="29"/>
        <v/>
      </c>
      <c r="BF59" s="39"/>
      <c r="BG59" s="42" t="str">
        <f t="shared" si="49"/>
        <v/>
      </c>
      <c r="BH59" s="72" t="str">
        <f t="shared" si="30"/>
        <v/>
      </c>
      <c r="BI59" s="39"/>
      <c r="BJ59" s="40" t="str">
        <f t="shared" si="31"/>
        <v/>
      </c>
      <c r="BK59" s="157" t="str">
        <f t="shared" si="32"/>
        <v/>
      </c>
      <c r="BL59" s="157" t="str">
        <f t="shared" si="14"/>
        <v/>
      </c>
      <c r="BM59" s="72"/>
      <c r="BN59" s="72" t="str">
        <f t="shared" si="33"/>
        <v/>
      </c>
      <c r="BO59" s="72" t="str">
        <f t="shared" si="34"/>
        <v/>
      </c>
      <c r="BP59" s="39"/>
      <c r="BQ59" s="72" t="str">
        <f t="shared" si="50"/>
        <v/>
      </c>
      <c r="BR59" s="72" t="str">
        <f t="shared" si="35"/>
        <v/>
      </c>
    </row>
    <row r="60" spans="3:70" x14ac:dyDescent="0.15">
      <c r="D60" s="84" t="s">
        <v>585</v>
      </c>
      <c r="F60" s="481"/>
      <c r="G60" s="84" t="s">
        <v>566</v>
      </c>
      <c r="I60" s="457">
        <f t="shared" si="36"/>
        <v>2075</v>
      </c>
      <c r="J60" s="71"/>
      <c r="K60" s="71">
        <f t="shared" si="37"/>
        <v>46</v>
      </c>
      <c r="L60" s="71"/>
      <c r="M60" s="7">
        <f t="shared" si="0"/>
        <v>0.25673652792674101</v>
      </c>
      <c r="N60" s="71"/>
      <c r="O60" s="10" t="str">
        <f t="shared" si="16"/>
        <v/>
      </c>
      <c r="P60" s="29" t="str">
        <f t="shared" si="38"/>
        <v/>
      </c>
      <c r="Q60" s="71"/>
      <c r="R60" s="10" t="str">
        <f t="shared" si="51"/>
        <v/>
      </c>
      <c r="S60" s="71"/>
      <c r="T60" s="10" t="str">
        <f t="shared" si="18"/>
        <v/>
      </c>
      <c r="U60" s="71"/>
      <c r="V60" s="10" t="str">
        <f t="shared" si="39"/>
        <v/>
      </c>
      <c r="W60" s="10" t="str">
        <f t="shared" si="19"/>
        <v/>
      </c>
      <c r="X60" s="71"/>
      <c r="Y60" s="10" t="str">
        <f t="shared" si="40"/>
        <v/>
      </c>
      <c r="Z60" s="10" t="str">
        <f t="shared" si="20"/>
        <v/>
      </c>
      <c r="AA60" s="71"/>
      <c r="AB60" s="10" t="str">
        <f t="shared" si="4"/>
        <v/>
      </c>
      <c r="AC60" s="10" t="str">
        <f t="shared" si="21"/>
        <v/>
      </c>
      <c r="AD60" s="71"/>
      <c r="AE60" s="10" t="str">
        <f t="shared" si="41"/>
        <v/>
      </c>
      <c r="AF60" s="10" t="str">
        <f t="shared" si="22"/>
        <v/>
      </c>
      <c r="AG60" s="71"/>
      <c r="AH60" s="10" t="str">
        <f t="shared" si="42"/>
        <v/>
      </c>
      <c r="AI60" s="10" t="str">
        <f t="shared" si="23"/>
        <v/>
      </c>
      <c r="AJ60" s="71"/>
      <c r="AK60" s="10" t="str">
        <f t="shared" si="43"/>
        <v/>
      </c>
      <c r="AL60" s="10" t="str">
        <f t="shared" si="24"/>
        <v/>
      </c>
      <c r="AM60" s="71"/>
      <c r="AN60" s="10" t="str">
        <f t="shared" si="44"/>
        <v/>
      </c>
      <c r="AO60" s="10" t="str">
        <f t="shared" si="25"/>
        <v/>
      </c>
      <c r="AP60" s="71"/>
      <c r="AQ60" s="10" t="str">
        <f t="shared" si="45"/>
        <v/>
      </c>
      <c r="AR60" s="10" t="str">
        <f t="shared" si="26"/>
        <v/>
      </c>
      <c r="AS60" s="71"/>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U60" s="71"/>
      <c r="AV60" s="10" t="str">
        <f t="shared" si="46"/>
        <v/>
      </c>
      <c r="AW60" s="10" t="str">
        <f t="shared" si="27"/>
        <v/>
      </c>
      <c r="AX60" s="71"/>
      <c r="AY60" s="7" t="str">
        <f>IF(ISERROR(IF($K60&lt;=$F$15,VLOOKUP($I60,'表4）CO2価格'!$A$7:$E$67,VLOOKUP($F$48,'表4）CO2価格'!$H$10:$I$12,2,0),0)*$F$8/1000,"")),0,IF($K60&lt;=$F$15,VLOOKUP($I60,'表4）CO2価格'!$A$7:$E$67,VLOOKUP($F$48,'表4）CO2価格'!$H$10:$I$12,2,0),0)*$F$8/1000,""))</f>
        <v/>
      </c>
      <c r="AZ60" s="71"/>
      <c r="BA60" s="11" t="str">
        <f t="shared" si="47"/>
        <v/>
      </c>
      <c r="BB60" s="10" t="str">
        <f t="shared" si="28"/>
        <v/>
      </c>
      <c r="BC60" s="71"/>
      <c r="BD60" s="10" t="str">
        <f t="shared" si="48"/>
        <v/>
      </c>
      <c r="BE60" s="10" t="str">
        <f t="shared" si="29"/>
        <v/>
      </c>
      <c r="BF60" s="71"/>
      <c r="BG60" s="11" t="str">
        <f t="shared" si="49"/>
        <v/>
      </c>
      <c r="BH60" s="10" t="str">
        <f t="shared" si="30"/>
        <v/>
      </c>
      <c r="BJ60" s="7" t="str">
        <f t="shared" si="31"/>
        <v/>
      </c>
      <c r="BK60" s="158" t="str">
        <f t="shared" si="32"/>
        <v/>
      </c>
      <c r="BL60" s="158" t="str">
        <f t="shared" si="14"/>
        <v/>
      </c>
      <c r="BM60" s="10"/>
      <c r="BN60" s="10" t="str">
        <f t="shared" si="33"/>
        <v/>
      </c>
      <c r="BO60" s="10" t="str">
        <f t="shared" si="34"/>
        <v/>
      </c>
      <c r="BQ60" s="10" t="str">
        <f t="shared" si="50"/>
        <v/>
      </c>
      <c r="BR60" s="10" t="str">
        <f t="shared" si="35"/>
        <v/>
      </c>
    </row>
    <row r="61" spans="3:70" x14ac:dyDescent="0.15">
      <c r="D61" s="84" t="s">
        <v>586</v>
      </c>
      <c r="F61" s="475"/>
      <c r="G61" s="84" t="s">
        <v>556</v>
      </c>
      <c r="I61" s="38">
        <f t="shared" si="36"/>
        <v>2076</v>
      </c>
      <c r="J61" s="39"/>
      <c r="K61" s="39">
        <f t="shared" si="37"/>
        <v>47</v>
      </c>
      <c r="L61" s="39"/>
      <c r="M61" s="40">
        <f t="shared" si="0"/>
        <v>0.24925876497741845</v>
      </c>
      <c r="N61" s="39"/>
      <c r="O61" s="72" t="str">
        <f t="shared" si="16"/>
        <v/>
      </c>
      <c r="P61" s="41" t="str">
        <f t="shared" si="38"/>
        <v/>
      </c>
      <c r="Q61" s="39"/>
      <c r="R61" s="72" t="str">
        <f t="shared" si="51"/>
        <v/>
      </c>
      <c r="S61" s="39"/>
      <c r="T61" s="72" t="str">
        <f t="shared" si="18"/>
        <v/>
      </c>
      <c r="U61" s="39"/>
      <c r="V61" s="72" t="str">
        <f t="shared" si="39"/>
        <v/>
      </c>
      <c r="W61" s="72" t="str">
        <f t="shared" si="19"/>
        <v/>
      </c>
      <c r="X61" s="39"/>
      <c r="Y61" s="72" t="str">
        <f t="shared" si="40"/>
        <v/>
      </c>
      <c r="Z61" s="72" t="str">
        <f t="shared" si="20"/>
        <v/>
      </c>
      <c r="AA61" s="39"/>
      <c r="AB61" s="72" t="str">
        <f t="shared" si="4"/>
        <v/>
      </c>
      <c r="AC61" s="72" t="str">
        <f t="shared" si="21"/>
        <v/>
      </c>
      <c r="AD61" s="39"/>
      <c r="AE61" s="72" t="str">
        <f t="shared" si="41"/>
        <v/>
      </c>
      <c r="AF61" s="72" t="str">
        <f t="shared" si="22"/>
        <v/>
      </c>
      <c r="AG61" s="39"/>
      <c r="AH61" s="72" t="str">
        <f t="shared" si="42"/>
        <v/>
      </c>
      <c r="AI61" s="72" t="str">
        <f t="shared" si="23"/>
        <v/>
      </c>
      <c r="AJ61" s="39"/>
      <c r="AK61" s="72" t="str">
        <f t="shared" si="43"/>
        <v/>
      </c>
      <c r="AL61" s="72" t="str">
        <f t="shared" si="24"/>
        <v/>
      </c>
      <c r="AM61" s="39"/>
      <c r="AN61" s="72" t="str">
        <f t="shared" si="44"/>
        <v/>
      </c>
      <c r="AO61" s="72" t="str">
        <f t="shared" si="25"/>
        <v/>
      </c>
      <c r="AP61" s="39"/>
      <c r="AQ61" s="72" t="str">
        <f t="shared" si="45"/>
        <v/>
      </c>
      <c r="AR61" s="72" t="str">
        <f t="shared" si="26"/>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46"/>
        <v/>
      </c>
      <c r="AW61" s="72" t="str">
        <f t="shared" si="27"/>
        <v/>
      </c>
      <c r="AX61" s="39"/>
      <c r="AY61" s="40" t="str">
        <f>IF(ISERROR(IF($K61&lt;=$F$15,VLOOKUP($I61,'表4）CO2価格'!$A$7:$E$67,VLOOKUP($F$48,'表4）CO2価格'!$H$10:$I$12,2,0),0)*$F$8/1000,"")),0,IF($K61&lt;=$F$15,VLOOKUP($I61,'表4）CO2価格'!$A$7:$E$67,VLOOKUP($F$48,'表4）CO2価格'!$H$10:$I$12,2,0),0)*$F$8/1000,""))</f>
        <v/>
      </c>
      <c r="AZ61" s="39"/>
      <c r="BA61" s="42" t="str">
        <f t="shared" si="47"/>
        <v/>
      </c>
      <c r="BB61" s="72" t="str">
        <f t="shared" si="28"/>
        <v/>
      </c>
      <c r="BC61" s="39"/>
      <c r="BD61" s="72" t="str">
        <f t="shared" si="48"/>
        <v/>
      </c>
      <c r="BE61" s="72" t="str">
        <f t="shared" si="29"/>
        <v/>
      </c>
      <c r="BF61" s="39"/>
      <c r="BG61" s="42" t="str">
        <f t="shared" si="49"/>
        <v/>
      </c>
      <c r="BH61" s="72" t="str">
        <f t="shared" si="30"/>
        <v/>
      </c>
      <c r="BI61" s="39"/>
      <c r="BJ61" s="40" t="str">
        <f t="shared" si="31"/>
        <v/>
      </c>
      <c r="BK61" s="157" t="str">
        <f t="shared" si="32"/>
        <v/>
      </c>
      <c r="BL61" s="157" t="str">
        <f t="shared" si="14"/>
        <v/>
      </c>
      <c r="BM61" s="72"/>
      <c r="BN61" s="72" t="str">
        <f t="shared" si="33"/>
        <v/>
      </c>
      <c r="BO61" s="72" t="str">
        <f t="shared" si="34"/>
        <v/>
      </c>
      <c r="BP61" s="39"/>
      <c r="BQ61" s="72" t="str">
        <f t="shared" si="50"/>
        <v/>
      </c>
      <c r="BR61" s="72" t="str">
        <f t="shared" si="35"/>
        <v/>
      </c>
    </row>
    <row r="62" spans="3:70" x14ac:dyDescent="0.15">
      <c r="D62" s="84" t="s">
        <v>587</v>
      </c>
      <c r="F62" s="481"/>
      <c r="G62" s="84" t="s">
        <v>588</v>
      </c>
      <c r="I62" s="457">
        <f t="shared" si="36"/>
        <v>2077</v>
      </c>
      <c r="J62" s="71"/>
      <c r="K62" s="71">
        <f t="shared" si="37"/>
        <v>48</v>
      </c>
      <c r="L62" s="71"/>
      <c r="M62" s="7">
        <f t="shared" si="0"/>
        <v>0.24199880094894996</v>
      </c>
      <c r="N62" s="71"/>
      <c r="O62" s="10" t="str">
        <f t="shared" si="16"/>
        <v/>
      </c>
      <c r="P62" s="29" t="str">
        <f t="shared" si="38"/>
        <v/>
      </c>
      <c r="Q62" s="71"/>
      <c r="R62" s="10" t="str">
        <f t="shared" si="51"/>
        <v/>
      </c>
      <c r="S62" s="71"/>
      <c r="T62" s="10" t="str">
        <f t="shared" si="18"/>
        <v/>
      </c>
      <c r="U62" s="71"/>
      <c r="V62" s="10" t="str">
        <f t="shared" si="39"/>
        <v/>
      </c>
      <c r="W62" s="10" t="str">
        <f t="shared" si="19"/>
        <v/>
      </c>
      <c r="X62" s="71"/>
      <c r="Y62" s="10" t="str">
        <f t="shared" si="40"/>
        <v/>
      </c>
      <c r="Z62" s="10" t="str">
        <f t="shared" si="20"/>
        <v/>
      </c>
      <c r="AA62" s="71"/>
      <c r="AB62" s="10" t="str">
        <f t="shared" si="4"/>
        <v/>
      </c>
      <c r="AC62" s="10" t="str">
        <f t="shared" si="21"/>
        <v/>
      </c>
      <c r="AD62" s="71"/>
      <c r="AE62" s="10" t="str">
        <f t="shared" si="41"/>
        <v/>
      </c>
      <c r="AF62" s="10" t="str">
        <f t="shared" si="22"/>
        <v/>
      </c>
      <c r="AG62" s="71"/>
      <c r="AH62" s="10" t="str">
        <f t="shared" si="42"/>
        <v/>
      </c>
      <c r="AI62" s="10" t="str">
        <f t="shared" si="23"/>
        <v/>
      </c>
      <c r="AJ62" s="71"/>
      <c r="AK62" s="10" t="str">
        <f t="shared" si="43"/>
        <v/>
      </c>
      <c r="AL62" s="10" t="str">
        <f t="shared" si="24"/>
        <v/>
      </c>
      <c r="AM62" s="71"/>
      <c r="AN62" s="10" t="str">
        <f t="shared" si="44"/>
        <v/>
      </c>
      <c r="AO62" s="10" t="str">
        <f t="shared" si="25"/>
        <v/>
      </c>
      <c r="AP62" s="71"/>
      <c r="AQ62" s="10" t="str">
        <f t="shared" si="45"/>
        <v/>
      </c>
      <c r="AR62" s="10" t="str">
        <f t="shared" si="26"/>
        <v/>
      </c>
      <c r="AS62" s="71"/>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U62" s="71"/>
      <c r="AV62" s="10" t="str">
        <f t="shared" si="46"/>
        <v/>
      </c>
      <c r="AW62" s="10" t="str">
        <f t="shared" si="27"/>
        <v/>
      </c>
      <c r="AX62" s="71"/>
      <c r="AY62" s="7" t="str">
        <f>IF(ISERROR(IF($K62&lt;=$F$15,VLOOKUP($I62,'表4）CO2価格'!$A$7:$E$67,VLOOKUP($F$48,'表4）CO2価格'!$H$10:$I$12,2,0),0)*$F$8/1000,"")),0,IF($K62&lt;=$F$15,VLOOKUP($I62,'表4）CO2価格'!$A$7:$E$67,VLOOKUP($F$48,'表4）CO2価格'!$H$10:$I$12,2,0),0)*$F$8/1000,""))</f>
        <v/>
      </c>
      <c r="AZ62" s="71"/>
      <c r="BA62" s="11" t="str">
        <f t="shared" si="47"/>
        <v/>
      </c>
      <c r="BB62" s="10" t="str">
        <f t="shared" si="28"/>
        <v/>
      </c>
      <c r="BC62" s="71"/>
      <c r="BD62" s="10" t="str">
        <f t="shared" si="48"/>
        <v/>
      </c>
      <c r="BE62" s="10" t="str">
        <f t="shared" si="29"/>
        <v/>
      </c>
      <c r="BF62" s="71"/>
      <c r="BG62" s="11" t="str">
        <f t="shared" si="49"/>
        <v/>
      </c>
      <c r="BH62" s="10" t="str">
        <f t="shared" si="30"/>
        <v/>
      </c>
      <c r="BJ62" s="7" t="str">
        <f t="shared" si="31"/>
        <v/>
      </c>
      <c r="BK62" s="158" t="str">
        <f t="shared" si="32"/>
        <v/>
      </c>
      <c r="BL62" s="158" t="str">
        <f t="shared" si="14"/>
        <v/>
      </c>
      <c r="BM62" s="10"/>
      <c r="BN62" s="10" t="str">
        <f t="shared" si="33"/>
        <v/>
      </c>
      <c r="BO62" s="10" t="str">
        <f t="shared" si="34"/>
        <v/>
      </c>
      <c r="BQ62" s="10" t="str">
        <f t="shared" si="50"/>
        <v/>
      </c>
      <c r="BR62" s="10" t="str">
        <f t="shared" si="35"/>
        <v/>
      </c>
    </row>
    <row r="63" spans="3:70" x14ac:dyDescent="0.15">
      <c r="I63" s="38">
        <f t="shared" si="36"/>
        <v>2078</v>
      </c>
      <c r="J63" s="39"/>
      <c r="K63" s="39">
        <f t="shared" si="37"/>
        <v>49</v>
      </c>
      <c r="L63" s="39"/>
      <c r="M63" s="40">
        <f t="shared" si="0"/>
        <v>0.2349502921834466</v>
      </c>
      <c r="N63" s="39"/>
      <c r="O63" s="72" t="str">
        <f t="shared" si="16"/>
        <v/>
      </c>
      <c r="P63" s="41" t="str">
        <f t="shared" si="38"/>
        <v/>
      </c>
      <c r="Q63" s="39"/>
      <c r="R63" s="72" t="str">
        <f t="shared" si="51"/>
        <v/>
      </c>
      <c r="S63" s="39"/>
      <c r="T63" s="72" t="str">
        <f t="shared" si="18"/>
        <v/>
      </c>
      <c r="U63" s="39"/>
      <c r="V63" s="72" t="str">
        <f t="shared" si="39"/>
        <v/>
      </c>
      <c r="W63" s="72" t="str">
        <f t="shared" si="19"/>
        <v/>
      </c>
      <c r="X63" s="39"/>
      <c r="Y63" s="72" t="str">
        <f t="shared" si="40"/>
        <v/>
      </c>
      <c r="Z63" s="72" t="str">
        <f t="shared" si="20"/>
        <v/>
      </c>
      <c r="AA63" s="39"/>
      <c r="AB63" s="72" t="str">
        <f t="shared" si="4"/>
        <v/>
      </c>
      <c r="AC63" s="72" t="str">
        <f t="shared" si="21"/>
        <v/>
      </c>
      <c r="AD63" s="39"/>
      <c r="AE63" s="72" t="str">
        <f t="shared" si="41"/>
        <v/>
      </c>
      <c r="AF63" s="72" t="str">
        <f t="shared" si="22"/>
        <v/>
      </c>
      <c r="AG63" s="39"/>
      <c r="AH63" s="72" t="str">
        <f t="shared" si="42"/>
        <v/>
      </c>
      <c r="AI63" s="72" t="str">
        <f t="shared" si="23"/>
        <v/>
      </c>
      <c r="AJ63" s="39"/>
      <c r="AK63" s="72" t="str">
        <f t="shared" si="43"/>
        <v/>
      </c>
      <c r="AL63" s="72" t="str">
        <f t="shared" si="24"/>
        <v/>
      </c>
      <c r="AM63" s="39"/>
      <c r="AN63" s="72" t="str">
        <f t="shared" si="44"/>
        <v/>
      </c>
      <c r="AO63" s="72" t="str">
        <f t="shared" si="25"/>
        <v/>
      </c>
      <c r="AP63" s="39"/>
      <c r="AQ63" s="72" t="str">
        <f t="shared" si="45"/>
        <v/>
      </c>
      <c r="AR63" s="72" t="str">
        <f t="shared" si="26"/>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46"/>
        <v/>
      </c>
      <c r="AW63" s="72" t="str">
        <f t="shared" si="27"/>
        <v/>
      </c>
      <c r="AX63" s="39"/>
      <c r="AY63" s="40" t="str">
        <f>IF(ISERROR(IF($K63&lt;=$F$15,VLOOKUP($I63,'表4）CO2価格'!$A$7:$E$67,VLOOKUP($F$48,'表4）CO2価格'!$H$10:$I$12,2,0),0)*$F$8/1000,"")),0,IF($K63&lt;=$F$15,VLOOKUP($I63,'表4）CO2価格'!$A$7:$E$67,VLOOKUP($F$48,'表4）CO2価格'!$H$10:$I$12,2,0),0)*$F$8/1000,""))</f>
        <v/>
      </c>
      <c r="AZ63" s="39"/>
      <c r="BA63" s="42" t="str">
        <f t="shared" si="47"/>
        <v/>
      </c>
      <c r="BB63" s="72" t="str">
        <f t="shared" si="28"/>
        <v/>
      </c>
      <c r="BC63" s="39"/>
      <c r="BD63" s="72" t="str">
        <f t="shared" si="48"/>
        <v/>
      </c>
      <c r="BE63" s="72" t="str">
        <f t="shared" si="29"/>
        <v/>
      </c>
      <c r="BF63" s="39"/>
      <c r="BG63" s="42" t="str">
        <f t="shared" si="49"/>
        <v/>
      </c>
      <c r="BH63" s="72" t="str">
        <f t="shared" si="30"/>
        <v/>
      </c>
      <c r="BI63" s="39"/>
      <c r="BJ63" s="40" t="str">
        <f t="shared" si="31"/>
        <v/>
      </c>
      <c r="BK63" s="157" t="str">
        <f t="shared" si="32"/>
        <v/>
      </c>
      <c r="BL63" s="157" t="str">
        <f t="shared" si="14"/>
        <v/>
      </c>
      <c r="BM63" s="72"/>
      <c r="BN63" s="72" t="str">
        <f t="shared" si="33"/>
        <v/>
      </c>
      <c r="BO63" s="72" t="str">
        <f t="shared" si="34"/>
        <v/>
      </c>
      <c r="BP63" s="39"/>
      <c r="BQ63" s="72" t="str">
        <f t="shared" si="50"/>
        <v/>
      </c>
      <c r="BR63" s="72" t="str">
        <f t="shared" si="35"/>
        <v/>
      </c>
    </row>
    <row r="64" spans="3:70" x14ac:dyDescent="0.15">
      <c r="C64" s="71" t="s">
        <v>589</v>
      </c>
      <c r="F64" s="477">
        <v>0.45</v>
      </c>
      <c r="G64" s="84" t="s">
        <v>590</v>
      </c>
      <c r="I64" s="457">
        <f t="shared" si="36"/>
        <v>2079</v>
      </c>
      <c r="J64" s="71"/>
      <c r="K64" s="71">
        <f t="shared" si="37"/>
        <v>50</v>
      </c>
      <c r="L64" s="71"/>
      <c r="M64" s="7">
        <f t="shared" si="0"/>
        <v>0.22810707978975397</v>
      </c>
      <c r="N64" s="71"/>
      <c r="O64" s="10" t="str">
        <f t="shared" si="16"/>
        <v/>
      </c>
      <c r="P64" s="29" t="str">
        <f t="shared" si="38"/>
        <v/>
      </c>
      <c r="Q64" s="71"/>
      <c r="R64" s="10" t="str">
        <f t="shared" si="51"/>
        <v/>
      </c>
      <c r="S64" s="71"/>
      <c r="T64" s="10" t="str">
        <f t="shared" si="18"/>
        <v/>
      </c>
      <c r="U64" s="71"/>
      <c r="V64" s="10" t="str">
        <f t="shared" si="39"/>
        <v/>
      </c>
      <c r="W64" s="10" t="str">
        <f t="shared" si="19"/>
        <v/>
      </c>
      <c r="X64" s="71"/>
      <c r="Y64" s="10" t="str">
        <f t="shared" si="40"/>
        <v/>
      </c>
      <c r="Z64" s="10" t="str">
        <f t="shared" si="20"/>
        <v/>
      </c>
      <c r="AA64" s="71"/>
      <c r="AB64" s="10" t="str">
        <f t="shared" si="4"/>
        <v/>
      </c>
      <c r="AC64" s="10" t="str">
        <f t="shared" si="21"/>
        <v/>
      </c>
      <c r="AD64" s="71"/>
      <c r="AE64" s="10" t="str">
        <f t="shared" si="41"/>
        <v/>
      </c>
      <c r="AF64" s="10" t="str">
        <f t="shared" si="22"/>
        <v/>
      </c>
      <c r="AG64" s="71"/>
      <c r="AH64" s="10" t="str">
        <f t="shared" si="42"/>
        <v/>
      </c>
      <c r="AI64" s="10" t="str">
        <f t="shared" si="23"/>
        <v/>
      </c>
      <c r="AJ64" s="71"/>
      <c r="AK64" s="10" t="str">
        <f t="shared" si="43"/>
        <v/>
      </c>
      <c r="AL64" s="10" t="str">
        <f t="shared" si="24"/>
        <v/>
      </c>
      <c r="AM64" s="71"/>
      <c r="AN64" s="10" t="str">
        <f t="shared" si="44"/>
        <v/>
      </c>
      <c r="AO64" s="10" t="str">
        <f t="shared" si="25"/>
        <v/>
      </c>
      <c r="AP64" s="71"/>
      <c r="AQ64" s="10" t="str">
        <f t="shared" si="45"/>
        <v/>
      </c>
      <c r="AR64" s="10" t="str">
        <f t="shared" si="26"/>
        <v/>
      </c>
      <c r="AS64" s="71"/>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U64" s="71"/>
      <c r="AV64" s="10" t="str">
        <f t="shared" si="46"/>
        <v/>
      </c>
      <c r="AW64" s="10" t="str">
        <f t="shared" si="27"/>
        <v/>
      </c>
      <c r="AX64" s="71"/>
      <c r="AY64" s="7" t="str">
        <f>IF(ISERROR(IF($K64&lt;=$F$15,VLOOKUP($I64,'表4）CO2価格'!$A$7:$E$67,VLOOKUP($F$48,'表4）CO2価格'!$H$10:$I$12,2,0),0)*$F$8/1000,"")),0,IF($K64&lt;=$F$15,VLOOKUP($I64,'表4）CO2価格'!$A$7:$E$67,VLOOKUP($F$48,'表4）CO2価格'!$H$10:$I$12,2,0),0)*$F$8/1000,""))</f>
        <v/>
      </c>
      <c r="AZ64" s="71"/>
      <c r="BA64" s="11" t="str">
        <f t="shared" si="47"/>
        <v/>
      </c>
      <c r="BB64" s="10" t="str">
        <f t="shared" si="28"/>
        <v/>
      </c>
      <c r="BC64" s="71"/>
      <c r="BD64" s="10" t="str">
        <f t="shared" si="48"/>
        <v/>
      </c>
      <c r="BE64" s="10" t="str">
        <f t="shared" si="29"/>
        <v/>
      </c>
      <c r="BF64" s="71"/>
      <c r="BG64" s="11" t="str">
        <f t="shared" si="49"/>
        <v/>
      </c>
      <c r="BH64" s="10" t="str">
        <f t="shared" si="30"/>
        <v/>
      </c>
      <c r="BJ64" s="7" t="str">
        <f t="shared" si="31"/>
        <v/>
      </c>
      <c r="BK64" s="158" t="str">
        <f t="shared" si="32"/>
        <v/>
      </c>
      <c r="BL64" s="158" t="str">
        <f t="shared" si="14"/>
        <v/>
      </c>
      <c r="BM64" s="10"/>
      <c r="BN64" s="10" t="str">
        <f t="shared" si="33"/>
        <v/>
      </c>
      <c r="BO64" s="10" t="str">
        <f t="shared" si="34"/>
        <v/>
      </c>
      <c r="BQ64" s="10" t="str">
        <f t="shared" si="50"/>
        <v/>
      </c>
      <c r="BR64" s="10" t="str">
        <f t="shared" si="35"/>
        <v/>
      </c>
    </row>
    <row r="65" spans="2:70" x14ac:dyDescent="0.15">
      <c r="I65" s="38">
        <f t="shared" si="36"/>
        <v>2080</v>
      </c>
      <c r="J65" s="39"/>
      <c r="K65" s="39">
        <f t="shared" si="37"/>
        <v>51</v>
      </c>
      <c r="L65" s="39"/>
      <c r="M65" s="40">
        <f t="shared" si="0"/>
        <v>0.22146318426189707</v>
      </c>
      <c r="N65" s="39"/>
      <c r="O65" s="72" t="str">
        <f t="shared" si="16"/>
        <v/>
      </c>
      <c r="P65" s="41" t="str">
        <f t="shared" si="38"/>
        <v/>
      </c>
      <c r="Q65" s="39"/>
      <c r="R65" s="72" t="str">
        <f t="shared" si="51"/>
        <v/>
      </c>
      <c r="S65" s="39"/>
      <c r="T65" s="72" t="str">
        <f t="shared" si="18"/>
        <v/>
      </c>
      <c r="U65" s="39"/>
      <c r="V65" s="72" t="str">
        <f t="shared" si="39"/>
        <v/>
      </c>
      <c r="W65" s="72" t="str">
        <f t="shared" si="19"/>
        <v/>
      </c>
      <c r="X65" s="39"/>
      <c r="Y65" s="72" t="str">
        <f t="shared" si="40"/>
        <v/>
      </c>
      <c r="Z65" s="72" t="str">
        <f t="shared" si="20"/>
        <v/>
      </c>
      <c r="AA65" s="39"/>
      <c r="AB65" s="72" t="str">
        <f t="shared" si="4"/>
        <v/>
      </c>
      <c r="AC65" s="72" t="str">
        <f t="shared" si="21"/>
        <v/>
      </c>
      <c r="AD65" s="39"/>
      <c r="AE65" s="72" t="str">
        <f t="shared" si="41"/>
        <v/>
      </c>
      <c r="AF65" s="72" t="str">
        <f t="shared" si="22"/>
        <v/>
      </c>
      <c r="AG65" s="39"/>
      <c r="AH65" s="72" t="str">
        <f t="shared" si="42"/>
        <v/>
      </c>
      <c r="AI65" s="72" t="str">
        <f t="shared" si="23"/>
        <v/>
      </c>
      <c r="AJ65" s="39"/>
      <c r="AK65" s="72" t="str">
        <f t="shared" si="43"/>
        <v/>
      </c>
      <c r="AL65" s="72" t="str">
        <f t="shared" si="24"/>
        <v/>
      </c>
      <c r="AM65" s="39"/>
      <c r="AN65" s="72" t="str">
        <f t="shared" si="44"/>
        <v/>
      </c>
      <c r="AO65" s="72" t="str">
        <f t="shared" si="25"/>
        <v/>
      </c>
      <c r="AP65" s="39"/>
      <c r="AQ65" s="72" t="str">
        <f t="shared" si="45"/>
        <v/>
      </c>
      <c r="AR65" s="72" t="str">
        <f t="shared" si="26"/>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46"/>
        <v/>
      </c>
      <c r="AW65" s="72" t="str">
        <f t="shared" si="27"/>
        <v/>
      </c>
      <c r="AX65" s="39"/>
      <c r="AY65" s="40" t="str">
        <f>IF(ISERROR(IF($K65&lt;=$F$15,VLOOKUP($I65,'表4）CO2価格'!$A$7:$E$67,VLOOKUP($F$48,'表4）CO2価格'!$H$10:$I$12,2,0),0)*$F$8/1000,"")),0,IF($K65&lt;=$F$15,VLOOKUP($I65,'表4）CO2価格'!$A$7:$E$67,VLOOKUP($F$48,'表4）CO2価格'!$H$10:$I$12,2,0),0)*$F$8/1000,""))</f>
        <v/>
      </c>
      <c r="AZ65" s="39"/>
      <c r="BA65" s="42" t="str">
        <f t="shared" si="47"/>
        <v/>
      </c>
      <c r="BB65" s="72" t="str">
        <f t="shared" si="28"/>
        <v/>
      </c>
      <c r="BC65" s="39"/>
      <c r="BD65" s="72" t="str">
        <f t="shared" si="48"/>
        <v/>
      </c>
      <c r="BE65" s="72" t="str">
        <f t="shared" si="29"/>
        <v/>
      </c>
      <c r="BF65" s="39"/>
      <c r="BG65" s="42" t="str">
        <f t="shared" si="49"/>
        <v/>
      </c>
      <c r="BH65" s="72" t="str">
        <f t="shared" si="30"/>
        <v/>
      </c>
      <c r="BI65" s="39"/>
      <c r="BJ65" s="40" t="str">
        <f t="shared" si="31"/>
        <v/>
      </c>
      <c r="BK65" s="157" t="str">
        <f t="shared" si="32"/>
        <v/>
      </c>
      <c r="BL65" s="157" t="str">
        <f t="shared" si="14"/>
        <v/>
      </c>
      <c r="BM65" s="72"/>
      <c r="BN65" s="72" t="str">
        <f t="shared" si="33"/>
        <v/>
      </c>
      <c r="BO65" s="72" t="str">
        <f t="shared" si="34"/>
        <v/>
      </c>
      <c r="BP65" s="39"/>
      <c r="BQ65" s="72" t="str">
        <f t="shared" si="50"/>
        <v/>
      </c>
      <c r="BR65" s="72" t="str">
        <f t="shared" si="35"/>
        <v/>
      </c>
    </row>
    <row r="66" spans="2:70" x14ac:dyDescent="0.15">
      <c r="I66" s="457">
        <f t="shared" si="36"/>
        <v>2081</v>
      </c>
      <c r="J66" s="71"/>
      <c r="K66" s="71">
        <f t="shared" si="37"/>
        <v>52</v>
      </c>
      <c r="L66" s="71"/>
      <c r="M66" s="7">
        <f t="shared" si="0"/>
        <v>0.215012800254269</v>
      </c>
      <c r="N66" s="71"/>
      <c r="O66" s="10" t="str">
        <f t="shared" si="16"/>
        <v/>
      </c>
      <c r="P66" s="29" t="str">
        <f t="shared" si="38"/>
        <v/>
      </c>
      <c r="Q66" s="71"/>
      <c r="R66" s="10" t="str">
        <f t="shared" si="51"/>
        <v/>
      </c>
      <c r="S66" s="71"/>
      <c r="T66" s="10" t="str">
        <f t="shared" si="18"/>
        <v/>
      </c>
      <c r="U66" s="71"/>
      <c r="V66" s="10" t="str">
        <f t="shared" si="39"/>
        <v/>
      </c>
      <c r="W66" s="10" t="str">
        <f t="shared" si="19"/>
        <v/>
      </c>
      <c r="X66" s="71"/>
      <c r="Y66" s="10" t="str">
        <f t="shared" si="40"/>
        <v/>
      </c>
      <c r="Z66" s="10" t="str">
        <f t="shared" si="20"/>
        <v/>
      </c>
      <c r="AA66" s="71"/>
      <c r="AB66" s="10" t="str">
        <f t="shared" si="4"/>
        <v/>
      </c>
      <c r="AC66" s="10" t="str">
        <f t="shared" si="21"/>
        <v/>
      </c>
      <c r="AD66" s="71"/>
      <c r="AE66" s="10" t="str">
        <f t="shared" si="41"/>
        <v/>
      </c>
      <c r="AF66" s="10" t="str">
        <f t="shared" si="22"/>
        <v/>
      </c>
      <c r="AG66" s="71"/>
      <c r="AH66" s="10" t="str">
        <f t="shared" si="42"/>
        <v/>
      </c>
      <c r="AI66" s="10" t="str">
        <f t="shared" si="23"/>
        <v/>
      </c>
      <c r="AJ66" s="71"/>
      <c r="AK66" s="10" t="str">
        <f t="shared" si="43"/>
        <v/>
      </c>
      <c r="AL66" s="10" t="str">
        <f t="shared" si="24"/>
        <v/>
      </c>
      <c r="AM66" s="71"/>
      <c r="AN66" s="10" t="str">
        <f t="shared" si="44"/>
        <v/>
      </c>
      <c r="AO66" s="10" t="str">
        <f t="shared" si="25"/>
        <v/>
      </c>
      <c r="AP66" s="71"/>
      <c r="AQ66" s="10" t="str">
        <f t="shared" si="45"/>
        <v/>
      </c>
      <c r="AR66" s="10" t="str">
        <f t="shared" si="26"/>
        <v/>
      </c>
      <c r="AS66" s="71"/>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U66" s="71"/>
      <c r="AV66" s="10" t="str">
        <f t="shared" si="46"/>
        <v/>
      </c>
      <c r="AW66" s="10" t="str">
        <f t="shared" si="27"/>
        <v/>
      </c>
      <c r="AX66" s="71"/>
      <c r="AY66" s="7" t="str">
        <f>IF(ISERROR(IF($K66&lt;=$F$15,VLOOKUP($I66,'表4）CO2価格'!$A$7:$E$67,VLOOKUP($F$48,'表4）CO2価格'!$H$10:$I$12,2,0),0)*$F$8/1000,"")),0,IF($K66&lt;=$F$15,VLOOKUP($I66,'表4）CO2価格'!$A$7:$E$67,VLOOKUP($F$48,'表4）CO2価格'!$H$10:$I$12,2,0),0)*$F$8/1000,""))</f>
        <v/>
      </c>
      <c r="AZ66" s="71"/>
      <c r="BA66" s="11" t="str">
        <f t="shared" si="47"/>
        <v/>
      </c>
      <c r="BB66" s="10" t="str">
        <f t="shared" si="28"/>
        <v/>
      </c>
      <c r="BC66" s="71"/>
      <c r="BD66" s="10" t="str">
        <f t="shared" si="48"/>
        <v/>
      </c>
      <c r="BE66" s="10" t="str">
        <f t="shared" si="29"/>
        <v/>
      </c>
      <c r="BF66" s="71"/>
      <c r="BG66" s="11" t="str">
        <f t="shared" si="49"/>
        <v/>
      </c>
      <c r="BH66" s="10" t="str">
        <f t="shared" si="30"/>
        <v/>
      </c>
      <c r="BJ66" s="7" t="str">
        <f t="shared" si="31"/>
        <v/>
      </c>
      <c r="BK66" s="158" t="str">
        <f t="shared" si="32"/>
        <v/>
      </c>
      <c r="BL66" s="158" t="str">
        <f t="shared" si="14"/>
        <v/>
      </c>
      <c r="BM66" s="10"/>
      <c r="BN66" s="10" t="str">
        <f t="shared" si="33"/>
        <v/>
      </c>
      <c r="BO66" s="10" t="str">
        <f t="shared" si="34"/>
        <v/>
      </c>
      <c r="BQ66" s="10" t="str">
        <f t="shared" si="50"/>
        <v/>
      </c>
      <c r="BR66" s="10" t="str">
        <f t="shared" si="35"/>
        <v/>
      </c>
    </row>
    <row r="67" spans="2:70" ht="15.75" thickBot="1" x14ac:dyDescent="0.2">
      <c r="B67" s="5" t="s">
        <v>133</v>
      </c>
      <c r="C67" s="3"/>
      <c r="D67" s="102"/>
      <c r="E67" s="102"/>
      <c r="F67" s="3"/>
      <c r="G67" s="102"/>
      <c r="I67" s="38">
        <f t="shared" si="36"/>
        <v>2082</v>
      </c>
      <c r="J67" s="39"/>
      <c r="K67" s="39">
        <f t="shared" si="37"/>
        <v>53</v>
      </c>
      <c r="L67" s="39"/>
      <c r="M67" s="40">
        <f t="shared" si="0"/>
        <v>0.20875029150899907</v>
      </c>
      <c r="N67" s="39"/>
      <c r="O67" s="72" t="str">
        <f t="shared" si="16"/>
        <v/>
      </c>
      <c r="P67" s="41" t="str">
        <f t="shared" si="38"/>
        <v/>
      </c>
      <c r="Q67" s="39"/>
      <c r="R67" s="72" t="str">
        <f t="shared" si="51"/>
        <v/>
      </c>
      <c r="S67" s="39"/>
      <c r="T67" s="72" t="str">
        <f t="shared" si="18"/>
        <v/>
      </c>
      <c r="U67" s="39"/>
      <c r="V67" s="72" t="str">
        <f t="shared" si="39"/>
        <v/>
      </c>
      <c r="W67" s="72" t="str">
        <f t="shared" si="19"/>
        <v/>
      </c>
      <c r="X67" s="39"/>
      <c r="Y67" s="72" t="str">
        <f t="shared" si="40"/>
        <v/>
      </c>
      <c r="Z67" s="72" t="str">
        <f t="shared" si="20"/>
        <v/>
      </c>
      <c r="AA67" s="39"/>
      <c r="AB67" s="72" t="str">
        <f t="shared" si="4"/>
        <v/>
      </c>
      <c r="AC67" s="72" t="str">
        <f t="shared" si="21"/>
        <v/>
      </c>
      <c r="AD67" s="39"/>
      <c r="AE67" s="72" t="str">
        <f t="shared" si="41"/>
        <v/>
      </c>
      <c r="AF67" s="72" t="str">
        <f t="shared" si="22"/>
        <v/>
      </c>
      <c r="AG67" s="39"/>
      <c r="AH67" s="72" t="str">
        <f t="shared" si="42"/>
        <v/>
      </c>
      <c r="AI67" s="72" t="str">
        <f t="shared" si="23"/>
        <v/>
      </c>
      <c r="AJ67" s="39"/>
      <c r="AK67" s="72" t="str">
        <f t="shared" si="43"/>
        <v/>
      </c>
      <c r="AL67" s="72" t="str">
        <f t="shared" si="24"/>
        <v/>
      </c>
      <c r="AM67" s="39"/>
      <c r="AN67" s="72" t="str">
        <f t="shared" si="44"/>
        <v/>
      </c>
      <c r="AO67" s="72" t="str">
        <f t="shared" si="25"/>
        <v/>
      </c>
      <c r="AP67" s="39"/>
      <c r="AQ67" s="72" t="str">
        <f t="shared" si="45"/>
        <v/>
      </c>
      <c r="AR67" s="72" t="str">
        <f t="shared" si="26"/>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46"/>
        <v/>
      </c>
      <c r="AW67" s="72" t="str">
        <f t="shared" si="27"/>
        <v/>
      </c>
      <c r="AX67" s="39"/>
      <c r="AY67" s="40" t="str">
        <f>IF(ISERROR(IF($K67&lt;=$F$15,VLOOKUP($I67,'表4）CO2価格'!$A$7:$E$67,VLOOKUP($F$48,'表4）CO2価格'!$H$10:$I$12,2,0),0)*$F$8/1000,"")),0,IF($K67&lt;=$F$15,VLOOKUP($I67,'表4）CO2価格'!$A$7:$E$67,VLOOKUP($F$48,'表4）CO2価格'!$H$10:$I$12,2,0),0)*$F$8/1000,""))</f>
        <v/>
      </c>
      <c r="AZ67" s="39"/>
      <c r="BA67" s="42" t="str">
        <f t="shared" si="47"/>
        <v/>
      </c>
      <c r="BB67" s="72" t="str">
        <f t="shared" si="28"/>
        <v/>
      </c>
      <c r="BC67" s="39"/>
      <c r="BD67" s="72" t="str">
        <f t="shared" si="48"/>
        <v/>
      </c>
      <c r="BE67" s="72" t="str">
        <f t="shared" si="29"/>
        <v/>
      </c>
      <c r="BF67" s="39"/>
      <c r="BG67" s="42" t="str">
        <f t="shared" si="49"/>
        <v/>
      </c>
      <c r="BH67" s="72" t="str">
        <f t="shared" si="30"/>
        <v/>
      </c>
      <c r="BI67" s="39"/>
      <c r="BJ67" s="40" t="str">
        <f t="shared" si="31"/>
        <v/>
      </c>
      <c r="BK67" s="157" t="str">
        <f t="shared" si="32"/>
        <v/>
      </c>
      <c r="BL67" s="157" t="str">
        <f t="shared" si="14"/>
        <v/>
      </c>
      <c r="BM67" s="72"/>
      <c r="BN67" s="72" t="str">
        <f t="shared" si="33"/>
        <v/>
      </c>
      <c r="BO67" s="72" t="str">
        <f t="shared" si="34"/>
        <v/>
      </c>
      <c r="BP67" s="39"/>
      <c r="BQ67" s="72" t="str">
        <f t="shared" si="50"/>
        <v/>
      </c>
      <c r="BR67" s="72" t="str">
        <f t="shared" si="35"/>
        <v/>
      </c>
    </row>
    <row r="68" spans="2:70" x14ac:dyDescent="0.15">
      <c r="I68" s="457">
        <f t="shared" si="36"/>
        <v>2083</v>
      </c>
      <c r="J68" s="71"/>
      <c r="K68" s="71">
        <f t="shared" si="37"/>
        <v>54</v>
      </c>
      <c r="L68" s="71"/>
      <c r="M68" s="7">
        <f t="shared" si="0"/>
        <v>0.20267018593106703</v>
      </c>
      <c r="N68" s="71"/>
      <c r="O68" s="10" t="str">
        <f t="shared" si="16"/>
        <v/>
      </c>
      <c r="P68" s="29" t="str">
        <f t="shared" si="38"/>
        <v/>
      </c>
      <c r="Q68" s="71"/>
      <c r="R68" s="10" t="str">
        <f t="shared" si="51"/>
        <v/>
      </c>
      <c r="S68" s="71"/>
      <c r="T68" s="10" t="str">
        <f t="shared" si="18"/>
        <v/>
      </c>
      <c r="U68" s="71"/>
      <c r="V68" s="10" t="str">
        <f t="shared" si="39"/>
        <v/>
      </c>
      <c r="W68" s="10" t="str">
        <f t="shared" si="19"/>
        <v/>
      </c>
      <c r="X68" s="71"/>
      <c r="Y68" s="10" t="str">
        <f t="shared" si="40"/>
        <v/>
      </c>
      <c r="Z68" s="10" t="str">
        <f t="shared" si="20"/>
        <v/>
      </c>
      <c r="AA68" s="71"/>
      <c r="AB68" s="10" t="str">
        <f t="shared" si="4"/>
        <v/>
      </c>
      <c r="AC68" s="10" t="str">
        <f t="shared" si="21"/>
        <v/>
      </c>
      <c r="AD68" s="71"/>
      <c r="AE68" s="10" t="str">
        <f t="shared" si="41"/>
        <v/>
      </c>
      <c r="AF68" s="10" t="str">
        <f t="shared" si="22"/>
        <v/>
      </c>
      <c r="AG68" s="71"/>
      <c r="AH68" s="10" t="str">
        <f t="shared" si="42"/>
        <v/>
      </c>
      <c r="AI68" s="10" t="str">
        <f t="shared" si="23"/>
        <v/>
      </c>
      <c r="AJ68" s="71"/>
      <c r="AK68" s="10" t="str">
        <f t="shared" si="43"/>
        <v/>
      </c>
      <c r="AL68" s="10" t="str">
        <f t="shared" si="24"/>
        <v/>
      </c>
      <c r="AM68" s="71"/>
      <c r="AN68" s="10" t="str">
        <f t="shared" si="44"/>
        <v/>
      </c>
      <c r="AO68" s="10" t="str">
        <f t="shared" si="25"/>
        <v/>
      </c>
      <c r="AP68" s="71"/>
      <c r="AQ68" s="10" t="str">
        <f t="shared" si="45"/>
        <v/>
      </c>
      <c r="AR68" s="10" t="str">
        <f t="shared" si="26"/>
        <v/>
      </c>
      <c r="AS68" s="71"/>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U68" s="71"/>
      <c r="AV68" s="10" t="str">
        <f t="shared" si="46"/>
        <v/>
      </c>
      <c r="AW68" s="10" t="str">
        <f t="shared" si="27"/>
        <v/>
      </c>
      <c r="AX68" s="71"/>
      <c r="AY68" s="7" t="str">
        <f>IF(ISERROR(IF($K68&lt;=$F$15,VLOOKUP($I68,'表4）CO2価格'!$A$7:$E$67,VLOOKUP($F$48,'表4）CO2価格'!$H$10:$I$12,2,0),0)*$F$8/1000,"")),0,IF($K68&lt;=$F$15,VLOOKUP($I68,'表4）CO2価格'!$A$7:$E$67,VLOOKUP($F$48,'表4）CO2価格'!$H$10:$I$12,2,0),0)*$F$8/1000,""))</f>
        <v/>
      </c>
      <c r="AZ68" s="71"/>
      <c r="BA68" s="11" t="str">
        <f t="shared" si="47"/>
        <v/>
      </c>
      <c r="BB68" s="10" t="str">
        <f t="shared" si="28"/>
        <v/>
      </c>
      <c r="BC68" s="71"/>
      <c r="BD68" s="10" t="str">
        <f t="shared" si="48"/>
        <v/>
      </c>
      <c r="BE68" s="10" t="str">
        <f t="shared" si="29"/>
        <v/>
      </c>
      <c r="BF68" s="71"/>
      <c r="BG68" s="11" t="str">
        <f t="shared" si="49"/>
        <v/>
      </c>
      <c r="BH68" s="10" t="str">
        <f t="shared" si="30"/>
        <v/>
      </c>
      <c r="BJ68" s="7" t="str">
        <f t="shared" si="31"/>
        <v/>
      </c>
      <c r="BK68" s="158" t="str">
        <f t="shared" si="32"/>
        <v/>
      </c>
      <c r="BL68" s="158" t="str">
        <f t="shared" si="14"/>
        <v/>
      </c>
      <c r="BM68" s="10"/>
      <c r="BN68" s="10" t="str">
        <f t="shared" si="33"/>
        <v/>
      </c>
      <c r="BO68" s="10" t="str">
        <f t="shared" si="34"/>
        <v/>
      </c>
      <c r="BQ68" s="10" t="str">
        <f t="shared" si="50"/>
        <v/>
      </c>
      <c r="BR68" s="10" t="str">
        <f t="shared" si="35"/>
        <v/>
      </c>
    </row>
    <row r="69" spans="2:70" x14ac:dyDescent="0.15">
      <c r="C69" s="483" t="s">
        <v>134</v>
      </c>
      <c r="D69" s="71"/>
      <c r="E69" s="71"/>
      <c r="F69" s="484">
        <f>SUBTOTAL(9,F74:F112)-F105</f>
        <v>18.198903902257122</v>
      </c>
      <c r="G69" s="71" t="s">
        <v>590</v>
      </c>
      <c r="H69" s="186"/>
      <c r="I69" s="38">
        <f t="shared" si="36"/>
        <v>2084</v>
      </c>
      <c r="J69" s="39"/>
      <c r="K69" s="39">
        <f t="shared" si="37"/>
        <v>55</v>
      </c>
      <c r="L69" s="39"/>
      <c r="M69" s="40">
        <f t="shared" si="0"/>
        <v>0.19676717080686118</v>
      </c>
      <c r="N69" s="39"/>
      <c r="O69" s="72" t="str">
        <f t="shared" si="16"/>
        <v/>
      </c>
      <c r="P69" s="41" t="str">
        <f t="shared" si="38"/>
        <v/>
      </c>
      <c r="Q69" s="39"/>
      <c r="R69" s="72" t="str">
        <f t="shared" si="51"/>
        <v/>
      </c>
      <c r="S69" s="39"/>
      <c r="T69" s="72" t="str">
        <f t="shared" si="18"/>
        <v/>
      </c>
      <c r="U69" s="39"/>
      <c r="V69" s="72" t="str">
        <f t="shared" si="39"/>
        <v/>
      </c>
      <c r="W69" s="72" t="str">
        <f t="shared" si="19"/>
        <v/>
      </c>
      <c r="X69" s="39"/>
      <c r="Y69" s="72" t="str">
        <f t="shared" si="40"/>
        <v/>
      </c>
      <c r="Z69" s="72" t="str">
        <f t="shared" si="20"/>
        <v/>
      </c>
      <c r="AA69" s="39"/>
      <c r="AB69" s="72" t="str">
        <f t="shared" si="4"/>
        <v/>
      </c>
      <c r="AC69" s="72" t="str">
        <f t="shared" si="21"/>
        <v/>
      </c>
      <c r="AD69" s="39"/>
      <c r="AE69" s="72" t="str">
        <f t="shared" si="41"/>
        <v/>
      </c>
      <c r="AF69" s="72" t="str">
        <f t="shared" si="22"/>
        <v/>
      </c>
      <c r="AG69" s="39"/>
      <c r="AH69" s="72" t="str">
        <f t="shared" si="42"/>
        <v/>
      </c>
      <c r="AI69" s="72" t="str">
        <f t="shared" si="23"/>
        <v/>
      </c>
      <c r="AJ69" s="39"/>
      <c r="AK69" s="72" t="str">
        <f t="shared" si="43"/>
        <v/>
      </c>
      <c r="AL69" s="72" t="str">
        <f t="shared" si="24"/>
        <v/>
      </c>
      <c r="AM69" s="39"/>
      <c r="AN69" s="72" t="str">
        <f t="shared" si="44"/>
        <v/>
      </c>
      <c r="AO69" s="72" t="str">
        <f t="shared" si="25"/>
        <v/>
      </c>
      <c r="AP69" s="39"/>
      <c r="AQ69" s="72" t="str">
        <f t="shared" si="45"/>
        <v/>
      </c>
      <c r="AR69" s="72" t="str">
        <f t="shared" si="26"/>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46"/>
        <v/>
      </c>
      <c r="AW69" s="72" t="str">
        <f t="shared" si="27"/>
        <v/>
      </c>
      <c r="AX69" s="39"/>
      <c r="AY69" s="40" t="str">
        <f>IF(ISERROR(IF($K69&lt;=$F$15,VLOOKUP($I69,'表4）CO2価格'!$A$7:$E$67,VLOOKUP($F$48,'表4）CO2価格'!$H$10:$I$12,2,0),0)*$F$8/1000,"")),0,IF($K69&lt;=$F$15,VLOOKUP($I69,'表4）CO2価格'!$A$7:$E$67,VLOOKUP($F$48,'表4）CO2価格'!$H$10:$I$12,2,0),0)*$F$8/1000,""))</f>
        <v/>
      </c>
      <c r="AZ69" s="39"/>
      <c r="BA69" s="42" t="str">
        <f t="shared" si="47"/>
        <v/>
      </c>
      <c r="BB69" s="72" t="str">
        <f t="shared" si="28"/>
        <v/>
      </c>
      <c r="BC69" s="39"/>
      <c r="BD69" s="72" t="str">
        <f t="shared" si="48"/>
        <v/>
      </c>
      <c r="BE69" s="72" t="str">
        <f t="shared" si="29"/>
        <v/>
      </c>
      <c r="BF69" s="39"/>
      <c r="BG69" s="42" t="str">
        <f t="shared" si="49"/>
        <v/>
      </c>
      <c r="BH69" s="72" t="str">
        <f t="shared" si="30"/>
        <v/>
      </c>
      <c r="BI69" s="39"/>
      <c r="BJ69" s="40" t="str">
        <f t="shared" si="31"/>
        <v/>
      </c>
      <c r="BK69" s="157" t="str">
        <f t="shared" si="32"/>
        <v/>
      </c>
      <c r="BL69" s="157" t="str">
        <f t="shared" si="14"/>
        <v/>
      </c>
      <c r="BM69" s="72"/>
      <c r="BN69" s="72" t="str">
        <f t="shared" si="33"/>
        <v/>
      </c>
      <c r="BO69" s="72" t="str">
        <f t="shared" si="34"/>
        <v/>
      </c>
      <c r="BP69" s="39"/>
      <c r="BQ69" s="72" t="str">
        <f t="shared" si="50"/>
        <v/>
      </c>
      <c r="BR69" s="72" t="str">
        <f t="shared" si="35"/>
        <v/>
      </c>
    </row>
    <row r="70" spans="2:70" x14ac:dyDescent="0.15">
      <c r="C70" s="483" t="s">
        <v>135</v>
      </c>
      <c r="D70" s="71"/>
      <c r="E70" s="71"/>
      <c r="F70" s="484">
        <f ca="1">MAX(SUM($Z$117,$AF$117,$AI$117,$AL$117,$AO$117,$AR$117,$AW$117,$BB$117,$BE$117,$BH$117,$BO$116)/$BR$116+$F$105,SUBTOTAL(9,F74:F112))</f>
        <v>25.859792707014126</v>
      </c>
      <c r="G70" s="71" t="s">
        <v>590</v>
      </c>
      <c r="H70" s="186"/>
      <c r="I70" s="457">
        <f t="shared" si="36"/>
        <v>2085</v>
      </c>
      <c r="J70" s="71"/>
      <c r="K70" s="71">
        <f t="shared" si="37"/>
        <v>56</v>
      </c>
      <c r="L70" s="71"/>
      <c r="M70" s="7">
        <f t="shared" si="0"/>
        <v>0.19103608816200118</v>
      </c>
      <c r="N70" s="71"/>
      <c r="O70" s="10" t="str">
        <f t="shared" si="16"/>
        <v/>
      </c>
      <c r="P70" s="29" t="str">
        <f t="shared" si="38"/>
        <v/>
      </c>
      <c r="Q70" s="71"/>
      <c r="R70" s="10" t="str">
        <f t="shared" si="51"/>
        <v/>
      </c>
      <c r="S70" s="71"/>
      <c r="T70" s="10" t="str">
        <f t="shared" si="18"/>
        <v/>
      </c>
      <c r="U70" s="71"/>
      <c r="V70" s="10" t="str">
        <f t="shared" si="39"/>
        <v/>
      </c>
      <c r="W70" s="10" t="str">
        <f t="shared" si="19"/>
        <v/>
      </c>
      <c r="X70" s="71"/>
      <c r="Y70" s="10" t="str">
        <f t="shared" si="40"/>
        <v/>
      </c>
      <c r="Z70" s="10" t="str">
        <f t="shared" si="20"/>
        <v/>
      </c>
      <c r="AA70" s="71"/>
      <c r="AB70" s="10" t="str">
        <f t="shared" si="4"/>
        <v/>
      </c>
      <c r="AC70" s="10" t="str">
        <f t="shared" si="21"/>
        <v/>
      </c>
      <c r="AD70" s="71"/>
      <c r="AE70" s="10" t="str">
        <f t="shared" si="41"/>
        <v/>
      </c>
      <c r="AF70" s="10" t="str">
        <f t="shared" si="22"/>
        <v/>
      </c>
      <c r="AG70" s="71"/>
      <c r="AH70" s="10" t="str">
        <f t="shared" si="42"/>
        <v/>
      </c>
      <c r="AI70" s="10" t="str">
        <f t="shared" si="23"/>
        <v/>
      </c>
      <c r="AJ70" s="71"/>
      <c r="AK70" s="10" t="str">
        <f t="shared" si="43"/>
        <v/>
      </c>
      <c r="AL70" s="10" t="str">
        <f t="shared" si="24"/>
        <v/>
      </c>
      <c r="AM70" s="71"/>
      <c r="AN70" s="10" t="str">
        <f t="shared" si="44"/>
        <v/>
      </c>
      <c r="AO70" s="10" t="str">
        <f t="shared" si="25"/>
        <v/>
      </c>
      <c r="AP70" s="71"/>
      <c r="AQ70" s="10" t="str">
        <f t="shared" si="45"/>
        <v/>
      </c>
      <c r="AR70" s="10" t="str">
        <f t="shared" si="26"/>
        <v/>
      </c>
      <c r="AS70" s="71"/>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U70" s="71"/>
      <c r="AV70" s="10" t="str">
        <f t="shared" si="46"/>
        <v/>
      </c>
      <c r="AW70" s="10" t="str">
        <f t="shared" si="27"/>
        <v/>
      </c>
      <c r="AX70" s="71"/>
      <c r="AY70" s="7" t="str">
        <f>IF(ISERROR(IF($K70&lt;=$F$15,VLOOKUP($I70,'表4）CO2価格'!$A$7:$E$67,VLOOKUP($F$48,'表4）CO2価格'!$H$10:$I$12,2,0),0)*$F$8/1000,"")),0,IF($K70&lt;=$F$15,VLOOKUP($I70,'表4）CO2価格'!$A$7:$E$67,VLOOKUP($F$48,'表4）CO2価格'!$H$10:$I$12,2,0),0)*$F$8/1000,""))</f>
        <v/>
      </c>
      <c r="AZ70" s="71"/>
      <c r="BA70" s="11" t="str">
        <f t="shared" si="47"/>
        <v/>
      </c>
      <c r="BB70" s="10" t="str">
        <f t="shared" si="28"/>
        <v/>
      </c>
      <c r="BC70" s="71"/>
      <c r="BD70" s="10" t="str">
        <f t="shared" si="48"/>
        <v/>
      </c>
      <c r="BE70" s="10" t="str">
        <f t="shared" si="29"/>
        <v/>
      </c>
      <c r="BF70" s="71"/>
      <c r="BG70" s="11" t="str">
        <f t="shared" si="49"/>
        <v/>
      </c>
      <c r="BH70" s="10" t="str">
        <f t="shared" si="30"/>
        <v/>
      </c>
      <c r="BJ70" s="7" t="str">
        <f t="shared" si="31"/>
        <v/>
      </c>
      <c r="BK70" s="158" t="str">
        <f t="shared" si="32"/>
        <v/>
      </c>
      <c r="BL70" s="158" t="str">
        <f t="shared" si="14"/>
        <v/>
      </c>
      <c r="BM70" s="10"/>
      <c r="BN70" s="10" t="str">
        <f t="shared" si="33"/>
        <v/>
      </c>
      <c r="BO70" s="10" t="str">
        <f t="shared" si="34"/>
        <v/>
      </c>
      <c r="BQ70" s="10" t="str">
        <f t="shared" si="50"/>
        <v/>
      </c>
      <c r="BR70" s="10" t="str">
        <f t="shared" si="35"/>
        <v/>
      </c>
    </row>
    <row r="71" spans="2:70" x14ac:dyDescent="0.15">
      <c r="F71" s="485"/>
      <c r="I71" s="38">
        <f t="shared" si="36"/>
        <v>2086</v>
      </c>
      <c r="J71" s="39"/>
      <c r="K71" s="39">
        <f t="shared" si="37"/>
        <v>57</v>
      </c>
      <c r="L71" s="39"/>
      <c r="M71" s="40">
        <f t="shared" si="0"/>
        <v>0.18547193025437006</v>
      </c>
      <c r="N71" s="39"/>
      <c r="O71" s="72" t="str">
        <f t="shared" si="16"/>
        <v/>
      </c>
      <c r="P71" s="41" t="str">
        <f t="shared" si="38"/>
        <v/>
      </c>
      <c r="Q71" s="39"/>
      <c r="R71" s="72" t="str">
        <f t="shared" si="51"/>
        <v/>
      </c>
      <c r="S71" s="39"/>
      <c r="T71" s="72" t="str">
        <f t="shared" si="18"/>
        <v/>
      </c>
      <c r="U71" s="39"/>
      <c r="V71" s="72" t="str">
        <f t="shared" si="39"/>
        <v/>
      </c>
      <c r="W71" s="72" t="str">
        <f t="shared" si="19"/>
        <v/>
      </c>
      <c r="X71" s="39"/>
      <c r="Y71" s="72" t="str">
        <f t="shared" si="40"/>
        <v/>
      </c>
      <c r="Z71" s="72" t="str">
        <f t="shared" si="20"/>
        <v/>
      </c>
      <c r="AA71" s="39"/>
      <c r="AB71" s="72" t="str">
        <f t="shared" si="4"/>
        <v/>
      </c>
      <c r="AC71" s="72" t="str">
        <f t="shared" si="21"/>
        <v/>
      </c>
      <c r="AD71" s="39"/>
      <c r="AE71" s="72" t="str">
        <f t="shared" si="41"/>
        <v/>
      </c>
      <c r="AF71" s="72" t="str">
        <f t="shared" si="22"/>
        <v/>
      </c>
      <c r="AG71" s="39"/>
      <c r="AH71" s="72" t="str">
        <f t="shared" si="42"/>
        <v/>
      </c>
      <c r="AI71" s="72" t="str">
        <f t="shared" si="23"/>
        <v/>
      </c>
      <c r="AJ71" s="39"/>
      <c r="AK71" s="72" t="str">
        <f t="shared" si="43"/>
        <v/>
      </c>
      <c r="AL71" s="72" t="str">
        <f t="shared" si="24"/>
        <v/>
      </c>
      <c r="AM71" s="39"/>
      <c r="AN71" s="72" t="str">
        <f t="shared" si="44"/>
        <v/>
      </c>
      <c r="AO71" s="72" t="str">
        <f t="shared" si="25"/>
        <v/>
      </c>
      <c r="AP71" s="39"/>
      <c r="AQ71" s="72" t="str">
        <f t="shared" si="45"/>
        <v/>
      </c>
      <c r="AR71" s="72" t="str">
        <f t="shared" si="26"/>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46"/>
        <v/>
      </c>
      <c r="AW71" s="72" t="str">
        <f t="shared" si="27"/>
        <v/>
      </c>
      <c r="AX71" s="39"/>
      <c r="AY71" s="40" t="str">
        <f>IF(ISERROR(IF($K71&lt;=$F$15,VLOOKUP($I71,'表4）CO2価格'!$A$7:$E$67,VLOOKUP($F$48,'表4）CO2価格'!$H$10:$I$12,2,0),0)*$F$8/1000,"")),0,IF($K71&lt;=$F$15,VLOOKUP($I71,'表4）CO2価格'!$A$7:$E$67,VLOOKUP($F$48,'表4）CO2価格'!$H$10:$I$12,2,0),0)*$F$8/1000,""))</f>
        <v/>
      </c>
      <c r="AZ71" s="39"/>
      <c r="BA71" s="42" t="str">
        <f t="shared" si="47"/>
        <v/>
      </c>
      <c r="BB71" s="72" t="str">
        <f t="shared" si="28"/>
        <v/>
      </c>
      <c r="BC71" s="39"/>
      <c r="BD71" s="72" t="str">
        <f t="shared" si="48"/>
        <v/>
      </c>
      <c r="BE71" s="72" t="str">
        <f t="shared" si="29"/>
        <v/>
      </c>
      <c r="BF71" s="39"/>
      <c r="BG71" s="42" t="str">
        <f t="shared" si="49"/>
        <v/>
      </c>
      <c r="BH71" s="72" t="str">
        <f t="shared" si="30"/>
        <v/>
      </c>
      <c r="BI71" s="39"/>
      <c r="BJ71" s="40" t="str">
        <f t="shared" si="31"/>
        <v/>
      </c>
      <c r="BK71" s="157" t="str">
        <f t="shared" si="32"/>
        <v/>
      </c>
      <c r="BL71" s="157" t="str">
        <f t="shared" si="14"/>
        <v/>
      </c>
      <c r="BM71" s="72"/>
      <c r="BN71" s="72" t="str">
        <f t="shared" si="33"/>
        <v/>
      </c>
      <c r="BO71" s="72" t="str">
        <f t="shared" si="34"/>
        <v/>
      </c>
      <c r="BP71" s="39"/>
      <c r="BQ71" s="72" t="str">
        <f t="shared" si="50"/>
        <v/>
      </c>
      <c r="BR71" s="72" t="str">
        <f t="shared" si="35"/>
        <v/>
      </c>
    </row>
    <row r="72" spans="2:70" x14ac:dyDescent="0.15">
      <c r="C72" s="4" t="s">
        <v>136</v>
      </c>
      <c r="D72" s="100"/>
      <c r="E72" s="100"/>
      <c r="F72" s="486"/>
      <c r="G72" s="100"/>
      <c r="I72" s="457">
        <f t="shared" si="36"/>
        <v>2087</v>
      </c>
      <c r="J72" s="71"/>
      <c r="K72" s="71">
        <f t="shared" si="37"/>
        <v>58</v>
      </c>
      <c r="L72" s="71"/>
      <c r="M72" s="7">
        <f t="shared" si="0"/>
        <v>0.18006983519841754</v>
      </c>
      <c r="N72" s="71"/>
      <c r="O72" s="10" t="str">
        <f t="shared" si="16"/>
        <v/>
      </c>
      <c r="P72" s="29" t="str">
        <f t="shared" si="38"/>
        <v/>
      </c>
      <c r="Q72" s="71"/>
      <c r="R72" s="10" t="str">
        <f t="shared" si="51"/>
        <v/>
      </c>
      <c r="S72" s="71"/>
      <c r="T72" s="10" t="str">
        <f t="shared" si="18"/>
        <v/>
      </c>
      <c r="U72" s="71"/>
      <c r="V72" s="10" t="str">
        <f t="shared" si="39"/>
        <v/>
      </c>
      <c r="W72" s="10" t="str">
        <f t="shared" si="19"/>
        <v/>
      </c>
      <c r="X72" s="71"/>
      <c r="Y72" s="10" t="str">
        <f t="shared" si="40"/>
        <v/>
      </c>
      <c r="Z72" s="10" t="str">
        <f t="shared" si="20"/>
        <v/>
      </c>
      <c r="AA72" s="71"/>
      <c r="AB72" s="10" t="str">
        <f t="shared" si="4"/>
        <v/>
      </c>
      <c r="AC72" s="10" t="str">
        <f t="shared" si="21"/>
        <v/>
      </c>
      <c r="AD72" s="71"/>
      <c r="AE72" s="10" t="str">
        <f t="shared" si="41"/>
        <v/>
      </c>
      <c r="AF72" s="10" t="str">
        <f t="shared" si="22"/>
        <v/>
      </c>
      <c r="AG72" s="71"/>
      <c r="AH72" s="10" t="str">
        <f t="shared" si="42"/>
        <v/>
      </c>
      <c r="AI72" s="10" t="str">
        <f t="shared" si="23"/>
        <v/>
      </c>
      <c r="AJ72" s="71"/>
      <c r="AK72" s="10" t="str">
        <f t="shared" si="43"/>
        <v/>
      </c>
      <c r="AL72" s="10" t="str">
        <f t="shared" si="24"/>
        <v/>
      </c>
      <c r="AM72" s="71"/>
      <c r="AN72" s="10" t="str">
        <f t="shared" si="44"/>
        <v/>
      </c>
      <c r="AO72" s="10" t="str">
        <f t="shared" si="25"/>
        <v/>
      </c>
      <c r="AP72" s="71"/>
      <c r="AQ72" s="10" t="str">
        <f t="shared" si="45"/>
        <v/>
      </c>
      <c r="AR72" s="10" t="str">
        <f t="shared" si="26"/>
        <v/>
      </c>
      <c r="AS72" s="71"/>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U72" s="71"/>
      <c r="AV72" s="10" t="str">
        <f t="shared" si="46"/>
        <v/>
      </c>
      <c r="AW72" s="10" t="str">
        <f t="shared" si="27"/>
        <v/>
      </c>
      <c r="AX72" s="71"/>
      <c r="AY72" s="7" t="str">
        <f>IF(ISERROR(IF($K72&lt;=$F$15,VLOOKUP($I72,'表4）CO2価格'!$A$7:$E$67,VLOOKUP($F$48,'表4）CO2価格'!$H$10:$I$12,2,0),0)*$F$8/1000,"")),0,IF($K72&lt;=$F$15,VLOOKUP($I72,'表4）CO2価格'!$A$7:$E$67,VLOOKUP($F$48,'表4）CO2価格'!$H$10:$I$12,2,0),0)*$F$8/1000,""))</f>
        <v/>
      </c>
      <c r="AZ72" s="71"/>
      <c r="BA72" s="11" t="str">
        <f t="shared" si="47"/>
        <v/>
      </c>
      <c r="BB72" s="10" t="str">
        <f t="shared" si="28"/>
        <v/>
      </c>
      <c r="BC72" s="71"/>
      <c r="BD72" s="10" t="str">
        <f t="shared" si="48"/>
        <v/>
      </c>
      <c r="BE72" s="10" t="str">
        <f t="shared" si="29"/>
        <v/>
      </c>
      <c r="BF72" s="71"/>
      <c r="BG72" s="11" t="str">
        <f t="shared" si="49"/>
        <v/>
      </c>
      <c r="BH72" s="10" t="str">
        <f t="shared" si="30"/>
        <v/>
      </c>
      <c r="BJ72" s="7" t="str">
        <f t="shared" si="31"/>
        <v/>
      </c>
      <c r="BK72" s="158" t="str">
        <f t="shared" si="32"/>
        <v/>
      </c>
      <c r="BL72" s="158" t="str">
        <f t="shared" si="14"/>
        <v/>
      </c>
      <c r="BM72" s="10"/>
      <c r="BN72" s="10" t="str">
        <f t="shared" si="33"/>
        <v/>
      </c>
      <c r="BO72" s="10" t="str">
        <f t="shared" si="34"/>
        <v/>
      </c>
      <c r="BQ72" s="10" t="str">
        <f t="shared" si="50"/>
        <v/>
      </c>
      <c r="BR72" s="10" t="str">
        <f t="shared" si="35"/>
        <v/>
      </c>
    </row>
    <row r="73" spans="2:70" x14ac:dyDescent="0.15">
      <c r="F73" s="487"/>
      <c r="I73" s="38">
        <f t="shared" si="36"/>
        <v>2088</v>
      </c>
      <c r="J73" s="39"/>
      <c r="K73" s="39">
        <f t="shared" si="37"/>
        <v>59</v>
      </c>
      <c r="L73" s="39"/>
      <c r="M73" s="40">
        <f t="shared" si="0"/>
        <v>0.17482508271691022</v>
      </c>
      <c r="N73" s="39"/>
      <c r="O73" s="72" t="str">
        <f t="shared" si="16"/>
        <v/>
      </c>
      <c r="P73" s="41" t="str">
        <f t="shared" si="38"/>
        <v/>
      </c>
      <c r="Q73" s="39"/>
      <c r="R73" s="72" t="str">
        <f t="shared" si="51"/>
        <v/>
      </c>
      <c r="S73" s="39"/>
      <c r="T73" s="72" t="str">
        <f t="shared" si="18"/>
        <v/>
      </c>
      <c r="U73" s="39"/>
      <c r="V73" s="72" t="str">
        <f t="shared" si="39"/>
        <v/>
      </c>
      <c r="W73" s="72" t="str">
        <f t="shared" si="19"/>
        <v/>
      </c>
      <c r="X73" s="39"/>
      <c r="Y73" s="72" t="str">
        <f t="shared" si="40"/>
        <v/>
      </c>
      <c r="Z73" s="72" t="str">
        <f t="shared" si="20"/>
        <v/>
      </c>
      <c r="AA73" s="39"/>
      <c r="AB73" s="72" t="str">
        <f t="shared" si="4"/>
        <v/>
      </c>
      <c r="AC73" s="72" t="str">
        <f t="shared" si="21"/>
        <v/>
      </c>
      <c r="AD73" s="39"/>
      <c r="AE73" s="72" t="str">
        <f t="shared" si="41"/>
        <v/>
      </c>
      <c r="AF73" s="72" t="str">
        <f t="shared" si="22"/>
        <v/>
      </c>
      <c r="AG73" s="39"/>
      <c r="AH73" s="72" t="str">
        <f t="shared" si="42"/>
        <v/>
      </c>
      <c r="AI73" s="72" t="str">
        <f t="shared" si="23"/>
        <v/>
      </c>
      <c r="AJ73" s="39"/>
      <c r="AK73" s="72" t="str">
        <f t="shared" si="43"/>
        <v/>
      </c>
      <c r="AL73" s="72" t="str">
        <f t="shared" si="24"/>
        <v/>
      </c>
      <c r="AM73" s="39"/>
      <c r="AN73" s="72" t="str">
        <f t="shared" si="44"/>
        <v/>
      </c>
      <c r="AO73" s="72" t="str">
        <f t="shared" si="25"/>
        <v/>
      </c>
      <c r="AP73" s="39"/>
      <c r="AQ73" s="72" t="str">
        <f t="shared" si="45"/>
        <v/>
      </c>
      <c r="AR73" s="72" t="str">
        <f t="shared" si="26"/>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46"/>
        <v/>
      </c>
      <c r="AW73" s="72" t="str">
        <f t="shared" si="27"/>
        <v/>
      </c>
      <c r="AX73" s="39"/>
      <c r="AY73" s="40" t="str">
        <f>IF(ISERROR(IF($K73&lt;=$F$15,VLOOKUP($I73,'表4）CO2価格'!$A$7:$E$67,VLOOKUP($F$48,'表4）CO2価格'!$H$10:$I$12,2,0),0)*$F$8/1000,"")),0,IF($K73&lt;=$F$15,VLOOKUP($I73,'表4）CO2価格'!$A$7:$E$67,VLOOKUP($F$48,'表4）CO2価格'!$H$10:$I$12,2,0),0)*$F$8/1000,""))</f>
        <v/>
      </c>
      <c r="AZ73" s="39"/>
      <c r="BA73" s="42" t="str">
        <f t="shared" si="47"/>
        <v/>
      </c>
      <c r="BB73" s="72" t="str">
        <f t="shared" si="28"/>
        <v/>
      </c>
      <c r="BC73" s="39"/>
      <c r="BD73" s="72" t="str">
        <f t="shared" si="48"/>
        <v/>
      </c>
      <c r="BE73" s="72" t="str">
        <f t="shared" si="29"/>
        <v/>
      </c>
      <c r="BF73" s="39"/>
      <c r="BG73" s="42" t="str">
        <f t="shared" si="49"/>
        <v/>
      </c>
      <c r="BH73" s="72" t="str">
        <f t="shared" si="30"/>
        <v/>
      </c>
      <c r="BI73" s="39"/>
      <c r="BJ73" s="40" t="str">
        <f t="shared" si="31"/>
        <v/>
      </c>
      <c r="BK73" s="157" t="str">
        <f t="shared" si="32"/>
        <v/>
      </c>
      <c r="BL73" s="157" t="str">
        <f t="shared" si="14"/>
        <v/>
      </c>
      <c r="BM73" s="72"/>
      <c r="BN73" s="72" t="str">
        <f t="shared" si="33"/>
        <v/>
      </c>
      <c r="BO73" s="72" t="str">
        <f t="shared" si="34"/>
        <v/>
      </c>
      <c r="BP73" s="39"/>
      <c r="BQ73" s="72" t="str">
        <f t="shared" si="50"/>
        <v/>
      </c>
      <c r="BR73" s="72" t="str">
        <f t="shared" si="35"/>
        <v/>
      </c>
    </row>
    <row r="74" spans="2:70" ht="15" x14ac:dyDescent="0.15">
      <c r="D74" s="103" t="s">
        <v>591</v>
      </c>
      <c r="F74" s="484">
        <f>SUBTOTAL(9,F78:F81)</f>
        <v>11.87222733296626</v>
      </c>
      <c r="G74" s="84" t="s">
        <v>590</v>
      </c>
      <c r="I74" s="457">
        <f t="shared" si="36"/>
        <v>2089</v>
      </c>
      <c r="J74" s="71"/>
      <c r="K74" s="71">
        <f t="shared" si="37"/>
        <v>60</v>
      </c>
      <c r="L74" s="71"/>
      <c r="M74" s="7">
        <f t="shared" si="0"/>
        <v>0.1697330900164177</v>
      </c>
      <c r="N74" s="71"/>
      <c r="O74" s="10" t="str">
        <f t="shared" si="16"/>
        <v/>
      </c>
      <c r="P74" s="29" t="str">
        <f t="shared" si="38"/>
        <v/>
      </c>
      <c r="Q74" s="71"/>
      <c r="R74" s="10" t="str">
        <f t="shared" si="51"/>
        <v/>
      </c>
      <c r="S74" s="71"/>
      <c r="T74" s="10" t="str">
        <f t="shared" si="18"/>
        <v/>
      </c>
      <c r="U74" s="71"/>
      <c r="V74" s="10" t="str">
        <f t="shared" si="39"/>
        <v/>
      </c>
      <c r="W74" s="10" t="str">
        <f t="shared" si="19"/>
        <v/>
      </c>
      <c r="X74" s="71"/>
      <c r="Y74" s="10" t="str">
        <f t="shared" si="40"/>
        <v/>
      </c>
      <c r="Z74" s="10" t="str">
        <f t="shared" si="20"/>
        <v/>
      </c>
      <c r="AA74" s="71"/>
      <c r="AB74" s="10" t="str">
        <f t="shared" si="4"/>
        <v/>
      </c>
      <c r="AC74" s="10" t="str">
        <f t="shared" si="21"/>
        <v/>
      </c>
      <c r="AD74" s="71"/>
      <c r="AE74" s="10" t="str">
        <f t="shared" si="41"/>
        <v/>
      </c>
      <c r="AF74" s="10" t="str">
        <f t="shared" si="22"/>
        <v/>
      </c>
      <c r="AG74" s="71"/>
      <c r="AH74" s="10" t="str">
        <f t="shared" si="42"/>
        <v/>
      </c>
      <c r="AI74" s="10" t="str">
        <f t="shared" si="23"/>
        <v/>
      </c>
      <c r="AJ74" s="71"/>
      <c r="AK74" s="10" t="str">
        <f t="shared" si="43"/>
        <v/>
      </c>
      <c r="AL74" s="10" t="str">
        <f t="shared" si="24"/>
        <v/>
      </c>
      <c r="AM74" s="71"/>
      <c r="AN74" s="10" t="str">
        <f t="shared" si="44"/>
        <v/>
      </c>
      <c r="AO74" s="10" t="str">
        <f t="shared" si="25"/>
        <v/>
      </c>
      <c r="AP74" s="71"/>
      <c r="AQ74" s="10" t="str">
        <f t="shared" si="45"/>
        <v/>
      </c>
      <c r="AR74" s="10" t="str">
        <f t="shared" si="26"/>
        <v/>
      </c>
      <c r="AS74" s="71"/>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U74" s="71"/>
      <c r="AV74" s="10" t="str">
        <f t="shared" si="46"/>
        <v/>
      </c>
      <c r="AW74" s="10" t="str">
        <f t="shared" si="27"/>
        <v/>
      </c>
      <c r="AX74" s="71"/>
      <c r="AY74" s="7" t="str">
        <f>IF(ISERROR(IF($K74&lt;=$F$15,VLOOKUP($I74,'表4）CO2価格'!$A$7:$E$67,VLOOKUP($F$48,'表4）CO2価格'!$H$10:$I$12,2,0),0)*$F$8/1000,"")),0,IF($K74&lt;=$F$15,VLOOKUP($I74,'表4）CO2価格'!$A$7:$E$67,VLOOKUP($F$48,'表4）CO2価格'!$H$10:$I$12,2,0),0)*$F$8/1000,""))</f>
        <v/>
      </c>
      <c r="AZ74" s="71"/>
      <c r="BA74" s="11" t="str">
        <f t="shared" si="47"/>
        <v/>
      </c>
      <c r="BB74" s="10" t="str">
        <f t="shared" si="28"/>
        <v/>
      </c>
      <c r="BC74" s="71"/>
      <c r="BD74" s="10" t="str">
        <f t="shared" si="48"/>
        <v/>
      </c>
      <c r="BE74" s="10" t="str">
        <f t="shared" si="29"/>
        <v/>
      </c>
      <c r="BF74" s="71"/>
      <c r="BG74" s="11" t="str">
        <f t="shared" si="49"/>
        <v/>
      </c>
      <c r="BH74" s="10" t="str">
        <f t="shared" si="30"/>
        <v/>
      </c>
      <c r="BJ74" s="7" t="str">
        <f t="shared" si="31"/>
        <v/>
      </c>
      <c r="BK74" s="158" t="str">
        <f t="shared" si="32"/>
        <v/>
      </c>
      <c r="BL74" s="158" t="str">
        <f t="shared" si="14"/>
        <v/>
      </c>
      <c r="BM74" s="10"/>
      <c r="BN74" s="10" t="str">
        <f t="shared" si="33"/>
        <v/>
      </c>
      <c r="BO74" s="10" t="str">
        <f t="shared" si="34"/>
        <v/>
      </c>
      <c r="BQ74" s="10" t="str">
        <f t="shared" si="50"/>
        <v/>
      </c>
      <c r="BR74" s="10" t="str">
        <f t="shared" si="35"/>
        <v/>
      </c>
    </row>
    <row r="75" spans="2:70" x14ac:dyDescent="0.15">
      <c r="F75" s="487"/>
      <c r="I75" s="38">
        <f t="shared" si="36"/>
        <v>2090</v>
      </c>
      <c r="J75" s="39"/>
      <c r="K75" s="39">
        <f t="shared" si="37"/>
        <v>61</v>
      </c>
      <c r="L75" s="39"/>
      <c r="M75" s="40">
        <f t="shared" si="0"/>
        <v>0.16478940778292983</v>
      </c>
      <c r="N75" s="39"/>
      <c r="O75" s="72" t="str">
        <f t="shared" si="16"/>
        <v/>
      </c>
      <c r="P75" s="41" t="str">
        <f t="shared" si="38"/>
        <v/>
      </c>
      <c r="Q75" s="39"/>
      <c r="R75" s="72" t="str">
        <f t="shared" si="51"/>
        <v/>
      </c>
      <c r="S75" s="39"/>
      <c r="T75" s="72" t="str">
        <f t="shared" si="18"/>
        <v/>
      </c>
      <c r="U75" s="39"/>
      <c r="V75" s="72" t="str">
        <f t="shared" si="39"/>
        <v/>
      </c>
      <c r="W75" s="72" t="str">
        <f t="shared" si="19"/>
        <v/>
      </c>
      <c r="X75" s="39"/>
      <c r="Y75" s="72" t="str">
        <f t="shared" si="40"/>
        <v/>
      </c>
      <c r="Z75" s="72" t="str">
        <f t="shared" si="20"/>
        <v/>
      </c>
      <c r="AA75" s="39"/>
      <c r="AB75" s="72" t="str">
        <f t="shared" si="4"/>
        <v/>
      </c>
      <c r="AC75" s="72" t="str">
        <f t="shared" si="21"/>
        <v/>
      </c>
      <c r="AD75" s="39"/>
      <c r="AE75" s="72" t="str">
        <f t="shared" si="41"/>
        <v/>
      </c>
      <c r="AF75" s="72" t="str">
        <f t="shared" si="22"/>
        <v/>
      </c>
      <c r="AG75" s="39"/>
      <c r="AH75" s="72" t="str">
        <f t="shared" si="42"/>
        <v/>
      </c>
      <c r="AI75" s="72" t="str">
        <f t="shared" si="23"/>
        <v/>
      </c>
      <c r="AJ75" s="39"/>
      <c r="AK75" s="72" t="str">
        <f t="shared" si="43"/>
        <v/>
      </c>
      <c r="AL75" s="72" t="str">
        <f t="shared" si="24"/>
        <v/>
      </c>
      <c r="AM75" s="39"/>
      <c r="AN75" s="72" t="str">
        <f t="shared" si="44"/>
        <v/>
      </c>
      <c r="AO75" s="72" t="str">
        <f t="shared" si="25"/>
        <v/>
      </c>
      <c r="AP75" s="39"/>
      <c r="AQ75" s="72" t="str">
        <f t="shared" si="45"/>
        <v/>
      </c>
      <c r="AR75" s="72" t="str">
        <f t="shared" si="26"/>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46"/>
        <v/>
      </c>
      <c r="AW75" s="72" t="str">
        <f t="shared" si="27"/>
        <v/>
      </c>
      <c r="AX75" s="39"/>
      <c r="AY75" s="40" t="str">
        <f>IF(ISERROR(IF($K75&lt;=$F$15,VLOOKUP($I75,'表4）CO2価格'!$A$7:$E$67,VLOOKUP($F$48,'表4）CO2価格'!$H$10:$I$12,2,0),0)*$F$8/1000,"")),0,IF($K75&lt;=$F$15,VLOOKUP($I75,'表4）CO2価格'!$A$7:$E$67,VLOOKUP($F$48,'表4）CO2価格'!$H$10:$I$12,2,0),0)*$F$8/1000,""))</f>
        <v/>
      </c>
      <c r="AZ75" s="39"/>
      <c r="BA75" s="42" t="str">
        <f t="shared" si="47"/>
        <v/>
      </c>
      <c r="BB75" s="72" t="str">
        <f t="shared" si="28"/>
        <v/>
      </c>
      <c r="BC75" s="39"/>
      <c r="BD75" s="72" t="str">
        <f t="shared" si="48"/>
        <v/>
      </c>
      <c r="BE75" s="72" t="str">
        <f t="shared" si="29"/>
        <v/>
      </c>
      <c r="BF75" s="39"/>
      <c r="BG75" s="42" t="str">
        <f t="shared" si="49"/>
        <v/>
      </c>
      <c r="BH75" s="72" t="str">
        <f t="shared" si="30"/>
        <v/>
      </c>
      <c r="BI75" s="39"/>
      <c r="BJ75" s="40" t="str">
        <f t="shared" si="31"/>
        <v/>
      </c>
      <c r="BK75" s="157" t="str">
        <f t="shared" si="32"/>
        <v/>
      </c>
      <c r="BL75" s="157" t="str">
        <f t="shared" si="14"/>
        <v/>
      </c>
      <c r="BM75" s="72"/>
      <c r="BN75" s="72" t="str">
        <f t="shared" si="33"/>
        <v/>
      </c>
      <c r="BO75" s="72" t="str">
        <f t="shared" si="34"/>
        <v/>
      </c>
      <c r="BP75" s="39"/>
      <c r="BQ75" s="72" t="str">
        <f t="shared" si="50"/>
        <v/>
      </c>
      <c r="BR75" s="72" t="str">
        <f t="shared" si="35"/>
        <v/>
      </c>
    </row>
    <row r="76" spans="2:70" x14ac:dyDescent="0.15">
      <c r="D76" s="100" t="s">
        <v>592</v>
      </c>
      <c r="E76" s="100"/>
      <c r="F76" s="486"/>
      <c r="G76" s="100"/>
      <c r="I76" s="457">
        <f t="shared" si="36"/>
        <v>2091</v>
      </c>
      <c r="J76" s="71"/>
      <c r="K76" s="71">
        <f t="shared" si="37"/>
        <v>62</v>
      </c>
      <c r="L76" s="71"/>
      <c r="M76" s="7">
        <f t="shared" si="0"/>
        <v>0.15998971629410663</v>
      </c>
      <c r="N76" s="71"/>
      <c r="O76" s="10" t="str">
        <f t="shared" si="16"/>
        <v/>
      </c>
      <c r="P76" s="29" t="str">
        <f t="shared" si="38"/>
        <v/>
      </c>
      <c r="Q76" s="71"/>
      <c r="R76" s="10" t="str">
        <f t="shared" si="51"/>
        <v/>
      </c>
      <c r="S76" s="71"/>
      <c r="T76" s="10" t="str">
        <f t="shared" si="18"/>
        <v/>
      </c>
      <c r="U76" s="71"/>
      <c r="V76" s="10" t="str">
        <f t="shared" si="39"/>
        <v/>
      </c>
      <c r="W76" s="10" t="str">
        <f t="shared" si="19"/>
        <v/>
      </c>
      <c r="X76" s="71"/>
      <c r="Y76" s="10" t="str">
        <f t="shared" si="40"/>
        <v/>
      </c>
      <c r="Z76" s="10" t="str">
        <f t="shared" si="20"/>
        <v/>
      </c>
      <c r="AA76" s="71"/>
      <c r="AB76" s="10" t="str">
        <f t="shared" si="4"/>
        <v/>
      </c>
      <c r="AC76" s="10" t="str">
        <f t="shared" si="21"/>
        <v/>
      </c>
      <c r="AD76" s="71"/>
      <c r="AE76" s="10" t="str">
        <f t="shared" si="41"/>
        <v/>
      </c>
      <c r="AF76" s="10" t="str">
        <f t="shared" si="22"/>
        <v/>
      </c>
      <c r="AG76" s="71"/>
      <c r="AH76" s="10" t="str">
        <f t="shared" si="42"/>
        <v/>
      </c>
      <c r="AI76" s="10" t="str">
        <f t="shared" si="23"/>
        <v/>
      </c>
      <c r="AJ76" s="71"/>
      <c r="AK76" s="10" t="str">
        <f t="shared" si="43"/>
        <v/>
      </c>
      <c r="AL76" s="10" t="str">
        <f t="shared" si="24"/>
        <v/>
      </c>
      <c r="AM76" s="71"/>
      <c r="AN76" s="10" t="str">
        <f t="shared" si="44"/>
        <v/>
      </c>
      <c r="AO76" s="10" t="str">
        <f t="shared" si="25"/>
        <v/>
      </c>
      <c r="AP76" s="71"/>
      <c r="AQ76" s="10" t="str">
        <f t="shared" si="45"/>
        <v/>
      </c>
      <c r="AR76" s="10" t="str">
        <f t="shared" si="26"/>
        <v/>
      </c>
      <c r="AS76" s="71"/>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U76" s="71"/>
      <c r="AV76" s="10" t="str">
        <f t="shared" si="46"/>
        <v/>
      </c>
      <c r="AW76" s="10" t="str">
        <f t="shared" si="27"/>
        <v/>
      </c>
      <c r="AX76" s="71"/>
      <c r="AY76" s="7" t="str">
        <f>IF(ISERROR(IF($K76&lt;=$F$15,VLOOKUP($I76,'表4）CO2価格'!$A$7:$E$67,VLOOKUP($F$48,'表4）CO2価格'!$H$10:$I$12,2,0),0)*$F$8/1000,"")),0,IF($K76&lt;=$F$15,VLOOKUP($I76,'表4）CO2価格'!$A$7:$E$67,VLOOKUP($F$48,'表4）CO2価格'!$H$10:$I$12,2,0),0)*$F$8/1000,""))</f>
        <v/>
      </c>
      <c r="AZ76" s="71"/>
      <c r="BA76" s="11" t="str">
        <f t="shared" si="47"/>
        <v/>
      </c>
      <c r="BB76" s="10" t="str">
        <f t="shared" si="28"/>
        <v/>
      </c>
      <c r="BC76" s="71"/>
      <c r="BD76" s="10" t="str">
        <f t="shared" si="48"/>
        <v/>
      </c>
      <c r="BE76" s="10" t="str">
        <f t="shared" si="29"/>
        <v/>
      </c>
      <c r="BF76" s="71"/>
      <c r="BG76" s="11" t="str">
        <f t="shared" si="49"/>
        <v/>
      </c>
      <c r="BH76" s="10" t="str">
        <f t="shared" si="30"/>
        <v/>
      </c>
      <c r="BJ76" s="7" t="str">
        <f t="shared" si="31"/>
        <v/>
      </c>
      <c r="BK76" s="158" t="str">
        <f t="shared" si="32"/>
        <v/>
      </c>
      <c r="BL76" s="158" t="str">
        <f t="shared" si="14"/>
        <v/>
      </c>
      <c r="BM76" s="10"/>
      <c r="BN76" s="10" t="str">
        <f t="shared" si="33"/>
        <v/>
      </c>
      <c r="BO76" s="10" t="str">
        <f t="shared" si="34"/>
        <v/>
      </c>
      <c r="BQ76" s="10" t="str">
        <f t="shared" si="50"/>
        <v/>
      </c>
      <c r="BR76" s="10" t="str">
        <f t="shared" si="35"/>
        <v/>
      </c>
    </row>
    <row r="77" spans="2:70" x14ac:dyDescent="0.15">
      <c r="F77" s="487"/>
      <c r="I77" s="38">
        <f t="shared" si="36"/>
        <v>2092</v>
      </c>
      <c r="J77" s="39"/>
      <c r="K77" s="39">
        <f t="shared" si="37"/>
        <v>63</v>
      </c>
      <c r="L77" s="39"/>
      <c r="M77" s="40">
        <f t="shared" si="0"/>
        <v>0.15532982164476369</v>
      </c>
      <c r="N77" s="39"/>
      <c r="O77" s="72" t="str">
        <f t="shared" si="16"/>
        <v/>
      </c>
      <c r="P77" s="41" t="str">
        <f t="shared" si="38"/>
        <v/>
      </c>
      <c r="Q77" s="39"/>
      <c r="R77" s="72" t="str">
        <f t="shared" si="51"/>
        <v/>
      </c>
      <c r="S77" s="39"/>
      <c r="T77" s="72" t="str">
        <f t="shared" si="18"/>
        <v/>
      </c>
      <c r="U77" s="39"/>
      <c r="V77" s="72" t="str">
        <f t="shared" si="39"/>
        <v/>
      </c>
      <c r="W77" s="72" t="str">
        <f t="shared" si="19"/>
        <v/>
      </c>
      <c r="X77" s="39"/>
      <c r="Y77" s="72" t="str">
        <f t="shared" si="40"/>
        <v/>
      </c>
      <c r="Z77" s="72" t="str">
        <f t="shared" si="20"/>
        <v/>
      </c>
      <c r="AA77" s="39"/>
      <c r="AB77" s="72" t="str">
        <f t="shared" si="4"/>
        <v/>
      </c>
      <c r="AC77" s="72" t="str">
        <f t="shared" si="21"/>
        <v/>
      </c>
      <c r="AD77" s="39"/>
      <c r="AE77" s="72" t="str">
        <f t="shared" si="41"/>
        <v/>
      </c>
      <c r="AF77" s="72" t="str">
        <f t="shared" si="22"/>
        <v/>
      </c>
      <c r="AG77" s="39"/>
      <c r="AH77" s="72" t="str">
        <f t="shared" si="42"/>
        <v/>
      </c>
      <c r="AI77" s="72" t="str">
        <f t="shared" si="23"/>
        <v/>
      </c>
      <c r="AJ77" s="39"/>
      <c r="AK77" s="72" t="str">
        <f t="shared" si="43"/>
        <v/>
      </c>
      <c r="AL77" s="72" t="str">
        <f t="shared" si="24"/>
        <v/>
      </c>
      <c r="AM77" s="39"/>
      <c r="AN77" s="72" t="str">
        <f t="shared" si="44"/>
        <v/>
      </c>
      <c r="AO77" s="72" t="str">
        <f t="shared" si="25"/>
        <v/>
      </c>
      <c r="AP77" s="39"/>
      <c r="AQ77" s="72" t="str">
        <f t="shared" si="45"/>
        <v/>
      </c>
      <c r="AR77" s="72" t="str">
        <f t="shared" si="26"/>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46"/>
        <v/>
      </c>
      <c r="AW77" s="72" t="str">
        <f t="shared" si="27"/>
        <v/>
      </c>
      <c r="AX77" s="39"/>
      <c r="AY77" s="40" t="str">
        <f>IF(ISERROR(IF($K77&lt;=$F$15,VLOOKUP($I77,'表4）CO2価格'!$A$7:$E$67,VLOOKUP($F$48,'表4）CO2価格'!$H$10:$I$12,2,0),0)*$F$8/1000,"")),0,IF($K77&lt;=$F$15,VLOOKUP($I77,'表4）CO2価格'!$A$7:$E$67,VLOOKUP($F$48,'表4）CO2価格'!$H$10:$I$12,2,0),0)*$F$8/1000,""))</f>
        <v/>
      </c>
      <c r="AZ77" s="39"/>
      <c r="BA77" s="42" t="str">
        <f t="shared" si="47"/>
        <v/>
      </c>
      <c r="BB77" s="72" t="str">
        <f t="shared" si="28"/>
        <v/>
      </c>
      <c r="BC77" s="39"/>
      <c r="BD77" s="72" t="str">
        <f t="shared" si="48"/>
        <v/>
      </c>
      <c r="BE77" s="72" t="str">
        <f t="shared" si="29"/>
        <v/>
      </c>
      <c r="BF77" s="39"/>
      <c r="BG77" s="42" t="str">
        <f t="shared" si="49"/>
        <v/>
      </c>
      <c r="BH77" s="72" t="str">
        <f t="shared" si="30"/>
        <v/>
      </c>
      <c r="BI77" s="39"/>
      <c r="BJ77" s="40" t="str">
        <f t="shared" si="31"/>
        <v/>
      </c>
      <c r="BK77" s="157" t="str">
        <f t="shared" si="32"/>
        <v/>
      </c>
      <c r="BL77" s="157" t="str">
        <f t="shared" si="14"/>
        <v/>
      </c>
      <c r="BM77" s="72"/>
      <c r="BN77" s="72" t="str">
        <f t="shared" si="33"/>
        <v/>
      </c>
      <c r="BO77" s="72" t="str">
        <f t="shared" si="34"/>
        <v/>
      </c>
      <c r="BP77" s="39"/>
      <c r="BQ77" s="72" t="str">
        <f t="shared" si="50"/>
        <v/>
      </c>
      <c r="BR77" s="72" t="str">
        <f t="shared" si="35"/>
        <v/>
      </c>
    </row>
    <row r="78" spans="2:70" x14ac:dyDescent="0.15">
      <c r="E78" s="70" t="s">
        <v>138</v>
      </c>
      <c r="F78" s="488">
        <f>R15/$BR$116</f>
        <v>10.011254131882939</v>
      </c>
      <c r="G78" s="84" t="s">
        <v>590</v>
      </c>
      <c r="I78" s="457">
        <f t="shared" si="36"/>
        <v>2093</v>
      </c>
      <c r="J78" s="71"/>
      <c r="K78" s="71">
        <f t="shared" si="37"/>
        <v>64</v>
      </c>
      <c r="L78" s="71"/>
      <c r="M78" s="7">
        <f t="shared" si="0"/>
        <v>0.15080565208229488</v>
      </c>
      <c r="N78" s="71"/>
      <c r="O78" s="10" t="str">
        <f t="shared" si="16"/>
        <v/>
      </c>
      <c r="P78" s="29" t="str">
        <f t="shared" si="38"/>
        <v/>
      </c>
      <c r="Q78" s="71"/>
      <c r="R78" s="10" t="str">
        <f t="shared" si="51"/>
        <v/>
      </c>
      <c r="S78" s="71"/>
      <c r="T78" s="10" t="str">
        <f t="shared" si="18"/>
        <v/>
      </c>
      <c r="U78" s="71"/>
      <c r="V78" s="10" t="str">
        <f t="shared" si="39"/>
        <v/>
      </c>
      <c r="W78" s="10" t="str">
        <f t="shared" si="19"/>
        <v/>
      </c>
      <c r="X78" s="71"/>
      <c r="Y78" s="10" t="str">
        <f t="shared" si="40"/>
        <v/>
      </c>
      <c r="Z78" s="10" t="str">
        <f t="shared" si="20"/>
        <v/>
      </c>
      <c r="AA78" s="71"/>
      <c r="AB78" s="10" t="str">
        <f t="shared" si="4"/>
        <v/>
      </c>
      <c r="AC78" s="10" t="str">
        <f t="shared" si="21"/>
        <v/>
      </c>
      <c r="AD78" s="71"/>
      <c r="AE78" s="10" t="str">
        <f t="shared" si="41"/>
        <v/>
      </c>
      <c r="AF78" s="10" t="str">
        <f t="shared" si="22"/>
        <v/>
      </c>
      <c r="AG78" s="71"/>
      <c r="AH78" s="10" t="str">
        <f t="shared" si="42"/>
        <v/>
      </c>
      <c r="AI78" s="10" t="str">
        <f t="shared" si="23"/>
        <v/>
      </c>
      <c r="AJ78" s="71"/>
      <c r="AK78" s="10" t="str">
        <f t="shared" si="43"/>
        <v/>
      </c>
      <c r="AL78" s="10" t="str">
        <f t="shared" si="24"/>
        <v/>
      </c>
      <c r="AM78" s="71"/>
      <c r="AN78" s="10" t="str">
        <f t="shared" si="44"/>
        <v/>
      </c>
      <c r="AO78" s="10" t="str">
        <f t="shared" si="25"/>
        <v/>
      </c>
      <c r="AP78" s="71"/>
      <c r="AQ78" s="10" t="str">
        <f t="shared" si="45"/>
        <v/>
      </c>
      <c r="AR78" s="10" t="str">
        <f t="shared" si="26"/>
        <v/>
      </c>
      <c r="AS78" s="71"/>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U78" s="71"/>
      <c r="AV78" s="10" t="str">
        <f t="shared" si="46"/>
        <v/>
      </c>
      <c r="AW78" s="10" t="str">
        <f t="shared" si="27"/>
        <v/>
      </c>
      <c r="AX78" s="71"/>
      <c r="AY78" s="7" t="str">
        <f>IF(ISERROR(IF($K78&lt;=$F$15,VLOOKUP($I78,'表4）CO2価格'!$A$7:$E$67,VLOOKUP($F$48,'表4）CO2価格'!$H$10:$I$12,2,0),0)*$F$8/1000,"")),0,IF($K78&lt;=$F$15,VLOOKUP($I78,'表4）CO2価格'!$A$7:$E$67,VLOOKUP($F$48,'表4）CO2価格'!$H$10:$I$12,2,0),0)*$F$8/1000,""))</f>
        <v/>
      </c>
      <c r="AZ78" s="71"/>
      <c r="BA78" s="11" t="str">
        <f t="shared" si="47"/>
        <v/>
      </c>
      <c r="BB78" s="10" t="str">
        <f t="shared" si="28"/>
        <v/>
      </c>
      <c r="BC78" s="71"/>
      <c r="BD78" s="10" t="str">
        <f t="shared" si="48"/>
        <v/>
      </c>
      <c r="BE78" s="10" t="str">
        <f t="shared" si="29"/>
        <v/>
      </c>
      <c r="BF78" s="71"/>
      <c r="BG78" s="11" t="str">
        <f t="shared" si="49"/>
        <v/>
      </c>
      <c r="BH78" s="10" t="str">
        <f t="shared" si="30"/>
        <v/>
      </c>
      <c r="BJ78" s="7" t="str">
        <f t="shared" si="31"/>
        <v/>
      </c>
      <c r="BK78" s="158" t="str">
        <f t="shared" si="32"/>
        <v/>
      </c>
      <c r="BL78" s="158" t="str">
        <f t="shared" si="14"/>
        <v/>
      </c>
      <c r="BM78" s="10"/>
      <c r="BN78" s="10" t="str">
        <f t="shared" si="33"/>
        <v/>
      </c>
      <c r="BO78" s="10" t="str">
        <f t="shared" si="34"/>
        <v/>
      </c>
      <c r="BQ78" s="10" t="str">
        <f t="shared" si="50"/>
        <v/>
      </c>
      <c r="BR78" s="10" t="str">
        <f t="shared" si="35"/>
        <v/>
      </c>
    </row>
    <row r="79" spans="2:70" x14ac:dyDescent="0.15">
      <c r="E79" s="84" t="s">
        <v>139</v>
      </c>
      <c r="F79" s="488">
        <f>Z116/$BR$116</f>
        <v>0.88126563522116441</v>
      </c>
      <c r="G79" s="84" t="s">
        <v>590</v>
      </c>
      <c r="I79" s="38">
        <f t="shared" si="36"/>
        <v>2094</v>
      </c>
      <c r="J79" s="39"/>
      <c r="K79" s="39">
        <f t="shared" si="37"/>
        <v>65</v>
      </c>
      <c r="L79" s="39"/>
      <c r="M79" s="40">
        <f t="shared" ref="M79:M114" si="52">1/(1+($F$9/100))^K79</f>
        <v>0.14641325444882999</v>
      </c>
      <c r="N79" s="39"/>
      <c r="O79" s="72" t="str">
        <f t="shared" si="16"/>
        <v/>
      </c>
      <c r="P79" s="41" t="str">
        <f t="shared" ref="P79:P110" si="53">IF(K79&lt;=$F$15,IF(OR(P78=$F$124,P78="-"),"-",IF(O79*$F$123&gt;$F$127,$F$123,$F$124)),"")</f>
        <v/>
      </c>
      <c r="Q79" s="39"/>
      <c r="R79" s="72" t="str">
        <f t="shared" si="51"/>
        <v/>
      </c>
      <c r="S79" s="39"/>
      <c r="T79" s="72" t="str">
        <f t="shared" si="18"/>
        <v/>
      </c>
      <c r="U79" s="39"/>
      <c r="V79" s="72" t="str">
        <f t="shared" ref="V79:V114" si="54">IF(K79&lt;=$F$15,IF(K79&lt;$F$119,IF(P79="-",V78,O79*P79),IF(K79=$F$119,MIN(IF(P79="-",V78,O79*P79),O79),0)),"")</f>
        <v/>
      </c>
      <c r="W79" s="72" t="str">
        <f t="shared" si="19"/>
        <v/>
      </c>
      <c r="X79" s="39"/>
      <c r="Y79" s="72" t="str">
        <f t="shared" ref="Y79:Y114" si="55">IF($K79&lt;=$F$15,ROUNDDOWN(T79*$F$25/100,-2),"")</f>
        <v/>
      </c>
      <c r="Z79" s="72" t="str">
        <f t="shared" si="20"/>
        <v/>
      </c>
      <c r="AA79" s="39"/>
      <c r="AB79" s="72" t="str">
        <f t="shared" ref="AB79:AB114" si="56">IF($K79&lt;=$F$15,0,IF(AND($K79&gt;$F$15,$K79&lt;=$F$15+$F$28),$F$27*10^8/$F$28,""))</f>
        <v/>
      </c>
      <c r="AC79" s="72" t="str">
        <f t="shared" si="21"/>
        <v/>
      </c>
      <c r="AD79" s="39"/>
      <c r="AE79" s="72" t="str">
        <f t="shared" ref="AE79:AE114" si="57">IF($K79&lt;=$F$15,$F$26,"")</f>
        <v/>
      </c>
      <c r="AF79" s="72" t="str">
        <f t="shared" si="22"/>
        <v/>
      </c>
      <c r="AG79" s="39"/>
      <c r="AH79" s="72" t="str">
        <f t="shared" ref="AH79:AH114" si="58">IF($K79&lt;=$F$15,$F$33*10^4*$F$13*10^4,"")</f>
        <v/>
      </c>
      <c r="AI79" s="72" t="str">
        <f t="shared" si="23"/>
        <v/>
      </c>
      <c r="AJ79" s="39"/>
      <c r="AK79" s="72" t="str">
        <f t="shared" ref="AK79:AK114" si="59">IF($K79&lt;=$F$15,$F$117*$F$34/100,"")</f>
        <v/>
      </c>
      <c r="AL79" s="72" t="str">
        <f t="shared" si="24"/>
        <v/>
      </c>
      <c r="AM79" s="39"/>
      <c r="AN79" s="72" t="str">
        <f t="shared" ref="AN79:AN114" si="60">IF($K79&lt;=$F$15,$F$117*$F$35/100,"")</f>
        <v/>
      </c>
      <c r="AO79" s="72" t="str">
        <f t="shared" si="25"/>
        <v/>
      </c>
      <c r="AP79" s="39"/>
      <c r="AQ79" s="72" t="str">
        <f t="shared" ref="AQ79:AQ114" si="61">IF($K79&lt;=$F$15,SUM(AH79,AK79,AN79)*($F$36/100),"")</f>
        <v/>
      </c>
      <c r="AR79" s="72" t="str">
        <f t="shared" si="26"/>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62">IF($K79&lt;=$F$15,($AT79+$F$142)*$F$137,"")</f>
        <v/>
      </c>
      <c r="AW79" s="72" t="str">
        <f t="shared" si="27"/>
        <v/>
      </c>
      <c r="AX79" s="39"/>
      <c r="AY79" s="40" t="str">
        <f>IF(ISERROR(IF($K79&lt;=$F$15,VLOOKUP($I79,'表4）CO2価格'!$A$7:$E$67,VLOOKUP($F$48,'表4）CO2価格'!$H$10:$I$12,2,0),0)*$F$8/1000,"")),0,IF($K79&lt;=$F$15,VLOOKUP($I79,'表4）CO2価格'!$A$7:$E$67,VLOOKUP($F$48,'表4）CO2価格'!$H$10:$I$12,2,0),0)*$F$8/1000,""))</f>
        <v/>
      </c>
      <c r="AZ79" s="39"/>
      <c r="BA79" s="42" t="str">
        <f t="shared" ref="BA79:BA114" si="63">IF($K79&lt;=$F$15,$F$145*AY79,"")</f>
        <v/>
      </c>
      <c r="BB79" s="72" t="str">
        <f t="shared" si="28"/>
        <v/>
      </c>
      <c r="BC79" s="39"/>
      <c r="BD79" s="72" t="str">
        <f t="shared" ref="BD79:BD114" si="64">IF($K79&lt;=$F$15,($AT79+$F$152)*$F$151,"")</f>
        <v/>
      </c>
      <c r="BE79" s="72" t="str">
        <f t="shared" si="29"/>
        <v/>
      </c>
      <c r="BF79" s="39"/>
      <c r="BG79" s="42" t="str">
        <f t="shared" ref="BG79:BG114" si="65">IF($K79&lt;=$F$15,$F$153*AY79,"")</f>
        <v/>
      </c>
      <c r="BH79" s="72" t="str">
        <f t="shared" si="30"/>
        <v/>
      </c>
      <c r="BI79" s="39"/>
      <c r="BJ79" s="40" t="str">
        <f t="shared" si="31"/>
        <v/>
      </c>
      <c r="BK79" s="157" t="str">
        <f t="shared" si="32"/>
        <v/>
      </c>
      <c r="BL79" s="157" t="str">
        <f t="shared" ref="BL79:BL114" si="66">IF(AND(ISNUMBER(BJ79),$K79&lt;=$F$16),BQ79*BJ79,"")</f>
        <v/>
      </c>
      <c r="BM79" s="72"/>
      <c r="BN79" s="72" t="str">
        <f t="shared" si="33"/>
        <v/>
      </c>
      <c r="BO79" s="72" t="str">
        <f t="shared" si="34"/>
        <v/>
      </c>
      <c r="BP79" s="39"/>
      <c r="BQ79" s="72" t="str">
        <f t="shared" ref="BQ79:BQ114" si="67">IF($K79&lt;=$F$15,$F$134,"")</f>
        <v/>
      </c>
      <c r="BR79" s="72" t="str">
        <f t="shared" si="35"/>
        <v/>
      </c>
    </row>
    <row r="80" spans="2:70" x14ac:dyDescent="0.15">
      <c r="E80" s="84" t="s">
        <v>115</v>
      </c>
      <c r="F80" s="488">
        <f>AF116/$BR$116</f>
        <v>0</v>
      </c>
      <c r="G80" s="84" t="s">
        <v>590</v>
      </c>
      <c r="I80" s="457">
        <f t="shared" si="36"/>
        <v>2095</v>
      </c>
      <c r="J80" s="71"/>
      <c r="K80" s="71">
        <f t="shared" si="37"/>
        <v>66</v>
      </c>
      <c r="L80" s="71"/>
      <c r="M80" s="7">
        <f t="shared" si="52"/>
        <v>0.14214879072701941</v>
      </c>
      <c r="N80" s="71"/>
      <c r="O80" s="10" t="str">
        <f t="shared" ref="O80:O114" si="68">IF(K80&lt;=$F$15,O79-V79,"")</f>
        <v/>
      </c>
      <c r="P80" s="29" t="str">
        <f t="shared" si="53"/>
        <v/>
      </c>
      <c r="Q80" s="71"/>
      <c r="R80" s="10" t="str">
        <f t="shared" ref="R80:R114" si="69">IF($K80&lt;=$F$15,MAX($F$117*5%,R79*$F$129),"")</f>
        <v/>
      </c>
      <c r="S80" s="71"/>
      <c r="T80" s="10" t="str">
        <f t="shared" ref="T80:T114" si="70">IF(ISNUMBER(R80),ROUNDDOWN(R80,-3),"")</f>
        <v/>
      </c>
      <c r="U80" s="71"/>
      <c r="V80" s="10" t="str">
        <f t="shared" si="54"/>
        <v/>
      </c>
      <c r="W80" s="10" t="str">
        <f t="shared" ref="W80:W114" si="71">IF(ISNUMBER(V80),V80*$M80,"")</f>
        <v/>
      </c>
      <c r="X80" s="71"/>
      <c r="Y80" s="10" t="str">
        <f t="shared" si="55"/>
        <v/>
      </c>
      <c r="Z80" s="10" t="str">
        <f t="shared" ref="Z80:Z114" si="72">IF(ISNUMBER(Y80),Y80*$M80,"")</f>
        <v/>
      </c>
      <c r="AA80" s="71"/>
      <c r="AB80" s="10" t="str">
        <f t="shared" si="56"/>
        <v/>
      </c>
      <c r="AC80" s="10" t="str">
        <f t="shared" ref="AC80:AC114" si="73">IF(ISNUMBER(AB80),AB80*$M80,"")</f>
        <v/>
      </c>
      <c r="AD80" s="71"/>
      <c r="AE80" s="10" t="str">
        <f t="shared" si="57"/>
        <v/>
      </c>
      <c r="AF80" s="10" t="str">
        <f t="shared" ref="AF80:AF114" si="74">IF(ISNUMBER(AE80),AE80*$M80,"")</f>
        <v/>
      </c>
      <c r="AG80" s="71"/>
      <c r="AH80" s="10" t="str">
        <f t="shared" si="58"/>
        <v/>
      </c>
      <c r="AI80" s="10" t="str">
        <f t="shared" ref="AI80:AI114" si="75">IF(ISNUMBER(AH80),AH80*$M80,"")</f>
        <v/>
      </c>
      <c r="AJ80" s="71"/>
      <c r="AK80" s="10" t="str">
        <f t="shared" si="59"/>
        <v/>
      </c>
      <c r="AL80" s="10" t="str">
        <f t="shared" ref="AL80:AL114" si="76">IF(ISNUMBER(AK80),AK80*$M80,"")</f>
        <v/>
      </c>
      <c r="AM80" s="71"/>
      <c r="AN80" s="10" t="str">
        <f t="shared" si="60"/>
        <v/>
      </c>
      <c r="AO80" s="10" t="str">
        <f t="shared" ref="AO80:AO114" si="77">IF(ISNUMBER(AN80),AN80*$M80,"")</f>
        <v/>
      </c>
      <c r="AP80" s="71"/>
      <c r="AQ80" s="10" t="str">
        <f t="shared" si="61"/>
        <v/>
      </c>
      <c r="AR80" s="10" t="str">
        <f t="shared" ref="AR80:AR114" si="78">IF(ISNUMBER(AQ80),AQ80*$M80,"")</f>
        <v/>
      </c>
      <c r="AS80" s="71"/>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U80" s="71"/>
      <c r="AV80" s="10" t="str">
        <f t="shared" si="62"/>
        <v/>
      </c>
      <c r="AW80" s="10" t="str">
        <f t="shared" ref="AW80:AW114" si="79">IF(ISNUMBER(AV80),AV80*$M80,"")</f>
        <v/>
      </c>
      <c r="AX80" s="71"/>
      <c r="AY80" s="7" t="str">
        <f>IF(ISERROR(IF($K80&lt;=$F$15,VLOOKUP($I80,'表4）CO2価格'!$A$7:$E$67,VLOOKUP($F$48,'表4）CO2価格'!$H$10:$I$12,2,0),0)*$F$8/1000,"")),0,IF($K80&lt;=$F$15,VLOOKUP($I80,'表4）CO2価格'!$A$7:$E$67,VLOOKUP($F$48,'表4）CO2価格'!$H$10:$I$12,2,0),0)*$F$8/1000,""))</f>
        <v/>
      </c>
      <c r="AZ80" s="71"/>
      <c r="BA80" s="11" t="str">
        <f t="shared" si="63"/>
        <v/>
      </c>
      <c r="BB80" s="10" t="str">
        <f t="shared" ref="BB80:BB114" si="80">IF(ISNUMBER(BA80),BA80*$M80,"")</f>
        <v/>
      </c>
      <c r="BC80" s="71"/>
      <c r="BD80" s="10" t="str">
        <f t="shared" si="64"/>
        <v/>
      </c>
      <c r="BE80" s="10" t="str">
        <f t="shared" ref="BE80:BE114" si="81">IF(ISNUMBER(BD80),BD80*$M80,"")</f>
        <v/>
      </c>
      <c r="BF80" s="71"/>
      <c r="BG80" s="11" t="str">
        <f t="shared" si="65"/>
        <v/>
      </c>
      <c r="BH80" s="10" t="str">
        <f t="shared" ref="BH80:BH114" si="82">IF(ISNUMBER(BG80),BG80*$M80,"")</f>
        <v/>
      </c>
      <c r="BJ80" s="7" t="str">
        <f t="shared" ref="BJ80:BJ114" si="83">IF(ISNUMBER($F$16),IF($K80&lt;=$F$16+$F$28,1/(1+($F$17/100))^K80,""),"")</f>
        <v/>
      </c>
      <c r="BK80" s="158" t="str">
        <f t="shared" ref="BK80:BK114" si="84">IF(ISNUMBER($F$16),IF($K80&lt;=$F$16+$F$28,IF($K80&lt;=$F$16,SUM(Y80,AB80,AE80,AH80,AK80,AN80,AQ80,AV80,BA80,BD80,BG80),$F$27/$F$28*10^8)*BJ80,""),"")</f>
        <v/>
      </c>
      <c r="BL80" s="158" t="str">
        <f t="shared" si="66"/>
        <v/>
      </c>
      <c r="BM80" s="10"/>
      <c r="BN80" s="10" t="str">
        <f t="shared" ref="BN80:BN114" si="85">IF(AND(ISNUMBER($F$16),$K80&lt;=$F$16),BQ80*($O$15+$BK$116)/$BL$116,"")</f>
        <v/>
      </c>
      <c r="BO80" s="10" t="str">
        <f t="shared" ref="BO80:BO114" si="86">IF(ISNUMBER(BN80),BN80*$M80,"")</f>
        <v/>
      </c>
      <c r="BQ80" s="10" t="str">
        <f t="shared" si="67"/>
        <v/>
      </c>
      <c r="BR80" s="10" t="str">
        <f t="shared" ref="BR80:BR114" si="87">IF(ISNUMBER(BQ80),BQ80*$M80,"")</f>
        <v/>
      </c>
    </row>
    <row r="81" spans="4:70" x14ac:dyDescent="0.15">
      <c r="E81" s="160" t="s">
        <v>86</v>
      </c>
      <c r="F81" s="488">
        <f>AC116/$BR$116</f>
        <v>0.97970756586215701</v>
      </c>
      <c r="G81" s="84" t="s">
        <v>590</v>
      </c>
      <c r="I81" s="38">
        <f t="shared" ref="I81:I114" si="88">I80+1</f>
        <v>2096</v>
      </c>
      <c r="J81" s="39"/>
      <c r="K81" s="39">
        <f t="shared" ref="K81:K114" si="89">IF(I81&lt;&gt;"",K80+1,"")</f>
        <v>67</v>
      </c>
      <c r="L81" s="39"/>
      <c r="M81" s="40">
        <f t="shared" si="52"/>
        <v>0.1380085346864266</v>
      </c>
      <c r="N81" s="39"/>
      <c r="O81" s="72" t="str">
        <f t="shared" si="68"/>
        <v/>
      </c>
      <c r="P81" s="41" t="str">
        <f t="shared" si="53"/>
        <v/>
      </c>
      <c r="Q81" s="39"/>
      <c r="R81" s="72" t="str">
        <f t="shared" si="69"/>
        <v/>
      </c>
      <c r="S81" s="39"/>
      <c r="T81" s="72" t="str">
        <f t="shared" si="70"/>
        <v/>
      </c>
      <c r="U81" s="39"/>
      <c r="V81" s="72" t="str">
        <f t="shared" si="54"/>
        <v/>
      </c>
      <c r="W81" s="72" t="str">
        <f t="shared" si="71"/>
        <v/>
      </c>
      <c r="X81" s="39"/>
      <c r="Y81" s="72" t="str">
        <f t="shared" si="55"/>
        <v/>
      </c>
      <c r="Z81" s="72" t="str">
        <f t="shared" si="72"/>
        <v/>
      </c>
      <c r="AA81" s="39"/>
      <c r="AB81" s="72" t="str">
        <f t="shared" si="56"/>
        <v/>
      </c>
      <c r="AC81" s="72" t="str">
        <f t="shared" si="73"/>
        <v/>
      </c>
      <c r="AD81" s="39"/>
      <c r="AE81" s="72" t="str">
        <f t="shared" si="57"/>
        <v/>
      </c>
      <c r="AF81" s="72" t="str">
        <f t="shared" si="74"/>
        <v/>
      </c>
      <c r="AG81" s="39"/>
      <c r="AH81" s="72" t="str">
        <f t="shared" si="58"/>
        <v/>
      </c>
      <c r="AI81" s="72" t="str">
        <f t="shared" si="75"/>
        <v/>
      </c>
      <c r="AJ81" s="39"/>
      <c r="AK81" s="72" t="str">
        <f t="shared" si="59"/>
        <v/>
      </c>
      <c r="AL81" s="72" t="str">
        <f t="shared" si="76"/>
        <v/>
      </c>
      <c r="AM81" s="39"/>
      <c r="AN81" s="72" t="str">
        <f t="shared" si="60"/>
        <v/>
      </c>
      <c r="AO81" s="72" t="str">
        <f t="shared" si="77"/>
        <v/>
      </c>
      <c r="AP81" s="39"/>
      <c r="AQ81" s="72" t="str">
        <f t="shared" si="61"/>
        <v/>
      </c>
      <c r="AR81" s="72" t="str">
        <f t="shared" si="78"/>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62"/>
        <v/>
      </c>
      <c r="AW81" s="72" t="str">
        <f t="shared" si="79"/>
        <v/>
      </c>
      <c r="AX81" s="39"/>
      <c r="AY81" s="40" t="str">
        <f>IF(ISERROR(IF($K81&lt;=$F$15,VLOOKUP($I81,'表4）CO2価格'!$A$7:$E$67,VLOOKUP($F$48,'表4）CO2価格'!$H$10:$I$12,2,0),0)*$F$8/1000,"")),0,IF($K81&lt;=$F$15,VLOOKUP($I81,'表4）CO2価格'!$A$7:$E$67,VLOOKUP($F$48,'表4）CO2価格'!$H$10:$I$12,2,0),0)*$F$8/1000,""))</f>
        <v/>
      </c>
      <c r="AZ81" s="39"/>
      <c r="BA81" s="42" t="str">
        <f t="shared" si="63"/>
        <v/>
      </c>
      <c r="BB81" s="72" t="str">
        <f t="shared" si="80"/>
        <v/>
      </c>
      <c r="BC81" s="39"/>
      <c r="BD81" s="72" t="str">
        <f t="shared" si="64"/>
        <v/>
      </c>
      <c r="BE81" s="72" t="str">
        <f t="shared" si="81"/>
        <v/>
      </c>
      <c r="BF81" s="39"/>
      <c r="BG81" s="42" t="str">
        <f t="shared" si="65"/>
        <v/>
      </c>
      <c r="BH81" s="72" t="str">
        <f t="shared" si="82"/>
        <v/>
      </c>
      <c r="BI81" s="39"/>
      <c r="BJ81" s="40" t="str">
        <f t="shared" si="83"/>
        <v/>
      </c>
      <c r="BK81" s="157" t="str">
        <f t="shared" si="84"/>
        <v/>
      </c>
      <c r="BL81" s="157" t="str">
        <f t="shared" si="66"/>
        <v/>
      </c>
      <c r="BM81" s="72"/>
      <c r="BN81" s="72" t="str">
        <f t="shared" si="85"/>
        <v/>
      </c>
      <c r="BO81" s="72" t="str">
        <f t="shared" si="86"/>
        <v/>
      </c>
      <c r="BP81" s="39"/>
      <c r="BQ81" s="72" t="str">
        <f t="shared" si="67"/>
        <v/>
      </c>
      <c r="BR81" s="72" t="str">
        <f t="shared" si="87"/>
        <v/>
      </c>
    </row>
    <row r="82" spans="4:70" x14ac:dyDescent="0.15">
      <c r="F82" s="487"/>
      <c r="I82" s="457">
        <f t="shared" si="88"/>
        <v>2097</v>
      </c>
      <c r="J82" s="71"/>
      <c r="K82" s="71">
        <f t="shared" si="89"/>
        <v>68</v>
      </c>
      <c r="L82" s="71"/>
      <c r="M82" s="7">
        <f t="shared" si="52"/>
        <v>0.13398886862759865</v>
      </c>
      <c r="N82" s="71"/>
      <c r="O82" s="10" t="str">
        <f t="shared" si="68"/>
        <v/>
      </c>
      <c r="P82" s="29" t="str">
        <f t="shared" si="53"/>
        <v/>
      </c>
      <c r="Q82" s="71"/>
      <c r="R82" s="10" t="str">
        <f t="shared" si="69"/>
        <v/>
      </c>
      <c r="S82" s="71"/>
      <c r="T82" s="10" t="str">
        <f t="shared" si="70"/>
        <v/>
      </c>
      <c r="U82" s="71"/>
      <c r="V82" s="10" t="str">
        <f t="shared" si="54"/>
        <v/>
      </c>
      <c r="W82" s="10" t="str">
        <f t="shared" si="71"/>
        <v/>
      </c>
      <c r="X82" s="71"/>
      <c r="Y82" s="10" t="str">
        <f t="shared" si="55"/>
        <v/>
      </c>
      <c r="Z82" s="10" t="str">
        <f t="shared" si="72"/>
        <v/>
      </c>
      <c r="AA82" s="71"/>
      <c r="AB82" s="10" t="str">
        <f t="shared" si="56"/>
        <v/>
      </c>
      <c r="AC82" s="10" t="str">
        <f t="shared" si="73"/>
        <v/>
      </c>
      <c r="AD82" s="71"/>
      <c r="AE82" s="10" t="str">
        <f t="shared" si="57"/>
        <v/>
      </c>
      <c r="AF82" s="10" t="str">
        <f t="shared" si="74"/>
        <v/>
      </c>
      <c r="AG82" s="71"/>
      <c r="AH82" s="10" t="str">
        <f t="shared" si="58"/>
        <v/>
      </c>
      <c r="AI82" s="10" t="str">
        <f t="shared" si="75"/>
        <v/>
      </c>
      <c r="AJ82" s="71"/>
      <c r="AK82" s="10" t="str">
        <f t="shared" si="59"/>
        <v/>
      </c>
      <c r="AL82" s="10" t="str">
        <f t="shared" si="76"/>
        <v/>
      </c>
      <c r="AM82" s="71"/>
      <c r="AN82" s="10" t="str">
        <f t="shared" si="60"/>
        <v/>
      </c>
      <c r="AO82" s="10" t="str">
        <f t="shared" si="77"/>
        <v/>
      </c>
      <c r="AP82" s="71"/>
      <c r="AQ82" s="10" t="str">
        <f t="shared" si="61"/>
        <v/>
      </c>
      <c r="AR82" s="10" t="str">
        <f t="shared" si="78"/>
        <v/>
      </c>
      <c r="AS82" s="71"/>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U82" s="71"/>
      <c r="AV82" s="10" t="str">
        <f t="shared" si="62"/>
        <v/>
      </c>
      <c r="AW82" s="10" t="str">
        <f t="shared" si="79"/>
        <v/>
      </c>
      <c r="AX82" s="71"/>
      <c r="AY82" s="7" t="str">
        <f>IF(ISERROR(IF($K82&lt;=$F$15,VLOOKUP($I82,'表4）CO2価格'!$A$7:$E$67,VLOOKUP($F$48,'表4）CO2価格'!$H$10:$I$12,2,0),0)*$F$8/1000,"")),0,IF($K82&lt;=$F$15,VLOOKUP($I82,'表4）CO2価格'!$A$7:$E$67,VLOOKUP($F$48,'表4）CO2価格'!$H$10:$I$12,2,0),0)*$F$8/1000,""))</f>
        <v/>
      </c>
      <c r="AZ82" s="71"/>
      <c r="BA82" s="11" t="str">
        <f t="shared" si="63"/>
        <v/>
      </c>
      <c r="BB82" s="10" t="str">
        <f t="shared" si="80"/>
        <v/>
      </c>
      <c r="BC82" s="71"/>
      <c r="BD82" s="10" t="str">
        <f t="shared" si="64"/>
        <v/>
      </c>
      <c r="BE82" s="10" t="str">
        <f t="shared" si="81"/>
        <v/>
      </c>
      <c r="BF82" s="71"/>
      <c r="BG82" s="11" t="str">
        <f t="shared" si="65"/>
        <v/>
      </c>
      <c r="BH82" s="10" t="str">
        <f t="shared" si="82"/>
        <v/>
      </c>
      <c r="BJ82" s="7" t="str">
        <f t="shared" si="83"/>
        <v/>
      </c>
      <c r="BK82" s="158" t="str">
        <f t="shared" si="84"/>
        <v/>
      </c>
      <c r="BL82" s="158" t="str">
        <f t="shared" si="66"/>
        <v/>
      </c>
      <c r="BM82" s="10"/>
      <c r="BN82" s="10" t="str">
        <f t="shared" si="85"/>
        <v/>
      </c>
      <c r="BO82" s="10" t="str">
        <f t="shared" si="86"/>
        <v/>
      </c>
      <c r="BQ82" s="10" t="str">
        <f t="shared" si="67"/>
        <v/>
      </c>
      <c r="BR82" s="10" t="str">
        <f t="shared" si="87"/>
        <v/>
      </c>
    </row>
    <row r="83" spans="4:70" ht="15" x14ac:dyDescent="0.15">
      <c r="D83" s="103" t="s">
        <v>593</v>
      </c>
      <c r="F83" s="484">
        <f>SUBTOTAL(9,F87:F90)</f>
        <v>6.3266765692908615</v>
      </c>
      <c r="G83" s="84" t="s">
        <v>590</v>
      </c>
      <c r="I83" s="38">
        <f>I82+1</f>
        <v>2098</v>
      </c>
      <c r="J83" s="39"/>
      <c r="K83" s="39">
        <f>IF(I83&lt;&gt;"",K82+1,"")</f>
        <v>69</v>
      </c>
      <c r="L83" s="39"/>
      <c r="M83" s="40">
        <f t="shared" si="52"/>
        <v>0.13008628022096957</v>
      </c>
      <c r="N83" s="39"/>
      <c r="O83" s="72" t="str">
        <f t="shared" si="68"/>
        <v/>
      </c>
      <c r="P83" s="41" t="str">
        <f t="shared" si="53"/>
        <v/>
      </c>
      <c r="Q83" s="39"/>
      <c r="R83" s="72" t="str">
        <f t="shared" si="69"/>
        <v/>
      </c>
      <c r="S83" s="39"/>
      <c r="T83" s="72" t="str">
        <f t="shared" si="70"/>
        <v/>
      </c>
      <c r="U83" s="39"/>
      <c r="V83" s="72" t="str">
        <f t="shared" si="54"/>
        <v/>
      </c>
      <c r="W83" s="72" t="str">
        <f t="shared" si="71"/>
        <v/>
      </c>
      <c r="X83" s="39"/>
      <c r="Y83" s="72" t="str">
        <f t="shared" si="55"/>
        <v/>
      </c>
      <c r="Z83" s="72" t="str">
        <f t="shared" si="72"/>
        <v/>
      </c>
      <c r="AA83" s="39"/>
      <c r="AB83" s="72" t="str">
        <f t="shared" si="56"/>
        <v/>
      </c>
      <c r="AC83" s="72" t="str">
        <f t="shared" si="73"/>
        <v/>
      </c>
      <c r="AD83" s="39"/>
      <c r="AE83" s="72" t="str">
        <f t="shared" si="57"/>
        <v/>
      </c>
      <c r="AF83" s="72" t="str">
        <f t="shared" si="74"/>
        <v/>
      </c>
      <c r="AG83" s="39"/>
      <c r="AH83" s="72" t="str">
        <f t="shared" si="58"/>
        <v/>
      </c>
      <c r="AI83" s="72" t="str">
        <f t="shared" si="75"/>
        <v/>
      </c>
      <c r="AJ83" s="39"/>
      <c r="AK83" s="72" t="str">
        <f t="shared" si="59"/>
        <v/>
      </c>
      <c r="AL83" s="72" t="str">
        <f t="shared" si="76"/>
        <v/>
      </c>
      <c r="AM83" s="39"/>
      <c r="AN83" s="72" t="str">
        <f t="shared" si="60"/>
        <v/>
      </c>
      <c r="AO83" s="72" t="str">
        <f t="shared" si="77"/>
        <v/>
      </c>
      <c r="AP83" s="39"/>
      <c r="AQ83" s="72" t="str">
        <f t="shared" si="61"/>
        <v/>
      </c>
      <c r="AR83" s="72" t="str">
        <f t="shared" si="78"/>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62"/>
        <v/>
      </c>
      <c r="AW83" s="72" t="str">
        <f t="shared" si="79"/>
        <v/>
      </c>
      <c r="AX83" s="39"/>
      <c r="AY83" s="40" t="str">
        <f>IF(ISERROR(IF($K83&lt;=$F$15,VLOOKUP($I83,'表4）CO2価格'!$A$7:$E$67,VLOOKUP($F$48,'表4）CO2価格'!$H$10:$I$12,2,0),0)*$F$8/1000,"")),0,IF($K83&lt;=$F$15,VLOOKUP($I83,'表4）CO2価格'!$A$7:$E$67,VLOOKUP($F$48,'表4）CO2価格'!$H$10:$I$12,2,0),0)*$F$8/1000,""))</f>
        <v/>
      </c>
      <c r="AZ83" s="39"/>
      <c r="BA83" s="42" t="str">
        <f t="shared" si="63"/>
        <v/>
      </c>
      <c r="BB83" s="72" t="str">
        <f t="shared" si="80"/>
        <v/>
      </c>
      <c r="BC83" s="39"/>
      <c r="BD83" s="72" t="str">
        <f t="shared" si="64"/>
        <v/>
      </c>
      <c r="BE83" s="72" t="str">
        <f t="shared" si="81"/>
        <v/>
      </c>
      <c r="BF83" s="39"/>
      <c r="BG83" s="42" t="str">
        <f t="shared" si="65"/>
        <v/>
      </c>
      <c r="BH83" s="72" t="str">
        <f t="shared" si="82"/>
        <v/>
      </c>
      <c r="BI83" s="39"/>
      <c r="BJ83" s="40" t="str">
        <f t="shared" si="83"/>
        <v/>
      </c>
      <c r="BK83" s="157" t="str">
        <f t="shared" si="84"/>
        <v/>
      </c>
      <c r="BL83" s="157" t="str">
        <f t="shared" si="66"/>
        <v/>
      </c>
      <c r="BM83" s="72"/>
      <c r="BN83" s="72" t="str">
        <f t="shared" si="85"/>
        <v/>
      </c>
      <c r="BO83" s="72" t="str">
        <f t="shared" si="86"/>
        <v/>
      </c>
      <c r="BP83" s="39"/>
      <c r="BQ83" s="72" t="str">
        <f t="shared" si="67"/>
        <v/>
      </c>
      <c r="BR83" s="72" t="str">
        <f t="shared" si="87"/>
        <v/>
      </c>
    </row>
    <row r="84" spans="4:70" x14ac:dyDescent="0.15">
      <c r="F84" s="487"/>
      <c r="I84" s="457">
        <f t="shared" si="88"/>
        <v>2099</v>
      </c>
      <c r="J84" s="71"/>
      <c r="K84" s="71">
        <f t="shared" si="89"/>
        <v>70</v>
      </c>
      <c r="L84" s="71"/>
      <c r="M84" s="7">
        <f t="shared" si="52"/>
        <v>0.12629735943783454</v>
      </c>
      <c r="N84" s="71"/>
      <c r="O84" s="10" t="str">
        <f t="shared" si="68"/>
        <v/>
      </c>
      <c r="P84" s="29" t="str">
        <f t="shared" si="53"/>
        <v/>
      </c>
      <c r="Q84" s="71"/>
      <c r="R84" s="10" t="str">
        <f t="shared" si="69"/>
        <v/>
      </c>
      <c r="S84" s="71"/>
      <c r="T84" s="10" t="str">
        <f t="shared" si="70"/>
        <v/>
      </c>
      <c r="U84" s="71"/>
      <c r="V84" s="10" t="str">
        <f t="shared" si="54"/>
        <v/>
      </c>
      <c r="W84" s="10" t="str">
        <f t="shared" si="71"/>
        <v/>
      </c>
      <c r="X84" s="71"/>
      <c r="Y84" s="10" t="str">
        <f t="shared" si="55"/>
        <v/>
      </c>
      <c r="Z84" s="10" t="str">
        <f t="shared" si="72"/>
        <v/>
      </c>
      <c r="AA84" s="71"/>
      <c r="AB84" s="10" t="str">
        <f t="shared" si="56"/>
        <v/>
      </c>
      <c r="AC84" s="10" t="str">
        <f t="shared" si="73"/>
        <v/>
      </c>
      <c r="AD84" s="71"/>
      <c r="AE84" s="10" t="str">
        <f t="shared" si="57"/>
        <v/>
      </c>
      <c r="AF84" s="10" t="str">
        <f t="shared" si="74"/>
        <v/>
      </c>
      <c r="AG84" s="71"/>
      <c r="AH84" s="10" t="str">
        <f t="shared" si="58"/>
        <v/>
      </c>
      <c r="AI84" s="10" t="str">
        <f t="shared" si="75"/>
        <v/>
      </c>
      <c r="AJ84" s="71"/>
      <c r="AK84" s="10" t="str">
        <f t="shared" si="59"/>
        <v/>
      </c>
      <c r="AL84" s="10" t="str">
        <f t="shared" si="76"/>
        <v/>
      </c>
      <c r="AM84" s="71"/>
      <c r="AN84" s="10" t="str">
        <f t="shared" si="60"/>
        <v/>
      </c>
      <c r="AO84" s="10" t="str">
        <f t="shared" si="77"/>
        <v/>
      </c>
      <c r="AP84" s="71"/>
      <c r="AQ84" s="10" t="str">
        <f t="shared" si="61"/>
        <v/>
      </c>
      <c r="AR84" s="10" t="str">
        <f t="shared" si="78"/>
        <v/>
      </c>
      <c r="AS84" s="71"/>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U84" s="71"/>
      <c r="AV84" s="10" t="str">
        <f t="shared" si="62"/>
        <v/>
      </c>
      <c r="AW84" s="10" t="str">
        <f t="shared" si="79"/>
        <v/>
      </c>
      <c r="AX84" s="71"/>
      <c r="AY84" s="7" t="str">
        <f>IF(ISERROR(IF($K84&lt;=$F$15,VLOOKUP($I84,'表4）CO2価格'!$A$7:$E$67,VLOOKUP($F$48,'表4）CO2価格'!$H$10:$I$12,2,0),0)*$F$8/1000,"")),0,IF($K84&lt;=$F$15,VLOOKUP($I84,'表4）CO2価格'!$A$7:$E$67,VLOOKUP($F$48,'表4）CO2価格'!$H$10:$I$12,2,0),0)*$F$8/1000,""))</f>
        <v/>
      </c>
      <c r="AZ84" s="71"/>
      <c r="BA84" s="11" t="str">
        <f t="shared" si="63"/>
        <v/>
      </c>
      <c r="BB84" s="10" t="str">
        <f t="shared" si="80"/>
        <v/>
      </c>
      <c r="BC84" s="71"/>
      <c r="BD84" s="10" t="str">
        <f t="shared" si="64"/>
        <v/>
      </c>
      <c r="BE84" s="10" t="str">
        <f t="shared" si="81"/>
        <v/>
      </c>
      <c r="BF84" s="71"/>
      <c r="BG84" s="11" t="str">
        <f t="shared" si="65"/>
        <v/>
      </c>
      <c r="BH84" s="10" t="str">
        <f t="shared" si="82"/>
        <v/>
      </c>
      <c r="BJ84" s="7" t="str">
        <f t="shared" si="83"/>
        <v/>
      </c>
      <c r="BK84" s="158" t="str">
        <f t="shared" si="84"/>
        <v/>
      </c>
      <c r="BL84" s="158" t="str">
        <f t="shared" si="66"/>
        <v/>
      </c>
      <c r="BM84" s="10"/>
      <c r="BN84" s="10" t="str">
        <f t="shared" si="85"/>
        <v/>
      </c>
      <c r="BO84" s="10" t="str">
        <f t="shared" si="86"/>
        <v/>
      </c>
      <c r="BQ84" s="10" t="str">
        <f t="shared" si="67"/>
        <v/>
      </c>
      <c r="BR84" s="10" t="str">
        <f t="shared" si="87"/>
        <v/>
      </c>
    </row>
    <row r="85" spans="4:70" x14ac:dyDescent="0.15">
      <c r="D85" s="100" t="s">
        <v>594</v>
      </c>
      <c r="E85" s="489"/>
      <c r="F85" s="486"/>
      <c r="G85" s="100"/>
      <c r="I85" s="38">
        <f t="shared" si="88"/>
        <v>2100</v>
      </c>
      <c r="J85" s="39"/>
      <c r="K85" s="39">
        <f t="shared" si="89"/>
        <v>71</v>
      </c>
      <c r="L85" s="39"/>
      <c r="M85" s="40">
        <f t="shared" si="52"/>
        <v>0.12261879557071313</v>
      </c>
      <c r="N85" s="39"/>
      <c r="O85" s="72" t="str">
        <f t="shared" si="68"/>
        <v/>
      </c>
      <c r="P85" s="41" t="str">
        <f t="shared" si="53"/>
        <v/>
      </c>
      <c r="Q85" s="39"/>
      <c r="R85" s="72" t="str">
        <f t="shared" si="69"/>
        <v/>
      </c>
      <c r="S85" s="39"/>
      <c r="T85" s="72" t="str">
        <f t="shared" si="70"/>
        <v/>
      </c>
      <c r="U85" s="39"/>
      <c r="V85" s="72" t="str">
        <f t="shared" si="54"/>
        <v/>
      </c>
      <c r="W85" s="72" t="str">
        <f t="shared" si="71"/>
        <v/>
      </c>
      <c r="X85" s="39"/>
      <c r="Y85" s="72" t="str">
        <f t="shared" si="55"/>
        <v/>
      </c>
      <c r="Z85" s="72" t="str">
        <f t="shared" si="72"/>
        <v/>
      </c>
      <c r="AA85" s="39"/>
      <c r="AB85" s="72" t="str">
        <f t="shared" si="56"/>
        <v/>
      </c>
      <c r="AC85" s="72" t="str">
        <f t="shared" si="73"/>
        <v/>
      </c>
      <c r="AD85" s="39"/>
      <c r="AE85" s="72" t="str">
        <f t="shared" si="57"/>
        <v/>
      </c>
      <c r="AF85" s="72" t="str">
        <f t="shared" si="74"/>
        <v/>
      </c>
      <c r="AG85" s="39"/>
      <c r="AH85" s="72" t="str">
        <f t="shared" si="58"/>
        <v/>
      </c>
      <c r="AI85" s="72" t="str">
        <f t="shared" si="75"/>
        <v/>
      </c>
      <c r="AJ85" s="39"/>
      <c r="AK85" s="72" t="str">
        <f t="shared" si="59"/>
        <v/>
      </c>
      <c r="AL85" s="72" t="str">
        <f t="shared" si="76"/>
        <v/>
      </c>
      <c r="AM85" s="39"/>
      <c r="AN85" s="72" t="str">
        <f t="shared" si="60"/>
        <v/>
      </c>
      <c r="AO85" s="72" t="str">
        <f t="shared" si="77"/>
        <v/>
      </c>
      <c r="AP85" s="39"/>
      <c r="AQ85" s="72" t="str">
        <f t="shared" si="61"/>
        <v/>
      </c>
      <c r="AR85" s="72" t="str">
        <f t="shared" si="78"/>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62"/>
        <v/>
      </c>
      <c r="AW85" s="72" t="str">
        <f t="shared" si="79"/>
        <v/>
      </c>
      <c r="AX85" s="39"/>
      <c r="AY85" s="40" t="str">
        <f>IF(ISERROR(IF($K85&lt;=$F$15,VLOOKUP($I85,'表4）CO2価格'!$A$7:$E$67,VLOOKUP($F$48,'表4）CO2価格'!$H$10:$I$12,2,0),0)*$F$8/1000,"")),0,IF($K85&lt;=$F$15,VLOOKUP($I85,'表4）CO2価格'!$A$7:$E$67,VLOOKUP($F$48,'表4）CO2価格'!$H$10:$I$12,2,0),0)*$F$8/1000,""))</f>
        <v/>
      </c>
      <c r="AZ85" s="39"/>
      <c r="BA85" s="42" t="str">
        <f t="shared" si="63"/>
        <v/>
      </c>
      <c r="BB85" s="72" t="str">
        <f t="shared" si="80"/>
        <v/>
      </c>
      <c r="BC85" s="39"/>
      <c r="BD85" s="72" t="str">
        <f t="shared" si="64"/>
        <v/>
      </c>
      <c r="BE85" s="72" t="str">
        <f t="shared" si="81"/>
        <v/>
      </c>
      <c r="BF85" s="39"/>
      <c r="BG85" s="42" t="str">
        <f t="shared" si="65"/>
        <v/>
      </c>
      <c r="BH85" s="72" t="str">
        <f t="shared" si="82"/>
        <v/>
      </c>
      <c r="BI85" s="39"/>
      <c r="BJ85" s="40" t="str">
        <f t="shared" si="83"/>
        <v/>
      </c>
      <c r="BK85" s="157" t="str">
        <f t="shared" si="84"/>
        <v/>
      </c>
      <c r="BL85" s="157" t="str">
        <f t="shared" si="66"/>
        <v/>
      </c>
      <c r="BM85" s="72"/>
      <c r="BN85" s="72" t="str">
        <f t="shared" si="85"/>
        <v/>
      </c>
      <c r="BO85" s="72" t="str">
        <f t="shared" si="86"/>
        <v/>
      </c>
      <c r="BP85" s="39"/>
      <c r="BQ85" s="72" t="str">
        <f t="shared" si="67"/>
        <v/>
      </c>
      <c r="BR85" s="72" t="str">
        <f t="shared" si="87"/>
        <v/>
      </c>
    </row>
    <row r="86" spans="4:70" x14ac:dyDescent="0.15">
      <c r="F86" s="487"/>
      <c r="I86" s="457">
        <f t="shared" si="88"/>
        <v>2101</v>
      </c>
      <c r="J86" s="71"/>
      <c r="K86" s="71">
        <f t="shared" si="89"/>
        <v>72</v>
      </c>
      <c r="L86" s="71"/>
      <c r="M86" s="7">
        <f t="shared" si="52"/>
        <v>0.1190473743404982</v>
      </c>
      <c r="N86" s="71"/>
      <c r="O86" s="10" t="str">
        <f t="shared" si="68"/>
        <v/>
      </c>
      <c r="P86" s="29" t="str">
        <f t="shared" si="53"/>
        <v/>
      </c>
      <c r="Q86" s="71"/>
      <c r="R86" s="10" t="str">
        <f t="shared" si="69"/>
        <v/>
      </c>
      <c r="S86" s="71"/>
      <c r="T86" s="10" t="str">
        <f t="shared" si="70"/>
        <v/>
      </c>
      <c r="U86" s="71"/>
      <c r="V86" s="10" t="str">
        <f t="shared" si="54"/>
        <v/>
      </c>
      <c r="W86" s="10" t="str">
        <f t="shared" si="71"/>
        <v/>
      </c>
      <c r="X86" s="71"/>
      <c r="Y86" s="10" t="str">
        <f t="shared" si="55"/>
        <v/>
      </c>
      <c r="Z86" s="10" t="str">
        <f t="shared" si="72"/>
        <v/>
      </c>
      <c r="AA86" s="71"/>
      <c r="AB86" s="10" t="str">
        <f t="shared" si="56"/>
        <v/>
      </c>
      <c r="AC86" s="10" t="str">
        <f t="shared" si="73"/>
        <v/>
      </c>
      <c r="AD86" s="71"/>
      <c r="AE86" s="10" t="str">
        <f t="shared" si="57"/>
        <v/>
      </c>
      <c r="AF86" s="10" t="str">
        <f t="shared" si="74"/>
        <v/>
      </c>
      <c r="AG86" s="71"/>
      <c r="AH86" s="10" t="str">
        <f t="shared" si="58"/>
        <v/>
      </c>
      <c r="AI86" s="10" t="str">
        <f t="shared" si="75"/>
        <v/>
      </c>
      <c r="AJ86" s="71"/>
      <c r="AK86" s="10" t="str">
        <f t="shared" si="59"/>
        <v/>
      </c>
      <c r="AL86" s="10" t="str">
        <f t="shared" si="76"/>
        <v/>
      </c>
      <c r="AM86" s="71"/>
      <c r="AN86" s="10" t="str">
        <f t="shared" si="60"/>
        <v/>
      </c>
      <c r="AO86" s="10" t="str">
        <f t="shared" si="77"/>
        <v/>
      </c>
      <c r="AP86" s="71"/>
      <c r="AQ86" s="10" t="str">
        <f t="shared" si="61"/>
        <v/>
      </c>
      <c r="AR86" s="10" t="str">
        <f t="shared" si="78"/>
        <v/>
      </c>
      <c r="AS86" s="71"/>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U86" s="71"/>
      <c r="AV86" s="10" t="str">
        <f t="shared" si="62"/>
        <v/>
      </c>
      <c r="AW86" s="10" t="str">
        <f t="shared" si="79"/>
        <v/>
      </c>
      <c r="AX86" s="71"/>
      <c r="AY86" s="7" t="str">
        <f>IF(ISERROR(IF($K86&lt;=$F$15,VLOOKUP($I86,'表4）CO2価格'!$A$7:$E$67,VLOOKUP($F$48,'表4）CO2価格'!$H$10:$I$12,2,0),0)*$F$8/1000,"")),0,IF($K86&lt;=$F$15,VLOOKUP($I86,'表4）CO2価格'!$A$7:$E$67,VLOOKUP($F$48,'表4）CO2価格'!$H$10:$I$12,2,0),0)*$F$8/1000,""))</f>
        <v/>
      </c>
      <c r="AZ86" s="71"/>
      <c r="BA86" s="11" t="str">
        <f t="shared" si="63"/>
        <v/>
      </c>
      <c r="BB86" s="10" t="str">
        <f t="shared" si="80"/>
        <v/>
      </c>
      <c r="BC86" s="71"/>
      <c r="BD86" s="10" t="str">
        <f t="shared" si="64"/>
        <v/>
      </c>
      <c r="BE86" s="10" t="str">
        <f t="shared" si="81"/>
        <v/>
      </c>
      <c r="BF86" s="71"/>
      <c r="BG86" s="11" t="str">
        <f t="shared" si="65"/>
        <v/>
      </c>
      <c r="BH86" s="10" t="str">
        <f t="shared" si="82"/>
        <v/>
      </c>
      <c r="BJ86" s="7" t="str">
        <f t="shared" si="83"/>
        <v/>
      </c>
      <c r="BK86" s="158" t="str">
        <f t="shared" si="84"/>
        <v/>
      </c>
      <c r="BL86" s="158" t="str">
        <f t="shared" si="66"/>
        <v/>
      </c>
      <c r="BM86" s="10"/>
      <c r="BN86" s="10" t="str">
        <f t="shared" si="85"/>
        <v/>
      </c>
      <c r="BO86" s="10" t="str">
        <f t="shared" si="86"/>
        <v/>
      </c>
      <c r="BQ86" s="10" t="str">
        <f t="shared" si="67"/>
        <v/>
      </c>
      <c r="BR86" s="10" t="str">
        <f t="shared" si="87"/>
        <v/>
      </c>
    </row>
    <row r="87" spans="4:70" x14ac:dyDescent="0.15">
      <c r="E87" s="84" t="s">
        <v>141</v>
      </c>
      <c r="F87" s="488">
        <f>AI116/$BR$116</f>
        <v>6.3266765692908615</v>
      </c>
      <c r="G87" s="84" t="s">
        <v>590</v>
      </c>
      <c r="I87" s="38">
        <f t="shared" si="88"/>
        <v>2102</v>
      </c>
      <c r="J87" s="39"/>
      <c r="K87" s="39">
        <f t="shared" si="89"/>
        <v>73</v>
      </c>
      <c r="L87" s="39"/>
      <c r="M87" s="40">
        <f t="shared" si="52"/>
        <v>0.11557997508786232</v>
      </c>
      <c r="N87" s="39"/>
      <c r="O87" s="72" t="str">
        <f t="shared" si="68"/>
        <v/>
      </c>
      <c r="P87" s="41" t="str">
        <f t="shared" si="53"/>
        <v/>
      </c>
      <c r="Q87" s="39"/>
      <c r="R87" s="72" t="str">
        <f t="shared" si="69"/>
        <v/>
      </c>
      <c r="S87" s="39"/>
      <c r="T87" s="72" t="str">
        <f t="shared" si="70"/>
        <v/>
      </c>
      <c r="U87" s="39"/>
      <c r="V87" s="72" t="str">
        <f t="shared" si="54"/>
        <v/>
      </c>
      <c r="W87" s="72" t="str">
        <f t="shared" si="71"/>
        <v/>
      </c>
      <c r="X87" s="39"/>
      <c r="Y87" s="72" t="str">
        <f t="shared" si="55"/>
        <v/>
      </c>
      <c r="Z87" s="72" t="str">
        <f t="shared" si="72"/>
        <v/>
      </c>
      <c r="AA87" s="39"/>
      <c r="AB87" s="72" t="str">
        <f t="shared" si="56"/>
        <v/>
      </c>
      <c r="AC87" s="72" t="str">
        <f t="shared" si="73"/>
        <v/>
      </c>
      <c r="AD87" s="39"/>
      <c r="AE87" s="72" t="str">
        <f t="shared" si="57"/>
        <v/>
      </c>
      <c r="AF87" s="72" t="str">
        <f t="shared" si="74"/>
        <v/>
      </c>
      <c r="AG87" s="39"/>
      <c r="AH87" s="72" t="str">
        <f t="shared" si="58"/>
        <v/>
      </c>
      <c r="AI87" s="72" t="str">
        <f t="shared" si="75"/>
        <v/>
      </c>
      <c r="AJ87" s="39"/>
      <c r="AK87" s="72" t="str">
        <f t="shared" si="59"/>
        <v/>
      </c>
      <c r="AL87" s="72" t="str">
        <f t="shared" si="76"/>
        <v/>
      </c>
      <c r="AM87" s="39"/>
      <c r="AN87" s="72" t="str">
        <f t="shared" si="60"/>
        <v/>
      </c>
      <c r="AO87" s="72" t="str">
        <f t="shared" si="77"/>
        <v/>
      </c>
      <c r="AP87" s="39"/>
      <c r="AQ87" s="72" t="str">
        <f t="shared" si="61"/>
        <v/>
      </c>
      <c r="AR87" s="72" t="str">
        <f t="shared" si="78"/>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62"/>
        <v/>
      </c>
      <c r="AW87" s="72" t="str">
        <f t="shared" si="79"/>
        <v/>
      </c>
      <c r="AX87" s="39"/>
      <c r="AY87" s="40" t="str">
        <f>IF(ISERROR(IF($K87&lt;=$F$15,VLOOKUP($I87,'表4）CO2価格'!$A$7:$E$67,VLOOKUP($F$48,'表4）CO2価格'!$H$10:$I$12,2,0),0)*$F$8/1000,"")),0,IF($K87&lt;=$F$15,VLOOKUP($I87,'表4）CO2価格'!$A$7:$E$67,VLOOKUP($F$48,'表4）CO2価格'!$H$10:$I$12,2,0),0)*$F$8/1000,""))</f>
        <v/>
      </c>
      <c r="AZ87" s="39"/>
      <c r="BA87" s="42" t="str">
        <f t="shared" si="63"/>
        <v/>
      </c>
      <c r="BB87" s="72" t="str">
        <f t="shared" si="80"/>
        <v/>
      </c>
      <c r="BC87" s="39"/>
      <c r="BD87" s="72" t="str">
        <f t="shared" si="64"/>
        <v/>
      </c>
      <c r="BE87" s="72" t="str">
        <f t="shared" si="81"/>
        <v/>
      </c>
      <c r="BF87" s="39"/>
      <c r="BG87" s="42" t="str">
        <f t="shared" si="65"/>
        <v/>
      </c>
      <c r="BH87" s="72" t="str">
        <f t="shared" si="82"/>
        <v/>
      </c>
      <c r="BI87" s="39"/>
      <c r="BJ87" s="40" t="str">
        <f t="shared" si="83"/>
        <v/>
      </c>
      <c r="BK87" s="157" t="str">
        <f t="shared" si="84"/>
        <v/>
      </c>
      <c r="BL87" s="157" t="str">
        <f t="shared" si="66"/>
        <v/>
      </c>
      <c r="BM87" s="72"/>
      <c r="BN87" s="72" t="str">
        <f t="shared" si="85"/>
        <v/>
      </c>
      <c r="BO87" s="72" t="str">
        <f t="shared" si="86"/>
        <v/>
      </c>
      <c r="BP87" s="39"/>
      <c r="BQ87" s="72" t="str">
        <f t="shared" si="67"/>
        <v/>
      </c>
      <c r="BR87" s="72" t="str">
        <f t="shared" si="87"/>
        <v/>
      </c>
    </row>
    <row r="88" spans="4:70" x14ac:dyDescent="0.15">
      <c r="E88" s="84" t="s">
        <v>120</v>
      </c>
      <c r="F88" s="488">
        <f>AL116/$BR$116</f>
        <v>0</v>
      </c>
      <c r="G88" s="84" t="s">
        <v>590</v>
      </c>
      <c r="I88" s="457">
        <f t="shared" si="88"/>
        <v>2103</v>
      </c>
      <c r="J88" s="71"/>
      <c r="K88" s="71">
        <f t="shared" si="89"/>
        <v>74</v>
      </c>
      <c r="L88" s="71"/>
      <c r="M88" s="7">
        <f t="shared" si="52"/>
        <v>0.11221356804646829</v>
      </c>
      <c r="N88" s="71"/>
      <c r="O88" s="10" t="str">
        <f t="shared" si="68"/>
        <v/>
      </c>
      <c r="P88" s="29" t="str">
        <f t="shared" si="53"/>
        <v/>
      </c>
      <c r="Q88" s="71"/>
      <c r="R88" s="10" t="str">
        <f t="shared" si="69"/>
        <v/>
      </c>
      <c r="S88" s="71"/>
      <c r="T88" s="10" t="str">
        <f t="shared" si="70"/>
        <v/>
      </c>
      <c r="U88" s="71"/>
      <c r="V88" s="10" t="str">
        <f t="shared" si="54"/>
        <v/>
      </c>
      <c r="W88" s="10" t="str">
        <f t="shared" si="71"/>
        <v/>
      </c>
      <c r="X88" s="71"/>
      <c r="Y88" s="10" t="str">
        <f t="shared" si="55"/>
        <v/>
      </c>
      <c r="Z88" s="10" t="str">
        <f t="shared" si="72"/>
        <v/>
      </c>
      <c r="AA88" s="71"/>
      <c r="AB88" s="10" t="str">
        <f t="shared" si="56"/>
        <v/>
      </c>
      <c r="AC88" s="10" t="str">
        <f t="shared" si="73"/>
        <v/>
      </c>
      <c r="AD88" s="71"/>
      <c r="AE88" s="10" t="str">
        <f t="shared" si="57"/>
        <v/>
      </c>
      <c r="AF88" s="10" t="str">
        <f t="shared" si="74"/>
        <v/>
      </c>
      <c r="AG88" s="71"/>
      <c r="AH88" s="10" t="str">
        <f t="shared" si="58"/>
        <v/>
      </c>
      <c r="AI88" s="10" t="str">
        <f t="shared" si="75"/>
        <v/>
      </c>
      <c r="AJ88" s="71"/>
      <c r="AK88" s="10" t="str">
        <f t="shared" si="59"/>
        <v/>
      </c>
      <c r="AL88" s="10" t="str">
        <f t="shared" si="76"/>
        <v/>
      </c>
      <c r="AM88" s="71"/>
      <c r="AN88" s="10" t="str">
        <f t="shared" si="60"/>
        <v/>
      </c>
      <c r="AO88" s="10" t="str">
        <f t="shared" si="77"/>
        <v/>
      </c>
      <c r="AP88" s="71"/>
      <c r="AQ88" s="10" t="str">
        <f t="shared" si="61"/>
        <v/>
      </c>
      <c r="AR88" s="10" t="str">
        <f t="shared" si="78"/>
        <v/>
      </c>
      <c r="AS88" s="71"/>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U88" s="71"/>
      <c r="AV88" s="10" t="str">
        <f t="shared" si="62"/>
        <v/>
      </c>
      <c r="AW88" s="10" t="str">
        <f t="shared" si="79"/>
        <v/>
      </c>
      <c r="AX88" s="71"/>
      <c r="AY88" s="7" t="str">
        <f>IF(ISERROR(IF($K88&lt;=$F$15,VLOOKUP($I88,'表4）CO2価格'!$A$7:$E$67,VLOOKUP($F$48,'表4）CO2価格'!$H$10:$I$12,2,0),0)*$F$8/1000,"")),0,IF($K88&lt;=$F$15,VLOOKUP($I88,'表4）CO2価格'!$A$7:$E$67,VLOOKUP($F$48,'表4）CO2価格'!$H$10:$I$12,2,0),0)*$F$8/1000,""))</f>
        <v/>
      </c>
      <c r="AZ88" s="71"/>
      <c r="BA88" s="11" t="str">
        <f t="shared" si="63"/>
        <v/>
      </c>
      <c r="BB88" s="10" t="str">
        <f t="shared" si="80"/>
        <v/>
      </c>
      <c r="BC88" s="71"/>
      <c r="BD88" s="10" t="str">
        <f t="shared" si="64"/>
        <v/>
      </c>
      <c r="BE88" s="10" t="str">
        <f t="shared" si="81"/>
        <v/>
      </c>
      <c r="BF88" s="71"/>
      <c r="BG88" s="11" t="str">
        <f t="shared" si="65"/>
        <v/>
      </c>
      <c r="BH88" s="10" t="str">
        <f t="shared" si="82"/>
        <v/>
      </c>
      <c r="BJ88" s="7" t="str">
        <f t="shared" si="83"/>
        <v/>
      </c>
      <c r="BK88" s="158" t="str">
        <f t="shared" si="84"/>
        <v/>
      </c>
      <c r="BL88" s="158" t="str">
        <f t="shared" si="66"/>
        <v/>
      </c>
      <c r="BM88" s="10"/>
      <c r="BN88" s="10" t="str">
        <f t="shared" si="85"/>
        <v/>
      </c>
      <c r="BO88" s="10" t="str">
        <f t="shared" si="86"/>
        <v/>
      </c>
      <c r="BQ88" s="10" t="str">
        <f t="shared" si="67"/>
        <v/>
      </c>
      <c r="BR88" s="10" t="str">
        <f t="shared" si="87"/>
        <v/>
      </c>
    </row>
    <row r="89" spans="4:70" x14ac:dyDescent="0.15">
      <c r="E89" s="84" t="s">
        <v>122</v>
      </c>
      <c r="F89" s="488">
        <f>AO116/$BR$116</f>
        <v>0</v>
      </c>
      <c r="G89" s="84" t="s">
        <v>590</v>
      </c>
      <c r="I89" s="38">
        <f t="shared" si="88"/>
        <v>2104</v>
      </c>
      <c r="J89" s="39"/>
      <c r="K89" s="39">
        <f t="shared" si="89"/>
        <v>75</v>
      </c>
      <c r="L89" s="39"/>
      <c r="M89" s="40">
        <f t="shared" si="52"/>
        <v>0.10894521169560026</v>
      </c>
      <c r="N89" s="39"/>
      <c r="O89" s="72" t="str">
        <f t="shared" si="68"/>
        <v/>
      </c>
      <c r="P89" s="41" t="str">
        <f t="shared" si="53"/>
        <v/>
      </c>
      <c r="Q89" s="39"/>
      <c r="R89" s="72" t="str">
        <f t="shared" si="69"/>
        <v/>
      </c>
      <c r="S89" s="39"/>
      <c r="T89" s="72" t="str">
        <f t="shared" si="70"/>
        <v/>
      </c>
      <c r="U89" s="39"/>
      <c r="V89" s="72" t="str">
        <f t="shared" si="54"/>
        <v/>
      </c>
      <c r="W89" s="72" t="str">
        <f t="shared" si="71"/>
        <v/>
      </c>
      <c r="X89" s="39"/>
      <c r="Y89" s="72" t="str">
        <f t="shared" si="55"/>
        <v/>
      </c>
      <c r="Z89" s="72" t="str">
        <f t="shared" si="72"/>
        <v/>
      </c>
      <c r="AA89" s="39"/>
      <c r="AB89" s="72" t="str">
        <f t="shared" si="56"/>
        <v/>
      </c>
      <c r="AC89" s="72" t="str">
        <f t="shared" si="73"/>
        <v/>
      </c>
      <c r="AD89" s="39"/>
      <c r="AE89" s="72" t="str">
        <f t="shared" si="57"/>
        <v/>
      </c>
      <c r="AF89" s="72" t="str">
        <f t="shared" si="74"/>
        <v/>
      </c>
      <c r="AG89" s="39"/>
      <c r="AH89" s="72" t="str">
        <f t="shared" si="58"/>
        <v/>
      </c>
      <c r="AI89" s="72" t="str">
        <f t="shared" si="75"/>
        <v/>
      </c>
      <c r="AJ89" s="39"/>
      <c r="AK89" s="72" t="str">
        <f t="shared" si="59"/>
        <v/>
      </c>
      <c r="AL89" s="72" t="str">
        <f t="shared" si="76"/>
        <v/>
      </c>
      <c r="AM89" s="39"/>
      <c r="AN89" s="72" t="str">
        <f t="shared" si="60"/>
        <v/>
      </c>
      <c r="AO89" s="72" t="str">
        <f t="shared" si="77"/>
        <v/>
      </c>
      <c r="AP89" s="39"/>
      <c r="AQ89" s="72" t="str">
        <f t="shared" si="61"/>
        <v/>
      </c>
      <c r="AR89" s="72" t="str">
        <f t="shared" si="78"/>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62"/>
        <v/>
      </c>
      <c r="AW89" s="72" t="str">
        <f t="shared" si="79"/>
        <v/>
      </c>
      <c r="AX89" s="39"/>
      <c r="AY89" s="40" t="str">
        <f>IF(ISERROR(IF($K89&lt;=$F$15,VLOOKUP($I89,'表4）CO2価格'!$A$7:$E$67,VLOOKUP($F$48,'表4）CO2価格'!$H$10:$I$12,2,0),0)*$F$8/1000,"")),0,IF($K89&lt;=$F$15,VLOOKUP($I89,'表4）CO2価格'!$A$7:$E$67,VLOOKUP($F$48,'表4）CO2価格'!$H$10:$I$12,2,0),0)*$F$8/1000,""))</f>
        <v/>
      </c>
      <c r="AZ89" s="39"/>
      <c r="BA89" s="42" t="str">
        <f t="shared" si="63"/>
        <v/>
      </c>
      <c r="BB89" s="72" t="str">
        <f t="shared" si="80"/>
        <v/>
      </c>
      <c r="BC89" s="39"/>
      <c r="BD89" s="72" t="str">
        <f t="shared" si="64"/>
        <v/>
      </c>
      <c r="BE89" s="72" t="str">
        <f t="shared" si="81"/>
        <v/>
      </c>
      <c r="BF89" s="39"/>
      <c r="BG89" s="42" t="str">
        <f t="shared" si="65"/>
        <v/>
      </c>
      <c r="BH89" s="72" t="str">
        <f t="shared" si="82"/>
        <v/>
      </c>
      <c r="BI89" s="39"/>
      <c r="BJ89" s="40" t="str">
        <f t="shared" si="83"/>
        <v/>
      </c>
      <c r="BK89" s="157" t="str">
        <f t="shared" si="84"/>
        <v/>
      </c>
      <c r="BL89" s="157" t="str">
        <f t="shared" si="66"/>
        <v/>
      </c>
      <c r="BM89" s="72"/>
      <c r="BN89" s="72" t="str">
        <f t="shared" si="85"/>
        <v/>
      </c>
      <c r="BO89" s="72" t="str">
        <f t="shared" si="86"/>
        <v/>
      </c>
      <c r="BP89" s="39"/>
      <c r="BQ89" s="72" t="str">
        <f t="shared" si="67"/>
        <v/>
      </c>
      <c r="BR89" s="72" t="str">
        <f t="shared" si="87"/>
        <v/>
      </c>
    </row>
    <row r="90" spans="4:70" x14ac:dyDescent="0.15">
      <c r="E90" s="84" t="s">
        <v>142</v>
      </c>
      <c r="F90" s="488">
        <f>AR116/$BR$116</f>
        <v>0</v>
      </c>
      <c r="G90" s="84" t="s">
        <v>590</v>
      </c>
      <c r="I90" s="457">
        <f t="shared" si="88"/>
        <v>2105</v>
      </c>
      <c r="J90" s="71"/>
      <c r="K90" s="71">
        <f t="shared" si="89"/>
        <v>76</v>
      </c>
      <c r="L90" s="71"/>
      <c r="M90" s="7">
        <f t="shared" si="52"/>
        <v>0.10577205018990318</v>
      </c>
      <c r="N90" s="71"/>
      <c r="O90" s="10" t="str">
        <f t="shared" si="68"/>
        <v/>
      </c>
      <c r="P90" s="29" t="str">
        <f t="shared" si="53"/>
        <v/>
      </c>
      <c r="Q90" s="71"/>
      <c r="R90" s="10" t="str">
        <f t="shared" si="69"/>
        <v/>
      </c>
      <c r="S90" s="71"/>
      <c r="T90" s="10" t="str">
        <f t="shared" si="70"/>
        <v/>
      </c>
      <c r="U90" s="71"/>
      <c r="V90" s="10" t="str">
        <f t="shared" si="54"/>
        <v/>
      </c>
      <c r="W90" s="10" t="str">
        <f t="shared" si="71"/>
        <v/>
      </c>
      <c r="X90" s="71"/>
      <c r="Y90" s="10" t="str">
        <f t="shared" si="55"/>
        <v/>
      </c>
      <c r="Z90" s="10" t="str">
        <f t="shared" si="72"/>
        <v/>
      </c>
      <c r="AA90" s="71"/>
      <c r="AB90" s="10" t="str">
        <f t="shared" si="56"/>
        <v/>
      </c>
      <c r="AC90" s="10" t="str">
        <f t="shared" si="73"/>
        <v/>
      </c>
      <c r="AD90" s="71"/>
      <c r="AE90" s="10" t="str">
        <f t="shared" si="57"/>
        <v/>
      </c>
      <c r="AF90" s="10" t="str">
        <f t="shared" si="74"/>
        <v/>
      </c>
      <c r="AG90" s="71"/>
      <c r="AH90" s="10" t="str">
        <f t="shared" si="58"/>
        <v/>
      </c>
      <c r="AI90" s="10" t="str">
        <f t="shared" si="75"/>
        <v/>
      </c>
      <c r="AJ90" s="71"/>
      <c r="AK90" s="10" t="str">
        <f t="shared" si="59"/>
        <v/>
      </c>
      <c r="AL90" s="10" t="str">
        <f t="shared" si="76"/>
        <v/>
      </c>
      <c r="AM90" s="71"/>
      <c r="AN90" s="10" t="str">
        <f t="shared" si="60"/>
        <v/>
      </c>
      <c r="AO90" s="10" t="str">
        <f t="shared" si="77"/>
        <v/>
      </c>
      <c r="AP90" s="71"/>
      <c r="AQ90" s="10" t="str">
        <f t="shared" si="61"/>
        <v/>
      </c>
      <c r="AR90" s="10" t="str">
        <f t="shared" si="78"/>
        <v/>
      </c>
      <c r="AS90" s="71"/>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U90" s="71"/>
      <c r="AV90" s="10" t="str">
        <f t="shared" si="62"/>
        <v/>
      </c>
      <c r="AW90" s="10" t="str">
        <f t="shared" si="79"/>
        <v/>
      </c>
      <c r="AX90" s="71"/>
      <c r="AY90" s="7" t="str">
        <f>IF(ISERROR(IF($K90&lt;=$F$15,VLOOKUP($I90,'表4）CO2価格'!$A$7:$E$67,VLOOKUP($F$48,'表4）CO2価格'!$H$10:$I$12,2,0),0)*$F$8/1000,"")),0,IF($K90&lt;=$F$15,VLOOKUP($I90,'表4）CO2価格'!$A$7:$E$67,VLOOKUP($F$48,'表4）CO2価格'!$H$10:$I$12,2,0),0)*$F$8/1000,""))</f>
        <v/>
      </c>
      <c r="AZ90" s="71"/>
      <c r="BA90" s="11" t="str">
        <f t="shared" si="63"/>
        <v/>
      </c>
      <c r="BB90" s="10" t="str">
        <f t="shared" si="80"/>
        <v/>
      </c>
      <c r="BC90" s="71"/>
      <c r="BD90" s="10" t="str">
        <f t="shared" si="64"/>
        <v/>
      </c>
      <c r="BE90" s="10" t="str">
        <f t="shared" si="81"/>
        <v/>
      </c>
      <c r="BF90" s="71"/>
      <c r="BG90" s="11" t="str">
        <f t="shared" si="65"/>
        <v/>
      </c>
      <c r="BH90" s="10" t="str">
        <f t="shared" si="82"/>
        <v/>
      </c>
      <c r="BJ90" s="7" t="str">
        <f t="shared" si="83"/>
        <v/>
      </c>
      <c r="BK90" s="158" t="str">
        <f t="shared" si="84"/>
        <v/>
      </c>
      <c r="BL90" s="158" t="str">
        <f t="shared" si="66"/>
        <v/>
      </c>
      <c r="BM90" s="10"/>
      <c r="BN90" s="10" t="str">
        <f t="shared" si="85"/>
        <v/>
      </c>
      <c r="BO90" s="10" t="str">
        <f t="shared" si="86"/>
        <v/>
      </c>
      <c r="BQ90" s="10" t="str">
        <f t="shared" si="67"/>
        <v/>
      </c>
      <c r="BR90" s="10" t="str">
        <f t="shared" si="87"/>
        <v/>
      </c>
    </row>
    <row r="91" spans="4:70" x14ac:dyDescent="0.15">
      <c r="F91" s="487"/>
      <c r="I91" s="38">
        <f t="shared" si="88"/>
        <v>2106</v>
      </c>
      <c r="J91" s="39"/>
      <c r="K91" s="39">
        <f t="shared" si="89"/>
        <v>77</v>
      </c>
      <c r="L91" s="39"/>
      <c r="M91" s="40">
        <f t="shared" si="52"/>
        <v>0.10269131086398368</v>
      </c>
      <c r="N91" s="39"/>
      <c r="O91" s="72" t="str">
        <f t="shared" si="68"/>
        <v/>
      </c>
      <c r="P91" s="41" t="str">
        <f t="shared" si="53"/>
        <v/>
      </c>
      <c r="Q91" s="39"/>
      <c r="R91" s="72" t="str">
        <f t="shared" si="69"/>
        <v/>
      </c>
      <c r="S91" s="39"/>
      <c r="T91" s="72" t="str">
        <f t="shared" si="70"/>
        <v/>
      </c>
      <c r="U91" s="39"/>
      <c r="V91" s="72" t="str">
        <f t="shared" si="54"/>
        <v/>
      </c>
      <c r="W91" s="72" t="str">
        <f t="shared" si="71"/>
        <v/>
      </c>
      <c r="X91" s="39"/>
      <c r="Y91" s="72" t="str">
        <f t="shared" si="55"/>
        <v/>
      </c>
      <c r="Z91" s="72" t="str">
        <f t="shared" si="72"/>
        <v/>
      </c>
      <c r="AA91" s="39"/>
      <c r="AB91" s="72" t="str">
        <f t="shared" si="56"/>
        <v/>
      </c>
      <c r="AC91" s="72" t="str">
        <f t="shared" si="73"/>
        <v/>
      </c>
      <c r="AD91" s="39"/>
      <c r="AE91" s="72" t="str">
        <f t="shared" si="57"/>
        <v/>
      </c>
      <c r="AF91" s="72" t="str">
        <f t="shared" si="74"/>
        <v/>
      </c>
      <c r="AG91" s="39"/>
      <c r="AH91" s="72" t="str">
        <f t="shared" si="58"/>
        <v/>
      </c>
      <c r="AI91" s="72" t="str">
        <f t="shared" si="75"/>
        <v/>
      </c>
      <c r="AJ91" s="39"/>
      <c r="AK91" s="72" t="str">
        <f t="shared" si="59"/>
        <v/>
      </c>
      <c r="AL91" s="72" t="str">
        <f t="shared" si="76"/>
        <v/>
      </c>
      <c r="AM91" s="39"/>
      <c r="AN91" s="72" t="str">
        <f t="shared" si="60"/>
        <v/>
      </c>
      <c r="AO91" s="72" t="str">
        <f t="shared" si="77"/>
        <v/>
      </c>
      <c r="AP91" s="39"/>
      <c r="AQ91" s="72" t="str">
        <f t="shared" si="61"/>
        <v/>
      </c>
      <c r="AR91" s="72" t="str">
        <f t="shared" si="78"/>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62"/>
        <v/>
      </c>
      <c r="AW91" s="72" t="str">
        <f t="shared" si="79"/>
        <v/>
      </c>
      <c r="AX91" s="39"/>
      <c r="AY91" s="40" t="str">
        <f>IF(ISERROR(IF($K91&lt;=$F$15,VLOOKUP($I91,'表4）CO2価格'!$A$7:$E$67,VLOOKUP($F$48,'表4）CO2価格'!$H$10:$I$12,2,0),0)*$F$8/1000,"")),0,IF($K91&lt;=$F$15,VLOOKUP($I91,'表4）CO2価格'!$A$7:$E$67,VLOOKUP($F$48,'表4）CO2価格'!$H$10:$I$12,2,0),0)*$F$8/1000,""))</f>
        <v/>
      </c>
      <c r="AZ91" s="39"/>
      <c r="BA91" s="42" t="str">
        <f t="shared" si="63"/>
        <v/>
      </c>
      <c r="BB91" s="72" t="str">
        <f t="shared" si="80"/>
        <v/>
      </c>
      <c r="BC91" s="39"/>
      <c r="BD91" s="72" t="str">
        <f t="shared" si="64"/>
        <v/>
      </c>
      <c r="BE91" s="72" t="str">
        <f t="shared" si="81"/>
        <v/>
      </c>
      <c r="BF91" s="39"/>
      <c r="BG91" s="42" t="str">
        <f t="shared" si="65"/>
        <v/>
      </c>
      <c r="BH91" s="72" t="str">
        <f t="shared" si="82"/>
        <v/>
      </c>
      <c r="BI91" s="39"/>
      <c r="BJ91" s="40" t="str">
        <f t="shared" si="83"/>
        <v/>
      </c>
      <c r="BK91" s="157" t="str">
        <f t="shared" si="84"/>
        <v/>
      </c>
      <c r="BL91" s="157" t="str">
        <f t="shared" si="66"/>
        <v/>
      </c>
      <c r="BM91" s="72"/>
      <c r="BN91" s="72" t="str">
        <f t="shared" si="85"/>
        <v/>
      </c>
      <c r="BO91" s="72" t="str">
        <f t="shared" si="86"/>
        <v/>
      </c>
      <c r="BP91" s="39"/>
      <c r="BQ91" s="72" t="str">
        <f t="shared" si="67"/>
        <v/>
      </c>
      <c r="BR91" s="72" t="str">
        <f t="shared" si="87"/>
        <v/>
      </c>
    </row>
    <row r="92" spans="4:70" ht="15" x14ac:dyDescent="0.15">
      <c r="D92" s="103" t="s">
        <v>595</v>
      </c>
      <c r="F92" s="484">
        <f>SUBTOTAL(9,F96:F97)</f>
        <v>0</v>
      </c>
      <c r="I92" s="457">
        <f t="shared" si="88"/>
        <v>2107</v>
      </c>
      <c r="J92" s="71"/>
      <c r="K92" s="71">
        <f t="shared" si="89"/>
        <v>78</v>
      </c>
      <c r="L92" s="71"/>
      <c r="M92" s="7">
        <f t="shared" si="52"/>
        <v>9.9700301809692873E-2</v>
      </c>
      <c r="N92" s="71"/>
      <c r="O92" s="10" t="str">
        <f t="shared" si="68"/>
        <v/>
      </c>
      <c r="P92" s="29" t="str">
        <f t="shared" si="53"/>
        <v/>
      </c>
      <c r="Q92" s="71"/>
      <c r="R92" s="10" t="str">
        <f t="shared" si="69"/>
        <v/>
      </c>
      <c r="S92" s="71"/>
      <c r="T92" s="10" t="str">
        <f t="shared" si="70"/>
        <v/>
      </c>
      <c r="U92" s="71"/>
      <c r="V92" s="10" t="str">
        <f t="shared" si="54"/>
        <v/>
      </c>
      <c r="W92" s="10" t="str">
        <f t="shared" si="71"/>
        <v/>
      </c>
      <c r="X92" s="71"/>
      <c r="Y92" s="10" t="str">
        <f t="shared" si="55"/>
        <v/>
      </c>
      <c r="Z92" s="10" t="str">
        <f t="shared" si="72"/>
        <v/>
      </c>
      <c r="AA92" s="71"/>
      <c r="AB92" s="10" t="str">
        <f t="shared" si="56"/>
        <v/>
      </c>
      <c r="AC92" s="10" t="str">
        <f t="shared" si="73"/>
        <v/>
      </c>
      <c r="AD92" s="71"/>
      <c r="AE92" s="10" t="str">
        <f t="shared" si="57"/>
        <v/>
      </c>
      <c r="AF92" s="10" t="str">
        <f t="shared" si="74"/>
        <v/>
      </c>
      <c r="AG92" s="71"/>
      <c r="AH92" s="10" t="str">
        <f t="shared" si="58"/>
        <v/>
      </c>
      <c r="AI92" s="10" t="str">
        <f t="shared" si="75"/>
        <v/>
      </c>
      <c r="AJ92" s="71"/>
      <c r="AK92" s="10" t="str">
        <f t="shared" si="59"/>
        <v/>
      </c>
      <c r="AL92" s="10" t="str">
        <f t="shared" si="76"/>
        <v/>
      </c>
      <c r="AM92" s="71"/>
      <c r="AN92" s="10" t="str">
        <f t="shared" si="60"/>
        <v/>
      </c>
      <c r="AO92" s="10" t="str">
        <f t="shared" si="77"/>
        <v/>
      </c>
      <c r="AP92" s="71"/>
      <c r="AQ92" s="10" t="str">
        <f t="shared" si="61"/>
        <v/>
      </c>
      <c r="AR92" s="10" t="str">
        <f t="shared" si="78"/>
        <v/>
      </c>
      <c r="AS92" s="71"/>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U92" s="71"/>
      <c r="AV92" s="10" t="str">
        <f t="shared" si="62"/>
        <v/>
      </c>
      <c r="AW92" s="10" t="str">
        <f t="shared" si="79"/>
        <v/>
      </c>
      <c r="AX92" s="71"/>
      <c r="AY92" s="7" t="str">
        <f>IF(ISERROR(IF($K92&lt;=$F$15,VLOOKUP($I92,'表4）CO2価格'!$A$7:$E$67,VLOOKUP($F$48,'表4）CO2価格'!$H$10:$I$12,2,0),0)*$F$8/1000,"")),0,IF($K92&lt;=$F$15,VLOOKUP($I92,'表4）CO2価格'!$A$7:$E$67,VLOOKUP($F$48,'表4）CO2価格'!$H$10:$I$12,2,0),0)*$F$8/1000,""))</f>
        <v/>
      </c>
      <c r="AZ92" s="71"/>
      <c r="BA92" s="11" t="str">
        <f t="shared" si="63"/>
        <v/>
      </c>
      <c r="BB92" s="10" t="str">
        <f t="shared" si="80"/>
        <v/>
      </c>
      <c r="BC92" s="71"/>
      <c r="BD92" s="10" t="str">
        <f t="shared" si="64"/>
        <v/>
      </c>
      <c r="BE92" s="10" t="str">
        <f t="shared" si="81"/>
        <v/>
      </c>
      <c r="BF92" s="71"/>
      <c r="BG92" s="11" t="str">
        <f t="shared" si="65"/>
        <v/>
      </c>
      <c r="BH92" s="10" t="str">
        <f t="shared" si="82"/>
        <v/>
      </c>
      <c r="BJ92" s="7" t="str">
        <f t="shared" si="83"/>
        <v/>
      </c>
      <c r="BK92" s="158" t="str">
        <f t="shared" si="84"/>
        <v/>
      </c>
      <c r="BL92" s="158" t="str">
        <f t="shared" si="66"/>
        <v/>
      </c>
      <c r="BM92" s="10"/>
      <c r="BN92" s="10" t="str">
        <f t="shared" si="85"/>
        <v/>
      </c>
      <c r="BO92" s="10" t="str">
        <f t="shared" si="86"/>
        <v/>
      </c>
      <c r="BQ92" s="10" t="str">
        <f t="shared" si="67"/>
        <v/>
      </c>
      <c r="BR92" s="10" t="str">
        <f t="shared" si="87"/>
        <v/>
      </c>
    </row>
    <row r="93" spans="4:70" ht="15" x14ac:dyDescent="0.15">
      <c r="D93" s="103"/>
      <c r="F93" s="487"/>
      <c r="I93" s="38">
        <f t="shared" si="88"/>
        <v>2108</v>
      </c>
      <c r="J93" s="39"/>
      <c r="K93" s="39">
        <f t="shared" si="89"/>
        <v>79</v>
      </c>
      <c r="L93" s="39"/>
      <c r="M93" s="40">
        <f t="shared" si="52"/>
        <v>9.679640952397367E-2</v>
      </c>
      <c r="N93" s="39"/>
      <c r="O93" s="72" t="str">
        <f t="shared" si="68"/>
        <v/>
      </c>
      <c r="P93" s="41" t="str">
        <f t="shared" si="53"/>
        <v/>
      </c>
      <c r="Q93" s="39"/>
      <c r="R93" s="72" t="str">
        <f t="shared" si="69"/>
        <v/>
      </c>
      <c r="S93" s="39"/>
      <c r="T93" s="72" t="str">
        <f t="shared" si="70"/>
        <v/>
      </c>
      <c r="U93" s="39"/>
      <c r="V93" s="72" t="str">
        <f t="shared" si="54"/>
        <v/>
      </c>
      <c r="W93" s="72" t="str">
        <f t="shared" si="71"/>
        <v/>
      </c>
      <c r="X93" s="39"/>
      <c r="Y93" s="72" t="str">
        <f t="shared" si="55"/>
        <v/>
      </c>
      <c r="Z93" s="72" t="str">
        <f t="shared" si="72"/>
        <v/>
      </c>
      <c r="AA93" s="39"/>
      <c r="AB93" s="72" t="str">
        <f t="shared" si="56"/>
        <v/>
      </c>
      <c r="AC93" s="72" t="str">
        <f t="shared" si="73"/>
        <v/>
      </c>
      <c r="AD93" s="39"/>
      <c r="AE93" s="72" t="str">
        <f t="shared" si="57"/>
        <v/>
      </c>
      <c r="AF93" s="72" t="str">
        <f t="shared" si="74"/>
        <v/>
      </c>
      <c r="AG93" s="39"/>
      <c r="AH93" s="72" t="str">
        <f t="shared" si="58"/>
        <v/>
      </c>
      <c r="AI93" s="72" t="str">
        <f t="shared" si="75"/>
        <v/>
      </c>
      <c r="AJ93" s="39"/>
      <c r="AK93" s="72" t="str">
        <f t="shared" si="59"/>
        <v/>
      </c>
      <c r="AL93" s="72" t="str">
        <f t="shared" si="76"/>
        <v/>
      </c>
      <c r="AM93" s="39"/>
      <c r="AN93" s="72" t="str">
        <f t="shared" si="60"/>
        <v/>
      </c>
      <c r="AO93" s="72" t="str">
        <f t="shared" si="77"/>
        <v/>
      </c>
      <c r="AP93" s="39"/>
      <c r="AQ93" s="72" t="str">
        <f t="shared" si="61"/>
        <v/>
      </c>
      <c r="AR93" s="72" t="str">
        <f t="shared" si="78"/>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62"/>
        <v/>
      </c>
      <c r="AW93" s="72" t="str">
        <f t="shared" si="79"/>
        <v/>
      </c>
      <c r="AX93" s="39"/>
      <c r="AY93" s="40" t="str">
        <f>IF(ISERROR(IF($K93&lt;=$F$15,VLOOKUP($I93,'表4）CO2価格'!$A$7:$E$67,VLOOKUP($F$48,'表4）CO2価格'!$H$10:$I$12,2,0),0)*$F$8/1000,"")),0,IF($K93&lt;=$F$15,VLOOKUP($I93,'表4）CO2価格'!$A$7:$E$67,VLOOKUP($F$48,'表4）CO2価格'!$H$10:$I$12,2,0),0)*$F$8/1000,""))</f>
        <v/>
      </c>
      <c r="AZ93" s="39"/>
      <c r="BA93" s="42" t="str">
        <f t="shared" si="63"/>
        <v/>
      </c>
      <c r="BB93" s="72" t="str">
        <f t="shared" si="80"/>
        <v/>
      </c>
      <c r="BC93" s="39"/>
      <c r="BD93" s="72" t="str">
        <f t="shared" si="64"/>
        <v/>
      </c>
      <c r="BE93" s="72" t="str">
        <f t="shared" si="81"/>
        <v/>
      </c>
      <c r="BF93" s="39"/>
      <c r="BG93" s="42" t="str">
        <f t="shared" si="65"/>
        <v/>
      </c>
      <c r="BH93" s="72" t="str">
        <f t="shared" si="82"/>
        <v/>
      </c>
      <c r="BI93" s="39"/>
      <c r="BJ93" s="40" t="str">
        <f t="shared" si="83"/>
        <v/>
      </c>
      <c r="BK93" s="157" t="str">
        <f t="shared" si="84"/>
        <v/>
      </c>
      <c r="BL93" s="157" t="str">
        <f t="shared" si="66"/>
        <v/>
      </c>
      <c r="BM93" s="72"/>
      <c r="BN93" s="72" t="str">
        <f t="shared" si="85"/>
        <v/>
      </c>
      <c r="BO93" s="72" t="str">
        <f t="shared" si="86"/>
        <v/>
      </c>
      <c r="BP93" s="39"/>
      <c r="BQ93" s="72" t="str">
        <f t="shared" si="67"/>
        <v/>
      </c>
      <c r="BR93" s="72" t="str">
        <f t="shared" si="87"/>
        <v/>
      </c>
    </row>
    <row r="94" spans="4:70" x14ac:dyDescent="0.15">
      <c r="D94" s="100" t="s">
        <v>596</v>
      </c>
      <c r="E94" s="100"/>
      <c r="F94" s="486"/>
      <c r="G94" s="100"/>
      <c r="I94" s="457">
        <f t="shared" si="88"/>
        <v>2109</v>
      </c>
      <c r="J94" s="71"/>
      <c r="K94" s="71">
        <f t="shared" si="89"/>
        <v>80</v>
      </c>
      <c r="L94" s="71"/>
      <c r="M94" s="7">
        <f t="shared" si="52"/>
        <v>9.3977096625217166E-2</v>
      </c>
      <c r="N94" s="71"/>
      <c r="O94" s="10" t="str">
        <f t="shared" si="68"/>
        <v/>
      </c>
      <c r="P94" s="29" t="str">
        <f t="shared" si="53"/>
        <v/>
      </c>
      <c r="Q94" s="71"/>
      <c r="R94" s="10" t="str">
        <f t="shared" si="69"/>
        <v/>
      </c>
      <c r="S94" s="71"/>
      <c r="T94" s="10" t="str">
        <f t="shared" si="70"/>
        <v/>
      </c>
      <c r="U94" s="71"/>
      <c r="V94" s="10" t="str">
        <f t="shared" si="54"/>
        <v/>
      </c>
      <c r="W94" s="10" t="str">
        <f t="shared" si="71"/>
        <v/>
      </c>
      <c r="X94" s="71"/>
      <c r="Y94" s="10" t="str">
        <f t="shared" si="55"/>
        <v/>
      </c>
      <c r="Z94" s="10" t="str">
        <f t="shared" si="72"/>
        <v/>
      </c>
      <c r="AA94" s="71"/>
      <c r="AB94" s="10" t="str">
        <f t="shared" si="56"/>
        <v/>
      </c>
      <c r="AC94" s="10" t="str">
        <f t="shared" si="73"/>
        <v/>
      </c>
      <c r="AD94" s="71"/>
      <c r="AE94" s="10" t="str">
        <f t="shared" si="57"/>
        <v/>
      </c>
      <c r="AF94" s="10" t="str">
        <f t="shared" si="74"/>
        <v/>
      </c>
      <c r="AG94" s="71"/>
      <c r="AH94" s="10" t="str">
        <f t="shared" si="58"/>
        <v/>
      </c>
      <c r="AI94" s="10" t="str">
        <f t="shared" si="75"/>
        <v/>
      </c>
      <c r="AJ94" s="71"/>
      <c r="AK94" s="10" t="str">
        <f t="shared" si="59"/>
        <v/>
      </c>
      <c r="AL94" s="10" t="str">
        <f t="shared" si="76"/>
        <v/>
      </c>
      <c r="AM94" s="71"/>
      <c r="AN94" s="10" t="str">
        <f t="shared" si="60"/>
        <v/>
      </c>
      <c r="AO94" s="10" t="str">
        <f t="shared" si="77"/>
        <v/>
      </c>
      <c r="AP94" s="71"/>
      <c r="AQ94" s="10" t="str">
        <f t="shared" si="61"/>
        <v/>
      </c>
      <c r="AR94" s="10" t="str">
        <f t="shared" si="78"/>
        <v/>
      </c>
      <c r="AS94" s="71"/>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U94" s="71"/>
      <c r="AV94" s="10" t="str">
        <f t="shared" si="62"/>
        <v/>
      </c>
      <c r="AW94" s="10" t="str">
        <f t="shared" si="79"/>
        <v/>
      </c>
      <c r="AX94" s="71"/>
      <c r="AY94" s="7" t="str">
        <f>IF(ISERROR(IF($K94&lt;=$F$15,VLOOKUP($I94,'表4）CO2価格'!$A$7:$E$67,VLOOKUP($F$48,'表4）CO2価格'!$H$10:$I$12,2,0),0)*$F$8/1000,"")),0,IF($K94&lt;=$F$15,VLOOKUP($I94,'表4）CO2価格'!$A$7:$E$67,VLOOKUP($F$48,'表4）CO2価格'!$H$10:$I$12,2,0),0)*$F$8/1000,""))</f>
        <v/>
      </c>
      <c r="AZ94" s="71"/>
      <c r="BA94" s="11" t="str">
        <f t="shared" si="63"/>
        <v/>
      </c>
      <c r="BB94" s="10" t="str">
        <f t="shared" si="80"/>
        <v/>
      </c>
      <c r="BC94" s="71"/>
      <c r="BD94" s="10" t="str">
        <f t="shared" si="64"/>
        <v/>
      </c>
      <c r="BE94" s="10" t="str">
        <f t="shared" si="81"/>
        <v/>
      </c>
      <c r="BF94" s="71"/>
      <c r="BG94" s="11" t="str">
        <f t="shared" si="65"/>
        <v/>
      </c>
      <c r="BH94" s="10" t="str">
        <f t="shared" si="82"/>
        <v/>
      </c>
      <c r="BJ94" s="7" t="str">
        <f t="shared" si="83"/>
        <v/>
      </c>
      <c r="BK94" s="158" t="str">
        <f t="shared" si="84"/>
        <v/>
      </c>
      <c r="BL94" s="158" t="str">
        <f t="shared" si="66"/>
        <v/>
      </c>
      <c r="BM94" s="10"/>
      <c r="BN94" s="10" t="str">
        <f t="shared" si="85"/>
        <v/>
      </c>
      <c r="BO94" s="10" t="str">
        <f t="shared" si="86"/>
        <v/>
      </c>
      <c r="BQ94" s="10" t="str">
        <f t="shared" si="67"/>
        <v/>
      </c>
      <c r="BR94" s="10" t="str">
        <f t="shared" si="87"/>
        <v/>
      </c>
    </row>
    <row r="95" spans="4:70" ht="15" x14ac:dyDescent="0.15">
      <c r="D95" s="103"/>
      <c r="F95" s="487"/>
      <c r="I95" s="38">
        <f t="shared" si="88"/>
        <v>2110</v>
      </c>
      <c r="J95" s="39"/>
      <c r="K95" s="39">
        <f t="shared" si="89"/>
        <v>81</v>
      </c>
      <c r="L95" s="39"/>
      <c r="M95" s="40">
        <f t="shared" si="52"/>
        <v>9.1239899636133173E-2</v>
      </c>
      <c r="N95" s="39"/>
      <c r="O95" s="72" t="str">
        <f t="shared" si="68"/>
        <v/>
      </c>
      <c r="P95" s="41" t="str">
        <f t="shared" si="53"/>
        <v/>
      </c>
      <c r="Q95" s="39"/>
      <c r="R95" s="72" t="str">
        <f t="shared" si="69"/>
        <v/>
      </c>
      <c r="S95" s="39"/>
      <c r="T95" s="72" t="str">
        <f t="shared" si="70"/>
        <v/>
      </c>
      <c r="U95" s="39"/>
      <c r="V95" s="72" t="str">
        <f t="shared" si="54"/>
        <v/>
      </c>
      <c r="W95" s="72" t="str">
        <f t="shared" si="71"/>
        <v/>
      </c>
      <c r="X95" s="39"/>
      <c r="Y95" s="72" t="str">
        <f t="shared" si="55"/>
        <v/>
      </c>
      <c r="Z95" s="72" t="str">
        <f t="shared" si="72"/>
        <v/>
      </c>
      <c r="AA95" s="39"/>
      <c r="AB95" s="72" t="str">
        <f t="shared" si="56"/>
        <v/>
      </c>
      <c r="AC95" s="72" t="str">
        <f t="shared" si="73"/>
        <v/>
      </c>
      <c r="AD95" s="39"/>
      <c r="AE95" s="72" t="str">
        <f t="shared" si="57"/>
        <v/>
      </c>
      <c r="AF95" s="72" t="str">
        <f t="shared" si="74"/>
        <v/>
      </c>
      <c r="AG95" s="39"/>
      <c r="AH95" s="72" t="str">
        <f t="shared" si="58"/>
        <v/>
      </c>
      <c r="AI95" s="72" t="str">
        <f t="shared" si="75"/>
        <v/>
      </c>
      <c r="AJ95" s="39"/>
      <c r="AK95" s="72" t="str">
        <f t="shared" si="59"/>
        <v/>
      </c>
      <c r="AL95" s="72" t="str">
        <f t="shared" si="76"/>
        <v/>
      </c>
      <c r="AM95" s="39"/>
      <c r="AN95" s="72" t="str">
        <f t="shared" si="60"/>
        <v/>
      </c>
      <c r="AO95" s="72" t="str">
        <f t="shared" si="77"/>
        <v/>
      </c>
      <c r="AP95" s="39"/>
      <c r="AQ95" s="72" t="str">
        <f t="shared" si="61"/>
        <v/>
      </c>
      <c r="AR95" s="72" t="str">
        <f t="shared" si="78"/>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62"/>
        <v/>
      </c>
      <c r="AW95" s="72" t="str">
        <f t="shared" si="79"/>
        <v/>
      </c>
      <c r="AX95" s="39"/>
      <c r="AY95" s="40" t="str">
        <f>IF(ISERROR(IF($K95&lt;=$F$15,VLOOKUP($I95,'表4）CO2価格'!$A$7:$E$67,VLOOKUP($F$48,'表4）CO2価格'!$H$10:$I$12,2,0),0)*$F$8/1000,"")),0,IF($K95&lt;=$F$15,VLOOKUP($I95,'表4）CO2価格'!$A$7:$E$67,VLOOKUP($F$48,'表4）CO2価格'!$H$10:$I$12,2,0),0)*$F$8/1000,""))</f>
        <v/>
      </c>
      <c r="AZ95" s="39"/>
      <c r="BA95" s="42" t="str">
        <f t="shared" si="63"/>
        <v/>
      </c>
      <c r="BB95" s="72" t="str">
        <f t="shared" si="80"/>
        <v/>
      </c>
      <c r="BC95" s="39"/>
      <c r="BD95" s="72" t="str">
        <f t="shared" si="64"/>
        <v/>
      </c>
      <c r="BE95" s="72" t="str">
        <f t="shared" si="81"/>
        <v/>
      </c>
      <c r="BF95" s="39"/>
      <c r="BG95" s="42" t="str">
        <f t="shared" si="65"/>
        <v/>
      </c>
      <c r="BH95" s="72" t="str">
        <f t="shared" si="82"/>
        <v/>
      </c>
      <c r="BI95" s="39"/>
      <c r="BJ95" s="40" t="str">
        <f t="shared" si="83"/>
        <v/>
      </c>
      <c r="BK95" s="157" t="str">
        <f t="shared" si="84"/>
        <v/>
      </c>
      <c r="BL95" s="157" t="str">
        <f t="shared" si="66"/>
        <v/>
      </c>
      <c r="BM95" s="72"/>
      <c r="BN95" s="72" t="str">
        <f t="shared" si="85"/>
        <v/>
      </c>
      <c r="BO95" s="72" t="str">
        <f t="shared" si="86"/>
        <v/>
      </c>
      <c r="BP95" s="39"/>
      <c r="BQ95" s="72" t="str">
        <f t="shared" si="67"/>
        <v/>
      </c>
      <c r="BR95" s="72" t="str">
        <f t="shared" si="87"/>
        <v/>
      </c>
    </row>
    <row r="96" spans="4:70" ht="15" x14ac:dyDescent="0.15">
      <c r="D96" s="103"/>
      <c r="E96" s="84" t="s">
        <v>597</v>
      </c>
      <c r="F96" s="488">
        <f>IF(F3&lt;&gt;"原子力",AW116/$BR$116,0)</f>
        <v>0</v>
      </c>
      <c r="G96" s="84" t="s">
        <v>590</v>
      </c>
      <c r="I96" s="457">
        <f t="shared" si="88"/>
        <v>2111</v>
      </c>
      <c r="J96" s="71"/>
      <c r="K96" s="71">
        <f t="shared" si="89"/>
        <v>82</v>
      </c>
      <c r="L96" s="71"/>
      <c r="M96" s="7">
        <f t="shared" si="52"/>
        <v>8.8582426831197242E-2</v>
      </c>
      <c r="N96" s="71"/>
      <c r="O96" s="10" t="str">
        <f t="shared" si="68"/>
        <v/>
      </c>
      <c r="P96" s="29" t="str">
        <f t="shared" si="53"/>
        <v/>
      </c>
      <c r="Q96" s="71"/>
      <c r="R96" s="10" t="str">
        <f t="shared" si="69"/>
        <v/>
      </c>
      <c r="S96" s="71"/>
      <c r="T96" s="10" t="str">
        <f t="shared" si="70"/>
        <v/>
      </c>
      <c r="U96" s="71"/>
      <c r="V96" s="10" t="str">
        <f t="shared" si="54"/>
        <v/>
      </c>
      <c r="W96" s="10" t="str">
        <f t="shared" si="71"/>
        <v/>
      </c>
      <c r="X96" s="71"/>
      <c r="Y96" s="10" t="str">
        <f t="shared" si="55"/>
        <v/>
      </c>
      <c r="Z96" s="10" t="str">
        <f t="shared" si="72"/>
        <v/>
      </c>
      <c r="AA96" s="71"/>
      <c r="AB96" s="10" t="str">
        <f t="shared" si="56"/>
        <v/>
      </c>
      <c r="AC96" s="10" t="str">
        <f t="shared" si="73"/>
        <v/>
      </c>
      <c r="AD96" s="71"/>
      <c r="AE96" s="10" t="str">
        <f t="shared" si="57"/>
        <v/>
      </c>
      <c r="AF96" s="10" t="str">
        <f t="shared" si="74"/>
        <v/>
      </c>
      <c r="AG96" s="71"/>
      <c r="AH96" s="10" t="str">
        <f t="shared" si="58"/>
        <v/>
      </c>
      <c r="AI96" s="10" t="str">
        <f t="shared" si="75"/>
        <v/>
      </c>
      <c r="AJ96" s="71"/>
      <c r="AK96" s="10" t="str">
        <f t="shared" si="59"/>
        <v/>
      </c>
      <c r="AL96" s="10" t="str">
        <f t="shared" si="76"/>
        <v/>
      </c>
      <c r="AM96" s="71"/>
      <c r="AN96" s="10" t="str">
        <f t="shared" si="60"/>
        <v/>
      </c>
      <c r="AO96" s="10" t="str">
        <f t="shared" si="77"/>
        <v/>
      </c>
      <c r="AP96" s="71"/>
      <c r="AQ96" s="10" t="str">
        <f t="shared" si="61"/>
        <v/>
      </c>
      <c r="AR96" s="10" t="str">
        <f t="shared" si="78"/>
        <v/>
      </c>
      <c r="AS96" s="71"/>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U96" s="71"/>
      <c r="AV96" s="10" t="str">
        <f t="shared" si="62"/>
        <v/>
      </c>
      <c r="AW96" s="10" t="str">
        <f t="shared" si="79"/>
        <v/>
      </c>
      <c r="AX96" s="71"/>
      <c r="AY96" s="7" t="str">
        <f>IF(ISERROR(IF($K96&lt;=$F$15,VLOOKUP($I96,'表4）CO2価格'!$A$7:$E$67,VLOOKUP($F$48,'表4）CO2価格'!$H$10:$I$12,2,0),0)*$F$8/1000,"")),0,IF($K96&lt;=$F$15,VLOOKUP($I96,'表4）CO2価格'!$A$7:$E$67,VLOOKUP($F$48,'表4）CO2価格'!$H$10:$I$12,2,0),0)*$F$8/1000,""))</f>
        <v/>
      </c>
      <c r="AZ96" s="71"/>
      <c r="BA96" s="11" t="str">
        <f t="shared" si="63"/>
        <v/>
      </c>
      <c r="BB96" s="10" t="str">
        <f t="shared" si="80"/>
        <v/>
      </c>
      <c r="BC96" s="71"/>
      <c r="BD96" s="10" t="str">
        <f t="shared" si="64"/>
        <v/>
      </c>
      <c r="BE96" s="10" t="str">
        <f t="shared" si="81"/>
        <v/>
      </c>
      <c r="BF96" s="71"/>
      <c r="BG96" s="11" t="str">
        <f t="shared" si="65"/>
        <v/>
      </c>
      <c r="BH96" s="10" t="str">
        <f t="shared" si="82"/>
        <v/>
      </c>
      <c r="BJ96" s="7" t="str">
        <f t="shared" si="83"/>
        <v/>
      </c>
      <c r="BK96" s="158" t="str">
        <f t="shared" si="84"/>
        <v/>
      </c>
      <c r="BL96" s="158" t="str">
        <f t="shared" si="66"/>
        <v/>
      </c>
      <c r="BM96" s="10"/>
      <c r="BN96" s="10" t="str">
        <f t="shared" si="85"/>
        <v/>
      </c>
      <c r="BO96" s="10" t="str">
        <f t="shared" si="86"/>
        <v/>
      </c>
      <c r="BQ96" s="10" t="str">
        <f t="shared" si="67"/>
        <v/>
      </c>
      <c r="BR96" s="10" t="str">
        <f t="shared" si="87"/>
        <v/>
      </c>
    </row>
    <row r="97" spans="4:70" ht="15" x14ac:dyDescent="0.15">
      <c r="D97" s="103"/>
      <c r="E97" s="84" t="s">
        <v>598</v>
      </c>
      <c r="F97" s="488">
        <f>IF(F3="原子力",#REF!,0)</f>
        <v>0</v>
      </c>
      <c r="G97" s="84" t="s">
        <v>590</v>
      </c>
      <c r="I97" s="38">
        <f t="shared" si="88"/>
        <v>2112</v>
      </c>
      <c r="J97" s="39"/>
      <c r="K97" s="39">
        <f t="shared" si="89"/>
        <v>83</v>
      </c>
      <c r="L97" s="39"/>
      <c r="M97" s="40">
        <f t="shared" si="52"/>
        <v>8.6002356146793454E-2</v>
      </c>
      <c r="N97" s="39"/>
      <c r="O97" s="72" t="str">
        <f t="shared" si="68"/>
        <v/>
      </c>
      <c r="P97" s="41" t="str">
        <f t="shared" si="53"/>
        <v/>
      </c>
      <c r="Q97" s="39"/>
      <c r="R97" s="72" t="str">
        <f t="shared" si="69"/>
        <v/>
      </c>
      <c r="S97" s="39"/>
      <c r="T97" s="72" t="str">
        <f t="shared" si="70"/>
        <v/>
      </c>
      <c r="U97" s="39"/>
      <c r="V97" s="72" t="str">
        <f t="shared" si="54"/>
        <v/>
      </c>
      <c r="W97" s="72" t="str">
        <f t="shared" si="71"/>
        <v/>
      </c>
      <c r="X97" s="39"/>
      <c r="Y97" s="72" t="str">
        <f t="shared" si="55"/>
        <v/>
      </c>
      <c r="Z97" s="72" t="str">
        <f t="shared" si="72"/>
        <v/>
      </c>
      <c r="AA97" s="39"/>
      <c r="AB97" s="72" t="str">
        <f t="shared" si="56"/>
        <v/>
      </c>
      <c r="AC97" s="72" t="str">
        <f t="shared" si="73"/>
        <v/>
      </c>
      <c r="AD97" s="39"/>
      <c r="AE97" s="72" t="str">
        <f t="shared" si="57"/>
        <v/>
      </c>
      <c r="AF97" s="72" t="str">
        <f t="shared" si="74"/>
        <v/>
      </c>
      <c r="AG97" s="39"/>
      <c r="AH97" s="72" t="str">
        <f t="shared" si="58"/>
        <v/>
      </c>
      <c r="AI97" s="72" t="str">
        <f t="shared" si="75"/>
        <v/>
      </c>
      <c r="AJ97" s="39"/>
      <c r="AK97" s="72" t="str">
        <f t="shared" si="59"/>
        <v/>
      </c>
      <c r="AL97" s="72" t="str">
        <f t="shared" si="76"/>
        <v/>
      </c>
      <c r="AM97" s="39"/>
      <c r="AN97" s="72" t="str">
        <f t="shared" si="60"/>
        <v/>
      </c>
      <c r="AO97" s="72" t="str">
        <f t="shared" si="77"/>
        <v/>
      </c>
      <c r="AP97" s="39"/>
      <c r="AQ97" s="72" t="str">
        <f t="shared" si="61"/>
        <v/>
      </c>
      <c r="AR97" s="72" t="str">
        <f t="shared" si="78"/>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62"/>
        <v/>
      </c>
      <c r="AW97" s="72" t="str">
        <f t="shared" si="79"/>
        <v/>
      </c>
      <c r="AX97" s="39"/>
      <c r="AY97" s="40" t="str">
        <f>IF(ISERROR(IF($K97&lt;=$F$15,VLOOKUP($I97,'表4）CO2価格'!$A$7:$E$67,VLOOKUP($F$48,'表4）CO2価格'!$H$10:$I$12,2,0),0)*$F$8/1000,"")),0,IF($K97&lt;=$F$15,VLOOKUP($I97,'表4）CO2価格'!$A$7:$E$67,VLOOKUP($F$48,'表4）CO2価格'!$H$10:$I$12,2,0),0)*$F$8/1000,""))</f>
        <v/>
      </c>
      <c r="AZ97" s="39"/>
      <c r="BA97" s="42" t="str">
        <f t="shared" si="63"/>
        <v/>
      </c>
      <c r="BB97" s="72" t="str">
        <f t="shared" si="80"/>
        <v/>
      </c>
      <c r="BC97" s="39"/>
      <c r="BD97" s="72" t="str">
        <f t="shared" si="64"/>
        <v/>
      </c>
      <c r="BE97" s="72" t="str">
        <f t="shared" si="81"/>
        <v/>
      </c>
      <c r="BF97" s="39"/>
      <c r="BG97" s="42" t="str">
        <f t="shared" si="65"/>
        <v/>
      </c>
      <c r="BH97" s="72" t="str">
        <f t="shared" si="82"/>
        <v/>
      </c>
      <c r="BI97" s="39"/>
      <c r="BJ97" s="40" t="str">
        <f t="shared" si="83"/>
        <v/>
      </c>
      <c r="BK97" s="157" t="str">
        <f t="shared" si="84"/>
        <v/>
      </c>
      <c r="BL97" s="157" t="str">
        <f t="shared" si="66"/>
        <v/>
      </c>
      <c r="BM97" s="72"/>
      <c r="BN97" s="72" t="str">
        <f t="shared" si="85"/>
        <v/>
      </c>
      <c r="BO97" s="72" t="str">
        <f t="shared" si="86"/>
        <v/>
      </c>
      <c r="BP97" s="39"/>
      <c r="BQ97" s="72" t="str">
        <f t="shared" si="67"/>
        <v/>
      </c>
      <c r="BR97" s="72" t="str">
        <f t="shared" si="87"/>
        <v/>
      </c>
    </row>
    <row r="98" spans="4:70" x14ac:dyDescent="0.15">
      <c r="F98" s="487"/>
      <c r="I98" s="457">
        <f t="shared" si="88"/>
        <v>2113</v>
      </c>
      <c r="J98" s="71"/>
      <c r="K98" s="71">
        <f t="shared" si="89"/>
        <v>84</v>
      </c>
      <c r="L98" s="71"/>
      <c r="M98" s="7">
        <f t="shared" si="52"/>
        <v>8.3497433152226644E-2</v>
      </c>
      <c r="N98" s="71"/>
      <c r="O98" s="10" t="str">
        <f t="shared" si="68"/>
        <v/>
      </c>
      <c r="P98" s="29" t="str">
        <f t="shared" si="53"/>
        <v/>
      </c>
      <c r="Q98" s="71"/>
      <c r="R98" s="10" t="str">
        <f t="shared" si="69"/>
        <v/>
      </c>
      <c r="S98" s="71"/>
      <c r="T98" s="10" t="str">
        <f t="shared" si="70"/>
        <v/>
      </c>
      <c r="U98" s="71"/>
      <c r="V98" s="10" t="str">
        <f t="shared" si="54"/>
        <v/>
      </c>
      <c r="W98" s="10" t="str">
        <f t="shared" si="71"/>
        <v/>
      </c>
      <c r="X98" s="71"/>
      <c r="Y98" s="10" t="str">
        <f t="shared" si="55"/>
        <v/>
      </c>
      <c r="Z98" s="10" t="str">
        <f t="shared" si="72"/>
        <v/>
      </c>
      <c r="AA98" s="71"/>
      <c r="AB98" s="10" t="str">
        <f t="shared" si="56"/>
        <v/>
      </c>
      <c r="AC98" s="10" t="str">
        <f t="shared" si="73"/>
        <v/>
      </c>
      <c r="AD98" s="71"/>
      <c r="AE98" s="10" t="str">
        <f t="shared" si="57"/>
        <v/>
      </c>
      <c r="AF98" s="10" t="str">
        <f t="shared" si="74"/>
        <v/>
      </c>
      <c r="AG98" s="71"/>
      <c r="AH98" s="10" t="str">
        <f t="shared" si="58"/>
        <v/>
      </c>
      <c r="AI98" s="10" t="str">
        <f t="shared" si="75"/>
        <v/>
      </c>
      <c r="AJ98" s="71"/>
      <c r="AK98" s="10" t="str">
        <f t="shared" si="59"/>
        <v/>
      </c>
      <c r="AL98" s="10" t="str">
        <f t="shared" si="76"/>
        <v/>
      </c>
      <c r="AM98" s="71"/>
      <c r="AN98" s="10" t="str">
        <f t="shared" si="60"/>
        <v/>
      </c>
      <c r="AO98" s="10" t="str">
        <f t="shared" si="77"/>
        <v/>
      </c>
      <c r="AP98" s="71"/>
      <c r="AQ98" s="10" t="str">
        <f t="shared" si="61"/>
        <v/>
      </c>
      <c r="AR98" s="10" t="str">
        <f t="shared" si="78"/>
        <v/>
      </c>
      <c r="AS98" s="71"/>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U98" s="71"/>
      <c r="AV98" s="10" t="str">
        <f t="shared" si="62"/>
        <v/>
      </c>
      <c r="AW98" s="10" t="str">
        <f t="shared" si="79"/>
        <v/>
      </c>
      <c r="AX98" s="71"/>
      <c r="AY98" s="7" t="str">
        <f>IF(ISERROR(IF($K98&lt;=$F$15,VLOOKUP($I98,'表4）CO2価格'!$A$7:$E$67,VLOOKUP($F$48,'表4）CO2価格'!$H$10:$I$12,2,0),0)*$F$8/1000,"")),0,IF($K98&lt;=$F$15,VLOOKUP($I98,'表4）CO2価格'!$A$7:$E$67,VLOOKUP($F$48,'表4）CO2価格'!$H$10:$I$12,2,0),0)*$F$8/1000,""))</f>
        <v/>
      </c>
      <c r="AZ98" s="71"/>
      <c r="BA98" s="11" t="str">
        <f t="shared" si="63"/>
        <v/>
      </c>
      <c r="BB98" s="10" t="str">
        <f t="shared" si="80"/>
        <v/>
      </c>
      <c r="BC98" s="71"/>
      <c r="BD98" s="10" t="str">
        <f t="shared" si="64"/>
        <v/>
      </c>
      <c r="BE98" s="10" t="str">
        <f t="shared" si="81"/>
        <v/>
      </c>
      <c r="BF98" s="71"/>
      <c r="BG98" s="11" t="str">
        <f t="shared" si="65"/>
        <v/>
      </c>
      <c r="BH98" s="10" t="str">
        <f t="shared" si="82"/>
        <v/>
      </c>
      <c r="BJ98" s="7" t="str">
        <f t="shared" si="83"/>
        <v/>
      </c>
      <c r="BK98" s="158" t="str">
        <f t="shared" si="84"/>
        <v/>
      </c>
      <c r="BL98" s="158" t="str">
        <f t="shared" si="66"/>
        <v/>
      </c>
      <c r="BM98" s="10"/>
      <c r="BN98" s="10" t="str">
        <f t="shared" si="85"/>
        <v/>
      </c>
      <c r="BO98" s="10" t="str">
        <f t="shared" si="86"/>
        <v/>
      </c>
      <c r="BQ98" s="10" t="str">
        <f t="shared" si="67"/>
        <v/>
      </c>
      <c r="BR98" s="10" t="str">
        <f t="shared" si="87"/>
        <v/>
      </c>
    </row>
    <row r="99" spans="4:70" ht="15" x14ac:dyDescent="0.15">
      <c r="D99" s="103" t="s">
        <v>599</v>
      </c>
      <c r="F99" s="484">
        <f>SUBTOTAL(9,F103:F105)</f>
        <v>0.45</v>
      </c>
      <c r="G99" s="84" t="s">
        <v>590</v>
      </c>
      <c r="I99" s="38">
        <f t="shared" si="88"/>
        <v>2114</v>
      </c>
      <c r="J99" s="39"/>
      <c r="K99" s="39">
        <f t="shared" si="89"/>
        <v>85</v>
      </c>
      <c r="L99" s="39"/>
      <c r="M99" s="40">
        <f t="shared" si="52"/>
        <v>8.1065469079831712E-2</v>
      </c>
      <c r="N99" s="39"/>
      <c r="O99" s="72" t="str">
        <f t="shared" si="68"/>
        <v/>
      </c>
      <c r="P99" s="41" t="str">
        <f t="shared" si="53"/>
        <v/>
      </c>
      <c r="Q99" s="39"/>
      <c r="R99" s="72" t="str">
        <f t="shared" si="69"/>
        <v/>
      </c>
      <c r="S99" s="39"/>
      <c r="T99" s="72" t="str">
        <f t="shared" si="70"/>
        <v/>
      </c>
      <c r="U99" s="39"/>
      <c r="V99" s="72" t="str">
        <f t="shared" si="54"/>
        <v/>
      </c>
      <c r="W99" s="72" t="str">
        <f t="shared" si="71"/>
        <v/>
      </c>
      <c r="X99" s="39"/>
      <c r="Y99" s="72" t="str">
        <f t="shared" si="55"/>
        <v/>
      </c>
      <c r="Z99" s="72" t="str">
        <f t="shared" si="72"/>
        <v/>
      </c>
      <c r="AA99" s="39"/>
      <c r="AB99" s="72" t="str">
        <f t="shared" si="56"/>
        <v/>
      </c>
      <c r="AC99" s="72" t="str">
        <f t="shared" si="73"/>
        <v/>
      </c>
      <c r="AD99" s="39"/>
      <c r="AE99" s="72" t="str">
        <f t="shared" si="57"/>
        <v/>
      </c>
      <c r="AF99" s="72" t="str">
        <f t="shared" si="74"/>
        <v/>
      </c>
      <c r="AG99" s="39"/>
      <c r="AH99" s="72" t="str">
        <f t="shared" si="58"/>
        <v/>
      </c>
      <c r="AI99" s="72" t="str">
        <f t="shared" si="75"/>
        <v/>
      </c>
      <c r="AJ99" s="39"/>
      <c r="AK99" s="72" t="str">
        <f t="shared" si="59"/>
        <v/>
      </c>
      <c r="AL99" s="72" t="str">
        <f t="shared" si="76"/>
        <v/>
      </c>
      <c r="AM99" s="39"/>
      <c r="AN99" s="72" t="str">
        <f t="shared" si="60"/>
        <v/>
      </c>
      <c r="AO99" s="72" t="str">
        <f t="shared" si="77"/>
        <v/>
      </c>
      <c r="AP99" s="39"/>
      <c r="AQ99" s="72" t="str">
        <f t="shared" si="61"/>
        <v/>
      </c>
      <c r="AR99" s="72" t="str">
        <f t="shared" si="78"/>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62"/>
        <v/>
      </c>
      <c r="AW99" s="72" t="str">
        <f t="shared" si="79"/>
        <v/>
      </c>
      <c r="AX99" s="39"/>
      <c r="AY99" s="40" t="str">
        <f>IF(ISERROR(IF($K99&lt;=$F$15,VLOOKUP($I99,'表4）CO2価格'!$A$7:$E$67,VLOOKUP($F$48,'表4）CO2価格'!$H$10:$I$12,2,0),0)*$F$8/1000,"")),0,IF($K99&lt;=$F$15,VLOOKUP($I99,'表4）CO2価格'!$A$7:$E$67,VLOOKUP($F$48,'表4）CO2価格'!$H$10:$I$12,2,0),0)*$F$8/1000,""))</f>
        <v/>
      </c>
      <c r="AZ99" s="39"/>
      <c r="BA99" s="42" t="str">
        <f t="shared" si="63"/>
        <v/>
      </c>
      <c r="BB99" s="72" t="str">
        <f t="shared" si="80"/>
        <v/>
      </c>
      <c r="BC99" s="39"/>
      <c r="BD99" s="72" t="str">
        <f t="shared" si="64"/>
        <v/>
      </c>
      <c r="BE99" s="72" t="str">
        <f t="shared" si="81"/>
        <v/>
      </c>
      <c r="BF99" s="39"/>
      <c r="BG99" s="42" t="str">
        <f t="shared" si="65"/>
        <v/>
      </c>
      <c r="BH99" s="72" t="str">
        <f t="shared" si="82"/>
        <v/>
      </c>
      <c r="BI99" s="39"/>
      <c r="BJ99" s="40" t="str">
        <f t="shared" si="83"/>
        <v/>
      </c>
      <c r="BK99" s="157" t="str">
        <f t="shared" si="84"/>
        <v/>
      </c>
      <c r="BL99" s="157" t="str">
        <f t="shared" si="66"/>
        <v/>
      </c>
      <c r="BM99" s="72"/>
      <c r="BN99" s="72" t="str">
        <f t="shared" si="85"/>
        <v/>
      </c>
      <c r="BO99" s="72" t="str">
        <f t="shared" si="86"/>
        <v/>
      </c>
      <c r="BP99" s="39"/>
      <c r="BQ99" s="72" t="str">
        <f t="shared" si="67"/>
        <v/>
      </c>
      <c r="BR99" s="72" t="str">
        <f t="shared" si="87"/>
        <v/>
      </c>
    </row>
    <row r="100" spans="4:70" x14ac:dyDescent="0.15">
      <c r="F100" s="487"/>
      <c r="I100" s="457">
        <f t="shared" si="88"/>
        <v>2115</v>
      </c>
      <c r="J100" s="71"/>
      <c r="K100" s="71">
        <f t="shared" si="89"/>
        <v>86</v>
      </c>
      <c r="L100" s="71"/>
      <c r="M100" s="7">
        <f t="shared" si="52"/>
        <v>7.8704338912457969E-2</v>
      </c>
      <c r="N100" s="71"/>
      <c r="O100" s="10" t="str">
        <f t="shared" si="68"/>
        <v/>
      </c>
      <c r="P100" s="29" t="str">
        <f t="shared" si="53"/>
        <v/>
      </c>
      <c r="Q100" s="71"/>
      <c r="R100" s="10" t="str">
        <f t="shared" si="69"/>
        <v/>
      </c>
      <c r="S100" s="71"/>
      <c r="T100" s="10" t="str">
        <f t="shared" si="70"/>
        <v/>
      </c>
      <c r="U100" s="71"/>
      <c r="V100" s="10" t="str">
        <f t="shared" si="54"/>
        <v/>
      </c>
      <c r="W100" s="10" t="str">
        <f t="shared" si="71"/>
        <v/>
      </c>
      <c r="X100" s="71"/>
      <c r="Y100" s="10" t="str">
        <f t="shared" si="55"/>
        <v/>
      </c>
      <c r="Z100" s="10" t="str">
        <f t="shared" si="72"/>
        <v/>
      </c>
      <c r="AA100" s="71"/>
      <c r="AB100" s="10" t="str">
        <f t="shared" si="56"/>
        <v/>
      </c>
      <c r="AC100" s="10" t="str">
        <f t="shared" si="73"/>
        <v/>
      </c>
      <c r="AD100" s="71"/>
      <c r="AE100" s="10" t="str">
        <f t="shared" si="57"/>
        <v/>
      </c>
      <c r="AF100" s="10" t="str">
        <f t="shared" si="74"/>
        <v/>
      </c>
      <c r="AG100" s="71"/>
      <c r="AH100" s="10" t="str">
        <f t="shared" si="58"/>
        <v/>
      </c>
      <c r="AI100" s="10" t="str">
        <f t="shared" si="75"/>
        <v/>
      </c>
      <c r="AJ100" s="71"/>
      <c r="AK100" s="10" t="str">
        <f t="shared" si="59"/>
        <v/>
      </c>
      <c r="AL100" s="10" t="str">
        <f t="shared" si="76"/>
        <v/>
      </c>
      <c r="AM100" s="71"/>
      <c r="AN100" s="10" t="str">
        <f t="shared" si="60"/>
        <v/>
      </c>
      <c r="AO100" s="10" t="str">
        <f t="shared" si="77"/>
        <v/>
      </c>
      <c r="AP100" s="71"/>
      <c r="AQ100" s="10" t="str">
        <f t="shared" si="61"/>
        <v/>
      </c>
      <c r="AR100" s="10" t="str">
        <f t="shared" si="78"/>
        <v/>
      </c>
      <c r="AS100" s="71"/>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U100" s="71"/>
      <c r="AV100" s="10" t="str">
        <f t="shared" si="62"/>
        <v/>
      </c>
      <c r="AW100" s="10" t="str">
        <f t="shared" si="79"/>
        <v/>
      </c>
      <c r="AX100" s="71"/>
      <c r="AY100" s="7" t="str">
        <f>IF(ISERROR(IF($K100&lt;=$F$15,VLOOKUP($I100,'表4）CO2価格'!$A$7:$E$67,VLOOKUP($F$48,'表4）CO2価格'!$H$10:$I$12,2,0),0)*$F$8/1000,"")),0,IF($K100&lt;=$F$15,VLOOKUP($I100,'表4）CO2価格'!$A$7:$E$67,VLOOKUP($F$48,'表4）CO2価格'!$H$10:$I$12,2,0),0)*$F$8/1000,""))</f>
        <v/>
      </c>
      <c r="AZ100" s="71"/>
      <c r="BA100" s="11" t="str">
        <f t="shared" si="63"/>
        <v/>
      </c>
      <c r="BB100" s="10" t="str">
        <f t="shared" si="80"/>
        <v/>
      </c>
      <c r="BC100" s="71"/>
      <c r="BD100" s="10" t="str">
        <f t="shared" si="64"/>
        <v/>
      </c>
      <c r="BE100" s="10" t="str">
        <f t="shared" si="81"/>
        <v/>
      </c>
      <c r="BF100" s="71"/>
      <c r="BG100" s="11" t="str">
        <f t="shared" si="65"/>
        <v/>
      </c>
      <c r="BH100" s="10" t="str">
        <f t="shared" si="82"/>
        <v/>
      </c>
      <c r="BJ100" s="7" t="str">
        <f t="shared" si="83"/>
        <v/>
      </c>
      <c r="BK100" s="158" t="str">
        <f t="shared" si="84"/>
        <v/>
      </c>
      <c r="BL100" s="158" t="str">
        <f t="shared" si="66"/>
        <v/>
      </c>
      <c r="BM100" s="10"/>
      <c r="BN100" s="10" t="str">
        <f t="shared" si="85"/>
        <v/>
      </c>
      <c r="BO100" s="10" t="str">
        <f t="shared" si="86"/>
        <v/>
      </c>
      <c r="BQ100" s="10" t="str">
        <f t="shared" si="67"/>
        <v/>
      </c>
      <c r="BR100" s="10" t="str">
        <f t="shared" si="87"/>
        <v/>
      </c>
    </row>
    <row r="101" spans="4:70" x14ac:dyDescent="0.15">
      <c r="D101" s="100" t="s">
        <v>600</v>
      </c>
      <c r="E101" s="100"/>
      <c r="F101" s="486"/>
      <c r="G101" s="100"/>
      <c r="I101" s="38">
        <f t="shared" si="88"/>
        <v>2116</v>
      </c>
      <c r="J101" s="39"/>
      <c r="K101" s="39">
        <f t="shared" si="89"/>
        <v>87</v>
      </c>
      <c r="L101" s="39"/>
      <c r="M101" s="40">
        <f t="shared" si="52"/>
        <v>7.6411979526658208E-2</v>
      </c>
      <c r="N101" s="39"/>
      <c r="O101" s="72" t="str">
        <f t="shared" si="68"/>
        <v/>
      </c>
      <c r="P101" s="41" t="str">
        <f t="shared" si="53"/>
        <v/>
      </c>
      <c r="Q101" s="39"/>
      <c r="R101" s="72" t="str">
        <f t="shared" si="69"/>
        <v/>
      </c>
      <c r="S101" s="39"/>
      <c r="T101" s="72" t="str">
        <f t="shared" si="70"/>
        <v/>
      </c>
      <c r="U101" s="39"/>
      <c r="V101" s="72" t="str">
        <f t="shared" si="54"/>
        <v/>
      </c>
      <c r="W101" s="72" t="str">
        <f t="shared" si="71"/>
        <v/>
      </c>
      <c r="X101" s="39"/>
      <c r="Y101" s="72" t="str">
        <f t="shared" si="55"/>
        <v/>
      </c>
      <c r="Z101" s="72" t="str">
        <f t="shared" si="72"/>
        <v/>
      </c>
      <c r="AA101" s="39"/>
      <c r="AB101" s="72" t="str">
        <f t="shared" si="56"/>
        <v/>
      </c>
      <c r="AC101" s="72" t="str">
        <f t="shared" si="73"/>
        <v/>
      </c>
      <c r="AD101" s="39"/>
      <c r="AE101" s="72" t="str">
        <f t="shared" si="57"/>
        <v/>
      </c>
      <c r="AF101" s="72" t="str">
        <f t="shared" si="74"/>
        <v/>
      </c>
      <c r="AG101" s="39"/>
      <c r="AH101" s="72" t="str">
        <f t="shared" si="58"/>
        <v/>
      </c>
      <c r="AI101" s="72" t="str">
        <f t="shared" si="75"/>
        <v/>
      </c>
      <c r="AJ101" s="39"/>
      <c r="AK101" s="72" t="str">
        <f t="shared" si="59"/>
        <v/>
      </c>
      <c r="AL101" s="72" t="str">
        <f t="shared" si="76"/>
        <v/>
      </c>
      <c r="AM101" s="39"/>
      <c r="AN101" s="72" t="str">
        <f t="shared" si="60"/>
        <v/>
      </c>
      <c r="AO101" s="72" t="str">
        <f t="shared" si="77"/>
        <v/>
      </c>
      <c r="AP101" s="39"/>
      <c r="AQ101" s="72" t="str">
        <f t="shared" si="61"/>
        <v/>
      </c>
      <c r="AR101" s="72" t="str">
        <f t="shared" si="78"/>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62"/>
        <v/>
      </c>
      <c r="AW101" s="72" t="str">
        <f t="shared" si="79"/>
        <v/>
      </c>
      <c r="AX101" s="39"/>
      <c r="AY101" s="40" t="str">
        <f>IF(ISERROR(IF($K101&lt;=$F$15,VLOOKUP($I101,'表4）CO2価格'!$A$7:$E$67,VLOOKUP($F$48,'表4）CO2価格'!$H$10:$I$12,2,0),0)*$F$8/1000,"")),0,IF($K101&lt;=$F$15,VLOOKUP($I101,'表4）CO2価格'!$A$7:$E$67,VLOOKUP($F$48,'表4）CO2価格'!$H$10:$I$12,2,0),0)*$F$8/1000,""))</f>
        <v/>
      </c>
      <c r="AZ101" s="39"/>
      <c r="BA101" s="42" t="str">
        <f t="shared" si="63"/>
        <v/>
      </c>
      <c r="BB101" s="72" t="str">
        <f t="shared" si="80"/>
        <v/>
      </c>
      <c r="BC101" s="39"/>
      <c r="BD101" s="72" t="str">
        <f t="shared" si="64"/>
        <v/>
      </c>
      <c r="BE101" s="72" t="str">
        <f t="shared" si="81"/>
        <v/>
      </c>
      <c r="BF101" s="39"/>
      <c r="BG101" s="42" t="str">
        <f t="shared" si="65"/>
        <v/>
      </c>
      <c r="BH101" s="72" t="str">
        <f t="shared" si="82"/>
        <v/>
      </c>
      <c r="BI101" s="39"/>
      <c r="BJ101" s="40" t="str">
        <f t="shared" si="83"/>
        <v/>
      </c>
      <c r="BK101" s="157" t="str">
        <f t="shared" si="84"/>
        <v/>
      </c>
      <c r="BL101" s="157" t="str">
        <f t="shared" si="66"/>
        <v/>
      </c>
      <c r="BM101" s="72"/>
      <c r="BN101" s="72" t="str">
        <f t="shared" si="85"/>
        <v/>
      </c>
      <c r="BO101" s="72" t="str">
        <f t="shared" si="86"/>
        <v/>
      </c>
      <c r="BP101" s="39"/>
      <c r="BQ101" s="72" t="str">
        <f t="shared" si="67"/>
        <v/>
      </c>
      <c r="BR101" s="72" t="str">
        <f t="shared" si="87"/>
        <v/>
      </c>
    </row>
    <row r="102" spans="4:70" x14ac:dyDescent="0.15">
      <c r="F102" s="487"/>
      <c r="I102" s="457">
        <f t="shared" si="88"/>
        <v>2117</v>
      </c>
      <c r="J102" s="71"/>
      <c r="K102" s="71">
        <f t="shared" si="89"/>
        <v>88</v>
      </c>
      <c r="L102" s="71"/>
      <c r="M102" s="7">
        <f t="shared" si="52"/>
        <v>7.4186387889959446E-2</v>
      </c>
      <c r="N102" s="71"/>
      <c r="O102" s="10" t="str">
        <f t="shared" si="68"/>
        <v/>
      </c>
      <c r="P102" s="29" t="str">
        <f t="shared" si="53"/>
        <v/>
      </c>
      <c r="Q102" s="71"/>
      <c r="R102" s="10" t="str">
        <f t="shared" si="69"/>
        <v/>
      </c>
      <c r="S102" s="71"/>
      <c r="T102" s="10" t="str">
        <f t="shared" si="70"/>
        <v/>
      </c>
      <c r="U102" s="71"/>
      <c r="V102" s="10" t="str">
        <f t="shared" si="54"/>
        <v/>
      </c>
      <c r="W102" s="10" t="str">
        <f t="shared" si="71"/>
        <v/>
      </c>
      <c r="X102" s="71"/>
      <c r="Y102" s="10" t="str">
        <f t="shared" si="55"/>
        <v/>
      </c>
      <c r="Z102" s="10" t="str">
        <f t="shared" si="72"/>
        <v/>
      </c>
      <c r="AA102" s="71"/>
      <c r="AB102" s="10" t="str">
        <f t="shared" si="56"/>
        <v/>
      </c>
      <c r="AC102" s="10" t="str">
        <f t="shared" si="73"/>
        <v/>
      </c>
      <c r="AD102" s="71"/>
      <c r="AE102" s="10" t="str">
        <f t="shared" si="57"/>
        <v/>
      </c>
      <c r="AF102" s="10" t="str">
        <f t="shared" si="74"/>
        <v/>
      </c>
      <c r="AG102" s="71"/>
      <c r="AH102" s="10" t="str">
        <f t="shared" si="58"/>
        <v/>
      </c>
      <c r="AI102" s="10" t="str">
        <f t="shared" si="75"/>
        <v/>
      </c>
      <c r="AJ102" s="71"/>
      <c r="AK102" s="10" t="str">
        <f t="shared" si="59"/>
        <v/>
      </c>
      <c r="AL102" s="10" t="str">
        <f t="shared" si="76"/>
        <v/>
      </c>
      <c r="AM102" s="71"/>
      <c r="AN102" s="10" t="str">
        <f t="shared" si="60"/>
        <v/>
      </c>
      <c r="AO102" s="10" t="str">
        <f t="shared" si="77"/>
        <v/>
      </c>
      <c r="AP102" s="71"/>
      <c r="AQ102" s="10" t="str">
        <f t="shared" si="61"/>
        <v/>
      </c>
      <c r="AR102" s="10" t="str">
        <f t="shared" si="78"/>
        <v/>
      </c>
      <c r="AS102" s="71"/>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U102" s="71"/>
      <c r="AV102" s="10" t="str">
        <f t="shared" si="62"/>
        <v/>
      </c>
      <c r="AW102" s="10" t="str">
        <f t="shared" si="79"/>
        <v/>
      </c>
      <c r="AX102" s="71"/>
      <c r="AY102" s="7" t="str">
        <f>IF(ISERROR(IF($K102&lt;=$F$15,VLOOKUP($I102,'表4）CO2価格'!$A$7:$E$67,VLOOKUP($F$48,'表4）CO2価格'!$H$10:$I$12,2,0),0)*$F$8/1000,"")),0,IF($K102&lt;=$F$15,VLOOKUP($I102,'表4）CO2価格'!$A$7:$E$67,VLOOKUP($F$48,'表4）CO2価格'!$H$10:$I$12,2,0),0)*$F$8/1000,""))</f>
        <v/>
      </c>
      <c r="AZ102" s="71"/>
      <c r="BA102" s="11" t="str">
        <f t="shared" si="63"/>
        <v/>
      </c>
      <c r="BB102" s="10" t="str">
        <f t="shared" si="80"/>
        <v/>
      </c>
      <c r="BC102" s="71"/>
      <c r="BD102" s="10" t="str">
        <f t="shared" si="64"/>
        <v/>
      </c>
      <c r="BE102" s="10" t="str">
        <f t="shared" si="81"/>
        <v/>
      </c>
      <c r="BF102" s="71"/>
      <c r="BG102" s="11" t="str">
        <f t="shared" si="65"/>
        <v/>
      </c>
      <c r="BH102" s="10" t="str">
        <f t="shared" si="82"/>
        <v/>
      </c>
      <c r="BJ102" s="7" t="str">
        <f t="shared" si="83"/>
        <v/>
      </c>
      <c r="BK102" s="158" t="str">
        <f t="shared" si="84"/>
        <v/>
      </c>
      <c r="BL102" s="158" t="str">
        <f t="shared" si="66"/>
        <v/>
      </c>
      <c r="BM102" s="10"/>
      <c r="BN102" s="10" t="str">
        <f t="shared" si="85"/>
        <v/>
      </c>
      <c r="BO102" s="10" t="str">
        <f t="shared" si="86"/>
        <v/>
      </c>
      <c r="BQ102" s="10" t="str">
        <f t="shared" si="67"/>
        <v/>
      </c>
      <c r="BR102" s="10" t="str">
        <f t="shared" si="87"/>
        <v/>
      </c>
    </row>
    <row r="103" spans="4:70" x14ac:dyDescent="0.15">
      <c r="E103" s="84" t="s">
        <v>601</v>
      </c>
      <c r="F103" s="488">
        <f>BB116/$BR$116</f>
        <v>0</v>
      </c>
      <c r="G103" s="84" t="s">
        <v>590</v>
      </c>
      <c r="I103" s="38">
        <f t="shared" si="88"/>
        <v>2118</v>
      </c>
      <c r="J103" s="39"/>
      <c r="K103" s="39">
        <f t="shared" si="89"/>
        <v>89</v>
      </c>
      <c r="L103" s="39"/>
      <c r="M103" s="40">
        <f t="shared" si="52"/>
        <v>7.2025619310640235E-2</v>
      </c>
      <c r="N103" s="39"/>
      <c r="O103" s="72" t="str">
        <f t="shared" si="68"/>
        <v/>
      </c>
      <c r="P103" s="41" t="str">
        <f t="shared" si="53"/>
        <v/>
      </c>
      <c r="Q103" s="39"/>
      <c r="R103" s="72" t="str">
        <f t="shared" si="69"/>
        <v/>
      </c>
      <c r="S103" s="39"/>
      <c r="T103" s="72" t="str">
        <f t="shared" si="70"/>
        <v/>
      </c>
      <c r="U103" s="39"/>
      <c r="V103" s="72" t="str">
        <f t="shared" si="54"/>
        <v/>
      </c>
      <c r="W103" s="72" t="str">
        <f t="shared" si="71"/>
        <v/>
      </c>
      <c r="X103" s="39"/>
      <c r="Y103" s="72" t="str">
        <f t="shared" si="55"/>
        <v/>
      </c>
      <c r="Z103" s="72" t="str">
        <f t="shared" si="72"/>
        <v/>
      </c>
      <c r="AA103" s="39"/>
      <c r="AB103" s="72" t="str">
        <f t="shared" si="56"/>
        <v/>
      </c>
      <c r="AC103" s="72" t="str">
        <f t="shared" si="73"/>
        <v/>
      </c>
      <c r="AD103" s="39"/>
      <c r="AE103" s="72" t="str">
        <f t="shared" si="57"/>
        <v/>
      </c>
      <c r="AF103" s="72" t="str">
        <f t="shared" si="74"/>
        <v/>
      </c>
      <c r="AG103" s="39"/>
      <c r="AH103" s="72" t="str">
        <f t="shared" si="58"/>
        <v/>
      </c>
      <c r="AI103" s="72" t="str">
        <f t="shared" si="75"/>
        <v/>
      </c>
      <c r="AJ103" s="39"/>
      <c r="AK103" s="72" t="str">
        <f t="shared" si="59"/>
        <v/>
      </c>
      <c r="AL103" s="72" t="str">
        <f t="shared" si="76"/>
        <v/>
      </c>
      <c r="AM103" s="39"/>
      <c r="AN103" s="72" t="str">
        <f t="shared" si="60"/>
        <v/>
      </c>
      <c r="AO103" s="72" t="str">
        <f t="shared" si="77"/>
        <v/>
      </c>
      <c r="AP103" s="39"/>
      <c r="AQ103" s="72" t="str">
        <f t="shared" si="61"/>
        <v/>
      </c>
      <c r="AR103" s="72" t="str">
        <f t="shared" si="78"/>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62"/>
        <v/>
      </c>
      <c r="AW103" s="72" t="str">
        <f t="shared" si="79"/>
        <v/>
      </c>
      <c r="AX103" s="39"/>
      <c r="AY103" s="40" t="str">
        <f>IF(ISERROR(IF($K103&lt;=$F$15,VLOOKUP($I103,'表4）CO2価格'!$A$7:$E$67,VLOOKUP($F$48,'表4）CO2価格'!$H$10:$I$12,2,0),0)*$F$8/1000,"")),0,IF($K103&lt;=$F$15,VLOOKUP($I103,'表4）CO2価格'!$A$7:$E$67,VLOOKUP($F$48,'表4）CO2価格'!$H$10:$I$12,2,0),0)*$F$8/1000,""))</f>
        <v/>
      </c>
      <c r="AZ103" s="39"/>
      <c r="BA103" s="42" t="str">
        <f t="shared" si="63"/>
        <v/>
      </c>
      <c r="BB103" s="72" t="str">
        <f t="shared" si="80"/>
        <v/>
      </c>
      <c r="BC103" s="39"/>
      <c r="BD103" s="72" t="str">
        <f t="shared" si="64"/>
        <v/>
      </c>
      <c r="BE103" s="72" t="str">
        <f t="shared" si="81"/>
        <v/>
      </c>
      <c r="BF103" s="39"/>
      <c r="BG103" s="42" t="str">
        <f t="shared" si="65"/>
        <v/>
      </c>
      <c r="BH103" s="72" t="str">
        <f t="shared" si="82"/>
        <v/>
      </c>
      <c r="BI103" s="39"/>
      <c r="BJ103" s="40" t="str">
        <f t="shared" si="83"/>
        <v/>
      </c>
      <c r="BK103" s="157" t="str">
        <f t="shared" si="84"/>
        <v/>
      </c>
      <c r="BL103" s="157" t="str">
        <f t="shared" si="66"/>
        <v/>
      </c>
      <c r="BM103" s="72"/>
      <c r="BN103" s="72" t="str">
        <f t="shared" si="85"/>
        <v/>
      </c>
      <c r="BO103" s="72" t="str">
        <f t="shared" si="86"/>
        <v/>
      </c>
      <c r="BP103" s="39"/>
      <c r="BQ103" s="72" t="str">
        <f t="shared" si="67"/>
        <v/>
      </c>
      <c r="BR103" s="72" t="str">
        <f t="shared" si="87"/>
        <v/>
      </c>
    </row>
    <row r="104" spans="4:70" x14ac:dyDescent="0.15">
      <c r="E104" s="84" t="s">
        <v>602</v>
      </c>
      <c r="F104" s="488">
        <f>IF(ISERROR(F60*(1/F61)/F62),0,F60*(1/F61)/F62)</f>
        <v>0</v>
      </c>
      <c r="G104" s="84" t="s">
        <v>590</v>
      </c>
      <c r="I104" s="457">
        <f t="shared" si="88"/>
        <v>2119</v>
      </c>
      <c r="J104" s="71"/>
      <c r="K104" s="71">
        <f t="shared" si="89"/>
        <v>90</v>
      </c>
      <c r="L104" s="71"/>
      <c r="M104" s="7">
        <f t="shared" si="52"/>
        <v>6.9927785738485654E-2</v>
      </c>
      <c r="N104" s="71"/>
      <c r="O104" s="10" t="str">
        <f t="shared" si="68"/>
        <v/>
      </c>
      <c r="P104" s="29" t="str">
        <f t="shared" si="53"/>
        <v/>
      </c>
      <c r="Q104" s="71"/>
      <c r="R104" s="10" t="str">
        <f t="shared" si="69"/>
        <v/>
      </c>
      <c r="S104" s="71"/>
      <c r="T104" s="10" t="str">
        <f t="shared" si="70"/>
        <v/>
      </c>
      <c r="U104" s="71"/>
      <c r="V104" s="10" t="str">
        <f t="shared" si="54"/>
        <v/>
      </c>
      <c r="W104" s="10" t="str">
        <f t="shared" si="71"/>
        <v/>
      </c>
      <c r="X104" s="71"/>
      <c r="Y104" s="10" t="str">
        <f t="shared" si="55"/>
        <v/>
      </c>
      <c r="Z104" s="10" t="str">
        <f t="shared" si="72"/>
        <v/>
      </c>
      <c r="AA104" s="71"/>
      <c r="AB104" s="10" t="str">
        <f t="shared" si="56"/>
        <v/>
      </c>
      <c r="AC104" s="10" t="str">
        <f t="shared" si="73"/>
        <v/>
      </c>
      <c r="AD104" s="71"/>
      <c r="AE104" s="10" t="str">
        <f t="shared" si="57"/>
        <v/>
      </c>
      <c r="AF104" s="10" t="str">
        <f t="shared" si="74"/>
        <v/>
      </c>
      <c r="AG104" s="71"/>
      <c r="AH104" s="10" t="str">
        <f t="shared" si="58"/>
        <v/>
      </c>
      <c r="AI104" s="10" t="str">
        <f t="shared" si="75"/>
        <v/>
      </c>
      <c r="AJ104" s="71"/>
      <c r="AK104" s="10" t="str">
        <f t="shared" si="59"/>
        <v/>
      </c>
      <c r="AL104" s="10" t="str">
        <f t="shared" si="76"/>
        <v/>
      </c>
      <c r="AM104" s="71"/>
      <c r="AN104" s="10" t="str">
        <f t="shared" si="60"/>
        <v/>
      </c>
      <c r="AO104" s="10" t="str">
        <f t="shared" si="77"/>
        <v/>
      </c>
      <c r="AP104" s="71"/>
      <c r="AQ104" s="10" t="str">
        <f t="shared" si="61"/>
        <v/>
      </c>
      <c r="AR104" s="10" t="str">
        <f t="shared" si="78"/>
        <v/>
      </c>
      <c r="AS104" s="71"/>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U104" s="71"/>
      <c r="AV104" s="10" t="str">
        <f t="shared" si="62"/>
        <v/>
      </c>
      <c r="AW104" s="10" t="str">
        <f t="shared" si="79"/>
        <v/>
      </c>
      <c r="AX104" s="71"/>
      <c r="AY104" s="7" t="str">
        <f>IF(ISERROR(IF($K104&lt;=$F$15,VLOOKUP($I104,'表4）CO2価格'!$A$7:$E$67,VLOOKUP($F$48,'表4）CO2価格'!$H$10:$I$12,2,0),0)*$F$8/1000,"")),0,IF($K104&lt;=$F$15,VLOOKUP($I104,'表4）CO2価格'!$A$7:$E$67,VLOOKUP($F$48,'表4）CO2価格'!$H$10:$I$12,2,0),0)*$F$8/1000,""))</f>
        <v/>
      </c>
      <c r="AZ104" s="71"/>
      <c r="BA104" s="11" t="str">
        <f t="shared" si="63"/>
        <v/>
      </c>
      <c r="BB104" s="10" t="str">
        <f t="shared" si="80"/>
        <v/>
      </c>
      <c r="BC104" s="71"/>
      <c r="BD104" s="10" t="str">
        <f t="shared" si="64"/>
        <v/>
      </c>
      <c r="BE104" s="10" t="str">
        <f t="shared" si="81"/>
        <v/>
      </c>
      <c r="BF104" s="71"/>
      <c r="BG104" s="11" t="str">
        <f t="shared" si="65"/>
        <v/>
      </c>
      <c r="BH104" s="10" t="str">
        <f t="shared" si="82"/>
        <v/>
      </c>
      <c r="BJ104" s="7" t="str">
        <f t="shared" si="83"/>
        <v/>
      </c>
      <c r="BK104" s="158" t="str">
        <f t="shared" si="84"/>
        <v/>
      </c>
      <c r="BL104" s="158" t="str">
        <f t="shared" si="66"/>
        <v/>
      </c>
      <c r="BM104" s="10"/>
      <c r="BN104" s="10" t="str">
        <f t="shared" si="85"/>
        <v/>
      </c>
      <c r="BO104" s="10" t="str">
        <f t="shared" si="86"/>
        <v/>
      </c>
      <c r="BQ104" s="10" t="str">
        <f t="shared" si="67"/>
        <v/>
      </c>
      <c r="BR104" s="10" t="str">
        <f t="shared" si="87"/>
        <v/>
      </c>
    </row>
    <row r="105" spans="4:70" x14ac:dyDescent="0.15">
      <c r="E105" s="71" t="s">
        <v>603</v>
      </c>
      <c r="F105" s="488">
        <f>F64</f>
        <v>0.45</v>
      </c>
      <c r="G105" s="84" t="s">
        <v>590</v>
      </c>
      <c r="I105" s="38">
        <f t="shared" si="88"/>
        <v>2120</v>
      </c>
      <c r="J105" s="39"/>
      <c r="K105" s="39">
        <f t="shared" si="89"/>
        <v>91</v>
      </c>
      <c r="L105" s="39"/>
      <c r="M105" s="40">
        <f t="shared" si="52"/>
        <v>6.7891054115034627E-2</v>
      </c>
      <c r="N105" s="39"/>
      <c r="O105" s="72" t="str">
        <f t="shared" si="68"/>
        <v/>
      </c>
      <c r="P105" s="41" t="str">
        <f t="shared" si="53"/>
        <v/>
      </c>
      <c r="Q105" s="39"/>
      <c r="R105" s="72" t="str">
        <f t="shared" si="69"/>
        <v/>
      </c>
      <c r="S105" s="39"/>
      <c r="T105" s="72" t="str">
        <f t="shared" si="70"/>
        <v/>
      </c>
      <c r="U105" s="39"/>
      <c r="V105" s="72" t="str">
        <f t="shared" si="54"/>
        <v/>
      </c>
      <c r="W105" s="72" t="str">
        <f t="shared" si="71"/>
        <v/>
      </c>
      <c r="X105" s="39"/>
      <c r="Y105" s="72" t="str">
        <f t="shared" si="55"/>
        <v/>
      </c>
      <c r="Z105" s="72" t="str">
        <f t="shared" si="72"/>
        <v/>
      </c>
      <c r="AA105" s="39"/>
      <c r="AB105" s="72" t="str">
        <f t="shared" si="56"/>
        <v/>
      </c>
      <c r="AC105" s="72" t="str">
        <f t="shared" si="73"/>
        <v/>
      </c>
      <c r="AD105" s="39"/>
      <c r="AE105" s="72" t="str">
        <f t="shared" si="57"/>
        <v/>
      </c>
      <c r="AF105" s="72" t="str">
        <f t="shared" si="74"/>
        <v/>
      </c>
      <c r="AG105" s="39"/>
      <c r="AH105" s="72" t="str">
        <f t="shared" si="58"/>
        <v/>
      </c>
      <c r="AI105" s="72" t="str">
        <f t="shared" si="75"/>
        <v/>
      </c>
      <c r="AJ105" s="39"/>
      <c r="AK105" s="72" t="str">
        <f t="shared" si="59"/>
        <v/>
      </c>
      <c r="AL105" s="72" t="str">
        <f t="shared" si="76"/>
        <v/>
      </c>
      <c r="AM105" s="39"/>
      <c r="AN105" s="72" t="str">
        <f t="shared" si="60"/>
        <v/>
      </c>
      <c r="AO105" s="72" t="str">
        <f t="shared" si="77"/>
        <v/>
      </c>
      <c r="AP105" s="39"/>
      <c r="AQ105" s="72" t="str">
        <f t="shared" si="61"/>
        <v/>
      </c>
      <c r="AR105" s="72" t="str">
        <f t="shared" si="78"/>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62"/>
        <v/>
      </c>
      <c r="AW105" s="72" t="str">
        <f t="shared" si="79"/>
        <v/>
      </c>
      <c r="AX105" s="39"/>
      <c r="AY105" s="40" t="str">
        <f>IF(ISERROR(IF($K105&lt;=$F$15,VLOOKUP($I105,'表4）CO2価格'!$A$7:$E$67,VLOOKUP($F$48,'表4）CO2価格'!$H$10:$I$12,2,0),0)*$F$8/1000,"")),0,IF($K105&lt;=$F$15,VLOOKUP($I105,'表4）CO2価格'!$A$7:$E$67,VLOOKUP($F$48,'表4）CO2価格'!$H$10:$I$12,2,0),0)*$F$8/1000,""))</f>
        <v/>
      </c>
      <c r="AZ105" s="39"/>
      <c r="BA105" s="42" t="str">
        <f t="shared" si="63"/>
        <v/>
      </c>
      <c r="BB105" s="72" t="str">
        <f t="shared" si="80"/>
        <v/>
      </c>
      <c r="BC105" s="39"/>
      <c r="BD105" s="72" t="str">
        <f t="shared" si="64"/>
        <v/>
      </c>
      <c r="BE105" s="72" t="str">
        <f t="shared" si="81"/>
        <v/>
      </c>
      <c r="BF105" s="39"/>
      <c r="BG105" s="42" t="str">
        <f t="shared" si="65"/>
        <v/>
      </c>
      <c r="BH105" s="72" t="str">
        <f t="shared" si="82"/>
        <v/>
      </c>
      <c r="BI105" s="39"/>
      <c r="BJ105" s="40" t="str">
        <f t="shared" si="83"/>
        <v/>
      </c>
      <c r="BK105" s="157" t="str">
        <f t="shared" si="84"/>
        <v/>
      </c>
      <c r="BL105" s="157" t="str">
        <f t="shared" si="66"/>
        <v/>
      </c>
      <c r="BM105" s="72"/>
      <c r="BN105" s="72" t="str">
        <f t="shared" si="85"/>
        <v/>
      </c>
      <c r="BO105" s="72" t="str">
        <f t="shared" si="86"/>
        <v/>
      </c>
      <c r="BP105" s="39"/>
      <c r="BQ105" s="72" t="str">
        <f t="shared" si="67"/>
        <v/>
      </c>
      <c r="BR105" s="72" t="str">
        <f t="shared" si="87"/>
        <v/>
      </c>
    </row>
    <row r="106" spans="4:70" x14ac:dyDescent="0.15">
      <c r="F106" s="487"/>
      <c r="I106" s="457">
        <f t="shared" si="88"/>
        <v>2121</v>
      </c>
      <c r="J106" s="71"/>
      <c r="K106" s="71">
        <f t="shared" si="89"/>
        <v>92</v>
      </c>
      <c r="L106" s="71"/>
      <c r="M106" s="7">
        <f t="shared" si="52"/>
        <v>6.5913644771878277E-2</v>
      </c>
      <c r="N106" s="71"/>
      <c r="O106" s="10" t="str">
        <f t="shared" si="68"/>
        <v/>
      </c>
      <c r="P106" s="29" t="str">
        <f t="shared" si="53"/>
        <v/>
      </c>
      <c r="Q106" s="71"/>
      <c r="R106" s="10" t="str">
        <f t="shared" si="69"/>
        <v/>
      </c>
      <c r="S106" s="71"/>
      <c r="T106" s="10" t="str">
        <f t="shared" si="70"/>
        <v/>
      </c>
      <c r="U106" s="71"/>
      <c r="V106" s="10" t="str">
        <f t="shared" si="54"/>
        <v/>
      </c>
      <c r="W106" s="10" t="str">
        <f t="shared" si="71"/>
        <v/>
      </c>
      <c r="X106" s="71"/>
      <c r="Y106" s="10" t="str">
        <f t="shared" si="55"/>
        <v/>
      </c>
      <c r="Z106" s="10" t="str">
        <f t="shared" si="72"/>
        <v/>
      </c>
      <c r="AA106" s="71"/>
      <c r="AB106" s="10" t="str">
        <f t="shared" si="56"/>
        <v/>
      </c>
      <c r="AC106" s="10" t="str">
        <f t="shared" si="73"/>
        <v/>
      </c>
      <c r="AD106" s="71"/>
      <c r="AE106" s="10" t="str">
        <f t="shared" si="57"/>
        <v/>
      </c>
      <c r="AF106" s="10" t="str">
        <f t="shared" si="74"/>
        <v/>
      </c>
      <c r="AG106" s="71"/>
      <c r="AH106" s="10" t="str">
        <f t="shared" si="58"/>
        <v/>
      </c>
      <c r="AI106" s="10" t="str">
        <f t="shared" si="75"/>
        <v/>
      </c>
      <c r="AJ106" s="71"/>
      <c r="AK106" s="10" t="str">
        <f t="shared" si="59"/>
        <v/>
      </c>
      <c r="AL106" s="10" t="str">
        <f t="shared" si="76"/>
        <v/>
      </c>
      <c r="AM106" s="71"/>
      <c r="AN106" s="10" t="str">
        <f t="shared" si="60"/>
        <v/>
      </c>
      <c r="AO106" s="10" t="str">
        <f t="shared" si="77"/>
        <v/>
      </c>
      <c r="AP106" s="71"/>
      <c r="AQ106" s="10" t="str">
        <f t="shared" si="61"/>
        <v/>
      </c>
      <c r="AR106" s="10" t="str">
        <f t="shared" si="78"/>
        <v/>
      </c>
      <c r="AS106" s="71"/>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U106" s="71"/>
      <c r="AV106" s="10" t="str">
        <f t="shared" si="62"/>
        <v/>
      </c>
      <c r="AW106" s="10" t="str">
        <f t="shared" si="79"/>
        <v/>
      </c>
      <c r="AX106" s="71"/>
      <c r="AY106" s="7" t="str">
        <f>IF(ISERROR(IF($K106&lt;=$F$15,VLOOKUP($I106,'表4）CO2価格'!$A$7:$E$67,VLOOKUP($F$48,'表4）CO2価格'!$H$10:$I$12,2,0),0)*$F$8/1000,"")),0,IF($K106&lt;=$F$15,VLOOKUP($I106,'表4）CO2価格'!$A$7:$E$67,VLOOKUP($F$48,'表4）CO2価格'!$H$10:$I$12,2,0),0)*$F$8/1000,""))</f>
        <v/>
      </c>
      <c r="AZ106" s="71"/>
      <c r="BA106" s="11" t="str">
        <f t="shared" si="63"/>
        <v/>
      </c>
      <c r="BB106" s="10" t="str">
        <f t="shared" si="80"/>
        <v/>
      </c>
      <c r="BC106" s="71"/>
      <c r="BD106" s="10" t="str">
        <f t="shared" si="64"/>
        <v/>
      </c>
      <c r="BE106" s="10" t="str">
        <f t="shared" si="81"/>
        <v/>
      </c>
      <c r="BF106" s="71"/>
      <c r="BG106" s="11" t="str">
        <f t="shared" si="65"/>
        <v/>
      </c>
      <c r="BH106" s="10" t="str">
        <f t="shared" si="82"/>
        <v/>
      </c>
      <c r="BJ106" s="7" t="str">
        <f t="shared" si="83"/>
        <v/>
      </c>
      <c r="BK106" s="158" t="str">
        <f t="shared" si="84"/>
        <v/>
      </c>
      <c r="BL106" s="158" t="str">
        <f t="shared" si="66"/>
        <v/>
      </c>
      <c r="BM106" s="10"/>
      <c r="BN106" s="10" t="str">
        <f t="shared" si="85"/>
        <v/>
      </c>
      <c r="BO106" s="10" t="str">
        <f t="shared" si="86"/>
        <v/>
      </c>
      <c r="BQ106" s="10" t="str">
        <f t="shared" si="67"/>
        <v/>
      </c>
      <c r="BR106" s="10" t="str">
        <f t="shared" si="87"/>
        <v/>
      </c>
    </row>
    <row r="107" spans="4:70" ht="15" x14ac:dyDescent="0.15">
      <c r="D107" s="103" t="s">
        <v>604</v>
      </c>
      <c r="F107" s="484">
        <f>SUBTOTAL(9,F111:F112)</f>
        <v>0</v>
      </c>
      <c r="G107" s="84" t="s">
        <v>590</v>
      </c>
      <c r="I107" s="38">
        <f t="shared" si="88"/>
        <v>2122</v>
      </c>
      <c r="J107" s="39"/>
      <c r="K107" s="39">
        <f t="shared" si="89"/>
        <v>93</v>
      </c>
      <c r="L107" s="39"/>
      <c r="M107" s="40">
        <f t="shared" si="52"/>
        <v>6.3993829875609989E-2</v>
      </c>
      <c r="N107" s="39"/>
      <c r="O107" s="72" t="str">
        <f t="shared" si="68"/>
        <v/>
      </c>
      <c r="P107" s="41" t="str">
        <f t="shared" si="53"/>
        <v/>
      </c>
      <c r="Q107" s="39"/>
      <c r="R107" s="72" t="str">
        <f t="shared" si="69"/>
        <v/>
      </c>
      <c r="S107" s="39"/>
      <c r="T107" s="72" t="str">
        <f t="shared" si="70"/>
        <v/>
      </c>
      <c r="U107" s="39"/>
      <c r="V107" s="72" t="str">
        <f t="shared" si="54"/>
        <v/>
      </c>
      <c r="W107" s="72" t="str">
        <f t="shared" si="71"/>
        <v/>
      </c>
      <c r="X107" s="39"/>
      <c r="Y107" s="72" t="str">
        <f t="shared" si="55"/>
        <v/>
      </c>
      <c r="Z107" s="72" t="str">
        <f t="shared" si="72"/>
        <v/>
      </c>
      <c r="AA107" s="39"/>
      <c r="AB107" s="72" t="str">
        <f t="shared" si="56"/>
        <v/>
      </c>
      <c r="AC107" s="72" t="str">
        <f t="shared" si="73"/>
        <v/>
      </c>
      <c r="AD107" s="39"/>
      <c r="AE107" s="72" t="str">
        <f t="shared" si="57"/>
        <v/>
      </c>
      <c r="AF107" s="72" t="str">
        <f t="shared" si="74"/>
        <v/>
      </c>
      <c r="AG107" s="39"/>
      <c r="AH107" s="72" t="str">
        <f t="shared" si="58"/>
        <v/>
      </c>
      <c r="AI107" s="72" t="str">
        <f t="shared" si="75"/>
        <v/>
      </c>
      <c r="AJ107" s="39"/>
      <c r="AK107" s="72" t="str">
        <f t="shared" si="59"/>
        <v/>
      </c>
      <c r="AL107" s="72" t="str">
        <f t="shared" si="76"/>
        <v/>
      </c>
      <c r="AM107" s="39"/>
      <c r="AN107" s="72" t="str">
        <f t="shared" si="60"/>
        <v/>
      </c>
      <c r="AO107" s="72" t="str">
        <f t="shared" si="77"/>
        <v/>
      </c>
      <c r="AP107" s="39"/>
      <c r="AQ107" s="72" t="str">
        <f t="shared" si="61"/>
        <v/>
      </c>
      <c r="AR107" s="72" t="str">
        <f t="shared" si="78"/>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62"/>
        <v/>
      </c>
      <c r="AW107" s="72" t="str">
        <f t="shared" si="79"/>
        <v/>
      </c>
      <c r="AX107" s="39"/>
      <c r="AY107" s="40" t="str">
        <f>IF(ISERROR(IF($K107&lt;=$F$15,VLOOKUP($I107,'表4）CO2価格'!$A$7:$E$67,VLOOKUP($F$48,'表4）CO2価格'!$H$10:$I$12,2,0),0)*$F$8/1000,"")),0,IF($K107&lt;=$F$15,VLOOKUP($I107,'表4）CO2価格'!$A$7:$E$67,VLOOKUP($F$48,'表4）CO2価格'!$H$10:$I$12,2,0),0)*$F$8/1000,""))</f>
        <v/>
      </c>
      <c r="AZ107" s="39"/>
      <c r="BA107" s="42" t="str">
        <f t="shared" si="63"/>
        <v/>
      </c>
      <c r="BB107" s="72" t="str">
        <f t="shared" si="80"/>
        <v/>
      </c>
      <c r="BC107" s="39"/>
      <c r="BD107" s="72" t="str">
        <f t="shared" si="64"/>
        <v/>
      </c>
      <c r="BE107" s="72" t="str">
        <f t="shared" si="81"/>
        <v/>
      </c>
      <c r="BF107" s="39"/>
      <c r="BG107" s="42" t="str">
        <f t="shared" si="65"/>
        <v/>
      </c>
      <c r="BH107" s="72" t="str">
        <f t="shared" si="82"/>
        <v/>
      </c>
      <c r="BI107" s="39"/>
      <c r="BJ107" s="40" t="str">
        <f t="shared" si="83"/>
        <v/>
      </c>
      <c r="BK107" s="157" t="str">
        <f t="shared" si="84"/>
        <v/>
      </c>
      <c r="BL107" s="157" t="str">
        <f t="shared" si="66"/>
        <v/>
      </c>
      <c r="BM107" s="72"/>
      <c r="BN107" s="72" t="str">
        <f t="shared" si="85"/>
        <v/>
      </c>
      <c r="BO107" s="72" t="str">
        <f t="shared" si="86"/>
        <v/>
      </c>
      <c r="BP107" s="39"/>
      <c r="BQ107" s="72" t="str">
        <f t="shared" si="67"/>
        <v/>
      </c>
      <c r="BR107" s="72" t="str">
        <f t="shared" si="87"/>
        <v/>
      </c>
    </row>
    <row r="108" spans="4:70" ht="15" x14ac:dyDescent="0.15">
      <c r="D108" s="103"/>
      <c r="F108" s="487"/>
      <c r="I108" s="457">
        <f t="shared" si="88"/>
        <v>2123</v>
      </c>
      <c r="J108" s="71"/>
      <c r="K108" s="71">
        <f t="shared" si="89"/>
        <v>94</v>
      </c>
      <c r="L108" s="71"/>
      <c r="M108" s="7">
        <f t="shared" si="52"/>
        <v>6.212993191806794E-2</v>
      </c>
      <c r="N108" s="71"/>
      <c r="O108" s="10" t="str">
        <f t="shared" si="68"/>
        <v/>
      </c>
      <c r="P108" s="29" t="str">
        <f t="shared" si="53"/>
        <v/>
      </c>
      <c r="Q108" s="71"/>
      <c r="R108" s="10" t="str">
        <f t="shared" si="69"/>
        <v/>
      </c>
      <c r="S108" s="71"/>
      <c r="T108" s="10" t="str">
        <f t="shared" si="70"/>
        <v/>
      </c>
      <c r="U108" s="71"/>
      <c r="V108" s="10" t="str">
        <f t="shared" si="54"/>
        <v/>
      </c>
      <c r="W108" s="10" t="str">
        <f t="shared" si="71"/>
        <v/>
      </c>
      <c r="X108" s="71"/>
      <c r="Y108" s="10" t="str">
        <f t="shared" si="55"/>
        <v/>
      </c>
      <c r="Z108" s="10" t="str">
        <f t="shared" si="72"/>
        <v/>
      </c>
      <c r="AA108" s="71"/>
      <c r="AB108" s="10" t="str">
        <f t="shared" si="56"/>
        <v/>
      </c>
      <c r="AC108" s="10" t="str">
        <f t="shared" si="73"/>
        <v/>
      </c>
      <c r="AD108" s="71"/>
      <c r="AE108" s="10" t="str">
        <f t="shared" si="57"/>
        <v/>
      </c>
      <c r="AF108" s="10" t="str">
        <f t="shared" si="74"/>
        <v/>
      </c>
      <c r="AG108" s="71"/>
      <c r="AH108" s="10" t="str">
        <f t="shared" si="58"/>
        <v/>
      </c>
      <c r="AI108" s="10" t="str">
        <f t="shared" si="75"/>
        <v/>
      </c>
      <c r="AJ108" s="71"/>
      <c r="AK108" s="10" t="str">
        <f t="shared" si="59"/>
        <v/>
      </c>
      <c r="AL108" s="10" t="str">
        <f t="shared" si="76"/>
        <v/>
      </c>
      <c r="AM108" s="71"/>
      <c r="AN108" s="10" t="str">
        <f t="shared" si="60"/>
        <v/>
      </c>
      <c r="AO108" s="10" t="str">
        <f t="shared" si="77"/>
        <v/>
      </c>
      <c r="AP108" s="71"/>
      <c r="AQ108" s="10" t="str">
        <f t="shared" si="61"/>
        <v/>
      </c>
      <c r="AR108" s="10" t="str">
        <f t="shared" si="78"/>
        <v/>
      </c>
      <c r="AS108" s="71"/>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U108" s="71"/>
      <c r="AV108" s="10" t="str">
        <f t="shared" si="62"/>
        <v/>
      </c>
      <c r="AW108" s="10" t="str">
        <f t="shared" si="79"/>
        <v/>
      </c>
      <c r="AX108" s="71"/>
      <c r="AY108" s="7" t="str">
        <f>IF(ISERROR(IF($K108&lt;=$F$15,VLOOKUP($I108,'表4）CO2価格'!$A$7:$E$67,VLOOKUP($F$48,'表4）CO2価格'!$H$10:$I$12,2,0),0)*$F$8/1000,"")),0,IF($K108&lt;=$F$15,VLOOKUP($I108,'表4）CO2価格'!$A$7:$E$67,VLOOKUP($F$48,'表4）CO2価格'!$H$10:$I$12,2,0),0)*$F$8/1000,""))</f>
        <v/>
      </c>
      <c r="AZ108" s="71"/>
      <c r="BA108" s="11" t="str">
        <f t="shared" si="63"/>
        <v/>
      </c>
      <c r="BB108" s="10" t="str">
        <f t="shared" si="80"/>
        <v/>
      </c>
      <c r="BC108" s="71"/>
      <c r="BD108" s="10" t="str">
        <f t="shared" si="64"/>
        <v/>
      </c>
      <c r="BE108" s="10" t="str">
        <f t="shared" si="81"/>
        <v/>
      </c>
      <c r="BF108" s="71"/>
      <c r="BG108" s="11" t="str">
        <f t="shared" si="65"/>
        <v/>
      </c>
      <c r="BH108" s="10" t="str">
        <f t="shared" si="82"/>
        <v/>
      </c>
      <c r="BJ108" s="7" t="str">
        <f t="shared" si="83"/>
        <v/>
      </c>
      <c r="BK108" s="158" t="str">
        <f t="shared" si="84"/>
        <v/>
      </c>
      <c r="BL108" s="158" t="str">
        <f t="shared" si="66"/>
        <v/>
      </c>
      <c r="BM108" s="10"/>
      <c r="BN108" s="10" t="str">
        <f t="shared" si="85"/>
        <v/>
      </c>
      <c r="BO108" s="10" t="str">
        <f t="shared" si="86"/>
        <v/>
      </c>
      <c r="BQ108" s="10" t="str">
        <f t="shared" si="67"/>
        <v/>
      </c>
      <c r="BR108" s="10" t="str">
        <f t="shared" si="87"/>
        <v/>
      </c>
    </row>
    <row r="109" spans="4:70" x14ac:dyDescent="0.15">
      <c r="D109" s="100" t="s">
        <v>605</v>
      </c>
      <c r="E109" s="100"/>
      <c r="F109" s="486"/>
      <c r="G109" s="100"/>
      <c r="I109" s="38">
        <f t="shared" si="88"/>
        <v>2124</v>
      </c>
      <c r="J109" s="39"/>
      <c r="K109" s="39">
        <f t="shared" si="89"/>
        <v>95</v>
      </c>
      <c r="L109" s="39"/>
      <c r="M109" s="40">
        <f t="shared" si="52"/>
        <v>6.0320322250551395E-2</v>
      </c>
      <c r="N109" s="39"/>
      <c r="O109" s="72" t="str">
        <f t="shared" si="68"/>
        <v/>
      </c>
      <c r="P109" s="41" t="str">
        <f t="shared" si="53"/>
        <v/>
      </c>
      <c r="Q109" s="39"/>
      <c r="R109" s="72" t="str">
        <f t="shared" si="69"/>
        <v/>
      </c>
      <c r="S109" s="39"/>
      <c r="T109" s="72" t="str">
        <f t="shared" si="70"/>
        <v/>
      </c>
      <c r="U109" s="39"/>
      <c r="V109" s="72" t="str">
        <f t="shared" si="54"/>
        <v/>
      </c>
      <c r="W109" s="72" t="str">
        <f t="shared" si="71"/>
        <v/>
      </c>
      <c r="X109" s="39"/>
      <c r="Y109" s="72" t="str">
        <f t="shared" si="55"/>
        <v/>
      </c>
      <c r="Z109" s="72" t="str">
        <f t="shared" si="72"/>
        <v/>
      </c>
      <c r="AA109" s="39"/>
      <c r="AB109" s="72" t="str">
        <f t="shared" si="56"/>
        <v/>
      </c>
      <c r="AC109" s="72" t="str">
        <f t="shared" si="73"/>
        <v/>
      </c>
      <c r="AD109" s="39"/>
      <c r="AE109" s="72" t="str">
        <f t="shared" si="57"/>
        <v/>
      </c>
      <c r="AF109" s="72" t="str">
        <f t="shared" si="74"/>
        <v/>
      </c>
      <c r="AG109" s="39"/>
      <c r="AH109" s="72" t="str">
        <f t="shared" si="58"/>
        <v/>
      </c>
      <c r="AI109" s="72" t="str">
        <f t="shared" si="75"/>
        <v/>
      </c>
      <c r="AJ109" s="39"/>
      <c r="AK109" s="72" t="str">
        <f t="shared" si="59"/>
        <v/>
      </c>
      <c r="AL109" s="72" t="str">
        <f t="shared" si="76"/>
        <v/>
      </c>
      <c r="AM109" s="39"/>
      <c r="AN109" s="72" t="str">
        <f t="shared" si="60"/>
        <v/>
      </c>
      <c r="AO109" s="72" t="str">
        <f t="shared" si="77"/>
        <v/>
      </c>
      <c r="AP109" s="39"/>
      <c r="AQ109" s="72" t="str">
        <f t="shared" si="61"/>
        <v/>
      </c>
      <c r="AR109" s="72" t="str">
        <f t="shared" si="78"/>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62"/>
        <v/>
      </c>
      <c r="AW109" s="72" t="str">
        <f t="shared" si="79"/>
        <v/>
      </c>
      <c r="AX109" s="39"/>
      <c r="AY109" s="40" t="str">
        <f>IF(ISERROR(IF($K109&lt;=$F$15,VLOOKUP($I109,'表4）CO2価格'!$A$7:$E$67,VLOOKUP($F$48,'表4）CO2価格'!$H$10:$I$12,2,0),0)*$F$8/1000,"")),0,IF($K109&lt;=$F$15,VLOOKUP($I109,'表4）CO2価格'!$A$7:$E$67,VLOOKUP($F$48,'表4）CO2価格'!$H$10:$I$12,2,0),0)*$F$8/1000,""))</f>
        <v/>
      </c>
      <c r="AZ109" s="39"/>
      <c r="BA109" s="42" t="str">
        <f t="shared" si="63"/>
        <v/>
      </c>
      <c r="BB109" s="72" t="str">
        <f t="shared" si="80"/>
        <v/>
      </c>
      <c r="BC109" s="39"/>
      <c r="BD109" s="72" t="str">
        <f t="shared" si="64"/>
        <v/>
      </c>
      <c r="BE109" s="72" t="str">
        <f t="shared" si="81"/>
        <v/>
      </c>
      <c r="BF109" s="39"/>
      <c r="BG109" s="42" t="str">
        <f t="shared" si="65"/>
        <v/>
      </c>
      <c r="BH109" s="72" t="str">
        <f t="shared" si="82"/>
        <v/>
      </c>
      <c r="BI109" s="39"/>
      <c r="BJ109" s="40" t="str">
        <f t="shared" si="83"/>
        <v/>
      </c>
      <c r="BK109" s="157" t="str">
        <f t="shared" si="84"/>
        <v/>
      </c>
      <c r="BL109" s="157" t="str">
        <f t="shared" si="66"/>
        <v/>
      </c>
      <c r="BM109" s="72"/>
      <c r="BN109" s="72" t="str">
        <f t="shared" si="85"/>
        <v/>
      </c>
      <c r="BO109" s="72" t="str">
        <f t="shared" si="86"/>
        <v/>
      </c>
      <c r="BP109" s="39"/>
      <c r="BQ109" s="72" t="str">
        <f t="shared" si="67"/>
        <v/>
      </c>
      <c r="BR109" s="72" t="str">
        <f t="shared" si="87"/>
        <v/>
      </c>
    </row>
    <row r="110" spans="4:70" ht="15" x14ac:dyDescent="0.15">
      <c r="D110" s="103"/>
      <c r="F110" s="487"/>
      <c r="I110" s="457">
        <f t="shared" si="88"/>
        <v>2125</v>
      </c>
      <c r="J110" s="71"/>
      <c r="K110" s="71">
        <f t="shared" si="89"/>
        <v>96</v>
      </c>
      <c r="L110" s="71"/>
      <c r="M110" s="7">
        <f t="shared" si="52"/>
        <v>5.8563419660729518E-2</v>
      </c>
      <c r="N110" s="71"/>
      <c r="O110" s="10" t="str">
        <f t="shared" si="68"/>
        <v/>
      </c>
      <c r="P110" s="29" t="str">
        <f t="shared" si="53"/>
        <v/>
      </c>
      <c r="Q110" s="71"/>
      <c r="R110" s="10" t="str">
        <f t="shared" si="69"/>
        <v/>
      </c>
      <c r="S110" s="71"/>
      <c r="T110" s="10" t="str">
        <f t="shared" si="70"/>
        <v/>
      </c>
      <c r="U110" s="71"/>
      <c r="V110" s="10" t="str">
        <f t="shared" si="54"/>
        <v/>
      </c>
      <c r="W110" s="10" t="str">
        <f t="shared" si="71"/>
        <v/>
      </c>
      <c r="X110" s="71"/>
      <c r="Y110" s="10" t="str">
        <f t="shared" si="55"/>
        <v/>
      </c>
      <c r="Z110" s="10" t="str">
        <f t="shared" si="72"/>
        <v/>
      </c>
      <c r="AA110" s="71"/>
      <c r="AB110" s="10" t="str">
        <f t="shared" si="56"/>
        <v/>
      </c>
      <c r="AC110" s="10" t="str">
        <f t="shared" si="73"/>
        <v/>
      </c>
      <c r="AD110" s="71"/>
      <c r="AE110" s="10" t="str">
        <f t="shared" si="57"/>
        <v/>
      </c>
      <c r="AF110" s="10" t="str">
        <f t="shared" si="74"/>
        <v/>
      </c>
      <c r="AG110" s="71"/>
      <c r="AH110" s="10" t="str">
        <f t="shared" si="58"/>
        <v/>
      </c>
      <c r="AI110" s="10" t="str">
        <f t="shared" si="75"/>
        <v/>
      </c>
      <c r="AJ110" s="71"/>
      <c r="AK110" s="10" t="str">
        <f t="shared" si="59"/>
        <v/>
      </c>
      <c r="AL110" s="10" t="str">
        <f t="shared" si="76"/>
        <v/>
      </c>
      <c r="AM110" s="71"/>
      <c r="AN110" s="10" t="str">
        <f t="shared" si="60"/>
        <v/>
      </c>
      <c r="AO110" s="10" t="str">
        <f t="shared" si="77"/>
        <v/>
      </c>
      <c r="AP110" s="71"/>
      <c r="AQ110" s="10" t="str">
        <f t="shared" si="61"/>
        <v/>
      </c>
      <c r="AR110" s="10" t="str">
        <f t="shared" si="78"/>
        <v/>
      </c>
      <c r="AS110" s="71"/>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U110" s="71"/>
      <c r="AV110" s="10" t="str">
        <f t="shared" si="62"/>
        <v/>
      </c>
      <c r="AW110" s="10" t="str">
        <f t="shared" si="79"/>
        <v/>
      </c>
      <c r="AX110" s="71"/>
      <c r="AY110" s="7" t="str">
        <f>IF(ISERROR(IF($K110&lt;=$F$15,VLOOKUP($I110,'表4）CO2価格'!$A$7:$E$67,VLOOKUP($F$48,'表4）CO2価格'!$H$10:$I$12,2,0),0)*$F$8/1000,"")),0,IF($K110&lt;=$F$15,VLOOKUP($I110,'表4）CO2価格'!$A$7:$E$67,VLOOKUP($F$48,'表4）CO2価格'!$H$10:$I$12,2,0),0)*$F$8/1000,""))</f>
        <v/>
      </c>
      <c r="AZ110" s="71"/>
      <c r="BA110" s="11" t="str">
        <f t="shared" si="63"/>
        <v/>
      </c>
      <c r="BB110" s="10" t="str">
        <f t="shared" si="80"/>
        <v/>
      </c>
      <c r="BC110" s="71"/>
      <c r="BD110" s="10" t="str">
        <f t="shared" si="64"/>
        <v/>
      </c>
      <c r="BE110" s="10" t="str">
        <f t="shared" si="81"/>
        <v/>
      </c>
      <c r="BF110" s="71"/>
      <c r="BG110" s="11" t="str">
        <f t="shared" si="65"/>
        <v/>
      </c>
      <c r="BH110" s="10" t="str">
        <f t="shared" si="82"/>
        <v/>
      </c>
      <c r="BJ110" s="7" t="str">
        <f t="shared" si="83"/>
        <v/>
      </c>
      <c r="BK110" s="158" t="str">
        <f t="shared" si="84"/>
        <v/>
      </c>
      <c r="BL110" s="158" t="str">
        <f t="shared" si="66"/>
        <v/>
      </c>
      <c r="BM110" s="10"/>
      <c r="BN110" s="10" t="str">
        <f t="shared" si="85"/>
        <v/>
      </c>
      <c r="BO110" s="10" t="str">
        <f t="shared" si="86"/>
        <v/>
      </c>
      <c r="BQ110" s="10" t="str">
        <f t="shared" si="67"/>
        <v/>
      </c>
      <c r="BR110" s="10" t="str">
        <f t="shared" si="87"/>
        <v/>
      </c>
    </row>
    <row r="111" spans="4:70" ht="15" x14ac:dyDescent="0.15">
      <c r="D111" s="103"/>
      <c r="E111" s="84" t="s">
        <v>606</v>
      </c>
      <c r="F111" s="488">
        <f>-BE116/BR116</f>
        <v>0</v>
      </c>
      <c r="G111" s="84" t="s">
        <v>590</v>
      </c>
      <c r="I111" s="38">
        <f t="shared" si="88"/>
        <v>2126</v>
      </c>
      <c r="J111" s="39"/>
      <c r="K111" s="39">
        <f t="shared" si="89"/>
        <v>97</v>
      </c>
      <c r="L111" s="39"/>
      <c r="M111" s="40">
        <f t="shared" si="52"/>
        <v>5.6857688990999529E-2</v>
      </c>
      <c r="N111" s="39"/>
      <c r="O111" s="72" t="str">
        <f t="shared" si="68"/>
        <v/>
      </c>
      <c r="P111" s="41" t="str">
        <f>IF(K111&lt;=$F$15,IF(OR(P110=$F$124,P110="-"),"-",IF(O111*$F$123&gt;$F$127,$F$123,$F$124)),"")</f>
        <v/>
      </c>
      <c r="Q111" s="39"/>
      <c r="R111" s="72" t="str">
        <f t="shared" si="69"/>
        <v/>
      </c>
      <c r="S111" s="39"/>
      <c r="T111" s="72" t="str">
        <f t="shared" si="70"/>
        <v/>
      </c>
      <c r="U111" s="39"/>
      <c r="V111" s="72" t="str">
        <f t="shared" si="54"/>
        <v/>
      </c>
      <c r="W111" s="72" t="str">
        <f t="shared" si="71"/>
        <v/>
      </c>
      <c r="X111" s="39"/>
      <c r="Y111" s="72" t="str">
        <f t="shared" si="55"/>
        <v/>
      </c>
      <c r="Z111" s="72" t="str">
        <f t="shared" si="72"/>
        <v/>
      </c>
      <c r="AA111" s="39"/>
      <c r="AB111" s="72" t="str">
        <f t="shared" si="56"/>
        <v/>
      </c>
      <c r="AC111" s="72" t="str">
        <f t="shared" si="73"/>
        <v/>
      </c>
      <c r="AD111" s="39"/>
      <c r="AE111" s="72" t="str">
        <f t="shared" si="57"/>
        <v/>
      </c>
      <c r="AF111" s="72" t="str">
        <f t="shared" si="74"/>
        <v/>
      </c>
      <c r="AG111" s="39"/>
      <c r="AH111" s="72" t="str">
        <f t="shared" si="58"/>
        <v/>
      </c>
      <c r="AI111" s="72" t="str">
        <f t="shared" si="75"/>
        <v/>
      </c>
      <c r="AJ111" s="39"/>
      <c r="AK111" s="72" t="str">
        <f t="shared" si="59"/>
        <v/>
      </c>
      <c r="AL111" s="72" t="str">
        <f t="shared" si="76"/>
        <v/>
      </c>
      <c r="AM111" s="39"/>
      <c r="AN111" s="72" t="str">
        <f t="shared" si="60"/>
        <v/>
      </c>
      <c r="AO111" s="72" t="str">
        <f t="shared" si="77"/>
        <v/>
      </c>
      <c r="AP111" s="39"/>
      <c r="AQ111" s="72" t="str">
        <f t="shared" si="61"/>
        <v/>
      </c>
      <c r="AR111" s="72" t="str">
        <f t="shared" si="78"/>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62"/>
        <v/>
      </c>
      <c r="AW111" s="72" t="str">
        <f t="shared" si="79"/>
        <v/>
      </c>
      <c r="AX111" s="39"/>
      <c r="AY111" s="40" t="str">
        <f>IF(ISERROR(IF($K111&lt;=$F$15,VLOOKUP($I111,'表4）CO2価格'!$A$7:$E$67,VLOOKUP($F$48,'表4）CO2価格'!$H$10:$I$12,2,0),0)*$F$8/1000,"")),0,IF($K111&lt;=$F$15,VLOOKUP($I111,'表4）CO2価格'!$A$7:$E$67,VLOOKUP($F$48,'表4）CO2価格'!$H$10:$I$12,2,0),0)*$F$8/1000,""))</f>
        <v/>
      </c>
      <c r="AZ111" s="39"/>
      <c r="BA111" s="42" t="str">
        <f t="shared" si="63"/>
        <v/>
      </c>
      <c r="BB111" s="72" t="str">
        <f t="shared" si="80"/>
        <v/>
      </c>
      <c r="BC111" s="39"/>
      <c r="BD111" s="72" t="str">
        <f t="shared" si="64"/>
        <v/>
      </c>
      <c r="BE111" s="72" t="str">
        <f t="shared" si="81"/>
        <v/>
      </c>
      <c r="BF111" s="39"/>
      <c r="BG111" s="42" t="str">
        <f t="shared" si="65"/>
        <v/>
      </c>
      <c r="BH111" s="72" t="str">
        <f t="shared" si="82"/>
        <v/>
      </c>
      <c r="BI111" s="39"/>
      <c r="BJ111" s="40" t="str">
        <f t="shared" si="83"/>
        <v/>
      </c>
      <c r="BK111" s="157" t="str">
        <f t="shared" si="84"/>
        <v/>
      </c>
      <c r="BL111" s="157" t="str">
        <f t="shared" si="66"/>
        <v/>
      </c>
      <c r="BM111" s="72"/>
      <c r="BN111" s="72" t="str">
        <f t="shared" si="85"/>
        <v/>
      </c>
      <c r="BO111" s="72" t="str">
        <f t="shared" si="86"/>
        <v/>
      </c>
      <c r="BP111" s="39"/>
      <c r="BQ111" s="72" t="str">
        <f t="shared" si="67"/>
        <v/>
      </c>
      <c r="BR111" s="72" t="str">
        <f t="shared" si="87"/>
        <v/>
      </c>
    </row>
    <row r="112" spans="4:70" ht="15" x14ac:dyDescent="0.15">
      <c r="D112" s="103"/>
      <c r="E112" s="84" t="s">
        <v>607</v>
      </c>
      <c r="F112" s="488">
        <f>-BH116/BR116</f>
        <v>0</v>
      </c>
      <c r="G112" s="84" t="s">
        <v>590</v>
      </c>
      <c r="I112" s="457">
        <f t="shared" si="88"/>
        <v>2127</v>
      </c>
      <c r="J112" s="71"/>
      <c r="K112" s="71">
        <f t="shared" si="89"/>
        <v>98</v>
      </c>
      <c r="L112" s="71"/>
      <c r="M112" s="7">
        <f t="shared" si="52"/>
        <v>5.5201639797086935E-2</v>
      </c>
      <c r="N112" s="71"/>
      <c r="O112" s="10" t="str">
        <f t="shared" si="68"/>
        <v/>
      </c>
      <c r="P112" s="29" t="str">
        <f>IF(K112&lt;=$F$15,IF(OR(P111=$F$124,P111="-"),"-",IF(O112*$F$123&gt;$F$127,$F$123,$F$124)),"")</f>
        <v/>
      </c>
      <c r="Q112" s="71"/>
      <c r="R112" s="10" t="str">
        <f t="shared" si="69"/>
        <v/>
      </c>
      <c r="S112" s="71"/>
      <c r="T112" s="10" t="str">
        <f t="shared" si="70"/>
        <v/>
      </c>
      <c r="U112" s="71"/>
      <c r="V112" s="10" t="str">
        <f t="shared" si="54"/>
        <v/>
      </c>
      <c r="W112" s="10" t="str">
        <f t="shared" si="71"/>
        <v/>
      </c>
      <c r="X112" s="71"/>
      <c r="Y112" s="10" t="str">
        <f t="shared" si="55"/>
        <v/>
      </c>
      <c r="Z112" s="10" t="str">
        <f t="shared" si="72"/>
        <v/>
      </c>
      <c r="AA112" s="71"/>
      <c r="AB112" s="10" t="str">
        <f t="shared" si="56"/>
        <v/>
      </c>
      <c r="AC112" s="10" t="str">
        <f t="shared" si="73"/>
        <v/>
      </c>
      <c r="AD112" s="71"/>
      <c r="AE112" s="10" t="str">
        <f t="shared" si="57"/>
        <v/>
      </c>
      <c r="AF112" s="10" t="str">
        <f t="shared" si="74"/>
        <v/>
      </c>
      <c r="AG112" s="71"/>
      <c r="AH112" s="10" t="str">
        <f t="shared" si="58"/>
        <v/>
      </c>
      <c r="AI112" s="10" t="str">
        <f t="shared" si="75"/>
        <v/>
      </c>
      <c r="AJ112" s="71"/>
      <c r="AK112" s="10" t="str">
        <f t="shared" si="59"/>
        <v/>
      </c>
      <c r="AL112" s="10" t="str">
        <f t="shared" si="76"/>
        <v/>
      </c>
      <c r="AM112" s="71"/>
      <c r="AN112" s="10" t="str">
        <f t="shared" si="60"/>
        <v/>
      </c>
      <c r="AO112" s="10" t="str">
        <f t="shared" si="77"/>
        <v/>
      </c>
      <c r="AP112" s="71"/>
      <c r="AQ112" s="10" t="str">
        <f t="shared" si="61"/>
        <v/>
      </c>
      <c r="AR112" s="10" t="str">
        <f t="shared" si="78"/>
        <v/>
      </c>
      <c r="AS112" s="71"/>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U112" s="71"/>
      <c r="AV112" s="10" t="str">
        <f t="shared" si="62"/>
        <v/>
      </c>
      <c r="AW112" s="10" t="str">
        <f t="shared" si="79"/>
        <v/>
      </c>
      <c r="AX112" s="71"/>
      <c r="AY112" s="7" t="str">
        <f>IF(ISERROR(IF($K112&lt;=$F$15,VLOOKUP($I112,'表4）CO2価格'!$A$7:$E$67,VLOOKUP($F$48,'表4）CO2価格'!$H$10:$I$12,2,0),0)*$F$8/1000,"")),0,IF($K112&lt;=$F$15,VLOOKUP($I112,'表4）CO2価格'!$A$7:$E$67,VLOOKUP($F$48,'表4）CO2価格'!$H$10:$I$12,2,0),0)*$F$8/1000,""))</f>
        <v/>
      </c>
      <c r="AZ112" s="71"/>
      <c r="BA112" s="11" t="str">
        <f t="shared" si="63"/>
        <v/>
      </c>
      <c r="BB112" s="10" t="str">
        <f t="shared" si="80"/>
        <v/>
      </c>
      <c r="BC112" s="71"/>
      <c r="BD112" s="10" t="str">
        <f t="shared" si="64"/>
        <v/>
      </c>
      <c r="BE112" s="10" t="str">
        <f t="shared" si="81"/>
        <v/>
      </c>
      <c r="BF112" s="71"/>
      <c r="BG112" s="11" t="str">
        <f t="shared" si="65"/>
        <v/>
      </c>
      <c r="BH112" s="10" t="str">
        <f t="shared" si="82"/>
        <v/>
      </c>
      <c r="BJ112" s="7" t="str">
        <f t="shared" si="83"/>
        <v/>
      </c>
      <c r="BK112" s="158" t="str">
        <f t="shared" si="84"/>
        <v/>
      </c>
      <c r="BL112" s="158" t="str">
        <f t="shared" si="66"/>
        <v/>
      </c>
      <c r="BM112" s="10"/>
      <c r="BN112" s="10" t="str">
        <f t="shared" si="85"/>
        <v/>
      </c>
      <c r="BO112" s="10" t="str">
        <f t="shared" si="86"/>
        <v/>
      </c>
      <c r="BQ112" s="10" t="str">
        <f t="shared" si="67"/>
        <v/>
      </c>
      <c r="BR112" s="10" t="str">
        <f t="shared" si="87"/>
        <v/>
      </c>
    </row>
    <row r="113" spans="2:70" x14ac:dyDescent="0.15">
      <c r="I113" s="38">
        <f t="shared" si="88"/>
        <v>2128</v>
      </c>
      <c r="J113" s="39"/>
      <c r="K113" s="39">
        <f t="shared" si="89"/>
        <v>99</v>
      </c>
      <c r="L113" s="39"/>
      <c r="M113" s="40">
        <f t="shared" si="52"/>
        <v>5.3593825045715457E-2</v>
      </c>
      <c r="N113" s="39"/>
      <c r="O113" s="72" t="str">
        <f t="shared" si="68"/>
        <v/>
      </c>
      <c r="P113" s="41" t="str">
        <f>IF(K113&lt;=$F$15,IF(OR(P112=$F$124,P112="-"),"-",IF(O113*$F$123&gt;$F$127,$F$123,$F$124)),"")</f>
        <v/>
      </c>
      <c r="Q113" s="39"/>
      <c r="R113" s="72" t="str">
        <f t="shared" si="69"/>
        <v/>
      </c>
      <c r="S113" s="39"/>
      <c r="T113" s="72" t="str">
        <f t="shared" si="70"/>
        <v/>
      </c>
      <c r="U113" s="39"/>
      <c r="V113" s="72" t="str">
        <f t="shared" si="54"/>
        <v/>
      </c>
      <c r="W113" s="72" t="str">
        <f t="shared" si="71"/>
        <v/>
      </c>
      <c r="X113" s="39"/>
      <c r="Y113" s="72" t="str">
        <f t="shared" si="55"/>
        <v/>
      </c>
      <c r="Z113" s="72" t="str">
        <f t="shared" si="72"/>
        <v/>
      </c>
      <c r="AA113" s="39"/>
      <c r="AB113" s="72" t="str">
        <f t="shared" si="56"/>
        <v/>
      </c>
      <c r="AC113" s="72" t="str">
        <f t="shared" si="73"/>
        <v/>
      </c>
      <c r="AD113" s="39"/>
      <c r="AE113" s="72" t="str">
        <f t="shared" si="57"/>
        <v/>
      </c>
      <c r="AF113" s="72" t="str">
        <f t="shared" si="74"/>
        <v/>
      </c>
      <c r="AG113" s="39"/>
      <c r="AH113" s="72" t="str">
        <f t="shared" si="58"/>
        <v/>
      </c>
      <c r="AI113" s="72" t="str">
        <f t="shared" si="75"/>
        <v/>
      </c>
      <c r="AJ113" s="39"/>
      <c r="AK113" s="72" t="str">
        <f t="shared" si="59"/>
        <v/>
      </c>
      <c r="AL113" s="72" t="str">
        <f t="shared" si="76"/>
        <v/>
      </c>
      <c r="AM113" s="39"/>
      <c r="AN113" s="72" t="str">
        <f t="shared" si="60"/>
        <v/>
      </c>
      <c r="AO113" s="72" t="str">
        <f t="shared" si="77"/>
        <v/>
      </c>
      <c r="AP113" s="39"/>
      <c r="AQ113" s="72" t="str">
        <f t="shared" si="61"/>
        <v/>
      </c>
      <c r="AR113" s="72" t="str">
        <f t="shared" si="78"/>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62"/>
        <v/>
      </c>
      <c r="AW113" s="72" t="str">
        <f t="shared" si="79"/>
        <v/>
      </c>
      <c r="AX113" s="39"/>
      <c r="AY113" s="40" t="str">
        <f>IF(ISERROR(IF($K113&lt;=$F$15,VLOOKUP($I113,'表4）CO2価格'!$A$7:$E$67,VLOOKUP($F$48,'表4）CO2価格'!$H$10:$I$12,2,0),0)*$F$8/1000,"")),0,IF($K113&lt;=$F$15,VLOOKUP($I113,'表4）CO2価格'!$A$7:$E$67,VLOOKUP($F$48,'表4）CO2価格'!$H$10:$I$12,2,0),0)*$F$8/1000,""))</f>
        <v/>
      </c>
      <c r="AZ113" s="39"/>
      <c r="BA113" s="42" t="str">
        <f t="shared" si="63"/>
        <v/>
      </c>
      <c r="BB113" s="72" t="str">
        <f t="shared" si="80"/>
        <v/>
      </c>
      <c r="BC113" s="39"/>
      <c r="BD113" s="72" t="str">
        <f t="shared" si="64"/>
        <v/>
      </c>
      <c r="BE113" s="72" t="str">
        <f t="shared" si="81"/>
        <v/>
      </c>
      <c r="BF113" s="39"/>
      <c r="BG113" s="42" t="str">
        <f t="shared" si="65"/>
        <v/>
      </c>
      <c r="BH113" s="72" t="str">
        <f t="shared" si="82"/>
        <v/>
      </c>
      <c r="BI113" s="39"/>
      <c r="BJ113" s="40" t="str">
        <f t="shared" si="83"/>
        <v/>
      </c>
      <c r="BK113" s="157" t="str">
        <f t="shared" si="84"/>
        <v/>
      </c>
      <c r="BL113" s="157" t="str">
        <f t="shared" si="66"/>
        <v/>
      </c>
      <c r="BM113" s="72"/>
      <c r="BN113" s="72" t="str">
        <f t="shared" si="85"/>
        <v/>
      </c>
      <c r="BO113" s="72" t="str">
        <f t="shared" si="86"/>
        <v/>
      </c>
      <c r="BP113" s="39"/>
      <c r="BQ113" s="72" t="str">
        <f t="shared" si="67"/>
        <v/>
      </c>
      <c r="BR113" s="72" t="str">
        <f t="shared" si="87"/>
        <v/>
      </c>
    </row>
    <row r="114" spans="2:70" x14ac:dyDescent="0.15">
      <c r="I114" s="457">
        <f t="shared" si="88"/>
        <v>2129</v>
      </c>
      <c r="J114" s="71"/>
      <c r="K114" s="71">
        <f t="shared" si="89"/>
        <v>100</v>
      </c>
      <c r="L114" s="71"/>
      <c r="M114" s="7">
        <f t="shared" si="52"/>
        <v>5.2032839850209185E-2</v>
      </c>
      <c r="N114" s="71"/>
      <c r="O114" s="10" t="str">
        <f t="shared" si="68"/>
        <v/>
      </c>
      <c r="P114" s="29" t="str">
        <f>IF(K114&lt;=$F$15,IF(OR(P113=$F$124,P113="-"),"-",IF(O114*$F$123&gt;$F$127,$F$123,$F$124)),"")</f>
        <v/>
      </c>
      <c r="Q114" s="71"/>
      <c r="R114" s="10" t="str">
        <f t="shared" si="69"/>
        <v/>
      </c>
      <c r="S114" s="71"/>
      <c r="T114" s="10" t="str">
        <f t="shared" si="70"/>
        <v/>
      </c>
      <c r="U114" s="71"/>
      <c r="V114" s="10" t="str">
        <f t="shared" si="54"/>
        <v/>
      </c>
      <c r="W114" s="10" t="str">
        <f t="shared" si="71"/>
        <v/>
      </c>
      <c r="X114" s="71"/>
      <c r="Y114" s="10" t="str">
        <f t="shared" si="55"/>
        <v/>
      </c>
      <c r="Z114" s="10" t="str">
        <f t="shared" si="72"/>
        <v/>
      </c>
      <c r="AA114" s="71"/>
      <c r="AB114" s="10" t="str">
        <f t="shared" si="56"/>
        <v/>
      </c>
      <c r="AC114" s="10" t="str">
        <f t="shared" si="73"/>
        <v/>
      </c>
      <c r="AD114" s="71"/>
      <c r="AE114" s="10" t="str">
        <f t="shared" si="57"/>
        <v/>
      </c>
      <c r="AF114" s="10" t="str">
        <f t="shared" si="74"/>
        <v/>
      </c>
      <c r="AG114" s="71"/>
      <c r="AH114" s="10" t="str">
        <f t="shared" si="58"/>
        <v/>
      </c>
      <c r="AI114" s="10" t="str">
        <f t="shared" si="75"/>
        <v/>
      </c>
      <c r="AJ114" s="71"/>
      <c r="AK114" s="10" t="str">
        <f t="shared" si="59"/>
        <v/>
      </c>
      <c r="AL114" s="10" t="str">
        <f t="shared" si="76"/>
        <v/>
      </c>
      <c r="AM114" s="71"/>
      <c r="AN114" s="10" t="str">
        <f t="shared" si="60"/>
        <v/>
      </c>
      <c r="AO114" s="10" t="str">
        <f t="shared" si="77"/>
        <v/>
      </c>
      <c r="AP114" s="71"/>
      <c r="AQ114" s="10" t="str">
        <f t="shared" si="61"/>
        <v/>
      </c>
      <c r="AR114" s="10" t="str">
        <f t="shared" si="78"/>
        <v/>
      </c>
      <c r="AS114" s="71"/>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U114" s="71"/>
      <c r="AV114" s="10" t="str">
        <f t="shared" si="62"/>
        <v/>
      </c>
      <c r="AW114" s="10" t="str">
        <f t="shared" si="79"/>
        <v/>
      </c>
      <c r="AX114" s="71"/>
      <c r="AY114" s="7" t="str">
        <f>IF(ISERROR(IF($K114&lt;=$F$15,VLOOKUP($I114,'表4）CO2価格'!$A$7:$E$67,VLOOKUP($F$48,'表4）CO2価格'!$H$10:$I$12,2,0),0)*$F$8/1000,"")),0,IF($K114&lt;=$F$15,VLOOKUP($I114,'表4）CO2価格'!$A$7:$E$67,VLOOKUP($F$48,'表4）CO2価格'!$H$10:$I$12,2,0),0)*$F$8/1000,""))</f>
        <v/>
      </c>
      <c r="AZ114" s="71"/>
      <c r="BA114" s="11" t="str">
        <f t="shared" si="63"/>
        <v/>
      </c>
      <c r="BB114" s="10" t="str">
        <f t="shared" si="80"/>
        <v/>
      </c>
      <c r="BC114" s="71"/>
      <c r="BD114" s="10" t="str">
        <f t="shared" si="64"/>
        <v/>
      </c>
      <c r="BE114" s="10" t="str">
        <f t="shared" si="81"/>
        <v/>
      </c>
      <c r="BF114" s="71"/>
      <c r="BG114" s="11" t="str">
        <f t="shared" si="65"/>
        <v/>
      </c>
      <c r="BH114" s="10" t="str">
        <f t="shared" si="82"/>
        <v/>
      </c>
      <c r="BJ114" s="7" t="str">
        <f t="shared" si="83"/>
        <v/>
      </c>
      <c r="BK114" s="158" t="str">
        <f t="shared" si="84"/>
        <v/>
      </c>
      <c r="BL114" s="158" t="str">
        <f t="shared" si="66"/>
        <v/>
      </c>
      <c r="BM114" s="10"/>
      <c r="BN114" s="10" t="str">
        <f t="shared" si="85"/>
        <v/>
      </c>
      <c r="BO114" s="10" t="str">
        <f t="shared" si="86"/>
        <v/>
      </c>
      <c r="BQ114" s="10" t="str">
        <f t="shared" si="67"/>
        <v/>
      </c>
      <c r="BR114" s="10" t="str">
        <f t="shared" si="87"/>
        <v/>
      </c>
    </row>
    <row r="115" spans="2:70" ht="15.75" thickBot="1" x14ac:dyDescent="0.2">
      <c r="B115" s="5" t="s">
        <v>608</v>
      </c>
      <c r="C115" s="3"/>
      <c r="D115" s="102"/>
      <c r="E115" s="102"/>
      <c r="F115" s="3"/>
      <c r="G115" s="102"/>
      <c r="I115" s="456"/>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71" t="s">
        <v>609</v>
      </c>
      <c r="J116" s="71"/>
      <c r="K116" s="71"/>
      <c r="L116" s="71"/>
      <c r="M116" s="71"/>
      <c r="N116" s="71"/>
      <c r="O116" s="71"/>
      <c r="P116" s="71"/>
      <c r="Q116" s="71"/>
      <c r="R116" s="71"/>
      <c r="S116" s="71"/>
      <c r="T116" s="71"/>
      <c r="U116" s="71"/>
      <c r="V116" s="71"/>
      <c r="W116" s="11"/>
      <c r="X116" s="71"/>
      <c r="Y116" s="71"/>
      <c r="Z116" s="11">
        <f>SUM(Z15:Z114)</f>
        <v>15620479203.696253</v>
      </c>
      <c r="AA116" s="71"/>
      <c r="AB116" s="71"/>
      <c r="AC116" s="11">
        <f>SUM(AC15:AC114)</f>
        <v>17365367542.571995</v>
      </c>
      <c r="AD116" s="71"/>
      <c r="AE116" s="71"/>
      <c r="AF116" s="11">
        <f>SUM(AF15:AF114)</f>
        <v>0</v>
      </c>
      <c r="AG116" s="71"/>
      <c r="AH116" s="71"/>
      <c r="AI116" s="11">
        <f>SUM(AI15:AI114)</f>
        <v>112140671131.83044</v>
      </c>
      <c r="AJ116" s="71"/>
      <c r="AK116" s="71"/>
      <c r="AL116" s="11">
        <f>SUM(AL15:AL114)</f>
        <v>0</v>
      </c>
      <c r="AM116" s="71"/>
      <c r="AN116" s="71"/>
      <c r="AO116" s="11">
        <f>SUM(AO15:AO114)</f>
        <v>0</v>
      </c>
      <c r="AP116" s="71"/>
      <c r="AQ116" s="71"/>
      <c r="AR116" s="11">
        <f>SUM(AR15:AR114)</f>
        <v>0</v>
      </c>
      <c r="AS116" s="71"/>
      <c r="AT116" s="71"/>
      <c r="AU116" s="71"/>
      <c r="AV116" s="71"/>
      <c r="AW116" s="11">
        <f>SUM(AW15:AW114)</f>
        <v>0</v>
      </c>
      <c r="AX116" s="71"/>
      <c r="AY116" s="71"/>
      <c r="AZ116" s="71"/>
      <c r="BA116" s="71"/>
      <c r="BB116" s="11">
        <f>SUM(BB15:BB114)</f>
        <v>0</v>
      </c>
      <c r="BC116" s="71"/>
      <c r="BD116" s="71"/>
      <c r="BE116" s="11">
        <f>SUM(BE15:BE114)</f>
        <v>0</v>
      </c>
      <c r="BF116" s="71"/>
      <c r="BG116" s="71"/>
      <c r="BH116" s="11">
        <f>SUM(BH15:BH114)</f>
        <v>0</v>
      </c>
      <c r="BK116" s="11">
        <f>SUM(BK15:BK114)</f>
        <v>70739277978.840164</v>
      </c>
      <c r="BL116" s="11">
        <f>SUM(BL15:BL114)</f>
        <v>8666058673.1068764</v>
      </c>
      <c r="BO116" s="11">
        <f>SUM(BO15:BO114)</f>
        <v>433711412201.60059</v>
      </c>
      <c r="BQ116" s="71"/>
      <c r="BR116" s="11">
        <f>SUM(BR15:BR114)</f>
        <v>17725051992.724194</v>
      </c>
    </row>
    <row r="117" spans="2:70" x14ac:dyDescent="0.15">
      <c r="C117" s="71" t="s">
        <v>610</v>
      </c>
      <c r="F117" s="490">
        <f>F21*10^4*F13*10^4+F29*10^8</f>
        <v>177450000000</v>
      </c>
      <c r="G117" s="84" t="s">
        <v>611</v>
      </c>
      <c r="I117" s="184" t="s">
        <v>145</v>
      </c>
      <c r="J117" s="71"/>
      <c r="K117" s="71"/>
      <c r="L117" s="71"/>
      <c r="M117" s="71"/>
      <c r="N117" s="71"/>
      <c r="O117" s="71"/>
      <c r="P117" s="71"/>
      <c r="Q117" s="71"/>
      <c r="R117" s="71"/>
      <c r="S117" s="71"/>
      <c r="T117" s="71"/>
      <c r="U117" s="71"/>
      <c r="V117" s="71"/>
      <c r="W117" s="11"/>
      <c r="X117" s="71"/>
      <c r="Y117" s="71"/>
      <c r="Z117" s="11">
        <f ca="1">IF(ISNUMBER($F$16),SUM(INDIRECT(ADDRESS($F$16+15,COLUMN())):INDIRECT(ADDRESS(114,COLUMN()))),"")</f>
        <v>348751624.07184529</v>
      </c>
      <c r="AA117" s="71"/>
      <c r="AB117" s="71"/>
      <c r="AC117" s="11">
        <f ca="1">IF(ISNUMBER($F$16),SUM(INDIRECT(ADDRESS($F$16+15,COLUMN())):INDIRECT(ADDRESS(114,COLUMN()))),"")</f>
        <v>17365367542.571995</v>
      </c>
      <c r="AD117" s="71"/>
      <c r="AE117" s="71"/>
      <c r="AF117" s="11">
        <f ca="1">IF(ISNUMBER($F$16),SUM(INDIRECT(ADDRESS($F$16+15,COLUMN())):INDIRECT(ADDRESS(114,COLUMN()))),"")</f>
        <v>0</v>
      </c>
      <c r="AG117" s="71"/>
      <c r="AH117" s="71"/>
      <c r="AI117" s="11">
        <f ca="1">IF(ISNUMBER($F$16),SUM(INDIRECT(ADDRESS($F$16+15,COLUMN())):INDIRECT(ADDRESS(114,COLUMN()))),"")</f>
        <v>16329733030.496981</v>
      </c>
      <c r="AJ117" s="71"/>
      <c r="AK117" s="71"/>
      <c r="AL117" s="11">
        <f ca="1">IF(ISNUMBER($F$16),SUM(INDIRECT(ADDRESS($F$16+15,COLUMN())):INDIRECT(ADDRESS(114,COLUMN()))),"")</f>
        <v>0</v>
      </c>
      <c r="AM117" s="71"/>
      <c r="AN117" s="71"/>
      <c r="AO117" s="11">
        <f ca="1">IF(ISNUMBER($F$16),SUM(INDIRECT(ADDRESS($F$16+15,COLUMN())):INDIRECT(ADDRESS(114,COLUMN()))),"")</f>
        <v>0</v>
      </c>
      <c r="AP117" s="71"/>
      <c r="AQ117" s="71"/>
      <c r="AR117" s="11">
        <f ca="1">IF(ISNUMBER($F$16),SUM(INDIRECT(ADDRESS($F$16+15,COLUMN())):INDIRECT(ADDRESS(114,COLUMN()))),"")</f>
        <v>0</v>
      </c>
      <c r="AS117" s="71"/>
      <c r="AT117" s="71"/>
      <c r="AU117" s="71"/>
      <c r="AV117" s="71"/>
      <c r="AW117" s="11">
        <f ca="1">IF(ISNUMBER($F$16),SUM(INDIRECT(ADDRESS($F$16+15,COLUMN())):INDIRECT(ADDRESS(114,COLUMN()))),"")</f>
        <v>0</v>
      </c>
      <c r="AX117" s="71"/>
      <c r="AY117" s="71"/>
      <c r="AZ117" s="71"/>
      <c r="BA117" s="71"/>
      <c r="BB117" s="11">
        <f ca="1">IF(ISNUMBER($F$16),SUM(INDIRECT(ADDRESS($F$16+15,COLUMN())):INDIRECT(ADDRESS(114,COLUMN()))),"")</f>
        <v>0</v>
      </c>
      <c r="BC117" s="71"/>
      <c r="BD117" s="71"/>
      <c r="BE117" s="11">
        <f ca="1">IF(ISNUMBER($F$16),SUM(INDIRECT(ADDRESS($F$16+15,COLUMN())):INDIRECT(ADDRESS(114,COLUMN()))),"")</f>
        <v>0</v>
      </c>
      <c r="BF117" s="71"/>
      <c r="BG117" s="71"/>
      <c r="BH117" s="11">
        <f ca="1">IF(ISNUMBER($F$16),SUM(INDIRECT(ADDRESS($F$16+15,COLUMN())):INDIRECT(ADDRESS(114,COLUMN()))),"")</f>
        <v>0</v>
      </c>
      <c r="BK117" s="11">
        <f ca="1">IF(ISNUMBER($F$16),SUM(INDIRECT(ADDRESS($F$16+15,COLUMN())):INDIRECT(ADDRESS(114,COLUMN()))),"")</f>
        <v>5060639881.3674307</v>
      </c>
      <c r="BL117" s="11">
        <f ca="1">IF(ISNUMBER($F$16),SUM(INDIRECT(ADDRESS($F$16+15,COLUMN())):INDIRECT(ADDRESS(114,COLUMN()))),"")</f>
        <v>0</v>
      </c>
      <c r="BO117" s="11">
        <f ca="1">IF(ISNUMBER($F$16),SUM(INDIRECT(ADDRESS($F$16+15,COLUMN())):INDIRECT(ADDRESS(114,COLUMN()))),"")</f>
        <v>0</v>
      </c>
      <c r="BQ117" s="71"/>
      <c r="BR117" s="11">
        <f ca="1">IF(ISNUMBER($F$16),SUM(INDIRECT(ADDRESS($F$16+15,COLUMN())):INDIRECT(ADDRESS(114,COLUMN()))),"")</f>
        <v>2581091802.5682054</v>
      </c>
    </row>
    <row r="119" spans="2:70" x14ac:dyDescent="0.15">
      <c r="C119" s="71" t="s">
        <v>612</v>
      </c>
      <c r="F119" s="490">
        <f>VLOOKUP(F3,'表2）法定耐用年数'!$A$2:$B$24,2,0)</f>
        <v>17</v>
      </c>
      <c r="G119" s="84" t="s">
        <v>556</v>
      </c>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Q119" s="71"/>
      <c r="BR119" s="71"/>
    </row>
    <row r="121" spans="2:70" x14ac:dyDescent="0.15">
      <c r="C121" s="4" t="s">
        <v>613</v>
      </c>
      <c r="D121" s="100"/>
      <c r="E121" s="100"/>
      <c r="F121" s="4"/>
      <c r="G121" s="100"/>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Q121" s="71"/>
      <c r="BR121" s="71"/>
    </row>
    <row r="123" spans="2:70" x14ac:dyDescent="0.15">
      <c r="D123" s="84" t="s">
        <v>614</v>
      </c>
      <c r="F123" s="491">
        <f>VLOOKUP($F$119,'表1）減価償却率表'!$A$9:$E$107,3,0)</f>
        <v>0.14699999999999999</v>
      </c>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Q123" s="71"/>
      <c r="BR123" s="71"/>
    </row>
    <row r="124" spans="2:70" x14ac:dyDescent="0.15">
      <c r="D124" s="84" t="s">
        <v>615</v>
      </c>
      <c r="F124" s="491">
        <f>VLOOKUP($F$119,'表1）減価償却率表'!$A$9:$E$107,4,0)</f>
        <v>0.16700000000000001</v>
      </c>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Q124" s="71"/>
      <c r="BR124" s="71"/>
    </row>
    <row r="125" spans="2:70" x14ac:dyDescent="0.15">
      <c r="D125" s="84" t="s">
        <v>616</v>
      </c>
      <c r="F125" s="474">
        <f>VLOOKUP($F$119,'表1）減価償却率表'!$A$9:$E$107,5,0)</f>
        <v>2.9049999999999999E-2</v>
      </c>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Q125" s="71"/>
      <c r="BR125" s="71"/>
    </row>
    <row r="126" spans="2:70" x14ac:dyDescent="0.15">
      <c r="F126" s="492"/>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Q126" s="71"/>
      <c r="BR126" s="71"/>
    </row>
    <row r="127" spans="2:70" x14ac:dyDescent="0.15">
      <c r="C127" s="8" t="s">
        <v>617</v>
      </c>
      <c r="D127" s="493"/>
      <c r="E127" s="494"/>
      <c r="F127" s="490">
        <f>F117*F125</f>
        <v>5154922500</v>
      </c>
      <c r="G127" s="84" t="s">
        <v>611</v>
      </c>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Q127" s="71"/>
      <c r="BR127" s="71"/>
    </row>
    <row r="129" spans="3:7" x14ac:dyDescent="0.15">
      <c r="C129" s="8" t="s">
        <v>152</v>
      </c>
      <c r="D129" s="493"/>
      <c r="E129" s="493"/>
      <c r="F129" s="491">
        <f>0.1^(1/F119)</f>
        <v>0.87332616238284333</v>
      </c>
      <c r="G129" s="493"/>
    </row>
    <row r="131" spans="3:7" x14ac:dyDescent="0.15">
      <c r="C131" s="4" t="s">
        <v>618</v>
      </c>
      <c r="D131" s="100"/>
      <c r="E131" s="100"/>
      <c r="F131" s="4"/>
      <c r="G131" s="100"/>
    </row>
    <row r="133" spans="3:7" x14ac:dyDescent="0.15">
      <c r="D133" s="84" t="s">
        <v>619</v>
      </c>
      <c r="F133" s="490">
        <f>F13*10000*24*365*F14/100</f>
        <v>1017912000.0000001</v>
      </c>
      <c r="G133" s="84" t="s">
        <v>620</v>
      </c>
    </row>
    <row r="134" spans="3:7" x14ac:dyDescent="0.15">
      <c r="D134" s="84" t="s">
        <v>621</v>
      </c>
      <c r="F134" s="490">
        <f>F133*(1-F24/100)</f>
        <v>1017912000.0000001</v>
      </c>
      <c r="G134" s="84" t="s">
        <v>620</v>
      </c>
    </row>
    <row r="135" spans="3:7" x14ac:dyDescent="0.15">
      <c r="F135" s="495"/>
    </row>
    <row r="137" spans="3:7" ht="16.5" x14ac:dyDescent="0.15">
      <c r="C137" s="71" t="s">
        <v>622</v>
      </c>
      <c r="F137" s="490">
        <f>IF(ISERROR(F133*3.6/(F23/100)/F22),0,F133*3.6/(F23/100)/F22)</f>
        <v>0</v>
      </c>
      <c r="G137" s="71" t="s">
        <v>623</v>
      </c>
    </row>
    <row r="139" spans="3:7" x14ac:dyDescent="0.15">
      <c r="C139" s="4" t="s">
        <v>624</v>
      </c>
      <c r="D139" s="100"/>
      <c r="E139" s="100"/>
      <c r="F139" s="4"/>
      <c r="G139" s="100"/>
    </row>
    <row r="141" spans="3:7" x14ac:dyDescent="0.15">
      <c r="D141" s="84" t="s">
        <v>625</v>
      </c>
      <c r="F141" s="496" t="str">
        <f>IF(OR(F3="石炭火力",F3= "LNG火力", F3="ガスコジェネ",F3="バイオマス（石炭混焼）",F3="バイオマス（木質専焼）",F3="燃料電池"),IF($F$43="需要地価格","",1000),IF(OR(F3="石油火力",F3="石油コジェネ"),IF($F$43="需要地価格","",158.987294928),""))</f>
        <v/>
      </c>
      <c r="G141" s="84" t="s">
        <v>626</v>
      </c>
    </row>
    <row r="142" spans="3:7" x14ac:dyDescent="0.15">
      <c r="D142" s="84" t="s">
        <v>573</v>
      </c>
      <c r="F142" s="488">
        <f>IF(ISERROR(F42/1000),0,F42/1000)</f>
        <v>0</v>
      </c>
      <c r="G142" s="84" t="s">
        <v>627</v>
      </c>
    </row>
    <row r="145" spans="3:7" x14ac:dyDescent="0.15">
      <c r="C145" s="71" t="s">
        <v>628</v>
      </c>
      <c r="F145" s="496">
        <f>IF(ISERROR(F133*(F47*3.6/(F23/100)/1000*(44/12))),0,F133*(F47*3.6/(F23/100)/1000*(44/12)))</f>
        <v>0</v>
      </c>
      <c r="G145" s="84" t="s">
        <v>629</v>
      </c>
    </row>
    <row r="147" spans="3:7" x14ac:dyDescent="0.15">
      <c r="C147" s="4" t="s">
        <v>630</v>
      </c>
      <c r="D147" s="100"/>
      <c r="E147" s="100"/>
      <c r="F147" s="4"/>
      <c r="G147" s="100"/>
    </row>
    <row r="149" spans="3:7" x14ac:dyDescent="0.15">
      <c r="D149" s="84" t="s">
        <v>219</v>
      </c>
      <c r="F149" s="496">
        <f>IF(ISERROR(F52/F23),0,F52/F23)</f>
        <v>0</v>
      </c>
    </row>
    <row r="150" spans="3:7" x14ac:dyDescent="0.15">
      <c r="D150" s="84" t="s">
        <v>631</v>
      </c>
      <c r="F150" s="496">
        <f>F133*F149*(F53/100)*3.6</f>
        <v>0</v>
      </c>
      <c r="G150" s="84" t="s">
        <v>632</v>
      </c>
    </row>
    <row r="151" spans="3:7" ht="16.5" x14ac:dyDescent="0.15">
      <c r="D151" s="84" t="s">
        <v>633</v>
      </c>
      <c r="F151" s="490">
        <f>IF(ISERROR(F150/(F54/100)/F55),0,F150/(F54/100)/F55)</f>
        <v>0</v>
      </c>
      <c r="G151" s="71" t="s">
        <v>623</v>
      </c>
    </row>
    <row r="152" spans="3:7" x14ac:dyDescent="0.15">
      <c r="D152" s="84" t="s">
        <v>634</v>
      </c>
      <c r="F152" s="497">
        <f>IF(ISERROR(F56/1000),0,F56/1000)</f>
        <v>0</v>
      </c>
      <c r="G152" s="84" t="s">
        <v>627</v>
      </c>
    </row>
    <row r="153" spans="3:7" x14ac:dyDescent="0.15">
      <c r="D153" s="84" t="s">
        <v>635</v>
      </c>
      <c r="F153" s="496">
        <f>IF(ISERROR(F150*F47/1000*(44/12)/(F54/100)),0,F150*F47/1000*(44/12)/(F54/100))</f>
        <v>0</v>
      </c>
      <c r="G153" s="84" t="s">
        <v>629</v>
      </c>
    </row>
  </sheetData>
  <mergeCells count="48">
    <mergeCell ref="BR12:BR13"/>
    <mergeCell ref="AI12:AI13"/>
    <mergeCell ref="AL12:AL13"/>
    <mergeCell ref="AO12:AO13"/>
    <mergeCell ref="AR12:AR13"/>
    <mergeCell ref="AW12:AW13"/>
    <mergeCell ref="BB12:BB13"/>
    <mergeCell ref="BL12:BL13"/>
    <mergeCell ref="BK12:BK13"/>
    <mergeCell ref="BO12:BO13"/>
    <mergeCell ref="BJ12:BJ13"/>
    <mergeCell ref="BA9:BB10"/>
    <mergeCell ref="AE9:AF10"/>
    <mergeCell ref="V9:W10"/>
    <mergeCell ref="BE12:BE13"/>
    <mergeCell ref="BH12:BH13"/>
    <mergeCell ref="P12:P13"/>
    <mergeCell ref="W12:W13"/>
    <mergeCell ref="Z12:Z13"/>
    <mergeCell ref="AC12:AC13"/>
    <mergeCell ref="AF12:AF13"/>
    <mergeCell ref="BQ7:BR7"/>
    <mergeCell ref="BJ7:BO7"/>
    <mergeCell ref="I9:I10"/>
    <mergeCell ref="K9:K10"/>
    <mergeCell ref="M9:M10"/>
    <mergeCell ref="O9:P10"/>
    <mergeCell ref="R9:R10"/>
    <mergeCell ref="AN9:AO10"/>
    <mergeCell ref="AQ9:AR10"/>
    <mergeCell ref="AY7:BB7"/>
    <mergeCell ref="AY9:AY10"/>
    <mergeCell ref="BD7:BH7"/>
    <mergeCell ref="BJ9:BL10"/>
    <mergeCell ref="BN9:BO10"/>
    <mergeCell ref="BD9:BE10"/>
    <mergeCell ref="BG9:BH10"/>
    <mergeCell ref="F3:G3"/>
    <mergeCell ref="V7:AF7"/>
    <mergeCell ref="AH7:AR7"/>
    <mergeCell ref="AT7:AW7"/>
    <mergeCell ref="AK9:AL10"/>
    <mergeCell ref="T9:T10"/>
    <mergeCell ref="AV9:AW10"/>
    <mergeCell ref="AT9:AT10"/>
    <mergeCell ref="AH9:AI10"/>
    <mergeCell ref="AB9:AC10"/>
    <mergeCell ref="Y9:Z10"/>
  </mergeCells>
  <phoneticPr fontId="17"/>
  <dataValidations disablePrompts="1" count="4">
    <dataValidation type="list" allowBlank="1" showDropDown="1" showInputMessage="1" showErrorMessage="1" sqref="F48 F41" xr:uid="{00000000-0002-0000-1800-000000000000}">
      <formula1>"現行政策シナリオ, 新政策シナリオ"</formula1>
    </dataValidation>
    <dataValidation type="whole" allowBlank="1" showInputMessage="1" showErrorMessage="1" sqref="F7" xr:uid="{00000000-0002-0000-1800-000001000000}">
      <formula1>2010</formula1>
      <formula2>2030</formula2>
    </dataValidation>
    <dataValidation type="list" allowBlank="1" showDropDown="1" showInputMessage="1" showErrorMessage="1" sqref="F43" xr:uid="{00000000-0002-0000-1800-000002000000}">
      <formula1>"CIF価格, 需要地価格"</formula1>
    </dataValidation>
    <dataValidation type="list" allowBlank="1" showDropDown="1" showInputMessage="1" showErrorMessage="1" sqref="F3:G3" xr:uid="{00000000-0002-0000-1800-000003000000}">
      <formula1>"原子力,石炭火力,LNG火力,石油火力,洋上風力,太陽光（メガソーラー）,太陽光（住宅）,風力（陸上）,風力（洋上）,小水力,地熱,バイオマス（石炭混焼）,バイオマス（木質専焼）,ガスコジェネ,石油コジェネ,燃料電池"</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BR153"/>
  <sheetViews>
    <sheetView showGridLines="0" zoomScale="85" zoomScaleNormal="85" workbookViewId="0">
      <pane xSplit="10" ySplit="14" topLeftCell="K57" activePane="bottomRight" state="frozen"/>
      <selection pane="topRight" activeCell="AF12" sqref="AF12:AF13"/>
      <selection pane="bottomLeft" activeCell="AF12" sqref="AF12:AF13"/>
      <selection pane="bottomRight" sqref="A1:I1048576"/>
    </sheetView>
  </sheetViews>
  <sheetFormatPr defaultColWidth="9" defaultRowHeight="14.25" outlineLevelCol="1" x14ac:dyDescent="0.15"/>
  <cols>
    <col min="1" max="3" width="6.25" style="71" customWidth="1"/>
    <col min="4" max="4" width="6.25" style="84" customWidth="1"/>
    <col min="5" max="5" width="24.375" style="84" customWidth="1"/>
    <col min="6" max="6" width="18.75" style="71" customWidth="1"/>
    <col min="7" max="7" width="24.375" style="84" bestFit="1" customWidth="1"/>
    <col min="8" max="8" width="9" style="71"/>
    <col min="9" max="9" width="6.25" style="71" customWidth="1"/>
    <col min="10" max="10" width="3" style="2" customWidth="1"/>
    <col min="11" max="11" width="6.25" style="2" customWidth="1"/>
    <col min="12" max="12" width="3" style="2" customWidth="1"/>
    <col min="13" max="13" width="6.25" style="2" customWidth="1"/>
    <col min="14" max="14" width="3" style="2" customWidth="1"/>
    <col min="15" max="15" width="17.375" style="2" bestFit="1" customWidth="1"/>
    <col min="16" max="16" width="8.625" style="2" customWidth="1"/>
    <col min="17" max="17" width="3" style="2" customWidth="1"/>
    <col min="18" max="18" width="17.375" style="2" bestFit="1" customWidth="1"/>
    <col min="19" max="19" width="3" style="2" customWidth="1"/>
    <col min="20" max="20" width="17.375" style="2" bestFit="1" customWidth="1"/>
    <col min="21" max="21" width="3" style="2" customWidth="1"/>
    <col min="22" max="22" width="15" style="2" customWidth="1" outlineLevel="1"/>
    <col min="23" max="23" width="17.375" style="2" bestFit="1" customWidth="1"/>
    <col min="24" max="24" width="3" style="2" customWidth="1"/>
    <col min="25" max="25" width="15" style="2" customWidth="1" outlineLevel="1"/>
    <col min="26" max="26" width="15" style="2" customWidth="1"/>
    <col min="27" max="27" width="3" style="2" customWidth="1"/>
    <col min="28" max="28" width="15" style="2" customWidth="1" outlineLevel="1"/>
    <col min="29" max="29" width="15" style="2" customWidth="1"/>
    <col min="30" max="30" width="3" style="2" customWidth="1"/>
    <col min="31" max="31" width="15" style="2" customWidth="1" outlineLevel="1"/>
    <col min="32" max="32" width="15" style="2" customWidth="1"/>
    <col min="33" max="33" width="3" style="2" customWidth="1"/>
    <col min="34" max="34" width="14.875" style="2" customWidth="1" outlineLevel="1"/>
    <col min="35" max="35" width="15" style="2" customWidth="1"/>
    <col min="36" max="36" width="3" style="2" customWidth="1"/>
    <col min="37" max="37" width="15" style="2" customWidth="1" outlineLevel="1"/>
    <col min="38" max="38" width="15" style="2" customWidth="1"/>
    <col min="39" max="39" width="3" style="2" customWidth="1"/>
    <col min="40" max="40" width="15" style="2" customWidth="1" outlineLevel="1"/>
    <col min="41" max="41" width="15" style="2" customWidth="1"/>
    <col min="42" max="42" width="3" style="2" customWidth="1"/>
    <col min="43" max="43" width="15" style="2" customWidth="1" outlineLevel="1"/>
    <col min="44" max="44" width="15" style="2" customWidth="1"/>
    <col min="45" max="45" width="3" style="2" customWidth="1"/>
    <col min="46" max="46" width="10.75" style="2" bestFit="1" customWidth="1"/>
    <col min="47" max="47" width="3" style="2" customWidth="1"/>
    <col min="48" max="48" width="15" style="2" customWidth="1" outlineLevel="1"/>
    <col min="49" max="49" width="17.375" style="2" bestFit="1" customWidth="1"/>
    <col min="50" max="50" width="3" style="2" customWidth="1"/>
    <col min="51" max="51" width="9.625" style="2" bestFit="1" customWidth="1"/>
    <col min="52" max="52" width="3" style="2" customWidth="1"/>
    <col min="53" max="53" width="15" style="2" customWidth="1" outlineLevel="1"/>
    <col min="54" max="54" width="17.375" style="2" bestFit="1" customWidth="1"/>
    <col min="55" max="55" width="3" style="2" customWidth="1"/>
    <col min="56" max="56" width="19.25" style="2" customWidth="1" outlineLevel="1"/>
    <col min="57" max="57" width="19.25" style="2" bestFit="1" customWidth="1"/>
    <col min="58" max="58" width="3" style="2" customWidth="1"/>
    <col min="59" max="59" width="19.25" style="2" customWidth="1" outlineLevel="1"/>
    <col min="60" max="60" width="19.25" style="2"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2" customWidth="1" outlineLevel="1"/>
    <col min="70" max="70" width="17.375" style="2" bestFit="1" customWidth="1"/>
    <col min="71" max="16384" width="9" style="2"/>
  </cols>
  <sheetData>
    <row r="1" spans="1:70" ht="18.75" x14ac:dyDescent="0.15">
      <c r="A1" s="6" t="s">
        <v>60</v>
      </c>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Q1" s="71"/>
      <c r="BR1" s="71"/>
    </row>
    <row r="3" spans="1:70" ht="23.25" x14ac:dyDescent="0.15">
      <c r="B3" s="1" t="s">
        <v>542</v>
      </c>
      <c r="F3" s="732" t="s">
        <v>246</v>
      </c>
      <c r="G3" s="719"/>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Q3" s="71"/>
      <c r="BR3" s="71"/>
    </row>
    <row r="4" spans="1:70" x14ac:dyDescent="0.15">
      <c r="G4" s="472"/>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Q4" s="71"/>
      <c r="BR4" s="71"/>
    </row>
    <row r="5" spans="1:70" ht="15.75" thickBot="1" x14ac:dyDescent="0.2">
      <c r="B5" s="5" t="s">
        <v>543</v>
      </c>
      <c r="C5" s="3"/>
      <c r="D5" s="102"/>
      <c r="E5" s="102"/>
      <c r="F5" s="3"/>
      <c r="G5" s="102"/>
      <c r="I5" s="5" t="s">
        <v>544</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71" t="s">
        <v>545</v>
      </c>
      <c r="F7" s="473">
        <v>2020</v>
      </c>
      <c r="I7" s="8"/>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71" t="s">
        <v>546</v>
      </c>
      <c r="F8" s="474">
        <f>まとめ!B3</f>
        <v>107</v>
      </c>
      <c r="G8" s="84" t="s">
        <v>547</v>
      </c>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71" t="s">
        <v>548</v>
      </c>
      <c r="F9" s="474">
        <f>まとめ!B2</f>
        <v>3</v>
      </c>
      <c r="G9" s="84" t="s">
        <v>549</v>
      </c>
      <c r="I9" s="720" t="s">
        <v>550</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07" t="s">
        <v>118</v>
      </c>
      <c r="AI9" s="707"/>
      <c r="AJ9" s="8"/>
      <c r="AK9" s="707" t="s">
        <v>89</v>
      </c>
      <c r="AL9" s="707"/>
      <c r="AM9" s="8"/>
      <c r="AN9" s="707" t="s">
        <v>90</v>
      </c>
      <c r="AO9" s="707"/>
      <c r="AP9" s="8"/>
      <c r="AQ9" s="707" t="s">
        <v>91</v>
      </c>
      <c r="AR9" s="707"/>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I10" s="708"/>
      <c r="J10" s="71"/>
      <c r="K10" s="708"/>
      <c r="L10" s="71"/>
      <c r="M10" s="708"/>
      <c r="N10" s="71"/>
      <c r="O10" s="717"/>
      <c r="P10" s="717"/>
      <c r="Q10" s="71"/>
      <c r="R10" s="708"/>
      <c r="S10" s="71"/>
      <c r="T10" s="708"/>
      <c r="U10" s="71"/>
      <c r="V10" s="717"/>
      <c r="W10" s="717"/>
      <c r="X10" s="71"/>
      <c r="Y10" s="717"/>
      <c r="Z10" s="717"/>
      <c r="AA10" s="71"/>
      <c r="AB10" s="723"/>
      <c r="AC10" s="723"/>
      <c r="AD10" s="81"/>
      <c r="AE10" s="723"/>
      <c r="AF10" s="723"/>
      <c r="AG10" s="71"/>
      <c r="AH10" s="717"/>
      <c r="AI10" s="717"/>
      <c r="AJ10" s="71"/>
      <c r="AK10" s="717"/>
      <c r="AL10" s="717"/>
      <c r="AM10" s="71"/>
      <c r="AN10" s="717"/>
      <c r="AO10" s="717"/>
      <c r="AP10" s="71"/>
      <c r="AQ10" s="717"/>
      <c r="AR10" s="717"/>
      <c r="AS10" s="71"/>
      <c r="AT10" s="717"/>
      <c r="AU10" s="71"/>
      <c r="AV10" s="717"/>
      <c r="AW10" s="717"/>
      <c r="AX10" s="322"/>
      <c r="AY10" s="708"/>
      <c r="AZ10" s="71"/>
      <c r="BA10" s="708"/>
      <c r="BB10" s="708"/>
      <c r="BC10" s="71"/>
      <c r="BD10" s="717"/>
      <c r="BE10" s="717"/>
      <c r="BF10" s="71"/>
      <c r="BG10" s="717"/>
      <c r="BH10" s="717"/>
      <c r="BJ10" s="708"/>
      <c r="BK10" s="708"/>
      <c r="BL10" s="708"/>
      <c r="BM10" s="322"/>
      <c r="BN10" s="717"/>
      <c r="BO10" s="717"/>
      <c r="BQ10" s="322"/>
      <c r="BR10" s="322"/>
    </row>
    <row r="11" spans="1:70" ht="15.75" customHeight="1" thickBot="1" x14ac:dyDescent="0.2">
      <c r="B11" s="5" t="s">
        <v>95</v>
      </c>
      <c r="C11" s="3"/>
      <c r="D11" s="102"/>
      <c r="E11" s="102"/>
      <c r="F11" s="3"/>
      <c r="G11" s="102"/>
      <c r="J11" s="71"/>
      <c r="K11" s="71"/>
      <c r="L11" s="71"/>
      <c r="M11" s="71"/>
      <c r="N11" s="71"/>
      <c r="O11" s="322" t="s">
        <v>96</v>
      </c>
      <c r="P11" s="322"/>
      <c r="Q11" s="322"/>
      <c r="R11" s="322" t="s">
        <v>96</v>
      </c>
      <c r="S11" s="322"/>
      <c r="T11" s="322"/>
      <c r="U11" s="71"/>
      <c r="V11" s="322"/>
      <c r="W11" s="322"/>
      <c r="X11" s="71"/>
      <c r="Y11" s="322"/>
      <c r="Z11" s="322"/>
      <c r="AA11" s="71"/>
      <c r="AB11" s="322"/>
      <c r="AC11" s="322"/>
      <c r="AD11" s="71"/>
      <c r="AE11" s="322"/>
      <c r="AF11" s="322"/>
      <c r="AG11" s="71"/>
      <c r="AH11" s="322"/>
      <c r="AI11" s="322"/>
      <c r="AJ11" s="71"/>
      <c r="AK11" s="322"/>
      <c r="AL11" s="322"/>
      <c r="AM11" s="71"/>
      <c r="AN11" s="322"/>
      <c r="AO11" s="322"/>
      <c r="AP11" s="71"/>
      <c r="AQ11" s="322"/>
      <c r="AR11" s="322"/>
      <c r="AS11" s="71"/>
      <c r="AT11" s="322"/>
      <c r="AU11" s="71"/>
      <c r="AV11" s="322"/>
      <c r="AW11" s="322"/>
      <c r="AX11" s="322"/>
      <c r="AY11" s="71"/>
      <c r="AZ11" s="71"/>
      <c r="BA11" s="71"/>
      <c r="BB11" s="322"/>
      <c r="BC11" s="71"/>
      <c r="BD11" s="322"/>
      <c r="BE11" s="322"/>
      <c r="BF11" s="71"/>
      <c r="BG11" s="322"/>
      <c r="BH11" s="322"/>
      <c r="BJ11" s="156"/>
      <c r="BM11" s="322"/>
      <c r="BN11" s="322"/>
      <c r="BO11" s="322"/>
      <c r="BQ11" s="322"/>
      <c r="BR11" s="322"/>
    </row>
    <row r="12" spans="1:70" ht="14.25" customHeight="1" x14ac:dyDescent="0.15">
      <c r="J12" s="71"/>
      <c r="K12" s="71"/>
      <c r="L12" s="71"/>
      <c r="M12" s="71"/>
      <c r="N12" s="71"/>
      <c r="O12" s="322"/>
      <c r="P12" s="707" t="s">
        <v>97</v>
      </c>
      <c r="Q12" s="71"/>
      <c r="R12" s="71"/>
      <c r="S12" s="71"/>
      <c r="T12" s="71"/>
      <c r="U12" s="71"/>
      <c r="V12" s="71"/>
      <c r="W12" s="707" t="s">
        <v>98</v>
      </c>
      <c r="X12" s="71"/>
      <c r="Y12" s="71"/>
      <c r="Z12" s="707" t="s">
        <v>98</v>
      </c>
      <c r="AA12" s="71"/>
      <c r="AB12" s="71"/>
      <c r="AC12" s="707" t="s">
        <v>98</v>
      </c>
      <c r="AD12" s="71"/>
      <c r="AE12" s="71"/>
      <c r="AF12" s="707" t="s">
        <v>98</v>
      </c>
      <c r="AG12" s="71"/>
      <c r="AH12" s="71"/>
      <c r="AI12" s="707" t="s">
        <v>98</v>
      </c>
      <c r="AJ12" s="71"/>
      <c r="AK12" s="71"/>
      <c r="AL12" s="707" t="s">
        <v>98</v>
      </c>
      <c r="AM12" s="71"/>
      <c r="AN12" s="71"/>
      <c r="AO12" s="707" t="s">
        <v>98</v>
      </c>
      <c r="AP12" s="71"/>
      <c r="AQ12" s="71"/>
      <c r="AR12" s="707" t="s">
        <v>98</v>
      </c>
      <c r="AS12" s="71"/>
      <c r="AT12" s="71"/>
      <c r="AU12" s="71"/>
      <c r="AV12" s="71"/>
      <c r="AW12" s="707" t="s">
        <v>98</v>
      </c>
      <c r="AX12" s="71"/>
      <c r="AY12" s="71"/>
      <c r="AZ12" s="71"/>
      <c r="BA12" s="71"/>
      <c r="BB12" s="707" t="s">
        <v>98</v>
      </c>
      <c r="BC12" s="71"/>
      <c r="BD12" s="71"/>
      <c r="BE12" s="707" t="s">
        <v>98</v>
      </c>
      <c r="BF12" s="71"/>
      <c r="BG12" s="71"/>
      <c r="BH12" s="707" t="s">
        <v>98</v>
      </c>
      <c r="BJ12" s="709" t="s">
        <v>99</v>
      </c>
      <c r="BK12" s="709" t="s">
        <v>100</v>
      </c>
      <c r="BL12" s="709" t="s">
        <v>101</v>
      </c>
      <c r="BO12" s="709" t="s">
        <v>102</v>
      </c>
      <c r="BQ12" s="71"/>
      <c r="BR12" s="707" t="s">
        <v>103</v>
      </c>
    </row>
    <row r="13" spans="1:70" ht="14.25" customHeight="1" x14ac:dyDescent="0.15">
      <c r="C13" s="71" t="s">
        <v>552</v>
      </c>
      <c r="F13" s="475">
        <v>0.02</v>
      </c>
      <c r="G13" s="84" t="s">
        <v>553</v>
      </c>
      <c r="J13" s="71"/>
      <c r="K13" s="71"/>
      <c r="L13" s="71"/>
      <c r="M13" s="71"/>
      <c r="N13" s="71"/>
      <c r="O13" s="322"/>
      <c r="P13" s="708"/>
      <c r="Q13" s="322"/>
      <c r="R13" s="322"/>
      <c r="S13" s="322"/>
      <c r="T13" s="322"/>
      <c r="U13" s="71"/>
      <c r="V13" s="322"/>
      <c r="W13" s="708"/>
      <c r="X13" s="71"/>
      <c r="Y13" s="322"/>
      <c r="Z13" s="708"/>
      <c r="AA13" s="71"/>
      <c r="AB13" s="322"/>
      <c r="AC13" s="708"/>
      <c r="AD13" s="71"/>
      <c r="AE13" s="322"/>
      <c r="AF13" s="708"/>
      <c r="AG13" s="71"/>
      <c r="AH13" s="322"/>
      <c r="AI13" s="708"/>
      <c r="AJ13" s="71"/>
      <c r="AK13" s="322"/>
      <c r="AL13" s="708"/>
      <c r="AM13" s="71"/>
      <c r="AN13" s="322"/>
      <c r="AO13" s="708"/>
      <c r="AP13" s="71"/>
      <c r="AQ13" s="322"/>
      <c r="AR13" s="708"/>
      <c r="AS13" s="71"/>
      <c r="AT13" s="322"/>
      <c r="AU13" s="71"/>
      <c r="AV13" s="322"/>
      <c r="AW13" s="708"/>
      <c r="AX13" s="71"/>
      <c r="AY13" s="71"/>
      <c r="AZ13" s="71"/>
      <c r="BA13" s="71"/>
      <c r="BB13" s="708"/>
      <c r="BC13" s="71"/>
      <c r="BD13" s="322"/>
      <c r="BE13" s="708"/>
      <c r="BF13" s="71"/>
      <c r="BG13" s="322"/>
      <c r="BH13" s="708"/>
      <c r="BJ13" s="712"/>
      <c r="BK13" s="710"/>
      <c r="BL13" s="708"/>
      <c r="BM13" s="322"/>
      <c r="BO13" s="708"/>
      <c r="BQ13" s="322"/>
      <c r="BR13" s="708"/>
    </row>
    <row r="14" spans="1:70" ht="16.5" x14ac:dyDescent="0.15">
      <c r="C14" s="71" t="s">
        <v>554</v>
      </c>
      <c r="F14" s="474">
        <f>VLOOKUP(F3&amp;IF(G4&lt;&gt;"","_"&amp;G4,""),まとめ!$A$12:$G$34,IF(F7=2030,4,IF(F7=2020,3,IF(F7=2014,2,"-"))),0)</f>
        <v>60</v>
      </c>
      <c r="G14" s="84" t="s">
        <v>549</v>
      </c>
      <c r="J14" s="71"/>
      <c r="K14" s="71"/>
      <c r="L14" s="71"/>
      <c r="M14" s="71"/>
      <c r="N14" s="71"/>
      <c r="O14" s="322"/>
      <c r="P14" s="322"/>
      <c r="Q14" s="322"/>
      <c r="R14" s="322"/>
      <c r="S14" s="322"/>
      <c r="T14" s="322"/>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50" t="s">
        <v>104</v>
      </c>
      <c r="AU14" s="71"/>
      <c r="AV14" s="71"/>
      <c r="AW14" s="71"/>
      <c r="AX14" s="71"/>
      <c r="AY14" s="71" t="s">
        <v>105</v>
      </c>
      <c r="AZ14" s="71"/>
      <c r="BA14" s="71"/>
      <c r="BB14" s="71"/>
      <c r="BC14" s="71"/>
      <c r="BD14" s="71"/>
      <c r="BE14" s="71"/>
      <c r="BF14" s="71"/>
      <c r="BG14" s="71"/>
      <c r="BH14" s="71"/>
      <c r="BQ14" s="71"/>
      <c r="BR14" s="71"/>
    </row>
    <row r="15" spans="1:70" x14ac:dyDescent="0.15">
      <c r="C15" s="71" t="s">
        <v>555</v>
      </c>
      <c r="F15" s="474">
        <f>VLOOKUP(F3&amp;IF(G4&lt;&gt;"","_"&amp;G4,""),まとめ!$A$12:$G$34,IF(F7=2030,7,IF(F7=2020,6,IF(F7=2014,5,"-"))),0)</f>
        <v>40</v>
      </c>
      <c r="G15" s="84" t="s">
        <v>556</v>
      </c>
      <c r="I15" s="38">
        <f>F7</f>
        <v>2020</v>
      </c>
      <c r="J15" s="39"/>
      <c r="K15" s="39">
        <f>IF(I15&lt;&gt;"",1,"")</f>
        <v>1</v>
      </c>
      <c r="L15" s="39"/>
      <c r="M15" s="40">
        <f t="shared" ref="M15:M78" si="0">1/(1+($F$9/100))^K15</f>
        <v>0.970873786407767</v>
      </c>
      <c r="N15" s="39"/>
      <c r="O15" s="72">
        <f>F117</f>
        <v>180000000</v>
      </c>
      <c r="P15" s="41">
        <f t="shared" ref="P15:P46" si="1">IF(K15&lt;=$F$15,IF(OR(P14=$F$124,P14="-"),"-",IF(O15*$F$123&gt;$F$127,$F$123,$F$124)),"")</f>
        <v>0.114</v>
      </c>
      <c r="Q15" s="39"/>
      <c r="R15" s="72">
        <f>F117</f>
        <v>180000000</v>
      </c>
      <c r="S15" s="39"/>
      <c r="T15" s="72">
        <f>IF(ISNUMBER(R15),ROUNDDOWN(R15,-3),"")</f>
        <v>180000000</v>
      </c>
      <c r="U15" s="39"/>
      <c r="V15" s="72">
        <f t="shared" ref="V15:V46" si="2">IF(K15&lt;=$F$15,IF(K15&lt;$F$119,IF(P15="-",V14,O15*P15),IF(K15=$F$119,MIN(IF(P15="-",V14,O15*P15),O15),0)),"")</f>
        <v>20520000</v>
      </c>
      <c r="W15" s="72">
        <f>IF(ISNUMBER(V15),V15*$M15,"")</f>
        <v>19922330.09708738</v>
      </c>
      <c r="X15" s="39"/>
      <c r="Y15" s="72">
        <f t="shared" ref="Y15:Y46" si="3">IF($K15&lt;=$F$15,ROUNDDOWN(T15*$F$25/100,-2),"")</f>
        <v>2520000</v>
      </c>
      <c r="Z15" s="72">
        <f>IF(ISNUMBER(Y15),Y15*$M15,"")</f>
        <v>2446601.9417475727</v>
      </c>
      <c r="AA15" s="39"/>
      <c r="AB15" s="72">
        <f t="shared" ref="AB15:AB78" si="4">IF($K15&lt;=$F$15,0,IF(AND($K15&gt;$F$15,$K15&lt;=$F$15+$F$28),$F$27*10^8/$F$28,""))</f>
        <v>0</v>
      </c>
      <c r="AC15" s="72">
        <f>IF(ISNUMBER(AB15),AB15*$M15,"")</f>
        <v>0</v>
      </c>
      <c r="AD15" s="39"/>
      <c r="AE15" s="72">
        <f t="shared" ref="AE15:AE46" si="5">IF($K15&lt;=$F$15,$F$26,"")</f>
        <v>260000</v>
      </c>
      <c r="AF15" s="72">
        <f>IF(ISNUMBER(AE15),AE15*$M15,"")</f>
        <v>252427.18446601942</v>
      </c>
      <c r="AG15" s="39"/>
      <c r="AH15" s="72">
        <f t="shared" ref="AH15:AH46" si="6">IF($K15&lt;=$F$15,$F$33*10^8,"")</f>
        <v>7000000.0000000009</v>
      </c>
      <c r="AI15" s="72">
        <f>IF(ISNUMBER(AH15),AH15*$M15,"")</f>
        <v>6796116.5048543699</v>
      </c>
      <c r="AJ15" s="39"/>
      <c r="AK15" s="72">
        <f t="shared" ref="AK15:AK46" si="7">IF($K15&lt;=$F$15,$F$117*$F$34/100,"")</f>
        <v>5400000</v>
      </c>
      <c r="AL15" s="72">
        <f>IF(ISNUMBER(AK15),AK15*$M15,"")</f>
        <v>5242718.4466019422</v>
      </c>
      <c r="AM15" s="39"/>
      <c r="AN15" s="72">
        <f t="shared" ref="AN15:AN46" si="8">IF($K15&lt;=$F$15,$F$117*$F$35/100,"")</f>
        <v>0</v>
      </c>
      <c r="AO15" s="72">
        <f>IF(ISNUMBER(AN15),AN15*$M15,"")</f>
        <v>0</v>
      </c>
      <c r="AP15" s="39"/>
      <c r="AQ15" s="72">
        <f t="shared" ref="AQ15:AQ46" si="9">IF($K15&lt;=$F$15,SUM(AH15,AK15,AN15)*($F$36/100),"")</f>
        <v>1736000.0000000002</v>
      </c>
      <c r="AR15" s="72">
        <f>IF(ISNUMBER(AQ15),AQ15*$M15,"")</f>
        <v>1685436.8932038837</v>
      </c>
      <c r="AS15" s="39"/>
      <c r="AT15" s="40">
        <f>IF($K15&lt;=$F$15,IF($F$40&lt;&gt;"",$F$40/1000,IF(ISERROR(VLOOKUP($F$3&amp;IF($G$4&lt;&gt;"",$G$4,"")&amp;IF($F$43&lt;&gt;"","_"&amp;$F$43,""),'表3）燃料価格'!$AF$9:$AG$25,2,0)),0,VLOOKUP($I15,'表3）燃料価格'!$A$6:$U$66,VLOOKUP($F$3&amp;IF($G$4&lt;&gt;"",$G$4,"")&amp;IF($F$43&lt;&gt;"","_"&amp;$F$43,""),'表3）燃料価格'!$AF$9:$AG$25,2,0)+VLOOKUP($F$41,'表3）燃料価格'!$AF$28:$AG$29,2,0),0)*IF($F$43="需要地価格",1,$F$8/$F$141))),"")</f>
        <v>0</v>
      </c>
      <c r="AU15" s="39"/>
      <c r="AV15" s="72">
        <f t="shared" ref="AV15:AV46" si="10">IF($K15&lt;=$F$15,($AT15+$F$142)*$F$137,"")</f>
        <v>0</v>
      </c>
      <c r="AW15" s="72">
        <f>IF(ISNUMBER(AV15),AV15*$M15,"")</f>
        <v>0</v>
      </c>
      <c r="AX15" s="39"/>
      <c r="AY15" s="40">
        <f>IF(ISERROR(IF($K15&lt;=$F$15,VLOOKUP($I15,'表4）CO2価格'!$A$7:$E$67,VLOOKUP($F$48,'表4）CO2価格'!$H$10:$I$12,2,0),0)*$F$8/1000,"")),0,IF($K15&lt;=$F$15,VLOOKUP($I15,'表4）CO2価格'!$A$7:$E$67,VLOOKUP($F$48,'表4）CO2価格'!$H$10:$I$12,2,0),0)*$F$8/1000,""))</f>
        <v>0</v>
      </c>
      <c r="AZ15" s="39"/>
      <c r="BA15" s="42">
        <f t="shared" ref="BA15:BA46" si="11">IF($K15&lt;=$F$15,$F$145*AY15,"")</f>
        <v>0</v>
      </c>
      <c r="BB15" s="72">
        <f>IF(ISNUMBER(BA15),BA15*$M15,"")</f>
        <v>0</v>
      </c>
      <c r="BC15" s="39"/>
      <c r="BD15" s="72">
        <f t="shared" ref="BD15:BD46" si="12">IF($K15&lt;=$F$15,($AT15+$F$152)*$F$151,"")</f>
        <v>0</v>
      </c>
      <c r="BE15" s="72">
        <f>IF(ISNUMBER(BD15),BD15*$M15,"")</f>
        <v>0</v>
      </c>
      <c r="BF15" s="39"/>
      <c r="BG15" s="42">
        <f t="shared" ref="BG15:BG46" si="13">IF($K15&lt;=$F$15,$F$153*AY15,"")</f>
        <v>0</v>
      </c>
      <c r="BH15" s="72">
        <f>IF(ISNUMBER(BG15),BG15*$M15,"")</f>
        <v>0</v>
      </c>
      <c r="BI15" s="39"/>
      <c r="BJ15" s="40">
        <f>IF(ISNUMBER($F$16),IF($K15&lt;=$F$16+$F$28,1/(1+($F$17/100))^K15,""),"")</f>
        <v>0.93457943925233644</v>
      </c>
      <c r="BK15" s="157">
        <f>IF(ISNUMBER($F$16),IF($K15&lt;=$F$16+$F$28,IF($K15&lt;=$F$16,SUM(Y15,AB15,AE15,AH15,AK15,AN15,AQ15,AV15,BA15,BD15,BG15),$F$27/$F$28*10^8)*BJ15,""),"")</f>
        <v>15809345.794392522</v>
      </c>
      <c r="BL15" s="157">
        <f t="shared" ref="BL15:BL78" si="14">IF(AND(ISNUMBER(BJ15),$K15&lt;=$F$16),BQ15*BJ15,"")</f>
        <v>982429.90654205612</v>
      </c>
      <c r="BM15" s="72"/>
      <c r="BN15" s="72">
        <f>IF(AND(ISNUMBER($F$16),$K15&lt;=$F$16),BQ15*($O$15+$BK$116)/$BL$116,"")</f>
        <v>32951526.083335388</v>
      </c>
      <c r="BO15" s="72">
        <f>IF(ISNUMBER(BN15),BN15*$M15,"")</f>
        <v>31991772.896442126</v>
      </c>
      <c r="BP15" s="39"/>
      <c r="BQ15" s="72">
        <f t="shared" ref="BQ15:BQ46" si="15">IF($K15&lt;=$F$15,$F$134,"")</f>
        <v>1051200</v>
      </c>
      <c r="BR15" s="72">
        <f>IF(ISNUMBER(BQ15),BQ15*$M15,"")</f>
        <v>1020582.5242718447</v>
      </c>
    </row>
    <row r="16" spans="1:70" x14ac:dyDescent="0.15">
      <c r="C16" s="184" t="s">
        <v>107</v>
      </c>
      <c r="F16" s="474">
        <f>IF(ISERROR(VLOOKUP(F3&amp;IF(G4&lt;&gt;"","_"&amp;G4,""),'表7）買取期間・IRR'!$A$3:$A$10,1,0)),"",VLOOKUP(F3&amp;IF(G4&lt;&gt;"","_"&amp;G4,""),'表7）買取期間・IRR'!$A$3:$C$10,IF(F7=2030,3,IF(F7=2020,3,IF(F7=2014,2,"-"))),0))</f>
        <v>20</v>
      </c>
      <c r="G16" s="84" t="s">
        <v>556</v>
      </c>
      <c r="I16" s="457">
        <f>I15+1</f>
        <v>2021</v>
      </c>
      <c r="J16" s="71"/>
      <c r="K16" s="71">
        <f>IF(I16&lt;&gt;"",K15+1,"")</f>
        <v>2</v>
      </c>
      <c r="L16" s="71"/>
      <c r="M16" s="7">
        <f t="shared" si="0"/>
        <v>0.94259590913375435</v>
      </c>
      <c r="N16" s="71"/>
      <c r="O16" s="10">
        <f t="shared" ref="O16:O79" si="16">IF(K16&lt;=$F$15,O15-V15,"")</f>
        <v>159480000</v>
      </c>
      <c r="P16" s="29">
        <f t="shared" si="1"/>
        <v>0.114</v>
      </c>
      <c r="Q16" s="71"/>
      <c r="R16" s="10">
        <f t="shared" ref="R16:R47" si="17">IF($K16&lt;=$F$15,MAX($F$117*5%,R15*$F$129),"")</f>
        <v>162113043.63803014</v>
      </c>
      <c r="S16" s="71"/>
      <c r="T16" s="10">
        <f t="shared" ref="T16:T79" si="18">IF(ISNUMBER(R16),ROUNDDOWN(R16,-3),"")</f>
        <v>162113000</v>
      </c>
      <c r="U16" s="71"/>
      <c r="V16" s="10">
        <f t="shared" si="2"/>
        <v>18180720</v>
      </c>
      <c r="W16" s="10">
        <f t="shared" ref="W16:W79" si="19">IF(ISNUMBER(V16),V16*$M16,"")</f>
        <v>17137072.297106229</v>
      </c>
      <c r="X16" s="71"/>
      <c r="Y16" s="10">
        <f t="shared" si="3"/>
        <v>2269500</v>
      </c>
      <c r="Z16" s="10">
        <f t="shared" ref="Z16:Z79" si="20">IF(ISNUMBER(Y16),Y16*$M16,"")</f>
        <v>2139221.4157790556</v>
      </c>
      <c r="AA16" s="71"/>
      <c r="AB16" s="10">
        <f t="shared" si="4"/>
        <v>0</v>
      </c>
      <c r="AC16" s="10">
        <f t="shared" ref="AC16:AC79" si="21">IF(ISNUMBER(AB16),AB16*$M16,"")</f>
        <v>0</v>
      </c>
      <c r="AD16" s="71"/>
      <c r="AE16" s="10">
        <f t="shared" si="5"/>
        <v>260000</v>
      </c>
      <c r="AF16" s="10">
        <f t="shared" ref="AF16:AF79" si="22">IF(ISNUMBER(AE16),AE16*$M16,"")</f>
        <v>245074.93637477612</v>
      </c>
      <c r="AG16" s="71"/>
      <c r="AH16" s="10">
        <f t="shared" si="6"/>
        <v>7000000.0000000009</v>
      </c>
      <c r="AI16" s="10">
        <f t="shared" ref="AI16:AI79" si="23">IF(ISNUMBER(AH16),AH16*$M16,"")</f>
        <v>6598171.3639362818</v>
      </c>
      <c r="AJ16" s="71"/>
      <c r="AK16" s="10">
        <f t="shared" si="7"/>
        <v>5400000</v>
      </c>
      <c r="AL16" s="10">
        <f t="shared" ref="AL16:AL79" si="24">IF(ISNUMBER(AK16),AK16*$M16,"")</f>
        <v>5090017.9093222739</v>
      </c>
      <c r="AM16" s="71"/>
      <c r="AN16" s="10">
        <f t="shared" si="8"/>
        <v>0</v>
      </c>
      <c r="AO16" s="10">
        <f t="shared" ref="AO16:AO79" si="25">IF(ISNUMBER(AN16),AN16*$M16,"")</f>
        <v>0</v>
      </c>
      <c r="AP16" s="71"/>
      <c r="AQ16" s="10">
        <f t="shared" si="9"/>
        <v>1736000.0000000002</v>
      </c>
      <c r="AR16" s="10">
        <f t="shared" ref="AR16:AR79" si="26">IF(ISNUMBER(AQ16),AQ16*$M16,"")</f>
        <v>1636346.4982561977</v>
      </c>
      <c r="AS16" s="71"/>
      <c r="AT16" s="7">
        <f>IF($K16&lt;=$F$15,IF($F$40&lt;&gt;"",$F$40/1000,IF(ISERROR(VLOOKUP($F$3&amp;IF($G$4&lt;&gt;"",$G$4,"")&amp;IF($F$43&lt;&gt;"","_"&amp;$F$43,""),'表3）燃料価格'!$AF$9:$AG$25,2,0)),0,VLOOKUP($I16,'表3）燃料価格'!$A$6:$U$66,VLOOKUP($F$3&amp;IF($G$4&lt;&gt;"",$G$4,"")&amp;IF($F$43&lt;&gt;"","_"&amp;$F$43,""),'表3）燃料価格'!$AF$9:$AG$25,2,0)+VLOOKUP($F$41,'表3）燃料価格'!$AF$28:$AG$29,2,0),0)*IF($F$43="需要地価格",1,$F$8/$F$141))),"")</f>
        <v>0</v>
      </c>
      <c r="AU16" s="71"/>
      <c r="AV16" s="10">
        <f t="shared" si="10"/>
        <v>0</v>
      </c>
      <c r="AW16" s="10">
        <f t="shared" ref="AW16:AW79" si="27">IF(ISNUMBER(AV16),AV16*$M16,"")</f>
        <v>0</v>
      </c>
      <c r="AX16" s="71"/>
      <c r="AY16" s="7">
        <f>IF(ISERROR(IF($K16&lt;=$F$15,VLOOKUP($I16,'表4）CO2価格'!$A$7:$E$67,VLOOKUP($F$48,'表4）CO2価格'!$H$10:$I$12,2,0),0)*$F$8/1000,"")),0,IF($K16&lt;=$F$15,VLOOKUP($I16,'表4）CO2価格'!$A$7:$E$67,VLOOKUP($F$48,'表4）CO2価格'!$H$10:$I$12,2,0),0)*$F$8/1000,""))</f>
        <v>0</v>
      </c>
      <c r="AZ16" s="71"/>
      <c r="BA16" s="11">
        <f t="shared" si="11"/>
        <v>0</v>
      </c>
      <c r="BB16" s="10">
        <f t="shared" ref="BB16:BB79" si="28">IF(ISNUMBER(BA16),BA16*$M16,"")</f>
        <v>0</v>
      </c>
      <c r="BC16" s="71"/>
      <c r="BD16" s="10">
        <f t="shared" si="12"/>
        <v>0</v>
      </c>
      <c r="BE16" s="10">
        <f t="shared" ref="BE16:BE79" si="29">IF(ISNUMBER(BD16),BD16*$M16,"")</f>
        <v>0</v>
      </c>
      <c r="BF16" s="71"/>
      <c r="BG16" s="11">
        <f t="shared" si="13"/>
        <v>0</v>
      </c>
      <c r="BH16" s="10">
        <f t="shared" ref="BH16:BH79" si="30">IF(ISNUMBER(BG16),BG16*$M16,"")</f>
        <v>0</v>
      </c>
      <c r="BJ16" s="7">
        <f t="shared" ref="BJ16:BJ79" si="31">IF(ISNUMBER($F$16),IF($K16&lt;=$F$16+$F$28,1/(1+($F$17/100))^K16,""),"")</f>
        <v>0.87343872827321156</v>
      </c>
      <c r="BK16" s="158">
        <f t="shared" ref="BK16:BK79" si="32">IF(ISNUMBER($F$16),IF($K16&lt;=$F$16+$F$28,IF($K16&lt;=$F$16,SUM(Y16,AB16,AE16,AH16,AK16,AN16,AQ16,AV16,BA16,BD16,BG16),$F$27/$F$28*10^8)*BJ16,""),"")</f>
        <v>14556293.126037207</v>
      </c>
      <c r="BL16" s="158">
        <f t="shared" si="14"/>
        <v>918158.79116080003</v>
      </c>
      <c r="BM16" s="10"/>
      <c r="BN16" s="10">
        <f t="shared" ref="BN16:BN79" si="33">IF(AND(ISNUMBER($F$16),$K16&lt;=$F$16),BQ16*($O$15+$BK$116)/$BL$116,"")</f>
        <v>32951526.083335388</v>
      </c>
      <c r="BO16" s="10">
        <f t="shared" ref="BO16:BO79" si="34">IF(ISNUMBER(BN16),BN16*$M16,"")</f>
        <v>31059973.68586614</v>
      </c>
      <c r="BQ16" s="10">
        <f t="shared" si="15"/>
        <v>1051200</v>
      </c>
      <c r="BR16" s="10">
        <f t="shared" ref="BR16:BR79" si="35">IF(ISNUMBER(BQ16),BQ16*$M16,"")</f>
        <v>990856.81968140253</v>
      </c>
    </row>
    <row r="17" spans="3:70" x14ac:dyDescent="0.15">
      <c r="C17" s="71" t="s">
        <v>109</v>
      </c>
      <c r="F17" s="476">
        <f>IF(ISERROR(VLOOKUP(F3&amp;IF(G4&lt;&gt;"","_"&amp;G4,""),'表7）買取期間・IRR'!$A$14:$C$21,1,0)),"",VLOOKUP(F3&amp;IF(G4&lt;&gt;"","_"&amp;G4,""),'表7）買取期間・IRR'!$A$14:$C$21,IF(F7=2030,3,IF(F7=2020,2,"-")),0))</f>
        <v>7</v>
      </c>
      <c r="G17" s="84" t="s">
        <v>549</v>
      </c>
      <c r="I17" s="38">
        <f t="shared" ref="I17:I80" si="36">I16+1</f>
        <v>2022</v>
      </c>
      <c r="J17" s="39"/>
      <c r="K17" s="39">
        <f t="shared" ref="K17:K80" si="37">IF(I17&lt;&gt;"",K16+1,"")</f>
        <v>3</v>
      </c>
      <c r="L17" s="39"/>
      <c r="M17" s="40">
        <f t="shared" si="0"/>
        <v>0.91514165935315961</v>
      </c>
      <c r="N17" s="39"/>
      <c r="O17" s="72">
        <f t="shared" si="16"/>
        <v>141299280</v>
      </c>
      <c r="P17" s="41">
        <f t="shared" si="1"/>
        <v>0.114</v>
      </c>
      <c r="Q17" s="39"/>
      <c r="R17" s="72">
        <f t="shared" si="17"/>
        <v>146003549.5421437</v>
      </c>
      <c r="S17" s="39"/>
      <c r="T17" s="72">
        <f t="shared" si="18"/>
        <v>146003000</v>
      </c>
      <c r="U17" s="39"/>
      <c r="V17" s="72">
        <f t="shared" si="2"/>
        <v>16108117.92</v>
      </c>
      <c r="W17" s="72">
        <f t="shared" si="19"/>
        <v>14741209.762365166</v>
      </c>
      <c r="X17" s="39"/>
      <c r="Y17" s="72">
        <f t="shared" si="3"/>
        <v>2044000</v>
      </c>
      <c r="Z17" s="72">
        <f t="shared" si="20"/>
        <v>1870549.5517178583</v>
      </c>
      <c r="AA17" s="39"/>
      <c r="AB17" s="72">
        <f t="shared" si="4"/>
        <v>0</v>
      </c>
      <c r="AC17" s="72">
        <f t="shared" si="21"/>
        <v>0</v>
      </c>
      <c r="AD17" s="39"/>
      <c r="AE17" s="72">
        <f t="shared" si="5"/>
        <v>260000</v>
      </c>
      <c r="AF17" s="72">
        <f t="shared" si="22"/>
        <v>237936.83143182151</v>
      </c>
      <c r="AG17" s="39"/>
      <c r="AH17" s="72">
        <f t="shared" si="6"/>
        <v>7000000.0000000009</v>
      </c>
      <c r="AI17" s="72">
        <f t="shared" si="23"/>
        <v>6405991.6154721184</v>
      </c>
      <c r="AJ17" s="39"/>
      <c r="AK17" s="72">
        <f t="shared" si="7"/>
        <v>5400000</v>
      </c>
      <c r="AL17" s="72">
        <f t="shared" si="24"/>
        <v>4941764.9605070623</v>
      </c>
      <c r="AM17" s="39"/>
      <c r="AN17" s="72">
        <f t="shared" si="8"/>
        <v>0</v>
      </c>
      <c r="AO17" s="72">
        <f t="shared" si="25"/>
        <v>0</v>
      </c>
      <c r="AP17" s="39"/>
      <c r="AQ17" s="72">
        <f t="shared" si="9"/>
        <v>1736000.0000000002</v>
      </c>
      <c r="AR17" s="72">
        <f t="shared" si="26"/>
        <v>1588685.9206370853</v>
      </c>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0</v>
      </c>
      <c r="AU17" s="39"/>
      <c r="AV17" s="72">
        <f t="shared" si="10"/>
        <v>0</v>
      </c>
      <c r="AW17" s="72">
        <f t="shared" si="27"/>
        <v>0</v>
      </c>
      <c r="AX17" s="39"/>
      <c r="AY17" s="40">
        <f>IF(ISERROR(IF($K17&lt;=$F$15,VLOOKUP($I17,'表4）CO2価格'!$A$7:$E$67,VLOOKUP($F$48,'表4）CO2価格'!$H$10:$I$12,2,0),0)*$F$8/1000,"")),0,IF($K17&lt;=$F$15,VLOOKUP($I17,'表4）CO2価格'!$A$7:$E$67,VLOOKUP($F$48,'表4）CO2価格'!$H$10:$I$12,2,0),0)*$F$8/1000,""))</f>
        <v>0</v>
      </c>
      <c r="AZ17" s="39"/>
      <c r="BA17" s="42">
        <f t="shared" si="11"/>
        <v>0</v>
      </c>
      <c r="BB17" s="72">
        <f t="shared" si="28"/>
        <v>0</v>
      </c>
      <c r="BC17" s="39"/>
      <c r="BD17" s="72">
        <f t="shared" si="12"/>
        <v>0</v>
      </c>
      <c r="BE17" s="72">
        <f t="shared" si="29"/>
        <v>0</v>
      </c>
      <c r="BF17" s="39"/>
      <c r="BG17" s="42">
        <f t="shared" si="13"/>
        <v>0</v>
      </c>
      <c r="BH17" s="72">
        <f t="shared" si="30"/>
        <v>0</v>
      </c>
      <c r="BI17" s="39"/>
      <c r="BJ17" s="40">
        <f t="shared" si="31"/>
        <v>0.81629787689085187</v>
      </c>
      <c r="BK17" s="157">
        <f t="shared" si="32"/>
        <v>13419937.096085604</v>
      </c>
      <c r="BL17" s="157">
        <f t="shared" si="14"/>
        <v>858092.32818766346</v>
      </c>
      <c r="BM17" s="72"/>
      <c r="BN17" s="72">
        <f t="shared" si="33"/>
        <v>32951526.083335388</v>
      </c>
      <c r="BO17" s="72">
        <f t="shared" si="34"/>
        <v>30155314.258122467</v>
      </c>
      <c r="BP17" s="39"/>
      <c r="BQ17" s="72">
        <f t="shared" si="15"/>
        <v>1051200</v>
      </c>
      <c r="BR17" s="72">
        <f t="shared" si="35"/>
        <v>961996.91231204139</v>
      </c>
    </row>
    <row r="18" spans="3:70" x14ac:dyDescent="0.15">
      <c r="I18" s="457">
        <f t="shared" si="36"/>
        <v>2023</v>
      </c>
      <c r="J18" s="71"/>
      <c r="K18" s="71">
        <f t="shared" si="37"/>
        <v>4</v>
      </c>
      <c r="L18" s="71"/>
      <c r="M18" s="7">
        <f t="shared" si="0"/>
        <v>0.888487047915689</v>
      </c>
      <c r="N18" s="71"/>
      <c r="O18" s="10">
        <f t="shared" si="16"/>
        <v>125191162.08</v>
      </c>
      <c r="P18" s="29">
        <f t="shared" si="1"/>
        <v>0.114</v>
      </c>
      <c r="Q18" s="71"/>
      <c r="R18" s="10">
        <f t="shared" si="17"/>
        <v>131494887.76796021</v>
      </c>
      <c r="S18" s="71"/>
      <c r="T18" s="10">
        <f t="shared" si="18"/>
        <v>131494000</v>
      </c>
      <c r="U18" s="71"/>
      <c r="V18" s="10">
        <f t="shared" si="2"/>
        <v>14271792.477120001</v>
      </c>
      <c r="W18" s="10">
        <f t="shared" si="19"/>
        <v>12680302.766461687</v>
      </c>
      <c r="X18" s="71"/>
      <c r="Y18" s="10">
        <f t="shared" si="3"/>
        <v>1840900</v>
      </c>
      <c r="Z18" s="10">
        <f t="shared" si="20"/>
        <v>1635615.8065079919</v>
      </c>
      <c r="AA18" s="71"/>
      <c r="AB18" s="10">
        <f t="shared" si="4"/>
        <v>0</v>
      </c>
      <c r="AC18" s="10">
        <f t="shared" si="21"/>
        <v>0</v>
      </c>
      <c r="AD18" s="71"/>
      <c r="AE18" s="10">
        <f t="shared" si="5"/>
        <v>260000</v>
      </c>
      <c r="AF18" s="10">
        <f t="shared" si="22"/>
        <v>231006.63245807914</v>
      </c>
      <c r="AG18" s="71"/>
      <c r="AH18" s="10">
        <f t="shared" si="6"/>
        <v>7000000.0000000009</v>
      </c>
      <c r="AI18" s="10">
        <f t="shared" si="23"/>
        <v>6219409.3354098238</v>
      </c>
      <c r="AJ18" s="71"/>
      <c r="AK18" s="10">
        <f t="shared" si="7"/>
        <v>5400000</v>
      </c>
      <c r="AL18" s="10">
        <f t="shared" si="24"/>
        <v>4797830.0587447202</v>
      </c>
      <c r="AM18" s="71"/>
      <c r="AN18" s="10">
        <f t="shared" si="8"/>
        <v>0</v>
      </c>
      <c r="AO18" s="10">
        <f t="shared" si="25"/>
        <v>0</v>
      </c>
      <c r="AP18" s="71"/>
      <c r="AQ18" s="10">
        <f t="shared" si="9"/>
        <v>1736000.0000000002</v>
      </c>
      <c r="AR18" s="10">
        <f t="shared" si="26"/>
        <v>1542413.5151816362</v>
      </c>
      <c r="AS18" s="71"/>
      <c r="AT18" s="7">
        <f>IF($K18&lt;=$F$15,IF($F$40&lt;&gt;"",$F$40/1000,IF(ISERROR(VLOOKUP($F$3&amp;IF($G$4&lt;&gt;"",$G$4,"")&amp;IF($F$43&lt;&gt;"","_"&amp;$F$43,""),'表3）燃料価格'!$AF$9:$AG$25,2,0)),0,VLOOKUP($I18,'表3）燃料価格'!$A$6:$U$66,VLOOKUP($F$3&amp;IF($G$4&lt;&gt;"",$G$4,"")&amp;IF($F$43&lt;&gt;"","_"&amp;$F$43,""),'表3）燃料価格'!$AF$9:$AG$25,2,0)+VLOOKUP($F$41,'表3）燃料価格'!$AF$28:$AG$29,2,0),0)*IF($F$43="需要地価格",1,$F$8/$F$141))),"")</f>
        <v>0</v>
      </c>
      <c r="AU18" s="71"/>
      <c r="AV18" s="10">
        <f t="shared" si="10"/>
        <v>0</v>
      </c>
      <c r="AW18" s="10">
        <f t="shared" si="27"/>
        <v>0</v>
      </c>
      <c r="AX18" s="71"/>
      <c r="AY18" s="7">
        <f>IF(ISERROR(IF($K18&lt;=$F$15,VLOOKUP($I18,'表4）CO2価格'!$A$7:$E$67,VLOOKUP($F$48,'表4）CO2価格'!$H$10:$I$12,2,0),0)*$F$8/1000,"")),0,IF($K18&lt;=$F$15,VLOOKUP($I18,'表4）CO2価格'!$A$7:$E$67,VLOOKUP($F$48,'表4）CO2価格'!$H$10:$I$12,2,0),0)*$F$8/1000,""))</f>
        <v>0</v>
      </c>
      <c r="AZ18" s="71"/>
      <c r="BA18" s="11">
        <f t="shared" si="11"/>
        <v>0</v>
      </c>
      <c r="BB18" s="10">
        <f t="shared" si="28"/>
        <v>0</v>
      </c>
      <c r="BC18" s="71"/>
      <c r="BD18" s="10">
        <f t="shared" si="12"/>
        <v>0</v>
      </c>
      <c r="BE18" s="10">
        <f t="shared" si="29"/>
        <v>0</v>
      </c>
      <c r="BF18" s="71"/>
      <c r="BG18" s="11">
        <f t="shared" si="13"/>
        <v>0</v>
      </c>
      <c r="BH18" s="10">
        <f t="shared" si="30"/>
        <v>0</v>
      </c>
      <c r="BJ18" s="7">
        <f t="shared" si="31"/>
        <v>0.7628952120475252</v>
      </c>
      <c r="BK18" s="158">
        <f t="shared" si="32"/>
        <v>12387053.268494463</v>
      </c>
      <c r="BL18" s="158">
        <f t="shared" si="14"/>
        <v>801955.44690435845</v>
      </c>
      <c r="BM18" s="10"/>
      <c r="BN18" s="10">
        <f t="shared" si="33"/>
        <v>32951526.083335388</v>
      </c>
      <c r="BO18" s="10">
        <f t="shared" si="34"/>
        <v>29277004.134099483</v>
      </c>
      <c r="BQ18" s="10">
        <f t="shared" si="15"/>
        <v>1051200</v>
      </c>
      <c r="BR18" s="10">
        <f t="shared" si="35"/>
        <v>933977.58476897224</v>
      </c>
    </row>
    <row r="19" spans="3:70" x14ac:dyDescent="0.15">
      <c r="C19" s="4" t="s">
        <v>557</v>
      </c>
      <c r="D19" s="100"/>
      <c r="E19" s="100"/>
      <c r="F19" s="4"/>
      <c r="G19" s="100"/>
      <c r="I19" s="38">
        <f t="shared" si="36"/>
        <v>2024</v>
      </c>
      <c r="J19" s="39"/>
      <c r="K19" s="39">
        <f t="shared" si="37"/>
        <v>5</v>
      </c>
      <c r="L19" s="39"/>
      <c r="M19" s="40">
        <f t="shared" si="0"/>
        <v>0.86260878438416411</v>
      </c>
      <c r="N19" s="39"/>
      <c r="O19" s="72">
        <f t="shared" si="16"/>
        <v>110919369.60288</v>
      </c>
      <c r="P19" s="41">
        <f t="shared" si="1"/>
        <v>0.114</v>
      </c>
      <c r="Q19" s="39"/>
      <c r="R19" s="72">
        <f t="shared" si="17"/>
        <v>118427980.43836227</v>
      </c>
      <c r="S19" s="39"/>
      <c r="T19" s="72">
        <f t="shared" si="18"/>
        <v>118427000</v>
      </c>
      <c r="U19" s="39"/>
      <c r="V19" s="72">
        <f t="shared" si="2"/>
        <v>12644808.13472832</v>
      </c>
      <c r="W19" s="72">
        <f t="shared" si="19"/>
        <v>10907522.573868986</v>
      </c>
      <c r="X19" s="39"/>
      <c r="Y19" s="72">
        <f t="shared" si="3"/>
        <v>1657900</v>
      </c>
      <c r="Z19" s="72">
        <f t="shared" si="20"/>
        <v>1430119.1036305057</v>
      </c>
      <c r="AA19" s="39"/>
      <c r="AB19" s="72">
        <f t="shared" si="4"/>
        <v>0</v>
      </c>
      <c r="AC19" s="72">
        <f t="shared" si="21"/>
        <v>0</v>
      </c>
      <c r="AD19" s="39"/>
      <c r="AE19" s="72">
        <f t="shared" si="5"/>
        <v>260000</v>
      </c>
      <c r="AF19" s="72">
        <f t="shared" si="22"/>
        <v>224278.28393988268</v>
      </c>
      <c r="AG19" s="39"/>
      <c r="AH19" s="72">
        <f t="shared" si="6"/>
        <v>7000000.0000000009</v>
      </c>
      <c r="AI19" s="72">
        <f t="shared" si="23"/>
        <v>6038261.4906891491</v>
      </c>
      <c r="AJ19" s="39"/>
      <c r="AK19" s="72">
        <f t="shared" si="7"/>
        <v>5400000</v>
      </c>
      <c r="AL19" s="72">
        <f t="shared" si="24"/>
        <v>4658087.4356744858</v>
      </c>
      <c r="AM19" s="39"/>
      <c r="AN19" s="72">
        <f t="shared" si="8"/>
        <v>0</v>
      </c>
      <c r="AO19" s="72">
        <f t="shared" si="25"/>
        <v>0</v>
      </c>
      <c r="AP19" s="39"/>
      <c r="AQ19" s="72">
        <f t="shared" si="9"/>
        <v>1736000.0000000002</v>
      </c>
      <c r="AR19" s="72">
        <f t="shared" si="26"/>
        <v>1497488.849690909</v>
      </c>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0</v>
      </c>
      <c r="AU19" s="39"/>
      <c r="AV19" s="72">
        <f t="shared" si="10"/>
        <v>0</v>
      </c>
      <c r="AW19" s="72">
        <f t="shared" si="27"/>
        <v>0</v>
      </c>
      <c r="AX19" s="39"/>
      <c r="AY19" s="40">
        <f>IF(ISERROR(IF($K19&lt;=$F$15,VLOOKUP($I19,'表4）CO2価格'!$A$7:$E$67,VLOOKUP($F$48,'表4）CO2価格'!$H$10:$I$12,2,0),0)*$F$8/1000,"")),0,IF($K19&lt;=$F$15,VLOOKUP($I19,'表4）CO2価格'!$A$7:$E$67,VLOOKUP($F$48,'表4）CO2価格'!$H$10:$I$12,2,0),0)*$F$8/1000,""))</f>
        <v>0</v>
      </c>
      <c r="AZ19" s="39"/>
      <c r="BA19" s="42">
        <f t="shared" si="11"/>
        <v>0</v>
      </c>
      <c r="BB19" s="72">
        <f t="shared" si="28"/>
        <v>0</v>
      </c>
      <c r="BC19" s="39"/>
      <c r="BD19" s="72">
        <f t="shared" si="12"/>
        <v>0</v>
      </c>
      <c r="BE19" s="72">
        <f t="shared" si="29"/>
        <v>0</v>
      </c>
      <c r="BF19" s="39"/>
      <c r="BG19" s="42">
        <f t="shared" si="13"/>
        <v>0</v>
      </c>
      <c r="BH19" s="72">
        <f t="shared" si="30"/>
        <v>0</v>
      </c>
      <c r="BI19" s="39"/>
      <c r="BJ19" s="40">
        <f t="shared" si="31"/>
        <v>0.71298617948366838</v>
      </c>
      <c r="BK19" s="157">
        <f t="shared" si="32"/>
        <v>11446208.826812863</v>
      </c>
      <c r="BL19" s="157">
        <f t="shared" si="14"/>
        <v>749491.07187323226</v>
      </c>
      <c r="BM19" s="72"/>
      <c r="BN19" s="72">
        <f t="shared" si="33"/>
        <v>32951526.083335388</v>
      </c>
      <c r="BO19" s="72">
        <f t="shared" si="34"/>
        <v>28424275.858349014</v>
      </c>
      <c r="BP19" s="39"/>
      <c r="BQ19" s="72">
        <f t="shared" si="15"/>
        <v>1051200</v>
      </c>
      <c r="BR19" s="72">
        <f t="shared" si="35"/>
        <v>906774.35414463328</v>
      </c>
    </row>
    <row r="20" spans="3:70" x14ac:dyDescent="0.15">
      <c r="I20" s="457">
        <f t="shared" si="36"/>
        <v>2025</v>
      </c>
      <c r="J20" s="71"/>
      <c r="K20" s="71">
        <f t="shared" si="37"/>
        <v>6</v>
      </c>
      <c r="L20" s="71"/>
      <c r="M20" s="7">
        <f t="shared" si="0"/>
        <v>0.83748425668365445</v>
      </c>
      <c r="N20" s="71"/>
      <c r="O20" s="10">
        <f t="shared" si="16"/>
        <v>98274561.468151689</v>
      </c>
      <c r="P20" s="29">
        <f t="shared" si="1"/>
        <v>0.114</v>
      </c>
      <c r="Q20" s="71"/>
      <c r="R20" s="10">
        <f t="shared" si="17"/>
        <v>106659557.55982223</v>
      </c>
      <c r="S20" s="71"/>
      <c r="T20" s="10">
        <f t="shared" si="18"/>
        <v>106659000</v>
      </c>
      <c r="U20" s="71"/>
      <c r="V20" s="10">
        <f t="shared" si="2"/>
        <v>11203300.007369293</v>
      </c>
      <c r="W20" s="10">
        <f t="shared" si="19"/>
        <v>9382587.379075652</v>
      </c>
      <c r="X20" s="71"/>
      <c r="Y20" s="10">
        <f t="shared" si="3"/>
        <v>1493200</v>
      </c>
      <c r="Z20" s="10">
        <f t="shared" si="20"/>
        <v>1250531.4920800328</v>
      </c>
      <c r="AA20" s="71"/>
      <c r="AB20" s="10">
        <f t="shared" si="4"/>
        <v>0</v>
      </c>
      <c r="AC20" s="10">
        <f t="shared" si="21"/>
        <v>0</v>
      </c>
      <c r="AD20" s="71"/>
      <c r="AE20" s="10">
        <f t="shared" si="5"/>
        <v>260000</v>
      </c>
      <c r="AF20" s="10">
        <f t="shared" si="22"/>
        <v>217745.90673775016</v>
      </c>
      <c r="AG20" s="71"/>
      <c r="AH20" s="10">
        <f t="shared" si="6"/>
        <v>7000000.0000000009</v>
      </c>
      <c r="AI20" s="10">
        <f t="shared" si="23"/>
        <v>5862389.7967855819</v>
      </c>
      <c r="AJ20" s="71"/>
      <c r="AK20" s="10">
        <f t="shared" si="7"/>
        <v>5400000</v>
      </c>
      <c r="AL20" s="10">
        <f t="shared" si="24"/>
        <v>4522414.9860917339</v>
      </c>
      <c r="AM20" s="71"/>
      <c r="AN20" s="10">
        <f t="shared" si="8"/>
        <v>0</v>
      </c>
      <c r="AO20" s="10">
        <f t="shared" si="25"/>
        <v>0</v>
      </c>
      <c r="AP20" s="71"/>
      <c r="AQ20" s="10">
        <f t="shared" si="9"/>
        <v>1736000.0000000002</v>
      </c>
      <c r="AR20" s="10">
        <f t="shared" si="26"/>
        <v>1453872.6696028244</v>
      </c>
      <c r="AS20" s="71"/>
      <c r="AT20" s="7">
        <f>IF($K20&lt;=$F$15,IF($F$40&lt;&gt;"",$F$40/1000,IF(ISERROR(VLOOKUP($F$3&amp;IF($G$4&lt;&gt;"",$G$4,"")&amp;IF($F$43&lt;&gt;"","_"&amp;$F$43,""),'表3）燃料価格'!$AF$9:$AG$25,2,0)),0,VLOOKUP($I20,'表3）燃料価格'!$A$6:$U$66,VLOOKUP($F$3&amp;IF($G$4&lt;&gt;"",$G$4,"")&amp;IF($F$43&lt;&gt;"","_"&amp;$F$43,""),'表3）燃料価格'!$AF$9:$AG$25,2,0)+VLOOKUP($F$41,'表3）燃料価格'!$AF$28:$AG$29,2,0),0)*IF($F$43="需要地価格",1,$F$8/$F$141))),"")</f>
        <v>0</v>
      </c>
      <c r="AU20" s="71"/>
      <c r="AV20" s="10">
        <f t="shared" si="10"/>
        <v>0</v>
      </c>
      <c r="AW20" s="10">
        <f t="shared" si="27"/>
        <v>0</v>
      </c>
      <c r="AX20" s="71"/>
      <c r="AY20" s="7">
        <f>IF(ISERROR(IF($K20&lt;=$F$15,VLOOKUP($I20,'表4）CO2価格'!$A$7:$E$67,VLOOKUP($F$48,'表4）CO2価格'!$H$10:$I$12,2,0),0)*$F$8/1000,"")),0,IF($K20&lt;=$F$15,VLOOKUP($I20,'表4）CO2価格'!$A$7:$E$67,VLOOKUP($F$48,'表4）CO2価格'!$H$10:$I$12,2,0),0)*$F$8/1000,""))</f>
        <v>0</v>
      </c>
      <c r="AZ20" s="71"/>
      <c r="BA20" s="11">
        <f t="shared" si="11"/>
        <v>0</v>
      </c>
      <c r="BB20" s="10">
        <f t="shared" si="28"/>
        <v>0</v>
      </c>
      <c r="BC20" s="71"/>
      <c r="BD20" s="10">
        <f t="shared" si="12"/>
        <v>0</v>
      </c>
      <c r="BE20" s="10">
        <f t="shared" si="29"/>
        <v>0</v>
      </c>
      <c r="BF20" s="71"/>
      <c r="BG20" s="11">
        <f t="shared" si="13"/>
        <v>0</v>
      </c>
      <c r="BH20" s="10">
        <f t="shared" si="30"/>
        <v>0</v>
      </c>
      <c r="BJ20" s="7">
        <f t="shared" si="31"/>
        <v>0.66634222381651254</v>
      </c>
      <c r="BK20" s="158">
        <f t="shared" si="32"/>
        <v>10587644.862665331</v>
      </c>
      <c r="BL20" s="158">
        <f t="shared" si="14"/>
        <v>700458.94567591802</v>
      </c>
      <c r="BM20" s="10"/>
      <c r="BN20" s="10">
        <f t="shared" si="33"/>
        <v>32951526.083335388</v>
      </c>
      <c r="BO20" s="10">
        <f t="shared" si="34"/>
        <v>27596384.328494187</v>
      </c>
      <c r="BQ20" s="10">
        <f t="shared" si="15"/>
        <v>1051200</v>
      </c>
      <c r="BR20" s="10">
        <f t="shared" si="35"/>
        <v>880363.45062585757</v>
      </c>
    </row>
    <row r="21" spans="3:70" x14ac:dyDescent="0.15">
      <c r="D21" s="84" t="s">
        <v>558</v>
      </c>
      <c r="F21" s="477">
        <v>90</v>
      </c>
      <c r="G21" s="84" t="s">
        <v>559</v>
      </c>
      <c r="I21" s="38">
        <f t="shared" si="36"/>
        <v>2026</v>
      </c>
      <c r="J21" s="39"/>
      <c r="K21" s="39">
        <f t="shared" si="37"/>
        <v>7</v>
      </c>
      <c r="L21" s="39"/>
      <c r="M21" s="40">
        <f t="shared" si="0"/>
        <v>0.81309151134335378</v>
      </c>
      <c r="N21" s="39"/>
      <c r="O21" s="72">
        <f t="shared" si="16"/>
        <v>87071261.460782394</v>
      </c>
      <c r="P21" s="41">
        <f t="shared" si="1"/>
        <v>0.114</v>
      </c>
      <c r="Q21" s="39"/>
      <c r="R21" s="72">
        <f t="shared" si="17"/>
        <v>96060586.1617136</v>
      </c>
      <c r="S21" s="39"/>
      <c r="T21" s="72">
        <f t="shared" si="18"/>
        <v>96060000</v>
      </c>
      <c r="U21" s="39"/>
      <c r="V21" s="72">
        <f t="shared" si="2"/>
        <v>9926123.8065291941</v>
      </c>
      <c r="W21" s="72">
        <f t="shared" si="19"/>
        <v>8070847.0076320665</v>
      </c>
      <c r="X21" s="39"/>
      <c r="Y21" s="72">
        <f t="shared" si="3"/>
        <v>1344800</v>
      </c>
      <c r="Z21" s="72">
        <f t="shared" si="20"/>
        <v>1093445.4644545421</v>
      </c>
      <c r="AA21" s="39"/>
      <c r="AB21" s="72">
        <f t="shared" si="4"/>
        <v>0</v>
      </c>
      <c r="AC21" s="72">
        <f t="shared" si="21"/>
        <v>0</v>
      </c>
      <c r="AD21" s="39"/>
      <c r="AE21" s="72">
        <f t="shared" si="5"/>
        <v>260000</v>
      </c>
      <c r="AF21" s="72">
        <f t="shared" si="22"/>
        <v>211403.79294927197</v>
      </c>
      <c r="AG21" s="39"/>
      <c r="AH21" s="72">
        <f t="shared" si="6"/>
        <v>7000000.0000000009</v>
      </c>
      <c r="AI21" s="72">
        <f t="shared" si="23"/>
        <v>5691640.5794034768</v>
      </c>
      <c r="AJ21" s="39"/>
      <c r="AK21" s="72">
        <f t="shared" si="7"/>
        <v>5400000</v>
      </c>
      <c r="AL21" s="72">
        <f t="shared" si="24"/>
        <v>4390694.1612541107</v>
      </c>
      <c r="AM21" s="39"/>
      <c r="AN21" s="72">
        <f t="shared" si="8"/>
        <v>0</v>
      </c>
      <c r="AO21" s="72">
        <f t="shared" si="25"/>
        <v>0</v>
      </c>
      <c r="AP21" s="39"/>
      <c r="AQ21" s="72">
        <f t="shared" si="9"/>
        <v>1736000.0000000002</v>
      </c>
      <c r="AR21" s="72">
        <f t="shared" si="26"/>
        <v>1411526.8636920624</v>
      </c>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0</v>
      </c>
      <c r="AU21" s="39"/>
      <c r="AV21" s="72">
        <f t="shared" si="10"/>
        <v>0</v>
      </c>
      <c r="AW21" s="72">
        <f t="shared" si="27"/>
        <v>0</v>
      </c>
      <c r="AX21" s="39"/>
      <c r="AY21" s="40">
        <f>IF(ISERROR(IF($K21&lt;=$F$15,VLOOKUP($I21,'表4）CO2価格'!$A$7:$E$67,VLOOKUP($F$48,'表4）CO2価格'!$H$10:$I$12,2,0),0)*$F$8/1000,"")),0,IF($K21&lt;=$F$15,VLOOKUP($I21,'表4）CO2価格'!$A$7:$E$67,VLOOKUP($F$48,'表4）CO2価格'!$H$10:$I$12,2,0),0)*$F$8/1000,""))</f>
        <v>0</v>
      </c>
      <c r="AZ21" s="39"/>
      <c r="BA21" s="42">
        <f t="shared" si="11"/>
        <v>0</v>
      </c>
      <c r="BB21" s="72">
        <f t="shared" si="28"/>
        <v>0</v>
      </c>
      <c r="BC21" s="39"/>
      <c r="BD21" s="72">
        <f t="shared" si="12"/>
        <v>0</v>
      </c>
      <c r="BE21" s="72">
        <f t="shared" si="29"/>
        <v>0</v>
      </c>
      <c r="BF21" s="39"/>
      <c r="BG21" s="42">
        <f t="shared" si="13"/>
        <v>0</v>
      </c>
      <c r="BH21" s="72">
        <f t="shared" si="30"/>
        <v>0</v>
      </c>
      <c r="BI21" s="39"/>
      <c r="BJ21" s="40">
        <f t="shared" si="31"/>
        <v>0.62274974188459109</v>
      </c>
      <c r="BK21" s="157">
        <f t="shared" si="32"/>
        <v>9802579.137056971</v>
      </c>
      <c r="BL21" s="157">
        <f t="shared" si="14"/>
        <v>654634.52866908221</v>
      </c>
      <c r="BM21" s="72"/>
      <c r="BN21" s="72">
        <f t="shared" si="33"/>
        <v>32951526.083335388</v>
      </c>
      <c r="BO21" s="72">
        <f t="shared" si="34"/>
        <v>26792606.144169115</v>
      </c>
      <c r="BP21" s="39"/>
      <c r="BQ21" s="72">
        <f t="shared" si="15"/>
        <v>1051200</v>
      </c>
      <c r="BR21" s="72">
        <f t="shared" si="35"/>
        <v>854721.79672413354</v>
      </c>
    </row>
    <row r="22" spans="3:70" ht="16.5" x14ac:dyDescent="0.15">
      <c r="D22" s="84" t="s">
        <v>560</v>
      </c>
      <c r="F22" s="478"/>
      <c r="G22" s="71" t="s">
        <v>561</v>
      </c>
      <c r="I22" s="457">
        <f t="shared" si="36"/>
        <v>2027</v>
      </c>
      <c r="J22" s="71"/>
      <c r="K22" s="71">
        <f t="shared" si="37"/>
        <v>8</v>
      </c>
      <c r="L22" s="71"/>
      <c r="M22" s="7">
        <f t="shared" si="0"/>
        <v>0.78940923431393573</v>
      </c>
      <c r="N22" s="71"/>
      <c r="O22" s="10">
        <f t="shared" si="16"/>
        <v>77145137.6542532</v>
      </c>
      <c r="P22" s="29">
        <f t="shared" si="1"/>
        <v>0.114</v>
      </c>
      <c r="Q22" s="71"/>
      <c r="R22" s="10">
        <f t="shared" si="17"/>
        <v>86514855.535159051</v>
      </c>
      <c r="S22" s="71"/>
      <c r="T22" s="10">
        <f t="shared" si="18"/>
        <v>86514000</v>
      </c>
      <c r="U22" s="71"/>
      <c r="V22" s="10">
        <f t="shared" si="2"/>
        <v>8794545.6925848648</v>
      </c>
      <c r="W22" s="10">
        <f t="shared" si="19"/>
        <v>6942495.5813223394</v>
      </c>
      <c r="X22" s="71"/>
      <c r="Y22" s="10">
        <f t="shared" si="3"/>
        <v>1211100</v>
      </c>
      <c r="Z22" s="10">
        <f t="shared" si="20"/>
        <v>956053.52367760753</v>
      </c>
      <c r="AA22" s="71"/>
      <c r="AB22" s="10">
        <f t="shared" si="4"/>
        <v>0</v>
      </c>
      <c r="AC22" s="10">
        <f t="shared" si="21"/>
        <v>0</v>
      </c>
      <c r="AD22" s="71"/>
      <c r="AE22" s="10">
        <f t="shared" si="5"/>
        <v>260000</v>
      </c>
      <c r="AF22" s="10">
        <f t="shared" si="22"/>
        <v>205246.40092162328</v>
      </c>
      <c r="AG22" s="71"/>
      <c r="AH22" s="10">
        <f t="shared" si="6"/>
        <v>7000000.0000000009</v>
      </c>
      <c r="AI22" s="10">
        <f t="shared" si="23"/>
        <v>5525864.6401975509</v>
      </c>
      <c r="AJ22" s="71"/>
      <c r="AK22" s="10">
        <f t="shared" si="7"/>
        <v>5400000</v>
      </c>
      <c r="AL22" s="10">
        <f t="shared" si="24"/>
        <v>4262809.8652952528</v>
      </c>
      <c r="AM22" s="71"/>
      <c r="AN22" s="10">
        <f t="shared" si="8"/>
        <v>0</v>
      </c>
      <c r="AO22" s="10">
        <f t="shared" si="25"/>
        <v>0</v>
      </c>
      <c r="AP22" s="71"/>
      <c r="AQ22" s="10">
        <f t="shared" si="9"/>
        <v>1736000.0000000002</v>
      </c>
      <c r="AR22" s="10">
        <f t="shared" si="26"/>
        <v>1370414.4307689925</v>
      </c>
      <c r="AS22" s="71"/>
      <c r="AT22" s="7">
        <f>IF($K22&lt;=$F$15,IF($F$40&lt;&gt;"",$F$40/1000,IF(ISERROR(VLOOKUP($F$3&amp;IF($G$4&lt;&gt;"",$G$4,"")&amp;IF($F$43&lt;&gt;"","_"&amp;$F$43,""),'表3）燃料価格'!$AF$9:$AG$25,2,0)),0,VLOOKUP($I22,'表3）燃料価格'!$A$6:$U$66,VLOOKUP($F$3&amp;IF($G$4&lt;&gt;"",$G$4,"")&amp;IF($F$43&lt;&gt;"","_"&amp;$F$43,""),'表3）燃料価格'!$AF$9:$AG$25,2,0)+VLOOKUP($F$41,'表3）燃料価格'!$AF$28:$AG$29,2,0),0)*IF($F$43="需要地価格",1,$F$8/$F$141))),"")</f>
        <v>0</v>
      </c>
      <c r="AU22" s="71"/>
      <c r="AV22" s="10">
        <f t="shared" si="10"/>
        <v>0</v>
      </c>
      <c r="AW22" s="10">
        <f t="shared" si="27"/>
        <v>0</v>
      </c>
      <c r="AX22" s="71"/>
      <c r="AY22" s="7">
        <f>IF(ISERROR(IF($K22&lt;=$F$15,VLOOKUP($I22,'表4）CO2価格'!$A$7:$E$67,VLOOKUP($F$48,'表4）CO2価格'!$H$10:$I$12,2,0),0)*$F$8/1000,"")),0,IF($K22&lt;=$F$15,VLOOKUP($I22,'表4）CO2価格'!$A$7:$E$67,VLOOKUP($F$48,'表4）CO2価格'!$H$10:$I$12,2,0),0)*$F$8/1000,""))</f>
        <v>0</v>
      </c>
      <c r="AZ22" s="71"/>
      <c r="BA22" s="11">
        <f t="shared" si="11"/>
        <v>0</v>
      </c>
      <c r="BB22" s="10">
        <f t="shared" si="28"/>
        <v>0</v>
      </c>
      <c r="BC22" s="71"/>
      <c r="BD22" s="10">
        <f t="shared" si="12"/>
        <v>0</v>
      </c>
      <c r="BE22" s="10">
        <f t="shared" si="29"/>
        <v>0</v>
      </c>
      <c r="BF22" s="71"/>
      <c r="BG22" s="11">
        <f t="shared" si="13"/>
        <v>0</v>
      </c>
      <c r="BH22" s="10">
        <f t="shared" si="30"/>
        <v>0</v>
      </c>
      <c r="BJ22" s="7">
        <f t="shared" si="31"/>
        <v>0.5820091045650384</v>
      </c>
      <c r="BK22" s="158">
        <f t="shared" si="32"/>
        <v>9083474.2958570104</v>
      </c>
      <c r="BL22" s="158">
        <f t="shared" si="14"/>
        <v>611807.97071876843</v>
      </c>
      <c r="BM22" s="10"/>
      <c r="BN22" s="10">
        <f t="shared" si="33"/>
        <v>32951526.083335388</v>
      </c>
      <c r="BO22" s="10">
        <f t="shared" si="34"/>
        <v>26012238.974921469</v>
      </c>
      <c r="BQ22" s="10">
        <f t="shared" si="15"/>
        <v>1051200</v>
      </c>
      <c r="BR22" s="10">
        <f t="shared" si="35"/>
        <v>829826.98711080919</v>
      </c>
    </row>
    <row r="23" spans="3:70" x14ac:dyDescent="0.15">
      <c r="D23" s="84" t="s">
        <v>562</v>
      </c>
      <c r="F23" s="479"/>
      <c r="G23" s="84" t="s">
        <v>549</v>
      </c>
      <c r="I23" s="38">
        <f t="shared" si="36"/>
        <v>2028</v>
      </c>
      <c r="J23" s="39"/>
      <c r="K23" s="39">
        <f t="shared" si="37"/>
        <v>9</v>
      </c>
      <c r="L23" s="39"/>
      <c r="M23" s="40">
        <f t="shared" si="0"/>
        <v>0.76641673234362695</v>
      </c>
      <c r="N23" s="39"/>
      <c r="O23" s="72">
        <f t="shared" si="16"/>
        <v>68350591.961668342</v>
      </c>
      <c r="P23" s="41">
        <f t="shared" si="1"/>
        <v>0.114</v>
      </c>
      <c r="Q23" s="39"/>
      <c r="R23" s="72">
        <f t="shared" si="17"/>
        <v>77917703.059495062</v>
      </c>
      <c r="S23" s="39"/>
      <c r="T23" s="72">
        <f t="shared" si="18"/>
        <v>77917000</v>
      </c>
      <c r="U23" s="39"/>
      <c r="V23" s="72">
        <f t="shared" si="2"/>
        <v>7791967.4836301915</v>
      </c>
      <c r="W23" s="72">
        <f t="shared" si="19"/>
        <v>5971894.2573316451</v>
      </c>
      <c r="X23" s="39"/>
      <c r="Y23" s="72">
        <f t="shared" si="3"/>
        <v>1090800</v>
      </c>
      <c r="Z23" s="72">
        <f t="shared" si="20"/>
        <v>836007.37164042832</v>
      </c>
      <c r="AA23" s="39"/>
      <c r="AB23" s="72">
        <f t="shared" si="4"/>
        <v>0</v>
      </c>
      <c r="AC23" s="72">
        <f t="shared" si="21"/>
        <v>0</v>
      </c>
      <c r="AD23" s="39"/>
      <c r="AE23" s="72">
        <f t="shared" si="5"/>
        <v>260000</v>
      </c>
      <c r="AF23" s="72">
        <f t="shared" si="22"/>
        <v>199268.35040934299</v>
      </c>
      <c r="AG23" s="39"/>
      <c r="AH23" s="72">
        <f t="shared" si="6"/>
        <v>7000000.0000000009</v>
      </c>
      <c r="AI23" s="72">
        <f t="shared" si="23"/>
        <v>5364917.126405389</v>
      </c>
      <c r="AJ23" s="39"/>
      <c r="AK23" s="72">
        <f t="shared" si="7"/>
        <v>5400000</v>
      </c>
      <c r="AL23" s="72">
        <f t="shared" si="24"/>
        <v>4138650.3546555857</v>
      </c>
      <c r="AM23" s="39"/>
      <c r="AN23" s="72">
        <f t="shared" si="8"/>
        <v>0</v>
      </c>
      <c r="AO23" s="72">
        <f t="shared" si="25"/>
        <v>0</v>
      </c>
      <c r="AP23" s="39"/>
      <c r="AQ23" s="72">
        <f t="shared" si="9"/>
        <v>1736000.0000000002</v>
      </c>
      <c r="AR23" s="72">
        <f t="shared" si="26"/>
        <v>1330499.4473485365</v>
      </c>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0</v>
      </c>
      <c r="AU23" s="39"/>
      <c r="AV23" s="72">
        <f t="shared" si="10"/>
        <v>0</v>
      </c>
      <c r="AW23" s="72">
        <f t="shared" si="27"/>
        <v>0</v>
      </c>
      <c r="AX23" s="39"/>
      <c r="AY23" s="40">
        <f>IF(ISERROR(IF($K23&lt;=$F$15,VLOOKUP($I23,'表4）CO2価格'!$A$7:$E$67,VLOOKUP($F$48,'表4）CO2価格'!$H$10:$I$12,2,0),0)*$F$8/1000,"")),0,IF($K23&lt;=$F$15,VLOOKUP($I23,'表4）CO2価格'!$A$7:$E$67,VLOOKUP($F$48,'表4）CO2価格'!$H$10:$I$12,2,0),0)*$F$8/1000,""))</f>
        <v>0</v>
      </c>
      <c r="AZ23" s="39"/>
      <c r="BA23" s="42">
        <f t="shared" si="11"/>
        <v>0</v>
      </c>
      <c r="BB23" s="72">
        <f t="shared" si="28"/>
        <v>0</v>
      </c>
      <c r="BC23" s="39"/>
      <c r="BD23" s="72">
        <f t="shared" si="12"/>
        <v>0</v>
      </c>
      <c r="BE23" s="72">
        <f t="shared" si="29"/>
        <v>0</v>
      </c>
      <c r="BF23" s="39"/>
      <c r="BG23" s="42">
        <f t="shared" si="13"/>
        <v>0</v>
      </c>
      <c r="BH23" s="72">
        <f t="shared" si="30"/>
        <v>0</v>
      </c>
      <c r="BI23" s="39"/>
      <c r="BJ23" s="40">
        <f t="shared" si="31"/>
        <v>0.54393374258414806</v>
      </c>
      <c r="BK23" s="157">
        <f t="shared" si="32"/>
        <v>8423793.0846521836</v>
      </c>
      <c r="BL23" s="157">
        <f t="shared" si="14"/>
        <v>571783.15020445641</v>
      </c>
      <c r="BM23" s="72"/>
      <c r="BN23" s="72">
        <f t="shared" si="33"/>
        <v>32951526.083335388</v>
      </c>
      <c r="BO23" s="72">
        <f t="shared" si="34"/>
        <v>25254600.9465257</v>
      </c>
      <c r="BP23" s="39"/>
      <c r="BQ23" s="72">
        <f t="shared" si="15"/>
        <v>1051200</v>
      </c>
      <c r="BR23" s="72">
        <f t="shared" si="35"/>
        <v>805657.26903962065</v>
      </c>
    </row>
    <row r="24" spans="3:70" x14ac:dyDescent="0.15">
      <c r="D24" s="84" t="s">
        <v>563</v>
      </c>
      <c r="F24" s="480">
        <v>0</v>
      </c>
      <c r="G24" s="84" t="s">
        <v>549</v>
      </c>
      <c r="I24" s="457">
        <f t="shared" si="36"/>
        <v>2029</v>
      </c>
      <c r="J24" s="71"/>
      <c r="K24" s="71">
        <f t="shared" si="37"/>
        <v>10</v>
      </c>
      <c r="L24" s="71"/>
      <c r="M24" s="7">
        <f t="shared" si="0"/>
        <v>0.74409391489672516</v>
      </c>
      <c r="N24" s="71"/>
      <c r="O24" s="10">
        <f t="shared" si="16"/>
        <v>60558624.478038147</v>
      </c>
      <c r="P24" s="29">
        <f t="shared" si="1"/>
        <v>0.114</v>
      </c>
      <c r="Q24" s="71"/>
      <c r="R24" s="10">
        <f t="shared" si="17"/>
        <v>70174866.645883322</v>
      </c>
      <c r="S24" s="71"/>
      <c r="T24" s="10">
        <f t="shared" si="18"/>
        <v>70174000</v>
      </c>
      <c r="U24" s="71"/>
      <c r="V24" s="10">
        <f t="shared" si="2"/>
        <v>6903683.1904963488</v>
      </c>
      <c r="W24" s="10">
        <f t="shared" si="19"/>
        <v>5136988.6524231425</v>
      </c>
      <c r="X24" s="71"/>
      <c r="Y24" s="10">
        <f t="shared" si="3"/>
        <v>982400</v>
      </c>
      <c r="Z24" s="10">
        <f t="shared" si="20"/>
        <v>730997.86199454276</v>
      </c>
      <c r="AA24" s="71"/>
      <c r="AB24" s="10">
        <f t="shared" si="4"/>
        <v>0</v>
      </c>
      <c r="AC24" s="10">
        <f t="shared" si="21"/>
        <v>0</v>
      </c>
      <c r="AD24" s="71"/>
      <c r="AE24" s="10">
        <f t="shared" si="5"/>
        <v>260000</v>
      </c>
      <c r="AF24" s="10">
        <f t="shared" si="22"/>
        <v>193464.41787314854</v>
      </c>
      <c r="AG24" s="71"/>
      <c r="AH24" s="10">
        <f t="shared" si="6"/>
        <v>7000000.0000000009</v>
      </c>
      <c r="AI24" s="10">
        <f t="shared" si="23"/>
        <v>5208657.4042770769</v>
      </c>
      <c r="AJ24" s="71"/>
      <c r="AK24" s="10">
        <f t="shared" si="7"/>
        <v>5400000</v>
      </c>
      <c r="AL24" s="10">
        <f t="shared" si="24"/>
        <v>4018107.140442316</v>
      </c>
      <c r="AM24" s="71"/>
      <c r="AN24" s="10">
        <f t="shared" si="8"/>
        <v>0</v>
      </c>
      <c r="AO24" s="10">
        <f t="shared" si="25"/>
        <v>0</v>
      </c>
      <c r="AP24" s="71"/>
      <c r="AQ24" s="10">
        <f t="shared" si="9"/>
        <v>1736000.0000000002</v>
      </c>
      <c r="AR24" s="10">
        <f t="shared" si="26"/>
        <v>1291747.036260715</v>
      </c>
      <c r="AS24" s="71"/>
      <c r="AT24" s="7">
        <f>IF($K24&lt;=$F$15,IF($F$40&lt;&gt;"",$F$40/1000,IF(ISERROR(VLOOKUP($F$3&amp;IF($G$4&lt;&gt;"",$G$4,"")&amp;IF($F$43&lt;&gt;"","_"&amp;$F$43,""),'表3）燃料価格'!$AF$9:$AG$25,2,0)),0,VLOOKUP($I24,'表3）燃料価格'!$A$6:$U$66,VLOOKUP($F$3&amp;IF($G$4&lt;&gt;"",$G$4,"")&amp;IF($F$43&lt;&gt;"","_"&amp;$F$43,""),'表3）燃料価格'!$AF$9:$AG$25,2,0)+VLOOKUP($F$41,'表3）燃料価格'!$AF$28:$AG$29,2,0),0)*IF($F$43="需要地価格",1,$F$8/$F$141))),"")</f>
        <v>0</v>
      </c>
      <c r="AU24" s="71"/>
      <c r="AV24" s="10">
        <f t="shared" si="10"/>
        <v>0</v>
      </c>
      <c r="AW24" s="10">
        <f t="shared" si="27"/>
        <v>0</v>
      </c>
      <c r="AX24" s="71"/>
      <c r="AY24" s="7">
        <f>IF(ISERROR(IF($K24&lt;=$F$15,VLOOKUP($I24,'表4）CO2価格'!$A$7:$E$67,VLOOKUP($F$48,'表4）CO2価格'!$H$10:$I$12,2,0),0)*$F$8/1000,"")),0,IF($K24&lt;=$F$15,VLOOKUP($I24,'表4）CO2価格'!$A$7:$E$67,VLOOKUP($F$48,'表4）CO2価格'!$H$10:$I$12,2,0),0)*$F$8/1000,""))</f>
        <v>0</v>
      </c>
      <c r="AZ24" s="71"/>
      <c r="BA24" s="11">
        <f t="shared" si="11"/>
        <v>0</v>
      </c>
      <c r="BB24" s="10">
        <f t="shared" si="28"/>
        <v>0</v>
      </c>
      <c r="BC24" s="71"/>
      <c r="BD24" s="10">
        <f t="shared" si="12"/>
        <v>0</v>
      </c>
      <c r="BE24" s="10">
        <f t="shared" si="29"/>
        <v>0</v>
      </c>
      <c r="BF24" s="71"/>
      <c r="BG24" s="11">
        <f t="shared" si="13"/>
        <v>0</v>
      </c>
      <c r="BH24" s="10">
        <f t="shared" si="30"/>
        <v>0</v>
      </c>
      <c r="BJ24" s="7">
        <f t="shared" si="31"/>
        <v>0.5083492921347178</v>
      </c>
      <c r="BK24" s="158">
        <f t="shared" si="32"/>
        <v>7817598.7541645439</v>
      </c>
      <c r="BL24" s="158">
        <f t="shared" si="14"/>
        <v>534376.77589201531</v>
      </c>
      <c r="BM24" s="10"/>
      <c r="BN24" s="10">
        <f t="shared" si="33"/>
        <v>32951526.083335388</v>
      </c>
      <c r="BO24" s="10">
        <f t="shared" si="34"/>
        <v>24519030.045170583</v>
      </c>
      <c r="BQ24" s="10">
        <f t="shared" si="15"/>
        <v>1051200</v>
      </c>
      <c r="BR24" s="10">
        <f t="shared" si="35"/>
        <v>782191.52333943744</v>
      </c>
    </row>
    <row r="25" spans="3:70" x14ac:dyDescent="0.15">
      <c r="D25" s="84" t="s">
        <v>564</v>
      </c>
      <c r="F25" s="475">
        <v>1.4</v>
      </c>
      <c r="G25" s="84" t="s">
        <v>549</v>
      </c>
      <c r="I25" s="38">
        <f t="shared" si="36"/>
        <v>2030</v>
      </c>
      <c r="J25" s="39"/>
      <c r="K25" s="39">
        <f t="shared" si="37"/>
        <v>11</v>
      </c>
      <c r="L25" s="39"/>
      <c r="M25" s="40">
        <f t="shared" si="0"/>
        <v>0.72242127659876232</v>
      </c>
      <c r="N25" s="39"/>
      <c r="O25" s="72">
        <f t="shared" si="16"/>
        <v>53654941.287541799</v>
      </c>
      <c r="P25" s="41">
        <f t="shared" si="1"/>
        <v>0.114</v>
      </c>
      <c r="Q25" s="39"/>
      <c r="R25" s="72">
        <f t="shared" si="17"/>
        <v>63201451.215872377</v>
      </c>
      <c r="S25" s="39"/>
      <c r="T25" s="72">
        <f t="shared" si="18"/>
        <v>63201000</v>
      </c>
      <c r="U25" s="39"/>
      <c r="V25" s="72">
        <f t="shared" si="2"/>
        <v>6116663.3067797655</v>
      </c>
      <c r="W25" s="72">
        <f t="shared" si="19"/>
        <v>4418807.7146086451</v>
      </c>
      <c r="X25" s="39"/>
      <c r="Y25" s="72">
        <f t="shared" si="3"/>
        <v>884800</v>
      </c>
      <c r="Z25" s="72">
        <f t="shared" si="20"/>
        <v>639198.34553458495</v>
      </c>
      <c r="AA25" s="39"/>
      <c r="AB25" s="72">
        <f t="shared" si="4"/>
        <v>0</v>
      </c>
      <c r="AC25" s="72">
        <f t="shared" si="21"/>
        <v>0</v>
      </c>
      <c r="AD25" s="39"/>
      <c r="AE25" s="72">
        <f t="shared" si="5"/>
        <v>260000</v>
      </c>
      <c r="AF25" s="72">
        <f t="shared" si="22"/>
        <v>187829.53191567821</v>
      </c>
      <c r="AG25" s="39"/>
      <c r="AH25" s="72">
        <f t="shared" si="6"/>
        <v>7000000.0000000009</v>
      </c>
      <c r="AI25" s="72">
        <f t="shared" si="23"/>
        <v>5056948.9361913372</v>
      </c>
      <c r="AJ25" s="39"/>
      <c r="AK25" s="72">
        <f t="shared" si="7"/>
        <v>5400000</v>
      </c>
      <c r="AL25" s="72">
        <f t="shared" si="24"/>
        <v>3901074.8936333167</v>
      </c>
      <c r="AM25" s="39"/>
      <c r="AN25" s="72">
        <f t="shared" si="8"/>
        <v>0</v>
      </c>
      <c r="AO25" s="72">
        <f t="shared" si="25"/>
        <v>0</v>
      </c>
      <c r="AP25" s="39"/>
      <c r="AQ25" s="72">
        <f t="shared" si="9"/>
        <v>1736000.0000000002</v>
      </c>
      <c r="AR25" s="72">
        <f t="shared" si="26"/>
        <v>1254123.3361754515</v>
      </c>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0</v>
      </c>
      <c r="AU25" s="39"/>
      <c r="AV25" s="72">
        <f t="shared" si="10"/>
        <v>0</v>
      </c>
      <c r="AW25" s="72">
        <f t="shared" si="27"/>
        <v>0</v>
      </c>
      <c r="AX25" s="39"/>
      <c r="AY25" s="40">
        <f>IF(ISERROR(IF($K25&lt;=$F$15,VLOOKUP($I25,'表4）CO2価格'!$A$7:$E$67,VLOOKUP($F$48,'表4）CO2価格'!$H$10:$I$12,2,0),0)*$F$8/1000,"")),0,IF($K25&lt;=$F$15,VLOOKUP($I25,'表4）CO2価格'!$A$7:$E$67,VLOOKUP($F$48,'表4）CO2価格'!$H$10:$I$12,2,0),0)*$F$8/1000,""))</f>
        <v>0</v>
      </c>
      <c r="AZ25" s="39"/>
      <c r="BA25" s="42">
        <f t="shared" si="11"/>
        <v>0</v>
      </c>
      <c r="BB25" s="72">
        <f t="shared" si="28"/>
        <v>0</v>
      </c>
      <c r="BC25" s="39"/>
      <c r="BD25" s="72">
        <f t="shared" si="12"/>
        <v>0</v>
      </c>
      <c r="BE25" s="72">
        <f t="shared" si="29"/>
        <v>0</v>
      </c>
      <c r="BF25" s="39"/>
      <c r="BG25" s="42">
        <f t="shared" si="13"/>
        <v>0</v>
      </c>
      <c r="BH25" s="72">
        <f t="shared" si="30"/>
        <v>0</v>
      </c>
      <c r="BI25" s="39"/>
      <c r="BJ25" s="40">
        <f t="shared" si="31"/>
        <v>0.47509279638758667</v>
      </c>
      <c r="BK25" s="157">
        <f t="shared" si="32"/>
        <v>7259798.0030394346</v>
      </c>
      <c r="BL25" s="157">
        <f t="shared" si="14"/>
        <v>499417.54756263108</v>
      </c>
      <c r="BM25" s="72"/>
      <c r="BN25" s="72">
        <f t="shared" si="33"/>
        <v>32951526.083335388</v>
      </c>
      <c r="BO25" s="72">
        <f t="shared" si="34"/>
        <v>23804883.539000567</v>
      </c>
      <c r="BP25" s="39"/>
      <c r="BQ25" s="72">
        <f t="shared" si="15"/>
        <v>1051200</v>
      </c>
      <c r="BR25" s="72">
        <f t="shared" si="35"/>
        <v>759409.24596061895</v>
      </c>
    </row>
    <row r="26" spans="3:70" x14ac:dyDescent="0.15">
      <c r="D26" s="84" t="s">
        <v>115</v>
      </c>
      <c r="F26" s="481">
        <v>260000</v>
      </c>
      <c r="G26" s="84" t="s">
        <v>565</v>
      </c>
      <c r="I26" s="457">
        <f t="shared" si="36"/>
        <v>2031</v>
      </c>
      <c r="J26" s="71"/>
      <c r="K26" s="71">
        <f t="shared" si="37"/>
        <v>12</v>
      </c>
      <c r="L26" s="71"/>
      <c r="M26" s="7">
        <f t="shared" si="0"/>
        <v>0.70137988019297326</v>
      </c>
      <c r="N26" s="71"/>
      <c r="O26" s="10">
        <f t="shared" si="16"/>
        <v>47538277.980762035</v>
      </c>
      <c r="P26" s="29">
        <f t="shared" si="1"/>
        <v>0.114</v>
      </c>
      <c r="Q26" s="71"/>
      <c r="R26" s="10">
        <f t="shared" si="17"/>
        <v>56920997.883030839</v>
      </c>
      <c r="S26" s="71"/>
      <c r="T26" s="10">
        <f t="shared" si="18"/>
        <v>56920000</v>
      </c>
      <c r="U26" s="71"/>
      <c r="V26" s="10">
        <f t="shared" si="2"/>
        <v>5419363.689806872</v>
      </c>
      <c r="W26" s="10">
        <f t="shared" si="19"/>
        <v>3801032.6554788933</v>
      </c>
      <c r="X26" s="71"/>
      <c r="Y26" s="10">
        <f t="shared" si="3"/>
        <v>796800</v>
      </c>
      <c r="Z26" s="10">
        <f t="shared" si="20"/>
        <v>558859.48853776115</v>
      </c>
      <c r="AA26" s="71"/>
      <c r="AB26" s="10">
        <f t="shared" si="4"/>
        <v>0</v>
      </c>
      <c r="AC26" s="10">
        <f t="shared" si="21"/>
        <v>0</v>
      </c>
      <c r="AD26" s="71"/>
      <c r="AE26" s="10">
        <f t="shared" si="5"/>
        <v>260000</v>
      </c>
      <c r="AF26" s="10">
        <f t="shared" si="22"/>
        <v>182358.76885017304</v>
      </c>
      <c r="AG26" s="71"/>
      <c r="AH26" s="10">
        <f t="shared" si="6"/>
        <v>7000000.0000000009</v>
      </c>
      <c r="AI26" s="10">
        <f t="shared" si="23"/>
        <v>4909659.1613508137</v>
      </c>
      <c r="AJ26" s="71"/>
      <c r="AK26" s="10">
        <f t="shared" si="7"/>
        <v>5400000</v>
      </c>
      <c r="AL26" s="10">
        <f t="shared" si="24"/>
        <v>3787451.3530420554</v>
      </c>
      <c r="AM26" s="71"/>
      <c r="AN26" s="10">
        <f t="shared" si="8"/>
        <v>0</v>
      </c>
      <c r="AO26" s="10">
        <f t="shared" si="25"/>
        <v>0</v>
      </c>
      <c r="AP26" s="71"/>
      <c r="AQ26" s="10">
        <f t="shared" si="9"/>
        <v>1736000.0000000002</v>
      </c>
      <c r="AR26" s="10">
        <f t="shared" si="26"/>
        <v>1217595.4720150018</v>
      </c>
      <c r="AS26" s="71"/>
      <c r="AT26" s="7">
        <f>IF($K26&lt;=$F$15,IF($F$40&lt;&gt;"",$F$40/1000,IF(ISERROR(VLOOKUP($F$3&amp;IF($G$4&lt;&gt;"",$G$4,"")&amp;IF($F$43&lt;&gt;"","_"&amp;$F$43,""),'表3）燃料価格'!$AF$9:$AG$25,2,0)),0,VLOOKUP($I26,'表3）燃料価格'!$A$6:$U$66,VLOOKUP($F$3&amp;IF($G$4&lt;&gt;"",$G$4,"")&amp;IF($F$43&lt;&gt;"","_"&amp;$F$43,""),'表3）燃料価格'!$AF$9:$AG$25,2,0)+VLOOKUP($F$41,'表3）燃料価格'!$AF$28:$AG$29,2,0),0)*IF($F$43="需要地価格",1,$F$8/$F$141))),"")</f>
        <v>0</v>
      </c>
      <c r="AU26" s="71"/>
      <c r="AV26" s="10">
        <f t="shared" si="10"/>
        <v>0</v>
      </c>
      <c r="AW26" s="10">
        <f t="shared" si="27"/>
        <v>0</v>
      </c>
      <c r="AX26" s="71"/>
      <c r="AY26" s="7">
        <f>IF(ISERROR(IF($K26&lt;=$F$15,VLOOKUP($I26,'表4）CO2価格'!$A$7:$E$67,VLOOKUP($F$48,'表4）CO2価格'!$H$10:$I$12,2,0),0)*$F$8/1000,"")),0,IF($K26&lt;=$F$15,VLOOKUP($I26,'表4）CO2価格'!$A$7:$E$67,VLOOKUP($F$48,'表4）CO2価格'!$H$10:$I$12,2,0),0)*$F$8/1000,""))</f>
        <v>0</v>
      </c>
      <c r="AZ26" s="71"/>
      <c r="BA26" s="11">
        <f t="shared" si="11"/>
        <v>0</v>
      </c>
      <c r="BB26" s="10">
        <f t="shared" si="28"/>
        <v>0</v>
      </c>
      <c r="BC26" s="71"/>
      <c r="BD26" s="10">
        <f t="shared" si="12"/>
        <v>0</v>
      </c>
      <c r="BE26" s="10">
        <f t="shared" si="29"/>
        <v>0</v>
      </c>
      <c r="BF26" s="71"/>
      <c r="BG26" s="11">
        <f t="shared" si="13"/>
        <v>0</v>
      </c>
      <c r="BH26" s="10">
        <f t="shared" si="30"/>
        <v>0</v>
      </c>
      <c r="BJ26" s="7">
        <f t="shared" si="31"/>
        <v>0.44401195924073528</v>
      </c>
      <c r="BK26" s="158">
        <f t="shared" si="32"/>
        <v>6745784.8943526428</v>
      </c>
      <c r="BL26" s="158">
        <f t="shared" si="14"/>
        <v>466745.3715538609</v>
      </c>
      <c r="BM26" s="10"/>
      <c r="BN26" s="10">
        <f t="shared" si="33"/>
        <v>32951526.083335388</v>
      </c>
      <c r="BO26" s="10">
        <f t="shared" si="34"/>
        <v>23111537.416505408</v>
      </c>
      <c r="BQ26" s="10">
        <f t="shared" si="15"/>
        <v>1051200</v>
      </c>
      <c r="BR26" s="10">
        <f t="shared" si="35"/>
        <v>737290.53005885344</v>
      </c>
    </row>
    <row r="27" spans="3:70" x14ac:dyDescent="0.15">
      <c r="D27" s="160" t="s">
        <v>86</v>
      </c>
      <c r="F27" s="498">
        <f>F117*5%/10^8</f>
        <v>0.09</v>
      </c>
      <c r="G27" s="84" t="s">
        <v>566</v>
      </c>
      <c r="I27" s="38">
        <f t="shared" si="36"/>
        <v>2032</v>
      </c>
      <c r="J27" s="39"/>
      <c r="K27" s="39">
        <f t="shared" si="37"/>
        <v>13</v>
      </c>
      <c r="L27" s="39"/>
      <c r="M27" s="40">
        <f t="shared" si="0"/>
        <v>0.68095133999317792</v>
      </c>
      <c r="N27" s="39"/>
      <c r="O27" s="72">
        <f t="shared" si="16"/>
        <v>42118914.290955164</v>
      </c>
      <c r="P27" s="41">
        <f t="shared" si="1"/>
        <v>0.114</v>
      </c>
      <c r="Q27" s="39"/>
      <c r="R27" s="72">
        <f t="shared" si="17"/>
        <v>51264645.631844439</v>
      </c>
      <c r="S27" s="39"/>
      <c r="T27" s="72">
        <f t="shared" si="18"/>
        <v>51264000</v>
      </c>
      <c r="U27" s="39"/>
      <c r="V27" s="72">
        <f t="shared" si="2"/>
        <v>4801556.2291688891</v>
      </c>
      <c r="W27" s="72">
        <f t="shared" si="19"/>
        <v>3269626.1483051456</v>
      </c>
      <c r="X27" s="39"/>
      <c r="Y27" s="72">
        <f t="shared" si="3"/>
        <v>717600</v>
      </c>
      <c r="Z27" s="72">
        <f t="shared" si="20"/>
        <v>488650.68157910445</v>
      </c>
      <c r="AA27" s="39"/>
      <c r="AB27" s="72">
        <f t="shared" si="4"/>
        <v>0</v>
      </c>
      <c r="AC27" s="72">
        <f t="shared" si="21"/>
        <v>0</v>
      </c>
      <c r="AD27" s="39"/>
      <c r="AE27" s="72">
        <f t="shared" si="5"/>
        <v>260000</v>
      </c>
      <c r="AF27" s="72">
        <f t="shared" si="22"/>
        <v>177047.34839822626</v>
      </c>
      <c r="AG27" s="39"/>
      <c r="AH27" s="72">
        <f t="shared" si="6"/>
        <v>7000000.0000000009</v>
      </c>
      <c r="AI27" s="72">
        <f t="shared" si="23"/>
        <v>4766659.3799522463</v>
      </c>
      <c r="AJ27" s="39"/>
      <c r="AK27" s="72">
        <f t="shared" si="7"/>
        <v>5400000</v>
      </c>
      <c r="AL27" s="72">
        <f t="shared" si="24"/>
        <v>3677137.2359631606</v>
      </c>
      <c r="AM27" s="39"/>
      <c r="AN27" s="72">
        <f t="shared" si="8"/>
        <v>0</v>
      </c>
      <c r="AO27" s="72">
        <f t="shared" si="25"/>
        <v>0</v>
      </c>
      <c r="AP27" s="39"/>
      <c r="AQ27" s="72">
        <f t="shared" si="9"/>
        <v>1736000.0000000002</v>
      </c>
      <c r="AR27" s="72">
        <f t="shared" si="26"/>
        <v>1182131.5262281571</v>
      </c>
      <c r="AS27" s="39"/>
      <c r="AT27" s="40">
        <f>IF($K27&lt;=$F$15,IF($F$40&lt;&gt;"",$F$40/1000,IF(ISERROR(VLOOKUP($F$3&amp;IF($G$4&lt;&gt;"",$G$4,"")&amp;IF($F$43&lt;&gt;"","_"&amp;$F$43,""),'表3）燃料価格'!$AF$9:$AG$25,2,0)),0,VLOOKUP($I27,'表3）燃料価格'!$A$6:$U$66,VLOOKUP($F$3&amp;IF($G$4&lt;&gt;"",$G$4,"")&amp;IF($F$43&lt;&gt;"","_"&amp;$F$43,""),'表3）燃料価格'!$AF$9:$AG$25,2,0)+VLOOKUP($F$41,'表3）燃料価格'!$AF$28:$AG$29,2,0),0)*IF($F$43="需要地価格",1,$F$8/$F$141))),"")</f>
        <v>0</v>
      </c>
      <c r="AU27" s="39"/>
      <c r="AV27" s="72">
        <f t="shared" si="10"/>
        <v>0</v>
      </c>
      <c r="AW27" s="72">
        <f t="shared" si="27"/>
        <v>0</v>
      </c>
      <c r="AX27" s="39"/>
      <c r="AY27" s="40">
        <f>IF(ISERROR(IF($K27&lt;=$F$15,VLOOKUP($I27,'表4）CO2価格'!$A$7:$E$67,VLOOKUP($F$48,'表4）CO2価格'!$H$10:$I$12,2,0),0)*$F$8/1000,"")),0,IF($K27&lt;=$F$15,VLOOKUP($I27,'表4）CO2価格'!$A$7:$E$67,VLOOKUP($F$48,'表4）CO2価格'!$H$10:$I$12,2,0),0)*$F$8/1000,""))</f>
        <v>0</v>
      </c>
      <c r="AZ27" s="39"/>
      <c r="BA27" s="42">
        <f t="shared" si="11"/>
        <v>0</v>
      </c>
      <c r="BB27" s="72">
        <f t="shared" si="28"/>
        <v>0</v>
      </c>
      <c r="BC27" s="39"/>
      <c r="BD27" s="72">
        <f t="shared" si="12"/>
        <v>0</v>
      </c>
      <c r="BE27" s="72">
        <f t="shared" si="29"/>
        <v>0</v>
      </c>
      <c r="BF27" s="39"/>
      <c r="BG27" s="42">
        <f t="shared" si="13"/>
        <v>0</v>
      </c>
      <c r="BH27" s="72">
        <f t="shared" si="30"/>
        <v>0</v>
      </c>
      <c r="BI27" s="39"/>
      <c r="BJ27" s="40">
        <f t="shared" si="31"/>
        <v>0.41496444788853759</v>
      </c>
      <c r="BK27" s="157">
        <f t="shared" si="32"/>
        <v>6271606.6796082016</v>
      </c>
      <c r="BL27" s="157">
        <f t="shared" si="14"/>
        <v>436210.62762043072</v>
      </c>
      <c r="BM27" s="72"/>
      <c r="BN27" s="72">
        <f t="shared" si="33"/>
        <v>32951526.083335388</v>
      </c>
      <c r="BO27" s="72">
        <f t="shared" si="34"/>
        <v>22438385.841267385</v>
      </c>
      <c r="BP27" s="39"/>
      <c r="BQ27" s="72">
        <f t="shared" si="15"/>
        <v>1051200</v>
      </c>
      <c r="BR27" s="72">
        <f t="shared" si="35"/>
        <v>715816.04860082862</v>
      </c>
    </row>
    <row r="28" spans="3:70" x14ac:dyDescent="0.15">
      <c r="D28" s="84" t="s">
        <v>116</v>
      </c>
      <c r="F28" s="481">
        <v>1</v>
      </c>
      <c r="G28" s="84" t="s">
        <v>556</v>
      </c>
      <c r="I28" s="457">
        <f t="shared" si="36"/>
        <v>2033</v>
      </c>
      <c r="J28" s="71"/>
      <c r="K28" s="71">
        <f t="shared" si="37"/>
        <v>14</v>
      </c>
      <c r="L28" s="71"/>
      <c r="M28" s="7">
        <f t="shared" si="0"/>
        <v>0.66111780581861923</v>
      </c>
      <c r="N28" s="71"/>
      <c r="O28" s="10">
        <f t="shared" si="16"/>
        <v>37317358.061786272</v>
      </c>
      <c r="P28" s="29">
        <f t="shared" si="1"/>
        <v>0.114</v>
      </c>
      <c r="Q28" s="71"/>
      <c r="R28" s="10">
        <f t="shared" si="17"/>
        <v>46170376.302240826</v>
      </c>
      <c r="S28" s="71"/>
      <c r="T28" s="10">
        <f t="shared" si="18"/>
        <v>46170000</v>
      </c>
      <c r="U28" s="71"/>
      <c r="V28" s="10">
        <f t="shared" si="2"/>
        <v>4254178.8190436354</v>
      </c>
      <c r="W28" s="10">
        <f t="shared" si="19"/>
        <v>2812513.366406173</v>
      </c>
      <c r="X28" s="71"/>
      <c r="Y28" s="10">
        <f t="shared" si="3"/>
        <v>646300</v>
      </c>
      <c r="Z28" s="10">
        <f t="shared" si="20"/>
        <v>427280.4379005736</v>
      </c>
      <c r="AA28" s="71"/>
      <c r="AB28" s="10">
        <f t="shared" si="4"/>
        <v>0</v>
      </c>
      <c r="AC28" s="10">
        <f t="shared" si="21"/>
        <v>0</v>
      </c>
      <c r="AD28" s="71"/>
      <c r="AE28" s="10">
        <f t="shared" si="5"/>
        <v>260000</v>
      </c>
      <c r="AF28" s="10">
        <f t="shared" si="22"/>
        <v>171890.629512841</v>
      </c>
      <c r="AG28" s="71"/>
      <c r="AH28" s="10">
        <f t="shared" si="6"/>
        <v>7000000.0000000009</v>
      </c>
      <c r="AI28" s="10">
        <f t="shared" si="23"/>
        <v>4627824.6407303354</v>
      </c>
      <c r="AJ28" s="71"/>
      <c r="AK28" s="10">
        <f t="shared" si="7"/>
        <v>5400000</v>
      </c>
      <c r="AL28" s="10">
        <f t="shared" si="24"/>
        <v>3570036.1514205439</v>
      </c>
      <c r="AM28" s="71"/>
      <c r="AN28" s="10">
        <f t="shared" si="8"/>
        <v>0</v>
      </c>
      <c r="AO28" s="10">
        <f t="shared" si="25"/>
        <v>0</v>
      </c>
      <c r="AP28" s="71"/>
      <c r="AQ28" s="10">
        <f t="shared" si="9"/>
        <v>1736000.0000000002</v>
      </c>
      <c r="AR28" s="10">
        <f t="shared" si="26"/>
        <v>1147700.5109011231</v>
      </c>
      <c r="AS28" s="71"/>
      <c r="AT28" s="7">
        <f>IF($K28&lt;=$F$15,IF($F$40&lt;&gt;"",$F$40/1000,IF(ISERROR(VLOOKUP($F$3&amp;IF($G$4&lt;&gt;"",$G$4,"")&amp;IF($F$43&lt;&gt;"","_"&amp;$F$43,""),'表3）燃料価格'!$AF$9:$AG$25,2,0)),0,VLOOKUP($I28,'表3）燃料価格'!$A$6:$U$66,VLOOKUP($F$3&amp;IF($G$4&lt;&gt;"",$G$4,"")&amp;IF($F$43&lt;&gt;"","_"&amp;$F$43,""),'表3）燃料価格'!$AF$9:$AG$25,2,0)+VLOOKUP($F$41,'表3）燃料価格'!$AF$28:$AG$29,2,0),0)*IF($F$43="需要地価格",1,$F$8/$F$141))),"")</f>
        <v>0</v>
      </c>
      <c r="AU28" s="71"/>
      <c r="AV28" s="10">
        <f t="shared" si="10"/>
        <v>0</v>
      </c>
      <c r="AW28" s="10">
        <f t="shared" si="27"/>
        <v>0</v>
      </c>
      <c r="AX28" s="71"/>
      <c r="AY28" s="7">
        <f>IF(ISERROR(IF($K28&lt;=$F$15,VLOOKUP($I28,'表4）CO2価格'!$A$7:$E$67,VLOOKUP($F$48,'表4）CO2価格'!$H$10:$I$12,2,0),0)*$F$8/1000,"")),0,IF($K28&lt;=$F$15,VLOOKUP($I28,'表4）CO2価格'!$A$7:$E$67,VLOOKUP($F$48,'表4）CO2価格'!$H$10:$I$12,2,0),0)*$F$8/1000,""))</f>
        <v>0</v>
      </c>
      <c r="AZ28" s="71"/>
      <c r="BA28" s="11">
        <f t="shared" si="11"/>
        <v>0</v>
      </c>
      <c r="BB28" s="10">
        <f t="shared" si="28"/>
        <v>0</v>
      </c>
      <c r="BC28" s="71"/>
      <c r="BD28" s="10">
        <f t="shared" si="12"/>
        <v>0</v>
      </c>
      <c r="BE28" s="10">
        <f t="shared" si="29"/>
        <v>0</v>
      </c>
      <c r="BF28" s="71"/>
      <c r="BG28" s="11">
        <f t="shared" si="13"/>
        <v>0</v>
      </c>
      <c r="BH28" s="10">
        <f t="shared" si="30"/>
        <v>0</v>
      </c>
      <c r="BJ28" s="7">
        <f t="shared" si="31"/>
        <v>0.3878172410173249</v>
      </c>
      <c r="BK28" s="158">
        <f t="shared" si="32"/>
        <v>5833663.2845549062</v>
      </c>
      <c r="BL28" s="158">
        <f t="shared" si="14"/>
        <v>407673.48375741194</v>
      </c>
      <c r="BM28" s="10"/>
      <c r="BN28" s="10">
        <f t="shared" si="33"/>
        <v>32951526.083335388</v>
      </c>
      <c r="BO28" s="10">
        <f t="shared" si="34"/>
        <v>21784840.622589692</v>
      </c>
      <c r="BQ28" s="10">
        <f t="shared" si="15"/>
        <v>1051200</v>
      </c>
      <c r="BR28" s="10">
        <f t="shared" si="35"/>
        <v>694967.03747653251</v>
      </c>
    </row>
    <row r="29" spans="3:70" x14ac:dyDescent="0.15">
      <c r="D29" s="84" t="s">
        <v>567</v>
      </c>
      <c r="F29" s="481"/>
      <c r="G29" s="84" t="s">
        <v>566</v>
      </c>
      <c r="I29" s="38">
        <f t="shared" si="36"/>
        <v>2034</v>
      </c>
      <c r="J29" s="39"/>
      <c r="K29" s="39">
        <f t="shared" si="37"/>
        <v>15</v>
      </c>
      <c r="L29" s="39"/>
      <c r="M29" s="40">
        <f t="shared" si="0"/>
        <v>0.64186194739671765</v>
      </c>
      <c r="N29" s="39"/>
      <c r="O29" s="72">
        <f t="shared" si="16"/>
        <v>33063179.242742635</v>
      </c>
      <c r="P29" s="41">
        <f t="shared" si="1"/>
        <v>0.125</v>
      </c>
      <c r="Q29" s="39"/>
      <c r="R29" s="72">
        <f t="shared" si="17"/>
        <v>41582334.601496883</v>
      </c>
      <c r="S29" s="39"/>
      <c r="T29" s="72">
        <f t="shared" si="18"/>
        <v>41582000</v>
      </c>
      <c r="U29" s="39"/>
      <c r="V29" s="72">
        <f t="shared" si="2"/>
        <v>4132897.4053428294</v>
      </c>
      <c r="W29" s="72">
        <f t="shared" si="19"/>
        <v>2652749.5769841899</v>
      </c>
      <c r="X29" s="39"/>
      <c r="Y29" s="72">
        <f t="shared" si="3"/>
        <v>582100</v>
      </c>
      <c r="Z29" s="72">
        <f t="shared" si="20"/>
        <v>373627.83957962936</v>
      </c>
      <c r="AA29" s="39"/>
      <c r="AB29" s="72">
        <f t="shared" si="4"/>
        <v>0</v>
      </c>
      <c r="AC29" s="72">
        <f t="shared" si="21"/>
        <v>0</v>
      </c>
      <c r="AD29" s="39"/>
      <c r="AE29" s="72">
        <f t="shared" si="5"/>
        <v>260000</v>
      </c>
      <c r="AF29" s="72">
        <f t="shared" si="22"/>
        <v>166884.10632314658</v>
      </c>
      <c r="AG29" s="39"/>
      <c r="AH29" s="72">
        <f t="shared" si="6"/>
        <v>7000000.0000000009</v>
      </c>
      <c r="AI29" s="72">
        <f t="shared" si="23"/>
        <v>4493033.6317770239</v>
      </c>
      <c r="AJ29" s="39"/>
      <c r="AK29" s="72">
        <f t="shared" si="7"/>
        <v>5400000</v>
      </c>
      <c r="AL29" s="72">
        <f t="shared" si="24"/>
        <v>3466054.5159422755</v>
      </c>
      <c r="AM29" s="39"/>
      <c r="AN29" s="72">
        <f t="shared" si="8"/>
        <v>0</v>
      </c>
      <c r="AO29" s="72">
        <f t="shared" si="25"/>
        <v>0</v>
      </c>
      <c r="AP29" s="39"/>
      <c r="AQ29" s="72">
        <f t="shared" si="9"/>
        <v>1736000.0000000002</v>
      </c>
      <c r="AR29" s="72">
        <f t="shared" si="26"/>
        <v>1114272.3406807019</v>
      </c>
      <c r="AS29" s="39"/>
      <c r="AT29" s="40">
        <f>IF($K29&lt;=$F$15,IF($F$40&lt;&gt;"",$F$40/1000,IF(ISERROR(VLOOKUP($F$3&amp;IF($G$4&lt;&gt;"",$G$4,"")&amp;IF($F$43&lt;&gt;"","_"&amp;$F$43,""),'表3）燃料価格'!$AF$9:$AG$25,2,0)),0,VLOOKUP($I29,'表3）燃料価格'!$A$6:$U$66,VLOOKUP($F$3&amp;IF($G$4&lt;&gt;"",$G$4,"")&amp;IF($F$43&lt;&gt;"","_"&amp;$F$43,""),'表3）燃料価格'!$AF$9:$AG$25,2,0)+VLOOKUP($F$41,'表3）燃料価格'!$AF$28:$AG$29,2,0),0)*IF($F$43="需要地価格",1,$F$8/$F$141))),"")</f>
        <v>0</v>
      </c>
      <c r="AU29" s="39"/>
      <c r="AV29" s="72">
        <f t="shared" si="10"/>
        <v>0</v>
      </c>
      <c r="AW29" s="72">
        <f t="shared" si="27"/>
        <v>0</v>
      </c>
      <c r="AX29" s="39"/>
      <c r="AY29" s="40">
        <f>IF(ISERROR(IF($K29&lt;=$F$15,VLOOKUP($I29,'表4）CO2価格'!$A$7:$E$67,VLOOKUP($F$48,'表4）CO2価格'!$H$10:$I$12,2,0),0)*$F$8/1000,"")),0,IF($K29&lt;=$F$15,VLOOKUP($I29,'表4）CO2価格'!$A$7:$E$67,VLOOKUP($F$48,'表4）CO2価格'!$H$10:$I$12,2,0),0)*$F$8/1000,""))</f>
        <v>0</v>
      </c>
      <c r="AZ29" s="39"/>
      <c r="BA29" s="42">
        <f t="shared" si="11"/>
        <v>0</v>
      </c>
      <c r="BB29" s="72">
        <f t="shared" si="28"/>
        <v>0</v>
      </c>
      <c r="BC29" s="39"/>
      <c r="BD29" s="72">
        <f t="shared" si="12"/>
        <v>0</v>
      </c>
      <c r="BE29" s="72">
        <f t="shared" si="29"/>
        <v>0</v>
      </c>
      <c r="BF29" s="39"/>
      <c r="BG29" s="42">
        <f t="shared" si="13"/>
        <v>0</v>
      </c>
      <c r="BH29" s="72">
        <f t="shared" si="30"/>
        <v>0</v>
      </c>
      <c r="BI29" s="39"/>
      <c r="BJ29" s="40">
        <f t="shared" si="31"/>
        <v>0.36244601964235967</v>
      </c>
      <c r="BK29" s="157">
        <f t="shared" si="32"/>
        <v>5428752.7268052278</v>
      </c>
      <c r="BL29" s="157">
        <f t="shared" si="14"/>
        <v>381003.25584804849</v>
      </c>
      <c r="BM29" s="72"/>
      <c r="BN29" s="72">
        <f t="shared" si="33"/>
        <v>32951526.083335388</v>
      </c>
      <c r="BO29" s="72">
        <f t="shared" si="34"/>
        <v>21150330.701543387</v>
      </c>
      <c r="BP29" s="39"/>
      <c r="BQ29" s="72">
        <f t="shared" si="15"/>
        <v>1051200</v>
      </c>
      <c r="BR29" s="72">
        <f t="shared" si="35"/>
        <v>674725.27910342964</v>
      </c>
    </row>
    <row r="30" spans="3:70" x14ac:dyDescent="0.15">
      <c r="I30" s="457">
        <f t="shared" si="36"/>
        <v>2035</v>
      </c>
      <c r="J30" s="71"/>
      <c r="K30" s="71">
        <f t="shared" si="37"/>
        <v>16</v>
      </c>
      <c r="L30" s="71"/>
      <c r="M30" s="7">
        <f t="shared" si="0"/>
        <v>0.62316693922011435</v>
      </c>
      <c r="N30" s="71"/>
      <c r="O30" s="10">
        <f t="shared" si="16"/>
        <v>28930281.837399807</v>
      </c>
      <c r="P30" s="29" t="str">
        <f t="shared" si="1"/>
        <v>-</v>
      </c>
      <c r="Q30" s="71"/>
      <c r="R30" s="10">
        <f t="shared" si="17"/>
        <v>37450215.687909082</v>
      </c>
      <c r="S30" s="71"/>
      <c r="T30" s="10">
        <f t="shared" si="18"/>
        <v>37450000</v>
      </c>
      <c r="U30" s="71"/>
      <c r="V30" s="10">
        <f t="shared" si="2"/>
        <v>4132897.4053428294</v>
      </c>
      <c r="W30" s="10">
        <f t="shared" si="19"/>
        <v>2575485.0261982433</v>
      </c>
      <c r="X30" s="71"/>
      <c r="Y30" s="10">
        <f t="shared" si="3"/>
        <v>524300</v>
      </c>
      <c r="Z30" s="10">
        <f t="shared" si="20"/>
        <v>326726.42623310594</v>
      </c>
      <c r="AA30" s="71"/>
      <c r="AB30" s="10">
        <f t="shared" si="4"/>
        <v>0</v>
      </c>
      <c r="AC30" s="10">
        <f t="shared" si="21"/>
        <v>0</v>
      </c>
      <c r="AD30" s="71"/>
      <c r="AE30" s="10">
        <f t="shared" si="5"/>
        <v>260000</v>
      </c>
      <c r="AF30" s="10">
        <f t="shared" si="22"/>
        <v>162023.40419722974</v>
      </c>
      <c r="AG30" s="71"/>
      <c r="AH30" s="10">
        <f t="shared" si="6"/>
        <v>7000000.0000000009</v>
      </c>
      <c r="AI30" s="10">
        <f t="shared" si="23"/>
        <v>4362168.5745408013</v>
      </c>
      <c r="AJ30" s="71"/>
      <c r="AK30" s="10">
        <f t="shared" si="7"/>
        <v>5400000</v>
      </c>
      <c r="AL30" s="10">
        <f t="shared" si="24"/>
        <v>3365101.4717886173</v>
      </c>
      <c r="AM30" s="71"/>
      <c r="AN30" s="10">
        <f t="shared" si="8"/>
        <v>0</v>
      </c>
      <c r="AO30" s="10">
        <f t="shared" si="25"/>
        <v>0</v>
      </c>
      <c r="AP30" s="71"/>
      <c r="AQ30" s="10">
        <f t="shared" si="9"/>
        <v>1736000.0000000002</v>
      </c>
      <c r="AR30" s="10">
        <f t="shared" si="26"/>
        <v>1081817.8064861186</v>
      </c>
      <c r="AS30" s="71"/>
      <c r="AT30" s="7">
        <f>IF($K30&lt;=$F$15,IF($F$40&lt;&gt;"",$F$40/1000,IF(ISERROR(VLOOKUP($F$3&amp;IF($G$4&lt;&gt;"",$G$4,"")&amp;IF($F$43&lt;&gt;"","_"&amp;$F$43,""),'表3）燃料価格'!$AF$9:$AG$25,2,0)),0,VLOOKUP($I30,'表3）燃料価格'!$A$6:$U$66,VLOOKUP($F$3&amp;IF($G$4&lt;&gt;"",$G$4,"")&amp;IF($F$43&lt;&gt;"","_"&amp;$F$43,""),'表3）燃料価格'!$AF$9:$AG$25,2,0)+VLOOKUP($F$41,'表3）燃料価格'!$AF$28:$AG$29,2,0),0)*IF($F$43="需要地価格",1,$F$8/$F$141))),"")</f>
        <v>0</v>
      </c>
      <c r="AU30" s="71"/>
      <c r="AV30" s="10">
        <f t="shared" si="10"/>
        <v>0</v>
      </c>
      <c r="AW30" s="10">
        <f t="shared" si="27"/>
        <v>0</v>
      </c>
      <c r="AX30" s="71"/>
      <c r="AY30" s="7">
        <f>IF(ISERROR(IF($K30&lt;=$F$15,VLOOKUP($I30,'表4）CO2価格'!$A$7:$E$67,VLOOKUP($F$48,'表4）CO2価格'!$H$10:$I$12,2,0),0)*$F$8/1000,"")),0,IF($K30&lt;=$F$15,VLOOKUP($I30,'表4）CO2価格'!$A$7:$E$67,VLOOKUP($F$48,'表4）CO2価格'!$H$10:$I$12,2,0),0)*$F$8/1000,""))</f>
        <v>0</v>
      </c>
      <c r="AZ30" s="71"/>
      <c r="BA30" s="11">
        <f t="shared" si="11"/>
        <v>0</v>
      </c>
      <c r="BB30" s="10">
        <f t="shared" si="28"/>
        <v>0</v>
      </c>
      <c r="BC30" s="71"/>
      <c r="BD30" s="10">
        <f t="shared" si="12"/>
        <v>0</v>
      </c>
      <c r="BE30" s="10">
        <f t="shared" si="29"/>
        <v>0</v>
      </c>
      <c r="BF30" s="71"/>
      <c r="BG30" s="11">
        <f t="shared" si="13"/>
        <v>0</v>
      </c>
      <c r="BH30" s="10">
        <f t="shared" si="30"/>
        <v>0</v>
      </c>
      <c r="BJ30" s="7">
        <f t="shared" si="31"/>
        <v>0.33873459779659787</v>
      </c>
      <c r="BK30" s="158">
        <f t="shared" si="32"/>
        <v>5054021.8195045795</v>
      </c>
      <c r="BL30" s="158">
        <f t="shared" si="14"/>
        <v>356077.80920378369</v>
      </c>
      <c r="BM30" s="10"/>
      <c r="BN30" s="10">
        <f t="shared" si="33"/>
        <v>32951526.083335388</v>
      </c>
      <c r="BO30" s="10">
        <f t="shared" si="34"/>
        <v>20534301.651983876</v>
      </c>
      <c r="BQ30" s="10">
        <f t="shared" si="15"/>
        <v>1051200</v>
      </c>
      <c r="BR30" s="10">
        <f t="shared" si="35"/>
        <v>655073.08650818421</v>
      </c>
    </row>
    <row r="31" spans="3:70" x14ac:dyDescent="0.15">
      <c r="C31" s="4" t="s">
        <v>568</v>
      </c>
      <c r="D31" s="100"/>
      <c r="E31" s="100"/>
      <c r="F31" s="4"/>
      <c r="G31" s="100"/>
      <c r="I31" s="38">
        <f t="shared" si="36"/>
        <v>2036</v>
      </c>
      <c r="J31" s="39"/>
      <c r="K31" s="39">
        <f t="shared" si="37"/>
        <v>17</v>
      </c>
      <c r="L31" s="39"/>
      <c r="M31" s="40">
        <f t="shared" si="0"/>
        <v>0.60501644584477121</v>
      </c>
      <c r="N31" s="39"/>
      <c r="O31" s="72">
        <f t="shared" si="16"/>
        <v>24797384.432056978</v>
      </c>
      <c r="P31" s="41" t="str">
        <f t="shared" si="1"/>
        <v>-</v>
      </c>
      <c r="Q31" s="39"/>
      <c r="R31" s="72">
        <f t="shared" si="17"/>
        <v>33728713.611486919</v>
      </c>
      <c r="S31" s="39"/>
      <c r="T31" s="72">
        <f t="shared" si="18"/>
        <v>33728000</v>
      </c>
      <c r="U31" s="39"/>
      <c r="V31" s="72">
        <f t="shared" si="2"/>
        <v>4132897.4053428294</v>
      </c>
      <c r="W31" s="72">
        <f t="shared" si="19"/>
        <v>2500470.8992215954</v>
      </c>
      <c r="X31" s="39"/>
      <c r="Y31" s="72">
        <f t="shared" si="3"/>
        <v>472100</v>
      </c>
      <c r="Z31" s="72">
        <f t="shared" si="20"/>
        <v>285628.26408331649</v>
      </c>
      <c r="AA31" s="39"/>
      <c r="AB31" s="72">
        <f t="shared" si="4"/>
        <v>0</v>
      </c>
      <c r="AC31" s="72">
        <f t="shared" si="21"/>
        <v>0</v>
      </c>
      <c r="AD31" s="39"/>
      <c r="AE31" s="72">
        <f t="shared" si="5"/>
        <v>260000</v>
      </c>
      <c r="AF31" s="72">
        <f t="shared" si="22"/>
        <v>157304.27591964052</v>
      </c>
      <c r="AG31" s="39"/>
      <c r="AH31" s="72">
        <f t="shared" si="6"/>
        <v>7000000.0000000009</v>
      </c>
      <c r="AI31" s="72">
        <f t="shared" si="23"/>
        <v>4235115.1209133994</v>
      </c>
      <c r="AJ31" s="39"/>
      <c r="AK31" s="72">
        <f t="shared" si="7"/>
        <v>5400000</v>
      </c>
      <c r="AL31" s="72">
        <f t="shared" si="24"/>
        <v>3267088.8075617645</v>
      </c>
      <c r="AM31" s="39"/>
      <c r="AN31" s="72">
        <f t="shared" si="8"/>
        <v>0</v>
      </c>
      <c r="AO31" s="72">
        <f t="shared" si="25"/>
        <v>0</v>
      </c>
      <c r="AP31" s="39"/>
      <c r="AQ31" s="72">
        <f t="shared" si="9"/>
        <v>1736000.0000000002</v>
      </c>
      <c r="AR31" s="72">
        <f t="shared" si="26"/>
        <v>1050308.5499865229</v>
      </c>
      <c r="AS31" s="39"/>
      <c r="AT31" s="40">
        <f>IF($K31&lt;=$F$15,IF($F$40&lt;&gt;"",$F$40/1000,IF(ISERROR(VLOOKUP($F$3&amp;IF($G$4&lt;&gt;"",$G$4,"")&amp;IF($F$43&lt;&gt;"","_"&amp;$F$43,""),'表3）燃料価格'!$AF$9:$AG$25,2,0)),0,VLOOKUP($I31,'表3）燃料価格'!$A$6:$U$66,VLOOKUP($F$3&amp;IF($G$4&lt;&gt;"",$G$4,"")&amp;IF($F$43&lt;&gt;"","_"&amp;$F$43,""),'表3）燃料価格'!$AF$9:$AG$25,2,0)+VLOOKUP($F$41,'表3）燃料価格'!$AF$28:$AG$29,2,0),0)*IF($F$43="需要地価格",1,$F$8/$F$141))),"")</f>
        <v>0</v>
      </c>
      <c r="AU31" s="39"/>
      <c r="AV31" s="72">
        <f t="shared" si="10"/>
        <v>0</v>
      </c>
      <c r="AW31" s="72">
        <f t="shared" si="27"/>
        <v>0</v>
      </c>
      <c r="AX31" s="39"/>
      <c r="AY31" s="40">
        <f>IF(ISERROR(IF($K31&lt;=$F$15,VLOOKUP($I31,'表4）CO2価格'!$A$7:$E$67,VLOOKUP($F$48,'表4）CO2価格'!$H$10:$I$12,2,0),0)*$F$8/1000,"")),0,IF($K31&lt;=$F$15,VLOOKUP($I31,'表4）CO2価格'!$A$7:$E$67,VLOOKUP($F$48,'表4）CO2価格'!$H$10:$I$12,2,0),0)*$F$8/1000,""))</f>
        <v>0</v>
      </c>
      <c r="AZ31" s="39"/>
      <c r="BA31" s="42">
        <f t="shared" si="11"/>
        <v>0</v>
      </c>
      <c r="BB31" s="72">
        <f t="shared" si="28"/>
        <v>0</v>
      </c>
      <c r="BC31" s="39"/>
      <c r="BD31" s="72">
        <f t="shared" si="12"/>
        <v>0</v>
      </c>
      <c r="BE31" s="72">
        <f t="shared" si="29"/>
        <v>0</v>
      </c>
      <c r="BF31" s="39"/>
      <c r="BG31" s="42">
        <f t="shared" si="13"/>
        <v>0</v>
      </c>
      <c r="BH31" s="72">
        <f t="shared" si="30"/>
        <v>0</v>
      </c>
      <c r="BI31" s="39"/>
      <c r="BJ31" s="40">
        <f t="shared" si="31"/>
        <v>0.31657439046411018</v>
      </c>
      <c r="BK31" s="157">
        <f t="shared" si="32"/>
        <v>4706859.6948594367</v>
      </c>
      <c r="BL31" s="157">
        <f t="shared" si="14"/>
        <v>332782.99925587262</v>
      </c>
      <c r="BM31" s="72"/>
      <c r="BN31" s="72">
        <f t="shared" si="33"/>
        <v>32951526.083335388</v>
      </c>
      <c r="BO31" s="72">
        <f t="shared" si="34"/>
        <v>19936215.19610085</v>
      </c>
      <c r="BP31" s="39"/>
      <c r="BQ31" s="72">
        <f t="shared" si="15"/>
        <v>1051200</v>
      </c>
      <c r="BR31" s="72">
        <f t="shared" si="35"/>
        <v>635993.28787202353</v>
      </c>
    </row>
    <row r="32" spans="3:70" x14ac:dyDescent="0.15">
      <c r="I32" s="457">
        <f t="shared" si="36"/>
        <v>2037</v>
      </c>
      <c r="J32" s="71"/>
      <c r="K32" s="71">
        <f t="shared" si="37"/>
        <v>18</v>
      </c>
      <c r="L32" s="71"/>
      <c r="M32" s="7">
        <f t="shared" si="0"/>
        <v>0.5873946076162827</v>
      </c>
      <c r="N32" s="71"/>
      <c r="O32" s="10">
        <f t="shared" si="16"/>
        <v>20664487.02671415</v>
      </c>
      <c r="P32" s="29" t="str">
        <f t="shared" si="1"/>
        <v>-</v>
      </c>
      <c r="Q32" s="71"/>
      <c r="R32" s="10">
        <f t="shared" si="17"/>
        <v>30377024.564186666</v>
      </c>
      <c r="S32" s="71"/>
      <c r="T32" s="10">
        <f t="shared" si="18"/>
        <v>30377000</v>
      </c>
      <c r="U32" s="71"/>
      <c r="V32" s="10">
        <f t="shared" si="2"/>
        <v>4132897.4053428294</v>
      </c>
      <c r="W32" s="10">
        <f t="shared" si="19"/>
        <v>2427641.649729704</v>
      </c>
      <c r="X32" s="71"/>
      <c r="Y32" s="10">
        <f t="shared" si="3"/>
        <v>425200</v>
      </c>
      <c r="Z32" s="10">
        <f t="shared" si="20"/>
        <v>249760.18715844341</v>
      </c>
      <c r="AA32" s="71"/>
      <c r="AB32" s="10">
        <f t="shared" si="4"/>
        <v>0</v>
      </c>
      <c r="AC32" s="10">
        <f t="shared" si="21"/>
        <v>0</v>
      </c>
      <c r="AD32" s="71"/>
      <c r="AE32" s="10">
        <f t="shared" si="5"/>
        <v>260000</v>
      </c>
      <c r="AF32" s="10">
        <f t="shared" si="22"/>
        <v>152722.59798023349</v>
      </c>
      <c r="AG32" s="71"/>
      <c r="AH32" s="10">
        <f t="shared" si="6"/>
        <v>7000000.0000000009</v>
      </c>
      <c r="AI32" s="10">
        <f t="shared" si="23"/>
        <v>4111762.2533139796</v>
      </c>
      <c r="AJ32" s="71"/>
      <c r="AK32" s="10">
        <f t="shared" si="7"/>
        <v>5400000</v>
      </c>
      <c r="AL32" s="10">
        <f t="shared" si="24"/>
        <v>3171930.8811279265</v>
      </c>
      <c r="AM32" s="71"/>
      <c r="AN32" s="10">
        <f t="shared" si="8"/>
        <v>0</v>
      </c>
      <c r="AO32" s="10">
        <f t="shared" si="25"/>
        <v>0</v>
      </c>
      <c r="AP32" s="71"/>
      <c r="AQ32" s="10">
        <f t="shared" si="9"/>
        <v>1736000.0000000002</v>
      </c>
      <c r="AR32" s="10">
        <f t="shared" si="26"/>
        <v>1019717.038821867</v>
      </c>
      <c r="AS32" s="71"/>
      <c r="AT32" s="7">
        <f>IF($K32&lt;=$F$15,IF($F$40&lt;&gt;"",$F$40/1000,IF(ISERROR(VLOOKUP($F$3&amp;IF($G$4&lt;&gt;"",$G$4,"")&amp;IF($F$43&lt;&gt;"","_"&amp;$F$43,""),'表3）燃料価格'!$AF$9:$AG$25,2,0)),0,VLOOKUP($I32,'表3）燃料価格'!$A$6:$U$66,VLOOKUP($F$3&amp;IF($G$4&lt;&gt;"",$G$4,"")&amp;IF($F$43&lt;&gt;"","_"&amp;$F$43,""),'表3）燃料価格'!$AF$9:$AG$25,2,0)+VLOOKUP($F$41,'表3）燃料価格'!$AF$28:$AG$29,2,0),0)*IF($F$43="需要地価格",1,$F$8/$F$141))),"")</f>
        <v>0</v>
      </c>
      <c r="AU32" s="71"/>
      <c r="AV32" s="10">
        <f t="shared" si="10"/>
        <v>0</v>
      </c>
      <c r="AW32" s="10">
        <f t="shared" si="27"/>
        <v>0</v>
      </c>
      <c r="AX32" s="71"/>
      <c r="AY32" s="7">
        <f>IF(ISERROR(IF($K32&lt;=$F$15,VLOOKUP($I32,'表4）CO2価格'!$A$7:$E$67,VLOOKUP($F$48,'表4）CO2価格'!$H$10:$I$12,2,0),0)*$F$8/1000,"")),0,IF($K32&lt;=$F$15,VLOOKUP($I32,'表4）CO2価格'!$A$7:$E$67,VLOOKUP($F$48,'表4）CO2価格'!$H$10:$I$12,2,0),0)*$F$8/1000,""))</f>
        <v>0</v>
      </c>
      <c r="AZ32" s="71"/>
      <c r="BA32" s="11">
        <f t="shared" si="11"/>
        <v>0</v>
      </c>
      <c r="BB32" s="10">
        <f t="shared" si="28"/>
        <v>0</v>
      </c>
      <c r="BC32" s="71"/>
      <c r="BD32" s="10">
        <f t="shared" si="12"/>
        <v>0</v>
      </c>
      <c r="BE32" s="10">
        <f t="shared" si="29"/>
        <v>0</v>
      </c>
      <c r="BF32" s="71"/>
      <c r="BG32" s="11">
        <f t="shared" si="13"/>
        <v>0</v>
      </c>
      <c r="BH32" s="10">
        <f t="shared" si="30"/>
        <v>0</v>
      </c>
      <c r="BJ32" s="7">
        <f t="shared" si="31"/>
        <v>0.29586391632159825</v>
      </c>
      <c r="BK32" s="158">
        <f t="shared" si="32"/>
        <v>4385058.2765856721</v>
      </c>
      <c r="BL32" s="158">
        <f t="shared" si="14"/>
        <v>311012.1488372641</v>
      </c>
      <c r="BM32" s="10"/>
      <c r="BN32" s="10">
        <f t="shared" si="33"/>
        <v>32951526.083335388</v>
      </c>
      <c r="BO32" s="10">
        <f t="shared" si="34"/>
        <v>19355548.734078497</v>
      </c>
      <c r="BQ32" s="10">
        <f t="shared" si="15"/>
        <v>1051200</v>
      </c>
      <c r="BR32" s="10">
        <f t="shared" si="35"/>
        <v>617469.21152623638</v>
      </c>
    </row>
    <row r="33" spans="3:70" x14ac:dyDescent="0.15">
      <c r="D33" s="84" t="s">
        <v>636</v>
      </c>
      <c r="F33" s="475">
        <v>7.0000000000000007E-2</v>
      </c>
      <c r="G33" s="84" t="s">
        <v>637</v>
      </c>
      <c r="I33" s="38">
        <f t="shared" si="36"/>
        <v>2038</v>
      </c>
      <c r="J33" s="39"/>
      <c r="K33" s="39">
        <f t="shared" si="37"/>
        <v>19</v>
      </c>
      <c r="L33" s="39"/>
      <c r="M33" s="40">
        <f t="shared" si="0"/>
        <v>0.57028602681192497</v>
      </c>
      <c r="N33" s="39"/>
      <c r="O33" s="72">
        <f t="shared" si="16"/>
        <v>16531589.621371321</v>
      </c>
      <c r="P33" s="41" t="str">
        <f t="shared" si="1"/>
        <v>-</v>
      </c>
      <c r="Q33" s="39"/>
      <c r="R33" s="72">
        <f t="shared" si="17"/>
        <v>27358399.493152812</v>
      </c>
      <c r="S33" s="39"/>
      <c r="T33" s="72">
        <f t="shared" si="18"/>
        <v>27358000</v>
      </c>
      <c r="U33" s="39"/>
      <c r="V33" s="72">
        <f t="shared" si="2"/>
        <v>4132897.4053428294</v>
      </c>
      <c r="W33" s="72">
        <f t="shared" si="19"/>
        <v>2356933.640514276</v>
      </c>
      <c r="X33" s="39"/>
      <c r="Y33" s="72">
        <f t="shared" si="3"/>
        <v>383000</v>
      </c>
      <c r="Z33" s="72">
        <f t="shared" si="20"/>
        <v>218419.54826896728</v>
      </c>
      <c r="AA33" s="39"/>
      <c r="AB33" s="72">
        <f t="shared" si="4"/>
        <v>0</v>
      </c>
      <c r="AC33" s="72">
        <f t="shared" si="21"/>
        <v>0</v>
      </c>
      <c r="AD33" s="39"/>
      <c r="AE33" s="72">
        <f t="shared" si="5"/>
        <v>260000</v>
      </c>
      <c r="AF33" s="72">
        <f t="shared" si="22"/>
        <v>148274.36697110051</v>
      </c>
      <c r="AG33" s="39"/>
      <c r="AH33" s="72">
        <f t="shared" si="6"/>
        <v>7000000.0000000009</v>
      </c>
      <c r="AI33" s="72">
        <f t="shared" si="23"/>
        <v>3992002.1876834752</v>
      </c>
      <c r="AJ33" s="39"/>
      <c r="AK33" s="72">
        <f t="shared" si="7"/>
        <v>5400000</v>
      </c>
      <c r="AL33" s="72">
        <f t="shared" si="24"/>
        <v>3079544.544784395</v>
      </c>
      <c r="AM33" s="39"/>
      <c r="AN33" s="72">
        <f t="shared" si="8"/>
        <v>0</v>
      </c>
      <c r="AO33" s="72">
        <f t="shared" si="25"/>
        <v>0</v>
      </c>
      <c r="AP33" s="39"/>
      <c r="AQ33" s="72">
        <f t="shared" si="9"/>
        <v>1736000.0000000002</v>
      </c>
      <c r="AR33" s="72">
        <f t="shared" si="26"/>
        <v>990016.54254550184</v>
      </c>
      <c r="AS33" s="39"/>
      <c r="AT33" s="40">
        <f>IF($K33&lt;=$F$15,IF($F$40&lt;&gt;"",$F$40/1000,IF(ISERROR(VLOOKUP($F$3&amp;IF($G$4&lt;&gt;"",$G$4,"")&amp;IF($F$43&lt;&gt;"","_"&amp;$F$43,""),'表3）燃料価格'!$AF$9:$AG$25,2,0)),0,VLOOKUP($I33,'表3）燃料価格'!$A$6:$U$66,VLOOKUP($F$3&amp;IF($G$4&lt;&gt;"",$G$4,"")&amp;IF($F$43&lt;&gt;"","_"&amp;$F$43,""),'表3）燃料価格'!$AF$9:$AG$25,2,0)+VLOOKUP($F$41,'表3）燃料価格'!$AF$28:$AG$29,2,0),0)*IF($F$43="需要地価格",1,$F$8/$F$141))),"")</f>
        <v>0</v>
      </c>
      <c r="AU33" s="39"/>
      <c r="AV33" s="72">
        <f t="shared" si="10"/>
        <v>0</v>
      </c>
      <c r="AW33" s="72">
        <f t="shared" si="27"/>
        <v>0</v>
      </c>
      <c r="AX33" s="39"/>
      <c r="AY33" s="40">
        <f>IF(ISERROR(IF($K33&lt;=$F$15,VLOOKUP($I33,'表4）CO2価格'!$A$7:$E$67,VLOOKUP($F$48,'表4）CO2価格'!$H$10:$I$12,2,0),0)*$F$8/1000,"")),0,IF($K33&lt;=$F$15,VLOOKUP($I33,'表4）CO2価格'!$A$7:$E$67,VLOOKUP($F$48,'表4）CO2価格'!$H$10:$I$12,2,0),0)*$F$8/1000,""))</f>
        <v>0</v>
      </c>
      <c r="AZ33" s="39"/>
      <c r="BA33" s="42">
        <f t="shared" si="11"/>
        <v>0</v>
      </c>
      <c r="BB33" s="72">
        <f t="shared" si="28"/>
        <v>0</v>
      </c>
      <c r="BC33" s="39"/>
      <c r="BD33" s="72">
        <f t="shared" si="12"/>
        <v>0</v>
      </c>
      <c r="BE33" s="72">
        <f t="shared" si="29"/>
        <v>0</v>
      </c>
      <c r="BF33" s="39"/>
      <c r="BG33" s="42">
        <f t="shared" si="13"/>
        <v>0</v>
      </c>
      <c r="BH33" s="72">
        <f t="shared" si="30"/>
        <v>0</v>
      </c>
      <c r="BI33" s="39"/>
      <c r="BJ33" s="40">
        <f t="shared" si="31"/>
        <v>0.27650833301083949</v>
      </c>
      <c r="BK33" s="157">
        <f t="shared" si="32"/>
        <v>4086516.6535671968</v>
      </c>
      <c r="BL33" s="157">
        <f t="shared" si="14"/>
        <v>290665.55966099445</v>
      </c>
      <c r="BM33" s="72"/>
      <c r="BN33" s="72">
        <f t="shared" si="33"/>
        <v>32951526.083335388</v>
      </c>
      <c r="BO33" s="72">
        <f t="shared" si="34"/>
        <v>18791794.887454849</v>
      </c>
      <c r="BP33" s="39"/>
      <c r="BQ33" s="72">
        <f t="shared" si="15"/>
        <v>1051200</v>
      </c>
      <c r="BR33" s="72">
        <f t="shared" si="35"/>
        <v>599484.67138469557</v>
      </c>
    </row>
    <row r="34" spans="3:70" x14ac:dyDescent="0.15">
      <c r="D34" s="160" t="s">
        <v>247</v>
      </c>
      <c r="F34" s="480">
        <v>3</v>
      </c>
      <c r="G34" s="84" t="s">
        <v>638</v>
      </c>
      <c r="I34" s="457">
        <f t="shared" si="36"/>
        <v>2039</v>
      </c>
      <c r="J34" s="71"/>
      <c r="K34" s="71">
        <f t="shared" si="37"/>
        <v>20</v>
      </c>
      <c r="L34" s="71"/>
      <c r="M34" s="7">
        <f t="shared" si="0"/>
        <v>0.55367575418633497</v>
      </c>
      <c r="N34" s="71"/>
      <c r="O34" s="10">
        <f t="shared" si="16"/>
        <v>12398692.216028493</v>
      </c>
      <c r="P34" s="29" t="str">
        <f t="shared" si="1"/>
        <v>-</v>
      </c>
      <c r="Q34" s="71"/>
      <c r="R34" s="10">
        <f t="shared" si="17"/>
        <v>24639741.171667464</v>
      </c>
      <c r="S34" s="71"/>
      <c r="T34" s="10">
        <f t="shared" si="18"/>
        <v>24639000</v>
      </c>
      <c r="U34" s="71"/>
      <c r="V34" s="10">
        <f t="shared" si="2"/>
        <v>4132897.4053428294</v>
      </c>
      <c r="W34" s="10">
        <f t="shared" si="19"/>
        <v>2288285.0878779381</v>
      </c>
      <c r="X34" s="71"/>
      <c r="Y34" s="10">
        <f t="shared" si="3"/>
        <v>344900</v>
      </c>
      <c r="Z34" s="10">
        <f t="shared" si="20"/>
        <v>190962.76761886693</v>
      </c>
      <c r="AA34" s="71"/>
      <c r="AB34" s="10">
        <f t="shared" si="4"/>
        <v>0</v>
      </c>
      <c r="AC34" s="10">
        <f t="shared" si="21"/>
        <v>0</v>
      </c>
      <c r="AD34" s="71"/>
      <c r="AE34" s="10">
        <f t="shared" si="5"/>
        <v>260000</v>
      </c>
      <c r="AF34" s="10">
        <f t="shared" si="22"/>
        <v>143955.69608844709</v>
      </c>
      <c r="AG34" s="71"/>
      <c r="AH34" s="10">
        <f t="shared" si="6"/>
        <v>7000000.0000000009</v>
      </c>
      <c r="AI34" s="10">
        <f t="shared" si="23"/>
        <v>3875730.2793043451</v>
      </c>
      <c r="AJ34" s="71"/>
      <c r="AK34" s="10">
        <f t="shared" si="7"/>
        <v>5400000</v>
      </c>
      <c r="AL34" s="10">
        <f t="shared" si="24"/>
        <v>2989849.0726062087</v>
      </c>
      <c r="AM34" s="71"/>
      <c r="AN34" s="10">
        <f t="shared" si="8"/>
        <v>0</v>
      </c>
      <c r="AO34" s="10">
        <f t="shared" si="25"/>
        <v>0</v>
      </c>
      <c r="AP34" s="71"/>
      <c r="AQ34" s="10">
        <f t="shared" si="9"/>
        <v>1736000.0000000002</v>
      </c>
      <c r="AR34" s="10">
        <f t="shared" si="26"/>
        <v>961181.10926747764</v>
      </c>
      <c r="AS34" s="71"/>
      <c r="AT34" s="7">
        <f>IF($K34&lt;=$F$15,IF($F$40&lt;&gt;"",$F$40/1000,IF(ISERROR(VLOOKUP($F$3&amp;IF($G$4&lt;&gt;"",$G$4,"")&amp;IF($F$43&lt;&gt;"","_"&amp;$F$43,""),'表3）燃料価格'!$AF$9:$AG$25,2,0)),0,VLOOKUP($I34,'表3）燃料価格'!$A$6:$U$66,VLOOKUP($F$3&amp;IF($G$4&lt;&gt;"",$G$4,"")&amp;IF($F$43&lt;&gt;"","_"&amp;$F$43,""),'表3）燃料価格'!$AF$9:$AG$25,2,0)+VLOOKUP($F$41,'表3）燃料価格'!$AF$28:$AG$29,2,0),0)*IF($F$43="需要地価格",1,$F$8/$F$141))),"")</f>
        <v>0</v>
      </c>
      <c r="AU34" s="71"/>
      <c r="AV34" s="10">
        <f t="shared" si="10"/>
        <v>0</v>
      </c>
      <c r="AW34" s="10">
        <f t="shared" si="27"/>
        <v>0</v>
      </c>
      <c r="AX34" s="71"/>
      <c r="AY34" s="7">
        <f>IF(ISERROR(IF($K34&lt;=$F$15,VLOOKUP($I34,'表4）CO2価格'!$A$7:$E$67,VLOOKUP($F$48,'表4）CO2価格'!$H$10:$I$12,2,0),0)*$F$8/1000,"")),0,IF($K34&lt;=$F$15,VLOOKUP($I34,'表4）CO2価格'!$A$7:$E$67,VLOOKUP($F$48,'表4）CO2価格'!$H$10:$I$12,2,0),0)*$F$8/1000,""))</f>
        <v>0</v>
      </c>
      <c r="AZ34" s="71"/>
      <c r="BA34" s="11">
        <f t="shared" si="11"/>
        <v>0</v>
      </c>
      <c r="BB34" s="10">
        <f t="shared" si="28"/>
        <v>0</v>
      </c>
      <c r="BC34" s="71"/>
      <c r="BD34" s="10">
        <f t="shared" si="12"/>
        <v>0</v>
      </c>
      <c r="BE34" s="10">
        <f t="shared" si="29"/>
        <v>0</v>
      </c>
      <c r="BF34" s="71"/>
      <c r="BG34" s="11">
        <f t="shared" si="13"/>
        <v>0</v>
      </c>
      <c r="BH34" s="10">
        <f t="shared" si="30"/>
        <v>0</v>
      </c>
      <c r="BJ34" s="7">
        <f t="shared" si="31"/>
        <v>0.2584190028138687</v>
      </c>
      <c r="BK34" s="158">
        <f t="shared" si="32"/>
        <v>3809328.678578957</v>
      </c>
      <c r="BL34" s="158">
        <f t="shared" si="14"/>
        <v>271650.05575793877</v>
      </c>
      <c r="BM34" s="10"/>
      <c r="BN34" s="10">
        <f t="shared" si="33"/>
        <v>32951526.083335388</v>
      </c>
      <c r="BO34" s="10">
        <f t="shared" si="34"/>
        <v>18244461.055781409</v>
      </c>
      <c r="BQ34" s="10">
        <f t="shared" si="15"/>
        <v>1051200</v>
      </c>
      <c r="BR34" s="10">
        <f t="shared" si="35"/>
        <v>582023.9528006753</v>
      </c>
    </row>
    <row r="35" spans="3:70" x14ac:dyDescent="0.15">
      <c r="F35" s="499"/>
      <c r="I35" s="38">
        <f t="shared" si="36"/>
        <v>2040</v>
      </c>
      <c r="J35" s="39"/>
      <c r="K35" s="39">
        <f t="shared" si="37"/>
        <v>21</v>
      </c>
      <c r="L35" s="39"/>
      <c r="M35" s="40">
        <f t="shared" si="0"/>
        <v>0.5375492759090631</v>
      </c>
      <c r="N35" s="39"/>
      <c r="O35" s="72">
        <f t="shared" si="16"/>
        <v>8265794.8106856635</v>
      </c>
      <c r="P35" s="41" t="str">
        <f t="shared" si="1"/>
        <v>-</v>
      </c>
      <c r="Q35" s="39"/>
      <c r="R35" s="72">
        <f t="shared" si="17"/>
        <v>22191241.309957195</v>
      </c>
      <c r="S35" s="39"/>
      <c r="T35" s="72">
        <f t="shared" si="18"/>
        <v>22191000</v>
      </c>
      <c r="U35" s="39"/>
      <c r="V35" s="72">
        <f t="shared" si="2"/>
        <v>4132897.4053428294</v>
      </c>
      <c r="W35" s="72">
        <f t="shared" si="19"/>
        <v>2221636.0076484834</v>
      </c>
      <c r="X35" s="39"/>
      <c r="Y35" s="72">
        <f t="shared" si="3"/>
        <v>310600</v>
      </c>
      <c r="Z35" s="72">
        <f t="shared" si="20"/>
        <v>166962.80509735498</v>
      </c>
      <c r="AA35" s="39"/>
      <c r="AB35" s="72">
        <f t="shared" si="4"/>
        <v>0</v>
      </c>
      <c r="AC35" s="72">
        <f t="shared" si="21"/>
        <v>0</v>
      </c>
      <c r="AD35" s="39"/>
      <c r="AE35" s="72">
        <f t="shared" si="5"/>
        <v>260000</v>
      </c>
      <c r="AF35" s="72">
        <f t="shared" si="22"/>
        <v>139762.81173635641</v>
      </c>
      <c r="AG35" s="39"/>
      <c r="AH35" s="72">
        <f t="shared" si="6"/>
        <v>7000000.0000000009</v>
      </c>
      <c r="AI35" s="72">
        <f t="shared" si="23"/>
        <v>3762844.931363442</v>
      </c>
      <c r="AJ35" s="39"/>
      <c r="AK35" s="72">
        <f t="shared" si="7"/>
        <v>5400000</v>
      </c>
      <c r="AL35" s="72">
        <f t="shared" si="24"/>
        <v>2902766.0899089407</v>
      </c>
      <c r="AM35" s="39"/>
      <c r="AN35" s="72">
        <f t="shared" si="8"/>
        <v>0</v>
      </c>
      <c r="AO35" s="72">
        <f t="shared" si="25"/>
        <v>0</v>
      </c>
      <c r="AP35" s="39"/>
      <c r="AQ35" s="72">
        <f t="shared" si="9"/>
        <v>1736000.0000000002</v>
      </c>
      <c r="AR35" s="72">
        <f t="shared" si="26"/>
        <v>933185.54297813366</v>
      </c>
      <c r="AS35" s="39"/>
      <c r="AT35" s="40">
        <f>IF($K35&lt;=$F$15,IF($F$40&lt;&gt;"",$F$40/1000,IF(ISERROR(VLOOKUP($F$3&amp;IF($G$4&lt;&gt;"",$G$4,"")&amp;IF($F$43&lt;&gt;"","_"&amp;$F$43,""),'表3）燃料価格'!$AF$9:$AG$25,2,0)),0,VLOOKUP($I35,'表3）燃料価格'!$A$6:$U$66,VLOOKUP($F$3&amp;IF($G$4&lt;&gt;"",$G$4,"")&amp;IF($F$43&lt;&gt;"","_"&amp;$F$43,""),'表3）燃料価格'!$AF$9:$AG$25,2,0)+VLOOKUP($F$41,'表3）燃料価格'!$AF$28:$AG$29,2,0),0)*IF($F$43="需要地価格",1,$F$8/$F$141))),"")</f>
        <v>0</v>
      </c>
      <c r="AU35" s="39"/>
      <c r="AV35" s="72">
        <f t="shared" si="10"/>
        <v>0</v>
      </c>
      <c r="AW35" s="72">
        <f t="shared" si="27"/>
        <v>0</v>
      </c>
      <c r="AX35" s="39"/>
      <c r="AY35" s="40">
        <f>IF(ISERROR(IF($K35&lt;=$F$15,VLOOKUP($I35,'表4）CO2価格'!$A$7:$E$67,VLOOKUP($F$48,'表4）CO2価格'!$H$10:$I$12,2,0),0)*$F$8/1000,"")),0,IF($K35&lt;=$F$15,VLOOKUP($I35,'表4）CO2価格'!$A$7:$E$67,VLOOKUP($F$48,'表4）CO2価格'!$H$10:$I$12,2,0),0)*$F$8/1000,""))</f>
        <v>0</v>
      </c>
      <c r="AZ35" s="39"/>
      <c r="BA35" s="42">
        <f t="shared" si="11"/>
        <v>0</v>
      </c>
      <c r="BB35" s="72">
        <f t="shared" si="28"/>
        <v>0</v>
      </c>
      <c r="BC35" s="39"/>
      <c r="BD35" s="72">
        <f t="shared" si="12"/>
        <v>0</v>
      </c>
      <c r="BE35" s="72">
        <f t="shared" si="29"/>
        <v>0</v>
      </c>
      <c r="BF35" s="39"/>
      <c r="BG35" s="42">
        <f t="shared" si="13"/>
        <v>0</v>
      </c>
      <c r="BH35" s="72">
        <f t="shared" si="30"/>
        <v>0</v>
      </c>
      <c r="BI35" s="39"/>
      <c r="BJ35" s="40">
        <f t="shared" si="31"/>
        <v>0.24151308674193336</v>
      </c>
      <c r="BK35" s="157">
        <f t="shared" si="32"/>
        <v>2173617.7806774001</v>
      </c>
      <c r="BL35" s="157" t="str">
        <f t="shared" si="14"/>
        <v/>
      </c>
      <c r="BM35" s="72"/>
      <c r="BN35" s="72" t="str">
        <f t="shared" si="33"/>
        <v/>
      </c>
      <c r="BO35" s="72" t="str">
        <f t="shared" si="34"/>
        <v/>
      </c>
      <c r="BP35" s="39"/>
      <c r="BQ35" s="72">
        <f t="shared" si="15"/>
        <v>1051200</v>
      </c>
      <c r="BR35" s="72">
        <f t="shared" si="35"/>
        <v>565071.79883560713</v>
      </c>
    </row>
    <row r="36" spans="3:70" x14ac:dyDescent="0.15">
      <c r="D36" s="84" t="s">
        <v>639</v>
      </c>
      <c r="F36" s="480">
        <v>14</v>
      </c>
      <c r="G36" s="84" t="s">
        <v>640</v>
      </c>
      <c r="I36" s="457">
        <f t="shared" si="36"/>
        <v>2041</v>
      </c>
      <c r="J36" s="71"/>
      <c r="K36" s="71">
        <f t="shared" si="37"/>
        <v>22</v>
      </c>
      <c r="L36" s="71"/>
      <c r="M36" s="7">
        <f t="shared" si="0"/>
        <v>0.52189250088258554</v>
      </c>
      <c r="N36" s="71"/>
      <c r="O36" s="10">
        <f t="shared" si="16"/>
        <v>4132897.4053428341</v>
      </c>
      <c r="P36" s="29" t="str">
        <f t="shared" si="1"/>
        <v>-</v>
      </c>
      <c r="Q36" s="71"/>
      <c r="R36" s="10">
        <f t="shared" si="17"/>
        <v>19986053.727017488</v>
      </c>
      <c r="S36" s="71"/>
      <c r="T36" s="10">
        <f t="shared" si="18"/>
        <v>19986000</v>
      </c>
      <c r="U36" s="71"/>
      <c r="V36" s="10">
        <f t="shared" si="2"/>
        <v>4132897.4053428294</v>
      </c>
      <c r="W36" s="10">
        <f t="shared" si="19"/>
        <v>2156928.1627655183</v>
      </c>
      <c r="X36" s="71"/>
      <c r="Y36" s="10">
        <f t="shared" si="3"/>
        <v>279800</v>
      </c>
      <c r="Z36" s="10">
        <f t="shared" si="20"/>
        <v>146025.52174694743</v>
      </c>
      <c r="AA36" s="71"/>
      <c r="AB36" s="10">
        <f t="shared" si="4"/>
        <v>0</v>
      </c>
      <c r="AC36" s="10">
        <f t="shared" si="21"/>
        <v>0</v>
      </c>
      <c r="AD36" s="71"/>
      <c r="AE36" s="10">
        <f t="shared" si="5"/>
        <v>260000</v>
      </c>
      <c r="AF36" s="10">
        <f t="shared" si="22"/>
        <v>135692.05022947225</v>
      </c>
      <c r="AG36" s="71"/>
      <c r="AH36" s="10">
        <f t="shared" si="6"/>
        <v>7000000.0000000009</v>
      </c>
      <c r="AI36" s="10">
        <f t="shared" si="23"/>
        <v>3653247.5061780992</v>
      </c>
      <c r="AJ36" s="71"/>
      <c r="AK36" s="10">
        <f t="shared" si="7"/>
        <v>5400000</v>
      </c>
      <c r="AL36" s="10">
        <f t="shared" si="24"/>
        <v>2818219.5047659618</v>
      </c>
      <c r="AM36" s="71"/>
      <c r="AN36" s="10">
        <f t="shared" si="8"/>
        <v>0</v>
      </c>
      <c r="AO36" s="10">
        <f t="shared" si="25"/>
        <v>0</v>
      </c>
      <c r="AP36" s="71"/>
      <c r="AQ36" s="10">
        <f t="shared" si="9"/>
        <v>1736000.0000000002</v>
      </c>
      <c r="AR36" s="10">
        <f t="shared" si="26"/>
        <v>906005.3815321686</v>
      </c>
      <c r="AS36" s="71"/>
      <c r="AT36" s="7">
        <f>IF($K36&lt;=$F$15,IF($F$40&lt;&gt;"",$F$40/1000,IF(ISERROR(VLOOKUP($F$3&amp;IF($G$4&lt;&gt;"",$G$4,"")&amp;IF($F$43&lt;&gt;"","_"&amp;$F$43,""),'表3）燃料価格'!$AF$9:$AG$25,2,0)),0,VLOOKUP($I36,'表3）燃料価格'!$A$6:$U$66,VLOOKUP($F$3&amp;IF($G$4&lt;&gt;"",$G$4,"")&amp;IF($F$43&lt;&gt;"","_"&amp;$F$43,""),'表3）燃料価格'!$AF$9:$AG$25,2,0)+VLOOKUP($F$41,'表3）燃料価格'!$AF$28:$AG$29,2,0),0)*IF($F$43="需要地価格",1,$F$8/$F$141))),"")</f>
        <v>0</v>
      </c>
      <c r="AU36" s="71"/>
      <c r="AV36" s="10">
        <f t="shared" si="10"/>
        <v>0</v>
      </c>
      <c r="AW36" s="10">
        <f t="shared" si="27"/>
        <v>0</v>
      </c>
      <c r="AX36" s="71"/>
      <c r="AY36" s="7">
        <f>IF(ISERROR(IF($K36&lt;=$F$15,VLOOKUP($I36,'表4）CO2価格'!$A$7:$E$67,VLOOKUP($F$48,'表4）CO2価格'!$H$10:$I$12,2,0),0)*$F$8/1000,"")),0,IF($K36&lt;=$F$15,VLOOKUP($I36,'表4）CO2価格'!$A$7:$E$67,VLOOKUP($F$48,'表4）CO2価格'!$H$10:$I$12,2,0),0)*$F$8/1000,""))</f>
        <v>0</v>
      </c>
      <c r="AZ36" s="71"/>
      <c r="BA36" s="11">
        <f t="shared" si="11"/>
        <v>0</v>
      </c>
      <c r="BB36" s="10">
        <f t="shared" si="28"/>
        <v>0</v>
      </c>
      <c r="BC36" s="71"/>
      <c r="BD36" s="10">
        <f t="shared" si="12"/>
        <v>0</v>
      </c>
      <c r="BE36" s="10">
        <f t="shared" si="29"/>
        <v>0</v>
      </c>
      <c r="BF36" s="71"/>
      <c r="BG36" s="11">
        <f t="shared" si="13"/>
        <v>0</v>
      </c>
      <c r="BH36" s="10">
        <f t="shared" si="30"/>
        <v>0</v>
      </c>
      <c r="BJ36" s="7" t="str">
        <f t="shared" si="31"/>
        <v/>
      </c>
      <c r="BK36" s="158" t="str">
        <f t="shared" si="32"/>
        <v/>
      </c>
      <c r="BL36" s="158" t="str">
        <f t="shared" si="14"/>
        <v/>
      </c>
      <c r="BM36" s="10"/>
      <c r="BN36" s="10" t="str">
        <f t="shared" si="33"/>
        <v/>
      </c>
      <c r="BO36" s="10" t="str">
        <f t="shared" si="34"/>
        <v/>
      </c>
      <c r="BQ36" s="10">
        <f t="shared" si="15"/>
        <v>1051200</v>
      </c>
      <c r="BR36" s="10">
        <f t="shared" si="35"/>
        <v>548613.39692777395</v>
      </c>
    </row>
    <row r="37" spans="3:70" x14ac:dyDescent="0.15">
      <c r="I37" s="38">
        <f t="shared" si="36"/>
        <v>2042</v>
      </c>
      <c r="J37" s="39"/>
      <c r="K37" s="39">
        <f t="shared" si="37"/>
        <v>23</v>
      </c>
      <c r="L37" s="39"/>
      <c r="M37" s="40">
        <f t="shared" si="0"/>
        <v>0.50669174842969467</v>
      </c>
      <c r="N37" s="39"/>
      <c r="O37" s="72">
        <f t="shared" si="16"/>
        <v>4.6566128730773926E-9</v>
      </c>
      <c r="P37" s="41" t="str">
        <f t="shared" si="1"/>
        <v>-</v>
      </c>
      <c r="Q37" s="39"/>
      <c r="R37" s="72">
        <f t="shared" si="17"/>
        <v>18000000.000000004</v>
      </c>
      <c r="S37" s="39"/>
      <c r="T37" s="72">
        <f t="shared" si="18"/>
        <v>18000000</v>
      </c>
      <c r="U37" s="39"/>
      <c r="V37" s="72">
        <f t="shared" si="2"/>
        <v>0</v>
      </c>
      <c r="W37" s="72">
        <f t="shared" si="19"/>
        <v>0</v>
      </c>
      <c r="X37" s="39"/>
      <c r="Y37" s="72">
        <f t="shared" si="3"/>
        <v>252000</v>
      </c>
      <c r="Z37" s="72">
        <f t="shared" si="20"/>
        <v>127686.32060428306</v>
      </c>
      <c r="AA37" s="39"/>
      <c r="AB37" s="72">
        <f t="shared" si="4"/>
        <v>0</v>
      </c>
      <c r="AC37" s="72">
        <f t="shared" si="21"/>
        <v>0</v>
      </c>
      <c r="AD37" s="39"/>
      <c r="AE37" s="72">
        <f t="shared" si="5"/>
        <v>260000</v>
      </c>
      <c r="AF37" s="72">
        <f t="shared" si="22"/>
        <v>131739.85459172062</v>
      </c>
      <c r="AG37" s="39"/>
      <c r="AH37" s="72">
        <f t="shared" si="6"/>
        <v>7000000.0000000009</v>
      </c>
      <c r="AI37" s="72">
        <f t="shared" si="23"/>
        <v>3546842.2390078632</v>
      </c>
      <c r="AJ37" s="39"/>
      <c r="AK37" s="72">
        <f t="shared" si="7"/>
        <v>5400000</v>
      </c>
      <c r="AL37" s="72">
        <f t="shared" si="24"/>
        <v>2736135.441520351</v>
      </c>
      <c r="AM37" s="39"/>
      <c r="AN37" s="72">
        <f t="shared" si="8"/>
        <v>0</v>
      </c>
      <c r="AO37" s="72">
        <f t="shared" si="25"/>
        <v>0</v>
      </c>
      <c r="AP37" s="39"/>
      <c r="AQ37" s="72">
        <f t="shared" si="9"/>
        <v>1736000.0000000002</v>
      </c>
      <c r="AR37" s="72">
        <f t="shared" si="26"/>
        <v>879616.87527395005</v>
      </c>
      <c r="AS37" s="39"/>
      <c r="AT37" s="40">
        <f>IF($K37&lt;=$F$15,IF($F$40&lt;&gt;"",$F$40/1000,IF(ISERROR(VLOOKUP($F$3&amp;IF($G$4&lt;&gt;"",$G$4,"")&amp;IF($F$43&lt;&gt;"","_"&amp;$F$43,""),'表3）燃料価格'!$AF$9:$AG$25,2,0)),0,VLOOKUP($I37,'表3）燃料価格'!$A$6:$U$66,VLOOKUP($F$3&amp;IF($G$4&lt;&gt;"",$G$4,"")&amp;IF($F$43&lt;&gt;"","_"&amp;$F$43,""),'表3）燃料価格'!$AF$9:$AG$25,2,0)+VLOOKUP($F$41,'表3）燃料価格'!$AF$28:$AG$29,2,0),0)*IF($F$43="需要地価格",1,$F$8/$F$141))),"")</f>
        <v>0</v>
      </c>
      <c r="AU37" s="39"/>
      <c r="AV37" s="72">
        <f t="shared" si="10"/>
        <v>0</v>
      </c>
      <c r="AW37" s="72">
        <f t="shared" si="27"/>
        <v>0</v>
      </c>
      <c r="AX37" s="39"/>
      <c r="AY37" s="40">
        <f>IF(ISERROR(IF($K37&lt;=$F$15,VLOOKUP($I37,'表4）CO2価格'!$A$7:$E$67,VLOOKUP($F$48,'表4）CO2価格'!$H$10:$I$12,2,0),0)*$F$8/1000,"")),0,IF($K37&lt;=$F$15,VLOOKUP($I37,'表4）CO2価格'!$A$7:$E$67,VLOOKUP($F$48,'表4）CO2価格'!$H$10:$I$12,2,0),0)*$F$8/1000,""))</f>
        <v>0</v>
      </c>
      <c r="AZ37" s="39"/>
      <c r="BA37" s="42">
        <f t="shared" si="11"/>
        <v>0</v>
      </c>
      <c r="BB37" s="72">
        <f t="shared" si="28"/>
        <v>0</v>
      </c>
      <c r="BC37" s="39"/>
      <c r="BD37" s="72">
        <f t="shared" si="12"/>
        <v>0</v>
      </c>
      <c r="BE37" s="72">
        <f t="shared" si="29"/>
        <v>0</v>
      </c>
      <c r="BF37" s="39"/>
      <c r="BG37" s="42">
        <f t="shared" si="13"/>
        <v>0</v>
      </c>
      <c r="BH37" s="72">
        <f t="shared" si="30"/>
        <v>0</v>
      </c>
      <c r="BI37" s="39"/>
      <c r="BJ37" s="40" t="str">
        <f t="shared" si="31"/>
        <v/>
      </c>
      <c r="BK37" s="157" t="str">
        <f t="shared" si="32"/>
        <v/>
      </c>
      <c r="BL37" s="157" t="str">
        <f t="shared" si="14"/>
        <v/>
      </c>
      <c r="BM37" s="72"/>
      <c r="BN37" s="72" t="str">
        <f t="shared" si="33"/>
        <v/>
      </c>
      <c r="BO37" s="72" t="str">
        <f t="shared" si="34"/>
        <v/>
      </c>
      <c r="BP37" s="39"/>
      <c r="BQ37" s="72">
        <f t="shared" si="15"/>
        <v>1051200</v>
      </c>
      <c r="BR37" s="72">
        <f t="shared" si="35"/>
        <v>532634.365949295</v>
      </c>
    </row>
    <row r="38" spans="3:70" x14ac:dyDescent="0.15">
      <c r="C38" s="4" t="s">
        <v>570</v>
      </c>
      <c r="D38" s="100"/>
      <c r="E38" s="100"/>
      <c r="F38" s="4"/>
      <c r="G38" s="100"/>
      <c r="I38" s="457">
        <f t="shared" si="36"/>
        <v>2043</v>
      </c>
      <c r="J38" s="71"/>
      <c r="K38" s="71">
        <f t="shared" si="37"/>
        <v>24</v>
      </c>
      <c r="L38" s="71"/>
      <c r="M38" s="7">
        <f t="shared" si="0"/>
        <v>0.49193373633950943</v>
      </c>
      <c r="N38" s="71"/>
      <c r="O38" s="10">
        <f t="shared" si="16"/>
        <v>4.6566128730773926E-9</v>
      </c>
      <c r="P38" s="29" t="str">
        <f t="shared" si="1"/>
        <v>-</v>
      </c>
      <c r="Q38" s="71"/>
      <c r="R38" s="10">
        <f t="shared" si="17"/>
        <v>16211304.363803016</v>
      </c>
      <c r="S38" s="71"/>
      <c r="T38" s="10">
        <f t="shared" si="18"/>
        <v>16211000</v>
      </c>
      <c r="U38" s="71"/>
      <c r="V38" s="10">
        <f t="shared" si="2"/>
        <v>0</v>
      </c>
      <c r="W38" s="10">
        <f t="shared" si="19"/>
        <v>0</v>
      </c>
      <c r="X38" s="71"/>
      <c r="Y38" s="10">
        <f t="shared" si="3"/>
        <v>226900</v>
      </c>
      <c r="Z38" s="10">
        <f t="shared" si="20"/>
        <v>111619.76477543468</v>
      </c>
      <c r="AA38" s="71"/>
      <c r="AB38" s="10">
        <f t="shared" si="4"/>
        <v>0</v>
      </c>
      <c r="AC38" s="10">
        <f t="shared" si="21"/>
        <v>0</v>
      </c>
      <c r="AD38" s="71"/>
      <c r="AE38" s="10">
        <f t="shared" si="5"/>
        <v>260000</v>
      </c>
      <c r="AF38" s="10">
        <f t="shared" si="22"/>
        <v>127902.77144827246</v>
      </c>
      <c r="AG38" s="71"/>
      <c r="AH38" s="10">
        <f t="shared" si="6"/>
        <v>7000000.0000000009</v>
      </c>
      <c r="AI38" s="10">
        <f t="shared" si="23"/>
        <v>3443536.1543765664</v>
      </c>
      <c r="AJ38" s="71"/>
      <c r="AK38" s="10">
        <f t="shared" si="7"/>
        <v>5400000</v>
      </c>
      <c r="AL38" s="10">
        <f t="shared" si="24"/>
        <v>2656442.1762333508</v>
      </c>
      <c r="AM38" s="71"/>
      <c r="AN38" s="10">
        <f t="shared" si="8"/>
        <v>0</v>
      </c>
      <c r="AO38" s="10">
        <f t="shared" si="25"/>
        <v>0</v>
      </c>
      <c r="AP38" s="71"/>
      <c r="AQ38" s="10">
        <f t="shared" si="9"/>
        <v>1736000.0000000002</v>
      </c>
      <c r="AR38" s="10">
        <f t="shared" si="26"/>
        <v>853996.96628538845</v>
      </c>
      <c r="AS38" s="71"/>
      <c r="AT38" s="7">
        <f>IF($K38&lt;=$F$15,IF($F$40&lt;&gt;"",$F$40/1000,IF(ISERROR(VLOOKUP($F$3&amp;IF($G$4&lt;&gt;"",$G$4,"")&amp;IF($F$43&lt;&gt;"","_"&amp;$F$43,""),'表3）燃料価格'!$AF$9:$AG$25,2,0)),0,VLOOKUP($I38,'表3）燃料価格'!$A$6:$U$66,VLOOKUP($F$3&amp;IF($G$4&lt;&gt;"",$G$4,"")&amp;IF($F$43&lt;&gt;"","_"&amp;$F$43,""),'表3）燃料価格'!$AF$9:$AG$25,2,0)+VLOOKUP($F$41,'表3）燃料価格'!$AF$28:$AG$29,2,0),0)*IF($F$43="需要地価格",1,$F$8/$F$141))),"")</f>
        <v>0</v>
      </c>
      <c r="AU38" s="71"/>
      <c r="AV38" s="10">
        <f t="shared" si="10"/>
        <v>0</v>
      </c>
      <c r="AW38" s="10">
        <f t="shared" si="27"/>
        <v>0</v>
      </c>
      <c r="AX38" s="71"/>
      <c r="AY38" s="7">
        <f>IF(ISERROR(IF($K38&lt;=$F$15,VLOOKUP($I38,'表4）CO2価格'!$A$7:$E$67,VLOOKUP($F$48,'表4）CO2価格'!$H$10:$I$12,2,0),0)*$F$8/1000,"")),0,IF($K38&lt;=$F$15,VLOOKUP($I38,'表4）CO2価格'!$A$7:$E$67,VLOOKUP($F$48,'表4）CO2価格'!$H$10:$I$12,2,0),0)*$F$8/1000,""))</f>
        <v>0</v>
      </c>
      <c r="AZ38" s="71"/>
      <c r="BA38" s="11">
        <f t="shared" si="11"/>
        <v>0</v>
      </c>
      <c r="BB38" s="10">
        <f t="shared" si="28"/>
        <v>0</v>
      </c>
      <c r="BC38" s="71"/>
      <c r="BD38" s="10">
        <f t="shared" si="12"/>
        <v>0</v>
      </c>
      <c r="BE38" s="10">
        <f t="shared" si="29"/>
        <v>0</v>
      </c>
      <c r="BF38" s="71"/>
      <c r="BG38" s="11">
        <f t="shared" si="13"/>
        <v>0</v>
      </c>
      <c r="BH38" s="10">
        <f t="shared" si="30"/>
        <v>0</v>
      </c>
      <c r="BJ38" s="7" t="str">
        <f t="shared" si="31"/>
        <v/>
      </c>
      <c r="BK38" s="158" t="str">
        <f t="shared" si="32"/>
        <v/>
      </c>
      <c r="BL38" s="158" t="str">
        <f t="shared" si="14"/>
        <v/>
      </c>
      <c r="BM38" s="10"/>
      <c r="BN38" s="10" t="str">
        <f t="shared" si="33"/>
        <v/>
      </c>
      <c r="BO38" s="10" t="str">
        <f t="shared" si="34"/>
        <v/>
      </c>
      <c r="BQ38" s="10">
        <f t="shared" si="15"/>
        <v>1051200</v>
      </c>
      <c r="BR38" s="10">
        <f t="shared" si="35"/>
        <v>517120.74364009232</v>
      </c>
    </row>
    <row r="39" spans="3:70" x14ac:dyDescent="0.15">
      <c r="I39" s="38">
        <f t="shared" si="36"/>
        <v>2044</v>
      </c>
      <c r="J39" s="39"/>
      <c r="K39" s="39">
        <f t="shared" si="37"/>
        <v>25</v>
      </c>
      <c r="L39" s="39"/>
      <c r="M39" s="40">
        <f t="shared" si="0"/>
        <v>0.47760556926165965</v>
      </c>
      <c r="N39" s="39"/>
      <c r="O39" s="72">
        <f t="shared" si="16"/>
        <v>4.6566128730773926E-9</v>
      </c>
      <c r="P39" s="41" t="str">
        <f t="shared" si="1"/>
        <v>-</v>
      </c>
      <c r="Q39" s="39"/>
      <c r="R39" s="72">
        <f t="shared" si="17"/>
        <v>14600354.95421437</v>
      </c>
      <c r="S39" s="39"/>
      <c r="T39" s="72">
        <f t="shared" si="18"/>
        <v>14600000</v>
      </c>
      <c r="U39" s="39"/>
      <c r="V39" s="72">
        <f t="shared" si="2"/>
        <v>0</v>
      </c>
      <c r="W39" s="72">
        <f t="shared" si="19"/>
        <v>0</v>
      </c>
      <c r="X39" s="39"/>
      <c r="Y39" s="72">
        <f t="shared" si="3"/>
        <v>204400</v>
      </c>
      <c r="Z39" s="72">
        <f t="shared" si="20"/>
        <v>97622.578357083228</v>
      </c>
      <c r="AA39" s="39"/>
      <c r="AB39" s="72">
        <f t="shared" si="4"/>
        <v>0</v>
      </c>
      <c r="AC39" s="72">
        <f t="shared" si="21"/>
        <v>0</v>
      </c>
      <c r="AD39" s="39"/>
      <c r="AE39" s="72">
        <f t="shared" si="5"/>
        <v>260000</v>
      </c>
      <c r="AF39" s="72">
        <f t="shared" si="22"/>
        <v>124177.44800803151</v>
      </c>
      <c r="AG39" s="39"/>
      <c r="AH39" s="72">
        <f t="shared" si="6"/>
        <v>7000000.0000000009</v>
      </c>
      <c r="AI39" s="72">
        <f t="shared" si="23"/>
        <v>3343238.9848316181</v>
      </c>
      <c r="AJ39" s="39"/>
      <c r="AK39" s="72">
        <f t="shared" si="7"/>
        <v>5400000</v>
      </c>
      <c r="AL39" s="72">
        <f t="shared" si="24"/>
        <v>2579070.0740129622</v>
      </c>
      <c r="AM39" s="39"/>
      <c r="AN39" s="72">
        <f t="shared" si="8"/>
        <v>0</v>
      </c>
      <c r="AO39" s="72">
        <f t="shared" si="25"/>
        <v>0</v>
      </c>
      <c r="AP39" s="39"/>
      <c r="AQ39" s="72">
        <f t="shared" si="9"/>
        <v>1736000.0000000002</v>
      </c>
      <c r="AR39" s="72">
        <f t="shared" si="26"/>
        <v>829123.2682382412</v>
      </c>
      <c r="AS39" s="39"/>
      <c r="AT39" s="40">
        <f>IF($K39&lt;=$F$15,IF($F$40&lt;&gt;"",$F$40/1000,IF(ISERROR(VLOOKUP($F$3&amp;IF($G$4&lt;&gt;"",$G$4,"")&amp;IF($F$43&lt;&gt;"","_"&amp;$F$43,""),'表3）燃料価格'!$AF$9:$AG$25,2,0)),0,VLOOKUP($I39,'表3）燃料価格'!$A$6:$U$66,VLOOKUP($F$3&amp;IF($G$4&lt;&gt;"",$G$4,"")&amp;IF($F$43&lt;&gt;"","_"&amp;$F$43,""),'表3）燃料価格'!$AF$9:$AG$25,2,0)+VLOOKUP($F$41,'表3）燃料価格'!$AF$28:$AG$29,2,0),0)*IF($F$43="需要地価格",1,$F$8/$F$141))),"")</f>
        <v>0</v>
      </c>
      <c r="AU39" s="39"/>
      <c r="AV39" s="72">
        <f t="shared" si="10"/>
        <v>0</v>
      </c>
      <c r="AW39" s="72">
        <f t="shared" si="27"/>
        <v>0</v>
      </c>
      <c r="AX39" s="39"/>
      <c r="AY39" s="40">
        <f>IF(ISERROR(IF($K39&lt;=$F$15,VLOOKUP($I39,'表4）CO2価格'!$A$7:$E$67,VLOOKUP($F$48,'表4）CO2価格'!$H$10:$I$12,2,0),0)*$F$8/1000,"")),0,IF($K39&lt;=$F$15,VLOOKUP($I39,'表4）CO2価格'!$A$7:$E$67,VLOOKUP($F$48,'表4）CO2価格'!$H$10:$I$12,2,0),0)*$F$8/1000,""))</f>
        <v>0</v>
      </c>
      <c r="AZ39" s="39"/>
      <c r="BA39" s="42">
        <f t="shared" si="11"/>
        <v>0</v>
      </c>
      <c r="BB39" s="72">
        <f t="shared" si="28"/>
        <v>0</v>
      </c>
      <c r="BC39" s="39"/>
      <c r="BD39" s="72">
        <f t="shared" si="12"/>
        <v>0</v>
      </c>
      <c r="BE39" s="72">
        <f t="shared" si="29"/>
        <v>0</v>
      </c>
      <c r="BF39" s="39"/>
      <c r="BG39" s="42">
        <f t="shared" si="13"/>
        <v>0</v>
      </c>
      <c r="BH39" s="72">
        <f t="shared" si="30"/>
        <v>0</v>
      </c>
      <c r="BI39" s="39"/>
      <c r="BJ39" s="40" t="str">
        <f t="shared" si="31"/>
        <v/>
      </c>
      <c r="BK39" s="157" t="str">
        <f t="shared" si="32"/>
        <v/>
      </c>
      <c r="BL39" s="157" t="str">
        <f t="shared" si="14"/>
        <v/>
      </c>
      <c r="BM39" s="72"/>
      <c r="BN39" s="72" t="str">
        <f t="shared" si="33"/>
        <v/>
      </c>
      <c r="BO39" s="72" t="str">
        <f t="shared" si="34"/>
        <v/>
      </c>
      <c r="BP39" s="39"/>
      <c r="BQ39" s="72">
        <f t="shared" si="15"/>
        <v>1051200</v>
      </c>
      <c r="BR39" s="72">
        <f t="shared" si="35"/>
        <v>502058.97440785664</v>
      </c>
    </row>
    <row r="40" spans="3:70" x14ac:dyDescent="0.15">
      <c r="D40" s="84" t="s">
        <v>124</v>
      </c>
      <c r="F40" s="482"/>
      <c r="G40" s="160" t="s">
        <v>571</v>
      </c>
      <c r="I40" s="457">
        <f t="shared" si="36"/>
        <v>2045</v>
      </c>
      <c r="J40" s="71"/>
      <c r="K40" s="71">
        <f t="shared" si="37"/>
        <v>26</v>
      </c>
      <c r="L40" s="71"/>
      <c r="M40" s="7">
        <f t="shared" si="0"/>
        <v>0.46369472743850448</v>
      </c>
      <c r="N40" s="71"/>
      <c r="O40" s="10">
        <f t="shared" si="16"/>
        <v>4.6566128730773926E-9</v>
      </c>
      <c r="P40" s="29" t="str">
        <f t="shared" si="1"/>
        <v>-</v>
      </c>
      <c r="Q40" s="71"/>
      <c r="R40" s="10">
        <f t="shared" si="17"/>
        <v>13149488.776796021</v>
      </c>
      <c r="S40" s="71"/>
      <c r="T40" s="10">
        <f t="shared" si="18"/>
        <v>13149000</v>
      </c>
      <c r="U40" s="71"/>
      <c r="V40" s="10">
        <f t="shared" si="2"/>
        <v>0</v>
      </c>
      <c r="W40" s="10">
        <f t="shared" si="19"/>
        <v>0</v>
      </c>
      <c r="X40" s="71"/>
      <c r="Y40" s="10">
        <f t="shared" si="3"/>
        <v>184000</v>
      </c>
      <c r="Z40" s="10">
        <f t="shared" si="20"/>
        <v>85319.829848684822</v>
      </c>
      <c r="AA40" s="71"/>
      <c r="AB40" s="10">
        <f t="shared" si="4"/>
        <v>0</v>
      </c>
      <c r="AC40" s="10">
        <f t="shared" si="21"/>
        <v>0</v>
      </c>
      <c r="AD40" s="71"/>
      <c r="AE40" s="10">
        <f t="shared" si="5"/>
        <v>260000</v>
      </c>
      <c r="AF40" s="10">
        <f t="shared" si="22"/>
        <v>120560.62913401116</v>
      </c>
      <c r="AG40" s="71"/>
      <c r="AH40" s="10">
        <f t="shared" si="6"/>
        <v>7000000.0000000009</v>
      </c>
      <c r="AI40" s="10">
        <f t="shared" si="23"/>
        <v>3245863.0920695318</v>
      </c>
      <c r="AJ40" s="71"/>
      <c r="AK40" s="10">
        <f t="shared" si="7"/>
        <v>5400000</v>
      </c>
      <c r="AL40" s="10">
        <f t="shared" si="24"/>
        <v>2503951.5281679244</v>
      </c>
      <c r="AM40" s="71"/>
      <c r="AN40" s="10">
        <f t="shared" si="8"/>
        <v>0</v>
      </c>
      <c r="AO40" s="10">
        <f t="shared" si="25"/>
        <v>0</v>
      </c>
      <c r="AP40" s="71"/>
      <c r="AQ40" s="10">
        <f t="shared" si="9"/>
        <v>1736000.0000000002</v>
      </c>
      <c r="AR40" s="10">
        <f t="shared" si="26"/>
        <v>804974.04683324392</v>
      </c>
      <c r="AS40" s="71"/>
      <c r="AT40" s="7">
        <f>IF($K40&lt;=$F$15,IF($F$40&lt;&gt;"",$F$40/1000,IF(ISERROR(VLOOKUP($F$3&amp;IF($G$4&lt;&gt;"",$G$4,"")&amp;IF($F$43&lt;&gt;"","_"&amp;$F$43,""),'表3）燃料価格'!$AF$9:$AG$25,2,0)),0,VLOOKUP($I40,'表3）燃料価格'!$A$6:$U$66,VLOOKUP($F$3&amp;IF($G$4&lt;&gt;"",$G$4,"")&amp;IF($F$43&lt;&gt;"","_"&amp;$F$43,""),'表3）燃料価格'!$AF$9:$AG$25,2,0)+VLOOKUP($F$41,'表3）燃料価格'!$AF$28:$AG$29,2,0),0)*IF($F$43="需要地価格",1,$F$8/$F$141))),"")</f>
        <v>0</v>
      </c>
      <c r="AU40" s="71"/>
      <c r="AV40" s="10">
        <f t="shared" si="10"/>
        <v>0</v>
      </c>
      <c r="AW40" s="10">
        <f t="shared" si="27"/>
        <v>0</v>
      </c>
      <c r="AX40" s="71"/>
      <c r="AY40" s="7">
        <f>IF(ISERROR(IF($K40&lt;=$F$15,VLOOKUP($I40,'表4）CO2価格'!$A$7:$E$67,VLOOKUP($F$48,'表4）CO2価格'!$H$10:$I$12,2,0),0)*$F$8/1000,"")),0,IF($K40&lt;=$F$15,VLOOKUP($I40,'表4）CO2価格'!$A$7:$E$67,VLOOKUP($F$48,'表4）CO2価格'!$H$10:$I$12,2,0),0)*$F$8/1000,""))</f>
        <v>0</v>
      </c>
      <c r="AZ40" s="71"/>
      <c r="BA40" s="11">
        <f t="shared" si="11"/>
        <v>0</v>
      </c>
      <c r="BB40" s="10">
        <f t="shared" si="28"/>
        <v>0</v>
      </c>
      <c r="BC40" s="71"/>
      <c r="BD40" s="10">
        <f t="shared" si="12"/>
        <v>0</v>
      </c>
      <c r="BE40" s="10">
        <f t="shared" si="29"/>
        <v>0</v>
      </c>
      <c r="BF40" s="71"/>
      <c r="BG40" s="11">
        <f t="shared" si="13"/>
        <v>0</v>
      </c>
      <c r="BH40" s="10">
        <f t="shared" si="30"/>
        <v>0</v>
      </c>
      <c r="BJ40" s="7" t="str">
        <f t="shared" si="31"/>
        <v/>
      </c>
      <c r="BK40" s="158" t="str">
        <f t="shared" si="32"/>
        <v/>
      </c>
      <c r="BL40" s="158" t="str">
        <f t="shared" si="14"/>
        <v/>
      </c>
      <c r="BM40" s="10"/>
      <c r="BN40" s="10" t="str">
        <f t="shared" si="33"/>
        <v/>
      </c>
      <c r="BO40" s="10" t="str">
        <f t="shared" si="34"/>
        <v/>
      </c>
      <c r="BQ40" s="10">
        <f t="shared" si="15"/>
        <v>1051200</v>
      </c>
      <c r="BR40" s="10">
        <f t="shared" si="35"/>
        <v>487435.89748335589</v>
      </c>
    </row>
    <row r="41" spans="3:70" x14ac:dyDescent="0.15">
      <c r="D41" s="84" t="s">
        <v>572</v>
      </c>
      <c r="F41" s="474"/>
      <c r="I41" s="38">
        <f t="shared" si="36"/>
        <v>2046</v>
      </c>
      <c r="J41" s="39"/>
      <c r="K41" s="39">
        <f t="shared" si="37"/>
        <v>27</v>
      </c>
      <c r="L41" s="39"/>
      <c r="M41" s="40">
        <f t="shared" si="0"/>
        <v>0.45018905576553836</v>
      </c>
      <c r="N41" s="39"/>
      <c r="O41" s="72">
        <f t="shared" si="16"/>
        <v>4.6566128730773926E-9</v>
      </c>
      <c r="P41" s="41" t="str">
        <f t="shared" si="1"/>
        <v>-</v>
      </c>
      <c r="Q41" s="39"/>
      <c r="R41" s="72">
        <f t="shared" si="17"/>
        <v>11842798.043836227</v>
      </c>
      <c r="S41" s="39"/>
      <c r="T41" s="72">
        <f t="shared" si="18"/>
        <v>11842000</v>
      </c>
      <c r="U41" s="39"/>
      <c r="V41" s="72">
        <f t="shared" si="2"/>
        <v>0</v>
      </c>
      <c r="W41" s="72">
        <f t="shared" si="19"/>
        <v>0</v>
      </c>
      <c r="X41" s="39"/>
      <c r="Y41" s="72">
        <f t="shared" si="3"/>
        <v>165700</v>
      </c>
      <c r="Z41" s="72">
        <f t="shared" si="20"/>
        <v>74596.326540349706</v>
      </c>
      <c r="AA41" s="39"/>
      <c r="AB41" s="72">
        <f t="shared" si="4"/>
        <v>0</v>
      </c>
      <c r="AC41" s="72">
        <f t="shared" si="21"/>
        <v>0</v>
      </c>
      <c r="AD41" s="39"/>
      <c r="AE41" s="72">
        <f t="shared" si="5"/>
        <v>260000</v>
      </c>
      <c r="AF41" s="72">
        <f t="shared" si="22"/>
        <v>117049.15449903997</v>
      </c>
      <c r="AG41" s="39"/>
      <c r="AH41" s="72">
        <f t="shared" si="6"/>
        <v>7000000.0000000009</v>
      </c>
      <c r="AI41" s="72">
        <f t="shared" si="23"/>
        <v>3151323.3903587689</v>
      </c>
      <c r="AJ41" s="39"/>
      <c r="AK41" s="72">
        <f t="shared" si="7"/>
        <v>5400000</v>
      </c>
      <c r="AL41" s="72">
        <f t="shared" si="24"/>
        <v>2431020.901133907</v>
      </c>
      <c r="AM41" s="39"/>
      <c r="AN41" s="72">
        <f t="shared" si="8"/>
        <v>0</v>
      </c>
      <c r="AO41" s="72">
        <f t="shared" si="25"/>
        <v>0</v>
      </c>
      <c r="AP41" s="39"/>
      <c r="AQ41" s="72">
        <f t="shared" si="9"/>
        <v>1736000.0000000002</v>
      </c>
      <c r="AR41" s="72">
        <f t="shared" si="26"/>
        <v>781528.20080897468</v>
      </c>
      <c r="AS41" s="39"/>
      <c r="AT41" s="40">
        <f>IF($K41&lt;=$F$15,IF($F$40&lt;&gt;"",$F$40/1000,IF(ISERROR(VLOOKUP($F$3&amp;IF($G$4&lt;&gt;"",$G$4,"")&amp;IF($F$43&lt;&gt;"","_"&amp;$F$43,""),'表3）燃料価格'!$AF$9:$AG$25,2,0)),0,VLOOKUP($I41,'表3）燃料価格'!$A$6:$U$66,VLOOKUP($F$3&amp;IF($G$4&lt;&gt;"",$G$4,"")&amp;IF($F$43&lt;&gt;"","_"&amp;$F$43,""),'表3）燃料価格'!$AF$9:$AG$25,2,0)+VLOOKUP($F$41,'表3）燃料価格'!$AF$28:$AG$29,2,0),0)*IF($F$43="需要地価格",1,$F$8/$F$141))),"")</f>
        <v>0</v>
      </c>
      <c r="AU41" s="39"/>
      <c r="AV41" s="72">
        <f t="shared" si="10"/>
        <v>0</v>
      </c>
      <c r="AW41" s="72">
        <f t="shared" si="27"/>
        <v>0</v>
      </c>
      <c r="AX41" s="39"/>
      <c r="AY41" s="40">
        <f>IF(ISERROR(IF($K41&lt;=$F$15,VLOOKUP($I41,'表4）CO2価格'!$A$7:$E$67,VLOOKUP($F$48,'表4）CO2価格'!$H$10:$I$12,2,0),0)*$F$8/1000,"")),0,IF($K41&lt;=$F$15,VLOOKUP($I41,'表4）CO2価格'!$A$7:$E$67,VLOOKUP($F$48,'表4）CO2価格'!$H$10:$I$12,2,0),0)*$F$8/1000,""))</f>
        <v>0</v>
      </c>
      <c r="AZ41" s="39"/>
      <c r="BA41" s="42">
        <f t="shared" si="11"/>
        <v>0</v>
      </c>
      <c r="BB41" s="72">
        <f t="shared" si="28"/>
        <v>0</v>
      </c>
      <c r="BC41" s="39"/>
      <c r="BD41" s="72">
        <f t="shared" si="12"/>
        <v>0</v>
      </c>
      <c r="BE41" s="72">
        <f t="shared" si="29"/>
        <v>0</v>
      </c>
      <c r="BF41" s="39"/>
      <c r="BG41" s="42">
        <f t="shared" si="13"/>
        <v>0</v>
      </c>
      <c r="BH41" s="72">
        <f t="shared" si="30"/>
        <v>0</v>
      </c>
      <c r="BI41" s="39"/>
      <c r="BJ41" s="40" t="str">
        <f t="shared" si="31"/>
        <v/>
      </c>
      <c r="BK41" s="157" t="str">
        <f t="shared" si="32"/>
        <v/>
      </c>
      <c r="BL41" s="157" t="str">
        <f t="shared" si="14"/>
        <v/>
      </c>
      <c r="BM41" s="72"/>
      <c r="BN41" s="72" t="str">
        <f t="shared" si="33"/>
        <v/>
      </c>
      <c r="BO41" s="72" t="str">
        <f t="shared" si="34"/>
        <v/>
      </c>
      <c r="BP41" s="39"/>
      <c r="BQ41" s="72">
        <f t="shared" si="15"/>
        <v>1051200</v>
      </c>
      <c r="BR41" s="72">
        <f t="shared" si="35"/>
        <v>473238.73542073392</v>
      </c>
    </row>
    <row r="42" spans="3:70" x14ac:dyDescent="0.15">
      <c r="D42" s="84" t="s">
        <v>573</v>
      </c>
      <c r="F42" s="481"/>
      <c r="G42" s="84" t="s">
        <v>574</v>
      </c>
      <c r="I42" s="457">
        <f t="shared" si="36"/>
        <v>2047</v>
      </c>
      <c r="J42" s="71"/>
      <c r="K42" s="71">
        <f t="shared" si="37"/>
        <v>28</v>
      </c>
      <c r="L42" s="71"/>
      <c r="M42" s="7">
        <f t="shared" si="0"/>
        <v>0.4370767531704256</v>
      </c>
      <c r="N42" s="71"/>
      <c r="O42" s="10">
        <f t="shared" si="16"/>
        <v>4.6566128730773926E-9</v>
      </c>
      <c r="P42" s="29" t="str">
        <f t="shared" si="1"/>
        <v>-</v>
      </c>
      <c r="Q42" s="71"/>
      <c r="R42" s="10">
        <f t="shared" si="17"/>
        <v>10665955.755982222</v>
      </c>
      <c r="S42" s="71"/>
      <c r="T42" s="10">
        <f t="shared" si="18"/>
        <v>10665000</v>
      </c>
      <c r="U42" s="71"/>
      <c r="V42" s="10">
        <f t="shared" si="2"/>
        <v>0</v>
      </c>
      <c r="W42" s="10">
        <f t="shared" si="19"/>
        <v>0</v>
      </c>
      <c r="X42" s="71"/>
      <c r="Y42" s="10">
        <f t="shared" si="3"/>
        <v>149300</v>
      </c>
      <c r="Z42" s="10">
        <f t="shared" si="20"/>
        <v>65255.559248344543</v>
      </c>
      <c r="AA42" s="71"/>
      <c r="AB42" s="10">
        <f t="shared" si="4"/>
        <v>0</v>
      </c>
      <c r="AC42" s="10">
        <f t="shared" si="21"/>
        <v>0</v>
      </c>
      <c r="AD42" s="71"/>
      <c r="AE42" s="10">
        <f t="shared" si="5"/>
        <v>260000</v>
      </c>
      <c r="AF42" s="10">
        <f t="shared" si="22"/>
        <v>113639.95582431066</v>
      </c>
      <c r="AG42" s="71"/>
      <c r="AH42" s="10">
        <f t="shared" si="6"/>
        <v>7000000.0000000009</v>
      </c>
      <c r="AI42" s="10">
        <f t="shared" si="23"/>
        <v>3059537.2721929797</v>
      </c>
      <c r="AJ42" s="71"/>
      <c r="AK42" s="10">
        <f t="shared" si="7"/>
        <v>5400000</v>
      </c>
      <c r="AL42" s="10">
        <f t="shared" si="24"/>
        <v>2360214.4671202982</v>
      </c>
      <c r="AM42" s="71"/>
      <c r="AN42" s="10">
        <f t="shared" si="8"/>
        <v>0</v>
      </c>
      <c r="AO42" s="10">
        <f t="shared" si="25"/>
        <v>0</v>
      </c>
      <c r="AP42" s="71"/>
      <c r="AQ42" s="10">
        <f t="shared" si="9"/>
        <v>1736000.0000000002</v>
      </c>
      <c r="AR42" s="10">
        <f t="shared" si="26"/>
        <v>758765.24350385892</v>
      </c>
      <c r="AS42" s="71"/>
      <c r="AT42" s="7">
        <f>IF($K42&lt;=$F$15,IF($F$40&lt;&gt;"",$F$40/1000,IF(ISERROR(VLOOKUP($F$3&amp;IF($G$4&lt;&gt;"",$G$4,"")&amp;IF($F$43&lt;&gt;"","_"&amp;$F$43,""),'表3）燃料価格'!$AF$9:$AG$25,2,0)),0,VLOOKUP($I42,'表3）燃料価格'!$A$6:$U$66,VLOOKUP($F$3&amp;IF($G$4&lt;&gt;"",$G$4,"")&amp;IF($F$43&lt;&gt;"","_"&amp;$F$43,""),'表3）燃料価格'!$AF$9:$AG$25,2,0)+VLOOKUP($F$41,'表3）燃料価格'!$AF$28:$AG$29,2,0),0)*IF($F$43="需要地価格",1,$F$8/$F$141))),"")</f>
        <v>0</v>
      </c>
      <c r="AU42" s="71"/>
      <c r="AV42" s="10">
        <f t="shared" si="10"/>
        <v>0</v>
      </c>
      <c r="AW42" s="10">
        <f t="shared" si="27"/>
        <v>0</v>
      </c>
      <c r="AX42" s="71"/>
      <c r="AY42" s="7">
        <f>IF(ISERROR(IF($K42&lt;=$F$15,VLOOKUP($I42,'表4）CO2価格'!$A$7:$E$67,VLOOKUP($F$48,'表4）CO2価格'!$H$10:$I$12,2,0),0)*$F$8/1000,"")),0,IF($K42&lt;=$F$15,VLOOKUP($I42,'表4）CO2価格'!$A$7:$E$67,VLOOKUP($F$48,'表4）CO2価格'!$H$10:$I$12,2,0),0)*$F$8/1000,""))</f>
        <v>0</v>
      </c>
      <c r="AZ42" s="71"/>
      <c r="BA42" s="11">
        <f t="shared" si="11"/>
        <v>0</v>
      </c>
      <c r="BB42" s="10">
        <f t="shared" si="28"/>
        <v>0</v>
      </c>
      <c r="BC42" s="71"/>
      <c r="BD42" s="10">
        <f t="shared" si="12"/>
        <v>0</v>
      </c>
      <c r="BE42" s="10">
        <f t="shared" si="29"/>
        <v>0</v>
      </c>
      <c r="BF42" s="71"/>
      <c r="BG42" s="11">
        <f t="shared" si="13"/>
        <v>0</v>
      </c>
      <c r="BH42" s="10">
        <f t="shared" si="30"/>
        <v>0</v>
      </c>
      <c r="BJ42" s="7" t="str">
        <f t="shared" si="31"/>
        <v/>
      </c>
      <c r="BK42" s="158" t="str">
        <f t="shared" si="32"/>
        <v/>
      </c>
      <c r="BL42" s="158" t="str">
        <f t="shared" si="14"/>
        <v/>
      </c>
      <c r="BM42" s="10"/>
      <c r="BN42" s="10" t="str">
        <f t="shared" si="33"/>
        <v/>
      </c>
      <c r="BO42" s="10" t="str">
        <f t="shared" si="34"/>
        <v/>
      </c>
      <c r="BQ42" s="10">
        <f t="shared" si="15"/>
        <v>1051200</v>
      </c>
      <c r="BR42" s="10">
        <f t="shared" si="35"/>
        <v>459455.08293275139</v>
      </c>
    </row>
    <row r="43" spans="3:70" x14ac:dyDescent="0.15">
      <c r="D43" s="160" t="s">
        <v>126</v>
      </c>
      <c r="F43" s="474"/>
      <c r="I43" s="38">
        <f t="shared" si="36"/>
        <v>2048</v>
      </c>
      <c r="J43" s="39"/>
      <c r="K43" s="39">
        <f t="shared" si="37"/>
        <v>29</v>
      </c>
      <c r="L43" s="39"/>
      <c r="M43" s="40">
        <f t="shared" si="0"/>
        <v>0.42434636230138412</v>
      </c>
      <c r="N43" s="39"/>
      <c r="O43" s="72">
        <f t="shared" si="16"/>
        <v>4.6566128730773926E-9</v>
      </c>
      <c r="P43" s="41" t="str">
        <f t="shared" si="1"/>
        <v>-</v>
      </c>
      <c r="Q43" s="39"/>
      <c r="R43" s="72">
        <f t="shared" si="17"/>
        <v>9606058.61617136</v>
      </c>
      <c r="S43" s="39"/>
      <c r="T43" s="72">
        <f t="shared" si="18"/>
        <v>9606000</v>
      </c>
      <c r="U43" s="39"/>
      <c r="V43" s="72">
        <f t="shared" si="2"/>
        <v>0</v>
      </c>
      <c r="W43" s="72">
        <f t="shared" si="19"/>
        <v>0</v>
      </c>
      <c r="X43" s="39"/>
      <c r="Y43" s="72">
        <f t="shared" si="3"/>
        <v>134400</v>
      </c>
      <c r="Z43" s="72">
        <f t="shared" si="20"/>
        <v>57032.151093306027</v>
      </c>
      <c r="AA43" s="39"/>
      <c r="AB43" s="72">
        <f t="shared" si="4"/>
        <v>0</v>
      </c>
      <c r="AC43" s="72">
        <f t="shared" si="21"/>
        <v>0</v>
      </c>
      <c r="AD43" s="39"/>
      <c r="AE43" s="72">
        <f t="shared" si="5"/>
        <v>260000</v>
      </c>
      <c r="AF43" s="72">
        <f t="shared" si="22"/>
        <v>110330.05419835987</v>
      </c>
      <c r="AG43" s="39"/>
      <c r="AH43" s="72">
        <f t="shared" si="6"/>
        <v>7000000.0000000009</v>
      </c>
      <c r="AI43" s="72">
        <f t="shared" si="23"/>
        <v>2970424.5361096892</v>
      </c>
      <c r="AJ43" s="39"/>
      <c r="AK43" s="72">
        <f t="shared" si="7"/>
        <v>5400000</v>
      </c>
      <c r="AL43" s="72">
        <f t="shared" si="24"/>
        <v>2291470.3564274744</v>
      </c>
      <c r="AM43" s="39"/>
      <c r="AN43" s="72">
        <f t="shared" si="8"/>
        <v>0</v>
      </c>
      <c r="AO43" s="72">
        <f t="shared" si="25"/>
        <v>0</v>
      </c>
      <c r="AP43" s="39"/>
      <c r="AQ43" s="72">
        <f t="shared" si="9"/>
        <v>1736000.0000000002</v>
      </c>
      <c r="AR43" s="72">
        <f t="shared" si="26"/>
        <v>736665.28495520295</v>
      </c>
      <c r="AS43" s="39"/>
      <c r="AT43" s="40">
        <f>IF($K43&lt;=$F$15,IF($F$40&lt;&gt;"",$F$40/1000,IF(ISERROR(VLOOKUP($F$3&amp;IF($G$4&lt;&gt;"",$G$4,"")&amp;IF($F$43&lt;&gt;"","_"&amp;$F$43,""),'表3）燃料価格'!$AF$9:$AG$25,2,0)),0,VLOOKUP($I43,'表3）燃料価格'!$A$6:$U$66,VLOOKUP($F$3&amp;IF($G$4&lt;&gt;"",$G$4,"")&amp;IF($F$43&lt;&gt;"","_"&amp;$F$43,""),'表3）燃料価格'!$AF$9:$AG$25,2,0)+VLOOKUP($F$41,'表3）燃料価格'!$AF$28:$AG$29,2,0),0)*IF($F$43="需要地価格",1,$F$8/$F$141))),"")</f>
        <v>0</v>
      </c>
      <c r="AU43" s="39"/>
      <c r="AV43" s="72">
        <f t="shared" si="10"/>
        <v>0</v>
      </c>
      <c r="AW43" s="72">
        <f t="shared" si="27"/>
        <v>0</v>
      </c>
      <c r="AX43" s="39"/>
      <c r="AY43" s="40">
        <f>IF(ISERROR(IF($K43&lt;=$F$15,VLOOKUP($I43,'表4）CO2価格'!$A$7:$E$67,VLOOKUP($F$48,'表4）CO2価格'!$H$10:$I$12,2,0),0)*$F$8/1000,"")),0,IF($K43&lt;=$F$15,VLOOKUP($I43,'表4）CO2価格'!$A$7:$E$67,VLOOKUP($F$48,'表4）CO2価格'!$H$10:$I$12,2,0),0)*$F$8/1000,""))</f>
        <v>0</v>
      </c>
      <c r="AZ43" s="39"/>
      <c r="BA43" s="42">
        <f t="shared" si="11"/>
        <v>0</v>
      </c>
      <c r="BB43" s="72">
        <f t="shared" si="28"/>
        <v>0</v>
      </c>
      <c r="BC43" s="39"/>
      <c r="BD43" s="72">
        <f t="shared" si="12"/>
        <v>0</v>
      </c>
      <c r="BE43" s="72">
        <f t="shared" si="29"/>
        <v>0</v>
      </c>
      <c r="BF43" s="39"/>
      <c r="BG43" s="42">
        <f t="shared" si="13"/>
        <v>0</v>
      </c>
      <c r="BH43" s="72">
        <f t="shared" si="30"/>
        <v>0</v>
      </c>
      <c r="BI43" s="39"/>
      <c r="BJ43" s="40" t="str">
        <f t="shared" si="31"/>
        <v/>
      </c>
      <c r="BK43" s="157" t="str">
        <f t="shared" si="32"/>
        <v/>
      </c>
      <c r="BL43" s="157" t="str">
        <f t="shared" si="14"/>
        <v/>
      </c>
      <c r="BM43" s="72"/>
      <c r="BN43" s="72" t="str">
        <f t="shared" si="33"/>
        <v/>
      </c>
      <c r="BO43" s="72" t="str">
        <f t="shared" si="34"/>
        <v/>
      </c>
      <c r="BP43" s="39"/>
      <c r="BQ43" s="72">
        <f t="shared" si="15"/>
        <v>1051200</v>
      </c>
      <c r="BR43" s="72">
        <f t="shared" si="35"/>
        <v>446072.89605121501</v>
      </c>
    </row>
    <row r="44" spans="3:70" x14ac:dyDescent="0.15">
      <c r="I44" s="457">
        <f t="shared" si="36"/>
        <v>2049</v>
      </c>
      <c r="J44" s="71"/>
      <c r="K44" s="71">
        <f t="shared" si="37"/>
        <v>30</v>
      </c>
      <c r="L44" s="71"/>
      <c r="M44" s="7">
        <f t="shared" si="0"/>
        <v>0.41198675951590691</v>
      </c>
      <c r="N44" s="71"/>
      <c r="O44" s="10">
        <f t="shared" si="16"/>
        <v>4.6566128730773926E-9</v>
      </c>
      <c r="P44" s="29" t="str">
        <f t="shared" si="1"/>
        <v>-</v>
      </c>
      <c r="Q44" s="71"/>
      <c r="R44" s="10">
        <f t="shared" si="17"/>
        <v>9000000</v>
      </c>
      <c r="S44" s="71"/>
      <c r="T44" s="10">
        <f t="shared" si="18"/>
        <v>9000000</v>
      </c>
      <c r="U44" s="71"/>
      <c r="V44" s="10">
        <f t="shared" si="2"/>
        <v>0</v>
      </c>
      <c r="W44" s="10">
        <f t="shared" si="19"/>
        <v>0</v>
      </c>
      <c r="X44" s="71"/>
      <c r="Y44" s="10">
        <f t="shared" si="3"/>
        <v>126000</v>
      </c>
      <c r="Z44" s="10">
        <f t="shared" si="20"/>
        <v>51910.331699004273</v>
      </c>
      <c r="AA44" s="71"/>
      <c r="AB44" s="10">
        <f t="shared" si="4"/>
        <v>0</v>
      </c>
      <c r="AC44" s="10">
        <f t="shared" si="21"/>
        <v>0</v>
      </c>
      <c r="AD44" s="71"/>
      <c r="AE44" s="10">
        <f t="shared" si="5"/>
        <v>260000</v>
      </c>
      <c r="AF44" s="10">
        <f t="shared" si="22"/>
        <v>107116.5574741358</v>
      </c>
      <c r="AG44" s="71"/>
      <c r="AH44" s="10">
        <f t="shared" si="6"/>
        <v>7000000.0000000009</v>
      </c>
      <c r="AI44" s="10">
        <f t="shared" si="23"/>
        <v>2883907.3166113487</v>
      </c>
      <c r="AJ44" s="71"/>
      <c r="AK44" s="10">
        <f t="shared" si="7"/>
        <v>5400000</v>
      </c>
      <c r="AL44" s="10">
        <f t="shared" si="24"/>
        <v>2224728.5013858974</v>
      </c>
      <c r="AM44" s="71"/>
      <c r="AN44" s="10">
        <f t="shared" si="8"/>
        <v>0</v>
      </c>
      <c r="AO44" s="10">
        <f t="shared" si="25"/>
        <v>0</v>
      </c>
      <c r="AP44" s="71"/>
      <c r="AQ44" s="10">
        <f t="shared" si="9"/>
        <v>1736000.0000000002</v>
      </c>
      <c r="AR44" s="10">
        <f t="shared" si="26"/>
        <v>715209.01451961452</v>
      </c>
      <c r="AS44" s="71"/>
      <c r="AT44" s="7">
        <f>IF($K44&lt;=$F$15,IF($F$40&lt;&gt;"",$F$40/1000,IF(ISERROR(VLOOKUP($F$3&amp;IF($G$4&lt;&gt;"",$G$4,"")&amp;IF($F$43&lt;&gt;"","_"&amp;$F$43,""),'表3）燃料価格'!$AF$9:$AG$25,2,0)),0,VLOOKUP($I44,'表3）燃料価格'!$A$6:$U$66,VLOOKUP($F$3&amp;IF($G$4&lt;&gt;"",$G$4,"")&amp;IF($F$43&lt;&gt;"","_"&amp;$F$43,""),'表3）燃料価格'!$AF$9:$AG$25,2,0)+VLOOKUP($F$41,'表3）燃料価格'!$AF$28:$AG$29,2,0),0)*IF($F$43="需要地価格",1,$F$8/$F$141))),"")</f>
        <v>0</v>
      </c>
      <c r="AU44" s="71"/>
      <c r="AV44" s="10">
        <f t="shared" si="10"/>
        <v>0</v>
      </c>
      <c r="AW44" s="10">
        <f t="shared" si="27"/>
        <v>0</v>
      </c>
      <c r="AX44" s="71"/>
      <c r="AY44" s="7">
        <f>IF(ISERROR(IF($K44&lt;=$F$15,VLOOKUP($I44,'表4）CO2価格'!$A$7:$E$67,VLOOKUP($F$48,'表4）CO2価格'!$H$10:$I$12,2,0),0)*$F$8/1000,"")),0,IF($K44&lt;=$F$15,VLOOKUP($I44,'表4）CO2価格'!$A$7:$E$67,VLOOKUP($F$48,'表4）CO2価格'!$H$10:$I$12,2,0),0)*$F$8/1000,""))</f>
        <v>0</v>
      </c>
      <c r="AZ44" s="71"/>
      <c r="BA44" s="11">
        <f t="shared" si="11"/>
        <v>0</v>
      </c>
      <c r="BB44" s="10">
        <f t="shared" si="28"/>
        <v>0</v>
      </c>
      <c r="BC44" s="71"/>
      <c r="BD44" s="10">
        <f t="shared" si="12"/>
        <v>0</v>
      </c>
      <c r="BE44" s="10">
        <f t="shared" si="29"/>
        <v>0</v>
      </c>
      <c r="BF44" s="71"/>
      <c r="BG44" s="11">
        <f t="shared" si="13"/>
        <v>0</v>
      </c>
      <c r="BH44" s="10">
        <f t="shared" si="30"/>
        <v>0</v>
      </c>
      <c r="BJ44" s="7" t="str">
        <f t="shared" si="31"/>
        <v/>
      </c>
      <c r="BK44" s="158" t="str">
        <f t="shared" si="32"/>
        <v/>
      </c>
      <c r="BL44" s="158" t="str">
        <f t="shared" si="14"/>
        <v/>
      </c>
      <c r="BM44" s="10"/>
      <c r="BN44" s="10" t="str">
        <f t="shared" si="33"/>
        <v/>
      </c>
      <c r="BO44" s="10" t="str">
        <f t="shared" si="34"/>
        <v/>
      </c>
      <c r="BQ44" s="10">
        <f t="shared" si="15"/>
        <v>1051200</v>
      </c>
      <c r="BR44" s="10">
        <f t="shared" si="35"/>
        <v>433080.48160312133</v>
      </c>
    </row>
    <row r="45" spans="3:70" x14ac:dyDescent="0.15">
      <c r="C45" s="4" t="s">
        <v>575</v>
      </c>
      <c r="D45" s="100"/>
      <c r="E45" s="100"/>
      <c r="F45" s="4"/>
      <c r="G45" s="100"/>
      <c r="I45" s="38">
        <f t="shared" si="36"/>
        <v>2050</v>
      </c>
      <c r="J45" s="39"/>
      <c r="K45" s="39">
        <f t="shared" si="37"/>
        <v>31</v>
      </c>
      <c r="L45" s="39"/>
      <c r="M45" s="40">
        <f t="shared" si="0"/>
        <v>0.39998714516107459</v>
      </c>
      <c r="N45" s="39"/>
      <c r="O45" s="72">
        <f t="shared" si="16"/>
        <v>4.6566128730773926E-9</v>
      </c>
      <c r="P45" s="41" t="str">
        <f t="shared" si="1"/>
        <v>-</v>
      </c>
      <c r="Q45" s="39"/>
      <c r="R45" s="72">
        <f t="shared" si="17"/>
        <v>9000000</v>
      </c>
      <c r="S45" s="39"/>
      <c r="T45" s="72">
        <f t="shared" si="18"/>
        <v>9000000</v>
      </c>
      <c r="U45" s="39"/>
      <c r="V45" s="72">
        <f t="shared" si="2"/>
        <v>0</v>
      </c>
      <c r="W45" s="72">
        <f t="shared" si="19"/>
        <v>0</v>
      </c>
      <c r="X45" s="39"/>
      <c r="Y45" s="72">
        <f t="shared" si="3"/>
        <v>126000</v>
      </c>
      <c r="Z45" s="72">
        <f t="shared" si="20"/>
        <v>50398.380290295398</v>
      </c>
      <c r="AA45" s="39"/>
      <c r="AB45" s="72">
        <f t="shared" si="4"/>
        <v>0</v>
      </c>
      <c r="AC45" s="72">
        <f t="shared" si="21"/>
        <v>0</v>
      </c>
      <c r="AD45" s="39"/>
      <c r="AE45" s="72">
        <f t="shared" si="5"/>
        <v>260000</v>
      </c>
      <c r="AF45" s="72">
        <f t="shared" si="22"/>
        <v>103996.65774187939</v>
      </c>
      <c r="AG45" s="39"/>
      <c r="AH45" s="72">
        <f t="shared" si="6"/>
        <v>7000000.0000000009</v>
      </c>
      <c r="AI45" s="72">
        <f t="shared" si="23"/>
        <v>2799910.0161275226</v>
      </c>
      <c r="AJ45" s="39"/>
      <c r="AK45" s="72">
        <f t="shared" si="7"/>
        <v>5400000</v>
      </c>
      <c r="AL45" s="72">
        <f t="shared" si="24"/>
        <v>2159930.5838698028</v>
      </c>
      <c r="AM45" s="39"/>
      <c r="AN45" s="72">
        <f t="shared" si="8"/>
        <v>0</v>
      </c>
      <c r="AO45" s="72">
        <f t="shared" si="25"/>
        <v>0</v>
      </c>
      <c r="AP45" s="39"/>
      <c r="AQ45" s="72">
        <f t="shared" si="9"/>
        <v>1736000.0000000002</v>
      </c>
      <c r="AR45" s="72">
        <f t="shared" si="26"/>
        <v>694377.68399962562</v>
      </c>
      <c r="AS45" s="39"/>
      <c r="AT45" s="40">
        <f>IF($K45&lt;=$F$15,IF($F$40&lt;&gt;"",$F$40/1000,IF(ISERROR(VLOOKUP($F$3&amp;IF($G$4&lt;&gt;"",$G$4,"")&amp;IF($F$43&lt;&gt;"","_"&amp;$F$43,""),'表3）燃料価格'!$AF$9:$AG$25,2,0)),0,VLOOKUP($I45,'表3）燃料価格'!$A$6:$U$66,VLOOKUP($F$3&amp;IF($G$4&lt;&gt;"",$G$4,"")&amp;IF($F$43&lt;&gt;"","_"&amp;$F$43,""),'表3）燃料価格'!$AF$9:$AG$25,2,0)+VLOOKUP($F$41,'表3）燃料価格'!$AF$28:$AG$29,2,0),0)*IF($F$43="需要地価格",1,$F$8/$F$141))),"")</f>
        <v>0</v>
      </c>
      <c r="AU45" s="39"/>
      <c r="AV45" s="72">
        <f t="shared" si="10"/>
        <v>0</v>
      </c>
      <c r="AW45" s="72">
        <f t="shared" si="27"/>
        <v>0</v>
      </c>
      <c r="AX45" s="39"/>
      <c r="AY45" s="40">
        <f>IF(ISERROR(IF($K45&lt;=$F$15,VLOOKUP($I45,'表4）CO2価格'!$A$7:$E$67,VLOOKUP($F$48,'表4）CO2価格'!$H$10:$I$12,2,0),0)*$F$8/1000,"")),0,IF($K45&lt;=$F$15,VLOOKUP($I45,'表4）CO2価格'!$A$7:$E$67,VLOOKUP($F$48,'表4）CO2価格'!$H$10:$I$12,2,0),0)*$F$8/1000,""))</f>
        <v>0</v>
      </c>
      <c r="AZ45" s="39"/>
      <c r="BA45" s="42">
        <f t="shared" si="11"/>
        <v>0</v>
      </c>
      <c r="BB45" s="72">
        <f t="shared" si="28"/>
        <v>0</v>
      </c>
      <c r="BC45" s="39"/>
      <c r="BD45" s="72">
        <f t="shared" si="12"/>
        <v>0</v>
      </c>
      <c r="BE45" s="72">
        <f t="shared" si="29"/>
        <v>0</v>
      </c>
      <c r="BF45" s="39"/>
      <c r="BG45" s="42">
        <f t="shared" si="13"/>
        <v>0</v>
      </c>
      <c r="BH45" s="72">
        <f t="shared" si="30"/>
        <v>0</v>
      </c>
      <c r="BI45" s="39"/>
      <c r="BJ45" s="40" t="str">
        <f t="shared" si="31"/>
        <v/>
      </c>
      <c r="BK45" s="157" t="str">
        <f t="shared" si="32"/>
        <v/>
      </c>
      <c r="BL45" s="157" t="str">
        <f t="shared" si="14"/>
        <v/>
      </c>
      <c r="BM45" s="72"/>
      <c r="BN45" s="72" t="str">
        <f t="shared" si="33"/>
        <v/>
      </c>
      <c r="BO45" s="72" t="str">
        <f t="shared" si="34"/>
        <v/>
      </c>
      <c r="BP45" s="39"/>
      <c r="BQ45" s="72">
        <f t="shared" si="15"/>
        <v>1051200</v>
      </c>
      <c r="BR45" s="72">
        <f t="shared" si="35"/>
        <v>420466.48699332163</v>
      </c>
    </row>
    <row r="46" spans="3:70" x14ac:dyDescent="0.15">
      <c r="I46" s="457">
        <f t="shared" si="36"/>
        <v>2051</v>
      </c>
      <c r="J46" s="71"/>
      <c r="K46" s="71">
        <f t="shared" si="37"/>
        <v>32</v>
      </c>
      <c r="L46" s="71"/>
      <c r="M46" s="7">
        <f t="shared" si="0"/>
        <v>0.38833703413696569</v>
      </c>
      <c r="N46" s="71"/>
      <c r="O46" s="10">
        <f t="shared" si="16"/>
        <v>4.6566128730773926E-9</v>
      </c>
      <c r="P46" s="29" t="str">
        <f t="shared" si="1"/>
        <v>-</v>
      </c>
      <c r="Q46" s="71"/>
      <c r="R46" s="10">
        <f t="shared" si="17"/>
        <v>9000000</v>
      </c>
      <c r="S46" s="71"/>
      <c r="T46" s="10">
        <f t="shared" si="18"/>
        <v>9000000</v>
      </c>
      <c r="U46" s="71"/>
      <c r="V46" s="10">
        <f t="shared" si="2"/>
        <v>0</v>
      </c>
      <c r="W46" s="10">
        <f t="shared" si="19"/>
        <v>0</v>
      </c>
      <c r="X46" s="71"/>
      <c r="Y46" s="10">
        <f t="shared" si="3"/>
        <v>126000</v>
      </c>
      <c r="Z46" s="10">
        <f t="shared" si="20"/>
        <v>48930.466301257678</v>
      </c>
      <c r="AA46" s="71"/>
      <c r="AB46" s="10">
        <f t="shared" si="4"/>
        <v>0</v>
      </c>
      <c r="AC46" s="10">
        <f t="shared" si="21"/>
        <v>0</v>
      </c>
      <c r="AD46" s="71"/>
      <c r="AE46" s="10">
        <f t="shared" si="5"/>
        <v>260000</v>
      </c>
      <c r="AF46" s="10">
        <f t="shared" si="22"/>
        <v>100967.62887561107</v>
      </c>
      <c r="AG46" s="71"/>
      <c r="AH46" s="10">
        <f t="shared" si="6"/>
        <v>7000000.0000000009</v>
      </c>
      <c r="AI46" s="10">
        <f t="shared" si="23"/>
        <v>2718359.2389587602</v>
      </c>
      <c r="AJ46" s="71"/>
      <c r="AK46" s="10">
        <f t="shared" si="7"/>
        <v>5400000</v>
      </c>
      <c r="AL46" s="10">
        <f t="shared" si="24"/>
        <v>2097019.9843396146</v>
      </c>
      <c r="AM46" s="71"/>
      <c r="AN46" s="10">
        <f t="shared" si="8"/>
        <v>0</v>
      </c>
      <c r="AO46" s="10">
        <f t="shared" si="25"/>
        <v>0</v>
      </c>
      <c r="AP46" s="71"/>
      <c r="AQ46" s="10">
        <f t="shared" si="9"/>
        <v>1736000.0000000002</v>
      </c>
      <c r="AR46" s="10">
        <f t="shared" si="26"/>
        <v>674153.09126177256</v>
      </c>
      <c r="AS46" s="71"/>
      <c r="AT46" s="7">
        <f>IF($K46&lt;=$F$15,IF($F$40&lt;&gt;"",$F$40/1000,IF(ISERROR(VLOOKUP($F$3&amp;IF($G$4&lt;&gt;"",$G$4,"")&amp;IF($F$43&lt;&gt;"","_"&amp;$F$43,""),'表3）燃料価格'!$AF$9:$AG$25,2,0)),0,VLOOKUP($I46,'表3）燃料価格'!$A$6:$U$66,VLOOKUP($F$3&amp;IF($G$4&lt;&gt;"",$G$4,"")&amp;IF($F$43&lt;&gt;"","_"&amp;$F$43,""),'表3）燃料価格'!$AF$9:$AG$25,2,0)+VLOOKUP($F$41,'表3）燃料価格'!$AF$28:$AG$29,2,0),0)*IF($F$43="需要地価格",1,$F$8/$F$141))),"")</f>
        <v>0</v>
      </c>
      <c r="AU46" s="71"/>
      <c r="AV46" s="10">
        <f t="shared" si="10"/>
        <v>0</v>
      </c>
      <c r="AW46" s="10">
        <f t="shared" si="27"/>
        <v>0</v>
      </c>
      <c r="AX46" s="71"/>
      <c r="AY46" s="7">
        <f>IF(ISERROR(IF($K46&lt;=$F$15,VLOOKUP($I46,'表4）CO2価格'!$A$7:$E$67,VLOOKUP($F$48,'表4）CO2価格'!$H$10:$I$12,2,0),0)*$F$8/1000,"")),0,IF($K46&lt;=$F$15,VLOOKUP($I46,'表4）CO2価格'!$A$7:$E$67,VLOOKUP($F$48,'表4）CO2価格'!$H$10:$I$12,2,0),0)*$F$8/1000,""))</f>
        <v>0</v>
      </c>
      <c r="AZ46" s="71"/>
      <c r="BA46" s="11">
        <f t="shared" si="11"/>
        <v>0</v>
      </c>
      <c r="BB46" s="10">
        <f t="shared" si="28"/>
        <v>0</v>
      </c>
      <c r="BC46" s="71"/>
      <c r="BD46" s="10">
        <f t="shared" si="12"/>
        <v>0</v>
      </c>
      <c r="BE46" s="10">
        <f t="shared" si="29"/>
        <v>0</v>
      </c>
      <c r="BF46" s="71"/>
      <c r="BG46" s="11">
        <f t="shared" si="13"/>
        <v>0</v>
      </c>
      <c r="BH46" s="10">
        <f t="shared" si="30"/>
        <v>0</v>
      </c>
      <c r="BJ46" s="7" t="str">
        <f t="shared" si="31"/>
        <v/>
      </c>
      <c r="BK46" s="158" t="str">
        <f t="shared" si="32"/>
        <v/>
      </c>
      <c r="BL46" s="158" t="str">
        <f t="shared" si="14"/>
        <v/>
      </c>
      <c r="BM46" s="10"/>
      <c r="BN46" s="10" t="str">
        <f t="shared" si="33"/>
        <v/>
      </c>
      <c r="BO46" s="10" t="str">
        <f t="shared" si="34"/>
        <v/>
      </c>
      <c r="BQ46" s="10">
        <f t="shared" si="15"/>
        <v>1051200</v>
      </c>
      <c r="BR46" s="10">
        <f t="shared" si="35"/>
        <v>408219.89028477832</v>
      </c>
    </row>
    <row r="47" spans="3:70" x14ac:dyDescent="0.15">
      <c r="D47" s="84" t="s">
        <v>576</v>
      </c>
      <c r="F47" s="475"/>
      <c r="G47" s="84" t="s">
        <v>577</v>
      </c>
      <c r="I47" s="38">
        <f t="shared" si="36"/>
        <v>2052</v>
      </c>
      <c r="J47" s="39"/>
      <c r="K47" s="39">
        <f t="shared" si="37"/>
        <v>33</v>
      </c>
      <c r="L47" s="39"/>
      <c r="M47" s="40">
        <f t="shared" si="0"/>
        <v>0.37702624673491814</v>
      </c>
      <c r="N47" s="39"/>
      <c r="O47" s="72">
        <f t="shared" si="16"/>
        <v>4.6566128730773926E-9</v>
      </c>
      <c r="P47" s="41" t="str">
        <f t="shared" ref="P47:P78" si="38">IF(K47&lt;=$F$15,IF(OR(P46=$F$124,P46="-"),"-",IF(O47*$F$123&gt;$F$127,$F$123,$F$124)),"")</f>
        <v>-</v>
      </c>
      <c r="Q47" s="39"/>
      <c r="R47" s="72">
        <f t="shared" si="17"/>
        <v>9000000</v>
      </c>
      <c r="S47" s="39"/>
      <c r="T47" s="72">
        <f t="shared" si="18"/>
        <v>9000000</v>
      </c>
      <c r="U47" s="39"/>
      <c r="V47" s="72">
        <f t="shared" ref="V47:V78" si="39">IF(K47&lt;=$F$15,IF(K47&lt;$F$119,IF(P47="-",V46,O47*P47),IF(K47=$F$119,MIN(IF(P47="-",V46,O47*P47),O47),0)),"")</f>
        <v>0</v>
      </c>
      <c r="W47" s="72">
        <f t="shared" si="19"/>
        <v>0</v>
      </c>
      <c r="X47" s="39"/>
      <c r="Y47" s="72">
        <f t="shared" ref="Y47:Y78" si="40">IF($K47&lt;=$F$15,ROUNDDOWN(T47*$F$25/100,-2),"")</f>
        <v>126000</v>
      </c>
      <c r="Z47" s="72">
        <f t="shared" si="20"/>
        <v>47505.307088599686</v>
      </c>
      <c r="AA47" s="39"/>
      <c r="AB47" s="72">
        <f t="shared" si="4"/>
        <v>0</v>
      </c>
      <c r="AC47" s="72">
        <f t="shared" si="21"/>
        <v>0</v>
      </c>
      <c r="AD47" s="39"/>
      <c r="AE47" s="72">
        <f t="shared" ref="AE47:AE78" si="41">IF($K47&lt;=$F$15,$F$26,"")</f>
        <v>260000</v>
      </c>
      <c r="AF47" s="72">
        <f t="shared" si="22"/>
        <v>98026.824151078719</v>
      </c>
      <c r="AG47" s="39"/>
      <c r="AH47" s="72">
        <f t="shared" ref="AH47:AH78" si="42">IF($K47&lt;=$F$15,$F$33*10^8,"")</f>
        <v>7000000.0000000009</v>
      </c>
      <c r="AI47" s="72">
        <f t="shared" si="23"/>
        <v>2639183.7271444271</v>
      </c>
      <c r="AJ47" s="39"/>
      <c r="AK47" s="72">
        <f t="shared" ref="AK47:AK78" si="43">IF($K47&lt;=$F$15,$F$117*$F$34/100,"")</f>
        <v>5400000</v>
      </c>
      <c r="AL47" s="72">
        <f t="shared" si="24"/>
        <v>2035941.7323685579</v>
      </c>
      <c r="AM47" s="39"/>
      <c r="AN47" s="72">
        <f t="shared" ref="AN47:AN78" si="44">IF($K47&lt;=$F$15,$F$117*$F$35/100,"")</f>
        <v>0</v>
      </c>
      <c r="AO47" s="72">
        <f t="shared" si="25"/>
        <v>0</v>
      </c>
      <c r="AP47" s="39"/>
      <c r="AQ47" s="72">
        <f t="shared" ref="AQ47:AQ78" si="45">IF($K47&lt;=$F$15,SUM(AH47,AK47,AN47)*($F$36/100),"")</f>
        <v>1736000.0000000002</v>
      </c>
      <c r="AR47" s="72">
        <f t="shared" si="26"/>
        <v>654517.56433181802</v>
      </c>
      <c r="AS47" s="39"/>
      <c r="AT47" s="40">
        <f>IF($K47&lt;=$F$15,IF($F$40&lt;&gt;"",$F$40/1000,IF(ISERROR(VLOOKUP($F$3&amp;IF($G$4&lt;&gt;"",$G$4,"")&amp;IF($F$43&lt;&gt;"","_"&amp;$F$43,""),'表3）燃料価格'!$AF$9:$AG$25,2,0)),0,VLOOKUP($I47,'表3）燃料価格'!$A$6:$U$66,VLOOKUP($F$3&amp;IF($G$4&lt;&gt;"",$G$4,"")&amp;IF($F$43&lt;&gt;"","_"&amp;$F$43,""),'表3）燃料価格'!$AF$9:$AG$25,2,0)+VLOOKUP($F$41,'表3）燃料価格'!$AF$28:$AG$29,2,0),0)*IF($F$43="需要地価格",1,$F$8/$F$141))),"")</f>
        <v>0</v>
      </c>
      <c r="AU47" s="39"/>
      <c r="AV47" s="72">
        <f t="shared" ref="AV47:AV78" si="46">IF($K47&lt;=$F$15,($AT47+$F$142)*$F$137,"")</f>
        <v>0</v>
      </c>
      <c r="AW47" s="72">
        <f t="shared" si="27"/>
        <v>0</v>
      </c>
      <c r="AX47" s="39"/>
      <c r="AY47" s="40">
        <f>IF(ISERROR(IF($K47&lt;=$F$15,VLOOKUP($I47,'表4）CO2価格'!$A$7:$E$67,VLOOKUP($F$48,'表4）CO2価格'!$H$10:$I$12,2,0),0)*$F$8/1000,"")),0,IF($K47&lt;=$F$15,VLOOKUP($I47,'表4）CO2価格'!$A$7:$E$67,VLOOKUP($F$48,'表4）CO2価格'!$H$10:$I$12,2,0),0)*$F$8/1000,""))</f>
        <v>0</v>
      </c>
      <c r="AZ47" s="39"/>
      <c r="BA47" s="42">
        <f t="shared" ref="BA47:BA78" si="47">IF($K47&lt;=$F$15,$F$145*AY47,"")</f>
        <v>0</v>
      </c>
      <c r="BB47" s="72">
        <f t="shared" si="28"/>
        <v>0</v>
      </c>
      <c r="BC47" s="39"/>
      <c r="BD47" s="72">
        <f t="shared" ref="BD47:BD78" si="48">IF($K47&lt;=$F$15,($AT47+$F$152)*$F$151,"")</f>
        <v>0</v>
      </c>
      <c r="BE47" s="72">
        <f t="shared" si="29"/>
        <v>0</v>
      </c>
      <c r="BF47" s="39"/>
      <c r="BG47" s="42">
        <f t="shared" ref="BG47:BG78" si="49">IF($K47&lt;=$F$15,$F$153*AY47,"")</f>
        <v>0</v>
      </c>
      <c r="BH47" s="72">
        <f t="shared" si="30"/>
        <v>0</v>
      </c>
      <c r="BI47" s="39"/>
      <c r="BJ47" s="40" t="str">
        <f t="shared" si="31"/>
        <v/>
      </c>
      <c r="BK47" s="157" t="str">
        <f t="shared" si="32"/>
        <v/>
      </c>
      <c r="BL47" s="157" t="str">
        <f t="shared" si="14"/>
        <v/>
      </c>
      <c r="BM47" s="72"/>
      <c r="BN47" s="72" t="str">
        <f t="shared" si="33"/>
        <v/>
      </c>
      <c r="BO47" s="72" t="str">
        <f t="shared" si="34"/>
        <v/>
      </c>
      <c r="BP47" s="39"/>
      <c r="BQ47" s="72">
        <f t="shared" ref="BQ47:BQ78" si="50">IF($K47&lt;=$F$15,$F$134,"")</f>
        <v>1051200</v>
      </c>
      <c r="BR47" s="72">
        <f t="shared" si="35"/>
        <v>396329.99056774593</v>
      </c>
    </row>
    <row r="48" spans="3:70" x14ac:dyDescent="0.15">
      <c r="D48" s="84" t="s">
        <v>578</v>
      </c>
      <c r="F48" s="474"/>
      <c r="I48" s="457">
        <f t="shared" si="36"/>
        <v>2053</v>
      </c>
      <c r="J48" s="71"/>
      <c r="K48" s="71">
        <f t="shared" si="37"/>
        <v>34</v>
      </c>
      <c r="L48" s="71"/>
      <c r="M48" s="7">
        <f t="shared" si="0"/>
        <v>0.36604489974263904</v>
      </c>
      <c r="N48" s="71"/>
      <c r="O48" s="10">
        <f t="shared" si="16"/>
        <v>4.6566128730773926E-9</v>
      </c>
      <c r="P48" s="29" t="str">
        <f t="shared" si="38"/>
        <v>-</v>
      </c>
      <c r="Q48" s="71"/>
      <c r="R48" s="10">
        <f t="shared" ref="R48:R79" si="51">IF($K48&lt;=$F$15,MAX($F$117*5%,R47*$F$129),"")</f>
        <v>9000000</v>
      </c>
      <c r="S48" s="71"/>
      <c r="T48" s="10">
        <f t="shared" si="18"/>
        <v>9000000</v>
      </c>
      <c r="U48" s="71"/>
      <c r="V48" s="10">
        <f t="shared" si="39"/>
        <v>0</v>
      </c>
      <c r="W48" s="10">
        <f t="shared" si="19"/>
        <v>0</v>
      </c>
      <c r="X48" s="71"/>
      <c r="Y48" s="10">
        <f t="shared" si="40"/>
        <v>126000</v>
      </c>
      <c r="Z48" s="10">
        <f t="shared" si="20"/>
        <v>46121.657367572516</v>
      </c>
      <c r="AA48" s="71"/>
      <c r="AB48" s="10">
        <f t="shared" si="4"/>
        <v>0</v>
      </c>
      <c r="AC48" s="10">
        <f t="shared" si="21"/>
        <v>0</v>
      </c>
      <c r="AD48" s="71"/>
      <c r="AE48" s="10">
        <f t="shared" si="41"/>
        <v>260000</v>
      </c>
      <c r="AF48" s="10">
        <f t="shared" si="22"/>
        <v>95171.673933086146</v>
      </c>
      <c r="AG48" s="71"/>
      <c r="AH48" s="10">
        <f t="shared" si="42"/>
        <v>7000000.0000000009</v>
      </c>
      <c r="AI48" s="10">
        <f t="shared" si="23"/>
        <v>2562314.2981984736</v>
      </c>
      <c r="AJ48" s="71"/>
      <c r="AK48" s="10">
        <f t="shared" si="43"/>
        <v>5400000</v>
      </c>
      <c r="AL48" s="10">
        <f t="shared" si="24"/>
        <v>1976642.4586102508</v>
      </c>
      <c r="AM48" s="71"/>
      <c r="AN48" s="10">
        <f t="shared" si="44"/>
        <v>0</v>
      </c>
      <c r="AO48" s="10">
        <f t="shared" si="25"/>
        <v>0</v>
      </c>
      <c r="AP48" s="71"/>
      <c r="AQ48" s="10">
        <f t="shared" si="45"/>
        <v>1736000.0000000002</v>
      </c>
      <c r="AR48" s="10">
        <f t="shared" si="26"/>
        <v>635453.94595322141</v>
      </c>
      <c r="AS48" s="71"/>
      <c r="AT48" s="7">
        <f>IF($K48&lt;=$F$15,IF($F$40&lt;&gt;"",$F$40/1000,IF(ISERROR(VLOOKUP($F$3&amp;IF($G$4&lt;&gt;"",$G$4,"")&amp;IF($F$43&lt;&gt;"","_"&amp;$F$43,""),'表3）燃料価格'!$AF$9:$AG$25,2,0)),0,VLOOKUP($I48,'表3）燃料価格'!$A$6:$U$66,VLOOKUP($F$3&amp;IF($G$4&lt;&gt;"",$G$4,"")&amp;IF($F$43&lt;&gt;"","_"&amp;$F$43,""),'表3）燃料価格'!$AF$9:$AG$25,2,0)+VLOOKUP($F$41,'表3）燃料価格'!$AF$28:$AG$29,2,0),0)*IF($F$43="需要地価格",1,$F$8/$F$141))),"")</f>
        <v>0</v>
      </c>
      <c r="AU48" s="71"/>
      <c r="AV48" s="10">
        <f t="shared" si="46"/>
        <v>0</v>
      </c>
      <c r="AW48" s="10">
        <f t="shared" si="27"/>
        <v>0</v>
      </c>
      <c r="AX48" s="71"/>
      <c r="AY48" s="7">
        <f>IF(ISERROR(IF($K48&lt;=$F$15,VLOOKUP($I48,'表4）CO2価格'!$A$7:$E$67,VLOOKUP($F$48,'表4）CO2価格'!$H$10:$I$12,2,0),0)*$F$8/1000,"")),0,IF($K48&lt;=$F$15,VLOOKUP($I48,'表4）CO2価格'!$A$7:$E$67,VLOOKUP($F$48,'表4）CO2価格'!$H$10:$I$12,2,0),0)*$F$8/1000,""))</f>
        <v>0</v>
      </c>
      <c r="AZ48" s="71"/>
      <c r="BA48" s="11">
        <f t="shared" si="47"/>
        <v>0</v>
      </c>
      <c r="BB48" s="10">
        <f t="shared" si="28"/>
        <v>0</v>
      </c>
      <c r="BC48" s="71"/>
      <c r="BD48" s="10">
        <f t="shared" si="48"/>
        <v>0</v>
      </c>
      <c r="BE48" s="10">
        <f t="shared" si="29"/>
        <v>0</v>
      </c>
      <c r="BF48" s="71"/>
      <c r="BG48" s="11">
        <f t="shared" si="49"/>
        <v>0</v>
      </c>
      <c r="BH48" s="10">
        <f t="shared" si="30"/>
        <v>0</v>
      </c>
      <c r="BJ48" s="7" t="str">
        <f t="shared" si="31"/>
        <v/>
      </c>
      <c r="BK48" s="158" t="str">
        <f t="shared" si="32"/>
        <v/>
      </c>
      <c r="BL48" s="158" t="str">
        <f t="shared" si="14"/>
        <v/>
      </c>
      <c r="BM48" s="10"/>
      <c r="BN48" s="10" t="str">
        <f t="shared" si="33"/>
        <v/>
      </c>
      <c r="BO48" s="10" t="str">
        <f t="shared" si="34"/>
        <v/>
      </c>
      <c r="BQ48" s="10">
        <f t="shared" si="50"/>
        <v>1051200</v>
      </c>
      <c r="BR48" s="10">
        <f t="shared" si="35"/>
        <v>384786.39860946214</v>
      </c>
    </row>
    <row r="49" spans="3:70" x14ac:dyDescent="0.15">
      <c r="I49" s="38">
        <f t="shared" si="36"/>
        <v>2054</v>
      </c>
      <c r="J49" s="39"/>
      <c r="K49" s="39">
        <f t="shared" si="37"/>
        <v>35</v>
      </c>
      <c r="L49" s="39"/>
      <c r="M49" s="40">
        <f t="shared" si="0"/>
        <v>0.35538339780838735</v>
      </c>
      <c r="N49" s="39"/>
      <c r="O49" s="72">
        <f t="shared" si="16"/>
        <v>4.6566128730773926E-9</v>
      </c>
      <c r="P49" s="41" t="str">
        <f t="shared" si="38"/>
        <v>-</v>
      </c>
      <c r="Q49" s="39"/>
      <c r="R49" s="72">
        <f t="shared" si="51"/>
        <v>9000000</v>
      </c>
      <c r="S49" s="39"/>
      <c r="T49" s="72">
        <f t="shared" si="18"/>
        <v>9000000</v>
      </c>
      <c r="U49" s="39"/>
      <c r="V49" s="72">
        <f t="shared" si="39"/>
        <v>0</v>
      </c>
      <c r="W49" s="72">
        <f t="shared" si="19"/>
        <v>0</v>
      </c>
      <c r="X49" s="39"/>
      <c r="Y49" s="72">
        <f t="shared" si="40"/>
        <v>126000</v>
      </c>
      <c r="Z49" s="72">
        <f t="shared" si="20"/>
        <v>44778.308123856805</v>
      </c>
      <c r="AA49" s="39"/>
      <c r="AB49" s="72">
        <f t="shared" si="4"/>
        <v>0</v>
      </c>
      <c r="AC49" s="72">
        <f t="shared" si="21"/>
        <v>0</v>
      </c>
      <c r="AD49" s="39"/>
      <c r="AE49" s="72">
        <f t="shared" si="41"/>
        <v>260000</v>
      </c>
      <c r="AF49" s="72">
        <f t="shared" si="22"/>
        <v>92399.68343018071</v>
      </c>
      <c r="AG49" s="39"/>
      <c r="AH49" s="72">
        <f t="shared" si="42"/>
        <v>7000000.0000000009</v>
      </c>
      <c r="AI49" s="72">
        <f t="shared" si="23"/>
        <v>2487683.7846587119</v>
      </c>
      <c r="AJ49" s="39"/>
      <c r="AK49" s="72">
        <f t="shared" si="43"/>
        <v>5400000</v>
      </c>
      <c r="AL49" s="72">
        <f t="shared" si="24"/>
        <v>1919070.3481652916</v>
      </c>
      <c r="AM49" s="39"/>
      <c r="AN49" s="72">
        <f t="shared" si="44"/>
        <v>0</v>
      </c>
      <c r="AO49" s="72">
        <f t="shared" si="25"/>
        <v>0</v>
      </c>
      <c r="AP49" s="39"/>
      <c r="AQ49" s="72">
        <f t="shared" si="45"/>
        <v>1736000.0000000002</v>
      </c>
      <c r="AR49" s="72">
        <f t="shared" si="26"/>
        <v>616945.57859536051</v>
      </c>
      <c r="AS49" s="39"/>
      <c r="AT49" s="40">
        <f>IF($K49&lt;=$F$15,IF($F$40&lt;&gt;"",$F$40/1000,IF(ISERROR(VLOOKUP($F$3&amp;IF($G$4&lt;&gt;"",$G$4,"")&amp;IF($F$43&lt;&gt;"","_"&amp;$F$43,""),'表3）燃料価格'!$AF$9:$AG$25,2,0)),0,VLOOKUP($I49,'表3）燃料価格'!$A$6:$U$66,VLOOKUP($F$3&amp;IF($G$4&lt;&gt;"",$G$4,"")&amp;IF($F$43&lt;&gt;"","_"&amp;$F$43,""),'表3）燃料価格'!$AF$9:$AG$25,2,0)+VLOOKUP($F$41,'表3）燃料価格'!$AF$28:$AG$29,2,0),0)*IF($F$43="需要地価格",1,$F$8/$F$141))),"")</f>
        <v>0</v>
      </c>
      <c r="AU49" s="39"/>
      <c r="AV49" s="72">
        <f t="shared" si="46"/>
        <v>0</v>
      </c>
      <c r="AW49" s="72">
        <f t="shared" si="27"/>
        <v>0</v>
      </c>
      <c r="AX49" s="39"/>
      <c r="AY49" s="40">
        <f>IF(ISERROR(IF($K49&lt;=$F$15,VLOOKUP($I49,'表4）CO2価格'!$A$7:$E$67,VLOOKUP($F$48,'表4）CO2価格'!$H$10:$I$12,2,0),0)*$F$8/1000,"")),0,IF($K49&lt;=$F$15,VLOOKUP($I49,'表4）CO2価格'!$A$7:$E$67,VLOOKUP($F$48,'表4）CO2価格'!$H$10:$I$12,2,0),0)*$F$8/1000,""))</f>
        <v>0</v>
      </c>
      <c r="AZ49" s="39"/>
      <c r="BA49" s="42">
        <f t="shared" si="47"/>
        <v>0</v>
      </c>
      <c r="BB49" s="72">
        <f t="shared" si="28"/>
        <v>0</v>
      </c>
      <c r="BC49" s="39"/>
      <c r="BD49" s="72">
        <f t="shared" si="48"/>
        <v>0</v>
      </c>
      <c r="BE49" s="72">
        <f t="shared" si="29"/>
        <v>0</v>
      </c>
      <c r="BF49" s="39"/>
      <c r="BG49" s="42">
        <f t="shared" si="49"/>
        <v>0</v>
      </c>
      <c r="BH49" s="72">
        <f t="shared" si="30"/>
        <v>0</v>
      </c>
      <c r="BI49" s="39"/>
      <c r="BJ49" s="40" t="str">
        <f t="shared" si="31"/>
        <v/>
      </c>
      <c r="BK49" s="157" t="str">
        <f t="shared" si="32"/>
        <v/>
      </c>
      <c r="BL49" s="157" t="str">
        <f t="shared" si="14"/>
        <v/>
      </c>
      <c r="BM49" s="72"/>
      <c r="BN49" s="72" t="str">
        <f t="shared" si="33"/>
        <v/>
      </c>
      <c r="BO49" s="72" t="str">
        <f t="shared" si="34"/>
        <v/>
      </c>
      <c r="BP49" s="39"/>
      <c r="BQ49" s="72">
        <f t="shared" si="50"/>
        <v>1051200</v>
      </c>
      <c r="BR49" s="72">
        <f t="shared" si="35"/>
        <v>373579.02777617675</v>
      </c>
    </row>
    <row r="50" spans="3:70" x14ac:dyDescent="0.15">
      <c r="C50" s="4" t="s">
        <v>579</v>
      </c>
      <c r="D50" s="100"/>
      <c r="E50" s="100"/>
      <c r="F50" s="4"/>
      <c r="G50" s="100"/>
      <c r="I50" s="457">
        <f t="shared" si="36"/>
        <v>2055</v>
      </c>
      <c r="J50" s="71"/>
      <c r="K50" s="71">
        <f t="shared" si="37"/>
        <v>36</v>
      </c>
      <c r="L50" s="71"/>
      <c r="M50" s="7">
        <f t="shared" si="0"/>
        <v>0.34503242505668674</v>
      </c>
      <c r="N50" s="71"/>
      <c r="O50" s="10">
        <f t="shared" si="16"/>
        <v>4.6566128730773926E-9</v>
      </c>
      <c r="P50" s="29" t="str">
        <f t="shared" si="38"/>
        <v>-</v>
      </c>
      <c r="Q50" s="71"/>
      <c r="R50" s="10">
        <f t="shared" si="51"/>
        <v>9000000</v>
      </c>
      <c r="S50" s="71"/>
      <c r="T50" s="10">
        <f t="shared" si="18"/>
        <v>9000000</v>
      </c>
      <c r="U50" s="71"/>
      <c r="V50" s="10">
        <f t="shared" si="39"/>
        <v>0</v>
      </c>
      <c r="W50" s="10">
        <f t="shared" si="19"/>
        <v>0</v>
      </c>
      <c r="X50" s="71"/>
      <c r="Y50" s="10">
        <f t="shared" si="40"/>
        <v>126000</v>
      </c>
      <c r="Z50" s="10">
        <f t="shared" si="20"/>
        <v>43474.085557142527</v>
      </c>
      <c r="AA50" s="71"/>
      <c r="AB50" s="10">
        <f t="shared" si="4"/>
        <v>0</v>
      </c>
      <c r="AC50" s="10">
        <f t="shared" si="21"/>
        <v>0</v>
      </c>
      <c r="AD50" s="71"/>
      <c r="AE50" s="10">
        <f t="shared" si="41"/>
        <v>260000</v>
      </c>
      <c r="AF50" s="10">
        <f t="shared" si="22"/>
        <v>89708.430514738546</v>
      </c>
      <c r="AG50" s="71"/>
      <c r="AH50" s="10">
        <f t="shared" si="42"/>
        <v>7000000.0000000009</v>
      </c>
      <c r="AI50" s="10">
        <f t="shared" si="23"/>
        <v>2415226.9753968073</v>
      </c>
      <c r="AJ50" s="71"/>
      <c r="AK50" s="10">
        <f t="shared" si="43"/>
        <v>5400000</v>
      </c>
      <c r="AL50" s="10">
        <f t="shared" si="24"/>
        <v>1863175.0953061085</v>
      </c>
      <c r="AM50" s="71"/>
      <c r="AN50" s="10">
        <f t="shared" si="44"/>
        <v>0</v>
      </c>
      <c r="AO50" s="10">
        <f t="shared" si="25"/>
        <v>0</v>
      </c>
      <c r="AP50" s="71"/>
      <c r="AQ50" s="10">
        <f t="shared" si="45"/>
        <v>1736000.0000000002</v>
      </c>
      <c r="AR50" s="10">
        <f t="shared" si="26"/>
        <v>598976.28989840823</v>
      </c>
      <c r="AS50" s="71"/>
      <c r="AT50" s="7">
        <f>IF($K50&lt;=$F$15,IF($F$40&lt;&gt;"",$F$40/1000,IF(ISERROR(VLOOKUP($F$3&amp;IF($G$4&lt;&gt;"",$G$4,"")&amp;IF($F$43&lt;&gt;"","_"&amp;$F$43,""),'表3）燃料価格'!$AF$9:$AG$25,2,0)),0,VLOOKUP($I50,'表3）燃料価格'!$A$6:$U$66,VLOOKUP($F$3&amp;IF($G$4&lt;&gt;"",$G$4,"")&amp;IF($F$43&lt;&gt;"","_"&amp;$F$43,""),'表3）燃料価格'!$AF$9:$AG$25,2,0)+VLOOKUP($F$41,'表3）燃料価格'!$AF$28:$AG$29,2,0),0)*IF($F$43="需要地価格",1,$F$8/$F$141))),"")</f>
        <v>0</v>
      </c>
      <c r="AU50" s="71"/>
      <c r="AV50" s="10">
        <f t="shared" si="46"/>
        <v>0</v>
      </c>
      <c r="AW50" s="10">
        <f t="shared" si="27"/>
        <v>0</v>
      </c>
      <c r="AX50" s="71"/>
      <c r="AY50" s="7">
        <f>IF(ISERROR(IF($K50&lt;=$F$15,VLOOKUP($I50,'表4）CO2価格'!$A$7:$E$67,VLOOKUP($F$48,'表4）CO2価格'!$H$10:$I$12,2,0),0)*$F$8/1000,"")),0,IF($K50&lt;=$F$15,VLOOKUP($I50,'表4）CO2価格'!$A$7:$E$67,VLOOKUP($F$48,'表4）CO2価格'!$H$10:$I$12,2,0),0)*$F$8/1000,""))</f>
        <v>0</v>
      </c>
      <c r="AZ50" s="71"/>
      <c r="BA50" s="11">
        <f t="shared" si="47"/>
        <v>0</v>
      </c>
      <c r="BB50" s="10">
        <f t="shared" si="28"/>
        <v>0</v>
      </c>
      <c r="BC50" s="71"/>
      <c r="BD50" s="10">
        <f t="shared" si="48"/>
        <v>0</v>
      </c>
      <c r="BE50" s="10">
        <f t="shared" si="29"/>
        <v>0</v>
      </c>
      <c r="BF50" s="71"/>
      <c r="BG50" s="11">
        <f t="shared" si="49"/>
        <v>0</v>
      </c>
      <c r="BH50" s="10">
        <f t="shared" si="30"/>
        <v>0</v>
      </c>
      <c r="BJ50" s="7" t="str">
        <f t="shared" si="31"/>
        <v/>
      </c>
      <c r="BK50" s="158" t="str">
        <f t="shared" si="32"/>
        <v/>
      </c>
      <c r="BL50" s="158" t="str">
        <f t="shared" si="14"/>
        <v/>
      </c>
      <c r="BM50" s="10"/>
      <c r="BN50" s="10" t="str">
        <f t="shared" si="33"/>
        <v/>
      </c>
      <c r="BO50" s="10" t="str">
        <f t="shared" si="34"/>
        <v/>
      </c>
      <c r="BQ50" s="10">
        <f t="shared" si="50"/>
        <v>1051200</v>
      </c>
      <c r="BR50" s="10">
        <f t="shared" si="35"/>
        <v>362698.08521958912</v>
      </c>
    </row>
    <row r="51" spans="3:70" x14ac:dyDescent="0.15">
      <c r="I51" s="38">
        <f t="shared" si="36"/>
        <v>2056</v>
      </c>
      <c r="J51" s="39"/>
      <c r="K51" s="39">
        <f t="shared" si="37"/>
        <v>37</v>
      </c>
      <c r="L51" s="39"/>
      <c r="M51" s="40">
        <f t="shared" si="0"/>
        <v>0.33498293694823961</v>
      </c>
      <c r="N51" s="39"/>
      <c r="O51" s="72">
        <f t="shared" si="16"/>
        <v>4.6566128730773926E-9</v>
      </c>
      <c r="P51" s="41" t="str">
        <f t="shared" si="38"/>
        <v>-</v>
      </c>
      <c r="Q51" s="39"/>
      <c r="R51" s="72">
        <f t="shared" si="51"/>
        <v>9000000</v>
      </c>
      <c r="S51" s="39"/>
      <c r="T51" s="72">
        <f t="shared" si="18"/>
        <v>9000000</v>
      </c>
      <c r="U51" s="39"/>
      <c r="V51" s="72">
        <f t="shared" si="39"/>
        <v>0</v>
      </c>
      <c r="W51" s="72">
        <f t="shared" si="19"/>
        <v>0</v>
      </c>
      <c r="X51" s="39"/>
      <c r="Y51" s="72">
        <f t="shared" si="40"/>
        <v>126000</v>
      </c>
      <c r="Z51" s="72">
        <f t="shared" si="20"/>
        <v>42207.850055478193</v>
      </c>
      <c r="AA51" s="39"/>
      <c r="AB51" s="72">
        <f t="shared" si="4"/>
        <v>0</v>
      </c>
      <c r="AC51" s="72">
        <f t="shared" si="21"/>
        <v>0</v>
      </c>
      <c r="AD51" s="39"/>
      <c r="AE51" s="72">
        <f t="shared" si="41"/>
        <v>260000</v>
      </c>
      <c r="AF51" s="72">
        <f t="shared" si="22"/>
        <v>87095.563606542302</v>
      </c>
      <c r="AG51" s="39"/>
      <c r="AH51" s="72">
        <f t="shared" si="42"/>
        <v>7000000.0000000009</v>
      </c>
      <c r="AI51" s="72">
        <f t="shared" si="23"/>
        <v>2344880.5586376777</v>
      </c>
      <c r="AJ51" s="39"/>
      <c r="AK51" s="72">
        <f t="shared" si="43"/>
        <v>5400000</v>
      </c>
      <c r="AL51" s="72">
        <f t="shared" si="24"/>
        <v>1808907.8595204938</v>
      </c>
      <c r="AM51" s="39"/>
      <c r="AN51" s="72">
        <f t="shared" si="44"/>
        <v>0</v>
      </c>
      <c r="AO51" s="72">
        <f t="shared" si="25"/>
        <v>0</v>
      </c>
      <c r="AP51" s="39"/>
      <c r="AQ51" s="72">
        <f t="shared" si="45"/>
        <v>1736000.0000000002</v>
      </c>
      <c r="AR51" s="72">
        <f t="shared" si="26"/>
        <v>581530.37854214408</v>
      </c>
      <c r="AS51" s="39"/>
      <c r="AT51" s="40">
        <f>IF($K51&lt;=$F$15,IF($F$40&lt;&gt;"",$F$40/1000,IF(ISERROR(VLOOKUP($F$3&amp;IF($G$4&lt;&gt;"",$G$4,"")&amp;IF($F$43&lt;&gt;"","_"&amp;$F$43,""),'表3）燃料価格'!$AF$9:$AG$25,2,0)),0,VLOOKUP($I51,'表3）燃料価格'!$A$6:$U$66,VLOOKUP($F$3&amp;IF($G$4&lt;&gt;"",$G$4,"")&amp;IF($F$43&lt;&gt;"","_"&amp;$F$43,""),'表3）燃料価格'!$AF$9:$AG$25,2,0)+VLOOKUP($F$41,'表3）燃料価格'!$AF$28:$AG$29,2,0),0)*IF($F$43="需要地価格",1,$F$8/$F$141))),"")</f>
        <v>0</v>
      </c>
      <c r="AU51" s="39"/>
      <c r="AV51" s="72">
        <f t="shared" si="46"/>
        <v>0</v>
      </c>
      <c r="AW51" s="72">
        <f t="shared" si="27"/>
        <v>0</v>
      </c>
      <c r="AX51" s="39"/>
      <c r="AY51" s="40">
        <f>IF(ISERROR(IF($K51&lt;=$F$15,VLOOKUP($I51,'表4）CO2価格'!$A$7:$E$67,VLOOKUP($F$48,'表4）CO2価格'!$H$10:$I$12,2,0),0)*$F$8/1000,"")),0,IF($K51&lt;=$F$15,VLOOKUP($I51,'表4）CO2価格'!$A$7:$E$67,VLOOKUP($F$48,'表4）CO2価格'!$H$10:$I$12,2,0),0)*$F$8/1000,""))</f>
        <v>0</v>
      </c>
      <c r="AZ51" s="39"/>
      <c r="BA51" s="42">
        <f t="shared" si="47"/>
        <v>0</v>
      </c>
      <c r="BB51" s="72">
        <f t="shared" si="28"/>
        <v>0</v>
      </c>
      <c r="BC51" s="39"/>
      <c r="BD51" s="72">
        <f t="shared" si="48"/>
        <v>0</v>
      </c>
      <c r="BE51" s="72">
        <f t="shared" si="29"/>
        <v>0</v>
      </c>
      <c r="BF51" s="39"/>
      <c r="BG51" s="42">
        <f t="shared" si="49"/>
        <v>0</v>
      </c>
      <c r="BH51" s="72">
        <f t="shared" si="30"/>
        <v>0</v>
      </c>
      <c r="BI51" s="39"/>
      <c r="BJ51" s="40" t="str">
        <f t="shared" si="31"/>
        <v/>
      </c>
      <c r="BK51" s="157" t="str">
        <f t="shared" si="32"/>
        <v/>
      </c>
      <c r="BL51" s="157" t="str">
        <f t="shared" si="14"/>
        <v/>
      </c>
      <c r="BM51" s="72"/>
      <c r="BN51" s="72" t="str">
        <f t="shared" si="33"/>
        <v/>
      </c>
      <c r="BO51" s="72" t="str">
        <f t="shared" si="34"/>
        <v/>
      </c>
      <c r="BP51" s="39"/>
      <c r="BQ51" s="72">
        <f t="shared" si="50"/>
        <v>1051200</v>
      </c>
      <c r="BR51" s="72">
        <f t="shared" si="35"/>
        <v>352134.06331998948</v>
      </c>
    </row>
    <row r="52" spans="3:70" x14ac:dyDescent="0.15">
      <c r="D52" s="84" t="s">
        <v>185</v>
      </c>
      <c r="F52" s="478"/>
      <c r="G52" s="84" t="s">
        <v>549</v>
      </c>
      <c r="I52" s="457">
        <f t="shared" si="36"/>
        <v>2057</v>
      </c>
      <c r="J52" s="71"/>
      <c r="K52" s="71">
        <f t="shared" si="37"/>
        <v>38</v>
      </c>
      <c r="L52" s="71"/>
      <c r="M52" s="7">
        <f t="shared" si="0"/>
        <v>0.3252261523769317</v>
      </c>
      <c r="N52" s="71"/>
      <c r="O52" s="10">
        <f t="shared" si="16"/>
        <v>4.6566128730773926E-9</v>
      </c>
      <c r="P52" s="29" t="str">
        <f t="shared" si="38"/>
        <v>-</v>
      </c>
      <c r="Q52" s="71"/>
      <c r="R52" s="10">
        <f t="shared" si="51"/>
        <v>9000000</v>
      </c>
      <c r="S52" s="71"/>
      <c r="T52" s="10">
        <f t="shared" si="18"/>
        <v>9000000</v>
      </c>
      <c r="U52" s="71"/>
      <c r="V52" s="10">
        <f t="shared" si="39"/>
        <v>0</v>
      </c>
      <c r="W52" s="10">
        <f t="shared" si="19"/>
        <v>0</v>
      </c>
      <c r="X52" s="71"/>
      <c r="Y52" s="10">
        <f t="shared" si="40"/>
        <v>126000</v>
      </c>
      <c r="Z52" s="10">
        <f t="shared" si="20"/>
        <v>40978.495199493394</v>
      </c>
      <c r="AA52" s="71"/>
      <c r="AB52" s="10">
        <f t="shared" si="4"/>
        <v>0</v>
      </c>
      <c r="AC52" s="10">
        <f t="shared" si="21"/>
        <v>0</v>
      </c>
      <c r="AD52" s="71"/>
      <c r="AE52" s="10">
        <f t="shared" si="41"/>
        <v>260000</v>
      </c>
      <c r="AF52" s="10">
        <f t="shared" si="22"/>
        <v>84558.799618002246</v>
      </c>
      <c r="AG52" s="71"/>
      <c r="AH52" s="10">
        <f t="shared" si="42"/>
        <v>7000000.0000000009</v>
      </c>
      <c r="AI52" s="10">
        <f t="shared" si="23"/>
        <v>2276583.0666385223</v>
      </c>
      <c r="AJ52" s="71"/>
      <c r="AK52" s="10">
        <f t="shared" si="43"/>
        <v>5400000</v>
      </c>
      <c r="AL52" s="10">
        <f t="shared" si="24"/>
        <v>1756221.2228354311</v>
      </c>
      <c r="AM52" s="71"/>
      <c r="AN52" s="10">
        <f t="shared" si="44"/>
        <v>0</v>
      </c>
      <c r="AO52" s="10">
        <f t="shared" si="25"/>
        <v>0</v>
      </c>
      <c r="AP52" s="71"/>
      <c r="AQ52" s="10">
        <f t="shared" si="45"/>
        <v>1736000.0000000002</v>
      </c>
      <c r="AR52" s="10">
        <f t="shared" si="26"/>
        <v>564592.60052635346</v>
      </c>
      <c r="AS52" s="71"/>
      <c r="AT52" s="7">
        <f>IF($K52&lt;=$F$15,IF($F$40&lt;&gt;"",$F$40/1000,IF(ISERROR(VLOOKUP($F$3&amp;IF($G$4&lt;&gt;"",$G$4,"")&amp;IF($F$43&lt;&gt;"","_"&amp;$F$43,""),'表3）燃料価格'!$AF$9:$AG$25,2,0)),0,VLOOKUP($I52,'表3）燃料価格'!$A$6:$U$66,VLOOKUP($F$3&amp;IF($G$4&lt;&gt;"",$G$4,"")&amp;IF($F$43&lt;&gt;"","_"&amp;$F$43,""),'表3）燃料価格'!$AF$9:$AG$25,2,0)+VLOOKUP($F$41,'表3）燃料価格'!$AF$28:$AG$29,2,0),0)*IF($F$43="需要地価格",1,$F$8/$F$141))),"")</f>
        <v>0</v>
      </c>
      <c r="AU52" s="71"/>
      <c r="AV52" s="10">
        <f t="shared" si="46"/>
        <v>0</v>
      </c>
      <c r="AW52" s="10">
        <f t="shared" si="27"/>
        <v>0</v>
      </c>
      <c r="AX52" s="71"/>
      <c r="AY52" s="7">
        <f>IF(ISERROR(IF($K52&lt;=$F$15,VLOOKUP($I52,'表4）CO2価格'!$A$7:$E$67,VLOOKUP($F$48,'表4）CO2価格'!$H$10:$I$12,2,0),0)*$F$8/1000,"")),0,IF($K52&lt;=$F$15,VLOOKUP($I52,'表4）CO2価格'!$A$7:$E$67,VLOOKUP($F$48,'表4）CO2価格'!$H$10:$I$12,2,0),0)*$F$8/1000,""))</f>
        <v>0</v>
      </c>
      <c r="AZ52" s="71"/>
      <c r="BA52" s="11">
        <f t="shared" si="47"/>
        <v>0</v>
      </c>
      <c r="BB52" s="10">
        <f t="shared" si="28"/>
        <v>0</v>
      </c>
      <c r="BC52" s="71"/>
      <c r="BD52" s="10">
        <f t="shared" si="48"/>
        <v>0</v>
      </c>
      <c r="BE52" s="10">
        <f t="shared" si="29"/>
        <v>0</v>
      </c>
      <c r="BF52" s="71"/>
      <c r="BG52" s="11">
        <f t="shared" si="49"/>
        <v>0</v>
      </c>
      <c r="BH52" s="10">
        <f t="shared" si="30"/>
        <v>0</v>
      </c>
      <c r="BJ52" s="7" t="str">
        <f t="shared" si="31"/>
        <v/>
      </c>
      <c r="BK52" s="158" t="str">
        <f t="shared" si="32"/>
        <v/>
      </c>
      <c r="BL52" s="158" t="str">
        <f t="shared" si="14"/>
        <v/>
      </c>
      <c r="BM52" s="10"/>
      <c r="BN52" s="10" t="str">
        <f t="shared" si="33"/>
        <v/>
      </c>
      <c r="BO52" s="10" t="str">
        <f t="shared" si="34"/>
        <v/>
      </c>
      <c r="BQ52" s="10">
        <f t="shared" si="50"/>
        <v>1051200</v>
      </c>
      <c r="BR52" s="10">
        <f t="shared" si="35"/>
        <v>341877.73137863062</v>
      </c>
    </row>
    <row r="53" spans="3:70" x14ac:dyDescent="0.15">
      <c r="D53" s="84" t="s">
        <v>580</v>
      </c>
      <c r="F53" s="475"/>
      <c r="G53" s="84" t="s">
        <v>549</v>
      </c>
      <c r="I53" s="38">
        <f t="shared" si="36"/>
        <v>2058</v>
      </c>
      <c r="J53" s="39"/>
      <c r="K53" s="39">
        <f t="shared" si="37"/>
        <v>39</v>
      </c>
      <c r="L53" s="39"/>
      <c r="M53" s="40">
        <f t="shared" si="0"/>
        <v>0.31575354599702099</v>
      </c>
      <c r="N53" s="39"/>
      <c r="O53" s="72">
        <f t="shared" si="16"/>
        <v>4.6566128730773926E-9</v>
      </c>
      <c r="P53" s="41" t="str">
        <f t="shared" si="38"/>
        <v>-</v>
      </c>
      <c r="Q53" s="39"/>
      <c r="R53" s="72">
        <f t="shared" si="51"/>
        <v>9000000</v>
      </c>
      <c r="S53" s="39"/>
      <c r="T53" s="72">
        <f t="shared" si="18"/>
        <v>9000000</v>
      </c>
      <c r="U53" s="39"/>
      <c r="V53" s="72">
        <f t="shared" si="39"/>
        <v>0</v>
      </c>
      <c r="W53" s="72">
        <f t="shared" si="19"/>
        <v>0</v>
      </c>
      <c r="X53" s="39"/>
      <c r="Y53" s="72">
        <f t="shared" si="40"/>
        <v>126000</v>
      </c>
      <c r="Z53" s="72">
        <f t="shared" si="20"/>
        <v>39784.946795624644</v>
      </c>
      <c r="AA53" s="39"/>
      <c r="AB53" s="72">
        <f t="shared" si="4"/>
        <v>0</v>
      </c>
      <c r="AC53" s="72">
        <f t="shared" si="21"/>
        <v>0</v>
      </c>
      <c r="AD53" s="39"/>
      <c r="AE53" s="72">
        <f t="shared" si="41"/>
        <v>260000</v>
      </c>
      <c r="AF53" s="72">
        <f t="shared" si="22"/>
        <v>82095.921959225452</v>
      </c>
      <c r="AG53" s="39"/>
      <c r="AH53" s="72">
        <f t="shared" si="42"/>
        <v>7000000.0000000009</v>
      </c>
      <c r="AI53" s="72">
        <f t="shared" si="23"/>
        <v>2210274.8219791474</v>
      </c>
      <c r="AJ53" s="39"/>
      <c r="AK53" s="72">
        <f t="shared" si="43"/>
        <v>5400000</v>
      </c>
      <c r="AL53" s="72">
        <f t="shared" si="24"/>
        <v>1705069.1483839133</v>
      </c>
      <c r="AM53" s="39"/>
      <c r="AN53" s="72">
        <f t="shared" si="44"/>
        <v>0</v>
      </c>
      <c r="AO53" s="72">
        <f t="shared" si="25"/>
        <v>0</v>
      </c>
      <c r="AP53" s="39"/>
      <c r="AQ53" s="72">
        <f t="shared" si="45"/>
        <v>1736000.0000000002</v>
      </c>
      <c r="AR53" s="72">
        <f t="shared" si="26"/>
        <v>548148.15585082851</v>
      </c>
      <c r="AS53" s="39"/>
      <c r="AT53" s="40">
        <f>IF($K53&lt;=$F$15,IF($F$40&lt;&gt;"",$F$40/1000,IF(ISERROR(VLOOKUP($F$3&amp;IF($G$4&lt;&gt;"",$G$4,"")&amp;IF($F$43&lt;&gt;"","_"&amp;$F$43,""),'表3）燃料価格'!$AF$9:$AG$25,2,0)),0,VLOOKUP($I53,'表3）燃料価格'!$A$6:$U$66,VLOOKUP($F$3&amp;IF($G$4&lt;&gt;"",$G$4,"")&amp;IF($F$43&lt;&gt;"","_"&amp;$F$43,""),'表3）燃料価格'!$AF$9:$AG$25,2,0)+VLOOKUP($F$41,'表3）燃料価格'!$AF$28:$AG$29,2,0),0)*IF($F$43="需要地価格",1,$F$8/$F$141))),"")</f>
        <v>0</v>
      </c>
      <c r="AU53" s="39"/>
      <c r="AV53" s="72">
        <f t="shared" si="46"/>
        <v>0</v>
      </c>
      <c r="AW53" s="72">
        <f t="shared" si="27"/>
        <v>0</v>
      </c>
      <c r="AX53" s="39"/>
      <c r="AY53" s="40">
        <f>IF(ISERROR(IF($K53&lt;=$F$15,VLOOKUP($I53,'表4）CO2価格'!$A$7:$E$67,VLOOKUP($F$48,'表4）CO2価格'!$H$10:$I$12,2,0),0)*$F$8/1000,"")),0,IF($K53&lt;=$F$15,VLOOKUP($I53,'表4）CO2価格'!$A$7:$E$67,VLOOKUP($F$48,'表4）CO2価格'!$H$10:$I$12,2,0),0)*$F$8/1000,""))</f>
        <v>0</v>
      </c>
      <c r="AZ53" s="39"/>
      <c r="BA53" s="42">
        <f t="shared" si="47"/>
        <v>0</v>
      </c>
      <c r="BB53" s="72">
        <f t="shared" si="28"/>
        <v>0</v>
      </c>
      <c r="BC53" s="39"/>
      <c r="BD53" s="72">
        <f t="shared" si="48"/>
        <v>0</v>
      </c>
      <c r="BE53" s="72">
        <f t="shared" si="29"/>
        <v>0</v>
      </c>
      <c r="BF53" s="39"/>
      <c r="BG53" s="42">
        <f t="shared" si="49"/>
        <v>0</v>
      </c>
      <c r="BH53" s="72">
        <f t="shared" si="30"/>
        <v>0</v>
      </c>
      <c r="BI53" s="39"/>
      <c r="BJ53" s="40" t="str">
        <f t="shared" si="31"/>
        <v/>
      </c>
      <c r="BK53" s="157" t="str">
        <f t="shared" si="32"/>
        <v/>
      </c>
      <c r="BL53" s="157" t="str">
        <f t="shared" si="14"/>
        <v/>
      </c>
      <c r="BM53" s="72"/>
      <c r="BN53" s="72" t="str">
        <f t="shared" si="33"/>
        <v/>
      </c>
      <c r="BO53" s="72" t="str">
        <f t="shared" si="34"/>
        <v/>
      </c>
      <c r="BP53" s="39"/>
      <c r="BQ53" s="72">
        <f t="shared" si="50"/>
        <v>1051200</v>
      </c>
      <c r="BR53" s="72">
        <f t="shared" si="35"/>
        <v>331920.12755206844</v>
      </c>
    </row>
    <row r="54" spans="3:70" x14ac:dyDescent="0.15">
      <c r="D54" s="84" t="s">
        <v>581</v>
      </c>
      <c r="F54" s="475"/>
      <c r="G54" s="84" t="s">
        <v>549</v>
      </c>
      <c r="I54" s="457">
        <f t="shared" si="36"/>
        <v>2059</v>
      </c>
      <c r="J54" s="71"/>
      <c r="K54" s="71">
        <f t="shared" si="37"/>
        <v>40</v>
      </c>
      <c r="L54" s="71"/>
      <c r="M54" s="7">
        <f t="shared" si="0"/>
        <v>0.30655684077380685</v>
      </c>
      <c r="N54" s="71"/>
      <c r="O54" s="10">
        <f t="shared" si="16"/>
        <v>4.6566128730773926E-9</v>
      </c>
      <c r="P54" s="29" t="str">
        <f t="shared" si="38"/>
        <v>-</v>
      </c>
      <c r="Q54" s="71"/>
      <c r="R54" s="10">
        <f t="shared" si="51"/>
        <v>9000000</v>
      </c>
      <c r="S54" s="71"/>
      <c r="T54" s="10">
        <f t="shared" si="18"/>
        <v>9000000</v>
      </c>
      <c r="U54" s="71"/>
      <c r="V54" s="10">
        <f t="shared" si="39"/>
        <v>0</v>
      </c>
      <c r="W54" s="10">
        <f t="shared" si="19"/>
        <v>0</v>
      </c>
      <c r="X54" s="71"/>
      <c r="Y54" s="10">
        <f t="shared" si="40"/>
        <v>126000</v>
      </c>
      <c r="Z54" s="10">
        <f t="shared" si="20"/>
        <v>38626.161937499666</v>
      </c>
      <c r="AA54" s="71"/>
      <c r="AB54" s="10">
        <f t="shared" si="4"/>
        <v>0</v>
      </c>
      <c r="AC54" s="10">
        <f t="shared" si="21"/>
        <v>0</v>
      </c>
      <c r="AD54" s="71"/>
      <c r="AE54" s="10">
        <f t="shared" si="41"/>
        <v>260000</v>
      </c>
      <c r="AF54" s="10">
        <f t="shared" si="22"/>
        <v>79704.778601189784</v>
      </c>
      <c r="AG54" s="71"/>
      <c r="AH54" s="10">
        <f t="shared" si="42"/>
        <v>7000000.0000000009</v>
      </c>
      <c r="AI54" s="10">
        <f t="shared" si="23"/>
        <v>2145897.8854166484</v>
      </c>
      <c r="AJ54" s="71"/>
      <c r="AK54" s="10">
        <f t="shared" si="43"/>
        <v>5400000</v>
      </c>
      <c r="AL54" s="10">
        <f t="shared" si="24"/>
        <v>1655406.9401785571</v>
      </c>
      <c r="AM54" s="71"/>
      <c r="AN54" s="10">
        <f t="shared" si="44"/>
        <v>0</v>
      </c>
      <c r="AO54" s="10">
        <f t="shared" si="25"/>
        <v>0</v>
      </c>
      <c r="AP54" s="71"/>
      <c r="AQ54" s="10">
        <f t="shared" si="45"/>
        <v>1736000.0000000002</v>
      </c>
      <c r="AR54" s="10">
        <f t="shared" si="26"/>
        <v>532182.67558332882</v>
      </c>
      <c r="AS54" s="71"/>
      <c r="AT54" s="7">
        <f>IF($K54&lt;=$F$15,IF($F$40&lt;&gt;"",$F$40/1000,IF(ISERROR(VLOOKUP($F$3&amp;IF($G$4&lt;&gt;"",$G$4,"")&amp;IF($F$43&lt;&gt;"","_"&amp;$F$43,""),'表3）燃料価格'!$AF$9:$AG$25,2,0)),0,VLOOKUP($I54,'表3）燃料価格'!$A$6:$U$66,VLOOKUP($F$3&amp;IF($G$4&lt;&gt;"",$G$4,"")&amp;IF($F$43&lt;&gt;"","_"&amp;$F$43,""),'表3）燃料価格'!$AF$9:$AG$25,2,0)+VLOOKUP($F$41,'表3）燃料価格'!$AF$28:$AG$29,2,0),0)*IF($F$43="需要地価格",1,$F$8/$F$141))),"")</f>
        <v>0</v>
      </c>
      <c r="AU54" s="71"/>
      <c r="AV54" s="10">
        <f t="shared" si="46"/>
        <v>0</v>
      </c>
      <c r="AW54" s="10">
        <f t="shared" si="27"/>
        <v>0</v>
      </c>
      <c r="AX54" s="71"/>
      <c r="AY54" s="7">
        <f>IF(ISERROR(IF($K54&lt;=$F$15,VLOOKUP($I54,'表4）CO2価格'!$A$7:$E$67,VLOOKUP($F$48,'表4）CO2価格'!$H$10:$I$12,2,0),0)*$F$8/1000,"")),0,IF($K54&lt;=$F$15,VLOOKUP($I54,'表4）CO2価格'!$A$7:$E$67,VLOOKUP($F$48,'表4）CO2価格'!$H$10:$I$12,2,0),0)*$F$8/1000,""))</f>
        <v>0</v>
      </c>
      <c r="AZ54" s="71"/>
      <c r="BA54" s="11">
        <f t="shared" si="47"/>
        <v>0</v>
      </c>
      <c r="BB54" s="10">
        <f t="shared" si="28"/>
        <v>0</v>
      </c>
      <c r="BC54" s="71"/>
      <c r="BD54" s="10">
        <f t="shared" si="48"/>
        <v>0</v>
      </c>
      <c r="BE54" s="10">
        <f t="shared" si="29"/>
        <v>0</v>
      </c>
      <c r="BF54" s="71"/>
      <c r="BG54" s="11">
        <f t="shared" si="49"/>
        <v>0</v>
      </c>
      <c r="BH54" s="10">
        <f t="shared" si="30"/>
        <v>0</v>
      </c>
      <c r="BJ54" s="7" t="str">
        <f t="shared" si="31"/>
        <v/>
      </c>
      <c r="BK54" s="158" t="str">
        <f t="shared" si="32"/>
        <v/>
      </c>
      <c r="BL54" s="158" t="str">
        <f t="shared" si="14"/>
        <v/>
      </c>
      <c r="BM54" s="10"/>
      <c r="BN54" s="10" t="str">
        <f t="shared" si="33"/>
        <v/>
      </c>
      <c r="BO54" s="10" t="str">
        <f t="shared" si="34"/>
        <v/>
      </c>
      <c r="BQ54" s="10">
        <f t="shared" si="50"/>
        <v>1051200</v>
      </c>
      <c r="BR54" s="10">
        <f t="shared" si="35"/>
        <v>322252.55102142575</v>
      </c>
    </row>
    <row r="55" spans="3:70" ht="16.5" x14ac:dyDescent="0.15">
      <c r="D55" s="84" t="s">
        <v>582</v>
      </c>
      <c r="F55" s="475"/>
      <c r="G55" s="71" t="s">
        <v>561</v>
      </c>
      <c r="I55" s="38">
        <f>I54+1</f>
        <v>2060</v>
      </c>
      <c r="J55" s="39"/>
      <c r="K55" s="39">
        <f>IF(I55&lt;&gt;"",K54+1,"")</f>
        <v>41</v>
      </c>
      <c r="L55" s="39"/>
      <c r="M55" s="40">
        <f t="shared" si="0"/>
        <v>0.29762800075126877</v>
      </c>
      <c r="N55" s="39"/>
      <c r="O55" s="72" t="str">
        <f t="shared" si="16"/>
        <v/>
      </c>
      <c r="P55" s="41" t="str">
        <f t="shared" si="38"/>
        <v/>
      </c>
      <c r="Q55" s="39"/>
      <c r="R55" s="72" t="str">
        <f t="shared" si="51"/>
        <v/>
      </c>
      <c r="S55" s="39"/>
      <c r="T55" s="72" t="str">
        <f t="shared" si="18"/>
        <v/>
      </c>
      <c r="U55" s="39"/>
      <c r="V55" s="72" t="str">
        <f t="shared" si="39"/>
        <v/>
      </c>
      <c r="W55" s="72" t="str">
        <f t="shared" si="19"/>
        <v/>
      </c>
      <c r="X55" s="39"/>
      <c r="Y55" s="72" t="str">
        <f t="shared" si="40"/>
        <v/>
      </c>
      <c r="Z55" s="72" t="str">
        <f t="shared" si="20"/>
        <v/>
      </c>
      <c r="AA55" s="39"/>
      <c r="AB55" s="72">
        <f t="shared" si="4"/>
        <v>9000000</v>
      </c>
      <c r="AC55" s="72">
        <f t="shared" si="21"/>
        <v>2678652.0067614191</v>
      </c>
      <c r="AD55" s="39"/>
      <c r="AE55" s="72" t="str">
        <f t="shared" si="41"/>
        <v/>
      </c>
      <c r="AF55" s="72" t="str">
        <f t="shared" si="22"/>
        <v/>
      </c>
      <c r="AG55" s="39"/>
      <c r="AH55" s="72" t="str">
        <f t="shared" si="42"/>
        <v/>
      </c>
      <c r="AI55" s="72" t="str">
        <f t="shared" si="23"/>
        <v/>
      </c>
      <c r="AJ55" s="39"/>
      <c r="AK55" s="72" t="str">
        <f t="shared" si="43"/>
        <v/>
      </c>
      <c r="AL55" s="72" t="str">
        <f t="shared" si="24"/>
        <v/>
      </c>
      <c r="AM55" s="39"/>
      <c r="AN55" s="72" t="str">
        <f t="shared" si="44"/>
        <v/>
      </c>
      <c r="AO55" s="72" t="str">
        <f t="shared" si="25"/>
        <v/>
      </c>
      <c r="AP55" s="39"/>
      <c r="AQ55" s="72" t="str">
        <f t="shared" si="45"/>
        <v/>
      </c>
      <c r="AR55" s="72" t="str">
        <f t="shared" si="26"/>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46"/>
        <v/>
      </c>
      <c r="AW55" s="72" t="str">
        <f t="shared" si="27"/>
        <v/>
      </c>
      <c r="AX55" s="39"/>
      <c r="AY55" s="40" t="str">
        <f>IF(ISERROR(IF($K55&lt;=$F$15,VLOOKUP($I55,'表4）CO2価格'!$A$7:$E$67,VLOOKUP($F$48,'表4）CO2価格'!$H$10:$I$12,2,0),0)*$F$8/1000,"")),0,IF($K55&lt;=$F$15,VLOOKUP($I55,'表4）CO2価格'!$A$7:$E$67,VLOOKUP($F$48,'表4）CO2価格'!$H$10:$I$12,2,0),0)*$F$8/1000,""))</f>
        <v/>
      </c>
      <c r="AZ55" s="39"/>
      <c r="BA55" s="42" t="str">
        <f t="shared" si="47"/>
        <v/>
      </c>
      <c r="BB55" s="72" t="str">
        <f t="shared" si="28"/>
        <v/>
      </c>
      <c r="BC55" s="39"/>
      <c r="BD55" s="72" t="str">
        <f t="shared" si="48"/>
        <v/>
      </c>
      <c r="BE55" s="72" t="str">
        <f t="shared" si="29"/>
        <v/>
      </c>
      <c r="BF55" s="39"/>
      <c r="BG55" s="42" t="str">
        <f t="shared" si="49"/>
        <v/>
      </c>
      <c r="BH55" s="72" t="str">
        <f t="shared" si="30"/>
        <v/>
      </c>
      <c r="BI55" s="39"/>
      <c r="BJ55" s="40" t="str">
        <f t="shared" si="31"/>
        <v/>
      </c>
      <c r="BK55" s="157" t="str">
        <f t="shared" si="32"/>
        <v/>
      </c>
      <c r="BL55" s="157" t="str">
        <f t="shared" si="14"/>
        <v/>
      </c>
      <c r="BM55" s="72"/>
      <c r="BN55" s="72" t="str">
        <f t="shared" si="33"/>
        <v/>
      </c>
      <c r="BO55" s="72" t="str">
        <f t="shared" si="34"/>
        <v/>
      </c>
      <c r="BP55" s="39"/>
      <c r="BQ55" s="72" t="str">
        <f t="shared" si="50"/>
        <v/>
      </c>
      <c r="BR55" s="72" t="str">
        <f t="shared" si="35"/>
        <v/>
      </c>
    </row>
    <row r="56" spans="3:70" x14ac:dyDescent="0.15">
      <c r="D56" s="84" t="s">
        <v>583</v>
      </c>
      <c r="F56" s="481"/>
      <c r="G56" s="84" t="s">
        <v>574</v>
      </c>
      <c r="I56" s="457">
        <f t="shared" si="36"/>
        <v>2061</v>
      </c>
      <c r="J56" s="71"/>
      <c r="K56" s="71">
        <f t="shared" si="37"/>
        <v>42</v>
      </c>
      <c r="L56" s="71"/>
      <c r="M56" s="7">
        <f t="shared" si="0"/>
        <v>0.28895922403035801</v>
      </c>
      <c r="N56" s="71"/>
      <c r="O56" s="10" t="str">
        <f t="shared" si="16"/>
        <v/>
      </c>
      <c r="P56" s="29" t="str">
        <f t="shared" si="38"/>
        <v/>
      </c>
      <c r="Q56" s="71"/>
      <c r="R56" s="10" t="str">
        <f t="shared" si="51"/>
        <v/>
      </c>
      <c r="S56" s="71"/>
      <c r="T56" s="10" t="str">
        <f t="shared" si="18"/>
        <v/>
      </c>
      <c r="U56" s="71"/>
      <c r="V56" s="10" t="str">
        <f t="shared" si="39"/>
        <v/>
      </c>
      <c r="W56" s="10" t="str">
        <f t="shared" si="19"/>
        <v/>
      </c>
      <c r="X56" s="71"/>
      <c r="Y56" s="10" t="str">
        <f t="shared" si="40"/>
        <v/>
      </c>
      <c r="Z56" s="10" t="str">
        <f t="shared" si="20"/>
        <v/>
      </c>
      <c r="AA56" s="71"/>
      <c r="AB56" s="10" t="str">
        <f t="shared" si="4"/>
        <v/>
      </c>
      <c r="AC56" s="10" t="str">
        <f t="shared" si="21"/>
        <v/>
      </c>
      <c r="AD56" s="71"/>
      <c r="AE56" s="10" t="str">
        <f t="shared" si="41"/>
        <v/>
      </c>
      <c r="AF56" s="10" t="str">
        <f t="shared" si="22"/>
        <v/>
      </c>
      <c r="AG56" s="71"/>
      <c r="AH56" s="10" t="str">
        <f t="shared" si="42"/>
        <v/>
      </c>
      <c r="AI56" s="10" t="str">
        <f t="shared" si="23"/>
        <v/>
      </c>
      <c r="AJ56" s="71"/>
      <c r="AK56" s="10" t="str">
        <f t="shared" si="43"/>
        <v/>
      </c>
      <c r="AL56" s="10" t="str">
        <f t="shared" si="24"/>
        <v/>
      </c>
      <c r="AM56" s="71"/>
      <c r="AN56" s="10" t="str">
        <f t="shared" si="44"/>
        <v/>
      </c>
      <c r="AO56" s="10" t="str">
        <f t="shared" si="25"/>
        <v/>
      </c>
      <c r="AP56" s="71"/>
      <c r="AQ56" s="10" t="str">
        <f t="shared" si="45"/>
        <v/>
      </c>
      <c r="AR56" s="10" t="str">
        <f t="shared" si="26"/>
        <v/>
      </c>
      <c r="AS56" s="71"/>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U56" s="71"/>
      <c r="AV56" s="10" t="str">
        <f t="shared" si="46"/>
        <v/>
      </c>
      <c r="AW56" s="10" t="str">
        <f t="shared" si="27"/>
        <v/>
      </c>
      <c r="AX56" s="71"/>
      <c r="AY56" s="7" t="str">
        <f>IF(ISERROR(IF($K56&lt;=$F$15,VLOOKUP($I56,'表4）CO2価格'!$A$7:$E$67,VLOOKUP($F$48,'表4）CO2価格'!$H$10:$I$12,2,0),0)*$F$8/1000,"")),0,IF($K56&lt;=$F$15,VLOOKUP($I56,'表4）CO2価格'!$A$7:$E$67,VLOOKUP($F$48,'表4）CO2価格'!$H$10:$I$12,2,0),0)*$F$8/1000,""))</f>
        <v/>
      </c>
      <c r="AZ56" s="71"/>
      <c r="BA56" s="11" t="str">
        <f t="shared" si="47"/>
        <v/>
      </c>
      <c r="BB56" s="10" t="str">
        <f t="shared" si="28"/>
        <v/>
      </c>
      <c r="BC56" s="71"/>
      <c r="BD56" s="10" t="str">
        <f t="shared" si="48"/>
        <v/>
      </c>
      <c r="BE56" s="10" t="str">
        <f t="shared" si="29"/>
        <v/>
      </c>
      <c r="BF56" s="71"/>
      <c r="BG56" s="11" t="str">
        <f t="shared" si="49"/>
        <v/>
      </c>
      <c r="BH56" s="10" t="str">
        <f t="shared" si="30"/>
        <v/>
      </c>
      <c r="BJ56" s="7" t="str">
        <f t="shared" si="31"/>
        <v/>
      </c>
      <c r="BK56" s="158" t="str">
        <f t="shared" si="32"/>
        <v/>
      </c>
      <c r="BL56" s="158" t="str">
        <f t="shared" si="14"/>
        <v/>
      </c>
      <c r="BM56" s="10"/>
      <c r="BN56" s="10" t="str">
        <f t="shared" si="33"/>
        <v/>
      </c>
      <c r="BO56" s="10" t="str">
        <f t="shared" si="34"/>
        <v/>
      </c>
      <c r="BQ56" s="10" t="str">
        <f t="shared" si="50"/>
        <v/>
      </c>
      <c r="BR56" s="10" t="str">
        <f t="shared" si="35"/>
        <v/>
      </c>
    </row>
    <row r="57" spans="3:70" x14ac:dyDescent="0.15">
      <c r="I57" s="38">
        <f t="shared" si="36"/>
        <v>2062</v>
      </c>
      <c r="J57" s="39"/>
      <c r="K57" s="39">
        <f t="shared" si="37"/>
        <v>43</v>
      </c>
      <c r="L57" s="39"/>
      <c r="M57" s="40">
        <f t="shared" si="0"/>
        <v>0.28054293595180391</v>
      </c>
      <c r="N57" s="39"/>
      <c r="O57" s="72" t="str">
        <f t="shared" si="16"/>
        <v/>
      </c>
      <c r="P57" s="41" t="str">
        <f t="shared" si="38"/>
        <v/>
      </c>
      <c r="Q57" s="39"/>
      <c r="R57" s="72" t="str">
        <f t="shared" si="51"/>
        <v/>
      </c>
      <c r="S57" s="39"/>
      <c r="T57" s="72" t="str">
        <f t="shared" si="18"/>
        <v/>
      </c>
      <c r="U57" s="39"/>
      <c r="V57" s="72" t="str">
        <f t="shared" si="39"/>
        <v/>
      </c>
      <c r="W57" s="72" t="str">
        <f t="shared" si="19"/>
        <v/>
      </c>
      <c r="X57" s="39"/>
      <c r="Y57" s="72" t="str">
        <f t="shared" si="40"/>
        <v/>
      </c>
      <c r="Z57" s="72" t="str">
        <f t="shared" si="20"/>
        <v/>
      </c>
      <c r="AA57" s="39"/>
      <c r="AB57" s="72" t="str">
        <f t="shared" si="4"/>
        <v/>
      </c>
      <c r="AC57" s="72" t="str">
        <f t="shared" si="21"/>
        <v/>
      </c>
      <c r="AD57" s="39"/>
      <c r="AE57" s="72" t="str">
        <f t="shared" si="41"/>
        <v/>
      </c>
      <c r="AF57" s="72" t="str">
        <f t="shared" si="22"/>
        <v/>
      </c>
      <c r="AG57" s="39"/>
      <c r="AH57" s="72" t="str">
        <f t="shared" si="42"/>
        <v/>
      </c>
      <c r="AI57" s="72" t="str">
        <f t="shared" si="23"/>
        <v/>
      </c>
      <c r="AJ57" s="39"/>
      <c r="AK57" s="72" t="str">
        <f t="shared" si="43"/>
        <v/>
      </c>
      <c r="AL57" s="72" t="str">
        <f t="shared" si="24"/>
        <v/>
      </c>
      <c r="AM57" s="39"/>
      <c r="AN57" s="72" t="str">
        <f t="shared" si="44"/>
        <v/>
      </c>
      <c r="AO57" s="72" t="str">
        <f t="shared" si="25"/>
        <v/>
      </c>
      <c r="AP57" s="39"/>
      <c r="AQ57" s="72" t="str">
        <f t="shared" si="45"/>
        <v/>
      </c>
      <c r="AR57" s="72" t="str">
        <f t="shared" si="26"/>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46"/>
        <v/>
      </c>
      <c r="AW57" s="72" t="str">
        <f t="shared" si="27"/>
        <v/>
      </c>
      <c r="AX57" s="39"/>
      <c r="AY57" s="40" t="str">
        <f>IF(ISERROR(IF($K57&lt;=$F$15,VLOOKUP($I57,'表4）CO2価格'!$A$7:$E$67,VLOOKUP($F$48,'表4）CO2価格'!$H$10:$I$12,2,0),0)*$F$8/1000,"")),0,IF($K57&lt;=$F$15,VLOOKUP($I57,'表4）CO2価格'!$A$7:$E$67,VLOOKUP($F$48,'表4）CO2価格'!$H$10:$I$12,2,0),0)*$F$8/1000,""))</f>
        <v/>
      </c>
      <c r="AZ57" s="39"/>
      <c r="BA57" s="42" t="str">
        <f t="shared" si="47"/>
        <v/>
      </c>
      <c r="BB57" s="72" t="str">
        <f t="shared" si="28"/>
        <v/>
      </c>
      <c r="BC57" s="39"/>
      <c r="BD57" s="72" t="str">
        <f t="shared" si="48"/>
        <v/>
      </c>
      <c r="BE57" s="72" t="str">
        <f t="shared" si="29"/>
        <v/>
      </c>
      <c r="BF57" s="39"/>
      <c r="BG57" s="42" t="str">
        <f t="shared" si="49"/>
        <v/>
      </c>
      <c r="BH57" s="72" t="str">
        <f t="shared" si="30"/>
        <v/>
      </c>
      <c r="BI57" s="39"/>
      <c r="BJ57" s="40" t="str">
        <f t="shared" si="31"/>
        <v/>
      </c>
      <c r="BK57" s="157" t="str">
        <f t="shared" si="32"/>
        <v/>
      </c>
      <c r="BL57" s="157" t="str">
        <f t="shared" si="14"/>
        <v/>
      </c>
      <c r="BM57" s="72"/>
      <c r="BN57" s="72" t="str">
        <f t="shared" si="33"/>
        <v/>
      </c>
      <c r="BO57" s="72" t="str">
        <f t="shared" si="34"/>
        <v/>
      </c>
      <c r="BP57" s="39"/>
      <c r="BQ57" s="72" t="str">
        <f t="shared" si="50"/>
        <v/>
      </c>
      <c r="BR57" s="72" t="str">
        <f t="shared" si="35"/>
        <v/>
      </c>
    </row>
    <row r="58" spans="3:70" x14ac:dyDescent="0.15">
      <c r="C58" s="4" t="s">
        <v>584</v>
      </c>
      <c r="D58" s="100"/>
      <c r="E58" s="100"/>
      <c r="F58" s="4"/>
      <c r="G58" s="100"/>
      <c r="I58" s="457">
        <f t="shared" si="36"/>
        <v>2063</v>
      </c>
      <c r="J58" s="71"/>
      <c r="K58" s="71">
        <f t="shared" si="37"/>
        <v>44</v>
      </c>
      <c r="L58" s="71"/>
      <c r="M58" s="7">
        <f t="shared" si="0"/>
        <v>0.27237178247747956</v>
      </c>
      <c r="N58" s="71"/>
      <c r="O58" s="10" t="str">
        <f t="shared" si="16"/>
        <v/>
      </c>
      <c r="P58" s="29" t="str">
        <f t="shared" si="38"/>
        <v/>
      </c>
      <c r="Q58" s="71"/>
      <c r="R58" s="10" t="str">
        <f t="shared" si="51"/>
        <v/>
      </c>
      <c r="S58" s="71"/>
      <c r="T58" s="10" t="str">
        <f t="shared" si="18"/>
        <v/>
      </c>
      <c r="U58" s="71"/>
      <c r="V58" s="10" t="str">
        <f t="shared" si="39"/>
        <v/>
      </c>
      <c r="W58" s="10" t="str">
        <f t="shared" si="19"/>
        <v/>
      </c>
      <c r="X58" s="71"/>
      <c r="Y58" s="10" t="str">
        <f t="shared" si="40"/>
        <v/>
      </c>
      <c r="Z58" s="10" t="str">
        <f t="shared" si="20"/>
        <v/>
      </c>
      <c r="AA58" s="71"/>
      <c r="AB58" s="10" t="str">
        <f t="shared" si="4"/>
        <v/>
      </c>
      <c r="AC58" s="10" t="str">
        <f t="shared" si="21"/>
        <v/>
      </c>
      <c r="AD58" s="71"/>
      <c r="AE58" s="10" t="str">
        <f t="shared" si="41"/>
        <v/>
      </c>
      <c r="AF58" s="10" t="str">
        <f t="shared" si="22"/>
        <v/>
      </c>
      <c r="AG58" s="71"/>
      <c r="AH58" s="10" t="str">
        <f t="shared" si="42"/>
        <v/>
      </c>
      <c r="AI58" s="10" t="str">
        <f t="shared" si="23"/>
        <v/>
      </c>
      <c r="AJ58" s="71"/>
      <c r="AK58" s="10" t="str">
        <f t="shared" si="43"/>
        <v/>
      </c>
      <c r="AL58" s="10" t="str">
        <f t="shared" si="24"/>
        <v/>
      </c>
      <c r="AM58" s="71"/>
      <c r="AN58" s="10" t="str">
        <f t="shared" si="44"/>
        <v/>
      </c>
      <c r="AO58" s="10" t="str">
        <f t="shared" si="25"/>
        <v/>
      </c>
      <c r="AP58" s="71"/>
      <c r="AQ58" s="10" t="str">
        <f t="shared" si="45"/>
        <v/>
      </c>
      <c r="AR58" s="10" t="str">
        <f t="shared" si="26"/>
        <v/>
      </c>
      <c r="AS58" s="71"/>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U58" s="71"/>
      <c r="AV58" s="10" t="str">
        <f t="shared" si="46"/>
        <v/>
      </c>
      <c r="AW58" s="10" t="str">
        <f t="shared" si="27"/>
        <v/>
      </c>
      <c r="AX58" s="71"/>
      <c r="AY58" s="7" t="str">
        <f>IF(ISERROR(IF($K58&lt;=$F$15,VLOOKUP($I58,'表4）CO2価格'!$A$7:$E$67,VLOOKUP($F$48,'表4）CO2価格'!$H$10:$I$12,2,0),0)*$F$8/1000,"")),0,IF($K58&lt;=$F$15,VLOOKUP($I58,'表4）CO2価格'!$A$7:$E$67,VLOOKUP($F$48,'表4）CO2価格'!$H$10:$I$12,2,0),0)*$F$8/1000,""))</f>
        <v/>
      </c>
      <c r="AZ58" s="71"/>
      <c r="BA58" s="11" t="str">
        <f t="shared" si="47"/>
        <v/>
      </c>
      <c r="BB58" s="10" t="str">
        <f t="shared" si="28"/>
        <v/>
      </c>
      <c r="BC58" s="71"/>
      <c r="BD58" s="10" t="str">
        <f t="shared" si="48"/>
        <v/>
      </c>
      <c r="BE58" s="10" t="str">
        <f t="shared" si="29"/>
        <v/>
      </c>
      <c r="BF58" s="71"/>
      <c r="BG58" s="11" t="str">
        <f t="shared" si="49"/>
        <v/>
      </c>
      <c r="BH58" s="10" t="str">
        <f t="shared" si="30"/>
        <v/>
      </c>
      <c r="BJ58" s="7" t="str">
        <f t="shared" si="31"/>
        <v/>
      </c>
      <c r="BK58" s="158" t="str">
        <f t="shared" si="32"/>
        <v/>
      </c>
      <c r="BL58" s="158" t="str">
        <f t="shared" si="14"/>
        <v/>
      </c>
      <c r="BM58" s="10"/>
      <c r="BN58" s="10" t="str">
        <f t="shared" si="33"/>
        <v/>
      </c>
      <c r="BO58" s="10" t="str">
        <f t="shared" si="34"/>
        <v/>
      </c>
      <c r="BQ58" s="10" t="str">
        <f t="shared" si="50"/>
        <v/>
      </c>
      <c r="BR58" s="10" t="str">
        <f t="shared" si="35"/>
        <v/>
      </c>
    </row>
    <row r="59" spans="3:70" x14ac:dyDescent="0.15">
      <c r="I59" s="38">
        <f t="shared" si="36"/>
        <v>2064</v>
      </c>
      <c r="J59" s="39"/>
      <c r="K59" s="39">
        <f t="shared" si="37"/>
        <v>45</v>
      </c>
      <c r="L59" s="39"/>
      <c r="M59" s="40">
        <f t="shared" si="0"/>
        <v>0.26443862376454325</v>
      </c>
      <c r="N59" s="39"/>
      <c r="O59" s="72" t="str">
        <f t="shared" si="16"/>
        <v/>
      </c>
      <c r="P59" s="41" t="str">
        <f t="shared" si="38"/>
        <v/>
      </c>
      <c r="Q59" s="39"/>
      <c r="R59" s="72" t="str">
        <f t="shared" si="51"/>
        <v/>
      </c>
      <c r="S59" s="39"/>
      <c r="T59" s="72" t="str">
        <f t="shared" si="18"/>
        <v/>
      </c>
      <c r="U59" s="39"/>
      <c r="V59" s="72" t="str">
        <f t="shared" si="39"/>
        <v/>
      </c>
      <c r="W59" s="72" t="str">
        <f t="shared" si="19"/>
        <v/>
      </c>
      <c r="X59" s="39"/>
      <c r="Y59" s="72" t="str">
        <f t="shared" si="40"/>
        <v/>
      </c>
      <c r="Z59" s="72" t="str">
        <f t="shared" si="20"/>
        <v/>
      </c>
      <c r="AA59" s="39"/>
      <c r="AB59" s="72" t="str">
        <f t="shared" si="4"/>
        <v/>
      </c>
      <c r="AC59" s="72" t="str">
        <f t="shared" si="21"/>
        <v/>
      </c>
      <c r="AD59" s="39"/>
      <c r="AE59" s="72" t="str">
        <f t="shared" si="41"/>
        <v/>
      </c>
      <c r="AF59" s="72" t="str">
        <f t="shared" si="22"/>
        <v/>
      </c>
      <c r="AG59" s="39"/>
      <c r="AH59" s="72" t="str">
        <f t="shared" si="42"/>
        <v/>
      </c>
      <c r="AI59" s="72" t="str">
        <f t="shared" si="23"/>
        <v/>
      </c>
      <c r="AJ59" s="39"/>
      <c r="AK59" s="72" t="str">
        <f t="shared" si="43"/>
        <v/>
      </c>
      <c r="AL59" s="72" t="str">
        <f t="shared" si="24"/>
        <v/>
      </c>
      <c r="AM59" s="39"/>
      <c r="AN59" s="72" t="str">
        <f t="shared" si="44"/>
        <v/>
      </c>
      <c r="AO59" s="72" t="str">
        <f t="shared" si="25"/>
        <v/>
      </c>
      <c r="AP59" s="39"/>
      <c r="AQ59" s="72" t="str">
        <f t="shared" si="45"/>
        <v/>
      </c>
      <c r="AR59" s="72" t="str">
        <f t="shared" si="26"/>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46"/>
        <v/>
      </c>
      <c r="AW59" s="72" t="str">
        <f t="shared" si="27"/>
        <v/>
      </c>
      <c r="AX59" s="39"/>
      <c r="AY59" s="40" t="str">
        <f>IF(ISERROR(IF($K59&lt;=$F$15,VLOOKUP($I59,'表4）CO2価格'!$A$7:$E$67,VLOOKUP($F$48,'表4）CO2価格'!$H$10:$I$12,2,0),0)*$F$8/1000,"")),0,IF($K59&lt;=$F$15,VLOOKUP($I59,'表4）CO2価格'!$A$7:$E$67,VLOOKUP($F$48,'表4）CO2価格'!$H$10:$I$12,2,0),0)*$F$8/1000,""))</f>
        <v/>
      </c>
      <c r="AZ59" s="39"/>
      <c r="BA59" s="42" t="str">
        <f t="shared" si="47"/>
        <v/>
      </c>
      <c r="BB59" s="72" t="str">
        <f t="shared" si="28"/>
        <v/>
      </c>
      <c r="BC59" s="39"/>
      <c r="BD59" s="72" t="str">
        <f t="shared" si="48"/>
        <v/>
      </c>
      <c r="BE59" s="72" t="str">
        <f t="shared" si="29"/>
        <v/>
      </c>
      <c r="BF59" s="39"/>
      <c r="BG59" s="42" t="str">
        <f t="shared" si="49"/>
        <v/>
      </c>
      <c r="BH59" s="72" t="str">
        <f t="shared" si="30"/>
        <v/>
      </c>
      <c r="BI59" s="39"/>
      <c r="BJ59" s="40" t="str">
        <f t="shared" si="31"/>
        <v/>
      </c>
      <c r="BK59" s="157" t="str">
        <f t="shared" si="32"/>
        <v/>
      </c>
      <c r="BL59" s="157" t="str">
        <f t="shared" si="14"/>
        <v/>
      </c>
      <c r="BM59" s="72"/>
      <c r="BN59" s="72" t="str">
        <f t="shared" si="33"/>
        <v/>
      </c>
      <c r="BO59" s="72" t="str">
        <f t="shared" si="34"/>
        <v/>
      </c>
      <c r="BP59" s="39"/>
      <c r="BQ59" s="72" t="str">
        <f t="shared" si="50"/>
        <v/>
      </c>
      <c r="BR59" s="72" t="str">
        <f t="shared" si="35"/>
        <v/>
      </c>
    </row>
    <row r="60" spans="3:70" x14ac:dyDescent="0.15">
      <c r="D60" s="84" t="s">
        <v>585</v>
      </c>
      <c r="F60" s="481"/>
      <c r="G60" s="84" t="s">
        <v>566</v>
      </c>
      <c r="I60" s="457">
        <f t="shared" si="36"/>
        <v>2065</v>
      </c>
      <c r="J60" s="71"/>
      <c r="K60" s="71">
        <f t="shared" si="37"/>
        <v>46</v>
      </c>
      <c r="L60" s="71"/>
      <c r="M60" s="7">
        <f t="shared" si="0"/>
        <v>0.25673652792674101</v>
      </c>
      <c r="N60" s="71"/>
      <c r="O60" s="10" t="str">
        <f t="shared" si="16"/>
        <v/>
      </c>
      <c r="P60" s="29" t="str">
        <f t="shared" si="38"/>
        <v/>
      </c>
      <c r="Q60" s="71"/>
      <c r="R60" s="10" t="str">
        <f t="shared" si="51"/>
        <v/>
      </c>
      <c r="S60" s="71"/>
      <c r="T60" s="10" t="str">
        <f t="shared" si="18"/>
        <v/>
      </c>
      <c r="U60" s="71"/>
      <c r="V60" s="10" t="str">
        <f t="shared" si="39"/>
        <v/>
      </c>
      <c r="W60" s="10" t="str">
        <f t="shared" si="19"/>
        <v/>
      </c>
      <c r="X60" s="71"/>
      <c r="Y60" s="10" t="str">
        <f t="shared" si="40"/>
        <v/>
      </c>
      <c r="Z60" s="10" t="str">
        <f t="shared" si="20"/>
        <v/>
      </c>
      <c r="AA60" s="71"/>
      <c r="AB60" s="10" t="str">
        <f t="shared" si="4"/>
        <v/>
      </c>
      <c r="AC60" s="10" t="str">
        <f t="shared" si="21"/>
        <v/>
      </c>
      <c r="AD60" s="71"/>
      <c r="AE60" s="10" t="str">
        <f t="shared" si="41"/>
        <v/>
      </c>
      <c r="AF60" s="10" t="str">
        <f t="shared" si="22"/>
        <v/>
      </c>
      <c r="AG60" s="71"/>
      <c r="AH60" s="10" t="str">
        <f t="shared" si="42"/>
        <v/>
      </c>
      <c r="AI60" s="10" t="str">
        <f t="shared" si="23"/>
        <v/>
      </c>
      <c r="AJ60" s="71"/>
      <c r="AK60" s="10" t="str">
        <f t="shared" si="43"/>
        <v/>
      </c>
      <c r="AL60" s="10" t="str">
        <f t="shared" si="24"/>
        <v/>
      </c>
      <c r="AM60" s="71"/>
      <c r="AN60" s="10" t="str">
        <f t="shared" si="44"/>
        <v/>
      </c>
      <c r="AO60" s="10" t="str">
        <f t="shared" si="25"/>
        <v/>
      </c>
      <c r="AP60" s="71"/>
      <c r="AQ60" s="10" t="str">
        <f t="shared" si="45"/>
        <v/>
      </c>
      <c r="AR60" s="10" t="str">
        <f t="shared" si="26"/>
        <v/>
      </c>
      <c r="AS60" s="71"/>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U60" s="71"/>
      <c r="AV60" s="10" t="str">
        <f t="shared" si="46"/>
        <v/>
      </c>
      <c r="AW60" s="10" t="str">
        <f t="shared" si="27"/>
        <v/>
      </c>
      <c r="AX60" s="71"/>
      <c r="AY60" s="7" t="str">
        <f>IF(ISERROR(IF($K60&lt;=$F$15,VLOOKUP($I60,'表4）CO2価格'!$A$7:$E$67,VLOOKUP($F$48,'表4）CO2価格'!$H$10:$I$12,2,0),0)*$F$8/1000,"")),0,IF($K60&lt;=$F$15,VLOOKUP($I60,'表4）CO2価格'!$A$7:$E$67,VLOOKUP($F$48,'表4）CO2価格'!$H$10:$I$12,2,0),0)*$F$8/1000,""))</f>
        <v/>
      </c>
      <c r="AZ60" s="71"/>
      <c r="BA60" s="11" t="str">
        <f t="shared" si="47"/>
        <v/>
      </c>
      <c r="BB60" s="10" t="str">
        <f t="shared" si="28"/>
        <v/>
      </c>
      <c r="BC60" s="71"/>
      <c r="BD60" s="10" t="str">
        <f t="shared" si="48"/>
        <v/>
      </c>
      <c r="BE60" s="10" t="str">
        <f t="shared" si="29"/>
        <v/>
      </c>
      <c r="BF60" s="71"/>
      <c r="BG60" s="11" t="str">
        <f t="shared" si="49"/>
        <v/>
      </c>
      <c r="BH60" s="10" t="str">
        <f t="shared" si="30"/>
        <v/>
      </c>
      <c r="BJ60" s="7" t="str">
        <f t="shared" si="31"/>
        <v/>
      </c>
      <c r="BK60" s="158" t="str">
        <f t="shared" si="32"/>
        <v/>
      </c>
      <c r="BL60" s="158" t="str">
        <f t="shared" si="14"/>
        <v/>
      </c>
      <c r="BM60" s="10"/>
      <c r="BN60" s="10" t="str">
        <f t="shared" si="33"/>
        <v/>
      </c>
      <c r="BO60" s="10" t="str">
        <f t="shared" si="34"/>
        <v/>
      </c>
      <c r="BQ60" s="10" t="str">
        <f t="shared" si="50"/>
        <v/>
      </c>
      <c r="BR60" s="10" t="str">
        <f t="shared" si="35"/>
        <v/>
      </c>
    </row>
    <row r="61" spans="3:70" x14ac:dyDescent="0.15">
      <c r="D61" s="84" t="s">
        <v>586</v>
      </c>
      <c r="F61" s="475"/>
      <c r="G61" s="84" t="s">
        <v>556</v>
      </c>
      <c r="I61" s="38">
        <f t="shared" si="36"/>
        <v>2066</v>
      </c>
      <c r="J61" s="39"/>
      <c r="K61" s="39">
        <f t="shared" si="37"/>
        <v>47</v>
      </c>
      <c r="L61" s="39"/>
      <c r="M61" s="40">
        <f t="shared" si="0"/>
        <v>0.24925876497741845</v>
      </c>
      <c r="N61" s="39"/>
      <c r="O61" s="72" t="str">
        <f t="shared" si="16"/>
        <v/>
      </c>
      <c r="P61" s="41" t="str">
        <f t="shared" si="38"/>
        <v/>
      </c>
      <c r="Q61" s="39"/>
      <c r="R61" s="72" t="str">
        <f t="shared" si="51"/>
        <v/>
      </c>
      <c r="S61" s="39"/>
      <c r="T61" s="72" t="str">
        <f t="shared" si="18"/>
        <v/>
      </c>
      <c r="U61" s="39"/>
      <c r="V61" s="72" t="str">
        <f t="shared" si="39"/>
        <v/>
      </c>
      <c r="W61" s="72" t="str">
        <f t="shared" si="19"/>
        <v/>
      </c>
      <c r="X61" s="39"/>
      <c r="Y61" s="72" t="str">
        <f t="shared" si="40"/>
        <v/>
      </c>
      <c r="Z61" s="72" t="str">
        <f t="shared" si="20"/>
        <v/>
      </c>
      <c r="AA61" s="39"/>
      <c r="AB61" s="72" t="str">
        <f t="shared" si="4"/>
        <v/>
      </c>
      <c r="AC61" s="72" t="str">
        <f t="shared" si="21"/>
        <v/>
      </c>
      <c r="AD61" s="39"/>
      <c r="AE61" s="72" t="str">
        <f t="shared" si="41"/>
        <v/>
      </c>
      <c r="AF61" s="72" t="str">
        <f t="shared" si="22"/>
        <v/>
      </c>
      <c r="AG61" s="39"/>
      <c r="AH61" s="72" t="str">
        <f t="shared" si="42"/>
        <v/>
      </c>
      <c r="AI61" s="72" t="str">
        <f t="shared" si="23"/>
        <v/>
      </c>
      <c r="AJ61" s="39"/>
      <c r="AK61" s="72" t="str">
        <f t="shared" si="43"/>
        <v/>
      </c>
      <c r="AL61" s="72" t="str">
        <f t="shared" si="24"/>
        <v/>
      </c>
      <c r="AM61" s="39"/>
      <c r="AN61" s="72" t="str">
        <f t="shared" si="44"/>
        <v/>
      </c>
      <c r="AO61" s="72" t="str">
        <f t="shared" si="25"/>
        <v/>
      </c>
      <c r="AP61" s="39"/>
      <c r="AQ61" s="72" t="str">
        <f t="shared" si="45"/>
        <v/>
      </c>
      <c r="AR61" s="72" t="str">
        <f t="shared" si="26"/>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46"/>
        <v/>
      </c>
      <c r="AW61" s="72" t="str">
        <f t="shared" si="27"/>
        <v/>
      </c>
      <c r="AX61" s="39"/>
      <c r="AY61" s="40" t="str">
        <f>IF(ISERROR(IF($K61&lt;=$F$15,VLOOKUP($I61,'表4）CO2価格'!$A$7:$E$67,VLOOKUP($F$48,'表4）CO2価格'!$H$10:$I$12,2,0),0)*$F$8/1000,"")),0,IF($K61&lt;=$F$15,VLOOKUP($I61,'表4）CO2価格'!$A$7:$E$67,VLOOKUP($F$48,'表4）CO2価格'!$H$10:$I$12,2,0),0)*$F$8/1000,""))</f>
        <v/>
      </c>
      <c r="AZ61" s="39"/>
      <c r="BA61" s="42" t="str">
        <f t="shared" si="47"/>
        <v/>
      </c>
      <c r="BB61" s="72" t="str">
        <f t="shared" si="28"/>
        <v/>
      </c>
      <c r="BC61" s="39"/>
      <c r="BD61" s="72" t="str">
        <f t="shared" si="48"/>
        <v/>
      </c>
      <c r="BE61" s="72" t="str">
        <f t="shared" si="29"/>
        <v/>
      </c>
      <c r="BF61" s="39"/>
      <c r="BG61" s="42" t="str">
        <f t="shared" si="49"/>
        <v/>
      </c>
      <c r="BH61" s="72" t="str">
        <f t="shared" si="30"/>
        <v/>
      </c>
      <c r="BI61" s="39"/>
      <c r="BJ61" s="40" t="str">
        <f t="shared" si="31"/>
        <v/>
      </c>
      <c r="BK61" s="157" t="str">
        <f t="shared" si="32"/>
        <v/>
      </c>
      <c r="BL61" s="157" t="str">
        <f t="shared" si="14"/>
        <v/>
      </c>
      <c r="BM61" s="72"/>
      <c r="BN61" s="72" t="str">
        <f t="shared" si="33"/>
        <v/>
      </c>
      <c r="BO61" s="72" t="str">
        <f t="shared" si="34"/>
        <v/>
      </c>
      <c r="BP61" s="39"/>
      <c r="BQ61" s="72" t="str">
        <f t="shared" si="50"/>
        <v/>
      </c>
      <c r="BR61" s="72" t="str">
        <f t="shared" si="35"/>
        <v/>
      </c>
    </row>
    <row r="62" spans="3:70" x14ac:dyDescent="0.15">
      <c r="D62" s="84" t="s">
        <v>587</v>
      </c>
      <c r="F62" s="481"/>
      <c r="G62" s="84" t="s">
        <v>588</v>
      </c>
      <c r="I62" s="457">
        <f t="shared" si="36"/>
        <v>2067</v>
      </c>
      <c r="J62" s="71"/>
      <c r="K62" s="71">
        <f t="shared" si="37"/>
        <v>48</v>
      </c>
      <c r="L62" s="71"/>
      <c r="M62" s="7">
        <f t="shared" si="0"/>
        <v>0.24199880094894996</v>
      </c>
      <c r="N62" s="71"/>
      <c r="O62" s="10" t="str">
        <f t="shared" si="16"/>
        <v/>
      </c>
      <c r="P62" s="29" t="str">
        <f t="shared" si="38"/>
        <v/>
      </c>
      <c r="Q62" s="71"/>
      <c r="R62" s="10" t="str">
        <f t="shared" si="51"/>
        <v/>
      </c>
      <c r="S62" s="71"/>
      <c r="T62" s="10" t="str">
        <f t="shared" si="18"/>
        <v/>
      </c>
      <c r="U62" s="71"/>
      <c r="V62" s="10" t="str">
        <f t="shared" si="39"/>
        <v/>
      </c>
      <c r="W62" s="10" t="str">
        <f t="shared" si="19"/>
        <v/>
      </c>
      <c r="X62" s="71"/>
      <c r="Y62" s="10" t="str">
        <f t="shared" si="40"/>
        <v/>
      </c>
      <c r="Z62" s="10" t="str">
        <f t="shared" si="20"/>
        <v/>
      </c>
      <c r="AA62" s="71"/>
      <c r="AB62" s="10" t="str">
        <f t="shared" si="4"/>
        <v/>
      </c>
      <c r="AC62" s="10" t="str">
        <f t="shared" si="21"/>
        <v/>
      </c>
      <c r="AD62" s="71"/>
      <c r="AE62" s="10" t="str">
        <f t="shared" si="41"/>
        <v/>
      </c>
      <c r="AF62" s="10" t="str">
        <f t="shared" si="22"/>
        <v/>
      </c>
      <c r="AG62" s="71"/>
      <c r="AH62" s="10" t="str">
        <f t="shared" si="42"/>
        <v/>
      </c>
      <c r="AI62" s="10" t="str">
        <f t="shared" si="23"/>
        <v/>
      </c>
      <c r="AJ62" s="71"/>
      <c r="AK62" s="10" t="str">
        <f t="shared" si="43"/>
        <v/>
      </c>
      <c r="AL62" s="10" t="str">
        <f t="shared" si="24"/>
        <v/>
      </c>
      <c r="AM62" s="71"/>
      <c r="AN62" s="10" t="str">
        <f t="shared" si="44"/>
        <v/>
      </c>
      <c r="AO62" s="10" t="str">
        <f t="shared" si="25"/>
        <v/>
      </c>
      <c r="AP62" s="71"/>
      <c r="AQ62" s="10" t="str">
        <f t="shared" si="45"/>
        <v/>
      </c>
      <c r="AR62" s="10" t="str">
        <f t="shared" si="26"/>
        <v/>
      </c>
      <c r="AS62" s="71"/>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U62" s="71"/>
      <c r="AV62" s="10" t="str">
        <f t="shared" si="46"/>
        <v/>
      </c>
      <c r="AW62" s="10" t="str">
        <f t="shared" si="27"/>
        <v/>
      </c>
      <c r="AX62" s="71"/>
      <c r="AY62" s="7" t="str">
        <f>IF(ISERROR(IF($K62&lt;=$F$15,VLOOKUP($I62,'表4）CO2価格'!$A$7:$E$67,VLOOKUP($F$48,'表4）CO2価格'!$H$10:$I$12,2,0),0)*$F$8/1000,"")),0,IF($K62&lt;=$F$15,VLOOKUP($I62,'表4）CO2価格'!$A$7:$E$67,VLOOKUP($F$48,'表4）CO2価格'!$H$10:$I$12,2,0),0)*$F$8/1000,""))</f>
        <v/>
      </c>
      <c r="AZ62" s="71"/>
      <c r="BA62" s="11" t="str">
        <f t="shared" si="47"/>
        <v/>
      </c>
      <c r="BB62" s="10" t="str">
        <f t="shared" si="28"/>
        <v/>
      </c>
      <c r="BC62" s="71"/>
      <c r="BD62" s="10" t="str">
        <f t="shared" si="48"/>
        <v/>
      </c>
      <c r="BE62" s="10" t="str">
        <f t="shared" si="29"/>
        <v/>
      </c>
      <c r="BF62" s="71"/>
      <c r="BG62" s="11" t="str">
        <f t="shared" si="49"/>
        <v/>
      </c>
      <c r="BH62" s="10" t="str">
        <f t="shared" si="30"/>
        <v/>
      </c>
      <c r="BJ62" s="7" t="str">
        <f t="shared" si="31"/>
        <v/>
      </c>
      <c r="BK62" s="158" t="str">
        <f t="shared" si="32"/>
        <v/>
      </c>
      <c r="BL62" s="158" t="str">
        <f t="shared" si="14"/>
        <v/>
      </c>
      <c r="BM62" s="10"/>
      <c r="BN62" s="10" t="str">
        <f t="shared" si="33"/>
        <v/>
      </c>
      <c r="BO62" s="10" t="str">
        <f t="shared" si="34"/>
        <v/>
      </c>
      <c r="BQ62" s="10" t="str">
        <f t="shared" si="50"/>
        <v/>
      </c>
      <c r="BR62" s="10" t="str">
        <f t="shared" si="35"/>
        <v/>
      </c>
    </row>
    <row r="63" spans="3:70" x14ac:dyDescent="0.15">
      <c r="I63" s="38">
        <f t="shared" si="36"/>
        <v>2068</v>
      </c>
      <c r="J63" s="39"/>
      <c r="K63" s="39">
        <f t="shared" si="37"/>
        <v>49</v>
      </c>
      <c r="L63" s="39"/>
      <c r="M63" s="40">
        <f t="shared" si="0"/>
        <v>0.2349502921834466</v>
      </c>
      <c r="N63" s="39"/>
      <c r="O63" s="72" t="str">
        <f t="shared" si="16"/>
        <v/>
      </c>
      <c r="P63" s="41" t="str">
        <f t="shared" si="38"/>
        <v/>
      </c>
      <c r="Q63" s="39"/>
      <c r="R63" s="72" t="str">
        <f t="shared" si="51"/>
        <v/>
      </c>
      <c r="S63" s="39"/>
      <c r="T63" s="72" t="str">
        <f t="shared" si="18"/>
        <v/>
      </c>
      <c r="U63" s="39"/>
      <c r="V63" s="72" t="str">
        <f t="shared" si="39"/>
        <v/>
      </c>
      <c r="W63" s="72" t="str">
        <f t="shared" si="19"/>
        <v/>
      </c>
      <c r="X63" s="39"/>
      <c r="Y63" s="72" t="str">
        <f t="shared" si="40"/>
        <v/>
      </c>
      <c r="Z63" s="72" t="str">
        <f t="shared" si="20"/>
        <v/>
      </c>
      <c r="AA63" s="39"/>
      <c r="AB63" s="72" t="str">
        <f t="shared" si="4"/>
        <v/>
      </c>
      <c r="AC63" s="72" t="str">
        <f t="shared" si="21"/>
        <v/>
      </c>
      <c r="AD63" s="39"/>
      <c r="AE63" s="72" t="str">
        <f t="shared" si="41"/>
        <v/>
      </c>
      <c r="AF63" s="72" t="str">
        <f t="shared" si="22"/>
        <v/>
      </c>
      <c r="AG63" s="39"/>
      <c r="AH63" s="72" t="str">
        <f t="shared" si="42"/>
        <v/>
      </c>
      <c r="AI63" s="72" t="str">
        <f t="shared" si="23"/>
        <v/>
      </c>
      <c r="AJ63" s="39"/>
      <c r="AK63" s="72" t="str">
        <f t="shared" si="43"/>
        <v/>
      </c>
      <c r="AL63" s="72" t="str">
        <f t="shared" si="24"/>
        <v/>
      </c>
      <c r="AM63" s="39"/>
      <c r="AN63" s="72" t="str">
        <f t="shared" si="44"/>
        <v/>
      </c>
      <c r="AO63" s="72" t="str">
        <f t="shared" si="25"/>
        <v/>
      </c>
      <c r="AP63" s="39"/>
      <c r="AQ63" s="72" t="str">
        <f t="shared" si="45"/>
        <v/>
      </c>
      <c r="AR63" s="72" t="str">
        <f t="shared" si="26"/>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46"/>
        <v/>
      </c>
      <c r="AW63" s="72" t="str">
        <f t="shared" si="27"/>
        <v/>
      </c>
      <c r="AX63" s="39"/>
      <c r="AY63" s="40" t="str">
        <f>IF(ISERROR(IF($K63&lt;=$F$15,VLOOKUP($I63,'表4）CO2価格'!$A$7:$E$67,VLOOKUP($F$48,'表4）CO2価格'!$H$10:$I$12,2,0),0)*$F$8/1000,"")),0,IF($K63&lt;=$F$15,VLOOKUP($I63,'表4）CO2価格'!$A$7:$E$67,VLOOKUP($F$48,'表4）CO2価格'!$H$10:$I$12,2,0),0)*$F$8/1000,""))</f>
        <v/>
      </c>
      <c r="AZ63" s="39"/>
      <c r="BA63" s="42" t="str">
        <f t="shared" si="47"/>
        <v/>
      </c>
      <c r="BB63" s="72" t="str">
        <f t="shared" si="28"/>
        <v/>
      </c>
      <c r="BC63" s="39"/>
      <c r="BD63" s="72" t="str">
        <f t="shared" si="48"/>
        <v/>
      </c>
      <c r="BE63" s="72" t="str">
        <f t="shared" si="29"/>
        <v/>
      </c>
      <c r="BF63" s="39"/>
      <c r="BG63" s="42" t="str">
        <f t="shared" si="49"/>
        <v/>
      </c>
      <c r="BH63" s="72" t="str">
        <f t="shared" si="30"/>
        <v/>
      </c>
      <c r="BI63" s="39"/>
      <c r="BJ63" s="40" t="str">
        <f t="shared" si="31"/>
        <v/>
      </c>
      <c r="BK63" s="157" t="str">
        <f t="shared" si="32"/>
        <v/>
      </c>
      <c r="BL63" s="157" t="str">
        <f t="shared" si="14"/>
        <v/>
      </c>
      <c r="BM63" s="72"/>
      <c r="BN63" s="72" t="str">
        <f t="shared" si="33"/>
        <v/>
      </c>
      <c r="BO63" s="72" t="str">
        <f t="shared" si="34"/>
        <v/>
      </c>
      <c r="BP63" s="39"/>
      <c r="BQ63" s="72" t="str">
        <f t="shared" si="50"/>
        <v/>
      </c>
      <c r="BR63" s="72" t="str">
        <f t="shared" si="35"/>
        <v/>
      </c>
    </row>
    <row r="64" spans="3:70" x14ac:dyDescent="0.15">
      <c r="C64" s="71" t="s">
        <v>589</v>
      </c>
      <c r="F64" s="477">
        <v>0.15279599999999999</v>
      </c>
      <c r="G64" s="84" t="s">
        <v>590</v>
      </c>
      <c r="I64" s="457">
        <f t="shared" si="36"/>
        <v>2069</v>
      </c>
      <c r="J64" s="71"/>
      <c r="K64" s="71">
        <f t="shared" si="37"/>
        <v>50</v>
      </c>
      <c r="L64" s="71"/>
      <c r="M64" s="7">
        <f t="shared" si="0"/>
        <v>0.22810707978975397</v>
      </c>
      <c r="N64" s="71"/>
      <c r="O64" s="10" t="str">
        <f t="shared" si="16"/>
        <v/>
      </c>
      <c r="P64" s="29" t="str">
        <f t="shared" si="38"/>
        <v/>
      </c>
      <c r="Q64" s="71"/>
      <c r="R64" s="10" t="str">
        <f t="shared" si="51"/>
        <v/>
      </c>
      <c r="S64" s="71"/>
      <c r="T64" s="10" t="str">
        <f t="shared" si="18"/>
        <v/>
      </c>
      <c r="U64" s="71"/>
      <c r="V64" s="10" t="str">
        <f t="shared" si="39"/>
        <v/>
      </c>
      <c r="W64" s="10" t="str">
        <f t="shared" si="19"/>
        <v/>
      </c>
      <c r="X64" s="71"/>
      <c r="Y64" s="10" t="str">
        <f t="shared" si="40"/>
        <v/>
      </c>
      <c r="Z64" s="10" t="str">
        <f t="shared" si="20"/>
        <v/>
      </c>
      <c r="AA64" s="71"/>
      <c r="AB64" s="10" t="str">
        <f t="shared" si="4"/>
        <v/>
      </c>
      <c r="AC64" s="10" t="str">
        <f t="shared" si="21"/>
        <v/>
      </c>
      <c r="AD64" s="71"/>
      <c r="AE64" s="10" t="str">
        <f t="shared" si="41"/>
        <v/>
      </c>
      <c r="AF64" s="10" t="str">
        <f t="shared" si="22"/>
        <v/>
      </c>
      <c r="AG64" s="71"/>
      <c r="AH64" s="10" t="str">
        <f t="shared" si="42"/>
        <v/>
      </c>
      <c r="AI64" s="10" t="str">
        <f t="shared" si="23"/>
        <v/>
      </c>
      <c r="AJ64" s="71"/>
      <c r="AK64" s="10" t="str">
        <f t="shared" si="43"/>
        <v/>
      </c>
      <c r="AL64" s="10" t="str">
        <f t="shared" si="24"/>
        <v/>
      </c>
      <c r="AM64" s="71"/>
      <c r="AN64" s="10" t="str">
        <f t="shared" si="44"/>
        <v/>
      </c>
      <c r="AO64" s="10" t="str">
        <f t="shared" si="25"/>
        <v/>
      </c>
      <c r="AP64" s="71"/>
      <c r="AQ64" s="10" t="str">
        <f t="shared" si="45"/>
        <v/>
      </c>
      <c r="AR64" s="10" t="str">
        <f t="shared" si="26"/>
        <v/>
      </c>
      <c r="AS64" s="71"/>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U64" s="71"/>
      <c r="AV64" s="10" t="str">
        <f t="shared" si="46"/>
        <v/>
      </c>
      <c r="AW64" s="10" t="str">
        <f t="shared" si="27"/>
        <v/>
      </c>
      <c r="AX64" s="71"/>
      <c r="AY64" s="7" t="str">
        <f>IF(ISERROR(IF($K64&lt;=$F$15,VLOOKUP($I64,'表4）CO2価格'!$A$7:$E$67,VLOOKUP($F$48,'表4）CO2価格'!$H$10:$I$12,2,0),0)*$F$8/1000,"")),0,IF($K64&lt;=$F$15,VLOOKUP($I64,'表4）CO2価格'!$A$7:$E$67,VLOOKUP($F$48,'表4）CO2価格'!$H$10:$I$12,2,0),0)*$F$8/1000,""))</f>
        <v/>
      </c>
      <c r="AZ64" s="71"/>
      <c r="BA64" s="11" t="str">
        <f t="shared" si="47"/>
        <v/>
      </c>
      <c r="BB64" s="10" t="str">
        <f t="shared" si="28"/>
        <v/>
      </c>
      <c r="BC64" s="71"/>
      <c r="BD64" s="10" t="str">
        <f t="shared" si="48"/>
        <v/>
      </c>
      <c r="BE64" s="10" t="str">
        <f t="shared" si="29"/>
        <v/>
      </c>
      <c r="BF64" s="71"/>
      <c r="BG64" s="11" t="str">
        <f t="shared" si="49"/>
        <v/>
      </c>
      <c r="BH64" s="10" t="str">
        <f t="shared" si="30"/>
        <v/>
      </c>
      <c r="BJ64" s="7" t="str">
        <f t="shared" si="31"/>
        <v/>
      </c>
      <c r="BK64" s="158" t="str">
        <f t="shared" si="32"/>
        <v/>
      </c>
      <c r="BL64" s="158" t="str">
        <f t="shared" si="14"/>
        <v/>
      </c>
      <c r="BM64" s="10"/>
      <c r="BN64" s="10" t="str">
        <f t="shared" si="33"/>
        <v/>
      </c>
      <c r="BO64" s="10" t="str">
        <f t="shared" si="34"/>
        <v/>
      </c>
      <c r="BQ64" s="10" t="str">
        <f t="shared" si="50"/>
        <v/>
      </c>
      <c r="BR64" s="10" t="str">
        <f t="shared" si="35"/>
        <v/>
      </c>
    </row>
    <row r="65" spans="2:70" x14ac:dyDescent="0.15">
      <c r="I65" s="38">
        <f t="shared" si="36"/>
        <v>2070</v>
      </c>
      <c r="J65" s="39"/>
      <c r="K65" s="39">
        <f t="shared" si="37"/>
        <v>51</v>
      </c>
      <c r="L65" s="39"/>
      <c r="M65" s="40">
        <f t="shared" si="0"/>
        <v>0.22146318426189707</v>
      </c>
      <c r="N65" s="39"/>
      <c r="O65" s="72" t="str">
        <f t="shared" si="16"/>
        <v/>
      </c>
      <c r="P65" s="41" t="str">
        <f t="shared" si="38"/>
        <v/>
      </c>
      <c r="Q65" s="39"/>
      <c r="R65" s="72" t="str">
        <f t="shared" si="51"/>
        <v/>
      </c>
      <c r="S65" s="39"/>
      <c r="T65" s="72" t="str">
        <f t="shared" si="18"/>
        <v/>
      </c>
      <c r="U65" s="39"/>
      <c r="V65" s="72" t="str">
        <f t="shared" si="39"/>
        <v/>
      </c>
      <c r="W65" s="72" t="str">
        <f t="shared" si="19"/>
        <v/>
      </c>
      <c r="X65" s="39"/>
      <c r="Y65" s="72" t="str">
        <f t="shared" si="40"/>
        <v/>
      </c>
      <c r="Z65" s="72" t="str">
        <f t="shared" si="20"/>
        <v/>
      </c>
      <c r="AA65" s="39"/>
      <c r="AB65" s="72" t="str">
        <f t="shared" si="4"/>
        <v/>
      </c>
      <c r="AC65" s="72" t="str">
        <f t="shared" si="21"/>
        <v/>
      </c>
      <c r="AD65" s="39"/>
      <c r="AE65" s="72" t="str">
        <f t="shared" si="41"/>
        <v/>
      </c>
      <c r="AF65" s="72" t="str">
        <f t="shared" si="22"/>
        <v/>
      </c>
      <c r="AG65" s="39"/>
      <c r="AH65" s="72" t="str">
        <f t="shared" si="42"/>
        <v/>
      </c>
      <c r="AI65" s="72" t="str">
        <f t="shared" si="23"/>
        <v/>
      </c>
      <c r="AJ65" s="39"/>
      <c r="AK65" s="72" t="str">
        <f t="shared" si="43"/>
        <v/>
      </c>
      <c r="AL65" s="72" t="str">
        <f t="shared" si="24"/>
        <v/>
      </c>
      <c r="AM65" s="39"/>
      <c r="AN65" s="72" t="str">
        <f t="shared" si="44"/>
        <v/>
      </c>
      <c r="AO65" s="72" t="str">
        <f t="shared" si="25"/>
        <v/>
      </c>
      <c r="AP65" s="39"/>
      <c r="AQ65" s="72" t="str">
        <f t="shared" si="45"/>
        <v/>
      </c>
      <c r="AR65" s="72" t="str">
        <f t="shared" si="26"/>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46"/>
        <v/>
      </c>
      <c r="AW65" s="72" t="str">
        <f t="shared" si="27"/>
        <v/>
      </c>
      <c r="AX65" s="39"/>
      <c r="AY65" s="40" t="str">
        <f>IF(ISERROR(IF($K65&lt;=$F$15,VLOOKUP($I65,'表4）CO2価格'!$A$7:$E$67,VLOOKUP($F$48,'表4）CO2価格'!$H$10:$I$12,2,0),0)*$F$8/1000,"")),0,IF($K65&lt;=$F$15,VLOOKUP($I65,'表4）CO2価格'!$A$7:$E$67,VLOOKUP($F$48,'表4）CO2価格'!$H$10:$I$12,2,0),0)*$F$8/1000,""))</f>
        <v/>
      </c>
      <c r="AZ65" s="39"/>
      <c r="BA65" s="42" t="str">
        <f t="shared" si="47"/>
        <v/>
      </c>
      <c r="BB65" s="72" t="str">
        <f t="shared" si="28"/>
        <v/>
      </c>
      <c r="BC65" s="39"/>
      <c r="BD65" s="72" t="str">
        <f t="shared" si="48"/>
        <v/>
      </c>
      <c r="BE65" s="72" t="str">
        <f t="shared" si="29"/>
        <v/>
      </c>
      <c r="BF65" s="39"/>
      <c r="BG65" s="42" t="str">
        <f t="shared" si="49"/>
        <v/>
      </c>
      <c r="BH65" s="72" t="str">
        <f t="shared" si="30"/>
        <v/>
      </c>
      <c r="BI65" s="39"/>
      <c r="BJ65" s="40" t="str">
        <f t="shared" si="31"/>
        <v/>
      </c>
      <c r="BK65" s="157" t="str">
        <f t="shared" si="32"/>
        <v/>
      </c>
      <c r="BL65" s="157" t="str">
        <f t="shared" si="14"/>
        <v/>
      </c>
      <c r="BM65" s="72"/>
      <c r="BN65" s="72" t="str">
        <f t="shared" si="33"/>
        <v/>
      </c>
      <c r="BO65" s="72" t="str">
        <f t="shared" si="34"/>
        <v/>
      </c>
      <c r="BP65" s="39"/>
      <c r="BQ65" s="72" t="str">
        <f t="shared" si="50"/>
        <v/>
      </c>
      <c r="BR65" s="72" t="str">
        <f t="shared" si="35"/>
        <v/>
      </c>
    </row>
    <row r="66" spans="2:70" x14ac:dyDescent="0.15">
      <c r="I66" s="457">
        <f t="shared" si="36"/>
        <v>2071</v>
      </c>
      <c r="J66" s="71"/>
      <c r="K66" s="71">
        <f t="shared" si="37"/>
        <v>52</v>
      </c>
      <c r="L66" s="71"/>
      <c r="M66" s="7">
        <f t="shared" si="0"/>
        <v>0.215012800254269</v>
      </c>
      <c r="N66" s="71"/>
      <c r="O66" s="10" t="str">
        <f t="shared" si="16"/>
        <v/>
      </c>
      <c r="P66" s="29" t="str">
        <f t="shared" si="38"/>
        <v/>
      </c>
      <c r="Q66" s="71"/>
      <c r="R66" s="10" t="str">
        <f t="shared" si="51"/>
        <v/>
      </c>
      <c r="S66" s="71"/>
      <c r="T66" s="10" t="str">
        <f t="shared" si="18"/>
        <v/>
      </c>
      <c r="U66" s="71"/>
      <c r="V66" s="10" t="str">
        <f t="shared" si="39"/>
        <v/>
      </c>
      <c r="W66" s="10" t="str">
        <f t="shared" si="19"/>
        <v/>
      </c>
      <c r="X66" s="71"/>
      <c r="Y66" s="10" t="str">
        <f t="shared" si="40"/>
        <v/>
      </c>
      <c r="Z66" s="10" t="str">
        <f t="shared" si="20"/>
        <v/>
      </c>
      <c r="AA66" s="71"/>
      <c r="AB66" s="10" t="str">
        <f t="shared" si="4"/>
        <v/>
      </c>
      <c r="AC66" s="10" t="str">
        <f t="shared" si="21"/>
        <v/>
      </c>
      <c r="AD66" s="71"/>
      <c r="AE66" s="10" t="str">
        <f t="shared" si="41"/>
        <v/>
      </c>
      <c r="AF66" s="10" t="str">
        <f t="shared" si="22"/>
        <v/>
      </c>
      <c r="AG66" s="71"/>
      <c r="AH66" s="10" t="str">
        <f t="shared" si="42"/>
        <v/>
      </c>
      <c r="AI66" s="10" t="str">
        <f t="shared" si="23"/>
        <v/>
      </c>
      <c r="AJ66" s="71"/>
      <c r="AK66" s="10" t="str">
        <f t="shared" si="43"/>
        <v/>
      </c>
      <c r="AL66" s="10" t="str">
        <f t="shared" si="24"/>
        <v/>
      </c>
      <c r="AM66" s="71"/>
      <c r="AN66" s="10" t="str">
        <f t="shared" si="44"/>
        <v/>
      </c>
      <c r="AO66" s="10" t="str">
        <f t="shared" si="25"/>
        <v/>
      </c>
      <c r="AP66" s="71"/>
      <c r="AQ66" s="10" t="str">
        <f t="shared" si="45"/>
        <v/>
      </c>
      <c r="AR66" s="10" t="str">
        <f t="shared" si="26"/>
        <v/>
      </c>
      <c r="AS66" s="71"/>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U66" s="71"/>
      <c r="AV66" s="10" t="str">
        <f t="shared" si="46"/>
        <v/>
      </c>
      <c r="AW66" s="10" t="str">
        <f t="shared" si="27"/>
        <v/>
      </c>
      <c r="AX66" s="71"/>
      <c r="AY66" s="7" t="str">
        <f>IF(ISERROR(IF($K66&lt;=$F$15,VLOOKUP($I66,'表4）CO2価格'!$A$7:$E$67,VLOOKUP($F$48,'表4）CO2価格'!$H$10:$I$12,2,0),0)*$F$8/1000,"")),0,IF($K66&lt;=$F$15,VLOOKUP($I66,'表4）CO2価格'!$A$7:$E$67,VLOOKUP($F$48,'表4）CO2価格'!$H$10:$I$12,2,0),0)*$F$8/1000,""))</f>
        <v/>
      </c>
      <c r="AZ66" s="71"/>
      <c r="BA66" s="11" t="str">
        <f t="shared" si="47"/>
        <v/>
      </c>
      <c r="BB66" s="10" t="str">
        <f t="shared" si="28"/>
        <v/>
      </c>
      <c r="BC66" s="71"/>
      <c r="BD66" s="10" t="str">
        <f t="shared" si="48"/>
        <v/>
      </c>
      <c r="BE66" s="10" t="str">
        <f t="shared" si="29"/>
        <v/>
      </c>
      <c r="BF66" s="71"/>
      <c r="BG66" s="11" t="str">
        <f t="shared" si="49"/>
        <v/>
      </c>
      <c r="BH66" s="10" t="str">
        <f t="shared" si="30"/>
        <v/>
      </c>
      <c r="BJ66" s="7" t="str">
        <f t="shared" si="31"/>
        <v/>
      </c>
      <c r="BK66" s="158" t="str">
        <f t="shared" si="32"/>
        <v/>
      </c>
      <c r="BL66" s="158" t="str">
        <f t="shared" si="14"/>
        <v/>
      </c>
      <c r="BM66" s="10"/>
      <c r="BN66" s="10" t="str">
        <f t="shared" si="33"/>
        <v/>
      </c>
      <c r="BO66" s="10" t="str">
        <f t="shared" si="34"/>
        <v/>
      </c>
      <c r="BQ66" s="10" t="str">
        <f t="shared" si="50"/>
        <v/>
      </c>
      <c r="BR66" s="10" t="str">
        <f t="shared" si="35"/>
        <v/>
      </c>
    </row>
    <row r="67" spans="2:70" ht="15.75" thickBot="1" x14ac:dyDescent="0.2">
      <c r="B67" s="5" t="s">
        <v>133</v>
      </c>
      <c r="C67" s="3"/>
      <c r="D67" s="102"/>
      <c r="E67" s="102"/>
      <c r="F67" s="3"/>
      <c r="G67" s="102"/>
      <c r="I67" s="38">
        <f t="shared" si="36"/>
        <v>2072</v>
      </c>
      <c r="J67" s="39"/>
      <c r="K67" s="39">
        <f t="shared" si="37"/>
        <v>53</v>
      </c>
      <c r="L67" s="39"/>
      <c r="M67" s="40">
        <f t="shared" si="0"/>
        <v>0.20875029150899907</v>
      </c>
      <c r="N67" s="39"/>
      <c r="O67" s="72" t="str">
        <f t="shared" si="16"/>
        <v/>
      </c>
      <c r="P67" s="41" t="str">
        <f t="shared" si="38"/>
        <v/>
      </c>
      <c r="Q67" s="39"/>
      <c r="R67" s="72" t="str">
        <f t="shared" si="51"/>
        <v/>
      </c>
      <c r="S67" s="39"/>
      <c r="T67" s="72" t="str">
        <f t="shared" si="18"/>
        <v/>
      </c>
      <c r="U67" s="39"/>
      <c r="V67" s="72" t="str">
        <f t="shared" si="39"/>
        <v/>
      </c>
      <c r="W67" s="72" t="str">
        <f t="shared" si="19"/>
        <v/>
      </c>
      <c r="X67" s="39"/>
      <c r="Y67" s="72" t="str">
        <f t="shared" si="40"/>
        <v/>
      </c>
      <c r="Z67" s="72" t="str">
        <f t="shared" si="20"/>
        <v/>
      </c>
      <c r="AA67" s="39"/>
      <c r="AB67" s="72" t="str">
        <f t="shared" si="4"/>
        <v/>
      </c>
      <c r="AC67" s="72" t="str">
        <f t="shared" si="21"/>
        <v/>
      </c>
      <c r="AD67" s="39"/>
      <c r="AE67" s="72" t="str">
        <f t="shared" si="41"/>
        <v/>
      </c>
      <c r="AF67" s="72" t="str">
        <f t="shared" si="22"/>
        <v/>
      </c>
      <c r="AG67" s="39"/>
      <c r="AH67" s="72" t="str">
        <f t="shared" si="42"/>
        <v/>
      </c>
      <c r="AI67" s="72" t="str">
        <f t="shared" si="23"/>
        <v/>
      </c>
      <c r="AJ67" s="39"/>
      <c r="AK67" s="72" t="str">
        <f t="shared" si="43"/>
        <v/>
      </c>
      <c r="AL67" s="72" t="str">
        <f t="shared" si="24"/>
        <v/>
      </c>
      <c r="AM67" s="39"/>
      <c r="AN67" s="72" t="str">
        <f t="shared" si="44"/>
        <v/>
      </c>
      <c r="AO67" s="72" t="str">
        <f t="shared" si="25"/>
        <v/>
      </c>
      <c r="AP67" s="39"/>
      <c r="AQ67" s="72" t="str">
        <f t="shared" si="45"/>
        <v/>
      </c>
      <c r="AR67" s="72" t="str">
        <f t="shared" si="26"/>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46"/>
        <v/>
      </c>
      <c r="AW67" s="72" t="str">
        <f t="shared" si="27"/>
        <v/>
      </c>
      <c r="AX67" s="39"/>
      <c r="AY67" s="40" t="str">
        <f>IF(ISERROR(IF($K67&lt;=$F$15,VLOOKUP($I67,'表4）CO2価格'!$A$7:$E$67,VLOOKUP($F$48,'表4）CO2価格'!$H$10:$I$12,2,0),0)*$F$8/1000,"")),0,IF($K67&lt;=$F$15,VLOOKUP($I67,'表4）CO2価格'!$A$7:$E$67,VLOOKUP($F$48,'表4）CO2価格'!$H$10:$I$12,2,0),0)*$F$8/1000,""))</f>
        <v/>
      </c>
      <c r="AZ67" s="39"/>
      <c r="BA67" s="42" t="str">
        <f t="shared" si="47"/>
        <v/>
      </c>
      <c r="BB67" s="72" t="str">
        <f t="shared" si="28"/>
        <v/>
      </c>
      <c r="BC67" s="39"/>
      <c r="BD67" s="72" t="str">
        <f t="shared" si="48"/>
        <v/>
      </c>
      <c r="BE67" s="72" t="str">
        <f t="shared" si="29"/>
        <v/>
      </c>
      <c r="BF67" s="39"/>
      <c r="BG67" s="42" t="str">
        <f t="shared" si="49"/>
        <v/>
      </c>
      <c r="BH67" s="72" t="str">
        <f t="shared" si="30"/>
        <v/>
      </c>
      <c r="BI67" s="39"/>
      <c r="BJ67" s="40" t="str">
        <f t="shared" si="31"/>
        <v/>
      </c>
      <c r="BK67" s="157" t="str">
        <f t="shared" si="32"/>
        <v/>
      </c>
      <c r="BL67" s="157" t="str">
        <f t="shared" si="14"/>
        <v/>
      </c>
      <c r="BM67" s="72"/>
      <c r="BN67" s="72" t="str">
        <f t="shared" si="33"/>
        <v/>
      </c>
      <c r="BO67" s="72" t="str">
        <f t="shared" si="34"/>
        <v/>
      </c>
      <c r="BP67" s="39"/>
      <c r="BQ67" s="72" t="str">
        <f t="shared" si="50"/>
        <v/>
      </c>
      <c r="BR67" s="72" t="str">
        <f t="shared" si="35"/>
        <v/>
      </c>
    </row>
    <row r="68" spans="2:70" x14ac:dyDescent="0.15">
      <c r="I68" s="457">
        <f t="shared" si="36"/>
        <v>2073</v>
      </c>
      <c r="J68" s="71"/>
      <c r="K68" s="71">
        <f t="shared" si="37"/>
        <v>54</v>
      </c>
      <c r="L68" s="71"/>
      <c r="M68" s="7">
        <f t="shared" si="0"/>
        <v>0.20267018593106703</v>
      </c>
      <c r="N68" s="71"/>
      <c r="O68" s="10" t="str">
        <f t="shared" si="16"/>
        <v/>
      </c>
      <c r="P68" s="29" t="str">
        <f t="shared" si="38"/>
        <v/>
      </c>
      <c r="Q68" s="71"/>
      <c r="R68" s="10" t="str">
        <f t="shared" si="51"/>
        <v/>
      </c>
      <c r="S68" s="71"/>
      <c r="T68" s="10" t="str">
        <f t="shared" si="18"/>
        <v/>
      </c>
      <c r="U68" s="71"/>
      <c r="V68" s="10" t="str">
        <f t="shared" si="39"/>
        <v/>
      </c>
      <c r="W68" s="10" t="str">
        <f t="shared" si="19"/>
        <v/>
      </c>
      <c r="X68" s="71"/>
      <c r="Y68" s="10" t="str">
        <f t="shared" si="40"/>
        <v/>
      </c>
      <c r="Z68" s="10" t="str">
        <f t="shared" si="20"/>
        <v/>
      </c>
      <c r="AA68" s="71"/>
      <c r="AB68" s="10" t="str">
        <f t="shared" si="4"/>
        <v/>
      </c>
      <c r="AC68" s="10" t="str">
        <f t="shared" si="21"/>
        <v/>
      </c>
      <c r="AD68" s="71"/>
      <c r="AE68" s="10" t="str">
        <f t="shared" si="41"/>
        <v/>
      </c>
      <c r="AF68" s="10" t="str">
        <f t="shared" si="22"/>
        <v/>
      </c>
      <c r="AG68" s="71"/>
      <c r="AH68" s="10" t="str">
        <f t="shared" si="42"/>
        <v/>
      </c>
      <c r="AI68" s="10" t="str">
        <f t="shared" si="23"/>
        <v/>
      </c>
      <c r="AJ68" s="71"/>
      <c r="AK68" s="10" t="str">
        <f t="shared" si="43"/>
        <v/>
      </c>
      <c r="AL68" s="10" t="str">
        <f t="shared" si="24"/>
        <v/>
      </c>
      <c r="AM68" s="71"/>
      <c r="AN68" s="10" t="str">
        <f t="shared" si="44"/>
        <v/>
      </c>
      <c r="AO68" s="10" t="str">
        <f t="shared" si="25"/>
        <v/>
      </c>
      <c r="AP68" s="71"/>
      <c r="AQ68" s="10" t="str">
        <f t="shared" si="45"/>
        <v/>
      </c>
      <c r="AR68" s="10" t="str">
        <f t="shared" si="26"/>
        <v/>
      </c>
      <c r="AS68" s="71"/>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U68" s="71"/>
      <c r="AV68" s="10" t="str">
        <f t="shared" si="46"/>
        <v/>
      </c>
      <c r="AW68" s="10" t="str">
        <f t="shared" si="27"/>
        <v/>
      </c>
      <c r="AX68" s="71"/>
      <c r="AY68" s="7" t="str">
        <f>IF(ISERROR(IF($K68&lt;=$F$15,VLOOKUP($I68,'表4）CO2価格'!$A$7:$E$67,VLOOKUP($F$48,'表4）CO2価格'!$H$10:$I$12,2,0),0)*$F$8/1000,"")),0,IF($K68&lt;=$F$15,VLOOKUP($I68,'表4）CO2価格'!$A$7:$E$67,VLOOKUP($F$48,'表4）CO2価格'!$H$10:$I$12,2,0),0)*$F$8/1000,""))</f>
        <v/>
      </c>
      <c r="AZ68" s="71"/>
      <c r="BA68" s="11" t="str">
        <f t="shared" si="47"/>
        <v/>
      </c>
      <c r="BB68" s="10" t="str">
        <f t="shared" si="28"/>
        <v/>
      </c>
      <c r="BC68" s="71"/>
      <c r="BD68" s="10" t="str">
        <f t="shared" si="48"/>
        <v/>
      </c>
      <c r="BE68" s="10" t="str">
        <f t="shared" si="29"/>
        <v/>
      </c>
      <c r="BF68" s="71"/>
      <c r="BG68" s="11" t="str">
        <f t="shared" si="49"/>
        <v/>
      </c>
      <c r="BH68" s="10" t="str">
        <f t="shared" si="30"/>
        <v/>
      </c>
      <c r="BJ68" s="7" t="str">
        <f t="shared" si="31"/>
        <v/>
      </c>
      <c r="BK68" s="158" t="str">
        <f t="shared" si="32"/>
        <v/>
      </c>
      <c r="BL68" s="158" t="str">
        <f t="shared" si="14"/>
        <v/>
      </c>
      <c r="BM68" s="10"/>
      <c r="BN68" s="10" t="str">
        <f t="shared" si="33"/>
        <v/>
      </c>
      <c r="BO68" s="10" t="str">
        <f t="shared" si="34"/>
        <v/>
      </c>
      <c r="BQ68" s="10" t="str">
        <f t="shared" si="50"/>
        <v/>
      </c>
      <c r="BR68" s="10" t="str">
        <f t="shared" si="35"/>
        <v/>
      </c>
    </row>
    <row r="69" spans="2:70" x14ac:dyDescent="0.15">
      <c r="C69" s="483" t="s">
        <v>134</v>
      </c>
      <c r="D69" s="71"/>
      <c r="E69" s="71"/>
      <c r="F69" s="484">
        <f>SUBTOTAL(9,F74:F112)-F105</f>
        <v>22.018624434363648</v>
      </c>
      <c r="G69" s="71" t="s">
        <v>590</v>
      </c>
      <c r="I69" s="38">
        <f t="shared" si="36"/>
        <v>2074</v>
      </c>
      <c r="J69" s="39"/>
      <c r="K69" s="39">
        <f t="shared" si="37"/>
        <v>55</v>
      </c>
      <c r="L69" s="39"/>
      <c r="M69" s="40">
        <f t="shared" si="0"/>
        <v>0.19676717080686118</v>
      </c>
      <c r="N69" s="39"/>
      <c r="O69" s="72" t="str">
        <f t="shared" si="16"/>
        <v/>
      </c>
      <c r="P69" s="41" t="str">
        <f t="shared" si="38"/>
        <v/>
      </c>
      <c r="Q69" s="39"/>
      <c r="R69" s="72" t="str">
        <f t="shared" si="51"/>
        <v/>
      </c>
      <c r="S69" s="39"/>
      <c r="T69" s="72" t="str">
        <f t="shared" si="18"/>
        <v/>
      </c>
      <c r="U69" s="39"/>
      <c r="V69" s="72" t="str">
        <f t="shared" si="39"/>
        <v/>
      </c>
      <c r="W69" s="72" t="str">
        <f t="shared" si="19"/>
        <v/>
      </c>
      <c r="X69" s="39"/>
      <c r="Y69" s="72" t="str">
        <f t="shared" si="40"/>
        <v/>
      </c>
      <c r="Z69" s="72" t="str">
        <f t="shared" si="20"/>
        <v/>
      </c>
      <c r="AA69" s="39"/>
      <c r="AB69" s="72" t="str">
        <f t="shared" si="4"/>
        <v/>
      </c>
      <c r="AC69" s="72" t="str">
        <f t="shared" si="21"/>
        <v/>
      </c>
      <c r="AD69" s="39"/>
      <c r="AE69" s="72" t="str">
        <f t="shared" si="41"/>
        <v/>
      </c>
      <c r="AF69" s="72" t="str">
        <f t="shared" si="22"/>
        <v/>
      </c>
      <c r="AG69" s="39"/>
      <c r="AH69" s="72" t="str">
        <f t="shared" si="42"/>
        <v/>
      </c>
      <c r="AI69" s="72" t="str">
        <f t="shared" si="23"/>
        <v/>
      </c>
      <c r="AJ69" s="39"/>
      <c r="AK69" s="72" t="str">
        <f t="shared" si="43"/>
        <v/>
      </c>
      <c r="AL69" s="72" t="str">
        <f t="shared" si="24"/>
        <v/>
      </c>
      <c r="AM69" s="39"/>
      <c r="AN69" s="72" t="str">
        <f t="shared" si="44"/>
        <v/>
      </c>
      <c r="AO69" s="72" t="str">
        <f t="shared" si="25"/>
        <v/>
      </c>
      <c r="AP69" s="39"/>
      <c r="AQ69" s="72" t="str">
        <f t="shared" si="45"/>
        <v/>
      </c>
      <c r="AR69" s="72" t="str">
        <f t="shared" si="26"/>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46"/>
        <v/>
      </c>
      <c r="AW69" s="72" t="str">
        <f t="shared" si="27"/>
        <v/>
      </c>
      <c r="AX69" s="39"/>
      <c r="AY69" s="40" t="str">
        <f>IF(ISERROR(IF($K69&lt;=$F$15,VLOOKUP($I69,'表4）CO2価格'!$A$7:$E$67,VLOOKUP($F$48,'表4）CO2価格'!$H$10:$I$12,2,0),0)*$F$8/1000,"")),0,IF($K69&lt;=$F$15,VLOOKUP($I69,'表4）CO2価格'!$A$7:$E$67,VLOOKUP($F$48,'表4）CO2価格'!$H$10:$I$12,2,0),0)*$F$8/1000,""))</f>
        <v/>
      </c>
      <c r="AZ69" s="39"/>
      <c r="BA69" s="42" t="str">
        <f t="shared" si="47"/>
        <v/>
      </c>
      <c r="BB69" s="72" t="str">
        <f t="shared" si="28"/>
        <v/>
      </c>
      <c r="BC69" s="39"/>
      <c r="BD69" s="72" t="str">
        <f t="shared" si="48"/>
        <v/>
      </c>
      <c r="BE69" s="72" t="str">
        <f t="shared" si="29"/>
        <v/>
      </c>
      <c r="BF69" s="39"/>
      <c r="BG69" s="42" t="str">
        <f t="shared" si="49"/>
        <v/>
      </c>
      <c r="BH69" s="72" t="str">
        <f t="shared" si="30"/>
        <v/>
      </c>
      <c r="BI69" s="39"/>
      <c r="BJ69" s="40" t="str">
        <f t="shared" si="31"/>
        <v/>
      </c>
      <c r="BK69" s="157" t="str">
        <f t="shared" si="32"/>
        <v/>
      </c>
      <c r="BL69" s="157" t="str">
        <f t="shared" si="14"/>
        <v/>
      </c>
      <c r="BM69" s="72"/>
      <c r="BN69" s="72" t="str">
        <f t="shared" si="33"/>
        <v/>
      </c>
      <c r="BO69" s="72" t="str">
        <f t="shared" si="34"/>
        <v/>
      </c>
      <c r="BP69" s="39"/>
      <c r="BQ69" s="72" t="str">
        <f t="shared" si="50"/>
        <v/>
      </c>
      <c r="BR69" s="72" t="str">
        <f t="shared" si="35"/>
        <v/>
      </c>
    </row>
    <row r="70" spans="2:70" x14ac:dyDescent="0.15">
      <c r="C70" s="483" t="s">
        <v>135</v>
      </c>
      <c r="D70" s="71"/>
      <c r="E70" s="71"/>
      <c r="F70" s="484">
        <f ca="1">MAX(SUM($Z$117,$AF$117,$AI$117,$AL$117,$AO$117,$AR$117,$AW$117,$BB$117,$BE$117,$BH$117,$BO$116)/$BR$116+$F$105,SUBTOTAL(9,F74:F112))</f>
        <v>25.267629773169112</v>
      </c>
      <c r="G70" s="71" t="s">
        <v>590</v>
      </c>
      <c r="I70" s="457">
        <f t="shared" si="36"/>
        <v>2075</v>
      </c>
      <c r="J70" s="71"/>
      <c r="K70" s="71">
        <f t="shared" si="37"/>
        <v>56</v>
      </c>
      <c r="L70" s="71"/>
      <c r="M70" s="7">
        <f t="shared" si="0"/>
        <v>0.19103608816200118</v>
      </c>
      <c r="N70" s="71"/>
      <c r="O70" s="10" t="str">
        <f t="shared" si="16"/>
        <v/>
      </c>
      <c r="P70" s="29" t="str">
        <f t="shared" si="38"/>
        <v/>
      </c>
      <c r="Q70" s="71"/>
      <c r="R70" s="10" t="str">
        <f t="shared" si="51"/>
        <v/>
      </c>
      <c r="S70" s="71"/>
      <c r="T70" s="10" t="str">
        <f t="shared" si="18"/>
        <v/>
      </c>
      <c r="U70" s="71"/>
      <c r="V70" s="10" t="str">
        <f t="shared" si="39"/>
        <v/>
      </c>
      <c r="W70" s="10" t="str">
        <f t="shared" si="19"/>
        <v/>
      </c>
      <c r="X70" s="71"/>
      <c r="Y70" s="10" t="str">
        <f t="shared" si="40"/>
        <v/>
      </c>
      <c r="Z70" s="10" t="str">
        <f t="shared" si="20"/>
        <v/>
      </c>
      <c r="AA70" s="71"/>
      <c r="AB70" s="10" t="str">
        <f t="shared" si="4"/>
        <v/>
      </c>
      <c r="AC70" s="10" t="str">
        <f t="shared" si="21"/>
        <v/>
      </c>
      <c r="AD70" s="71"/>
      <c r="AE70" s="10" t="str">
        <f t="shared" si="41"/>
        <v/>
      </c>
      <c r="AF70" s="10" t="str">
        <f t="shared" si="22"/>
        <v/>
      </c>
      <c r="AG70" s="71"/>
      <c r="AH70" s="10" t="str">
        <f t="shared" si="42"/>
        <v/>
      </c>
      <c r="AI70" s="10" t="str">
        <f t="shared" si="23"/>
        <v/>
      </c>
      <c r="AJ70" s="71"/>
      <c r="AK70" s="10" t="str">
        <f t="shared" si="43"/>
        <v/>
      </c>
      <c r="AL70" s="10" t="str">
        <f t="shared" si="24"/>
        <v/>
      </c>
      <c r="AM70" s="71"/>
      <c r="AN70" s="10" t="str">
        <f t="shared" si="44"/>
        <v/>
      </c>
      <c r="AO70" s="10" t="str">
        <f t="shared" si="25"/>
        <v/>
      </c>
      <c r="AP70" s="71"/>
      <c r="AQ70" s="10" t="str">
        <f t="shared" si="45"/>
        <v/>
      </c>
      <c r="AR70" s="10" t="str">
        <f t="shared" si="26"/>
        <v/>
      </c>
      <c r="AS70" s="71"/>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U70" s="71"/>
      <c r="AV70" s="10" t="str">
        <f t="shared" si="46"/>
        <v/>
      </c>
      <c r="AW70" s="10" t="str">
        <f t="shared" si="27"/>
        <v/>
      </c>
      <c r="AX70" s="71"/>
      <c r="AY70" s="7" t="str">
        <f>IF(ISERROR(IF($K70&lt;=$F$15,VLOOKUP($I70,'表4）CO2価格'!$A$7:$E$67,VLOOKUP($F$48,'表4）CO2価格'!$H$10:$I$12,2,0),0)*$F$8/1000,"")),0,IF($K70&lt;=$F$15,VLOOKUP($I70,'表4）CO2価格'!$A$7:$E$67,VLOOKUP($F$48,'表4）CO2価格'!$H$10:$I$12,2,0),0)*$F$8/1000,""))</f>
        <v/>
      </c>
      <c r="AZ70" s="71"/>
      <c r="BA70" s="11" t="str">
        <f t="shared" si="47"/>
        <v/>
      </c>
      <c r="BB70" s="10" t="str">
        <f t="shared" si="28"/>
        <v/>
      </c>
      <c r="BC70" s="71"/>
      <c r="BD70" s="10" t="str">
        <f t="shared" si="48"/>
        <v/>
      </c>
      <c r="BE70" s="10" t="str">
        <f t="shared" si="29"/>
        <v/>
      </c>
      <c r="BF70" s="71"/>
      <c r="BG70" s="11" t="str">
        <f t="shared" si="49"/>
        <v/>
      </c>
      <c r="BH70" s="10" t="str">
        <f t="shared" si="30"/>
        <v/>
      </c>
      <c r="BJ70" s="7" t="str">
        <f t="shared" si="31"/>
        <v/>
      </c>
      <c r="BK70" s="158" t="str">
        <f t="shared" si="32"/>
        <v/>
      </c>
      <c r="BL70" s="158" t="str">
        <f t="shared" si="14"/>
        <v/>
      </c>
      <c r="BM70" s="10"/>
      <c r="BN70" s="10" t="str">
        <f t="shared" si="33"/>
        <v/>
      </c>
      <c r="BO70" s="10" t="str">
        <f t="shared" si="34"/>
        <v/>
      </c>
      <c r="BQ70" s="10" t="str">
        <f t="shared" si="50"/>
        <v/>
      </c>
      <c r="BR70" s="10" t="str">
        <f t="shared" si="35"/>
        <v/>
      </c>
    </row>
    <row r="71" spans="2:70" x14ac:dyDescent="0.15">
      <c r="F71" s="485"/>
      <c r="I71" s="38">
        <f t="shared" si="36"/>
        <v>2076</v>
      </c>
      <c r="J71" s="39"/>
      <c r="K71" s="39">
        <f t="shared" si="37"/>
        <v>57</v>
      </c>
      <c r="L71" s="39"/>
      <c r="M71" s="40">
        <f t="shared" si="0"/>
        <v>0.18547193025437006</v>
      </c>
      <c r="N71" s="39"/>
      <c r="O71" s="72" t="str">
        <f t="shared" si="16"/>
        <v/>
      </c>
      <c r="P71" s="41" t="str">
        <f t="shared" si="38"/>
        <v/>
      </c>
      <c r="Q71" s="39"/>
      <c r="R71" s="72" t="str">
        <f t="shared" si="51"/>
        <v/>
      </c>
      <c r="S71" s="39"/>
      <c r="T71" s="72" t="str">
        <f t="shared" si="18"/>
        <v/>
      </c>
      <c r="U71" s="39"/>
      <c r="V71" s="72" t="str">
        <f t="shared" si="39"/>
        <v/>
      </c>
      <c r="W71" s="72" t="str">
        <f t="shared" si="19"/>
        <v/>
      </c>
      <c r="X71" s="39"/>
      <c r="Y71" s="72" t="str">
        <f t="shared" si="40"/>
        <v/>
      </c>
      <c r="Z71" s="72" t="str">
        <f t="shared" si="20"/>
        <v/>
      </c>
      <c r="AA71" s="39"/>
      <c r="AB71" s="72" t="str">
        <f t="shared" si="4"/>
        <v/>
      </c>
      <c r="AC71" s="72" t="str">
        <f t="shared" si="21"/>
        <v/>
      </c>
      <c r="AD71" s="39"/>
      <c r="AE71" s="72" t="str">
        <f t="shared" si="41"/>
        <v/>
      </c>
      <c r="AF71" s="72" t="str">
        <f t="shared" si="22"/>
        <v/>
      </c>
      <c r="AG71" s="39"/>
      <c r="AH71" s="72" t="str">
        <f t="shared" si="42"/>
        <v/>
      </c>
      <c r="AI71" s="72" t="str">
        <f t="shared" si="23"/>
        <v/>
      </c>
      <c r="AJ71" s="39"/>
      <c r="AK71" s="72" t="str">
        <f t="shared" si="43"/>
        <v/>
      </c>
      <c r="AL71" s="72" t="str">
        <f t="shared" si="24"/>
        <v/>
      </c>
      <c r="AM71" s="39"/>
      <c r="AN71" s="72" t="str">
        <f t="shared" si="44"/>
        <v/>
      </c>
      <c r="AO71" s="72" t="str">
        <f t="shared" si="25"/>
        <v/>
      </c>
      <c r="AP71" s="39"/>
      <c r="AQ71" s="72" t="str">
        <f t="shared" si="45"/>
        <v/>
      </c>
      <c r="AR71" s="72" t="str">
        <f t="shared" si="26"/>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46"/>
        <v/>
      </c>
      <c r="AW71" s="72" t="str">
        <f t="shared" si="27"/>
        <v/>
      </c>
      <c r="AX71" s="39"/>
      <c r="AY71" s="40" t="str">
        <f>IF(ISERROR(IF($K71&lt;=$F$15,VLOOKUP($I71,'表4）CO2価格'!$A$7:$E$67,VLOOKUP($F$48,'表4）CO2価格'!$H$10:$I$12,2,0),0)*$F$8/1000,"")),0,IF($K71&lt;=$F$15,VLOOKUP($I71,'表4）CO2価格'!$A$7:$E$67,VLOOKUP($F$48,'表4）CO2価格'!$H$10:$I$12,2,0),0)*$F$8/1000,""))</f>
        <v/>
      </c>
      <c r="AZ71" s="39"/>
      <c r="BA71" s="42" t="str">
        <f t="shared" si="47"/>
        <v/>
      </c>
      <c r="BB71" s="72" t="str">
        <f t="shared" si="28"/>
        <v/>
      </c>
      <c r="BC71" s="39"/>
      <c r="BD71" s="72" t="str">
        <f t="shared" si="48"/>
        <v/>
      </c>
      <c r="BE71" s="72" t="str">
        <f t="shared" si="29"/>
        <v/>
      </c>
      <c r="BF71" s="39"/>
      <c r="BG71" s="42" t="str">
        <f t="shared" si="49"/>
        <v/>
      </c>
      <c r="BH71" s="72" t="str">
        <f t="shared" si="30"/>
        <v/>
      </c>
      <c r="BI71" s="39"/>
      <c r="BJ71" s="40" t="str">
        <f t="shared" si="31"/>
        <v/>
      </c>
      <c r="BK71" s="157" t="str">
        <f t="shared" si="32"/>
        <v/>
      </c>
      <c r="BL71" s="157" t="str">
        <f t="shared" si="14"/>
        <v/>
      </c>
      <c r="BM71" s="72"/>
      <c r="BN71" s="72" t="str">
        <f t="shared" si="33"/>
        <v/>
      </c>
      <c r="BO71" s="72" t="str">
        <f t="shared" si="34"/>
        <v/>
      </c>
      <c r="BP71" s="39"/>
      <c r="BQ71" s="72" t="str">
        <f t="shared" si="50"/>
        <v/>
      </c>
      <c r="BR71" s="72" t="str">
        <f t="shared" si="35"/>
        <v/>
      </c>
    </row>
    <row r="72" spans="2:70" x14ac:dyDescent="0.15">
      <c r="C72" s="4" t="s">
        <v>136</v>
      </c>
      <c r="D72" s="100"/>
      <c r="E72" s="100"/>
      <c r="F72" s="486"/>
      <c r="G72" s="100"/>
      <c r="I72" s="457">
        <f t="shared" si="36"/>
        <v>2077</v>
      </c>
      <c r="J72" s="71"/>
      <c r="K72" s="71">
        <f t="shared" si="37"/>
        <v>58</v>
      </c>
      <c r="L72" s="71"/>
      <c r="M72" s="7">
        <f t="shared" si="0"/>
        <v>0.18006983519841754</v>
      </c>
      <c r="N72" s="71"/>
      <c r="O72" s="10" t="str">
        <f t="shared" si="16"/>
        <v/>
      </c>
      <c r="P72" s="29" t="str">
        <f t="shared" si="38"/>
        <v/>
      </c>
      <c r="Q72" s="71"/>
      <c r="R72" s="10" t="str">
        <f t="shared" si="51"/>
        <v/>
      </c>
      <c r="S72" s="71"/>
      <c r="T72" s="10" t="str">
        <f t="shared" si="18"/>
        <v/>
      </c>
      <c r="U72" s="71"/>
      <c r="V72" s="10" t="str">
        <f t="shared" si="39"/>
        <v/>
      </c>
      <c r="W72" s="10" t="str">
        <f t="shared" si="19"/>
        <v/>
      </c>
      <c r="X72" s="71"/>
      <c r="Y72" s="10" t="str">
        <f t="shared" si="40"/>
        <v/>
      </c>
      <c r="Z72" s="10" t="str">
        <f t="shared" si="20"/>
        <v/>
      </c>
      <c r="AA72" s="71"/>
      <c r="AB72" s="10" t="str">
        <f t="shared" si="4"/>
        <v/>
      </c>
      <c r="AC72" s="10" t="str">
        <f t="shared" si="21"/>
        <v/>
      </c>
      <c r="AD72" s="71"/>
      <c r="AE72" s="10" t="str">
        <f t="shared" si="41"/>
        <v/>
      </c>
      <c r="AF72" s="10" t="str">
        <f t="shared" si="22"/>
        <v/>
      </c>
      <c r="AG72" s="71"/>
      <c r="AH72" s="10" t="str">
        <f t="shared" si="42"/>
        <v/>
      </c>
      <c r="AI72" s="10" t="str">
        <f t="shared" si="23"/>
        <v/>
      </c>
      <c r="AJ72" s="71"/>
      <c r="AK72" s="10" t="str">
        <f t="shared" si="43"/>
        <v/>
      </c>
      <c r="AL72" s="10" t="str">
        <f t="shared" si="24"/>
        <v/>
      </c>
      <c r="AM72" s="71"/>
      <c r="AN72" s="10" t="str">
        <f t="shared" si="44"/>
        <v/>
      </c>
      <c r="AO72" s="10" t="str">
        <f t="shared" si="25"/>
        <v/>
      </c>
      <c r="AP72" s="71"/>
      <c r="AQ72" s="10" t="str">
        <f t="shared" si="45"/>
        <v/>
      </c>
      <c r="AR72" s="10" t="str">
        <f t="shared" si="26"/>
        <v/>
      </c>
      <c r="AS72" s="71"/>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U72" s="71"/>
      <c r="AV72" s="10" t="str">
        <f t="shared" si="46"/>
        <v/>
      </c>
      <c r="AW72" s="10" t="str">
        <f t="shared" si="27"/>
        <v/>
      </c>
      <c r="AX72" s="71"/>
      <c r="AY72" s="7" t="str">
        <f>IF(ISERROR(IF($K72&lt;=$F$15,VLOOKUP($I72,'表4）CO2価格'!$A$7:$E$67,VLOOKUP($F$48,'表4）CO2価格'!$H$10:$I$12,2,0),0)*$F$8/1000,"")),0,IF($K72&lt;=$F$15,VLOOKUP($I72,'表4）CO2価格'!$A$7:$E$67,VLOOKUP($F$48,'表4）CO2価格'!$H$10:$I$12,2,0),0)*$F$8/1000,""))</f>
        <v/>
      </c>
      <c r="AZ72" s="71"/>
      <c r="BA72" s="11" t="str">
        <f t="shared" si="47"/>
        <v/>
      </c>
      <c r="BB72" s="10" t="str">
        <f t="shared" si="28"/>
        <v/>
      </c>
      <c r="BC72" s="71"/>
      <c r="BD72" s="10" t="str">
        <f t="shared" si="48"/>
        <v/>
      </c>
      <c r="BE72" s="10" t="str">
        <f t="shared" si="29"/>
        <v/>
      </c>
      <c r="BF72" s="71"/>
      <c r="BG72" s="11" t="str">
        <f t="shared" si="49"/>
        <v/>
      </c>
      <c r="BH72" s="10" t="str">
        <f t="shared" si="30"/>
        <v/>
      </c>
      <c r="BJ72" s="7" t="str">
        <f t="shared" si="31"/>
        <v/>
      </c>
      <c r="BK72" s="158" t="str">
        <f t="shared" si="32"/>
        <v/>
      </c>
      <c r="BL72" s="158" t="str">
        <f t="shared" si="14"/>
        <v/>
      </c>
      <c r="BM72" s="10"/>
      <c r="BN72" s="10" t="str">
        <f t="shared" si="33"/>
        <v/>
      </c>
      <c r="BO72" s="10" t="str">
        <f t="shared" si="34"/>
        <v/>
      </c>
      <c r="BQ72" s="10" t="str">
        <f t="shared" si="50"/>
        <v/>
      </c>
      <c r="BR72" s="10" t="str">
        <f t="shared" si="35"/>
        <v/>
      </c>
    </row>
    <row r="73" spans="2:70" x14ac:dyDescent="0.15">
      <c r="F73" s="487"/>
      <c r="I73" s="38">
        <f t="shared" si="36"/>
        <v>2078</v>
      </c>
      <c r="J73" s="39"/>
      <c r="K73" s="39">
        <f t="shared" si="37"/>
        <v>59</v>
      </c>
      <c r="L73" s="39"/>
      <c r="M73" s="40">
        <f t="shared" si="0"/>
        <v>0.17482508271691022</v>
      </c>
      <c r="N73" s="39"/>
      <c r="O73" s="72" t="str">
        <f t="shared" si="16"/>
        <v/>
      </c>
      <c r="P73" s="41" t="str">
        <f t="shared" si="38"/>
        <v/>
      </c>
      <c r="Q73" s="39"/>
      <c r="R73" s="72" t="str">
        <f t="shared" si="51"/>
        <v/>
      </c>
      <c r="S73" s="39"/>
      <c r="T73" s="72" t="str">
        <f t="shared" si="18"/>
        <v/>
      </c>
      <c r="U73" s="39"/>
      <c r="V73" s="72" t="str">
        <f t="shared" si="39"/>
        <v/>
      </c>
      <c r="W73" s="72" t="str">
        <f t="shared" si="19"/>
        <v/>
      </c>
      <c r="X73" s="39"/>
      <c r="Y73" s="72" t="str">
        <f t="shared" si="40"/>
        <v/>
      </c>
      <c r="Z73" s="72" t="str">
        <f t="shared" si="20"/>
        <v/>
      </c>
      <c r="AA73" s="39"/>
      <c r="AB73" s="72" t="str">
        <f t="shared" si="4"/>
        <v/>
      </c>
      <c r="AC73" s="72" t="str">
        <f t="shared" si="21"/>
        <v/>
      </c>
      <c r="AD73" s="39"/>
      <c r="AE73" s="72" t="str">
        <f t="shared" si="41"/>
        <v/>
      </c>
      <c r="AF73" s="72" t="str">
        <f t="shared" si="22"/>
        <v/>
      </c>
      <c r="AG73" s="39"/>
      <c r="AH73" s="72" t="str">
        <f t="shared" si="42"/>
        <v/>
      </c>
      <c r="AI73" s="72" t="str">
        <f t="shared" si="23"/>
        <v/>
      </c>
      <c r="AJ73" s="39"/>
      <c r="AK73" s="72" t="str">
        <f t="shared" si="43"/>
        <v/>
      </c>
      <c r="AL73" s="72" t="str">
        <f t="shared" si="24"/>
        <v/>
      </c>
      <c r="AM73" s="39"/>
      <c r="AN73" s="72" t="str">
        <f t="shared" si="44"/>
        <v/>
      </c>
      <c r="AO73" s="72" t="str">
        <f t="shared" si="25"/>
        <v/>
      </c>
      <c r="AP73" s="39"/>
      <c r="AQ73" s="72" t="str">
        <f t="shared" si="45"/>
        <v/>
      </c>
      <c r="AR73" s="72" t="str">
        <f t="shared" si="26"/>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46"/>
        <v/>
      </c>
      <c r="AW73" s="72" t="str">
        <f t="shared" si="27"/>
        <v/>
      </c>
      <c r="AX73" s="39"/>
      <c r="AY73" s="40" t="str">
        <f>IF(ISERROR(IF($K73&lt;=$F$15,VLOOKUP($I73,'表4）CO2価格'!$A$7:$E$67,VLOOKUP($F$48,'表4）CO2価格'!$H$10:$I$12,2,0),0)*$F$8/1000,"")),0,IF($K73&lt;=$F$15,VLOOKUP($I73,'表4）CO2価格'!$A$7:$E$67,VLOOKUP($F$48,'表4）CO2価格'!$H$10:$I$12,2,0),0)*$F$8/1000,""))</f>
        <v/>
      </c>
      <c r="AZ73" s="39"/>
      <c r="BA73" s="42" t="str">
        <f t="shared" si="47"/>
        <v/>
      </c>
      <c r="BB73" s="72" t="str">
        <f t="shared" si="28"/>
        <v/>
      </c>
      <c r="BC73" s="39"/>
      <c r="BD73" s="72" t="str">
        <f t="shared" si="48"/>
        <v/>
      </c>
      <c r="BE73" s="72" t="str">
        <f t="shared" si="29"/>
        <v/>
      </c>
      <c r="BF73" s="39"/>
      <c r="BG73" s="42" t="str">
        <f t="shared" si="49"/>
        <v/>
      </c>
      <c r="BH73" s="72" t="str">
        <f t="shared" si="30"/>
        <v/>
      </c>
      <c r="BI73" s="39"/>
      <c r="BJ73" s="40" t="str">
        <f t="shared" si="31"/>
        <v/>
      </c>
      <c r="BK73" s="157" t="str">
        <f t="shared" si="32"/>
        <v/>
      </c>
      <c r="BL73" s="157" t="str">
        <f t="shared" si="14"/>
        <v/>
      </c>
      <c r="BM73" s="72"/>
      <c r="BN73" s="72" t="str">
        <f t="shared" si="33"/>
        <v/>
      </c>
      <c r="BO73" s="72" t="str">
        <f t="shared" si="34"/>
        <v/>
      </c>
      <c r="BP73" s="39"/>
      <c r="BQ73" s="72" t="str">
        <f t="shared" si="50"/>
        <v/>
      </c>
      <c r="BR73" s="72" t="str">
        <f t="shared" si="35"/>
        <v/>
      </c>
    </row>
    <row r="74" spans="2:70" ht="15" x14ac:dyDescent="0.15">
      <c r="D74" s="103" t="s">
        <v>591</v>
      </c>
      <c r="F74" s="484">
        <f>SUBTOTAL(9,F78:F81)</f>
        <v>8.5711358498887567</v>
      </c>
      <c r="G74" s="84" t="s">
        <v>590</v>
      </c>
      <c r="I74" s="457">
        <f t="shared" si="36"/>
        <v>2079</v>
      </c>
      <c r="J74" s="71"/>
      <c r="K74" s="71">
        <f t="shared" si="37"/>
        <v>60</v>
      </c>
      <c r="L74" s="71"/>
      <c r="M74" s="7">
        <f t="shared" si="0"/>
        <v>0.1697330900164177</v>
      </c>
      <c r="N74" s="71"/>
      <c r="O74" s="10" t="str">
        <f t="shared" si="16"/>
        <v/>
      </c>
      <c r="P74" s="29" t="str">
        <f t="shared" si="38"/>
        <v/>
      </c>
      <c r="Q74" s="71"/>
      <c r="R74" s="10" t="str">
        <f t="shared" si="51"/>
        <v/>
      </c>
      <c r="S74" s="71"/>
      <c r="T74" s="10" t="str">
        <f t="shared" si="18"/>
        <v/>
      </c>
      <c r="U74" s="71"/>
      <c r="V74" s="10" t="str">
        <f t="shared" si="39"/>
        <v/>
      </c>
      <c r="W74" s="10" t="str">
        <f t="shared" si="19"/>
        <v/>
      </c>
      <c r="X74" s="71"/>
      <c r="Y74" s="10" t="str">
        <f t="shared" si="40"/>
        <v/>
      </c>
      <c r="Z74" s="10" t="str">
        <f t="shared" si="20"/>
        <v/>
      </c>
      <c r="AA74" s="71"/>
      <c r="AB74" s="10" t="str">
        <f t="shared" si="4"/>
        <v/>
      </c>
      <c r="AC74" s="10" t="str">
        <f t="shared" si="21"/>
        <v/>
      </c>
      <c r="AD74" s="71"/>
      <c r="AE74" s="10" t="str">
        <f t="shared" si="41"/>
        <v/>
      </c>
      <c r="AF74" s="10" t="str">
        <f t="shared" si="22"/>
        <v/>
      </c>
      <c r="AG74" s="71"/>
      <c r="AH74" s="10" t="str">
        <f t="shared" si="42"/>
        <v/>
      </c>
      <c r="AI74" s="10" t="str">
        <f t="shared" si="23"/>
        <v/>
      </c>
      <c r="AJ74" s="71"/>
      <c r="AK74" s="10" t="str">
        <f t="shared" si="43"/>
        <v/>
      </c>
      <c r="AL74" s="10" t="str">
        <f t="shared" si="24"/>
        <v/>
      </c>
      <c r="AM74" s="71"/>
      <c r="AN74" s="10" t="str">
        <f t="shared" si="44"/>
        <v/>
      </c>
      <c r="AO74" s="10" t="str">
        <f t="shared" si="25"/>
        <v/>
      </c>
      <c r="AP74" s="71"/>
      <c r="AQ74" s="10" t="str">
        <f t="shared" si="45"/>
        <v/>
      </c>
      <c r="AR74" s="10" t="str">
        <f t="shared" si="26"/>
        <v/>
      </c>
      <c r="AS74" s="71"/>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U74" s="71"/>
      <c r="AV74" s="10" t="str">
        <f t="shared" si="46"/>
        <v/>
      </c>
      <c r="AW74" s="10" t="str">
        <f t="shared" si="27"/>
        <v/>
      </c>
      <c r="AX74" s="71"/>
      <c r="AY74" s="7" t="str">
        <f>IF(ISERROR(IF($K74&lt;=$F$15,VLOOKUP($I74,'表4）CO2価格'!$A$7:$E$67,VLOOKUP($F$48,'表4）CO2価格'!$H$10:$I$12,2,0),0)*$F$8/1000,"")),0,IF($K74&lt;=$F$15,VLOOKUP($I74,'表4）CO2価格'!$A$7:$E$67,VLOOKUP($F$48,'表4）CO2価格'!$H$10:$I$12,2,0),0)*$F$8/1000,""))</f>
        <v/>
      </c>
      <c r="AZ74" s="71"/>
      <c r="BA74" s="11" t="str">
        <f t="shared" si="47"/>
        <v/>
      </c>
      <c r="BB74" s="10" t="str">
        <f t="shared" si="28"/>
        <v/>
      </c>
      <c r="BC74" s="71"/>
      <c r="BD74" s="10" t="str">
        <f t="shared" si="48"/>
        <v/>
      </c>
      <c r="BE74" s="10" t="str">
        <f t="shared" si="29"/>
        <v/>
      </c>
      <c r="BF74" s="71"/>
      <c r="BG74" s="11" t="str">
        <f t="shared" si="49"/>
        <v/>
      </c>
      <c r="BH74" s="10" t="str">
        <f t="shared" si="30"/>
        <v/>
      </c>
      <c r="BJ74" s="7" t="str">
        <f t="shared" si="31"/>
        <v/>
      </c>
      <c r="BK74" s="158" t="str">
        <f t="shared" si="32"/>
        <v/>
      </c>
      <c r="BL74" s="158" t="str">
        <f t="shared" si="14"/>
        <v/>
      </c>
      <c r="BM74" s="10"/>
      <c r="BN74" s="10" t="str">
        <f t="shared" si="33"/>
        <v/>
      </c>
      <c r="BO74" s="10" t="str">
        <f t="shared" si="34"/>
        <v/>
      </c>
      <c r="BQ74" s="10" t="str">
        <f t="shared" si="50"/>
        <v/>
      </c>
      <c r="BR74" s="10" t="str">
        <f t="shared" si="35"/>
        <v/>
      </c>
    </row>
    <row r="75" spans="2:70" x14ac:dyDescent="0.15">
      <c r="F75" s="487"/>
      <c r="I75" s="38">
        <f t="shared" si="36"/>
        <v>2080</v>
      </c>
      <c r="J75" s="39"/>
      <c r="K75" s="39">
        <f t="shared" si="37"/>
        <v>61</v>
      </c>
      <c r="L75" s="39"/>
      <c r="M75" s="40">
        <f t="shared" si="0"/>
        <v>0.16478940778292983</v>
      </c>
      <c r="N75" s="39"/>
      <c r="O75" s="72" t="str">
        <f t="shared" si="16"/>
        <v/>
      </c>
      <c r="P75" s="41" t="str">
        <f t="shared" si="38"/>
        <v/>
      </c>
      <c r="Q75" s="39"/>
      <c r="R75" s="72" t="str">
        <f t="shared" si="51"/>
        <v/>
      </c>
      <c r="S75" s="39"/>
      <c r="T75" s="72" t="str">
        <f t="shared" si="18"/>
        <v/>
      </c>
      <c r="U75" s="39"/>
      <c r="V75" s="72" t="str">
        <f t="shared" si="39"/>
        <v/>
      </c>
      <c r="W75" s="72" t="str">
        <f t="shared" si="19"/>
        <v/>
      </c>
      <c r="X75" s="39"/>
      <c r="Y75" s="72" t="str">
        <f t="shared" si="40"/>
        <v/>
      </c>
      <c r="Z75" s="72" t="str">
        <f t="shared" si="20"/>
        <v/>
      </c>
      <c r="AA75" s="39"/>
      <c r="AB75" s="72" t="str">
        <f t="shared" si="4"/>
        <v/>
      </c>
      <c r="AC75" s="72" t="str">
        <f t="shared" si="21"/>
        <v/>
      </c>
      <c r="AD75" s="39"/>
      <c r="AE75" s="72" t="str">
        <f t="shared" si="41"/>
        <v/>
      </c>
      <c r="AF75" s="72" t="str">
        <f t="shared" si="22"/>
        <v/>
      </c>
      <c r="AG75" s="39"/>
      <c r="AH75" s="72" t="str">
        <f t="shared" si="42"/>
        <v/>
      </c>
      <c r="AI75" s="72" t="str">
        <f t="shared" si="23"/>
        <v/>
      </c>
      <c r="AJ75" s="39"/>
      <c r="AK75" s="72" t="str">
        <f t="shared" si="43"/>
        <v/>
      </c>
      <c r="AL75" s="72" t="str">
        <f t="shared" si="24"/>
        <v/>
      </c>
      <c r="AM75" s="39"/>
      <c r="AN75" s="72" t="str">
        <f t="shared" si="44"/>
        <v/>
      </c>
      <c r="AO75" s="72" t="str">
        <f t="shared" si="25"/>
        <v/>
      </c>
      <c r="AP75" s="39"/>
      <c r="AQ75" s="72" t="str">
        <f t="shared" si="45"/>
        <v/>
      </c>
      <c r="AR75" s="72" t="str">
        <f t="shared" si="26"/>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46"/>
        <v/>
      </c>
      <c r="AW75" s="72" t="str">
        <f t="shared" si="27"/>
        <v/>
      </c>
      <c r="AX75" s="39"/>
      <c r="AY75" s="40" t="str">
        <f>IF(ISERROR(IF($K75&lt;=$F$15,VLOOKUP($I75,'表4）CO2価格'!$A$7:$E$67,VLOOKUP($F$48,'表4）CO2価格'!$H$10:$I$12,2,0),0)*$F$8/1000,"")),0,IF($K75&lt;=$F$15,VLOOKUP($I75,'表4）CO2価格'!$A$7:$E$67,VLOOKUP($F$48,'表4）CO2価格'!$H$10:$I$12,2,0),0)*$F$8/1000,""))</f>
        <v/>
      </c>
      <c r="AZ75" s="39"/>
      <c r="BA75" s="42" t="str">
        <f t="shared" si="47"/>
        <v/>
      </c>
      <c r="BB75" s="72" t="str">
        <f t="shared" si="28"/>
        <v/>
      </c>
      <c r="BC75" s="39"/>
      <c r="BD75" s="72" t="str">
        <f t="shared" si="48"/>
        <v/>
      </c>
      <c r="BE75" s="72" t="str">
        <f t="shared" si="29"/>
        <v/>
      </c>
      <c r="BF75" s="39"/>
      <c r="BG75" s="42" t="str">
        <f t="shared" si="49"/>
        <v/>
      </c>
      <c r="BH75" s="72" t="str">
        <f t="shared" si="30"/>
        <v/>
      </c>
      <c r="BI75" s="39"/>
      <c r="BJ75" s="40" t="str">
        <f t="shared" si="31"/>
        <v/>
      </c>
      <c r="BK75" s="157" t="str">
        <f t="shared" si="32"/>
        <v/>
      </c>
      <c r="BL75" s="157" t="str">
        <f t="shared" si="14"/>
        <v/>
      </c>
      <c r="BM75" s="72"/>
      <c r="BN75" s="72" t="str">
        <f t="shared" si="33"/>
        <v/>
      </c>
      <c r="BO75" s="72" t="str">
        <f t="shared" si="34"/>
        <v/>
      </c>
      <c r="BP75" s="39"/>
      <c r="BQ75" s="72" t="str">
        <f t="shared" si="50"/>
        <v/>
      </c>
      <c r="BR75" s="72" t="str">
        <f t="shared" si="35"/>
        <v/>
      </c>
    </row>
    <row r="76" spans="2:70" x14ac:dyDescent="0.15">
      <c r="D76" s="100" t="s">
        <v>592</v>
      </c>
      <c r="E76" s="100"/>
      <c r="F76" s="486"/>
      <c r="G76" s="100"/>
      <c r="I76" s="457">
        <f t="shared" si="36"/>
        <v>2081</v>
      </c>
      <c r="J76" s="71"/>
      <c r="K76" s="71">
        <f t="shared" si="37"/>
        <v>62</v>
      </c>
      <c r="L76" s="71"/>
      <c r="M76" s="7">
        <f t="shared" si="0"/>
        <v>0.15998971629410663</v>
      </c>
      <c r="N76" s="71"/>
      <c r="O76" s="10" t="str">
        <f t="shared" si="16"/>
        <v/>
      </c>
      <c r="P76" s="29" t="str">
        <f t="shared" si="38"/>
        <v/>
      </c>
      <c r="Q76" s="71"/>
      <c r="R76" s="10" t="str">
        <f t="shared" si="51"/>
        <v/>
      </c>
      <c r="S76" s="71"/>
      <c r="T76" s="10" t="str">
        <f t="shared" si="18"/>
        <v/>
      </c>
      <c r="U76" s="71"/>
      <c r="V76" s="10" t="str">
        <f t="shared" si="39"/>
        <v/>
      </c>
      <c r="W76" s="10" t="str">
        <f t="shared" si="19"/>
        <v/>
      </c>
      <c r="X76" s="71"/>
      <c r="Y76" s="10" t="str">
        <f t="shared" si="40"/>
        <v/>
      </c>
      <c r="Z76" s="10" t="str">
        <f t="shared" si="20"/>
        <v/>
      </c>
      <c r="AA76" s="71"/>
      <c r="AB76" s="10" t="str">
        <f t="shared" si="4"/>
        <v/>
      </c>
      <c r="AC76" s="10" t="str">
        <f t="shared" si="21"/>
        <v/>
      </c>
      <c r="AD76" s="71"/>
      <c r="AE76" s="10" t="str">
        <f t="shared" si="41"/>
        <v/>
      </c>
      <c r="AF76" s="10" t="str">
        <f t="shared" si="22"/>
        <v/>
      </c>
      <c r="AG76" s="71"/>
      <c r="AH76" s="10" t="str">
        <f t="shared" si="42"/>
        <v/>
      </c>
      <c r="AI76" s="10" t="str">
        <f t="shared" si="23"/>
        <v/>
      </c>
      <c r="AJ76" s="71"/>
      <c r="AK76" s="10" t="str">
        <f t="shared" si="43"/>
        <v/>
      </c>
      <c r="AL76" s="10" t="str">
        <f t="shared" si="24"/>
        <v/>
      </c>
      <c r="AM76" s="71"/>
      <c r="AN76" s="10" t="str">
        <f t="shared" si="44"/>
        <v/>
      </c>
      <c r="AO76" s="10" t="str">
        <f t="shared" si="25"/>
        <v/>
      </c>
      <c r="AP76" s="71"/>
      <c r="AQ76" s="10" t="str">
        <f t="shared" si="45"/>
        <v/>
      </c>
      <c r="AR76" s="10" t="str">
        <f t="shared" si="26"/>
        <v/>
      </c>
      <c r="AS76" s="71"/>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U76" s="71"/>
      <c r="AV76" s="10" t="str">
        <f t="shared" si="46"/>
        <v/>
      </c>
      <c r="AW76" s="10" t="str">
        <f t="shared" si="27"/>
        <v/>
      </c>
      <c r="AX76" s="71"/>
      <c r="AY76" s="7" t="str">
        <f>IF(ISERROR(IF($K76&lt;=$F$15,VLOOKUP($I76,'表4）CO2価格'!$A$7:$E$67,VLOOKUP($F$48,'表4）CO2価格'!$H$10:$I$12,2,0),0)*$F$8/1000,"")),0,IF($K76&lt;=$F$15,VLOOKUP($I76,'表4）CO2価格'!$A$7:$E$67,VLOOKUP($F$48,'表4）CO2価格'!$H$10:$I$12,2,0),0)*$F$8/1000,""))</f>
        <v/>
      </c>
      <c r="AZ76" s="71"/>
      <c r="BA76" s="11" t="str">
        <f t="shared" si="47"/>
        <v/>
      </c>
      <c r="BB76" s="10" t="str">
        <f t="shared" si="28"/>
        <v/>
      </c>
      <c r="BC76" s="71"/>
      <c r="BD76" s="10" t="str">
        <f t="shared" si="48"/>
        <v/>
      </c>
      <c r="BE76" s="10" t="str">
        <f t="shared" si="29"/>
        <v/>
      </c>
      <c r="BF76" s="71"/>
      <c r="BG76" s="11" t="str">
        <f t="shared" si="49"/>
        <v/>
      </c>
      <c r="BH76" s="10" t="str">
        <f t="shared" si="30"/>
        <v/>
      </c>
      <c r="BJ76" s="7" t="str">
        <f t="shared" si="31"/>
        <v/>
      </c>
      <c r="BK76" s="158" t="str">
        <f t="shared" si="32"/>
        <v/>
      </c>
      <c r="BL76" s="158" t="str">
        <f t="shared" si="14"/>
        <v/>
      </c>
      <c r="BM76" s="10"/>
      <c r="BN76" s="10" t="str">
        <f t="shared" si="33"/>
        <v/>
      </c>
      <c r="BO76" s="10" t="str">
        <f t="shared" si="34"/>
        <v/>
      </c>
      <c r="BQ76" s="10" t="str">
        <f t="shared" si="50"/>
        <v/>
      </c>
      <c r="BR76" s="10" t="str">
        <f t="shared" si="35"/>
        <v/>
      </c>
    </row>
    <row r="77" spans="2:70" x14ac:dyDescent="0.15">
      <c r="F77" s="487"/>
      <c r="I77" s="38">
        <f t="shared" si="36"/>
        <v>2082</v>
      </c>
      <c r="J77" s="39"/>
      <c r="K77" s="39">
        <f t="shared" si="37"/>
        <v>63</v>
      </c>
      <c r="L77" s="39"/>
      <c r="M77" s="40">
        <f t="shared" si="0"/>
        <v>0.15532982164476369</v>
      </c>
      <c r="N77" s="39"/>
      <c r="O77" s="72" t="str">
        <f t="shared" si="16"/>
        <v/>
      </c>
      <c r="P77" s="41" t="str">
        <f t="shared" si="38"/>
        <v/>
      </c>
      <c r="Q77" s="39"/>
      <c r="R77" s="72" t="str">
        <f t="shared" si="51"/>
        <v/>
      </c>
      <c r="S77" s="39"/>
      <c r="T77" s="72" t="str">
        <f t="shared" si="18"/>
        <v/>
      </c>
      <c r="U77" s="39"/>
      <c r="V77" s="72" t="str">
        <f t="shared" si="39"/>
        <v/>
      </c>
      <c r="W77" s="72" t="str">
        <f t="shared" si="19"/>
        <v/>
      </c>
      <c r="X77" s="39"/>
      <c r="Y77" s="72" t="str">
        <f t="shared" si="40"/>
        <v/>
      </c>
      <c r="Z77" s="72" t="str">
        <f t="shared" si="20"/>
        <v/>
      </c>
      <c r="AA77" s="39"/>
      <c r="AB77" s="72" t="str">
        <f t="shared" si="4"/>
        <v/>
      </c>
      <c r="AC77" s="72" t="str">
        <f t="shared" si="21"/>
        <v/>
      </c>
      <c r="AD77" s="39"/>
      <c r="AE77" s="72" t="str">
        <f t="shared" si="41"/>
        <v/>
      </c>
      <c r="AF77" s="72" t="str">
        <f t="shared" si="22"/>
        <v/>
      </c>
      <c r="AG77" s="39"/>
      <c r="AH77" s="72" t="str">
        <f t="shared" si="42"/>
        <v/>
      </c>
      <c r="AI77" s="72" t="str">
        <f t="shared" si="23"/>
        <v/>
      </c>
      <c r="AJ77" s="39"/>
      <c r="AK77" s="72" t="str">
        <f t="shared" si="43"/>
        <v/>
      </c>
      <c r="AL77" s="72" t="str">
        <f t="shared" si="24"/>
        <v/>
      </c>
      <c r="AM77" s="39"/>
      <c r="AN77" s="72" t="str">
        <f t="shared" si="44"/>
        <v/>
      </c>
      <c r="AO77" s="72" t="str">
        <f t="shared" si="25"/>
        <v/>
      </c>
      <c r="AP77" s="39"/>
      <c r="AQ77" s="72" t="str">
        <f t="shared" si="45"/>
        <v/>
      </c>
      <c r="AR77" s="72" t="str">
        <f t="shared" si="26"/>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46"/>
        <v/>
      </c>
      <c r="AW77" s="72" t="str">
        <f t="shared" si="27"/>
        <v/>
      </c>
      <c r="AX77" s="39"/>
      <c r="AY77" s="40" t="str">
        <f>IF(ISERROR(IF($K77&lt;=$F$15,VLOOKUP($I77,'表4）CO2価格'!$A$7:$E$67,VLOOKUP($F$48,'表4）CO2価格'!$H$10:$I$12,2,0),0)*$F$8/1000,"")),0,IF($K77&lt;=$F$15,VLOOKUP($I77,'表4）CO2価格'!$A$7:$E$67,VLOOKUP($F$48,'表4）CO2価格'!$H$10:$I$12,2,0),0)*$F$8/1000,""))</f>
        <v/>
      </c>
      <c r="AZ77" s="39"/>
      <c r="BA77" s="42" t="str">
        <f t="shared" si="47"/>
        <v/>
      </c>
      <c r="BB77" s="72" t="str">
        <f t="shared" si="28"/>
        <v/>
      </c>
      <c r="BC77" s="39"/>
      <c r="BD77" s="72" t="str">
        <f t="shared" si="48"/>
        <v/>
      </c>
      <c r="BE77" s="72" t="str">
        <f t="shared" si="29"/>
        <v/>
      </c>
      <c r="BF77" s="39"/>
      <c r="BG77" s="42" t="str">
        <f t="shared" si="49"/>
        <v/>
      </c>
      <c r="BH77" s="72" t="str">
        <f t="shared" si="30"/>
        <v/>
      </c>
      <c r="BI77" s="39"/>
      <c r="BJ77" s="40" t="str">
        <f t="shared" si="31"/>
        <v/>
      </c>
      <c r="BK77" s="157" t="str">
        <f t="shared" si="32"/>
        <v/>
      </c>
      <c r="BL77" s="157" t="str">
        <f t="shared" si="14"/>
        <v/>
      </c>
      <c r="BM77" s="72"/>
      <c r="BN77" s="72" t="str">
        <f t="shared" si="33"/>
        <v/>
      </c>
      <c r="BO77" s="72" t="str">
        <f t="shared" si="34"/>
        <v/>
      </c>
      <c r="BP77" s="39"/>
      <c r="BQ77" s="72" t="str">
        <f t="shared" si="50"/>
        <v/>
      </c>
      <c r="BR77" s="72" t="str">
        <f t="shared" si="35"/>
        <v/>
      </c>
    </row>
    <row r="78" spans="2:70" x14ac:dyDescent="0.15">
      <c r="E78" s="70" t="s">
        <v>138</v>
      </c>
      <c r="F78" s="488">
        <f>R15/$BR$116</f>
        <v>7.4079414195998083</v>
      </c>
      <c r="G78" s="84" t="s">
        <v>590</v>
      </c>
      <c r="I78" s="457">
        <f t="shared" si="36"/>
        <v>2083</v>
      </c>
      <c r="J78" s="71"/>
      <c r="K78" s="71">
        <f t="shared" si="37"/>
        <v>64</v>
      </c>
      <c r="L78" s="71"/>
      <c r="M78" s="7">
        <f t="shared" si="0"/>
        <v>0.15080565208229488</v>
      </c>
      <c r="N78" s="71"/>
      <c r="O78" s="10" t="str">
        <f t="shared" si="16"/>
        <v/>
      </c>
      <c r="P78" s="29" t="str">
        <f t="shared" si="38"/>
        <v/>
      </c>
      <c r="Q78" s="71"/>
      <c r="R78" s="10" t="str">
        <f t="shared" si="51"/>
        <v/>
      </c>
      <c r="S78" s="71"/>
      <c r="T78" s="10" t="str">
        <f t="shared" si="18"/>
        <v/>
      </c>
      <c r="U78" s="71"/>
      <c r="V78" s="10" t="str">
        <f t="shared" si="39"/>
        <v/>
      </c>
      <c r="W78" s="10" t="str">
        <f t="shared" si="19"/>
        <v/>
      </c>
      <c r="X78" s="71"/>
      <c r="Y78" s="10" t="str">
        <f t="shared" si="40"/>
        <v/>
      </c>
      <c r="Z78" s="10" t="str">
        <f t="shared" si="20"/>
        <v/>
      </c>
      <c r="AA78" s="71"/>
      <c r="AB78" s="10" t="str">
        <f t="shared" si="4"/>
        <v/>
      </c>
      <c r="AC78" s="10" t="str">
        <f t="shared" si="21"/>
        <v/>
      </c>
      <c r="AD78" s="71"/>
      <c r="AE78" s="10" t="str">
        <f t="shared" si="41"/>
        <v/>
      </c>
      <c r="AF78" s="10" t="str">
        <f t="shared" si="22"/>
        <v/>
      </c>
      <c r="AG78" s="71"/>
      <c r="AH78" s="10" t="str">
        <f t="shared" si="42"/>
        <v/>
      </c>
      <c r="AI78" s="10" t="str">
        <f t="shared" si="23"/>
        <v/>
      </c>
      <c r="AJ78" s="71"/>
      <c r="AK78" s="10" t="str">
        <f t="shared" si="43"/>
        <v/>
      </c>
      <c r="AL78" s="10" t="str">
        <f t="shared" si="24"/>
        <v/>
      </c>
      <c r="AM78" s="71"/>
      <c r="AN78" s="10" t="str">
        <f t="shared" si="44"/>
        <v/>
      </c>
      <c r="AO78" s="10" t="str">
        <f t="shared" si="25"/>
        <v/>
      </c>
      <c r="AP78" s="71"/>
      <c r="AQ78" s="10" t="str">
        <f t="shared" si="45"/>
        <v/>
      </c>
      <c r="AR78" s="10" t="str">
        <f t="shared" si="26"/>
        <v/>
      </c>
      <c r="AS78" s="71"/>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U78" s="71"/>
      <c r="AV78" s="10" t="str">
        <f t="shared" si="46"/>
        <v/>
      </c>
      <c r="AW78" s="10" t="str">
        <f t="shared" si="27"/>
        <v/>
      </c>
      <c r="AX78" s="71"/>
      <c r="AY78" s="7" t="str">
        <f>IF(ISERROR(IF($K78&lt;=$F$15,VLOOKUP($I78,'表4）CO2価格'!$A$7:$E$67,VLOOKUP($F$48,'表4）CO2価格'!$H$10:$I$12,2,0),0)*$F$8/1000,"")),0,IF($K78&lt;=$F$15,VLOOKUP($I78,'表4）CO2価格'!$A$7:$E$67,VLOOKUP($F$48,'表4）CO2価格'!$H$10:$I$12,2,0),0)*$F$8/1000,""))</f>
        <v/>
      </c>
      <c r="AZ78" s="71"/>
      <c r="BA78" s="11" t="str">
        <f t="shared" si="47"/>
        <v/>
      </c>
      <c r="BB78" s="10" t="str">
        <f t="shared" si="28"/>
        <v/>
      </c>
      <c r="BC78" s="71"/>
      <c r="BD78" s="10" t="str">
        <f t="shared" si="48"/>
        <v/>
      </c>
      <c r="BE78" s="10" t="str">
        <f t="shared" si="29"/>
        <v/>
      </c>
      <c r="BF78" s="71"/>
      <c r="BG78" s="11" t="str">
        <f t="shared" si="49"/>
        <v/>
      </c>
      <c r="BH78" s="10" t="str">
        <f t="shared" si="30"/>
        <v/>
      </c>
      <c r="BJ78" s="7" t="str">
        <f t="shared" si="31"/>
        <v/>
      </c>
      <c r="BK78" s="158" t="str">
        <f t="shared" si="32"/>
        <v/>
      </c>
      <c r="BL78" s="158" t="str">
        <f t="shared" si="14"/>
        <v/>
      </c>
      <c r="BM78" s="10"/>
      <c r="BN78" s="10" t="str">
        <f t="shared" si="33"/>
        <v/>
      </c>
      <c r="BO78" s="10" t="str">
        <f t="shared" si="34"/>
        <v/>
      </c>
      <c r="BQ78" s="10" t="str">
        <f t="shared" si="50"/>
        <v/>
      </c>
      <c r="BR78" s="10" t="str">
        <f t="shared" si="35"/>
        <v/>
      </c>
    </row>
    <row r="79" spans="2:70" x14ac:dyDescent="0.15">
      <c r="E79" s="84" t="s">
        <v>139</v>
      </c>
      <c r="F79" s="488">
        <f>Z116/$BR$116</f>
        <v>0.80561751309568541</v>
      </c>
      <c r="G79" s="84" t="s">
        <v>590</v>
      </c>
      <c r="I79" s="38">
        <f t="shared" si="36"/>
        <v>2084</v>
      </c>
      <c r="J79" s="39"/>
      <c r="K79" s="39">
        <f t="shared" si="37"/>
        <v>65</v>
      </c>
      <c r="L79" s="39"/>
      <c r="M79" s="40">
        <f t="shared" ref="M79:M114" si="52">1/(1+($F$9/100))^K79</f>
        <v>0.14641325444882999</v>
      </c>
      <c r="N79" s="39"/>
      <c r="O79" s="72" t="str">
        <f t="shared" si="16"/>
        <v/>
      </c>
      <c r="P79" s="41" t="str">
        <f t="shared" ref="P79:P110" si="53">IF(K79&lt;=$F$15,IF(OR(P78=$F$124,P78="-"),"-",IF(O79*$F$123&gt;$F$127,$F$123,$F$124)),"")</f>
        <v/>
      </c>
      <c r="Q79" s="39"/>
      <c r="R79" s="72" t="str">
        <f t="shared" si="51"/>
        <v/>
      </c>
      <c r="S79" s="39"/>
      <c r="T79" s="72" t="str">
        <f t="shared" si="18"/>
        <v/>
      </c>
      <c r="U79" s="39"/>
      <c r="V79" s="72" t="str">
        <f t="shared" ref="V79:V114" si="54">IF(K79&lt;=$F$15,IF(K79&lt;$F$119,IF(P79="-",V78,O79*P79),IF(K79=$F$119,MIN(IF(P79="-",V78,O79*P79),O79),0)),"")</f>
        <v/>
      </c>
      <c r="W79" s="72" t="str">
        <f t="shared" si="19"/>
        <v/>
      </c>
      <c r="X79" s="39"/>
      <c r="Y79" s="72" t="str">
        <f t="shared" ref="Y79:Y114" si="55">IF($K79&lt;=$F$15,ROUNDDOWN(T79*$F$25/100,-2),"")</f>
        <v/>
      </c>
      <c r="Z79" s="72" t="str">
        <f t="shared" si="20"/>
        <v/>
      </c>
      <c r="AA79" s="39"/>
      <c r="AB79" s="72" t="str">
        <f t="shared" ref="AB79:AB114" si="56">IF($K79&lt;=$F$15,0,IF(AND($K79&gt;$F$15,$K79&lt;=$F$15+$F$28),$F$27*10^8/$F$28,""))</f>
        <v/>
      </c>
      <c r="AC79" s="72" t="str">
        <f t="shared" si="21"/>
        <v/>
      </c>
      <c r="AD79" s="39"/>
      <c r="AE79" s="72" t="str">
        <f t="shared" ref="AE79:AE114" si="57">IF($K79&lt;=$F$15,$F$26,"")</f>
        <v/>
      </c>
      <c r="AF79" s="72" t="str">
        <f t="shared" si="22"/>
        <v/>
      </c>
      <c r="AG79" s="39"/>
      <c r="AH79" s="72" t="str">
        <f t="shared" ref="AH79:AH114" si="58">IF($K79&lt;=$F$15,$F$33*10^8,"")</f>
        <v/>
      </c>
      <c r="AI79" s="72" t="str">
        <f t="shared" si="23"/>
        <v/>
      </c>
      <c r="AJ79" s="39"/>
      <c r="AK79" s="72" t="str">
        <f t="shared" ref="AK79:AK114" si="59">IF($K79&lt;=$F$15,$F$117*$F$34/100,"")</f>
        <v/>
      </c>
      <c r="AL79" s="72" t="str">
        <f t="shared" si="24"/>
        <v/>
      </c>
      <c r="AM79" s="39"/>
      <c r="AN79" s="72" t="str">
        <f t="shared" ref="AN79:AN114" si="60">IF($K79&lt;=$F$15,$F$117*$F$35/100,"")</f>
        <v/>
      </c>
      <c r="AO79" s="72" t="str">
        <f t="shared" si="25"/>
        <v/>
      </c>
      <c r="AP79" s="39"/>
      <c r="AQ79" s="72" t="str">
        <f t="shared" ref="AQ79:AQ114" si="61">IF($K79&lt;=$F$15,SUM(AH79,AK79,AN79)*($F$36/100),"")</f>
        <v/>
      </c>
      <c r="AR79" s="72" t="str">
        <f t="shared" si="26"/>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62">IF($K79&lt;=$F$15,($AT79+$F$142)*$F$137,"")</f>
        <v/>
      </c>
      <c r="AW79" s="72" t="str">
        <f t="shared" si="27"/>
        <v/>
      </c>
      <c r="AX79" s="39"/>
      <c r="AY79" s="40" t="str">
        <f>IF(ISERROR(IF($K79&lt;=$F$15,VLOOKUP($I79,'表4）CO2価格'!$A$7:$E$67,VLOOKUP($F$48,'表4）CO2価格'!$H$10:$I$12,2,0),0)*$F$8/1000,"")),0,IF($K79&lt;=$F$15,VLOOKUP($I79,'表4）CO2価格'!$A$7:$E$67,VLOOKUP($F$48,'表4）CO2価格'!$H$10:$I$12,2,0),0)*$F$8/1000,""))</f>
        <v/>
      </c>
      <c r="AZ79" s="39"/>
      <c r="BA79" s="42" t="str">
        <f t="shared" ref="BA79:BA114" si="63">IF($K79&lt;=$F$15,$F$145*AY79,"")</f>
        <v/>
      </c>
      <c r="BB79" s="72" t="str">
        <f t="shared" si="28"/>
        <v/>
      </c>
      <c r="BC79" s="39"/>
      <c r="BD79" s="72" t="str">
        <f t="shared" ref="BD79:BD114" si="64">IF($K79&lt;=$F$15,($AT79+$F$152)*$F$151,"")</f>
        <v/>
      </c>
      <c r="BE79" s="72" t="str">
        <f t="shared" si="29"/>
        <v/>
      </c>
      <c r="BF79" s="39"/>
      <c r="BG79" s="42" t="str">
        <f t="shared" ref="BG79:BG114" si="65">IF($K79&lt;=$F$15,$F$153*AY79,"")</f>
        <v/>
      </c>
      <c r="BH79" s="72" t="str">
        <f t="shared" si="30"/>
        <v/>
      </c>
      <c r="BI79" s="39"/>
      <c r="BJ79" s="40" t="str">
        <f t="shared" si="31"/>
        <v/>
      </c>
      <c r="BK79" s="157" t="str">
        <f t="shared" si="32"/>
        <v/>
      </c>
      <c r="BL79" s="157" t="str">
        <f t="shared" ref="BL79:BL114" si="66">IF(AND(ISNUMBER(BJ79),$K79&lt;=$F$16),BQ79*BJ79,"")</f>
        <v/>
      </c>
      <c r="BM79" s="72"/>
      <c r="BN79" s="72" t="str">
        <f t="shared" si="33"/>
        <v/>
      </c>
      <c r="BO79" s="72" t="str">
        <f t="shared" si="34"/>
        <v/>
      </c>
      <c r="BP79" s="39"/>
      <c r="BQ79" s="72" t="str">
        <f t="shared" ref="BQ79:BQ114" si="67">IF($K79&lt;=$F$15,$F$134,"")</f>
        <v/>
      </c>
      <c r="BR79" s="72" t="str">
        <f t="shared" si="35"/>
        <v/>
      </c>
    </row>
    <row r="80" spans="2:70" x14ac:dyDescent="0.15">
      <c r="E80" s="84" t="s">
        <v>115</v>
      </c>
      <c r="F80" s="488">
        <f>AF116/$BR$116</f>
        <v>0.24733637747336382</v>
      </c>
      <c r="G80" s="84" t="s">
        <v>590</v>
      </c>
      <c r="I80" s="457">
        <f t="shared" si="36"/>
        <v>2085</v>
      </c>
      <c r="J80" s="71"/>
      <c r="K80" s="71">
        <f t="shared" si="37"/>
        <v>66</v>
      </c>
      <c r="L80" s="71"/>
      <c r="M80" s="7">
        <f t="shared" si="52"/>
        <v>0.14214879072701941</v>
      </c>
      <c r="N80" s="71"/>
      <c r="O80" s="10" t="str">
        <f t="shared" ref="O80:O114" si="68">IF(K80&lt;=$F$15,O79-V79,"")</f>
        <v/>
      </c>
      <c r="P80" s="29" t="str">
        <f t="shared" si="53"/>
        <v/>
      </c>
      <c r="Q80" s="71"/>
      <c r="R80" s="10" t="str">
        <f t="shared" ref="R80:R114" si="69">IF($K80&lt;=$F$15,MAX($F$117*5%,R79*$F$129),"")</f>
        <v/>
      </c>
      <c r="S80" s="71"/>
      <c r="T80" s="10" t="str">
        <f t="shared" ref="T80:T114" si="70">IF(ISNUMBER(R80),ROUNDDOWN(R80,-3),"")</f>
        <v/>
      </c>
      <c r="U80" s="71"/>
      <c r="V80" s="10" t="str">
        <f t="shared" si="54"/>
        <v/>
      </c>
      <c r="W80" s="10" t="str">
        <f t="shared" ref="W80:W114" si="71">IF(ISNUMBER(V80),V80*$M80,"")</f>
        <v/>
      </c>
      <c r="X80" s="71"/>
      <c r="Y80" s="10" t="str">
        <f t="shared" si="55"/>
        <v/>
      </c>
      <c r="Z80" s="10" t="str">
        <f t="shared" ref="Z80:Z114" si="72">IF(ISNUMBER(Y80),Y80*$M80,"")</f>
        <v/>
      </c>
      <c r="AA80" s="71"/>
      <c r="AB80" s="10" t="str">
        <f t="shared" si="56"/>
        <v/>
      </c>
      <c r="AC80" s="10" t="str">
        <f t="shared" ref="AC80:AC114" si="73">IF(ISNUMBER(AB80),AB80*$M80,"")</f>
        <v/>
      </c>
      <c r="AD80" s="71"/>
      <c r="AE80" s="10" t="str">
        <f t="shared" si="57"/>
        <v/>
      </c>
      <c r="AF80" s="10" t="str">
        <f t="shared" ref="AF80:AF114" si="74">IF(ISNUMBER(AE80),AE80*$M80,"")</f>
        <v/>
      </c>
      <c r="AG80" s="71"/>
      <c r="AH80" s="10" t="str">
        <f t="shared" si="58"/>
        <v/>
      </c>
      <c r="AI80" s="10" t="str">
        <f t="shared" ref="AI80:AI114" si="75">IF(ISNUMBER(AH80),AH80*$M80,"")</f>
        <v/>
      </c>
      <c r="AJ80" s="71"/>
      <c r="AK80" s="10" t="str">
        <f t="shared" si="59"/>
        <v/>
      </c>
      <c r="AL80" s="10" t="str">
        <f t="shared" ref="AL80:AL114" si="76">IF(ISNUMBER(AK80),AK80*$M80,"")</f>
        <v/>
      </c>
      <c r="AM80" s="71"/>
      <c r="AN80" s="10" t="str">
        <f t="shared" si="60"/>
        <v/>
      </c>
      <c r="AO80" s="10" t="str">
        <f t="shared" ref="AO80:AO114" si="77">IF(ISNUMBER(AN80),AN80*$M80,"")</f>
        <v/>
      </c>
      <c r="AP80" s="71"/>
      <c r="AQ80" s="10" t="str">
        <f t="shared" si="61"/>
        <v/>
      </c>
      <c r="AR80" s="10" t="str">
        <f t="shared" ref="AR80:AR114" si="78">IF(ISNUMBER(AQ80),AQ80*$M80,"")</f>
        <v/>
      </c>
      <c r="AS80" s="71"/>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U80" s="71"/>
      <c r="AV80" s="10" t="str">
        <f t="shared" si="62"/>
        <v/>
      </c>
      <c r="AW80" s="10" t="str">
        <f t="shared" ref="AW80:AW114" si="79">IF(ISNUMBER(AV80),AV80*$M80,"")</f>
        <v/>
      </c>
      <c r="AX80" s="71"/>
      <c r="AY80" s="7" t="str">
        <f>IF(ISERROR(IF($K80&lt;=$F$15,VLOOKUP($I80,'表4）CO2価格'!$A$7:$E$67,VLOOKUP($F$48,'表4）CO2価格'!$H$10:$I$12,2,0),0)*$F$8/1000,"")),0,IF($K80&lt;=$F$15,VLOOKUP($I80,'表4）CO2価格'!$A$7:$E$67,VLOOKUP($F$48,'表4）CO2価格'!$H$10:$I$12,2,0),0)*$F$8/1000,""))</f>
        <v/>
      </c>
      <c r="AZ80" s="71"/>
      <c r="BA80" s="11" t="str">
        <f t="shared" si="63"/>
        <v/>
      </c>
      <c r="BB80" s="10" t="str">
        <f t="shared" ref="BB80:BB114" si="80">IF(ISNUMBER(BA80),BA80*$M80,"")</f>
        <v/>
      </c>
      <c r="BC80" s="71"/>
      <c r="BD80" s="10" t="str">
        <f t="shared" si="64"/>
        <v/>
      </c>
      <c r="BE80" s="10" t="str">
        <f t="shared" ref="BE80:BE114" si="81">IF(ISNUMBER(BD80),BD80*$M80,"")</f>
        <v/>
      </c>
      <c r="BF80" s="71"/>
      <c r="BG80" s="11" t="str">
        <f t="shared" si="65"/>
        <v/>
      </c>
      <c r="BH80" s="10" t="str">
        <f t="shared" ref="BH80:BH114" si="82">IF(ISNUMBER(BG80),BG80*$M80,"")</f>
        <v/>
      </c>
      <c r="BJ80" s="7" t="str">
        <f t="shared" ref="BJ80:BJ114" si="83">IF(ISNUMBER($F$16),IF($K80&lt;=$F$16+$F$28,1/(1+($F$17/100))^K80,""),"")</f>
        <v/>
      </c>
      <c r="BK80" s="158" t="str">
        <f t="shared" ref="BK80:BK114" si="84">IF(ISNUMBER($F$16),IF($K80&lt;=$F$16+$F$28,IF($K80&lt;=$F$16,SUM(Y80,AB80,AE80,AH80,AK80,AN80,AQ80,AV80,BA80,BD80,BG80),$F$27/$F$28*10^8)*BJ80,""),"")</f>
        <v/>
      </c>
      <c r="BL80" s="158" t="str">
        <f t="shared" si="66"/>
        <v/>
      </c>
      <c r="BM80" s="10"/>
      <c r="BN80" s="10" t="str">
        <f t="shared" ref="BN80:BN114" si="85">IF(AND(ISNUMBER($F$16),$K80&lt;=$F$16),BQ80*($O$15+$BK$116)/$BL$116,"")</f>
        <v/>
      </c>
      <c r="BO80" s="10" t="str">
        <f t="shared" ref="BO80:BO114" si="86">IF(ISNUMBER(BN80),BN80*$M80,"")</f>
        <v/>
      </c>
      <c r="BQ80" s="10" t="str">
        <f t="shared" si="67"/>
        <v/>
      </c>
      <c r="BR80" s="10" t="str">
        <f t="shared" ref="BR80:BR114" si="87">IF(ISNUMBER(BQ80),BQ80*$M80,"")</f>
        <v/>
      </c>
    </row>
    <row r="81" spans="4:70" x14ac:dyDescent="0.15">
      <c r="E81" s="160" t="s">
        <v>86</v>
      </c>
      <c r="F81" s="488">
        <f>AC116/$BR$116</f>
        <v>0.11024053971990035</v>
      </c>
      <c r="G81" s="84" t="s">
        <v>590</v>
      </c>
      <c r="I81" s="38">
        <f t="shared" ref="I81:I114" si="88">I80+1</f>
        <v>2086</v>
      </c>
      <c r="J81" s="39"/>
      <c r="K81" s="39">
        <f t="shared" ref="K81:K114" si="89">IF(I81&lt;&gt;"",K80+1,"")</f>
        <v>67</v>
      </c>
      <c r="L81" s="39"/>
      <c r="M81" s="40">
        <f t="shared" si="52"/>
        <v>0.1380085346864266</v>
      </c>
      <c r="N81" s="39"/>
      <c r="O81" s="72" t="str">
        <f t="shared" si="68"/>
        <v/>
      </c>
      <c r="P81" s="41" t="str">
        <f t="shared" si="53"/>
        <v/>
      </c>
      <c r="Q81" s="39"/>
      <c r="R81" s="72" t="str">
        <f t="shared" si="69"/>
        <v/>
      </c>
      <c r="S81" s="39"/>
      <c r="T81" s="72" t="str">
        <f t="shared" si="70"/>
        <v/>
      </c>
      <c r="U81" s="39"/>
      <c r="V81" s="72" t="str">
        <f t="shared" si="54"/>
        <v/>
      </c>
      <c r="W81" s="72" t="str">
        <f t="shared" si="71"/>
        <v/>
      </c>
      <c r="X81" s="39"/>
      <c r="Y81" s="72" t="str">
        <f t="shared" si="55"/>
        <v/>
      </c>
      <c r="Z81" s="72" t="str">
        <f t="shared" si="72"/>
        <v/>
      </c>
      <c r="AA81" s="39"/>
      <c r="AB81" s="72" t="str">
        <f t="shared" si="56"/>
        <v/>
      </c>
      <c r="AC81" s="72" t="str">
        <f t="shared" si="73"/>
        <v/>
      </c>
      <c r="AD81" s="39"/>
      <c r="AE81" s="72" t="str">
        <f t="shared" si="57"/>
        <v/>
      </c>
      <c r="AF81" s="72" t="str">
        <f t="shared" si="74"/>
        <v/>
      </c>
      <c r="AG81" s="39"/>
      <c r="AH81" s="72" t="str">
        <f t="shared" si="58"/>
        <v/>
      </c>
      <c r="AI81" s="72" t="str">
        <f t="shared" si="75"/>
        <v/>
      </c>
      <c r="AJ81" s="39"/>
      <c r="AK81" s="72" t="str">
        <f t="shared" si="59"/>
        <v/>
      </c>
      <c r="AL81" s="72" t="str">
        <f t="shared" si="76"/>
        <v/>
      </c>
      <c r="AM81" s="39"/>
      <c r="AN81" s="72" t="str">
        <f t="shared" si="60"/>
        <v/>
      </c>
      <c r="AO81" s="72" t="str">
        <f t="shared" si="77"/>
        <v/>
      </c>
      <c r="AP81" s="39"/>
      <c r="AQ81" s="72" t="str">
        <f t="shared" si="61"/>
        <v/>
      </c>
      <c r="AR81" s="72" t="str">
        <f t="shared" si="78"/>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62"/>
        <v/>
      </c>
      <c r="AW81" s="72" t="str">
        <f t="shared" si="79"/>
        <v/>
      </c>
      <c r="AX81" s="39"/>
      <c r="AY81" s="40" t="str">
        <f>IF(ISERROR(IF($K81&lt;=$F$15,VLOOKUP($I81,'表4）CO2価格'!$A$7:$E$67,VLOOKUP($F$48,'表4）CO2価格'!$H$10:$I$12,2,0),0)*$F$8/1000,"")),0,IF($K81&lt;=$F$15,VLOOKUP($I81,'表4）CO2価格'!$A$7:$E$67,VLOOKUP($F$48,'表4）CO2価格'!$H$10:$I$12,2,0),0)*$F$8/1000,""))</f>
        <v/>
      </c>
      <c r="AZ81" s="39"/>
      <c r="BA81" s="42" t="str">
        <f t="shared" si="63"/>
        <v/>
      </c>
      <c r="BB81" s="72" t="str">
        <f t="shared" si="80"/>
        <v/>
      </c>
      <c r="BC81" s="39"/>
      <c r="BD81" s="72" t="str">
        <f t="shared" si="64"/>
        <v/>
      </c>
      <c r="BE81" s="72" t="str">
        <f t="shared" si="81"/>
        <v/>
      </c>
      <c r="BF81" s="39"/>
      <c r="BG81" s="42" t="str">
        <f t="shared" si="65"/>
        <v/>
      </c>
      <c r="BH81" s="72" t="str">
        <f t="shared" si="82"/>
        <v/>
      </c>
      <c r="BI81" s="39"/>
      <c r="BJ81" s="40" t="str">
        <f t="shared" si="83"/>
        <v/>
      </c>
      <c r="BK81" s="157" t="str">
        <f t="shared" si="84"/>
        <v/>
      </c>
      <c r="BL81" s="157" t="str">
        <f t="shared" si="66"/>
        <v/>
      </c>
      <c r="BM81" s="72"/>
      <c r="BN81" s="72" t="str">
        <f t="shared" si="85"/>
        <v/>
      </c>
      <c r="BO81" s="72" t="str">
        <f t="shared" si="86"/>
        <v/>
      </c>
      <c r="BP81" s="39"/>
      <c r="BQ81" s="72" t="str">
        <f t="shared" si="67"/>
        <v/>
      </c>
      <c r="BR81" s="72" t="str">
        <f t="shared" si="87"/>
        <v/>
      </c>
    </row>
    <row r="82" spans="4:70" x14ac:dyDescent="0.15">
      <c r="F82" s="487"/>
      <c r="I82" s="457">
        <f t="shared" si="88"/>
        <v>2087</v>
      </c>
      <c r="J82" s="71"/>
      <c r="K82" s="71">
        <f t="shared" si="89"/>
        <v>68</v>
      </c>
      <c r="L82" s="71"/>
      <c r="M82" s="7">
        <f t="shared" si="52"/>
        <v>0.13398886862759865</v>
      </c>
      <c r="N82" s="71"/>
      <c r="O82" s="10" t="str">
        <f t="shared" si="68"/>
        <v/>
      </c>
      <c r="P82" s="29" t="str">
        <f t="shared" si="53"/>
        <v/>
      </c>
      <c r="Q82" s="71"/>
      <c r="R82" s="10" t="str">
        <f t="shared" si="69"/>
        <v/>
      </c>
      <c r="S82" s="71"/>
      <c r="T82" s="10" t="str">
        <f t="shared" si="70"/>
        <v/>
      </c>
      <c r="U82" s="71"/>
      <c r="V82" s="10" t="str">
        <f t="shared" si="54"/>
        <v/>
      </c>
      <c r="W82" s="10" t="str">
        <f t="shared" si="71"/>
        <v/>
      </c>
      <c r="X82" s="71"/>
      <c r="Y82" s="10" t="str">
        <f t="shared" si="55"/>
        <v/>
      </c>
      <c r="Z82" s="10" t="str">
        <f t="shared" si="72"/>
        <v/>
      </c>
      <c r="AA82" s="71"/>
      <c r="AB82" s="10" t="str">
        <f t="shared" si="56"/>
        <v/>
      </c>
      <c r="AC82" s="10" t="str">
        <f t="shared" si="73"/>
        <v/>
      </c>
      <c r="AD82" s="71"/>
      <c r="AE82" s="10" t="str">
        <f t="shared" si="57"/>
        <v/>
      </c>
      <c r="AF82" s="10" t="str">
        <f t="shared" si="74"/>
        <v/>
      </c>
      <c r="AG82" s="71"/>
      <c r="AH82" s="10" t="str">
        <f t="shared" si="58"/>
        <v/>
      </c>
      <c r="AI82" s="10" t="str">
        <f t="shared" si="75"/>
        <v/>
      </c>
      <c r="AJ82" s="71"/>
      <c r="AK82" s="10" t="str">
        <f t="shared" si="59"/>
        <v/>
      </c>
      <c r="AL82" s="10" t="str">
        <f t="shared" si="76"/>
        <v/>
      </c>
      <c r="AM82" s="71"/>
      <c r="AN82" s="10" t="str">
        <f t="shared" si="60"/>
        <v/>
      </c>
      <c r="AO82" s="10" t="str">
        <f t="shared" si="77"/>
        <v/>
      </c>
      <c r="AP82" s="71"/>
      <c r="AQ82" s="10" t="str">
        <f t="shared" si="61"/>
        <v/>
      </c>
      <c r="AR82" s="10" t="str">
        <f t="shared" si="78"/>
        <v/>
      </c>
      <c r="AS82" s="71"/>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U82" s="71"/>
      <c r="AV82" s="10" t="str">
        <f t="shared" si="62"/>
        <v/>
      </c>
      <c r="AW82" s="10" t="str">
        <f t="shared" si="79"/>
        <v/>
      </c>
      <c r="AX82" s="71"/>
      <c r="AY82" s="7" t="str">
        <f>IF(ISERROR(IF($K82&lt;=$F$15,VLOOKUP($I82,'表4）CO2価格'!$A$7:$E$67,VLOOKUP($F$48,'表4）CO2価格'!$H$10:$I$12,2,0),0)*$F$8/1000,"")),0,IF($K82&lt;=$F$15,VLOOKUP($I82,'表4）CO2価格'!$A$7:$E$67,VLOOKUP($F$48,'表4）CO2価格'!$H$10:$I$12,2,0),0)*$F$8/1000,""))</f>
        <v/>
      </c>
      <c r="AZ82" s="71"/>
      <c r="BA82" s="11" t="str">
        <f t="shared" si="63"/>
        <v/>
      </c>
      <c r="BB82" s="10" t="str">
        <f t="shared" si="80"/>
        <v/>
      </c>
      <c r="BC82" s="71"/>
      <c r="BD82" s="10" t="str">
        <f t="shared" si="64"/>
        <v/>
      </c>
      <c r="BE82" s="10" t="str">
        <f t="shared" si="81"/>
        <v/>
      </c>
      <c r="BF82" s="71"/>
      <c r="BG82" s="11" t="str">
        <f t="shared" si="65"/>
        <v/>
      </c>
      <c r="BH82" s="10" t="str">
        <f t="shared" si="82"/>
        <v/>
      </c>
      <c r="BJ82" s="7" t="str">
        <f t="shared" si="83"/>
        <v/>
      </c>
      <c r="BK82" s="158" t="str">
        <f t="shared" si="84"/>
        <v/>
      </c>
      <c r="BL82" s="158" t="str">
        <f t="shared" si="66"/>
        <v/>
      </c>
      <c r="BM82" s="10"/>
      <c r="BN82" s="10" t="str">
        <f t="shared" si="85"/>
        <v/>
      </c>
      <c r="BO82" s="10" t="str">
        <f t="shared" si="86"/>
        <v/>
      </c>
      <c r="BQ82" s="10" t="str">
        <f t="shared" si="67"/>
        <v/>
      </c>
      <c r="BR82" s="10" t="str">
        <f t="shared" si="87"/>
        <v/>
      </c>
    </row>
    <row r="83" spans="4:70" ht="15" x14ac:dyDescent="0.15">
      <c r="D83" s="103" t="s">
        <v>593</v>
      </c>
      <c r="F83" s="484">
        <f>SUBTOTAL(9,F87:F90)</f>
        <v>13.447488584474888</v>
      </c>
      <c r="G83" s="84" t="s">
        <v>590</v>
      </c>
      <c r="I83" s="38">
        <f>I82+1</f>
        <v>2088</v>
      </c>
      <c r="J83" s="39"/>
      <c r="K83" s="39">
        <f>IF(I83&lt;&gt;"",K82+1,"")</f>
        <v>69</v>
      </c>
      <c r="L83" s="39"/>
      <c r="M83" s="40">
        <f t="shared" si="52"/>
        <v>0.13008628022096957</v>
      </c>
      <c r="N83" s="39"/>
      <c r="O83" s="72" t="str">
        <f t="shared" si="68"/>
        <v/>
      </c>
      <c r="P83" s="41" t="str">
        <f t="shared" si="53"/>
        <v/>
      </c>
      <c r="Q83" s="39"/>
      <c r="R83" s="72" t="str">
        <f t="shared" si="69"/>
        <v/>
      </c>
      <c r="S83" s="39"/>
      <c r="T83" s="72" t="str">
        <f t="shared" si="70"/>
        <v/>
      </c>
      <c r="U83" s="39"/>
      <c r="V83" s="72" t="str">
        <f t="shared" si="54"/>
        <v/>
      </c>
      <c r="W83" s="72" t="str">
        <f t="shared" si="71"/>
        <v/>
      </c>
      <c r="X83" s="39"/>
      <c r="Y83" s="72" t="str">
        <f t="shared" si="55"/>
        <v/>
      </c>
      <c r="Z83" s="72" t="str">
        <f t="shared" si="72"/>
        <v/>
      </c>
      <c r="AA83" s="39"/>
      <c r="AB83" s="72" t="str">
        <f t="shared" si="56"/>
        <v/>
      </c>
      <c r="AC83" s="72" t="str">
        <f t="shared" si="73"/>
        <v/>
      </c>
      <c r="AD83" s="39"/>
      <c r="AE83" s="72" t="str">
        <f t="shared" si="57"/>
        <v/>
      </c>
      <c r="AF83" s="72" t="str">
        <f t="shared" si="74"/>
        <v/>
      </c>
      <c r="AG83" s="39"/>
      <c r="AH83" s="72" t="str">
        <f t="shared" si="58"/>
        <v/>
      </c>
      <c r="AI83" s="72" t="str">
        <f t="shared" si="75"/>
        <v/>
      </c>
      <c r="AJ83" s="39"/>
      <c r="AK83" s="72" t="str">
        <f t="shared" si="59"/>
        <v/>
      </c>
      <c r="AL83" s="72" t="str">
        <f t="shared" si="76"/>
        <v/>
      </c>
      <c r="AM83" s="39"/>
      <c r="AN83" s="72" t="str">
        <f t="shared" si="60"/>
        <v/>
      </c>
      <c r="AO83" s="72" t="str">
        <f t="shared" si="77"/>
        <v/>
      </c>
      <c r="AP83" s="39"/>
      <c r="AQ83" s="72" t="str">
        <f t="shared" si="61"/>
        <v/>
      </c>
      <c r="AR83" s="72" t="str">
        <f t="shared" si="78"/>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62"/>
        <v/>
      </c>
      <c r="AW83" s="72" t="str">
        <f t="shared" si="79"/>
        <v/>
      </c>
      <c r="AX83" s="39"/>
      <c r="AY83" s="40" t="str">
        <f>IF(ISERROR(IF($K83&lt;=$F$15,VLOOKUP($I83,'表4）CO2価格'!$A$7:$E$67,VLOOKUP($F$48,'表4）CO2価格'!$H$10:$I$12,2,0),0)*$F$8/1000,"")),0,IF($K83&lt;=$F$15,VLOOKUP($I83,'表4）CO2価格'!$A$7:$E$67,VLOOKUP($F$48,'表4）CO2価格'!$H$10:$I$12,2,0),0)*$F$8/1000,""))</f>
        <v/>
      </c>
      <c r="AZ83" s="39"/>
      <c r="BA83" s="42" t="str">
        <f t="shared" si="63"/>
        <v/>
      </c>
      <c r="BB83" s="72" t="str">
        <f t="shared" si="80"/>
        <v/>
      </c>
      <c r="BC83" s="39"/>
      <c r="BD83" s="72" t="str">
        <f t="shared" si="64"/>
        <v/>
      </c>
      <c r="BE83" s="72" t="str">
        <f t="shared" si="81"/>
        <v/>
      </c>
      <c r="BF83" s="39"/>
      <c r="BG83" s="42" t="str">
        <f t="shared" si="65"/>
        <v/>
      </c>
      <c r="BH83" s="72" t="str">
        <f t="shared" si="82"/>
        <v/>
      </c>
      <c r="BI83" s="39"/>
      <c r="BJ83" s="40" t="str">
        <f t="shared" si="83"/>
        <v/>
      </c>
      <c r="BK83" s="157" t="str">
        <f t="shared" si="84"/>
        <v/>
      </c>
      <c r="BL83" s="157" t="str">
        <f t="shared" si="66"/>
        <v/>
      </c>
      <c r="BM83" s="72"/>
      <c r="BN83" s="72" t="str">
        <f t="shared" si="85"/>
        <v/>
      </c>
      <c r="BO83" s="72" t="str">
        <f t="shared" si="86"/>
        <v/>
      </c>
      <c r="BP83" s="39"/>
      <c r="BQ83" s="72" t="str">
        <f t="shared" si="67"/>
        <v/>
      </c>
      <c r="BR83" s="72" t="str">
        <f t="shared" si="87"/>
        <v/>
      </c>
    </row>
    <row r="84" spans="4:70" x14ac:dyDescent="0.15">
      <c r="F84" s="487"/>
      <c r="I84" s="457">
        <f t="shared" si="88"/>
        <v>2089</v>
      </c>
      <c r="J84" s="71"/>
      <c r="K84" s="71">
        <f t="shared" si="89"/>
        <v>70</v>
      </c>
      <c r="L84" s="71"/>
      <c r="M84" s="7">
        <f t="shared" si="52"/>
        <v>0.12629735943783454</v>
      </c>
      <c r="N84" s="71"/>
      <c r="O84" s="10" t="str">
        <f t="shared" si="68"/>
        <v/>
      </c>
      <c r="P84" s="29" t="str">
        <f t="shared" si="53"/>
        <v/>
      </c>
      <c r="Q84" s="71"/>
      <c r="R84" s="10" t="str">
        <f t="shared" si="69"/>
        <v/>
      </c>
      <c r="S84" s="71"/>
      <c r="T84" s="10" t="str">
        <f t="shared" si="70"/>
        <v/>
      </c>
      <c r="U84" s="71"/>
      <c r="V84" s="10" t="str">
        <f t="shared" si="54"/>
        <v/>
      </c>
      <c r="W84" s="10" t="str">
        <f t="shared" si="71"/>
        <v/>
      </c>
      <c r="X84" s="71"/>
      <c r="Y84" s="10" t="str">
        <f t="shared" si="55"/>
        <v/>
      </c>
      <c r="Z84" s="10" t="str">
        <f t="shared" si="72"/>
        <v/>
      </c>
      <c r="AA84" s="71"/>
      <c r="AB84" s="10" t="str">
        <f t="shared" si="56"/>
        <v/>
      </c>
      <c r="AC84" s="10" t="str">
        <f t="shared" si="73"/>
        <v/>
      </c>
      <c r="AD84" s="71"/>
      <c r="AE84" s="10" t="str">
        <f t="shared" si="57"/>
        <v/>
      </c>
      <c r="AF84" s="10" t="str">
        <f t="shared" si="74"/>
        <v/>
      </c>
      <c r="AG84" s="71"/>
      <c r="AH84" s="10" t="str">
        <f t="shared" si="58"/>
        <v/>
      </c>
      <c r="AI84" s="10" t="str">
        <f t="shared" si="75"/>
        <v/>
      </c>
      <c r="AJ84" s="71"/>
      <c r="AK84" s="10" t="str">
        <f t="shared" si="59"/>
        <v/>
      </c>
      <c r="AL84" s="10" t="str">
        <f t="shared" si="76"/>
        <v/>
      </c>
      <c r="AM84" s="71"/>
      <c r="AN84" s="10" t="str">
        <f t="shared" si="60"/>
        <v/>
      </c>
      <c r="AO84" s="10" t="str">
        <f t="shared" si="77"/>
        <v/>
      </c>
      <c r="AP84" s="71"/>
      <c r="AQ84" s="10" t="str">
        <f t="shared" si="61"/>
        <v/>
      </c>
      <c r="AR84" s="10" t="str">
        <f t="shared" si="78"/>
        <v/>
      </c>
      <c r="AS84" s="71"/>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U84" s="71"/>
      <c r="AV84" s="10" t="str">
        <f t="shared" si="62"/>
        <v/>
      </c>
      <c r="AW84" s="10" t="str">
        <f t="shared" si="79"/>
        <v/>
      </c>
      <c r="AX84" s="71"/>
      <c r="AY84" s="7" t="str">
        <f>IF(ISERROR(IF($K84&lt;=$F$15,VLOOKUP($I84,'表4）CO2価格'!$A$7:$E$67,VLOOKUP($F$48,'表4）CO2価格'!$H$10:$I$12,2,0),0)*$F$8/1000,"")),0,IF($K84&lt;=$F$15,VLOOKUP($I84,'表4）CO2価格'!$A$7:$E$67,VLOOKUP($F$48,'表4）CO2価格'!$H$10:$I$12,2,0),0)*$F$8/1000,""))</f>
        <v/>
      </c>
      <c r="AZ84" s="71"/>
      <c r="BA84" s="11" t="str">
        <f t="shared" si="63"/>
        <v/>
      </c>
      <c r="BB84" s="10" t="str">
        <f t="shared" si="80"/>
        <v/>
      </c>
      <c r="BC84" s="71"/>
      <c r="BD84" s="10" t="str">
        <f t="shared" si="64"/>
        <v/>
      </c>
      <c r="BE84" s="10" t="str">
        <f t="shared" si="81"/>
        <v/>
      </c>
      <c r="BF84" s="71"/>
      <c r="BG84" s="11" t="str">
        <f t="shared" si="65"/>
        <v/>
      </c>
      <c r="BH84" s="10" t="str">
        <f t="shared" si="82"/>
        <v/>
      </c>
      <c r="BJ84" s="7" t="str">
        <f t="shared" si="83"/>
        <v/>
      </c>
      <c r="BK84" s="158" t="str">
        <f t="shared" si="84"/>
        <v/>
      </c>
      <c r="BL84" s="158" t="str">
        <f t="shared" si="66"/>
        <v/>
      </c>
      <c r="BM84" s="10"/>
      <c r="BN84" s="10" t="str">
        <f t="shared" si="85"/>
        <v/>
      </c>
      <c r="BO84" s="10" t="str">
        <f t="shared" si="86"/>
        <v/>
      </c>
      <c r="BQ84" s="10" t="str">
        <f t="shared" si="67"/>
        <v/>
      </c>
      <c r="BR84" s="10" t="str">
        <f t="shared" si="87"/>
        <v/>
      </c>
    </row>
    <row r="85" spans="4:70" x14ac:dyDescent="0.15">
      <c r="D85" s="100" t="s">
        <v>594</v>
      </c>
      <c r="E85" s="489"/>
      <c r="F85" s="486"/>
      <c r="G85" s="100"/>
      <c r="I85" s="38">
        <f t="shared" si="88"/>
        <v>2090</v>
      </c>
      <c r="J85" s="39"/>
      <c r="K85" s="39">
        <f t="shared" si="89"/>
        <v>71</v>
      </c>
      <c r="L85" s="39"/>
      <c r="M85" s="40">
        <f t="shared" si="52"/>
        <v>0.12261879557071313</v>
      </c>
      <c r="N85" s="39"/>
      <c r="O85" s="72" t="str">
        <f t="shared" si="68"/>
        <v/>
      </c>
      <c r="P85" s="41" t="str">
        <f t="shared" si="53"/>
        <v/>
      </c>
      <c r="Q85" s="39"/>
      <c r="R85" s="72" t="str">
        <f t="shared" si="69"/>
        <v/>
      </c>
      <c r="S85" s="39"/>
      <c r="T85" s="72" t="str">
        <f t="shared" si="70"/>
        <v/>
      </c>
      <c r="U85" s="39"/>
      <c r="V85" s="72" t="str">
        <f t="shared" si="54"/>
        <v/>
      </c>
      <c r="W85" s="72" t="str">
        <f t="shared" si="71"/>
        <v/>
      </c>
      <c r="X85" s="39"/>
      <c r="Y85" s="72" t="str">
        <f t="shared" si="55"/>
        <v/>
      </c>
      <c r="Z85" s="72" t="str">
        <f t="shared" si="72"/>
        <v/>
      </c>
      <c r="AA85" s="39"/>
      <c r="AB85" s="72" t="str">
        <f t="shared" si="56"/>
        <v/>
      </c>
      <c r="AC85" s="72" t="str">
        <f t="shared" si="73"/>
        <v/>
      </c>
      <c r="AD85" s="39"/>
      <c r="AE85" s="72" t="str">
        <f t="shared" si="57"/>
        <v/>
      </c>
      <c r="AF85" s="72" t="str">
        <f t="shared" si="74"/>
        <v/>
      </c>
      <c r="AG85" s="39"/>
      <c r="AH85" s="72" t="str">
        <f t="shared" si="58"/>
        <v/>
      </c>
      <c r="AI85" s="72" t="str">
        <f t="shared" si="75"/>
        <v/>
      </c>
      <c r="AJ85" s="39"/>
      <c r="AK85" s="72" t="str">
        <f t="shared" si="59"/>
        <v/>
      </c>
      <c r="AL85" s="72" t="str">
        <f t="shared" si="76"/>
        <v/>
      </c>
      <c r="AM85" s="39"/>
      <c r="AN85" s="72" t="str">
        <f t="shared" si="60"/>
        <v/>
      </c>
      <c r="AO85" s="72" t="str">
        <f t="shared" si="77"/>
        <v/>
      </c>
      <c r="AP85" s="39"/>
      <c r="AQ85" s="72" t="str">
        <f t="shared" si="61"/>
        <v/>
      </c>
      <c r="AR85" s="72" t="str">
        <f t="shared" si="78"/>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62"/>
        <v/>
      </c>
      <c r="AW85" s="72" t="str">
        <f t="shared" si="79"/>
        <v/>
      </c>
      <c r="AX85" s="39"/>
      <c r="AY85" s="40" t="str">
        <f>IF(ISERROR(IF($K85&lt;=$F$15,VLOOKUP($I85,'表4）CO2価格'!$A$7:$E$67,VLOOKUP($F$48,'表4）CO2価格'!$H$10:$I$12,2,0),0)*$F$8/1000,"")),0,IF($K85&lt;=$F$15,VLOOKUP($I85,'表4）CO2価格'!$A$7:$E$67,VLOOKUP($F$48,'表4）CO2価格'!$H$10:$I$12,2,0),0)*$F$8/1000,""))</f>
        <v/>
      </c>
      <c r="AZ85" s="39"/>
      <c r="BA85" s="42" t="str">
        <f t="shared" si="63"/>
        <v/>
      </c>
      <c r="BB85" s="72" t="str">
        <f t="shared" si="80"/>
        <v/>
      </c>
      <c r="BC85" s="39"/>
      <c r="BD85" s="72" t="str">
        <f t="shared" si="64"/>
        <v/>
      </c>
      <c r="BE85" s="72" t="str">
        <f t="shared" si="81"/>
        <v/>
      </c>
      <c r="BF85" s="39"/>
      <c r="BG85" s="42" t="str">
        <f t="shared" si="65"/>
        <v/>
      </c>
      <c r="BH85" s="72" t="str">
        <f t="shared" si="82"/>
        <v/>
      </c>
      <c r="BI85" s="39"/>
      <c r="BJ85" s="40" t="str">
        <f t="shared" si="83"/>
        <v/>
      </c>
      <c r="BK85" s="157" t="str">
        <f t="shared" si="84"/>
        <v/>
      </c>
      <c r="BL85" s="157" t="str">
        <f t="shared" si="66"/>
        <v/>
      </c>
      <c r="BM85" s="72"/>
      <c r="BN85" s="72" t="str">
        <f t="shared" si="85"/>
        <v/>
      </c>
      <c r="BO85" s="72" t="str">
        <f t="shared" si="86"/>
        <v/>
      </c>
      <c r="BP85" s="39"/>
      <c r="BQ85" s="72" t="str">
        <f t="shared" si="67"/>
        <v/>
      </c>
      <c r="BR85" s="72" t="str">
        <f t="shared" si="87"/>
        <v/>
      </c>
    </row>
    <row r="86" spans="4:70" x14ac:dyDescent="0.15">
      <c r="F86" s="487"/>
      <c r="I86" s="457">
        <f t="shared" si="88"/>
        <v>2091</v>
      </c>
      <c r="J86" s="71"/>
      <c r="K86" s="71">
        <f t="shared" si="89"/>
        <v>72</v>
      </c>
      <c r="L86" s="71"/>
      <c r="M86" s="7">
        <f t="shared" si="52"/>
        <v>0.1190473743404982</v>
      </c>
      <c r="N86" s="71"/>
      <c r="O86" s="10" t="str">
        <f t="shared" si="68"/>
        <v/>
      </c>
      <c r="P86" s="29" t="str">
        <f t="shared" si="53"/>
        <v/>
      </c>
      <c r="Q86" s="71"/>
      <c r="R86" s="10" t="str">
        <f t="shared" si="69"/>
        <v/>
      </c>
      <c r="S86" s="71"/>
      <c r="T86" s="10" t="str">
        <f t="shared" si="70"/>
        <v/>
      </c>
      <c r="U86" s="71"/>
      <c r="V86" s="10" t="str">
        <f t="shared" si="54"/>
        <v/>
      </c>
      <c r="W86" s="10" t="str">
        <f t="shared" si="71"/>
        <v/>
      </c>
      <c r="X86" s="71"/>
      <c r="Y86" s="10" t="str">
        <f t="shared" si="55"/>
        <v/>
      </c>
      <c r="Z86" s="10" t="str">
        <f t="shared" si="72"/>
        <v/>
      </c>
      <c r="AA86" s="71"/>
      <c r="AB86" s="10" t="str">
        <f t="shared" si="56"/>
        <v/>
      </c>
      <c r="AC86" s="10" t="str">
        <f t="shared" si="73"/>
        <v/>
      </c>
      <c r="AD86" s="71"/>
      <c r="AE86" s="10" t="str">
        <f t="shared" si="57"/>
        <v/>
      </c>
      <c r="AF86" s="10" t="str">
        <f t="shared" si="74"/>
        <v/>
      </c>
      <c r="AG86" s="71"/>
      <c r="AH86" s="10" t="str">
        <f t="shared" si="58"/>
        <v/>
      </c>
      <c r="AI86" s="10" t="str">
        <f t="shared" si="75"/>
        <v/>
      </c>
      <c r="AJ86" s="71"/>
      <c r="AK86" s="10" t="str">
        <f t="shared" si="59"/>
        <v/>
      </c>
      <c r="AL86" s="10" t="str">
        <f t="shared" si="76"/>
        <v/>
      </c>
      <c r="AM86" s="71"/>
      <c r="AN86" s="10" t="str">
        <f t="shared" si="60"/>
        <v/>
      </c>
      <c r="AO86" s="10" t="str">
        <f t="shared" si="77"/>
        <v/>
      </c>
      <c r="AP86" s="71"/>
      <c r="AQ86" s="10" t="str">
        <f t="shared" si="61"/>
        <v/>
      </c>
      <c r="AR86" s="10" t="str">
        <f t="shared" si="78"/>
        <v/>
      </c>
      <c r="AS86" s="71"/>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U86" s="71"/>
      <c r="AV86" s="10" t="str">
        <f t="shared" si="62"/>
        <v/>
      </c>
      <c r="AW86" s="10" t="str">
        <f t="shared" si="79"/>
        <v/>
      </c>
      <c r="AX86" s="71"/>
      <c r="AY86" s="7" t="str">
        <f>IF(ISERROR(IF($K86&lt;=$F$15,VLOOKUP($I86,'表4）CO2価格'!$A$7:$E$67,VLOOKUP($F$48,'表4）CO2価格'!$H$10:$I$12,2,0),0)*$F$8/1000,"")),0,IF($K86&lt;=$F$15,VLOOKUP($I86,'表4）CO2価格'!$A$7:$E$67,VLOOKUP($F$48,'表4）CO2価格'!$H$10:$I$12,2,0),0)*$F$8/1000,""))</f>
        <v/>
      </c>
      <c r="AZ86" s="71"/>
      <c r="BA86" s="11" t="str">
        <f t="shared" si="63"/>
        <v/>
      </c>
      <c r="BB86" s="10" t="str">
        <f t="shared" si="80"/>
        <v/>
      </c>
      <c r="BC86" s="71"/>
      <c r="BD86" s="10" t="str">
        <f t="shared" si="64"/>
        <v/>
      </c>
      <c r="BE86" s="10" t="str">
        <f t="shared" si="81"/>
        <v/>
      </c>
      <c r="BF86" s="71"/>
      <c r="BG86" s="11" t="str">
        <f t="shared" si="65"/>
        <v/>
      </c>
      <c r="BH86" s="10" t="str">
        <f t="shared" si="82"/>
        <v/>
      </c>
      <c r="BJ86" s="7" t="str">
        <f t="shared" si="83"/>
        <v/>
      </c>
      <c r="BK86" s="158" t="str">
        <f t="shared" si="84"/>
        <v/>
      </c>
      <c r="BL86" s="158" t="str">
        <f t="shared" si="66"/>
        <v/>
      </c>
      <c r="BM86" s="10"/>
      <c r="BN86" s="10" t="str">
        <f t="shared" si="85"/>
        <v/>
      </c>
      <c r="BO86" s="10" t="str">
        <f t="shared" si="86"/>
        <v/>
      </c>
      <c r="BQ86" s="10" t="str">
        <f t="shared" si="67"/>
        <v/>
      </c>
      <c r="BR86" s="10" t="str">
        <f t="shared" si="87"/>
        <v/>
      </c>
    </row>
    <row r="87" spans="4:70" x14ac:dyDescent="0.15">
      <c r="E87" s="84" t="s">
        <v>141</v>
      </c>
      <c r="F87" s="488">
        <f>AI116/$BR$116</f>
        <v>6.6590563165905641</v>
      </c>
      <c r="G87" s="84" t="s">
        <v>590</v>
      </c>
      <c r="I87" s="38">
        <f t="shared" si="88"/>
        <v>2092</v>
      </c>
      <c r="J87" s="39"/>
      <c r="K87" s="39">
        <f t="shared" si="89"/>
        <v>73</v>
      </c>
      <c r="L87" s="39"/>
      <c r="M87" s="40">
        <f t="shared" si="52"/>
        <v>0.11557997508786232</v>
      </c>
      <c r="N87" s="39"/>
      <c r="O87" s="72" t="str">
        <f t="shared" si="68"/>
        <v/>
      </c>
      <c r="P87" s="41" t="str">
        <f t="shared" si="53"/>
        <v/>
      </c>
      <c r="Q87" s="39"/>
      <c r="R87" s="72" t="str">
        <f t="shared" si="69"/>
        <v/>
      </c>
      <c r="S87" s="39"/>
      <c r="T87" s="72" t="str">
        <f t="shared" si="70"/>
        <v/>
      </c>
      <c r="U87" s="39"/>
      <c r="V87" s="72" t="str">
        <f t="shared" si="54"/>
        <v/>
      </c>
      <c r="W87" s="72" t="str">
        <f t="shared" si="71"/>
        <v/>
      </c>
      <c r="X87" s="39"/>
      <c r="Y87" s="72" t="str">
        <f t="shared" si="55"/>
        <v/>
      </c>
      <c r="Z87" s="72" t="str">
        <f t="shared" si="72"/>
        <v/>
      </c>
      <c r="AA87" s="39"/>
      <c r="AB87" s="72" t="str">
        <f t="shared" si="56"/>
        <v/>
      </c>
      <c r="AC87" s="72" t="str">
        <f t="shared" si="73"/>
        <v/>
      </c>
      <c r="AD87" s="39"/>
      <c r="AE87" s="72" t="str">
        <f t="shared" si="57"/>
        <v/>
      </c>
      <c r="AF87" s="72" t="str">
        <f t="shared" si="74"/>
        <v/>
      </c>
      <c r="AG87" s="39"/>
      <c r="AH87" s="72" t="str">
        <f t="shared" si="58"/>
        <v/>
      </c>
      <c r="AI87" s="72" t="str">
        <f t="shared" si="75"/>
        <v/>
      </c>
      <c r="AJ87" s="39"/>
      <c r="AK87" s="72" t="str">
        <f t="shared" si="59"/>
        <v/>
      </c>
      <c r="AL87" s="72" t="str">
        <f t="shared" si="76"/>
        <v/>
      </c>
      <c r="AM87" s="39"/>
      <c r="AN87" s="72" t="str">
        <f t="shared" si="60"/>
        <v/>
      </c>
      <c r="AO87" s="72" t="str">
        <f t="shared" si="77"/>
        <v/>
      </c>
      <c r="AP87" s="39"/>
      <c r="AQ87" s="72" t="str">
        <f t="shared" si="61"/>
        <v/>
      </c>
      <c r="AR87" s="72" t="str">
        <f t="shared" si="78"/>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62"/>
        <v/>
      </c>
      <c r="AW87" s="72" t="str">
        <f t="shared" si="79"/>
        <v/>
      </c>
      <c r="AX87" s="39"/>
      <c r="AY87" s="40" t="str">
        <f>IF(ISERROR(IF($K87&lt;=$F$15,VLOOKUP($I87,'表4）CO2価格'!$A$7:$E$67,VLOOKUP($F$48,'表4）CO2価格'!$H$10:$I$12,2,0),0)*$F$8/1000,"")),0,IF($K87&lt;=$F$15,VLOOKUP($I87,'表4）CO2価格'!$A$7:$E$67,VLOOKUP($F$48,'表4）CO2価格'!$H$10:$I$12,2,0),0)*$F$8/1000,""))</f>
        <v/>
      </c>
      <c r="AZ87" s="39"/>
      <c r="BA87" s="42" t="str">
        <f t="shared" si="63"/>
        <v/>
      </c>
      <c r="BB87" s="72" t="str">
        <f t="shared" si="80"/>
        <v/>
      </c>
      <c r="BC87" s="39"/>
      <c r="BD87" s="72" t="str">
        <f t="shared" si="64"/>
        <v/>
      </c>
      <c r="BE87" s="72" t="str">
        <f t="shared" si="81"/>
        <v/>
      </c>
      <c r="BF87" s="39"/>
      <c r="BG87" s="42" t="str">
        <f t="shared" si="65"/>
        <v/>
      </c>
      <c r="BH87" s="72" t="str">
        <f t="shared" si="82"/>
        <v/>
      </c>
      <c r="BI87" s="39"/>
      <c r="BJ87" s="40" t="str">
        <f t="shared" si="83"/>
        <v/>
      </c>
      <c r="BK87" s="157" t="str">
        <f t="shared" si="84"/>
        <v/>
      </c>
      <c r="BL87" s="157" t="str">
        <f t="shared" si="66"/>
        <v/>
      </c>
      <c r="BM87" s="72"/>
      <c r="BN87" s="72" t="str">
        <f t="shared" si="85"/>
        <v/>
      </c>
      <c r="BO87" s="72" t="str">
        <f t="shared" si="86"/>
        <v/>
      </c>
      <c r="BP87" s="39"/>
      <c r="BQ87" s="72" t="str">
        <f t="shared" si="67"/>
        <v/>
      </c>
      <c r="BR87" s="72" t="str">
        <f t="shared" si="87"/>
        <v/>
      </c>
    </row>
    <row r="88" spans="4:70" x14ac:dyDescent="0.15">
      <c r="E88" s="84" t="s">
        <v>641</v>
      </c>
      <c r="F88" s="488">
        <f>AL116/$BR$116</f>
        <v>5.1369863013698644</v>
      </c>
      <c r="G88" s="84" t="s">
        <v>590</v>
      </c>
      <c r="I88" s="457">
        <f t="shared" si="88"/>
        <v>2093</v>
      </c>
      <c r="J88" s="71"/>
      <c r="K88" s="71">
        <f t="shared" si="89"/>
        <v>74</v>
      </c>
      <c r="L88" s="71"/>
      <c r="M88" s="7">
        <f t="shared" si="52"/>
        <v>0.11221356804646829</v>
      </c>
      <c r="N88" s="71"/>
      <c r="O88" s="10" t="str">
        <f t="shared" si="68"/>
        <v/>
      </c>
      <c r="P88" s="29" t="str">
        <f t="shared" si="53"/>
        <v/>
      </c>
      <c r="Q88" s="71"/>
      <c r="R88" s="10" t="str">
        <f t="shared" si="69"/>
        <v/>
      </c>
      <c r="S88" s="71"/>
      <c r="T88" s="10" t="str">
        <f t="shared" si="70"/>
        <v/>
      </c>
      <c r="U88" s="71"/>
      <c r="V88" s="10" t="str">
        <f t="shared" si="54"/>
        <v/>
      </c>
      <c r="W88" s="10" t="str">
        <f t="shared" si="71"/>
        <v/>
      </c>
      <c r="X88" s="71"/>
      <c r="Y88" s="10" t="str">
        <f t="shared" si="55"/>
        <v/>
      </c>
      <c r="Z88" s="10" t="str">
        <f t="shared" si="72"/>
        <v/>
      </c>
      <c r="AA88" s="71"/>
      <c r="AB88" s="10" t="str">
        <f t="shared" si="56"/>
        <v/>
      </c>
      <c r="AC88" s="10" t="str">
        <f t="shared" si="73"/>
        <v/>
      </c>
      <c r="AD88" s="71"/>
      <c r="AE88" s="10" t="str">
        <f t="shared" si="57"/>
        <v/>
      </c>
      <c r="AF88" s="10" t="str">
        <f t="shared" si="74"/>
        <v/>
      </c>
      <c r="AG88" s="71"/>
      <c r="AH88" s="10" t="str">
        <f t="shared" si="58"/>
        <v/>
      </c>
      <c r="AI88" s="10" t="str">
        <f t="shared" si="75"/>
        <v/>
      </c>
      <c r="AJ88" s="71"/>
      <c r="AK88" s="10" t="str">
        <f t="shared" si="59"/>
        <v/>
      </c>
      <c r="AL88" s="10" t="str">
        <f t="shared" si="76"/>
        <v/>
      </c>
      <c r="AM88" s="71"/>
      <c r="AN88" s="10" t="str">
        <f t="shared" si="60"/>
        <v/>
      </c>
      <c r="AO88" s="10" t="str">
        <f t="shared" si="77"/>
        <v/>
      </c>
      <c r="AP88" s="71"/>
      <c r="AQ88" s="10" t="str">
        <f t="shared" si="61"/>
        <v/>
      </c>
      <c r="AR88" s="10" t="str">
        <f t="shared" si="78"/>
        <v/>
      </c>
      <c r="AS88" s="71"/>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U88" s="71"/>
      <c r="AV88" s="10" t="str">
        <f t="shared" si="62"/>
        <v/>
      </c>
      <c r="AW88" s="10" t="str">
        <f t="shared" si="79"/>
        <v/>
      </c>
      <c r="AX88" s="71"/>
      <c r="AY88" s="7" t="str">
        <f>IF(ISERROR(IF($K88&lt;=$F$15,VLOOKUP($I88,'表4）CO2価格'!$A$7:$E$67,VLOOKUP($F$48,'表4）CO2価格'!$H$10:$I$12,2,0),0)*$F$8/1000,"")),0,IF($K88&lt;=$F$15,VLOOKUP($I88,'表4）CO2価格'!$A$7:$E$67,VLOOKUP($F$48,'表4）CO2価格'!$H$10:$I$12,2,0),0)*$F$8/1000,""))</f>
        <v/>
      </c>
      <c r="AZ88" s="71"/>
      <c r="BA88" s="11" t="str">
        <f t="shared" si="63"/>
        <v/>
      </c>
      <c r="BB88" s="10" t="str">
        <f t="shared" si="80"/>
        <v/>
      </c>
      <c r="BC88" s="71"/>
      <c r="BD88" s="10" t="str">
        <f t="shared" si="64"/>
        <v/>
      </c>
      <c r="BE88" s="10" t="str">
        <f t="shared" si="81"/>
        <v/>
      </c>
      <c r="BF88" s="71"/>
      <c r="BG88" s="11" t="str">
        <f t="shared" si="65"/>
        <v/>
      </c>
      <c r="BH88" s="10" t="str">
        <f t="shared" si="82"/>
        <v/>
      </c>
      <c r="BJ88" s="7" t="str">
        <f t="shared" si="83"/>
        <v/>
      </c>
      <c r="BK88" s="158" t="str">
        <f t="shared" si="84"/>
        <v/>
      </c>
      <c r="BL88" s="158" t="str">
        <f t="shared" si="66"/>
        <v/>
      </c>
      <c r="BM88" s="10"/>
      <c r="BN88" s="10" t="str">
        <f t="shared" si="85"/>
        <v/>
      </c>
      <c r="BO88" s="10" t="str">
        <f t="shared" si="86"/>
        <v/>
      </c>
      <c r="BQ88" s="10" t="str">
        <f t="shared" si="67"/>
        <v/>
      </c>
      <c r="BR88" s="10" t="str">
        <f t="shared" si="87"/>
        <v/>
      </c>
    </row>
    <row r="89" spans="4:70" x14ac:dyDescent="0.15">
      <c r="F89" s="488">
        <f>AO116/$BR$116</f>
        <v>0</v>
      </c>
      <c r="I89" s="38">
        <f t="shared" si="88"/>
        <v>2094</v>
      </c>
      <c r="J89" s="39"/>
      <c r="K89" s="39">
        <f t="shared" si="89"/>
        <v>75</v>
      </c>
      <c r="L89" s="39"/>
      <c r="M89" s="40">
        <f t="shared" si="52"/>
        <v>0.10894521169560026</v>
      </c>
      <c r="N89" s="39"/>
      <c r="O89" s="72" t="str">
        <f t="shared" si="68"/>
        <v/>
      </c>
      <c r="P89" s="41" t="str">
        <f t="shared" si="53"/>
        <v/>
      </c>
      <c r="Q89" s="39"/>
      <c r="R89" s="72" t="str">
        <f t="shared" si="69"/>
        <v/>
      </c>
      <c r="S89" s="39"/>
      <c r="T89" s="72" t="str">
        <f t="shared" si="70"/>
        <v/>
      </c>
      <c r="U89" s="39"/>
      <c r="V89" s="72" t="str">
        <f t="shared" si="54"/>
        <v/>
      </c>
      <c r="W89" s="72" t="str">
        <f t="shared" si="71"/>
        <v/>
      </c>
      <c r="X89" s="39"/>
      <c r="Y89" s="72" t="str">
        <f t="shared" si="55"/>
        <v/>
      </c>
      <c r="Z89" s="72" t="str">
        <f t="shared" si="72"/>
        <v/>
      </c>
      <c r="AA89" s="39"/>
      <c r="AB89" s="72" t="str">
        <f t="shared" si="56"/>
        <v/>
      </c>
      <c r="AC89" s="72" t="str">
        <f t="shared" si="73"/>
        <v/>
      </c>
      <c r="AD89" s="39"/>
      <c r="AE89" s="72" t="str">
        <f t="shared" si="57"/>
        <v/>
      </c>
      <c r="AF89" s="72" t="str">
        <f t="shared" si="74"/>
        <v/>
      </c>
      <c r="AG89" s="39"/>
      <c r="AH89" s="72" t="str">
        <f t="shared" si="58"/>
        <v/>
      </c>
      <c r="AI89" s="72" t="str">
        <f t="shared" si="75"/>
        <v/>
      </c>
      <c r="AJ89" s="39"/>
      <c r="AK89" s="72" t="str">
        <f t="shared" si="59"/>
        <v/>
      </c>
      <c r="AL89" s="72" t="str">
        <f t="shared" si="76"/>
        <v/>
      </c>
      <c r="AM89" s="39"/>
      <c r="AN89" s="72" t="str">
        <f t="shared" si="60"/>
        <v/>
      </c>
      <c r="AO89" s="72" t="str">
        <f t="shared" si="77"/>
        <v/>
      </c>
      <c r="AP89" s="39"/>
      <c r="AQ89" s="72" t="str">
        <f t="shared" si="61"/>
        <v/>
      </c>
      <c r="AR89" s="72" t="str">
        <f t="shared" si="78"/>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62"/>
        <v/>
      </c>
      <c r="AW89" s="72" t="str">
        <f t="shared" si="79"/>
        <v/>
      </c>
      <c r="AX89" s="39"/>
      <c r="AY89" s="40" t="str">
        <f>IF(ISERROR(IF($K89&lt;=$F$15,VLOOKUP($I89,'表4）CO2価格'!$A$7:$E$67,VLOOKUP($F$48,'表4）CO2価格'!$H$10:$I$12,2,0),0)*$F$8/1000,"")),0,IF($K89&lt;=$F$15,VLOOKUP($I89,'表4）CO2価格'!$A$7:$E$67,VLOOKUP($F$48,'表4）CO2価格'!$H$10:$I$12,2,0),0)*$F$8/1000,""))</f>
        <v/>
      </c>
      <c r="AZ89" s="39"/>
      <c r="BA89" s="42" t="str">
        <f t="shared" si="63"/>
        <v/>
      </c>
      <c r="BB89" s="72" t="str">
        <f t="shared" si="80"/>
        <v/>
      </c>
      <c r="BC89" s="39"/>
      <c r="BD89" s="72" t="str">
        <f t="shared" si="64"/>
        <v/>
      </c>
      <c r="BE89" s="72" t="str">
        <f t="shared" si="81"/>
        <v/>
      </c>
      <c r="BF89" s="39"/>
      <c r="BG89" s="42" t="str">
        <f t="shared" si="65"/>
        <v/>
      </c>
      <c r="BH89" s="72" t="str">
        <f t="shared" si="82"/>
        <v/>
      </c>
      <c r="BI89" s="39"/>
      <c r="BJ89" s="40" t="str">
        <f t="shared" si="83"/>
        <v/>
      </c>
      <c r="BK89" s="157" t="str">
        <f t="shared" si="84"/>
        <v/>
      </c>
      <c r="BL89" s="157" t="str">
        <f t="shared" si="66"/>
        <v/>
      </c>
      <c r="BM89" s="72"/>
      <c r="BN89" s="72" t="str">
        <f t="shared" si="85"/>
        <v/>
      </c>
      <c r="BO89" s="72" t="str">
        <f t="shared" si="86"/>
        <v/>
      </c>
      <c r="BP89" s="39"/>
      <c r="BQ89" s="72" t="str">
        <f t="shared" si="67"/>
        <v/>
      </c>
      <c r="BR89" s="72" t="str">
        <f t="shared" si="87"/>
        <v/>
      </c>
    </row>
    <row r="90" spans="4:70" x14ac:dyDescent="0.15">
      <c r="E90" s="84" t="s">
        <v>142</v>
      </c>
      <c r="F90" s="488">
        <f>AR116/$BR$116</f>
        <v>1.6514459665144605</v>
      </c>
      <c r="G90" s="84" t="s">
        <v>590</v>
      </c>
      <c r="I90" s="457">
        <f t="shared" si="88"/>
        <v>2095</v>
      </c>
      <c r="J90" s="71"/>
      <c r="K90" s="71">
        <f t="shared" si="89"/>
        <v>76</v>
      </c>
      <c r="L90" s="71"/>
      <c r="M90" s="7">
        <f t="shared" si="52"/>
        <v>0.10577205018990318</v>
      </c>
      <c r="N90" s="71"/>
      <c r="O90" s="10" t="str">
        <f t="shared" si="68"/>
        <v/>
      </c>
      <c r="P90" s="29" t="str">
        <f t="shared" si="53"/>
        <v/>
      </c>
      <c r="Q90" s="71"/>
      <c r="R90" s="10" t="str">
        <f t="shared" si="69"/>
        <v/>
      </c>
      <c r="S90" s="71"/>
      <c r="T90" s="10" t="str">
        <f t="shared" si="70"/>
        <v/>
      </c>
      <c r="U90" s="71"/>
      <c r="V90" s="10" t="str">
        <f t="shared" si="54"/>
        <v/>
      </c>
      <c r="W90" s="10" t="str">
        <f t="shared" si="71"/>
        <v/>
      </c>
      <c r="X90" s="71"/>
      <c r="Y90" s="10" t="str">
        <f t="shared" si="55"/>
        <v/>
      </c>
      <c r="Z90" s="10" t="str">
        <f t="shared" si="72"/>
        <v/>
      </c>
      <c r="AA90" s="71"/>
      <c r="AB90" s="10" t="str">
        <f t="shared" si="56"/>
        <v/>
      </c>
      <c r="AC90" s="10" t="str">
        <f t="shared" si="73"/>
        <v/>
      </c>
      <c r="AD90" s="71"/>
      <c r="AE90" s="10" t="str">
        <f t="shared" si="57"/>
        <v/>
      </c>
      <c r="AF90" s="10" t="str">
        <f t="shared" si="74"/>
        <v/>
      </c>
      <c r="AG90" s="71"/>
      <c r="AH90" s="10" t="str">
        <f t="shared" si="58"/>
        <v/>
      </c>
      <c r="AI90" s="10" t="str">
        <f t="shared" si="75"/>
        <v/>
      </c>
      <c r="AJ90" s="71"/>
      <c r="AK90" s="10" t="str">
        <f t="shared" si="59"/>
        <v/>
      </c>
      <c r="AL90" s="10" t="str">
        <f t="shared" si="76"/>
        <v/>
      </c>
      <c r="AM90" s="71"/>
      <c r="AN90" s="10" t="str">
        <f t="shared" si="60"/>
        <v/>
      </c>
      <c r="AO90" s="10" t="str">
        <f t="shared" si="77"/>
        <v/>
      </c>
      <c r="AP90" s="71"/>
      <c r="AQ90" s="10" t="str">
        <f t="shared" si="61"/>
        <v/>
      </c>
      <c r="AR90" s="10" t="str">
        <f t="shared" si="78"/>
        <v/>
      </c>
      <c r="AS90" s="71"/>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U90" s="71"/>
      <c r="AV90" s="10" t="str">
        <f t="shared" si="62"/>
        <v/>
      </c>
      <c r="AW90" s="10" t="str">
        <f t="shared" si="79"/>
        <v/>
      </c>
      <c r="AX90" s="71"/>
      <c r="AY90" s="7" t="str">
        <f>IF(ISERROR(IF($K90&lt;=$F$15,VLOOKUP($I90,'表4）CO2価格'!$A$7:$E$67,VLOOKUP($F$48,'表4）CO2価格'!$H$10:$I$12,2,0),0)*$F$8/1000,"")),0,IF($K90&lt;=$F$15,VLOOKUP($I90,'表4）CO2価格'!$A$7:$E$67,VLOOKUP($F$48,'表4）CO2価格'!$H$10:$I$12,2,0),0)*$F$8/1000,""))</f>
        <v/>
      </c>
      <c r="AZ90" s="71"/>
      <c r="BA90" s="11" t="str">
        <f t="shared" si="63"/>
        <v/>
      </c>
      <c r="BB90" s="10" t="str">
        <f t="shared" si="80"/>
        <v/>
      </c>
      <c r="BC90" s="71"/>
      <c r="BD90" s="10" t="str">
        <f t="shared" si="64"/>
        <v/>
      </c>
      <c r="BE90" s="10" t="str">
        <f t="shared" si="81"/>
        <v/>
      </c>
      <c r="BF90" s="71"/>
      <c r="BG90" s="11" t="str">
        <f t="shared" si="65"/>
        <v/>
      </c>
      <c r="BH90" s="10" t="str">
        <f t="shared" si="82"/>
        <v/>
      </c>
      <c r="BJ90" s="7" t="str">
        <f t="shared" si="83"/>
        <v/>
      </c>
      <c r="BK90" s="158" t="str">
        <f t="shared" si="84"/>
        <v/>
      </c>
      <c r="BL90" s="158" t="str">
        <f t="shared" si="66"/>
        <v/>
      </c>
      <c r="BM90" s="10"/>
      <c r="BN90" s="10" t="str">
        <f t="shared" si="85"/>
        <v/>
      </c>
      <c r="BO90" s="10" t="str">
        <f t="shared" si="86"/>
        <v/>
      </c>
      <c r="BQ90" s="10" t="str">
        <f t="shared" si="67"/>
        <v/>
      </c>
      <c r="BR90" s="10" t="str">
        <f t="shared" si="87"/>
        <v/>
      </c>
    </row>
    <row r="91" spans="4:70" x14ac:dyDescent="0.15">
      <c r="F91" s="487"/>
      <c r="I91" s="38">
        <f t="shared" si="88"/>
        <v>2096</v>
      </c>
      <c r="J91" s="39"/>
      <c r="K91" s="39">
        <f t="shared" si="89"/>
        <v>77</v>
      </c>
      <c r="L91" s="39"/>
      <c r="M91" s="40">
        <f t="shared" si="52"/>
        <v>0.10269131086398368</v>
      </c>
      <c r="N91" s="39"/>
      <c r="O91" s="72" t="str">
        <f t="shared" si="68"/>
        <v/>
      </c>
      <c r="P91" s="41" t="str">
        <f t="shared" si="53"/>
        <v/>
      </c>
      <c r="Q91" s="39"/>
      <c r="R91" s="72" t="str">
        <f t="shared" si="69"/>
        <v/>
      </c>
      <c r="S91" s="39"/>
      <c r="T91" s="72" t="str">
        <f t="shared" si="70"/>
        <v/>
      </c>
      <c r="U91" s="39"/>
      <c r="V91" s="72" t="str">
        <f t="shared" si="54"/>
        <v/>
      </c>
      <c r="W91" s="72" t="str">
        <f t="shared" si="71"/>
        <v/>
      </c>
      <c r="X91" s="39"/>
      <c r="Y91" s="72" t="str">
        <f t="shared" si="55"/>
        <v/>
      </c>
      <c r="Z91" s="72" t="str">
        <f t="shared" si="72"/>
        <v/>
      </c>
      <c r="AA91" s="39"/>
      <c r="AB91" s="72" t="str">
        <f t="shared" si="56"/>
        <v/>
      </c>
      <c r="AC91" s="72" t="str">
        <f t="shared" si="73"/>
        <v/>
      </c>
      <c r="AD91" s="39"/>
      <c r="AE91" s="72" t="str">
        <f t="shared" si="57"/>
        <v/>
      </c>
      <c r="AF91" s="72" t="str">
        <f t="shared" si="74"/>
        <v/>
      </c>
      <c r="AG91" s="39"/>
      <c r="AH91" s="72" t="str">
        <f t="shared" si="58"/>
        <v/>
      </c>
      <c r="AI91" s="72" t="str">
        <f t="shared" si="75"/>
        <v/>
      </c>
      <c r="AJ91" s="39"/>
      <c r="AK91" s="72" t="str">
        <f t="shared" si="59"/>
        <v/>
      </c>
      <c r="AL91" s="72" t="str">
        <f t="shared" si="76"/>
        <v/>
      </c>
      <c r="AM91" s="39"/>
      <c r="AN91" s="72" t="str">
        <f t="shared" si="60"/>
        <v/>
      </c>
      <c r="AO91" s="72" t="str">
        <f t="shared" si="77"/>
        <v/>
      </c>
      <c r="AP91" s="39"/>
      <c r="AQ91" s="72" t="str">
        <f t="shared" si="61"/>
        <v/>
      </c>
      <c r="AR91" s="72" t="str">
        <f t="shared" si="78"/>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62"/>
        <v/>
      </c>
      <c r="AW91" s="72" t="str">
        <f t="shared" si="79"/>
        <v/>
      </c>
      <c r="AX91" s="39"/>
      <c r="AY91" s="40" t="str">
        <f>IF(ISERROR(IF($K91&lt;=$F$15,VLOOKUP($I91,'表4）CO2価格'!$A$7:$E$67,VLOOKUP($F$48,'表4）CO2価格'!$H$10:$I$12,2,0),0)*$F$8/1000,"")),0,IF($K91&lt;=$F$15,VLOOKUP($I91,'表4）CO2価格'!$A$7:$E$67,VLOOKUP($F$48,'表4）CO2価格'!$H$10:$I$12,2,0),0)*$F$8/1000,""))</f>
        <v/>
      </c>
      <c r="AZ91" s="39"/>
      <c r="BA91" s="42" t="str">
        <f t="shared" si="63"/>
        <v/>
      </c>
      <c r="BB91" s="72" t="str">
        <f t="shared" si="80"/>
        <v/>
      </c>
      <c r="BC91" s="39"/>
      <c r="BD91" s="72" t="str">
        <f t="shared" si="64"/>
        <v/>
      </c>
      <c r="BE91" s="72" t="str">
        <f t="shared" si="81"/>
        <v/>
      </c>
      <c r="BF91" s="39"/>
      <c r="BG91" s="42" t="str">
        <f t="shared" si="65"/>
        <v/>
      </c>
      <c r="BH91" s="72" t="str">
        <f t="shared" si="82"/>
        <v/>
      </c>
      <c r="BI91" s="39"/>
      <c r="BJ91" s="40" t="str">
        <f t="shared" si="83"/>
        <v/>
      </c>
      <c r="BK91" s="157" t="str">
        <f t="shared" si="84"/>
        <v/>
      </c>
      <c r="BL91" s="157" t="str">
        <f t="shared" si="66"/>
        <v/>
      </c>
      <c r="BM91" s="72"/>
      <c r="BN91" s="72" t="str">
        <f t="shared" si="85"/>
        <v/>
      </c>
      <c r="BO91" s="72" t="str">
        <f t="shared" si="86"/>
        <v/>
      </c>
      <c r="BP91" s="39"/>
      <c r="BQ91" s="72" t="str">
        <f t="shared" si="67"/>
        <v/>
      </c>
      <c r="BR91" s="72" t="str">
        <f t="shared" si="87"/>
        <v/>
      </c>
    </row>
    <row r="92" spans="4:70" ht="15" x14ac:dyDescent="0.15">
      <c r="D92" s="103" t="s">
        <v>595</v>
      </c>
      <c r="F92" s="484">
        <f>SUBTOTAL(9,F96:F97)</f>
        <v>0</v>
      </c>
      <c r="I92" s="457">
        <f t="shared" si="88"/>
        <v>2097</v>
      </c>
      <c r="J92" s="71"/>
      <c r="K92" s="71">
        <f t="shared" si="89"/>
        <v>78</v>
      </c>
      <c r="L92" s="71"/>
      <c r="M92" s="7">
        <f t="shared" si="52"/>
        <v>9.9700301809692873E-2</v>
      </c>
      <c r="N92" s="71"/>
      <c r="O92" s="10" t="str">
        <f t="shared" si="68"/>
        <v/>
      </c>
      <c r="P92" s="29" t="str">
        <f t="shared" si="53"/>
        <v/>
      </c>
      <c r="Q92" s="71"/>
      <c r="R92" s="10" t="str">
        <f t="shared" si="69"/>
        <v/>
      </c>
      <c r="S92" s="71"/>
      <c r="T92" s="10" t="str">
        <f t="shared" si="70"/>
        <v/>
      </c>
      <c r="U92" s="71"/>
      <c r="V92" s="10" t="str">
        <f t="shared" si="54"/>
        <v/>
      </c>
      <c r="W92" s="10" t="str">
        <f t="shared" si="71"/>
        <v/>
      </c>
      <c r="X92" s="71"/>
      <c r="Y92" s="10" t="str">
        <f t="shared" si="55"/>
        <v/>
      </c>
      <c r="Z92" s="10" t="str">
        <f t="shared" si="72"/>
        <v/>
      </c>
      <c r="AA92" s="71"/>
      <c r="AB92" s="10" t="str">
        <f t="shared" si="56"/>
        <v/>
      </c>
      <c r="AC92" s="10" t="str">
        <f t="shared" si="73"/>
        <v/>
      </c>
      <c r="AD92" s="71"/>
      <c r="AE92" s="10" t="str">
        <f t="shared" si="57"/>
        <v/>
      </c>
      <c r="AF92" s="10" t="str">
        <f t="shared" si="74"/>
        <v/>
      </c>
      <c r="AG92" s="71"/>
      <c r="AH92" s="10" t="str">
        <f t="shared" si="58"/>
        <v/>
      </c>
      <c r="AI92" s="10" t="str">
        <f t="shared" si="75"/>
        <v/>
      </c>
      <c r="AJ92" s="71"/>
      <c r="AK92" s="10" t="str">
        <f t="shared" si="59"/>
        <v/>
      </c>
      <c r="AL92" s="10" t="str">
        <f t="shared" si="76"/>
        <v/>
      </c>
      <c r="AM92" s="71"/>
      <c r="AN92" s="10" t="str">
        <f t="shared" si="60"/>
        <v/>
      </c>
      <c r="AO92" s="10" t="str">
        <f t="shared" si="77"/>
        <v/>
      </c>
      <c r="AP92" s="71"/>
      <c r="AQ92" s="10" t="str">
        <f t="shared" si="61"/>
        <v/>
      </c>
      <c r="AR92" s="10" t="str">
        <f t="shared" si="78"/>
        <v/>
      </c>
      <c r="AS92" s="71"/>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U92" s="71"/>
      <c r="AV92" s="10" t="str">
        <f t="shared" si="62"/>
        <v/>
      </c>
      <c r="AW92" s="10" t="str">
        <f t="shared" si="79"/>
        <v/>
      </c>
      <c r="AX92" s="71"/>
      <c r="AY92" s="7" t="str">
        <f>IF(ISERROR(IF($K92&lt;=$F$15,VLOOKUP($I92,'表4）CO2価格'!$A$7:$E$67,VLOOKUP($F$48,'表4）CO2価格'!$H$10:$I$12,2,0),0)*$F$8/1000,"")),0,IF($K92&lt;=$F$15,VLOOKUP($I92,'表4）CO2価格'!$A$7:$E$67,VLOOKUP($F$48,'表4）CO2価格'!$H$10:$I$12,2,0),0)*$F$8/1000,""))</f>
        <v/>
      </c>
      <c r="AZ92" s="71"/>
      <c r="BA92" s="11" t="str">
        <f t="shared" si="63"/>
        <v/>
      </c>
      <c r="BB92" s="10" t="str">
        <f t="shared" si="80"/>
        <v/>
      </c>
      <c r="BC92" s="71"/>
      <c r="BD92" s="10" t="str">
        <f t="shared" si="64"/>
        <v/>
      </c>
      <c r="BE92" s="10" t="str">
        <f t="shared" si="81"/>
        <v/>
      </c>
      <c r="BF92" s="71"/>
      <c r="BG92" s="11" t="str">
        <f t="shared" si="65"/>
        <v/>
      </c>
      <c r="BH92" s="10" t="str">
        <f t="shared" si="82"/>
        <v/>
      </c>
      <c r="BJ92" s="7" t="str">
        <f t="shared" si="83"/>
        <v/>
      </c>
      <c r="BK92" s="158" t="str">
        <f t="shared" si="84"/>
        <v/>
      </c>
      <c r="BL92" s="158" t="str">
        <f t="shared" si="66"/>
        <v/>
      </c>
      <c r="BM92" s="10"/>
      <c r="BN92" s="10" t="str">
        <f t="shared" si="85"/>
        <v/>
      </c>
      <c r="BO92" s="10" t="str">
        <f t="shared" si="86"/>
        <v/>
      </c>
      <c r="BQ92" s="10" t="str">
        <f t="shared" si="67"/>
        <v/>
      </c>
      <c r="BR92" s="10" t="str">
        <f t="shared" si="87"/>
        <v/>
      </c>
    </row>
    <row r="93" spans="4:70" ht="15" x14ac:dyDescent="0.15">
      <c r="D93" s="103"/>
      <c r="F93" s="487"/>
      <c r="I93" s="38">
        <f t="shared" si="88"/>
        <v>2098</v>
      </c>
      <c r="J93" s="39"/>
      <c r="K93" s="39">
        <f t="shared" si="89"/>
        <v>79</v>
      </c>
      <c r="L93" s="39"/>
      <c r="M93" s="40">
        <f t="shared" si="52"/>
        <v>9.679640952397367E-2</v>
      </c>
      <c r="N93" s="39"/>
      <c r="O93" s="72" t="str">
        <f t="shared" si="68"/>
        <v/>
      </c>
      <c r="P93" s="41" t="str">
        <f t="shared" si="53"/>
        <v/>
      </c>
      <c r="Q93" s="39"/>
      <c r="R93" s="72" t="str">
        <f t="shared" si="69"/>
        <v/>
      </c>
      <c r="S93" s="39"/>
      <c r="T93" s="72" t="str">
        <f t="shared" si="70"/>
        <v/>
      </c>
      <c r="U93" s="39"/>
      <c r="V93" s="72" t="str">
        <f t="shared" si="54"/>
        <v/>
      </c>
      <c r="W93" s="72" t="str">
        <f t="shared" si="71"/>
        <v/>
      </c>
      <c r="X93" s="39"/>
      <c r="Y93" s="72" t="str">
        <f t="shared" si="55"/>
        <v/>
      </c>
      <c r="Z93" s="72" t="str">
        <f t="shared" si="72"/>
        <v/>
      </c>
      <c r="AA93" s="39"/>
      <c r="AB93" s="72" t="str">
        <f t="shared" si="56"/>
        <v/>
      </c>
      <c r="AC93" s="72" t="str">
        <f t="shared" si="73"/>
        <v/>
      </c>
      <c r="AD93" s="39"/>
      <c r="AE93" s="72" t="str">
        <f t="shared" si="57"/>
        <v/>
      </c>
      <c r="AF93" s="72" t="str">
        <f t="shared" si="74"/>
        <v/>
      </c>
      <c r="AG93" s="39"/>
      <c r="AH93" s="72" t="str">
        <f t="shared" si="58"/>
        <v/>
      </c>
      <c r="AI93" s="72" t="str">
        <f t="shared" si="75"/>
        <v/>
      </c>
      <c r="AJ93" s="39"/>
      <c r="AK93" s="72" t="str">
        <f t="shared" si="59"/>
        <v/>
      </c>
      <c r="AL93" s="72" t="str">
        <f t="shared" si="76"/>
        <v/>
      </c>
      <c r="AM93" s="39"/>
      <c r="AN93" s="72" t="str">
        <f t="shared" si="60"/>
        <v/>
      </c>
      <c r="AO93" s="72" t="str">
        <f t="shared" si="77"/>
        <v/>
      </c>
      <c r="AP93" s="39"/>
      <c r="AQ93" s="72" t="str">
        <f t="shared" si="61"/>
        <v/>
      </c>
      <c r="AR93" s="72" t="str">
        <f t="shared" si="78"/>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62"/>
        <v/>
      </c>
      <c r="AW93" s="72" t="str">
        <f t="shared" si="79"/>
        <v/>
      </c>
      <c r="AX93" s="39"/>
      <c r="AY93" s="40" t="str">
        <f>IF(ISERROR(IF($K93&lt;=$F$15,VLOOKUP($I93,'表4）CO2価格'!$A$7:$E$67,VLOOKUP($F$48,'表4）CO2価格'!$H$10:$I$12,2,0),0)*$F$8/1000,"")),0,IF($K93&lt;=$F$15,VLOOKUP($I93,'表4）CO2価格'!$A$7:$E$67,VLOOKUP($F$48,'表4）CO2価格'!$H$10:$I$12,2,0),0)*$F$8/1000,""))</f>
        <v/>
      </c>
      <c r="AZ93" s="39"/>
      <c r="BA93" s="42" t="str">
        <f t="shared" si="63"/>
        <v/>
      </c>
      <c r="BB93" s="72" t="str">
        <f t="shared" si="80"/>
        <v/>
      </c>
      <c r="BC93" s="39"/>
      <c r="BD93" s="72" t="str">
        <f t="shared" si="64"/>
        <v/>
      </c>
      <c r="BE93" s="72" t="str">
        <f t="shared" si="81"/>
        <v/>
      </c>
      <c r="BF93" s="39"/>
      <c r="BG93" s="42" t="str">
        <f t="shared" si="65"/>
        <v/>
      </c>
      <c r="BH93" s="72" t="str">
        <f t="shared" si="82"/>
        <v/>
      </c>
      <c r="BI93" s="39"/>
      <c r="BJ93" s="40" t="str">
        <f t="shared" si="83"/>
        <v/>
      </c>
      <c r="BK93" s="157" t="str">
        <f t="shared" si="84"/>
        <v/>
      </c>
      <c r="BL93" s="157" t="str">
        <f t="shared" si="66"/>
        <v/>
      </c>
      <c r="BM93" s="72"/>
      <c r="BN93" s="72" t="str">
        <f t="shared" si="85"/>
        <v/>
      </c>
      <c r="BO93" s="72" t="str">
        <f t="shared" si="86"/>
        <v/>
      </c>
      <c r="BP93" s="39"/>
      <c r="BQ93" s="72" t="str">
        <f t="shared" si="67"/>
        <v/>
      </c>
      <c r="BR93" s="72" t="str">
        <f t="shared" si="87"/>
        <v/>
      </c>
    </row>
    <row r="94" spans="4:70" x14ac:dyDescent="0.15">
      <c r="D94" s="100" t="s">
        <v>596</v>
      </c>
      <c r="E94" s="100"/>
      <c r="F94" s="486"/>
      <c r="G94" s="100"/>
      <c r="I94" s="457">
        <f t="shared" si="88"/>
        <v>2099</v>
      </c>
      <c r="J94" s="71"/>
      <c r="K94" s="71">
        <f t="shared" si="89"/>
        <v>80</v>
      </c>
      <c r="L94" s="71"/>
      <c r="M94" s="7">
        <f t="shared" si="52"/>
        <v>9.3977096625217166E-2</v>
      </c>
      <c r="N94" s="71"/>
      <c r="O94" s="10" t="str">
        <f t="shared" si="68"/>
        <v/>
      </c>
      <c r="P94" s="29" t="str">
        <f t="shared" si="53"/>
        <v/>
      </c>
      <c r="Q94" s="71"/>
      <c r="R94" s="10" t="str">
        <f t="shared" si="69"/>
        <v/>
      </c>
      <c r="S94" s="71"/>
      <c r="T94" s="10" t="str">
        <f t="shared" si="70"/>
        <v/>
      </c>
      <c r="U94" s="71"/>
      <c r="V94" s="10" t="str">
        <f t="shared" si="54"/>
        <v/>
      </c>
      <c r="W94" s="10" t="str">
        <f t="shared" si="71"/>
        <v/>
      </c>
      <c r="X94" s="71"/>
      <c r="Y94" s="10" t="str">
        <f t="shared" si="55"/>
        <v/>
      </c>
      <c r="Z94" s="10" t="str">
        <f t="shared" si="72"/>
        <v/>
      </c>
      <c r="AA94" s="71"/>
      <c r="AB94" s="10" t="str">
        <f t="shared" si="56"/>
        <v/>
      </c>
      <c r="AC94" s="10" t="str">
        <f t="shared" si="73"/>
        <v/>
      </c>
      <c r="AD94" s="71"/>
      <c r="AE94" s="10" t="str">
        <f t="shared" si="57"/>
        <v/>
      </c>
      <c r="AF94" s="10" t="str">
        <f t="shared" si="74"/>
        <v/>
      </c>
      <c r="AG94" s="71"/>
      <c r="AH94" s="10" t="str">
        <f t="shared" si="58"/>
        <v/>
      </c>
      <c r="AI94" s="10" t="str">
        <f t="shared" si="75"/>
        <v/>
      </c>
      <c r="AJ94" s="71"/>
      <c r="AK94" s="10" t="str">
        <f t="shared" si="59"/>
        <v/>
      </c>
      <c r="AL94" s="10" t="str">
        <f t="shared" si="76"/>
        <v/>
      </c>
      <c r="AM94" s="71"/>
      <c r="AN94" s="10" t="str">
        <f t="shared" si="60"/>
        <v/>
      </c>
      <c r="AO94" s="10" t="str">
        <f t="shared" si="77"/>
        <v/>
      </c>
      <c r="AP94" s="71"/>
      <c r="AQ94" s="10" t="str">
        <f t="shared" si="61"/>
        <v/>
      </c>
      <c r="AR94" s="10" t="str">
        <f t="shared" si="78"/>
        <v/>
      </c>
      <c r="AS94" s="71"/>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U94" s="71"/>
      <c r="AV94" s="10" t="str">
        <f t="shared" si="62"/>
        <v/>
      </c>
      <c r="AW94" s="10" t="str">
        <f t="shared" si="79"/>
        <v/>
      </c>
      <c r="AX94" s="71"/>
      <c r="AY94" s="7" t="str">
        <f>IF(ISERROR(IF($K94&lt;=$F$15,VLOOKUP($I94,'表4）CO2価格'!$A$7:$E$67,VLOOKUP($F$48,'表4）CO2価格'!$H$10:$I$12,2,0),0)*$F$8/1000,"")),0,IF($K94&lt;=$F$15,VLOOKUP($I94,'表4）CO2価格'!$A$7:$E$67,VLOOKUP($F$48,'表4）CO2価格'!$H$10:$I$12,2,0),0)*$F$8/1000,""))</f>
        <v/>
      </c>
      <c r="AZ94" s="71"/>
      <c r="BA94" s="11" t="str">
        <f t="shared" si="63"/>
        <v/>
      </c>
      <c r="BB94" s="10" t="str">
        <f t="shared" si="80"/>
        <v/>
      </c>
      <c r="BC94" s="71"/>
      <c r="BD94" s="10" t="str">
        <f t="shared" si="64"/>
        <v/>
      </c>
      <c r="BE94" s="10" t="str">
        <f t="shared" si="81"/>
        <v/>
      </c>
      <c r="BF94" s="71"/>
      <c r="BG94" s="11" t="str">
        <f t="shared" si="65"/>
        <v/>
      </c>
      <c r="BH94" s="10" t="str">
        <f t="shared" si="82"/>
        <v/>
      </c>
      <c r="BJ94" s="7" t="str">
        <f t="shared" si="83"/>
        <v/>
      </c>
      <c r="BK94" s="158" t="str">
        <f t="shared" si="84"/>
        <v/>
      </c>
      <c r="BL94" s="158" t="str">
        <f t="shared" si="66"/>
        <v/>
      </c>
      <c r="BM94" s="10"/>
      <c r="BN94" s="10" t="str">
        <f t="shared" si="85"/>
        <v/>
      </c>
      <c r="BO94" s="10" t="str">
        <f t="shared" si="86"/>
        <v/>
      </c>
      <c r="BQ94" s="10" t="str">
        <f t="shared" si="67"/>
        <v/>
      </c>
      <c r="BR94" s="10" t="str">
        <f t="shared" si="87"/>
        <v/>
      </c>
    </row>
    <row r="95" spans="4:70" ht="15" x14ac:dyDescent="0.15">
      <c r="D95" s="103"/>
      <c r="F95" s="487"/>
      <c r="I95" s="38">
        <f t="shared" si="88"/>
        <v>2100</v>
      </c>
      <c r="J95" s="39"/>
      <c r="K95" s="39">
        <f t="shared" si="89"/>
        <v>81</v>
      </c>
      <c r="L95" s="39"/>
      <c r="M95" s="40">
        <f t="shared" si="52"/>
        <v>9.1239899636133173E-2</v>
      </c>
      <c r="N95" s="39"/>
      <c r="O95" s="72" t="str">
        <f t="shared" si="68"/>
        <v/>
      </c>
      <c r="P95" s="41" t="str">
        <f t="shared" si="53"/>
        <v/>
      </c>
      <c r="Q95" s="39"/>
      <c r="R95" s="72" t="str">
        <f t="shared" si="69"/>
        <v/>
      </c>
      <c r="S95" s="39"/>
      <c r="T95" s="72" t="str">
        <f t="shared" si="70"/>
        <v/>
      </c>
      <c r="U95" s="39"/>
      <c r="V95" s="72" t="str">
        <f t="shared" si="54"/>
        <v/>
      </c>
      <c r="W95" s="72" t="str">
        <f t="shared" si="71"/>
        <v/>
      </c>
      <c r="X95" s="39"/>
      <c r="Y95" s="72" t="str">
        <f t="shared" si="55"/>
        <v/>
      </c>
      <c r="Z95" s="72" t="str">
        <f t="shared" si="72"/>
        <v/>
      </c>
      <c r="AA95" s="39"/>
      <c r="AB95" s="72" t="str">
        <f t="shared" si="56"/>
        <v/>
      </c>
      <c r="AC95" s="72" t="str">
        <f t="shared" si="73"/>
        <v/>
      </c>
      <c r="AD95" s="39"/>
      <c r="AE95" s="72" t="str">
        <f t="shared" si="57"/>
        <v/>
      </c>
      <c r="AF95" s="72" t="str">
        <f t="shared" si="74"/>
        <v/>
      </c>
      <c r="AG95" s="39"/>
      <c r="AH95" s="72" t="str">
        <f t="shared" si="58"/>
        <v/>
      </c>
      <c r="AI95" s="72" t="str">
        <f t="shared" si="75"/>
        <v/>
      </c>
      <c r="AJ95" s="39"/>
      <c r="AK95" s="72" t="str">
        <f t="shared" si="59"/>
        <v/>
      </c>
      <c r="AL95" s="72" t="str">
        <f t="shared" si="76"/>
        <v/>
      </c>
      <c r="AM95" s="39"/>
      <c r="AN95" s="72" t="str">
        <f t="shared" si="60"/>
        <v/>
      </c>
      <c r="AO95" s="72" t="str">
        <f t="shared" si="77"/>
        <v/>
      </c>
      <c r="AP95" s="39"/>
      <c r="AQ95" s="72" t="str">
        <f t="shared" si="61"/>
        <v/>
      </c>
      <c r="AR95" s="72" t="str">
        <f t="shared" si="78"/>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62"/>
        <v/>
      </c>
      <c r="AW95" s="72" t="str">
        <f t="shared" si="79"/>
        <v/>
      </c>
      <c r="AX95" s="39"/>
      <c r="AY95" s="40" t="str">
        <f>IF(ISERROR(IF($K95&lt;=$F$15,VLOOKUP($I95,'表4）CO2価格'!$A$7:$E$67,VLOOKUP($F$48,'表4）CO2価格'!$H$10:$I$12,2,0),0)*$F$8/1000,"")),0,IF($K95&lt;=$F$15,VLOOKUP($I95,'表4）CO2価格'!$A$7:$E$67,VLOOKUP($F$48,'表4）CO2価格'!$H$10:$I$12,2,0),0)*$F$8/1000,""))</f>
        <v/>
      </c>
      <c r="AZ95" s="39"/>
      <c r="BA95" s="42" t="str">
        <f t="shared" si="63"/>
        <v/>
      </c>
      <c r="BB95" s="72" t="str">
        <f t="shared" si="80"/>
        <v/>
      </c>
      <c r="BC95" s="39"/>
      <c r="BD95" s="72" t="str">
        <f t="shared" si="64"/>
        <v/>
      </c>
      <c r="BE95" s="72" t="str">
        <f t="shared" si="81"/>
        <v/>
      </c>
      <c r="BF95" s="39"/>
      <c r="BG95" s="42" t="str">
        <f t="shared" si="65"/>
        <v/>
      </c>
      <c r="BH95" s="72" t="str">
        <f t="shared" si="82"/>
        <v/>
      </c>
      <c r="BI95" s="39"/>
      <c r="BJ95" s="40" t="str">
        <f t="shared" si="83"/>
        <v/>
      </c>
      <c r="BK95" s="157" t="str">
        <f t="shared" si="84"/>
        <v/>
      </c>
      <c r="BL95" s="157" t="str">
        <f t="shared" si="66"/>
        <v/>
      </c>
      <c r="BM95" s="72"/>
      <c r="BN95" s="72" t="str">
        <f t="shared" si="85"/>
        <v/>
      </c>
      <c r="BO95" s="72" t="str">
        <f t="shared" si="86"/>
        <v/>
      </c>
      <c r="BP95" s="39"/>
      <c r="BQ95" s="72" t="str">
        <f t="shared" si="67"/>
        <v/>
      </c>
      <c r="BR95" s="72" t="str">
        <f t="shared" si="87"/>
        <v/>
      </c>
    </row>
    <row r="96" spans="4:70" ht="15" x14ac:dyDescent="0.15">
      <c r="D96" s="103"/>
      <c r="E96" s="84" t="s">
        <v>597</v>
      </c>
      <c r="F96" s="488">
        <f>IF(F3&lt;&gt;"原子力",AW116/$BR$116,0)</f>
        <v>0</v>
      </c>
      <c r="G96" s="84" t="s">
        <v>590</v>
      </c>
      <c r="I96" s="457">
        <f t="shared" si="88"/>
        <v>2101</v>
      </c>
      <c r="J96" s="71"/>
      <c r="K96" s="71">
        <f t="shared" si="89"/>
        <v>82</v>
      </c>
      <c r="L96" s="71"/>
      <c r="M96" s="7">
        <f t="shared" si="52"/>
        <v>8.8582426831197242E-2</v>
      </c>
      <c r="N96" s="71"/>
      <c r="O96" s="10" t="str">
        <f t="shared" si="68"/>
        <v/>
      </c>
      <c r="P96" s="29" t="str">
        <f t="shared" si="53"/>
        <v/>
      </c>
      <c r="Q96" s="71"/>
      <c r="R96" s="10" t="str">
        <f t="shared" si="69"/>
        <v/>
      </c>
      <c r="S96" s="71"/>
      <c r="T96" s="10" t="str">
        <f t="shared" si="70"/>
        <v/>
      </c>
      <c r="U96" s="71"/>
      <c r="V96" s="10" t="str">
        <f t="shared" si="54"/>
        <v/>
      </c>
      <c r="W96" s="10" t="str">
        <f t="shared" si="71"/>
        <v/>
      </c>
      <c r="X96" s="71"/>
      <c r="Y96" s="10" t="str">
        <f t="shared" si="55"/>
        <v/>
      </c>
      <c r="Z96" s="10" t="str">
        <f t="shared" si="72"/>
        <v/>
      </c>
      <c r="AA96" s="71"/>
      <c r="AB96" s="10" t="str">
        <f t="shared" si="56"/>
        <v/>
      </c>
      <c r="AC96" s="10" t="str">
        <f t="shared" si="73"/>
        <v/>
      </c>
      <c r="AD96" s="71"/>
      <c r="AE96" s="10" t="str">
        <f t="shared" si="57"/>
        <v/>
      </c>
      <c r="AF96" s="10" t="str">
        <f t="shared" si="74"/>
        <v/>
      </c>
      <c r="AG96" s="71"/>
      <c r="AH96" s="10" t="str">
        <f t="shared" si="58"/>
        <v/>
      </c>
      <c r="AI96" s="10" t="str">
        <f t="shared" si="75"/>
        <v/>
      </c>
      <c r="AJ96" s="71"/>
      <c r="AK96" s="10" t="str">
        <f t="shared" si="59"/>
        <v/>
      </c>
      <c r="AL96" s="10" t="str">
        <f t="shared" si="76"/>
        <v/>
      </c>
      <c r="AM96" s="71"/>
      <c r="AN96" s="10" t="str">
        <f t="shared" si="60"/>
        <v/>
      </c>
      <c r="AO96" s="10" t="str">
        <f t="shared" si="77"/>
        <v/>
      </c>
      <c r="AP96" s="71"/>
      <c r="AQ96" s="10" t="str">
        <f t="shared" si="61"/>
        <v/>
      </c>
      <c r="AR96" s="10" t="str">
        <f t="shared" si="78"/>
        <v/>
      </c>
      <c r="AS96" s="71"/>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U96" s="71"/>
      <c r="AV96" s="10" t="str">
        <f t="shared" si="62"/>
        <v/>
      </c>
      <c r="AW96" s="10" t="str">
        <f t="shared" si="79"/>
        <v/>
      </c>
      <c r="AX96" s="71"/>
      <c r="AY96" s="7" t="str">
        <f>IF(ISERROR(IF($K96&lt;=$F$15,VLOOKUP($I96,'表4）CO2価格'!$A$7:$E$67,VLOOKUP($F$48,'表4）CO2価格'!$H$10:$I$12,2,0),0)*$F$8/1000,"")),0,IF($K96&lt;=$F$15,VLOOKUP($I96,'表4）CO2価格'!$A$7:$E$67,VLOOKUP($F$48,'表4）CO2価格'!$H$10:$I$12,2,0),0)*$F$8/1000,""))</f>
        <v/>
      </c>
      <c r="AZ96" s="71"/>
      <c r="BA96" s="11" t="str">
        <f t="shared" si="63"/>
        <v/>
      </c>
      <c r="BB96" s="10" t="str">
        <f t="shared" si="80"/>
        <v/>
      </c>
      <c r="BC96" s="71"/>
      <c r="BD96" s="10" t="str">
        <f t="shared" si="64"/>
        <v/>
      </c>
      <c r="BE96" s="10" t="str">
        <f t="shared" si="81"/>
        <v/>
      </c>
      <c r="BF96" s="71"/>
      <c r="BG96" s="11" t="str">
        <f t="shared" si="65"/>
        <v/>
      </c>
      <c r="BH96" s="10" t="str">
        <f t="shared" si="82"/>
        <v/>
      </c>
      <c r="BJ96" s="7" t="str">
        <f t="shared" si="83"/>
        <v/>
      </c>
      <c r="BK96" s="158" t="str">
        <f t="shared" si="84"/>
        <v/>
      </c>
      <c r="BL96" s="158" t="str">
        <f t="shared" si="66"/>
        <v/>
      </c>
      <c r="BM96" s="10"/>
      <c r="BN96" s="10" t="str">
        <f t="shared" si="85"/>
        <v/>
      </c>
      <c r="BO96" s="10" t="str">
        <f t="shared" si="86"/>
        <v/>
      </c>
      <c r="BQ96" s="10" t="str">
        <f t="shared" si="67"/>
        <v/>
      </c>
      <c r="BR96" s="10" t="str">
        <f t="shared" si="87"/>
        <v/>
      </c>
    </row>
    <row r="97" spans="4:70" ht="15" x14ac:dyDescent="0.15">
      <c r="D97" s="103"/>
      <c r="E97" s="84" t="s">
        <v>598</v>
      </c>
      <c r="F97" s="488">
        <f>IF(F3="原子力",#REF!,0)</f>
        <v>0</v>
      </c>
      <c r="G97" s="84" t="s">
        <v>590</v>
      </c>
      <c r="I97" s="38">
        <f t="shared" si="88"/>
        <v>2102</v>
      </c>
      <c r="J97" s="39"/>
      <c r="K97" s="39">
        <f t="shared" si="89"/>
        <v>83</v>
      </c>
      <c r="L97" s="39"/>
      <c r="M97" s="40">
        <f t="shared" si="52"/>
        <v>8.6002356146793454E-2</v>
      </c>
      <c r="N97" s="39"/>
      <c r="O97" s="72" t="str">
        <f t="shared" si="68"/>
        <v/>
      </c>
      <c r="P97" s="41" t="str">
        <f t="shared" si="53"/>
        <v/>
      </c>
      <c r="Q97" s="39"/>
      <c r="R97" s="72" t="str">
        <f t="shared" si="69"/>
        <v/>
      </c>
      <c r="S97" s="39"/>
      <c r="T97" s="72" t="str">
        <f t="shared" si="70"/>
        <v/>
      </c>
      <c r="U97" s="39"/>
      <c r="V97" s="72" t="str">
        <f t="shared" si="54"/>
        <v/>
      </c>
      <c r="W97" s="72" t="str">
        <f t="shared" si="71"/>
        <v/>
      </c>
      <c r="X97" s="39"/>
      <c r="Y97" s="72" t="str">
        <f t="shared" si="55"/>
        <v/>
      </c>
      <c r="Z97" s="72" t="str">
        <f t="shared" si="72"/>
        <v/>
      </c>
      <c r="AA97" s="39"/>
      <c r="AB97" s="72" t="str">
        <f t="shared" si="56"/>
        <v/>
      </c>
      <c r="AC97" s="72" t="str">
        <f t="shared" si="73"/>
        <v/>
      </c>
      <c r="AD97" s="39"/>
      <c r="AE97" s="72" t="str">
        <f t="shared" si="57"/>
        <v/>
      </c>
      <c r="AF97" s="72" t="str">
        <f t="shared" si="74"/>
        <v/>
      </c>
      <c r="AG97" s="39"/>
      <c r="AH97" s="72" t="str">
        <f t="shared" si="58"/>
        <v/>
      </c>
      <c r="AI97" s="72" t="str">
        <f t="shared" si="75"/>
        <v/>
      </c>
      <c r="AJ97" s="39"/>
      <c r="AK97" s="72" t="str">
        <f t="shared" si="59"/>
        <v/>
      </c>
      <c r="AL97" s="72" t="str">
        <f t="shared" si="76"/>
        <v/>
      </c>
      <c r="AM97" s="39"/>
      <c r="AN97" s="72" t="str">
        <f t="shared" si="60"/>
        <v/>
      </c>
      <c r="AO97" s="72" t="str">
        <f t="shared" si="77"/>
        <v/>
      </c>
      <c r="AP97" s="39"/>
      <c r="AQ97" s="72" t="str">
        <f t="shared" si="61"/>
        <v/>
      </c>
      <c r="AR97" s="72" t="str">
        <f t="shared" si="78"/>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62"/>
        <v/>
      </c>
      <c r="AW97" s="72" t="str">
        <f t="shared" si="79"/>
        <v/>
      </c>
      <c r="AX97" s="39"/>
      <c r="AY97" s="40" t="str">
        <f>IF(ISERROR(IF($K97&lt;=$F$15,VLOOKUP($I97,'表4）CO2価格'!$A$7:$E$67,VLOOKUP($F$48,'表4）CO2価格'!$H$10:$I$12,2,0),0)*$F$8/1000,"")),0,IF($K97&lt;=$F$15,VLOOKUP($I97,'表4）CO2価格'!$A$7:$E$67,VLOOKUP($F$48,'表4）CO2価格'!$H$10:$I$12,2,0),0)*$F$8/1000,""))</f>
        <v/>
      </c>
      <c r="AZ97" s="39"/>
      <c r="BA97" s="42" t="str">
        <f t="shared" si="63"/>
        <v/>
      </c>
      <c r="BB97" s="72" t="str">
        <f t="shared" si="80"/>
        <v/>
      </c>
      <c r="BC97" s="39"/>
      <c r="BD97" s="72" t="str">
        <f t="shared" si="64"/>
        <v/>
      </c>
      <c r="BE97" s="72" t="str">
        <f t="shared" si="81"/>
        <v/>
      </c>
      <c r="BF97" s="39"/>
      <c r="BG97" s="42" t="str">
        <f t="shared" si="65"/>
        <v/>
      </c>
      <c r="BH97" s="72" t="str">
        <f t="shared" si="82"/>
        <v/>
      </c>
      <c r="BI97" s="39"/>
      <c r="BJ97" s="40" t="str">
        <f t="shared" si="83"/>
        <v/>
      </c>
      <c r="BK97" s="157" t="str">
        <f t="shared" si="84"/>
        <v/>
      </c>
      <c r="BL97" s="157" t="str">
        <f t="shared" si="66"/>
        <v/>
      </c>
      <c r="BM97" s="72"/>
      <c r="BN97" s="72" t="str">
        <f t="shared" si="85"/>
        <v/>
      </c>
      <c r="BO97" s="72" t="str">
        <f t="shared" si="86"/>
        <v/>
      </c>
      <c r="BP97" s="39"/>
      <c r="BQ97" s="72" t="str">
        <f t="shared" si="67"/>
        <v/>
      </c>
      <c r="BR97" s="72" t="str">
        <f t="shared" si="87"/>
        <v/>
      </c>
    </row>
    <row r="98" spans="4:70" x14ac:dyDescent="0.15">
      <c r="F98" s="487"/>
      <c r="I98" s="457">
        <f t="shared" si="88"/>
        <v>2103</v>
      </c>
      <c r="J98" s="71"/>
      <c r="K98" s="71">
        <f t="shared" si="89"/>
        <v>84</v>
      </c>
      <c r="L98" s="71"/>
      <c r="M98" s="7">
        <f t="shared" si="52"/>
        <v>8.3497433152226644E-2</v>
      </c>
      <c r="N98" s="71"/>
      <c r="O98" s="10" t="str">
        <f t="shared" si="68"/>
        <v/>
      </c>
      <c r="P98" s="29" t="str">
        <f t="shared" si="53"/>
        <v/>
      </c>
      <c r="Q98" s="71"/>
      <c r="R98" s="10" t="str">
        <f t="shared" si="69"/>
        <v/>
      </c>
      <c r="S98" s="71"/>
      <c r="T98" s="10" t="str">
        <f t="shared" si="70"/>
        <v/>
      </c>
      <c r="U98" s="71"/>
      <c r="V98" s="10" t="str">
        <f t="shared" si="54"/>
        <v/>
      </c>
      <c r="W98" s="10" t="str">
        <f t="shared" si="71"/>
        <v/>
      </c>
      <c r="X98" s="71"/>
      <c r="Y98" s="10" t="str">
        <f t="shared" si="55"/>
        <v/>
      </c>
      <c r="Z98" s="10" t="str">
        <f t="shared" si="72"/>
        <v/>
      </c>
      <c r="AA98" s="71"/>
      <c r="AB98" s="10" t="str">
        <f t="shared" si="56"/>
        <v/>
      </c>
      <c r="AC98" s="10" t="str">
        <f t="shared" si="73"/>
        <v/>
      </c>
      <c r="AD98" s="71"/>
      <c r="AE98" s="10" t="str">
        <f t="shared" si="57"/>
        <v/>
      </c>
      <c r="AF98" s="10" t="str">
        <f t="shared" si="74"/>
        <v/>
      </c>
      <c r="AG98" s="71"/>
      <c r="AH98" s="10" t="str">
        <f t="shared" si="58"/>
        <v/>
      </c>
      <c r="AI98" s="10" t="str">
        <f t="shared" si="75"/>
        <v/>
      </c>
      <c r="AJ98" s="71"/>
      <c r="AK98" s="10" t="str">
        <f t="shared" si="59"/>
        <v/>
      </c>
      <c r="AL98" s="10" t="str">
        <f t="shared" si="76"/>
        <v/>
      </c>
      <c r="AM98" s="71"/>
      <c r="AN98" s="10" t="str">
        <f t="shared" si="60"/>
        <v/>
      </c>
      <c r="AO98" s="10" t="str">
        <f t="shared" si="77"/>
        <v/>
      </c>
      <c r="AP98" s="71"/>
      <c r="AQ98" s="10" t="str">
        <f t="shared" si="61"/>
        <v/>
      </c>
      <c r="AR98" s="10" t="str">
        <f t="shared" si="78"/>
        <v/>
      </c>
      <c r="AS98" s="71"/>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U98" s="71"/>
      <c r="AV98" s="10" t="str">
        <f t="shared" si="62"/>
        <v/>
      </c>
      <c r="AW98" s="10" t="str">
        <f t="shared" si="79"/>
        <v/>
      </c>
      <c r="AX98" s="71"/>
      <c r="AY98" s="7" t="str">
        <f>IF(ISERROR(IF($K98&lt;=$F$15,VLOOKUP($I98,'表4）CO2価格'!$A$7:$E$67,VLOOKUP($F$48,'表4）CO2価格'!$H$10:$I$12,2,0),0)*$F$8/1000,"")),0,IF($K98&lt;=$F$15,VLOOKUP($I98,'表4）CO2価格'!$A$7:$E$67,VLOOKUP($F$48,'表4）CO2価格'!$H$10:$I$12,2,0),0)*$F$8/1000,""))</f>
        <v/>
      </c>
      <c r="AZ98" s="71"/>
      <c r="BA98" s="11" t="str">
        <f t="shared" si="63"/>
        <v/>
      </c>
      <c r="BB98" s="10" t="str">
        <f t="shared" si="80"/>
        <v/>
      </c>
      <c r="BC98" s="71"/>
      <c r="BD98" s="10" t="str">
        <f t="shared" si="64"/>
        <v/>
      </c>
      <c r="BE98" s="10" t="str">
        <f t="shared" si="81"/>
        <v/>
      </c>
      <c r="BF98" s="71"/>
      <c r="BG98" s="11" t="str">
        <f t="shared" si="65"/>
        <v/>
      </c>
      <c r="BH98" s="10" t="str">
        <f t="shared" si="82"/>
        <v/>
      </c>
      <c r="BJ98" s="7" t="str">
        <f t="shared" si="83"/>
        <v/>
      </c>
      <c r="BK98" s="158" t="str">
        <f t="shared" si="84"/>
        <v/>
      </c>
      <c r="BL98" s="158" t="str">
        <f t="shared" si="66"/>
        <v/>
      </c>
      <c r="BM98" s="10"/>
      <c r="BN98" s="10" t="str">
        <f t="shared" si="85"/>
        <v/>
      </c>
      <c r="BO98" s="10" t="str">
        <f t="shared" si="86"/>
        <v/>
      </c>
      <c r="BQ98" s="10" t="str">
        <f t="shared" si="67"/>
        <v/>
      </c>
      <c r="BR98" s="10" t="str">
        <f t="shared" si="87"/>
        <v/>
      </c>
    </row>
    <row r="99" spans="4:70" ht="15" x14ac:dyDescent="0.15">
      <c r="D99" s="103" t="s">
        <v>599</v>
      </c>
      <c r="F99" s="484">
        <f>SUBTOTAL(9,F103:F105)</f>
        <v>0.15279599999999999</v>
      </c>
      <c r="G99" s="84" t="s">
        <v>590</v>
      </c>
      <c r="I99" s="38">
        <f t="shared" si="88"/>
        <v>2104</v>
      </c>
      <c r="J99" s="39"/>
      <c r="K99" s="39">
        <f t="shared" si="89"/>
        <v>85</v>
      </c>
      <c r="L99" s="39"/>
      <c r="M99" s="40">
        <f t="shared" si="52"/>
        <v>8.1065469079831712E-2</v>
      </c>
      <c r="N99" s="39"/>
      <c r="O99" s="72" t="str">
        <f t="shared" si="68"/>
        <v/>
      </c>
      <c r="P99" s="41" t="str">
        <f t="shared" si="53"/>
        <v/>
      </c>
      <c r="Q99" s="39"/>
      <c r="R99" s="72" t="str">
        <f t="shared" si="69"/>
        <v/>
      </c>
      <c r="S99" s="39"/>
      <c r="T99" s="72" t="str">
        <f t="shared" si="70"/>
        <v/>
      </c>
      <c r="U99" s="39"/>
      <c r="V99" s="72" t="str">
        <f t="shared" si="54"/>
        <v/>
      </c>
      <c r="W99" s="72" t="str">
        <f t="shared" si="71"/>
        <v/>
      </c>
      <c r="X99" s="39"/>
      <c r="Y99" s="72" t="str">
        <f t="shared" si="55"/>
        <v/>
      </c>
      <c r="Z99" s="72" t="str">
        <f t="shared" si="72"/>
        <v/>
      </c>
      <c r="AA99" s="39"/>
      <c r="AB99" s="72" t="str">
        <f t="shared" si="56"/>
        <v/>
      </c>
      <c r="AC99" s="72" t="str">
        <f t="shared" si="73"/>
        <v/>
      </c>
      <c r="AD99" s="39"/>
      <c r="AE99" s="72" t="str">
        <f t="shared" si="57"/>
        <v/>
      </c>
      <c r="AF99" s="72" t="str">
        <f t="shared" si="74"/>
        <v/>
      </c>
      <c r="AG99" s="39"/>
      <c r="AH99" s="72" t="str">
        <f t="shared" si="58"/>
        <v/>
      </c>
      <c r="AI99" s="72" t="str">
        <f t="shared" si="75"/>
        <v/>
      </c>
      <c r="AJ99" s="39"/>
      <c r="AK99" s="72" t="str">
        <f t="shared" si="59"/>
        <v/>
      </c>
      <c r="AL99" s="72" t="str">
        <f t="shared" si="76"/>
        <v/>
      </c>
      <c r="AM99" s="39"/>
      <c r="AN99" s="72" t="str">
        <f t="shared" si="60"/>
        <v/>
      </c>
      <c r="AO99" s="72" t="str">
        <f t="shared" si="77"/>
        <v/>
      </c>
      <c r="AP99" s="39"/>
      <c r="AQ99" s="72" t="str">
        <f t="shared" si="61"/>
        <v/>
      </c>
      <c r="AR99" s="72" t="str">
        <f t="shared" si="78"/>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62"/>
        <v/>
      </c>
      <c r="AW99" s="72" t="str">
        <f t="shared" si="79"/>
        <v/>
      </c>
      <c r="AX99" s="39"/>
      <c r="AY99" s="40" t="str">
        <f>IF(ISERROR(IF($K99&lt;=$F$15,VLOOKUP($I99,'表4）CO2価格'!$A$7:$E$67,VLOOKUP($F$48,'表4）CO2価格'!$H$10:$I$12,2,0),0)*$F$8/1000,"")),0,IF($K99&lt;=$F$15,VLOOKUP($I99,'表4）CO2価格'!$A$7:$E$67,VLOOKUP($F$48,'表4）CO2価格'!$H$10:$I$12,2,0),0)*$F$8/1000,""))</f>
        <v/>
      </c>
      <c r="AZ99" s="39"/>
      <c r="BA99" s="42" t="str">
        <f t="shared" si="63"/>
        <v/>
      </c>
      <c r="BB99" s="72" t="str">
        <f t="shared" si="80"/>
        <v/>
      </c>
      <c r="BC99" s="39"/>
      <c r="BD99" s="72" t="str">
        <f t="shared" si="64"/>
        <v/>
      </c>
      <c r="BE99" s="72" t="str">
        <f t="shared" si="81"/>
        <v/>
      </c>
      <c r="BF99" s="39"/>
      <c r="BG99" s="42" t="str">
        <f t="shared" si="65"/>
        <v/>
      </c>
      <c r="BH99" s="72" t="str">
        <f t="shared" si="82"/>
        <v/>
      </c>
      <c r="BI99" s="39"/>
      <c r="BJ99" s="40" t="str">
        <f t="shared" si="83"/>
        <v/>
      </c>
      <c r="BK99" s="157" t="str">
        <f t="shared" si="84"/>
        <v/>
      </c>
      <c r="BL99" s="157" t="str">
        <f t="shared" si="66"/>
        <v/>
      </c>
      <c r="BM99" s="72"/>
      <c r="BN99" s="72" t="str">
        <f t="shared" si="85"/>
        <v/>
      </c>
      <c r="BO99" s="72" t="str">
        <f t="shared" si="86"/>
        <v/>
      </c>
      <c r="BP99" s="39"/>
      <c r="BQ99" s="72" t="str">
        <f t="shared" si="67"/>
        <v/>
      </c>
      <c r="BR99" s="72" t="str">
        <f t="shared" si="87"/>
        <v/>
      </c>
    </row>
    <row r="100" spans="4:70" x14ac:dyDescent="0.15">
      <c r="F100" s="487"/>
      <c r="I100" s="457">
        <f t="shared" si="88"/>
        <v>2105</v>
      </c>
      <c r="J100" s="71"/>
      <c r="K100" s="71">
        <f t="shared" si="89"/>
        <v>86</v>
      </c>
      <c r="L100" s="71"/>
      <c r="M100" s="7">
        <f t="shared" si="52"/>
        <v>7.8704338912457969E-2</v>
      </c>
      <c r="N100" s="71"/>
      <c r="O100" s="10" t="str">
        <f t="shared" si="68"/>
        <v/>
      </c>
      <c r="P100" s="29" t="str">
        <f t="shared" si="53"/>
        <v/>
      </c>
      <c r="Q100" s="71"/>
      <c r="R100" s="10" t="str">
        <f t="shared" si="69"/>
        <v/>
      </c>
      <c r="S100" s="71"/>
      <c r="T100" s="10" t="str">
        <f t="shared" si="70"/>
        <v/>
      </c>
      <c r="U100" s="71"/>
      <c r="V100" s="10" t="str">
        <f t="shared" si="54"/>
        <v/>
      </c>
      <c r="W100" s="10" t="str">
        <f t="shared" si="71"/>
        <v/>
      </c>
      <c r="X100" s="71"/>
      <c r="Y100" s="10" t="str">
        <f t="shared" si="55"/>
        <v/>
      </c>
      <c r="Z100" s="10" t="str">
        <f t="shared" si="72"/>
        <v/>
      </c>
      <c r="AA100" s="71"/>
      <c r="AB100" s="10" t="str">
        <f t="shared" si="56"/>
        <v/>
      </c>
      <c r="AC100" s="10" t="str">
        <f t="shared" si="73"/>
        <v/>
      </c>
      <c r="AD100" s="71"/>
      <c r="AE100" s="10" t="str">
        <f t="shared" si="57"/>
        <v/>
      </c>
      <c r="AF100" s="10" t="str">
        <f t="shared" si="74"/>
        <v/>
      </c>
      <c r="AG100" s="71"/>
      <c r="AH100" s="10" t="str">
        <f t="shared" si="58"/>
        <v/>
      </c>
      <c r="AI100" s="10" t="str">
        <f t="shared" si="75"/>
        <v/>
      </c>
      <c r="AJ100" s="71"/>
      <c r="AK100" s="10" t="str">
        <f t="shared" si="59"/>
        <v/>
      </c>
      <c r="AL100" s="10" t="str">
        <f t="shared" si="76"/>
        <v/>
      </c>
      <c r="AM100" s="71"/>
      <c r="AN100" s="10" t="str">
        <f t="shared" si="60"/>
        <v/>
      </c>
      <c r="AO100" s="10" t="str">
        <f t="shared" si="77"/>
        <v/>
      </c>
      <c r="AP100" s="71"/>
      <c r="AQ100" s="10" t="str">
        <f t="shared" si="61"/>
        <v/>
      </c>
      <c r="AR100" s="10" t="str">
        <f t="shared" si="78"/>
        <v/>
      </c>
      <c r="AS100" s="71"/>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U100" s="71"/>
      <c r="AV100" s="10" t="str">
        <f t="shared" si="62"/>
        <v/>
      </c>
      <c r="AW100" s="10" t="str">
        <f t="shared" si="79"/>
        <v/>
      </c>
      <c r="AX100" s="71"/>
      <c r="AY100" s="7" t="str">
        <f>IF(ISERROR(IF($K100&lt;=$F$15,VLOOKUP($I100,'表4）CO2価格'!$A$7:$E$67,VLOOKUP($F$48,'表4）CO2価格'!$H$10:$I$12,2,0),0)*$F$8/1000,"")),0,IF($K100&lt;=$F$15,VLOOKUP($I100,'表4）CO2価格'!$A$7:$E$67,VLOOKUP($F$48,'表4）CO2価格'!$H$10:$I$12,2,0),0)*$F$8/1000,""))</f>
        <v/>
      </c>
      <c r="AZ100" s="71"/>
      <c r="BA100" s="11" t="str">
        <f t="shared" si="63"/>
        <v/>
      </c>
      <c r="BB100" s="10" t="str">
        <f t="shared" si="80"/>
        <v/>
      </c>
      <c r="BC100" s="71"/>
      <c r="BD100" s="10" t="str">
        <f t="shared" si="64"/>
        <v/>
      </c>
      <c r="BE100" s="10" t="str">
        <f t="shared" si="81"/>
        <v/>
      </c>
      <c r="BF100" s="71"/>
      <c r="BG100" s="11" t="str">
        <f t="shared" si="65"/>
        <v/>
      </c>
      <c r="BH100" s="10" t="str">
        <f t="shared" si="82"/>
        <v/>
      </c>
      <c r="BJ100" s="7" t="str">
        <f t="shared" si="83"/>
        <v/>
      </c>
      <c r="BK100" s="158" t="str">
        <f t="shared" si="84"/>
        <v/>
      </c>
      <c r="BL100" s="158" t="str">
        <f t="shared" si="66"/>
        <v/>
      </c>
      <c r="BM100" s="10"/>
      <c r="BN100" s="10" t="str">
        <f t="shared" si="85"/>
        <v/>
      </c>
      <c r="BO100" s="10" t="str">
        <f t="shared" si="86"/>
        <v/>
      </c>
      <c r="BQ100" s="10" t="str">
        <f t="shared" si="67"/>
        <v/>
      </c>
      <c r="BR100" s="10" t="str">
        <f t="shared" si="87"/>
        <v/>
      </c>
    </row>
    <row r="101" spans="4:70" x14ac:dyDescent="0.15">
      <c r="D101" s="100" t="s">
        <v>600</v>
      </c>
      <c r="E101" s="100"/>
      <c r="F101" s="486"/>
      <c r="G101" s="100"/>
      <c r="I101" s="38">
        <f t="shared" si="88"/>
        <v>2106</v>
      </c>
      <c r="J101" s="39"/>
      <c r="K101" s="39">
        <f t="shared" si="89"/>
        <v>87</v>
      </c>
      <c r="L101" s="39"/>
      <c r="M101" s="40">
        <f t="shared" si="52"/>
        <v>7.6411979526658208E-2</v>
      </c>
      <c r="N101" s="39"/>
      <c r="O101" s="72" t="str">
        <f t="shared" si="68"/>
        <v/>
      </c>
      <c r="P101" s="41" t="str">
        <f t="shared" si="53"/>
        <v/>
      </c>
      <c r="Q101" s="39"/>
      <c r="R101" s="72" t="str">
        <f t="shared" si="69"/>
        <v/>
      </c>
      <c r="S101" s="39"/>
      <c r="T101" s="72" t="str">
        <f t="shared" si="70"/>
        <v/>
      </c>
      <c r="U101" s="39"/>
      <c r="V101" s="72" t="str">
        <f t="shared" si="54"/>
        <v/>
      </c>
      <c r="W101" s="72" t="str">
        <f t="shared" si="71"/>
        <v/>
      </c>
      <c r="X101" s="39"/>
      <c r="Y101" s="72" t="str">
        <f t="shared" si="55"/>
        <v/>
      </c>
      <c r="Z101" s="72" t="str">
        <f t="shared" si="72"/>
        <v/>
      </c>
      <c r="AA101" s="39"/>
      <c r="AB101" s="72" t="str">
        <f t="shared" si="56"/>
        <v/>
      </c>
      <c r="AC101" s="72" t="str">
        <f t="shared" si="73"/>
        <v/>
      </c>
      <c r="AD101" s="39"/>
      <c r="AE101" s="72" t="str">
        <f t="shared" si="57"/>
        <v/>
      </c>
      <c r="AF101" s="72" t="str">
        <f t="shared" si="74"/>
        <v/>
      </c>
      <c r="AG101" s="39"/>
      <c r="AH101" s="72" t="str">
        <f t="shared" si="58"/>
        <v/>
      </c>
      <c r="AI101" s="72" t="str">
        <f t="shared" si="75"/>
        <v/>
      </c>
      <c r="AJ101" s="39"/>
      <c r="AK101" s="72" t="str">
        <f t="shared" si="59"/>
        <v/>
      </c>
      <c r="AL101" s="72" t="str">
        <f t="shared" si="76"/>
        <v/>
      </c>
      <c r="AM101" s="39"/>
      <c r="AN101" s="72" t="str">
        <f t="shared" si="60"/>
        <v/>
      </c>
      <c r="AO101" s="72" t="str">
        <f t="shared" si="77"/>
        <v/>
      </c>
      <c r="AP101" s="39"/>
      <c r="AQ101" s="72" t="str">
        <f t="shared" si="61"/>
        <v/>
      </c>
      <c r="AR101" s="72" t="str">
        <f t="shared" si="78"/>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62"/>
        <v/>
      </c>
      <c r="AW101" s="72" t="str">
        <f t="shared" si="79"/>
        <v/>
      </c>
      <c r="AX101" s="39"/>
      <c r="AY101" s="40" t="str">
        <f>IF(ISERROR(IF($K101&lt;=$F$15,VLOOKUP($I101,'表4）CO2価格'!$A$7:$E$67,VLOOKUP($F$48,'表4）CO2価格'!$H$10:$I$12,2,0),0)*$F$8/1000,"")),0,IF($K101&lt;=$F$15,VLOOKUP($I101,'表4）CO2価格'!$A$7:$E$67,VLOOKUP($F$48,'表4）CO2価格'!$H$10:$I$12,2,0),0)*$F$8/1000,""))</f>
        <v/>
      </c>
      <c r="AZ101" s="39"/>
      <c r="BA101" s="42" t="str">
        <f t="shared" si="63"/>
        <v/>
      </c>
      <c r="BB101" s="72" t="str">
        <f t="shared" si="80"/>
        <v/>
      </c>
      <c r="BC101" s="39"/>
      <c r="BD101" s="72" t="str">
        <f t="shared" si="64"/>
        <v/>
      </c>
      <c r="BE101" s="72" t="str">
        <f t="shared" si="81"/>
        <v/>
      </c>
      <c r="BF101" s="39"/>
      <c r="BG101" s="42" t="str">
        <f t="shared" si="65"/>
        <v/>
      </c>
      <c r="BH101" s="72" t="str">
        <f t="shared" si="82"/>
        <v/>
      </c>
      <c r="BI101" s="39"/>
      <c r="BJ101" s="40" t="str">
        <f t="shared" si="83"/>
        <v/>
      </c>
      <c r="BK101" s="157" t="str">
        <f t="shared" si="84"/>
        <v/>
      </c>
      <c r="BL101" s="157" t="str">
        <f t="shared" si="66"/>
        <v/>
      </c>
      <c r="BM101" s="72"/>
      <c r="BN101" s="72" t="str">
        <f t="shared" si="85"/>
        <v/>
      </c>
      <c r="BO101" s="72" t="str">
        <f t="shared" si="86"/>
        <v/>
      </c>
      <c r="BP101" s="39"/>
      <c r="BQ101" s="72" t="str">
        <f t="shared" si="67"/>
        <v/>
      </c>
      <c r="BR101" s="72" t="str">
        <f t="shared" si="87"/>
        <v/>
      </c>
    </row>
    <row r="102" spans="4:70" x14ac:dyDescent="0.15">
      <c r="F102" s="487"/>
      <c r="I102" s="457">
        <f t="shared" si="88"/>
        <v>2107</v>
      </c>
      <c r="J102" s="71"/>
      <c r="K102" s="71">
        <f t="shared" si="89"/>
        <v>88</v>
      </c>
      <c r="L102" s="71"/>
      <c r="M102" s="7">
        <f t="shared" si="52"/>
        <v>7.4186387889959446E-2</v>
      </c>
      <c r="N102" s="71"/>
      <c r="O102" s="10" t="str">
        <f t="shared" si="68"/>
        <v/>
      </c>
      <c r="P102" s="29" t="str">
        <f t="shared" si="53"/>
        <v/>
      </c>
      <c r="Q102" s="71"/>
      <c r="R102" s="10" t="str">
        <f t="shared" si="69"/>
        <v/>
      </c>
      <c r="S102" s="71"/>
      <c r="T102" s="10" t="str">
        <f t="shared" si="70"/>
        <v/>
      </c>
      <c r="U102" s="71"/>
      <c r="V102" s="10" t="str">
        <f t="shared" si="54"/>
        <v/>
      </c>
      <c r="W102" s="10" t="str">
        <f t="shared" si="71"/>
        <v/>
      </c>
      <c r="X102" s="71"/>
      <c r="Y102" s="10" t="str">
        <f t="shared" si="55"/>
        <v/>
      </c>
      <c r="Z102" s="10" t="str">
        <f t="shared" si="72"/>
        <v/>
      </c>
      <c r="AA102" s="71"/>
      <c r="AB102" s="10" t="str">
        <f t="shared" si="56"/>
        <v/>
      </c>
      <c r="AC102" s="10" t="str">
        <f t="shared" si="73"/>
        <v/>
      </c>
      <c r="AD102" s="71"/>
      <c r="AE102" s="10" t="str">
        <f t="shared" si="57"/>
        <v/>
      </c>
      <c r="AF102" s="10" t="str">
        <f t="shared" si="74"/>
        <v/>
      </c>
      <c r="AG102" s="71"/>
      <c r="AH102" s="10" t="str">
        <f t="shared" si="58"/>
        <v/>
      </c>
      <c r="AI102" s="10" t="str">
        <f t="shared" si="75"/>
        <v/>
      </c>
      <c r="AJ102" s="71"/>
      <c r="AK102" s="10" t="str">
        <f t="shared" si="59"/>
        <v/>
      </c>
      <c r="AL102" s="10" t="str">
        <f t="shared" si="76"/>
        <v/>
      </c>
      <c r="AM102" s="71"/>
      <c r="AN102" s="10" t="str">
        <f t="shared" si="60"/>
        <v/>
      </c>
      <c r="AO102" s="10" t="str">
        <f t="shared" si="77"/>
        <v/>
      </c>
      <c r="AP102" s="71"/>
      <c r="AQ102" s="10" t="str">
        <f t="shared" si="61"/>
        <v/>
      </c>
      <c r="AR102" s="10" t="str">
        <f t="shared" si="78"/>
        <v/>
      </c>
      <c r="AS102" s="71"/>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U102" s="71"/>
      <c r="AV102" s="10" t="str">
        <f t="shared" si="62"/>
        <v/>
      </c>
      <c r="AW102" s="10" t="str">
        <f t="shared" si="79"/>
        <v/>
      </c>
      <c r="AX102" s="71"/>
      <c r="AY102" s="7" t="str">
        <f>IF(ISERROR(IF($K102&lt;=$F$15,VLOOKUP($I102,'表4）CO2価格'!$A$7:$E$67,VLOOKUP($F$48,'表4）CO2価格'!$H$10:$I$12,2,0),0)*$F$8/1000,"")),0,IF($K102&lt;=$F$15,VLOOKUP($I102,'表4）CO2価格'!$A$7:$E$67,VLOOKUP($F$48,'表4）CO2価格'!$H$10:$I$12,2,0),0)*$F$8/1000,""))</f>
        <v/>
      </c>
      <c r="AZ102" s="71"/>
      <c r="BA102" s="11" t="str">
        <f t="shared" si="63"/>
        <v/>
      </c>
      <c r="BB102" s="10" t="str">
        <f t="shared" si="80"/>
        <v/>
      </c>
      <c r="BC102" s="71"/>
      <c r="BD102" s="10" t="str">
        <f t="shared" si="64"/>
        <v/>
      </c>
      <c r="BE102" s="10" t="str">
        <f t="shared" si="81"/>
        <v/>
      </c>
      <c r="BF102" s="71"/>
      <c r="BG102" s="11" t="str">
        <f t="shared" si="65"/>
        <v/>
      </c>
      <c r="BH102" s="10" t="str">
        <f t="shared" si="82"/>
        <v/>
      </c>
      <c r="BJ102" s="7" t="str">
        <f t="shared" si="83"/>
        <v/>
      </c>
      <c r="BK102" s="158" t="str">
        <f t="shared" si="84"/>
        <v/>
      </c>
      <c r="BL102" s="158" t="str">
        <f t="shared" si="66"/>
        <v/>
      </c>
      <c r="BM102" s="10"/>
      <c r="BN102" s="10" t="str">
        <f t="shared" si="85"/>
        <v/>
      </c>
      <c r="BO102" s="10" t="str">
        <f t="shared" si="86"/>
        <v/>
      </c>
      <c r="BQ102" s="10" t="str">
        <f t="shared" si="67"/>
        <v/>
      </c>
      <c r="BR102" s="10" t="str">
        <f t="shared" si="87"/>
        <v/>
      </c>
    </row>
    <row r="103" spans="4:70" x14ac:dyDescent="0.15">
      <c r="E103" s="84" t="s">
        <v>601</v>
      </c>
      <c r="F103" s="488">
        <f>BB116/$BR$116</f>
        <v>0</v>
      </c>
      <c r="G103" s="84" t="s">
        <v>590</v>
      </c>
      <c r="I103" s="38">
        <f t="shared" si="88"/>
        <v>2108</v>
      </c>
      <c r="J103" s="39"/>
      <c r="K103" s="39">
        <f t="shared" si="89"/>
        <v>89</v>
      </c>
      <c r="L103" s="39"/>
      <c r="M103" s="40">
        <f t="shared" si="52"/>
        <v>7.2025619310640235E-2</v>
      </c>
      <c r="N103" s="39"/>
      <c r="O103" s="72" t="str">
        <f t="shared" si="68"/>
        <v/>
      </c>
      <c r="P103" s="41" t="str">
        <f t="shared" si="53"/>
        <v/>
      </c>
      <c r="Q103" s="39"/>
      <c r="R103" s="72" t="str">
        <f t="shared" si="69"/>
        <v/>
      </c>
      <c r="S103" s="39"/>
      <c r="T103" s="72" t="str">
        <f t="shared" si="70"/>
        <v/>
      </c>
      <c r="U103" s="39"/>
      <c r="V103" s="72" t="str">
        <f t="shared" si="54"/>
        <v/>
      </c>
      <c r="W103" s="72" t="str">
        <f t="shared" si="71"/>
        <v/>
      </c>
      <c r="X103" s="39"/>
      <c r="Y103" s="72" t="str">
        <f t="shared" si="55"/>
        <v/>
      </c>
      <c r="Z103" s="72" t="str">
        <f t="shared" si="72"/>
        <v/>
      </c>
      <c r="AA103" s="39"/>
      <c r="AB103" s="72" t="str">
        <f t="shared" si="56"/>
        <v/>
      </c>
      <c r="AC103" s="72" t="str">
        <f t="shared" si="73"/>
        <v/>
      </c>
      <c r="AD103" s="39"/>
      <c r="AE103" s="72" t="str">
        <f t="shared" si="57"/>
        <v/>
      </c>
      <c r="AF103" s="72" t="str">
        <f t="shared" si="74"/>
        <v/>
      </c>
      <c r="AG103" s="39"/>
      <c r="AH103" s="72" t="str">
        <f t="shared" si="58"/>
        <v/>
      </c>
      <c r="AI103" s="72" t="str">
        <f t="shared" si="75"/>
        <v/>
      </c>
      <c r="AJ103" s="39"/>
      <c r="AK103" s="72" t="str">
        <f t="shared" si="59"/>
        <v/>
      </c>
      <c r="AL103" s="72" t="str">
        <f t="shared" si="76"/>
        <v/>
      </c>
      <c r="AM103" s="39"/>
      <c r="AN103" s="72" t="str">
        <f t="shared" si="60"/>
        <v/>
      </c>
      <c r="AO103" s="72" t="str">
        <f t="shared" si="77"/>
        <v/>
      </c>
      <c r="AP103" s="39"/>
      <c r="AQ103" s="72" t="str">
        <f t="shared" si="61"/>
        <v/>
      </c>
      <c r="AR103" s="72" t="str">
        <f t="shared" si="78"/>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62"/>
        <v/>
      </c>
      <c r="AW103" s="72" t="str">
        <f t="shared" si="79"/>
        <v/>
      </c>
      <c r="AX103" s="39"/>
      <c r="AY103" s="40" t="str">
        <f>IF(ISERROR(IF($K103&lt;=$F$15,VLOOKUP($I103,'表4）CO2価格'!$A$7:$E$67,VLOOKUP($F$48,'表4）CO2価格'!$H$10:$I$12,2,0),0)*$F$8/1000,"")),0,IF($K103&lt;=$F$15,VLOOKUP($I103,'表4）CO2価格'!$A$7:$E$67,VLOOKUP($F$48,'表4）CO2価格'!$H$10:$I$12,2,0),0)*$F$8/1000,""))</f>
        <v/>
      </c>
      <c r="AZ103" s="39"/>
      <c r="BA103" s="42" t="str">
        <f t="shared" si="63"/>
        <v/>
      </c>
      <c r="BB103" s="72" t="str">
        <f t="shared" si="80"/>
        <v/>
      </c>
      <c r="BC103" s="39"/>
      <c r="BD103" s="72" t="str">
        <f t="shared" si="64"/>
        <v/>
      </c>
      <c r="BE103" s="72" t="str">
        <f t="shared" si="81"/>
        <v/>
      </c>
      <c r="BF103" s="39"/>
      <c r="BG103" s="42" t="str">
        <f t="shared" si="65"/>
        <v/>
      </c>
      <c r="BH103" s="72" t="str">
        <f t="shared" si="82"/>
        <v/>
      </c>
      <c r="BI103" s="39"/>
      <c r="BJ103" s="40" t="str">
        <f t="shared" si="83"/>
        <v/>
      </c>
      <c r="BK103" s="157" t="str">
        <f t="shared" si="84"/>
        <v/>
      </c>
      <c r="BL103" s="157" t="str">
        <f t="shared" si="66"/>
        <v/>
      </c>
      <c r="BM103" s="72"/>
      <c r="BN103" s="72" t="str">
        <f t="shared" si="85"/>
        <v/>
      </c>
      <c r="BO103" s="72" t="str">
        <f t="shared" si="86"/>
        <v/>
      </c>
      <c r="BP103" s="39"/>
      <c r="BQ103" s="72" t="str">
        <f t="shared" si="67"/>
        <v/>
      </c>
      <c r="BR103" s="72" t="str">
        <f t="shared" si="87"/>
        <v/>
      </c>
    </row>
    <row r="104" spans="4:70" x14ac:dyDescent="0.15">
      <c r="E104" s="84" t="s">
        <v>602</v>
      </c>
      <c r="F104" s="488">
        <f>IF(ISERROR(F60*(1/F61)/F62),0,F60*(1/F61)/F62)</f>
        <v>0</v>
      </c>
      <c r="G104" s="84" t="s">
        <v>590</v>
      </c>
      <c r="I104" s="457">
        <f t="shared" si="88"/>
        <v>2109</v>
      </c>
      <c r="J104" s="71"/>
      <c r="K104" s="71">
        <f t="shared" si="89"/>
        <v>90</v>
      </c>
      <c r="L104" s="71"/>
      <c r="M104" s="7">
        <f t="shared" si="52"/>
        <v>6.9927785738485654E-2</v>
      </c>
      <c r="N104" s="71"/>
      <c r="O104" s="10" t="str">
        <f t="shared" si="68"/>
        <v/>
      </c>
      <c r="P104" s="29" t="str">
        <f t="shared" si="53"/>
        <v/>
      </c>
      <c r="Q104" s="71"/>
      <c r="R104" s="10" t="str">
        <f t="shared" si="69"/>
        <v/>
      </c>
      <c r="S104" s="71"/>
      <c r="T104" s="10" t="str">
        <f t="shared" si="70"/>
        <v/>
      </c>
      <c r="U104" s="71"/>
      <c r="V104" s="10" t="str">
        <f t="shared" si="54"/>
        <v/>
      </c>
      <c r="W104" s="10" t="str">
        <f t="shared" si="71"/>
        <v/>
      </c>
      <c r="X104" s="71"/>
      <c r="Y104" s="10" t="str">
        <f t="shared" si="55"/>
        <v/>
      </c>
      <c r="Z104" s="10" t="str">
        <f t="shared" si="72"/>
        <v/>
      </c>
      <c r="AA104" s="71"/>
      <c r="AB104" s="10" t="str">
        <f t="shared" si="56"/>
        <v/>
      </c>
      <c r="AC104" s="10" t="str">
        <f t="shared" si="73"/>
        <v/>
      </c>
      <c r="AD104" s="71"/>
      <c r="AE104" s="10" t="str">
        <f t="shared" si="57"/>
        <v/>
      </c>
      <c r="AF104" s="10" t="str">
        <f t="shared" si="74"/>
        <v/>
      </c>
      <c r="AG104" s="71"/>
      <c r="AH104" s="10" t="str">
        <f t="shared" si="58"/>
        <v/>
      </c>
      <c r="AI104" s="10" t="str">
        <f t="shared" si="75"/>
        <v/>
      </c>
      <c r="AJ104" s="71"/>
      <c r="AK104" s="10" t="str">
        <f t="shared" si="59"/>
        <v/>
      </c>
      <c r="AL104" s="10" t="str">
        <f t="shared" si="76"/>
        <v/>
      </c>
      <c r="AM104" s="71"/>
      <c r="AN104" s="10" t="str">
        <f t="shared" si="60"/>
        <v/>
      </c>
      <c r="AO104" s="10" t="str">
        <f t="shared" si="77"/>
        <v/>
      </c>
      <c r="AP104" s="71"/>
      <c r="AQ104" s="10" t="str">
        <f t="shared" si="61"/>
        <v/>
      </c>
      <c r="AR104" s="10" t="str">
        <f t="shared" si="78"/>
        <v/>
      </c>
      <c r="AS104" s="71"/>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U104" s="71"/>
      <c r="AV104" s="10" t="str">
        <f t="shared" si="62"/>
        <v/>
      </c>
      <c r="AW104" s="10" t="str">
        <f t="shared" si="79"/>
        <v/>
      </c>
      <c r="AX104" s="71"/>
      <c r="AY104" s="7" t="str">
        <f>IF(ISERROR(IF($K104&lt;=$F$15,VLOOKUP($I104,'表4）CO2価格'!$A$7:$E$67,VLOOKUP($F$48,'表4）CO2価格'!$H$10:$I$12,2,0),0)*$F$8/1000,"")),0,IF($K104&lt;=$F$15,VLOOKUP($I104,'表4）CO2価格'!$A$7:$E$67,VLOOKUP($F$48,'表4）CO2価格'!$H$10:$I$12,2,0),0)*$F$8/1000,""))</f>
        <v/>
      </c>
      <c r="AZ104" s="71"/>
      <c r="BA104" s="11" t="str">
        <f t="shared" si="63"/>
        <v/>
      </c>
      <c r="BB104" s="10" t="str">
        <f t="shared" si="80"/>
        <v/>
      </c>
      <c r="BC104" s="71"/>
      <c r="BD104" s="10" t="str">
        <f t="shared" si="64"/>
        <v/>
      </c>
      <c r="BE104" s="10" t="str">
        <f t="shared" si="81"/>
        <v/>
      </c>
      <c r="BF104" s="71"/>
      <c r="BG104" s="11" t="str">
        <f t="shared" si="65"/>
        <v/>
      </c>
      <c r="BH104" s="10" t="str">
        <f t="shared" si="82"/>
        <v/>
      </c>
      <c r="BJ104" s="7" t="str">
        <f t="shared" si="83"/>
        <v/>
      </c>
      <c r="BK104" s="158" t="str">
        <f t="shared" si="84"/>
        <v/>
      </c>
      <c r="BL104" s="158" t="str">
        <f t="shared" si="66"/>
        <v/>
      </c>
      <c r="BM104" s="10"/>
      <c r="BN104" s="10" t="str">
        <f t="shared" si="85"/>
        <v/>
      </c>
      <c r="BO104" s="10" t="str">
        <f t="shared" si="86"/>
        <v/>
      </c>
      <c r="BQ104" s="10" t="str">
        <f t="shared" si="67"/>
        <v/>
      </c>
      <c r="BR104" s="10" t="str">
        <f t="shared" si="87"/>
        <v/>
      </c>
    </row>
    <row r="105" spans="4:70" x14ac:dyDescent="0.15">
      <c r="E105" s="71" t="s">
        <v>603</v>
      </c>
      <c r="F105" s="488">
        <f>F64</f>
        <v>0.15279599999999999</v>
      </c>
      <c r="G105" s="84" t="s">
        <v>590</v>
      </c>
      <c r="I105" s="38">
        <f t="shared" si="88"/>
        <v>2110</v>
      </c>
      <c r="J105" s="39"/>
      <c r="K105" s="39">
        <f t="shared" si="89"/>
        <v>91</v>
      </c>
      <c r="L105" s="39"/>
      <c r="M105" s="40">
        <f t="shared" si="52"/>
        <v>6.7891054115034627E-2</v>
      </c>
      <c r="N105" s="39"/>
      <c r="O105" s="72" t="str">
        <f t="shared" si="68"/>
        <v/>
      </c>
      <c r="P105" s="41" t="str">
        <f t="shared" si="53"/>
        <v/>
      </c>
      <c r="Q105" s="39"/>
      <c r="R105" s="72" t="str">
        <f t="shared" si="69"/>
        <v/>
      </c>
      <c r="S105" s="39"/>
      <c r="T105" s="72" t="str">
        <f t="shared" si="70"/>
        <v/>
      </c>
      <c r="U105" s="39"/>
      <c r="V105" s="72" t="str">
        <f t="shared" si="54"/>
        <v/>
      </c>
      <c r="W105" s="72" t="str">
        <f t="shared" si="71"/>
        <v/>
      </c>
      <c r="X105" s="39"/>
      <c r="Y105" s="72" t="str">
        <f t="shared" si="55"/>
        <v/>
      </c>
      <c r="Z105" s="72" t="str">
        <f t="shared" si="72"/>
        <v/>
      </c>
      <c r="AA105" s="39"/>
      <c r="AB105" s="72" t="str">
        <f t="shared" si="56"/>
        <v/>
      </c>
      <c r="AC105" s="72" t="str">
        <f t="shared" si="73"/>
        <v/>
      </c>
      <c r="AD105" s="39"/>
      <c r="AE105" s="72" t="str">
        <f t="shared" si="57"/>
        <v/>
      </c>
      <c r="AF105" s="72" t="str">
        <f t="shared" si="74"/>
        <v/>
      </c>
      <c r="AG105" s="39"/>
      <c r="AH105" s="72" t="str">
        <f t="shared" si="58"/>
        <v/>
      </c>
      <c r="AI105" s="72" t="str">
        <f t="shared" si="75"/>
        <v/>
      </c>
      <c r="AJ105" s="39"/>
      <c r="AK105" s="72" t="str">
        <f t="shared" si="59"/>
        <v/>
      </c>
      <c r="AL105" s="72" t="str">
        <f t="shared" si="76"/>
        <v/>
      </c>
      <c r="AM105" s="39"/>
      <c r="AN105" s="72" t="str">
        <f t="shared" si="60"/>
        <v/>
      </c>
      <c r="AO105" s="72" t="str">
        <f t="shared" si="77"/>
        <v/>
      </c>
      <c r="AP105" s="39"/>
      <c r="AQ105" s="72" t="str">
        <f t="shared" si="61"/>
        <v/>
      </c>
      <c r="AR105" s="72" t="str">
        <f t="shared" si="78"/>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62"/>
        <v/>
      </c>
      <c r="AW105" s="72" t="str">
        <f t="shared" si="79"/>
        <v/>
      </c>
      <c r="AX105" s="39"/>
      <c r="AY105" s="40" t="str">
        <f>IF(ISERROR(IF($K105&lt;=$F$15,VLOOKUP($I105,'表4）CO2価格'!$A$7:$E$67,VLOOKUP($F$48,'表4）CO2価格'!$H$10:$I$12,2,0),0)*$F$8/1000,"")),0,IF($K105&lt;=$F$15,VLOOKUP($I105,'表4）CO2価格'!$A$7:$E$67,VLOOKUP($F$48,'表4）CO2価格'!$H$10:$I$12,2,0),0)*$F$8/1000,""))</f>
        <v/>
      </c>
      <c r="AZ105" s="39"/>
      <c r="BA105" s="42" t="str">
        <f t="shared" si="63"/>
        <v/>
      </c>
      <c r="BB105" s="72" t="str">
        <f t="shared" si="80"/>
        <v/>
      </c>
      <c r="BC105" s="39"/>
      <c r="BD105" s="72" t="str">
        <f t="shared" si="64"/>
        <v/>
      </c>
      <c r="BE105" s="72" t="str">
        <f t="shared" si="81"/>
        <v/>
      </c>
      <c r="BF105" s="39"/>
      <c r="BG105" s="42" t="str">
        <f t="shared" si="65"/>
        <v/>
      </c>
      <c r="BH105" s="72" t="str">
        <f t="shared" si="82"/>
        <v/>
      </c>
      <c r="BI105" s="39"/>
      <c r="BJ105" s="40" t="str">
        <f t="shared" si="83"/>
        <v/>
      </c>
      <c r="BK105" s="157" t="str">
        <f t="shared" si="84"/>
        <v/>
      </c>
      <c r="BL105" s="157" t="str">
        <f t="shared" si="66"/>
        <v/>
      </c>
      <c r="BM105" s="72"/>
      <c r="BN105" s="72" t="str">
        <f t="shared" si="85"/>
        <v/>
      </c>
      <c r="BO105" s="72" t="str">
        <f t="shared" si="86"/>
        <v/>
      </c>
      <c r="BP105" s="39"/>
      <c r="BQ105" s="72" t="str">
        <f t="shared" si="67"/>
        <v/>
      </c>
      <c r="BR105" s="72" t="str">
        <f t="shared" si="87"/>
        <v/>
      </c>
    </row>
    <row r="106" spans="4:70" x14ac:dyDescent="0.15">
      <c r="F106" s="487"/>
      <c r="I106" s="457">
        <f t="shared" si="88"/>
        <v>2111</v>
      </c>
      <c r="J106" s="71"/>
      <c r="K106" s="71">
        <f t="shared" si="89"/>
        <v>92</v>
      </c>
      <c r="L106" s="71"/>
      <c r="M106" s="7">
        <f t="shared" si="52"/>
        <v>6.5913644771878277E-2</v>
      </c>
      <c r="N106" s="71"/>
      <c r="O106" s="10" t="str">
        <f t="shared" si="68"/>
        <v/>
      </c>
      <c r="P106" s="29" t="str">
        <f t="shared" si="53"/>
        <v/>
      </c>
      <c r="Q106" s="71"/>
      <c r="R106" s="10" t="str">
        <f t="shared" si="69"/>
        <v/>
      </c>
      <c r="S106" s="71"/>
      <c r="T106" s="10" t="str">
        <f t="shared" si="70"/>
        <v/>
      </c>
      <c r="U106" s="71"/>
      <c r="V106" s="10" t="str">
        <f t="shared" si="54"/>
        <v/>
      </c>
      <c r="W106" s="10" t="str">
        <f t="shared" si="71"/>
        <v/>
      </c>
      <c r="X106" s="71"/>
      <c r="Y106" s="10" t="str">
        <f t="shared" si="55"/>
        <v/>
      </c>
      <c r="Z106" s="10" t="str">
        <f t="shared" si="72"/>
        <v/>
      </c>
      <c r="AA106" s="71"/>
      <c r="AB106" s="10" t="str">
        <f t="shared" si="56"/>
        <v/>
      </c>
      <c r="AC106" s="10" t="str">
        <f t="shared" si="73"/>
        <v/>
      </c>
      <c r="AD106" s="71"/>
      <c r="AE106" s="10" t="str">
        <f t="shared" si="57"/>
        <v/>
      </c>
      <c r="AF106" s="10" t="str">
        <f t="shared" si="74"/>
        <v/>
      </c>
      <c r="AG106" s="71"/>
      <c r="AH106" s="10" t="str">
        <f t="shared" si="58"/>
        <v/>
      </c>
      <c r="AI106" s="10" t="str">
        <f t="shared" si="75"/>
        <v/>
      </c>
      <c r="AJ106" s="71"/>
      <c r="AK106" s="10" t="str">
        <f t="shared" si="59"/>
        <v/>
      </c>
      <c r="AL106" s="10" t="str">
        <f t="shared" si="76"/>
        <v/>
      </c>
      <c r="AM106" s="71"/>
      <c r="AN106" s="10" t="str">
        <f t="shared" si="60"/>
        <v/>
      </c>
      <c r="AO106" s="10" t="str">
        <f t="shared" si="77"/>
        <v/>
      </c>
      <c r="AP106" s="71"/>
      <c r="AQ106" s="10" t="str">
        <f t="shared" si="61"/>
        <v/>
      </c>
      <c r="AR106" s="10" t="str">
        <f t="shared" si="78"/>
        <v/>
      </c>
      <c r="AS106" s="71"/>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U106" s="71"/>
      <c r="AV106" s="10" t="str">
        <f t="shared" si="62"/>
        <v/>
      </c>
      <c r="AW106" s="10" t="str">
        <f t="shared" si="79"/>
        <v/>
      </c>
      <c r="AX106" s="71"/>
      <c r="AY106" s="7" t="str">
        <f>IF(ISERROR(IF($K106&lt;=$F$15,VLOOKUP($I106,'表4）CO2価格'!$A$7:$E$67,VLOOKUP($F$48,'表4）CO2価格'!$H$10:$I$12,2,0),0)*$F$8/1000,"")),0,IF($K106&lt;=$F$15,VLOOKUP($I106,'表4）CO2価格'!$A$7:$E$67,VLOOKUP($F$48,'表4）CO2価格'!$H$10:$I$12,2,0),0)*$F$8/1000,""))</f>
        <v/>
      </c>
      <c r="AZ106" s="71"/>
      <c r="BA106" s="11" t="str">
        <f t="shared" si="63"/>
        <v/>
      </c>
      <c r="BB106" s="10" t="str">
        <f t="shared" si="80"/>
        <v/>
      </c>
      <c r="BC106" s="71"/>
      <c r="BD106" s="10" t="str">
        <f t="shared" si="64"/>
        <v/>
      </c>
      <c r="BE106" s="10" t="str">
        <f t="shared" si="81"/>
        <v/>
      </c>
      <c r="BF106" s="71"/>
      <c r="BG106" s="11" t="str">
        <f t="shared" si="65"/>
        <v/>
      </c>
      <c r="BH106" s="10" t="str">
        <f t="shared" si="82"/>
        <v/>
      </c>
      <c r="BJ106" s="7" t="str">
        <f t="shared" si="83"/>
        <v/>
      </c>
      <c r="BK106" s="158" t="str">
        <f t="shared" si="84"/>
        <v/>
      </c>
      <c r="BL106" s="158" t="str">
        <f t="shared" si="66"/>
        <v/>
      </c>
      <c r="BM106" s="10"/>
      <c r="BN106" s="10" t="str">
        <f t="shared" si="85"/>
        <v/>
      </c>
      <c r="BO106" s="10" t="str">
        <f t="shared" si="86"/>
        <v/>
      </c>
      <c r="BQ106" s="10" t="str">
        <f t="shared" si="67"/>
        <v/>
      </c>
      <c r="BR106" s="10" t="str">
        <f t="shared" si="87"/>
        <v/>
      </c>
    </row>
    <row r="107" spans="4:70" ht="15" x14ac:dyDescent="0.15">
      <c r="D107" s="103" t="s">
        <v>604</v>
      </c>
      <c r="F107" s="484">
        <f>SUBTOTAL(9,F111:F112)</f>
        <v>0</v>
      </c>
      <c r="G107" s="84" t="s">
        <v>590</v>
      </c>
      <c r="I107" s="38">
        <f t="shared" si="88"/>
        <v>2112</v>
      </c>
      <c r="J107" s="39"/>
      <c r="K107" s="39">
        <f t="shared" si="89"/>
        <v>93</v>
      </c>
      <c r="L107" s="39"/>
      <c r="M107" s="40">
        <f t="shared" si="52"/>
        <v>6.3993829875609989E-2</v>
      </c>
      <c r="N107" s="39"/>
      <c r="O107" s="72" t="str">
        <f t="shared" si="68"/>
        <v/>
      </c>
      <c r="P107" s="41" t="str">
        <f t="shared" si="53"/>
        <v/>
      </c>
      <c r="Q107" s="39"/>
      <c r="R107" s="72" t="str">
        <f t="shared" si="69"/>
        <v/>
      </c>
      <c r="S107" s="39"/>
      <c r="T107" s="72" t="str">
        <f t="shared" si="70"/>
        <v/>
      </c>
      <c r="U107" s="39"/>
      <c r="V107" s="72" t="str">
        <f t="shared" si="54"/>
        <v/>
      </c>
      <c r="W107" s="72" t="str">
        <f t="shared" si="71"/>
        <v/>
      </c>
      <c r="X107" s="39"/>
      <c r="Y107" s="72" t="str">
        <f t="shared" si="55"/>
        <v/>
      </c>
      <c r="Z107" s="72" t="str">
        <f t="shared" si="72"/>
        <v/>
      </c>
      <c r="AA107" s="39"/>
      <c r="AB107" s="72" t="str">
        <f t="shared" si="56"/>
        <v/>
      </c>
      <c r="AC107" s="72" t="str">
        <f t="shared" si="73"/>
        <v/>
      </c>
      <c r="AD107" s="39"/>
      <c r="AE107" s="72" t="str">
        <f t="shared" si="57"/>
        <v/>
      </c>
      <c r="AF107" s="72" t="str">
        <f t="shared" si="74"/>
        <v/>
      </c>
      <c r="AG107" s="39"/>
      <c r="AH107" s="72" t="str">
        <f t="shared" si="58"/>
        <v/>
      </c>
      <c r="AI107" s="72" t="str">
        <f t="shared" si="75"/>
        <v/>
      </c>
      <c r="AJ107" s="39"/>
      <c r="AK107" s="72" t="str">
        <f t="shared" si="59"/>
        <v/>
      </c>
      <c r="AL107" s="72" t="str">
        <f t="shared" si="76"/>
        <v/>
      </c>
      <c r="AM107" s="39"/>
      <c r="AN107" s="72" t="str">
        <f t="shared" si="60"/>
        <v/>
      </c>
      <c r="AO107" s="72" t="str">
        <f t="shared" si="77"/>
        <v/>
      </c>
      <c r="AP107" s="39"/>
      <c r="AQ107" s="72" t="str">
        <f t="shared" si="61"/>
        <v/>
      </c>
      <c r="AR107" s="72" t="str">
        <f t="shared" si="78"/>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62"/>
        <v/>
      </c>
      <c r="AW107" s="72" t="str">
        <f t="shared" si="79"/>
        <v/>
      </c>
      <c r="AX107" s="39"/>
      <c r="AY107" s="40" t="str">
        <f>IF(ISERROR(IF($K107&lt;=$F$15,VLOOKUP($I107,'表4）CO2価格'!$A$7:$E$67,VLOOKUP($F$48,'表4）CO2価格'!$H$10:$I$12,2,0),0)*$F$8/1000,"")),0,IF($K107&lt;=$F$15,VLOOKUP($I107,'表4）CO2価格'!$A$7:$E$67,VLOOKUP($F$48,'表4）CO2価格'!$H$10:$I$12,2,0),0)*$F$8/1000,""))</f>
        <v/>
      </c>
      <c r="AZ107" s="39"/>
      <c r="BA107" s="42" t="str">
        <f t="shared" si="63"/>
        <v/>
      </c>
      <c r="BB107" s="72" t="str">
        <f t="shared" si="80"/>
        <v/>
      </c>
      <c r="BC107" s="39"/>
      <c r="BD107" s="72" t="str">
        <f t="shared" si="64"/>
        <v/>
      </c>
      <c r="BE107" s="72" t="str">
        <f t="shared" si="81"/>
        <v/>
      </c>
      <c r="BF107" s="39"/>
      <c r="BG107" s="42" t="str">
        <f t="shared" si="65"/>
        <v/>
      </c>
      <c r="BH107" s="72" t="str">
        <f t="shared" si="82"/>
        <v/>
      </c>
      <c r="BI107" s="39"/>
      <c r="BJ107" s="40" t="str">
        <f t="shared" si="83"/>
        <v/>
      </c>
      <c r="BK107" s="157" t="str">
        <f t="shared" si="84"/>
        <v/>
      </c>
      <c r="BL107" s="157" t="str">
        <f t="shared" si="66"/>
        <v/>
      </c>
      <c r="BM107" s="72"/>
      <c r="BN107" s="72" t="str">
        <f t="shared" si="85"/>
        <v/>
      </c>
      <c r="BO107" s="72" t="str">
        <f t="shared" si="86"/>
        <v/>
      </c>
      <c r="BP107" s="39"/>
      <c r="BQ107" s="72" t="str">
        <f t="shared" si="67"/>
        <v/>
      </c>
      <c r="BR107" s="72" t="str">
        <f t="shared" si="87"/>
        <v/>
      </c>
    </row>
    <row r="108" spans="4:70" ht="15" x14ac:dyDescent="0.15">
      <c r="D108" s="103"/>
      <c r="F108" s="487"/>
      <c r="I108" s="457">
        <f t="shared" si="88"/>
        <v>2113</v>
      </c>
      <c r="J108" s="71"/>
      <c r="K108" s="71">
        <f t="shared" si="89"/>
        <v>94</v>
      </c>
      <c r="L108" s="71"/>
      <c r="M108" s="7">
        <f t="shared" si="52"/>
        <v>6.212993191806794E-2</v>
      </c>
      <c r="N108" s="71"/>
      <c r="O108" s="10" t="str">
        <f t="shared" si="68"/>
        <v/>
      </c>
      <c r="P108" s="29" t="str">
        <f t="shared" si="53"/>
        <v/>
      </c>
      <c r="Q108" s="71"/>
      <c r="R108" s="10" t="str">
        <f t="shared" si="69"/>
        <v/>
      </c>
      <c r="S108" s="71"/>
      <c r="T108" s="10" t="str">
        <f t="shared" si="70"/>
        <v/>
      </c>
      <c r="U108" s="71"/>
      <c r="V108" s="10" t="str">
        <f t="shared" si="54"/>
        <v/>
      </c>
      <c r="W108" s="10" t="str">
        <f t="shared" si="71"/>
        <v/>
      </c>
      <c r="X108" s="71"/>
      <c r="Y108" s="10" t="str">
        <f t="shared" si="55"/>
        <v/>
      </c>
      <c r="Z108" s="10" t="str">
        <f t="shared" si="72"/>
        <v/>
      </c>
      <c r="AA108" s="71"/>
      <c r="AB108" s="10" t="str">
        <f t="shared" si="56"/>
        <v/>
      </c>
      <c r="AC108" s="10" t="str">
        <f t="shared" si="73"/>
        <v/>
      </c>
      <c r="AD108" s="71"/>
      <c r="AE108" s="10" t="str">
        <f t="shared" si="57"/>
        <v/>
      </c>
      <c r="AF108" s="10" t="str">
        <f t="shared" si="74"/>
        <v/>
      </c>
      <c r="AG108" s="71"/>
      <c r="AH108" s="10" t="str">
        <f t="shared" si="58"/>
        <v/>
      </c>
      <c r="AI108" s="10" t="str">
        <f t="shared" si="75"/>
        <v/>
      </c>
      <c r="AJ108" s="71"/>
      <c r="AK108" s="10" t="str">
        <f t="shared" si="59"/>
        <v/>
      </c>
      <c r="AL108" s="10" t="str">
        <f t="shared" si="76"/>
        <v/>
      </c>
      <c r="AM108" s="71"/>
      <c r="AN108" s="10" t="str">
        <f t="shared" si="60"/>
        <v/>
      </c>
      <c r="AO108" s="10" t="str">
        <f t="shared" si="77"/>
        <v/>
      </c>
      <c r="AP108" s="71"/>
      <c r="AQ108" s="10" t="str">
        <f t="shared" si="61"/>
        <v/>
      </c>
      <c r="AR108" s="10" t="str">
        <f t="shared" si="78"/>
        <v/>
      </c>
      <c r="AS108" s="71"/>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U108" s="71"/>
      <c r="AV108" s="10" t="str">
        <f t="shared" si="62"/>
        <v/>
      </c>
      <c r="AW108" s="10" t="str">
        <f t="shared" si="79"/>
        <v/>
      </c>
      <c r="AX108" s="71"/>
      <c r="AY108" s="7" t="str">
        <f>IF(ISERROR(IF($K108&lt;=$F$15,VLOOKUP($I108,'表4）CO2価格'!$A$7:$E$67,VLOOKUP($F$48,'表4）CO2価格'!$H$10:$I$12,2,0),0)*$F$8/1000,"")),0,IF($K108&lt;=$F$15,VLOOKUP($I108,'表4）CO2価格'!$A$7:$E$67,VLOOKUP($F$48,'表4）CO2価格'!$H$10:$I$12,2,0),0)*$F$8/1000,""))</f>
        <v/>
      </c>
      <c r="AZ108" s="71"/>
      <c r="BA108" s="11" t="str">
        <f t="shared" si="63"/>
        <v/>
      </c>
      <c r="BB108" s="10" t="str">
        <f t="shared" si="80"/>
        <v/>
      </c>
      <c r="BC108" s="71"/>
      <c r="BD108" s="10" t="str">
        <f t="shared" si="64"/>
        <v/>
      </c>
      <c r="BE108" s="10" t="str">
        <f t="shared" si="81"/>
        <v/>
      </c>
      <c r="BF108" s="71"/>
      <c r="BG108" s="11" t="str">
        <f t="shared" si="65"/>
        <v/>
      </c>
      <c r="BH108" s="10" t="str">
        <f t="shared" si="82"/>
        <v/>
      </c>
      <c r="BJ108" s="7" t="str">
        <f t="shared" si="83"/>
        <v/>
      </c>
      <c r="BK108" s="158" t="str">
        <f t="shared" si="84"/>
        <v/>
      </c>
      <c r="BL108" s="158" t="str">
        <f t="shared" si="66"/>
        <v/>
      </c>
      <c r="BM108" s="10"/>
      <c r="BN108" s="10" t="str">
        <f t="shared" si="85"/>
        <v/>
      </c>
      <c r="BO108" s="10" t="str">
        <f t="shared" si="86"/>
        <v/>
      </c>
      <c r="BQ108" s="10" t="str">
        <f t="shared" si="67"/>
        <v/>
      </c>
      <c r="BR108" s="10" t="str">
        <f t="shared" si="87"/>
        <v/>
      </c>
    </row>
    <row r="109" spans="4:70" x14ac:dyDescent="0.15">
      <c r="D109" s="100" t="s">
        <v>605</v>
      </c>
      <c r="E109" s="100"/>
      <c r="F109" s="486"/>
      <c r="G109" s="100"/>
      <c r="I109" s="38">
        <f t="shared" si="88"/>
        <v>2114</v>
      </c>
      <c r="J109" s="39"/>
      <c r="K109" s="39">
        <f t="shared" si="89"/>
        <v>95</v>
      </c>
      <c r="L109" s="39"/>
      <c r="M109" s="40">
        <f t="shared" si="52"/>
        <v>6.0320322250551395E-2</v>
      </c>
      <c r="N109" s="39"/>
      <c r="O109" s="72" t="str">
        <f t="shared" si="68"/>
        <v/>
      </c>
      <c r="P109" s="41" t="str">
        <f t="shared" si="53"/>
        <v/>
      </c>
      <c r="Q109" s="39"/>
      <c r="R109" s="72" t="str">
        <f t="shared" si="69"/>
        <v/>
      </c>
      <c r="S109" s="39"/>
      <c r="T109" s="72" t="str">
        <f t="shared" si="70"/>
        <v/>
      </c>
      <c r="U109" s="39"/>
      <c r="V109" s="72" t="str">
        <f t="shared" si="54"/>
        <v/>
      </c>
      <c r="W109" s="72" t="str">
        <f t="shared" si="71"/>
        <v/>
      </c>
      <c r="X109" s="39"/>
      <c r="Y109" s="72" t="str">
        <f t="shared" si="55"/>
        <v/>
      </c>
      <c r="Z109" s="72" t="str">
        <f t="shared" si="72"/>
        <v/>
      </c>
      <c r="AA109" s="39"/>
      <c r="AB109" s="72" t="str">
        <f t="shared" si="56"/>
        <v/>
      </c>
      <c r="AC109" s="72" t="str">
        <f t="shared" si="73"/>
        <v/>
      </c>
      <c r="AD109" s="39"/>
      <c r="AE109" s="72" t="str">
        <f t="shared" si="57"/>
        <v/>
      </c>
      <c r="AF109" s="72" t="str">
        <f t="shared" si="74"/>
        <v/>
      </c>
      <c r="AG109" s="39"/>
      <c r="AH109" s="72" t="str">
        <f t="shared" si="58"/>
        <v/>
      </c>
      <c r="AI109" s="72" t="str">
        <f t="shared" si="75"/>
        <v/>
      </c>
      <c r="AJ109" s="39"/>
      <c r="AK109" s="72" t="str">
        <f t="shared" si="59"/>
        <v/>
      </c>
      <c r="AL109" s="72" t="str">
        <f t="shared" si="76"/>
        <v/>
      </c>
      <c r="AM109" s="39"/>
      <c r="AN109" s="72" t="str">
        <f t="shared" si="60"/>
        <v/>
      </c>
      <c r="AO109" s="72" t="str">
        <f t="shared" si="77"/>
        <v/>
      </c>
      <c r="AP109" s="39"/>
      <c r="AQ109" s="72" t="str">
        <f t="shared" si="61"/>
        <v/>
      </c>
      <c r="AR109" s="72" t="str">
        <f t="shared" si="78"/>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62"/>
        <v/>
      </c>
      <c r="AW109" s="72" t="str">
        <f t="shared" si="79"/>
        <v/>
      </c>
      <c r="AX109" s="39"/>
      <c r="AY109" s="40" t="str">
        <f>IF(ISERROR(IF($K109&lt;=$F$15,VLOOKUP($I109,'表4）CO2価格'!$A$7:$E$67,VLOOKUP($F$48,'表4）CO2価格'!$H$10:$I$12,2,0),0)*$F$8/1000,"")),0,IF($K109&lt;=$F$15,VLOOKUP($I109,'表4）CO2価格'!$A$7:$E$67,VLOOKUP($F$48,'表4）CO2価格'!$H$10:$I$12,2,0),0)*$F$8/1000,""))</f>
        <v/>
      </c>
      <c r="AZ109" s="39"/>
      <c r="BA109" s="42" t="str">
        <f t="shared" si="63"/>
        <v/>
      </c>
      <c r="BB109" s="72" t="str">
        <f t="shared" si="80"/>
        <v/>
      </c>
      <c r="BC109" s="39"/>
      <c r="BD109" s="72" t="str">
        <f t="shared" si="64"/>
        <v/>
      </c>
      <c r="BE109" s="72" t="str">
        <f t="shared" si="81"/>
        <v/>
      </c>
      <c r="BF109" s="39"/>
      <c r="BG109" s="42" t="str">
        <f t="shared" si="65"/>
        <v/>
      </c>
      <c r="BH109" s="72" t="str">
        <f t="shared" si="82"/>
        <v/>
      </c>
      <c r="BI109" s="39"/>
      <c r="BJ109" s="40" t="str">
        <f t="shared" si="83"/>
        <v/>
      </c>
      <c r="BK109" s="157" t="str">
        <f t="shared" si="84"/>
        <v/>
      </c>
      <c r="BL109" s="157" t="str">
        <f t="shared" si="66"/>
        <v/>
      </c>
      <c r="BM109" s="72"/>
      <c r="BN109" s="72" t="str">
        <f t="shared" si="85"/>
        <v/>
      </c>
      <c r="BO109" s="72" t="str">
        <f t="shared" si="86"/>
        <v/>
      </c>
      <c r="BP109" s="39"/>
      <c r="BQ109" s="72" t="str">
        <f t="shared" si="67"/>
        <v/>
      </c>
      <c r="BR109" s="72" t="str">
        <f t="shared" si="87"/>
        <v/>
      </c>
    </row>
    <row r="110" spans="4:70" ht="15" x14ac:dyDescent="0.15">
      <c r="D110" s="103"/>
      <c r="F110" s="487"/>
      <c r="I110" s="457">
        <f t="shared" si="88"/>
        <v>2115</v>
      </c>
      <c r="J110" s="71"/>
      <c r="K110" s="71">
        <f t="shared" si="89"/>
        <v>96</v>
      </c>
      <c r="L110" s="71"/>
      <c r="M110" s="7">
        <f t="shared" si="52"/>
        <v>5.8563419660729518E-2</v>
      </c>
      <c r="N110" s="71"/>
      <c r="O110" s="10" t="str">
        <f t="shared" si="68"/>
        <v/>
      </c>
      <c r="P110" s="29" t="str">
        <f t="shared" si="53"/>
        <v/>
      </c>
      <c r="Q110" s="71"/>
      <c r="R110" s="10" t="str">
        <f t="shared" si="69"/>
        <v/>
      </c>
      <c r="S110" s="71"/>
      <c r="T110" s="10" t="str">
        <f t="shared" si="70"/>
        <v/>
      </c>
      <c r="U110" s="71"/>
      <c r="V110" s="10" t="str">
        <f t="shared" si="54"/>
        <v/>
      </c>
      <c r="W110" s="10" t="str">
        <f t="shared" si="71"/>
        <v/>
      </c>
      <c r="X110" s="71"/>
      <c r="Y110" s="10" t="str">
        <f t="shared" si="55"/>
        <v/>
      </c>
      <c r="Z110" s="10" t="str">
        <f t="shared" si="72"/>
        <v/>
      </c>
      <c r="AA110" s="71"/>
      <c r="AB110" s="10" t="str">
        <f t="shared" si="56"/>
        <v/>
      </c>
      <c r="AC110" s="10" t="str">
        <f t="shared" si="73"/>
        <v/>
      </c>
      <c r="AD110" s="71"/>
      <c r="AE110" s="10" t="str">
        <f t="shared" si="57"/>
        <v/>
      </c>
      <c r="AF110" s="10" t="str">
        <f t="shared" si="74"/>
        <v/>
      </c>
      <c r="AG110" s="71"/>
      <c r="AH110" s="10" t="str">
        <f t="shared" si="58"/>
        <v/>
      </c>
      <c r="AI110" s="10" t="str">
        <f t="shared" si="75"/>
        <v/>
      </c>
      <c r="AJ110" s="71"/>
      <c r="AK110" s="10" t="str">
        <f t="shared" si="59"/>
        <v/>
      </c>
      <c r="AL110" s="10" t="str">
        <f t="shared" si="76"/>
        <v/>
      </c>
      <c r="AM110" s="71"/>
      <c r="AN110" s="10" t="str">
        <f t="shared" si="60"/>
        <v/>
      </c>
      <c r="AO110" s="10" t="str">
        <f t="shared" si="77"/>
        <v/>
      </c>
      <c r="AP110" s="71"/>
      <c r="AQ110" s="10" t="str">
        <f t="shared" si="61"/>
        <v/>
      </c>
      <c r="AR110" s="10" t="str">
        <f t="shared" si="78"/>
        <v/>
      </c>
      <c r="AS110" s="71"/>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U110" s="71"/>
      <c r="AV110" s="10" t="str">
        <f t="shared" si="62"/>
        <v/>
      </c>
      <c r="AW110" s="10" t="str">
        <f t="shared" si="79"/>
        <v/>
      </c>
      <c r="AX110" s="71"/>
      <c r="AY110" s="7" t="str">
        <f>IF(ISERROR(IF($K110&lt;=$F$15,VLOOKUP($I110,'表4）CO2価格'!$A$7:$E$67,VLOOKUP($F$48,'表4）CO2価格'!$H$10:$I$12,2,0),0)*$F$8/1000,"")),0,IF($K110&lt;=$F$15,VLOOKUP($I110,'表4）CO2価格'!$A$7:$E$67,VLOOKUP($F$48,'表4）CO2価格'!$H$10:$I$12,2,0),0)*$F$8/1000,""))</f>
        <v/>
      </c>
      <c r="AZ110" s="71"/>
      <c r="BA110" s="11" t="str">
        <f t="shared" si="63"/>
        <v/>
      </c>
      <c r="BB110" s="10" t="str">
        <f t="shared" si="80"/>
        <v/>
      </c>
      <c r="BC110" s="71"/>
      <c r="BD110" s="10" t="str">
        <f t="shared" si="64"/>
        <v/>
      </c>
      <c r="BE110" s="10" t="str">
        <f t="shared" si="81"/>
        <v/>
      </c>
      <c r="BF110" s="71"/>
      <c r="BG110" s="11" t="str">
        <f t="shared" si="65"/>
        <v/>
      </c>
      <c r="BH110" s="10" t="str">
        <f t="shared" si="82"/>
        <v/>
      </c>
      <c r="BJ110" s="7" t="str">
        <f t="shared" si="83"/>
        <v/>
      </c>
      <c r="BK110" s="158" t="str">
        <f t="shared" si="84"/>
        <v/>
      </c>
      <c r="BL110" s="158" t="str">
        <f t="shared" si="66"/>
        <v/>
      </c>
      <c r="BM110" s="10"/>
      <c r="BN110" s="10" t="str">
        <f t="shared" si="85"/>
        <v/>
      </c>
      <c r="BO110" s="10" t="str">
        <f t="shared" si="86"/>
        <v/>
      </c>
      <c r="BQ110" s="10" t="str">
        <f t="shared" si="67"/>
        <v/>
      </c>
      <c r="BR110" s="10" t="str">
        <f t="shared" si="87"/>
        <v/>
      </c>
    </row>
    <row r="111" spans="4:70" ht="15" x14ac:dyDescent="0.15">
      <c r="D111" s="103"/>
      <c r="E111" s="84" t="s">
        <v>606</v>
      </c>
      <c r="F111" s="488">
        <f>-BE116/BR116</f>
        <v>0</v>
      </c>
      <c r="G111" s="84" t="s">
        <v>590</v>
      </c>
      <c r="I111" s="38">
        <f t="shared" si="88"/>
        <v>2116</v>
      </c>
      <c r="J111" s="39"/>
      <c r="K111" s="39">
        <f t="shared" si="89"/>
        <v>97</v>
      </c>
      <c r="L111" s="39"/>
      <c r="M111" s="40">
        <f t="shared" si="52"/>
        <v>5.6857688990999529E-2</v>
      </c>
      <c r="N111" s="39"/>
      <c r="O111" s="72" t="str">
        <f t="shared" si="68"/>
        <v/>
      </c>
      <c r="P111" s="41" t="str">
        <f t="shared" ref="P111:P114" si="90">IF(K111&lt;=$F$15,IF(OR(P110=$F$124,P110="-"),"-",IF(O111*$F$123&gt;$F$127,$F$123,$F$124)),"")</f>
        <v/>
      </c>
      <c r="Q111" s="39"/>
      <c r="R111" s="72" t="str">
        <f t="shared" si="69"/>
        <v/>
      </c>
      <c r="S111" s="39"/>
      <c r="T111" s="72" t="str">
        <f t="shared" si="70"/>
        <v/>
      </c>
      <c r="U111" s="39"/>
      <c r="V111" s="72" t="str">
        <f t="shared" si="54"/>
        <v/>
      </c>
      <c r="W111" s="72" t="str">
        <f t="shared" si="71"/>
        <v/>
      </c>
      <c r="X111" s="39"/>
      <c r="Y111" s="72" t="str">
        <f t="shared" si="55"/>
        <v/>
      </c>
      <c r="Z111" s="72" t="str">
        <f t="shared" si="72"/>
        <v/>
      </c>
      <c r="AA111" s="39"/>
      <c r="AB111" s="72" t="str">
        <f t="shared" si="56"/>
        <v/>
      </c>
      <c r="AC111" s="72" t="str">
        <f t="shared" si="73"/>
        <v/>
      </c>
      <c r="AD111" s="39"/>
      <c r="AE111" s="72" t="str">
        <f t="shared" si="57"/>
        <v/>
      </c>
      <c r="AF111" s="72" t="str">
        <f t="shared" si="74"/>
        <v/>
      </c>
      <c r="AG111" s="39"/>
      <c r="AH111" s="72" t="str">
        <f t="shared" si="58"/>
        <v/>
      </c>
      <c r="AI111" s="72" t="str">
        <f t="shared" si="75"/>
        <v/>
      </c>
      <c r="AJ111" s="39"/>
      <c r="AK111" s="72" t="str">
        <f t="shared" si="59"/>
        <v/>
      </c>
      <c r="AL111" s="72" t="str">
        <f t="shared" si="76"/>
        <v/>
      </c>
      <c r="AM111" s="39"/>
      <c r="AN111" s="72" t="str">
        <f t="shared" si="60"/>
        <v/>
      </c>
      <c r="AO111" s="72" t="str">
        <f t="shared" si="77"/>
        <v/>
      </c>
      <c r="AP111" s="39"/>
      <c r="AQ111" s="72" t="str">
        <f t="shared" si="61"/>
        <v/>
      </c>
      <c r="AR111" s="72" t="str">
        <f t="shared" si="78"/>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62"/>
        <v/>
      </c>
      <c r="AW111" s="72" t="str">
        <f t="shared" si="79"/>
        <v/>
      </c>
      <c r="AX111" s="39"/>
      <c r="AY111" s="40" t="str">
        <f>IF(ISERROR(IF($K111&lt;=$F$15,VLOOKUP($I111,'表4）CO2価格'!$A$7:$E$67,VLOOKUP($F$48,'表4）CO2価格'!$H$10:$I$12,2,0),0)*$F$8/1000,"")),0,IF($K111&lt;=$F$15,VLOOKUP($I111,'表4）CO2価格'!$A$7:$E$67,VLOOKUP($F$48,'表4）CO2価格'!$H$10:$I$12,2,0),0)*$F$8/1000,""))</f>
        <v/>
      </c>
      <c r="AZ111" s="39"/>
      <c r="BA111" s="42" t="str">
        <f t="shared" si="63"/>
        <v/>
      </c>
      <c r="BB111" s="72" t="str">
        <f t="shared" si="80"/>
        <v/>
      </c>
      <c r="BC111" s="39"/>
      <c r="BD111" s="72" t="str">
        <f t="shared" si="64"/>
        <v/>
      </c>
      <c r="BE111" s="72" t="str">
        <f t="shared" si="81"/>
        <v/>
      </c>
      <c r="BF111" s="39"/>
      <c r="BG111" s="42" t="str">
        <f t="shared" si="65"/>
        <v/>
      </c>
      <c r="BH111" s="72" t="str">
        <f t="shared" si="82"/>
        <v/>
      </c>
      <c r="BI111" s="39"/>
      <c r="BJ111" s="40" t="str">
        <f t="shared" si="83"/>
        <v/>
      </c>
      <c r="BK111" s="157" t="str">
        <f t="shared" si="84"/>
        <v/>
      </c>
      <c r="BL111" s="157" t="str">
        <f t="shared" si="66"/>
        <v/>
      </c>
      <c r="BM111" s="72"/>
      <c r="BN111" s="72" t="str">
        <f t="shared" si="85"/>
        <v/>
      </c>
      <c r="BO111" s="72" t="str">
        <f t="shared" si="86"/>
        <v/>
      </c>
      <c r="BP111" s="39"/>
      <c r="BQ111" s="72" t="str">
        <f t="shared" si="67"/>
        <v/>
      </c>
      <c r="BR111" s="72" t="str">
        <f t="shared" si="87"/>
        <v/>
      </c>
    </row>
    <row r="112" spans="4:70" ht="15" x14ac:dyDescent="0.15">
      <c r="D112" s="103"/>
      <c r="E112" s="84" t="s">
        <v>607</v>
      </c>
      <c r="F112" s="488">
        <f>-BH116/BR116</f>
        <v>0</v>
      </c>
      <c r="G112" s="84" t="s">
        <v>590</v>
      </c>
      <c r="I112" s="457">
        <f t="shared" si="88"/>
        <v>2117</v>
      </c>
      <c r="J112" s="71"/>
      <c r="K112" s="71">
        <f t="shared" si="89"/>
        <v>98</v>
      </c>
      <c r="L112" s="71"/>
      <c r="M112" s="7">
        <f t="shared" si="52"/>
        <v>5.5201639797086935E-2</v>
      </c>
      <c r="N112" s="71"/>
      <c r="O112" s="10" t="str">
        <f t="shared" si="68"/>
        <v/>
      </c>
      <c r="P112" s="29" t="str">
        <f t="shared" si="90"/>
        <v/>
      </c>
      <c r="Q112" s="71"/>
      <c r="R112" s="10" t="str">
        <f t="shared" si="69"/>
        <v/>
      </c>
      <c r="S112" s="71"/>
      <c r="T112" s="10" t="str">
        <f t="shared" si="70"/>
        <v/>
      </c>
      <c r="U112" s="71"/>
      <c r="V112" s="10" t="str">
        <f t="shared" si="54"/>
        <v/>
      </c>
      <c r="W112" s="10" t="str">
        <f t="shared" si="71"/>
        <v/>
      </c>
      <c r="X112" s="71"/>
      <c r="Y112" s="10" t="str">
        <f t="shared" si="55"/>
        <v/>
      </c>
      <c r="Z112" s="10" t="str">
        <f t="shared" si="72"/>
        <v/>
      </c>
      <c r="AA112" s="71"/>
      <c r="AB112" s="10" t="str">
        <f t="shared" si="56"/>
        <v/>
      </c>
      <c r="AC112" s="10" t="str">
        <f t="shared" si="73"/>
        <v/>
      </c>
      <c r="AD112" s="71"/>
      <c r="AE112" s="10" t="str">
        <f t="shared" si="57"/>
        <v/>
      </c>
      <c r="AF112" s="10" t="str">
        <f t="shared" si="74"/>
        <v/>
      </c>
      <c r="AG112" s="71"/>
      <c r="AH112" s="10" t="str">
        <f t="shared" si="58"/>
        <v/>
      </c>
      <c r="AI112" s="10" t="str">
        <f t="shared" si="75"/>
        <v/>
      </c>
      <c r="AJ112" s="71"/>
      <c r="AK112" s="10" t="str">
        <f t="shared" si="59"/>
        <v/>
      </c>
      <c r="AL112" s="10" t="str">
        <f t="shared" si="76"/>
        <v/>
      </c>
      <c r="AM112" s="71"/>
      <c r="AN112" s="10" t="str">
        <f t="shared" si="60"/>
        <v/>
      </c>
      <c r="AO112" s="10" t="str">
        <f t="shared" si="77"/>
        <v/>
      </c>
      <c r="AP112" s="71"/>
      <c r="AQ112" s="10" t="str">
        <f t="shared" si="61"/>
        <v/>
      </c>
      <c r="AR112" s="10" t="str">
        <f t="shared" si="78"/>
        <v/>
      </c>
      <c r="AS112" s="71"/>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U112" s="71"/>
      <c r="AV112" s="10" t="str">
        <f t="shared" si="62"/>
        <v/>
      </c>
      <c r="AW112" s="10" t="str">
        <f t="shared" si="79"/>
        <v/>
      </c>
      <c r="AX112" s="71"/>
      <c r="AY112" s="7" t="str">
        <f>IF(ISERROR(IF($K112&lt;=$F$15,VLOOKUP($I112,'表4）CO2価格'!$A$7:$E$67,VLOOKUP($F$48,'表4）CO2価格'!$H$10:$I$12,2,0),0)*$F$8/1000,"")),0,IF($K112&lt;=$F$15,VLOOKUP($I112,'表4）CO2価格'!$A$7:$E$67,VLOOKUP($F$48,'表4）CO2価格'!$H$10:$I$12,2,0),0)*$F$8/1000,""))</f>
        <v/>
      </c>
      <c r="AZ112" s="71"/>
      <c r="BA112" s="11" t="str">
        <f t="shared" si="63"/>
        <v/>
      </c>
      <c r="BB112" s="10" t="str">
        <f t="shared" si="80"/>
        <v/>
      </c>
      <c r="BC112" s="71"/>
      <c r="BD112" s="10" t="str">
        <f t="shared" si="64"/>
        <v/>
      </c>
      <c r="BE112" s="10" t="str">
        <f t="shared" si="81"/>
        <v/>
      </c>
      <c r="BF112" s="71"/>
      <c r="BG112" s="11" t="str">
        <f t="shared" si="65"/>
        <v/>
      </c>
      <c r="BH112" s="10" t="str">
        <f t="shared" si="82"/>
        <v/>
      </c>
      <c r="BJ112" s="7" t="str">
        <f t="shared" si="83"/>
        <v/>
      </c>
      <c r="BK112" s="158" t="str">
        <f t="shared" si="84"/>
        <v/>
      </c>
      <c r="BL112" s="158" t="str">
        <f t="shared" si="66"/>
        <v/>
      </c>
      <c r="BM112" s="10"/>
      <c r="BN112" s="10" t="str">
        <f t="shared" si="85"/>
        <v/>
      </c>
      <c r="BO112" s="10" t="str">
        <f t="shared" si="86"/>
        <v/>
      </c>
      <c r="BQ112" s="10" t="str">
        <f t="shared" si="67"/>
        <v/>
      </c>
      <c r="BR112" s="10" t="str">
        <f t="shared" si="87"/>
        <v/>
      </c>
    </row>
    <row r="113" spans="2:70" x14ac:dyDescent="0.15">
      <c r="I113" s="38">
        <f t="shared" si="88"/>
        <v>2118</v>
      </c>
      <c r="J113" s="39"/>
      <c r="K113" s="39">
        <f t="shared" si="89"/>
        <v>99</v>
      </c>
      <c r="L113" s="39"/>
      <c r="M113" s="40">
        <f t="shared" si="52"/>
        <v>5.3593825045715457E-2</v>
      </c>
      <c r="N113" s="39"/>
      <c r="O113" s="72" t="str">
        <f t="shared" si="68"/>
        <v/>
      </c>
      <c r="P113" s="41" t="str">
        <f t="shared" si="90"/>
        <v/>
      </c>
      <c r="Q113" s="39"/>
      <c r="R113" s="72" t="str">
        <f t="shared" si="69"/>
        <v/>
      </c>
      <c r="S113" s="39"/>
      <c r="T113" s="72" t="str">
        <f t="shared" si="70"/>
        <v/>
      </c>
      <c r="U113" s="39"/>
      <c r="V113" s="72" t="str">
        <f t="shared" si="54"/>
        <v/>
      </c>
      <c r="W113" s="72" t="str">
        <f t="shared" si="71"/>
        <v/>
      </c>
      <c r="X113" s="39"/>
      <c r="Y113" s="72" t="str">
        <f t="shared" si="55"/>
        <v/>
      </c>
      <c r="Z113" s="72" t="str">
        <f t="shared" si="72"/>
        <v/>
      </c>
      <c r="AA113" s="39"/>
      <c r="AB113" s="72" t="str">
        <f t="shared" si="56"/>
        <v/>
      </c>
      <c r="AC113" s="72" t="str">
        <f t="shared" si="73"/>
        <v/>
      </c>
      <c r="AD113" s="39"/>
      <c r="AE113" s="72" t="str">
        <f t="shared" si="57"/>
        <v/>
      </c>
      <c r="AF113" s="72" t="str">
        <f t="shared" si="74"/>
        <v/>
      </c>
      <c r="AG113" s="39"/>
      <c r="AH113" s="72" t="str">
        <f t="shared" si="58"/>
        <v/>
      </c>
      <c r="AI113" s="72" t="str">
        <f t="shared" si="75"/>
        <v/>
      </c>
      <c r="AJ113" s="39"/>
      <c r="AK113" s="72" t="str">
        <f t="shared" si="59"/>
        <v/>
      </c>
      <c r="AL113" s="72" t="str">
        <f t="shared" si="76"/>
        <v/>
      </c>
      <c r="AM113" s="39"/>
      <c r="AN113" s="72" t="str">
        <f t="shared" si="60"/>
        <v/>
      </c>
      <c r="AO113" s="72" t="str">
        <f t="shared" si="77"/>
        <v/>
      </c>
      <c r="AP113" s="39"/>
      <c r="AQ113" s="72" t="str">
        <f t="shared" si="61"/>
        <v/>
      </c>
      <c r="AR113" s="72" t="str">
        <f t="shared" si="78"/>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62"/>
        <v/>
      </c>
      <c r="AW113" s="72" t="str">
        <f t="shared" si="79"/>
        <v/>
      </c>
      <c r="AX113" s="39"/>
      <c r="AY113" s="40" t="str">
        <f>IF(ISERROR(IF($K113&lt;=$F$15,VLOOKUP($I113,'表4）CO2価格'!$A$7:$E$67,VLOOKUP($F$48,'表4）CO2価格'!$H$10:$I$12,2,0),0)*$F$8/1000,"")),0,IF($K113&lt;=$F$15,VLOOKUP($I113,'表4）CO2価格'!$A$7:$E$67,VLOOKUP($F$48,'表4）CO2価格'!$H$10:$I$12,2,0),0)*$F$8/1000,""))</f>
        <v/>
      </c>
      <c r="AZ113" s="39"/>
      <c r="BA113" s="42" t="str">
        <f t="shared" si="63"/>
        <v/>
      </c>
      <c r="BB113" s="72" t="str">
        <f t="shared" si="80"/>
        <v/>
      </c>
      <c r="BC113" s="39"/>
      <c r="BD113" s="72" t="str">
        <f t="shared" si="64"/>
        <v/>
      </c>
      <c r="BE113" s="72" t="str">
        <f t="shared" si="81"/>
        <v/>
      </c>
      <c r="BF113" s="39"/>
      <c r="BG113" s="42" t="str">
        <f t="shared" si="65"/>
        <v/>
      </c>
      <c r="BH113" s="72" t="str">
        <f t="shared" si="82"/>
        <v/>
      </c>
      <c r="BI113" s="39"/>
      <c r="BJ113" s="40" t="str">
        <f t="shared" si="83"/>
        <v/>
      </c>
      <c r="BK113" s="157" t="str">
        <f t="shared" si="84"/>
        <v/>
      </c>
      <c r="BL113" s="157" t="str">
        <f t="shared" si="66"/>
        <v/>
      </c>
      <c r="BM113" s="72"/>
      <c r="BN113" s="72" t="str">
        <f t="shared" si="85"/>
        <v/>
      </c>
      <c r="BO113" s="72" t="str">
        <f t="shared" si="86"/>
        <v/>
      </c>
      <c r="BP113" s="39"/>
      <c r="BQ113" s="72" t="str">
        <f t="shared" si="67"/>
        <v/>
      </c>
      <c r="BR113" s="72" t="str">
        <f t="shared" si="87"/>
        <v/>
      </c>
    </row>
    <row r="114" spans="2:70" x14ac:dyDescent="0.15">
      <c r="I114" s="457">
        <f t="shared" si="88"/>
        <v>2119</v>
      </c>
      <c r="J114" s="71"/>
      <c r="K114" s="71">
        <f t="shared" si="89"/>
        <v>100</v>
      </c>
      <c r="L114" s="71"/>
      <c r="M114" s="7">
        <f t="shared" si="52"/>
        <v>5.2032839850209185E-2</v>
      </c>
      <c r="N114" s="71"/>
      <c r="O114" s="10" t="str">
        <f t="shared" si="68"/>
        <v/>
      </c>
      <c r="P114" s="29" t="str">
        <f t="shared" si="90"/>
        <v/>
      </c>
      <c r="Q114" s="71"/>
      <c r="R114" s="10" t="str">
        <f t="shared" si="69"/>
        <v/>
      </c>
      <c r="S114" s="71"/>
      <c r="T114" s="10" t="str">
        <f t="shared" si="70"/>
        <v/>
      </c>
      <c r="U114" s="71"/>
      <c r="V114" s="10" t="str">
        <f t="shared" si="54"/>
        <v/>
      </c>
      <c r="W114" s="10" t="str">
        <f t="shared" si="71"/>
        <v/>
      </c>
      <c r="X114" s="71"/>
      <c r="Y114" s="10" t="str">
        <f t="shared" si="55"/>
        <v/>
      </c>
      <c r="Z114" s="10" t="str">
        <f t="shared" si="72"/>
        <v/>
      </c>
      <c r="AA114" s="71"/>
      <c r="AB114" s="10" t="str">
        <f t="shared" si="56"/>
        <v/>
      </c>
      <c r="AC114" s="10" t="str">
        <f t="shared" si="73"/>
        <v/>
      </c>
      <c r="AD114" s="71"/>
      <c r="AE114" s="10" t="str">
        <f t="shared" si="57"/>
        <v/>
      </c>
      <c r="AF114" s="10" t="str">
        <f t="shared" si="74"/>
        <v/>
      </c>
      <c r="AG114" s="71"/>
      <c r="AH114" s="10" t="str">
        <f t="shared" si="58"/>
        <v/>
      </c>
      <c r="AI114" s="10" t="str">
        <f t="shared" si="75"/>
        <v/>
      </c>
      <c r="AJ114" s="71"/>
      <c r="AK114" s="10" t="str">
        <f t="shared" si="59"/>
        <v/>
      </c>
      <c r="AL114" s="10" t="str">
        <f t="shared" si="76"/>
        <v/>
      </c>
      <c r="AM114" s="71"/>
      <c r="AN114" s="10" t="str">
        <f t="shared" si="60"/>
        <v/>
      </c>
      <c r="AO114" s="10" t="str">
        <f t="shared" si="77"/>
        <v/>
      </c>
      <c r="AP114" s="71"/>
      <c r="AQ114" s="10" t="str">
        <f t="shared" si="61"/>
        <v/>
      </c>
      <c r="AR114" s="10" t="str">
        <f t="shared" si="78"/>
        <v/>
      </c>
      <c r="AS114" s="71"/>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U114" s="71"/>
      <c r="AV114" s="10" t="str">
        <f t="shared" si="62"/>
        <v/>
      </c>
      <c r="AW114" s="10" t="str">
        <f t="shared" si="79"/>
        <v/>
      </c>
      <c r="AX114" s="71"/>
      <c r="AY114" s="7" t="str">
        <f>IF(ISERROR(IF($K114&lt;=$F$15,VLOOKUP($I114,'表4）CO2価格'!$A$7:$E$67,VLOOKUP($F$48,'表4）CO2価格'!$H$10:$I$12,2,0),0)*$F$8/1000,"")),0,IF($K114&lt;=$F$15,VLOOKUP($I114,'表4）CO2価格'!$A$7:$E$67,VLOOKUP($F$48,'表4）CO2価格'!$H$10:$I$12,2,0),0)*$F$8/1000,""))</f>
        <v/>
      </c>
      <c r="AZ114" s="71"/>
      <c r="BA114" s="11" t="str">
        <f t="shared" si="63"/>
        <v/>
      </c>
      <c r="BB114" s="10" t="str">
        <f t="shared" si="80"/>
        <v/>
      </c>
      <c r="BC114" s="71"/>
      <c r="BD114" s="10" t="str">
        <f t="shared" si="64"/>
        <v/>
      </c>
      <c r="BE114" s="10" t="str">
        <f t="shared" si="81"/>
        <v/>
      </c>
      <c r="BF114" s="71"/>
      <c r="BG114" s="11" t="str">
        <f t="shared" si="65"/>
        <v/>
      </c>
      <c r="BH114" s="10" t="str">
        <f t="shared" si="82"/>
        <v/>
      </c>
      <c r="BJ114" s="7" t="str">
        <f t="shared" si="83"/>
        <v/>
      </c>
      <c r="BK114" s="158" t="str">
        <f t="shared" si="84"/>
        <v/>
      </c>
      <c r="BL114" s="158" t="str">
        <f t="shared" si="66"/>
        <v/>
      </c>
      <c r="BM114" s="10"/>
      <c r="BN114" s="10" t="str">
        <f t="shared" si="85"/>
        <v/>
      </c>
      <c r="BO114" s="10" t="str">
        <f t="shared" si="86"/>
        <v/>
      </c>
      <c r="BQ114" s="10" t="str">
        <f t="shared" si="67"/>
        <v/>
      </c>
      <c r="BR114" s="10" t="str">
        <f t="shared" si="87"/>
        <v/>
      </c>
    </row>
    <row r="115" spans="2:70" ht="15.75" thickBot="1" x14ac:dyDescent="0.2">
      <c r="B115" s="5" t="s">
        <v>608</v>
      </c>
      <c r="C115" s="3"/>
      <c r="D115" s="102"/>
      <c r="E115" s="102"/>
      <c r="F115" s="3"/>
      <c r="G115" s="102"/>
      <c r="I115" s="456"/>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71" t="s">
        <v>609</v>
      </c>
      <c r="J116" s="71"/>
      <c r="K116" s="71"/>
      <c r="L116" s="71"/>
      <c r="M116" s="71"/>
      <c r="N116" s="71"/>
      <c r="O116" s="71"/>
      <c r="P116" s="71"/>
      <c r="Q116" s="71"/>
      <c r="R116" s="71"/>
      <c r="S116" s="71"/>
      <c r="T116" s="71"/>
      <c r="U116" s="71"/>
      <c r="V116" s="71"/>
      <c r="W116" s="11"/>
      <c r="X116" s="71"/>
      <c r="Y116" s="71"/>
      <c r="Z116" s="11">
        <f>SUM(Z15:Z114)</f>
        <v>19575094.367452107</v>
      </c>
      <c r="AA116" s="71"/>
      <c r="AB116" s="71"/>
      <c r="AC116" s="11">
        <f>SUM(AC15:AC114)</f>
        <v>2678652.0067614191</v>
      </c>
      <c r="AD116" s="71"/>
      <c r="AE116" s="71"/>
      <c r="AF116" s="11">
        <f>SUM(AF15:AF114)</f>
        <v>6009840.7132936772</v>
      </c>
      <c r="AG116" s="71"/>
      <c r="AH116" s="71"/>
      <c r="AI116" s="11">
        <f>SUM(AI15:AI114)</f>
        <v>161803403.81944516</v>
      </c>
      <c r="AJ116" s="71"/>
      <c r="AK116" s="71"/>
      <c r="AL116" s="11">
        <f>SUM(AL15:AL114)</f>
        <v>124819768.66071485</v>
      </c>
      <c r="AM116" s="71"/>
      <c r="AN116" s="71"/>
      <c r="AO116" s="11">
        <f>SUM(AO15:AO114)</f>
        <v>0</v>
      </c>
      <c r="AP116" s="71"/>
      <c r="AQ116" s="71"/>
      <c r="AR116" s="11">
        <f>SUM(AR15:AR114)</f>
        <v>40127244.147222415</v>
      </c>
      <c r="AS116" s="71"/>
      <c r="AT116" s="71"/>
      <c r="AU116" s="71"/>
      <c r="AV116" s="71"/>
      <c r="AW116" s="11">
        <f>SUM(AW15:AW114)</f>
        <v>0</v>
      </c>
      <c r="AX116" s="71"/>
      <c r="AY116" s="71"/>
      <c r="AZ116" s="71"/>
      <c r="BA116" s="71"/>
      <c r="BB116" s="11">
        <f>SUM(BB15:BB114)</f>
        <v>0</v>
      </c>
      <c r="BC116" s="71"/>
      <c r="BD116" s="71"/>
      <c r="BE116" s="11">
        <f>SUM(BE15:BE114)</f>
        <v>0</v>
      </c>
      <c r="BF116" s="71"/>
      <c r="BG116" s="71"/>
      <c r="BH116" s="11">
        <f>SUM(BH15:BH114)</f>
        <v>0</v>
      </c>
      <c r="BK116" s="11">
        <f>SUM(BK15:BK114)</f>
        <v>169088936.73835239</v>
      </c>
      <c r="BL116" s="11">
        <f>SUM(BL15:BL114)</f>
        <v>11136427.774886588</v>
      </c>
      <c r="BO116" s="11">
        <f>SUM(BO15:BO114)</f>
        <v>490235500.91846627</v>
      </c>
      <c r="BQ116" s="71"/>
      <c r="BR116" s="11">
        <f>SUM(BR15:BR114)</f>
        <v>24298248.299285818</v>
      </c>
    </row>
    <row r="117" spans="2:70" x14ac:dyDescent="0.15">
      <c r="C117" s="71" t="s">
        <v>610</v>
      </c>
      <c r="F117" s="490">
        <f>F21*10^4*F13*10^4+F29*10^8</f>
        <v>180000000</v>
      </c>
      <c r="G117" s="84" t="s">
        <v>611</v>
      </c>
      <c r="I117" s="184" t="s">
        <v>145</v>
      </c>
      <c r="J117" s="71"/>
      <c r="K117" s="71"/>
      <c r="L117" s="71"/>
      <c r="M117" s="71"/>
      <c r="N117" s="71"/>
      <c r="O117" s="71"/>
      <c r="P117" s="71"/>
      <c r="Q117" s="71"/>
      <c r="R117" s="71"/>
      <c r="S117" s="71"/>
      <c r="T117" s="71"/>
      <c r="U117" s="71"/>
      <c r="V117" s="71"/>
      <c r="W117" s="11"/>
      <c r="X117" s="71"/>
      <c r="Y117" s="71"/>
      <c r="Z117" s="11">
        <f ca="1">IF(ISNUMBER($F$16),SUM(INDIRECT(ADDRESS($F$16+15,COLUMN())):INDIRECT(ADDRESS(114,COLUMN()))),"")</f>
        <v>1426836.8477276133</v>
      </c>
      <c r="AA117" s="71"/>
      <c r="AB117" s="71"/>
      <c r="AC117" s="11">
        <f ca="1">IF(ISNUMBER($F$16),SUM(INDIRECT(ADDRESS($F$16+15,COLUMN())):INDIRECT(ADDRESS(114,COLUMN()))),"")</f>
        <v>2678652.0067614191</v>
      </c>
      <c r="AD117" s="71"/>
      <c r="AE117" s="71"/>
      <c r="AF117" s="11">
        <f ca="1">IF(ISNUMBER($F$16),SUM(INDIRECT(ADDRESS($F$16+15,COLUMN())):INDIRECT(ADDRESS(114,COLUMN()))),"")</f>
        <v>2141697.2495752452</v>
      </c>
      <c r="AG117" s="71"/>
      <c r="AH117" s="71"/>
      <c r="AI117" s="11">
        <f ca="1">IF(ISNUMBER($F$16),SUM(INDIRECT(ADDRESS($F$16+15,COLUMN())):INDIRECT(ADDRESS(114,COLUMN()))),"")</f>
        <v>57661079.796256617</v>
      </c>
      <c r="AJ117" s="71"/>
      <c r="AK117" s="71"/>
      <c r="AL117" s="11">
        <f ca="1">IF(ISNUMBER($F$16),SUM(INDIRECT(ADDRESS($F$16+15,COLUMN())):INDIRECT(ADDRESS(114,COLUMN()))),"")</f>
        <v>44481404.414255083</v>
      </c>
      <c r="AM117" s="71"/>
      <c r="AN117" s="71"/>
      <c r="AO117" s="11">
        <f ca="1">IF(ISNUMBER($F$16),SUM(INDIRECT(ADDRESS($F$16+15,COLUMN())):INDIRECT(ADDRESS(114,COLUMN()))),"")</f>
        <v>0</v>
      </c>
      <c r="AP117" s="71"/>
      <c r="AQ117" s="71"/>
      <c r="AR117" s="11">
        <f ca="1">IF(ISNUMBER($F$16),SUM(INDIRECT(ADDRESS($F$16+15,COLUMN())):INDIRECT(ADDRESS(114,COLUMN()))),"")</f>
        <v>14299947.789471639</v>
      </c>
      <c r="AS117" s="71"/>
      <c r="AT117" s="71"/>
      <c r="AU117" s="71"/>
      <c r="AV117" s="71"/>
      <c r="AW117" s="11">
        <f ca="1">IF(ISNUMBER($F$16),SUM(INDIRECT(ADDRESS($F$16+15,COLUMN())):INDIRECT(ADDRESS(114,COLUMN()))),"")</f>
        <v>0</v>
      </c>
      <c r="AX117" s="71"/>
      <c r="AY117" s="71"/>
      <c r="AZ117" s="71"/>
      <c r="BA117" s="71"/>
      <c r="BB117" s="11">
        <f ca="1">IF(ISNUMBER($F$16),SUM(INDIRECT(ADDRESS($F$16+15,COLUMN())):INDIRECT(ADDRESS(114,COLUMN()))),"")</f>
        <v>0</v>
      </c>
      <c r="BC117" s="71"/>
      <c r="BD117" s="71"/>
      <c r="BE117" s="11">
        <f ca="1">IF(ISNUMBER($F$16),SUM(INDIRECT(ADDRESS($F$16+15,COLUMN())):INDIRECT(ADDRESS(114,COLUMN()))),"")</f>
        <v>0</v>
      </c>
      <c r="BF117" s="71"/>
      <c r="BG117" s="71"/>
      <c r="BH117" s="11">
        <f ca="1">IF(ISNUMBER($F$16),SUM(INDIRECT(ADDRESS($F$16+15,COLUMN())):INDIRECT(ADDRESS(114,COLUMN()))),"")</f>
        <v>0</v>
      </c>
      <c r="BK117" s="11">
        <f ca="1">IF(ISNUMBER($F$16),SUM(INDIRECT(ADDRESS($F$16+15,COLUMN())):INDIRECT(ADDRESS(114,COLUMN()))),"")</f>
        <v>2173617.7806774001</v>
      </c>
      <c r="BL117" s="11">
        <f ca="1">IF(ISNUMBER($F$16),SUM(INDIRECT(ADDRESS($F$16+15,COLUMN())):INDIRECT(ADDRESS(114,COLUMN()))),"")</f>
        <v>0</v>
      </c>
      <c r="BO117" s="11">
        <f ca="1">IF(ISNUMBER($F$16),SUM(INDIRECT(ADDRESS($F$16+15,COLUMN())):INDIRECT(ADDRESS(114,COLUMN()))),"")</f>
        <v>0</v>
      </c>
      <c r="BQ117" s="71"/>
      <c r="BR117" s="11">
        <f ca="1">IF(ISNUMBER($F$16),SUM(INDIRECT(ADDRESS($F$16+15,COLUMN())):INDIRECT(ADDRESS(114,COLUMN()))),"")</f>
        <v>8659046.7259749919</v>
      </c>
    </row>
    <row r="119" spans="2:70" x14ac:dyDescent="0.15">
      <c r="C119" s="71" t="s">
        <v>612</v>
      </c>
      <c r="F119" s="490">
        <f>VLOOKUP(F3,'表2）法定耐用年数'!$A$2:$B$24,2,0)</f>
        <v>22</v>
      </c>
      <c r="G119" s="84" t="s">
        <v>556</v>
      </c>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Q119" s="71"/>
      <c r="BR119" s="71"/>
    </row>
    <row r="121" spans="2:70" x14ac:dyDescent="0.15">
      <c r="C121" s="4" t="s">
        <v>613</v>
      </c>
      <c r="D121" s="100"/>
      <c r="E121" s="100"/>
      <c r="F121" s="4"/>
      <c r="G121" s="100"/>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Q121" s="71"/>
      <c r="BR121" s="71"/>
    </row>
    <row r="123" spans="2:70" x14ac:dyDescent="0.15">
      <c r="D123" s="84" t="s">
        <v>614</v>
      </c>
      <c r="F123" s="491">
        <f>VLOOKUP($F$119,'表1）減価償却率表'!$A$9:$E$107,3,0)</f>
        <v>0.114</v>
      </c>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Q123" s="71"/>
      <c r="BR123" s="71"/>
    </row>
    <row r="124" spans="2:70" x14ac:dyDescent="0.15">
      <c r="D124" s="84" t="s">
        <v>615</v>
      </c>
      <c r="F124" s="491">
        <f>VLOOKUP($F$119,'表1）減価償却率表'!$A$9:$E$107,4,0)</f>
        <v>0.125</v>
      </c>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Q124" s="71"/>
      <c r="BR124" s="71"/>
    </row>
    <row r="125" spans="2:70" x14ac:dyDescent="0.15">
      <c r="D125" s="84" t="s">
        <v>616</v>
      </c>
      <c r="F125" s="474">
        <f>VLOOKUP($F$119,'表1）減価償却率表'!$A$9:$E$107,5,0)</f>
        <v>2.2960000000000001E-2</v>
      </c>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Q125" s="71"/>
      <c r="BR125" s="71"/>
    </row>
    <row r="126" spans="2:70" x14ac:dyDescent="0.15">
      <c r="F126" s="492"/>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Q126" s="71"/>
      <c r="BR126" s="71"/>
    </row>
    <row r="127" spans="2:70" x14ac:dyDescent="0.15">
      <c r="C127" s="8" t="s">
        <v>617</v>
      </c>
      <c r="D127" s="493"/>
      <c r="E127" s="494"/>
      <c r="F127" s="490">
        <f>F117*F125</f>
        <v>4132800</v>
      </c>
      <c r="G127" s="84" t="s">
        <v>611</v>
      </c>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Q127" s="71"/>
      <c r="BR127" s="71"/>
    </row>
    <row r="129" spans="3:7" x14ac:dyDescent="0.15">
      <c r="C129" s="8" t="s">
        <v>152</v>
      </c>
      <c r="D129" s="493"/>
      <c r="E129" s="493"/>
      <c r="F129" s="491">
        <f>0.1^(1/F119)</f>
        <v>0.90062802021127852</v>
      </c>
      <c r="G129" s="493"/>
    </row>
    <row r="131" spans="3:7" x14ac:dyDescent="0.15">
      <c r="C131" s="4" t="s">
        <v>618</v>
      </c>
      <c r="D131" s="100"/>
      <c r="E131" s="100"/>
      <c r="F131" s="4"/>
      <c r="G131" s="100"/>
    </row>
    <row r="133" spans="3:7" x14ac:dyDescent="0.15">
      <c r="D133" s="84" t="s">
        <v>619</v>
      </c>
      <c r="F133" s="490">
        <f>F13*10000*24*365*F14/100</f>
        <v>1051200</v>
      </c>
      <c r="G133" s="84" t="s">
        <v>620</v>
      </c>
    </row>
    <row r="134" spans="3:7" x14ac:dyDescent="0.15">
      <c r="D134" s="84" t="s">
        <v>621</v>
      </c>
      <c r="F134" s="490">
        <f>F133*(1-F24/100)</f>
        <v>1051200</v>
      </c>
      <c r="G134" s="84" t="s">
        <v>620</v>
      </c>
    </row>
    <row r="135" spans="3:7" x14ac:dyDescent="0.15">
      <c r="F135" s="495"/>
    </row>
    <row r="137" spans="3:7" ht="16.5" x14ac:dyDescent="0.15">
      <c r="C137" s="71" t="s">
        <v>622</v>
      </c>
      <c r="F137" s="490">
        <f>IF(ISERROR(F133*3.6/(F23/100)/F22),0,F133*3.6/(F23/100)/F22)</f>
        <v>0</v>
      </c>
      <c r="G137" s="71" t="s">
        <v>623</v>
      </c>
    </row>
    <row r="139" spans="3:7" x14ac:dyDescent="0.15">
      <c r="C139" s="4" t="s">
        <v>624</v>
      </c>
      <c r="D139" s="100"/>
      <c r="E139" s="100"/>
      <c r="F139" s="4"/>
      <c r="G139" s="100"/>
    </row>
    <row r="141" spans="3:7" x14ac:dyDescent="0.15">
      <c r="D141" s="84" t="s">
        <v>625</v>
      </c>
      <c r="F141" s="496" t="str">
        <f>IF(OR(F3="石炭火力",F3= "LNG火力", F3="ガスコジェネ",F3="バイオマス（石炭混焼）",F3="バイオマス（木質専焼）",F3="燃料電池"),IF($F$43="需要地価格","",1000),IF(OR(F3="石油火力",F3="石油コジェネ"),IF($F$43="需要地価格","",158.987294928),""))</f>
        <v/>
      </c>
      <c r="G141" s="84" t="s">
        <v>626</v>
      </c>
    </row>
    <row r="142" spans="3:7" x14ac:dyDescent="0.15">
      <c r="D142" s="84" t="s">
        <v>573</v>
      </c>
      <c r="F142" s="488">
        <f>IF(ISERROR(F42/1000),0,F42/1000)</f>
        <v>0</v>
      </c>
      <c r="G142" s="84" t="s">
        <v>627</v>
      </c>
    </row>
    <row r="145" spans="3:7" x14ac:dyDescent="0.15">
      <c r="C145" s="71" t="s">
        <v>628</v>
      </c>
      <c r="F145" s="496">
        <f>IF(ISERROR(F133*(F47*3.6/(F23/100)/1000*(44/12))),0,F133*(F47*3.6/(F23/100)/1000*(44/12)))</f>
        <v>0</v>
      </c>
      <c r="G145" s="84" t="s">
        <v>629</v>
      </c>
    </row>
    <row r="147" spans="3:7" x14ac:dyDescent="0.15">
      <c r="C147" s="4" t="s">
        <v>630</v>
      </c>
      <c r="D147" s="100"/>
      <c r="E147" s="100"/>
      <c r="F147" s="4"/>
      <c r="G147" s="100"/>
    </row>
    <row r="149" spans="3:7" x14ac:dyDescent="0.15">
      <c r="D149" s="84" t="s">
        <v>219</v>
      </c>
      <c r="F149" s="496">
        <f>IF(ISERROR(F52/F23),0,F52/F23)</f>
        <v>0</v>
      </c>
    </row>
    <row r="150" spans="3:7" x14ac:dyDescent="0.15">
      <c r="D150" s="84" t="s">
        <v>631</v>
      </c>
      <c r="F150" s="496">
        <f>F133*F149*(F53/100)*3.6</f>
        <v>0</v>
      </c>
      <c r="G150" s="84" t="s">
        <v>632</v>
      </c>
    </row>
    <row r="151" spans="3:7" ht="16.5" x14ac:dyDescent="0.15">
      <c r="D151" s="84" t="s">
        <v>633</v>
      </c>
      <c r="F151" s="490">
        <f>IF(ISERROR(F150/(F54/100)/F55),0,F150/(F54/100)/F55)</f>
        <v>0</v>
      </c>
      <c r="G151" s="71" t="s">
        <v>623</v>
      </c>
    </row>
    <row r="152" spans="3:7" x14ac:dyDescent="0.15">
      <c r="D152" s="84" t="s">
        <v>634</v>
      </c>
      <c r="F152" s="497">
        <f>IF(ISERROR(F56/1000),0,F56/1000)</f>
        <v>0</v>
      </c>
      <c r="G152" s="84" t="s">
        <v>627</v>
      </c>
    </row>
    <row r="153" spans="3:7" x14ac:dyDescent="0.15">
      <c r="D153" s="84" t="s">
        <v>635</v>
      </c>
      <c r="F153" s="496">
        <f>IF(ISERROR(F150*F47/1000*(44/12)/(F54/100)),0,F150*F47/1000*(44/12)/(F54/100))</f>
        <v>0</v>
      </c>
      <c r="G153" s="84" t="s">
        <v>629</v>
      </c>
    </row>
  </sheetData>
  <mergeCells count="48">
    <mergeCell ref="BR12:BR13"/>
    <mergeCell ref="AI12:AI13"/>
    <mergeCell ref="AL12:AL13"/>
    <mergeCell ref="AO12:AO13"/>
    <mergeCell ref="AR12:AR13"/>
    <mergeCell ref="AW12:AW13"/>
    <mergeCell ref="BB12:BB13"/>
    <mergeCell ref="BL12:BL13"/>
    <mergeCell ref="BK12:BK13"/>
    <mergeCell ref="BO12:BO13"/>
    <mergeCell ref="BJ12:BJ13"/>
    <mergeCell ref="BA9:BB10"/>
    <mergeCell ref="AE9:AF10"/>
    <mergeCell ref="V9:W10"/>
    <mergeCell ref="BE12:BE13"/>
    <mergeCell ref="BH12:BH13"/>
    <mergeCell ref="P12:P13"/>
    <mergeCell ref="W12:W13"/>
    <mergeCell ref="Z12:Z13"/>
    <mergeCell ref="AC12:AC13"/>
    <mergeCell ref="AF12:AF13"/>
    <mergeCell ref="BQ7:BR7"/>
    <mergeCell ref="BJ7:BO7"/>
    <mergeCell ref="I9:I10"/>
    <mergeCell ref="K9:K10"/>
    <mergeCell ref="M9:M10"/>
    <mergeCell ref="O9:P10"/>
    <mergeCell ref="R9:R10"/>
    <mergeCell ref="AN9:AO10"/>
    <mergeCell ref="AQ9:AR10"/>
    <mergeCell ref="AY7:BB7"/>
    <mergeCell ref="AY9:AY10"/>
    <mergeCell ref="BD7:BH7"/>
    <mergeCell ref="BJ9:BL10"/>
    <mergeCell ref="BN9:BO10"/>
    <mergeCell ref="BD9:BE10"/>
    <mergeCell ref="BG9:BH10"/>
    <mergeCell ref="F3:G3"/>
    <mergeCell ref="V7:AF7"/>
    <mergeCell ref="AH7:AR7"/>
    <mergeCell ref="AT7:AW7"/>
    <mergeCell ref="AK9:AL10"/>
    <mergeCell ref="T9:T10"/>
    <mergeCell ref="AV9:AW10"/>
    <mergeCell ref="AT9:AT10"/>
    <mergeCell ref="AH9:AI10"/>
    <mergeCell ref="AB9:AC10"/>
    <mergeCell ref="Y9:Z10"/>
  </mergeCells>
  <phoneticPr fontId="17"/>
  <dataValidations count="4">
    <dataValidation type="list" allowBlank="1" showDropDown="1" showInputMessage="1" showErrorMessage="1" sqref="F48 F41" xr:uid="{00000000-0002-0000-1900-000000000000}">
      <formula1>"現行政策シナリオ, 新政策シナリオ"</formula1>
    </dataValidation>
    <dataValidation type="whole" allowBlank="1" showInputMessage="1" showErrorMessage="1" sqref="F7" xr:uid="{00000000-0002-0000-1900-000001000000}">
      <formula1>2010</formula1>
      <formula2>2030</formula2>
    </dataValidation>
    <dataValidation type="list" allowBlank="1" showDropDown="1" showInputMessage="1" showErrorMessage="1" sqref="F43" xr:uid="{00000000-0002-0000-1900-000002000000}">
      <formula1>"CIF価格, 需要地価格"</formula1>
    </dataValidation>
    <dataValidation type="list" allowBlank="1" showDropDown="1" showInputMessage="1" showErrorMessage="1" sqref="F3:G3" xr:uid="{00000000-0002-0000-1900-000003000000}">
      <formula1>"原子力,石炭火力,LNG火力,石油火力,一般水力,太陽光（メガソーラー）,太陽光（住宅）,風力（陸上）,風力（洋上）,小水力,地熱,バイオマス（石炭混焼）,バイオマス（木質専焼）,ガスコジェネ,石油コジェネ,燃料電池"</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BR153"/>
  <sheetViews>
    <sheetView showGridLines="0" zoomScale="85" zoomScaleNormal="85" workbookViewId="0">
      <pane xSplit="10" ySplit="14" topLeftCell="AI60" activePane="bottomRight" state="frozen"/>
      <selection pane="topRight" activeCell="AF12" sqref="AF12:AF13"/>
      <selection pane="bottomLeft" activeCell="AF12" sqref="AF12:AF13"/>
      <selection pane="bottomRight" sqref="A1:I1048576"/>
    </sheetView>
  </sheetViews>
  <sheetFormatPr defaultColWidth="9" defaultRowHeight="14.25" outlineLevelCol="1" x14ac:dyDescent="0.15"/>
  <cols>
    <col min="1" max="3" width="6.25" style="71" customWidth="1"/>
    <col min="4" max="4" width="6.25" style="84" customWidth="1"/>
    <col min="5" max="5" width="24.375" style="84" customWidth="1"/>
    <col min="6" max="6" width="18.75" style="71" customWidth="1"/>
    <col min="7" max="7" width="24.375" style="84" bestFit="1" customWidth="1"/>
    <col min="8" max="8" width="9" style="71"/>
    <col min="9" max="9" width="6.25" style="71" customWidth="1"/>
    <col min="10" max="10" width="3" style="2" customWidth="1"/>
    <col min="11" max="11" width="6.25" style="2" customWidth="1"/>
    <col min="12" max="12" width="3" style="2" customWidth="1"/>
    <col min="13" max="13" width="6.25" style="2" customWidth="1"/>
    <col min="14" max="14" width="3" style="2" customWidth="1"/>
    <col min="15" max="15" width="17.375" style="2" bestFit="1" customWidth="1"/>
    <col min="16" max="16" width="8.625" style="2" customWidth="1"/>
    <col min="17" max="17" width="3" style="2" customWidth="1"/>
    <col min="18" max="18" width="17.375" style="2" bestFit="1" customWidth="1"/>
    <col min="19" max="19" width="3" style="2" customWidth="1"/>
    <col min="20" max="20" width="17.375" style="2" bestFit="1" customWidth="1"/>
    <col min="21" max="21" width="3" style="2" customWidth="1"/>
    <col min="22" max="22" width="15" style="2" customWidth="1" outlineLevel="1"/>
    <col min="23" max="23" width="17.375" style="2" bestFit="1" customWidth="1"/>
    <col min="24" max="24" width="3" style="2" customWidth="1"/>
    <col min="25" max="25" width="15" style="2" customWidth="1" outlineLevel="1"/>
    <col min="26" max="26" width="15" style="2" customWidth="1"/>
    <col min="27" max="27" width="3" style="2" customWidth="1"/>
    <col min="28" max="28" width="15" style="2" customWidth="1" outlineLevel="1"/>
    <col min="29" max="29" width="15" style="2" customWidth="1"/>
    <col min="30" max="30" width="3" style="2" customWidth="1"/>
    <col min="31" max="31" width="15" style="2" customWidth="1" outlineLevel="1"/>
    <col min="32" max="32" width="15" style="2" customWidth="1"/>
    <col min="33" max="33" width="3" style="2" customWidth="1"/>
    <col min="34" max="34" width="14.875" style="2" customWidth="1" outlineLevel="1"/>
    <col min="35" max="35" width="15" style="2" customWidth="1"/>
    <col min="36" max="36" width="3" style="2" customWidth="1"/>
    <col min="37" max="37" width="15" style="2" customWidth="1" outlineLevel="1"/>
    <col min="38" max="38" width="15" style="2" customWidth="1"/>
    <col min="39" max="39" width="3" style="2" customWidth="1"/>
    <col min="40" max="40" width="15" style="2" customWidth="1" outlineLevel="1"/>
    <col min="41" max="41" width="15" style="2" customWidth="1"/>
    <col min="42" max="42" width="3" style="2" customWidth="1"/>
    <col min="43" max="43" width="15" style="2" customWidth="1" outlineLevel="1"/>
    <col min="44" max="44" width="15" style="2" customWidth="1"/>
    <col min="45" max="45" width="3" style="2" customWidth="1"/>
    <col min="46" max="46" width="10.75" style="2" bestFit="1" customWidth="1"/>
    <col min="47" max="47" width="3" style="2" customWidth="1"/>
    <col min="48" max="48" width="15" style="2" customWidth="1" outlineLevel="1"/>
    <col min="49" max="49" width="17.375" style="2" bestFit="1" customWidth="1"/>
    <col min="50" max="50" width="3" style="2" customWidth="1"/>
    <col min="51" max="51" width="9.625" style="2" bestFit="1" customWidth="1"/>
    <col min="52" max="52" width="3" style="2" customWidth="1"/>
    <col min="53" max="53" width="15" style="2" customWidth="1" outlineLevel="1"/>
    <col min="54" max="54" width="17.375" style="2" bestFit="1" customWidth="1"/>
    <col min="55" max="55" width="3" style="2" customWidth="1"/>
    <col min="56" max="56" width="19.25" style="2" customWidth="1" outlineLevel="1"/>
    <col min="57" max="57" width="19.25" style="2" bestFit="1" customWidth="1"/>
    <col min="58" max="58" width="3" style="2" customWidth="1"/>
    <col min="59" max="59" width="19.25" style="2" customWidth="1" outlineLevel="1"/>
    <col min="60" max="60" width="19.25" style="2"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2" customWidth="1" outlineLevel="1"/>
    <col min="70" max="70" width="17.375" style="2" bestFit="1" customWidth="1"/>
    <col min="71" max="16384" width="9" style="2"/>
  </cols>
  <sheetData>
    <row r="1" spans="1:70" ht="18.75" x14ac:dyDescent="0.15">
      <c r="A1" s="6" t="s">
        <v>60</v>
      </c>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Q1" s="71"/>
      <c r="BR1" s="71"/>
    </row>
    <row r="3" spans="1:70" ht="23.25" x14ac:dyDescent="0.15">
      <c r="B3" s="1" t="s">
        <v>542</v>
      </c>
      <c r="F3" s="732" t="s">
        <v>246</v>
      </c>
      <c r="G3" s="719"/>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Q3" s="71"/>
      <c r="BR3" s="71"/>
    </row>
    <row r="4" spans="1:70" x14ac:dyDescent="0.15">
      <c r="G4" s="472"/>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Q4" s="71"/>
      <c r="BR4" s="71"/>
    </row>
    <row r="5" spans="1:70" ht="15.75" thickBot="1" x14ac:dyDescent="0.2">
      <c r="B5" s="5" t="s">
        <v>543</v>
      </c>
      <c r="C5" s="3"/>
      <c r="D5" s="102"/>
      <c r="E5" s="102"/>
      <c r="F5" s="3"/>
      <c r="G5" s="102"/>
      <c r="I5" s="5" t="s">
        <v>544</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71" t="s">
        <v>545</v>
      </c>
      <c r="F7" s="473">
        <v>2030</v>
      </c>
      <c r="I7" s="8"/>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71" t="s">
        <v>546</v>
      </c>
      <c r="F8" s="474">
        <f>まとめ!B3</f>
        <v>107</v>
      </c>
      <c r="G8" s="84" t="s">
        <v>547</v>
      </c>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71" t="s">
        <v>548</v>
      </c>
      <c r="F9" s="474">
        <f>まとめ!B2</f>
        <v>3</v>
      </c>
      <c r="G9" s="84" t="s">
        <v>549</v>
      </c>
      <c r="I9" s="720" t="s">
        <v>550</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07" t="s">
        <v>118</v>
      </c>
      <c r="AI9" s="707"/>
      <c r="AJ9" s="8"/>
      <c r="AK9" s="707" t="s">
        <v>89</v>
      </c>
      <c r="AL9" s="707"/>
      <c r="AM9" s="8"/>
      <c r="AN9" s="707" t="s">
        <v>90</v>
      </c>
      <c r="AO9" s="707"/>
      <c r="AP9" s="8"/>
      <c r="AQ9" s="707" t="s">
        <v>91</v>
      </c>
      <c r="AR9" s="707"/>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I10" s="708"/>
      <c r="J10" s="71"/>
      <c r="K10" s="708"/>
      <c r="L10" s="71"/>
      <c r="M10" s="708"/>
      <c r="N10" s="71"/>
      <c r="O10" s="717"/>
      <c r="P10" s="717"/>
      <c r="Q10" s="71"/>
      <c r="R10" s="708"/>
      <c r="S10" s="71"/>
      <c r="T10" s="708"/>
      <c r="U10" s="71"/>
      <c r="V10" s="717"/>
      <c r="W10" s="717"/>
      <c r="X10" s="71"/>
      <c r="Y10" s="717"/>
      <c r="Z10" s="717"/>
      <c r="AA10" s="71"/>
      <c r="AB10" s="723"/>
      <c r="AC10" s="723"/>
      <c r="AD10" s="81"/>
      <c r="AE10" s="723"/>
      <c r="AF10" s="723"/>
      <c r="AG10" s="71"/>
      <c r="AH10" s="717"/>
      <c r="AI10" s="717"/>
      <c r="AJ10" s="71"/>
      <c r="AK10" s="717"/>
      <c r="AL10" s="717"/>
      <c r="AM10" s="71"/>
      <c r="AN10" s="717"/>
      <c r="AO10" s="717"/>
      <c r="AP10" s="71"/>
      <c r="AQ10" s="717"/>
      <c r="AR10" s="717"/>
      <c r="AS10" s="71"/>
      <c r="AT10" s="717"/>
      <c r="AU10" s="71"/>
      <c r="AV10" s="717"/>
      <c r="AW10" s="717"/>
      <c r="AX10" s="322"/>
      <c r="AY10" s="708"/>
      <c r="AZ10" s="71"/>
      <c r="BA10" s="708"/>
      <c r="BB10" s="708"/>
      <c r="BC10" s="71"/>
      <c r="BD10" s="717"/>
      <c r="BE10" s="717"/>
      <c r="BF10" s="71"/>
      <c r="BG10" s="717"/>
      <c r="BH10" s="717"/>
      <c r="BJ10" s="708"/>
      <c r="BK10" s="708"/>
      <c r="BL10" s="708"/>
      <c r="BM10" s="322"/>
      <c r="BN10" s="717"/>
      <c r="BO10" s="717"/>
      <c r="BQ10" s="322"/>
      <c r="BR10" s="322"/>
    </row>
    <row r="11" spans="1:70" ht="15.75" customHeight="1" thickBot="1" x14ac:dyDescent="0.2">
      <c r="B11" s="5" t="s">
        <v>95</v>
      </c>
      <c r="C11" s="3"/>
      <c r="D11" s="102"/>
      <c r="E11" s="102"/>
      <c r="F11" s="3"/>
      <c r="G11" s="102"/>
      <c r="J11" s="71"/>
      <c r="K11" s="71"/>
      <c r="L11" s="71"/>
      <c r="M11" s="71"/>
      <c r="N11" s="71"/>
      <c r="O11" s="322" t="s">
        <v>96</v>
      </c>
      <c r="P11" s="322"/>
      <c r="Q11" s="322"/>
      <c r="R11" s="322" t="s">
        <v>96</v>
      </c>
      <c r="S11" s="322"/>
      <c r="T11" s="322"/>
      <c r="U11" s="71"/>
      <c r="V11" s="322"/>
      <c r="W11" s="322"/>
      <c r="X11" s="71"/>
      <c r="Y11" s="322"/>
      <c r="Z11" s="322"/>
      <c r="AA11" s="71"/>
      <c r="AB11" s="322"/>
      <c r="AC11" s="322"/>
      <c r="AD11" s="71"/>
      <c r="AE11" s="322"/>
      <c r="AF11" s="322"/>
      <c r="AG11" s="71"/>
      <c r="AH11" s="322"/>
      <c r="AI11" s="322"/>
      <c r="AJ11" s="71"/>
      <c r="AK11" s="322"/>
      <c r="AL11" s="322"/>
      <c r="AM11" s="71"/>
      <c r="AN11" s="322"/>
      <c r="AO11" s="322"/>
      <c r="AP11" s="71"/>
      <c r="AQ11" s="322"/>
      <c r="AR11" s="322"/>
      <c r="AS11" s="71"/>
      <c r="AT11" s="322"/>
      <c r="AU11" s="71"/>
      <c r="AV11" s="322"/>
      <c r="AW11" s="322"/>
      <c r="AX11" s="322"/>
      <c r="AY11" s="71"/>
      <c r="AZ11" s="71"/>
      <c r="BA11" s="71"/>
      <c r="BB11" s="322"/>
      <c r="BC11" s="71"/>
      <c r="BD11" s="322"/>
      <c r="BE11" s="322"/>
      <c r="BF11" s="71"/>
      <c r="BG11" s="322"/>
      <c r="BH11" s="322"/>
      <c r="BJ11" s="156"/>
      <c r="BM11" s="322"/>
      <c r="BN11" s="322"/>
      <c r="BO11" s="322"/>
      <c r="BQ11" s="322"/>
      <c r="BR11" s="322"/>
    </row>
    <row r="12" spans="1:70" ht="14.25" customHeight="1" x14ac:dyDescent="0.15">
      <c r="J12" s="71"/>
      <c r="K12" s="71"/>
      <c r="L12" s="71"/>
      <c r="M12" s="71"/>
      <c r="N12" s="71"/>
      <c r="O12" s="322"/>
      <c r="P12" s="707" t="s">
        <v>97</v>
      </c>
      <c r="Q12" s="71"/>
      <c r="R12" s="71"/>
      <c r="S12" s="71"/>
      <c r="T12" s="71"/>
      <c r="U12" s="71"/>
      <c r="V12" s="71"/>
      <c r="W12" s="707" t="s">
        <v>98</v>
      </c>
      <c r="X12" s="71"/>
      <c r="Y12" s="71"/>
      <c r="Z12" s="707" t="s">
        <v>98</v>
      </c>
      <c r="AA12" s="71"/>
      <c r="AB12" s="71"/>
      <c r="AC12" s="707" t="s">
        <v>98</v>
      </c>
      <c r="AD12" s="71"/>
      <c r="AE12" s="71"/>
      <c r="AF12" s="707" t="s">
        <v>98</v>
      </c>
      <c r="AG12" s="71"/>
      <c r="AH12" s="71"/>
      <c r="AI12" s="707" t="s">
        <v>98</v>
      </c>
      <c r="AJ12" s="71"/>
      <c r="AK12" s="71"/>
      <c r="AL12" s="707" t="s">
        <v>98</v>
      </c>
      <c r="AM12" s="71"/>
      <c r="AN12" s="71"/>
      <c r="AO12" s="707" t="s">
        <v>98</v>
      </c>
      <c r="AP12" s="71"/>
      <c r="AQ12" s="71"/>
      <c r="AR12" s="707" t="s">
        <v>98</v>
      </c>
      <c r="AS12" s="71"/>
      <c r="AT12" s="71"/>
      <c r="AU12" s="71"/>
      <c r="AV12" s="71"/>
      <c r="AW12" s="707" t="s">
        <v>98</v>
      </c>
      <c r="AX12" s="71"/>
      <c r="AY12" s="71"/>
      <c r="AZ12" s="71"/>
      <c r="BA12" s="71"/>
      <c r="BB12" s="707" t="s">
        <v>98</v>
      </c>
      <c r="BC12" s="71"/>
      <c r="BD12" s="71"/>
      <c r="BE12" s="707" t="s">
        <v>98</v>
      </c>
      <c r="BF12" s="71"/>
      <c r="BG12" s="71"/>
      <c r="BH12" s="707" t="s">
        <v>98</v>
      </c>
      <c r="BJ12" s="709" t="s">
        <v>99</v>
      </c>
      <c r="BK12" s="709" t="s">
        <v>100</v>
      </c>
      <c r="BL12" s="709" t="s">
        <v>101</v>
      </c>
      <c r="BO12" s="709" t="s">
        <v>102</v>
      </c>
      <c r="BQ12" s="71"/>
      <c r="BR12" s="707" t="s">
        <v>103</v>
      </c>
    </row>
    <row r="13" spans="1:70" ht="14.25" customHeight="1" x14ac:dyDescent="0.15">
      <c r="C13" s="71" t="s">
        <v>552</v>
      </c>
      <c r="F13" s="475">
        <v>0.02</v>
      </c>
      <c r="G13" s="84" t="s">
        <v>553</v>
      </c>
      <c r="J13" s="71"/>
      <c r="K13" s="71"/>
      <c r="L13" s="71"/>
      <c r="M13" s="71"/>
      <c r="N13" s="71"/>
      <c r="O13" s="322"/>
      <c r="P13" s="708"/>
      <c r="Q13" s="322"/>
      <c r="R13" s="322"/>
      <c r="S13" s="322"/>
      <c r="T13" s="322"/>
      <c r="U13" s="71"/>
      <c r="V13" s="322"/>
      <c r="W13" s="708"/>
      <c r="X13" s="71"/>
      <c r="Y13" s="322"/>
      <c r="Z13" s="708"/>
      <c r="AA13" s="71"/>
      <c r="AB13" s="322"/>
      <c r="AC13" s="708"/>
      <c r="AD13" s="71"/>
      <c r="AE13" s="322"/>
      <c r="AF13" s="708"/>
      <c r="AG13" s="71"/>
      <c r="AH13" s="322"/>
      <c r="AI13" s="708"/>
      <c r="AJ13" s="71"/>
      <c r="AK13" s="322"/>
      <c r="AL13" s="708"/>
      <c r="AM13" s="71"/>
      <c r="AN13" s="322"/>
      <c r="AO13" s="708"/>
      <c r="AP13" s="71"/>
      <c r="AQ13" s="322"/>
      <c r="AR13" s="708"/>
      <c r="AS13" s="71"/>
      <c r="AT13" s="322"/>
      <c r="AU13" s="71"/>
      <c r="AV13" s="322"/>
      <c r="AW13" s="708"/>
      <c r="AX13" s="71"/>
      <c r="AY13" s="71"/>
      <c r="AZ13" s="71"/>
      <c r="BA13" s="71"/>
      <c r="BB13" s="708"/>
      <c r="BC13" s="71"/>
      <c r="BD13" s="322"/>
      <c r="BE13" s="708"/>
      <c r="BF13" s="71"/>
      <c r="BG13" s="322"/>
      <c r="BH13" s="708"/>
      <c r="BJ13" s="712"/>
      <c r="BK13" s="710"/>
      <c r="BL13" s="708"/>
      <c r="BM13" s="322"/>
      <c r="BO13" s="708"/>
      <c r="BQ13" s="322"/>
      <c r="BR13" s="708"/>
    </row>
    <row r="14" spans="1:70" ht="16.5" x14ac:dyDescent="0.15">
      <c r="C14" s="71" t="s">
        <v>554</v>
      </c>
      <c r="F14" s="474">
        <f>VLOOKUP(F3&amp;IF(G4&lt;&gt;"","_"&amp;G4,""),まとめ!$A$12:$G$34,IF(F7=2030,4,IF(F7=2020,3,IF(F7=2014,2,"-"))),0)</f>
        <v>60</v>
      </c>
      <c r="G14" s="84" t="s">
        <v>549</v>
      </c>
      <c r="J14" s="71"/>
      <c r="K14" s="71"/>
      <c r="L14" s="71"/>
      <c r="M14" s="71"/>
      <c r="N14" s="71"/>
      <c r="O14" s="322"/>
      <c r="P14" s="322"/>
      <c r="Q14" s="322"/>
      <c r="R14" s="322"/>
      <c r="S14" s="322"/>
      <c r="T14" s="322"/>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50" t="s">
        <v>104</v>
      </c>
      <c r="AU14" s="71"/>
      <c r="AV14" s="71"/>
      <c r="AW14" s="71"/>
      <c r="AX14" s="71"/>
      <c r="AY14" s="71" t="s">
        <v>105</v>
      </c>
      <c r="AZ14" s="71"/>
      <c r="BA14" s="71"/>
      <c r="BB14" s="71"/>
      <c r="BC14" s="71"/>
      <c r="BD14" s="71"/>
      <c r="BE14" s="71"/>
      <c r="BF14" s="71"/>
      <c r="BG14" s="71"/>
      <c r="BH14" s="71"/>
      <c r="BQ14" s="71"/>
      <c r="BR14" s="71"/>
    </row>
    <row r="15" spans="1:70" x14ac:dyDescent="0.15">
      <c r="C15" s="71" t="s">
        <v>555</v>
      </c>
      <c r="F15" s="474">
        <f>VLOOKUP(F3&amp;IF(G4&lt;&gt;"","_"&amp;G4,""),まとめ!$A$12:$G$34,IF(F7=2030,7,IF(F7=2020,6,IF(F7=2014,5,"-"))),0)</f>
        <v>40</v>
      </c>
      <c r="G15" s="84" t="s">
        <v>556</v>
      </c>
      <c r="I15" s="38">
        <f>F7</f>
        <v>2030</v>
      </c>
      <c r="J15" s="39"/>
      <c r="K15" s="39">
        <f>IF(I15&lt;&gt;"",1,"")</f>
        <v>1</v>
      </c>
      <c r="L15" s="39"/>
      <c r="M15" s="40">
        <f t="shared" ref="M15:M78" si="0">1/(1+($F$9/100))^K15</f>
        <v>0.970873786407767</v>
      </c>
      <c r="N15" s="39"/>
      <c r="O15" s="72">
        <f>F117</f>
        <v>180000000</v>
      </c>
      <c r="P15" s="41">
        <f t="shared" ref="P15:P46" si="1">IF(K15&lt;=$F$15,IF(OR(P14=$F$124,P14="-"),"-",IF(O15*$F$123&gt;$F$127,$F$123,$F$124)),"")</f>
        <v>0.114</v>
      </c>
      <c r="Q15" s="39"/>
      <c r="R15" s="72">
        <f>F117</f>
        <v>180000000</v>
      </c>
      <c r="S15" s="39"/>
      <c r="T15" s="72">
        <f>IF(ISNUMBER(R15),ROUNDDOWN(R15,-3),"")</f>
        <v>180000000</v>
      </c>
      <c r="U15" s="39"/>
      <c r="V15" s="72">
        <f t="shared" ref="V15:V46" si="2">IF(K15&lt;=$F$15,IF(K15&lt;$F$119,IF(P15="-",V14,O15*P15),IF(K15=$F$119,MIN(IF(P15="-",V14,O15*P15),O15),0)),"")</f>
        <v>20520000</v>
      </c>
      <c r="W15" s="72">
        <f>IF(ISNUMBER(V15),V15*$M15,"")</f>
        <v>19922330.09708738</v>
      </c>
      <c r="X15" s="39"/>
      <c r="Y15" s="72">
        <f t="shared" ref="Y15:Y46" si="3">IF($K15&lt;=$F$15,ROUNDDOWN(T15*$F$25/100,-2),"")</f>
        <v>2520000</v>
      </c>
      <c r="Z15" s="72">
        <f>IF(ISNUMBER(Y15),Y15*$M15,"")</f>
        <v>2446601.9417475727</v>
      </c>
      <c r="AA15" s="39"/>
      <c r="AB15" s="72">
        <f t="shared" ref="AB15:AB78" si="4">IF($K15&lt;=$F$15,0,IF(AND($K15&gt;$F$15,$K15&lt;=$F$15+$F$28),$F$27*10^8/$F$28,""))</f>
        <v>0</v>
      </c>
      <c r="AC15" s="72">
        <f>IF(ISNUMBER(AB15),AB15*$M15,"")</f>
        <v>0</v>
      </c>
      <c r="AD15" s="39"/>
      <c r="AE15" s="72">
        <f t="shared" ref="AE15:AE46" si="5">IF($K15&lt;=$F$15,$F$26,"")</f>
        <v>260000</v>
      </c>
      <c r="AF15" s="72">
        <f>IF(ISNUMBER(AE15),AE15*$M15,"")</f>
        <v>252427.18446601942</v>
      </c>
      <c r="AG15" s="39"/>
      <c r="AH15" s="72">
        <f t="shared" ref="AH15:AH46" si="6">IF($K15&lt;=$F$15,$F$33*10^8,"")</f>
        <v>7000000.0000000009</v>
      </c>
      <c r="AI15" s="72">
        <f>IF(ISNUMBER(AH15),AH15*$M15,"")</f>
        <v>6796116.5048543699</v>
      </c>
      <c r="AJ15" s="39"/>
      <c r="AK15" s="72">
        <f t="shared" ref="AK15:AK46" si="7">IF($K15&lt;=$F$15,$F$117*$F$34/100,"")</f>
        <v>5400000</v>
      </c>
      <c r="AL15" s="72">
        <f>IF(ISNUMBER(AK15),AK15*$M15,"")</f>
        <v>5242718.4466019422</v>
      </c>
      <c r="AM15" s="39"/>
      <c r="AN15" s="72">
        <f t="shared" ref="AN15:AN46" si="8">IF($K15&lt;=$F$15,$F$117*$F$35/100,"")</f>
        <v>0</v>
      </c>
      <c r="AO15" s="72">
        <f>IF(ISNUMBER(AN15),AN15*$M15,"")</f>
        <v>0</v>
      </c>
      <c r="AP15" s="39"/>
      <c r="AQ15" s="72">
        <f t="shared" ref="AQ15:AQ46" si="9">IF($K15&lt;=$F$15,SUM(AH15,AK15,AN15)*($F$36/100),"")</f>
        <v>1736000.0000000002</v>
      </c>
      <c r="AR15" s="72">
        <f>IF(ISNUMBER(AQ15),AQ15*$M15,"")</f>
        <v>1685436.8932038837</v>
      </c>
      <c r="AS15" s="39"/>
      <c r="AT15" s="40">
        <f>IF($K15&lt;=$F$15,IF($F$40&lt;&gt;"",$F$40/1000,IF(ISERROR(VLOOKUP($F$3&amp;IF($G$4&lt;&gt;"",$G$4,"")&amp;IF($F$43&lt;&gt;"","_"&amp;$F$43,""),'表3）燃料価格'!$AF$9:$AG$25,2,0)),0,VLOOKUP($I15,'表3）燃料価格'!$A$6:$U$66,VLOOKUP($F$3&amp;IF($G$4&lt;&gt;"",$G$4,"")&amp;IF($F$43&lt;&gt;"","_"&amp;$F$43,""),'表3）燃料価格'!$AF$9:$AG$25,2,0)+VLOOKUP($F$41,'表3）燃料価格'!$AF$28:$AG$29,2,0),0)*IF($F$43="需要地価格",1,$F$8/$F$141))),"")</f>
        <v>0</v>
      </c>
      <c r="AU15" s="39"/>
      <c r="AV15" s="72">
        <f t="shared" ref="AV15:AV46" si="10">IF($K15&lt;=$F$15,($AT15+$F$142)*$F$137,"")</f>
        <v>0</v>
      </c>
      <c r="AW15" s="72">
        <f>IF(ISNUMBER(AV15),AV15*$M15,"")</f>
        <v>0</v>
      </c>
      <c r="AX15" s="39"/>
      <c r="AY15" s="40">
        <f>IF(ISERROR(IF($K15&lt;=$F$15,VLOOKUP($I15,'表4）CO2価格'!$A$7:$E$67,VLOOKUP($F$48,'表4）CO2価格'!$H$10:$I$12,2,0),0)*$F$8/1000,"")),0,IF($K15&lt;=$F$15,VLOOKUP($I15,'表4）CO2価格'!$A$7:$E$67,VLOOKUP($F$48,'表4）CO2価格'!$H$10:$I$12,2,0),0)*$F$8/1000,""))</f>
        <v>0</v>
      </c>
      <c r="AZ15" s="39"/>
      <c r="BA15" s="42">
        <f t="shared" ref="BA15:BA46" si="11">IF($K15&lt;=$F$15,$F$145*AY15,"")</f>
        <v>0</v>
      </c>
      <c r="BB15" s="72">
        <f>IF(ISNUMBER(BA15),BA15*$M15,"")</f>
        <v>0</v>
      </c>
      <c r="BC15" s="39"/>
      <c r="BD15" s="72">
        <f t="shared" ref="BD15:BD46" si="12">IF($K15&lt;=$F$15,($AT15+$F$152)*$F$151,"")</f>
        <v>0</v>
      </c>
      <c r="BE15" s="72">
        <f>IF(ISNUMBER(BD15),BD15*$M15,"")</f>
        <v>0</v>
      </c>
      <c r="BF15" s="39"/>
      <c r="BG15" s="42">
        <f t="shared" ref="BG15:BG46" si="13">IF($K15&lt;=$F$15,$F$153*AY15,"")</f>
        <v>0</v>
      </c>
      <c r="BH15" s="72">
        <f>IF(ISNUMBER(BG15),BG15*$M15,"")</f>
        <v>0</v>
      </c>
      <c r="BI15" s="39"/>
      <c r="BJ15" s="40">
        <f>IF(ISNUMBER($F$16),IF($K15&lt;=$F$16+$F$28,1/(1+($F$17/100))^K15,""),"")</f>
        <v>0.93457943925233644</v>
      </c>
      <c r="BK15" s="157">
        <f>IF(ISNUMBER($F$16),IF($K15&lt;=$F$16+$F$28,IF($K15&lt;=$F$16,SUM(Y15,AB15,AE15,AH15,AK15,AN15,AQ15,AV15,BA15,BD15,BG15),$F$27/$F$28*10^8)*BJ15,""),"")</f>
        <v>15809345.794392522</v>
      </c>
      <c r="BL15" s="157">
        <f t="shared" ref="BL15:BL78" si="14">IF(AND(ISNUMBER(BJ15),$K15&lt;=$F$16),BQ15*BJ15,"")</f>
        <v>982429.90654205612</v>
      </c>
      <c r="BM15" s="72"/>
      <c r="BN15" s="72">
        <f>IF(AND(ISNUMBER($F$16),$K15&lt;=$F$16),BQ15*($O$15+$BK$116)/$BL$116,"")</f>
        <v>32951526.083335388</v>
      </c>
      <c r="BO15" s="72">
        <f>IF(ISNUMBER(BN15),BN15*$M15,"")</f>
        <v>31991772.896442126</v>
      </c>
      <c r="BP15" s="39"/>
      <c r="BQ15" s="72">
        <f t="shared" ref="BQ15:BQ46" si="15">IF($K15&lt;=$F$15,$F$134,"")</f>
        <v>1051200</v>
      </c>
      <c r="BR15" s="72">
        <f>IF(ISNUMBER(BQ15),BQ15*$M15,"")</f>
        <v>1020582.5242718447</v>
      </c>
    </row>
    <row r="16" spans="1:70" x14ac:dyDescent="0.15">
      <c r="C16" s="184" t="s">
        <v>107</v>
      </c>
      <c r="F16" s="474">
        <f>IF(ISERROR(VLOOKUP(F3&amp;IF(G4&lt;&gt;"","_"&amp;G4,""),'表7）買取期間・IRR'!$A$3:$A$10,1,0)),"",VLOOKUP(F3&amp;IF(G4&lt;&gt;"","_"&amp;G4,""),'表7）買取期間・IRR'!$A$3:$C$10,IF(F7=2030,3,IF(F7=2020,3,IF(F7=2014,2,"-"))),0))</f>
        <v>20</v>
      </c>
      <c r="G16" s="84" t="s">
        <v>556</v>
      </c>
      <c r="I16" s="457">
        <f>I15+1</f>
        <v>2031</v>
      </c>
      <c r="J16" s="71"/>
      <c r="K16" s="71">
        <f>IF(I16&lt;&gt;"",K15+1,"")</f>
        <v>2</v>
      </c>
      <c r="L16" s="71"/>
      <c r="M16" s="7">
        <f t="shared" si="0"/>
        <v>0.94259590913375435</v>
      </c>
      <c r="N16" s="71"/>
      <c r="O16" s="10">
        <f t="shared" ref="O16:O79" si="16">IF(K16&lt;=$F$15,O15-V15,"")</f>
        <v>159480000</v>
      </c>
      <c r="P16" s="29">
        <f t="shared" si="1"/>
        <v>0.114</v>
      </c>
      <c r="Q16" s="71"/>
      <c r="R16" s="10">
        <f t="shared" ref="R16:R47" si="17">IF($K16&lt;=$F$15,MAX($F$117*5%,R15*$F$129),"")</f>
        <v>162113043.63803014</v>
      </c>
      <c r="S16" s="71"/>
      <c r="T16" s="10">
        <f t="shared" ref="T16:T79" si="18">IF(ISNUMBER(R16),ROUNDDOWN(R16,-3),"")</f>
        <v>162113000</v>
      </c>
      <c r="U16" s="71"/>
      <c r="V16" s="10">
        <f t="shared" si="2"/>
        <v>18180720</v>
      </c>
      <c r="W16" s="10">
        <f t="shared" ref="W16:W79" si="19">IF(ISNUMBER(V16),V16*$M16,"")</f>
        <v>17137072.297106229</v>
      </c>
      <c r="X16" s="71"/>
      <c r="Y16" s="10">
        <f t="shared" si="3"/>
        <v>2269500</v>
      </c>
      <c r="Z16" s="10">
        <f t="shared" ref="Z16:Z79" si="20">IF(ISNUMBER(Y16),Y16*$M16,"")</f>
        <v>2139221.4157790556</v>
      </c>
      <c r="AA16" s="71"/>
      <c r="AB16" s="10">
        <f t="shared" si="4"/>
        <v>0</v>
      </c>
      <c r="AC16" s="10">
        <f t="shared" ref="AC16:AC79" si="21">IF(ISNUMBER(AB16),AB16*$M16,"")</f>
        <v>0</v>
      </c>
      <c r="AD16" s="71"/>
      <c r="AE16" s="10">
        <f t="shared" si="5"/>
        <v>260000</v>
      </c>
      <c r="AF16" s="10">
        <f t="shared" ref="AF16:AF79" si="22">IF(ISNUMBER(AE16),AE16*$M16,"")</f>
        <v>245074.93637477612</v>
      </c>
      <c r="AG16" s="71"/>
      <c r="AH16" s="10">
        <f t="shared" si="6"/>
        <v>7000000.0000000009</v>
      </c>
      <c r="AI16" s="10">
        <f t="shared" ref="AI16:AI79" si="23">IF(ISNUMBER(AH16),AH16*$M16,"")</f>
        <v>6598171.3639362818</v>
      </c>
      <c r="AJ16" s="71"/>
      <c r="AK16" s="10">
        <f t="shared" si="7"/>
        <v>5400000</v>
      </c>
      <c r="AL16" s="10">
        <f t="shared" ref="AL16:AL79" si="24">IF(ISNUMBER(AK16),AK16*$M16,"")</f>
        <v>5090017.9093222739</v>
      </c>
      <c r="AM16" s="71"/>
      <c r="AN16" s="10">
        <f t="shared" si="8"/>
        <v>0</v>
      </c>
      <c r="AO16" s="10">
        <f t="shared" ref="AO16:AO79" si="25">IF(ISNUMBER(AN16),AN16*$M16,"")</f>
        <v>0</v>
      </c>
      <c r="AP16" s="71"/>
      <c r="AQ16" s="10">
        <f t="shared" si="9"/>
        <v>1736000.0000000002</v>
      </c>
      <c r="AR16" s="10">
        <f t="shared" ref="AR16:AR79" si="26">IF(ISNUMBER(AQ16),AQ16*$M16,"")</f>
        <v>1636346.4982561977</v>
      </c>
      <c r="AS16" s="71"/>
      <c r="AT16" s="7">
        <f>IF($K16&lt;=$F$15,IF($F$40&lt;&gt;"",$F$40/1000,IF(ISERROR(VLOOKUP($F$3&amp;IF($G$4&lt;&gt;"",$G$4,"")&amp;IF($F$43&lt;&gt;"","_"&amp;$F$43,""),'表3）燃料価格'!$AF$9:$AG$25,2,0)),0,VLOOKUP($I16,'表3）燃料価格'!$A$6:$U$66,VLOOKUP($F$3&amp;IF($G$4&lt;&gt;"",$G$4,"")&amp;IF($F$43&lt;&gt;"","_"&amp;$F$43,""),'表3）燃料価格'!$AF$9:$AG$25,2,0)+VLOOKUP($F$41,'表3）燃料価格'!$AF$28:$AG$29,2,0),0)*IF($F$43="需要地価格",1,$F$8/$F$141))),"")</f>
        <v>0</v>
      </c>
      <c r="AU16" s="71"/>
      <c r="AV16" s="10">
        <f t="shared" si="10"/>
        <v>0</v>
      </c>
      <c r="AW16" s="10">
        <f t="shared" ref="AW16:AW79" si="27">IF(ISNUMBER(AV16),AV16*$M16,"")</f>
        <v>0</v>
      </c>
      <c r="AX16" s="71"/>
      <c r="AY16" s="7">
        <f>IF(ISERROR(IF($K16&lt;=$F$15,VLOOKUP($I16,'表4）CO2価格'!$A$7:$E$67,VLOOKUP($F$48,'表4）CO2価格'!$H$10:$I$12,2,0),0)*$F$8/1000,"")),0,IF($K16&lt;=$F$15,VLOOKUP($I16,'表4）CO2価格'!$A$7:$E$67,VLOOKUP($F$48,'表4）CO2価格'!$H$10:$I$12,2,0),0)*$F$8/1000,""))</f>
        <v>0</v>
      </c>
      <c r="AZ16" s="71"/>
      <c r="BA16" s="11">
        <f t="shared" si="11"/>
        <v>0</v>
      </c>
      <c r="BB16" s="10">
        <f t="shared" ref="BB16:BB79" si="28">IF(ISNUMBER(BA16),BA16*$M16,"")</f>
        <v>0</v>
      </c>
      <c r="BC16" s="71"/>
      <c r="BD16" s="10">
        <f t="shared" si="12"/>
        <v>0</v>
      </c>
      <c r="BE16" s="10">
        <f t="shared" ref="BE16:BE79" si="29">IF(ISNUMBER(BD16),BD16*$M16,"")</f>
        <v>0</v>
      </c>
      <c r="BF16" s="71"/>
      <c r="BG16" s="11">
        <f t="shared" si="13"/>
        <v>0</v>
      </c>
      <c r="BH16" s="10">
        <f t="shared" ref="BH16:BH79" si="30">IF(ISNUMBER(BG16),BG16*$M16,"")</f>
        <v>0</v>
      </c>
      <c r="BJ16" s="7">
        <f t="shared" ref="BJ16:BJ79" si="31">IF(ISNUMBER($F$16),IF($K16&lt;=$F$16+$F$28,1/(1+($F$17/100))^K16,""),"")</f>
        <v>0.87343872827321156</v>
      </c>
      <c r="BK16" s="158">
        <f t="shared" ref="BK16:BK79" si="32">IF(ISNUMBER($F$16),IF($K16&lt;=$F$16+$F$28,IF($K16&lt;=$F$16,SUM(Y16,AB16,AE16,AH16,AK16,AN16,AQ16,AV16,BA16,BD16,BG16),$F$27/$F$28*10^8)*BJ16,""),"")</f>
        <v>14556293.126037207</v>
      </c>
      <c r="BL16" s="158">
        <f t="shared" si="14"/>
        <v>918158.79116080003</v>
      </c>
      <c r="BM16" s="10"/>
      <c r="BN16" s="10">
        <f t="shared" ref="BN16:BN79" si="33">IF(AND(ISNUMBER($F$16),$K16&lt;=$F$16),BQ16*($O$15+$BK$116)/$BL$116,"")</f>
        <v>32951526.083335388</v>
      </c>
      <c r="BO16" s="10">
        <f t="shared" ref="BO16:BO79" si="34">IF(ISNUMBER(BN16),BN16*$M16,"")</f>
        <v>31059973.68586614</v>
      </c>
      <c r="BQ16" s="10">
        <f t="shared" si="15"/>
        <v>1051200</v>
      </c>
      <c r="BR16" s="10">
        <f t="shared" ref="BR16:BR79" si="35">IF(ISNUMBER(BQ16),BQ16*$M16,"")</f>
        <v>990856.81968140253</v>
      </c>
    </row>
    <row r="17" spans="3:70" x14ac:dyDescent="0.15">
      <c r="C17" s="71" t="s">
        <v>109</v>
      </c>
      <c r="F17" s="476">
        <f>IF(ISERROR(VLOOKUP(F3&amp;IF(G4&lt;&gt;"","_"&amp;G4,""),'表7）買取期間・IRR'!$A$14:$C$21,1,0)),"",VLOOKUP(F3&amp;IF(G4&lt;&gt;"","_"&amp;G4,""),'表7）買取期間・IRR'!$A$14:$C$21,IF(F7=2030,3,IF(F7=2020,2,"-")),0))</f>
        <v>7</v>
      </c>
      <c r="G17" s="84" t="s">
        <v>549</v>
      </c>
      <c r="I17" s="38">
        <f t="shared" ref="I17:I80" si="36">I16+1</f>
        <v>2032</v>
      </c>
      <c r="J17" s="39"/>
      <c r="K17" s="39">
        <f t="shared" ref="K17:K80" si="37">IF(I17&lt;&gt;"",K16+1,"")</f>
        <v>3</v>
      </c>
      <c r="L17" s="39"/>
      <c r="M17" s="40">
        <f t="shared" si="0"/>
        <v>0.91514165935315961</v>
      </c>
      <c r="N17" s="39"/>
      <c r="O17" s="72">
        <f t="shared" si="16"/>
        <v>141299280</v>
      </c>
      <c r="P17" s="41">
        <f t="shared" si="1"/>
        <v>0.114</v>
      </c>
      <c r="Q17" s="39"/>
      <c r="R17" s="72">
        <f t="shared" si="17"/>
        <v>146003549.5421437</v>
      </c>
      <c r="S17" s="39"/>
      <c r="T17" s="72">
        <f t="shared" si="18"/>
        <v>146003000</v>
      </c>
      <c r="U17" s="39"/>
      <c r="V17" s="72">
        <f t="shared" si="2"/>
        <v>16108117.92</v>
      </c>
      <c r="W17" s="72">
        <f t="shared" si="19"/>
        <v>14741209.762365166</v>
      </c>
      <c r="X17" s="39"/>
      <c r="Y17" s="72">
        <f t="shared" si="3"/>
        <v>2044000</v>
      </c>
      <c r="Z17" s="72">
        <f t="shared" si="20"/>
        <v>1870549.5517178583</v>
      </c>
      <c r="AA17" s="39"/>
      <c r="AB17" s="72">
        <f t="shared" si="4"/>
        <v>0</v>
      </c>
      <c r="AC17" s="72">
        <f t="shared" si="21"/>
        <v>0</v>
      </c>
      <c r="AD17" s="39"/>
      <c r="AE17" s="72">
        <f t="shared" si="5"/>
        <v>260000</v>
      </c>
      <c r="AF17" s="72">
        <f t="shared" si="22"/>
        <v>237936.83143182151</v>
      </c>
      <c r="AG17" s="39"/>
      <c r="AH17" s="72">
        <f t="shared" si="6"/>
        <v>7000000.0000000009</v>
      </c>
      <c r="AI17" s="72">
        <f t="shared" si="23"/>
        <v>6405991.6154721184</v>
      </c>
      <c r="AJ17" s="39"/>
      <c r="AK17" s="72">
        <f t="shared" si="7"/>
        <v>5400000</v>
      </c>
      <c r="AL17" s="72">
        <f t="shared" si="24"/>
        <v>4941764.9605070623</v>
      </c>
      <c r="AM17" s="39"/>
      <c r="AN17" s="72">
        <f t="shared" si="8"/>
        <v>0</v>
      </c>
      <c r="AO17" s="72">
        <f t="shared" si="25"/>
        <v>0</v>
      </c>
      <c r="AP17" s="39"/>
      <c r="AQ17" s="72">
        <f t="shared" si="9"/>
        <v>1736000.0000000002</v>
      </c>
      <c r="AR17" s="72">
        <f t="shared" si="26"/>
        <v>1588685.9206370853</v>
      </c>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0</v>
      </c>
      <c r="AU17" s="39"/>
      <c r="AV17" s="72">
        <f t="shared" si="10"/>
        <v>0</v>
      </c>
      <c r="AW17" s="72">
        <f t="shared" si="27"/>
        <v>0</v>
      </c>
      <c r="AX17" s="39"/>
      <c r="AY17" s="40">
        <f>IF(ISERROR(IF($K17&lt;=$F$15,VLOOKUP($I17,'表4）CO2価格'!$A$7:$E$67,VLOOKUP($F$48,'表4）CO2価格'!$H$10:$I$12,2,0),0)*$F$8/1000,"")),0,IF($K17&lt;=$F$15,VLOOKUP($I17,'表4）CO2価格'!$A$7:$E$67,VLOOKUP($F$48,'表4）CO2価格'!$H$10:$I$12,2,0),0)*$F$8/1000,""))</f>
        <v>0</v>
      </c>
      <c r="AZ17" s="39"/>
      <c r="BA17" s="42">
        <f t="shared" si="11"/>
        <v>0</v>
      </c>
      <c r="BB17" s="72">
        <f t="shared" si="28"/>
        <v>0</v>
      </c>
      <c r="BC17" s="39"/>
      <c r="BD17" s="72">
        <f t="shared" si="12"/>
        <v>0</v>
      </c>
      <c r="BE17" s="72">
        <f t="shared" si="29"/>
        <v>0</v>
      </c>
      <c r="BF17" s="39"/>
      <c r="BG17" s="42">
        <f t="shared" si="13"/>
        <v>0</v>
      </c>
      <c r="BH17" s="72">
        <f t="shared" si="30"/>
        <v>0</v>
      </c>
      <c r="BI17" s="39"/>
      <c r="BJ17" s="40">
        <f t="shared" si="31"/>
        <v>0.81629787689085187</v>
      </c>
      <c r="BK17" s="157">
        <f t="shared" si="32"/>
        <v>13419937.096085604</v>
      </c>
      <c r="BL17" s="157">
        <f t="shared" si="14"/>
        <v>858092.32818766346</v>
      </c>
      <c r="BM17" s="72"/>
      <c r="BN17" s="72">
        <f t="shared" si="33"/>
        <v>32951526.083335388</v>
      </c>
      <c r="BO17" s="72">
        <f t="shared" si="34"/>
        <v>30155314.258122467</v>
      </c>
      <c r="BP17" s="39"/>
      <c r="BQ17" s="72">
        <f t="shared" si="15"/>
        <v>1051200</v>
      </c>
      <c r="BR17" s="72">
        <f t="shared" si="35"/>
        <v>961996.91231204139</v>
      </c>
    </row>
    <row r="18" spans="3:70" x14ac:dyDescent="0.15">
      <c r="I18" s="457">
        <f t="shared" si="36"/>
        <v>2033</v>
      </c>
      <c r="J18" s="71"/>
      <c r="K18" s="71">
        <f t="shared" si="37"/>
        <v>4</v>
      </c>
      <c r="L18" s="71"/>
      <c r="M18" s="7">
        <f t="shared" si="0"/>
        <v>0.888487047915689</v>
      </c>
      <c r="N18" s="71"/>
      <c r="O18" s="10">
        <f t="shared" si="16"/>
        <v>125191162.08</v>
      </c>
      <c r="P18" s="29">
        <f t="shared" si="1"/>
        <v>0.114</v>
      </c>
      <c r="Q18" s="71"/>
      <c r="R18" s="10">
        <f t="shared" si="17"/>
        <v>131494887.76796021</v>
      </c>
      <c r="S18" s="71"/>
      <c r="T18" s="10">
        <f t="shared" si="18"/>
        <v>131494000</v>
      </c>
      <c r="U18" s="71"/>
      <c r="V18" s="10">
        <f t="shared" si="2"/>
        <v>14271792.477120001</v>
      </c>
      <c r="W18" s="10">
        <f t="shared" si="19"/>
        <v>12680302.766461687</v>
      </c>
      <c r="X18" s="71"/>
      <c r="Y18" s="10">
        <f t="shared" si="3"/>
        <v>1840900</v>
      </c>
      <c r="Z18" s="10">
        <f t="shared" si="20"/>
        <v>1635615.8065079919</v>
      </c>
      <c r="AA18" s="71"/>
      <c r="AB18" s="10">
        <f t="shared" si="4"/>
        <v>0</v>
      </c>
      <c r="AC18" s="10">
        <f t="shared" si="21"/>
        <v>0</v>
      </c>
      <c r="AD18" s="71"/>
      <c r="AE18" s="10">
        <f t="shared" si="5"/>
        <v>260000</v>
      </c>
      <c r="AF18" s="10">
        <f t="shared" si="22"/>
        <v>231006.63245807914</v>
      </c>
      <c r="AG18" s="71"/>
      <c r="AH18" s="10">
        <f t="shared" si="6"/>
        <v>7000000.0000000009</v>
      </c>
      <c r="AI18" s="10">
        <f t="shared" si="23"/>
        <v>6219409.3354098238</v>
      </c>
      <c r="AJ18" s="71"/>
      <c r="AK18" s="10">
        <f t="shared" si="7"/>
        <v>5400000</v>
      </c>
      <c r="AL18" s="10">
        <f t="shared" si="24"/>
        <v>4797830.0587447202</v>
      </c>
      <c r="AM18" s="71"/>
      <c r="AN18" s="10">
        <f t="shared" si="8"/>
        <v>0</v>
      </c>
      <c r="AO18" s="10">
        <f t="shared" si="25"/>
        <v>0</v>
      </c>
      <c r="AP18" s="71"/>
      <c r="AQ18" s="10">
        <f t="shared" si="9"/>
        <v>1736000.0000000002</v>
      </c>
      <c r="AR18" s="10">
        <f t="shared" si="26"/>
        <v>1542413.5151816362</v>
      </c>
      <c r="AS18" s="71"/>
      <c r="AT18" s="7">
        <f>IF($K18&lt;=$F$15,IF($F$40&lt;&gt;"",$F$40/1000,IF(ISERROR(VLOOKUP($F$3&amp;IF($G$4&lt;&gt;"",$G$4,"")&amp;IF($F$43&lt;&gt;"","_"&amp;$F$43,""),'表3）燃料価格'!$AF$9:$AG$25,2,0)),0,VLOOKUP($I18,'表3）燃料価格'!$A$6:$U$66,VLOOKUP($F$3&amp;IF($G$4&lt;&gt;"",$G$4,"")&amp;IF($F$43&lt;&gt;"","_"&amp;$F$43,""),'表3）燃料価格'!$AF$9:$AG$25,2,0)+VLOOKUP($F$41,'表3）燃料価格'!$AF$28:$AG$29,2,0),0)*IF($F$43="需要地価格",1,$F$8/$F$141))),"")</f>
        <v>0</v>
      </c>
      <c r="AU18" s="71"/>
      <c r="AV18" s="10">
        <f t="shared" si="10"/>
        <v>0</v>
      </c>
      <c r="AW18" s="10">
        <f t="shared" si="27"/>
        <v>0</v>
      </c>
      <c r="AX18" s="71"/>
      <c r="AY18" s="7">
        <f>IF(ISERROR(IF($K18&lt;=$F$15,VLOOKUP($I18,'表4）CO2価格'!$A$7:$E$67,VLOOKUP($F$48,'表4）CO2価格'!$H$10:$I$12,2,0),0)*$F$8/1000,"")),0,IF($K18&lt;=$F$15,VLOOKUP($I18,'表4）CO2価格'!$A$7:$E$67,VLOOKUP($F$48,'表4）CO2価格'!$H$10:$I$12,2,0),0)*$F$8/1000,""))</f>
        <v>0</v>
      </c>
      <c r="AZ18" s="71"/>
      <c r="BA18" s="11">
        <f t="shared" si="11"/>
        <v>0</v>
      </c>
      <c r="BB18" s="10">
        <f t="shared" si="28"/>
        <v>0</v>
      </c>
      <c r="BC18" s="71"/>
      <c r="BD18" s="10">
        <f t="shared" si="12"/>
        <v>0</v>
      </c>
      <c r="BE18" s="10">
        <f t="shared" si="29"/>
        <v>0</v>
      </c>
      <c r="BF18" s="71"/>
      <c r="BG18" s="11">
        <f t="shared" si="13"/>
        <v>0</v>
      </c>
      <c r="BH18" s="10">
        <f t="shared" si="30"/>
        <v>0</v>
      </c>
      <c r="BJ18" s="7">
        <f t="shared" si="31"/>
        <v>0.7628952120475252</v>
      </c>
      <c r="BK18" s="158">
        <f t="shared" si="32"/>
        <v>12387053.268494463</v>
      </c>
      <c r="BL18" s="158">
        <f t="shared" si="14"/>
        <v>801955.44690435845</v>
      </c>
      <c r="BM18" s="10"/>
      <c r="BN18" s="10">
        <f t="shared" si="33"/>
        <v>32951526.083335388</v>
      </c>
      <c r="BO18" s="10">
        <f t="shared" si="34"/>
        <v>29277004.134099483</v>
      </c>
      <c r="BQ18" s="10">
        <f t="shared" si="15"/>
        <v>1051200</v>
      </c>
      <c r="BR18" s="10">
        <f t="shared" si="35"/>
        <v>933977.58476897224</v>
      </c>
    </row>
    <row r="19" spans="3:70" x14ac:dyDescent="0.15">
      <c r="C19" s="4" t="s">
        <v>557</v>
      </c>
      <c r="D19" s="100"/>
      <c r="E19" s="100"/>
      <c r="F19" s="4"/>
      <c r="G19" s="100"/>
      <c r="I19" s="38">
        <f t="shared" si="36"/>
        <v>2034</v>
      </c>
      <c r="J19" s="39"/>
      <c r="K19" s="39">
        <f t="shared" si="37"/>
        <v>5</v>
      </c>
      <c r="L19" s="39"/>
      <c r="M19" s="40">
        <f t="shared" si="0"/>
        <v>0.86260878438416411</v>
      </c>
      <c r="N19" s="39"/>
      <c r="O19" s="72">
        <f t="shared" si="16"/>
        <v>110919369.60288</v>
      </c>
      <c r="P19" s="41">
        <f t="shared" si="1"/>
        <v>0.114</v>
      </c>
      <c r="Q19" s="39"/>
      <c r="R19" s="72">
        <f t="shared" si="17"/>
        <v>118427980.43836227</v>
      </c>
      <c r="S19" s="39"/>
      <c r="T19" s="72">
        <f t="shared" si="18"/>
        <v>118427000</v>
      </c>
      <c r="U19" s="39"/>
      <c r="V19" s="72">
        <f t="shared" si="2"/>
        <v>12644808.13472832</v>
      </c>
      <c r="W19" s="72">
        <f t="shared" si="19"/>
        <v>10907522.573868986</v>
      </c>
      <c r="X19" s="39"/>
      <c r="Y19" s="72">
        <f t="shared" si="3"/>
        <v>1657900</v>
      </c>
      <c r="Z19" s="72">
        <f t="shared" si="20"/>
        <v>1430119.1036305057</v>
      </c>
      <c r="AA19" s="39"/>
      <c r="AB19" s="72">
        <f t="shared" si="4"/>
        <v>0</v>
      </c>
      <c r="AC19" s="72">
        <f t="shared" si="21"/>
        <v>0</v>
      </c>
      <c r="AD19" s="39"/>
      <c r="AE19" s="72">
        <f t="shared" si="5"/>
        <v>260000</v>
      </c>
      <c r="AF19" s="72">
        <f t="shared" si="22"/>
        <v>224278.28393988268</v>
      </c>
      <c r="AG19" s="39"/>
      <c r="AH19" s="72">
        <f t="shared" si="6"/>
        <v>7000000.0000000009</v>
      </c>
      <c r="AI19" s="72">
        <f t="shared" si="23"/>
        <v>6038261.4906891491</v>
      </c>
      <c r="AJ19" s="39"/>
      <c r="AK19" s="72">
        <f t="shared" si="7"/>
        <v>5400000</v>
      </c>
      <c r="AL19" s="72">
        <f t="shared" si="24"/>
        <v>4658087.4356744858</v>
      </c>
      <c r="AM19" s="39"/>
      <c r="AN19" s="72">
        <f t="shared" si="8"/>
        <v>0</v>
      </c>
      <c r="AO19" s="72">
        <f t="shared" si="25"/>
        <v>0</v>
      </c>
      <c r="AP19" s="39"/>
      <c r="AQ19" s="72">
        <f t="shared" si="9"/>
        <v>1736000.0000000002</v>
      </c>
      <c r="AR19" s="72">
        <f t="shared" si="26"/>
        <v>1497488.849690909</v>
      </c>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0</v>
      </c>
      <c r="AU19" s="39"/>
      <c r="AV19" s="72">
        <f t="shared" si="10"/>
        <v>0</v>
      </c>
      <c r="AW19" s="72">
        <f t="shared" si="27"/>
        <v>0</v>
      </c>
      <c r="AX19" s="39"/>
      <c r="AY19" s="40">
        <f>IF(ISERROR(IF($K19&lt;=$F$15,VLOOKUP($I19,'表4）CO2価格'!$A$7:$E$67,VLOOKUP($F$48,'表4）CO2価格'!$H$10:$I$12,2,0),0)*$F$8/1000,"")),0,IF($K19&lt;=$F$15,VLOOKUP($I19,'表4）CO2価格'!$A$7:$E$67,VLOOKUP($F$48,'表4）CO2価格'!$H$10:$I$12,2,0),0)*$F$8/1000,""))</f>
        <v>0</v>
      </c>
      <c r="AZ19" s="39"/>
      <c r="BA19" s="42">
        <f t="shared" si="11"/>
        <v>0</v>
      </c>
      <c r="BB19" s="72">
        <f t="shared" si="28"/>
        <v>0</v>
      </c>
      <c r="BC19" s="39"/>
      <c r="BD19" s="72">
        <f t="shared" si="12"/>
        <v>0</v>
      </c>
      <c r="BE19" s="72">
        <f t="shared" si="29"/>
        <v>0</v>
      </c>
      <c r="BF19" s="39"/>
      <c r="BG19" s="42">
        <f t="shared" si="13"/>
        <v>0</v>
      </c>
      <c r="BH19" s="72">
        <f t="shared" si="30"/>
        <v>0</v>
      </c>
      <c r="BI19" s="39"/>
      <c r="BJ19" s="40">
        <f t="shared" si="31"/>
        <v>0.71298617948366838</v>
      </c>
      <c r="BK19" s="157">
        <f t="shared" si="32"/>
        <v>11446208.826812863</v>
      </c>
      <c r="BL19" s="157">
        <f t="shared" si="14"/>
        <v>749491.07187323226</v>
      </c>
      <c r="BM19" s="72"/>
      <c r="BN19" s="72">
        <f t="shared" si="33"/>
        <v>32951526.083335388</v>
      </c>
      <c r="BO19" s="72">
        <f t="shared" si="34"/>
        <v>28424275.858349014</v>
      </c>
      <c r="BP19" s="39"/>
      <c r="BQ19" s="72">
        <f t="shared" si="15"/>
        <v>1051200</v>
      </c>
      <c r="BR19" s="72">
        <f t="shared" si="35"/>
        <v>906774.35414463328</v>
      </c>
    </row>
    <row r="20" spans="3:70" x14ac:dyDescent="0.15">
      <c r="I20" s="457">
        <f t="shared" si="36"/>
        <v>2035</v>
      </c>
      <c r="J20" s="71"/>
      <c r="K20" s="71">
        <f t="shared" si="37"/>
        <v>6</v>
      </c>
      <c r="L20" s="71"/>
      <c r="M20" s="7">
        <f t="shared" si="0"/>
        <v>0.83748425668365445</v>
      </c>
      <c r="N20" s="71"/>
      <c r="O20" s="10">
        <f t="shared" si="16"/>
        <v>98274561.468151689</v>
      </c>
      <c r="P20" s="29">
        <f t="shared" si="1"/>
        <v>0.114</v>
      </c>
      <c r="Q20" s="71"/>
      <c r="R20" s="10">
        <f t="shared" si="17"/>
        <v>106659557.55982223</v>
      </c>
      <c r="S20" s="71"/>
      <c r="T20" s="10">
        <f t="shared" si="18"/>
        <v>106659000</v>
      </c>
      <c r="U20" s="71"/>
      <c r="V20" s="10">
        <f t="shared" si="2"/>
        <v>11203300.007369293</v>
      </c>
      <c r="W20" s="10">
        <f t="shared" si="19"/>
        <v>9382587.379075652</v>
      </c>
      <c r="X20" s="71"/>
      <c r="Y20" s="10">
        <f t="shared" si="3"/>
        <v>1493200</v>
      </c>
      <c r="Z20" s="10">
        <f t="shared" si="20"/>
        <v>1250531.4920800328</v>
      </c>
      <c r="AA20" s="71"/>
      <c r="AB20" s="10">
        <f t="shared" si="4"/>
        <v>0</v>
      </c>
      <c r="AC20" s="10">
        <f t="shared" si="21"/>
        <v>0</v>
      </c>
      <c r="AD20" s="71"/>
      <c r="AE20" s="10">
        <f t="shared" si="5"/>
        <v>260000</v>
      </c>
      <c r="AF20" s="10">
        <f t="shared" si="22"/>
        <v>217745.90673775016</v>
      </c>
      <c r="AG20" s="71"/>
      <c r="AH20" s="10">
        <f t="shared" si="6"/>
        <v>7000000.0000000009</v>
      </c>
      <c r="AI20" s="10">
        <f t="shared" si="23"/>
        <v>5862389.7967855819</v>
      </c>
      <c r="AJ20" s="71"/>
      <c r="AK20" s="10">
        <f t="shared" si="7"/>
        <v>5400000</v>
      </c>
      <c r="AL20" s="10">
        <f t="shared" si="24"/>
        <v>4522414.9860917339</v>
      </c>
      <c r="AM20" s="71"/>
      <c r="AN20" s="10">
        <f t="shared" si="8"/>
        <v>0</v>
      </c>
      <c r="AO20" s="10">
        <f t="shared" si="25"/>
        <v>0</v>
      </c>
      <c r="AP20" s="71"/>
      <c r="AQ20" s="10">
        <f t="shared" si="9"/>
        <v>1736000.0000000002</v>
      </c>
      <c r="AR20" s="10">
        <f t="shared" si="26"/>
        <v>1453872.6696028244</v>
      </c>
      <c r="AS20" s="71"/>
      <c r="AT20" s="7">
        <f>IF($K20&lt;=$F$15,IF($F$40&lt;&gt;"",$F$40/1000,IF(ISERROR(VLOOKUP($F$3&amp;IF($G$4&lt;&gt;"",$G$4,"")&amp;IF($F$43&lt;&gt;"","_"&amp;$F$43,""),'表3）燃料価格'!$AF$9:$AG$25,2,0)),0,VLOOKUP($I20,'表3）燃料価格'!$A$6:$U$66,VLOOKUP($F$3&amp;IF($G$4&lt;&gt;"",$G$4,"")&amp;IF($F$43&lt;&gt;"","_"&amp;$F$43,""),'表3）燃料価格'!$AF$9:$AG$25,2,0)+VLOOKUP($F$41,'表3）燃料価格'!$AF$28:$AG$29,2,0),0)*IF($F$43="需要地価格",1,$F$8/$F$141))),"")</f>
        <v>0</v>
      </c>
      <c r="AU20" s="71"/>
      <c r="AV20" s="10">
        <f t="shared" si="10"/>
        <v>0</v>
      </c>
      <c r="AW20" s="10">
        <f t="shared" si="27"/>
        <v>0</v>
      </c>
      <c r="AX20" s="71"/>
      <c r="AY20" s="7">
        <f>IF(ISERROR(IF($K20&lt;=$F$15,VLOOKUP($I20,'表4）CO2価格'!$A$7:$E$67,VLOOKUP($F$48,'表4）CO2価格'!$H$10:$I$12,2,0),0)*$F$8/1000,"")),0,IF($K20&lt;=$F$15,VLOOKUP($I20,'表4）CO2価格'!$A$7:$E$67,VLOOKUP($F$48,'表4）CO2価格'!$H$10:$I$12,2,0),0)*$F$8/1000,""))</f>
        <v>0</v>
      </c>
      <c r="AZ20" s="71"/>
      <c r="BA20" s="11">
        <f t="shared" si="11"/>
        <v>0</v>
      </c>
      <c r="BB20" s="10">
        <f t="shared" si="28"/>
        <v>0</v>
      </c>
      <c r="BC20" s="71"/>
      <c r="BD20" s="10">
        <f t="shared" si="12"/>
        <v>0</v>
      </c>
      <c r="BE20" s="10">
        <f t="shared" si="29"/>
        <v>0</v>
      </c>
      <c r="BF20" s="71"/>
      <c r="BG20" s="11">
        <f t="shared" si="13"/>
        <v>0</v>
      </c>
      <c r="BH20" s="10">
        <f t="shared" si="30"/>
        <v>0</v>
      </c>
      <c r="BJ20" s="7">
        <f t="shared" si="31"/>
        <v>0.66634222381651254</v>
      </c>
      <c r="BK20" s="158">
        <f t="shared" si="32"/>
        <v>10587644.862665331</v>
      </c>
      <c r="BL20" s="158">
        <f t="shared" si="14"/>
        <v>700458.94567591802</v>
      </c>
      <c r="BM20" s="10"/>
      <c r="BN20" s="10">
        <f t="shared" si="33"/>
        <v>32951526.083335388</v>
      </c>
      <c r="BO20" s="10">
        <f t="shared" si="34"/>
        <v>27596384.328494187</v>
      </c>
      <c r="BQ20" s="10">
        <f t="shared" si="15"/>
        <v>1051200</v>
      </c>
      <c r="BR20" s="10">
        <f t="shared" si="35"/>
        <v>880363.45062585757</v>
      </c>
    </row>
    <row r="21" spans="3:70" x14ac:dyDescent="0.15">
      <c r="D21" s="84" t="s">
        <v>558</v>
      </c>
      <c r="F21" s="477">
        <v>90</v>
      </c>
      <c r="G21" s="84" t="s">
        <v>559</v>
      </c>
      <c r="I21" s="38">
        <f t="shared" si="36"/>
        <v>2036</v>
      </c>
      <c r="J21" s="39"/>
      <c r="K21" s="39">
        <f t="shared" si="37"/>
        <v>7</v>
      </c>
      <c r="L21" s="39"/>
      <c r="M21" s="40">
        <f t="shared" si="0"/>
        <v>0.81309151134335378</v>
      </c>
      <c r="N21" s="39"/>
      <c r="O21" s="72">
        <f t="shared" si="16"/>
        <v>87071261.460782394</v>
      </c>
      <c r="P21" s="41">
        <f t="shared" si="1"/>
        <v>0.114</v>
      </c>
      <c r="Q21" s="39"/>
      <c r="R21" s="72">
        <f t="shared" si="17"/>
        <v>96060586.1617136</v>
      </c>
      <c r="S21" s="39"/>
      <c r="T21" s="72">
        <f t="shared" si="18"/>
        <v>96060000</v>
      </c>
      <c r="U21" s="39"/>
      <c r="V21" s="72">
        <f t="shared" si="2"/>
        <v>9926123.8065291941</v>
      </c>
      <c r="W21" s="72">
        <f t="shared" si="19"/>
        <v>8070847.0076320665</v>
      </c>
      <c r="X21" s="39"/>
      <c r="Y21" s="72">
        <f t="shared" si="3"/>
        <v>1344800</v>
      </c>
      <c r="Z21" s="72">
        <f t="shared" si="20"/>
        <v>1093445.4644545421</v>
      </c>
      <c r="AA21" s="39"/>
      <c r="AB21" s="72">
        <f t="shared" si="4"/>
        <v>0</v>
      </c>
      <c r="AC21" s="72">
        <f t="shared" si="21"/>
        <v>0</v>
      </c>
      <c r="AD21" s="39"/>
      <c r="AE21" s="72">
        <f t="shared" si="5"/>
        <v>260000</v>
      </c>
      <c r="AF21" s="72">
        <f t="shared" si="22"/>
        <v>211403.79294927197</v>
      </c>
      <c r="AG21" s="39"/>
      <c r="AH21" s="72">
        <f t="shared" si="6"/>
        <v>7000000.0000000009</v>
      </c>
      <c r="AI21" s="72">
        <f t="shared" si="23"/>
        <v>5691640.5794034768</v>
      </c>
      <c r="AJ21" s="39"/>
      <c r="AK21" s="72">
        <f t="shared" si="7"/>
        <v>5400000</v>
      </c>
      <c r="AL21" s="72">
        <f t="shared" si="24"/>
        <v>4390694.1612541107</v>
      </c>
      <c r="AM21" s="39"/>
      <c r="AN21" s="72">
        <f t="shared" si="8"/>
        <v>0</v>
      </c>
      <c r="AO21" s="72">
        <f t="shared" si="25"/>
        <v>0</v>
      </c>
      <c r="AP21" s="39"/>
      <c r="AQ21" s="72">
        <f t="shared" si="9"/>
        <v>1736000.0000000002</v>
      </c>
      <c r="AR21" s="72">
        <f t="shared" si="26"/>
        <v>1411526.8636920624</v>
      </c>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0</v>
      </c>
      <c r="AU21" s="39"/>
      <c r="AV21" s="72">
        <f t="shared" si="10"/>
        <v>0</v>
      </c>
      <c r="AW21" s="72">
        <f t="shared" si="27"/>
        <v>0</v>
      </c>
      <c r="AX21" s="39"/>
      <c r="AY21" s="40">
        <f>IF(ISERROR(IF($K21&lt;=$F$15,VLOOKUP($I21,'表4）CO2価格'!$A$7:$E$67,VLOOKUP($F$48,'表4）CO2価格'!$H$10:$I$12,2,0),0)*$F$8/1000,"")),0,IF($K21&lt;=$F$15,VLOOKUP($I21,'表4）CO2価格'!$A$7:$E$67,VLOOKUP($F$48,'表4）CO2価格'!$H$10:$I$12,2,0),0)*$F$8/1000,""))</f>
        <v>0</v>
      </c>
      <c r="AZ21" s="39"/>
      <c r="BA21" s="42">
        <f t="shared" si="11"/>
        <v>0</v>
      </c>
      <c r="BB21" s="72">
        <f t="shared" si="28"/>
        <v>0</v>
      </c>
      <c r="BC21" s="39"/>
      <c r="BD21" s="72">
        <f t="shared" si="12"/>
        <v>0</v>
      </c>
      <c r="BE21" s="72">
        <f t="shared" si="29"/>
        <v>0</v>
      </c>
      <c r="BF21" s="39"/>
      <c r="BG21" s="42">
        <f t="shared" si="13"/>
        <v>0</v>
      </c>
      <c r="BH21" s="72">
        <f t="shared" si="30"/>
        <v>0</v>
      </c>
      <c r="BI21" s="39"/>
      <c r="BJ21" s="40">
        <f t="shared" si="31"/>
        <v>0.62274974188459109</v>
      </c>
      <c r="BK21" s="157">
        <f t="shared" si="32"/>
        <v>9802579.137056971</v>
      </c>
      <c r="BL21" s="157">
        <f t="shared" si="14"/>
        <v>654634.52866908221</v>
      </c>
      <c r="BM21" s="72"/>
      <c r="BN21" s="72">
        <f t="shared" si="33"/>
        <v>32951526.083335388</v>
      </c>
      <c r="BO21" s="72">
        <f t="shared" si="34"/>
        <v>26792606.144169115</v>
      </c>
      <c r="BP21" s="39"/>
      <c r="BQ21" s="72">
        <f t="shared" si="15"/>
        <v>1051200</v>
      </c>
      <c r="BR21" s="72">
        <f t="shared" si="35"/>
        <v>854721.79672413354</v>
      </c>
    </row>
    <row r="22" spans="3:70" ht="16.5" x14ac:dyDescent="0.15">
      <c r="D22" s="84" t="s">
        <v>560</v>
      </c>
      <c r="F22" s="478"/>
      <c r="G22" s="71" t="s">
        <v>561</v>
      </c>
      <c r="I22" s="457">
        <f t="shared" si="36"/>
        <v>2037</v>
      </c>
      <c r="J22" s="71"/>
      <c r="K22" s="71">
        <f t="shared" si="37"/>
        <v>8</v>
      </c>
      <c r="L22" s="71"/>
      <c r="M22" s="7">
        <f t="shared" si="0"/>
        <v>0.78940923431393573</v>
      </c>
      <c r="N22" s="71"/>
      <c r="O22" s="10">
        <f t="shared" si="16"/>
        <v>77145137.6542532</v>
      </c>
      <c r="P22" s="29">
        <f t="shared" si="1"/>
        <v>0.114</v>
      </c>
      <c r="Q22" s="71"/>
      <c r="R22" s="10">
        <f t="shared" si="17"/>
        <v>86514855.535159051</v>
      </c>
      <c r="S22" s="71"/>
      <c r="T22" s="10">
        <f t="shared" si="18"/>
        <v>86514000</v>
      </c>
      <c r="U22" s="71"/>
      <c r="V22" s="10">
        <f t="shared" si="2"/>
        <v>8794545.6925848648</v>
      </c>
      <c r="W22" s="10">
        <f t="shared" si="19"/>
        <v>6942495.5813223394</v>
      </c>
      <c r="X22" s="71"/>
      <c r="Y22" s="10">
        <f t="shared" si="3"/>
        <v>1211100</v>
      </c>
      <c r="Z22" s="10">
        <f t="shared" si="20"/>
        <v>956053.52367760753</v>
      </c>
      <c r="AA22" s="71"/>
      <c r="AB22" s="10">
        <f t="shared" si="4"/>
        <v>0</v>
      </c>
      <c r="AC22" s="10">
        <f t="shared" si="21"/>
        <v>0</v>
      </c>
      <c r="AD22" s="71"/>
      <c r="AE22" s="10">
        <f t="shared" si="5"/>
        <v>260000</v>
      </c>
      <c r="AF22" s="10">
        <f t="shared" si="22"/>
        <v>205246.40092162328</v>
      </c>
      <c r="AG22" s="71"/>
      <c r="AH22" s="10">
        <f t="shared" si="6"/>
        <v>7000000.0000000009</v>
      </c>
      <c r="AI22" s="10">
        <f t="shared" si="23"/>
        <v>5525864.6401975509</v>
      </c>
      <c r="AJ22" s="71"/>
      <c r="AK22" s="10">
        <f t="shared" si="7"/>
        <v>5400000</v>
      </c>
      <c r="AL22" s="10">
        <f t="shared" si="24"/>
        <v>4262809.8652952528</v>
      </c>
      <c r="AM22" s="71"/>
      <c r="AN22" s="10">
        <f t="shared" si="8"/>
        <v>0</v>
      </c>
      <c r="AO22" s="10">
        <f t="shared" si="25"/>
        <v>0</v>
      </c>
      <c r="AP22" s="71"/>
      <c r="AQ22" s="10">
        <f t="shared" si="9"/>
        <v>1736000.0000000002</v>
      </c>
      <c r="AR22" s="10">
        <f t="shared" si="26"/>
        <v>1370414.4307689925</v>
      </c>
      <c r="AS22" s="71"/>
      <c r="AT22" s="7">
        <f>IF($K22&lt;=$F$15,IF($F$40&lt;&gt;"",$F$40/1000,IF(ISERROR(VLOOKUP($F$3&amp;IF($G$4&lt;&gt;"",$G$4,"")&amp;IF($F$43&lt;&gt;"","_"&amp;$F$43,""),'表3）燃料価格'!$AF$9:$AG$25,2,0)),0,VLOOKUP($I22,'表3）燃料価格'!$A$6:$U$66,VLOOKUP($F$3&amp;IF($G$4&lt;&gt;"",$G$4,"")&amp;IF($F$43&lt;&gt;"","_"&amp;$F$43,""),'表3）燃料価格'!$AF$9:$AG$25,2,0)+VLOOKUP($F$41,'表3）燃料価格'!$AF$28:$AG$29,2,0),0)*IF($F$43="需要地価格",1,$F$8/$F$141))),"")</f>
        <v>0</v>
      </c>
      <c r="AU22" s="71"/>
      <c r="AV22" s="10">
        <f t="shared" si="10"/>
        <v>0</v>
      </c>
      <c r="AW22" s="10">
        <f t="shared" si="27"/>
        <v>0</v>
      </c>
      <c r="AX22" s="71"/>
      <c r="AY22" s="7">
        <f>IF(ISERROR(IF($K22&lt;=$F$15,VLOOKUP($I22,'表4）CO2価格'!$A$7:$E$67,VLOOKUP($F$48,'表4）CO2価格'!$H$10:$I$12,2,0),0)*$F$8/1000,"")),0,IF($K22&lt;=$F$15,VLOOKUP($I22,'表4）CO2価格'!$A$7:$E$67,VLOOKUP($F$48,'表4）CO2価格'!$H$10:$I$12,2,0),0)*$F$8/1000,""))</f>
        <v>0</v>
      </c>
      <c r="AZ22" s="71"/>
      <c r="BA22" s="11">
        <f t="shared" si="11"/>
        <v>0</v>
      </c>
      <c r="BB22" s="10">
        <f t="shared" si="28"/>
        <v>0</v>
      </c>
      <c r="BC22" s="71"/>
      <c r="BD22" s="10">
        <f t="shared" si="12"/>
        <v>0</v>
      </c>
      <c r="BE22" s="10">
        <f t="shared" si="29"/>
        <v>0</v>
      </c>
      <c r="BF22" s="71"/>
      <c r="BG22" s="11">
        <f t="shared" si="13"/>
        <v>0</v>
      </c>
      <c r="BH22" s="10">
        <f t="shared" si="30"/>
        <v>0</v>
      </c>
      <c r="BJ22" s="7">
        <f t="shared" si="31"/>
        <v>0.5820091045650384</v>
      </c>
      <c r="BK22" s="158">
        <f t="shared" si="32"/>
        <v>9083474.2958570104</v>
      </c>
      <c r="BL22" s="158">
        <f t="shared" si="14"/>
        <v>611807.97071876843</v>
      </c>
      <c r="BM22" s="10"/>
      <c r="BN22" s="10">
        <f t="shared" si="33"/>
        <v>32951526.083335388</v>
      </c>
      <c r="BO22" s="10">
        <f t="shared" si="34"/>
        <v>26012238.974921469</v>
      </c>
      <c r="BQ22" s="10">
        <f t="shared" si="15"/>
        <v>1051200</v>
      </c>
      <c r="BR22" s="10">
        <f t="shared" si="35"/>
        <v>829826.98711080919</v>
      </c>
    </row>
    <row r="23" spans="3:70" x14ac:dyDescent="0.15">
      <c r="D23" s="84" t="s">
        <v>562</v>
      </c>
      <c r="F23" s="479"/>
      <c r="G23" s="84" t="s">
        <v>549</v>
      </c>
      <c r="I23" s="38">
        <f t="shared" si="36"/>
        <v>2038</v>
      </c>
      <c r="J23" s="39"/>
      <c r="K23" s="39">
        <f t="shared" si="37"/>
        <v>9</v>
      </c>
      <c r="L23" s="39"/>
      <c r="M23" s="40">
        <f t="shared" si="0"/>
        <v>0.76641673234362695</v>
      </c>
      <c r="N23" s="39"/>
      <c r="O23" s="72">
        <f t="shared" si="16"/>
        <v>68350591.961668342</v>
      </c>
      <c r="P23" s="41">
        <f t="shared" si="1"/>
        <v>0.114</v>
      </c>
      <c r="Q23" s="39"/>
      <c r="R23" s="72">
        <f t="shared" si="17"/>
        <v>77917703.059495062</v>
      </c>
      <c r="S23" s="39"/>
      <c r="T23" s="72">
        <f t="shared" si="18"/>
        <v>77917000</v>
      </c>
      <c r="U23" s="39"/>
      <c r="V23" s="72">
        <f t="shared" si="2"/>
        <v>7791967.4836301915</v>
      </c>
      <c r="W23" s="72">
        <f t="shared" si="19"/>
        <v>5971894.2573316451</v>
      </c>
      <c r="X23" s="39"/>
      <c r="Y23" s="72">
        <f t="shared" si="3"/>
        <v>1090800</v>
      </c>
      <c r="Z23" s="72">
        <f t="shared" si="20"/>
        <v>836007.37164042832</v>
      </c>
      <c r="AA23" s="39"/>
      <c r="AB23" s="72">
        <f t="shared" si="4"/>
        <v>0</v>
      </c>
      <c r="AC23" s="72">
        <f t="shared" si="21"/>
        <v>0</v>
      </c>
      <c r="AD23" s="39"/>
      <c r="AE23" s="72">
        <f t="shared" si="5"/>
        <v>260000</v>
      </c>
      <c r="AF23" s="72">
        <f t="shared" si="22"/>
        <v>199268.35040934299</v>
      </c>
      <c r="AG23" s="39"/>
      <c r="AH23" s="72">
        <f t="shared" si="6"/>
        <v>7000000.0000000009</v>
      </c>
      <c r="AI23" s="72">
        <f t="shared" si="23"/>
        <v>5364917.126405389</v>
      </c>
      <c r="AJ23" s="39"/>
      <c r="AK23" s="72">
        <f t="shared" si="7"/>
        <v>5400000</v>
      </c>
      <c r="AL23" s="72">
        <f t="shared" si="24"/>
        <v>4138650.3546555857</v>
      </c>
      <c r="AM23" s="39"/>
      <c r="AN23" s="72">
        <f t="shared" si="8"/>
        <v>0</v>
      </c>
      <c r="AO23" s="72">
        <f t="shared" si="25"/>
        <v>0</v>
      </c>
      <c r="AP23" s="39"/>
      <c r="AQ23" s="72">
        <f t="shared" si="9"/>
        <v>1736000.0000000002</v>
      </c>
      <c r="AR23" s="72">
        <f t="shared" si="26"/>
        <v>1330499.4473485365</v>
      </c>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0</v>
      </c>
      <c r="AU23" s="39"/>
      <c r="AV23" s="72">
        <f t="shared" si="10"/>
        <v>0</v>
      </c>
      <c r="AW23" s="72">
        <f t="shared" si="27"/>
        <v>0</v>
      </c>
      <c r="AX23" s="39"/>
      <c r="AY23" s="40">
        <f>IF(ISERROR(IF($K23&lt;=$F$15,VLOOKUP($I23,'表4）CO2価格'!$A$7:$E$67,VLOOKUP($F$48,'表4）CO2価格'!$H$10:$I$12,2,0),0)*$F$8/1000,"")),0,IF($K23&lt;=$F$15,VLOOKUP($I23,'表4）CO2価格'!$A$7:$E$67,VLOOKUP($F$48,'表4）CO2価格'!$H$10:$I$12,2,0),0)*$F$8/1000,""))</f>
        <v>0</v>
      </c>
      <c r="AZ23" s="39"/>
      <c r="BA23" s="42">
        <f t="shared" si="11"/>
        <v>0</v>
      </c>
      <c r="BB23" s="72">
        <f t="shared" si="28"/>
        <v>0</v>
      </c>
      <c r="BC23" s="39"/>
      <c r="BD23" s="72">
        <f t="shared" si="12"/>
        <v>0</v>
      </c>
      <c r="BE23" s="72">
        <f t="shared" si="29"/>
        <v>0</v>
      </c>
      <c r="BF23" s="39"/>
      <c r="BG23" s="42">
        <f t="shared" si="13"/>
        <v>0</v>
      </c>
      <c r="BH23" s="72">
        <f t="shared" si="30"/>
        <v>0</v>
      </c>
      <c r="BI23" s="39"/>
      <c r="BJ23" s="40">
        <f t="shared" si="31"/>
        <v>0.54393374258414806</v>
      </c>
      <c r="BK23" s="157">
        <f t="shared" si="32"/>
        <v>8423793.0846521836</v>
      </c>
      <c r="BL23" s="157">
        <f t="shared" si="14"/>
        <v>571783.15020445641</v>
      </c>
      <c r="BM23" s="72"/>
      <c r="BN23" s="72">
        <f t="shared" si="33"/>
        <v>32951526.083335388</v>
      </c>
      <c r="BO23" s="72">
        <f t="shared" si="34"/>
        <v>25254600.9465257</v>
      </c>
      <c r="BP23" s="39"/>
      <c r="BQ23" s="72">
        <f t="shared" si="15"/>
        <v>1051200</v>
      </c>
      <c r="BR23" s="72">
        <f t="shared" si="35"/>
        <v>805657.26903962065</v>
      </c>
    </row>
    <row r="24" spans="3:70" x14ac:dyDescent="0.15">
      <c r="D24" s="84" t="s">
        <v>563</v>
      </c>
      <c r="F24" s="480">
        <v>0</v>
      </c>
      <c r="G24" s="84" t="s">
        <v>549</v>
      </c>
      <c r="I24" s="457">
        <f t="shared" si="36"/>
        <v>2039</v>
      </c>
      <c r="J24" s="71"/>
      <c r="K24" s="71">
        <f t="shared" si="37"/>
        <v>10</v>
      </c>
      <c r="L24" s="71"/>
      <c r="M24" s="7">
        <f t="shared" si="0"/>
        <v>0.74409391489672516</v>
      </c>
      <c r="N24" s="71"/>
      <c r="O24" s="10">
        <f t="shared" si="16"/>
        <v>60558624.478038147</v>
      </c>
      <c r="P24" s="29">
        <f t="shared" si="1"/>
        <v>0.114</v>
      </c>
      <c r="Q24" s="71"/>
      <c r="R24" s="10">
        <f t="shared" si="17"/>
        <v>70174866.645883322</v>
      </c>
      <c r="S24" s="71"/>
      <c r="T24" s="10">
        <f t="shared" si="18"/>
        <v>70174000</v>
      </c>
      <c r="U24" s="71"/>
      <c r="V24" s="10">
        <f t="shared" si="2"/>
        <v>6903683.1904963488</v>
      </c>
      <c r="W24" s="10">
        <f t="shared" si="19"/>
        <v>5136988.6524231425</v>
      </c>
      <c r="X24" s="71"/>
      <c r="Y24" s="10">
        <f t="shared" si="3"/>
        <v>982400</v>
      </c>
      <c r="Z24" s="10">
        <f t="shared" si="20"/>
        <v>730997.86199454276</v>
      </c>
      <c r="AA24" s="71"/>
      <c r="AB24" s="10">
        <f t="shared" si="4"/>
        <v>0</v>
      </c>
      <c r="AC24" s="10">
        <f t="shared" si="21"/>
        <v>0</v>
      </c>
      <c r="AD24" s="71"/>
      <c r="AE24" s="10">
        <f t="shared" si="5"/>
        <v>260000</v>
      </c>
      <c r="AF24" s="10">
        <f t="shared" si="22"/>
        <v>193464.41787314854</v>
      </c>
      <c r="AG24" s="71"/>
      <c r="AH24" s="10">
        <f t="shared" si="6"/>
        <v>7000000.0000000009</v>
      </c>
      <c r="AI24" s="10">
        <f t="shared" si="23"/>
        <v>5208657.4042770769</v>
      </c>
      <c r="AJ24" s="71"/>
      <c r="AK24" s="10">
        <f t="shared" si="7"/>
        <v>5400000</v>
      </c>
      <c r="AL24" s="10">
        <f t="shared" si="24"/>
        <v>4018107.140442316</v>
      </c>
      <c r="AM24" s="71"/>
      <c r="AN24" s="10">
        <f t="shared" si="8"/>
        <v>0</v>
      </c>
      <c r="AO24" s="10">
        <f t="shared" si="25"/>
        <v>0</v>
      </c>
      <c r="AP24" s="71"/>
      <c r="AQ24" s="10">
        <f t="shared" si="9"/>
        <v>1736000.0000000002</v>
      </c>
      <c r="AR24" s="10">
        <f t="shared" si="26"/>
        <v>1291747.036260715</v>
      </c>
      <c r="AS24" s="71"/>
      <c r="AT24" s="7">
        <f>IF($K24&lt;=$F$15,IF($F$40&lt;&gt;"",$F$40/1000,IF(ISERROR(VLOOKUP($F$3&amp;IF($G$4&lt;&gt;"",$G$4,"")&amp;IF($F$43&lt;&gt;"","_"&amp;$F$43,""),'表3）燃料価格'!$AF$9:$AG$25,2,0)),0,VLOOKUP($I24,'表3）燃料価格'!$A$6:$U$66,VLOOKUP($F$3&amp;IF($G$4&lt;&gt;"",$G$4,"")&amp;IF($F$43&lt;&gt;"","_"&amp;$F$43,""),'表3）燃料価格'!$AF$9:$AG$25,2,0)+VLOOKUP($F$41,'表3）燃料価格'!$AF$28:$AG$29,2,0),0)*IF($F$43="需要地価格",1,$F$8/$F$141))),"")</f>
        <v>0</v>
      </c>
      <c r="AU24" s="71"/>
      <c r="AV24" s="10">
        <f t="shared" si="10"/>
        <v>0</v>
      </c>
      <c r="AW24" s="10">
        <f t="shared" si="27"/>
        <v>0</v>
      </c>
      <c r="AX24" s="71"/>
      <c r="AY24" s="7">
        <f>IF(ISERROR(IF($K24&lt;=$F$15,VLOOKUP($I24,'表4）CO2価格'!$A$7:$E$67,VLOOKUP($F$48,'表4）CO2価格'!$H$10:$I$12,2,0),0)*$F$8/1000,"")),0,IF($K24&lt;=$F$15,VLOOKUP($I24,'表4）CO2価格'!$A$7:$E$67,VLOOKUP($F$48,'表4）CO2価格'!$H$10:$I$12,2,0),0)*$F$8/1000,""))</f>
        <v>0</v>
      </c>
      <c r="AZ24" s="71"/>
      <c r="BA24" s="11">
        <f t="shared" si="11"/>
        <v>0</v>
      </c>
      <c r="BB24" s="10">
        <f t="shared" si="28"/>
        <v>0</v>
      </c>
      <c r="BC24" s="71"/>
      <c r="BD24" s="10">
        <f t="shared" si="12"/>
        <v>0</v>
      </c>
      <c r="BE24" s="10">
        <f t="shared" si="29"/>
        <v>0</v>
      </c>
      <c r="BF24" s="71"/>
      <c r="BG24" s="11">
        <f t="shared" si="13"/>
        <v>0</v>
      </c>
      <c r="BH24" s="10">
        <f t="shared" si="30"/>
        <v>0</v>
      </c>
      <c r="BJ24" s="7">
        <f t="shared" si="31"/>
        <v>0.5083492921347178</v>
      </c>
      <c r="BK24" s="158">
        <f t="shared" si="32"/>
        <v>7817598.7541645439</v>
      </c>
      <c r="BL24" s="158">
        <f t="shared" si="14"/>
        <v>534376.77589201531</v>
      </c>
      <c r="BM24" s="10"/>
      <c r="BN24" s="10">
        <f t="shared" si="33"/>
        <v>32951526.083335388</v>
      </c>
      <c r="BO24" s="10">
        <f t="shared" si="34"/>
        <v>24519030.045170583</v>
      </c>
      <c r="BQ24" s="10">
        <f t="shared" si="15"/>
        <v>1051200</v>
      </c>
      <c r="BR24" s="10">
        <f t="shared" si="35"/>
        <v>782191.52333943744</v>
      </c>
    </row>
    <row r="25" spans="3:70" x14ac:dyDescent="0.15">
      <c r="D25" s="84" t="s">
        <v>564</v>
      </c>
      <c r="F25" s="475">
        <v>1.4</v>
      </c>
      <c r="G25" s="84" t="s">
        <v>549</v>
      </c>
      <c r="I25" s="38">
        <f t="shared" si="36"/>
        <v>2040</v>
      </c>
      <c r="J25" s="39"/>
      <c r="K25" s="39">
        <f t="shared" si="37"/>
        <v>11</v>
      </c>
      <c r="L25" s="39"/>
      <c r="M25" s="40">
        <f t="shared" si="0"/>
        <v>0.72242127659876232</v>
      </c>
      <c r="N25" s="39"/>
      <c r="O25" s="72">
        <f t="shared" si="16"/>
        <v>53654941.287541799</v>
      </c>
      <c r="P25" s="41">
        <f t="shared" si="1"/>
        <v>0.114</v>
      </c>
      <c r="Q25" s="39"/>
      <c r="R25" s="72">
        <f t="shared" si="17"/>
        <v>63201451.215872377</v>
      </c>
      <c r="S25" s="39"/>
      <c r="T25" s="72">
        <f t="shared" si="18"/>
        <v>63201000</v>
      </c>
      <c r="U25" s="39"/>
      <c r="V25" s="72">
        <f t="shared" si="2"/>
        <v>6116663.3067797655</v>
      </c>
      <c r="W25" s="72">
        <f t="shared" si="19"/>
        <v>4418807.7146086451</v>
      </c>
      <c r="X25" s="39"/>
      <c r="Y25" s="72">
        <f t="shared" si="3"/>
        <v>884800</v>
      </c>
      <c r="Z25" s="72">
        <f t="shared" si="20"/>
        <v>639198.34553458495</v>
      </c>
      <c r="AA25" s="39"/>
      <c r="AB25" s="72">
        <f t="shared" si="4"/>
        <v>0</v>
      </c>
      <c r="AC25" s="72">
        <f t="shared" si="21"/>
        <v>0</v>
      </c>
      <c r="AD25" s="39"/>
      <c r="AE25" s="72">
        <f t="shared" si="5"/>
        <v>260000</v>
      </c>
      <c r="AF25" s="72">
        <f t="shared" si="22"/>
        <v>187829.53191567821</v>
      </c>
      <c r="AG25" s="39"/>
      <c r="AH25" s="72">
        <f t="shared" si="6"/>
        <v>7000000.0000000009</v>
      </c>
      <c r="AI25" s="72">
        <f t="shared" si="23"/>
        <v>5056948.9361913372</v>
      </c>
      <c r="AJ25" s="39"/>
      <c r="AK25" s="72">
        <f t="shared" si="7"/>
        <v>5400000</v>
      </c>
      <c r="AL25" s="72">
        <f t="shared" si="24"/>
        <v>3901074.8936333167</v>
      </c>
      <c r="AM25" s="39"/>
      <c r="AN25" s="72">
        <f t="shared" si="8"/>
        <v>0</v>
      </c>
      <c r="AO25" s="72">
        <f t="shared" si="25"/>
        <v>0</v>
      </c>
      <c r="AP25" s="39"/>
      <c r="AQ25" s="72">
        <f t="shared" si="9"/>
        <v>1736000.0000000002</v>
      </c>
      <c r="AR25" s="72">
        <f t="shared" si="26"/>
        <v>1254123.3361754515</v>
      </c>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0</v>
      </c>
      <c r="AU25" s="39"/>
      <c r="AV25" s="72">
        <f t="shared" si="10"/>
        <v>0</v>
      </c>
      <c r="AW25" s="72">
        <f t="shared" si="27"/>
        <v>0</v>
      </c>
      <c r="AX25" s="39"/>
      <c r="AY25" s="40">
        <f>IF(ISERROR(IF($K25&lt;=$F$15,VLOOKUP($I25,'表4）CO2価格'!$A$7:$E$67,VLOOKUP($F$48,'表4）CO2価格'!$H$10:$I$12,2,0),0)*$F$8/1000,"")),0,IF($K25&lt;=$F$15,VLOOKUP($I25,'表4）CO2価格'!$A$7:$E$67,VLOOKUP($F$48,'表4）CO2価格'!$H$10:$I$12,2,0),0)*$F$8/1000,""))</f>
        <v>0</v>
      </c>
      <c r="AZ25" s="39"/>
      <c r="BA25" s="42">
        <f t="shared" si="11"/>
        <v>0</v>
      </c>
      <c r="BB25" s="72">
        <f t="shared" si="28"/>
        <v>0</v>
      </c>
      <c r="BC25" s="39"/>
      <c r="BD25" s="72">
        <f t="shared" si="12"/>
        <v>0</v>
      </c>
      <c r="BE25" s="72">
        <f t="shared" si="29"/>
        <v>0</v>
      </c>
      <c r="BF25" s="39"/>
      <c r="BG25" s="42">
        <f t="shared" si="13"/>
        <v>0</v>
      </c>
      <c r="BH25" s="72">
        <f t="shared" si="30"/>
        <v>0</v>
      </c>
      <c r="BI25" s="39"/>
      <c r="BJ25" s="40">
        <f t="shared" si="31"/>
        <v>0.47509279638758667</v>
      </c>
      <c r="BK25" s="157">
        <f t="shared" si="32"/>
        <v>7259798.0030394346</v>
      </c>
      <c r="BL25" s="157">
        <f t="shared" si="14"/>
        <v>499417.54756263108</v>
      </c>
      <c r="BM25" s="72"/>
      <c r="BN25" s="72">
        <f t="shared" si="33"/>
        <v>32951526.083335388</v>
      </c>
      <c r="BO25" s="72">
        <f t="shared" si="34"/>
        <v>23804883.539000567</v>
      </c>
      <c r="BP25" s="39"/>
      <c r="BQ25" s="72">
        <f t="shared" si="15"/>
        <v>1051200</v>
      </c>
      <c r="BR25" s="72">
        <f t="shared" si="35"/>
        <v>759409.24596061895</v>
      </c>
    </row>
    <row r="26" spans="3:70" x14ac:dyDescent="0.15">
      <c r="D26" s="84" t="s">
        <v>115</v>
      </c>
      <c r="F26" s="481">
        <v>260000</v>
      </c>
      <c r="G26" s="84" t="s">
        <v>565</v>
      </c>
      <c r="I26" s="457">
        <f t="shared" si="36"/>
        <v>2041</v>
      </c>
      <c r="J26" s="71"/>
      <c r="K26" s="71">
        <f t="shared" si="37"/>
        <v>12</v>
      </c>
      <c r="L26" s="71"/>
      <c r="M26" s="7">
        <f t="shared" si="0"/>
        <v>0.70137988019297326</v>
      </c>
      <c r="N26" s="71"/>
      <c r="O26" s="10">
        <f t="shared" si="16"/>
        <v>47538277.980762035</v>
      </c>
      <c r="P26" s="29">
        <f t="shared" si="1"/>
        <v>0.114</v>
      </c>
      <c r="Q26" s="71"/>
      <c r="R26" s="10">
        <f t="shared" si="17"/>
        <v>56920997.883030839</v>
      </c>
      <c r="S26" s="71"/>
      <c r="T26" s="10">
        <f t="shared" si="18"/>
        <v>56920000</v>
      </c>
      <c r="U26" s="71"/>
      <c r="V26" s="10">
        <f t="shared" si="2"/>
        <v>5419363.689806872</v>
      </c>
      <c r="W26" s="10">
        <f t="shared" si="19"/>
        <v>3801032.6554788933</v>
      </c>
      <c r="X26" s="71"/>
      <c r="Y26" s="10">
        <f t="shared" si="3"/>
        <v>796800</v>
      </c>
      <c r="Z26" s="10">
        <f t="shared" si="20"/>
        <v>558859.48853776115</v>
      </c>
      <c r="AA26" s="71"/>
      <c r="AB26" s="10">
        <f t="shared" si="4"/>
        <v>0</v>
      </c>
      <c r="AC26" s="10">
        <f t="shared" si="21"/>
        <v>0</v>
      </c>
      <c r="AD26" s="71"/>
      <c r="AE26" s="10">
        <f t="shared" si="5"/>
        <v>260000</v>
      </c>
      <c r="AF26" s="10">
        <f t="shared" si="22"/>
        <v>182358.76885017304</v>
      </c>
      <c r="AG26" s="71"/>
      <c r="AH26" s="10">
        <f t="shared" si="6"/>
        <v>7000000.0000000009</v>
      </c>
      <c r="AI26" s="10">
        <f t="shared" si="23"/>
        <v>4909659.1613508137</v>
      </c>
      <c r="AJ26" s="71"/>
      <c r="AK26" s="10">
        <f t="shared" si="7"/>
        <v>5400000</v>
      </c>
      <c r="AL26" s="10">
        <f t="shared" si="24"/>
        <v>3787451.3530420554</v>
      </c>
      <c r="AM26" s="71"/>
      <c r="AN26" s="10">
        <f t="shared" si="8"/>
        <v>0</v>
      </c>
      <c r="AO26" s="10">
        <f t="shared" si="25"/>
        <v>0</v>
      </c>
      <c r="AP26" s="71"/>
      <c r="AQ26" s="10">
        <f t="shared" si="9"/>
        <v>1736000.0000000002</v>
      </c>
      <c r="AR26" s="10">
        <f t="shared" si="26"/>
        <v>1217595.4720150018</v>
      </c>
      <c r="AS26" s="71"/>
      <c r="AT26" s="7">
        <f>IF($K26&lt;=$F$15,IF($F$40&lt;&gt;"",$F$40/1000,IF(ISERROR(VLOOKUP($F$3&amp;IF($G$4&lt;&gt;"",$G$4,"")&amp;IF($F$43&lt;&gt;"","_"&amp;$F$43,""),'表3）燃料価格'!$AF$9:$AG$25,2,0)),0,VLOOKUP($I26,'表3）燃料価格'!$A$6:$U$66,VLOOKUP($F$3&amp;IF($G$4&lt;&gt;"",$G$4,"")&amp;IF($F$43&lt;&gt;"","_"&amp;$F$43,""),'表3）燃料価格'!$AF$9:$AG$25,2,0)+VLOOKUP($F$41,'表3）燃料価格'!$AF$28:$AG$29,2,0),0)*IF($F$43="需要地価格",1,$F$8/$F$141))),"")</f>
        <v>0</v>
      </c>
      <c r="AU26" s="71"/>
      <c r="AV26" s="10">
        <f t="shared" si="10"/>
        <v>0</v>
      </c>
      <c r="AW26" s="10">
        <f t="shared" si="27"/>
        <v>0</v>
      </c>
      <c r="AX26" s="71"/>
      <c r="AY26" s="7">
        <f>IF(ISERROR(IF($K26&lt;=$F$15,VLOOKUP($I26,'表4）CO2価格'!$A$7:$E$67,VLOOKUP($F$48,'表4）CO2価格'!$H$10:$I$12,2,0),0)*$F$8/1000,"")),0,IF($K26&lt;=$F$15,VLOOKUP($I26,'表4）CO2価格'!$A$7:$E$67,VLOOKUP($F$48,'表4）CO2価格'!$H$10:$I$12,2,0),0)*$F$8/1000,""))</f>
        <v>0</v>
      </c>
      <c r="AZ26" s="71"/>
      <c r="BA26" s="11">
        <f t="shared" si="11"/>
        <v>0</v>
      </c>
      <c r="BB26" s="10">
        <f t="shared" si="28"/>
        <v>0</v>
      </c>
      <c r="BC26" s="71"/>
      <c r="BD26" s="10">
        <f t="shared" si="12"/>
        <v>0</v>
      </c>
      <c r="BE26" s="10">
        <f t="shared" si="29"/>
        <v>0</v>
      </c>
      <c r="BF26" s="71"/>
      <c r="BG26" s="11">
        <f t="shared" si="13"/>
        <v>0</v>
      </c>
      <c r="BH26" s="10">
        <f t="shared" si="30"/>
        <v>0</v>
      </c>
      <c r="BJ26" s="7">
        <f t="shared" si="31"/>
        <v>0.44401195924073528</v>
      </c>
      <c r="BK26" s="158">
        <f t="shared" si="32"/>
        <v>6745784.8943526428</v>
      </c>
      <c r="BL26" s="158">
        <f t="shared" si="14"/>
        <v>466745.3715538609</v>
      </c>
      <c r="BM26" s="10"/>
      <c r="BN26" s="10">
        <f t="shared" si="33"/>
        <v>32951526.083335388</v>
      </c>
      <c r="BO26" s="10">
        <f t="shared" si="34"/>
        <v>23111537.416505408</v>
      </c>
      <c r="BQ26" s="10">
        <f t="shared" si="15"/>
        <v>1051200</v>
      </c>
      <c r="BR26" s="10">
        <f t="shared" si="35"/>
        <v>737290.53005885344</v>
      </c>
    </row>
    <row r="27" spans="3:70" x14ac:dyDescent="0.15">
      <c r="D27" s="160" t="s">
        <v>86</v>
      </c>
      <c r="F27" s="498">
        <f>F117*5%/10^8</f>
        <v>0.09</v>
      </c>
      <c r="G27" s="84" t="s">
        <v>566</v>
      </c>
      <c r="I27" s="38">
        <f t="shared" si="36"/>
        <v>2042</v>
      </c>
      <c r="J27" s="39"/>
      <c r="K27" s="39">
        <f t="shared" si="37"/>
        <v>13</v>
      </c>
      <c r="L27" s="39"/>
      <c r="M27" s="40">
        <f t="shared" si="0"/>
        <v>0.68095133999317792</v>
      </c>
      <c r="N27" s="39"/>
      <c r="O27" s="72">
        <f t="shared" si="16"/>
        <v>42118914.290955164</v>
      </c>
      <c r="P27" s="41">
        <f t="shared" si="1"/>
        <v>0.114</v>
      </c>
      <c r="Q27" s="39"/>
      <c r="R27" s="72">
        <f t="shared" si="17"/>
        <v>51264645.631844439</v>
      </c>
      <c r="S27" s="39"/>
      <c r="T27" s="72">
        <f t="shared" si="18"/>
        <v>51264000</v>
      </c>
      <c r="U27" s="39"/>
      <c r="V27" s="72">
        <f t="shared" si="2"/>
        <v>4801556.2291688891</v>
      </c>
      <c r="W27" s="72">
        <f t="shared" si="19"/>
        <v>3269626.1483051456</v>
      </c>
      <c r="X27" s="39"/>
      <c r="Y27" s="72">
        <f t="shared" si="3"/>
        <v>717600</v>
      </c>
      <c r="Z27" s="72">
        <f t="shared" si="20"/>
        <v>488650.68157910445</v>
      </c>
      <c r="AA27" s="39"/>
      <c r="AB27" s="72">
        <f t="shared" si="4"/>
        <v>0</v>
      </c>
      <c r="AC27" s="72">
        <f t="shared" si="21"/>
        <v>0</v>
      </c>
      <c r="AD27" s="39"/>
      <c r="AE27" s="72">
        <f t="shared" si="5"/>
        <v>260000</v>
      </c>
      <c r="AF27" s="72">
        <f t="shared" si="22"/>
        <v>177047.34839822626</v>
      </c>
      <c r="AG27" s="39"/>
      <c r="AH27" s="72">
        <f t="shared" si="6"/>
        <v>7000000.0000000009</v>
      </c>
      <c r="AI27" s="72">
        <f t="shared" si="23"/>
        <v>4766659.3799522463</v>
      </c>
      <c r="AJ27" s="39"/>
      <c r="AK27" s="72">
        <f t="shared" si="7"/>
        <v>5400000</v>
      </c>
      <c r="AL27" s="72">
        <f t="shared" si="24"/>
        <v>3677137.2359631606</v>
      </c>
      <c r="AM27" s="39"/>
      <c r="AN27" s="72">
        <f t="shared" si="8"/>
        <v>0</v>
      </c>
      <c r="AO27" s="72">
        <f t="shared" si="25"/>
        <v>0</v>
      </c>
      <c r="AP27" s="39"/>
      <c r="AQ27" s="72">
        <f t="shared" si="9"/>
        <v>1736000.0000000002</v>
      </c>
      <c r="AR27" s="72">
        <f t="shared" si="26"/>
        <v>1182131.5262281571</v>
      </c>
      <c r="AS27" s="39"/>
      <c r="AT27" s="40">
        <f>IF($K27&lt;=$F$15,IF($F$40&lt;&gt;"",$F$40/1000,IF(ISERROR(VLOOKUP($F$3&amp;IF($G$4&lt;&gt;"",$G$4,"")&amp;IF($F$43&lt;&gt;"","_"&amp;$F$43,""),'表3）燃料価格'!$AF$9:$AG$25,2,0)),0,VLOOKUP($I27,'表3）燃料価格'!$A$6:$U$66,VLOOKUP($F$3&amp;IF($G$4&lt;&gt;"",$G$4,"")&amp;IF($F$43&lt;&gt;"","_"&amp;$F$43,""),'表3）燃料価格'!$AF$9:$AG$25,2,0)+VLOOKUP($F$41,'表3）燃料価格'!$AF$28:$AG$29,2,0),0)*IF($F$43="需要地価格",1,$F$8/$F$141))),"")</f>
        <v>0</v>
      </c>
      <c r="AU27" s="39"/>
      <c r="AV27" s="72">
        <f t="shared" si="10"/>
        <v>0</v>
      </c>
      <c r="AW27" s="72">
        <f t="shared" si="27"/>
        <v>0</v>
      </c>
      <c r="AX27" s="39"/>
      <c r="AY27" s="40">
        <f>IF(ISERROR(IF($K27&lt;=$F$15,VLOOKUP($I27,'表4）CO2価格'!$A$7:$E$67,VLOOKUP($F$48,'表4）CO2価格'!$H$10:$I$12,2,0),0)*$F$8/1000,"")),0,IF($K27&lt;=$F$15,VLOOKUP($I27,'表4）CO2価格'!$A$7:$E$67,VLOOKUP($F$48,'表4）CO2価格'!$H$10:$I$12,2,0),0)*$F$8/1000,""))</f>
        <v>0</v>
      </c>
      <c r="AZ27" s="39"/>
      <c r="BA27" s="42">
        <f t="shared" si="11"/>
        <v>0</v>
      </c>
      <c r="BB27" s="72">
        <f t="shared" si="28"/>
        <v>0</v>
      </c>
      <c r="BC27" s="39"/>
      <c r="BD27" s="72">
        <f t="shared" si="12"/>
        <v>0</v>
      </c>
      <c r="BE27" s="72">
        <f t="shared" si="29"/>
        <v>0</v>
      </c>
      <c r="BF27" s="39"/>
      <c r="BG27" s="42">
        <f t="shared" si="13"/>
        <v>0</v>
      </c>
      <c r="BH27" s="72">
        <f t="shared" si="30"/>
        <v>0</v>
      </c>
      <c r="BI27" s="39"/>
      <c r="BJ27" s="40">
        <f t="shared" si="31"/>
        <v>0.41496444788853759</v>
      </c>
      <c r="BK27" s="157">
        <f t="shared" si="32"/>
        <v>6271606.6796082016</v>
      </c>
      <c r="BL27" s="157">
        <f t="shared" si="14"/>
        <v>436210.62762043072</v>
      </c>
      <c r="BM27" s="72"/>
      <c r="BN27" s="72">
        <f t="shared" si="33"/>
        <v>32951526.083335388</v>
      </c>
      <c r="BO27" s="72">
        <f t="shared" si="34"/>
        <v>22438385.841267385</v>
      </c>
      <c r="BP27" s="39"/>
      <c r="BQ27" s="72">
        <f t="shared" si="15"/>
        <v>1051200</v>
      </c>
      <c r="BR27" s="72">
        <f t="shared" si="35"/>
        <v>715816.04860082862</v>
      </c>
    </row>
    <row r="28" spans="3:70" x14ac:dyDescent="0.15">
      <c r="D28" s="84" t="s">
        <v>116</v>
      </c>
      <c r="F28" s="481">
        <v>1</v>
      </c>
      <c r="G28" s="84" t="s">
        <v>556</v>
      </c>
      <c r="I28" s="457">
        <f t="shared" si="36"/>
        <v>2043</v>
      </c>
      <c r="J28" s="71"/>
      <c r="K28" s="71">
        <f t="shared" si="37"/>
        <v>14</v>
      </c>
      <c r="L28" s="71"/>
      <c r="M28" s="7">
        <f t="shared" si="0"/>
        <v>0.66111780581861923</v>
      </c>
      <c r="N28" s="71"/>
      <c r="O28" s="10">
        <f t="shared" si="16"/>
        <v>37317358.061786272</v>
      </c>
      <c r="P28" s="29">
        <f t="shared" si="1"/>
        <v>0.114</v>
      </c>
      <c r="Q28" s="71"/>
      <c r="R28" s="10">
        <f t="shared" si="17"/>
        <v>46170376.302240826</v>
      </c>
      <c r="S28" s="71"/>
      <c r="T28" s="10">
        <f t="shared" si="18"/>
        <v>46170000</v>
      </c>
      <c r="U28" s="71"/>
      <c r="V28" s="10">
        <f t="shared" si="2"/>
        <v>4254178.8190436354</v>
      </c>
      <c r="W28" s="10">
        <f t="shared" si="19"/>
        <v>2812513.366406173</v>
      </c>
      <c r="X28" s="71"/>
      <c r="Y28" s="10">
        <f t="shared" si="3"/>
        <v>646300</v>
      </c>
      <c r="Z28" s="10">
        <f t="shared" si="20"/>
        <v>427280.4379005736</v>
      </c>
      <c r="AA28" s="71"/>
      <c r="AB28" s="10">
        <f t="shared" si="4"/>
        <v>0</v>
      </c>
      <c r="AC28" s="10">
        <f t="shared" si="21"/>
        <v>0</v>
      </c>
      <c r="AD28" s="71"/>
      <c r="AE28" s="10">
        <f t="shared" si="5"/>
        <v>260000</v>
      </c>
      <c r="AF28" s="10">
        <f t="shared" si="22"/>
        <v>171890.629512841</v>
      </c>
      <c r="AG28" s="71"/>
      <c r="AH28" s="10">
        <f t="shared" si="6"/>
        <v>7000000.0000000009</v>
      </c>
      <c r="AI28" s="10">
        <f t="shared" si="23"/>
        <v>4627824.6407303354</v>
      </c>
      <c r="AJ28" s="71"/>
      <c r="AK28" s="10">
        <f t="shared" si="7"/>
        <v>5400000</v>
      </c>
      <c r="AL28" s="10">
        <f t="shared" si="24"/>
        <v>3570036.1514205439</v>
      </c>
      <c r="AM28" s="71"/>
      <c r="AN28" s="10">
        <f t="shared" si="8"/>
        <v>0</v>
      </c>
      <c r="AO28" s="10">
        <f t="shared" si="25"/>
        <v>0</v>
      </c>
      <c r="AP28" s="71"/>
      <c r="AQ28" s="10">
        <f t="shared" si="9"/>
        <v>1736000.0000000002</v>
      </c>
      <c r="AR28" s="10">
        <f t="shared" si="26"/>
        <v>1147700.5109011231</v>
      </c>
      <c r="AS28" s="71"/>
      <c r="AT28" s="7">
        <f>IF($K28&lt;=$F$15,IF($F$40&lt;&gt;"",$F$40/1000,IF(ISERROR(VLOOKUP($F$3&amp;IF($G$4&lt;&gt;"",$G$4,"")&amp;IF($F$43&lt;&gt;"","_"&amp;$F$43,""),'表3）燃料価格'!$AF$9:$AG$25,2,0)),0,VLOOKUP($I28,'表3）燃料価格'!$A$6:$U$66,VLOOKUP($F$3&amp;IF($G$4&lt;&gt;"",$G$4,"")&amp;IF($F$43&lt;&gt;"","_"&amp;$F$43,""),'表3）燃料価格'!$AF$9:$AG$25,2,0)+VLOOKUP($F$41,'表3）燃料価格'!$AF$28:$AG$29,2,0),0)*IF($F$43="需要地価格",1,$F$8/$F$141))),"")</f>
        <v>0</v>
      </c>
      <c r="AU28" s="71"/>
      <c r="AV28" s="10">
        <f t="shared" si="10"/>
        <v>0</v>
      </c>
      <c r="AW28" s="10">
        <f t="shared" si="27"/>
        <v>0</v>
      </c>
      <c r="AX28" s="71"/>
      <c r="AY28" s="7">
        <f>IF(ISERROR(IF($K28&lt;=$F$15,VLOOKUP($I28,'表4）CO2価格'!$A$7:$E$67,VLOOKUP($F$48,'表4）CO2価格'!$H$10:$I$12,2,0),0)*$F$8/1000,"")),0,IF($K28&lt;=$F$15,VLOOKUP($I28,'表4）CO2価格'!$A$7:$E$67,VLOOKUP($F$48,'表4）CO2価格'!$H$10:$I$12,2,0),0)*$F$8/1000,""))</f>
        <v>0</v>
      </c>
      <c r="AZ28" s="71"/>
      <c r="BA28" s="11">
        <f t="shared" si="11"/>
        <v>0</v>
      </c>
      <c r="BB28" s="10">
        <f t="shared" si="28"/>
        <v>0</v>
      </c>
      <c r="BC28" s="71"/>
      <c r="BD28" s="10">
        <f t="shared" si="12"/>
        <v>0</v>
      </c>
      <c r="BE28" s="10">
        <f t="shared" si="29"/>
        <v>0</v>
      </c>
      <c r="BF28" s="71"/>
      <c r="BG28" s="11">
        <f t="shared" si="13"/>
        <v>0</v>
      </c>
      <c r="BH28" s="10">
        <f t="shared" si="30"/>
        <v>0</v>
      </c>
      <c r="BJ28" s="7">
        <f t="shared" si="31"/>
        <v>0.3878172410173249</v>
      </c>
      <c r="BK28" s="158">
        <f t="shared" si="32"/>
        <v>5833663.2845549062</v>
      </c>
      <c r="BL28" s="158">
        <f t="shared" si="14"/>
        <v>407673.48375741194</v>
      </c>
      <c r="BM28" s="10"/>
      <c r="BN28" s="10">
        <f t="shared" si="33"/>
        <v>32951526.083335388</v>
      </c>
      <c r="BO28" s="10">
        <f t="shared" si="34"/>
        <v>21784840.622589692</v>
      </c>
      <c r="BQ28" s="10">
        <f t="shared" si="15"/>
        <v>1051200</v>
      </c>
      <c r="BR28" s="10">
        <f t="shared" si="35"/>
        <v>694967.03747653251</v>
      </c>
    </row>
    <row r="29" spans="3:70" x14ac:dyDescent="0.15">
      <c r="D29" s="84" t="s">
        <v>567</v>
      </c>
      <c r="F29" s="481"/>
      <c r="G29" s="84" t="s">
        <v>566</v>
      </c>
      <c r="I29" s="38">
        <f t="shared" si="36"/>
        <v>2044</v>
      </c>
      <c r="J29" s="39"/>
      <c r="K29" s="39">
        <f t="shared" si="37"/>
        <v>15</v>
      </c>
      <c r="L29" s="39"/>
      <c r="M29" s="40">
        <f t="shared" si="0"/>
        <v>0.64186194739671765</v>
      </c>
      <c r="N29" s="39"/>
      <c r="O29" s="72">
        <f t="shared" si="16"/>
        <v>33063179.242742635</v>
      </c>
      <c r="P29" s="41">
        <f t="shared" si="1"/>
        <v>0.125</v>
      </c>
      <c r="Q29" s="39"/>
      <c r="R29" s="72">
        <f t="shared" si="17"/>
        <v>41582334.601496883</v>
      </c>
      <c r="S29" s="39"/>
      <c r="T29" s="72">
        <f t="shared" si="18"/>
        <v>41582000</v>
      </c>
      <c r="U29" s="39"/>
      <c r="V29" s="72">
        <f t="shared" si="2"/>
        <v>4132897.4053428294</v>
      </c>
      <c r="W29" s="72">
        <f t="shared" si="19"/>
        <v>2652749.5769841899</v>
      </c>
      <c r="X29" s="39"/>
      <c r="Y29" s="72">
        <f t="shared" si="3"/>
        <v>582100</v>
      </c>
      <c r="Z29" s="72">
        <f t="shared" si="20"/>
        <v>373627.83957962936</v>
      </c>
      <c r="AA29" s="39"/>
      <c r="AB29" s="72">
        <f t="shared" si="4"/>
        <v>0</v>
      </c>
      <c r="AC29" s="72">
        <f t="shared" si="21"/>
        <v>0</v>
      </c>
      <c r="AD29" s="39"/>
      <c r="AE29" s="72">
        <f t="shared" si="5"/>
        <v>260000</v>
      </c>
      <c r="AF29" s="72">
        <f t="shared" si="22"/>
        <v>166884.10632314658</v>
      </c>
      <c r="AG29" s="39"/>
      <c r="AH29" s="72">
        <f t="shared" si="6"/>
        <v>7000000.0000000009</v>
      </c>
      <c r="AI29" s="72">
        <f t="shared" si="23"/>
        <v>4493033.6317770239</v>
      </c>
      <c r="AJ29" s="39"/>
      <c r="AK29" s="72">
        <f t="shared" si="7"/>
        <v>5400000</v>
      </c>
      <c r="AL29" s="72">
        <f t="shared" si="24"/>
        <v>3466054.5159422755</v>
      </c>
      <c r="AM29" s="39"/>
      <c r="AN29" s="72">
        <f t="shared" si="8"/>
        <v>0</v>
      </c>
      <c r="AO29" s="72">
        <f t="shared" si="25"/>
        <v>0</v>
      </c>
      <c r="AP29" s="39"/>
      <c r="AQ29" s="72">
        <f t="shared" si="9"/>
        <v>1736000.0000000002</v>
      </c>
      <c r="AR29" s="72">
        <f t="shared" si="26"/>
        <v>1114272.3406807019</v>
      </c>
      <c r="AS29" s="39"/>
      <c r="AT29" s="40">
        <f>IF($K29&lt;=$F$15,IF($F$40&lt;&gt;"",$F$40/1000,IF(ISERROR(VLOOKUP($F$3&amp;IF($G$4&lt;&gt;"",$G$4,"")&amp;IF($F$43&lt;&gt;"","_"&amp;$F$43,""),'表3）燃料価格'!$AF$9:$AG$25,2,0)),0,VLOOKUP($I29,'表3）燃料価格'!$A$6:$U$66,VLOOKUP($F$3&amp;IF($G$4&lt;&gt;"",$G$4,"")&amp;IF($F$43&lt;&gt;"","_"&amp;$F$43,""),'表3）燃料価格'!$AF$9:$AG$25,2,0)+VLOOKUP($F$41,'表3）燃料価格'!$AF$28:$AG$29,2,0),0)*IF($F$43="需要地価格",1,$F$8/$F$141))),"")</f>
        <v>0</v>
      </c>
      <c r="AU29" s="39"/>
      <c r="AV29" s="72">
        <f t="shared" si="10"/>
        <v>0</v>
      </c>
      <c r="AW29" s="72">
        <f t="shared" si="27"/>
        <v>0</v>
      </c>
      <c r="AX29" s="39"/>
      <c r="AY29" s="40">
        <f>IF(ISERROR(IF($K29&lt;=$F$15,VLOOKUP($I29,'表4）CO2価格'!$A$7:$E$67,VLOOKUP($F$48,'表4）CO2価格'!$H$10:$I$12,2,0),0)*$F$8/1000,"")),0,IF($K29&lt;=$F$15,VLOOKUP($I29,'表4）CO2価格'!$A$7:$E$67,VLOOKUP($F$48,'表4）CO2価格'!$H$10:$I$12,2,0),0)*$F$8/1000,""))</f>
        <v>0</v>
      </c>
      <c r="AZ29" s="39"/>
      <c r="BA29" s="42">
        <f t="shared" si="11"/>
        <v>0</v>
      </c>
      <c r="BB29" s="72">
        <f t="shared" si="28"/>
        <v>0</v>
      </c>
      <c r="BC29" s="39"/>
      <c r="BD29" s="72">
        <f t="shared" si="12"/>
        <v>0</v>
      </c>
      <c r="BE29" s="72">
        <f t="shared" si="29"/>
        <v>0</v>
      </c>
      <c r="BF29" s="39"/>
      <c r="BG29" s="42">
        <f t="shared" si="13"/>
        <v>0</v>
      </c>
      <c r="BH29" s="72">
        <f t="shared" si="30"/>
        <v>0</v>
      </c>
      <c r="BI29" s="39"/>
      <c r="BJ29" s="40">
        <f t="shared" si="31"/>
        <v>0.36244601964235967</v>
      </c>
      <c r="BK29" s="157">
        <f t="shared" si="32"/>
        <v>5428752.7268052278</v>
      </c>
      <c r="BL29" s="157">
        <f t="shared" si="14"/>
        <v>381003.25584804849</v>
      </c>
      <c r="BM29" s="72"/>
      <c r="BN29" s="72">
        <f t="shared" si="33"/>
        <v>32951526.083335388</v>
      </c>
      <c r="BO29" s="72">
        <f t="shared" si="34"/>
        <v>21150330.701543387</v>
      </c>
      <c r="BP29" s="39"/>
      <c r="BQ29" s="72">
        <f t="shared" si="15"/>
        <v>1051200</v>
      </c>
      <c r="BR29" s="72">
        <f t="shared" si="35"/>
        <v>674725.27910342964</v>
      </c>
    </row>
    <row r="30" spans="3:70" x14ac:dyDescent="0.15">
      <c r="I30" s="457">
        <f t="shared" si="36"/>
        <v>2045</v>
      </c>
      <c r="J30" s="71"/>
      <c r="K30" s="71">
        <f t="shared" si="37"/>
        <v>16</v>
      </c>
      <c r="L30" s="71"/>
      <c r="M30" s="7">
        <f t="shared" si="0"/>
        <v>0.62316693922011435</v>
      </c>
      <c r="N30" s="71"/>
      <c r="O30" s="10">
        <f t="shared" si="16"/>
        <v>28930281.837399807</v>
      </c>
      <c r="P30" s="29" t="str">
        <f t="shared" si="1"/>
        <v>-</v>
      </c>
      <c r="Q30" s="71"/>
      <c r="R30" s="10">
        <f t="shared" si="17"/>
        <v>37450215.687909082</v>
      </c>
      <c r="S30" s="71"/>
      <c r="T30" s="10">
        <f t="shared" si="18"/>
        <v>37450000</v>
      </c>
      <c r="U30" s="71"/>
      <c r="V30" s="10">
        <f t="shared" si="2"/>
        <v>4132897.4053428294</v>
      </c>
      <c r="W30" s="10">
        <f t="shared" si="19"/>
        <v>2575485.0261982433</v>
      </c>
      <c r="X30" s="71"/>
      <c r="Y30" s="10">
        <f t="shared" si="3"/>
        <v>524300</v>
      </c>
      <c r="Z30" s="10">
        <f t="shared" si="20"/>
        <v>326726.42623310594</v>
      </c>
      <c r="AA30" s="71"/>
      <c r="AB30" s="10">
        <f t="shared" si="4"/>
        <v>0</v>
      </c>
      <c r="AC30" s="10">
        <f t="shared" si="21"/>
        <v>0</v>
      </c>
      <c r="AD30" s="71"/>
      <c r="AE30" s="10">
        <f t="shared" si="5"/>
        <v>260000</v>
      </c>
      <c r="AF30" s="10">
        <f t="shared" si="22"/>
        <v>162023.40419722974</v>
      </c>
      <c r="AG30" s="71"/>
      <c r="AH30" s="10">
        <f t="shared" si="6"/>
        <v>7000000.0000000009</v>
      </c>
      <c r="AI30" s="10">
        <f t="shared" si="23"/>
        <v>4362168.5745408013</v>
      </c>
      <c r="AJ30" s="71"/>
      <c r="AK30" s="10">
        <f t="shared" si="7"/>
        <v>5400000</v>
      </c>
      <c r="AL30" s="10">
        <f t="shared" si="24"/>
        <v>3365101.4717886173</v>
      </c>
      <c r="AM30" s="71"/>
      <c r="AN30" s="10">
        <f t="shared" si="8"/>
        <v>0</v>
      </c>
      <c r="AO30" s="10">
        <f t="shared" si="25"/>
        <v>0</v>
      </c>
      <c r="AP30" s="71"/>
      <c r="AQ30" s="10">
        <f t="shared" si="9"/>
        <v>1736000.0000000002</v>
      </c>
      <c r="AR30" s="10">
        <f t="shared" si="26"/>
        <v>1081817.8064861186</v>
      </c>
      <c r="AS30" s="71"/>
      <c r="AT30" s="7">
        <f>IF($K30&lt;=$F$15,IF($F$40&lt;&gt;"",$F$40/1000,IF(ISERROR(VLOOKUP($F$3&amp;IF($G$4&lt;&gt;"",$G$4,"")&amp;IF($F$43&lt;&gt;"","_"&amp;$F$43,""),'表3）燃料価格'!$AF$9:$AG$25,2,0)),0,VLOOKUP($I30,'表3）燃料価格'!$A$6:$U$66,VLOOKUP($F$3&amp;IF($G$4&lt;&gt;"",$G$4,"")&amp;IF($F$43&lt;&gt;"","_"&amp;$F$43,""),'表3）燃料価格'!$AF$9:$AG$25,2,0)+VLOOKUP($F$41,'表3）燃料価格'!$AF$28:$AG$29,2,0),0)*IF($F$43="需要地価格",1,$F$8/$F$141))),"")</f>
        <v>0</v>
      </c>
      <c r="AU30" s="71"/>
      <c r="AV30" s="10">
        <f t="shared" si="10"/>
        <v>0</v>
      </c>
      <c r="AW30" s="10">
        <f t="shared" si="27"/>
        <v>0</v>
      </c>
      <c r="AX30" s="71"/>
      <c r="AY30" s="7">
        <f>IF(ISERROR(IF($K30&lt;=$F$15,VLOOKUP($I30,'表4）CO2価格'!$A$7:$E$67,VLOOKUP($F$48,'表4）CO2価格'!$H$10:$I$12,2,0),0)*$F$8/1000,"")),0,IF($K30&lt;=$F$15,VLOOKUP($I30,'表4）CO2価格'!$A$7:$E$67,VLOOKUP($F$48,'表4）CO2価格'!$H$10:$I$12,2,0),0)*$F$8/1000,""))</f>
        <v>0</v>
      </c>
      <c r="AZ30" s="71"/>
      <c r="BA30" s="11">
        <f t="shared" si="11"/>
        <v>0</v>
      </c>
      <c r="BB30" s="10">
        <f t="shared" si="28"/>
        <v>0</v>
      </c>
      <c r="BC30" s="71"/>
      <c r="BD30" s="10">
        <f t="shared" si="12"/>
        <v>0</v>
      </c>
      <c r="BE30" s="10">
        <f t="shared" si="29"/>
        <v>0</v>
      </c>
      <c r="BF30" s="71"/>
      <c r="BG30" s="11">
        <f t="shared" si="13"/>
        <v>0</v>
      </c>
      <c r="BH30" s="10">
        <f t="shared" si="30"/>
        <v>0</v>
      </c>
      <c r="BJ30" s="7">
        <f t="shared" si="31"/>
        <v>0.33873459779659787</v>
      </c>
      <c r="BK30" s="158">
        <f t="shared" si="32"/>
        <v>5054021.8195045795</v>
      </c>
      <c r="BL30" s="158">
        <f t="shared" si="14"/>
        <v>356077.80920378369</v>
      </c>
      <c r="BM30" s="10"/>
      <c r="BN30" s="10">
        <f t="shared" si="33"/>
        <v>32951526.083335388</v>
      </c>
      <c r="BO30" s="10">
        <f t="shared" si="34"/>
        <v>20534301.651983876</v>
      </c>
      <c r="BQ30" s="10">
        <f t="shared" si="15"/>
        <v>1051200</v>
      </c>
      <c r="BR30" s="10">
        <f t="shared" si="35"/>
        <v>655073.08650818421</v>
      </c>
    </row>
    <row r="31" spans="3:70" x14ac:dyDescent="0.15">
      <c r="C31" s="4" t="s">
        <v>568</v>
      </c>
      <c r="D31" s="100"/>
      <c r="E31" s="100"/>
      <c r="F31" s="4"/>
      <c r="G31" s="100"/>
      <c r="I31" s="38">
        <f t="shared" si="36"/>
        <v>2046</v>
      </c>
      <c r="J31" s="39"/>
      <c r="K31" s="39">
        <f t="shared" si="37"/>
        <v>17</v>
      </c>
      <c r="L31" s="39"/>
      <c r="M31" s="40">
        <f t="shared" si="0"/>
        <v>0.60501644584477121</v>
      </c>
      <c r="N31" s="39"/>
      <c r="O31" s="72">
        <f t="shared" si="16"/>
        <v>24797384.432056978</v>
      </c>
      <c r="P31" s="41" t="str">
        <f t="shared" si="1"/>
        <v>-</v>
      </c>
      <c r="Q31" s="39"/>
      <c r="R31" s="72">
        <f t="shared" si="17"/>
        <v>33728713.611486919</v>
      </c>
      <c r="S31" s="39"/>
      <c r="T31" s="72">
        <f t="shared" si="18"/>
        <v>33728000</v>
      </c>
      <c r="U31" s="39"/>
      <c r="V31" s="72">
        <f t="shared" si="2"/>
        <v>4132897.4053428294</v>
      </c>
      <c r="W31" s="72">
        <f t="shared" si="19"/>
        <v>2500470.8992215954</v>
      </c>
      <c r="X31" s="39"/>
      <c r="Y31" s="72">
        <f t="shared" si="3"/>
        <v>472100</v>
      </c>
      <c r="Z31" s="72">
        <f t="shared" si="20"/>
        <v>285628.26408331649</v>
      </c>
      <c r="AA31" s="39"/>
      <c r="AB31" s="72">
        <f t="shared" si="4"/>
        <v>0</v>
      </c>
      <c r="AC31" s="72">
        <f t="shared" si="21"/>
        <v>0</v>
      </c>
      <c r="AD31" s="39"/>
      <c r="AE31" s="72">
        <f t="shared" si="5"/>
        <v>260000</v>
      </c>
      <c r="AF31" s="72">
        <f t="shared" si="22"/>
        <v>157304.27591964052</v>
      </c>
      <c r="AG31" s="39"/>
      <c r="AH31" s="72">
        <f t="shared" si="6"/>
        <v>7000000.0000000009</v>
      </c>
      <c r="AI31" s="72">
        <f t="shared" si="23"/>
        <v>4235115.1209133994</v>
      </c>
      <c r="AJ31" s="39"/>
      <c r="AK31" s="72">
        <f t="shared" si="7"/>
        <v>5400000</v>
      </c>
      <c r="AL31" s="72">
        <f t="shared" si="24"/>
        <v>3267088.8075617645</v>
      </c>
      <c r="AM31" s="39"/>
      <c r="AN31" s="72">
        <f t="shared" si="8"/>
        <v>0</v>
      </c>
      <c r="AO31" s="72">
        <f t="shared" si="25"/>
        <v>0</v>
      </c>
      <c r="AP31" s="39"/>
      <c r="AQ31" s="72">
        <f t="shared" si="9"/>
        <v>1736000.0000000002</v>
      </c>
      <c r="AR31" s="72">
        <f t="shared" si="26"/>
        <v>1050308.5499865229</v>
      </c>
      <c r="AS31" s="39"/>
      <c r="AT31" s="40">
        <f>IF($K31&lt;=$F$15,IF($F$40&lt;&gt;"",$F$40/1000,IF(ISERROR(VLOOKUP($F$3&amp;IF($G$4&lt;&gt;"",$G$4,"")&amp;IF($F$43&lt;&gt;"","_"&amp;$F$43,""),'表3）燃料価格'!$AF$9:$AG$25,2,0)),0,VLOOKUP($I31,'表3）燃料価格'!$A$6:$U$66,VLOOKUP($F$3&amp;IF($G$4&lt;&gt;"",$G$4,"")&amp;IF($F$43&lt;&gt;"","_"&amp;$F$43,""),'表3）燃料価格'!$AF$9:$AG$25,2,0)+VLOOKUP($F$41,'表3）燃料価格'!$AF$28:$AG$29,2,0),0)*IF($F$43="需要地価格",1,$F$8/$F$141))),"")</f>
        <v>0</v>
      </c>
      <c r="AU31" s="39"/>
      <c r="AV31" s="72">
        <f t="shared" si="10"/>
        <v>0</v>
      </c>
      <c r="AW31" s="72">
        <f t="shared" si="27"/>
        <v>0</v>
      </c>
      <c r="AX31" s="39"/>
      <c r="AY31" s="40">
        <f>IF(ISERROR(IF($K31&lt;=$F$15,VLOOKUP($I31,'表4）CO2価格'!$A$7:$E$67,VLOOKUP($F$48,'表4）CO2価格'!$H$10:$I$12,2,0),0)*$F$8/1000,"")),0,IF($K31&lt;=$F$15,VLOOKUP($I31,'表4）CO2価格'!$A$7:$E$67,VLOOKUP($F$48,'表4）CO2価格'!$H$10:$I$12,2,0),0)*$F$8/1000,""))</f>
        <v>0</v>
      </c>
      <c r="AZ31" s="39"/>
      <c r="BA31" s="42">
        <f t="shared" si="11"/>
        <v>0</v>
      </c>
      <c r="BB31" s="72">
        <f t="shared" si="28"/>
        <v>0</v>
      </c>
      <c r="BC31" s="39"/>
      <c r="BD31" s="72">
        <f t="shared" si="12"/>
        <v>0</v>
      </c>
      <c r="BE31" s="72">
        <f t="shared" si="29"/>
        <v>0</v>
      </c>
      <c r="BF31" s="39"/>
      <c r="BG31" s="42">
        <f t="shared" si="13"/>
        <v>0</v>
      </c>
      <c r="BH31" s="72">
        <f t="shared" si="30"/>
        <v>0</v>
      </c>
      <c r="BI31" s="39"/>
      <c r="BJ31" s="40">
        <f t="shared" si="31"/>
        <v>0.31657439046411018</v>
      </c>
      <c r="BK31" s="157">
        <f t="shared" si="32"/>
        <v>4706859.6948594367</v>
      </c>
      <c r="BL31" s="157">
        <f t="shared" si="14"/>
        <v>332782.99925587262</v>
      </c>
      <c r="BM31" s="72"/>
      <c r="BN31" s="72">
        <f t="shared" si="33"/>
        <v>32951526.083335388</v>
      </c>
      <c r="BO31" s="72">
        <f t="shared" si="34"/>
        <v>19936215.19610085</v>
      </c>
      <c r="BP31" s="39"/>
      <c r="BQ31" s="72">
        <f t="shared" si="15"/>
        <v>1051200</v>
      </c>
      <c r="BR31" s="72">
        <f t="shared" si="35"/>
        <v>635993.28787202353</v>
      </c>
    </row>
    <row r="32" spans="3:70" x14ac:dyDescent="0.15">
      <c r="I32" s="457">
        <f t="shared" si="36"/>
        <v>2047</v>
      </c>
      <c r="J32" s="71"/>
      <c r="K32" s="71">
        <f t="shared" si="37"/>
        <v>18</v>
      </c>
      <c r="L32" s="71"/>
      <c r="M32" s="7">
        <f t="shared" si="0"/>
        <v>0.5873946076162827</v>
      </c>
      <c r="N32" s="71"/>
      <c r="O32" s="10">
        <f t="shared" si="16"/>
        <v>20664487.02671415</v>
      </c>
      <c r="P32" s="29" t="str">
        <f t="shared" si="1"/>
        <v>-</v>
      </c>
      <c r="Q32" s="71"/>
      <c r="R32" s="10">
        <f t="shared" si="17"/>
        <v>30377024.564186666</v>
      </c>
      <c r="S32" s="71"/>
      <c r="T32" s="10">
        <f t="shared" si="18"/>
        <v>30377000</v>
      </c>
      <c r="U32" s="71"/>
      <c r="V32" s="10">
        <f t="shared" si="2"/>
        <v>4132897.4053428294</v>
      </c>
      <c r="W32" s="10">
        <f t="shared" si="19"/>
        <v>2427641.649729704</v>
      </c>
      <c r="X32" s="71"/>
      <c r="Y32" s="10">
        <f t="shared" si="3"/>
        <v>425200</v>
      </c>
      <c r="Z32" s="10">
        <f t="shared" si="20"/>
        <v>249760.18715844341</v>
      </c>
      <c r="AA32" s="71"/>
      <c r="AB32" s="10">
        <f t="shared" si="4"/>
        <v>0</v>
      </c>
      <c r="AC32" s="10">
        <f t="shared" si="21"/>
        <v>0</v>
      </c>
      <c r="AD32" s="71"/>
      <c r="AE32" s="10">
        <f t="shared" si="5"/>
        <v>260000</v>
      </c>
      <c r="AF32" s="10">
        <f t="shared" si="22"/>
        <v>152722.59798023349</v>
      </c>
      <c r="AG32" s="71"/>
      <c r="AH32" s="10">
        <f t="shared" si="6"/>
        <v>7000000.0000000009</v>
      </c>
      <c r="AI32" s="10">
        <f t="shared" si="23"/>
        <v>4111762.2533139796</v>
      </c>
      <c r="AJ32" s="71"/>
      <c r="AK32" s="10">
        <f t="shared" si="7"/>
        <v>5400000</v>
      </c>
      <c r="AL32" s="10">
        <f t="shared" si="24"/>
        <v>3171930.8811279265</v>
      </c>
      <c r="AM32" s="71"/>
      <c r="AN32" s="10">
        <f t="shared" si="8"/>
        <v>0</v>
      </c>
      <c r="AO32" s="10">
        <f t="shared" si="25"/>
        <v>0</v>
      </c>
      <c r="AP32" s="71"/>
      <c r="AQ32" s="10">
        <f t="shared" si="9"/>
        <v>1736000.0000000002</v>
      </c>
      <c r="AR32" s="10">
        <f t="shared" si="26"/>
        <v>1019717.038821867</v>
      </c>
      <c r="AS32" s="71"/>
      <c r="AT32" s="7">
        <f>IF($K32&lt;=$F$15,IF($F$40&lt;&gt;"",$F$40/1000,IF(ISERROR(VLOOKUP($F$3&amp;IF($G$4&lt;&gt;"",$G$4,"")&amp;IF($F$43&lt;&gt;"","_"&amp;$F$43,""),'表3）燃料価格'!$AF$9:$AG$25,2,0)),0,VLOOKUP($I32,'表3）燃料価格'!$A$6:$U$66,VLOOKUP($F$3&amp;IF($G$4&lt;&gt;"",$G$4,"")&amp;IF($F$43&lt;&gt;"","_"&amp;$F$43,""),'表3）燃料価格'!$AF$9:$AG$25,2,0)+VLOOKUP($F$41,'表3）燃料価格'!$AF$28:$AG$29,2,0),0)*IF($F$43="需要地価格",1,$F$8/$F$141))),"")</f>
        <v>0</v>
      </c>
      <c r="AU32" s="71"/>
      <c r="AV32" s="10">
        <f t="shared" si="10"/>
        <v>0</v>
      </c>
      <c r="AW32" s="10">
        <f t="shared" si="27"/>
        <v>0</v>
      </c>
      <c r="AX32" s="71"/>
      <c r="AY32" s="7">
        <f>IF(ISERROR(IF($K32&lt;=$F$15,VLOOKUP($I32,'表4）CO2価格'!$A$7:$E$67,VLOOKUP($F$48,'表4）CO2価格'!$H$10:$I$12,2,0),0)*$F$8/1000,"")),0,IF($K32&lt;=$F$15,VLOOKUP($I32,'表4）CO2価格'!$A$7:$E$67,VLOOKUP($F$48,'表4）CO2価格'!$H$10:$I$12,2,0),0)*$F$8/1000,""))</f>
        <v>0</v>
      </c>
      <c r="AZ32" s="71"/>
      <c r="BA32" s="11">
        <f t="shared" si="11"/>
        <v>0</v>
      </c>
      <c r="BB32" s="10">
        <f t="shared" si="28"/>
        <v>0</v>
      </c>
      <c r="BC32" s="71"/>
      <c r="BD32" s="10">
        <f t="shared" si="12"/>
        <v>0</v>
      </c>
      <c r="BE32" s="10">
        <f t="shared" si="29"/>
        <v>0</v>
      </c>
      <c r="BF32" s="71"/>
      <c r="BG32" s="11">
        <f t="shared" si="13"/>
        <v>0</v>
      </c>
      <c r="BH32" s="10">
        <f t="shared" si="30"/>
        <v>0</v>
      </c>
      <c r="BJ32" s="7">
        <f t="shared" si="31"/>
        <v>0.29586391632159825</v>
      </c>
      <c r="BK32" s="158">
        <f t="shared" si="32"/>
        <v>4385058.2765856721</v>
      </c>
      <c r="BL32" s="158">
        <f t="shared" si="14"/>
        <v>311012.1488372641</v>
      </c>
      <c r="BM32" s="10"/>
      <c r="BN32" s="10">
        <f t="shared" si="33"/>
        <v>32951526.083335388</v>
      </c>
      <c r="BO32" s="10">
        <f t="shared" si="34"/>
        <v>19355548.734078497</v>
      </c>
      <c r="BQ32" s="10">
        <f t="shared" si="15"/>
        <v>1051200</v>
      </c>
      <c r="BR32" s="10">
        <f t="shared" si="35"/>
        <v>617469.21152623638</v>
      </c>
    </row>
    <row r="33" spans="3:70" x14ac:dyDescent="0.15">
      <c r="D33" s="84" t="s">
        <v>636</v>
      </c>
      <c r="F33" s="475">
        <v>7.0000000000000007E-2</v>
      </c>
      <c r="G33" s="84" t="s">
        <v>637</v>
      </c>
      <c r="I33" s="38">
        <f t="shared" si="36"/>
        <v>2048</v>
      </c>
      <c r="J33" s="39"/>
      <c r="K33" s="39">
        <f t="shared" si="37"/>
        <v>19</v>
      </c>
      <c r="L33" s="39"/>
      <c r="M33" s="40">
        <f t="shared" si="0"/>
        <v>0.57028602681192497</v>
      </c>
      <c r="N33" s="39"/>
      <c r="O33" s="72">
        <f t="shared" si="16"/>
        <v>16531589.621371321</v>
      </c>
      <c r="P33" s="41" t="str">
        <f t="shared" si="1"/>
        <v>-</v>
      </c>
      <c r="Q33" s="39"/>
      <c r="R33" s="72">
        <f t="shared" si="17"/>
        <v>27358399.493152812</v>
      </c>
      <c r="S33" s="39"/>
      <c r="T33" s="72">
        <f t="shared" si="18"/>
        <v>27358000</v>
      </c>
      <c r="U33" s="39"/>
      <c r="V33" s="72">
        <f t="shared" si="2"/>
        <v>4132897.4053428294</v>
      </c>
      <c r="W33" s="72">
        <f t="shared" si="19"/>
        <v>2356933.640514276</v>
      </c>
      <c r="X33" s="39"/>
      <c r="Y33" s="72">
        <f t="shared" si="3"/>
        <v>383000</v>
      </c>
      <c r="Z33" s="72">
        <f t="shared" si="20"/>
        <v>218419.54826896728</v>
      </c>
      <c r="AA33" s="39"/>
      <c r="AB33" s="72">
        <f t="shared" si="4"/>
        <v>0</v>
      </c>
      <c r="AC33" s="72">
        <f t="shared" si="21"/>
        <v>0</v>
      </c>
      <c r="AD33" s="39"/>
      <c r="AE33" s="72">
        <f t="shared" si="5"/>
        <v>260000</v>
      </c>
      <c r="AF33" s="72">
        <f t="shared" si="22"/>
        <v>148274.36697110051</v>
      </c>
      <c r="AG33" s="39"/>
      <c r="AH33" s="72">
        <f t="shared" si="6"/>
        <v>7000000.0000000009</v>
      </c>
      <c r="AI33" s="72">
        <f t="shared" si="23"/>
        <v>3992002.1876834752</v>
      </c>
      <c r="AJ33" s="39"/>
      <c r="AK33" s="72">
        <f t="shared" si="7"/>
        <v>5400000</v>
      </c>
      <c r="AL33" s="72">
        <f t="shared" si="24"/>
        <v>3079544.544784395</v>
      </c>
      <c r="AM33" s="39"/>
      <c r="AN33" s="72">
        <f t="shared" si="8"/>
        <v>0</v>
      </c>
      <c r="AO33" s="72">
        <f t="shared" si="25"/>
        <v>0</v>
      </c>
      <c r="AP33" s="39"/>
      <c r="AQ33" s="72">
        <f t="shared" si="9"/>
        <v>1736000.0000000002</v>
      </c>
      <c r="AR33" s="72">
        <f t="shared" si="26"/>
        <v>990016.54254550184</v>
      </c>
      <c r="AS33" s="39"/>
      <c r="AT33" s="40">
        <f>IF($K33&lt;=$F$15,IF($F$40&lt;&gt;"",$F$40/1000,IF(ISERROR(VLOOKUP($F$3&amp;IF($G$4&lt;&gt;"",$G$4,"")&amp;IF($F$43&lt;&gt;"","_"&amp;$F$43,""),'表3）燃料価格'!$AF$9:$AG$25,2,0)),0,VLOOKUP($I33,'表3）燃料価格'!$A$6:$U$66,VLOOKUP($F$3&amp;IF($G$4&lt;&gt;"",$G$4,"")&amp;IF($F$43&lt;&gt;"","_"&amp;$F$43,""),'表3）燃料価格'!$AF$9:$AG$25,2,0)+VLOOKUP($F$41,'表3）燃料価格'!$AF$28:$AG$29,2,0),0)*IF($F$43="需要地価格",1,$F$8/$F$141))),"")</f>
        <v>0</v>
      </c>
      <c r="AU33" s="39"/>
      <c r="AV33" s="72">
        <f t="shared" si="10"/>
        <v>0</v>
      </c>
      <c r="AW33" s="72">
        <f t="shared" si="27"/>
        <v>0</v>
      </c>
      <c r="AX33" s="39"/>
      <c r="AY33" s="40">
        <f>IF(ISERROR(IF($K33&lt;=$F$15,VLOOKUP($I33,'表4）CO2価格'!$A$7:$E$67,VLOOKUP($F$48,'表4）CO2価格'!$H$10:$I$12,2,0),0)*$F$8/1000,"")),0,IF($K33&lt;=$F$15,VLOOKUP($I33,'表4）CO2価格'!$A$7:$E$67,VLOOKUP($F$48,'表4）CO2価格'!$H$10:$I$12,2,0),0)*$F$8/1000,""))</f>
        <v>0</v>
      </c>
      <c r="AZ33" s="39"/>
      <c r="BA33" s="42">
        <f t="shared" si="11"/>
        <v>0</v>
      </c>
      <c r="BB33" s="72">
        <f t="shared" si="28"/>
        <v>0</v>
      </c>
      <c r="BC33" s="39"/>
      <c r="BD33" s="72">
        <f t="shared" si="12"/>
        <v>0</v>
      </c>
      <c r="BE33" s="72">
        <f t="shared" si="29"/>
        <v>0</v>
      </c>
      <c r="BF33" s="39"/>
      <c r="BG33" s="42">
        <f t="shared" si="13"/>
        <v>0</v>
      </c>
      <c r="BH33" s="72">
        <f t="shared" si="30"/>
        <v>0</v>
      </c>
      <c r="BI33" s="39"/>
      <c r="BJ33" s="40">
        <f t="shared" si="31"/>
        <v>0.27650833301083949</v>
      </c>
      <c r="BK33" s="157">
        <f t="shared" si="32"/>
        <v>4086516.6535671968</v>
      </c>
      <c r="BL33" s="157">
        <f t="shared" si="14"/>
        <v>290665.55966099445</v>
      </c>
      <c r="BM33" s="72"/>
      <c r="BN33" s="72">
        <f t="shared" si="33"/>
        <v>32951526.083335388</v>
      </c>
      <c r="BO33" s="72">
        <f t="shared" si="34"/>
        <v>18791794.887454849</v>
      </c>
      <c r="BP33" s="39"/>
      <c r="BQ33" s="72">
        <f t="shared" si="15"/>
        <v>1051200</v>
      </c>
      <c r="BR33" s="72">
        <f t="shared" si="35"/>
        <v>599484.67138469557</v>
      </c>
    </row>
    <row r="34" spans="3:70" x14ac:dyDescent="0.15">
      <c r="D34" s="160" t="s">
        <v>248</v>
      </c>
      <c r="F34" s="480">
        <v>3</v>
      </c>
      <c r="G34" s="84" t="s">
        <v>638</v>
      </c>
      <c r="I34" s="457">
        <f t="shared" si="36"/>
        <v>2049</v>
      </c>
      <c r="J34" s="71"/>
      <c r="K34" s="71">
        <f t="shared" si="37"/>
        <v>20</v>
      </c>
      <c r="L34" s="71"/>
      <c r="M34" s="7">
        <f t="shared" si="0"/>
        <v>0.55367575418633497</v>
      </c>
      <c r="N34" s="71"/>
      <c r="O34" s="10">
        <f t="shared" si="16"/>
        <v>12398692.216028493</v>
      </c>
      <c r="P34" s="29" t="str">
        <f t="shared" si="1"/>
        <v>-</v>
      </c>
      <c r="Q34" s="71"/>
      <c r="R34" s="10">
        <f t="shared" si="17"/>
        <v>24639741.171667464</v>
      </c>
      <c r="S34" s="71"/>
      <c r="T34" s="10">
        <f t="shared" si="18"/>
        <v>24639000</v>
      </c>
      <c r="U34" s="71"/>
      <c r="V34" s="10">
        <f t="shared" si="2"/>
        <v>4132897.4053428294</v>
      </c>
      <c r="W34" s="10">
        <f t="shared" si="19"/>
        <v>2288285.0878779381</v>
      </c>
      <c r="X34" s="71"/>
      <c r="Y34" s="10">
        <f t="shared" si="3"/>
        <v>344900</v>
      </c>
      <c r="Z34" s="10">
        <f t="shared" si="20"/>
        <v>190962.76761886693</v>
      </c>
      <c r="AA34" s="71"/>
      <c r="AB34" s="10">
        <f t="shared" si="4"/>
        <v>0</v>
      </c>
      <c r="AC34" s="10">
        <f t="shared" si="21"/>
        <v>0</v>
      </c>
      <c r="AD34" s="71"/>
      <c r="AE34" s="10">
        <f t="shared" si="5"/>
        <v>260000</v>
      </c>
      <c r="AF34" s="10">
        <f t="shared" si="22"/>
        <v>143955.69608844709</v>
      </c>
      <c r="AG34" s="71"/>
      <c r="AH34" s="10">
        <f t="shared" si="6"/>
        <v>7000000.0000000009</v>
      </c>
      <c r="AI34" s="10">
        <f t="shared" si="23"/>
        <v>3875730.2793043451</v>
      </c>
      <c r="AJ34" s="71"/>
      <c r="AK34" s="10">
        <f t="shared" si="7"/>
        <v>5400000</v>
      </c>
      <c r="AL34" s="10">
        <f t="shared" si="24"/>
        <v>2989849.0726062087</v>
      </c>
      <c r="AM34" s="71"/>
      <c r="AN34" s="10">
        <f t="shared" si="8"/>
        <v>0</v>
      </c>
      <c r="AO34" s="10">
        <f t="shared" si="25"/>
        <v>0</v>
      </c>
      <c r="AP34" s="71"/>
      <c r="AQ34" s="10">
        <f t="shared" si="9"/>
        <v>1736000.0000000002</v>
      </c>
      <c r="AR34" s="10">
        <f t="shared" si="26"/>
        <v>961181.10926747764</v>
      </c>
      <c r="AS34" s="71"/>
      <c r="AT34" s="7">
        <f>IF($K34&lt;=$F$15,IF($F$40&lt;&gt;"",$F$40/1000,IF(ISERROR(VLOOKUP($F$3&amp;IF($G$4&lt;&gt;"",$G$4,"")&amp;IF($F$43&lt;&gt;"","_"&amp;$F$43,""),'表3）燃料価格'!$AF$9:$AG$25,2,0)),0,VLOOKUP($I34,'表3）燃料価格'!$A$6:$U$66,VLOOKUP($F$3&amp;IF($G$4&lt;&gt;"",$G$4,"")&amp;IF($F$43&lt;&gt;"","_"&amp;$F$43,""),'表3）燃料価格'!$AF$9:$AG$25,2,0)+VLOOKUP($F$41,'表3）燃料価格'!$AF$28:$AG$29,2,0),0)*IF($F$43="需要地価格",1,$F$8/$F$141))),"")</f>
        <v>0</v>
      </c>
      <c r="AU34" s="71"/>
      <c r="AV34" s="10">
        <f t="shared" si="10"/>
        <v>0</v>
      </c>
      <c r="AW34" s="10">
        <f t="shared" si="27"/>
        <v>0</v>
      </c>
      <c r="AX34" s="71"/>
      <c r="AY34" s="7">
        <f>IF(ISERROR(IF($K34&lt;=$F$15,VLOOKUP($I34,'表4）CO2価格'!$A$7:$E$67,VLOOKUP($F$48,'表4）CO2価格'!$H$10:$I$12,2,0),0)*$F$8/1000,"")),0,IF($K34&lt;=$F$15,VLOOKUP($I34,'表4）CO2価格'!$A$7:$E$67,VLOOKUP($F$48,'表4）CO2価格'!$H$10:$I$12,2,0),0)*$F$8/1000,""))</f>
        <v>0</v>
      </c>
      <c r="AZ34" s="71"/>
      <c r="BA34" s="11">
        <f t="shared" si="11"/>
        <v>0</v>
      </c>
      <c r="BB34" s="10">
        <f t="shared" si="28"/>
        <v>0</v>
      </c>
      <c r="BC34" s="71"/>
      <c r="BD34" s="10">
        <f t="shared" si="12"/>
        <v>0</v>
      </c>
      <c r="BE34" s="10">
        <f t="shared" si="29"/>
        <v>0</v>
      </c>
      <c r="BF34" s="71"/>
      <c r="BG34" s="11">
        <f t="shared" si="13"/>
        <v>0</v>
      </c>
      <c r="BH34" s="10">
        <f t="shared" si="30"/>
        <v>0</v>
      </c>
      <c r="BJ34" s="7">
        <f t="shared" si="31"/>
        <v>0.2584190028138687</v>
      </c>
      <c r="BK34" s="158">
        <f t="shared" si="32"/>
        <v>3809328.678578957</v>
      </c>
      <c r="BL34" s="158">
        <f t="shared" si="14"/>
        <v>271650.05575793877</v>
      </c>
      <c r="BM34" s="10"/>
      <c r="BN34" s="10">
        <f t="shared" si="33"/>
        <v>32951526.083335388</v>
      </c>
      <c r="BO34" s="10">
        <f t="shared" si="34"/>
        <v>18244461.055781409</v>
      </c>
      <c r="BQ34" s="10">
        <f t="shared" si="15"/>
        <v>1051200</v>
      </c>
      <c r="BR34" s="10">
        <f t="shared" si="35"/>
        <v>582023.9528006753</v>
      </c>
    </row>
    <row r="35" spans="3:70" x14ac:dyDescent="0.15">
      <c r="F35" s="499"/>
      <c r="I35" s="38">
        <f t="shared" si="36"/>
        <v>2050</v>
      </c>
      <c r="J35" s="39"/>
      <c r="K35" s="39">
        <f t="shared" si="37"/>
        <v>21</v>
      </c>
      <c r="L35" s="39"/>
      <c r="M35" s="40">
        <f t="shared" si="0"/>
        <v>0.5375492759090631</v>
      </c>
      <c r="N35" s="39"/>
      <c r="O35" s="72">
        <f t="shared" si="16"/>
        <v>8265794.8106856635</v>
      </c>
      <c r="P35" s="41" t="str">
        <f t="shared" si="1"/>
        <v>-</v>
      </c>
      <c r="Q35" s="39"/>
      <c r="R35" s="72">
        <f t="shared" si="17"/>
        <v>22191241.309957195</v>
      </c>
      <c r="S35" s="39"/>
      <c r="T35" s="72">
        <f t="shared" si="18"/>
        <v>22191000</v>
      </c>
      <c r="U35" s="39"/>
      <c r="V35" s="72">
        <f t="shared" si="2"/>
        <v>4132897.4053428294</v>
      </c>
      <c r="W35" s="72">
        <f t="shared" si="19"/>
        <v>2221636.0076484834</v>
      </c>
      <c r="X35" s="39"/>
      <c r="Y35" s="72">
        <f t="shared" si="3"/>
        <v>310600</v>
      </c>
      <c r="Z35" s="72">
        <f t="shared" si="20"/>
        <v>166962.80509735498</v>
      </c>
      <c r="AA35" s="39"/>
      <c r="AB35" s="72">
        <f t="shared" si="4"/>
        <v>0</v>
      </c>
      <c r="AC35" s="72">
        <f t="shared" si="21"/>
        <v>0</v>
      </c>
      <c r="AD35" s="39"/>
      <c r="AE35" s="72">
        <f t="shared" si="5"/>
        <v>260000</v>
      </c>
      <c r="AF35" s="72">
        <f t="shared" si="22"/>
        <v>139762.81173635641</v>
      </c>
      <c r="AG35" s="39"/>
      <c r="AH35" s="72">
        <f t="shared" si="6"/>
        <v>7000000.0000000009</v>
      </c>
      <c r="AI35" s="72">
        <f t="shared" si="23"/>
        <v>3762844.931363442</v>
      </c>
      <c r="AJ35" s="39"/>
      <c r="AK35" s="72">
        <f t="shared" si="7"/>
        <v>5400000</v>
      </c>
      <c r="AL35" s="72">
        <f t="shared" si="24"/>
        <v>2902766.0899089407</v>
      </c>
      <c r="AM35" s="39"/>
      <c r="AN35" s="72">
        <f t="shared" si="8"/>
        <v>0</v>
      </c>
      <c r="AO35" s="72">
        <f t="shared" si="25"/>
        <v>0</v>
      </c>
      <c r="AP35" s="39"/>
      <c r="AQ35" s="72">
        <f t="shared" si="9"/>
        <v>1736000.0000000002</v>
      </c>
      <c r="AR35" s="72">
        <f t="shared" si="26"/>
        <v>933185.54297813366</v>
      </c>
      <c r="AS35" s="39"/>
      <c r="AT35" s="40">
        <f>IF($K35&lt;=$F$15,IF($F$40&lt;&gt;"",$F$40/1000,IF(ISERROR(VLOOKUP($F$3&amp;IF($G$4&lt;&gt;"",$G$4,"")&amp;IF($F$43&lt;&gt;"","_"&amp;$F$43,""),'表3）燃料価格'!$AF$9:$AG$25,2,0)),0,VLOOKUP($I35,'表3）燃料価格'!$A$6:$U$66,VLOOKUP($F$3&amp;IF($G$4&lt;&gt;"",$G$4,"")&amp;IF($F$43&lt;&gt;"","_"&amp;$F$43,""),'表3）燃料価格'!$AF$9:$AG$25,2,0)+VLOOKUP($F$41,'表3）燃料価格'!$AF$28:$AG$29,2,0),0)*IF($F$43="需要地価格",1,$F$8/$F$141))),"")</f>
        <v>0</v>
      </c>
      <c r="AU35" s="39"/>
      <c r="AV35" s="72">
        <f t="shared" si="10"/>
        <v>0</v>
      </c>
      <c r="AW35" s="72">
        <f t="shared" si="27"/>
        <v>0</v>
      </c>
      <c r="AX35" s="39"/>
      <c r="AY35" s="40">
        <f>IF(ISERROR(IF($K35&lt;=$F$15,VLOOKUP($I35,'表4）CO2価格'!$A$7:$E$67,VLOOKUP($F$48,'表4）CO2価格'!$H$10:$I$12,2,0),0)*$F$8/1000,"")),0,IF($K35&lt;=$F$15,VLOOKUP($I35,'表4）CO2価格'!$A$7:$E$67,VLOOKUP($F$48,'表4）CO2価格'!$H$10:$I$12,2,0),0)*$F$8/1000,""))</f>
        <v>0</v>
      </c>
      <c r="AZ35" s="39"/>
      <c r="BA35" s="42">
        <f t="shared" si="11"/>
        <v>0</v>
      </c>
      <c r="BB35" s="72">
        <f t="shared" si="28"/>
        <v>0</v>
      </c>
      <c r="BC35" s="39"/>
      <c r="BD35" s="72">
        <f t="shared" si="12"/>
        <v>0</v>
      </c>
      <c r="BE35" s="72">
        <f t="shared" si="29"/>
        <v>0</v>
      </c>
      <c r="BF35" s="39"/>
      <c r="BG35" s="42">
        <f t="shared" si="13"/>
        <v>0</v>
      </c>
      <c r="BH35" s="72">
        <f t="shared" si="30"/>
        <v>0</v>
      </c>
      <c r="BI35" s="39"/>
      <c r="BJ35" s="40">
        <f t="shared" si="31"/>
        <v>0.24151308674193336</v>
      </c>
      <c r="BK35" s="157">
        <f t="shared" si="32"/>
        <v>2173617.7806774001</v>
      </c>
      <c r="BL35" s="157" t="str">
        <f t="shared" si="14"/>
        <v/>
      </c>
      <c r="BM35" s="72"/>
      <c r="BN35" s="72" t="str">
        <f t="shared" si="33"/>
        <v/>
      </c>
      <c r="BO35" s="72" t="str">
        <f t="shared" si="34"/>
        <v/>
      </c>
      <c r="BP35" s="39"/>
      <c r="BQ35" s="72">
        <f t="shared" si="15"/>
        <v>1051200</v>
      </c>
      <c r="BR35" s="72">
        <f t="shared" si="35"/>
        <v>565071.79883560713</v>
      </c>
    </row>
    <row r="36" spans="3:70" x14ac:dyDescent="0.15">
      <c r="D36" s="84" t="s">
        <v>639</v>
      </c>
      <c r="F36" s="480">
        <v>14</v>
      </c>
      <c r="G36" s="84" t="s">
        <v>640</v>
      </c>
      <c r="I36" s="457">
        <f t="shared" si="36"/>
        <v>2051</v>
      </c>
      <c r="J36" s="71"/>
      <c r="K36" s="71">
        <f t="shared" si="37"/>
        <v>22</v>
      </c>
      <c r="L36" s="71"/>
      <c r="M36" s="7">
        <f t="shared" si="0"/>
        <v>0.52189250088258554</v>
      </c>
      <c r="N36" s="71"/>
      <c r="O36" s="10">
        <f t="shared" si="16"/>
        <v>4132897.4053428341</v>
      </c>
      <c r="P36" s="29" t="str">
        <f t="shared" si="1"/>
        <v>-</v>
      </c>
      <c r="Q36" s="71"/>
      <c r="R36" s="10">
        <f t="shared" si="17"/>
        <v>19986053.727017488</v>
      </c>
      <c r="S36" s="71"/>
      <c r="T36" s="10">
        <f t="shared" si="18"/>
        <v>19986000</v>
      </c>
      <c r="U36" s="71"/>
      <c r="V36" s="10">
        <f t="shared" si="2"/>
        <v>4132897.4053428294</v>
      </c>
      <c r="W36" s="10">
        <f t="shared" si="19"/>
        <v>2156928.1627655183</v>
      </c>
      <c r="X36" s="71"/>
      <c r="Y36" s="10">
        <f t="shared" si="3"/>
        <v>279800</v>
      </c>
      <c r="Z36" s="10">
        <f t="shared" si="20"/>
        <v>146025.52174694743</v>
      </c>
      <c r="AA36" s="71"/>
      <c r="AB36" s="10">
        <f t="shared" si="4"/>
        <v>0</v>
      </c>
      <c r="AC36" s="10">
        <f t="shared" si="21"/>
        <v>0</v>
      </c>
      <c r="AD36" s="71"/>
      <c r="AE36" s="10">
        <f t="shared" si="5"/>
        <v>260000</v>
      </c>
      <c r="AF36" s="10">
        <f t="shared" si="22"/>
        <v>135692.05022947225</v>
      </c>
      <c r="AG36" s="71"/>
      <c r="AH36" s="10">
        <f t="shared" si="6"/>
        <v>7000000.0000000009</v>
      </c>
      <c r="AI36" s="10">
        <f t="shared" si="23"/>
        <v>3653247.5061780992</v>
      </c>
      <c r="AJ36" s="71"/>
      <c r="AK36" s="10">
        <f t="shared" si="7"/>
        <v>5400000</v>
      </c>
      <c r="AL36" s="10">
        <f t="shared" si="24"/>
        <v>2818219.5047659618</v>
      </c>
      <c r="AM36" s="71"/>
      <c r="AN36" s="10">
        <f t="shared" si="8"/>
        <v>0</v>
      </c>
      <c r="AO36" s="10">
        <f t="shared" si="25"/>
        <v>0</v>
      </c>
      <c r="AP36" s="71"/>
      <c r="AQ36" s="10">
        <f t="shared" si="9"/>
        <v>1736000.0000000002</v>
      </c>
      <c r="AR36" s="10">
        <f t="shared" si="26"/>
        <v>906005.3815321686</v>
      </c>
      <c r="AS36" s="71"/>
      <c r="AT36" s="7">
        <f>IF($K36&lt;=$F$15,IF($F$40&lt;&gt;"",$F$40/1000,IF(ISERROR(VLOOKUP($F$3&amp;IF($G$4&lt;&gt;"",$G$4,"")&amp;IF($F$43&lt;&gt;"","_"&amp;$F$43,""),'表3）燃料価格'!$AF$9:$AG$25,2,0)),0,VLOOKUP($I36,'表3）燃料価格'!$A$6:$U$66,VLOOKUP($F$3&amp;IF($G$4&lt;&gt;"",$G$4,"")&amp;IF($F$43&lt;&gt;"","_"&amp;$F$43,""),'表3）燃料価格'!$AF$9:$AG$25,2,0)+VLOOKUP($F$41,'表3）燃料価格'!$AF$28:$AG$29,2,0),0)*IF($F$43="需要地価格",1,$F$8/$F$141))),"")</f>
        <v>0</v>
      </c>
      <c r="AU36" s="71"/>
      <c r="AV36" s="10">
        <f t="shared" si="10"/>
        <v>0</v>
      </c>
      <c r="AW36" s="10">
        <f t="shared" si="27"/>
        <v>0</v>
      </c>
      <c r="AX36" s="71"/>
      <c r="AY36" s="7">
        <f>IF(ISERROR(IF($K36&lt;=$F$15,VLOOKUP($I36,'表4）CO2価格'!$A$7:$E$67,VLOOKUP($F$48,'表4）CO2価格'!$H$10:$I$12,2,0),0)*$F$8/1000,"")),0,IF($K36&lt;=$F$15,VLOOKUP($I36,'表4）CO2価格'!$A$7:$E$67,VLOOKUP($F$48,'表4）CO2価格'!$H$10:$I$12,2,0),0)*$F$8/1000,""))</f>
        <v>0</v>
      </c>
      <c r="AZ36" s="71"/>
      <c r="BA36" s="11">
        <f t="shared" si="11"/>
        <v>0</v>
      </c>
      <c r="BB36" s="10">
        <f t="shared" si="28"/>
        <v>0</v>
      </c>
      <c r="BC36" s="71"/>
      <c r="BD36" s="10">
        <f t="shared" si="12"/>
        <v>0</v>
      </c>
      <c r="BE36" s="10">
        <f t="shared" si="29"/>
        <v>0</v>
      </c>
      <c r="BF36" s="71"/>
      <c r="BG36" s="11">
        <f t="shared" si="13"/>
        <v>0</v>
      </c>
      <c r="BH36" s="10">
        <f t="shared" si="30"/>
        <v>0</v>
      </c>
      <c r="BJ36" s="7" t="str">
        <f t="shared" si="31"/>
        <v/>
      </c>
      <c r="BK36" s="158" t="str">
        <f t="shared" si="32"/>
        <v/>
      </c>
      <c r="BL36" s="158" t="str">
        <f t="shared" si="14"/>
        <v/>
      </c>
      <c r="BM36" s="10"/>
      <c r="BN36" s="10" t="str">
        <f t="shared" si="33"/>
        <v/>
      </c>
      <c r="BO36" s="10" t="str">
        <f t="shared" si="34"/>
        <v/>
      </c>
      <c r="BQ36" s="10">
        <f t="shared" si="15"/>
        <v>1051200</v>
      </c>
      <c r="BR36" s="10">
        <f t="shared" si="35"/>
        <v>548613.39692777395</v>
      </c>
    </row>
    <row r="37" spans="3:70" x14ac:dyDescent="0.15">
      <c r="I37" s="38">
        <f t="shared" si="36"/>
        <v>2052</v>
      </c>
      <c r="J37" s="39"/>
      <c r="K37" s="39">
        <f t="shared" si="37"/>
        <v>23</v>
      </c>
      <c r="L37" s="39"/>
      <c r="M37" s="40">
        <f t="shared" si="0"/>
        <v>0.50669174842969467</v>
      </c>
      <c r="N37" s="39"/>
      <c r="O37" s="72">
        <f t="shared" si="16"/>
        <v>4.6566128730773926E-9</v>
      </c>
      <c r="P37" s="41" t="str">
        <f t="shared" si="1"/>
        <v>-</v>
      </c>
      <c r="Q37" s="39"/>
      <c r="R37" s="72">
        <f t="shared" si="17"/>
        <v>18000000.000000004</v>
      </c>
      <c r="S37" s="39"/>
      <c r="T37" s="72">
        <f t="shared" si="18"/>
        <v>18000000</v>
      </c>
      <c r="U37" s="39"/>
      <c r="V37" s="72">
        <f t="shared" si="2"/>
        <v>0</v>
      </c>
      <c r="W37" s="72">
        <f t="shared" si="19"/>
        <v>0</v>
      </c>
      <c r="X37" s="39"/>
      <c r="Y37" s="72">
        <f t="shared" si="3"/>
        <v>252000</v>
      </c>
      <c r="Z37" s="72">
        <f t="shared" si="20"/>
        <v>127686.32060428306</v>
      </c>
      <c r="AA37" s="39"/>
      <c r="AB37" s="72">
        <f t="shared" si="4"/>
        <v>0</v>
      </c>
      <c r="AC37" s="72">
        <f t="shared" si="21"/>
        <v>0</v>
      </c>
      <c r="AD37" s="39"/>
      <c r="AE37" s="72">
        <f t="shared" si="5"/>
        <v>260000</v>
      </c>
      <c r="AF37" s="72">
        <f t="shared" si="22"/>
        <v>131739.85459172062</v>
      </c>
      <c r="AG37" s="39"/>
      <c r="AH37" s="72">
        <f t="shared" si="6"/>
        <v>7000000.0000000009</v>
      </c>
      <c r="AI37" s="72">
        <f t="shared" si="23"/>
        <v>3546842.2390078632</v>
      </c>
      <c r="AJ37" s="39"/>
      <c r="AK37" s="72">
        <f t="shared" si="7"/>
        <v>5400000</v>
      </c>
      <c r="AL37" s="72">
        <f t="shared" si="24"/>
        <v>2736135.441520351</v>
      </c>
      <c r="AM37" s="39"/>
      <c r="AN37" s="72">
        <f t="shared" si="8"/>
        <v>0</v>
      </c>
      <c r="AO37" s="72">
        <f t="shared" si="25"/>
        <v>0</v>
      </c>
      <c r="AP37" s="39"/>
      <c r="AQ37" s="72">
        <f t="shared" si="9"/>
        <v>1736000.0000000002</v>
      </c>
      <c r="AR37" s="72">
        <f t="shared" si="26"/>
        <v>879616.87527395005</v>
      </c>
      <c r="AS37" s="39"/>
      <c r="AT37" s="40">
        <f>IF($K37&lt;=$F$15,IF($F$40&lt;&gt;"",$F$40/1000,IF(ISERROR(VLOOKUP($F$3&amp;IF($G$4&lt;&gt;"",$G$4,"")&amp;IF($F$43&lt;&gt;"","_"&amp;$F$43,""),'表3）燃料価格'!$AF$9:$AG$25,2,0)),0,VLOOKUP($I37,'表3）燃料価格'!$A$6:$U$66,VLOOKUP($F$3&amp;IF($G$4&lt;&gt;"",$G$4,"")&amp;IF($F$43&lt;&gt;"","_"&amp;$F$43,""),'表3）燃料価格'!$AF$9:$AG$25,2,0)+VLOOKUP($F$41,'表3）燃料価格'!$AF$28:$AG$29,2,0),0)*IF($F$43="需要地価格",1,$F$8/$F$141))),"")</f>
        <v>0</v>
      </c>
      <c r="AU37" s="39"/>
      <c r="AV37" s="72">
        <f t="shared" si="10"/>
        <v>0</v>
      </c>
      <c r="AW37" s="72">
        <f t="shared" si="27"/>
        <v>0</v>
      </c>
      <c r="AX37" s="39"/>
      <c r="AY37" s="40">
        <f>IF(ISERROR(IF($K37&lt;=$F$15,VLOOKUP($I37,'表4）CO2価格'!$A$7:$E$67,VLOOKUP($F$48,'表4）CO2価格'!$H$10:$I$12,2,0),0)*$F$8/1000,"")),0,IF($K37&lt;=$F$15,VLOOKUP($I37,'表4）CO2価格'!$A$7:$E$67,VLOOKUP($F$48,'表4）CO2価格'!$H$10:$I$12,2,0),0)*$F$8/1000,""))</f>
        <v>0</v>
      </c>
      <c r="AZ37" s="39"/>
      <c r="BA37" s="42">
        <f t="shared" si="11"/>
        <v>0</v>
      </c>
      <c r="BB37" s="72">
        <f t="shared" si="28"/>
        <v>0</v>
      </c>
      <c r="BC37" s="39"/>
      <c r="BD37" s="72">
        <f t="shared" si="12"/>
        <v>0</v>
      </c>
      <c r="BE37" s="72">
        <f t="shared" si="29"/>
        <v>0</v>
      </c>
      <c r="BF37" s="39"/>
      <c r="BG37" s="42">
        <f t="shared" si="13"/>
        <v>0</v>
      </c>
      <c r="BH37" s="72">
        <f t="shared" si="30"/>
        <v>0</v>
      </c>
      <c r="BI37" s="39"/>
      <c r="BJ37" s="40" t="str">
        <f t="shared" si="31"/>
        <v/>
      </c>
      <c r="BK37" s="157" t="str">
        <f t="shared" si="32"/>
        <v/>
      </c>
      <c r="BL37" s="157" t="str">
        <f t="shared" si="14"/>
        <v/>
      </c>
      <c r="BM37" s="72"/>
      <c r="BN37" s="72" t="str">
        <f t="shared" si="33"/>
        <v/>
      </c>
      <c r="BO37" s="72" t="str">
        <f t="shared" si="34"/>
        <v/>
      </c>
      <c r="BP37" s="39"/>
      <c r="BQ37" s="72">
        <f t="shared" si="15"/>
        <v>1051200</v>
      </c>
      <c r="BR37" s="72">
        <f t="shared" si="35"/>
        <v>532634.365949295</v>
      </c>
    </row>
    <row r="38" spans="3:70" x14ac:dyDescent="0.15">
      <c r="C38" s="4" t="s">
        <v>570</v>
      </c>
      <c r="D38" s="100"/>
      <c r="E38" s="100"/>
      <c r="F38" s="4"/>
      <c r="G38" s="100"/>
      <c r="I38" s="457">
        <f t="shared" si="36"/>
        <v>2053</v>
      </c>
      <c r="J38" s="71"/>
      <c r="K38" s="71">
        <f t="shared" si="37"/>
        <v>24</v>
      </c>
      <c r="L38" s="71"/>
      <c r="M38" s="7">
        <f t="shared" si="0"/>
        <v>0.49193373633950943</v>
      </c>
      <c r="N38" s="71"/>
      <c r="O38" s="10">
        <f t="shared" si="16"/>
        <v>4.6566128730773926E-9</v>
      </c>
      <c r="P38" s="29" t="str">
        <f t="shared" si="1"/>
        <v>-</v>
      </c>
      <c r="Q38" s="71"/>
      <c r="R38" s="10">
        <f t="shared" si="17"/>
        <v>16211304.363803016</v>
      </c>
      <c r="S38" s="71"/>
      <c r="T38" s="10">
        <f t="shared" si="18"/>
        <v>16211000</v>
      </c>
      <c r="U38" s="71"/>
      <c r="V38" s="10">
        <f t="shared" si="2"/>
        <v>0</v>
      </c>
      <c r="W38" s="10">
        <f t="shared" si="19"/>
        <v>0</v>
      </c>
      <c r="X38" s="71"/>
      <c r="Y38" s="10">
        <f t="shared" si="3"/>
        <v>226900</v>
      </c>
      <c r="Z38" s="10">
        <f t="shared" si="20"/>
        <v>111619.76477543468</v>
      </c>
      <c r="AA38" s="71"/>
      <c r="AB38" s="10">
        <f t="shared" si="4"/>
        <v>0</v>
      </c>
      <c r="AC38" s="10">
        <f t="shared" si="21"/>
        <v>0</v>
      </c>
      <c r="AD38" s="71"/>
      <c r="AE38" s="10">
        <f t="shared" si="5"/>
        <v>260000</v>
      </c>
      <c r="AF38" s="10">
        <f t="shared" si="22"/>
        <v>127902.77144827246</v>
      </c>
      <c r="AG38" s="71"/>
      <c r="AH38" s="10">
        <f t="shared" si="6"/>
        <v>7000000.0000000009</v>
      </c>
      <c r="AI38" s="10">
        <f t="shared" si="23"/>
        <v>3443536.1543765664</v>
      </c>
      <c r="AJ38" s="71"/>
      <c r="AK38" s="10">
        <f t="shared" si="7"/>
        <v>5400000</v>
      </c>
      <c r="AL38" s="10">
        <f t="shared" si="24"/>
        <v>2656442.1762333508</v>
      </c>
      <c r="AM38" s="71"/>
      <c r="AN38" s="10">
        <f t="shared" si="8"/>
        <v>0</v>
      </c>
      <c r="AO38" s="10">
        <f t="shared" si="25"/>
        <v>0</v>
      </c>
      <c r="AP38" s="71"/>
      <c r="AQ38" s="10">
        <f t="shared" si="9"/>
        <v>1736000.0000000002</v>
      </c>
      <c r="AR38" s="10">
        <f t="shared" si="26"/>
        <v>853996.96628538845</v>
      </c>
      <c r="AS38" s="71"/>
      <c r="AT38" s="7">
        <f>IF($K38&lt;=$F$15,IF($F$40&lt;&gt;"",$F$40/1000,IF(ISERROR(VLOOKUP($F$3&amp;IF($G$4&lt;&gt;"",$G$4,"")&amp;IF($F$43&lt;&gt;"","_"&amp;$F$43,""),'表3）燃料価格'!$AF$9:$AG$25,2,0)),0,VLOOKUP($I38,'表3）燃料価格'!$A$6:$U$66,VLOOKUP($F$3&amp;IF($G$4&lt;&gt;"",$G$4,"")&amp;IF($F$43&lt;&gt;"","_"&amp;$F$43,""),'表3）燃料価格'!$AF$9:$AG$25,2,0)+VLOOKUP($F$41,'表3）燃料価格'!$AF$28:$AG$29,2,0),0)*IF($F$43="需要地価格",1,$F$8/$F$141))),"")</f>
        <v>0</v>
      </c>
      <c r="AU38" s="71"/>
      <c r="AV38" s="10">
        <f t="shared" si="10"/>
        <v>0</v>
      </c>
      <c r="AW38" s="10">
        <f t="shared" si="27"/>
        <v>0</v>
      </c>
      <c r="AX38" s="71"/>
      <c r="AY38" s="7">
        <f>IF(ISERROR(IF($K38&lt;=$F$15,VLOOKUP($I38,'表4）CO2価格'!$A$7:$E$67,VLOOKUP($F$48,'表4）CO2価格'!$H$10:$I$12,2,0),0)*$F$8/1000,"")),0,IF($K38&lt;=$F$15,VLOOKUP($I38,'表4）CO2価格'!$A$7:$E$67,VLOOKUP($F$48,'表4）CO2価格'!$H$10:$I$12,2,0),0)*$F$8/1000,""))</f>
        <v>0</v>
      </c>
      <c r="AZ38" s="71"/>
      <c r="BA38" s="11">
        <f t="shared" si="11"/>
        <v>0</v>
      </c>
      <c r="BB38" s="10">
        <f t="shared" si="28"/>
        <v>0</v>
      </c>
      <c r="BC38" s="71"/>
      <c r="BD38" s="10">
        <f t="shared" si="12"/>
        <v>0</v>
      </c>
      <c r="BE38" s="10">
        <f t="shared" si="29"/>
        <v>0</v>
      </c>
      <c r="BF38" s="71"/>
      <c r="BG38" s="11">
        <f t="shared" si="13"/>
        <v>0</v>
      </c>
      <c r="BH38" s="10">
        <f t="shared" si="30"/>
        <v>0</v>
      </c>
      <c r="BJ38" s="7" t="str">
        <f t="shared" si="31"/>
        <v/>
      </c>
      <c r="BK38" s="158" t="str">
        <f t="shared" si="32"/>
        <v/>
      </c>
      <c r="BL38" s="158" t="str">
        <f t="shared" si="14"/>
        <v/>
      </c>
      <c r="BM38" s="10"/>
      <c r="BN38" s="10" t="str">
        <f t="shared" si="33"/>
        <v/>
      </c>
      <c r="BO38" s="10" t="str">
        <f t="shared" si="34"/>
        <v/>
      </c>
      <c r="BQ38" s="10">
        <f t="shared" si="15"/>
        <v>1051200</v>
      </c>
      <c r="BR38" s="10">
        <f t="shared" si="35"/>
        <v>517120.74364009232</v>
      </c>
    </row>
    <row r="39" spans="3:70" x14ac:dyDescent="0.15">
      <c r="I39" s="38">
        <f t="shared" si="36"/>
        <v>2054</v>
      </c>
      <c r="J39" s="39"/>
      <c r="K39" s="39">
        <f t="shared" si="37"/>
        <v>25</v>
      </c>
      <c r="L39" s="39"/>
      <c r="M39" s="40">
        <f t="shared" si="0"/>
        <v>0.47760556926165965</v>
      </c>
      <c r="N39" s="39"/>
      <c r="O39" s="72">
        <f t="shared" si="16"/>
        <v>4.6566128730773926E-9</v>
      </c>
      <c r="P39" s="41" t="str">
        <f t="shared" si="1"/>
        <v>-</v>
      </c>
      <c r="Q39" s="39"/>
      <c r="R39" s="72">
        <f t="shared" si="17"/>
        <v>14600354.95421437</v>
      </c>
      <c r="S39" s="39"/>
      <c r="T39" s="72">
        <f t="shared" si="18"/>
        <v>14600000</v>
      </c>
      <c r="U39" s="39"/>
      <c r="V39" s="72">
        <f t="shared" si="2"/>
        <v>0</v>
      </c>
      <c r="W39" s="72">
        <f t="shared" si="19"/>
        <v>0</v>
      </c>
      <c r="X39" s="39"/>
      <c r="Y39" s="72">
        <f t="shared" si="3"/>
        <v>204400</v>
      </c>
      <c r="Z39" s="72">
        <f t="shared" si="20"/>
        <v>97622.578357083228</v>
      </c>
      <c r="AA39" s="39"/>
      <c r="AB39" s="72">
        <f t="shared" si="4"/>
        <v>0</v>
      </c>
      <c r="AC39" s="72">
        <f t="shared" si="21"/>
        <v>0</v>
      </c>
      <c r="AD39" s="39"/>
      <c r="AE39" s="72">
        <f t="shared" si="5"/>
        <v>260000</v>
      </c>
      <c r="AF39" s="72">
        <f t="shared" si="22"/>
        <v>124177.44800803151</v>
      </c>
      <c r="AG39" s="39"/>
      <c r="AH39" s="72">
        <f t="shared" si="6"/>
        <v>7000000.0000000009</v>
      </c>
      <c r="AI39" s="72">
        <f t="shared" si="23"/>
        <v>3343238.9848316181</v>
      </c>
      <c r="AJ39" s="39"/>
      <c r="AK39" s="72">
        <f t="shared" si="7"/>
        <v>5400000</v>
      </c>
      <c r="AL39" s="72">
        <f t="shared" si="24"/>
        <v>2579070.0740129622</v>
      </c>
      <c r="AM39" s="39"/>
      <c r="AN39" s="72">
        <f t="shared" si="8"/>
        <v>0</v>
      </c>
      <c r="AO39" s="72">
        <f t="shared" si="25"/>
        <v>0</v>
      </c>
      <c r="AP39" s="39"/>
      <c r="AQ39" s="72">
        <f t="shared" si="9"/>
        <v>1736000.0000000002</v>
      </c>
      <c r="AR39" s="72">
        <f t="shared" si="26"/>
        <v>829123.2682382412</v>
      </c>
      <c r="AS39" s="39"/>
      <c r="AT39" s="40">
        <f>IF($K39&lt;=$F$15,IF($F$40&lt;&gt;"",$F$40/1000,IF(ISERROR(VLOOKUP($F$3&amp;IF($G$4&lt;&gt;"",$G$4,"")&amp;IF($F$43&lt;&gt;"","_"&amp;$F$43,""),'表3）燃料価格'!$AF$9:$AG$25,2,0)),0,VLOOKUP($I39,'表3）燃料価格'!$A$6:$U$66,VLOOKUP($F$3&amp;IF($G$4&lt;&gt;"",$G$4,"")&amp;IF($F$43&lt;&gt;"","_"&amp;$F$43,""),'表3）燃料価格'!$AF$9:$AG$25,2,0)+VLOOKUP($F$41,'表3）燃料価格'!$AF$28:$AG$29,2,0),0)*IF($F$43="需要地価格",1,$F$8/$F$141))),"")</f>
        <v>0</v>
      </c>
      <c r="AU39" s="39"/>
      <c r="AV39" s="72">
        <f t="shared" si="10"/>
        <v>0</v>
      </c>
      <c r="AW39" s="72">
        <f t="shared" si="27"/>
        <v>0</v>
      </c>
      <c r="AX39" s="39"/>
      <c r="AY39" s="40">
        <f>IF(ISERROR(IF($K39&lt;=$F$15,VLOOKUP($I39,'表4）CO2価格'!$A$7:$E$67,VLOOKUP($F$48,'表4）CO2価格'!$H$10:$I$12,2,0),0)*$F$8/1000,"")),0,IF($K39&lt;=$F$15,VLOOKUP($I39,'表4）CO2価格'!$A$7:$E$67,VLOOKUP($F$48,'表4）CO2価格'!$H$10:$I$12,2,0),0)*$F$8/1000,""))</f>
        <v>0</v>
      </c>
      <c r="AZ39" s="39"/>
      <c r="BA39" s="42">
        <f t="shared" si="11"/>
        <v>0</v>
      </c>
      <c r="BB39" s="72">
        <f t="shared" si="28"/>
        <v>0</v>
      </c>
      <c r="BC39" s="39"/>
      <c r="BD39" s="72">
        <f t="shared" si="12"/>
        <v>0</v>
      </c>
      <c r="BE39" s="72">
        <f t="shared" si="29"/>
        <v>0</v>
      </c>
      <c r="BF39" s="39"/>
      <c r="BG39" s="42">
        <f t="shared" si="13"/>
        <v>0</v>
      </c>
      <c r="BH39" s="72">
        <f t="shared" si="30"/>
        <v>0</v>
      </c>
      <c r="BI39" s="39"/>
      <c r="BJ39" s="40" t="str">
        <f t="shared" si="31"/>
        <v/>
      </c>
      <c r="BK39" s="157" t="str">
        <f t="shared" si="32"/>
        <v/>
      </c>
      <c r="BL39" s="157" t="str">
        <f t="shared" si="14"/>
        <v/>
      </c>
      <c r="BM39" s="72"/>
      <c r="BN39" s="72" t="str">
        <f t="shared" si="33"/>
        <v/>
      </c>
      <c r="BO39" s="72" t="str">
        <f t="shared" si="34"/>
        <v/>
      </c>
      <c r="BP39" s="39"/>
      <c r="BQ39" s="72">
        <f t="shared" si="15"/>
        <v>1051200</v>
      </c>
      <c r="BR39" s="72">
        <f t="shared" si="35"/>
        <v>502058.97440785664</v>
      </c>
    </row>
    <row r="40" spans="3:70" x14ac:dyDescent="0.15">
      <c r="D40" s="84" t="s">
        <v>124</v>
      </c>
      <c r="F40" s="482"/>
      <c r="G40" s="160" t="s">
        <v>571</v>
      </c>
      <c r="I40" s="457">
        <f t="shared" si="36"/>
        <v>2055</v>
      </c>
      <c r="J40" s="71"/>
      <c r="K40" s="71">
        <f t="shared" si="37"/>
        <v>26</v>
      </c>
      <c r="L40" s="71"/>
      <c r="M40" s="7">
        <f t="shared" si="0"/>
        <v>0.46369472743850448</v>
      </c>
      <c r="N40" s="71"/>
      <c r="O40" s="10">
        <f t="shared" si="16"/>
        <v>4.6566128730773926E-9</v>
      </c>
      <c r="P40" s="29" t="str">
        <f t="shared" si="1"/>
        <v>-</v>
      </c>
      <c r="Q40" s="71"/>
      <c r="R40" s="10">
        <f t="shared" si="17"/>
        <v>13149488.776796021</v>
      </c>
      <c r="S40" s="71"/>
      <c r="T40" s="10">
        <f t="shared" si="18"/>
        <v>13149000</v>
      </c>
      <c r="U40" s="71"/>
      <c r="V40" s="10">
        <f t="shared" si="2"/>
        <v>0</v>
      </c>
      <c r="W40" s="10">
        <f t="shared" si="19"/>
        <v>0</v>
      </c>
      <c r="X40" s="71"/>
      <c r="Y40" s="10">
        <f t="shared" si="3"/>
        <v>184000</v>
      </c>
      <c r="Z40" s="10">
        <f t="shared" si="20"/>
        <v>85319.829848684822</v>
      </c>
      <c r="AA40" s="71"/>
      <c r="AB40" s="10">
        <f t="shared" si="4"/>
        <v>0</v>
      </c>
      <c r="AC40" s="10">
        <f t="shared" si="21"/>
        <v>0</v>
      </c>
      <c r="AD40" s="71"/>
      <c r="AE40" s="10">
        <f t="shared" si="5"/>
        <v>260000</v>
      </c>
      <c r="AF40" s="10">
        <f t="shared" si="22"/>
        <v>120560.62913401116</v>
      </c>
      <c r="AG40" s="71"/>
      <c r="AH40" s="10">
        <f t="shared" si="6"/>
        <v>7000000.0000000009</v>
      </c>
      <c r="AI40" s="10">
        <f t="shared" si="23"/>
        <v>3245863.0920695318</v>
      </c>
      <c r="AJ40" s="71"/>
      <c r="AK40" s="10">
        <f t="shared" si="7"/>
        <v>5400000</v>
      </c>
      <c r="AL40" s="10">
        <f t="shared" si="24"/>
        <v>2503951.5281679244</v>
      </c>
      <c r="AM40" s="71"/>
      <c r="AN40" s="10">
        <f t="shared" si="8"/>
        <v>0</v>
      </c>
      <c r="AO40" s="10">
        <f t="shared" si="25"/>
        <v>0</v>
      </c>
      <c r="AP40" s="71"/>
      <c r="AQ40" s="10">
        <f t="shared" si="9"/>
        <v>1736000.0000000002</v>
      </c>
      <c r="AR40" s="10">
        <f t="shared" si="26"/>
        <v>804974.04683324392</v>
      </c>
      <c r="AS40" s="71"/>
      <c r="AT40" s="7">
        <f>IF($K40&lt;=$F$15,IF($F$40&lt;&gt;"",$F$40/1000,IF(ISERROR(VLOOKUP($F$3&amp;IF($G$4&lt;&gt;"",$G$4,"")&amp;IF($F$43&lt;&gt;"","_"&amp;$F$43,""),'表3）燃料価格'!$AF$9:$AG$25,2,0)),0,VLOOKUP($I40,'表3）燃料価格'!$A$6:$U$66,VLOOKUP($F$3&amp;IF($G$4&lt;&gt;"",$G$4,"")&amp;IF($F$43&lt;&gt;"","_"&amp;$F$43,""),'表3）燃料価格'!$AF$9:$AG$25,2,0)+VLOOKUP($F$41,'表3）燃料価格'!$AF$28:$AG$29,2,0),0)*IF($F$43="需要地価格",1,$F$8/$F$141))),"")</f>
        <v>0</v>
      </c>
      <c r="AU40" s="71"/>
      <c r="AV40" s="10">
        <f t="shared" si="10"/>
        <v>0</v>
      </c>
      <c r="AW40" s="10">
        <f t="shared" si="27"/>
        <v>0</v>
      </c>
      <c r="AX40" s="71"/>
      <c r="AY40" s="7">
        <f>IF(ISERROR(IF($K40&lt;=$F$15,VLOOKUP($I40,'表4）CO2価格'!$A$7:$E$67,VLOOKUP($F$48,'表4）CO2価格'!$H$10:$I$12,2,0),0)*$F$8/1000,"")),0,IF($K40&lt;=$F$15,VLOOKUP($I40,'表4）CO2価格'!$A$7:$E$67,VLOOKUP($F$48,'表4）CO2価格'!$H$10:$I$12,2,0),0)*$F$8/1000,""))</f>
        <v>0</v>
      </c>
      <c r="AZ40" s="71"/>
      <c r="BA40" s="11">
        <f t="shared" si="11"/>
        <v>0</v>
      </c>
      <c r="BB40" s="10">
        <f t="shared" si="28"/>
        <v>0</v>
      </c>
      <c r="BC40" s="71"/>
      <c r="BD40" s="10">
        <f t="shared" si="12"/>
        <v>0</v>
      </c>
      <c r="BE40" s="10">
        <f t="shared" si="29"/>
        <v>0</v>
      </c>
      <c r="BF40" s="71"/>
      <c r="BG40" s="11">
        <f t="shared" si="13"/>
        <v>0</v>
      </c>
      <c r="BH40" s="10">
        <f t="shared" si="30"/>
        <v>0</v>
      </c>
      <c r="BJ40" s="7" t="str">
        <f t="shared" si="31"/>
        <v/>
      </c>
      <c r="BK40" s="158" t="str">
        <f t="shared" si="32"/>
        <v/>
      </c>
      <c r="BL40" s="158" t="str">
        <f t="shared" si="14"/>
        <v/>
      </c>
      <c r="BM40" s="10"/>
      <c r="BN40" s="10" t="str">
        <f t="shared" si="33"/>
        <v/>
      </c>
      <c r="BO40" s="10" t="str">
        <f t="shared" si="34"/>
        <v/>
      </c>
      <c r="BQ40" s="10">
        <f t="shared" si="15"/>
        <v>1051200</v>
      </c>
      <c r="BR40" s="10">
        <f t="shared" si="35"/>
        <v>487435.89748335589</v>
      </c>
    </row>
    <row r="41" spans="3:70" x14ac:dyDescent="0.15">
      <c r="D41" s="84" t="s">
        <v>572</v>
      </c>
      <c r="F41" s="474"/>
      <c r="I41" s="38">
        <f t="shared" si="36"/>
        <v>2056</v>
      </c>
      <c r="J41" s="39"/>
      <c r="K41" s="39">
        <f t="shared" si="37"/>
        <v>27</v>
      </c>
      <c r="L41" s="39"/>
      <c r="M41" s="40">
        <f t="shared" si="0"/>
        <v>0.45018905576553836</v>
      </c>
      <c r="N41" s="39"/>
      <c r="O41" s="72">
        <f t="shared" si="16"/>
        <v>4.6566128730773926E-9</v>
      </c>
      <c r="P41" s="41" t="str">
        <f t="shared" si="1"/>
        <v>-</v>
      </c>
      <c r="Q41" s="39"/>
      <c r="R41" s="72">
        <f t="shared" si="17"/>
        <v>11842798.043836227</v>
      </c>
      <c r="S41" s="39"/>
      <c r="T41" s="72">
        <f t="shared" si="18"/>
        <v>11842000</v>
      </c>
      <c r="U41" s="39"/>
      <c r="V41" s="72">
        <f t="shared" si="2"/>
        <v>0</v>
      </c>
      <c r="W41" s="72">
        <f t="shared" si="19"/>
        <v>0</v>
      </c>
      <c r="X41" s="39"/>
      <c r="Y41" s="72">
        <f t="shared" si="3"/>
        <v>165700</v>
      </c>
      <c r="Z41" s="72">
        <f t="shared" si="20"/>
        <v>74596.326540349706</v>
      </c>
      <c r="AA41" s="39"/>
      <c r="AB41" s="72">
        <f t="shared" si="4"/>
        <v>0</v>
      </c>
      <c r="AC41" s="72">
        <f t="shared" si="21"/>
        <v>0</v>
      </c>
      <c r="AD41" s="39"/>
      <c r="AE41" s="72">
        <f t="shared" si="5"/>
        <v>260000</v>
      </c>
      <c r="AF41" s="72">
        <f t="shared" si="22"/>
        <v>117049.15449903997</v>
      </c>
      <c r="AG41" s="39"/>
      <c r="AH41" s="72">
        <f t="shared" si="6"/>
        <v>7000000.0000000009</v>
      </c>
      <c r="AI41" s="72">
        <f t="shared" si="23"/>
        <v>3151323.3903587689</v>
      </c>
      <c r="AJ41" s="39"/>
      <c r="AK41" s="72">
        <f t="shared" si="7"/>
        <v>5400000</v>
      </c>
      <c r="AL41" s="72">
        <f t="shared" si="24"/>
        <v>2431020.901133907</v>
      </c>
      <c r="AM41" s="39"/>
      <c r="AN41" s="72">
        <f t="shared" si="8"/>
        <v>0</v>
      </c>
      <c r="AO41" s="72">
        <f t="shared" si="25"/>
        <v>0</v>
      </c>
      <c r="AP41" s="39"/>
      <c r="AQ41" s="72">
        <f t="shared" si="9"/>
        <v>1736000.0000000002</v>
      </c>
      <c r="AR41" s="72">
        <f t="shared" si="26"/>
        <v>781528.20080897468</v>
      </c>
      <c r="AS41" s="39"/>
      <c r="AT41" s="40">
        <f>IF($K41&lt;=$F$15,IF($F$40&lt;&gt;"",$F$40/1000,IF(ISERROR(VLOOKUP($F$3&amp;IF($G$4&lt;&gt;"",$G$4,"")&amp;IF($F$43&lt;&gt;"","_"&amp;$F$43,""),'表3）燃料価格'!$AF$9:$AG$25,2,0)),0,VLOOKUP($I41,'表3）燃料価格'!$A$6:$U$66,VLOOKUP($F$3&amp;IF($G$4&lt;&gt;"",$G$4,"")&amp;IF($F$43&lt;&gt;"","_"&amp;$F$43,""),'表3）燃料価格'!$AF$9:$AG$25,2,0)+VLOOKUP($F$41,'表3）燃料価格'!$AF$28:$AG$29,2,0),0)*IF($F$43="需要地価格",1,$F$8/$F$141))),"")</f>
        <v>0</v>
      </c>
      <c r="AU41" s="39"/>
      <c r="AV41" s="72">
        <f t="shared" si="10"/>
        <v>0</v>
      </c>
      <c r="AW41" s="72">
        <f t="shared" si="27"/>
        <v>0</v>
      </c>
      <c r="AX41" s="39"/>
      <c r="AY41" s="40">
        <f>IF(ISERROR(IF($K41&lt;=$F$15,VLOOKUP($I41,'表4）CO2価格'!$A$7:$E$67,VLOOKUP($F$48,'表4）CO2価格'!$H$10:$I$12,2,0),0)*$F$8/1000,"")),0,IF($K41&lt;=$F$15,VLOOKUP($I41,'表4）CO2価格'!$A$7:$E$67,VLOOKUP($F$48,'表4）CO2価格'!$H$10:$I$12,2,0),0)*$F$8/1000,""))</f>
        <v>0</v>
      </c>
      <c r="AZ41" s="39"/>
      <c r="BA41" s="42">
        <f t="shared" si="11"/>
        <v>0</v>
      </c>
      <c r="BB41" s="72">
        <f t="shared" si="28"/>
        <v>0</v>
      </c>
      <c r="BC41" s="39"/>
      <c r="BD41" s="72">
        <f t="shared" si="12"/>
        <v>0</v>
      </c>
      <c r="BE41" s="72">
        <f t="shared" si="29"/>
        <v>0</v>
      </c>
      <c r="BF41" s="39"/>
      <c r="BG41" s="42">
        <f t="shared" si="13"/>
        <v>0</v>
      </c>
      <c r="BH41" s="72">
        <f t="shared" si="30"/>
        <v>0</v>
      </c>
      <c r="BI41" s="39"/>
      <c r="BJ41" s="40" t="str">
        <f t="shared" si="31"/>
        <v/>
      </c>
      <c r="BK41" s="157" t="str">
        <f t="shared" si="32"/>
        <v/>
      </c>
      <c r="BL41" s="157" t="str">
        <f t="shared" si="14"/>
        <v/>
      </c>
      <c r="BM41" s="72"/>
      <c r="BN41" s="72" t="str">
        <f t="shared" si="33"/>
        <v/>
      </c>
      <c r="BO41" s="72" t="str">
        <f t="shared" si="34"/>
        <v/>
      </c>
      <c r="BP41" s="39"/>
      <c r="BQ41" s="72">
        <f t="shared" si="15"/>
        <v>1051200</v>
      </c>
      <c r="BR41" s="72">
        <f t="shared" si="35"/>
        <v>473238.73542073392</v>
      </c>
    </row>
    <row r="42" spans="3:70" x14ac:dyDescent="0.15">
      <c r="D42" s="84" t="s">
        <v>573</v>
      </c>
      <c r="F42" s="481"/>
      <c r="G42" s="84" t="s">
        <v>574</v>
      </c>
      <c r="I42" s="457">
        <f t="shared" si="36"/>
        <v>2057</v>
      </c>
      <c r="J42" s="71"/>
      <c r="K42" s="71">
        <f t="shared" si="37"/>
        <v>28</v>
      </c>
      <c r="L42" s="71"/>
      <c r="M42" s="7">
        <f t="shared" si="0"/>
        <v>0.4370767531704256</v>
      </c>
      <c r="N42" s="71"/>
      <c r="O42" s="10">
        <f t="shared" si="16"/>
        <v>4.6566128730773926E-9</v>
      </c>
      <c r="P42" s="29" t="str">
        <f t="shared" si="1"/>
        <v>-</v>
      </c>
      <c r="Q42" s="71"/>
      <c r="R42" s="10">
        <f t="shared" si="17"/>
        <v>10665955.755982222</v>
      </c>
      <c r="S42" s="71"/>
      <c r="T42" s="10">
        <f t="shared" si="18"/>
        <v>10665000</v>
      </c>
      <c r="U42" s="71"/>
      <c r="V42" s="10">
        <f t="shared" si="2"/>
        <v>0</v>
      </c>
      <c r="W42" s="10">
        <f t="shared" si="19"/>
        <v>0</v>
      </c>
      <c r="X42" s="71"/>
      <c r="Y42" s="10">
        <f t="shared" si="3"/>
        <v>149300</v>
      </c>
      <c r="Z42" s="10">
        <f t="shared" si="20"/>
        <v>65255.559248344543</v>
      </c>
      <c r="AA42" s="71"/>
      <c r="AB42" s="10">
        <f t="shared" si="4"/>
        <v>0</v>
      </c>
      <c r="AC42" s="10">
        <f t="shared" si="21"/>
        <v>0</v>
      </c>
      <c r="AD42" s="71"/>
      <c r="AE42" s="10">
        <f t="shared" si="5"/>
        <v>260000</v>
      </c>
      <c r="AF42" s="10">
        <f t="shared" si="22"/>
        <v>113639.95582431066</v>
      </c>
      <c r="AG42" s="71"/>
      <c r="AH42" s="10">
        <f t="shared" si="6"/>
        <v>7000000.0000000009</v>
      </c>
      <c r="AI42" s="10">
        <f t="shared" si="23"/>
        <v>3059537.2721929797</v>
      </c>
      <c r="AJ42" s="71"/>
      <c r="AK42" s="10">
        <f t="shared" si="7"/>
        <v>5400000</v>
      </c>
      <c r="AL42" s="10">
        <f t="shared" si="24"/>
        <v>2360214.4671202982</v>
      </c>
      <c r="AM42" s="71"/>
      <c r="AN42" s="10">
        <f t="shared" si="8"/>
        <v>0</v>
      </c>
      <c r="AO42" s="10">
        <f t="shared" si="25"/>
        <v>0</v>
      </c>
      <c r="AP42" s="71"/>
      <c r="AQ42" s="10">
        <f t="shared" si="9"/>
        <v>1736000.0000000002</v>
      </c>
      <c r="AR42" s="10">
        <f t="shared" si="26"/>
        <v>758765.24350385892</v>
      </c>
      <c r="AS42" s="71"/>
      <c r="AT42" s="7">
        <f>IF($K42&lt;=$F$15,IF($F$40&lt;&gt;"",$F$40/1000,IF(ISERROR(VLOOKUP($F$3&amp;IF($G$4&lt;&gt;"",$G$4,"")&amp;IF($F$43&lt;&gt;"","_"&amp;$F$43,""),'表3）燃料価格'!$AF$9:$AG$25,2,0)),0,VLOOKUP($I42,'表3）燃料価格'!$A$6:$U$66,VLOOKUP($F$3&amp;IF($G$4&lt;&gt;"",$G$4,"")&amp;IF($F$43&lt;&gt;"","_"&amp;$F$43,""),'表3）燃料価格'!$AF$9:$AG$25,2,0)+VLOOKUP($F$41,'表3）燃料価格'!$AF$28:$AG$29,2,0),0)*IF($F$43="需要地価格",1,$F$8/$F$141))),"")</f>
        <v>0</v>
      </c>
      <c r="AU42" s="71"/>
      <c r="AV42" s="10">
        <f t="shared" si="10"/>
        <v>0</v>
      </c>
      <c r="AW42" s="10">
        <f t="shared" si="27"/>
        <v>0</v>
      </c>
      <c r="AX42" s="71"/>
      <c r="AY42" s="7">
        <f>IF(ISERROR(IF($K42&lt;=$F$15,VLOOKUP($I42,'表4）CO2価格'!$A$7:$E$67,VLOOKUP($F$48,'表4）CO2価格'!$H$10:$I$12,2,0),0)*$F$8/1000,"")),0,IF($K42&lt;=$F$15,VLOOKUP($I42,'表4）CO2価格'!$A$7:$E$67,VLOOKUP($F$48,'表4）CO2価格'!$H$10:$I$12,2,0),0)*$F$8/1000,""))</f>
        <v>0</v>
      </c>
      <c r="AZ42" s="71"/>
      <c r="BA42" s="11">
        <f t="shared" si="11"/>
        <v>0</v>
      </c>
      <c r="BB42" s="10">
        <f t="shared" si="28"/>
        <v>0</v>
      </c>
      <c r="BC42" s="71"/>
      <c r="BD42" s="10">
        <f t="shared" si="12"/>
        <v>0</v>
      </c>
      <c r="BE42" s="10">
        <f t="shared" si="29"/>
        <v>0</v>
      </c>
      <c r="BF42" s="71"/>
      <c r="BG42" s="11">
        <f t="shared" si="13"/>
        <v>0</v>
      </c>
      <c r="BH42" s="10">
        <f t="shared" si="30"/>
        <v>0</v>
      </c>
      <c r="BJ42" s="7" t="str">
        <f t="shared" si="31"/>
        <v/>
      </c>
      <c r="BK42" s="158" t="str">
        <f t="shared" si="32"/>
        <v/>
      </c>
      <c r="BL42" s="158" t="str">
        <f t="shared" si="14"/>
        <v/>
      </c>
      <c r="BM42" s="10"/>
      <c r="BN42" s="10" t="str">
        <f t="shared" si="33"/>
        <v/>
      </c>
      <c r="BO42" s="10" t="str">
        <f t="shared" si="34"/>
        <v/>
      </c>
      <c r="BQ42" s="10">
        <f t="shared" si="15"/>
        <v>1051200</v>
      </c>
      <c r="BR42" s="10">
        <f t="shared" si="35"/>
        <v>459455.08293275139</v>
      </c>
    </row>
    <row r="43" spans="3:70" x14ac:dyDescent="0.15">
      <c r="D43" s="160" t="s">
        <v>126</v>
      </c>
      <c r="F43" s="474"/>
      <c r="I43" s="38">
        <f t="shared" si="36"/>
        <v>2058</v>
      </c>
      <c r="J43" s="39"/>
      <c r="K43" s="39">
        <f t="shared" si="37"/>
        <v>29</v>
      </c>
      <c r="L43" s="39"/>
      <c r="M43" s="40">
        <f t="shared" si="0"/>
        <v>0.42434636230138412</v>
      </c>
      <c r="N43" s="39"/>
      <c r="O43" s="72">
        <f t="shared" si="16"/>
        <v>4.6566128730773926E-9</v>
      </c>
      <c r="P43" s="41" t="str">
        <f t="shared" si="1"/>
        <v>-</v>
      </c>
      <c r="Q43" s="39"/>
      <c r="R43" s="72">
        <f t="shared" si="17"/>
        <v>9606058.61617136</v>
      </c>
      <c r="S43" s="39"/>
      <c r="T43" s="72">
        <f t="shared" si="18"/>
        <v>9606000</v>
      </c>
      <c r="U43" s="39"/>
      <c r="V43" s="72">
        <f t="shared" si="2"/>
        <v>0</v>
      </c>
      <c r="W43" s="72">
        <f t="shared" si="19"/>
        <v>0</v>
      </c>
      <c r="X43" s="39"/>
      <c r="Y43" s="72">
        <f t="shared" si="3"/>
        <v>134400</v>
      </c>
      <c r="Z43" s="72">
        <f t="shared" si="20"/>
        <v>57032.151093306027</v>
      </c>
      <c r="AA43" s="39"/>
      <c r="AB43" s="72">
        <f t="shared" si="4"/>
        <v>0</v>
      </c>
      <c r="AC43" s="72">
        <f t="shared" si="21"/>
        <v>0</v>
      </c>
      <c r="AD43" s="39"/>
      <c r="AE43" s="72">
        <f t="shared" si="5"/>
        <v>260000</v>
      </c>
      <c r="AF43" s="72">
        <f t="shared" si="22"/>
        <v>110330.05419835987</v>
      </c>
      <c r="AG43" s="39"/>
      <c r="AH43" s="72">
        <f t="shared" si="6"/>
        <v>7000000.0000000009</v>
      </c>
      <c r="AI43" s="72">
        <f t="shared" si="23"/>
        <v>2970424.5361096892</v>
      </c>
      <c r="AJ43" s="39"/>
      <c r="AK43" s="72">
        <f t="shared" si="7"/>
        <v>5400000</v>
      </c>
      <c r="AL43" s="72">
        <f t="shared" si="24"/>
        <v>2291470.3564274744</v>
      </c>
      <c r="AM43" s="39"/>
      <c r="AN43" s="72">
        <f t="shared" si="8"/>
        <v>0</v>
      </c>
      <c r="AO43" s="72">
        <f t="shared" si="25"/>
        <v>0</v>
      </c>
      <c r="AP43" s="39"/>
      <c r="AQ43" s="72">
        <f t="shared" si="9"/>
        <v>1736000.0000000002</v>
      </c>
      <c r="AR43" s="72">
        <f t="shared" si="26"/>
        <v>736665.28495520295</v>
      </c>
      <c r="AS43" s="39"/>
      <c r="AT43" s="40">
        <f>IF($K43&lt;=$F$15,IF($F$40&lt;&gt;"",$F$40/1000,IF(ISERROR(VLOOKUP($F$3&amp;IF($G$4&lt;&gt;"",$G$4,"")&amp;IF($F$43&lt;&gt;"","_"&amp;$F$43,""),'表3）燃料価格'!$AF$9:$AG$25,2,0)),0,VLOOKUP($I43,'表3）燃料価格'!$A$6:$U$66,VLOOKUP($F$3&amp;IF($G$4&lt;&gt;"",$G$4,"")&amp;IF($F$43&lt;&gt;"","_"&amp;$F$43,""),'表3）燃料価格'!$AF$9:$AG$25,2,0)+VLOOKUP($F$41,'表3）燃料価格'!$AF$28:$AG$29,2,0),0)*IF($F$43="需要地価格",1,$F$8/$F$141))),"")</f>
        <v>0</v>
      </c>
      <c r="AU43" s="39"/>
      <c r="AV43" s="72">
        <f t="shared" si="10"/>
        <v>0</v>
      </c>
      <c r="AW43" s="72">
        <f t="shared" si="27"/>
        <v>0</v>
      </c>
      <c r="AX43" s="39"/>
      <c r="AY43" s="40">
        <f>IF(ISERROR(IF($K43&lt;=$F$15,VLOOKUP($I43,'表4）CO2価格'!$A$7:$E$67,VLOOKUP($F$48,'表4）CO2価格'!$H$10:$I$12,2,0),0)*$F$8/1000,"")),0,IF($K43&lt;=$F$15,VLOOKUP($I43,'表4）CO2価格'!$A$7:$E$67,VLOOKUP($F$48,'表4）CO2価格'!$H$10:$I$12,2,0),0)*$F$8/1000,""))</f>
        <v>0</v>
      </c>
      <c r="AZ43" s="39"/>
      <c r="BA43" s="42">
        <f t="shared" si="11"/>
        <v>0</v>
      </c>
      <c r="BB43" s="72">
        <f t="shared" si="28"/>
        <v>0</v>
      </c>
      <c r="BC43" s="39"/>
      <c r="BD43" s="72">
        <f t="shared" si="12"/>
        <v>0</v>
      </c>
      <c r="BE43" s="72">
        <f t="shared" si="29"/>
        <v>0</v>
      </c>
      <c r="BF43" s="39"/>
      <c r="BG43" s="42">
        <f t="shared" si="13"/>
        <v>0</v>
      </c>
      <c r="BH43" s="72">
        <f t="shared" si="30"/>
        <v>0</v>
      </c>
      <c r="BI43" s="39"/>
      <c r="BJ43" s="40" t="str">
        <f t="shared" si="31"/>
        <v/>
      </c>
      <c r="BK43" s="157" t="str">
        <f t="shared" si="32"/>
        <v/>
      </c>
      <c r="BL43" s="157" t="str">
        <f t="shared" si="14"/>
        <v/>
      </c>
      <c r="BM43" s="72"/>
      <c r="BN43" s="72" t="str">
        <f t="shared" si="33"/>
        <v/>
      </c>
      <c r="BO43" s="72" t="str">
        <f t="shared" si="34"/>
        <v/>
      </c>
      <c r="BP43" s="39"/>
      <c r="BQ43" s="72">
        <f t="shared" si="15"/>
        <v>1051200</v>
      </c>
      <c r="BR43" s="72">
        <f t="shared" si="35"/>
        <v>446072.89605121501</v>
      </c>
    </row>
    <row r="44" spans="3:70" x14ac:dyDescent="0.15">
      <c r="I44" s="457">
        <f t="shared" si="36"/>
        <v>2059</v>
      </c>
      <c r="J44" s="71"/>
      <c r="K44" s="71">
        <f t="shared" si="37"/>
        <v>30</v>
      </c>
      <c r="L44" s="71"/>
      <c r="M44" s="7">
        <f t="shared" si="0"/>
        <v>0.41198675951590691</v>
      </c>
      <c r="N44" s="71"/>
      <c r="O44" s="10">
        <f t="shared" si="16"/>
        <v>4.6566128730773926E-9</v>
      </c>
      <c r="P44" s="29" t="str">
        <f t="shared" si="1"/>
        <v>-</v>
      </c>
      <c r="Q44" s="71"/>
      <c r="R44" s="10">
        <f t="shared" si="17"/>
        <v>9000000</v>
      </c>
      <c r="S44" s="71"/>
      <c r="T44" s="10">
        <f t="shared" si="18"/>
        <v>9000000</v>
      </c>
      <c r="U44" s="71"/>
      <c r="V44" s="10">
        <f t="shared" si="2"/>
        <v>0</v>
      </c>
      <c r="W44" s="10">
        <f t="shared" si="19"/>
        <v>0</v>
      </c>
      <c r="X44" s="71"/>
      <c r="Y44" s="10">
        <f t="shared" si="3"/>
        <v>126000</v>
      </c>
      <c r="Z44" s="10">
        <f t="shared" si="20"/>
        <v>51910.331699004273</v>
      </c>
      <c r="AA44" s="71"/>
      <c r="AB44" s="10">
        <f t="shared" si="4"/>
        <v>0</v>
      </c>
      <c r="AC44" s="10">
        <f t="shared" si="21"/>
        <v>0</v>
      </c>
      <c r="AD44" s="71"/>
      <c r="AE44" s="10">
        <f t="shared" si="5"/>
        <v>260000</v>
      </c>
      <c r="AF44" s="10">
        <f t="shared" si="22"/>
        <v>107116.5574741358</v>
      </c>
      <c r="AG44" s="71"/>
      <c r="AH44" s="10">
        <f t="shared" si="6"/>
        <v>7000000.0000000009</v>
      </c>
      <c r="AI44" s="10">
        <f t="shared" si="23"/>
        <v>2883907.3166113487</v>
      </c>
      <c r="AJ44" s="71"/>
      <c r="AK44" s="10">
        <f t="shared" si="7"/>
        <v>5400000</v>
      </c>
      <c r="AL44" s="10">
        <f t="shared" si="24"/>
        <v>2224728.5013858974</v>
      </c>
      <c r="AM44" s="71"/>
      <c r="AN44" s="10">
        <f t="shared" si="8"/>
        <v>0</v>
      </c>
      <c r="AO44" s="10">
        <f t="shared" si="25"/>
        <v>0</v>
      </c>
      <c r="AP44" s="71"/>
      <c r="AQ44" s="10">
        <f t="shared" si="9"/>
        <v>1736000.0000000002</v>
      </c>
      <c r="AR44" s="10">
        <f t="shared" si="26"/>
        <v>715209.01451961452</v>
      </c>
      <c r="AS44" s="71"/>
      <c r="AT44" s="7">
        <f>IF($K44&lt;=$F$15,IF($F$40&lt;&gt;"",$F$40/1000,IF(ISERROR(VLOOKUP($F$3&amp;IF($G$4&lt;&gt;"",$G$4,"")&amp;IF($F$43&lt;&gt;"","_"&amp;$F$43,""),'表3）燃料価格'!$AF$9:$AG$25,2,0)),0,VLOOKUP($I44,'表3）燃料価格'!$A$6:$U$66,VLOOKUP($F$3&amp;IF($G$4&lt;&gt;"",$G$4,"")&amp;IF($F$43&lt;&gt;"","_"&amp;$F$43,""),'表3）燃料価格'!$AF$9:$AG$25,2,0)+VLOOKUP($F$41,'表3）燃料価格'!$AF$28:$AG$29,2,0),0)*IF($F$43="需要地価格",1,$F$8/$F$141))),"")</f>
        <v>0</v>
      </c>
      <c r="AU44" s="71"/>
      <c r="AV44" s="10">
        <f t="shared" si="10"/>
        <v>0</v>
      </c>
      <c r="AW44" s="10">
        <f t="shared" si="27"/>
        <v>0</v>
      </c>
      <c r="AX44" s="71"/>
      <c r="AY44" s="7">
        <f>IF(ISERROR(IF($K44&lt;=$F$15,VLOOKUP($I44,'表4）CO2価格'!$A$7:$E$67,VLOOKUP($F$48,'表4）CO2価格'!$H$10:$I$12,2,0),0)*$F$8/1000,"")),0,IF($K44&lt;=$F$15,VLOOKUP($I44,'表4）CO2価格'!$A$7:$E$67,VLOOKUP($F$48,'表4）CO2価格'!$H$10:$I$12,2,0),0)*$F$8/1000,""))</f>
        <v>0</v>
      </c>
      <c r="AZ44" s="71"/>
      <c r="BA44" s="11">
        <f t="shared" si="11"/>
        <v>0</v>
      </c>
      <c r="BB44" s="10">
        <f t="shared" si="28"/>
        <v>0</v>
      </c>
      <c r="BC44" s="71"/>
      <c r="BD44" s="10">
        <f t="shared" si="12"/>
        <v>0</v>
      </c>
      <c r="BE44" s="10">
        <f t="shared" si="29"/>
        <v>0</v>
      </c>
      <c r="BF44" s="71"/>
      <c r="BG44" s="11">
        <f t="shared" si="13"/>
        <v>0</v>
      </c>
      <c r="BH44" s="10">
        <f t="shared" si="30"/>
        <v>0</v>
      </c>
      <c r="BJ44" s="7" t="str">
        <f t="shared" si="31"/>
        <v/>
      </c>
      <c r="BK44" s="158" t="str">
        <f t="shared" si="32"/>
        <v/>
      </c>
      <c r="BL44" s="158" t="str">
        <f t="shared" si="14"/>
        <v/>
      </c>
      <c r="BM44" s="10"/>
      <c r="BN44" s="10" t="str">
        <f t="shared" si="33"/>
        <v/>
      </c>
      <c r="BO44" s="10" t="str">
        <f t="shared" si="34"/>
        <v/>
      </c>
      <c r="BQ44" s="10">
        <f t="shared" si="15"/>
        <v>1051200</v>
      </c>
      <c r="BR44" s="10">
        <f t="shared" si="35"/>
        <v>433080.48160312133</v>
      </c>
    </row>
    <row r="45" spans="3:70" x14ac:dyDescent="0.15">
      <c r="C45" s="4" t="s">
        <v>575</v>
      </c>
      <c r="D45" s="100"/>
      <c r="E45" s="100"/>
      <c r="F45" s="4"/>
      <c r="G45" s="100"/>
      <c r="I45" s="38">
        <f t="shared" si="36"/>
        <v>2060</v>
      </c>
      <c r="J45" s="39"/>
      <c r="K45" s="39">
        <f t="shared" si="37"/>
        <v>31</v>
      </c>
      <c r="L45" s="39"/>
      <c r="M45" s="40">
        <f t="shared" si="0"/>
        <v>0.39998714516107459</v>
      </c>
      <c r="N45" s="39"/>
      <c r="O45" s="72">
        <f t="shared" si="16"/>
        <v>4.6566128730773926E-9</v>
      </c>
      <c r="P45" s="41" t="str">
        <f t="shared" si="1"/>
        <v>-</v>
      </c>
      <c r="Q45" s="39"/>
      <c r="R45" s="72">
        <f t="shared" si="17"/>
        <v>9000000</v>
      </c>
      <c r="S45" s="39"/>
      <c r="T45" s="72">
        <f t="shared" si="18"/>
        <v>9000000</v>
      </c>
      <c r="U45" s="39"/>
      <c r="V45" s="72">
        <f t="shared" si="2"/>
        <v>0</v>
      </c>
      <c r="W45" s="72">
        <f t="shared" si="19"/>
        <v>0</v>
      </c>
      <c r="X45" s="39"/>
      <c r="Y45" s="72">
        <f t="shared" si="3"/>
        <v>126000</v>
      </c>
      <c r="Z45" s="72">
        <f t="shared" si="20"/>
        <v>50398.380290295398</v>
      </c>
      <c r="AA45" s="39"/>
      <c r="AB45" s="72">
        <f t="shared" si="4"/>
        <v>0</v>
      </c>
      <c r="AC45" s="72">
        <f t="shared" si="21"/>
        <v>0</v>
      </c>
      <c r="AD45" s="39"/>
      <c r="AE45" s="72">
        <f t="shared" si="5"/>
        <v>260000</v>
      </c>
      <c r="AF45" s="72">
        <f t="shared" si="22"/>
        <v>103996.65774187939</v>
      </c>
      <c r="AG45" s="39"/>
      <c r="AH45" s="72">
        <f t="shared" si="6"/>
        <v>7000000.0000000009</v>
      </c>
      <c r="AI45" s="72">
        <f t="shared" si="23"/>
        <v>2799910.0161275226</v>
      </c>
      <c r="AJ45" s="39"/>
      <c r="AK45" s="72">
        <f t="shared" si="7"/>
        <v>5400000</v>
      </c>
      <c r="AL45" s="72">
        <f t="shared" si="24"/>
        <v>2159930.5838698028</v>
      </c>
      <c r="AM45" s="39"/>
      <c r="AN45" s="72">
        <f t="shared" si="8"/>
        <v>0</v>
      </c>
      <c r="AO45" s="72">
        <f t="shared" si="25"/>
        <v>0</v>
      </c>
      <c r="AP45" s="39"/>
      <c r="AQ45" s="72">
        <f t="shared" si="9"/>
        <v>1736000.0000000002</v>
      </c>
      <c r="AR45" s="72">
        <f t="shared" si="26"/>
        <v>694377.68399962562</v>
      </c>
      <c r="AS45" s="39"/>
      <c r="AT45" s="40">
        <f>IF($K45&lt;=$F$15,IF($F$40&lt;&gt;"",$F$40/1000,IF(ISERROR(VLOOKUP($F$3&amp;IF($G$4&lt;&gt;"",$G$4,"")&amp;IF($F$43&lt;&gt;"","_"&amp;$F$43,""),'表3）燃料価格'!$AF$9:$AG$25,2,0)),0,VLOOKUP($I45,'表3）燃料価格'!$A$6:$U$66,VLOOKUP($F$3&amp;IF($G$4&lt;&gt;"",$G$4,"")&amp;IF($F$43&lt;&gt;"","_"&amp;$F$43,""),'表3）燃料価格'!$AF$9:$AG$25,2,0)+VLOOKUP($F$41,'表3）燃料価格'!$AF$28:$AG$29,2,0),0)*IF($F$43="需要地価格",1,$F$8/$F$141))),"")</f>
        <v>0</v>
      </c>
      <c r="AU45" s="39"/>
      <c r="AV45" s="72">
        <f t="shared" si="10"/>
        <v>0</v>
      </c>
      <c r="AW45" s="72">
        <f t="shared" si="27"/>
        <v>0</v>
      </c>
      <c r="AX45" s="39"/>
      <c r="AY45" s="40">
        <f>IF(ISERROR(IF($K45&lt;=$F$15,VLOOKUP($I45,'表4）CO2価格'!$A$7:$E$67,VLOOKUP($F$48,'表4）CO2価格'!$H$10:$I$12,2,0),0)*$F$8/1000,"")),0,IF($K45&lt;=$F$15,VLOOKUP($I45,'表4）CO2価格'!$A$7:$E$67,VLOOKUP($F$48,'表4）CO2価格'!$H$10:$I$12,2,0),0)*$F$8/1000,""))</f>
        <v>0</v>
      </c>
      <c r="AZ45" s="39"/>
      <c r="BA45" s="42">
        <f t="shared" si="11"/>
        <v>0</v>
      </c>
      <c r="BB45" s="72">
        <f t="shared" si="28"/>
        <v>0</v>
      </c>
      <c r="BC45" s="39"/>
      <c r="BD45" s="72">
        <f t="shared" si="12"/>
        <v>0</v>
      </c>
      <c r="BE45" s="72">
        <f t="shared" si="29"/>
        <v>0</v>
      </c>
      <c r="BF45" s="39"/>
      <c r="BG45" s="42">
        <f t="shared" si="13"/>
        <v>0</v>
      </c>
      <c r="BH45" s="72">
        <f t="shared" si="30"/>
        <v>0</v>
      </c>
      <c r="BI45" s="39"/>
      <c r="BJ45" s="40" t="str">
        <f t="shared" si="31"/>
        <v/>
      </c>
      <c r="BK45" s="157" t="str">
        <f t="shared" si="32"/>
        <v/>
      </c>
      <c r="BL45" s="157" t="str">
        <f t="shared" si="14"/>
        <v/>
      </c>
      <c r="BM45" s="72"/>
      <c r="BN45" s="72" t="str">
        <f t="shared" si="33"/>
        <v/>
      </c>
      <c r="BO45" s="72" t="str">
        <f t="shared" si="34"/>
        <v/>
      </c>
      <c r="BP45" s="39"/>
      <c r="BQ45" s="72">
        <f t="shared" si="15"/>
        <v>1051200</v>
      </c>
      <c r="BR45" s="72">
        <f t="shared" si="35"/>
        <v>420466.48699332163</v>
      </c>
    </row>
    <row r="46" spans="3:70" x14ac:dyDescent="0.15">
      <c r="I46" s="457">
        <f t="shared" si="36"/>
        <v>2061</v>
      </c>
      <c r="J46" s="71"/>
      <c r="K46" s="71">
        <f t="shared" si="37"/>
        <v>32</v>
      </c>
      <c r="L46" s="71"/>
      <c r="M46" s="7">
        <f t="shared" si="0"/>
        <v>0.38833703413696569</v>
      </c>
      <c r="N46" s="71"/>
      <c r="O46" s="10">
        <f t="shared" si="16"/>
        <v>4.6566128730773926E-9</v>
      </c>
      <c r="P46" s="29" t="str">
        <f t="shared" si="1"/>
        <v>-</v>
      </c>
      <c r="Q46" s="71"/>
      <c r="R46" s="10">
        <f t="shared" si="17"/>
        <v>9000000</v>
      </c>
      <c r="S46" s="71"/>
      <c r="T46" s="10">
        <f t="shared" si="18"/>
        <v>9000000</v>
      </c>
      <c r="U46" s="71"/>
      <c r="V46" s="10">
        <f t="shared" si="2"/>
        <v>0</v>
      </c>
      <c r="W46" s="10">
        <f t="shared" si="19"/>
        <v>0</v>
      </c>
      <c r="X46" s="71"/>
      <c r="Y46" s="10">
        <f t="shared" si="3"/>
        <v>126000</v>
      </c>
      <c r="Z46" s="10">
        <f t="shared" si="20"/>
        <v>48930.466301257678</v>
      </c>
      <c r="AA46" s="71"/>
      <c r="AB46" s="10">
        <f t="shared" si="4"/>
        <v>0</v>
      </c>
      <c r="AC46" s="10">
        <f t="shared" si="21"/>
        <v>0</v>
      </c>
      <c r="AD46" s="71"/>
      <c r="AE46" s="10">
        <f t="shared" si="5"/>
        <v>260000</v>
      </c>
      <c r="AF46" s="10">
        <f t="shared" si="22"/>
        <v>100967.62887561107</v>
      </c>
      <c r="AG46" s="71"/>
      <c r="AH46" s="10">
        <f t="shared" si="6"/>
        <v>7000000.0000000009</v>
      </c>
      <c r="AI46" s="10">
        <f t="shared" si="23"/>
        <v>2718359.2389587602</v>
      </c>
      <c r="AJ46" s="71"/>
      <c r="AK46" s="10">
        <f t="shared" si="7"/>
        <v>5400000</v>
      </c>
      <c r="AL46" s="10">
        <f t="shared" si="24"/>
        <v>2097019.9843396146</v>
      </c>
      <c r="AM46" s="71"/>
      <c r="AN46" s="10">
        <f t="shared" si="8"/>
        <v>0</v>
      </c>
      <c r="AO46" s="10">
        <f t="shared" si="25"/>
        <v>0</v>
      </c>
      <c r="AP46" s="71"/>
      <c r="AQ46" s="10">
        <f t="shared" si="9"/>
        <v>1736000.0000000002</v>
      </c>
      <c r="AR46" s="10">
        <f t="shared" si="26"/>
        <v>674153.09126177256</v>
      </c>
      <c r="AS46" s="71"/>
      <c r="AT46" s="7">
        <f>IF($K46&lt;=$F$15,IF($F$40&lt;&gt;"",$F$40/1000,IF(ISERROR(VLOOKUP($F$3&amp;IF($G$4&lt;&gt;"",$G$4,"")&amp;IF($F$43&lt;&gt;"","_"&amp;$F$43,""),'表3）燃料価格'!$AF$9:$AG$25,2,0)),0,VLOOKUP($I46,'表3）燃料価格'!$A$6:$U$66,VLOOKUP($F$3&amp;IF($G$4&lt;&gt;"",$G$4,"")&amp;IF($F$43&lt;&gt;"","_"&amp;$F$43,""),'表3）燃料価格'!$AF$9:$AG$25,2,0)+VLOOKUP($F$41,'表3）燃料価格'!$AF$28:$AG$29,2,0),0)*IF($F$43="需要地価格",1,$F$8/$F$141))),"")</f>
        <v>0</v>
      </c>
      <c r="AU46" s="71"/>
      <c r="AV46" s="10">
        <f t="shared" si="10"/>
        <v>0</v>
      </c>
      <c r="AW46" s="10">
        <f t="shared" si="27"/>
        <v>0</v>
      </c>
      <c r="AX46" s="71"/>
      <c r="AY46" s="7">
        <f>IF(ISERROR(IF($K46&lt;=$F$15,VLOOKUP($I46,'表4）CO2価格'!$A$7:$E$67,VLOOKUP($F$48,'表4）CO2価格'!$H$10:$I$12,2,0),0)*$F$8/1000,"")),0,IF($K46&lt;=$F$15,VLOOKUP($I46,'表4）CO2価格'!$A$7:$E$67,VLOOKUP($F$48,'表4）CO2価格'!$H$10:$I$12,2,0),0)*$F$8/1000,""))</f>
        <v>0</v>
      </c>
      <c r="AZ46" s="71"/>
      <c r="BA46" s="11">
        <f t="shared" si="11"/>
        <v>0</v>
      </c>
      <c r="BB46" s="10">
        <f t="shared" si="28"/>
        <v>0</v>
      </c>
      <c r="BC46" s="71"/>
      <c r="BD46" s="10">
        <f t="shared" si="12"/>
        <v>0</v>
      </c>
      <c r="BE46" s="10">
        <f t="shared" si="29"/>
        <v>0</v>
      </c>
      <c r="BF46" s="71"/>
      <c r="BG46" s="11">
        <f t="shared" si="13"/>
        <v>0</v>
      </c>
      <c r="BH46" s="10">
        <f t="shared" si="30"/>
        <v>0</v>
      </c>
      <c r="BJ46" s="7" t="str">
        <f t="shared" si="31"/>
        <v/>
      </c>
      <c r="BK46" s="158" t="str">
        <f t="shared" si="32"/>
        <v/>
      </c>
      <c r="BL46" s="158" t="str">
        <f t="shared" si="14"/>
        <v/>
      </c>
      <c r="BM46" s="10"/>
      <c r="BN46" s="10" t="str">
        <f t="shared" si="33"/>
        <v/>
      </c>
      <c r="BO46" s="10" t="str">
        <f t="shared" si="34"/>
        <v/>
      </c>
      <c r="BQ46" s="10">
        <f t="shared" si="15"/>
        <v>1051200</v>
      </c>
      <c r="BR46" s="10">
        <f t="shared" si="35"/>
        <v>408219.89028477832</v>
      </c>
    </row>
    <row r="47" spans="3:70" x14ac:dyDescent="0.15">
      <c r="D47" s="84" t="s">
        <v>576</v>
      </c>
      <c r="F47" s="475"/>
      <c r="G47" s="84" t="s">
        <v>577</v>
      </c>
      <c r="I47" s="38">
        <f t="shared" si="36"/>
        <v>2062</v>
      </c>
      <c r="J47" s="39"/>
      <c r="K47" s="39">
        <f t="shared" si="37"/>
        <v>33</v>
      </c>
      <c r="L47" s="39"/>
      <c r="M47" s="40">
        <f t="shared" si="0"/>
        <v>0.37702624673491814</v>
      </c>
      <c r="N47" s="39"/>
      <c r="O47" s="72">
        <f t="shared" si="16"/>
        <v>4.6566128730773926E-9</v>
      </c>
      <c r="P47" s="41" t="str">
        <f t="shared" ref="P47:P78" si="38">IF(K47&lt;=$F$15,IF(OR(P46=$F$124,P46="-"),"-",IF(O47*$F$123&gt;$F$127,$F$123,$F$124)),"")</f>
        <v>-</v>
      </c>
      <c r="Q47" s="39"/>
      <c r="R47" s="72">
        <f t="shared" si="17"/>
        <v>9000000</v>
      </c>
      <c r="S47" s="39"/>
      <c r="T47" s="72">
        <f t="shared" si="18"/>
        <v>9000000</v>
      </c>
      <c r="U47" s="39"/>
      <c r="V47" s="72">
        <f t="shared" ref="V47:V78" si="39">IF(K47&lt;=$F$15,IF(K47&lt;$F$119,IF(P47="-",V46,O47*P47),IF(K47=$F$119,MIN(IF(P47="-",V46,O47*P47),O47),0)),"")</f>
        <v>0</v>
      </c>
      <c r="W47" s="72">
        <f t="shared" si="19"/>
        <v>0</v>
      </c>
      <c r="X47" s="39"/>
      <c r="Y47" s="72">
        <f t="shared" ref="Y47:Y78" si="40">IF($K47&lt;=$F$15,ROUNDDOWN(T47*$F$25/100,-2),"")</f>
        <v>126000</v>
      </c>
      <c r="Z47" s="72">
        <f t="shared" si="20"/>
        <v>47505.307088599686</v>
      </c>
      <c r="AA47" s="39"/>
      <c r="AB47" s="72">
        <f t="shared" si="4"/>
        <v>0</v>
      </c>
      <c r="AC47" s="72">
        <f t="shared" si="21"/>
        <v>0</v>
      </c>
      <c r="AD47" s="39"/>
      <c r="AE47" s="72">
        <f t="shared" ref="AE47:AE78" si="41">IF($K47&lt;=$F$15,$F$26,"")</f>
        <v>260000</v>
      </c>
      <c r="AF47" s="72">
        <f t="shared" si="22"/>
        <v>98026.824151078719</v>
      </c>
      <c r="AG47" s="39"/>
      <c r="AH47" s="72">
        <f t="shared" ref="AH47:AH78" si="42">IF($K47&lt;=$F$15,$F$33*10^8,"")</f>
        <v>7000000.0000000009</v>
      </c>
      <c r="AI47" s="72">
        <f t="shared" si="23"/>
        <v>2639183.7271444271</v>
      </c>
      <c r="AJ47" s="39"/>
      <c r="AK47" s="72">
        <f t="shared" ref="AK47:AK78" si="43">IF($K47&lt;=$F$15,$F$117*$F$34/100,"")</f>
        <v>5400000</v>
      </c>
      <c r="AL47" s="72">
        <f t="shared" si="24"/>
        <v>2035941.7323685579</v>
      </c>
      <c r="AM47" s="39"/>
      <c r="AN47" s="72">
        <f t="shared" ref="AN47:AN78" si="44">IF($K47&lt;=$F$15,$F$117*$F$35/100,"")</f>
        <v>0</v>
      </c>
      <c r="AO47" s="72">
        <f t="shared" si="25"/>
        <v>0</v>
      </c>
      <c r="AP47" s="39"/>
      <c r="AQ47" s="72">
        <f t="shared" ref="AQ47:AQ78" si="45">IF($K47&lt;=$F$15,SUM(AH47,AK47,AN47)*($F$36/100),"")</f>
        <v>1736000.0000000002</v>
      </c>
      <c r="AR47" s="72">
        <f t="shared" si="26"/>
        <v>654517.56433181802</v>
      </c>
      <c r="AS47" s="39"/>
      <c r="AT47" s="40">
        <f>IF($K47&lt;=$F$15,IF($F$40&lt;&gt;"",$F$40/1000,IF(ISERROR(VLOOKUP($F$3&amp;IF($G$4&lt;&gt;"",$G$4,"")&amp;IF($F$43&lt;&gt;"","_"&amp;$F$43,""),'表3）燃料価格'!$AF$9:$AG$25,2,0)),0,VLOOKUP($I47,'表3）燃料価格'!$A$6:$U$66,VLOOKUP($F$3&amp;IF($G$4&lt;&gt;"",$G$4,"")&amp;IF($F$43&lt;&gt;"","_"&amp;$F$43,""),'表3）燃料価格'!$AF$9:$AG$25,2,0)+VLOOKUP($F$41,'表3）燃料価格'!$AF$28:$AG$29,2,0),0)*IF($F$43="需要地価格",1,$F$8/$F$141))),"")</f>
        <v>0</v>
      </c>
      <c r="AU47" s="39"/>
      <c r="AV47" s="72">
        <f t="shared" ref="AV47:AV78" si="46">IF($K47&lt;=$F$15,($AT47+$F$142)*$F$137,"")</f>
        <v>0</v>
      </c>
      <c r="AW47" s="72">
        <f t="shared" si="27"/>
        <v>0</v>
      </c>
      <c r="AX47" s="39"/>
      <c r="AY47" s="40">
        <f>IF(ISERROR(IF($K47&lt;=$F$15,VLOOKUP($I47,'表4）CO2価格'!$A$7:$E$67,VLOOKUP($F$48,'表4）CO2価格'!$H$10:$I$12,2,0),0)*$F$8/1000,"")),0,IF($K47&lt;=$F$15,VLOOKUP($I47,'表4）CO2価格'!$A$7:$E$67,VLOOKUP($F$48,'表4）CO2価格'!$H$10:$I$12,2,0),0)*$F$8/1000,""))</f>
        <v>0</v>
      </c>
      <c r="AZ47" s="39"/>
      <c r="BA47" s="42">
        <f t="shared" ref="BA47:BA78" si="47">IF($K47&lt;=$F$15,$F$145*AY47,"")</f>
        <v>0</v>
      </c>
      <c r="BB47" s="72">
        <f t="shared" si="28"/>
        <v>0</v>
      </c>
      <c r="BC47" s="39"/>
      <c r="BD47" s="72">
        <f t="shared" ref="BD47:BD78" si="48">IF($K47&lt;=$F$15,($AT47+$F$152)*$F$151,"")</f>
        <v>0</v>
      </c>
      <c r="BE47" s="72">
        <f t="shared" si="29"/>
        <v>0</v>
      </c>
      <c r="BF47" s="39"/>
      <c r="BG47" s="42">
        <f t="shared" ref="BG47:BG78" si="49">IF($K47&lt;=$F$15,$F$153*AY47,"")</f>
        <v>0</v>
      </c>
      <c r="BH47" s="72">
        <f t="shared" si="30"/>
        <v>0</v>
      </c>
      <c r="BI47" s="39"/>
      <c r="BJ47" s="40" t="str">
        <f t="shared" si="31"/>
        <v/>
      </c>
      <c r="BK47" s="157" t="str">
        <f t="shared" si="32"/>
        <v/>
      </c>
      <c r="BL47" s="157" t="str">
        <f t="shared" si="14"/>
        <v/>
      </c>
      <c r="BM47" s="72"/>
      <c r="BN47" s="72" t="str">
        <f t="shared" si="33"/>
        <v/>
      </c>
      <c r="BO47" s="72" t="str">
        <f t="shared" si="34"/>
        <v/>
      </c>
      <c r="BP47" s="39"/>
      <c r="BQ47" s="72">
        <f t="shared" ref="BQ47:BQ78" si="50">IF($K47&lt;=$F$15,$F$134,"")</f>
        <v>1051200</v>
      </c>
      <c r="BR47" s="72">
        <f t="shared" si="35"/>
        <v>396329.99056774593</v>
      </c>
    </row>
    <row r="48" spans="3:70" x14ac:dyDescent="0.15">
      <c r="D48" s="84" t="s">
        <v>578</v>
      </c>
      <c r="F48" s="474"/>
      <c r="I48" s="457">
        <f t="shared" si="36"/>
        <v>2063</v>
      </c>
      <c r="J48" s="71"/>
      <c r="K48" s="71">
        <f t="shared" si="37"/>
        <v>34</v>
      </c>
      <c r="L48" s="71"/>
      <c r="M48" s="7">
        <f t="shared" si="0"/>
        <v>0.36604489974263904</v>
      </c>
      <c r="N48" s="71"/>
      <c r="O48" s="10">
        <f t="shared" si="16"/>
        <v>4.6566128730773926E-9</v>
      </c>
      <c r="P48" s="29" t="str">
        <f t="shared" si="38"/>
        <v>-</v>
      </c>
      <c r="Q48" s="71"/>
      <c r="R48" s="10">
        <f t="shared" ref="R48:R79" si="51">IF($K48&lt;=$F$15,MAX($F$117*5%,R47*$F$129),"")</f>
        <v>9000000</v>
      </c>
      <c r="S48" s="71"/>
      <c r="T48" s="10">
        <f t="shared" si="18"/>
        <v>9000000</v>
      </c>
      <c r="U48" s="71"/>
      <c r="V48" s="10">
        <f t="shared" si="39"/>
        <v>0</v>
      </c>
      <c r="W48" s="10">
        <f t="shared" si="19"/>
        <v>0</v>
      </c>
      <c r="X48" s="71"/>
      <c r="Y48" s="10">
        <f t="shared" si="40"/>
        <v>126000</v>
      </c>
      <c r="Z48" s="10">
        <f t="shared" si="20"/>
        <v>46121.657367572516</v>
      </c>
      <c r="AA48" s="71"/>
      <c r="AB48" s="10">
        <f t="shared" si="4"/>
        <v>0</v>
      </c>
      <c r="AC48" s="10">
        <f t="shared" si="21"/>
        <v>0</v>
      </c>
      <c r="AD48" s="71"/>
      <c r="AE48" s="10">
        <f t="shared" si="41"/>
        <v>260000</v>
      </c>
      <c r="AF48" s="10">
        <f t="shared" si="22"/>
        <v>95171.673933086146</v>
      </c>
      <c r="AG48" s="71"/>
      <c r="AH48" s="10">
        <f t="shared" si="42"/>
        <v>7000000.0000000009</v>
      </c>
      <c r="AI48" s="10">
        <f t="shared" si="23"/>
        <v>2562314.2981984736</v>
      </c>
      <c r="AJ48" s="71"/>
      <c r="AK48" s="10">
        <f t="shared" si="43"/>
        <v>5400000</v>
      </c>
      <c r="AL48" s="10">
        <f t="shared" si="24"/>
        <v>1976642.4586102508</v>
      </c>
      <c r="AM48" s="71"/>
      <c r="AN48" s="10">
        <f t="shared" si="44"/>
        <v>0</v>
      </c>
      <c r="AO48" s="10">
        <f t="shared" si="25"/>
        <v>0</v>
      </c>
      <c r="AP48" s="71"/>
      <c r="AQ48" s="10">
        <f t="shared" si="45"/>
        <v>1736000.0000000002</v>
      </c>
      <c r="AR48" s="10">
        <f t="shared" si="26"/>
        <v>635453.94595322141</v>
      </c>
      <c r="AS48" s="71"/>
      <c r="AT48" s="7">
        <f>IF($K48&lt;=$F$15,IF($F$40&lt;&gt;"",$F$40/1000,IF(ISERROR(VLOOKUP($F$3&amp;IF($G$4&lt;&gt;"",$G$4,"")&amp;IF($F$43&lt;&gt;"","_"&amp;$F$43,""),'表3）燃料価格'!$AF$9:$AG$25,2,0)),0,VLOOKUP($I48,'表3）燃料価格'!$A$6:$U$66,VLOOKUP($F$3&amp;IF($G$4&lt;&gt;"",$G$4,"")&amp;IF($F$43&lt;&gt;"","_"&amp;$F$43,""),'表3）燃料価格'!$AF$9:$AG$25,2,0)+VLOOKUP($F$41,'表3）燃料価格'!$AF$28:$AG$29,2,0),0)*IF($F$43="需要地価格",1,$F$8/$F$141))),"")</f>
        <v>0</v>
      </c>
      <c r="AU48" s="71"/>
      <c r="AV48" s="10">
        <f t="shared" si="46"/>
        <v>0</v>
      </c>
      <c r="AW48" s="10">
        <f t="shared" si="27"/>
        <v>0</v>
      </c>
      <c r="AX48" s="71"/>
      <c r="AY48" s="7">
        <f>IF(ISERROR(IF($K48&lt;=$F$15,VLOOKUP($I48,'表4）CO2価格'!$A$7:$E$67,VLOOKUP($F$48,'表4）CO2価格'!$H$10:$I$12,2,0),0)*$F$8/1000,"")),0,IF($K48&lt;=$F$15,VLOOKUP($I48,'表4）CO2価格'!$A$7:$E$67,VLOOKUP($F$48,'表4）CO2価格'!$H$10:$I$12,2,0),0)*$F$8/1000,""))</f>
        <v>0</v>
      </c>
      <c r="AZ48" s="71"/>
      <c r="BA48" s="11">
        <f t="shared" si="47"/>
        <v>0</v>
      </c>
      <c r="BB48" s="10">
        <f t="shared" si="28"/>
        <v>0</v>
      </c>
      <c r="BC48" s="71"/>
      <c r="BD48" s="10">
        <f t="shared" si="48"/>
        <v>0</v>
      </c>
      <c r="BE48" s="10">
        <f t="shared" si="29"/>
        <v>0</v>
      </c>
      <c r="BF48" s="71"/>
      <c r="BG48" s="11">
        <f t="shared" si="49"/>
        <v>0</v>
      </c>
      <c r="BH48" s="10">
        <f t="shared" si="30"/>
        <v>0</v>
      </c>
      <c r="BJ48" s="7" t="str">
        <f t="shared" si="31"/>
        <v/>
      </c>
      <c r="BK48" s="158" t="str">
        <f t="shared" si="32"/>
        <v/>
      </c>
      <c r="BL48" s="158" t="str">
        <f t="shared" si="14"/>
        <v/>
      </c>
      <c r="BM48" s="10"/>
      <c r="BN48" s="10" t="str">
        <f t="shared" si="33"/>
        <v/>
      </c>
      <c r="BO48" s="10" t="str">
        <f t="shared" si="34"/>
        <v/>
      </c>
      <c r="BQ48" s="10">
        <f t="shared" si="50"/>
        <v>1051200</v>
      </c>
      <c r="BR48" s="10">
        <f t="shared" si="35"/>
        <v>384786.39860946214</v>
      </c>
    </row>
    <row r="49" spans="3:70" x14ac:dyDescent="0.15">
      <c r="I49" s="38">
        <f t="shared" si="36"/>
        <v>2064</v>
      </c>
      <c r="J49" s="39"/>
      <c r="K49" s="39">
        <f t="shared" si="37"/>
        <v>35</v>
      </c>
      <c r="L49" s="39"/>
      <c r="M49" s="40">
        <f t="shared" si="0"/>
        <v>0.35538339780838735</v>
      </c>
      <c r="N49" s="39"/>
      <c r="O49" s="72">
        <f t="shared" si="16"/>
        <v>4.6566128730773926E-9</v>
      </c>
      <c r="P49" s="41" t="str">
        <f t="shared" si="38"/>
        <v>-</v>
      </c>
      <c r="Q49" s="39"/>
      <c r="R49" s="72">
        <f t="shared" si="51"/>
        <v>9000000</v>
      </c>
      <c r="S49" s="39"/>
      <c r="T49" s="72">
        <f t="shared" si="18"/>
        <v>9000000</v>
      </c>
      <c r="U49" s="39"/>
      <c r="V49" s="72">
        <f t="shared" si="39"/>
        <v>0</v>
      </c>
      <c r="W49" s="72">
        <f t="shared" si="19"/>
        <v>0</v>
      </c>
      <c r="X49" s="39"/>
      <c r="Y49" s="72">
        <f t="shared" si="40"/>
        <v>126000</v>
      </c>
      <c r="Z49" s="72">
        <f t="shared" si="20"/>
        <v>44778.308123856805</v>
      </c>
      <c r="AA49" s="39"/>
      <c r="AB49" s="72">
        <f t="shared" si="4"/>
        <v>0</v>
      </c>
      <c r="AC49" s="72">
        <f t="shared" si="21"/>
        <v>0</v>
      </c>
      <c r="AD49" s="39"/>
      <c r="AE49" s="72">
        <f t="shared" si="41"/>
        <v>260000</v>
      </c>
      <c r="AF49" s="72">
        <f t="shared" si="22"/>
        <v>92399.68343018071</v>
      </c>
      <c r="AG49" s="39"/>
      <c r="AH49" s="72">
        <f t="shared" si="42"/>
        <v>7000000.0000000009</v>
      </c>
      <c r="AI49" s="72">
        <f t="shared" si="23"/>
        <v>2487683.7846587119</v>
      </c>
      <c r="AJ49" s="39"/>
      <c r="AK49" s="72">
        <f t="shared" si="43"/>
        <v>5400000</v>
      </c>
      <c r="AL49" s="72">
        <f t="shared" si="24"/>
        <v>1919070.3481652916</v>
      </c>
      <c r="AM49" s="39"/>
      <c r="AN49" s="72">
        <f t="shared" si="44"/>
        <v>0</v>
      </c>
      <c r="AO49" s="72">
        <f t="shared" si="25"/>
        <v>0</v>
      </c>
      <c r="AP49" s="39"/>
      <c r="AQ49" s="72">
        <f t="shared" si="45"/>
        <v>1736000.0000000002</v>
      </c>
      <c r="AR49" s="72">
        <f t="shared" si="26"/>
        <v>616945.57859536051</v>
      </c>
      <c r="AS49" s="39"/>
      <c r="AT49" s="40">
        <f>IF($K49&lt;=$F$15,IF($F$40&lt;&gt;"",$F$40/1000,IF(ISERROR(VLOOKUP($F$3&amp;IF($G$4&lt;&gt;"",$G$4,"")&amp;IF($F$43&lt;&gt;"","_"&amp;$F$43,""),'表3）燃料価格'!$AF$9:$AG$25,2,0)),0,VLOOKUP($I49,'表3）燃料価格'!$A$6:$U$66,VLOOKUP($F$3&amp;IF($G$4&lt;&gt;"",$G$4,"")&amp;IF($F$43&lt;&gt;"","_"&amp;$F$43,""),'表3）燃料価格'!$AF$9:$AG$25,2,0)+VLOOKUP($F$41,'表3）燃料価格'!$AF$28:$AG$29,2,0),0)*IF($F$43="需要地価格",1,$F$8/$F$141))),"")</f>
        <v>0</v>
      </c>
      <c r="AU49" s="39"/>
      <c r="AV49" s="72">
        <f t="shared" si="46"/>
        <v>0</v>
      </c>
      <c r="AW49" s="72">
        <f t="shared" si="27"/>
        <v>0</v>
      </c>
      <c r="AX49" s="39"/>
      <c r="AY49" s="40">
        <f>IF(ISERROR(IF($K49&lt;=$F$15,VLOOKUP($I49,'表4）CO2価格'!$A$7:$E$67,VLOOKUP($F$48,'表4）CO2価格'!$H$10:$I$12,2,0),0)*$F$8/1000,"")),0,IF($K49&lt;=$F$15,VLOOKUP($I49,'表4）CO2価格'!$A$7:$E$67,VLOOKUP($F$48,'表4）CO2価格'!$H$10:$I$12,2,0),0)*$F$8/1000,""))</f>
        <v>0</v>
      </c>
      <c r="AZ49" s="39"/>
      <c r="BA49" s="42">
        <f t="shared" si="47"/>
        <v>0</v>
      </c>
      <c r="BB49" s="72">
        <f t="shared" si="28"/>
        <v>0</v>
      </c>
      <c r="BC49" s="39"/>
      <c r="BD49" s="72">
        <f t="shared" si="48"/>
        <v>0</v>
      </c>
      <c r="BE49" s="72">
        <f t="shared" si="29"/>
        <v>0</v>
      </c>
      <c r="BF49" s="39"/>
      <c r="BG49" s="42">
        <f t="shared" si="49"/>
        <v>0</v>
      </c>
      <c r="BH49" s="72">
        <f t="shared" si="30"/>
        <v>0</v>
      </c>
      <c r="BI49" s="39"/>
      <c r="BJ49" s="40" t="str">
        <f t="shared" si="31"/>
        <v/>
      </c>
      <c r="BK49" s="157" t="str">
        <f t="shared" si="32"/>
        <v/>
      </c>
      <c r="BL49" s="157" t="str">
        <f t="shared" si="14"/>
        <v/>
      </c>
      <c r="BM49" s="72"/>
      <c r="BN49" s="72" t="str">
        <f t="shared" si="33"/>
        <v/>
      </c>
      <c r="BO49" s="72" t="str">
        <f t="shared" si="34"/>
        <v/>
      </c>
      <c r="BP49" s="39"/>
      <c r="BQ49" s="72">
        <f t="shared" si="50"/>
        <v>1051200</v>
      </c>
      <c r="BR49" s="72">
        <f t="shared" si="35"/>
        <v>373579.02777617675</v>
      </c>
    </row>
    <row r="50" spans="3:70" x14ac:dyDescent="0.15">
      <c r="C50" s="4" t="s">
        <v>579</v>
      </c>
      <c r="D50" s="100"/>
      <c r="E50" s="100"/>
      <c r="F50" s="4"/>
      <c r="G50" s="100"/>
      <c r="I50" s="457">
        <f t="shared" si="36"/>
        <v>2065</v>
      </c>
      <c r="J50" s="71"/>
      <c r="K50" s="71">
        <f t="shared" si="37"/>
        <v>36</v>
      </c>
      <c r="L50" s="71"/>
      <c r="M50" s="7">
        <f t="shared" si="0"/>
        <v>0.34503242505668674</v>
      </c>
      <c r="N50" s="71"/>
      <c r="O50" s="10">
        <f t="shared" si="16"/>
        <v>4.6566128730773926E-9</v>
      </c>
      <c r="P50" s="29" t="str">
        <f t="shared" si="38"/>
        <v>-</v>
      </c>
      <c r="Q50" s="71"/>
      <c r="R50" s="10">
        <f t="shared" si="51"/>
        <v>9000000</v>
      </c>
      <c r="S50" s="71"/>
      <c r="T50" s="10">
        <f t="shared" si="18"/>
        <v>9000000</v>
      </c>
      <c r="U50" s="71"/>
      <c r="V50" s="10">
        <f t="shared" si="39"/>
        <v>0</v>
      </c>
      <c r="W50" s="10">
        <f t="shared" si="19"/>
        <v>0</v>
      </c>
      <c r="X50" s="71"/>
      <c r="Y50" s="10">
        <f t="shared" si="40"/>
        <v>126000</v>
      </c>
      <c r="Z50" s="10">
        <f t="shared" si="20"/>
        <v>43474.085557142527</v>
      </c>
      <c r="AA50" s="71"/>
      <c r="AB50" s="10">
        <f t="shared" si="4"/>
        <v>0</v>
      </c>
      <c r="AC50" s="10">
        <f t="shared" si="21"/>
        <v>0</v>
      </c>
      <c r="AD50" s="71"/>
      <c r="AE50" s="10">
        <f t="shared" si="41"/>
        <v>260000</v>
      </c>
      <c r="AF50" s="10">
        <f t="shared" si="22"/>
        <v>89708.430514738546</v>
      </c>
      <c r="AG50" s="71"/>
      <c r="AH50" s="10">
        <f t="shared" si="42"/>
        <v>7000000.0000000009</v>
      </c>
      <c r="AI50" s="10">
        <f t="shared" si="23"/>
        <v>2415226.9753968073</v>
      </c>
      <c r="AJ50" s="71"/>
      <c r="AK50" s="10">
        <f t="shared" si="43"/>
        <v>5400000</v>
      </c>
      <c r="AL50" s="10">
        <f t="shared" si="24"/>
        <v>1863175.0953061085</v>
      </c>
      <c r="AM50" s="71"/>
      <c r="AN50" s="10">
        <f t="shared" si="44"/>
        <v>0</v>
      </c>
      <c r="AO50" s="10">
        <f t="shared" si="25"/>
        <v>0</v>
      </c>
      <c r="AP50" s="71"/>
      <c r="AQ50" s="10">
        <f t="shared" si="45"/>
        <v>1736000.0000000002</v>
      </c>
      <c r="AR50" s="10">
        <f t="shared" si="26"/>
        <v>598976.28989840823</v>
      </c>
      <c r="AS50" s="71"/>
      <c r="AT50" s="7">
        <f>IF($K50&lt;=$F$15,IF($F$40&lt;&gt;"",$F$40/1000,IF(ISERROR(VLOOKUP($F$3&amp;IF($G$4&lt;&gt;"",$G$4,"")&amp;IF($F$43&lt;&gt;"","_"&amp;$F$43,""),'表3）燃料価格'!$AF$9:$AG$25,2,0)),0,VLOOKUP($I50,'表3）燃料価格'!$A$6:$U$66,VLOOKUP($F$3&amp;IF($G$4&lt;&gt;"",$G$4,"")&amp;IF($F$43&lt;&gt;"","_"&amp;$F$43,""),'表3）燃料価格'!$AF$9:$AG$25,2,0)+VLOOKUP($F$41,'表3）燃料価格'!$AF$28:$AG$29,2,0),0)*IF($F$43="需要地価格",1,$F$8/$F$141))),"")</f>
        <v>0</v>
      </c>
      <c r="AU50" s="71"/>
      <c r="AV50" s="10">
        <f t="shared" si="46"/>
        <v>0</v>
      </c>
      <c r="AW50" s="10">
        <f t="shared" si="27"/>
        <v>0</v>
      </c>
      <c r="AX50" s="71"/>
      <c r="AY50" s="7">
        <f>IF(ISERROR(IF($K50&lt;=$F$15,VLOOKUP($I50,'表4）CO2価格'!$A$7:$E$67,VLOOKUP($F$48,'表4）CO2価格'!$H$10:$I$12,2,0),0)*$F$8/1000,"")),0,IF($K50&lt;=$F$15,VLOOKUP($I50,'表4）CO2価格'!$A$7:$E$67,VLOOKUP($F$48,'表4）CO2価格'!$H$10:$I$12,2,0),0)*$F$8/1000,""))</f>
        <v>0</v>
      </c>
      <c r="AZ50" s="71"/>
      <c r="BA50" s="11">
        <f t="shared" si="47"/>
        <v>0</v>
      </c>
      <c r="BB50" s="10">
        <f t="shared" si="28"/>
        <v>0</v>
      </c>
      <c r="BC50" s="71"/>
      <c r="BD50" s="10">
        <f t="shared" si="48"/>
        <v>0</v>
      </c>
      <c r="BE50" s="10">
        <f t="shared" si="29"/>
        <v>0</v>
      </c>
      <c r="BF50" s="71"/>
      <c r="BG50" s="11">
        <f t="shared" si="49"/>
        <v>0</v>
      </c>
      <c r="BH50" s="10">
        <f t="shared" si="30"/>
        <v>0</v>
      </c>
      <c r="BJ50" s="7" t="str">
        <f t="shared" si="31"/>
        <v/>
      </c>
      <c r="BK50" s="158" t="str">
        <f t="shared" si="32"/>
        <v/>
      </c>
      <c r="BL50" s="158" t="str">
        <f t="shared" si="14"/>
        <v/>
      </c>
      <c r="BM50" s="10"/>
      <c r="BN50" s="10" t="str">
        <f t="shared" si="33"/>
        <v/>
      </c>
      <c r="BO50" s="10" t="str">
        <f t="shared" si="34"/>
        <v/>
      </c>
      <c r="BQ50" s="10">
        <f t="shared" si="50"/>
        <v>1051200</v>
      </c>
      <c r="BR50" s="10">
        <f t="shared" si="35"/>
        <v>362698.08521958912</v>
      </c>
    </row>
    <row r="51" spans="3:70" x14ac:dyDescent="0.15">
      <c r="I51" s="38">
        <f t="shared" si="36"/>
        <v>2066</v>
      </c>
      <c r="J51" s="39"/>
      <c r="K51" s="39">
        <f t="shared" si="37"/>
        <v>37</v>
      </c>
      <c r="L51" s="39"/>
      <c r="M51" s="40">
        <f t="shared" si="0"/>
        <v>0.33498293694823961</v>
      </c>
      <c r="N51" s="39"/>
      <c r="O51" s="72">
        <f t="shared" si="16"/>
        <v>4.6566128730773926E-9</v>
      </c>
      <c r="P51" s="41" t="str">
        <f t="shared" si="38"/>
        <v>-</v>
      </c>
      <c r="Q51" s="39"/>
      <c r="R51" s="72">
        <f t="shared" si="51"/>
        <v>9000000</v>
      </c>
      <c r="S51" s="39"/>
      <c r="T51" s="72">
        <f t="shared" si="18"/>
        <v>9000000</v>
      </c>
      <c r="U51" s="39"/>
      <c r="V51" s="72">
        <f t="shared" si="39"/>
        <v>0</v>
      </c>
      <c r="W51" s="72">
        <f t="shared" si="19"/>
        <v>0</v>
      </c>
      <c r="X51" s="39"/>
      <c r="Y51" s="72">
        <f t="shared" si="40"/>
        <v>126000</v>
      </c>
      <c r="Z51" s="72">
        <f t="shared" si="20"/>
        <v>42207.850055478193</v>
      </c>
      <c r="AA51" s="39"/>
      <c r="AB51" s="72">
        <f t="shared" si="4"/>
        <v>0</v>
      </c>
      <c r="AC51" s="72">
        <f t="shared" si="21"/>
        <v>0</v>
      </c>
      <c r="AD51" s="39"/>
      <c r="AE51" s="72">
        <f t="shared" si="41"/>
        <v>260000</v>
      </c>
      <c r="AF51" s="72">
        <f t="shared" si="22"/>
        <v>87095.563606542302</v>
      </c>
      <c r="AG51" s="39"/>
      <c r="AH51" s="72">
        <f t="shared" si="42"/>
        <v>7000000.0000000009</v>
      </c>
      <c r="AI51" s="72">
        <f t="shared" si="23"/>
        <v>2344880.5586376777</v>
      </c>
      <c r="AJ51" s="39"/>
      <c r="AK51" s="72">
        <f t="shared" si="43"/>
        <v>5400000</v>
      </c>
      <c r="AL51" s="72">
        <f t="shared" si="24"/>
        <v>1808907.8595204938</v>
      </c>
      <c r="AM51" s="39"/>
      <c r="AN51" s="72">
        <f t="shared" si="44"/>
        <v>0</v>
      </c>
      <c r="AO51" s="72">
        <f t="shared" si="25"/>
        <v>0</v>
      </c>
      <c r="AP51" s="39"/>
      <c r="AQ51" s="72">
        <f t="shared" si="45"/>
        <v>1736000.0000000002</v>
      </c>
      <c r="AR51" s="72">
        <f t="shared" si="26"/>
        <v>581530.37854214408</v>
      </c>
      <c r="AS51" s="39"/>
      <c r="AT51" s="40">
        <f>IF($K51&lt;=$F$15,IF($F$40&lt;&gt;"",$F$40/1000,IF(ISERROR(VLOOKUP($F$3&amp;IF($G$4&lt;&gt;"",$G$4,"")&amp;IF($F$43&lt;&gt;"","_"&amp;$F$43,""),'表3）燃料価格'!$AF$9:$AG$25,2,0)),0,VLOOKUP($I51,'表3）燃料価格'!$A$6:$U$66,VLOOKUP($F$3&amp;IF($G$4&lt;&gt;"",$G$4,"")&amp;IF($F$43&lt;&gt;"","_"&amp;$F$43,""),'表3）燃料価格'!$AF$9:$AG$25,2,0)+VLOOKUP($F$41,'表3）燃料価格'!$AF$28:$AG$29,2,0),0)*IF($F$43="需要地価格",1,$F$8/$F$141))),"")</f>
        <v>0</v>
      </c>
      <c r="AU51" s="39"/>
      <c r="AV51" s="72">
        <f t="shared" si="46"/>
        <v>0</v>
      </c>
      <c r="AW51" s="72">
        <f t="shared" si="27"/>
        <v>0</v>
      </c>
      <c r="AX51" s="39"/>
      <c r="AY51" s="40">
        <f>IF(ISERROR(IF($K51&lt;=$F$15,VLOOKUP($I51,'表4）CO2価格'!$A$7:$E$67,VLOOKUP($F$48,'表4）CO2価格'!$H$10:$I$12,2,0),0)*$F$8/1000,"")),0,IF($K51&lt;=$F$15,VLOOKUP($I51,'表4）CO2価格'!$A$7:$E$67,VLOOKUP($F$48,'表4）CO2価格'!$H$10:$I$12,2,0),0)*$F$8/1000,""))</f>
        <v>0</v>
      </c>
      <c r="AZ51" s="39"/>
      <c r="BA51" s="42">
        <f t="shared" si="47"/>
        <v>0</v>
      </c>
      <c r="BB51" s="72">
        <f t="shared" si="28"/>
        <v>0</v>
      </c>
      <c r="BC51" s="39"/>
      <c r="BD51" s="72">
        <f t="shared" si="48"/>
        <v>0</v>
      </c>
      <c r="BE51" s="72">
        <f t="shared" si="29"/>
        <v>0</v>
      </c>
      <c r="BF51" s="39"/>
      <c r="BG51" s="42">
        <f t="shared" si="49"/>
        <v>0</v>
      </c>
      <c r="BH51" s="72">
        <f t="shared" si="30"/>
        <v>0</v>
      </c>
      <c r="BI51" s="39"/>
      <c r="BJ51" s="40" t="str">
        <f t="shared" si="31"/>
        <v/>
      </c>
      <c r="BK51" s="157" t="str">
        <f t="shared" si="32"/>
        <v/>
      </c>
      <c r="BL51" s="157" t="str">
        <f t="shared" si="14"/>
        <v/>
      </c>
      <c r="BM51" s="72"/>
      <c r="BN51" s="72" t="str">
        <f t="shared" si="33"/>
        <v/>
      </c>
      <c r="BO51" s="72" t="str">
        <f t="shared" si="34"/>
        <v/>
      </c>
      <c r="BP51" s="39"/>
      <c r="BQ51" s="72">
        <f t="shared" si="50"/>
        <v>1051200</v>
      </c>
      <c r="BR51" s="72">
        <f t="shared" si="35"/>
        <v>352134.06331998948</v>
      </c>
    </row>
    <row r="52" spans="3:70" x14ac:dyDescent="0.15">
      <c r="D52" s="84" t="s">
        <v>185</v>
      </c>
      <c r="F52" s="478"/>
      <c r="G52" s="84" t="s">
        <v>549</v>
      </c>
      <c r="I52" s="457">
        <f t="shared" si="36"/>
        <v>2067</v>
      </c>
      <c r="J52" s="71"/>
      <c r="K52" s="71">
        <f t="shared" si="37"/>
        <v>38</v>
      </c>
      <c r="L52" s="71"/>
      <c r="M52" s="7">
        <f t="shared" si="0"/>
        <v>0.3252261523769317</v>
      </c>
      <c r="N52" s="71"/>
      <c r="O52" s="10">
        <f t="shared" si="16"/>
        <v>4.6566128730773926E-9</v>
      </c>
      <c r="P52" s="29" t="str">
        <f t="shared" si="38"/>
        <v>-</v>
      </c>
      <c r="Q52" s="71"/>
      <c r="R52" s="10">
        <f t="shared" si="51"/>
        <v>9000000</v>
      </c>
      <c r="S52" s="71"/>
      <c r="T52" s="10">
        <f t="shared" si="18"/>
        <v>9000000</v>
      </c>
      <c r="U52" s="71"/>
      <c r="V52" s="10">
        <f t="shared" si="39"/>
        <v>0</v>
      </c>
      <c r="W52" s="10">
        <f t="shared" si="19"/>
        <v>0</v>
      </c>
      <c r="X52" s="71"/>
      <c r="Y52" s="10">
        <f t="shared" si="40"/>
        <v>126000</v>
      </c>
      <c r="Z52" s="10">
        <f t="shared" si="20"/>
        <v>40978.495199493394</v>
      </c>
      <c r="AA52" s="71"/>
      <c r="AB52" s="10">
        <f t="shared" si="4"/>
        <v>0</v>
      </c>
      <c r="AC52" s="10">
        <f t="shared" si="21"/>
        <v>0</v>
      </c>
      <c r="AD52" s="71"/>
      <c r="AE52" s="10">
        <f t="shared" si="41"/>
        <v>260000</v>
      </c>
      <c r="AF52" s="10">
        <f t="shared" si="22"/>
        <v>84558.799618002246</v>
      </c>
      <c r="AG52" s="71"/>
      <c r="AH52" s="10">
        <f t="shared" si="42"/>
        <v>7000000.0000000009</v>
      </c>
      <c r="AI52" s="10">
        <f t="shared" si="23"/>
        <v>2276583.0666385223</v>
      </c>
      <c r="AJ52" s="71"/>
      <c r="AK52" s="10">
        <f t="shared" si="43"/>
        <v>5400000</v>
      </c>
      <c r="AL52" s="10">
        <f t="shared" si="24"/>
        <v>1756221.2228354311</v>
      </c>
      <c r="AM52" s="71"/>
      <c r="AN52" s="10">
        <f t="shared" si="44"/>
        <v>0</v>
      </c>
      <c r="AO52" s="10">
        <f t="shared" si="25"/>
        <v>0</v>
      </c>
      <c r="AP52" s="71"/>
      <c r="AQ52" s="10">
        <f t="shared" si="45"/>
        <v>1736000.0000000002</v>
      </c>
      <c r="AR52" s="10">
        <f t="shared" si="26"/>
        <v>564592.60052635346</v>
      </c>
      <c r="AS52" s="71"/>
      <c r="AT52" s="7">
        <f>IF($K52&lt;=$F$15,IF($F$40&lt;&gt;"",$F$40/1000,IF(ISERROR(VLOOKUP($F$3&amp;IF($G$4&lt;&gt;"",$G$4,"")&amp;IF($F$43&lt;&gt;"","_"&amp;$F$43,""),'表3）燃料価格'!$AF$9:$AG$25,2,0)),0,VLOOKUP($I52,'表3）燃料価格'!$A$6:$U$66,VLOOKUP($F$3&amp;IF($G$4&lt;&gt;"",$G$4,"")&amp;IF($F$43&lt;&gt;"","_"&amp;$F$43,""),'表3）燃料価格'!$AF$9:$AG$25,2,0)+VLOOKUP($F$41,'表3）燃料価格'!$AF$28:$AG$29,2,0),0)*IF($F$43="需要地価格",1,$F$8/$F$141))),"")</f>
        <v>0</v>
      </c>
      <c r="AU52" s="71"/>
      <c r="AV52" s="10">
        <f t="shared" si="46"/>
        <v>0</v>
      </c>
      <c r="AW52" s="10">
        <f t="shared" si="27"/>
        <v>0</v>
      </c>
      <c r="AX52" s="71"/>
      <c r="AY52" s="7">
        <f>IF(ISERROR(IF($K52&lt;=$F$15,VLOOKUP($I52,'表4）CO2価格'!$A$7:$E$67,VLOOKUP($F$48,'表4）CO2価格'!$H$10:$I$12,2,0),0)*$F$8/1000,"")),0,IF($K52&lt;=$F$15,VLOOKUP($I52,'表4）CO2価格'!$A$7:$E$67,VLOOKUP($F$48,'表4）CO2価格'!$H$10:$I$12,2,0),0)*$F$8/1000,""))</f>
        <v>0</v>
      </c>
      <c r="AZ52" s="71"/>
      <c r="BA52" s="11">
        <f t="shared" si="47"/>
        <v>0</v>
      </c>
      <c r="BB52" s="10">
        <f t="shared" si="28"/>
        <v>0</v>
      </c>
      <c r="BC52" s="71"/>
      <c r="BD52" s="10">
        <f t="shared" si="48"/>
        <v>0</v>
      </c>
      <c r="BE52" s="10">
        <f t="shared" si="29"/>
        <v>0</v>
      </c>
      <c r="BF52" s="71"/>
      <c r="BG52" s="11">
        <f t="shared" si="49"/>
        <v>0</v>
      </c>
      <c r="BH52" s="10">
        <f t="shared" si="30"/>
        <v>0</v>
      </c>
      <c r="BJ52" s="7" t="str">
        <f t="shared" si="31"/>
        <v/>
      </c>
      <c r="BK52" s="158" t="str">
        <f t="shared" si="32"/>
        <v/>
      </c>
      <c r="BL52" s="158" t="str">
        <f t="shared" si="14"/>
        <v/>
      </c>
      <c r="BM52" s="10"/>
      <c r="BN52" s="10" t="str">
        <f t="shared" si="33"/>
        <v/>
      </c>
      <c r="BO52" s="10" t="str">
        <f t="shared" si="34"/>
        <v/>
      </c>
      <c r="BQ52" s="10">
        <f t="shared" si="50"/>
        <v>1051200</v>
      </c>
      <c r="BR52" s="10">
        <f t="shared" si="35"/>
        <v>341877.73137863062</v>
      </c>
    </row>
    <row r="53" spans="3:70" x14ac:dyDescent="0.15">
      <c r="D53" s="84" t="s">
        <v>580</v>
      </c>
      <c r="F53" s="475"/>
      <c r="G53" s="84" t="s">
        <v>549</v>
      </c>
      <c r="I53" s="38">
        <f t="shared" si="36"/>
        <v>2068</v>
      </c>
      <c r="J53" s="39"/>
      <c r="K53" s="39">
        <f t="shared" si="37"/>
        <v>39</v>
      </c>
      <c r="L53" s="39"/>
      <c r="M53" s="40">
        <f t="shared" si="0"/>
        <v>0.31575354599702099</v>
      </c>
      <c r="N53" s="39"/>
      <c r="O53" s="72">
        <f t="shared" si="16"/>
        <v>4.6566128730773926E-9</v>
      </c>
      <c r="P53" s="41" t="str">
        <f t="shared" si="38"/>
        <v>-</v>
      </c>
      <c r="Q53" s="39"/>
      <c r="R53" s="72">
        <f t="shared" si="51"/>
        <v>9000000</v>
      </c>
      <c r="S53" s="39"/>
      <c r="T53" s="72">
        <f t="shared" si="18"/>
        <v>9000000</v>
      </c>
      <c r="U53" s="39"/>
      <c r="V53" s="72">
        <f t="shared" si="39"/>
        <v>0</v>
      </c>
      <c r="W53" s="72">
        <f t="shared" si="19"/>
        <v>0</v>
      </c>
      <c r="X53" s="39"/>
      <c r="Y53" s="72">
        <f t="shared" si="40"/>
        <v>126000</v>
      </c>
      <c r="Z53" s="72">
        <f t="shared" si="20"/>
        <v>39784.946795624644</v>
      </c>
      <c r="AA53" s="39"/>
      <c r="AB53" s="72">
        <f t="shared" si="4"/>
        <v>0</v>
      </c>
      <c r="AC53" s="72">
        <f t="shared" si="21"/>
        <v>0</v>
      </c>
      <c r="AD53" s="39"/>
      <c r="AE53" s="72">
        <f t="shared" si="41"/>
        <v>260000</v>
      </c>
      <c r="AF53" s="72">
        <f t="shared" si="22"/>
        <v>82095.921959225452</v>
      </c>
      <c r="AG53" s="39"/>
      <c r="AH53" s="72">
        <f t="shared" si="42"/>
        <v>7000000.0000000009</v>
      </c>
      <c r="AI53" s="72">
        <f t="shared" si="23"/>
        <v>2210274.8219791474</v>
      </c>
      <c r="AJ53" s="39"/>
      <c r="AK53" s="72">
        <f t="shared" si="43"/>
        <v>5400000</v>
      </c>
      <c r="AL53" s="72">
        <f t="shared" si="24"/>
        <v>1705069.1483839133</v>
      </c>
      <c r="AM53" s="39"/>
      <c r="AN53" s="72">
        <f t="shared" si="44"/>
        <v>0</v>
      </c>
      <c r="AO53" s="72">
        <f t="shared" si="25"/>
        <v>0</v>
      </c>
      <c r="AP53" s="39"/>
      <c r="AQ53" s="72">
        <f t="shared" si="45"/>
        <v>1736000.0000000002</v>
      </c>
      <c r="AR53" s="72">
        <f t="shared" si="26"/>
        <v>548148.15585082851</v>
      </c>
      <c r="AS53" s="39"/>
      <c r="AT53" s="40">
        <f>IF($K53&lt;=$F$15,IF($F$40&lt;&gt;"",$F$40/1000,IF(ISERROR(VLOOKUP($F$3&amp;IF($G$4&lt;&gt;"",$G$4,"")&amp;IF($F$43&lt;&gt;"","_"&amp;$F$43,""),'表3）燃料価格'!$AF$9:$AG$25,2,0)),0,VLOOKUP($I53,'表3）燃料価格'!$A$6:$U$66,VLOOKUP($F$3&amp;IF($G$4&lt;&gt;"",$G$4,"")&amp;IF($F$43&lt;&gt;"","_"&amp;$F$43,""),'表3）燃料価格'!$AF$9:$AG$25,2,0)+VLOOKUP($F$41,'表3）燃料価格'!$AF$28:$AG$29,2,0),0)*IF($F$43="需要地価格",1,$F$8/$F$141))),"")</f>
        <v>0</v>
      </c>
      <c r="AU53" s="39"/>
      <c r="AV53" s="72">
        <f t="shared" si="46"/>
        <v>0</v>
      </c>
      <c r="AW53" s="72">
        <f t="shared" si="27"/>
        <v>0</v>
      </c>
      <c r="AX53" s="39"/>
      <c r="AY53" s="40">
        <f>IF(ISERROR(IF($K53&lt;=$F$15,VLOOKUP($I53,'表4）CO2価格'!$A$7:$E$67,VLOOKUP($F$48,'表4）CO2価格'!$H$10:$I$12,2,0),0)*$F$8/1000,"")),0,IF($K53&lt;=$F$15,VLOOKUP($I53,'表4）CO2価格'!$A$7:$E$67,VLOOKUP($F$48,'表4）CO2価格'!$H$10:$I$12,2,0),0)*$F$8/1000,""))</f>
        <v>0</v>
      </c>
      <c r="AZ53" s="39"/>
      <c r="BA53" s="42">
        <f t="shared" si="47"/>
        <v>0</v>
      </c>
      <c r="BB53" s="72">
        <f t="shared" si="28"/>
        <v>0</v>
      </c>
      <c r="BC53" s="39"/>
      <c r="BD53" s="72">
        <f t="shared" si="48"/>
        <v>0</v>
      </c>
      <c r="BE53" s="72">
        <f t="shared" si="29"/>
        <v>0</v>
      </c>
      <c r="BF53" s="39"/>
      <c r="BG53" s="42">
        <f t="shared" si="49"/>
        <v>0</v>
      </c>
      <c r="BH53" s="72">
        <f t="shared" si="30"/>
        <v>0</v>
      </c>
      <c r="BI53" s="39"/>
      <c r="BJ53" s="40" t="str">
        <f t="shared" si="31"/>
        <v/>
      </c>
      <c r="BK53" s="157" t="str">
        <f t="shared" si="32"/>
        <v/>
      </c>
      <c r="BL53" s="157" t="str">
        <f t="shared" si="14"/>
        <v/>
      </c>
      <c r="BM53" s="72"/>
      <c r="BN53" s="72" t="str">
        <f t="shared" si="33"/>
        <v/>
      </c>
      <c r="BO53" s="72" t="str">
        <f t="shared" si="34"/>
        <v/>
      </c>
      <c r="BP53" s="39"/>
      <c r="BQ53" s="72">
        <f t="shared" si="50"/>
        <v>1051200</v>
      </c>
      <c r="BR53" s="72">
        <f t="shared" si="35"/>
        <v>331920.12755206844</v>
      </c>
    </row>
    <row r="54" spans="3:70" x14ac:dyDescent="0.15">
      <c r="D54" s="84" t="s">
        <v>581</v>
      </c>
      <c r="F54" s="475"/>
      <c r="G54" s="84" t="s">
        <v>549</v>
      </c>
      <c r="I54" s="457">
        <f t="shared" si="36"/>
        <v>2069</v>
      </c>
      <c r="J54" s="71"/>
      <c r="K54" s="71">
        <f t="shared" si="37"/>
        <v>40</v>
      </c>
      <c r="L54" s="71"/>
      <c r="M54" s="7">
        <f t="shared" si="0"/>
        <v>0.30655684077380685</v>
      </c>
      <c r="N54" s="71"/>
      <c r="O54" s="10">
        <f t="shared" si="16"/>
        <v>4.6566128730773926E-9</v>
      </c>
      <c r="P54" s="29" t="str">
        <f t="shared" si="38"/>
        <v>-</v>
      </c>
      <c r="Q54" s="71"/>
      <c r="R54" s="10">
        <f t="shared" si="51"/>
        <v>9000000</v>
      </c>
      <c r="S54" s="71"/>
      <c r="T54" s="10">
        <f t="shared" si="18"/>
        <v>9000000</v>
      </c>
      <c r="U54" s="71"/>
      <c r="V54" s="10">
        <f t="shared" si="39"/>
        <v>0</v>
      </c>
      <c r="W54" s="10">
        <f t="shared" si="19"/>
        <v>0</v>
      </c>
      <c r="X54" s="71"/>
      <c r="Y54" s="10">
        <f t="shared" si="40"/>
        <v>126000</v>
      </c>
      <c r="Z54" s="10">
        <f t="shared" si="20"/>
        <v>38626.161937499666</v>
      </c>
      <c r="AA54" s="71"/>
      <c r="AB54" s="10">
        <f t="shared" si="4"/>
        <v>0</v>
      </c>
      <c r="AC54" s="10">
        <f t="shared" si="21"/>
        <v>0</v>
      </c>
      <c r="AD54" s="71"/>
      <c r="AE54" s="10">
        <f t="shared" si="41"/>
        <v>260000</v>
      </c>
      <c r="AF54" s="10">
        <f t="shared" si="22"/>
        <v>79704.778601189784</v>
      </c>
      <c r="AG54" s="71"/>
      <c r="AH54" s="10">
        <f t="shared" si="42"/>
        <v>7000000.0000000009</v>
      </c>
      <c r="AI54" s="10">
        <f t="shared" si="23"/>
        <v>2145897.8854166484</v>
      </c>
      <c r="AJ54" s="71"/>
      <c r="AK54" s="10">
        <f t="shared" si="43"/>
        <v>5400000</v>
      </c>
      <c r="AL54" s="10">
        <f t="shared" si="24"/>
        <v>1655406.9401785571</v>
      </c>
      <c r="AM54" s="71"/>
      <c r="AN54" s="10">
        <f t="shared" si="44"/>
        <v>0</v>
      </c>
      <c r="AO54" s="10">
        <f t="shared" si="25"/>
        <v>0</v>
      </c>
      <c r="AP54" s="71"/>
      <c r="AQ54" s="10">
        <f t="shared" si="45"/>
        <v>1736000.0000000002</v>
      </c>
      <c r="AR54" s="10">
        <f t="shared" si="26"/>
        <v>532182.67558332882</v>
      </c>
      <c r="AS54" s="71"/>
      <c r="AT54" s="7">
        <f>IF($K54&lt;=$F$15,IF($F$40&lt;&gt;"",$F$40/1000,IF(ISERROR(VLOOKUP($F$3&amp;IF($G$4&lt;&gt;"",$G$4,"")&amp;IF($F$43&lt;&gt;"","_"&amp;$F$43,""),'表3）燃料価格'!$AF$9:$AG$25,2,0)),0,VLOOKUP($I54,'表3）燃料価格'!$A$6:$U$66,VLOOKUP($F$3&amp;IF($G$4&lt;&gt;"",$G$4,"")&amp;IF($F$43&lt;&gt;"","_"&amp;$F$43,""),'表3）燃料価格'!$AF$9:$AG$25,2,0)+VLOOKUP($F$41,'表3）燃料価格'!$AF$28:$AG$29,2,0),0)*IF($F$43="需要地価格",1,$F$8/$F$141))),"")</f>
        <v>0</v>
      </c>
      <c r="AU54" s="71"/>
      <c r="AV54" s="10">
        <f t="shared" si="46"/>
        <v>0</v>
      </c>
      <c r="AW54" s="10">
        <f t="shared" si="27"/>
        <v>0</v>
      </c>
      <c r="AX54" s="71"/>
      <c r="AY54" s="7">
        <f>IF(ISERROR(IF($K54&lt;=$F$15,VLOOKUP($I54,'表4）CO2価格'!$A$7:$E$67,VLOOKUP($F$48,'表4）CO2価格'!$H$10:$I$12,2,0),0)*$F$8/1000,"")),0,IF($K54&lt;=$F$15,VLOOKUP($I54,'表4）CO2価格'!$A$7:$E$67,VLOOKUP($F$48,'表4）CO2価格'!$H$10:$I$12,2,0),0)*$F$8/1000,""))</f>
        <v>0</v>
      </c>
      <c r="AZ54" s="71"/>
      <c r="BA54" s="11">
        <f t="shared" si="47"/>
        <v>0</v>
      </c>
      <c r="BB54" s="10">
        <f t="shared" si="28"/>
        <v>0</v>
      </c>
      <c r="BC54" s="71"/>
      <c r="BD54" s="10">
        <f t="shared" si="48"/>
        <v>0</v>
      </c>
      <c r="BE54" s="10">
        <f t="shared" si="29"/>
        <v>0</v>
      </c>
      <c r="BF54" s="71"/>
      <c r="BG54" s="11">
        <f t="shared" si="49"/>
        <v>0</v>
      </c>
      <c r="BH54" s="10">
        <f t="shared" si="30"/>
        <v>0</v>
      </c>
      <c r="BJ54" s="7" t="str">
        <f t="shared" si="31"/>
        <v/>
      </c>
      <c r="BK54" s="158" t="str">
        <f t="shared" si="32"/>
        <v/>
      </c>
      <c r="BL54" s="158" t="str">
        <f t="shared" si="14"/>
        <v/>
      </c>
      <c r="BM54" s="10"/>
      <c r="BN54" s="10" t="str">
        <f t="shared" si="33"/>
        <v/>
      </c>
      <c r="BO54" s="10" t="str">
        <f t="shared" si="34"/>
        <v/>
      </c>
      <c r="BQ54" s="10">
        <f t="shared" si="50"/>
        <v>1051200</v>
      </c>
      <c r="BR54" s="10">
        <f t="shared" si="35"/>
        <v>322252.55102142575</v>
      </c>
    </row>
    <row r="55" spans="3:70" ht="16.5" x14ac:dyDescent="0.15">
      <c r="D55" s="84" t="s">
        <v>582</v>
      </c>
      <c r="F55" s="475"/>
      <c r="G55" s="71" t="s">
        <v>561</v>
      </c>
      <c r="I55" s="38">
        <f>I54+1</f>
        <v>2070</v>
      </c>
      <c r="J55" s="39"/>
      <c r="K55" s="39">
        <f>IF(I55&lt;&gt;"",K54+1,"")</f>
        <v>41</v>
      </c>
      <c r="L55" s="39"/>
      <c r="M55" s="40">
        <f t="shared" si="0"/>
        <v>0.29762800075126877</v>
      </c>
      <c r="N55" s="39"/>
      <c r="O55" s="72" t="str">
        <f t="shared" si="16"/>
        <v/>
      </c>
      <c r="P55" s="41" t="str">
        <f t="shared" si="38"/>
        <v/>
      </c>
      <c r="Q55" s="39"/>
      <c r="R55" s="72" t="str">
        <f t="shared" si="51"/>
        <v/>
      </c>
      <c r="S55" s="39"/>
      <c r="T55" s="72" t="str">
        <f t="shared" si="18"/>
        <v/>
      </c>
      <c r="U55" s="39"/>
      <c r="V55" s="72" t="str">
        <f t="shared" si="39"/>
        <v/>
      </c>
      <c r="W55" s="72" t="str">
        <f t="shared" si="19"/>
        <v/>
      </c>
      <c r="X55" s="39"/>
      <c r="Y55" s="72" t="str">
        <f t="shared" si="40"/>
        <v/>
      </c>
      <c r="Z55" s="72" t="str">
        <f t="shared" si="20"/>
        <v/>
      </c>
      <c r="AA55" s="39"/>
      <c r="AB55" s="72">
        <f t="shared" si="4"/>
        <v>9000000</v>
      </c>
      <c r="AC55" s="72">
        <f t="shared" si="21"/>
        <v>2678652.0067614191</v>
      </c>
      <c r="AD55" s="39"/>
      <c r="AE55" s="72" t="str">
        <f t="shared" si="41"/>
        <v/>
      </c>
      <c r="AF55" s="72" t="str">
        <f t="shared" si="22"/>
        <v/>
      </c>
      <c r="AG55" s="39"/>
      <c r="AH55" s="72" t="str">
        <f t="shared" si="42"/>
        <v/>
      </c>
      <c r="AI55" s="72" t="str">
        <f t="shared" si="23"/>
        <v/>
      </c>
      <c r="AJ55" s="39"/>
      <c r="AK55" s="72" t="str">
        <f t="shared" si="43"/>
        <v/>
      </c>
      <c r="AL55" s="72" t="str">
        <f t="shared" si="24"/>
        <v/>
      </c>
      <c r="AM55" s="39"/>
      <c r="AN55" s="72" t="str">
        <f t="shared" si="44"/>
        <v/>
      </c>
      <c r="AO55" s="72" t="str">
        <f t="shared" si="25"/>
        <v/>
      </c>
      <c r="AP55" s="39"/>
      <c r="AQ55" s="72" t="str">
        <f t="shared" si="45"/>
        <v/>
      </c>
      <c r="AR55" s="72" t="str">
        <f t="shared" si="26"/>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46"/>
        <v/>
      </c>
      <c r="AW55" s="72" t="str">
        <f t="shared" si="27"/>
        <v/>
      </c>
      <c r="AX55" s="39"/>
      <c r="AY55" s="40" t="str">
        <f>IF(ISERROR(IF($K55&lt;=$F$15,VLOOKUP($I55,'表4）CO2価格'!$A$7:$E$67,VLOOKUP($F$48,'表4）CO2価格'!$H$10:$I$12,2,0),0)*$F$8/1000,"")),0,IF($K55&lt;=$F$15,VLOOKUP($I55,'表4）CO2価格'!$A$7:$E$67,VLOOKUP($F$48,'表4）CO2価格'!$H$10:$I$12,2,0),0)*$F$8/1000,""))</f>
        <v/>
      </c>
      <c r="AZ55" s="39"/>
      <c r="BA55" s="42" t="str">
        <f t="shared" si="47"/>
        <v/>
      </c>
      <c r="BB55" s="72" t="str">
        <f t="shared" si="28"/>
        <v/>
      </c>
      <c r="BC55" s="39"/>
      <c r="BD55" s="72" t="str">
        <f t="shared" si="48"/>
        <v/>
      </c>
      <c r="BE55" s="72" t="str">
        <f t="shared" si="29"/>
        <v/>
      </c>
      <c r="BF55" s="39"/>
      <c r="BG55" s="42" t="str">
        <f t="shared" si="49"/>
        <v/>
      </c>
      <c r="BH55" s="72" t="str">
        <f t="shared" si="30"/>
        <v/>
      </c>
      <c r="BI55" s="39"/>
      <c r="BJ55" s="40" t="str">
        <f t="shared" si="31"/>
        <v/>
      </c>
      <c r="BK55" s="157" t="str">
        <f t="shared" si="32"/>
        <v/>
      </c>
      <c r="BL55" s="157" t="str">
        <f t="shared" si="14"/>
        <v/>
      </c>
      <c r="BM55" s="72"/>
      <c r="BN55" s="72" t="str">
        <f t="shared" si="33"/>
        <v/>
      </c>
      <c r="BO55" s="72" t="str">
        <f t="shared" si="34"/>
        <v/>
      </c>
      <c r="BP55" s="39"/>
      <c r="BQ55" s="72" t="str">
        <f t="shared" si="50"/>
        <v/>
      </c>
      <c r="BR55" s="72" t="str">
        <f t="shared" si="35"/>
        <v/>
      </c>
    </row>
    <row r="56" spans="3:70" x14ac:dyDescent="0.15">
      <c r="D56" s="84" t="s">
        <v>583</v>
      </c>
      <c r="F56" s="481"/>
      <c r="G56" s="84" t="s">
        <v>574</v>
      </c>
      <c r="I56" s="457">
        <f t="shared" si="36"/>
        <v>2071</v>
      </c>
      <c r="J56" s="71"/>
      <c r="K56" s="71">
        <f t="shared" si="37"/>
        <v>42</v>
      </c>
      <c r="L56" s="71"/>
      <c r="M56" s="7">
        <f t="shared" si="0"/>
        <v>0.28895922403035801</v>
      </c>
      <c r="N56" s="71"/>
      <c r="O56" s="10" t="str">
        <f t="shared" si="16"/>
        <v/>
      </c>
      <c r="P56" s="29" t="str">
        <f t="shared" si="38"/>
        <v/>
      </c>
      <c r="Q56" s="71"/>
      <c r="R56" s="10" t="str">
        <f t="shared" si="51"/>
        <v/>
      </c>
      <c r="S56" s="71"/>
      <c r="T56" s="10" t="str">
        <f t="shared" si="18"/>
        <v/>
      </c>
      <c r="U56" s="71"/>
      <c r="V56" s="10" t="str">
        <f t="shared" si="39"/>
        <v/>
      </c>
      <c r="W56" s="10" t="str">
        <f t="shared" si="19"/>
        <v/>
      </c>
      <c r="X56" s="71"/>
      <c r="Y56" s="10" t="str">
        <f t="shared" si="40"/>
        <v/>
      </c>
      <c r="Z56" s="10" t="str">
        <f t="shared" si="20"/>
        <v/>
      </c>
      <c r="AA56" s="71"/>
      <c r="AB56" s="10" t="str">
        <f t="shared" si="4"/>
        <v/>
      </c>
      <c r="AC56" s="10" t="str">
        <f t="shared" si="21"/>
        <v/>
      </c>
      <c r="AD56" s="71"/>
      <c r="AE56" s="10" t="str">
        <f t="shared" si="41"/>
        <v/>
      </c>
      <c r="AF56" s="10" t="str">
        <f t="shared" si="22"/>
        <v/>
      </c>
      <c r="AG56" s="71"/>
      <c r="AH56" s="10" t="str">
        <f t="shared" si="42"/>
        <v/>
      </c>
      <c r="AI56" s="10" t="str">
        <f t="shared" si="23"/>
        <v/>
      </c>
      <c r="AJ56" s="71"/>
      <c r="AK56" s="10" t="str">
        <f t="shared" si="43"/>
        <v/>
      </c>
      <c r="AL56" s="10" t="str">
        <f t="shared" si="24"/>
        <v/>
      </c>
      <c r="AM56" s="71"/>
      <c r="AN56" s="10" t="str">
        <f t="shared" si="44"/>
        <v/>
      </c>
      <c r="AO56" s="10" t="str">
        <f t="shared" si="25"/>
        <v/>
      </c>
      <c r="AP56" s="71"/>
      <c r="AQ56" s="10" t="str">
        <f t="shared" si="45"/>
        <v/>
      </c>
      <c r="AR56" s="10" t="str">
        <f t="shared" si="26"/>
        <v/>
      </c>
      <c r="AS56" s="71"/>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U56" s="71"/>
      <c r="AV56" s="10" t="str">
        <f t="shared" si="46"/>
        <v/>
      </c>
      <c r="AW56" s="10" t="str">
        <f t="shared" si="27"/>
        <v/>
      </c>
      <c r="AX56" s="71"/>
      <c r="AY56" s="7" t="str">
        <f>IF(ISERROR(IF($K56&lt;=$F$15,VLOOKUP($I56,'表4）CO2価格'!$A$7:$E$67,VLOOKUP($F$48,'表4）CO2価格'!$H$10:$I$12,2,0),0)*$F$8/1000,"")),0,IF($K56&lt;=$F$15,VLOOKUP($I56,'表4）CO2価格'!$A$7:$E$67,VLOOKUP($F$48,'表4）CO2価格'!$H$10:$I$12,2,0),0)*$F$8/1000,""))</f>
        <v/>
      </c>
      <c r="AZ56" s="71"/>
      <c r="BA56" s="11" t="str">
        <f t="shared" si="47"/>
        <v/>
      </c>
      <c r="BB56" s="10" t="str">
        <f t="shared" si="28"/>
        <v/>
      </c>
      <c r="BC56" s="71"/>
      <c r="BD56" s="10" t="str">
        <f t="shared" si="48"/>
        <v/>
      </c>
      <c r="BE56" s="10" t="str">
        <f t="shared" si="29"/>
        <v/>
      </c>
      <c r="BF56" s="71"/>
      <c r="BG56" s="11" t="str">
        <f t="shared" si="49"/>
        <v/>
      </c>
      <c r="BH56" s="10" t="str">
        <f t="shared" si="30"/>
        <v/>
      </c>
      <c r="BJ56" s="7" t="str">
        <f t="shared" si="31"/>
        <v/>
      </c>
      <c r="BK56" s="158" t="str">
        <f t="shared" si="32"/>
        <v/>
      </c>
      <c r="BL56" s="158" t="str">
        <f t="shared" si="14"/>
        <v/>
      </c>
      <c r="BM56" s="10"/>
      <c r="BN56" s="10" t="str">
        <f t="shared" si="33"/>
        <v/>
      </c>
      <c r="BO56" s="10" t="str">
        <f t="shared" si="34"/>
        <v/>
      </c>
      <c r="BQ56" s="10" t="str">
        <f t="shared" si="50"/>
        <v/>
      </c>
      <c r="BR56" s="10" t="str">
        <f t="shared" si="35"/>
        <v/>
      </c>
    </row>
    <row r="57" spans="3:70" x14ac:dyDescent="0.15">
      <c r="I57" s="38">
        <f t="shared" si="36"/>
        <v>2072</v>
      </c>
      <c r="J57" s="39"/>
      <c r="K57" s="39">
        <f t="shared" si="37"/>
        <v>43</v>
      </c>
      <c r="L57" s="39"/>
      <c r="M57" s="40">
        <f t="shared" si="0"/>
        <v>0.28054293595180391</v>
      </c>
      <c r="N57" s="39"/>
      <c r="O57" s="72" t="str">
        <f t="shared" si="16"/>
        <v/>
      </c>
      <c r="P57" s="41" t="str">
        <f t="shared" si="38"/>
        <v/>
      </c>
      <c r="Q57" s="39"/>
      <c r="R57" s="72" t="str">
        <f t="shared" si="51"/>
        <v/>
      </c>
      <c r="S57" s="39"/>
      <c r="T57" s="72" t="str">
        <f t="shared" si="18"/>
        <v/>
      </c>
      <c r="U57" s="39"/>
      <c r="V57" s="72" t="str">
        <f t="shared" si="39"/>
        <v/>
      </c>
      <c r="W57" s="72" t="str">
        <f t="shared" si="19"/>
        <v/>
      </c>
      <c r="X57" s="39"/>
      <c r="Y57" s="72" t="str">
        <f t="shared" si="40"/>
        <v/>
      </c>
      <c r="Z57" s="72" t="str">
        <f t="shared" si="20"/>
        <v/>
      </c>
      <c r="AA57" s="39"/>
      <c r="AB57" s="72" t="str">
        <f t="shared" si="4"/>
        <v/>
      </c>
      <c r="AC57" s="72" t="str">
        <f t="shared" si="21"/>
        <v/>
      </c>
      <c r="AD57" s="39"/>
      <c r="AE57" s="72" t="str">
        <f t="shared" si="41"/>
        <v/>
      </c>
      <c r="AF57" s="72" t="str">
        <f t="shared" si="22"/>
        <v/>
      </c>
      <c r="AG57" s="39"/>
      <c r="AH57" s="72" t="str">
        <f t="shared" si="42"/>
        <v/>
      </c>
      <c r="AI57" s="72" t="str">
        <f t="shared" si="23"/>
        <v/>
      </c>
      <c r="AJ57" s="39"/>
      <c r="AK57" s="72" t="str">
        <f t="shared" si="43"/>
        <v/>
      </c>
      <c r="AL57" s="72" t="str">
        <f t="shared" si="24"/>
        <v/>
      </c>
      <c r="AM57" s="39"/>
      <c r="AN57" s="72" t="str">
        <f t="shared" si="44"/>
        <v/>
      </c>
      <c r="AO57" s="72" t="str">
        <f t="shared" si="25"/>
        <v/>
      </c>
      <c r="AP57" s="39"/>
      <c r="AQ57" s="72" t="str">
        <f t="shared" si="45"/>
        <v/>
      </c>
      <c r="AR57" s="72" t="str">
        <f t="shared" si="26"/>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46"/>
        <v/>
      </c>
      <c r="AW57" s="72" t="str">
        <f t="shared" si="27"/>
        <v/>
      </c>
      <c r="AX57" s="39"/>
      <c r="AY57" s="40" t="str">
        <f>IF(ISERROR(IF($K57&lt;=$F$15,VLOOKUP($I57,'表4）CO2価格'!$A$7:$E$67,VLOOKUP($F$48,'表4）CO2価格'!$H$10:$I$12,2,0),0)*$F$8/1000,"")),0,IF($K57&lt;=$F$15,VLOOKUP($I57,'表4）CO2価格'!$A$7:$E$67,VLOOKUP($F$48,'表4）CO2価格'!$H$10:$I$12,2,0),0)*$F$8/1000,""))</f>
        <v/>
      </c>
      <c r="AZ57" s="39"/>
      <c r="BA57" s="42" t="str">
        <f t="shared" si="47"/>
        <v/>
      </c>
      <c r="BB57" s="72" t="str">
        <f t="shared" si="28"/>
        <v/>
      </c>
      <c r="BC57" s="39"/>
      <c r="BD57" s="72" t="str">
        <f t="shared" si="48"/>
        <v/>
      </c>
      <c r="BE57" s="72" t="str">
        <f t="shared" si="29"/>
        <v/>
      </c>
      <c r="BF57" s="39"/>
      <c r="BG57" s="42" t="str">
        <f t="shared" si="49"/>
        <v/>
      </c>
      <c r="BH57" s="72" t="str">
        <f t="shared" si="30"/>
        <v/>
      </c>
      <c r="BI57" s="39"/>
      <c r="BJ57" s="40" t="str">
        <f t="shared" si="31"/>
        <v/>
      </c>
      <c r="BK57" s="157" t="str">
        <f t="shared" si="32"/>
        <v/>
      </c>
      <c r="BL57" s="157" t="str">
        <f t="shared" si="14"/>
        <v/>
      </c>
      <c r="BM57" s="72"/>
      <c r="BN57" s="72" t="str">
        <f t="shared" si="33"/>
        <v/>
      </c>
      <c r="BO57" s="72" t="str">
        <f t="shared" si="34"/>
        <v/>
      </c>
      <c r="BP57" s="39"/>
      <c r="BQ57" s="72" t="str">
        <f t="shared" si="50"/>
        <v/>
      </c>
      <c r="BR57" s="72" t="str">
        <f t="shared" si="35"/>
        <v/>
      </c>
    </row>
    <row r="58" spans="3:70" x14ac:dyDescent="0.15">
      <c r="C58" s="4" t="s">
        <v>584</v>
      </c>
      <c r="D58" s="100"/>
      <c r="E58" s="100"/>
      <c r="F58" s="4"/>
      <c r="G58" s="100"/>
      <c r="I58" s="457">
        <f t="shared" si="36"/>
        <v>2073</v>
      </c>
      <c r="J58" s="71"/>
      <c r="K58" s="71">
        <f t="shared" si="37"/>
        <v>44</v>
      </c>
      <c r="L58" s="71"/>
      <c r="M58" s="7">
        <f t="shared" si="0"/>
        <v>0.27237178247747956</v>
      </c>
      <c r="N58" s="71"/>
      <c r="O58" s="10" t="str">
        <f t="shared" si="16"/>
        <v/>
      </c>
      <c r="P58" s="29" t="str">
        <f t="shared" si="38"/>
        <v/>
      </c>
      <c r="Q58" s="71"/>
      <c r="R58" s="10" t="str">
        <f t="shared" si="51"/>
        <v/>
      </c>
      <c r="S58" s="71"/>
      <c r="T58" s="10" t="str">
        <f t="shared" si="18"/>
        <v/>
      </c>
      <c r="U58" s="71"/>
      <c r="V58" s="10" t="str">
        <f t="shared" si="39"/>
        <v/>
      </c>
      <c r="W58" s="10" t="str">
        <f t="shared" si="19"/>
        <v/>
      </c>
      <c r="X58" s="71"/>
      <c r="Y58" s="10" t="str">
        <f t="shared" si="40"/>
        <v/>
      </c>
      <c r="Z58" s="10" t="str">
        <f t="shared" si="20"/>
        <v/>
      </c>
      <c r="AA58" s="71"/>
      <c r="AB58" s="10" t="str">
        <f t="shared" si="4"/>
        <v/>
      </c>
      <c r="AC58" s="10" t="str">
        <f t="shared" si="21"/>
        <v/>
      </c>
      <c r="AD58" s="71"/>
      <c r="AE58" s="10" t="str">
        <f t="shared" si="41"/>
        <v/>
      </c>
      <c r="AF58" s="10" t="str">
        <f t="shared" si="22"/>
        <v/>
      </c>
      <c r="AG58" s="71"/>
      <c r="AH58" s="10" t="str">
        <f t="shared" si="42"/>
        <v/>
      </c>
      <c r="AI58" s="10" t="str">
        <f t="shared" si="23"/>
        <v/>
      </c>
      <c r="AJ58" s="71"/>
      <c r="AK58" s="10" t="str">
        <f t="shared" si="43"/>
        <v/>
      </c>
      <c r="AL58" s="10" t="str">
        <f t="shared" si="24"/>
        <v/>
      </c>
      <c r="AM58" s="71"/>
      <c r="AN58" s="10" t="str">
        <f t="shared" si="44"/>
        <v/>
      </c>
      <c r="AO58" s="10" t="str">
        <f t="shared" si="25"/>
        <v/>
      </c>
      <c r="AP58" s="71"/>
      <c r="AQ58" s="10" t="str">
        <f t="shared" si="45"/>
        <v/>
      </c>
      <c r="AR58" s="10" t="str">
        <f t="shared" si="26"/>
        <v/>
      </c>
      <c r="AS58" s="71"/>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U58" s="71"/>
      <c r="AV58" s="10" t="str">
        <f t="shared" si="46"/>
        <v/>
      </c>
      <c r="AW58" s="10" t="str">
        <f t="shared" si="27"/>
        <v/>
      </c>
      <c r="AX58" s="71"/>
      <c r="AY58" s="7" t="str">
        <f>IF(ISERROR(IF($K58&lt;=$F$15,VLOOKUP($I58,'表4）CO2価格'!$A$7:$E$67,VLOOKUP($F$48,'表4）CO2価格'!$H$10:$I$12,2,0),0)*$F$8/1000,"")),0,IF($K58&lt;=$F$15,VLOOKUP($I58,'表4）CO2価格'!$A$7:$E$67,VLOOKUP($F$48,'表4）CO2価格'!$H$10:$I$12,2,0),0)*$F$8/1000,""))</f>
        <v/>
      </c>
      <c r="AZ58" s="71"/>
      <c r="BA58" s="11" t="str">
        <f t="shared" si="47"/>
        <v/>
      </c>
      <c r="BB58" s="10" t="str">
        <f t="shared" si="28"/>
        <v/>
      </c>
      <c r="BC58" s="71"/>
      <c r="BD58" s="10" t="str">
        <f t="shared" si="48"/>
        <v/>
      </c>
      <c r="BE58" s="10" t="str">
        <f t="shared" si="29"/>
        <v/>
      </c>
      <c r="BF58" s="71"/>
      <c r="BG58" s="11" t="str">
        <f t="shared" si="49"/>
        <v/>
      </c>
      <c r="BH58" s="10" t="str">
        <f t="shared" si="30"/>
        <v/>
      </c>
      <c r="BJ58" s="7" t="str">
        <f t="shared" si="31"/>
        <v/>
      </c>
      <c r="BK58" s="158" t="str">
        <f t="shared" si="32"/>
        <v/>
      </c>
      <c r="BL58" s="158" t="str">
        <f t="shared" si="14"/>
        <v/>
      </c>
      <c r="BM58" s="10"/>
      <c r="BN58" s="10" t="str">
        <f t="shared" si="33"/>
        <v/>
      </c>
      <c r="BO58" s="10" t="str">
        <f t="shared" si="34"/>
        <v/>
      </c>
      <c r="BQ58" s="10" t="str">
        <f t="shared" si="50"/>
        <v/>
      </c>
      <c r="BR58" s="10" t="str">
        <f t="shared" si="35"/>
        <v/>
      </c>
    </row>
    <row r="59" spans="3:70" x14ac:dyDescent="0.15">
      <c r="I59" s="38">
        <f t="shared" si="36"/>
        <v>2074</v>
      </c>
      <c r="J59" s="39"/>
      <c r="K59" s="39">
        <f t="shared" si="37"/>
        <v>45</v>
      </c>
      <c r="L59" s="39"/>
      <c r="M59" s="40">
        <f t="shared" si="0"/>
        <v>0.26443862376454325</v>
      </c>
      <c r="N59" s="39"/>
      <c r="O59" s="72" t="str">
        <f t="shared" si="16"/>
        <v/>
      </c>
      <c r="P59" s="41" t="str">
        <f t="shared" si="38"/>
        <v/>
      </c>
      <c r="Q59" s="39"/>
      <c r="R59" s="72" t="str">
        <f t="shared" si="51"/>
        <v/>
      </c>
      <c r="S59" s="39"/>
      <c r="T59" s="72" t="str">
        <f t="shared" si="18"/>
        <v/>
      </c>
      <c r="U59" s="39"/>
      <c r="V59" s="72" t="str">
        <f t="shared" si="39"/>
        <v/>
      </c>
      <c r="W59" s="72" t="str">
        <f t="shared" si="19"/>
        <v/>
      </c>
      <c r="X59" s="39"/>
      <c r="Y59" s="72" t="str">
        <f t="shared" si="40"/>
        <v/>
      </c>
      <c r="Z59" s="72" t="str">
        <f t="shared" si="20"/>
        <v/>
      </c>
      <c r="AA59" s="39"/>
      <c r="AB59" s="72" t="str">
        <f t="shared" si="4"/>
        <v/>
      </c>
      <c r="AC59" s="72" t="str">
        <f t="shared" si="21"/>
        <v/>
      </c>
      <c r="AD59" s="39"/>
      <c r="AE59" s="72" t="str">
        <f t="shared" si="41"/>
        <v/>
      </c>
      <c r="AF59" s="72" t="str">
        <f t="shared" si="22"/>
        <v/>
      </c>
      <c r="AG59" s="39"/>
      <c r="AH59" s="72" t="str">
        <f t="shared" si="42"/>
        <v/>
      </c>
      <c r="AI59" s="72" t="str">
        <f t="shared" si="23"/>
        <v/>
      </c>
      <c r="AJ59" s="39"/>
      <c r="AK59" s="72" t="str">
        <f t="shared" si="43"/>
        <v/>
      </c>
      <c r="AL59" s="72" t="str">
        <f t="shared" si="24"/>
        <v/>
      </c>
      <c r="AM59" s="39"/>
      <c r="AN59" s="72" t="str">
        <f t="shared" si="44"/>
        <v/>
      </c>
      <c r="AO59" s="72" t="str">
        <f t="shared" si="25"/>
        <v/>
      </c>
      <c r="AP59" s="39"/>
      <c r="AQ59" s="72" t="str">
        <f t="shared" si="45"/>
        <v/>
      </c>
      <c r="AR59" s="72" t="str">
        <f t="shared" si="26"/>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46"/>
        <v/>
      </c>
      <c r="AW59" s="72" t="str">
        <f t="shared" si="27"/>
        <v/>
      </c>
      <c r="AX59" s="39"/>
      <c r="AY59" s="40" t="str">
        <f>IF(ISERROR(IF($K59&lt;=$F$15,VLOOKUP($I59,'表4）CO2価格'!$A$7:$E$67,VLOOKUP($F$48,'表4）CO2価格'!$H$10:$I$12,2,0),0)*$F$8/1000,"")),0,IF($K59&lt;=$F$15,VLOOKUP($I59,'表4）CO2価格'!$A$7:$E$67,VLOOKUP($F$48,'表4）CO2価格'!$H$10:$I$12,2,0),0)*$F$8/1000,""))</f>
        <v/>
      </c>
      <c r="AZ59" s="39"/>
      <c r="BA59" s="42" t="str">
        <f t="shared" si="47"/>
        <v/>
      </c>
      <c r="BB59" s="72" t="str">
        <f t="shared" si="28"/>
        <v/>
      </c>
      <c r="BC59" s="39"/>
      <c r="BD59" s="72" t="str">
        <f t="shared" si="48"/>
        <v/>
      </c>
      <c r="BE59" s="72" t="str">
        <f t="shared" si="29"/>
        <v/>
      </c>
      <c r="BF59" s="39"/>
      <c r="BG59" s="42" t="str">
        <f t="shared" si="49"/>
        <v/>
      </c>
      <c r="BH59" s="72" t="str">
        <f t="shared" si="30"/>
        <v/>
      </c>
      <c r="BI59" s="39"/>
      <c r="BJ59" s="40" t="str">
        <f t="shared" si="31"/>
        <v/>
      </c>
      <c r="BK59" s="157" t="str">
        <f t="shared" si="32"/>
        <v/>
      </c>
      <c r="BL59" s="157" t="str">
        <f t="shared" si="14"/>
        <v/>
      </c>
      <c r="BM59" s="72"/>
      <c r="BN59" s="72" t="str">
        <f t="shared" si="33"/>
        <v/>
      </c>
      <c r="BO59" s="72" t="str">
        <f t="shared" si="34"/>
        <v/>
      </c>
      <c r="BP59" s="39"/>
      <c r="BQ59" s="72" t="str">
        <f t="shared" si="50"/>
        <v/>
      </c>
      <c r="BR59" s="72" t="str">
        <f t="shared" si="35"/>
        <v/>
      </c>
    </row>
    <row r="60" spans="3:70" x14ac:dyDescent="0.15">
      <c r="D60" s="84" t="s">
        <v>585</v>
      </c>
      <c r="F60" s="481"/>
      <c r="G60" s="84" t="s">
        <v>566</v>
      </c>
      <c r="I60" s="457">
        <f t="shared" si="36"/>
        <v>2075</v>
      </c>
      <c r="J60" s="71"/>
      <c r="K60" s="71">
        <f t="shared" si="37"/>
        <v>46</v>
      </c>
      <c r="L60" s="71"/>
      <c r="M60" s="7">
        <f t="shared" si="0"/>
        <v>0.25673652792674101</v>
      </c>
      <c r="N60" s="71"/>
      <c r="O60" s="10" t="str">
        <f t="shared" si="16"/>
        <v/>
      </c>
      <c r="P60" s="29" t="str">
        <f t="shared" si="38"/>
        <v/>
      </c>
      <c r="Q60" s="71"/>
      <c r="R60" s="10" t="str">
        <f t="shared" si="51"/>
        <v/>
      </c>
      <c r="S60" s="71"/>
      <c r="T60" s="10" t="str">
        <f t="shared" si="18"/>
        <v/>
      </c>
      <c r="U60" s="71"/>
      <c r="V60" s="10" t="str">
        <f t="shared" si="39"/>
        <v/>
      </c>
      <c r="W60" s="10" t="str">
        <f t="shared" si="19"/>
        <v/>
      </c>
      <c r="X60" s="71"/>
      <c r="Y60" s="10" t="str">
        <f t="shared" si="40"/>
        <v/>
      </c>
      <c r="Z60" s="10" t="str">
        <f t="shared" si="20"/>
        <v/>
      </c>
      <c r="AA60" s="71"/>
      <c r="AB60" s="10" t="str">
        <f t="shared" si="4"/>
        <v/>
      </c>
      <c r="AC60" s="10" t="str">
        <f t="shared" si="21"/>
        <v/>
      </c>
      <c r="AD60" s="71"/>
      <c r="AE60" s="10" t="str">
        <f t="shared" si="41"/>
        <v/>
      </c>
      <c r="AF60" s="10" t="str">
        <f t="shared" si="22"/>
        <v/>
      </c>
      <c r="AG60" s="71"/>
      <c r="AH60" s="10" t="str">
        <f t="shared" si="42"/>
        <v/>
      </c>
      <c r="AI60" s="10" t="str">
        <f t="shared" si="23"/>
        <v/>
      </c>
      <c r="AJ60" s="71"/>
      <c r="AK60" s="10" t="str">
        <f t="shared" si="43"/>
        <v/>
      </c>
      <c r="AL60" s="10" t="str">
        <f t="shared" si="24"/>
        <v/>
      </c>
      <c r="AM60" s="71"/>
      <c r="AN60" s="10" t="str">
        <f t="shared" si="44"/>
        <v/>
      </c>
      <c r="AO60" s="10" t="str">
        <f t="shared" si="25"/>
        <v/>
      </c>
      <c r="AP60" s="71"/>
      <c r="AQ60" s="10" t="str">
        <f t="shared" si="45"/>
        <v/>
      </c>
      <c r="AR60" s="10" t="str">
        <f t="shared" si="26"/>
        <v/>
      </c>
      <c r="AS60" s="71"/>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U60" s="71"/>
      <c r="AV60" s="10" t="str">
        <f t="shared" si="46"/>
        <v/>
      </c>
      <c r="AW60" s="10" t="str">
        <f t="shared" si="27"/>
        <v/>
      </c>
      <c r="AX60" s="71"/>
      <c r="AY60" s="7" t="str">
        <f>IF(ISERROR(IF($K60&lt;=$F$15,VLOOKUP($I60,'表4）CO2価格'!$A$7:$E$67,VLOOKUP($F$48,'表4）CO2価格'!$H$10:$I$12,2,0),0)*$F$8/1000,"")),0,IF($K60&lt;=$F$15,VLOOKUP($I60,'表4）CO2価格'!$A$7:$E$67,VLOOKUP($F$48,'表4）CO2価格'!$H$10:$I$12,2,0),0)*$F$8/1000,""))</f>
        <v/>
      </c>
      <c r="AZ60" s="71"/>
      <c r="BA60" s="11" t="str">
        <f t="shared" si="47"/>
        <v/>
      </c>
      <c r="BB60" s="10" t="str">
        <f t="shared" si="28"/>
        <v/>
      </c>
      <c r="BC60" s="71"/>
      <c r="BD60" s="10" t="str">
        <f t="shared" si="48"/>
        <v/>
      </c>
      <c r="BE60" s="10" t="str">
        <f t="shared" si="29"/>
        <v/>
      </c>
      <c r="BF60" s="71"/>
      <c r="BG60" s="11" t="str">
        <f t="shared" si="49"/>
        <v/>
      </c>
      <c r="BH60" s="10" t="str">
        <f t="shared" si="30"/>
        <v/>
      </c>
      <c r="BJ60" s="7" t="str">
        <f t="shared" si="31"/>
        <v/>
      </c>
      <c r="BK60" s="158" t="str">
        <f t="shared" si="32"/>
        <v/>
      </c>
      <c r="BL60" s="158" t="str">
        <f t="shared" si="14"/>
        <v/>
      </c>
      <c r="BM60" s="10"/>
      <c r="BN60" s="10" t="str">
        <f t="shared" si="33"/>
        <v/>
      </c>
      <c r="BO60" s="10" t="str">
        <f t="shared" si="34"/>
        <v/>
      </c>
      <c r="BQ60" s="10" t="str">
        <f t="shared" si="50"/>
        <v/>
      </c>
      <c r="BR60" s="10" t="str">
        <f t="shared" si="35"/>
        <v/>
      </c>
    </row>
    <row r="61" spans="3:70" x14ac:dyDescent="0.15">
      <c r="D61" s="84" t="s">
        <v>586</v>
      </c>
      <c r="F61" s="475"/>
      <c r="G61" s="84" t="s">
        <v>556</v>
      </c>
      <c r="I61" s="38">
        <f t="shared" si="36"/>
        <v>2076</v>
      </c>
      <c r="J61" s="39"/>
      <c r="K61" s="39">
        <f t="shared" si="37"/>
        <v>47</v>
      </c>
      <c r="L61" s="39"/>
      <c r="M61" s="40">
        <f t="shared" si="0"/>
        <v>0.24925876497741845</v>
      </c>
      <c r="N61" s="39"/>
      <c r="O61" s="72" t="str">
        <f t="shared" si="16"/>
        <v/>
      </c>
      <c r="P61" s="41" t="str">
        <f t="shared" si="38"/>
        <v/>
      </c>
      <c r="Q61" s="39"/>
      <c r="R61" s="72" t="str">
        <f t="shared" si="51"/>
        <v/>
      </c>
      <c r="S61" s="39"/>
      <c r="T61" s="72" t="str">
        <f t="shared" si="18"/>
        <v/>
      </c>
      <c r="U61" s="39"/>
      <c r="V61" s="72" t="str">
        <f t="shared" si="39"/>
        <v/>
      </c>
      <c r="W61" s="72" t="str">
        <f t="shared" si="19"/>
        <v/>
      </c>
      <c r="X61" s="39"/>
      <c r="Y61" s="72" t="str">
        <f t="shared" si="40"/>
        <v/>
      </c>
      <c r="Z61" s="72" t="str">
        <f t="shared" si="20"/>
        <v/>
      </c>
      <c r="AA61" s="39"/>
      <c r="AB61" s="72" t="str">
        <f t="shared" si="4"/>
        <v/>
      </c>
      <c r="AC61" s="72" t="str">
        <f t="shared" si="21"/>
        <v/>
      </c>
      <c r="AD61" s="39"/>
      <c r="AE61" s="72" t="str">
        <f t="shared" si="41"/>
        <v/>
      </c>
      <c r="AF61" s="72" t="str">
        <f t="shared" si="22"/>
        <v/>
      </c>
      <c r="AG61" s="39"/>
      <c r="AH61" s="72" t="str">
        <f t="shared" si="42"/>
        <v/>
      </c>
      <c r="AI61" s="72" t="str">
        <f t="shared" si="23"/>
        <v/>
      </c>
      <c r="AJ61" s="39"/>
      <c r="AK61" s="72" t="str">
        <f t="shared" si="43"/>
        <v/>
      </c>
      <c r="AL61" s="72" t="str">
        <f t="shared" si="24"/>
        <v/>
      </c>
      <c r="AM61" s="39"/>
      <c r="AN61" s="72" t="str">
        <f t="shared" si="44"/>
        <v/>
      </c>
      <c r="AO61" s="72" t="str">
        <f t="shared" si="25"/>
        <v/>
      </c>
      <c r="AP61" s="39"/>
      <c r="AQ61" s="72" t="str">
        <f t="shared" si="45"/>
        <v/>
      </c>
      <c r="AR61" s="72" t="str">
        <f t="shared" si="26"/>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46"/>
        <v/>
      </c>
      <c r="AW61" s="72" t="str">
        <f t="shared" si="27"/>
        <v/>
      </c>
      <c r="AX61" s="39"/>
      <c r="AY61" s="40" t="str">
        <f>IF(ISERROR(IF($K61&lt;=$F$15,VLOOKUP($I61,'表4）CO2価格'!$A$7:$E$67,VLOOKUP($F$48,'表4）CO2価格'!$H$10:$I$12,2,0),0)*$F$8/1000,"")),0,IF($K61&lt;=$F$15,VLOOKUP($I61,'表4）CO2価格'!$A$7:$E$67,VLOOKUP($F$48,'表4）CO2価格'!$H$10:$I$12,2,0),0)*$F$8/1000,""))</f>
        <v/>
      </c>
      <c r="AZ61" s="39"/>
      <c r="BA61" s="42" t="str">
        <f t="shared" si="47"/>
        <v/>
      </c>
      <c r="BB61" s="72" t="str">
        <f t="shared" si="28"/>
        <v/>
      </c>
      <c r="BC61" s="39"/>
      <c r="BD61" s="72" t="str">
        <f t="shared" si="48"/>
        <v/>
      </c>
      <c r="BE61" s="72" t="str">
        <f t="shared" si="29"/>
        <v/>
      </c>
      <c r="BF61" s="39"/>
      <c r="BG61" s="42" t="str">
        <f t="shared" si="49"/>
        <v/>
      </c>
      <c r="BH61" s="72" t="str">
        <f t="shared" si="30"/>
        <v/>
      </c>
      <c r="BI61" s="39"/>
      <c r="BJ61" s="40" t="str">
        <f t="shared" si="31"/>
        <v/>
      </c>
      <c r="BK61" s="157" t="str">
        <f t="shared" si="32"/>
        <v/>
      </c>
      <c r="BL61" s="157" t="str">
        <f t="shared" si="14"/>
        <v/>
      </c>
      <c r="BM61" s="72"/>
      <c r="BN61" s="72" t="str">
        <f t="shared" si="33"/>
        <v/>
      </c>
      <c r="BO61" s="72" t="str">
        <f t="shared" si="34"/>
        <v/>
      </c>
      <c r="BP61" s="39"/>
      <c r="BQ61" s="72" t="str">
        <f t="shared" si="50"/>
        <v/>
      </c>
      <c r="BR61" s="72" t="str">
        <f t="shared" si="35"/>
        <v/>
      </c>
    </row>
    <row r="62" spans="3:70" x14ac:dyDescent="0.15">
      <c r="D62" s="84" t="s">
        <v>587</v>
      </c>
      <c r="F62" s="481"/>
      <c r="G62" s="84" t="s">
        <v>588</v>
      </c>
      <c r="I62" s="457">
        <f t="shared" si="36"/>
        <v>2077</v>
      </c>
      <c r="J62" s="71"/>
      <c r="K62" s="71">
        <f t="shared" si="37"/>
        <v>48</v>
      </c>
      <c r="L62" s="71"/>
      <c r="M62" s="7">
        <f t="shared" si="0"/>
        <v>0.24199880094894996</v>
      </c>
      <c r="N62" s="71"/>
      <c r="O62" s="10" t="str">
        <f t="shared" si="16"/>
        <v/>
      </c>
      <c r="P62" s="29" t="str">
        <f t="shared" si="38"/>
        <v/>
      </c>
      <c r="Q62" s="71"/>
      <c r="R62" s="10" t="str">
        <f t="shared" si="51"/>
        <v/>
      </c>
      <c r="S62" s="71"/>
      <c r="T62" s="10" t="str">
        <f t="shared" si="18"/>
        <v/>
      </c>
      <c r="U62" s="71"/>
      <c r="V62" s="10" t="str">
        <f t="shared" si="39"/>
        <v/>
      </c>
      <c r="W62" s="10" t="str">
        <f t="shared" si="19"/>
        <v/>
      </c>
      <c r="X62" s="71"/>
      <c r="Y62" s="10" t="str">
        <f t="shared" si="40"/>
        <v/>
      </c>
      <c r="Z62" s="10" t="str">
        <f t="shared" si="20"/>
        <v/>
      </c>
      <c r="AA62" s="71"/>
      <c r="AB62" s="10" t="str">
        <f t="shared" si="4"/>
        <v/>
      </c>
      <c r="AC62" s="10" t="str">
        <f t="shared" si="21"/>
        <v/>
      </c>
      <c r="AD62" s="71"/>
      <c r="AE62" s="10" t="str">
        <f t="shared" si="41"/>
        <v/>
      </c>
      <c r="AF62" s="10" t="str">
        <f t="shared" si="22"/>
        <v/>
      </c>
      <c r="AG62" s="71"/>
      <c r="AH62" s="10" t="str">
        <f t="shared" si="42"/>
        <v/>
      </c>
      <c r="AI62" s="10" t="str">
        <f t="shared" si="23"/>
        <v/>
      </c>
      <c r="AJ62" s="71"/>
      <c r="AK62" s="10" t="str">
        <f t="shared" si="43"/>
        <v/>
      </c>
      <c r="AL62" s="10" t="str">
        <f t="shared" si="24"/>
        <v/>
      </c>
      <c r="AM62" s="71"/>
      <c r="AN62" s="10" t="str">
        <f t="shared" si="44"/>
        <v/>
      </c>
      <c r="AO62" s="10" t="str">
        <f t="shared" si="25"/>
        <v/>
      </c>
      <c r="AP62" s="71"/>
      <c r="AQ62" s="10" t="str">
        <f t="shared" si="45"/>
        <v/>
      </c>
      <c r="AR62" s="10" t="str">
        <f t="shared" si="26"/>
        <v/>
      </c>
      <c r="AS62" s="71"/>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U62" s="71"/>
      <c r="AV62" s="10" t="str">
        <f t="shared" si="46"/>
        <v/>
      </c>
      <c r="AW62" s="10" t="str">
        <f t="shared" si="27"/>
        <v/>
      </c>
      <c r="AX62" s="71"/>
      <c r="AY62" s="7" t="str">
        <f>IF(ISERROR(IF($K62&lt;=$F$15,VLOOKUP($I62,'表4）CO2価格'!$A$7:$E$67,VLOOKUP($F$48,'表4）CO2価格'!$H$10:$I$12,2,0),0)*$F$8/1000,"")),0,IF($K62&lt;=$F$15,VLOOKUP($I62,'表4）CO2価格'!$A$7:$E$67,VLOOKUP($F$48,'表4）CO2価格'!$H$10:$I$12,2,0),0)*$F$8/1000,""))</f>
        <v/>
      </c>
      <c r="AZ62" s="71"/>
      <c r="BA62" s="11" t="str">
        <f t="shared" si="47"/>
        <v/>
      </c>
      <c r="BB62" s="10" t="str">
        <f t="shared" si="28"/>
        <v/>
      </c>
      <c r="BC62" s="71"/>
      <c r="BD62" s="10" t="str">
        <f t="shared" si="48"/>
        <v/>
      </c>
      <c r="BE62" s="10" t="str">
        <f t="shared" si="29"/>
        <v/>
      </c>
      <c r="BF62" s="71"/>
      <c r="BG62" s="11" t="str">
        <f t="shared" si="49"/>
        <v/>
      </c>
      <c r="BH62" s="10" t="str">
        <f t="shared" si="30"/>
        <v/>
      </c>
      <c r="BJ62" s="7" t="str">
        <f t="shared" si="31"/>
        <v/>
      </c>
      <c r="BK62" s="158" t="str">
        <f t="shared" si="32"/>
        <v/>
      </c>
      <c r="BL62" s="158" t="str">
        <f t="shared" si="14"/>
        <v/>
      </c>
      <c r="BM62" s="10"/>
      <c r="BN62" s="10" t="str">
        <f t="shared" si="33"/>
        <v/>
      </c>
      <c r="BO62" s="10" t="str">
        <f t="shared" si="34"/>
        <v/>
      </c>
      <c r="BQ62" s="10" t="str">
        <f t="shared" si="50"/>
        <v/>
      </c>
      <c r="BR62" s="10" t="str">
        <f t="shared" si="35"/>
        <v/>
      </c>
    </row>
    <row r="63" spans="3:70" x14ac:dyDescent="0.15">
      <c r="I63" s="38">
        <f t="shared" si="36"/>
        <v>2078</v>
      </c>
      <c r="J63" s="39"/>
      <c r="K63" s="39">
        <f t="shared" si="37"/>
        <v>49</v>
      </c>
      <c r="L63" s="39"/>
      <c r="M63" s="40">
        <f t="shared" si="0"/>
        <v>0.2349502921834466</v>
      </c>
      <c r="N63" s="39"/>
      <c r="O63" s="72" t="str">
        <f t="shared" si="16"/>
        <v/>
      </c>
      <c r="P63" s="41" t="str">
        <f t="shared" si="38"/>
        <v/>
      </c>
      <c r="Q63" s="39"/>
      <c r="R63" s="72" t="str">
        <f t="shared" si="51"/>
        <v/>
      </c>
      <c r="S63" s="39"/>
      <c r="T63" s="72" t="str">
        <f t="shared" si="18"/>
        <v/>
      </c>
      <c r="U63" s="39"/>
      <c r="V63" s="72" t="str">
        <f t="shared" si="39"/>
        <v/>
      </c>
      <c r="W63" s="72" t="str">
        <f t="shared" si="19"/>
        <v/>
      </c>
      <c r="X63" s="39"/>
      <c r="Y63" s="72" t="str">
        <f t="shared" si="40"/>
        <v/>
      </c>
      <c r="Z63" s="72" t="str">
        <f t="shared" si="20"/>
        <v/>
      </c>
      <c r="AA63" s="39"/>
      <c r="AB63" s="72" t="str">
        <f t="shared" si="4"/>
        <v/>
      </c>
      <c r="AC63" s="72" t="str">
        <f t="shared" si="21"/>
        <v/>
      </c>
      <c r="AD63" s="39"/>
      <c r="AE63" s="72" t="str">
        <f t="shared" si="41"/>
        <v/>
      </c>
      <c r="AF63" s="72" t="str">
        <f t="shared" si="22"/>
        <v/>
      </c>
      <c r="AG63" s="39"/>
      <c r="AH63" s="72" t="str">
        <f t="shared" si="42"/>
        <v/>
      </c>
      <c r="AI63" s="72" t="str">
        <f t="shared" si="23"/>
        <v/>
      </c>
      <c r="AJ63" s="39"/>
      <c r="AK63" s="72" t="str">
        <f t="shared" si="43"/>
        <v/>
      </c>
      <c r="AL63" s="72" t="str">
        <f t="shared" si="24"/>
        <v/>
      </c>
      <c r="AM63" s="39"/>
      <c r="AN63" s="72" t="str">
        <f t="shared" si="44"/>
        <v/>
      </c>
      <c r="AO63" s="72" t="str">
        <f t="shared" si="25"/>
        <v/>
      </c>
      <c r="AP63" s="39"/>
      <c r="AQ63" s="72" t="str">
        <f t="shared" si="45"/>
        <v/>
      </c>
      <c r="AR63" s="72" t="str">
        <f t="shared" si="26"/>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46"/>
        <v/>
      </c>
      <c r="AW63" s="72" t="str">
        <f t="shared" si="27"/>
        <v/>
      </c>
      <c r="AX63" s="39"/>
      <c r="AY63" s="40" t="str">
        <f>IF(ISERROR(IF($K63&lt;=$F$15,VLOOKUP($I63,'表4）CO2価格'!$A$7:$E$67,VLOOKUP($F$48,'表4）CO2価格'!$H$10:$I$12,2,0),0)*$F$8/1000,"")),0,IF($K63&lt;=$F$15,VLOOKUP($I63,'表4）CO2価格'!$A$7:$E$67,VLOOKUP($F$48,'表4）CO2価格'!$H$10:$I$12,2,0),0)*$F$8/1000,""))</f>
        <v/>
      </c>
      <c r="AZ63" s="39"/>
      <c r="BA63" s="42" t="str">
        <f t="shared" si="47"/>
        <v/>
      </c>
      <c r="BB63" s="72" t="str">
        <f t="shared" si="28"/>
        <v/>
      </c>
      <c r="BC63" s="39"/>
      <c r="BD63" s="72" t="str">
        <f t="shared" si="48"/>
        <v/>
      </c>
      <c r="BE63" s="72" t="str">
        <f t="shared" si="29"/>
        <v/>
      </c>
      <c r="BF63" s="39"/>
      <c r="BG63" s="42" t="str">
        <f t="shared" si="49"/>
        <v/>
      </c>
      <c r="BH63" s="72" t="str">
        <f t="shared" si="30"/>
        <v/>
      </c>
      <c r="BI63" s="39"/>
      <c r="BJ63" s="40" t="str">
        <f t="shared" si="31"/>
        <v/>
      </c>
      <c r="BK63" s="157" t="str">
        <f t="shared" si="32"/>
        <v/>
      </c>
      <c r="BL63" s="157" t="str">
        <f t="shared" si="14"/>
        <v/>
      </c>
      <c r="BM63" s="72"/>
      <c r="BN63" s="72" t="str">
        <f t="shared" si="33"/>
        <v/>
      </c>
      <c r="BO63" s="72" t="str">
        <f t="shared" si="34"/>
        <v/>
      </c>
      <c r="BP63" s="39"/>
      <c r="BQ63" s="72" t="str">
        <f t="shared" si="50"/>
        <v/>
      </c>
      <c r="BR63" s="72" t="str">
        <f t="shared" si="35"/>
        <v/>
      </c>
    </row>
    <row r="64" spans="3:70" x14ac:dyDescent="0.15">
      <c r="C64" s="71" t="s">
        <v>589</v>
      </c>
      <c r="F64" s="477">
        <v>0.13</v>
      </c>
      <c r="G64" s="84" t="s">
        <v>590</v>
      </c>
      <c r="I64" s="457">
        <f t="shared" si="36"/>
        <v>2079</v>
      </c>
      <c r="J64" s="71"/>
      <c r="K64" s="71">
        <f t="shared" si="37"/>
        <v>50</v>
      </c>
      <c r="L64" s="71"/>
      <c r="M64" s="7">
        <f t="shared" si="0"/>
        <v>0.22810707978975397</v>
      </c>
      <c r="N64" s="71"/>
      <c r="O64" s="10" t="str">
        <f t="shared" si="16"/>
        <v/>
      </c>
      <c r="P64" s="29" t="str">
        <f t="shared" si="38"/>
        <v/>
      </c>
      <c r="Q64" s="71"/>
      <c r="R64" s="10" t="str">
        <f t="shared" si="51"/>
        <v/>
      </c>
      <c r="S64" s="71"/>
      <c r="T64" s="10" t="str">
        <f t="shared" si="18"/>
        <v/>
      </c>
      <c r="U64" s="71"/>
      <c r="V64" s="10" t="str">
        <f t="shared" si="39"/>
        <v/>
      </c>
      <c r="W64" s="10" t="str">
        <f t="shared" si="19"/>
        <v/>
      </c>
      <c r="X64" s="71"/>
      <c r="Y64" s="10" t="str">
        <f t="shared" si="40"/>
        <v/>
      </c>
      <c r="Z64" s="10" t="str">
        <f t="shared" si="20"/>
        <v/>
      </c>
      <c r="AA64" s="71"/>
      <c r="AB64" s="10" t="str">
        <f t="shared" si="4"/>
        <v/>
      </c>
      <c r="AC64" s="10" t="str">
        <f t="shared" si="21"/>
        <v/>
      </c>
      <c r="AD64" s="71"/>
      <c r="AE64" s="10" t="str">
        <f t="shared" si="41"/>
        <v/>
      </c>
      <c r="AF64" s="10" t="str">
        <f t="shared" si="22"/>
        <v/>
      </c>
      <c r="AG64" s="71"/>
      <c r="AH64" s="10" t="str">
        <f t="shared" si="42"/>
        <v/>
      </c>
      <c r="AI64" s="10" t="str">
        <f t="shared" si="23"/>
        <v/>
      </c>
      <c r="AJ64" s="71"/>
      <c r="AK64" s="10" t="str">
        <f t="shared" si="43"/>
        <v/>
      </c>
      <c r="AL64" s="10" t="str">
        <f t="shared" si="24"/>
        <v/>
      </c>
      <c r="AM64" s="71"/>
      <c r="AN64" s="10" t="str">
        <f t="shared" si="44"/>
        <v/>
      </c>
      <c r="AO64" s="10" t="str">
        <f t="shared" si="25"/>
        <v/>
      </c>
      <c r="AP64" s="71"/>
      <c r="AQ64" s="10" t="str">
        <f t="shared" si="45"/>
        <v/>
      </c>
      <c r="AR64" s="10" t="str">
        <f t="shared" si="26"/>
        <v/>
      </c>
      <c r="AS64" s="71"/>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U64" s="71"/>
      <c r="AV64" s="10" t="str">
        <f t="shared" si="46"/>
        <v/>
      </c>
      <c r="AW64" s="10" t="str">
        <f t="shared" si="27"/>
        <v/>
      </c>
      <c r="AX64" s="71"/>
      <c r="AY64" s="7" t="str">
        <f>IF(ISERROR(IF($K64&lt;=$F$15,VLOOKUP($I64,'表4）CO2価格'!$A$7:$E$67,VLOOKUP($F$48,'表4）CO2価格'!$H$10:$I$12,2,0),0)*$F$8/1000,"")),0,IF($K64&lt;=$F$15,VLOOKUP($I64,'表4）CO2価格'!$A$7:$E$67,VLOOKUP($F$48,'表4）CO2価格'!$H$10:$I$12,2,0),0)*$F$8/1000,""))</f>
        <v/>
      </c>
      <c r="AZ64" s="71"/>
      <c r="BA64" s="11" t="str">
        <f t="shared" si="47"/>
        <v/>
      </c>
      <c r="BB64" s="10" t="str">
        <f t="shared" si="28"/>
        <v/>
      </c>
      <c r="BC64" s="71"/>
      <c r="BD64" s="10" t="str">
        <f t="shared" si="48"/>
        <v/>
      </c>
      <c r="BE64" s="10" t="str">
        <f t="shared" si="29"/>
        <v/>
      </c>
      <c r="BF64" s="71"/>
      <c r="BG64" s="11" t="str">
        <f t="shared" si="49"/>
        <v/>
      </c>
      <c r="BH64" s="10" t="str">
        <f t="shared" si="30"/>
        <v/>
      </c>
      <c r="BJ64" s="7" t="str">
        <f t="shared" si="31"/>
        <v/>
      </c>
      <c r="BK64" s="158" t="str">
        <f t="shared" si="32"/>
        <v/>
      </c>
      <c r="BL64" s="158" t="str">
        <f t="shared" si="14"/>
        <v/>
      </c>
      <c r="BM64" s="10"/>
      <c r="BN64" s="10" t="str">
        <f t="shared" si="33"/>
        <v/>
      </c>
      <c r="BO64" s="10" t="str">
        <f t="shared" si="34"/>
        <v/>
      </c>
      <c r="BQ64" s="10" t="str">
        <f t="shared" si="50"/>
        <v/>
      </c>
      <c r="BR64" s="10" t="str">
        <f t="shared" si="35"/>
        <v/>
      </c>
    </row>
    <row r="65" spans="2:70" x14ac:dyDescent="0.15">
      <c r="I65" s="38">
        <f t="shared" si="36"/>
        <v>2080</v>
      </c>
      <c r="J65" s="39"/>
      <c r="K65" s="39">
        <f t="shared" si="37"/>
        <v>51</v>
      </c>
      <c r="L65" s="39"/>
      <c r="M65" s="40">
        <f t="shared" si="0"/>
        <v>0.22146318426189707</v>
      </c>
      <c r="N65" s="39"/>
      <c r="O65" s="72" t="str">
        <f t="shared" si="16"/>
        <v/>
      </c>
      <c r="P65" s="41" t="str">
        <f t="shared" si="38"/>
        <v/>
      </c>
      <c r="Q65" s="39"/>
      <c r="R65" s="72" t="str">
        <f t="shared" si="51"/>
        <v/>
      </c>
      <c r="S65" s="39"/>
      <c r="T65" s="72" t="str">
        <f t="shared" si="18"/>
        <v/>
      </c>
      <c r="U65" s="39"/>
      <c r="V65" s="72" t="str">
        <f t="shared" si="39"/>
        <v/>
      </c>
      <c r="W65" s="72" t="str">
        <f t="shared" si="19"/>
        <v/>
      </c>
      <c r="X65" s="39"/>
      <c r="Y65" s="72" t="str">
        <f t="shared" si="40"/>
        <v/>
      </c>
      <c r="Z65" s="72" t="str">
        <f t="shared" si="20"/>
        <v/>
      </c>
      <c r="AA65" s="39"/>
      <c r="AB65" s="72" t="str">
        <f t="shared" si="4"/>
        <v/>
      </c>
      <c r="AC65" s="72" t="str">
        <f t="shared" si="21"/>
        <v/>
      </c>
      <c r="AD65" s="39"/>
      <c r="AE65" s="72" t="str">
        <f t="shared" si="41"/>
        <v/>
      </c>
      <c r="AF65" s="72" t="str">
        <f t="shared" si="22"/>
        <v/>
      </c>
      <c r="AG65" s="39"/>
      <c r="AH65" s="72" t="str">
        <f t="shared" si="42"/>
        <v/>
      </c>
      <c r="AI65" s="72" t="str">
        <f t="shared" si="23"/>
        <v/>
      </c>
      <c r="AJ65" s="39"/>
      <c r="AK65" s="72" t="str">
        <f t="shared" si="43"/>
        <v/>
      </c>
      <c r="AL65" s="72" t="str">
        <f t="shared" si="24"/>
        <v/>
      </c>
      <c r="AM65" s="39"/>
      <c r="AN65" s="72" t="str">
        <f t="shared" si="44"/>
        <v/>
      </c>
      <c r="AO65" s="72" t="str">
        <f t="shared" si="25"/>
        <v/>
      </c>
      <c r="AP65" s="39"/>
      <c r="AQ65" s="72" t="str">
        <f t="shared" si="45"/>
        <v/>
      </c>
      <c r="AR65" s="72" t="str">
        <f t="shared" si="26"/>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46"/>
        <v/>
      </c>
      <c r="AW65" s="72" t="str">
        <f t="shared" si="27"/>
        <v/>
      </c>
      <c r="AX65" s="39"/>
      <c r="AY65" s="40" t="str">
        <f>IF(ISERROR(IF($K65&lt;=$F$15,VLOOKUP($I65,'表4）CO2価格'!$A$7:$E$67,VLOOKUP($F$48,'表4）CO2価格'!$H$10:$I$12,2,0),0)*$F$8/1000,"")),0,IF($K65&lt;=$F$15,VLOOKUP($I65,'表4）CO2価格'!$A$7:$E$67,VLOOKUP($F$48,'表4）CO2価格'!$H$10:$I$12,2,0),0)*$F$8/1000,""))</f>
        <v/>
      </c>
      <c r="AZ65" s="39"/>
      <c r="BA65" s="42" t="str">
        <f t="shared" si="47"/>
        <v/>
      </c>
      <c r="BB65" s="72" t="str">
        <f t="shared" si="28"/>
        <v/>
      </c>
      <c r="BC65" s="39"/>
      <c r="BD65" s="72" t="str">
        <f t="shared" si="48"/>
        <v/>
      </c>
      <c r="BE65" s="72" t="str">
        <f t="shared" si="29"/>
        <v/>
      </c>
      <c r="BF65" s="39"/>
      <c r="BG65" s="42" t="str">
        <f t="shared" si="49"/>
        <v/>
      </c>
      <c r="BH65" s="72" t="str">
        <f t="shared" si="30"/>
        <v/>
      </c>
      <c r="BI65" s="39"/>
      <c r="BJ65" s="40" t="str">
        <f t="shared" si="31"/>
        <v/>
      </c>
      <c r="BK65" s="157" t="str">
        <f t="shared" si="32"/>
        <v/>
      </c>
      <c r="BL65" s="157" t="str">
        <f t="shared" si="14"/>
        <v/>
      </c>
      <c r="BM65" s="72"/>
      <c r="BN65" s="72" t="str">
        <f t="shared" si="33"/>
        <v/>
      </c>
      <c r="BO65" s="72" t="str">
        <f t="shared" si="34"/>
        <v/>
      </c>
      <c r="BP65" s="39"/>
      <c r="BQ65" s="72" t="str">
        <f t="shared" si="50"/>
        <v/>
      </c>
      <c r="BR65" s="72" t="str">
        <f t="shared" si="35"/>
        <v/>
      </c>
    </row>
    <row r="66" spans="2:70" x14ac:dyDescent="0.15">
      <c r="I66" s="457">
        <f t="shared" si="36"/>
        <v>2081</v>
      </c>
      <c r="J66" s="71"/>
      <c r="K66" s="71">
        <f t="shared" si="37"/>
        <v>52</v>
      </c>
      <c r="L66" s="71"/>
      <c r="M66" s="7">
        <f t="shared" si="0"/>
        <v>0.215012800254269</v>
      </c>
      <c r="N66" s="71"/>
      <c r="O66" s="10" t="str">
        <f t="shared" si="16"/>
        <v/>
      </c>
      <c r="P66" s="29" t="str">
        <f t="shared" si="38"/>
        <v/>
      </c>
      <c r="Q66" s="71"/>
      <c r="R66" s="10" t="str">
        <f t="shared" si="51"/>
        <v/>
      </c>
      <c r="S66" s="71"/>
      <c r="T66" s="10" t="str">
        <f t="shared" si="18"/>
        <v/>
      </c>
      <c r="U66" s="71"/>
      <c r="V66" s="10" t="str">
        <f t="shared" si="39"/>
        <v/>
      </c>
      <c r="W66" s="10" t="str">
        <f t="shared" si="19"/>
        <v/>
      </c>
      <c r="X66" s="71"/>
      <c r="Y66" s="10" t="str">
        <f t="shared" si="40"/>
        <v/>
      </c>
      <c r="Z66" s="10" t="str">
        <f t="shared" si="20"/>
        <v/>
      </c>
      <c r="AA66" s="71"/>
      <c r="AB66" s="10" t="str">
        <f t="shared" si="4"/>
        <v/>
      </c>
      <c r="AC66" s="10" t="str">
        <f t="shared" si="21"/>
        <v/>
      </c>
      <c r="AD66" s="71"/>
      <c r="AE66" s="10" t="str">
        <f t="shared" si="41"/>
        <v/>
      </c>
      <c r="AF66" s="10" t="str">
        <f t="shared" si="22"/>
        <v/>
      </c>
      <c r="AG66" s="71"/>
      <c r="AH66" s="10" t="str">
        <f t="shared" si="42"/>
        <v/>
      </c>
      <c r="AI66" s="10" t="str">
        <f t="shared" si="23"/>
        <v/>
      </c>
      <c r="AJ66" s="71"/>
      <c r="AK66" s="10" t="str">
        <f t="shared" si="43"/>
        <v/>
      </c>
      <c r="AL66" s="10" t="str">
        <f t="shared" si="24"/>
        <v/>
      </c>
      <c r="AM66" s="71"/>
      <c r="AN66" s="10" t="str">
        <f t="shared" si="44"/>
        <v/>
      </c>
      <c r="AO66" s="10" t="str">
        <f t="shared" si="25"/>
        <v/>
      </c>
      <c r="AP66" s="71"/>
      <c r="AQ66" s="10" t="str">
        <f t="shared" si="45"/>
        <v/>
      </c>
      <c r="AR66" s="10" t="str">
        <f t="shared" si="26"/>
        <v/>
      </c>
      <c r="AS66" s="71"/>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U66" s="71"/>
      <c r="AV66" s="10" t="str">
        <f t="shared" si="46"/>
        <v/>
      </c>
      <c r="AW66" s="10" t="str">
        <f t="shared" si="27"/>
        <v/>
      </c>
      <c r="AX66" s="71"/>
      <c r="AY66" s="7" t="str">
        <f>IF(ISERROR(IF($K66&lt;=$F$15,VLOOKUP($I66,'表4）CO2価格'!$A$7:$E$67,VLOOKUP($F$48,'表4）CO2価格'!$H$10:$I$12,2,0),0)*$F$8/1000,"")),0,IF($K66&lt;=$F$15,VLOOKUP($I66,'表4）CO2価格'!$A$7:$E$67,VLOOKUP($F$48,'表4）CO2価格'!$H$10:$I$12,2,0),0)*$F$8/1000,""))</f>
        <v/>
      </c>
      <c r="AZ66" s="71"/>
      <c r="BA66" s="11" t="str">
        <f t="shared" si="47"/>
        <v/>
      </c>
      <c r="BB66" s="10" t="str">
        <f t="shared" si="28"/>
        <v/>
      </c>
      <c r="BC66" s="71"/>
      <c r="BD66" s="10" t="str">
        <f t="shared" si="48"/>
        <v/>
      </c>
      <c r="BE66" s="10" t="str">
        <f t="shared" si="29"/>
        <v/>
      </c>
      <c r="BF66" s="71"/>
      <c r="BG66" s="11" t="str">
        <f t="shared" si="49"/>
        <v/>
      </c>
      <c r="BH66" s="10" t="str">
        <f t="shared" si="30"/>
        <v/>
      </c>
      <c r="BJ66" s="7" t="str">
        <f t="shared" si="31"/>
        <v/>
      </c>
      <c r="BK66" s="158" t="str">
        <f t="shared" si="32"/>
        <v/>
      </c>
      <c r="BL66" s="158" t="str">
        <f t="shared" si="14"/>
        <v/>
      </c>
      <c r="BM66" s="10"/>
      <c r="BN66" s="10" t="str">
        <f t="shared" si="33"/>
        <v/>
      </c>
      <c r="BO66" s="10" t="str">
        <f t="shared" si="34"/>
        <v/>
      </c>
      <c r="BQ66" s="10" t="str">
        <f t="shared" si="50"/>
        <v/>
      </c>
      <c r="BR66" s="10" t="str">
        <f t="shared" si="35"/>
        <v/>
      </c>
    </row>
    <row r="67" spans="2:70" ht="15.75" thickBot="1" x14ac:dyDescent="0.2">
      <c r="B67" s="5" t="s">
        <v>133</v>
      </c>
      <c r="C67" s="3"/>
      <c r="D67" s="102"/>
      <c r="E67" s="102"/>
      <c r="F67" s="3"/>
      <c r="G67" s="102"/>
      <c r="I67" s="38">
        <f t="shared" si="36"/>
        <v>2082</v>
      </c>
      <c r="J67" s="39"/>
      <c r="K67" s="39">
        <f t="shared" si="37"/>
        <v>53</v>
      </c>
      <c r="L67" s="39"/>
      <c r="M67" s="40">
        <f t="shared" si="0"/>
        <v>0.20875029150899907</v>
      </c>
      <c r="N67" s="39"/>
      <c r="O67" s="72" t="str">
        <f t="shared" si="16"/>
        <v/>
      </c>
      <c r="P67" s="41" t="str">
        <f t="shared" si="38"/>
        <v/>
      </c>
      <c r="Q67" s="39"/>
      <c r="R67" s="72" t="str">
        <f t="shared" si="51"/>
        <v/>
      </c>
      <c r="S67" s="39"/>
      <c r="T67" s="72" t="str">
        <f t="shared" si="18"/>
        <v/>
      </c>
      <c r="U67" s="39"/>
      <c r="V67" s="72" t="str">
        <f t="shared" si="39"/>
        <v/>
      </c>
      <c r="W67" s="72" t="str">
        <f t="shared" si="19"/>
        <v/>
      </c>
      <c r="X67" s="39"/>
      <c r="Y67" s="72" t="str">
        <f t="shared" si="40"/>
        <v/>
      </c>
      <c r="Z67" s="72" t="str">
        <f t="shared" si="20"/>
        <v/>
      </c>
      <c r="AA67" s="39"/>
      <c r="AB67" s="72" t="str">
        <f t="shared" si="4"/>
        <v/>
      </c>
      <c r="AC67" s="72" t="str">
        <f t="shared" si="21"/>
        <v/>
      </c>
      <c r="AD67" s="39"/>
      <c r="AE67" s="72" t="str">
        <f t="shared" si="41"/>
        <v/>
      </c>
      <c r="AF67" s="72" t="str">
        <f t="shared" si="22"/>
        <v/>
      </c>
      <c r="AG67" s="39"/>
      <c r="AH67" s="72" t="str">
        <f t="shared" si="42"/>
        <v/>
      </c>
      <c r="AI67" s="72" t="str">
        <f t="shared" si="23"/>
        <v/>
      </c>
      <c r="AJ67" s="39"/>
      <c r="AK67" s="72" t="str">
        <f t="shared" si="43"/>
        <v/>
      </c>
      <c r="AL67" s="72" t="str">
        <f t="shared" si="24"/>
        <v/>
      </c>
      <c r="AM67" s="39"/>
      <c r="AN67" s="72" t="str">
        <f t="shared" si="44"/>
        <v/>
      </c>
      <c r="AO67" s="72" t="str">
        <f t="shared" si="25"/>
        <v/>
      </c>
      <c r="AP67" s="39"/>
      <c r="AQ67" s="72" t="str">
        <f t="shared" si="45"/>
        <v/>
      </c>
      <c r="AR67" s="72" t="str">
        <f t="shared" si="26"/>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46"/>
        <v/>
      </c>
      <c r="AW67" s="72" t="str">
        <f t="shared" si="27"/>
        <v/>
      </c>
      <c r="AX67" s="39"/>
      <c r="AY67" s="40" t="str">
        <f>IF(ISERROR(IF($K67&lt;=$F$15,VLOOKUP($I67,'表4）CO2価格'!$A$7:$E$67,VLOOKUP($F$48,'表4）CO2価格'!$H$10:$I$12,2,0),0)*$F$8/1000,"")),0,IF($K67&lt;=$F$15,VLOOKUP($I67,'表4）CO2価格'!$A$7:$E$67,VLOOKUP($F$48,'表4）CO2価格'!$H$10:$I$12,2,0),0)*$F$8/1000,""))</f>
        <v/>
      </c>
      <c r="AZ67" s="39"/>
      <c r="BA67" s="42" t="str">
        <f t="shared" si="47"/>
        <v/>
      </c>
      <c r="BB67" s="72" t="str">
        <f t="shared" si="28"/>
        <v/>
      </c>
      <c r="BC67" s="39"/>
      <c r="BD67" s="72" t="str">
        <f t="shared" si="48"/>
        <v/>
      </c>
      <c r="BE67" s="72" t="str">
        <f t="shared" si="29"/>
        <v/>
      </c>
      <c r="BF67" s="39"/>
      <c r="BG67" s="42" t="str">
        <f t="shared" si="49"/>
        <v/>
      </c>
      <c r="BH67" s="72" t="str">
        <f t="shared" si="30"/>
        <v/>
      </c>
      <c r="BI67" s="39"/>
      <c r="BJ67" s="40" t="str">
        <f t="shared" si="31"/>
        <v/>
      </c>
      <c r="BK67" s="157" t="str">
        <f t="shared" si="32"/>
        <v/>
      </c>
      <c r="BL67" s="157" t="str">
        <f t="shared" si="14"/>
        <v/>
      </c>
      <c r="BM67" s="72"/>
      <c r="BN67" s="72" t="str">
        <f t="shared" si="33"/>
        <v/>
      </c>
      <c r="BO67" s="72" t="str">
        <f t="shared" si="34"/>
        <v/>
      </c>
      <c r="BP67" s="39"/>
      <c r="BQ67" s="72" t="str">
        <f t="shared" si="50"/>
        <v/>
      </c>
      <c r="BR67" s="72" t="str">
        <f t="shared" si="35"/>
        <v/>
      </c>
    </row>
    <row r="68" spans="2:70" x14ac:dyDescent="0.15">
      <c r="I68" s="457">
        <f t="shared" si="36"/>
        <v>2083</v>
      </c>
      <c r="J68" s="71"/>
      <c r="K68" s="71">
        <f t="shared" si="37"/>
        <v>54</v>
      </c>
      <c r="L68" s="71"/>
      <c r="M68" s="7">
        <f t="shared" si="0"/>
        <v>0.20267018593106703</v>
      </c>
      <c r="N68" s="71"/>
      <c r="O68" s="10" t="str">
        <f t="shared" si="16"/>
        <v/>
      </c>
      <c r="P68" s="29" t="str">
        <f t="shared" si="38"/>
        <v/>
      </c>
      <c r="Q68" s="71"/>
      <c r="R68" s="10" t="str">
        <f t="shared" si="51"/>
        <v/>
      </c>
      <c r="S68" s="71"/>
      <c r="T68" s="10" t="str">
        <f t="shared" si="18"/>
        <v/>
      </c>
      <c r="U68" s="71"/>
      <c r="V68" s="10" t="str">
        <f t="shared" si="39"/>
        <v/>
      </c>
      <c r="W68" s="10" t="str">
        <f t="shared" si="19"/>
        <v/>
      </c>
      <c r="X68" s="71"/>
      <c r="Y68" s="10" t="str">
        <f t="shared" si="40"/>
        <v/>
      </c>
      <c r="Z68" s="10" t="str">
        <f t="shared" si="20"/>
        <v/>
      </c>
      <c r="AA68" s="71"/>
      <c r="AB68" s="10" t="str">
        <f t="shared" si="4"/>
        <v/>
      </c>
      <c r="AC68" s="10" t="str">
        <f t="shared" si="21"/>
        <v/>
      </c>
      <c r="AD68" s="71"/>
      <c r="AE68" s="10" t="str">
        <f t="shared" si="41"/>
        <v/>
      </c>
      <c r="AF68" s="10" t="str">
        <f t="shared" si="22"/>
        <v/>
      </c>
      <c r="AG68" s="71"/>
      <c r="AH68" s="10" t="str">
        <f t="shared" si="42"/>
        <v/>
      </c>
      <c r="AI68" s="10" t="str">
        <f t="shared" si="23"/>
        <v/>
      </c>
      <c r="AJ68" s="71"/>
      <c r="AK68" s="10" t="str">
        <f t="shared" si="43"/>
        <v/>
      </c>
      <c r="AL68" s="10" t="str">
        <f t="shared" si="24"/>
        <v/>
      </c>
      <c r="AM68" s="71"/>
      <c r="AN68" s="10" t="str">
        <f t="shared" si="44"/>
        <v/>
      </c>
      <c r="AO68" s="10" t="str">
        <f t="shared" si="25"/>
        <v/>
      </c>
      <c r="AP68" s="71"/>
      <c r="AQ68" s="10" t="str">
        <f t="shared" si="45"/>
        <v/>
      </c>
      <c r="AR68" s="10" t="str">
        <f t="shared" si="26"/>
        <v/>
      </c>
      <c r="AS68" s="71"/>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U68" s="71"/>
      <c r="AV68" s="10" t="str">
        <f t="shared" si="46"/>
        <v/>
      </c>
      <c r="AW68" s="10" t="str">
        <f t="shared" si="27"/>
        <v/>
      </c>
      <c r="AX68" s="71"/>
      <c r="AY68" s="7" t="str">
        <f>IF(ISERROR(IF($K68&lt;=$F$15,VLOOKUP($I68,'表4）CO2価格'!$A$7:$E$67,VLOOKUP($F$48,'表4）CO2価格'!$H$10:$I$12,2,0),0)*$F$8/1000,"")),0,IF($K68&lt;=$F$15,VLOOKUP($I68,'表4）CO2価格'!$A$7:$E$67,VLOOKUP($F$48,'表4）CO2価格'!$H$10:$I$12,2,0),0)*$F$8/1000,""))</f>
        <v/>
      </c>
      <c r="AZ68" s="71"/>
      <c r="BA68" s="11" t="str">
        <f t="shared" si="47"/>
        <v/>
      </c>
      <c r="BB68" s="10" t="str">
        <f t="shared" si="28"/>
        <v/>
      </c>
      <c r="BC68" s="71"/>
      <c r="BD68" s="10" t="str">
        <f t="shared" si="48"/>
        <v/>
      </c>
      <c r="BE68" s="10" t="str">
        <f t="shared" si="29"/>
        <v/>
      </c>
      <c r="BF68" s="71"/>
      <c r="BG68" s="11" t="str">
        <f t="shared" si="49"/>
        <v/>
      </c>
      <c r="BH68" s="10" t="str">
        <f t="shared" si="30"/>
        <v/>
      </c>
      <c r="BJ68" s="7" t="str">
        <f t="shared" si="31"/>
        <v/>
      </c>
      <c r="BK68" s="158" t="str">
        <f t="shared" si="32"/>
        <v/>
      </c>
      <c r="BL68" s="158" t="str">
        <f t="shared" si="14"/>
        <v/>
      </c>
      <c r="BM68" s="10"/>
      <c r="BN68" s="10" t="str">
        <f t="shared" si="33"/>
        <v/>
      </c>
      <c r="BO68" s="10" t="str">
        <f t="shared" si="34"/>
        <v/>
      </c>
      <c r="BQ68" s="10" t="str">
        <f t="shared" si="50"/>
        <v/>
      </c>
      <c r="BR68" s="10" t="str">
        <f t="shared" si="35"/>
        <v/>
      </c>
    </row>
    <row r="69" spans="2:70" x14ac:dyDescent="0.15">
      <c r="C69" s="483" t="s">
        <v>134</v>
      </c>
      <c r="D69" s="71"/>
      <c r="E69" s="71"/>
      <c r="F69" s="484">
        <f>SUBTOTAL(9,F74:F112)-F105</f>
        <v>22.018624434363648</v>
      </c>
      <c r="G69" s="71" t="s">
        <v>590</v>
      </c>
      <c r="I69" s="38">
        <f t="shared" si="36"/>
        <v>2084</v>
      </c>
      <c r="J69" s="39"/>
      <c r="K69" s="39">
        <f t="shared" si="37"/>
        <v>55</v>
      </c>
      <c r="L69" s="39"/>
      <c r="M69" s="40">
        <f t="shared" si="0"/>
        <v>0.19676717080686118</v>
      </c>
      <c r="N69" s="39"/>
      <c r="O69" s="72" t="str">
        <f t="shared" si="16"/>
        <v/>
      </c>
      <c r="P69" s="41" t="str">
        <f t="shared" si="38"/>
        <v/>
      </c>
      <c r="Q69" s="39"/>
      <c r="R69" s="72" t="str">
        <f t="shared" si="51"/>
        <v/>
      </c>
      <c r="S69" s="39"/>
      <c r="T69" s="72" t="str">
        <f t="shared" si="18"/>
        <v/>
      </c>
      <c r="U69" s="39"/>
      <c r="V69" s="72" t="str">
        <f t="shared" si="39"/>
        <v/>
      </c>
      <c r="W69" s="72" t="str">
        <f t="shared" si="19"/>
        <v/>
      </c>
      <c r="X69" s="39"/>
      <c r="Y69" s="72" t="str">
        <f t="shared" si="40"/>
        <v/>
      </c>
      <c r="Z69" s="72" t="str">
        <f t="shared" si="20"/>
        <v/>
      </c>
      <c r="AA69" s="39"/>
      <c r="AB69" s="72" t="str">
        <f t="shared" si="4"/>
        <v/>
      </c>
      <c r="AC69" s="72" t="str">
        <f t="shared" si="21"/>
        <v/>
      </c>
      <c r="AD69" s="39"/>
      <c r="AE69" s="72" t="str">
        <f t="shared" si="41"/>
        <v/>
      </c>
      <c r="AF69" s="72" t="str">
        <f t="shared" si="22"/>
        <v/>
      </c>
      <c r="AG69" s="39"/>
      <c r="AH69" s="72" t="str">
        <f t="shared" si="42"/>
        <v/>
      </c>
      <c r="AI69" s="72" t="str">
        <f t="shared" si="23"/>
        <v/>
      </c>
      <c r="AJ69" s="39"/>
      <c r="AK69" s="72" t="str">
        <f t="shared" si="43"/>
        <v/>
      </c>
      <c r="AL69" s="72" t="str">
        <f t="shared" si="24"/>
        <v/>
      </c>
      <c r="AM69" s="39"/>
      <c r="AN69" s="72" t="str">
        <f t="shared" si="44"/>
        <v/>
      </c>
      <c r="AO69" s="72" t="str">
        <f t="shared" si="25"/>
        <v/>
      </c>
      <c r="AP69" s="39"/>
      <c r="AQ69" s="72" t="str">
        <f t="shared" si="45"/>
        <v/>
      </c>
      <c r="AR69" s="72" t="str">
        <f t="shared" si="26"/>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46"/>
        <v/>
      </c>
      <c r="AW69" s="72" t="str">
        <f t="shared" si="27"/>
        <v/>
      </c>
      <c r="AX69" s="39"/>
      <c r="AY69" s="40" t="str">
        <f>IF(ISERROR(IF($K69&lt;=$F$15,VLOOKUP($I69,'表4）CO2価格'!$A$7:$E$67,VLOOKUP($F$48,'表4）CO2価格'!$H$10:$I$12,2,0),0)*$F$8/1000,"")),0,IF($K69&lt;=$F$15,VLOOKUP($I69,'表4）CO2価格'!$A$7:$E$67,VLOOKUP($F$48,'表4）CO2価格'!$H$10:$I$12,2,0),0)*$F$8/1000,""))</f>
        <v/>
      </c>
      <c r="AZ69" s="39"/>
      <c r="BA69" s="42" t="str">
        <f t="shared" si="47"/>
        <v/>
      </c>
      <c r="BB69" s="72" t="str">
        <f t="shared" si="28"/>
        <v/>
      </c>
      <c r="BC69" s="39"/>
      <c r="BD69" s="72" t="str">
        <f t="shared" si="48"/>
        <v/>
      </c>
      <c r="BE69" s="72" t="str">
        <f t="shared" si="29"/>
        <v/>
      </c>
      <c r="BF69" s="39"/>
      <c r="BG69" s="42" t="str">
        <f t="shared" si="49"/>
        <v/>
      </c>
      <c r="BH69" s="72" t="str">
        <f t="shared" si="30"/>
        <v/>
      </c>
      <c r="BI69" s="39"/>
      <c r="BJ69" s="40" t="str">
        <f t="shared" si="31"/>
        <v/>
      </c>
      <c r="BK69" s="157" t="str">
        <f t="shared" si="32"/>
        <v/>
      </c>
      <c r="BL69" s="157" t="str">
        <f t="shared" si="14"/>
        <v/>
      </c>
      <c r="BM69" s="72"/>
      <c r="BN69" s="72" t="str">
        <f t="shared" si="33"/>
        <v/>
      </c>
      <c r="BO69" s="72" t="str">
        <f t="shared" si="34"/>
        <v/>
      </c>
      <c r="BP69" s="39"/>
      <c r="BQ69" s="72" t="str">
        <f t="shared" si="50"/>
        <v/>
      </c>
      <c r="BR69" s="72" t="str">
        <f t="shared" si="35"/>
        <v/>
      </c>
    </row>
    <row r="70" spans="2:70" x14ac:dyDescent="0.15">
      <c r="C70" s="483" t="s">
        <v>135</v>
      </c>
      <c r="D70" s="71"/>
      <c r="E70" s="71"/>
      <c r="F70" s="484">
        <f ca="1">MAX(SUM($Z$117,$AF$117,$AI$117,$AL$117,$AO$117,$AR$117,$AW$117,$BB$117,$BE$117,$BH$117,$BO$116)/$BR$116+$F$105,SUBTOTAL(9,F74:F112))</f>
        <v>25.244833773169113</v>
      </c>
      <c r="G70" s="71" t="s">
        <v>590</v>
      </c>
      <c r="I70" s="457">
        <f t="shared" si="36"/>
        <v>2085</v>
      </c>
      <c r="J70" s="71"/>
      <c r="K70" s="71">
        <f t="shared" si="37"/>
        <v>56</v>
      </c>
      <c r="L70" s="71"/>
      <c r="M70" s="7">
        <f t="shared" si="0"/>
        <v>0.19103608816200118</v>
      </c>
      <c r="N70" s="71"/>
      <c r="O70" s="10" t="str">
        <f t="shared" si="16"/>
        <v/>
      </c>
      <c r="P70" s="29" t="str">
        <f t="shared" si="38"/>
        <v/>
      </c>
      <c r="Q70" s="71"/>
      <c r="R70" s="10" t="str">
        <f t="shared" si="51"/>
        <v/>
      </c>
      <c r="S70" s="71"/>
      <c r="T70" s="10" t="str">
        <f t="shared" si="18"/>
        <v/>
      </c>
      <c r="U70" s="71"/>
      <c r="V70" s="10" t="str">
        <f t="shared" si="39"/>
        <v/>
      </c>
      <c r="W70" s="10" t="str">
        <f t="shared" si="19"/>
        <v/>
      </c>
      <c r="X70" s="71"/>
      <c r="Y70" s="10" t="str">
        <f t="shared" si="40"/>
        <v/>
      </c>
      <c r="Z70" s="10" t="str">
        <f t="shared" si="20"/>
        <v/>
      </c>
      <c r="AA70" s="71"/>
      <c r="AB70" s="10" t="str">
        <f t="shared" si="4"/>
        <v/>
      </c>
      <c r="AC70" s="10" t="str">
        <f t="shared" si="21"/>
        <v/>
      </c>
      <c r="AD70" s="71"/>
      <c r="AE70" s="10" t="str">
        <f t="shared" si="41"/>
        <v/>
      </c>
      <c r="AF70" s="10" t="str">
        <f t="shared" si="22"/>
        <v/>
      </c>
      <c r="AG70" s="71"/>
      <c r="AH70" s="10" t="str">
        <f t="shared" si="42"/>
        <v/>
      </c>
      <c r="AI70" s="10" t="str">
        <f t="shared" si="23"/>
        <v/>
      </c>
      <c r="AJ70" s="71"/>
      <c r="AK70" s="10" t="str">
        <f t="shared" si="43"/>
        <v/>
      </c>
      <c r="AL70" s="10" t="str">
        <f t="shared" si="24"/>
        <v/>
      </c>
      <c r="AM70" s="71"/>
      <c r="AN70" s="10" t="str">
        <f t="shared" si="44"/>
        <v/>
      </c>
      <c r="AO70" s="10" t="str">
        <f t="shared" si="25"/>
        <v/>
      </c>
      <c r="AP70" s="71"/>
      <c r="AQ70" s="10" t="str">
        <f t="shared" si="45"/>
        <v/>
      </c>
      <c r="AR70" s="10" t="str">
        <f t="shared" si="26"/>
        <v/>
      </c>
      <c r="AS70" s="71"/>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U70" s="71"/>
      <c r="AV70" s="10" t="str">
        <f t="shared" si="46"/>
        <v/>
      </c>
      <c r="AW70" s="10" t="str">
        <f t="shared" si="27"/>
        <v/>
      </c>
      <c r="AX70" s="71"/>
      <c r="AY70" s="7" t="str">
        <f>IF(ISERROR(IF($K70&lt;=$F$15,VLOOKUP($I70,'表4）CO2価格'!$A$7:$E$67,VLOOKUP($F$48,'表4）CO2価格'!$H$10:$I$12,2,0),0)*$F$8/1000,"")),0,IF($K70&lt;=$F$15,VLOOKUP($I70,'表4）CO2価格'!$A$7:$E$67,VLOOKUP($F$48,'表4）CO2価格'!$H$10:$I$12,2,0),0)*$F$8/1000,""))</f>
        <v/>
      </c>
      <c r="AZ70" s="71"/>
      <c r="BA70" s="11" t="str">
        <f t="shared" si="47"/>
        <v/>
      </c>
      <c r="BB70" s="10" t="str">
        <f t="shared" si="28"/>
        <v/>
      </c>
      <c r="BC70" s="71"/>
      <c r="BD70" s="10" t="str">
        <f t="shared" si="48"/>
        <v/>
      </c>
      <c r="BE70" s="10" t="str">
        <f t="shared" si="29"/>
        <v/>
      </c>
      <c r="BF70" s="71"/>
      <c r="BG70" s="11" t="str">
        <f t="shared" si="49"/>
        <v/>
      </c>
      <c r="BH70" s="10" t="str">
        <f t="shared" si="30"/>
        <v/>
      </c>
      <c r="BJ70" s="7" t="str">
        <f t="shared" si="31"/>
        <v/>
      </c>
      <c r="BK70" s="158" t="str">
        <f t="shared" si="32"/>
        <v/>
      </c>
      <c r="BL70" s="158" t="str">
        <f t="shared" si="14"/>
        <v/>
      </c>
      <c r="BM70" s="10"/>
      <c r="BN70" s="10" t="str">
        <f t="shared" si="33"/>
        <v/>
      </c>
      <c r="BO70" s="10" t="str">
        <f t="shared" si="34"/>
        <v/>
      </c>
      <c r="BQ70" s="10" t="str">
        <f t="shared" si="50"/>
        <v/>
      </c>
      <c r="BR70" s="10" t="str">
        <f t="shared" si="35"/>
        <v/>
      </c>
    </row>
    <row r="71" spans="2:70" x14ac:dyDescent="0.15">
      <c r="F71" s="485"/>
      <c r="I71" s="38">
        <f t="shared" si="36"/>
        <v>2086</v>
      </c>
      <c r="J71" s="39"/>
      <c r="K71" s="39">
        <f t="shared" si="37"/>
        <v>57</v>
      </c>
      <c r="L71" s="39"/>
      <c r="M71" s="40">
        <f t="shared" si="0"/>
        <v>0.18547193025437006</v>
      </c>
      <c r="N71" s="39"/>
      <c r="O71" s="72" t="str">
        <f t="shared" si="16"/>
        <v/>
      </c>
      <c r="P71" s="41" t="str">
        <f t="shared" si="38"/>
        <v/>
      </c>
      <c r="Q71" s="39"/>
      <c r="R71" s="72" t="str">
        <f t="shared" si="51"/>
        <v/>
      </c>
      <c r="S71" s="39"/>
      <c r="T71" s="72" t="str">
        <f t="shared" si="18"/>
        <v/>
      </c>
      <c r="U71" s="39"/>
      <c r="V71" s="72" t="str">
        <f t="shared" si="39"/>
        <v/>
      </c>
      <c r="W71" s="72" t="str">
        <f t="shared" si="19"/>
        <v/>
      </c>
      <c r="X71" s="39"/>
      <c r="Y71" s="72" t="str">
        <f t="shared" si="40"/>
        <v/>
      </c>
      <c r="Z71" s="72" t="str">
        <f t="shared" si="20"/>
        <v/>
      </c>
      <c r="AA71" s="39"/>
      <c r="AB71" s="72" t="str">
        <f t="shared" si="4"/>
        <v/>
      </c>
      <c r="AC71" s="72" t="str">
        <f t="shared" si="21"/>
        <v/>
      </c>
      <c r="AD71" s="39"/>
      <c r="AE71" s="72" t="str">
        <f t="shared" si="41"/>
        <v/>
      </c>
      <c r="AF71" s="72" t="str">
        <f t="shared" si="22"/>
        <v/>
      </c>
      <c r="AG71" s="39"/>
      <c r="AH71" s="72" t="str">
        <f t="shared" si="42"/>
        <v/>
      </c>
      <c r="AI71" s="72" t="str">
        <f t="shared" si="23"/>
        <v/>
      </c>
      <c r="AJ71" s="39"/>
      <c r="AK71" s="72" t="str">
        <f t="shared" si="43"/>
        <v/>
      </c>
      <c r="AL71" s="72" t="str">
        <f t="shared" si="24"/>
        <v/>
      </c>
      <c r="AM71" s="39"/>
      <c r="AN71" s="72" t="str">
        <f t="shared" si="44"/>
        <v/>
      </c>
      <c r="AO71" s="72" t="str">
        <f t="shared" si="25"/>
        <v/>
      </c>
      <c r="AP71" s="39"/>
      <c r="AQ71" s="72" t="str">
        <f t="shared" si="45"/>
        <v/>
      </c>
      <c r="AR71" s="72" t="str">
        <f t="shared" si="26"/>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46"/>
        <v/>
      </c>
      <c r="AW71" s="72" t="str">
        <f t="shared" si="27"/>
        <v/>
      </c>
      <c r="AX71" s="39"/>
      <c r="AY71" s="40" t="str">
        <f>IF(ISERROR(IF($K71&lt;=$F$15,VLOOKUP($I71,'表4）CO2価格'!$A$7:$E$67,VLOOKUP($F$48,'表4）CO2価格'!$H$10:$I$12,2,0),0)*$F$8/1000,"")),0,IF($K71&lt;=$F$15,VLOOKUP($I71,'表4）CO2価格'!$A$7:$E$67,VLOOKUP($F$48,'表4）CO2価格'!$H$10:$I$12,2,0),0)*$F$8/1000,""))</f>
        <v/>
      </c>
      <c r="AZ71" s="39"/>
      <c r="BA71" s="42" t="str">
        <f t="shared" si="47"/>
        <v/>
      </c>
      <c r="BB71" s="72" t="str">
        <f t="shared" si="28"/>
        <v/>
      </c>
      <c r="BC71" s="39"/>
      <c r="BD71" s="72" t="str">
        <f t="shared" si="48"/>
        <v/>
      </c>
      <c r="BE71" s="72" t="str">
        <f t="shared" si="29"/>
        <v/>
      </c>
      <c r="BF71" s="39"/>
      <c r="BG71" s="42" t="str">
        <f t="shared" si="49"/>
        <v/>
      </c>
      <c r="BH71" s="72" t="str">
        <f t="shared" si="30"/>
        <v/>
      </c>
      <c r="BI71" s="39"/>
      <c r="BJ71" s="40" t="str">
        <f t="shared" si="31"/>
        <v/>
      </c>
      <c r="BK71" s="157" t="str">
        <f t="shared" si="32"/>
        <v/>
      </c>
      <c r="BL71" s="157" t="str">
        <f t="shared" si="14"/>
        <v/>
      </c>
      <c r="BM71" s="72"/>
      <c r="BN71" s="72" t="str">
        <f t="shared" si="33"/>
        <v/>
      </c>
      <c r="BO71" s="72" t="str">
        <f t="shared" si="34"/>
        <v/>
      </c>
      <c r="BP71" s="39"/>
      <c r="BQ71" s="72" t="str">
        <f t="shared" si="50"/>
        <v/>
      </c>
      <c r="BR71" s="72" t="str">
        <f t="shared" si="35"/>
        <v/>
      </c>
    </row>
    <row r="72" spans="2:70" x14ac:dyDescent="0.15">
      <c r="C72" s="4" t="s">
        <v>136</v>
      </c>
      <c r="D72" s="100"/>
      <c r="E72" s="100"/>
      <c r="F72" s="486"/>
      <c r="G72" s="100"/>
      <c r="I72" s="457">
        <f t="shared" si="36"/>
        <v>2087</v>
      </c>
      <c r="J72" s="71"/>
      <c r="K72" s="71">
        <f t="shared" si="37"/>
        <v>58</v>
      </c>
      <c r="L72" s="71"/>
      <c r="M72" s="7">
        <f t="shared" si="0"/>
        <v>0.18006983519841754</v>
      </c>
      <c r="N72" s="71"/>
      <c r="O72" s="10" t="str">
        <f t="shared" si="16"/>
        <v/>
      </c>
      <c r="P72" s="29" t="str">
        <f t="shared" si="38"/>
        <v/>
      </c>
      <c r="Q72" s="71"/>
      <c r="R72" s="10" t="str">
        <f t="shared" si="51"/>
        <v/>
      </c>
      <c r="S72" s="71"/>
      <c r="T72" s="10" t="str">
        <f t="shared" si="18"/>
        <v/>
      </c>
      <c r="U72" s="71"/>
      <c r="V72" s="10" t="str">
        <f t="shared" si="39"/>
        <v/>
      </c>
      <c r="W72" s="10" t="str">
        <f t="shared" si="19"/>
        <v/>
      </c>
      <c r="X72" s="71"/>
      <c r="Y72" s="10" t="str">
        <f t="shared" si="40"/>
        <v/>
      </c>
      <c r="Z72" s="10" t="str">
        <f t="shared" si="20"/>
        <v/>
      </c>
      <c r="AA72" s="71"/>
      <c r="AB72" s="10" t="str">
        <f t="shared" si="4"/>
        <v/>
      </c>
      <c r="AC72" s="10" t="str">
        <f t="shared" si="21"/>
        <v/>
      </c>
      <c r="AD72" s="71"/>
      <c r="AE72" s="10" t="str">
        <f t="shared" si="41"/>
        <v/>
      </c>
      <c r="AF72" s="10" t="str">
        <f t="shared" si="22"/>
        <v/>
      </c>
      <c r="AG72" s="71"/>
      <c r="AH72" s="10" t="str">
        <f t="shared" si="42"/>
        <v/>
      </c>
      <c r="AI72" s="10" t="str">
        <f t="shared" si="23"/>
        <v/>
      </c>
      <c r="AJ72" s="71"/>
      <c r="AK72" s="10" t="str">
        <f t="shared" si="43"/>
        <v/>
      </c>
      <c r="AL72" s="10" t="str">
        <f t="shared" si="24"/>
        <v/>
      </c>
      <c r="AM72" s="71"/>
      <c r="AN72" s="10" t="str">
        <f t="shared" si="44"/>
        <v/>
      </c>
      <c r="AO72" s="10" t="str">
        <f t="shared" si="25"/>
        <v/>
      </c>
      <c r="AP72" s="71"/>
      <c r="AQ72" s="10" t="str">
        <f t="shared" si="45"/>
        <v/>
      </c>
      <c r="AR72" s="10" t="str">
        <f t="shared" si="26"/>
        <v/>
      </c>
      <c r="AS72" s="71"/>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U72" s="71"/>
      <c r="AV72" s="10" t="str">
        <f t="shared" si="46"/>
        <v/>
      </c>
      <c r="AW72" s="10" t="str">
        <f t="shared" si="27"/>
        <v/>
      </c>
      <c r="AX72" s="71"/>
      <c r="AY72" s="7" t="str">
        <f>IF(ISERROR(IF($K72&lt;=$F$15,VLOOKUP($I72,'表4）CO2価格'!$A$7:$E$67,VLOOKUP($F$48,'表4）CO2価格'!$H$10:$I$12,2,0),0)*$F$8/1000,"")),0,IF($K72&lt;=$F$15,VLOOKUP($I72,'表4）CO2価格'!$A$7:$E$67,VLOOKUP($F$48,'表4）CO2価格'!$H$10:$I$12,2,0),0)*$F$8/1000,""))</f>
        <v/>
      </c>
      <c r="AZ72" s="71"/>
      <c r="BA72" s="11" t="str">
        <f t="shared" si="47"/>
        <v/>
      </c>
      <c r="BB72" s="10" t="str">
        <f t="shared" si="28"/>
        <v/>
      </c>
      <c r="BC72" s="71"/>
      <c r="BD72" s="10" t="str">
        <f t="shared" si="48"/>
        <v/>
      </c>
      <c r="BE72" s="10" t="str">
        <f t="shared" si="29"/>
        <v/>
      </c>
      <c r="BF72" s="71"/>
      <c r="BG72" s="11" t="str">
        <f t="shared" si="49"/>
        <v/>
      </c>
      <c r="BH72" s="10" t="str">
        <f t="shared" si="30"/>
        <v/>
      </c>
      <c r="BJ72" s="7" t="str">
        <f t="shared" si="31"/>
        <v/>
      </c>
      <c r="BK72" s="158" t="str">
        <f t="shared" si="32"/>
        <v/>
      </c>
      <c r="BL72" s="158" t="str">
        <f t="shared" si="14"/>
        <v/>
      </c>
      <c r="BM72" s="10"/>
      <c r="BN72" s="10" t="str">
        <f t="shared" si="33"/>
        <v/>
      </c>
      <c r="BO72" s="10" t="str">
        <f t="shared" si="34"/>
        <v/>
      </c>
      <c r="BQ72" s="10" t="str">
        <f t="shared" si="50"/>
        <v/>
      </c>
      <c r="BR72" s="10" t="str">
        <f t="shared" si="35"/>
        <v/>
      </c>
    </row>
    <row r="73" spans="2:70" x14ac:dyDescent="0.15">
      <c r="F73" s="487"/>
      <c r="I73" s="38">
        <f t="shared" si="36"/>
        <v>2088</v>
      </c>
      <c r="J73" s="39"/>
      <c r="K73" s="39">
        <f t="shared" si="37"/>
        <v>59</v>
      </c>
      <c r="L73" s="39"/>
      <c r="M73" s="40">
        <f t="shared" si="0"/>
        <v>0.17482508271691022</v>
      </c>
      <c r="N73" s="39"/>
      <c r="O73" s="72" t="str">
        <f t="shared" si="16"/>
        <v/>
      </c>
      <c r="P73" s="41" t="str">
        <f t="shared" si="38"/>
        <v/>
      </c>
      <c r="Q73" s="39"/>
      <c r="R73" s="72" t="str">
        <f t="shared" si="51"/>
        <v/>
      </c>
      <c r="S73" s="39"/>
      <c r="T73" s="72" t="str">
        <f t="shared" si="18"/>
        <v/>
      </c>
      <c r="U73" s="39"/>
      <c r="V73" s="72" t="str">
        <f t="shared" si="39"/>
        <v/>
      </c>
      <c r="W73" s="72" t="str">
        <f t="shared" si="19"/>
        <v/>
      </c>
      <c r="X73" s="39"/>
      <c r="Y73" s="72" t="str">
        <f t="shared" si="40"/>
        <v/>
      </c>
      <c r="Z73" s="72" t="str">
        <f t="shared" si="20"/>
        <v/>
      </c>
      <c r="AA73" s="39"/>
      <c r="AB73" s="72" t="str">
        <f t="shared" si="4"/>
        <v/>
      </c>
      <c r="AC73" s="72" t="str">
        <f t="shared" si="21"/>
        <v/>
      </c>
      <c r="AD73" s="39"/>
      <c r="AE73" s="72" t="str">
        <f t="shared" si="41"/>
        <v/>
      </c>
      <c r="AF73" s="72" t="str">
        <f t="shared" si="22"/>
        <v/>
      </c>
      <c r="AG73" s="39"/>
      <c r="AH73" s="72" t="str">
        <f t="shared" si="42"/>
        <v/>
      </c>
      <c r="AI73" s="72" t="str">
        <f t="shared" si="23"/>
        <v/>
      </c>
      <c r="AJ73" s="39"/>
      <c r="AK73" s="72" t="str">
        <f t="shared" si="43"/>
        <v/>
      </c>
      <c r="AL73" s="72" t="str">
        <f t="shared" si="24"/>
        <v/>
      </c>
      <c r="AM73" s="39"/>
      <c r="AN73" s="72" t="str">
        <f t="shared" si="44"/>
        <v/>
      </c>
      <c r="AO73" s="72" t="str">
        <f t="shared" si="25"/>
        <v/>
      </c>
      <c r="AP73" s="39"/>
      <c r="AQ73" s="72" t="str">
        <f t="shared" si="45"/>
        <v/>
      </c>
      <c r="AR73" s="72" t="str">
        <f t="shared" si="26"/>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46"/>
        <v/>
      </c>
      <c r="AW73" s="72" t="str">
        <f t="shared" si="27"/>
        <v/>
      </c>
      <c r="AX73" s="39"/>
      <c r="AY73" s="40" t="str">
        <f>IF(ISERROR(IF($K73&lt;=$F$15,VLOOKUP($I73,'表4）CO2価格'!$A$7:$E$67,VLOOKUP($F$48,'表4）CO2価格'!$H$10:$I$12,2,0),0)*$F$8/1000,"")),0,IF($K73&lt;=$F$15,VLOOKUP($I73,'表4）CO2価格'!$A$7:$E$67,VLOOKUP($F$48,'表4）CO2価格'!$H$10:$I$12,2,0),0)*$F$8/1000,""))</f>
        <v/>
      </c>
      <c r="AZ73" s="39"/>
      <c r="BA73" s="42" t="str">
        <f t="shared" si="47"/>
        <v/>
      </c>
      <c r="BB73" s="72" t="str">
        <f t="shared" si="28"/>
        <v/>
      </c>
      <c r="BC73" s="39"/>
      <c r="BD73" s="72" t="str">
        <f t="shared" si="48"/>
        <v/>
      </c>
      <c r="BE73" s="72" t="str">
        <f t="shared" si="29"/>
        <v/>
      </c>
      <c r="BF73" s="39"/>
      <c r="BG73" s="42" t="str">
        <f t="shared" si="49"/>
        <v/>
      </c>
      <c r="BH73" s="72" t="str">
        <f t="shared" si="30"/>
        <v/>
      </c>
      <c r="BI73" s="39"/>
      <c r="BJ73" s="40" t="str">
        <f t="shared" si="31"/>
        <v/>
      </c>
      <c r="BK73" s="157" t="str">
        <f t="shared" si="32"/>
        <v/>
      </c>
      <c r="BL73" s="157" t="str">
        <f t="shared" si="14"/>
        <v/>
      </c>
      <c r="BM73" s="72"/>
      <c r="BN73" s="72" t="str">
        <f t="shared" si="33"/>
        <v/>
      </c>
      <c r="BO73" s="72" t="str">
        <f t="shared" si="34"/>
        <v/>
      </c>
      <c r="BP73" s="39"/>
      <c r="BQ73" s="72" t="str">
        <f t="shared" si="50"/>
        <v/>
      </c>
      <c r="BR73" s="72" t="str">
        <f t="shared" si="35"/>
        <v/>
      </c>
    </row>
    <row r="74" spans="2:70" ht="15" x14ac:dyDescent="0.15">
      <c r="D74" s="103" t="s">
        <v>591</v>
      </c>
      <c r="F74" s="484">
        <f>SUBTOTAL(9,F78:F81)</f>
        <v>8.5711358498887567</v>
      </c>
      <c r="G74" s="84" t="s">
        <v>590</v>
      </c>
      <c r="I74" s="457">
        <f t="shared" si="36"/>
        <v>2089</v>
      </c>
      <c r="J74" s="71"/>
      <c r="K74" s="71">
        <f t="shared" si="37"/>
        <v>60</v>
      </c>
      <c r="L74" s="71"/>
      <c r="M74" s="7">
        <f t="shared" si="0"/>
        <v>0.1697330900164177</v>
      </c>
      <c r="N74" s="71"/>
      <c r="O74" s="10" t="str">
        <f t="shared" si="16"/>
        <v/>
      </c>
      <c r="P74" s="29" t="str">
        <f t="shared" si="38"/>
        <v/>
      </c>
      <c r="Q74" s="71"/>
      <c r="R74" s="10" t="str">
        <f t="shared" si="51"/>
        <v/>
      </c>
      <c r="S74" s="71"/>
      <c r="T74" s="10" t="str">
        <f t="shared" si="18"/>
        <v/>
      </c>
      <c r="U74" s="71"/>
      <c r="V74" s="10" t="str">
        <f t="shared" si="39"/>
        <v/>
      </c>
      <c r="W74" s="10" t="str">
        <f t="shared" si="19"/>
        <v/>
      </c>
      <c r="X74" s="71"/>
      <c r="Y74" s="10" t="str">
        <f t="shared" si="40"/>
        <v/>
      </c>
      <c r="Z74" s="10" t="str">
        <f t="shared" si="20"/>
        <v/>
      </c>
      <c r="AA74" s="71"/>
      <c r="AB74" s="10" t="str">
        <f t="shared" si="4"/>
        <v/>
      </c>
      <c r="AC74" s="10" t="str">
        <f t="shared" si="21"/>
        <v/>
      </c>
      <c r="AD74" s="71"/>
      <c r="AE74" s="10" t="str">
        <f t="shared" si="41"/>
        <v/>
      </c>
      <c r="AF74" s="10" t="str">
        <f t="shared" si="22"/>
        <v/>
      </c>
      <c r="AG74" s="71"/>
      <c r="AH74" s="10" t="str">
        <f t="shared" si="42"/>
        <v/>
      </c>
      <c r="AI74" s="10" t="str">
        <f t="shared" si="23"/>
        <v/>
      </c>
      <c r="AJ74" s="71"/>
      <c r="AK74" s="10" t="str">
        <f t="shared" si="43"/>
        <v/>
      </c>
      <c r="AL74" s="10" t="str">
        <f t="shared" si="24"/>
        <v/>
      </c>
      <c r="AM74" s="71"/>
      <c r="AN74" s="10" t="str">
        <f t="shared" si="44"/>
        <v/>
      </c>
      <c r="AO74" s="10" t="str">
        <f t="shared" si="25"/>
        <v/>
      </c>
      <c r="AP74" s="71"/>
      <c r="AQ74" s="10" t="str">
        <f t="shared" si="45"/>
        <v/>
      </c>
      <c r="AR74" s="10" t="str">
        <f t="shared" si="26"/>
        <v/>
      </c>
      <c r="AS74" s="71"/>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U74" s="71"/>
      <c r="AV74" s="10" t="str">
        <f t="shared" si="46"/>
        <v/>
      </c>
      <c r="AW74" s="10" t="str">
        <f t="shared" si="27"/>
        <v/>
      </c>
      <c r="AX74" s="71"/>
      <c r="AY74" s="7" t="str">
        <f>IF(ISERROR(IF($K74&lt;=$F$15,VLOOKUP($I74,'表4）CO2価格'!$A$7:$E$67,VLOOKUP($F$48,'表4）CO2価格'!$H$10:$I$12,2,0),0)*$F$8/1000,"")),0,IF($K74&lt;=$F$15,VLOOKUP($I74,'表4）CO2価格'!$A$7:$E$67,VLOOKUP($F$48,'表4）CO2価格'!$H$10:$I$12,2,0),0)*$F$8/1000,""))</f>
        <v/>
      </c>
      <c r="AZ74" s="71"/>
      <c r="BA74" s="11" t="str">
        <f t="shared" si="47"/>
        <v/>
      </c>
      <c r="BB74" s="10" t="str">
        <f t="shared" si="28"/>
        <v/>
      </c>
      <c r="BC74" s="71"/>
      <c r="BD74" s="10" t="str">
        <f t="shared" si="48"/>
        <v/>
      </c>
      <c r="BE74" s="10" t="str">
        <f t="shared" si="29"/>
        <v/>
      </c>
      <c r="BF74" s="71"/>
      <c r="BG74" s="11" t="str">
        <f t="shared" si="49"/>
        <v/>
      </c>
      <c r="BH74" s="10" t="str">
        <f t="shared" si="30"/>
        <v/>
      </c>
      <c r="BJ74" s="7" t="str">
        <f t="shared" si="31"/>
        <v/>
      </c>
      <c r="BK74" s="158" t="str">
        <f t="shared" si="32"/>
        <v/>
      </c>
      <c r="BL74" s="158" t="str">
        <f t="shared" si="14"/>
        <v/>
      </c>
      <c r="BM74" s="10"/>
      <c r="BN74" s="10" t="str">
        <f t="shared" si="33"/>
        <v/>
      </c>
      <c r="BO74" s="10" t="str">
        <f t="shared" si="34"/>
        <v/>
      </c>
      <c r="BQ74" s="10" t="str">
        <f t="shared" si="50"/>
        <v/>
      </c>
      <c r="BR74" s="10" t="str">
        <f t="shared" si="35"/>
        <v/>
      </c>
    </row>
    <row r="75" spans="2:70" x14ac:dyDescent="0.15">
      <c r="F75" s="487"/>
      <c r="I75" s="38">
        <f t="shared" si="36"/>
        <v>2090</v>
      </c>
      <c r="J75" s="39"/>
      <c r="K75" s="39">
        <f t="shared" si="37"/>
        <v>61</v>
      </c>
      <c r="L75" s="39"/>
      <c r="M75" s="40">
        <f t="shared" si="0"/>
        <v>0.16478940778292983</v>
      </c>
      <c r="N75" s="39"/>
      <c r="O75" s="72" t="str">
        <f t="shared" si="16"/>
        <v/>
      </c>
      <c r="P75" s="41" t="str">
        <f t="shared" si="38"/>
        <v/>
      </c>
      <c r="Q75" s="39"/>
      <c r="R75" s="72" t="str">
        <f t="shared" si="51"/>
        <v/>
      </c>
      <c r="S75" s="39"/>
      <c r="T75" s="72" t="str">
        <f t="shared" si="18"/>
        <v/>
      </c>
      <c r="U75" s="39"/>
      <c r="V75" s="72" t="str">
        <f t="shared" si="39"/>
        <v/>
      </c>
      <c r="W75" s="72" t="str">
        <f t="shared" si="19"/>
        <v/>
      </c>
      <c r="X75" s="39"/>
      <c r="Y75" s="72" t="str">
        <f t="shared" si="40"/>
        <v/>
      </c>
      <c r="Z75" s="72" t="str">
        <f t="shared" si="20"/>
        <v/>
      </c>
      <c r="AA75" s="39"/>
      <c r="AB75" s="72" t="str">
        <f t="shared" si="4"/>
        <v/>
      </c>
      <c r="AC75" s="72" t="str">
        <f t="shared" si="21"/>
        <v/>
      </c>
      <c r="AD75" s="39"/>
      <c r="AE75" s="72" t="str">
        <f t="shared" si="41"/>
        <v/>
      </c>
      <c r="AF75" s="72" t="str">
        <f t="shared" si="22"/>
        <v/>
      </c>
      <c r="AG75" s="39"/>
      <c r="AH75" s="72" t="str">
        <f t="shared" si="42"/>
        <v/>
      </c>
      <c r="AI75" s="72" t="str">
        <f t="shared" si="23"/>
        <v/>
      </c>
      <c r="AJ75" s="39"/>
      <c r="AK75" s="72" t="str">
        <f t="shared" si="43"/>
        <v/>
      </c>
      <c r="AL75" s="72" t="str">
        <f t="shared" si="24"/>
        <v/>
      </c>
      <c r="AM75" s="39"/>
      <c r="AN75" s="72" t="str">
        <f t="shared" si="44"/>
        <v/>
      </c>
      <c r="AO75" s="72" t="str">
        <f t="shared" si="25"/>
        <v/>
      </c>
      <c r="AP75" s="39"/>
      <c r="AQ75" s="72" t="str">
        <f t="shared" si="45"/>
        <v/>
      </c>
      <c r="AR75" s="72" t="str">
        <f t="shared" si="26"/>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46"/>
        <v/>
      </c>
      <c r="AW75" s="72" t="str">
        <f t="shared" si="27"/>
        <v/>
      </c>
      <c r="AX75" s="39"/>
      <c r="AY75" s="40" t="str">
        <f>IF(ISERROR(IF($K75&lt;=$F$15,VLOOKUP($I75,'表4）CO2価格'!$A$7:$E$67,VLOOKUP($F$48,'表4）CO2価格'!$H$10:$I$12,2,0),0)*$F$8/1000,"")),0,IF($K75&lt;=$F$15,VLOOKUP($I75,'表4）CO2価格'!$A$7:$E$67,VLOOKUP($F$48,'表4）CO2価格'!$H$10:$I$12,2,0),0)*$F$8/1000,""))</f>
        <v/>
      </c>
      <c r="AZ75" s="39"/>
      <c r="BA75" s="42" t="str">
        <f t="shared" si="47"/>
        <v/>
      </c>
      <c r="BB75" s="72" t="str">
        <f t="shared" si="28"/>
        <v/>
      </c>
      <c r="BC75" s="39"/>
      <c r="BD75" s="72" t="str">
        <f t="shared" si="48"/>
        <v/>
      </c>
      <c r="BE75" s="72" t="str">
        <f t="shared" si="29"/>
        <v/>
      </c>
      <c r="BF75" s="39"/>
      <c r="BG75" s="42" t="str">
        <f t="shared" si="49"/>
        <v/>
      </c>
      <c r="BH75" s="72" t="str">
        <f t="shared" si="30"/>
        <v/>
      </c>
      <c r="BI75" s="39"/>
      <c r="BJ75" s="40" t="str">
        <f t="shared" si="31"/>
        <v/>
      </c>
      <c r="BK75" s="157" t="str">
        <f t="shared" si="32"/>
        <v/>
      </c>
      <c r="BL75" s="157" t="str">
        <f t="shared" si="14"/>
        <v/>
      </c>
      <c r="BM75" s="72"/>
      <c r="BN75" s="72" t="str">
        <f t="shared" si="33"/>
        <v/>
      </c>
      <c r="BO75" s="72" t="str">
        <f t="shared" si="34"/>
        <v/>
      </c>
      <c r="BP75" s="39"/>
      <c r="BQ75" s="72" t="str">
        <f t="shared" si="50"/>
        <v/>
      </c>
      <c r="BR75" s="72" t="str">
        <f t="shared" si="35"/>
        <v/>
      </c>
    </row>
    <row r="76" spans="2:70" x14ac:dyDescent="0.15">
      <c r="D76" s="100" t="s">
        <v>592</v>
      </c>
      <c r="E76" s="100"/>
      <c r="F76" s="486"/>
      <c r="G76" s="100"/>
      <c r="I76" s="457">
        <f t="shared" si="36"/>
        <v>2091</v>
      </c>
      <c r="J76" s="71"/>
      <c r="K76" s="71">
        <f t="shared" si="37"/>
        <v>62</v>
      </c>
      <c r="L76" s="71"/>
      <c r="M76" s="7">
        <f t="shared" si="0"/>
        <v>0.15998971629410663</v>
      </c>
      <c r="N76" s="71"/>
      <c r="O76" s="10" t="str">
        <f t="shared" si="16"/>
        <v/>
      </c>
      <c r="P76" s="29" t="str">
        <f t="shared" si="38"/>
        <v/>
      </c>
      <c r="Q76" s="71"/>
      <c r="R76" s="10" t="str">
        <f t="shared" si="51"/>
        <v/>
      </c>
      <c r="S76" s="71"/>
      <c r="T76" s="10" t="str">
        <f t="shared" si="18"/>
        <v/>
      </c>
      <c r="U76" s="71"/>
      <c r="V76" s="10" t="str">
        <f t="shared" si="39"/>
        <v/>
      </c>
      <c r="W76" s="10" t="str">
        <f t="shared" si="19"/>
        <v/>
      </c>
      <c r="X76" s="71"/>
      <c r="Y76" s="10" t="str">
        <f t="shared" si="40"/>
        <v/>
      </c>
      <c r="Z76" s="10" t="str">
        <f t="shared" si="20"/>
        <v/>
      </c>
      <c r="AA76" s="71"/>
      <c r="AB76" s="10" t="str">
        <f t="shared" si="4"/>
        <v/>
      </c>
      <c r="AC76" s="10" t="str">
        <f t="shared" si="21"/>
        <v/>
      </c>
      <c r="AD76" s="71"/>
      <c r="AE76" s="10" t="str">
        <f t="shared" si="41"/>
        <v/>
      </c>
      <c r="AF76" s="10" t="str">
        <f t="shared" si="22"/>
        <v/>
      </c>
      <c r="AG76" s="71"/>
      <c r="AH76" s="10" t="str">
        <f t="shared" si="42"/>
        <v/>
      </c>
      <c r="AI76" s="10" t="str">
        <f t="shared" si="23"/>
        <v/>
      </c>
      <c r="AJ76" s="71"/>
      <c r="AK76" s="10" t="str">
        <f t="shared" si="43"/>
        <v/>
      </c>
      <c r="AL76" s="10" t="str">
        <f t="shared" si="24"/>
        <v/>
      </c>
      <c r="AM76" s="71"/>
      <c r="AN76" s="10" t="str">
        <f t="shared" si="44"/>
        <v/>
      </c>
      <c r="AO76" s="10" t="str">
        <f t="shared" si="25"/>
        <v/>
      </c>
      <c r="AP76" s="71"/>
      <c r="AQ76" s="10" t="str">
        <f t="shared" si="45"/>
        <v/>
      </c>
      <c r="AR76" s="10" t="str">
        <f t="shared" si="26"/>
        <v/>
      </c>
      <c r="AS76" s="71"/>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U76" s="71"/>
      <c r="AV76" s="10" t="str">
        <f t="shared" si="46"/>
        <v/>
      </c>
      <c r="AW76" s="10" t="str">
        <f t="shared" si="27"/>
        <v/>
      </c>
      <c r="AX76" s="71"/>
      <c r="AY76" s="7" t="str">
        <f>IF(ISERROR(IF($K76&lt;=$F$15,VLOOKUP($I76,'表4）CO2価格'!$A$7:$E$67,VLOOKUP($F$48,'表4）CO2価格'!$H$10:$I$12,2,0),0)*$F$8/1000,"")),0,IF($K76&lt;=$F$15,VLOOKUP($I76,'表4）CO2価格'!$A$7:$E$67,VLOOKUP($F$48,'表4）CO2価格'!$H$10:$I$12,2,0),0)*$F$8/1000,""))</f>
        <v/>
      </c>
      <c r="AZ76" s="71"/>
      <c r="BA76" s="11" t="str">
        <f t="shared" si="47"/>
        <v/>
      </c>
      <c r="BB76" s="10" t="str">
        <f t="shared" si="28"/>
        <v/>
      </c>
      <c r="BC76" s="71"/>
      <c r="BD76" s="10" t="str">
        <f t="shared" si="48"/>
        <v/>
      </c>
      <c r="BE76" s="10" t="str">
        <f t="shared" si="29"/>
        <v/>
      </c>
      <c r="BF76" s="71"/>
      <c r="BG76" s="11" t="str">
        <f t="shared" si="49"/>
        <v/>
      </c>
      <c r="BH76" s="10" t="str">
        <f t="shared" si="30"/>
        <v/>
      </c>
      <c r="BJ76" s="7" t="str">
        <f t="shared" si="31"/>
        <v/>
      </c>
      <c r="BK76" s="158" t="str">
        <f t="shared" si="32"/>
        <v/>
      </c>
      <c r="BL76" s="158" t="str">
        <f t="shared" si="14"/>
        <v/>
      </c>
      <c r="BM76" s="10"/>
      <c r="BN76" s="10" t="str">
        <f t="shared" si="33"/>
        <v/>
      </c>
      <c r="BO76" s="10" t="str">
        <f t="shared" si="34"/>
        <v/>
      </c>
      <c r="BQ76" s="10" t="str">
        <f t="shared" si="50"/>
        <v/>
      </c>
      <c r="BR76" s="10" t="str">
        <f t="shared" si="35"/>
        <v/>
      </c>
    </row>
    <row r="77" spans="2:70" x14ac:dyDescent="0.15">
      <c r="F77" s="487"/>
      <c r="I77" s="38">
        <f t="shared" si="36"/>
        <v>2092</v>
      </c>
      <c r="J77" s="39"/>
      <c r="K77" s="39">
        <f t="shared" si="37"/>
        <v>63</v>
      </c>
      <c r="L77" s="39"/>
      <c r="M77" s="40">
        <f t="shared" si="0"/>
        <v>0.15532982164476369</v>
      </c>
      <c r="N77" s="39"/>
      <c r="O77" s="72" t="str">
        <f t="shared" si="16"/>
        <v/>
      </c>
      <c r="P77" s="41" t="str">
        <f t="shared" si="38"/>
        <v/>
      </c>
      <c r="Q77" s="39"/>
      <c r="R77" s="72" t="str">
        <f t="shared" si="51"/>
        <v/>
      </c>
      <c r="S77" s="39"/>
      <c r="T77" s="72" t="str">
        <f t="shared" si="18"/>
        <v/>
      </c>
      <c r="U77" s="39"/>
      <c r="V77" s="72" t="str">
        <f t="shared" si="39"/>
        <v/>
      </c>
      <c r="W77" s="72" t="str">
        <f t="shared" si="19"/>
        <v/>
      </c>
      <c r="X77" s="39"/>
      <c r="Y77" s="72" t="str">
        <f t="shared" si="40"/>
        <v/>
      </c>
      <c r="Z77" s="72" t="str">
        <f t="shared" si="20"/>
        <v/>
      </c>
      <c r="AA77" s="39"/>
      <c r="AB77" s="72" t="str">
        <f t="shared" si="4"/>
        <v/>
      </c>
      <c r="AC77" s="72" t="str">
        <f t="shared" si="21"/>
        <v/>
      </c>
      <c r="AD77" s="39"/>
      <c r="AE77" s="72" t="str">
        <f t="shared" si="41"/>
        <v/>
      </c>
      <c r="AF77" s="72" t="str">
        <f t="shared" si="22"/>
        <v/>
      </c>
      <c r="AG77" s="39"/>
      <c r="AH77" s="72" t="str">
        <f t="shared" si="42"/>
        <v/>
      </c>
      <c r="AI77" s="72" t="str">
        <f t="shared" si="23"/>
        <v/>
      </c>
      <c r="AJ77" s="39"/>
      <c r="AK77" s="72" t="str">
        <f t="shared" si="43"/>
        <v/>
      </c>
      <c r="AL77" s="72" t="str">
        <f t="shared" si="24"/>
        <v/>
      </c>
      <c r="AM77" s="39"/>
      <c r="AN77" s="72" t="str">
        <f t="shared" si="44"/>
        <v/>
      </c>
      <c r="AO77" s="72" t="str">
        <f t="shared" si="25"/>
        <v/>
      </c>
      <c r="AP77" s="39"/>
      <c r="AQ77" s="72" t="str">
        <f t="shared" si="45"/>
        <v/>
      </c>
      <c r="AR77" s="72" t="str">
        <f t="shared" si="26"/>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46"/>
        <v/>
      </c>
      <c r="AW77" s="72" t="str">
        <f t="shared" si="27"/>
        <v/>
      </c>
      <c r="AX77" s="39"/>
      <c r="AY77" s="40" t="str">
        <f>IF(ISERROR(IF($K77&lt;=$F$15,VLOOKUP($I77,'表4）CO2価格'!$A$7:$E$67,VLOOKUP($F$48,'表4）CO2価格'!$H$10:$I$12,2,0),0)*$F$8/1000,"")),0,IF($K77&lt;=$F$15,VLOOKUP($I77,'表4）CO2価格'!$A$7:$E$67,VLOOKUP($F$48,'表4）CO2価格'!$H$10:$I$12,2,0),0)*$F$8/1000,""))</f>
        <v/>
      </c>
      <c r="AZ77" s="39"/>
      <c r="BA77" s="42" t="str">
        <f t="shared" si="47"/>
        <v/>
      </c>
      <c r="BB77" s="72" t="str">
        <f t="shared" si="28"/>
        <v/>
      </c>
      <c r="BC77" s="39"/>
      <c r="BD77" s="72" t="str">
        <f t="shared" si="48"/>
        <v/>
      </c>
      <c r="BE77" s="72" t="str">
        <f t="shared" si="29"/>
        <v/>
      </c>
      <c r="BF77" s="39"/>
      <c r="BG77" s="42" t="str">
        <f t="shared" si="49"/>
        <v/>
      </c>
      <c r="BH77" s="72" t="str">
        <f t="shared" si="30"/>
        <v/>
      </c>
      <c r="BI77" s="39"/>
      <c r="BJ77" s="40" t="str">
        <f t="shared" si="31"/>
        <v/>
      </c>
      <c r="BK77" s="157" t="str">
        <f t="shared" si="32"/>
        <v/>
      </c>
      <c r="BL77" s="157" t="str">
        <f t="shared" si="14"/>
        <v/>
      </c>
      <c r="BM77" s="72"/>
      <c r="BN77" s="72" t="str">
        <f t="shared" si="33"/>
        <v/>
      </c>
      <c r="BO77" s="72" t="str">
        <f t="shared" si="34"/>
        <v/>
      </c>
      <c r="BP77" s="39"/>
      <c r="BQ77" s="72" t="str">
        <f t="shared" si="50"/>
        <v/>
      </c>
      <c r="BR77" s="72" t="str">
        <f t="shared" si="35"/>
        <v/>
      </c>
    </row>
    <row r="78" spans="2:70" x14ac:dyDescent="0.15">
      <c r="E78" s="70" t="s">
        <v>138</v>
      </c>
      <c r="F78" s="488">
        <f>R15/$BR$116</f>
        <v>7.4079414195998083</v>
      </c>
      <c r="G78" s="84" t="s">
        <v>590</v>
      </c>
      <c r="I78" s="457">
        <f t="shared" si="36"/>
        <v>2093</v>
      </c>
      <c r="J78" s="71"/>
      <c r="K78" s="71">
        <f t="shared" si="37"/>
        <v>64</v>
      </c>
      <c r="L78" s="71"/>
      <c r="M78" s="7">
        <f t="shared" si="0"/>
        <v>0.15080565208229488</v>
      </c>
      <c r="N78" s="71"/>
      <c r="O78" s="10" t="str">
        <f t="shared" si="16"/>
        <v/>
      </c>
      <c r="P78" s="29" t="str">
        <f t="shared" si="38"/>
        <v/>
      </c>
      <c r="Q78" s="71"/>
      <c r="R78" s="10" t="str">
        <f t="shared" si="51"/>
        <v/>
      </c>
      <c r="S78" s="71"/>
      <c r="T78" s="10" t="str">
        <f t="shared" si="18"/>
        <v/>
      </c>
      <c r="U78" s="71"/>
      <c r="V78" s="10" t="str">
        <f t="shared" si="39"/>
        <v/>
      </c>
      <c r="W78" s="10" t="str">
        <f t="shared" si="19"/>
        <v/>
      </c>
      <c r="X78" s="71"/>
      <c r="Y78" s="10" t="str">
        <f t="shared" si="40"/>
        <v/>
      </c>
      <c r="Z78" s="10" t="str">
        <f t="shared" si="20"/>
        <v/>
      </c>
      <c r="AA78" s="71"/>
      <c r="AB78" s="10" t="str">
        <f t="shared" si="4"/>
        <v/>
      </c>
      <c r="AC78" s="10" t="str">
        <f t="shared" si="21"/>
        <v/>
      </c>
      <c r="AD78" s="71"/>
      <c r="AE78" s="10" t="str">
        <f t="shared" si="41"/>
        <v/>
      </c>
      <c r="AF78" s="10" t="str">
        <f t="shared" si="22"/>
        <v/>
      </c>
      <c r="AG78" s="71"/>
      <c r="AH78" s="10" t="str">
        <f t="shared" si="42"/>
        <v/>
      </c>
      <c r="AI78" s="10" t="str">
        <f t="shared" si="23"/>
        <v/>
      </c>
      <c r="AJ78" s="71"/>
      <c r="AK78" s="10" t="str">
        <f t="shared" si="43"/>
        <v/>
      </c>
      <c r="AL78" s="10" t="str">
        <f t="shared" si="24"/>
        <v/>
      </c>
      <c r="AM78" s="71"/>
      <c r="AN78" s="10" t="str">
        <f t="shared" si="44"/>
        <v/>
      </c>
      <c r="AO78" s="10" t="str">
        <f t="shared" si="25"/>
        <v/>
      </c>
      <c r="AP78" s="71"/>
      <c r="AQ78" s="10" t="str">
        <f t="shared" si="45"/>
        <v/>
      </c>
      <c r="AR78" s="10" t="str">
        <f t="shared" si="26"/>
        <v/>
      </c>
      <c r="AS78" s="71"/>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U78" s="71"/>
      <c r="AV78" s="10" t="str">
        <f t="shared" si="46"/>
        <v/>
      </c>
      <c r="AW78" s="10" t="str">
        <f t="shared" si="27"/>
        <v/>
      </c>
      <c r="AX78" s="71"/>
      <c r="AY78" s="7" t="str">
        <f>IF(ISERROR(IF($K78&lt;=$F$15,VLOOKUP($I78,'表4）CO2価格'!$A$7:$E$67,VLOOKUP($F$48,'表4）CO2価格'!$H$10:$I$12,2,0),0)*$F$8/1000,"")),0,IF($K78&lt;=$F$15,VLOOKUP($I78,'表4）CO2価格'!$A$7:$E$67,VLOOKUP($F$48,'表4）CO2価格'!$H$10:$I$12,2,0),0)*$F$8/1000,""))</f>
        <v/>
      </c>
      <c r="AZ78" s="71"/>
      <c r="BA78" s="11" t="str">
        <f t="shared" si="47"/>
        <v/>
      </c>
      <c r="BB78" s="10" t="str">
        <f t="shared" si="28"/>
        <v/>
      </c>
      <c r="BC78" s="71"/>
      <c r="BD78" s="10" t="str">
        <f t="shared" si="48"/>
        <v/>
      </c>
      <c r="BE78" s="10" t="str">
        <f t="shared" si="29"/>
        <v/>
      </c>
      <c r="BF78" s="71"/>
      <c r="BG78" s="11" t="str">
        <f t="shared" si="49"/>
        <v/>
      </c>
      <c r="BH78" s="10" t="str">
        <f t="shared" si="30"/>
        <v/>
      </c>
      <c r="BJ78" s="7" t="str">
        <f t="shared" si="31"/>
        <v/>
      </c>
      <c r="BK78" s="158" t="str">
        <f t="shared" si="32"/>
        <v/>
      </c>
      <c r="BL78" s="158" t="str">
        <f t="shared" si="14"/>
        <v/>
      </c>
      <c r="BM78" s="10"/>
      <c r="BN78" s="10" t="str">
        <f t="shared" si="33"/>
        <v/>
      </c>
      <c r="BO78" s="10" t="str">
        <f t="shared" si="34"/>
        <v/>
      </c>
      <c r="BQ78" s="10" t="str">
        <f t="shared" si="50"/>
        <v/>
      </c>
      <c r="BR78" s="10" t="str">
        <f t="shared" si="35"/>
        <v/>
      </c>
    </row>
    <row r="79" spans="2:70" x14ac:dyDescent="0.15">
      <c r="E79" s="84" t="s">
        <v>139</v>
      </c>
      <c r="F79" s="488">
        <f>Z116/$BR$116</f>
        <v>0.80561751309568541</v>
      </c>
      <c r="G79" s="84" t="s">
        <v>590</v>
      </c>
      <c r="I79" s="38">
        <f t="shared" si="36"/>
        <v>2094</v>
      </c>
      <c r="J79" s="39"/>
      <c r="K79" s="39">
        <f t="shared" si="37"/>
        <v>65</v>
      </c>
      <c r="L79" s="39"/>
      <c r="M79" s="40">
        <f t="shared" ref="M79:M114" si="52">1/(1+($F$9/100))^K79</f>
        <v>0.14641325444882999</v>
      </c>
      <c r="N79" s="39"/>
      <c r="O79" s="72" t="str">
        <f t="shared" si="16"/>
        <v/>
      </c>
      <c r="P79" s="41" t="str">
        <f t="shared" ref="P79:P110" si="53">IF(K79&lt;=$F$15,IF(OR(P78=$F$124,P78="-"),"-",IF(O79*$F$123&gt;$F$127,$F$123,$F$124)),"")</f>
        <v/>
      </c>
      <c r="Q79" s="39"/>
      <c r="R79" s="72" t="str">
        <f t="shared" si="51"/>
        <v/>
      </c>
      <c r="S79" s="39"/>
      <c r="T79" s="72" t="str">
        <f t="shared" si="18"/>
        <v/>
      </c>
      <c r="U79" s="39"/>
      <c r="V79" s="72" t="str">
        <f t="shared" ref="V79:V114" si="54">IF(K79&lt;=$F$15,IF(K79&lt;$F$119,IF(P79="-",V78,O79*P79),IF(K79=$F$119,MIN(IF(P79="-",V78,O79*P79),O79),0)),"")</f>
        <v/>
      </c>
      <c r="W79" s="72" t="str">
        <f t="shared" si="19"/>
        <v/>
      </c>
      <c r="X79" s="39"/>
      <c r="Y79" s="72" t="str">
        <f t="shared" ref="Y79:Y114" si="55">IF($K79&lt;=$F$15,ROUNDDOWN(T79*$F$25/100,-2),"")</f>
        <v/>
      </c>
      <c r="Z79" s="72" t="str">
        <f t="shared" si="20"/>
        <v/>
      </c>
      <c r="AA79" s="39"/>
      <c r="AB79" s="72" t="str">
        <f t="shared" ref="AB79:AB114" si="56">IF($K79&lt;=$F$15,0,IF(AND($K79&gt;$F$15,$K79&lt;=$F$15+$F$28),$F$27*10^8/$F$28,""))</f>
        <v/>
      </c>
      <c r="AC79" s="72" t="str">
        <f t="shared" si="21"/>
        <v/>
      </c>
      <c r="AD79" s="39"/>
      <c r="AE79" s="72" t="str">
        <f t="shared" ref="AE79:AE114" si="57">IF($K79&lt;=$F$15,$F$26,"")</f>
        <v/>
      </c>
      <c r="AF79" s="72" t="str">
        <f t="shared" si="22"/>
        <v/>
      </c>
      <c r="AG79" s="39"/>
      <c r="AH79" s="72" t="str">
        <f t="shared" ref="AH79:AH114" si="58">IF($K79&lt;=$F$15,$F$33*10^8,"")</f>
        <v/>
      </c>
      <c r="AI79" s="72" t="str">
        <f t="shared" si="23"/>
        <v/>
      </c>
      <c r="AJ79" s="39"/>
      <c r="AK79" s="72" t="str">
        <f t="shared" ref="AK79:AK114" si="59">IF($K79&lt;=$F$15,$F$117*$F$34/100,"")</f>
        <v/>
      </c>
      <c r="AL79" s="72" t="str">
        <f t="shared" si="24"/>
        <v/>
      </c>
      <c r="AM79" s="39"/>
      <c r="AN79" s="72" t="str">
        <f t="shared" ref="AN79:AN114" si="60">IF($K79&lt;=$F$15,$F$117*$F$35/100,"")</f>
        <v/>
      </c>
      <c r="AO79" s="72" t="str">
        <f t="shared" si="25"/>
        <v/>
      </c>
      <c r="AP79" s="39"/>
      <c r="AQ79" s="72" t="str">
        <f t="shared" ref="AQ79:AQ114" si="61">IF($K79&lt;=$F$15,SUM(AH79,AK79,AN79)*($F$36/100),"")</f>
        <v/>
      </c>
      <c r="AR79" s="72" t="str">
        <f t="shared" si="26"/>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62">IF($K79&lt;=$F$15,($AT79+$F$142)*$F$137,"")</f>
        <v/>
      </c>
      <c r="AW79" s="72" t="str">
        <f t="shared" si="27"/>
        <v/>
      </c>
      <c r="AX79" s="39"/>
      <c r="AY79" s="40" t="str">
        <f>IF(ISERROR(IF($K79&lt;=$F$15,VLOOKUP($I79,'表4）CO2価格'!$A$7:$E$67,VLOOKUP($F$48,'表4）CO2価格'!$H$10:$I$12,2,0),0)*$F$8/1000,"")),0,IF($K79&lt;=$F$15,VLOOKUP($I79,'表4）CO2価格'!$A$7:$E$67,VLOOKUP($F$48,'表4）CO2価格'!$H$10:$I$12,2,0),0)*$F$8/1000,""))</f>
        <v/>
      </c>
      <c r="AZ79" s="39"/>
      <c r="BA79" s="42" t="str">
        <f t="shared" ref="BA79:BA114" si="63">IF($K79&lt;=$F$15,$F$145*AY79,"")</f>
        <v/>
      </c>
      <c r="BB79" s="72" t="str">
        <f t="shared" si="28"/>
        <v/>
      </c>
      <c r="BC79" s="39"/>
      <c r="BD79" s="72" t="str">
        <f t="shared" ref="BD79:BD114" si="64">IF($K79&lt;=$F$15,($AT79+$F$152)*$F$151,"")</f>
        <v/>
      </c>
      <c r="BE79" s="72" t="str">
        <f t="shared" si="29"/>
        <v/>
      </c>
      <c r="BF79" s="39"/>
      <c r="BG79" s="42" t="str">
        <f t="shared" ref="BG79:BG114" si="65">IF($K79&lt;=$F$15,$F$153*AY79,"")</f>
        <v/>
      </c>
      <c r="BH79" s="72" t="str">
        <f t="shared" si="30"/>
        <v/>
      </c>
      <c r="BI79" s="39"/>
      <c r="BJ79" s="40" t="str">
        <f t="shared" si="31"/>
        <v/>
      </c>
      <c r="BK79" s="157" t="str">
        <f t="shared" si="32"/>
        <v/>
      </c>
      <c r="BL79" s="157" t="str">
        <f t="shared" ref="BL79:BL114" si="66">IF(AND(ISNUMBER(BJ79),$K79&lt;=$F$16),BQ79*BJ79,"")</f>
        <v/>
      </c>
      <c r="BM79" s="72"/>
      <c r="BN79" s="72" t="str">
        <f t="shared" si="33"/>
        <v/>
      </c>
      <c r="BO79" s="72" t="str">
        <f t="shared" si="34"/>
        <v/>
      </c>
      <c r="BP79" s="39"/>
      <c r="BQ79" s="72" t="str">
        <f t="shared" ref="BQ79:BQ114" si="67">IF($K79&lt;=$F$15,$F$134,"")</f>
        <v/>
      </c>
      <c r="BR79" s="72" t="str">
        <f t="shared" si="35"/>
        <v/>
      </c>
    </row>
    <row r="80" spans="2:70" x14ac:dyDescent="0.15">
      <c r="E80" s="84" t="s">
        <v>115</v>
      </c>
      <c r="F80" s="488">
        <f>AF116/$BR$116</f>
        <v>0.24733637747336382</v>
      </c>
      <c r="G80" s="84" t="s">
        <v>590</v>
      </c>
      <c r="I80" s="457">
        <f t="shared" si="36"/>
        <v>2095</v>
      </c>
      <c r="J80" s="71"/>
      <c r="K80" s="71">
        <f t="shared" si="37"/>
        <v>66</v>
      </c>
      <c r="L80" s="71"/>
      <c r="M80" s="7">
        <f t="shared" si="52"/>
        <v>0.14214879072701941</v>
      </c>
      <c r="N80" s="71"/>
      <c r="O80" s="10" t="str">
        <f t="shared" ref="O80:O114" si="68">IF(K80&lt;=$F$15,O79-V79,"")</f>
        <v/>
      </c>
      <c r="P80" s="29" t="str">
        <f t="shared" si="53"/>
        <v/>
      </c>
      <c r="Q80" s="71"/>
      <c r="R80" s="10" t="str">
        <f t="shared" ref="R80:R114" si="69">IF($K80&lt;=$F$15,MAX($F$117*5%,R79*$F$129),"")</f>
        <v/>
      </c>
      <c r="S80" s="71"/>
      <c r="T80" s="10" t="str">
        <f t="shared" ref="T80:T114" si="70">IF(ISNUMBER(R80),ROUNDDOWN(R80,-3),"")</f>
        <v/>
      </c>
      <c r="U80" s="71"/>
      <c r="V80" s="10" t="str">
        <f t="shared" si="54"/>
        <v/>
      </c>
      <c r="W80" s="10" t="str">
        <f t="shared" ref="W80:W114" si="71">IF(ISNUMBER(V80),V80*$M80,"")</f>
        <v/>
      </c>
      <c r="X80" s="71"/>
      <c r="Y80" s="10" t="str">
        <f t="shared" si="55"/>
        <v/>
      </c>
      <c r="Z80" s="10" t="str">
        <f t="shared" ref="Z80:Z114" si="72">IF(ISNUMBER(Y80),Y80*$M80,"")</f>
        <v/>
      </c>
      <c r="AA80" s="71"/>
      <c r="AB80" s="10" t="str">
        <f t="shared" si="56"/>
        <v/>
      </c>
      <c r="AC80" s="10" t="str">
        <f t="shared" ref="AC80:AC114" si="73">IF(ISNUMBER(AB80),AB80*$M80,"")</f>
        <v/>
      </c>
      <c r="AD80" s="71"/>
      <c r="AE80" s="10" t="str">
        <f t="shared" si="57"/>
        <v/>
      </c>
      <c r="AF80" s="10" t="str">
        <f t="shared" ref="AF80:AF114" si="74">IF(ISNUMBER(AE80),AE80*$M80,"")</f>
        <v/>
      </c>
      <c r="AG80" s="71"/>
      <c r="AH80" s="10" t="str">
        <f t="shared" si="58"/>
        <v/>
      </c>
      <c r="AI80" s="10" t="str">
        <f t="shared" ref="AI80:AI114" si="75">IF(ISNUMBER(AH80),AH80*$M80,"")</f>
        <v/>
      </c>
      <c r="AJ80" s="71"/>
      <c r="AK80" s="10" t="str">
        <f t="shared" si="59"/>
        <v/>
      </c>
      <c r="AL80" s="10" t="str">
        <f t="shared" ref="AL80:AL114" si="76">IF(ISNUMBER(AK80),AK80*$M80,"")</f>
        <v/>
      </c>
      <c r="AM80" s="71"/>
      <c r="AN80" s="10" t="str">
        <f t="shared" si="60"/>
        <v/>
      </c>
      <c r="AO80" s="10" t="str">
        <f t="shared" ref="AO80:AO114" si="77">IF(ISNUMBER(AN80),AN80*$M80,"")</f>
        <v/>
      </c>
      <c r="AP80" s="71"/>
      <c r="AQ80" s="10" t="str">
        <f t="shared" si="61"/>
        <v/>
      </c>
      <c r="AR80" s="10" t="str">
        <f t="shared" ref="AR80:AR114" si="78">IF(ISNUMBER(AQ80),AQ80*$M80,"")</f>
        <v/>
      </c>
      <c r="AS80" s="71"/>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U80" s="71"/>
      <c r="AV80" s="10" t="str">
        <f t="shared" si="62"/>
        <v/>
      </c>
      <c r="AW80" s="10" t="str">
        <f t="shared" ref="AW80:AW114" si="79">IF(ISNUMBER(AV80),AV80*$M80,"")</f>
        <v/>
      </c>
      <c r="AX80" s="71"/>
      <c r="AY80" s="7" t="str">
        <f>IF(ISERROR(IF($K80&lt;=$F$15,VLOOKUP($I80,'表4）CO2価格'!$A$7:$E$67,VLOOKUP($F$48,'表4）CO2価格'!$H$10:$I$12,2,0),0)*$F$8/1000,"")),0,IF($K80&lt;=$F$15,VLOOKUP($I80,'表4）CO2価格'!$A$7:$E$67,VLOOKUP($F$48,'表4）CO2価格'!$H$10:$I$12,2,0),0)*$F$8/1000,""))</f>
        <v/>
      </c>
      <c r="AZ80" s="71"/>
      <c r="BA80" s="11" t="str">
        <f t="shared" si="63"/>
        <v/>
      </c>
      <c r="BB80" s="10" t="str">
        <f t="shared" ref="BB80:BB114" si="80">IF(ISNUMBER(BA80),BA80*$M80,"")</f>
        <v/>
      </c>
      <c r="BC80" s="71"/>
      <c r="BD80" s="10" t="str">
        <f t="shared" si="64"/>
        <v/>
      </c>
      <c r="BE80" s="10" t="str">
        <f t="shared" ref="BE80:BE114" si="81">IF(ISNUMBER(BD80),BD80*$M80,"")</f>
        <v/>
      </c>
      <c r="BF80" s="71"/>
      <c r="BG80" s="11" t="str">
        <f t="shared" si="65"/>
        <v/>
      </c>
      <c r="BH80" s="10" t="str">
        <f t="shared" ref="BH80:BH114" si="82">IF(ISNUMBER(BG80),BG80*$M80,"")</f>
        <v/>
      </c>
      <c r="BJ80" s="7" t="str">
        <f t="shared" ref="BJ80:BJ114" si="83">IF(ISNUMBER($F$16),IF($K80&lt;=$F$16+$F$28,1/(1+($F$17/100))^K80,""),"")</f>
        <v/>
      </c>
      <c r="BK80" s="158" t="str">
        <f t="shared" ref="BK80:BK114" si="84">IF(ISNUMBER($F$16),IF($K80&lt;=$F$16+$F$28,IF($K80&lt;=$F$16,SUM(Y80,AB80,AE80,AH80,AK80,AN80,AQ80,AV80,BA80,BD80,BG80),$F$27/$F$28*10^8)*BJ80,""),"")</f>
        <v/>
      </c>
      <c r="BL80" s="158" t="str">
        <f t="shared" si="66"/>
        <v/>
      </c>
      <c r="BM80" s="10"/>
      <c r="BN80" s="10" t="str">
        <f t="shared" ref="BN80:BN114" si="85">IF(AND(ISNUMBER($F$16),$K80&lt;=$F$16),BQ80*($O$15+$BK$116)/$BL$116,"")</f>
        <v/>
      </c>
      <c r="BO80" s="10" t="str">
        <f t="shared" ref="BO80:BO114" si="86">IF(ISNUMBER(BN80),BN80*$M80,"")</f>
        <v/>
      </c>
      <c r="BQ80" s="10" t="str">
        <f t="shared" si="67"/>
        <v/>
      </c>
      <c r="BR80" s="10" t="str">
        <f t="shared" ref="BR80:BR114" si="87">IF(ISNUMBER(BQ80),BQ80*$M80,"")</f>
        <v/>
      </c>
    </row>
    <row r="81" spans="4:70" x14ac:dyDescent="0.15">
      <c r="E81" s="160" t="s">
        <v>86</v>
      </c>
      <c r="F81" s="488">
        <f>AC116/$BR$116</f>
        <v>0.11024053971990035</v>
      </c>
      <c r="G81" s="84" t="s">
        <v>590</v>
      </c>
      <c r="I81" s="38">
        <f t="shared" ref="I81:I114" si="88">I80+1</f>
        <v>2096</v>
      </c>
      <c r="J81" s="39"/>
      <c r="K81" s="39">
        <f t="shared" ref="K81:K114" si="89">IF(I81&lt;&gt;"",K80+1,"")</f>
        <v>67</v>
      </c>
      <c r="L81" s="39"/>
      <c r="M81" s="40">
        <f t="shared" si="52"/>
        <v>0.1380085346864266</v>
      </c>
      <c r="N81" s="39"/>
      <c r="O81" s="72" t="str">
        <f t="shared" si="68"/>
        <v/>
      </c>
      <c r="P81" s="41" t="str">
        <f t="shared" si="53"/>
        <v/>
      </c>
      <c r="Q81" s="39"/>
      <c r="R81" s="72" t="str">
        <f t="shared" si="69"/>
        <v/>
      </c>
      <c r="S81" s="39"/>
      <c r="T81" s="72" t="str">
        <f t="shared" si="70"/>
        <v/>
      </c>
      <c r="U81" s="39"/>
      <c r="V81" s="72" t="str">
        <f t="shared" si="54"/>
        <v/>
      </c>
      <c r="W81" s="72" t="str">
        <f t="shared" si="71"/>
        <v/>
      </c>
      <c r="X81" s="39"/>
      <c r="Y81" s="72" t="str">
        <f t="shared" si="55"/>
        <v/>
      </c>
      <c r="Z81" s="72" t="str">
        <f t="shared" si="72"/>
        <v/>
      </c>
      <c r="AA81" s="39"/>
      <c r="AB81" s="72" t="str">
        <f t="shared" si="56"/>
        <v/>
      </c>
      <c r="AC81" s="72" t="str">
        <f t="shared" si="73"/>
        <v/>
      </c>
      <c r="AD81" s="39"/>
      <c r="AE81" s="72" t="str">
        <f t="shared" si="57"/>
        <v/>
      </c>
      <c r="AF81" s="72" t="str">
        <f t="shared" si="74"/>
        <v/>
      </c>
      <c r="AG81" s="39"/>
      <c r="AH81" s="72" t="str">
        <f t="shared" si="58"/>
        <v/>
      </c>
      <c r="AI81" s="72" t="str">
        <f t="shared" si="75"/>
        <v/>
      </c>
      <c r="AJ81" s="39"/>
      <c r="AK81" s="72" t="str">
        <f t="shared" si="59"/>
        <v/>
      </c>
      <c r="AL81" s="72" t="str">
        <f t="shared" si="76"/>
        <v/>
      </c>
      <c r="AM81" s="39"/>
      <c r="AN81" s="72" t="str">
        <f t="shared" si="60"/>
        <v/>
      </c>
      <c r="AO81" s="72" t="str">
        <f t="shared" si="77"/>
        <v/>
      </c>
      <c r="AP81" s="39"/>
      <c r="AQ81" s="72" t="str">
        <f t="shared" si="61"/>
        <v/>
      </c>
      <c r="AR81" s="72" t="str">
        <f t="shared" si="78"/>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62"/>
        <v/>
      </c>
      <c r="AW81" s="72" t="str">
        <f t="shared" si="79"/>
        <v/>
      </c>
      <c r="AX81" s="39"/>
      <c r="AY81" s="40" t="str">
        <f>IF(ISERROR(IF($K81&lt;=$F$15,VLOOKUP($I81,'表4）CO2価格'!$A$7:$E$67,VLOOKUP($F$48,'表4）CO2価格'!$H$10:$I$12,2,0),0)*$F$8/1000,"")),0,IF($K81&lt;=$F$15,VLOOKUP($I81,'表4）CO2価格'!$A$7:$E$67,VLOOKUP($F$48,'表4）CO2価格'!$H$10:$I$12,2,0),0)*$F$8/1000,""))</f>
        <v/>
      </c>
      <c r="AZ81" s="39"/>
      <c r="BA81" s="42" t="str">
        <f t="shared" si="63"/>
        <v/>
      </c>
      <c r="BB81" s="72" t="str">
        <f t="shared" si="80"/>
        <v/>
      </c>
      <c r="BC81" s="39"/>
      <c r="BD81" s="72" t="str">
        <f t="shared" si="64"/>
        <v/>
      </c>
      <c r="BE81" s="72" t="str">
        <f t="shared" si="81"/>
        <v/>
      </c>
      <c r="BF81" s="39"/>
      <c r="BG81" s="42" t="str">
        <f t="shared" si="65"/>
        <v/>
      </c>
      <c r="BH81" s="72" t="str">
        <f t="shared" si="82"/>
        <v/>
      </c>
      <c r="BI81" s="39"/>
      <c r="BJ81" s="40" t="str">
        <f t="shared" si="83"/>
        <v/>
      </c>
      <c r="BK81" s="157" t="str">
        <f t="shared" si="84"/>
        <v/>
      </c>
      <c r="BL81" s="157" t="str">
        <f t="shared" si="66"/>
        <v/>
      </c>
      <c r="BM81" s="72"/>
      <c r="BN81" s="72" t="str">
        <f t="shared" si="85"/>
        <v/>
      </c>
      <c r="BO81" s="72" t="str">
        <f t="shared" si="86"/>
        <v/>
      </c>
      <c r="BP81" s="39"/>
      <c r="BQ81" s="72" t="str">
        <f t="shared" si="67"/>
        <v/>
      </c>
      <c r="BR81" s="72" t="str">
        <f t="shared" si="87"/>
        <v/>
      </c>
    </row>
    <row r="82" spans="4:70" x14ac:dyDescent="0.15">
      <c r="F82" s="487"/>
      <c r="I82" s="457">
        <f t="shared" si="88"/>
        <v>2097</v>
      </c>
      <c r="J82" s="71"/>
      <c r="K82" s="71">
        <f t="shared" si="89"/>
        <v>68</v>
      </c>
      <c r="L82" s="71"/>
      <c r="M82" s="7">
        <f t="shared" si="52"/>
        <v>0.13398886862759865</v>
      </c>
      <c r="N82" s="71"/>
      <c r="O82" s="10" t="str">
        <f t="shared" si="68"/>
        <v/>
      </c>
      <c r="P82" s="29" t="str">
        <f t="shared" si="53"/>
        <v/>
      </c>
      <c r="Q82" s="71"/>
      <c r="R82" s="10" t="str">
        <f t="shared" si="69"/>
        <v/>
      </c>
      <c r="S82" s="71"/>
      <c r="T82" s="10" t="str">
        <f t="shared" si="70"/>
        <v/>
      </c>
      <c r="U82" s="71"/>
      <c r="V82" s="10" t="str">
        <f t="shared" si="54"/>
        <v/>
      </c>
      <c r="W82" s="10" t="str">
        <f t="shared" si="71"/>
        <v/>
      </c>
      <c r="X82" s="71"/>
      <c r="Y82" s="10" t="str">
        <f t="shared" si="55"/>
        <v/>
      </c>
      <c r="Z82" s="10" t="str">
        <f t="shared" si="72"/>
        <v/>
      </c>
      <c r="AA82" s="71"/>
      <c r="AB82" s="10" t="str">
        <f t="shared" si="56"/>
        <v/>
      </c>
      <c r="AC82" s="10" t="str">
        <f t="shared" si="73"/>
        <v/>
      </c>
      <c r="AD82" s="71"/>
      <c r="AE82" s="10" t="str">
        <f t="shared" si="57"/>
        <v/>
      </c>
      <c r="AF82" s="10" t="str">
        <f t="shared" si="74"/>
        <v/>
      </c>
      <c r="AG82" s="71"/>
      <c r="AH82" s="10" t="str">
        <f t="shared" si="58"/>
        <v/>
      </c>
      <c r="AI82" s="10" t="str">
        <f t="shared" si="75"/>
        <v/>
      </c>
      <c r="AJ82" s="71"/>
      <c r="AK82" s="10" t="str">
        <f t="shared" si="59"/>
        <v/>
      </c>
      <c r="AL82" s="10" t="str">
        <f t="shared" si="76"/>
        <v/>
      </c>
      <c r="AM82" s="71"/>
      <c r="AN82" s="10" t="str">
        <f t="shared" si="60"/>
        <v/>
      </c>
      <c r="AO82" s="10" t="str">
        <f t="shared" si="77"/>
        <v/>
      </c>
      <c r="AP82" s="71"/>
      <c r="AQ82" s="10" t="str">
        <f t="shared" si="61"/>
        <v/>
      </c>
      <c r="AR82" s="10" t="str">
        <f t="shared" si="78"/>
        <v/>
      </c>
      <c r="AS82" s="71"/>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U82" s="71"/>
      <c r="AV82" s="10" t="str">
        <f t="shared" si="62"/>
        <v/>
      </c>
      <c r="AW82" s="10" t="str">
        <f t="shared" si="79"/>
        <v/>
      </c>
      <c r="AX82" s="71"/>
      <c r="AY82" s="7" t="str">
        <f>IF(ISERROR(IF($K82&lt;=$F$15,VLOOKUP($I82,'表4）CO2価格'!$A$7:$E$67,VLOOKUP($F$48,'表4）CO2価格'!$H$10:$I$12,2,0),0)*$F$8/1000,"")),0,IF($K82&lt;=$F$15,VLOOKUP($I82,'表4）CO2価格'!$A$7:$E$67,VLOOKUP($F$48,'表4）CO2価格'!$H$10:$I$12,2,0),0)*$F$8/1000,""))</f>
        <v/>
      </c>
      <c r="AZ82" s="71"/>
      <c r="BA82" s="11" t="str">
        <f t="shared" si="63"/>
        <v/>
      </c>
      <c r="BB82" s="10" t="str">
        <f t="shared" si="80"/>
        <v/>
      </c>
      <c r="BC82" s="71"/>
      <c r="BD82" s="10" t="str">
        <f t="shared" si="64"/>
        <v/>
      </c>
      <c r="BE82" s="10" t="str">
        <f t="shared" si="81"/>
        <v/>
      </c>
      <c r="BF82" s="71"/>
      <c r="BG82" s="11" t="str">
        <f t="shared" si="65"/>
        <v/>
      </c>
      <c r="BH82" s="10" t="str">
        <f t="shared" si="82"/>
        <v/>
      </c>
      <c r="BJ82" s="7" t="str">
        <f t="shared" si="83"/>
        <v/>
      </c>
      <c r="BK82" s="158" t="str">
        <f t="shared" si="84"/>
        <v/>
      </c>
      <c r="BL82" s="158" t="str">
        <f t="shared" si="66"/>
        <v/>
      </c>
      <c r="BM82" s="10"/>
      <c r="BN82" s="10" t="str">
        <f t="shared" si="85"/>
        <v/>
      </c>
      <c r="BO82" s="10" t="str">
        <f t="shared" si="86"/>
        <v/>
      </c>
      <c r="BQ82" s="10" t="str">
        <f t="shared" si="67"/>
        <v/>
      </c>
      <c r="BR82" s="10" t="str">
        <f t="shared" si="87"/>
        <v/>
      </c>
    </row>
    <row r="83" spans="4:70" ht="15" x14ac:dyDescent="0.15">
      <c r="D83" s="103" t="s">
        <v>593</v>
      </c>
      <c r="F83" s="484">
        <f>SUBTOTAL(9,F87:F90)</f>
        <v>13.447488584474888</v>
      </c>
      <c r="G83" s="84" t="s">
        <v>590</v>
      </c>
      <c r="I83" s="38">
        <f>I82+1</f>
        <v>2098</v>
      </c>
      <c r="J83" s="39"/>
      <c r="K83" s="39">
        <f>IF(I83&lt;&gt;"",K82+1,"")</f>
        <v>69</v>
      </c>
      <c r="L83" s="39"/>
      <c r="M83" s="40">
        <f t="shared" si="52"/>
        <v>0.13008628022096957</v>
      </c>
      <c r="N83" s="39"/>
      <c r="O83" s="72" t="str">
        <f t="shared" si="68"/>
        <v/>
      </c>
      <c r="P83" s="41" t="str">
        <f t="shared" si="53"/>
        <v/>
      </c>
      <c r="Q83" s="39"/>
      <c r="R83" s="72" t="str">
        <f t="shared" si="69"/>
        <v/>
      </c>
      <c r="S83" s="39"/>
      <c r="T83" s="72" t="str">
        <f t="shared" si="70"/>
        <v/>
      </c>
      <c r="U83" s="39"/>
      <c r="V83" s="72" t="str">
        <f t="shared" si="54"/>
        <v/>
      </c>
      <c r="W83" s="72" t="str">
        <f t="shared" si="71"/>
        <v/>
      </c>
      <c r="X83" s="39"/>
      <c r="Y83" s="72" t="str">
        <f t="shared" si="55"/>
        <v/>
      </c>
      <c r="Z83" s="72" t="str">
        <f t="shared" si="72"/>
        <v/>
      </c>
      <c r="AA83" s="39"/>
      <c r="AB83" s="72" t="str">
        <f t="shared" si="56"/>
        <v/>
      </c>
      <c r="AC83" s="72" t="str">
        <f t="shared" si="73"/>
        <v/>
      </c>
      <c r="AD83" s="39"/>
      <c r="AE83" s="72" t="str">
        <f t="shared" si="57"/>
        <v/>
      </c>
      <c r="AF83" s="72" t="str">
        <f t="shared" si="74"/>
        <v/>
      </c>
      <c r="AG83" s="39"/>
      <c r="AH83" s="72" t="str">
        <f t="shared" si="58"/>
        <v/>
      </c>
      <c r="AI83" s="72" t="str">
        <f t="shared" si="75"/>
        <v/>
      </c>
      <c r="AJ83" s="39"/>
      <c r="AK83" s="72" t="str">
        <f t="shared" si="59"/>
        <v/>
      </c>
      <c r="AL83" s="72" t="str">
        <f t="shared" si="76"/>
        <v/>
      </c>
      <c r="AM83" s="39"/>
      <c r="AN83" s="72" t="str">
        <f t="shared" si="60"/>
        <v/>
      </c>
      <c r="AO83" s="72" t="str">
        <f t="shared" si="77"/>
        <v/>
      </c>
      <c r="AP83" s="39"/>
      <c r="AQ83" s="72" t="str">
        <f t="shared" si="61"/>
        <v/>
      </c>
      <c r="AR83" s="72" t="str">
        <f t="shared" si="78"/>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62"/>
        <v/>
      </c>
      <c r="AW83" s="72" t="str">
        <f t="shared" si="79"/>
        <v/>
      </c>
      <c r="AX83" s="39"/>
      <c r="AY83" s="40" t="str">
        <f>IF(ISERROR(IF($K83&lt;=$F$15,VLOOKUP($I83,'表4）CO2価格'!$A$7:$E$67,VLOOKUP($F$48,'表4）CO2価格'!$H$10:$I$12,2,0),0)*$F$8/1000,"")),0,IF($K83&lt;=$F$15,VLOOKUP($I83,'表4）CO2価格'!$A$7:$E$67,VLOOKUP($F$48,'表4）CO2価格'!$H$10:$I$12,2,0),0)*$F$8/1000,""))</f>
        <v/>
      </c>
      <c r="AZ83" s="39"/>
      <c r="BA83" s="42" t="str">
        <f t="shared" si="63"/>
        <v/>
      </c>
      <c r="BB83" s="72" t="str">
        <f t="shared" si="80"/>
        <v/>
      </c>
      <c r="BC83" s="39"/>
      <c r="BD83" s="72" t="str">
        <f t="shared" si="64"/>
        <v/>
      </c>
      <c r="BE83" s="72" t="str">
        <f t="shared" si="81"/>
        <v/>
      </c>
      <c r="BF83" s="39"/>
      <c r="BG83" s="42" t="str">
        <f t="shared" si="65"/>
        <v/>
      </c>
      <c r="BH83" s="72" t="str">
        <f t="shared" si="82"/>
        <v/>
      </c>
      <c r="BI83" s="39"/>
      <c r="BJ83" s="40" t="str">
        <f t="shared" si="83"/>
        <v/>
      </c>
      <c r="BK83" s="157" t="str">
        <f t="shared" si="84"/>
        <v/>
      </c>
      <c r="BL83" s="157" t="str">
        <f t="shared" si="66"/>
        <v/>
      </c>
      <c r="BM83" s="72"/>
      <c r="BN83" s="72" t="str">
        <f t="shared" si="85"/>
        <v/>
      </c>
      <c r="BO83" s="72" t="str">
        <f t="shared" si="86"/>
        <v/>
      </c>
      <c r="BP83" s="39"/>
      <c r="BQ83" s="72" t="str">
        <f t="shared" si="67"/>
        <v/>
      </c>
      <c r="BR83" s="72" t="str">
        <f t="shared" si="87"/>
        <v/>
      </c>
    </row>
    <row r="84" spans="4:70" x14ac:dyDescent="0.15">
      <c r="F84" s="487"/>
      <c r="I84" s="457">
        <f t="shared" si="88"/>
        <v>2099</v>
      </c>
      <c r="J84" s="71"/>
      <c r="K84" s="71">
        <f t="shared" si="89"/>
        <v>70</v>
      </c>
      <c r="L84" s="71"/>
      <c r="M84" s="7">
        <f t="shared" si="52"/>
        <v>0.12629735943783454</v>
      </c>
      <c r="N84" s="71"/>
      <c r="O84" s="10" t="str">
        <f t="shared" si="68"/>
        <v/>
      </c>
      <c r="P84" s="29" t="str">
        <f t="shared" si="53"/>
        <v/>
      </c>
      <c r="Q84" s="71"/>
      <c r="R84" s="10" t="str">
        <f t="shared" si="69"/>
        <v/>
      </c>
      <c r="S84" s="71"/>
      <c r="T84" s="10" t="str">
        <f t="shared" si="70"/>
        <v/>
      </c>
      <c r="U84" s="71"/>
      <c r="V84" s="10" t="str">
        <f t="shared" si="54"/>
        <v/>
      </c>
      <c r="W84" s="10" t="str">
        <f t="shared" si="71"/>
        <v/>
      </c>
      <c r="X84" s="71"/>
      <c r="Y84" s="10" t="str">
        <f t="shared" si="55"/>
        <v/>
      </c>
      <c r="Z84" s="10" t="str">
        <f t="shared" si="72"/>
        <v/>
      </c>
      <c r="AA84" s="71"/>
      <c r="AB84" s="10" t="str">
        <f t="shared" si="56"/>
        <v/>
      </c>
      <c r="AC84" s="10" t="str">
        <f t="shared" si="73"/>
        <v/>
      </c>
      <c r="AD84" s="71"/>
      <c r="AE84" s="10" t="str">
        <f t="shared" si="57"/>
        <v/>
      </c>
      <c r="AF84" s="10" t="str">
        <f t="shared" si="74"/>
        <v/>
      </c>
      <c r="AG84" s="71"/>
      <c r="AH84" s="10" t="str">
        <f t="shared" si="58"/>
        <v/>
      </c>
      <c r="AI84" s="10" t="str">
        <f t="shared" si="75"/>
        <v/>
      </c>
      <c r="AJ84" s="71"/>
      <c r="AK84" s="10" t="str">
        <f t="shared" si="59"/>
        <v/>
      </c>
      <c r="AL84" s="10" t="str">
        <f t="shared" si="76"/>
        <v/>
      </c>
      <c r="AM84" s="71"/>
      <c r="AN84" s="10" t="str">
        <f t="shared" si="60"/>
        <v/>
      </c>
      <c r="AO84" s="10" t="str">
        <f t="shared" si="77"/>
        <v/>
      </c>
      <c r="AP84" s="71"/>
      <c r="AQ84" s="10" t="str">
        <f t="shared" si="61"/>
        <v/>
      </c>
      <c r="AR84" s="10" t="str">
        <f t="shared" si="78"/>
        <v/>
      </c>
      <c r="AS84" s="71"/>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U84" s="71"/>
      <c r="AV84" s="10" t="str">
        <f t="shared" si="62"/>
        <v/>
      </c>
      <c r="AW84" s="10" t="str">
        <f t="shared" si="79"/>
        <v/>
      </c>
      <c r="AX84" s="71"/>
      <c r="AY84" s="7" t="str">
        <f>IF(ISERROR(IF($K84&lt;=$F$15,VLOOKUP($I84,'表4）CO2価格'!$A$7:$E$67,VLOOKUP($F$48,'表4）CO2価格'!$H$10:$I$12,2,0),0)*$F$8/1000,"")),0,IF($K84&lt;=$F$15,VLOOKUP($I84,'表4）CO2価格'!$A$7:$E$67,VLOOKUP($F$48,'表4）CO2価格'!$H$10:$I$12,2,0),0)*$F$8/1000,""))</f>
        <v/>
      </c>
      <c r="AZ84" s="71"/>
      <c r="BA84" s="11" t="str">
        <f t="shared" si="63"/>
        <v/>
      </c>
      <c r="BB84" s="10" t="str">
        <f t="shared" si="80"/>
        <v/>
      </c>
      <c r="BC84" s="71"/>
      <c r="BD84" s="10" t="str">
        <f t="shared" si="64"/>
        <v/>
      </c>
      <c r="BE84" s="10" t="str">
        <f t="shared" si="81"/>
        <v/>
      </c>
      <c r="BF84" s="71"/>
      <c r="BG84" s="11" t="str">
        <f t="shared" si="65"/>
        <v/>
      </c>
      <c r="BH84" s="10" t="str">
        <f t="shared" si="82"/>
        <v/>
      </c>
      <c r="BJ84" s="7" t="str">
        <f t="shared" si="83"/>
        <v/>
      </c>
      <c r="BK84" s="158" t="str">
        <f t="shared" si="84"/>
        <v/>
      </c>
      <c r="BL84" s="158" t="str">
        <f t="shared" si="66"/>
        <v/>
      </c>
      <c r="BM84" s="10"/>
      <c r="BN84" s="10" t="str">
        <f t="shared" si="85"/>
        <v/>
      </c>
      <c r="BO84" s="10" t="str">
        <f t="shared" si="86"/>
        <v/>
      </c>
      <c r="BQ84" s="10" t="str">
        <f t="shared" si="67"/>
        <v/>
      </c>
      <c r="BR84" s="10" t="str">
        <f t="shared" si="87"/>
        <v/>
      </c>
    </row>
    <row r="85" spans="4:70" x14ac:dyDescent="0.15">
      <c r="D85" s="100" t="s">
        <v>594</v>
      </c>
      <c r="E85" s="489"/>
      <c r="F85" s="486"/>
      <c r="G85" s="100"/>
      <c r="I85" s="38">
        <f t="shared" si="88"/>
        <v>2100</v>
      </c>
      <c r="J85" s="39"/>
      <c r="K85" s="39">
        <f t="shared" si="89"/>
        <v>71</v>
      </c>
      <c r="L85" s="39"/>
      <c r="M85" s="40">
        <f t="shared" si="52"/>
        <v>0.12261879557071313</v>
      </c>
      <c r="N85" s="39"/>
      <c r="O85" s="72" t="str">
        <f t="shared" si="68"/>
        <v/>
      </c>
      <c r="P85" s="41" t="str">
        <f t="shared" si="53"/>
        <v/>
      </c>
      <c r="Q85" s="39"/>
      <c r="R85" s="72" t="str">
        <f t="shared" si="69"/>
        <v/>
      </c>
      <c r="S85" s="39"/>
      <c r="T85" s="72" t="str">
        <f t="shared" si="70"/>
        <v/>
      </c>
      <c r="U85" s="39"/>
      <c r="V85" s="72" t="str">
        <f t="shared" si="54"/>
        <v/>
      </c>
      <c r="W85" s="72" t="str">
        <f t="shared" si="71"/>
        <v/>
      </c>
      <c r="X85" s="39"/>
      <c r="Y85" s="72" t="str">
        <f t="shared" si="55"/>
        <v/>
      </c>
      <c r="Z85" s="72" t="str">
        <f t="shared" si="72"/>
        <v/>
      </c>
      <c r="AA85" s="39"/>
      <c r="AB85" s="72" t="str">
        <f t="shared" si="56"/>
        <v/>
      </c>
      <c r="AC85" s="72" t="str">
        <f t="shared" si="73"/>
        <v/>
      </c>
      <c r="AD85" s="39"/>
      <c r="AE85" s="72" t="str">
        <f t="shared" si="57"/>
        <v/>
      </c>
      <c r="AF85" s="72" t="str">
        <f t="shared" si="74"/>
        <v/>
      </c>
      <c r="AG85" s="39"/>
      <c r="AH85" s="72" t="str">
        <f t="shared" si="58"/>
        <v/>
      </c>
      <c r="AI85" s="72" t="str">
        <f t="shared" si="75"/>
        <v/>
      </c>
      <c r="AJ85" s="39"/>
      <c r="AK85" s="72" t="str">
        <f t="shared" si="59"/>
        <v/>
      </c>
      <c r="AL85" s="72" t="str">
        <f t="shared" si="76"/>
        <v/>
      </c>
      <c r="AM85" s="39"/>
      <c r="AN85" s="72" t="str">
        <f t="shared" si="60"/>
        <v/>
      </c>
      <c r="AO85" s="72" t="str">
        <f t="shared" si="77"/>
        <v/>
      </c>
      <c r="AP85" s="39"/>
      <c r="AQ85" s="72" t="str">
        <f t="shared" si="61"/>
        <v/>
      </c>
      <c r="AR85" s="72" t="str">
        <f t="shared" si="78"/>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62"/>
        <v/>
      </c>
      <c r="AW85" s="72" t="str">
        <f t="shared" si="79"/>
        <v/>
      </c>
      <c r="AX85" s="39"/>
      <c r="AY85" s="40" t="str">
        <f>IF(ISERROR(IF($K85&lt;=$F$15,VLOOKUP($I85,'表4）CO2価格'!$A$7:$E$67,VLOOKUP($F$48,'表4）CO2価格'!$H$10:$I$12,2,0),0)*$F$8/1000,"")),0,IF($K85&lt;=$F$15,VLOOKUP($I85,'表4）CO2価格'!$A$7:$E$67,VLOOKUP($F$48,'表4）CO2価格'!$H$10:$I$12,2,0),0)*$F$8/1000,""))</f>
        <v/>
      </c>
      <c r="AZ85" s="39"/>
      <c r="BA85" s="42" t="str">
        <f t="shared" si="63"/>
        <v/>
      </c>
      <c r="BB85" s="72" t="str">
        <f t="shared" si="80"/>
        <v/>
      </c>
      <c r="BC85" s="39"/>
      <c r="BD85" s="72" t="str">
        <f t="shared" si="64"/>
        <v/>
      </c>
      <c r="BE85" s="72" t="str">
        <f t="shared" si="81"/>
        <v/>
      </c>
      <c r="BF85" s="39"/>
      <c r="BG85" s="42" t="str">
        <f t="shared" si="65"/>
        <v/>
      </c>
      <c r="BH85" s="72" t="str">
        <f t="shared" si="82"/>
        <v/>
      </c>
      <c r="BI85" s="39"/>
      <c r="BJ85" s="40" t="str">
        <f t="shared" si="83"/>
        <v/>
      </c>
      <c r="BK85" s="157" t="str">
        <f t="shared" si="84"/>
        <v/>
      </c>
      <c r="BL85" s="157" t="str">
        <f t="shared" si="66"/>
        <v/>
      </c>
      <c r="BM85" s="72"/>
      <c r="BN85" s="72" t="str">
        <f t="shared" si="85"/>
        <v/>
      </c>
      <c r="BO85" s="72" t="str">
        <f t="shared" si="86"/>
        <v/>
      </c>
      <c r="BP85" s="39"/>
      <c r="BQ85" s="72" t="str">
        <f t="shared" si="67"/>
        <v/>
      </c>
      <c r="BR85" s="72" t="str">
        <f t="shared" si="87"/>
        <v/>
      </c>
    </row>
    <row r="86" spans="4:70" x14ac:dyDescent="0.15">
      <c r="F86" s="487"/>
      <c r="I86" s="457">
        <f t="shared" si="88"/>
        <v>2101</v>
      </c>
      <c r="J86" s="71"/>
      <c r="K86" s="71">
        <f t="shared" si="89"/>
        <v>72</v>
      </c>
      <c r="L86" s="71"/>
      <c r="M86" s="7">
        <f t="shared" si="52"/>
        <v>0.1190473743404982</v>
      </c>
      <c r="N86" s="71"/>
      <c r="O86" s="10" t="str">
        <f t="shared" si="68"/>
        <v/>
      </c>
      <c r="P86" s="29" t="str">
        <f t="shared" si="53"/>
        <v/>
      </c>
      <c r="Q86" s="71"/>
      <c r="R86" s="10" t="str">
        <f t="shared" si="69"/>
        <v/>
      </c>
      <c r="S86" s="71"/>
      <c r="T86" s="10" t="str">
        <f t="shared" si="70"/>
        <v/>
      </c>
      <c r="U86" s="71"/>
      <c r="V86" s="10" t="str">
        <f t="shared" si="54"/>
        <v/>
      </c>
      <c r="W86" s="10" t="str">
        <f t="shared" si="71"/>
        <v/>
      </c>
      <c r="X86" s="71"/>
      <c r="Y86" s="10" t="str">
        <f t="shared" si="55"/>
        <v/>
      </c>
      <c r="Z86" s="10" t="str">
        <f t="shared" si="72"/>
        <v/>
      </c>
      <c r="AA86" s="71"/>
      <c r="AB86" s="10" t="str">
        <f t="shared" si="56"/>
        <v/>
      </c>
      <c r="AC86" s="10" t="str">
        <f t="shared" si="73"/>
        <v/>
      </c>
      <c r="AD86" s="71"/>
      <c r="AE86" s="10" t="str">
        <f t="shared" si="57"/>
        <v/>
      </c>
      <c r="AF86" s="10" t="str">
        <f t="shared" si="74"/>
        <v/>
      </c>
      <c r="AG86" s="71"/>
      <c r="AH86" s="10" t="str">
        <f t="shared" si="58"/>
        <v/>
      </c>
      <c r="AI86" s="10" t="str">
        <f t="shared" si="75"/>
        <v/>
      </c>
      <c r="AJ86" s="71"/>
      <c r="AK86" s="10" t="str">
        <f t="shared" si="59"/>
        <v/>
      </c>
      <c r="AL86" s="10" t="str">
        <f t="shared" si="76"/>
        <v/>
      </c>
      <c r="AM86" s="71"/>
      <c r="AN86" s="10" t="str">
        <f t="shared" si="60"/>
        <v/>
      </c>
      <c r="AO86" s="10" t="str">
        <f t="shared" si="77"/>
        <v/>
      </c>
      <c r="AP86" s="71"/>
      <c r="AQ86" s="10" t="str">
        <f t="shared" si="61"/>
        <v/>
      </c>
      <c r="AR86" s="10" t="str">
        <f t="shared" si="78"/>
        <v/>
      </c>
      <c r="AS86" s="71"/>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U86" s="71"/>
      <c r="AV86" s="10" t="str">
        <f t="shared" si="62"/>
        <v/>
      </c>
      <c r="AW86" s="10" t="str">
        <f t="shared" si="79"/>
        <v/>
      </c>
      <c r="AX86" s="71"/>
      <c r="AY86" s="7" t="str">
        <f>IF(ISERROR(IF($K86&lt;=$F$15,VLOOKUP($I86,'表4）CO2価格'!$A$7:$E$67,VLOOKUP($F$48,'表4）CO2価格'!$H$10:$I$12,2,0),0)*$F$8/1000,"")),0,IF($K86&lt;=$F$15,VLOOKUP($I86,'表4）CO2価格'!$A$7:$E$67,VLOOKUP($F$48,'表4）CO2価格'!$H$10:$I$12,2,0),0)*$F$8/1000,""))</f>
        <v/>
      </c>
      <c r="AZ86" s="71"/>
      <c r="BA86" s="11" t="str">
        <f t="shared" si="63"/>
        <v/>
      </c>
      <c r="BB86" s="10" t="str">
        <f t="shared" si="80"/>
        <v/>
      </c>
      <c r="BC86" s="71"/>
      <c r="BD86" s="10" t="str">
        <f t="shared" si="64"/>
        <v/>
      </c>
      <c r="BE86" s="10" t="str">
        <f t="shared" si="81"/>
        <v/>
      </c>
      <c r="BF86" s="71"/>
      <c r="BG86" s="11" t="str">
        <f t="shared" si="65"/>
        <v/>
      </c>
      <c r="BH86" s="10" t="str">
        <f t="shared" si="82"/>
        <v/>
      </c>
      <c r="BJ86" s="7" t="str">
        <f t="shared" si="83"/>
        <v/>
      </c>
      <c r="BK86" s="158" t="str">
        <f t="shared" si="84"/>
        <v/>
      </c>
      <c r="BL86" s="158" t="str">
        <f t="shared" si="66"/>
        <v/>
      </c>
      <c r="BM86" s="10"/>
      <c r="BN86" s="10" t="str">
        <f t="shared" si="85"/>
        <v/>
      </c>
      <c r="BO86" s="10" t="str">
        <f t="shared" si="86"/>
        <v/>
      </c>
      <c r="BQ86" s="10" t="str">
        <f t="shared" si="67"/>
        <v/>
      </c>
      <c r="BR86" s="10" t="str">
        <f t="shared" si="87"/>
        <v/>
      </c>
    </row>
    <row r="87" spans="4:70" x14ac:dyDescent="0.15">
      <c r="E87" s="84" t="s">
        <v>141</v>
      </c>
      <c r="F87" s="488">
        <f>AI116/$BR$116</f>
        <v>6.6590563165905641</v>
      </c>
      <c r="G87" s="84" t="s">
        <v>590</v>
      </c>
      <c r="I87" s="38">
        <f t="shared" si="88"/>
        <v>2102</v>
      </c>
      <c r="J87" s="39"/>
      <c r="K87" s="39">
        <f t="shared" si="89"/>
        <v>73</v>
      </c>
      <c r="L87" s="39"/>
      <c r="M87" s="40">
        <f t="shared" si="52"/>
        <v>0.11557997508786232</v>
      </c>
      <c r="N87" s="39"/>
      <c r="O87" s="72" t="str">
        <f t="shared" si="68"/>
        <v/>
      </c>
      <c r="P87" s="41" t="str">
        <f t="shared" si="53"/>
        <v/>
      </c>
      <c r="Q87" s="39"/>
      <c r="R87" s="72" t="str">
        <f t="shared" si="69"/>
        <v/>
      </c>
      <c r="S87" s="39"/>
      <c r="T87" s="72" t="str">
        <f t="shared" si="70"/>
        <v/>
      </c>
      <c r="U87" s="39"/>
      <c r="V87" s="72" t="str">
        <f t="shared" si="54"/>
        <v/>
      </c>
      <c r="W87" s="72" t="str">
        <f t="shared" si="71"/>
        <v/>
      </c>
      <c r="X87" s="39"/>
      <c r="Y87" s="72" t="str">
        <f t="shared" si="55"/>
        <v/>
      </c>
      <c r="Z87" s="72" t="str">
        <f t="shared" si="72"/>
        <v/>
      </c>
      <c r="AA87" s="39"/>
      <c r="AB87" s="72" t="str">
        <f t="shared" si="56"/>
        <v/>
      </c>
      <c r="AC87" s="72" t="str">
        <f t="shared" si="73"/>
        <v/>
      </c>
      <c r="AD87" s="39"/>
      <c r="AE87" s="72" t="str">
        <f t="shared" si="57"/>
        <v/>
      </c>
      <c r="AF87" s="72" t="str">
        <f t="shared" si="74"/>
        <v/>
      </c>
      <c r="AG87" s="39"/>
      <c r="AH87" s="72" t="str">
        <f t="shared" si="58"/>
        <v/>
      </c>
      <c r="AI87" s="72" t="str">
        <f t="shared" si="75"/>
        <v/>
      </c>
      <c r="AJ87" s="39"/>
      <c r="AK87" s="72" t="str">
        <f t="shared" si="59"/>
        <v/>
      </c>
      <c r="AL87" s="72" t="str">
        <f t="shared" si="76"/>
        <v/>
      </c>
      <c r="AM87" s="39"/>
      <c r="AN87" s="72" t="str">
        <f t="shared" si="60"/>
        <v/>
      </c>
      <c r="AO87" s="72" t="str">
        <f t="shared" si="77"/>
        <v/>
      </c>
      <c r="AP87" s="39"/>
      <c r="AQ87" s="72" t="str">
        <f t="shared" si="61"/>
        <v/>
      </c>
      <c r="AR87" s="72" t="str">
        <f t="shared" si="78"/>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62"/>
        <v/>
      </c>
      <c r="AW87" s="72" t="str">
        <f t="shared" si="79"/>
        <v/>
      </c>
      <c r="AX87" s="39"/>
      <c r="AY87" s="40" t="str">
        <f>IF(ISERROR(IF($K87&lt;=$F$15,VLOOKUP($I87,'表4）CO2価格'!$A$7:$E$67,VLOOKUP($F$48,'表4）CO2価格'!$H$10:$I$12,2,0),0)*$F$8/1000,"")),0,IF($K87&lt;=$F$15,VLOOKUP($I87,'表4）CO2価格'!$A$7:$E$67,VLOOKUP($F$48,'表4）CO2価格'!$H$10:$I$12,2,0),0)*$F$8/1000,""))</f>
        <v/>
      </c>
      <c r="AZ87" s="39"/>
      <c r="BA87" s="42" t="str">
        <f t="shared" si="63"/>
        <v/>
      </c>
      <c r="BB87" s="72" t="str">
        <f t="shared" si="80"/>
        <v/>
      </c>
      <c r="BC87" s="39"/>
      <c r="BD87" s="72" t="str">
        <f t="shared" si="64"/>
        <v/>
      </c>
      <c r="BE87" s="72" t="str">
        <f t="shared" si="81"/>
        <v/>
      </c>
      <c r="BF87" s="39"/>
      <c r="BG87" s="42" t="str">
        <f t="shared" si="65"/>
        <v/>
      </c>
      <c r="BH87" s="72" t="str">
        <f t="shared" si="82"/>
        <v/>
      </c>
      <c r="BI87" s="39"/>
      <c r="BJ87" s="40" t="str">
        <f t="shared" si="83"/>
        <v/>
      </c>
      <c r="BK87" s="157" t="str">
        <f t="shared" si="84"/>
        <v/>
      </c>
      <c r="BL87" s="157" t="str">
        <f t="shared" si="66"/>
        <v/>
      </c>
      <c r="BM87" s="72"/>
      <c r="BN87" s="72" t="str">
        <f t="shared" si="85"/>
        <v/>
      </c>
      <c r="BO87" s="72" t="str">
        <f t="shared" si="86"/>
        <v/>
      </c>
      <c r="BP87" s="39"/>
      <c r="BQ87" s="72" t="str">
        <f t="shared" si="67"/>
        <v/>
      </c>
      <c r="BR87" s="72" t="str">
        <f t="shared" si="87"/>
        <v/>
      </c>
    </row>
    <row r="88" spans="4:70" x14ac:dyDescent="0.15">
      <c r="E88" s="84" t="s">
        <v>641</v>
      </c>
      <c r="F88" s="488">
        <f>AL116/$BR$116</f>
        <v>5.1369863013698644</v>
      </c>
      <c r="G88" s="84" t="s">
        <v>590</v>
      </c>
      <c r="I88" s="457">
        <f t="shared" si="88"/>
        <v>2103</v>
      </c>
      <c r="J88" s="71"/>
      <c r="K88" s="71">
        <f t="shared" si="89"/>
        <v>74</v>
      </c>
      <c r="L88" s="71"/>
      <c r="M88" s="7">
        <f t="shared" si="52"/>
        <v>0.11221356804646829</v>
      </c>
      <c r="N88" s="71"/>
      <c r="O88" s="10" t="str">
        <f t="shared" si="68"/>
        <v/>
      </c>
      <c r="P88" s="29" t="str">
        <f t="shared" si="53"/>
        <v/>
      </c>
      <c r="Q88" s="71"/>
      <c r="R88" s="10" t="str">
        <f t="shared" si="69"/>
        <v/>
      </c>
      <c r="S88" s="71"/>
      <c r="T88" s="10" t="str">
        <f t="shared" si="70"/>
        <v/>
      </c>
      <c r="U88" s="71"/>
      <c r="V88" s="10" t="str">
        <f t="shared" si="54"/>
        <v/>
      </c>
      <c r="W88" s="10" t="str">
        <f t="shared" si="71"/>
        <v/>
      </c>
      <c r="X88" s="71"/>
      <c r="Y88" s="10" t="str">
        <f t="shared" si="55"/>
        <v/>
      </c>
      <c r="Z88" s="10" t="str">
        <f t="shared" si="72"/>
        <v/>
      </c>
      <c r="AA88" s="71"/>
      <c r="AB88" s="10" t="str">
        <f t="shared" si="56"/>
        <v/>
      </c>
      <c r="AC88" s="10" t="str">
        <f t="shared" si="73"/>
        <v/>
      </c>
      <c r="AD88" s="71"/>
      <c r="AE88" s="10" t="str">
        <f t="shared" si="57"/>
        <v/>
      </c>
      <c r="AF88" s="10" t="str">
        <f t="shared" si="74"/>
        <v/>
      </c>
      <c r="AG88" s="71"/>
      <c r="AH88" s="10" t="str">
        <f t="shared" si="58"/>
        <v/>
      </c>
      <c r="AI88" s="10" t="str">
        <f t="shared" si="75"/>
        <v/>
      </c>
      <c r="AJ88" s="71"/>
      <c r="AK88" s="10" t="str">
        <f t="shared" si="59"/>
        <v/>
      </c>
      <c r="AL88" s="10" t="str">
        <f t="shared" si="76"/>
        <v/>
      </c>
      <c r="AM88" s="71"/>
      <c r="AN88" s="10" t="str">
        <f t="shared" si="60"/>
        <v/>
      </c>
      <c r="AO88" s="10" t="str">
        <f t="shared" si="77"/>
        <v/>
      </c>
      <c r="AP88" s="71"/>
      <c r="AQ88" s="10" t="str">
        <f t="shared" si="61"/>
        <v/>
      </c>
      <c r="AR88" s="10" t="str">
        <f t="shared" si="78"/>
        <v/>
      </c>
      <c r="AS88" s="71"/>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U88" s="71"/>
      <c r="AV88" s="10" t="str">
        <f t="shared" si="62"/>
        <v/>
      </c>
      <c r="AW88" s="10" t="str">
        <f t="shared" si="79"/>
        <v/>
      </c>
      <c r="AX88" s="71"/>
      <c r="AY88" s="7" t="str">
        <f>IF(ISERROR(IF($K88&lt;=$F$15,VLOOKUP($I88,'表4）CO2価格'!$A$7:$E$67,VLOOKUP($F$48,'表4）CO2価格'!$H$10:$I$12,2,0),0)*$F$8/1000,"")),0,IF($K88&lt;=$F$15,VLOOKUP($I88,'表4）CO2価格'!$A$7:$E$67,VLOOKUP($F$48,'表4）CO2価格'!$H$10:$I$12,2,0),0)*$F$8/1000,""))</f>
        <v/>
      </c>
      <c r="AZ88" s="71"/>
      <c r="BA88" s="11" t="str">
        <f t="shared" si="63"/>
        <v/>
      </c>
      <c r="BB88" s="10" t="str">
        <f t="shared" si="80"/>
        <v/>
      </c>
      <c r="BC88" s="71"/>
      <c r="BD88" s="10" t="str">
        <f t="shared" si="64"/>
        <v/>
      </c>
      <c r="BE88" s="10" t="str">
        <f t="shared" si="81"/>
        <v/>
      </c>
      <c r="BF88" s="71"/>
      <c r="BG88" s="11" t="str">
        <f t="shared" si="65"/>
        <v/>
      </c>
      <c r="BH88" s="10" t="str">
        <f t="shared" si="82"/>
        <v/>
      </c>
      <c r="BJ88" s="7" t="str">
        <f t="shared" si="83"/>
        <v/>
      </c>
      <c r="BK88" s="158" t="str">
        <f t="shared" si="84"/>
        <v/>
      </c>
      <c r="BL88" s="158" t="str">
        <f t="shared" si="66"/>
        <v/>
      </c>
      <c r="BM88" s="10"/>
      <c r="BN88" s="10" t="str">
        <f t="shared" si="85"/>
        <v/>
      </c>
      <c r="BO88" s="10" t="str">
        <f t="shared" si="86"/>
        <v/>
      </c>
      <c r="BQ88" s="10" t="str">
        <f t="shared" si="67"/>
        <v/>
      </c>
      <c r="BR88" s="10" t="str">
        <f t="shared" si="87"/>
        <v/>
      </c>
    </row>
    <row r="89" spans="4:70" x14ac:dyDescent="0.15">
      <c r="F89" s="488"/>
      <c r="I89" s="38">
        <f t="shared" si="88"/>
        <v>2104</v>
      </c>
      <c r="J89" s="39"/>
      <c r="K89" s="39">
        <f t="shared" si="89"/>
        <v>75</v>
      </c>
      <c r="L89" s="39"/>
      <c r="M89" s="40">
        <f t="shared" si="52"/>
        <v>0.10894521169560026</v>
      </c>
      <c r="N89" s="39"/>
      <c r="O89" s="72" t="str">
        <f t="shared" si="68"/>
        <v/>
      </c>
      <c r="P89" s="41" t="str">
        <f t="shared" si="53"/>
        <v/>
      </c>
      <c r="Q89" s="39"/>
      <c r="R89" s="72" t="str">
        <f t="shared" si="69"/>
        <v/>
      </c>
      <c r="S89" s="39"/>
      <c r="T89" s="72" t="str">
        <f t="shared" si="70"/>
        <v/>
      </c>
      <c r="U89" s="39"/>
      <c r="V89" s="72" t="str">
        <f t="shared" si="54"/>
        <v/>
      </c>
      <c r="W89" s="72" t="str">
        <f t="shared" si="71"/>
        <v/>
      </c>
      <c r="X89" s="39"/>
      <c r="Y89" s="72" t="str">
        <f t="shared" si="55"/>
        <v/>
      </c>
      <c r="Z89" s="72" t="str">
        <f t="shared" si="72"/>
        <v/>
      </c>
      <c r="AA89" s="39"/>
      <c r="AB89" s="72" t="str">
        <f t="shared" si="56"/>
        <v/>
      </c>
      <c r="AC89" s="72" t="str">
        <f t="shared" si="73"/>
        <v/>
      </c>
      <c r="AD89" s="39"/>
      <c r="AE89" s="72" t="str">
        <f t="shared" si="57"/>
        <v/>
      </c>
      <c r="AF89" s="72" t="str">
        <f t="shared" si="74"/>
        <v/>
      </c>
      <c r="AG89" s="39"/>
      <c r="AH89" s="72" t="str">
        <f t="shared" si="58"/>
        <v/>
      </c>
      <c r="AI89" s="72" t="str">
        <f t="shared" si="75"/>
        <v/>
      </c>
      <c r="AJ89" s="39"/>
      <c r="AK89" s="72" t="str">
        <f t="shared" si="59"/>
        <v/>
      </c>
      <c r="AL89" s="72" t="str">
        <f t="shared" si="76"/>
        <v/>
      </c>
      <c r="AM89" s="39"/>
      <c r="AN89" s="72" t="str">
        <f t="shared" si="60"/>
        <v/>
      </c>
      <c r="AO89" s="72" t="str">
        <f t="shared" si="77"/>
        <v/>
      </c>
      <c r="AP89" s="39"/>
      <c r="AQ89" s="72" t="str">
        <f t="shared" si="61"/>
        <v/>
      </c>
      <c r="AR89" s="72" t="str">
        <f t="shared" si="78"/>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62"/>
        <v/>
      </c>
      <c r="AW89" s="72" t="str">
        <f t="shared" si="79"/>
        <v/>
      </c>
      <c r="AX89" s="39"/>
      <c r="AY89" s="40" t="str">
        <f>IF(ISERROR(IF($K89&lt;=$F$15,VLOOKUP($I89,'表4）CO2価格'!$A$7:$E$67,VLOOKUP($F$48,'表4）CO2価格'!$H$10:$I$12,2,0),0)*$F$8/1000,"")),0,IF($K89&lt;=$F$15,VLOOKUP($I89,'表4）CO2価格'!$A$7:$E$67,VLOOKUP($F$48,'表4）CO2価格'!$H$10:$I$12,2,0),0)*$F$8/1000,""))</f>
        <v/>
      </c>
      <c r="AZ89" s="39"/>
      <c r="BA89" s="42" t="str">
        <f t="shared" si="63"/>
        <v/>
      </c>
      <c r="BB89" s="72" t="str">
        <f t="shared" si="80"/>
        <v/>
      </c>
      <c r="BC89" s="39"/>
      <c r="BD89" s="72" t="str">
        <f t="shared" si="64"/>
        <v/>
      </c>
      <c r="BE89" s="72" t="str">
        <f t="shared" si="81"/>
        <v/>
      </c>
      <c r="BF89" s="39"/>
      <c r="BG89" s="42" t="str">
        <f t="shared" si="65"/>
        <v/>
      </c>
      <c r="BH89" s="72" t="str">
        <f t="shared" si="82"/>
        <v/>
      </c>
      <c r="BI89" s="39"/>
      <c r="BJ89" s="40" t="str">
        <f t="shared" si="83"/>
        <v/>
      </c>
      <c r="BK89" s="157" t="str">
        <f t="shared" si="84"/>
        <v/>
      </c>
      <c r="BL89" s="157" t="str">
        <f t="shared" si="66"/>
        <v/>
      </c>
      <c r="BM89" s="72"/>
      <c r="BN89" s="72" t="str">
        <f t="shared" si="85"/>
        <v/>
      </c>
      <c r="BO89" s="72" t="str">
        <f t="shared" si="86"/>
        <v/>
      </c>
      <c r="BP89" s="39"/>
      <c r="BQ89" s="72" t="str">
        <f t="shared" si="67"/>
        <v/>
      </c>
      <c r="BR89" s="72" t="str">
        <f t="shared" si="87"/>
        <v/>
      </c>
    </row>
    <row r="90" spans="4:70" x14ac:dyDescent="0.15">
      <c r="E90" s="84" t="s">
        <v>142</v>
      </c>
      <c r="F90" s="488">
        <f>AR116/$BR$116</f>
        <v>1.6514459665144605</v>
      </c>
      <c r="G90" s="84" t="s">
        <v>590</v>
      </c>
      <c r="I90" s="457">
        <f t="shared" si="88"/>
        <v>2105</v>
      </c>
      <c r="J90" s="71"/>
      <c r="K90" s="71">
        <f t="shared" si="89"/>
        <v>76</v>
      </c>
      <c r="L90" s="71"/>
      <c r="M90" s="7">
        <f t="shared" si="52"/>
        <v>0.10577205018990318</v>
      </c>
      <c r="N90" s="71"/>
      <c r="O90" s="10" t="str">
        <f t="shared" si="68"/>
        <v/>
      </c>
      <c r="P90" s="29" t="str">
        <f t="shared" si="53"/>
        <v/>
      </c>
      <c r="Q90" s="71"/>
      <c r="R90" s="10" t="str">
        <f t="shared" si="69"/>
        <v/>
      </c>
      <c r="S90" s="71"/>
      <c r="T90" s="10" t="str">
        <f t="shared" si="70"/>
        <v/>
      </c>
      <c r="U90" s="71"/>
      <c r="V90" s="10" t="str">
        <f t="shared" si="54"/>
        <v/>
      </c>
      <c r="W90" s="10" t="str">
        <f t="shared" si="71"/>
        <v/>
      </c>
      <c r="X90" s="71"/>
      <c r="Y90" s="10" t="str">
        <f t="shared" si="55"/>
        <v/>
      </c>
      <c r="Z90" s="10" t="str">
        <f t="shared" si="72"/>
        <v/>
      </c>
      <c r="AA90" s="71"/>
      <c r="AB90" s="10" t="str">
        <f t="shared" si="56"/>
        <v/>
      </c>
      <c r="AC90" s="10" t="str">
        <f t="shared" si="73"/>
        <v/>
      </c>
      <c r="AD90" s="71"/>
      <c r="AE90" s="10" t="str">
        <f t="shared" si="57"/>
        <v/>
      </c>
      <c r="AF90" s="10" t="str">
        <f t="shared" si="74"/>
        <v/>
      </c>
      <c r="AG90" s="71"/>
      <c r="AH90" s="10" t="str">
        <f t="shared" si="58"/>
        <v/>
      </c>
      <c r="AI90" s="10" t="str">
        <f t="shared" si="75"/>
        <v/>
      </c>
      <c r="AJ90" s="71"/>
      <c r="AK90" s="10" t="str">
        <f t="shared" si="59"/>
        <v/>
      </c>
      <c r="AL90" s="10" t="str">
        <f t="shared" si="76"/>
        <v/>
      </c>
      <c r="AM90" s="71"/>
      <c r="AN90" s="10" t="str">
        <f t="shared" si="60"/>
        <v/>
      </c>
      <c r="AO90" s="10" t="str">
        <f t="shared" si="77"/>
        <v/>
      </c>
      <c r="AP90" s="71"/>
      <c r="AQ90" s="10" t="str">
        <f t="shared" si="61"/>
        <v/>
      </c>
      <c r="AR90" s="10" t="str">
        <f t="shared" si="78"/>
        <v/>
      </c>
      <c r="AS90" s="71"/>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U90" s="71"/>
      <c r="AV90" s="10" t="str">
        <f t="shared" si="62"/>
        <v/>
      </c>
      <c r="AW90" s="10" t="str">
        <f t="shared" si="79"/>
        <v/>
      </c>
      <c r="AX90" s="71"/>
      <c r="AY90" s="7" t="str">
        <f>IF(ISERROR(IF($K90&lt;=$F$15,VLOOKUP($I90,'表4）CO2価格'!$A$7:$E$67,VLOOKUP($F$48,'表4）CO2価格'!$H$10:$I$12,2,0),0)*$F$8/1000,"")),0,IF($K90&lt;=$F$15,VLOOKUP($I90,'表4）CO2価格'!$A$7:$E$67,VLOOKUP($F$48,'表4）CO2価格'!$H$10:$I$12,2,0),0)*$F$8/1000,""))</f>
        <v/>
      </c>
      <c r="AZ90" s="71"/>
      <c r="BA90" s="11" t="str">
        <f t="shared" si="63"/>
        <v/>
      </c>
      <c r="BB90" s="10" t="str">
        <f t="shared" si="80"/>
        <v/>
      </c>
      <c r="BC90" s="71"/>
      <c r="BD90" s="10" t="str">
        <f t="shared" si="64"/>
        <v/>
      </c>
      <c r="BE90" s="10" t="str">
        <f t="shared" si="81"/>
        <v/>
      </c>
      <c r="BF90" s="71"/>
      <c r="BG90" s="11" t="str">
        <f t="shared" si="65"/>
        <v/>
      </c>
      <c r="BH90" s="10" t="str">
        <f t="shared" si="82"/>
        <v/>
      </c>
      <c r="BJ90" s="7" t="str">
        <f t="shared" si="83"/>
        <v/>
      </c>
      <c r="BK90" s="158" t="str">
        <f t="shared" si="84"/>
        <v/>
      </c>
      <c r="BL90" s="158" t="str">
        <f t="shared" si="66"/>
        <v/>
      </c>
      <c r="BM90" s="10"/>
      <c r="BN90" s="10" t="str">
        <f t="shared" si="85"/>
        <v/>
      </c>
      <c r="BO90" s="10" t="str">
        <f t="shared" si="86"/>
        <v/>
      </c>
      <c r="BQ90" s="10" t="str">
        <f t="shared" si="67"/>
        <v/>
      </c>
      <c r="BR90" s="10" t="str">
        <f t="shared" si="87"/>
        <v/>
      </c>
    </row>
    <row r="91" spans="4:70" x14ac:dyDescent="0.15">
      <c r="F91" s="487"/>
      <c r="I91" s="38">
        <f t="shared" si="88"/>
        <v>2106</v>
      </c>
      <c r="J91" s="39"/>
      <c r="K91" s="39">
        <f t="shared" si="89"/>
        <v>77</v>
      </c>
      <c r="L91" s="39"/>
      <c r="M91" s="40">
        <f t="shared" si="52"/>
        <v>0.10269131086398368</v>
      </c>
      <c r="N91" s="39"/>
      <c r="O91" s="72" t="str">
        <f t="shared" si="68"/>
        <v/>
      </c>
      <c r="P91" s="41" t="str">
        <f t="shared" si="53"/>
        <v/>
      </c>
      <c r="Q91" s="39"/>
      <c r="R91" s="72" t="str">
        <f t="shared" si="69"/>
        <v/>
      </c>
      <c r="S91" s="39"/>
      <c r="T91" s="72" t="str">
        <f t="shared" si="70"/>
        <v/>
      </c>
      <c r="U91" s="39"/>
      <c r="V91" s="72" t="str">
        <f t="shared" si="54"/>
        <v/>
      </c>
      <c r="W91" s="72" t="str">
        <f t="shared" si="71"/>
        <v/>
      </c>
      <c r="X91" s="39"/>
      <c r="Y91" s="72" t="str">
        <f t="shared" si="55"/>
        <v/>
      </c>
      <c r="Z91" s="72" t="str">
        <f t="shared" si="72"/>
        <v/>
      </c>
      <c r="AA91" s="39"/>
      <c r="AB91" s="72" t="str">
        <f t="shared" si="56"/>
        <v/>
      </c>
      <c r="AC91" s="72" t="str">
        <f t="shared" si="73"/>
        <v/>
      </c>
      <c r="AD91" s="39"/>
      <c r="AE91" s="72" t="str">
        <f t="shared" si="57"/>
        <v/>
      </c>
      <c r="AF91" s="72" t="str">
        <f t="shared" si="74"/>
        <v/>
      </c>
      <c r="AG91" s="39"/>
      <c r="AH91" s="72" t="str">
        <f t="shared" si="58"/>
        <v/>
      </c>
      <c r="AI91" s="72" t="str">
        <f t="shared" si="75"/>
        <v/>
      </c>
      <c r="AJ91" s="39"/>
      <c r="AK91" s="72" t="str">
        <f t="shared" si="59"/>
        <v/>
      </c>
      <c r="AL91" s="72" t="str">
        <f t="shared" si="76"/>
        <v/>
      </c>
      <c r="AM91" s="39"/>
      <c r="AN91" s="72" t="str">
        <f t="shared" si="60"/>
        <v/>
      </c>
      <c r="AO91" s="72" t="str">
        <f t="shared" si="77"/>
        <v/>
      </c>
      <c r="AP91" s="39"/>
      <c r="AQ91" s="72" t="str">
        <f t="shared" si="61"/>
        <v/>
      </c>
      <c r="AR91" s="72" t="str">
        <f t="shared" si="78"/>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62"/>
        <v/>
      </c>
      <c r="AW91" s="72" t="str">
        <f t="shared" si="79"/>
        <v/>
      </c>
      <c r="AX91" s="39"/>
      <c r="AY91" s="40" t="str">
        <f>IF(ISERROR(IF($K91&lt;=$F$15,VLOOKUP($I91,'表4）CO2価格'!$A$7:$E$67,VLOOKUP($F$48,'表4）CO2価格'!$H$10:$I$12,2,0),0)*$F$8/1000,"")),0,IF($K91&lt;=$F$15,VLOOKUP($I91,'表4）CO2価格'!$A$7:$E$67,VLOOKUP($F$48,'表4）CO2価格'!$H$10:$I$12,2,0),0)*$F$8/1000,""))</f>
        <v/>
      </c>
      <c r="AZ91" s="39"/>
      <c r="BA91" s="42" t="str">
        <f t="shared" si="63"/>
        <v/>
      </c>
      <c r="BB91" s="72" t="str">
        <f t="shared" si="80"/>
        <v/>
      </c>
      <c r="BC91" s="39"/>
      <c r="BD91" s="72" t="str">
        <f t="shared" si="64"/>
        <v/>
      </c>
      <c r="BE91" s="72" t="str">
        <f t="shared" si="81"/>
        <v/>
      </c>
      <c r="BF91" s="39"/>
      <c r="BG91" s="42" t="str">
        <f t="shared" si="65"/>
        <v/>
      </c>
      <c r="BH91" s="72" t="str">
        <f t="shared" si="82"/>
        <v/>
      </c>
      <c r="BI91" s="39"/>
      <c r="BJ91" s="40" t="str">
        <f t="shared" si="83"/>
        <v/>
      </c>
      <c r="BK91" s="157" t="str">
        <f t="shared" si="84"/>
        <v/>
      </c>
      <c r="BL91" s="157" t="str">
        <f t="shared" si="66"/>
        <v/>
      </c>
      <c r="BM91" s="72"/>
      <c r="BN91" s="72" t="str">
        <f t="shared" si="85"/>
        <v/>
      </c>
      <c r="BO91" s="72" t="str">
        <f t="shared" si="86"/>
        <v/>
      </c>
      <c r="BP91" s="39"/>
      <c r="BQ91" s="72" t="str">
        <f t="shared" si="67"/>
        <v/>
      </c>
      <c r="BR91" s="72" t="str">
        <f t="shared" si="87"/>
        <v/>
      </c>
    </row>
    <row r="92" spans="4:70" ht="15" x14ac:dyDescent="0.15">
      <c r="D92" s="103" t="s">
        <v>595</v>
      </c>
      <c r="F92" s="484">
        <f>SUBTOTAL(9,F96:F97)</f>
        <v>0</v>
      </c>
      <c r="I92" s="457">
        <f t="shared" si="88"/>
        <v>2107</v>
      </c>
      <c r="J92" s="71"/>
      <c r="K92" s="71">
        <f t="shared" si="89"/>
        <v>78</v>
      </c>
      <c r="L92" s="71"/>
      <c r="M92" s="7">
        <f t="shared" si="52"/>
        <v>9.9700301809692873E-2</v>
      </c>
      <c r="N92" s="71"/>
      <c r="O92" s="10" t="str">
        <f t="shared" si="68"/>
        <v/>
      </c>
      <c r="P92" s="29" t="str">
        <f t="shared" si="53"/>
        <v/>
      </c>
      <c r="Q92" s="71"/>
      <c r="R92" s="10" t="str">
        <f t="shared" si="69"/>
        <v/>
      </c>
      <c r="S92" s="71"/>
      <c r="T92" s="10" t="str">
        <f t="shared" si="70"/>
        <v/>
      </c>
      <c r="U92" s="71"/>
      <c r="V92" s="10" t="str">
        <f t="shared" si="54"/>
        <v/>
      </c>
      <c r="W92" s="10" t="str">
        <f t="shared" si="71"/>
        <v/>
      </c>
      <c r="X92" s="71"/>
      <c r="Y92" s="10" t="str">
        <f t="shared" si="55"/>
        <v/>
      </c>
      <c r="Z92" s="10" t="str">
        <f t="shared" si="72"/>
        <v/>
      </c>
      <c r="AA92" s="71"/>
      <c r="AB92" s="10" t="str">
        <f t="shared" si="56"/>
        <v/>
      </c>
      <c r="AC92" s="10" t="str">
        <f t="shared" si="73"/>
        <v/>
      </c>
      <c r="AD92" s="71"/>
      <c r="AE92" s="10" t="str">
        <f t="shared" si="57"/>
        <v/>
      </c>
      <c r="AF92" s="10" t="str">
        <f t="shared" si="74"/>
        <v/>
      </c>
      <c r="AG92" s="71"/>
      <c r="AH92" s="10" t="str">
        <f t="shared" si="58"/>
        <v/>
      </c>
      <c r="AI92" s="10" t="str">
        <f t="shared" si="75"/>
        <v/>
      </c>
      <c r="AJ92" s="71"/>
      <c r="AK92" s="10" t="str">
        <f t="shared" si="59"/>
        <v/>
      </c>
      <c r="AL92" s="10" t="str">
        <f t="shared" si="76"/>
        <v/>
      </c>
      <c r="AM92" s="71"/>
      <c r="AN92" s="10" t="str">
        <f t="shared" si="60"/>
        <v/>
      </c>
      <c r="AO92" s="10" t="str">
        <f t="shared" si="77"/>
        <v/>
      </c>
      <c r="AP92" s="71"/>
      <c r="AQ92" s="10" t="str">
        <f t="shared" si="61"/>
        <v/>
      </c>
      <c r="AR92" s="10" t="str">
        <f t="shared" si="78"/>
        <v/>
      </c>
      <c r="AS92" s="71"/>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U92" s="71"/>
      <c r="AV92" s="10" t="str">
        <f t="shared" si="62"/>
        <v/>
      </c>
      <c r="AW92" s="10" t="str">
        <f t="shared" si="79"/>
        <v/>
      </c>
      <c r="AX92" s="71"/>
      <c r="AY92" s="7" t="str">
        <f>IF(ISERROR(IF($K92&lt;=$F$15,VLOOKUP($I92,'表4）CO2価格'!$A$7:$E$67,VLOOKUP($F$48,'表4）CO2価格'!$H$10:$I$12,2,0),0)*$F$8/1000,"")),0,IF($K92&lt;=$F$15,VLOOKUP($I92,'表4）CO2価格'!$A$7:$E$67,VLOOKUP($F$48,'表4）CO2価格'!$H$10:$I$12,2,0),0)*$F$8/1000,""))</f>
        <v/>
      </c>
      <c r="AZ92" s="71"/>
      <c r="BA92" s="11" t="str">
        <f t="shared" si="63"/>
        <v/>
      </c>
      <c r="BB92" s="10" t="str">
        <f t="shared" si="80"/>
        <v/>
      </c>
      <c r="BC92" s="71"/>
      <c r="BD92" s="10" t="str">
        <f t="shared" si="64"/>
        <v/>
      </c>
      <c r="BE92" s="10" t="str">
        <f t="shared" si="81"/>
        <v/>
      </c>
      <c r="BF92" s="71"/>
      <c r="BG92" s="11" t="str">
        <f t="shared" si="65"/>
        <v/>
      </c>
      <c r="BH92" s="10" t="str">
        <f t="shared" si="82"/>
        <v/>
      </c>
      <c r="BJ92" s="7" t="str">
        <f t="shared" si="83"/>
        <v/>
      </c>
      <c r="BK92" s="158" t="str">
        <f t="shared" si="84"/>
        <v/>
      </c>
      <c r="BL92" s="158" t="str">
        <f t="shared" si="66"/>
        <v/>
      </c>
      <c r="BM92" s="10"/>
      <c r="BN92" s="10" t="str">
        <f t="shared" si="85"/>
        <v/>
      </c>
      <c r="BO92" s="10" t="str">
        <f t="shared" si="86"/>
        <v/>
      </c>
      <c r="BQ92" s="10" t="str">
        <f t="shared" si="67"/>
        <v/>
      </c>
      <c r="BR92" s="10" t="str">
        <f t="shared" si="87"/>
        <v/>
      </c>
    </row>
    <row r="93" spans="4:70" ht="15" x14ac:dyDescent="0.15">
      <c r="D93" s="103"/>
      <c r="F93" s="487"/>
      <c r="I93" s="38">
        <f t="shared" si="88"/>
        <v>2108</v>
      </c>
      <c r="J93" s="39"/>
      <c r="K93" s="39">
        <f t="shared" si="89"/>
        <v>79</v>
      </c>
      <c r="L93" s="39"/>
      <c r="M93" s="40">
        <f t="shared" si="52"/>
        <v>9.679640952397367E-2</v>
      </c>
      <c r="N93" s="39"/>
      <c r="O93" s="72" t="str">
        <f t="shared" si="68"/>
        <v/>
      </c>
      <c r="P93" s="41" t="str">
        <f t="shared" si="53"/>
        <v/>
      </c>
      <c r="Q93" s="39"/>
      <c r="R93" s="72" t="str">
        <f t="shared" si="69"/>
        <v/>
      </c>
      <c r="S93" s="39"/>
      <c r="T93" s="72" t="str">
        <f t="shared" si="70"/>
        <v/>
      </c>
      <c r="U93" s="39"/>
      <c r="V93" s="72" t="str">
        <f t="shared" si="54"/>
        <v/>
      </c>
      <c r="W93" s="72" t="str">
        <f t="shared" si="71"/>
        <v/>
      </c>
      <c r="X93" s="39"/>
      <c r="Y93" s="72" t="str">
        <f t="shared" si="55"/>
        <v/>
      </c>
      <c r="Z93" s="72" t="str">
        <f t="shared" si="72"/>
        <v/>
      </c>
      <c r="AA93" s="39"/>
      <c r="AB93" s="72" t="str">
        <f t="shared" si="56"/>
        <v/>
      </c>
      <c r="AC93" s="72" t="str">
        <f t="shared" si="73"/>
        <v/>
      </c>
      <c r="AD93" s="39"/>
      <c r="AE93" s="72" t="str">
        <f t="shared" si="57"/>
        <v/>
      </c>
      <c r="AF93" s="72" t="str">
        <f t="shared" si="74"/>
        <v/>
      </c>
      <c r="AG93" s="39"/>
      <c r="AH93" s="72" t="str">
        <f t="shared" si="58"/>
        <v/>
      </c>
      <c r="AI93" s="72" t="str">
        <f t="shared" si="75"/>
        <v/>
      </c>
      <c r="AJ93" s="39"/>
      <c r="AK93" s="72" t="str">
        <f t="shared" si="59"/>
        <v/>
      </c>
      <c r="AL93" s="72" t="str">
        <f t="shared" si="76"/>
        <v/>
      </c>
      <c r="AM93" s="39"/>
      <c r="AN93" s="72" t="str">
        <f t="shared" si="60"/>
        <v/>
      </c>
      <c r="AO93" s="72" t="str">
        <f t="shared" si="77"/>
        <v/>
      </c>
      <c r="AP93" s="39"/>
      <c r="AQ93" s="72" t="str">
        <f t="shared" si="61"/>
        <v/>
      </c>
      <c r="AR93" s="72" t="str">
        <f t="shared" si="78"/>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62"/>
        <v/>
      </c>
      <c r="AW93" s="72" t="str">
        <f t="shared" si="79"/>
        <v/>
      </c>
      <c r="AX93" s="39"/>
      <c r="AY93" s="40" t="str">
        <f>IF(ISERROR(IF($K93&lt;=$F$15,VLOOKUP($I93,'表4）CO2価格'!$A$7:$E$67,VLOOKUP($F$48,'表4）CO2価格'!$H$10:$I$12,2,0),0)*$F$8/1000,"")),0,IF($K93&lt;=$F$15,VLOOKUP($I93,'表4）CO2価格'!$A$7:$E$67,VLOOKUP($F$48,'表4）CO2価格'!$H$10:$I$12,2,0),0)*$F$8/1000,""))</f>
        <v/>
      </c>
      <c r="AZ93" s="39"/>
      <c r="BA93" s="42" t="str">
        <f t="shared" si="63"/>
        <v/>
      </c>
      <c r="BB93" s="72" t="str">
        <f t="shared" si="80"/>
        <v/>
      </c>
      <c r="BC93" s="39"/>
      <c r="BD93" s="72" t="str">
        <f t="shared" si="64"/>
        <v/>
      </c>
      <c r="BE93" s="72" t="str">
        <f t="shared" si="81"/>
        <v/>
      </c>
      <c r="BF93" s="39"/>
      <c r="BG93" s="42" t="str">
        <f t="shared" si="65"/>
        <v/>
      </c>
      <c r="BH93" s="72" t="str">
        <f t="shared" si="82"/>
        <v/>
      </c>
      <c r="BI93" s="39"/>
      <c r="BJ93" s="40" t="str">
        <f t="shared" si="83"/>
        <v/>
      </c>
      <c r="BK93" s="157" t="str">
        <f t="shared" si="84"/>
        <v/>
      </c>
      <c r="BL93" s="157" t="str">
        <f t="shared" si="66"/>
        <v/>
      </c>
      <c r="BM93" s="72"/>
      <c r="BN93" s="72" t="str">
        <f t="shared" si="85"/>
        <v/>
      </c>
      <c r="BO93" s="72" t="str">
        <f t="shared" si="86"/>
        <v/>
      </c>
      <c r="BP93" s="39"/>
      <c r="BQ93" s="72" t="str">
        <f t="shared" si="67"/>
        <v/>
      </c>
      <c r="BR93" s="72" t="str">
        <f t="shared" si="87"/>
        <v/>
      </c>
    </row>
    <row r="94" spans="4:70" x14ac:dyDescent="0.15">
      <c r="D94" s="100" t="s">
        <v>596</v>
      </c>
      <c r="E94" s="100"/>
      <c r="F94" s="486"/>
      <c r="G94" s="100"/>
      <c r="I94" s="457">
        <f t="shared" si="88"/>
        <v>2109</v>
      </c>
      <c r="J94" s="71"/>
      <c r="K94" s="71">
        <f t="shared" si="89"/>
        <v>80</v>
      </c>
      <c r="L94" s="71"/>
      <c r="M94" s="7">
        <f t="shared" si="52"/>
        <v>9.3977096625217166E-2</v>
      </c>
      <c r="N94" s="71"/>
      <c r="O94" s="10" t="str">
        <f t="shared" si="68"/>
        <v/>
      </c>
      <c r="P94" s="29" t="str">
        <f t="shared" si="53"/>
        <v/>
      </c>
      <c r="Q94" s="71"/>
      <c r="R94" s="10" t="str">
        <f t="shared" si="69"/>
        <v/>
      </c>
      <c r="S94" s="71"/>
      <c r="T94" s="10" t="str">
        <f t="shared" si="70"/>
        <v/>
      </c>
      <c r="U94" s="71"/>
      <c r="V94" s="10" t="str">
        <f t="shared" si="54"/>
        <v/>
      </c>
      <c r="W94" s="10" t="str">
        <f t="shared" si="71"/>
        <v/>
      </c>
      <c r="X94" s="71"/>
      <c r="Y94" s="10" t="str">
        <f t="shared" si="55"/>
        <v/>
      </c>
      <c r="Z94" s="10" t="str">
        <f t="shared" si="72"/>
        <v/>
      </c>
      <c r="AA94" s="71"/>
      <c r="AB94" s="10" t="str">
        <f t="shared" si="56"/>
        <v/>
      </c>
      <c r="AC94" s="10" t="str">
        <f t="shared" si="73"/>
        <v/>
      </c>
      <c r="AD94" s="71"/>
      <c r="AE94" s="10" t="str">
        <f t="shared" si="57"/>
        <v/>
      </c>
      <c r="AF94" s="10" t="str">
        <f t="shared" si="74"/>
        <v/>
      </c>
      <c r="AG94" s="71"/>
      <c r="AH94" s="10" t="str">
        <f t="shared" si="58"/>
        <v/>
      </c>
      <c r="AI94" s="10" t="str">
        <f t="shared" si="75"/>
        <v/>
      </c>
      <c r="AJ94" s="71"/>
      <c r="AK94" s="10" t="str">
        <f t="shared" si="59"/>
        <v/>
      </c>
      <c r="AL94" s="10" t="str">
        <f t="shared" si="76"/>
        <v/>
      </c>
      <c r="AM94" s="71"/>
      <c r="AN94" s="10" t="str">
        <f t="shared" si="60"/>
        <v/>
      </c>
      <c r="AO94" s="10" t="str">
        <f t="shared" si="77"/>
        <v/>
      </c>
      <c r="AP94" s="71"/>
      <c r="AQ94" s="10" t="str">
        <f t="shared" si="61"/>
        <v/>
      </c>
      <c r="AR94" s="10" t="str">
        <f t="shared" si="78"/>
        <v/>
      </c>
      <c r="AS94" s="71"/>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U94" s="71"/>
      <c r="AV94" s="10" t="str">
        <f t="shared" si="62"/>
        <v/>
      </c>
      <c r="AW94" s="10" t="str">
        <f t="shared" si="79"/>
        <v/>
      </c>
      <c r="AX94" s="71"/>
      <c r="AY94" s="7" t="str">
        <f>IF(ISERROR(IF($K94&lt;=$F$15,VLOOKUP($I94,'表4）CO2価格'!$A$7:$E$67,VLOOKUP($F$48,'表4）CO2価格'!$H$10:$I$12,2,0),0)*$F$8/1000,"")),0,IF($K94&lt;=$F$15,VLOOKUP($I94,'表4）CO2価格'!$A$7:$E$67,VLOOKUP($F$48,'表4）CO2価格'!$H$10:$I$12,2,0),0)*$F$8/1000,""))</f>
        <v/>
      </c>
      <c r="AZ94" s="71"/>
      <c r="BA94" s="11" t="str">
        <f t="shared" si="63"/>
        <v/>
      </c>
      <c r="BB94" s="10" t="str">
        <f t="shared" si="80"/>
        <v/>
      </c>
      <c r="BC94" s="71"/>
      <c r="BD94" s="10" t="str">
        <f t="shared" si="64"/>
        <v/>
      </c>
      <c r="BE94" s="10" t="str">
        <f t="shared" si="81"/>
        <v/>
      </c>
      <c r="BF94" s="71"/>
      <c r="BG94" s="11" t="str">
        <f t="shared" si="65"/>
        <v/>
      </c>
      <c r="BH94" s="10" t="str">
        <f t="shared" si="82"/>
        <v/>
      </c>
      <c r="BJ94" s="7" t="str">
        <f t="shared" si="83"/>
        <v/>
      </c>
      <c r="BK94" s="158" t="str">
        <f t="shared" si="84"/>
        <v/>
      </c>
      <c r="BL94" s="158" t="str">
        <f t="shared" si="66"/>
        <v/>
      </c>
      <c r="BM94" s="10"/>
      <c r="BN94" s="10" t="str">
        <f t="shared" si="85"/>
        <v/>
      </c>
      <c r="BO94" s="10" t="str">
        <f t="shared" si="86"/>
        <v/>
      </c>
      <c r="BQ94" s="10" t="str">
        <f t="shared" si="67"/>
        <v/>
      </c>
      <c r="BR94" s="10" t="str">
        <f t="shared" si="87"/>
        <v/>
      </c>
    </row>
    <row r="95" spans="4:70" ht="15" x14ac:dyDescent="0.15">
      <c r="D95" s="103"/>
      <c r="F95" s="487"/>
      <c r="I95" s="38">
        <f t="shared" si="88"/>
        <v>2110</v>
      </c>
      <c r="J95" s="39"/>
      <c r="K95" s="39">
        <f t="shared" si="89"/>
        <v>81</v>
      </c>
      <c r="L95" s="39"/>
      <c r="M95" s="40">
        <f t="shared" si="52"/>
        <v>9.1239899636133173E-2</v>
      </c>
      <c r="N95" s="39"/>
      <c r="O95" s="72" t="str">
        <f t="shared" si="68"/>
        <v/>
      </c>
      <c r="P95" s="41" t="str">
        <f t="shared" si="53"/>
        <v/>
      </c>
      <c r="Q95" s="39"/>
      <c r="R95" s="72" t="str">
        <f t="shared" si="69"/>
        <v/>
      </c>
      <c r="S95" s="39"/>
      <c r="T95" s="72" t="str">
        <f t="shared" si="70"/>
        <v/>
      </c>
      <c r="U95" s="39"/>
      <c r="V95" s="72" t="str">
        <f t="shared" si="54"/>
        <v/>
      </c>
      <c r="W95" s="72" t="str">
        <f t="shared" si="71"/>
        <v/>
      </c>
      <c r="X95" s="39"/>
      <c r="Y95" s="72" t="str">
        <f t="shared" si="55"/>
        <v/>
      </c>
      <c r="Z95" s="72" t="str">
        <f t="shared" si="72"/>
        <v/>
      </c>
      <c r="AA95" s="39"/>
      <c r="AB95" s="72" t="str">
        <f t="shared" si="56"/>
        <v/>
      </c>
      <c r="AC95" s="72" t="str">
        <f t="shared" si="73"/>
        <v/>
      </c>
      <c r="AD95" s="39"/>
      <c r="AE95" s="72" t="str">
        <f t="shared" si="57"/>
        <v/>
      </c>
      <c r="AF95" s="72" t="str">
        <f t="shared" si="74"/>
        <v/>
      </c>
      <c r="AG95" s="39"/>
      <c r="AH95" s="72" t="str">
        <f t="shared" si="58"/>
        <v/>
      </c>
      <c r="AI95" s="72" t="str">
        <f t="shared" si="75"/>
        <v/>
      </c>
      <c r="AJ95" s="39"/>
      <c r="AK95" s="72" t="str">
        <f t="shared" si="59"/>
        <v/>
      </c>
      <c r="AL95" s="72" t="str">
        <f t="shared" si="76"/>
        <v/>
      </c>
      <c r="AM95" s="39"/>
      <c r="AN95" s="72" t="str">
        <f t="shared" si="60"/>
        <v/>
      </c>
      <c r="AO95" s="72" t="str">
        <f t="shared" si="77"/>
        <v/>
      </c>
      <c r="AP95" s="39"/>
      <c r="AQ95" s="72" t="str">
        <f t="shared" si="61"/>
        <v/>
      </c>
      <c r="AR95" s="72" t="str">
        <f t="shared" si="78"/>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62"/>
        <v/>
      </c>
      <c r="AW95" s="72" t="str">
        <f t="shared" si="79"/>
        <v/>
      </c>
      <c r="AX95" s="39"/>
      <c r="AY95" s="40" t="str">
        <f>IF(ISERROR(IF($K95&lt;=$F$15,VLOOKUP($I95,'表4）CO2価格'!$A$7:$E$67,VLOOKUP($F$48,'表4）CO2価格'!$H$10:$I$12,2,0),0)*$F$8/1000,"")),0,IF($K95&lt;=$F$15,VLOOKUP($I95,'表4）CO2価格'!$A$7:$E$67,VLOOKUP($F$48,'表4）CO2価格'!$H$10:$I$12,2,0),0)*$F$8/1000,""))</f>
        <v/>
      </c>
      <c r="AZ95" s="39"/>
      <c r="BA95" s="42" t="str">
        <f t="shared" si="63"/>
        <v/>
      </c>
      <c r="BB95" s="72" t="str">
        <f t="shared" si="80"/>
        <v/>
      </c>
      <c r="BC95" s="39"/>
      <c r="BD95" s="72" t="str">
        <f t="shared" si="64"/>
        <v/>
      </c>
      <c r="BE95" s="72" t="str">
        <f t="shared" si="81"/>
        <v/>
      </c>
      <c r="BF95" s="39"/>
      <c r="BG95" s="42" t="str">
        <f t="shared" si="65"/>
        <v/>
      </c>
      <c r="BH95" s="72" t="str">
        <f t="shared" si="82"/>
        <v/>
      </c>
      <c r="BI95" s="39"/>
      <c r="BJ95" s="40" t="str">
        <f t="shared" si="83"/>
        <v/>
      </c>
      <c r="BK95" s="157" t="str">
        <f t="shared" si="84"/>
        <v/>
      </c>
      <c r="BL95" s="157" t="str">
        <f t="shared" si="66"/>
        <v/>
      </c>
      <c r="BM95" s="72"/>
      <c r="BN95" s="72" t="str">
        <f t="shared" si="85"/>
        <v/>
      </c>
      <c r="BO95" s="72" t="str">
        <f t="shared" si="86"/>
        <v/>
      </c>
      <c r="BP95" s="39"/>
      <c r="BQ95" s="72" t="str">
        <f t="shared" si="67"/>
        <v/>
      </c>
      <c r="BR95" s="72" t="str">
        <f t="shared" si="87"/>
        <v/>
      </c>
    </row>
    <row r="96" spans="4:70" ht="15" x14ac:dyDescent="0.15">
      <c r="D96" s="103"/>
      <c r="E96" s="84" t="s">
        <v>597</v>
      </c>
      <c r="F96" s="488">
        <f>IF(F3&lt;&gt;"原子力",AW116/$BR$116,0)</f>
        <v>0</v>
      </c>
      <c r="G96" s="84" t="s">
        <v>590</v>
      </c>
      <c r="I96" s="457">
        <f t="shared" si="88"/>
        <v>2111</v>
      </c>
      <c r="J96" s="71"/>
      <c r="K96" s="71">
        <f t="shared" si="89"/>
        <v>82</v>
      </c>
      <c r="L96" s="71"/>
      <c r="M96" s="7">
        <f t="shared" si="52"/>
        <v>8.8582426831197242E-2</v>
      </c>
      <c r="N96" s="71"/>
      <c r="O96" s="10" t="str">
        <f t="shared" si="68"/>
        <v/>
      </c>
      <c r="P96" s="29" t="str">
        <f t="shared" si="53"/>
        <v/>
      </c>
      <c r="Q96" s="71"/>
      <c r="R96" s="10" t="str">
        <f t="shared" si="69"/>
        <v/>
      </c>
      <c r="S96" s="71"/>
      <c r="T96" s="10" t="str">
        <f t="shared" si="70"/>
        <v/>
      </c>
      <c r="U96" s="71"/>
      <c r="V96" s="10" t="str">
        <f t="shared" si="54"/>
        <v/>
      </c>
      <c r="W96" s="10" t="str">
        <f t="shared" si="71"/>
        <v/>
      </c>
      <c r="X96" s="71"/>
      <c r="Y96" s="10" t="str">
        <f t="shared" si="55"/>
        <v/>
      </c>
      <c r="Z96" s="10" t="str">
        <f t="shared" si="72"/>
        <v/>
      </c>
      <c r="AA96" s="71"/>
      <c r="AB96" s="10" t="str">
        <f t="shared" si="56"/>
        <v/>
      </c>
      <c r="AC96" s="10" t="str">
        <f t="shared" si="73"/>
        <v/>
      </c>
      <c r="AD96" s="71"/>
      <c r="AE96" s="10" t="str">
        <f t="shared" si="57"/>
        <v/>
      </c>
      <c r="AF96" s="10" t="str">
        <f t="shared" si="74"/>
        <v/>
      </c>
      <c r="AG96" s="71"/>
      <c r="AH96" s="10" t="str">
        <f t="shared" si="58"/>
        <v/>
      </c>
      <c r="AI96" s="10" t="str">
        <f t="shared" si="75"/>
        <v/>
      </c>
      <c r="AJ96" s="71"/>
      <c r="AK96" s="10" t="str">
        <f t="shared" si="59"/>
        <v/>
      </c>
      <c r="AL96" s="10" t="str">
        <f t="shared" si="76"/>
        <v/>
      </c>
      <c r="AM96" s="71"/>
      <c r="AN96" s="10" t="str">
        <f t="shared" si="60"/>
        <v/>
      </c>
      <c r="AO96" s="10" t="str">
        <f t="shared" si="77"/>
        <v/>
      </c>
      <c r="AP96" s="71"/>
      <c r="AQ96" s="10" t="str">
        <f t="shared" si="61"/>
        <v/>
      </c>
      <c r="AR96" s="10" t="str">
        <f t="shared" si="78"/>
        <v/>
      </c>
      <c r="AS96" s="71"/>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U96" s="71"/>
      <c r="AV96" s="10" t="str">
        <f t="shared" si="62"/>
        <v/>
      </c>
      <c r="AW96" s="10" t="str">
        <f t="shared" si="79"/>
        <v/>
      </c>
      <c r="AX96" s="71"/>
      <c r="AY96" s="7" t="str">
        <f>IF(ISERROR(IF($K96&lt;=$F$15,VLOOKUP($I96,'表4）CO2価格'!$A$7:$E$67,VLOOKUP($F$48,'表4）CO2価格'!$H$10:$I$12,2,0),0)*$F$8/1000,"")),0,IF($K96&lt;=$F$15,VLOOKUP($I96,'表4）CO2価格'!$A$7:$E$67,VLOOKUP($F$48,'表4）CO2価格'!$H$10:$I$12,2,0),0)*$F$8/1000,""))</f>
        <v/>
      </c>
      <c r="AZ96" s="71"/>
      <c r="BA96" s="11" t="str">
        <f t="shared" si="63"/>
        <v/>
      </c>
      <c r="BB96" s="10" t="str">
        <f t="shared" si="80"/>
        <v/>
      </c>
      <c r="BC96" s="71"/>
      <c r="BD96" s="10" t="str">
        <f t="shared" si="64"/>
        <v/>
      </c>
      <c r="BE96" s="10" t="str">
        <f t="shared" si="81"/>
        <v/>
      </c>
      <c r="BF96" s="71"/>
      <c r="BG96" s="11" t="str">
        <f t="shared" si="65"/>
        <v/>
      </c>
      <c r="BH96" s="10" t="str">
        <f t="shared" si="82"/>
        <v/>
      </c>
      <c r="BJ96" s="7" t="str">
        <f t="shared" si="83"/>
        <v/>
      </c>
      <c r="BK96" s="158" t="str">
        <f t="shared" si="84"/>
        <v/>
      </c>
      <c r="BL96" s="158" t="str">
        <f t="shared" si="66"/>
        <v/>
      </c>
      <c r="BM96" s="10"/>
      <c r="BN96" s="10" t="str">
        <f t="shared" si="85"/>
        <v/>
      </c>
      <c r="BO96" s="10" t="str">
        <f t="shared" si="86"/>
        <v/>
      </c>
      <c r="BQ96" s="10" t="str">
        <f t="shared" si="67"/>
        <v/>
      </c>
      <c r="BR96" s="10" t="str">
        <f t="shared" si="87"/>
        <v/>
      </c>
    </row>
    <row r="97" spans="4:70" ht="15" x14ac:dyDescent="0.15">
      <c r="D97" s="103"/>
      <c r="E97" s="84" t="s">
        <v>598</v>
      </c>
      <c r="F97" s="488">
        <f>IF(F3="原子力",#REF!,0)</f>
        <v>0</v>
      </c>
      <c r="G97" s="84" t="s">
        <v>590</v>
      </c>
      <c r="I97" s="38">
        <f t="shared" si="88"/>
        <v>2112</v>
      </c>
      <c r="J97" s="39"/>
      <c r="K97" s="39">
        <f t="shared" si="89"/>
        <v>83</v>
      </c>
      <c r="L97" s="39"/>
      <c r="M97" s="40">
        <f t="shared" si="52"/>
        <v>8.6002356146793454E-2</v>
      </c>
      <c r="N97" s="39"/>
      <c r="O97" s="72" t="str">
        <f t="shared" si="68"/>
        <v/>
      </c>
      <c r="P97" s="41" t="str">
        <f t="shared" si="53"/>
        <v/>
      </c>
      <c r="Q97" s="39"/>
      <c r="R97" s="72" t="str">
        <f t="shared" si="69"/>
        <v/>
      </c>
      <c r="S97" s="39"/>
      <c r="T97" s="72" t="str">
        <f t="shared" si="70"/>
        <v/>
      </c>
      <c r="U97" s="39"/>
      <c r="V97" s="72" t="str">
        <f t="shared" si="54"/>
        <v/>
      </c>
      <c r="W97" s="72" t="str">
        <f t="shared" si="71"/>
        <v/>
      </c>
      <c r="X97" s="39"/>
      <c r="Y97" s="72" t="str">
        <f t="shared" si="55"/>
        <v/>
      </c>
      <c r="Z97" s="72" t="str">
        <f t="shared" si="72"/>
        <v/>
      </c>
      <c r="AA97" s="39"/>
      <c r="AB97" s="72" t="str">
        <f t="shared" si="56"/>
        <v/>
      </c>
      <c r="AC97" s="72" t="str">
        <f t="shared" si="73"/>
        <v/>
      </c>
      <c r="AD97" s="39"/>
      <c r="AE97" s="72" t="str">
        <f t="shared" si="57"/>
        <v/>
      </c>
      <c r="AF97" s="72" t="str">
        <f t="shared" si="74"/>
        <v/>
      </c>
      <c r="AG97" s="39"/>
      <c r="AH97" s="72" t="str">
        <f t="shared" si="58"/>
        <v/>
      </c>
      <c r="AI97" s="72" t="str">
        <f t="shared" si="75"/>
        <v/>
      </c>
      <c r="AJ97" s="39"/>
      <c r="AK97" s="72" t="str">
        <f t="shared" si="59"/>
        <v/>
      </c>
      <c r="AL97" s="72" t="str">
        <f t="shared" si="76"/>
        <v/>
      </c>
      <c r="AM97" s="39"/>
      <c r="AN97" s="72" t="str">
        <f t="shared" si="60"/>
        <v/>
      </c>
      <c r="AO97" s="72" t="str">
        <f t="shared" si="77"/>
        <v/>
      </c>
      <c r="AP97" s="39"/>
      <c r="AQ97" s="72" t="str">
        <f t="shared" si="61"/>
        <v/>
      </c>
      <c r="AR97" s="72" t="str">
        <f t="shared" si="78"/>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62"/>
        <v/>
      </c>
      <c r="AW97" s="72" t="str">
        <f t="shared" si="79"/>
        <v/>
      </c>
      <c r="AX97" s="39"/>
      <c r="AY97" s="40" t="str">
        <f>IF(ISERROR(IF($K97&lt;=$F$15,VLOOKUP($I97,'表4）CO2価格'!$A$7:$E$67,VLOOKUP($F$48,'表4）CO2価格'!$H$10:$I$12,2,0),0)*$F$8/1000,"")),0,IF($K97&lt;=$F$15,VLOOKUP($I97,'表4）CO2価格'!$A$7:$E$67,VLOOKUP($F$48,'表4）CO2価格'!$H$10:$I$12,2,0),0)*$F$8/1000,""))</f>
        <v/>
      </c>
      <c r="AZ97" s="39"/>
      <c r="BA97" s="42" t="str">
        <f t="shared" si="63"/>
        <v/>
      </c>
      <c r="BB97" s="72" t="str">
        <f t="shared" si="80"/>
        <v/>
      </c>
      <c r="BC97" s="39"/>
      <c r="BD97" s="72" t="str">
        <f t="shared" si="64"/>
        <v/>
      </c>
      <c r="BE97" s="72" t="str">
        <f t="shared" si="81"/>
        <v/>
      </c>
      <c r="BF97" s="39"/>
      <c r="BG97" s="42" t="str">
        <f t="shared" si="65"/>
        <v/>
      </c>
      <c r="BH97" s="72" t="str">
        <f t="shared" si="82"/>
        <v/>
      </c>
      <c r="BI97" s="39"/>
      <c r="BJ97" s="40" t="str">
        <f t="shared" si="83"/>
        <v/>
      </c>
      <c r="BK97" s="157" t="str">
        <f t="shared" si="84"/>
        <v/>
      </c>
      <c r="BL97" s="157" t="str">
        <f t="shared" si="66"/>
        <v/>
      </c>
      <c r="BM97" s="72"/>
      <c r="BN97" s="72" t="str">
        <f t="shared" si="85"/>
        <v/>
      </c>
      <c r="BO97" s="72" t="str">
        <f t="shared" si="86"/>
        <v/>
      </c>
      <c r="BP97" s="39"/>
      <c r="BQ97" s="72" t="str">
        <f t="shared" si="67"/>
        <v/>
      </c>
      <c r="BR97" s="72" t="str">
        <f t="shared" si="87"/>
        <v/>
      </c>
    </row>
    <row r="98" spans="4:70" x14ac:dyDescent="0.15">
      <c r="F98" s="487"/>
      <c r="I98" s="457">
        <f t="shared" si="88"/>
        <v>2113</v>
      </c>
      <c r="J98" s="71"/>
      <c r="K98" s="71">
        <f t="shared" si="89"/>
        <v>84</v>
      </c>
      <c r="L98" s="71"/>
      <c r="M98" s="7">
        <f t="shared" si="52"/>
        <v>8.3497433152226644E-2</v>
      </c>
      <c r="N98" s="71"/>
      <c r="O98" s="10" t="str">
        <f t="shared" si="68"/>
        <v/>
      </c>
      <c r="P98" s="29" t="str">
        <f t="shared" si="53"/>
        <v/>
      </c>
      <c r="Q98" s="71"/>
      <c r="R98" s="10" t="str">
        <f t="shared" si="69"/>
        <v/>
      </c>
      <c r="S98" s="71"/>
      <c r="T98" s="10" t="str">
        <f t="shared" si="70"/>
        <v/>
      </c>
      <c r="U98" s="71"/>
      <c r="V98" s="10" t="str">
        <f t="shared" si="54"/>
        <v/>
      </c>
      <c r="W98" s="10" t="str">
        <f t="shared" si="71"/>
        <v/>
      </c>
      <c r="X98" s="71"/>
      <c r="Y98" s="10" t="str">
        <f t="shared" si="55"/>
        <v/>
      </c>
      <c r="Z98" s="10" t="str">
        <f t="shared" si="72"/>
        <v/>
      </c>
      <c r="AA98" s="71"/>
      <c r="AB98" s="10" t="str">
        <f t="shared" si="56"/>
        <v/>
      </c>
      <c r="AC98" s="10" t="str">
        <f t="shared" si="73"/>
        <v/>
      </c>
      <c r="AD98" s="71"/>
      <c r="AE98" s="10" t="str">
        <f t="shared" si="57"/>
        <v/>
      </c>
      <c r="AF98" s="10" t="str">
        <f t="shared" si="74"/>
        <v/>
      </c>
      <c r="AG98" s="71"/>
      <c r="AH98" s="10" t="str">
        <f t="shared" si="58"/>
        <v/>
      </c>
      <c r="AI98" s="10" t="str">
        <f t="shared" si="75"/>
        <v/>
      </c>
      <c r="AJ98" s="71"/>
      <c r="AK98" s="10" t="str">
        <f t="shared" si="59"/>
        <v/>
      </c>
      <c r="AL98" s="10" t="str">
        <f t="shared" si="76"/>
        <v/>
      </c>
      <c r="AM98" s="71"/>
      <c r="AN98" s="10" t="str">
        <f t="shared" si="60"/>
        <v/>
      </c>
      <c r="AO98" s="10" t="str">
        <f t="shared" si="77"/>
        <v/>
      </c>
      <c r="AP98" s="71"/>
      <c r="AQ98" s="10" t="str">
        <f t="shared" si="61"/>
        <v/>
      </c>
      <c r="AR98" s="10" t="str">
        <f t="shared" si="78"/>
        <v/>
      </c>
      <c r="AS98" s="71"/>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U98" s="71"/>
      <c r="AV98" s="10" t="str">
        <f t="shared" si="62"/>
        <v/>
      </c>
      <c r="AW98" s="10" t="str">
        <f t="shared" si="79"/>
        <v/>
      </c>
      <c r="AX98" s="71"/>
      <c r="AY98" s="7" t="str">
        <f>IF(ISERROR(IF($K98&lt;=$F$15,VLOOKUP($I98,'表4）CO2価格'!$A$7:$E$67,VLOOKUP($F$48,'表4）CO2価格'!$H$10:$I$12,2,0),0)*$F$8/1000,"")),0,IF($K98&lt;=$F$15,VLOOKUP($I98,'表4）CO2価格'!$A$7:$E$67,VLOOKUP($F$48,'表4）CO2価格'!$H$10:$I$12,2,0),0)*$F$8/1000,""))</f>
        <v/>
      </c>
      <c r="AZ98" s="71"/>
      <c r="BA98" s="11" t="str">
        <f t="shared" si="63"/>
        <v/>
      </c>
      <c r="BB98" s="10" t="str">
        <f t="shared" si="80"/>
        <v/>
      </c>
      <c r="BC98" s="71"/>
      <c r="BD98" s="10" t="str">
        <f t="shared" si="64"/>
        <v/>
      </c>
      <c r="BE98" s="10" t="str">
        <f t="shared" si="81"/>
        <v/>
      </c>
      <c r="BF98" s="71"/>
      <c r="BG98" s="11" t="str">
        <f t="shared" si="65"/>
        <v/>
      </c>
      <c r="BH98" s="10" t="str">
        <f t="shared" si="82"/>
        <v/>
      </c>
      <c r="BJ98" s="7" t="str">
        <f t="shared" si="83"/>
        <v/>
      </c>
      <c r="BK98" s="158" t="str">
        <f t="shared" si="84"/>
        <v/>
      </c>
      <c r="BL98" s="158" t="str">
        <f t="shared" si="66"/>
        <v/>
      </c>
      <c r="BM98" s="10"/>
      <c r="BN98" s="10" t="str">
        <f t="shared" si="85"/>
        <v/>
      </c>
      <c r="BO98" s="10" t="str">
        <f t="shared" si="86"/>
        <v/>
      </c>
      <c r="BQ98" s="10" t="str">
        <f t="shared" si="67"/>
        <v/>
      </c>
      <c r="BR98" s="10" t="str">
        <f t="shared" si="87"/>
        <v/>
      </c>
    </row>
    <row r="99" spans="4:70" ht="15" x14ac:dyDescent="0.15">
      <c r="D99" s="103" t="s">
        <v>599</v>
      </c>
      <c r="F99" s="484">
        <f>SUBTOTAL(9,F103:F105)</f>
        <v>0.13</v>
      </c>
      <c r="G99" s="84" t="s">
        <v>590</v>
      </c>
      <c r="I99" s="38">
        <f t="shared" si="88"/>
        <v>2114</v>
      </c>
      <c r="J99" s="39"/>
      <c r="K99" s="39">
        <f t="shared" si="89"/>
        <v>85</v>
      </c>
      <c r="L99" s="39"/>
      <c r="M99" s="40">
        <f t="shared" si="52"/>
        <v>8.1065469079831712E-2</v>
      </c>
      <c r="N99" s="39"/>
      <c r="O99" s="72" t="str">
        <f t="shared" si="68"/>
        <v/>
      </c>
      <c r="P99" s="41" t="str">
        <f t="shared" si="53"/>
        <v/>
      </c>
      <c r="Q99" s="39"/>
      <c r="R99" s="72" t="str">
        <f t="shared" si="69"/>
        <v/>
      </c>
      <c r="S99" s="39"/>
      <c r="T99" s="72" t="str">
        <f t="shared" si="70"/>
        <v/>
      </c>
      <c r="U99" s="39"/>
      <c r="V99" s="72" t="str">
        <f t="shared" si="54"/>
        <v/>
      </c>
      <c r="W99" s="72" t="str">
        <f t="shared" si="71"/>
        <v/>
      </c>
      <c r="X99" s="39"/>
      <c r="Y99" s="72" t="str">
        <f t="shared" si="55"/>
        <v/>
      </c>
      <c r="Z99" s="72" t="str">
        <f t="shared" si="72"/>
        <v/>
      </c>
      <c r="AA99" s="39"/>
      <c r="AB99" s="72" t="str">
        <f t="shared" si="56"/>
        <v/>
      </c>
      <c r="AC99" s="72" t="str">
        <f t="shared" si="73"/>
        <v/>
      </c>
      <c r="AD99" s="39"/>
      <c r="AE99" s="72" t="str">
        <f t="shared" si="57"/>
        <v/>
      </c>
      <c r="AF99" s="72" t="str">
        <f t="shared" si="74"/>
        <v/>
      </c>
      <c r="AG99" s="39"/>
      <c r="AH99" s="72" t="str">
        <f t="shared" si="58"/>
        <v/>
      </c>
      <c r="AI99" s="72" t="str">
        <f t="shared" si="75"/>
        <v/>
      </c>
      <c r="AJ99" s="39"/>
      <c r="AK99" s="72" t="str">
        <f t="shared" si="59"/>
        <v/>
      </c>
      <c r="AL99" s="72" t="str">
        <f t="shared" si="76"/>
        <v/>
      </c>
      <c r="AM99" s="39"/>
      <c r="AN99" s="72" t="str">
        <f t="shared" si="60"/>
        <v/>
      </c>
      <c r="AO99" s="72" t="str">
        <f t="shared" si="77"/>
        <v/>
      </c>
      <c r="AP99" s="39"/>
      <c r="AQ99" s="72" t="str">
        <f t="shared" si="61"/>
        <v/>
      </c>
      <c r="AR99" s="72" t="str">
        <f t="shared" si="78"/>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62"/>
        <v/>
      </c>
      <c r="AW99" s="72" t="str">
        <f t="shared" si="79"/>
        <v/>
      </c>
      <c r="AX99" s="39"/>
      <c r="AY99" s="40" t="str">
        <f>IF(ISERROR(IF($K99&lt;=$F$15,VLOOKUP($I99,'表4）CO2価格'!$A$7:$E$67,VLOOKUP($F$48,'表4）CO2価格'!$H$10:$I$12,2,0),0)*$F$8/1000,"")),0,IF($K99&lt;=$F$15,VLOOKUP($I99,'表4）CO2価格'!$A$7:$E$67,VLOOKUP($F$48,'表4）CO2価格'!$H$10:$I$12,2,0),0)*$F$8/1000,""))</f>
        <v/>
      </c>
      <c r="AZ99" s="39"/>
      <c r="BA99" s="42" t="str">
        <f t="shared" si="63"/>
        <v/>
      </c>
      <c r="BB99" s="72" t="str">
        <f t="shared" si="80"/>
        <v/>
      </c>
      <c r="BC99" s="39"/>
      <c r="BD99" s="72" t="str">
        <f t="shared" si="64"/>
        <v/>
      </c>
      <c r="BE99" s="72" t="str">
        <f t="shared" si="81"/>
        <v/>
      </c>
      <c r="BF99" s="39"/>
      <c r="BG99" s="42" t="str">
        <f t="shared" si="65"/>
        <v/>
      </c>
      <c r="BH99" s="72" t="str">
        <f t="shared" si="82"/>
        <v/>
      </c>
      <c r="BI99" s="39"/>
      <c r="BJ99" s="40" t="str">
        <f t="shared" si="83"/>
        <v/>
      </c>
      <c r="BK99" s="157" t="str">
        <f t="shared" si="84"/>
        <v/>
      </c>
      <c r="BL99" s="157" t="str">
        <f t="shared" si="66"/>
        <v/>
      </c>
      <c r="BM99" s="72"/>
      <c r="BN99" s="72" t="str">
        <f t="shared" si="85"/>
        <v/>
      </c>
      <c r="BO99" s="72" t="str">
        <f t="shared" si="86"/>
        <v/>
      </c>
      <c r="BP99" s="39"/>
      <c r="BQ99" s="72" t="str">
        <f t="shared" si="67"/>
        <v/>
      </c>
      <c r="BR99" s="72" t="str">
        <f t="shared" si="87"/>
        <v/>
      </c>
    </row>
    <row r="100" spans="4:70" x14ac:dyDescent="0.15">
      <c r="F100" s="487"/>
      <c r="I100" s="457">
        <f t="shared" si="88"/>
        <v>2115</v>
      </c>
      <c r="J100" s="71"/>
      <c r="K100" s="71">
        <f t="shared" si="89"/>
        <v>86</v>
      </c>
      <c r="L100" s="71"/>
      <c r="M100" s="7">
        <f t="shared" si="52"/>
        <v>7.8704338912457969E-2</v>
      </c>
      <c r="N100" s="71"/>
      <c r="O100" s="10" t="str">
        <f t="shared" si="68"/>
        <v/>
      </c>
      <c r="P100" s="29" t="str">
        <f t="shared" si="53"/>
        <v/>
      </c>
      <c r="Q100" s="71"/>
      <c r="R100" s="10" t="str">
        <f t="shared" si="69"/>
        <v/>
      </c>
      <c r="S100" s="71"/>
      <c r="T100" s="10" t="str">
        <f t="shared" si="70"/>
        <v/>
      </c>
      <c r="U100" s="71"/>
      <c r="V100" s="10" t="str">
        <f t="shared" si="54"/>
        <v/>
      </c>
      <c r="W100" s="10" t="str">
        <f t="shared" si="71"/>
        <v/>
      </c>
      <c r="X100" s="71"/>
      <c r="Y100" s="10" t="str">
        <f t="shared" si="55"/>
        <v/>
      </c>
      <c r="Z100" s="10" t="str">
        <f t="shared" si="72"/>
        <v/>
      </c>
      <c r="AA100" s="71"/>
      <c r="AB100" s="10" t="str">
        <f t="shared" si="56"/>
        <v/>
      </c>
      <c r="AC100" s="10" t="str">
        <f t="shared" si="73"/>
        <v/>
      </c>
      <c r="AD100" s="71"/>
      <c r="AE100" s="10" t="str">
        <f t="shared" si="57"/>
        <v/>
      </c>
      <c r="AF100" s="10" t="str">
        <f t="shared" si="74"/>
        <v/>
      </c>
      <c r="AG100" s="71"/>
      <c r="AH100" s="10" t="str">
        <f t="shared" si="58"/>
        <v/>
      </c>
      <c r="AI100" s="10" t="str">
        <f t="shared" si="75"/>
        <v/>
      </c>
      <c r="AJ100" s="71"/>
      <c r="AK100" s="10" t="str">
        <f t="shared" si="59"/>
        <v/>
      </c>
      <c r="AL100" s="10" t="str">
        <f t="shared" si="76"/>
        <v/>
      </c>
      <c r="AM100" s="71"/>
      <c r="AN100" s="10" t="str">
        <f t="shared" si="60"/>
        <v/>
      </c>
      <c r="AO100" s="10" t="str">
        <f t="shared" si="77"/>
        <v/>
      </c>
      <c r="AP100" s="71"/>
      <c r="AQ100" s="10" t="str">
        <f t="shared" si="61"/>
        <v/>
      </c>
      <c r="AR100" s="10" t="str">
        <f t="shared" si="78"/>
        <v/>
      </c>
      <c r="AS100" s="71"/>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U100" s="71"/>
      <c r="AV100" s="10" t="str">
        <f t="shared" si="62"/>
        <v/>
      </c>
      <c r="AW100" s="10" t="str">
        <f t="shared" si="79"/>
        <v/>
      </c>
      <c r="AX100" s="71"/>
      <c r="AY100" s="7" t="str">
        <f>IF(ISERROR(IF($K100&lt;=$F$15,VLOOKUP($I100,'表4）CO2価格'!$A$7:$E$67,VLOOKUP($F$48,'表4）CO2価格'!$H$10:$I$12,2,0),0)*$F$8/1000,"")),0,IF($K100&lt;=$F$15,VLOOKUP($I100,'表4）CO2価格'!$A$7:$E$67,VLOOKUP($F$48,'表4）CO2価格'!$H$10:$I$12,2,0),0)*$F$8/1000,""))</f>
        <v/>
      </c>
      <c r="AZ100" s="71"/>
      <c r="BA100" s="11" t="str">
        <f t="shared" si="63"/>
        <v/>
      </c>
      <c r="BB100" s="10" t="str">
        <f t="shared" si="80"/>
        <v/>
      </c>
      <c r="BC100" s="71"/>
      <c r="BD100" s="10" t="str">
        <f t="shared" si="64"/>
        <v/>
      </c>
      <c r="BE100" s="10" t="str">
        <f t="shared" si="81"/>
        <v/>
      </c>
      <c r="BF100" s="71"/>
      <c r="BG100" s="11" t="str">
        <f t="shared" si="65"/>
        <v/>
      </c>
      <c r="BH100" s="10" t="str">
        <f t="shared" si="82"/>
        <v/>
      </c>
      <c r="BJ100" s="7" t="str">
        <f t="shared" si="83"/>
        <v/>
      </c>
      <c r="BK100" s="158" t="str">
        <f t="shared" si="84"/>
        <v/>
      </c>
      <c r="BL100" s="158" t="str">
        <f t="shared" si="66"/>
        <v/>
      </c>
      <c r="BM100" s="10"/>
      <c r="BN100" s="10" t="str">
        <f t="shared" si="85"/>
        <v/>
      </c>
      <c r="BO100" s="10" t="str">
        <f t="shared" si="86"/>
        <v/>
      </c>
      <c r="BQ100" s="10" t="str">
        <f t="shared" si="67"/>
        <v/>
      </c>
      <c r="BR100" s="10" t="str">
        <f t="shared" si="87"/>
        <v/>
      </c>
    </row>
    <row r="101" spans="4:70" x14ac:dyDescent="0.15">
      <c r="D101" s="100" t="s">
        <v>600</v>
      </c>
      <c r="E101" s="100"/>
      <c r="F101" s="486"/>
      <c r="G101" s="100"/>
      <c r="I101" s="38">
        <f t="shared" si="88"/>
        <v>2116</v>
      </c>
      <c r="J101" s="39"/>
      <c r="K101" s="39">
        <f t="shared" si="89"/>
        <v>87</v>
      </c>
      <c r="L101" s="39"/>
      <c r="M101" s="40">
        <f t="shared" si="52"/>
        <v>7.6411979526658208E-2</v>
      </c>
      <c r="N101" s="39"/>
      <c r="O101" s="72" t="str">
        <f t="shared" si="68"/>
        <v/>
      </c>
      <c r="P101" s="41" t="str">
        <f t="shared" si="53"/>
        <v/>
      </c>
      <c r="Q101" s="39"/>
      <c r="R101" s="72" t="str">
        <f t="shared" si="69"/>
        <v/>
      </c>
      <c r="S101" s="39"/>
      <c r="T101" s="72" t="str">
        <f t="shared" si="70"/>
        <v/>
      </c>
      <c r="U101" s="39"/>
      <c r="V101" s="72" t="str">
        <f t="shared" si="54"/>
        <v/>
      </c>
      <c r="W101" s="72" t="str">
        <f t="shared" si="71"/>
        <v/>
      </c>
      <c r="X101" s="39"/>
      <c r="Y101" s="72" t="str">
        <f t="shared" si="55"/>
        <v/>
      </c>
      <c r="Z101" s="72" t="str">
        <f t="shared" si="72"/>
        <v/>
      </c>
      <c r="AA101" s="39"/>
      <c r="AB101" s="72" t="str">
        <f t="shared" si="56"/>
        <v/>
      </c>
      <c r="AC101" s="72" t="str">
        <f t="shared" si="73"/>
        <v/>
      </c>
      <c r="AD101" s="39"/>
      <c r="AE101" s="72" t="str">
        <f t="shared" si="57"/>
        <v/>
      </c>
      <c r="AF101" s="72" t="str">
        <f t="shared" si="74"/>
        <v/>
      </c>
      <c r="AG101" s="39"/>
      <c r="AH101" s="72" t="str">
        <f t="shared" si="58"/>
        <v/>
      </c>
      <c r="AI101" s="72" t="str">
        <f t="shared" si="75"/>
        <v/>
      </c>
      <c r="AJ101" s="39"/>
      <c r="AK101" s="72" t="str">
        <f t="shared" si="59"/>
        <v/>
      </c>
      <c r="AL101" s="72" t="str">
        <f t="shared" si="76"/>
        <v/>
      </c>
      <c r="AM101" s="39"/>
      <c r="AN101" s="72" t="str">
        <f t="shared" si="60"/>
        <v/>
      </c>
      <c r="AO101" s="72" t="str">
        <f t="shared" si="77"/>
        <v/>
      </c>
      <c r="AP101" s="39"/>
      <c r="AQ101" s="72" t="str">
        <f t="shared" si="61"/>
        <v/>
      </c>
      <c r="AR101" s="72" t="str">
        <f t="shared" si="78"/>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62"/>
        <v/>
      </c>
      <c r="AW101" s="72" t="str">
        <f t="shared" si="79"/>
        <v/>
      </c>
      <c r="AX101" s="39"/>
      <c r="AY101" s="40" t="str">
        <f>IF(ISERROR(IF($K101&lt;=$F$15,VLOOKUP($I101,'表4）CO2価格'!$A$7:$E$67,VLOOKUP($F$48,'表4）CO2価格'!$H$10:$I$12,2,0),0)*$F$8/1000,"")),0,IF($K101&lt;=$F$15,VLOOKUP($I101,'表4）CO2価格'!$A$7:$E$67,VLOOKUP($F$48,'表4）CO2価格'!$H$10:$I$12,2,0),0)*$F$8/1000,""))</f>
        <v/>
      </c>
      <c r="AZ101" s="39"/>
      <c r="BA101" s="42" t="str">
        <f t="shared" si="63"/>
        <v/>
      </c>
      <c r="BB101" s="72" t="str">
        <f t="shared" si="80"/>
        <v/>
      </c>
      <c r="BC101" s="39"/>
      <c r="BD101" s="72" t="str">
        <f t="shared" si="64"/>
        <v/>
      </c>
      <c r="BE101" s="72" t="str">
        <f t="shared" si="81"/>
        <v/>
      </c>
      <c r="BF101" s="39"/>
      <c r="BG101" s="42" t="str">
        <f t="shared" si="65"/>
        <v/>
      </c>
      <c r="BH101" s="72" t="str">
        <f t="shared" si="82"/>
        <v/>
      </c>
      <c r="BI101" s="39"/>
      <c r="BJ101" s="40" t="str">
        <f t="shared" si="83"/>
        <v/>
      </c>
      <c r="BK101" s="157" t="str">
        <f t="shared" si="84"/>
        <v/>
      </c>
      <c r="BL101" s="157" t="str">
        <f t="shared" si="66"/>
        <v/>
      </c>
      <c r="BM101" s="72"/>
      <c r="BN101" s="72" t="str">
        <f t="shared" si="85"/>
        <v/>
      </c>
      <c r="BO101" s="72" t="str">
        <f t="shared" si="86"/>
        <v/>
      </c>
      <c r="BP101" s="39"/>
      <c r="BQ101" s="72" t="str">
        <f t="shared" si="67"/>
        <v/>
      </c>
      <c r="BR101" s="72" t="str">
        <f t="shared" si="87"/>
        <v/>
      </c>
    </row>
    <row r="102" spans="4:70" x14ac:dyDescent="0.15">
      <c r="F102" s="487"/>
      <c r="I102" s="457">
        <f t="shared" si="88"/>
        <v>2117</v>
      </c>
      <c r="J102" s="71"/>
      <c r="K102" s="71">
        <f t="shared" si="89"/>
        <v>88</v>
      </c>
      <c r="L102" s="71"/>
      <c r="M102" s="7">
        <f t="shared" si="52"/>
        <v>7.4186387889959446E-2</v>
      </c>
      <c r="N102" s="71"/>
      <c r="O102" s="10" t="str">
        <f t="shared" si="68"/>
        <v/>
      </c>
      <c r="P102" s="29" t="str">
        <f t="shared" si="53"/>
        <v/>
      </c>
      <c r="Q102" s="71"/>
      <c r="R102" s="10" t="str">
        <f t="shared" si="69"/>
        <v/>
      </c>
      <c r="S102" s="71"/>
      <c r="T102" s="10" t="str">
        <f t="shared" si="70"/>
        <v/>
      </c>
      <c r="U102" s="71"/>
      <c r="V102" s="10" t="str">
        <f t="shared" si="54"/>
        <v/>
      </c>
      <c r="W102" s="10" t="str">
        <f t="shared" si="71"/>
        <v/>
      </c>
      <c r="X102" s="71"/>
      <c r="Y102" s="10" t="str">
        <f t="shared" si="55"/>
        <v/>
      </c>
      <c r="Z102" s="10" t="str">
        <f t="shared" si="72"/>
        <v/>
      </c>
      <c r="AA102" s="71"/>
      <c r="AB102" s="10" t="str">
        <f t="shared" si="56"/>
        <v/>
      </c>
      <c r="AC102" s="10" t="str">
        <f t="shared" si="73"/>
        <v/>
      </c>
      <c r="AD102" s="71"/>
      <c r="AE102" s="10" t="str">
        <f t="shared" si="57"/>
        <v/>
      </c>
      <c r="AF102" s="10" t="str">
        <f t="shared" si="74"/>
        <v/>
      </c>
      <c r="AG102" s="71"/>
      <c r="AH102" s="10" t="str">
        <f t="shared" si="58"/>
        <v/>
      </c>
      <c r="AI102" s="10" t="str">
        <f t="shared" si="75"/>
        <v/>
      </c>
      <c r="AJ102" s="71"/>
      <c r="AK102" s="10" t="str">
        <f t="shared" si="59"/>
        <v/>
      </c>
      <c r="AL102" s="10" t="str">
        <f t="shared" si="76"/>
        <v/>
      </c>
      <c r="AM102" s="71"/>
      <c r="AN102" s="10" t="str">
        <f t="shared" si="60"/>
        <v/>
      </c>
      <c r="AO102" s="10" t="str">
        <f t="shared" si="77"/>
        <v/>
      </c>
      <c r="AP102" s="71"/>
      <c r="AQ102" s="10" t="str">
        <f t="shared" si="61"/>
        <v/>
      </c>
      <c r="AR102" s="10" t="str">
        <f t="shared" si="78"/>
        <v/>
      </c>
      <c r="AS102" s="71"/>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U102" s="71"/>
      <c r="AV102" s="10" t="str">
        <f t="shared" si="62"/>
        <v/>
      </c>
      <c r="AW102" s="10" t="str">
        <f t="shared" si="79"/>
        <v/>
      </c>
      <c r="AX102" s="71"/>
      <c r="AY102" s="7" t="str">
        <f>IF(ISERROR(IF($K102&lt;=$F$15,VLOOKUP($I102,'表4）CO2価格'!$A$7:$E$67,VLOOKUP($F$48,'表4）CO2価格'!$H$10:$I$12,2,0),0)*$F$8/1000,"")),0,IF($K102&lt;=$F$15,VLOOKUP($I102,'表4）CO2価格'!$A$7:$E$67,VLOOKUP($F$48,'表4）CO2価格'!$H$10:$I$12,2,0),0)*$F$8/1000,""))</f>
        <v/>
      </c>
      <c r="AZ102" s="71"/>
      <c r="BA102" s="11" t="str">
        <f t="shared" si="63"/>
        <v/>
      </c>
      <c r="BB102" s="10" t="str">
        <f t="shared" si="80"/>
        <v/>
      </c>
      <c r="BC102" s="71"/>
      <c r="BD102" s="10" t="str">
        <f t="shared" si="64"/>
        <v/>
      </c>
      <c r="BE102" s="10" t="str">
        <f t="shared" si="81"/>
        <v/>
      </c>
      <c r="BF102" s="71"/>
      <c r="BG102" s="11" t="str">
        <f t="shared" si="65"/>
        <v/>
      </c>
      <c r="BH102" s="10" t="str">
        <f t="shared" si="82"/>
        <v/>
      </c>
      <c r="BJ102" s="7" t="str">
        <f t="shared" si="83"/>
        <v/>
      </c>
      <c r="BK102" s="158" t="str">
        <f t="shared" si="84"/>
        <v/>
      </c>
      <c r="BL102" s="158" t="str">
        <f t="shared" si="66"/>
        <v/>
      </c>
      <c r="BM102" s="10"/>
      <c r="BN102" s="10" t="str">
        <f t="shared" si="85"/>
        <v/>
      </c>
      <c r="BO102" s="10" t="str">
        <f t="shared" si="86"/>
        <v/>
      </c>
      <c r="BQ102" s="10" t="str">
        <f t="shared" si="67"/>
        <v/>
      </c>
      <c r="BR102" s="10" t="str">
        <f t="shared" si="87"/>
        <v/>
      </c>
    </row>
    <row r="103" spans="4:70" x14ac:dyDescent="0.15">
      <c r="E103" s="84" t="s">
        <v>601</v>
      </c>
      <c r="F103" s="488">
        <f>BB116/$BR$116</f>
        <v>0</v>
      </c>
      <c r="G103" s="84" t="s">
        <v>590</v>
      </c>
      <c r="I103" s="38">
        <f t="shared" si="88"/>
        <v>2118</v>
      </c>
      <c r="J103" s="39"/>
      <c r="K103" s="39">
        <f t="shared" si="89"/>
        <v>89</v>
      </c>
      <c r="L103" s="39"/>
      <c r="M103" s="40">
        <f t="shared" si="52"/>
        <v>7.2025619310640235E-2</v>
      </c>
      <c r="N103" s="39"/>
      <c r="O103" s="72" t="str">
        <f t="shared" si="68"/>
        <v/>
      </c>
      <c r="P103" s="41" t="str">
        <f t="shared" si="53"/>
        <v/>
      </c>
      <c r="Q103" s="39"/>
      <c r="R103" s="72" t="str">
        <f t="shared" si="69"/>
        <v/>
      </c>
      <c r="S103" s="39"/>
      <c r="T103" s="72" t="str">
        <f t="shared" si="70"/>
        <v/>
      </c>
      <c r="U103" s="39"/>
      <c r="V103" s="72" t="str">
        <f t="shared" si="54"/>
        <v/>
      </c>
      <c r="W103" s="72" t="str">
        <f t="shared" si="71"/>
        <v/>
      </c>
      <c r="X103" s="39"/>
      <c r="Y103" s="72" t="str">
        <f t="shared" si="55"/>
        <v/>
      </c>
      <c r="Z103" s="72" t="str">
        <f t="shared" si="72"/>
        <v/>
      </c>
      <c r="AA103" s="39"/>
      <c r="AB103" s="72" t="str">
        <f t="shared" si="56"/>
        <v/>
      </c>
      <c r="AC103" s="72" t="str">
        <f t="shared" si="73"/>
        <v/>
      </c>
      <c r="AD103" s="39"/>
      <c r="AE103" s="72" t="str">
        <f t="shared" si="57"/>
        <v/>
      </c>
      <c r="AF103" s="72" t="str">
        <f t="shared" si="74"/>
        <v/>
      </c>
      <c r="AG103" s="39"/>
      <c r="AH103" s="72" t="str">
        <f t="shared" si="58"/>
        <v/>
      </c>
      <c r="AI103" s="72" t="str">
        <f t="shared" si="75"/>
        <v/>
      </c>
      <c r="AJ103" s="39"/>
      <c r="AK103" s="72" t="str">
        <f t="shared" si="59"/>
        <v/>
      </c>
      <c r="AL103" s="72" t="str">
        <f t="shared" si="76"/>
        <v/>
      </c>
      <c r="AM103" s="39"/>
      <c r="AN103" s="72" t="str">
        <f t="shared" si="60"/>
        <v/>
      </c>
      <c r="AO103" s="72" t="str">
        <f t="shared" si="77"/>
        <v/>
      </c>
      <c r="AP103" s="39"/>
      <c r="AQ103" s="72" t="str">
        <f t="shared" si="61"/>
        <v/>
      </c>
      <c r="AR103" s="72" t="str">
        <f t="shared" si="78"/>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62"/>
        <v/>
      </c>
      <c r="AW103" s="72" t="str">
        <f t="shared" si="79"/>
        <v/>
      </c>
      <c r="AX103" s="39"/>
      <c r="AY103" s="40" t="str">
        <f>IF(ISERROR(IF($K103&lt;=$F$15,VLOOKUP($I103,'表4）CO2価格'!$A$7:$E$67,VLOOKUP($F$48,'表4）CO2価格'!$H$10:$I$12,2,0),0)*$F$8/1000,"")),0,IF($K103&lt;=$F$15,VLOOKUP($I103,'表4）CO2価格'!$A$7:$E$67,VLOOKUP($F$48,'表4）CO2価格'!$H$10:$I$12,2,0),0)*$F$8/1000,""))</f>
        <v/>
      </c>
      <c r="AZ103" s="39"/>
      <c r="BA103" s="42" t="str">
        <f t="shared" si="63"/>
        <v/>
      </c>
      <c r="BB103" s="72" t="str">
        <f t="shared" si="80"/>
        <v/>
      </c>
      <c r="BC103" s="39"/>
      <c r="BD103" s="72" t="str">
        <f t="shared" si="64"/>
        <v/>
      </c>
      <c r="BE103" s="72" t="str">
        <f t="shared" si="81"/>
        <v/>
      </c>
      <c r="BF103" s="39"/>
      <c r="BG103" s="42" t="str">
        <f t="shared" si="65"/>
        <v/>
      </c>
      <c r="BH103" s="72" t="str">
        <f t="shared" si="82"/>
        <v/>
      </c>
      <c r="BI103" s="39"/>
      <c r="BJ103" s="40" t="str">
        <f t="shared" si="83"/>
        <v/>
      </c>
      <c r="BK103" s="157" t="str">
        <f t="shared" si="84"/>
        <v/>
      </c>
      <c r="BL103" s="157" t="str">
        <f t="shared" si="66"/>
        <v/>
      </c>
      <c r="BM103" s="72"/>
      <c r="BN103" s="72" t="str">
        <f t="shared" si="85"/>
        <v/>
      </c>
      <c r="BO103" s="72" t="str">
        <f t="shared" si="86"/>
        <v/>
      </c>
      <c r="BP103" s="39"/>
      <c r="BQ103" s="72" t="str">
        <f t="shared" si="67"/>
        <v/>
      </c>
      <c r="BR103" s="72" t="str">
        <f t="shared" si="87"/>
        <v/>
      </c>
    </row>
    <row r="104" spans="4:70" x14ac:dyDescent="0.15">
      <c r="E104" s="84" t="s">
        <v>602</v>
      </c>
      <c r="F104" s="488">
        <f>IF(ISERROR(F60*(1/F61)/F62),0,F60*(1/F61)/F62)</f>
        <v>0</v>
      </c>
      <c r="G104" s="84" t="s">
        <v>590</v>
      </c>
      <c r="I104" s="457">
        <f t="shared" si="88"/>
        <v>2119</v>
      </c>
      <c r="J104" s="71"/>
      <c r="K104" s="71">
        <f t="shared" si="89"/>
        <v>90</v>
      </c>
      <c r="L104" s="71"/>
      <c r="M104" s="7">
        <f t="shared" si="52"/>
        <v>6.9927785738485654E-2</v>
      </c>
      <c r="N104" s="71"/>
      <c r="O104" s="10" t="str">
        <f t="shared" si="68"/>
        <v/>
      </c>
      <c r="P104" s="29" t="str">
        <f t="shared" si="53"/>
        <v/>
      </c>
      <c r="Q104" s="71"/>
      <c r="R104" s="10" t="str">
        <f t="shared" si="69"/>
        <v/>
      </c>
      <c r="S104" s="71"/>
      <c r="T104" s="10" t="str">
        <f t="shared" si="70"/>
        <v/>
      </c>
      <c r="U104" s="71"/>
      <c r="V104" s="10" t="str">
        <f t="shared" si="54"/>
        <v/>
      </c>
      <c r="W104" s="10" t="str">
        <f t="shared" si="71"/>
        <v/>
      </c>
      <c r="X104" s="71"/>
      <c r="Y104" s="10" t="str">
        <f t="shared" si="55"/>
        <v/>
      </c>
      <c r="Z104" s="10" t="str">
        <f t="shared" si="72"/>
        <v/>
      </c>
      <c r="AA104" s="71"/>
      <c r="AB104" s="10" t="str">
        <f t="shared" si="56"/>
        <v/>
      </c>
      <c r="AC104" s="10" t="str">
        <f t="shared" si="73"/>
        <v/>
      </c>
      <c r="AD104" s="71"/>
      <c r="AE104" s="10" t="str">
        <f t="shared" si="57"/>
        <v/>
      </c>
      <c r="AF104" s="10" t="str">
        <f t="shared" si="74"/>
        <v/>
      </c>
      <c r="AG104" s="71"/>
      <c r="AH104" s="10" t="str">
        <f t="shared" si="58"/>
        <v/>
      </c>
      <c r="AI104" s="10" t="str">
        <f t="shared" si="75"/>
        <v/>
      </c>
      <c r="AJ104" s="71"/>
      <c r="AK104" s="10" t="str">
        <f t="shared" si="59"/>
        <v/>
      </c>
      <c r="AL104" s="10" t="str">
        <f t="shared" si="76"/>
        <v/>
      </c>
      <c r="AM104" s="71"/>
      <c r="AN104" s="10" t="str">
        <f t="shared" si="60"/>
        <v/>
      </c>
      <c r="AO104" s="10" t="str">
        <f t="shared" si="77"/>
        <v/>
      </c>
      <c r="AP104" s="71"/>
      <c r="AQ104" s="10" t="str">
        <f t="shared" si="61"/>
        <v/>
      </c>
      <c r="AR104" s="10" t="str">
        <f t="shared" si="78"/>
        <v/>
      </c>
      <c r="AS104" s="71"/>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U104" s="71"/>
      <c r="AV104" s="10" t="str">
        <f t="shared" si="62"/>
        <v/>
      </c>
      <c r="AW104" s="10" t="str">
        <f t="shared" si="79"/>
        <v/>
      </c>
      <c r="AX104" s="71"/>
      <c r="AY104" s="7" t="str">
        <f>IF(ISERROR(IF($K104&lt;=$F$15,VLOOKUP($I104,'表4）CO2価格'!$A$7:$E$67,VLOOKUP($F$48,'表4）CO2価格'!$H$10:$I$12,2,0),0)*$F$8/1000,"")),0,IF($K104&lt;=$F$15,VLOOKUP($I104,'表4）CO2価格'!$A$7:$E$67,VLOOKUP($F$48,'表4）CO2価格'!$H$10:$I$12,2,0),0)*$F$8/1000,""))</f>
        <v/>
      </c>
      <c r="AZ104" s="71"/>
      <c r="BA104" s="11" t="str">
        <f t="shared" si="63"/>
        <v/>
      </c>
      <c r="BB104" s="10" t="str">
        <f t="shared" si="80"/>
        <v/>
      </c>
      <c r="BC104" s="71"/>
      <c r="BD104" s="10" t="str">
        <f t="shared" si="64"/>
        <v/>
      </c>
      <c r="BE104" s="10" t="str">
        <f t="shared" si="81"/>
        <v/>
      </c>
      <c r="BF104" s="71"/>
      <c r="BG104" s="11" t="str">
        <f t="shared" si="65"/>
        <v/>
      </c>
      <c r="BH104" s="10" t="str">
        <f t="shared" si="82"/>
        <v/>
      </c>
      <c r="BJ104" s="7" t="str">
        <f t="shared" si="83"/>
        <v/>
      </c>
      <c r="BK104" s="158" t="str">
        <f t="shared" si="84"/>
        <v/>
      </c>
      <c r="BL104" s="158" t="str">
        <f t="shared" si="66"/>
        <v/>
      </c>
      <c r="BM104" s="10"/>
      <c r="BN104" s="10" t="str">
        <f t="shared" si="85"/>
        <v/>
      </c>
      <c r="BO104" s="10" t="str">
        <f t="shared" si="86"/>
        <v/>
      </c>
      <c r="BQ104" s="10" t="str">
        <f t="shared" si="67"/>
        <v/>
      </c>
      <c r="BR104" s="10" t="str">
        <f t="shared" si="87"/>
        <v/>
      </c>
    </row>
    <row r="105" spans="4:70" x14ac:dyDescent="0.15">
      <c r="E105" s="71" t="s">
        <v>603</v>
      </c>
      <c r="F105" s="488">
        <f>F64</f>
        <v>0.13</v>
      </c>
      <c r="G105" s="84" t="s">
        <v>590</v>
      </c>
      <c r="I105" s="38">
        <f t="shared" si="88"/>
        <v>2120</v>
      </c>
      <c r="J105" s="39"/>
      <c r="K105" s="39">
        <f t="shared" si="89"/>
        <v>91</v>
      </c>
      <c r="L105" s="39"/>
      <c r="M105" s="40">
        <f t="shared" si="52"/>
        <v>6.7891054115034627E-2</v>
      </c>
      <c r="N105" s="39"/>
      <c r="O105" s="72" t="str">
        <f t="shared" si="68"/>
        <v/>
      </c>
      <c r="P105" s="41" t="str">
        <f t="shared" si="53"/>
        <v/>
      </c>
      <c r="Q105" s="39"/>
      <c r="R105" s="72" t="str">
        <f t="shared" si="69"/>
        <v/>
      </c>
      <c r="S105" s="39"/>
      <c r="T105" s="72" t="str">
        <f t="shared" si="70"/>
        <v/>
      </c>
      <c r="U105" s="39"/>
      <c r="V105" s="72" t="str">
        <f t="shared" si="54"/>
        <v/>
      </c>
      <c r="W105" s="72" t="str">
        <f t="shared" si="71"/>
        <v/>
      </c>
      <c r="X105" s="39"/>
      <c r="Y105" s="72" t="str">
        <f t="shared" si="55"/>
        <v/>
      </c>
      <c r="Z105" s="72" t="str">
        <f t="shared" si="72"/>
        <v/>
      </c>
      <c r="AA105" s="39"/>
      <c r="AB105" s="72" t="str">
        <f t="shared" si="56"/>
        <v/>
      </c>
      <c r="AC105" s="72" t="str">
        <f t="shared" si="73"/>
        <v/>
      </c>
      <c r="AD105" s="39"/>
      <c r="AE105" s="72" t="str">
        <f t="shared" si="57"/>
        <v/>
      </c>
      <c r="AF105" s="72" t="str">
        <f t="shared" si="74"/>
        <v/>
      </c>
      <c r="AG105" s="39"/>
      <c r="AH105" s="72" t="str">
        <f t="shared" si="58"/>
        <v/>
      </c>
      <c r="AI105" s="72" t="str">
        <f t="shared" si="75"/>
        <v/>
      </c>
      <c r="AJ105" s="39"/>
      <c r="AK105" s="72" t="str">
        <f t="shared" si="59"/>
        <v/>
      </c>
      <c r="AL105" s="72" t="str">
        <f t="shared" si="76"/>
        <v/>
      </c>
      <c r="AM105" s="39"/>
      <c r="AN105" s="72" t="str">
        <f t="shared" si="60"/>
        <v/>
      </c>
      <c r="AO105" s="72" t="str">
        <f t="shared" si="77"/>
        <v/>
      </c>
      <c r="AP105" s="39"/>
      <c r="AQ105" s="72" t="str">
        <f t="shared" si="61"/>
        <v/>
      </c>
      <c r="AR105" s="72" t="str">
        <f t="shared" si="78"/>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62"/>
        <v/>
      </c>
      <c r="AW105" s="72" t="str">
        <f t="shared" si="79"/>
        <v/>
      </c>
      <c r="AX105" s="39"/>
      <c r="AY105" s="40" t="str">
        <f>IF(ISERROR(IF($K105&lt;=$F$15,VLOOKUP($I105,'表4）CO2価格'!$A$7:$E$67,VLOOKUP($F$48,'表4）CO2価格'!$H$10:$I$12,2,0),0)*$F$8/1000,"")),0,IF($K105&lt;=$F$15,VLOOKUP($I105,'表4）CO2価格'!$A$7:$E$67,VLOOKUP($F$48,'表4）CO2価格'!$H$10:$I$12,2,0),0)*$F$8/1000,""))</f>
        <v/>
      </c>
      <c r="AZ105" s="39"/>
      <c r="BA105" s="42" t="str">
        <f t="shared" si="63"/>
        <v/>
      </c>
      <c r="BB105" s="72" t="str">
        <f t="shared" si="80"/>
        <v/>
      </c>
      <c r="BC105" s="39"/>
      <c r="BD105" s="72" t="str">
        <f t="shared" si="64"/>
        <v/>
      </c>
      <c r="BE105" s="72" t="str">
        <f t="shared" si="81"/>
        <v/>
      </c>
      <c r="BF105" s="39"/>
      <c r="BG105" s="42" t="str">
        <f t="shared" si="65"/>
        <v/>
      </c>
      <c r="BH105" s="72" t="str">
        <f t="shared" si="82"/>
        <v/>
      </c>
      <c r="BI105" s="39"/>
      <c r="BJ105" s="40" t="str">
        <f t="shared" si="83"/>
        <v/>
      </c>
      <c r="BK105" s="157" t="str">
        <f t="shared" si="84"/>
        <v/>
      </c>
      <c r="BL105" s="157" t="str">
        <f t="shared" si="66"/>
        <v/>
      </c>
      <c r="BM105" s="72"/>
      <c r="BN105" s="72" t="str">
        <f t="shared" si="85"/>
        <v/>
      </c>
      <c r="BO105" s="72" t="str">
        <f t="shared" si="86"/>
        <v/>
      </c>
      <c r="BP105" s="39"/>
      <c r="BQ105" s="72" t="str">
        <f t="shared" si="67"/>
        <v/>
      </c>
      <c r="BR105" s="72" t="str">
        <f t="shared" si="87"/>
        <v/>
      </c>
    </row>
    <row r="106" spans="4:70" x14ac:dyDescent="0.15">
      <c r="F106" s="487"/>
      <c r="I106" s="457">
        <f t="shared" si="88"/>
        <v>2121</v>
      </c>
      <c r="J106" s="71"/>
      <c r="K106" s="71">
        <f t="shared" si="89"/>
        <v>92</v>
      </c>
      <c r="L106" s="71"/>
      <c r="M106" s="7">
        <f t="shared" si="52"/>
        <v>6.5913644771878277E-2</v>
      </c>
      <c r="N106" s="71"/>
      <c r="O106" s="10" t="str">
        <f t="shared" si="68"/>
        <v/>
      </c>
      <c r="P106" s="29" t="str">
        <f t="shared" si="53"/>
        <v/>
      </c>
      <c r="Q106" s="71"/>
      <c r="R106" s="10" t="str">
        <f t="shared" si="69"/>
        <v/>
      </c>
      <c r="S106" s="71"/>
      <c r="T106" s="10" t="str">
        <f t="shared" si="70"/>
        <v/>
      </c>
      <c r="U106" s="71"/>
      <c r="V106" s="10" t="str">
        <f t="shared" si="54"/>
        <v/>
      </c>
      <c r="W106" s="10" t="str">
        <f t="shared" si="71"/>
        <v/>
      </c>
      <c r="X106" s="71"/>
      <c r="Y106" s="10" t="str">
        <f t="shared" si="55"/>
        <v/>
      </c>
      <c r="Z106" s="10" t="str">
        <f t="shared" si="72"/>
        <v/>
      </c>
      <c r="AA106" s="71"/>
      <c r="AB106" s="10" t="str">
        <f t="shared" si="56"/>
        <v/>
      </c>
      <c r="AC106" s="10" t="str">
        <f t="shared" si="73"/>
        <v/>
      </c>
      <c r="AD106" s="71"/>
      <c r="AE106" s="10" t="str">
        <f t="shared" si="57"/>
        <v/>
      </c>
      <c r="AF106" s="10" t="str">
        <f t="shared" si="74"/>
        <v/>
      </c>
      <c r="AG106" s="71"/>
      <c r="AH106" s="10" t="str">
        <f t="shared" si="58"/>
        <v/>
      </c>
      <c r="AI106" s="10" t="str">
        <f t="shared" si="75"/>
        <v/>
      </c>
      <c r="AJ106" s="71"/>
      <c r="AK106" s="10" t="str">
        <f t="shared" si="59"/>
        <v/>
      </c>
      <c r="AL106" s="10" t="str">
        <f t="shared" si="76"/>
        <v/>
      </c>
      <c r="AM106" s="71"/>
      <c r="AN106" s="10" t="str">
        <f t="shared" si="60"/>
        <v/>
      </c>
      <c r="AO106" s="10" t="str">
        <f t="shared" si="77"/>
        <v/>
      </c>
      <c r="AP106" s="71"/>
      <c r="AQ106" s="10" t="str">
        <f t="shared" si="61"/>
        <v/>
      </c>
      <c r="AR106" s="10" t="str">
        <f t="shared" si="78"/>
        <v/>
      </c>
      <c r="AS106" s="71"/>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U106" s="71"/>
      <c r="AV106" s="10" t="str">
        <f t="shared" si="62"/>
        <v/>
      </c>
      <c r="AW106" s="10" t="str">
        <f t="shared" si="79"/>
        <v/>
      </c>
      <c r="AX106" s="71"/>
      <c r="AY106" s="7" t="str">
        <f>IF(ISERROR(IF($K106&lt;=$F$15,VLOOKUP($I106,'表4）CO2価格'!$A$7:$E$67,VLOOKUP($F$48,'表4）CO2価格'!$H$10:$I$12,2,0),0)*$F$8/1000,"")),0,IF($K106&lt;=$F$15,VLOOKUP($I106,'表4）CO2価格'!$A$7:$E$67,VLOOKUP($F$48,'表4）CO2価格'!$H$10:$I$12,2,0),0)*$F$8/1000,""))</f>
        <v/>
      </c>
      <c r="AZ106" s="71"/>
      <c r="BA106" s="11" t="str">
        <f t="shared" si="63"/>
        <v/>
      </c>
      <c r="BB106" s="10" t="str">
        <f t="shared" si="80"/>
        <v/>
      </c>
      <c r="BC106" s="71"/>
      <c r="BD106" s="10" t="str">
        <f t="shared" si="64"/>
        <v/>
      </c>
      <c r="BE106" s="10" t="str">
        <f t="shared" si="81"/>
        <v/>
      </c>
      <c r="BF106" s="71"/>
      <c r="BG106" s="11" t="str">
        <f t="shared" si="65"/>
        <v/>
      </c>
      <c r="BH106" s="10" t="str">
        <f t="shared" si="82"/>
        <v/>
      </c>
      <c r="BJ106" s="7" t="str">
        <f t="shared" si="83"/>
        <v/>
      </c>
      <c r="BK106" s="158" t="str">
        <f t="shared" si="84"/>
        <v/>
      </c>
      <c r="BL106" s="158" t="str">
        <f t="shared" si="66"/>
        <v/>
      </c>
      <c r="BM106" s="10"/>
      <c r="BN106" s="10" t="str">
        <f t="shared" si="85"/>
        <v/>
      </c>
      <c r="BO106" s="10" t="str">
        <f t="shared" si="86"/>
        <v/>
      </c>
      <c r="BQ106" s="10" t="str">
        <f t="shared" si="67"/>
        <v/>
      </c>
      <c r="BR106" s="10" t="str">
        <f t="shared" si="87"/>
        <v/>
      </c>
    </row>
    <row r="107" spans="4:70" ht="15" x14ac:dyDescent="0.15">
      <c r="D107" s="103" t="s">
        <v>604</v>
      </c>
      <c r="F107" s="484">
        <f>SUBTOTAL(9,F111:F112)</f>
        <v>0</v>
      </c>
      <c r="G107" s="84" t="s">
        <v>590</v>
      </c>
      <c r="I107" s="38">
        <f t="shared" si="88"/>
        <v>2122</v>
      </c>
      <c r="J107" s="39"/>
      <c r="K107" s="39">
        <f t="shared" si="89"/>
        <v>93</v>
      </c>
      <c r="L107" s="39"/>
      <c r="M107" s="40">
        <f t="shared" si="52"/>
        <v>6.3993829875609989E-2</v>
      </c>
      <c r="N107" s="39"/>
      <c r="O107" s="72" t="str">
        <f t="shared" si="68"/>
        <v/>
      </c>
      <c r="P107" s="41" t="str">
        <f t="shared" si="53"/>
        <v/>
      </c>
      <c r="Q107" s="39"/>
      <c r="R107" s="72" t="str">
        <f t="shared" si="69"/>
        <v/>
      </c>
      <c r="S107" s="39"/>
      <c r="T107" s="72" t="str">
        <f t="shared" si="70"/>
        <v/>
      </c>
      <c r="U107" s="39"/>
      <c r="V107" s="72" t="str">
        <f t="shared" si="54"/>
        <v/>
      </c>
      <c r="W107" s="72" t="str">
        <f t="shared" si="71"/>
        <v/>
      </c>
      <c r="X107" s="39"/>
      <c r="Y107" s="72" t="str">
        <f t="shared" si="55"/>
        <v/>
      </c>
      <c r="Z107" s="72" t="str">
        <f t="shared" si="72"/>
        <v/>
      </c>
      <c r="AA107" s="39"/>
      <c r="AB107" s="72" t="str">
        <f t="shared" si="56"/>
        <v/>
      </c>
      <c r="AC107" s="72" t="str">
        <f t="shared" si="73"/>
        <v/>
      </c>
      <c r="AD107" s="39"/>
      <c r="AE107" s="72" t="str">
        <f t="shared" si="57"/>
        <v/>
      </c>
      <c r="AF107" s="72" t="str">
        <f t="shared" si="74"/>
        <v/>
      </c>
      <c r="AG107" s="39"/>
      <c r="AH107" s="72" t="str">
        <f t="shared" si="58"/>
        <v/>
      </c>
      <c r="AI107" s="72" t="str">
        <f t="shared" si="75"/>
        <v/>
      </c>
      <c r="AJ107" s="39"/>
      <c r="AK107" s="72" t="str">
        <f t="shared" si="59"/>
        <v/>
      </c>
      <c r="AL107" s="72" t="str">
        <f t="shared" si="76"/>
        <v/>
      </c>
      <c r="AM107" s="39"/>
      <c r="AN107" s="72" t="str">
        <f t="shared" si="60"/>
        <v/>
      </c>
      <c r="AO107" s="72" t="str">
        <f t="shared" si="77"/>
        <v/>
      </c>
      <c r="AP107" s="39"/>
      <c r="AQ107" s="72" t="str">
        <f t="shared" si="61"/>
        <v/>
      </c>
      <c r="AR107" s="72" t="str">
        <f t="shared" si="78"/>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62"/>
        <v/>
      </c>
      <c r="AW107" s="72" t="str">
        <f t="shared" si="79"/>
        <v/>
      </c>
      <c r="AX107" s="39"/>
      <c r="AY107" s="40" t="str">
        <f>IF(ISERROR(IF($K107&lt;=$F$15,VLOOKUP($I107,'表4）CO2価格'!$A$7:$E$67,VLOOKUP($F$48,'表4）CO2価格'!$H$10:$I$12,2,0),0)*$F$8/1000,"")),0,IF($K107&lt;=$F$15,VLOOKUP($I107,'表4）CO2価格'!$A$7:$E$67,VLOOKUP($F$48,'表4）CO2価格'!$H$10:$I$12,2,0),0)*$F$8/1000,""))</f>
        <v/>
      </c>
      <c r="AZ107" s="39"/>
      <c r="BA107" s="42" t="str">
        <f t="shared" si="63"/>
        <v/>
      </c>
      <c r="BB107" s="72" t="str">
        <f t="shared" si="80"/>
        <v/>
      </c>
      <c r="BC107" s="39"/>
      <c r="BD107" s="72" t="str">
        <f t="shared" si="64"/>
        <v/>
      </c>
      <c r="BE107" s="72" t="str">
        <f t="shared" si="81"/>
        <v/>
      </c>
      <c r="BF107" s="39"/>
      <c r="BG107" s="42" t="str">
        <f t="shared" si="65"/>
        <v/>
      </c>
      <c r="BH107" s="72" t="str">
        <f t="shared" si="82"/>
        <v/>
      </c>
      <c r="BI107" s="39"/>
      <c r="BJ107" s="40" t="str">
        <f t="shared" si="83"/>
        <v/>
      </c>
      <c r="BK107" s="157" t="str">
        <f t="shared" si="84"/>
        <v/>
      </c>
      <c r="BL107" s="157" t="str">
        <f t="shared" si="66"/>
        <v/>
      </c>
      <c r="BM107" s="72"/>
      <c r="BN107" s="72" t="str">
        <f t="shared" si="85"/>
        <v/>
      </c>
      <c r="BO107" s="72" t="str">
        <f t="shared" si="86"/>
        <v/>
      </c>
      <c r="BP107" s="39"/>
      <c r="BQ107" s="72" t="str">
        <f t="shared" si="67"/>
        <v/>
      </c>
      <c r="BR107" s="72" t="str">
        <f t="shared" si="87"/>
        <v/>
      </c>
    </row>
    <row r="108" spans="4:70" ht="15" x14ac:dyDescent="0.15">
      <c r="D108" s="103"/>
      <c r="F108" s="487"/>
      <c r="I108" s="457">
        <f t="shared" si="88"/>
        <v>2123</v>
      </c>
      <c r="J108" s="71"/>
      <c r="K108" s="71">
        <f t="shared" si="89"/>
        <v>94</v>
      </c>
      <c r="L108" s="71"/>
      <c r="M108" s="7">
        <f t="shared" si="52"/>
        <v>6.212993191806794E-2</v>
      </c>
      <c r="N108" s="71"/>
      <c r="O108" s="10" t="str">
        <f t="shared" si="68"/>
        <v/>
      </c>
      <c r="P108" s="29" t="str">
        <f t="shared" si="53"/>
        <v/>
      </c>
      <c r="Q108" s="71"/>
      <c r="R108" s="10" t="str">
        <f t="shared" si="69"/>
        <v/>
      </c>
      <c r="S108" s="71"/>
      <c r="T108" s="10" t="str">
        <f t="shared" si="70"/>
        <v/>
      </c>
      <c r="U108" s="71"/>
      <c r="V108" s="10" t="str">
        <f t="shared" si="54"/>
        <v/>
      </c>
      <c r="W108" s="10" t="str">
        <f t="shared" si="71"/>
        <v/>
      </c>
      <c r="X108" s="71"/>
      <c r="Y108" s="10" t="str">
        <f t="shared" si="55"/>
        <v/>
      </c>
      <c r="Z108" s="10" t="str">
        <f t="shared" si="72"/>
        <v/>
      </c>
      <c r="AA108" s="71"/>
      <c r="AB108" s="10" t="str">
        <f t="shared" si="56"/>
        <v/>
      </c>
      <c r="AC108" s="10" t="str">
        <f t="shared" si="73"/>
        <v/>
      </c>
      <c r="AD108" s="71"/>
      <c r="AE108" s="10" t="str">
        <f t="shared" si="57"/>
        <v/>
      </c>
      <c r="AF108" s="10" t="str">
        <f t="shared" si="74"/>
        <v/>
      </c>
      <c r="AG108" s="71"/>
      <c r="AH108" s="10" t="str">
        <f t="shared" si="58"/>
        <v/>
      </c>
      <c r="AI108" s="10" t="str">
        <f t="shared" si="75"/>
        <v/>
      </c>
      <c r="AJ108" s="71"/>
      <c r="AK108" s="10" t="str">
        <f t="shared" si="59"/>
        <v/>
      </c>
      <c r="AL108" s="10" t="str">
        <f t="shared" si="76"/>
        <v/>
      </c>
      <c r="AM108" s="71"/>
      <c r="AN108" s="10" t="str">
        <f t="shared" si="60"/>
        <v/>
      </c>
      <c r="AO108" s="10" t="str">
        <f t="shared" si="77"/>
        <v/>
      </c>
      <c r="AP108" s="71"/>
      <c r="AQ108" s="10" t="str">
        <f t="shared" si="61"/>
        <v/>
      </c>
      <c r="AR108" s="10" t="str">
        <f t="shared" si="78"/>
        <v/>
      </c>
      <c r="AS108" s="71"/>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U108" s="71"/>
      <c r="AV108" s="10" t="str">
        <f t="shared" si="62"/>
        <v/>
      </c>
      <c r="AW108" s="10" t="str">
        <f t="shared" si="79"/>
        <v/>
      </c>
      <c r="AX108" s="71"/>
      <c r="AY108" s="7" t="str">
        <f>IF(ISERROR(IF($K108&lt;=$F$15,VLOOKUP($I108,'表4）CO2価格'!$A$7:$E$67,VLOOKUP($F$48,'表4）CO2価格'!$H$10:$I$12,2,0),0)*$F$8/1000,"")),0,IF($K108&lt;=$F$15,VLOOKUP($I108,'表4）CO2価格'!$A$7:$E$67,VLOOKUP($F$48,'表4）CO2価格'!$H$10:$I$12,2,0),0)*$F$8/1000,""))</f>
        <v/>
      </c>
      <c r="AZ108" s="71"/>
      <c r="BA108" s="11" t="str">
        <f t="shared" si="63"/>
        <v/>
      </c>
      <c r="BB108" s="10" t="str">
        <f t="shared" si="80"/>
        <v/>
      </c>
      <c r="BC108" s="71"/>
      <c r="BD108" s="10" t="str">
        <f t="shared" si="64"/>
        <v/>
      </c>
      <c r="BE108" s="10" t="str">
        <f t="shared" si="81"/>
        <v/>
      </c>
      <c r="BF108" s="71"/>
      <c r="BG108" s="11" t="str">
        <f t="shared" si="65"/>
        <v/>
      </c>
      <c r="BH108" s="10" t="str">
        <f t="shared" si="82"/>
        <v/>
      </c>
      <c r="BJ108" s="7" t="str">
        <f t="shared" si="83"/>
        <v/>
      </c>
      <c r="BK108" s="158" t="str">
        <f t="shared" si="84"/>
        <v/>
      </c>
      <c r="BL108" s="158" t="str">
        <f t="shared" si="66"/>
        <v/>
      </c>
      <c r="BM108" s="10"/>
      <c r="BN108" s="10" t="str">
        <f t="shared" si="85"/>
        <v/>
      </c>
      <c r="BO108" s="10" t="str">
        <f t="shared" si="86"/>
        <v/>
      </c>
      <c r="BQ108" s="10" t="str">
        <f t="shared" si="67"/>
        <v/>
      </c>
      <c r="BR108" s="10" t="str">
        <f t="shared" si="87"/>
        <v/>
      </c>
    </row>
    <row r="109" spans="4:70" x14ac:dyDescent="0.15">
      <c r="D109" s="100" t="s">
        <v>605</v>
      </c>
      <c r="E109" s="100"/>
      <c r="F109" s="486"/>
      <c r="G109" s="100"/>
      <c r="I109" s="38">
        <f t="shared" si="88"/>
        <v>2124</v>
      </c>
      <c r="J109" s="39"/>
      <c r="K109" s="39">
        <f t="shared" si="89"/>
        <v>95</v>
      </c>
      <c r="L109" s="39"/>
      <c r="M109" s="40">
        <f t="shared" si="52"/>
        <v>6.0320322250551395E-2</v>
      </c>
      <c r="N109" s="39"/>
      <c r="O109" s="72" t="str">
        <f t="shared" si="68"/>
        <v/>
      </c>
      <c r="P109" s="41" t="str">
        <f t="shared" si="53"/>
        <v/>
      </c>
      <c r="Q109" s="39"/>
      <c r="R109" s="72" t="str">
        <f t="shared" si="69"/>
        <v/>
      </c>
      <c r="S109" s="39"/>
      <c r="T109" s="72" t="str">
        <f t="shared" si="70"/>
        <v/>
      </c>
      <c r="U109" s="39"/>
      <c r="V109" s="72" t="str">
        <f t="shared" si="54"/>
        <v/>
      </c>
      <c r="W109" s="72" t="str">
        <f t="shared" si="71"/>
        <v/>
      </c>
      <c r="X109" s="39"/>
      <c r="Y109" s="72" t="str">
        <f t="shared" si="55"/>
        <v/>
      </c>
      <c r="Z109" s="72" t="str">
        <f t="shared" si="72"/>
        <v/>
      </c>
      <c r="AA109" s="39"/>
      <c r="AB109" s="72" t="str">
        <f t="shared" si="56"/>
        <v/>
      </c>
      <c r="AC109" s="72" t="str">
        <f t="shared" si="73"/>
        <v/>
      </c>
      <c r="AD109" s="39"/>
      <c r="AE109" s="72" t="str">
        <f t="shared" si="57"/>
        <v/>
      </c>
      <c r="AF109" s="72" t="str">
        <f t="shared" si="74"/>
        <v/>
      </c>
      <c r="AG109" s="39"/>
      <c r="AH109" s="72" t="str">
        <f t="shared" si="58"/>
        <v/>
      </c>
      <c r="AI109" s="72" t="str">
        <f t="shared" si="75"/>
        <v/>
      </c>
      <c r="AJ109" s="39"/>
      <c r="AK109" s="72" t="str">
        <f t="shared" si="59"/>
        <v/>
      </c>
      <c r="AL109" s="72" t="str">
        <f t="shared" si="76"/>
        <v/>
      </c>
      <c r="AM109" s="39"/>
      <c r="AN109" s="72" t="str">
        <f t="shared" si="60"/>
        <v/>
      </c>
      <c r="AO109" s="72" t="str">
        <f t="shared" si="77"/>
        <v/>
      </c>
      <c r="AP109" s="39"/>
      <c r="AQ109" s="72" t="str">
        <f t="shared" si="61"/>
        <v/>
      </c>
      <c r="AR109" s="72" t="str">
        <f t="shared" si="78"/>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62"/>
        <v/>
      </c>
      <c r="AW109" s="72" t="str">
        <f t="shared" si="79"/>
        <v/>
      </c>
      <c r="AX109" s="39"/>
      <c r="AY109" s="40" t="str">
        <f>IF(ISERROR(IF($K109&lt;=$F$15,VLOOKUP($I109,'表4）CO2価格'!$A$7:$E$67,VLOOKUP($F$48,'表4）CO2価格'!$H$10:$I$12,2,0),0)*$F$8/1000,"")),0,IF($K109&lt;=$F$15,VLOOKUP($I109,'表4）CO2価格'!$A$7:$E$67,VLOOKUP($F$48,'表4）CO2価格'!$H$10:$I$12,2,0),0)*$F$8/1000,""))</f>
        <v/>
      </c>
      <c r="AZ109" s="39"/>
      <c r="BA109" s="42" t="str">
        <f t="shared" si="63"/>
        <v/>
      </c>
      <c r="BB109" s="72" t="str">
        <f t="shared" si="80"/>
        <v/>
      </c>
      <c r="BC109" s="39"/>
      <c r="BD109" s="72" t="str">
        <f t="shared" si="64"/>
        <v/>
      </c>
      <c r="BE109" s="72" t="str">
        <f t="shared" si="81"/>
        <v/>
      </c>
      <c r="BF109" s="39"/>
      <c r="BG109" s="42" t="str">
        <f t="shared" si="65"/>
        <v/>
      </c>
      <c r="BH109" s="72" t="str">
        <f t="shared" si="82"/>
        <v/>
      </c>
      <c r="BI109" s="39"/>
      <c r="BJ109" s="40" t="str">
        <f t="shared" si="83"/>
        <v/>
      </c>
      <c r="BK109" s="157" t="str">
        <f t="shared" si="84"/>
        <v/>
      </c>
      <c r="BL109" s="157" t="str">
        <f t="shared" si="66"/>
        <v/>
      </c>
      <c r="BM109" s="72"/>
      <c r="BN109" s="72" t="str">
        <f t="shared" si="85"/>
        <v/>
      </c>
      <c r="BO109" s="72" t="str">
        <f t="shared" si="86"/>
        <v/>
      </c>
      <c r="BP109" s="39"/>
      <c r="BQ109" s="72" t="str">
        <f t="shared" si="67"/>
        <v/>
      </c>
      <c r="BR109" s="72" t="str">
        <f t="shared" si="87"/>
        <v/>
      </c>
    </row>
    <row r="110" spans="4:70" ht="15" x14ac:dyDescent="0.15">
      <c r="D110" s="103"/>
      <c r="F110" s="487"/>
      <c r="I110" s="457">
        <f t="shared" si="88"/>
        <v>2125</v>
      </c>
      <c r="J110" s="71"/>
      <c r="K110" s="71">
        <f t="shared" si="89"/>
        <v>96</v>
      </c>
      <c r="L110" s="71"/>
      <c r="M110" s="7">
        <f t="shared" si="52"/>
        <v>5.8563419660729518E-2</v>
      </c>
      <c r="N110" s="71"/>
      <c r="O110" s="10" t="str">
        <f t="shared" si="68"/>
        <v/>
      </c>
      <c r="P110" s="29" t="str">
        <f t="shared" si="53"/>
        <v/>
      </c>
      <c r="Q110" s="71"/>
      <c r="R110" s="10" t="str">
        <f t="shared" si="69"/>
        <v/>
      </c>
      <c r="S110" s="71"/>
      <c r="T110" s="10" t="str">
        <f t="shared" si="70"/>
        <v/>
      </c>
      <c r="U110" s="71"/>
      <c r="V110" s="10" t="str">
        <f t="shared" si="54"/>
        <v/>
      </c>
      <c r="W110" s="10" t="str">
        <f t="shared" si="71"/>
        <v/>
      </c>
      <c r="X110" s="71"/>
      <c r="Y110" s="10" t="str">
        <f t="shared" si="55"/>
        <v/>
      </c>
      <c r="Z110" s="10" t="str">
        <f t="shared" si="72"/>
        <v/>
      </c>
      <c r="AA110" s="71"/>
      <c r="AB110" s="10" t="str">
        <f t="shared" si="56"/>
        <v/>
      </c>
      <c r="AC110" s="10" t="str">
        <f t="shared" si="73"/>
        <v/>
      </c>
      <c r="AD110" s="71"/>
      <c r="AE110" s="10" t="str">
        <f t="shared" si="57"/>
        <v/>
      </c>
      <c r="AF110" s="10" t="str">
        <f t="shared" si="74"/>
        <v/>
      </c>
      <c r="AG110" s="71"/>
      <c r="AH110" s="10" t="str">
        <f t="shared" si="58"/>
        <v/>
      </c>
      <c r="AI110" s="10" t="str">
        <f t="shared" si="75"/>
        <v/>
      </c>
      <c r="AJ110" s="71"/>
      <c r="AK110" s="10" t="str">
        <f t="shared" si="59"/>
        <v/>
      </c>
      <c r="AL110" s="10" t="str">
        <f t="shared" si="76"/>
        <v/>
      </c>
      <c r="AM110" s="71"/>
      <c r="AN110" s="10" t="str">
        <f t="shared" si="60"/>
        <v/>
      </c>
      <c r="AO110" s="10" t="str">
        <f t="shared" si="77"/>
        <v/>
      </c>
      <c r="AP110" s="71"/>
      <c r="AQ110" s="10" t="str">
        <f t="shared" si="61"/>
        <v/>
      </c>
      <c r="AR110" s="10" t="str">
        <f t="shared" si="78"/>
        <v/>
      </c>
      <c r="AS110" s="71"/>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U110" s="71"/>
      <c r="AV110" s="10" t="str">
        <f t="shared" si="62"/>
        <v/>
      </c>
      <c r="AW110" s="10" t="str">
        <f t="shared" si="79"/>
        <v/>
      </c>
      <c r="AX110" s="71"/>
      <c r="AY110" s="7" t="str">
        <f>IF(ISERROR(IF($K110&lt;=$F$15,VLOOKUP($I110,'表4）CO2価格'!$A$7:$E$67,VLOOKUP($F$48,'表4）CO2価格'!$H$10:$I$12,2,0),0)*$F$8/1000,"")),0,IF($K110&lt;=$F$15,VLOOKUP($I110,'表4）CO2価格'!$A$7:$E$67,VLOOKUP($F$48,'表4）CO2価格'!$H$10:$I$12,2,0),0)*$F$8/1000,""))</f>
        <v/>
      </c>
      <c r="AZ110" s="71"/>
      <c r="BA110" s="11" t="str">
        <f t="shared" si="63"/>
        <v/>
      </c>
      <c r="BB110" s="10" t="str">
        <f t="shared" si="80"/>
        <v/>
      </c>
      <c r="BC110" s="71"/>
      <c r="BD110" s="10" t="str">
        <f t="shared" si="64"/>
        <v/>
      </c>
      <c r="BE110" s="10" t="str">
        <f t="shared" si="81"/>
        <v/>
      </c>
      <c r="BF110" s="71"/>
      <c r="BG110" s="11" t="str">
        <f t="shared" si="65"/>
        <v/>
      </c>
      <c r="BH110" s="10" t="str">
        <f t="shared" si="82"/>
        <v/>
      </c>
      <c r="BJ110" s="7" t="str">
        <f t="shared" si="83"/>
        <v/>
      </c>
      <c r="BK110" s="158" t="str">
        <f t="shared" si="84"/>
        <v/>
      </c>
      <c r="BL110" s="158" t="str">
        <f t="shared" si="66"/>
        <v/>
      </c>
      <c r="BM110" s="10"/>
      <c r="BN110" s="10" t="str">
        <f t="shared" si="85"/>
        <v/>
      </c>
      <c r="BO110" s="10" t="str">
        <f t="shared" si="86"/>
        <v/>
      </c>
      <c r="BQ110" s="10" t="str">
        <f t="shared" si="67"/>
        <v/>
      </c>
      <c r="BR110" s="10" t="str">
        <f t="shared" si="87"/>
        <v/>
      </c>
    </row>
    <row r="111" spans="4:70" ht="15" x14ac:dyDescent="0.15">
      <c r="D111" s="103"/>
      <c r="E111" s="84" t="s">
        <v>606</v>
      </c>
      <c r="F111" s="488">
        <f>-BE116/BR116</f>
        <v>0</v>
      </c>
      <c r="G111" s="84" t="s">
        <v>590</v>
      </c>
      <c r="I111" s="38">
        <f t="shared" si="88"/>
        <v>2126</v>
      </c>
      <c r="J111" s="39"/>
      <c r="K111" s="39">
        <f t="shared" si="89"/>
        <v>97</v>
      </c>
      <c r="L111" s="39"/>
      <c r="M111" s="40">
        <f t="shared" si="52"/>
        <v>5.6857688990999529E-2</v>
      </c>
      <c r="N111" s="39"/>
      <c r="O111" s="72" t="str">
        <f t="shared" si="68"/>
        <v/>
      </c>
      <c r="P111" s="41" t="str">
        <f>IF(K111&lt;=$F$15,IF(OR(P110=$F$124,P110="-"),"-",IF(O111*$F$123&gt;$F$127,$F$123,$F$124)),"")</f>
        <v/>
      </c>
      <c r="Q111" s="39"/>
      <c r="R111" s="72" t="str">
        <f t="shared" si="69"/>
        <v/>
      </c>
      <c r="S111" s="39"/>
      <c r="T111" s="72" t="str">
        <f t="shared" si="70"/>
        <v/>
      </c>
      <c r="U111" s="39"/>
      <c r="V111" s="72" t="str">
        <f t="shared" si="54"/>
        <v/>
      </c>
      <c r="W111" s="72" t="str">
        <f t="shared" si="71"/>
        <v/>
      </c>
      <c r="X111" s="39"/>
      <c r="Y111" s="72" t="str">
        <f t="shared" si="55"/>
        <v/>
      </c>
      <c r="Z111" s="72" t="str">
        <f t="shared" si="72"/>
        <v/>
      </c>
      <c r="AA111" s="39"/>
      <c r="AB111" s="72" t="str">
        <f t="shared" si="56"/>
        <v/>
      </c>
      <c r="AC111" s="72" t="str">
        <f t="shared" si="73"/>
        <v/>
      </c>
      <c r="AD111" s="39"/>
      <c r="AE111" s="72" t="str">
        <f t="shared" si="57"/>
        <v/>
      </c>
      <c r="AF111" s="72" t="str">
        <f t="shared" si="74"/>
        <v/>
      </c>
      <c r="AG111" s="39"/>
      <c r="AH111" s="72" t="str">
        <f t="shared" si="58"/>
        <v/>
      </c>
      <c r="AI111" s="72" t="str">
        <f t="shared" si="75"/>
        <v/>
      </c>
      <c r="AJ111" s="39"/>
      <c r="AK111" s="72" t="str">
        <f t="shared" si="59"/>
        <v/>
      </c>
      <c r="AL111" s="72" t="str">
        <f t="shared" si="76"/>
        <v/>
      </c>
      <c r="AM111" s="39"/>
      <c r="AN111" s="72" t="str">
        <f t="shared" si="60"/>
        <v/>
      </c>
      <c r="AO111" s="72" t="str">
        <f t="shared" si="77"/>
        <v/>
      </c>
      <c r="AP111" s="39"/>
      <c r="AQ111" s="72" t="str">
        <f t="shared" si="61"/>
        <v/>
      </c>
      <c r="AR111" s="72" t="str">
        <f t="shared" si="78"/>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62"/>
        <v/>
      </c>
      <c r="AW111" s="72" t="str">
        <f t="shared" si="79"/>
        <v/>
      </c>
      <c r="AX111" s="39"/>
      <c r="AY111" s="40" t="str">
        <f>IF(ISERROR(IF($K111&lt;=$F$15,VLOOKUP($I111,'表4）CO2価格'!$A$7:$E$67,VLOOKUP($F$48,'表4）CO2価格'!$H$10:$I$12,2,0),0)*$F$8/1000,"")),0,IF($K111&lt;=$F$15,VLOOKUP($I111,'表4）CO2価格'!$A$7:$E$67,VLOOKUP($F$48,'表4）CO2価格'!$H$10:$I$12,2,0),0)*$F$8/1000,""))</f>
        <v/>
      </c>
      <c r="AZ111" s="39"/>
      <c r="BA111" s="42" t="str">
        <f t="shared" si="63"/>
        <v/>
      </c>
      <c r="BB111" s="72" t="str">
        <f t="shared" si="80"/>
        <v/>
      </c>
      <c r="BC111" s="39"/>
      <c r="BD111" s="72" t="str">
        <f t="shared" si="64"/>
        <v/>
      </c>
      <c r="BE111" s="72" t="str">
        <f t="shared" si="81"/>
        <v/>
      </c>
      <c r="BF111" s="39"/>
      <c r="BG111" s="42" t="str">
        <f t="shared" si="65"/>
        <v/>
      </c>
      <c r="BH111" s="72" t="str">
        <f t="shared" si="82"/>
        <v/>
      </c>
      <c r="BI111" s="39"/>
      <c r="BJ111" s="40" t="str">
        <f t="shared" si="83"/>
        <v/>
      </c>
      <c r="BK111" s="157" t="str">
        <f t="shared" si="84"/>
        <v/>
      </c>
      <c r="BL111" s="157" t="str">
        <f t="shared" si="66"/>
        <v/>
      </c>
      <c r="BM111" s="72"/>
      <c r="BN111" s="72" t="str">
        <f t="shared" si="85"/>
        <v/>
      </c>
      <c r="BO111" s="72" t="str">
        <f t="shared" si="86"/>
        <v/>
      </c>
      <c r="BP111" s="39"/>
      <c r="BQ111" s="72" t="str">
        <f t="shared" si="67"/>
        <v/>
      </c>
      <c r="BR111" s="72" t="str">
        <f t="shared" si="87"/>
        <v/>
      </c>
    </row>
    <row r="112" spans="4:70" ht="15" x14ac:dyDescent="0.15">
      <c r="D112" s="103"/>
      <c r="E112" s="84" t="s">
        <v>607</v>
      </c>
      <c r="F112" s="488">
        <f>-BH116/BR116</f>
        <v>0</v>
      </c>
      <c r="G112" s="84" t="s">
        <v>590</v>
      </c>
      <c r="I112" s="457">
        <f t="shared" si="88"/>
        <v>2127</v>
      </c>
      <c r="J112" s="71"/>
      <c r="K112" s="71">
        <f t="shared" si="89"/>
        <v>98</v>
      </c>
      <c r="L112" s="71"/>
      <c r="M112" s="7">
        <f t="shared" si="52"/>
        <v>5.5201639797086935E-2</v>
      </c>
      <c r="N112" s="71"/>
      <c r="O112" s="10" t="str">
        <f t="shared" si="68"/>
        <v/>
      </c>
      <c r="P112" s="29" t="str">
        <f>IF(K112&lt;=$F$15,IF(OR(P111=$F$124,P111="-"),"-",IF(O112*$F$123&gt;$F$127,$F$123,$F$124)),"")</f>
        <v/>
      </c>
      <c r="Q112" s="71"/>
      <c r="R112" s="10" t="str">
        <f t="shared" si="69"/>
        <v/>
      </c>
      <c r="S112" s="71"/>
      <c r="T112" s="10" t="str">
        <f t="shared" si="70"/>
        <v/>
      </c>
      <c r="U112" s="71"/>
      <c r="V112" s="10" t="str">
        <f t="shared" si="54"/>
        <v/>
      </c>
      <c r="W112" s="10" t="str">
        <f t="shared" si="71"/>
        <v/>
      </c>
      <c r="X112" s="71"/>
      <c r="Y112" s="10" t="str">
        <f t="shared" si="55"/>
        <v/>
      </c>
      <c r="Z112" s="10" t="str">
        <f t="shared" si="72"/>
        <v/>
      </c>
      <c r="AA112" s="71"/>
      <c r="AB112" s="10" t="str">
        <f t="shared" si="56"/>
        <v/>
      </c>
      <c r="AC112" s="10" t="str">
        <f t="shared" si="73"/>
        <v/>
      </c>
      <c r="AD112" s="71"/>
      <c r="AE112" s="10" t="str">
        <f t="shared" si="57"/>
        <v/>
      </c>
      <c r="AF112" s="10" t="str">
        <f t="shared" si="74"/>
        <v/>
      </c>
      <c r="AG112" s="71"/>
      <c r="AH112" s="10" t="str">
        <f t="shared" si="58"/>
        <v/>
      </c>
      <c r="AI112" s="10" t="str">
        <f t="shared" si="75"/>
        <v/>
      </c>
      <c r="AJ112" s="71"/>
      <c r="AK112" s="10" t="str">
        <f t="shared" si="59"/>
        <v/>
      </c>
      <c r="AL112" s="10" t="str">
        <f t="shared" si="76"/>
        <v/>
      </c>
      <c r="AM112" s="71"/>
      <c r="AN112" s="10" t="str">
        <f t="shared" si="60"/>
        <v/>
      </c>
      <c r="AO112" s="10" t="str">
        <f t="shared" si="77"/>
        <v/>
      </c>
      <c r="AP112" s="71"/>
      <c r="AQ112" s="10" t="str">
        <f t="shared" si="61"/>
        <v/>
      </c>
      <c r="AR112" s="10" t="str">
        <f t="shared" si="78"/>
        <v/>
      </c>
      <c r="AS112" s="71"/>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U112" s="71"/>
      <c r="AV112" s="10" t="str">
        <f t="shared" si="62"/>
        <v/>
      </c>
      <c r="AW112" s="10" t="str">
        <f t="shared" si="79"/>
        <v/>
      </c>
      <c r="AX112" s="71"/>
      <c r="AY112" s="7" t="str">
        <f>IF(ISERROR(IF($K112&lt;=$F$15,VLOOKUP($I112,'表4）CO2価格'!$A$7:$E$67,VLOOKUP($F$48,'表4）CO2価格'!$H$10:$I$12,2,0),0)*$F$8/1000,"")),0,IF($K112&lt;=$F$15,VLOOKUP($I112,'表4）CO2価格'!$A$7:$E$67,VLOOKUP($F$48,'表4）CO2価格'!$H$10:$I$12,2,0),0)*$F$8/1000,""))</f>
        <v/>
      </c>
      <c r="AZ112" s="71"/>
      <c r="BA112" s="11" t="str">
        <f t="shared" si="63"/>
        <v/>
      </c>
      <c r="BB112" s="10" t="str">
        <f t="shared" si="80"/>
        <v/>
      </c>
      <c r="BC112" s="71"/>
      <c r="BD112" s="10" t="str">
        <f t="shared" si="64"/>
        <v/>
      </c>
      <c r="BE112" s="10" t="str">
        <f t="shared" si="81"/>
        <v/>
      </c>
      <c r="BF112" s="71"/>
      <c r="BG112" s="11" t="str">
        <f t="shared" si="65"/>
        <v/>
      </c>
      <c r="BH112" s="10" t="str">
        <f t="shared" si="82"/>
        <v/>
      </c>
      <c r="BJ112" s="7" t="str">
        <f t="shared" si="83"/>
        <v/>
      </c>
      <c r="BK112" s="158" t="str">
        <f t="shared" si="84"/>
        <v/>
      </c>
      <c r="BL112" s="158" t="str">
        <f t="shared" si="66"/>
        <v/>
      </c>
      <c r="BM112" s="10"/>
      <c r="BN112" s="10" t="str">
        <f t="shared" si="85"/>
        <v/>
      </c>
      <c r="BO112" s="10" t="str">
        <f t="shared" si="86"/>
        <v/>
      </c>
      <c r="BQ112" s="10" t="str">
        <f t="shared" si="67"/>
        <v/>
      </c>
      <c r="BR112" s="10" t="str">
        <f t="shared" si="87"/>
        <v/>
      </c>
    </row>
    <row r="113" spans="2:70" x14ac:dyDescent="0.15">
      <c r="I113" s="38">
        <f t="shared" si="88"/>
        <v>2128</v>
      </c>
      <c r="J113" s="39"/>
      <c r="K113" s="39">
        <f t="shared" si="89"/>
        <v>99</v>
      </c>
      <c r="L113" s="39"/>
      <c r="M113" s="40">
        <f t="shared" si="52"/>
        <v>5.3593825045715457E-2</v>
      </c>
      <c r="N113" s="39"/>
      <c r="O113" s="72" t="str">
        <f t="shared" si="68"/>
        <v/>
      </c>
      <c r="P113" s="41" t="str">
        <f>IF(K113&lt;=$F$15,IF(OR(P112=$F$124,P112="-"),"-",IF(O113*$F$123&gt;$F$127,$F$123,$F$124)),"")</f>
        <v/>
      </c>
      <c r="Q113" s="39"/>
      <c r="R113" s="72" t="str">
        <f t="shared" si="69"/>
        <v/>
      </c>
      <c r="S113" s="39"/>
      <c r="T113" s="72" t="str">
        <f t="shared" si="70"/>
        <v/>
      </c>
      <c r="U113" s="39"/>
      <c r="V113" s="72" t="str">
        <f t="shared" si="54"/>
        <v/>
      </c>
      <c r="W113" s="72" t="str">
        <f t="shared" si="71"/>
        <v/>
      </c>
      <c r="X113" s="39"/>
      <c r="Y113" s="72" t="str">
        <f t="shared" si="55"/>
        <v/>
      </c>
      <c r="Z113" s="72" t="str">
        <f t="shared" si="72"/>
        <v/>
      </c>
      <c r="AA113" s="39"/>
      <c r="AB113" s="72" t="str">
        <f t="shared" si="56"/>
        <v/>
      </c>
      <c r="AC113" s="72" t="str">
        <f t="shared" si="73"/>
        <v/>
      </c>
      <c r="AD113" s="39"/>
      <c r="AE113" s="72" t="str">
        <f t="shared" si="57"/>
        <v/>
      </c>
      <c r="AF113" s="72" t="str">
        <f t="shared" si="74"/>
        <v/>
      </c>
      <c r="AG113" s="39"/>
      <c r="AH113" s="72" t="str">
        <f t="shared" si="58"/>
        <v/>
      </c>
      <c r="AI113" s="72" t="str">
        <f t="shared" si="75"/>
        <v/>
      </c>
      <c r="AJ113" s="39"/>
      <c r="AK113" s="72" t="str">
        <f t="shared" si="59"/>
        <v/>
      </c>
      <c r="AL113" s="72" t="str">
        <f t="shared" si="76"/>
        <v/>
      </c>
      <c r="AM113" s="39"/>
      <c r="AN113" s="72" t="str">
        <f t="shared" si="60"/>
        <v/>
      </c>
      <c r="AO113" s="72" t="str">
        <f t="shared" si="77"/>
        <v/>
      </c>
      <c r="AP113" s="39"/>
      <c r="AQ113" s="72" t="str">
        <f t="shared" si="61"/>
        <v/>
      </c>
      <c r="AR113" s="72" t="str">
        <f t="shared" si="78"/>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62"/>
        <v/>
      </c>
      <c r="AW113" s="72" t="str">
        <f t="shared" si="79"/>
        <v/>
      </c>
      <c r="AX113" s="39"/>
      <c r="AY113" s="40" t="str">
        <f>IF(ISERROR(IF($K113&lt;=$F$15,VLOOKUP($I113,'表4）CO2価格'!$A$7:$E$67,VLOOKUP($F$48,'表4）CO2価格'!$H$10:$I$12,2,0),0)*$F$8/1000,"")),0,IF($K113&lt;=$F$15,VLOOKUP($I113,'表4）CO2価格'!$A$7:$E$67,VLOOKUP($F$48,'表4）CO2価格'!$H$10:$I$12,2,0),0)*$F$8/1000,""))</f>
        <v/>
      </c>
      <c r="AZ113" s="39"/>
      <c r="BA113" s="42" t="str">
        <f t="shared" si="63"/>
        <v/>
      </c>
      <c r="BB113" s="72" t="str">
        <f t="shared" si="80"/>
        <v/>
      </c>
      <c r="BC113" s="39"/>
      <c r="BD113" s="72" t="str">
        <f t="shared" si="64"/>
        <v/>
      </c>
      <c r="BE113" s="72" t="str">
        <f t="shared" si="81"/>
        <v/>
      </c>
      <c r="BF113" s="39"/>
      <c r="BG113" s="42" t="str">
        <f t="shared" si="65"/>
        <v/>
      </c>
      <c r="BH113" s="72" t="str">
        <f t="shared" si="82"/>
        <v/>
      </c>
      <c r="BI113" s="39"/>
      <c r="BJ113" s="40" t="str">
        <f t="shared" si="83"/>
        <v/>
      </c>
      <c r="BK113" s="157" t="str">
        <f t="shared" si="84"/>
        <v/>
      </c>
      <c r="BL113" s="157" t="str">
        <f t="shared" si="66"/>
        <v/>
      </c>
      <c r="BM113" s="72"/>
      <c r="BN113" s="72" t="str">
        <f t="shared" si="85"/>
        <v/>
      </c>
      <c r="BO113" s="72" t="str">
        <f t="shared" si="86"/>
        <v/>
      </c>
      <c r="BP113" s="39"/>
      <c r="BQ113" s="72" t="str">
        <f t="shared" si="67"/>
        <v/>
      </c>
      <c r="BR113" s="72" t="str">
        <f t="shared" si="87"/>
        <v/>
      </c>
    </row>
    <row r="114" spans="2:70" x14ac:dyDescent="0.15">
      <c r="I114" s="457">
        <f t="shared" si="88"/>
        <v>2129</v>
      </c>
      <c r="J114" s="71"/>
      <c r="K114" s="71">
        <f t="shared" si="89"/>
        <v>100</v>
      </c>
      <c r="L114" s="71"/>
      <c r="M114" s="7">
        <f t="shared" si="52"/>
        <v>5.2032839850209185E-2</v>
      </c>
      <c r="N114" s="71"/>
      <c r="O114" s="10" t="str">
        <f t="shared" si="68"/>
        <v/>
      </c>
      <c r="P114" s="29" t="str">
        <f>IF(K114&lt;=$F$15,IF(OR(P113=$F$124,P113="-"),"-",IF(O114*$F$123&gt;$F$127,$F$123,$F$124)),"")</f>
        <v/>
      </c>
      <c r="Q114" s="71"/>
      <c r="R114" s="10" t="str">
        <f t="shared" si="69"/>
        <v/>
      </c>
      <c r="S114" s="71"/>
      <c r="T114" s="10" t="str">
        <f t="shared" si="70"/>
        <v/>
      </c>
      <c r="U114" s="71"/>
      <c r="V114" s="10" t="str">
        <f t="shared" si="54"/>
        <v/>
      </c>
      <c r="W114" s="10" t="str">
        <f t="shared" si="71"/>
        <v/>
      </c>
      <c r="X114" s="71"/>
      <c r="Y114" s="10" t="str">
        <f t="shared" si="55"/>
        <v/>
      </c>
      <c r="Z114" s="10" t="str">
        <f t="shared" si="72"/>
        <v/>
      </c>
      <c r="AA114" s="71"/>
      <c r="AB114" s="10" t="str">
        <f t="shared" si="56"/>
        <v/>
      </c>
      <c r="AC114" s="10" t="str">
        <f t="shared" si="73"/>
        <v/>
      </c>
      <c r="AD114" s="71"/>
      <c r="AE114" s="10" t="str">
        <f t="shared" si="57"/>
        <v/>
      </c>
      <c r="AF114" s="10" t="str">
        <f t="shared" si="74"/>
        <v/>
      </c>
      <c r="AG114" s="71"/>
      <c r="AH114" s="10" t="str">
        <f t="shared" si="58"/>
        <v/>
      </c>
      <c r="AI114" s="10" t="str">
        <f t="shared" si="75"/>
        <v/>
      </c>
      <c r="AJ114" s="71"/>
      <c r="AK114" s="10" t="str">
        <f t="shared" si="59"/>
        <v/>
      </c>
      <c r="AL114" s="10" t="str">
        <f t="shared" si="76"/>
        <v/>
      </c>
      <c r="AM114" s="71"/>
      <c r="AN114" s="10" t="str">
        <f t="shared" si="60"/>
        <v/>
      </c>
      <c r="AO114" s="10" t="str">
        <f t="shared" si="77"/>
        <v/>
      </c>
      <c r="AP114" s="71"/>
      <c r="AQ114" s="10" t="str">
        <f t="shared" si="61"/>
        <v/>
      </c>
      <c r="AR114" s="10" t="str">
        <f t="shared" si="78"/>
        <v/>
      </c>
      <c r="AS114" s="71"/>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U114" s="71"/>
      <c r="AV114" s="10" t="str">
        <f t="shared" si="62"/>
        <v/>
      </c>
      <c r="AW114" s="10" t="str">
        <f t="shared" si="79"/>
        <v/>
      </c>
      <c r="AX114" s="71"/>
      <c r="AY114" s="7" t="str">
        <f>IF(ISERROR(IF($K114&lt;=$F$15,VLOOKUP($I114,'表4）CO2価格'!$A$7:$E$67,VLOOKUP($F$48,'表4）CO2価格'!$H$10:$I$12,2,0),0)*$F$8/1000,"")),0,IF($K114&lt;=$F$15,VLOOKUP($I114,'表4）CO2価格'!$A$7:$E$67,VLOOKUP($F$48,'表4）CO2価格'!$H$10:$I$12,2,0),0)*$F$8/1000,""))</f>
        <v/>
      </c>
      <c r="AZ114" s="71"/>
      <c r="BA114" s="11" t="str">
        <f t="shared" si="63"/>
        <v/>
      </c>
      <c r="BB114" s="10" t="str">
        <f t="shared" si="80"/>
        <v/>
      </c>
      <c r="BC114" s="71"/>
      <c r="BD114" s="10" t="str">
        <f t="shared" si="64"/>
        <v/>
      </c>
      <c r="BE114" s="10" t="str">
        <f t="shared" si="81"/>
        <v/>
      </c>
      <c r="BF114" s="71"/>
      <c r="BG114" s="11" t="str">
        <f t="shared" si="65"/>
        <v/>
      </c>
      <c r="BH114" s="10" t="str">
        <f t="shared" si="82"/>
        <v/>
      </c>
      <c r="BJ114" s="7" t="str">
        <f t="shared" si="83"/>
        <v/>
      </c>
      <c r="BK114" s="158" t="str">
        <f t="shared" si="84"/>
        <v/>
      </c>
      <c r="BL114" s="158" t="str">
        <f t="shared" si="66"/>
        <v/>
      </c>
      <c r="BM114" s="10"/>
      <c r="BN114" s="10" t="str">
        <f t="shared" si="85"/>
        <v/>
      </c>
      <c r="BO114" s="10" t="str">
        <f t="shared" si="86"/>
        <v/>
      </c>
      <c r="BQ114" s="10" t="str">
        <f t="shared" si="67"/>
        <v/>
      </c>
      <c r="BR114" s="10" t="str">
        <f t="shared" si="87"/>
        <v/>
      </c>
    </row>
    <row r="115" spans="2:70" ht="15.75" thickBot="1" x14ac:dyDescent="0.2">
      <c r="B115" s="5" t="s">
        <v>608</v>
      </c>
      <c r="C115" s="3"/>
      <c r="D115" s="102"/>
      <c r="E115" s="102"/>
      <c r="F115" s="3"/>
      <c r="G115" s="102"/>
      <c r="I115" s="456"/>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71" t="s">
        <v>609</v>
      </c>
      <c r="J116" s="71"/>
      <c r="K116" s="71"/>
      <c r="L116" s="71"/>
      <c r="M116" s="71"/>
      <c r="N116" s="71"/>
      <c r="O116" s="71"/>
      <c r="P116" s="71"/>
      <c r="Q116" s="71"/>
      <c r="R116" s="71"/>
      <c r="S116" s="71"/>
      <c r="T116" s="71"/>
      <c r="U116" s="71"/>
      <c r="V116" s="71"/>
      <c r="W116" s="11"/>
      <c r="X116" s="71"/>
      <c r="Y116" s="71"/>
      <c r="Z116" s="11">
        <f>SUM(Z15:Z114)</f>
        <v>19575094.367452107</v>
      </c>
      <c r="AA116" s="71"/>
      <c r="AB116" s="71"/>
      <c r="AC116" s="11">
        <f>SUM(AC15:AC114)</f>
        <v>2678652.0067614191</v>
      </c>
      <c r="AD116" s="71"/>
      <c r="AE116" s="71"/>
      <c r="AF116" s="11">
        <f>SUM(AF15:AF114)</f>
        <v>6009840.7132936772</v>
      </c>
      <c r="AG116" s="71"/>
      <c r="AH116" s="71"/>
      <c r="AI116" s="11">
        <f>SUM(AI15:AI114)</f>
        <v>161803403.81944516</v>
      </c>
      <c r="AJ116" s="71"/>
      <c r="AK116" s="71"/>
      <c r="AL116" s="11">
        <f>SUM(AL15:AL114)</f>
        <v>124819768.66071485</v>
      </c>
      <c r="AM116" s="71"/>
      <c r="AN116" s="71"/>
      <c r="AO116" s="11">
        <f>SUM(AO15:AO114)</f>
        <v>0</v>
      </c>
      <c r="AP116" s="71"/>
      <c r="AQ116" s="71"/>
      <c r="AR116" s="11">
        <f>SUM(AR15:AR114)</f>
        <v>40127244.147222415</v>
      </c>
      <c r="AS116" s="71"/>
      <c r="AT116" s="71"/>
      <c r="AU116" s="71"/>
      <c r="AV116" s="71"/>
      <c r="AW116" s="11">
        <f>SUM(AW15:AW114)</f>
        <v>0</v>
      </c>
      <c r="AX116" s="71"/>
      <c r="AY116" s="71"/>
      <c r="AZ116" s="71"/>
      <c r="BA116" s="71"/>
      <c r="BB116" s="11">
        <f>SUM(BB15:BB114)</f>
        <v>0</v>
      </c>
      <c r="BC116" s="71"/>
      <c r="BD116" s="71"/>
      <c r="BE116" s="11">
        <f>SUM(BE15:BE114)</f>
        <v>0</v>
      </c>
      <c r="BF116" s="71"/>
      <c r="BG116" s="71"/>
      <c r="BH116" s="11">
        <f>SUM(BH15:BH114)</f>
        <v>0</v>
      </c>
      <c r="BK116" s="11">
        <f>SUM(BK15:BK114)</f>
        <v>169088936.73835239</v>
      </c>
      <c r="BL116" s="11">
        <f>SUM(BL15:BL114)</f>
        <v>11136427.774886588</v>
      </c>
      <c r="BO116" s="11">
        <f>SUM(BO15:BO114)</f>
        <v>490235500.91846627</v>
      </c>
      <c r="BQ116" s="71"/>
      <c r="BR116" s="11">
        <f>SUM(BR15:BR114)</f>
        <v>24298248.299285818</v>
      </c>
    </row>
    <row r="117" spans="2:70" x14ac:dyDescent="0.15">
      <c r="C117" s="71" t="s">
        <v>610</v>
      </c>
      <c r="F117" s="490">
        <f>F21*10^4*F13*10^4+F29*10^8</f>
        <v>180000000</v>
      </c>
      <c r="G117" s="84" t="s">
        <v>611</v>
      </c>
      <c r="I117" s="184" t="s">
        <v>145</v>
      </c>
      <c r="J117" s="71"/>
      <c r="K117" s="71"/>
      <c r="L117" s="71"/>
      <c r="M117" s="71"/>
      <c r="N117" s="71"/>
      <c r="O117" s="71"/>
      <c r="P117" s="71"/>
      <c r="Q117" s="71"/>
      <c r="R117" s="71"/>
      <c r="S117" s="71"/>
      <c r="T117" s="71"/>
      <c r="U117" s="71"/>
      <c r="V117" s="71"/>
      <c r="W117" s="11"/>
      <c r="X117" s="71"/>
      <c r="Y117" s="71"/>
      <c r="Z117" s="11">
        <f ca="1">IF(ISNUMBER($F$16),SUM(INDIRECT(ADDRESS($F$16+15,COLUMN())):INDIRECT(ADDRESS(114,COLUMN()))),"")</f>
        <v>1426836.8477276133</v>
      </c>
      <c r="AA117" s="71"/>
      <c r="AB117" s="71"/>
      <c r="AC117" s="11">
        <f ca="1">IF(ISNUMBER($F$16),SUM(INDIRECT(ADDRESS($F$16+15,COLUMN())):INDIRECT(ADDRESS(114,COLUMN()))),"")</f>
        <v>2678652.0067614191</v>
      </c>
      <c r="AD117" s="71"/>
      <c r="AE117" s="71"/>
      <c r="AF117" s="11">
        <f ca="1">IF(ISNUMBER($F$16),SUM(INDIRECT(ADDRESS($F$16+15,COLUMN())):INDIRECT(ADDRESS(114,COLUMN()))),"")</f>
        <v>2141697.2495752452</v>
      </c>
      <c r="AG117" s="71"/>
      <c r="AH117" s="71"/>
      <c r="AI117" s="11">
        <f ca="1">IF(ISNUMBER($F$16),SUM(INDIRECT(ADDRESS($F$16+15,COLUMN())):INDIRECT(ADDRESS(114,COLUMN()))),"")</f>
        <v>57661079.796256617</v>
      </c>
      <c r="AJ117" s="71"/>
      <c r="AK117" s="71"/>
      <c r="AL117" s="11">
        <f ca="1">IF(ISNUMBER($F$16),SUM(INDIRECT(ADDRESS($F$16+15,COLUMN())):INDIRECT(ADDRESS(114,COLUMN()))),"")</f>
        <v>44481404.414255083</v>
      </c>
      <c r="AM117" s="71"/>
      <c r="AN117" s="71"/>
      <c r="AO117" s="11">
        <f ca="1">IF(ISNUMBER($F$16),SUM(INDIRECT(ADDRESS($F$16+15,COLUMN())):INDIRECT(ADDRESS(114,COLUMN()))),"")</f>
        <v>0</v>
      </c>
      <c r="AP117" s="71"/>
      <c r="AQ117" s="71"/>
      <c r="AR117" s="11">
        <f ca="1">IF(ISNUMBER($F$16),SUM(INDIRECT(ADDRESS($F$16+15,COLUMN())):INDIRECT(ADDRESS(114,COLUMN()))),"")</f>
        <v>14299947.789471639</v>
      </c>
      <c r="AS117" s="71"/>
      <c r="AT117" s="71"/>
      <c r="AU117" s="71"/>
      <c r="AV117" s="71"/>
      <c r="AW117" s="11">
        <f ca="1">IF(ISNUMBER($F$16),SUM(INDIRECT(ADDRESS($F$16+15,COLUMN())):INDIRECT(ADDRESS(114,COLUMN()))),"")</f>
        <v>0</v>
      </c>
      <c r="AX117" s="71"/>
      <c r="AY117" s="71"/>
      <c r="AZ117" s="71"/>
      <c r="BA117" s="71"/>
      <c r="BB117" s="11">
        <f ca="1">IF(ISNUMBER($F$16),SUM(INDIRECT(ADDRESS($F$16+15,COLUMN())):INDIRECT(ADDRESS(114,COLUMN()))),"")</f>
        <v>0</v>
      </c>
      <c r="BC117" s="71"/>
      <c r="BD117" s="71"/>
      <c r="BE117" s="11">
        <f ca="1">IF(ISNUMBER($F$16),SUM(INDIRECT(ADDRESS($F$16+15,COLUMN())):INDIRECT(ADDRESS(114,COLUMN()))),"")</f>
        <v>0</v>
      </c>
      <c r="BF117" s="71"/>
      <c r="BG117" s="71"/>
      <c r="BH117" s="11">
        <f ca="1">IF(ISNUMBER($F$16),SUM(INDIRECT(ADDRESS($F$16+15,COLUMN())):INDIRECT(ADDRESS(114,COLUMN()))),"")</f>
        <v>0</v>
      </c>
      <c r="BK117" s="11">
        <f ca="1">IF(ISNUMBER($F$16),SUM(INDIRECT(ADDRESS($F$16+15,COLUMN())):INDIRECT(ADDRESS(114,COLUMN()))),"")</f>
        <v>2173617.7806774001</v>
      </c>
      <c r="BL117" s="11">
        <f ca="1">IF(ISNUMBER($F$16),SUM(INDIRECT(ADDRESS($F$16+15,COLUMN())):INDIRECT(ADDRESS(114,COLUMN()))),"")</f>
        <v>0</v>
      </c>
      <c r="BO117" s="11">
        <f ca="1">IF(ISNUMBER($F$16),SUM(INDIRECT(ADDRESS($F$16+15,COLUMN())):INDIRECT(ADDRESS(114,COLUMN()))),"")</f>
        <v>0</v>
      </c>
      <c r="BQ117" s="71"/>
      <c r="BR117" s="11">
        <f ca="1">IF(ISNUMBER($F$16),SUM(INDIRECT(ADDRESS($F$16+15,COLUMN())):INDIRECT(ADDRESS(114,COLUMN()))),"")</f>
        <v>8659046.7259749919</v>
      </c>
    </row>
    <row r="119" spans="2:70" x14ac:dyDescent="0.15">
      <c r="C119" s="71" t="s">
        <v>612</v>
      </c>
      <c r="F119" s="490">
        <f>VLOOKUP(F3,'表2）法定耐用年数'!$A$2:$B$24,2,0)</f>
        <v>22</v>
      </c>
      <c r="G119" s="84" t="s">
        <v>556</v>
      </c>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Q119" s="71"/>
      <c r="BR119" s="71"/>
    </row>
    <row r="121" spans="2:70" x14ac:dyDescent="0.15">
      <c r="C121" s="4" t="s">
        <v>613</v>
      </c>
      <c r="D121" s="100"/>
      <c r="E121" s="100"/>
      <c r="F121" s="4"/>
      <c r="G121" s="100"/>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Q121" s="71"/>
      <c r="BR121" s="71"/>
    </row>
    <row r="123" spans="2:70" x14ac:dyDescent="0.15">
      <c r="D123" s="84" t="s">
        <v>614</v>
      </c>
      <c r="F123" s="491">
        <f>VLOOKUP($F$119,'表1）減価償却率表'!$A$9:$E$107,3,0)</f>
        <v>0.114</v>
      </c>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Q123" s="71"/>
      <c r="BR123" s="71"/>
    </row>
    <row r="124" spans="2:70" x14ac:dyDescent="0.15">
      <c r="D124" s="84" t="s">
        <v>615</v>
      </c>
      <c r="F124" s="491">
        <f>VLOOKUP($F$119,'表1）減価償却率表'!$A$9:$E$107,4,0)</f>
        <v>0.125</v>
      </c>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Q124" s="71"/>
      <c r="BR124" s="71"/>
    </row>
    <row r="125" spans="2:70" x14ac:dyDescent="0.15">
      <c r="D125" s="84" t="s">
        <v>616</v>
      </c>
      <c r="F125" s="474">
        <f>VLOOKUP($F$119,'表1）減価償却率表'!$A$9:$E$107,5,0)</f>
        <v>2.2960000000000001E-2</v>
      </c>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Q125" s="71"/>
      <c r="BR125" s="71"/>
    </row>
    <row r="126" spans="2:70" x14ac:dyDescent="0.15">
      <c r="F126" s="492"/>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Q126" s="71"/>
      <c r="BR126" s="71"/>
    </row>
    <row r="127" spans="2:70" x14ac:dyDescent="0.15">
      <c r="C127" s="8" t="s">
        <v>617</v>
      </c>
      <c r="D127" s="493"/>
      <c r="E127" s="494"/>
      <c r="F127" s="490">
        <f>F117*F125</f>
        <v>4132800</v>
      </c>
      <c r="G127" s="84" t="s">
        <v>611</v>
      </c>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Q127" s="71"/>
      <c r="BR127" s="71"/>
    </row>
    <row r="129" spans="3:7" x14ac:dyDescent="0.15">
      <c r="C129" s="8" t="s">
        <v>152</v>
      </c>
      <c r="D129" s="493"/>
      <c r="E129" s="493"/>
      <c r="F129" s="491">
        <f>0.1^(1/F119)</f>
        <v>0.90062802021127852</v>
      </c>
      <c r="G129" s="493"/>
    </row>
    <row r="131" spans="3:7" x14ac:dyDescent="0.15">
      <c r="C131" s="4" t="s">
        <v>618</v>
      </c>
      <c r="D131" s="100"/>
      <c r="E131" s="100"/>
      <c r="F131" s="4"/>
      <c r="G131" s="100"/>
    </row>
    <row r="133" spans="3:7" x14ac:dyDescent="0.15">
      <c r="D133" s="84" t="s">
        <v>619</v>
      </c>
      <c r="F133" s="490">
        <f>F13*10000*24*365*F14/100</f>
        <v>1051200</v>
      </c>
      <c r="G133" s="84" t="s">
        <v>620</v>
      </c>
    </row>
    <row r="134" spans="3:7" x14ac:dyDescent="0.15">
      <c r="D134" s="84" t="s">
        <v>621</v>
      </c>
      <c r="F134" s="490">
        <f>F133*(1-F24/100)</f>
        <v>1051200</v>
      </c>
      <c r="G134" s="84" t="s">
        <v>620</v>
      </c>
    </row>
    <row r="135" spans="3:7" x14ac:dyDescent="0.15">
      <c r="F135" s="495"/>
    </row>
    <row r="137" spans="3:7" ht="16.5" x14ac:dyDescent="0.15">
      <c r="C137" s="71" t="s">
        <v>622</v>
      </c>
      <c r="F137" s="490">
        <f>IF(ISERROR(F133*3.6/(F23/100)/F22),0,F133*3.6/(F23/100)/F22)</f>
        <v>0</v>
      </c>
      <c r="G137" s="71" t="s">
        <v>623</v>
      </c>
    </row>
    <row r="139" spans="3:7" x14ac:dyDescent="0.15">
      <c r="C139" s="4" t="s">
        <v>624</v>
      </c>
      <c r="D139" s="100"/>
      <c r="E139" s="100"/>
      <c r="F139" s="4"/>
      <c r="G139" s="100"/>
    </row>
    <row r="141" spans="3:7" x14ac:dyDescent="0.15">
      <c r="D141" s="84" t="s">
        <v>625</v>
      </c>
      <c r="F141" s="496" t="str">
        <f>IF(OR(F3="石炭火力",F3= "LNG火力", F3="ガスコジェネ",F3="バイオマス（石炭混焼）",F3="バイオマス（木質専焼）",F3="燃料電池"),IF($F$43="需要地価格","",1000),IF(OR(F3="石油火力",F3="石油コジェネ"),IF($F$43="需要地価格","",158.987294928),""))</f>
        <v/>
      </c>
      <c r="G141" s="84" t="s">
        <v>626</v>
      </c>
    </row>
    <row r="142" spans="3:7" x14ac:dyDescent="0.15">
      <c r="D142" s="84" t="s">
        <v>573</v>
      </c>
      <c r="F142" s="488">
        <f>IF(ISERROR(F42/1000),0,F42/1000)</f>
        <v>0</v>
      </c>
      <c r="G142" s="84" t="s">
        <v>627</v>
      </c>
    </row>
    <row r="145" spans="3:7" x14ac:dyDescent="0.15">
      <c r="C145" s="71" t="s">
        <v>628</v>
      </c>
      <c r="F145" s="496">
        <f>IF(ISERROR(F133*(F47*3.6/(F23/100)/1000*(44/12))),0,F133*(F47*3.6/(F23/100)/1000*(44/12)))</f>
        <v>0</v>
      </c>
      <c r="G145" s="84" t="s">
        <v>629</v>
      </c>
    </row>
    <row r="147" spans="3:7" x14ac:dyDescent="0.15">
      <c r="C147" s="4" t="s">
        <v>630</v>
      </c>
      <c r="D147" s="100"/>
      <c r="E147" s="100"/>
      <c r="F147" s="4"/>
      <c r="G147" s="100"/>
    </row>
    <row r="149" spans="3:7" x14ac:dyDescent="0.15">
      <c r="D149" s="84" t="s">
        <v>219</v>
      </c>
      <c r="F149" s="496">
        <f>IF(ISERROR(F52/F23),0,F52/F23)</f>
        <v>0</v>
      </c>
    </row>
    <row r="150" spans="3:7" x14ac:dyDescent="0.15">
      <c r="D150" s="84" t="s">
        <v>631</v>
      </c>
      <c r="F150" s="496">
        <f>F133*F149*(F53/100)*3.6</f>
        <v>0</v>
      </c>
      <c r="G150" s="84" t="s">
        <v>632</v>
      </c>
    </row>
    <row r="151" spans="3:7" ht="16.5" x14ac:dyDescent="0.15">
      <c r="D151" s="84" t="s">
        <v>633</v>
      </c>
      <c r="F151" s="490">
        <f>IF(ISERROR(F150/(F54/100)/F55),0,F150/(F54/100)/F55)</f>
        <v>0</v>
      </c>
      <c r="G151" s="71" t="s">
        <v>623</v>
      </c>
    </row>
    <row r="152" spans="3:7" x14ac:dyDescent="0.15">
      <c r="D152" s="84" t="s">
        <v>634</v>
      </c>
      <c r="F152" s="497">
        <f>IF(ISERROR(F56/1000),0,F56/1000)</f>
        <v>0</v>
      </c>
      <c r="G152" s="84" t="s">
        <v>627</v>
      </c>
    </row>
    <row r="153" spans="3:7" x14ac:dyDescent="0.15">
      <c r="D153" s="84" t="s">
        <v>635</v>
      </c>
      <c r="F153" s="496">
        <f>IF(ISERROR(F150*F47/1000*(44/12)/(F54/100)),0,F150*F47/1000*(44/12)/(F54/100))</f>
        <v>0</v>
      </c>
      <c r="G153" s="84" t="s">
        <v>629</v>
      </c>
    </row>
  </sheetData>
  <mergeCells count="48">
    <mergeCell ref="BR12:BR13"/>
    <mergeCell ref="AI12:AI13"/>
    <mergeCell ref="AL12:AL13"/>
    <mergeCell ref="AO12:AO13"/>
    <mergeCell ref="AR12:AR13"/>
    <mergeCell ref="AW12:AW13"/>
    <mergeCell ref="BB12:BB13"/>
    <mergeCell ref="BL12:BL13"/>
    <mergeCell ref="BK12:BK13"/>
    <mergeCell ref="BO12:BO13"/>
    <mergeCell ref="BJ12:BJ13"/>
    <mergeCell ref="BA9:BB10"/>
    <mergeCell ref="AE9:AF10"/>
    <mergeCell ref="V9:W10"/>
    <mergeCell ref="BE12:BE13"/>
    <mergeCell ref="BH12:BH13"/>
    <mergeCell ref="P12:P13"/>
    <mergeCell ref="W12:W13"/>
    <mergeCell ref="Z12:Z13"/>
    <mergeCell ref="AC12:AC13"/>
    <mergeCell ref="AF12:AF13"/>
    <mergeCell ref="BQ7:BR7"/>
    <mergeCell ref="BJ7:BO7"/>
    <mergeCell ref="I9:I10"/>
    <mergeCell ref="K9:K10"/>
    <mergeCell ref="M9:M10"/>
    <mergeCell ref="O9:P10"/>
    <mergeCell ref="R9:R10"/>
    <mergeCell ref="AN9:AO10"/>
    <mergeCell ref="AQ9:AR10"/>
    <mergeCell ref="AY7:BB7"/>
    <mergeCell ref="AY9:AY10"/>
    <mergeCell ref="BD7:BH7"/>
    <mergeCell ref="BJ9:BL10"/>
    <mergeCell ref="BN9:BO10"/>
    <mergeCell ref="BD9:BE10"/>
    <mergeCell ref="BG9:BH10"/>
    <mergeCell ref="F3:G3"/>
    <mergeCell ref="V7:AF7"/>
    <mergeCell ref="AH7:AR7"/>
    <mergeCell ref="AT7:AW7"/>
    <mergeCell ref="AK9:AL10"/>
    <mergeCell ref="T9:T10"/>
    <mergeCell ref="AV9:AW10"/>
    <mergeCell ref="AT9:AT10"/>
    <mergeCell ref="AH9:AI10"/>
    <mergeCell ref="AB9:AC10"/>
    <mergeCell ref="Y9:Z10"/>
  </mergeCells>
  <phoneticPr fontId="17"/>
  <dataValidations count="4">
    <dataValidation type="list" allowBlank="1" showDropDown="1" showInputMessage="1" showErrorMessage="1" sqref="F48 F41" xr:uid="{00000000-0002-0000-1A00-000000000000}">
      <formula1>"現行政策シナリオ, 新政策シナリオ"</formula1>
    </dataValidation>
    <dataValidation type="whole" allowBlank="1" showInputMessage="1" showErrorMessage="1" sqref="F7" xr:uid="{00000000-0002-0000-1A00-000001000000}">
      <formula1>2010</formula1>
      <formula2>2030</formula2>
    </dataValidation>
    <dataValidation type="list" allowBlank="1" showDropDown="1" showInputMessage="1" showErrorMessage="1" sqref="F43" xr:uid="{00000000-0002-0000-1A00-000002000000}">
      <formula1>"CIF価格, 需要地価格"</formula1>
    </dataValidation>
    <dataValidation type="list" allowBlank="1" showDropDown="1" showInputMessage="1" showErrorMessage="1" sqref="F3:G3" xr:uid="{00000000-0002-0000-1A00-000003000000}">
      <formula1>"原子力,石炭火力,LNG火力,石油火力,一般水力,太陽光（メガソーラー）,太陽光（住宅）,風力（陸上）,風力（洋上）,小水力,地熱,バイオマス（石炭混焼）,バイオマス（木質専焼）,ガスコジェネ,石油コジェネ,燃料電池"</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BR153"/>
  <sheetViews>
    <sheetView showGridLines="0" zoomScale="85" zoomScaleNormal="85" workbookViewId="0">
      <pane xSplit="10" ySplit="14" topLeftCell="AQ15" activePane="bottomRight" state="frozen"/>
      <selection pane="topRight" activeCell="AF12" sqref="AF12:AF13"/>
      <selection pane="bottomLeft" activeCell="AF12" sqref="AF12:AF13"/>
      <selection pane="bottomRight" activeCell="AH56" sqref="AH56"/>
    </sheetView>
  </sheetViews>
  <sheetFormatPr defaultColWidth="9" defaultRowHeight="14.25" outlineLevelCol="1" x14ac:dyDescent="0.15"/>
  <cols>
    <col min="1" max="3" width="6.25" style="71" customWidth="1"/>
    <col min="4" max="4" width="6.25" style="84" customWidth="1"/>
    <col min="5" max="5" width="24.375" style="84" customWidth="1"/>
    <col min="6" max="6" width="18.75" style="71" customWidth="1"/>
    <col min="7" max="7" width="24.375" style="84" bestFit="1" customWidth="1"/>
    <col min="8" max="8" width="9" style="71"/>
    <col min="9" max="9" width="6.25" style="71" customWidth="1"/>
    <col min="10" max="10" width="3" style="71" customWidth="1"/>
    <col min="11" max="11" width="6.25" style="71" customWidth="1"/>
    <col min="12" max="12" width="3" style="71" customWidth="1"/>
    <col min="13" max="13" width="6.25" style="71" customWidth="1"/>
    <col min="14" max="14" width="3" style="71" customWidth="1"/>
    <col min="15" max="15" width="17.375" style="71" bestFit="1" customWidth="1"/>
    <col min="16" max="16" width="8.625" style="71" customWidth="1"/>
    <col min="17" max="17" width="3" style="71" customWidth="1"/>
    <col min="18" max="18" width="17.375" style="71" bestFit="1" customWidth="1"/>
    <col min="19" max="19" width="3" style="71" customWidth="1"/>
    <col min="20" max="20" width="17.375" style="71" bestFit="1" customWidth="1"/>
    <col min="21" max="21" width="3" style="71" customWidth="1"/>
    <col min="22" max="22" width="15" style="71" customWidth="1" outlineLevel="1"/>
    <col min="23" max="23" width="17.375" style="71" bestFit="1" customWidth="1"/>
    <col min="24" max="24" width="3" style="71" customWidth="1"/>
    <col min="25" max="25" width="15" style="71" customWidth="1" outlineLevel="1"/>
    <col min="26" max="26" width="15" style="71" customWidth="1"/>
    <col min="27" max="27" width="3" style="71" customWidth="1"/>
    <col min="28" max="28" width="15" style="71" customWidth="1" outlineLevel="1"/>
    <col min="29" max="29" width="15" style="71" customWidth="1"/>
    <col min="30" max="30" width="3" style="71" customWidth="1"/>
    <col min="31" max="31" width="15" style="71" customWidth="1" outlineLevel="1"/>
    <col min="32" max="32" width="15" style="71" customWidth="1"/>
    <col min="33" max="33" width="3" style="71" customWidth="1"/>
    <col min="34" max="34" width="14.875" style="71" customWidth="1" outlineLevel="1"/>
    <col min="35" max="35" width="15" style="71" customWidth="1"/>
    <col min="36" max="36" width="3" style="71" customWidth="1"/>
    <col min="37" max="37" width="15" style="71" customWidth="1" outlineLevel="1"/>
    <col min="38" max="38" width="15" style="71" customWidth="1"/>
    <col min="39" max="39" width="3" style="71" customWidth="1"/>
    <col min="40" max="40" width="15" style="71" customWidth="1" outlineLevel="1"/>
    <col min="41" max="41" width="15" style="71" customWidth="1"/>
    <col min="42" max="42" width="3" style="71" customWidth="1"/>
    <col min="43" max="43" width="15" style="71" customWidth="1" outlineLevel="1"/>
    <col min="44" max="44" width="15" style="71" customWidth="1"/>
    <col min="45" max="45" width="3" style="71" customWidth="1"/>
    <col min="46" max="46" width="10.75" style="71" bestFit="1" customWidth="1"/>
    <col min="47" max="47" width="3" style="71" customWidth="1"/>
    <col min="48" max="48" width="15" style="71" customWidth="1" outlineLevel="1"/>
    <col min="49" max="49" width="17.375" style="71" bestFit="1" customWidth="1"/>
    <col min="50" max="50" width="3" style="71" customWidth="1"/>
    <col min="51" max="51" width="9.625" style="71" bestFit="1" customWidth="1"/>
    <col min="52" max="52" width="3" style="71" customWidth="1"/>
    <col min="53" max="53" width="15" style="71" customWidth="1" outlineLevel="1"/>
    <col min="54" max="54" width="17.375" style="71" bestFit="1" customWidth="1"/>
    <col min="55" max="55" width="3" style="71" customWidth="1"/>
    <col min="56" max="56" width="19.25" style="71" customWidth="1" outlineLevel="1"/>
    <col min="57" max="57" width="19.25" style="71" bestFit="1" customWidth="1"/>
    <col min="58" max="58" width="3" style="71" customWidth="1"/>
    <col min="59" max="59" width="19.25" style="71" customWidth="1" outlineLevel="1"/>
    <col min="60" max="60" width="19.25" style="71"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71" customWidth="1" outlineLevel="1"/>
    <col min="70" max="70" width="17.375" style="71" bestFit="1" customWidth="1"/>
    <col min="71" max="16384" width="9" style="71"/>
  </cols>
  <sheetData>
    <row r="1" spans="1:70" ht="18.75" x14ac:dyDescent="0.15">
      <c r="A1" s="6" t="s">
        <v>60</v>
      </c>
    </row>
    <row r="3" spans="1:70" ht="23.25" x14ac:dyDescent="0.15">
      <c r="B3" s="1" t="s">
        <v>542</v>
      </c>
      <c r="F3" s="732" t="s">
        <v>249</v>
      </c>
      <c r="G3" s="719"/>
    </row>
    <row r="4" spans="1:70" x14ac:dyDescent="0.15">
      <c r="G4" s="472"/>
    </row>
    <row r="5" spans="1:70" ht="15.75" thickBot="1" x14ac:dyDescent="0.2">
      <c r="B5" s="5" t="s">
        <v>543</v>
      </c>
      <c r="C5" s="3"/>
      <c r="D5" s="102"/>
      <c r="E5" s="102"/>
      <c r="F5" s="3"/>
      <c r="G5" s="102"/>
      <c r="I5" s="5" t="s">
        <v>64</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71" t="s">
        <v>545</v>
      </c>
      <c r="F7" s="473">
        <v>2020</v>
      </c>
      <c r="I7" s="8"/>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71" t="s">
        <v>546</v>
      </c>
      <c r="F8" s="474">
        <f>まとめ!B3</f>
        <v>107</v>
      </c>
      <c r="G8" s="84" t="s">
        <v>547</v>
      </c>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71" t="s">
        <v>548</v>
      </c>
      <c r="F9" s="474">
        <f>まとめ!B2</f>
        <v>3</v>
      </c>
      <c r="G9" s="84" t="s">
        <v>549</v>
      </c>
      <c r="I9" s="720" t="s">
        <v>78</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09" t="s">
        <v>232</v>
      </c>
      <c r="AI9" s="707"/>
      <c r="AJ9" s="8"/>
      <c r="AK9" s="707"/>
      <c r="AL9" s="707"/>
      <c r="AM9" s="8"/>
      <c r="AN9" s="707"/>
      <c r="AO9" s="707"/>
      <c r="AP9" s="8"/>
      <c r="AQ9" s="707"/>
      <c r="AR9" s="707"/>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I10" s="708"/>
      <c r="K10" s="708"/>
      <c r="M10" s="708"/>
      <c r="O10" s="717"/>
      <c r="P10" s="717"/>
      <c r="R10" s="708"/>
      <c r="T10" s="708"/>
      <c r="V10" s="717"/>
      <c r="W10" s="717"/>
      <c r="Y10" s="717"/>
      <c r="Z10" s="717"/>
      <c r="AB10" s="723"/>
      <c r="AC10" s="723"/>
      <c r="AD10" s="81"/>
      <c r="AE10" s="723"/>
      <c r="AF10" s="723"/>
      <c r="AH10" s="717"/>
      <c r="AI10" s="717"/>
      <c r="AK10" s="717"/>
      <c r="AL10" s="717"/>
      <c r="AN10" s="717"/>
      <c r="AO10" s="717"/>
      <c r="AQ10" s="717"/>
      <c r="AR10" s="717"/>
      <c r="AT10" s="717"/>
      <c r="AV10" s="717"/>
      <c r="AW10" s="717"/>
      <c r="AX10" s="322"/>
      <c r="AY10" s="708"/>
      <c r="BA10" s="708"/>
      <c r="BB10" s="708"/>
      <c r="BD10" s="717"/>
      <c r="BE10" s="717"/>
      <c r="BG10" s="717"/>
      <c r="BH10" s="717"/>
      <c r="BJ10" s="708"/>
      <c r="BK10" s="708"/>
      <c r="BL10" s="708"/>
      <c r="BM10" s="322"/>
      <c r="BN10" s="717"/>
      <c r="BO10" s="717"/>
      <c r="BQ10" s="322"/>
      <c r="BR10" s="322"/>
    </row>
    <row r="11" spans="1:70" ht="15.75" customHeight="1" thickBot="1" x14ac:dyDescent="0.2">
      <c r="B11" s="5" t="s">
        <v>95</v>
      </c>
      <c r="C11" s="3"/>
      <c r="D11" s="102"/>
      <c r="E11" s="102"/>
      <c r="F11" s="3"/>
      <c r="G11" s="102"/>
      <c r="O11" s="322" t="s">
        <v>96</v>
      </c>
      <c r="P11" s="322"/>
      <c r="Q11" s="322"/>
      <c r="R11" s="322" t="s">
        <v>96</v>
      </c>
      <c r="S11" s="322"/>
      <c r="T11" s="322"/>
      <c r="V11" s="322"/>
      <c r="W11" s="322"/>
      <c r="Y11" s="322"/>
      <c r="Z11" s="322"/>
      <c r="AB11" s="322"/>
      <c r="AC11" s="322"/>
      <c r="AE11" s="322"/>
      <c r="AF11" s="322"/>
      <c r="AH11" s="322"/>
      <c r="AI11" s="322"/>
      <c r="AK11" s="322"/>
      <c r="AL11" s="322"/>
      <c r="AN11" s="322"/>
      <c r="AO11" s="322"/>
      <c r="AQ11" s="322"/>
      <c r="AR11" s="322"/>
      <c r="AT11" s="322"/>
      <c r="AV11" s="322"/>
      <c r="AW11" s="322"/>
      <c r="AX11" s="322"/>
      <c r="BB11" s="322"/>
      <c r="BD11" s="322"/>
      <c r="BE11" s="322"/>
      <c r="BG11" s="322"/>
      <c r="BH11" s="322"/>
      <c r="BJ11" s="156"/>
      <c r="BM11" s="322"/>
      <c r="BN11" s="322"/>
      <c r="BO11" s="322"/>
      <c r="BQ11" s="322"/>
      <c r="BR11" s="322"/>
    </row>
    <row r="12" spans="1:70" ht="14.25" customHeight="1" x14ac:dyDescent="0.15">
      <c r="O12" s="322"/>
      <c r="P12" s="707" t="s">
        <v>97</v>
      </c>
      <c r="W12" s="707" t="s">
        <v>98</v>
      </c>
      <c r="Z12" s="707" t="s">
        <v>98</v>
      </c>
      <c r="AC12" s="707" t="s">
        <v>98</v>
      </c>
      <c r="AF12" s="707" t="s">
        <v>98</v>
      </c>
      <c r="AI12" s="707" t="s">
        <v>98</v>
      </c>
      <c r="AL12" s="707" t="s">
        <v>98</v>
      </c>
      <c r="AO12" s="707" t="s">
        <v>98</v>
      </c>
      <c r="AR12" s="707" t="s">
        <v>98</v>
      </c>
      <c r="AW12" s="707" t="s">
        <v>98</v>
      </c>
      <c r="BB12" s="707" t="s">
        <v>98</v>
      </c>
      <c r="BE12" s="707" t="s">
        <v>98</v>
      </c>
      <c r="BH12" s="707" t="s">
        <v>98</v>
      </c>
      <c r="BJ12" s="709" t="s">
        <v>99</v>
      </c>
      <c r="BK12" s="709" t="s">
        <v>100</v>
      </c>
      <c r="BL12" s="709" t="s">
        <v>101</v>
      </c>
      <c r="BO12" s="709" t="s">
        <v>102</v>
      </c>
      <c r="BR12" s="707" t="s">
        <v>103</v>
      </c>
    </row>
    <row r="13" spans="1:70" ht="14.25" customHeight="1" x14ac:dyDescent="0.15">
      <c r="C13" s="71" t="s">
        <v>552</v>
      </c>
      <c r="F13" s="475">
        <v>0.5</v>
      </c>
      <c r="G13" s="84" t="s">
        <v>553</v>
      </c>
      <c r="O13" s="322"/>
      <c r="P13" s="708"/>
      <c r="Q13" s="322"/>
      <c r="R13" s="322"/>
      <c r="S13" s="322"/>
      <c r="T13" s="322"/>
      <c r="V13" s="322"/>
      <c r="W13" s="708"/>
      <c r="Y13" s="322"/>
      <c r="Z13" s="708"/>
      <c r="AB13" s="322"/>
      <c r="AC13" s="708"/>
      <c r="AE13" s="322"/>
      <c r="AF13" s="708"/>
      <c r="AH13" s="322"/>
      <c r="AI13" s="708"/>
      <c r="AK13" s="322"/>
      <c r="AL13" s="708"/>
      <c r="AN13" s="322"/>
      <c r="AO13" s="708"/>
      <c r="AQ13" s="322"/>
      <c r="AR13" s="708"/>
      <c r="AT13" s="322"/>
      <c r="AV13" s="322"/>
      <c r="AW13" s="708"/>
      <c r="BB13" s="708"/>
      <c r="BD13" s="322"/>
      <c r="BE13" s="708"/>
      <c r="BG13" s="322"/>
      <c r="BH13" s="708"/>
      <c r="BJ13" s="712"/>
      <c r="BK13" s="710"/>
      <c r="BL13" s="708"/>
      <c r="BM13" s="322"/>
      <c r="BO13" s="708"/>
      <c r="BQ13" s="322"/>
      <c r="BR13" s="708"/>
    </row>
    <row r="14" spans="1:70" ht="16.5" x14ac:dyDescent="0.15">
      <c r="C14" s="71" t="s">
        <v>554</v>
      </c>
      <c r="F14" s="474">
        <f>VLOOKUP(F3&amp;IF(G4&lt;&gt;"","_"&amp;G4,""),まとめ!$A$12:$G$34,IF(F7=2030,4,IF(F7=2020,3,IF(F7=2014,2,"-"))),0)</f>
        <v>60</v>
      </c>
      <c r="G14" s="84" t="s">
        <v>549</v>
      </c>
      <c r="O14" s="322"/>
      <c r="P14" s="322"/>
      <c r="Q14" s="322"/>
      <c r="R14" s="322"/>
      <c r="S14" s="322"/>
      <c r="T14" s="322"/>
      <c r="AT14" s="50" t="s">
        <v>104</v>
      </c>
      <c r="AY14" s="71" t="s">
        <v>105</v>
      </c>
    </row>
    <row r="15" spans="1:70" x14ac:dyDescent="0.15">
      <c r="C15" s="71" t="s">
        <v>555</v>
      </c>
      <c r="F15" s="474">
        <f>VLOOKUP(F3&amp;IF(G4&lt;&gt;"","_"&amp;G4,""),まとめ!$A$12:$G$34,IF(F7=2030,7,IF(F7=2020,6,IF(F7=2014,5,"-"))),0)</f>
        <v>40</v>
      </c>
      <c r="G15" s="84" t="s">
        <v>556</v>
      </c>
      <c r="I15" s="38">
        <f>F7</f>
        <v>2020</v>
      </c>
      <c r="J15" s="39"/>
      <c r="K15" s="39">
        <f>IF(I15&lt;&gt;"",1,"")</f>
        <v>1</v>
      </c>
      <c r="L15" s="39"/>
      <c r="M15" s="40">
        <f t="shared" ref="M15:M78" si="0">1/(1+($F$9/100))^K15</f>
        <v>0.970873786407767</v>
      </c>
      <c r="N15" s="39"/>
      <c r="O15" s="72">
        <f>F117</f>
        <v>3075000000</v>
      </c>
      <c r="P15" s="41">
        <f t="shared" ref="P15:P78" si="1">IF(K15&lt;=$F$15,IF(OR(P14=$F$124,P14="-"),"-",IF(O15*$F$123&gt;$F$127,$F$123,$F$124)),"")</f>
        <v>0.114</v>
      </c>
      <c r="Q15" s="39"/>
      <c r="R15" s="72">
        <f>F117</f>
        <v>3075000000</v>
      </c>
      <c r="S15" s="39"/>
      <c r="T15" s="72">
        <f>IF(ISNUMBER(R15),ROUNDDOWN(R15,-3),"")</f>
        <v>3075000000</v>
      </c>
      <c r="U15" s="39"/>
      <c r="V15" s="72">
        <f t="shared" ref="V15:V78" si="2">IF(K15&lt;=$F$15,IF(K15&lt;$F$119,IF(P15="-",V14,O15*P15),IF(K15=$F$119,MIN(IF(P15="-",V14,O15*P15),O15),0)),"")</f>
        <v>350550000</v>
      </c>
      <c r="W15" s="72">
        <f>IF(ISNUMBER(V15),V15*$M15,"")</f>
        <v>340339805.8252427</v>
      </c>
      <c r="X15" s="39"/>
      <c r="Y15" s="72">
        <f t="shared" ref="Y15:Y78" si="3">IF($K15&lt;=$F$15,ROUNDDOWN(T15*$F$25/100,-2),"")</f>
        <v>43050000</v>
      </c>
      <c r="Z15" s="72">
        <f>IF(ISNUMBER(Y15),Y15*$M15,"")</f>
        <v>41796116.504854366</v>
      </c>
      <c r="AA15" s="39"/>
      <c r="AB15" s="72">
        <f t="shared" ref="AB15:AB78" si="4">IF($K15&lt;=$F$15,0,IF(AND($K15&gt;$F$15,$K15&lt;=$F$15+$F$28),$F$27*10^8/$F$28,""))</f>
        <v>0</v>
      </c>
      <c r="AC15" s="72">
        <f>IF(ISNUMBER(AB15),AB15*$M15,"")</f>
        <v>0</v>
      </c>
      <c r="AD15" s="39"/>
      <c r="AE15" s="72">
        <f t="shared" ref="AE15:AE78" si="5">IF($K15&lt;=$F$15,$F$26,"")</f>
        <v>0</v>
      </c>
      <c r="AF15" s="72">
        <f>IF(ISNUMBER(AE15),AE15*$M15,"")</f>
        <v>0</v>
      </c>
      <c r="AG15" s="39"/>
      <c r="AH15" s="72">
        <f>IF($K15&lt;=$F$15,$F$33*10^4*$F$13*10^4,"")</f>
        <v>77500000</v>
      </c>
      <c r="AI15" s="72">
        <f>IF(ISNUMBER(AH15),AH15*$M15,"")</f>
        <v>75242718.446601942</v>
      </c>
      <c r="AJ15" s="39"/>
      <c r="AK15" s="72"/>
      <c r="AL15" s="72"/>
      <c r="AM15" s="39"/>
      <c r="AN15" s="72"/>
      <c r="AO15" s="72"/>
      <c r="AP15" s="39"/>
      <c r="AQ15" s="72"/>
      <c r="AR15" s="72"/>
      <c r="AS15" s="39"/>
      <c r="AT15" s="40">
        <f>IF($K15&lt;=$F$15,IF($F$40&lt;&gt;"",$F$40/1000,IF(ISERROR(VLOOKUP($F$3&amp;IF($G$4&lt;&gt;"",$G$4,"")&amp;IF($F$43&lt;&gt;"","_"&amp;$F$43,""),'表3）燃料価格'!$AF$9:$AG$25,2,0)),0,VLOOKUP($I15,'表3）燃料価格'!$A$6:$U$66,VLOOKUP($F$3&amp;IF($G$4&lt;&gt;"",$G$4,"")&amp;IF($F$43&lt;&gt;"","_"&amp;$F$43,""),'表3）燃料価格'!$AF$9:$AG$25,2,0)+VLOOKUP($F$41,'表3）燃料価格'!$AF$28:$AG$29,2,0),0)*IF($F$43="需要地価格",1,$F$8/$F$141))),"")</f>
        <v>0</v>
      </c>
      <c r="AU15" s="39"/>
      <c r="AV15" s="72">
        <f t="shared" ref="AV15:AV78" si="6">IF($K15&lt;=$F$15,($AT15+$F$142)*$F$137,"")</f>
        <v>0</v>
      </c>
      <c r="AW15" s="72">
        <f>IF(ISNUMBER(AV15),AV15*$M15,"")</f>
        <v>0</v>
      </c>
      <c r="AX15" s="39"/>
      <c r="AY15" s="40">
        <f>IF(ISERROR(IF($K15&lt;=$F$15,VLOOKUP($I15,'表4）CO2価格'!$A$7:$E$67,VLOOKUP($F$48,'表4）CO2価格'!$H$10:$I$12,2,0),0)*$F$8/1000,"")),0,IF($K15&lt;=$F$15,VLOOKUP($I15,'表4）CO2価格'!$A$7:$E$67,VLOOKUP($F$48,'表4）CO2価格'!$H$10:$I$12,2,0),0)*$F$8/1000,""))</f>
        <v>0</v>
      </c>
      <c r="AZ15" s="39"/>
      <c r="BA15" s="42">
        <f t="shared" ref="BA15:BA78" si="7">IF($K15&lt;=$F$15,$F$145*AY15,"")</f>
        <v>0</v>
      </c>
      <c r="BB15" s="72">
        <f>IF(ISNUMBER(BA15),BA15*$M15,"")</f>
        <v>0</v>
      </c>
      <c r="BC15" s="39"/>
      <c r="BD15" s="72">
        <f t="shared" ref="BD15:BD78" si="8">IF($K15&lt;=$F$15,($AT15+$F$152)*$F$151,"")</f>
        <v>0</v>
      </c>
      <c r="BE15" s="72">
        <f>IF(ISNUMBER(BD15),BD15*$M15,"")</f>
        <v>0</v>
      </c>
      <c r="BF15" s="39"/>
      <c r="BG15" s="42">
        <f t="shared" ref="BG15:BG78" si="9">IF($K15&lt;=$F$15,$F$153*AY15,"")</f>
        <v>0</v>
      </c>
      <c r="BH15" s="72">
        <f>IF(ISNUMBER(BG15),BG15*$M15,"")</f>
        <v>0</v>
      </c>
      <c r="BI15" s="39"/>
      <c r="BJ15" s="40">
        <f>IF(ISNUMBER($F$16),IF($K15&lt;=$F$16+$F$28,1/(1+($F$17/100))^K15,""),"")</f>
        <v>0.93457943925233644</v>
      </c>
      <c r="BK15" s="157">
        <f>IF(ISNUMBER($F$16),IF($K15&lt;=$F$16+$F$28,IF($K15&lt;=$F$16,SUM(Y15,AB15,AE15,AH15,AK15,AN15,AQ15,AV15,BA15,BD15,BG15),$F$27/$F$28*10^8)*BJ15,""),"")</f>
        <v>112663551.40186916</v>
      </c>
      <c r="BL15" s="157">
        <f t="shared" ref="BL15:BL78" si="10">IF(AND(ISNUMBER(BJ15),$K15&lt;=$F$16),BQ15*BJ15,"")</f>
        <v>24462504.672897197</v>
      </c>
      <c r="BM15" s="72"/>
      <c r="BN15" s="72">
        <f>IF(AND(ISNUMBER($F$16),$K15&lt;=$F$16),BQ15*($O$15+$BK$116)/$BL$116,"")</f>
        <v>394491133.17676753</v>
      </c>
      <c r="BO15" s="72">
        <f>IF(ISNUMBER(BN15),BN15*$M15,"")</f>
        <v>383001100.17161894</v>
      </c>
      <c r="BP15" s="39"/>
      <c r="BQ15" s="72">
        <f t="shared" ref="BQ15:BQ78" si="11">IF($K15&lt;=$F$15,$F$134,"")</f>
        <v>26174880</v>
      </c>
      <c r="BR15" s="72">
        <f>IF(ISNUMBER(BQ15),BQ15*$M15,"")</f>
        <v>25412504.854368933</v>
      </c>
    </row>
    <row r="16" spans="1:70" x14ac:dyDescent="0.15">
      <c r="C16" s="184" t="s">
        <v>107</v>
      </c>
      <c r="F16" s="474">
        <f>IF(ISERROR(VLOOKUP(F3&amp;IF(G4&lt;&gt;"","_"&amp;G4,""),'表7）買取期間・IRR'!$A$3:$A$10,1,0)),"",VLOOKUP(F3&amp;IF(G4&lt;&gt;"","_"&amp;G4,""),'表7）買取期間・IRR'!$A$3:$C$10,IF(F7=2030,3,IF(F7=2020,3,IF(F7=2014,2,"-"))),0))</f>
        <v>20</v>
      </c>
      <c r="G16" s="84" t="s">
        <v>556</v>
      </c>
      <c r="I16" s="322">
        <f>I15+1</f>
        <v>2021</v>
      </c>
      <c r="K16" s="71">
        <f>IF(I16&lt;&gt;"",K15+1,"")</f>
        <v>2</v>
      </c>
      <c r="M16" s="7">
        <f t="shared" si="0"/>
        <v>0.94259590913375435</v>
      </c>
      <c r="O16" s="10">
        <f t="shared" ref="O16:O79" si="12">IF(K16&lt;=$F$15,O15-V15,"")</f>
        <v>2724450000</v>
      </c>
      <c r="P16" s="29">
        <f t="shared" si="1"/>
        <v>0.114</v>
      </c>
      <c r="R16" s="10">
        <f t="shared" ref="R16:R79" si="13">IF($K16&lt;=$F$15,MAX($F$117*5%,R15*$F$129),"")</f>
        <v>2769431162.1496816</v>
      </c>
      <c r="T16" s="10">
        <f t="shared" ref="T16:T79" si="14">IF(ISNUMBER(R16),ROUNDDOWN(R16,-3),"")</f>
        <v>2769431000</v>
      </c>
      <c r="V16" s="10">
        <f t="shared" si="2"/>
        <v>310587300</v>
      </c>
      <c r="W16" s="10">
        <f t="shared" ref="W16:W79" si="15">IF(ISNUMBER(V16),V16*$M16,"")</f>
        <v>292758318.40889812</v>
      </c>
      <c r="Y16" s="10">
        <f t="shared" si="3"/>
        <v>38772000</v>
      </c>
      <c r="Z16" s="10">
        <f t="shared" ref="Z16:Z79" si="16">IF(ISNUMBER(Y16),Y16*$M16,"")</f>
        <v>36546328.588933922</v>
      </c>
      <c r="AB16" s="10">
        <f t="shared" si="4"/>
        <v>0</v>
      </c>
      <c r="AC16" s="10">
        <f t="shared" ref="AC16:AC79" si="17">IF(ISNUMBER(AB16),AB16*$M16,"")</f>
        <v>0</v>
      </c>
      <c r="AE16" s="10">
        <f t="shared" si="5"/>
        <v>0</v>
      </c>
      <c r="AF16" s="10">
        <f t="shared" ref="AF16:AF79" si="18">IF(ISNUMBER(AE16),AE16*$M16,"")</f>
        <v>0</v>
      </c>
      <c r="AH16" s="679">
        <f>IF($K16&lt;=$F$15,$F$33*10^4*$F$13*10^4,"")</f>
        <v>77500000</v>
      </c>
      <c r="AI16" s="10">
        <f t="shared" ref="AI16:AI79" si="19">IF(ISNUMBER(AH16),AH16*$M16,"")</f>
        <v>73051182.957865968</v>
      </c>
      <c r="AK16" s="10"/>
      <c r="AL16" s="10"/>
      <c r="AN16" s="10"/>
      <c r="AO16" s="10"/>
      <c r="AQ16" s="10"/>
      <c r="AR16" s="10"/>
      <c r="AT16" s="7">
        <f>IF($K16&lt;=$F$15,IF($F$40&lt;&gt;"",$F$40/1000,IF(ISERROR(VLOOKUP($F$3&amp;IF($G$4&lt;&gt;"",$G$4,"")&amp;IF($F$43&lt;&gt;"","_"&amp;$F$43,""),'表3）燃料価格'!$AF$9:$AG$25,2,0)),0,VLOOKUP($I16,'表3）燃料価格'!$A$6:$U$66,VLOOKUP($F$3&amp;IF($G$4&lt;&gt;"",$G$4,"")&amp;IF($F$43&lt;&gt;"","_"&amp;$F$43,""),'表3）燃料価格'!$AF$9:$AG$25,2,0)+VLOOKUP($F$41,'表3）燃料価格'!$AF$28:$AG$29,2,0),0)*IF($F$43="需要地価格",1,$F$8/$F$141))),"")</f>
        <v>0</v>
      </c>
      <c r="AV16" s="10">
        <f t="shared" si="6"/>
        <v>0</v>
      </c>
      <c r="AW16" s="10">
        <f t="shared" ref="AW16:AW79" si="20">IF(ISNUMBER(AV16),AV16*$M16,"")</f>
        <v>0</v>
      </c>
      <c r="AY16" s="7">
        <f>IF(ISERROR(IF($K16&lt;=$F$15,VLOOKUP($I16,'表4）CO2価格'!$A$7:$E$67,VLOOKUP($F$48,'表4）CO2価格'!$H$10:$I$12,2,0),0)*$F$8/1000,"")),0,IF($K16&lt;=$F$15,VLOOKUP($I16,'表4）CO2価格'!$A$7:$E$67,VLOOKUP($F$48,'表4）CO2価格'!$H$10:$I$12,2,0),0)*$F$8/1000,""))</f>
        <v>0</v>
      </c>
      <c r="BA16" s="11">
        <f t="shared" si="7"/>
        <v>0</v>
      </c>
      <c r="BB16" s="10">
        <f t="shared" ref="BB16:BB79" si="21">IF(ISNUMBER(BA16),BA16*$M16,"")</f>
        <v>0</v>
      </c>
      <c r="BD16" s="10">
        <f t="shared" si="8"/>
        <v>0</v>
      </c>
      <c r="BE16" s="10">
        <f t="shared" ref="BE16:BE79" si="22">IF(ISNUMBER(BD16),BD16*$M16,"")</f>
        <v>0</v>
      </c>
      <c r="BG16" s="11">
        <f t="shared" si="9"/>
        <v>0</v>
      </c>
      <c r="BH16" s="10">
        <f t="shared" ref="BH16:BH79" si="23">IF(ISNUMBER(BG16),BG16*$M16,"")</f>
        <v>0</v>
      </c>
      <c r="BJ16" s="7">
        <f t="shared" ref="BJ16:BJ79" si="24">IF(ISNUMBER($F$16),IF($K16&lt;=$F$16+$F$28,1/(1+($F$17/100))^K16,""),"")</f>
        <v>0.87343872827321156</v>
      </c>
      <c r="BK16" s="158">
        <f t="shared" ref="BK16:BK79" si="25">IF(ISNUMBER($F$16),IF($K16&lt;=$F$16+$F$28,IF($K16&lt;=$F$16,SUM(Y16,AB16,AE16,AH16,AK16,AN16,AQ16,AV16,BA16,BD16,BG16),$F$27/$F$28*10^8)*BJ16,""),"")</f>
        <v>101556467.81378286</v>
      </c>
      <c r="BL16" s="158">
        <f t="shared" si="10"/>
        <v>22862153.89990392</v>
      </c>
      <c r="BM16" s="10"/>
      <c r="BN16" s="10">
        <f t="shared" ref="BN16:BN79" si="26">IF(AND(ISNUMBER($F$16),$K16&lt;=$F$16),BQ16*($O$15+$BK$116)/$BL$116,"")</f>
        <v>394491133.17676753</v>
      </c>
      <c r="BO16" s="10">
        <f t="shared" ref="BO16:BO79" si="27">IF(ISNUMBER(BN16),BN16*$M16,"")</f>
        <v>371845728.32196015</v>
      </c>
      <c r="BQ16" s="10">
        <f t="shared" si="11"/>
        <v>26174880</v>
      </c>
      <c r="BR16" s="10">
        <f t="shared" ref="BR16:BR79" si="28">IF(ISNUMBER(BQ16),BQ16*$M16,"")</f>
        <v>24672334.810066923</v>
      </c>
    </row>
    <row r="17" spans="3:70" x14ac:dyDescent="0.15">
      <c r="C17" s="71" t="s">
        <v>109</v>
      </c>
      <c r="F17" s="476">
        <f>IF(ISERROR(VLOOKUP(F3&amp;IF(G4&lt;&gt;"","_"&amp;G4,""),'表7）買取期間・IRR'!$A$14:$C$21,1,0)),"",VLOOKUP(F3&amp;IF(G4&lt;&gt;"","_"&amp;G4,""),'表7）買取期間・IRR'!$A$14:$C$21,IF(F7=2030,3,IF(F7=2020,2,"-")),0))</f>
        <v>7</v>
      </c>
      <c r="G17" s="84" t="s">
        <v>549</v>
      </c>
      <c r="I17" s="38">
        <f t="shared" ref="I17:I80" si="29">I16+1</f>
        <v>2022</v>
      </c>
      <c r="J17" s="39"/>
      <c r="K17" s="39">
        <f t="shared" ref="K17:K80" si="30">IF(I17&lt;&gt;"",K16+1,"")</f>
        <v>3</v>
      </c>
      <c r="L17" s="39"/>
      <c r="M17" s="40">
        <f t="shared" si="0"/>
        <v>0.91514165935315961</v>
      </c>
      <c r="N17" s="39"/>
      <c r="O17" s="72">
        <f t="shared" si="12"/>
        <v>2413862700</v>
      </c>
      <c r="P17" s="41">
        <f t="shared" si="1"/>
        <v>0.114</v>
      </c>
      <c r="Q17" s="39"/>
      <c r="R17" s="72">
        <f t="shared" si="13"/>
        <v>2494227304.678288</v>
      </c>
      <c r="S17" s="39"/>
      <c r="T17" s="72">
        <f t="shared" si="14"/>
        <v>2494227000</v>
      </c>
      <c r="U17" s="39"/>
      <c r="V17" s="72">
        <f t="shared" si="2"/>
        <v>275180347.80000001</v>
      </c>
      <c r="W17" s="72">
        <f t="shared" si="15"/>
        <v>251829000.10707161</v>
      </c>
      <c r="X17" s="39"/>
      <c r="Y17" s="72">
        <f t="shared" si="3"/>
        <v>34919100</v>
      </c>
      <c r="Z17" s="72">
        <f t="shared" si="16"/>
        <v>31955923.117118917</v>
      </c>
      <c r="AA17" s="39"/>
      <c r="AB17" s="72">
        <f t="shared" si="4"/>
        <v>0</v>
      </c>
      <c r="AC17" s="72">
        <f t="shared" si="17"/>
        <v>0</v>
      </c>
      <c r="AD17" s="39"/>
      <c r="AE17" s="72">
        <f t="shared" si="5"/>
        <v>0</v>
      </c>
      <c r="AF17" s="72">
        <f t="shared" si="18"/>
        <v>0</v>
      </c>
      <c r="AG17" s="39"/>
      <c r="AH17" s="72">
        <f t="shared" ref="AH17:AH54" si="31">IF($K17&lt;=$F$15,$F$33*10^4*$F$13*10^4,"")</f>
        <v>77500000</v>
      </c>
      <c r="AI17" s="72">
        <f t="shared" si="19"/>
        <v>70923478.599869877</v>
      </c>
      <c r="AJ17" s="39"/>
      <c r="AK17" s="72"/>
      <c r="AL17" s="72"/>
      <c r="AM17" s="39"/>
      <c r="AN17" s="72"/>
      <c r="AO17" s="72"/>
      <c r="AP17" s="39"/>
      <c r="AQ17" s="72"/>
      <c r="AR17" s="72"/>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0</v>
      </c>
      <c r="AU17" s="39"/>
      <c r="AV17" s="72">
        <f t="shared" si="6"/>
        <v>0</v>
      </c>
      <c r="AW17" s="72">
        <f t="shared" si="20"/>
        <v>0</v>
      </c>
      <c r="AX17" s="39"/>
      <c r="AY17" s="40">
        <f>IF(ISERROR(IF($K17&lt;=$F$15,VLOOKUP($I17,'表4）CO2価格'!$A$7:$E$67,VLOOKUP($F$48,'表4）CO2価格'!$H$10:$I$12,2,0),0)*$F$8/1000,"")),0,IF($K17&lt;=$F$15,VLOOKUP($I17,'表4）CO2価格'!$A$7:$E$67,VLOOKUP($F$48,'表4）CO2価格'!$H$10:$I$12,2,0),0)*$F$8/1000,""))</f>
        <v>0</v>
      </c>
      <c r="AZ17" s="39"/>
      <c r="BA17" s="42">
        <f t="shared" si="7"/>
        <v>0</v>
      </c>
      <c r="BB17" s="72">
        <f t="shared" si="21"/>
        <v>0</v>
      </c>
      <c r="BC17" s="39"/>
      <c r="BD17" s="72">
        <f t="shared" si="8"/>
        <v>0</v>
      </c>
      <c r="BE17" s="72">
        <f t="shared" si="22"/>
        <v>0</v>
      </c>
      <c r="BF17" s="39"/>
      <c r="BG17" s="42">
        <f t="shared" si="9"/>
        <v>0</v>
      </c>
      <c r="BH17" s="72">
        <f t="shared" si="23"/>
        <v>0</v>
      </c>
      <c r="BI17" s="39"/>
      <c r="BJ17" s="40">
        <f t="shared" si="24"/>
        <v>0.81629787689085187</v>
      </c>
      <c r="BK17" s="157">
        <f t="shared" si="25"/>
        <v>91767472.65198037</v>
      </c>
      <c r="BL17" s="157">
        <f t="shared" si="10"/>
        <v>21366498.971872821</v>
      </c>
      <c r="BM17" s="72"/>
      <c r="BN17" s="72">
        <f t="shared" si="26"/>
        <v>394491133.17676753</v>
      </c>
      <c r="BO17" s="72">
        <f t="shared" si="27"/>
        <v>361015270.21549529</v>
      </c>
      <c r="BP17" s="39"/>
      <c r="BQ17" s="72">
        <f t="shared" si="11"/>
        <v>26174880</v>
      </c>
      <c r="BR17" s="72">
        <f t="shared" si="28"/>
        <v>23953723.116569832</v>
      </c>
    </row>
    <row r="18" spans="3:70" x14ac:dyDescent="0.15">
      <c r="I18" s="322">
        <f t="shared" si="29"/>
        <v>2023</v>
      </c>
      <c r="K18" s="71">
        <f t="shared" si="30"/>
        <v>4</v>
      </c>
      <c r="M18" s="7">
        <f t="shared" si="0"/>
        <v>0.888487047915689</v>
      </c>
      <c r="O18" s="10">
        <f t="shared" si="12"/>
        <v>2138682352.2</v>
      </c>
      <c r="P18" s="29">
        <f t="shared" si="1"/>
        <v>0.114</v>
      </c>
      <c r="R18" s="10">
        <f t="shared" si="13"/>
        <v>2246370999.3693199</v>
      </c>
      <c r="T18" s="10">
        <f t="shared" si="14"/>
        <v>2246370000</v>
      </c>
      <c r="V18" s="10">
        <f t="shared" si="2"/>
        <v>243809788.15080002</v>
      </c>
      <c r="W18" s="10">
        <f t="shared" si="15"/>
        <v>216621838.92705384</v>
      </c>
      <c r="Y18" s="10">
        <f t="shared" si="3"/>
        <v>31449100</v>
      </c>
      <c r="Z18" s="10">
        <f t="shared" si="16"/>
        <v>27942118.018605296</v>
      </c>
      <c r="AB18" s="10">
        <f t="shared" si="4"/>
        <v>0</v>
      </c>
      <c r="AC18" s="10">
        <f t="shared" si="17"/>
        <v>0</v>
      </c>
      <c r="AE18" s="10">
        <f t="shared" si="5"/>
        <v>0</v>
      </c>
      <c r="AF18" s="10">
        <f t="shared" si="18"/>
        <v>0</v>
      </c>
      <c r="AH18" s="679">
        <f t="shared" si="31"/>
        <v>77500000</v>
      </c>
      <c r="AI18" s="10">
        <f t="shared" si="19"/>
        <v>68857746.213465899</v>
      </c>
      <c r="AK18" s="10"/>
      <c r="AL18" s="10"/>
      <c r="AN18" s="10"/>
      <c r="AO18" s="10"/>
      <c r="AQ18" s="10"/>
      <c r="AR18" s="10"/>
      <c r="AT18" s="7">
        <f>IF($K18&lt;=$F$15,IF($F$40&lt;&gt;"",$F$40/1000,IF(ISERROR(VLOOKUP($F$3&amp;IF($G$4&lt;&gt;"",$G$4,"")&amp;IF($F$43&lt;&gt;"","_"&amp;$F$43,""),'表3）燃料価格'!$AF$9:$AG$25,2,0)),0,VLOOKUP($I18,'表3）燃料価格'!$A$6:$U$66,VLOOKUP($F$3&amp;IF($G$4&lt;&gt;"",$G$4,"")&amp;IF($F$43&lt;&gt;"","_"&amp;$F$43,""),'表3）燃料価格'!$AF$9:$AG$25,2,0)+VLOOKUP($F$41,'表3）燃料価格'!$AF$28:$AG$29,2,0),0)*IF($F$43="需要地価格",1,$F$8/$F$141))),"")</f>
        <v>0</v>
      </c>
      <c r="AV18" s="10">
        <f t="shared" si="6"/>
        <v>0</v>
      </c>
      <c r="AW18" s="10">
        <f t="shared" si="20"/>
        <v>0</v>
      </c>
      <c r="AY18" s="7">
        <f>IF(ISERROR(IF($K18&lt;=$F$15,VLOOKUP($I18,'表4）CO2価格'!$A$7:$E$67,VLOOKUP($F$48,'表4）CO2価格'!$H$10:$I$12,2,0),0)*$F$8/1000,"")),0,IF($K18&lt;=$F$15,VLOOKUP($I18,'表4）CO2価格'!$A$7:$E$67,VLOOKUP($F$48,'表4）CO2価格'!$H$10:$I$12,2,0),0)*$F$8/1000,""))</f>
        <v>0</v>
      </c>
      <c r="BA18" s="11">
        <f t="shared" si="7"/>
        <v>0</v>
      </c>
      <c r="BB18" s="10">
        <f t="shared" si="21"/>
        <v>0</v>
      </c>
      <c r="BD18" s="10">
        <f t="shared" si="8"/>
        <v>0</v>
      </c>
      <c r="BE18" s="10">
        <f t="shared" si="22"/>
        <v>0</v>
      </c>
      <c r="BG18" s="11">
        <f t="shared" si="9"/>
        <v>0</v>
      </c>
      <c r="BH18" s="10">
        <f t="shared" si="23"/>
        <v>0</v>
      </c>
      <c r="BJ18" s="7">
        <f t="shared" si="24"/>
        <v>0.7628952120475252</v>
      </c>
      <c r="BK18" s="158">
        <f t="shared" si="25"/>
        <v>83116746.746887028</v>
      </c>
      <c r="BL18" s="158">
        <f t="shared" si="10"/>
        <v>19968690.627918527</v>
      </c>
      <c r="BM18" s="10"/>
      <c r="BN18" s="10">
        <f t="shared" si="26"/>
        <v>394491133.17676753</v>
      </c>
      <c r="BO18" s="10">
        <f t="shared" si="27"/>
        <v>350500262.34514111</v>
      </c>
      <c r="BQ18" s="10">
        <f t="shared" si="11"/>
        <v>26174880</v>
      </c>
      <c r="BR18" s="10">
        <f t="shared" si="28"/>
        <v>23256041.860747408</v>
      </c>
    </row>
    <row r="19" spans="3:70" x14ac:dyDescent="0.15">
      <c r="C19" s="4" t="s">
        <v>557</v>
      </c>
      <c r="D19" s="100"/>
      <c r="E19" s="100"/>
      <c r="F19" s="4"/>
      <c r="G19" s="100"/>
      <c r="I19" s="38">
        <f t="shared" si="29"/>
        <v>2024</v>
      </c>
      <c r="J19" s="39"/>
      <c r="K19" s="39">
        <f t="shared" si="30"/>
        <v>5</v>
      </c>
      <c r="L19" s="39"/>
      <c r="M19" s="40">
        <f t="shared" si="0"/>
        <v>0.86260878438416411</v>
      </c>
      <c r="N19" s="39"/>
      <c r="O19" s="72">
        <f t="shared" si="12"/>
        <v>1894872564.0492001</v>
      </c>
      <c r="P19" s="41">
        <f t="shared" si="1"/>
        <v>0.114</v>
      </c>
      <c r="Q19" s="39"/>
      <c r="R19" s="72">
        <f t="shared" si="13"/>
        <v>2023144665.8220217</v>
      </c>
      <c r="S19" s="39"/>
      <c r="T19" s="72">
        <f t="shared" si="14"/>
        <v>2023144000</v>
      </c>
      <c r="U19" s="39"/>
      <c r="V19" s="72">
        <f t="shared" si="2"/>
        <v>216015472.3016088</v>
      </c>
      <c r="W19" s="72">
        <f t="shared" si="15"/>
        <v>186336843.97026184</v>
      </c>
      <c r="X19" s="39"/>
      <c r="Y19" s="72">
        <f t="shared" si="3"/>
        <v>28324000</v>
      </c>
      <c r="Z19" s="72">
        <f t="shared" si="16"/>
        <v>24432531.208897065</v>
      </c>
      <c r="AA19" s="39"/>
      <c r="AB19" s="72">
        <f t="shared" si="4"/>
        <v>0</v>
      </c>
      <c r="AC19" s="72">
        <f t="shared" si="17"/>
        <v>0</v>
      </c>
      <c r="AD19" s="39"/>
      <c r="AE19" s="72">
        <f t="shared" si="5"/>
        <v>0</v>
      </c>
      <c r="AF19" s="72">
        <f t="shared" si="18"/>
        <v>0</v>
      </c>
      <c r="AG19" s="39"/>
      <c r="AH19" s="72">
        <f t="shared" si="31"/>
        <v>77500000</v>
      </c>
      <c r="AI19" s="72">
        <f t="shared" si="19"/>
        <v>66852180.789772719</v>
      </c>
      <c r="AJ19" s="39"/>
      <c r="AK19" s="72"/>
      <c r="AL19" s="72"/>
      <c r="AM19" s="39"/>
      <c r="AN19" s="72"/>
      <c r="AO19" s="72"/>
      <c r="AP19" s="39"/>
      <c r="AQ19" s="72"/>
      <c r="AR19" s="72"/>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0</v>
      </c>
      <c r="AU19" s="39"/>
      <c r="AV19" s="72">
        <f t="shared" si="6"/>
        <v>0</v>
      </c>
      <c r="AW19" s="72">
        <f t="shared" si="20"/>
        <v>0</v>
      </c>
      <c r="AX19" s="39"/>
      <c r="AY19" s="40">
        <f>IF(ISERROR(IF($K19&lt;=$F$15,VLOOKUP($I19,'表4）CO2価格'!$A$7:$E$67,VLOOKUP($F$48,'表4）CO2価格'!$H$10:$I$12,2,0),0)*$F$8/1000,"")),0,IF($K19&lt;=$F$15,VLOOKUP($I19,'表4）CO2価格'!$A$7:$E$67,VLOOKUP($F$48,'表4）CO2価格'!$H$10:$I$12,2,0),0)*$F$8/1000,""))</f>
        <v>0</v>
      </c>
      <c r="AZ19" s="39"/>
      <c r="BA19" s="42">
        <f t="shared" si="7"/>
        <v>0</v>
      </c>
      <c r="BB19" s="72">
        <f t="shared" si="21"/>
        <v>0</v>
      </c>
      <c r="BC19" s="39"/>
      <c r="BD19" s="72">
        <f t="shared" si="8"/>
        <v>0</v>
      </c>
      <c r="BE19" s="72">
        <f t="shared" si="22"/>
        <v>0</v>
      </c>
      <c r="BF19" s="39"/>
      <c r="BG19" s="42">
        <f t="shared" si="9"/>
        <v>0</v>
      </c>
      <c r="BH19" s="72">
        <f t="shared" si="23"/>
        <v>0</v>
      </c>
      <c r="BI19" s="39"/>
      <c r="BJ19" s="40">
        <f t="shared" si="24"/>
        <v>0.71298617948366838</v>
      </c>
      <c r="BK19" s="157">
        <f t="shared" si="25"/>
        <v>75451049.457679719</v>
      </c>
      <c r="BL19" s="157">
        <f t="shared" si="10"/>
        <v>18662327.689643484</v>
      </c>
      <c r="BM19" s="72"/>
      <c r="BN19" s="72">
        <f t="shared" si="26"/>
        <v>394491133.17676753</v>
      </c>
      <c r="BO19" s="72">
        <f t="shared" si="27"/>
        <v>340291516.83994281</v>
      </c>
      <c r="BP19" s="39"/>
      <c r="BQ19" s="72">
        <f t="shared" si="11"/>
        <v>26174880</v>
      </c>
      <c r="BR19" s="72">
        <f t="shared" si="28"/>
        <v>22578681.418201368</v>
      </c>
    </row>
    <row r="20" spans="3:70" x14ac:dyDescent="0.15">
      <c r="I20" s="322">
        <f t="shared" si="29"/>
        <v>2025</v>
      </c>
      <c r="K20" s="71">
        <f t="shared" si="30"/>
        <v>6</v>
      </c>
      <c r="M20" s="7">
        <f t="shared" si="0"/>
        <v>0.83748425668365445</v>
      </c>
      <c r="O20" s="10">
        <f t="shared" si="12"/>
        <v>1678857091.7475913</v>
      </c>
      <c r="P20" s="29">
        <f t="shared" si="1"/>
        <v>0.114</v>
      </c>
      <c r="R20" s="10">
        <f t="shared" si="13"/>
        <v>1822100774.9802961</v>
      </c>
      <c r="T20" s="10">
        <f t="shared" si="14"/>
        <v>1822100000</v>
      </c>
      <c r="V20" s="10">
        <f t="shared" si="2"/>
        <v>191389708.45922542</v>
      </c>
      <c r="W20" s="10">
        <f t="shared" si="15"/>
        <v>160285867.72587574</v>
      </c>
      <c r="Y20" s="10">
        <f t="shared" si="3"/>
        <v>25509400</v>
      </c>
      <c r="Z20" s="10">
        <f t="shared" si="16"/>
        <v>21363720.897446014</v>
      </c>
      <c r="AB20" s="10">
        <f t="shared" si="4"/>
        <v>0</v>
      </c>
      <c r="AC20" s="10">
        <f t="shared" si="17"/>
        <v>0</v>
      </c>
      <c r="AE20" s="10">
        <f t="shared" si="5"/>
        <v>0</v>
      </c>
      <c r="AF20" s="10">
        <f t="shared" si="18"/>
        <v>0</v>
      </c>
      <c r="AH20" s="679">
        <f t="shared" si="31"/>
        <v>77500000</v>
      </c>
      <c r="AI20" s="10">
        <f t="shared" si="19"/>
        <v>64905029.892983221</v>
      </c>
      <c r="AK20" s="10"/>
      <c r="AL20" s="10"/>
      <c r="AN20" s="10"/>
      <c r="AO20" s="10"/>
      <c r="AQ20" s="10"/>
      <c r="AR20" s="10"/>
      <c r="AT20" s="7">
        <f>IF($K20&lt;=$F$15,IF($F$40&lt;&gt;"",$F$40/1000,IF(ISERROR(VLOOKUP($F$3&amp;IF($G$4&lt;&gt;"",$G$4,"")&amp;IF($F$43&lt;&gt;"","_"&amp;$F$43,""),'表3）燃料価格'!$AF$9:$AG$25,2,0)),0,VLOOKUP($I20,'表3）燃料価格'!$A$6:$U$66,VLOOKUP($F$3&amp;IF($G$4&lt;&gt;"",$G$4,"")&amp;IF($F$43&lt;&gt;"","_"&amp;$F$43,""),'表3）燃料価格'!$AF$9:$AG$25,2,0)+VLOOKUP($F$41,'表3）燃料価格'!$AF$28:$AG$29,2,0),0)*IF($F$43="需要地価格",1,$F$8/$F$141))),"")</f>
        <v>0</v>
      </c>
      <c r="AV20" s="10">
        <f t="shared" si="6"/>
        <v>0</v>
      </c>
      <c r="AW20" s="10">
        <f t="shared" si="20"/>
        <v>0</v>
      </c>
      <c r="AY20" s="7">
        <f>IF(ISERROR(IF($K20&lt;=$F$15,VLOOKUP($I20,'表4）CO2価格'!$A$7:$E$67,VLOOKUP($F$48,'表4）CO2価格'!$H$10:$I$12,2,0),0)*$F$8/1000,"")),0,IF($K20&lt;=$F$15,VLOOKUP($I20,'表4）CO2価格'!$A$7:$E$67,VLOOKUP($F$48,'表4）CO2価格'!$H$10:$I$12,2,0),0)*$F$8/1000,""))</f>
        <v>0</v>
      </c>
      <c r="BA20" s="11">
        <f t="shared" si="7"/>
        <v>0</v>
      </c>
      <c r="BB20" s="10">
        <f t="shared" si="21"/>
        <v>0</v>
      </c>
      <c r="BD20" s="10">
        <f t="shared" si="8"/>
        <v>0</v>
      </c>
      <c r="BE20" s="10">
        <f t="shared" si="22"/>
        <v>0</v>
      </c>
      <c r="BG20" s="11">
        <f t="shared" si="9"/>
        <v>0</v>
      </c>
      <c r="BH20" s="10">
        <f t="shared" si="23"/>
        <v>0</v>
      </c>
      <c r="BJ20" s="7">
        <f t="shared" si="24"/>
        <v>0.66634222381651254</v>
      </c>
      <c r="BK20" s="158">
        <f t="shared" si="25"/>
        <v>68639512.670004666</v>
      </c>
      <c r="BL20" s="158">
        <f t="shared" si="10"/>
        <v>17441427.747330356</v>
      </c>
      <c r="BM20" s="10"/>
      <c r="BN20" s="10">
        <f t="shared" si="26"/>
        <v>394491133.17676753</v>
      </c>
      <c r="BO20" s="10">
        <f t="shared" si="27"/>
        <v>330380113.43683767</v>
      </c>
      <c r="BQ20" s="10">
        <f t="shared" si="11"/>
        <v>26174880</v>
      </c>
      <c r="BR20" s="10">
        <f t="shared" si="28"/>
        <v>21921049.920583852</v>
      </c>
    </row>
    <row r="21" spans="3:70" x14ac:dyDescent="0.15">
      <c r="D21" s="84" t="s">
        <v>558</v>
      </c>
      <c r="F21" s="477">
        <v>61.5</v>
      </c>
      <c r="G21" s="84" t="s">
        <v>559</v>
      </c>
      <c r="I21" s="38">
        <f t="shared" si="29"/>
        <v>2026</v>
      </c>
      <c r="J21" s="39"/>
      <c r="K21" s="39">
        <f t="shared" si="30"/>
        <v>7</v>
      </c>
      <c r="L21" s="39"/>
      <c r="M21" s="40">
        <f t="shared" si="0"/>
        <v>0.81309151134335378</v>
      </c>
      <c r="N21" s="39"/>
      <c r="O21" s="72">
        <f t="shared" si="12"/>
        <v>1487467383.2883658</v>
      </c>
      <c r="P21" s="41">
        <f t="shared" si="1"/>
        <v>0.114</v>
      </c>
      <c r="Q21" s="39"/>
      <c r="R21" s="72">
        <f t="shared" si="13"/>
        <v>1641035013.5959404</v>
      </c>
      <c r="S21" s="39"/>
      <c r="T21" s="72">
        <f t="shared" si="14"/>
        <v>1641035000</v>
      </c>
      <c r="U21" s="39"/>
      <c r="V21" s="72">
        <f t="shared" si="2"/>
        <v>169571281.69487372</v>
      </c>
      <c r="W21" s="72">
        <f t="shared" si="15"/>
        <v>137876969.71371445</v>
      </c>
      <c r="X21" s="39"/>
      <c r="Y21" s="72">
        <f t="shared" si="3"/>
        <v>22974400</v>
      </c>
      <c r="Z21" s="72">
        <f t="shared" si="16"/>
        <v>18680289.618206747</v>
      </c>
      <c r="AA21" s="39"/>
      <c r="AB21" s="72">
        <f t="shared" si="4"/>
        <v>0</v>
      </c>
      <c r="AC21" s="72">
        <f t="shared" si="17"/>
        <v>0</v>
      </c>
      <c r="AD21" s="39"/>
      <c r="AE21" s="72">
        <f t="shared" si="5"/>
        <v>0</v>
      </c>
      <c r="AF21" s="72">
        <f t="shared" si="18"/>
        <v>0</v>
      </c>
      <c r="AG21" s="39"/>
      <c r="AH21" s="72">
        <f t="shared" si="31"/>
        <v>77500000</v>
      </c>
      <c r="AI21" s="72">
        <f t="shared" si="19"/>
        <v>63014592.129109919</v>
      </c>
      <c r="AJ21" s="39"/>
      <c r="AK21" s="72"/>
      <c r="AL21" s="72"/>
      <c r="AM21" s="39"/>
      <c r="AN21" s="72"/>
      <c r="AO21" s="72"/>
      <c r="AP21" s="39"/>
      <c r="AQ21" s="72"/>
      <c r="AR21" s="72"/>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0</v>
      </c>
      <c r="AU21" s="39"/>
      <c r="AV21" s="72">
        <f t="shared" si="6"/>
        <v>0</v>
      </c>
      <c r="AW21" s="72">
        <f t="shared" si="20"/>
        <v>0</v>
      </c>
      <c r="AX21" s="39"/>
      <c r="AY21" s="40">
        <f>IF(ISERROR(IF($K21&lt;=$F$15,VLOOKUP($I21,'表4）CO2価格'!$A$7:$E$67,VLOOKUP($F$48,'表4）CO2価格'!$H$10:$I$12,2,0),0)*$F$8/1000,"")),0,IF($K21&lt;=$F$15,VLOOKUP($I21,'表4）CO2価格'!$A$7:$E$67,VLOOKUP($F$48,'表4）CO2価格'!$H$10:$I$12,2,0),0)*$F$8/1000,""))</f>
        <v>0</v>
      </c>
      <c r="AZ21" s="39"/>
      <c r="BA21" s="42">
        <f t="shared" si="7"/>
        <v>0</v>
      </c>
      <c r="BB21" s="72">
        <f t="shared" si="21"/>
        <v>0</v>
      </c>
      <c r="BC21" s="39"/>
      <c r="BD21" s="72">
        <f t="shared" si="8"/>
        <v>0</v>
      </c>
      <c r="BE21" s="72">
        <f t="shared" si="22"/>
        <v>0</v>
      </c>
      <c r="BF21" s="39"/>
      <c r="BG21" s="42">
        <f t="shared" si="9"/>
        <v>0</v>
      </c>
      <c r="BH21" s="72">
        <f t="shared" si="23"/>
        <v>0</v>
      </c>
      <c r="BI21" s="39"/>
      <c r="BJ21" s="40">
        <f t="shared" si="24"/>
        <v>0.62274974188459109</v>
      </c>
      <c r="BK21" s="157">
        <f t="shared" si="25"/>
        <v>62570406.666009158</v>
      </c>
      <c r="BL21" s="157">
        <f t="shared" si="10"/>
        <v>16300399.763860146</v>
      </c>
      <c r="BM21" s="72"/>
      <c r="BN21" s="72">
        <f t="shared" si="26"/>
        <v>394491133.17676753</v>
      </c>
      <c r="BO21" s="72">
        <f t="shared" si="27"/>
        <v>320757391.68625015</v>
      </c>
      <c r="BP21" s="39"/>
      <c r="BQ21" s="72">
        <f t="shared" si="11"/>
        <v>26174880</v>
      </c>
      <c r="BR21" s="72">
        <f t="shared" si="28"/>
        <v>21282572.738430925</v>
      </c>
    </row>
    <row r="22" spans="3:70" ht="16.5" x14ac:dyDescent="0.15">
      <c r="D22" s="84" t="s">
        <v>560</v>
      </c>
      <c r="F22" s="478"/>
      <c r="G22" s="71" t="s">
        <v>561</v>
      </c>
      <c r="I22" s="322">
        <f t="shared" si="29"/>
        <v>2027</v>
      </c>
      <c r="K22" s="71">
        <f t="shared" si="30"/>
        <v>8</v>
      </c>
      <c r="M22" s="7">
        <f t="shared" si="0"/>
        <v>0.78940923431393573</v>
      </c>
      <c r="O22" s="10">
        <f t="shared" si="12"/>
        <v>1317896101.593492</v>
      </c>
      <c r="P22" s="29">
        <f t="shared" si="1"/>
        <v>0.114</v>
      </c>
      <c r="R22" s="10">
        <f t="shared" si="13"/>
        <v>1477962115.3923004</v>
      </c>
      <c r="T22" s="10">
        <f t="shared" si="14"/>
        <v>1477962000</v>
      </c>
      <c r="V22" s="10">
        <f t="shared" si="2"/>
        <v>150240155.5816581</v>
      </c>
      <c r="W22" s="10">
        <f t="shared" si="15"/>
        <v>118600966.1809233</v>
      </c>
      <c r="Y22" s="10">
        <f t="shared" si="3"/>
        <v>20691400</v>
      </c>
      <c r="Z22" s="10">
        <f t="shared" si="16"/>
        <v>16333982.230883369</v>
      </c>
      <c r="AB22" s="10">
        <f t="shared" si="4"/>
        <v>0</v>
      </c>
      <c r="AC22" s="10">
        <f t="shared" si="17"/>
        <v>0</v>
      </c>
      <c r="AE22" s="10">
        <f t="shared" si="5"/>
        <v>0</v>
      </c>
      <c r="AF22" s="10">
        <f t="shared" si="18"/>
        <v>0</v>
      </c>
      <c r="AH22" s="679">
        <f t="shared" si="31"/>
        <v>77500000</v>
      </c>
      <c r="AI22" s="10">
        <f t="shared" si="19"/>
        <v>61179215.659330018</v>
      </c>
      <c r="AK22" s="10"/>
      <c r="AL22" s="10"/>
      <c r="AN22" s="10"/>
      <c r="AO22" s="10"/>
      <c r="AQ22" s="10"/>
      <c r="AR22" s="10"/>
      <c r="AT22" s="7">
        <f>IF($K22&lt;=$F$15,IF($F$40&lt;&gt;"",$F$40/1000,IF(ISERROR(VLOOKUP($F$3&amp;IF($G$4&lt;&gt;"",$G$4,"")&amp;IF($F$43&lt;&gt;"","_"&amp;$F$43,""),'表3）燃料価格'!$AF$9:$AG$25,2,0)),0,VLOOKUP($I22,'表3）燃料価格'!$A$6:$U$66,VLOOKUP($F$3&amp;IF($G$4&lt;&gt;"",$G$4,"")&amp;IF($F$43&lt;&gt;"","_"&amp;$F$43,""),'表3）燃料価格'!$AF$9:$AG$25,2,0)+VLOOKUP($F$41,'表3）燃料価格'!$AF$28:$AG$29,2,0),0)*IF($F$43="需要地価格",1,$F$8/$F$141))),"")</f>
        <v>0</v>
      </c>
      <c r="AV22" s="10">
        <f t="shared" si="6"/>
        <v>0</v>
      </c>
      <c r="AW22" s="10">
        <f t="shared" si="20"/>
        <v>0</v>
      </c>
      <c r="AY22" s="7">
        <f>IF(ISERROR(IF($K22&lt;=$F$15,VLOOKUP($I22,'表4）CO2価格'!$A$7:$E$67,VLOOKUP($F$48,'表4）CO2価格'!$H$10:$I$12,2,0),0)*$F$8/1000,"")),0,IF($K22&lt;=$F$15,VLOOKUP($I22,'表4）CO2価格'!$A$7:$E$67,VLOOKUP($F$48,'表4）CO2価格'!$H$10:$I$12,2,0),0)*$F$8/1000,""))</f>
        <v>0</v>
      </c>
      <c r="BA22" s="11">
        <f t="shared" si="7"/>
        <v>0</v>
      </c>
      <c r="BB22" s="10">
        <f t="shared" si="21"/>
        <v>0</v>
      </c>
      <c r="BD22" s="10">
        <f t="shared" si="8"/>
        <v>0</v>
      </c>
      <c r="BE22" s="10">
        <f t="shared" si="22"/>
        <v>0</v>
      </c>
      <c r="BG22" s="11">
        <f t="shared" si="9"/>
        <v>0</v>
      </c>
      <c r="BH22" s="10">
        <f t="shared" si="23"/>
        <v>0</v>
      </c>
      <c r="BJ22" s="7">
        <f t="shared" si="24"/>
        <v>0.5820091045650384</v>
      </c>
      <c r="BK22" s="158">
        <f t="shared" si="25"/>
        <v>57148288.789987512</v>
      </c>
      <c r="BL22" s="158">
        <f t="shared" si="10"/>
        <v>15234018.470897332</v>
      </c>
      <c r="BM22" s="10"/>
      <c r="BN22" s="10">
        <f t="shared" si="26"/>
        <v>394491133.17676753</v>
      </c>
      <c r="BO22" s="10">
        <f t="shared" si="27"/>
        <v>311414943.38470888</v>
      </c>
      <c r="BQ22" s="10">
        <f t="shared" si="11"/>
        <v>26174880</v>
      </c>
      <c r="BR22" s="10">
        <f t="shared" si="28"/>
        <v>20662691.979059149</v>
      </c>
    </row>
    <row r="23" spans="3:70" x14ac:dyDescent="0.15">
      <c r="D23" s="84" t="s">
        <v>562</v>
      </c>
      <c r="F23" s="479"/>
      <c r="G23" s="84" t="s">
        <v>549</v>
      </c>
      <c r="I23" s="38">
        <f t="shared" si="29"/>
        <v>2028</v>
      </c>
      <c r="J23" s="39"/>
      <c r="K23" s="39">
        <f t="shared" si="30"/>
        <v>9</v>
      </c>
      <c r="L23" s="39"/>
      <c r="M23" s="40">
        <f t="shared" si="0"/>
        <v>0.76641673234362695</v>
      </c>
      <c r="N23" s="39"/>
      <c r="O23" s="72">
        <f t="shared" si="12"/>
        <v>1167655946.0118339</v>
      </c>
      <c r="P23" s="41">
        <f t="shared" si="1"/>
        <v>0.114</v>
      </c>
      <c r="Q23" s="39"/>
      <c r="R23" s="72">
        <f t="shared" si="13"/>
        <v>1331094093.9330406</v>
      </c>
      <c r="S23" s="39"/>
      <c r="T23" s="72">
        <f t="shared" si="14"/>
        <v>1331094000</v>
      </c>
      <c r="U23" s="39"/>
      <c r="V23" s="72">
        <f t="shared" si="2"/>
        <v>133112777.84534907</v>
      </c>
      <c r="W23" s="72">
        <f t="shared" si="15"/>
        <v>102019860.22941558</v>
      </c>
      <c r="X23" s="39"/>
      <c r="Y23" s="72">
        <f t="shared" si="3"/>
        <v>18635300</v>
      </c>
      <c r="Z23" s="72">
        <f t="shared" si="16"/>
        <v>14282405.732243191</v>
      </c>
      <c r="AA23" s="39"/>
      <c r="AB23" s="72">
        <f t="shared" si="4"/>
        <v>0</v>
      </c>
      <c r="AC23" s="72">
        <f t="shared" si="17"/>
        <v>0</v>
      </c>
      <c r="AD23" s="39"/>
      <c r="AE23" s="72">
        <f t="shared" si="5"/>
        <v>0</v>
      </c>
      <c r="AF23" s="72">
        <f t="shared" si="18"/>
        <v>0</v>
      </c>
      <c r="AG23" s="39"/>
      <c r="AH23" s="72">
        <f t="shared" si="31"/>
        <v>77500000</v>
      </c>
      <c r="AI23" s="72">
        <f t="shared" si="19"/>
        <v>59397296.756631091</v>
      </c>
      <c r="AJ23" s="39"/>
      <c r="AK23" s="72"/>
      <c r="AL23" s="72"/>
      <c r="AM23" s="39"/>
      <c r="AN23" s="72"/>
      <c r="AO23" s="72"/>
      <c r="AP23" s="39"/>
      <c r="AQ23" s="72"/>
      <c r="AR23" s="72"/>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0</v>
      </c>
      <c r="AU23" s="39"/>
      <c r="AV23" s="72">
        <f t="shared" si="6"/>
        <v>0</v>
      </c>
      <c r="AW23" s="72">
        <f t="shared" si="20"/>
        <v>0</v>
      </c>
      <c r="AX23" s="39"/>
      <c r="AY23" s="40">
        <f>IF(ISERROR(IF($K23&lt;=$F$15,VLOOKUP($I23,'表4）CO2価格'!$A$7:$E$67,VLOOKUP($F$48,'表4）CO2価格'!$H$10:$I$12,2,0),0)*$F$8/1000,"")),0,IF($K23&lt;=$F$15,VLOOKUP($I23,'表4）CO2価格'!$A$7:$E$67,VLOOKUP($F$48,'表4）CO2価格'!$H$10:$I$12,2,0),0)*$F$8/1000,""))</f>
        <v>0</v>
      </c>
      <c r="AZ23" s="39"/>
      <c r="BA23" s="42">
        <f t="shared" si="7"/>
        <v>0</v>
      </c>
      <c r="BB23" s="72">
        <f t="shared" si="21"/>
        <v>0</v>
      </c>
      <c r="BC23" s="39"/>
      <c r="BD23" s="72">
        <f t="shared" si="8"/>
        <v>0</v>
      </c>
      <c r="BE23" s="72">
        <f t="shared" si="22"/>
        <v>0</v>
      </c>
      <c r="BF23" s="39"/>
      <c r="BG23" s="42">
        <f t="shared" si="9"/>
        <v>0</v>
      </c>
      <c r="BH23" s="72">
        <f t="shared" si="23"/>
        <v>0</v>
      </c>
      <c r="BI23" s="39"/>
      <c r="BJ23" s="40">
        <f t="shared" si="24"/>
        <v>0.54393374258414806</v>
      </c>
      <c r="BK23" s="157">
        <f t="shared" si="25"/>
        <v>52291233.523449846</v>
      </c>
      <c r="BL23" s="157">
        <f t="shared" si="10"/>
        <v>14237400.440090965</v>
      </c>
      <c r="BM23" s="72"/>
      <c r="BN23" s="72">
        <f t="shared" si="26"/>
        <v>394491133.17676753</v>
      </c>
      <c r="BO23" s="72">
        <f t="shared" si="27"/>
        <v>302344605.22787273</v>
      </c>
      <c r="BP23" s="39"/>
      <c r="BQ23" s="72">
        <f t="shared" si="11"/>
        <v>26174880</v>
      </c>
      <c r="BR23" s="72">
        <f t="shared" si="28"/>
        <v>20060865.999086555</v>
      </c>
    </row>
    <row r="24" spans="3:70" x14ac:dyDescent="0.15">
      <c r="D24" s="84" t="s">
        <v>563</v>
      </c>
      <c r="F24" s="480">
        <v>0.4</v>
      </c>
      <c r="G24" s="84" t="s">
        <v>549</v>
      </c>
      <c r="I24" s="322">
        <f t="shared" si="29"/>
        <v>2029</v>
      </c>
      <c r="K24" s="71">
        <f t="shared" si="30"/>
        <v>10</v>
      </c>
      <c r="M24" s="7">
        <f t="shared" si="0"/>
        <v>0.74409391489672516</v>
      </c>
      <c r="O24" s="10">
        <f t="shared" si="12"/>
        <v>1034543168.1664848</v>
      </c>
      <c r="P24" s="29">
        <f t="shared" si="1"/>
        <v>0.114</v>
      </c>
      <c r="R24" s="10">
        <f t="shared" si="13"/>
        <v>1198820638.5338399</v>
      </c>
      <c r="T24" s="10">
        <f t="shared" si="14"/>
        <v>1198820000</v>
      </c>
      <c r="V24" s="10">
        <f t="shared" si="2"/>
        <v>117937921.17097928</v>
      </c>
      <c r="W24" s="10">
        <f t="shared" si="15"/>
        <v>87756889.478895336</v>
      </c>
      <c r="Y24" s="10">
        <f t="shared" si="3"/>
        <v>16783400</v>
      </c>
      <c r="Z24" s="10">
        <f t="shared" si="16"/>
        <v>12488425.811277697</v>
      </c>
      <c r="AB24" s="10">
        <f t="shared" si="4"/>
        <v>0</v>
      </c>
      <c r="AC24" s="10">
        <f t="shared" si="17"/>
        <v>0</v>
      </c>
      <c r="AE24" s="10">
        <f t="shared" si="5"/>
        <v>0</v>
      </c>
      <c r="AF24" s="10">
        <f t="shared" si="18"/>
        <v>0</v>
      </c>
      <c r="AH24" s="679">
        <f t="shared" si="31"/>
        <v>77500000</v>
      </c>
      <c r="AI24" s="10">
        <f t="shared" si="19"/>
        <v>57667278.4044962</v>
      </c>
      <c r="AK24" s="10"/>
      <c r="AL24" s="10"/>
      <c r="AN24" s="10"/>
      <c r="AO24" s="10"/>
      <c r="AQ24" s="10"/>
      <c r="AR24" s="10"/>
      <c r="AT24" s="7">
        <f>IF($K24&lt;=$F$15,IF($F$40&lt;&gt;"",$F$40/1000,IF(ISERROR(VLOOKUP($F$3&amp;IF($G$4&lt;&gt;"",$G$4,"")&amp;IF($F$43&lt;&gt;"","_"&amp;$F$43,""),'表3）燃料価格'!$AF$9:$AG$25,2,0)),0,VLOOKUP($I24,'表3）燃料価格'!$A$6:$U$66,VLOOKUP($F$3&amp;IF($G$4&lt;&gt;"",$G$4,"")&amp;IF($F$43&lt;&gt;"","_"&amp;$F$43,""),'表3）燃料価格'!$AF$9:$AG$25,2,0)+VLOOKUP($F$41,'表3）燃料価格'!$AF$28:$AG$29,2,0),0)*IF($F$43="需要地価格",1,$F$8/$F$141))),"")</f>
        <v>0</v>
      </c>
      <c r="AV24" s="10">
        <f t="shared" si="6"/>
        <v>0</v>
      </c>
      <c r="AW24" s="10">
        <f t="shared" si="20"/>
        <v>0</v>
      </c>
      <c r="AY24" s="7">
        <f>IF(ISERROR(IF($K24&lt;=$F$15,VLOOKUP($I24,'表4）CO2価格'!$A$7:$E$67,VLOOKUP($F$48,'表4）CO2価格'!$H$10:$I$12,2,0),0)*$F$8/1000,"")),0,IF($K24&lt;=$F$15,VLOOKUP($I24,'表4）CO2価格'!$A$7:$E$67,VLOOKUP($F$48,'表4）CO2価格'!$H$10:$I$12,2,0),0)*$F$8/1000,""))</f>
        <v>0</v>
      </c>
      <c r="BA24" s="11">
        <f t="shared" si="7"/>
        <v>0</v>
      </c>
      <c r="BB24" s="10">
        <f t="shared" si="21"/>
        <v>0</v>
      </c>
      <c r="BD24" s="10">
        <f t="shared" si="8"/>
        <v>0</v>
      </c>
      <c r="BE24" s="10">
        <f t="shared" si="22"/>
        <v>0</v>
      </c>
      <c r="BG24" s="11">
        <f t="shared" si="9"/>
        <v>0</v>
      </c>
      <c r="BH24" s="10">
        <f t="shared" si="23"/>
        <v>0</v>
      </c>
      <c r="BJ24" s="7">
        <f t="shared" si="24"/>
        <v>0.5083492921347178</v>
      </c>
      <c r="BK24" s="158">
        <f t="shared" si="25"/>
        <v>47928899.650054455</v>
      </c>
      <c r="BL24" s="158">
        <f t="shared" si="10"/>
        <v>13305981.719711183</v>
      </c>
      <c r="BM24" s="10"/>
      <c r="BN24" s="10">
        <f t="shared" si="26"/>
        <v>394491133.17676753</v>
      </c>
      <c r="BO24" s="10">
        <f t="shared" si="27"/>
        <v>293538451.67754632</v>
      </c>
      <c r="BQ24" s="10">
        <f t="shared" si="11"/>
        <v>26174880</v>
      </c>
      <c r="BR24" s="10">
        <f t="shared" si="28"/>
        <v>19476568.931151994</v>
      </c>
    </row>
    <row r="25" spans="3:70" x14ac:dyDescent="0.15">
      <c r="D25" s="84" t="s">
        <v>564</v>
      </c>
      <c r="F25" s="475">
        <v>1.4</v>
      </c>
      <c r="G25" s="84" t="s">
        <v>549</v>
      </c>
      <c r="I25" s="38">
        <f t="shared" si="29"/>
        <v>2030</v>
      </c>
      <c r="J25" s="39"/>
      <c r="K25" s="39">
        <f t="shared" si="30"/>
        <v>11</v>
      </c>
      <c r="L25" s="39"/>
      <c r="M25" s="40">
        <f t="shared" si="0"/>
        <v>0.72242127659876232</v>
      </c>
      <c r="N25" s="39"/>
      <c r="O25" s="72">
        <f t="shared" si="12"/>
        <v>916605246.99550557</v>
      </c>
      <c r="P25" s="41">
        <f t="shared" si="1"/>
        <v>0.114</v>
      </c>
      <c r="Q25" s="39"/>
      <c r="R25" s="72">
        <f t="shared" si="13"/>
        <v>1079691458.271153</v>
      </c>
      <c r="S25" s="39"/>
      <c r="T25" s="72">
        <f t="shared" si="14"/>
        <v>1079691000</v>
      </c>
      <c r="U25" s="39"/>
      <c r="V25" s="72">
        <f t="shared" si="2"/>
        <v>104492998.15748765</v>
      </c>
      <c r="W25" s="72">
        <f t="shared" si="15"/>
        <v>75487965.12456435</v>
      </c>
      <c r="X25" s="39"/>
      <c r="Y25" s="72">
        <f t="shared" si="3"/>
        <v>15115600</v>
      </c>
      <c r="Z25" s="72">
        <f t="shared" si="16"/>
        <v>10919831.048556251</v>
      </c>
      <c r="AA25" s="39"/>
      <c r="AB25" s="72">
        <f t="shared" si="4"/>
        <v>0</v>
      </c>
      <c r="AC25" s="72">
        <f t="shared" si="17"/>
        <v>0</v>
      </c>
      <c r="AD25" s="39"/>
      <c r="AE25" s="72">
        <f t="shared" si="5"/>
        <v>0</v>
      </c>
      <c r="AF25" s="72">
        <f t="shared" si="18"/>
        <v>0</v>
      </c>
      <c r="AG25" s="39"/>
      <c r="AH25" s="72">
        <f t="shared" si="31"/>
        <v>77500000</v>
      </c>
      <c r="AI25" s="72">
        <f t="shared" si="19"/>
        <v>55987648.936404079</v>
      </c>
      <c r="AJ25" s="39"/>
      <c r="AK25" s="72"/>
      <c r="AL25" s="72"/>
      <c r="AM25" s="39"/>
      <c r="AN25" s="72"/>
      <c r="AO25" s="72"/>
      <c r="AP25" s="39"/>
      <c r="AQ25" s="72"/>
      <c r="AR25" s="72"/>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0</v>
      </c>
      <c r="AU25" s="39"/>
      <c r="AV25" s="72">
        <f t="shared" si="6"/>
        <v>0</v>
      </c>
      <c r="AW25" s="72">
        <f t="shared" si="20"/>
        <v>0</v>
      </c>
      <c r="AX25" s="39"/>
      <c r="AY25" s="40">
        <f>IF(ISERROR(IF($K25&lt;=$F$15,VLOOKUP($I25,'表4）CO2価格'!$A$7:$E$67,VLOOKUP($F$48,'表4）CO2価格'!$H$10:$I$12,2,0),0)*$F$8/1000,"")),0,IF($K25&lt;=$F$15,VLOOKUP($I25,'表4）CO2価格'!$A$7:$E$67,VLOOKUP($F$48,'表4）CO2価格'!$H$10:$I$12,2,0),0)*$F$8/1000,""))</f>
        <v>0</v>
      </c>
      <c r="AZ25" s="39"/>
      <c r="BA25" s="42">
        <f t="shared" si="7"/>
        <v>0</v>
      </c>
      <c r="BB25" s="72">
        <f t="shared" si="21"/>
        <v>0</v>
      </c>
      <c r="BC25" s="39"/>
      <c r="BD25" s="72">
        <f t="shared" si="8"/>
        <v>0</v>
      </c>
      <c r="BE25" s="72">
        <f t="shared" si="22"/>
        <v>0</v>
      </c>
      <c r="BF25" s="39"/>
      <c r="BG25" s="42">
        <f t="shared" si="9"/>
        <v>0</v>
      </c>
      <c r="BH25" s="72">
        <f t="shared" si="23"/>
        <v>0</v>
      </c>
      <c r="BI25" s="39"/>
      <c r="BJ25" s="40">
        <f t="shared" si="24"/>
        <v>0.47509279638758667</v>
      </c>
      <c r="BK25" s="157">
        <f t="shared" si="25"/>
        <v>44001004.393114172</v>
      </c>
      <c r="BL25" s="157">
        <f t="shared" si="10"/>
        <v>12435496.934309514</v>
      </c>
      <c r="BM25" s="72"/>
      <c r="BN25" s="72">
        <f t="shared" si="26"/>
        <v>394491133.17676753</v>
      </c>
      <c r="BO25" s="72">
        <f t="shared" si="27"/>
        <v>284988788.03645277</v>
      </c>
      <c r="BP25" s="39"/>
      <c r="BQ25" s="72">
        <f t="shared" si="11"/>
        <v>26174880</v>
      </c>
      <c r="BR25" s="72">
        <f t="shared" si="28"/>
        <v>18909290.224419411</v>
      </c>
    </row>
    <row r="26" spans="3:70" x14ac:dyDescent="0.15">
      <c r="D26" s="84" t="s">
        <v>115</v>
      </c>
      <c r="F26" s="481"/>
      <c r="G26" s="84" t="s">
        <v>565</v>
      </c>
      <c r="I26" s="322">
        <f t="shared" si="29"/>
        <v>2031</v>
      </c>
      <c r="K26" s="71">
        <f t="shared" si="30"/>
        <v>12</v>
      </c>
      <c r="M26" s="7">
        <f t="shared" si="0"/>
        <v>0.70137988019297326</v>
      </c>
      <c r="O26" s="10">
        <f t="shared" si="12"/>
        <v>812112248.83801794</v>
      </c>
      <c r="P26" s="29">
        <f t="shared" si="1"/>
        <v>0.114</v>
      </c>
      <c r="R26" s="10">
        <f t="shared" si="13"/>
        <v>972400380.5017767</v>
      </c>
      <c r="T26" s="10">
        <f t="shared" si="14"/>
        <v>972400000</v>
      </c>
      <c r="V26" s="10">
        <f t="shared" si="2"/>
        <v>92580796.367534041</v>
      </c>
      <c r="W26" s="10">
        <f t="shared" si="15"/>
        <v>64934307.864431083</v>
      </c>
      <c r="Y26" s="10">
        <f t="shared" si="3"/>
        <v>13613600</v>
      </c>
      <c r="Z26" s="10">
        <f t="shared" si="16"/>
        <v>9548305.1369950604</v>
      </c>
      <c r="AB26" s="10">
        <f t="shared" si="4"/>
        <v>0</v>
      </c>
      <c r="AC26" s="10">
        <f t="shared" si="17"/>
        <v>0</v>
      </c>
      <c r="AE26" s="10">
        <f t="shared" si="5"/>
        <v>0</v>
      </c>
      <c r="AF26" s="10">
        <f t="shared" si="18"/>
        <v>0</v>
      </c>
      <c r="AH26" s="679">
        <f t="shared" si="31"/>
        <v>77500000</v>
      </c>
      <c r="AI26" s="10">
        <f t="shared" si="19"/>
        <v>54356940.714955427</v>
      </c>
      <c r="AK26" s="10"/>
      <c r="AL26" s="10"/>
      <c r="AN26" s="10"/>
      <c r="AO26" s="10"/>
      <c r="AQ26" s="10"/>
      <c r="AR26" s="10"/>
      <c r="AT26" s="7">
        <f>IF($K26&lt;=$F$15,IF($F$40&lt;&gt;"",$F$40/1000,IF(ISERROR(VLOOKUP($F$3&amp;IF($G$4&lt;&gt;"",$G$4,"")&amp;IF($F$43&lt;&gt;"","_"&amp;$F$43,""),'表3）燃料価格'!$AF$9:$AG$25,2,0)),0,VLOOKUP($I26,'表3）燃料価格'!$A$6:$U$66,VLOOKUP($F$3&amp;IF($G$4&lt;&gt;"",$G$4,"")&amp;IF($F$43&lt;&gt;"","_"&amp;$F$43,""),'表3）燃料価格'!$AF$9:$AG$25,2,0)+VLOOKUP($F$41,'表3）燃料価格'!$AF$28:$AG$29,2,0),0)*IF($F$43="需要地価格",1,$F$8/$F$141))),"")</f>
        <v>0</v>
      </c>
      <c r="AV26" s="10">
        <f t="shared" si="6"/>
        <v>0</v>
      </c>
      <c r="AW26" s="10">
        <f t="shared" si="20"/>
        <v>0</v>
      </c>
      <c r="AY26" s="7">
        <f>IF(ISERROR(IF($K26&lt;=$F$15,VLOOKUP($I26,'表4）CO2価格'!$A$7:$E$67,VLOOKUP($F$48,'表4）CO2価格'!$H$10:$I$12,2,0),0)*$F$8/1000,"")),0,IF($K26&lt;=$F$15,VLOOKUP($I26,'表4）CO2価格'!$A$7:$E$67,VLOOKUP($F$48,'表4）CO2価格'!$H$10:$I$12,2,0),0)*$F$8/1000,""))</f>
        <v>0</v>
      </c>
      <c r="BA26" s="11">
        <f t="shared" si="7"/>
        <v>0</v>
      </c>
      <c r="BB26" s="10">
        <f t="shared" si="21"/>
        <v>0</v>
      </c>
      <c r="BD26" s="10">
        <f t="shared" si="8"/>
        <v>0</v>
      </c>
      <c r="BE26" s="10">
        <f t="shared" si="22"/>
        <v>0</v>
      </c>
      <c r="BG26" s="11">
        <f t="shared" si="9"/>
        <v>0</v>
      </c>
      <c r="BH26" s="10">
        <f t="shared" si="23"/>
        <v>0</v>
      </c>
      <c r="BJ26" s="7">
        <f t="shared" si="24"/>
        <v>0.44401195924073528</v>
      </c>
      <c r="BK26" s="158">
        <f t="shared" si="25"/>
        <v>40455528.049476661</v>
      </c>
      <c r="BL26" s="158">
        <f t="shared" si="10"/>
        <v>11621959.751691137</v>
      </c>
      <c r="BM26" s="10"/>
      <c r="BN26" s="10">
        <f t="shared" si="26"/>
        <v>394491133.17676753</v>
      </c>
      <c r="BO26" s="10">
        <f t="shared" si="27"/>
        <v>276688143.72471148</v>
      </c>
      <c r="BQ26" s="10">
        <f t="shared" si="11"/>
        <v>26174880</v>
      </c>
      <c r="BR26" s="10">
        <f t="shared" si="28"/>
        <v>18358534.198465452</v>
      </c>
    </row>
    <row r="27" spans="3:70" x14ac:dyDescent="0.15">
      <c r="D27" s="160" t="s">
        <v>86</v>
      </c>
      <c r="F27" s="498">
        <f>F117*5%/10^8</f>
        <v>1.5375000000000001</v>
      </c>
      <c r="G27" s="84" t="s">
        <v>566</v>
      </c>
      <c r="I27" s="38">
        <f t="shared" si="29"/>
        <v>2032</v>
      </c>
      <c r="J27" s="39"/>
      <c r="K27" s="39">
        <f t="shared" si="30"/>
        <v>13</v>
      </c>
      <c r="L27" s="39"/>
      <c r="M27" s="40">
        <f t="shared" si="0"/>
        <v>0.68095133999317792</v>
      </c>
      <c r="N27" s="39"/>
      <c r="O27" s="72">
        <f t="shared" si="12"/>
        <v>719531452.4704839</v>
      </c>
      <c r="P27" s="41">
        <f t="shared" si="1"/>
        <v>0.114</v>
      </c>
      <c r="Q27" s="39"/>
      <c r="R27" s="72">
        <f t="shared" si="13"/>
        <v>875771029.54400909</v>
      </c>
      <c r="S27" s="39"/>
      <c r="T27" s="72">
        <f t="shared" si="14"/>
        <v>875771000</v>
      </c>
      <c r="U27" s="39"/>
      <c r="V27" s="72">
        <f t="shared" si="2"/>
        <v>82026585.581635162</v>
      </c>
      <c r="W27" s="72">
        <f t="shared" si="15"/>
        <v>55856113.366879553</v>
      </c>
      <c r="X27" s="39"/>
      <c r="Y27" s="72">
        <f t="shared" si="3"/>
        <v>12260700</v>
      </c>
      <c r="Z27" s="72">
        <f t="shared" si="16"/>
        <v>8348940.0942543568</v>
      </c>
      <c r="AA27" s="39"/>
      <c r="AB27" s="72">
        <f t="shared" si="4"/>
        <v>0</v>
      </c>
      <c r="AC27" s="72">
        <f t="shared" si="17"/>
        <v>0</v>
      </c>
      <c r="AD27" s="39"/>
      <c r="AE27" s="72">
        <f t="shared" si="5"/>
        <v>0</v>
      </c>
      <c r="AF27" s="72">
        <f t="shared" si="18"/>
        <v>0</v>
      </c>
      <c r="AG27" s="39"/>
      <c r="AH27" s="72">
        <f t="shared" si="31"/>
        <v>77500000</v>
      </c>
      <c r="AI27" s="72">
        <f t="shared" si="19"/>
        <v>52773728.849471286</v>
      </c>
      <c r="AJ27" s="39"/>
      <c r="AK27" s="72"/>
      <c r="AL27" s="72"/>
      <c r="AM27" s="39"/>
      <c r="AN27" s="72"/>
      <c r="AO27" s="72"/>
      <c r="AP27" s="39"/>
      <c r="AQ27" s="72"/>
      <c r="AR27" s="72"/>
      <c r="AS27" s="39"/>
      <c r="AT27" s="40">
        <f>IF($K27&lt;=$F$15,IF($F$40&lt;&gt;"",$F$40/1000,IF(ISERROR(VLOOKUP($F$3&amp;IF($G$4&lt;&gt;"",$G$4,"")&amp;IF($F$43&lt;&gt;"","_"&amp;$F$43,""),'表3）燃料価格'!$AF$9:$AG$25,2,0)),0,VLOOKUP($I27,'表3）燃料価格'!$A$6:$U$66,VLOOKUP($F$3&amp;IF($G$4&lt;&gt;"",$G$4,"")&amp;IF($F$43&lt;&gt;"","_"&amp;$F$43,""),'表3）燃料価格'!$AF$9:$AG$25,2,0)+VLOOKUP($F$41,'表3）燃料価格'!$AF$28:$AG$29,2,0),0)*IF($F$43="需要地価格",1,$F$8/$F$141))),"")</f>
        <v>0</v>
      </c>
      <c r="AU27" s="39"/>
      <c r="AV27" s="72">
        <f t="shared" si="6"/>
        <v>0</v>
      </c>
      <c r="AW27" s="72">
        <f t="shared" si="20"/>
        <v>0</v>
      </c>
      <c r="AX27" s="39"/>
      <c r="AY27" s="40">
        <f>IF(ISERROR(IF($K27&lt;=$F$15,VLOOKUP($I27,'表4）CO2価格'!$A$7:$E$67,VLOOKUP($F$48,'表4）CO2価格'!$H$10:$I$12,2,0),0)*$F$8/1000,"")),0,IF($K27&lt;=$F$15,VLOOKUP($I27,'表4）CO2価格'!$A$7:$E$67,VLOOKUP($F$48,'表4）CO2価格'!$H$10:$I$12,2,0),0)*$F$8/1000,""))</f>
        <v>0</v>
      </c>
      <c r="AZ27" s="39"/>
      <c r="BA27" s="42">
        <f t="shared" si="7"/>
        <v>0</v>
      </c>
      <c r="BB27" s="72">
        <f t="shared" si="21"/>
        <v>0</v>
      </c>
      <c r="BC27" s="39"/>
      <c r="BD27" s="72">
        <f t="shared" si="8"/>
        <v>0</v>
      </c>
      <c r="BE27" s="72">
        <f t="shared" si="22"/>
        <v>0</v>
      </c>
      <c r="BF27" s="39"/>
      <c r="BG27" s="42">
        <f t="shared" si="9"/>
        <v>0</v>
      </c>
      <c r="BH27" s="72">
        <f t="shared" si="23"/>
        <v>0</v>
      </c>
      <c r="BI27" s="39"/>
      <c r="BJ27" s="40">
        <f t="shared" si="24"/>
        <v>0.41496444788853759</v>
      </c>
      <c r="BK27" s="157">
        <f t="shared" si="25"/>
        <v>37247499.317588657</v>
      </c>
      <c r="BL27" s="157">
        <f t="shared" si="10"/>
        <v>10861644.627748724</v>
      </c>
      <c r="BM27" s="72"/>
      <c r="BN27" s="72">
        <f t="shared" si="26"/>
        <v>394491133.17676753</v>
      </c>
      <c r="BO27" s="72">
        <f t="shared" si="27"/>
        <v>268629265.75214708</v>
      </c>
      <c r="BP27" s="39"/>
      <c r="BQ27" s="72">
        <f t="shared" si="11"/>
        <v>26174880</v>
      </c>
      <c r="BR27" s="72">
        <f t="shared" si="28"/>
        <v>17823819.610160634</v>
      </c>
    </row>
    <row r="28" spans="3:70" x14ac:dyDescent="0.15">
      <c r="D28" s="84" t="s">
        <v>116</v>
      </c>
      <c r="F28" s="481">
        <v>1</v>
      </c>
      <c r="G28" s="84" t="s">
        <v>556</v>
      </c>
      <c r="I28" s="322">
        <f t="shared" si="29"/>
        <v>2033</v>
      </c>
      <c r="K28" s="71">
        <f t="shared" si="30"/>
        <v>14</v>
      </c>
      <c r="M28" s="7">
        <f t="shared" si="0"/>
        <v>0.66111780581861923</v>
      </c>
      <c r="O28" s="10">
        <f t="shared" si="12"/>
        <v>637504866.88884878</v>
      </c>
      <c r="P28" s="29">
        <f t="shared" si="1"/>
        <v>0.114</v>
      </c>
      <c r="R28" s="10">
        <f t="shared" si="13"/>
        <v>788743928.49661398</v>
      </c>
      <c r="T28" s="10">
        <f t="shared" si="14"/>
        <v>788743000</v>
      </c>
      <c r="V28" s="10">
        <f t="shared" si="2"/>
        <v>72675554.825328767</v>
      </c>
      <c r="W28" s="10">
        <f t="shared" si="15"/>
        <v>48047103.342772119</v>
      </c>
      <c r="Y28" s="10">
        <f t="shared" si="3"/>
        <v>11042400</v>
      </c>
      <c r="Z28" s="10">
        <f t="shared" si="16"/>
        <v>7300327.2589715207</v>
      </c>
      <c r="AB28" s="10">
        <f t="shared" si="4"/>
        <v>0</v>
      </c>
      <c r="AC28" s="10">
        <f t="shared" si="17"/>
        <v>0</v>
      </c>
      <c r="AE28" s="10">
        <f t="shared" si="5"/>
        <v>0</v>
      </c>
      <c r="AF28" s="10">
        <f t="shared" si="18"/>
        <v>0</v>
      </c>
      <c r="AH28" s="679">
        <f t="shared" si="31"/>
        <v>77500000</v>
      </c>
      <c r="AI28" s="10">
        <f t="shared" si="19"/>
        <v>51236629.950942993</v>
      </c>
      <c r="AK28" s="10"/>
      <c r="AL28" s="10"/>
      <c r="AN28" s="10"/>
      <c r="AO28" s="10"/>
      <c r="AQ28" s="10"/>
      <c r="AR28" s="10"/>
      <c r="AT28" s="7">
        <f>IF($K28&lt;=$F$15,IF($F$40&lt;&gt;"",$F$40/1000,IF(ISERROR(VLOOKUP($F$3&amp;IF($G$4&lt;&gt;"",$G$4,"")&amp;IF($F$43&lt;&gt;"","_"&amp;$F$43,""),'表3）燃料価格'!$AF$9:$AG$25,2,0)),0,VLOOKUP($I28,'表3）燃料価格'!$A$6:$U$66,VLOOKUP($F$3&amp;IF($G$4&lt;&gt;"",$G$4,"")&amp;IF($F$43&lt;&gt;"","_"&amp;$F$43,""),'表3）燃料価格'!$AF$9:$AG$25,2,0)+VLOOKUP($F$41,'表3）燃料価格'!$AF$28:$AG$29,2,0),0)*IF($F$43="需要地価格",1,$F$8/$F$141))),"")</f>
        <v>0</v>
      </c>
      <c r="AV28" s="10">
        <f t="shared" si="6"/>
        <v>0</v>
      </c>
      <c r="AW28" s="10">
        <f t="shared" si="20"/>
        <v>0</v>
      </c>
      <c r="AY28" s="7">
        <f>IF(ISERROR(IF($K28&lt;=$F$15,VLOOKUP($I28,'表4）CO2価格'!$A$7:$E$67,VLOOKUP($F$48,'表4）CO2価格'!$H$10:$I$12,2,0),0)*$F$8/1000,"")),0,IF($K28&lt;=$F$15,VLOOKUP($I28,'表4）CO2価格'!$A$7:$E$67,VLOOKUP($F$48,'表4）CO2価格'!$H$10:$I$12,2,0),0)*$F$8/1000,""))</f>
        <v>0</v>
      </c>
      <c r="BA28" s="11">
        <f t="shared" si="7"/>
        <v>0</v>
      </c>
      <c r="BB28" s="10">
        <f t="shared" si="21"/>
        <v>0</v>
      </c>
      <c r="BD28" s="10">
        <f t="shared" si="8"/>
        <v>0</v>
      </c>
      <c r="BE28" s="10">
        <f t="shared" si="22"/>
        <v>0</v>
      </c>
      <c r="BG28" s="11">
        <f t="shared" si="9"/>
        <v>0</v>
      </c>
      <c r="BH28" s="10">
        <f t="shared" si="23"/>
        <v>0</v>
      </c>
      <c r="BJ28" s="7">
        <f t="shared" si="24"/>
        <v>0.3878172410173249</v>
      </c>
      <c r="BK28" s="158">
        <f t="shared" si="25"/>
        <v>34338269.281052388</v>
      </c>
      <c r="BL28" s="158">
        <f t="shared" si="10"/>
        <v>10151069.745559556</v>
      </c>
      <c r="BM28" s="10"/>
      <c r="BN28" s="10">
        <f t="shared" si="26"/>
        <v>394491133.17676753</v>
      </c>
      <c r="BO28" s="10">
        <f t="shared" si="27"/>
        <v>260805112.38072526</v>
      </c>
      <c r="BQ28" s="10">
        <f t="shared" si="11"/>
        <v>26174880</v>
      </c>
      <c r="BR28" s="10">
        <f t="shared" si="28"/>
        <v>17304679.233165659</v>
      </c>
    </row>
    <row r="29" spans="3:70" x14ac:dyDescent="0.15">
      <c r="D29" s="84" t="s">
        <v>567</v>
      </c>
      <c r="F29" s="481"/>
      <c r="G29" s="84" t="s">
        <v>566</v>
      </c>
      <c r="I29" s="38">
        <f t="shared" si="29"/>
        <v>2034</v>
      </c>
      <c r="J29" s="39"/>
      <c r="K29" s="39">
        <f t="shared" si="30"/>
        <v>15</v>
      </c>
      <c r="L29" s="39"/>
      <c r="M29" s="40">
        <f t="shared" si="0"/>
        <v>0.64186194739671765</v>
      </c>
      <c r="N29" s="39"/>
      <c r="O29" s="72">
        <f t="shared" si="12"/>
        <v>564829312.06351995</v>
      </c>
      <c r="P29" s="41">
        <f t="shared" si="1"/>
        <v>0.125</v>
      </c>
      <c r="Q29" s="39"/>
      <c r="R29" s="72">
        <f t="shared" si="13"/>
        <v>710364882.7755717</v>
      </c>
      <c r="S29" s="39"/>
      <c r="T29" s="72">
        <f t="shared" si="14"/>
        <v>710364000</v>
      </c>
      <c r="U29" s="39"/>
      <c r="V29" s="72">
        <f t="shared" si="2"/>
        <v>70603664.007939994</v>
      </c>
      <c r="W29" s="72">
        <f t="shared" si="15"/>
        <v>45317805.273479909</v>
      </c>
      <c r="X29" s="39"/>
      <c r="Y29" s="72">
        <f t="shared" si="3"/>
        <v>9945000</v>
      </c>
      <c r="Z29" s="72">
        <f t="shared" si="16"/>
        <v>6383317.0668603573</v>
      </c>
      <c r="AA29" s="39"/>
      <c r="AB29" s="72">
        <f t="shared" si="4"/>
        <v>0</v>
      </c>
      <c r="AC29" s="72">
        <f t="shared" si="17"/>
        <v>0</v>
      </c>
      <c r="AD29" s="39"/>
      <c r="AE29" s="72">
        <f t="shared" si="5"/>
        <v>0</v>
      </c>
      <c r="AF29" s="72">
        <f t="shared" si="18"/>
        <v>0</v>
      </c>
      <c r="AG29" s="39"/>
      <c r="AH29" s="72">
        <f t="shared" si="31"/>
        <v>77500000</v>
      </c>
      <c r="AI29" s="72">
        <f t="shared" si="19"/>
        <v>49744300.923245616</v>
      </c>
      <c r="AJ29" s="39"/>
      <c r="AK29" s="72"/>
      <c r="AL29" s="72"/>
      <c r="AM29" s="39"/>
      <c r="AN29" s="72"/>
      <c r="AO29" s="72"/>
      <c r="AP29" s="39"/>
      <c r="AQ29" s="72"/>
      <c r="AR29" s="72"/>
      <c r="AS29" s="39"/>
      <c r="AT29" s="40">
        <f>IF($K29&lt;=$F$15,IF($F$40&lt;&gt;"",$F$40/1000,IF(ISERROR(VLOOKUP($F$3&amp;IF($G$4&lt;&gt;"",$G$4,"")&amp;IF($F$43&lt;&gt;"","_"&amp;$F$43,""),'表3）燃料価格'!$AF$9:$AG$25,2,0)),0,VLOOKUP($I29,'表3）燃料価格'!$A$6:$U$66,VLOOKUP($F$3&amp;IF($G$4&lt;&gt;"",$G$4,"")&amp;IF($F$43&lt;&gt;"","_"&amp;$F$43,""),'表3）燃料価格'!$AF$9:$AG$25,2,0)+VLOOKUP($F$41,'表3）燃料価格'!$AF$28:$AG$29,2,0),0)*IF($F$43="需要地価格",1,$F$8/$F$141))),"")</f>
        <v>0</v>
      </c>
      <c r="AU29" s="39"/>
      <c r="AV29" s="72">
        <f t="shared" si="6"/>
        <v>0</v>
      </c>
      <c r="AW29" s="72">
        <f t="shared" si="20"/>
        <v>0</v>
      </c>
      <c r="AX29" s="39"/>
      <c r="AY29" s="40">
        <f>IF(ISERROR(IF($K29&lt;=$F$15,VLOOKUP($I29,'表4）CO2価格'!$A$7:$E$67,VLOOKUP($F$48,'表4）CO2価格'!$H$10:$I$12,2,0),0)*$F$8/1000,"")),0,IF($K29&lt;=$F$15,VLOOKUP($I29,'表4）CO2価格'!$A$7:$E$67,VLOOKUP($F$48,'表4）CO2価格'!$H$10:$I$12,2,0),0)*$F$8/1000,""))</f>
        <v>0</v>
      </c>
      <c r="AZ29" s="39"/>
      <c r="BA29" s="42">
        <f t="shared" si="7"/>
        <v>0</v>
      </c>
      <c r="BB29" s="72">
        <f t="shared" si="21"/>
        <v>0</v>
      </c>
      <c r="BC29" s="39"/>
      <c r="BD29" s="72">
        <f t="shared" si="8"/>
        <v>0</v>
      </c>
      <c r="BE29" s="72">
        <f t="shared" si="22"/>
        <v>0</v>
      </c>
      <c r="BF29" s="39"/>
      <c r="BG29" s="42">
        <f t="shared" si="9"/>
        <v>0</v>
      </c>
      <c r="BH29" s="72">
        <f t="shared" si="23"/>
        <v>0</v>
      </c>
      <c r="BI29" s="39"/>
      <c r="BJ29" s="40">
        <f t="shared" si="24"/>
        <v>0.36244601964235967</v>
      </c>
      <c r="BK29" s="157">
        <f t="shared" si="25"/>
        <v>31694092.187626142</v>
      </c>
      <c r="BL29" s="157">
        <f t="shared" si="10"/>
        <v>9486981.0706164073</v>
      </c>
      <c r="BM29" s="72"/>
      <c r="BN29" s="72">
        <f t="shared" si="26"/>
        <v>394491133.17676753</v>
      </c>
      <c r="BO29" s="72">
        <f t="shared" si="27"/>
        <v>253208846.97157788</v>
      </c>
      <c r="BP29" s="39"/>
      <c r="BQ29" s="72">
        <f t="shared" si="11"/>
        <v>26174880</v>
      </c>
      <c r="BR29" s="72">
        <f t="shared" si="28"/>
        <v>16800659.449675396</v>
      </c>
    </row>
    <row r="30" spans="3:70" x14ac:dyDescent="0.15">
      <c r="I30" s="322">
        <f t="shared" si="29"/>
        <v>2035</v>
      </c>
      <c r="K30" s="71">
        <f t="shared" si="30"/>
        <v>16</v>
      </c>
      <c r="M30" s="7">
        <f t="shared" si="0"/>
        <v>0.62316693922011435</v>
      </c>
      <c r="O30" s="10">
        <f t="shared" si="12"/>
        <v>494225648.05557996</v>
      </c>
      <c r="P30" s="29" t="str">
        <f t="shared" si="1"/>
        <v>-</v>
      </c>
      <c r="R30" s="10">
        <f t="shared" si="13"/>
        <v>639774518.00178003</v>
      </c>
      <c r="T30" s="10">
        <f t="shared" si="14"/>
        <v>639774000</v>
      </c>
      <c r="V30" s="10">
        <f t="shared" si="2"/>
        <v>70603664.007939994</v>
      </c>
      <c r="W30" s="10">
        <f t="shared" si="15"/>
        <v>43997869.197553314</v>
      </c>
      <c r="Y30" s="10">
        <f t="shared" si="3"/>
        <v>8956800</v>
      </c>
      <c r="Z30" s="10">
        <f t="shared" si="16"/>
        <v>5581581.6412067199</v>
      </c>
      <c r="AB30" s="10">
        <f t="shared" si="4"/>
        <v>0</v>
      </c>
      <c r="AC30" s="10">
        <f t="shared" si="17"/>
        <v>0</v>
      </c>
      <c r="AE30" s="10">
        <f t="shared" si="5"/>
        <v>0</v>
      </c>
      <c r="AF30" s="10">
        <f t="shared" si="18"/>
        <v>0</v>
      </c>
      <c r="AH30" s="679">
        <f t="shared" si="31"/>
        <v>77500000</v>
      </c>
      <c r="AI30" s="10">
        <f t="shared" si="19"/>
        <v>48295437.789558865</v>
      </c>
      <c r="AK30" s="10"/>
      <c r="AL30" s="10"/>
      <c r="AN30" s="10"/>
      <c r="AO30" s="10"/>
      <c r="AQ30" s="10"/>
      <c r="AR30" s="10"/>
      <c r="AT30" s="7">
        <f>IF($K30&lt;=$F$15,IF($F$40&lt;&gt;"",$F$40/1000,IF(ISERROR(VLOOKUP($F$3&amp;IF($G$4&lt;&gt;"",$G$4,"")&amp;IF($F$43&lt;&gt;"","_"&amp;$F$43,""),'表3）燃料価格'!$AF$9:$AG$25,2,0)),0,VLOOKUP($I30,'表3）燃料価格'!$A$6:$U$66,VLOOKUP($F$3&amp;IF($G$4&lt;&gt;"",$G$4,"")&amp;IF($F$43&lt;&gt;"","_"&amp;$F$43,""),'表3）燃料価格'!$AF$9:$AG$25,2,0)+VLOOKUP($F$41,'表3）燃料価格'!$AF$28:$AG$29,2,0),0)*IF($F$43="需要地価格",1,$F$8/$F$141))),"")</f>
        <v>0</v>
      </c>
      <c r="AV30" s="10">
        <f t="shared" si="6"/>
        <v>0</v>
      </c>
      <c r="AW30" s="10">
        <f t="shared" si="20"/>
        <v>0</v>
      </c>
      <c r="AY30" s="7">
        <f>IF(ISERROR(IF($K30&lt;=$F$15,VLOOKUP($I30,'表4）CO2価格'!$A$7:$E$67,VLOOKUP($F$48,'表4）CO2価格'!$H$10:$I$12,2,0),0)*$F$8/1000,"")),0,IF($K30&lt;=$F$15,VLOOKUP($I30,'表4）CO2価格'!$A$7:$E$67,VLOOKUP($F$48,'表4）CO2価格'!$H$10:$I$12,2,0),0)*$F$8/1000,""))</f>
        <v>0</v>
      </c>
      <c r="BA30" s="11">
        <f t="shared" si="7"/>
        <v>0</v>
      </c>
      <c r="BB30" s="10">
        <f t="shared" si="21"/>
        <v>0</v>
      </c>
      <c r="BD30" s="10">
        <f t="shared" si="8"/>
        <v>0</v>
      </c>
      <c r="BE30" s="10">
        <f t="shared" si="22"/>
        <v>0</v>
      </c>
      <c r="BG30" s="11">
        <f t="shared" si="9"/>
        <v>0</v>
      </c>
      <c r="BH30" s="10">
        <f t="shared" si="23"/>
        <v>0</v>
      </c>
      <c r="BJ30" s="7">
        <f t="shared" si="24"/>
        <v>0.33873459779659787</v>
      </c>
      <c r="BK30" s="158">
        <f t="shared" si="25"/>
        <v>29285909.374780905</v>
      </c>
      <c r="BL30" s="158">
        <f t="shared" si="10"/>
        <v>8866337.4491742142</v>
      </c>
      <c r="BM30" s="10"/>
      <c r="BN30" s="10">
        <f t="shared" si="26"/>
        <v>394491133.17676753</v>
      </c>
      <c r="BO30" s="10">
        <f t="shared" si="27"/>
        <v>245833832.01124072</v>
      </c>
      <c r="BQ30" s="10">
        <f t="shared" si="11"/>
        <v>26174880</v>
      </c>
      <c r="BR30" s="10">
        <f t="shared" si="28"/>
        <v>16311319.854053786</v>
      </c>
    </row>
    <row r="31" spans="3:70" x14ac:dyDescent="0.15">
      <c r="C31" s="4" t="s">
        <v>568</v>
      </c>
      <c r="D31" s="100"/>
      <c r="E31" s="100"/>
      <c r="F31" s="4"/>
      <c r="G31" s="100"/>
      <c r="I31" s="38">
        <f t="shared" si="29"/>
        <v>2036</v>
      </c>
      <c r="J31" s="39"/>
      <c r="K31" s="39">
        <f t="shared" si="30"/>
        <v>17</v>
      </c>
      <c r="L31" s="39"/>
      <c r="M31" s="40">
        <f t="shared" si="0"/>
        <v>0.60501644584477121</v>
      </c>
      <c r="N31" s="39"/>
      <c r="O31" s="72">
        <f t="shared" si="12"/>
        <v>423621984.04763997</v>
      </c>
      <c r="P31" s="41" t="str">
        <f t="shared" si="1"/>
        <v>-</v>
      </c>
      <c r="Q31" s="39"/>
      <c r="R31" s="72">
        <f t="shared" si="13"/>
        <v>576198857.52956808</v>
      </c>
      <c r="S31" s="39"/>
      <c r="T31" s="72">
        <f t="shared" si="14"/>
        <v>576198000</v>
      </c>
      <c r="U31" s="39"/>
      <c r="V31" s="72">
        <f t="shared" si="2"/>
        <v>70603664.007939994</v>
      </c>
      <c r="W31" s="72">
        <f t="shared" si="15"/>
        <v>42716377.861702248</v>
      </c>
      <c r="X31" s="39"/>
      <c r="Y31" s="72">
        <f t="shared" si="3"/>
        <v>8066700</v>
      </c>
      <c r="Z31" s="72">
        <f t="shared" si="16"/>
        <v>4880486.1636960162</v>
      </c>
      <c r="AA31" s="39"/>
      <c r="AB31" s="72">
        <f t="shared" si="4"/>
        <v>0</v>
      </c>
      <c r="AC31" s="72">
        <f t="shared" si="17"/>
        <v>0</v>
      </c>
      <c r="AD31" s="39"/>
      <c r="AE31" s="72">
        <f t="shared" si="5"/>
        <v>0</v>
      </c>
      <c r="AF31" s="72">
        <f t="shared" si="18"/>
        <v>0</v>
      </c>
      <c r="AG31" s="39"/>
      <c r="AH31" s="72">
        <f t="shared" si="31"/>
        <v>77500000</v>
      </c>
      <c r="AI31" s="72">
        <f t="shared" si="19"/>
        <v>46888774.552969769</v>
      </c>
      <c r="AJ31" s="39"/>
      <c r="AK31" s="72"/>
      <c r="AL31" s="72"/>
      <c r="AM31" s="39"/>
      <c r="AN31" s="72"/>
      <c r="AO31" s="72"/>
      <c r="AP31" s="39"/>
      <c r="AQ31" s="72"/>
      <c r="AR31" s="72"/>
      <c r="AS31" s="39"/>
      <c r="AT31" s="40">
        <f>IF($K31&lt;=$F$15,IF($F$40&lt;&gt;"",$F$40/1000,IF(ISERROR(VLOOKUP($F$3&amp;IF($G$4&lt;&gt;"",$G$4,"")&amp;IF($F$43&lt;&gt;"","_"&amp;$F$43,""),'表3）燃料価格'!$AF$9:$AG$25,2,0)),0,VLOOKUP($I31,'表3）燃料価格'!$A$6:$U$66,VLOOKUP($F$3&amp;IF($G$4&lt;&gt;"",$G$4,"")&amp;IF($F$43&lt;&gt;"","_"&amp;$F$43,""),'表3）燃料価格'!$AF$9:$AG$25,2,0)+VLOOKUP($F$41,'表3）燃料価格'!$AF$28:$AG$29,2,0),0)*IF($F$43="需要地価格",1,$F$8/$F$141))),"")</f>
        <v>0</v>
      </c>
      <c r="AU31" s="39"/>
      <c r="AV31" s="72">
        <f t="shared" si="6"/>
        <v>0</v>
      </c>
      <c r="AW31" s="72">
        <f t="shared" si="20"/>
        <v>0</v>
      </c>
      <c r="AX31" s="39"/>
      <c r="AY31" s="40">
        <f>IF(ISERROR(IF($K31&lt;=$F$15,VLOOKUP($I31,'表4）CO2価格'!$A$7:$E$67,VLOOKUP($F$48,'表4）CO2価格'!$H$10:$I$12,2,0),0)*$F$8/1000,"")),0,IF($K31&lt;=$F$15,VLOOKUP($I31,'表4）CO2価格'!$A$7:$E$67,VLOOKUP($F$48,'表4）CO2価格'!$H$10:$I$12,2,0),0)*$F$8/1000,""))</f>
        <v>0</v>
      </c>
      <c r="AZ31" s="39"/>
      <c r="BA31" s="42">
        <f t="shared" si="7"/>
        <v>0</v>
      </c>
      <c r="BB31" s="72">
        <f t="shared" si="21"/>
        <v>0</v>
      </c>
      <c r="BC31" s="39"/>
      <c r="BD31" s="72">
        <f t="shared" si="8"/>
        <v>0</v>
      </c>
      <c r="BE31" s="72">
        <f t="shared" si="22"/>
        <v>0</v>
      </c>
      <c r="BF31" s="39"/>
      <c r="BG31" s="42">
        <f t="shared" si="9"/>
        <v>0</v>
      </c>
      <c r="BH31" s="72">
        <f t="shared" si="23"/>
        <v>0</v>
      </c>
      <c r="BI31" s="39"/>
      <c r="BJ31" s="40">
        <f t="shared" si="24"/>
        <v>0.31657439046411018</v>
      </c>
      <c r="BK31" s="157">
        <f t="shared" si="25"/>
        <v>27088225.896525376</v>
      </c>
      <c r="BL31" s="157">
        <f t="shared" si="10"/>
        <v>8286296.6814712286</v>
      </c>
      <c r="BM31" s="72"/>
      <c r="BN31" s="72">
        <f t="shared" si="26"/>
        <v>394491133.17676753</v>
      </c>
      <c r="BO31" s="72">
        <f t="shared" si="27"/>
        <v>238673623.31188419</v>
      </c>
      <c r="BP31" s="39"/>
      <c r="BQ31" s="72">
        <f t="shared" si="11"/>
        <v>26174880</v>
      </c>
      <c r="BR31" s="72">
        <f t="shared" si="28"/>
        <v>15836232.868013386</v>
      </c>
    </row>
    <row r="32" spans="3:70" x14ac:dyDescent="0.15">
      <c r="I32" s="322">
        <f t="shared" si="29"/>
        <v>2037</v>
      </c>
      <c r="K32" s="71">
        <f t="shared" si="30"/>
        <v>18</v>
      </c>
      <c r="M32" s="7">
        <f t="shared" si="0"/>
        <v>0.5873946076162827</v>
      </c>
      <c r="O32" s="10">
        <f t="shared" si="12"/>
        <v>353018320.03969997</v>
      </c>
      <c r="P32" s="29" t="str">
        <f t="shared" si="1"/>
        <v>-</v>
      </c>
      <c r="R32" s="10">
        <f t="shared" si="13"/>
        <v>518940836.30485541</v>
      </c>
      <c r="T32" s="10">
        <f t="shared" si="14"/>
        <v>518940000</v>
      </c>
      <c r="V32" s="10">
        <f t="shared" si="2"/>
        <v>70603664.007939994</v>
      </c>
      <c r="W32" s="10">
        <f t="shared" si="15"/>
        <v>41472211.516215771</v>
      </c>
      <c r="Y32" s="10">
        <f t="shared" si="3"/>
        <v>7265100</v>
      </c>
      <c r="Z32" s="10">
        <f t="shared" si="16"/>
        <v>4267480.5637930557</v>
      </c>
      <c r="AB32" s="10">
        <f t="shared" si="4"/>
        <v>0</v>
      </c>
      <c r="AC32" s="10">
        <f t="shared" si="17"/>
        <v>0</v>
      </c>
      <c r="AE32" s="10">
        <f t="shared" si="5"/>
        <v>0</v>
      </c>
      <c r="AF32" s="10">
        <f t="shared" si="18"/>
        <v>0</v>
      </c>
      <c r="AH32" s="679">
        <f t="shared" si="31"/>
        <v>77500000</v>
      </c>
      <c r="AI32" s="10">
        <f t="shared" si="19"/>
        <v>45523082.090261906</v>
      </c>
      <c r="AK32" s="10"/>
      <c r="AL32" s="10"/>
      <c r="AN32" s="10"/>
      <c r="AO32" s="10"/>
      <c r="AQ32" s="10"/>
      <c r="AR32" s="10"/>
      <c r="AT32" s="7">
        <f>IF($K32&lt;=$F$15,IF($F$40&lt;&gt;"",$F$40/1000,IF(ISERROR(VLOOKUP($F$3&amp;IF($G$4&lt;&gt;"",$G$4,"")&amp;IF($F$43&lt;&gt;"","_"&amp;$F$43,""),'表3）燃料価格'!$AF$9:$AG$25,2,0)),0,VLOOKUP($I32,'表3）燃料価格'!$A$6:$U$66,VLOOKUP($F$3&amp;IF($G$4&lt;&gt;"",$G$4,"")&amp;IF($F$43&lt;&gt;"","_"&amp;$F$43,""),'表3）燃料価格'!$AF$9:$AG$25,2,0)+VLOOKUP($F$41,'表3）燃料価格'!$AF$28:$AG$29,2,0),0)*IF($F$43="需要地価格",1,$F$8/$F$141))),"")</f>
        <v>0</v>
      </c>
      <c r="AV32" s="10">
        <f t="shared" si="6"/>
        <v>0</v>
      </c>
      <c r="AW32" s="10">
        <f t="shared" si="20"/>
        <v>0</v>
      </c>
      <c r="AY32" s="7">
        <f>IF(ISERROR(IF($K32&lt;=$F$15,VLOOKUP($I32,'表4）CO2価格'!$A$7:$E$67,VLOOKUP($F$48,'表4）CO2価格'!$H$10:$I$12,2,0),0)*$F$8/1000,"")),0,IF($K32&lt;=$F$15,VLOOKUP($I32,'表4）CO2価格'!$A$7:$E$67,VLOOKUP($F$48,'表4）CO2価格'!$H$10:$I$12,2,0),0)*$F$8/1000,""))</f>
        <v>0</v>
      </c>
      <c r="BA32" s="11">
        <f t="shared" si="7"/>
        <v>0</v>
      </c>
      <c r="BB32" s="10">
        <f t="shared" si="21"/>
        <v>0</v>
      </c>
      <c r="BD32" s="10">
        <f t="shared" si="8"/>
        <v>0</v>
      </c>
      <c r="BE32" s="10">
        <f t="shared" si="22"/>
        <v>0</v>
      </c>
      <c r="BG32" s="11">
        <f t="shared" si="9"/>
        <v>0</v>
      </c>
      <c r="BH32" s="10">
        <f t="shared" si="23"/>
        <v>0</v>
      </c>
      <c r="BJ32" s="7">
        <f t="shared" si="24"/>
        <v>0.29586391632159825</v>
      </c>
      <c r="BK32" s="158">
        <f t="shared" si="25"/>
        <v>25078934.45339191</v>
      </c>
      <c r="BL32" s="158">
        <f t="shared" si="10"/>
        <v>7744202.5060478756</v>
      </c>
      <c r="BM32" s="10"/>
      <c r="BN32" s="10">
        <f t="shared" si="26"/>
        <v>394491133.17676753</v>
      </c>
      <c r="BO32" s="10">
        <f t="shared" si="27"/>
        <v>231721964.3804701</v>
      </c>
      <c r="BQ32" s="10">
        <f t="shared" si="11"/>
        <v>26174880</v>
      </c>
      <c r="BR32" s="10">
        <f t="shared" si="28"/>
        <v>15374983.367003286</v>
      </c>
    </row>
    <row r="33" spans="3:70" x14ac:dyDescent="0.15">
      <c r="D33" s="160" t="s">
        <v>232</v>
      </c>
      <c r="F33" s="475">
        <v>1.55</v>
      </c>
      <c r="G33" s="160" t="s">
        <v>241</v>
      </c>
      <c r="I33" s="38">
        <f t="shared" si="29"/>
        <v>2038</v>
      </c>
      <c r="J33" s="39"/>
      <c r="K33" s="39">
        <f t="shared" si="30"/>
        <v>19</v>
      </c>
      <c r="L33" s="39"/>
      <c r="M33" s="40">
        <f t="shared" si="0"/>
        <v>0.57028602681192497</v>
      </c>
      <c r="N33" s="39"/>
      <c r="O33" s="72">
        <f t="shared" si="12"/>
        <v>282414656.03175998</v>
      </c>
      <c r="P33" s="41" t="str">
        <f t="shared" si="1"/>
        <v>-</v>
      </c>
      <c r="Q33" s="39"/>
      <c r="R33" s="72">
        <f t="shared" si="13"/>
        <v>467372658.00802708</v>
      </c>
      <c r="S33" s="39"/>
      <c r="T33" s="72">
        <f t="shared" si="14"/>
        <v>467372000</v>
      </c>
      <c r="U33" s="39"/>
      <c r="V33" s="72">
        <f t="shared" si="2"/>
        <v>70603664.007939994</v>
      </c>
      <c r="W33" s="72">
        <f t="shared" si="15"/>
        <v>40264283.025452211</v>
      </c>
      <c r="X33" s="39"/>
      <c r="Y33" s="72">
        <f t="shared" si="3"/>
        <v>6543200</v>
      </c>
      <c r="Z33" s="72">
        <f t="shared" si="16"/>
        <v>3731495.5306357876</v>
      </c>
      <c r="AA33" s="39"/>
      <c r="AB33" s="72">
        <f t="shared" si="4"/>
        <v>0</v>
      </c>
      <c r="AC33" s="72">
        <f t="shared" si="17"/>
        <v>0</v>
      </c>
      <c r="AD33" s="39"/>
      <c r="AE33" s="72">
        <f t="shared" si="5"/>
        <v>0</v>
      </c>
      <c r="AF33" s="72">
        <f t="shared" si="18"/>
        <v>0</v>
      </c>
      <c r="AG33" s="39"/>
      <c r="AH33" s="72">
        <f t="shared" si="31"/>
        <v>77500000</v>
      </c>
      <c r="AI33" s="72">
        <f t="shared" si="19"/>
        <v>44197167.077924185</v>
      </c>
      <c r="AJ33" s="39"/>
      <c r="AK33" s="72"/>
      <c r="AL33" s="72"/>
      <c r="AM33" s="39"/>
      <c r="AN33" s="72"/>
      <c r="AO33" s="72"/>
      <c r="AP33" s="39"/>
      <c r="AQ33" s="72"/>
      <c r="AR33" s="72"/>
      <c r="AS33" s="39"/>
      <c r="AT33" s="40">
        <f>IF($K33&lt;=$F$15,IF($F$40&lt;&gt;"",$F$40/1000,IF(ISERROR(VLOOKUP($F$3&amp;IF($G$4&lt;&gt;"",$G$4,"")&amp;IF($F$43&lt;&gt;"","_"&amp;$F$43,""),'表3）燃料価格'!$AF$9:$AG$25,2,0)),0,VLOOKUP($I33,'表3）燃料価格'!$A$6:$U$66,VLOOKUP($F$3&amp;IF($G$4&lt;&gt;"",$G$4,"")&amp;IF($F$43&lt;&gt;"","_"&amp;$F$43,""),'表3）燃料価格'!$AF$9:$AG$25,2,0)+VLOOKUP($F$41,'表3）燃料価格'!$AF$28:$AG$29,2,0),0)*IF($F$43="需要地価格",1,$F$8/$F$141))),"")</f>
        <v>0</v>
      </c>
      <c r="AU33" s="39"/>
      <c r="AV33" s="72">
        <f t="shared" si="6"/>
        <v>0</v>
      </c>
      <c r="AW33" s="72">
        <f t="shared" si="20"/>
        <v>0</v>
      </c>
      <c r="AX33" s="39"/>
      <c r="AY33" s="40">
        <f>IF(ISERROR(IF($K33&lt;=$F$15,VLOOKUP($I33,'表4）CO2価格'!$A$7:$E$67,VLOOKUP($F$48,'表4）CO2価格'!$H$10:$I$12,2,0),0)*$F$8/1000,"")),0,IF($K33&lt;=$F$15,VLOOKUP($I33,'表4）CO2価格'!$A$7:$E$67,VLOOKUP($F$48,'表4）CO2価格'!$H$10:$I$12,2,0),0)*$F$8/1000,""))</f>
        <v>0</v>
      </c>
      <c r="AZ33" s="39"/>
      <c r="BA33" s="42">
        <f t="shared" si="7"/>
        <v>0</v>
      </c>
      <c r="BB33" s="72">
        <f t="shared" si="21"/>
        <v>0</v>
      </c>
      <c r="BC33" s="39"/>
      <c r="BD33" s="72">
        <f t="shared" si="8"/>
        <v>0</v>
      </c>
      <c r="BE33" s="72">
        <f t="shared" si="22"/>
        <v>0</v>
      </c>
      <c r="BF33" s="39"/>
      <c r="BG33" s="42">
        <f t="shared" si="9"/>
        <v>0</v>
      </c>
      <c r="BH33" s="72">
        <f t="shared" si="23"/>
        <v>0</v>
      </c>
      <c r="BI33" s="39"/>
      <c r="BJ33" s="40">
        <f t="shared" si="24"/>
        <v>0.27650833301083949</v>
      </c>
      <c r="BK33" s="157">
        <f t="shared" si="25"/>
        <v>23238645.132896587</v>
      </c>
      <c r="BL33" s="157">
        <f t="shared" si="10"/>
        <v>7237572.4355587624</v>
      </c>
      <c r="BM33" s="72"/>
      <c r="BN33" s="72">
        <f t="shared" si="26"/>
        <v>394491133.17676753</v>
      </c>
      <c r="BO33" s="72">
        <f t="shared" si="27"/>
        <v>224972780.9519127</v>
      </c>
      <c r="BP33" s="39"/>
      <c r="BQ33" s="72">
        <f t="shared" si="11"/>
        <v>26174880</v>
      </c>
      <c r="BR33" s="72">
        <f t="shared" si="28"/>
        <v>14927168.317478919</v>
      </c>
    </row>
    <row r="34" spans="3:70" x14ac:dyDescent="0.15">
      <c r="F34" s="480"/>
      <c r="I34" s="322">
        <f t="shared" si="29"/>
        <v>2039</v>
      </c>
      <c r="K34" s="71">
        <f t="shared" si="30"/>
        <v>20</v>
      </c>
      <c r="M34" s="7">
        <f t="shared" si="0"/>
        <v>0.55367575418633497</v>
      </c>
      <c r="O34" s="10">
        <f t="shared" si="12"/>
        <v>211810992.02381998</v>
      </c>
      <c r="P34" s="29" t="str">
        <f t="shared" si="1"/>
        <v>-</v>
      </c>
      <c r="R34" s="10">
        <f t="shared" si="13"/>
        <v>420928911.68265235</v>
      </c>
      <c r="T34" s="10">
        <f t="shared" si="14"/>
        <v>420928000</v>
      </c>
      <c r="V34" s="10">
        <f t="shared" si="2"/>
        <v>70603664.007939994</v>
      </c>
      <c r="W34" s="10">
        <f t="shared" si="15"/>
        <v>39091536.917914771</v>
      </c>
      <c r="Y34" s="10">
        <f t="shared" si="3"/>
        <v>5892900</v>
      </c>
      <c r="Z34" s="10">
        <f t="shared" si="16"/>
        <v>3262755.8518446535</v>
      </c>
      <c r="AB34" s="10">
        <f t="shared" si="4"/>
        <v>0</v>
      </c>
      <c r="AC34" s="10">
        <f t="shared" si="17"/>
        <v>0</v>
      </c>
      <c r="AE34" s="10">
        <f t="shared" si="5"/>
        <v>0</v>
      </c>
      <c r="AF34" s="10">
        <f t="shared" si="18"/>
        <v>0</v>
      </c>
      <c r="AH34" s="679">
        <f t="shared" si="31"/>
        <v>77500000</v>
      </c>
      <c r="AI34" s="10">
        <f t="shared" si="19"/>
        <v>42909870.949440964</v>
      </c>
      <c r="AK34" s="10"/>
      <c r="AL34" s="10"/>
      <c r="AN34" s="10"/>
      <c r="AO34" s="10"/>
      <c r="AQ34" s="10"/>
      <c r="AR34" s="10"/>
      <c r="AT34" s="7">
        <f>IF($K34&lt;=$F$15,IF($F$40&lt;&gt;"",$F$40/1000,IF(ISERROR(VLOOKUP($F$3&amp;IF($G$4&lt;&gt;"",$G$4,"")&amp;IF($F$43&lt;&gt;"","_"&amp;$F$43,""),'表3）燃料価格'!$AF$9:$AG$25,2,0)),0,VLOOKUP($I34,'表3）燃料価格'!$A$6:$U$66,VLOOKUP($F$3&amp;IF($G$4&lt;&gt;"",$G$4,"")&amp;IF($F$43&lt;&gt;"","_"&amp;$F$43,""),'表3）燃料価格'!$AF$9:$AG$25,2,0)+VLOOKUP($F$41,'表3）燃料価格'!$AF$28:$AG$29,2,0),0)*IF($F$43="需要地価格",1,$F$8/$F$141))),"")</f>
        <v>0</v>
      </c>
      <c r="AV34" s="10">
        <f t="shared" si="6"/>
        <v>0</v>
      </c>
      <c r="AW34" s="10">
        <f t="shared" si="20"/>
        <v>0</v>
      </c>
      <c r="AY34" s="7">
        <f>IF(ISERROR(IF($K34&lt;=$F$15,VLOOKUP($I34,'表4）CO2価格'!$A$7:$E$67,VLOOKUP($F$48,'表4）CO2価格'!$H$10:$I$12,2,0),0)*$F$8/1000,"")),0,IF($K34&lt;=$F$15,VLOOKUP($I34,'表4）CO2価格'!$A$7:$E$67,VLOOKUP($F$48,'表4）CO2価格'!$H$10:$I$12,2,0),0)*$F$8/1000,""))</f>
        <v>0</v>
      </c>
      <c r="BA34" s="11">
        <f t="shared" si="7"/>
        <v>0</v>
      </c>
      <c r="BB34" s="10">
        <f t="shared" si="21"/>
        <v>0</v>
      </c>
      <c r="BD34" s="10">
        <f t="shared" si="8"/>
        <v>0</v>
      </c>
      <c r="BE34" s="10">
        <f t="shared" si="22"/>
        <v>0</v>
      </c>
      <c r="BG34" s="11">
        <f t="shared" si="9"/>
        <v>0</v>
      </c>
      <c r="BH34" s="10">
        <f t="shared" si="23"/>
        <v>0</v>
      </c>
      <c r="BJ34" s="7">
        <f t="shared" si="24"/>
        <v>0.2584190028138687</v>
      </c>
      <c r="BK34" s="158">
        <f t="shared" si="25"/>
        <v>21550310.05975667</v>
      </c>
      <c r="BL34" s="158">
        <f t="shared" si="10"/>
        <v>6764086.3883726755</v>
      </c>
      <c r="BM34" s="10"/>
      <c r="BN34" s="10">
        <f t="shared" si="26"/>
        <v>394491133.17676753</v>
      </c>
      <c r="BO34" s="10">
        <f t="shared" si="27"/>
        <v>218420175.68146867</v>
      </c>
      <c r="BQ34" s="10">
        <f t="shared" si="11"/>
        <v>26174880</v>
      </c>
      <c r="BR34" s="10">
        <f t="shared" si="28"/>
        <v>14492396.424736815</v>
      </c>
    </row>
    <row r="35" spans="3:70" x14ac:dyDescent="0.15">
      <c r="F35" s="480"/>
      <c r="I35" s="38">
        <f t="shared" si="29"/>
        <v>2040</v>
      </c>
      <c r="J35" s="39"/>
      <c r="K35" s="39">
        <f t="shared" si="30"/>
        <v>21</v>
      </c>
      <c r="L35" s="39"/>
      <c r="M35" s="40">
        <f t="shared" si="0"/>
        <v>0.5375492759090631</v>
      </c>
      <c r="N35" s="39"/>
      <c r="O35" s="72">
        <f t="shared" si="12"/>
        <v>141207328.01587999</v>
      </c>
      <c r="P35" s="41" t="str">
        <f t="shared" si="1"/>
        <v>-</v>
      </c>
      <c r="Q35" s="39"/>
      <c r="R35" s="72">
        <f t="shared" si="13"/>
        <v>379100372.37843531</v>
      </c>
      <c r="S35" s="39"/>
      <c r="T35" s="72">
        <f t="shared" si="14"/>
        <v>379100000</v>
      </c>
      <c r="U35" s="39"/>
      <c r="V35" s="72">
        <f t="shared" si="2"/>
        <v>70603664.007939994</v>
      </c>
      <c r="W35" s="72">
        <f t="shared" si="15"/>
        <v>37952948.46399492</v>
      </c>
      <c r="X35" s="39"/>
      <c r="Y35" s="72">
        <f t="shared" si="3"/>
        <v>5307400</v>
      </c>
      <c r="Z35" s="72">
        <f t="shared" si="16"/>
        <v>2852989.0269597615</v>
      </c>
      <c r="AA35" s="39"/>
      <c r="AB35" s="72">
        <f t="shared" si="4"/>
        <v>0</v>
      </c>
      <c r="AC35" s="72">
        <f t="shared" si="17"/>
        <v>0</v>
      </c>
      <c r="AD35" s="39"/>
      <c r="AE35" s="72">
        <f t="shared" si="5"/>
        <v>0</v>
      </c>
      <c r="AF35" s="72">
        <f t="shared" si="18"/>
        <v>0</v>
      </c>
      <c r="AG35" s="39"/>
      <c r="AH35" s="72">
        <f t="shared" si="31"/>
        <v>77500000</v>
      </c>
      <c r="AI35" s="72">
        <f t="shared" si="19"/>
        <v>41660068.882952392</v>
      </c>
      <c r="AJ35" s="39"/>
      <c r="AK35" s="72"/>
      <c r="AL35" s="72"/>
      <c r="AM35" s="39"/>
      <c r="AN35" s="72"/>
      <c r="AO35" s="72"/>
      <c r="AP35" s="39"/>
      <c r="AQ35" s="72"/>
      <c r="AR35" s="72"/>
      <c r="AS35" s="39"/>
      <c r="AT35" s="40">
        <f>IF($K35&lt;=$F$15,IF($F$40&lt;&gt;"",$F$40/1000,IF(ISERROR(VLOOKUP($F$3&amp;IF($G$4&lt;&gt;"",$G$4,"")&amp;IF($F$43&lt;&gt;"","_"&amp;$F$43,""),'表3）燃料価格'!$AF$9:$AG$25,2,0)),0,VLOOKUP($I35,'表3）燃料価格'!$A$6:$U$66,VLOOKUP($F$3&amp;IF($G$4&lt;&gt;"",$G$4,"")&amp;IF($F$43&lt;&gt;"","_"&amp;$F$43,""),'表3）燃料価格'!$AF$9:$AG$25,2,0)+VLOOKUP($F$41,'表3）燃料価格'!$AF$28:$AG$29,2,0),0)*IF($F$43="需要地価格",1,$F$8/$F$141))),"")</f>
        <v>0</v>
      </c>
      <c r="AU35" s="39"/>
      <c r="AV35" s="72">
        <f t="shared" si="6"/>
        <v>0</v>
      </c>
      <c r="AW35" s="72">
        <f t="shared" si="20"/>
        <v>0</v>
      </c>
      <c r="AX35" s="39"/>
      <c r="AY35" s="40">
        <f>IF(ISERROR(IF($K35&lt;=$F$15,VLOOKUP($I35,'表4）CO2価格'!$A$7:$E$67,VLOOKUP($F$48,'表4）CO2価格'!$H$10:$I$12,2,0),0)*$F$8/1000,"")),0,IF($K35&lt;=$F$15,VLOOKUP($I35,'表4）CO2価格'!$A$7:$E$67,VLOOKUP($F$48,'表4）CO2価格'!$H$10:$I$12,2,0),0)*$F$8/1000,""))</f>
        <v>0</v>
      </c>
      <c r="AZ35" s="39"/>
      <c r="BA35" s="42">
        <f t="shared" si="7"/>
        <v>0</v>
      </c>
      <c r="BB35" s="72">
        <f t="shared" si="21"/>
        <v>0</v>
      </c>
      <c r="BC35" s="39"/>
      <c r="BD35" s="72">
        <f t="shared" si="8"/>
        <v>0</v>
      </c>
      <c r="BE35" s="72">
        <f t="shared" si="22"/>
        <v>0</v>
      </c>
      <c r="BF35" s="39"/>
      <c r="BG35" s="42">
        <f t="shared" si="9"/>
        <v>0</v>
      </c>
      <c r="BH35" s="72">
        <f t="shared" si="23"/>
        <v>0</v>
      </c>
      <c r="BI35" s="39"/>
      <c r="BJ35" s="40">
        <f t="shared" si="24"/>
        <v>0.24151308674193336</v>
      </c>
      <c r="BK35" s="157">
        <f t="shared" si="25"/>
        <v>37132637.086572252</v>
      </c>
      <c r="BL35" s="157" t="str">
        <f t="shared" si="10"/>
        <v/>
      </c>
      <c r="BM35" s="72"/>
      <c r="BN35" s="72" t="str">
        <f t="shared" si="26"/>
        <v/>
      </c>
      <c r="BO35" s="72" t="str">
        <f t="shared" si="27"/>
        <v/>
      </c>
      <c r="BP35" s="39"/>
      <c r="BQ35" s="72">
        <f t="shared" si="11"/>
        <v>26174880</v>
      </c>
      <c r="BR35" s="72">
        <f t="shared" si="28"/>
        <v>14070287.791006617</v>
      </c>
    </row>
    <row r="36" spans="3:70" x14ac:dyDescent="0.15">
      <c r="F36" s="480"/>
      <c r="I36" s="322">
        <f t="shared" si="29"/>
        <v>2041</v>
      </c>
      <c r="K36" s="71">
        <f t="shared" si="30"/>
        <v>22</v>
      </c>
      <c r="M36" s="7">
        <f t="shared" si="0"/>
        <v>0.52189250088258554</v>
      </c>
      <c r="O36" s="10">
        <f t="shared" si="12"/>
        <v>70603664.007939994</v>
      </c>
      <c r="P36" s="29" t="str">
        <f t="shared" si="1"/>
        <v>-</v>
      </c>
      <c r="R36" s="10">
        <f t="shared" si="13"/>
        <v>341428417.83654863</v>
      </c>
      <c r="T36" s="10">
        <f t="shared" si="14"/>
        <v>341428000</v>
      </c>
      <c r="V36" s="10">
        <f t="shared" si="2"/>
        <v>70603664.007939994</v>
      </c>
      <c r="W36" s="10">
        <f t="shared" si="15"/>
        <v>36847522.7805776</v>
      </c>
      <c r="Y36" s="10">
        <f t="shared" si="3"/>
        <v>4779900</v>
      </c>
      <c r="Z36" s="10">
        <f t="shared" si="16"/>
        <v>2494593.9649686706</v>
      </c>
      <c r="AB36" s="10">
        <f t="shared" si="4"/>
        <v>0</v>
      </c>
      <c r="AC36" s="10">
        <f t="shared" si="17"/>
        <v>0</v>
      </c>
      <c r="AE36" s="10">
        <f t="shared" si="5"/>
        <v>0</v>
      </c>
      <c r="AF36" s="10">
        <f t="shared" si="18"/>
        <v>0</v>
      </c>
      <c r="AH36" s="679">
        <f t="shared" si="31"/>
        <v>77500000</v>
      </c>
      <c r="AI36" s="10">
        <f t="shared" si="19"/>
        <v>40446668.818400383</v>
      </c>
      <c r="AK36" s="10"/>
      <c r="AL36" s="10"/>
      <c r="AN36" s="10"/>
      <c r="AO36" s="10"/>
      <c r="AQ36" s="10"/>
      <c r="AR36" s="10"/>
      <c r="AT36" s="7">
        <f>IF($K36&lt;=$F$15,IF($F$40&lt;&gt;"",$F$40/1000,IF(ISERROR(VLOOKUP($F$3&amp;IF($G$4&lt;&gt;"",$G$4,"")&amp;IF($F$43&lt;&gt;"","_"&amp;$F$43,""),'表3）燃料価格'!$AF$9:$AG$25,2,0)),0,VLOOKUP($I36,'表3）燃料価格'!$A$6:$U$66,VLOOKUP($F$3&amp;IF($G$4&lt;&gt;"",$G$4,"")&amp;IF($F$43&lt;&gt;"","_"&amp;$F$43,""),'表3）燃料価格'!$AF$9:$AG$25,2,0)+VLOOKUP($F$41,'表3）燃料価格'!$AF$28:$AG$29,2,0),0)*IF($F$43="需要地価格",1,$F$8/$F$141))),"")</f>
        <v>0</v>
      </c>
      <c r="AV36" s="10">
        <f t="shared" si="6"/>
        <v>0</v>
      </c>
      <c r="AW36" s="10">
        <f t="shared" si="20"/>
        <v>0</v>
      </c>
      <c r="AY36" s="7">
        <f>IF(ISERROR(IF($K36&lt;=$F$15,VLOOKUP($I36,'表4）CO2価格'!$A$7:$E$67,VLOOKUP($F$48,'表4）CO2価格'!$H$10:$I$12,2,0),0)*$F$8/1000,"")),0,IF($K36&lt;=$F$15,VLOOKUP($I36,'表4）CO2価格'!$A$7:$E$67,VLOOKUP($F$48,'表4）CO2価格'!$H$10:$I$12,2,0),0)*$F$8/1000,""))</f>
        <v>0</v>
      </c>
      <c r="BA36" s="11">
        <f t="shared" si="7"/>
        <v>0</v>
      </c>
      <c r="BB36" s="10">
        <f t="shared" si="21"/>
        <v>0</v>
      </c>
      <c r="BD36" s="10">
        <f t="shared" si="8"/>
        <v>0</v>
      </c>
      <c r="BE36" s="10">
        <f t="shared" si="22"/>
        <v>0</v>
      </c>
      <c r="BG36" s="11">
        <f t="shared" si="9"/>
        <v>0</v>
      </c>
      <c r="BH36" s="10">
        <f t="shared" si="23"/>
        <v>0</v>
      </c>
      <c r="BJ36" s="7" t="str">
        <f t="shared" si="24"/>
        <v/>
      </c>
      <c r="BK36" s="158" t="str">
        <f t="shared" si="25"/>
        <v/>
      </c>
      <c r="BL36" s="158" t="str">
        <f t="shared" si="10"/>
        <v/>
      </c>
      <c r="BM36" s="10"/>
      <c r="BN36" s="10" t="str">
        <f t="shared" si="26"/>
        <v/>
      </c>
      <c r="BO36" s="10" t="str">
        <f t="shared" si="27"/>
        <v/>
      </c>
      <c r="BQ36" s="10">
        <f t="shared" si="11"/>
        <v>26174880</v>
      </c>
      <c r="BR36" s="10">
        <f t="shared" si="28"/>
        <v>13660473.58350157</v>
      </c>
    </row>
    <row r="37" spans="3:70" x14ac:dyDescent="0.15">
      <c r="I37" s="38">
        <f t="shared" si="29"/>
        <v>2042</v>
      </c>
      <c r="J37" s="39"/>
      <c r="K37" s="39">
        <f t="shared" si="30"/>
        <v>23</v>
      </c>
      <c r="L37" s="39"/>
      <c r="M37" s="40">
        <f t="shared" si="0"/>
        <v>0.50669174842969467</v>
      </c>
      <c r="N37" s="39"/>
      <c r="O37" s="72">
        <f t="shared" si="12"/>
        <v>0</v>
      </c>
      <c r="P37" s="41" t="str">
        <f t="shared" si="1"/>
        <v>-</v>
      </c>
      <c r="Q37" s="39"/>
      <c r="R37" s="72">
        <f t="shared" si="13"/>
        <v>307499999.99999994</v>
      </c>
      <c r="S37" s="39"/>
      <c r="T37" s="72">
        <f t="shared" si="14"/>
        <v>307500000</v>
      </c>
      <c r="U37" s="39"/>
      <c r="V37" s="72">
        <f t="shared" si="2"/>
        <v>0</v>
      </c>
      <c r="W37" s="72">
        <f t="shared" si="15"/>
        <v>0</v>
      </c>
      <c r="X37" s="39"/>
      <c r="Y37" s="72">
        <f t="shared" si="3"/>
        <v>4305000</v>
      </c>
      <c r="Z37" s="72">
        <f t="shared" si="16"/>
        <v>2181307.9769898355</v>
      </c>
      <c r="AA37" s="39"/>
      <c r="AB37" s="72">
        <f t="shared" si="4"/>
        <v>0</v>
      </c>
      <c r="AC37" s="72">
        <f t="shared" si="17"/>
        <v>0</v>
      </c>
      <c r="AD37" s="39"/>
      <c r="AE37" s="72">
        <f t="shared" si="5"/>
        <v>0</v>
      </c>
      <c r="AF37" s="72">
        <f t="shared" si="18"/>
        <v>0</v>
      </c>
      <c r="AG37" s="39"/>
      <c r="AH37" s="72">
        <f t="shared" si="31"/>
        <v>77500000</v>
      </c>
      <c r="AI37" s="72">
        <f t="shared" si="19"/>
        <v>39268610.503301337</v>
      </c>
      <c r="AJ37" s="39"/>
      <c r="AK37" s="72"/>
      <c r="AL37" s="72"/>
      <c r="AM37" s="39"/>
      <c r="AN37" s="72"/>
      <c r="AO37" s="72"/>
      <c r="AP37" s="39"/>
      <c r="AQ37" s="72"/>
      <c r="AR37" s="72"/>
      <c r="AS37" s="39"/>
      <c r="AT37" s="40">
        <f>IF($K37&lt;=$F$15,IF($F$40&lt;&gt;"",$F$40/1000,IF(ISERROR(VLOOKUP($F$3&amp;IF($G$4&lt;&gt;"",$G$4,"")&amp;IF($F$43&lt;&gt;"","_"&amp;$F$43,""),'表3）燃料価格'!$AF$9:$AG$25,2,0)),0,VLOOKUP($I37,'表3）燃料価格'!$A$6:$U$66,VLOOKUP($F$3&amp;IF($G$4&lt;&gt;"",$G$4,"")&amp;IF($F$43&lt;&gt;"","_"&amp;$F$43,""),'表3）燃料価格'!$AF$9:$AG$25,2,0)+VLOOKUP($F$41,'表3）燃料価格'!$AF$28:$AG$29,2,0),0)*IF($F$43="需要地価格",1,$F$8/$F$141))),"")</f>
        <v>0</v>
      </c>
      <c r="AU37" s="39"/>
      <c r="AV37" s="72">
        <f t="shared" si="6"/>
        <v>0</v>
      </c>
      <c r="AW37" s="72">
        <f t="shared" si="20"/>
        <v>0</v>
      </c>
      <c r="AX37" s="39"/>
      <c r="AY37" s="40">
        <f>IF(ISERROR(IF($K37&lt;=$F$15,VLOOKUP($I37,'表4）CO2価格'!$A$7:$E$67,VLOOKUP($F$48,'表4）CO2価格'!$H$10:$I$12,2,0),0)*$F$8/1000,"")),0,IF($K37&lt;=$F$15,VLOOKUP($I37,'表4）CO2価格'!$A$7:$E$67,VLOOKUP($F$48,'表4）CO2価格'!$H$10:$I$12,2,0),0)*$F$8/1000,""))</f>
        <v>0</v>
      </c>
      <c r="AZ37" s="39"/>
      <c r="BA37" s="42">
        <f t="shared" si="7"/>
        <v>0</v>
      </c>
      <c r="BB37" s="72">
        <f t="shared" si="21"/>
        <v>0</v>
      </c>
      <c r="BC37" s="39"/>
      <c r="BD37" s="72">
        <f t="shared" si="8"/>
        <v>0</v>
      </c>
      <c r="BE37" s="72">
        <f t="shared" si="22"/>
        <v>0</v>
      </c>
      <c r="BF37" s="39"/>
      <c r="BG37" s="42">
        <f t="shared" si="9"/>
        <v>0</v>
      </c>
      <c r="BH37" s="72">
        <f t="shared" si="23"/>
        <v>0</v>
      </c>
      <c r="BI37" s="39"/>
      <c r="BJ37" s="40" t="str">
        <f t="shared" si="24"/>
        <v/>
      </c>
      <c r="BK37" s="157" t="str">
        <f t="shared" si="25"/>
        <v/>
      </c>
      <c r="BL37" s="157" t="str">
        <f t="shared" si="10"/>
        <v/>
      </c>
      <c r="BM37" s="72"/>
      <c r="BN37" s="72" t="str">
        <f t="shared" si="26"/>
        <v/>
      </c>
      <c r="BO37" s="72" t="str">
        <f t="shared" si="27"/>
        <v/>
      </c>
      <c r="BP37" s="39"/>
      <c r="BQ37" s="72">
        <f t="shared" si="11"/>
        <v>26174880</v>
      </c>
      <c r="BR37" s="72">
        <f t="shared" si="28"/>
        <v>13262595.712137446</v>
      </c>
    </row>
    <row r="38" spans="3:70" x14ac:dyDescent="0.15">
      <c r="C38" s="4" t="s">
        <v>570</v>
      </c>
      <c r="D38" s="100"/>
      <c r="E38" s="100"/>
      <c r="F38" s="4"/>
      <c r="G38" s="100"/>
      <c r="I38" s="322">
        <f t="shared" si="29"/>
        <v>2043</v>
      </c>
      <c r="K38" s="71">
        <f t="shared" si="30"/>
        <v>24</v>
      </c>
      <c r="M38" s="7">
        <f t="shared" si="0"/>
        <v>0.49193373633950943</v>
      </c>
      <c r="O38" s="10">
        <f t="shared" si="12"/>
        <v>0</v>
      </c>
      <c r="P38" s="29" t="str">
        <f t="shared" si="1"/>
        <v>-</v>
      </c>
      <c r="R38" s="10">
        <f t="shared" si="13"/>
        <v>276943116.21496809</v>
      </c>
      <c r="T38" s="10">
        <f t="shared" si="14"/>
        <v>276943000</v>
      </c>
      <c r="V38" s="10">
        <f t="shared" si="2"/>
        <v>0</v>
      </c>
      <c r="W38" s="10">
        <f t="shared" si="15"/>
        <v>0</v>
      </c>
      <c r="Y38" s="10">
        <f t="shared" si="3"/>
        <v>3877200</v>
      </c>
      <c r="Z38" s="10">
        <f t="shared" si="16"/>
        <v>1907325.4825355459</v>
      </c>
      <c r="AB38" s="10">
        <f t="shared" si="4"/>
        <v>0</v>
      </c>
      <c r="AC38" s="10">
        <f t="shared" si="17"/>
        <v>0</v>
      </c>
      <c r="AE38" s="10">
        <f t="shared" si="5"/>
        <v>0</v>
      </c>
      <c r="AF38" s="10">
        <f t="shared" si="18"/>
        <v>0</v>
      </c>
      <c r="AH38" s="679">
        <f t="shared" si="31"/>
        <v>77500000</v>
      </c>
      <c r="AI38" s="10">
        <f t="shared" si="19"/>
        <v>38124864.566311978</v>
      </c>
      <c r="AK38" s="10"/>
      <c r="AL38" s="10"/>
      <c r="AN38" s="10"/>
      <c r="AO38" s="10"/>
      <c r="AQ38" s="10"/>
      <c r="AR38" s="10"/>
      <c r="AT38" s="7">
        <f>IF($K38&lt;=$F$15,IF($F$40&lt;&gt;"",$F$40/1000,IF(ISERROR(VLOOKUP($F$3&amp;IF($G$4&lt;&gt;"",$G$4,"")&amp;IF($F$43&lt;&gt;"","_"&amp;$F$43,""),'表3）燃料価格'!$AF$9:$AG$25,2,0)),0,VLOOKUP($I38,'表3）燃料価格'!$A$6:$U$66,VLOOKUP($F$3&amp;IF($G$4&lt;&gt;"",$G$4,"")&amp;IF($F$43&lt;&gt;"","_"&amp;$F$43,""),'表3）燃料価格'!$AF$9:$AG$25,2,0)+VLOOKUP($F$41,'表3）燃料価格'!$AF$28:$AG$29,2,0),0)*IF($F$43="需要地価格",1,$F$8/$F$141))),"")</f>
        <v>0</v>
      </c>
      <c r="AV38" s="10">
        <f t="shared" si="6"/>
        <v>0</v>
      </c>
      <c r="AW38" s="10">
        <f t="shared" si="20"/>
        <v>0</v>
      </c>
      <c r="AY38" s="7">
        <f>IF(ISERROR(IF($K38&lt;=$F$15,VLOOKUP($I38,'表4）CO2価格'!$A$7:$E$67,VLOOKUP($F$48,'表4）CO2価格'!$H$10:$I$12,2,0),0)*$F$8/1000,"")),0,IF($K38&lt;=$F$15,VLOOKUP($I38,'表4）CO2価格'!$A$7:$E$67,VLOOKUP($F$48,'表4）CO2価格'!$H$10:$I$12,2,0),0)*$F$8/1000,""))</f>
        <v>0</v>
      </c>
      <c r="BA38" s="11">
        <f t="shared" si="7"/>
        <v>0</v>
      </c>
      <c r="BB38" s="10">
        <f t="shared" si="21"/>
        <v>0</v>
      </c>
      <c r="BD38" s="10">
        <f t="shared" si="8"/>
        <v>0</v>
      </c>
      <c r="BE38" s="10">
        <f t="shared" si="22"/>
        <v>0</v>
      </c>
      <c r="BG38" s="11">
        <f t="shared" si="9"/>
        <v>0</v>
      </c>
      <c r="BH38" s="10">
        <f t="shared" si="23"/>
        <v>0</v>
      </c>
      <c r="BJ38" s="7" t="str">
        <f t="shared" si="24"/>
        <v/>
      </c>
      <c r="BK38" s="158" t="str">
        <f t="shared" si="25"/>
        <v/>
      </c>
      <c r="BL38" s="158" t="str">
        <f t="shared" si="10"/>
        <v/>
      </c>
      <c r="BM38" s="10"/>
      <c r="BN38" s="10" t="str">
        <f t="shared" si="26"/>
        <v/>
      </c>
      <c r="BO38" s="10" t="str">
        <f t="shared" si="27"/>
        <v/>
      </c>
      <c r="BQ38" s="10">
        <f t="shared" si="11"/>
        <v>26174880</v>
      </c>
      <c r="BR38" s="10">
        <f t="shared" si="28"/>
        <v>12876306.516638299</v>
      </c>
    </row>
    <row r="39" spans="3:70" x14ac:dyDescent="0.15">
      <c r="I39" s="38">
        <f t="shared" si="29"/>
        <v>2044</v>
      </c>
      <c r="J39" s="39"/>
      <c r="K39" s="39">
        <f t="shared" si="30"/>
        <v>25</v>
      </c>
      <c r="L39" s="39"/>
      <c r="M39" s="40">
        <f t="shared" si="0"/>
        <v>0.47760556926165965</v>
      </c>
      <c r="N39" s="39"/>
      <c r="O39" s="72">
        <f t="shared" si="12"/>
        <v>0</v>
      </c>
      <c r="P39" s="41" t="str">
        <f t="shared" si="1"/>
        <v>-</v>
      </c>
      <c r="Q39" s="39"/>
      <c r="R39" s="72">
        <f t="shared" si="13"/>
        <v>249422730.46782872</v>
      </c>
      <c r="S39" s="39"/>
      <c r="T39" s="72">
        <f t="shared" si="14"/>
        <v>249422000</v>
      </c>
      <c r="U39" s="39"/>
      <c r="V39" s="72">
        <f t="shared" si="2"/>
        <v>0</v>
      </c>
      <c r="W39" s="72">
        <f t="shared" si="15"/>
        <v>0</v>
      </c>
      <c r="X39" s="39"/>
      <c r="Y39" s="72">
        <f t="shared" si="3"/>
        <v>3491900</v>
      </c>
      <c r="Z39" s="72">
        <f t="shared" si="16"/>
        <v>1667750.8873047894</v>
      </c>
      <c r="AA39" s="39"/>
      <c r="AB39" s="72">
        <f t="shared" si="4"/>
        <v>0</v>
      </c>
      <c r="AC39" s="72">
        <f t="shared" si="17"/>
        <v>0</v>
      </c>
      <c r="AD39" s="39"/>
      <c r="AE39" s="72">
        <f t="shared" si="5"/>
        <v>0</v>
      </c>
      <c r="AF39" s="72">
        <f t="shared" si="18"/>
        <v>0</v>
      </c>
      <c r="AG39" s="39"/>
      <c r="AH39" s="72">
        <f t="shared" si="31"/>
        <v>77500000</v>
      </c>
      <c r="AI39" s="72">
        <f t="shared" si="19"/>
        <v>37014431.617778622</v>
      </c>
      <c r="AJ39" s="39"/>
      <c r="AK39" s="72"/>
      <c r="AL39" s="72"/>
      <c r="AM39" s="39"/>
      <c r="AN39" s="72"/>
      <c r="AO39" s="72"/>
      <c r="AP39" s="39"/>
      <c r="AQ39" s="72"/>
      <c r="AR39" s="72"/>
      <c r="AS39" s="39"/>
      <c r="AT39" s="40">
        <f>IF($K39&lt;=$F$15,IF($F$40&lt;&gt;"",$F$40/1000,IF(ISERROR(VLOOKUP($F$3&amp;IF($G$4&lt;&gt;"",$G$4,"")&amp;IF($F$43&lt;&gt;"","_"&amp;$F$43,""),'表3）燃料価格'!$AF$9:$AG$25,2,0)),0,VLOOKUP($I39,'表3）燃料価格'!$A$6:$U$66,VLOOKUP($F$3&amp;IF($G$4&lt;&gt;"",$G$4,"")&amp;IF($F$43&lt;&gt;"","_"&amp;$F$43,""),'表3）燃料価格'!$AF$9:$AG$25,2,0)+VLOOKUP($F$41,'表3）燃料価格'!$AF$28:$AG$29,2,0),0)*IF($F$43="需要地価格",1,$F$8/$F$141))),"")</f>
        <v>0</v>
      </c>
      <c r="AU39" s="39"/>
      <c r="AV39" s="72">
        <f t="shared" si="6"/>
        <v>0</v>
      </c>
      <c r="AW39" s="72">
        <f t="shared" si="20"/>
        <v>0</v>
      </c>
      <c r="AX39" s="39"/>
      <c r="AY39" s="40">
        <f>IF(ISERROR(IF($K39&lt;=$F$15,VLOOKUP($I39,'表4）CO2価格'!$A$7:$E$67,VLOOKUP($F$48,'表4）CO2価格'!$H$10:$I$12,2,0),0)*$F$8/1000,"")),0,IF($K39&lt;=$F$15,VLOOKUP($I39,'表4）CO2価格'!$A$7:$E$67,VLOOKUP($F$48,'表4）CO2価格'!$H$10:$I$12,2,0),0)*$F$8/1000,""))</f>
        <v>0</v>
      </c>
      <c r="AZ39" s="39"/>
      <c r="BA39" s="42">
        <f t="shared" si="7"/>
        <v>0</v>
      </c>
      <c r="BB39" s="72">
        <f t="shared" si="21"/>
        <v>0</v>
      </c>
      <c r="BC39" s="39"/>
      <c r="BD39" s="72">
        <f t="shared" si="8"/>
        <v>0</v>
      </c>
      <c r="BE39" s="72">
        <f t="shared" si="22"/>
        <v>0</v>
      </c>
      <c r="BF39" s="39"/>
      <c r="BG39" s="42">
        <f t="shared" si="9"/>
        <v>0</v>
      </c>
      <c r="BH39" s="72">
        <f t="shared" si="23"/>
        <v>0</v>
      </c>
      <c r="BI39" s="39"/>
      <c r="BJ39" s="40" t="str">
        <f t="shared" si="24"/>
        <v/>
      </c>
      <c r="BK39" s="157" t="str">
        <f t="shared" si="25"/>
        <v/>
      </c>
      <c r="BL39" s="157" t="str">
        <f t="shared" si="10"/>
        <v/>
      </c>
      <c r="BM39" s="72"/>
      <c r="BN39" s="72" t="str">
        <f t="shared" si="26"/>
        <v/>
      </c>
      <c r="BO39" s="72" t="str">
        <f t="shared" si="27"/>
        <v/>
      </c>
      <c r="BP39" s="39"/>
      <c r="BQ39" s="72">
        <f t="shared" si="11"/>
        <v>26174880</v>
      </c>
      <c r="BR39" s="72">
        <f t="shared" si="28"/>
        <v>12501268.46275563</v>
      </c>
    </row>
    <row r="40" spans="3:70" x14ac:dyDescent="0.15">
      <c r="D40" s="84" t="s">
        <v>124</v>
      </c>
      <c r="F40" s="482"/>
      <c r="G40" s="160" t="s">
        <v>571</v>
      </c>
      <c r="I40" s="322">
        <f t="shared" si="29"/>
        <v>2045</v>
      </c>
      <c r="K40" s="71">
        <f t="shared" si="30"/>
        <v>26</v>
      </c>
      <c r="M40" s="7">
        <f t="shared" si="0"/>
        <v>0.46369472743850448</v>
      </c>
      <c r="O40" s="10">
        <f t="shared" si="12"/>
        <v>0</v>
      </c>
      <c r="P40" s="29" t="str">
        <f t="shared" si="1"/>
        <v>-</v>
      </c>
      <c r="R40" s="10">
        <f t="shared" si="13"/>
        <v>224637099.93693191</v>
      </c>
      <c r="T40" s="10">
        <f t="shared" si="14"/>
        <v>224637000</v>
      </c>
      <c r="V40" s="10">
        <f t="shared" si="2"/>
        <v>0</v>
      </c>
      <c r="W40" s="10">
        <f t="shared" si="15"/>
        <v>0</v>
      </c>
      <c r="Y40" s="10">
        <f t="shared" si="3"/>
        <v>3144900</v>
      </c>
      <c r="Z40" s="10">
        <f t="shared" si="16"/>
        <v>1458273.5483213528</v>
      </c>
      <c r="AB40" s="10">
        <f t="shared" si="4"/>
        <v>0</v>
      </c>
      <c r="AC40" s="10">
        <f t="shared" si="17"/>
        <v>0</v>
      </c>
      <c r="AE40" s="10">
        <f t="shared" si="5"/>
        <v>0</v>
      </c>
      <c r="AF40" s="10">
        <f t="shared" si="18"/>
        <v>0</v>
      </c>
      <c r="AH40" s="679">
        <f t="shared" si="31"/>
        <v>77500000</v>
      </c>
      <c r="AI40" s="10">
        <f t="shared" si="19"/>
        <v>35936341.376484096</v>
      </c>
      <c r="AK40" s="10"/>
      <c r="AL40" s="10"/>
      <c r="AN40" s="10"/>
      <c r="AO40" s="10"/>
      <c r="AQ40" s="10"/>
      <c r="AR40" s="10"/>
      <c r="AT40" s="7">
        <f>IF($K40&lt;=$F$15,IF($F$40&lt;&gt;"",$F$40/1000,IF(ISERROR(VLOOKUP($F$3&amp;IF($G$4&lt;&gt;"",$G$4,"")&amp;IF($F$43&lt;&gt;"","_"&amp;$F$43,""),'表3）燃料価格'!$AF$9:$AG$25,2,0)),0,VLOOKUP($I40,'表3）燃料価格'!$A$6:$U$66,VLOOKUP($F$3&amp;IF($G$4&lt;&gt;"",$G$4,"")&amp;IF($F$43&lt;&gt;"","_"&amp;$F$43,""),'表3）燃料価格'!$AF$9:$AG$25,2,0)+VLOOKUP($F$41,'表3）燃料価格'!$AF$28:$AG$29,2,0),0)*IF($F$43="需要地価格",1,$F$8/$F$141))),"")</f>
        <v>0</v>
      </c>
      <c r="AV40" s="10">
        <f t="shared" si="6"/>
        <v>0</v>
      </c>
      <c r="AW40" s="10">
        <f t="shared" si="20"/>
        <v>0</v>
      </c>
      <c r="AY40" s="7">
        <f>IF(ISERROR(IF($K40&lt;=$F$15,VLOOKUP($I40,'表4）CO2価格'!$A$7:$E$67,VLOOKUP($F$48,'表4）CO2価格'!$H$10:$I$12,2,0),0)*$F$8/1000,"")),0,IF($K40&lt;=$F$15,VLOOKUP($I40,'表4）CO2価格'!$A$7:$E$67,VLOOKUP($F$48,'表4）CO2価格'!$H$10:$I$12,2,0),0)*$F$8/1000,""))</f>
        <v>0</v>
      </c>
      <c r="BA40" s="11">
        <f t="shared" si="7"/>
        <v>0</v>
      </c>
      <c r="BB40" s="10">
        <f t="shared" si="21"/>
        <v>0</v>
      </c>
      <c r="BD40" s="10">
        <f t="shared" si="8"/>
        <v>0</v>
      </c>
      <c r="BE40" s="10">
        <f t="shared" si="22"/>
        <v>0</v>
      </c>
      <c r="BG40" s="11">
        <f t="shared" si="9"/>
        <v>0</v>
      </c>
      <c r="BH40" s="10">
        <f t="shared" si="23"/>
        <v>0</v>
      </c>
      <c r="BJ40" s="7" t="str">
        <f t="shared" si="24"/>
        <v/>
      </c>
      <c r="BK40" s="158" t="str">
        <f t="shared" si="25"/>
        <v/>
      </c>
      <c r="BL40" s="158" t="str">
        <f t="shared" si="10"/>
        <v/>
      </c>
      <c r="BM40" s="10"/>
      <c r="BN40" s="10" t="str">
        <f t="shared" si="26"/>
        <v/>
      </c>
      <c r="BO40" s="10" t="str">
        <f t="shared" si="27"/>
        <v/>
      </c>
      <c r="BQ40" s="10">
        <f t="shared" si="11"/>
        <v>26174880</v>
      </c>
      <c r="BR40" s="10">
        <f t="shared" si="28"/>
        <v>12137153.847335562</v>
      </c>
    </row>
    <row r="41" spans="3:70" x14ac:dyDescent="0.15">
      <c r="D41" s="84" t="s">
        <v>572</v>
      </c>
      <c r="F41" s="474"/>
      <c r="I41" s="38">
        <f t="shared" si="29"/>
        <v>2046</v>
      </c>
      <c r="J41" s="39"/>
      <c r="K41" s="39">
        <f t="shared" si="30"/>
        <v>27</v>
      </c>
      <c r="L41" s="39"/>
      <c r="M41" s="40">
        <f t="shared" si="0"/>
        <v>0.45018905576553836</v>
      </c>
      <c r="N41" s="39"/>
      <c r="O41" s="72">
        <f t="shared" si="12"/>
        <v>0</v>
      </c>
      <c r="P41" s="41" t="str">
        <f t="shared" si="1"/>
        <v>-</v>
      </c>
      <c r="Q41" s="39"/>
      <c r="R41" s="72">
        <f t="shared" si="13"/>
        <v>202314466.58220211</v>
      </c>
      <c r="S41" s="39"/>
      <c r="T41" s="72">
        <f t="shared" si="14"/>
        <v>202314000</v>
      </c>
      <c r="U41" s="39"/>
      <c r="V41" s="72">
        <f t="shared" si="2"/>
        <v>0</v>
      </c>
      <c r="W41" s="72">
        <f t="shared" si="15"/>
        <v>0</v>
      </c>
      <c r="X41" s="39"/>
      <c r="Y41" s="72">
        <f t="shared" si="3"/>
        <v>2832300</v>
      </c>
      <c r="Z41" s="72">
        <f t="shared" si="16"/>
        <v>1275070.4626447342</v>
      </c>
      <c r="AA41" s="39"/>
      <c r="AB41" s="72">
        <f t="shared" si="4"/>
        <v>0</v>
      </c>
      <c r="AC41" s="72">
        <f t="shared" si="17"/>
        <v>0</v>
      </c>
      <c r="AD41" s="39"/>
      <c r="AE41" s="72">
        <f t="shared" si="5"/>
        <v>0</v>
      </c>
      <c r="AF41" s="72">
        <f t="shared" si="18"/>
        <v>0</v>
      </c>
      <c r="AG41" s="39"/>
      <c r="AH41" s="72">
        <f t="shared" si="31"/>
        <v>77500000</v>
      </c>
      <c r="AI41" s="72">
        <f t="shared" si="19"/>
        <v>34889651.821829222</v>
      </c>
      <c r="AJ41" s="39"/>
      <c r="AK41" s="72"/>
      <c r="AL41" s="72"/>
      <c r="AM41" s="39"/>
      <c r="AN41" s="72"/>
      <c r="AO41" s="72"/>
      <c r="AP41" s="39"/>
      <c r="AQ41" s="72"/>
      <c r="AR41" s="72"/>
      <c r="AS41" s="39"/>
      <c r="AT41" s="40">
        <f>IF($K41&lt;=$F$15,IF($F$40&lt;&gt;"",$F$40/1000,IF(ISERROR(VLOOKUP($F$3&amp;IF($G$4&lt;&gt;"",$G$4,"")&amp;IF($F$43&lt;&gt;"","_"&amp;$F$43,""),'表3）燃料価格'!$AF$9:$AG$25,2,0)),0,VLOOKUP($I41,'表3）燃料価格'!$A$6:$U$66,VLOOKUP($F$3&amp;IF($G$4&lt;&gt;"",$G$4,"")&amp;IF($F$43&lt;&gt;"","_"&amp;$F$43,""),'表3）燃料価格'!$AF$9:$AG$25,2,0)+VLOOKUP($F$41,'表3）燃料価格'!$AF$28:$AG$29,2,0),0)*IF($F$43="需要地価格",1,$F$8/$F$141))),"")</f>
        <v>0</v>
      </c>
      <c r="AU41" s="39"/>
      <c r="AV41" s="72">
        <f t="shared" si="6"/>
        <v>0</v>
      </c>
      <c r="AW41" s="72">
        <f t="shared" si="20"/>
        <v>0</v>
      </c>
      <c r="AX41" s="39"/>
      <c r="AY41" s="40">
        <f>IF(ISERROR(IF($K41&lt;=$F$15,VLOOKUP($I41,'表4）CO2価格'!$A$7:$E$67,VLOOKUP($F$48,'表4）CO2価格'!$H$10:$I$12,2,0),0)*$F$8/1000,"")),0,IF($K41&lt;=$F$15,VLOOKUP($I41,'表4）CO2価格'!$A$7:$E$67,VLOOKUP($F$48,'表4）CO2価格'!$H$10:$I$12,2,0),0)*$F$8/1000,""))</f>
        <v>0</v>
      </c>
      <c r="AZ41" s="39"/>
      <c r="BA41" s="42">
        <f t="shared" si="7"/>
        <v>0</v>
      </c>
      <c r="BB41" s="72">
        <f t="shared" si="21"/>
        <v>0</v>
      </c>
      <c r="BC41" s="39"/>
      <c r="BD41" s="72">
        <f t="shared" si="8"/>
        <v>0</v>
      </c>
      <c r="BE41" s="72">
        <f t="shared" si="22"/>
        <v>0</v>
      </c>
      <c r="BF41" s="39"/>
      <c r="BG41" s="42">
        <f t="shared" si="9"/>
        <v>0</v>
      </c>
      <c r="BH41" s="72">
        <f t="shared" si="23"/>
        <v>0</v>
      </c>
      <c r="BI41" s="39"/>
      <c r="BJ41" s="40" t="str">
        <f t="shared" si="24"/>
        <v/>
      </c>
      <c r="BK41" s="157" t="str">
        <f t="shared" si="25"/>
        <v/>
      </c>
      <c r="BL41" s="157" t="str">
        <f t="shared" si="10"/>
        <v/>
      </c>
      <c r="BM41" s="72"/>
      <c r="BN41" s="72" t="str">
        <f t="shared" si="26"/>
        <v/>
      </c>
      <c r="BO41" s="72" t="str">
        <f t="shared" si="27"/>
        <v/>
      </c>
      <c r="BP41" s="39"/>
      <c r="BQ41" s="72">
        <f t="shared" si="11"/>
        <v>26174880</v>
      </c>
      <c r="BR41" s="72">
        <f t="shared" si="28"/>
        <v>11783644.511976276</v>
      </c>
    </row>
    <row r="42" spans="3:70" x14ac:dyDescent="0.15">
      <c r="D42" s="84" t="s">
        <v>573</v>
      </c>
      <c r="F42" s="481"/>
      <c r="G42" s="84" t="s">
        <v>574</v>
      </c>
      <c r="I42" s="322">
        <f t="shared" si="29"/>
        <v>2047</v>
      </c>
      <c r="K42" s="71">
        <f t="shared" si="30"/>
        <v>28</v>
      </c>
      <c r="M42" s="7">
        <f t="shared" si="0"/>
        <v>0.4370767531704256</v>
      </c>
      <c r="O42" s="10">
        <f t="shared" si="12"/>
        <v>0</v>
      </c>
      <c r="P42" s="29" t="str">
        <f t="shared" si="1"/>
        <v>-</v>
      </c>
      <c r="R42" s="10">
        <f t="shared" si="13"/>
        <v>182210077.49802956</v>
      </c>
      <c r="T42" s="10">
        <f t="shared" si="14"/>
        <v>182210000</v>
      </c>
      <c r="V42" s="10">
        <f t="shared" si="2"/>
        <v>0</v>
      </c>
      <c r="W42" s="10">
        <f t="shared" si="15"/>
        <v>0</v>
      </c>
      <c r="Y42" s="10">
        <f t="shared" si="3"/>
        <v>2550900</v>
      </c>
      <c r="Z42" s="10">
        <f t="shared" si="16"/>
        <v>1114939.0896624387</v>
      </c>
      <c r="AB42" s="10">
        <f t="shared" si="4"/>
        <v>0</v>
      </c>
      <c r="AC42" s="10">
        <f t="shared" si="17"/>
        <v>0</v>
      </c>
      <c r="AE42" s="10">
        <f t="shared" si="5"/>
        <v>0</v>
      </c>
      <c r="AF42" s="10">
        <f t="shared" si="18"/>
        <v>0</v>
      </c>
      <c r="AH42" s="679">
        <f t="shared" si="31"/>
        <v>77500000</v>
      </c>
      <c r="AI42" s="10">
        <f t="shared" si="19"/>
        <v>33873448.370707981</v>
      </c>
      <c r="AK42" s="10"/>
      <c r="AL42" s="10"/>
      <c r="AN42" s="10"/>
      <c r="AO42" s="10"/>
      <c r="AQ42" s="10"/>
      <c r="AR42" s="10"/>
      <c r="AT42" s="7">
        <f>IF($K42&lt;=$F$15,IF($F$40&lt;&gt;"",$F$40/1000,IF(ISERROR(VLOOKUP($F$3&amp;IF($G$4&lt;&gt;"",$G$4,"")&amp;IF($F$43&lt;&gt;"","_"&amp;$F$43,""),'表3）燃料価格'!$AF$9:$AG$25,2,0)),0,VLOOKUP($I42,'表3）燃料価格'!$A$6:$U$66,VLOOKUP($F$3&amp;IF($G$4&lt;&gt;"",$G$4,"")&amp;IF($F$43&lt;&gt;"","_"&amp;$F$43,""),'表3）燃料価格'!$AF$9:$AG$25,2,0)+VLOOKUP($F$41,'表3）燃料価格'!$AF$28:$AG$29,2,0),0)*IF($F$43="需要地価格",1,$F$8/$F$141))),"")</f>
        <v>0</v>
      </c>
      <c r="AV42" s="10">
        <f t="shared" si="6"/>
        <v>0</v>
      </c>
      <c r="AW42" s="10">
        <f t="shared" si="20"/>
        <v>0</v>
      </c>
      <c r="AY42" s="7">
        <f>IF(ISERROR(IF($K42&lt;=$F$15,VLOOKUP($I42,'表4）CO2価格'!$A$7:$E$67,VLOOKUP($F$48,'表4）CO2価格'!$H$10:$I$12,2,0),0)*$F$8/1000,"")),0,IF($K42&lt;=$F$15,VLOOKUP($I42,'表4）CO2価格'!$A$7:$E$67,VLOOKUP($F$48,'表4）CO2価格'!$H$10:$I$12,2,0),0)*$F$8/1000,""))</f>
        <v>0</v>
      </c>
      <c r="BA42" s="11">
        <f t="shared" si="7"/>
        <v>0</v>
      </c>
      <c r="BB42" s="10">
        <f t="shared" si="21"/>
        <v>0</v>
      </c>
      <c r="BD42" s="10">
        <f t="shared" si="8"/>
        <v>0</v>
      </c>
      <c r="BE42" s="10">
        <f t="shared" si="22"/>
        <v>0</v>
      </c>
      <c r="BG42" s="11">
        <f t="shared" si="9"/>
        <v>0</v>
      </c>
      <c r="BH42" s="10">
        <f t="shared" si="23"/>
        <v>0</v>
      </c>
      <c r="BJ42" s="7" t="str">
        <f t="shared" si="24"/>
        <v/>
      </c>
      <c r="BK42" s="158" t="str">
        <f t="shared" si="25"/>
        <v/>
      </c>
      <c r="BL42" s="158" t="str">
        <f t="shared" si="10"/>
        <v/>
      </c>
      <c r="BM42" s="10"/>
      <c r="BN42" s="10" t="str">
        <f t="shared" si="26"/>
        <v/>
      </c>
      <c r="BO42" s="10" t="str">
        <f t="shared" si="27"/>
        <v/>
      </c>
      <c r="BQ42" s="10">
        <f t="shared" si="11"/>
        <v>26174880</v>
      </c>
      <c r="BR42" s="10">
        <f t="shared" si="28"/>
        <v>11440431.56502551</v>
      </c>
    </row>
    <row r="43" spans="3:70" x14ac:dyDescent="0.15">
      <c r="D43" s="160" t="s">
        <v>126</v>
      </c>
      <c r="F43" s="474"/>
      <c r="I43" s="38">
        <f t="shared" si="29"/>
        <v>2048</v>
      </c>
      <c r="J43" s="39"/>
      <c r="K43" s="39">
        <f t="shared" si="30"/>
        <v>29</v>
      </c>
      <c r="L43" s="39"/>
      <c r="M43" s="40">
        <f t="shared" si="0"/>
        <v>0.42434636230138412</v>
      </c>
      <c r="N43" s="39"/>
      <c r="O43" s="72">
        <f t="shared" si="12"/>
        <v>0</v>
      </c>
      <c r="P43" s="41" t="str">
        <f t="shared" si="1"/>
        <v>-</v>
      </c>
      <c r="Q43" s="39"/>
      <c r="R43" s="72">
        <f t="shared" si="13"/>
        <v>164103501.35959399</v>
      </c>
      <c r="S43" s="39"/>
      <c r="T43" s="72">
        <f t="shared" si="14"/>
        <v>164103000</v>
      </c>
      <c r="U43" s="39"/>
      <c r="V43" s="72">
        <f t="shared" si="2"/>
        <v>0</v>
      </c>
      <c r="W43" s="72">
        <f t="shared" si="15"/>
        <v>0</v>
      </c>
      <c r="X43" s="39"/>
      <c r="Y43" s="72">
        <f t="shared" si="3"/>
        <v>2297400</v>
      </c>
      <c r="Z43" s="72">
        <f t="shared" si="16"/>
        <v>974893.33275119984</v>
      </c>
      <c r="AA43" s="39"/>
      <c r="AB43" s="72">
        <f t="shared" si="4"/>
        <v>0</v>
      </c>
      <c r="AC43" s="72">
        <f t="shared" si="17"/>
        <v>0</v>
      </c>
      <c r="AD43" s="39"/>
      <c r="AE43" s="72">
        <f t="shared" si="5"/>
        <v>0</v>
      </c>
      <c r="AF43" s="72">
        <f t="shared" si="18"/>
        <v>0</v>
      </c>
      <c r="AG43" s="39"/>
      <c r="AH43" s="72">
        <f t="shared" si="31"/>
        <v>77500000</v>
      </c>
      <c r="AI43" s="72">
        <f t="shared" si="19"/>
        <v>32886843.078357268</v>
      </c>
      <c r="AJ43" s="39"/>
      <c r="AK43" s="72"/>
      <c r="AL43" s="72"/>
      <c r="AM43" s="39"/>
      <c r="AN43" s="72"/>
      <c r="AO43" s="72"/>
      <c r="AP43" s="39"/>
      <c r="AQ43" s="72"/>
      <c r="AR43" s="72"/>
      <c r="AS43" s="39"/>
      <c r="AT43" s="40">
        <f>IF($K43&lt;=$F$15,IF($F$40&lt;&gt;"",$F$40/1000,IF(ISERROR(VLOOKUP($F$3&amp;IF($G$4&lt;&gt;"",$G$4,"")&amp;IF($F$43&lt;&gt;"","_"&amp;$F$43,""),'表3）燃料価格'!$AF$9:$AG$25,2,0)),0,VLOOKUP($I43,'表3）燃料価格'!$A$6:$U$66,VLOOKUP($F$3&amp;IF($G$4&lt;&gt;"",$G$4,"")&amp;IF($F$43&lt;&gt;"","_"&amp;$F$43,""),'表3）燃料価格'!$AF$9:$AG$25,2,0)+VLOOKUP($F$41,'表3）燃料価格'!$AF$28:$AG$29,2,0),0)*IF($F$43="需要地価格",1,$F$8/$F$141))),"")</f>
        <v>0</v>
      </c>
      <c r="AU43" s="39"/>
      <c r="AV43" s="72">
        <f t="shared" si="6"/>
        <v>0</v>
      </c>
      <c r="AW43" s="72">
        <f t="shared" si="20"/>
        <v>0</v>
      </c>
      <c r="AX43" s="39"/>
      <c r="AY43" s="40">
        <f>IF(ISERROR(IF($K43&lt;=$F$15,VLOOKUP($I43,'表4）CO2価格'!$A$7:$E$67,VLOOKUP($F$48,'表4）CO2価格'!$H$10:$I$12,2,0),0)*$F$8/1000,"")),0,IF($K43&lt;=$F$15,VLOOKUP($I43,'表4）CO2価格'!$A$7:$E$67,VLOOKUP($F$48,'表4）CO2価格'!$H$10:$I$12,2,0),0)*$F$8/1000,""))</f>
        <v>0</v>
      </c>
      <c r="AZ43" s="39"/>
      <c r="BA43" s="42">
        <f t="shared" si="7"/>
        <v>0</v>
      </c>
      <c r="BB43" s="72">
        <f t="shared" si="21"/>
        <v>0</v>
      </c>
      <c r="BC43" s="39"/>
      <c r="BD43" s="72">
        <f t="shared" si="8"/>
        <v>0</v>
      </c>
      <c r="BE43" s="72">
        <f t="shared" si="22"/>
        <v>0</v>
      </c>
      <c r="BF43" s="39"/>
      <c r="BG43" s="42">
        <f t="shared" si="9"/>
        <v>0</v>
      </c>
      <c r="BH43" s="72">
        <f t="shared" si="23"/>
        <v>0</v>
      </c>
      <c r="BI43" s="39"/>
      <c r="BJ43" s="40" t="str">
        <f t="shared" si="24"/>
        <v/>
      </c>
      <c r="BK43" s="157" t="str">
        <f t="shared" si="25"/>
        <v/>
      </c>
      <c r="BL43" s="157" t="str">
        <f t="shared" si="10"/>
        <v/>
      </c>
      <c r="BM43" s="72"/>
      <c r="BN43" s="72" t="str">
        <f t="shared" si="26"/>
        <v/>
      </c>
      <c r="BO43" s="72" t="str">
        <f t="shared" si="27"/>
        <v/>
      </c>
      <c r="BP43" s="39"/>
      <c r="BQ43" s="72">
        <f t="shared" si="11"/>
        <v>26174880</v>
      </c>
      <c r="BR43" s="72">
        <f t="shared" si="28"/>
        <v>11107215.111675253</v>
      </c>
    </row>
    <row r="44" spans="3:70" x14ac:dyDescent="0.15">
      <c r="I44" s="322">
        <f t="shared" si="29"/>
        <v>2049</v>
      </c>
      <c r="K44" s="71">
        <f t="shared" si="30"/>
        <v>30</v>
      </c>
      <c r="M44" s="7">
        <f t="shared" si="0"/>
        <v>0.41198675951590691</v>
      </c>
      <c r="O44" s="10">
        <f t="shared" si="12"/>
        <v>0</v>
      </c>
      <c r="P44" s="29" t="str">
        <f t="shared" si="1"/>
        <v>-</v>
      </c>
      <c r="R44" s="10">
        <f t="shared" si="13"/>
        <v>153750000</v>
      </c>
      <c r="T44" s="10">
        <f t="shared" si="14"/>
        <v>153750000</v>
      </c>
      <c r="V44" s="10">
        <f t="shared" si="2"/>
        <v>0</v>
      </c>
      <c r="W44" s="10">
        <f t="shared" si="15"/>
        <v>0</v>
      </c>
      <c r="Y44" s="10">
        <f t="shared" si="3"/>
        <v>2152500</v>
      </c>
      <c r="Z44" s="10">
        <f t="shared" si="16"/>
        <v>886801.49985798961</v>
      </c>
      <c r="AB44" s="10">
        <f t="shared" si="4"/>
        <v>0</v>
      </c>
      <c r="AC44" s="10">
        <f t="shared" si="17"/>
        <v>0</v>
      </c>
      <c r="AE44" s="10">
        <f t="shared" si="5"/>
        <v>0</v>
      </c>
      <c r="AF44" s="10">
        <f t="shared" si="18"/>
        <v>0</v>
      </c>
      <c r="AH44" s="679">
        <f t="shared" si="31"/>
        <v>77500000</v>
      </c>
      <c r="AI44" s="10">
        <f t="shared" si="19"/>
        <v>31928973.862482786</v>
      </c>
      <c r="AK44" s="10"/>
      <c r="AL44" s="10"/>
      <c r="AN44" s="10"/>
      <c r="AO44" s="10"/>
      <c r="AQ44" s="10"/>
      <c r="AR44" s="10"/>
      <c r="AT44" s="7">
        <f>IF($K44&lt;=$F$15,IF($F$40&lt;&gt;"",$F$40/1000,IF(ISERROR(VLOOKUP($F$3&amp;IF($G$4&lt;&gt;"",$G$4,"")&amp;IF($F$43&lt;&gt;"","_"&amp;$F$43,""),'表3）燃料価格'!$AF$9:$AG$25,2,0)),0,VLOOKUP($I44,'表3）燃料価格'!$A$6:$U$66,VLOOKUP($F$3&amp;IF($G$4&lt;&gt;"",$G$4,"")&amp;IF($F$43&lt;&gt;"","_"&amp;$F$43,""),'表3）燃料価格'!$AF$9:$AG$25,2,0)+VLOOKUP($F$41,'表3）燃料価格'!$AF$28:$AG$29,2,0),0)*IF($F$43="需要地価格",1,$F$8/$F$141))),"")</f>
        <v>0</v>
      </c>
      <c r="AV44" s="10">
        <f t="shared" si="6"/>
        <v>0</v>
      </c>
      <c r="AW44" s="10">
        <f t="shared" si="20"/>
        <v>0</v>
      </c>
      <c r="AY44" s="7">
        <f>IF(ISERROR(IF($K44&lt;=$F$15,VLOOKUP($I44,'表4）CO2価格'!$A$7:$E$67,VLOOKUP($F$48,'表4）CO2価格'!$H$10:$I$12,2,0),0)*$F$8/1000,"")),0,IF($K44&lt;=$F$15,VLOOKUP($I44,'表4）CO2価格'!$A$7:$E$67,VLOOKUP($F$48,'表4）CO2価格'!$H$10:$I$12,2,0),0)*$F$8/1000,""))</f>
        <v>0</v>
      </c>
      <c r="BA44" s="11">
        <f t="shared" si="7"/>
        <v>0</v>
      </c>
      <c r="BB44" s="10">
        <f t="shared" si="21"/>
        <v>0</v>
      </c>
      <c r="BD44" s="10">
        <f t="shared" si="8"/>
        <v>0</v>
      </c>
      <c r="BE44" s="10">
        <f t="shared" si="22"/>
        <v>0</v>
      </c>
      <c r="BG44" s="11">
        <f t="shared" si="9"/>
        <v>0</v>
      </c>
      <c r="BH44" s="10">
        <f t="shared" si="23"/>
        <v>0</v>
      </c>
      <c r="BJ44" s="7" t="str">
        <f t="shared" si="24"/>
        <v/>
      </c>
      <c r="BK44" s="158" t="str">
        <f t="shared" si="25"/>
        <v/>
      </c>
      <c r="BL44" s="158" t="str">
        <f t="shared" si="10"/>
        <v/>
      </c>
      <c r="BM44" s="10"/>
      <c r="BN44" s="10" t="str">
        <f t="shared" si="26"/>
        <v/>
      </c>
      <c r="BO44" s="10" t="str">
        <f t="shared" si="27"/>
        <v/>
      </c>
      <c r="BQ44" s="10">
        <f t="shared" si="11"/>
        <v>26174880</v>
      </c>
      <c r="BR44" s="10">
        <f t="shared" si="28"/>
        <v>10783703.991917722</v>
      </c>
    </row>
    <row r="45" spans="3:70" x14ac:dyDescent="0.15">
      <c r="C45" s="4" t="s">
        <v>575</v>
      </c>
      <c r="D45" s="100"/>
      <c r="E45" s="100"/>
      <c r="F45" s="4"/>
      <c r="G45" s="100"/>
      <c r="I45" s="38">
        <f t="shared" si="29"/>
        <v>2050</v>
      </c>
      <c r="J45" s="39"/>
      <c r="K45" s="39">
        <f t="shared" si="30"/>
        <v>31</v>
      </c>
      <c r="L45" s="39"/>
      <c r="M45" s="40">
        <f t="shared" si="0"/>
        <v>0.39998714516107459</v>
      </c>
      <c r="N45" s="39"/>
      <c r="O45" s="72">
        <f t="shared" si="12"/>
        <v>0</v>
      </c>
      <c r="P45" s="41" t="str">
        <f t="shared" si="1"/>
        <v>-</v>
      </c>
      <c r="Q45" s="39"/>
      <c r="R45" s="72">
        <f t="shared" si="13"/>
        <v>153750000</v>
      </c>
      <c r="S45" s="39"/>
      <c r="T45" s="72">
        <f t="shared" si="14"/>
        <v>153750000</v>
      </c>
      <c r="U45" s="39"/>
      <c r="V45" s="72">
        <f t="shared" si="2"/>
        <v>0</v>
      </c>
      <c r="W45" s="72">
        <f t="shared" si="15"/>
        <v>0</v>
      </c>
      <c r="X45" s="39"/>
      <c r="Y45" s="72">
        <f t="shared" si="3"/>
        <v>2152500</v>
      </c>
      <c r="Z45" s="72">
        <f t="shared" si="16"/>
        <v>860972.32995921304</v>
      </c>
      <c r="AA45" s="39"/>
      <c r="AB45" s="72">
        <f t="shared" si="4"/>
        <v>0</v>
      </c>
      <c r="AC45" s="72">
        <f t="shared" si="17"/>
        <v>0</v>
      </c>
      <c r="AD45" s="39"/>
      <c r="AE45" s="72">
        <f t="shared" si="5"/>
        <v>0</v>
      </c>
      <c r="AF45" s="72">
        <f t="shared" si="18"/>
        <v>0</v>
      </c>
      <c r="AG45" s="39"/>
      <c r="AH45" s="72">
        <f t="shared" si="31"/>
        <v>77500000</v>
      </c>
      <c r="AI45" s="72">
        <f t="shared" si="19"/>
        <v>30999003.749983281</v>
      </c>
      <c r="AJ45" s="39"/>
      <c r="AK45" s="72"/>
      <c r="AL45" s="72"/>
      <c r="AM45" s="39"/>
      <c r="AN45" s="72"/>
      <c r="AO45" s="72"/>
      <c r="AP45" s="39"/>
      <c r="AQ45" s="72"/>
      <c r="AR45" s="72"/>
      <c r="AS45" s="39"/>
      <c r="AT45" s="40">
        <f>IF($K45&lt;=$F$15,IF($F$40&lt;&gt;"",$F$40/1000,IF(ISERROR(VLOOKUP($F$3&amp;IF($G$4&lt;&gt;"",$G$4,"")&amp;IF($F$43&lt;&gt;"","_"&amp;$F$43,""),'表3）燃料価格'!$AF$9:$AG$25,2,0)),0,VLOOKUP($I45,'表3）燃料価格'!$A$6:$U$66,VLOOKUP($F$3&amp;IF($G$4&lt;&gt;"",$G$4,"")&amp;IF($F$43&lt;&gt;"","_"&amp;$F$43,""),'表3）燃料価格'!$AF$9:$AG$25,2,0)+VLOOKUP($F$41,'表3）燃料価格'!$AF$28:$AG$29,2,0),0)*IF($F$43="需要地価格",1,$F$8/$F$141))),"")</f>
        <v>0</v>
      </c>
      <c r="AU45" s="39"/>
      <c r="AV45" s="72">
        <f t="shared" si="6"/>
        <v>0</v>
      </c>
      <c r="AW45" s="72">
        <f t="shared" si="20"/>
        <v>0</v>
      </c>
      <c r="AX45" s="39"/>
      <c r="AY45" s="40">
        <f>IF(ISERROR(IF($K45&lt;=$F$15,VLOOKUP($I45,'表4）CO2価格'!$A$7:$E$67,VLOOKUP($F$48,'表4）CO2価格'!$H$10:$I$12,2,0),0)*$F$8/1000,"")),0,IF($K45&lt;=$F$15,VLOOKUP($I45,'表4）CO2価格'!$A$7:$E$67,VLOOKUP($F$48,'表4）CO2価格'!$H$10:$I$12,2,0),0)*$F$8/1000,""))</f>
        <v>0</v>
      </c>
      <c r="AZ45" s="39"/>
      <c r="BA45" s="42">
        <f t="shared" si="7"/>
        <v>0</v>
      </c>
      <c r="BB45" s="72">
        <f t="shared" si="21"/>
        <v>0</v>
      </c>
      <c r="BC45" s="39"/>
      <c r="BD45" s="72">
        <f t="shared" si="8"/>
        <v>0</v>
      </c>
      <c r="BE45" s="72">
        <f t="shared" si="22"/>
        <v>0</v>
      </c>
      <c r="BF45" s="39"/>
      <c r="BG45" s="42">
        <f t="shared" si="9"/>
        <v>0</v>
      </c>
      <c r="BH45" s="72">
        <f t="shared" si="23"/>
        <v>0</v>
      </c>
      <c r="BI45" s="39"/>
      <c r="BJ45" s="40" t="str">
        <f t="shared" si="24"/>
        <v/>
      </c>
      <c r="BK45" s="157" t="str">
        <f t="shared" si="25"/>
        <v/>
      </c>
      <c r="BL45" s="157" t="str">
        <f t="shared" si="10"/>
        <v/>
      </c>
      <c r="BM45" s="72"/>
      <c r="BN45" s="72" t="str">
        <f t="shared" si="26"/>
        <v/>
      </c>
      <c r="BO45" s="72" t="str">
        <f t="shared" si="27"/>
        <v/>
      </c>
      <c r="BP45" s="39"/>
      <c r="BQ45" s="72">
        <f t="shared" si="11"/>
        <v>26174880</v>
      </c>
      <c r="BR45" s="72">
        <f t="shared" si="28"/>
        <v>10469615.526133709</v>
      </c>
    </row>
    <row r="46" spans="3:70" x14ac:dyDescent="0.15">
      <c r="I46" s="322">
        <f t="shared" si="29"/>
        <v>2051</v>
      </c>
      <c r="K46" s="71">
        <f t="shared" si="30"/>
        <v>32</v>
      </c>
      <c r="M46" s="7">
        <f t="shared" si="0"/>
        <v>0.38833703413696569</v>
      </c>
      <c r="O46" s="10">
        <f t="shared" si="12"/>
        <v>0</v>
      </c>
      <c r="P46" s="29" t="str">
        <f t="shared" si="1"/>
        <v>-</v>
      </c>
      <c r="R46" s="10">
        <f t="shared" si="13"/>
        <v>153750000</v>
      </c>
      <c r="T46" s="10">
        <f t="shared" si="14"/>
        <v>153750000</v>
      </c>
      <c r="V46" s="10">
        <f t="shared" si="2"/>
        <v>0</v>
      </c>
      <c r="W46" s="10">
        <f t="shared" si="15"/>
        <v>0</v>
      </c>
      <c r="Y46" s="10">
        <f t="shared" si="3"/>
        <v>2152500</v>
      </c>
      <c r="Z46" s="10">
        <f t="shared" si="16"/>
        <v>835895.4659798186</v>
      </c>
      <c r="AB46" s="10">
        <f t="shared" si="4"/>
        <v>0</v>
      </c>
      <c r="AC46" s="10">
        <f t="shared" si="17"/>
        <v>0</v>
      </c>
      <c r="AE46" s="10">
        <f t="shared" si="5"/>
        <v>0</v>
      </c>
      <c r="AF46" s="10">
        <f t="shared" si="18"/>
        <v>0</v>
      </c>
      <c r="AH46" s="679">
        <f t="shared" si="31"/>
        <v>77500000</v>
      </c>
      <c r="AI46" s="10">
        <f t="shared" si="19"/>
        <v>30096120.14561484</v>
      </c>
      <c r="AK46" s="10"/>
      <c r="AL46" s="10"/>
      <c r="AN46" s="10"/>
      <c r="AO46" s="10"/>
      <c r="AQ46" s="10"/>
      <c r="AR46" s="10"/>
      <c r="AT46" s="7">
        <f>IF($K46&lt;=$F$15,IF($F$40&lt;&gt;"",$F$40/1000,IF(ISERROR(VLOOKUP($F$3&amp;IF($G$4&lt;&gt;"",$G$4,"")&amp;IF($F$43&lt;&gt;"","_"&amp;$F$43,""),'表3）燃料価格'!$AF$9:$AG$25,2,0)),0,VLOOKUP($I46,'表3）燃料価格'!$A$6:$U$66,VLOOKUP($F$3&amp;IF($G$4&lt;&gt;"",$G$4,"")&amp;IF($F$43&lt;&gt;"","_"&amp;$F$43,""),'表3）燃料価格'!$AF$9:$AG$25,2,0)+VLOOKUP($F$41,'表3）燃料価格'!$AF$28:$AG$29,2,0),0)*IF($F$43="需要地価格",1,$F$8/$F$141))),"")</f>
        <v>0</v>
      </c>
      <c r="AV46" s="10">
        <f t="shared" si="6"/>
        <v>0</v>
      </c>
      <c r="AW46" s="10">
        <f t="shared" si="20"/>
        <v>0</v>
      </c>
      <c r="AY46" s="7">
        <f>IF(ISERROR(IF($K46&lt;=$F$15,VLOOKUP($I46,'表4）CO2価格'!$A$7:$E$67,VLOOKUP($F$48,'表4）CO2価格'!$H$10:$I$12,2,0),0)*$F$8/1000,"")),0,IF($K46&lt;=$F$15,VLOOKUP($I46,'表4）CO2価格'!$A$7:$E$67,VLOOKUP($F$48,'表4）CO2価格'!$H$10:$I$12,2,0),0)*$F$8/1000,""))</f>
        <v>0</v>
      </c>
      <c r="BA46" s="11">
        <f t="shared" si="7"/>
        <v>0</v>
      </c>
      <c r="BB46" s="10">
        <f t="shared" si="21"/>
        <v>0</v>
      </c>
      <c r="BD46" s="10">
        <f t="shared" si="8"/>
        <v>0</v>
      </c>
      <c r="BE46" s="10">
        <f t="shared" si="22"/>
        <v>0</v>
      </c>
      <c r="BG46" s="11">
        <f t="shared" si="9"/>
        <v>0</v>
      </c>
      <c r="BH46" s="10">
        <f t="shared" si="23"/>
        <v>0</v>
      </c>
      <c r="BJ46" s="7" t="str">
        <f t="shared" si="24"/>
        <v/>
      </c>
      <c r="BK46" s="158" t="str">
        <f t="shared" si="25"/>
        <v/>
      </c>
      <c r="BL46" s="158" t="str">
        <f t="shared" si="10"/>
        <v/>
      </c>
      <c r="BM46" s="10"/>
      <c r="BN46" s="10" t="str">
        <f t="shared" si="26"/>
        <v/>
      </c>
      <c r="BO46" s="10" t="str">
        <f t="shared" si="27"/>
        <v/>
      </c>
      <c r="BQ46" s="10">
        <f t="shared" si="11"/>
        <v>26174880</v>
      </c>
      <c r="BR46" s="10">
        <f t="shared" si="28"/>
        <v>10164675.26809098</v>
      </c>
    </row>
    <row r="47" spans="3:70" x14ac:dyDescent="0.15">
      <c r="D47" s="84" t="s">
        <v>576</v>
      </c>
      <c r="F47" s="475"/>
      <c r="G47" s="84" t="s">
        <v>577</v>
      </c>
      <c r="I47" s="38">
        <f t="shared" si="29"/>
        <v>2052</v>
      </c>
      <c r="J47" s="39"/>
      <c r="K47" s="39">
        <f t="shared" si="30"/>
        <v>33</v>
      </c>
      <c r="L47" s="39"/>
      <c r="M47" s="40">
        <f t="shared" si="0"/>
        <v>0.37702624673491814</v>
      </c>
      <c r="N47" s="39"/>
      <c r="O47" s="72">
        <f t="shared" si="12"/>
        <v>0</v>
      </c>
      <c r="P47" s="41" t="str">
        <f t="shared" si="1"/>
        <v>-</v>
      </c>
      <c r="Q47" s="39"/>
      <c r="R47" s="72">
        <f t="shared" si="13"/>
        <v>153750000</v>
      </c>
      <c r="S47" s="39"/>
      <c r="T47" s="72">
        <f t="shared" si="14"/>
        <v>153750000</v>
      </c>
      <c r="U47" s="39"/>
      <c r="V47" s="72">
        <f t="shared" si="2"/>
        <v>0</v>
      </c>
      <c r="W47" s="72">
        <f t="shared" si="15"/>
        <v>0</v>
      </c>
      <c r="X47" s="39"/>
      <c r="Y47" s="72">
        <f t="shared" si="3"/>
        <v>2152500</v>
      </c>
      <c r="Z47" s="72">
        <f t="shared" si="16"/>
        <v>811548.99609691126</v>
      </c>
      <c r="AA47" s="39"/>
      <c r="AB47" s="72">
        <f t="shared" si="4"/>
        <v>0</v>
      </c>
      <c r="AC47" s="72">
        <f t="shared" si="17"/>
        <v>0</v>
      </c>
      <c r="AD47" s="39"/>
      <c r="AE47" s="72">
        <f t="shared" si="5"/>
        <v>0</v>
      </c>
      <c r="AF47" s="72">
        <f t="shared" si="18"/>
        <v>0</v>
      </c>
      <c r="AG47" s="39"/>
      <c r="AH47" s="72">
        <f t="shared" si="31"/>
        <v>77500000</v>
      </c>
      <c r="AI47" s="72">
        <f t="shared" si="19"/>
        <v>29219534.121956155</v>
      </c>
      <c r="AJ47" s="39"/>
      <c r="AK47" s="72"/>
      <c r="AL47" s="72"/>
      <c r="AM47" s="39"/>
      <c r="AN47" s="72"/>
      <c r="AO47" s="72"/>
      <c r="AP47" s="39"/>
      <c r="AQ47" s="72"/>
      <c r="AR47" s="72"/>
      <c r="AS47" s="39"/>
      <c r="AT47" s="40">
        <f>IF($K47&lt;=$F$15,IF($F$40&lt;&gt;"",$F$40/1000,IF(ISERROR(VLOOKUP($F$3&amp;IF($G$4&lt;&gt;"",$G$4,"")&amp;IF($F$43&lt;&gt;"","_"&amp;$F$43,""),'表3）燃料価格'!$AF$9:$AG$25,2,0)),0,VLOOKUP($I47,'表3）燃料価格'!$A$6:$U$66,VLOOKUP($F$3&amp;IF($G$4&lt;&gt;"",$G$4,"")&amp;IF($F$43&lt;&gt;"","_"&amp;$F$43,""),'表3）燃料価格'!$AF$9:$AG$25,2,0)+VLOOKUP($F$41,'表3）燃料価格'!$AF$28:$AG$29,2,0),0)*IF($F$43="需要地価格",1,$F$8/$F$141))),"")</f>
        <v>0</v>
      </c>
      <c r="AU47" s="39"/>
      <c r="AV47" s="72">
        <f t="shared" si="6"/>
        <v>0</v>
      </c>
      <c r="AW47" s="72">
        <f t="shared" si="20"/>
        <v>0</v>
      </c>
      <c r="AX47" s="39"/>
      <c r="AY47" s="40">
        <f>IF(ISERROR(IF($K47&lt;=$F$15,VLOOKUP($I47,'表4）CO2価格'!$A$7:$E$67,VLOOKUP($F$48,'表4）CO2価格'!$H$10:$I$12,2,0),0)*$F$8/1000,"")),0,IF($K47&lt;=$F$15,VLOOKUP($I47,'表4）CO2価格'!$A$7:$E$67,VLOOKUP($F$48,'表4）CO2価格'!$H$10:$I$12,2,0),0)*$F$8/1000,""))</f>
        <v>0</v>
      </c>
      <c r="AZ47" s="39"/>
      <c r="BA47" s="42">
        <f t="shared" si="7"/>
        <v>0</v>
      </c>
      <c r="BB47" s="72">
        <f t="shared" si="21"/>
        <v>0</v>
      </c>
      <c r="BC47" s="39"/>
      <c r="BD47" s="72">
        <f t="shared" si="8"/>
        <v>0</v>
      </c>
      <c r="BE47" s="72">
        <f t="shared" si="22"/>
        <v>0</v>
      </c>
      <c r="BF47" s="39"/>
      <c r="BG47" s="42">
        <f t="shared" si="9"/>
        <v>0</v>
      </c>
      <c r="BH47" s="72">
        <f t="shared" si="23"/>
        <v>0</v>
      </c>
      <c r="BI47" s="39"/>
      <c r="BJ47" s="40" t="str">
        <f t="shared" si="24"/>
        <v/>
      </c>
      <c r="BK47" s="157" t="str">
        <f t="shared" si="25"/>
        <v/>
      </c>
      <c r="BL47" s="157" t="str">
        <f t="shared" si="10"/>
        <v/>
      </c>
      <c r="BM47" s="72"/>
      <c r="BN47" s="72" t="str">
        <f t="shared" si="26"/>
        <v/>
      </c>
      <c r="BO47" s="72" t="str">
        <f t="shared" si="27"/>
        <v/>
      </c>
      <c r="BP47" s="39"/>
      <c r="BQ47" s="72">
        <f t="shared" si="11"/>
        <v>26174880</v>
      </c>
      <c r="BR47" s="72">
        <f t="shared" si="28"/>
        <v>9868616.7651368733</v>
      </c>
    </row>
    <row r="48" spans="3:70" x14ac:dyDescent="0.15">
      <c r="D48" s="84" t="s">
        <v>578</v>
      </c>
      <c r="F48" s="474"/>
      <c r="I48" s="322">
        <f t="shared" si="29"/>
        <v>2053</v>
      </c>
      <c r="K48" s="71">
        <f t="shared" si="30"/>
        <v>34</v>
      </c>
      <c r="M48" s="7">
        <f t="shared" si="0"/>
        <v>0.36604489974263904</v>
      </c>
      <c r="O48" s="10">
        <f t="shared" si="12"/>
        <v>0</v>
      </c>
      <c r="P48" s="29" t="str">
        <f t="shared" si="1"/>
        <v>-</v>
      </c>
      <c r="R48" s="10">
        <f t="shared" si="13"/>
        <v>153750000</v>
      </c>
      <c r="T48" s="10">
        <f t="shared" si="14"/>
        <v>153750000</v>
      </c>
      <c r="V48" s="10">
        <f t="shared" si="2"/>
        <v>0</v>
      </c>
      <c r="W48" s="10">
        <f t="shared" si="15"/>
        <v>0</v>
      </c>
      <c r="Y48" s="10">
        <f t="shared" si="3"/>
        <v>2152500</v>
      </c>
      <c r="Z48" s="10">
        <f t="shared" si="16"/>
        <v>787911.64669603051</v>
      </c>
      <c r="AB48" s="10">
        <f t="shared" si="4"/>
        <v>0</v>
      </c>
      <c r="AC48" s="10">
        <f t="shared" si="17"/>
        <v>0</v>
      </c>
      <c r="AE48" s="10">
        <f t="shared" si="5"/>
        <v>0</v>
      </c>
      <c r="AF48" s="10">
        <f t="shared" si="18"/>
        <v>0</v>
      </c>
      <c r="AH48" s="679">
        <f t="shared" si="31"/>
        <v>77500000</v>
      </c>
      <c r="AI48" s="10">
        <f t="shared" si="19"/>
        <v>28368479.730054524</v>
      </c>
      <c r="AK48" s="10"/>
      <c r="AL48" s="10"/>
      <c r="AN48" s="10"/>
      <c r="AO48" s="10"/>
      <c r="AQ48" s="10"/>
      <c r="AR48" s="10"/>
      <c r="AT48" s="7">
        <f>IF($K48&lt;=$F$15,IF($F$40&lt;&gt;"",$F$40/1000,IF(ISERROR(VLOOKUP($F$3&amp;IF($G$4&lt;&gt;"",$G$4,"")&amp;IF($F$43&lt;&gt;"","_"&amp;$F$43,""),'表3）燃料価格'!$AF$9:$AG$25,2,0)),0,VLOOKUP($I48,'表3）燃料価格'!$A$6:$U$66,VLOOKUP($F$3&amp;IF($G$4&lt;&gt;"",$G$4,"")&amp;IF($F$43&lt;&gt;"","_"&amp;$F$43,""),'表3）燃料価格'!$AF$9:$AG$25,2,0)+VLOOKUP($F$41,'表3）燃料価格'!$AF$28:$AG$29,2,0),0)*IF($F$43="需要地価格",1,$F$8/$F$141))),"")</f>
        <v>0</v>
      </c>
      <c r="AV48" s="10">
        <f t="shared" si="6"/>
        <v>0</v>
      </c>
      <c r="AW48" s="10">
        <f t="shared" si="20"/>
        <v>0</v>
      </c>
      <c r="AY48" s="7">
        <f>IF(ISERROR(IF($K48&lt;=$F$15,VLOOKUP($I48,'表4）CO2価格'!$A$7:$E$67,VLOOKUP($F$48,'表4）CO2価格'!$H$10:$I$12,2,0),0)*$F$8/1000,"")),0,IF($K48&lt;=$F$15,VLOOKUP($I48,'表4）CO2価格'!$A$7:$E$67,VLOOKUP($F$48,'表4）CO2価格'!$H$10:$I$12,2,0),0)*$F$8/1000,""))</f>
        <v>0</v>
      </c>
      <c r="BA48" s="11">
        <f t="shared" si="7"/>
        <v>0</v>
      </c>
      <c r="BB48" s="10">
        <f t="shared" si="21"/>
        <v>0</v>
      </c>
      <c r="BD48" s="10">
        <f t="shared" si="8"/>
        <v>0</v>
      </c>
      <c r="BE48" s="10">
        <f t="shared" si="22"/>
        <v>0</v>
      </c>
      <c r="BG48" s="11">
        <f t="shared" si="9"/>
        <v>0</v>
      </c>
      <c r="BH48" s="10">
        <f t="shared" si="23"/>
        <v>0</v>
      </c>
      <c r="BJ48" s="7" t="str">
        <f t="shared" si="24"/>
        <v/>
      </c>
      <c r="BK48" s="158" t="str">
        <f t="shared" si="25"/>
        <v/>
      </c>
      <c r="BL48" s="158" t="str">
        <f t="shared" si="10"/>
        <v/>
      </c>
      <c r="BM48" s="10"/>
      <c r="BN48" s="10" t="str">
        <f t="shared" si="26"/>
        <v/>
      </c>
      <c r="BO48" s="10" t="str">
        <f t="shared" si="27"/>
        <v/>
      </c>
      <c r="BQ48" s="10">
        <f t="shared" si="11"/>
        <v>26174880</v>
      </c>
      <c r="BR48" s="10">
        <f t="shared" si="28"/>
        <v>9581181.3253756072</v>
      </c>
    </row>
    <row r="49" spans="3:70" x14ac:dyDescent="0.15">
      <c r="I49" s="38">
        <f t="shared" si="29"/>
        <v>2054</v>
      </c>
      <c r="J49" s="39"/>
      <c r="K49" s="39">
        <f t="shared" si="30"/>
        <v>35</v>
      </c>
      <c r="L49" s="39"/>
      <c r="M49" s="40">
        <f t="shared" si="0"/>
        <v>0.35538339780838735</v>
      </c>
      <c r="N49" s="39"/>
      <c r="O49" s="72">
        <f t="shared" si="12"/>
        <v>0</v>
      </c>
      <c r="P49" s="41" t="str">
        <f t="shared" si="1"/>
        <v>-</v>
      </c>
      <c r="Q49" s="39"/>
      <c r="R49" s="72">
        <f t="shared" si="13"/>
        <v>153750000</v>
      </c>
      <c r="S49" s="39"/>
      <c r="T49" s="72">
        <f t="shared" si="14"/>
        <v>153750000</v>
      </c>
      <c r="U49" s="39"/>
      <c r="V49" s="72">
        <f t="shared" si="2"/>
        <v>0</v>
      </c>
      <c r="W49" s="72">
        <f t="shared" si="15"/>
        <v>0</v>
      </c>
      <c r="X49" s="39"/>
      <c r="Y49" s="72">
        <f t="shared" si="3"/>
        <v>2152500</v>
      </c>
      <c r="Z49" s="72">
        <f t="shared" si="16"/>
        <v>764962.76378255372</v>
      </c>
      <c r="AA49" s="39"/>
      <c r="AB49" s="72">
        <f t="shared" si="4"/>
        <v>0</v>
      </c>
      <c r="AC49" s="72">
        <f t="shared" si="17"/>
        <v>0</v>
      </c>
      <c r="AD49" s="39"/>
      <c r="AE49" s="72">
        <f t="shared" si="5"/>
        <v>0</v>
      </c>
      <c r="AF49" s="72">
        <f t="shared" si="18"/>
        <v>0</v>
      </c>
      <c r="AG49" s="39"/>
      <c r="AH49" s="72">
        <f t="shared" si="31"/>
        <v>77500000</v>
      </c>
      <c r="AI49" s="72">
        <f t="shared" si="19"/>
        <v>27542213.330150019</v>
      </c>
      <c r="AJ49" s="39"/>
      <c r="AK49" s="72"/>
      <c r="AL49" s="72"/>
      <c r="AM49" s="39"/>
      <c r="AN49" s="72"/>
      <c r="AO49" s="72"/>
      <c r="AP49" s="39"/>
      <c r="AQ49" s="72"/>
      <c r="AR49" s="72"/>
      <c r="AS49" s="39"/>
      <c r="AT49" s="40">
        <f>IF($K49&lt;=$F$15,IF($F$40&lt;&gt;"",$F$40/1000,IF(ISERROR(VLOOKUP($F$3&amp;IF($G$4&lt;&gt;"",$G$4,"")&amp;IF($F$43&lt;&gt;"","_"&amp;$F$43,""),'表3）燃料価格'!$AF$9:$AG$25,2,0)),0,VLOOKUP($I49,'表3）燃料価格'!$A$6:$U$66,VLOOKUP($F$3&amp;IF($G$4&lt;&gt;"",$G$4,"")&amp;IF($F$43&lt;&gt;"","_"&amp;$F$43,""),'表3）燃料価格'!$AF$9:$AG$25,2,0)+VLOOKUP($F$41,'表3）燃料価格'!$AF$28:$AG$29,2,0),0)*IF($F$43="需要地価格",1,$F$8/$F$141))),"")</f>
        <v>0</v>
      </c>
      <c r="AU49" s="39"/>
      <c r="AV49" s="72">
        <f t="shared" si="6"/>
        <v>0</v>
      </c>
      <c r="AW49" s="72">
        <f t="shared" si="20"/>
        <v>0</v>
      </c>
      <c r="AX49" s="39"/>
      <c r="AY49" s="40">
        <f>IF(ISERROR(IF($K49&lt;=$F$15,VLOOKUP($I49,'表4）CO2価格'!$A$7:$E$67,VLOOKUP($F$48,'表4）CO2価格'!$H$10:$I$12,2,0),0)*$F$8/1000,"")),0,IF($K49&lt;=$F$15,VLOOKUP($I49,'表4）CO2価格'!$A$7:$E$67,VLOOKUP($F$48,'表4）CO2価格'!$H$10:$I$12,2,0),0)*$F$8/1000,""))</f>
        <v>0</v>
      </c>
      <c r="AZ49" s="39"/>
      <c r="BA49" s="42">
        <f t="shared" si="7"/>
        <v>0</v>
      </c>
      <c r="BB49" s="72">
        <f t="shared" si="21"/>
        <v>0</v>
      </c>
      <c r="BC49" s="39"/>
      <c r="BD49" s="72">
        <f t="shared" si="8"/>
        <v>0</v>
      </c>
      <c r="BE49" s="72">
        <f t="shared" si="22"/>
        <v>0</v>
      </c>
      <c r="BF49" s="39"/>
      <c r="BG49" s="42">
        <f t="shared" si="9"/>
        <v>0</v>
      </c>
      <c r="BH49" s="72">
        <f t="shared" si="23"/>
        <v>0</v>
      </c>
      <c r="BI49" s="39"/>
      <c r="BJ49" s="40" t="str">
        <f t="shared" si="24"/>
        <v/>
      </c>
      <c r="BK49" s="157" t="str">
        <f t="shared" si="25"/>
        <v/>
      </c>
      <c r="BL49" s="157" t="str">
        <f t="shared" si="10"/>
        <v/>
      </c>
      <c r="BM49" s="72"/>
      <c r="BN49" s="72" t="str">
        <f t="shared" si="26"/>
        <v/>
      </c>
      <c r="BO49" s="72" t="str">
        <f t="shared" si="27"/>
        <v/>
      </c>
      <c r="BP49" s="39"/>
      <c r="BQ49" s="72">
        <f t="shared" si="11"/>
        <v>26174880</v>
      </c>
      <c r="BR49" s="72">
        <f t="shared" si="28"/>
        <v>9302117.7916268017</v>
      </c>
    </row>
    <row r="50" spans="3:70" x14ac:dyDescent="0.15">
      <c r="C50" s="4" t="s">
        <v>579</v>
      </c>
      <c r="D50" s="100"/>
      <c r="E50" s="100"/>
      <c r="F50" s="4"/>
      <c r="G50" s="100"/>
      <c r="I50" s="322">
        <f t="shared" si="29"/>
        <v>2055</v>
      </c>
      <c r="K50" s="71">
        <f t="shared" si="30"/>
        <v>36</v>
      </c>
      <c r="M50" s="7">
        <f t="shared" si="0"/>
        <v>0.34503242505668674</v>
      </c>
      <c r="O50" s="10">
        <f t="shared" si="12"/>
        <v>0</v>
      </c>
      <c r="P50" s="29" t="str">
        <f t="shared" si="1"/>
        <v>-</v>
      </c>
      <c r="R50" s="10">
        <f t="shared" si="13"/>
        <v>153750000</v>
      </c>
      <c r="T50" s="10">
        <f t="shared" si="14"/>
        <v>153750000</v>
      </c>
      <c r="V50" s="10">
        <f t="shared" si="2"/>
        <v>0</v>
      </c>
      <c r="W50" s="10">
        <f t="shared" si="15"/>
        <v>0</v>
      </c>
      <c r="Y50" s="10">
        <f t="shared" si="3"/>
        <v>2152500</v>
      </c>
      <c r="Z50" s="10">
        <f t="shared" si="16"/>
        <v>742682.29493451817</v>
      </c>
      <c r="AB50" s="10">
        <f t="shared" si="4"/>
        <v>0</v>
      </c>
      <c r="AC50" s="10">
        <f t="shared" si="17"/>
        <v>0</v>
      </c>
      <c r="AE50" s="10">
        <f t="shared" si="5"/>
        <v>0</v>
      </c>
      <c r="AF50" s="10">
        <f t="shared" si="18"/>
        <v>0</v>
      </c>
      <c r="AH50" s="679">
        <f t="shared" si="31"/>
        <v>77500000</v>
      </c>
      <c r="AI50" s="10">
        <f t="shared" si="19"/>
        <v>26740012.941893224</v>
      </c>
      <c r="AK50" s="10"/>
      <c r="AL50" s="10"/>
      <c r="AN50" s="10"/>
      <c r="AO50" s="10"/>
      <c r="AQ50" s="10"/>
      <c r="AR50" s="10"/>
      <c r="AT50" s="7">
        <f>IF($K50&lt;=$F$15,IF($F$40&lt;&gt;"",$F$40/1000,IF(ISERROR(VLOOKUP($F$3&amp;IF($G$4&lt;&gt;"",$G$4,"")&amp;IF($F$43&lt;&gt;"","_"&amp;$F$43,""),'表3）燃料価格'!$AF$9:$AG$25,2,0)),0,VLOOKUP($I50,'表3）燃料価格'!$A$6:$U$66,VLOOKUP($F$3&amp;IF($G$4&lt;&gt;"",$G$4,"")&amp;IF($F$43&lt;&gt;"","_"&amp;$F$43,""),'表3）燃料価格'!$AF$9:$AG$25,2,0)+VLOOKUP($F$41,'表3）燃料価格'!$AF$28:$AG$29,2,0),0)*IF($F$43="需要地価格",1,$F$8/$F$141))),"")</f>
        <v>0</v>
      </c>
      <c r="AV50" s="10">
        <f t="shared" si="6"/>
        <v>0</v>
      </c>
      <c r="AW50" s="10">
        <f t="shared" si="20"/>
        <v>0</v>
      </c>
      <c r="AY50" s="7">
        <f>IF(ISERROR(IF($K50&lt;=$F$15,VLOOKUP($I50,'表4）CO2価格'!$A$7:$E$67,VLOOKUP($F$48,'表4）CO2価格'!$H$10:$I$12,2,0),0)*$F$8/1000,"")),0,IF($K50&lt;=$F$15,VLOOKUP($I50,'表4）CO2価格'!$A$7:$E$67,VLOOKUP($F$48,'表4）CO2価格'!$H$10:$I$12,2,0),0)*$F$8/1000,""))</f>
        <v>0</v>
      </c>
      <c r="BA50" s="11">
        <f t="shared" si="7"/>
        <v>0</v>
      </c>
      <c r="BB50" s="10">
        <f t="shared" si="21"/>
        <v>0</v>
      </c>
      <c r="BD50" s="10">
        <f t="shared" si="8"/>
        <v>0</v>
      </c>
      <c r="BE50" s="10">
        <f t="shared" si="22"/>
        <v>0</v>
      </c>
      <c r="BG50" s="11">
        <f t="shared" si="9"/>
        <v>0</v>
      </c>
      <c r="BH50" s="10">
        <f t="shared" si="23"/>
        <v>0</v>
      </c>
      <c r="BJ50" s="7" t="str">
        <f t="shared" si="24"/>
        <v/>
      </c>
      <c r="BK50" s="158" t="str">
        <f t="shared" si="25"/>
        <v/>
      </c>
      <c r="BL50" s="158" t="str">
        <f t="shared" si="10"/>
        <v/>
      </c>
      <c r="BM50" s="10"/>
      <c r="BN50" s="10" t="str">
        <f t="shared" si="26"/>
        <v/>
      </c>
      <c r="BO50" s="10" t="str">
        <f t="shared" si="27"/>
        <v/>
      </c>
      <c r="BQ50" s="10">
        <f t="shared" si="11"/>
        <v>26174880</v>
      </c>
      <c r="BR50" s="10">
        <f t="shared" si="28"/>
        <v>9031182.3219677694</v>
      </c>
    </row>
    <row r="51" spans="3:70" x14ac:dyDescent="0.15">
      <c r="I51" s="38">
        <f t="shared" si="29"/>
        <v>2056</v>
      </c>
      <c r="J51" s="39"/>
      <c r="K51" s="39">
        <f t="shared" si="30"/>
        <v>37</v>
      </c>
      <c r="L51" s="39"/>
      <c r="M51" s="40">
        <f t="shared" si="0"/>
        <v>0.33498293694823961</v>
      </c>
      <c r="N51" s="39"/>
      <c r="O51" s="72">
        <f t="shared" si="12"/>
        <v>0</v>
      </c>
      <c r="P51" s="41" t="str">
        <f t="shared" si="1"/>
        <v>-</v>
      </c>
      <c r="Q51" s="39"/>
      <c r="R51" s="72">
        <f t="shared" si="13"/>
        <v>153750000</v>
      </c>
      <c r="S51" s="39"/>
      <c r="T51" s="72">
        <f t="shared" si="14"/>
        <v>153750000</v>
      </c>
      <c r="U51" s="39"/>
      <c r="V51" s="72">
        <f t="shared" si="2"/>
        <v>0</v>
      </c>
      <c r="W51" s="72">
        <f t="shared" si="15"/>
        <v>0</v>
      </c>
      <c r="X51" s="39"/>
      <c r="Y51" s="72">
        <f t="shared" si="3"/>
        <v>2152500</v>
      </c>
      <c r="Z51" s="72">
        <f t="shared" si="16"/>
        <v>721050.77178108576</v>
      </c>
      <c r="AA51" s="39"/>
      <c r="AB51" s="72">
        <f t="shared" si="4"/>
        <v>0</v>
      </c>
      <c r="AC51" s="72">
        <f t="shared" si="17"/>
        <v>0</v>
      </c>
      <c r="AD51" s="39"/>
      <c r="AE51" s="72">
        <f t="shared" si="5"/>
        <v>0</v>
      </c>
      <c r="AF51" s="72">
        <f t="shared" si="18"/>
        <v>0</v>
      </c>
      <c r="AG51" s="39"/>
      <c r="AH51" s="72">
        <f t="shared" si="31"/>
        <v>77500000</v>
      </c>
      <c r="AI51" s="72">
        <f t="shared" si="19"/>
        <v>25961177.61348857</v>
      </c>
      <c r="AJ51" s="39"/>
      <c r="AK51" s="72"/>
      <c r="AL51" s="72"/>
      <c r="AM51" s="39"/>
      <c r="AN51" s="72"/>
      <c r="AO51" s="72"/>
      <c r="AP51" s="39"/>
      <c r="AQ51" s="72"/>
      <c r="AR51" s="72"/>
      <c r="AS51" s="39"/>
      <c r="AT51" s="40">
        <f>IF($K51&lt;=$F$15,IF($F$40&lt;&gt;"",$F$40/1000,IF(ISERROR(VLOOKUP($F$3&amp;IF($G$4&lt;&gt;"",$G$4,"")&amp;IF($F$43&lt;&gt;"","_"&amp;$F$43,""),'表3）燃料価格'!$AF$9:$AG$25,2,0)),0,VLOOKUP($I51,'表3）燃料価格'!$A$6:$U$66,VLOOKUP($F$3&amp;IF($G$4&lt;&gt;"",$G$4,"")&amp;IF($F$43&lt;&gt;"","_"&amp;$F$43,""),'表3）燃料価格'!$AF$9:$AG$25,2,0)+VLOOKUP($F$41,'表3）燃料価格'!$AF$28:$AG$29,2,0),0)*IF($F$43="需要地価格",1,$F$8/$F$141))),"")</f>
        <v>0</v>
      </c>
      <c r="AU51" s="39"/>
      <c r="AV51" s="72">
        <f t="shared" si="6"/>
        <v>0</v>
      </c>
      <c r="AW51" s="72">
        <f t="shared" si="20"/>
        <v>0</v>
      </c>
      <c r="AX51" s="39"/>
      <c r="AY51" s="40">
        <f>IF(ISERROR(IF($K51&lt;=$F$15,VLOOKUP($I51,'表4）CO2価格'!$A$7:$E$67,VLOOKUP($F$48,'表4）CO2価格'!$H$10:$I$12,2,0),0)*$F$8/1000,"")),0,IF($K51&lt;=$F$15,VLOOKUP($I51,'表4）CO2価格'!$A$7:$E$67,VLOOKUP($F$48,'表4）CO2価格'!$H$10:$I$12,2,0),0)*$F$8/1000,""))</f>
        <v>0</v>
      </c>
      <c r="AZ51" s="39"/>
      <c r="BA51" s="42">
        <f t="shared" si="7"/>
        <v>0</v>
      </c>
      <c r="BB51" s="72">
        <f t="shared" si="21"/>
        <v>0</v>
      </c>
      <c r="BC51" s="39"/>
      <c r="BD51" s="72">
        <f t="shared" si="8"/>
        <v>0</v>
      </c>
      <c r="BE51" s="72">
        <f t="shared" si="22"/>
        <v>0</v>
      </c>
      <c r="BF51" s="39"/>
      <c r="BG51" s="42">
        <f t="shared" si="9"/>
        <v>0</v>
      </c>
      <c r="BH51" s="72">
        <f t="shared" si="23"/>
        <v>0</v>
      </c>
      <c r="BI51" s="39"/>
      <c r="BJ51" s="40" t="str">
        <f t="shared" si="24"/>
        <v/>
      </c>
      <c r="BK51" s="157" t="str">
        <f t="shared" si="25"/>
        <v/>
      </c>
      <c r="BL51" s="157" t="str">
        <f t="shared" si="10"/>
        <v/>
      </c>
      <c r="BM51" s="72"/>
      <c r="BN51" s="72" t="str">
        <f t="shared" si="26"/>
        <v/>
      </c>
      <c r="BO51" s="72" t="str">
        <f t="shared" si="27"/>
        <v/>
      </c>
      <c r="BP51" s="39"/>
      <c r="BQ51" s="72">
        <f t="shared" si="11"/>
        <v>26174880</v>
      </c>
      <c r="BR51" s="72">
        <f t="shared" si="28"/>
        <v>8768138.1766677387</v>
      </c>
    </row>
    <row r="52" spans="3:70" x14ac:dyDescent="0.15">
      <c r="D52" s="84" t="s">
        <v>185</v>
      </c>
      <c r="F52" s="478"/>
      <c r="G52" s="84" t="s">
        <v>549</v>
      </c>
      <c r="I52" s="322">
        <f t="shared" si="29"/>
        <v>2057</v>
      </c>
      <c r="K52" s="71">
        <f t="shared" si="30"/>
        <v>38</v>
      </c>
      <c r="M52" s="7">
        <f t="shared" si="0"/>
        <v>0.3252261523769317</v>
      </c>
      <c r="O52" s="10">
        <f t="shared" si="12"/>
        <v>0</v>
      </c>
      <c r="P52" s="29" t="str">
        <f t="shared" si="1"/>
        <v>-</v>
      </c>
      <c r="R52" s="10">
        <f t="shared" si="13"/>
        <v>153750000</v>
      </c>
      <c r="T52" s="10">
        <f t="shared" si="14"/>
        <v>153750000</v>
      </c>
      <c r="V52" s="10">
        <f t="shared" si="2"/>
        <v>0</v>
      </c>
      <c r="W52" s="10">
        <f t="shared" si="15"/>
        <v>0</v>
      </c>
      <c r="Y52" s="10">
        <f t="shared" si="3"/>
        <v>2152500</v>
      </c>
      <c r="Z52" s="10">
        <f t="shared" si="16"/>
        <v>700049.29299134552</v>
      </c>
      <c r="AB52" s="10">
        <f t="shared" si="4"/>
        <v>0</v>
      </c>
      <c r="AC52" s="10">
        <f t="shared" si="17"/>
        <v>0</v>
      </c>
      <c r="AE52" s="10">
        <f t="shared" si="5"/>
        <v>0</v>
      </c>
      <c r="AF52" s="10">
        <f t="shared" si="18"/>
        <v>0</v>
      </c>
      <c r="AH52" s="679">
        <f t="shared" si="31"/>
        <v>77500000</v>
      </c>
      <c r="AI52" s="10">
        <f t="shared" si="19"/>
        <v>25205026.809212208</v>
      </c>
      <c r="AK52" s="10"/>
      <c r="AL52" s="10"/>
      <c r="AN52" s="10"/>
      <c r="AO52" s="10"/>
      <c r="AQ52" s="10"/>
      <c r="AR52" s="10"/>
      <c r="AT52" s="7">
        <f>IF($K52&lt;=$F$15,IF($F$40&lt;&gt;"",$F$40/1000,IF(ISERROR(VLOOKUP($F$3&amp;IF($G$4&lt;&gt;"",$G$4,"")&amp;IF($F$43&lt;&gt;"","_"&amp;$F$43,""),'表3）燃料価格'!$AF$9:$AG$25,2,0)),0,VLOOKUP($I52,'表3）燃料価格'!$A$6:$U$66,VLOOKUP($F$3&amp;IF($G$4&lt;&gt;"",$G$4,"")&amp;IF($F$43&lt;&gt;"","_"&amp;$F$43,""),'表3）燃料価格'!$AF$9:$AG$25,2,0)+VLOOKUP($F$41,'表3）燃料価格'!$AF$28:$AG$29,2,0),0)*IF($F$43="需要地価格",1,$F$8/$F$141))),"")</f>
        <v>0</v>
      </c>
      <c r="AV52" s="10">
        <f t="shared" si="6"/>
        <v>0</v>
      </c>
      <c r="AW52" s="10">
        <f t="shared" si="20"/>
        <v>0</v>
      </c>
      <c r="AY52" s="7">
        <f>IF(ISERROR(IF($K52&lt;=$F$15,VLOOKUP($I52,'表4）CO2価格'!$A$7:$E$67,VLOOKUP($F$48,'表4）CO2価格'!$H$10:$I$12,2,0),0)*$F$8/1000,"")),0,IF($K52&lt;=$F$15,VLOOKUP($I52,'表4）CO2価格'!$A$7:$E$67,VLOOKUP($F$48,'表4）CO2価格'!$H$10:$I$12,2,0),0)*$F$8/1000,""))</f>
        <v>0</v>
      </c>
      <c r="BA52" s="11">
        <f t="shared" si="7"/>
        <v>0</v>
      </c>
      <c r="BB52" s="10">
        <f t="shared" si="21"/>
        <v>0</v>
      </c>
      <c r="BD52" s="10">
        <f t="shared" si="8"/>
        <v>0</v>
      </c>
      <c r="BE52" s="10">
        <f t="shared" si="22"/>
        <v>0</v>
      </c>
      <c r="BG52" s="11">
        <f t="shared" si="9"/>
        <v>0</v>
      </c>
      <c r="BH52" s="10">
        <f t="shared" si="23"/>
        <v>0</v>
      </c>
      <c r="BJ52" s="7" t="str">
        <f t="shared" si="24"/>
        <v/>
      </c>
      <c r="BK52" s="158" t="str">
        <f t="shared" si="25"/>
        <v/>
      </c>
      <c r="BL52" s="158" t="str">
        <f t="shared" si="10"/>
        <v/>
      </c>
      <c r="BM52" s="10"/>
      <c r="BN52" s="10" t="str">
        <f t="shared" si="26"/>
        <v/>
      </c>
      <c r="BO52" s="10" t="str">
        <f t="shared" si="27"/>
        <v/>
      </c>
      <c r="BQ52" s="10">
        <f t="shared" si="11"/>
        <v>26174880</v>
      </c>
      <c r="BR52" s="10">
        <f t="shared" si="28"/>
        <v>8512755.5113279019</v>
      </c>
    </row>
    <row r="53" spans="3:70" x14ac:dyDescent="0.15">
      <c r="D53" s="84" t="s">
        <v>580</v>
      </c>
      <c r="F53" s="475"/>
      <c r="G53" s="84" t="s">
        <v>549</v>
      </c>
      <c r="I53" s="38">
        <f t="shared" si="29"/>
        <v>2058</v>
      </c>
      <c r="J53" s="39"/>
      <c r="K53" s="39">
        <f t="shared" si="30"/>
        <v>39</v>
      </c>
      <c r="L53" s="39"/>
      <c r="M53" s="40">
        <f t="shared" si="0"/>
        <v>0.31575354599702099</v>
      </c>
      <c r="N53" s="39"/>
      <c r="O53" s="72">
        <f t="shared" si="12"/>
        <v>0</v>
      </c>
      <c r="P53" s="41" t="str">
        <f t="shared" si="1"/>
        <v>-</v>
      </c>
      <c r="Q53" s="39"/>
      <c r="R53" s="72">
        <f t="shared" si="13"/>
        <v>153750000</v>
      </c>
      <c r="S53" s="39"/>
      <c r="T53" s="72">
        <f t="shared" si="14"/>
        <v>153750000</v>
      </c>
      <c r="U53" s="39"/>
      <c r="V53" s="72">
        <f t="shared" si="2"/>
        <v>0</v>
      </c>
      <c r="W53" s="72">
        <f t="shared" si="15"/>
        <v>0</v>
      </c>
      <c r="X53" s="39"/>
      <c r="Y53" s="72">
        <f t="shared" si="3"/>
        <v>2152500</v>
      </c>
      <c r="Z53" s="72">
        <f t="shared" si="16"/>
        <v>679659.50775858772</v>
      </c>
      <c r="AA53" s="39"/>
      <c r="AB53" s="72">
        <f t="shared" si="4"/>
        <v>0</v>
      </c>
      <c r="AC53" s="72">
        <f t="shared" si="17"/>
        <v>0</v>
      </c>
      <c r="AD53" s="39"/>
      <c r="AE53" s="72">
        <f t="shared" si="5"/>
        <v>0</v>
      </c>
      <c r="AF53" s="72">
        <f t="shared" si="18"/>
        <v>0</v>
      </c>
      <c r="AG53" s="39"/>
      <c r="AH53" s="72">
        <f t="shared" si="31"/>
        <v>77500000</v>
      </c>
      <c r="AI53" s="72">
        <f t="shared" si="19"/>
        <v>24470899.814769126</v>
      </c>
      <c r="AJ53" s="39"/>
      <c r="AK53" s="72"/>
      <c r="AL53" s="72"/>
      <c r="AM53" s="39"/>
      <c r="AN53" s="72"/>
      <c r="AO53" s="72"/>
      <c r="AP53" s="39"/>
      <c r="AQ53" s="72"/>
      <c r="AR53" s="72"/>
      <c r="AS53" s="39"/>
      <c r="AT53" s="40">
        <f>IF($K53&lt;=$F$15,IF($F$40&lt;&gt;"",$F$40/1000,IF(ISERROR(VLOOKUP($F$3&amp;IF($G$4&lt;&gt;"",$G$4,"")&amp;IF($F$43&lt;&gt;"","_"&amp;$F$43,""),'表3）燃料価格'!$AF$9:$AG$25,2,0)),0,VLOOKUP($I53,'表3）燃料価格'!$A$6:$U$66,VLOOKUP($F$3&amp;IF($G$4&lt;&gt;"",$G$4,"")&amp;IF($F$43&lt;&gt;"","_"&amp;$F$43,""),'表3）燃料価格'!$AF$9:$AG$25,2,0)+VLOOKUP($F$41,'表3）燃料価格'!$AF$28:$AG$29,2,0),0)*IF($F$43="需要地価格",1,$F$8/$F$141))),"")</f>
        <v>0</v>
      </c>
      <c r="AU53" s="39"/>
      <c r="AV53" s="72">
        <f t="shared" si="6"/>
        <v>0</v>
      </c>
      <c r="AW53" s="72">
        <f t="shared" si="20"/>
        <v>0</v>
      </c>
      <c r="AX53" s="39"/>
      <c r="AY53" s="40">
        <f>IF(ISERROR(IF($K53&lt;=$F$15,VLOOKUP($I53,'表4）CO2価格'!$A$7:$E$67,VLOOKUP($F$48,'表4）CO2価格'!$H$10:$I$12,2,0),0)*$F$8/1000,"")),0,IF($K53&lt;=$F$15,VLOOKUP($I53,'表4）CO2価格'!$A$7:$E$67,VLOOKUP($F$48,'表4）CO2価格'!$H$10:$I$12,2,0),0)*$F$8/1000,""))</f>
        <v>0</v>
      </c>
      <c r="AZ53" s="39"/>
      <c r="BA53" s="42">
        <f t="shared" si="7"/>
        <v>0</v>
      </c>
      <c r="BB53" s="72">
        <f t="shared" si="21"/>
        <v>0</v>
      </c>
      <c r="BC53" s="39"/>
      <c r="BD53" s="72">
        <f t="shared" si="8"/>
        <v>0</v>
      </c>
      <c r="BE53" s="72">
        <f t="shared" si="22"/>
        <v>0</v>
      </c>
      <c r="BF53" s="39"/>
      <c r="BG53" s="42">
        <f t="shared" si="9"/>
        <v>0</v>
      </c>
      <c r="BH53" s="72">
        <f t="shared" si="23"/>
        <v>0</v>
      </c>
      <c r="BI53" s="39"/>
      <c r="BJ53" s="40" t="str">
        <f t="shared" si="24"/>
        <v/>
      </c>
      <c r="BK53" s="157" t="str">
        <f t="shared" si="25"/>
        <v/>
      </c>
      <c r="BL53" s="157" t="str">
        <f t="shared" si="10"/>
        <v/>
      </c>
      <c r="BM53" s="72"/>
      <c r="BN53" s="72" t="str">
        <f t="shared" si="26"/>
        <v/>
      </c>
      <c r="BO53" s="72" t="str">
        <f t="shared" si="27"/>
        <v/>
      </c>
      <c r="BP53" s="39"/>
      <c r="BQ53" s="72">
        <f t="shared" si="11"/>
        <v>26174880</v>
      </c>
      <c r="BR53" s="72">
        <f t="shared" si="28"/>
        <v>8264811.1760465046</v>
      </c>
    </row>
    <row r="54" spans="3:70" x14ac:dyDescent="0.15">
      <c r="D54" s="84" t="s">
        <v>581</v>
      </c>
      <c r="F54" s="475"/>
      <c r="G54" s="84" t="s">
        <v>549</v>
      </c>
      <c r="I54" s="322">
        <f t="shared" si="29"/>
        <v>2059</v>
      </c>
      <c r="K54" s="71">
        <f t="shared" si="30"/>
        <v>40</v>
      </c>
      <c r="M54" s="7">
        <f t="shared" si="0"/>
        <v>0.30655684077380685</v>
      </c>
      <c r="O54" s="10">
        <f t="shared" si="12"/>
        <v>0</v>
      </c>
      <c r="P54" s="29" t="str">
        <f t="shared" si="1"/>
        <v>-</v>
      </c>
      <c r="R54" s="10">
        <f t="shared" si="13"/>
        <v>153750000</v>
      </c>
      <c r="T54" s="10">
        <f t="shared" si="14"/>
        <v>153750000</v>
      </c>
      <c r="V54" s="10">
        <f t="shared" si="2"/>
        <v>0</v>
      </c>
      <c r="W54" s="10">
        <f t="shared" si="15"/>
        <v>0</v>
      </c>
      <c r="Y54" s="10">
        <f t="shared" si="3"/>
        <v>2152500</v>
      </c>
      <c r="Z54" s="10">
        <f t="shared" si="16"/>
        <v>659863.59976561926</v>
      </c>
      <c r="AB54" s="10">
        <f t="shared" si="4"/>
        <v>0</v>
      </c>
      <c r="AC54" s="10">
        <f t="shared" si="17"/>
        <v>0</v>
      </c>
      <c r="AE54" s="10">
        <f t="shared" si="5"/>
        <v>0</v>
      </c>
      <c r="AF54" s="10">
        <f t="shared" si="18"/>
        <v>0</v>
      </c>
      <c r="AH54" s="679">
        <f t="shared" si="31"/>
        <v>77500000</v>
      </c>
      <c r="AI54" s="10">
        <f t="shared" si="19"/>
        <v>23758155.15997003</v>
      </c>
      <c r="AK54" s="10"/>
      <c r="AL54" s="10"/>
      <c r="AN54" s="10"/>
      <c r="AO54" s="10"/>
      <c r="AQ54" s="10"/>
      <c r="AR54" s="10"/>
      <c r="AT54" s="7">
        <f>IF($K54&lt;=$F$15,IF($F$40&lt;&gt;"",$F$40/1000,IF(ISERROR(VLOOKUP($F$3&amp;IF($G$4&lt;&gt;"",$G$4,"")&amp;IF($F$43&lt;&gt;"","_"&amp;$F$43,""),'表3）燃料価格'!$AF$9:$AG$25,2,0)),0,VLOOKUP($I54,'表3）燃料価格'!$A$6:$U$66,VLOOKUP($F$3&amp;IF($G$4&lt;&gt;"",$G$4,"")&amp;IF($F$43&lt;&gt;"","_"&amp;$F$43,""),'表3）燃料価格'!$AF$9:$AG$25,2,0)+VLOOKUP($F$41,'表3）燃料価格'!$AF$28:$AG$29,2,0),0)*IF($F$43="需要地価格",1,$F$8/$F$141))),"")</f>
        <v>0</v>
      </c>
      <c r="AV54" s="10">
        <f t="shared" si="6"/>
        <v>0</v>
      </c>
      <c r="AW54" s="10">
        <f t="shared" si="20"/>
        <v>0</v>
      </c>
      <c r="AY54" s="7">
        <f>IF(ISERROR(IF($K54&lt;=$F$15,VLOOKUP($I54,'表4）CO2価格'!$A$7:$E$67,VLOOKUP($F$48,'表4）CO2価格'!$H$10:$I$12,2,0),0)*$F$8/1000,"")),0,IF($K54&lt;=$F$15,VLOOKUP($I54,'表4）CO2価格'!$A$7:$E$67,VLOOKUP($F$48,'表4）CO2価格'!$H$10:$I$12,2,0),0)*$F$8/1000,""))</f>
        <v>0</v>
      </c>
      <c r="BA54" s="11">
        <f t="shared" si="7"/>
        <v>0</v>
      </c>
      <c r="BB54" s="10">
        <f t="shared" si="21"/>
        <v>0</v>
      </c>
      <c r="BD54" s="10">
        <f t="shared" si="8"/>
        <v>0</v>
      </c>
      <c r="BE54" s="10">
        <f t="shared" si="22"/>
        <v>0</v>
      </c>
      <c r="BG54" s="11">
        <f t="shared" si="9"/>
        <v>0</v>
      </c>
      <c r="BH54" s="10">
        <f t="shared" si="23"/>
        <v>0</v>
      </c>
      <c r="BJ54" s="7" t="str">
        <f t="shared" si="24"/>
        <v/>
      </c>
      <c r="BK54" s="158" t="str">
        <f t="shared" si="25"/>
        <v/>
      </c>
      <c r="BL54" s="158" t="str">
        <f t="shared" si="10"/>
        <v/>
      </c>
      <c r="BM54" s="10"/>
      <c r="BN54" s="10" t="str">
        <f t="shared" si="26"/>
        <v/>
      </c>
      <c r="BO54" s="10" t="str">
        <f t="shared" si="27"/>
        <v/>
      </c>
      <c r="BQ54" s="10">
        <f t="shared" si="11"/>
        <v>26174880</v>
      </c>
      <c r="BR54" s="10">
        <f t="shared" si="28"/>
        <v>8024088.5204335013</v>
      </c>
    </row>
    <row r="55" spans="3:70" ht="16.5" x14ac:dyDescent="0.15">
      <c r="D55" s="84" t="s">
        <v>582</v>
      </c>
      <c r="F55" s="475"/>
      <c r="G55" s="71" t="s">
        <v>561</v>
      </c>
      <c r="I55" s="38">
        <f>I54+1</f>
        <v>2060</v>
      </c>
      <c r="J55" s="39"/>
      <c r="K55" s="39">
        <f>IF(I55&lt;&gt;"",K54+1,"")</f>
        <v>41</v>
      </c>
      <c r="L55" s="39"/>
      <c r="M55" s="40">
        <f t="shared" si="0"/>
        <v>0.29762800075126877</v>
      </c>
      <c r="N55" s="39"/>
      <c r="O55" s="72" t="str">
        <f t="shared" si="12"/>
        <v/>
      </c>
      <c r="P55" s="41" t="str">
        <f t="shared" si="1"/>
        <v/>
      </c>
      <c r="Q55" s="39"/>
      <c r="R55" s="72" t="str">
        <f t="shared" si="13"/>
        <v/>
      </c>
      <c r="S55" s="39"/>
      <c r="T55" s="72" t="str">
        <f t="shared" si="14"/>
        <v/>
      </c>
      <c r="U55" s="39"/>
      <c r="V55" s="72" t="str">
        <f t="shared" si="2"/>
        <v/>
      </c>
      <c r="W55" s="72" t="str">
        <f t="shared" si="15"/>
        <v/>
      </c>
      <c r="X55" s="39"/>
      <c r="Y55" s="72" t="str">
        <f t="shared" si="3"/>
        <v/>
      </c>
      <c r="Z55" s="72" t="str">
        <f t="shared" si="16"/>
        <v/>
      </c>
      <c r="AA55" s="39"/>
      <c r="AB55" s="72">
        <f t="shared" si="4"/>
        <v>153750000</v>
      </c>
      <c r="AC55" s="72">
        <f t="shared" si="17"/>
        <v>45760305.115507573</v>
      </c>
      <c r="AD55" s="39"/>
      <c r="AE55" s="72" t="str">
        <f t="shared" si="5"/>
        <v/>
      </c>
      <c r="AF55" s="72" t="str">
        <f t="shared" si="18"/>
        <v/>
      </c>
      <c r="AG55" s="39"/>
      <c r="AH55" s="72" t="str">
        <f t="shared" ref="AH55:AH78" si="32">IF($K55&lt;=$F$15,$F$33*10^8,"")</f>
        <v/>
      </c>
      <c r="AI55" s="72" t="str">
        <f t="shared" si="19"/>
        <v/>
      </c>
      <c r="AJ55" s="39"/>
      <c r="AK55" s="72" t="str">
        <f t="shared" ref="AK55:AK78" si="33">IF($K55&lt;=$F$15,$F$117*$F$34/100,"")</f>
        <v/>
      </c>
      <c r="AL55" s="72" t="str">
        <f t="shared" ref="AL55:AL79" si="34">IF(ISNUMBER(AK55),AK55*$M55,"")</f>
        <v/>
      </c>
      <c r="AM55" s="39"/>
      <c r="AN55" s="72" t="str">
        <f t="shared" ref="AN55:AN78" si="35">IF($K55&lt;=$F$15,$F$117*$F$35/100,"")</f>
        <v/>
      </c>
      <c r="AO55" s="72" t="str">
        <f t="shared" ref="AO55:AO79" si="36">IF(ISNUMBER(AN55),AN55*$M55,"")</f>
        <v/>
      </c>
      <c r="AP55" s="39"/>
      <c r="AQ55" s="72" t="str">
        <f t="shared" ref="AQ55:AQ78" si="37">IF($K55&lt;=$F$15,SUM(AH55,AK55,AN55)*($F$36/100),"")</f>
        <v/>
      </c>
      <c r="AR55" s="72" t="str">
        <f t="shared" ref="AR55:AR79" si="38">IF(ISNUMBER(AQ55),AQ55*$M55,"")</f>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6"/>
        <v/>
      </c>
      <c r="AW55" s="72" t="str">
        <f t="shared" si="20"/>
        <v/>
      </c>
      <c r="AX55" s="39"/>
      <c r="AY55" s="40" t="str">
        <f>IF(ISERROR(IF($K55&lt;=$F$15,VLOOKUP($I55,'表4）CO2価格'!$A$7:$E$67,VLOOKUP($F$48,'表4）CO2価格'!$H$10:$I$12,2,0),0)*$F$8/1000,"")),0,IF($K55&lt;=$F$15,VLOOKUP($I55,'表4）CO2価格'!$A$7:$E$67,VLOOKUP($F$48,'表4）CO2価格'!$H$10:$I$12,2,0),0)*$F$8/1000,""))</f>
        <v/>
      </c>
      <c r="AZ55" s="39"/>
      <c r="BA55" s="42" t="str">
        <f t="shared" si="7"/>
        <v/>
      </c>
      <c r="BB55" s="72" t="str">
        <f t="shared" si="21"/>
        <v/>
      </c>
      <c r="BC55" s="39"/>
      <c r="BD55" s="72" t="str">
        <f t="shared" si="8"/>
        <v/>
      </c>
      <c r="BE55" s="72" t="str">
        <f t="shared" si="22"/>
        <v/>
      </c>
      <c r="BF55" s="39"/>
      <c r="BG55" s="42" t="str">
        <f t="shared" si="9"/>
        <v/>
      </c>
      <c r="BH55" s="72" t="str">
        <f t="shared" si="23"/>
        <v/>
      </c>
      <c r="BI55" s="39"/>
      <c r="BJ55" s="40" t="str">
        <f t="shared" si="24"/>
        <v/>
      </c>
      <c r="BK55" s="157" t="str">
        <f t="shared" si="25"/>
        <v/>
      </c>
      <c r="BL55" s="157" t="str">
        <f t="shared" si="10"/>
        <v/>
      </c>
      <c r="BM55" s="72"/>
      <c r="BN55" s="72" t="str">
        <f t="shared" si="26"/>
        <v/>
      </c>
      <c r="BO55" s="72" t="str">
        <f t="shared" si="27"/>
        <v/>
      </c>
      <c r="BP55" s="39"/>
      <c r="BQ55" s="72" t="str">
        <f t="shared" si="11"/>
        <v/>
      </c>
      <c r="BR55" s="72" t="str">
        <f t="shared" si="28"/>
        <v/>
      </c>
    </row>
    <row r="56" spans="3:70" x14ac:dyDescent="0.15">
      <c r="D56" s="84" t="s">
        <v>583</v>
      </c>
      <c r="F56" s="481"/>
      <c r="G56" s="84" t="s">
        <v>574</v>
      </c>
      <c r="I56" s="322">
        <f t="shared" si="29"/>
        <v>2061</v>
      </c>
      <c r="K56" s="71">
        <f t="shared" si="30"/>
        <v>42</v>
      </c>
      <c r="M56" s="7">
        <f t="shared" si="0"/>
        <v>0.28895922403035801</v>
      </c>
      <c r="O56" s="10" t="str">
        <f t="shared" si="12"/>
        <v/>
      </c>
      <c r="P56" s="29" t="str">
        <f t="shared" si="1"/>
        <v/>
      </c>
      <c r="R56" s="10" t="str">
        <f t="shared" si="13"/>
        <v/>
      </c>
      <c r="T56" s="10" t="str">
        <f t="shared" si="14"/>
        <v/>
      </c>
      <c r="V56" s="10" t="str">
        <f t="shared" si="2"/>
        <v/>
      </c>
      <c r="W56" s="10" t="str">
        <f t="shared" si="15"/>
        <v/>
      </c>
      <c r="Y56" s="10" t="str">
        <f t="shared" si="3"/>
        <v/>
      </c>
      <c r="Z56" s="10" t="str">
        <f t="shared" si="16"/>
        <v/>
      </c>
      <c r="AB56" s="10" t="str">
        <f t="shared" si="4"/>
        <v/>
      </c>
      <c r="AC56" s="10" t="str">
        <f t="shared" si="17"/>
        <v/>
      </c>
      <c r="AE56" s="10" t="str">
        <f t="shared" si="5"/>
        <v/>
      </c>
      <c r="AF56" s="10" t="str">
        <f t="shared" si="18"/>
        <v/>
      </c>
      <c r="AH56" s="10" t="str">
        <f t="shared" si="32"/>
        <v/>
      </c>
      <c r="AI56" s="10" t="str">
        <f t="shared" si="19"/>
        <v/>
      </c>
      <c r="AK56" s="10" t="str">
        <f t="shared" si="33"/>
        <v/>
      </c>
      <c r="AL56" s="10" t="str">
        <f t="shared" si="34"/>
        <v/>
      </c>
      <c r="AN56" s="10" t="str">
        <f t="shared" si="35"/>
        <v/>
      </c>
      <c r="AO56" s="10" t="str">
        <f t="shared" si="36"/>
        <v/>
      </c>
      <c r="AQ56" s="10" t="str">
        <f t="shared" si="37"/>
        <v/>
      </c>
      <c r="AR56" s="10" t="str">
        <f t="shared" si="38"/>
        <v/>
      </c>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V56" s="10" t="str">
        <f t="shared" si="6"/>
        <v/>
      </c>
      <c r="AW56" s="10" t="str">
        <f t="shared" si="20"/>
        <v/>
      </c>
      <c r="AY56" s="7" t="str">
        <f>IF(ISERROR(IF($K56&lt;=$F$15,VLOOKUP($I56,'表4）CO2価格'!$A$7:$E$67,VLOOKUP($F$48,'表4）CO2価格'!$H$10:$I$12,2,0),0)*$F$8/1000,"")),0,IF($K56&lt;=$F$15,VLOOKUP($I56,'表4）CO2価格'!$A$7:$E$67,VLOOKUP($F$48,'表4）CO2価格'!$H$10:$I$12,2,0),0)*$F$8/1000,""))</f>
        <v/>
      </c>
      <c r="BA56" s="11" t="str">
        <f t="shared" si="7"/>
        <v/>
      </c>
      <c r="BB56" s="10" t="str">
        <f t="shared" si="21"/>
        <v/>
      </c>
      <c r="BD56" s="10" t="str">
        <f t="shared" si="8"/>
        <v/>
      </c>
      <c r="BE56" s="10" t="str">
        <f t="shared" si="22"/>
        <v/>
      </c>
      <c r="BG56" s="11" t="str">
        <f t="shared" si="9"/>
        <v/>
      </c>
      <c r="BH56" s="10" t="str">
        <f t="shared" si="23"/>
        <v/>
      </c>
      <c r="BJ56" s="7" t="str">
        <f t="shared" si="24"/>
        <v/>
      </c>
      <c r="BK56" s="158" t="str">
        <f t="shared" si="25"/>
        <v/>
      </c>
      <c r="BL56" s="158" t="str">
        <f t="shared" si="10"/>
        <v/>
      </c>
      <c r="BM56" s="10"/>
      <c r="BN56" s="10" t="str">
        <f t="shared" si="26"/>
        <v/>
      </c>
      <c r="BO56" s="10" t="str">
        <f t="shared" si="27"/>
        <v/>
      </c>
      <c r="BQ56" s="10" t="str">
        <f t="shared" si="11"/>
        <v/>
      </c>
      <c r="BR56" s="10" t="str">
        <f t="shared" si="28"/>
        <v/>
      </c>
    </row>
    <row r="57" spans="3:70" x14ac:dyDescent="0.15">
      <c r="I57" s="38">
        <f t="shared" si="29"/>
        <v>2062</v>
      </c>
      <c r="J57" s="39"/>
      <c r="K57" s="39">
        <f t="shared" si="30"/>
        <v>43</v>
      </c>
      <c r="L57" s="39"/>
      <c r="M57" s="40">
        <f t="shared" si="0"/>
        <v>0.28054293595180391</v>
      </c>
      <c r="N57" s="39"/>
      <c r="O57" s="72" t="str">
        <f t="shared" si="12"/>
        <v/>
      </c>
      <c r="P57" s="41" t="str">
        <f t="shared" si="1"/>
        <v/>
      </c>
      <c r="Q57" s="39"/>
      <c r="R57" s="72" t="str">
        <f t="shared" si="13"/>
        <v/>
      </c>
      <c r="S57" s="39"/>
      <c r="T57" s="72" t="str">
        <f t="shared" si="14"/>
        <v/>
      </c>
      <c r="U57" s="39"/>
      <c r="V57" s="72" t="str">
        <f t="shared" si="2"/>
        <v/>
      </c>
      <c r="W57" s="72" t="str">
        <f t="shared" si="15"/>
        <v/>
      </c>
      <c r="X57" s="39"/>
      <c r="Y57" s="72" t="str">
        <f t="shared" si="3"/>
        <v/>
      </c>
      <c r="Z57" s="72" t="str">
        <f t="shared" si="16"/>
        <v/>
      </c>
      <c r="AA57" s="39"/>
      <c r="AB57" s="72" t="str">
        <f t="shared" si="4"/>
        <v/>
      </c>
      <c r="AC57" s="72" t="str">
        <f t="shared" si="17"/>
        <v/>
      </c>
      <c r="AD57" s="39"/>
      <c r="AE57" s="72" t="str">
        <f t="shared" si="5"/>
        <v/>
      </c>
      <c r="AF57" s="72" t="str">
        <f t="shared" si="18"/>
        <v/>
      </c>
      <c r="AG57" s="39"/>
      <c r="AH57" s="72" t="str">
        <f t="shared" si="32"/>
        <v/>
      </c>
      <c r="AI57" s="72" t="str">
        <f t="shared" si="19"/>
        <v/>
      </c>
      <c r="AJ57" s="39"/>
      <c r="AK57" s="72" t="str">
        <f t="shared" si="33"/>
        <v/>
      </c>
      <c r="AL57" s="72" t="str">
        <f t="shared" si="34"/>
        <v/>
      </c>
      <c r="AM57" s="39"/>
      <c r="AN57" s="72" t="str">
        <f t="shared" si="35"/>
        <v/>
      </c>
      <c r="AO57" s="72" t="str">
        <f t="shared" si="36"/>
        <v/>
      </c>
      <c r="AP57" s="39"/>
      <c r="AQ57" s="72" t="str">
        <f t="shared" si="37"/>
        <v/>
      </c>
      <c r="AR57" s="72" t="str">
        <f t="shared" si="38"/>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6"/>
        <v/>
      </c>
      <c r="AW57" s="72" t="str">
        <f t="shared" si="20"/>
        <v/>
      </c>
      <c r="AX57" s="39"/>
      <c r="AY57" s="40" t="str">
        <f>IF(ISERROR(IF($K57&lt;=$F$15,VLOOKUP($I57,'表4）CO2価格'!$A$7:$E$67,VLOOKUP($F$48,'表4）CO2価格'!$H$10:$I$12,2,0),0)*$F$8/1000,"")),0,IF($K57&lt;=$F$15,VLOOKUP($I57,'表4）CO2価格'!$A$7:$E$67,VLOOKUP($F$48,'表4）CO2価格'!$H$10:$I$12,2,0),0)*$F$8/1000,""))</f>
        <v/>
      </c>
      <c r="AZ57" s="39"/>
      <c r="BA57" s="42" t="str">
        <f t="shared" si="7"/>
        <v/>
      </c>
      <c r="BB57" s="72" t="str">
        <f t="shared" si="21"/>
        <v/>
      </c>
      <c r="BC57" s="39"/>
      <c r="BD57" s="72" t="str">
        <f t="shared" si="8"/>
        <v/>
      </c>
      <c r="BE57" s="72" t="str">
        <f t="shared" si="22"/>
        <v/>
      </c>
      <c r="BF57" s="39"/>
      <c r="BG57" s="42" t="str">
        <f t="shared" si="9"/>
        <v/>
      </c>
      <c r="BH57" s="72" t="str">
        <f t="shared" si="23"/>
        <v/>
      </c>
      <c r="BI57" s="39"/>
      <c r="BJ57" s="40" t="str">
        <f t="shared" si="24"/>
        <v/>
      </c>
      <c r="BK57" s="157" t="str">
        <f t="shared" si="25"/>
        <v/>
      </c>
      <c r="BL57" s="157" t="str">
        <f t="shared" si="10"/>
        <v/>
      </c>
      <c r="BM57" s="72"/>
      <c r="BN57" s="72" t="str">
        <f t="shared" si="26"/>
        <v/>
      </c>
      <c r="BO57" s="72" t="str">
        <f t="shared" si="27"/>
        <v/>
      </c>
      <c r="BP57" s="39"/>
      <c r="BQ57" s="72" t="str">
        <f t="shared" si="11"/>
        <v/>
      </c>
      <c r="BR57" s="72" t="str">
        <f t="shared" si="28"/>
        <v/>
      </c>
    </row>
    <row r="58" spans="3:70" x14ac:dyDescent="0.15">
      <c r="C58" s="4" t="s">
        <v>584</v>
      </c>
      <c r="D58" s="100"/>
      <c r="E58" s="100"/>
      <c r="F58" s="4"/>
      <c r="G58" s="100"/>
      <c r="I58" s="322">
        <f t="shared" si="29"/>
        <v>2063</v>
      </c>
      <c r="K58" s="71">
        <f t="shared" si="30"/>
        <v>44</v>
      </c>
      <c r="M58" s="7">
        <f t="shared" si="0"/>
        <v>0.27237178247747956</v>
      </c>
      <c r="O58" s="10" t="str">
        <f t="shared" si="12"/>
        <v/>
      </c>
      <c r="P58" s="29" t="str">
        <f t="shared" si="1"/>
        <v/>
      </c>
      <c r="R58" s="10" t="str">
        <f t="shared" si="13"/>
        <v/>
      </c>
      <c r="T58" s="10" t="str">
        <f t="shared" si="14"/>
        <v/>
      </c>
      <c r="V58" s="10" t="str">
        <f t="shared" si="2"/>
        <v/>
      </c>
      <c r="W58" s="10" t="str">
        <f t="shared" si="15"/>
        <v/>
      </c>
      <c r="Y58" s="10" t="str">
        <f t="shared" si="3"/>
        <v/>
      </c>
      <c r="Z58" s="10" t="str">
        <f t="shared" si="16"/>
        <v/>
      </c>
      <c r="AB58" s="10" t="str">
        <f t="shared" si="4"/>
        <v/>
      </c>
      <c r="AC58" s="10" t="str">
        <f t="shared" si="17"/>
        <v/>
      </c>
      <c r="AE58" s="10" t="str">
        <f t="shared" si="5"/>
        <v/>
      </c>
      <c r="AF58" s="10" t="str">
        <f t="shared" si="18"/>
        <v/>
      </c>
      <c r="AH58" s="10" t="str">
        <f t="shared" si="32"/>
        <v/>
      </c>
      <c r="AI58" s="10" t="str">
        <f t="shared" si="19"/>
        <v/>
      </c>
      <c r="AK58" s="10" t="str">
        <f t="shared" si="33"/>
        <v/>
      </c>
      <c r="AL58" s="10" t="str">
        <f t="shared" si="34"/>
        <v/>
      </c>
      <c r="AN58" s="10" t="str">
        <f t="shared" si="35"/>
        <v/>
      </c>
      <c r="AO58" s="10" t="str">
        <f t="shared" si="36"/>
        <v/>
      </c>
      <c r="AQ58" s="10" t="str">
        <f t="shared" si="37"/>
        <v/>
      </c>
      <c r="AR58" s="10" t="str">
        <f t="shared" si="38"/>
        <v/>
      </c>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V58" s="10" t="str">
        <f t="shared" si="6"/>
        <v/>
      </c>
      <c r="AW58" s="10" t="str">
        <f t="shared" si="20"/>
        <v/>
      </c>
      <c r="AY58" s="7" t="str">
        <f>IF(ISERROR(IF($K58&lt;=$F$15,VLOOKUP($I58,'表4）CO2価格'!$A$7:$E$67,VLOOKUP($F$48,'表4）CO2価格'!$H$10:$I$12,2,0),0)*$F$8/1000,"")),0,IF($K58&lt;=$F$15,VLOOKUP($I58,'表4）CO2価格'!$A$7:$E$67,VLOOKUP($F$48,'表4）CO2価格'!$H$10:$I$12,2,0),0)*$F$8/1000,""))</f>
        <v/>
      </c>
      <c r="BA58" s="11" t="str">
        <f t="shared" si="7"/>
        <v/>
      </c>
      <c r="BB58" s="10" t="str">
        <f t="shared" si="21"/>
        <v/>
      </c>
      <c r="BD58" s="10" t="str">
        <f t="shared" si="8"/>
        <v/>
      </c>
      <c r="BE58" s="10" t="str">
        <f t="shared" si="22"/>
        <v/>
      </c>
      <c r="BG58" s="11" t="str">
        <f t="shared" si="9"/>
        <v/>
      </c>
      <c r="BH58" s="10" t="str">
        <f t="shared" si="23"/>
        <v/>
      </c>
      <c r="BJ58" s="7" t="str">
        <f t="shared" si="24"/>
        <v/>
      </c>
      <c r="BK58" s="158" t="str">
        <f t="shared" si="25"/>
        <v/>
      </c>
      <c r="BL58" s="158" t="str">
        <f t="shared" si="10"/>
        <v/>
      </c>
      <c r="BM58" s="10"/>
      <c r="BN58" s="10" t="str">
        <f t="shared" si="26"/>
        <v/>
      </c>
      <c r="BO58" s="10" t="str">
        <f t="shared" si="27"/>
        <v/>
      </c>
      <c r="BQ58" s="10" t="str">
        <f t="shared" si="11"/>
        <v/>
      </c>
      <c r="BR58" s="10" t="str">
        <f t="shared" si="28"/>
        <v/>
      </c>
    </row>
    <row r="59" spans="3:70" x14ac:dyDescent="0.15">
      <c r="I59" s="38">
        <f t="shared" si="29"/>
        <v>2064</v>
      </c>
      <c r="J59" s="39"/>
      <c r="K59" s="39">
        <f t="shared" si="30"/>
        <v>45</v>
      </c>
      <c r="L59" s="39"/>
      <c r="M59" s="40">
        <f t="shared" si="0"/>
        <v>0.26443862376454325</v>
      </c>
      <c r="N59" s="39"/>
      <c r="O59" s="72" t="str">
        <f t="shared" si="12"/>
        <v/>
      </c>
      <c r="P59" s="41" t="str">
        <f t="shared" si="1"/>
        <v/>
      </c>
      <c r="Q59" s="39"/>
      <c r="R59" s="72" t="str">
        <f t="shared" si="13"/>
        <v/>
      </c>
      <c r="S59" s="39"/>
      <c r="T59" s="72" t="str">
        <f t="shared" si="14"/>
        <v/>
      </c>
      <c r="U59" s="39"/>
      <c r="V59" s="72" t="str">
        <f t="shared" si="2"/>
        <v/>
      </c>
      <c r="W59" s="72" t="str">
        <f t="shared" si="15"/>
        <v/>
      </c>
      <c r="X59" s="39"/>
      <c r="Y59" s="72" t="str">
        <f t="shared" si="3"/>
        <v/>
      </c>
      <c r="Z59" s="72" t="str">
        <f t="shared" si="16"/>
        <v/>
      </c>
      <c r="AA59" s="39"/>
      <c r="AB59" s="72" t="str">
        <f t="shared" si="4"/>
        <v/>
      </c>
      <c r="AC59" s="72" t="str">
        <f t="shared" si="17"/>
        <v/>
      </c>
      <c r="AD59" s="39"/>
      <c r="AE59" s="72" t="str">
        <f t="shared" si="5"/>
        <v/>
      </c>
      <c r="AF59" s="72" t="str">
        <f t="shared" si="18"/>
        <v/>
      </c>
      <c r="AG59" s="39"/>
      <c r="AH59" s="72" t="str">
        <f t="shared" si="32"/>
        <v/>
      </c>
      <c r="AI59" s="72" t="str">
        <f t="shared" si="19"/>
        <v/>
      </c>
      <c r="AJ59" s="39"/>
      <c r="AK59" s="72" t="str">
        <f t="shared" si="33"/>
        <v/>
      </c>
      <c r="AL59" s="72" t="str">
        <f t="shared" si="34"/>
        <v/>
      </c>
      <c r="AM59" s="39"/>
      <c r="AN59" s="72" t="str">
        <f t="shared" si="35"/>
        <v/>
      </c>
      <c r="AO59" s="72" t="str">
        <f t="shared" si="36"/>
        <v/>
      </c>
      <c r="AP59" s="39"/>
      <c r="AQ59" s="72" t="str">
        <f t="shared" si="37"/>
        <v/>
      </c>
      <c r="AR59" s="72" t="str">
        <f t="shared" si="38"/>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6"/>
        <v/>
      </c>
      <c r="AW59" s="72" t="str">
        <f t="shared" si="20"/>
        <v/>
      </c>
      <c r="AX59" s="39"/>
      <c r="AY59" s="40" t="str">
        <f>IF(ISERROR(IF($K59&lt;=$F$15,VLOOKUP($I59,'表4）CO2価格'!$A$7:$E$67,VLOOKUP($F$48,'表4）CO2価格'!$H$10:$I$12,2,0),0)*$F$8/1000,"")),0,IF($K59&lt;=$F$15,VLOOKUP($I59,'表4）CO2価格'!$A$7:$E$67,VLOOKUP($F$48,'表4）CO2価格'!$H$10:$I$12,2,0),0)*$F$8/1000,""))</f>
        <v/>
      </c>
      <c r="AZ59" s="39"/>
      <c r="BA59" s="42" t="str">
        <f t="shared" si="7"/>
        <v/>
      </c>
      <c r="BB59" s="72" t="str">
        <f t="shared" si="21"/>
        <v/>
      </c>
      <c r="BC59" s="39"/>
      <c r="BD59" s="72" t="str">
        <f t="shared" si="8"/>
        <v/>
      </c>
      <c r="BE59" s="72" t="str">
        <f t="shared" si="22"/>
        <v/>
      </c>
      <c r="BF59" s="39"/>
      <c r="BG59" s="42" t="str">
        <f t="shared" si="9"/>
        <v/>
      </c>
      <c r="BH59" s="72" t="str">
        <f t="shared" si="23"/>
        <v/>
      </c>
      <c r="BI59" s="39"/>
      <c r="BJ59" s="40" t="str">
        <f t="shared" si="24"/>
        <v/>
      </c>
      <c r="BK59" s="157" t="str">
        <f t="shared" si="25"/>
        <v/>
      </c>
      <c r="BL59" s="157" t="str">
        <f t="shared" si="10"/>
        <v/>
      </c>
      <c r="BM59" s="72"/>
      <c r="BN59" s="72" t="str">
        <f t="shared" si="26"/>
        <v/>
      </c>
      <c r="BO59" s="72" t="str">
        <f t="shared" si="27"/>
        <v/>
      </c>
      <c r="BP59" s="39"/>
      <c r="BQ59" s="72" t="str">
        <f t="shared" si="11"/>
        <v/>
      </c>
      <c r="BR59" s="72" t="str">
        <f t="shared" si="28"/>
        <v/>
      </c>
    </row>
    <row r="60" spans="3:70" x14ac:dyDescent="0.15">
      <c r="D60" s="84" t="s">
        <v>585</v>
      </c>
      <c r="F60" s="481"/>
      <c r="G60" s="84" t="s">
        <v>566</v>
      </c>
      <c r="I60" s="322">
        <f t="shared" si="29"/>
        <v>2065</v>
      </c>
      <c r="K60" s="71">
        <f t="shared" si="30"/>
        <v>46</v>
      </c>
      <c r="M60" s="7">
        <f t="shared" si="0"/>
        <v>0.25673652792674101</v>
      </c>
      <c r="O60" s="10" t="str">
        <f t="shared" si="12"/>
        <v/>
      </c>
      <c r="P60" s="29" t="str">
        <f t="shared" si="1"/>
        <v/>
      </c>
      <c r="R60" s="10" t="str">
        <f t="shared" si="13"/>
        <v/>
      </c>
      <c r="T60" s="10" t="str">
        <f t="shared" si="14"/>
        <v/>
      </c>
      <c r="V60" s="10" t="str">
        <f t="shared" si="2"/>
        <v/>
      </c>
      <c r="W60" s="10" t="str">
        <f t="shared" si="15"/>
        <v/>
      </c>
      <c r="Y60" s="10" t="str">
        <f t="shared" si="3"/>
        <v/>
      </c>
      <c r="Z60" s="10" t="str">
        <f t="shared" si="16"/>
        <v/>
      </c>
      <c r="AB60" s="10" t="str">
        <f t="shared" si="4"/>
        <v/>
      </c>
      <c r="AC60" s="10" t="str">
        <f t="shared" si="17"/>
        <v/>
      </c>
      <c r="AE60" s="10" t="str">
        <f t="shared" si="5"/>
        <v/>
      </c>
      <c r="AF60" s="10" t="str">
        <f t="shared" si="18"/>
        <v/>
      </c>
      <c r="AH60" s="10" t="str">
        <f t="shared" si="32"/>
        <v/>
      </c>
      <c r="AI60" s="10" t="str">
        <f t="shared" si="19"/>
        <v/>
      </c>
      <c r="AK60" s="10" t="str">
        <f t="shared" si="33"/>
        <v/>
      </c>
      <c r="AL60" s="10" t="str">
        <f t="shared" si="34"/>
        <v/>
      </c>
      <c r="AN60" s="10" t="str">
        <f t="shared" si="35"/>
        <v/>
      </c>
      <c r="AO60" s="10" t="str">
        <f t="shared" si="36"/>
        <v/>
      </c>
      <c r="AQ60" s="10" t="str">
        <f t="shared" si="37"/>
        <v/>
      </c>
      <c r="AR60" s="10" t="str">
        <f t="shared" si="38"/>
        <v/>
      </c>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V60" s="10" t="str">
        <f t="shared" si="6"/>
        <v/>
      </c>
      <c r="AW60" s="10" t="str">
        <f t="shared" si="20"/>
        <v/>
      </c>
      <c r="AY60" s="7" t="str">
        <f>IF(ISERROR(IF($K60&lt;=$F$15,VLOOKUP($I60,'表4）CO2価格'!$A$7:$E$67,VLOOKUP($F$48,'表4）CO2価格'!$H$10:$I$12,2,0),0)*$F$8/1000,"")),0,IF($K60&lt;=$F$15,VLOOKUP($I60,'表4）CO2価格'!$A$7:$E$67,VLOOKUP($F$48,'表4）CO2価格'!$H$10:$I$12,2,0),0)*$F$8/1000,""))</f>
        <v/>
      </c>
      <c r="BA60" s="11" t="str">
        <f t="shared" si="7"/>
        <v/>
      </c>
      <c r="BB60" s="10" t="str">
        <f t="shared" si="21"/>
        <v/>
      </c>
      <c r="BD60" s="10" t="str">
        <f t="shared" si="8"/>
        <v/>
      </c>
      <c r="BE60" s="10" t="str">
        <f t="shared" si="22"/>
        <v/>
      </c>
      <c r="BG60" s="11" t="str">
        <f t="shared" si="9"/>
        <v/>
      </c>
      <c r="BH60" s="10" t="str">
        <f t="shared" si="23"/>
        <v/>
      </c>
      <c r="BJ60" s="7" t="str">
        <f t="shared" si="24"/>
        <v/>
      </c>
      <c r="BK60" s="158" t="str">
        <f t="shared" si="25"/>
        <v/>
      </c>
      <c r="BL60" s="158" t="str">
        <f t="shared" si="10"/>
        <v/>
      </c>
      <c r="BM60" s="10"/>
      <c r="BN60" s="10" t="str">
        <f t="shared" si="26"/>
        <v/>
      </c>
      <c r="BO60" s="10" t="str">
        <f t="shared" si="27"/>
        <v/>
      </c>
      <c r="BQ60" s="10" t="str">
        <f t="shared" si="11"/>
        <v/>
      </c>
      <c r="BR60" s="10" t="str">
        <f t="shared" si="28"/>
        <v/>
      </c>
    </row>
    <row r="61" spans="3:70" x14ac:dyDescent="0.15">
      <c r="D61" s="84" t="s">
        <v>586</v>
      </c>
      <c r="F61" s="475"/>
      <c r="G61" s="84" t="s">
        <v>556</v>
      </c>
      <c r="I61" s="38">
        <f t="shared" si="29"/>
        <v>2066</v>
      </c>
      <c r="J61" s="39"/>
      <c r="K61" s="39">
        <f t="shared" si="30"/>
        <v>47</v>
      </c>
      <c r="L61" s="39"/>
      <c r="M61" s="40">
        <f t="shared" si="0"/>
        <v>0.24925876497741845</v>
      </c>
      <c r="N61" s="39"/>
      <c r="O61" s="72" t="str">
        <f t="shared" si="12"/>
        <v/>
      </c>
      <c r="P61" s="41" t="str">
        <f t="shared" si="1"/>
        <v/>
      </c>
      <c r="Q61" s="39"/>
      <c r="R61" s="72" t="str">
        <f t="shared" si="13"/>
        <v/>
      </c>
      <c r="S61" s="39"/>
      <c r="T61" s="72" t="str">
        <f t="shared" si="14"/>
        <v/>
      </c>
      <c r="U61" s="39"/>
      <c r="V61" s="72" t="str">
        <f t="shared" si="2"/>
        <v/>
      </c>
      <c r="W61" s="72" t="str">
        <f t="shared" si="15"/>
        <v/>
      </c>
      <c r="X61" s="39"/>
      <c r="Y61" s="72" t="str">
        <f t="shared" si="3"/>
        <v/>
      </c>
      <c r="Z61" s="72" t="str">
        <f t="shared" si="16"/>
        <v/>
      </c>
      <c r="AA61" s="39"/>
      <c r="AB61" s="72" t="str">
        <f t="shared" si="4"/>
        <v/>
      </c>
      <c r="AC61" s="72" t="str">
        <f t="shared" si="17"/>
        <v/>
      </c>
      <c r="AD61" s="39"/>
      <c r="AE61" s="72" t="str">
        <f t="shared" si="5"/>
        <v/>
      </c>
      <c r="AF61" s="72" t="str">
        <f t="shared" si="18"/>
        <v/>
      </c>
      <c r="AG61" s="39"/>
      <c r="AH61" s="72" t="str">
        <f t="shared" si="32"/>
        <v/>
      </c>
      <c r="AI61" s="72" t="str">
        <f t="shared" si="19"/>
        <v/>
      </c>
      <c r="AJ61" s="39"/>
      <c r="AK61" s="72" t="str">
        <f t="shared" si="33"/>
        <v/>
      </c>
      <c r="AL61" s="72" t="str">
        <f t="shared" si="34"/>
        <v/>
      </c>
      <c r="AM61" s="39"/>
      <c r="AN61" s="72" t="str">
        <f t="shared" si="35"/>
        <v/>
      </c>
      <c r="AO61" s="72" t="str">
        <f t="shared" si="36"/>
        <v/>
      </c>
      <c r="AP61" s="39"/>
      <c r="AQ61" s="72" t="str">
        <f t="shared" si="37"/>
        <v/>
      </c>
      <c r="AR61" s="72" t="str">
        <f t="shared" si="38"/>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6"/>
        <v/>
      </c>
      <c r="AW61" s="72" t="str">
        <f t="shared" si="20"/>
        <v/>
      </c>
      <c r="AX61" s="39"/>
      <c r="AY61" s="40" t="str">
        <f>IF(ISERROR(IF($K61&lt;=$F$15,VLOOKUP($I61,'表4）CO2価格'!$A$7:$E$67,VLOOKUP($F$48,'表4）CO2価格'!$H$10:$I$12,2,0),0)*$F$8/1000,"")),0,IF($K61&lt;=$F$15,VLOOKUP($I61,'表4）CO2価格'!$A$7:$E$67,VLOOKUP($F$48,'表4）CO2価格'!$H$10:$I$12,2,0),0)*$F$8/1000,""))</f>
        <v/>
      </c>
      <c r="AZ61" s="39"/>
      <c r="BA61" s="42" t="str">
        <f t="shared" si="7"/>
        <v/>
      </c>
      <c r="BB61" s="72" t="str">
        <f t="shared" si="21"/>
        <v/>
      </c>
      <c r="BC61" s="39"/>
      <c r="BD61" s="72" t="str">
        <f t="shared" si="8"/>
        <v/>
      </c>
      <c r="BE61" s="72" t="str">
        <f t="shared" si="22"/>
        <v/>
      </c>
      <c r="BF61" s="39"/>
      <c r="BG61" s="42" t="str">
        <f t="shared" si="9"/>
        <v/>
      </c>
      <c r="BH61" s="72" t="str">
        <f t="shared" si="23"/>
        <v/>
      </c>
      <c r="BI61" s="39"/>
      <c r="BJ61" s="40" t="str">
        <f t="shared" si="24"/>
        <v/>
      </c>
      <c r="BK61" s="157" t="str">
        <f t="shared" si="25"/>
        <v/>
      </c>
      <c r="BL61" s="157" t="str">
        <f t="shared" si="10"/>
        <v/>
      </c>
      <c r="BM61" s="72"/>
      <c r="BN61" s="72" t="str">
        <f t="shared" si="26"/>
        <v/>
      </c>
      <c r="BO61" s="72" t="str">
        <f t="shared" si="27"/>
        <v/>
      </c>
      <c r="BP61" s="39"/>
      <c r="BQ61" s="72" t="str">
        <f t="shared" si="11"/>
        <v/>
      </c>
      <c r="BR61" s="72" t="str">
        <f t="shared" si="28"/>
        <v/>
      </c>
    </row>
    <row r="62" spans="3:70" x14ac:dyDescent="0.15">
      <c r="D62" s="84" t="s">
        <v>587</v>
      </c>
      <c r="F62" s="481"/>
      <c r="G62" s="84" t="s">
        <v>588</v>
      </c>
      <c r="I62" s="322">
        <f t="shared" si="29"/>
        <v>2067</v>
      </c>
      <c r="K62" s="71">
        <f t="shared" si="30"/>
        <v>48</v>
      </c>
      <c r="M62" s="7">
        <f t="shared" si="0"/>
        <v>0.24199880094894996</v>
      </c>
      <c r="O62" s="10" t="str">
        <f t="shared" si="12"/>
        <v/>
      </c>
      <c r="P62" s="29" t="str">
        <f t="shared" si="1"/>
        <v/>
      </c>
      <c r="R62" s="10" t="str">
        <f t="shared" si="13"/>
        <v/>
      </c>
      <c r="T62" s="10" t="str">
        <f t="shared" si="14"/>
        <v/>
      </c>
      <c r="V62" s="10" t="str">
        <f t="shared" si="2"/>
        <v/>
      </c>
      <c r="W62" s="10" t="str">
        <f t="shared" si="15"/>
        <v/>
      </c>
      <c r="Y62" s="10" t="str">
        <f t="shared" si="3"/>
        <v/>
      </c>
      <c r="Z62" s="10" t="str">
        <f t="shared" si="16"/>
        <v/>
      </c>
      <c r="AB62" s="10" t="str">
        <f t="shared" si="4"/>
        <v/>
      </c>
      <c r="AC62" s="10" t="str">
        <f t="shared" si="17"/>
        <v/>
      </c>
      <c r="AE62" s="10" t="str">
        <f t="shared" si="5"/>
        <v/>
      </c>
      <c r="AF62" s="10" t="str">
        <f t="shared" si="18"/>
        <v/>
      </c>
      <c r="AH62" s="10" t="str">
        <f t="shared" si="32"/>
        <v/>
      </c>
      <c r="AI62" s="10" t="str">
        <f t="shared" si="19"/>
        <v/>
      </c>
      <c r="AK62" s="10" t="str">
        <f t="shared" si="33"/>
        <v/>
      </c>
      <c r="AL62" s="10" t="str">
        <f t="shared" si="34"/>
        <v/>
      </c>
      <c r="AN62" s="10" t="str">
        <f t="shared" si="35"/>
        <v/>
      </c>
      <c r="AO62" s="10" t="str">
        <f t="shared" si="36"/>
        <v/>
      </c>
      <c r="AQ62" s="10" t="str">
        <f t="shared" si="37"/>
        <v/>
      </c>
      <c r="AR62" s="10" t="str">
        <f t="shared" si="38"/>
        <v/>
      </c>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V62" s="10" t="str">
        <f t="shared" si="6"/>
        <v/>
      </c>
      <c r="AW62" s="10" t="str">
        <f t="shared" si="20"/>
        <v/>
      </c>
      <c r="AY62" s="7" t="str">
        <f>IF(ISERROR(IF($K62&lt;=$F$15,VLOOKUP($I62,'表4）CO2価格'!$A$7:$E$67,VLOOKUP($F$48,'表4）CO2価格'!$H$10:$I$12,2,0),0)*$F$8/1000,"")),0,IF($K62&lt;=$F$15,VLOOKUP($I62,'表4）CO2価格'!$A$7:$E$67,VLOOKUP($F$48,'表4）CO2価格'!$H$10:$I$12,2,0),0)*$F$8/1000,""))</f>
        <v/>
      </c>
      <c r="BA62" s="11" t="str">
        <f t="shared" si="7"/>
        <v/>
      </c>
      <c r="BB62" s="10" t="str">
        <f t="shared" si="21"/>
        <v/>
      </c>
      <c r="BD62" s="10" t="str">
        <f t="shared" si="8"/>
        <v/>
      </c>
      <c r="BE62" s="10" t="str">
        <f t="shared" si="22"/>
        <v/>
      </c>
      <c r="BG62" s="11" t="str">
        <f t="shared" si="9"/>
        <v/>
      </c>
      <c r="BH62" s="10" t="str">
        <f t="shared" si="23"/>
        <v/>
      </c>
      <c r="BJ62" s="7" t="str">
        <f t="shared" si="24"/>
        <v/>
      </c>
      <c r="BK62" s="158" t="str">
        <f t="shared" si="25"/>
        <v/>
      </c>
      <c r="BL62" s="158" t="str">
        <f t="shared" si="10"/>
        <v/>
      </c>
      <c r="BM62" s="10"/>
      <c r="BN62" s="10" t="str">
        <f t="shared" si="26"/>
        <v/>
      </c>
      <c r="BO62" s="10" t="str">
        <f t="shared" si="27"/>
        <v/>
      </c>
      <c r="BQ62" s="10" t="str">
        <f t="shared" si="11"/>
        <v/>
      </c>
      <c r="BR62" s="10" t="str">
        <f t="shared" si="28"/>
        <v/>
      </c>
    </row>
    <row r="63" spans="3:70" x14ac:dyDescent="0.15">
      <c r="I63" s="38">
        <f t="shared" si="29"/>
        <v>2068</v>
      </c>
      <c r="J63" s="39"/>
      <c r="K63" s="39">
        <f t="shared" si="30"/>
        <v>49</v>
      </c>
      <c r="L63" s="39"/>
      <c r="M63" s="40">
        <f t="shared" si="0"/>
        <v>0.2349502921834466</v>
      </c>
      <c r="N63" s="39"/>
      <c r="O63" s="72" t="str">
        <f t="shared" si="12"/>
        <v/>
      </c>
      <c r="P63" s="41" t="str">
        <f t="shared" si="1"/>
        <v/>
      </c>
      <c r="Q63" s="39"/>
      <c r="R63" s="72" t="str">
        <f t="shared" si="13"/>
        <v/>
      </c>
      <c r="S63" s="39"/>
      <c r="T63" s="72" t="str">
        <f t="shared" si="14"/>
        <v/>
      </c>
      <c r="U63" s="39"/>
      <c r="V63" s="72" t="str">
        <f t="shared" si="2"/>
        <v/>
      </c>
      <c r="W63" s="72" t="str">
        <f t="shared" si="15"/>
        <v/>
      </c>
      <c r="X63" s="39"/>
      <c r="Y63" s="72" t="str">
        <f t="shared" si="3"/>
        <v/>
      </c>
      <c r="Z63" s="72" t="str">
        <f t="shared" si="16"/>
        <v/>
      </c>
      <c r="AA63" s="39"/>
      <c r="AB63" s="72" t="str">
        <f t="shared" si="4"/>
        <v/>
      </c>
      <c r="AC63" s="72" t="str">
        <f t="shared" si="17"/>
        <v/>
      </c>
      <c r="AD63" s="39"/>
      <c r="AE63" s="72" t="str">
        <f t="shared" si="5"/>
        <v/>
      </c>
      <c r="AF63" s="72" t="str">
        <f t="shared" si="18"/>
        <v/>
      </c>
      <c r="AG63" s="39"/>
      <c r="AH63" s="72" t="str">
        <f t="shared" si="32"/>
        <v/>
      </c>
      <c r="AI63" s="72" t="str">
        <f t="shared" si="19"/>
        <v/>
      </c>
      <c r="AJ63" s="39"/>
      <c r="AK63" s="72" t="str">
        <f t="shared" si="33"/>
        <v/>
      </c>
      <c r="AL63" s="72" t="str">
        <f t="shared" si="34"/>
        <v/>
      </c>
      <c r="AM63" s="39"/>
      <c r="AN63" s="72" t="str">
        <f t="shared" si="35"/>
        <v/>
      </c>
      <c r="AO63" s="72" t="str">
        <f t="shared" si="36"/>
        <v/>
      </c>
      <c r="AP63" s="39"/>
      <c r="AQ63" s="72" t="str">
        <f t="shared" si="37"/>
        <v/>
      </c>
      <c r="AR63" s="72" t="str">
        <f t="shared" si="38"/>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6"/>
        <v/>
      </c>
      <c r="AW63" s="72" t="str">
        <f t="shared" si="20"/>
        <v/>
      </c>
      <c r="AX63" s="39"/>
      <c r="AY63" s="40" t="str">
        <f>IF(ISERROR(IF($K63&lt;=$F$15,VLOOKUP($I63,'表4）CO2価格'!$A$7:$E$67,VLOOKUP($F$48,'表4）CO2価格'!$H$10:$I$12,2,0),0)*$F$8/1000,"")),0,IF($K63&lt;=$F$15,VLOOKUP($I63,'表4）CO2価格'!$A$7:$E$67,VLOOKUP($F$48,'表4）CO2価格'!$H$10:$I$12,2,0),0)*$F$8/1000,""))</f>
        <v/>
      </c>
      <c r="AZ63" s="39"/>
      <c r="BA63" s="42" t="str">
        <f t="shared" si="7"/>
        <v/>
      </c>
      <c r="BB63" s="72" t="str">
        <f t="shared" si="21"/>
        <v/>
      </c>
      <c r="BC63" s="39"/>
      <c r="BD63" s="72" t="str">
        <f t="shared" si="8"/>
        <v/>
      </c>
      <c r="BE63" s="72" t="str">
        <f t="shared" si="22"/>
        <v/>
      </c>
      <c r="BF63" s="39"/>
      <c r="BG63" s="42" t="str">
        <f t="shared" si="9"/>
        <v/>
      </c>
      <c r="BH63" s="72" t="str">
        <f t="shared" si="23"/>
        <v/>
      </c>
      <c r="BI63" s="39"/>
      <c r="BJ63" s="40" t="str">
        <f t="shared" si="24"/>
        <v/>
      </c>
      <c r="BK63" s="157" t="str">
        <f t="shared" si="25"/>
        <v/>
      </c>
      <c r="BL63" s="157" t="str">
        <f t="shared" si="10"/>
        <v/>
      </c>
      <c r="BM63" s="72"/>
      <c r="BN63" s="72" t="str">
        <f t="shared" si="26"/>
        <v/>
      </c>
      <c r="BO63" s="72" t="str">
        <f t="shared" si="27"/>
        <v/>
      </c>
      <c r="BP63" s="39"/>
      <c r="BQ63" s="72" t="str">
        <f t="shared" si="11"/>
        <v/>
      </c>
      <c r="BR63" s="72" t="str">
        <f t="shared" si="28"/>
        <v/>
      </c>
    </row>
    <row r="64" spans="3:70" x14ac:dyDescent="0.15">
      <c r="C64" s="71" t="s">
        <v>589</v>
      </c>
      <c r="F64" s="477">
        <v>0.15279599999999999</v>
      </c>
      <c r="G64" s="84" t="s">
        <v>590</v>
      </c>
      <c r="I64" s="322">
        <f t="shared" si="29"/>
        <v>2069</v>
      </c>
      <c r="K64" s="71">
        <f t="shared" si="30"/>
        <v>50</v>
      </c>
      <c r="M64" s="7">
        <f t="shared" si="0"/>
        <v>0.22810707978975397</v>
      </c>
      <c r="O64" s="10" t="str">
        <f t="shared" si="12"/>
        <v/>
      </c>
      <c r="P64" s="29" t="str">
        <f t="shared" si="1"/>
        <v/>
      </c>
      <c r="R64" s="10" t="str">
        <f t="shared" si="13"/>
        <v/>
      </c>
      <c r="T64" s="10" t="str">
        <f t="shared" si="14"/>
        <v/>
      </c>
      <c r="V64" s="10" t="str">
        <f t="shared" si="2"/>
        <v/>
      </c>
      <c r="W64" s="10" t="str">
        <f t="shared" si="15"/>
        <v/>
      </c>
      <c r="Y64" s="10" t="str">
        <f t="shared" si="3"/>
        <v/>
      </c>
      <c r="Z64" s="10" t="str">
        <f t="shared" si="16"/>
        <v/>
      </c>
      <c r="AB64" s="10" t="str">
        <f t="shared" si="4"/>
        <v/>
      </c>
      <c r="AC64" s="10" t="str">
        <f t="shared" si="17"/>
        <v/>
      </c>
      <c r="AE64" s="10" t="str">
        <f t="shared" si="5"/>
        <v/>
      </c>
      <c r="AF64" s="10" t="str">
        <f t="shared" si="18"/>
        <v/>
      </c>
      <c r="AH64" s="10" t="str">
        <f t="shared" si="32"/>
        <v/>
      </c>
      <c r="AI64" s="10" t="str">
        <f t="shared" si="19"/>
        <v/>
      </c>
      <c r="AK64" s="10" t="str">
        <f t="shared" si="33"/>
        <v/>
      </c>
      <c r="AL64" s="10" t="str">
        <f t="shared" si="34"/>
        <v/>
      </c>
      <c r="AN64" s="10" t="str">
        <f t="shared" si="35"/>
        <v/>
      </c>
      <c r="AO64" s="10" t="str">
        <f t="shared" si="36"/>
        <v/>
      </c>
      <c r="AQ64" s="10" t="str">
        <f t="shared" si="37"/>
        <v/>
      </c>
      <c r="AR64" s="10" t="str">
        <f t="shared" si="38"/>
        <v/>
      </c>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V64" s="10" t="str">
        <f t="shared" si="6"/>
        <v/>
      </c>
      <c r="AW64" s="10" t="str">
        <f t="shared" si="20"/>
        <v/>
      </c>
      <c r="AY64" s="7" t="str">
        <f>IF(ISERROR(IF($K64&lt;=$F$15,VLOOKUP($I64,'表4）CO2価格'!$A$7:$E$67,VLOOKUP($F$48,'表4）CO2価格'!$H$10:$I$12,2,0),0)*$F$8/1000,"")),0,IF($K64&lt;=$F$15,VLOOKUP($I64,'表4）CO2価格'!$A$7:$E$67,VLOOKUP($F$48,'表4）CO2価格'!$H$10:$I$12,2,0),0)*$F$8/1000,""))</f>
        <v/>
      </c>
      <c r="BA64" s="11" t="str">
        <f t="shared" si="7"/>
        <v/>
      </c>
      <c r="BB64" s="10" t="str">
        <f t="shared" si="21"/>
        <v/>
      </c>
      <c r="BD64" s="10" t="str">
        <f t="shared" si="8"/>
        <v/>
      </c>
      <c r="BE64" s="10" t="str">
        <f t="shared" si="22"/>
        <v/>
      </c>
      <c r="BG64" s="11" t="str">
        <f t="shared" si="9"/>
        <v/>
      </c>
      <c r="BH64" s="10" t="str">
        <f t="shared" si="23"/>
        <v/>
      </c>
      <c r="BJ64" s="7" t="str">
        <f t="shared" si="24"/>
        <v/>
      </c>
      <c r="BK64" s="158" t="str">
        <f t="shared" si="25"/>
        <v/>
      </c>
      <c r="BL64" s="158" t="str">
        <f t="shared" si="10"/>
        <v/>
      </c>
      <c r="BM64" s="10"/>
      <c r="BN64" s="10" t="str">
        <f t="shared" si="26"/>
        <v/>
      </c>
      <c r="BO64" s="10" t="str">
        <f t="shared" si="27"/>
        <v/>
      </c>
      <c r="BQ64" s="10" t="str">
        <f t="shared" si="11"/>
        <v/>
      </c>
      <c r="BR64" s="10" t="str">
        <f t="shared" si="28"/>
        <v/>
      </c>
    </row>
    <row r="65" spans="2:70" x14ac:dyDescent="0.15">
      <c r="I65" s="38">
        <f t="shared" si="29"/>
        <v>2070</v>
      </c>
      <c r="J65" s="39"/>
      <c r="K65" s="39">
        <f t="shared" si="30"/>
        <v>51</v>
      </c>
      <c r="L65" s="39"/>
      <c r="M65" s="40">
        <f t="shared" si="0"/>
        <v>0.22146318426189707</v>
      </c>
      <c r="N65" s="39"/>
      <c r="O65" s="72" t="str">
        <f t="shared" si="12"/>
        <v/>
      </c>
      <c r="P65" s="41" t="str">
        <f t="shared" si="1"/>
        <v/>
      </c>
      <c r="Q65" s="39"/>
      <c r="R65" s="72" t="str">
        <f t="shared" si="13"/>
        <v/>
      </c>
      <c r="S65" s="39"/>
      <c r="T65" s="72" t="str">
        <f t="shared" si="14"/>
        <v/>
      </c>
      <c r="U65" s="39"/>
      <c r="V65" s="72" t="str">
        <f t="shared" si="2"/>
        <v/>
      </c>
      <c r="W65" s="72" t="str">
        <f t="shared" si="15"/>
        <v/>
      </c>
      <c r="X65" s="39"/>
      <c r="Y65" s="72" t="str">
        <f t="shared" si="3"/>
        <v/>
      </c>
      <c r="Z65" s="72" t="str">
        <f t="shared" si="16"/>
        <v/>
      </c>
      <c r="AA65" s="39"/>
      <c r="AB65" s="72" t="str">
        <f t="shared" si="4"/>
        <v/>
      </c>
      <c r="AC65" s="72" t="str">
        <f t="shared" si="17"/>
        <v/>
      </c>
      <c r="AD65" s="39"/>
      <c r="AE65" s="72" t="str">
        <f t="shared" si="5"/>
        <v/>
      </c>
      <c r="AF65" s="72" t="str">
        <f t="shared" si="18"/>
        <v/>
      </c>
      <c r="AG65" s="39"/>
      <c r="AH65" s="72" t="str">
        <f t="shared" si="32"/>
        <v/>
      </c>
      <c r="AI65" s="72" t="str">
        <f t="shared" si="19"/>
        <v/>
      </c>
      <c r="AJ65" s="39"/>
      <c r="AK65" s="72" t="str">
        <f t="shared" si="33"/>
        <v/>
      </c>
      <c r="AL65" s="72" t="str">
        <f t="shared" si="34"/>
        <v/>
      </c>
      <c r="AM65" s="39"/>
      <c r="AN65" s="72" t="str">
        <f t="shared" si="35"/>
        <v/>
      </c>
      <c r="AO65" s="72" t="str">
        <f t="shared" si="36"/>
        <v/>
      </c>
      <c r="AP65" s="39"/>
      <c r="AQ65" s="72" t="str">
        <f t="shared" si="37"/>
        <v/>
      </c>
      <c r="AR65" s="72" t="str">
        <f t="shared" si="38"/>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6"/>
        <v/>
      </c>
      <c r="AW65" s="72" t="str">
        <f t="shared" si="20"/>
        <v/>
      </c>
      <c r="AX65" s="39"/>
      <c r="AY65" s="40" t="str">
        <f>IF(ISERROR(IF($K65&lt;=$F$15,VLOOKUP($I65,'表4）CO2価格'!$A$7:$E$67,VLOOKUP($F$48,'表4）CO2価格'!$H$10:$I$12,2,0),0)*$F$8/1000,"")),0,IF($K65&lt;=$F$15,VLOOKUP($I65,'表4）CO2価格'!$A$7:$E$67,VLOOKUP($F$48,'表4）CO2価格'!$H$10:$I$12,2,0),0)*$F$8/1000,""))</f>
        <v/>
      </c>
      <c r="AZ65" s="39"/>
      <c r="BA65" s="42" t="str">
        <f t="shared" si="7"/>
        <v/>
      </c>
      <c r="BB65" s="72" t="str">
        <f t="shared" si="21"/>
        <v/>
      </c>
      <c r="BC65" s="39"/>
      <c r="BD65" s="72" t="str">
        <f t="shared" si="8"/>
        <v/>
      </c>
      <c r="BE65" s="72" t="str">
        <f t="shared" si="22"/>
        <v/>
      </c>
      <c r="BF65" s="39"/>
      <c r="BG65" s="42" t="str">
        <f t="shared" si="9"/>
        <v/>
      </c>
      <c r="BH65" s="72" t="str">
        <f t="shared" si="23"/>
        <v/>
      </c>
      <c r="BI65" s="39"/>
      <c r="BJ65" s="40" t="str">
        <f t="shared" si="24"/>
        <v/>
      </c>
      <c r="BK65" s="157" t="str">
        <f t="shared" si="25"/>
        <v/>
      </c>
      <c r="BL65" s="157" t="str">
        <f t="shared" si="10"/>
        <v/>
      </c>
      <c r="BM65" s="72"/>
      <c r="BN65" s="72" t="str">
        <f t="shared" si="26"/>
        <v/>
      </c>
      <c r="BO65" s="72" t="str">
        <f t="shared" si="27"/>
        <v/>
      </c>
      <c r="BP65" s="39"/>
      <c r="BQ65" s="72" t="str">
        <f t="shared" si="11"/>
        <v/>
      </c>
      <c r="BR65" s="72" t="str">
        <f t="shared" si="28"/>
        <v/>
      </c>
    </row>
    <row r="66" spans="2:70" x14ac:dyDescent="0.15">
      <c r="I66" s="322">
        <f t="shared" si="29"/>
        <v>2071</v>
      </c>
      <c r="K66" s="71">
        <f t="shared" si="30"/>
        <v>52</v>
      </c>
      <c r="M66" s="7">
        <f t="shared" si="0"/>
        <v>0.215012800254269</v>
      </c>
      <c r="O66" s="10" t="str">
        <f t="shared" si="12"/>
        <v/>
      </c>
      <c r="P66" s="29" t="str">
        <f t="shared" si="1"/>
        <v/>
      </c>
      <c r="R66" s="10" t="str">
        <f t="shared" si="13"/>
        <v/>
      </c>
      <c r="T66" s="10" t="str">
        <f t="shared" si="14"/>
        <v/>
      </c>
      <c r="V66" s="10" t="str">
        <f t="shared" si="2"/>
        <v/>
      </c>
      <c r="W66" s="10" t="str">
        <f t="shared" si="15"/>
        <v/>
      </c>
      <c r="Y66" s="10" t="str">
        <f t="shared" si="3"/>
        <v/>
      </c>
      <c r="Z66" s="10" t="str">
        <f t="shared" si="16"/>
        <v/>
      </c>
      <c r="AB66" s="10" t="str">
        <f t="shared" si="4"/>
        <v/>
      </c>
      <c r="AC66" s="10" t="str">
        <f t="shared" si="17"/>
        <v/>
      </c>
      <c r="AE66" s="10" t="str">
        <f t="shared" si="5"/>
        <v/>
      </c>
      <c r="AF66" s="10" t="str">
        <f t="shared" si="18"/>
        <v/>
      </c>
      <c r="AH66" s="10" t="str">
        <f t="shared" si="32"/>
        <v/>
      </c>
      <c r="AI66" s="10" t="str">
        <f t="shared" si="19"/>
        <v/>
      </c>
      <c r="AK66" s="10" t="str">
        <f t="shared" si="33"/>
        <v/>
      </c>
      <c r="AL66" s="10" t="str">
        <f t="shared" si="34"/>
        <v/>
      </c>
      <c r="AN66" s="10" t="str">
        <f t="shared" si="35"/>
        <v/>
      </c>
      <c r="AO66" s="10" t="str">
        <f t="shared" si="36"/>
        <v/>
      </c>
      <c r="AQ66" s="10" t="str">
        <f t="shared" si="37"/>
        <v/>
      </c>
      <c r="AR66" s="10" t="str">
        <f t="shared" si="38"/>
        <v/>
      </c>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V66" s="10" t="str">
        <f t="shared" si="6"/>
        <v/>
      </c>
      <c r="AW66" s="10" t="str">
        <f t="shared" si="20"/>
        <v/>
      </c>
      <c r="AY66" s="7" t="str">
        <f>IF(ISERROR(IF($K66&lt;=$F$15,VLOOKUP($I66,'表4）CO2価格'!$A$7:$E$67,VLOOKUP($F$48,'表4）CO2価格'!$H$10:$I$12,2,0),0)*$F$8/1000,"")),0,IF($K66&lt;=$F$15,VLOOKUP($I66,'表4）CO2価格'!$A$7:$E$67,VLOOKUP($F$48,'表4）CO2価格'!$H$10:$I$12,2,0),0)*$F$8/1000,""))</f>
        <v/>
      </c>
      <c r="BA66" s="11" t="str">
        <f t="shared" si="7"/>
        <v/>
      </c>
      <c r="BB66" s="10" t="str">
        <f t="shared" si="21"/>
        <v/>
      </c>
      <c r="BD66" s="10" t="str">
        <f t="shared" si="8"/>
        <v/>
      </c>
      <c r="BE66" s="10" t="str">
        <f t="shared" si="22"/>
        <v/>
      </c>
      <c r="BG66" s="11" t="str">
        <f t="shared" si="9"/>
        <v/>
      </c>
      <c r="BH66" s="10" t="str">
        <f t="shared" si="23"/>
        <v/>
      </c>
      <c r="BJ66" s="7" t="str">
        <f t="shared" si="24"/>
        <v/>
      </c>
      <c r="BK66" s="158" t="str">
        <f t="shared" si="25"/>
        <v/>
      </c>
      <c r="BL66" s="158" t="str">
        <f t="shared" si="10"/>
        <v/>
      </c>
      <c r="BM66" s="10"/>
      <c r="BN66" s="10" t="str">
        <f t="shared" si="26"/>
        <v/>
      </c>
      <c r="BO66" s="10" t="str">
        <f t="shared" si="27"/>
        <v/>
      </c>
      <c r="BQ66" s="10" t="str">
        <f t="shared" si="11"/>
        <v/>
      </c>
      <c r="BR66" s="10" t="str">
        <f t="shared" si="28"/>
        <v/>
      </c>
    </row>
    <row r="67" spans="2:70" ht="15.75" thickBot="1" x14ac:dyDescent="0.2">
      <c r="B67" s="5" t="s">
        <v>133</v>
      </c>
      <c r="C67" s="3"/>
      <c r="D67" s="102"/>
      <c r="E67" s="102"/>
      <c r="F67" s="3"/>
      <c r="G67" s="102"/>
      <c r="I67" s="38">
        <f t="shared" si="29"/>
        <v>2072</v>
      </c>
      <c r="J67" s="39"/>
      <c r="K67" s="39">
        <f t="shared" si="30"/>
        <v>53</v>
      </c>
      <c r="L67" s="39"/>
      <c r="M67" s="40">
        <f t="shared" si="0"/>
        <v>0.20875029150899907</v>
      </c>
      <c r="N67" s="39"/>
      <c r="O67" s="72" t="str">
        <f t="shared" si="12"/>
        <v/>
      </c>
      <c r="P67" s="41" t="str">
        <f t="shared" si="1"/>
        <v/>
      </c>
      <c r="Q67" s="39"/>
      <c r="R67" s="72" t="str">
        <f t="shared" si="13"/>
        <v/>
      </c>
      <c r="S67" s="39"/>
      <c r="T67" s="72" t="str">
        <f t="shared" si="14"/>
        <v/>
      </c>
      <c r="U67" s="39"/>
      <c r="V67" s="72" t="str">
        <f t="shared" si="2"/>
        <v/>
      </c>
      <c r="W67" s="72" t="str">
        <f t="shared" si="15"/>
        <v/>
      </c>
      <c r="X67" s="39"/>
      <c r="Y67" s="72" t="str">
        <f t="shared" si="3"/>
        <v/>
      </c>
      <c r="Z67" s="72" t="str">
        <f t="shared" si="16"/>
        <v/>
      </c>
      <c r="AA67" s="39"/>
      <c r="AB67" s="72" t="str">
        <f t="shared" si="4"/>
        <v/>
      </c>
      <c r="AC67" s="72" t="str">
        <f t="shared" si="17"/>
        <v/>
      </c>
      <c r="AD67" s="39"/>
      <c r="AE67" s="72" t="str">
        <f t="shared" si="5"/>
        <v/>
      </c>
      <c r="AF67" s="72" t="str">
        <f t="shared" si="18"/>
        <v/>
      </c>
      <c r="AG67" s="39"/>
      <c r="AH67" s="72" t="str">
        <f t="shared" si="32"/>
        <v/>
      </c>
      <c r="AI67" s="72" t="str">
        <f t="shared" si="19"/>
        <v/>
      </c>
      <c r="AJ67" s="39"/>
      <c r="AK67" s="72" t="str">
        <f t="shared" si="33"/>
        <v/>
      </c>
      <c r="AL67" s="72" t="str">
        <f t="shared" si="34"/>
        <v/>
      </c>
      <c r="AM67" s="39"/>
      <c r="AN67" s="72" t="str">
        <f t="shared" si="35"/>
        <v/>
      </c>
      <c r="AO67" s="72" t="str">
        <f t="shared" si="36"/>
        <v/>
      </c>
      <c r="AP67" s="39"/>
      <c r="AQ67" s="72" t="str">
        <f t="shared" si="37"/>
        <v/>
      </c>
      <c r="AR67" s="72" t="str">
        <f t="shared" si="38"/>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6"/>
        <v/>
      </c>
      <c r="AW67" s="72" t="str">
        <f t="shared" si="20"/>
        <v/>
      </c>
      <c r="AX67" s="39"/>
      <c r="AY67" s="40" t="str">
        <f>IF(ISERROR(IF($K67&lt;=$F$15,VLOOKUP($I67,'表4）CO2価格'!$A$7:$E$67,VLOOKUP($F$48,'表4）CO2価格'!$H$10:$I$12,2,0),0)*$F$8/1000,"")),0,IF($K67&lt;=$F$15,VLOOKUP($I67,'表4）CO2価格'!$A$7:$E$67,VLOOKUP($F$48,'表4）CO2価格'!$H$10:$I$12,2,0),0)*$F$8/1000,""))</f>
        <v/>
      </c>
      <c r="AZ67" s="39"/>
      <c r="BA67" s="42" t="str">
        <f t="shared" si="7"/>
        <v/>
      </c>
      <c r="BB67" s="72" t="str">
        <f t="shared" si="21"/>
        <v/>
      </c>
      <c r="BC67" s="39"/>
      <c r="BD67" s="72" t="str">
        <f t="shared" si="8"/>
        <v/>
      </c>
      <c r="BE67" s="72" t="str">
        <f t="shared" si="22"/>
        <v/>
      </c>
      <c r="BF67" s="39"/>
      <c r="BG67" s="42" t="str">
        <f t="shared" si="9"/>
        <v/>
      </c>
      <c r="BH67" s="72" t="str">
        <f t="shared" si="23"/>
        <v/>
      </c>
      <c r="BI67" s="39"/>
      <c r="BJ67" s="40" t="str">
        <f t="shared" si="24"/>
        <v/>
      </c>
      <c r="BK67" s="157" t="str">
        <f t="shared" si="25"/>
        <v/>
      </c>
      <c r="BL67" s="157" t="str">
        <f t="shared" si="10"/>
        <v/>
      </c>
      <c r="BM67" s="72"/>
      <c r="BN67" s="72" t="str">
        <f t="shared" si="26"/>
        <v/>
      </c>
      <c r="BO67" s="72" t="str">
        <f t="shared" si="27"/>
        <v/>
      </c>
      <c r="BP67" s="39"/>
      <c r="BQ67" s="72" t="str">
        <f t="shared" si="11"/>
        <v/>
      </c>
      <c r="BR67" s="72" t="str">
        <f t="shared" si="28"/>
        <v/>
      </c>
    </row>
    <row r="68" spans="2:70" x14ac:dyDescent="0.15">
      <c r="I68" s="322">
        <f t="shared" si="29"/>
        <v>2073</v>
      </c>
      <c r="K68" s="71">
        <f t="shared" si="30"/>
        <v>54</v>
      </c>
      <c r="M68" s="7">
        <f t="shared" si="0"/>
        <v>0.20267018593106703</v>
      </c>
      <c r="O68" s="10" t="str">
        <f t="shared" si="12"/>
        <v/>
      </c>
      <c r="P68" s="29" t="str">
        <f t="shared" si="1"/>
        <v/>
      </c>
      <c r="R68" s="10" t="str">
        <f t="shared" si="13"/>
        <v/>
      </c>
      <c r="T68" s="10" t="str">
        <f t="shared" si="14"/>
        <v/>
      </c>
      <c r="V68" s="10" t="str">
        <f t="shared" si="2"/>
        <v/>
      </c>
      <c r="W68" s="10" t="str">
        <f t="shared" si="15"/>
        <v/>
      </c>
      <c r="Y68" s="10" t="str">
        <f t="shared" si="3"/>
        <v/>
      </c>
      <c r="Z68" s="10" t="str">
        <f t="shared" si="16"/>
        <v/>
      </c>
      <c r="AB68" s="10" t="str">
        <f t="shared" si="4"/>
        <v/>
      </c>
      <c r="AC68" s="10" t="str">
        <f t="shared" si="17"/>
        <v/>
      </c>
      <c r="AE68" s="10" t="str">
        <f t="shared" si="5"/>
        <v/>
      </c>
      <c r="AF68" s="10" t="str">
        <f t="shared" si="18"/>
        <v/>
      </c>
      <c r="AH68" s="10" t="str">
        <f t="shared" si="32"/>
        <v/>
      </c>
      <c r="AI68" s="10" t="str">
        <f t="shared" si="19"/>
        <v/>
      </c>
      <c r="AK68" s="10" t="str">
        <f t="shared" si="33"/>
        <v/>
      </c>
      <c r="AL68" s="10" t="str">
        <f t="shared" si="34"/>
        <v/>
      </c>
      <c r="AN68" s="10" t="str">
        <f t="shared" si="35"/>
        <v/>
      </c>
      <c r="AO68" s="10" t="str">
        <f t="shared" si="36"/>
        <v/>
      </c>
      <c r="AQ68" s="10" t="str">
        <f t="shared" si="37"/>
        <v/>
      </c>
      <c r="AR68" s="10" t="str">
        <f t="shared" si="38"/>
        <v/>
      </c>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V68" s="10" t="str">
        <f t="shared" si="6"/>
        <v/>
      </c>
      <c r="AW68" s="10" t="str">
        <f t="shared" si="20"/>
        <v/>
      </c>
      <c r="AY68" s="7" t="str">
        <f>IF(ISERROR(IF($K68&lt;=$F$15,VLOOKUP($I68,'表4）CO2価格'!$A$7:$E$67,VLOOKUP($F$48,'表4）CO2価格'!$H$10:$I$12,2,0),0)*$F$8/1000,"")),0,IF($K68&lt;=$F$15,VLOOKUP($I68,'表4）CO2価格'!$A$7:$E$67,VLOOKUP($F$48,'表4）CO2価格'!$H$10:$I$12,2,0),0)*$F$8/1000,""))</f>
        <v/>
      </c>
      <c r="BA68" s="11" t="str">
        <f t="shared" si="7"/>
        <v/>
      </c>
      <c r="BB68" s="10" t="str">
        <f t="shared" si="21"/>
        <v/>
      </c>
      <c r="BD68" s="10" t="str">
        <f t="shared" si="8"/>
        <v/>
      </c>
      <c r="BE68" s="10" t="str">
        <f t="shared" si="22"/>
        <v/>
      </c>
      <c r="BG68" s="11" t="str">
        <f t="shared" si="9"/>
        <v/>
      </c>
      <c r="BH68" s="10" t="str">
        <f t="shared" si="23"/>
        <v/>
      </c>
      <c r="BJ68" s="7" t="str">
        <f t="shared" si="24"/>
        <v/>
      </c>
      <c r="BK68" s="158" t="str">
        <f t="shared" si="25"/>
        <v/>
      </c>
      <c r="BL68" s="158" t="str">
        <f t="shared" si="10"/>
        <v/>
      </c>
      <c r="BM68" s="10"/>
      <c r="BN68" s="10" t="str">
        <f t="shared" si="26"/>
        <v/>
      </c>
      <c r="BO68" s="10" t="str">
        <f t="shared" si="27"/>
        <v/>
      </c>
      <c r="BQ68" s="10" t="str">
        <f t="shared" si="11"/>
        <v/>
      </c>
      <c r="BR68" s="10" t="str">
        <f t="shared" si="28"/>
        <v/>
      </c>
    </row>
    <row r="69" spans="2:70" x14ac:dyDescent="0.15">
      <c r="C69" s="483" t="s">
        <v>134</v>
      </c>
      <c r="D69" s="71"/>
      <c r="E69" s="71"/>
      <c r="F69" s="484">
        <f>SUBTOTAL(9,F74:F112)-F105</f>
        <v>8.6716549684072</v>
      </c>
      <c r="G69" s="71" t="s">
        <v>590</v>
      </c>
      <c r="I69" s="38">
        <f t="shared" si="29"/>
        <v>2074</v>
      </c>
      <c r="J69" s="39"/>
      <c r="K69" s="39">
        <f t="shared" si="30"/>
        <v>55</v>
      </c>
      <c r="L69" s="39"/>
      <c r="M69" s="40">
        <f t="shared" si="0"/>
        <v>0.19676717080686118</v>
      </c>
      <c r="N69" s="39"/>
      <c r="O69" s="72" t="str">
        <f t="shared" si="12"/>
        <v/>
      </c>
      <c r="P69" s="41" t="str">
        <f t="shared" si="1"/>
        <v/>
      </c>
      <c r="Q69" s="39"/>
      <c r="R69" s="72" t="str">
        <f t="shared" si="13"/>
        <v/>
      </c>
      <c r="S69" s="39"/>
      <c r="T69" s="72" t="str">
        <f t="shared" si="14"/>
        <v/>
      </c>
      <c r="U69" s="39"/>
      <c r="V69" s="72" t="str">
        <f t="shared" si="2"/>
        <v/>
      </c>
      <c r="W69" s="72" t="str">
        <f t="shared" si="15"/>
        <v/>
      </c>
      <c r="X69" s="39"/>
      <c r="Y69" s="72" t="str">
        <f t="shared" si="3"/>
        <v/>
      </c>
      <c r="Z69" s="72" t="str">
        <f t="shared" si="16"/>
        <v/>
      </c>
      <c r="AA69" s="39"/>
      <c r="AB69" s="72" t="str">
        <f t="shared" si="4"/>
        <v/>
      </c>
      <c r="AC69" s="72" t="str">
        <f t="shared" si="17"/>
        <v/>
      </c>
      <c r="AD69" s="39"/>
      <c r="AE69" s="72" t="str">
        <f t="shared" si="5"/>
        <v/>
      </c>
      <c r="AF69" s="72" t="str">
        <f t="shared" si="18"/>
        <v/>
      </c>
      <c r="AG69" s="39"/>
      <c r="AH69" s="72" t="str">
        <f t="shared" si="32"/>
        <v/>
      </c>
      <c r="AI69" s="72" t="str">
        <f t="shared" si="19"/>
        <v/>
      </c>
      <c r="AJ69" s="39"/>
      <c r="AK69" s="72" t="str">
        <f t="shared" si="33"/>
        <v/>
      </c>
      <c r="AL69" s="72" t="str">
        <f t="shared" si="34"/>
        <v/>
      </c>
      <c r="AM69" s="39"/>
      <c r="AN69" s="72" t="str">
        <f t="shared" si="35"/>
        <v/>
      </c>
      <c r="AO69" s="72" t="str">
        <f t="shared" si="36"/>
        <v/>
      </c>
      <c r="AP69" s="39"/>
      <c r="AQ69" s="72" t="str">
        <f t="shared" si="37"/>
        <v/>
      </c>
      <c r="AR69" s="72" t="str">
        <f t="shared" si="38"/>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6"/>
        <v/>
      </c>
      <c r="AW69" s="72" t="str">
        <f t="shared" si="20"/>
        <v/>
      </c>
      <c r="AX69" s="39"/>
      <c r="AY69" s="40" t="str">
        <f>IF(ISERROR(IF($K69&lt;=$F$15,VLOOKUP($I69,'表4）CO2価格'!$A$7:$E$67,VLOOKUP($F$48,'表4）CO2価格'!$H$10:$I$12,2,0),0)*$F$8/1000,"")),0,IF($K69&lt;=$F$15,VLOOKUP($I69,'表4）CO2価格'!$A$7:$E$67,VLOOKUP($F$48,'表4）CO2価格'!$H$10:$I$12,2,0),0)*$F$8/1000,""))</f>
        <v/>
      </c>
      <c r="AZ69" s="39"/>
      <c r="BA69" s="42" t="str">
        <f t="shared" si="7"/>
        <v/>
      </c>
      <c r="BB69" s="72" t="str">
        <f t="shared" si="21"/>
        <v/>
      </c>
      <c r="BC69" s="39"/>
      <c r="BD69" s="72" t="str">
        <f t="shared" si="8"/>
        <v/>
      </c>
      <c r="BE69" s="72" t="str">
        <f t="shared" si="22"/>
        <v/>
      </c>
      <c r="BF69" s="39"/>
      <c r="BG69" s="42" t="str">
        <f t="shared" si="9"/>
        <v/>
      </c>
      <c r="BH69" s="72" t="str">
        <f t="shared" si="23"/>
        <v/>
      </c>
      <c r="BI69" s="39"/>
      <c r="BJ69" s="40" t="str">
        <f t="shared" si="24"/>
        <v/>
      </c>
      <c r="BK69" s="157" t="str">
        <f t="shared" si="25"/>
        <v/>
      </c>
      <c r="BL69" s="157" t="str">
        <f t="shared" si="10"/>
        <v/>
      </c>
      <c r="BM69" s="72"/>
      <c r="BN69" s="72" t="str">
        <f t="shared" si="26"/>
        <v/>
      </c>
      <c r="BO69" s="72" t="str">
        <f t="shared" si="27"/>
        <v/>
      </c>
      <c r="BP69" s="39"/>
      <c r="BQ69" s="72" t="str">
        <f t="shared" si="11"/>
        <v/>
      </c>
      <c r="BR69" s="72" t="str">
        <f t="shared" si="28"/>
        <v/>
      </c>
    </row>
    <row r="70" spans="2:70" x14ac:dyDescent="0.15">
      <c r="C70" s="483" t="s">
        <v>135</v>
      </c>
      <c r="D70" s="71"/>
      <c r="E70" s="71"/>
      <c r="F70" s="484">
        <f ca="1">MAX(SUM($Z$117,$AF$117,$AI$117,$AL$117,$AO$117,$AR$117,$AW$117,$BB$117,$BE$117,$BH$117,$BO$116)/$BR$116+$F$105,SUBTOTAL(9,F74:F112))</f>
        <v>10.94869048006276</v>
      </c>
      <c r="G70" s="71" t="s">
        <v>590</v>
      </c>
      <c r="I70" s="322">
        <f t="shared" si="29"/>
        <v>2075</v>
      </c>
      <c r="K70" s="71">
        <f t="shared" si="30"/>
        <v>56</v>
      </c>
      <c r="M70" s="7">
        <f t="shared" si="0"/>
        <v>0.19103608816200118</v>
      </c>
      <c r="O70" s="10" t="str">
        <f t="shared" si="12"/>
        <v/>
      </c>
      <c r="P70" s="29" t="str">
        <f t="shared" si="1"/>
        <v/>
      </c>
      <c r="R70" s="10" t="str">
        <f t="shared" si="13"/>
        <v/>
      </c>
      <c r="T70" s="10" t="str">
        <f t="shared" si="14"/>
        <v/>
      </c>
      <c r="V70" s="10" t="str">
        <f t="shared" si="2"/>
        <v/>
      </c>
      <c r="W70" s="10" t="str">
        <f t="shared" si="15"/>
        <v/>
      </c>
      <c r="Y70" s="10" t="str">
        <f t="shared" si="3"/>
        <v/>
      </c>
      <c r="Z70" s="10" t="str">
        <f t="shared" si="16"/>
        <v/>
      </c>
      <c r="AB70" s="10" t="str">
        <f t="shared" si="4"/>
        <v/>
      </c>
      <c r="AC70" s="10" t="str">
        <f t="shared" si="17"/>
        <v/>
      </c>
      <c r="AE70" s="10" t="str">
        <f t="shared" si="5"/>
        <v/>
      </c>
      <c r="AF70" s="10" t="str">
        <f t="shared" si="18"/>
        <v/>
      </c>
      <c r="AH70" s="10" t="str">
        <f t="shared" si="32"/>
        <v/>
      </c>
      <c r="AI70" s="10" t="str">
        <f t="shared" si="19"/>
        <v/>
      </c>
      <c r="AK70" s="10" t="str">
        <f t="shared" si="33"/>
        <v/>
      </c>
      <c r="AL70" s="10" t="str">
        <f t="shared" si="34"/>
        <v/>
      </c>
      <c r="AN70" s="10" t="str">
        <f t="shared" si="35"/>
        <v/>
      </c>
      <c r="AO70" s="10" t="str">
        <f t="shared" si="36"/>
        <v/>
      </c>
      <c r="AQ70" s="10" t="str">
        <f t="shared" si="37"/>
        <v/>
      </c>
      <c r="AR70" s="10" t="str">
        <f t="shared" si="38"/>
        <v/>
      </c>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V70" s="10" t="str">
        <f t="shared" si="6"/>
        <v/>
      </c>
      <c r="AW70" s="10" t="str">
        <f t="shared" si="20"/>
        <v/>
      </c>
      <c r="AY70" s="7" t="str">
        <f>IF(ISERROR(IF($K70&lt;=$F$15,VLOOKUP($I70,'表4）CO2価格'!$A$7:$E$67,VLOOKUP($F$48,'表4）CO2価格'!$H$10:$I$12,2,0),0)*$F$8/1000,"")),0,IF($K70&lt;=$F$15,VLOOKUP($I70,'表4）CO2価格'!$A$7:$E$67,VLOOKUP($F$48,'表4）CO2価格'!$H$10:$I$12,2,0),0)*$F$8/1000,""))</f>
        <v/>
      </c>
      <c r="BA70" s="11" t="str">
        <f t="shared" si="7"/>
        <v/>
      </c>
      <c r="BB70" s="10" t="str">
        <f t="shared" si="21"/>
        <v/>
      </c>
      <c r="BD70" s="10" t="str">
        <f t="shared" si="8"/>
        <v/>
      </c>
      <c r="BE70" s="10" t="str">
        <f t="shared" si="22"/>
        <v/>
      </c>
      <c r="BG70" s="11" t="str">
        <f t="shared" si="9"/>
        <v/>
      </c>
      <c r="BH70" s="10" t="str">
        <f t="shared" si="23"/>
        <v/>
      </c>
      <c r="BJ70" s="7" t="str">
        <f t="shared" si="24"/>
        <v/>
      </c>
      <c r="BK70" s="158" t="str">
        <f t="shared" si="25"/>
        <v/>
      </c>
      <c r="BL70" s="158" t="str">
        <f t="shared" si="10"/>
        <v/>
      </c>
      <c r="BM70" s="10"/>
      <c r="BN70" s="10" t="str">
        <f t="shared" si="26"/>
        <v/>
      </c>
      <c r="BO70" s="10" t="str">
        <f t="shared" si="27"/>
        <v/>
      </c>
      <c r="BQ70" s="10" t="str">
        <f t="shared" si="11"/>
        <v/>
      </c>
      <c r="BR70" s="10" t="str">
        <f t="shared" si="28"/>
        <v/>
      </c>
    </row>
    <row r="71" spans="2:70" x14ac:dyDescent="0.15">
      <c r="F71" s="485"/>
      <c r="I71" s="38">
        <f t="shared" si="29"/>
        <v>2076</v>
      </c>
      <c r="J71" s="39"/>
      <c r="K71" s="39">
        <f t="shared" si="30"/>
        <v>57</v>
      </c>
      <c r="L71" s="39"/>
      <c r="M71" s="40">
        <f t="shared" si="0"/>
        <v>0.18547193025437006</v>
      </c>
      <c r="N71" s="39"/>
      <c r="O71" s="72" t="str">
        <f t="shared" si="12"/>
        <v/>
      </c>
      <c r="P71" s="41" t="str">
        <f t="shared" si="1"/>
        <v/>
      </c>
      <c r="Q71" s="39"/>
      <c r="R71" s="72" t="str">
        <f t="shared" si="13"/>
        <v/>
      </c>
      <c r="S71" s="39"/>
      <c r="T71" s="72" t="str">
        <f t="shared" si="14"/>
        <v/>
      </c>
      <c r="U71" s="39"/>
      <c r="V71" s="72" t="str">
        <f t="shared" si="2"/>
        <v/>
      </c>
      <c r="W71" s="72" t="str">
        <f t="shared" si="15"/>
        <v/>
      </c>
      <c r="X71" s="39"/>
      <c r="Y71" s="72" t="str">
        <f t="shared" si="3"/>
        <v/>
      </c>
      <c r="Z71" s="72" t="str">
        <f t="shared" si="16"/>
        <v/>
      </c>
      <c r="AA71" s="39"/>
      <c r="AB71" s="72" t="str">
        <f t="shared" si="4"/>
        <v/>
      </c>
      <c r="AC71" s="72" t="str">
        <f t="shared" si="17"/>
        <v/>
      </c>
      <c r="AD71" s="39"/>
      <c r="AE71" s="72" t="str">
        <f t="shared" si="5"/>
        <v/>
      </c>
      <c r="AF71" s="72" t="str">
        <f t="shared" si="18"/>
        <v/>
      </c>
      <c r="AG71" s="39"/>
      <c r="AH71" s="72" t="str">
        <f t="shared" si="32"/>
        <v/>
      </c>
      <c r="AI71" s="72" t="str">
        <f t="shared" si="19"/>
        <v/>
      </c>
      <c r="AJ71" s="39"/>
      <c r="AK71" s="72" t="str">
        <f t="shared" si="33"/>
        <v/>
      </c>
      <c r="AL71" s="72" t="str">
        <f t="shared" si="34"/>
        <v/>
      </c>
      <c r="AM71" s="39"/>
      <c r="AN71" s="72" t="str">
        <f t="shared" si="35"/>
        <v/>
      </c>
      <c r="AO71" s="72" t="str">
        <f t="shared" si="36"/>
        <v/>
      </c>
      <c r="AP71" s="39"/>
      <c r="AQ71" s="72" t="str">
        <f t="shared" si="37"/>
        <v/>
      </c>
      <c r="AR71" s="72" t="str">
        <f t="shared" si="38"/>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6"/>
        <v/>
      </c>
      <c r="AW71" s="72" t="str">
        <f t="shared" si="20"/>
        <v/>
      </c>
      <c r="AX71" s="39"/>
      <c r="AY71" s="40" t="str">
        <f>IF(ISERROR(IF($K71&lt;=$F$15,VLOOKUP($I71,'表4）CO2価格'!$A$7:$E$67,VLOOKUP($F$48,'表4）CO2価格'!$H$10:$I$12,2,0),0)*$F$8/1000,"")),0,IF($K71&lt;=$F$15,VLOOKUP($I71,'表4）CO2価格'!$A$7:$E$67,VLOOKUP($F$48,'表4）CO2価格'!$H$10:$I$12,2,0),0)*$F$8/1000,""))</f>
        <v/>
      </c>
      <c r="AZ71" s="39"/>
      <c r="BA71" s="42" t="str">
        <f t="shared" si="7"/>
        <v/>
      </c>
      <c r="BB71" s="72" t="str">
        <f t="shared" si="21"/>
        <v/>
      </c>
      <c r="BC71" s="39"/>
      <c r="BD71" s="72" t="str">
        <f t="shared" si="8"/>
        <v/>
      </c>
      <c r="BE71" s="72" t="str">
        <f t="shared" si="22"/>
        <v/>
      </c>
      <c r="BF71" s="39"/>
      <c r="BG71" s="42" t="str">
        <f t="shared" si="9"/>
        <v/>
      </c>
      <c r="BH71" s="72" t="str">
        <f t="shared" si="23"/>
        <v/>
      </c>
      <c r="BI71" s="39"/>
      <c r="BJ71" s="40" t="str">
        <f t="shared" si="24"/>
        <v/>
      </c>
      <c r="BK71" s="157" t="str">
        <f t="shared" si="25"/>
        <v/>
      </c>
      <c r="BL71" s="157" t="str">
        <f t="shared" si="10"/>
        <v/>
      </c>
      <c r="BM71" s="72"/>
      <c r="BN71" s="72" t="str">
        <f t="shared" si="26"/>
        <v/>
      </c>
      <c r="BO71" s="72" t="str">
        <f t="shared" si="27"/>
        <v/>
      </c>
      <c r="BP71" s="39"/>
      <c r="BQ71" s="72" t="str">
        <f t="shared" si="11"/>
        <v/>
      </c>
      <c r="BR71" s="72" t="str">
        <f t="shared" si="28"/>
        <v/>
      </c>
    </row>
    <row r="72" spans="2:70" x14ac:dyDescent="0.15">
      <c r="C72" s="4" t="s">
        <v>136</v>
      </c>
      <c r="D72" s="100"/>
      <c r="E72" s="100"/>
      <c r="F72" s="486"/>
      <c r="G72" s="100"/>
      <c r="I72" s="322">
        <f t="shared" si="29"/>
        <v>2077</v>
      </c>
      <c r="K72" s="71">
        <f t="shared" si="30"/>
        <v>58</v>
      </c>
      <c r="M72" s="7">
        <f t="shared" si="0"/>
        <v>0.18006983519841754</v>
      </c>
      <c r="O72" s="10" t="str">
        <f t="shared" si="12"/>
        <v/>
      </c>
      <c r="P72" s="29" t="str">
        <f t="shared" si="1"/>
        <v/>
      </c>
      <c r="R72" s="10" t="str">
        <f t="shared" si="13"/>
        <v/>
      </c>
      <c r="T72" s="10" t="str">
        <f t="shared" si="14"/>
        <v/>
      </c>
      <c r="V72" s="10" t="str">
        <f t="shared" si="2"/>
        <v/>
      </c>
      <c r="W72" s="10" t="str">
        <f t="shared" si="15"/>
        <v/>
      </c>
      <c r="Y72" s="10" t="str">
        <f t="shared" si="3"/>
        <v/>
      </c>
      <c r="Z72" s="10" t="str">
        <f t="shared" si="16"/>
        <v/>
      </c>
      <c r="AB72" s="10" t="str">
        <f t="shared" si="4"/>
        <v/>
      </c>
      <c r="AC72" s="10" t="str">
        <f t="shared" si="17"/>
        <v/>
      </c>
      <c r="AE72" s="10" t="str">
        <f t="shared" si="5"/>
        <v/>
      </c>
      <c r="AF72" s="10" t="str">
        <f t="shared" si="18"/>
        <v/>
      </c>
      <c r="AH72" s="10" t="str">
        <f t="shared" si="32"/>
        <v/>
      </c>
      <c r="AI72" s="10" t="str">
        <f t="shared" si="19"/>
        <v/>
      </c>
      <c r="AK72" s="10" t="str">
        <f t="shared" si="33"/>
        <v/>
      </c>
      <c r="AL72" s="10" t="str">
        <f t="shared" si="34"/>
        <v/>
      </c>
      <c r="AN72" s="10" t="str">
        <f t="shared" si="35"/>
        <v/>
      </c>
      <c r="AO72" s="10" t="str">
        <f t="shared" si="36"/>
        <v/>
      </c>
      <c r="AQ72" s="10" t="str">
        <f t="shared" si="37"/>
        <v/>
      </c>
      <c r="AR72" s="10" t="str">
        <f t="shared" si="38"/>
        <v/>
      </c>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V72" s="10" t="str">
        <f t="shared" si="6"/>
        <v/>
      </c>
      <c r="AW72" s="10" t="str">
        <f t="shared" si="20"/>
        <v/>
      </c>
      <c r="AY72" s="7" t="str">
        <f>IF(ISERROR(IF($K72&lt;=$F$15,VLOOKUP($I72,'表4）CO2価格'!$A$7:$E$67,VLOOKUP($F$48,'表4）CO2価格'!$H$10:$I$12,2,0),0)*$F$8/1000,"")),0,IF($K72&lt;=$F$15,VLOOKUP($I72,'表4）CO2価格'!$A$7:$E$67,VLOOKUP($F$48,'表4）CO2価格'!$H$10:$I$12,2,0),0)*$F$8/1000,""))</f>
        <v/>
      </c>
      <c r="BA72" s="11" t="str">
        <f t="shared" si="7"/>
        <v/>
      </c>
      <c r="BB72" s="10" t="str">
        <f t="shared" si="21"/>
        <v/>
      </c>
      <c r="BD72" s="10" t="str">
        <f t="shared" si="8"/>
        <v/>
      </c>
      <c r="BE72" s="10" t="str">
        <f t="shared" si="22"/>
        <v/>
      </c>
      <c r="BG72" s="11" t="str">
        <f t="shared" si="9"/>
        <v/>
      </c>
      <c r="BH72" s="10" t="str">
        <f t="shared" si="23"/>
        <v/>
      </c>
      <c r="BJ72" s="7" t="str">
        <f t="shared" si="24"/>
        <v/>
      </c>
      <c r="BK72" s="158" t="str">
        <f t="shared" si="25"/>
        <v/>
      </c>
      <c r="BL72" s="158" t="str">
        <f t="shared" si="10"/>
        <v/>
      </c>
      <c r="BM72" s="10"/>
      <c r="BN72" s="10" t="str">
        <f t="shared" si="26"/>
        <v/>
      </c>
      <c r="BO72" s="10" t="str">
        <f t="shared" si="27"/>
        <v/>
      </c>
      <c r="BQ72" s="10" t="str">
        <f t="shared" si="11"/>
        <v/>
      </c>
      <c r="BR72" s="10" t="str">
        <f t="shared" si="28"/>
        <v/>
      </c>
    </row>
    <row r="73" spans="2:70" x14ac:dyDescent="0.15">
      <c r="F73" s="487"/>
      <c r="I73" s="38">
        <f t="shared" si="29"/>
        <v>2078</v>
      </c>
      <c r="J73" s="39"/>
      <c r="K73" s="39">
        <f t="shared" si="30"/>
        <v>59</v>
      </c>
      <c r="L73" s="39"/>
      <c r="M73" s="40">
        <f t="shared" si="0"/>
        <v>0.17482508271691022</v>
      </c>
      <c r="N73" s="39"/>
      <c r="O73" s="72" t="str">
        <f t="shared" si="12"/>
        <v/>
      </c>
      <c r="P73" s="41" t="str">
        <f t="shared" si="1"/>
        <v/>
      </c>
      <c r="Q73" s="39"/>
      <c r="R73" s="72" t="str">
        <f t="shared" si="13"/>
        <v/>
      </c>
      <c r="S73" s="39"/>
      <c r="T73" s="72" t="str">
        <f t="shared" si="14"/>
        <v/>
      </c>
      <c r="U73" s="39"/>
      <c r="V73" s="72" t="str">
        <f t="shared" si="2"/>
        <v/>
      </c>
      <c r="W73" s="72" t="str">
        <f t="shared" si="15"/>
        <v/>
      </c>
      <c r="X73" s="39"/>
      <c r="Y73" s="72" t="str">
        <f t="shared" si="3"/>
        <v/>
      </c>
      <c r="Z73" s="72" t="str">
        <f t="shared" si="16"/>
        <v/>
      </c>
      <c r="AA73" s="39"/>
      <c r="AB73" s="72" t="str">
        <f t="shared" si="4"/>
        <v/>
      </c>
      <c r="AC73" s="72" t="str">
        <f t="shared" si="17"/>
        <v/>
      </c>
      <c r="AD73" s="39"/>
      <c r="AE73" s="72" t="str">
        <f t="shared" si="5"/>
        <v/>
      </c>
      <c r="AF73" s="72" t="str">
        <f t="shared" si="18"/>
        <v/>
      </c>
      <c r="AG73" s="39"/>
      <c r="AH73" s="72" t="str">
        <f t="shared" si="32"/>
        <v/>
      </c>
      <c r="AI73" s="72" t="str">
        <f t="shared" si="19"/>
        <v/>
      </c>
      <c r="AJ73" s="39"/>
      <c r="AK73" s="72" t="str">
        <f t="shared" si="33"/>
        <v/>
      </c>
      <c r="AL73" s="72" t="str">
        <f t="shared" si="34"/>
        <v/>
      </c>
      <c r="AM73" s="39"/>
      <c r="AN73" s="72" t="str">
        <f t="shared" si="35"/>
        <v/>
      </c>
      <c r="AO73" s="72" t="str">
        <f t="shared" si="36"/>
        <v/>
      </c>
      <c r="AP73" s="39"/>
      <c r="AQ73" s="72" t="str">
        <f t="shared" si="37"/>
        <v/>
      </c>
      <c r="AR73" s="72" t="str">
        <f t="shared" si="38"/>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6"/>
        <v/>
      </c>
      <c r="AW73" s="72" t="str">
        <f t="shared" si="20"/>
        <v/>
      </c>
      <c r="AX73" s="39"/>
      <c r="AY73" s="40" t="str">
        <f>IF(ISERROR(IF($K73&lt;=$F$15,VLOOKUP($I73,'表4）CO2価格'!$A$7:$E$67,VLOOKUP($F$48,'表4）CO2価格'!$H$10:$I$12,2,0),0)*$F$8/1000,"")),0,IF($K73&lt;=$F$15,VLOOKUP($I73,'表4）CO2価格'!$A$7:$E$67,VLOOKUP($F$48,'表4）CO2価格'!$H$10:$I$12,2,0),0)*$F$8/1000,""))</f>
        <v/>
      </c>
      <c r="AZ73" s="39"/>
      <c r="BA73" s="42" t="str">
        <f t="shared" si="7"/>
        <v/>
      </c>
      <c r="BB73" s="72" t="str">
        <f t="shared" si="21"/>
        <v/>
      </c>
      <c r="BC73" s="39"/>
      <c r="BD73" s="72" t="str">
        <f t="shared" si="8"/>
        <v/>
      </c>
      <c r="BE73" s="72" t="str">
        <f t="shared" si="22"/>
        <v/>
      </c>
      <c r="BF73" s="39"/>
      <c r="BG73" s="42" t="str">
        <f t="shared" si="9"/>
        <v/>
      </c>
      <c r="BH73" s="72" t="str">
        <f t="shared" si="23"/>
        <v/>
      </c>
      <c r="BI73" s="39"/>
      <c r="BJ73" s="40" t="str">
        <f t="shared" si="24"/>
        <v/>
      </c>
      <c r="BK73" s="157" t="str">
        <f t="shared" si="25"/>
        <v/>
      </c>
      <c r="BL73" s="157" t="str">
        <f t="shared" si="10"/>
        <v/>
      </c>
      <c r="BM73" s="72"/>
      <c r="BN73" s="72" t="str">
        <f t="shared" si="26"/>
        <v/>
      </c>
      <c r="BO73" s="72" t="str">
        <f t="shared" si="27"/>
        <v/>
      </c>
      <c r="BP73" s="39"/>
      <c r="BQ73" s="72" t="str">
        <f t="shared" si="11"/>
        <v/>
      </c>
      <c r="BR73" s="72" t="str">
        <f t="shared" si="28"/>
        <v/>
      </c>
    </row>
    <row r="74" spans="2:70" ht="15" x14ac:dyDescent="0.15">
      <c r="D74" s="103" t="s">
        <v>591</v>
      </c>
      <c r="F74" s="484">
        <f>SUBTOTAL(9,F78:F81)</f>
        <v>5.7108008976339972</v>
      </c>
      <c r="G74" s="84" t="s">
        <v>590</v>
      </c>
      <c r="I74" s="322">
        <f t="shared" si="29"/>
        <v>2079</v>
      </c>
      <c r="K74" s="71">
        <f t="shared" si="30"/>
        <v>60</v>
      </c>
      <c r="M74" s="7">
        <f t="shared" si="0"/>
        <v>0.1697330900164177</v>
      </c>
      <c r="O74" s="10" t="str">
        <f t="shared" si="12"/>
        <v/>
      </c>
      <c r="P74" s="29" t="str">
        <f t="shared" si="1"/>
        <v/>
      </c>
      <c r="R74" s="10" t="str">
        <f t="shared" si="13"/>
        <v/>
      </c>
      <c r="T74" s="10" t="str">
        <f t="shared" si="14"/>
        <v/>
      </c>
      <c r="V74" s="10" t="str">
        <f t="shared" si="2"/>
        <v/>
      </c>
      <c r="W74" s="10" t="str">
        <f t="shared" si="15"/>
        <v/>
      </c>
      <c r="Y74" s="10" t="str">
        <f t="shared" si="3"/>
        <v/>
      </c>
      <c r="Z74" s="10" t="str">
        <f t="shared" si="16"/>
        <v/>
      </c>
      <c r="AB74" s="10" t="str">
        <f t="shared" si="4"/>
        <v/>
      </c>
      <c r="AC74" s="10" t="str">
        <f t="shared" si="17"/>
        <v/>
      </c>
      <c r="AE74" s="10" t="str">
        <f t="shared" si="5"/>
        <v/>
      </c>
      <c r="AF74" s="10" t="str">
        <f t="shared" si="18"/>
        <v/>
      </c>
      <c r="AH74" s="10" t="str">
        <f t="shared" si="32"/>
        <v/>
      </c>
      <c r="AI74" s="10" t="str">
        <f t="shared" si="19"/>
        <v/>
      </c>
      <c r="AK74" s="10" t="str">
        <f t="shared" si="33"/>
        <v/>
      </c>
      <c r="AL74" s="10" t="str">
        <f t="shared" si="34"/>
        <v/>
      </c>
      <c r="AN74" s="10" t="str">
        <f t="shared" si="35"/>
        <v/>
      </c>
      <c r="AO74" s="10" t="str">
        <f t="shared" si="36"/>
        <v/>
      </c>
      <c r="AQ74" s="10" t="str">
        <f t="shared" si="37"/>
        <v/>
      </c>
      <c r="AR74" s="10" t="str">
        <f t="shared" si="38"/>
        <v/>
      </c>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V74" s="10" t="str">
        <f t="shared" si="6"/>
        <v/>
      </c>
      <c r="AW74" s="10" t="str">
        <f t="shared" si="20"/>
        <v/>
      </c>
      <c r="AY74" s="7" t="str">
        <f>IF(ISERROR(IF($K74&lt;=$F$15,VLOOKUP($I74,'表4）CO2価格'!$A$7:$E$67,VLOOKUP($F$48,'表4）CO2価格'!$H$10:$I$12,2,0),0)*$F$8/1000,"")),0,IF($K74&lt;=$F$15,VLOOKUP($I74,'表4）CO2価格'!$A$7:$E$67,VLOOKUP($F$48,'表4）CO2価格'!$H$10:$I$12,2,0),0)*$F$8/1000,""))</f>
        <v/>
      </c>
      <c r="BA74" s="11" t="str">
        <f t="shared" si="7"/>
        <v/>
      </c>
      <c r="BB74" s="10" t="str">
        <f t="shared" si="21"/>
        <v/>
      </c>
      <c r="BD74" s="10" t="str">
        <f t="shared" si="8"/>
        <v/>
      </c>
      <c r="BE74" s="10" t="str">
        <f t="shared" si="22"/>
        <v/>
      </c>
      <c r="BG74" s="11" t="str">
        <f t="shared" si="9"/>
        <v/>
      </c>
      <c r="BH74" s="10" t="str">
        <f t="shared" si="23"/>
        <v/>
      </c>
      <c r="BJ74" s="7" t="str">
        <f t="shared" si="24"/>
        <v/>
      </c>
      <c r="BK74" s="158" t="str">
        <f t="shared" si="25"/>
        <v/>
      </c>
      <c r="BL74" s="158" t="str">
        <f t="shared" si="10"/>
        <v/>
      </c>
      <c r="BM74" s="10"/>
      <c r="BN74" s="10" t="str">
        <f t="shared" si="26"/>
        <v/>
      </c>
      <c r="BO74" s="10" t="str">
        <f t="shared" si="27"/>
        <v/>
      </c>
      <c r="BQ74" s="10" t="str">
        <f t="shared" si="11"/>
        <v/>
      </c>
      <c r="BR74" s="10" t="str">
        <f t="shared" si="28"/>
        <v/>
      </c>
    </row>
    <row r="75" spans="2:70" x14ac:dyDescent="0.15">
      <c r="F75" s="487"/>
      <c r="I75" s="38">
        <f t="shared" si="29"/>
        <v>2080</v>
      </c>
      <c r="J75" s="39"/>
      <c r="K75" s="39">
        <f t="shared" si="30"/>
        <v>61</v>
      </c>
      <c r="L75" s="39"/>
      <c r="M75" s="40">
        <f t="shared" si="0"/>
        <v>0.16478940778292983</v>
      </c>
      <c r="N75" s="39"/>
      <c r="O75" s="72" t="str">
        <f t="shared" si="12"/>
        <v/>
      </c>
      <c r="P75" s="41" t="str">
        <f t="shared" si="1"/>
        <v/>
      </c>
      <c r="Q75" s="39"/>
      <c r="R75" s="72" t="str">
        <f t="shared" si="13"/>
        <v/>
      </c>
      <c r="S75" s="39"/>
      <c r="T75" s="72" t="str">
        <f t="shared" si="14"/>
        <v/>
      </c>
      <c r="U75" s="39"/>
      <c r="V75" s="72" t="str">
        <f t="shared" si="2"/>
        <v/>
      </c>
      <c r="W75" s="72" t="str">
        <f t="shared" si="15"/>
        <v/>
      </c>
      <c r="X75" s="39"/>
      <c r="Y75" s="72" t="str">
        <f t="shared" si="3"/>
        <v/>
      </c>
      <c r="Z75" s="72" t="str">
        <f t="shared" si="16"/>
        <v/>
      </c>
      <c r="AA75" s="39"/>
      <c r="AB75" s="72" t="str">
        <f t="shared" si="4"/>
        <v/>
      </c>
      <c r="AC75" s="72" t="str">
        <f t="shared" si="17"/>
        <v/>
      </c>
      <c r="AD75" s="39"/>
      <c r="AE75" s="72" t="str">
        <f t="shared" si="5"/>
        <v/>
      </c>
      <c r="AF75" s="72" t="str">
        <f t="shared" si="18"/>
        <v/>
      </c>
      <c r="AG75" s="39"/>
      <c r="AH75" s="72" t="str">
        <f t="shared" si="32"/>
        <v/>
      </c>
      <c r="AI75" s="72" t="str">
        <f t="shared" si="19"/>
        <v/>
      </c>
      <c r="AJ75" s="39"/>
      <c r="AK75" s="72" t="str">
        <f t="shared" si="33"/>
        <v/>
      </c>
      <c r="AL75" s="72" t="str">
        <f t="shared" si="34"/>
        <v/>
      </c>
      <c r="AM75" s="39"/>
      <c r="AN75" s="72" t="str">
        <f t="shared" si="35"/>
        <v/>
      </c>
      <c r="AO75" s="72" t="str">
        <f t="shared" si="36"/>
        <v/>
      </c>
      <c r="AP75" s="39"/>
      <c r="AQ75" s="72" t="str">
        <f t="shared" si="37"/>
        <v/>
      </c>
      <c r="AR75" s="72" t="str">
        <f t="shared" si="38"/>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6"/>
        <v/>
      </c>
      <c r="AW75" s="72" t="str">
        <f t="shared" si="20"/>
        <v/>
      </c>
      <c r="AX75" s="39"/>
      <c r="AY75" s="40" t="str">
        <f>IF(ISERROR(IF($K75&lt;=$F$15,VLOOKUP($I75,'表4）CO2価格'!$A$7:$E$67,VLOOKUP($F$48,'表4）CO2価格'!$H$10:$I$12,2,0),0)*$F$8/1000,"")),0,IF($K75&lt;=$F$15,VLOOKUP($I75,'表4）CO2価格'!$A$7:$E$67,VLOOKUP($F$48,'表4）CO2価格'!$H$10:$I$12,2,0),0)*$F$8/1000,""))</f>
        <v/>
      </c>
      <c r="AZ75" s="39"/>
      <c r="BA75" s="42" t="str">
        <f t="shared" si="7"/>
        <v/>
      </c>
      <c r="BB75" s="72" t="str">
        <f t="shared" si="21"/>
        <v/>
      </c>
      <c r="BC75" s="39"/>
      <c r="BD75" s="72" t="str">
        <f t="shared" si="8"/>
        <v/>
      </c>
      <c r="BE75" s="72" t="str">
        <f t="shared" si="22"/>
        <v/>
      </c>
      <c r="BF75" s="39"/>
      <c r="BG75" s="42" t="str">
        <f t="shared" si="9"/>
        <v/>
      </c>
      <c r="BH75" s="72" t="str">
        <f t="shared" si="23"/>
        <v/>
      </c>
      <c r="BI75" s="39"/>
      <c r="BJ75" s="40" t="str">
        <f t="shared" si="24"/>
        <v/>
      </c>
      <c r="BK75" s="157" t="str">
        <f t="shared" si="25"/>
        <v/>
      </c>
      <c r="BL75" s="157" t="str">
        <f t="shared" si="10"/>
        <v/>
      </c>
      <c r="BM75" s="72"/>
      <c r="BN75" s="72" t="str">
        <f t="shared" si="26"/>
        <v/>
      </c>
      <c r="BO75" s="72" t="str">
        <f t="shared" si="27"/>
        <v/>
      </c>
      <c r="BP75" s="39"/>
      <c r="BQ75" s="72" t="str">
        <f t="shared" si="11"/>
        <v/>
      </c>
      <c r="BR75" s="72" t="str">
        <f t="shared" si="28"/>
        <v/>
      </c>
    </row>
    <row r="76" spans="2:70" x14ac:dyDescent="0.15">
      <c r="D76" s="100" t="s">
        <v>592</v>
      </c>
      <c r="E76" s="100"/>
      <c r="F76" s="486"/>
      <c r="G76" s="100"/>
      <c r="I76" s="322">
        <f t="shared" si="29"/>
        <v>2081</v>
      </c>
      <c r="K76" s="71">
        <f t="shared" si="30"/>
        <v>62</v>
      </c>
      <c r="M76" s="7">
        <f t="shared" si="0"/>
        <v>0.15998971629410663</v>
      </c>
      <c r="O76" s="10" t="str">
        <f t="shared" si="12"/>
        <v/>
      </c>
      <c r="P76" s="29" t="str">
        <f t="shared" si="1"/>
        <v/>
      </c>
      <c r="R76" s="10" t="str">
        <f t="shared" si="13"/>
        <v/>
      </c>
      <c r="T76" s="10" t="str">
        <f t="shared" si="14"/>
        <v/>
      </c>
      <c r="V76" s="10" t="str">
        <f t="shared" si="2"/>
        <v/>
      </c>
      <c r="W76" s="10" t="str">
        <f t="shared" si="15"/>
        <v/>
      </c>
      <c r="Y76" s="10" t="str">
        <f t="shared" si="3"/>
        <v/>
      </c>
      <c r="Z76" s="10" t="str">
        <f t="shared" si="16"/>
        <v/>
      </c>
      <c r="AB76" s="10" t="str">
        <f t="shared" si="4"/>
        <v/>
      </c>
      <c r="AC76" s="10" t="str">
        <f t="shared" si="17"/>
        <v/>
      </c>
      <c r="AE76" s="10" t="str">
        <f t="shared" si="5"/>
        <v/>
      </c>
      <c r="AF76" s="10" t="str">
        <f t="shared" si="18"/>
        <v/>
      </c>
      <c r="AH76" s="10" t="str">
        <f t="shared" si="32"/>
        <v/>
      </c>
      <c r="AI76" s="10" t="str">
        <f t="shared" si="19"/>
        <v/>
      </c>
      <c r="AK76" s="10" t="str">
        <f t="shared" si="33"/>
        <v/>
      </c>
      <c r="AL76" s="10" t="str">
        <f t="shared" si="34"/>
        <v/>
      </c>
      <c r="AN76" s="10" t="str">
        <f t="shared" si="35"/>
        <v/>
      </c>
      <c r="AO76" s="10" t="str">
        <f t="shared" si="36"/>
        <v/>
      </c>
      <c r="AQ76" s="10" t="str">
        <f t="shared" si="37"/>
        <v/>
      </c>
      <c r="AR76" s="10" t="str">
        <f t="shared" si="38"/>
        <v/>
      </c>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V76" s="10" t="str">
        <f t="shared" si="6"/>
        <v/>
      </c>
      <c r="AW76" s="10" t="str">
        <f t="shared" si="20"/>
        <v/>
      </c>
      <c r="AY76" s="7" t="str">
        <f>IF(ISERROR(IF($K76&lt;=$F$15,VLOOKUP($I76,'表4）CO2価格'!$A$7:$E$67,VLOOKUP($F$48,'表4）CO2価格'!$H$10:$I$12,2,0),0)*$F$8/1000,"")),0,IF($K76&lt;=$F$15,VLOOKUP($I76,'表4）CO2価格'!$A$7:$E$67,VLOOKUP($F$48,'表4）CO2価格'!$H$10:$I$12,2,0),0)*$F$8/1000,""))</f>
        <v/>
      </c>
      <c r="BA76" s="11" t="str">
        <f t="shared" si="7"/>
        <v/>
      </c>
      <c r="BB76" s="10" t="str">
        <f t="shared" si="21"/>
        <v/>
      </c>
      <c r="BD76" s="10" t="str">
        <f t="shared" si="8"/>
        <v/>
      </c>
      <c r="BE76" s="10" t="str">
        <f t="shared" si="22"/>
        <v/>
      </c>
      <c r="BG76" s="11" t="str">
        <f t="shared" si="9"/>
        <v/>
      </c>
      <c r="BH76" s="10" t="str">
        <f t="shared" si="23"/>
        <v/>
      </c>
      <c r="BJ76" s="7" t="str">
        <f t="shared" si="24"/>
        <v/>
      </c>
      <c r="BK76" s="158" t="str">
        <f t="shared" si="25"/>
        <v/>
      </c>
      <c r="BL76" s="158" t="str">
        <f t="shared" si="10"/>
        <v/>
      </c>
      <c r="BM76" s="10"/>
      <c r="BN76" s="10" t="str">
        <f t="shared" si="26"/>
        <v/>
      </c>
      <c r="BO76" s="10" t="str">
        <f t="shared" si="27"/>
        <v/>
      </c>
      <c r="BQ76" s="10" t="str">
        <f t="shared" si="11"/>
        <v/>
      </c>
      <c r="BR76" s="10" t="str">
        <f t="shared" si="28"/>
        <v/>
      </c>
    </row>
    <row r="77" spans="2:70" x14ac:dyDescent="0.15">
      <c r="F77" s="487"/>
      <c r="I77" s="38">
        <f t="shared" si="29"/>
        <v>2082</v>
      </c>
      <c r="J77" s="39"/>
      <c r="K77" s="39">
        <f t="shared" si="30"/>
        <v>63</v>
      </c>
      <c r="L77" s="39"/>
      <c r="M77" s="40">
        <f t="shared" si="0"/>
        <v>0.15532982164476369</v>
      </c>
      <c r="N77" s="39"/>
      <c r="O77" s="72" t="str">
        <f t="shared" si="12"/>
        <v/>
      </c>
      <c r="P77" s="41" t="str">
        <f t="shared" si="1"/>
        <v/>
      </c>
      <c r="Q77" s="39"/>
      <c r="R77" s="72" t="str">
        <f t="shared" si="13"/>
        <v/>
      </c>
      <c r="S77" s="39"/>
      <c r="T77" s="72" t="str">
        <f t="shared" si="14"/>
        <v/>
      </c>
      <c r="U77" s="39"/>
      <c r="V77" s="72" t="str">
        <f t="shared" si="2"/>
        <v/>
      </c>
      <c r="W77" s="72" t="str">
        <f t="shared" si="15"/>
        <v/>
      </c>
      <c r="X77" s="39"/>
      <c r="Y77" s="72" t="str">
        <f t="shared" si="3"/>
        <v/>
      </c>
      <c r="Z77" s="72" t="str">
        <f t="shared" si="16"/>
        <v/>
      </c>
      <c r="AA77" s="39"/>
      <c r="AB77" s="72" t="str">
        <f t="shared" si="4"/>
        <v/>
      </c>
      <c r="AC77" s="72" t="str">
        <f t="shared" si="17"/>
        <v/>
      </c>
      <c r="AD77" s="39"/>
      <c r="AE77" s="72" t="str">
        <f t="shared" si="5"/>
        <v/>
      </c>
      <c r="AF77" s="72" t="str">
        <f t="shared" si="18"/>
        <v/>
      </c>
      <c r="AG77" s="39"/>
      <c r="AH77" s="72" t="str">
        <f t="shared" si="32"/>
        <v/>
      </c>
      <c r="AI77" s="72" t="str">
        <f t="shared" si="19"/>
        <v/>
      </c>
      <c r="AJ77" s="39"/>
      <c r="AK77" s="72" t="str">
        <f t="shared" si="33"/>
        <v/>
      </c>
      <c r="AL77" s="72" t="str">
        <f t="shared" si="34"/>
        <v/>
      </c>
      <c r="AM77" s="39"/>
      <c r="AN77" s="72" t="str">
        <f t="shared" si="35"/>
        <v/>
      </c>
      <c r="AO77" s="72" t="str">
        <f t="shared" si="36"/>
        <v/>
      </c>
      <c r="AP77" s="39"/>
      <c r="AQ77" s="72" t="str">
        <f t="shared" si="37"/>
        <v/>
      </c>
      <c r="AR77" s="72" t="str">
        <f t="shared" si="38"/>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6"/>
        <v/>
      </c>
      <c r="AW77" s="72" t="str">
        <f t="shared" si="20"/>
        <v/>
      </c>
      <c r="AX77" s="39"/>
      <c r="AY77" s="40" t="str">
        <f>IF(ISERROR(IF($K77&lt;=$F$15,VLOOKUP($I77,'表4）CO2価格'!$A$7:$E$67,VLOOKUP($F$48,'表4）CO2価格'!$H$10:$I$12,2,0),0)*$F$8/1000,"")),0,IF($K77&lt;=$F$15,VLOOKUP($I77,'表4）CO2価格'!$A$7:$E$67,VLOOKUP($F$48,'表4）CO2価格'!$H$10:$I$12,2,0),0)*$F$8/1000,""))</f>
        <v/>
      </c>
      <c r="AZ77" s="39"/>
      <c r="BA77" s="42" t="str">
        <f t="shared" si="7"/>
        <v/>
      </c>
      <c r="BB77" s="72" t="str">
        <f t="shared" si="21"/>
        <v/>
      </c>
      <c r="BC77" s="39"/>
      <c r="BD77" s="72" t="str">
        <f t="shared" si="8"/>
        <v/>
      </c>
      <c r="BE77" s="72" t="str">
        <f t="shared" si="22"/>
        <v/>
      </c>
      <c r="BF77" s="39"/>
      <c r="BG77" s="42" t="str">
        <f t="shared" si="9"/>
        <v/>
      </c>
      <c r="BH77" s="72" t="str">
        <f t="shared" si="23"/>
        <v/>
      </c>
      <c r="BI77" s="39"/>
      <c r="BJ77" s="40" t="str">
        <f t="shared" si="24"/>
        <v/>
      </c>
      <c r="BK77" s="157" t="str">
        <f t="shared" si="25"/>
        <v/>
      </c>
      <c r="BL77" s="157" t="str">
        <f t="shared" si="10"/>
        <v/>
      </c>
      <c r="BM77" s="72"/>
      <c r="BN77" s="72" t="str">
        <f t="shared" si="26"/>
        <v/>
      </c>
      <c r="BO77" s="72" t="str">
        <f t="shared" si="27"/>
        <v/>
      </c>
      <c r="BP77" s="39"/>
      <c r="BQ77" s="72" t="str">
        <f t="shared" si="11"/>
        <v/>
      </c>
      <c r="BR77" s="72" t="str">
        <f t="shared" si="28"/>
        <v/>
      </c>
    </row>
    <row r="78" spans="2:70" x14ac:dyDescent="0.15">
      <c r="E78" s="70" t="s">
        <v>138</v>
      </c>
      <c r="F78" s="488">
        <f>R15/$BR$116</f>
        <v>5.0824229953747011</v>
      </c>
      <c r="G78" s="84" t="s">
        <v>590</v>
      </c>
      <c r="I78" s="322">
        <f t="shared" si="29"/>
        <v>2083</v>
      </c>
      <c r="K78" s="71">
        <f t="shared" si="30"/>
        <v>64</v>
      </c>
      <c r="M78" s="7">
        <f t="shared" si="0"/>
        <v>0.15080565208229488</v>
      </c>
      <c r="O78" s="10" t="str">
        <f t="shared" si="12"/>
        <v/>
      </c>
      <c r="P78" s="29" t="str">
        <f t="shared" si="1"/>
        <v/>
      </c>
      <c r="R78" s="10" t="str">
        <f t="shared" si="13"/>
        <v/>
      </c>
      <c r="T78" s="10" t="str">
        <f t="shared" si="14"/>
        <v/>
      </c>
      <c r="V78" s="10" t="str">
        <f t="shared" si="2"/>
        <v/>
      </c>
      <c r="W78" s="10" t="str">
        <f t="shared" si="15"/>
        <v/>
      </c>
      <c r="Y78" s="10" t="str">
        <f t="shared" si="3"/>
        <v/>
      </c>
      <c r="Z78" s="10" t="str">
        <f t="shared" si="16"/>
        <v/>
      </c>
      <c r="AB78" s="10" t="str">
        <f t="shared" si="4"/>
        <v/>
      </c>
      <c r="AC78" s="10" t="str">
        <f t="shared" si="17"/>
        <v/>
      </c>
      <c r="AE78" s="10" t="str">
        <f t="shared" si="5"/>
        <v/>
      </c>
      <c r="AF78" s="10" t="str">
        <f t="shared" si="18"/>
        <v/>
      </c>
      <c r="AH78" s="10" t="str">
        <f t="shared" si="32"/>
        <v/>
      </c>
      <c r="AI78" s="10" t="str">
        <f t="shared" si="19"/>
        <v/>
      </c>
      <c r="AK78" s="10" t="str">
        <f t="shared" si="33"/>
        <v/>
      </c>
      <c r="AL78" s="10" t="str">
        <f t="shared" si="34"/>
        <v/>
      </c>
      <c r="AN78" s="10" t="str">
        <f t="shared" si="35"/>
        <v/>
      </c>
      <c r="AO78" s="10" t="str">
        <f t="shared" si="36"/>
        <v/>
      </c>
      <c r="AQ78" s="10" t="str">
        <f t="shared" si="37"/>
        <v/>
      </c>
      <c r="AR78" s="10" t="str">
        <f t="shared" si="38"/>
        <v/>
      </c>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V78" s="10" t="str">
        <f t="shared" si="6"/>
        <v/>
      </c>
      <c r="AW78" s="10" t="str">
        <f t="shared" si="20"/>
        <v/>
      </c>
      <c r="AY78" s="7" t="str">
        <f>IF(ISERROR(IF($K78&lt;=$F$15,VLOOKUP($I78,'表4）CO2価格'!$A$7:$E$67,VLOOKUP($F$48,'表4）CO2価格'!$H$10:$I$12,2,0),0)*$F$8/1000,"")),0,IF($K78&lt;=$F$15,VLOOKUP($I78,'表4）CO2価格'!$A$7:$E$67,VLOOKUP($F$48,'表4）CO2価格'!$H$10:$I$12,2,0),0)*$F$8/1000,""))</f>
        <v/>
      </c>
      <c r="BA78" s="11" t="str">
        <f t="shared" si="7"/>
        <v/>
      </c>
      <c r="BB78" s="10" t="str">
        <f t="shared" si="21"/>
        <v/>
      </c>
      <c r="BD78" s="10" t="str">
        <f t="shared" si="8"/>
        <v/>
      </c>
      <c r="BE78" s="10" t="str">
        <f t="shared" si="22"/>
        <v/>
      </c>
      <c r="BG78" s="11" t="str">
        <f t="shared" si="9"/>
        <v/>
      </c>
      <c r="BH78" s="10" t="str">
        <f t="shared" si="23"/>
        <v/>
      </c>
      <c r="BJ78" s="7" t="str">
        <f t="shared" si="24"/>
        <v/>
      </c>
      <c r="BK78" s="158" t="str">
        <f t="shared" si="25"/>
        <v/>
      </c>
      <c r="BL78" s="158" t="str">
        <f t="shared" si="10"/>
        <v/>
      </c>
      <c r="BM78" s="10"/>
      <c r="BN78" s="10" t="str">
        <f t="shared" si="26"/>
        <v/>
      </c>
      <c r="BO78" s="10" t="str">
        <f t="shared" si="27"/>
        <v/>
      </c>
      <c r="BQ78" s="10" t="str">
        <f t="shared" si="11"/>
        <v/>
      </c>
      <c r="BR78" s="10" t="str">
        <f t="shared" si="28"/>
        <v/>
      </c>
    </row>
    <row r="79" spans="2:70" x14ac:dyDescent="0.15">
      <c r="E79" s="84" t="s">
        <v>139</v>
      </c>
      <c r="F79" s="488">
        <f>Z116/$BR$116</f>
        <v>0.55274433250501331</v>
      </c>
      <c r="G79" s="84" t="s">
        <v>590</v>
      </c>
      <c r="I79" s="38">
        <f t="shared" si="29"/>
        <v>2084</v>
      </c>
      <c r="J79" s="39"/>
      <c r="K79" s="39">
        <f t="shared" si="30"/>
        <v>65</v>
      </c>
      <c r="L79" s="39"/>
      <c r="M79" s="40">
        <f t="shared" ref="M79:M114" si="39">1/(1+($F$9/100))^K79</f>
        <v>0.14641325444882999</v>
      </c>
      <c r="N79" s="39"/>
      <c r="O79" s="72" t="str">
        <f t="shared" si="12"/>
        <v/>
      </c>
      <c r="P79" s="41" t="str">
        <f t="shared" ref="P79:P110" si="40">IF(K79&lt;=$F$15,IF(OR(P78=$F$124,P78="-"),"-",IF(O79*$F$123&gt;$F$127,$F$123,$F$124)),"")</f>
        <v/>
      </c>
      <c r="Q79" s="39"/>
      <c r="R79" s="72" t="str">
        <f t="shared" si="13"/>
        <v/>
      </c>
      <c r="S79" s="39"/>
      <c r="T79" s="72" t="str">
        <f t="shared" si="14"/>
        <v/>
      </c>
      <c r="U79" s="39"/>
      <c r="V79" s="72" t="str">
        <f t="shared" ref="V79:V114" si="41">IF(K79&lt;=$F$15,IF(K79&lt;$F$119,IF(P79="-",V78,O79*P79),IF(K79=$F$119,MIN(IF(P79="-",V78,O79*P79),O79),0)),"")</f>
        <v/>
      </c>
      <c r="W79" s="72" t="str">
        <f t="shared" si="15"/>
        <v/>
      </c>
      <c r="X79" s="39"/>
      <c r="Y79" s="72" t="str">
        <f t="shared" ref="Y79:Y114" si="42">IF($K79&lt;=$F$15,ROUNDDOWN(T79*$F$25/100,-2),"")</f>
        <v/>
      </c>
      <c r="Z79" s="72" t="str">
        <f t="shared" si="16"/>
        <v/>
      </c>
      <c r="AA79" s="39"/>
      <c r="AB79" s="72" t="str">
        <f t="shared" ref="AB79:AB114" si="43">IF($K79&lt;=$F$15,0,IF(AND($K79&gt;$F$15,$K79&lt;=$F$15+$F$28),$F$27*10^8/$F$28,""))</f>
        <v/>
      </c>
      <c r="AC79" s="72" t="str">
        <f t="shared" si="17"/>
        <v/>
      </c>
      <c r="AD79" s="39"/>
      <c r="AE79" s="72" t="str">
        <f t="shared" ref="AE79:AE114" si="44">IF($K79&lt;=$F$15,$F$26,"")</f>
        <v/>
      </c>
      <c r="AF79" s="72" t="str">
        <f t="shared" si="18"/>
        <v/>
      </c>
      <c r="AG79" s="39"/>
      <c r="AH79" s="72" t="str">
        <f t="shared" ref="AH79:AH114" si="45">IF($K79&lt;=$F$15,$F$33*10^8,"")</f>
        <v/>
      </c>
      <c r="AI79" s="72" t="str">
        <f t="shared" si="19"/>
        <v/>
      </c>
      <c r="AJ79" s="39"/>
      <c r="AK79" s="72" t="str">
        <f t="shared" ref="AK79:AK114" si="46">IF($K79&lt;=$F$15,$F$117*$F$34/100,"")</f>
        <v/>
      </c>
      <c r="AL79" s="72" t="str">
        <f t="shared" si="34"/>
        <v/>
      </c>
      <c r="AM79" s="39"/>
      <c r="AN79" s="72" t="str">
        <f t="shared" ref="AN79:AN114" si="47">IF($K79&lt;=$F$15,$F$117*$F$35/100,"")</f>
        <v/>
      </c>
      <c r="AO79" s="72" t="str">
        <f t="shared" si="36"/>
        <v/>
      </c>
      <c r="AP79" s="39"/>
      <c r="AQ79" s="72" t="str">
        <f t="shared" ref="AQ79:AQ114" si="48">IF($K79&lt;=$F$15,SUM(AH79,AK79,AN79)*($F$36/100),"")</f>
        <v/>
      </c>
      <c r="AR79" s="72" t="str">
        <f t="shared" si="38"/>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49">IF($K79&lt;=$F$15,($AT79+$F$142)*$F$137,"")</f>
        <v/>
      </c>
      <c r="AW79" s="72" t="str">
        <f t="shared" si="20"/>
        <v/>
      </c>
      <c r="AX79" s="39"/>
      <c r="AY79" s="40" t="str">
        <f>IF(ISERROR(IF($K79&lt;=$F$15,VLOOKUP($I79,'表4）CO2価格'!$A$7:$E$67,VLOOKUP($F$48,'表4）CO2価格'!$H$10:$I$12,2,0),0)*$F$8/1000,"")),0,IF($K79&lt;=$F$15,VLOOKUP($I79,'表4）CO2価格'!$A$7:$E$67,VLOOKUP($F$48,'表4）CO2価格'!$H$10:$I$12,2,0),0)*$F$8/1000,""))</f>
        <v/>
      </c>
      <c r="AZ79" s="39"/>
      <c r="BA79" s="42" t="str">
        <f t="shared" ref="BA79:BA114" si="50">IF($K79&lt;=$F$15,$F$145*AY79,"")</f>
        <v/>
      </c>
      <c r="BB79" s="72" t="str">
        <f t="shared" si="21"/>
        <v/>
      </c>
      <c r="BC79" s="39"/>
      <c r="BD79" s="72" t="str">
        <f t="shared" ref="BD79:BD114" si="51">IF($K79&lt;=$F$15,($AT79+$F$152)*$F$151,"")</f>
        <v/>
      </c>
      <c r="BE79" s="72" t="str">
        <f t="shared" si="22"/>
        <v/>
      </c>
      <c r="BF79" s="39"/>
      <c r="BG79" s="42" t="str">
        <f t="shared" ref="BG79:BG114" si="52">IF($K79&lt;=$F$15,$F$153*AY79,"")</f>
        <v/>
      </c>
      <c r="BH79" s="72" t="str">
        <f t="shared" si="23"/>
        <v/>
      </c>
      <c r="BI79" s="39"/>
      <c r="BJ79" s="40" t="str">
        <f t="shared" si="24"/>
        <v/>
      </c>
      <c r="BK79" s="157" t="str">
        <f t="shared" si="25"/>
        <v/>
      </c>
      <c r="BL79" s="157" t="str">
        <f t="shared" ref="BL79:BL114" si="53">IF(AND(ISNUMBER(BJ79),$K79&lt;=$F$16),BQ79*BJ79,"")</f>
        <v/>
      </c>
      <c r="BM79" s="72"/>
      <c r="BN79" s="72" t="str">
        <f t="shared" si="26"/>
        <v/>
      </c>
      <c r="BO79" s="72" t="str">
        <f t="shared" si="27"/>
        <v/>
      </c>
      <c r="BP79" s="39"/>
      <c r="BQ79" s="72" t="str">
        <f t="shared" ref="BQ79:BQ114" si="54">IF($K79&lt;=$F$15,$F$134,"")</f>
        <v/>
      </c>
      <c r="BR79" s="72" t="str">
        <f t="shared" si="28"/>
        <v/>
      </c>
    </row>
    <row r="80" spans="2:70" x14ac:dyDescent="0.15">
      <c r="E80" s="84" t="s">
        <v>115</v>
      </c>
      <c r="F80" s="488">
        <f>AF116/$BR$116</f>
        <v>0</v>
      </c>
      <c r="G80" s="84" t="s">
        <v>590</v>
      </c>
      <c r="I80" s="322">
        <f t="shared" si="29"/>
        <v>2085</v>
      </c>
      <c r="K80" s="71">
        <f t="shared" si="30"/>
        <v>66</v>
      </c>
      <c r="M80" s="7">
        <f t="shared" si="39"/>
        <v>0.14214879072701941</v>
      </c>
      <c r="O80" s="10" t="str">
        <f t="shared" ref="O80:O114" si="55">IF(K80&lt;=$F$15,O79-V79,"")</f>
        <v/>
      </c>
      <c r="P80" s="29" t="str">
        <f t="shared" si="40"/>
        <v/>
      </c>
      <c r="R80" s="10" t="str">
        <f t="shared" ref="R80:R114" si="56">IF($K80&lt;=$F$15,MAX($F$117*5%,R79*$F$129),"")</f>
        <v/>
      </c>
      <c r="T80" s="10" t="str">
        <f t="shared" ref="T80:T114" si="57">IF(ISNUMBER(R80),ROUNDDOWN(R80,-3),"")</f>
        <v/>
      </c>
      <c r="V80" s="10" t="str">
        <f t="shared" si="41"/>
        <v/>
      </c>
      <c r="W80" s="10" t="str">
        <f t="shared" ref="W80:W114" si="58">IF(ISNUMBER(V80),V80*$M80,"")</f>
        <v/>
      </c>
      <c r="Y80" s="10" t="str">
        <f t="shared" si="42"/>
        <v/>
      </c>
      <c r="Z80" s="10" t="str">
        <f t="shared" ref="Z80:Z114" si="59">IF(ISNUMBER(Y80),Y80*$M80,"")</f>
        <v/>
      </c>
      <c r="AB80" s="10" t="str">
        <f t="shared" si="43"/>
        <v/>
      </c>
      <c r="AC80" s="10" t="str">
        <f t="shared" ref="AC80:AC114" si="60">IF(ISNUMBER(AB80),AB80*$M80,"")</f>
        <v/>
      </c>
      <c r="AE80" s="10" t="str">
        <f t="shared" si="44"/>
        <v/>
      </c>
      <c r="AF80" s="10" t="str">
        <f t="shared" ref="AF80:AF114" si="61">IF(ISNUMBER(AE80),AE80*$M80,"")</f>
        <v/>
      </c>
      <c r="AH80" s="10" t="str">
        <f t="shared" si="45"/>
        <v/>
      </c>
      <c r="AI80" s="10" t="str">
        <f t="shared" ref="AI80:AI114" si="62">IF(ISNUMBER(AH80),AH80*$M80,"")</f>
        <v/>
      </c>
      <c r="AK80" s="10" t="str">
        <f t="shared" si="46"/>
        <v/>
      </c>
      <c r="AL80" s="10" t="str">
        <f t="shared" ref="AL80:AL114" si="63">IF(ISNUMBER(AK80),AK80*$M80,"")</f>
        <v/>
      </c>
      <c r="AN80" s="10" t="str">
        <f t="shared" si="47"/>
        <v/>
      </c>
      <c r="AO80" s="10" t="str">
        <f t="shared" ref="AO80:AO114" si="64">IF(ISNUMBER(AN80),AN80*$M80,"")</f>
        <v/>
      </c>
      <c r="AQ80" s="10" t="str">
        <f t="shared" si="48"/>
        <v/>
      </c>
      <c r="AR80" s="10" t="str">
        <f t="shared" ref="AR80:AR114" si="65">IF(ISNUMBER(AQ80),AQ80*$M80,"")</f>
        <v/>
      </c>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V80" s="10" t="str">
        <f t="shared" si="49"/>
        <v/>
      </c>
      <c r="AW80" s="10" t="str">
        <f t="shared" ref="AW80:AW114" si="66">IF(ISNUMBER(AV80),AV80*$M80,"")</f>
        <v/>
      </c>
      <c r="AY80" s="7" t="str">
        <f>IF(ISERROR(IF($K80&lt;=$F$15,VLOOKUP($I80,'表4）CO2価格'!$A$7:$E$67,VLOOKUP($F$48,'表4）CO2価格'!$H$10:$I$12,2,0),0)*$F$8/1000,"")),0,IF($K80&lt;=$F$15,VLOOKUP($I80,'表4）CO2価格'!$A$7:$E$67,VLOOKUP($F$48,'表4）CO2価格'!$H$10:$I$12,2,0),0)*$F$8/1000,""))</f>
        <v/>
      </c>
      <c r="BA80" s="11" t="str">
        <f t="shared" si="50"/>
        <v/>
      </c>
      <c r="BB80" s="10" t="str">
        <f t="shared" ref="BB80:BB114" si="67">IF(ISNUMBER(BA80),BA80*$M80,"")</f>
        <v/>
      </c>
      <c r="BD80" s="10" t="str">
        <f t="shared" si="51"/>
        <v/>
      </c>
      <c r="BE80" s="10" t="str">
        <f t="shared" ref="BE80:BE114" si="68">IF(ISNUMBER(BD80),BD80*$M80,"")</f>
        <v/>
      </c>
      <c r="BG80" s="11" t="str">
        <f t="shared" si="52"/>
        <v/>
      </c>
      <c r="BH80" s="10" t="str">
        <f t="shared" ref="BH80:BH114" si="69">IF(ISNUMBER(BG80),BG80*$M80,"")</f>
        <v/>
      </c>
      <c r="BJ80" s="7" t="str">
        <f t="shared" ref="BJ80:BJ114" si="70">IF(ISNUMBER($F$16),IF($K80&lt;=$F$16+$F$28,1/(1+($F$17/100))^K80,""),"")</f>
        <v/>
      </c>
      <c r="BK80" s="158" t="str">
        <f t="shared" ref="BK80:BK114" si="71">IF(ISNUMBER($F$16),IF($K80&lt;=$F$16+$F$28,IF($K80&lt;=$F$16,SUM(Y80,AB80,AE80,AH80,AK80,AN80,AQ80,AV80,BA80,BD80,BG80),$F$27/$F$28*10^8)*BJ80,""),"")</f>
        <v/>
      </c>
      <c r="BL80" s="158" t="str">
        <f t="shared" si="53"/>
        <v/>
      </c>
      <c r="BM80" s="10"/>
      <c r="BN80" s="10" t="str">
        <f t="shared" ref="BN80:BN114" si="72">IF(AND(ISNUMBER($F$16),$K80&lt;=$F$16),BQ80*($O$15+$BK$116)/$BL$116,"")</f>
        <v/>
      </c>
      <c r="BO80" s="10" t="str">
        <f t="shared" ref="BO80:BO114" si="73">IF(ISNUMBER(BN80),BN80*$M80,"")</f>
        <v/>
      </c>
      <c r="BQ80" s="10" t="str">
        <f t="shared" si="54"/>
        <v/>
      </c>
      <c r="BR80" s="10" t="str">
        <f t="shared" ref="BR80:BR114" si="74">IF(ISNUMBER(BQ80),BQ80*$M80,"")</f>
        <v/>
      </c>
    </row>
    <row r="81" spans="4:70" x14ac:dyDescent="0.15">
      <c r="E81" s="160" t="s">
        <v>86</v>
      </c>
      <c r="F81" s="488">
        <f>AC116/$BR$116</f>
        <v>7.563356975428237E-2</v>
      </c>
      <c r="G81" s="84" t="s">
        <v>590</v>
      </c>
      <c r="I81" s="38">
        <f t="shared" ref="I81:I114" si="75">I80+1</f>
        <v>2086</v>
      </c>
      <c r="J81" s="39"/>
      <c r="K81" s="39">
        <f t="shared" ref="K81:K114" si="76">IF(I81&lt;&gt;"",K80+1,"")</f>
        <v>67</v>
      </c>
      <c r="L81" s="39"/>
      <c r="M81" s="40">
        <f t="shared" si="39"/>
        <v>0.1380085346864266</v>
      </c>
      <c r="N81" s="39"/>
      <c r="O81" s="72" t="str">
        <f t="shared" si="55"/>
        <v/>
      </c>
      <c r="P81" s="41" t="str">
        <f t="shared" si="40"/>
        <v/>
      </c>
      <c r="Q81" s="39"/>
      <c r="R81" s="72" t="str">
        <f t="shared" si="56"/>
        <v/>
      </c>
      <c r="S81" s="39"/>
      <c r="T81" s="72" t="str">
        <f t="shared" si="57"/>
        <v/>
      </c>
      <c r="U81" s="39"/>
      <c r="V81" s="72" t="str">
        <f t="shared" si="41"/>
        <v/>
      </c>
      <c r="W81" s="72" t="str">
        <f t="shared" si="58"/>
        <v/>
      </c>
      <c r="X81" s="39"/>
      <c r="Y81" s="72" t="str">
        <f t="shared" si="42"/>
        <v/>
      </c>
      <c r="Z81" s="72" t="str">
        <f t="shared" si="59"/>
        <v/>
      </c>
      <c r="AA81" s="39"/>
      <c r="AB81" s="72" t="str">
        <f t="shared" si="43"/>
        <v/>
      </c>
      <c r="AC81" s="72" t="str">
        <f t="shared" si="60"/>
        <v/>
      </c>
      <c r="AD81" s="39"/>
      <c r="AE81" s="72" t="str">
        <f t="shared" si="44"/>
        <v/>
      </c>
      <c r="AF81" s="72" t="str">
        <f t="shared" si="61"/>
        <v/>
      </c>
      <c r="AG81" s="39"/>
      <c r="AH81" s="72" t="str">
        <f t="shared" si="45"/>
        <v/>
      </c>
      <c r="AI81" s="72" t="str">
        <f t="shared" si="62"/>
        <v/>
      </c>
      <c r="AJ81" s="39"/>
      <c r="AK81" s="72" t="str">
        <f t="shared" si="46"/>
        <v/>
      </c>
      <c r="AL81" s="72" t="str">
        <f t="shared" si="63"/>
        <v/>
      </c>
      <c r="AM81" s="39"/>
      <c r="AN81" s="72" t="str">
        <f t="shared" si="47"/>
        <v/>
      </c>
      <c r="AO81" s="72" t="str">
        <f t="shared" si="64"/>
        <v/>
      </c>
      <c r="AP81" s="39"/>
      <c r="AQ81" s="72" t="str">
        <f t="shared" si="48"/>
        <v/>
      </c>
      <c r="AR81" s="72" t="str">
        <f t="shared" si="65"/>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49"/>
        <v/>
      </c>
      <c r="AW81" s="72" t="str">
        <f t="shared" si="66"/>
        <v/>
      </c>
      <c r="AX81" s="39"/>
      <c r="AY81" s="40" t="str">
        <f>IF(ISERROR(IF($K81&lt;=$F$15,VLOOKUP($I81,'表4）CO2価格'!$A$7:$E$67,VLOOKUP($F$48,'表4）CO2価格'!$H$10:$I$12,2,0),0)*$F$8/1000,"")),0,IF($K81&lt;=$F$15,VLOOKUP($I81,'表4）CO2価格'!$A$7:$E$67,VLOOKUP($F$48,'表4）CO2価格'!$H$10:$I$12,2,0),0)*$F$8/1000,""))</f>
        <v/>
      </c>
      <c r="AZ81" s="39"/>
      <c r="BA81" s="42" t="str">
        <f t="shared" si="50"/>
        <v/>
      </c>
      <c r="BB81" s="72" t="str">
        <f t="shared" si="67"/>
        <v/>
      </c>
      <c r="BC81" s="39"/>
      <c r="BD81" s="72" t="str">
        <f t="shared" si="51"/>
        <v/>
      </c>
      <c r="BE81" s="72" t="str">
        <f t="shared" si="68"/>
        <v/>
      </c>
      <c r="BF81" s="39"/>
      <c r="BG81" s="42" t="str">
        <f t="shared" si="52"/>
        <v/>
      </c>
      <c r="BH81" s="72" t="str">
        <f t="shared" si="69"/>
        <v/>
      </c>
      <c r="BI81" s="39"/>
      <c r="BJ81" s="40" t="str">
        <f t="shared" si="70"/>
        <v/>
      </c>
      <c r="BK81" s="157" t="str">
        <f t="shared" si="71"/>
        <v/>
      </c>
      <c r="BL81" s="157" t="str">
        <f t="shared" si="53"/>
        <v/>
      </c>
      <c r="BM81" s="72"/>
      <c r="BN81" s="72" t="str">
        <f t="shared" si="72"/>
        <v/>
      </c>
      <c r="BO81" s="72" t="str">
        <f t="shared" si="73"/>
        <v/>
      </c>
      <c r="BP81" s="39"/>
      <c r="BQ81" s="72" t="str">
        <f t="shared" si="54"/>
        <v/>
      </c>
      <c r="BR81" s="72" t="str">
        <f t="shared" si="74"/>
        <v/>
      </c>
    </row>
    <row r="82" spans="4:70" x14ac:dyDescent="0.15">
      <c r="F82" s="487"/>
      <c r="I82" s="322">
        <f t="shared" si="75"/>
        <v>2087</v>
      </c>
      <c r="K82" s="71">
        <f t="shared" si="76"/>
        <v>68</v>
      </c>
      <c r="M82" s="7">
        <f t="shared" si="39"/>
        <v>0.13398886862759865</v>
      </c>
      <c r="O82" s="10" t="str">
        <f t="shared" si="55"/>
        <v/>
      </c>
      <c r="P82" s="29" t="str">
        <f t="shared" si="40"/>
        <v/>
      </c>
      <c r="R82" s="10" t="str">
        <f t="shared" si="56"/>
        <v/>
      </c>
      <c r="T82" s="10" t="str">
        <f t="shared" si="57"/>
        <v/>
      </c>
      <c r="V82" s="10" t="str">
        <f t="shared" si="41"/>
        <v/>
      </c>
      <c r="W82" s="10" t="str">
        <f t="shared" si="58"/>
        <v/>
      </c>
      <c r="Y82" s="10" t="str">
        <f t="shared" si="42"/>
        <v/>
      </c>
      <c r="Z82" s="10" t="str">
        <f t="shared" si="59"/>
        <v/>
      </c>
      <c r="AB82" s="10" t="str">
        <f t="shared" si="43"/>
        <v/>
      </c>
      <c r="AC82" s="10" t="str">
        <f t="shared" si="60"/>
        <v/>
      </c>
      <c r="AE82" s="10" t="str">
        <f t="shared" si="44"/>
        <v/>
      </c>
      <c r="AF82" s="10" t="str">
        <f t="shared" si="61"/>
        <v/>
      </c>
      <c r="AH82" s="10" t="str">
        <f t="shared" si="45"/>
        <v/>
      </c>
      <c r="AI82" s="10" t="str">
        <f t="shared" si="62"/>
        <v/>
      </c>
      <c r="AK82" s="10" t="str">
        <f t="shared" si="46"/>
        <v/>
      </c>
      <c r="AL82" s="10" t="str">
        <f t="shared" si="63"/>
        <v/>
      </c>
      <c r="AN82" s="10" t="str">
        <f t="shared" si="47"/>
        <v/>
      </c>
      <c r="AO82" s="10" t="str">
        <f t="shared" si="64"/>
        <v/>
      </c>
      <c r="AQ82" s="10" t="str">
        <f t="shared" si="48"/>
        <v/>
      </c>
      <c r="AR82" s="10" t="str">
        <f t="shared" si="65"/>
        <v/>
      </c>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V82" s="10" t="str">
        <f t="shared" si="49"/>
        <v/>
      </c>
      <c r="AW82" s="10" t="str">
        <f t="shared" si="66"/>
        <v/>
      </c>
      <c r="AY82" s="7" t="str">
        <f>IF(ISERROR(IF($K82&lt;=$F$15,VLOOKUP($I82,'表4）CO2価格'!$A$7:$E$67,VLOOKUP($F$48,'表4）CO2価格'!$H$10:$I$12,2,0),0)*$F$8/1000,"")),0,IF($K82&lt;=$F$15,VLOOKUP($I82,'表4）CO2価格'!$A$7:$E$67,VLOOKUP($F$48,'表4）CO2価格'!$H$10:$I$12,2,0),0)*$F$8/1000,""))</f>
        <v/>
      </c>
      <c r="BA82" s="11" t="str">
        <f t="shared" si="50"/>
        <v/>
      </c>
      <c r="BB82" s="10" t="str">
        <f t="shared" si="67"/>
        <v/>
      </c>
      <c r="BD82" s="10" t="str">
        <f t="shared" si="51"/>
        <v/>
      </c>
      <c r="BE82" s="10" t="str">
        <f t="shared" si="68"/>
        <v/>
      </c>
      <c r="BG82" s="11" t="str">
        <f t="shared" si="52"/>
        <v/>
      </c>
      <c r="BH82" s="10" t="str">
        <f t="shared" si="69"/>
        <v/>
      </c>
      <c r="BJ82" s="7" t="str">
        <f t="shared" si="70"/>
        <v/>
      </c>
      <c r="BK82" s="158" t="str">
        <f t="shared" si="71"/>
        <v/>
      </c>
      <c r="BL82" s="158" t="str">
        <f t="shared" si="53"/>
        <v/>
      </c>
      <c r="BM82" s="10"/>
      <c r="BN82" s="10" t="str">
        <f t="shared" si="72"/>
        <v/>
      </c>
      <c r="BO82" s="10" t="str">
        <f t="shared" si="73"/>
        <v/>
      </c>
      <c r="BQ82" s="10" t="str">
        <f t="shared" si="54"/>
        <v/>
      </c>
      <c r="BR82" s="10" t="str">
        <f t="shared" si="74"/>
        <v/>
      </c>
    </row>
    <row r="83" spans="4:70" ht="15" x14ac:dyDescent="0.15">
      <c r="D83" s="103" t="s">
        <v>593</v>
      </c>
      <c r="F83" s="484">
        <f>SUBTOTAL(9,F87:F90)</f>
        <v>2.9608540707732018</v>
      </c>
      <c r="G83" s="84" t="s">
        <v>590</v>
      </c>
      <c r="I83" s="38">
        <f>I82+1</f>
        <v>2088</v>
      </c>
      <c r="J83" s="39"/>
      <c r="K83" s="39">
        <f>IF(I83&lt;&gt;"",K82+1,"")</f>
        <v>69</v>
      </c>
      <c r="L83" s="39"/>
      <c r="M83" s="40">
        <f t="shared" si="39"/>
        <v>0.13008628022096957</v>
      </c>
      <c r="N83" s="39"/>
      <c r="O83" s="72" t="str">
        <f t="shared" si="55"/>
        <v/>
      </c>
      <c r="P83" s="41" t="str">
        <f t="shared" si="40"/>
        <v/>
      </c>
      <c r="Q83" s="39"/>
      <c r="R83" s="72" t="str">
        <f t="shared" si="56"/>
        <v/>
      </c>
      <c r="S83" s="39"/>
      <c r="T83" s="72" t="str">
        <f t="shared" si="57"/>
        <v/>
      </c>
      <c r="U83" s="39"/>
      <c r="V83" s="72" t="str">
        <f t="shared" si="41"/>
        <v/>
      </c>
      <c r="W83" s="72" t="str">
        <f t="shared" si="58"/>
        <v/>
      </c>
      <c r="X83" s="39"/>
      <c r="Y83" s="72" t="str">
        <f t="shared" si="42"/>
        <v/>
      </c>
      <c r="Z83" s="72" t="str">
        <f t="shared" si="59"/>
        <v/>
      </c>
      <c r="AA83" s="39"/>
      <c r="AB83" s="72" t="str">
        <f t="shared" si="43"/>
        <v/>
      </c>
      <c r="AC83" s="72" t="str">
        <f t="shared" si="60"/>
        <v/>
      </c>
      <c r="AD83" s="39"/>
      <c r="AE83" s="72" t="str">
        <f t="shared" si="44"/>
        <v/>
      </c>
      <c r="AF83" s="72" t="str">
        <f t="shared" si="61"/>
        <v/>
      </c>
      <c r="AG83" s="39"/>
      <c r="AH83" s="72" t="str">
        <f t="shared" si="45"/>
        <v/>
      </c>
      <c r="AI83" s="72" t="str">
        <f t="shared" si="62"/>
        <v/>
      </c>
      <c r="AJ83" s="39"/>
      <c r="AK83" s="72" t="str">
        <f t="shared" si="46"/>
        <v/>
      </c>
      <c r="AL83" s="72" t="str">
        <f t="shared" si="63"/>
        <v/>
      </c>
      <c r="AM83" s="39"/>
      <c r="AN83" s="72" t="str">
        <f t="shared" si="47"/>
        <v/>
      </c>
      <c r="AO83" s="72" t="str">
        <f t="shared" si="64"/>
        <v/>
      </c>
      <c r="AP83" s="39"/>
      <c r="AQ83" s="72" t="str">
        <f t="shared" si="48"/>
        <v/>
      </c>
      <c r="AR83" s="72" t="str">
        <f t="shared" si="65"/>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49"/>
        <v/>
      </c>
      <c r="AW83" s="72" t="str">
        <f t="shared" si="66"/>
        <v/>
      </c>
      <c r="AX83" s="39"/>
      <c r="AY83" s="40" t="str">
        <f>IF(ISERROR(IF($K83&lt;=$F$15,VLOOKUP($I83,'表4）CO2価格'!$A$7:$E$67,VLOOKUP($F$48,'表4）CO2価格'!$H$10:$I$12,2,0),0)*$F$8/1000,"")),0,IF($K83&lt;=$F$15,VLOOKUP($I83,'表4）CO2価格'!$A$7:$E$67,VLOOKUP($F$48,'表4）CO2価格'!$H$10:$I$12,2,0),0)*$F$8/1000,""))</f>
        <v/>
      </c>
      <c r="AZ83" s="39"/>
      <c r="BA83" s="42" t="str">
        <f t="shared" si="50"/>
        <v/>
      </c>
      <c r="BB83" s="72" t="str">
        <f t="shared" si="67"/>
        <v/>
      </c>
      <c r="BC83" s="39"/>
      <c r="BD83" s="72" t="str">
        <f t="shared" si="51"/>
        <v/>
      </c>
      <c r="BE83" s="72" t="str">
        <f t="shared" si="68"/>
        <v/>
      </c>
      <c r="BF83" s="39"/>
      <c r="BG83" s="42" t="str">
        <f t="shared" si="52"/>
        <v/>
      </c>
      <c r="BH83" s="72" t="str">
        <f t="shared" si="69"/>
        <v/>
      </c>
      <c r="BI83" s="39"/>
      <c r="BJ83" s="40" t="str">
        <f t="shared" si="70"/>
        <v/>
      </c>
      <c r="BK83" s="157" t="str">
        <f t="shared" si="71"/>
        <v/>
      </c>
      <c r="BL83" s="157" t="str">
        <f t="shared" si="53"/>
        <v/>
      </c>
      <c r="BM83" s="72"/>
      <c r="BN83" s="72" t="str">
        <f t="shared" si="72"/>
        <v/>
      </c>
      <c r="BO83" s="72" t="str">
        <f t="shared" si="73"/>
        <v/>
      </c>
      <c r="BP83" s="39"/>
      <c r="BQ83" s="72" t="str">
        <f t="shared" si="54"/>
        <v/>
      </c>
      <c r="BR83" s="72" t="str">
        <f t="shared" si="74"/>
        <v/>
      </c>
    </row>
    <row r="84" spans="4:70" x14ac:dyDescent="0.15">
      <c r="F84" s="487"/>
      <c r="I84" s="322">
        <f t="shared" si="75"/>
        <v>2089</v>
      </c>
      <c r="K84" s="71">
        <f t="shared" si="76"/>
        <v>70</v>
      </c>
      <c r="M84" s="7">
        <f t="shared" si="39"/>
        <v>0.12629735943783454</v>
      </c>
      <c r="O84" s="10" t="str">
        <f t="shared" si="55"/>
        <v/>
      </c>
      <c r="P84" s="29" t="str">
        <f t="shared" si="40"/>
        <v/>
      </c>
      <c r="R84" s="10" t="str">
        <f t="shared" si="56"/>
        <v/>
      </c>
      <c r="T84" s="10" t="str">
        <f t="shared" si="57"/>
        <v/>
      </c>
      <c r="V84" s="10" t="str">
        <f t="shared" si="41"/>
        <v/>
      </c>
      <c r="W84" s="10" t="str">
        <f t="shared" si="58"/>
        <v/>
      </c>
      <c r="Y84" s="10" t="str">
        <f t="shared" si="42"/>
        <v/>
      </c>
      <c r="Z84" s="10" t="str">
        <f t="shared" si="59"/>
        <v/>
      </c>
      <c r="AB84" s="10" t="str">
        <f t="shared" si="43"/>
        <v/>
      </c>
      <c r="AC84" s="10" t="str">
        <f t="shared" si="60"/>
        <v/>
      </c>
      <c r="AE84" s="10" t="str">
        <f t="shared" si="44"/>
        <v/>
      </c>
      <c r="AF84" s="10" t="str">
        <f t="shared" si="61"/>
        <v/>
      </c>
      <c r="AH84" s="10" t="str">
        <f t="shared" si="45"/>
        <v/>
      </c>
      <c r="AI84" s="10" t="str">
        <f t="shared" si="62"/>
        <v/>
      </c>
      <c r="AK84" s="10" t="str">
        <f t="shared" si="46"/>
        <v/>
      </c>
      <c r="AL84" s="10" t="str">
        <f t="shared" si="63"/>
        <v/>
      </c>
      <c r="AN84" s="10" t="str">
        <f t="shared" si="47"/>
        <v/>
      </c>
      <c r="AO84" s="10" t="str">
        <f t="shared" si="64"/>
        <v/>
      </c>
      <c r="AQ84" s="10" t="str">
        <f t="shared" si="48"/>
        <v/>
      </c>
      <c r="AR84" s="10" t="str">
        <f t="shared" si="65"/>
        <v/>
      </c>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V84" s="10" t="str">
        <f t="shared" si="49"/>
        <v/>
      </c>
      <c r="AW84" s="10" t="str">
        <f t="shared" si="66"/>
        <v/>
      </c>
      <c r="AY84" s="7" t="str">
        <f>IF(ISERROR(IF($K84&lt;=$F$15,VLOOKUP($I84,'表4）CO2価格'!$A$7:$E$67,VLOOKUP($F$48,'表4）CO2価格'!$H$10:$I$12,2,0),0)*$F$8/1000,"")),0,IF($K84&lt;=$F$15,VLOOKUP($I84,'表4）CO2価格'!$A$7:$E$67,VLOOKUP($F$48,'表4）CO2価格'!$H$10:$I$12,2,0),0)*$F$8/1000,""))</f>
        <v/>
      </c>
      <c r="BA84" s="11" t="str">
        <f t="shared" si="50"/>
        <v/>
      </c>
      <c r="BB84" s="10" t="str">
        <f t="shared" si="67"/>
        <v/>
      </c>
      <c r="BD84" s="10" t="str">
        <f t="shared" si="51"/>
        <v/>
      </c>
      <c r="BE84" s="10" t="str">
        <f t="shared" si="68"/>
        <v/>
      </c>
      <c r="BG84" s="11" t="str">
        <f t="shared" si="52"/>
        <v/>
      </c>
      <c r="BH84" s="10" t="str">
        <f t="shared" si="69"/>
        <v/>
      </c>
      <c r="BJ84" s="7" t="str">
        <f t="shared" si="70"/>
        <v/>
      </c>
      <c r="BK84" s="158" t="str">
        <f t="shared" si="71"/>
        <v/>
      </c>
      <c r="BL84" s="158" t="str">
        <f t="shared" si="53"/>
        <v/>
      </c>
      <c r="BM84" s="10"/>
      <c r="BN84" s="10" t="str">
        <f t="shared" si="72"/>
        <v/>
      </c>
      <c r="BO84" s="10" t="str">
        <f t="shared" si="73"/>
        <v/>
      </c>
      <c r="BQ84" s="10" t="str">
        <f t="shared" si="54"/>
        <v/>
      </c>
      <c r="BR84" s="10" t="str">
        <f t="shared" si="74"/>
        <v/>
      </c>
    </row>
    <row r="85" spans="4:70" x14ac:dyDescent="0.15">
      <c r="D85" s="100" t="s">
        <v>594</v>
      </c>
      <c r="E85" s="489"/>
      <c r="F85" s="486"/>
      <c r="G85" s="100"/>
      <c r="I85" s="38">
        <f t="shared" si="75"/>
        <v>2090</v>
      </c>
      <c r="J85" s="39"/>
      <c r="K85" s="39">
        <f t="shared" si="76"/>
        <v>71</v>
      </c>
      <c r="L85" s="39"/>
      <c r="M85" s="40">
        <f t="shared" si="39"/>
        <v>0.12261879557071313</v>
      </c>
      <c r="N85" s="39"/>
      <c r="O85" s="72" t="str">
        <f t="shared" si="55"/>
        <v/>
      </c>
      <c r="P85" s="41" t="str">
        <f t="shared" si="40"/>
        <v/>
      </c>
      <c r="Q85" s="39"/>
      <c r="R85" s="72" t="str">
        <f t="shared" si="56"/>
        <v/>
      </c>
      <c r="S85" s="39"/>
      <c r="T85" s="72" t="str">
        <f t="shared" si="57"/>
        <v/>
      </c>
      <c r="U85" s="39"/>
      <c r="V85" s="72" t="str">
        <f t="shared" si="41"/>
        <v/>
      </c>
      <c r="W85" s="72" t="str">
        <f t="shared" si="58"/>
        <v/>
      </c>
      <c r="X85" s="39"/>
      <c r="Y85" s="72" t="str">
        <f t="shared" si="42"/>
        <v/>
      </c>
      <c r="Z85" s="72" t="str">
        <f t="shared" si="59"/>
        <v/>
      </c>
      <c r="AA85" s="39"/>
      <c r="AB85" s="72" t="str">
        <f t="shared" si="43"/>
        <v/>
      </c>
      <c r="AC85" s="72" t="str">
        <f t="shared" si="60"/>
        <v/>
      </c>
      <c r="AD85" s="39"/>
      <c r="AE85" s="72" t="str">
        <f t="shared" si="44"/>
        <v/>
      </c>
      <c r="AF85" s="72" t="str">
        <f t="shared" si="61"/>
        <v/>
      </c>
      <c r="AG85" s="39"/>
      <c r="AH85" s="72" t="str">
        <f t="shared" si="45"/>
        <v/>
      </c>
      <c r="AI85" s="72" t="str">
        <f t="shared" si="62"/>
        <v/>
      </c>
      <c r="AJ85" s="39"/>
      <c r="AK85" s="72" t="str">
        <f t="shared" si="46"/>
        <v/>
      </c>
      <c r="AL85" s="72" t="str">
        <f t="shared" si="63"/>
        <v/>
      </c>
      <c r="AM85" s="39"/>
      <c r="AN85" s="72" t="str">
        <f t="shared" si="47"/>
        <v/>
      </c>
      <c r="AO85" s="72" t="str">
        <f t="shared" si="64"/>
        <v/>
      </c>
      <c r="AP85" s="39"/>
      <c r="AQ85" s="72" t="str">
        <f t="shared" si="48"/>
        <v/>
      </c>
      <c r="AR85" s="72" t="str">
        <f t="shared" si="65"/>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49"/>
        <v/>
      </c>
      <c r="AW85" s="72" t="str">
        <f t="shared" si="66"/>
        <v/>
      </c>
      <c r="AX85" s="39"/>
      <c r="AY85" s="40" t="str">
        <f>IF(ISERROR(IF($K85&lt;=$F$15,VLOOKUP($I85,'表4）CO2価格'!$A$7:$E$67,VLOOKUP($F$48,'表4）CO2価格'!$H$10:$I$12,2,0),0)*$F$8/1000,"")),0,IF($K85&lt;=$F$15,VLOOKUP($I85,'表4）CO2価格'!$A$7:$E$67,VLOOKUP($F$48,'表4）CO2価格'!$H$10:$I$12,2,0),0)*$F$8/1000,""))</f>
        <v/>
      </c>
      <c r="AZ85" s="39"/>
      <c r="BA85" s="42" t="str">
        <f t="shared" si="50"/>
        <v/>
      </c>
      <c r="BB85" s="72" t="str">
        <f t="shared" si="67"/>
        <v/>
      </c>
      <c r="BC85" s="39"/>
      <c r="BD85" s="72" t="str">
        <f t="shared" si="51"/>
        <v/>
      </c>
      <c r="BE85" s="72" t="str">
        <f t="shared" si="68"/>
        <v/>
      </c>
      <c r="BF85" s="39"/>
      <c r="BG85" s="42" t="str">
        <f t="shared" si="52"/>
        <v/>
      </c>
      <c r="BH85" s="72" t="str">
        <f t="shared" si="69"/>
        <v/>
      </c>
      <c r="BI85" s="39"/>
      <c r="BJ85" s="40" t="str">
        <f t="shared" si="70"/>
        <v/>
      </c>
      <c r="BK85" s="157" t="str">
        <f t="shared" si="71"/>
        <v/>
      </c>
      <c r="BL85" s="157" t="str">
        <f t="shared" si="53"/>
        <v/>
      </c>
      <c r="BM85" s="72"/>
      <c r="BN85" s="72" t="str">
        <f t="shared" si="72"/>
        <v/>
      </c>
      <c r="BO85" s="72" t="str">
        <f t="shared" si="73"/>
        <v/>
      </c>
      <c r="BP85" s="39"/>
      <c r="BQ85" s="72" t="str">
        <f t="shared" si="54"/>
        <v/>
      </c>
      <c r="BR85" s="72" t="str">
        <f t="shared" si="74"/>
        <v/>
      </c>
    </row>
    <row r="86" spans="4:70" x14ac:dyDescent="0.15">
      <c r="F86" s="487"/>
      <c r="I86" s="322">
        <f t="shared" si="75"/>
        <v>2091</v>
      </c>
      <c r="K86" s="71">
        <f t="shared" si="76"/>
        <v>72</v>
      </c>
      <c r="M86" s="7">
        <f t="shared" si="39"/>
        <v>0.1190473743404982</v>
      </c>
      <c r="O86" s="10" t="str">
        <f t="shared" si="55"/>
        <v/>
      </c>
      <c r="P86" s="29" t="str">
        <f t="shared" si="40"/>
        <v/>
      </c>
      <c r="R86" s="10" t="str">
        <f t="shared" si="56"/>
        <v/>
      </c>
      <c r="T86" s="10" t="str">
        <f t="shared" si="57"/>
        <v/>
      </c>
      <c r="V86" s="10" t="str">
        <f t="shared" si="41"/>
        <v/>
      </c>
      <c r="W86" s="10" t="str">
        <f t="shared" si="58"/>
        <v/>
      </c>
      <c r="Y86" s="10" t="str">
        <f t="shared" si="42"/>
        <v/>
      </c>
      <c r="Z86" s="10" t="str">
        <f t="shared" si="59"/>
        <v/>
      </c>
      <c r="AB86" s="10" t="str">
        <f t="shared" si="43"/>
        <v/>
      </c>
      <c r="AC86" s="10" t="str">
        <f t="shared" si="60"/>
        <v/>
      </c>
      <c r="AE86" s="10" t="str">
        <f t="shared" si="44"/>
        <v/>
      </c>
      <c r="AF86" s="10" t="str">
        <f t="shared" si="61"/>
        <v/>
      </c>
      <c r="AH86" s="10" t="str">
        <f t="shared" si="45"/>
        <v/>
      </c>
      <c r="AI86" s="10" t="str">
        <f t="shared" si="62"/>
        <v/>
      </c>
      <c r="AK86" s="10" t="str">
        <f t="shared" si="46"/>
        <v/>
      </c>
      <c r="AL86" s="10" t="str">
        <f t="shared" si="63"/>
        <v/>
      </c>
      <c r="AN86" s="10" t="str">
        <f t="shared" si="47"/>
        <v/>
      </c>
      <c r="AO86" s="10" t="str">
        <f t="shared" si="64"/>
        <v/>
      </c>
      <c r="AQ86" s="10" t="str">
        <f t="shared" si="48"/>
        <v/>
      </c>
      <c r="AR86" s="10" t="str">
        <f t="shared" si="65"/>
        <v/>
      </c>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V86" s="10" t="str">
        <f t="shared" si="49"/>
        <v/>
      </c>
      <c r="AW86" s="10" t="str">
        <f t="shared" si="66"/>
        <v/>
      </c>
      <c r="AY86" s="7" t="str">
        <f>IF(ISERROR(IF($K86&lt;=$F$15,VLOOKUP($I86,'表4）CO2価格'!$A$7:$E$67,VLOOKUP($F$48,'表4）CO2価格'!$H$10:$I$12,2,0),0)*$F$8/1000,"")),0,IF($K86&lt;=$F$15,VLOOKUP($I86,'表4）CO2価格'!$A$7:$E$67,VLOOKUP($F$48,'表4）CO2価格'!$H$10:$I$12,2,0),0)*$F$8/1000,""))</f>
        <v/>
      </c>
      <c r="BA86" s="11" t="str">
        <f t="shared" si="50"/>
        <v/>
      </c>
      <c r="BB86" s="10" t="str">
        <f t="shared" si="67"/>
        <v/>
      </c>
      <c r="BD86" s="10" t="str">
        <f t="shared" si="51"/>
        <v/>
      </c>
      <c r="BE86" s="10" t="str">
        <f t="shared" si="68"/>
        <v/>
      </c>
      <c r="BG86" s="11" t="str">
        <f t="shared" si="52"/>
        <v/>
      </c>
      <c r="BH86" s="10" t="str">
        <f t="shared" si="69"/>
        <v/>
      </c>
      <c r="BJ86" s="7" t="str">
        <f t="shared" si="70"/>
        <v/>
      </c>
      <c r="BK86" s="158" t="str">
        <f t="shared" si="71"/>
        <v/>
      </c>
      <c r="BL86" s="158" t="str">
        <f t="shared" si="53"/>
        <v/>
      </c>
      <c r="BM86" s="10"/>
      <c r="BN86" s="10" t="str">
        <f t="shared" si="72"/>
        <v/>
      </c>
      <c r="BO86" s="10" t="str">
        <f t="shared" si="73"/>
        <v/>
      </c>
      <c r="BQ86" s="10" t="str">
        <f t="shared" si="54"/>
        <v/>
      </c>
      <c r="BR86" s="10" t="str">
        <f t="shared" si="74"/>
        <v/>
      </c>
    </row>
    <row r="87" spans="4:70" x14ac:dyDescent="0.15">
      <c r="E87" s="84" t="s">
        <v>141</v>
      </c>
      <c r="F87" s="488">
        <f>AI116/$BR$116</f>
        <v>2.9608540707732018</v>
      </c>
      <c r="G87" s="84" t="s">
        <v>590</v>
      </c>
      <c r="I87" s="38">
        <f t="shared" si="75"/>
        <v>2092</v>
      </c>
      <c r="J87" s="39"/>
      <c r="K87" s="39">
        <f t="shared" si="76"/>
        <v>73</v>
      </c>
      <c r="L87" s="39"/>
      <c r="M87" s="40">
        <f t="shared" si="39"/>
        <v>0.11557997508786232</v>
      </c>
      <c r="N87" s="39"/>
      <c r="O87" s="72" t="str">
        <f t="shared" si="55"/>
        <v/>
      </c>
      <c r="P87" s="41" t="str">
        <f t="shared" si="40"/>
        <v/>
      </c>
      <c r="Q87" s="39"/>
      <c r="R87" s="72" t="str">
        <f t="shared" si="56"/>
        <v/>
      </c>
      <c r="S87" s="39"/>
      <c r="T87" s="72" t="str">
        <f t="shared" si="57"/>
        <v/>
      </c>
      <c r="U87" s="39"/>
      <c r="V87" s="72" t="str">
        <f t="shared" si="41"/>
        <v/>
      </c>
      <c r="W87" s="72" t="str">
        <f t="shared" si="58"/>
        <v/>
      </c>
      <c r="X87" s="39"/>
      <c r="Y87" s="72" t="str">
        <f t="shared" si="42"/>
        <v/>
      </c>
      <c r="Z87" s="72" t="str">
        <f t="shared" si="59"/>
        <v/>
      </c>
      <c r="AA87" s="39"/>
      <c r="AB87" s="72" t="str">
        <f t="shared" si="43"/>
        <v/>
      </c>
      <c r="AC87" s="72" t="str">
        <f t="shared" si="60"/>
        <v/>
      </c>
      <c r="AD87" s="39"/>
      <c r="AE87" s="72" t="str">
        <f t="shared" si="44"/>
        <v/>
      </c>
      <c r="AF87" s="72" t="str">
        <f t="shared" si="61"/>
        <v/>
      </c>
      <c r="AG87" s="39"/>
      <c r="AH87" s="72" t="str">
        <f t="shared" si="45"/>
        <v/>
      </c>
      <c r="AI87" s="72" t="str">
        <f t="shared" si="62"/>
        <v/>
      </c>
      <c r="AJ87" s="39"/>
      <c r="AK87" s="72" t="str">
        <f t="shared" si="46"/>
        <v/>
      </c>
      <c r="AL87" s="72" t="str">
        <f t="shared" si="63"/>
        <v/>
      </c>
      <c r="AM87" s="39"/>
      <c r="AN87" s="72" t="str">
        <f t="shared" si="47"/>
        <v/>
      </c>
      <c r="AO87" s="72" t="str">
        <f t="shared" si="64"/>
        <v/>
      </c>
      <c r="AP87" s="39"/>
      <c r="AQ87" s="72" t="str">
        <f t="shared" si="48"/>
        <v/>
      </c>
      <c r="AR87" s="72" t="str">
        <f t="shared" si="65"/>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49"/>
        <v/>
      </c>
      <c r="AW87" s="72" t="str">
        <f t="shared" si="66"/>
        <v/>
      </c>
      <c r="AX87" s="39"/>
      <c r="AY87" s="40" t="str">
        <f>IF(ISERROR(IF($K87&lt;=$F$15,VLOOKUP($I87,'表4）CO2価格'!$A$7:$E$67,VLOOKUP($F$48,'表4）CO2価格'!$H$10:$I$12,2,0),0)*$F$8/1000,"")),0,IF($K87&lt;=$F$15,VLOOKUP($I87,'表4）CO2価格'!$A$7:$E$67,VLOOKUP($F$48,'表4）CO2価格'!$H$10:$I$12,2,0),0)*$F$8/1000,""))</f>
        <v/>
      </c>
      <c r="AZ87" s="39"/>
      <c r="BA87" s="42" t="str">
        <f t="shared" si="50"/>
        <v/>
      </c>
      <c r="BB87" s="72" t="str">
        <f t="shared" si="67"/>
        <v/>
      </c>
      <c r="BC87" s="39"/>
      <c r="BD87" s="72" t="str">
        <f t="shared" si="51"/>
        <v/>
      </c>
      <c r="BE87" s="72" t="str">
        <f t="shared" si="68"/>
        <v/>
      </c>
      <c r="BF87" s="39"/>
      <c r="BG87" s="42" t="str">
        <f t="shared" si="52"/>
        <v/>
      </c>
      <c r="BH87" s="72" t="str">
        <f t="shared" si="69"/>
        <v/>
      </c>
      <c r="BI87" s="39"/>
      <c r="BJ87" s="40" t="str">
        <f t="shared" si="70"/>
        <v/>
      </c>
      <c r="BK87" s="157" t="str">
        <f t="shared" si="71"/>
        <v/>
      </c>
      <c r="BL87" s="157" t="str">
        <f t="shared" si="53"/>
        <v/>
      </c>
      <c r="BM87" s="72"/>
      <c r="BN87" s="72" t="str">
        <f t="shared" si="72"/>
        <v/>
      </c>
      <c r="BO87" s="72" t="str">
        <f t="shared" si="73"/>
        <v/>
      </c>
      <c r="BP87" s="39"/>
      <c r="BQ87" s="72" t="str">
        <f t="shared" si="54"/>
        <v/>
      </c>
      <c r="BR87" s="72" t="str">
        <f t="shared" si="74"/>
        <v/>
      </c>
    </row>
    <row r="88" spans="4:70" x14ac:dyDescent="0.15">
      <c r="E88" s="84" t="s">
        <v>120</v>
      </c>
      <c r="F88" s="488">
        <f>AL116/$BR$116</f>
        <v>0</v>
      </c>
      <c r="G88" s="84" t="s">
        <v>590</v>
      </c>
      <c r="I88" s="322">
        <f t="shared" si="75"/>
        <v>2093</v>
      </c>
      <c r="K88" s="71">
        <f t="shared" si="76"/>
        <v>74</v>
      </c>
      <c r="M88" s="7">
        <f t="shared" si="39"/>
        <v>0.11221356804646829</v>
      </c>
      <c r="O88" s="10" t="str">
        <f t="shared" si="55"/>
        <v/>
      </c>
      <c r="P88" s="29" t="str">
        <f t="shared" si="40"/>
        <v/>
      </c>
      <c r="R88" s="10" t="str">
        <f t="shared" si="56"/>
        <v/>
      </c>
      <c r="T88" s="10" t="str">
        <f t="shared" si="57"/>
        <v/>
      </c>
      <c r="V88" s="10" t="str">
        <f t="shared" si="41"/>
        <v/>
      </c>
      <c r="W88" s="10" t="str">
        <f t="shared" si="58"/>
        <v/>
      </c>
      <c r="Y88" s="10" t="str">
        <f t="shared" si="42"/>
        <v/>
      </c>
      <c r="Z88" s="10" t="str">
        <f t="shared" si="59"/>
        <v/>
      </c>
      <c r="AB88" s="10" t="str">
        <f t="shared" si="43"/>
        <v/>
      </c>
      <c r="AC88" s="10" t="str">
        <f t="shared" si="60"/>
        <v/>
      </c>
      <c r="AE88" s="10" t="str">
        <f t="shared" si="44"/>
        <v/>
      </c>
      <c r="AF88" s="10" t="str">
        <f t="shared" si="61"/>
        <v/>
      </c>
      <c r="AH88" s="10" t="str">
        <f t="shared" si="45"/>
        <v/>
      </c>
      <c r="AI88" s="10" t="str">
        <f t="shared" si="62"/>
        <v/>
      </c>
      <c r="AK88" s="10" t="str">
        <f t="shared" si="46"/>
        <v/>
      </c>
      <c r="AL88" s="10" t="str">
        <f t="shared" si="63"/>
        <v/>
      </c>
      <c r="AN88" s="10" t="str">
        <f t="shared" si="47"/>
        <v/>
      </c>
      <c r="AO88" s="10" t="str">
        <f t="shared" si="64"/>
        <v/>
      </c>
      <c r="AQ88" s="10" t="str">
        <f t="shared" si="48"/>
        <v/>
      </c>
      <c r="AR88" s="10" t="str">
        <f t="shared" si="65"/>
        <v/>
      </c>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V88" s="10" t="str">
        <f t="shared" si="49"/>
        <v/>
      </c>
      <c r="AW88" s="10" t="str">
        <f t="shared" si="66"/>
        <v/>
      </c>
      <c r="AY88" s="7" t="str">
        <f>IF(ISERROR(IF($K88&lt;=$F$15,VLOOKUP($I88,'表4）CO2価格'!$A$7:$E$67,VLOOKUP($F$48,'表4）CO2価格'!$H$10:$I$12,2,0),0)*$F$8/1000,"")),0,IF($K88&lt;=$F$15,VLOOKUP($I88,'表4）CO2価格'!$A$7:$E$67,VLOOKUP($F$48,'表4）CO2価格'!$H$10:$I$12,2,0),0)*$F$8/1000,""))</f>
        <v/>
      </c>
      <c r="BA88" s="11" t="str">
        <f t="shared" si="50"/>
        <v/>
      </c>
      <c r="BB88" s="10" t="str">
        <f t="shared" si="67"/>
        <v/>
      </c>
      <c r="BD88" s="10" t="str">
        <f t="shared" si="51"/>
        <v/>
      </c>
      <c r="BE88" s="10" t="str">
        <f t="shared" si="68"/>
        <v/>
      </c>
      <c r="BG88" s="11" t="str">
        <f t="shared" si="52"/>
        <v/>
      </c>
      <c r="BH88" s="10" t="str">
        <f t="shared" si="69"/>
        <v/>
      </c>
      <c r="BJ88" s="7" t="str">
        <f t="shared" si="70"/>
        <v/>
      </c>
      <c r="BK88" s="158" t="str">
        <f t="shared" si="71"/>
        <v/>
      </c>
      <c r="BL88" s="158" t="str">
        <f t="shared" si="53"/>
        <v/>
      </c>
      <c r="BM88" s="10"/>
      <c r="BN88" s="10" t="str">
        <f t="shared" si="72"/>
        <v/>
      </c>
      <c r="BO88" s="10" t="str">
        <f t="shared" si="73"/>
        <v/>
      </c>
      <c r="BQ88" s="10" t="str">
        <f t="shared" si="54"/>
        <v/>
      </c>
      <c r="BR88" s="10" t="str">
        <f t="shared" si="74"/>
        <v/>
      </c>
    </row>
    <row r="89" spans="4:70" x14ac:dyDescent="0.15">
      <c r="E89" s="84" t="s">
        <v>122</v>
      </c>
      <c r="F89" s="488">
        <f>AO116/$BR$116</f>
        <v>0</v>
      </c>
      <c r="G89" s="84" t="s">
        <v>590</v>
      </c>
      <c r="I89" s="38">
        <f t="shared" si="75"/>
        <v>2094</v>
      </c>
      <c r="J89" s="39"/>
      <c r="K89" s="39">
        <f t="shared" si="76"/>
        <v>75</v>
      </c>
      <c r="L89" s="39"/>
      <c r="M89" s="40">
        <f t="shared" si="39"/>
        <v>0.10894521169560026</v>
      </c>
      <c r="N89" s="39"/>
      <c r="O89" s="72" t="str">
        <f t="shared" si="55"/>
        <v/>
      </c>
      <c r="P89" s="41" t="str">
        <f t="shared" si="40"/>
        <v/>
      </c>
      <c r="Q89" s="39"/>
      <c r="R89" s="72" t="str">
        <f t="shared" si="56"/>
        <v/>
      </c>
      <c r="S89" s="39"/>
      <c r="T89" s="72" t="str">
        <f t="shared" si="57"/>
        <v/>
      </c>
      <c r="U89" s="39"/>
      <c r="V89" s="72" t="str">
        <f t="shared" si="41"/>
        <v/>
      </c>
      <c r="W89" s="72" t="str">
        <f t="shared" si="58"/>
        <v/>
      </c>
      <c r="X89" s="39"/>
      <c r="Y89" s="72" t="str">
        <f t="shared" si="42"/>
        <v/>
      </c>
      <c r="Z89" s="72" t="str">
        <f t="shared" si="59"/>
        <v/>
      </c>
      <c r="AA89" s="39"/>
      <c r="AB89" s="72" t="str">
        <f t="shared" si="43"/>
        <v/>
      </c>
      <c r="AC89" s="72" t="str">
        <f t="shared" si="60"/>
        <v/>
      </c>
      <c r="AD89" s="39"/>
      <c r="AE89" s="72" t="str">
        <f t="shared" si="44"/>
        <v/>
      </c>
      <c r="AF89" s="72" t="str">
        <f t="shared" si="61"/>
        <v/>
      </c>
      <c r="AG89" s="39"/>
      <c r="AH89" s="72" t="str">
        <f t="shared" si="45"/>
        <v/>
      </c>
      <c r="AI89" s="72" t="str">
        <f t="shared" si="62"/>
        <v/>
      </c>
      <c r="AJ89" s="39"/>
      <c r="AK89" s="72" t="str">
        <f t="shared" si="46"/>
        <v/>
      </c>
      <c r="AL89" s="72" t="str">
        <f t="shared" si="63"/>
        <v/>
      </c>
      <c r="AM89" s="39"/>
      <c r="AN89" s="72" t="str">
        <f t="shared" si="47"/>
        <v/>
      </c>
      <c r="AO89" s="72" t="str">
        <f t="shared" si="64"/>
        <v/>
      </c>
      <c r="AP89" s="39"/>
      <c r="AQ89" s="72" t="str">
        <f t="shared" si="48"/>
        <v/>
      </c>
      <c r="AR89" s="72" t="str">
        <f t="shared" si="65"/>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49"/>
        <v/>
      </c>
      <c r="AW89" s="72" t="str">
        <f t="shared" si="66"/>
        <v/>
      </c>
      <c r="AX89" s="39"/>
      <c r="AY89" s="40" t="str">
        <f>IF(ISERROR(IF($K89&lt;=$F$15,VLOOKUP($I89,'表4）CO2価格'!$A$7:$E$67,VLOOKUP($F$48,'表4）CO2価格'!$H$10:$I$12,2,0),0)*$F$8/1000,"")),0,IF($K89&lt;=$F$15,VLOOKUP($I89,'表4）CO2価格'!$A$7:$E$67,VLOOKUP($F$48,'表4）CO2価格'!$H$10:$I$12,2,0),0)*$F$8/1000,""))</f>
        <v/>
      </c>
      <c r="AZ89" s="39"/>
      <c r="BA89" s="42" t="str">
        <f t="shared" si="50"/>
        <v/>
      </c>
      <c r="BB89" s="72" t="str">
        <f t="shared" si="67"/>
        <v/>
      </c>
      <c r="BC89" s="39"/>
      <c r="BD89" s="72" t="str">
        <f t="shared" si="51"/>
        <v/>
      </c>
      <c r="BE89" s="72" t="str">
        <f t="shared" si="68"/>
        <v/>
      </c>
      <c r="BF89" s="39"/>
      <c r="BG89" s="42" t="str">
        <f t="shared" si="52"/>
        <v/>
      </c>
      <c r="BH89" s="72" t="str">
        <f t="shared" si="69"/>
        <v/>
      </c>
      <c r="BI89" s="39"/>
      <c r="BJ89" s="40" t="str">
        <f t="shared" si="70"/>
        <v/>
      </c>
      <c r="BK89" s="157" t="str">
        <f t="shared" si="71"/>
        <v/>
      </c>
      <c r="BL89" s="157" t="str">
        <f t="shared" si="53"/>
        <v/>
      </c>
      <c r="BM89" s="72"/>
      <c r="BN89" s="72" t="str">
        <f t="shared" si="72"/>
        <v/>
      </c>
      <c r="BO89" s="72" t="str">
        <f t="shared" si="73"/>
        <v/>
      </c>
      <c r="BP89" s="39"/>
      <c r="BQ89" s="72" t="str">
        <f t="shared" si="54"/>
        <v/>
      </c>
      <c r="BR89" s="72" t="str">
        <f t="shared" si="74"/>
        <v/>
      </c>
    </row>
    <row r="90" spans="4:70" x14ac:dyDescent="0.15">
      <c r="E90" s="84" t="s">
        <v>142</v>
      </c>
      <c r="F90" s="488">
        <f>AR116/$BR$116</f>
        <v>0</v>
      </c>
      <c r="G90" s="84" t="s">
        <v>590</v>
      </c>
      <c r="I90" s="322">
        <f t="shared" si="75"/>
        <v>2095</v>
      </c>
      <c r="K90" s="71">
        <f t="shared" si="76"/>
        <v>76</v>
      </c>
      <c r="M90" s="7">
        <f t="shared" si="39"/>
        <v>0.10577205018990318</v>
      </c>
      <c r="O90" s="10" t="str">
        <f t="shared" si="55"/>
        <v/>
      </c>
      <c r="P90" s="29" t="str">
        <f t="shared" si="40"/>
        <v/>
      </c>
      <c r="R90" s="10" t="str">
        <f t="shared" si="56"/>
        <v/>
      </c>
      <c r="T90" s="10" t="str">
        <f t="shared" si="57"/>
        <v/>
      </c>
      <c r="V90" s="10" t="str">
        <f t="shared" si="41"/>
        <v/>
      </c>
      <c r="W90" s="10" t="str">
        <f t="shared" si="58"/>
        <v/>
      </c>
      <c r="Y90" s="10" t="str">
        <f t="shared" si="42"/>
        <v/>
      </c>
      <c r="Z90" s="10" t="str">
        <f t="shared" si="59"/>
        <v/>
      </c>
      <c r="AB90" s="10" t="str">
        <f t="shared" si="43"/>
        <v/>
      </c>
      <c r="AC90" s="10" t="str">
        <f t="shared" si="60"/>
        <v/>
      </c>
      <c r="AE90" s="10" t="str">
        <f t="shared" si="44"/>
        <v/>
      </c>
      <c r="AF90" s="10" t="str">
        <f t="shared" si="61"/>
        <v/>
      </c>
      <c r="AH90" s="10" t="str">
        <f t="shared" si="45"/>
        <v/>
      </c>
      <c r="AI90" s="10" t="str">
        <f t="shared" si="62"/>
        <v/>
      </c>
      <c r="AK90" s="10" t="str">
        <f t="shared" si="46"/>
        <v/>
      </c>
      <c r="AL90" s="10" t="str">
        <f t="shared" si="63"/>
        <v/>
      </c>
      <c r="AN90" s="10" t="str">
        <f t="shared" si="47"/>
        <v/>
      </c>
      <c r="AO90" s="10" t="str">
        <f t="shared" si="64"/>
        <v/>
      </c>
      <c r="AQ90" s="10" t="str">
        <f t="shared" si="48"/>
        <v/>
      </c>
      <c r="AR90" s="10" t="str">
        <f t="shared" si="65"/>
        <v/>
      </c>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V90" s="10" t="str">
        <f t="shared" si="49"/>
        <v/>
      </c>
      <c r="AW90" s="10" t="str">
        <f t="shared" si="66"/>
        <v/>
      </c>
      <c r="AY90" s="7" t="str">
        <f>IF(ISERROR(IF($K90&lt;=$F$15,VLOOKUP($I90,'表4）CO2価格'!$A$7:$E$67,VLOOKUP($F$48,'表4）CO2価格'!$H$10:$I$12,2,0),0)*$F$8/1000,"")),0,IF($K90&lt;=$F$15,VLOOKUP($I90,'表4）CO2価格'!$A$7:$E$67,VLOOKUP($F$48,'表4）CO2価格'!$H$10:$I$12,2,0),0)*$F$8/1000,""))</f>
        <v/>
      </c>
      <c r="BA90" s="11" t="str">
        <f t="shared" si="50"/>
        <v/>
      </c>
      <c r="BB90" s="10" t="str">
        <f t="shared" si="67"/>
        <v/>
      </c>
      <c r="BD90" s="10" t="str">
        <f t="shared" si="51"/>
        <v/>
      </c>
      <c r="BE90" s="10" t="str">
        <f t="shared" si="68"/>
        <v/>
      </c>
      <c r="BG90" s="11" t="str">
        <f t="shared" si="52"/>
        <v/>
      </c>
      <c r="BH90" s="10" t="str">
        <f t="shared" si="69"/>
        <v/>
      </c>
      <c r="BJ90" s="7" t="str">
        <f t="shared" si="70"/>
        <v/>
      </c>
      <c r="BK90" s="158" t="str">
        <f t="shared" si="71"/>
        <v/>
      </c>
      <c r="BL90" s="158" t="str">
        <f t="shared" si="53"/>
        <v/>
      </c>
      <c r="BM90" s="10"/>
      <c r="BN90" s="10" t="str">
        <f t="shared" si="72"/>
        <v/>
      </c>
      <c r="BO90" s="10" t="str">
        <f t="shared" si="73"/>
        <v/>
      </c>
      <c r="BQ90" s="10" t="str">
        <f t="shared" si="54"/>
        <v/>
      </c>
      <c r="BR90" s="10" t="str">
        <f t="shared" si="74"/>
        <v/>
      </c>
    </row>
    <row r="91" spans="4:70" x14ac:dyDescent="0.15">
      <c r="F91" s="487"/>
      <c r="I91" s="38">
        <f t="shared" si="75"/>
        <v>2096</v>
      </c>
      <c r="J91" s="39"/>
      <c r="K91" s="39">
        <f t="shared" si="76"/>
        <v>77</v>
      </c>
      <c r="L91" s="39"/>
      <c r="M91" s="40">
        <f t="shared" si="39"/>
        <v>0.10269131086398368</v>
      </c>
      <c r="N91" s="39"/>
      <c r="O91" s="72" t="str">
        <f t="shared" si="55"/>
        <v/>
      </c>
      <c r="P91" s="41" t="str">
        <f t="shared" si="40"/>
        <v/>
      </c>
      <c r="Q91" s="39"/>
      <c r="R91" s="72" t="str">
        <f t="shared" si="56"/>
        <v/>
      </c>
      <c r="S91" s="39"/>
      <c r="T91" s="72" t="str">
        <f t="shared" si="57"/>
        <v/>
      </c>
      <c r="U91" s="39"/>
      <c r="V91" s="72" t="str">
        <f t="shared" si="41"/>
        <v/>
      </c>
      <c r="W91" s="72" t="str">
        <f t="shared" si="58"/>
        <v/>
      </c>
      <c r="X91" s="39"/>
      <c r="Y91" s="72" t="str">
        <f t="shared" si="42"/>
        <v/>
      </c>
      <c r="Z91" s="72" t="str">
        <f t="shared" si="59"/>
        <v/>
      </c>
      <c r="AA91" s="39"/>
      <c r="AB91" s="72" t="str">
        <f t="shared" si="43"/>
        <v/>
      </c>
      <c r="AC91" s="72" t="str">
        <f t="shared" si="60"/>
        <v/>
      </c>
      <c r="AD91" s="39"/>
      <c r="AE91" s="72" t="str">
        <f t="shared" si="44"/>
        <v/>
      </c>
      <c r="AF91" s="72" t="str">
        <f t="shared" si="61"/>
        <v/>
      </c>
      <c r="AG91" s="39"/>
      <c r="AH91" s="72" t="str">
        <f t="shared" si="45"/>
        <v/>
      </c>
      <c r="AI91" s="72" t="str">
        <f t="shared" si="62"/>
        <v/>
      </c>
      <c r="AJ91" s="39"/>
      <c r="AK91" s="72" t="str">
        <f t="shared" si="46"/>
        <v/>
      </c>
      <c r="AL91" s="72" t="str">
        <f t="shared" si="63"/>
        <v/>
      </c>
      <c r="AM91" s="39"/>
      <c r="AN91" s="72" t="str">
        <f t="shared" si="47"/>
        <v/>
      </c>
      <c r="AO91" s="72" t="str">
        <f t="shared" si="64"/>
        <v/>
      </c>
      <c r="AP91" s="39"/>
      <c r="AQ91" s="72" t="str">
        <f t="shared" si="48"/>
        <v/>
      </c>
      <c r="AR91" s="72" t="str">
        <f t="shared" si="65"/>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49"/>
        <v/>
      </c>
      <c r="AW91" s="72" t="str">
        <f t="shared" si="66"/>
        <v/>
      </c>
      <c r="AX91" s="39"/>
      <c r="AY91" s="40" t="str">
        <f>IF(ISERROR(IF($K91&lt;=$F$15,VLOOKUP($I91,'表4）CO2価格'!$A$7:$E$67,VLOOKUP($F$48,'表4）CO2価格'!$H$10:$I$12,2,0),0)*$F$8/1000,"")),0,IF($K91&lt;=$F$15,VLOOKUP($I91,'表4）CO2価格'!$A$7:$E$67,VLOOKUP($F$48,'表4）CO2価格'!$H$10:$I$12,2,0),0)*$F$8/1000,""))</f>
        <v/>
      </c>
      <c r="AZ91" s="39"/>
      <c r="BA91" s="42" t="str">
        <f t="shared" si="50"/>
        <v/>
      </c>
      <c r="BB91" s="72" t="str">
        <f t="shared" si="67"/>
        <v/>
      </c>
      <c r="BC91" s="39"/>
      <c r="BD91" s="72" t="str">
        <f t="shared" si="51"/>
        <v/>
      </c>
      <c r="BE91" s="72" t="str">
        <f t="shared" si="68"/>
        <v/>
      </c>
      <c r="BF91" s="39"/>
      <c r="BG91" s="42" t="str">
        <f t="shared" si="52"/>
        <v/>
      </c>
      <c r="BH91" s="72" t="str">
        <f t="shared" si="69"/>
        <v/>
      </c>
      <c r="BI91" s="39"/>
      <c r="BJ91" s="40" t="str">
        <f t="shared" si="70"/>
        <v/>
      </c>
      <c r="BK91" s="157" t="str">
        <f t="shared" si="71"/>
        <v/>
      </c>
      <c r="BL91" s="157" t="str">
        <f t="shared" si="53"/>
        <v/>
      </c>
      <c r="BM91" s="72"/>
      <c r="BN91" s="72" t="str">
        <f t="shared" si="72"/>
        <v/>
      </c>
      <c r="BO91" s="72" t="str">
        <f t="shared" si="73"/>
        <v/>
      </c>
      <c r="BP91" s="39"/>
      <c r="BQ91" s="72" t="str">
        <f t="shared" si="54"/>
        <v/>
      </c>
      <c r="BR91" s="72" t="str">
        <f t="shared" si="74"/>
        <v/>
      </c>
    </row>
    <row r="92" spans="4:70" ht="15" x14ac:dyDescent="0.15">
      <c r="D92" s="103" t="s">
        <v>595</v>
      </c>
      <c r="F92" s="484">
        <f>SUBTOTAL(9,F96:F97)</f>
        <v>0</v>
      </c>
      <c r="I92" s="322">
        <f t="shared" si="75"/>
        <v>2097</v>
      </c>
      <c r="K92" s="71">
        <f t="shared" si="76"/>
        <v>78</v>
      </c>
      <c r="M92" s="7">
        <f t="shared" si="39"/>
        <v>9.9700301809692873E-2</v>
      </c>
      <c r="O92" s="10" t="str">
        <f t="shared" si="55"/>
        <v/>
      </c>
      <c r="P92" s="29" t="str">
        <f t="shared" si="40"/>
        <v/>
      </c>
      <c r="R92" s="10" t="str">
        <f t="shared" si="56"/>
        <v/>
      </c>
      <c r="T92" s="10" t="str">
        <f t="shared" si="57"/>
        <v/>
      </c>
      <c r="V92" s="10" t="str">
        <f t="shared" si="41"/>
        <v/>
      </c>
      <c r="W92" s="10" t="str">
        <f t="shared" si="58"/>
        <v/>
      </c>
      <c r="Y92" s="10" t="str">
        <f t="shared" si="42"/>
        <v/>
      </c>
      <c r="Z92" s="10" t="str">
        <f t="shared" si="59"/>
        <v/>
      </c>
      <c r="AB92" s="10" t="str">
        <f t="shared" si="43"/>
        <v/>
      </c>
      <c r="AC92" s="10" t="str">
        <f t="shared" si="60"/>
        <v/>
      </c>
      <c r="AE92" s="10" t="str">
        <f t="shared" si="44"/>
        <v/>
      </c>
      <c r="AF92" s="10" t="str">
        <f t="shared" si="61"/>
        <v/>
      </c>
      <c r="AH92" s="10" t="str">
        <f t="shared" si="45"/>
        <v/>
      </c>
      <c r="AI92" s="10" t="str">
        <f t="shared" si="62"/>
        <v/>
      </c>
      <c r="AK92" s="10" t="str">
        <f t="shared" si="46"/>
        <v/>
      </c>
      <c r="AL92" s="10" t="str">
        <f t="shared" si="63"/>
        <v/>
      </c>
      <c r="AN92" s="10" t="str">
        <f t="shared" si="47"/>
        <v/>
      </c>
      <c r="AO92" s="10" t="str">
        <f t="shared" si="64"/>
        <v/>
      </c>
      <c r="AQ92" s="10" t="str">
        <f t="shared" si="48"/>
        <v/>
      </c>
      <c r="AR92" s="10" t="str">
        <f t="shared" si="65"/>
        <v/>
      </c>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V92" s="10" t="str">
        <f t="shared" si="49"/>
        <v/>
      </c>
      <c r="AW92" s="10" t="str">
        <f t="shared" si="66"/>
        <v/>
      </c>
      <c r="AY92" s="7" t="str">
        <f>IF(ISERROR(IF($K92&lt;=$F$15,VLOOKUP($I92,'表4）CO2価格'!$A$7:$E$67,VLOOKUP($F$48,'表4）CO2価格'!$H$10:$I$12,2,0),0)*$F$8/1000,"")),0,IF($K92&lt;=$F$15,VLOOKUP($I92,'表4）CO2価格'!$A$7:$E$67,VLOOKUP($F$48,'表4）CO2価格'!$H$10:$I$12,2,0),0)*$F$8/1000,""))</f>
        <v/>
      </c>
      <c r="BA92" s="11" t="str">
        <f t="shared" si="50"/>
        <v/>
      </c>
      <c r="BB92" s="10" t="str">
        <f t="shared" si="67"/>
        <v/>
      </c>
      <c r="BD92" s="10" t="str">
        <f t="shared" si="51"/>
        <v/>
      </c>
      <c r="BE92" s="10" t="str">
        <f t="shared" si="68"/>
        <v/>
      </c>
      <c r="BG92" s="11" t="str">
        <f t="shared" si="52"/>
        <v/>
      </c>
      <c r="BH92" s="10" t="str">
        <f t="shared" si="69"/>
        <v/>
      </c>
      <c r="BJ92" s="7" t="str">
        <f t="shared" si="70"/>
        <v/>
      </c>
      <c r="BK92" s="158" t="str">
        <f t="shared" si="71"/>
        <v/>
      </c>
      <c r="BL92" s="158" t="str">
        <f t="shared" si="53"/>
        <v/>
      </c>
      <c r="BM92" s="10"/>
      <c r="BN92" s="10" t="str">
        <f t="shared" si="72"/>
        <v/>
      </c>
      <c r="BO92" s="10" t="str">
        <f t="shared" si="73"/>
        <v/>
      </c>
      <c r="BQ92" s="10" t="str">
        <f t="shared" si="54"/>
        <v/>
      </c>
      <c r="BR92" s="10" t="str">
        <f t="shared" si="74"/>
        <v/>
      </c>
    </row>
    <row r="93" spans="4:70" ht="15" x14ac:dyDescent="0.15">
      <c r="D93" s="103"/>
      <c r="F93" s="487"/>
      <c r="I93" s="38">
        <f t="shared" si="75"/>
        <v>2098</v>
      </c>
      <c r="J93" s="39"/>
      <c r="K93" s="39">
        <f t="shared" si="76"/>
        <v>79</v>
      </c>
      <c r="L93" s="39"/>
      <c r="M93" s="40">
        <f t="shared" si="39"/>
        <v>9.679640952397367E-2</v>
      </c>
      <c r="N93" s="39"/>
      <c r="O93" s="72" t="str">
        <f t="shared" si="55"/>
        <v/>
      </c>
      <c r="P93" s="41" t="str">
        <f t="shared" si="40"/>
        <v/>
      </c>
      <c r="Q93" s="39"/>
      <c r="R93" s="72" t="str">
        <f t="shared" si="56"/>
        <v/>
      </c>
      <c r="S93" s="39"/>
      <c r="T93" s="72" t="str">
        <f t="shared" si="57"/>
        <v/>
      </c>
      <c r="U93" s="39"/>
      <c r="V93" s="72" t="str">
        <f t="shared" si="41"/>
        <v/>
      </c>
      <c r="W93" s="72" t="str">
        <f t="shared" si="58"/>
        <v/>
      </c>
      <c r="X93" s="39"/>
      <c r="Y93" s="72" t="str">
        <f t="shared" si="42"/>
        <v/>
      </c>
      <c r="Z93" s="72" t="str">
        <f t="shared" si="59"/>
        <v/>
      </c>
      <c r="AA93" s="39"/>
      <c r="AB93" s="72" t="str">
        <f t="shared" si="43"/>
        <v/>
      </c>
      <c r="AC93" s="72" t="str">
        <f t="shared" si="60"/>
        <v/>
      </c>
      <c r="AD93" s="39"/>
      <c r="AE93" s="72" t="str">
        <f t="shared" si="44"/>
        <v/>
      </c>
      <c r="AF93" s="72" t="str">
        <f t="shared" si="61"/>
        <v/>
      </c>
      <c r="AG93" s="39"/>
      <c r="AH93" s="72" t="str">
        <f t="shared" si="45"/>
        <v/>
      </c>
      <c r="AI93" s="72" t="str">
        <f t="shared" si="62"/>
        <v/>
      </c>
      <c r="AJ93" s="39"/>
      <c r="AK93" s="72" t="str">
        <f t="shared" si="46"/>
        <v/>
      </c>
      <c r="AL93" s="72" t="str">
        <f t="shared" si="63"/>
        <v/>
      </c>
      <c r="AM93" s="39"/>
      <c r="AN93" s="72" t="str">
        <f t="shared" si="47"/>
        <v/>
      </c>
      <c r="AO93" s="72" t="str">
        <f t="shared" si="64"/>
        <v/>
      </c>
      <c r="AP93" s="39"/>
      <c r="AQ93" s="72" t="str">
        <f t="shared" si="48"/>
        <v/>
      </c>
      <c r="AR93" s="72" t="str">
        <f t="shared" si="65"/>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49"/>
        <v/>
      </c>
      <c r="AW93" s="72" t="str">
        <f t="shared" si="66"/>
        <v/>
      </c>
      <c r="AX93" s="39"/>
      <c r="AY93" s="40" t="str">
        <f>IF(ISERROR(IF($K93&lt;=$F$15,VLOOKUP($I93,'表4）CO2価格'!$A$7:$E$67,VLOOKUP($F$48,'表4）CO2価格'!$H$10:$I$12,2,0),0)*$F$8/1000,"")),0,IF($K93&lt;=$F$15,VLOOKUP($I93,'表4）CO2価格'!$A$7:$E$67,VLOOKUP($F$48,'表4）CO2価格'!$H$10:$I$12,2,0),0)*$F$8/1000,""))</f>
        <v/>
      </c>
      <c r="AZ93" s="39"/>
      <c r="BA93" s="42" t="str">
        <f t="shared" si="50"/>
        <v/>
      </c>
      <c r="BB93" s="72" t="str">
        <f t="shared" si="67"/>
        <v/>
      </c>
      <c r="BC93" s="39"/>
      <c r="BD93" s="72" t="str">
        <f t="shared" si="51"/>
        <v/>
      </c>
      <c r="BE93" s="72" t="str">
        <f t="shared" si="68"/>
        <v/>
      </c>
      <c r="BF93" s="39"/>
      <c r="BG93" s="42" t="str">
        <f t="shared" si="52"/>
        <v/>
      </c>
      <c r="BH93" s="72" t="str">
        <f t="shared" si="69"/>
        <v/>
      </c>
      <c r="BI93" s="39"/>
      <c r="BJ93" s="40" t="str">
        <f t="shared" si="70"/>
        <v/>
      </c>
      <c r="BK93" s="157" t="str">
        <f t="shared" si="71"/>
        <v/>
      </c>
      <c r="BL93" s="157" t="str">
        <f t="shared" si="53"/>
        <v/>
      </c>
      <c r="BM93" s="72"/>
      <c r="BN93" s="72" t="str">
        <f t="shared" si="72"/>
        <v/>
      </c>
      <c r="BO93" s="72" t="str">
        <f t="shared" si="73"/>
        <v/>
      </c>
      <c r="BP93" s="39"/>
      <c r="BQ93" s="72" t="str">
        <f t="shared" si="54"/>
        <v/>
      </c>
      <c r="BR93" s="72" t="str">
        <f t="shared" si="74"/>
        <v/>
      </c>
    </row>
    <row r="94" spans="4:70" x14ac:dyDescent="0.15">
      <c r="D94" s="100" t="s">
        <v>596</v>
      </c>
      <c r="E94" s="100"/>
      <c r="F94" s="486"/>
      <c r="G94" s="100"/>
      <c r="I94" s="322">
        <f t="shared" si="75"/>
        <v>2099</v>
      </c>
      <c r="K94" s="71">
        <f t="shared" si="76"/>
        <v>80</v>
      </c>
      <c r="M94" s="7">
        <f t="shared" si="39"/>
        <v>9.3977096625217166E-2</v>
      </c>
      <c r="O94" s="10" t="str">
        <f t="shared" si="55"/>
        <v/>
      </c>
      <c r="P94" s="29" t="str">
        <f t="shared" si="40"/>
        <v/>
      </c>
      <c r="R94" s="10" t="str">
        <f t="shared" si="56"/>
        <v/>
      </c>
      <c r="T94" s="10" t="str">
        <f t="shared" si="57"/>
        <v/>
      </c>
      <c r="V94" s="10" t="str">
        <f t="shared" si="41"/>
        <v/>
      </c>
      <c r="W94" s="10" t="str">
        <f t="shared" si="58"/>
        <v/>
      </c>
      <c r="Y94" s="10" t="str">
        <f t="shared" si="42"/>
        <v/>
      </c>
      <c r="Z94" s="10" t="str">
        <f t="shared" si="59"/>
        <v/>
      </c>
      <c r="AB94" s="10" t="str">
        <f t="shared" si="43"/>
        <v/>
      </c>
      <c r="AC94" s="10" t="str">
        <f t="shared" si="60"/>
        <v/>
      </c>
      <c r="AE94" s="10" t="str">
        <f t="shared" si="44"/>
        <v/>
      </c>
      <c r="AF94" s="10" t="str">
        <f t="shared" si="61"/>
        <v/>
      </c>
      <c r="AH94" s="10" t="str">
        <f t="shared" si="45"/>
        <v/>
      </c>
      <c r="AI94" s="10" t="str">
        <f t="shared" si="62"/>
        <v/>
      </c>
      <c r="AK94" s="10" t="str">
        <f t="shared" si="46"/>
        <v/>
      </c>
      <c r="AL94" s="10" t="str">
        <f t="shared" si="63"/>
        <v/>
      </c>
      <c r="AN94" s="10" t="str">
        <f t="shared" si="47"/>
        <v/>
      </c>
      <c r="AO94" s="10" t="str">
        <f t="shared" si="64"/>
        <v/>
      </c>
      <c r="AQ94" s="10" t="str">
        <f t="shared" si="48"/>
        <v/>
      </c>
      <c r="AR94" s="10" t="str">
        <f t="shared" si="65"/>
        <v/>
      </c>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V94" s="10" t="str">
        <f t="shared" si="49"/>
        <v/>
      </c>
      <c r="AW94" s="10" t="str">
        <f t="shared" si="66"/>
        <v/>
      </c>
      <c r="AY94" s="7" t="str">
        <f>IF(ISERROR(IF($K94&lt;=$F$15,VLOOKUP($I94,'表4）CO2価格'!$A$7:$E$67,VLOOKUP($F$48,'表4）CO2価格'!$H$10:$I$12,2,0),0)*$F$8/1000,"")),0,IF($K94&lt;=$F$15,VLOOKUP($I94,'表4）CO2価格'!$A$7:$E$67,VLOOKUP($F$48,'表4）CO2価格'!$H$10:$I$12,2,0),0)*$F$8/1000,""))</f>
        <v/>
      </c>
      <c r="BA94" s="11" t="str">
        <f t="shared" si="50"/>
        <v/>
      </c>
      <c r="BB94" s="10" t="str">
        <f t="shared" si="67"/>
        <v/>
      </c>
      <c r="BD94" s="10" t="str">
        <f t="shared" si="51"/>
        <v/>
      </c>
      <c r="BE94" s="10" t="str">
        <f t="shared" si="68"/>
        <v/>
      </c>
      <c r="BG94" s="11" t="str">
        <f t="shared" si="52"/>
        <v/>
      </c>
      <c r="BH94" s="10" t="str">
        <f t="shared" si="69"/>
        <v/>
      </c>
      <c r="BJ94" s="7" t="str">
        <f t="shared" si="70"/>
        <v/>
      </c>
      <c r="BK94" s="158" t="str">
        <f t="shared" si="71"/>
        <v/>
      </c>
      <c r="BL94" s="158" t="str">
        <f t="shared" si="53"/>
        <v/>
      </c>
      <c r="BM94" s="10"/>
      <c r="BN94" s="10" t="str">
        <f t="shared" si="72"/>
        <v/>
      </c>
      <c r="BO94" s="10" t="str">
        <f t="shared" si="73"/>
        <v/>
      </c>
      <c r="BQ94" s="10" t="str">
        <f t="shared" si="54"/>
        <v/>
      </c>
      <c r="BR94" s="10" t="str">
        <f t="shared" si="74"/>
        <v/>
      </c>
    </row>
    <row r="95" spans="4:70" ht="15" x14ac:dyDescent="0.15">
      <c r="D95" s="103"/>
      <c r="F95" s="487"/>
      <c r="I95" s="38">
        <f t="shared" si="75"/>
        <v>2100</v>
      </c>
      <c r="J95" s="39"/>
      <c r="K95" s="39">
        <f t="shared" si="76"/>
        <v>81</v>
      </c>
      <c r="L95" s="39"/>
      <c r="M95" s="40">
        <f t="shared" si="39"/>
        <v>9.1239899636133173E-2</v>
      </c>
      <c r="N95" s="39"/>
      <c r="O95" s="72" t="str">
        <f t="shared" si="55"/>
        <v/>
      </c>
      <c r="P95" s="41" t="str">
        <f t="shared" si="40"/>
        <v/>
      </c>
      <c r="Q95" s="39"/>
      <c r="R95" s="72" t="str">
        <f t="shared" si="56"/>
        <v/>
      </c>
      <c r="S95" s="39"/>
      <c r="T95" s="72" t="str">
        <f t="shared" si="57"/>
        <v/>
      </c>
      <c r="U95" s="39"/>
      <c r="V95" s="72" t="str">
        <f t="shared" si="41"/>
        <v/>
      </c>
      <c r="W95" s="72" t="str">
        <f t="shared" si="58"/>
        <v/>
      </c>
      <c r="X95" s="39"/>
      <c r="Y95" s="72" t="str">
        <f t="shared" si="42"/>
        <v/>
      </c>
      <c r="Z95" s="72" t="str">
        <f t="shared" si="59"/>
        <v/>
      </c>
      <c r="AA95" s="39"/>
      <c r="AB95" s="72" t="str">
        <f t="shared" si="43"/>
        <v/>
      </c>
      <c r="AC95" s="72" t="str">
        <f t="shared" si="60"/>
        <v/>
      </c>
      <c r="AD95" s="39"/>
      <c r="AE95" s="72" t="str">
        <f t="shared" si="44"/>
        <v/>
      </c>
      <c r="AF95" s="72" t="str">
        <f t="shared" si="61"/>
        <v/>
      </c>
      <c r="AG95" s="39"/>
      <c r="AH95" s="72" t="str">
        <f t="shared" si="45"/>
        <v/>
      </c>
      <c r="AI95" s="72" t="str">
        <f t="shared" si="62"/>
        <v/>
      </c>
      <c r="AJ95" s="39"/>
      <c r="AK95" s="72" t="str">
        <f t="shared" si="46"/>
        <v/>
      </c>
      <c r="AL95" s="72" t="str">
        <f t="shared" si="63"/>
        <v/>
      </c>
      <c r="AM95" s="39"/>
      <c r="AN95" s="72" t="str">
        <f t="shared" si="47"/>
        <v/>
      </c>
      <c r="AO95" s="72" t="str">
        <f t="shared" si="64"/>
        <v/>
      </c>
      <c r="AP95" s="39"/>
      <c r="AQ95" s="72" t="str">
        <f t="shared" si="48"/>
        <v/>
      </c>
      <c r="AR95" s="72" t="str">
        <f t="shared" si="65"/>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49"/>
        <v/>
      </c>
      <c r="AW95" s="72" t="str">
        <f t="shared" si="66"/>
        <v/>
      </c>
      <c r="AX95" s="39"/>
      <c r="AY95" s="40" t="str">
        <f>IF(ISERROR(IF($K95&lt;=$F$15,VLOOKUP($I95,'表4）CO2価格'!$A$7:$E$67,VLOOKUP($F$48,'表4）CO2価格'!$H$10:$I$12,2,0),0)*$F$8/1000,"")),0,IF($K95&lt;=$F$15,VLOOKUP($I95,'表4）CO2価格'!$A$7:$E$67,VLOOKUP($F$48,'表4）CO2価格'!$H$10:$I$12,2,0),0)*$F$8/1000,""))</f>
        <v/>
      </c>
      <c r="AZ95" s="39"/>
      <c r="BA95" s="42" t="str">
        <f t="shared" si="50"/>
        <v/>
      </c>
      <c r="BB95" s="72" t="str">
        <f t="shared" si="67"/>
        <v/>
      </c>
      <c r="BC95" s="39"/>
      <c r="BD95" s="72" t="str">
        <f t="shared" si="51"/>
        <v/>
      </c>
      <c r="BE95" s="72" t="str">
        <f t="shared" si="68"/>
        <v/>
      </c>
      <c r="BF95" s="39"/>
      <c r="BG95" s="42" t="str">
        <f t="shared" si="52"/>
        <v/>
      </c>
      <c r="BH95" s="72" t="str">
        <f t="shared" si="69"/>
        <v/>
      </c>
      <c r="BI95" s="39"/>
      <c r="BJ95" s="40" t="str">
        <f t="shared" si="70"/>
        <v/>
      </c>
      <c r="BK95" s="157" t="str">
        <f t="shared" si="71"/>
        <v/>
      </c>
      <c r="BL95" s="157" t="str">
        <f t="shared" si="53"/>
        <v/>
      </c>
      <c r="BM95" s="72"/>
      <c r="BN95" s="72" t="str">
        <f t="shared" si="72"/>
        <v/>
      </c>
      <c r="BO95" s="72" t="str">
        <f t="shared" si="73"/>
        <v/>
      </c>
      <c r="BP95" s="39"/>
      <c r="BQ95" s="72" t="str">
        <f t="shared" si="54"/>
        <v/>
      </c>
      <c r="BR95" s="72" t="str">
        <f t="shared" si="74"/>
        <v/>
      </c>
    </row>
    <row r="96" spans="4:70" ht="15" x14ac:dyDescent="0.15">
      <c r="D96" s="103"/>
      <c r="E96" s="84" t="s">
        <v>597</v>
      </c>
      <c r="F96" s="488">
        <f>IF(F3&lt;&gt;"原子力",AW116/$BR$116,0)</f>
        <v>0</v>
      </c>
      <c r="G96" s="84" t="s">
        <v>590</v>
      </c>
      <c r="I96" s="322">
        <f t="shared" si="75"/>
        <v>2101</v>
      </c>
      <c r="K96" s="71">
        <f t="shared" si="76"/>
        <v>82</v>
      </c>
      <c r="M96" s="7">
        <f t="shared" si="39"/>
        <v>8.8582426831197242E-2</v>
      </c>
      <c r="O96" s="10" t="str">
        <f t="shared" si="55"/>
        <v/>
      </c>
      <c r="P96" s="29" t="str">
        <f t="shared" si="40"/>
        <v/>
      </c>
      <c r="R96" s="10" t="str">
        <f t="shared" si="56"/>
        <v/>
      </c>
      <c r="T96" s="10" t="str">
        <f t="shared" si="57"/>
        <v/>
      </c>
      <c r="V96" s="10" t="str">
        <f t="shared" si="41"/>
        <v/>
      </c>
      <c r="W96" s="10" t="str">
        <f t="shared" si="58"/>
        <v/>
      </c>
      <c r="Y96" s="10" t="str">
        <f t="shared" si="42"/>
        <v/>
      </c>
      <c r="Z96" s="10" t="str">
        <f t="shared" si="59"/>
        <v/>
      </c>
      <c r="AB96" s="10" t="str">
        <f t="shared" si="43"/>
        <v/>
      </c>
      <c r="AC96" s="10" t="str">
        <f t="shared" si="60"/>
        <v/>
      </c>
      <c r="AE96" s="10" t="str">
        <f t="shared" si="44"/>
        <v/>
      </c>
      <c r="AF96" s="10" t="str">
        <f t="shared" si="61"/>
        <v/>
      </c>
      <c r="AH96" s="10" t="str">
        <f t="shared" si="45"/>
        <v/>
      </c>
      <c r="AI96" s="10" t="str">
        <f t="shared" si="62"/>
        <v/>
      </c>
      <c r="AK96" s="10" t="str">
        <f t="shared" si="46"/>
        <v/>
      </c>
      <c r="AL96" s="10" t="str">
        <f t="shared" si="63"/>
        <v/>
      </c>
      <c r="AN96" s="10" t="str">
        <f t="shared" si="47"/>
        <v/>
      </c>
      <c r="AO96" s="10" t="str">
        <f t="shared" si="64"/>
        <v/>
      </c>
      <c r="AQ96" s="10" t="str">
        <f t="shared" si="48"/>
        <v/>
      </c>
      <c r="AR96" s="10" t="str">
        <f t="shared" si="65"/>
        <v/>
      </c>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V96" s="10" t="str">
        <f t="shared" si="49"/>
        <v/>
      </c>
      <c r="AW96" s="10" t="str">
        <f t="shared" si="66"/>
        <v/>
      </c>
      <c r="AY96" s="7" t="str">
        <f>IF(ISERROR(IF($K96&lt;=$F$15,VLOOKUP($I96,'表4）CO2価格'!$A$7:$E$67,VLOOKUP($F$48,'表4）CO2価格'!$H$10:$I$12,2,0),0)*$F$8/1000,"")),0,IF($K96&lt;=$F$15,VLOOKUP($I96,'表4）CO2価格'!$A$7:$E$67,VLOOKUP($F$48,'表4）CO2価格'!$H$10:$I$12,2,0),0)*$F$8/1000,""))</f>
        <v/>
      </c>
      <c r="BA96" s="11" t="str">
        <f t="shared" si="50"/>
        <v/>
      </c>
      <c r="BB96" s="10" t="str">
        <f t="shared" si="67"/>
        <v/>
      </c>
      <c r="BD96" s="10" t="str">
        <f t="shared" si="51"/>
        <v/>
      </c>
      <c r="BE96" s="10" t="str">
        <f t="shared" si="68"/>
        <v/>
      </c>
      <c r="BG96" s="11" t="str">
        <f t="shared" si="52"/>
        <v/>
      </c>
      <c r="BH96" s="10" t="str">
        <f t="shared" si="69"/>
        <v/>
      </c>
      <c r="BJ96" s="7" t="str">
        <f t="shared" si="70"/>
        <v/>
      </c>
      <c r="BK96" s="158" t="str">
        <f t="shared" si="71"/>
        <v/>
      </c>
      <c r="BL96" s="158" t="str">
        <f t="shared" si="53"/>
        <v/>
      </c>
      <c r="BM96" s="10"/>
      <c r="BN96" s="10" t="str">
        <f t="shared" si="72"/>
        <v/>
      </c>
      <c r="BO96" s="10" t="str">
        <f t="shared" si="73"/>
        <v/>
      </c>
      <c r="BQ96" s="10" t="str">
        <f t="shared" si="54"/>
        <v/>
      </c>
      <c r="BR96" s="10" t="str">
        <f t="shared" si="74"/>
        <v/>
      </c>
    </row>
    <row r="97" spans="4:70" ht="15" x14ac:dyDescent="0.15">
      <c r="D97" s="103"/>
      <c r="E97" s="84" t="s">
        <v>598</v>
      </c>
      <c r="F97" s="488">
        <f>IF(F3="原子力",#REF!,0)</f>
        <v>0</v>
      </c>
      <c r="G97" s="84" t="s">
        <v>590</v>
      </c>
      <c r="I97" s="38">
        <f t="shared" si="75"/>
        <v>2102</v>
      </c>
      <c r="J97" s="39"/>
      <c r="K97" s="39">
        <f t="shared" si="76"/>
        <v>83</v>
      </c>
      <c r="L97" s="39"/>
      <c r="M97" s="40">
        <f t="shared" si="39"/>
        <v>8.6002356146793454E-2</v>
      </c>
      <c r="N97" s="39"/>
      <c r="O97" s="72" t="str">
        <f t="shared" si="55"/>
        <v/>
      </c>
      <c r="P97" s="41" t="str">
        <f t="shared" si="40"/>
        <v/>
      </c>
      <c r="Q97" s="39"/>
      <c r="R97" s="72" t="str">
        <f t="shared" si="56"/>
        <v/>
      </c>
      <c r="S97" s="39"/>
      <c r="T97" s="72" t="str">
        <f t="shared" si="57"/>
        <v/>
      </c>
      <c r="U97" s="39"/>
      <c r="V97" s="72" t="str">
        <f t="shared" si="41"/>
        <v/>
      </c>
      <c r="W97" s="72" t="str">
        <f t="shared" si="58"/>
        <v/>
      </c>
      <c r="X97" s="39"/>
      <c r="Y97" s="72" t="str">
        <f t="shared" si="42"/>
        <v/>
      </c>
      <c r="Z97" s="72" t="str">
        <f t="shared" si="59"/>
        <v/>
      </c>
      <c r="AA97" s="39"/>
      <c r="AB97" s="72" t="str">
        <f t="shared" si="43"/>
        <v/>
      </c>
      <c r="AC97" s="72" t="str">
        <f t="shared" si="60"/>
        <v/>
      </c>
      <c r="AD97" s="39"/>
      <c r="AE97" s="72" t="str">
        <f t="shared" si="44"/>
        <v/>
      </c>
      <c r="AF97" s="72" t="str">
        <f t="shared" si="61"/>
        <v/>
      </c>
      <c r="AG97" s="39"/>
      <c r="AH97" s="72" t="str">
        <f t="shared" si="45"/>
        <v/>
      </c>
      <c r="AI97" s="72" t="str">
        <f t="shared" si="62"/>
        <v/>
      </c>
      <c r="AJ97" s="39"/>
      <c r="AK97" s="72" t="str">
        <f t="shared" si="46"/>
        <v/>
      </c>
      <c r="AL97" s="72" t="str">
        <f t="shared" si="63"/>
        <v/>
      </c>
      <c r="AM97" s="39"/>
      <c r="AN97" s="72" t="str">
        <f t="shared" si="47"/>
        <v/>
      </c>
      <c r="AO97" s="72" t="str">
        <f t="shared" si="64"/>
        <v/>
      </c>
      <c r="AP97" s="39"/>
      <c r="AQ97" s="72" t="str">
        <f t="shared" si="48"/>
        <v/>
      </c>
      <c r="AR97" s="72" t="str">
        <f t="shared" si="65"/>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49"/>
        <v/>
      </c>
      <c r="AW97" s="72" t="str">
        <f t="shared" si="66"/>
        <v/>
      </c>
      <c r="AX97" s="39"/>
      <c r="AY97" s="40" t="str">
        <f>IF(ISERROR(IF($K97&lt;=$F$15,VLOOKUP($I97,'表4）CO2価格'!$A$7:$E$67,VLOOKUP($F$48,'表4）CO2価格'!$H$10:$I$12,2,0),0)*$F$8/1000,"")),0,IF($K97&lt;=$F$15,VLOOKUP($I97,'表4）CO2価格'!$A$7:$E$67,VLOOKUP($F$48,'表4）CO2価格'!$H$10:$I$12,2,0),0)*$F$8/1000,""))</f>
        <v/>
      </c>
      <c r="AZ97" s="39"/>
      <c r="BA97" s="42" t="str">
        <f t="shared" si="50"/>
        <v/>
      </c>
      <c r="BB97" s="72" t="str">
        <f t="shared" si="67"/>
        <v/>
      </c>
      <c r="BC97" s="39"/>
      <c r="BD97" s="72" t="str">
        <f t="shared" si="51"/>
        <v/>
      </c>
      <c r="BE97" s="72" t="str">
        <f t="shared" si="68"/>
        <v/>
      </c>
      <c r="BF97" s="39"/>
      <c r="BG97" s="42" t="str">
        <f t="shared" si="52"/>
        <v/>
      </c>
      <c r="BH97" s="72" t="str">
        <f t="shared" si="69"/>
        <v/>
      </c>
      <c r="BI97" s="39"/>
      <c r="BJ97" s="40" t="str">
        <f t="shared" si="70"/>
        <v/>
      </c>
      <c r="BK97" s="157" t="str">
        <f t="shared" si="71"/>
        <v/>
      </c>
      <c r="BL97" s="157" t="str">
        <f t="shared" si="53"/>
        <v/>
      </c>
      <c r="BM97" s="72"/>
      <c r="BN97" s="72" t="str">
        <f t="shared" si="72"/>
        <v/>
      </c>
      <c r="BO97" s="72" t="str">
        <f t="shared" si="73"/>
        <v/>
      </c>
      <c r="BP97" s="39"/>
      <c r="BQ97" s="72" t="str">
        <f t="shared" si="54"/>
        <v/>
      </c>
      <c r="BR97" s="72" t="str">
        <f t="shared" si="74"/>
        <v/>
      </c>
    </row>
    <row r="98" spans="4:70" x14ac:dyDescent="0.15">
      <c r="F98" s="487"/>
      <c r="I98" s="322">
        <f t="shared" si="75"/>
        <v>2103</v>
      </c>
      <c r="K98" s="71">
        <f t="shared" si="76"/>
        <v>84</v>
      </c>
      <c r="M98" s="7">
        <f t="shared" si="39"/>
        <v>8.3497433152226644E-2</v>
      </c>
      <c r="O98" s="10" t="str">
        <f t="shared" si="55"/>
        <v/>
      </c>
      <c r="P98" s="29" t="str">
        <f t="shared" si="40"/>
        <v/>
      </c>
      <c r="R98" s="10" t="str">
        <f t="shared" si="56"/>
        <v/>
      </c>
      <c r="T98" s="10" t="str">
        <f t="shared" si="57"/>
        <v/>
      </c>
      <c r="V98" s="10" t="str">
        <f t="shared" si="41"/>
        <v/>
      </c>
      <c r="W98" s="10" t="str">
        <f t="shared" si="58"/>
        <v/>
      </c>
      <c r="Y98" s="10" t="str">
        <f t="shared" si="42"/>
        <v/>
      </c>
      <c r="Z98" s="10" t="str">
        <f t="shared" si="59"/>
        <v/>
      </c>
      <c r="AB98" s="10" t="str">
        <f t="shared" si="43"/>
        <v/>
      </c>
      <c r="AC98" s="10" t="str">
        <f t="shared" si="60"/>
        <v/>
      </c>
      <c r="AE98" s="10" t="str">
        <f t="shared" si="44"/>
        <v/>
      </c>
      <c r="AF98" s="10" t="str">
        <f t="shared" si="61"/>
        <v/>
      </c>
      <c r="AH98" s="10" t="str">
        <f t="shared" si="45"/>
        <v/>
      </c>
      <c r="AI98" s="10" t="str">
        <f t="shared" si="62"/>
        <v/>
      </c>
      <c r="AK98" s="10" t="str">
        <f t="shared" si="46"/>
        <v/>
      </c>
      <c r="AL98" s="10" t="str">
        <f t="shared" si="63"/>
        <v/>
      </c>
      <c r="AN98" s="10" t="str">
        <f t="shared" si="47"/>
        <v/>
      </c>
      <c r="AO98" s="10" t="str">
        <f t="shared" si="64"/>
        <v/>
      </c>
      <c r="AQ98" s="10" t="str">
        <f t="shared" si="48"/>
        <v/>
      </c>
      <c r="AR98" s="10" t="str">
        <f t="shared" si="65"/>
        <v/>
      </c>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V98" s="10" t="str">
        <f t="shared" si="49"/>
        <v/>
      </c>
      <c r="AW98" s="10" t="str">
        <f t="shared" si="66"/>
        <v/>
      </c>
      <c r="AY98" s="7" t="str">
        <f>IF(ISERROR(IF($K98&lt;=$F$15,VLOOKUP($I98,'表4）CO2価格'!$A$7:$E$67,VLOOKUP($F$48,'表4）CO2価格'!$H$10:$I$12,2,0),0)*$F$8/1000,"")),0,IF($K98&lt;=$F$15,VLOOKUP($I98,'表4）CO2価格'!$A$7:$E$67,VLOOKUP($F$48,'表4）CO2価格'!$H$10:$I$12,2,0),0)*$F$8/1000,""))</f>
        <v/>
      </c>
      <c r="BA98" s="11" t="str">
        <f t="shared" si="50"/>
        <v/>
      </c>
      <c r="BB98" s="10" t="str">
        <f t="shared" si="67"/>
        <v/>
      </c>
      <c r="BD98" s="10" t="str">
        <f t="shared" si="51"/>
        <v/>
      </c>
      <c r="BE98" s="10" t="str">
        <f t="shared" si="68"/>
        <v/>
      </c>
      <c r="BG98" s="11" t="str">
        <f t="shared" si="52"/>
        <v/>
      </c>
      <c r="BH98" s="10" t="str">
        <f t="shared" si="69"/>
        <v/>
      </c>
      <c r="BJ98" s="7" t="str">
        <f t="shared" si="70"/>
        <v/>
      </c>
      <c r="BK98" s="158" t="str">
        <f t="shared" si="71"/>
        <v/>
      </c>
      <c r="BL98" s="158" t="str">
        <f t="shared" si="53"/>
        <v/>
      </c>
      <c r="BM98" s="10"/>
      <c r="BN98" s="10" t="str">
        <f t="shared" si="72"/>
        <v/>
      </c>
      <c r="BO98" s="10" t="str">
        <f t="shared" si="73"/>
        <v/>
      </c>
      <c r="BQ98" s="10" t="str">
        <f t="shared" si="54"/>
        <v/>
      </c>
      <c r="BR98" s="10" t="str">
        <f t="shared" si="74"/>
        <v/>
      </c>
    </row>
    <row r="99" spans="4:70" ht="15" x14ac:dyDescent="0.15">
      <c r="D99" s="103" t="s">
        <v>599</v>
      </c>
      <c r="F99" s="484">
        <f>SUBTOTAL(9,F103:F105)</f>
        <v>0.15279599999999999</v>
      </c>
      <c r="G99" s="84" t="s">
        <v>590</v>
      </c>
      <c r="I99" s="38">
        <f t="shared" si="75"/>
        <v>2104</v>
      </c>
      <c r="J99" s="39"/>
      <c r="K99" s="39">
        <f t="shared" si="76"/>
        <v>85</v>
      </c>
      <c r="L99" s="39"/>
      <c r="M99" s="40">
        <f t="shared" si="39"/>
        <v>8.1065469079831712E-2</v>
      </c>
      <c r="N99" s="39"/>
      <c r="O99" s="72" t="str">
        <f t="shared" si="55"/>
        <v/>
      </c>
      <c r="P99" s="41" t="str">
        <f t="shared" si="40"/>
        <v/>
      </c>
      <c r="Q99" s="39"/>
      <c r="R99" s="72" t="str">
        <f t="shared" si="56"/>
        <v/>
      </c>
      <c r="S99" s="39"/>
      <c r="T99" s="72" t="str">
        <f t="shared" si="57"/>
        <v/>
      </c>
      <c r="U99" s="39"/>
      <c r="V99" s="72" t="str">
        <f t="shared" si="41"/>
        <v/>
      </c>
      <c r="W99" s="72" t="str">
        <f t="shared" si="58"/>
        <v/>
      </c>
      <c r="X99" s="39"/>
      <c r="Y99" s="72" t="str">
        <f t="shared" si="42"/>
        <v/>
      </c>
      <c r="Z99" s="72" t="str">
        <f t="shared" si="59"/>
        <v/>
      </c>
      <c r="AA99" s="39"/>
      <c r="AB99" s="72" t="str">
        <f t="shared" si="43"/>
        <v/>
      </c>
      <c r="AC99" s="72" t="str">
        <f t="shared" si="60"/>
        <v/>
      </c>
      <c r="AD99" s="39"/>
      <c r="AE99" s="72" t="str">
        <f t="shared" si="44"/>
        <v/>
      </c>
      <c r="AF99" s="72" t="str">
        <f t="shared" si="61"/>
        <v/>
      </c>
      <c r="AG99" s="39"/>
      <c r="AH99" s="72" t="str">
        <f t="shared" si="45"/>
        <v/>
      </c>
      <c r="AI99" s="72" t="str">
        <f t="shared" si="62"/>
        <v/>
      </c>
      <c r="AJ99" s="39"/>
      <c r="AK99" s="72" t="str">
        <f t="shared" si="46"/>
        <v/>
      </c>
      <c r="AL99" s="72" t="str">
        <f t="shared" si="63"/>
        <v/>
      </c>
      <c r="AM99" s="39"/>
      <c r="AN99" s="72" t="str">
        <f t="shared" si="47"/>
        <v/>
      </c>
      <c r="AO99" s="72" t="str">
        <f t="shared" si="64"/>
        <v/>
      </c>
      <c r="AP99" s="39"/>
      <c r="AQ99" s="72" t="str">
        <f t="shared" si="48"/>
        <v/>
      </c>
      <c r="AR99" s="72" t="str">
        <f t="shared" si="65"/>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49"/>
        <v/>
      </c>
      <c r="AW99" s="72" t="str">
        <f t="shared" si="66"/>
        <v/>
      </c>
      <c r="AX99" s="39"/>
      <c r="AY99" s="40" t="str">
        <f>IF(ISERROR(IF($K99&lt;=$F$15,VLOOKUP($I99,'表4）CO2価格'!$A$7:$E$67,VLOOKUP($F$48,'表4）CO2価格'!$H$10:$I$12,2,0),0)*$F$8/1000,"")),0,IF($K99&lt;=$F$15,VLOOKUP($I99,'表4）CO2価格'!$A$7:$E$67,VLOOKUP($F$48,'表4）CO2価格'!$H$10:$I$12,2,0),0)*$F$8/1000,""))</f>
        <v/>
      </c>
      <c r="AZ99" s="39"/>
      <c r="BA99" s="42" t="str">
        <f t="shared" si="50"/>
        <v/>
      </c>
      <c r="BB99" s="72" t="str">
        <f t="shared" si="67"/>
        <v/>
      </c>
      <c r="BC99" s="39"/>
      <c r="BD99" s="72" t="str">
        <f t="shared" si="51"/>
        <v/>
      </c>
      <c r="BE99" s="72" t="str">
        <f t="shared" si="68"/>
        <v/>
      </c>
      <c r="BF99" s="39"/>
      <c r="BG99" s="42" t="str">
        <f t="shared" si="52"/>
        <v/>
      </c>
      <c r="BH99" s="72" t="str">
        <f t="shared" si="69"/>
        <v/>
      </c>
      <c r="BI99" s="39"/>
      <c r="BJ99" s="40" t="str">
        <f t="shared" si="70"/>
        <v/>
      </c>
      <c r="BK99" s="157" t="str">
        <f t="shared" si="71"/>
        <v/>
      </c>
      <c r="BL99" s="157" t="str">
        <f t="shared" si="53"/>
        <v/>
      </c>
      <c r="BM99" s="72"/>
      <c r="BN99" s="72" t="str">
        <f t="shared" si="72"/>
        <v/>
      </c>
      <c r="BO99" s="72" t="str">
        <f t="shared" si="73"/>
        <v/>
      </c>
      <c r="BP99" s="39"/>
      <c r="BQ99" s="72" t="str">
        <f t="shared" si="54"/>
        <v/>
      </c>
      <c r="BR99" s="72" t="str">
        <f t="shared" si="74"/>
        <v/>
      </c>
    </row>
    <row r="100" spans="4:70" x14ac:dyDescent="0.15">
      <c r="F100" s="487"/>
      <c r="I100" s="322">
        <f t="shared" si="75"/>
        <v>2105</v>
      </c>
      <c r="K100" s="71">
        <f t="shared" si="76"/>
        <v>86</v>
      </c>
      <c r="M100" s="7">
        <f t="shared" si="39"/>
        <v>7.8704338912457969E-2</v>
      </c>
      <c r="O100" s="10" t="str">
        <f t="shared" si="55"/>
        <v/>
      </c>
      <c r="P100" s="29" t="str">
        <f t="shared" si="40"/>
        <v/>
      </c>
      <c r="R100" s="10" t="str">
        <f t="shared" si="56"/>
        <v/>
      </c>
      <c r="T100" s="10" t="str">
        <f t="shared" si="57"/>
        <v/>
      </c>
      <c r="V100" s="10" t="str">
        <f t="shared" si="41"/>
        <v/>
      </c>
      <c r="W100" s="10" t="str">
        <f t="shared" si="58"/>
        <v/>
      </c>
      <c r="Y100" s="10" t="str">
        <f t="shared" si="42"/>
        <v/>
      </c>
      <c r="Z100" s="10" t="str">
        <f t="shared" si="59"/>
        <v/>
      </c>
      <c r="AB100" s="10" t="str">
        <f t="shared" si="43"/>
        <v/>
      </c>
      <c r="AC100" s="10" t="str">
        <f t="shared" si="60"/>
        <v/>
      </c>
      <c r="AE100" s="10" t="str">
        <f t="shared" si="44"/>
        <v/>
      </c>
      <c r="AF100" s="10" t="str">
        <f t="shared" si="61"/>
        <v/>
      </c>
      <c r="AH100" s="10" t="str">
        <f t="shared" si="45"/>
        <v/>
      </c>
      <c r="AI100" s="10" t="str">
        <f t="shared" si="62"/>
        <v/>
      </c>
      <c r="AK100" s="10" t="str">
        <f t="shared" si="46"/>
        <v/>
      </c>
      <c r="AL100" s="10" t="str">
        <f t="shared" si="63"/>
        <v/>
      </c>
      <c r="AN100" s="10" t="str">
        <f t="shared" si="47"/>
        <v/>
      </c>
      <c r="AO100" s="10" t="str">
        <f t="shared" si="64"/>
        <v/>
      </c>
      <c r="AQ100" s="10" t="str">
        <f t="shared" si="48"/>
        <v/>
      </c>
      <c r="AR100" s="10" t="str">
        <f t="shared" si="65"/>
        <v/>
      </c>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V100" s="10" t="str">
        <f t="shared" si="49"/>
        <v/>
      </c>
      <c r="AW100" s="10" t="str">
        <f t="shared" si="66"/>
        <v/>
      </c>
      <c r="AY100" s="7" t="str">
        <f>IF(ISERROR(IF($K100&lt;=$F$15,VLOOKUP($I100,'表4）CO2価格'!$A$7:$E$67,VLOOKUP($F$48,'表4）CO2価格'!$H$10:$I$12,2,0),0)*$F$8/1000,"")),0,IF($K100&lt;=$F$15,VLOOKUP($I100,'表4）CO2価格'!$A$7:$E$67,VLOOKUP($F$48,'表4）CO2価格'!$H$10:$I$12,2,0),0)*$F$8/1000,""))</f>
        <v/>
      </c>
      <c r="BA100" s="11" t="str">
        <f t="shared" si="50"/>
        <v/>
      </c>
      <c r="BB100" s="10" t="str">
        <f t="shared" si="67"/>
        <v/>
      </c>
      <c r="BD100" s="10" t="str">
        <f t="shared" si="51"/>
        <v/>
      </c>
      <c r="BE100" s="10" t="str">
        <f t="shared" si="68"/>
        <v/>
      </c>
      <c r="BG100" s="11" t="str">
        <f t="shared" si="52"/>
        <v/>
      </c>
      <c r="BH100" s="10" t="str">
        <f t="shared" si="69"/>
        <v/>
      </c>
      <c r="BJ100" s="7" t="str">
        <f t="shared" si="70"/>
        <v/>
      </c>
      <c r="BK100" s="158" t="str">
        <f t="shared" si="71"/>
        <v/>
      </c>
      <c r="BL100" s="158" t="str">
        <f t="shared" si="53"/>
        <v/>
      </c>
      <c r="BM100" s="10"/>
      <c r="BN100" s="10" t="str">
        <f t="shared" si="72"/>
        <v/>
      </c>
      <c r="BO100" s="10" t="str">
        <f t="shared" si="73"/>
        <v/>
      </c>
      <c r="BQ100" s="10" t="str">
        <f t="shared" si="54"/>
        <v/>
      </c>
      <c r="BR100" s="10" t="str">
        <f t="shared" si="74"/>
        <v/>
      </c>
    </row>
    <row r="101" spans="4:70" x14ac:dyDescent="0.15">
      <c r="D101" s="100" t="s">
        <v>600</v>
      </c>
      <c r="E101" s="100"/>
      <c r="F101" s="486"/>
      <c r="G101" s="100"/>
      <c r="I101" s="38">
        <f t="shared" si="75"/>
        <v>2106</v>
      </c>
      <c r="J101" s="39"/>
      <c r="K101" s="39">
        <f t="shared" si="76"/>
        <v>87</v>
      </c>
      <c r="L101" s="39"/>
      <c r="M101" s="40">
        <f t="shared" si="39"/>
        <v>7.6411979526658208E-2</v>
      </c>
      <c r="N101" s="39"/>
      <c r="O101" s="72" t="str">
        <f t="shared" si="55"/>
        <v/>
      </c>
      <c r="P101" s="41" t="str">
        <f t="shared" si="40"/>
        <v/>
      </c>
      <c r="Q101" s="39"/>
      <c r="R101" s="72" t="str">
        <f t="shared" si="56"/>
        <v/>
      </c>
      <c r="S101" s="39"/>
      <c r="T101" s="72" t="str">
        <f t="shared" si="57"/>
        <v/>
      </c>
      <c r="U101" s="39"/>
      <c r="V101" s="72" t="str">
        <f t="shared" si="41"/>
        <v/>
      </c>
      <c r="W101" s="72" t="str">
        <f t="shared" si="58"/>
        <v/>
      </c>
      <c r="X101" s="39"/>
      <c r="Y101" s="72" t="str">
        <f t="shared" si="42"/>
        <v/>
      </c>
      <c r="Z101" s="72" t="str">
        <f t="shared" si="59"/>
        <v/>
      </c>
      <c r="AA101" s="39"/>
      <c r="AB101" s="72" t="str">
        <f t="shared" si="43"/>
        <v/>
      </c>
      <c r="AC101" s="72" t="str">
        <f t="shared" si="60"/>
        <v/>
      </c>
      <c r="AD101" s="39"/>
      <c r="AE101" s="72" t="str">
        <f t="shared" si="44"/>
        <v/>
      </c>
      <c r="AF101" s="72" t="str">
        <f t="shared" si="61"/>
        <v/>
      </c>
      <c r="AG101" s="39"/>
      <c r="AH101" s="72" t="str">
        <f t="shared" si="45"/>
        <v/>
      </c>
      <c r="AI101" s="72" t="str">
        <f t="shared" si="62"/>
        <v/>
      </c>
      <c r="AJ101" s="39"/>
      <c r="AK101" s="72" t="str">
        <f t="shared" si="46"/>
        <v/>
      </c>
      <c r="AL101" s="72" t="str">
        <f t="shared" si="63"/>
        <v/>
      </c>
      <c r="AM101" s="39"/>
      <c r="AN101" s="72" t="str">
        <f t="shared" si="47"/>
        <v/>
      </c>
      <c r="AO101" s="72" t="str">
        <f t="shared" si="64"/>
        <v/>
      </c>
      <c r="AP101" s="39"/>
      <c r="AQ101" s="72" t="str">
        <f t="shared" si="48"/>
        <v/>
      </c>
      <c r="AR101" s="72" t="str">
        <f t="shared" si="65"/>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49"/>
        <v/>
      </c>
      <c r="AW101" s="72" t="str">
        <f t="shared" si="66"/>
        <v/>
      </c>
      <c r="AX101" s="39"/>
      <c r="AY101" s="40" t="str">
        <f>IF(ISERROR(IF($K101&lt;=$F$15,VLOOKUP($I101,'表4）CO2価格'!$A$7:$E$67,VLOOKUP($F$48,'表4）CO2価格'!$H$10:$I$12,2,0),0)*$F$8/1000,"")),0,IF($K101&lt;=$F$15,VLOOKUP($I101,'表4）CO2価格'!$A$7:$E$67,VLOOKUP($F$48,'表4）CO2価格'!$H$10:$I$12,2,0),0)*$F$8/1000,""))</f>
        <v/>
      </c>
      <c r="AZ101" s="39"/>
      <c r="BA101" s="42" t="str">
        <f t="shared" si="50"/>
        <v/>
      </c>
      <c r="BB101" s="72" t="str">
        <f t="shared" si="67"/>
        <v/>
      </c>
      <c r="BC101" s="39"/>
      <c r="BD101" s="72" t="str">
        <f t="shared" si="51"/>
        <v/>
      </c>
      <c r="BE101" s="72" t="str">
        <f t="shared" si="68"/>
        <v/>
      </c>
      <c r="BF101" s="39"/>
      <c r="BG101" s="42" t="str">
        <f t="shared" si="52"/>
        <v/>
      </c>
      <c r="BH101" s="72" t="str">
        <f t="shared" si="69"/>
        <v/>
      </c>
      <c r="BI101" s="39"/>
      <c r="BJ101" s="40" t="str">
        <f t="shared" si="70"/>
        <v/>
      </c>
      <c r="BK101" s="157" t="str">
        <f t="shared" si="71"/>
        <v/>
      </c>
      <c r="BL101" s="157" t="str">
        <f t="shared" si="53"/>
        <v/>
      </c>
      <c r="BM101" s="72"/>
      <c r="BN101" s="72" t="str">
        <f t="shared" si="72"/>
        <v/>
      </c>
      <c r="BO101" s="72" t="str">
        <f t="shared" si="73"/>
        <v/>
      </c>
      <c r="BP101" s="39"/>
      <c r="BQ101" s="72" t="str">
        <f t="shared" si="54"/>
        <v/>
      </c>
      <c r="BR101" s="72" t="str">
        <f t="shared" si="74"/>
        <v/>
      </c>
    </row>
    <row r="102" spans="4:70" x14ac:dyDescent="0.15">
      <c r="F102" s="487"/>
      <c r="I102" s="322">
        <f t="shared" si="75"/>
        <v>2107</v>
      </c>
      <c r="K102" s="71">
        <f t="shared" si="76"/>
        <v>88</v>
      </c>
      <c r="M102" s="7">
        <f t="shared" si="39"/>
        <v>7.4186387889959446E-2</v>
      </c>
      <c r="O102" s="10" t="str">
        <f t="shared" si="55"/>
        <v/>
      </c>
      <c r="P102" s="29" t="str">
        <f t="shared" si="40"/>
        <v/>
      </c>
      <c r="R102" s="10" t="str">
        <f t="shared" si="56"/>
        <v/>
      </c>
      <c r="T102" s="10" t="str">
        <f t="shared" si="57"/>
        <v/>
      </c>
      <c r="V102" s="10" t="str">
        <f t="shared" si="41"/>
        <v/>
      </c>
      <c r="W102" s="10" t="str">
        <f t="shared" si="58"/>
        <v/>
      </c>
      <c r="Y102" s="10" t="str">
        <f t="shared" si="42"/>
        <v/>
      </c>
      <c r="Z102" s="10" t="str">
        <f t="shared" si="59"/>
        <v/>
      </c>
      <c r="AB102" s="10" t="str">
        <f t="shared" si="43"/>
        <v/>
      </c>
      <c r="AC102" s="10" t="str">
        <f t="shared" si="60"/>
        <v/>
      </c>
      <c r="AE102" s="10" t="str">
        <f t="shared" si="44"/>
        <v/>
      </c>
      <c r="AF102" s="10" t="str">
        <f t="shared" si="61"/>
        <v/>
      </c>
      <c r="AH102" s="10" t="str">
        <f t="shared" si="45"/>
        <v/>
      </c>
      <c r="AI102" s="10" t="str">
        <f t="shared" si="62"/>
        <v/>
      </c>
      <c r="AK102" s="10" t="str">
        <f t="shared" si="46"/>
        <v/>
      </c>
      <c r="AL102" s="10" t="str">
        <f t="shared" si="63"/>
        <v/>
      </c>
      <c r="AN102" s="10" t="str">
        <f t="shared" si="47"/>
        <v/>
      </c>
      <c r="AO102" s="10" t="str">
        <f t="shared" si="64"/>
        <v/>
      </c>
      <c r="AQ102" s="10" t="str">
        <f t="shared" si="48"/>
        <v/>
      </c>
      <c r="AR102" s="10" t="str">
        <f t="shared" si="65"/>
        <v/>
      </c>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V102" s="10" t="str">
        <f t="shared" si="49"/>
        <v/>
      </c>
      <c r="AW102" s="10" t="str">
        <f t="shared" si="66"/>
        <v/>
      </c>
      <c r="AY102" s="7" t="str">
        <f>IF(ISERROR(IF($K102&lt;=$F$15,VLOOKUP($I102,'表4）CO2価格'!$A$7:$E$67,VLOOKUP($F$48,'表4）CO2価格'!$H$10:$I$12,2,0),0)*$F$8/1000,"")),0,IF($K102&lt;=$F$15,VLOOKUP($I102,'表4）CO2価格'!$A$7:$E$67,VLOOKUP($F$48,'表4）CO2価格'!$H$10:$I$12,2,0),0)*$F$8/1000,""))</f>
        <v/>
      </c>
      <c r="BA102" s="11" t="str">
        <f t="shared" si="50"/>
        <v/>
      </c>
      <c r="BB102" s="10" t="str">
        <f t="shared" si="67"/>
        <v/>
      </c>
      <c r="BD102" s="10" t="str">
        <f t="shared" si="51"/>
        <v/>
      </c>
      <c r="BE102" s="10" t="str">
        <f t="shared" si="68"/>
        <v/>
      </c>
      <c r="BG102" s="11" t="str">
        <f t="shared" si="52"/>
        <v/>
      </c>
      <c r="BH102" s="10" t="str">
        <f t="shared" si="69"/>
        <v/>
      </c>
      <c r="BJ102" s="7" t="str">
        <f t="shared" si="70"/>
        <v/>
      </c>
      <c r="BK102" s="158" t="str">
        <f t="shared" si="71"/>
        <v/>
      </c>
      <c r="BL102" s="158" t="str">
        <f t="shared" si="53"/>
        <v/>
      </c>
      <c r="BM102" s="10"/>
      <c r="BN102" s="10" t="str">
        <f t="shared" si="72"/>
        <v/>
      </c>
      <c r="BO102" s="10" t="str">
        <f t="shared" si="73"/>
        <v/>
      </c>
      <c r="BQ102" s="10" t="str">
        <f t="shared" si="54"/>
        <v/>
      </c>
      <c r="BR102" s="10" t="str">
        <f t="shared" si="74"/>
        <v/>
      </c>
    </row>
    <row r="103" spans="4:70" x14ac:dyDescent="0.15">
      <c r="E103" s="84" t="s">
        <v>601</v>
      </c>
      <c r="F103" s="488">
        <f>BB116/$BR$116</f>
        <v>0</v>
      </c>
      <c r="G103" s="84" t="s">
        <v>590</v>
      </c>
      <c r="I103" s="38">
        <f t="shared" si="75"/>
        <v>2108</v>
      </c>
      <c r="J103" s="39"/>
      <c r="K103" s="39">
        <f t="shared" si="76"/>
        <v>89</v>
      </c>
      <c r="L103" s="39"/>
      <c r="M103" s="40">
        <f t="shared" si="39"/>
        <v>7.2025619310640235E-2</v>
      </c>
      <c r="N103" s="39"/>
      <c r="O103" s="72" t="str">
        <f t="shared" si="55"/>
        <v/>
      </c>
      <c r="P103" s="41" t="str">
        <f t="shared" si="40"/>
        <v/>
      </c>
      <c r="Q103" s="39"/>
      <c r="R103" s="72" t="str">
        <f t="shared" si="56"/>
        <v/>
      </c>
      <c r="S103" s="39"/>
      <c r="T103" s="72" t="str">
        <f t="shared" si="57"/>
        <v/>
      </c>
      <c r="U103" s="39"/>
      <c r="V103" s="72" t="str">
        <f t="shared" si="41"/>
        <v/>
      </c>
      <c r="W103" s="72" t="str">
        <f t="shared" si="58"/>
        <v/>
      </c>
      <c r="X103" s="39"/>
      <c r="Y103" s="72" t="str">
        <f t="shared" si="42"/>
        <v/>
      </c>
      <c r="Z103" s="72" t="str">
        <f t="shared" si="59"/>
        <v/>
      </c>
      <c r="AA103" s="39"/>
      <c r="AB103" s="72" t="str">
        <f t="shared" si="43"/>
        <v/>
      </c>
      <c r="AC103" s="72" t="str">
        <f t="shared" si="60"/>
        <v/>
      </c>
      <c r="AD103" s="39"/>
      <c r="AE103" s="72" t="str">
        <f t="shared" si="44"/>
        <v/>
      </c>
      <c r="AF103" s="72" t="str">
        <f t="shared" si="61"/>
        <v/>
      </c>
      <c r="AG103" s="39"/>
      <c r="AH103" s="72" t="str">
        <f t="shared" si="45"/>
        <v/>
      </c>
      <c r="AI103" s="72" t="str">
        <f t="shared" si="62"/>
        <v/>
      </c>
      <c r="AJ103" s="39"/>
      <c r="AK103" s="72" t="str">
        <f t="shared" si="46"/>
        <v/>
      </c>
      <c r="AL103" s="72" t="str">
        <f t="shared" si="63"/>
        <v/>
      </c>
      <c r="AM103" s="39"/>
      <c r="AN103" s="72" t="str">
        <f t="shared" si="47"/>
        <v/>
      </c>
      <c r="AO103" s="72" t="str">
        <f t="shared" si="64"/>
        <v/>
      </c>
      <c r="AP103" s="39"/>
      <c r="AQ103" s="72" t="str">
        <f t="shared" si="48"/>
        <v/>
      </c>
      <c r="AR103" s="72" t="str">
        <f t="shared" si="65"/>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49"/>
        <v/>
      </c>
      <c r="AW103" s="72" t="str">
        <f t="shared" si="66"/>
        <v/>
      </c>
      <c r="AX103" s="39"/>
      <c r="AY103" s="40" t="str">
        <f>IF(ISERROR(IF($K103&lt;=$F$15,VLOOKUP($I103,'表4）CO2価格'!$A$7:$E$67,VLOOKUP($F$48,'表4）CO2価格'!$H$10:$I$12,2,0),0)*$F$8/1000,"")),0,IF($K103&lt;=$F$15,VLOOKUP($I103,'表4）CO2価格'!$A$7:$E$67,VLOOKUP($F$48,'表4）CO2価格'!$H$10:$I$12,2,0),0)*$F$8/1000,""))</f>
        <v/>
      </c>
      <c r="AZ103" s="39"/>
      <c r="BA103" s="42" t="str">
        <f t="shared" si="50"/>
        <v/>
      </c>
      <c r="BB103" s="72" t="str">
        <f t="shared" si="67"/>
        <v/>
      </c>
      <c r="BC103" s="39"/>
      <c r="BD103" s="72" t="str">
        <f t="shared" si="51"/>
        <v/>
      </c>
      <c r="BE103" s="72" t="str">
        <f t="shared" si="68"/>
        <v/>
      </c>
      <c r="BF103" s="39"/>
      <c r="BG103" s="42" t="str">
        <f t="shared" si="52"/>
        <v/>
      </c>
      <c r="BH103" s="72" t="str">
        <f t="shared" si="69"/>
        <v/>
      </c>
      <c r="BI103" s="39"/>
      <c r="BJ103" s="40" t="str">
        <f t="shared" si="70"/>
        <v/>
      </c>
      <c r="BK103" s="157" t="str">
        <f t="shared" si="71"/>
        <v/>
      </c>
      <c r="BL103" s="157" t="str">
        <f t="shared" si="53"/>
        <v/>
      </c>
      <c r="BM103" s="72"/>
      <c r="BN103" s="72" t="str">
        <f t="shared" si="72"/>
        <v/>
      </c>
      <c r="BO103" s="72" t="str">
        <f t="shared" si="73"/>
        <v/>
      </c>
      <c r="BP103" s="39"/>
      <c r="BQ103" s="72" t="str">
        <f t="shared" si="54"/>
        <v/>
      </c>
      <c r="BR103" s="72" t="str">
        <f t="shared" si="74"/>
        <v/>
      </c>
    </row>
    <row r="104" spans="4:70" x14ac:dyDescent="0.15">
      <c r="E104" s="84" t="s">
        <v>602</v>
      </c>
      <c r="F104" s="488">
        <f>IF(ISERROR(F60*(1/F61)/F62),0,F60*(1/F61)/F62)</f>
        <v>0</v>
      </c>
      <c r="G104" s="84" t="s">
        <v>590</v>
      </c>
      <c r="I104" s="322">
        <f t="shared" si="75"/>
        <v>2109</v>
      </c>
      <c r="K104" s="71">
        <f t="shared" si="76"/>
        <v>90</v>
      </c>
      <c r="M104" s="7">
        <f t="shared" si="39"/>
        <v>6.9927785738485654E-2</v>
      </c>
      <c r="O104" s="10" t="str">
        <f t="shared" si="55"/>
        <v/>
      </c>
      <c r="P104" s="29" t="str">
        <f t="shared" si="40"/>
        <v/>
      </c>
      <c r="R104" s="10" t="str">
        <f t="shared" si="56"/>
        <v/>
      </c>
      <c r="T104" s="10" t="str">
        <f t="shared" si="57"/>
        <v/>
      </c>
      <c r="V104" s="10" t="str">
        <f t="shared" si="41"/>
        <v/>
      </c>
      <c r="W104" s="10" t="str">
        <f t="shared" si="58"/>
        <v/>
      </c>
      <c r="Y104" s="10" t="str">
        <f t="shared" si="42"/>
        <v/>
      </c>
      <c r="Z104" s="10" t="str">
        <f t="shared" si="59"/>
        <v/>
      </c>
      <c r="AB104" s="10" t="str">
        <f t="shared" si="43"/>
        <v/>
      </c>
      <c r="AC104" s="10" t="str">
        <f t="shared" si="60"/>
        <v/>
      </c>
      <c r="AE104" s="10" t="str">
        <f t="shared" si="44"/>
        <v/>
      </c>
      <c r="AF104" s="10" t="str">
        <f t="shared" si="61"/>
        <v/>
      </c>
      <c r="AH104" s="10" t="str">
        <f t="shared" si="45"/>
        <v/>
      </c>
      <c r="AI104" s="10" t="str">
        <f t="shared" si="62"/>
        <v/>
      </c>
      <c r="AK104" s="10" t="str">
        <f t="shared" si="46"/>
        <v/>
      </c>
      <c r="AL104" s="10" t="str">
        <f t="shared" si="63"/>
        <v/>
      </c>
      <c r="AN104" s="10" t="str">
        <f t="shared" si="47"/>
        <v/>
      </c>
      <c r="AO104" s="10" t="str">
        <f t="shared" si="64"/>
        <v/>
      </c>
      <c r="AQ104" s="10" t="str">
        <f t="shared" si="48"/>
        <v/>
      </c>
      <c r="AR104" s="10" t="str">
        <f t="shared" si="65"/>
        <v/>
      </c>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V104" s="10" t="str">
        <f t="shared" si="49"/>
        <v/>
      </c>
      <c r="AW104" s="10" t="str">
        <f t="shared" si="66"/>
        <v/>
      </c>
      <c r="AY104" s="7" t="str">
        <f>IF(ISERROR(IF($K104&lt;=$F$15,VLOOKUP($I104,'表4）CO2価格'!$A$7:$E$67,VLOOKUP($F$48,'表4）CO2価格'!$H$10:$I$12,2,0),0)*$F$8/1000,"")),0,IF($K104&lt;=$F$15,VLOOKUP($I104,'表4）CO2価格'!$A$7:$E$67,VLOOKUP($F$48,'表4）CO2価格'!$H$10:$I$12,2,0),0)*$F$8/1000,""))</f>
        <v/>
      </c>
      <c r="BA104" s="11" t="str">
        <f t="shared" si="50"/>
        <v/>
      </c>
      <c r="BB104" s="10" t="str">
        <f t="shared" si="67"/>
        <v/>
      </c>
      <c r="BD104" s="10" t="str">
        <f t="shared" si="51"/>
        <v/>
      </c>
      <c r="BE104" s="10" t="str">
        <f t="shared" si="68"/>
        <v/>
      </c>
      <c r="BG104" s="11" t="str">
        <f t="shared" si="52"/>
        <v/>
      </c>
      <c r="BH104" s="10" t="str">
        <f t="shared" si="69"/>
        <v/>
      </c>
      <c r="BJ104" s="7" t="str">
        <f t="shared" si="70"/>
        <v/>
      </c>
      <c r="BK104" s="158" t="str">
        <f t="shared" si="71"/>
        <v/>
      </c>
      <c r="BL104" s="158" t="str">
        <f t="shared" si="53"/>
        <v/>
      </c>
      <c r="BM104" s="10"/>
      <c r="BN104" s="10" t="str">
        <f t="shared" si="72"/>
        <v/>
      </c>
      <c r="BO104" s="10" t="str">
        <f t="shared" si="73"/>
        <v/>
      </c>
      <c r="BQ104" s="10" t="str">
        <f t="shared" si="54"/>
        <v/>
      </c>
      <c r="BR104" s="10" t="str">
        <f t="shared" si="74"/>
        <v/>
      </c>
    </row>
    <row r="105" spans="4:70" x14ac:dyDescent="0.15">
      <c r="E105" s="71" t="s">
        <v>603</v>
      </c>
      <c r="F105" s="488">
        <f>F64</f>
        <v>0.15279599999999999</v>
      </c>
      <c r="G105" s="84" t="s">
        <v>590</v>
      </c>
      <c r="I105" s="38">
        <f t="shared" si="75"/>
        <v>2110</v>
      </c>
      <c r="J105" s="39"/>
      <c r="K105" s="39">
        <f t="shared" si="76"/>
        <v>91</v>
      </c>
      <c r="L105" s="39"/>
      <c r="M105" s="40">
        <f t="shared" si="39"/>
        <v>6.7891054115034627E-2</v>
      </c>
      <c r="N105" s="39"/>
      <c r="O105" s="72" t="str">
        <f t="shared" si="55"/>
        <v/>
      </c>
      <c r="P105" s="41" t="str">
        <f t="shared" si="40"/>
        <v/>
      </c>
      <c r="Q105" s="39"/>
      <c r="R105" s="72" t="str">
        <f t="shared" si="56"/>
        <v/>
      </c>
      <c r="S105" s="39"/>
      <c r="T105" s="72" t="str">
        <f t="shared" si="57"/>
        <v/>
      </c>
      <c r="U105" s="39"/>
      <c r="V105" s="72" t="str">
        <f t="shared" si="41"/>
        <v/>
      </c>
      <c r="W105" s="72" t="str">
        <f t="shared" si="58"/>
        <v/>
      </c>
      <c r="X105" s="39"/>
      <c r="Y105" s="72" t="str">
        <f t="shared" si="42"/>
        <v/>
      </c>
      <c r="Z105" s="72" t="str">
        <f t="shared" si="59"/>
        <v/>
      </c>
      <c r="AA105" s="39"/>
      <c r="AB105" s="72" t="str">
        <f t="shared" si="43"/>
        <v/>
      </c>
      <c r="AC105" s="72" t="str">
        <f t="shared" si="60"/>
        <v/>
      </c>
      <c r="AD105" s="39"/>
      <c r="AE105" s="72" t="str">
        <f t="shared" si="44"/>
        <v/>
      </c>
      <c r="AF105" s="72" t="str">
        <f t="shared" si="61"/>
        <v/>
      </c>
      <c r="AG105" s="39"/>
      <c r="AH105" s="72" t="str">
        <f t="shared" si="45"/>
        <v/>
      </c>
      <c r="AI105" s="72" t="str">
        <f t="shared" si="62"/>
        <v/>
      </c>
      <c r="AJ105" s="39"/>
      <c r="AK105" s="72" t="str">
        <f t="shared" si="46"/>
        <v/>
      </c>
      <c r="AL105" s="72" t="str">
        <f t="shared" si="63"/>
        <v/>
      </c>
      <c r="AM105" s="39"/>
      <c r="AN105" s="72" t="str">
        <f t="shared" si="47"/>
        <v/>
      </c>
      <c r="AO105" s="72" t="str">
        <f t="shared" si="64"/>
        <v/>
      </c>
      <c r="AP105" s="39"/>
      <c r="AQ105" s="72" t="str">
        <f t="shared" si="48"/>
        <v/>
      </c>
      <c r="AR105" s="72" t="str">
        <f t="shared" si="65"/>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49"/>
        <v/>
      </c>
      <c r="AW105" s="72" t="str">
        <f t="shared" si="66"/>
        <v/>
      </c>
      <c r="AX105" s="39"/>
      <c r="AY105" s="40" t="str">
        <f>IF(ISERROR(IF($K105&lt;=$F$15,VLOOKUP($I105,'表4）CO2価格'!$A$7:$E$67,VLOOKUP($F$48,'表4）CO2価格'!$H$10:$I$12,2,0),0)*$F$8/1000,"")),0,IF($K105&lt;=$F$15,VLOOKUP($I105,'表4）CO2価格'!$A$7:$E$67,VLOOKUP($F$48,'表4）CO2価格'!$H$10:$I$12,2,0),0)*$F$8/1000,""))</f>
        <v/>
      </c>
      <c r="AZ105" s="39"/>
      <c r="BA105" s="42" t="str">
        <f t="shared" si="50"/>
        <v/>
      </c>
      <c r="BB105" s="72" t="str">
        <f t="shared" si="67"/>
        <v/>
      </c>
      <c r="BC105" s="39"/>
      <c r="BD105" s="72" t="str">
        <f t="shared" si="51"/>
        <v/>
      </c>
      <c r="BE105" s="72" t="str">
        <f t="shared" si="68"/>
        <v/>
      </c>
      <c r="BF105" s="39"/>
      <c r="BG105" s="42" t="str">
        <f t="shared" si="52"/>
        <v/>
      </c>
      <c r="BH105" s="72" t="str">
        <f t="shared" si="69"/>
        <v/>
      </c>
      <c r="BI105" s="39"/>
      <c r="BJ105" s="40" t="str">
        <f t="shared" si="70"/>
        <v/>
      </c>
      <c r="BK105" s="157" t="str">
        <f t="shared" si="71"/>
        <v/>
      </c>
      <c r="BL105" s="157" t="str">
        <f t="shared" si="53"/>
        <v/>
      </c>
      <c r="BM105" s="72"/>
      <c r="BN105" s="72" t="str">
        <f t="shared" si="72"/>
        <v/>
      </c>
      <c r="BO105" s="72" t="str">
        <f t="shared" si="73"/>
        <v/>
      </c>
      <c r="BP105" s="39"/>
      <c r="BQ105" s="72" t="str">
        <f t="shared" si="54"/>
        <v/>
      </c>
      <c r="BR105" s="72" t="str">
        <f t="shared" si="74"/>
        <v/>
      </c>
    </row>
    <row r="106" spans="4:70" x14ac:dyDescent="0.15">
      <c r="F106" s="487"/>
      <c r="I106" s="322">
        <f t="shared" si="75"/>
        <v>2111</v>
      </c>
      <c r="K106" s="71">
        <f t="shared" si="76"/>
        <v>92</v>
      </c>
      <c r="M106" s="7">
        <f t="shared" si="39"/>
        <v>6.5913644771878277E-2</v>
      </c>
      <c r="O106" s="10" t="str">
        <f t="shared" si="55"/>
        <v/>
      </c>
      <c r="P106" s="29" t="str">
        <f t="shared" si="40"/>
        <v/>
      </c>
      <c r="R106" s="10" t="str">
        <f t="shared" si="56"/>
        <v/>
      </c>
      <c r="T106" s="10" t="str">
        <f t="shared" si="57"/>
        <v/>
      </c>
      <c r="V106" s="10" t="str">
        <f t="shared" si="41"/>
        <v/>
      </c>
      <c r="W106" s="10" t="str">
        <f t="shared" si="58"/>
        <v/>
      </c>
      <c r="Y106" s="10" t="str">
        <f t="shared" si="42"/>
        <v/>
      </c>
      <c r="Z106" s="10" t="str">
        <f t="shared" si="59"/>
        <v/>
      </c>
      <c r="AB106" s="10" t="str">
        <f t="shared" si="43"/>
        <v/>
      </c>
      <c r="AC106" s="10" t="str">
        <f t="shared" si="60"/>
        <v/>
      </c>
      <c r="AE106" s="10" t="str">
        <f t="shared" si="44"/>
        <v/>
      </c>
      <c r="AF106" s="10" t="str">
        <f t="shared" si="61"/>
        <v/>
      </c>
      <c r="AH106" s="10" t="str">
        <f t="shared" si="45"/>
        <v/>
      </c>
      <c r="AI106" s="10" t="str">
        <f t="shared" si="62"/>
        <v/>
      </c>
      <c r="AK106" s="10" t="str">
        <f t="shared" si="46"/>
        <v/>
      </c>
      <c r="AL106" s="10" t="str">
        <f t="shared" si="63"/>
        <v/>
      </c>
      <c r="AN106" s="10" t="str">
        <f t="shared" si="47"/>
        <v/>
      </c>
      <c r="AO106" s="10" t="str">
        <f t="shared" si="64"/>
        <v/>
      </c>
      <c r="AQ106" s="10" t="str">
        <f t="shared" si="48"/>
        <v/>
      </c>
      <c r="AR106" s="10" t="str">
        <f t="shared" si="65"/>
        <v/>
      </c>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V106" s="10" t="str">
        <f t="shared" si="49"/>
        <v/>
      </c>
      <c r="AW106" s="10" t="str">
        <f t="shared" si="66"/>
        <v/>
      </c>
      <c r="AY106" s="7" t="str">
        <f>IF(ISERROR(IF($K106&lt;=$F$15,VLOOKUP($I106,'表4）CO2価格'!$A$7:$E$67,VLOOKUP($F$48,'表4）CO2価格'!$H$10:$I$12,2,0),0)*$F$8/1000,"")),0,IF($K106&lt;=$F$15,VLOOKUP($I106,'表4）CO2価格'!$A$7:$E$67,VLOOKUP($F$48,'表4）CO2価格'!$H$10:$I$12,2,0),0)*$F$8/1000,""))</f>
        <v/>
      </c>
      <c r="BA106" s="11" t="str">
        <f t="shared" si="50"/>
        <v/>
      </c>
      <c r="BB106" s="10" t="str">
        <f t="shared" si="67"/>
        <v/>
      </c>
      <c r="BD106" s="10" t="str">
        <f t="shared" si="51"/>
        <v/>
      </c>
      <c r="BE106" s="10" t="str">
        <f t="shared" si="68"/>
        <v/>
      </c>
      <c r="BG106" s="11" t="str">
        <f t="shared" si="52"/>
        <v/>
      </c>
      <c r="BH106" s="10" t="str">
        <f t="shared" si="69"/>
        <v/>
      </c>
      <c r="BJ106" s="7" t="str">
        <f t="shared" si="70"/>
        <v/>
      </c>
      <c r="BK106" s="158" t="str">
        <f t="shared" si="71"/>
        <v/>
      </c>
      <c r="BL106" s="158" t="str">
        <f t="shared" si="53"/>
        <v/>
      </c>
      <c r="BM106" s="10"/>
      <c r="BN106" s="10" t="str">
        <f t="shared" si="72"/>
        <v/>
      </c>
      <c r="BO106" s="10" t="str">
        <f t="shared" si="73"/>
        <v/>
      </c>
      <c r="BQ106" s="10" t="str">
        <f t="shared" si="54"/>
        <v/>
      </c>
      <c r="BR106" s="10" t="str">
        <f t="shared" si="74"/>
        <v/>
      </c>
    </row>
    <row r="107" spans="4:70" ht="15" x14ac:dyDescent="0.15">
      <c r="D107" s="103" t="s">
        <v>604</v>
      </c>
      <c r="F107" s="484">
        <f>SUBTOTAL(9,F111:F112)</f>
        <v>0</v>
      </c>
      <c r="G107" s="84" t="s">
        <v>590</v>
      </c>
      <c r="I107" s="38">
        <f t="shared" si="75"/>
        <v>2112</v>
      </c>
      <c r="J107" s="39"/>
      <c r="K107" s="39">
        <f t="shared" si="76"/>
        <v>93</v>
      </c>
      <c r="L107" s="39"/>
      <c r="M107" s="40">
        <f t="shared" si="39"/>
        <v>6.3993829875609989E-2</v>
      </c>
      <c r="N107" s="39"/>
      <c r="O107" s="72" t="str">
        <f t="shared" si="55"/>
        <v/>
      </c>
      <c r="P107" s="41" t="str">
        <f t="shared" si="40"/>
        <v/>
      </c>
      <c r="Q107" s="39"/>
      <c r="R107" s="72" t="str">
        <f t="shared" si="56"/>
        <v/>
      </c>
      <c r="S107" s="39"/>
      <c r="T107" s="72" t="str">
        <f t="shared" si="57"/>
        <v/>
      </c>
      <c r="U107" s="39"/>
      <c r="V107" s="72" t="str">
        <f t="shared" si="41"/>
        <v/>
      </c>
      <c r="W107" s="72" t="str">
        <f t="shared" si="58"/>
        <v/>
      </c>
      <c r="X107" s="39"/>
      <c r="Y107" s="72" t="str">
        <f t="shared" si="42"/>
        <v/>
      </c>
      <c r="Z107" s="72" t="str">
        <f t="shared" si="59"/>
        <v/>
      </c>
      <c r="AA107" s="39"/>
      <c r="AB107" s="72" t="str">
        <f t="shared" si="43"/>
        <v/>
      </c>
      <c r="AC107" s="72" t="str">
        <f t="shared" si="60"/>
        <v/>
      </c>
      <c r="AD107" s="39"/>
      <c r="AE107" s="72" t="str">
        <f t="shared" si="44"/>
        <v/>
      </c>
      <c r="AF107" s="72" t="str">
        <f t="shared" si="61"/>
        <v/>
      </c>
      <c r="AG107" s="39"/>
      <c r="AH107" s="72" t="str">
        <f t="shared" si="45"/>
        <v/>
      </c>
      <c r="AI107" s="72" t="str">
        <f t="shared" si="62"/>
        <v/>
      </c>
      <c r="AJ107" s="39"/>
      <c r="AK107" s="72" t="str">
        <f t="shared" si="46"/>
        <v/>
      </c>
      <c r="AL107" s="72" t="str">
        <f t="shared" si="63"/>
        <v/>
      </c>
      <c r="AM107" s="39"/>
      <c r="AN107" s="72" t="str">
        <f t="shared" si="47"/>
        <v/>
      </c>
      <c r="AO107" s="72" t="str">
        <f t="shared" si="64"/>
        <v/>
      </c>
      <c r="AP107" s="39"/>
      <c r="AQ107" s="72" t="str">
        <f t="shared" si="48"/>
        <v/>
      </c>
      <c r="AR107" s="72" t="str">
        <f t="shared" si="65"/>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49"/>
        <v/>
      </c>
      <c r="AW107" s="72" t="str">
        <f t="shared" si="66"/>
        <v/>
      </c>
      <c r="AX107" s="39"/>
      <c r="AY107" s="40" t="str">
        <f>IF(ISERROR(IF($K107&lt;=$F$15,VLOOKUP($I107,'表4）CO2価格'!$A$7:$E$67,VLOOKUP($F$48,'表4）CO2価格'!$H$10:$I$12,2,0),0)*$F$8/1000,"")),0,IF($K107&lt;=$F$15,VLOOKUP($I107,'表4）CO2価格'!$A$7:$E$67,VLOOKUP($F$48,'表4）CO2価格'!$H$10:$I$12,2,0),0)*$F$8/1000,""))</f>
        <v/>
      </c>
      <c r="AZ107" s="39"/>
      <c r="BA107" s="42" t="str">
        <f t="shared" si="50"/>
        <v/>
      </c>
      <c r="BB107" s="72" t="str">
        <f t="shared" si="67"/>
        <v/>
      </c>
      <c r="BC107" s="39"/>
      <c r="BD107" s="72" t="str">
        <f t="shared" si="51"/>
        <v/>
      </c>
      <c r="BE107" s="72" t="str">
        <f t="shared" si="68"/>
        <v/>
      </c>
      <c r="BF107" s="39"/>
      <c r="BG107" s="42" t="str">
        <f t="shared" si="52"/>
        <v/>
      </c>
      <c r="BH107" s="72" t="str">
        <f t="shared" si="69"/>
        <v/>
      </c>
      <c r="BI107" s="39"/>
      <c r="BJ107" s="40" t="str">
        <f t="shared" si="70"/>
        <v/>
      </c>
      <c r="BK107" s="157" t="str">
        <f t="shared" si="71"/>
        <v/>
      </c>
      <c r="BL107" s="157" t="str">
        <f t="shared" si="53"/>
        <v/>
      </c>
      <c r="BM107" s="72"/>
      <c r="BN107" s="72" t="str">
        <f t="shared" si="72"/>
        <v/>
      </c>
      <c r="BO107" s="72" t="str">
        <f t="shared" si="73"/>
        <v/>
      </c>
      <c r="BP107" s="39"/>
      <c r="BQ107" s="72" t="str">
        <f t="shared" si="54"/>
        <v/>
      </c>
      <c r="BR107" s="72" t="str">
        <f t="shared" si="74"/>
        <v/>
      </c>
    </row>
    <row r="108" spans="4:70" ht="15" x14ac:dyDescent="0.15">
      <c r="D108" s="103"/>
      <c r="F108" s="487"/>
      <c r="I108" s="322">
        <f t="shared" si="75"/>
        <v>2113</v>
      </c>
      <c r="K108" s="71">
        <f t="shared" si="76"/>
        <v>94</v>
      </c>
      <c r="M108" s="7">
        <f t="shared" si="39"/>
        <v>6.212993191806794E-2</v>
      </c>
      <c r="O108" s="10" t="str">
        <f t="shared" si="55"/>
        <v/>
      </c>
      <c r="P108" s="29" t="str">
        <f t="shared" si="40"/>
        <v/>
      </c>
      <c r="R108" s="10" t="str">
        <f t="shared" si="56"/>
        <v/>
      </c>
      <c r="T108" s="10" t="str">
        <f t="shared" si="57"/>
        <v/>
      </c>
      <c r="V108" s="10" t="str">
        <f t="shared" si="41"/>
        <v/>
      </c>
      <c r="W108" s="10" t="str">
        <f t="shared" si="58"/>
        <v/>
      </c>
      <c r="Y108" s="10" t="str">
        <f t="shared" si="42"/>
        <v/>
      </c>
      <c r="Z108" s="10" t="str">
        <f t="shared" si="59"/>
        <v/>
      </c>
      <c r="AB108" s="10" t="str">
        <f t="shared" si="43"/>
        <v/>
      </c>
      <c r="AC108" s="10" t="str">
        <f t="shared" si="60"/>
        <v/>
      </c>
      <c r="AE108" s="10" t="str">
        <f t="shared" si="44"/>
        <v/>
      </c>
      <c r="AF108" s="10" t="str">
        <f t="shared" si="61"/>
        <v/>
      </c>
      <c r="AH108" s="10" t="str">
        <f t="shared" si="45"/>
        <v/>
      </c>
      <c r="AI108" s="10" t="str">
        <f t="shared" si="62"/>
        <v/>
      </c>
      <c r="AK108" s="10" t="str">
        <f t="shared" si="46"/>
        <v/>
      </c>
      <c r="AL108" s="10" t="str">
        <f t="shared" si="63"/>
        <v/>
      </c>
      <c r="AN108" s="10" t="str">
        <f t="shared" si="47"/>
        <v/>
      </c>
      <c r="AO108" s="10" t="str">
        <f t="shared" si="64"/>
        <v/>
      </c>
      <c r="AQ108" s="10" t="str">
        <f t="shared" si="48"/>
        <v/>
      </c>
      <c r="AR108" s="10" t="str">
        <f t="shared" si="65"/>
        <v/>
      </c>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V108" s="10" t="str">
        <f t="shared" si="49"/>
        <v/>
      </c>
      <c r="AW108" s="10" t="str">
        <f t="shared" si="66"/>
        <v/>
      </c>
      <c r="AY108" s="7" t="str">
        <f>IF(ISERROR(IF($K108&lt;=$F$15,VLOOKUP($I108,'表4）CO2価格'!$A$7:$E$67,VLOOKUP($F$48,'表4）CO2価格'!$H$10:$I$12,2,0),0)*$F$8/1000,"")),0,IF($K108&lt;=$F$15,VLOOKUP($I108,'表4）CO2価格'!$A$7:$E$67,VLOOKUP($F$48,'表4）CO2価格'!$H$10:$I$12,2,0),0)*$F$8/1000,""))</f>
        <v/>
      </c>
      <c r="BA108" s="11" t="str">
        <f t="shared" si="50"/>
        <v/>
      </c>
      <c r="BB108" s="10" t="str">
        <f t="shared" si="67"/>
        <v/>
      </c>
      <c r="BD108" s="10" t="str">
        <f t="shared" si="51"/>
        <v/>
      </c>
      <c r="BE108" s="10" t="str">
        <f t="shared" si="68"/>
        <v/>
      </c>
      <c r="BG108" s="11" t="str">
        <f t="shared" si="52"/>
        <v/>
      </c>
      <c r="BH108" s="10" t="str">
        <f t="shared" si="69"/>
        <v/>
      </c>
      <c r="BJ108" s="7" t="str">
        <f t="shared" si="70"/>
        <v/>
      </c>
      <c r="BK108" s="158" t="str">
        <f t="shared" si="71"/>
        <v/>
      </c>
      <c r="BL108" s="158" t="str">
        <f t="shared" si="53"/>
        <v/>
      </c>
      <c r="BM108" s="10"/>
      <c r="BN108" s="10" t="str">
        <f t="shared" si="72"/>
        <v/>
      </c>
      <c r="BO108" s="10" t="str">
        <f t="shared" si="73"/>
        <v/>
      </c>
      <c r="BQ108" s="10" t="str">
        <f t="shared" si="54"/>
        <v/>
      </c>
      <c r="BR108" s="10" t="str">
        <f t="shared" si="74"/>
        <v/>
      </c>
    </row>
    <row r="109" spans="4:70" x14ac:dyDescent="0.15">
      <c r="D109" s="100" t="s">
        <v>605</v>
      </c>
      <c r="E109" s="100"/>
      <c r="F109" s="486"/>
      <c r="G109" s="100"/>
      <c r="I109" s="38">
        <f t="shared" si="75"/>
        <v>2114</v>
      </c>
      <c r="J109" s="39"/>
      <c r="K109" s="39">
        <f t="shared" si="76"/>
        <v>95</v>
      </c>
      <c r="L109" s="39"/>
      <c r="M109" s="40">
        <f t="shared" si="39"/>
        <v>6.0320322250551395E-2</v>
      </c>
      <c r="N109" s="39"/>
      <c r="O109" s="72" t="str">
        <f t="shared" si="55"/>
        <v/>
      </c>
      <c r="P109" s="41" t="str">
        <f t="shared" si="40"/>
        <v/>
      </c>
      <c r="Q109" s="39"/>
      <c r="R109" s="72" t="str">
        <f t="shared" si="56"/>
        <v/>
      </c>
      <c r="S109" s="39"/>
      <c r="T109" s="72" t="str">
        <f t="shared" si="57"/>
        <v/>
      </c>
      <c r="U109" s="39"/>
      <c r="V109" s="72" t="str">
        <f t="shared" si="41"/>
        <v/>
      </c>
      <c r="W109" s="72" t="str">
        <f t="shared" si="58"/>
        <v/>
      </c>
      <c r="X109" s="39"/>
      <c r="Y109" s="72" t="str">
        <f t="shared" si="42"/>
        <v/>
      </c>
      <c r="Z109" s="72" t="str">
        <f t="shared" si="59"/>
        <v/>
      </c>
      <c r="AA109" s="39"/>
      <c r="AB109" s="72" t="str">
        <f t="shared" si="43"/>
        <v/>
      </c>
      <c r="AC109" s="72" t="str">
        <f t="shared" si="60"/>
        <v/>
      </c>
      <c r="AD109" s="39"/>
      <c r="AE109" s="72" t="str">
        <f t="shared" si="44"/>
        <v/>
      </c>
      <c r="AF109" s="72" t="str">
        <f t="shared" si="61"/>
        <v/>
      </c>
      <c r="AG109" s="39"/>
      <c r="AH109" s="72" t="str">
        <f t="shared" si="45"/>
        <v/>
      </c>
      <c r="AI109" s="72" t="str">
        <f t="shared" si="62"/>
        <v/>
      </c>
      <c r="AJ109" s="39"/>
      <c r="AK109" s="72" t="str">
        <f t="shared" si="46"/>
        <v/>
      </c>
      <c r="AL109" s="72" t="str">
        <f t="shared" si="63"/>
        <v/>
      </c>
      <c r="AM109" s="39"/>
      <c r="AN109" s="72" t="str">
        <f t="shared" si="47"/>
        <v/>
      </c>
      <c r="AO109" s="72" t="str">
        <f t="shared" si="64"/>
        <v/>
      </c>
      <c r="AP109" s="39"/>
      <c r="AQ109" s="72" t="str">
        <f t="shared" si="48"/>
        <v/>
      </c>
      <c r="AR109" s="72" t="str">
        <f t="shared" si="65"/>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49"/>
        <v/>
      </c>
      <c r="AW109" s="72" t="str">
        <f t="shared" si="66"/>
        <v/>
      </c>
      <c r="AX109" s="39"/>
      <c r="AY109" s="40" t="str">
        <f>IF(ISERROR(IF($K109&lt;=$F$15,VLOOKUP($I109,'表4）CO2価格'!$A$7:$E$67,VLOOKUP($F$48,'表4）CO2価格'!$H$10:$I$12,2,0),0)*$F$8/1000,"")),0,IF($K109&lt;=$F$15,VLOOKUP($I109,'表4）CO2価格'!$A$7:$E$67,VLOOKUP($F$48,'表4）CO2価格'!$H$10:$I$12,2,0),0)*$F$8/1000,""))</f>
        <v/>
      </c>
      <c r="AZ109" s="39"/>
      <c r="BA109" s="42" t="str">
        <f t="shared" si="50"/>
        <v/>
      </c>
      <c r="BB109" s="72" t="str">
        <f t="shared" si="67"/>
        <v/>
      </c>
      <c r="BC109" s="39"/>
      <c r="BD109" s="72" t="str">
        <f t="shared" si="51"/>
        <v/>
      </c>
      <c r="BE109" s="72" t="str">
        <f t="shared" si="68"/>
        <v/>
      </c>
      <c r="BF109" s="39"/>
      <c r="BG109" s="42" t="str">
        <f t="shared" si="52"/>
        <v/>
      </c>
      <c r="BH109" s="72" t="str">
        <f t="shared" si="69"/>
        <v/>
      </c>
      <c r="BI109" s="39"/>
      <c r="BJ109" s="40" t="str">
        <f t="shared" si="70"/>
        <v/>
      </c>
      <c r="BK109" s="157" t="str">
        <f t="shared" si="71"/>
        <v/>
      </c>
      <c r="BL109" s="157" t="str">
        <f t="shared" si="53"/>
        <v/>
      </c>
      <c r="BM109" s="72"/>
      <c r="BN109" s="72" t="str">
        <f t="shared" si="72"/>
        <v/>
      </c>
      <c r="BO109" s="72" t="str">
        <f t="shared" si="73"/>
        <v/>
      </c>
      <c r="BP109" s="39"/>
      <c r="BQ109" s="72" t="str">
        <f t="shared" si="54"/>
        <v/>
      </c>
      <c r="BR109" s="72" t="str">
        <f t="shared" si="74"/>
        <v/>
      </c>
    </row>
    <row r="110" spans="4:70" ht="15" x14ac:dyDescent="0.15">
      <c r="D110" s="103"/>
      <c r="F110" s="487"/>
      <c r="I110" s="322">
        <f t="shared" si="75"/>
        <v>2115</v>
      </c>
      <c r="K110" s="71">
        <f t="shared" si="76"/>
        <v>96</v>
      </c>
      <c r="M110" s="7">
        <f t="shared" si="39"/>
        <v>5.8563419660729518E-2</v>
      </c>
      <c r="O110" s="10" t="str">
        <f t="shared" si="55"/>
        <v/>
      </c>
      <c r="P110" s="29" t="str">
        <f t="shared" si="40"/>
        <v/>
      </c>
      <c r="R110" s="10" t="str">
        <f t="shared" si="56"/>
        <v/>
      </c>
      <c r="T110" s="10" t="str">
        <f t="shared" si="57"/>
        <v/>
      </c>
      <c r="V110" s="10" t="str">
        <f t="shared" si="41"/>
        <v/>
      </c>
      <c r="W110" s="10" t="str">
        <f t="shared" si="58"/>
        <v/>
      </c>
      <c r="Y110" s="10" t="str">
        <f t="shared" si="42"/>
        <v/>
      </c>
      <c r="Z110" s="10" t="str">
        <f t="shared" si="59"/>
        <v/>
      </c>
      <c r="AB110" s="10" t="str">
        <f t="shared" si="43"/>
        <v/>
      </c>
      <c r="AC110" s="10" t="str">
        <f t="shared" si="60"/>
        <v/>
      </c>
      <c r="AE110" s="10" t="str">
        <f t="shared" si="44"/>
        <v/>
      </c>
      <c r="AF110" s="10" t="str">
        <f t="shared" si="61"/>
        <v/>
      </c>
      <c r="AH110" s="10" t="str">
        <f t="shared" si="45"/>
        <v/>
      </c>
      <c r="AI110" s="10" t="str">
        <f t="shared" si="62"/>
        <v/>
      </c>
      <c r="AK110" s="10" t="str">
        <f t="shared" si="46"/>
        <v/>
      </c>
      <c r="AL110" s="10" t="str">
        <f t="shared" si="63"/>
        <v/>
      </c>
      <c r="AN110" s="10" t="str">
        <f t="shared" si="47"/>
        <v/>
      </c>
      <c r="AO110" s="10" t="str">
        <f t="shared" si="64"/>
        <v/>
      </c>
      <c r="AQ110" s="10" t="str">
        <f t="shared" si="48"/>
        <v/>
      </c>
      <c r="AR110" s="10" t="str">
        <f t="shared" si="65"/>
        <v/>
      </c>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V110" s="10" t="str">
        <f t="shared" si="49"/>
        <v/>
      </c>
      <c r="AW110" s="10" t="str">
        <f t="shared" si="66"/>
        <v/>
      </c>
      <c r="AY110" s="7" t="str">
        <f>IF(ISERROR(IF($K110&lt;=$F$15,VLOOKUP($I110,'表4）CO2価格'!$A$7:$E$67,VLOOKUP($F$48,'表4）CO2価格'!$H$10:$I$12,2,0),0)*$F$8/1000,"")),0,IF($K110&lt;=$F$15,VLOOKUP($I110,'表4）CO2価格'!$A$7:$E$67,VLOOKUP($F$48,'表4）CO2価格'!$H$10:$I$12,2,0),0)*$F$8/1000,""))</f>
        <v/>
      </c>
      <c r="BA110" s="11" t="str">
        <f t="shared" si="50"/>
        <v/>
      </c>
      <c r="BB110" s="10" t="str">
        <f t="shared" si="67"/>
        <v/>
      </c>
      <c r="BD110" s="10" t="str">
        <f t="shared" si="51"/>
        <v/>
      </c>
      <c r="BE110" s="10" t="str">
        <f t="shared" si="68"/>
        <v/>
      </c>
      <c r="BG110" s="11" t="str">
        <f t="shared" si="52"/>
        <v/>
      </c>
      <c r="BH110" s="10" t="str">
        <f t="shared" si="69"/>
        <v/>
      </c>
      <c r="BJ110" s="7" t="str">
        <f t="shared" si="70"/>
        <v/>
      </c>
      <c r="BK110" s="158" t="str">
        <f t="shared" si="71"/>
        <v/>
      </c>
      <c r="BL110" s="158" t="str">
        <f t="shared" si="53"/>
        <v/>
      </c>
      <c r="BM110" s="10"/>
      <c r="BN110" s="10" t="str">
        <f t="shared" si="72"/>
        <v/>
      </c>
      <c r="BO110" s="10" t="str">
        <f t="shared" si="73"/>
        <v/>
      </c>
      <c r="BQ110" s="10" t="str">
        <f t="shared" si="54"/>
        <v/>
      </c>
      <c r="BR110" s="10" t="str">
        <f t="shared" si="74"/>
        <v/>
      </c>
    </row>
    <row r="111" spans="4:70" ht="15" x14ac:dyDescent="0.15">
      <c r="D111" s="103"/>
      <c r="E111" s="84" t="s">
        <v>606</v>
      </c>
      <c r="F111" s="488">
        <f>-BE116/BR116</f>
        <v>0</v>
      </c>
      <c r="G111" s="84" t="s">
        <v>590</v>
      </c>
      <c r="I111" s="38">
        <f t="shared" si="75"/>
        <v>2116</v>
      </c>
      <c r="J111" s="39"/>
      <c r="K111" s="39">
        <f t="shared" si="76"/>
        <v>97</v>
      </c>
      <c r="L111" s="39"/>
      <c r="M111" s="40">
        <f t="shared" si="39"/>
        <v>5.6857688990999529E-2</v>
      </c>
      <c r="N111" s="39"/>
      <c r="O111" s="72" t="str">
        <f t="shared" si="55"/>
        <v/>
      </c>
      <c r="P111" s="41" t="str">
        <f>IF(K111&lt;=$F$15,IF(OR(P110=$F$124,P110="-"),"-",IF(O111*$F$123&gt;$F$127,$F$123,$F$124)),"")</f>
        <v/>
      </c>
      <c r="Q111" s="39"/>
      <c r="R111" s="72" t="str">
        <f t="shared" si="56"/>
        <v/>
      </c>
      <c r="S111" s="39"/>
      <c r="T111" s="72" t="str">
        <f t="shared" si="57"/>
        <v/>
      </c>
      <c r="U111" s="39"/>
      <c r="V111" s="72" t="str">
        <f t="shared" si="41"/>
        <v/>
      </c>
      <c r="W111" s="72" t="str">
        <f t="shared" si="58"/>
        <v/>
      </c>
      <c r="X111" s="39"/>
      <c r="Y111" s="72" t="str">
        <f t="shared" si="42"/>
        <v/>
      </c>
      <c r="Z111" s="72" t="str">
        <f t="shared" si="59"/>
        <v/>
      </c>
      <c r="AA111" s="39"/>
      <c r="AB111" s="72" t="str">
        <f t="shared" si="43"/>
        <v/>
      </c>
      <c r="AC111" s="72" t="str">
        <f t="shared" si="60"/>
        <v/>
      </c>
      <c r="AD111" s="39"/>
      <c r="AE111" s="72" t="str">
        <f t="shared" si="44"/>
        <v/>
      </c>
      <c r="AF111" s="72" t="str">
        <f t="shared" si="61"/>
        <v/>
      </c>
      <c r="AG111" s="39"/>
      <c r="AH111" s="72" t="str">
        <f t="shared" si="45"/>
        <v/>
      </c>
      <c r="AI111" s="72" t="str">
        <f t="shared" si="62"/>
        <v/>
      </c>
      <c r="AJ111" s="39"/>
      <c r="AK111" s="72" t="str">
        <f t="shared" si="46"/>
        <v/>
      </c>
      <c r="AL111" s="72" t="str">
        <f t="shared" si="63"/>
        <v/>
      </c>
      <c r="AM111" s="39"/>
      <c r="AN111" s="72" t="str">
        <f t="shared" si="47"/>
        <v/>
      </c>
      <c r="AO111" s="72" t="str">
        <f t="shared" si="64"/>
        <v/>
      </c>
      <c r="AP111" s="39"/>
      <c r="AQ111" s="72" t="str">
        <f t="shared" si="48"/>
        <v/>
      </c>
      <c r="AR111" s="72" t="str">
        <f t="shared" si="65"/>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49"/>
        <v/>
      </c>
      <c r="AW111" s="72" t="str">
        <f t="shared" si="66"/>
        <v/>
      </c>
      <c r="AX111" s="39"/>
      <c r="AY111" s="40" t="str">
        <f>IF(ISERROR(IF($K111&lt;=$F$15,VLOOKUP($I111,'表4）CO2価格'!$A$7:$E$67,VLOOKUP($F$48,'表4）CO2価格'!$H$10:$I$12,2,0),0)*$F$8/1000,"")),0,IF($K111&lt;=$F$15,VLOOKUP($I111,'表4）CO2価格'!$A$7:$E$67,VLOOKUP($F$48,'表4）CO2価格'!$H$10:$I$12,2,0),0)*$F$8/1000,""))</f>
        <v/>
      </c>
      <c r="AZ111" s="39"/>
      <c r="BA111" s="42" t="str">
        <f t="shared" si="50"/>
        <v/>
      </c>
      <c r="BB111" s="72" t="str">
        <f t="shared" si="67"/>
        <v/>
      </c>
      <c r="BC111" s="39"/>
      <c r="BD111" s="72" t="str">
        <f t="shared" si="51"/>
        <v/>
      </c>
      <c r="BE111" s="72" t="str">
        <f t="shared" si="68"/>
        <v/>
      </c>
      <c r="BF111" s="39"/>
      <c r="BG111" s="42" t="str">
        <f t="shared" si="52"/>
        <v/>
      </c>
      <c r="BH111" s="72" t="str">
        <f t="shared" si="69"/>
        <v/>
      </c>
      <c r="BI111" s="39"/>
      <c r="BJ111" s="40" t="str">
        <f t="shared" si="70"/>
        <v/>
      </c>
      <c r="BK111" s="157" t="str">
        <f t="shared" si="71"/>
        <v/>
      </c>
      <c r="BL111" s="157" t="str">
        <f t="shared" si="53"/>
        <v/>
      </c>
      <c r="BM111" s="72"/>
      <c r="BN111" s="72" t="str">
        <f t="shared" si="72"/>
        <v/>
      </c>
      <c r="BO111" s="72" t="str">
        <f t="shared" si="73"/>
        <v/>
      </c>
      <c r="BP111" s="39"/>
      <c r="BQ111" s="72" t="str">
        <f t="shared" si="54"/>
        <v/>
      </c>
      <c r="BR111" s="72" t="str">
        <f t="shared" si="74"/>
        <v/>
      </c>
    </row>
    <row r="112" spans="4:70" ht="15" x14ac:dyDescent="0.15">
      <c r="D112" s="103"/>
      <c r="E112" s="84" t="s">
        <v>607</v>
      </c>
      <c r="F112" s="488">
        <f>-BH116/BR116</f>
        <v>0</v>
      </c>
      <c r="G112" s="84" t="s">
        <v>590</v>
      </c>
      <c r="I112" s="322">
        <f t="shared" si="75"/>
        <v>2117</v>
      </c>
      <c r="K112" s="71">
        <f t="shared" si="76"/>
        <v>98</v>
      </c>
      <c r="M112" s="7">
        <f t="shared" si="39"/>
        <v>5.5201639797086935E-2</v>
      </c>
      <c r="O112" s="10" t="str">
        <f t="shared" si="55"/>
        <v/>
      </c>
      <c r="P112" s="29" t="str">
        <f>IF(K112&lt;=$F$15,IF(OR(P111=$F$124,P111="-"),"-",IF(O112*$F$123&gt;$F$127,$F$123,$F$124)),"")</f>
        <v/>
      </c>
      <c r="R112" s="10" t="str">
        <f t="shared" si="56"/>
        <v/>
      </c>
      <c r="T112" s="10" t="str">
        <f t="shared" si="57"/>
        <v/>
      </c>
      <c r="V112" s="10" t="str">
        <f t="shared" si="41"/>
        <v/>
      </c>
      <c r="W112" s="10" t="str">
        <f t="shared" si="58"/>
        <v/>
      </c>
      <c r="Y112" s="10" t="str">
        <f t="shared" si="42"/>
        <v/>
      </c>
      <c r="Z112" s="10" t="str">
        <f t="shared" si="59"/>
        <v/>
      </c>
      <c r="AB112" s="10" t="str">
        <f t="shared" si="43"/>
        <v/>
      </c>
      <c r="AC112" s="10" t="str">
        <f t="shared" si="60"/>
        <v/>
      </c>
      <c r="AE112" s="10" t="str">
        <f t="shared" si="44"/>
        <v/>
      </c>
      <c r="AF112" s="10" t="str">
        <f t="shared" si="61"/>
        <v/>
      </c>
      <c r="AH112" s="10" t="str">
        <f t="shared" si="45"/>
        <v/>
      </c>
      <c r="AI112" s="10" t="str">
        <f t="shared" si="62"/>
        <v/>
      </c>
      <c r="AK112" s="10" t="str">
        <f t="shared" si="46"/>
        <v/>
      </c>
      <c r="AL112" s="10" t="str">
        <f t="shared" si="63"/>
        <v/>
      </c>
      <c r="AN112" s="10" t="str">
        <f t="shared" si="47"/>
        <v/>
      </c>
      <c r="AO112" s="10" t="str">
        <f t="shared" si="64"/>
        <v/>
      </c>
      <c r="AQ112" s="10" t="str">
        <f t="shared" si="48"/>
        <v/>
      </c>
      <c r="AR112" s="10" t="str">
        <f t="shared" si="65"/>
        <v/>
      </c>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V112" s="10" t="str">
        <f t="shared" si="49"/>
        <v/>
      </c>
      <c r="AW112" s="10" t="str">
        <f t="shared" si="66"/>
        <v/>
      </c>
      <c r="AY112" s="7" t="str">
        <f>IF(ISERROR(IF($K112&lt;=$F$15,VLOOKUP($I112,'表4）CO2価格'!$A$7:$E$67,VLOOKUP($F$48,'表4）CO2価格'!$H$10:$I$12,2,0),0)*$F$8/1000,"")),0,IF($K112&lt;=$F$15,VLOOKUP($I112,'表4）CO2価格'!$A$7:$E$67,VLOOKUP($F$48,'表4）CO2価格'!$H$10:$I$12,2,0),0)*$F$8/1000,""))</f>
        <v/>
      </c>
      <c r="BA112" s="11" t="str">
        <f t="shared" si="50"/>
        <v/>
      </c>
      <c r="BB112" s="10" t="str">
        <f t="shared" si="67"/>
        <v/>
      </c>
      <c r="BD112" s="10" t="str">
        <f t="shared" si="51"/>
        <v/>
      </c>
      <c r="BE112" s="10" t="str">
        <f t="shared" si="68"/>
        <v/>
      </c>
      <c r="BG112" s="11" t="str">
        <f t="shared" si="52"/>
        <v/>
      </c>
      <c r="BH112" s="10" t="str">
        <f t="shared" si="69"/>
        <v/>
      </c>
      <c r="BJ112" s="7" t="str">
        <f t="shared" si="70"/>
        <v/>
      </c>
      <c r="BK112" s="158" t="str">
        <f t="shared" si="71"/>
        <v/>
      </c>
      <c r="BL112" s="158" t="str">
        <f t="shared" si="53"/>
        <v/>
      </c>
      <c r="BM112" s="10"/>
      <c r="BN112" s="10" t="str">
        <f t="shared" si="72"/>
        <v/>
      </c>
      <c r="BO112" s="10" t="str">
        <f t="shared" si="73"/>
        <v/>
      </c>
      <c r="BQ112" s="10" t="str">
        <f t="shared" si="54"/>
        <v/>
      </c>
      <c r="BR112" s="10" t="str">
        <f t="shared" si="74"/>
        <v/>
      </c>
    </row>
    <row r="113" spans="2:70" x14ac:dyDescent="0.15">
      <c r="I113" s="38">
        <f t="shared" si="75"/>
        <v>2118</v>
      </c>
      <c r="J113" s="39"/>
      <c r="K113" s="39">
        <f t="shared" si="76"/>
        <v>99</v>
      </c>
      <c r="L113" s="39"/>
      <c r="M113" s="40">
        <f t="shared" si="39"/>
        <v>5.3593825045715457E-2</v>
      </c>
      <c r="N113" s="39"/>
      <c r="O113" s="72" t="str">
        <f t="shared" si="55"/>
        <v/>
      </c>
      <c r="P113" s="41" t="str">
        <f>IF(K113&lt;=$F$15,IF(OR(P112=$F$124,P112="-"),"-",IF(O113*$F$123&gt;$F$127,$F$123,$F$124)),"")</f>
        <v/>
      </c>
      <c r="Q113" s="39"/>
      <c r="R113" s="72" t="str">
        <f t="shared" si="56"/>
        <v/>
      </c>
      <c r="S113" s="39"/>
      <c r="T113" s="72" t="str">
        <f t="shared" si="57"/>
        <v/>
      </c>
      <c r="U113" s="39"/>
      <c r="V113" s="72" t="str">
        <f t="shared" si="41"/>
        <v/>
      </c>
      <c r="W113" s="72" t="str">
        <f t="shared" si="58"/>
        <v/>
      </c>
      <c r="X113" s="39"/>
      <c r="Y113" s="72" t="str">
        <f t="shared" si="42"/>
        <v/>
      </c>
      <c r="Z113" s="72" t="str">
        <f t="shared" si="59"/>
        <v/>
      </c>
      <c r="AA113" s="39"/>
      <c r="AB113" s="72" t="str">
        <f t="shared" si="43"/>
        <v/>
      </c>
      <c r="AC113" s="72" t="str">
        <f t="shared" si="60"/>
        <v/>
      </c>
      <c r="AD113" s="39"/>
      <c r="AE113" s="72" t="str">
        <f t="shared" si="44"/>
        <v/>
      </c>
      <c r="AF113" s="72" t="str">
        <f t="shared" si="61"/>
        <v/>
      </c>
      <c r="AG113" s="39"/>
      <c r="AH113" s="72" t="str">
        <f t="shared" si="45"/>
        <v/>
      </c>
      <c r="AI113" s="72" t="str">
        <f t="shared" si="62"/>
        <v/>
      </c>
      <c r="AJ113" s="39"/>
      <c r="AK113" s="72" t="str">
        <f t="shared" si="46"/>
        <v/>
      </c>
      <c r="AL113" s="72" t="str">
        <f t="shared" si="63"/>
        <v/>
      </c>
      <c r="AM113" s="39"/>
      <c r="AN113" s="72" t="str">
        <f t="shared" si="47"/>
        <v/>
      </c>
      <c r="AO113" s="72" t="str">
        <f t="shared" si="64"/>
        <v/>
      </c>
      <c r="AP113" s="39"/>
      <c r="AQ113" s="72" t="str">
        <f t="shared" si="48"/>
        <v/>
      </c>
      <c r="AR113" s="72" t="str">
        <f t="shared" si="65"/>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49"/>
        <v/>
      </c>
      <c r="AW113" s="72" t="str">
        <f t="shared" si="66"/>
        <v/>
      </c>
      <c r="AX113" s="39"/>
      <c r="AY113" s="40" t="str">
        <f>IF(ISERROR(IF($K113&lt;=$F$15,VLOOKUP($I113,'表4）CO2価格'!$A$7:$E$67,VLOOKUP($F$48,'表4）CO2価格'!$H$10:$I$12,2,0),0)*$F$8/1000,"")),0,IF($K113&lt;=$F$15,VLOOKUP($I113,'表4）CO2価格'!$A$7:$E$67,VLOOKUP($F$48,'表4）CO2価格'!$H$10:$I$12,2,0),0)*$F$8/1000,""))</f>
        <v/>
      </c>
      <c r="AZ113" s="39"/>
      <c r="BA113" s="42" t="str">
        <f t="shared" si="50"/>
        <v/>
      </c>
      <c r="BB113" s="72" t="str">
        <f t="shared" si="67"/>
        <v/>
      </c>
      <c r="BC113" s="39"/>
      <c r="BD113" s="72" t="str">
        <f t="shared" si="51"/>
        <v/>
      </c>
      <c r="BE113" s="72" t="str">
        <f t="shared" si="68"/>
        <v/>
      </c>
      <c r="BF113" s="39"/>
      <c r="BG113" s="42" t="str">
        <f t="shared" si="52"/>
        <v/>
      </c>
      <c r="BH113" s="72" t="str">
        <f t="shared" si="69"/>
        <v/>
      </c>
      <c r="BI113" s="39"/>
      <c r="BJ113" s="40" t="str">
        <f t="shared" si="70"/>
        <v/>
      </c>
      <c r="BK113" s="157" t="str">
        <f t="shared" si="71"/>
        <v/>
      </c>
      <c r="BL113" s="157" t="str">
        <f t="shared" si="53"/>
        <v/>
      </c>
      <c r="BM113" s="72"/>
      <c r="BN113" s="72" t="str">
        <f t="shared" si="72"/>
        <v/>
      </c>
      <c r="BO113" s="72" t="str">
        <f t="shared" si="73"/>
        <v/>
      </c>
      <c r="BP113" s="39"/>
      <c r="BQ113" s="72" t="str">
        <f t="shared" si="54"/>
        <v/>
      </c>
      <c r="BR113" s="72" t="str">
        <f t="shared" si="74"/>
        <v/>
      </c>
    </row>
    <row r="114" spans="2:70" x14ac:dyDescent="0.15">
      <c r="I114" s="322">
        <f t="shared" si="75"/>
        <v>2119</v>
      </c>
      <c r="K114" s="71">
        <f t="shared" si="76"/>
        <v>100</v>
      </c>
      <c r="M114" s="7">
        <f t="shared" si="39"/>
        <v>5.2032839850209185E-2</v>
      </c>
      <c r="O114" s="10" t="str">
        <f t="shared" si="55"/>
        <v/>
      </c>
      <c r="P114" s="29" t="str">
        <f>IF(K114&lt;=$F$15,IF(OR(P113=$F$124,P113="-"),"-",IF(O114*$F$123&gt;$F$127,$F$123,$F$124)),"")</f>
        <v/>
      </c>
      <c r="R114" s="10" t="str">
        <f t="shared" si="56"/>
        <v/>
      </c>
      <c r="T114" s="10" t="str">
        <f t="shared" si="57"/>
        <v/>
      </c>
      <c r="V114" s="10" t="str">
        <f t="shared" si="41"/>
        <v/>
      </c>
      <c r="W114" s="10" t="str">
        <f t="shared" si="58"/>
        <v/>
      </c>
      <c r="Y114" s="10" t="str">
        <f t="shared" si="42"/>
        <v/>
      </c>
      <c r="Z114" s="10" t="str">
        <f t="shared" si="59"/>
        <v/>
      </c>
      <c r="AB114" s="10" t="str">
        <f t="shared" si="43"/>
        <v/>
      </c>
      <c r="AC114" s="10" t="str">
        <f t="shared" si="60"/>
        <v/>
      </c>
      <c r="AE114" s="10" t="str">
        <f t="shared" si="44"/>
        <v/>
      </c>
      <c r="AF114" s="10" t="str">
        <f t="shared" si="61"/>
        <v/>
      </c>
      <c r="AH114" s="10" t="str">
        <f t="shared" si="45"/>
        <v/>
      </c>
      <c r="AI114" s="10" t="str">
        <f t="shared" si="62"/>
        <v/>
      </c>
      <c r="AK114" s="10" t="str">
        <f t="shared" si="46"/>
        <v/>
      </c>
      <c r="AL114" s="10" t="str">
        <f t="shared" si="63"/>
        <v/>
      </c>
      <c r="AN114" s="10" t="str">
        <f t="shared" si="47"/>
        <v/>
      </c>
      <c r="AO114" s="10" t="str">
        <f t="shared" si="64"/>
        <v/>
      </c>
      <c r="AQ114" s="10" t="str">
        <f t="shared" si="48"/>
        <v/>
      </c>
      <c r="AR114" s="10" t="str">
        <f t="shared" si="65"/>
        <v/>
      </c>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V114" s="10" t="str">
        <f t="shared" si="49"/>
        <v/>
      </c>
      <c r="AW114" s="10" t="str">
        <f t="shared" si="66"/>
        <v/>
      </c>
      <c r="AY114" s="7" t="str">
        <f>IF(ISERROR(IF($K114&lt;=$F$15,VLOOKUP($I114,'表4）CO2価格'!$A$7:$E$67,VLOOKUP($F$48,'表4）CO2価格'!$H$10:$I$12,2,0),0)*$F$8/1000,"")),0,IF($K114&lt;=$F$15,VLOOKUP($I114,'表4）CO2価格'!$A$7:$E$67,VLOOKUP($F$48,'表4）CO2価格'!$H$10:$I$12,2,0),0)*$F$8/1000,""))</f>
        <v/>
      </c>
      <c r="BA114" s="11" t="str">
        <f t="shared" si="50"/>
        <v/>
      </c>
      <c r="BB114" s="10" t="str">
        <f t="shared" si="67"/>
        <v/>
      </c>
      <c r="BD114" s="10" t="str">
        <f t="shared" si="51"/>
        <v/>
      </c>
      <c r="BE114" s="10" t="str">
        <f t="shared" si="68"/>
        <v/>
      </c>
      <c r="BG114" s="11" t="str">
        <f t="shared" si="52"/>
        <v/>
      </c>
      <c r="BH114" s="10" t="str">
        <f t="shared" si="69"/>
        <v/>
      </c>
      <c r="BJ114" s="7" t="str">
        <f t="shared" si="70"/>
        <v/>
      </c>
      <c r="BK114" s="158" t="str">
        <f t="shared" si="71"/>
        <v/>
      </c>
      <c r="BL114" s="158" t="str">
        <f t="shared" si="53"/>
        <v/>
      </c>
      <c r="BM114" s="10"/>
      <c r="BN114" s="10" t="str">
        <f t="shared" si="72"/>
        <v/>
      </c>
      <c r="BO114" s="10" t="str">
        <f t="shared" si="73"/>
        <v/>
      </c>
      <c r="BQ114" s="10" t="str">
        <f t="shared" si="54"/>
        <v/>
      </c>
      <c r="BR114" s="10" t="str">
        <f t="shared" si="74"/>
        <v/>
      </c>
    </row>
    <row r="115" spans="2:70" ht="15.75" thickBot="1" x14ac:dyDescent="0.2">
      <c r="B115" s="5" t="s">
        <v>608</v>
      </c>
      <c r="C115" s="3"/>
      <c r="D115" s="102"/>
      <c r="E115" s="102"/>
      <c r="F115" s="3"/>
      <c r="G115" s="102"/>
      <c r="I115" s="321"/>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71" t="s">
        <v>143</v>
      </c>
      <c r="W116" s="11"/>
      <c r="Z116" s="11">
        <f>SUM(Z15:Z114)</f>
        <v>334424904.02702236</v>
      </c>
      <c r="AC116" s="11">
        <f>SUM(AC15:AC114)</f>
        <v>45760305.115507573</v>
      </c>
      <c r="AF116" s="11">
        <f>SUM(AF15:AF114)</f>
        <v>0</v>
      </c>
      <c r="AI116" s="11">
        <f>SUM(AI15:AI114)</f>
        <v>1791394828.0010009</v>
      </c>
      <c r="AL116" s="11">
        <f>SUM(AL15:AL114)</f>
        <v>0</v>
      </c>
      <c r="AO116" s="11">
        <f>SUM(AO15:AO114)</f>
        <v>0</v>
      </c>
      <c r="AR116" s="11">
        <f>SUM(AR15:AR114)</f>
        <v>0</v>
      </c>
      <c r="AW116" s="11">
        <f>SUM(AW15:AW114)</f>
        <v>0</v>
      </c>
      <c r="BB116" s="11">
        <f>SUM(BB15:BB114)</f>
        <v>0</v>
      </c>
      <c r="BE116" s="11">
        <f>SUM(BE15:BE114)</f>
        <v>0</v>
      </c>
      <c r="BH116" s="11">
        <f>SUM(BH15:BH114)</f>
        <v>0</v>
      </c>
      <c r="BK116" s="11">
        <f>SUM(BK15:BK114)</f>
        <v>1104244684.6044865</v>
      </c>
      <c r="BL116" s="11">
        <f>SUM(BL15:BL114)</f>
        <v>277297051.59467596</v>
      </c>
      <c r="BO116" s="11">
        <f>SUM(BO15:BO114)</f>
        <v>5869031916.5099659</v>
      </c>
      <c r="BR116" s="11">
        <f>SUM(BR15:BR114)</f>
        <v>605026382.65221679</v>
      </c>
    </row>
    <row r="117" spans="2:70" x14ac:dyDescent="0.15">
      <c r="C117" s="71" t="s">
        <v>610</v>
      </c>
      <c r="F117" s="490">
        <f>F21*10^4*F13*10^4+F29*10^8</f>
        <v>3075000000</v>
      </c>
      <c r="G117" s="84" t="s">
        <v>611</v>
      </c>
      <c r="I117" s="48" t="s">
        <v>145</v>
      </c>
      <c r="W117" s="11"/>
      <c r="Z117" s="11">
        <f ca="1">IF(ISNUMBER($F$16),SUM(INDIRECT(ADDRESS($F$16+15,COLUMN())):INDIRECT(ADDRESS(114,COLUMN()))),"")</f>
        <v>24378541.941742003</v>
      </c>
      <c r="AC117" s="11">
        <f ca="1">IF(ISNUMBER($F$16),SUM(INDIRECT(ADDRESS($F$16+15,COLUMN())):INDIRECT(ADDRESS(114,COLUMN()))),"")</f>
        <v>45760305.115507573</v>
      </c>
      <c r="AF117" s="11">
        <f ca="1">IF(ISNUMBER($F$16),SUM(INDIRECT(ADDRESS($F$16+15,COLUMN())):INDIRECT(ADDRESS(114,COLUMN()))),"")</f>
        <v>0</v>
      </c>
      <c r="AI117" s="11">
        <f ca="1">IF(ISNUMBER($F$16),SUM(INDIRECT(ADDRESS($F$16+15,COLUMN())):INDIRECT(ADDRESS(114,COLUMN()))),"")</f>
        <v>638390526.31569815</v>
      </c>
      <c r="AL117" s="11">
        <f ca="1">IF(ISNUMBER($F$16),SUM(INDIRECT(ADDRESS($F$16+15,COLUMN())):INDIRECT(ADDRESS(114,COLUMN()))),"")</f>
        <v>0</v>
      </c>
      <c r="AO117" s="11">
        <f ca="1">IF(ISNUMBER($F$16),SUM(INDIRECT(ADDRESS($F$16+15,COLUMN())):INDIRECT(ADDRESS(114,COLUMN()))),"")</f>
        <v>0</v>
      </c>
      <c r="AR117" s="11">
        <f ca="1">IF(ISNUMBER($F$16),SUM(INDIRECT(ADDRESS($F$16+15,COLUMN())):INDIRECT(ADDRESS(114,COLUMN()))),"")</f>
        <v>0</v>
      </c>
      <c r="AW117" s="11">
        <f ca="1">IF(ISNUMBER($F$16),SUM(INDIRECT(ADDRESS($F$16+15,COLUMN())):INDIRECT(ADDRESS(114,COLUMN()))),"")</f>
        <v>0</v>
      </c>
      <c r="BB117" s="11">
        <f ca="1">IF(ISNUMBER($F$16),SUM(INDIRECT(ADDRESS($F$16+15,COLUMN())):INDIRECT(ADDRESS(114,COLUMN()))),"")</f>
        <v>0</v>
      </c>
      <c r="BE117" s="11">
        <f ca="1">IF(ISNUMBER($F$16),SUM(INDIRECT(ADDRESS($F$16+15,COLUMN())):INDIRECT(ADDRESS(114,COLUMN()))),"")</f>
        <v>0</v>
      </c>
      <c r="BH117" s="11">
        <f ca="1">IF(ISNUMBER($F$16),SUM(INDIRECT(ADDRESS($F$16+15,COLUMN())):INDIRECT(ADDRESS(114,COLUMN()))),"")</f>
        <v>0</v>
      </c>
      <c r="BK117" s="11">
        <f ca="1">IF(ISNUMBER($F$16),SUM(INDIRECT(ADDRESS($F$16+15,COLUMN())):INDIRECT(ADDRESS(114,COLUMN()))),"")</f>
        <v>37132637.086572252</v>
      </c>
      <c r="BL117" s="11">
        <f ca="1">IF(ISNUMBER($F$16),SUM(INDIRECT(ADDRESS($F$16+15,COLUMN())):INDIRECT(ADDRESS(114,COLUMN()))),"")</f>
        <v>0</v>
      </c>
      <c r="BO117" s="11">
        <f ca="1">IF(ISNUMBER($F$16),SUM(INDIRECT(ADDRESS($F$16+15,COLUMN())):INDIRECT(ADDRESS(114,COLUMN()))),"")</f>
        <v>0</v>
      </c>
      <c r="BR117" s="11">
        <f ca="1">IF(ISNUMBER($F$16),SUM(INDIRECT(ADDRESS($F$16+15,COLUMN())):INDIRECT(ADDRESS(114,COLUMN()))),"")</f>
        <v>215610263.47677732</v>
      </c>
    </row>
    <row r="119" spans="2:70" x14ac:dyDescent="0.15">
      <c r="C119" s="71" t="s">
        <v>612</v>
      </c>
      <c r="F119" s="490">
        <f>VLOOKUP(F3,'表2）法定耐用年数'!$A$2:$B$24,2,0)</f>
        <v>22</v>
      </c>
      <c r="G119" s="84" t="s">
        <v>556</v>
      </c>
    </row>
    <row r="121" spans="2:70" x14ac:dyDescent="0.15">
      <c r="C121" s="4" t="s">
        <v>613</v>
      </c>
      <c r="D121" s="100"/>
      <c r="E121" s="100"/>
      <c r="F121" s="4"/>
      <c r="G121" s="100"/>
    </row>
    <row r="123" spans="2:70" x14ac:dyDescent="0.15">
      <c r="D123" s="84" t="s">
        <v>614</v>
      </c>
      <c r="F123" s="491">
        <f>VLOOKUP($F$119,'表1）減価償却率表'!$A$9:$E$107,3,0)</f>
        <v>0.114</v>
      </c>
    </row>
    <row r="124" spans="2:70" x14ac:dyDescent="0.15">
      <c r="D124" s="84" t="s">
        <v>615</v>
      </c>
      <c r="F124" s="491">
        <f>VLOOKUP($F$119,'表1）減価償却率表'!$A$9:$E$107,4,0)</f>
        <v>0.125</v>
      </c>
    </row>
    <row r="125" spans="2:70" x14ac:dyDescent="0.15">
      <c r="D125" s="84" t="s">
        <v>616</v>
      </c>
      <c r="F125" s="474">
        <f>VLOOKUP($F$119,'表1）減価償却率表'!$A$9:$E$107,5,0)</f>
        <v>2.2960000000000001E-2</v>
      </c>
    </row>
    <row r="126" spans="2:70" x14ac:dyDescent="0.15">
      <c r="F126" s="492"/>
    </row>
    <row r="127" spans="2:70" x14ac:dyDescent="0.15">
      <c r="C127" s="8" t="s">
        <v>617</v>
      </c>
      <c r="D127" s="493"/>
      <c r="E127" s="494"/>
      <c r="F127" s="490">
        <f>F117*F125</f>
        <v>70602000</v>
      </c>
      <c r="G127" s="84" t="s">
        <v>611</v>
      </c>
    </row>
    <row r="129" spans="3:7" x14ac:dyDescent="0.15">
      <c r="C129" s="8" t="s">
        <v>152</v>
      </c>
      <c r="D129" s="493"/>
      <c r="E129" s="493"/>
      <c r="F129" s="491">
        <f>0.1^(1/F119)</f>
        <v>0.90062802021127852</v>
      </c>
      <c r="G129" s="493"/>
    </row>
    <row r="131" spans="3:7" x14ac:dyDescent="0.15">
      <c r="C131" s="4" t="s">
        <v>618</v>
      </c>
      <c r="D131" s="100"/>
      <c r="E131" s="100"/>
      <c r="F131" s="4"/>
      <c r="G131" s="100"/>
    </row>
    <row r="133" spans="3:7" x14ac:dyDescent="0.15">
      <c r="D133" s="84" t="s">
        <v>619</v>
      </c>
      <c r="F133" s="490">
        <f>F13*10000*24*365*F14/100</f>
        <v>26280000</v>
      </c>
      <c r="G133" s="84" t="s">
        <v>620</v>
      </c>
    </row>
    <row r="134" spans="3:7" x14ac:dyDescent="0.15">
      <c r="D134" s="84" t="s">
        <v>621</v>
      </c>
      <c r="F134" s="490">
        <f>F133*(1-F24/100)</f>
        <v>26174880</v>
      </c>
      <c r="G134" s="84" t="s">
        <v>620</v>
      </c>
    </row>
    <row r="135" spans="3:7" x14ac:dyDescent="0.15">
      <c r="F135" s="495"/>
    </row>
    <row r="137" spans="3:7" ht="16.5" x14ac:dyDescent="0.15">
      <c r="C137" s="71" t="s">
        <v>622</v>
      </c>
      <c r="F137" s="490">
        <f>IF(ISERROR(F133*3.6/(F23/100)/F22),0,F133*3.6/(F23/100)/F22)</f>
        <v>0</v>
      </c>
      <c r="G137" s="71" t="s">
        <v>623</v>
      </c>
    </row>
    <row r="139" spans="3:7" x14ac:dyDescent="0.15">
      <c r="C139" s="4" t="s">
        <v>624</v>
      </c>
      <c r="D139" s="100"/>
      <c r="E139" s="100"/>
      <c r="F139" s="4"/>
      <c r="G139" s="100"/>
    </row>
    <row r="141" spans="3:7" x14ac:dyDescent="0.15">
      <c r="D141" s="84" t="s">
        <v>625</v>
      </c>
      <c r="F141" s="496" t="str">
        <f>IF(OR(F3="石炭火力",F3= "LNG火力", F3="ガスコジェネ",F3="バイオマス（石炭混焼）",F3="バイオマス（木質専焼）",F3="燃料電池"),IF($F$43="需要地価格","",1000),IF(OR(F3="石油火力",F3="石油コジェネ"),IF($F$43="需要地価格","",158.987294928),""))</f>
        <v/>
      </c>
      <c r="G141" s="84" t="s">
        <v>626</v>
      </c>
    </row>
    <row r="142" spans="3:7" x14ac:dyDescent="0.15">
      <c r="D142" s="84" t="s">
        <v>573</v>
      </c>
      <c r="F142" s="488">
        <f>IF(ISERROR(F42/1000),0,F42/1000)</f>
        <v>0</v>
      </c>
      <c r="G142" s="84" t="s">
        <v>627</v>
      </c>
    </row>
    <row r="145" spans="3:7" x14ac:dyDescent="0.15">
      <c r="C145" s="71" t="s">
        <v>628</v>
      </c>
      <c r="F145" s="496">
        <f>IF(ISERROR(F133*(F47*3.6/(F23/100)/1000*(44/12))),0,F133*(F47*3.6/(F23/100)/1000*(44/12)))</f>
        <v>0</v>
      </c>
      <c r="G145" s="84" t="s">
        <v>629</v>
      </c>
    </row>
    <row r="147" spans="3:7" x14ac:dyDescent="0.15">
      <c r="C147" s="4" t="s">
        <v>630</v>
      </c>
      <c r="D147" s="100"/>
      <c r="E147" s="100"/>
      <c r="F147" s="4"/>
      <c r="G147" s="100"/>
    </row>
    <row r="149" spans="3:7" x14ac:dyDescent="0.15">
      <c r="D149" s="84" t="s">
        <v>219</v>
      </c>
      <c r="F149" s="496">
        <f>IF(ISERROR(F52/F23),0,F52/F23)</f>
        <v>0</v>
      </c>
    </row>
    <row r="150" spans="3:7" x14ac:dyDescent="0.15">
      <c r="D150" s="84" t="s">
        <v>631</v>
      </c>
      <c r="F150" s="496">
        <f>F133*F149*(F53/100)*3.6</f>
        <v>0</v>
      </c>
      <c r="G150" s="84" t="s">
        <v>632</v>
      </c>
    </row>
    <row r="151" spans="3:7" ht="16.5" x14ac:dyDescent="0.15">
      <c r="D151" s="84" t="s">
        <v>633</v>
      </c>
      <c r="F151" s="490">
        <f>IF(ISERROR(F150/(F54/100)/F55),0,F150/(F54/100)/F55)</f>
        <v>0</v>
      </c>
      <c r="G151" s="71" t="s">
        <v>623</v>
      </c>
    </row>
    <row r="152" spans="3:7" x14ac:dyDescent="0.15">
      <c r="D152" s="84" t="s">
        <v>634</v>
      </c>
      <c r="F152" s="497">
        <f>IF(ISERROR(F56/1000),0,F56/1000)</f>
        <v>0</v>
      </c>
      <c r="G152" s="84" t="s">
        <v>627</v>
      </c>
    </row>
    <row r="153" spans="3:7" x14ac:dyDescent="0.15">
      <c r="D153" s="84" t="s">
        <v>635</v>
      </c>
      <c r="F153" s="496">
        <f>IF(ISERROR(F150*F47/1000*(44/12)/(F54/100)),0,F150*F47/1000*(44/12)/(F54/100))</f>
        <v>0</v>
      </c>
      <c r="G153" s="84" t="s">
        <v>629</v>
      </c>
    </row>
  </sheetData>
  <mergeCells count="48">
    <mergeCell ref="F3:G3"/>
    <mergeCell ref="V7:AF7"/>
    <mergeCell ref="AH7:AR7"/>
    <mergeCell ref="AT7:AW7"/>
    <mergeCell ref="AY7:BB7"/>
    <mergeCell ref="AQ9:AR10"/>
    <mergeCell ref="BJ7:BO7"/>
    <mergeCell ref="BQ7:BR7"/>
    <mergeCell ref="I9:I10"/>
    <mergeCell ref="K9:K10"/>
    <mergeCell ref="M9:M10"/>
    <mergeCell ref="O9:P10"/>
    <mergeCell ref="R9:R10"/>
    <mergeCell ref="T9:T10"/>
    <mergeCell ref="V9:W10"/>
    <mergeCell ref="Y9:Z10"/>
    <mergeCell ref="BD7:BH7"/>
    <mergeCell ref="AB9:AC10"/>
    <mergeCell ref="AE9:AF10"/>
    <mergeCell ref="AH9:AI10"/>
    <mergeCell ref="AK9:AL10"/>
    <mergeCell ref="AN9:AO10"/>
    <mergeCell ref="BJ9:BL10"/>
    <mergeCell ref="BN9:BO10"/>
    <mergeCell ref="P12:P13"/>
    <mergeCell ref="W12:W13"/>
    <mergeCell ref="Z12:Z13"/>
    <mergeCell ref="AC12:AC13"/>
    <mergeCell ref="AF12:AF13"/>
    <mergeCell ref="AI12:AI13"/>
    <mergeCell ref="AL12:AL13"/>
    <mergeCell ref="AO12:AO13"/>
    <mergeCell ref="AT9:AT10"/>
    <mergeCell ref="AV9:AW10"/>
    <mergeCell ref="AY9:AY10"/>
    <mergeCell ref="BA9:BB10"/>
    <mergeCell ref="BD9:BE10"/>
    <mergeCell ref="BG9:BH10"/>
    <mergeCell ref="BK12:BK13"/>
    <mergeCell ref="BL12:BL13"/>
    <mergeCell ref="BO12:BO13"/>
    <mergeCell ref="BR12:BR13"/>
    <mergeCell ref="BJ12:BJ13"/>
    <mergeCell ref="AR12:AR13"/>
    <mergeCell ref="AW12:AW13"/>
    <mergeCell ref="BB12:BB13"/>
    <mergeCell ref="BE12:BE13"/>
    <mergeCell ref="BH12:BH13"/>
  </mergeCells>
  <phoneticPr fontId="56"/>
  <dataValidations count="4">
    <dataValidation type="list" allowBlank="1" showDropDown="1" showInputMessage="1" showErrorMessage="1" sqref="F3:G3" xr:uid="{00000000-0002-0000-1B00-000000000000}">
      <formula1>"原子力,石炭火力,LNG火力,石油火力,中水力,太陽光（メガソーラー）,太陽光（住宅）,風力（陸上）,風力（洋上）,小水力,地熱,バイオマス（石炭混焼）,バイオマス（木質専焼）,ガスコジェネ,石油コジェネ,燃料電池"</formula1>
    </dataValidation>
    <dataValidation type="list" allowBlank="1" showDropDown="1" showInputMessage="1" showErrorMessage="1" sqref="F43" xr:uid="{00000000-0002-0000-1B00-000001000000}">
      <formula1>"CIF価格, 需要地価格"</formula1>
    </dataValidation>
    <dataValidation type="whole" allowBlank="1" showInputMessage="1" showErrorMessage="1" sqref="F7" xr:uid="{00000000-0002-0000-1B00-000002000000}">
      <formula1>2010</formula1>
      <formula2>2030</formula2>
    </dataValidation>
    <dataValidation type="list" allowBlank="1" showDropDown="1" showInputMessage="1" showErrorMessage="1" sqref="F48 F41" xr:uid="{00000000-0002-0000-1B00-000003000000}">
      <formula1>"現行政策シナリオ, 新政策シナリオ"</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BR153"/>
  <sheetViews>
    <sheetView showGridLines="0" zoomScale="85" zoomScaleNormal="85" workbookViewId="0">
      <pane xSplit="10" ySplit="14" topLeftCell="AM34" activePane="bottomRight" state="frozen"/>
      <selection pane="topRight" activeCell="AF12" sqref="AF12:AF13"/>
      <selection pane="bottomLeft" activeCell="AF12" sqref="AF12:AF13"/>
      <selection pane="bottomRight" activeCell="AH57" sqref="AH57"/>
    </sheetView>
  </sheetViews>
  <sheetFormatPr defaultColWidth="9" defaultRowHeight="14.25" outlineLevelCol="1" x14ac:dyDescent="0.15"/>
  <cols>
    <col min="1" max="3" width="6.25" style="71" customWidth="1"/>
    <col min="4" max="4" width="6.25" style="84" customWidth="1"/>
    <col min="5" max="5" width="24.375" style="84" customWidth="1"/>
    <col min="6" max="6" width="18.75" style="71" customWidth="1"/>
    <col min="7" max="7" width="24.375" style="84" bestFit="1" customWidth="1"/>
    <col min="8" max="8" width="9" style="71"/>
    <col min="9" max="9" width="6.25" style="71" customWidth="1"/>
    <col min="10" max="10" width="3" style="71" customWidth="1"/>
    <col min="11" max="11" width="6.25" style="71" customWidth="1"/>
    <col min="12" max="12" width="3" style="71" customWidth="1"/>
    <col min="13" max="13" width="6.25" style="71" customWidth="1"/>
    <col min="14" max="14" width="3" style="71" customWidth="1"/>
    <col min="15" max="15" width="17.375" style="71" bestFit="1" customWidth="1"/>
    <col min="16" max="16" width="8.625" style="71" customWidth="1"/>
    <col min="17" max="17" width="3" style="71" customWidth="1"/>
    <col min="18" max="18" width="17.375" style="71" bestFit="1" customWidth="1"/>
    <col min="19" max="19" width="3" style="71" customWidth="1"/>
    <col min="20" max="20" width="17.375" style="71" bestFit="1" customWidth="1"/>
    <col min="21" max="21" width="3" style="71" customWidth="1"/>
    <col min="22" max="22" width="15" style="71" customWidth="1" outlineLevel="1"/>
    <col min="23" max="23" width="17.375" style="71" bestFit="1" customWidth="1"/>
    <col min="24" max="24" width="3" style="71" customWidth="1"/>
    <col min="25" max="25" width="15" style="71" customWidth="1" outlineLevel="1"/>
    <col min="26" max="26" width="15" style="71" customWidth="1"/>
    <col min="27" max="27" width="3" style="71" customWidth="1"/>
    <col min="28" max="28" width="15" style="71" customWidth="1" outlineLevel="1"/>
    <col min="29" max="29" width="15" style="71" customWidth="1"/>
    <col min="30" max="30" width="3" style="71" customWidth="1"/>
    <col min="31" max="31" width="15" style="71" customWidth="1" outlineLevel="1"/>
    <col min="32" max="32" width="15" style="71" customWidth="1"/>
    <col min="33" max="33" width="3" style="71" customWidth="1"/>
    <col min="34" max="34" width="14.875" style="71" customWidth="1" outlineLevel="1"/>
    <col min="35" max="35" width="15" style="71" customWidth="1"/>
    <col min="36" max="36" width="3" style="71" customWidth="1"/>
    <col min="37" max="37" width="15" style="71" customWidth="1" outlineLevel="1"/>
    <col min="38" max="38" width="15" style="71" customWidth="1"/>
    <col min="39" max="39" width="3" style="71" customWidth="1"/>
    <col min="40" max="40" width="15" style="71" customWidth="1" outlineLevel="1"/>
    <col min="41" max="41" width="15" style="71" customWidth="1"/>
    <col min="42" max="42" width="3" style="71" customWidth="1"/>
    <col min="43" max="43" width="15" style="71" customWidth="1" outlineLevel="1"/>
    <col min="44" max="44" width="15" style="71" customWidth="1"/>
    <col min="45" max="45" width="3" style="71" customWidth="1"/>
    <col min="46" max="46" width="10.75" style="71" bestFit="1" customWidth="1"/>
    <col min="47" max="47" width="3" style="71" customWidth="1"/>
    <col min="48" max="48" width="15" style="71" customWidth="1" outlineLevel="1"/>
    <col min="49" max="49" width="17.375" style="71" bestFit="1" customWidth="1"/>
    <col min="50" max="50" width="3" style="71" customWidth="1"/>
    <col min="51" max="51" width="9.625" style="71" bestFit="1" customWidth="1"/>
    <col min="52" max="52" width="3" style="71" customWidth="1"/>
    <col min="53" max="53" width="15" style="71" customWidth="1" outlineLevel="1"/>
    <col min="54" max="54" width="17.375" style="71" bestFit="1" customWidth="1"/>
    <col min="55" max="55" width="3" style="71" customWidth="1"/>
    <col min="56" max="56" width="19.25" style="71" customWidth="1" outlineLevel="1"/>
    <col min="57" max="57" width="19.25" style="71" bestFit="1" customWidth="1"/>
    <col min="58" max="58" width="3" style="71" customWidth="1"/>
    <col min="59" max="59" width="19.25" style="71" customWidth="1" outlineLevel="1"/>
    <col min="60" max="60" width="19.25" style="71"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71" customWidth="1" outlineLevel="1"/>
    <col min="70" max="70" width="17.375" style="71" bestFit="1" customWidth="1"/>
    <col min="71" max="16384" width="9" style="71"/>
  </cols>
  <sheetData>
    <row r="1" spans="1:70" ht="18.75" x14ac:dyDescent="0.15">
      <c r="A1" s="6" t="s">
        <v>60</v>
      </c>
    </row>
    <row r="3" spans="1:70" ht="23.25" x14ac:dyDescent="0.15">
      <c r="B3" s="1" t="s">
        <v>542</v>
      </c>
      <c r="F3" s="732" t="s">
        <v>249</v>
      </c>
      <c r="G3" s="719"/>
    </row>
    <row r="4" spans="1:70" x14ac:dyDescent="0.15">
      <c r="G4" s="472"/>
    </row>
    <row r="5" spans="1:70" ht="15.75" thickBot="1" x14ac:dyDescent="0.2">
      <c r="B5" s="5" t="s">
        <v>543</v>
      </c>
      <c r="C5" s="3"/>
      <c r="D5" s="102"/>
      <c r="E5" s="102"/>
      <c r="F5" s="3"/>
      <c r="G5" s="102"/>
      <c r="I5" s="5" t="s">
        <v>64</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71" t="s">
        <v>545</v>
      </c>
      <c r="F7" s="473">
        <v>2030</v>
      </c>
      <c r="I7" s="8"/>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71" t="s">
        <v>546</v>
      </c>
      <c r="F8" s="474">
        <f>まとめ!B3</f>
        <v>107</v>
      </c>
      <c r="G8" s="84" t="s">
        <v>547</v>
      </c>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71" t="s">
        <v>548</v>
      </c>
      <c r="F9" s="474">
        <f>まとめ!B2</f>
        <v>3</v>
      </c>
      <c r="G9" s="84" t="s">
        <v>549</v>
      </c>
      <c r="I9" s="720" t="s">
        <v>78</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09" t="s">
        <v>232</v>
      </c>
      <c r="AI9" s="707"/>
      <c r="AJ9" s="8"/>
      <c r="AK9" s="707"/>
      <c r="AL9" s="707"/>
      <c r="AM9" s="8"/>
      <c r="AN9" s="707"/>
      <c r="AO9" s="707"/>
      <c r="AP9" s="8"/>
      <c r="AQ9" s="707"/>
      <c r="AR9" s="707"/>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I10" s="708"/>
      <c r="K10" s="708"/>
      <c r="M10" s="708"/>
      <c r="O10" s="717"/>
      <c r="P10" s="717"/>
      <c r="R10" s="708"/>
      <c r="T10" s="708"/>
      <c r="V10" s="717"/>
      <c r="W10" s="717"/>
      <c r="Y10" s="717"/>
      <c r="Z10" s="717"/>
      <c r="AB10" s="723"/>
      <c r="AC10" s="723"/>
      <c r="AD10" s="81"/>
      <c r="AE10" s="723"/>
      <c r="AF10" s="723"/>
      <c r="AH10" s="717"/>
      <c r="AI10" s="717"/>
      <c r="AK10" s="717"/>
      <c r="AL10" s="717"/>
      <c r="AN10" s="717"/>
      <c r="AO10" s="717"/>
      <c r="AQ10" s="717"/>
      <c r="AR10" s="717"/>
      <c r="AT10" s="717"/>
      <c r="AV10" s="717"/>
      <c r="AW10" s="717"/>
      <c r="AX10" s="322"/>
      <c r="AY10" s="708"/>
      <c r="BA10" s="708"/>
      <c r="BB10" s="708"/>
      <c r="BD10" s="717"/>
      <c r="BE10" s="717"/>
      <c r="BG10" s="717"/>
      <c r="BH10" s="717"/>
      <c r="BJ10" s="708"/>
      <c r="BK10" s="708"/>
      <c r="BL10" s="708"/>
      <c r="BM10" s="322"/>
      <c r="BN10" s="717"/>
      <c r="BO10" s="717"/>
      <c r="BQ10" s="322"/>
      <c r="BR10" s="322"/>
    </row>
    <row r="11" spans="1:70" ht="15.75" customHeight="1" thickBot="1" x14ac:dyDescent="0.2">
      <c r="B11" s="5" t="s">
        <v>95</v>
      </c>
      <c r="C11" s="3"/>
      <c r="D11" s="102"/>
      <c r="E11" s="102"/>
      <c r="F11" s="3"/>
      <c r="G11" s="102"/>
      <c r="O11" s="322" t="s">
        <v>96</v>
      </c>
      <c r="P11" s="322"/>
      <c r="Q11" s="322"/>
      <c r="R11" s="322" t="s">
        <v>96</v>
      </c>
      <c r="S11" s="322"/>
      <c r="T11" s="322"/>
      <c r="V11" s="322"/>
      <c r="W11" s="322"/>
      <c r="Y11" s="322"/>
      <c r="Z11" s="322"/>
      <c r="AB11" s="322"/>
      <c r="AC11" s="322"/>
      <c r="AE11" s="322"/>
      <c r="AF11" s="322"/>
      <c r="AH11" s="322"/>
      <c r="AI11" s="322"/>
      <c r="AK11" s="322"/>
      <c r="AL11" s="322"/>
      <c r="AN11" s="322"/>
      <c r="AO11" s="322"/>
      <c r="AQ11" s="322"/>
      <c r="AR11" s="322"/>
      <c r="AT11" s="322"/>
      <c r="AV11" s="322"/>
      <c r="AW11" s="322"/>
      <c r="AX11" s="322"/>
      <c r="BB11" s="322"/>
      <c r="BD11" s="322"/>
      <c r="BE11" s="322"/>
      <c r="BG11" s="322"/>
      <c r="BH11" s="322"/>
      <c r="BJ11" s="156"/>
      <c r="BM11" s="322"/>
      <c r="BN11" s="322"/>
      <c r="BO11" s="322"/>
      <c r="BQ11" s="322"/>
      <c r="BR11" s="322"/>
    </row>
    <row r="12" spans="1:70" ht="14.25" customHeight="1" x14ac:dyDescent="0.15">
      <c r="O12" s="322"/>
      <c r="P12" s="707" t="s">
        <v>97</v>
      </c>
      <c r="W12" s="707" t="s">
        <v>98</v>
      </c>
      <c r="Z12" s="707" t="s">
        <v>98</v>
      </c>
      <c r="AC12" s="707" t="s">
        <v>98</v>
      </c>
      <c r="AF12" s="707" t="s">
        <v>98</v>
      </c>
      <c r="AI12" s="707" t="s">
        <v>98</v>
      </c>
      <c r="AL12" s="707" t="s">
        <v>98</v>
      </c>
      <c r="AO12" s="707" t="s">
        <v>98</v>
      </c>
      <c r="AR12" s="707" t="s">
        <v>98</v>
      </c>
      <c r="AW12" s="707" t="s">
        <v>98</v>
      </c>
      <c r="BB12" s="707" t="s">
        <v>98</v>
      </c>
      <c r="BE12" s="707" t="s">
        <v>98</v>
      </c>
      <c r="BH12" s="707" t="s">
        <v>98</v>
      </c>
      <c r="BJ12" s="709" t="s">
        <v>99</v>
      </c>
      <c r="BK12" s="709" t="s">
        <v>100</v>
      </c>
      <c r="BL12" s="709" t="s">
        <v>101</v>
      </c>
      <c r="BO12" s="709" t="s">
        <v>102</v>
      </c>
      <c r="BR12" s="707" t="s">
        <v>103</v>
      </c>
    </row>
    <row r="13" spans="1:70" ht="14.25" customHeight="1" x14ac:dyDescent="0.15">
      <c r="C13" s="71" t="s">
        <v>552</v>
      </c>
      <c r="F13" s="475">
        <v>0.5</v>
      </c>
      <c r="G13" s="84" t="s">
        <v>553</v>
      </c>
      <c r="O13" s="322"/>
      <c r="P13" s="708"/>
      <c r="Q13" s="322"/>
      <c r="R13" s="322"/>
      <c r="S13" s="322"/>
      <c r="T13" s="322"/>
      <c r="V13" s="322"/>
      <c r="W13" s="708"/>
      <c r="Y13" s="322"/>
      <c r="Z13" s="708"/>
      <c r="AB13" s="322"/>
      <c r="AC13" s="708"/>
      <c r="AE13" s="322"/>
      <c r="AF13" s="708"/>
      <c r="AH13" s="322"/>
      <c r="AI13" s="708"/>
      <c r="AK13" s="322"/>
      <c r="AL13" s="708"/>
      <c r="AN13" s="322"/>
      <c r="AO13" s="708"/>
      <c r="AQ13" s="322"/>
      <c r="AR13" s="708"/>
      <c r="AT13" s="322"/>
      <c r="AV13" s="322"/>
      <c r="AW13" s="708"/>
      <c r="BB13" s="708"/>
      <c r="BD13" s="322"/>
      <c r="BE13" s="708"/>
      <c r="BG13" s="322"/>
      <c r="BH13" s="708"/>
      <c r="BJ13" s="712"/>
      <c r="BK13" s="710"/>
      <c r="BL13" s="708"/>
      <c r="BM13" s="322"/>
      <c r="BO13" s="708"/>
      <c r="BQ13" s="322"/>
      <c r="BR13" s="708"/>
    </row>
    <row r="14" spans="1:70" ht="16.5" x14ac:dyDescent="0.15">
      <c r="C14" s="71" t="s">
        <v>554</v>
      </c>
      <c r="F14" s="474">
        <f>VLOOKUP(F3&amp;IF(G4&lt;&gt;"","_"&amp;G4,""),まとめ!$A$12:$G$34,IF(F7=2030,4,IF(F7=2020,3,IF(F7=2014,2,"-"))),0)</f>
        <v>60</v>
      </c>
      <c r="G14" s="84" t="s">
        <v>549</v>
      </c>
      <c r="O14" s="322"/>
      <c r="P14" s="322"/>
      <c r="Q14" s="322"/>
      <c r="R14" s="322"/>
      <c r="S14" s="322"/>
      <c r="T14" s="322"/>
      <c r="AT14" s="50" t="s">
        <v>104</v>
      </c>
      <c r="AY14" s="71" t="s">
        <v>105</v>
      </c>
    </row>
    <row r="15" spans="1:70" x14ac:dyDescent="0.15">
      <c r="C15" s="71" t="s">
        <v>555</v>
      </c>
      <c r="F15" s="474">
        <f>VLOOKUP(F3&amp;IF(G4&lt;&gt;"","_"&amp;G4,""),まとめ!$A$12:$G$34,IF(F7=2030,7,IF(F7=2020,6,IF(F7=2014,5,"-"))),0)</f>
        <v>40</v>
      </c>
      <c r="G15" s="84" t="s">
        <v>556</v>
      </c>
      <c r="I15" s="38">
        <f>F7</f>
        <v>2030</v>
      </c>
      <c r="J15" s="39"/>
      <c r="K15" s="39">
        <f>IF(I15&lt;&gt;"",1,"")</f>
        <v>1</v>
      </c>
      <c r="L15" s="39"/>
      <c r="M15" s="40">
        <f t="shared" ref="M15:M78" si="0">1/(1+($F$9/100))^K15</f>
        <v>0.970873786407767</v>
      </c>
      <c r="N15" s="39"/>
      <c r="O15" s="72">
        <f>F117</f>
        <v>3075000000</v>
      </c>
      <c r="P15" s="41">
        <f t="shared" ref="P15:P78" si="1">IF(K15&lt;=$F$15,IF(OR(P14=$F$124,P14="-"),"-",IF(O15*$F$123&gt;$F$127,$F$123,$F$124)),"")</f>
        <v>0.114</v>
      </c>
      <c r="Q15" s="39"/>
      <c r="R15" s="72">
        <f>F117</f>
        <v>3075000000</v>
      </c>
      <c r="S15" s="39"/>
      <c r="T15" s="72">
        <f>IF(ISNUMBER(R15),ROUNDDOWN(R15,-3),"")</f>
        <v>3075000000</v>
      </c>
      <c r="U15" s="39"/>
      <c r="V15" s="72">
        <f t="shared" ref="V15:V78" si="2">IF(K15&lt;=$F$15,IF(K15&lt;$F$119,IF(P15="-",V14,O15*P15),IF(K15=$F$119,MIN(IF(P15="-",V14,O15*P15),O15),0)),"")</f>
        <v>350550000</v>
      </c>
      <c r="W15" s="72">
        <f>IF(ISNUMBER(V15),V15*$M15,"")</f>
        <v>340339805.8252427</v>
      </c>
      <c r="X15" s="39"/>
      <c r="Y15" s="72">
        <f t="shared" ref="Y15:Y78" si="3">IF($K15&lt;=$F$15,ROUNDDOWN(T15*$F$25/100,-2),"")</f>
        <v>43050000</v>
      </c>
      <c r="Z15" s="72">
        <f>IF(ISNUMBER(Y15),Y15*$M15,"")</f>
        <v>41796116.504854366</v>
      </c>
      <c r="AA15" s="39"/>
      <c r="AB15" s="72">
        <f t="shared" ref="AB15:AB78" si="4">IF($K15&lt;=$F$15,0,IF(AND($K15&gt;$F$15,$K15&lt;=$F$15+$F$28),$F$27*10^8/$F$28,""))</f>
        <v>0</v>
      </c>
      <c r="AC15" s="72">
        <f>IF(ISNUMBER(AB15),AB15*$M15,"")</f>
        <v>0</v>
      </c>
      <c r="AD15" s="39"/>
      <c r="AE15" s="72">
        <f t="shared" ref="AE15:AE78" si="5">IF($K15&lt;=$F$15,$F$26,"")</f>
        <v>0</v>
      </c>
      <c r="AF15" s="72">
        <f>IF(ISNUMBER(AE15),AE15*$M15,"")</f>
        <v>0</v>
      </c>
      <c r="AG15" s="39"/>
      <c r="AH15" s="72">
        <f>IF($K15&lt;=$F$15,$F$33*10^4*$F$13*10^4,"")</f>
        <v>77500000</v>
      </c>
      <c r="AI15" s="72">
        <f>IF(ISNUMBER(AH15),AH15*$M15,"")</f>
        <v>75242718.446601942</v>
      </c>
      <c r="AJ15" s="39"/>
      <c r="AK15" s="72"/>
      <c r="AL15" s="72"/>
      <c r="AM15" s="39"/>
      <c r="AN15" s="72"/>
      <c r="AO15" s="72"/>
      <c r="AP15" s="39"/>
      <c r="AQ15" s="72"/>
      <c r="AR15" s="72"/>
      <c r="AS15" s="39"/>
      <c r="AT15" s="40">
        <f>IF($K15&lt;=$F$15,IF($F$40&lt;&gt;"",$F$40/1000,IF(ISERROR(VLOOKUP($F$3&amp;IF($G$4&lt;&gt;"",$G$4,"")&amp;IF($F$43&lt;&gt;"","_"&amp;$F$43,""),'表3）燃料価格'!$AF$9:$AG$25,2,0)),0,VLOOKUP($I15,'表3）燃料価格'!$A$6:$U$66,VLOOKUP($F$3&amp;IF($G$4&lt;&gt;"",$G$4,"")&amp;IF($F$43&lt;&gt;"","_"&amp;$F$43,""),'表3）燃料価格'!$AF$9:$AG$25,2,0)+VLOOKUP($F$41,'表3）燃料価格'!$AF$28:$AG$29,2,0),0)*IF($F$43="需要地価格",1,$F$8/$F$141))),"")</f>
        <v>0</v>
      </c>
      <c r="AU15" s="39"/>
      <c r="AV15" s="72">
        <f t="shared" ref="AV15:AV78" si="6">IF($K15&lt;=$F$15,($AT15+$F$142)*$F$137,"")</f>
        <v>0</v>
      </c>
      <c r="AW15" s="72">
        <f>IF(ISNUMBER(AV15),AV15*$M15,"")</f>
        <v>0</v>
      </c>
      <c r="AX15" s="39"/>
      <c r="AY15" s="40">
        <f>IF(ISERROR(IF($K15&lt;=$F$15,VLOOKUP($I15,'表4）CO2価格'!$A$7:$E$67,VLOOKUP($F$48,'表4）CO2価格'!$H$10:$I$12,2,0),0)*$F$8/1000,"")),0,IF($K15&lt;=$F$15,VLOOKUP($I15,'表4）CO2価格'!$A$7:$E$67,VLOOKUP($F$48,'表4）CO2価格'!$H$10:$I$12,2,0),0)*$F$8/1000,""))</f>
        <v>0</v>
      </c>
      <c r="AZ15" s="39"/>
      <c r="BA15" s="42">
        <f t="shared" ref="BA15:BA78" si="7">IF($K15&lt;=$F$15,$F$145*AY15,"")</f>
        <v>0</v>
      </c>
      <c r="BB15" s="72">
        <f>IF(ISNUMBER(BA15),BA15*$M15,"")</f>
        <v>0</v>
      </c>
      <c r="BC15" s="39"/>
      <c r="BD15" s="72">
        <f t="shared" ref="BD15:BD78" si="8">IF($K15&lt;=$F$15,($AT15+$F$152)*$F$151,"")</f>
        <v>0</v>
      </c>
      <c r="BE15" s="72">
        <f>IF(ISNUMBER(BD15),BD15*$M15,"")</f>
        <v>0</v>
      </c>
      <c r="BF15" s="39"/>
      <c r="BG15" s="42">
        <f t="shared" ref="BG15:BG78" si="9">IF($K15&lt;=$F$15,$F$153*AY15,"")</f>
        <v>0</v>
      </c>
      <c r="BH15" s="72">
        <f>IF(ISNUMBER(BG15),BG15*$M15,"")</f>
        <v>0</v>
      </c>
      <c r="BI15" s="39"/>
      <c r="BJ15" s="40">
        <f>IF(ISNUMBER($F$16),IF($K15&lt;=$F$16+$F$28,1/(1+($F$17/100))^K15,""),"")</f>
        <v>0.93457943925233644</v>
      </c>
      <c r="BK15" s="157">
        <f>IF(ISNUMBER($F$16),IF($K15&lt;=$F$16+$F$28,IF($K15&lt;=$F$16,SUM(Y15,AB15,AE15,AH15,AK15,AN15,AQ15,AV15,BA15,BD15,BG15),$F$27/$F$28*10^8)*BJ15,""),"")</f>
        <v>112663551.40186916</v>
      </c>
      <c r="BL15" s="157">
        <f t="shared" ref="BL15:BL78" si="10">IF(AND(ISNUMBER(BJ15),$K15&lt;=$F$16),BQ15*BJ15,"")</f>
        <v>24462504.672897197</v>
      </c>
      <c r="BM15" s="72"/>
      <c r="BN15" s="72">
        <f>IF(AND(ISNUMBER($F$16),$K15&lt;=$F$16),BQ15*($O$15+$BK$116)/$BL$116,"")</f>
        <v>394491133.17676753</v>
      </c>
      <c r="BO15" s="72">
        <f>IF(ISNUMBER(BN15),BN15*$M15,"")</f>
        <v>383001100.17161894</v>
      </c>
      <c r="BP15" s="39"/>
      <c r="BQ15" s="72">
        <f t="shared" ref="BQ15:BQ78" si="11">IF($K15&lt;=$F$15,$F$134,"")</f>
        <v>26174880</v>
      </c>
      <c r="BR15" s="72">
        <f>IF(ISNUMBER(BQ15),BQ15*$M15,"")</f>
        <v>25412504.854368933</v>
      </c>
    </row>
    <row r="16" spans="1:70" x14ac:dyDescent="0.15">
      <c r="C16" s="184" t="s">
        <v>107</v>
      </c>
      <c r="F16" s="474">
        <f>IF(ISERROR(VLOOKUP(F3&amp;IF(G4&lt;&gt;"","_"&amp;G4,""),'表7）買取期間・IRR'!$A$3:$A$10,1,0)),"",VLOOKUP(F3&amp;IF(G4&lt;&gt;"","_"&amp;G4,""),'表7）買取期間・IRR'!$A$3:$C$10,IF(F7=2030,3,IF(F7=2020,3,IF(F7=2014,2,"-"))),0))</f>
        <v>20</v>
      </c>
      <c r="G16" s="84" t="s">
        <v>556</v>
      </c>
      <c r="I16" s="322">
        <f>I15+1</f>
        <v>2031</v>
      </c>
      <c r="K16" s="71">
        <f>IF(I16&lt;&gt;"",K15+1,"")</f>
        <v>2</v>
      </c>
      <c r="M16" s="7">
        <f t="shared" si="0"/>
        <v>0.94259590913375435</v>
      </c>
      <c r="O16" s="10">
        <f t="shared" ref="O16:O79" si="12">IF(K16&lt;=$F$15,O15-V15,"")</f>
        <v>2724450000</v>
      </c>
      <c r="P16" s="29">
        <f t="shared" si="1"/>
        <v>0.114</v>
      </c>
      <c r="R16" s="10">
        <f t="shared" ref="R16:R79" si="13">IF($K16&lt;=$F$15,MAX($F$117*5%,R15*$F$129),"")</f>
        <v>2769431162.1496816</v>
      </c>
      <c r="T16" s="10">
        <f t="shared" ref="T16:T79" si="14">IF(ISNUMBER(R16),ROUNDDOWN(R16,-3),"")</f>
        <v>2769431000</v>
      </c>
      <c r="V16" s="10">
        <f t="shared" si="2"/>
        <v>310587300</v>
      </c>
      <c r="W16" s="10">
        <f t="shared" ref="W16:W79" si="15">IF(ISNUMBER(V16),V16*$M16,"")</f>
        <v>292758318.40889812</v>
      </c>
      <c r="Y16" s="10">
        <f t="shared" si="3"/>
        <v>38772000</v>
      </c>
      <c r="Z16" s="10">
        <f t="shared" ref="Z16:Z79" si="16">IF(ISNUMBER(Y16),Y16*$M16,"")</f>
        <v>36546328.588933922</v>
      </c>
      <c r="AB16" s="10">
        <f t="shared" si="4"/>
        <v>0</v>
      </c>
      <c r="AC16" s="10">
        <f t="shared" ref="AC16:AC79" si="17">IF(ISNUMBER(AB16),AB16*$M16,"")</f>
        <v>0</v>
      </c>
      <c r="AE16" s="10">
        <f t="shared" si="5"/>
        <v>0</v>
      </c>
      <c r="AF16" s="10">
        <f t="shared" ref="AF16:AF79" si="18">IF(ISNUMBER(AE16),AE16*$M16,"")</f>
        <v>0</v>
      </c>
      <c r="AH16" s="679">
        <f t="shared" ref="AH16:AH54" si="19">IF($K16&lt;=$F$15,$F$33*10^4*$F$13*10^4,"")</f>
        <v>77500000</v>
      </c>
      <c r="AI16" s="10">
        <f t="shared" ref="AI16:AI79" si="20">IF(ISNUMBER(AH16),AH16*$M16,"")</f>
        <v>73051182.957865968</v>
      </c>
      <c r="AK16" s="10"/>
      <c r="AL16" s="10"/>
      <c r="AN16" s="10"/>
      <c r="AO16" s="10"/>
      <c r="AQ16" s="10"/>
      <c r="AR16" s="10"/>
      <c r="AT16" s="7">
        <f>IF($K16&lt;=$F$15,IF($F$40&lt;&gt;"",$F$40/1000,IF(ISERROR(VLOOKUP($F$3&amp;IF($G$4&lt;&gt;"",$G$4,"")&amp;IF($F$43&lt;&gt;"","_"&amp;$F$43,""),'表3）燃料価格'!$AF$9:$AG$25,2,0)),0,VLOOKUP($I16,'表3）燃料価格'!$A$6:$U$66,VLOOKUP($F$3&amp;IF($G$4&lt;&gt;"",$G$4,"")&amp;IF($F$43&lt;&gt;"","_"&amp;$F$43,""),'表3）燃料価格'!$AF$9:$AG$25,2,0)+VLOOKUP($F$41,'表3）燃料価格'!$AF$28:$AG$29,2,0),0)*IF($F$43="需要地価格",1,$F$8/$F$141))),"")</f>
        <v>0</v>
      </c>
      <c r="AV16" s="10">
        <f t="shared" si="6"/>
        <v>0</v>
      </c>
      <c r="AW16" s="10">
        <f t="shared" ref="AW16:AW79" si="21">IF(ISNUMBER(AV16),AV16*$M16,"")</f>
        <v>0</v>
      </c>
      <c r="AY16" s="7">
        <f>IF(ISERROR(IF($K16&lt;=$F$15,VLOOKUP($I16,'表4）CO2価格'!$A$7:$E$67,VLOOKUP($F$48,'表4）CO2価格'!$H$10:$I$12,2,0),0)*$F$8/1000,"")),0,IF($K16&lt;=$F$15,VLOOKUP($I16,'表4）CO2価格'!$A$7:$E$67,VLOOKUP($F$48,'表4）CO2価格'!$H$10:$I$12,2,0),0)*$F$8/1000,""))</f>
        <v>0</v>
      </c>
      <c r="BA16" s="11">
        <f t="shared" si="7"/>
        <v>0</v>
      </c>
      <c r="BB16" s="10">
        <f t="shared" ref="BB16:BB79" si="22">IF(ISNUMBER(BA16),BA16*$M16,"")</f>
        <v>0</v>
      </c>
      <c r="BD16" s="10">
        <f t="shared" si="8"/>
        <v>0</v>
      </c>
      <c r="BE16" s="10">
        <f t="shared" ref="BE16:BE79" si="23">IF(ISNUMBER(BD16),BD16*$M16,"")</f>
        <v>0</v>
      </c>
      <c r="BG16" s="11">
        <f t="shared" si="9"/>
        <v>0</v>
      </c>
      <c r="BH16" s="10">
        <f t="shared" ref="BH16:BH79" si="24">IF(ISNUMBER(BG16),BG16*$M16,"")</f>
        <v>0</v>
      </c>
      <c r="BJ16" s="7">
        <f t="shared" ref="BJ16:BJ79" si="25">IF(ISNUMBER($F$16),IF($K16&lt;=$F$16+$F$28,1/(1+($F$17/100))^K16,""),"")</f>
        <v>0.87343872827321156</v>
      </c>
      <c r="BK16" s="158">
        <f t="shared" ref="BK16:BK79" si="26">IF(ISNUMBER($F$16),IF($K16&lt;=$F$16+$F$28,IF($K16&lt;=$F$16,SUM(Y16,AB16,AE16,AH16,AK16,AN16,AQ16,AV16,BA16,BD16,BG16),$F$27/$F$28*10^8)*BJ16,""),"")</f>
        <v>101556467.81378286</v>
      </c>
      <c r="BL16" s="158">
        <f t="shared" si="10"/>
        <v>22862153.89990392</v>
      </c>
      <c r="BM16" s="10"/>
      <c r="BN16" s="10">
        <f t="shared" ref="BN16:BN79" si="27">IF(AND(ISNUMBER($F$16),$K16&lt;=$F$16),BQ16*($O$15+$BK$116)/$BL$116,"")</f>
        <v>394491133.17676753</v>
      </c>
      <c r="BO16" s="10">
        <f t="shared" ref="BO16:BO79" si="28">IF(ISNUMBER(BN16),BN16*$M16,"")</f>
        <v>371845728.32196015</v>
      </c>
      <c r="BQ16" s="10">
        <f t="shared" si="11"/>
        <v>26174880</v>
      </c>
      <c r="BR16" s="10">
        <f t="shared" ref="BR16:BR79" si="29">IF(ISNUMBER(BQ16),BQ16*$M16,"")</f>
        <v>24672334.810066923</v>
      </c>
    </row>
    <row r="17" spans="3:70" x14ac:dyDescent="0.15">
      <c r="C17" s="71" t="s">
        <v>109</v>
      </c>
      <c r="F17" s="476">
        <f>IF(ISERROR(VLOOKUP(F3&amp;IF(G4&lt;&gt;"","_"&amp;G4,""),'表7）買取期間・IRR'!$A$14:$C$21,1,0)),"",VLOOKUP(F3&amp;IF(G4&lt;&gt;"","_"&amp;G4,""),'表7）買取期間・IRR'!$A$14:$C$21,IF(F7=2030,3,IF(F7=2020,2,"-")),0))</f>
        <v>7</v>
      </c>
      <c r="G17" s="84" t="s">
        <v>549</v>
      </c>
      <c r="I17" s="38">
        <f t="shared" ref="I17:I80" si="30">I16+1</f>
        <v>2032</v>
      </c>
      <c r="J17" s="39"/>
      <c r="K17" s="39">
        <f t="shared" ref="K17:K80" si="31">IF(I17&lt;&gt;"",K16+1,"")</f>
        <v>3</v>
      </c>
      <c r="L17" s="39"/>
      <c r="M17" s="40">
        <f t="shared" si="0"/>
        <v>0.91514165935315961</v>
      </c>
      <c r="N17" s="39"/>
      <c r="O17" s="72">
        <f t="shared" si="12"/>
        <v>2413862700</v>
      </c>
      <c r="P17" s="41">
        <f t="shared" si="1"/>
        <v>0.114</v>
      </c>
      <c r="Q17" s="39"/>
      <c r="R17" s="72">
        <f t="shared" si="13"/>
        <v>2494227304.678288</v>
      </c>
      <c r="S17" s="39"/>
      <c r="T17" s="72">
        <f t="shared" si="14"/>
        <v>2494227000</v>
      </c>
      <c r="U17" s="39"/>
      <c r="V17" s="72">
        <f t="shared" si="2"/>
        <v>275180347.80000001</v>
      </c>
      <c r="W17" s="72">
        <f t="shared" si="15"/>
        <v>251829000.10707161</v>
      </c>
      <c r="X17" s="39"/>
      <c r="Y17" s="72">
        <f t="shared" si="3"/>
        <v>34919100</v>
      </c>
      <c r="Z17" s="72">
        <f t="shared" si="16"/>
        <v>31955923.117118917</v>
      </c>
      <c r="AA17" s="39"/>
      <c r="AB17" s="72">
        <f t="shared" si="4"/>
        <v>0</v>
      </c>
      <c r="AC17" s="72">
        <f t="shared" si="17"/>
        <v>0</v>
      </c>
      <c r="AD17" s="39"/>
      <c r="AE17" s="72">
        <f t="shared" si="5"/>
        <v>0</v>
      </c>
      <c r="AF17" s="72">
        <f t="shared" si="18"/>
        <v>0</v>
      </c>
      <c r="AG17" s="39"/>
      <c r="AH17" s="72">
        <f t="shared" si="19"/>
        <v>77500000</v>
      </c>
      <c r="AI17" s="72">
        <f t="shared" si="20"/>
        <v>70923478.599869877</v>
      </c>
      <c r="AJ17" s="39"/>
      <c r="AK17" s="72"/>
      <c r="AL17" s="72"/>
      <c r="AM17" s="39"/>
      <c r="AN17" s="72"/>
      <c r="AO17" s="72"/>
      <c r="AP17" s="39"/>
      <c r="AQ17" s="72"/>
      <c r="AR17" s="72"/>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0</v>
      </c>
      <c r="AU17" s="39"/>
      <c r="AV17" s="72">
        <f t="shared" si="6"/>
        <v>0</v>
      </c>
      <c r="AW17" s="72">
        <f t="shared" si="21"/>
        <v>0</v>
      </c>
      <c r="AX17" s="39"/>
      <c r="AY17" s="40">
        <f>IF(ISERROR(IF($K17&lt;=$F$15,VLOOKUP($I17,'表4）CO2価格'!$A$7:$E$67,VLOOKUP($F$48,'表4）CO2価格'!$H$10:$I$12,2,0),0)*$F$8/1000,"")),0,IF($K17&lt;=$F$15,VLOOKUP($I17,'表4）CO2価格'!$A$7:$E$67,VLOOKUP($F$48,'表4）CO2価格'!$H$10:$I$12,2,0),0)*$F$8/1000,""))</f>
        <v>0</v>
      </c>
      <c r="AZ17" s="39"/>
      <c r="BA17" s="42">
        <f t="shared" si="7"/>
        <v>0</v>
      </c>
      <c r="BB17" s="72">
        <f t="shared" si="22"/>
        <v>0</v>
      </c>
      <c r="BC17" s="39"/>
      <c r="BD17" s="72">
        <f t="shared" si="8"/>
        <v>0</v>
      </c>
      <c r="BE17" s="72">
        <f t="shared" si="23"/>
        <v>0</v>
      </c>
      <c r="BF17" s="39"/>
      <c r="BG17" s="42">
        <f t="shared" si="9"/>
        <v>0</v>
      </c>
      <c r="BH17" s="72">
        <f t="shared" si="24"/>
        <v>0</v>
      </c>
      <c r="BI17" s="39"/>
      <c r="BJ17" s="40">
        <f t="shared" si="25"/>
        <v>0.81629787689085187</v>
      </c>
      <c r="BK17" s="157">
        <f t="shared" si="26"/>
        <v>91767472.65198037</v>
      </c>
      <c r="BL17" s="157">
        <f t="shared" si="10"/>
        <v>21366498.971872821</v>
      </c>
      <c r="BM17" s="72"/>
      <c r="BN17" s="72">
        <f t="shared" si="27"/>
        <v>394491133.17676753</v>
      </c>
      <c r="BO17" s="72">
        <f t="shared" si="28"/>
        <v>361015270.21549529</v>
      </c>
      <c r="BP17" s="39"/>
      <c r="BQ17" s="72">
        <f t="shared" si="11"/>
        <v>26174880</v>
      </c>
      <c r="BR17" s="72">
        <f t="shared" si="29"/>
        <v>23953723.116569832</v>
      </c>
    </row>
    <row r="18" spans="3:70" x14ac:dyDescent="0.15">
      <c r="I18" s="322">
        <f t="shared" si="30"/>
        <v>2033</v>
      </c>
      <c r="K18" s="71">
        <f t="shared" si="31"/>
        <v>4</v>
      </c>
      <c r="M18" s="7">
        <f t="shared" si="0"/>
        <v>0.888487047915689</v>
      </c>
      <c r="O18" s="10">
        <f t="shared" si="12"/>
        <v>2138682352.2</v>
      </c>
      <c r="P18" s="29">
        <f t="shared" si="1"/>
        <v>0.114</v>
      </c>
      <c r="R18" s="10">
        <f t="shared" si="13"/>
        <v>2246370999.3693199</v>
      </c>
      <c r="T18" s="10">
        <f t="shared" si="14"/>
        <v>2246370000</v>
      </c>
      <c r="V18" s="10">
        <f t="shared" si="2"/>
        <v>243809788.15080002</v>
      </c>
      <c r="W18" s="10">
        <f t="shared" si="15"/>
        <v>216621838.92705384</v>
      </c>
      <c r="Y18" s="10">
        <f t="shared" si="3"/>
        <v>31449100</v>
      </c>
      <c r="Z18" s="10">
        <f t="shared" si="16"/>
        <v>27942118.018605296</v>
      </c>
      <c r="AB18" s="10">
        <f t="shared" si="4"/>
        <v>0</v>
      </c>
      <c r="AC18" s="10">
        <f t="shared" si="17"/>
        <v>0</v>
      </c>
      <c r="AE18" s="10">
        <f t="shared" si="5"/>
        <v>0</v>
      </c>
      <c r="AF18" s="10">
        <f t="shared" si="18"/>
        <v>0</v>
      </c>
      <c r="AH18" s="679">
        <f t="shared" si="19"/>
        <v>77500000</v>
      </c>
      <c r="AI18" s="10">
        <f t="shared" si="20"/>
        <v>68857746.213465899</v>
      </c>
      <c r="AK18" s="10"/>
      <c r="AL18" s="10"/>
      <c r="AN18" s="10"/>
      <c r="AO18" s="10"/>
      <c r="AQ18" s="10"/>
      <c r="AR18" s="10"/>
      <c r="AT18" s="7">
        <f>IF($K18&lt;=$F$15,IF($F$40&lt;&gt;"",$F$40/1000,IF(ISERROR(VLOOKUP($F$3&amp;IF($G$4&lt;&gt;"",$G$4,"")&amp;IF($F$43&lt;&gt;"","_"&amp;$F$43,""),'表3）燃料価格'!$AF$9:$AG$25,2,0)),0,VLOOKUP($I18,'表3）燃料価格'!$A$6:$U$66,VLOOKUP($F$3&amp;IF($G$4&lt;&gt;"",$G$4,"")&amp;IF($F$43&lt;&gt;"","_"&amp;$F$43,""),'表3）燃料価格'!$AF$9:$AG$25,2,0)+VLOOKUP($F$41,'表3）燃料価格'!$AF$28:$AG$29,2,0),0)*IF($F$43="需要地価格",1,$F$8/$F$141))),"")</f>
        <v>0</v>
      </c>
      <c r="AV18" s="10">
        <f t="shared" si="6"/>
        <v>0</v>
      </c>
      <c r="AW18" s="10">
        <f t="shared" si="21"/>
        <v>0</v>
      </c>
      <c r="AY18" s="7">
        <f>IF(ISERROR(IF($K18&lt;=$F$15,VLOOKUP($I18,'表4）CO2価格'!$A$7:$E$67,VLOOKUP($F$48,'表4）CO2価格'!$H$10:$I$12,2,0),0)*$F$8/1000,"")),0,IF($K18&lt;=$F$15,VLOOKUP($I18,'表4）CO2価格'!$A$7:$E$67,VLOOKUP($F$48,'表4）CO2価格'!$H$10:$I$12,2,0),0)*$F$8/1000,""))</f>
        <v>0</v>
      </c>
      <c r="BA18" s="11">
        <f t="shared" si="7"/>
        <v>0</v>
      </c>
      <c r="BB18" s="10">
        <f t="shared" si="22"/>
        <v>0</v>
      </c>
      <c r="BD18" s="10">
        <f t="shared" si="8"/>
        <v>0</v>
      </c>
      <c r="BE18" s="10">
        <f t="shared" si="23"/>
        <v>0</v>
      </c>
      <c r="BG18" s="11">
        <f t="shared" si="9"/>
        <v>0</v>
      </c>
      <c r="BH18" s="10">
        <f t="shared" si="24"/>
        <v>0</v>
      </c>
      <c r="BJ18" s="7">
        <f t="shared" si="25"/>
        <v>0.7628952120475252</v>
      </c>
      <c r="BK18" s="158">
        <f t="shared" si="26"/>
        <v>83116746.746887028</v>
      </c>
      <c r="BL18" s="158">
        <f t="shared" si="10"/>
        <v>19968690.627918527</v>
      </c>
      <c r="BM18" s="10"/>
      <c r="BN18" s="10">
        <f t="shared" si="27"/>
        <v>394491133.17676753</v>
      </c>
      <c r="BO18" s="10">
        <f t="shared" si="28"/>
        <v>350500262.34514111</v>
      </c>
      <c r="BQ18" s="10">
        <f t="shared" si="11"/>
        <v>26174880</v>
      </c>
      <c r="BR18" s="10">
        <f t="shared" si="29"/>
        <v>23256041.860747408</v>
      </c>
    </row>
    <row r="19" spans="3:70" x14ac:dyDescent="0.15">
      <c r="C19" s="4" t="s">
        <v>557</v>
      </c>
      <c r="D19" s="100"/>
      <c r="E19" s="100"/>
      <c r="F19" s="4"/>
      <c r="G19" s="100"/>
      <c r="I19" s="38">
        <f t="shared" si="30"/>
        <v>2034</v>
      </c>
      <c r="J19" s="39"/>
      <c r="K19" s="39">
        <f t="shared" si="31"/>
        <v>5</v>
      </c>
      <c r="L19" s="39"/>
      <c r="M19" s="40">
        <f t="shared" si="0"/>
        <v>0.86260878438416411</v>
      </c>
      <c r="N19" s="39"/>
      <c r="O19" s="72">
        <f t="shared" si="12"/>
        <v>1894872564.0492001</v>
      </c>
      <c r="P19" s="41">
        <f t="shared" si="1"/>
        <v>0.114</v>
      </c>
      <c r="Q19" s="39"/>
      <c r="R19" s="72">
        <f t="shared" si="13"/>
        <v>2023144665.8220217</v>
      </c>
      <c r="S19" s="39"/>
      <c r="T19" s="72">
        <f t="shared" si="14"/>
        <v>2023144000</v>
      </c>
      <c r="U19" s="39"/>
      <c r="V19" s="72">
        <f t="shared" si="2"/>
        <v>216015472.3016088</v>
      </c>
      <c r="W19" s="72">
        <f t="shared" si="15"/>
        <v>186336843.97026184</v>
      </c>
      <c r="X19" s="39"/>
      <c r="Y19" s="72">
        <f t="shared" si="3"/>
        <v>28324000</v>
      </c>
      <c r="Z19" s="72">
        <f t="shared" si="16"/>
        <v>24432531.208897065</v>
      </c>
      <c r="AA19" s="39"/>
      <c r="AB19" s="72">
        <f t="shared" si="4"/>
        <v>0</v>
      </c>
      <c r="AC19" s="72">
        <f t="shared" si="17"/>
        <v>0</v>
      </c>
      <c r="AD19" s="39"/>
      <c r="AE19" s="72">
        <f t="shared" si="5"/>
        <v>0</v>
      </c>
      <c r="AF19" s="72">
        <f t="shared" si="18"/>
        <v>0</v>
      </c>
      <c r="AG19" s="39"/>
      <c r="AH19" s="72">
        <f t="shared" si="19"/>
        <v>77500000</v>
      </c>
      <c r="AI19" s="72">
        <f t="shared" si="20"/>
        <v>66852180.789772719</v>
      </c>
      <c r="AJ19" s="39"/>
      <c r="AK19" s="72"/>
      <c r="AL19" s="72"/>
      <c r="AM19" s="39"/>
      <c r="AN19" s="72"/>
      <c r="AO19" s="72"/>
      <c r="AP19" s="39"/>
      <c r="AQ19" s="72"/>
      <c r="AR19" s="72"/>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0</v>
      </c>
      <c r="AU19" s="39"/>
      <c r="AV19" s="72">
        <f t="shared" si="6"/>
        <v>0</v>
      </c>
      <c r="AW19" s="72">
        <f t="shared" si="21"/>
        <v>0</v>
      </c>
      <c r="AX19" s="39"/>
      <c r="AY19" s="40">
        <f>IF(ISERROR(IF($K19&lt;=$F$15,VLOOKUP($I19,'表4）CO2価格'!$A$7:$E$67,VLOOKUP($F$48,'表4）CO2価格'!$H$10:$I$12,2,0),0)*$F$8/1000,"")),0,IF($K19&lt;=$F$15,VLOOKUP($I19,'表4）CO2価格'!$A$7:$E$67,VLOOKUP($F$48,'表4）CO2価格'!$H$10:$I$12,2,0),0)*$F$8/1000,""))</f>
        <v>0</v>
      </c>
      <c r="AZ19" s="39"/>
      <c r="BA19" s="42">
        <f t="shared" si="7"/>
        <v>0</v>
      </c>
      <c r="BB19" s="72">
        <f t="shared" si="22"/>
        <v>0</v>
      </c>
      <c r="BC19" s="39"/>
      <c r="BD19" s="72">
        <f t="shared" si="8"/>
        <v>0</v>
      </c>
      <c r="BE19" s="72">
        <f t="shared" si="23"/>
        <v>0</v>
      </c>
      <c r="BF19" s="39"/>
      <c r="BG19" s="42">
        <f t="shared" si="9"/>
        <v>0</v>
      </c>
      <c r="BH19" s="72">
        <f t="shared" si="24"/>
        <v>0</v>
      </c>
      <c r="BI19" s="39"/>
      <c r="BJ19" s="40">
        <f t="shared" si="25"/>
        <v>0.71298617948366838</v>
      </c>
      <c r="BK19" s="157">
        <f t="shared" si="26"/>
        <v>75451049.457679719</v>
      </c>
      <c r="BL19" s="157">
        <f t="shared" si="10"/>
        <v>18662327.689643484</v>
      </c>
      <c r="BM19" s="72"/>
      <c r="BN19" s="72">
        <f t="shared" si="27"/>
        <v>394491133.17676753</v>
      </c>
      <c r="BO19" s="72">
        <f t="shared" si="28"/>
        <v>340291516.83994281</v>
      </c>
      <c r="BP19" s="39"/>
      <c r="BQ19" s="72">
        <f t="shared" si="11"/>
        <v>26174880</v>
      </c>
      <c r="BR19" s="72">
        <f t="shared" si="29"/>
        <v>22578681.418201368</v>
      </c>
    </row>
    <row r="20" spans="3:70" x14ac:dyDescent="0.15">
      <c r="I20" s="322">
        <f t="shared" si="30"/>
        <v>2035</v>
      </c>
      <c r="K20" s="71">
        <f t="shared" si="31"/>
        <v>6</v>
      </c>
      <c r="M20" s="7">
        <f t="shared" si="0"/>
        <v>0.83748425668365445</v>
      </c>
      <c r="O20" s="10">
        <f t="shared" si="12"/>
        <v>1678857091.7475913</v>
      </c>
      <c r="P20" s="29">
        <f t="shared" si="1"/>
        <v>0.114</v>
      </c>
      <c r="R20" s="10">
        <f t="shared" si="13"/>
        <v>1822100774.9802961</v>
      </c>
      <c r="T20" s="10">
        <f t="shared" si="14"/>
        <v>1822100000</v>
      </c>
      <c r="V20" s="10">
        <f t="shared" si="2"/>
        <v>191389708.45922542</v>
      </c>
      <c r="W20" s="10">
        <f t="shared" si="15"/>
        <v>160285867.72587574</v>
      </c>
      <c r="Y20" s="10">
        <f t="shared" si="3"/>
        <v>25509400</v>
      </c>
      <c r="Z20" s="10">
        <f t="shared" si="16"/>
        <v>21363720.897446014</v>
      </c>
      <c r="AB20" s="10">
        <f t="shared" si="4"/>
        <v>0</v>
      </c>
      <c r="AC20" s="10">
        <f t="shared" si="17"/>
        <v>0</v>
      </c>
      <c r="AE20" s="10">
        <f t="shared" si="5"/>
        <v>0</v>
      </c>
      <c r="AF20" s="10">
        <f t="shared" si="18"/>
        <v>0</v>
      </c>
      <c r="AH20" s="679">
        <f t="shared" si="19"/>
        <v>77500000</v>
      </c>
      <c r="AI20" s="10">
        <f t="shared" si="20"/>
        <v>64905029.892983221</v>
      </c>
      <c r="AK20" s="10"/>
      <c r="AL20" s="10"/>
      <c r="AN20" s="10"/>
      <c r="AO20" s="10"/>
      <c r="AQ20" s="10"/>
      <c r="AR20" s="10"/>
      <c r="AT20" s="7">
        <f>IF($K20&lt;=$F$15,IF($F$40&lt;&gt;"",$F$40/1000,IF(ISERROR(VLOOKUP($F$3&amp;IF($G$4&lt;&gt;"",$G$4,"")&amp;IF($F$43&lt;&gt;"","_"&amp;$F$43,""),'表3）燃料価格'!$AF$9:$AG$25,2,0)),0,VLOOKUP($I20,'表3）燃料価格'!$A$6:$U$66,VLOOKUP($F$3&amp;IF($G$4&lt;&gt;"",$G$4,"")&amp;IF($F$43&lt;&gt;"","_"&amp;$F$43,""),'表3）燃料価格'!$AF$9:$AG$25,2,0)+VLOOKUP($F$41,'表3）燃料価格'!$AF$28:$AG$29,2,0),0)*IF($F$43="需要地価格",1,$F$8/$F$141))),"")</f>
        <v>0</v>
      </c>
      <c r="AV20" s="10">
        <f t="shared" si="6"/>
        <v>0</v>
      </c>
      <c r="AW20" s="10">
        <f t="shared" si="21"/>
        <v>0</v>
      </c>
      <c r="AY20" s="7">
        <f>IF(ISERROR(IF($K20&lt;=$F$15,VLOOKUP($I20,'表4）CO2価格'!$A$7:$E$67,VLOOKUP($F$48,'表4）CO2価格'!$H$10:$I$12,2,0),0)*$F$8/1000,"")),0,IF($K20&lt;=$F$15,VLOOKUP($I20,'表4）CO2価格'!$A$7:$E$67,VLOOKUP($F$48,'表4）CO2価格'!$H$10:$I$12,2,0),0)*$F$8/1000,""))</f>
        <v>0</v>
      </c>
      <c r="BA20" s="11">
        <f t="shared" si="7"/>
        <v>0</v>
      </c>
      <c r="BB20" s="10">
        <f t="shared" si="22"/>
        <v>0</v>
      </c>
      <c r="BD20" s="10">
        <f t="shared" si="8"/>
        <v>0</v>
      </c>
      <c r="BE20" s="10">
        <f t="shared" si="23"/>
        <v>0</v>
      </c>
      <c r="BG20" s="11">
        <f t="shared" si="9"/>
        <v>0</v>
      </c>
      <c r="BH20" s="10">
        <f t="shared" si="24"/>
        <v>0</v>
      </c>
      <c r="BJ20" s="7">
        <f t="shared" si="25"/>
        <v>0.66634222381651254</v>
      </c>
      <c r="BK20" s="158">
        <f t="shared" si="26"/>
        <v>68639512.670004666</v>
      </c>
      <c r="BL20" s="158">
        <f t="shared" si="10"/>
        <v>17441427.747330356</v>
      </c>
      <c r="BM20" s="10"/>
      <c r="BN20" s="10">
        <f t="shared" si="27"/>
        <v>394491133.17676753</v>
      </c>
      <c r="BO20" s="10">
        <f t="shared" si="28"/>
        <v>330380113.43683767</v>
      </c>
      <c r="BQ20" s="10">
        <f t="shared" si="11"/>
        <v>26174880</v>
      </c>
      <c r="BR20" s="10">
        <f t="shared" si="29"/>
        <v>21921049.920583852</v>
      </c>
    </row>
    <row r="21" spans="3:70" x14ac:dyDescent="0.15">
      <c r="D21" s="84" t="s">
        <v>558</v>
      </c>
      <c r="F21" s="477">
        <v>61.5</v>
      </c>
      <c r="G21" s="84" t="s">
        <v>559</v>
      </c>
      <c r="I21" s="38">
        <f t="shared" si="30"/>
        <v>2036</v>
      </c>
      <c r="J21" s="39"/>
      <c r="K21" s="39">
        <f t="shared" si="31"/>
        <v>7</v>
      </c>
      <c r="L21" s="39"/>
      <c r="M21" s="40">
        <f t="shared" si="0"/>
        <v>0.81309151134335378</v>
      </c>
      <c r="N21" s="39"/>
      <c r="O21" s="72">
        <f t="shared" si="12"/>
        <v>1487467383.2883658</v>
      </c>
      <c r="P21" s="41">
        <f t="shared" si="1"/>
        <v>0.114</v>
      </c>
      <c r="Q21" s="39"/>
      <c r="R21" s="72">
        <f t="shared" si="13"/>
        <v>1641035013.5959404</v>
      </c>
      <c r="S21" s="39"/>
      <c r="T21" s="72">
        <f t="shared" si="14"/>
        <v>1641035000</v>
      </c>
      <c r="U21" s="39"/>
      <c r="V21" s="72">
        <f t="shared" si="2"/>
        <v>169571281.69487372</v>
      </c>
      <c r="W21" s="72">
        <f t="shared" si="15"/>
        <v>137876969.71371445</v>
      </c>
      <c r="X21" s="39"/>
      <c r="Y21" s="72">
        <f t="shared" si="3"/>
        <v>22974400</v>
      </c>
      <c r="Z21" s="72">
        <f t="shared" si="16"/>
        <v>18680289.618206747</v>
      </c>
      <c r="AA21" s="39"/>
      <c r="AB21" s="72">
        <f t="shared" si="4"/>
        <v>0</v>
      </c>
      <c r="AC21" s="72">
        <f t="shared" si="17"/>
        <v>0</v>
      </c>
      <c r="AD21" s="39"/>
      <c r="AE21" s="72">
        <f t="shared" si="5"/>
        <v>0</v>
      </c>
      <c r="AF21" s="72">
        <f t="shared" si="18"/>
        <v>0</v>
      </c>
      <c r="AG21" s="39"/>
      <c r="AH21" s="72">
        <f t="shared" si="19"/>
        <v>77500000</v>
      </c>
      <c r="AI21" s="72">
        <f t="shared" si="20"/>
        <v>63014592.129109919</v>
      </c>
      <c r="AJ21" s="39"/>
      <c r="AK21" s="72"/>
      <c r="AL21" s="72"/>
      <c r="AM21" s="39"/>
      <c r="AN21" s="72"/>
      <c r="AO21" s="72"/>
      <c r="AP21" s="39"/>
      <c r="AQ21" s="72"/>
      <c r="AR21" s="72"/>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0</v>
      </c>
      <c r="AU21" s="39"/>
      <c r="AV21" s="72">
        <f t="shared" si="6"/>
        <v>0</v>
      </c>
      <c r="AW21" s="72">
        <f t="shared" si="21"/>
        <v>0</v>
      </c>
      <c r="AX21" s="39"/>
      <c r="AY21" s="40">
        <f>IF(ISERROR(IF($K21&lt;=$F$15,VLOOKUP($I21,'表4）CO2価格'!$A$7:$E$67,VLOOKUP($F$48,'表4）CO2価格'!$H$10:$I$12,2,0),0)*$F$8/1000,"")),0,IF($K21&lt;=$F$15,VLOOKUP($I21,'表4）CO2価格'!$A$7:$E$67,VLOOKUP($F$48,'表4）CO2価格'!$H$10:$I$12,2,0),0)*$F$8/1000,""))</f>
        <v>0</v>
      </c>
      <c r="AZ21" s="39"/>
      <c r="BA21" s="42">
        <f t="shared" si="7"/>
        <v>0</v>
      </c>
      <c r="BB21" s="72">
        <f t="shared" si="22"/>
        <v>0</v>
      </c>
      <c r="BC21" s="39"/>
      <c r="BD21" s="72">
        <f t="shared" si="8"/>
        <v>0</v>
      </c>
      <c r="BE21" s="72">
        <f t="shared" si="23"/>
        <v>0</v>
      </c>
      <c r="BF21" s="39"/>
      <c r="BG21" s="42">
        <f t="shared" si="9"/>
        <v>0</v>
      </c>
      <c r="BH21" s="72">
        <f t="shared" si="24"/>
        <v>0</v>
      </c>
      <c r="BI21" s="39"/>
      <c r="BJ21" s="40">
        <f t="shared" si="25"/>
        <v>0.62274974188459109</v>
      </c>
      <c r="BK21" s="157">
        <f t="shared" si="26"/>
        <v>62570406.666009158</v>
      </c>
      <c r="BL21" s="157">
        <f t="shared" si="10"/>
        <v>16300399.763860146</v>
      </c>
      <c r="BM21" s="72"/>
      <c r="BN21" s="72">
        <f t="shared" si="27"/>
        <v>394491133.17676753</v>
      </c>
      <c r="BO21" s="72">
        <f t="shared" si="28"/>
        <v>320757391.68625015</v>
      </c>
      <c r="BP21" s="39"/>
      <c r="BQ21" s="72">
        <f t="shared" si="11"/>
        <v>26174880</v>
      </c>
      <c r="BR21" s="72">
        <f t="shared" si="29"/>
        <v>21282572.738430925</v>
      </c>
    </row>
    <row r="22" spans="3:70" ht="16.5" x14ac:dyDescent="0.15">
      <c r="D22" s="84" t="s">
        <v>560</v>
      </c>
      <c r="F22" s="478"/>
      <c r="G22" s="71" t="s">
        <v>561</v>
      </c>
      <c r="I22" s="322">
        <f t="shared" si="30"/>
        <v>2037</v>
      </c>
      <c r="K22" s="71">
        <f t="shared" si="31"/>
        <v>8</v>
      </c>
      <c r="M22" s="7">
        <f t="shared" si="0"/>
        <v>0.78940923431393573</v>
      </c>
      <c r="O22" s="10">
        <f t="shared" si="12"/>
        <v>1317896101.593492</v>
      </c>
      <c r="P22" s="29">
        <f t="shared" si="1"/>
        <v>0.114</v>
      </c>
      <c r="R22" s="10">
        <f t="shared" si="13"/>
        <v>1477962115.3923004</v>
      </c>
      <c r="T22" s="10">
        <f t="shared" si="14"/>
        <v>1477962000</v>
      </c>
      <c r="V22" s="10">
        <f t="shared" si="2"/>
        <v>150240155.5816581</v>
      </c>
      <c r="W22" s="10">
        <f t="shared" si="15"/>
        <v>118600966.1809233</v>
      </c>
      <c r="Y22" s="10">
        <f t="shared" si="3"/>
        <v>20691400</v>
      </c>
      <c r="Z22" s="10">
        <f t="shared" si="16"/>
        <v>16333982.230883369</v>
      </c>
      <c r="AB22" s="10">
        <f t="shared" si="4"/>
        <v>0</v>
      </c>
      <c r="AC22" s="10">
        <f t="shared" si="17"/>
        <v>0</v>
      </c>
      <c r="AE22" s="10">
        <f t="shared" si="5"/>
        <v>0</v>
      </c>
      <c r="AF22" s="10">
        <f t="shared" si="18"/>
        <v>0</v>
      </c>
      <c r="AH22" s="679">
        <f t="shared" si="19"/>
        <v>77500000</v>
      </c>
      <c r="AI22" s="10">
        <f t="shared" si="20"/>
        <v>61179215.659330018</v>
      </c>
      <c r="AK22" s="10"/>
      <c r="AL22" s="10"/>
      <c r="AN22" s="10"/>
      <c r="AO22" s="10"/>
      <c r="AQ22" s="10"/>
      <c r="AR22" s="10"/>
      <c r="AT22" s="7">
        <f>IF($K22&lt;=$F$15,IF($F$40&lt;&gt;"",$F$40/1000,IF(ISERROR(VLOOKUP($F$3&amp;IF($G$4&lt;&gt;"",$G$4,"")&amp;IF($F$43&lt;&gt;"","_"&amp;$F$43,""),'表3）燃料価格'!$AF$9:$AG$25,2,0)),0,VLOOKUP($I22,'表3）燃料価格'!$A$6:$U$66,VLOOKUP($F$3&amp;IF($G$4&lt;&gt;"",$G$4,"")&amp;IF($F$43&lt;&gt;"","_"&amp;$F$43,""),'表3）燃料価格'!$AF$9:$AG$25,2,0)+VLOOKUP($F$41,'表3）燃料価格'!$AF$28:$AG$29,2,0),0)*IF($F$43="需要地価格",1,$F$8/$F$141))),"")</f>
        <v>0</v>
      </c>
      <c r="AV22" s="10">
        <f t="shared" si="6"/>
        <v>0</v>
      </c>
      <c r="AW22" s="10">
        <f t="shared" si="21"/>
        <v>0</v>
      </c>
      <c r="AY22" s="7">
        <f>IF(ISERROR(IF($K22&lt;=$F$15,VLOOKUP($I22,'表4）CO2価格'!$A$7:$E$67,VLOOKUP($F$48,'表4）CO2価格'!$H$10:$I$12,2,0),0)*$F$8/1000,"")),0,IF($K22&lt;=$F$15,VLOOKUP($I22,'表4）CO2価格'!$A$7:$E$67,VLOOKUP($F$48,'表4）CO2価格'!$H$10:$I$12,2,0),0)*$F$8/1000,""))</f>
        <v>0</v>
      </c>
      <c r="BA22" s="11">
        <f t="shared" si="7"/>
        <v>0</v>
      </c>
      <c r="BB22" s="10">
        <f t="shared" si="22"/>
        <v>0</v>
      </c>
      <c r="BD22" s="10">
        <f t="shared" si="8"/>
        <v>0</v>
      </c>
      <c r="BE22" s="10">
        <f t="shared" si="23"/>
        <v>0</v>
      </c>
      <c r="BG22" s="11">
        <f t="shared" si="9"/>
        <v>0</v>
      </c>
      <c r="BH22" s="10">
        <f t="shared" si="24"/>
        <v>0</v>
      </c>
      <c r="BJ22" s="7">
        <f t="shared" si="25"/>
        <v>0.5820091045650384</v>
      </c>
      <c r="BK22" s="158">
        <f t="shared" si="26"/>
        <v>57148288.789987512</v>
      </c>
      <c r="BL22" s="158">
        <f t="shared" si="10"/>
        <v>15234018.470897332</v>
      </c>
      <c r="BM22" s="10"/>
      <c r="BN22" s="10">
        <f t="shared" si="27"/>
        <v>394491133.17676753</v>
      </c>
      <c r="BO22" s="10">
        <f t="shared" si="28"/>
        <v>311414943.38470888</v>
      </c>
      <c r="BQ22" s="10">
        <f t="shared" si="11"/>
        <v>26174880</v>
      </c>
      <c r="BR22" s="10">
        <f t="shared" si="29"/>
        <v>20662691.979059149</v>
      </c>
    </row>
    <row r="23" spans="3:70" x14ac:dyDescent="0.15">
      <c r="D23" s="84" t="s">
        <v>562</v>
      </c>
      <c r="F23" s="479"/>
      <c r="G23" s="84" t="s">
        <v>549</v>
      </c>
      <c r="I23" s="38">
        <f t="shared" si="30"/>
        <v>2038</v>
      </c>
      <c r="J23" s="39"/>
      <c r="K23" s="39">
        <f t="shared" si="31"/>
        <v>9</v>
      </c>
      <c r="L23" s="39"/>
      <c r="M23" s="40">
        <f t="shared" si="0"/>
        <v>0.76641673234362695</v>
      </c>
      <c r="N23" s="39"/>
      <c r="O23" s="72">
        <f t="shared" si="12"/>
        <v>1167655946.0118339</v>
      </c>
      <c r="P23" s="41">
        <f t="shared" si="1"/>
        <v>0.114</v>
      </c>
      <c r="Q23" s="39"/>
      <c r="R23" s="72">
        <f t="shared" si="13"/>
        <v>1331094093.9330406</v>
      </c>
      <c r="S23" s="39"/>
      <c r="T23" s="72">
        <f t="shared" si="14"/>
        <v>1331094000</v>
      </c>
      <c r="U23" s="39"/>
      <c r="V23" s="72">
        <f t="shared" si="2"/>
        <v>133112777.84534907</v>
      </c>
      <c r="W23" s="72">
        <f t="shared" si="15"/>
        <v>102019860.22941558</v>
      </c>
      <c r="X23" s="39"/>
      <c r="Y23" s="72">
        <f t="shared" si="3"/>
        <v>18635300</v>
      </c>
      <c r="Z23" s="72">
        <f t="shared" si="16"/>
        <v>14282405.732243191</v>
      </c>
      <c r="AA23" s="39"/>
      <c r="AB23" s="72">
        <f t="shared" si="4"/>
        <v>0</v>
      </c>
      <c r="AC23" s="72">
        <f t="shared" si="17"/>
        <v>0</v>
      </c>
      <c r="AD23" s="39"/>
      <c r="AE23" s="72">
        <f t="shared" si="5"/>
        <v>0</v>
      </c>
      <c r="AF23" s="72">
        <f t="shared" si="18"/>
        <v>0</v>
      </c>
      <c r="AG23" s="39"/>
      <c r="AH23" s="72">
        <f t="shared" si="19"/>
        <v>77500000</v>
      </c>
      <c r="AI23" s="72">
        <f t="shared" si="20"/>
        <v>59397296.756631091</v>
      </c>
      <c r="AJ23" s="39"/>
      <c r="AK23" s="72"/>
      <c r="AL23" s="72"/>
      <c r="AM23" s="39"/>
      <c r="AN23" s="72"/>
      <c r="AO23" s="72"/>
      <c r="AP23" s="39"/>
      <c r="AQ23" s="72"/>
      <c r="AR23" s="72"/>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0</v>
      </c>
      <c r="AU23" s="39"/>
      <c r="AV23" s="72">
        <f t="shared" si="6"/>
        <v>0</v>
      </c>
      <c r="AW23" s="72">
        <f t="shared" si="21"/>
        <v>0</v>
      </c>
      <c r="AX23" s="39"/>
      <c r="AY23" s="40">
        <f>IF(ISERROR(IF($K23&lt;=$F$15,VLOOKUP($I23,'表4）CO2価格'!$A$7:$E$67,VLOOKUP($F$48,'表4）CO2価格'!$H$10:$I$12,2,0),0)*$F$8/1000,"")),0,IF($K23&lt;=$F$15,VLOOKUP($I23,'表4）CO2価格'!$A$7:$E$67,VLOOKUP($F$48,'表4）CO2価格'!$H$10:$I$12,2,0),0)*$F$8/1000,""))</f>
        <v>0</v>
      </c>
      <c r="AZ23" s="39"/>
      <c r="BA23" s="42">
        <f t="shared" si="7"/>
        <v>0</v>
      </c>
      <c r="BB23" s="72">
        <f t="shared" si="22"/>
        <v>0</v>
      </c>
      <c r="BC23" s="39"/>
      <c r="BD23" s="72">
        <f t="shared" si="8"/>
        <v>0</v>
      </c>
      <c r="BE23" s="72">
        <f t="shared" si="23"/>
        <v>0</v>
      </c>
      <c r="BF23" s="39"/>
      <c r="BG23" s="42">
        <f t="shared" si="9"/>
        <v>0</v>
      </c>
      <c r="BH23" s="72">
        <f t="shared" si="24"/>
        <v>0</v>
      </c>
      <c r="BI23" s="39"/>
      <c r="BJ23" s="40">
        <f t="shared" si="25"/>
        <v>0.54393374258414806</v>
      </c>
      <c r="BK23" s="157">
        <f t="shared" si="26"/>
        <v>52291233.523449846</v>
      </c>
      <c r="BL23" s="157">
        <f t="shared" si="10"/>
        <v>14237400.440090965</v>
      </c>
      <c r="BM23" s="72"/>
      <c r="BN23" s="72">
        <f t="shared" si="27"/>
        <v>394491133.17676753</v>
      </c>
      <c r="BO23" s="72">
        <f t="shared" si="28"/>
        <v>302344605.22787273</v>
      </c>
      <c r="BP23" s="39"/>
      <c r="BQ23" s="72">
        <f t="shared" si="11"/>
        <v>26174880</v>
      </c>
      <c r="BR23" s="72">
        <f t="shared" si="29"/>
        <v>20060865.999086555</v>
      </c>
    </row>
    <row r="24" spans="3:70" x14ac:dyDescent="0.15">
      <c r="D24" s="84" t="s">
        <v>563</v>
      </c>
      <c r="F24" s="480">
        <v>0.4</v>
      </c>
      <c r="G24" s="84" t="s">
        <v>549</v>
      </c>
      <c r="I24" s="322">
        <f t="shared" si="30"/>
        <v>2039</v>
      </c>
      <c r="K24" s="71">
        <f t="shared" si="31"/>
        <v>10</v>
      </c>
      <c r="M24" s="7">
        <f t="shared" si="0"/>
        <v>0.74409391489672516</v>
      </c>
      <c r="O24" s="10">
        <f t="shared" si="12"/>
        <v>1034543168.1664848</v>
      </c>
      <c r="P24" s="29">
        <f t="shared" si="1"/>
        <v>0.114</v>
      </c>
      <c r="R24" s="10">
        <f t="shared" si="13"/>
        <v>1198820638.5338399</v>
      </c>
      <c r="T24" s="10">
        <f t="shared" si="14"/>
        <v>1198820000</v>
      </c>
      <c r="V24" s="10">
        <f t="shared" si="2"/>
        <v>117937921.17097928</v>
      </c>
      <c r="W24" s="10">
        <f t="shared" si="15"/>
        <v>87756889.478895336</v>
      </c>
      <c r="Y24" s="10">
        <f t="shared" si="3"/>
        <v>16783400</v>
      </c>
      <c r="Z24" s="10">
        <f t="shared" si="16"/>
        <v>12488425.811277697</v>
      </c>
      <c r="AB24" s="10">
        <f t="shared" si="4"/>
        <v>0</v>
      </c>
      <c r="AC24" s="10">
        <f t="shared" si="17"/>
        <v>0</v>
      </c>
      <c r="AE24" s="10">
        <f t="shared" si="5"/>
        <v>0</v>
      </c>
      <c r="AF24" s="10">
        <f t="shared" si="18"/>
        <v>0</v>
      </c>
      <c r="AH24" s="679">
        <f t="shared" si="19"/>
        <v>77500000</v>
      </c>
      <c r="AI24" s="10">
        <f t="shared" si="20"/>
        <v>57667278.4044962</v>
      </c>
      <c r="AK24" s="10"/>
      <c r="AL24" s="10"/>
      <c r="AN24" s="10"/>
      <c r="AO24" s="10"/>
      <c r="AQ24" s="10"/>
      <c r="AR24" s="10"/>
      <c r="AT24" s="7">
        <f>IF($K24&lt;=$F$15,IF($F$40&lt;&gt;"",$F$40/1000,IF(ISERROR(VLOOKUP($F$3&amp;IF($G$4&lt;&gt;"",$G$4,"")&amp;IF($F$43&lt;&gt;"","_"&amp;$F$43,""),'表3）燃料価格'!$AF$9:$AG$25,2,0)),0,VLOOKUP($I24,'表3）燃料価格'!$A$6:$U$66,VLOOKUP($F$3&amp;IF($G$4&lt;&gt;"",$G$4,"")&amp;IF($F$43&lt;&gt;"","_"&amp;$F$43,""),'表3）燃料価格'!$AF$9:$AG$25,2,0)+VLOOKUP($F$41,'表3）燃料価格'!$AF$28:$AG$29,2,0),0)*IF($F$43="需要地価格",1,$F$8/$F$141))),"")</f>
        <v>0</v>
      </c>
      <c r="AV24" s="10">
        <f t="shared" si="6"/>
        <v>0</v>
      </c>
      <c r="AW24" s="10">
        <f t="shared" si="21"/>
        <v>0</v>
      </c>
      <c r="AY24" s="7">
        <f>IF(ISERROR(IF($K24&lt;=$F$15,VLOOKUP($I24,'表4）CO2価格'!$A$7:$E$67,VLOOKUP($F$48,'表4）CO2価格'!$H$10:$I$12,2,0),0)*$F$8/1000,"")),0,IF($K24&lt;=$F$15,VLOOKUP($I24,'表4）CO2価格'!$A$7:$E$67,VLOOKUP($F$48,'表4）CO2価格'!$H$10:$I$12,2,0),0)*$F$8/1000,""))</f>
        <v>0</v>
      </c>
      <c r="BA24" s="11">
        <f t="shared" si="7"/>
        <v>0</v>
      </c>
      <c r="BB24" s="10">
        <f t="shared" si="22"/>
        <v>0</v>
      </c>
      <c r="BD24" s="10">
        <f t="shared" si="8"/>
        <v>0</v>
      </c>
      <c r="BE24" s="10">
        <f t="shared" si="23"/>
        <v>0</v>
      </c>
      <c r="BG24" s="11">
        <f t="shared" si="9"/>
        <v>0</v>
      </c>
      <c r="BH24" s="10">
        <f t="shared" si="24"/>
        <v>0</v>
      </c>
      <c r="BJ24" s="7">
        <f t="shared" si="25"/>
        <v>0.5083492921347178</v>
      </c>
      <c r="BK24" s="158">
        <f t="shared" si="26"/>
        <v>47928899.650054455</v>
      </c>
      <c r="BL24" s="158">
        <f t="shared" si="10"/>
        <v>13305981.719711183</v>
      </c>
      <c r="BM24" s="10"/>
      <c r="BN24" s="10">
        <f t="shared" si="27"/>
        <v>394491133.17676753</v>
      </c>
      <c r="BO24" s="10">
        <f t="shared" si="28"/>
        <v>293538451.67754632</v>
      </c>
      <c r="BQ24" s="10">
        <f t="shared" si="11"/>
        <v>26174880</v>
      </c>
      <c r="BR24" s="10">
        <f t="shared" si="29"/>
        <v>19476568.931151994</v>
      </c>
    </row>
    <row r="25" spans="3:70" x14ac:dyDescent="0.15">
      <c r="D25" s="84" t="s">
        <v>564</v>
      </c>
      <c r="F25" s="475">
        <v>1.4</v>
      </c>
      <c r="G25" s="84" t="s">
        <v>549</v>
      </c>
      <c r="I25" s="38">
        <f t="shared" si="30"/>
        <v>2040</v>
      </c>
      <c r="J25" s="39"/>
      <c r="K25" s="39">
        <f t="shared" si="31"/>
        <v>11</v>
      </c>
      <c r="L25" s="39"/>
      <c r="M25" s="40">
        <f t="shared" si="0"/>
        <v>0.72242127659876232</v>
      </c>
      <c r="N25" s="39"/>
      <c r="O25" s="72">
        <f t="shared" si="12"/>
        <v>916605246.99550557</v>
      </c>
      <c r="P25" s="41">
        <f t="shared" si="1"/>
        <v>0.114</v>
      </c>
      <c r="Q25" s="39"/>
      <c r="R25" s="72">
        <f t="shared" si="13"/>
        <v>1079691458.271153</v>
      </c>
      <c r="S25" s="39"/>
      <c r="T25" s="72">
        <f t="shared" si="14"/>
        <v>1079691000</v>
      </c>
      <c r="U25" s="39"/>
      <c r="V25" s="72">
        <f t="shared" si="2"/>
        <v>104492998.15748765</v>
      </c>
      <c r="W25" s="72">
        <f t="shared" si="15"/>
        <v>75487965.12456435</v>
      </c>
      <c r="X25" s="39"/>
      <c r="Y25" s="72">
        <f t="shared" si="3"/>
        <v>15115600</v>
      </c>
      <c r="Z25" s="72">
        <f t="shared" si="16"/>
        <v>10919831.048556251</v>
      </c>
      <c r="AA25" s="39"/>
      <c r="AB25" s="72">
        <f t="shared" si="4"/>
        <v>0</v>
      </c>
      <c r="AC25" s="72">
        <f t="shared" si="17"/>
        <v>0</v>
      </c>
      <c r="AD25" s="39"/>
      <c r="AE25" s="72">
        <f t="shared" si="5"/>
        <v>0</v>
      </c>
      <c r="AF25" s="72">
        <f t="shared" si="18"/>
        <v>0</v>
      </c>
      <c r="AG25" s="39"/>
      <c r="AH25" s="72">
        <f t="shared" si="19"/>
        <v>77500000</v>
      </c>
      <c r="AI25" s="72">
        <f t="shared" si="20"/>
        <v>55987648.936404079</v>
      </c>
      <c r="AJ25" s="39"/>
      <c r="AK25" s="72"/>
      <c r="AL25" s="72"/>
      <c r="AM25" s="39"/>
      <c r="AN25" s="72"/>
      <c r="AO25" s="72"/>
      <c r="AP25" s="39"/>
      <c r="AQ25" s="72"/>
      <c r="AR25" s="72"/>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0</v>
      </c>
      <c r="AU25" s="39"/>
      <c r="AV25" s="72">
        <f t="shared" si="6"/>
        <v>0</v>
      </c>
      <c r="AW25" s="72">
        <f t="shared" si="21"/>
        <v>0</v>
      </c>
      <c r="AX25" s="39"/>
      <c r="AY25" s="40">
        <f>IF(ISERROR(IF($K25&lt;=$F$15,VLOOKUP($I25,'表4）CO2価格'!$A$7:$E$67,VLOOKUP($F$48,'表4）CO2価格'!$H$10:$I$12,2,0),0)*$F$8/1000,"")),0,IF($K25&lt;=$F$15,VLOOKUP($I25,'表4）CO2価格'!$A$7:$E$67,VLOOKUP($F$48,'表4）CO2価格'!$H$10:$I$12,2,0),0)*$F$8/1000,""))</f>
        <v>0</v>
      </c>
      <c r="AZ25" s="39"/>
      <c r="BA25" s="42">
        <f t="shared" si="7"/>
        <v>0</v>
      </c>
      <c r="BB25" s="72">
        <f t="shared" si="22"/>
        <v>0</v>
      </c>
      <c r="BC25" s="39"/>
      <c r="BD25" s="72">
        <f t="shared" si="8"/>
        <v>0</v>
      </c>
      <c r="BE25" s="72">
        <f t="shared" si="23"/>
        <v>0</v>
      </c>
      <c r="BF25" s="39"/>
      <c r="BG25" s="42">
        <f t="shared" si="9"/>
        <v>0</v>
      </c>
      <c r="BH25" s="72">
        <f t="shared" si="24"/>
        <v>0</v>
      </c>
      <c r="BI25" s="39"/>
      <c r="BJ25" s="40">
        <f t="shared" si="25"/>
        <v>0.47509279638758667</v>
      </c>
      <c r="BK25" s="157">
        <f t="shared" si="26"/>
        <v>44001004.393114172</v>
      </c>
      <c r="BL25" s="157">
        <f t="shared" si="10"/>
        <v>12435496.934309514</v>
      </c>
      <c r="BM25" s="72"/>
      <c r="BN25" s="72">
        <f t="shared" si="27"/>
        <v>394491133.17676753</v>
      </c>
      <c r="BO25" s="72">
        <f t="shared" si="28"/>
        <v>284988788.03645277</v>
      </c>
      <c r="BP25" s="39"/>
      <c r="BQ25" s="72">
        <f t="shared" si="11"/>
        <v>26174880</v>
      </c>
      <c r="BR25" s="72">
        <f t="shared" si="29"/>
        <v>18909290.224419411</v>
      </c>
    </row>
    <row r="26" spans="3:70" x14ac:dyDescent="0.15">
      <c r="D26" s="84" t="s">
        <v>115</v>
      </c>
      <c r="F26" s="481"/>
      <c r="G26" s="84" t="s">
        <v>565</v>
      </c>
      <c r="I26" s="322">
        <f t="shared" si="30"/>
        <v>2041</v>
      </c>
      <c r="K26" s="71">
        <f t="shared" si="31"/>
        <v>12</v>
      </c>
      <c r="M26" s="7">
        <f t="shared" si="0"/>
        <v>0.70137988019297326</v>
      </c>
      <c r="O26" s="10">
        <f t="shared" si="12"/>
        <v>812112248.83801794</v>
      </c>
      <c r="P26" s="29">
        <f t="shared" si="1"/>
        <v>0.114</v>
      </c>
      <c r="R26" s="10">
        <f t="shared" si="13"/>
        <v>972400380.5017767</v>
      </c>
      <c r="T26" s="10">
        <f t="shared" si="14"/>
        <v>972400000</v>
      </c>
      <c r="V26" s="10">
        <f t="shared" si="2"/>
        <v>92580796.367534041</v>
      </c>
      <c r="W26" s="10">
        <f t="shared" si="15"/>
        <v>64934307.864431083</v>
      </c>
      <c r="Y26" s="10">
        <f t="shared" si="3"/>
        <v>13613600</v>
      </c>
      <c r="Z26" s="10">
        <f t="shared" si="16"/>
        <v>9548305.1369950604</v>
      </c>
      <c r="AB26" s="10">
        <f t="shared" si="4"/>
        <v>0</v>
      </c>
      <c r="AC26" s="10">
        <f t="shared" si="17"/>
        <v>0</v>
      </c>
      <c r="AE26" s="10">
        <f t="shared" si="5"/>
        <v>0</v>
      </c>
      <c r="AF26" s="10">
        <f t="shared" si="18"/>
        <v>0</v>
      </c>
      <c r="AH26" s="679">
        <f t="shared" si="19"/>
        <v>77500000</v>
      </c>
      <c r="AI26" s="10">
        <f t="shared" si="20"/>
        <v>54356940.714955427</v>
      </c>
      <c r="AK26" s="10"/>
      <c r="AL26" s="10"/>
      <c r="AN26" s="10"/>
      <c r="AO26" s="10"/>
      <c r="AQ26" s="10"/>
      <c r="AR26" s="10"/>
      <c r="AT26" s="7">
        <f>IF($K26&lt;=$F$15,IF($F$40&lt;&gt;"",$F$40/1000,IF(ISERROR(VLOOKUP($F$3&amp;IF($G$4&lt;&gt;"",$G$4,"")&amp;IF($F$43&lt;&gt;"","_"&amp;$F$43,""),'表3）燃料価格'!$AF$9:$AG$25,2,0)),0,VLOOKUP($I26,'表3）燃料価格'!$A$6:$U$66,VLOOKUP($F$3&amp;IF($G$4&lt;&gt;"",$G$4,"")&amp;IF($F$43&lt;&gt;"","_"&amp;$F$43,""),'表3）燃料価格'!$AF$9:$AG$25,2,0)+VLOOKUP($F$41,'表3）燃料価格'!$AF$28:$AG$29,2,0),0)*IF($F$43="需要地価格",1,$F$8/$F$141))),"")</f>
        <v>0</v>
      </c>
      <c r="AV26" s="10">
        <f t="shared" si="6"/>
        <v>0</v>
      </c>
      <c r="AW26" s="10">
        <f t="shared" si="21"/>
        <v>0</v>
      </c>
      <c r="AY26" s="7">
        <f>IF(ISERROR(IF($K26&lt;=$F$15,VLOOKUP($I26,'表4）CO2価格'!$A$7:$E$67,VLOOKUP($F$48,'表4）CO2価格'!$H$10:$I$12,2,0),0)*$F$8/1000,"")),0,IF($K26&lt;=$F$15,VLOOKUP($I26,'表4）CO2価格'!$A$7:$E$67,VLOOKUP($F$48,'表4）CO2価格'!$H$10:$I$12,2,0),0)*$F$8/1000,""))</f>
        <v>0</v>
      </c>
      <c r="BA26" s="11">
        <f t="shared" si="7"/>
        <v>0</v>
      </c>
      <c r="BB26" s="10">
        <f t="shared" si="22"/>
        <v>0</v>
      </c>
      <c r="BD26" s="10">
        <f t="shared" si="8"/>
        <v>0</v>
      </c>
      <c r="BE26" s="10">
        <f t="shared" si="23"/>
        <v>0</v>
      </c>
      <c r="BG26" s="11">
        <f t="shared" si="9"/>
        <v>0</v>
      </c>
      <c r="BH26" s="10">
        <f t="shared" si="24"/>
        <v>0</v>
      </c>
      <c r="BJ26" s="7">
        <f t="shared" si="25"/>
        <v>0.44401195924073528</v>
      </c>
      <c r="BK26" s="158">
        <f t="shared" si="26"/>
        <v>40455528.049476661</v>
      </c>
      <c r="BL26" s="158">
        <f t="shared" si="10"/>
        <v>11621959.751691137</v>
      </c>
      <c r="BM26" s="10"/>
      <c r="BN26" s="10">
        <f t="shared" si="27"/>
        <v>394491133.17676753</v>
      </c>
      <c r="BO26" s="10">
        <f t="shared" si="28"/>
        <v>276688143.72471148</v>
      </c>
      <c r="BQ26" s="10">
        <f t="shared" si="11"/>
        <v>26174880</v>
      </c>
      <c r="BR26" s="10">
        <f t="shared" si="29"/>
        <v>18358534.198465452</v>
      </c>
    </row>
    <row r="27" spans="3:70" x14ac:dyDescent="0.15">
      <c r="D27" s="160" t="s">
        <v>86</v>
      </c>
      <c r="F27" s="498">
        <f>F117*5%/10^8</f>
        <v>1.5375000000000001</v>
      </c>
      <c r="G27" s="84" t="s">
        <v>566</v>
      </c>
      <c r="I27" s="38">
        <f t="shared" si="30"/>
        <v>2042</v>
      </c>
      <c r="J27" s="39"/>
      <c r="K27" s="39">
        <f t="shared" si="31"/>
        <v>13</v>
      </c>
      <c r="L27" s="39"/>
      <c r="M27" s="40">
        <f t="shared" si="0"/>
        <v>0.68095133999317792</v>
      </c>
      <c r="N27" s="39"/>
      <c r="O27" s="72">
        <f t="shared" si="12"/>
        <v>719531452.4704839</v>
      </c>
      <c r="P27" s="41">
        <f t="shared" si="1"/>
        <v>0.114</v>
      </c>
      <c r="Q27" s="39"/>
      <c r="R27" s="72">
        <f t="shared" si="13"/>
        <v>875771029.54400909</v>
      </c>
      <c r="S27" s="39"/>
      <c r="T27" s="72">
        <f t="shared" si="14"/>
        <v>875771000</v>
      </c>
      <c r="U27" s="39"/>
      <c r="V27" s="72">
        <f t="shared" si="2"/>
        <v>82026585.581635162</v>
      </c>
      <c r="W27" s="72">
        <f t="shared" si="15"/>
        <v>55856113.366879553</v>
      </c>
      <c r="X27" s="39"/>
      <c r="Y27" s="72">
        <f t="shared" si="3"/>
        <v>12260700</v>
      </c>
      <c r="Z27" s="72">
        <f t="shared" si="16"/>
        <v>8348940.0942543568</v>
      </c>
      <c r="AA27" s="39"/>
      <c r="AB27" s="72">
        <f t="shared" si="4"/>
        <v>0</v>
      </c>
      <c r="AC27" s="72">
        <f t="shared" si="17"/>
        <v>0</v>
      </c>
      <c r="AD27" s="39"/>
      <c r="AE27" s="72">
        <f t="shared" si="5"/>
        <v>0</v>
      </c>
      <c r="AF27" s="72">
        <f t="shared" si="18"/>
        <v>0</v>
      </c>
      <c r="AG27" s="39"/>
      <c r="AH27" s="72">
        <f t="shared" si="19"/>
        <v>77500000</v>
      </c>
      <c r="AI27" s="72">
        <f t="shared" si="20"/>
        <v>52773728.849471286</v>
      </c>
      <c r="AJ27" s="39"/>
      <c r="AK27" s="72"/>
      <c r="AL27" s="72"/>
      <c r="AM27" s="39"/>
      <c r="AN27" s="72"/>
      <c r="AO27" s="72"/>
      <c r="AP27" s="39"/>
      <c r="AQ27" s="72"/>
      <c r="AR27" s="72"/>
      <c r="AS27" s="39"/>
      <c r="AT27" s="40">
        <f>IF($K27&lt;=$F$15,IF($F$40&lt;&gt;"",$F$40/1000,IF(ISERROR(VLOOKUP($F$3&amp;IF($G$4&lt;&gt;"",$G$4,"")&amp;IF($F$43&lt;&gt;"","_"&amp;$F$43,""),'表3）燃料価格'!$AF$9:$AG$25,2,0)),0,VLOOKUP($I27,'表3）燃料価格'!$A$6:$U$66,VLOOKUP($F$3&amp;IF($G$4&lt;&gt;"",$G$4,"")&amp;IF($F$43&lt;&gt;"","_"&amp;$F$43,""),'表3）燃料価格'!$AF$9:$AG$25,2,0)+VLOOKUP($F$41,'表3）燃料価格'!$AF$28:$AG$29,2,0),0)*IF($F$43="需要地価格",1,$F$8/$F$141))),"")</f>
        <v>0</v>
      </c>
      <c r="AU27" s="39"/>
      <c r="AV27" s="72">
        <f t="shared" si="6"/>
        <v>0</v>
      </c>
      <c r="AW27" s="72">
        <f t="shared" si="21"/>
        <v>0</v>
      </c>
      <c r="AX27" s="39"/>
      <c r="AY27" s="40">
        <f>IF(ISERROR(IF($K27&lt;=$F$15,VLOOKUP($I27,'表4）CO2価格'!$A$7:$E$67,VLOOKUP($F$48,'表4）CO2価格'!$H$10:$I$12,2,0),0)*$F$8/1000,"")),0,IF($K27&lt;=$F$15,VLOOKUP($I27,'表4）CO2価格'!$A$7:$E$67,VLOOKUP($F$48,'表4）CO2価格'!$H$10:$I$12,2,0),0)*$F$8/1000,""))</f>
        <v>0</v>
      </c>
      <c r="AZ27" s="39"/>
      <c r="BA27" s="42">
        <f t="shared" si="7"/>
        <v>0</v>
      </c>
      <c r="BB27" s="72">
        <f t="shared" si="22"/>
        <v>0</v>
      </c>
      <c r="BC27" s="39"/>
      <c r="BD27" s="72">
        <f t="shared" si="8"/>
        <v>0</v>
      </c>
      <c r="BE27" s="72">
        <f t="shared" si="23"/>
        <v>0</v>
      </c>
      <c r="BF27" s="39"/>
      <c r="BG27" s="42">
        <f t="shared" si="9"/>
        <v>0</v>
      </c>
      <c r="BH27" s="72">
        <f t="shared" si="24"/>
        <v>0</v>
      </c>
      <c r="BI27" s="39"/>
      <c r="BJ27" s="40">
        <f t="shared" si="25"/>
        <v>0.41496444788853759</v>
      </c>
      <c r="BK27" s="157">
        <f t="shared" si="26"/>
        <v>37247499.317588657</v>
      </c>
      <c r="BL27" s="157">
        <f t="shared" si="10"/>
        <v>10861644.627748724</v>
      </c>
      <c r="BM27" s="72"/>
      <c r="BN27" s="72">
        <f t="shared" si="27"/>
        <v>394491133.17676753</v>
      </c>
      <c r="BO27" s="72">
        <f t="shared" si="28"/>
        <v>268629265.75214708</v>
      </c>
      <c r="BP27" s="39"/>
      <c r="BQ27" s="72">
        <f t="shared" si="11"/>
        <v>26174880</v>
      </c>
      <c r="BR27" s="72">
        <f t="shared" si="29"/>
        <v>17823819.610160634</v>
      </c>
    </row>
    <row r="28" spans="3:70" x14ac:dyDescent="0.15">
      <c r="D28" s="84" t="s">
        <v>116</v>
      </c>
      <c r="F28" s="481">
        <v>1</v>
      </c>
      <c r="G28" s="84" t="s">
        <v>556</v>
      </c>
      <c r="I28" s="322">
        <f t="shared" si="30"/>
        <v>2043</v>
      </c>
      <c r="K28" s="71">
        <f t="shared" si="31"/>
        <v>14</v>
      </c>
      <c r="M28" s="7">
        <f t="shared" si="0"/>
        <v>0.66111780581861923</v>
      </c>
      <c r="O28" s="10">
        <f t="shared" si="12"/>
        <v>637504866.88884878</v>
      </c>
      <c r="P28" s="29">
        <f t="shared" si="1"/>
        <v>0.114</v>
      </c>
      <c r="R28" s="10">
        <f t="shared" si="13"/>
        <v>788743928.49661398</v>
      </c>
      <c r="T28" s="10">
        <f t="shared" si="14"/>
        <v>788743000</v>
      </c>
      <c r="V28" s="10">
        <f t="shared" si="2"/>
        <v>72675554.825328767</v>
      </c>
      <c r="W28" s="10">
        <f t="shared" si="15"/>
        <v>48047103.342772119</v>
      </c>
      <c r="Y28" s="10">
        <f t="shared" si="3"/>
        <v>11042400</v>
      </c>
      <c r="Z28" s="10">
        <f t="shared" si="16"/>
        <v>7300327.2589715207</v>
      </c>
      <c r="AB28" s="10">
        <f t="shared" si="4"/>
        <v>0</v>
      </c>
      <c r="AC28" s="10">
        <f t="shared" si="17"/>
        <v>0</v>
      </c>
      <c r="AE28" s="10">
        <f t="shared" si="5"/>
        <v>0</v>
      </c>
      <c r="AF28" s="10">
        <f t="shared" si="18"/>
        <v>0</v>
      </c>
      <c r="AH28" s="679">
        <f t="shared" si="19"/>
        <v>77500000</v>
      </c>
      <c r="AI28" s="10">
        <f t="shared" si="20"/>
        <v>51236629.950942993</v>
      </c>
      <c r="AK28" s="10"/>
      <c r="AL28" s="10"/>
      <c r="AN28" s="10"/>
      <c r="AO28" s="10"/>
      <c r="AQ28" s="10"/>
      <c r="AR28" s="10"/>
      <c r="AT28" s="7">
        <f>IF($K28&lt;=$F$15,IF($F$40&lt;&gt;"",$F$40/1000,IF(ISERROR(VLOOKUP($F$3&amp;IF($G$4&lt;&gt;"",$G$4,"")&amp;IF($F$43&lt;&gt;"","_"&amp;$F$43,""),'表3）燃料価格'!$AF$9:$AG$25,2,0)),0,VLOOKUP($I28,'表3）燃料価格'!$A$6:$U$66,VLOOKUP($F$3&amp;IF($G$4&lt;&gt;"",$G$4,"")&amp;IF($F$43&lt;&gt;"","_"&amp;$F$43,""),'表3）燃料価格'!$AF$9:$AG$25,2,0)+VLOOKUP($F$41,'表3）燃料価格'!$AF$28:$AG$29,2,0),0)*IF($F$43="需要地価格",1,$F$8/$F$141))),"")</f>
        <v>0</v>
      </c>
      <c r="AV28" s="10">
        <f t="shared" si="6"/>
        <v>0</v>
      </c>
      <c r="AW28" s="10">
        <f t="shared" si="21"/>
        <v>0</v>
      </c>
      <c r="AY28" s="7">
        <f>IF(ISERROR(IF($K28&lt;=$F$15,VLOOKUP($I28,'表4）CO2価格'!$A$7:$E$67,VLOOKUP($F$48,'表4）CO2価格'!$H$10:$I$12,2,0),0)*$F$8/1000,"")),0,IF($K28&lt;=$F$15,VLOOKUP($I28,'表4）CO2価格'!$A$7:$E$67,VLOOKUP($F$48,'表4）CO2価格'!$H$10:$I$12,2,0),0)*$F$8/1000,""))</f>
        <v>0</v>
      </c>
      <c r="BA28" s="11">
        <f t="shared" si="7"/>
        <v>0</v>
      </c>
      <c r="BB28" s="10">
        <f t="shared" si="22"/>
        <v>0</v>
      </c>
      <c r="BD28" s="10">
        <f t="shared" si="8"/>
        <v>0</v>
      </c>
      <c r="BE28" s="10">
        <f t="shared" si="23"/>
        <v>0</v>
      </c>
      <c r="BG28" s="11">
        <f t="shared" si="9"/>
        <v>0</v>
      </c>
      <c r="BH28" s="10">
        <f t="shared" si="24"/>
        <v>0</v>
      </c>
      <c r="BJ28" s="7">
        <f t="shared" si="25"/>
        <v>0.3878172410173249</v>
      </c>
      <c r="BK28" s="158">
        <f t="shared" si="26"/>
        <v>34338269.281052388</v>
      </c>
      <c r="BL28" s="158">
        <f t="shared" si="10"/>
        <v>10151069.745559556</v>
      </c>
      <c r="BM28" s="10"/>
      <c r="BN28" s="10">
        <f t="shared" si="27"/>
        <v>394491133.17676753</v>
      </c>
      <c r="BO28" s="10">
        <f t="shared" si="28"/>
        <v>260805112.38072526</v>
      </c>
      <c r="BQ28" s="10">
        <f t="shared" si="11"/>
        <v>26174880</v>
      </c>
      <c r="BR28" s="10">
        <f t="shared" si="29"/>
        <v>17304679.233165659</v>
      </c>
    </row>
    <row r="29" spans="3:70" x14ac:dyDescent="0.15">
      <c r="D29" s="84" t="s">
        <v>567</v>
      </c>
      <c r="F29" s="481"/>
      <c r="G29" s="84" t="s">
        <v>566</v>
      </c>
      <c r="I29" s="38">
        <f t="shared" si="30"/>
        <v>2044</v>
      </c>
      <c r="J29" s="39"/>
      <c r="K29" s="39">
        <f t="shared" si="31"/>
        <v>15</v>
      </c>
      <c r="L29" s="39"/>
      <c r="M29" s="40">
        <f t="shared" si="0"/>
        <v>0.64186194739671765</v>
      </c>
      <c r="N29" s="39"/>
      <c r="O29" s="72">
        <f t="shared" si="12"/>
        <v>564829312.06351995</v>
      </c>
      <c r="P29" s="41">
        <f t="shared" si="1"/>
        <v>0.125</v>
      </c>
      <c r="Q29" s="39"/>
      <c r="R29" s="72">
        <f t="shared" si="13"/>
        <v>710364882.7755717</v>
      </c>
      <c r="S29" s="39"/>
      <c r="T29" s="72">
        <f t="shared" si="14"/>
        <v>710364000</v>
      </c>
      <c r="U29" s="39"/>
      <c r="V29" s="72">
        <f t="shared" si="2"/>
        <v>70603664.007939994</v>
      </c>
      <c r="W29" s="72">
        <f t="shared" si="15"/>
        <v>45317805.273479909</v>
      </c>
      <c r="X29" s="39"/>
      <c r="Y29" s="72">
        <f t="shared" si="3"/>
        <v>9945000</v>
      </c>
      <c r="Z29" s="72">
        <f t="shared" si="16"/>
        <v>6383317.0668603573</v>
      </c>
      <c r="AA29" s="39"/>
      <c r="AB29" s="72">
        <f t="shared" si="4"/>
        <v>0</v>
      </c>
      <c r="AC29" s="72">
        <f t="shared" si="17"/>
        <v>0</v>
      </c>
      <c r="AD29" s="39"/>
      <c r="AE29" s="72">
        <f t="shared" si="5"/>
        <v>0</v>
      </c>
      <c r="AF29" s="72">
        <f t="shared" si="18"/>
        <v>0</v>
      </c>
      <c r="AG29" s="39"/>
      <c r="AH29" s="72">
        <f t="shared" si="19"/>
        <v>77500000</v>
      </c>
      <c r="AI29" s="72">
        <f t="shared" si="20"/>
        <v>49744300.923245616</v>
      </c>
      <c r="AJ29" s="39"/>
      <c r="AK29" s="72"/>
      <c r="AL29" s="72"/>
      <c r="AM29" s="39"/>
      <c r="AN29" s="72"/>
      <c r="AO29" s="72"/>
      <c r="AP29" s="39"/>
      <c r="AQ29" s="72"/>
      <c r="AR29" s="72"/>
      <c r="AS29" s="39"/>
      <c r="AT29" s="40">
        <f>IF($K29&lt;=$F$15,IF($F$40&lt;&gt;"",$F$40/1000,IF(ISERROR(VLOOKUP($F$3&amp;IF($G$4&lt;&gt;"",$G$4,"")&amp;IF($F$43&lt;&gt;"","_"&amp;$F$43,""),'表3）燃料価格'!$AF$9:$AG$25,2,0)),0,VLOOKUP($I29,'表3）燃料価格'!$A$6:$U$66,VLOOKUP($F$3&amp;IF($G$4&lt;&gt;"",$G$4,"")&amp;IF($F$43&lt;&gt;"","_"&amp;$F$43,""),'表3）燃料価格'!$AF$9:$AG$25,2,0)+VLOOKUP($F$41,'表3）燃料価格'!$AF$28:$AG$29,2,0),0)*IF($F$43="需要地価格",1,$F$8/$F$141))),"")</f>
        <v>0</v>
      </c>
      <c r="AU29" s="39"/>
      <c r="AV29" s="72">
        <f t="shared" si="6"/>
        <v>0</v>
      </c>
      <c r="AW29" s="72">
        <f t="shared" si="21"/>
        <v>0</v>
      </c>
      <c r="AX29" s="39"/>
      <c r="AY29" s="40">
        <f>IF(ISERROR(IF($K29&lt;=$F$15,VLOOKUP($I29,'表4）CO2価格'!$A$7:$E$67,VLOOKUP($F$48,'表4）CO2価格'!$H$10:$I$12,2,0),0)*$F$8/1000,"")),0,IF($K29&lt;=$F$15,VLOOKUP($I29,'表4）CO2価格'!$A$7:$E$67,VLOOKUP($F$48,'表4）CO2価格'!$H$10:$I$12,2,0),0)*$F$8/1000,""))</f>
        <v>0</v>
      </c>
      <c r="AZ29" s="39"/>
      <c r="BA29" s="42">
        <f t="shared" si="7"/>
        <v>0</v>
      </c>
      <c r="BB29" s="72">
        <f t="shared" si="22"/>
        <v>0</v>
      </c>
      <c r="BC29" s="39"/>
      <c r="BD29" s="72">
        <f t="shared" si="8"/>
        <v>0</v>
      </c>
      <c r="BE29" s="72">
        <f t="shared" si="23"/>
        <v>0</v>
      </c>
      <c r="BF29" s="39"/>
      <c r="BG29" s="42">
        <f t="shared" si="9"/>
        <v>0</v>
      </c>
      <c r="BH29" s="72">
        <f t="shared" si="24"/>
        <v>0</v>
      </c>
      <c r="BI29" s="39"/>
      <c r="BJ29" s="40">
        <f t="shared" si="25"/>
        <v>0.36244601964235967</v>
      </c>
      <c r="BK29" s="157">
        <f t="shared" si="26"/>
        <v>31694092.187626142</v>
      </c>
      <c r="BL29" s="157">
        <f t="shared" si="10"/>
        <v>9486981.0706164073</v>
      </c>
      <c r="BM29" s="72"/>
      <c r="BN29" s="72">
        <f t="shared" si="27"/>
        <v>394491133.17676753</v>
      </c>
      <c r="BO29" s="72">
        <f t="shared" si="28"/>
        <v>253208846.97157788</v>
      </c>
      <c r="BP29" s="39"/>
      <c r="BQ29" s="72">
        <f t="shared" si="11"/>
        <v>26174880</v>
      </c>
      <c r="BR29" s="72">
        <f t="shared" si="29"/>
        <v>16800659.449675396</v>
      </c>
    </row>
    <row r="30" spans="3:70" x14ac:dyDescent="0.15">
      <c r="I30" s="322">
        <f t="shared" si="30"/>
        <v>2045</v>
      </c>
      <c r="K30" s="71">
        <f t="shared" si="31"/>
        <v>16</v>
      </c>
      <c r="M30" s="7">
        <f t="shared" si="0"/>
        <v>0.62316693922011435</v>
      </c>
      <c r="O30" s="10">
        <f t="shared" si="12"/>
        <v>494225648.05557996</v>
      </c>
      <c r="P30" s="29" t="str">
        <f t="shared" si="1"/>
        <v>-</v>
      </c>
      <c r="R30" s="10">
        <f t="shared" si="13"/>
        <v>639774518.00178003</v>
      </c>
      <c r="T30" s="10">
        <f t="shared" si="14"/>
        <v>639774000</v>
      </c>
      <c r="V30" s="10">
        <f t="shared" si="2"/>
        <v>70603664.007939994</v>
      </c>
      <c r="W30" s="10">
        <f t="shared" si="15"/>
        <v>43997869.197553314</v>
      </c>
      <c r="Y30" s="10">
        <f t="shared" si="3"/>
        <v>8956800</v>
      </c>
      <c r="Z30" s="10">
        <f t="shared" si="16"/>
        <v>5581581.6412067199</v>
      </c>
      <c r="AB30" s="10">
        <f t="shared" si="4"/>
        <v>0</v>
      </c>
      <c r="AC30" s="10">
        <f t="shared" si="17"/>
        <v>0</v>
      </c>
      <c r="AE30" s="10">
        <f t="shared" si="5"/>
        <v>0</v>
      </c>
      <c r="AF30" s="10">
        <f t="shared" si="18"/>
        <v>0</v>
      </c>
      <c r="AH30" s="679">
        <f t="shared" si="19"/>
        <v>77500000</v>
      </c>
      <c r="AI30" s="10">
        <f t="shared" si="20"/>
        <v>48295437.789558865</v>
      </c>
      <c r="AK30" s="10"/>
      <c r="AL30" s="10"/>
      <c r="AN30" s="10"/>
      <c r="AO30" s="10"/>
      <c r="AQ30" s="10"/>
      <c r="AR30" s="10"/>
      <c r="AT30" s="7">
        <f>IF($K30&lt;=$F$15,IF($F$40&lt;&gt;"",$F$40/1000,IF(ISERROR(VLOOKUP($F$3&amp;IF($G$4&lt;&gt;"",$G$4,"")&amp;IF($F$43&lt;&gt;"","_"&amp;$F$43,""),'表3）燃料価格'!$AF$9:$AG$25,2,0)),0,VLOOKUP($I30,'表3）燃料価格'!$A$6:$U$66,VLOOKUP($F$3&amp;IF($G$4&lt;&gt;"",$G$4,"")&amp;IF($F$43&lt;&gt;"","_"&amp;$F$43,""),'表3）燃料価格'!$AF$9:$AG$25,2,0)+VLOOKUP($F$41,'表3）燃料価格'!$AF$28:$AG$29,2,0),0)*IF($F$43="需要地価格",1,$F$8/$F$141))),"")</f>
        <v>0</v>
      </c>
      <c r="AV30" s="10">
        <f t="shared" si="6"/>
        <v>0</v>
      </c>
      <c r="AW30" s="10">
        <f t="shared" si="21"/>
        <v>0</v>
      </c>
      <c r="AY30" s="7">
        <f>IF(ISERROR(IF($K30&lt;=$F$15,VLOOKUP($I30,'表4）CO2価格'!$A$7:$E$67,VLOOKUP($F$48,'表4）CO2価格'!$H$10:$I$12,2,0),0)*$F$8/1000,"")),0,IF($K30&lt;=$F$15,VLOOKUP($I30,'表4）CO2価格'!$A$7:$E$67,VLOOKUP($F$48,'表4）CO2価格'!$H$10:$I$12,2,0),0)*$F$8/1000,""))</f>
        <v>0</v>
      </c>
      <c r="BA30" s="11">
        <f t="shared" si="7"/>
        <v>0</v>
      </c>
      <c r="BB30" s="10">
        <f t="shared" si="22"/>
        <v>0</v>
      </c>
      <c r="BD30" s="10">
        <f t="shared" si="8"/>
        <v>0</v>
      </c>
      <c r="BE30" s="10">
        <f t="shared" si="23"/>
        <v>0</v>
      </c>
      <c r="BG30" s="11">
        <f t="shared" si="9"/>
        <v>0</v>
      </c>
      <c r="BH30" s="10">
        <f t="shared" si="24"/>
        <v>0</v>
      </c>
      <c r="BJ30" s="7">
        <f t="shared" si="25"/>
        <v>0.33873459779659787</v>
      </c>
      <c r="BK30" s="158">
        <f t="shared" si="26"/>
        <v>29285909.374780905</v>
      </c>
      <c r="BL30" s="158">
        <f t="shared" si="10"/>
        <v>8866337.4491742142</v>
      </c>
      <c r="BM30" s="10"/>
      <c r="BN30" s="10">
        <f t="shared" si="27"/>
        <v>394491133.17676753</v>
      </c>
      <c r="BO30" s="10">
        <f t="shared" si="28"/>
        <v>245833832.01124072</v>
      </c>
      <c r="BQ30" s="10">
        <f t="shared" si="11"/>
        <v>26174880</v>
      </c>
      <c r="BR30" s="10">
        <f t="shared" si="29"/>
        <v>16311319.854053786</v>
      </c>
    </row>
    <row r="31" spans="3:70" x14ac:dyDescent="0.15">
      <c r="C31" s="4" t="s">
        <v>568</v>
      </c>
      <c r="D31" s="100"/>
      <c r="E31" s="100"/>
      <c r="F31" s="4"/>
      <c r="G31" s="100"/>
      <c r="I31" s="38">
        <f t="shared" si="30"/>
        <v>2046</v>
      </c>
      <c r="J31" s="39"/>
      <c r="K31" s="39">
        <f t="shared" si="31"/>
        <v>17</v>
      </c>
      <c r="L31" s="39"/>
      <c r="M31" s="40">
        <f t="shared" si="0"/>
        <v>0.60501644584477121</v>
      </c>
      <c r="N31" s="39"/>
      <c r="O31" s="72">
        <f t="shared" si="12"/>
        <v>423621984.04763997</v>
      </c>
      <c r="P31" s="41" t="str">
        <f t="shared" si="1"/>
        <v>-</v>
      </c>
      <c r="Q31" s="39"/>
      <c r="R31" s="72">
        <f t="shared" si="13"/>
        <v>576198857.52956808</v>
      </c>
      <c r="S31" s="39"/>
      <c r="T31" s="72">
        <f t="shared" si="14"/>
        <v>576198000</v>
      </c>
      <c r="U31" s="39"/>
      <c r="V31" s="72">
        <f t="shared" si="2"/>
        <v>70603664.007939994</v>
      </c>
      <c r="W31" s="72">
        <f t="shared" si="15"/>
        <v>42716377.861702248</v>
      </c>
      <c r="X31" s="39"/>
      <c r="Y31" s="72">
        <f t="shared" si="3"/>
        <v>8066700</v>
      </c>
      <c r="Z31" s="72">
        <f t="shared" si="16"/>
        <v>4880486.1636960162</v>
      </c>
      <c r="AA31" s="39"/>
      <c r="AB31" s="72">
        <f t="shared" si="4"/>
        <v>0</v>
      </c>
      <c r="AC31" s="72">
        <f t="shared" si="17"/>
        <v>0</v>
      </c>
      <c r="AD31" s="39"/>
      <c r="AE31" s="72">
        <f t="shared" si="5"/>
        <v>0</v>
      </c>
      <c r="AF31" s="72">
        <f t="shared" si="18"/>
        <v>0</v>
      </c>
      <c r="AG31" s="39"/>
      <c r="AH31" s="72">
        <f t="shared" si="19"/>
        <v>77500000</v>
      </c>
      <c r="AI31" s="72">
        <f t="shared" si="20"/>
        <v>46888774.552969769</v>
      </c>
      <c r="AJ31" s="39"/>
      <c r="AK31" s="72"/>
      <c r="AL31" s="72"/>
      <c r="AM31" s="39"/>
      <c r="AN31" s="72"/>
      <c r="AO31" s="72"/>
      <c r="AP31" s="39"/>
      <c r="AQ31" s="72"/>
      <c r="AR31" s="72"/>
      <c r="AS31" s="39"/>
      <c r="AT31" s="40">
        <f>IF($K31&lt;=$F$15,IF($F$40&lt;&gt;"",$F$40/1000,IF(ISERROR(VLOOKUP($F$3&amp;IF($G$4&lt;&gt;"",$G$4,"")&amp;IF($F$43&lt;&gt;"","_"&amp;$F$43,""),'表3）燃料価格'!$AF$9:$AG$25,2,0)),0,VLOOKUP($I31,'表3）燃料価格'!$A$6:$U$66,VLOOKUP($F$3&amp;IF($G$4&lt;&gt;"",$G$4,"")&amp;IF($F$43&lt;&gt;"","_"&amp;$F$43,""),'表3）燃料価格'!$AF$9:$AG$25,2,0)+VLOOKUP($F$41,'表3）燃料価格'!$AF$28:$AG$29,2,0),0)*IF($F$43="需要地価格",1,$F$8/$F$141))),"")</f>
        <v>0</v>
      </c>
      <c r="AU31" s="39"/>
      <c r="AV31" s="72">
        <f t="shared" si="6"/>
        <v>0</v>
      </c>
      <c r="AW31" s="72">
        <f t="shared" si="21"/>
        <v>0</v>
      </c>
      <c r="AX31" s="39"/>
      <c r="AY31" s="40">
        <f>IF(ISERROR(IF($K31&lt;=$F$15,VLOOKUP($I31,'表4）CO2価格'!$A$7:$E$67,VLOOKUP($F$48,'表4）CO2価格'!$H$10:$I$12,2,0),0)*$F$8/1000,"")),0,IF($K31&lt;=$F$15,VLOOKUP($I31,'表4）CO2価格'!$A$7:$E$67,VLOOKUP($F$48,'表4）CO2価格'!$H$10:$I$12,2,0),0)*$F$8/1000,""))</f>
        <v>0</v>
      </c>
      <c r="AZ31" s="39"/>
      <c r="BA31" s="42">
        <f t="shared" si="7"/>
        <v>0</v>
      </c>
      <c r="BB31" s="72">
        <f t="shared" si="22"/>
        <v>0</v>
      </c>
      <c r="BC31" s="39"/>
      <c r="BD31" s="72">
        <f t="shared" si="8"/>
        <v>0</v>
      </c>
      <c r="BE31" s="72">
        <f t="shared" si="23"/>
        <v>0</v>
      </c>
      <c r="BF31" s="39"/>
      <c r="BG31" s="42">
        <f t="shared" si="9"/>
        <v>0</v>
      </c>
      <c r="BH31" s="72">
        <f t="shared" si="24"/>
        <v>0</v>
      </c>
      <c r="BI31" s="39"/>
      <c r="BJ31" s="40">
        <f t="shared" si="25"/>
        <v>0.31657439046411018</v>
      </c>
      <c r="BK31" s="157">
        <f t="shared" si="26"/>
        <v>27088225.896525376</v>
      </c>
      <c r="BL31" s="157">
        <f t="shared" si="10"/>
        <v>8286296.6814712286</v>
      </c>
      <c r="BM31" s="72"/>
      <c r="BN31" s="72">
        <f t="shared" si="27"/>
        <v>394491133.17676753</v>
      </c>
      <c r="BO31" s="72">
        <f t="shared" si="28"/>
        <v>238673623.31188419</v>
      </c>
      <c r="BP31" s="39"/>
      <c r="BQ31" s="72">
        <f t="shared" si="11"/>
        <v>26174880</v>
      </c>
      <c r="BR31" s="72">
        <f t="shared" si="29"/>
        <v>15836232.868013386</v>
      </c>
    </row>
    <row r="32" spans="3:70" x14ac:dyDescent="0.15">
      <c r="I32" s="322">
        <f t="shared" si="30"/>
        <v>2047</v>
      </c>
      <c r="K32" s="71">
        <f t="shared" si="31"/>
        <v>18</v>
      </c>
      <c r="M32" s="7">
        <f t="shared" si="0"/>
        <v>0.5873946076162827</v>
      </c>
      <c r="O32" s="10">
        <f t="shared" si="12"/>
        <v>353018320.03969997</v>
      </c>
      <c r="P32" s="29" t="str">
        <f t="shared" si="1"/>
        <v>-</v>
      </c>
      <c r="R32" s="10">
        <f t="shared" si="13"/>
        <v>518940836.30485541</v>
      </c>
      <c r="T32" s="10">
        <f t="shared" si="14"/>
        <v>518940000</v>
      </c>
      <c r="V32" s="10">
        <f t="shared" si="2"/>
        <v>70603664.007939994</v>
      </c>
      <c r="W32" s="10">
        <f t="shared" si="15"/>
        <v>41472211.516215771</v>
      </c>
      <c r="Y32" s="10">
        <f t="shared" si="3"/>
        <v>7265100</v>
      </c>
      <c r="Z32" s="10">
        <f t="shared" si="16"/>
        <v>4267480.5637930557</v>
      </c>
      <c r="AB32" s="10">
        <f t="shared" si="4"/>
        <v>0</v>
      </c>
      <c r="AC32" s="10">
        <f t="shared" si="17"/>
        <v>0</v>
      </c>
      <c r="AE32" s="10">
        <f t="shared" si="5"/>
        <v>0</v>
      </c>
      <c r="AF32" s="10">
        <f t="shared" si="18"/>
        <v>0</v>
      </c>
      <c r="AH32" s="679">
        <f t="shared" si="19"/>
        <v>77500000</v>
      </c>
      <c r="AI32" s="10">
        <f t="shared" si="20"/>
        <v>45523082.090261906</v>
      </c>
      <c r="AK32" s="10"/>
      <c r="AL32" s="10"/>
      <c r="AN32" s="10"/>
      <c r="AO32" s="10"/>
      <c r="AQ32" s="10"/>
      <c r="AR32" s="10"/>
      <c r="AT32" s="7">
        <f>IF($K32&lt;=$F$15,IF($F$40&lt;&gt;"",$F$40/1000,IF(ISERROR(VLOOKUP($F$3&amp;IF($G$4&lt;&gt;"",$G$4,"")&amp;IF($F$43&lt;&gt;"","_"&amp;$F$43,""),'表3）燃料価格'!$AF$9:$AG$25,2,0)),0,VLOOKUP($I32,'表3）燃料価格'!$A$6:$U$66,VLOOKUP($F$3&amp;IF($G$4&lt;&gt;"",$G$4,"")&amp;IF($F$43&lt;&gt;"","_"&amp;$F$43,""),'表3）燃料価格'!$AF$9:$AG$25,2,0)+VLOOKUP($F$41,'表3）燃料価格'!$AF$28:$AG$29,2,0),0)*IF($F$43="需要地価格",1,$F$8/$F$141))),"")</f>
        <v>0</v>
      </c>
      <c r="AV32" s="10">
        <f t="shared" si="6"/>
        <v>0</v>
      </c>
      <c r="AW32" s="10">
        <f t="shared" si="21"/>
        <v>0</v>
      </c>
      <c r="AY32" s="7">
        <f>IF(ISERROR(IF($K32&lt;=$F$15,VLOOKUP($I32,'表4）CO2価格'!$A$7:$E$67,VLOOKUP($F$48,'表4）CO2価格'!$H$10:$I$12,2,0),0)*$F$8/1000,"")),0,IF($K32&lt;=$F$15,VLOOKUP($I32,'表4）CO2価格'!$A$7:$E$67,VLOOKUP($F$48,'表4）CO2価格'!$H$10:$I$12,2,0),0)*$F$8/1000,""))</f>
        <v>0</v>
      </c>
      <c r="BA32" s="11">
        <f t="shared" si="7"/>
        <v>0</v>
      </c>
      <c r="BB32" s="10">
        <f t="shared" si="22"/>
        <v>0</v>
      </c>
      <c r="BD32" s="10">
        <f t="shared" si="8"/>
        <v>0</v>
      </c>
      <c r="BE32" s="10">
        <f t="shared" si="23"/>
        <v>0</v>
      </c>
      <c r="BG32" s="11">
        <f t="shared" si="9"/>
        <v>0</v>
      </c>
      <c r="BH32" s="10">
        <f t="shared" si="24"/>
        <v>0</v>
      </c>
      <c r="BJ32" s="7">
        <f t="shared" si="25"/>
        <v>0.29586391632159825</v>
      </c>
      <c r="BK32" s="158">
        <f t="shared" si="26"/>
        <v>25078934.45339191</v>
      </c>
      <c r="BL32" s="158">
        <f t="shared" si="10"/>
        <v>7744202.5060478756</v>
      </c>
      <c r="BM32" s="10"/>
      <c r="BN32" s="10">
        <f t="shared" si="27"/>
        <v>394491133.17676753</v>
      </c>
      <c r="BO32" s="10">
        <f t="shared" si="28"/>
        <v>231721964.3804701</v>
      </c>
      <c r="BQ32" s="10">
        <f t="shared" si="11"/>
        <v>26174880</v>
      </c>
      <c r="BR32" s="10">
        <f t="shared" si="29"/>
        <v>15374983.367003286</v>
      </c>
    </row>
    <row r="33" spans="3:70" x14ac:dyDescent="0.15">
      <c r="D33" s="160" t="s">
        <v>232</v>
      </c>
      <c r="F33" s="475">
        <v>1.55</v>
      </c>
      <c r="G33" s="160" t="s">
        <v>241</v>
      </c>
      <c r="I33" s="38">
        <f t="shared" si="30"/>
        <v>2048</v>
      </c>
      <c r="J33" s="39"/>
      <c r="K33" s="39">
        <f t="shared" si="31"/>
        <v>19</v>
      </c>
      <c r="L33" s="39"/>
      <c r="M33" s="40">
        <f t="shared" si="0"/>
        <v>0.57028602681192497</v>
      </c>
      <c r="N33" s="39"/>
      <c r="O33" s="72">
        <f t="shared" si="12"/>
        <v>282414656.03175998</v>
      </c>
      <c r="P33" s="41" t="str">
        <f t="shared" si="1"/>
        <v>-</v>
      </c>
      <c r="Q33" s="39"/>
      <c r="R33" s="72">
        <f t="shared" si="13"/>
        <v>467372658.00802708</v>
      </c>
      <c r="S33" s="39"/>
      <c r="T33" s="72">
        <f t="shared" si="14"/>
        <v>467372000</v>
      </c>
      <c r="U33" s="39"/>
      <c r="V33" s="72">
        <f t="shared" si="2"/>
        <v>70603664.007939994</v>
      </c>
      <c r="W33" s="72">
        <f t="shared" si="15"/>
        <v>40264283.025452211</v>
      </c>
      <c r="X33" s="39"/>
      <c r="Y33" s="72">
        <f t="shared" si="3"/>
        <v>6543200</v>
      </c>
      <c r="Z33" s="72">
        <f t="shared" si="16"/>
        <v>3731495.5306357876</v>
      </c>
      <c r="AA33" s="39"/>
      <c r="AB33" s="72">
        <f t="shared" si="4"/>
        <v>0</v>
      </c>
      <c r="AC33" s="72">
        <f t="shared" si="17"/>
        <v>0</v>
      </c>
      <c r="AD33" s="39"/>
      <c r="AE33" s="72">
        <f t="shared" si="5"/>
        <v>0</v>
      </c>
      <c r="AF33" s="72">
        <f t="shared" si="18"/>
        <v>0</v>
      </c>
      <c r="AG33" s="39"/>
      <c r="AH33" s="72">
        <f t="shared" si="19"/>
        <v>77500000</v>
      </c>
      <c r="AI33" s="72">
        <f t="shared" si="20"/>
        <v>44197167.077924185</v>
      </c>
      <c r="AJ33" s="39"/>
      <c r="AK33" s="72"/>
      <c r="AL33" s="72"/>
      <c r="AM33" s="39"/>
      <c r="AN33" s="72"/>
      <c r="AO33" s="72"/>
      <c r="AP33" s="39"/>
      <c r="AQ33" s="72"/>
      <c r="AR33" s="72"/>
      <c r="AS33" s="39"/>
      <c r="AT33" s="40">
        <f>IF($K33&lt;=$F$15,IF($F$40&lt;&gt;"",$F$40/1000,IF(ISERROR(VLOOKUP($F$3&amp;IF($G$4&lt;&gt;"",$G$4,"")&amp;IF($F$43&lt;&gt;"","_"&amp;$F$43,""),'表3）燃料価格'!$AF$9:$AG$25,2,0)),0,VLOOKUP($I33,'表3）燃料価格'!$A$6:$U$66,VLOOKUP($F$3&amp;IF($G$4&lt;&gt;"",$G$4,"")&amp;IF($F$43&lt;&gt;"","_"&amp;$F$43,""),'表3）燃料価格'!$AF$9:$AG$25,2,0)+VLOOKUP($F$41,'表3）燃料価格'!$AF$28:$AG$29,2,0),0)*IF($F$43="需要地価格",1,$F$8/$F$141))),"")</f>
        <v>0</v>
      </c>
      <c r="AU33" s="39"/>
      <c r="AV33" s="72">
        <f t="shared" si="6"/>
        <v>0</v>
      </c>
      <c r="AW33" s="72">
        <f t="shared" si="21"/>
        <v>0</v>
      </c>
      <c r="AX33" s="39"/>
      <c r="AY33" s="40">
        <f>IF(ISERROR(IF($K33&lt;=$F$15,VLOOKUP($I33,'表4）CO2価格'!$A$7:$E$67,VLOOKUP($F$48,'表4）CO2価格'!$H$10:$I$12,2,0),0)*$F$8/1000,"")),0,IF($K33&lt;=$F$15,VLOOKUP($I33,'表4）CO2価格'!$A$7:$E$67,VLOOKUP($F$48,'表4）CO2価格'!$H$10:$I$12,2,0),0)*$F$8/1000,""))</f>
        <v>0</v>
      </c>
      <c r="AZ33" s="39"/>
      <c r="BA33" s="42">
        <f t="shared" si="7"/>
        <v>0</v>
      </c>
      <c r="BB33" s="72">
        <f t="shared" si="22"/>
        <v>0</v>
      </c>
      <c r="BC33" s="39"/>
      <c r="BD33" s="72">
        <f t="shared" si="8"/>
        <v>0</v>
      </c>
      <c r="BE33" s="72">
        <f t="shared" si="23"/>
        <v>0</v>
      </c>
      <c r="BF33" s="39"/>
      <c r="BG33" s="42">
        <f t="shared" si="9"/>
        <v>0</v>
      </c>
      <c r="BH33" s="72">
        <f t="shared" si="24"/>
        <v>0</v>
      </c>
      <c r="BI33" s="39"/>
      <c r="BJ33" s="40">
        <f t="shared" si="25"/>
        <v>0.27650833301083949</v>
      </c>
      <c r="BK33" s="157">
        <f t="shared" si="26"/>
        <v>23238645.132896587</v>
      </c>
      <c r="BL33" s="157">
        <f t="shared" si="10"/>
        <v>7237572.4355587624</v>
      </c>
      <c r="BM33" s="72"/>
      <c r="BN33" s="72">
        <f t="shared" si="27"/>
        <v>394491133.17676753</v>
      </c>
      <c r="BO33" s="72">
        <f t="shared" si="28"/>
        <v>224972780.9519127</v>
      </c>
      <c r="BP33" s="39"/>
      <c r="BQ33" s="72">
        <f t="shared" si="11"/>
        <v>26174880</v>
      </c>
      <c r="BR33" s="72">
        <f t="shared" si="29"/>
        <v>14927168.317478919</v>
      </c>
    </row>
    <row r="34" spans="3:70" x14ac:dyDescent="0.15">
      <c r="F34" s="480"/>
      <c r="I34" s="322">
        <f t="shared" si="30"/>
        <v>2049</v>
      </c>
      <c r="K34" s="71">
        <f t="shared" si="31"/>
        <v>20</v>
      </c>
      <c r="M34" s="7">
        <f t="shared" si="0"/>
        <v>0.55367575418633497</v>
      </c>
      <c r="O34" s="10">
        <f t="shared" si="12"/>
        <v>211810992.02381998</v>
      </c>
      <c r="P34" s="29" t="str">
        <f t="shared" si="1"/>
        <v>-</v>
      </c>
      <c r="R34" s="10">
        <f t="shared" si="13"/>
        <v>420928911.68265235</v>
      </c>
      <c r="T34" s="10">
        <f t="shared" si="14"/>
        <v>420928000</v>
      </c>
      <c r="V34" s="10">
        <f t="shared" si="2"/>
        <v>70603664.007939994</v>
      </c>
      <c r="W34" s="10">
        <f t="shared" si="15"/>
        <v>39091536.917914771</v>
      </c>
      <c r="Y34" s="10">
        <f t="shared" si="3"/>
        <v>5892900</v>
      </c>
      <c r="Z34" s="10">
        <f t="shared" si="16"/>
        <v>3262755.8518446535</v>
      </c>
      <c r="AB34" s="10">
        <f t="shared" si="4"/>
        <v>0</v>
      </c>
      <c r="AC34" s="10">
        <f t="shared" si="17"/>
        <v>0</v>
      </c>
      <c r="AE34" s="10">
        <f t="shared" si="5"/>
        <v>0</v>
      </c>
      <c r="AF34" s="10">
        <f t="shared" si="18"/>
        <v>0</v>
      </c>
      <c r="AH34" s="679">
        <f t="shared" si="19"/>
        <v>77500000</v>
      </c>
      <c r="AI34" s="10">
        <f t="shared" si="20"/>
        <v>42909870.949440964</v>
      </c>
      <c r="AK34" s="10"/>
      <c r="AL34" s="10"/>
      <c r="AN34" s="10"/>
      <c r="AO34" s="10"/>
      <c r="AQ34" s="10"/>
      <c r="AR34" s="10"/>
      <c r="AT34" s="7">
        <f>IF($K34&lt;=$F$15,IF($F$40&lt;&gt;"",$F$40/1000,IF(ISERROR(VLOOKUP($F$3&amp;IF($G$4&lt;&gt;"",$G$4,"")&amp;IF($F$43&lt;&gt;"","_"&amp;$F$43,""),'表3）燃料価格'!$AF$9:$AG$25,2,0)),0,VLOOKUP($I34,'表3）燃料価格'!$A$6:$U$66,VLOOKUP($F$3&amp;IF($G$4&lt;&gt;"",$G$4,"")&amp;IF($F$43&lt;&gt;"","_"&amp;$F$43,""),'表3）燃料価格'!$AF$9:$AG$25,2,0)+VLOOKUP($F$41,'表3）燃料価格'!$AF$28:$AG$29,2,0),0)*IF($F$43="需要地価格",1,$F$8/$F$141))),"")</f>
        <v>0</v>
      </c>
      <c r="AV34" s="10">
        <f t="shared" si="6"/>
        <v>0</v>
      </c>
      <c r="AW34" s="10">
        <f t="shared" si="21"/>
        <v>0</v>
      </c>
      <c r="AY34" s="7">
        <f>IF(ISERROR(IF($K34&lt;=$F$15,VLOOKUP($I34,'表4）CO2価格'!$A$7:$E$67,VLOOKUP($F$48,'表4）CO2価格'!$H$10:$I$12,2,0),0)*$F$8/1000,"")),0,IF($K34&lt;=$F$15,VLOOKUP($I34,'表4）CO2価格'!$A$7:$E$67,VLOOKUP($F$48,'表4）CO2価格'!$H$10:$I$12,2,0),0)*$F$8/1000,""))</f>
        <v>0</v>
      </c>
      <c r="BA34" s="11">
        <f t="shared" si="7"/>
        <v>0</v>
      </c>
      <c r="BB34" s="10">
        <f t="shared" si="22"/>
        <v>0</v>
      </c>
      <c r="BD34" s="10">
        <f t="shared" si="8"/>
        <v>0</v>
      </c>
      <c r="BE34" s="10">
        <f t="shared" si="23"/>
        <v>0</v>
      </c>
      <c r="BG34" s="11">
        <f t="shared" si="9"/>
        <v>0</v>
      </c>
      <c r="BH34" s="10">
        <f t="shared" si="24"/>
        <v>0</v>
      </c>
      <c r="BJ34" s="7">
        <f t="shared" si="25"/>
        <v>0.2584190028138687</v>
      </c>
      <c r="BK34" s="158">
        <f t="shared" si="26"/>
        <v>21550310.05975667</v>
      </c>
      <c r="BL34" s="158">
        <f t="shared" si="10"/>
        <v>6764086.3883726755</v>
      </c>
      <c r="BM34" s="10"/>
      <c r="BN34" s="10">
        <f t="shared" si="27"/>
        <v>394491133.17676753</v>
      </c>
      <c r="BO34" s="10">
        <f t="shared" si="28"/>
        <v>218420175.68146867</v>
      </c>
      <c r="BQ34" s="10">
        <f t="shared" si="11"/>
        <v>26174880</v>
      </c>
      <c r="BR34" s="10">
        <f t="shared" si="29"/>
        <v>14492396.424736815</v>
      </c>
    </row>
    <row r="35" spans="3:70" x14ac:dyDescent="0.15">
      <c r="F35" s="480"/>
      <c r="I35" s="38">
        <f t="shared" si="30"/>
        <v>2050</v>
      </c>
      <c r="J35" s="39"/>
      <c r="K35" s="39">
        <f t="shared" si="31"/>
        <v>21</v>
      </c>
      <c r="L35" s="39"/>
      <c r="M35" s="40">
        <f t="shared" si="0"/>
        <v>0.5375492759090631</v>
      </c>
      <c r="N35" s="39"/>
      <c r="O35" s="72">
        <f t="shared" si="12"/>
        <v>141207328.01587999</v>
      </c>
      <c r="P35" s="41" t="str">
        <f t="shared" si="1"/>
        <v>-</v>
      </c>
      <c r="Q35" s="39"/>
      <c r="R35" s="72">
        <f t="shared" si="13"/>
        <v>379100372.37843531</v>
      </c>
      <c r="S35" s="39"/>
      <c r="T35" s="72">
        <f t="shared" si="14"/>
        <v>379100000</v>
      </c>
      <c r="U35" s="39"/>
      <c r="V35" s="72">
        <f t="shared" si="2"/>
        <v>70603664.007939994</v>
      </c>
      <c r="W35" s="72">
        <f t="shared" si="15"/>
        <v>37952948.46399492</v>
      </c>
      <c r="X35" s="39"/>
      <c r="Y35" s="72">
        <f t="shared" si="3"/>
        <v>5307400</v>
      </c>
      <c r="Z35" s="72">
        <f t="shared" si="16"/>
        <v>2852989.0269597615</v>
      </c>
      <c r="AA35" s="39"/>
      <c r="AB35" s="72">
        <f t="shared" si="4"/>
        <v>0</v>
      </c>
      <c r="AC35" s="72">
        <f t="shared" si="17"/>
        <v>0</v>
      </c>
      <c r="AD35" s="39"/>
      <c r="AE35" s="72">
        <f t="shared" si="5"/>
        <v>0</v>
      </c>
      <c r="AF35" s="72">
        <f t="shared" si="18"/>
        <v>0</v>
      </c>
      <c r="AG35" s="39"/>
      <c r="AH35" s="72">
        <f t="shared" si="19"/>
        <v>77500000</v>
      </c>
      <c r="AI35" s="72">
        <f t="shared" si="20"/>
        <v>41660068.882952392</v>
      </c>
      <c r="AJ35" s="39"/>
      <c r="AK35" s="72"/>
      <c r="AL35" s="72"/>
      <c r="AM35" s="39"/>
      <c r="AN35" s="72"/>
      <c r="AO35" s="72"/>
      <c r="AP35" s="39"/>
      <c r="AQ35" s="72"/>
      <c r="AR35" s="72"/>
      <c r="AS35" s="39"/>
      <c r="AT35" s="40">
        <f>IF($K35&lt;=$F$15,IF($F$40&lt;&gt;"",$F$40/1000,IF(ISERROR(VLOOKUP($F$3&amp;IF($G$4&lt;&gt;"",$G$4,"")&amp;IF($F$43&lt;&gt;"","_"&amp;$F$43,""),'表3）燃料価格'!$AF$9:$AG$25,2,0)),0,VLOOKUP($I35,'表3）燃料価格'!$A$6:$U$66,VLOOKUP($F$3&amp;IF($G$4&lt;&gt;"",$G$4,"")&amp;IF($F$43&lt;&gt;"","_"&amp;$F$43,""),'表3）燃料価格'!$AF$9:$AG$25,2,0)+VLOOKUP($F$41,'表3）燃料価格'!$AF$28:$AG$29,2,0),0)*IF($F$43="需要地価格",1,$F$8/$F$141))),"")</f>
        <v>0</v>
      </c>
      <c r="AU35" s="39"/>
      <c r="AV35" s="72">
        <f t="shared" si="6"/>
        <v>0</v>
      </c>
      <c r="AW35" s="72">
        <f t="shared" si="21"/>
        <v>0</v>
      </c>
      <c r="AX35" s="39"/>
      <c r="AY35" s="40">
        <f>IF(ISERROR(IF($K35&lt;=$F$15,VLOOKUP($I35,'表4）CO2価格'!$A$7:$E$67,VLOOKUP($F$48,'表4）CO2価格'!$H$10:$I$12,2,0),0)*$F$8/1000,"")),0,IF($K35&lt;=$F$15,VLOOKUP($I35,'表4）CO2価格'!$A$7:$E$67,VLOOKUP($F$48,'表4）CO2価格'!$H$10:$I$12,2,0),0)*$F$8/1000,""))</f>
        <v>0</v>
      </c>
      <c r="AZ35" s="39"/>
      <c r="BA35" s="42">
        <f t="shared" si="7"/>
        <v>0</v>
      </c>
      <c r="BB35" s="72">
        <f t="shared" si="22"/>
        <v>0</v>
      </c>
      <c r="BC35" s="39"/>
      <c r="BD35" s="72">
        <f t="shared" si="8"/>
        <v>0</v>
      </c>
      <c r="BE35" s="72">
        <f t="shared" si="23"/>
        <v>0</v>
      </c>
      <c r="BF35" s="39"/>
      <c r="BG35" s="42">
        <f t="shared" si="9"/>
        <v>0</v>
      </c>
      <c r="BH35" s="72">
        <f t="shared" si="24"/>
        <v>0</v>
      </c>
      <c r="BI35" s="39"/>
      <c r="BJ35" s="40">
        <f t="shared" si="25"/>
        <v>0.24151308674193336</v>
      </c>
      <c r="BK35" s="157">
        <f t="shared" si="26"/>
        <v>37132637.086572252</v>
      </c>
      <c r="BL35" s="157" t="str">
        <f t="shared" si="10"/>
        <v/>
      </c>
      <c r="BM35" s="72"/>
      <c r="BN35" s="72" t="str">
        <f t="shared" si="27"/>
        <v/>
      </c>
      <c r="BO35" s="72" t="str">
        <f t="shared" si="28"/>
        <v/>
      </c>
      <c r="BP35" s="39"/>
      <c r="BQ35" s="72">
        <f t="shared" si="11"/>
        <v>26174880</v>
      </c>
      <c r="BR35" s="72">
        <f t="shared" si="29"/>
        <v>14070287.791006617</v>
      </c>
    </row>
    <row r="36" spans="3:70" x14ac:dyDescent="0.15">
      <c r="F36" s="480"/>
      <c r="I36" s="322">
        <f t="shared" si="30"/>
        <v>2051</v>
      </c>
      <c r="K36" s="71">
        <f t="shared" si="31"/>
        <v>22</v>
      </c>
      <c r="M36" s="7">
        <f t="shared" si="0"/>
        <v>0.52189250088258554</v>
      </c>
      <c r="O36" s="10">
        <f t="shared" si="12"/>
        <v>70603664.007939994</v>
      </c>
      <c r="P36" s="29" t="str">
        <f t="shared" si="1"/>
        <v>-</v>
      </c>
      <c r="R36" s="10">
        <f t="shared" si="13"/>
        <v>341428417.83654863</v>
      </c>
      <c r="T36" s="10">
        <f t="shared" si="14"/>
        <v>341428000</v>
      </c>
      <c r="V36" s="10">
        <f t="shared" si="2"/>
        <v>70603664.007939994</v>
      </c>
      <c r="W36" s="10">
        <f t="shared" si="15"/>
        <v>36847522.7805776</v>
      </c>
      <c r="Y36" s="10">
        <f t="shared" si="3"/>
        <v>4779900</v>
      </c>
      <c r="Z36" s="10">
        <f t="shared" si="16"/>
        <v>2494593.9649686706</v>
      </c>
      <c r="AB36" s="10">
        <f t="shared" si="4"/>
        <v>0</v>
      </c>
      <c r="AC36" s="10">
        <f t="shared" si="17"/>
        <v>0</v>
      </c>
      <c r="AE36" s="10">
        <f t="shared" si="5"/>
        <v>0</v>
      </c>
      <c r="AF36" s="10">
        <f t="shared" si="18"/>
        <v>0</v>
      </c>
      <c r="AH36" s="679">
        <f t="shared" si="19"/>
        <v>77500000</v>
      </c>
      <c r="AI36" s="10">
        <f t="shared" si="20"/>
        <v>40446668.818400383</v>
      </c>
      <c r="AK36" s="10"/>
      <c r="AL36" s="10"/>
      <c r="AN36" s="10"/>
      <c r="AO36" s="10"/>
      <c r="AQ36" s="10"/>
      <c r="AR36" s="10"/>
      <c r="AT36" s="7">
        <f>IF($K36&lt;=$F$15,IF($F$40&lt;&gt;"",$F$40/1000,IF(ISERROR(VLOOKUP($F$3&amp;IF($G$4&lt;&gt;"",$G$4,"")&amp;IF($F$43&lt;&gt;"","_"&amp;$F$43,""),'表3）燃料価格'!$AF$9:$AG$25,2,0)),0,VLOOKUP($I36,'表3）燃料価格'!$A$6:$U$66,VLOOKUP($F$3&amp;IF($G$4&lt;&gt;"",$G$4,"")&amp;IF($F$43&lt;&gt;"","_"&amp;$F$43,""),'表3）燃料価格'!$AF$9:$AG$25,2,0)+VLOOKUP($F$41,'表3）燃料価格'!$AF$28:$AG$29,2,0),0)*IF($F$43="需要地価格",1,$F$8/$F$141))),"")</f>
        <v>0</v>
      </c>
      <c r="AV36" s="10">
        <f t="shared" si="6"/>
        <v>0</v>
      </c>
      <c r="AW36" s="10">
        <f t="shared" si="21"/>
        <v>0</v>
      </c>
      <c r="AY36" s="7">
        <f>IF(ISERROR(IF($K36&lt;=$F$15,VLOOKUP($I36,'表4）CO2価格'!$A$7:$E$67,VLOOKUP($F$48,'表4）CO2価格'!$H$10:$I$12,2,0),0)*$F$8/1000,"")),0,IF($K36&lt;=$F$15,VLOOKUP($I36,'表4）CO2価格'!$A$7:$E$67,VLOOKUP($F$48,'表4）CO2価格'!$H$10:$I$12,2,0),0)*$F$8/1000,""))</f>
        <v>0</v>
      </c>
      <c r="BA36" s="11">
        <f t="shared" si="7"/>
        <v>0</v>
      </c>
      <c r="BB36" s="10">
        <f t="shared" si="22"/>
        <v>0</v>
      </c>
      <c r="BD36" s="10">
        <f t="shared" si="8"/>
        <v>0</v>
      </c>
      <c r="BE36" s="10">
        <f t="shared" si="23"/>
        <v>0</v>
      </c>
      <c r="BG36" s="11">
        <f t="shared" si="9"/>
        <v>0</v>
      </c>
      <c r="BH36" s="10">
        <f t="shared" si="24"/>
        <v>0</v>
      </c>
      <c r="BJ36" s="7" t="str">
        <f t="shared" si="25"/>
        <v/>
      </c>
      <c r="BK36" s="158" t="str">
        <f t="shared" si="26"/>
        <v/>
      </c>
      <c r="BL36" s="158" t="str">
        <f t="shared" si="10"/>
        <v/>
      </c>
      <c r="BM36" s="10"/>
      <c r="BN36" s="10" t="str">
        <f t="shared" si="27"/>
        <v/>
      </c>
      <c r="BO36" s="10" t="str">
        <f t="shared" si="28"/>
        <v/>
      </c>
      <c r="BQ36" s="10">
        <f t="shared" si="11"/>
        <v>26174880</v>
      </c>
      <c r="BR36" s="10">
        <f t="shared" si="29"/>
        <v>13660473.58350157</v>
      </c>
    </row>
    <row r="37" spans="3:70" x14ac:dyDescent="0.15">
      <c r="I37" s="38">
        <f t="shared" si="30"/>
        <v>2052</v>
      </c>
      <c r="J37" s="39"/>
      <c r="K37" s="39">
        <f t="shared" si="31"/>
        <v>23</v>
      </c>
      <c r="L37" s="39"/>
      <c r="M37" s="40">
        <f t="shared" si="0"/>
        <v>0.50669174842969467</v>
      </c>
      <c r="N37" s="39"/>
      <c r="O37" s="72">
        <f t="shared" si="12"/>
        <v>0</v>
      </c>
      <c r="P37" s="41" t="str">
        <f t="shared" si="1"/>
        <v>-</v>
      </c>
      <c r="Q37" s="39"/>
      <c r="R37" s="72">
        <f t="shared" si="13"/>
        <v>307499999.99999994</v>
      </c>
      <c r="S37" s="39"/>
      <c r="T37" s="72">
        <f t="shared" si="14"/>
        <v>307500000</v>
      </c>
      <c r="U37" s="39"/>
      <c r="V37" s="72">
        <f t="shared" si="2"/>
        <v>0</v>
      </c>
      <c r="W37" s="72">
        <f t="shared" si="15"/>
        <v>0</v>
      </c>
      <c r="X37" s="39"/>
      <c r="Y37" s="72">
        <f t="shared" si="3"/>
        <v>4305000</v>
      </c>
      <c r="Z37" s="72">
        <f t="shared" si="16"/>
        <v>2181307.9769898355</v>
      </c>
      <c r="AA37" s="39"/>
      <c r="AB37" s="72">
        <f t="shared" si="4"/>
        <v>0</v>
      </c>
      <c r="AC37" s="72">
        <f t="shared" si="17"/>
        <v>0</v>
      </c>
      <c r="AD37" s="39"/>
      <c r="AE37" s="72">
        <f t="shared" si="5"/>
        <v>0</v>
      </c>
      <c r="AF37" s="72">
        <f t="shared" si="18"/>
        <v>0</v>
      </c>
      <c r="AG37" s="39"/>
      <c r="AH37" s="72">
        <f t="shared" si="19"/>
        <v>77500000</v>
      </c>
      <c r="AI37" s="72">
        <f t="shared" si="20"/>
        <v>39268610.503301337</v>
      </c>
      <c r="AJ37" s="39"/>
      <c r="AK37" s="72"/>
      <c r="AL37" s="72"/>
      <c r="AM37" s="39"/>
      <c r="AN37" s="72"/>
      <c r="AO37" s="72"/>
      <c r="AP37" s="39"/>
      <c r="AQ37" s="72"/>
      <c r="AR37" s="72"/>
      <c r="AS37" s="39"/>
      <c r="AT37" s="40">
        <f>IF($K37&lt;=$F$15,IF($F$40&lt;&gt;"",$F$40/1000,IF(ISERROR(VLOOKUP($F$3&amp;IF($G$4&lt;&gt;"",$G$4,"")&amp;IF($F$43&lt;&gt;"","_"&amp;$F$43,""),'表3）燃料価格'!$AF$9:$AG$25,2,0)),0,VLOOKUP($I37,'表3）燃料価格'!$A$6:$U$66,VLOOKUP($F$3&amp;IF($G$4&lt;&gt;"",$G$4,"")&amp;IF($F$43&lt;&gt;"","_"&amp;$F$43,""),'表3）燃料価格'!$AF$9:$AG$25,2,0)+VLOOKUP($F$41,'表3）燃料価格'!$AF$28:$AG$29,2,0),0)*IF($F$43="需要地価格",1,$F$8/$F$141))),"")</f>
        <v>0</v>
      </c>
      <c r="AU37" s="39"/>
      <c r="AV37" s="72">
        <f t="shared" si="6"/>
        <v>0</v>
      </c>
      <c r="AW37" s="72">
        <f t="shared" si="21"/>
        <v>0</v>
      </c>
      <c r="AX37" s="39"/>
      <c r="AY37" s="40">
        <f>IF(ISERROR(IF($K37&lt;=$F$15,VLOOKUP($I37,'表4）CO2価格'!$A$7:$E$67,VLOOKUP($F$48,'表4）CO2価格'!$H$10:$I$12,2,0),0)*$F$8/1000,"")),0,IF($K37&lt;=$F$15,VLOOKUP($I37,'表4）CO2価格'!$A$7:$E$67,VLOOKUP($F$48,'表4）CO2価格'!$H$10:$I$12,2,0),0)*$F$8/1000,""))</f>
        <v>0</v>
      </c>
      <c r="AZ37" s="39"/>
      <c r="BA37" s="42">
        <f t="shared" si="7"/>
        <v>0</v>
      </c>
      <c r="BB37" s="72">
        <f t="shared" si="22"/>
        <v>0</v>
      </c>
      <c r="BC37" s="39"/>
      <c r="BD37" s="72">
        <f t="shared" si="8"/>
        <v>0</v>
      </c>
      <c r="BE37" s="72">
        <f t="shared" si="23"/>
        <v>0</v>
      </c>
      <c r="BF37" s="39"/>
      <c r="BG37" s="42">
        <f t="shared" si="9"/>
        <v>0</v>
      </c>
      <c r="BH37" s="72">
        <f t="shared" si="24"/>
        <v>0</v>
      </c>
      <c r="BI37" s="39"/>
      <c r="BJ37" s="40" t="str">
        <f t="shared" si="25"/>
        <v/>
      </c>
      <c r="BK37" s="157" t="str">
        <f t="shared" si="26"/>
        <v/>
      </c>
      <c r="BL37" s="157" t="str">
        <f t="shared" si="10"/>
        <v/>
      </c>
      <c r="BM37" s="72"/>
      <c r="BN37" s="72" t="str">
        <f t="shared" si="27"/>
        <v/>
      </c>
      <c r="BO37" s="72" t="str">
        <f t="shared" si="28"/>
        <v/>
      </c>
      <c r="BP37" s="39"/>
      <c r="BQ37" s="72">
        <f t="shared" si="11"/>
        <v>26174880</v>
      </c>
      <c r="BR37" s="72">
        <f t="shared" si="29"/>
        <v>13262595.712137446</v>
      </c>
    </row>
    <row r="38" spans="3:70" x14ac:dyDescent="0.15">
      <c r="C38" s="4" t="s">
        <v>570</v>
      </c>
      <c r="D38" s="100"/>
      <c r="E38" s="100"/>
      <c r="F38" s="4"/>
      <c r="G38" s="100"/>
      <c r="I38" s="322">
        <f t="shared" si="30"/>
        <v>2053</v>
      </c>
      <c r="K38" s="71">
        <f t="shared" si="31"/>
        <v>24</v>
      </c>
      <c r="M38" s="7">
        <f t="shared" si="0"/>
        <v>0.49193373633950943</v>
      </c>
      <c r="O38" s="10">
        <f t="shared" si="12"/>
        <v>0</v>
      </c>
      <c r="P38" s="29" t="str">
        <f t="shared" si="1"/>
        <v>-</v>
      </c>
      <c r="R38" s="10">
        <f t="shared" si="13"/>
        <v>276943116.21496809</v>
      </c>
      <c r="T38" s="10">
        <f t="shared" si="14"/>
        <v>276943000</v>
      </c>
      <c r="V38" s="10">
        <f t="shared" si="2"/>
        <v>0</v>
      </c>
      <c r="W38" s="10">
        <f t="shared" si="15"/>
        <v>0</v>
      </c>
      <c r="Y38" s="10">
        <f t="shared" si="3"/>
        <v>3877200</v>
      </c>
      <c r="Z38" s="10">
        <f t="shared" si="16"/>
        <v>1907325.4825355459</v>
      </c>
      <c r="AB38" s="10">
        <f t="shared" si="4"/>
        <v>0</v>
      </c>
      <c r="AC38" s="10">
        <f t="shared" si="17"/>
        <v>0</v>
      </c>
      <c r="AE38" s="10">
        <f t="shared" si="5"/>
        <v>0</v>
      </c>
      <c r="AF38" s="10">
        <f t="shared" si="18"/>
        <v>0</v>
      </c>
      <c r="AH38" s="679">
        <f t="shared" si="19"/>
        <v>77500000</v>
      </c>
      <c r="AI38" s="10">
        <f t="shared" si="20"/>
        <v>38124864.566311978</v>
      </c>
      <c r="AK38" s="10"/>
      <c r="AL38" s="10"/>
      <c r="AN38" s="10"/>
      <c r="AO38" s="10"/>
      <c r="AQ38" s="10"/>
      <c r="AR38" s="10"/>
      <c r="AT38" s="7">
        <f>IF($K38&lt;=$F$15,IF($F$40&lt;&gt;"",$F$40/1000,IF(ISERROR(VLOOKUP($F$3&amp;IF($G$4&lt;&gt;"",$G$4,"")&amp;IF($F$43&lt;&gt;"","_"&amp;$F$43,""),'表3）燃料価格'!$AF$9:$AG$25,2,0)),0,VLOOKUP($I38,'表3）燃料価格'!$A$6:$U$66,VLOOKUP($F$3&amp;IF($G$4&lt;&gt;"",$G$4,"")&amp;IF($F$43&lt;&gt;"","_"&amp;$F$43,""),'表3）燃料価格'!$AF$9:$AG$25,2,0)+VLOOKUP($F$41,'表3）燃料価格'!$AF$28:$AG$29,2,0),0)*IF($F$43="需要地価格",1,$F$8/$F$141))),"")</f>
        <v>0</v>
      </c>
      <c r="AV38" s="10">
        <f t="shared" si="6"/>
        <v>0</v>
      </c>
      <c r="AW38" s="10">
        <f t="shared" si="21"/>
        <v>0</v>
      </c>
      <c r="AY38" s="7">
        <f>IF(ISERROR(IF($K38&lt;=$F$15,VLOOKUP($I38,'表4）CO2価格'!$A$7:$E$67,VLOOKUP($F$48,'表4）CO2価格'!$H$10:$I$12,2,0),0)*$F$8/1000,"")),0,IF($K38&lt;=$F$15,VLOOKUP($I38,'表4）CO2価格'!$A$7:$E$67,VLOOKUP($F$48,'表4）CO2価格'!$H$10:$I$12,2,0),0)*$F$8/1000,""))</f>
        <v>0</v>
      </c>
      <c r="BA38" s="11">
        <f t="shared" si="7"/>
        <v>0</v>
      </c>
      <c r="BB38" s="10">
        <f t="shared" si="22"/>
        <v>0</v>
      </c>
      <c r="BD38" s="10">
        <f t="shared" si="8"/>
        <v>0</v>
      </c>
      <c r="BE38" s="10">
        <f t="shared" si="23"/>
        <v>0</v>
      </c>
      <c r="BG38" s="11">
        <f t="shared" si="9"/>
        <v>0</v>
      </c>
      <c r="BH38" s="10">
        <f t="shared" si="24"/>
        <v>0</v>
      </c>
      <c r="BJ38" s="7" t="str">
        <f t="shared" si="25"/>
        <v/>
      </c>
      <c r="BK38" s="158" t="str">
        <f t="shared" si="26"/>
        <v/>
      </c>
      <c r="BL38" s="158" t="str">
        <f t="shared" si="10"/>
        <v/>
      </c>
      <c r="BM38" s="10"/>
      <c r="BN38" s="10" t="str">
        <f t="shared" si="27"/>
        <v/>
      </c>
      <c r="BO38" s="10" t="str">
        <f t="shared" si="28"/>
        <v/>
      </c>
      <c r="BQ38" s="10">
        <f t="shared" si="11"/>
        <v>26174880</v>
      </c>
      <c r="BR38" s="10">
        <f t="shared" si="29"/>
        <v>12876306.516638299</v>
      </c>
    </row>
    <row r="39" spans="3:70" x14ac:dyDescent="0.15">
      <c r="I39" s="38">
        <f t="shared" si="30"/>
        <v>2054</v>
      </c>
      <c r="J39" s="39"/>
      <c r="K39" s="39">
        <f t="shared" si="31"/>
        <v>25</v>
      </c>
      <c r="L39" s="39"/>
      <c r="M39" s="40">
        <f t="shared" si="0"/>
        <v>0.47760556926165965</v>
      </c>
      <c r="N39" s="39"/>
      <c r="O39" s="72">
        <f t="shared" si="12"/>
        <v>0</v>
      </c>
      <c r="P39" s="41" t="str">
        <f t="shared" si="1"/>
        <v>-</v>
      </c>
      <c r="Q39" s="39"/>
      <c r="R39" s="72">
        <f t="shared" si="13"/>
        <v>249422730.46782872</v>
      </c>
      <c r="S39" s="39"/>
      <c r="T39" s="72">
        <f t="shared" si="14"/>
        <v>249422000</v>
      </c>
      <c r="U39" s="39"/>
      <c r="V39" s="72">
        <f t="shared" si="2"/>
        <v>0</v>
      </c>
      <c r="W39" s="72">
        <f t="shared" si="15"/>
        <v>0</v>
      </c>
      <c r="X39" s="39"/>
      <c r="Y39" s="72">
        <f t="shared" si="3"/>
        <v>3491900</v>
      </c>
      <c r="Z39" s="72">
        <f t="shared" si="16"/>
        <v>1667750.8873047894</v>
      </c>
      <c r="AA39" s="39"/>
      <c r="AB39" s="72">
        <f t="shared" si="4"/>
        <v>0</v>
      </c>
      <c r="AC39" s="72">
        <f t="shared" si="17"/>
        <v>0</v>
      </c>
      <c r="AD39" s="39"/>
      <c r="AE39" s="72">
        <f t="shared" si="5"/>
        <v>0</v>
      </c>
      <c r="AF39" s="72">
        <f t="shared" si="18"/>
        <v>0</v>
      </c>
      <c r="AG39" s="39"/>
      <c r="AH39" s="72">
        <f t="shared" si="19"/>
        <v>77500000</v>
      </c>
      <c r="AI39" s="72">
        <f t="shared" si="20"/>
        <v>37014431.617778622</v>
      </c>
      <c r="AJ39" s="39"/>
      <c r="AK39" s="72"/>
      <c r="AL39" s="72"/>
      <c r="AM39" s="39"/>
      <c r="AN39" s="72"/>
      <c r="AO39" s="72"/>
      <c r="AP39" s="39"/>
      <c r="AQ39" s="72"/>
      <c r="AR39" s="72"/>
      <c r="AS39" s="39"/>
      <c r="AT39" s="40">
        <f>IF($K39&lt;=$F$15,IF($F$40&lt;&gt;"",$F$40/1000,IF(ISERROR(VLOOKUP($F$3&amp;IF($G$4&lt;&gt;"",$G$4,"")&amp;IF($F$43&lt;&gt;"","_"&amp;$F$43,""),'表3）燃料価格'!$AF$9:$AG$25,2,0)),0,VLOOKUP($I39,'表3）燃料価格'!$A$6:$U$66,VLOOKUP($F$3&amp;IF($G$4&lt;&gt;"",$G$4,"")&amp;IF($F$43&lt;&gt;"","_"&amp;$F$43,""),'表3）燃料価格'!$AF$9:$AG$25,2,0)+VLOOKUP($F$41,'表3）燃料価格'!$AF$28:$AG$29,2,0),0)*IF($F$43="需要地価格",1,$F$8/$F$141))),"")</f>
        <v>0</v>
      </c>
      <c r="AU39" s="39"/>
      <c r="AV39" s="72">
        <f t="shared" si="6"/>
        <v>0</v>
      </c>
      <c r="AW39" s="72">
        <f t="shared" si="21"/>
        <v>0</v>
      </c>
      <c r="AX39" s="39"/>
      <c r="AY39" s="40">
        <f>IF(ISERROR(IF($K39&lt;=$F$15,VLOOKUP($I39,'表4）CO2価格'!$A$7:$E$67,VLOOKUP($F$48,'表4）CO2価格'!$H$10:$I$12,2,0),0)*$F$8/1000,"")),0,IF($K39&lt;=$F$15,VLOOKUP($I39,'表4）CO2価格'!$A$7:$E$67,VLOOKUP($F$48,'表4）CO2価格'!$H$10:$I$12,2,0),0)*$F$8/1000,""))</f>
        <v>0</v>
      </c>
      <c r="AZ39" s="39"/>
      <c r="BA39" s="42">
        <f t="shared" si="7"/>
        <v>0</v>
      </c>
      <c r="BB39" s="72">
        <f t="shared" si="22"/>
        <v>0</v>
      </c>
      <c r="BC39" s="39"/>
      <c r="BD39" s="72">
        <f t="shared" si="8"/>
        <v>0</v>
      </c>
      <c r="BE39" s="72">
        <f t="shared" si="23"/>
        <v>0</v>
      </c>
      <c r="BF39" s="39"/>
      <c r="BG39" s="42">
        <f t="shared" si="9"/>
        <v>0</v>
      </c>
      <c r="BH39" s="72">
        <f t="shared" si="24"/>
        <v>0</v>
      </c>
      <c r="BI39" s="39"/>
      <c r="BJ39" s="40" t="str">
        <f t="shared" si="25"/>
        <v/>
      </c>
      <c r="BK39" s="157" t="str">
        <f t="shared" si="26"/>
        <v/>
      </c>
      <c r="BL39" s="157" t="str">
        <f t="shared" si="10"/>
        <v/>
      </c>
      <c r="BM39" s="72"/>
      <c r="BN39" s="72" t="str">
        <f t="shared" si="27"/>
        <v/>
      </c>
      <c r="BO39" s="72" t="str">
        <f t="shared" si="28"/>
        <v/>
      </c>
      <c r="BP39" s="39"/>
      <c r="BQ39" s="72">
        <f t="shared" si="11"/>
        <v>26174880</v>
      </c>
      <c r="BR39" s="72">
        <f t="shared" si="29"/>
        <v>12501268.46275563</v>
      </c>
    </row>
    <row r="40" spans="3:70" x14ac:dyDescent="0.15">
      <c r="D40" s="84" t="s">
        <v>124</v>
      </c>
      <c r="F40" s="482"/>
      <c r="G40" s="160" t="s">
        <v>571</v>
      </c>
      <c r="I40" s="322">
        <f t="shared" si="30"/>
        <v>2055</v>
      </c>
      <c r="K40" s="71">
        <f t="shared" si="31"/>
        <v>26</v>
      </c>
      <c r="M40" s="7">
        <f t="shared" si="0"/>
        <v>0.46369472743850448</v>
      </c>
      <c r="O40" s="10">
        <f t="shared" si="12"/>
        <v>0</v>
      </c>
      <c r="P40" s="29" t="str">
        <f t="shared" si="1"/>
        <v>-</v>
      </c>
      <c r="R40" s="10">
        <f t="shared" si="13"/>
        <v>224637099.93693191</v>
      </c>
      <c r="T40" s="10">
        <f t="shared" si="14"/>
        <v>224637000</v>
      </c>
      <c r="V40" s="10">
        <f t="shared" si="2"/>
        <v>0</v>
      </c>
      <c r="W40" s="10">
        <f t="shared" si="15"/>
        <v>0</v>
      </c>
      <c r="Y40" s="10">
        <f t="shared" si="3"/>
        <v>3144900</v>
      </c>
      <c r="Z40" s="10">
        <f t="shared" si="16"/>
        <v>1458273.5483213528</v>
      </c>
      <c r="AB40" s="10">
        <f t="shared" si="4"/>
        <v>0</v>
      </c>
      <c r="AC40" s="10">
        <f t="shared" si="17"/>
        <v>0</v>
      </c>
      <c r="AE40" s="10">
        <f t="shared" si="5"/>
        <v>0</v>
      </c>
      <c r="AF40" s="10">
        <f t="shared" si="18"/>
        <v>0</v>
      </c>
      <c r="AH40" s="679">
        <f t="shared" si="19"/>
        <v>77500000</v>
      </c>
      <c r="AI40" s="10">
        <f t="shared" si="20"/>
        <v>35936341.376484096</v>
      </c>
      <c r="AK40" s="10"/>
      <c r="AL40" s="10"/>
      <c r="AN40" s="10"/>
      <c r="AO40" s="10"/>
      <c r="AQ40" s="10"/>
      <c r="AR40" s="10"/>
      <c r="AT40" s="7">
        <f>IF($K40&lt;=$F$15,IF($F$40&lt;&gt;"",$F$40/1000,IF(ISERROR(VLOOKUP($F$3&amp;IF($G$4&lt;&gt;"",$G$4,"")&amp;IF($F$43&lt;&gt;"","_"&amp;$F$43,""),'表3）燃料価格'!$AF$9:$AG$25,2,0)),0,VLOOKUP($I40,'表3）燃料価格'!$A$6:$U$66,VLOOKUP($F$3&amp;IF($G$4&lt;&gt;"",$G$4,"")&amp;IF($F$43&lt;&gt;"","_"&amp;$F$43,""),'表3）燃料価格'!$AF$9:$AG$25,2,0)+VLOOKUP($F$41,'表3）燃料価格'!$AF$28:$AG$29,2,0),0)*IF($F$43="需要地価格",1,$F$8/$F$141))),"")</f>
        <v>0</v>
      </c>
      <c r="AV40" s="10">
        <f t="shared" si="6"/>
        <v>0</v>
      </c>
      <c r="AW40" s="10">
        <f t="shared" si="21"/>
        <v>0</v>
      </c>
      <c r="AY40" s="7">
        <f>IF(ISERROR(IF($K40&lt;=$F$15,VLOOKUP($I40,'表4）CO2価格'!$A$7:$E$67,VLOOKUP($F$48,'表4）CO2価格'!$H$10:$I$12,2,0),0)*$F$8/1000,"")),0,IF($K40&lt;=$F$15,VLOOKUP($I40,'表4）CO2価格'!$A$7:$E$67,VLOOKUP($F$48,'表4）CO2価格'!$H$10:$I$12,2,0),0)*$F$8/1000,""))</f>
        <v>0</v>
      </c>
      <c r="BA40" s="11">
        <f t="shared" si="7"/>
        <v>0</v>
      </c>
      <c r="BB40" s="10">
        <f t="shared" si="22"/>
        <v>0</v>
      </c>
      <c r="BD40" s="10">
        <f t="shared" si="8"/>
        <v>0</v>
      </c>
      <c r="BE40" s="10">
        <f t="shared" si="23"/>
        <v>0</v>
      </c>
      <c r="BG40" s="11">
        <f t="shared" si="9"/>
        <v>0</v>
      </c>
      <c r="BH40" s="10">
        <f t="shared" si="24"/>
        <v>0</v>
      </c>
      <c r="BJ40" s="7" t="str">
        <f t="shared" si="25"/>
        <v/>
      </c>
      <c r="BK40" s="158" t="str">
        <f t="shared" si="26"/>
        <v/>
      </c>
      <c r="BL40" s="158" t="str">
        <f t="shared" si="10"/>
        <v/>
      </c>
      <c r="BM40" s="10"/>
      <c r="BN40" s="10" t="str">
        <f t="shared" si="27"/>
        <v/>
      </c>
      <c r="BO40" s="10" t="str">
        <f t="shared" si="28"/>
        <v/>
      </c>
      <c r="BQ40" s="10">
        <f t="shared" si="11"/>
        <v>26174880</v>
      </c>
      <c r="BR40" s="10">
        <f t="shared" si="29"/>
        <v>12137153.847335562</v>
      </c>
    </row>
    <row r="41" spans="3:70" x14ac:dyDescent="0.15">
      <c r="D41" s="84" t="s">
        <v>572</v>
      </c>
      <c r="F41" s="474"/>
      <c r="I41" s="38">
        <f t="shared" si="30"/>
        <v>2056</v>
      </c>
      <c r="J41" s="39"/>
      <c r="K41" s="39">
        <f t="shared" si="31"/>
        <v>27</v>
      </c>
      <c r="L41" s="39"/>
      <c r="M41" s="40">
        <f t="shared" si="0"/>
        <v>0.45018905576553836</v>
      </c>
      <c r="N41" s="39"/>
      <c r="O41" s="72">
        <f t="shared" si="12"/>
        <v>0</v>
      </c>
      <c r="P41" s="41" t="str">
        <f t="shared" si="1"/>
        <v>-</v>
      </c>
      <c r="Q41" s="39"/>
      <c r="R41" s="72">
        <f t="shared" si="13"/>
        <v>202314466.58220211</v>
      </c>
      <c r="S41" s="39"/>
      <c r="T41" s="72">
        <f t="shared" si="14"/>
        <v>202314000</v>
      </c>
      <c r="U41" s="39"/>
      <c r="V41" s="72">
        <f t="shared" si="2"/>
        <v>0</v>
      </c>
      <c r="W41" s="72">
        <f t="shared" si="15"/>
        <v>0</v>
      </c>
      <c r="X41" s="39"/>
      <c r="Y41" s="72">
        <f t="shared" si="3"/>
        <v>2832300</v>
      </c>
      <c r="Z41" s="72">
        <f t="shared" si="16"/>
        <v>1275070.4626447342</v>
      </c>
      <c r="AA41" s="39"/>
      <c r="AB41" s="72">
        <f t="shared" si="4"/>
        <v>0</v>
      </c>
      <c r="AC41" s="72">
        <f t="shared" si="17"/>
        <v>0</v>
      </c>
      <c r="AD41" s="39"/>
      <c r="AE41" s="72">
        <f t="shared" si="5"/>
        <v>0</v>
      </c>
      <c r="AF41" s="72">
        <f t="shared" si="18"/>
        <v>0</v>
      </c>
      <c r="AG41" s="39"/>
      <c r="AH41" s="72">
        <f t="shared" si="19"/>
        <v>77500000</v>
      </c>
      <c r="AI41" s="72">
        <f t="shared" si="20"/>
        <v>34889651.821829222</v>
      </c>
      <c r="AJ41" s="39"/>
      <c r="AK41" s="72"/>
      <c r="AL41" s="72"/>
      <c r="AM41" s="39"/>
      <c r="AN41" s="72"/>
      <c r="AO41" s="72"/>
      <c r="AP41" s="39"/>
      <c r="AQ41" s="72"/>
      <c r="AR41" s="72"/>
      <c r="AS41" s="39"/>
      <c r="AT41" s="40">
        <f>IF($K41&lt;=$F$15,IF($F$40&lt;&gt;"",$F$40/1000,IF(ISERROR(VLOOKUP($F$3&amp;IF($G$4&lt;&gt;"",$G$4,"")&amp;IF($F$43&lt;&gt;"","_"&amp;$F$43,""),'表3）燃料価格'!$AF$9:$AG$25,2,0)),0,VLOOKUP($I41,'表3）燃料価格'!$A$6:$U$66,VLOOKUP($F$3&amp;IF($G$4&lt;&gt;"",$G$4,"")&amp;IF($F$43&lt;&gt;"","_"&amp;$F$43,""),'表3）燃料価格'!$AF$9:$AG$25,2,0)+VLOOKUP($F$41,'表3）燃料価格'!$AF$28:$AG$29,2,0),0)*IF($F$43="需要地価格",1,$F$8/$F$141))),"")</f>
        <v>0</v>
      </c>
      <c r="AU41" s="39"/>
      <c r="AV41" s="72">
        <f t="shared" si="6"/>
        <v>0</v>
      </c>
      <c r="AW41" s="72">
        <f t="shared" si="21"/>
        <v>0</v>
      </c>
      <c r="AX41" s="39"/>
      <c r="AY41" s="40">
        <f>IF(ISERROR(IF($K41&lt;=$F$15,VLOOKUP($I41,'表4）CO2価格'!$A$7:$E$67,VLOOKUP($F$48,'表4）CO2価格'!$H$10:$I$12,2,0),0)*$F$8/1000,"")),0,IF($K41&lt;=$F$15,VLOOKUP($I41,'表4）CO2価格'!$A$7:$E$67,VLOOKUP($F$48,'表4）CO2価格'!$H$10:$I$12,2,0),0)*$F$8/1000,""))</f>
        <v>0</v>
      </c>
      <c r="AZ41" s="39"/>
      <c r="BA41" s="42">
        <f t="shared" si="7"/>
        <v>0</v>
      </c>
      <c r="BB41" s="72">
        <f t="shared" si="22"/>
        <v>0</v>
      </c>
      <c r="BC41" s="39"/>
      <c r="BD41" s="72">
        <f t="shared" si="8"/>
        <v>0</v>
      </c>
      <c r="BE41" s="72">
        <f t="shared" si="23"/>
        <v>0</v>
      </c>
      <c r="BF41" s="39"/>
      <c r="BG41" s="42">
        <f t="shared" si="9"/>
        <v>0</v>
      </c>
      <c r="BH41" s="72">
        <f t="shared" si="24"/>
        <v>0</v>
      </c>
      <c r="BI41" s="39"/>
      <c r="BJ41" s="40" t="str">
        <f t="shared" si="25"/>
        <v/>
      </c>
      <c r="BK41" s="157" t="str">
        <f t="shared" si="26"/>
        <v/>
      </c>
      <c r="BL41" s="157" t="str">
        <f t="shared" si="10"/>
        <v/>
      </c>
      <c r="BM41" s="72"/>
      <c r="BN41" s="72" t="str">
        <f t="shared" si="27"/>
        <v/>
      </c>
      <c r="BO41" s="72" t="str">
        <f t="shared" si="28"/>
        <v/>
      </c>
      <c r="BP41" s="39"/>
      <c r="BQ41" s="72">
        <f t="shared" si="11"/>
        <v>26174880</v>
      </c>
      <c r="BR41" s="72">
        <f t="shared" si="29"/>
        <v>11783644.511976276</v>
      </c>
    </row>
    <row r="42" spans="3:70" x14ac:dyDescent="0.15">
      <c r="D42" s="84" t="s">
        <v>573</v>
      </c>
      <c r="F42" s="481"/>
      <c r="G42" s="84" t="s">
        <v>574</v>
      </c>
      <c r="I42" s="322">
        <f t="shared" si="30"/>
        <v>2057</v>
      </c>
      <c r="K42" s="71">
        <f t="shared" si="31"/>
        <v>28</v>
      </c>
      <c r="M42" s="7">
        <f t="shared" si="0"/>
        <v>0.4370767531704256</v>
      </c>
      <c r="O42" s="10">
        <f t="shared" si="12"/>
        <v>0</v>
      </c>
      <c r="P42" s="29" t="str">
        <f t="shared" si="1"/>
        <v>-</v>
      </c>
      <c r="R42" s="10">
        <f t="shared" si="13"/>
        <v>182210077.49802956</v>
      </c>
      <c r="T42" s="10">
        <f t="shared" si="14"/>
        <v>182210000</v>
      </c>
      <c r="V42" s="10">
        <f t="shared" si="2"/>
        <v>0</v>
      </c>
      <c r="W42" s="10">
        <f t="shared" si="15"/>
        <v>0</v>
      </c>
      <c r="Y42" s="10">
        <f t="shared" si="3"/>
        <v>2550900</v>
      </c>
      <c r="Z42" s="10">
        <f t="shared" si="16"/>
        <v>1114939.0896624387</v>
      </c>
      <c r="AB42" s="10">
        <f t="shared" si="4"/>
        <v>0</v>
      </c>
      <c r="AC42" s="10">
        <f t="shared" si="17"/>
        <v>0</v>
      </c>
      <c r="AE42" s="10">
        <f t="shared" si="5"/>
        <v>0</v>
      </c>
      <c r="AF42" s="10">
        <f t="shared" si="18"/>
        <v>0</v>
      </c>
      <c r="AH42" s="679">
        <f t="shared" si="19"/>
        <v>77500000</v>
      </c>
      <c r="AI42" s="10">
        <f t="shared" si="20"/>
        <v>33873448.370707981</v>
      </c>
      <c r="AK42" s="10"/>
      <c r="AL42" s="10"/>
      <c r="AN42" s="10"/>
      <c r="AO42" s="10"/>
      <c r="AQ42" s="10"/>
      <c r="AR42" s="10"/>
      <c r="AT42" s="7">
        <f>IF($K42&lt;=$F$15,IF($F$40&lt;&gt;"",$F$40/1000,IF(ISERROR(VLOOKUP($F$3&amp;IF($G$4&lt;&gt;"",$G$4,"")&amp;IF($F$43&lt;&gt;"","_"&amp;$F$43,""),'表3）燃料価格'!$AF$9:$AG$25,2,0)),0,VLOOKUP($I42,'表3）燃料価格'!$A$6:$U$66,VLOOKUP($F$3&amp;IF($G$4&lt;&gt;"",$G$4,"")&amp;IF($F$43&lt;&gt;"","_"&amp;$F$43,""),'表3）燃料価格'!$AF$9:$AG$25,2,0)+VLOOKUP($F$41,'表3）燃料価格'!$AF$28:$AG$29,2,0),0)*IF($F$43="需要地価格",1,$F$8/$F$141))),"")</f>
        <v>0</v>
      </c>
      <c r="AV42" s="10">
        <f t="shared" si="6"/>
        <v>0</v>
      </c>
      <c r="AW42" s="10">
        <f t="shared" si="21"/>
        <v>0</v>
      </c>
      <c r="AY42" s="7">
        <f>IF(ISERROR(IF($K42&lt;=$F$15,VLOOKUP($I42,'表4）CO2価格'!$A$7:$E$67,VLOOKUP($F$48,'表4）CO2価格'!$H$10:$I$12,2,0),0)*$F$8/1000,"")),0,IF($K42&lt;=$F$15,VLOOKUP($I42,'表4）CO2価格'!$A$7:$E$67,VLOOKUP($F$48,'表4）CO2価格'!$H$10:$I$12,2,0),0)*$F$8/1000,""))</f>
        <v>0</v>
      </c>
      <c r="BA42" s="11">
        <f t="shared" si="7"/>
        <v>0</v>
      </c>
      <c r="BB42" s="10">
        <f t="shared" si="22"/>
        <v>0</v>
      </c>
      <c r="BD42" s="10">
        <f t="shared" si="8"/>
        <v>0</v>
      </c>
      <c r="BE42" s="10">
        <f t="shared" si="23"/>
        <v>0</v>
      </c>
      <c r="BG42" s="11">
        <f t="shared" si="9"/>
        <v>0</v>
      </c>
      <c r="BH42" s="10">
        <f t="shared" si="24"/>
        <v>0</v>
      </c>
      <c r="BJ42" s="7" t="str">
        <f t="shared" si="25"/>
        <v/>
      </c>
      <c r="BK42" s="158" t="str">
        <f t="shared" si="26"/>
        <v/>
      </c>
      <c r="BL42" s="158" t="str">
        <f t="shared" si="10"/>
        <v/>
      </c>
      <c r="BM42" s="10"/>
      <c r="BN42" s="10" t="str">
        <f t="shared" si="27"/>
        <v/>
      </c>
      <c r="BO42" s="10" t="str">
        <f t="shared" si="28"/>
        <v/>
      </c>
      <c r="BQ42" s="10">
        <f t="shared" si="11"/>
        <v>26174880</v>
      </c>
      <c r="BR42" s="10">
        <f t="shared" si="29"/>
        <v>11440431.56502551</v>
      </c>
    </row>
    <row r="43" spans="3:70" x14ac:dyDescent="0.15">
      <c r="D43" s="160" t="s">
        <v>126</v>
      </c>
      <c r="F43" s="474"/>
      <c r="I43" s="38">
        <f t="shared" si="30"/>
        <v>2058</v>
      </c>
      <c r="J43" s="39"/>
      <c r="K43" s="39">
        <f t="shared" si="31"/>
        <v>29</v>
      </c>
      <c r="L43" s="39"/>
      <c r="M43" s="40">
        <f t="shared" si="0"/>
        <v>0.42434636230138412</v>
      </c>
      <c r="N43" s="39"/>
      <c r="O43" s="72">
        <f t="shared" si="12"/>
        <v>0</v>
      </c>
      <c r="P43" s="41" t="str">
        <f t="shared" si="1"/>
        <v>-</v>
      </c>
      <c r="Q43" s="39"/>
      <c r="R43" s="72">
        <f t="shared" si="13"/>
        <v>164103501.35959399</v>
      </c>
      <c r="S43" s="39"/>
      <c r="T43" s="72">
        <f t="shared" si="14"/>
        <v>164103000</v>
      </c>
      <c r="U43" s="39"/>
      <c r="V43" s="72">
        <f t="shared" si="2"/>
        <v>0</v>
      </c>
      <c r="W43" s="72">
        <f t="shared" si="15"/>
        <v>0</v>
      </c>
      <c r="X43" s="39"/>
      <c r="Y43" s="72">
        <f t="shared" si="3"/>
        <v>2297400</v>
      </c>
      <c r="Z43" s="72">
        <f t="shared" si="16"/>
        <v>974893.33275119984</v>
      </c>
      <c r="AA43" s="39"/>
      <c r="AB43" s="72">
        <f t="shared" si="4"/>
        <v>0</v>
      </c>
      <c r="AC43" s="72">
        <f t="shared" si="17"/>
        <v>0</v>
      </c>
      <c r="AD43" s="39"/>
      <c r="AE43" s="72">
        <f t="shared" si="5"/>
        <v>0</v>
      </c>
      <c r="AF43" s="72">
        <f t="shared" si="18"/>
        <v>0</v>
      </c>
      <c r="AG43" s="39"/>
      <c r="AH43" s="72">
        <f t="shared" si="19"/>
        <v>77500000</v>
      </c>
      <c r="AI43" s="72">
        <f t="shared" si="20"/>
        <v>32886843.078357268</v>
      </c>
      <c r="AJ43" s="39"/>
      <c r="AK43" s="72"/>
      <c r="AL43" s="72"/>
      <c r="AM43" s="39"/>
      <c r="AN43" s="72"/>
      <c r="AO43" s="72"/>
      <c r="AP43" s="39"/>
      <c r="AQ43" s="72"/>
      <c r="AR43" s="72"/>
      <c r="AS43" s="39"/>
      <c r="AT43" s="40">
        <f>IF($K43&lt;=$F$15,IF($F$40&lt;&gt;"",$F$40/1000,IF(ISERROR(VLOOKUP($F$3&amp;IF($G$4&lt;&gt;"",$G$4,"")&amp;IF($F$43&lt;&gt;"","_"&amp;$F$43,""),'表3）燃料価格'!$AF$9:$AG$25,2,0)),0,VLOOKUP($I43,'表3）燃料価格'!$A$6:$U$66,VLOOKUP($F$3&amp;IF($G$4&lt;&gt;"",$G$4,"")&amp;IF($F$43&lt;&gt;"","_"&amp;$F$43,""),'表3）燃料価格'!$AF$9:$AG$25,2,0)+VLOOKUP($F$41,'表3）燃料価格'!$AF$28:$AG$29,2,0),0)*IF($F$43="需要地価格",1,$F$8/$F$141))),"")</f>
        <v>0</v>
      </c>
      <c r="AU43" s="39"/>
      <c r="AV43" s="72">
        <f t="shared" si="6"/>
        <v>0</v>
      </c>
      <c r="AW43" s="72">
        <f t="shared" si="21"/>
        <v>0</v>
      </c>
      <c r="AX43" s="39"/>
      <c r="AY43" s="40">
        <f>IF(ISERROR(IF($K43&lt;=$F$15,VLOOKUP($I43,'表4）CO2価格'!$A$7:$E$67,VLOOKUP($F$48,'表4）CO2価格'!$H$10:$I$12,2,0),0)*$F$8/1000,"")),0,IF($K43&lt;=$F$15,VLOOKUP($I43,'表4）CO2価格'!$A$7:$E$67,VLOOKUP($F$48,'表4）CO2価格'!$H$10:$I$12,2,0),0)*$F$8/1000,""))</f>
        <v>0</v>
      </c>
      <c r="AZ43" s="39"/>
      <c r="BA43" s="42">
        <f t="shared" si="7"/>
        <v>0</v>
      </c>
      <c r="BB43" s="72">
        <f t="shared" si="22"/>
        <v>0</v>
      </c>
      <c r="BC43" s="39"/>
      <c r="BD43" s="72">
        <f t="shared" si="8"/>
        <v>0</v>
      </c>
      <c r="BE43" s="72">
        <f t="shared" si="23"/>
        <v>0</v>
      </c>
      <c r="BF43" s="39"/>
      <c r="BG43" s="42">
        <f t="shared" si="9"/>
        <v>0</v>
      </c>
      <c r="BH43" s="72">
        <f t="shared" si="24"/>
        <v>0</v>
      </c>
      <c r="BI43" s="39"/>
      <c r="BJ43" s="40" t="str">
        <f t="shared" si="25"/>
        <v/>
      </c>
      <c r="BK43" s="157" t="str">
        <f t="shared" si="26"/>
        <v/>
      </c>
      <c r="BL43" s="157" t="str">
        <f t="shared" si="10"/>
        <v/>
      </c>
      <c r="BM43" s="72"/>
      <c r="BN43" s="72" t="str">
        <f t="shared" si="27"/>
        <v/>
      </c>
      <c r="BO43" s="72" t="str">
        <f t="shared" si="28"/>
        <v/>
      </c>
      <c r="BP43" s="39"/>
      <c r="BQ43" s="72">
        <f t="shared" si="11"/>
        <v>26174880</v>
      </c>
      <c r="BR43" s="72">
        <f t="shared" si="29"/>
        <v>11107215.111675253</v>
      </c>
    </row>
    <row r="44" spans="3:70" x14ac:dyDescent="0.15">
      <c r="I44" s="322">
        <f t="shared" si="30"/>
        <v>2059</v>
      </c>
      <c r="K44" s="71">
        <f t="shared" si="31"/>
        <v>30</v>
      </c>
      <c r="M44" s="7">
        <f t="shared" si="0"/>
        <v>0.41198675951590691</v>
      </c>
      <c r="O44" s="10">
        <f t="shared" si="12"/>
        <v>0</v>
      </c>
      <c r="P44" s="29" t="str">
        <f t="shared" si="1"/>
        <v>-</v>
      </c>
      <c r="R44" s="10">
        <f t="shared" si="13"/>
        <v>153750000</v>
      </c>
      <c r="T44" s="10">
        <f t="shared" si="14"/>
        <v>153750000</v>
      </c>
      <c r="V44" s="10">
        <f t="shared" si="2"/>
        <v>0</v>
      </c>
      <c r="W44" s="10">
        <f t="shared" si="15"/>
        <v>0</v>
      </c>
      <c r="Y44" s="10">
        <f t="shared" si="3"/>
        <v>2152500</v>
      </c>
      <c r="Z44" s="10">
        <f t="shared" si="16"/>
        <v>886801.49985798961</v>
      </c>
      <c r="AB44" s="10">
        <f t="shared" si="4"/>
        <v>0</v>
      </c>
      <c r="AC44" s="10">
        <f t="shared" si="17"/>
        <v>0</v>
      </c>
      <c r="AE44" s="10">
        <f t="shared" si="5"/>
        <v>0</v>
      </c>
      <c r="AF44" s="10">
        <f t="shared" si="18"/>
        <v>0</v>
      </c>
      <c r="AH44" s="679">
        <f t="shared" si="19"/>
        <v>77500000</v>
      </c>
      <c r="AI44" s="10">
        <f t="shared" si="20"/>
        <v>31928973.862482786</v>
      </c>
      <c r="AK44" s="10"/>
      <c r="AL44" s="10"/>
      <c r="AN44" s="10"/>
      <c r="AO44" s="10"/>
      <c r="AQ44" s="10"/>
      <c r="AR44" s="10"/>
      <c r="AT44" s="7">
        <f>IF($K44&lt;=$F$15,IF($F$40&lt;&gt;"",$F$40/1000,IF(ISERROR(VLOOKUP($F$3&amp;IF($G$4&lt;&gt;"",$G$4,"")&amp;IF($F$43&lt;&gt;"","_"&amp;$F$43,""),'表3）燃料価格'!$AF$9:$AG$25,2,0)),0,VLOOKUP($I44,'表3）燃料価格'!$A$6:$U$66,VLOOKUP($F$3&amp;IF($G$4&lt;&gt;"",$G$4,"")&amp;IF($F$43&lt;&gt;"","_"&amp;$F$43,""),'表3）燃料価格'!$AF$9:$AG$25,2,0)+VLOOKUP($F$41,'表3）燃料価格'!$AF$28:$AG$29,2,0),0)*IF($F$43="需要地価格",1,$F$8/$F$141))),"")</f>
        <v>0</v>
      </c>
      <c r="AV44" s="10">
        <f t="shared" si="6"/>
        <v>0</v>
      </c>
      <c r="AW44" s="10">
        <f t="shared" si="21"/>
        <v>0</v>
      </c>
      <c r="AY44" s="7">
        <f>IF(ISERROR(IF($K44&lt;=$F$15,VLOOKUP($I44,'表4）CO2価格'!$A$7:$E$67,VLOOKUP($F$48,'表4）CO2価格'!$H$10:$I$12,2,0),0)*$F$8/1000,"")),0,IF($K44&lt;=$F$15,VLOOKUP($I44,'表4）CO2価格'!$A$7:$E$67,VLOOKUP($F$48,'表4）CO2価格'!$H$10:$I$12,2,0),0)*$F$8/1000,""))</f>
        <v>0</v>
      </c>
      <c r="BA44" s="11">
        <f t="shared" si="7"/>
        <v>0</v>
      </c>
      <c r="BB44" s="10">
        <f t="shared" si="22"/>
        <v>0</v>
      </c>
      <c r="BD44" s="10">
        <f t="shared" si="8"/>
        <v>0</v>
      </c>
      <c r="BE44" s="10">
        <f t="shared" si="23"/>
        <v>0</v>
      </c>
      <c r="BG44" s="11">
        <f t="shared" si="9"/>
        <v>0</v>
      </c>
      <c r="BH44" s="10">
        <f t="shared" si="24"/>
        <v>0</v>
      </c>
      <c r="BJ44" s="7" t="str">
        <f t="shared" si="25"/>
        <v/>
      </c>
      <c r="BK44" s="158" t="str">
        <f t="shared" si="26"/>
        <v/>
      </c>
      <c r="BL44" s="158" t="str">
        <f t="shared" si="10"/>
        <v/>
      </c>
      <c r="BM44" s="10"/>
      <c r="BN44" s="10" t="str">
        <f t="shared" si="27"/>
        <v/>
      </c>
      <c r="BO44" s="10" t="str">
        <f t="shared" si="28"/>
        <v/>
      </c>
      <c r="BQ44" s="10">
        <f t="shared" si="11"/>
        <v>26174880</v>
      </c>
      <c r="BR44" s="10">
        <f t="shared" si="29"/>
        <v>10783703.991917722</v>
      </c>
    </row>
    <row r="45" spans="3:70" x14ac:dyDescent="0.15">
      <c r="C45" s="4" t="s">
        <v>575</v>
      </c>
      <c r="D45" s="100"/>
      <c r="E45" s="100"/>
      <c r="F45" s="4"/>
      <c r="G45" s="100"/>
      <c r="I45" s="38">
        <f t="shared" si="30"/>
        <v>2060</v>
      </c>
      <c r="J45" s="39"/>
      <c r="K45" s="39">
        <f t="shared" si="31"/>
        <v>31</v>
      </c>
      <c r="L45" s="39"/>
      <c r="M45" s="40">
        <f t="shared" si="0"/>
        <v>0.39998714516107459</v>
      </c>
      <c r="N45" s="39"/>
      <c r="O45" s="72">
        <f t="shared" si="12"/>
        <v>0</v>
      </c>
      <c r="P45" s="41" t="str">
        <f t="shared" si="1"/>
        <v>-</v>
      </c>
      <c r="Q45" s="39"/>
      <c r="R45" s="72">
        <f t="shared" si="13"/>
        <v>153750000</v>
      </c>
      <c r="S45" s="39"/>
      <c r="T45" s="72">
        <f t="shared" si="14"/>
        <v>153750000</v>
      </c>
      <c r="U45" s="39"/>
      <c r="V45" s="72">
        <f t="shared" si="2"/>
        <v>0</v>
      </c>
      <c r="W45" s="72">
        <f t="shared" si="15"/>
        <v>0</v>
      </c>
      <c r="X45" s="39"/>
      <c r="Y45" s="72">
        <f t="shared" si="3"/>
        <v>2152500</v>
      </c>
      <c r="Z45" s="72">
        <f t="shared" si="16"/>
        <v>860972.32995921304</v>
      </c>
      <c r="AA45" s="39"/>
      <c r="AB45" s="72">
        <f t="shared" si="4"/>
        <v>0</v>
      </c>
      <c r="AC45" s="72">
        <f t="shared" si="17"/>
        <v>0</v>
      </c>
      <c r="AD45" s="39"/>
      <c r="AE45" s="72">
        <f t="shared" si="5"/>
        <v>0</v>
      </c>
      <c r="AF45" s="72">
        <f t="shared" si="18"/>
        <v>0</v>
      </c>
      <c r="AG45" s="39"/>
      <c r="AH45" s="72">
        <f t="shared" si="19"/>
        <v>77500000</v>
      </c>
      <c r="AI45" s="72">
        <f t="shared" si="20"/>
        <v>30999003.749983281</v>
      </c>
      <c r="AJ45" s="39"/>
      <c r="AK45" s="72"/>
      <c r="AL45" s="72"/>
      <c r="AM45" s="39"/>
      <c r="AN45" s="72"/>
      <c r="AO45" s="72"/>
      <c r="AP45" s="39"/>
      <c r="AQ45" s="72"/>
      <c r="AR45" s="72"/>
      <c r="AS45" s="39"/>
      <c r="AT45" s="40">
        <f>IF($K45&lt;=$F$15,IF($F$40&lt;&gt;"",$F$40/1000,IF(ISERROR(VLOOKUP($F$3&amp;IF($G$4&lt;&gt;"",$G$4,"")&amp;IF($F$43&lt;&gt;"","_"&amp;$F$43,""),'表3）燃料価格'!$AF$9:$AG$25,2,0)),0,VLOOKUP($I45,'表3）燃料価格'!$A$6:$U$66,VLOOKUP($F$3&amp;IF($G$4&lt;&gt;"",$G$4,"")&amp;IF($F$43&lt;&gt;"","_"&amp;$F$43,""),'表3）燃料価格'!$AF$9:$AG$25,2,0)+VLOOKUP($F$41,'表3）燃料価格'!$AF$28:$AG$29,2,0),0)*IF($F$43="需要地価格",1,$F$8/$F$141))),"")</f>
        <v>0</v>
      </c>
      <c r="AU45" s="39"/>
      <c r="AV45" s="72">
        <f t="shared" si="6"/>
        <v>0</v>
      </c>
      <c r="AW45" s="72">
        <f t="shared" si="21"/>
        <v>0</v>
      </c>
      <c r="AX45" s="39"/>
      <c r="AY45" s="40">
        <f>IF(ISERROR(IF($K45&lt;=$F$15,VLOOKUP($I45,'表4）CO2価格'!$A$7:$E$67,VLOOKUP($F$48,'表4）CO2価格'!$H$10:$I$12,2,0),0)*$F$8/1000,"")),0,IF($K45&lt;=$F$15,VLOOKUP($I45,'表4）CO2価格'!$A$7:$E$67,VLOOKUP($F$48,'表4）CO2価格'!$H$10:$I$12,2,0),0)*$F$8/1000,""))</f>
        <v>0</v>
      </c>
      <c r="AZ45" s="39"/>
      <c r="BA45" s="42">
        <f t="shared" si="7"/>
        <v>0</v>
      </c>
      <c r="BB45" s="72">
        <f t="shared" si="22"/>
        <v>0</v>
      </c>
      <c r="BC45" s="39"/>
      <c r="BD45" s="72">
        <f t="shared" si="8"/>
        <v>0</v>
      </c>
      <c r="BE45" s="72">
        <f t="shared" si="23"/>
        <v>0</v>
      </c>
      <c r="BF45" s="39"/>
      <c r="BG45" s="42">
        <f t="shared" si="9"/>
        <v>0</v>
      </c>
      <c r="BH45" s="72">
        <f t="shared" si="24"/>
        <v>0</v>
      </c>
      <c r="BI45" s="39"/>
      <c r="BJ45" s="40" t="str">
        <f t="shared" si="25"/>
        <v/>
      </c>
      <c r="BK45" s="157" t="str">
        <f t="shared" si="26"/>
        <v/>
      </c>
      <c r="BL45" s="157" t="str">
        <f t="shared" si="10"/>
        <v/>
      </c>
      <c r="BM45" s="72"/>
      <c r="BN45" s="72" t="str">
        <f t="shared" si="27"/>
        <v/>
      </c>
      <c r="BO45" s="72" t="str">
        <f t="shared" si="28"/>
        <v/>
      </c>
      <c r="BP45" s="39"/>
      <c r="BQ45" s="72">
        <f t="shared" si="11"/>
        <v>26174880</v>
      </c>
      <c r="BR45" s="72">
        <f t="shared" si="29"/>
        <v>10469615.526133709</v>
      </c>
    </row>
    <row r="46" spans="3:70" x14ac:dyDescent="0.15">
      <c r="I46" s="322">
        <f t="shared" si="30"/>
        <v>2061</v>
      </c>
      <c r="K46" s="71">
        <f t="shared" si="31"/>
        <v>32</v>
      </c>
      <c r="M46" s="7">
        <f t="shared" si="0"/>
        <v>0.38833703413696569</v>
      </c>
      <c r="O46" s="10">
        <f t="shared" si="12"/>
        <v>0</v>
      </c>
      <c r="P46" s="29" t="str">
        <f t="shared" si="1"/>
        <v>-</v>
      </c>
      <c r="R46" s="10">
        <f t="shared" si="13"/>
        <v>153750000</v>
      </c>
      <c r="T46" s="10">
        <f t="shared" si="14"/>
        <v>153750000</v>
      </c>
      <c r="V46" s="10">
        <f t="shared" si="2"/>
        <v>0</v>
      </c>
      <c r="W46" s="10">
        <f t="shared" si="15"/>
        <v>0</v>
      </c>
      <c r="Y46" s="10">
        <f t="shared" si="3"/>
        <v>2152500</v>
      </c>
      <c r="Z46" s="10">
        <f t="shared" si="16"/>
        <v>835895.4659798186</v>
      </c>
      <c r="AB46" s="10">
        <f t="shared" si="4"/>
        <v>0</v>
      </c>
      <c r="AC46" s="10">
        <f t="shared" si="17"/>
        <v>0</v>
      </c>
      <c r="AE46" s="10">
        <f t="shared" si="5"/>
        <v>0</v>
      </c>
      <c r="AF46" s="10">
        <f t="shared" si="18"/>
        <v>0</v>
      </c>
      <c r="AH46" s="679">
        <f t="shared" si="19"/>
        <v>77500000</v>
      </c>
      <c r="AI46" s="10">
        <f t="shared" si="20"/>
        <v>30096120.14561484</v>
      </c>
      <c r="AK46" s="10"/>
      <c r="AL46" s="10"/>
      <c r="AN46" s="10"/>
      <c r="AO46" s="10"/>
      <c r="AQ46" s="10"/>
      <c r="AR46" s="10"/>
      <c r="AT46" s="7">
        <f>IF($K46&lt;=$F$15,IF($F$40&lt;&gt;"",$F$40/1000,IF(ISERROR(VLOOKUP($F$3&amp;IF($G$4&lt;&gt;"",$G$4,"")&amp;IF($F$43&lt;&gt;"","_"&amp;$F$43,""),'表3）燃料価格'!$AF$9:$AG$25,2,0)),0,VLOOKUP($I46,'表3）燃料価格'!$A$6:$U$66,VLOOKUP($F$3&amp;IF($G$4&lt;&gt;"",$G$4,"")&amp;IF($F$43&lt;&gt;"","_"&amp;$F$43,""),'表3）燃料価格'!$AF$9:$AG$25,2,0)+VLOOKUP($F$41,'表3）燃料価格'!$AF$28:$AG$29,2,0),0)*IF($F$43="需要地価格",1,$F$8/$F$141))),"")</f>
        <v>0</v>
      </c>
      <c r="AV46" s="10">
        <f t="shared" si="6"/>
        <v>0</v>
      </c>
      <c r="AW46" s="10">
        <f t="shared" si="21"/>
        <v>0</v>
      </c>
      <c r="AY46" s="7">
        <f>IF(ISERROR(IF($K46&lt;=$F$15,VLOOKUP($I46,'表4）CO2価格'!$A$7:$E$67,VLOOKUP($F$48,'表4）CO2価格'!$H$10:$I$12,2,0),0)*$F$8/1000,"")),0,IF($K46&lt;=$F$15,VLOOKUP($I46,'表4）CO2価格'!$A$7:$E$67,VLOOKUP($F$48,'表4）CO2価格'!$H$10:$I$12,2,0),0)*$F$8/1000,""))</f>
        <v>0</v>
      </c>
      <c r="BA46" s="11">
        <f t="shared" si="7"/>
        <v>0</v>
      </c>
      <c r="BB46" s="10">
        <f t="shared" si="22"/>
        <v>0</v>
      </c>
      <c r="BD46" s="10">
        <f t="shared" si="8"/>
        <v>0</v>
      </c>
      <c r="BE46" s="10">
        <f t="shared" si="23"/>
        <v>0</v>
      </c>
      <c r="BG46" s="11">
        <f t="shared" si="9"/>
        <v>0</v>
      </c>
      <c r="BH46" s="10">
        <f t="shared" si="24"/>
        <v>0</v>
      </c>
      <c r="BJ46" s="7" t="str">
        <f t="shared" si="25"/>
        <v/>
      </c>
      <c r="BK46" s="158" t="str">
        <f t="shared" si="26"/>
        <v/>
      </c>
      <c r="BL46" s="158" t="str">
        <f t="shared" si="10"/>
        <v/>
      </c>
      <c r="BM46" s="10"/>
      <c r="BN46" s="10" t="str">
        <f t="shared" si="27"/>
        <v/>
      </c>
      <c r="BO46" s="10" t="str">
        <f t="shared" si="28"/>
        <v/>
      </c>
      <c r="BQ46" s="10">
        <f t="shared" si="11"/>
        <v>26174880</v>
      </c>
      <c r="BR46" s="10">
        <f t="shared" si="29"/>
        <v>10164675.26809098</v>
      </c>
    </row>
    <row r="47" spans="3:70" x14ac:dyDescent="0.15">
      <c r="D47" s="84" t="s">
        <v>576</v>
      </c>
      <c r="F47" s="475"/>
      <c r="G47" s="84" t="s">
        <v>577</v>
      </c>
      <c r="I47" s="38">
        <f t="shared" si="30"/>
        <v>2062</v>
      </c>
      <c r="J47" s="39"/>
      <c r="K47" s="39">
        <f t="shared" si="31"/>
        <v>33</v>
      </c>
      <c r="L47" s="39"/>
      <c r="M47" s="40">
        <f t="shared" si="0"/>
        <v>0.37702624673491814</v>
      </c>
      <c r="N47" s="39"/>
      <c r="O47" s="72">
        <f t="shared" si="12"/>
        <v>0</v>
      </c>
      <c r="P47" s="41" t="str">
        <f t="shared" si="1"/>
        <v>-</v>
      </c>
      <c r="Q47" s="39"/>
      <c r="R47" s="72">
        <f t="shared" si="13"/>
        <v>153750000</v>
      </c>
      <c r="S47" s="39"/>
      <c r="T47" s="72">
        <f t="shared" si="14"/>
        <v>153750000</v>
      </c>
      <c r="U47" s="39"/>
      <c r="V47" s="72">
        <f t="shared" si="2"/>
        <v>0</v>
      </c>
      <c r="W47" s="72">
        <f t="shared" si="15"/>
        <v>0</v>
      </c>
      <c r="X47" s="39"/>
      <c r="Y47" s="72">
        <f t="shared" si="3"/>
        <v>2152500</v>
      </c>
      <c r="Z47" s="72">
        <f t="shared" si="16"/>
        <v>811548.99609691126</v>
      </c>
      <c r="AA47" s="39"/>
      <c r="AB47" s="72">
        <f t="shared" si="4"/>
        <v>0</v>
      </c>
      <c r="AC47" s="72">
        <f t="shared" si="17"/>
        <v>0</v>
      </c>
      <c r="AD47" s="39"/>
      <c r="AE47" s="72">
        <f t="shared" si="5"/>
        <v>0</v>
      </c>
      <c r="AF47" s="72">
        <f t="shared" si="18"/>
        <v>0</v>
      </c>
      <c r="AG47" s="39"/>
      <c r="AH47" s="72">
        <f t="shared" si="19"/>
        <v>77500000</v>
      </c>
      <c r="AI47" s="72">
        <f t="shared" si="20"/>
        <v>29219534.121956155</v>
      </c>
      <c r="AJ47" s="39"/>
      <c r="AK47" s="72"/>
      <c r="AL47" s="72"/>
      <c r="AM47" s="39"/>
      <c r="AN47" s="72"/>
      <c r="AO47" s="72"/>
      <c r="AP47" s="39"/>
      <c r="AQ47" s="72"/>
      <c r="AR47" s="72"/>
      <c r="AS47" s="39"/>
      <c r="AT47" s="40">
        <f>IF($K47&lt;=$F$15,IF($F$40&lt;&gt;"",$F$40/1000,IF(ISERROR(VLOOKUP($F$3&amp;IF($G$4&lt;&gt;"",$G$4,"")&amp;IF($F$43&lt;&gt;"","_"&amp;$F$43,""),'表3）燃料価格'!$AF$9:$AG$25,2,0)),0,VLOOKUP($I47,'表3）燃料価格'!$A$6:$U$66,VLOOKUP($F$3&amp;IF($G$4&lt;&gt;"",$G$4,"")&amp;IF($F$43&lt;&gt;"","_"&amp;$F$43,""),'表3）燃料価格'!$AF$9:$AG$25,2,0)+VLOOKUP($F$41,'表3）燃料価格'!$AF$28:$AG$29,2,0),0)*IF($F$43="需要地価格",1,$F$8/$F$141))),"")</f>
        <v>0</v>
      </c>
      <c r="AU47" s="39"/>
      <c r="AV47" s="72">
        <f t="shared" si="6"/>
        <v>0</v>
      </c>
      <c r="AW47" s="72">
        <f t="shared" si="21"/>
        <v>0</v>
      </c>
      <c r="AX47" s="39"/>
      <c r="AY47" s="40">
        <f>IF(ISERROR(IF($K47&lt;=$F$15,VLOOKUP($I47,'表4）CO2価格'!$A$7:$E$67,VLOOKUP($F$48,'表4）CO2価格'!$H$10:$I$12,2,0),0)*$F$8/1000,"")),0,IF($K47&lt;=$F$15,VLOOKUP($I47,'表4）CO2価格'!$A$7:$E$67,VLOOKUP($F$48,'表4）CO2価格'!$H$10:$I$12,2,0),0)*$F$8/1000,""))</f>
        <v>0</v>
      </c>
      <c r="AZ47" s="39"/>
      <c r="BA47" s="42">
        <f t="shared" si="7"/>
        <v>0</v>
      </c>
      <c r="BB47" s="72">
        <f t="shared" si="22"/>
        <v>0</v>
      </c>
      <c r="BC47" s="39"/>
      <c r="BD47" s="72">
        <f t="shared" si="8"/>
        <v>0</v>
      </c>
      <c r="BE47" s="72">
        <f t="shared" si="23"/>
        <v>0</v>
      </c>
      <c r="BF47" s="39"/>
      <c r="BG47" s="42">
        <f t="shared" si="9"/>
        <v>0</v>
      </c>
      <c r="BH47" s="72">
        <f t="shared" si="24"/>
        <v>0</v>
      </c>
      <c r="BI47" s="39"/>
      <c r="BJ47" s="40" t="str">
        <f t="shared" si="25"/>
        <v/>
      </c>
      <c r="BK47" s="157" t="str">
        <f t="shared" si="26"/>
        <v/>
      </c>
      <c r="BL47" s="157" t="str">
        <f t="shared" si="10"/>
        <v/>
      </c>
      <c r="BM47" s="72"/>
      <c r="BN47" s="72" t="str">
        <f t="shared" si="27"/>
        <v/>
      </c>
      <c r="BO47" s="72" t="str">
        <f t="shared" si="28"/>
        <v/>
      </c>
      <c r="BP47" s="39"/>
      <c r="BQ47" s="72">
        <f t="shared" si="11"/>
        <v>26174880</v>
      </c>
      <c r="BR47" s="72">
        <f t="shared" si="29"/>
        <v>9868616.7651368733</v>
      </c>
    </row>
    <row r="48" spans="3:70" x14ac:dyDescent="0.15">
      <c r="D48" s="84" t="s">
        <v>578</v>
      </c>
      <c r="F48" s="474"/>
      <c r="I48" s="322">
        <f t="shared" si="30"/>
        <v>2063</v>
      </c>
      <c r="K48" s="71">
        <f t="shared" si="31"/>
        <v>34</v>
      </c>
      <c r="M48" s="7">
        <f t="shared" si="0"/>
        <v>0.36604489974263904</v>
      </c>
      <c r="O48" s="10">
        <f t="shared" si="12"/>
        <v>0</v>
      </c>
      <c r="P48" s="29" t="str">
        <f t="shared" si="1"/>
        <v>-</v>
      </c>
      <c r="R48" s="10">
        <f t="shared" si="13"/>
        <v>153750000</v>
      </c>
      <c r="T48" s="10">
        <f t="shared" si="14"/>
        <v>153750000</v>
      </c>
      <c r="V48" s="10">
        <f t="shared" si="2"/>
        <v>0</v>
      </c>
      <c r="W48" s="10">
        <f t="shared" si="15"/>
        <v>0</v>
      </c>
      <c r="Y48" s="10">
        <f t="shared" si="3"/>
        <v>2152500</v>
      </c>
      <c r="Z48" s="10">
        <f t="shared" si="16"/>
        <v>787911.64669603051</v>
      </c>
      <c r="AB48" s="10">
        <f t="shared" si="4"/>
        <v>0</v>
      </c>
      <c r="AC48" s="10">
        <f t="shared" si="17"/>
        <v>0</v>
      </c>
      <c r="AE48" s="10">
        <f t="shared" si="5"/>
        <v>0</v>
      </c>
      <c r="AF48" s="10">
        <f t="shared" si="18"/>
        <v>0</v>
      </c>
      <c r="AH48" s="679">
        <f t="shared" si="19"/>
        <v>77500000</v>
      </c>
      <c r="AI48" s="10">
        <f t="shared" si="20"/>
        <v>28368479.730054524</v>
      </c>
      <c r="AK48" s="10"/>
      <c r="AL48" s="10"/>
      <c r="AN48" s="10"/>
      <c r="AO48" s="10"/>
      <c r="AQ48" s="10"/>
      <c r="AR48" s="10"/>
      <c r="AT48" s="7">
        <f>IF($K48&lt;=$F$15,IF($F$40&lt;&gt;"",$F$40/1000,IF(ISERROR(VLOOKUP($F$3&amp;IF($G$4&lt;&gt;"",$G$4,"")&amp;IF($F$43&lt;&gt;"","_"&amp;$F$43,""),'表3）燃料価格'!$AF$9:$AG$25,2,0)),0,VLOOKUP($I48,'表3）燃料価格'!$A$6:$U$66,VLOOKUP($F$3&amp;IF($G$4&lt;&gt;"",$G$4,"")&amp;IF($F$43&lt;&gt;"","_"&amp;$F$43,""),'表3）燃料価格'!$AF$9:$AG$25,2,0)+VLOOKUP($F$41,'表3）燃料価格'!$AF$28:$AG$29,2,0),0)*IF($F$43="需要地価格",1,$F$8/$F$141))),"")</f>
        <v>0</v>
      </c>
      <c r="AV48" s="10">
        <f t="shared" si="6"/>
        <v>0</v>
      </c>
      <c r="AW48" s="10">
        <f t="shared" si="21"/>
        <v>0</v>
      </c>
      <c r="AY48" s="7">
        <f>IF(ISERROR(IF($K48&lt;=$F$15,VLOOKUP($I48,'表4）CO2価格'!$A$7:$E$67,VLOOKUP($F$48,'表4）CO2価格'!$H$10:$I$12,2,0),0)*$F$8/1000,"")),0,IF($K48&lt;=$F$15,VLOOKUP($I48,'表4）CO2価格'!$A$7:$E$67,VLOOKUP($F$48,'表4）CO2価格'!$H$10:$I$12,2,0),0)*$F$8/1000,""))</f>
        <v>0</v>
      </c>
      <c r="BA48" s="11">
        <f t="shared" si="7"/>
        <v>0</v>
      </c>
      <c r="BB48" s="10">
        <f t="shared" si="22"/>
        <v>0</v>
      </c>
      <c r="BD48" s="10">
        <f t="shared" si="8"/>
        <v>0</v>
      </c>
      <c r="BE48" s="10">
        <f t="shared" si="23"/>
        <v>0</v>
      </c>
      <c r="BG48" s="11">
        <f t="shared" si="9"/>
        <v>0</v>
      </c>
      <c r="BH48" s="10">
        <f t="shared" si="24"/>
        <v>0</v>
      </c>
      <c r="BJ48" s="7" t="str">
        <f t="shared" si="25"/>
        <v/>
      </c>
      <c r="BK48" s="158" t="str">
        <f t="shared" si="26"/>
        <v/>
      </c>
      <c r="BL48" s="158" t="str">
        <f t="shared" si="10"/>
        <v/>
      </c>
      <c r="BM48" s="10"/>
      <c r="BN48" s="10" t="str">
        <f t="shared" si="27"/>
        <v/>
      </c>
      <c r="BO48" s="10" t="str">
        <f t="shared" si="28"/>
        <v/>
      </c>
      <c r="BQ48" s="10">
        <f t="shared" si="11"/>
        <v>26174880</v>
      </c>
      <c r="BR48" s="10">
        <f t="shared" si="29"/>
        <v>9581181.3253756072</v>
      </c>
    </row>
    <row r="49" spans="3:70" x14ac:dyDescent="0.15">
      <c r="I49" s="38">
        <f t="shared" si="30"/>
        <v>2064</v>
      </c>
      <c r="J49" s="39"/>
      <c r="K49" s="39">
        <f t="shared" si="31"/>
        <v>35</v>
      </c>
      <c r="L49" s="39"/>
      <c r="M49" s="40">
        <f t="shared" si="0"/>
        <v>0.35538339780838735</v>
      </c>
      <c r="N49" s="39"/>
      <c r="O49" s="72">
        <f t="shared" si="12"/>
        <v>0</v>
      </c>
      <c r="P49" s="41" t="str">
        <f t="shared" si="1"/>
        <v>-</v>
      </c>
      <c r="Q49" s="39"/>
      <c r="R49" s="72">
        <f t="shared" si="13"/>
        <v>153750000</v>
      </c>
      <c r="S49" s="39"/>
      <c r="T49" s="72">
        <f t="shared" si="14"/>
        <v>153750000</v>
      </c>
      <c r="U49" s="39"/>
      <c r="V49" s="72">
        <f t="shared" si="2"/>
        <v>0</v>
      </c>
      <c r="W49" s="72">
        <f t="shared" si="15"/>
        <v>0</v>
      </c>
      <c r="X49" s="39"/>
      <c r="Y49" s="72">
        <f t="shared" si="3"/>
        <v>2152500</v>
      </c>
      <c r="Z49" s="72">
        <f t="shared" si="16"/>
        <v>764962.76378255372</v>
      </c>
      <c r="AA49" s="39"/>
      <c r="AB49" s="72">
        <f t="shared" si="4"/>
        <v>0</v>
      </c>
      <c r="AC49" s="72">
        <f t="shared" si="17"/>
        <v>0</v>
      </c>
      <c r="AD49" s="39"/>
      <c r="AE49" s="72">
        <f t="shared" si="5"/>
        <v>0</v>
      </c>
      <c r="AF49" s="72">
        <f t="shared" si="18"/>
        <v>0</v>
      </c>
      <c r="AG49" s="39"/>
      <c r="AH49" s="72">
        <f t="shared" si="19"/>
        <v>77500000</v>
      </c>
      <c r="AI49" s="72">
        <f t="shared" si="20"/>
        <v>27542213.330150019</v>
      </c>
      <c r="AJ49" s="39"/>
      <c r="AK49" s="72"/>
      <c r="AL49" s="72"/>
      <c r="AM49" s="39"/>
      <c r="AN49" s="72"/>
      <c r="AO49" s="72"/>
      <c r="AP49" s="39"/>
      <c r="AQ49" s="72"/>
      <c r="AR49" s="72"/>
      <c r="AS49" s="39"/>
      <c r="AT49" s="40">
        <f>IF($K49&lt;=$F$15,IF($F$40&lt;&gt;"",$F$40/1000,IF(ISERROR(VLOOKUP($F$3&amp;IF($G$4&lt;&gt;"",$G$4,"")&amp;IF($F$43&lt;&gt;"","_"&amp;$F$43,""),'表3）燃料価格'!$AF$9:$AG$25,2,0)),0,VLOOKUP($I49,'表3）燃料価格'!$A$6:$U$66,VLOOKUP($F$3&amp;IF($G$4&lt;&gt;"",$G$4,"")&amp;IF($F$43&lt;&gt;"","_"&amp;$F$43,""),'表3）燃料価格'!$AF$9:$AG$25,2,0)+VLOOKUP($F$41,'表3）燃料価格'!$AF$28:$AG$29,2,0),0)*IF($F$43="需要地価格",1,$F$8/$F$141))),"")</f>
        <v>0</v>
      </c>
      <c r="AU49" s="39"/>
      <c r="AV49" s="72">
        <f t="shared" si="6"/>
        <v>0</v>
      </c>
      <c r="AW49" s="72">
        <f t="shared" si="21"/>
        <v>0</v>
      </c>
      <c r="AX49" s="39"/>
      <c r="AY49" s="40">
        <f>IF(ISERROR(IF($K49&lt;=$F$15,VLOOKUP($I49,'表4）CO2価格'!$A$7:$E$67,VLOOKUP($F$48,'表4）CO2価格'!$H$10:$I$12,2,0),0)*$F$8/1000,"")),0,IF($K49&lt;=$F$15,VLOOKUP($I49,'表4）CO2価格'!$A$7:$E$67,VLOOKUP($F$48,'表4）CO2価格'!$H$10:$I$12,2,0),0)*$F$8/1000,""))</f>
        <v>0</v>
      </c>
      <c r="AZ49" s="39"/>
      <c r="BA49" s="42">
        <f t="shared" si="7"/>
        <v>0</v>
      </c>
      <c r="BB49" s="72">
        <f t="shared" si="22"/>
        <v>0</v>
      </c>
      <c r="BC49" s="39"/>
      <c r="BD49" s="72">
        <f t="shared" si="8"/>
        <v>0</v>
      </c>
      <c r="BE49" s="72">
        <f t="shared" si="23"/>
        <v>0</v>
      </c>
      <c r="BF49" s="39"/>
      <c r="BG49" s="42">
        <f t="shared" si="9"/>
        <v>0</v>
      </c>
      <c r="BH49" s="72">
        <f t="shared" si="24"/>
        <v>0</v>
      </c>
      <c r="BI49" s="39"/>
      <c r="BJ49" s="40" t="str">
        <f t="shared" si="25"/>
        <v/>
      </c>
      <c r="BK49" s="157" t="str">
        <f t="shared" si="26"/>
        <v/>
      </c>
      <c r="BL49" s="157" t="str">
        <f t="shared" si="10"/>
        <v/>
      </c>
      <c r="BM49" s="72"/>
      <c r="BN49" s="72" t="str">
        <f t="shared" si="27"/>
        <v/>
      </c>
      <c r="BO49" s="72" t="str">
        <f t="shared" si="28"/>
        <v/>
      </c>
      <c r="BP49" s="39"/>
      <c r="BQ49" s="72">
        <f t="shared" si="11"/>
        <v>26174880</v>
      </c>
      <c r="BR49" s="72">
        <f t="shared" si="29"/>
        <v>9302117.7916268017</v>
      </c>
    </row>
    <row r="50" spans="3:70" x14ac:dyDescent="0.15">
      <c r="C50" s="4" t="s">
        <v>579</v>
      </c>
      <c r="D50" s="100"/>
      <c r="E50" s="100"/>
      <c r="F50" s="4"/>
      <c r="G50" s="100"/>
      <c r="I50" s="322">
        <f t="shared" si="30"/>
        <v>2065</v>
      </c>
      <c r="K50" s="71">
        <f t="shared" si="31"/>
        <v>36</v>
      </c>
      <c r="M50" s="7">
        <f t="shared" si="0"/>
        <v>0.34503242505668674</v>
      </c>
      <c r="O50" s="10">
        <f t="shared" si="12"/>
        <v>0</v>
      </c>
      <c r="P50" s="29" t="str">
        <f t="shared" si="1"/>
        <v>-</v>
      </c>
      <c r="R50" s="10">
        <f t="shared" si="13"/>
        <v>153750000</v>
      </c>
      <c r="T50" s="10">
        <f t="shared" si="14"/>
        <v>153750000</v>
      </c>
      <c r="V50" s="10">
        <f t="shared" si="2"/>
        <v>0</v>
      </c>
      <c r="W50" s="10">
        <f t="shared" si="15"/>
        <v>0</v>
      </c>
      <c r="Y50" s="10">
        <f t="shared" si="3"/>
        <v>2152500</v>
      </c>
      <c r="Z50" s="10">
        <f t="shared" si="16"/>
        <v>742682.29493451817</v>
      </c>
      <c r="AB50" s="10">
        <f t="shared" si="4"/>
        <v>0</v>
      </c>
      <c r="AC50" s="10">
        <f t="shared" si="17"/>
        <v>0</v>
      </c>
      <c r="AE50" s="10">
        <f t="shared" si="5"/>
        <v>0</v>
      </c>
      <c r="AF50" s="10">
        <f t="shared" si="18"/>
        <v>0</v>
      </c>
      <c r="AH50" s="679">
        <f t="shared" si="19"/>
        <v>77500000</v>
      </c>
      <c r="AI50" s="10">
        <f t="shared" si="20"/>
        <v>26740012.941893224</v>
      </c>
      <c r="AK50" s="10"/>
      <c r="AL50" s="10"/>
      <c r="AN50" s="10"/>
      <c r="AO50" s="10"/>
      <c r="AQ50" s="10"/>
      <c r="AR50" s="10"/>
      <c r="AT50" s="7">
        <f>IF($K50&lt;=$F$15,IF($F$40&lt;&gt;"",$F$40/1000,IF(ISERROR(VLOOKUP($F$3&amp;IF($G$4&lt;&gt;"",$G$4,"")&amp;IF($F$43&lt;&gt;"","_"&amp;$F$43,""),'表3）燃料価格'!$AF$9:$AG$25,2,0)),0,VLOOKUP($I50,'表3）燃料価格'!$A$6:$U$66,VLOOKUP($F$3&amp;IF($G$4&lt;&gt;"",$G$4,"")&amp;IF($F$43&lt;&gt;"","_"&amp;$F$43,""),'表3）燃料価格'!$AF$9:$AG$25,2,0)+VLOOKUP($F$41,'表3）燃料価格'!$AF$28:$AG$29,2,0),0)*IF($F$43="需要地価格",1,$F$8/$F$141))),"")</f>
        <v>0</v>
      </c>
      <c r="AV50" s="10">
        <f t="shared" si="6"/>
        <v>0</v>
      </c>
      <c r="AW50" s="10">
        <f t="shared" si="21"/>
        <v>0</v>
      </c>
      <c r="AY50" s="7">
        <f>IF(ISERROR(IF($K50&lt;=$F$15,VLOOKUP($I50,'表4）CO2価格'!$A$7:$E$67,VLOOKUP($F$48,'表4）CO2価格'!$H$10:$I$12,2,0),0)*$F$8/1000,"")),0,IF($K50&lt;=$F$15,VLOOKUP($I50,'表4）CO2価格'!$A$7:$E$67,VLOOKUP($F$48,'表4）CO2価格'!$H$10:$I$12,2,0),0)*$F$8/1000,""))</f>
        <v>0</v>
      </c>
      <c r="BA50" s="11">
        <f t="shared" si="7"/>
        <v>0</v>
      </c>
      <c r="BB50" s="10">
        <f t="shared" si="22"/>
        <v>0</v>
      </c>
      <c r="BD50" s="10">
        <f t="shared" si="8"/>
        <v>0</v>
      </c>
      <c r="BE50" s="10">
        <f t="shared" si="23"/>
        <v>0</v>
      </c>
      <c r="BG50" s="11">
        <f t="shared" si="9"/>
        <v>0</v>
      </c>
      <c r="BH50" s="10">
        <f t="shared" si="24"/>
        <v>0</v>
      </c>
      <c r="BJ50" s="7" t="str">
        <f t="shared" si="25"/>
        <v/>
      </c>
      <c r="BK50" s="158" t="str">
        <f t="shared" si="26"/>
        <v/>
      </c>
      <c r="BL50" s="158" t="str">
        <f t="shared" si="10"/>
        <v/>
      </c>
      <c r="BM50" s="10"/>
      <c r="BN50" s="10" t="str">
        <f t="shared" si="27"/>
        <v/>
      </c>
      <c r="BO50" s="10" t="str">
        <f t="shared" si="28"/>
        <v/>
      </c>
      <c r="BQ50" s="10">
        <f t="shared" si="11"/>
        <v>26174880</v>
      </c>
      <c r="BR50" s="10">
        <f t="shared" si="29"/>
        <v>9031182.3219677694</v>
      </c>
    </row>
    <row r="51" spans="3:70" x14ac:dyDescent="0.15">
      <c r="I51" s="38">
        <f t="shared" si="30"/>
        <v>2066</v>
      </c>
      <c r="J51" s="39"/>
      <c r="K51" s="39">
        <f t="shared" si="31"/>
        <v>37</v>
      </c>
      <c r="L51" s="39"/>
      <c r="M51" s="40">
        <f t="shared" si="0"/>
        <v>0.33498293694823961</v>
      </c>
      <c r="N51" s="39"/>
      <c r="O51" s="72">
        <f t="shared" si="12"/>
        <v>0</v>
      </c>
      <c r="P51" s="41" t="str">
        <f t="shared" si="1"/>
        <v>-</v>
      </c>
      <c r="Q51" s="39"/>
      <c r="R51" s="72">
        <f t="shared" si="13"/>
        <v>153750000</v>
      </c>
      <c r="S51" s="39"/>
      <c r="T51" s="72">
        <f t="shared" si="14"/>
        <v>153750000</v>
      </c>
      <c r="U51" s="39"/>
      <c r="V51" s="72">
        <f t="shared" si="2"/>
        <v>0</v>
      </c>
      <c r="W51" s="72">
        <f t="shared" si="15"/>
        <v>0</v>
      </c>
      <c r="X51" s="39"/>
      <c r="Y51" s="72">
        <f t="shared" si="3"/>
        <v>2152500</v>
      </c>
      <c r="Z51" s="72">
        <f t="shared" si="16"/>
        <v>721050.77178108576</v>
      </c>
      <c r="AA51" s="39"/>
      <c r="AB51" s="72">
        <f t="shared" si="4"/>
        <v>0</v>
      </c>
      <c r="AC51" s="72">
        <f t="shared" si="17"/>
        <v>0</v>
      </c>
      <c r="AD51" s="39"/>
      <c r="AE51" s="72">
        <f t="shared" si="5"/>
        <v>0</v>
      </c>
      <c r="AF51" s="72">
        <f t="shared" si="18"/>
        <v>0</v>
      </c>
      <c r="AG51" s="39"/>
      <c r="AH51" s="72">
        <f t="shared" si="19"/>
        <v>77500000</v>
      </c>
      <c r="AI51" s="72">
        <f t="shared" si="20"/>
        <v>25961177.61348857</v>
      </c>
      <c r="AJ51" s="39"/>
      <c r="AK51" s="72"/>
      <c r="AL51" s="72"/>
      <c r="AM51" s="39"/>
      <c r="AN51" s="72"/>
      <c r="AO51" s="72"/>
      <c r="AP51" s="39"/>
      <c r="AQ51" s="72"/>
      <c r="AR51" s="72"/>
      <c r="AS51" s="39"/>
      <c r="AT51" s="40">
        <f>IF($K51&lt;=$F$15,IF($F$40&lt;&gt;"",$F$40/1000,IF(ISERROR(VLOOKUP($F$3&amp;IF($G$4&lt;&gt;"",$G$4,"")&amp;IF($F$43&lt;&gt;"","_"&amp;$F$43,""),'表3）燃料価格'!$AF$9:$AG$25,2,0)),0,VLOOKUP($I51,'表3）燃料価格'!$A$6:$U$66,VLOOKUP($F$3&amp;IF($G$4&lt;&gt;"",$G$4,"")&amp;IF($F$43&lt;&gt;"","_"&amp;$F$43,""),'表3）燃料価格'!$AF$9:$AG$25,2,0)+VLOOKUP($F$41,'表3）燃料価格'!$AF$28:$AG$29,2,0),0)*IF($F$43="需要地価格",1,$F$8/$F$141))),"")</f>
        <v>0</v>
      </c>
      <c r="AU51" s="39"/>
      <c r="AV51" s="72">
        <f t="shared" si="6"/>
        <v>0</v>
      </c>
      <c r="AW51" s="72">
        <f t="shared" si="21"/>
        <v>0</v>
      </c>
      <c r="AX51" s="39"/>
      <c r="AY51" s="40">
        <f>IF(ISERROR(IF($K51&lt;=$F$15,VLOOKUP($I51,'表4）CO2価格'!$A$7:$E$67,VLOOKUP($F$48,'表4）CO2価格'!$H$10:$I$12,2,0),0)*$F$8/1000,"")),0,IF($K51&lt;=$F$15,VLOOKUP($I51,'表4）CO2価格'!$A$7:$E$67,VLOOKUP($F$48,'表4）CO2価格'!$H$10:$I$12,2,0),0)*$F$8/1000,""))</f>
        <v>0</v>
      </c>
      <c r="AZ51" s="39"/>
      <c r="BA51" s="42">
        <f t="shared" si="7"/>
        <v>0</v>
      </c>
      <c r="BB51" s="72">
        <f t="shared" si="22"/>
        <v>0</v>
      </c>
      <c r="BC51" s="39"/>
      <c r="BD51" s="72">
        <f t="shared" si="8"/>
        <v>0</v>
      </c>
      <c r="BE51" s="72">
        <f t="shared" si="23"/>
        <v>0</v>
      </c>
      <c r="BF51" s="39"/>
      <c r="BG51" s="42">
        <f t="shared" si="9"/>
        <v>0</v>
      </c>
      <c r="BH51" s="72">
        <f t="shared" si="24"/>
        <v>0</v>
      </c>
      <c r="BI51" s="39"/>
      <c r="BJ51" s="40" t="str">
        <f t="shared" si="25"/>
        <v/>
      </c>
      <c r="BK51" s="157" t="str">
        <f t="shared" si="26"/>
        <v/>
      </c>
      <c r="BL51" s="157" t="str">
        <f t="shared" si="10"/>
        <v/>
      </c>
      <c r="BM51" s="72"/>
      <c r="BN51" s="72" t="str">
        <f t="shared" si="27"/>
        <v/>
      </c>
      <c r="BO51" s="72" t="str">
        <f t="shared" si="28"/>
        <v/>
      </c>
      <c r="BP51" s="39"/>
      <c r="BQ51" s="72">
        <f t="shared" si="11"/>
        <v>26174880</v>
      </c>
      <c r="BR51" s="72">
        <f t="shared" si="29"/>
        <v>8768138.1766677387</v>
      </c>
    </row>
    <row r="52" spans="3:70" x14ac:dyDescent="0.15">
      <c r="D52" s="84" t="s">
        <v>185</v>
      </c>
      <c r="F52" s="478"/>
      <c r="G52" s="84" t="s">
        <v>549</v>
      </c>
      <c r="I52" s="322">
        <f t="shared" si="30"/>
        <v>2067</v>
      </c>
      <c r="K52" s="71">
        <f t="shared" si="31"/>
        <v>38</v>
      </c>
      <c r="M52" s="7">
        <f t="shared" si="0"/>
        <v>0.3252261523769317</v>
      </c>
      <c r="O52" s="10">
        <f t="shared" si="12"/>
        <v>0</v>
      </c>
      <c r="P52" s="29" t="str">
        <f t="shared" si="1"/>
        <v>-</v>
      </c>
      <c r="R52" s="10">
        <f t="shared" si="13"/>
        <v>153750000</v>
      </c>
      <c r="T52" s="10">
        <f t="shared" si="14"/>
        <v>153750000</v>
      </c>
      <c r="V52" s="10">
        <f t="shared" si="2"/>
        <v>0</v>
      </c>
      <c r="W52" s="10">
        <f t="shared" si="15"/>
        <v>0</v>
      </c>
      <c r="Y52" s="10">
        <f t="shared" si="3"/>
        <v>2152500</v>
      </c>
      <c r="Z52" s="10">
        <f t="shared" si="16"/>
        <v>700049.29299134552</v>
      </c>
      <c r="AB52" s="10">
        <f t="shared" si="4"/>
        <v>0</v>
      </c>
      <c r="AC52" s="10">
        <f t="shared" si="17"/>
        <v>0</v>
      </c>
      <c r="AE52" s="10">
        <f t="shared" si="5"/>
        <v>0</v>
      </c>
      <c r="AF52" s="10">
        <f t="shared" si="18"/>
        <v>0</v>
      </c>
      <c r="AH52" s="679">
        <f t="shared" si="19"/>
        <v>77500000</v>
      </c>
      <c r="AI52" s="10">
        <f t="shared" si="20"/>
        <v>25205026.809212208</v>
      </c>
      <c r="AK52" s="10"/>
      <c r="AL52" s="10"/>
      <c r="AN52" s="10"/>
      <c r="AO52" s="10"/>
      <c r="AQ52" s="10"/>
      <c r="AR52" s="10"/>
      <c r="AT52" s="7">
        <f>IF($K52&lt;=$F$15,IF($F$40&lt;&gt;"",$F$40/1000,IF(ISERROR(VLOOKUP($F$3&amp;IF($G$4&lt;&gt;"",$G$4,"")&amp;IF($F$43&lt;&gt;"","_"&amp;$F$43,""),'表3）燃料価格'!$AF$9:$AG$25,2,0)),0,VLOOKUP($I52,'表3）燃料価格'!$A$6:$U$66,VLOOKUP($F$3&amp;IF($G$4&lt;&gt;"",$G$4,"")&amp;IF($F$43&lt;&gt;"","_"&amp;$F$43,""),'表3）燃料価格'!$AF$9:$AG$25,2,0)+VLOOKUP($F$41,'表3）燃料価格'!$AF$28:$AG$29,2,0),0)*IF($F$43="需要地価格",1,$F$8/$F$141))),"")</f>
        <v>0</v>
      </c>
      <c r="AV52" s="10">
        <f t="shared" si="6"/>
        <v>0</v>
      </c>
      <c r="AW52" s="10">
        <f t="shared" si="21"/>
        <v>0</v>
      </c>
      <c r="AY52" s="7">
        <f>IF(ISERROR(IF($K52&lt;=$F$15,VLOOKUP($I52,'表4）CO2価格'!$A$7:$E$67,VLOOKUP($F$48,'表4）CO2価格'!$H$10:$I$12,2,0),0)*$F$8/1000,"")),0,IF($K52&lt;=$F$15,VLOOKUP($I52,'表4）CO2価格'!$A$7:$E$67,VLOOKUP($F$48,'表4）CO2価格'!$H$10:$I$12,2,0),0)*$F$8/1000,""))</f>
        <v>0</v>
      </c>
      <c r="BA52" s="11">
        <f t="shared" si="7"/>
        <v>0</v>
      </c>
      <c r="BB52" s="10">
        <f t="shared" si="22"/>
        <v>0</v>
      </c>
      <c r="BD52" s="10">
        <f t="shared" si="8"/>
        <v>0</v>
      </c>
      <c r="BE52" s="10">
        <f t="shared" si="23"/>
        <v>0</v>
      </c>
      <c r="BG52" s="11">
        <f t="shared" si="9"/>
        <v>0</v>
      </c>
      <c r="BH52" s="10">
        <f t="shared" si="24"/>
        <v>0</v>
      </c>
      <c r="BJ52" s="7" t="str">
        <f t="shared" si="25"/>
        <v/>
      </c>
      <c r="BK52" s="158" t="str">
        <f t="shared" si="26"/>
        <v/>
      </c>
      <c r="BL52" s="158" t="str">
        <f t="shared" si="10"/>
        <v/>
      </c>
      <c r="BM52" s="10"/>
      <c r="BN52" s="10" t="str">
        <f t="shared" si="27"/>
        <v/>
      </c>
      <c r="BO52" s="10" t="str">
        <f t="shared" si="28"/>
        <v/>
      </c>
      <c r="BQ52" s="10">
        <f t="shared" si="11"/>
        <v>26174880</v>
      </c>
      <c r="BR52" s="10">
        <f t="shared" si="29"/>
        <v>8512755.5113279019</v>
      </c>
    </row>
    <row r="53" spans="3:70" x14ac:dyDescent="0.15">
      <c r="D53" s="84" t="s">
        <v>580</v>
      </c>
      <c r="F53" s="475"/>
      <c r="G53" s="84" t="s">
        <v>549</v>
      </c>
      <c r="I53" s="38">
        <f t="shared" si="30"/>
        <v>2068</v>
      </c>
      <c r="J53" s="39"/>
      <c r="K53" s="39">
        <f t="shared" si="31"/>
        <v>39</v>
      </c>
      <c r="L53" s="39"/>
      <c r="M53" s="40">
        <f t="shared" si="0"/>
        <v>0.31575354599702099</v>
      </c>
      <c r="N53" s="39"/>
      <c r="O53" s="72">
        <f t="shared" si="12"/>
        <v>0</v>
      </c>
      <c r="P53" s="41" t="str">
        <f t="shared" si="1"/>
        <v>-</v>
      </c>
      <c r="Q53" s="39"/>
      <c r="R53" s="72">
        <f t="shared" si="13"/>
        <v>153750000</v>
      </c>
      <c r="S53" s="39"/>
      <c r="T53" s="72">
        <f t="shared" si="14"/>
        <v>153750000</v>
      </c>
      <c r="U53" s="39"/>
      <c r="V53" s="72">
        <f t="shared" si="2"/>
        <v>0</v>
      </c>
      <c r="W53" s="72">
        <f t="shared" si="15"/>
        <v>0</v>
      </c>
      <c r="X53" s="39"/>
      <c r="Y53" s="72">
        <f t="shared" si="3"/>
        <v>2152500</v>
      </c>
      <c r="Z53" s="72">
        <f t="shared" si="16"/>
        <v>679659.50775858772</v>
      </c>
      <c r="AA53" s="39"/>
      <c r="AB53" s="72">
        <f t="shared" si="4"/>
        <v>0</v>
      </c>
      <c r="AC53" s="72">
        <f t="shared" si="17"/>
        <v>0</v>
      </c>
      <c r="AD53" s="39"/>
      <c r="AE53" s="72">
        <f t="shared" si="5"/>
        <v>0</v>
      </c>
      <c r="AF53" s="72">
        <f t="shared" si="18"/>
        <v>0</v>
      </c>
      <c r="AG53" s="39"/>
      <c r="AH53" s="72">
        <f t="shared" si="19"/>
        <v>77500000</v>
      </c>
      <c r="AI53" s="72">
        <f t="shared" si="20"/>
        <v>24470899.814769126</v>
      </c>
      <c r="AJ53" s="39"/>
      <c r="AK53" s="72"/>
      <c r="AL53" s="72"/>
      <c r="AM53" s="39"/>
      <c r="AN53" s="72"/>
      <c r="AO53" s="72"/>
      <c r="AP53" s="39"/>
      <c r="AQ53" s="72"/>
      <c r="AR53" s="72"/>
      <c r="AS53" s="39"/>
      <c r="AT53" s="40">
        <f>IF($K53&lt;=$F$15,IF($F$40&lt;&gt;"",$F$40/1000,IF(ISERROR(VLOOKUP($F$3&amp;IF($G$4&lt;&gt;"",$G$4,"")&amp;IF($F$43&lt;&gt;"","_"&amp;$F$43,""),'表3）燃料価格'!$AF$9:$AG$25,2,0)),0,VLOOKUP($I53,'表3）燃料価格'!$A$6:$U$66,VLOOKUP($F$3&amp;IF($G$4&lt;&gt;"",$G$4,"")&amp;IF($F$43&lt;&gt;"","_"&amp;$F$43,""),'表3）燃料価格'!$AF$9:$AG$25,2,0)+VLOOKUP($F$41,'表3）燃料価格'!$AF$28:$AG$29,2,0),0)*IF($F$43="需要地価格",1,$F$8/$F$141))),"")</f>
        <v>0</v>
      </c>
      <c r="AU53" s="39"/>
      <c r="AV53" s="72">
        <f t="shared" si="6"/>
        <v>0</v>
      </c>
      <c r="AW53" s="72">
        <f t="shared" si="21"/>
        <v>0</v>
      </c>
      <c r="AX53" s="39"/>
      <c r="AY53" s="40">
        <f>IF(ISERROR(IF($K53&lt;=$F$15,VLOOKUP($I53,'表4）CO2価格'!$A$7:$E$67,VLOOKUP($F$48,'表4）CO2価格'!$H$10:$I$12,2,0),0)*$F$8/1000,"")),0,IF($K53&lt;=$F$15,VLOOKUP($I53,'表4）CO2価格'!$A$7:$E$67,VLOOKUP($F$48,'表4）CO2価格'!$H$10:$I$12,2,0),0)*$F$8/1000,""))</f>
        <v>0</v>
      </c>
      <c r="AZ53" s="39"/>
      <c r="BA53" s="42">
        <f t="shared" si="7"/>
        <v>0</v>
      </c>
      <c r="BB53" s="72">
        <f t="shared" si="22"/>
        <v>0</v>
      </c>
      <c r="BC53" s="39"/>
      <c r="BD53" s="72">
        <f t="shared" si="8"/>
        <v>0</v>
      </c>
      <c r="BE53" s="72">
        <f t="shared" si="23"/>
        <v>0</v>
      </c>
      <c r="BF53" s="39"/>
      <c r="BG53" s="42">
        <f t="shared" si="9"/>
        <v>0</v>
      </c>
      <c r="BH53" s="72">
        <f t="shared" si="24"/>
        <v>0</v>
      </c>
      <c r="BI53" s="39"/>
      <c r="BJ53" s="40" t="str">
        <f t="shared" si="25"/>
        <v/>
      </c>
      <c r="BK53" s="157" t="str">
        <f t="shared" si="26"/>
        <v/>
      </c>
      <c r="BL53" s="157" t="str">
        <f t="shared" si="10"/>
        <v/>
      </c>
      <c r="BM53" s="72"/>
      <c r="BN53" s="72" t="str">
        <f t="shared" si="27"/>
        <v/>
      </c>
      <c r="BO53" s="72" t="str">
        <f t="shared" si="28"/>
        <v/>
      </c>
      <c r="BP53" s="39"/>
      <c r="BQ53" s="72">
        <f t="shared" si="11"/>
        <v>26174880</v>
      </c>
      <c r="BR53" s="72">
        <f t="shared" si="29"/>
        <v>8264811.1760465046</v>
      </c>
    </row>
    <row r="54" spans="3:70" x14ac:dyDescent="0.15">
      <c r="D54" s="84" t="s">
        <v>581</v>
      </c>
      <c r="F54" s="475"/>
      <c r="G54" s="84" t="s">
        <v>549</v>
      </c>
      <c r="I54" s="322">
        <f t="shared" si="30"/>
        <v>2069</v>
      </c>
      <c r="K54" s="71">
        <f t="shared" si="31"/>
        <v>40</v>
      </c>
      <c r="M54" s="7">
        <f t="shared" si="0"/>
        <v>0.30655684077380685</v>
      </c>
      <c r="O54" s="10">
        <f t="shared" si="12"/>
        <v>0</v>
      </c>
      <c r="P54" s="29" t="str">
        <f t="shared" si="1"/>
        <v>-</v>
      </c>
      <c r="R54" s="10">
        <f t="shared" si="13"/>
        <v>153750000</v>
      </c>
      <c r="T54" s="10">
        <f t="shared" si="14"/>
        <v>153750000</v>
      </c>
      <c r="V54" s="10">
        <f t="shared" si="2"/>
        <v>0</v>
      </c>
      <c r="W54" s="10">
        <f t="shared" si="15"/>
        <v>0</v>
      </c>
      <c r="Y54" s="10">
        <f t="shared" si="3"/>
        <v>2152500</v>
      </c>
      <c r="Z54" s="10">
        <f t="shared" si="16"/>
        <v>659863.59976561926</v>
      </c>
      <c r="AB54" s="10">
        <f t="shared" si="4"/>
        <v>0</v>
      </c>
      <c r="AC54" s="10">
        <f t="shared" si="17"/>
        <v>0</v>
      </c>
      <c r="AE54" s="10">
        <f t="shared" si="5"/>
        <v>0</v>
      </c>
      <c r="AF54" s="10">
        <f t="shared" si="18"/>
        <v>0</v>
      </c>
      <c r="AH54" s="679">
        <f t="shared" si="19"/>
        <v>77500000</v>
      </c>
      <c r="AI54" s="10">
        <f t="shared" si="20"/>
        <v>23758155.15997003</v>
      </c>
      <c r="AK54" s="10"/>
      <c r="AL54" s="10"/>
      <c r="AN54" s="10"/>
      <c r="AO54" s="10"/>
      <c r="AQ54" s="10"/>
      <c r="AR54" s="10"/>
      <c r="AT54" s="7">
        <f>IF($K54&lt;=$F$15,IF($F$40&lt;&gt;"",$F$40/1000,IF(ISERROR(VLOOKUP($F$3&amp;IF($G$4&lt;&gt;"",$G$4,"")&amp;IF($F$43&lt;&gt;"","_"&amp;$F$43,""),'表3）燃料価格'!$AF$9:$AG$25,2,0)),0,VLOOKUP($I54,'表3）燃料価格'!$A$6:$U$66,VLOOKUP($F$3&amp;IF($G$4&lt;&gt;"",$G$4,"")&amp;IF($F$43&lt;&gt;"","_"&amp;$F$43,""),'表3）燃料価格'!$AF$9:$AG$25,2,0)+VLOOKUP($F$41,'表3）燃料価格'!$AF$28:$AG$29,2,0),0)*IF($F$43="需要地価格",1,$F$8/$F$141))),"")</f>
        <v>0</v>
      </c>
      <c r="AV54" s="10">
        <f t="shared" si="6"/>
        <v>0</v>
      </c>
      <c r="AW54" s="10">
        <f t="shared" si="21"/>
        <v>0</v>
      </c>
      <c r="AY54" s="7">
        <f>IF(ISERROR(IF($K54&lt;=$F$15,VLOOKUP($I54,'表4）CO2価格'!$A$7:$E$67,VLOOKUP($F$48,'表4）CO2価格'!$H$10:$I$12,2,0),0)*$F$8/1000,"")),0,IF($K54&lt;=$F$15,VLOOKUP($I54,'表4）CO2価格'!$A$7:$E$67,VLOOKUP($F$48,'表4）CO2価格'!$H$10:$I$12,2,0),0)*$F$8/1000,""))</f>
        <v>0</v>
      </c>
      <c r="BA54" s="11">
        <f t="shared" si="7"/>
        <v>0</v>
      </c>
      <c r="BB54" s="10">
        <f t="shared" si="22"/>
        <v>0</v>
      </c>
      <c r="BD54" s="10">
        <f t="shared" si="8"/>
        <v>0</v>
      </c>
      <c r="BE54" s="10">
        <f t="shared" si="23"/>
        <v>0</v>
      </c>
      <c r="BG54" s="11">
        <f t="shared" si="9"/>
        <v>0</v>
      </c>
      <c r="BH54" s="10">
        <f t="shared" si="24"/>
        <v>0</v>
      </c>
      <c r="BJ54" s="7" t="str">
        <f t="shared" si="25"/>
        <v/>
      </c>
      <c r="BK54" s="158" t="str">
        <f t="shared" si="26"/>
        <v/>
      </c>
      <c r="BL54" s="158" t="str">
        <f t="shared" si="10"/>
        <v/>
      </c>
      <c r="BM54" s="10"/>
      <c r="BN54" s="10" t="str">
        <f t="shared" si="27"/>
        <v/>
      </c>
      <c r="BO54" s="10" t="str">
        <f t="shared" si="28"/>
        <v/>
      </c>
      <c r="BQ54" s="10">
        <f t="shared" si="11"/>
        <v>26174880</v>
      </c>
      <c r="BR54" s="10">
        <f t="shared" si="29"/>
        <v>8024088.5204335013</v>
      </c>
    </row>
    <row r="55" spans="3:70" ht="16.5" x14ac:dyDescent="0.15">
      <c r="D55" s="84" t="s">
        <v>582</v>
      </c>
      <c r="F55" s="475"/>
      <c r="G55" s="71" t="s">
        <v>561</v>
      </c>
      <c r="I55" s="38">
        <f>I54+1</f>
        <v>2070</v>
      </c>
      <c r="J55" s="39"/>
      <c r="K55" s="39">
        <f>IF(I55&lt;&gt;"",K54+1,"")</f>
        <v>41</v>
      </c>
      <c r="L55" s="39"/>
      <c r="M55" s="40">
        <f t="shared" si="0"/>
        <v>0.29762800075126877</v>
      </c>
      <c r="N55" s="39"/>
      <c r="O55" s="72" t="str">
        <f t="shared" si="12"/>
        <v/>
      </c>
      <c r="P55" s="41" t="str">
        <f t="shared" si="1"/>
        <v/>
      </c>
      <c r="Q55" s="39"/>
      <c r="R55" s="72" t="str">
        <f t="shared" si="13"/>
        <v/>
      </c>
      <c r="S55" s="39"/>
      <c r="T55" s="72" t="str">
        <f t="shared" si="14"/>
        <v/>
      </c>
      <c r="U55" s="39"/>
      <c r="V55" s="72" t="str">
        <f t="shared" si="2"/>
        <v/>
      </c>
      <c r="W55" s="72" t="str">
        <f t="shared" si="15"/>
        <v/>
      </c>
      <c r="X55" s="39"/>
      <c r="Y55" s="72" t="str">
        <f t="shared" si="3"/>
        <v/>
      </c>
      <c r="Z55" s="72" t="str">
        <f t="shared" si="16"/>
        <v/>
      </c>
      <c r="AA55" s="39"/>
      <c r="AB55" s="72">
        <f t="shared" si="4"/>
        <v>153750000</v>
      </c>
      <c r="AC55" s="72">
        <f t="shared" si="17"/>
        <v>45760305.115507573</v>
      </c>
      <c r="AD55" s="39"/>
      <c r="AE55" s="72" t="str">
        <f t="shared" si="5"/>
        <v/>
      </c>
      <c r="AF55" s="72" t="str">
        <f t="shared" si="18"/>
        <v/>
      </c>
      <c r="AG55" s="39"/>
      <c r="AH55" s="72" t="str">
        <f t="shared" ref="AH55:AH78" si="32">IF($K55&lt;=$F$15,$F$33*10^8,"")</f>
        <v/>
      </c>
      <c r="AI55" s="72" t="str">
        <f t="shared" si="20"/>
        <v/>
      </c>
      <c r="AJ55" s="39"/>
      <c r="AK55" s="72" t="str">
        <f t="shared" ref="AK55:AK78" si="33">IF($K55&lt;=$F$15,$F$117*$F$34/100,"")</f>
        <v/>
      </c>
      <c r="AL55" s="72" t="str">
        <f t="shared" ref="AL55:AL79" si="34">IF(ISNUMBER(AK55),AK55*$M55,"")</f>
        <v/>
      </c>
      <c r="AM55" s="39"/>
      <c r="AN55" s="72" t="str">
        <f t="shared" ref="AN55:AN78" si="35">IF($K55&lt;=$F$15,$F$117*$F$35/100,"")</f>
        <v/>
      </c>
      <c r="AO55" s="72" t="str">
        <f t="shared" ref="AO55:AO79" si="36">IF(ISNUMBER(AN55),AN55*$M55,"")</f>
        <v/>
      </c>
      <c r="AP55" s="39"/>
      <c r="AQ55" s="72" t="str">
        <f t="shared" ref="AQ55:AQ78" si="37">IF($K55&lt;=$F$15,SUM(AH55,AK55,AN55)*($F$36/100),"")</f>
        <v/>
      </c>
      <c r="AR55" s="72" t="str">
        <f t="shared" ref="AR55:AR79" si="38">IF(ISNUMBER(AQ55),AQ55*$M55,"")</f>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6"/>
        <v/>
      </c>
      <c r="AW55" s="72" t="str">
        <f t="shared" si="21"/>
        <v/>
      </c>
      <c r="AX55" s="39"/>
      <c r="AY55" s="40" t="str">
        <f>IF(ISERROR(IF($K55&lt;=$F$15,VLOOKUP($I55,'表4）CO2価格'!$A$7:$E$67,VLOOKUP($F$48,'表4）CO2価格'!$H$10:$I$12,2,0),0)*$F$8/1000,"")),0,IF($K55&lt;=$F$15,VLOOKUP($I55,'表4）CO2価格'!$A$7:$E$67,VLOOKUP($F$48,'表4）CO2価格'!$H$10:$I$12,2,0),0)*$F$8/1000,""))</f>
        <v/>
      </c>
      <c r="AZ55" s="39"/>
      <c r="BA55" s="42" t="str">
        <f t="shared" si="7"/>
        <v/>
      </c>
      <c r="BB55" s="72" t="str">
        <f t="shared" si="22"/>
        <v/>
      </c>
      <c r="BC55" s="39"/>
      <c r="BD55" s="72" t="str">
        <f t="shared" si="8"/>
        <v/>
      </c>
      <c r="BE55" s="72" t="str">
        <f t="shared" si="23"/>
        <v/>
      </c>
      <c r="BF55" s="39"/>
      <c r="BG55" s="42" t="str">
        <f t="shared" si="9"/>
        <v/>
      </c>
      <c r="BH55" s="72" t="str">
        <f t="shared" si="24"/>
        <v/>
      </c>
      <c r="BI55" s="39"/>
      <c r="BJ55" s="40" t="str">
        <f t="shared" si="25"/>
        <v/>
      </c>
      <c r="BK55" s="157" t="str">
        <f t="shared" si="26"/>
        <v/>
      </c>
      <c r="BL55" s="157" t="str">
        <f t="shared" si="10"/>
        <v/>
      </c>
      <c r="BM55" s="72"/>
      <c r="BN55" s="72" t="str">
        <f t="shared" si="27"/>
        <v/>
      </c>
      <c r="BO55" s="72" t="str">
        <f t="shared" si="28"/>
        <v/>
      </c>
      <c r="BP55" s="39"/>
      <c r="BQ55" s="72" t="str">
        <f t="shared" si="11"/>
        <v/>
      </c>
      <c r="BR55" s="72" t="str">
        <f t="shared" si="29"/>
        <v/>
      </c>
    </row>
    <row r="56" spans="3:70" x14ac:dyDescent="0.15">
      <c r="D56" s="84" t="s">
        <v>583</v>
      </c>
      <c r="F56" s="481"/>
      <c r="G56" s="84" t="s">
        <v>574</v>
      </c>
      <c r="I56" s="322">
        <f t="shared" si="30"/>
        <v>2071</v>
      </c>
      <c r="K56" s="71">
        <f t="shared" si="31"/>
        <v>42</v>
      </c>
      <c r="M56" s="7">
        <f t="shared" si="0"/>
        <v>0.28895922403035801</v>
      </c>
      <c r="O56" s="10" t="str">
        <f t="shared" si="12"/>
        <v/>
      </c>
      <c r="P56" s="29" t="str">
        <f t="shared" si="1"/>
        <v/>
      </c>
      <c r="R56" s="10" t="str">
        <f t="shared" si="13"/>
        <v/>
      </c>
      <c r="T56" s="10" t="str">
        <f t="shared" si="14"/>
        <v/>
      </c>
      <c r="V56" s="10" t="str">
        <f t="shared" si="2"/>
        <v/>
      </c>
      <c r="W56" s="10" t="str">
        <f t="shared" si="15"/>
        <v/>
      </c>
      <c r="Y56" s="10" t="str">
        <f t="shared" si="3"/>
        <v/>
      </c>
      <c r="Z56" s="10" t="str">
        <f t="shared" si="16"/>
        <v/>
      </c>
      <c r="AB56" s="10" t="str">
        <f t="shared" si="4"/>
        <v/>
      </c>
      <c r="AC56" s="10" t="str">
        <f t="shared" si="17"/>
        <v/>
      </c>
      <c r="AE56" s="10" t="str">
        <f t="shared" si="5"/>
        <v/>
      </c>
      <c r="AF56" s="10" t="str">
        <f t="shared" si="18"/>
        <v/>
      </c>
      <c r="AH56" s="10" t="str">
        <f t="shared" si="32"/>
        <v/>
      </c>
      <c r="AI56" s="10" t="str">
        <f t="shared" si="20"/>
        <v/>
      </c>
      <c r="AK56" s="10" t="str">
        <f t="shared" si="33"/>
        <v/>
      </c>
      <c r="AL56" s="10" t="str">
        <f t="shared" si="34"/>
        <v/>
      </c>
      <c r="AN56" s="10" t="str">
        <f t="shared" si="35"/>
        <v/>
      </c>
      <c r="AO56" s="10" t="str">
        <f t="shared" si="36"/>
        <v/>
      </c>
      <c r="AQ56" s="10" t="str">
        <f t="shared" si="37"/>
        <v/>
      </c>
      <c r="AR56" s="10" t="str">
        <f t="shared" si="38"/>
        <v/>
      </c>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V56" s="10" t="str">
        <f t="shared" si="6"/>
        <v/>
      </c>
      <c r="AW56" s="10" t="str">
        <f t="shared" si="21"/>
        <v/>
      </c>
      <c r="AY56" s="7" t="str">
        <f>IF(ISERROR(IF($K56&lt;=$F$15,VLOOKUP($I56,'表4）CO2価格'!$A$7:$E$67,VLOOKUP($F$48,'表4）CO2価格'!$H$10:$I$12,2,0),0)*$F$8/1000,"")),0,IF($K56&lt;=$F$15,VLOOKUP($I56,'表4）CO2価格'!$A$7:$E$67,VLOOKUP($F$48,'表4）CO2価格'!$H$10:$I$12,2,0),0)*$F$8/1000,""))</f>
        <v/>
      </c>
      <c r="BA56" s="11" t="str">
        <f t="shared" si="7"/>
        <v/>
      </c>
      <c r="BB56" s="10" t="str">
        <f t="shared" si="22"/>
        <v/>
      </c>
      <c r="BD56" s="10" t="str">
        <f t="shared" si="8"/>
        <v/>
      </c>
      <c r="BE56" s="10" t="str">
        <f t="shared" si="23"/>
        <v/>
      </c>
      <c r="BG56" s="11" t="str">
        <f t="shared" si="9"/>
        <v/>
      </c>
      <c r="BH56" s="10" t="str">
        <f t="shared" si="24"/>
        <v/>
      </c>
      <c r="BJ56" s="7" t="str">
        <f t="shared" si="25"/>
        <v/>
      </c>
      <c r="BK56" s="158" t="str">
        <f t="shared" si="26"/>
        <v/>
      </c>
      <c r="BL56" s="158" t="str">
        <f t="shared" si="10"/>
        <v/>
      </c>
      <c r="BM56" s="10"/>
      <c r="BN56" s="10" t="str">
        <f t="shared" si="27"/>
        <v/>
      </c>
      <c r="BO56" s="10" t="str">
        <f t="shared" si="28"/>
        <v/>
      </c>
      <c r="BQ56" s="10" t="str">
        <f t="shared" si="11"/>
        <v/>
      </c>
      <c r="BR56" s="10" t="str">
        <f t="shared" si="29"/>
        <v/>
      </c>
    </row>
    <row r="57" spans="3:70" x14ac:dyDescent="0.15">
      <c r="I57" s="38">
        <f t="shared" si="30"/>
        <v>2072</v>
      </c>
      <c r="J57" s="39"/>
      <c r="K57" s="39">
        <f t="shared" si="31"/>
        <v>43</v>
      </c>
      <c r="L57" s="39"/>
      <c r="M57" s="40">
        <f t="shared" si="0"/>
        <v>0.28054293595180391</v>
      </c>
      <c r="N57" s="39"/>
      <c r="O57" s="72" t="str">
        <f t="shared" si="12"/>
        <v/>
      </c>
      <c r="P57" s="41" t="str">
        <f t="shared" si="1"/>
        <v/>
      </c>
      <c r="Q57" s="39"/>
      <c r="R57" s="72" t="str">
        <f t="shared" si="13"/>
        <v/>
      </c>
      <c r="S57" s="39"/>
      <c r="T57" s="72" t="str">
        <f t="shared" si="14"/>
        <v/>
      </c>
      <c r="U57" s="39"/>
      <c r="V57" s="72" t="str">
        <f t="shared" si="2"/>
        <v/>
      </c>
      <c r="W57" s="72" t="str">
        <f t="shared" si="15"/>
        <v/>
      </c>
      <c r="X57" s="39"/>
      <c r="Y57" s="72" t="str">
        <f t="shared" si="3"/>
        <v/>
      </c>
      <c r="Z57" s="72" t="str">
        <f t="shared" si="16"/>
        <v/>
      </c>
      <c r="AA57" s="39"/>
      <c r="AB57" s="72" t="str">
        <f t="shared" si="4"/>
        <v/>
      </c>
      <c r="AC57" s="72" t="str">
        <f t="shared" si="17"/>
        <v/>
      </c>
      <c r="AD57" s="39"/>
      <c r="AE57" s="72" t="str">
        <f t="shared" si="5"/>
        <v/>
      </c>
      <c r="AF57" s="72" t="str">
        <f t="shared" si="18"/>
        <v/>
      </c>
      <c r="AG57" s="39"/>
      <c r="AH57" s="72" t="str">
        <f t="shared" si="32"/>
        <v/>
      </c>
      <c r="AI57" s="72" t="str">
        <f t="shared" si="20"/>
        <v/>
      </c>
      <c r="AJ57" s="39"/>
      <c r="AK57" s="72" t="str">
        <f t="shared" si="33"/>
        <v/>
      </c>
      <c r="AL57" s="72" t="str">
        <f t="shared" si="34"/>
        <v/>
      </c>
      <c r="AM57" s="39"/>
      <c r="AN57" s="72" t="str">
        <f t="shared" si="35"/>
        <v/>
      </c>
      <c r="AO57" s="72" t="str">
        <f t="shared" si="36"/>
        <v/>
      </c>
      <c r="AP57" s="39"/>
      <c r="AQ57" s="72" t="str">
        <f t="shared" si="37"/>
        <v/>
      </c>
      <c r="AR57" s="72" t="str">
        <f t="shared" si="38"/>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6"/>
        <v/>
      </c>
      <c r="AW57" s="72" t="str">
        <f t="shared" si="21"/>
        <v/>
      </c>
      <c r="AX57" s="39"/>
      <c r="AY57" s="40" t="str">
        <f>IF(ISERROR(IF($K57&lt;=$F$15,VLOOKUP($I57,'表4）CO2価格'!$A$7:$E$67,VLOOKUP($F$48,'表4）CO2価格'!$H$10:$I$12,2,0),0)*$F$8/1000,"")),0,IF($K57&lt;=$F$15,VLOOKUP($I57,'表4）CO2価格'!$A$7:$E$67,VLOOKUP($F$48,'表4）CO2価格'!$H$10:$I$12,2,0),0)*$F$8/1000,""))</f>
        <v/>
      </c>
      <c r="AZ57" s="39"/>
      <c r="BA57" s="42" t="str">
        <f t="shared" si="7"/>
        <v/>
      </c>
      <c r="BB57" s="72" t="str">
        <f t="shared" si="22"/>
        <v/>
      </c>
      <c r="BC57" s="39"/>
      <c r="BD57" s="72" t="str">
        <f t="shared" si="8"/>
        <v/>
      </c>
      <c r="BE57" s="72" t="str">
        <f t="shared" si="23"/>
        <v/>
      </c>
      <c r="BF57" s="39"/>
      <c r="BG57" s="42" t="str">
        <f t="shared" si="9"/>
        <v/>
      </c>
      <c r="BH57" s="72" t="str">
        <f t="shared" si="24"/>
        <v/>
      </c>
      <c r="BI57" s="39"/>
      <c r="BJ57" s="40" t="str">
        <f t="shared" si="25"/>
        <v/>
      </c>
      <c r="BK57" s="157" t="str">
        <f t="shared" si="26"/>
        <v/>
      </c>
      <c r="BL57" s="157" t="str">
        <f t="shared" si="10"/>
        <v/>
      </c>
      <c r="BM57" s="72"/>
      <c r="BN57" s="72" t="str">
        <f t="shared" si="27"/>
        <v/>
      </c>
      <c r="BO57" s="72" t="str">
        <f t="shared" si="28"/>
        <v/>
      </c>
      <c r="BP57" s="39"/>
      <c r="BQ57" s="72" t="str">
        <f t="shared" si="11"/>
        <v/>
      </c>
      <c r="BR57" s="72" t="str">
        <f t="shared" si="29"/>
        <v/>
      </c>
    </row>
    <row r="58" spans="3:70" x14ac:dyDescent="0.15">
      <c r="C58" s="4" t="s">
        <v>584</v>
      </c>
      <c r="D58" s="100"/>
      <c r="E58" s="100"/>
      <c r="F58" s="4"/>
      <c r="G58" s="100"/>
      <c r="I58" s="322">
        <f t="shared" si="30"/>
        <v>2073</v>
      </c>
      <c r="K58" s="71">
        <f t="shared" si="31"/>
        <v>44</v>
      </c>
      <c r="M58" s="7">
        <f t="shared" si="0"/>
        <v>0.27237178247747956</v>
      </c>
      <c r="O58" s="10" t="str">
        <f t="shared" si="12"/>
        <v/>
      </c>
      <c r="P58" s="29" t="str">
        <f t="shared" si="1"/>
        <v/>
      </c>
      <c r="R58" s="10" t="str">
        <f t="shared" si="13"/>
        <v/>
      </c>
      <c r="T58" s="10" t="str">
        <f t="shared" si="14"/>
        <v/>
      </c>
      <c r="V58" s="10" t="str">
        <f t="shared" si="2"/>
        <v/>
      </c>
      <c r="W58" s="10" t="str">
        <f t="shared" si="15"/>
        <v/>
      </c>
      <c r="Y58" s="10" t="str">
        <f t="shared" si="3"/>
        <v/>
      </c>
      <c r="Z58" s="10" t="str">
        <f t="shared" si="16"/>
        <v/>
      </c>
      <c r="AB58" s="10" t="str">
        <f t="shared" si="4"/>
        <v/>
      </c>
      <c r="AC58" s="10" t="str">
        <f t="shared" si="17"/>
        <v/>
      </c>
      <c r="AE58" s="10" t="str">
        <f t="shared" si="5"/>
        <v/>
      </c>
      <c r="AF58" s="10" t="str">
        <f t="shared" si="18"/>
        <v/>
      </c>
      <c r="AH58" s="10" t="str">
        <f t="shared" si="32"/>
        <v/>
      </c>
      <c r="AI58" s="10" t="str">
        <f t="shared" si="20"/>
        <v/>
      </c>
      <c r="AK58" s="10" t="str">
        <f t="shared" si="33"/>
        <v/>
      </c>
      <c r="AL58" s="10" t="str">
        <f t="shared" si="34"/>
        <v/>
      </c>
      <c r="AN58" s="10" t="str">
        <f t="shared" si="35"/>
        <v/>
      </c>
      <c r="AO58" s="10" t="str">
        <f t="shared" si="36"/>
        <v/>
      </c>
      <c r="AQ58" s="10" t="str">
        <f t="shared" si="37"/>
        <v/>
      </c>
      <c r="AR58" s="10" t="str">
        <f t="shared" si="38"/>
        <v/>
      </c>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V58" s="10" t="str">
        <f t="shared" si="6"/>
        <v/>
      </c>
      <c r="AW58" s="10" t="str">
        <f t="shared" si="21"/>
        <v/>
      </c>
      <c r="AY58" s="7" t="str">
        <f>IF(ISERROR(IF($K58&lt;=$F$15,VLOOKUP($I58,'表4）CO2価格'!$A$7:$E$67,VLOOKUP($F$48,'表4）CO2価格'!$H$10:$I$12,2,0),0)*$F$8/1000,"")),0,IF($K58&lt;=$F$15,VLOOKUP($I58,'表4）CO2価格'!$A$7:$E$67,VLOOKUP($F$48,'表4）CO2価格'!$H$10:$I$12,2,0),0)*$F$8/1000,""))</f>
        <v/>
      </c>
      <c r="BA58" s="11" t="str">
        <f t="shared" si="7"/>
        <v/>
      </c>
      <c r="BB58" s="10" t="str">
        <f t="shared" si="22"/>
        <v/>
      </c>
      <c r="BD58" s="10" t="str">
        <f t="shared" si="8"/>
        <v/>
      </c>
      <c r="BE58" s="10" t="str">
        <f t="shared" si="23"/>
        <v/>
      </c>
      <c r="BG58" s="11" t="str">
        <f t="shared" si="9"/>
        <v/>
      </c>
      <c r="BH58" s="10" t="str">
        <f t="shared" si="24"/>
        <v/>
      </c>
      <c r="BJ58" s="7" t="str">
        <f t="shared" si="25"/>
        <v/>
      </c>
      <c r="BK58" s="158" t="str">
        <f t="shared" si="26"/>
        <v/>
      </c>
      <c r="BL58" s="158" t="str">
        <f t="shared" si="10"/>
        <v/>
      </c>
      <c r="BM58" s="10"/>
      <c r="BN58" s="10" t="str">
        <f t="shared" si="27"/>
        <v/>
      </c>
      <c r="BO58" s="10" t="str">
        <f t="shared" si="28"/>
        <v/>
      </c>
      <c r="BQ58" s="10" t="str">
        <f t="shared" si="11"/>
        <v/>
      </c>
      <c r="BR58" s="10" t="str">
        <f t="shared" si="29"/>
        <v/>
      </c>
    </row>
    <row r="59" spans="3:70" x14ac:dyDescent="0.15">
      <c r="I59" s="38">
        <f t="shared" si="30"/>
        <v>2074</v>
      </c>
      <c r="J59" s="39"/>
      <c r="K59" s="39">
        <f t="shared" si="31"/>
        <v>45</v>
      </c>
      <c r="L59" s="39"/>
      <c r="M59" s="40">
        <f t="shared" si="0"/>
        <v>0.26443862376454325</v>
      </c>
      <c r="N59" s="39"/>
      <c r="O59" s="72" t="str">
        <f t="shared" si="12"/>
        <v/>
      </c>
      <c r="P59" s="41" t="str">
        <f t="shared" si="1"/>
        <v/>
      </c>
      <c r="Q59" s="39"/>
      <c r="R59" s="72" t="str">
        <f t="shared" si="13"/>
        <v/>
      </c>
      <c r="S59" s="39"/>
      <c r="T59" s="72" t="str">
        <f t="shared" si="14"/>
        <v/>
      </c>
      <c r="U59" s="39"/>
      <c r="V59" s="72" t="str">
        <f t="shared" si="2"/>
        <v/>
      </c>
      <c r="W59" s="72" t="str">
        <f t="shared" si="15"/>
        <v/>
      </c>
      <c r="X59" s="39"/>
      <c r="Y59" s="72" t="str">
        <f t="shared" si="3"/>
        <v/>
      </c>
      <c r="Z59" s="72" t="str">
        <f t="shared" si="16"/>
        <v/>
      </c>
      <c r="AA59" s="39"/>
      <c r="AB59" s="72" t="str">
        <f t="shared" si="4"/>
        <v/>
      </c>
      <c r="AC59" s="72" t="str">
        <f t="shared" si="17"/>
        <v/>
      </c>
      <c r="AD59" s="39"/>
      <c r="AE59" s="72" t="str">
        <f t="shared" si="5"/>
        <v/>
      </c>
      <c r="AF59" s="72" t="str">
        <f t="shared" si="18"/>
        <v/>
      </c>
      <c r="AG59" s="39"/>
      <c r="AH59" s="72" t="str">
        <f t="shared" si="32"/>
        <v/>
      </c>
      <c r="AI59" s="72" t="str">
        <f t="shared" si="20"/>
        <v/>
      </c>
      <c r="AJ59" s="39"/>
      <c r="AK59" s="72" t="str">
        <f t="shared" si="33"/>
        <v/>
      </c>
      <c r="AL59" s="72" t="str">
        <f t="shared" si="34"/>
        <v/>
      </c>
      <c r="AM59" s="39"/>
      <c r="AN59" s="72" t="str">
        <f t="shared" si="35"/>
        <v/>
      </c>
      <c r="AO59" s="72" t="str">
        <f t="shared" si="36"/>
        <v/>
      </c>
      <c r="AP59" s="39"/>
      <c r="AQ59" s="72" t="str">
        <f t="shared" si="37"/>
        <v/>
      </c>
      <c r="AR59" s="72" t="str">
        <f t="shared" si="38"/>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6"/>
        <v/>
      </c>
      <c r="AW59" s="72" t="str">
        <f t="shared" si="21"/>
        <v/>
      </c>
      <c r="AX59" s="39"/>
      <c r="AY59" s="40" t="str">
        <f>IF(ISERROR(IF($K59&lt;=$F$15,VLOOKUP($I59,'表4）CO2価格'!$A$7:$E$67,VLOOKUP($F$48,'表4）CO2価格'!$H$10:$I$12,2,0),0)*$F$8/1000,"")),0,IF($K59&lt;=$F$15,VLOOKUP($I59,'表4）CO2価格'!$A$7:$E$67,VLOOKUP($F$48,'表4）CO2価格'!$H$10:$I$12,2,0),0)*$F$8/1000,""))</f>
        <v/>
      </c>
      <c r="AZ59" s="39"/>
      <c r="BA59" s="42" t="str">
        <f t="shared" si="7"/>
        <v/>
      </c>
      <c r="BB59" s="72" t="str">
        <f t="shared" si="22"/>
        <v/>
      </c>
      <c r="BC59" s="39"/>
      <c r="BD59" s="72" t="str">
        <f t="shared" si="8"/>
        <v/>
      </c>
      <c r="BE59" s="72" t="str">
        <f t="shared" si="23"/>
        <v/>
      </c>
      <c r="BF59" s="39"/>
      <c r="BG59" s="42" t="str">
        <f t="shared" si="9"/>
        <v/>
      </c>
      <c r="BH59" s="72" t="str">
        <f t="shared" si="24"/>
        <v/>
      </c>
      <c r="BI59" s="39"/>
      <c r="BJ59" s="40" t="str">
        <f t="shared" si="25"/>
        <v/>
      </c>
      <c r="BK59" s="157" t="str">
        <f t="shared" si="26"/>
        <v/>
      </c>
      <c r="BL59" s="157" t="str">
        <f t="shared" si="10"/>
        <v/>
      </c>
      <c r="BM59" s="72"/>
      <c r="BN59" s="72" t="str">
        <f t="shared" si="27"/>
        <v/>
      </c>
      <c r="BO59" s="72" t="str">
        <f t="shared" si="28"/>
        <v/>
      </c>
      <c r="BP59" s="39"/>
      <c r="BQ59" s="72" t="str">
        <f t="shared" si="11"/>
        <v/>
      </c>
      <c r="BR59" s="72" t="str">
        <f t="shared" si="29"/>
        <v/>
      </c>
    </row>
    <row r="60" spans="3:70" x14ac:dyDescent="0.15">
      <c r="D60" s="84" t="s">
        <v>585</v>
      </c>
      <c r="F60" s="481"/>
      <c r="G60" s="84" t="s">
        <v>566</v>
      </c>
      <c r="I60" s="322">
        <f t="shared" si="30"/>
        <v>2075</v>
      </c>
      <c r="K60" s="71">
        <f t="shared" si="31"/>
        <v>46</v>
      </c>
      <c r="M60" s="7">
        <f t="shared" si="0"/>
        <v>0.25673652792674101</v>
      </c>
      <c r="O60" s="10" t="str">
        <f t="shared" si="12"/>
        <v/>
      </c>
      <c r="P60" s="29" t="str">
        <f t="shared" si="1"/>
        <v/>
      </c>
      <c r="R60" s="10" t="str">
        <f t="shared" si="13"/>
        <v/>
      </c>
      <c r="T60" s="10" t="str">
        <f t="shared" si="14"/>
        <v/>
      </c>
      <c r="V60" s="10" t="str">
        <f t="shared" si="2"/>
        <v/>
      </c>
      <c r="W60" s="10" t="str">
        <f t="shared" si="15"/>
        <v/>
      </c>
      <c r="Y60" s="10" t="str">
        <f t="shared" si="3"/>
        <v/>
      </c>
      <c r="Z60" s="10" t="str">
        <f t="shared" si="16"/>
        <v/>
      </c>
      <c r="AB60" s="10" t="str">
        <f t="shared" si="4"/>
        <v/>
      </c>
      <c r="AC60" s="10" t="str">
        <f t="shared" si="17"/>
        <v/>
      </c>
      <c r="AE60" s="10" t="str">
        <f t="shared" si="5"/>
        <v/>
      </c>
      <c r="AF60" s="10" t="str">
        <f t="shared" si="18"/>
        <v/>
      </c>
      <c r="AH60" s="10" t="str">
        <f t="shared" si="32"/>
        <v/>
      </c>
      <c r="AI60" s="10" t="str">
        <f t="shared" si="20"/>
        <v/>
      </c>
      <c r="AK60" s="10" t="str">
        <f t="shared" si="33"/>
        <v/>
      </c>
      <c r="AL60" s="10" t="str">
        <f t="shared" si="34"/>
        <v/>
      </c>
      <c r="AN60" s="10" t="str">
        <f t="shared" si="35"/>
        <v/>
      </c>
      <c r="AO60" s="10" t="str">
        <f t="shared" si="36"/>
        <v/>
      </c>
      <c r="AQ60" s="10" t="str">
        <f t="shared" si="37"/>
        <v/>
      </c>
      <c r="AR60" s="10" t="str">
        <f t="shared" si="38"/>
        <v/>
      </c>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V60" s="10" t="str">
        <f t="shared" si="6"/>
        <v/>
      </c>
      <c r="AW60" s="10" t="str">
        <f t="shared" si="21"/>
        <v/>
      </c>
      <c r="AY60" s="7" t="str">
        <f>IF(ISERROR(IF($K60&lt;=$F$15,VLOOKUP($I60,'表4）CO2価格'!$A$7:$E$67,VLOOKUP($F$48,'表4）CO2価格'!$H$10:$I$12,2,0),0)*$F$8/1000,"")),0,IF($K60&lt;=$F$15,VLOOKUP($I60,'表4）CO2価格'!$A$7:$E$67,VLOOKUP($F$48,'表4）CO2価格'!$H$10:$I$12,2,0),0)*$F$8/1000,""))</f>
        <v/>
      </c>
      <c r="BA60" s="11" t="str">
        <f t="shared" si="7"/>
        <v/>
      </c>
      <c r="BB60" s="10" t="str">
        <f t="shared" si="22"/>
        <v/>
      </c>
      <c r="BD60" s="10" t="str">
        <f t="shared" si="8"/>
        <v/>
      </c>
      <c r="BE60" s="10" t="str">
        <f t="shared" si="23"/>
        <v/>
      </c>
      <c r="BG60" s="11" t="str">
        <f t="shared" si="9"/>
        <v/>
      </c>
      <c r="BH60" s="10" t="str">
        <f t="shared" si="24"/>
        <v/>
      </c>
      <c r="BJ60" s="7" t="str">
        <f t="shared" si="25"/>
        <v/>
      </c>
      <c r="BK60" s="158" t="str">
        <f t="shared" si="26"/>
        <v/>
      </c>
      <c r="BL60" s="158" t="str">
        <f t="shared" si="10"/>
        <v/>
      </c>
      <c r="BM60" s="10"/>
      <c r="BN60" s="10" t="str">
        <f t="shared" si="27"/>
        <v/>
      </c>
      <c r="BO60" s="10" t="str">
        <f t="shared" si="28"/>
        <v/>
      </c>
      <c r="BQ60" s="10" t="str">
        <f t="shared" si="11"/>
        <v/>
      </c>
      <c r="BR60" s="10" t="str">
        <f t="shared" si="29"/>
        <v/>
      </c>
    </row>
    <row r="61" spans="3:70" x14ac:dyDescent="0.15">
      <c r="D61" s="84" t="s">
        <v>586</v>
      </c>
      <c r="F61" s="475"/>
      <c r="G61" s="84" t="s">
        <v>556</v>
      </c>
      <c r="I61" s="38">
        <f t="shared" si="30"/>
        <v>2076</v>
      </c>
      <c r="J61" s="39"/>
      <c r="K61" s="39">
        <f t="shared" si="31"/>
        <v>47</v>
      </c>
      <c r="L61" s="39"/>
      <c r="M61" s="40">
        <f t="shared" si="0"/>
        <v>0.24925876497741845</v>
      </c>
      <c r="N61" s="39"/>
      <c r="O61" s="72" t="str">
        <f t="shared" si="12"/>
        <v/>
      </c>
      <c r="P61" s="41" t="str">
        <f t="shared" si="1"/>
        <v/>
      </c>
      <c r="Q61" s="39"/>
      <c r="R61" s="72" t="str">
        <f t="shared" si="13"/>
        <v/>
      </c>
      <c r="S61" s="39"/>
      <c r="T61" s="72" t="str">
        <f t="shared" si="14"/>
        <v/>
      </c>
      <c r="U61" s="39"/>
      <c r="V61" s="72" t="str">
        <f t="shared" si="2"/>
        <v/>
      </c>
      <c r="W61" s="72" t="str">
        <f t="shared" si="15"/>
        <v/>
      </c>
      <c r="X61" s="39"/>
      <c r="Y61" s="72" t="str">
        <f t="shared" si="3"/>
        <v/>
      </c>
      <c r="Z61" s="72" t="str">
        <f t="shared" si="16"/>
        <v/>
      </c>
      <c r="AA61" s="39"/>
      <c r="AB61" s="72" t="str">
        <f t="shared" si="4"/>
        <v/>
      </c>
      <c r="AC61" s="72" t="str">
        <f t="shared" si="17"/>
        <v/>
      </c>
      <c r="AD61" s="39"/>
      <c r="AE61" s="72" t="str">
        <f t="shared" si="5"/>
        <v/>
      </c>
      <c r="AF61" s="72" t="str">
        <f t="shared" si="18"/>
        <v/>
      </c>
      <c r="AG61" s="39"/>
      <c r="AH61" s="72" t="str">
        <f t="shared" si="32"/>
        <v/>
      </c>
      <c r="AI61" s="72" t="str">
        <f t="shared" si="20"/>
        <v/>
      </c>
      <c r="AJ61" s="39"/>
      <c r="AK61" s="72" t="str">
        <f t="shared" si="33"/>
        <v/>
      </c>
      <c r="AL61" s="72" t="str">
        <f t="shared" si="34"/>
        <v/>
      </c>
      <c r="AM61" s="39"/>
      <c r="AN61" s="72" t="str">
        <f t="shared" si="35"/>
        <v/>
      </c>
      <c r="AO61" s="72" t="str">
        <f t="shared" si="36"/>
        <v/>
      </c>
      <c r="AP61" s="39"/>
      <c r="AQ61" s="72" t="str">
        <f t="shared" si="37"/>
        <v/>
      </c>
      <c r="AR61" s="72" t="str">
        <f t="shared" si="38"/>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6"/>
        <v/>
      </c>
      <c r="AW61" s="72" t="str">
        <f t="shared" si="21"/>
        <v/>
      </c>
      <c r="AX61" s="39"/>
      <c r="AY61" s="40" t="str">
        <f>IF(ISERROR(IF($K61&lt;=$F$15,VLOOKUP($I61,'表4）CO2価格'!$A$7:$E$67,VLOOKUP($F$48,'表4）CO2価格'!$H$10:$I$12,2,0),0)*$F$8/1000,"")),0,IF($K61&lt;=$F$15,VLOOKUP($I61,'表4）CO2価格'!$A$7:$E$67,VLOOKUP($F$48,'表4）CO2価格'!$H$10:$I$12,2,0),0)*$F$8/1000,""))</f>
        <v/>
      </c>
      <c r="AZ61" s="39"/>
      <c r="BA61" s="42" t="str">
        <f t="shared" si="7"/>
        <v/>
      </c>
      <c r="BB61" s="72" t="str">
        <f t="shared" si="22"/>
        <v/>
      </c>
      <c r="BC61" s="39"/>
      <c r="BD61" s="72" t="str">
        <f t="shared" si="8"/>
        <v/>
      </c>
      <c r="BE61" s="72" t="str">
        <f t="shared" si="23"/>
        <v/>
      </c>
      <c r="BF61" s="39"/>
      <c r="BG61" s="42" t="str">
        <f t="shared" si="9"/>
        <v/>
      </c>
      <c r="BH61" s="72" t="str">
        <f t="shared" si="24"/>
        <v/>
      </c>
      <c r="BI61" s="39"/>
      <c r="BJ61" s="40" t="str">
        <f t="shared" si="25"/>
        <v/>
      </c>
      <c r="BK61" s="157" t="str">
        <f t="shared" si="26"/>
        <v/>
      </c>
      <c r="BL61" s="157" t="str">
        <f t="shared" si="10"/>
        <v/>
      </c>
      <c r="BM61" s="72"/>
      <c r="BN61" s="72" t="str">
        <f t="shared" si="27"/>
        <v/>
      </c>
      <c r="BO61" s="72" t="str">
        <f t="shared" si="28"/>
        <v/>
      </c>
      <c r="BP61" s="39"/>
      <c r="BQ61" s="72" t="str">
        <f t="shared" si="11"/>
        <v/>
      </c>
      <c r="BR61" s="72" t="str">
        <f t="shared" si="29"/>
        <v/>
      </c>
    </row>
    <row r="62" spans="3:70" x14ac:dyDescent="0.15">
      <c r="D62" s="84" t="s">
        <v>587</v>
      </c>
      <c r="F62" s="481"/>
      <c r="G62" s="84" t="s">
        <v>588</v>
      </c>
      <c r="I62" s="322">
        <f t="shared" si="30"/>
        <v>2077</v>
      </c>
      <c r="K62" s="71">
        <f t="shared" si="31"/>
        <v>48</v>
      </c>
      <c r="M62" s="7">
        <f t="shared" si="0"/>
        <v>0.24199880094894996</v>
      </c>
      <c r="O62" s="10" t="str">
        <f t="shared" si="12"/>
        <v/>
      </c>
      <c r="P62" s="29" t="str">
        <f t="shared" si="1"/>
        <v/>
      </c>
      <c r="R62" s="10" t="str">
        <f t="shared" si="13"/>
        <v/>
      </c>
      <c r="T62" s="10" t="str">
        <f t="shared" si="14"/>
        <v/>
      </c>
      <c r="V62" s="10" t="str">
        <f t="shared" si="2"/>
        <v/>
      </c>
      <c r="W62" s="10" t="str">
        <f t="shared" si="15"/>
        <v/>
      </c>
      <c r="Y62" s="10" t="str">
        <f t="shared" si="3"/>
        <v/>
      </c>
      <c r="Z62" s="10" t="str">
        <f t="shared" si="16"/>
        <v/>
      </c>
      <c r="AB62" s="10" t="str">
        <f t="shared" si="4"/>
        <v/>
      </c>
      <c r="AC62" s="10" t="str">
        <f t="shared" si="17"/>
        <v/>
      </c>
      <c r="AE62" s="10" t="str">
        <f t="shared" si="5"/>
        <v/>
      </c>
      <c r="AF62" s="10" t="str">
        <f t="shared" si="18"/>
        <v/>
      </c>
      <c r="AH62" s="10" t="str">
        <f t="shared" si="32"/>
        <v/>
      </c>
      <c r="AI62" s="10" t="str">
        <f t="shared" si="20"/>
        <v/>
      </c>
      <c r="AK62" s="10" t="str">
        <f t="shared" si="33"/>
        <v/>
      </c>
      <c r="AL62" s="10" t="str">
        <f t="shared" si="34"/>
        <v/>
      </c>
      <c r="AN62" s="10" t="str">
        <f t="shared" si="35"/>
        <v/>
      </c>
      <c r="AO62" s="10" t="str">
        <f t="shared" si="36"/>
        <v/>
      </c>
      <c r="AQ62" s="10" t="str">
        <f t="shared" si="37"/>
        <v/>
      </c>
      <c r="AR62" s="10" t="str">
        <f t="shared" si="38"/>
        <v/>
      </c>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V62" s="10" t="str">
        <f t="shared" si="6"/>
        <v/>
      </c>
      <c r="AW62" s="10" t="str">
        <f t="shared" si="21"/>
        <v/>
      </c>
      <c r="AY62" s="7" t="str">
        <f>IF(ISERROR(IF($K62&lt;=$F$15,VLOOKUP($I62,'表4）CO2価格'!$A$7:$E$67,VLOOKUP($F$48,'表4）CO2価格'!$H$10:$I$12,2,0),0)*$F$8/1000,"")),0,IF($K62&lt;=$F$15,VLOOKUP($I62,'表4）CO2価格'!$A$7:$E$67,VLOOKUP($F$48,'表4）CO2価格'!$H$10:$I$12,2,0),0)*$F$8/1000,""))</f>
        <v/>
      </c>
      <c r="BA62" s="11" t="str">
        <f t="shared" si="7"/>
        <v/>
      </c>
      <c r="BB62" s="10" t="str">
        <f t="shared" si="22"/>
        <v/>
      </c>
      <c r="BD62" s="10" t="str">
        <f t="shared" si="8"/>
        <v/>
      </c>
      <c r="BE62" s="10" t="str">
        <f t="shared" si="23"/>
        <v/>
      </c>
      <c r="BG62" s="11" t="str">
        <f t="shared" si="9"/>
        <v/>
      </c>
      <c r="BH62" s="10" t="str">
        <f t="shared" si="24"/>
        <v/>
      </c>
      <c r="BJ62" s="7" t="str">
        <f t="shared" si="25"/>
        <v/>
      </c>
      <c r="BK62" s="158" t="str">
        <f t="shared" si="26"/>
        <v/>
      </c>
      <c r="BL62" s="158" t="str">
        <f t="shared" si="10"/>
        <v/>
      </c>
      <c r="BM62" s="10"/>
      <c r="BN62" s="10" t="str">
        <f t="shared" si="27"/>
        <v/>
      </c>
      <c r="BO62" s="10" t="str">
        <f t="shared" si="28"/>
        <v/>
      </c>
      <c r="BQ62" s="10" t="str">
        <f t="shared" si="11"/>
        <v/>
      </c>
      <c r="BR62" s="10" t="str">
        <f t="shared" si="29"/>
        <v/>
      </c>
    </row>
    <row r="63" spans="3:70" x14ac:dyDescent="0.15">
      <c r="I63" s="38">
        <f t="shared" si="30"/>
        <v>2078</v>
      </c>
      <c r="J63" s="39"/>
      <c r="K63" s="39">
        <f t="shared" si="31"/>
        <v>49</v>
      </c>
      <c r="L63" s="39"/>
      <c r="M63" s="40">
        <f t="shared" si="0"/>
        <v>0.2349502921834466</v>
      </c>
      <c r="N63" s="39"/>
      <c r="O63" s="72" t="str">
        <f t="shared" si="12"/>
        <v/>
      </c>
      <c r="P63" s="41" t="str">
        <f t="shared" si="1"/>
        <v/>
      </c>
      <c r="Q63" s="39"/>
      <c r="R63" s="72" t="str">
        <f t="shared" si="13"/>
        <v/>
      </c>
      <c r="S63" s="39"/>
      <c r="T63" s="72" t="str">
        <f t="shared" si="14"/>
        <v/>
      </c>
      <c r="U63" s="39"/>
      <c r="V63" s="72" t="str">
        <f t="shared" si="2"/>
        <v/>
      </c>
      <c r="W63" s="72" t="str">
        <f t="shared" si="15"/>
        <v/>
      </c>
      <c r="X63" s="39"/>
      <c r="Y63" s="72" t="str">
        <f t="shared" si="3"/>
        <v/>
      </c>
      <c r="Z63" s="72" t="str">
        <f t="shared" si="16"/>
        <v/>
      </c>
      <c r="AA63" s="39"/>
      <c r="AB63" s="72" t="str">
        <f t="shared" si="4"/>
        <v/>
      </c>
      <c r="AC63" s="72" t="str">
        <f t="shared" si="17"/>
        <v/>
      </c>
      <c r="AD63" s="39"/>
      <c r="AE63" s="72" t="str">
        <f t="shared" si="5"/>
        <v/>
      </c>
      <c r="AF63" s="72" t="str">
        <f t="shared" si="18"/>
        <v/>
      </c>
      <c r="AG63" s="39"/>
      <c r="AH63" s="72" t="str">
        <f t="shared" si="32"/>
        <v/>
      </c>
      <c r="AI63" s="72" t="str">
        <f t="shared" si="20"/>
        <v/>
      </c>
      <c r="AJ63" s="39"/>
      <c r="AK63" s="72" t="str">
        <f t="shared" si="33"/>
        <v/>
      </c>
      <c r="AL63" s="72" t="str">
        <f t="shared" si="34"/>
        <v/>
      </c>
      <c r="AM63" s="39"/>
      <c r="AN63" s="72" t="str">
        <f t="shared" si="35"/>
        <v/>
      </c>
      <c r="AO63" s="72" t="str">
        <f t="shared" si="36"/>
        <v/>
      </c>
      <c r="AP63" s="39"/>
      <c r="AQ63" s="72" t="str">
        <f t="shared" si="37"/>
        <v/>
      </c>
      <c r="AR63" s="72" t="str">
        <f t="shared" si="38"/>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6"/>
        <v/>
      </c>
      <c r="AW63" s="72" t="str">
        <f t="shared" si="21"/>
        <v/>
      </c>
      <c r="AX63" s="39"/>
      <c r="AY63" s="40" t="str">
        <f>IF(ISERROR(IF($K63&lt;=$F$15,VLOOKUP($I63,'表4）CO2価格'!$A$7:$E$67,VLOOKUP($F$48,'表4）CO2価格'!$H$10:$I$12,2,0),0)*$F$8/1000,"")),0,IF($K63&lt;=$F$15,VLOOKUP($I63,'表4）CO2価格'!$A$7:$E$67,VLOOKUP($F$48,'表4）CO2価格'!$H$10:$I$12,2,0),0)*$F$8/1000,""))</f>
        <v/>
      </c>
      <c r="AZ63" s="39"/>
      <c r="BA63" s="42" t="str">
        <f t="shared" si="7"/>
        <v/>
      </c>
      <c r="BB63" s="72" t="str">
        <f t="shared" si="22"/>
        <v/>
      </c>
      <c r="BC63" s="39"/>
      <c r="BD63" s="72" t="str">
        <f t="shared" si="8"/>
        <v/>
      </c>
      <c r="BE63" s="72" t="str">
        <f t="shared" si="23"/>
        <v/>
      </c>
      <c r="BF63" s="39"/>
      <c r="BG63" s="42" t="str">
        <f t="shared" si="9"/>
        <v/>
      </c>
      <c r="BH63" s="72" t="str">
        <f t="shared" si="24"/>
        <v/>
      </c>
      <c r="BI63" s="39"/>
      <c r="BJ63" s="40" t="str">
        <f t="shared" si="25"/>
        <v/>
      </c>
      <c r="BK63" s="157" t="str">
        <f t="shared" si="26"/>
        <v/>
      </c>
      <c r="BL63" s="157" t="str">
        <f t="shared" si="10"/>
        <v/>
      </c>
      <c r="BM63" s="72"/>
      <c r="BN63" s="72" t="str">
        <f t="shared" si="27"/>
        <v/>
      </c>
      <c r="BO63" s="72" t="str">
        <f t="shared" si="28"/>
        <v/>
      </c>
      <c r="BP63" s="39"/>
      <c r="BQ63" s="72" t="str">
        <f t="shared" si="11"/>
        <v/>
      </c>
      <c r="BR63" s="72" t="str">
        <f t="shared" si="29"/>
        <v/>
      </c>
    </row>
    <row r="64" spans="3:70" x14ac:dyDescent="0.15">
      <c r="C64" s="71" t="s">
        <v>589</v>
      </c>
      <c r="F64" s="477">
        <v>0.13</v>
      </c>
      <c r="G64" s="84" t="s">
        <v>590</v>
      </c>
      <c r="I64" s="322">
        <f t="shared" si="30"/>
        <v>2079</v>
      </c>
      <c r="K64" s="71">
        <f t="shared" si="31"/>
        <v>50</v>
      </c>
      <c r="M64" s="7">
        <f t="shared" si="0"/>
        <v>0.22810707978975397</v>
      </c>
      <c r="O64" s="10" t="str">
        <f t="shared" si="12"/>
        <v/>
      </c>
      <c r="P64" s="29" t="str">
        <f t="shared" si="1"/>
        <v/>
      </c>
      <c r="R64" s="10" t="str">
        <f t="shared" si="13"/>
        <v/>
      </c>
      <c r="T64" s="10" t="str">
        <f t="shared" si="14"/>
        <v/>
      </c>
      <c r="V64" s="10" t="str">
        <f t="shared" si="2"/>
        <v/>
      </c>
      <c r="W64" s="10" t="str">
        <f t="shared" si="15"/>
        <v/>
      </c>
      <c r="Y64" s="10" t="str">
        <f t="shared" si="3"/>
        <v/>
      </c>
      <c r="Z64" s="10" t="str">
        <f t="shared" si="16"/>
        <v/>
      </c>
      <c r="AB64" s="10" t="str">
        <f t="shared" si="4"/>
        <v/>
      </c>
      <c r="AC64" s="10" t="str">
        <f t="shared" si="17"/>
        <v/>
      </c>
      <c r="AE64" s="10" t="str">
        <f t="shared" si="5"/>
        <v/>
      </c>
      <c r="AF64" s="10" t="str">
        <f t="shared" si="18"/>
        <v/>
      </c>
      <c r="AH64" s="10" t="str">
        <f t="shared" si="32"/>
        <v/>
      </c>
      <c r="AI64" s="10" t="str">
        <f t="shared" si="20"/>
        <v/>
      </c>
      <c r="AK64" s="10" t="str">
        <f t="shared" si="33"/>
        <v/>
      </c>
      <c r="AL64" s="10" t="str">
        <f t="shared" si="34"/>
        <v/>
      </c>
      <c r="AN64" s="10" t="str">
        <f t="shared" si="35"/>
        <v/>
      </c>
      <c r="AO64" s="10" t="str">
        <f t="shared" si="36"/>
        <v/>
      </c>
      <c r="AQ64" s="10" t="str">
        <f t="shared" si="37"/>
        <v/>
      </c>
      <c r="AR64" s="10" t="str">
        <f t="shared" si="38"/>
        <v/>
      </c>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V64" s="10" t="str">
        <f t="shared" si="6"/>
        <v/>
      </c>
      <c r="AW64" s="10" t="str">
        <f t="shared" si="21"/>
        <v/>
      </c>
      <c r="AY64" s="7" t="str">
        <f>IF(ISERROR(IF($K64&lt;=$F$15,VLOOKUP($I64,'表4）CO2価格'!$A$7:$E$67,VLOOKUP($F$48,'表4）CO2価格'!$H$10:$I$12,2,0),0)*$F$8/1000,"")),0,IF($K64&lt;=$F$15,VLOOKUP($I64,'表4）CO2価格'!$A$7:$E$67,VLOOKUP($F$48,'表4）CO2価格'!$H$10:$I$12,2,0),0)*$F$8/1000,""))</f>
        <v/>
      </c>
      <c r="BA64" s="11" t="str">
        <f t="shared" si="7"/>
        <v/>
      </c>
      <c r="BB64" s="10" t="str">
        <f t="shared" si="22"/>
        <v/>
      </c>
      <c r="BD64" s="10" t="str">
        <f t="shared" si="8"/>
        <v/>
      </c>
      <c r="BE64" s="10" t="str">
        <f t="shared" si="23"/>
        <v/>
      </c>
      <c r="BG64" s="11" t="str">
        <f t="shared" si="9"/>
        <v/>
      </c>
      <c r="BH64" s="10" t="str">
        <f t="shared" si="24"/>
        <v/>
      </c>
      <c r="BJ64" s="7" t="str">
        <f t="shared" si="25"/>
        <v/>
      </c>
      <c r="BK64" s="158" t="str">
        <f t="shared" si="26"/>
        <v/>
      </c>
      <c r="BL64" s="158" t="str">
        <f t="shared" si="10"/>
        <v/>
      </c>
      <c r="BM64" s="10"/>
      <c r="BN64" s="10" t="str">
        <f t="shared" si="27"/>
        <v/>
      </c>
      <c r="BO64" s="10" t="str">
        <f t="shared" si="28"/>
        <v/>
      </c>
      <c r="BQ64" s="10" t="str">
        <f t="shared" si="11"/>
        <v/>
      </c>
      <c r="BR64" s="10" t="str">
        <f t="shared" si="29"/>
        <v/>
      </c>
    </row>
    <row r="65" spans="2:70" x14ac:dyDescent="0.15">
      <c r="I65" s="38">
        <f t="shared" si="30"/>
        <v>2080</v>
      </c>
      <c r="J65" s="39"/>
      <c r="K65" s="39">
        <f t="shared" si="31"/>
        <v>51</v>
      </c>
      <c r="L65" s="39"/>
      <c r="M65" s="40">
        <f t="shared" si="0"/>
        <v>0.22146318426189707</v>
      </c>
      <c r="N65" s="39"/>
      <c r="O65" s="72" t="str">
        <f t="shared" si="12"/>
        <v/>
      </c>
      <c r="P65" s="41" t="str">
        <f t="shared" si="1"/>
        <v/>
      </c>
      <c r="Q65" s="39"/>
      <c r="R65" s="72" t="str">
        <f t="shared" si="13"/>
        <v/>
      </c>
      <c r="S65" s="39"/>
      <c r="T65" s="72" t="str">
        <f t="shared" si="14"/>
        <v/>
      </c>
      <c r="U65" s="39"/>
      <c r="V65" s="72" t="str">
        <f t="shared" si="2"/>
        <v/>
      </c>
      <c r="W65" s="72" t="str">
        <f t="shared" si="15"/>
        <v/>
      </c>
      <c r="X65" s="39"/>
      <c r="Y65" s="72" t="str">
        <f t="shared" si="3"/>
        <v/>
      </c>
      <c r="Z65" s="72" t="str">
        <f t="shared" si="16"/>
        <v/>
      </c>
      <c r="AA65" s="39"/>
      <c r="AB65" s="72" t="str">
        <f t="shared" si="4"/>
        <v/>
      </c>
      <c r="AC65" s="72" t="str">
        <f t="shared" si="17"/>
        <v/>
      </c>
      <c r="AD65" s="39"/>
      <c r="AE65" s="72" t="str">
        <f t="shared" si="5"/>
        <v/>
      </c>
      <c r="AF65" s="72" t="str">
        <f t="shared" si="18"/>
        <v/>
      </c>
      <c r="AG65" s="39"/>
      <c r="AH65" s="72" t="str">
        <f t="shared" si="32"/>
        <v/>
      </c>
      <c r="AI65" s="72" t="str">
        <f t="shared" si="20"/>
        <v/>
      </c>
      <c r="AJ65" s="39"/>
      <c r="AK65" s="72" t="str">
        <f t="shared" si="33"/>
        <v/>
      </c>
      <c r="AL65" s="72" t="str">
        <f t="shared" si="34"/>
        <v/>
      </c>
      <c r="AM65" s="39"/>
      <c r="AN65" s="72" t="str">
        <f t="shared" si="35"/>
        <v/>
      </c>
      <c r="AO65" s="72" t="str">
        <f t="shared" si="36"/>
        <v/>
      </c>
      <c r="AP65" s="39"/>
      <c r="AQ65" s="72" t="str">
        <f t="shared" si="37"/>
        <v/>
      </c>
      <c r="AR65" s="72" t="str">
        <f t="shared" si="38"/>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6"/>
        <v/>
      </c>
      <c r="AW65" s="72" t="str">
        <f t="shared" si="21"/>
        <v/>
      </c>
      <c r="AX65" s="39"/>
      <c r="AY65" s="40" t="str">
        <f>IF(ISERROR(IF($K65&lt;=$F$15,VLOOKUP($I65,'表4）CO2価格'!$A$7:$E$67,VLOOKUP($F$48,'表4）CO2価格'!$H$10:$I$12,2,0),0)*$F$8/1000,"")),0,IF($K65&lt;=$F$15,VLOOKUP($I65,'表4）CO2価格'!$A$7:$E$67,VLOOKUP($F$48,'表4）CO2価格'!$H$10:$I$12,2,0),0)*$F$8/1000,""))</f>
        <v/>
      </c>
      <c r="AZ65" s="39"/>
      <c r="BA65" s="42" t="str">
        <f t="shared" si="7"/>
        <v/>
      </c>
      <c r="BB65" s="72" t="str">
        <f t="shared" si="22"/>
        <v/>
      </c>
      <c r="BC65" s="39"/>
      <c r="BD65" s="72" t="str">
        <f t="shared" si="8"/>
        <v/>
      </c>
      <c r="BE65" s="72" t="str">
        <f t="shared" si="23"/>
        <v/>
      </c>
      <c r="BF65" s="39"/>
      <c r="BG65" s="42" t="str">
        <f t="shared" si="9"/>
        <v/>
      </c>
      <c r="BH65" s="72" t="str">
        <f t="shared" si="24"/>
        <v/>
      </c>
      <c r="BI65" s="39"/>
      <c r="BJ65" s="40" t="str">
        <f t="shared" si="25"/>
        <v/>
      </c>
      <c r="BK65" s="157" t="str">
        <f t="shared" si="26"/>
        <v/>
      </c>
      <c r="BL65" s="157" t="str">
        <f t="shared" si="10"/>
        <v/>
      </c>
      <c r="BM65" s="72"/>
      <c r="BN65" s="72" t="str">
        <f t="shared" si="27"/>
        <v/>
      </c>
      <c r="BO65" s="72" t="str">
        <f t="shared" si="28"/>
        <v/>
      </c>
      <c r="BP65" s="39"/>
      <c r="BQ65" s="72" t="str">
        <f t="shared" si="11"/>
        <v/>
      </c>
      <c r="BR65" s="72" t="str">
        <f t="shared" si="29"/>
        <v/>
      </c>
    </row>
    <row r="66" spans="2:70" x14ac:dyDescent="0.15">
      <c r="I66" s="322">
        <f t="shared" si="30"/>
        <v>2081</v>
      </c>
      <c r="K66" s="71">
        <f t="shared" si="31"/>
        <v>52</v>
      </c>
      <c r="M66" s="7">
        <f t="shared" si="0"/>
        <v>0.215012800254269</v>
      </c>
      <c r="O66" s="10" t="str">
        <f t="shared" si="12"/>
        <v/>
      </c>
      <c r="P66" s="29" t="str">
        <f t="shared" si="1"/>
        <v/>
      </c>
      <c r="R66" s="10" t="str">
        <f t="shared" si="13"/>
        <v/>
      </c>
      <c r="T66" s="10" t="str">
        <f t="shared" si="14"/>
        <v/>
      </c>
      <c r="V66" s="10" t="str">
        <f t="shared" si="2"/>
        <v/>
      </c>
      <c r="W66" s="10" t="str">
        <f t="shared" si="15"/>
        <v/>
      </c>
      <c r="Y66" s="10" t="str">
        <f t="shared" si="3"/>
        <v/>
      </c>
      <c r="Z66" s="10" t="str">
        <f t="shared" si="16"/>
        <v/>
      </c>
      <c r="AB66" s="10" t="str">
        <f t="shared" si="4"/>
        <v/>
      </c>
      <c r="AC66" s="10" t="str">
        <f t="shared" si="17"/>
        <v/>
      </c>
      <c r="AE66" s="10" t="str">
        <f t="shared" si="5"/>
        <v/>
      </c>
      <c r="AF66" s="10" t="str">
        <f t="shared" si="18"/>
        <v/>
      </c>
      <c r="AH66" s="10" t="str">
        <f t="shared" si="32"/>
        <v/>
      </c>
      <c r="AI66" s="10" t="str">
        <f t="shared" si="20"/>
        <v/>
      </c>
      <c r="AK66" s="10" t="str">
        <f t="shared" si="33"/>
        <v/>
      </c>
      <c r="AL66" s="10" t="str">
        <f t="shared" si="34"/>
        <v/>
      </c>
      <c r="AN66" s="10" t="str">
        <f t="shared" si="35"/>
        <v/>
      </c>
      <c r="AO66" s="10" t="str">
        <f t="shared" si="36"/>
        <v/>
      </c>
      <c r="AQ66" s="10" t="str">
        <f t="shared" si="37"/>
        <v/>
      </c>
      <c r="AR66" s="10" t="str">
        <f t="shared" si="38"/>
        <v/>
      </c>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V66" s="10" t="str">
        <f t="shared" si="6"/>
        <v/>
      </c>
      <c r="AW66" s="10" t="str">
        <f t="shared" si="21"/>
        <v/>
      </c>
      <c r="AY66" s="7" t="str">
        <f>IF(ISERROR(IF($K66&lt;=$F$15,VLOOKUP($I66,'表4）CO2価格'!$A$7:$E$67,VLOOKUP($F$48,'表4）CO2価格'!$H$10:$I$12,2,0),0)*$F$8/1000,"")),0,IF($K66&lt;=$F$15,VLOOKUP($I66,'表4）CO2価格'!$A$7:$E$67,VLOOKUP($F$48,'表4）CO2価格'!$H$10:$I$12,2,0),0)*$F$8/1000,""))</f>
        <v/>
      </c>
      <c r="BA66" s="11" t="str">
        <f t="shared" si="7"/>
        <v/>
      </c>
      <c r="BB66" s="10" t="str">
        <f t="shared" si="22"/>
        <v/>
      </c>
      <c r="BD66" s="10" t="str">
        <f t="shared" si="8"/>
        <v/>
      </c>
      <c r="BE66" s="10" t="str">
        <f t="shared" si="23"/>
        <v/>
      </c>
      <c r="BG66" s="11" t="str">
        <f t="shared" si="9"/>
        <v/>
      </c>
      <c r="BH66" s="10" t="str">
        <f t="shared" si="24"/>
        <v/>
      </c>
      <c r="BJ66" s="7" t="str">
        <f t="shared" si="25"/>
        <v/>
      </c>
      <c r="BK66" s="158" t="str">
        <f t="shared" si="26"/>
        <v/>
      </c>
      <c r="BL66" s="158" t="str">
        <f t="shared" si="10"/>
        <v/>
      </c>
      <c r="BM66" s="10"/>
      <c r="BN66" s="10" t="str">
        <f t="shared" si="27"/>
        <v/>
      </c>
      <c r="BO66" s="10" t="str">
        <f t="shared" si="28"/>
        <v/>
      </c>
      <c r="BQ66" s="10" t="str">
        <f t="shared" si="11"/>
        <v/>
      </c>
      <c r="BR66" s="10" t="str">
        <f t="shared" si="29"/>
        <v/>
      </c>
    </row>
    <row r="67" spans="2:70" ht="15.75" thickBot="1" x14ac:dyDescent="0.2">
      <c r="B67" s="5" t="s">
        <v>133</v>
      </c>
      <c r="C67" s="3"/>
      <c r="D67" s="102"/>
      <c r="E67" s="102"/>
      <c r="F67" s="3"/>
      <c r="G67" s="102"/>
      <c r="I67" s="38">
        <f t="shared" si="30"/>
        <v>2082</v>
      </c>
      <c r="J67" s="39"/>
      <c r="K67" s="39">
        <f t="shared" si="31"/>
        <v>53</v>
      </c>
      <c r="L67" s="39"/>
      <c r="M67" s="40">
        <f t="shared" si="0"/>
        <v>0.20875029150899907</v>
      </c>
      <c r="N67" s="39"/>
      <c r="O67" s="72" t="str">
        <f t="shared" si="12"/>
        <v/>
      </c>
      <c r="P67" s="41" t="str">
        <f t="shared" si="1"/>
        <v/>
      </c>
      <c r="Q67" s="39"/>
      <c r="R67" s="72" t="str">
        <f t="shared" si="13"/>
        <v/>
      </c>
      <c r="S67" s="39"/>
      <c r="T67" s="72" t="str">
        <f t="shared" si="14"/>
        <v/>
      </c>
      <c r="U67" s="39"/>
      <c r="V67" s="72" t="str">
        <f t="shared" si="2"/>
        <v/>
      </c>
      <c r="W67" s="72" t="str">
        <f t="shared" si="15"/>
        <v/>
      </c>
      <c r="X67" s="39"/>
      <c r="Y67" s="72" t="str">
        <f t="shared" si="3"/>
        <v/>
      </c>
      <c r="Z67" s="72" t="str">
        <f t="shared" si="16"/>
        <v/>
      </c>
      <c r="AA67" s="39"/>
      <c r="AB67" s="72" t="str">
        <f t="shared" si="4"/>
        <v/>
      </c>
      <c r="AC67" s="72" t="str">
        <f t="shared" si="17"/>
        <v/>
      </c>
      <c r="AD67" s="39"/>
      <c r="AE67" s="72" t="str">
        <f t="shared" si="5"/>
        <v/>
      </c>
      <c r="AF67" s="72" t="str">
        <f t="shared" si="18"/>
        <v/>
      </c>
      <c r="AG67" s="39"/>
      <c r="AH67" s="72" t="str">
        <f t="shared" si="32"/>
        <v/>
      </c>
      <c r="AI67" s="72" t="str">
        <f t="shared" si="20"/>
        <v/>
      </c>
      <c r="AJ67" s="39"/>
      <c r="AK67" s="72" t="str">
        <f t="shared" si="33"/>
        <v/>
      </c>
      <c r="AL67" s="72" t="str">
        <f t="shared" si="34"/>
        <v/>
      </c>
      <c r="AM67" s="39"/>
      <c r="AN67" s="72" t="str">
        <f t="shared" si="35"/>
        <v/>
      </c>
      <c r="AO67" s="72" t="str">
        <f t="shared" si="36"/>
        <v/>
      </c>
      <c r="AP67" s="39"/>
      <c r="AQ67" s="72" t="str">
        <f t="shared" si="37"/>
        <v/>
      </c>
      <c r="AR67" s="72" t="str">
        <f t="shared" si="38"/>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6"/>
        <v/>
      </c>
      <c r="AW67" s="72" t="str">
        <f t="shared" si="21"/>
        <v/>
      </c>
      <c r="AX67" s="39"/>
      <c r="AY67" s="40" t="str">
        <f>IF(ISERROR(IF($K67&lt;=$F$15,VLOOKUP($I67,'表4）CO2価格'!$A$7:$E$67,VLOOKUP($F$48,'表4）CO2価格'!$H$10:$I$12,2,0),0)*$F$8/1000,"")),0,IF($K67&lt;=$F$15,VLOOKUP($I67,'表4）CO2価格'!$A$7:$E$67,VLOOKUP($F$48,'表4）CO2価格'!$H$10:$I$12,2,0),0)*$F$8/1000,""))</f>
        <v/>
      </c>
      <c r="AZ67" s="39"/>
      <c r="BA67" s="42" t="str">
        <f t="shared" si="7"/>
        <v/>
      </c>
      <c r="BB67" s="72" t="str">
        <f t="shared" si="22"/>
        <v/>
      </c>
      <c r="BC67" s="39"/>
      <c r="BD67" s="72" t="str">
        <f t="shared" si="8"/>
        <v/>
      </c>
      <c r="BE67" s="72" t="str">
        <f t="shared" si="23"/>
        <v/>
      </c>
      <c r="BF67" s="39"/>
      <c r="BG67" s="42" t="str">
        <f t="shared" si="9"/>
        <v/>
      </c>
      <c r="BH67" s="72" t="str">
        <f t="shared" si="24"/>
        <v/>
      </c>
      <c r="BI67" s="39"/>
      <c r="BJ67" s="40" t="str">
        <f t="shared" si="25"/>
        <v/>
      </c>
      <c r="BK67" s="157" t="str">
        <f t="shared" si="26"/>
        <v/>
      </c>
      <c r="BL67" s="157" t="str">
        <f t="shared" si="10"/>
        <v/>
      </c>
      <c r="BM67" s="72"/>
      <c r="BN67" s="72" t="str">
        <f t="shared" si="27"/>
        <v/>
      </c>
      <c r="BO67" s="72" t="str">
        <f t="shared" si="28"/>
        <v/>
      </c>
      <c r="BP67" s="39"/>
      <c r="BQ67" s="72" t="str">
        <f t="shared" si="11"/>
        <v/>
      </c>
      <c r="BR67" s="72" t="str">
        <f t="shared" si="29"/>
        <v/>
      </c>
    </row>
    <row r="68" spans="2:70" x14ac:dyDescent="0.15">
      <c r="I68" s="322">
        <f t="shared" si="30"/>
        <v>2083</v>
      </c>
      <c r="K68" s="71">
        <f t="shared" si="31"/>
        <v>54</v>
      </c>
      <c r="M68" s="7">
        <f t="shared" si="0"/>
        <v>0.20267018593106703</v>
      </c>
      <c r="O68" s="10" t="str">
        <f t="shared" si="12"/>
        <v/>
      </c>
      <c r="P68" s="29" t="str">
        <f t="shared" si="1"/>
        <v/>
      </c>
      <c r="R68" s="10" t="str">
        <f t="shared" si="13"/>
        <v/>
      </c>
      <c r="T68" s="10" t="str">
        <f t="shared" si="14"/>
        <v/>
      </c>
      <c r="V68" s="10" t="str">
        <f t="shared" si="2"/>
        <v/>
      </c>
      <c r="W68" s="10" t="str">
        <f t="shared" si="15"/>
        <v/>
      </c>
      <c r="Y68" s="10" t="str">
        <f t="shared" si="3"/>
        <v/>
      </c>
      <c r="Z68" s="10" t="str">
        <f t="shared" si="16"/>
        <v/>
      </c>
      <c r="AB68" s="10" t="str">
        <f t="shared" si="4"/>
        <v/>
      </c>
      <c r="AC68" s="10" t="str">
        <f t="shared" si="17"/>
        <v/>
      </c>
      <c r="AE68" s="10" t="str">
        <f t="shared" si="5"/>
        <v/>
      </c>
      <c r="AF68" s="10" t="str">
        <f t="shared" si="18"/>
        <v/>
      </c>
      <c r="AH68" s="10" t="str">
        <f t="shared" si="32"/>
        <v/>
      </c>
      <c r="AI68" s="10" t="str">
        <f t="shared" si="20"/>
        <v/>
      </c>
      <c r="AK68" s="10" t="str">
        <f t="shared" si="33"/>
        <v/>
      </c>
      <c r="AL68" s="10" t="str">
        <f t="shared" si="34"/>
        <v/>
      </c>
      <c r="AN68" s="10" t="str">
        <f t="shared" si="35"/>
        <v/>
      </c>
      <c r="AO68" s="10" t="str">
        <f t="shared" si="36"/>
        <v/>
      </c>
      <c r="AQ68" s="10" t="str">
        <f t="shared" si="37"/>
        <v/>
      </c>
      <c r="AR68" s="10" t="str">
        <f t="shared" si="38"/>
        <v/>
      </c>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V68" s="10" t="str">
        <f t="shared" si="6"/>
        <v/>
      </c>
      <c r="AW68" s="10" t="str">
        <f t="shared" si="21"/>
        <v/>
      </c>
      <c r="AY68" s="7" t="str">
        <f>IF(ISERROR(IF($K68&lt;=$F$15,VLOOKUP($I68,'表4）CO2価格'!$A$7:$E$67,VLOOKUP($F$48,'表4）CO2価格'!$H$10:$I$12,2,0),0)*$F$8/1000,"")),0,IF($K68&lt;=$F$15,VLOOKUP($I68,'表4）CO2価格'!$A$7:$E$67,VLOOKUP($F$48,'表4）CO2価格'!$H$10:$I$12,2,0),0)*$F$8/1000,""))</f>
        <v/>
      </c>
      <c r="BA68" s="11" t="str">
        <f t="shared" si="7"/>
        <v/>
      </c>
      <c r="BB68" s="10" t="str">
        <f t="shared" si="22"/>
        <v/>
      </c>
      <c r="BD68" s="10" t="str">
        <f t="shared" si="8"/>
        <v/>
      </c>
      <c r="BE68" s="10" t="str">
        <f t="shared" si="23"/>
        <v/>
      </c>
      <c r="BG68" s="11" t="str">
        <f t="shared" si="9"/>
        <v/>
      </c>
      <c r="BH68" s="10" t="str">
        <f t="shared" si="24"/>
        <v/>
      </c>
      <c r="BJ68" s="7" t="str">
        <f t="shared" si="25"/>
        <v/>
      </c>
      <c r="BK68" s="158" t="str">
        <f t="shared" si="26"/>
        <v/>
      </c>
      <c r="BL68" s="158" t="str">
        <f t="shared" si="10"/>
        <v/>
      </c>
      <c r="BM68" s="10"/>
      <c r="BN68" s="10" t="str">
        <f t="shared" si="27"/>
        <v/>
      </c>
      <c r="BO68" s="10" t="str">
        <f t="shared" si="28"/>
        <v/>
      </c>
      <c r="BQ68" s="10" t="str">
        <f t="shared" si="11"/>
        <v/>
      </c>
      <c r="BR68" s="10" t="str">
        <f t="shared" si="29"/>
        <v/>
      </c>
    </row>
    <row r="69" spans="2:70" x14ac:dyDescent="0.15">
      <c r="C69" s="483" t="s">
        <v>134</v>
      </c>
      <c r="D69" s="71"/>
      <c r="E69" s="71"/>
      <c r="F69" s="484">
        <f>SUBTOTAL(9,F74:F112)-F105</f>
        <v>8.6716549684072</v>
      </c>
      <c r="G69" s="71" t="s">
        <v>590</v>
      </c>
      <c r="I69" s="38">
        <f t="shared" si="30"/>
        <v>2084</v>
      </c>
      <c r="J69" s="39"/>
      <c r="K69" s="39">
        <f t="shared" si="31"/>
        <v>55</v>
      </c>
      <c r="L69" s="39"/>
      <c r="M69" s="40">
        <f t="shared" si="0"/>
        <v>0.19676717080686118</v>
      </c>
      <c r="N69" s="39"/>
      <c r="O69" s="72" t="str">
        <f t="shared" si="12"/>
        <v/>
      </c>
      <c r="P69" s="41" t="str">
        <f t="shared" si="1"/>
        <v/>
      </c>
      <c r="Q69" s="39"/>
      <c r="R69" s="72" t="str">
        <f t="shared" si="13"/>
        <v/>
      </c>
      <c r="S69" s="39"/>
      <c r="T69" s="72" t="str">
        <f t="shared" si="14"/>
        <v/>
      </c>
      <c r="U69" s="39"/>
      <c r="V69" s="72" t="str">
        <f t="shared" si="2"/>
        <v/>
      </c>
      <c r="W69" s="72" t="str">
        <f t="shared" si="15"/>
        <v/>
      </c>
      <c r="X69" s="39"/>
      <c r="Y69" s="72" t="str">
        <f t="shared" si="3"/>
        <v/>
      </c>
      <c r="Z69" s="72" t="str">
        <f t="shared" si="16"/>
        <v/>
      </c>
      <c r="AA69" s="39"/>
      <c r="AB69" s="72" t="str">
        <f t="shared" si="4"/>
        <v/>
      </c>
      <c r="AC69" s="72" t="str">
        <f t="shared" si="17"/>
        <v/>
      </c>
      <c r="AD69" s="39"/>
      <c r="AE69" s="72" t="str">
        <f t="shared" si="5"/>
        <v/>
      </c>
      <c r="AF69" s="72" t="str">
        <f t="shared" si="18"/>
        <v/>
      </c>
      <c r="AG69" s="39"/>
      <c r="AH69" s="72" t="str">
        <f t="shared" si="32"/>
        <v/>
      </c>
      <c r="AI69" s="72" t="str">
        <f t="shared" si="20"/>
        <v/>
      </c>
      <c r="AJ69" s="39"/>
      <c r="AK69" s="72" t="str">
        <f t="shared" si="33"/>
        <v/>
      </c>
      <c r="AL69" s="72" t="str">
        <f t="shared" si="34"/>
        <v/>
      </c>
      <c r="AM69" s="39"/>
      <c r="AN69" s="72" t="str">
        <f t="shared" si="35"/>
        <v/>
      </c>
      <c r="AO69" s="72" t="str">
        <f t="shared" si="36"/>
        <v/>
      </c>
      <c r="AP69" s="39"/>
      <c r="AQ69" s="72" t="str">
        <f t="shared" si="37"/>
        <v/>
      </c>
      <c r="AR69" s="72" t="str">
        <f t="shared" si="38"/>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6"/>
        <v/>
      </c>
      <c r="AW69" s="72" t="str">
        <f t="shared" si="21"/>
        <v/>
      </c>
      <c r="AX69" s="39"/>
      <c r="AY69" s="40" t="str">
        <f>IF(ISERROR(IF($K69&lt;=$F$15,VLOOKUP($I69,'表4）CO2価格'!$A$7:$E$67,VLOOKUP($F$48,'表4）CO2価格'!$H$10:$I$12,2,0),0)*$F$8/1000,"")),0,IF($K69&lt;=$F$15,VLOOKUP($I69,'表4）CO2価格'!$A$7:$E$67,VLOOKUP($F$48,'表4）CO2価格'!$H$10:$I$12,2,0),0)*$F$8/1000,""))</f>
        <v/>
      </c>
      <c r="AZ69" s="39"/>
      <c r="BA69" s="42" t="str">
        <f t="shared" si="7"/>
        <v/>
      </c>
      <c r="BB69" s="72" t="str">
        <f t="shared" si="22"/>
        <v/>
      </c>
      <c r="BC69" s="39"/>
      <c r="BD69" s="72" t="str">
        <f t="shared" si="8"/>
        <v/>
      </c>
      <c r="BE69" s="72" t="str">
        <f t="shared" si="23"/>
        <v/>
      </c>
      <c r="BF69" s="39"/>
      <c r="BG69" s="42" t="str">
        <f t="shared" si="9"/>
        <v/>
      </c>
      <c r="BH69" s="72" t="str">
        <f t="shared" si="24"/>
        <v/>
      </c>
      <c r="BI69" s="39"/>
      <c r="BJ69" s="40" t="str">
        <f t="shared" si="25"/>
        <v/>
      </c>
      <c r="BK69" s="157" t="str">
        <f t="shared" si="26"/>
        <v/>
      </c>
      <c r="BL69" s="157" t="str">
        <f t="shared" si="10"/>
        <v/>
      </c>
      <c r="BM69" s="72"/>
      <c r="BN69" s="72" t="str">
        <f t="shared" si="27"/>
        <v/>
      </c>
      <c r="BO69" s="72" t="str">
        <f t="shared" si="28"/>
        <v/>
      </c>
      <c r="BP69" s="39"/>
      <c r="BQ69" s="72" t="str">
        <f t="shared" si="11"/>
        <v/>
      </c>
      <c r="BR69" s="72" t="str">
        <f t="shared" si="29"/>
        <v/>
      </c>
    </row>
    <row r="70" spans="2:70" x14ac:dyDescent="0.15">
      <c r="C70" s="483" t="s">
        <v>135</v>
      </c>
      <c r="D70" s="71"/>
      <c r="E70" s="71"/>
      <c r="F70" s="484">
        <f ca="1">MAX(SUM($Z$117,$AF$117,$AI$117,$AL$117,$AO$117,$AR$117,$AW$117,$BB$117,$BE$117,$BH$117,$BO$116)/$BR$116+$F$105,SUBTOTAL(9,F74:F112))</f>
        <v>10.925894480062761</v>
      </c>
      <c r="G70" s="71" t="s">
        <v>590</v>
      </c>
      <c r="I70" s="322">
        <f t="shared" si="30"/>
        <v>2085</v>
      </c>
      <c r="K70" s="71">
        <f t="shared" si="31"/>
        <v>56</v>
      </c>
      <c r="M70" s="7">
        <f t="shared" si="0"/>
        <v>0.19103608816200118</v>
      </c>
      <c r="O70" s="10" t="str">
        <f t="shared" si="12"/>
        <v/>
      </c>
      <c r="P70" s="29" t="str">
        <f t="shared" si="1"/>
        <v/>
      </c>
      <c r="R70" s="10" t="str">
        <f t="shared" si="13"/>
        <v/>
      </c>
      <c r="T70" s="10" t="str">
        <f t="shared" si="14"/>
        <v/>
      </c>
      <c r="V70" s="10" t="str">
        <f t="shared" si="2"/>
        <v/>
      </c>
      <c r="W70" s="10" t="str">
        <f t="shared" si="15"/>
        <v/>
      </c>
      <c r="Y70" s="10" t="str">
        <f t="shared" si="3"/>
        <v/>
      </c>
      <c r="Z70" s="10" t="str">
        <f t="shared" si="16"/>
        <v/>
      </c>
      <c r="AB70" s="10" t="str">
        <f t="shared" si="4"/>
        <v/>
      </c>
      <c r="AC70" s="10" t="str">
        <f t="shared" si="17"/>
        <v/>
      </c>
      <c r="AE70" s="10" t="str">
        <f t="shared" si="5"/>
        <v/>
      </c>
      <c r="AF70" s="10" t="str">
        <f t="shared" si="18"/>
        <v/>
      </c>
      <c r="AH70" s="10" t="str">
        <f t="shared" si="32"/>
        <v/>
      </c>
      <c r="AI70" s="10" t="str">
        <f t="shared" si="20"/>
        <v/>
      </c>
      <c r="AK70" s="10" t="str">
        <f t="shared" si="33"/>
        <v/>
      </c>
      <c r="AL70" s="10" t="str">
        <f t="shared" si="34"/>
        <v/>
      </c>
      <c r="AN70" s="10" t="str">
        <f t="shared" si="35"/>
        <v/>
      </c>
      <c r="AO70" s="10" t="str">
        <f t="shared" si="36"/>
        <v/>
      </c>
      <c r="AQ70" s="10" t="str">
        <f t="shared" si="37"/>
        <v/>
      </c>
      <c r="AR70" s="10" t="str">
        <f t="shared" si="38"/>
        <v/>
      </c>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V70" s="10" t="str">
        <f t="shared" si="6"/>
        <v/>
      </c>
      <c r="AW70" s="10" t="str">
        <f t="shared" si="21"/>
        <v/>
      </c>
      <c r="AY70" s="7" t="str">
        <f>IF(ISERROR(IF($K70&lt;=$F$15,VLOOKUP($I70,'表4）CO2価格'!$A$7:$E$67,VLOOKUP($F$48,'表4）CO2価格'!$H$10:$I$12,2,0),0)*$F$8/1000,"")),0,IF($K70&lt;=$F$15,VLOOKUP($I70,'表4）CO2価格'!$A$7:$E$67,VLOOKUP($F$48,'表4）CO2価格'!$H$10:$I$12,2,0),0)*$F$8/1000,""))</f>
        <v/>
      </c>
      <c r="BA70" s="11" t="str">
        <f t="shared" si="7"/>
        <v/>
      </c>
      <c r="BB70" s="10" t="str">
        <f t="shared" si="22"/>
        <v/>
      </c>
      <c r="BD70" s="10" t="str">
        <f t="shared" si="8"/>
        <v/>
      </c>
      <c r="BE70" s="10" t="str">
        <f t="shared" si="23"/>
        <v/>
      </c>
      <c r="BG70" s="11" t="str">
        <f t="shared" si="9"/>
        <v/>
      </c>
      <c r="BH70" s="10" t="str">
        <f t="shared" si="24"/>
        <v/>
      </c>
      <c r="BJ70" s="7" t="str">
        <f t="shared" si="25"/>
        <v/>
      </c>
      <c r="BK70" s="158" t="str">
        <f t="shared" si="26"/>
        <v/>
      </c>
      <c r="BL70" s="158" t="str">
        <f t="shared" si="10"/>
        <v/>
      </c>
      <c r="BM70" s="10"/>
      <c r="BN70" s="10" t="str">
        <f t="shared" si="27"/>
        <v/>
      </c>
      <c r="BO70" s="10" t="str">
        <f t="shared" si="28"/>
        <v/>
      </c>
      <c r="BQ70" s="10" t="str">
        <f t="shared" si="11"/>
        <v/>
      </c>
      <c r="BR70" s="10" t="str">
        <f t="shared" si="29"/>
        <v/>
      </c>
    </row>
    <row r="71" spans="2:70" x14ac:dyDescent="0.15">
      <c r="F71" s="485"/>
      <c r="I71" s="38">
        <f t="shared" si="30"/>
        <v>2086</v>
      </c>
      <c r="J71" s="39"/>
      <c r="K71" s="39">
        <f t="shared" si="31"/>
        <v>57</v>
      </c>
      <c r="L71" s="39"/>
      <c r="M71" s="40">
        <f t="shared" si="0"/>
        <v>0.18547193025437006</v>
      </c>
      <c r="N71" s="39"/>
      <c r="O71" s="72" t="str">
        <f t="shared" si="12"/>
        <v/>
      </c>
      <c r="P71" s="41" t="str">
        <f t="shared" si="1"/>
        <v/>
      </c>
      <c r="Q71" s="39"/>
      <c r="R71" s="72" t="str">
        <f t="shared" si="13"/>
        <v/>
      </c>
      <c r="S71" s="39"/>
      <c r="T71" s="72" t="str">
        <f t="shared" si="14"/>
        <v/>
      </c>
      <c r="U71" s="39"/>
      <c r="V71" s="72" t="str">
        <f t="shared" si="2"/>
        <v/>
      </c>
      <c r="W71" s="72" t="str">
        <f t="shared" si="15"/>
        <v/>
      </c>
      <c r="X71" s="39"/>
      <c r="Y71" s="72" t="str">
        <f t="shared" si="3"/>
        <v/>
      </c>
      <c r="Z71" s="72" t="str">
        <f t="shared" si="16"/>
        <v/>
      </c>
      <c r="AA71" s="39"/>
      <c r="AB71" s="72" t="str">
        <f t="shared" si="4"/>
        <v/>
      </c>
      <c r="AC71" s="72" t="str">
        <f t="shared" si="17"/>
        <v/>
      </c>
      <c r="AD71" s="39"/>
      <c r="AE71" s="72" t="str">
        <f t="shared" si="5"/>
        <v/>
      </c>
      <c r="AF71" s="72" t="str">
        <f t="shared" si="18"/>
        <v/>
      </c>
      <c r="AG71" s="39"/>
      <c r="AH71" s="72" t="str">
        <f t="shared" si="32"/>
        <v/>
      </c>
      <c r="AI71" s="72" t="str">
        <f t="shared" si="20"/>
        <v/>
      </c>
      <c r="AJ71" s="39"/>
      <c r="AK71" s="72" t="str">
        <f t="shared" si="33"/>
        <v/>
      </c>
      <c r="AL71" s="72" t="str">
        <f t="shared" si="34"/>
        <v/>
      </c>
      <c r="AM71" s="39"/>
      <c r="AN71" s="72" t="str">
        <f t="shared" si="35"/>
        <v/>
      </c>
      <c r="AO71" s="72" t="str">
        <f t="shared" si="36"/>
        <v/>
      </c>
      <c r="AP71" s="39"/>
      <c r="AQ71" s="72" t="str">
        <f t="shared" si="37"/>
        <v/>
      </c>
      <c r="AR71" s="72" t="str">
        <f t="shared" si="38"/>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6"/>
        <v/>
      </c>
      <c r="AW71" s="72" t="str">
        <f t="shared" si="21"/>
        <v/>
      </c>
      <c r="AX71" s="39"/>
      <c r="AY71" s="40" t="str">
        <f>IF(ISERROR(IF($K71&lt;=$F$15,VLOOKUP($I71,'表4）CO2価格'!$A$7:$E$67,VLOOKUP($F$48,'表4）CO2価格'!$H$10:$I$12,2,0),0)*$F$8/1000,"")),0,IF($K71&lt;=$F$15,VLOOKUP($I71,'表4）CO2価格'!$A$7:$E$67,VLOOKUP($F$48,'表4）CO2価格'!$H$10:$I$12,2,0),0)*$F$8/1000,""))</f>
        <v/>
      </c>
      <c r="AZ71" s="39"/>
      <c r="BA71" s="42" t="str">
        <f t="shared" si="7"/>
        <v/>
      </c>
      <c r="BB71" s="72" t="str">
        <f t="shared" si="22"/>
        <v/>
      </c>
      <c r="BC71" s="39"/>
      <c r="BD71" s="72" t="str">
        <f t="shared" si="8"/>
        <v/>
      </c>
      <c r="BE71" s="72" t="str">
        <f t="shared" si="23"/>
        <v/>
      </c>
      <c r="BF71" s="39"/>
      <c r="BG71" s="42" t="str">
        <f t="shared" si="9"/>
        <v/>
      </c>
      <c r="BH71" s="72" t="str">
        <f t="shared" si="24"/>
        <v/>
      </c>
      <c r="BI71" s="39"/>
      <c r="BJ71" s="40" t="str">
        <f t="shared" si="25"/>
        <v/>
      </c>
      <c r="BK71" s="157" t="str">
        <f t="shared" si="26"/>
        <v/>
      </c>
      <c r="BL71" s="157" t="str">
        <f t="shared" si="10"/>
        <v/>
      </c>
      <c r="BM71" s="72"/>
      <c r="BN71" s="72" t="str">
        <f t="shared" si="27"/>
        <v/>
      </c>
      <c r="BO71" s="72" t="str">
        <f t="shared" si="28"/>
        <v/>
      </c>
      <c r="BP71" s="39"/>
      <c r="BQ71" s="72" t="str">
        <f t="shared" si="11"/>
        <v/>
      </c>
      <c r="BR71" s="72" t="str">
        <f t="shared" si="29"/>
        <v/>
      </c>
    </row>
    <row r="72" spans="2:70" x14ac:dyDescent="0.15">
      <c r="C72" s="4" t="s">
        <v>136</v>
      </c>
      <c r="D72" s="100"/>
      <c r="E72" s="100"/>
      <c r="F72" s="486"/>
      <c r="G72" s="100"/>
      <c r="I72" s="322">
        <f t="shared" si="30"/>
        <v>2087</v>
      </c>
      <c r="K72" s="71">
        <f t="shared" si="31"/>
        <v>58</v>
      </c>
      <c r="M72" s="7">
        <f t="shared" si="0"/>
        <v>0.18006983519841754</v>
      </c>
      <c r="O72" s="10" t="str">
        <f t="shared" si="12"/>
        <v/>
      </c>
      <c r="P72" s="29" t="str">
        <f t="shared" si="1"/>
        <v/>
      </c>
      <c r="R72" s="10" t="str">
        <f t="shared" si="13"/>
        <v/>
      </c>
      <c r="T72" s="10" t="str">
        <f t="shared" si="14"/>
        <v/>
      </c>
      <c r="V72" s="10" t="str">
        <f t="shared" si="2"/>
        <v/>
      </c>
      <c r="W72" s="10" t="str">
        <f t="shared" si="15"/>
        <v/>
      </c>
      <c r="Y72" s="10" t="str">
        <f t="shared" si="3"/>
        <v/>
      </c>
      <c r="Z72" s="10" t="str">
        <f t="shared" si="16"/>
        <v/>
      </c>
      <c r="AB72" s="10" t="str">
        <f t="shared" si="4"/>
        <v/>
      </c>
      <c r="AC72" s="10" t="str">
        <f t="shared" si="17"/>
        <v/>
      </c>
      <c r="AE72" s="10" t="str">
        <f t="shared" si="5"/>
        <v/>
      </c>
      <c r="AF72" s="10" t="str">
        <f t="shared" si="18"/>
        <v/>
      </c>
      <c r="AH72" s="10" t="str">
        <f t="shared" si="32"/>
        <v/>
      </c>
      <c r="AI72" s="10" t="str">
        <f t="shared" si="20"/>
        <v/>
      </c>
      <c r="AK72" s="10" t="str">
        <f t="shared" si="33"/>
        <v/>
      </c>
      <c r="AL72" s="10" t="str">
        <f t="shared" si="34"/>
        <v/>
      </c>
      <c r="AN72" s="10" t="str">
        <f t="shared" si="35"/>
        <v/>
      </c>
      <c r="AO72" s="10" t="str">
        <f t="shared" si="36"/>
        <v/>
      </c>
      <c r="AQ72" s="10" t="str">
        <f t="shared" si="37"/>
        <v/>
      </c>
      <c r="AR72" s="10" t="str">
        <f t="shared" si="38"/>
        <v/>
      </c>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V72" s="10" t="str">
        <f t="shared" si="6"/>
        <v/>
      </c>
      <c r="AW72" s="10" t="str">
        <f t="shared" si="21"/>
        <v/>
      </c>
      <c r="AY72" s="7" t="str">
        <f>IF(ISERROR(IF($K72&lt;=$F$15,VLOOKUP($I72,'表4）CO2価格'!$A$7:$E$67,VLOOKUP($F$48,'表4）CO2価格'!$H$10:$I$12,2,0),0)*$F$8/1000,"")),0,IF($K72&lt;=$F$15,VLOOKUP($I72,'表4）CO2価格'!$A$7:$E$67,VLOOKUP($F$48,'表4）CO2価格'!$H$10:$I$12,2,0),0)*$F$8/1000,""))</f>
        <v/>
      </c>
      <c r="BA72" s="11" t="str">
        <f t="shared" si="7"/>
        <v/>
      </c>
      <c r="BB72" s="10" t="str">
        <f t="shared" si="22"/>
        <v/>
      </c>
      <c r="BD72" s="10" t="str">
        <f t="shared" si="8"/>
        <v/>
      </c>
      <c r="BE72" s="10" t="str">
        <f t="shared" si="23"/>
        <v/>
      </c>
      <c r="BG72" s="11" t="str">
        <f t="shared" si="9"/>
        <v/>
      </c>
      <c r="BH72" s="10" t="str">
        <f t="shared" si="24"/>
        <v/>
      </c>
      <c r="BJ72" s="7" t="str">
        <f t="shared" si="25"/>
        <v/>
      </c>
      <c r="BK72" s="158" t="str">
        <f t="shared" si="26"/>
        <v/>
      </c>
      <c r="BL72" s="158" t="str">
        <f t="shared" si="10"/>
        <v/>
      </c>
      <c r="BM72" s="10"/>
      <c r="BN72" s="10" t="str">
        <f t="shared" si="27"/>
        <v/>
      </c>
      <c r="BO72" s="10" t="str">
        <f t="shared" si="28"/>
        <v/>
      </c>
      <c r="BQ72" s="10" t="str">
        <f t="shared" si="11"/>
        <v/>
      </c>
      <c r="BR72" s="10" t="str">
        <f t="shared" si="29"/>
        <v/>
      </c>
    </row>
    <row r="73" spans="2:70" x14ac:dyDescent="0.15">
      <c r="F73" s="487"/>
      <c r="I73" s="38">
        <f t="shared" si="30"/>
        <v>2088</v>
      </c>
      <c r="J73" s="39"/>
      <c r="K73" s="39">
        <f t="shared" si="31"/>
        <v>59</v>
      </c>
      <c r="L73" s="39"/>
      <c r="M73" s="40">
        <f t="shared" si="0"/>
        <v>0.17482508271691022</v>
      </c>
      <c r="N73" s="39"/>
      <c r="O73" s="72" t="str">
        <f t="shared" si="12"/>
        <v/>
      </c>
      <c r="P73" s="41" t="str">
        <f t="shared" si="1"/>
        <v/>
      </c>
      <c r="Q73" s="39"/>
      <c r="R73" s="72" t="str">
        <f t="shared" si="13"/>
        <v/>
      </c>
      <c r="S73" s="39"/>
      <c r="T73" s="72" t="str">
        <f t="shared" si="14"/>
        <v/>
      </c>
      <c r="U73" s="39"/>
      <c r="V73" s="72" t="str">
        <f t="shared" si="2"/>
        <v/>
      </c>
      <c r="W73" s="72" t="str">
        <f t="shared" si="15"/>
        <v/>
      </c>
      <c r="X73" s="39"/>
      <c r="Y73" s="72" t="str">
        <f t="shared" si="3"/>
        <v/>
      </c>
      <c r="Z73" s="72" t="str">
        <f t="shared" si="16"/>
        <v/>
      </c>
      <c r="AA73" s="39"/>
      <c r="AB73" s="72" t="str">
        <f t="shared" si="4"/>
        <v/>
      </c>
      <c r="AC73" s="72" t="str">
        <f t="shared" si="17"/>
        <v/>
      </c>
      <c r="AD73" s="39"/>
      <c r="AE73" s="72" t="str">
        <f t="shared" si="5"/>
        <v/>
      </c>
      <c r="AF73" s="72" t="str">
        <f t="shared" si="18"/>
        <v/>
      </c>
      <c r="AG73" s="39"/>
      <c r="AH73" s="72" t="str">
        <f t="shared" si="32"/>
        <v/>
      </c>
      <c r="AI73" s="72" t="str">
        <f t="shared" si="20"/>
        <v/>
      </c>
      <c r="AJ73" s="39"/>
      <c r="AK73" s="72" t="str">
        <f t="shared" si="33"/>
        <v/>
      </c>
      <c r="AL73" s="72" t="str">
        <f t="shared" si="34"/>
        <v/>
      </c>
      <c r="AM73" s="39"/>
      <c r="AN73" s="72" t="str">
        <f t="shared" si="35"/>
        <v/>
      </c>
      <c r="AO73" s="72" t="str">
        <f t="shared" si="36"/>
        <v/>
      </c>
      <c r="AP73" s="39"/>
      <c r="AQ73" s="72" t="str">
        <f t="shared" si="37"/>
        <v/>
      </c>
      <c r="AR73" s="72" t="str">
        <f t="shared" si="38"/>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6"/>
        <v/>
      </c>
      <c r="AW73" s="72" t="str">
        <f t="shared" si="21"/>
        <v/>
      </c>
      <c r="AX73" s="39"/>
      <c r="AY73" s="40" t="str">
        <f>IF(ISERROR(IF($K73&lt;=$F$15,VLOOKUP($I73,'表4）CO2価格'!$A$7:$E$67,VLOOKUP($F$48,'表4）CO2価格'!$H$10:$I$12,2,0),0)*$F$8/1000,"")),0,IF($K73&lt;=$F$15,VLOOKUP($I73,'表4）CO2価格'!$A$7:$E$67,VLOOKUP($F$48,'表4）CO2価格'!$H$10:$I$12,2,0),0)*$F$8/1000,""))</f>
        <v/>
      </c>
      <c r="AZ73" s="39"/>
      <c r="BA73" s="42" t="str">
        <f t="shared" si="7"/>
        <v/>
      </c>
      <c r="BB73" s="72" t="str">
        <f t="shared" si="22"/>
        <v/>
      </c>
      <c r="BC73" s="39"/>
      <c r="BD73" s="72" t="str">
        <f t="shared" si="8"/>
        <v/>
      </c>
      <c r="BE73" s="72" t="str">
        <f t="shared" si="23"/>
        <v/>
      </c>
      <c r="BF73" s="39"/>
      <c r="BG73" s="42" t="str">
        <f t="shared" si="9"/>
        <v/>
      </c>
      <c r="BH73" s="72" t="str">
        <f t="shared" si="24"/>
        <v/>
      </c>
      <c r="BI73" s="39"/>
      <c r="BJ73" s="40" t="str">
        <f t="shared" si="25"/>
        <v/>
      </c>
      <c r="BK73" s="157" t="str">
        <f t="shared" si="26"/>
        <v/>
      </c>
      <c r="BL73" s="157" t="str">
        <f t="shared" si="10"/>
        <v/>
      </c>
      <c r="BM73" s="72"/>
      <c r="BN73" s="72" t="str">
        <f t="shared" si="27"/>
        <v/>
      </c>
      <c r="BO73" s="72" t="str">
        <f t="shared" si="28"/>
        <v/>
      </c>
      <c r="BP73" s="39"/>
      <c r="BQ73" s="72" t="str">
        <f t="shared" si="11"/>
        <v/>
      </c>
      <c r="BR73" s="72" t="str">
        <f t="shared" si="29"/>
        <v/>
      </c>
    </row>
    <row r="74" spans="2:70" ht="15" x14ac:dyDescent="0.15">
      <c r="D74" s="103" t="s">
        <v>591</v>
      </c>
      <c r="F74" s="484">
        <f>SUBTOTAL(9,F78:F81)</f>
        <v>5.7108008976339972</v>
      </c>
      <c r="G74" s="84" t="s">
        <v>590</v>
      </c>
      <c r="I74" s="322">
        <f t="shared" si="30"/>
        <v>2089</v>
      </c>
      <c r="K74" s="71">
        <f t="shared" si="31"/>
        <v>60</v>
      </c>
      <c r="M74" s="7">
        <f t="shared" si="0"/>
        <v>0.1697330900164177</v>
      </c>
      <c r="O74" s="10" t="str">
        <f t="shared" si="12"/>
        <v/>
      </c>
      <c r="P74" s="29" t="str">
        <f t="shared" si="1"/>
        <v/>
      </c>
      <c r="R74" s="10" t="str">
        <f t="shared" si="13"/>
        <v/>
      </c>
      <c r="T74" s="10" t="str">
        <f t="shared" si="14"/>
        <v/>
      </c>
      <c r="V74" s="10" t="str">
        <f t="shared" si="2"/>
        <v/>
      </c>
      <c r="W74" s="10" t="str">
        <f t="shared" si="15"/>
        <v/>
      </c>
      <c r="Y74" s="10" t="str">
        <f t="shared" si="3"/>
        <v/>
      </c>
      <c r="Z74" s="10" t="str">
        <f t="shared" si="16"/>
        <v/>
      </c>
      <c r="AB74" s="10" t="str">
        <f t="shared" si="4"/>
        <v/>
      </c>
      <c r="AC74" s="10" t="str">
        <f t="shared" si="17"/>
        <v/>
      </c>
      <c r="AE74" s="10" t="str">
        <f t="shared" si="5"/>
        <v/>
      </c>
      <c r="AF74" s="10" t="str">
        <f t="shared" si="18"/>
        <v/>
      </c>
      <c r="AH74" s="10" t="str">
        <f t="shared" si="32"/>
        <v/>
      </c>
      <c r="AI74" s="10" t="str">
        <f t="shared" si="20"/>
        <v/>
      </c>
      <c r="AK74" s="10" t="str">
        <f t="shared" si="33"/>
        <v/>
      </c>
      <c r="AL74" s="10" t="str">
        <f t="shared" si="34"/>
        <v/>
      </c>
      <c r="AN74" s="10" t="str">
        <f t="shared" si="35"/>
        <v/>
      </c>
      <c r="AO74" s="10" t="str">
        <f t="shared" si="36"/>
        <v/>
      </c>
      <c r="AQ74" s="10" t="str">
        <f t="shared" si="37"/>
        <v/>
      </c>
      <c r="AR74" s="10" t="str">
        <f t="shared" si="38"/>
        <v/>
      </c>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V74" s="10" t="str">
        <f t="shared" si="6"/>
        <v/>
      </c>
      <c r="AW74" s="10" t="str">
        <f t="shared" si="21"/>
        <v/>
      </c>
      <c r="AY74" s="7" t="str">
        <f>IF(ISERROR(IF($K74&lt;=$F$15,VLOOKUP($I74,'表4）CO2価格'!$A$7:$E$67,VLOOKUP($F$48,'表4）CO2価格'!$H$10:$I$12,2,0),0)*$F$8/1000,"")),0,IF($K74&lt;=$F$15,VLOOKUP($I74,'表4）CO2価格'!$A$7:$E$67,VLOOKUP($F$48,'表4）CO2価格'!$H$10:$I$12,2,0),0)*$F$8/1000,""))</f>
        <v/>
      </c>
      <c r="BA74" s="11" t="str">
        <f t="shared" si="7"/>
        <v/>
      </c>
      <c r="BB74" s="10" t="str">
        <f t="shared" si="22"/>
        <v/>
      </c>
      <c r="BD74" s="10" t="str">
        <f t="shared" si="8"/>
        <v/>
      </c>
      <c r="BE74" s="10" t="str">
        <f t="shared" si="23"/>
        <v/>
      </c>
      <c r="BG74" s="11" t="str">
        <f t="shared" si="9"/>
        <v/>
      </c>
      <c r="BH74" s="10" t="str">
        <f t="shared" si="24"/>
        <v/>
      </c>
      <c r="BJ74" s="7" t="str">
        <f t="shared" si="25"/>
        <v/>
      </c>
      <c r="BK74" s="158" t="str">
        <f t="shared" si="26"/>
        <v/>
      </c>
      <c r="BL74" s="158" t="str">
        <f t="shared" si="10"/>
        <v/>
      </c>
      <c r="BM74" s="10"/>
      <c r="BN74" s="10" t="str">
        <f t="shared" si="27"/>
        <v/>
      </c>
      <c r="BO74" s="10" t="str">
        <f t="shared" si="28"/>
        <v/>
      </c>
      <c r="BQ74" s="10" t="str">
        <f t="shared" si="11"/>
        <v/>
      </c>
      <c r="BR74" s="10" t="str">
        <f t="shared" si="29"/>
        <v/>
      </c>
    </row>
    <row r="75" spans="2:70" x14ac:dyDescent="0.15">
      <c r="F75" s="487"/>
      <c r="I75" s="38">
        <f t="shared" si="30"/>
        <v>2090</v>
      </c>
      <c r="J75" s="39"/>
      <c r="K75" s="39">
        <f t="shared" si="31"/>
        <v>61</v>
      </c>
      <c r="L75" s="39"/>
      <c r="M75" s="40">
        <f t="shared" si="0"/>
        <v>0.16478940778292983</v>
      </c>
      <c r="N75" s="39"/>
      <c r="O75" s="72" t="str">
        <f t="shared" si="12"/>
        <v/>
      </c>
      <c r="P75" s="41" t="str">
        <f t="shared" si="1"/>
        <v/>
      </c>
      <c r="Q75" s="39"/>
      <c r="R75" s="72" t="str">
        <f t="shared" si="13"/>
        <v/>
      </c>
      <c r="S75" s="39"/>
      <c r="T75" s="72" t="str">
        <f t="shared" si="14"/>
        <v/>
      </c>
      <c r="U75" s="39"/>
      <c r="V75" s="72" t="str">
        <f t="shared" si="2"/>
        <v/>
      </c>
      <c r="W75" s="72" t="str">
        <f t="shared" si="15"/>
        <v/>
      </c>
      <c r="X75" s="39"/>
      <c r="Y75" s="72" t="str">
        <f t="shared" si="3"/>
        <v/>
      </c>
      <c r="Z75" s="72" t="str">
        <f t="shared" si="16"/>
        <v/>
      </c>
      <c r="AA75" s="39"/>
      <c r="AB75" s="72" t="str">
        <f t="shared" si="4"/>
        <v/>
      </c>
      <c r="AC75" s="72" t="str">
        <f t="shared" si="17"/>
        <v/>
      </c>
      <c r="AD75" s="39"/>
      <c r="AE75" s="72" t="str">
        <f t="shared" si="5"/>
        <v/>
      </c>
      <c r="AF75" s="72" t="str">
        <f t="shared" si="18"/>
        <v/>
      </c>
      <c r="AG75" s="39"/>
      <c r="AH75" s="72" t="str">
        <f t="shared" si="32"/>
        <v/>
      </c>
      <c r="AI75" s="72" t="str">
        <f t="shared" si="20"/>
        <v/>
      </c>
      <c r="AJ75" s="39"/>
      <c r="AK75" s="72" t="str">
        <f t="shared" si="33"/>
        <v/>
      </c>
      <c r="AL75" s="72" t="str">
        <f t="shared" si="34"/>
        <v/>
      </c>
      <c r="AM75" s="39"/>
      <c r="AN75" s="72" t="str">
        <f t="shared" si="35"/>
        <v/>
      </c>
      <c r="AO75" s="72" t="str">
        <f t="shared" si="36"/>
        <v/>
      </c>
      <c r="AP75" s="39"/>
      <c r="AQ75" s="72" t="str">
        <f t="shared" si="37"/>
        <v/>
      </c>
      <c r="AR75" s="72" t="str">
        <f t="shared" si="38"/>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6"/>
        <v/>
      </c>
      <c r="AW75" s="72" t="str">
        <f t="shared" si="21"/>
        <v/>
      </c>
      <c r="AX75" s="39"/>
      <c r="AY75" s="40" t="str">
        <f>IF(ISERROR(IF($K75&lt;=$F$15,VLOOKUP($I75,'表4）CO2価格'!$A$7:$E$67,VLOOKUP($F$48,'表4）CO2価格'!$H$10:$I$12,2,0),0)*$F$8/1000,"")),0,IF($K75&lt;=$F$15,VLOOKUP($I75,'表4）CO2価格'!$A$7:$E$67,VLOOKUP($F$48,'表4）CO2価格'!$H$10:$I$12,2,0),0)*$F$8/1000,""))</f>
        <v/>
      </c>
      <c r="AZ75" s="39"/>
      <c r="BA75" s="42" t="str">
        <f t="shared" si="7"/>
        <v/>
      </c>
      <c r="BB75" s="72" t="str">
        <f t="shared" si="22"/>
        <v/>
      </c>
      <c r="BC75" s="39"/>
      <c r="BD75" s="72" t="str">
        <f t="shared" si="8"/>
        <v/>
      </c>
      <c r="BE75" s="72" t="str">
        <f t="shared" si="23"/>
        <v/>
      </c>
      <c r="BF75" s="39"/>
      <c r="BG75" s="42" t="str">
        <f t="shared" si="9"/>
        <v/>
      </c>
      <c r="BH75" s="72" t="str">
        <f t="shared" si="24"/>
        <v/>
      </c>
      <c r="BI75" s="39"/>
      <c r="BJ75" s="40" t="str">
        <f t="shared" si="25"/>
        <v/>
      </c>
      <c r="BK75" s="157" t="str">
        <f t="shared" si="26"/>
        <v/>
      </c>
      <c r="BL75" s="157" t="str">
        <f t="shared" si="10"/>
        <v/>
      </c>
      <c r="BM75" s="72"/>
      <c r="BN75" s="72" t="str">
        <f t="shared" si="27"/>
        <v/>
      </c>
      <c r="BO75" s="72" t="str">
        <f t="shared" si="28"/>
        <v/>
      </c>
      <c r="BP75" s="39"/>
      <c r="BQ75" s="72" t="str">
        <f t="shared" si="11"/>
        <v/>
      </c>
      <c r="BR75" s="72" t="str">
        <f t="shared" si="29"/>
        <v/>
      </c>
    </row>
    <row r="76" spans="2:70" x14ac:dyDescent="0.15">
      <c r="D76" s="100" t="s">
        <v>592</v>
      </c>
      <c r="E76" s="100"/>
      <c r="F76" s="486"/>
      <c r="G76" s="100"/>
      <c r="I76" s="322">
        <f t="shared" si="30"/>
        <v>2091</v>
      </c>
      <c r="K76" s="71">
        <f t="shared" si="31"/>
        <v>62</v>
      </c>
      <c r="M76" s="7">
        <f t="shared" si="0"/>
        <v>0.15998971629410663</v>
      </c>
      <c r="O76" s="10" t="str">
        <f t="shared" si="12"/>
        <v/>
      </c>
      <c r="P76" s="29" t="str">
        <f t="shared" si="1"/>
        <v/>
      </c>
      <c r="R76" s="10" t="str">
        <f t="shared" si="13"/>
        <v/>
      </c>
      <c r="T76" s="10" t="str">
        <f t="shared" si="14"/>
        <v/>
      </c>
      <c r="V76" s="10" t="str">
        <f t="shared" si="2"/>
        <v/>
      </c>
      <c r="W76" s="10" t="str">
        <f t="shared" si="15"/>
        <v/>
      </c>
      <c r="Y76" s="10" t="str">
        <f t="shared" si="3"/>
        <v/>
      </c>
      <c r="Z76" s="10" t="str">
        <f t="shared" si="16"/>
        <v/>
      </c>
      <c r="AB76" s="10" t="str">
        <f t="shared" si="4"/>
        <v/>
      </c>
      <c r="AC76" s="10" t="str">
        <f t="shared" si="17"/>
        <v/>
      </c>
      <c r="AE76" s="10" t="str">
        <f t="shared" si="5"/>
        <v/>
      </c>
      <c r="AF76" s="10" t="str">
        <f t="shared" si="18"/>
        <v/>
      </c>
      <c r="AH76" s="10" t="str">
        <f t="shared" si="32"/>
        <v/>
      </c>
      <c r="AI76" s="10" t="str">
        <f t="shared" si="20"/>
        <v/>
      </c>
      <c r="AK76" s="10" t="str">
        <f t="shared" si="33"/>
        <v/>
      </c>
      <c r="AL76" s="10" t="str">
        <f t="shared" si="34"/>
        <v/>
      </c>
      <c r="AN76" s="10" t="str">
        <f t="shared" si="35"/>
        <v/>
      </c>
      <c r="AO76" s="10" t="str">
        <f t="shared" si="36"/>
        <v/>
      </c>
      <c r="AQ76" s="10" t="str">
        <f t="shared" si="37"/>
        <v/>
      </c>
      <c r="AR76" s="10" t="str">
        <f t="shared" si="38"/>
        <v/>
      </c>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V76" s="10" t="str">
        <f t="shared" si="6"/>
        <v/>
      </c>
      <c r="AW76" s="10" t="str">
        <f t="shared" si="21"/>
        <v/>
      </c>
      <c r="AY76" s="7" t="str">
        <f>IF(ISERROR(IF($K76&lt;=$F$15,VLOOKUP($I76,'表4）CO2価格'!$A$7:$E$67,VLOOKUP($F$48,'表4）CO2価格'!$H$10:$I$12,2,0),0)*$F$8/1000,"")),0,IF($K76&lt;=$F$15,VLOOKUP($I76,'表4）CO2価格'!$A$7:$E$67,VLOOKUP($F$48,'表4）CO2価格'!$H$10:$I$12,2,0),0)*$F$8/1000,""))</f>
        <v/>
      </c>
      <c r="BA76" s="11" t="str">
        <f t="shared" si="7"/>
        <v/>
      </c>
      <c r="BB76" s="10" t="str">
        <f t="shared" si="22"/>
        <v/>
      </c>
      <c r="BD76" s="10" t="str">
        <f t="shared" si="8"/>
        <v/>
      </c>
      <c r="BE76" s="10" t="str">
        <f t="shared" si="23"/>
        <v/>
      </c>
      <c r="BG76" s="11" t="str">
        <f t="shared" si="9"/>
        <v/>
      </c>
      <c r="BH76" s="10" t="str">
        <f t="shared" si="24"/>
        <v/>
      </c>
      <c r="BJ76" s="7" t="str">
        <f t="shared" si="25"/>
        <v/>
      </c>
      <c r="BK76" s="158" t="str">
        <f t="shared" si="26"/>
        <v/>
      </c>
      <c r="BL76" s="158" t="str">
        <f t="shared" si="10"/>
        <v/>
      </c>
      <c r="BM76" s="10"/>
      <c r="BN76" s="10" t="str">
        <f t="shared" si="27"/>
        <v/>
      </c>
      <c r="BO76" s="10" t="str">
        <f t="shared" si="28"/>
        <v/>
      </c>
      <c r="BQ76" s="10" t="str">
        <f t="shared" si="11"/>
        <v/>
      </c>
      <c r="BR76" s="10" t="str">
        <f t="shared" si="29"/>
        <v/>
      </c>
    </row>
    <row r="77" spans="2:70" x14ac:dyDescent="0.15">
      <c r="F77" s="487"/>
      <c r="I77" s="38">
        <f t="shared" si="30"/>
        <v>2092</v>
      </c>
      <c r="J77" s="39"/>
      <c r="K77" s="39">
        <f t="shared" si="31"/>
        <v>63</v>
      </c>
      <c r="L77" s="39"/>
      <c r="M77" s="40">
        <f t="shared" si="0"/>
        <v>0.15532982164476369</v>
      </c>
      <c r="N77" s="39"/>
      <c r="O77" s="72" t="str">
        <f t="shared" si="12"/>
        <v/>
      </c>
      <c r="P77" s="41" t="str">
        <f t="shared" si="1"/>
        <v/>
      </c>
      <c r="Q77" s="39"/>
      <c r="R77" s="72" t="str">
        <f t="shared" si="13"/>
        <v/>
      </c>
      <c r="S77" s="39"/>
      <c r="T77" s="72" t="str">
        <f t="shared" si="14"/>
        <v/>
      </c>
      <c r="U77" s="39"/>
      <c r="V77" s="72" t="str">
        <f t="shared" si="2"/>
        <v/>
      </c>
      <c r="W77" s="72" t="str">
        <f t="shared" si="15"/>
        <v/>
      </c>
      <c r="X77" s="39"/>
      <c r="Y77" s="72" t="str">
        <f t="shared" si="3"/>
        <v/>
      </c>
      <c r="Z77" s="72" t="str">
        <f t="shared" si="16"/>
        <v/>
      </c>
      <c r="AA77" s="39"/>
      <c r="AB77" s="72" t="str">
        <f t="shared" si="4"/>
        <v/>
      </c>
      <c r="AC77" s="72" t="str">
        <f t="shared" si="17"/>
        <v/>
      </c>
      <c r="AD77" s="39"/>
      <c r="AE77" s="72" t="str">
        <f t="shared" si="5"/>
        <v/>
      </c>
      <c r="AF77" s="72" t="str">
        <f t="shared" si="18"/>
        <v/>
      </c>
      <c r="AG77" s="39"/>
      <c r="AH77" s="72" t="str">
        <f t="shared" si="32"/>
        <v/>
      </c>
      <c r="AI77" s="72" t="str">
        <f t="shared" si="20"/>
        <v/>
      </c>
      <c r="AJ77" s="39"/>
      <c r="AK77" s="72" t="str">
        <f t="shared" si="33"/>
        <v/>
      </c>
      <c r="AL77" s="72" t="str">
        <f t="shared" si="34"/>
        <v/>
      </c>
      <c r="AM77" s="39"/>
      <c r="AN77" s="72" t="str">
        <f t="shared" si="35"/>
        <v/>
      </c>
      <c r="AO77" s="72" t="str">
        <f t="shared" si="36"/>
        <v/>
      </c>
      <c r="AP77" s="39"/>
      <c r="AQ77" s="72" t="str">
        <f t="shared" si="37"/>
        <v/>
      </c>
      <c r="AR77" s="72" t="str">
        <f t="shared" si="38"/>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6"/>
        <v/>
      </c>
      <c r="AW77" s="72" t="str">
        <f t="shared" si="21"/>
        <v/>
      </c>
      <c r="AX77" s="39"/>
      <c r="AY77" s="40" t="str">
        <f>IF(ISERROR(IF($K77&lt;=$F$15,VLOOKUP($I77,'表4）CO2価格'!$A$7:$E$67,VLOOKUP($F$48,'表4）CO2価格'!$H$10:$I$12,2,0),0)*$F$8/1000,"")),0,IF($K77&lt;=$F$15,VLOOKUP($I77,'表4）CO2価格'!$A$7:$E$67,VLOOKUP($F$48,'表4）CO2価格'!$H$10:$I$12,2,0),0)*$F$8/1000,""))</f>
        <v/>
      </c>
      <c r="AZ77" s="39"/>
      <c r="BA77" s="42" t="str">
        <f t="shared" si="7"/>
        <v/>
      </c>
      <c r="BB77" s="72" t="str">
        <f t="shared" si="22"/>
        <v/>
      </c>
      <c r="BC77" s="39"/>
      <c r="BD77" s="72" t="str">
        <f t="shared" si="8"/>
        <v/>
      </c>
      <c r="BE77" s="72" t="str">
        <f t="shared" si="23"/>
        <v/>
      </c>
      <c r="BF77" s="39"/>
      <c r="BG77" s="42" t="str">
        <f t="shared" si="9"/>
        <v/>
      </c>
      <c r="BH77" s="72" t="str">
        <f t="shared" si="24"/>
        <v/>
      </c>
      <c r="BI77" s="39"/>
      <c r="BJ77" s="40" t="str">
        <f t="shared" si="25"/>
        <v/>
      </c>
      <c r="BK77" s="157" t="str">
        <f t="shared" si="26"/>
        <v/>
      </c>
      <c r="BL77" s="157" t="str">
        <f t="shared" si="10"/>
        <v/>
      </c>
      <c r="BM77" s="72"/>
      <c r="BN77" s="72" t="str">
        <f t="shared" si="27"/>
        <v/>
      </c>
      <c r="BO77" s="72" t="str">
        <f t="shared" si="28"/>
        <v/>
      </c>
      <c r="BP77" s="39"/>
      <c r="BQ77" s="72" t="str">
        <f t="shared" si="11"/>
        <v/>
      </c>
      <c r="BR77" s="72" t="str">
        <f t="shared" si="29"/>
        <v/>
      </c>
    </row>
    <row r="78" spans="2:70" x14ac:dyDescent="0.15">
      <c r="E78" s="70" t="s">
        <v>138</v>
      </c>
      <c r="F78" s="488">
        <f>R15/$BR$116</f>
        <v>5.0824229953747011</v>
      </c>
      <c r="G78" s="84" t="s">
        <v>590</v>
      </c>
      <c r="I78" s="322">
        <f t="shared" si="30"/>
        <v>2093</v>
      </c>
      <c r="K78" s="71">
        <f t="shared" si="31"/>
        <v>64</v>
      </c>
      <c r="M78" s="7">
        <f t="shared" si="0"/>
        <v>0.15080565208229488</v>
      </c>
      <c r="O78" s="10" t="str">
        <f t="shared" si="12"/>
        <v/>
      </c>
      <c r="P78" s="29" t="str">
        <f t="shared" si="1"/>
        <v/>
      </c>
      <c r="R78" s="10" t="str">
        <f t="shared" si="13"/>
        <v/>
      </c>
      <c r="T78" s="10" t="str">
        <f t="shared" si="14"/>
        <v/>
      </c>
      <c r="V78" s="10" t="str">
        <f t="shared" si="2"/>
        <v/>
      </c>
      <c r="W78" s="10" t="str">
        <f t="shared" si="15"/>
        <v/>
      </c>
      <c r="Y78" s="10" t="str">
        <f t="shared" si="3"/>
        <v/>
      </c>
      <c r="Z78" s="10" t="str">
        <f t="shared" si="16"/>
        <v/>
      </c>
      <c r="AB78" s="10" t="str">
        <f t="shared" si="4"/>
        <v/>
      </c>
      <c r="AC78" s="10" t="str">
        <f t="shared" si="17"/>
        <v/>
      </c>
      <c r="AE78" s="10" t="str">
        <f t="shared" si="5"/>
        <v/>
      </c>
      <c r="AF78" s="10" t="str">
        <f t="shared" si="18"/>
        <v/>
      </c>
      <c r="AH78" s="10" t="str">
        <f t="shared" si="32"/>
        <v/>
      </c>
      <c r="AI78" s="10" t="str">
        <f t="shared" si="20"/>
        <v/>
      </c>
      <c r="AK78" s="10" t="str">
        <f t="shared" si="33"/>
        <v/>
      </c>
      <c r="AL78" s="10" t="str">
        <f t="shared" si="34"/>
        <v/>
      </c>
      <c r="AN78" s="10" t="str">
        <f t="shared" si="35"/>
        <v/>
      </c>
      <c r="AO78" s="10" t="str">
        <f t="shared" si="36"/>
        <v/>
      </c>
      <c r="AQ78" s="10" t="str">
        <f t="shared" si="37"/>
        <v/>
      </c>
      <c r="AR78" s="10" t="str">
        <f t="shared" si="38"/>
        <v/>
      </c>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V78" s="10" t="str">
        <f t="shared" si="6"/>
        <v/>
      </c>
      <c r="AW78" s="10" t="str">
        <f t="shared" si="21"/>
        <v/>
      </c>
      <c r="AY78" s="7" t="str">
        <f>IF(ISERROR(IF($K78&lt;=$F$15,VLOOKUP($I78,'表4）CO2価格'!$A$7:$E$67,VLOOKUP($F$48,'表4）CO2価格'!$H$10:$I$12,2,0),0)*$F$8/1000,"")),0,IF($K78&lt;=$F$15,VLOOKUP($I78,'表4）CO2価格'!$A$7:$E$67,VLOOKUP($F$48,'表4）CO2価格'!$H$10:$I$12,2,0),0)*$F$8/1000,""))</f>
        <v/>
      </c>
      <c r="BA78" s="11" t="str">
        <f t="shared" si="7"/>
        <v/>
      </c>
      <c r="BB78" s="10" t="str">
        <f t="shared" si="22"/>
        <v/>
      </c>
      <c r="BD78" s="10" t="str">
        <f t="shared" si="8"/>
        <v/>
      </c>
      <c r="BE78" s="10" t="str">
        <f t="shared" si="23"/>
        <v/>
      </c>
      <c r="BG78" s="11" t="str">
        <f t="shared" si="9"/>
        <v/>
      </c>
      <c r="BH78" s="10" t="str">
        <f t="shared" si="24"/>
        <v/>
      </c>
      <c r="BJ78" s="7" t="str">
        <f t="shared" si="25"/>
        <v/>
      </c>
      <c r="BK78" s="158" t="str">
        <f t="shared" si="26"/>
        <v/>
      </c>
      <c r="BL78" s="158" t="str">
        <f t="shared" si="10"/>
        <v/>
      </c>
      <c r="BM78" s="10"/>
      <c r="BN78" s="10" t="str">
        <f t="shared" si="27"/>
        <v/>
      </c>
      <c r="BO78" s="10" t="str">
        <f t="shared" si="28"/>
        <v/>
      </c>
      <c r="BQ78" s="10" t="str">
        <f t="shared" si="11"/>
        <v/>
      </c>
      <c r="BR78" s="10" t="str">
        <f t="shared" si="29"/>
        <v/>
      </c>
    </row>
    <row r="79" spans="2:70" x14ac:dyDescent="0.15">
      <c r="E79" s="84" t="s">
        <v>139</v>
      </c>
      <c r="F79" s="488">
        <f>Z116/$BR$116</f>
        <v>0.55274433250501331</v>
      </c>
      <c r="G79" s="84" t="s">
        <v>590</v>
      </c>
      <c r="I79" s="38">
        <f t="shared" si="30"/>
        <v>2094</v>
      </c>
      <c r="J79" s="39"/>
      <c r="K79" s="39">
        <f t="shared" si="31"/>
        <v>65</v>
      </c>
      <c r="L79" s="39"/>
      <c r="M79" s="40">
        <f t="shared" ref="M79:M114" si="39">1/(1+($F$9/100))^K79</f>
        <v>0.14641325444882999</v>
      </c>
      <c r="N79" s="39"/>
      <c r="O79" s="72" t="str">
        <f t="shared" si="12"/>
        <v/>
      </c>
      <c r="P79" s="41" t="str">
        <f t="shared" ref="P79:P110" si="40">IF(K79&lt;=$F$15,IF(OR(P78=$F$124,P78="-"),"-",IF(O79*$F$123&gt;$F$127,$F$123,$F$124)),"")</f>
        <v/>
      </c>
      <c r="Q79" s="39"/>
      <c r="R79" s="72" t="str">
        <f t="shared" si="13"/>
        <v/>
      </c>
      <c r="S79" s="39"/>
      <c r="T79" s="72" t="str">
        <f t="shared" si="14"/>
        <v/>
      </c>
      <c r="U79" s="39"/>
      <c r="V79" s="72" t="str">
        <f t="shared" ref="V79:V114" si="41">IF(K79&lt;=$F$15,IF(K79&lt;$F$119,IF(P79="-",V78,O79*P79),IF(K79=$F$119,MIN(IF(P79="-",V78,O79*P79),O79),0)),"")</f>
        <v/>
      </c>
      <c r="W79" s="72" t="str">
        <f t="shared" si="15"/>
        <v/>
      </c>
      <c r="X79" s="39"/>
      <c r="Y79" s="72" t="str">
        <f t="shared" ref="Y79:Y114" si="42">IF($K79&lt;=$F$15,ROUNDDOWN(T79*$F$25/100,-2),"")</f>
        <v/>
      </c>
      <c r="Z79" s="72" t="str">
        <f t="shared" si="16"/>
        <v/>
      </c>
      <c r="AA79" s="39"/>
      <c r="AB79" s="72" t="str">
        <f t="shared" ref="AB79:AB114" si="43">IF($K79&lt;=$F$15,0,IF(AND($K79&gt;$F$15,$K79&lt;=$F$15+$F$28),$F$27*10^8/$F$28,""))</f>
        <v/>
      </c>
      <c r="AC79" s="72" t="str">
        <f t="shared" si="17"/>
        <v/>
      </c>
      <c r="AD79" s="39"/>
      <c r="AE79" s="72" t="str">
        <f t="shared" ref="AE79:AE114" si="44">IF($K79&lt;=$F$15,$F$26,"")</f>
        <v/>
      </c>
      <c r="AF79" s="72" t="str">
        <f t="shared" si="18"/>
        <v/>
      </c>
      <c r="AG79" s="39"/>
      <c r="AH79" s="72" t="str">
        <f t="shared" ref="AH79:AH114" si="45">IF($K79&lt;=$F$15,$F$33*10^8,"")</f>
        <v/>
      </c>
      <c r="AI79" s="72" t="str">
        <f t="shared" si="20"/>
        <v/>
      </c>
      <c r="AJ79" s="39"/>
      <c r="AK79" s="72" t="str">
        <f t="shared" ref="AK79:AK114" si="46">IF($K79&lt;=$F$15,$F$117*$F$34/100,"")</f>
        <v/>
      </c>
      <c r="AL79" s="72" t="str">
        <f t="shared" si="34"/>
        <v/>
      </c>
      <c r="AM79" s="39"/>
      <c r="AN79" s="72" t="str">
        <f t="shared" ref="AN79:AN114" si="47">IF($K79&lt;=$F$15,$F$117*$F$35/100,"")</f>
        <v/>
      </c>
      <c r="AO79" s="72" t="str">
        <f t="shared" si="36"/>
        <v/>
      </c>
      <c r="AP79" s="39"/>
      <c r="AQ79" s="72" t="str">
        <f t="shared" ref="AQ79:AQ114" si="48">IF($K79&lt;=$F$15,SUM(AH79,AK79,AN79)*($F$36/100),"")</f>
        <v/>
      </c>
      <c r="AR79" s="72" t="str">
        <f t="shared" si="38"/>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49">IF($K79&lt;=$F$15,($AT79+$F$142)*$F$137,"")</f>
        <v/>
      </c>
      <c r="AW79" s="72" t="str">
        <f t="shared" si="21"/>
        <v/>
      </c>
      <c r="AX79" s="39"/>
      <c r="AY79" s="40" t="str">
        <f>IF(ISERROR(IF($K79&lt;=$F$15,VLOOKUP($I79,'表4）CO2価格'!$A$7:$E$67,VLOOKUP($F$48,'表4）CO2価格'!$H$10:$I$12,2,0),0)*$F$8/1000,"")),0,IF($K79&lt;=$F$15,VLOOKUP($I79,'表4）CO2価格'!$A$7:$E$67,VLOOKUP($F$48,'表4）CO2価格'!$H$10:$I$12,2,0),0)*$F$8/1000,""))</f>
        <v/>
      </c>
      <c r="AZ79" s="39"/>
      <c r="BA79" s="42" t="str">
        <f t="shared" ref="BA79:BA114" si="50">IF($K79&lt;=$F$15,$F$145*AY79,"")</f>
        <v/>
      </c>
      <c r="BB79" s="72" t="str">
        <f t="shared" si="22"/>
        <v/>
      </c>
      <c r="BC79" s="39"/>
      <c r="BD79" s="72" t="str">
        <f t="shared" ref="BD79:BD114" si="51">IF($K79&lt;=$F$15,($AT79+$F$152)*$F$151,"")</f>
        <v/>
      </c>
      <c r="BE79" s="72" t="str">
        <f t="shared" si="23"/>
        <v/>
      </c>
      <c r="BF79" s="39"/>
      <c r="BG79" s="42" t="str">
        <f t="shared" ref="BG79:BG114" si="52">IF($K79&lt;=$F$15,$F$153*AY79,"")</f>
        <v/>
      </c>
      <c r="BH79" s="72" t="str">
        <f t="shared" si="24"/>
        <v/>
      </c>
      <c r="BI79" s="39"/>
      <c r="BJ79" s="40" t="str">
        <f t="shared" si="25"/>
        <v/>
      </c>
      <c r="BK79" s="157" t="str">
        <f t="shared" si="26"/>
        <v/>
      </c>
      <c r="BL79" s="157" t="str">
        <f t="shared" ref="BL79:BL114" si="53">IF(AND(ISNUMBER(BJ79),$K79&lt;=$F$16),BQ79*BJ79,"")</f>
        <v/>
      </c>
      <c r="BM79" s="72"/>
      <c r="BN79" s="72" t="str">
        <f t="shared" si="27"/>
        <v/>
      </c>
      <c r="BO79" s="72" t="str">
        <f t="shared" si="28"/>
        <v/>
      </c>
      <c r="BP79" s="39"/>
      <c r="BQ79" s="72" t="str">
        <f t="shared" ref="BQ79:BQ114" si="54">IF($K79&lt;=$F$15,$F$134,"")</f>
        <v/>
      </c>
      <c r="BR79" s="72" t="str">
        <f t="shared" si="29"/>
        <v/>
      </c>
    </row>
    <row r="80" spans="2:70" x14ac:dyDescent="0.15">
      <c r="E80" s="84" t="s">
        <v>115</v>
      </c>
      <c r="F80" s="488">
        <f>AF116/$BR$116</f>
        <v>0</v>
      </c>
      <c r="G80" s="84" t="s">
        <v>590</v>
      </c>
      <c r="I80" s="322">
        <f t="shared" si="30"/>
        <v>2095</v>
      </c>
      <c r="K80" s="71">
        <f t="shared" si="31"/>
        <v>66</v>
      </c>
      <c r="M80" s="7">
        <f t="shared" si="39"/>
        <v>0.14214879072701941</v>
      </c>
      <c r="O80" s="10" t="str">
        <f t="shared" ref="O80:O114" si="55">IF(K80&lt;=$F$15,O79-V79,"")</f>
        <v/>
      </c>
      <c r="P80" s="29" t="str">
        <f t="shared" si="40"/>
        <v/>
      </c>
      <c r="R80" s="10" t="str">
        <f t="shared" ref="R80:R114" si="56">IF($K80&lt;=$F$15,MAX($F$117*5%,R79*$F$129),"")</f>
        <v/>
      </c>
      <c r="T80" s="10" t="str">
        <f t="shared" ref="T80:T114" si="57">IF(ISNUMBER(R80),ROUNDDOWN(R80,-3),"")</f>
        <v/>
      </c>
      <c r="V80" s="10" t="str">
        <f t="shared" si="41"/>
        <v/>
      </c>
      <c r="W80" s="10" t="str">
        <f t="shared" ref="W80:W114" si="58">IF(ISNUMBER(V80),V80*$M80,"")</f>
        <v/>
      </c>
      <c r="Y80" s="10" t="str">
        <f t="shared" si="42"/>
        <v/>
      </c>
      <c r="Z80" s="10" t="str">
        <f t="shared" ref="Z80:Z114" si="59">IF(ISNUMBER(Y80),Y80*$M80,"")</f>
        <v/>
      </c>
      <c r="AB80" s="10" t="str">
        <f t="shared" si="43"/>
        <v/>
      </c>
      <c r="AC80" s="10" t="str">
        <f t="shared" ref="AC80:AC114" si="60">IF(ISNUMBER(AB80),AB80*$M80,"")</f>
        <v/>
      </c>
      <c r="AE80" s="10" t="str">
        <f t="shared" si="44"/>
        <v/>
      </c>
      <c r="AF80" s="10" t="str">
        <f t="shared" ref="AF80:AF114" si="61">IF(ISNUMBER(AE80),AE80*$M80,"")</f>
        <v/>
      </c>
      <c r="AH80" s="10" t="str">
        <f t="shared" si="45"/>
        <v/>
      </c>
      <c r="AI80" s="10" t="str">
        <f t="shared" ref="AI80:AI114" si="62">IF(ISNUMBER(AH80),AH80*$M80,"")</f>
        <v/>
      </c>
      <c r="AK80" s="10" t="str">
        <f t="shared" si="46"/>
        <v/>
      </c>
      <c r="AL80" s="10" t="str">
        <f t="shared" ref="AL80:AL114" si="63">IF(ISNUMBER(AK80),AK80*$M80,"")</f>
        <v/>
      </c>
      <c r="AN80" s="10" t="str">
        <f t="shared" si="47"/>
        <v/>
      </c>
      <c r="AO80" s="10" t="str">
        <f t="shared" ref="AO80:AO114" si="64">IF(ISNUMBER(AN80),AN80*$M80,"")</f>
        <v/>
      </c>
      <c r="AQ80" s="10" t="str">
        <f t="shared" si="48"/>
        <v/>
      </c>
      <c r="AR80" s="10" t="str">
        <f t="shared" ref="AR80:AR114" si="65">IF(ISNUMBER(AQ80),AQ80*$M80,"")</f>
        <v/>
      </c>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V80" s="10" t="str">
        <f t="shared" si="49"/>
        <v/>
      </c>
      <c r="AW80" s="10" t="str">
        <f t="shared" ref="AW80:AW114" si="66">IF(ISNUMBER(AV80),AV80*$M80,"")</f>
        <v/>
      </c>
      <c r="AY80" s="7" t="str">
        <f>IF(ISERROR(IF($K80&lt;=$F$15,VLOOKUP($I80,'表4）CO2価格'!$A$7:$E$67,VLOOKUP($F$48,'表4）CO2価格'!$H$10:$I$12,2,0),0)*$F$8/1000,"")),0,IF($K80&lt;=$F$15,VLOOKUP($I80,'表4）CO2価格'!$A$7:$E$67,VLOOKUP($F$48,'表4）CO2価格'!$H$10:$I$12,2,0),0)*$F$8/1000,""))</f>
        <v/>
      </c>
      <c r="BA80" s="11" t="str">
        <f t="shared" si="50"/>
        <v/>
      </c>
      <c r="BB80" s="10" t="str">
        <f t="shared" ref="BB80:BB114" si="67">IF(ISNUMBER(BA80),BA80*$M80,"")</f>
        <v/>
      </c>
      <c r="BD80" s="10" t="str">
        <f t="shared" si="51"/>
        <v/>
      </c>
      <c r="BE80" s="10" t="str">
        <f t="shared" ref="BE80:BE114" si="68">IF(ISNUMBER(BD80),BD80*$M80,"")</f>
        <v/>
      </c>
      <c r="BG80" s="11" t="str">
        <f t="shared" si="52"/>
        <v/>
      </c>
      <c r="BH80" s="10" t="str">
        <f t="shared" ref="BH80:BH114" si="69">IF(ISNUMBER(BG80),BG80*$M80,"")</f>
        <v/>
      </c>
      <c r="BJ80" s="7" t="str">
        <f t="shared" ref="BJ80:BJ114" si="70">IF(ISNUMBER($F$16),IF($K80&lt;=$F$16+$F$28,1/(1+($F$17/100))^K80,""),"")</f>
        <v/>
      </c>
      <c r="BK80" s="158" t="str">
        <f t="shared" ref="BK80:BK114" si="71">IF(ISNUMBER($F$16),IF($K80&lt;=$F$16+$F$28,IF($K80&lt;=$F$16,SUM(Y80,AB80,AE80,AH80,AK80,AN80,AQ80,AV80,BA80,BD80,BG80),$F$27/$F$28*10^8)*BJ80,""),"")</f>
        <v/>
      </c>
      <c r="BL80" s="158" t="str">
        <f t="shared" si="53"/>
        <v/>
      </c>
      <c r="BM80" s="10"/>
      <c r="BN80" s="10" t="str">
        <f t="shared" ref="BN80:BN114" si="72">IF(AND(ISNUMBER($F$16),$K80&lt;=$F$16),BQ80*($O$15+$BK$116)/$BL$116,"")</f>
        <v/>
      </c>
      <c r="BO80" s="10" t="str">
        <f t="shared" ref="BO80:BO114" si="73">IF(ISNUMBER(BN80),BN80*$M80,"")</f>
        <v/>
      </c>
      <c r="BQ80" s="10" t="str">
        <f t="shared" si="54"/>
        <v/>
      </c>
      <c r="BR80" s="10" t="str">
        <f t="shared" ref="BR80:BR114" si="74">IF(ISNUMBER(BQ80),BQ80*$M80,"")</f>
        <v/>
      </c>
    </row>
    <row r="81" spans="4:70" x14ac:dyDescent="0.15">
      <c r="E81" s="160" t="s">
        <v>86</v>
      </c>
      <c r="F81" s="488">
        <f>AC116/$BR$116</f>
        <v>7.563356975428237E-2</v>
      </c>
      <c r="G81" s="84" t="s">
        <v>590</v>
      </c>
      <c r="I81" s="38">
        <f t="shared" ref="I81:I114" si="75">I80+1</f>
        <v>2096</v>
      </c>
      <c r="J81" s="39"/>
      <c r="K81" s="39">
        <f t="shared" ref="K81:K114" si="76">IF(I81&lt;&gt;"",K80+1,"")</f>
        <v>67</v>
      </c>
      <c r="L81" s="39"/>
      <c r="M81" s="40">
        <f t="shared" si="39"/>
        <v>0.1380085346864266</v>
      </c>
      <c r="N81" s="39"/>
      <c r="O81" s="72" t="str">
        <f t="shared" si="55"/>
        <v/>
      </c>
      <c r="P81" s="41" t="str">
        <f t="shared" si="40"/>
        <v/>
      </c>
      <c r="Q81" s="39"/>
      <c r="R81" s="72" t="str">
        <f t="shared" si="56"/>
        <v/>
      </c>
      <c r="S81" s="39"/>
      <c r="T81" s="72" t="str">
        <f t="shared" si="57"/>
        <v/>
      </c>
      <c r="U81" s="39"/>
      <c r="V81" s="72" t="str">
        <f t="shared" si="41"/>
        <v/>
      </c>
      <c r="W81" s="72" t="str">
        <f t="shared" si="58"/>
        <v/>
      </c>
      <c r="X81" s="39"/>
      <c r="Y81" s="72" t="str">
        <f t="shared" si="42"/>
        <v/>
      </c>
      <c r="Z81" s="72" t="str">
        <f t="shared" si="59"/>
        <v/>
      </c>
      <c r="AA81" s="39"/>
      <c r="AB81" s="72" t="str">
        <f t="shared" si="43"/>
        <v/>
      </c>
      <c r="AC81" s="72" t="str">
        <f t="shared" si="60"/>
        <v/>
      </c>
      <c r="AD81" s="39"/>
      <c r="AE81" s="72" t="str">
        <f t="shared" si="44"/>
        <v/>
      </c>
      <c r="AF81" s="72" t="str">
        <f t="shared" si="61"/>
        <v/>
      </c>
      <c r="AG81" s="39"/>
      <c r="AH81" s="72" t="str">
        <f t="shared" si="45"/>
        <v/>
      </c>
      <c r="AI81" s="72" t="str">
        <f t="shared" si="62"/>
        <v/>
      </c>
      <c r="AJ81" s="39"/>
      <c r="AK81" s="72" t="str">
        <f t="shared" si="46"/>
        <v/>
      </c>
      <c r="AL81" s="72" t="str">
        <f t="shared" si="63"/>
        <v/>
      </c>
      <c r="AM81" s="39"/>
      <c r="AN81" s="72" t="str">
        <f t="shared" si="47"/>
        <v/>
      </c>
      <c r="AO81" s="72" t="str">
        <f t="shared" si="64"/>
        <v/>
      </c>
      <c r="AP81" s="39"/>
      <c r="AQ81" s="72" t="str">
        <f t="shared" si="48"/>
        <v/>
      </c>
      <c r="AR81" s="72" t="str">
        <f t="shared" si="65"/>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49"/>
        <v/>
      </c>
      <c r="AW81" s="72" t="str">
        <f t="shared" si="66"/>
        <v/>
      </c>
      <c r="AX81" s="39"/>
      <c r="AY81" s="40" t="str">
        <f>IF(ISERROR(IF($K81&lt;=$F$15,VLOOKUP($I81,'表4）CO2価格'!$A$7:$E$67,VLOOKUP($F$48,'表4）CO2価格'!$H$10:$I$12,2,0),0)*$F$8/1000,"")),0,IF($K81&lt;=$F$15,VLOOKUP($I81,'表4）CO2価格'!$A$7:$E$67,VLOOKUP($F$48,'表4）CO2価格'!$H$10:$I$12,2,0),0)*$F$8/1000,""))</f>
        <v/>
      </c>
      <c r="AZ81" s="39"/>
      <c r="BA81" s="42" t="str">
        <f t="shared" si="50"/>
        <v/>
      </c>
      <c r="BB81" s="72" t="str">
        <f t="shared" si="67"/>
        <v/>
      </c>
      <c r="BC81" s="39"/>
      <c r="BD81" s="72" t="str">
        <f t="shared" si="51"/>
        <v/>
      </c>
      <c r="BE81" s="72" t="str">
        <f t="shared" si="68"/>
        <v/>
      </c>
      <c r="BF81" s="39"/>
      <c r="BG81" s="42" t="str">
        <f t="shared" si="52"/>
        <v/>
      </c>
      <c r="BH81" s="72" t="str">
        <f t="shared" si="69"/>
        <v/>
      </c>
      <c r="BI81" s="39"/>
      <c r="BJ81" s="40" t="str">
        <f t="shared" si="70"/>
        <v/>
      </c>
      <c r="BK81" s="157" t="str">
        <f t="shared" si="71"/>
        <v/>
      </c>
      <c r="BL81" s="157" t="str">
        <f t="shared" si="53"/>
        <v/>
      </c>
      <c r="BM81" s="72"/>
      <c r="BN81" s="72" t="str">
        <f t="shared" si="72"/>
        <v/>
      </c>
      <c r="BO81" s="72" t="str">
        <f t="shared" si="73"/>
        <v/>
      </c>
      <c r="BP81" s="39"/>
      <c r="BQ81" s="72" t="str">
        <f t="shared" si="54"/>
        <v/>
      </c>
      <c r="BR81" s="72" t="str">
        <f t="shared" si="74"/>
        <v/>
      </c>
    </row>
    <row r="82" spans="4:70" x14ac:dyDescent="0.15">
      <c r="F82" s="487"/>
      <c r="I82" s="322">
        <f t="shared" si="75"/>
        <v>2097</v>
      </c>
      <c r="K82" s="71">
        <f t="shared" si="76"/>
        <v>68</v>
      </c>
      <c r="M82" s="7">
        <f t="shared" si="39"/>
        <v>0.13398886862759865</v>
      </c>
      <c r="O82" s="10" t="str">
        <f t="shared" si="55"/>
        <v/>
      </c>
      <c r="P82" s="29" t="str">
        <f t="shared" si="40"/>
        <v/>
      </c>
      <c r="R82" s="10" t="str">
        <f t="shared" si="56"/>
        <v/>
      </c>
      <c r="T82" s="10" t="str">
        <f t="shared" si="57"/>
        <v/>
      </c>
      <c r="V82" s="10" t="str">
        <f t="shared" si="41"/>
        <v/>
      </c>
      <c r="W82" s="10" t="str">
        <f t="shared" si="58"/>
        <v/>
      </c>
      <c r="Y82" s="10" t="str">
        <f t="shared" si="42"/>
        <v/>
      </c>
      <c r="Z82" s="10" t="str">
        <f t="shared" si="59"/>
        <v/>
      </c>
      <c r="AB82" s="10" t="str">
        <f t="shared" si="43"/>
        <v/>
      </c>
      <c r="AC82" s="10" t="str">
        <f t="shared" si="60"/>
        <v/>
      </c>
      <c r="AE82" s="10" t="str">
        <f t="shared" si="44"/>
        <v/>
      </c>
      <c r="AF82" s="10" t="str">
        <f t="shared" si="61"/>
        <v/>
      </c>
      <c r="AH82" s="10" t="str">
        <f t="shared" si="45"/>
        <v/>
      </c>
      <c r="AI82" s="10" t="str">
        <f t="shared" si="62"/>
        <v/>
      </c>
      <c r="AK82" s="10" t="str">
        <f t="shared" si="46"/>
        <v/>
      </c>
      <c r="AL82" s="10" t="str">
        <f t="shared" si="63"/>
        <v/>
      </c>
      <c r="AN82" s="10" t="str">
        <f t="shared" si="47"/>
        <v/>
      </c>
      <c r="AO82" s="10" t="str">
        <f t="shared" si="64"/>
        <v/>
      </c>
      <c r="AQ82" s="10" t="str">
        <f t="shared" si="48"/>
        <v/>
      </c>
      <c r="AR82" s="10" t="str">
        <f t="shared" si="65"/>
        <v/>
      </c>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V82" s="10" t="str">
        <f t="shared" si="49"/>
        <v/>
      </c>
      <c r="AW82" s="10" t="str">
        <f t="shared" si="66"/>
        <v/>
      </c>
      <c r="AY82" s="7" t="str">
        <f>IF(ISERROR(IF($K82&lt;=$F$15,VLOOKUP($I82,'表4）CO2価格'!$A$7:$E$67,VLOOKUP($F$48,'表4）CO2価格'!$H$10:$I$12,2,0),0)*$F$8/1000,"")),0,IF($K82&lt;=$F$15,VLOOKUP($I82,'表4）CO2価格'!$A$7:$E$67,VLOOKUP($F$48,'表4）CO2価格'!$H$10:$I$12,2,0),0)*$F$8/1000,""))</f>
        <v/>
      </c>
      <c r="BA82" s="11" t="str">
        <f t="shared" si="50"/>
        <v/>
      </c>
      <c r="BB82" s="10" t="str">
        <f t="shared" si="67"/>
        <v/>
      </c>
      <c r="BD82" s="10" t="str">
        <f t="shared" si="51"/>
        <v/>
      </c>
      <c r="BE82" s="10" t="str">
        <f t="shared" si="68"/>
        <v/>
      </c>
      <c r="BG82" s="11" t="str">
        <f t="shared" si="52"/>
        <v/>
      </c>
      <c r="BH82" s="10" t="str">
        <f t="shared" si="69"/>
        <v/>
      </c>
      <c r="BJ82" s="7" t="str">
        <f t="shared" si="70"/>
        <v/>
      </c>
      <c r="BK82" s="158" t="str">
        <f t="shared" si="71"/>
        <v/>
      </c>
      <c r="BL82" s="158" t="str">
        <f t="shared" si="53"/>
        <v/>
      </c>
      <c r="BM82" s="10"/>
      <c r="BN82" s="10" t="str">
        <f t="shared" si="72"/>
        <v/>
      </c>
      <c r="BO82" s="10" t="str">
        <f t="shared" si="73"/>
        <v/>
      </c>
      <c r="BQ82" s="10" t="str">
        <f t="shared" si="54"/>
        <v/>
      </c>
      <c r="BR82" s="10" t="str">
        <f t="shared" si="74"/>
        <v/>
      </c>
    </row>
    <row r="83" spans="4:70" ht="15" x14ac:dyDescent="0.15">
      <c r="D83" s="103" t="s">
        <v>593</v>
      </c>
      <c r="F83" s="484">
        <f>SUBTOTAL(9,F87:F90)</f>
        <v>2.9608540707732018</v>
      </c>
      <c r="G83" s="84" t="s">
        <v>590</v>
      </c>
      <c r="I83" s="38">
        <f>I82+1</f>
        <v>2098</v>
      </c>
      <c r="J83" s="39"/>
      <c r="K83" s="39">
        <f>IF(I83&lt;&gt;"",K82+1,"")</f>
        <v>69</v>
      </c>
      <c r="L83" s="39"/>
      <c r="M83" s="40">
        <f t="shared" si="39"/>
        <v>0.13008628022096957</v>
      </c>
      <c r="N83" s="39"/>
      <c r="O83" s="72" t="str">
        <f t="shared" si="55"/>
        <v/>
      </c>
      <c r="P83" s="41" t="str">
        <f t="shared" si="40"/>
        <v/>
      </c>
      <c r="Q83" s="39"/>
      <c r="R83" s="72" t="str">
        <f t="shared" si="56"/>
        <v/>
      </c>
      <c r="S83" s="39"/>
      <c r="T83" s="72" t="str">
        <f t="shared" si="57"/>
        <v/>
      </c>
      <c r="U83" s="39"/>
      <c r="V83" s="72" t="str">
        <f t="shared" si="41"/>
        <v/>
      </c>
      <c r="W83" s="72" t="str">
        <f t="shared" si="58"/>
        <v/>
      </c>
      <c r="X83" s="39"/>
      <c r="Y83" s="72" t="str">
        <f t="shared" si="42"/>
        <v/>
      </c>
      <c r="Z83" s="72" t="str">
        <f t="shared" si="59"/>
        <v/>
      </c>
      <c r="AA83" s="39"/>
      <c r="AB83" s="72" t="str">
        <f t="shared" si="43"/>
        <v/>
      </c>
      <c r="AC83" s="72" t="str">
        <f t="shared" si="60"/>
        <v/>
      </c>
      <c r="AD83" s="39"/>
      <c r="AE83" s="72" t="str">
        <f t="shared" si="44"/>
        <v/>
      </c>
      <c r="AF83" s="72" t="str">
        <f t="shared" si="61"/>
        <v/>
      </c>
      <c r="AG83" s="39"/>
      <c r="AH83" s="72" t="str">
        <f t="shared" si="45"/>
        <v/>
      </c>
      <c r="AI83" s="72" t="str">
        <f t="shared" si="62"/>
        <v/>
      </c>
      <c r="AJ83" s="39"/>
      <c r="AK83" s="72" t="str">
        <f t="shared" si="46"/>
        <v/>
      </c>
      <c r="AL83" s="72" t="str">
        <f t="shared" si="63"/>
        <v/>
      </c>
      <c r="AM83" s="39"/>
      <c r="AN83" s="72" t="str">
        <f t="shared" si="47"/>
        <v/>
      </c>
      <c r="AO83" s="72" t="str">
        <f t="shared" si="64"/>
        <v/>
      </c>
      <c r="AP83" s="39"/>
      <c r="AQ83" s="72" t="str">
        <f t="shared" si="48"/>
        <v/>
      </c>
      <c r="AR83" s="72" t="str">
        <f t="shared" si="65"/>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49"/>
        <v/>
      </c>
      <c r="AW83" s="72" t="str">
        <f t="shared" si="66"/>
        <v/>
      </c>
      <c r="AX83" s="39"/>
      <c r="AY83" s="40" t="str">
        <f>IF(ISERROR(IF($K83&lt;=$F$15,VLOOKUP($I83,'表4）CO2価格'!$A$7:$E$67,VLOOKUP($F$48,'表4）CO2価格'!$H$10:$I$12,2,0),0)*$F$8/1000,"")),0,IF($K83&lt;=$F$15,VLOOKUP($I83,'表4）CO2価格'!$A$7:$E$67,VLOOKUP($F$48,'表4）CO2価格'!$H$10:$I$12,2,0),0)*$F$8/1000,""))</f>
        <v/>
      </c>
      <c r="AZ83" s="39"/>
      <c r="BA83" s="42" t="str">
        <f t="shared" si="50"/>
        <v/>
      </c>
      <c r="BB83" s="72" t="str">
        <f t="shared" si="67"/>
        <v/>
      </c>
      <c r="BC83" s="39"/>
      <c r="BD83" s="72" t="str">
        <f t="shared" si="51"/>
        <v/>
      </c>
      <c r="BE83" s="72" t="str">
        <f t="shared" si="68"/>
        <v/>
      </c>
      <c r="BF83" s="39"/>
      <c r="BG83" s="42" t="str">
        <f t="shared" si="52"/>
        <v/>
      </c>
      <c r="BH83" s="72" t="str">
        <f t="shared" si="69"/>
        <v/>
      </c>
      <c r="BI83" s="39"/>
      <c r="BJ83" s="40" t="str">
        <f t="shared" si="70"/>
        <v/>
      </c>
      <c r="BK83" s="157" t="str">
        <f t="shared" si="71"/>
        <v/>
      </c>
      <c r="BL83" s="157" t="str">
        <f t="shared" si="53"/>
        <v/>
      </c>
      <c r="BM83" s="72"/>
      <c r="BN83" s="72" t="str">
        <f t="shared" si="72"/>
        <v/>
      </c>
      <c r="BO83" s="72" t="str">
        <f t="shared" si="73"/>
        <v/>
      </c>
      <c r="BP83" s="39"/>
      <c r="BQ83" s="72" t="str">
        <f t="shared" si="54"/>
        <v/>
      </c>
      <c r="BR83" s="72" t="str">
        <f t="shared" si="74"/>
        <v/>
      </c>
    </row>
    <row r="84" spans="4:70" x14ac:dyDescent="0.15">
      <c r="F84" s="487"/>
      <c r="I84" s="322">
        <f t="shared" si="75"/>
        <v>2099</v>
      </c>
      <c r="K84" s="71">
        <f t="shared" si="76"/>
        <v>70</v>
      </c>
      <c r="M84" s="7">
        <f t="shared" si="39"/>
        <v>0.12629735943783454</v>
      </c>
      <c r="O84" s="10" t="str">
        <f t="shared" si="55"/>
        <v/>
      </c>
      <c r="P84" s="29" t="str">
        <f t="shared" si="40"/>
        <v/>
      </c>
      <c r="R84" s="10" t="str">
        <f t="shared" si="56"/>
        <v/>
      </c>
      <c r="T84" s="10" t="str">
        <f t="shared" si="57"/>
        <v/>
      </c>
      <c r="V84" s="10" t="str">
        <f t="shared" si="41"/>
        <v/>
      </c>
      <c r="W84" s="10" t="str">
        <f t="shared" si="58"/>
        <v/>
      </c>
      <c r="Y84" s="10" t="str">
        <f t="shared" si="42"/>
        <v/>
      </c>
      <c r="Z84" s="10" t="str">
        <f t="shared" si="59"/>
        <v/>
      </c>
      <c r="AB84" s="10" t="str">
        <f t="shared" si="43"/>
        <v/>
      </c>
      <c r="AC84" s="10" t="str">
        <f t="shared" si="60"/>
        <v/>
      </c>
      <c r="AE84" s="10" t="str">
        <f t="shared" si="44"/>
        <v/>
      </c>
      <c r="AF84" s="10" t="str">
        <f t="shared" si="61"/>
        <v/>
      </c>
      <c r="AH84" s="10" t="str">
        <f t="shared" si="45"/>
        <v/>
      </c>
      <c r="AI84" s="10" t="str">
        <f t="shared" si="62"/>
        <v/>
      </c>
      <c r="AK84" s="10" t="str">
        <f t="shared" si="46"/>
        <v/>
      </c>
      <c r="AL84" s="10" t="str">
        <f t="shared" si="63"/>
        <v/>
      </c>
      <c r="AN84" s="10" t="str">
        <f t="shared" si="47"/>
        <v/>
      </c>
      <c r="AO84" s="10" t="str">
        <f t="shared" si="64"/>
        <v/>
      </c>
      <c r="AQ84" s="10" t="str">
        <f t="shared" si="48"/>
        <v/>
      </c>
      <c r="AR84" s="10" t="str">
        <f t="shared" si="65"/>
        <v/>
      </c>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V84" s="10" t="str">
        <f t="shared" si="49"/>
        <v/>
      </c>
      <c r="AW84" s="10" t="str">
        <f t="shared" si="66"/>
        <v/>
      </c>
      <c r="AY84" s="7" t="str">
        <f>IF(ISERROR(IF($K84&lt;=$F$15,VLOOKUP($I84,'表4）CO2価格'!$A$7:$E$67,VLOOKUP($F$48,'表4）CO2価格'!$H$10:$I$12,2,0),0)*$F$8/1000,"")),0,IF($K84&lt;=$F$15,VLOOKUP($I84,'表4）CO2価格'!$A$7:$E$67,VLOOKUP($F$48,'表4）CO2価格'!$H$10:$I$12,2,0),0)*$F$8/1000,""))</f>
        <v/>
      </c>
      <c r="BA84" s="11" t="str">
        <f t="shared" si="50"/>
        <v/>
      </c>
      <c r="BB84" s="10" t="str">
        <f t="shared" si="67"/>
        <v/>
      </c>
      <c r="BD84" s="10" t="str">
        <f t="shared" si="51"/>
        <v/>
      </c>
      <c r="BE84" s="10" t="str">
        <f t="shared" si="68"/>
        <v/>
      </c>
      <c r="BG84" s="11" t="str">
        <f t="shared" si="52"/>
        <v/>
      </c>
      <c r="BH84" s="10" t="str">
        <f t="shared" si="69"/>
        <v/>
      </c>
      <c r="BJ84" s="7" t="str">
        <f t="shared" si="70"/>
        <v/>
      </c>
      <c r="BK84" s="158" t="str">
        <f t="shared" si="71"/>
        <v/>
      </c>
      <c r="BL84" s="158" t="str">
        <f t="shared" si="53"/>
        <v/>
      </c>
      <c r="BM84" s="10"/>
      <c r="BN84" s="10" t="str">
        <f t="shared" si="72"/>
        <v/>
      </c>
      <c r="BO84" s="10" t="str">
        <f t="shared" si="73"/>
        <v/>
      </c>
      <c r="BQ84" s="10" t="str">
        <f t="shared" si="54"/>
        <v/>
      </c>
      <c r="BR84" s="10" t="str">
        <f t="shared" si="74"/>
        <v/>
      </c>
    </row>
    <row r="85" spans="4:70" x14ac:dyDescent="0.15">
      <c r="D85" s="100" t="s">
        <v>594</v>
      </c>
      <c r="E85" s="489"/>
      <c r="F85" s="486"/>
      <c r="G85" s="100"/>
      <c r="I85" s="38">
        <f t="shared" si="75"/>
        <v>2100</v>
      </c>
      <c r="J85" s="39"/>
      <c r="K85" s="39">
        <f t="shared" si="76"/>
        <v>71</v>
      </c>
      <c r="L85" s="39"/>
      <c r="M85" s="40">
        <f t="shared" si="39"/>
        <v>0.12261879557071313</v>
      </c>
      <c r="N85" s="39"/>
      <c r="O85" s="72" t="str">
        <f t="shared" si="55"/>
        <v/>
      </c>
      <c r="P85" s="41" t="str">
        <f t="shared" si="40"/>
        <v/>
      </c>
      <c r="Q85" s="39"/>
      <c r="R85" s="72" t="str">
        <f t="shared" si="56"/>
        <v/>
      </c>
      <c r="S85" s="39"/>
      <c r="T85" s="72" t="str">
        <f t="shared" si="57"/>
        <v/>
      </c>
      <c r="U85" s="39"/>
      <c r="V85" s="72" t="str">
        <f t="shared" si="41"/>
        <v/>
      </c>
      <c r="W85" s="72" t="str">
        <f t="shared" si="58"/>
        <v/>
      </c>
      <c r="X85" s="39"/>
      <c r="Y85" s="72" t="str">
        <f t="shared" si="42"/>
        <v/>
      </c>
      <c r="Z85" s="72" t="str">
        <f t="shared" si="59"/>
        <v/>
      </c>
      <c r="AA85" s="39"/>
      <c r="AB85" s="72" t="str">
        <f t="shared" si="43"/>
        <v/>
      </c>
      <c r="AC85" s="72" t="str">
        <f t="shared" si="60"/>
        <v/>
      </c>
      <c r="AD85" s="39"/>
      <c r="AE85" s="72" t="str">
        <f t="shared" si="44"/>
        <v/>
      </c>
      <c r="AF85" s="72" t="str">
        <f t="shared" si="61"/>
        <v/>
      </c>
      <c r="AG85" s="39"/>
      <c r="AH85" s="72" t="str">
        <f t="shared" si="45"/>
        <v/>
      </c>
      <c r="AI85" s="72" t="str">
        <f t="shared" si="62"/>
        <v/>
      </c>
      <c r="AJ85" s="39"/>
      <c r="AK85" s="72" t="str">
        <f t="shared" si="46"/>
        <v/>
      </c>
      <c r="AL85" s="72" t="str">
        <f t="shared" si="63"/>
        <v/>
      </c>
      <c r="AM85" s="39"/>
      <c r="AN85" s="72" t="str">
        <f t="shared" si="47"/>
        <v/>
      </c>
      <c r="AO85" s="72" t="str">
        <f t="shared" si="64"/>
        <v/>
      </c>
      <c r="AP85" s="39"/>
      <c r="AQ85" s="72" t="str">
        <f t="shared" si="48"/>
        <v/>
      </c>
      <c r="AR85" s="72" t="str">
        <f t="shared" si="65"/>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49"/>
        <v/>
      </c>
      <c r="AW85" s="72" t="str">
        <f t="shared" si="66"/>
        <v/>
      </c>
      <c r="AX85" s="39"/>
      <c r="AY85" s="40" t="str">
        <f>IF(ISERROR(IF($K85&lt;=$F$15,VLOOKUP($I85,'表4）CO2価格'!$A$7:$E$67,VLOOKUP($F$48,'表4）CO2価格'!$H$10:$I$12,2,0),0)*$F$8/1000,"")),0,IF($K85&lt;=$F$15,VLOOKUP($I85,'表4）CO2価格'!$A$7:$E$67,VLOOKUP($F$48,'表4）CO2価格'!$H$10:$I$12,2,0),0)*$F$8/1000,""))</f>
        <v/>
      </c>
      <c r="AZ85" s="39"/>
      <c r="BA85" s="42" t="str">
        <f t="shared" si="50"/>
        <v/>
      </c>
      <c r="BB85" s="72" t="str">
        <f t="shared" si="67"/>
        <v/>
      </c>
      <c r="BC85" s="39"/>
      <c r="BD85" s="72" t="str">
        <f t="shared" si="51"/>
        <v/>
      </c>
      <c r="BE85" s="72" t="str">
        <f t="shared" si="68"/>
        <v/>
      </c>
      <c r="BF85" s="39"/>
      <c r="BG85" s="42" t="str">
        <f t="shared" si="52"/>
        <v/>
      </c>
      <c r="BH85" s="72" t="str">
        <f t="shared" si="69"/>
        <v/>
      </c>
      <c r="BI85" s="39"/>
      <c r="BJ85" s="40" t="str">
        <f t="shared" si="70"/>
        <v/>
      </c>
      <c r="BK85" s="157" t="str">
        <f t="shared" si="71"/>
        <v/>
      </c>
      <c r="BL85" s="157" t="str">
        <f t="shared" si="53"/>
        <v/>
      </c>
      <c r="BM85" s="72"/>
      <c r="BN85" s="72" t="str">
        <f t="shared" si="72"/>
        <v/>
      </c>
      <c r="BO85" s="72" t="str">
        <f t="shared" si="73"/>
        <v/>
      </c>
      <c r="BP85" s="39"/>
      <c r="BQ85" s="72" t="str">
        <f t="shared" si="54"/>
        <v/>
      </c>
      <c r="BR85" s="72" t="str">
        <f t="shared" si="74"/>
        <v/>
      </c>
    </row>
    <row r="86" spans="4:70" x14ac:dyDescent="0.15">
      <c r="F86" s="487"/>
      <c r="I86" s="322">
        <f t="shared" si="75"/>
        <v>2101</v>
      </c>
      <c r="K86" s="71">
        <f t="shared" si="76"/>
        <v>72</v>
      </c>
      <c r="M86" s="7">
        <f t="shared" si="39"/>
        <v>0.1190473743404982</v>
      </c>
      <c r="O86" s="10" t="str">
        <f t="shared" si="55"/>
        <v/>
      </c>
      <c r="P86" s="29" t="str">
        <f t="shared" si="40"/>
        <v/>
      </c>
      <c r="R86" s="10" t="str">
        <f t="shared" si="56"/>
        <v/>
      </c>
      <c r="T86" s="10" t="str">
        <f t="shared" si="57"/>
        <v/>
      </c>
      <c r="V86" s="10" t="str">
        <f t="shared" si="41"/>
        <v/>
      </c>
      <c r="W86" s="10" t="str">
        <f t="shared" si="58"/>
        <v/>
      </c>
      <c r="Y86" s="10" t="str">
        <f t="shared" si="42"/>
        <v/>
      </c>
      <c r="Z86" s="10" t="str">
        <f t="shared" si="59"/>
        <v/>
      </c>
      <c r="AB86" s="10" t="str">
        <f t="shared" si="43"/>
        <v/>
      </c>
      <c r="AC86" s="10" t="str">
        <f t="shared" si="60"/>
        <v/>
      </c>
      <c r="AE86" s="10" t="str">
        <f t="shared" si="44"/>
        <v/>
      </c>
      <c r="AF86" s="10" t="str">
        <f t="shared" si="61"/>
        <v/>
      </c>
      <c r="AH86" s="10" t="str">
        <f t="shared" si="45"/>
        <v/>
      </c>
      <c r="AI86" s="10" t="str">
        <f t="shared" si="62"/>
        <v/>
      </c>
      <c r="AK86" s="10" t="str">
        <f t="shared" si="46"/>
        <v/>
      </c>
      <c r="AL86" s="10" t="str">
        <f t="shared" si="63"/>
        <v/>
      </c>
      <c r="AN86" s="10" t="str">
        <f t="shared" si="47"/>
        <v/>
      </c>
      <c r="AO86" s="10" t="str">
        <f t="shared" si="64"/>
        <v/>
      </c>
      <c r="AQ86" s="10" t="str">
        <f t="shared" si="48"/>
        <v/>
      </c>
      <c r="AR86" s="10" t="str">
        <f t="shared" si="65"/>
        <v/>
      </c>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V86" s="10" t="str">
        <f t="shared" si="49"/>
        <v/>
      </c>
      <c r="AW86" s="10" t="str">
        <f t="shared" si="66"/>
        <v/>
      </c>
      <c r="AY86" s="7" t="str">
        <f>IF(ISERROR(IF($K86&lt;=$F$15,VLOOKUP($I86,'表4）CO2価格'!$A$7:$E$67,VLOOKUP($F$48,'表4）CO2価格'!$H$10:$I$12,2,0),0)*$F$8/1000,"")),0,IF($K86&lt;=$F$15,VLOOKUP($I86,'表4）CO2価格'!$A$7:$E$67,VLOOKUP($F$48,'表4）CO2価格'!$H$10:$I$12,2,0),0)*$F$8/1000,""))</f>
        <v/>
      </c>
      <c r="BA86" s="11" t="str">
        <f t="shared" si="50"/>
        <v/>
      </c>
      <c r="BB86" s="10" t="str">
        <f t="shared" si="67"/>
        <v/>
      </c>
      <c r="BD86" s="10" t="str">
        <f t="shared" si="51"/>
        <v/>
      </c>
      <c r="BE86" s="10" t="str">
        <f t="shared" si="68"/>
        <v/>
      </c>
      <c r="BG86" s="11" t="str">
        <f t="shared" si="52"/>
        <v/>
      </c>
      <c r="BH86" s="10" t="str">
        <f t="shared" si="69"/>
        <v/>
      </c>
      <c r="BJ86" s="7" t="str">
        <f t="shared" si="70"/>
        <v/>
      </c>
      <c r="BK86" s="158" t="str">
        <f t="shared" si="71"/>
        <v/>
      </c>
      <c r="BL86" s="158" t="str">
        <f t="shared" si="53"/>
        <v/>
      </c>
      <c r="BM86" s="10"/>
      <c r="BN86" s="10" t="str">
        <f t="shared" si="72"/>
        <v/>
      </c>
      <c r="BO86" s="10" t="str">
        <f t="shared" si="73"/>
        <v/>
      </c>
      <c r="BQ86" s="10" t="str">
        <f t="shared" si="54"/>
        <v/>
      </c>
      <c r="BR86" s="10" t="str">
        <f t="shared" si="74"/>
        <v/>
      </c>
    </row>
    <row r="87" spans="4:70" x14ac:dyDescent="0.15">
      <c r="E87" s="84" t="s">
        <v>141</v>
      </c>
      <c r="F87" s="488">
        <f>AI116/$BR$116</f>
        <v>2.9608540707732018</v>
      </c>
      <c r="G87" s="84" t="s">
        <v>590</v>
      </c>
      <c r="I87" s="38">
        <f t="shared" si="75"/>
        <v>2102</v>
      </c>
      <c r="J87" s="39"/>
      <c r="K87" s="39">
        <f t="shared" si="76"/>
        <v>73</v>
      </c>
      <c r="L87" s="39"/>
      <c r="M87" s="40">
        <f t="shared" si="39"/>
        <v>0.11557997508786232</v>
      </c>
      <c r="N87" s="39"/>
      <c r="O87" s="72" t="str">
        <f t="shared" si="55"/>
        <v/>
      </c>
      <c r="P87" s="41" t="str">
        <f t="shared" si="40"/>
        <v/>
      </c>
      <c r="Q87" s="39"/>
      <c r="R87" s="72" t="str">
        <f t="shared" si="56"/>
        <v/>
      </c>
      <c r="S87" s="39"/>
      <c r="T87" s="72" t="str">
        <f t="shared" si="57"/>
        <v/>
      </c>
      <c r="U87" s="39"/>
      <c r="V87" s="72" t="str">
        <f t="shared" si="41"/>
        <v/>
      </c>
      <c r="W87" s="72" t="str">
        <f t="shared" si="58"/>
        <v/>
      </c>
      <c r="X87" s="39"/>
      <c r="Y87" s="72" t="str">
        <f t="shared" si="42"/>
        <v/>
      </c>
      <c r="Z87" s="72" t="str">
        <f t="shared" si="59"/>
        <v/>
      </c>
      <c r="AA87" s="39"/>
      <c r="AB87" s="72" t="str">
        <f t="shared" si="43"/>
        <v/>
      </c>
      <c r="AC87" s="72" t="str">
        <f t="shared" si="60"/>
        <v/>
      </c>
      <c r="AD87" s="39"/>
      <c r="AE87" s="72" t="str">
        <f t="shared" si="44"/>
        <v/>
      </c>
      <c r="AF87" s="72" t="str">
        <f t="shared" si="61"/>
        <v/>
      </c>
      <c r="AG87" s="39"/>
      <c r="AH87" s="72" t="str">
        <f t="shared" si="45"/>
        <v/>
      </c>
      <c r="AI87" s="72" t="str">
        <f t="shared" si="62"/>
        <v/>
      </c>
      <c r="AJ87" s="39"/>
      <c r="AK87" s="72" t="str">
        <f t="shared" si="46"/>
        <v/>
      </c>
      <c r="AL87" s="72" t="str">
        <f t="shared" si="63"/>
        <v/>
      </c>
      <c r="AM87" s="39"/>
      <c r="AN87" s="72" t="str">
        <f t="shared" si="47"/>
        <v/>
      </c>
      <c r="AO87" s="72" t="str">
        <f t="shared" si="64"/>
        <v/>
      </c>
      <c r="AP87" s="39"/>
      <c r="AQ87" s="72" t="str">
        <f t="shared" si="48"/>
        <v/>
      </c>
      <c r="AR87" s="72" t="str">
        <f t="shared" si="65"/>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49"/>
        <v/>
      </c>
      <c r="AW87" s="72" t="str">
        <f t="shared" si="66"/>
        <v/>
      </c>
      <c r="AX87" s="39"/>
      <c r="AY87" s="40" t="str">
        <f>IF(ISERROR(IF($K87&lt;=$F$15,VLOOKUP($I87,'表4）CO2価格'!$A$7:$E$67,VLOOKUP($F$48,'表4）CO2価格'!$H$10:$I$12,2,0),0)*$F$8/1000,"")),0,IF($K87&lt;=$F$15,VLOOKUP($I87,'表4）CO2価格'!$A$7:$E$67,VLOOKUP($F$48,'表4）CO2価格'!$H$10:$I$12,2,0),0)*$F$8/1000,""))</f>
        <v/>
      </c>
      <c r="AZ87" s="39"/>
      <c r="BA87" s="42" t="str">
        <f t="shared" si="50"/>
        <v/>
      </c>
      <c r="BB87" s="72" t="str">
        <f t="shared" si="67"/>
        <v/>
      </c>
      <c r="BC87" s="39"/>
      <c r="BD87" s="72" t="str">
        <f t="shared" si="51"/>
        <v/>
      </c>
      <c r="BE87" s="72" t="str">
        <f t="shared" si="68"/>
        <v/>
      </c>
      <c r="BF87" s="39"/>
      <c r="BG87" s="42" t="str">
        <f t="shared" si="52"/>
        <v/>
      </c>
      <c r="BH87" s="72" t="str">
        <f t="shared" si="69"/>
        <v/>
      </c>
      <c r="BI87" s="39"/>
      <c r="BJ87" s="40" t="str">
        <f t="shared" si="70"/>
        <v/>
      </c>
      <c r="BK87" s="157" t="str">
        <f t="shared" si="71"/>
        <v/>
      </c>
      <c r="BL87" s="157" t="str">
        <f t="shared" si="53"/>
        <v/>
      </c>
      <c r="BM87" s="72"/>
      <c r="BN87" s="72" t="str">
        <f t="shared" si="72"/>
        <v/>
      </c>
      <c r="BO87" s="72" t="str">
        <f t="shared" si="73"/>
        <v/>
      </c>
      <c r="BP87" s="39"/>
      <c r="BQ87" s="72" t="str">
        <f t="shared" si="54"/>
        <v/>
      </c>
      <c r="BR87" s="72" t="str">
        <f t="shared" si="74"/>
        <v/>
      </c>
    </row>
    <row r="88" spans="4:70" x14ac:dyDescent="0.15">
      <c r="E88" s="84" t="s">
        <v>120</v>
      </c>
      <c r="F88" s="488">
        <f>AL116/$BR$116</f>
        <v>0</v>
      </c>
      <c r="G88" s="84" t="s">
        <v>590</v>
      </c>
      <c r="I88" s="322">
        <f t="shared" si="75"/>
        <v>2103</v>
      </c>
      <c r="K88" s="71">
        <f t="shared" si="76"/>
        <v>74</v>
      </c>
      <c r="M88" s="7">
        <f t="shared" si="39"/>
        <v>0.11221356804646829</v>
      </c>
      <c r="O88" s="10" t="str">
        <f t="shared" si="55"/>
        <v/>
      </c>
      <c r="P88" s="29" t="str">
        <f t="shared" si="40"/>
        <v/>
      </c>
      <c r="R88" s="10" t="str">
        <f t="shared" si="56"/>
        <v/>
      </c>
      <c r="T88" s="10" t="str">
        <f t="shared" si="57"/>
        <v/>
      </c>
      <c r="V88" s="10" t="str">
        <f t="shared" si="41"/>
        <v/>
      </c>
      <c r="W88" s="10" t="str">
        <f t="shared" si="58"/>
        <v/>
      </c>
      <c r="Y88" s="10" t="str">
        <f t="shared" si="42"/>
        <v/>
      </c>
      <c r="Z88" s="10" t="str">
        <f t="shared" si="59"/>
        <v/>
      </c>
      <c r="AB88" s="10" t="str">
        <f t="shared" si="43"/>
        <v/>
      </c>
      <c r="AC88" s="10" t="str">
        <f t="shared" si="60"/>
        <v/>
      </c>
      <c r="AE88" s="10" t="str">
        <f t="shared" si="44"/>
        <v/>
      </c>
      <c r="AF88" s="10" t="str">
        <f t="shared" si="61"/>
        <v/>
      </c>
      <c r="AH88" s="10" t="str">
        <f t="shared" si="45"/>
        <v/>
      </c>
      <c r="AI88" s="10" t="str">
        <f t="shared" si="62"/>
        <v/>
      </c>
      <c r="AK88" s="10" t="str">
        <f t="shared" si="46"/>
        <v/>
      </c>
      <c r="AL88" s="10" t="str">
        <f t="shared" si="63"/>
        <v/>
      </c>
      <c r="AN88" s="10" t="str">
        <f t="shared" si="47"/>
        <v/>
      </c>
      <c r="AO88" s="10" t="str">
        <f t="shared" si="64"/>
        <v/>
      </c>
      <c r="AQ88" s="10" t="str">
        <f t="shared" si="48"/>
        <v/>
      </c>
      <c r="AR88" s="10" t="str">
        <f t="shared" si="65"/>
        <v/>
      </c>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V88" s="10" t="str">
        <f t="shared" si="49"/>
        <v/>
      </c>
      <c r="AW88" s="10" t="str">
        <f t="shared" si="66"/>
        <v/>
      </c>
      <c r="AY88" s="7" t="str">
        <f>IF(ISERROR(IF($K88&lt;=$F$15,VLOOKUP($I88,'表4）CO2価格'!$A$7:$E$67,VLOOKUP($F$48,'表4）CO2価格'!$H$10:$I$12,2,0),0)*$F$8/1000,"")),0,IF($K88&lt;=$F$15,VLOOKUP($I88,'表4）CO2価格'!$A$7:$E$67,VLOOKUP($F$48,'表4）CO2価格'!$H$10:$I$12,2,0),0)*$F$8/1000,""))</f>
        <v/>
      </c>
      <c r="BA88" s="11" t="str">
        <f t="shared" si="50"/>
        <v/>
      </c>
      <c r="BB88" s="10" t="str">
        <f t="shared" si="67"/>
        <v/>
      </c>
      <c r="BD88" s="10" t="str">
        <f t="shared" si="51"/>
        <v/>
      </c>
      <c r="BE88" s="10" t="str">
        <f t="shared" si="68"/>
        <v/>
      </c>
      <c r="BG88" s="11" t="str">
        <f t="shared" si="52"/>
        <v/>
      </c>
      <c r="BH88" s="10" t="str">
        <f t="shared" si="69"/>
        <v/>
      </c>
      <c r="BJ88" s="7" t="str">
        <f t="shared" si="70"/>
        <v/>
      </c>
      <c r="BK88" s="158" t="str">
        <f t="shared" si="71"/>
        <v/>
      </c>
      <c r="BL88" s="158" t="str">
        <f t="shared" si="53"/>
        <v/>
      </c>
      <c r="BM88" s="10"/>
      <c r="BN88" s="10" t="str">
        <f t="shared" si="72"/>
        <v/>
      </c>
      <c r="BO88" s="10" t="str">
        <f t="shared" si="73"/>
        <v/>
      </c>
      <c r="BQ88" s="10" t="str">
        <f t="shared" si="54"/>
        <v/>
      </c>
      <c r="BR88" s="10" t="str">
        <f t="shared" si="74"/>
        <v/>
      </c>
    </row>
    <row r="89" spans="4:70" x14ac:dyDescent="0.15">
      <c r="E89" s="84" t="s">
        <v>122</v>
      </c>
      <c r="F89" s="488">
        <f>AO116/$BR$116</f>
        <v>0</v>
      </c>
      <c r="G89" s="84" t="s">
        <v>590</v>
      </c>
      <c r="I89" s="38">
        <f t="shared" si="75"/>
        <v>2104</v>
      </c>
      <c r="J89" s="39"/>
      <c r="K89" s="39">
        <f t="shared" si="76"/>
        <v>75</v>
      </c>
      <c r="L89" s="39"/>
      <c r="M89" s="40">
        <f t="shared" si="39"/>
        <v>0.10894521169560026</v>
      </c>
      <c r="N89" s="39"/>
      <c r="O89" s="72" t="str">
        <f t="shared" si="55"/>
        <v/>
      </c>
      <c r="P89" s="41" t="str">
        <f t="shared" si="40"/>
        <v/>
      </c>
      <c r="Q89" s="39"/>
      <c r="R89" s="72" t="str">
        <f t="shared" si="56"/>
        <v/>
      </c>
      <c r="S89" s="39"/>
      <c r="T89" s="72" t="str">
        <f t="shared" si="57"/>
        <v/>
      </c>
      <c r="U89" s="39"/>
      <c r="V89" s="72" t="str">
        <f t="shared" si="41"/>
        <v/>
      </c>
      <c r="W89" s="72" t="str">
        <f t="shared" si="58"/>
        <v/>
      </c>
      <c r="X89" s="39"/>
      <c r="Y89" s="72" t="str">
        <f t="shared" si="42"/>
        <v/>
      </c>
      <c r="Z89" s="72" t="str">
        <f t="shared" si="59"/>
        <v/>
      </c>
      <c r="AA89" s="39"/>
      <c r="AB89" s="72" t="str">
        <f t="shared" si="43"/>
        <v/>
      </c>
      <c r="AC89" s="72" t="str">
        <f t="shared" si="60"/>
        <v/>
      </c>
      <c r="AD89" s="39"/>
      <c r="AE89" s="72" t="str">
        <f t="shared" si="44"/>
        <v/>
      </c>
      <c r="AF89" s="72" t="str">
        <f t="shared" si="61"/>
        <v/>
      </c>
      <c r="AG89" s="39"/>
      <c r="AH89" s="72" t="str">
        <f t="shared" si="45"/>
        <v/>
      </c>
      <c r="AI89" s="72" t="str">
        <f t="shared" si="62"/>
        <v/>
      </c>
      <c r="AJ89" s="39"/>
      <c r="AK89" s="72" t="str">
        <f t="shared" si="46"/>
        <v/>
      </c>
      <c r="AL89" s="72" t="str">
        <f t="shared" si="63"/>
        <v/>
      </c>
      <c r="AM89" s="39"/>
      <c r="AN89" s="72" t="str">
        <f t="shared" si="47"/>
        <v/>
      </c>
      <c r="AO89" s="72" t="str">
        <f t="shared" si="64"/>
        <v/>
      </c>
      <c r="AP89" s="39"/>
      <c r="AQ89" s="72" t="str">
        <f t="shared" si="48"/>
        <v/>
      </c>
      <c r="AR89" s="72" t="str">
        <f t="shared" si="65"/>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49"/>
        <v/>
      </c>
      <c r="AW89" s="72" t="str">
        <f t="shared" si="66"/>
        <v/>
      </c>
      <c r="AX89" s="39"/>
      <c r="AY89" s="40" t="str">
        <f>IF(ISERROR(IF($K89&lt;=$F$15,VLOOKUP($I89,'表4）CO2価格'!$A$7:$E$67,VLOOKUP($F$48,'表4）CO2価格'!$H$10:$I$12,2,0),0)*$F$8/1000,"")),0,IF($K89&lt;=$F$15,VLOOKUP($I89,'表4）CO2価格'!$A$7:$E$67,VLOOKUP($F$48,'表4）CO2価格'!$H$10:$I$12,2,0),0)*$F$8/1000,""))</f>
        <v/>
      </c>
      <c r="AZ89" s="39"/>
      <c r="BA89" s="42" t="str">
        <f t="shared" si="50"/>
        <v/>
      </c>
      <c r="BB89" s="72" t="str">
        <f t="shared" si="67"/>
        <v/>
      </c>
      <c r="BC89" s="39"/>
      <c r="BD89" s="72" t="str">
        <f t="shared" si="51"/>
        <v/>
      </c>
      <c r="BE89" s="72" t="str">
        <f t="shared" si="68"/>
        <v/>
      </c>
      <c r="BF89" s="39"/>
      <c r="BG89" s="42" t="str">
        <f t="shared" si="52"/>
        <v/>
      </c>
      <c r="BH89" s="72" t="str">
        <f t="shared" si="69"/>
        <v/>
      </c>
      <c r="BI89" s="39"/>
      <c r="BJ89" s="40" t="str">
        <f t="shared" si="70"/>
        <v/>
      </c>
      <c r="BK89" s="157" t="str">
        <f t="shared" si="71"/>
        <v/>
      </c>
      <c r="BL89" s="157" t="str">
        <f t="shared" si="53"/>
        <v/>
      </c>
      <c r="BM89" s="72"/>
      <c r="BN89" s="72" t="str">
        <f t="shared" si="72"/>
        <v/>
      </c>
      <c r="BO89" s="72" t="str">
        <f t="shared" si="73"/>
        <v/>
      </c>
      <c r="BP89" s="39"/>
      <c r="BQ89" s="72" t="str">
        <f t="shared" si="54"/>
        <v/>
      </c>
      <c r="BR89" s="72" t="str">
        <f t="shared" si="74"/>
        <v/>
      </c>
    </row>
    <row r="90" spans="4:70" x14ac:dyDescent="0.15">
      <c r="E90" s="84" t="s">
        <v>142</v>
      </c>
      <c r="F90" s="488">
        <f>AR116/$BR$116</f>
        <v>0</v>
      </c>
      <c r="G90" s="84" t="s">
        <v>590</v>
      </c>
      <c r="I90" s="322">
        <f t="shared" si="75"/>
        <v>2105</v>
      </c>
      <c r="K90" s="71">
        <f t="shared" si="76"/>
        <v>76</v>
      </c>
      <c r="M90" s="7">
        <f t="shared" si="39"/>
        <v>0.10577205018990318</v>
      </c>
      <c r="O90" s="10" t="str">
        <f t="shared" si="55"/>
        <v/>
      </c>
      <c r="P90" s="29" t="str">
        <f t="shared" si="40"/>
        <v/>
      </c>
      <c r="R90" s="10" t="str">
        <f t="shared" si="56"/>
        <v/>
      </c>
      <c r="T90" s="10" t="str">
        <f t="shared" si="57"/>
        <v/>
      </c>
      <c r="V90" s="10" t="str">
        <f t="shared" si="41"/>
        <v/>
      </c>
      <c r="W90" s="10" t="str">
        <f t="shared" si="58"/>
        <v/>
      </c>
      <c r="Y90" s="10" t="str">
        <f t="shared" si="42"/>
        <v/>
      </c>
      <c r="Z90" s="10" t="str">
        <f t="shared" si="59"/>
        <v/>
      </c>
      <c r="AB90" s="10" t="str">
        <f t="shared" si="43"/>
        <v/>
      </c>
      <c r="AC90" s="10" t="str">
        <f t="shared" si="60"/>
        <v/>
      </c>
      <c r="AE90" s="10" t="str">
        <f t="shared" si="44"/>
        <v/>
      </c>
      <c r="AF90" s="10" t="str">
        <f t="shared" si="61"/>
        <v/>
      </c>
      <c r="AH90" s="10" t="str">
        <f t="shared" si="45"/>
        <v/>
      </c>
      <c r="AI90" s="10" t="str">
        <f t="shared" si="62"/>
        <v/>
      </c>
      <c r="AK90" s="10" t="str">
        <f t="shared" si="46"/>
        <v/>
      </c>
      <c r="AL90" s="10" t="str">
        <f t="shared" si="63"/>
        <v/>
      </c>
      <c r="AN90" s="10" t="str">
        <f t="shared" si="47"/>
        <v/>
      </c>
      <c r="AO90" s="10" t="str">
        <f t="shared" si="64"/>
        <v/>
      </c>
      <c r="AQ90" s="10" t="str">
        <f t="shared" si="48"/>
        <v/>
      </c>
      <c r="AR90" s="10" t="str">
        <f t="shared" si="65"/>
        <v/>
      </c>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V90" s="10" t="str">
        <f t="shared" si="49"/>
        <v/>
      </c>
      <c r="AW90" s="10" t="str">
        <f t="shared" si="66"/>
        <v/>
      </c>
      <c r="AY90" s="7" t="str">
        <f>IF(ISERROR(IF($K90&lt;=$F$15,VLOOKUP($I90,'表4）CO2価格'!$A$7:$E$67,VLOOKUP($F$48,'表4）CO2価格'!$H$10:$I$12,2,0),0)*$F$8/1000,"")),0,IF($K90&lt;=$F$15,VLOOKUP($I90,'表4）CO2価格'!$A$7:$E$67,VLOOKUP($F$48,'表4）CO2価格'!$H$10:$I$12,2,0),0)*$F$8/1000,""))</f>
        <v/>
      </c>
      <c r="BA90" s="11" t="str">
        <f t="shared" si="50"/>
        <v/>
      </c>
      <c r="BB90" s="10" t="str">
        <f t="shared" si="67"/>
        <v/>
      </c>
      <c r="BD90" s="10" t="str">
        <f t="shared" si="51"/>
        <v/>
      </c>
      <c r="BE90" s="10" t="str">
        <f t="shared" si="68"/>
        <v/>
      </c>
      <c r="BG90" s="11" t="str">
        <f t="shared" si="52"/>
        <v/>
      </c>
      <c r="BH90" s="10" t="str">
        <f t="shared" si="69"/>
        <v/>
      </c>
      <c r="BJ90" s="7" t="str">
        <f t="shared" si="70"/>
        <v/>
      </c>
      <c r="BK90" s="158" t="str">
        <f t="shared" si="71"/>
        <v/>
      </c>
      <c r="BL90" s="158" t="str">
        <f t="shared" si="53"/>
        <v/>
      </c>
      <c r="BM90" s="10"/>
      <c r="BN90" s="10" t="str">
        <f t="shared" si="72"/>
        <v/>
      </c>
      <c r="BO90" s="10" t="str">
        <f t="shared" si="73"/>
        <v/>
      </c>
      <c r="BQ90" s="10" t="str">
        <f t="shared" si="54"/>
        <v/>
      </c>
      <c r="BR90" s="10" t="str">
        <f t="shared" si="74"/>
        <v/>
      </c>
    </row>
    <row r="91" spans="4:70" x14ac:dyDescent="0.15">
      <c r="F91" s="487"/>
      <c r="I91" s="38">
        <f t="shared" si="75"/>
        <v>2106</v>
      </c>
      <c r="J91" s="39"/>
      <c r="K91" s="39">
        <f t="shared" si="76"/>
        <v>77</v>
      </c>
      <c r="L91" s="39"/>
      <c r="M91" s="40">
        <f t="shared" si="39"/>
        <v>0.10269131086398368</v>
      </c>
      <c r="N91" s="39"/>
      <c r="O91" s="72" t="str">
        <f t="shared" si="55"/>
        <v/>
      </c>
      <c r="P91" s="41" t="str">
        <f t="shared" si="40"/>
        <v/>
      </c>
      <c r="Q91" s="39"/>
      <c r="R91" s="72" t="str">
        <f t="shared" si="56"/>
        <v/>
      </c>
      <c r="S91" s="39"/>
      <c r="T91" s="72" t="str">
        <f t="shared" si="57"/>
        <v/>
      </c>
      <c r="U91" s="39"/>
      <c r="V91" s="72" t="str">
        <f t="shared" si="41"/>
        <v/>
      </c>
      <c r="W91" s="72" t="str">
        <f t="shared" si="58"/>
        <v/>
      </c>
      <c r="X91" s="39"/>
      <c r="Y91" s="72" t="str">
        <f t="shared" si="42"/>
        <v/>
      </c>
      <c r="Z91" s="72" t="str">
        <f t="shared" si="59"/>
        <v/>
      </c>
      <c r="AA91" s="39"/>
      <c r="AB91" s="72" t="str">
        <f t="shared" si="43"/>
        <v/>
      </c>
      <c r="AC91" s="72" t="str">
        <f t="shared" si="60"/>
        <v/>
      </c>
      <c r="AD91" s="39"/>
      <c r="AE91" s="72" t="str">
        <f t="shared" si="44"/>
        <v/>
      </c>
      <c r="AF91" s="72" t="str">
        <f t="shared" si="61"/>
        <v/>
      </c>
      <c r="AG91" s="39"/>
      <c r="AH91" s="72" t="str">
        <f t="shared" si="45"/>
        <v/>
      </c>
      <c r="AI91" s="72" t="str">
        <f t="shared" si="62"/>
        <v/>
      </c>
      <c r="AJ91" s="39"/>
      <c r="AK91" s="72" t="str">
        <f t="shared" si="46"/>
        <v/>
      </c>
      <c r="AL91" s="72" t="str">
        <f t="shared" si="63"/>
        <v/>
      </c>
      <c r="AM91" s="39"/>
      <c r="AN91" s="72" t="str">
        <f t="shared" si="47"/>
        <v/>
      </c>
      <c r="AO91" s="72" t="str">
        <f t="shared" si="64"/>
        <v/>
      </c>
      <c r="AP91" s="39"/>
      <c r="AQ91" s="72" t="str">
        <f t="shared" si="48"/>
        <v/>
      </c>
      <c r="AR91" s="72" t="str">
        <f t="shared" si="65"/>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49"/>
        <v/>
      </c>
      <c r="AW91" s="72" t="str">
        <f t="shared" si="66"/>
        <v/>
      </c>
      <c r="AX91" s="39"/>
      <c r="AY91" s="40" t="str">
        <f>IF(ISERROR(IF($K91&lt;=$F$15,VLOOKUP($I91,'表4）CO2価格'!$A$7:$E$67,VLOOKUP($F$48,'表4）CO2価格'!$H$10:$I$12,2,0),0)*$F$8/1000,"")),0,IF($K91&lt;=$F$15,VLOOKUP($I91,'表4）CO2価格'!$A$7:$E$67,VLOOKUP($F$48,'表4）CO2価格'!$H$10:$I$12,2,0),0)*$F$8/1000,""))</f>
        <v/>
      </c>
      <c r="AZ91" s="39"/>
      <c r="BA91" s="42" t="str">
        <f t="shared" si="50"/>
        <v/>
      </c>
      <c r="BB91" s="72" t="str">
        <f t="shared" si="67"/>
        <v/>
      </c>
      <c r="BC91" s="39"/>
      <c r="BD91" s="72" t="str">
        <f t="shared" si="51"/>
        <v/>
      </c>
      <c r="BE91" s="72" t="str">
        <f t="shared" si="68"/>
        <v/>
      </c>
      <c r="BF91" s="39"/>
      <c r="BG91" s="42" t="str">
        <f t="shared" si="52"/>
        <v/>
      </c>
      <c r="BH91" s="72" t="str">
        <f t="shared" si="69"/>
        <v/>
      </c>
      <c r="BI91" s="39"/>
      <c r="BJ91" s="40" t="str">
        <f t="shared" si="70"/>
        <v/>
      </c>
      <c r="BK91" s="157" t="str">
        <f t="shared" si="71"/>
        <v/>
      </c>
      <c r="BL91" s="157" t="str">
        <f t="shared" si="53"/>
        <v/>
      </c>
      <c r="BM91" s="72"/>
      <c r="BN91" s="72" t="str">
        <f t="shared" si="72"/>
        <v/>
      </c>
      <c r="BO91" s="72" t="str">
        <f t="shared" si="73"/>
        <v/>
      </c>
      <c r="BP91" s="39"/>
      <c r="BQ91" s="72" t="str">
        <f t="shared" si="54"/>
        <v/>
      </c>
      <c r="BR91" s="72" t="str">
        <f t="shared" si="74"/>
        <v/>
      </c>
    </row>
    <row r="92" spans="4:70" ht="15" x14ac:dyDescent="0.15">
      <c r="D92" s="103" t="s">
        <v>595</v>
      </c>
      <c r="F92" s="484">
        <f>SUBTOTAL(9,F96:F97)</f>
        <v>0</v>
      </c>
      <c r="I92" s="322">
        <f t="shared" si="75"/>
        <v>2107</v>
      </c>
      <c r="K92" s="71">
        <f t="shared" si="76"/>
        <v>78</v>
      </c>
      <c r="M92" s="7">
        <f t="shared" si="39"/>
        <v>9.9700301809692873E-2</v>
      </c>
      <c r="O92" s="10" t="str">
        <f t="shared" si="55"/>
        <v/>
      </c>
      <c r="P92" s="29" t="str">
        <f t="shared" si="40"/>
        <v/>
      </c>
      <c r="R92" s="10" t="str">
        <f t="shared" si="56"/>
        <v/>
      </c>
      <c r="T92" s="10" t="str">
        <f t="shared" si="57"/>
        <v/>
      </c>
      <c r="V92" s="10" t="str">
        <f t="shared" si="41"/>
        <v/>
      </c>
      <c r="W92" s="10" t="str">
        <f t="shared" si="58"/>
        <v/>
      </c>
      <c r="Y92" s="10" t="str">
        <f t="shared" si="42"/>
        <v/>
      </c>
      <c r="Z92" s="10" t="str">
        <f t="shared" si="59"/>
        <v/>
      </c>
      <c r="AB92" s="10" t="str">
        <f t="shared" si="43"/>
        <v/>
      </c>
      <c r="AC92" s="10" t="str">
        <f t="shared" si="60"/>
        <v/>
      </c>
      <c r="AE92" s="10" t="str">
        <f t="shared" si="44"/>
        <v/>
      </c>
      <c r="AF92" s="10" t="str">
        <f t="shared" si="61"/>
        <v/>
      </c>
      <c r="AH92" s="10" t="str">
        <f t="shared" si="45"/>
        <v/>
      </c>
      <c r="AI92" s="10" t="str">
        <f t="shared" si="62"/>
        <v/>
      </c>
      <c r="AK92" s="10" t="str">
        <f t="shared" si="46"/>
        <v/>
      </c>
      <c r="AL92" s="10" t="str">
        <f t="shared" si="63"/>
        <v/>
      </c>
      <c r="AN92" s="10" t="str">
        <f t="shared" si="47"/>
        <v/>
      </c>
      <c r="AO92" s="10" t="str">
        <f t="shared" si="64"/>
        <v/>
      </c>
      <c r="AQ92" s="10" t="str">
        <f t="shared" si="48"/>
        <v/>
      </c>
      <c r="AR92" s="10" t="str">
        <f t="shared" si="65"/>
        <v/>
      </c>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V92" s="10" t="str">
        <f t="shared" si="49"/>
        <v/>
      </c>
      <c r="AW92" s="10" t="str">
        <f t="shared" si="66"/>
        <v/>
      </c>
      <c r="AY92" s="7" t="str">
        <f>IF(ISERROR(IF($K92&lt;=$F$15,VLOOKUP($I92,'表4）CO2価格'!$A$7:$E$67,VLOOKUP($F$48,'表4）CO2価格'!$H$10:$I$12,2,0),0)*$F$8/1000,"")),0,IF($K92&lt;=$F$15,VLOOKUP($I92,'表4）CO2価格'!$A$7:$E$67,VLOOKUP($F$48,'表4）CO2価格'!$H$10:$I$12,2,0),0)*$F$8/1000,""))</f>
        <v/>
      </c>
      <c r="BA92" s="11" t="str">
        <f t="shared" si="50"/>
        <v/>
      </c>
      <c r="BB92" s="10" t="str">
        <f t="shared" si="67"/>
        <v/>
      </c>
      <c r="BD92" s="10" t="str">
        <f t="shared" si="51"/>
        <v/>
      </c>
      <c r="BE92" s="10" t="str">
        <f t="shared" si="68"/>
        <v/>
      </c>
      <c r="BG92" s="11" t="str">
        <f t="shared" si="52"/>
        <v/>
      </c>
      <c r="BH92" s="10" t="str">
        <f t="shared" si="69"/>
        <v/>
      </c>
      <c r="BJ92" s="7" t="str">
        <f t="shared" si="70"/>
        <v/>
      </c>
      <c r="BK92" s="158" t="str">
        <f t="shared" si="71"/>
        <v/>
      </c>
      <c r="BL92" s="158" t="str">
        <f t="shared" si="53"/>
        <v/>
      </c>
      <c r="BM92" s="10"/>
      <c r="BN92" s="10" t="str">
        <f t="shared" si="72"/>
        <v/>
      </c>
      <c r="BO92" s="10" t="str">
        <f t="shared" si="73"/>
        <v/>
      </c>
      <c r="BQ92" s="10" t="str">
        <f t="shared" si="54"/>
        <v/>
      </c>
      <c r="BR92" s="10" t="str">
        <f t="shared" si="74"/>
        <v/>
      </c>
    </row>
    <row r="93" spans="4:70" ht="15" x14ac:dyDescent="0.15">
      <c r="D93" s="103"/>
      <c r="F93" s="487"/>
      <c r="I93" s="38">
        <f t="shared" si="75"/>
        <v>2108</v>
      </c>
      <c r="J93" s="39"/>
      <c r="K93" s="39">
        <f t="shared" si="76"/>
        <v>79</v>
      </c>
      <c r="L93" s="39"/>
      <c r="M93" s="40">
        <f t="shared" si="39"/>
        <v>9.679640952397367E-2</v>
      </c>
      <c r="N93" s="39"/>
      <c r="O93" s="72" t="str">
        <f t="shared" si="55"/>
        <v/>
      </c>
      <c r="P93" s="41" t="str">
        <f t="shared" si="40"/>
        <v/>
      </c>
      <c r="Q93" s="39"/>
      <c r="R93" s="72" t="str">
        <f t="shared" si="56"/>
        <v/>
      </c>
      <c r="S93" s="39"/>
      <c r="T93" s="72" t="str">
        <f t="shared" si="57"/>
        <v/>
      </c>
      <c r="U93" s="39"/>
      <c r="V93" s="72" t="str">
        <f t="shared" si="41"/>
        <v/>
      </c>
      <c r="W93" s="72" t="str">
        <f t="shared" si="58"/>
        <v/>
      </c>
      <c r="X93" s="39"/>
      <c r="Y93" s="72" t="str">
        <f t="shared" si="42"/>
        <v/>
      </c>
      <c r="Z93" s="72" t="str">
        <f t="shared" si="59"/>
        <v/>
      </c>
      <c r="AA93" s="39"/>
      <c r="AB93" s="72" t="str">
        <f t="shared" si="43"/>
        <v/>
      </c>
      <c r="AC93" s="72" t="str">
        <f t="shared" si="60"/>
        <v/>
      </c>
      <c r="AD93" s="39"/>
      <c r="AE93" s="72" t="str">
        <f t="shared" si="44"/>
        <v/>
      </c>
      <c r="AF93" s="72" t="str">
        <f t="shared" si="61"/>
        <v/>
      </c>
      <c r="AG93" s="39"/>
      <c r="AH93" s="72" t="str">
        <f t="shared" si="45"/>
        <v/>
      </c>
      <c r="AI93" s="72" t="str">
        <f t="shared" si="62"/>
        <v/>
      </c>
      <c r="AJ93" s="39"/>
      <c r="AK93" s="72" t="str">
        <f t="shared" si="46"/>
        <v/>
      </c>
      <c r="AL93" s="72" t="str">
        <f t="shared" si="63"/>
        <v/>
      </c>
      <c r="AM93" s="39"/>
      <c r="AN93" s="72" t="str">
        <f t="shared" si="47"/>
        <v/>
      </c>
      <c r="AO93" s="72" t="str">
        <f t="shared" si="64"/>
        <v/>
      </c>
      <c r="AP93" s="39"/>
      <c r="AQ93" s="72" t="str">
        <f t="shared" si="48"/>
        <v/>
      </c>
      <c r="AR93" s="72" t="str">
        <f t="shared" si="65"/>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49"/>
        <v/>
      </c>
      <c r="AW93" s="72" t="str">
        <f t="shared" si="66"/>
        <v/>
      </c>
      <c r="AX93" s="39"/>
      <c r="AY93" s="40" t="str">
        <f>IF(ISERROR(IF($K93&lt;=$F$15,VLOOKUP($I93,'表4）CO2価格'!$A$7:$E$67,VLOOKUP($F$48,'表4）CO2価格'!$H$10:$I$12,2,0),0)*$F$8/1000,"")),0,IF($K93&lt;=$F$15,VLOOKUP($I93,'表4）CO2価格'!$A$7:$E$67,VLOOKUP($F$48,'表4）CO2価格'!$H$10:$I$12,2,0),0)*$F$8/1000,""))</f>
        <v/>
      </c>
      <c r="AZ93" s="39"/>
      <c r="BA93" s="42" t="str">
        <f t="shared" si="50"/>
        <v/>
      </c>
      <c r="BB93" s="72" t="str">
        <f t="shared" si="67"/>
        <v/>
      </c>
      <c r="BC93" s="39"/>
      <c r="BD93" s="72" t="str">
        <f t="shared" si="51"/>
        <v/>
      </c>
      <c r="BE93" s="72" t="str">
        <f t="shared" si="68"/>
        <v/>
      </c>
      <c r="BF93" s="39"/>
      <c r="BG93" s="42" t="str">
        <f t="shared" si="52"/>
        <v/>
      </c>
      <c r="BH93" s="72" t="str">
        <f t="shared" si="69"/>
        <v/>
      </c>
      <c r="BI93" s="39"/>
      <c r="BJ93" s="40" t="str">
        <f t="shared" si="70"/>
        <v/>
      </c>
      <c r="BK93" s="157" t="str">
        <f t="shared" si="71"/>
        <v/>
      </c>
      <c r="BL93" s="157" t="str">
        <f t="shared" si="53"/>
        <v/>
      </c>
      <c r="BM93" s="72"/>
      <c r="BN93" s="72" t="str">
        <f t="shared" si="72"/>
        <v/>
      </c>
      <c r="BO93" s="72" t="str">
        <f t="shared" si="73"/>
        <v/>
      </c>
      <c r="BP93" s="39"/>
      <c r="BQ93" s="72" t="str">
        <f t="shared" si="54"/>
        <v/>
      </c>
      <c r="BR93" s="72" t="str">
        <f t="shared" si="74"/>
        <v/>
      </c>
    </row>
    <row r="94" spans="4:70" x14ac:dyDescent="0.15">
      <c r="D94" s="100" t="s">
        <v>596</v>
      </c>
      <c r="E94" s="100"/>
      <c r="F94" s="486"/>
      <c r="G94" s="100"/>
      <c r="I94" s="322">
        <f t="shared" si="75"/>
        <v>2109</v>
      </c>
      <c r="K94" s="71">
        <f t="shared" si="76"/>
        <v>80</v>
      </c>
      <c r="M94" s="7">
        <f t="shared" si="39"/>
        <v>9.3977096625217166E-2</v>
      </c>
      <c r="O94" s="10" t="str">
        <f t="shared" si="55"/>
        <v/>
      </c>
      <c r="P94" s="29" t="str">
        <f t="shared" si="40"/>
        <v/>
      </c>
      <c r="R94" s="10" t="str">
        <f t="shared" si="56"/>
        <v/>
      </c>
      <c r="T94" s="10" t="str">
        <f t="shared" si="57"/>
        <v/>
      </c>
      <c r="V94" s="10" t="str">
        <f t="shared" si="41"/>
        <v/>
      </c>
      <c r="W94" s="10" t="str">
        <f t="shared" si="58"/>
        <v/>
      </c>
      <c r="Y94" s="10" t="str">
        <f t="shared" si="42"/>
        <v/>
      </c>
      <c r="Z94" s="10" t="str">
        <f t="shared" si="59"/>
        <v/>
      </c>
      <c r="AB94" s="10" t="str">
        <f t="shared" si="43"/>
        <v/>
      </c>
      <c r="AC94" s="10" t="str">
        <f t="shared" si="60"/>
        <v/>
      </c>
      <c r="AE94" s="10" t="str">
        <f t="shared" si="44"/>
        <v/>
      </c>
      <c r="AF94" s="10" t="str">
        <f t="shared" si="61"/>
        <v/>
      </c>
      <c r="AH94" s="10" t="str">
        <f t="shared" si="45"/>
        <v/>
      </c>
      <c r="AI94" s="10" t="str">
        <f t="shared" si="62"/>
        <v/>
      </c>
      <c r="AK94" s="10" t="str">
        <f t="shared" si="46"/>
        <v/>
      </c>
      <c r="AL94" s="10" t="str">
        <f t="shared" si="63"/>
        <v/>
      </c>
      <c r="AN94" s="10" t="str">
        <f t="shared" si="47"/>
        <v/>
      </c>
      <c r="AO94" s="10" t="str">
        <f t="shared" si="64"/>
        <v/>
      </c>
      <c r="AQ94" s="10" t="str">
        <f t="shared" si="48"/>
        <v/>
      </c>
      <c r="AR94" s="10" t="str">
        <f t="shared" si="65"/>
        <v/>
      </c>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V94" s="10" t="str">
        <f t="shared" si="49"/>
        <v/>
      </c>
      <c r="AW94" s="10" t="str">
        <f t="shared" si="66"/>
        <v/>
      </c>
      <c r="AY94" s="7" t="str">
        <f>IF(ISERROR(IF($K94&lt;=$F$15,VLOOKUP($I94,'表4）CO2価格'!$A$7:$E$67,VLOOKUP($F$48,'表4）CO2価格'!$H$10:$I$12,2,0),0)*$F$8/1000,"")),0,IF($K94&lt;=$F$15,VLOOKUP($I94,'表4）CO2価格'!$A$7:$E$67,VLOOKUP($F$48,'表4）CO2価格'!$H$10:$I$12,2,0),0)*$F$8/1000,""))</f>
        <v/>
      </c>
      <c r="BA94" s="11" t="str">
        <f t="shared" si="50"/>
        <v/>
      </c>
      <c r="BB94" s="10" t="str">
        <f t="shared" si="67"/>
        <v/>
      </c>
      <c r="BD94" s="10" t="str">
        <f t="shared" si="51"/>
        <v/>
      </c>
      <c r="BE94" s="10" t="str">
        <f t="shared" si="68"/>
        <v/>
      </c>
      <c r="BG94" s="11" t="str">
        <f t="shared" si="52"/>
        <v/>
      </c>
      <c r="BH94" s="10" t="str">
        <f t="shared" si="69"/>
        <v/>
      </c>
      <c r="BJ94" s="7" t="str">
        <f t="shared" si="70"/>
        <v/>
      </c>
      <c r="BK94" s="158" t="str">
        <f t="shared" si="71"/>
        <v/>
      </c>
      <c r="BL94" s="158" t="str">
        <f t="shared" si="53"/>
        <v/>
      </c>
      <c r="BM94" s="10"/>
      <c r="BN94" s="10" t="str">
        <f t="shared" si="72"/>
        <v/>
      </c>
      <c r="BO94" s="10" t="str">
        <f t="shared" si="73"/>
        <v/>
      </c>
      <c r="BQ94" s="10" t="str">
        <f t="shared" si="54"/>
        <v/>
      </c>
      <c r="BR94" s="10" t="str">
        <f t="shared" si="74"/>
        <v/>
      </c>
    </row>
    <row r="95" spans="4:70" ht="15" x14ac:dyDescent="0.15">
      <c r="D95" s="103"/>
      <c r="F95" s="487"/>
      <c r="I95" s="38">
        <f t="shared" si="75"/>
        <v>2110</v>
      </c>
      <c r="J95" s="39"/>
      <c r="K95" s="39">
        <f t="shared" si="76"/>
        <v>81</v>
      </c>
      <c r="L95" s="39"/>
      <c r="M95" s="40">
        <f t="shared" si="39"/>
        <v>9.1239899636133173E-2</v>
      </c>
      <c r="N95" s="39"/>
      <c r="O95" s="72" t="str">
        <f t="shared" si="55"/>
        <v/>
      </c>
      <c r="P95" s="41" t="str">
        <f t="shared" si="40"/>
        <v/>
      </c>
      <c r="Q95" s="39"/>
      <c r="R95" s="72" t="str">
        <f t="shared" si="56"/>
        <v/>
      </c>
      <c r="S95" s="39"/>
      <c r="T95" s="72" t="str">
        <f t="shared" si="57"/>
        <v/>
      </c>
      <c r="U95" s="39"/>
      <c r="V95" s="72" t="str">
        <f t="shared" si="41"/>
        <v/>
      </c>
      <c r="W95" s="72" t="str">
        <f t="shared" si="58"/>
        <v/>
      </c>
      <c r="X95" s="39"/>
      <c r="Y95" s="72" t="str">
        <f t="shared" si="42"/>
        <v/>
      </c>
      <c r="Z95" s="72" t="str">
        <f t="shared" si="59"/>
        <v/>
      </c>
      <c r="AA95" s="39"/>
      <c r="AB95" s="72" t="str">
        <f t="shared" si="43"/>
        <v/>
      </c>
      <c r="AC95" s="72" t="str">
        <f t="shared" si="60"/>
        <v/>
      </c>
      <c r="AD95" s="39"/>
      <c r="AE95" s="72" t="str">
        <f t="shared" si="44"/>
        <v/>
      </c>
      <c r="AF95" s="72" t="str">
        <f t="shared" si="61"/>
        <v/>
      </c>
      <c r="AG95" s="39"/>
      <c r="AH95" s="72" t="str">
        <f t="shared" si="45"/>
        <v/>
      </c>
      <c r="AI95" s="72" t="str">
        <f t="shared" si="62"/>
        <v/>
      </c>
      <c r="AJ95" s="39"/>
      <c r="AK95" s="72" t="str">
        <f t="shared" si="46"/>
        <v/>
      </c>
      <c r="AL95" s="72" t="str">
        <f t="shared" si="63"/>
        <v/>
      </c>
      <c r="AM95" s="39"/>
      <c r="AN95" s="72" t="str">
        <f t="shared" si="47"/>
        <v/>
      </c>
      <c r="AO95" s="72" t="str">
        <f t="shared" si="64"/>
        <v/>
      </c>
      <c r="AP95" s="39"/>
      <c r="AQ95" s="72" t="str">
        <f t="shared" si="48"/>
        <v/>
      </c>
      <c r="AR95" s="72" t="str">
        <f t="shared" si="65"/>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49"/>
        <v/>
      </c>
      <c r="AW95" s="72" t="str">
        <f t="shared" si="66"/>
        <v/>
      </c>
      <c r="AX95" s="39"/>
      <c r="AY95" s="40" t="str">
        <f>IF(ISERROR(IF($K95&lt;=$F$15,VLOOKUP($I95,'表4）CO2価格'!$A$7:$E$67,VLOOKUP($F$48,'表4）CO2価格'!$H$10:$I$12,2,0),0)*$F$8/1000,"")),0,IF($K95&lt;=$F$15,VLOOKUP($I95,'表4）CO2価格'!$A$7:$E$67,VLOOKUP($F$48,'表4）CO2価格'!$H$10:$I$12,2,0),0)*$F$8/1000,""))</f>
        <v/>
      </c>
      <c r="AZ95" s="39"/>
      <c r="BA95" s="42" t="str">
        <f t="shared" si="50"/>
        <v/>
      </c>
      <c r="BB95" s="72" t="str">
        <f t="shared" si="67"/>
        <v/>
      </c>
      <c r="BC95" s="39"/>
      <c r="BD95" s="72" t="str">
        <f t="shared" si="51"/>
        <v/>
      </c>
      <c r="BE95" s="72" t="str">
        <f t="shared" si="68"/>
        <v/>
      </c>
      <c r="BF95" s="39"/>
      <c r="BG95" s="42" t="str">
        <f t="shared" si="52"/>
        <v/>
      </c>
      <c r="BH95" s="72" t="str">
        <f t="shared" si="69"/>
        <v/>
      </c>
      <c r="BI95" s="39"/>
      <c r="BJ95" s="40" t="str">
        <f t="shared" si="70"/>
        <v/>
      </c>
      <c r="BK95" s="157" t="str">
        <f t="shared" si="71"/>
        <v/>
      </c>
      <c r="BL95" s="157" t="str">
        <f t="shared" si="53"/>
        <v/>
      </c>
      <c r="BM95" s="72"/>
      <c r="BN95" s="72" t="str">
        <f t="shared" si="72"/>
        <v/>
      </c>
      <c r="BO95" s="72" t="str">
        <f t="shared" si="73"/>
        <v/>
      </c>
      <c r="BP95" s="39"/>
      <c r="BQ95" s="72" t="str">
        <f t="shared" si="54"/>
        <v/>
      </c>
      <c r="BR95" s="72" t="str">
        <f t="shared" si="74"/>
        <v/>
      </c>
    </row>
    <row r="96" spans="4:70" ht="15" x14ac:dyDescent="0.15">
      <c r="D96" s="103"/>
      <c r="E96" s="84" t="s">
        <v>597</v>
      </c>
      <c r="F96" s="488">
        <f>IF(F3&lt;&gt;"原子力",AW116/$BR$116,0)</f>
        <v>0</v>
      </c>
      <c r="G96" s="84" t="s">
        <v>590</v>
      </c>
      <c r="I96" s="322">
        <f t="shared" si="75"/>
        <v>2111</v>
      </c>
      <c r="K96" s="71">
        <f t="shared" si="76"/>
        <v>82</v>
      </c>
      <c r="M96" s="7">
        <f t="shared" si="39"/>
        <v>8.8582426831197242E-2</v>
      </c>
      <c r="O96" s="10" t="str">
        <f t="shared" si="55"/>
        <v/>
      </c>
      <c r="P96" s="29" t="str">
        <f t="shared" si="40"/>
        <v/>
      </c>
      <c r="R96" s="10" t="str">
        <f t="shared" si="56"/>
        <v/>
      </c>
      <c r="T96" s="10" t="str">
        <f t="shared" si="57"/>
        <v/>
      </c>
      <c r="V96" s="10" t="str">
        <f t="shared" si="41"/>
        <v/>
      </c>
      <c r="W96" s="10" t="str">
        <f t="shared" si="58"/>
        <v/>
      </c>
      <c r="Y96" s="10" t="str">
        <f t="shared" si="42"/>
        <v/>
      </c>
      <c r="Z96" s="10" t="str">
        <f t="shared" si="59"/>
        <v/>
      </c>
      <c r="AB96" s="10" t="str">
        <f t="shared" si="43"/>
        <v/>
      </c>
      <c r="AC96" s="10" t="str">
        <f t="shared" si="60"/>
        <v/>
      </c>
      <c r="AE96" s="10" t="str">
        <f t="shared" si="44"/>
        <v/>
      </c>
      <c r="AF96" s="10" t="str">
        <f t="shared" si="61"/>
        <v/>
      </c>
      <c r="AH96" s="10" t="str">
        <f t="shared" si="45"/>
        <v/>
      </c>
      <c r="AI96" s="10" t="str">
        <f t="shared" si="62"/>
        <v/>
      </c>
      <c r="AK96" s="10" t="str">
        <f t="shared" si="46"/>
        <v/>
      </c>
      <c r="AL96" s="10" t="str">
        <f t="shared" si="63"/>
        <v/>
      </c>
      <c r="AN96" s="10" t="str">
        <f t="shared" si="47"/>
        <v/>
      </c>
      <c r="AO96" s="10" t="str">
        <f t="shared" si="64"/>
        <v/>
      </c>
      <c r="AQ96" s="10" t="str">
        <f t="shared" si="48"/>
        <v/>
      </c>
      <c r="AR96" s="10" t="str">
        <f t="shared" si="65"/>
        <v/>
      </c>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V96" s="10" t="str">
        <f t="shared" si="49"/>
        <v/>
      </c>
      <c r="AW96" s="10" t="str">
        <f t="shared" si="66"/>
        <v/>
      </c>
      <c r="AY96" s="7" t="str">
        <f>IF(ISERROR(IF($K96&lt;=$F$15,VLOOKUP($I96,'表4）CO2価格'!$A$7:$E$67,VLOOKUP($F$48,'表4）CO2価格'!$H$10:$I$12,2,0),0)*$F$8/1000,"")),0,IF($K96&lt;=$F$15,VLOOKUP($I96,'表4）CO2価格'!$A$7:$E$67,VLOOKUP($F$48,'表4）CO2価格'!$H$10:$I$12,2,0),0)*$F$8/1000,""))</f>
        <v/>
      </c>
      <c r="BA96" s="11" t="str">
        <f t="shared" si="50"/>
        <v/>
      </c>
      <c r="BB96" s="10" t="str">
        <f t="shared" si="67"/>
        <v/>
      </c>
      <c r="BD96" s="10" t="str">
        <f t="shared" si="51"/>
        <v/>
      </c>
      <c r="BE96" s="10" t="str">
        <f t="shared" si="68"/>
        <v/>
      </c>
      <c r="BG96" s="11" t="str">
        <f t="shared" si="52"/>
        <v/>
      </c>
      <c r="BH96" s="10" t="str">
        <f t="shared" si="69"/>
        <v/>
      </c>
      <c r="BJ96" s="7" t="str">
        <f t="shared" si="70"/>
        <v/>
      </c>
      <c r="BK96" s="158" t="str">
        <f t="shared" si="71"/>
        <v/>
      </c>
      <c r="BL96" s="158" t="str">
        <f t="shared" si="53"/>
        <v/>
      </c>
      <c r="BM96" s="10"/>
      <c r="BN96" s="10" t="str">
        <f t="shared" si="72"/>
        <v/>
      </c>
      <c r="BO96" s="10" t="str">
        <f t="shared" si="73"/>
        <v/>
      </c>
      <c r="BQ96" s="10" t="str">
        <f t="shared" si="54"/>
        <v/>
      </c>
      <c r="BR96" s="10" t="str">
        <f t="shared" si="74"/>
        <v/>
      </c>
    </row>
    <row r="97" spans="4:70" ht="15" x14ac:dyDescent="0.15">
      <c r="D97" s="103"/>
      <c r="E97" s="84" t="s">
        <v>598</v>
      </c>
      <c r="F97" s="488">
        <f>IF(F3="原子力",#REF!,0)</f>
        <v>0</v>
      </c>
      <c r="G97" s="84" t="s">
        <v>590</v>
      </c>
      <c r="I97" s="38">
        <f t="shared" si="75"/>
        <v>2112</v>
      </c>
      <c r="J97" s="39"/>
      <c r="K97" s="39">
        <f t="shared" si="76"/>
        <v>83</v>
      </c>
      <c r="L97" s="39"/>
      <c r="M97" s="40">
        <f t="shared" si="39"/>
        <v>8.6002356146793454E-2</v>
      </c>
      <c r="N97" s="39"/>
      <c r="O97" s="72" t="str">
        <f t="shared" si="55"/>
        <v/>
      </c>
      <c r="P97" s="41" t="str">
        <f t="shared" si="40"/>
        <v/>
      </c>
      <c r="Q97" s="39"/>
      <c r="R97" s="72" t="str">
        <f t="shared" si="56"/>
        <v/>
      </c>
      <c r="S97" s="39"/>
      <c r="T97" s="72" t="str">
        <f t="shared" si="57"/>
        <v/>
      </c>
      <c r="U97" s="39"/>
      <c r="V97" s="72" t="str">
        <f t="shared" si="41"/>
        <v/>
      </c>
      <c r="W97" s="72" t="str">
        <f t="shared" si="58"/>
        <v/>
      </c>
      <c r="X97" s="39"/>
      <c r="Y97" s="72" t="str">
        <f t="shared" si="42"/>
        <v/>
      </c>
      <c r="Z97" s="72" t="str">
        <f t="shared" si="59"/>
        <v/>
      </c>
      <c r="AA97" s="39"/>
      <c r="AB97" s="72" t="str">
        <f t="shared" si="43"/>
        <v/>
      </c>
      <c r="AC97" s="72" t="str">
        <f t="shared" si="60"/>
        <v/>
      </c>
      <c r="AD97" s="39"/>
      <c r="AE97" s="72" t="str">
        <f t="shared" si="44"/>
        <v/>
      </c>
      <c r="AF97" s="72" t="str">
        <f t="shared" si="61"/>
        <v/>
      </c>
      <c r="AG97" s="39"/>
      <c r="AH97" s="72" t="str">
        <f t="shared" si="45"/>
        <v/>
      </c>
      <c r="AI97" s="72" t="str">
        <f t="shared" si="62"/>
        <v/>
      </c>
      <c r="AJ97" s="39"/>
      <c r="AK97" s="72" t="str">
        <f t="shared" si="46"/>
        <v/>
      </c>
      <c r="AL97" s="72" t="str">
        <f t="shared" si="63"/>
        <v/>
      </c>
      <c r="AM97" s="39"/>
      <c r="AN97" s="72" t="str">
        <f t="shared" si="47"/>
        <v/>
      </c>
      <c r="AO97" s="72" t="str">
        <f t="shared" si="64"/>
        <v/>
      </c>
      <c r="AP97" s="39"/>
      <c r="AQ97" s="72" t="str">
        <f t="shared" si="48"/>
        <v/>
      </c>
      <c r="AR97" s="72" t="str">
        <f t="shared" si="65"/>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49"/>
        <v/>
      </c>
      <c r="AW97" s="72" t="str">
        <f t="shared" si="66"/>
        <v/>
      </c>
      <c r="AX97" s="39"/>
      <c r="AY97" s="40" t="str">
        <f>IF(ISERROR(IF($K97&lt;=$F$15,VLOOKUP($I97,'表4）CO2価格'!$A$7:$E$67,VLOOKUP($F$48,'表4）CO2価格'!$H$10:$I$12,2,0),0)*$F$8/1000,"")),0,IF($K97&lt;=$F$15,VLOOKUP($I97,'表4）CO2価格'!$A$7:$E$67,VLOOKUP($F$48,'表4）CO2価格'!$H$10:$I$12,2,0),0)*$F$8/1000,""))</f>
        <v/>
      </c>
      <c r="AZ97" s="39"/>
      <c r="BA97" s="42" t="str">
        <f t="shared" si="50"/>
        <v/>
      </c>
      <c r="BB97" s="72" t="str">
        <f t="shared" si="67"/>
        <v/>
      </c>
      <c r="BC97" s="39"/>
      <c r="BD97" s="72" t="str">
        <f t="shared" si="51"/>
        <v/>
      </c>
      <c r="BE97" s="72" t="str">
        <f t="shared" si="68"/>
        <v/>
      </c>
      <c r="BF97" s="39"/>
      <c r="BG97" s="42" t="str">
        <f t="shared" si="52"/>
        <v/>
      </c>
      <c r="BH97" s="72" t="str">
        <f t="shared" si="69"/>
        <v/>
      </c>
      <c r="BI97" s="39"/>
      <c r="BJ97" s="40" t="str">
        <f t="shared" si="70"/>
        <v/>
      </c>
      <c r="BK97" s="157" t="str">
        <f t="shared" si="71"/>
        <v/>
      </c>
      <c r="BL97" s="157" t="str">
        <f t="shared" si="53"/>
        <v/>
      </c>
      <c r="BM97" s="72"/>
      <c r="BN97" s="72" t="str">
        <f t="shared" si="72"/>
        <v/>
      </c>
      <c r="BO97" s="72" t="str">
        <f t="shared" si="73"/>
        <v/>
      </c>
      <c r="BP97" s="39"/>
      <c r="BQ97" s="72" t="str">
        <f t="shared" si="54"/>
        <v/>
      </c>
      <c r="BR97" s="72" t="str">
        <f t="shared" si="74"/>
        <v/>
      </c>
    </row>
    <row r="98" spans="4:70" x14ac:dyDescent="0.15">
      <c r="F98" s="487"/>
      <c r="I98" s="322">
        <f t="shared" si="75"/>
        <v>2113</v>
      </c>
      <c r="K98" s="71">
        <f t="shared" si="76"/>
        <v>84</v>
      </c>
      <c r="M98" s="7">
        <f t="shared" si="39"/>
        <v>8.3497433152226644E-2</v>
      </c>
      <c r="O98" s="10" t="str">
        <f t="shared" si="55"/>
        <v/>
      </c>
      <c r="P98" s="29" t="str">
        <f t="shared" si="40"/>
        <v/>
      </c>
      <c r="R98" s="10" t="str">
        <f t="shared" si="56"/>
        <v/>
      </c>
      <c r="T98" s="10" t="str">
        <f t="shared" si="57"/>
        <v/>
      </c>
      <c r="V98" s="10" t="str">
        <f t="shared" si="41"/>
        <v/>
      </c>
      <c r="W98" s="10" t="str">
        <f t="shared" si="58"/>
        <v/>
      </c>
      <c r="Y98" s="10" t="str">
        <f t="shared" si="42"/>
        <v/>
      </c>
      <c r="Z98" s="10" t="str">
        <f t="shared" si="59"/>
        <v/>
      </c>
      <c r="AB98" s="10" t="str">
        <f t="shared" si="43"/>
        <v/>
      </c>
      <c r="AC98" s="10" t="str">
        <f t="shared" si="60"/>
        <v/>
      </c>
      <c r="AE98" s="10" t="str">
        <f t="shared" si="44"/>
        <v/>
      </c>
      <c r="AF98" s="10" t="str">
        <f t="shared" si="61"/>
        <v/>
      </c>
      <c r="AH98" s="10" t="str">
        <f t="shared" si="45"/>
        <v/>
      </c>
      <c r="AI98" s="10" t="str">
        <f t="shared" si="62"/>
        <v/>
      </c>
      <c r="AK98" s="10" t="str">
        <f t="shared" si="46"/>
        <v/>
      </c>
      <c r="AL98" s="10" t="str">
        <f t="shared" si="63"/>
        <v/>
      </c>
      <c r="AN98" s="10" t="str">
        <f t="shared" si="47"/>
        <v/>
      </c>
      <c r="AO98" s="10" t="str">
        <f t="shared" si="64"/>
        <v/>
      </c>
      <c r="AQ98" s="10" t="str">
        <f t="shared" si="48"/>
        <v/>
      </c>
      <c r="AR98" s="10" t="str">
        <f t="shared" si="65"/>
        <v/>
      </c>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V98" s="10" t="str">
        <f t="shared" si="49"/>
        <v/>
      </c>
      <c r="AW98" s="10" t="str">
        <f t="shared" si="66"/>
        <v/>
      </c>
      <c r="AY98" s="7" t="str">
        <f>IF(ISERROR(IF($K98&lt;=$F$15,VLOOKUP($I98,'表4）CO2価格'!$A$7:$E$67,VLOOKUP($F$48,'表4）CO2価格'!$H$10:$I$12,2,0),0)*$F$8/1000,"")),0,IF($K98&lt;=$F$15,VLOOKUP($I98,'表4）CO2価格'!$A$7:$E$67,VLOOKUP($F$48,'表4）CO2価格'!$H$10:$I$12,2,0),0)*$F$8/1000,""))</f>
        <v/>
      </c>
      <c r="BA98" s="11" t="str">
        <f t="shared" si="50"/>
        <v/>
      </c>
      <c r="BB98" s="10" t="str">
        <f t="shared" si="67"/>
        <v/>
      </c>
      <c r="BD98" s="10" t="str">
        <f t="shared" si="51"/>
        <v/>
      </c>
      <c r="BE98" s="10" t="str">
        <f t="shared" si="68"/>
        <v/>
      </c>
      <c r="BG98" s="11" t="str">
        <f t="shared" si="52"/>
        <v/>
      </c>
      <c r="BH98" s="10" t="str">
        <f t="shared" si="69"/>
        <v/>
      </c>
      <c r="BJ98" s="7" t="str">
        <f t="shared" si="70"/>
        <v/>
      </c>
      <c r="BK98" s="158" t="str">
        <f t="shared" si="71"/>
        <v/>
      </c>
      <c r="BL98" s="158" t="str">
        <f t="shared" si="53"/>
        <v/>
      </c>
      <c r="BM98" s="10"/>
      <c r="BN98" s="10" t="str">
        <f t="shared" si="72"/>
        <v/>
      </c>
      <c r="BO98" s="10" t="str">
        <f t="shared" si="73"/>
        <v/>
      </c>
      <c r="BQ98" s="10" t="str">
        <f t="shared" si="54"/>
        <v/>
      </c>
      <c r="BR98" s="10" t="str">
        <f t="shared" si="74"/>
        <v/>
      </c>
    </row>
    <row r="99" spans="4:70" ht="15" x14ac:dyDescent="0.15">
      <c r="D99" s="103" t="s">
        <v>599</v>
      </c>
      <c r="F99" s="484">
        <f>SUBTOTAL(9,F103:F105)</f>
        <v>0.13</v>
      </c>
      <c r="G99" s="84" t="s">
        <v>590</v>
      </c>
      <c r="I99" s="38">
        <f t="shared" si="75"/>
        <v>2114</v>
      </c>
      <c r="J99" s="39"/>
      <c r="K99" s="39">
        <f t="shared" si="76"/>
        <v>85</v>
      </c>
      <c r="L99" s="39"/>
      <c r="M99" s="40">
        <f t="shared" si="39"/>
        <v>8.1065469079831712E-2</v>
      </c>
      <c r="N99" s="39"/>
      <c r="O99" s="72" t="str">
        <f t="shared" si="55"/>
        <v/>
      </c>
      <c r="P99" s="41" t="str">
        <f t="shared" si="40"/>
        <v/>
      </c>
      <c r="Q99" s="39"/>
      <c r="R99" s="72" t="str">
        <f t="shared" si="56"/>
        <v/>
      </c>
      <c r="S99" s="39"/>
      <c r="T99" s="72" t="str">
        <f t="shared" si="57"/>
        <v/>
      </c>
      <c r="U99" s="39"/>
      <c r="V99" s="72" t="str">
        <f t="shared" si="41"/>
        <v/>
      </c>
      <c r="W99" s="72" t="str">
        <f t="shared" si="58"/>
        <v/>
      </c>
      <c r="X99" s="39"/>
      <c r="Y99" s="72" t="str">
        <f t="shared" si="42"/>
        <v/>
      </c>
      <c r="Z99" s="72" t="str">
        <f t="shared" si="59"/>
        <v/>
      </c>
      <c r="AA99" s="39"/>
      <c r="AB99" s="72" t="str">
        <f t="shared" si="43"/>
        <v/>
      </c>
      <c r="AC99" s="72" t="str">
        <f t="shared" si="60"/>
        <v/>
      </c>
      <c r="AD99" s="39"/>
      <c r="AE99" s="72" t="str">
        <f t="shared" si="44"/>
        <v/>
      </c>
      <c r="AF99" s="72" t="str">
        <f t="shared" si="61"/>
        <v/>
      </c>
      <c r="AG99" s="39"/>
      <c r="AH99" s="72" t="str">
        <f t="shared" si="45"/>
        <v/>
      </c>
      <c r="AI99" s="72" t="str">
        <f t="shared" si="62"/>
        <v/>
      </c>
      <c r="AJ99" s="39"/>
      <c r="AK99" s="72" t="str">
        <f t="shared" si="46"/>
        <v/>
      </c>
      <c r="AL99" s="72" t="str">
        <f t="shared" si="63"/>
        <v/>
      </c>
      <c r="AM99" s="39"/>
      <c r="AN99" s="72" t="str">
        <f t="shared" si="47"/>
        <v/>
      </c>
      <c r="AO99" s="72" t="str">
        <f t="shared" si="64"/>
        <v/>
      </c>
      <c r="AP99" s="39"/>
      <c r="AQ99" s="72" t="str">
        <f t="shared" si="48"/>
        <v/>
      </c>
      <c r="AR99" s="72" t="str">
        <f t="shared" si="65"/>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49"/>
        <v/>
      </c>
      <c r="AW99" s="72" t="str">
        <f t="shared" si="66"/>
        <v/>
      </c>
      <c r="AX99" s="39"/>
      <c r="AY99" s="40" t="str">
        <f>IF(ISERROR(IF($K99&lt;=$F$15,VLOOKUP($I99,'表4）CO2価格'!$A$7:$E$67,VLOOKUP($F$48,'表4）CO2価格'!$H$10:$I$12,2,0),0)*$F$8/1000,"")),0,IF($K99&lt;=$F$15,VLOOKUP($I99,'表4）CO2価格'!$A$7:$E$67,VLOOKUP($F$48,'表4）CO2価格'!$H$10:$I$12,2,0),0)*$F$8/1000,""))</f>
        <v/>
      </c>
      <c r="AZ99" s="39"/>
      <c r="BA99" s="42" t="str">
        <f t="shared" si="50"/>
        <v/>
      </c>
      <c r="BB99" s="72" t="str">
        <f t="shared" si="67"/>
        <v/>
      </c>
      <c r="BC99" s="39"/>
      <c r="BD99" s="72" t="str">
        <f t="shared" si="51"/>
        <v/>
      </c>
      <c r="BE99" s="72" t="str">
        <f t="shared" si="68"/>
        <v/>
      </c>
      <c r="BF99" s="39"/>
      <c r="BG99" s="42" t="str">
        <f t="shared" si="52"/>
        <v/>
      </c>
      <c r="BH99" s="72" t="str">
        <f t="shared" si="69"/>
        <v/>
      </c>
      <c r="BI99" s="39"/>
      <c r="BJ99" s="40" t="str">
        <f t="shared" si="70"/>
        <v/>
      </c>
      <c r="BK99" s="157" t="str">
        <f t="shared" si="71"/>
        <v/>
      </c>
      <c r="BL99" s="157" t="str">
        <f t="shared" si="53"/>
        <v/>
      </c>
      <c r="BM99" s="72"/>
      <c r="BN99" s="72" t="str">
        <f t="shared" si="72"/>
        <v/>
      </c>
      <c r="BO99" s="72" t="str">
        <f t="shared" si="73"/>
        <v/>
      </c>
      <c r="BP99" s="39"/>
      <c r="BQ99" s="72" t="str">
        <f t="shared" si="54"/>
        <v/>
      </c>
      <c r="BR99" s="72" t="str">
        <f t="shared" si="74"/>
        <v/>
      </c>
    </row>
    <row r="100" spans="4:70" x14ac:dyDescent="0.15">
      <c r="F100" s="487"/>
      <c r="I100" s="322">
        <f t="shared" si="75"/>
        <v>2115</v>
      </c>
      <c r="K100" s="71">
        <f t="shared" si="76"/>
        <v>86</v>
      </c>
      <c r="M100" s="7">
        <f t="shared" si="39"/>
        <v>7.8704338912457969E-2</v>
      </c>
      <c r="O100" s="10" t="str">
        <f t="shared" si="55"/>
        <v/>
      </c>
      <c r="P100" s="29" t="str">
        <f t="shared" si="40"/>
        <v/>
      </c>
      <c r="R100" s="10" t="str">
        <f t="shared" si="56"/>
        <v/>
      </c>
      <c r="T100" s="10" t="str">
        <f t="shared" si="57"/>
        <v/>
      </c>
      <c r="V100" s="10" t="str">
        <f t="shared" si="41"/>
        <v/>
      </c>
      <c r="W100" s="10" t="str">
        <f t="shared" si="58"/>
        <v/>
      </c>
      <c r="Y100" s="10" t="str">
        <f t="shared" si="42"/>
        <v/>
      </c>
      <c r="Z100" s="10" t="str">
        <f t="shared" si="59"/>
        <v/>
      </c>
      <c r="AB100" s="10" t="str">
        <f t="shared" si="43"/>
        <v/>
      </c>
      <c r="AC100" s="10" t="str">
        <f t="shared" si="60"/>
        <v/>
      </c>
      <c r="AE100" s="10" t="str">
        <f t="shared" si="44"/>
        <v/>
      </c>
      <c r="AF100" s="10" t="str">
        <f t="shared" si="61"/>
        <v/>
      </c>
      <c r="AH100" s="10" t="str">
        <f t="shared" si="45"/>
        <v/>
      </c>
      <c r="AI100" s="10" t="str">
        <f t="shared" si="62"/>
        <v/>
      </c>
      <c r="AK100" s="10" t="str">
        <f t="shared" si="46"/>
        <v/>
      </c>
      <c r="AL100" s="10" t="str">
        <f t="shared" si="63"/>
        <v/>
      </c>
      <c r="AN100" s="10" t="str">
        <f t="shared" si="47"/>
        <v/>
      </c>
      <c r="AO100" s="10" t="str">
        <f t="shared" si="64"/>
        <v/>
      </c>
      <c r="AQ100" s="10" t="str">
        <f t="shared" si="48"/>
        <v/>
      </c>
      <c r="AR100" s="10" t="str">
        <f t="shared" si="65"/>
        <v/>
      </c>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V100" s="10" t="str">
        <f t="shared" si="49"/>
        <v/>
      </c>
      <c r="AW100" s="10" t="str">
        <f t="shared" si="66"/>
        <v/>
      </c>
      <c r="AY100" s="7" t="str">
        <f>IF(ISERROR(IF($K100&lt;=$F$15,VLOOKUP($I100,'表4）CO2価格'!$A$7:$E$67,VLOOKUP($F$48,'表4）CO2価格'!$H$10:$I$12,2,0),0)*$F$8/1000,"")),0,IF($K100&lt;=$F$15,VLOOKUP($I100,'表4）CO2価格'!$A$7:$E$67,VLOOKUP($F$48,'表4）CO2価格'!$H$10:$I$12,2,0),0)*$F$8/1000,""))</f>
        <v/>
      </c>
      <c r="BA100" s="11" t="str">
        <f t="shared" si="50"/>
        <v/>
      </c>
      <c r="BB100" s="10" t="str">
        <f t="shared" si="67"/>
        <v/>
      </c>
      <c r="BD100" s="10" t="str">
        <f t="shared" si="51"/>
        <v/>
      </c>
      <c r="BE100" s="10" t="str">
        <f t="shared" si="68"/>
        <v/>
      </c>
      <c r="BG100" s="11" t="str">
        <f t="shared" si="52"/>
        <v/>
      </c>
      <c r="BH100" s="10" t="str">
        <f t="shared" si="69"/>
        <v/>
      </c>
      <c r="BJ100" s="7" t="str">
        <f t="shared" si="70"/>
        <v/>
      </c>
      <c r="BK100" s="158" t="str">
        <f t="shared" si="71"/>
        <v/>
      </c>
      <c r="BL100" s="158" t="str">
        <f t="shared" si="53"/>
        <v/>
      </c>
      <c r="BM100" s="10"/>
      <c r="BN100" s="10" t="str">
        <f t="shared" si="72"/>
        <v/>
      </c>
      <c r="BO100" s="10" t="str">
        <f t="shared" si="73"/>
        <v/>
      </c>
      <c r="BQ100" s="10" t="str">
        <f t="shared" si="54"/>
        <v/>
      </c>
      <c r="BR100" s="10" t="str">
        <f t="shared" si="74"/>
        <v/>
      </c>
    </row>
    <row r="101" spans="4:70" x14ac:dyDescent="0.15">
      <c r="D101" s="100" t="s">
        <v>600</v>
      </c>
      <c r="E101" s="100"/>
      <c r="F101" s="486"/>
      <c r="G101" s="100"/>
      <c r="I101" s="38">
        <f t="shared" si="75"/>
        <v>2116</v>
      </c>
      <c r="J101" s="39"/>
      <c r="K101" s="39">
        <f t="shared" si="76"/>
        <v>87</v>
      </c>
      <c r="L101" s="39"/>
      <c r="M101" s="40">
        <f t="shared" si="39"/>
        <v>7.6411979526658208E-2</v>
      </c>
      <c r="N101" s="39"/>
      <c r="O101" s="72" t="str">
        <f t="shared" si="55"/>
        <v/>
      </c>
      <c r="P101" s="41" t="str">
        <f t="shared" si="40"/>
        <v/>
      </c>
      <c r="Q101" s="39"/>
      <c r="R101" s="72" t="str">
        <f t="shared" si="56"/>
        <v/>
      </c>
      <c r="S101" s="39"/>
      <c r="T101" s="72" t="str">
        <f t="shared" si="57"/>
        <v/>
      </c>
      <c r="U101" s="39"/>
      <c r="V101" s="72" t="str">
        <f t="shared" si="41"/>
        <v/>
      </c>
      <c r="W101" s="72" t="str">
        <f t="shared" si="58"/>
        <v/>
      </c>
      <c r="X101" s="39"/>
      <c r="Y101" s="72" t="str">
        <f t="shared" si="42"/>
        <v/>
      </c>
      <c r="Z101" s="72" t="str">
        <f t="shared" si="59"/>
        <v/>
      </c>
      <c r="AA101" s="39"/>
      <c r="AB101" s="72" t="str">
        <f t="shared" si="43"/>
        <v/>
      </c>
      <c r="AC101" s="72" t="str">
        <f t="shared" si="60"/>
        <v/>
      </c>
      <c r="AD101" s="39"/>
      <c r="AE101" s="72" t="str">
        <f t="shared" si="44"/>
        <v/>
      </c>
      <c r="AF101" s="72" t="str">
        <f t="shared" si="61"/>
        <v/>
      </c>
      <c r="AG101" s="39"/>
      <c r="AH101" s="72" t="str">
        <f t="shared" si="45"/>
        <v/>
      </c>
      <c r="AI101" s="72" t="str">
        <f t="shared" si="62"/>
        <v/>
      </c>
      <c r="AJ101" s="39"/>
      <c r="AK101" s="72" t="str">
        <f t="shared" si="46"/>
        <v/>
      </c>
      <c r="AL101" s="72" t="str">
        <f t="shared" si="63"/>
        <v/>
      </c>
      <c r="AM101" s="39"/>
      <c r="AN101" s="72" t="str">
        <f t="shared" si="47"/>
        <v/>
      </c>
      <c r="AO101" s="72" t="str">
        <f t="shared" si="64"/>
        <v/>
      </c>
      <c r="AP101" s="39"/>
      <c r="AQ101" s="72" t="str">
        <f t="shared" si="48"/>
        <v/>
      </c>
      <c r="AR101" s="72" t="str">
        <f t="shared" si="65"/>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49"/>
        <v/>
      </c>
      <c r="AW101" s="72" t="str">
        <f t="shared" si="66"/>
        <v/>
      </c>
      <c r="AX101" s="39"/>
      <c r="AY101" s="40" t="str">
        <f>IF(ISERROR(IF($K101&lt;=$F$15,VLOOKUP($I101,'表4）CO2価格'!$A$7:$E$67,VLOOKUP($F$48,'表4）CO2価格'!$H$10:$I$12,2,0),0)*$F$8/1000,"")),0,IF($K101&lt;=$F$15,VLOOKUP($I101,'表4）CO2価格'!$A$7:$E$67,VLOOKUP($F$48,'表4）CO2価格'!$H$10:$I$12,2,0),0)*$F$8/1000,""))</f>
        <v/>
      </c>
      <c r="AZ101" s="39"/>
      <c r="BA101" s="42" t="str">
        <f t="shared" si="50"/>
        <v/>
      </c>
      <c r="BB101" s="72" t="str">
        <f t="shared" si="67"/>
        <v/>
      </c>
      <c r="BC101" s="39"/>
      <c r="BD101" s="72" t="str">
        <f t="shared" si="51"/>
        <v/>
      </c>
      <c r="BE101" s="72" t="str">
        <f t="shared" si="68"/>
        <v/>
      </c>
      <c r="BF101" s="39"/>
      <c r="BG101" s="42" t="str">
        <f t="shared" si="52"/>
        <v/>
      </c>
      <c r="BH101" s="72" t="str">
        <f t="shared" si="69"/>
        <v/>
      </c>
      <c r="BI101" s="39"/>
      <c r="BJ101" s="40" t="str">
        <f t="shared" si="70"/>
        <v/>
      </c>
      <c r="BK101" s="157" t="str">
        <f t="shared" si="71"/>
        <v/>
      </c>
      <c r="BL101" s="157" t="str">
        <f t="shared" si="53"/>
        <v/>
      </c>
      <c r="BM101" s="72"/>
      <c r="BN101" s="72" t="str">
        <f t="shared" si="72"/>
        <v/>
      </c>
      <c r="BO101" s="72" t="str">
        <f t="shared" si="73"/>
        <v/>
      </c>
      <c r="BP101" s="39"/>
      <c r="BQ101" s="72" t="str">
        <f t="shared" si="54"/>
        <v/>
      </c>
      <c r="BR101" s="72" t="str">
        <f t="shared" si="74"/>
        <v/>
      </c>
    </row>
    <row r="102" spans="4:70" x14ac:dyDescent="0.15">
      <c r="F102" s="487"/>
      <c r="I102" s="322">
        <f t="shared" si="75"/>
        <v>2117</v>
      </c>
      <c r="K102" s="71">
        <f t="shared" si="76"/>
        <v>88</v>
      </c>
      <c r="M102" s="7">
        <f t="shared" si="39"/>
        <v>7.4186387889959446E-2</v>
      </c>
      <c r="O102" s="10" t="str">
        <f t="shared" si="55"/>
        <v/>
      </c>
      <c r="P102" s="29" t="str">
        <f t="shared" si="40"/>
        <v/>
      </c>
      <c r="R102" s="10" t="str">
        <f t="shared" si="56"/>
        <v/>
      </c>
      <c r="T102" s="10" t="str">
        <f t="shared" si="57"/>
        <v/>
      </c>
      <c r="V102" s="10" t="str">
        <f t="shared" si="41"/>
        <v/>
      </c>
      <c r="W102" s="10" t="str">
        <f t="shared" si="58"/>
        <v/>
      </c>
      <c r="Y102" s="10" t="str">
        <f t="shared" si="42"/>
        <v/>
      </c>
      <c r="Z102" s="10" t="str">
        <f t="shared" si="59"/>
        <v/>
      </c>
      <c r="AB102" s="10" t="str">
        <f t="shared" si="43"/>
        <v/>
      </c>
      <c r="AC102" s="10" t="str">
        <f t="shared" si="60"/>
        <v/>
      </c>
      <c r="AE102" s="10" t="str">
        <f t="shared" si="44"/>
        <v/>
      </c>
      <c r="AF102" s="10" t="str">
        <f t="shared" si="61"/>
        <v/>
      </c>
      <c r="AH102" s="10" t="str">
        <f t="shared" si="45"/>
        <v/>
      </c>
      <c r="AI102" s="10" t="str">
        <f t="shared" si="62"/>
        <v/>
      </c>
      <c r="AK102" s="10" t="str">
        <f t="shared" si="46"/>
        <v/>
      </c>
      <c r="AL102" s="10" t="str">
        <f t="shared" si="63"/>
        <v/>
      </c>
      <c r="AN102" s="10" t="str">
        <f t="shared" si="47"/>
        <v/>
      </c>
      <c r="AO102" s="10" t="str">
        <f t="shared" si="64"/>
        <v/>
      </c>
      <c r="AQ102" s="10" t="str">
        <f t="shared" si="48"/>
        <v/>
      </c>
      <c r="AR102" s="10" t="str">
        <f t="shared" si="65"/>
        <v/>
      </c>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V102" s="10" t="str">
        <f t="shared" si="49"/>
        <v/>
      </c>
      <c r="AW102" s="10" t="str">
        <f t="shared" si="66"/>
        <v/>
      </c>
      <c r="AY102" s="7" t="str">
        <f>IF(ISERROR(IF($K102&lt;=$F$15,VLOOKUP($I102,'表4）CO2価格'!$A$7:$E$67,VLOOKUP($F$48,'表4）CO2価格'!$H$10:$I$12,2,0),0)*$F$8/1000,"")),0,IF($K102&lt;=$F$15,VLOOKUP($I102,'表4）CO2価格'!$A$7:$E$67,VLOOKUP($F$48,'表4）CO2価格'!$H$10:$I$12,2,0),0)*$F$8/1000,""))</f>
        <v/>
      </c>
      <c r="BA102" s="11" t="str">
        <f t="shared" si="50"/>
        <v/>
      </c>
      <c r="BB102" s="10" t="str">
        <f t="shared" si="67"/>
        <v/>
      </c>
      <c r="BD102" s="10" t="str">
        <f t="shared" si="51"/>
        <v/>
      </c>
      <c r="BE102" s="10" t="str">
        <f t="shared" si="68"/>
        <v/>
      </c>
      <c r="BG102" s="11" t="str">
        <f t="shared" si="52"/>
        <v/>
      </c>
      <c r="BH102" s="10" t="str">
        <f t="shared" si="69"/>
        <v/>
      </c>
      <c r="BJ102" s="7" t="str">
        <f t="shared" si="70"/>
        <v/>
      </c>
      <c r="BK102" s="158" t="str">
        <f t="shared" si="71"/>
        <v/>
      </c>
      <c r="BL102" s="158" t="str">
        <f t="shared" si="53"/>
        <v/>
      </c>
      <c r="BM102" s="10"/>
      <c r="BN102" s="10" t="str">
        <f t="shared" si="72"/>
        <v/>
      </c>
      <c r="BO102" s="10" t="str">
        <f t="shared" si="73"/>
        <v/>
      </c>
      <c r="BQ102" s="10" t="str">
        <f t="shared" si="54"/>
        <v/>
      </c>
      <c r="BR102" s="10" t="str">
        <f t="shared" si="74"/>
        <v/>
      </c>
    </row>
    <row r="103" spans="4:70" x14ac:dyDescent="0.15">
      <c r="E103" s="84" t="s">
        <v>601</v>
      </c>
      <c r="F103" s="488">
        <f>BB116/$BR$116</f>
        <v>0</v>
      </c>
      <c r="G103" s="84" t="s">
        <v>590</v>
      </c>
      <c r="I103" s="38">
        <f t="shared" si="75"/>
        <v>2118</v>
      </c>
      <c r="J103" s="39"/>
      <c r="K103" s="39">
        <f t="shared" si="76"/>
        <v>89</v>
      </c>
      <c r="L103" s="39"/>
      <c r="M103" s="40">
        <f t="shared" si="39"/>
        <v>7.2025619310640235E-2</v>
      </c>
      <c r="N103" s="39"/>
      <c r="O103" s="72" t="str">
        <f t="shared" si="55"/>
        <v/>
      </c>
      <c r="P103" s="41" t="str">
        <f t="shared" si="40"/>
        <v/>
      </c>
      <c r="Q103" s="39"/>
      <c r="R103" s="72" t="str">
        <f t="shared" si="56"/>
        <v/>
      </c>
      <c r="S103" s="39"/>
      <c r="T103" s="72" t="str">
        <f t="shared" si="57"/>
        <v/>
      </c>
      <c r="U103" s="39"/>
      <c r="V103" s="72" t="str">
        <f t="shared" si="41"/>
        <v/>
      </c>
      <c r="W103" s="72" t="str">
        <f t="shared" si="58"/>
        <v/>
      </c>
      <c r="X103" s="39"/>
      <c r="Y103" s="72" t="str">
        <f t="shared" si="42"/>
        <v/>
      </c>
      <c r="Z103" s="72" t="str">
        <f t="shared" si="59"/>
        <v/>
      </c>
      <c r="AA103" s="39"/>
      <c r="AB103" s="72" t="str">
        <f t="shared" si="43"/>
        <v/>
      </c>
      <c r="AC103" s="72" t="str">
        <f t="shared" si="60"/>
        <v/>
      </c>
      <c r="AD103" s="39"/>
      <c r="AE103" s="72" t="str">
        <f t="shared" si="44"/>
        <v/>
      </c>
      <c r="AF103" s="72" t="str">
        <f t="shared" si="61"/>
        <v/>
      </c>
      <c r="AG103" s="39"/>
      <c r="AH103" s="72" t="str">
        <f t="shared" si="45"/>
        <v/>
      </c>
      <c r="AI103" s="72" t="str">
        <f t="shared" si="62"/>
        <v/>
      </c>
      <c r="AJ103" s="39"/>
      <c r="AK103" s="72" t="str">
        <f t="shared" si="46"/>
        <v/>
      </c>
      <c r="AL103" s="72" t="str">
        <f t="shared" si="63"/>
        <v/>
      </c>
      <c r="AM103" s="39"/>
      <c r="AN103" s="72" t="str">
        <f t="shared" si="47"/>
        <v/>
      </c>
      <c r="AO103" s="72" t="str">
        <f t="shared" si="64"/>
        <v/>
      </c>
      <c r="AP103" s="39"/>
      <c r="AQ103" s="72" t="str">
        <f t="shared" si="48"/>
        <v/>
      </c>
      <c r="AR103" s="72" t="str">
        <f t="shared" si="65"/>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49"/>
        <v/>
      </c>
      <c r="AW103" s="72" t="str">
        <f t="shared" si="66"/>
        <v/>
      </c>
      <c r="AX103" s="39"/>
      <c r="AY103" s="40" t="str">
        <f>IF(ISERROR(IF($K103&lt;=$F$15,VLOOKUP($I103,'表4）CO2価格'!$A$7:$E$67,VLOOKUP($F$48,'表4）CO2価格'!$H$10:$I$12,2,0),0)*$F$8/1000,"")),0,IF($K103&lt;=$F$15,VLOOKUP($I103,'表4）CO2価格'!$A$7:$E$67,VLOOKUP($F$48,'表4）CO2価格'!$H$10:$I$12,2,0),0)*$F$8/1000,""))</f>
        <v/>
      </c>
      <c r="AZ103" s="39"/>
      <c r="BA103" s="42" t="str">
        <f t="shared" si="50"/>
        <v/>
      </c>
      <c r="BB103" s="72" t="str">
        <f t="shared" si="67"/>
        <v/>
      </c>
      <c r="BC103" s="39"/>
      <c r="BD103" s="72" t="str">
        <f t="shared" si="51"/>
        <v/>
      </c>
      <c r="BE103" s="72" t="str">
        <f t="shared" si="68"/>
        <v/>
      </c>
      <c r="BF103" s="39"/>
      <c r="BG103" s="42" t="str">
        <f t="shared" si="52"/>
        <v/>
      </c>
      <c r="BH103" s="72" t="str">
        <f t="shared" si="69"/>
        <v/>
      </c>
      <c r="BI103" s="39"/>
      <c r="BJ103" s="40" t="str">
        <f t="shared" si="70"/>
        <v/>
      </c>
      <c r="BK103" s="157" t="str">
        <f t="shared" si="71"/>
        <v/>
      </c>
      <c r="BL103" s="157" t="str">
        <f t="shared" si="53"/>
        <v/>
      </c>
      <c r="BM103" s="72"/>
      <c r="BN103" s="72" t="str">
        <f t="shared" si="72"/>
        <v/>
      </c>
      <c r="BO103" s="72" t="str">
        <f t="shared" si="73"/>
        <v/>
      </c>
      <c r="BP103" s="39"/>
      <c r="BQ103" s="72" t="str">
        <f t="shared" si="54"/>
        <v/>
      </c>
      <c r="BR103" s="72" t="str">
        <f t="shared" si="74"/>
        <v/>
      </c>
    </row>
    <row r="104" spans="4:70" x14ac:dyDescent="0.15">
      <c r="E104" s="84" t="s">
        <v>602</v>
      </c>
      <c r="F104" s="488">
        <f>IF(ISERROR(F60*(1/F61)/F62),0,F60*(1/F61)/F62)</f>
        <v>0</v>
      </c>
      <c r="G104" s="84" t="s">
        <v>590</v>
      </c>
      <c r="I104" s="322">
        <f t="shared" si="75"/>
        <v>2119</v>
      </c>
      <c r="K104" s="71">
        <f t="shared" si="76"/>
        <v>90</v>
      </c>
      <c r="M104" s="7">
        <f t="shared" si="39"/>
        <v>6.9927785738485654E-2</v>
      </c>
      <c r="O104" s="10" t="str">
        <f t="shared" si="55"/>
        <v/>
      </c>
      <c r="P104" s="29" t="str">
        <f t="shared" si="40"/>
        <v/>
      </c>
      <c r="R104" s="10" t="str">
        <f t="shared" si="56"/>
        <v/>
      </c>
      <c r="T104" s="10" t="str">
        <f t="shared" si="57"/>
        <v/>
      </c>
      <c r="V104" s="10" t="str">
        <f t="shared" si="41"/>
        <v/>
      </c>
      <c r="W104" s="10" t="str">
        <f t="shared" si="58"/>
        <v/>
      </c>
      <c r="Y104" s="10" t="str">
        <f t="shared" si="42"/>
        <v/>
      </c>
      <c r="Z104" s="10" t="str">
        <f t="shared" si="59"/>
        <v/>
      </c>
      <c r="AB104" s="10" t="str">
        <f t="shared" si="43"/>
        <v/>
      </c>
      <c r="AC104" s="10" t="str">
        <f t="shared" si="60"/>
        <v/>
      </c>
      <c r="AE104" s="10" t="str">
        <f t="shared" si="44"/>
        <v/>
      </c>
      <c r="AF104" s="10" t="str">
        <f t="shared" si="61"/>
        <v/>
      </c>
      <c r="AH104" s="10" t="str">
        <f t="shared" si="45"/>
        <v/>
      </c>
      <c r="AI104" s="10" t="str">
        <f t="shared" si="62"/>
        <v/>
      </c>
      <c r="AK104" s="10" t="str">
        <f t="shared" si="46"/>
        <v/>
      </c>
      <c r="AL104" s="10" t="str">
        <f t="shared" si="63"/>
        <v/>
      </c>
      <c r="AN104" s="10" t="str">
        <f t="shared" si="47"/>
        <v/>
      </c>
      <c r="AO104" s="10" t="str">
        <f t="shared" si="64"/>
        <v/>
      </c>
      <c r="AQ104" s="10" t="str">
        <f t="shared" si="48"/>
        <v/>
      </c>
      <c r="AR104" s="10" t="str">
        <f t="shared" si="65"/>
        <v/>
      </c>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V104" s="10" t="str">
        <f t="shared" si="49"/>
        <v/>
      </c>
      <c r="AW104" s="10" t="str">
        <f t="shared" si="66"/>
        <v/>
      </c>
      <c r="AY104" s="7" t="str">
        <f>IF(ISERROR(IF($K104&lt;=$F$15,VLOOKUP($I104,'表4）CO2価格'!$A$7:$E$67,VLOOKUP($F$48,'表4）CO2価格'!$H$10:$I$12,2,0),0)*$F$8/1000,"")),0,IF($K104&lt;=$F$15,VLOOKUP($I104,'表4）CO2価格'!$A$7:$E$67,VLOOKUP($F$48,'表4）CO2価格'!$H$10:$I$12,2,0),0)*$F$8/1000,""))</f>
        <v/>
      </c>
      <c r="BA104" s="11" t="str">
        <f t="shared" si="50"/>
        <v/>
      </c>
      <c r="BB104" s="10" t="str">
        <f t="shared" si="67"/>
        <v/>
      </c>
      <c r="BD104" s="10" t="str">
        <f t="shared" si="51"/>
        <v/>
      </c>
      <c r="BE104" s="10" t="str">
        <f t="shared" si="68"/>
        <v/>
      </c>
      <c r="BG104" s="11" t="str">
        <f t="shared" si="52"/>
        <v/>
      </c>
      <c r="BH104" s="10" t="str">
        <f t="shared" si="69"/>
        <v/>
      </c>
      <c r="BJ104" s="7" t="str">
        <f t="shared" si="70"/>
        <v/>
      </c>
      <c r="BK104" s="158" t="str">
        <f t="shared" si="71"/>
        <v/>
      </c>
      <c r="BL104" s="158" t="str">
        <f t="shared" si="53"/>
        <v/>
      </c>
      <c r="BM104" s="10"/>
      <c r="BN104" s="10" t="str">
        <f t="shared" si="72"/>
        <v/>
      </c>
      <c r="BO104" s="10" t="str">
        <f t="shared" si="73"/>
        <v/>
      </c>
      <c r="BQ104" s="10" t="str">
        <f t="shared" si="54"/>
        <v/>
      </c>
      <c r="BR104" s="10" t="str">
        <f t="shared" si="74"/>
        <v/>
      </c>
    </row>
    <row r="105" spans="4:70" x14ac:dyDescent="0.15">
      <c r="E105" s="71" t="s">
        <v>603</v>
      </c>
      <c r="F105" s="488">
        <f>F64</f>
        <v>0.13</v>
      </c>
      <c r="G105" s="84" t="s">
        <v>590</v>
      </c>
      <c r="I105" s="38">
        <f t="shared" si="75"/>
        <v>2120</v>
      </c>
      <c r="J105" s="39"/>
      <c r="K105" s="39">
        <f t="shared" si="76"/>
        <v>91</v>
      </c>
      <c r="L105" s="39"/>
      <c r="M105" s="40">
        <f t="shared" si="39"/>
        <v>6.7891054115034627E-2</v>
      </c>
      <c r="N105" s="39"/>
      <c r="O105" s="72" t="str">
        <f t="shared" si="55"/>
        <v/>
      </c>
      <c r="P105" s="41" t="str">
        <f t="shared" si="40"/>
        <v/>
      </c>
      <c r="Q105" s="39"/>
      <c r="R105" s="72" t="str">
        <f t="shared" si="56"/>
        <v/>
      </c>
      <c r="S105" s="39"/>
      <c r="T105" s="72" t="str">
        <f t="shared" si="57"/>
        <v/>
      </c>
      <c r="U105" s="39"/>
      <c r="V105" s="72" t="str">
        <f t="shared" si="41"/>
        <v/>
      </c>
      <c r="W105" s="72" t="str">
        <f t="shared" si="58"/>
        <v/>
      </c>
      <c r="X105" s="39"/>
      <c r="Y105" s="72" t="str">
        <f t="shared" si="42"/>
        <v/>
      </c>
      <c r="Z105" s="72" t="str">
        <f t="shared" si="59"/>
        <v/>
      </c>
      <c r="AA105" s="39"/>
      <c r="AB105" s="72" t="str">
        <f t="shared" si="43"/>
        <v/>
      </c>
      <c r="AC105" s="72" t="str">
        <f t="shared" si="60"/>
        <v/>
      </c>
      <c r="AD105" s="39"/>
      <c r="AE105" s="72" t="str">
        <f t="shared" si="44"/>
        <v/>
      </c>
      <c r="AF105" s="72" t="str">
        <f t="shared" si="61"/>
        <v/>
      </c>
      <c r="AG105" s="39"/>
      <c r="AH105" s="72" t="str">
        <f t="shared" si="45"/>
        <v/>
      </c>
      <c r="AI105" s="72" t="str">
        <f t="shared" si="62"/>
        <v/>
      </c>
      <c r="AJ105" s="39"/>
      <c r="AK105" s="72" t="str">
        <f t="shared" si="46"/>
        <v/>
      </c>
      <c r="AL105" s="72" t="str">
        <f t="shared" si="63"/>
        <v/>
      </c>
      <c r="AM105" s="39"/>
      <c r="AN105" s="72" t="str">
        <f t="shared" si="47"/>
        <v/>
      </c>
      <c r="AO105" s="72" t="str">
        <f t="shared" si="64"/>
        <v/>
      </c>
      <c r="AP105" s="39"/>
      <c r="AQ105" s="72" t="str">
        <f t="shared" si="48"/>
        <v/>
      </c>
      <c r="AR105" s="72" t="str">
        <f t="shared" si="65"/>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49"/>
        <v/>
      </c>
      <c r="AW105" s="72" t="str">
        <f t="shared" si="66"/>
        <v/>
      </c>
      <c r="AX105" s="39"/>
      <c r="AY105" s="40" t="str">
        <f>IF(ISERROR(IF($K105&lt;=$F$15,VLOOKUP($I105,'表4）CO2価格'!$A$7:$E$67,VLOOKUP($F$48,'表4）CO2価格'!$H$10:$I$12,2,0),0)*$F$8/1000,"")),0,IF($K105&lt;=$F$15,VLOOKUP($I105,'表4）CO2価格'!$A$7:$E$67,VLOOKUP($F$48,'表4）CO2価格'!$H$10:$I$12,2,0),0)*$F$8/1000,""))</f>
        <v/>
      </c>
      <c r="AZ105" s="39"/>
      <c r="BA105" s="42" t="str">
        <f t="shared" si="50"/>
        <v/>
      </c>
      <c r="BB105" s="72" t="str">
        <f t="shared" si="67"/>
        <v/>
      </c>
      <c r="BC105" s="39"/>
      <c r="BD105" s="72" t="str">
        <f t="shared" si="51"/>
        <v/>
      </c>
      <c r="BE105" s="72" t="str">
        <f t="shared" si="68"/>
        <v/>
      </c>
      <c r="BF105" s="39"/>
      <c r="BG105" s="42" t="str">
        <f t="shared" si="52"/>
        <v/>
      </c>
      <c r="BH105" s="72" t="str">
        <f t="shared" si="69"/>
        <v/>
      </c>
      <c r="BI105" s="39"/>
      <c r="BJ105" s="40" t="str">
        <f t="shared" si="70"/>
        <v/>
      </c>
      <c r="BK105" s="157" t="str">
        <f t="shared" si="71"/>
        <v/>
      </c>
      <c r="BL105" s="157" t="str">
        <f t="shared" si="53"/>
        <v/>
      </c>
      <c r="BM105" s="72"/>
      <c r="BN105" s="72" t="str">
        <f t="shared" si="72"/>
        <v/>
      </c>
      <c r="BO105" s="72" t="str">
        <f t="shared" si="73"/>
        <v/>
      </c>
      <c r="BP105" s="39"/>
      <c r="BQ105" s="72" t="str">
        <f t="shared" si="54"/>
        <v/>
      </c>
      <c r="BR105" s="72" t="str">
        <f t="shared" si="74"/>
        <v/>
      </c>
    </row>
    <row r="106" spans="4:70" x14ac:dyDescent="0.15">
      <c r="F106" s="487"/>
      <c r="I106" s="322">
        <f t="shared" si="75"/>
        <v>2121</v>
      </c>
      <c r="K106" s="71">
        <f t="shared" si="76"/>
        <v>92</v>
      </c>
      <c r="M106" s="7">
        <f t="shared" si="39"/>
        <v>6.5913644771878277E-2</v>
      </c>
      <c r="O106" s="10" t="str">
        <f t="shared" si="55"/>
        <v/>
      </c>
      <c r="P106" s="29" t="str">
        <f t="shared" si="40"/>
        <v/>
      </c>
      <c r="R106" s="10" t="str">
        <f t="shared" si="56"/>
        <v/>
      </c>
      <c r="T106" s="10" t="str">
        <f t="shared" si="57"/>
        <v/>
      </c>
      <c r="V106" s="10" t="str">
        <f t="shared" si="41"/>
        <v/>
      </c>
      <c r="W106" s="10" t="str">
        <f t="shared" si="58"/>
        <v/>
      </c>
      <c r="Y106" s="10" t="str">
        <f t="shared" si="42"/>
        <v/>
      </c>
      <c r="Z106" s="10" t="str">
        <f t="shared" si="59"/>
        <v/>
      </c>
      <c r="AB106" s="10" t="str">
        <f t="shared" si="43"/>
        <v/>
      </c>
      <c r="AC106" s="10" t="str">
        <f t="shared" si="60"/>
        <v/>
      </c>
      <c r="AE106" s="10" t="str">
        <f t="shared" si="44"/>
        <v/>
      </c>
      <c r="AF106" s="10" t="str">
        <f t="shared" si="61"/>
        <v/>
      </c>
      <c r="AH106" s="10" t="str">
        <f t="shared" si="45"/>
        <v/>
      </c>
      <c r="AI106" s="10" t="str">
        <f t="shared" si="62"/>
        <v/>
      </c>
      <c r="AK106" s="10" t="str">
        <f t="shared" si="46"/>
        <v/>
      </c>
      <c r="AL106" s="10" t="str">
        <f t="shared" si="63"/>
        <v/>
      </c>
      <c r="AN106" s="10" t="str">
        <f t="shared" si="47"/>
        <v/>
      </c>
      <c r="AO106" s="10" t="str">
        <f t="shared" si="64"/>
        <v/>
      </c>
      <c r="AQ106" s="10" t="str">
        <f t="shared" si="48"/>
        <v/>
      </c>
      <c r="AR106" s="10" t="str">
        <f t="shared" si="65"/>
        <v/>
      </c>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V106" s="10" t="str">
        <f t="shared" si="49"/>
        <v/>
      </c>
      <c r="AW106" s="10" t="str">
        <f t="shared" si="66"/>
        <v/>
      </c>
      <c r="AY106" s="7" t="str">
        <f>IF(ISERROR(IF($K106&lt;=$F$15,VLOOKUP($I106,'表4）CO2価格'!$A$7:$E$67,VLOOKUP($F$48,'表4）CO2価格'!$H$10:$I$12,2,0),0)*$F$8/1000,"")),0,IF($K106&lt;=$F$15,VLOOKUP($I106,'表4）CO2価格'!$A$7:$E$67,VLOOKUP($F$48,'表4）CO2価格'!$H$10:$I$12,2,0),0)*$F$8/1000,""))</f>
        <v/>
      </c>
      <c r="BA106" s="11" t="str">
        <f t="shared" si="50"/>
        <v/>
      </c>
      <c r="BB106" s="10" t="str">
        <f t="shared" si="67"/>
        <v/>
      </c>
      <c r="BD106" s="10" t="str">
        <f t="shared" si="51"/>
        <v/>
      </c>
      <c r="BE106" s="10" t="str">
        <f t="shared" si="68"/>
        <v/>
      </c>
      <c r="BG106" s="11" t="str">
        <f t="shared" si="52"/>
        <v/>
      </c>
      <c r="BH106" s="10" t="str">
        <f t="shared" si="69"/>
        <v/>
      </c>
      <c r="BJ106" s="7" t="str">
        <f t="shared" si="70"/>
        <v/>
      </c>
      <c r="BK106" s="158" t="str">
        <f t="shared" si="71"/>
        <v/>
      </c>
      <c r="BL106" s="158" t="str">
        <f t="shared" si="53"/>
        <v/>
      </c>
      <c r="BM106" s="10"/>
      <c r="BN106" s="10" t="str">
        <f t="shared" si="72"/>
        <v/>
      </c>
      <c r="BO106" s="10" t="str">
        <f t="shared" si="73"/>
        <v/>
      </c>
      <c r="BQ106" s="10" t="str">
        <f t="shared" si="54"/>
        <v/>
      </c>
      <c r="BR106" s="10" t="str">
        <f t="shared" si="74"/>
        <v/>
      </c>
    </row>
    <row r="107" spans="4:70" ht="15" x14ac:dyDescent="0.15">
      <c r="D107" s="103" t="s">
        <v>604</v>
      </c>
      <c r="F107" s="484">
        <f>SUBTOTAL(9,F111:F112)</f>
        <v>0</v>
      </c>
      <c r="G107" s="84" t="s">
        <v>590</v>
      </c>
      <c r="I107" s="38">
        <f t="shared" si="75"/>
        <v>2122</v>
      </c>
      <c r="J107" s="39"/>
      <c r="K107" s="39">
        <f t="shared" si="76"/>
        <v>93</v>
      </c>
      <c r="L107" s="39"/>
      <c r="M107" s="40">
        <f t="shared" si="39"/>
        <v>6.3993829875609989E-2</v>
      </c>
      <c r="N107" s="39"/>
      <c r="O107" s="72" t="str">
        <f t="shared" si="55"/>
        <v/>
      </c>
      <c r="P107" s="41" t="str">
        <f t="shared" si="40"/>
        <v/>
      </c>
      <c r="Q107" s="39"/>
      <c r="R107" s="72" t="str">
        <f t="shared" si="56"/>
        <v/>
      </c>
      <c r="S107" s="39"/>
      <c r="T107" s="72" t="str">
        <f t="shared" si="57"/>
        <v/>
      </c>
      <c r="U107" s="39"/>
      <c r="V107" s="72" t="str">
        <f t="shared" si="41"/>
        <v/>
      </c>
      <c r="W107" s="72" t="str">
        <f t="shared" si="58"/>
        <v/>
      </c>
      <c r="X107" s="39"/>
      <c r="Y107" s="72" t="str">
        <f t="shared" si="42"/>
        <v/>
      </c>
      <c r="Z107" s="72" t="str">
        <f t="shared" si="59"/>
        <v/>
      </c>
      <c r="AA107" s="39"/>
      <c r="AB107" s="72" t="str">
        <f t="shared" si="43"/>
        <v/>
      </c>
      <c r="AC107" s="72" t="str">
        <f t="shared" si="60"/>
        <v/>
      </c>
      <c r="AD107" s="39"/>
      <c r="AE107" s="72" t="str">
        <f t="shared" si="44"/>
        <v/>
      </c>
      <c r="AF107" s="72" t="str">
        <f t="shared" si="61"/>
        <v/>
      </c>
      <c r="AG107" s="39"/>
      <c r="AH107" s="72" t="str">
        <f t="shared" si="45"/>
        <v/>
      </c>
      <c r="AI107" s="72" t="str">
        <f t="shared" si="62"/>
        <v/>
      </c>
      <c r="AJ107" s="39"/>
      <c r="AK107" s="72" t="str">
        <f t="shared" si="46"/>
        <v/>
      </c>
      <c r="AL107" s="72" t="str">
        <f t="shared" si="63"/>
        <v/>
      </c>
      <c r="AM107" s="39"/>
      <c r="AN107" s="72" t="str">
        <f t="shared" si="47"/>
        <v/>
      </c>
      <c r="AO107" s="72" t="str">
        <f t="shared" si="64"/>
        <v/>
      </c>
      <c r="AP107" s="39"/>
      <c r="AQ107" s="72" t="str">
        <f t="shared" si="48"/>
        <v/>
      </c>
      <c r="AR107" s="72" t="str">
        <f t="shared" si="65"/>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49"/>
        <v/>
      </c>
      <c r="AW107" s="72" t="str">
        <f t="shared" si="66"/>
        <v/>
      </c>
      <c r="AX107" s="39"/>
      <c r="AY107" s="40" t="str">
        <f>IF(ISERROR(IF($K107&lt;=$F$15,VLOOKUP($I107,'表4）CO2価格'!$A$7:$E$67,VLOOKUP($F$48,'表4）CO2価格'!$H$10:$I$12,2,0),0)*$F$8/1000,"")),0,IF($K107&lt;=$F$15,VLOOKUP($I107,'表4）CO2価格'!$A$7:$E$67,VLOOKUP($F$48,'表4）CO2価格'!$H$10:$I$12,2,0),0)*$F$8/1000,""))</f>
        <v/>
      </c>
      <c r="AZ107" s="39"/>
      <c r="BA107" s="42" t="str">
        <f t="shared" si="50"/>
        <v/>
      </c>
      <c r="BB107" s="72" t="str">
        <f t="shared" si="67"/>
        <v/>
      </c>
      <c r="BC107" s="39"/>
      <c r="BD107" s="72" t="str">
        <f t="shared" si="51"/>
        <v/>
      </c>
      <c r="BE107" s="72" t="str">
        <f t="shared" si="68"/>
        <v/>
      </c>
      <c r="BF107" s="39"/>
      <c r="BG107" s="42" t="str">
        <f t="shared" si="52"/>
        <v/>
      </c>
      <c r="BH107" s="72" t="str">
        <f t="shared" si="69"/>
        <v/>
      </c>
      <c r="BI107" s="39"/>
      <c r="BJ107" s="40" t="str">
        <f t="shared" si="70"/>
        <v/>
      </c>
      <c r="BK107" s="157" t="str">
        <f t="shared" si="71"/>
        <v/>
      </c>
      <c r="BL107" s="157" t="str">
        <f t="shared" si="53"/>
        <v/>
      </c>
      <c r="BM107" s="72"/>
      <c r="BN107" s="72" t="str">
        <f t="shared" si="72"/>
        <v/>
      </c>
      <c r="BO107" s="72" t="str">
        <f t="shared" si="73"/>
        <v/>
      </c>
      <c r="BP107" s="39"/>
      <c r="BQ107" s="72" t="str">
        <f t="shared" si="54"/>
        <v/>
      </c>
      <c r="BR107" s="72" t="str">
        <f t="shared" si="74"/>
        <v/>
      </c>
    </row>
    <row r="108" spans="4:70" ht="15" x14ac:dyDescent="0.15">
      <c r="D108" s="103"/>
      <c r="F108" s="487"/>
      <c r="I108" s="322">
        <f t="shared" si="75"/>
        <v>2123</v>
      </c>
      <c r="K108" s="71">
        <f t="shared" si="76"/>
        <v>94</v>
      </c>
      <c r="M108" s="7">
        <f t="shared" si="39"/>
        <v>6.212993191806794E-2</v>
      </c>
      <c r="O108" s="10" t="str">
        <f t="shared" si="55"/>
        <v/>
      </c>
      <c r="P108" s="29" t="str">
        <f t="shared" si="40"/>
        <v/>
      </c>
      <c r="R108" s="10" t="str">
        <f t="shared" si="56"/>
        <v/>
      </c>
      <c r="T108" s="10" t="str">
        <f t="shared" si="57"/>
        <v/>
      </c>
      <c r="V108" s="10" t="str">
        <f t="shared" si="41"/>
        <v/>
      </c>
      <c r="W108" s="10" t="str">
        <f t="shared" si="58"/>
        <v/>
      </c>
      <c r="Y108" s="10" t="str">
        <f t="shared" si="42"/>
        <v/>
      </c>
      <c r="Z108" s="10" t="str">
        <f t="shared" si="59"/>
        <v/>
      </c>
      <c r="AB108" s="10" t="str">
        <f t="shared" si="43"/>
        <v/>
      </c>
      <c r="AC108" s="10" t="str">
        <f t="shared" si="60"/>
        <v/>
      </c>
      <c r="AE108" s="10" t="str">
        <f t="shared" si="44"/>
        <v/>
      </c>
      <c r="AF108" s="10" t="str">
        <f t="shared" si="61"/>
        <v/>
      </c>
      <c r="AH108" s="10" t="str">
        <f t="shared" si="45"/>
        <v/>
      </c>
      <c r="AI108" s="10" t="str">
        <f t="shared" si="62"/>
        <v/>
      </c>
      <c r="AK108" s="10" t="str">
        <f t="shared" si="46"/>
        <v/>
      </c>
      <c r="AL108" s="10" t="str">
        <f t="shared" si="63"/>
        <v/>
      </c>
      <c r="AN108" s="10" t="str">
        <f t="shared" si="47"/>
        <v/>
      </c>
      <c r="AO108" s="10" t="str">
        <f t="shared" si="64"/>
        <v/>
      </c>
      <c r="AQ108" s="10" t="str">
        <f t="shared" si="48"/>
        <v/>
      </c>
      <c r="AR108" s="10" t="str">
        <f t="shared" si="65"/>
        <v/>
      </c>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V108" s="10" t="str">
        <f t="shared" si="49"/>
        <v/>
      </c>
      <c r="AW108" s="10" t="str">
        <f t="shared" si="66"/>
        <v/>
      </c>
      <c r="AY108" s="7" t="str">
        <f>IF(ISERROR(IF($K108&lt;=$F$15,VLOOKUP($I108,'表4）CO2価格'!$A$7:$E$67,VLOOKUP($F$48,'表4）CO2価格'!$H$10:$I$12,2,0),0)*$F$8/1000,"")),0,IF($K108&lt;=$F$15,VLOOKUP($I108,'表4）CO2価格'!$A$7:$E$67,VLOOKUP($F$48,'表4）CO2価格'!$H$10:$I$12,2,0),0)*$F$8/1000,""))</f>
        <v/>
      </c>
      <c r="BA108" s="11" t="str">
        <f t="shared" si="50"/>
        <v/>
      </c>
      <c r="BB108" s="10" t="str">
        <f t="shared" si="67"/>
        <v/>
      </c>
      <c r="BD108" s="10" t="str">
        <f t="shared" si="51"/>
        <v/>
      </c>
      <c r="BE108" s="10" t="str">
        <f t="shared" si="68"/>
        <v/>
      </c>
      <c r="BG108" s="11" t="str">
        <f t="shared" si="52"/>
        <v/>
      </c>
      <c r="BH108" s="10" t="str">
        <f t="shared" si="69"/>
        <v/>
      </c>
      <c r="BJ108" s="7" t="str">
        <f t="shared" si="70"/>
        <v/>
      </c>
      <c r="BK108" s="158" t="str">
        <f t="shared" si="71"/>
        <v/>
      </c>
      <c r="BL108" s="158" t="str">
        <f t="shared" si="53"/>
        <v/>
      </c>
      <c r="BM108" s="10"/>
      <c r="BN108" s="10" t="str">
        <f t="shared" si="72"/>
        <v/>
      </c>
      <c r="BO108" s="10" t="str">
        <f t="shared" si="73"/>
        <v/>
      </c>
      <c r="BQ108" s="10" t="str">
        <f t="shared" si="54"/>
        <v/>
      </c>
      <c r="BR108" s="10" t="str">
        <f t="shared" si="74"/>
        <v/>
      </c>
    </row>
    <row r="109" spans="4:70" x14ac:dyDescent="0.15">
      <c r="D109" s="100" t="s">
        <v>605</v>
      </c>
      <c r="E109" s="100"/>
      <c r="F109" s="486"/>
      <c r="G109" s="100"/>
      <c r="I109" s="38">
        <f t="shared" si="75"/>
        <v>2124</v>
      </c>
      <c r="J109" s="39"/>
      <c r="K109" s="39">
        <f t="shared" si="76"/>
        <v>95</v>
      </c>
      <c r="L109" s="39"/>
      <c r="M109" s="40">
        <f t="shared" si="39"/>
        <v>6.0320322250551395E-2</v>
      </c>
      <c r="N109" s="39"/>
      <c r="O109" s="72" t="str">
        <f t="shared" si="55"/>
        <v/>
      </c>
      <c r="P109" s="41" t="str">
        <f t="shared" si="40"/>
        <v/>
      </c>
      <c r="Q109" s="39"/>
      <c r="R109" s="72" t="str">
        <f t="shared" si="56"/>
        <v/>
      </c>
      <c r="S109" s="39"/>
      <c r="T109" s="72" t="str">
        <f t="shared" si="57"/>
        <v/>
      </c>
      <c r="U109" s="39"/>
      <c r="V109" s="72" t="str">
        <f t="shared" si="41"/>
        <v/>
      </c>
      <c r="W109" s="72" t="str">
        <f t="shared" si="58"/>
        <v/>
      </c>
      <c r="X109" s="39"/>
      <c r="Y109" s="72" t="str">
        <f t="shared" si="42"/>
        <v/>
      </c>
      <c r="Z109" s="72" t="str">
        <f t="shared" si="59"/>
        <v/>
      </c>
      <c r="AA109" s="39"/>
      <c r="AB109" s="72" t="str">
        <f t="shared" si="43"/>
        <v/>
      </c>
      <c r="AC109" s="72" t="str">
        <f t="shared" si="60"/>
        <v/>
      </c>
      <c r="AD109" s="39"/>
      <c r="AE109" s="72" t="str">
        <f t="shared" si="44"/>
        <v/>
      </c>
      <c r="AF109" s="72" t="str">
        <f t="shared" si="61"/>
        <v/>
      </c>
      <c r="AG109" s="39"/>
      <c r="AH109" s="72" t="str">
        <f t="shared" si="45"/>
        <v/>
      </c>
      <c r="AI109" s="72" t="str">
        <f t="shared" si="62"/>
        <v/>
      </c>
      <c r="AJ109" s="39"/>
      <c r="AK109" s="72" t="str">
        <f t="shared" si="46"/>
        <v/>
      </c>
      <c r="AL109" s="72" t="str">
        <f t="shared" si="63"/>
        <v/>
      </c>
      <c r="AM109" s="39"/>
      <c r="AN109" s="72" t="str">
        <f t="shared" si="47"/>
        <v/>
      </c>
      <c r="AO109" s="72" t="str">
        <f t="shared" si="64"/>
        <v/>
      </c>
      <c r="AP109" s="39"/>
      <c r="AQ109" s="72" t="str">
        <f t="shared" si="48"/>
        <v/>
      </c>
      <c r="AR109" s="72" t="str">
        <f t="shared" si="65"/>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49"/>
        <v/>
      </c>
      <c r="AW109" s="72" t="str">
        <f t="shared" si="66"/>
        <v/>
      </c>
      <c r="AX109" s="39"/>
      <c r="AY109" s="40" t="str">
        <f>IF(ISERROR(IF($K109&lt;=$F$15,VLOOKUP($I109,'表4）CO2価格'!$A$7:$E$67,VLOOKUP($F$48,'表4）CO2価格'!$H$10:$I$12,2,0),0)*$F$8/1000,"")),0,IF($K109&lt;=$F$15,VLOOKUP($I109,'表4）CO2価格'!$A$7:$E$67,VLOOKUP($F$48,'表4）CO2価格'!$H$10:$I$12,2,0),0)*$F$8/1000,""))</f>
        <v/>
      </c>
      <c r="AZ109" s="39"/>
      <c r="BA109" s="42" t="str">
        <f t="shared" si="50"/>
        <v/>
      </c>
      <c r="BB109" s="72" t="str">
        <f t="shared" si="67"/>
        <v/>
      </c>
      <c r="BC109" s="39"/>
      <c r="BD109" s="72" t="str">
        <f t="shared" si="51"/>
        <v/>
      </c>
      <c r="BE109" s="72" t="str">
        <f t="shared" si="68"/>
        <v/>
      </c>
      <c r="BF109" s="39"/>
      <c r="BG109" s="42" t="str">
        <f t="shared" si="52"/>
        <v/>
      </c>
      <c r="BH109" s="72" t="str">
        <f t="shared" si="69"/>
        <v/>
      </c>
      <c r="BI109" s="39"/>
      <c r="BJ109" s="40" t="str">
        <f t="shared" si="70"/>
        <v/>
      </c>
      <c r="BK109" s="157" t="str">
        <f t="shared" si="71"/>
        <v/>
      </c>
      <c r="BL109" s="157" t="str">
        <f t="shared" si="53"/>
        <v/>
      </c>
      <c r="BM109" s="72"/>
      <c r="BN109" s="72" t="str">
        <f t="shared" si="72"/>
        <v/>
      </c>
      <c r="BO109" s="72" t="str">
        <f t="shared" si="73"/>
        <v/>
      </c>
      <c r="BP109" s="39"/>
      <c r="BQ109" s="72" t="str">
        <f t="shared" si="54"/>
        <v/>
      </c>
      <c r="BR109" s="72" t="str">
        <f t="shared" si="74"/>
        <v/>
      </c>
    </row>
    <row r="110" spans="4:70" ht="15" x14ac:dyDescent="0.15">
      <c r="D110" s="103"/>
      <c r="F110" s="487"/>
      <c r="I110" s="322">
        <f t="shared" si="75"/>
        <v>2125</v>
      </c>
      <c r="K110" s="71">
        <f t="shared" si="76"/>
        <v>96</v>
      </c>
      <c r="M110" s="7">
        <f t="shared" si="39"/>
        <v>5.8563419660729518E-2</v>
      </c>
      <c r="O110" s="10" t="str">
        <f t="shared" si="55"/>
        <v/>
      </c>
      <c r="P110" s="29" t="str">
        <f t="shared" si="40"/>
        <v/>
      </c>
      <c r="R110" s="10" t="str">
        <f t="shared" si="56"/>
        <v/>
      </c>
      <c r="T110" s="10" t="str">
        <f t="shared" si="57"/>
        <v/>
      </c>
      <c r="V110" s="10" t="str">
        <f t="shared" si="41"/>
        <v/>
      </c>
      <c r="W110" s="10" t="str">
        <f t="shared" si="58"/>
        <v/>
      </c>
      <c r="Y110" s="10" t="str">
        <f t="shared" si="42"/>
        <v/>
      </c>
      <c r="Z110" s="10" t="str">
        <f t="shared" si="59"/>
        <v/>
      </c>
      <c r="AB110" s="10" t="str">
        <f t="shared" si="43"/>
        <v/>
      </c>
      <c r="AC110" s="10" t="str">
        <f t="shared" si="60"/>
        <v/>
      </c>
      <c r="AE110" s="10" t="str">
        <f t="shared" si="44"/>
        <v/>
      </c>
      <c r="AF110" s="10" t="str">
        <f t="shared" si="61"/>
        <v/>
      </c>
      <c r="AH110" s="10" t="str">
        <f t="shared" si="45"/>
        <v/>
      </c>
      <c r="AI110" s="10" t="str">
        <f t="shared" si="62"/>
        <v/>
      </c>
      <c r="AK110" s="10" t="str">
        <f t="shared" si="46"/>
        <v/>
      </c>
      <c r="AL110" s="10" t="str">
        <f t="shared" si="63"/>
        <v/>
      </c>
      <c r="AN110" s="10" t="str">
        <f t="shared" si="47"/>
        <v/>
      </c>
      <c r="AO110" s="10" t="str">
        <f t="shared" si="64"/>
        <v/>
      </c>
      <c r="AQ110" s="10" t="str">
        <f t="shared" si="48"/>
        <v/>
      </c>
      <c r="AR110" s="10" t="str">
        <f t="shared" si="65"/>
        <v/>
      </c>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V110" s="10" t="str">
        <f t="shared" si="49"/>
        <v/>
      </c>
      <c r="AW110" s="10" t="str">
        <f t="shared" si="66"/>
        <v/>
      </c>
      <c r="AY110" s="7" t="str">
        <f>IF(ISERROR(IF($K110&lt;=$F$15,VLOOKUP($I110,'表4）CO2価格'!$A$7:$E$67,VLOOKUP($F$48,'表4）CO2価格'!$H$10:$I$12,2,0),0)*$F$8/1000,"")),0,IF($K110&lt;=$F$15,VLOOKUP($I110,'表4）CO2価格'!$A$7:$E$67,VLOOKUP($F$48,'表4）CO2価格'!$H$10:$I$12,2,0),0)*$F$8/1000,""))</f>
        <v/>
      </c>
      <c r="BA110" s="11" t="str">
        <f t="shared" si="50"/>
        <v/>
      </c>
      <c r="BB110" s="10" t="str">
        <f t="shared" si="67"/>
        <v/>
      </c>
      <c r="BD110" s="10" t="str">
        <f t="shared" si="51"/>
        <v/>
      </c>
      <c r="BE110" s="10" t="str">
        <f t="shared" si="68"/>
        <v/>
      </c>
      <c r="BG110" s="11" t="str">
        <f t="shared" si="52"/>
        <v/>
      </c>
      <c r="BH110" s="10" t="str">
        <f t="shared" si="69"/>
        <v/>
      </c>
      <c r="BJ110" s="7" t="str">
        <f t="shared" si="70"/>
        <v/>
      </c>
      <c r="BK110" s="158" t="str">
        <f t="shared" si="71"/>
        <v/>
      </c>
      <c r="BL110" s="158" t="str">
        <f t="shared" si="53"/>
        <v/>
      </c>
      <c r="BM110" s="10"/>
      <c r="BN110" s="10" t="str">
        <f t="shared" si="72"/>
        <v/>
      </c>
      <c r="BO110" s="10" t="str">
        <f t="shared" si="73"/>
        <v/>
      </c>
      <c r="BQ110" s="10" t="str">
        <f t="shared" si="54"/>
        <v/>
      </c>
      <c r="BR110" s="10" t="str">
        <f t="shared" si="74"/>
        <v/>
      </c>
    </row>
    <row r="111" spans="4:70" ht="15" x14ac:dyDescent="0.15">
      <c r="D111" s="103"/>
      <c r="E111" s="84" t="s">
        <v>606</v>
      </c>
      <c r="F111" s="488">
        <f>-BE116/BR116</f>
        <v>0</v>
      </c>
      <c r="G111" s="84" t="s">
        <v>590</v>
      </c>
      <c r="I111" s="38">
        <f t="shared" si="75"/>
        <v>2126</v>
      </c>
      <c r="J111" s="39"/>
      <c r="K111" s="39">
        <f t="shared" si="76"/>
        <v>97</v>
      </c>
      <c r="L111" s="39"/>
      <c r="M111" s="40">
        <f t="shared" si="39"/>
        <v>5.6857688990999529E-2</v>
      </c>
      <c r="N111" s="39"/>
      <c r="O111" s="72" t="str">
        <f t="shared" si="55"/>
        <v/>
      </c>
      <c r="P111" s="41" t="str">
        <f>IF(K111&lt;=$F$15,IF(OR(P110=$F$124,P110="-"),"-",IF(O111*$F$123&gt;$F$127,$F$123,$F$124)),"")</f>
        <v/>
      </c>
      <c r="Q111" s="39"/>
      <c r="R111" s="72" t="str">
        <f t="shared" si="56"/>
        <v/>
      </c>
      <c r="S111" s="39"/>
      <c r="T111" s="72" t="str">
        <f t="shared" si="57"/>
        <v/>
      </c>
      <c r="U111" s="39"/>
      <c r="V111" s="72" t="str">
        <f t="shared" si="41"/>
        <v/>
      </c>
      <c r="W111" s="72" t="str">
        <f t="shared" si="58"/>
        <v/>
      </c>
      <c r="X111" s="39"/>
      <c r="Y111" s="72" t="str">
        <f t="shared" si="42"/>
        <v/>
      </c>
      <c r="Z111" s="72" t="str">
        <f t="shared" si="59"/>
        <v/>
      </c>
      <c r="AA111" s="39"/>
      <c r="AB111" s="72" t="str">
        <f t="shared" si="43"/>
        <v/>
      </c>
      <c r="AC111" s="72" t="str">
        <f t="shared" si="60"/>
        <v/>
      </c>
      <c r="AD111" s="39"/>
      <c r="AE111" s="72" t="str">
        <f t="shared" si="44"/>
        <v/>
      </c>
      <c r="AF111" s="72" t="str">
        <f t="shared" si="61"/>
        <v/>
      </c>
      <c r="AG111" s="39"/>
      <c r="AH111" s="72" t="str">
        <f t="shared" si="45"/>
        <v/>
      </c>
      <c r="AI111" s="72" t="str">
        <f t="shared" si="62"/>
        <v/>
      </c>
      <c r="AJ111" s="39"/>
      <c r="AK111" s="72" t="str">
        <f t="shared" si="46"/>
        <v/>
      </c>
      <c r="AL111" s="72" t="str">
        <f t="shared" si="63"/>
        <v/>
      </c>
      <c r="AM111" s="39"/>
      <c r="AN111" s="72" t="str">
        <f t="shared" si="47"/>
        <v/>
      </c>
      <c r="AO111" s="72" t="str">
        <f t="shared" si="64"/>
        <v/>
      </c>
      <c r="AP111" s="39"/>
      <c r="AQ111" s="72" t="str">
        <f t="shared" si="48"/>
        <v/>
      </c>
      <c r="AR111" s="72" t="str">
        <f t="shared" si="65"/>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49"/>
        <v/>
      </c>
      <c r="AW111" s="72" t="str">
        <f t="shared" si="66"/>
        <v/>
      </c>
      <c r="AX111" s="39"/>
      <c r="AY111" s="40" t="str">
        <f>IF(ISERROR(IF($K111&lt;=$F$15,VLOOKUP($I111,'表4）CO2価格'!$A$7:$E$67,VLOOKUP($F$48,'表4）CO2価格'!$H$10:$I$12,2,0),0)*$F$8/1000,"")),0,IF($K111&lt;=$F$15,VLOOKUP($I111,'表4）CO2価格'!$A$7:$E$67,VLOOKUP($F$48,'表4）CO2価格'!$H$10:$I$12,2,0),0)*$F$8/1000,""))</f>
        <v/>
      </c>
      <c r="AZ111" s="39"/>
      <c r="BA111" s="42" t="str">
        <f t="shared" si="50"/>
        <v/>
      </c>
      <c r="BB111" s="72" t="str">
        <f t="shared" si="67"/>
        <v/>
      </c>
      <c r="BC111" s="39"/>
      <c r="BD111" s="72" t="str">
        <f t="shared" si="51"/>
        <v/>
      </c>
      <c r="BE111" s="72" t="str">
        <f t="shared" si="68"/>
        <v/>
      </c>
      <c r="BF111" s="39"/>
      <c r="BG111" s="42" t="str">
        <f t="shared" si="52"/>
        <v/>
      </c>
      <c r="BH111" s="72" t="str">
        <f t="shared" si="69"/>
        <v/>
      </c>
      <c r="BI111" s="39"/>
      <c r="BJ111" s="40" t="str">
        <f t="shared" si="70"/>
        <v/>
      </c>
      <c r="BK111" s="157" t="str">
        <f t="shared" si="71"/>
        <v/>
      </c>
      <c r="BL111" s="157" t="str">
        <f t="shared" si="53"/>
        <v/>
      </c>
      <c r="BM111" s="72"/>
      <c r="BN111" s="72" t="str">
        <f t="shared" si="72"/>
        <v/>
      </c>
      <c r="BO111" s="72" t="str">
        <f t="shared" si="73"/>
        <v/>
      </c>
      <c r="BP111" s="39"/>
      <c r="BQ111" s="72" t="str">
        <f t="shared" si="54"/>
        <v/>
      </c>
      <c r="BR111" s="72" t="str">
        <f t="shared" si="74"/>
        <v/>
      </c>
    </row>
    <row r="112" spans="4:70" ht="15" x14ac:dyDescent="0.15">
      <c r="D112" s="103"/>
      <c r="E112" s="84" t="s">
        <v>607</v>
      </c>
      <c r="F112" s="488">
        <f>-BH116/BR116</f>
        <v>0</v>
      </c>
      <c r="G112" s="84" t="s">
        <v>590</v>
      </c>
      <c r="I112" s="322">
        <f t="shared" si="75"/>
        <v>2127</v>
      </c>
      <c r="K112" s="71">
        <f t="shared" si="76"/>
        <v>98</v>
      </c>
      <c r="M112" s="7">
        <f t="shared" si="39"/>
        <v>5.5201639797086935E-2</v>
      </c>
      <c r="O112" s="10" t="str">
        <f t="shared" si="55"/>
        <v/>
      </c>
      <c r="P112" s="29" t="str">
        <f>IF(K112&lt;=$F$15,IF(OR(P111=$F$124,P111="-"),"-",IF(O112*$F$123&gt;$F$127,$F$123,$F$124)),"")</f>
        <v/>
      </c>
      <c r="R112" s="10" t="str">
        <f t="shared" si="56"/>
        <v/>
      </c>
      <c r="T112" s="10" t="str">
        <f t="shared" si="57"/>
        <v/>
      </c>
      <c r="V112" s="10" t="str">
        <f t="shared" si="41"/>
        <v/>
      </c>
      <c r="W112" s="10" t="str">
        <f t="shared" si="58"/>
        <v/>
      </c>
      <c r="Y112" s="10" t="str">
        <f t="shared" si="42"/>
        <v/>
      </c>
      <c r="Z112" s="10" t="str">
        <f t="shared" si="59"/>
        <v/>
      </c>
      <c r="AB112" s="10" t="str">
        <f t="shared" si="43"/>
        <v/>
      </c>
      <c r="AC112" s="10" t="str">
        <f t="shared" si="60"/>
        <v/>
      </c>
      <c r="AE112" s="10" t="str">
        <f t="shared" si="44"/>
        <v/>
      </c>
      <c r="AF112" s="10" t="str">
        <f t="shared" si="61"/>
        <v/>
      </c>
      <c r="AH112" s="10" t="str">
        <f t="shared" si="45"/>
        <v/>
      </c>
      <c r="AI112" s="10" t="str">
        <f t="shared" si="62"/>
        <v/>
      </c>
      <c r="AK112" s="10" t="str">
        <f t="shared" si="46"/>
        <v/>
      </c>
      <c r="AL112" s="10" t="str">
        <f t="shared" si="63"/>
        <v/>
      </c>
      <c r="AN112" s="10" t="str">
        <f t="shared" si="47"/>
        <v/>
      </c>
      <c r="AO112" s="10" t="str">
        <f t="shared" si="64"/>
        <v/>
      </c>
      <c r="AQ112" s="10" t="str">
        <f t="shared" si="48"/>
        <v/>
      </c>
      <c r="AR112" s="10" t="str">
        <f t="shared" si="65"/>
        <v/>
      </c>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V112" s="10" t="str">
        <f t="shared" si="49"/>
        <v/>
      </c>
      <c r="AW112" s="10" t="str">
        <f t="shared" si="66"/>
        <v/>
      </c>
      <c r="AY112" s="7" t="str">
        <f>IF(ISERROR(IF($K112&lt;=$F$15,VLOOKUP($I112,'表4）CO2価格'!$A$7:$E$67,VLOOKUP($F$48,'表4）CO2価格'!$H$10:$I$12,2,0),0)*$F$8/1000,"")),0,IF($K112&lt;=$F$15,VLOOKUP($I112,'表4）CO2価格'!$A$7:$E$67,VLOOKUP($F$48,'表4）CO2価格'!$H$10:$I$12,2,0),0)*$F$8/1000,""))</f>
        <v/>
      </c>
      <c r="BA112" s="11" t="str">
        <f t="shared" si="50"/>
        <v/>
      </c>
      <c r="BB112" s="10" t="str">
        <f t="shared" si="67"/>
        <v/>
      </c>
      <c r="BD112" s="10" t="str">
        <f t="shared" si="51"/>
        <v/>
      </c>
      <c r="BE112" s="10" t="str">
        <f t="shared" si="68"/>
        <v/>
      </c>
      <c r="BG112" s="11" t="str">
        <f t="shared" si="52"/>
        <v/>
      </c>
      <c r="BH112" s="10" t="str">
        <f t="shared" si="69"/>
        <v/>
      </c>
      <c r="BJ112" s="7" t="str">
        <f t="shared" si="70"/>
        <v/>
      </c>
      <c r="BK112" s="158" t="str">
        <f t="shared" si="71"/>
        <v/>
      </c>
      <c r="BL112" s="158" t="str">
        <f t="shared" si="53"/>
        <v/>
      </c>
      <c r="BM112" s="10"/>
      <c r="BN112" s="10" t="str">
        <f t="shared" si="72"/>
        <v/>
      </c>
      <c r="BO112" s="10" t="str">
        <f t="shared" si="73"/>
        <v/>
      </c>
      <c r="BQ112" s="10" t="str">
        <f t="shared" si="54"/>
        <v/>
      </c>
      <c r="BR112" s="10" t="str">
        <f t="shared" si="74"/>
        <v/>
      </c>
    </row>
    <row r="113" spans="2:70" x14ac:dyDescent="0.15">
      <c r="I113" s="38">
        <f t="shared" si="75"/>
        <v>2128</v>
      </c>
      <c r="J113" s="39"/>
      <c r="K113" s="39">
        <f t="shared" si="76"/>
        <v>99</v>
      </c>
      <c r="L113" s="39"/>
      <c r="M113" s="40">
        <f t="shared" si="39"/>
        <v>5.3593825045715457E-2</v>
      </c>
      <c r="N113" s="39"/>
      <c r="O113" s="72" t="str">
        <f t="shared" si="55"/>
        <v/>
      </c>
      <c r="P113" s="41" t="str">
        <f>IF(K113&lt;=$F$15,IF(OR(P112=$F$124,P112="-"),"-",IF(O113*$F$123&gt;$F$127,$F$123,$F$124)),"")</f>
        <v/>
      </c>
      <c r="Q113" s="39"/>
      <c r="R113" s="72" t="str">
        <f t="shared" si="56"/>
        <v/>
      </c>
      <c r="S113" s="39"/>
      <c r="T113" s="72" t="str">
        <f t="shared" si="57"/>
        <v/>
      </c>
      <c r="U113" s="39"/>
      <c r="V113" s="72" t="str">
        <f t="shared" si="41"/>
        <v/>
      </c>
      <c r="W113" s="72" t="str">
        <f t="shared" si="58"/>
        <v/>
      </c>
      <c r="X113" s="39"/>
      <c r="Y113" s="72" t="str">
        <f t="shared" si="42"/>
        <v/>
      </c>
      <c r="Z113" s="72" t="str">
        <f t="shared" si="59"/>
        <v/>
      </c>
      <c r="AA113" s="39"/>
      <c r="AB113" s="72" t="str">
        <f t="shared" si="43"/>
        <v/>
      </c>
      <c r="AC113" s="72" t="str">
        <f t="shared" si="60"/>
        <v/>
      </c>
      <c r="AD113" s="39"/>
      <c r="AE113" s="72" t="str">
        <f t="shared" si="44"/>
        <v/>
      </c>
      <c r="AF113" s="72" t="str">
        <f t="shared" si="61"/>
        <v/>
      </c>
      <c r="AG113" s="39"/>
      <c r="AH113" s="72" t="str">
        <f t="shared" si="45"/>
        <v/>
      </c>
      <c r="AI113" s="72" t="str">
        <f t="shared" si="62"/>
        <v/>
      </c>
      <c r="AJ113" s="39"/>
      <c r="AK113" s="72" t="str">
        <f t="shared" si="46"/>
        <v/>
      </c>
      <c r="AL113" s="72" t="str">
        <f t="shared" si="63"/>
        <v/>
      </c>
      <c r="AM113" s="39"/>
      <c r="AN113" s="72" t="str">
        <f t="shared" si="47"/>
        <v/>
      </c>
      <c r="AO113" s="72" t="str">
        <f t="shared" si="64"/>
        <v/>
      </c>
      <c r="AP113" s="39"/>
      <c r="AQ113" s="72" t="str">
        <f t="shared" si="48"/>
        <v/>
      </c>
      <c r="AR113" s="72" t="str">
        <f t="shared" si="65"/>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49"/>
        <v/>
      </c>
      <c r="AW113" s="72" t="str">
        <f t="shared" si="66"/>
        <v/>
      </c>
      <c r="AX113" s="39"/>
      <c r="AY113" s="40" t="str">
        <f>IF(ISERROR(IF($K113&lt;=$F$15,VLOOKUP($I113,'表4）CO2価格'!$A$7:$E$67,VLOOKUP($F$48,'表4）CO2価格'!$H$10:$I$12,2,0),0)*$F$8/1000,"")),0,IF($K113&lt;=$F$15,VLOOKUP($I113,'表4）CO2価格'!$A$7:$E$67,VLOOKUP($F$48,'表4）CO2価格'!$H$10:$I$12,2,0),0)*$F$8/1000,""))</f>
        <v/>
      </c>
      <c r="AZ113" s="39"/>
      <c r="BA113" s="42" t="str">
        <f t="shared" si="50"/>
        <v/>
      </c>
      <c r="BB113" s="72" t="str">
        <f t="shared" si="67"/>
        <v/>
      </c>
      <c r="BC113" s="39"/>
      <c r="BD113" s="72" t="str">
        <f t="shared" si="51"/>
        <v/>
      </c>
      <c r="BE113" s="72" t="str">
        <f t="shared" si="68"/>
        <v/>
      </c>
      <c r="BF113" s="39"/>
      <c r="BG113" s="42" t="str">
        <f t="shared" si="52"/>
        <v/>
      </c>
      <c r="BH113" s="72" t="str">
        <f t="shared" si="69"/>
        <v/>
      </c>
      <c r="BI113" s="39"/>
      <c r="BJ113" s="40" t="str">
        <f t="shared" si="70"/>
        <v/>
      </c>
      <c r="BK113" s="157" t="str">
        <f t="shared" si="71"/>
        <v/>
      </c>
      <c r="BL113" s="157" t="str">
        <f t="shared" si="53"/>
        <v/>
      </c>
      <c r="BM113" s="72"/>
      <c r="BN113" s="72" t="str">
        <f t="shared" si="72"/>
        <v/>
      </c>
      <c r="BO113" s="72" t="str">
        <f t="shared" si="73"/>
        <v/>
      </c>
      <c r="BP113" s="39"/>
      <c r="BQ113" s="72" t="str">
        <f t="shared" si="54"/>
        <v/>
      </c>
      <c r="BR113" s="72" t="str">
        <f t="shared" si="74"/>
        <v/>
      </c>
    </row>
    <row r="114" spans="2:70" x14ac:dyDescent="0.15">
      <c r="I114" s="322">
        <f t="shared" si="75"/>
        <v>2129</v>
      </c>
      <c r="K114" s="71">
        <f t="shared" si="76"/>
        <v>100</v>
      </c>
      <c r="M114" s="7">
        <f t="shared" si="39"/>
        <v>5.2032839850209185E-2</v>
      </c>
      <c r="O114" s="10" t="str">
        <f t="shared" si="55"/>
        <v/>
      </c>
      <c r="P114" s="29" t="str">
        <f>IF(K114&lt;=$F$15,IF(OR(P113=$F$124,P113="-"),"-",IF(O114*$F$123&gt;$F$127,$F$123,$F$124)),"")</f>
        <v/>
      </c>
      <c r="R114" s="10" t="str">
        <f t="shared" si="56"/>
        <v/>
      </c>
      <c r="T114" s="10" t="str">
        <f t="shared" si="57"/>
        <v/>
      </c>
      <c r="V114" s="10" t="str">
        <f t="shared" si="41"/>
        <v/>
      </c>
      <c r="W114" s="10" t="str">
        <f t="shared" si="58"/>
        <v/>
      </c>
      <c r="Y114" s="10" t="str">
        <f t="shared" si="42"/>
        <v/>
      </c>
      <c r="Z114" s="10" t="str">
        <f t="shared" si="59"/>
        <v/>
      </c>
      <c r="AB114" s="10" t="str">
        <f t="shared" si="43"/>
        <v/>
      </c>
      <c r="AC114" s="10" t="str">
        <f t="shared" si="60"/>
        <v/>
      </c>
      <c r="AE114" s="10" t="str">
        <f t="shared" si="44"/>
        <v/>
      </c>
      <c r="AF114" s="10" t="str">
        <f t="shared" si="61"/>
        <v/>
      </c>
      <c r="AH114" s="10" t="str">
        <f t="shared" si="45"/>
        <v/>
      </c>
      <c r="AI114" s="10" t="str">
        <f t="shared" si="62"/>
        <v/>
      </c>
      <c r="AK114" s="10" t="str">
        <f t="shared" si="46"/>
        <v/>
      </c>
      <c r="AL114" s="10" t="str">
        <f t="shared" si="63"/>
        <v/>
      </c>
      <c r="AN114" s="10" t="str">
        <f t="shared" si="47"/>
        <v/>
      </c>
      <c r="AO114" s="10" t="str">
        <f t="shared" si="64"/>
        <v/>
      </c>
      <c r="AQ114" s="10" t="str">
        <f t="shared" si="48"/>
        <v/>
      </c>
      <c r="AR114" s="10" t="str">
        <f t="shared" si="65"/>
        <v/>
      </c>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V114" s="10" t="str">
        <f t="shared" si="49"/>
        <v/>
      </c>
      <c r="AW114" s="10" t="str">
        <f t="shared" si="66"/>
        <v/>
      </c>
      <c r="AY114" s="7" t="str">
        <f>IF(ISERROR(IF($K114&lt;=$F$15,VLOOKUP($I114,'表4）CO2価格'!$A$7:$E$67,VLOOKUP($F$48,'表4）CO2価格'!$H$10:$I$12,2,0),0)*$F$8/1000,"")),0,IF($K114&lt;=$F$15,VLOOKUP($I114,'表4）CO2価格'!$A$7:$E$67,VLOOKUP($F$48,'表4）CO2価格'!$H$10:$I$12,2,0),0)*$F$8/1000,""))</f>
        <v/>
      </c>
      <c r="BA114" s="11" t="str">
        <f t="shared" si="50"/>
        <v/>
      </c>
      <c r="BB114" s="10" t="str">
        <f t="shared" si="67"/>
        <v/>
      </c>
      <c r="BD114" s="10" t="str">
        <f t="shared" si="51"/>
        <v/>
      </c>
      <c r="BE114" s="10" t="str">
        <f t="shared" si="68"/>
        <v/>
      </c>
      <c r="BG114" s="11" t="str">
        <f t="shared" si="52"/>
        <v/>
      </c>
      <c r="BH114" s="10" t="str">
        <f t="shared" si="69"/>
        <v/>
      </c>
      <c r="BJ114" s="7" t="str">
        <f t="shared" si="70"/>
        <v/>
      </c>
      <c r="BK114" s="158" t="str">
        <f t="shared" si="71"/>
        <v/>
      </c>
      <c r="BL114" s="158" t="str">
        <f t="shared" si="53"/>
        <v/>
      </c>
      <c r="BM114" s="10"/>
      <c r="BN114" s="10" t="str">
        <f t="shared" si="72"/>
        <v/>
      </c>
      <c r="BO114" s="10" t="str">
        <f t="shared" si="73"/>
        <v/>
      </c>
      <c r="BQ114" s="10" t="str">
        <f t="shared" si="54"/>
        <v/>
      </c>
      <c r="BR114" s="10" t="str">
        <f t="shared" si="74"/>
        <v/>
      </c>
    </row>
    <row r="115" spans="2:70" ht="15.75" thickBot="1" x14ac:dyDescent="0.2">
      <c r="B115" s="5" t="s">
        <v>608</v>
      </c>
      <c r="C115" s="3"/>
      <c r="D115" s="102"/>
      <c r="E115" s="102"/>
      <c r="F115" s="3"/>
      <c r="G115" s="102"/>
      <c r="I115" s="321"/>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71" t="s">
        <v>143</v>
      </c>
      <c r="W116" s="11"/>
      <c r="Z116" s="11">
        <f>SUM(Z15:Z114)</f>
        <v>334424904.02702236</v>
      </c>
      <c r="AC116" s="11">
        <f>SUM(AC15:AC114)</f>
        <v>45760305.115507573</v>
      </c>
      <c r="AF116" s="11">
        <f>SUM(AF15:AF114)</f>
        <v>0</v>
      </c>
      <c r="AI116" s="11">
        <f>SUM(AI15:AI114)</f>
        <v>1791394828.0010009</v>
      </c>
      <c r="AL116" s="11">
        <f>SUM(AL15:AL114)</f>
        <v>0</v>
      </c>
      <c r="AO116" s="11">
        <f>SUM(AO15:AO114)</f>
        <v>0</v>
      </c>
      <c r="AR116" s="11">
        <f>SUM(AR15:AR114)</f>
        <v>0</v>
      </c>
      <c r="AW116" s="11">
        <f>SUM(AW15:AW114)</f>
        <v>0</v>
      </c>
      <c r="BB116" s="11">
        <f>SUM(BB15:BB114)</f>
        <v>0</v>
      </c>
      <c r="BE116" s="11">
        <f>SUM(BE15:BE114)</f>
        <v>0</v>
      </c>
      <c r="BH116" s="11">
        <f>SUM(BH15:BH114)</f>
        <v>0</v>
      </c>
      <c r="BK116" s="11">
        <f>SUM(BK15:BK114)</f>
        <v>1104244684.6044865</v>
      </c>
      <c r="BL116" s="11">
        <f>SUM(BL15:BL114)</f>
        <v>277297051.59467596</v>
      </c>
      <c r="BO116" s="11">
        <f>SUM(BO15:BO114)</f>
        <v>5869031916.5099659</v>
      </c>
      <c r="BR116" s="11">
        <f>SUM(BR15:BR114)</f>
        <v>605026382.65221679</v>
      </c>
    </row>
    <row r="117" spans="2:70" x14ac:dyDescent="0.15">
      <c r="C117" s="71" t="s">
        <v>610</v>
      </c>
      <c r="F117" s="490">
        <f>F21*10^4*F13*10^4+F29*10^8</f>
        <v>3075000000</v>
      </c>
      <c r="G117" s="84" t="s">
        <v>611</v>
      </c>
      <c r="I117" s="48" t="s">
        <v>145</v>
      </c>
      <c r="W117" s="11"/>
      <c r="Z117" s="11">
        <f ca="1">IF(ISNUMBER($F$16),SUM(INDIRECT(ADDRESS($F$16+15,COLUMN())):INDIRECT(ADDRESS(114,COLUMN()))),"")</f>
        <v>24378541.941742003</v>
      </c>
      <c r="AC117" s="11">
        <f ca="1">IF(ISNUMBER($F$16),SUM(INDIRECT(ADDRESS($F$16+15,COLUMN())):INDIRECT(ADDRESS(114,COLUMN()))),"")</f>
        <v>45760305.115507573</v>
      </c>
      <c r="AF117" s="11">
        <f ca="1">IF(ISNUMBER($F$16),SUM(INDIRECT(ADDRESS($F$16+15,COLUMN())):INDIRECT(ADDRESS(114,COLUMN()))),"")</f>
        <v>0</v>
      </c>
      <c r="AI117" s="11">
        <f ca="1">IF(ISNUMBER($F$16),SUM(INDIRECT(ADDRESS($F$16+15,COLUMN())):INDIRECT(ADDRESS(114,COLUMN()))),"")</f>
        <v>638390526.31569815</v>
      </c>
      <c r="AL117" s="11">
        <f ca="1">IF(ISNUMBER($F$16),SUM(INDIRECT(ADDRESS($F$16+15,COLUMN())):INDIRECT(ADDRESS(114,COLUMN()))),"")</f>
        <v>0</v>
      </c>
      <c r="AO117" s="11">
        <f ca="1">IF(ISNUMBER($F$16),SUM(INDIRECT(ADDRESS($F$16+15,COLUMN())):INDIRECT(ADDRESS(114,COLUMN()))),"")</f>
        <v>0</v>
      </c>
      <c r="AR117" s="11">
        <f ca="1">IF(ISNUMBER($F$16),SUM(INDIRECT(ADDRESS($F$16+15,COLUMN())):INDIRECT(ADDRESS(114,COLUMN()))),"")</f>
        <v>0</v>
      </c>
      <c r="AW117" s="11">
        <f ca="1">IF(ISNUMBER($F$16),SUM(INDIRECT(ADDRESS($F$16+15,COLUMN())):INDIRECT(ADDRESS(114,COLUMN()))),"")</f>
        <v>0</v>
      </c>
      <c r="BB117" s="11">
        <f ca="1">IF(ISNUMBER($F$16),SUM(INDIRECT(ADDRESS($F$16+15,COLUMN())):INDIRECT(ADDRESS(114,COLUMN()))),"")</f>
        <v>0</v>
      </c>
      <c r="BE117" s="11">
        <f ca="1">IF(ISNUMBER($F$16),SUM(INDIRECT(ADDRESS($F$16+15,COLUMN())):INDIRECT(ADDRESS(114,COLUMN()))),"")</f>
        <v>0</v>
      </c>
      <c r="BH117" s="11">
        <f ca="1">IF(ISNUMBER($F$16),SUM(INDIRECT(ADDRESS($F$16+15,COLUMN())):INDIRECT(ADDRESS(114,COLUMN()))),"")</f>
        <v>0</v>
      </c>
      <c r="BK117" s="11">
        <f ca="1">IF(ISNUMBER($F$16),SUM(INDIRECT(ADDRESS($F$16+15,COLUMN())):INDIRECT(ADDRESS(114,COLUMN()))),"")</f>
        <v>37132637.086572252</v>
      </c>
      <c r="BL117" s="11">
        <f ca="1">IF(ISNUMBER($F$16),SUM(INDIRECT(ADDRESS($F$16+15,COLUMN())):INDIRECT(ADDRESS(114,COLUMN()))),"")</f>
        <v>0</v>
      </c>
      <c r="BO117" s="11">
        <f ca="1">IF(ISNUMBER($F$16),SUM(INDIRECT(ADDRESS($F$16+15,COLUMN())):INDIRECT(ADDRESS(114,COLUMN()))),"")</f>
        <v>0</v>
      </c>
      <c r="BR117" s="11">
        <f ca="1">IF(ISNUMBER($F$16),SUM(INDIRECT(ADDRESS($F$16+15,COLUMN())):INDIRECT(ADDRESS(114,COLUMN()))),"")</f>
        <v>215610263.47677732</v>
      </c>
    </row>
    <row r="119" spans="2:70" x14ac:dyDescent="0.15">
      <c r="C119" s="71" t="s">
        <v>612</v>
      </c>
      <c r="F119" s="490">
        <f>VLOOKUP(F3,'表2）法定耐用年数'!$A$2:$B$24,2,0)</f>
        <v>22</v>
      </c>
      <c r="G119" s="84" t="s">
        <v>556</v>
      </c>
    </row>
    <row r="121" spans="2:70" x14ac:dyDescent="0.15">
      <c r="C121" s="4" t="s">
        <v>613</v>
      </c>
      <c r="D121" s="100"/>
      <c r="E121" s="100"/>
      <c r="F121" s="4"/>
      <c r="G121" s="100"/>
    </row>
    <row r="123" spans="2:70" x14ac:dyDescent="0.15">
      <c r="D123" s="84" t="s">
        <v>614</v>
      </c>
      <c r="F123" s="491">
        <f>VLOOKUP($F$119,'表1）減価償却率表'!$A$9:$E$107,3,0)</f>
        <v>0.114</v>
      </c>
    </row>
    <row r="124" spans="2:70" x14ac:dyDescent="0.15">
      <c r="D124" s="84" t="s">
        <v>615</v>
      </c>
      <c r="F124" s="491">
        <f>VLOOKUP($F$119,'表1）減価償却率表'!$A$9:$E$107,4,0)</f>
        <v>0.125</v>
      </c>
    </row>
    <row r="125" spans="2:70" x14ac:dyDescent="0.15">
      <c r="D125" s="84" t="s">
        <v>616</v>
      </c>
      <c r="F125" s="474">
        <f>VLOOKUP($F$119,'表1）減価償却率表'!$A$9:$E$107,5,0)</f>
        <v>2.2960000000000001E-2</v>
      </c>
    </row>
    <row r="126" spans="2:70" x14ac:dyDescent="0.15">
      <c r="F126" s="492"/>
    </row>
    <row r="127" spans="2:70" x14ac:dyDescent="0.15">
      <c r="C127" s="8" t="s">
        <v>617</v>
      </c>
      <c r="D127" s="493"/>
      <c r="E127" s="494"/>
      <c r="F127" s="490">
        <f>F117*F125</f>
        <v>70602000</v>
      </c>
      <c r="G127" s="84" t="s">
        <v>611</v>
      </c>
    </row>
    <row r="129" spans="3:7" x14ac:dyDescent="0.15">
      <c r="C129" s="8" t="s">
        <v>152</v>
      </c>
      <c r="D129" s="493"/>
      <c r="E129" s="493"/>
      <c r="F129" s="491">
        <f>0.1^(1/F119)</f>
        <v>0.90062802021127852</v>
      </c>
      <c r="G129" s="493"/>
    </row>
    <row r="131" spans="3:7" x14ac:dyDescent="0.15">
      <c r="C131" s="4" t="s">
        <v>618</v>
      </c>
      <c r="D131" s="100"/>
      <c r="E131" s="100"/>
      <c r="F131" s="4"/>
      <c r="G131" s="100"/>
    </row>
    <row r="133" spans="3:7" x14ac:dyDescent="0.15">
      <c r="D133" s="84" t="s">
        <v>619</v>
      </c>
      <c r="F133" s="490">
        <f>F13*10000*24*365*F14/100</f>
        <v>26280000</v>
      </c>
      <c r="G133" s="84" t="s">
        <v>620</v>
      </c>
    </row>
    <row r="134" spans="3:7" x14ac:dyDescent="0.15">
      <c r="D134" s="84" t="s">
        <v>621</v>
      </c>
      <c r="F134" s="490">
        <f>F133*(1-F24/100)</f>
        <v>26174880</v>
      </c>
      <c r="G134" s="84" t="s">
        <v>620</v>
      </c>
    </row>
    <row r="135" spans="3:7" x14ac:dyDescent="0.15">
      <c r="F135" s="495"/>
    </row>
    <row r="137" spans="3:7" ht="16.5" x14ac:dyDescent="0.15">
      <c r="C137" s="71" t="s">
        <v>622</v>
      </c>
      <c r="F137" s="490">
        <f>IF(ISERROR(F133*3.6/(F23/100)/F22),0,F133*3.6/(F23/100)/F22)</f>
        <v>0</v>
      </c>
      <c r="G137" s="71" t="s">
        <v>623</v>
      </c>
    </row>
    <row r="139" spans="3:7" x14ac:dyDescent="0.15">
      <c r="C139" s="4" t="s">
        <v>624</v>
      </c>
      <c r="D139" s="100"/>
      <c r="E139" s="100"/>
      <c r="F139" s="4"/>
      <c r="G139" s="100"/>
    </row>
    <row r="141" spans="3:7" x14ac:dyDescent="0.15">
      <c r="D141" s="84" t="s">
        <v>625</v>
      </c>
      <c r="F141" s="496" t="str">
        <f>IF(OR(F3="石炭火力",F3= "LNG火力", F3="ガスコジェネ",F3="バイオマス（石炭混焼）",F3="バイオマス（木質専焼）",F3="燃料電池"),IF($F$43="需要地価格","",1000),IF(OR(F3="石油火力",F3="石油コジェネ"),IF($F$43="需要地価格","",158.987294928),""))</f>
        <v/>
      </c>
      <c r="G141" s="84" t="s">
        <v>626</v>
      </c>
    </row>
    <row r="142" spans="3:7" x14ac:dyDescent="0.15">
      <c r="D142" s="84" t="s">
        <v>573</v>
      </c>
      <c r="F142" s="488">
        <f>IF(ISERROR(F42/1000),0,F42/1000)</f>
        <v>0</v>
      </c>
      <c r="G142" s="84" t="s">
        <v>627</v>
      </c>
    </row>
    <row r="145" spans="3:7" x14ac:dyDescent="0.15">
      <c r="C145" s="71" t="s">
        <v>628</v>
      </c>
      <c r="F145" s="496">
        <f>IF(ISERROR(F133*(F47*3.6/(F23/100)/1000*(44/12))),0,F133*(F47*3.6/(F23/100)/1000*(44/12)))</f>
        <v>0</v>
      </c>
      <c r="G145" s="84" t="s">
        <v>629</v>
      </c>
    </row>
    <row r="147" spans="3:7" x14ac:dyDescent="0.15">
      <c r="C147" s="4" t="s">
        <v>630</v>
      </c>
      <c r="D147" s="100"/>
      <c r="E147" s="100"/>
      <c r="F147" s="4"/>
      <c r="G147" s="100"/>
    </row>
    <row r="149" spans="3:7" x14ac:dyDescent="0.15">
      <c r="D149" s="84" t="s">
        <v>219</v>
      </c>
      <c r="F149" s="496">
        <f>IF(ISERROR(F52/F23),0,F52/F23)</f>
        <v>0</v>
      </c>
    </row>
    <row r="150" spans="3:7" x14ac:dyDescent="0.15">
      <c r="D150" s="84" t="s">
        <v>631</v>
      </c>
      <c r="F150" s="496">
        <f>F133*F149*(F53/100)*3.6</f>
        <v>0</v>
      </c>
      <c r="G150" s="84" t="s">
        <v>632</v>
      </c>
    </row>
    <row r="151" spans="3:7" ht="16.5" x14ac:dyDescent="0.15">
      <c r="D151" s="84" t="s">
        <v>633</v>
      </c>
      <c r="F151" s="490">
        <f>IF(ISERROR(F150/(F54/100)/F55),0,F150/(F54/100)/F55)</f>
        <v>0</v>
      </c>
      <c r="G151" s="71" t="s">
        <v>623</v>
      </c>
    </row>
    <row r="152" spans="3:7" x14ac:dyDescent="0.15">
      <c r="D152" s="84" t="s">
        <v>634</v>
      </c>
      <c r="F152" s="497">
        <f>IF(ISERROR(F56/1000),0,F56/1000)</f>
        <v>0</v>
      </c>
      <c r="G152" s="84" t="s">
        <v>627</v>
      </c>
    </row>
    <row r="153" spans="3:7" x14ac:dyDescent="0.15">
      <c r="D153" s="84" t="s">
        <v>635</v>
      </c>
      <c r="F153" s="496">
        <f>IF(ISERROR(F150*F47/1000*(44/12)/(F54/100)),0,F150*F47/1000*(44/12)/(F54/100))</f>
        <v>0</v>
      </c>
      <c r="G153" s="84" t="s">
        <v>629</v>
      </c>
    </row>
  </sheetData>
  <mergeCells count="48">
    <mergeCell ref="F3:G3"/>
    <mergeCell ref="V7:AF7"/>
    <mergeCell ref="AH7:AR7"/>
    <mergeCell ref="AT7:AW7"/>
    <mergeCell ref="AY7:BB7"/>
    <mergeCell ref="AQ9:AR10"/>
    <mergeCell ref="BJ7:BO7"/>
    <mergeCell ref="BQ7:BR7"/>
    <mergeCell ref="I9:I10"/>
    <mergeCell ref="K9:K10"/>
    <mergeCell ref="M9:M10"/>
    <mergeCell ref="O9:P10"/>
    <mergeCell ref="R9:R10"/>
    <mergeCell ref="T9:T10"/>
    <mergeCell ref="V9:W10"/>
    <mergeCell ref="Y9:Z10"/>
    <mergeCell ref="BD7:BH7"/>
    <mergeCell ref="AB9:AC10"/>
    <mergeCell ref="AE9:AF10"/>
    <mergeCell ref="AH9:AI10"/>
    <mergeCell ref="AK9:AL10"/>
    <mergeCell ref="AN9:AO10"/>
    <mergeCell ref="BJ9:BL10"/>
    <mergeCell ref="BN9:BO10"/>
    <mergeCell ref="P12:P13"/>
    <mergeCell ref="W12:W13"/>
    <mergeCell ref="Z12:Z13"/>
    <mergeCell ref="AC12:AC13"/>
    <mergeCell ref="AF12:AF13"/>
    <mergeCell ref="AI12:AI13"/>
    <mergeCell ref="AL12:AL13"/>
    <mergeCell ref="AO12:AO13"/>
    <mergeCell ref="AT9:AT10"/>
    <mergeCell ref="AV9:AW10"/>
    <mergeCell ref="AY9:AY10"/>
    <mergeCell ref="BA9:BB10"/>
    <mergeCell ref="BD9:BE10"/>
    <mergeCell ref="BG9:BH10"/>
    <mergeCell ref="BK12:BK13"/>
    <mergeCell ref="BL12:BL13"/>
    <mergeCell ref="BO12:BO13"/>
    <mergeCell ref="BR12:BR13"/>
    <mergeCell ref="BJ12:BJ13"/>
    <mergeCell ref="AR12:AR13"/>
    <mergeCell ref="AW12:AW13"/>
    <mergeCell ref="BB12:BB13"/>
    <mergeCell ref="BE12:BE13"/>
    <mergeCell ref="BH12:BH13"/>
  </mergeCells>
  <phoneticPr fontId="56"/>
  <dataValidations count="4">
    <dataValidation type="list" allowBlank="1" showDropDown="1" showInputMessage="1" showErrorMessage="1" sqref="F3:G3" xr:uid="{00000000-0002-0000-1C00-000000000000}">
      <formula1>"原子力,石炭火力,LNG火力,石油火力,中水力,太陽光（メガソーラー）,太陽光（住宅）,風力（陸上）,風力（洋上）,小水力,地熱,バイオマス（石炭混焼）,バイオマス（木質専焼）,ガスコジェネ,石油コジェネ,燃料電池"</formula1>
    </dataValidation>
    <dataValidation type="list" allowBlank="1" showDropDown="1" showInputMessage="1" showErrorMessage="1" sqref="F43" xr:uid="{00000000-0002-0000-1C00-000001000000}">
      <formula1>"CIF価格, 需要地価格"</formula1>
    </dataValidation>
    <dataValidation type="whole" allowBlank="1" showInputMessage="1" showErrorMessage="1" sqref="F7" xr:uid="{00000000-0002-0000-1C00-000002000000}">
      <formula1>2010</formula1>
      <formula2>2030</formula2>
    </dataValidation>
    <dataValidation type="list" allowBlank="1" showDropDown="1" showInputMessage="1" showErrorMessage="1" sqref="F48 F41" xr:uid="{00000000-0002-0000-1C00-000003000000}">
      <formula1>"現行政策シナリオ, 新政策シナリオ"</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R153"/>
  <sheetViews>
    <sheetView showGridLines="0" zoomScale="85" zoomScaleNormal="85" workbookViewId="0">
      <pane xSplit="10" ySplit="14" topLeftCell="K51" activePane="bottomRight" state="frozen"/>
      <selection pane="topRight" activeCell="C64" sqref="C64"/>
      <selection pane="bottomLeft" activeCell="C64" sqref="C64"/>
      <selection pane="bottomRight" activeCell="H24" sqref="H24"/>
    </sheetView>
  </sheetViews>
  <sheetFormatPr defaultColWidth="9" defaultRowHeight="14.25" outlineLevelCol="1" x14ac:dyDescent="0.15"/>
  <cols>
    <col min="1" max="4" width="6.25" style="9" customWidth="1"/>
    <col min="5" max="5" width="24.375" style="9" customWidth="1"/>
    <col min="6" max="6" width="18.75" style="9" customWidth="1"/>
    <col min="7" max="7" width="24.375" style="9" bestFit="1" customWidth="1"/>
    <col min="8" max="8" width="9" style="9"/>
    <col min="9" max="9" width="6.25" style="71" customWidth="1"/>
    <col min="10" max="10" width="3" style="71" customWidth="1"/>
    <col min="11" max="11" width="6.25" style="71" customWidth="1"/>
    <col min="12" max="12" width="3" style="71" customWidth="1"/>
    <col min="13" max="13" width="6.25" style="71" customWidth="1"/>
    <col min="14" max="14" width="3" style="71" customWidth="1"/>
    <col min="15" max="15" width="17.375" style="71" bestFit="1" customWidth="1"/>
    <col min="16" max="16" width="8.625" style="71" customWidth="1"/>
    <col min="17" max="17" width="3" style="71" customWidth="1"/>
    <col min="18" max="18" width="17.375" style="71" bestFit="1" customWidth="1"/>
    <col min="19" max="19" width="3" style="71" customWidth="1"/>
    <col min="20" max="20" width="17.375" style="71" bestFit="1" customWidth="1"/>
    <col min="21" max="21" width="3" style="71" customWidth="1"/>
    <col min="22" max="22" width="16.625" style="71" customWidth="1" outlineLevel="1"/>
    <col min="23" max="23" width="17.375" style="71" bestFit="1" customWidth="1"/>
    <col min="24" max="24" width="3" style="71" customWidth="1"/>
    <col min="25" max="25" width="15" style="71" customWidth="1" outlineLevel="1"/>
    <col min="26" max="26" width="16.625" style="71" customWidth="1"/>
    <col min="27" max="27" width="3" style="71" customWidth="1"/>
    <col min="28" max="28" width="15" style="71" customWidth="1" outlineLevel="1"/>
    <col min="29" max="29" width="16.625" style="71" customWidth="1"/>
    <col min="30" max="30" width="3" style="71" customWidth="1"/>
    <col min="31" max="31" width="15" style="71" customWidth="1" outlineLevel="1"/>
    <col min="32" max="32" width="15" style="71" customWidth="1"/>
    <col min="33" max="33" width="3" style="71" customWidth="1"/>
    <col min="34" max="34" width="14.875" style="71" customWidth="1" outlineLevel="1"/>
    <col min="35" max="35" width="16.625" style="71" customWidth="1"/>
    <col min="36" max="36" width="3" style="71" customWidth="1"/>
    <col min="37" max="37" width="15" style="71" customWidth="1" outlineLevel="1"/>
    <col min="38" max="38" width="16.625" style="71" customWidth="1"/>
    <col min="39" max="39" width="3" style="71" customWidth="1"/>
    <col min="40" max="40" width="15" style="71" customWidth="1" outlineLevel="1"/>
    <col min="41" max="41" width="16.625" style="71" customWidth="1"/>
    <col min="42" max="42" width="3" style="71" customWidth="1"/>
    <col min="43" max="43" width="15" style="71" customWidth="1" outlineLevel="1"/>
    <col min="44" max="44" width="16.625" style="71" customWidth="1"/>
    <col min="45" max="45" width="3" style="71" customWidth="1"/>
    <col min="46" max="46" width="10.75" style="71" bestFit="1" customWidth="1"/>
    <col min="47" max="47" width="3" style="71" customWidth="1"/>
    <col min="48" max="48" width="15" style="71" customWidth="1" outlineLevel="1"/>
    <col min="49" max="49" width="17.375" style="71" bestFit="1" customWidth="1"/>
    <col min="50" max="50" width="3" style="71" customWidth="1"/>
    <col min="51" max="51" width="9.625" style="71" bestFit="1" customWidth="1"/>
    <col min="52" max="52" width="3" style="71" customWidth="1"/>
    <col min="53" max="53" width="15" style="71" customWidth="1" outlineLevel="1"/>
    <col min="54" max="54" width="17.375" style="71" bestFit="1" customWidth="1"/>
    <col min="55" max="55" width="3" style="71" customWidth="1"/>
    <col min="56" max="56" width="19.25" style="71" customWidth="1" outlineLevel="1"/>
    <col min="57" max="57" width="19.25" style="71" bestFit="1" customWidth="1"/>
    <col min="58" max="58" width="3" style="71" customWidth="1"/>
    <col min="59" max="59" width="19.25" style="71" customWidth="1" outlineLevel="1"/>
    <col min="60" max="60" width="19.25" style="71"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71" customWidth="1" outlineLevel="1"/>
    <col min="70" max="70" width="17.375" style="71" bestFit="1" customWidth="1"/>
    <col min="71" max="16384" width="9" style="71"/>
  </cols>
  <sheetData>
    <row r="1" spans="1:70" ht="18.75" x14ac:dyDescent="0.15">
      <c r="A1" s="465" t="s">
        <v>60</v>
      </c>
    </row>
    <row r="3" spans="1:70" ht="23.25" x14ac:dyDescent="0.15">
      <c r="B3" s="462" t="s">
        <v>517</v>
      </c>
      <c r="F3" s="724" t="s">
        <v>62</v>
      </c>
      <c r="G3" s="725"/>
    </row>
    <row r="4" spans="1:70" x14ac:dyDescent="0.15">
      <c r="G4" s="466"/>
    </row>
    <row r="5" spans="1:70" ht="15.75" thickBot="1" x14ac:dyDescent="0.2">
      <c r="B5" s="460" t="s">
        <v>518</v>
      </c>
      <c r="C5" s="86"/>
      <c r="D5" s="86"/>
      <c r="E5" s="86"/>
      <c r="F5" s="86"/>
      <c r="G5" s="86"/>
      <c r="I5" s="5" t="s">
        <v>64</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9" t="s">
        <v>65</v>
      </c>
      <c r="F7" s="87">
        <v>2030</v>
      </c>
      <c r="I7" s="8"/>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9" t="s">
        <v>519</v>
      </c>
      <c r="F8" s="88">
        <f>まとめ!B3</f>
        <v>107</v>
      </c>
      <c r="G8" s="9" t="s">
        <v>171</v>
      </c>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9" t="s">
        <v>520</v>
      </c>
      <c r="F9" s="88">
        <f>まとめ!B2</f>
        <v>3</v>
      </c>
      <c r="G9" s="9" t="s">
        <v>172</v>
      </c>
      <c r="I9" s="720" t="s">
        <v>78</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5"/>
      <c r="AH9" s="707" t="s">
        <v>118</v>
      </c>
      <c r="AI9" s="707"/>
      <c r="AJ9" s="8"/>
      <c r="AK9" s="707" t="s">
        <v>89</v>
      </c>
      <c r="AL9" s="707"/>
      <c r="AM9" s="8"/>
      <c r="AN9" s="707" t="s">
        <v>90</v>
      </c>
      <c r="AO9" s="707"/>
      <c r="AP9" s="8"/>
      <c r="AQ9" s="707" t="s">
        <v>91</v>
      </c>
      <c r="AR9" s="707"/>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I10" s="708"/>
      <c r="K10" s="708"/>
      <c r="M10" s="708"/>
      <c r="O10" s="717"/>
      <c r="P10" s="717"/>
      <c r="R10" s="708"/>
      <c r="T10" s="708"/>
      <c r="V10" s="717"/>
      <c r="W10" s="717"/>
      <c r="Y10" s="717"/>
      <c r="Z10" s="717"/>
      <c r="AB10" s="723"/>
      <c r="AC10" s="723"/>
      <c r="AD10" s="81"/>
      <c r="AE10" s="723"/>
      <c r="AF10" s="723"/>
      <c r="AG10" s="81"/>
      <c r="AH10" s="717"/>
      <c r="AI10" s="717"/>
      <c r="AK10" s="717"/>
      <c r="AL10" s="717"/>
      <c r="AN10" s="717"/>
      <c r="AO10" s="717"/>
      <c r="AQ10" s="717"/>
      <c r="AR10" s="717"/>
      <c r="AT10" s="717"/>
      <c r="AV10" s="717"/>
      <c r="AW10" s="717"/>
      <c r="AX10" s="322"/>
      <c r="AY10" s="708"/>
      <c r="BA10" s="708"/>
      <c r="BB10" s="708"/>
      <c r="BD10" s="717"/>
      <c r="BE10" s="717"/>
      <c r="BG10" s="717"/>
      <c r="BH10" s="717"/>
      <c r="BJ10" s="708"/>
      <c r="BK10" s="708"/>
      <c r="BL10" s="708"/>
      <c r="BM10" s="322"/>
      <c r="BN10" s="717"/>
      <c r="BO10" s="717"/>
      <c r="BQ10" s="322"/>
      <c r="BR10" s="322"/>
    </row>
    <row r="11" spans="1:70" ht="15.75" customHeight="1" thickBot="1" x14ac:dyDescent="0.2">
      <c r="B11" s="460" t="s">
        <v>95</v>
      </c>
      <c r="C11" s="86"/>
      <c r="D11" s="86"/>
      <c r="E11" s="86"/>
      <c r="F11" s="86"/>
      <c r="G11" s="86"/>
      <c r="O11" s="322" t="s">
        <v>96</v>
      </c>
      <c r="P11" s="322"/>
      <c r="Q11" s="322"/>
      <c r="R11" s="322" t="s">
        <v>96</v>
      </c>
      <c r="S11" s="322"/>
      <c r="T11" s="322"/>
      <c r="V11" s="322"/>
      <c r="W11" s="322"/>
      <c r="Y11" s="322"/>
      <c r="Z11" s="322"/>
      <c r="AB11" s="322"/>
      <c r="AC11" s="322"/>
      <c r="AE11" s="322"/>
      <c r="AF11" s="322"/>
      <c r="AH11" s="322"/>
      <c r="AI11" s="322"/>
      <c r="AK11" s="322"/>
      <c r="AL11" s="322"/>
      <c r="AN11" s="322"/>
      <c r="AO11" s="322"/>
      <c r="AQ11" s="322"/>
      <c r="AR11" s="322"/>
      <c r="AT11" s="322"/>
      <c r="AV11" s="322"/>
      <c r="AW11" s="322"/>
      <c r="AX11" s="322"/>
      <c r="BB11" s="322"/>
      <c r="BD11" s="322"/>
      <c r="BE11" s="322"/>
      <c r="BG11" s="322"/>
      <c r="BH11" s="322"/>
      <c r="BJ11" s="156"/>
      <c r="BM11" s="322"/>
      <c r="BN11" s="322"/>
      <c r="BO11" s="322"/>
      <c r="BQ11" s="322"/>
      <c r="BR11" s="322"/>
    </row>
    <row r="12" spans="1:70" ht="14.25" customHeight="1" x14ac:dyDescent="0.15">
      <c r="O12" s="322"/>
      <c r="P12" s="707" t="s">
        <v>97</v>
      </c>
      <c r="W12" s="707" t="s">
        <v>98</v>
      </c>
      <c r="Z12" s="707" t="s">
        <v>98</v>
      </c>
      <c r="AC12" s="707" t="s">
        <v>98</v>
      </c>
      <c r="AF12" s="707" t="s">
        <v>98</v>
      </c>
      <c r="AI12" s="707" t="s">
        <v>98</v>
      </c>
      <c r="AL12" s="707" t="s">
        <v>98</v>
      </c>
      <c r="AO12" s="707" t="s">
        <v>98</v>
      </c>
      <c r="AR12" s="707" t="s">
        <v>98</v>
      </c>
      <c r="AW12" s="707" t="s">
        <v>98</v>
      </c>
      <c r="BB12" s="707" t="s">
        <v>98</v>
      </c>
      <c r="BE12" s="707" t="s">
        <v>98</v>
      </c>
      <c r="BH12" s="707" t="s">
        <v>98</v>
      </c>
      <c r="BJ12" s="709" t="s">
        <v>99</v>
      </c>
      <c r="BK12" s="709" t="s">
        <v>100</v>
      </c>
      <c r="BL12" s="709" t="s">
        <v>101</v>
      </c>
      <c r="BO12" s="709" t="s">
        <v>102</v>
      </c>
      <c r="BR12" s="707" t="s">
        <v>103</v>
      </c>
    </row>
    <row r="13" spans="1:70" ht="14.25" customHeight="1" x14ac:dyDescent="0.15">
      <c r="C13" s="9" t="s">
        <v>504</v>
      </c>
      <c r="F13" s="66">
        <v>120</v>
      </c>
      <c r="G13" s="9" t="s">
        <v>173</v>
      </c>
      <c r="O13" s="322"/>
      <c r="P13" s="708"/>
      <c r="Q13" s="322"/>
      <c r="R13" s="322"/>
      <c r="S13" s="322"/>
      <c r="T13" s="322"/>
      <c r="V13" s="322"/>
      <c r="W13" s="708"/>
      <c r="Y13" s="322"/>
      <c r="Z13" s="708"/>
      <c r="AB13" s="322"/>
      <c r="AC13" s="708"/>
      <c r="AE13" s="322"/>
      <c r="AF13" s="708"/>
      <c r="AH13" s="322"/>
      <c r="AI13" s="708"/>
      <c r="AK13" s="322"/>
      <c r="AL13" s="708"/>
      <c r="AN13" s="322"/>
      <c r="AO13" s="708"/>
      <c r="AQ13" s="322"/>
      <c r="AR13" s="708"/>
      <c r="AT13" s="322"/>
      <c r="AV13" s="322"/>
      <c r="AW13" s="708"/>
      <c r="BB13" s="708"/>
      <c r="BD13" s="322"/>
      <c r="BE13" s="708"/>
      <c r="BG13" s="322"/>
      <c r="BH13" s="708"/>
      <c r="BJ13" s="712"/>
      <c r="BK13" s="710"/>
      <c r="BL13" s="708"/>
      <c r="BM13" s="322"/>
      <c r="BO13" s="708"/>
      <c r="BQ13" s="322"/>
      <c r="BR13" s="708"/>
    </row>
    <row r="14" spans="1:70" ht="16.5" x14ac:dyDescent="0.15">
      <c r="C14" s="9" t="s">
        <v>505</v>
      </c>
      <c r="F14" s="88">
        <f>VLOOKUP(F3&amp;IF(G4&lt;&gt;"","_"&amp;G4,""),まとめ!$A$12:$G$34,IF(F7=2030,4,IF(F7=2020,3,IF(F7=2014,2,"-"))),0)</f>
        <v>70</v>
      </c>
      <c r="G14" s="9" t="s">
        <v>172</v>
      </c>
      <c r="O14" s="322"/>
      <c r="P14" s="322"/>
      <c r="Q14" s="322"/>
      <c r="R14" s="322"/>
      <c r="S14" s="322"/>
      <c r="T14" s="322"/>
      <c r="AT14" s="50" t="s">
        <v>104</v>
      </c>
      <c r="AY14" s="71" t="s">
        <v>105</v>
      </c>
    </row>
    <row r="15" spans="1:70" x14ac:dyDescent="0.15">
      <c r="C15" s="9" t="s">
        <v>506</v>
      </c>
      <c r="F15" s="88">
        <f>VLOOKUP(F3&amp;IF(G4&lt;&gt;"","_"&amp;G4,""),まとめ!$A$12:$G$34,IF(F7=2030,7,IF(F7=2020,6,IF(F7=2014,5,"-"))),0)</f>
        <v>40</v>
      </c>
      <c r="G15" s="9" t="s">
        <v>108</v>
      </c>
      <c r="I15" s="38">
        <f>F7</f>
        <v>2030</v>
      </c>
      <c r="J15" s="39"/>
      <c r="K15" s="39">
        <f>IF(I15&lt;&gt;"",1,"")</f>
        <v>1</v>
      </c>
      <c r="L15" s="39"/>
      <c r="M15" s="40">
        <f t="shared" ref="M15:M78" si="0">1/(1+($F$9/100))^K15</f>
        <v>0.970873786407767</v>
      </c>
      <c r="N15" s="39"/>
      <c r="O15" s="72">
        <f>F117</f>
        <v>616900000000</v>
      </c>
      <c r="P15" s="41">
        <f t="shared" ref="P15:P46" si="1">IF(K15&lt;=$F$15,IF(OR(P14=$F$124,P14="-"),"-",IF(O15*$F$123&gt;$F$127,$F$123,$F$124)),"")</f>
        <v>0.156</v>
      </c>
      <c r="Q15" s="39"/>
      <c r="R15" s="72">
        <f>F117</f>
        <v>616900000000</v>
      </c>
      <c r="S15" s="39"/>
      <c r="T15" s="72">
        <f>IF(ISNUMBER(R15),ROUNDDOWN(R15,-3),"")</f>
        <v>616900000000</v>
      </c>
      <c r="U15" s="39"/>
      <c r="V15" s="72">
        <f t="shared" ref="V15:V46" si="2">IF(K15&lt;=$F$15,IF(K15&lt;$F$119,IF(P15="-",V14,O15*P15),IF(K15=$F$119,MIN(IF(P15="-",V14,O15*P15),O15),0)),"")</f>
        <v>96236400000</v>
      </c>
      <c r="W15" s="72">
        <f>IF(ISNUMBER(V15),V15*$M15,"")</f>
        <v>93433398058.252426</v>
      </c>
      <c r="X15" s="39"/>
      <c r="Y15" s="72">
        <f t="shared" ref="Y15:Y46" si="3">IF($K15&lt;=$F$15,ROUNDDOWN(T15*$F$25/100,-2),"")</f>
        <v>8636600000</v>
      </c>
      <c r="Z15" s="72">
        <f>IF(ISNUMBER(Y15),Y15*$M15,"")</f>
        <v>8385048543.6893206</v>
      </c>
      <c r="AA15" s="39"/>
      <c r="AB15" s="72">
        <f t="shared" ref="AB15:AB78" si="4">IF($K15&lt;=$F$15,0,IF(AND($K15&gt;$F$15,$K15&lt;=$F$15+$F$28),$F$27*10^8/$F$28,""))</f>
        <v>0</v>
      </c>
      <c r="AC15" s="72">
        <f>IF(ISNUMBER(AB15),AB15*$M15,"")</f>
        <v>0</v>
      </c>
      <c r="AD15" s="39"/>
      <c r="AE15" s="72">
        <f t="shared" ref="AE15:AE46" si="5">IF($K15&lt;=$F$15,$F$26,"")</f>
        <v>0</v>
      </c>
      <c r="AF15" s="72">
        <f>IF(ISNUMBER(AE15),AE15*$M15,"")</f>
        <v>0</v>
      </c>
      <c r="AG15" s="39"/>
      <c r="AH15" s="72">
        <f t="shared" ref="AH15:AH46" si="6">IF($K15&lt;=$F$15,$F$33*10^8,"")</f>
        <v>2220000000</v>
      </c>
      <c r="AI15" s="72">
        <f>IF(ISNUMBER(AH15),AH15*$M15,"")</f>
        <v>2155339805.8252425</v>
      </c>
      <c r="AJ15" s="39"/>
      <c r="AK15" s="72">
        <f t="shared" ref="AK15:AK46" si="7">IF($K15&lt;=$F$15,$F$117*$F$34/100,"")</f>
        <v>11721100000</v>
      </c>
      <c r="AL15" s="72">
        <f>IF(ISNUMBER(AK15),AK15*$M15,"")</f>
        <v>11379708737.864079</v>
      </c>
      <c r="AM15" s="39"/>
      <c r="AN15" s="72">
        <f t="shared" ref="AN15:AN78" si="8">IF($K15&lt;=$F$15,$F$35*10^8,"")</f>
        <v>9410000000</v>
      </c>
      <c r="AO15" s="72">
        <f>IF(ISNUMBER(AN15),AN15*$M15,"")</f>
        <v>9135922330.0970879</v>
      </c>
      <c r="AP15" s="39"/>
      <c r="AQ15" s="72">
        <f t="shared" ref="AQ15:AQ46" si="9">IF($K15&lt;=$F$15,SUM(AH15,AK15,AN15)*($F$36/100),"")</f>
        <v>2988940800</v>
      </c>
      <c r="AR15" s="72">
        <f>IF(ISNUMBER(AQ15),AQ15*$M15,"")</f>
        <v>2901884271.8446603</v>
      </c>
      <c r="AS15" s="39"/>
      <c r="AT15" s="40">
        <f>IF($K15&lt;=$F$15,IF($F$40&lt;&gt;"",$F$40/1000,IF(ISERROR(VLOOKUP($F$3&amp;IF($G$4&lt;&gt;"",$G$4,"")&amp;IF($F$43&lt;&gt;"","_"&amp;$F$43,""),'表3）燃料価格'!$AF$9:$AG$25,2,0)),0,VLOOKUP($I15,'表3）燃料価格'!$A$6:$U$66,VLOOKUP($F$3&amp;IF($G$4&lt;&gt;"",$G$4,"")&amp;IF($F$43&lt;&gt;"","_"&amp;$F$43,""),'表3）燃料価格'!$AF$9:$AG$25,2,0)+VLOOKUP($F$41,'表3）燃料価格'!$AF$28:$AG$29,2,0),0)*IF($F$43="需要地価格",1,$F$8/$F$141))),"")</f>
        <v>0</v>
      </c>
      <c r="AU15" s="39"/>
      <c r="AV15" s="72">
        <f t="shared" ref="AV15:AV46" si="10">IF($K15&lt;=$F$15,($AT15+$F$142)*$F$137,"")</f>
        <v>0</v>
      </c>
      <c r="AW15" s="72">
        <f>IF(ISNUMBER(AV15),AV15*$M15,"")</f>
        <v>0</v>
      </c>
      <c r="AX15" s="39"/>
      <c r="AY15" s="40">
        <v>0</v>
      </c>
      <c r="AZ15" s="39"/>
      <c r="BA15" s="42">
        <f t="shared" ref="BA15:BA46" si="11">IF($K15&lt;=$F$15,$F$145*AY15,"")</f>
        <v>0</v>
      </c>
      <c r="BB15" s="72">
        <f>IF(ISNUMBER(BA15),BA15*$M15,"")</f>
        <v>0</v>
      </c>
      <c r="BC15" s="39"/>
      <c r="BD15" s="72">
        <f t="shared" ref="BD15:BD46" si="12">IF($K15&lt;=$F$15,($AT15+$F$151)*$F$150,"")</f>
        <v>0</v>
      </c>
      <c r="BE15" s="72">
        <f>IF(ISNUMBER(BD15),BD15*$M15,"")</f>
        <v>0</v>
      </c>
      <c r="BF15" s="39"/>
      <c r="BG15" s="42">
        <f t="shared" ref="BG15:BG46" si="13">IF($K15&lt;=$F$15,$F$152*AY15,"")</f>
        <v>0</v>
      </c>
      <c r="BH15" s="72">
        <f>IF(ISNUMBER(BG15),BG15*$M15,"")</f>
        <v>0</v>
      </c>
      <c r="BI15" s="39"/>
      <c r="BJ15" s="40" t="str">
        <f>IF(ISNUMBER($F$16),IF($K15&lt;=$F$16+$F$28,1/(1+($F$17/100))^K15,""),"")</f>
        <v/>
      </c>
      <c r="BK15" s="157" t="str">
        <f>IF(ISNUMBER($F$16),IF($K15&lt;=$F$16+$F$28,IF($K15&lt;=$F$16,SUM(Y15,AB15,AE15,AH15,AK15,AN15,AQ15,AV15,BA15,BD15,BG15),$F$27/$F$28*10^8)*BJ15,""),"")</f>
        <v/>
      </c>
      <c r="BL15" s="157" t="str">
        <f t="shared" ref="BL15:BL78" si="14">IF(AND(ISNUMBER(BJ15),$K15&lt;=$F$16),BQ15*BJ15,"")</f>
        <v/>
      </c>
      <c r="BM15" s="72"/>
      <c r="BN15" s="72" t="str">
        <f>IF(AND(ISNUMBER($F$16),$K15&lt;=$F$16),BQ15*($O$15+$BK$116)/$BL$116,"")</f>
        <v/>
      </c>
      <c r="BO15" s="72" t="str">
        <f>IF(ISNUMBER(BN15),BN15*$M15,"")</f>
        <v/>
      </c>
      <c r="BP15" s="39"/>
      <c r="BQ15" s="72">
        <f t="shared" ref="BQ15:BQ46" si="15">IF($K15&lt;=$F$15,$F$134,"")</f>
        <v>7064064000</v>
      </c>
      <c r="BR15" s="72">
        <f>IF(ISNUMBER(BQ15),BQ15*$M15,"")</f>
        <v>6858314563.1067963</v>
      </c>
    </row>
    <row r="16" spans="1:70" x14ac:dyDescent="0.15">
      <c r="C16" s="236" t="s">
        <v>107</v>
      </c>
      <c r="D16" s="81"/>
      <c r="E16" s="81"/>
      <c r="F16" s="88" t="str">
        <f>IF(ISERROR(VLOOKUP(F3&amp;IF(G4&lt;&gt;"","_"&amp;G4,""),'表7）買取期間・IRR'!$A$3:$A$10,1,0)),"",VLOOKUP(F3&amp;IF(G4&lt;&gt;"","_"&amp;G4,""),'表7）買取期間・IRR'!$A$3:$C$10,IF(F7=2030,4,IF(F7=2020,3,IF(F7=2014,2,"-"))),0))</f>
        <v/>
      </c>
      <c r="G16" s="81" t="s">
        <v>108</v>
      </c>
      <c r="I16" s="322">
        <f>I15+1</f>
        <v>2031</v>
      </c>
      <c r="K16" s="71">
        <f>IF(I16&lt;&gt;"",K15+1,"")</f>
        <v>2</v>
      </c>
      <c r="M16" s="7">
        <f t="shared" si="0"/>
        <v>0.94259590913375435</v>
      </c>
      <c r="O16" s="10">
        <f>IF(K16&lt;=$F$15,O15-V15,"")</f>
        <v>520663600000</v>
      </c>
      <c r="P16" s="29">
        <f t="shared" si="1"/>
        <v>0.156</v>
      </c>
      <c r="R16" s="10">
        <f t="shared" ref="R16:R47" si="16">IF($K16&lt;=$F$15,MAX($F$117*5%,R15*$F$129),"")</f>
        <v>534213391080.82434</v>
      </c>
      <c r="T16" s="10">
        <f t="shared" ref="T16:T79" si="17">IF(ISNUMBER(R16),ROUNDDOWN(R16,-3),"")</f>
        <v>534213391000</v>
      </c>
      <c r="V16" s="10">
        <f t="shared" si="2"/>
        <v>81223521600</v>
      </c>
      <c r="W16" s="10">
        <f t="shared" ref="W16:W79" si="18">IF(ISNUMBER(V16),V16*$M16,"")</f>
        <v>76560959185.597137</v>
      </c>
      <c r="Y16" s="10">
        <f t="shared" si="3"/>
        <v>7478987400</v>
      </c>
      <c r="Z16" s="10">
        <f t="shared" ref="Z16:Z79" si="19">IF(ISNUMBER(Y16),Y16*$M16,"")</f>
        <v>7049662927.7028933</v>
      </c>
      <c r="AB16" s="10">
        <f t="shared" si="4"/>
        <v>0</v>
      </c>
      <c r="AC16" s="10">
        <f t="shared" ref="AC16:AC54" si="20">IF(ISNUMBER(AB16),AB16*$M16,"")</f>
        <v>0</v>
      </c>
      <c r="AE16" s="10">
        <f t="shared" si="5"/>
        <v>0</v>
      </c>
      <c r="AF16" s="10">
        <f t="shared" ref="AF16:AF79" si="21">IF(ISNUMBER(AE16),AE16*$M16,"")</f>
        <v>0</v>
      </c>
      <c r="AH16" s="10">
        <f t="shared" si="6"/>
        <v>2220000000</v>
      </c>
      <c r="AI16" s="10">
        <f t="shared" ref="AI16:AI79" si="22">IF(ISNUMBER(AH16),AH16*$M16,"")</f>
        <v>2092562918.2769346</v>
      </c>
      <c r="AK16" s="10">
        <f t="shared" si="7"/>
        <v>11721100000</v>
      </c>
      <c r="AL16" s="10">
        <f t="shared" ref="AL16:AL79" si="23">IF(ISNUMBER(AK16),AK16*$M16,"")</f>
        <v>11048260910.547647</v>
      </c>
      <c r="AN16" s="10">
        <f t="shared" si="8"/>
        <v>9410000000</v>
      </c>
      <c r="AO16" s="10">
        <f t="shared" ref="AO16:AO79" si="24">IF(ISNUMBER(AN16),AN16*$M16,"")</f>
        <v>8869827504.9486294</v>
      </c>
      <c r="AQ16" s="10">
        <f t="shared" si="9"/>
        <v>2988940800</v>
      </c>
      <c r="AR16" s="10">
        <f t="shared" ref="AR16:AR79" si="25">IF(ISNUMBER(AQ16),AQ16*$M16,"")</f>
        <v>2817363370.722971</v>
      </c>
      <c r="AT16" s="7">
        <f>IF($K16&lt;=$F$15,IF($F$40&lt;&gt;"",$F$40/1000,IF(ISERROR(VLOOKUP($F$3&amp;IF($G$4&lt;&gt;"",$G$4,"")&amp;IF($F$43&lt;&gt;"","_"&amp;$F$43,""),'表3）燃料価格'!$AF$9:$AG$25,2,0)),0,VLOOKUP($I16,'表3）燃料価格'!$A$6:$U$66,VLOOKUP($F$3&amp;IF($G$4&lt;&gt;"",$G$4,"")&amp;IF($F$43&lt;&gt;"","_"&amp;$F$43,""),'表3）燃料価格'!$AF$9:$AG$25,2,0)+VLOOKUP($F$41,'表3）燃料価格'!$AF$28:$AG$29,2,0),0)*IF($F$43="需要地価格",1,$F$8/$F$141))),"")</f>
        <v>0</v>
      </c>
      <c r="AV16" s="10">
        <f t="shared" si="10"/>
        <v>0</v>
      </c>
      <c r="AW16" s="10">
        <f t="shared" ref="AW16:AW79" si="26">IF(ISNUMBER(AV16),AV16*$M16,"")</f>
        <v>0</v>
      </c>
      <c r="AY16" s="7">
        <v>0</v>
      </c>
      <c r="BA16" s="11">
        <f t="shared" si="11"/>
        <v>0</v>
      </c>
      <c r="BB16" s="10">
        <f t="shared" ref="BB16:BB79" si="27">IF(ISNUMBER(BA16),BA16*$M16,"")</f>
        <v>0</v>
      </c>
      <c r="BD16" s="10">
        <f t="shared" si="12"/>
        <v>0</v>
      </c>
      <c r="BE16" s="10">
        <f t="shared" ref="BE16:BE79" si="28">IF(ISNUMBER(BD16),BD16*$M16,"")</f>
        <v>0</v>
      </c>
      <c r="BG16" s="11">
        <f t="shared" si="13"/>
        <v>0</v>
      </c>
      <c r="BH16" s="10">
        <f t="shared" ref="BH16:BH79" si="29">IF(ISNUMBER(BG16),BG16*$M16,"")</f>
        <v>0</v>
      </c>
      <c r="BJ16" s="7" t="str">
        <f t="shared" ref="BJ16:BJ79" si="30">IF(ISNUMBER($F$16),IF($K16&lt;=$F$16+$F$28,1/(1+($F$17/100))^K16,""),"")</f>
        <v/>
      </c>
      <c r="BK16" s="158" t="str">
        <f t="shared" ref="BK16:BK79" si="31">IF(ISNUMBER($F$16),IF($K16&lt;=$F$16+$F$28,IF($K16&lt;=$F$16,SUM(Y16,AB16,AE16,AH16,AK16,AN16,AQ16,AV16,BA16,BD16,BG16),$F$27/$F$28*10^8)*BJ16,""),"")</f>
        <v/>
      </c>
      <c r="BL16" s="158" t="str">
        <f t="shared" si="14"/>
        <v/>
      </c>
      <c r="BM16" s="10"/>
      <c r="BN16" s="10" t="str">
        <f t="shared" ref="BN16:BN79" si="32">IF(AND(ISNUMBER($F$16),$K16&lt;=$F$16),BQ16*($O$15+$BK$116)/$BL$116,"")</f>
        <v/>
      </c>
      <c r="BO16" s="10" t="str">
        <f t="shared" ref="BO16:BO79" si="33">IF(ISNUMBER(BN16),BN16*$M16,"")</f>
        <v/>
      </c>
      <c r="BQ16" s="10">
        <f t="shared" si="15"/>
        <v>7064064000</v>
      </c>
      <c r="BR16" s="10">
        <f t="shared" ref="BR16:BR79" si="34">IF(ISNUMBER(BQ16),BQ16*$M16,"")</f>
        <v>6658557828.2590256</v>
      </c>
    </row>
    <row r="17" spans="3:70" x14ac:dyDescent="0.15">
      <c r="C17" s="9" t="s">
        <v>109</v>
      </c>
      <c r="D17" s="81"/>
      <c r="E17" s="81"/>
      <c r="F17" s="143" t="str">
        <f>IF(ISERROR(VLOOKUP(F3&amp;IF(G4&lt;&gt;"","_"&amp;G4,""),'表7）買取期間・IRR'!$A$14:$A$21,1,0)),"",VLOOKUP(F3&amp;IF(G4&lt;&gt;"","_"&amp;G4,""),'表7）買取期間・IRR'!$A$14:$C$21,IF(F7=2030,4,IF(F7=2020,3,IF(F7=2014,2,"-"))),0))</f>
        <v/>
      </c>
      <c r="G17" s="9" t="s">
        <v>172</v>
      </c>
      <c r="I17" s="38">
        <f t="shared" ref="I17:I80" si="35">I16+1</f>
        <v>2032</v>
      </c>
      <c r="J17" s="39"/>
      <c r="K17" s="39">
        <f t="shared" ref="K17:K80" si="36">IF(I17&lt;&gt;"",K16+1,"")</f>
        <v>3</v>
      </c>
      <c r="L17" s="39"/>
      <c r="M17" s="40">
        <f t="shared" si="0"/>
        <v>0.91514165935315961</v>
      </c>
      <c r="N17" s="39"/>
      <c r="O17" s="72">
        <f t="shared" ref="O17:O80" si="37">IF(K17&lt;=$F$15,O16-V16,"")</f>
        <v>439440078400</v>
      </c>
      <c r="P17" s="41">
        <f t="shared" si="1"/>
        <v>0.156</v>
      </c>
      <c r="Q17" s="39"/>
      <c r="R17" s="72">
        <f t="shared" si="16"/>
        <v>462609737737.19202</v>
      </c>
      <c r="S17" s="39"/>
      <c r="T17" s="72">
        <f t="shared" si="17"/>
        <v>462609737000</v>
      </c>
      <c r="U17" s="39"/>
      <c r="V17" s="72">
        <f t="shared" si="2"/>
        <v>68552652230.400002</v>
      </c>
      <c r="W17" s="72">
        <f t="shared" si="18"/>
        <v>62735387915.188339</v>
      </c>
      <c r="X17" s="39"/>
      <c r="Y17" s="72">
        <f t="shared" si="3"/>
        <v>6476536300</v>
      </c>
      <c r="Z17" s="72">
        <f t="shared" si="19"/>
        <v>5926948176.4429731</v>
      </c>
      <c r="AA17" s="39"/>
      <c r="AB17" s="72">
        <f t="shared" si="4"/>
        <v>0</v>
      </c>
      <c r="AC17" s="72">
        <f t="shared" si="20"/>
        <v>0</v>
      </c>
      <c r="AD17" s="39"/>
      <c r="AE17" s="72">
        <f t="shared" si="5"/>
        <v>0</v>
      </c>
      <c r="AF17" s="72">
        <f t="shared" si="21"/>
        <v>0</v>
      </c>
      <c r="AG17" s="39"/>
      <c r="AH17" s="72">
        <f t="shared" si="6"/>
        <v>2220000000</v>
      </c>
      <c r="AI17" s="72">
        <f t="shared" si="22"/>
        <v>2031614483.7640142</v>
      </c>
      <c r="AJ17" s="39"/>
      <c r="AK17" s="72">
        <f t="shared" si="7"/>
        <v>11721100000</v>
      </c>
      <c r="AL17" s="72">
        <f t="shared" si="23"/>
        <v>10726466903.444319</v>
      </c>
      <c r="AM17" s="39"/>
      <c r="AN17" s="72">
        <f t="shared" si="8"/>
        <v>9410000000</v>
      </c>
      <c r="AO17" s="72">
        <f t="shared" si="24"/>
        <v>8611483014.5132313</v>
      </c>
      <c r="AP17" s="39"/>
      <c r="AQ17" s="72">
        <f t="shared" si="9"/>
        <v>2988940800</v>
      </c>
      <c r="AR17" s="72">
        <f t="shared" si="25"/>
        <v>2735304243.4203606</v>
      </c>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0</v>
      </c>
      <c r="AU17" s="39"/>
      <c r="AV17" s="72">
        <f t="shared" si="10"/>
        <v>0</v>
      </c>
      <c r="AW17" s="72">
        <f t="shared" si="26"/>
        <v>0</v>
      </c>
      <c r="AX17" s="39"/>
      <c r="AY17" s="40">
        <v>0</v>
      </c>
      <c r="AZ17" s="39"/>
      <c r="BA17" s="42">
        <f t="shared" si="11"/>
        <v>0</v>
      </c>
      <c r="BB17" s="72">
        <f t="shared" si="27"/>
        <v>0</v>
      </c>
      <c r="BC17" s="39"/>
      <c r="BD17" s="72">
        <f t="shared" si="12"/>
        <v>0</v>
      </c>
      <c r="BE17" s="72">
        <f t="shared" si="28"/>
        <v>0</v>
      </c>
      <c r="BF17" s="39"/>
      <c r="BG17" s="42">
        <f t="shared" si="13"/>
        <v>0</v>
      </c>
      <c r="BH17" s="72">
        <f t="shared" si="29"/>
        <v>0</v>
      </c>
      <c r="BI17" s="39"/>
      <c r="BJ17" s="40" t="str">
        <f t="shared" si="30"/>
        <v/>
      </c>
      <c r="BK17" s="157" t="str">
        <f t="shared" si="31"/>
        <v/>
      </c>
      <c r="BL17" s="157" t="str">
        <f t="shared" si="14"/>
        <v/>
      </c>
      <c r="BM17" s="72"/>
      <c r="BN17" s="72" t="str">
        <f t="shared" si="32"/>
        <v/>
      </c>
      <c r="BO17" s="72" t="str">
        <f t="shared" si="33"/>
        <v/>
      </c>
      <c r="BP17" s="39"/>
      <c r="BQ17" s="72">
        <f t="shared" si="15"/>
        <v>7064064000</v>
      </c>
      <c r="BR17" s="72">
        <f t="shared" si="34"/>
        <v>6464619250.7369184</v>
      </c>
    </row>
    <row r="18" spans="3:70" x14ac:dyDescent="0.15">
      <c r="I18" s="322">
        <f t="shared" si="35"/>
        <v>2033</v>
      </c>
      <c r="K18" s="71">
        <f t="shared" si="36"/>
        <v>4</v>
      </c>
      <c r="M18" s="7">
        <f t="shared" si="0"/>
        <v>0.888487047915689</v>
      </c>
      <c r="O18" s="10">
        <f t="shared" si="37"/>
        <v>370887426169.59998</v>
      </c>
      <c r="P18" s="29">
        <f t="shared" si="1"/>
        <v>0.156</v>
      </c>
      <c r="R18" s="10">
        <f t="shared" si="16"/>
        <v>400603528519.36475</v>
      </c>
      <c r="T18" s="10">
        <f t="shared" si="17"/>
        <v>400603528000</v>
      </c>
      <c r="V18" s="10">
        <f t="shared" si="2"/>
        <v>57858438482.457596</v>
      </c>
      <c r="W18" s="10">
        <f t="shared" si="18"/>
        <v>51406473204.290245</v>
      </c>
      <c r="Y18" s="10">
        <f t="shared" si="3"/>
        <v>5608449300</v>
      </c>
      <c r="Z18" s="10">
        <f t="shared" si="19"/>
        <v>4983034561.9418125</v>
      </c>
      <c r="AB18" s="10">
        <f t="shared" si="4"/>
        <v>0</v>
      </c>
      <c r="AC18" s="10">
        <f t="shared" si="20"/>
        <v>0</v>
      </c>
      <c r="AE18" s="10">
        <f t="shared" si="5"/>
        <v>0</v>
      </c>
      <c r="AF18" s="10">
        <f t="shared" si="21"/>
        <v>0</v>
      </c>
      <c r="AH18" s="10">
        <f t="shared" si="6"/>
        <v>2220000000</v>
      </c>
      <c r="AI18" s="10">
        <f t="shared" si="22"/>
        <v>1972441246.3728297</v>
      </c>
      <c r="AK18" s="10">
        <f t="shared" si="7"/>
        <v>11721100000</v>
      </c>
      <c r="AL18" s="10">
        <f t="shared" si="23"/>
        <v>10414045537.324583</v>
      </c>
      <c r="AN18" s="10">
        <f t="shared" si="8"/>
        <v>9410000000</v>
      </c>
      <c r="AO18" s="10">
        <f t="shared" si="24"/>
        <v>8360663120.8866339</v>
      </c>
      <c r="AQ18" s="10">
        <f t="shared" si="9"/>
        <v>2988940800</v>
      </c>
      <c r="AR18" s="10">
        <f t="shared" si="25"/>
        <v>2655635187.7867579</v>
      </c>
      <c r="AT18" s="7">
        <f>IF($K18&lt;=$F$15,IF($F$40&lt;&gt;"",$F$40/1000,IF(ISERROR(VLOOKUP($F$3&amp;IF($G$4&lt;&gt;"",$G$4,"")&amp;IF($F$43&lt;&gt;"","_"&amp;$F$43,""),'表3）燃料価格'!$AF$9:$AG$25,2,0)),0,VLOOKUP($I18,'表3）燃料価格'!$A$6:$U$66,VLOOKUP($F$3&amp;IF($G$4&lt;&gt;"",$G$4,"")&amp;IF($F$43&lt;&gt;"","_"&amp;$F$43,""),'表3）燃料価格'!$AF$9:$AG$25,2,0)+VLOOKUP($F$41,'表3）燃料価格'!$AF$28:$AG$29,2,0),0)*IF($F$43="需要地価格",1,$F$8/$F$141))),"")</f>
        <v>0</v>
      </c>
      <c r="AV18" s="10">
        <f t="shared" si="10"/>
        <v>0</v>
      </c>
      <c r="AW18" s="10">
        <f t="shared" si="26"/>
        <v>0</v>
      </c>
      <c r="AY18" s="7">
        <v>0</v>
      </c>
      <c r="BA18" s="11">
        <f t="shared" si="11"/>
        <v>0</v>
      </c>
      <c r="BB18" s="10">
        <f t="shared" si="27"/>
        <v>0</v>
      </c>
      <c r="BD18" s="10">
        <f t="shared" si="12"/>
        <v>0</v>
      </c>
      <c r="BE18" s="10">
        <f t="shared" si="28"/>
        <v>0</v>
      </c>
      <c r="BG18" s="11">
        <f t="shared" si="13"/>
        <v>0</v>
      </c>
      <c r="BH18" s="10">
        <f t="shared" si="29"/>
        <v>0</v>
      </c>
      <c r="BJ18" s="7" t="str">
        <f t="shared" si="30"/>
        <v/>
      </c>
      <c r="BK18" s="158" t="str">
        <f t="shared" si="31"/>
        <v/>
      </c>
      <c r="BL18" s="158" t="str">
        <f t="shared" si="14"/>
        <v/>
      </c>
      <c r="BM18" s="10"/>
      <c r="BN18" s="10" t="str">
        <f t="shared" si="32"/>
        <v/>
      </c>
      <c r="BO18" s="10" t="str">
        <f t="shared" si="33"/>
        <v/>
      </c>
      <c r="BQ18" s="10">
        <f t="shared" si="15"/>
        <v>7064064000</v>
      </c>
      <c r="BR18" s="10">
        <f t="shared" si="34"/>
        <v>6276329369.6474934</v>
      </c>
    </row>
    <row r="19" spans="3:70" x14ac:dyDescent="0.15">
      <c r="C19" s="89" t="s">
        <v>371</v>
      </c>
      <c r="D19" s="101"/>
      <c r="E19" s="101"/>
      <c r="F19" s="89"/>
      <c r="G19" s="89"/>
      <c r="I19" s="38">
        <f t="shared" si="35"/>
        <v>2034</v>
      </c>
      <c r="J19" s="39"/>
      <c r="K19" s="39">
        <f t="shared" si="36"/>
        <v>5</v>
      </c>
      <c r="L19" s="39"/>
      <c r="M19" s="40">
        <f t="shared" si="0"/>
        <v>0.86260878438416411</v>
      </c>
      <c r="N19" s="39"/>
      <c r="O19" s="72">
        <f t="shared" si="37"/>
        <v>313028987687.1424</v>
      </c>
      <c r="P19" s="41">
        <f t="shared" si="1"/>
        <v>0.156</v>
      </c>
      <c r="Q19" s="39"/>
      <c r="R19" s="72">
        <f t="shared" si="16"/>
        <v>346908363509.92633</v>
      </c>
      <c r="S19" s="39"/>
      <c r="T19" s="72">
        <f t="shared" si="17"/>
        <v>346908363000</v>
      </c>
      <c r="U19" s="39"/>
      <c r="V19" s="72">
        <f t="shared" si="2"/>
        <v>48832522079.194214</v>
      </c>
      <c r="W19" s="72">
        <f t="shared" si="18"/>
        <v>42123362509.146576</v>
      </c>
      <c r="X19" s="39"/>
      <c r="Y19" s="72">
        <f t="shared" si="3"/>
        <v>4856717000</v>
      </c>
      <c r="Z19" s="72">
        <f t="shared" si="19"/>
        <v>4189446747.4679046</v>
      </c>
      <c r="AA19" s="39"/>
      <c r="AB19" s="72">
        <f t="shared" si="4"/>
        <v>0</v>
      </c>
      <c r="AC19" s="72">
        <f t="shared" si="20"/>
        <v>0</v>
      </c>
      <c r="AD19" s="39"/>
      <c r="AE19" s="72">
        <f t="shared" si="5"/>
        <v>0</v>
      </c>
      <c r="AF19" s="72">
        <f t="shared" si="21"/>
        <v>0</v>
      </c>
      <c r="AG19" s="39"/>
      <c r="AH19" s="72">
        <f t="shared" si="6"/>
        <v>2220000000</v>
      </c>
      <c r="AI19" s="72">
        <f t="shared" si="22"/>
        <v>1914991501.3328443</v>
      </c>
      <c r="AJ19" s="39"/>
      <c r="AK19" s="72">
        <f t="shared" si="7"/>
        <v>11721100000</v>
      </c>
      <c r="AL19" s="72">
        <f t="shared" si="23"/>
        <v>10110723822.645226</v>
      </c>
      <c r="AM19" s="39"/>
      <c r="AN19" s="72">
        <f t="shared" si="8"/>
        <v>9410000000</v>
      </c>
      <c r="AO19" s="72">
        <f t="shared" si="24"/>
        <v>8117148661.0549841</v>
      </c>
      <c r="AP19" s="39"/>
      <c r="AQ19" s="72">
        <f t="shared" si="9"/>
        <v>2988940800</v>
      </c>
      <c r="AR19" s="72">
        <f t="shared" si="25"/>
        <v>2578286590.0842309</v>
      </c>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0</v>
      </c>
      <c r="AU19" s="39"/>
      <c r="AV19" s="72">
        <f t="shared" si="10"/>
        <v>0</v>
      </c>
      <c r="AW19" s="72">
        <f t="shared" si="26"/>
        <v>0</v>
      </c>
      <c r="AX19" s="39"/>
      <c r="AY19" s="40">
        <v>0</v>
      </c>
      <c r="AZ19" s="39"/>
      <c r="BA19" s="42">
        <f t="shared" si="11"/>
        <v>0</v>
      </c>
      <c r="BB19" s="72">
        <f t="shared" si="27"/>
        <v>0</v>
      </c>
      <c r="BC19" s="39"/>
      <c r="BD19" s="72">
        <f t="shared" si="12"/>
        <v>0</v>
      </c>
      <c r="BE19" s="72">
        <f t="shared" si="28"/>
        <v>0</v>
      </c>
      <c r="BF19" s="39"/>
      <c r="BG19" s="42">
        <f t="shared" si="13"/>
        <v>0</v>
      </c>
      <c r="BH19" s="72">
        <f t="shared" si="29"/>
        <v>0</v>
      </c>
      <c r="BI19" s="39"/>
      <c r="BJ19" s="40" t="str">
        <f t="shared" si="30"/>
        <v/>
      </c>
      <c r="BK19" s="157" t="str">
        <f t="shared" si="31"/>
        <v/>
      </c>
      <c r="BL19" s="157" t="str">
        <f t="shared" si="14"/>
        <v/>
      </c>
      <c r="BM19" s="72"/>
      <c r="BN19" s="72" t="str">
        <f t="shared" si="32"/>
        <v/>
      </c>
      <c r="BO19" s="72" t="str">
        <f t="shared" si="33"/>
        <v/>
      </c>
      <c r="BP19" s="39"/>
      <c r="BQ19" s="72">
        <f t="shared" si="15"/>
        <v>7064064000</v>
      </c>
      <c r="BR19" s="72">
        <f t="shared" si="34"/>
        <v>6093523659.8519354</v>
      </c>
    </row>
    <row r="20" spans="3:70" x14ac:dyDescent="0.15">
      <c r="D20" s="81"/>
      <c r="E20" s="81"/>
      <c r="I20" s="322">
        <f t="shared" si="35"/>
        <v>2035</v>
      </c>
      <c r="K20" s="71">
        <f t="shared" si="36"/>
        <v>6</v>
      </c>
      <c r="M20" s="7">
        <f t="shared" si="0"/>
        <v>0.83748425668365445</v>
      </c>
      <c r="O20" s="10">
        <f t="shared" si="37"/>
        <v>264196465607.94818</v>
      </c>
      <c r="P20" s="29">
        <f t="shared" si="1"/>
        <v>0.156</v>
      </c>
      <c r="R20" s="10">
        <f t="shared" si="16"/>
        <v>300410266274.82092</v>
      </c>
      <c r="T20" s="10">
        <f t="shared" si="17"/>
        <v>300410266000</v>
      </c>
      <c r="V20" s="10">
        <f t="shared" si="2"/>
        <v>41214648634.839912</v>
      </c>
      <c r="W20" s="10">
        <f t="shared" si="18"/>
        <v>34516619376.426895</v>
      </c>
      <c r="Y20" s="10">
        <f t="shared" si="3"/>
        <v>4205743700</v>
      </c>
      <c r="Z20" s="10">
        <f t="shared" si="19"/>
        <v>3522244136.3964624</v>
      </c>
      <c r="AB20" s="10">
        <f t="shared" si="4"/>
        <v>0</v>
      </c>
      <c r="AC20" s="10">
        <f t="shared" si="20"/>
        <v>0</v>
      </c>
      <c r="AE20" s="10">
        <f t="shared" si="5"/>
        <v>0</v>
      </c>
      <c r="AF20" s="10">
        <f t="shared" si="21"/>
        <v>0</v>
      </c>
      <c r="AH20" s="10">
        <f t="shared" si="6"/>
        <v>2220000000</v>
      </c>
      <c r="AI20" s="10">
        <f t="shared" si="22"/>
        <v>1859215049.8377128</v>
      </c>
      <c r="AK20" s="10">
        <f t="shared" si="7"/>
        <v>11721100000</v>
      </c>
      <c r="AL20" s="10">
        <f t="shared" si="23"/>
        <v>9816236721.014782</v>
      </c>
      <c r="AN20" s="10">
        <f t="shared" si="8"/>
        <v>9410000000</v>
      </c>
      <c r="AO20" s="10">
        <f t="shared" si="24"/>
        <v>7880726855.3931885</v>
      </c>
      <c r="AQ20" s="10">
        <f t="shared" si="9"/>
        <v>2988940800</v>
      </c>
      <c r="AR20" s="10">
        <f t="shared" si="25"/>
        <v>2503190864.1594477</v>
      </c>
      <c r="AT20" s="7">
        <f>IF($K20&lt;=$F$15,IF($F$40&lt;&gt;"",$F$40/1000,IF(ISERROR(VLOOKUP($F$3&amp;IF($G$4&lt;&gt;"",$G$4,"")&amp;IF($F$43&lt;&gt;"","_"&amp;$F$43,""),'表3）燃料価格'!$AF$9:$AG$25,2,0)),0,VLOOKUP($I20,'表3）燃料価格'!$A$6:$U$66,VLOOKUP($F$3&amp;IF($G$4&lt;&gt;"",$G$4,"")&amp;IF($F$43&lt;&gt;"","_"&amp;$F$43,""),'表3）燃料価格'!$AF$9:$AG$25,2,0)+VLOOKUP($F$41,'表3）燃料価格'!$AF$28:$AG$29,2,0),0)*IF($F$43="需要地価格",1,$F$8/$F$141))),"")</f>
        <v>0</v>
      </c>
      <c r="AV20" s="10">
        <f t="shared" si="10"/>
        <v>0</v>
      </c>
      <c r="AW20" s="10">
        <f t="shared" si="26"/>
        <v>0</v>
      </c>
      <c r="AY20" s="7">
        <v>0</v>
      </c>
      <c r="BA20" s="11">
        <f t="shared" si="11"/>
        <v>0</v>
      </c>
      <c r="BB20" s="10">
        <f t="shared" si="27"/>
        <v>0</v>
      </c>
      <c r="BD20" s="10">
        <f t="shared" si="12"/>
        <v>0</v>
      </c>
      <c r="BE20" s="10">
        <f t="shared" si="28"/>
        <v>0</v>
      </c>
      <c r="BG20" s="11">
        <f t="shared" si="13"/>
        <v>0</v>
      </c>
      <c r="BH20" s="10">
        <f t="shared" si="29"/>
        <v>0</v>
      </c>
      <c r="BJ20" s="7" t="str">
        <f t="shared" si="30"/>
        <v/>
      </c>
      <c r="BK20" s="158" t="str">
        <f t="shared" si="31"/>
        <v/>
      </c>
      <c r="BL20" s="158" t="str">
        <f t="shared" si="14"/>
        <v/>
      </c>
      <c r="BM20" s="10"/>
      <c r="BN20" s="10" t="str">
        <f t="shared" si="32"/>
        <v/>
      </c>
      <c r="BO20" s="10" t="str">
        <f t="shared" si="33"/>
        <v/>
      </c>
      <c r="BQ20" s="10">
        <f t="shared" si="15"/>
        <v>7064064000</v>
      </c>
      <c r="BR20" s="10">
        <f t="shared" si="34"/>
        <v>5916042388.2057629</v>
      </c>
    </row>
    <row r="21" spans="3:70" x14ac:dyDescent="0.15">
      <c r="D21" s="81" t="s">
        <v>110</v>
      </c>
      <c r="E21" s="81"/>
      <c r="F21" s="147">
        <v>40</v>
      </c>
      <c r="G21" s="9" t="s">
        <v>174</v>
      </c>
      <c r="I21" s="38">
        <f t="shared" si="35"/>
        <v>2036</v>
      </c>
      <c r="J21" s="39"/>
      <c r="K21" s="39">
        <f t="shared" si="36"/>
        <v>7</v>
      </c>
      <c r="L21" s="39"/>
      <c r="M21" s="40">
        <f t="shared" si="0"/>
        <v>0.81309151134335378</v>
      </c>
      <c r="N21" s="39"/>
      <c r="O21" s="72">
        <f t="shared" si="37"/>
        <v>222981816973.10828</v>
      </c>
      <c r="P21" s="41">
        <f t="shared" si="1"/>
        <v>0.156</v>
      </c>
      <c r="Q21" s="39"/>
      <c r="R21" s="72">
        <f t="shared" si="16"/>
        <v>260144572965.09235</v>
      </c>
      <c r="S21" s="39"/>
      <c r="T21" s="72">
        <f t="shared" si="17"/>
        <v>260144572000</v>
      </c>
      <c r="U21" s="39"/>
      <c r="V21" s="72">
        <f t="shared" si="2"/>
        <v>34785163447.804893</v>
      </c>
      <c r="W21" s="72">
        <f t="shared" si="18"/>
        <v>28283521120.101269</v>
      </c>
      <c r="X21" s="39"/>
      <c r="Y21" s="72">
        <f t="shared" si="3"/>
        <v>3642024000</v>
      </c>
      <c r="Z21" s="72">
        <f t="shared" si="19"/>
        <v>2961298798.5087667</v>
      </c>
      <c r="AA21" s="39"/>
      <c r="AB21" s="72">
        <f t="shared" si="4"/>
        <v>0</v>
      </c>
      <c r="AC21" s="72">
        <f t="shared" si="20"/>
        <v>0</v>
      </c>
      <c r="AD21" s="39"/>
      <c r="AE21" s="72">
        <f t="shared" si="5"/>
        <v>0</v>
      </c>
      <c r="AF21" s="72">
        <f t="shared" si="21"/>
        <v>0</v>
      </c>
      <c r="AG21" s="39"/>
      <c r="AH21" s="72">
        <f t="shared" si="6"/>
        <v>2220000000</v>
      </c>
      <c r="AI21" s="72">
        <f t="shared" si="22"/>
        <v>1805063155.1822455</v>
      </c>
      <c r="AJ21" s="39"/>
      <c r="AK21" s="72">
        <f t="shared" si="7"/>
        <v>11721100000</v>
      </c>
      <c r="AL21" s="72">
        <f t="shared" si="23"/>
        <v>9530326913.6065845</v>
      </c>
      <c r="AM21" s="39"/>
      <c r="AN21" s="72">
        <f t="shared" si="8"/>
        <v>9410000000</v>
      </c>
      <c r="AO21" s="72">
        <f t="shared" si="24"/>
        <v>7651191121.7409592</v>
      </c>
      <c r="AP21" s="39"/>
      <c r="AQ21" s="72">
        <f t="shared" si="9"/>
        <v>2988940800</v>
      </c>
      <c r="AR21" s="72">
        <f t="shared" si="25"/>
        <v>2430282392.3878131</v>
      </c>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0</v>
      </c>
      <c r="AU21" s="39"/>
      <c r="AV21" s="72">
        <f t="shared" si="10"/>
        <v>0</v>
      </c>
      <c r="AW21" s="72">
        <f t="shared" si="26"/>
        <v>0</v>
      </c>
      <c r="AX21" s="39"/>
      <c r="AY21" s="40">
        <v>0</v>
      </c>
      <c r="AZ21" s="39"/>
      <c r="BA21" s="42">
        <f t="shared" si="11"/>
        <v>0</v>
      </c>
      <c r="BB21" s="72">
        <f t="shared" si="27"/>
        <v>0</v>
      </c>
      <c r="BC21" s="39"/>
      <c r="BD21" s="72">
        <f t="shared" si="12"/>
        <v>0</v>
      </c>
      <c r="BE21" s="72">
        <f t="shared" si="28"/>
        <v>0</v>
      </c>
      <c r="BF21" s="39"/>
      <c r="BG21" s="42">
        <f t="shared" si="13"/>
        <v>0</v>
      </c>
      <c r="BH21" s="72">
        <f t="shared" si="29"/>
        <v>0</v>
      </c>
      <c r="BI21" s="39"/>
      <c r="BJ21" s="40" t="str">
        <f t="shared" si="30"/>
        <v/>
      </c>
      <c r="BK21" s="157" t="str">
        <f t="shared" si="31"/>
        <v/>
      </c>
      <c r="BL21" s="157" t="str">
        <f t="shared" si="14"/>
        <v/>
      </c>
      <c r="BM21" s="72"/>
      <c r="BN21" s="72" t="str">
        <f t="shared" si="32"/>
        <v/>
      </c>
      <c r="BO21" s="72" t="str">
        <f t="shared" si="33"/>
        <v/>
      </c>
      <c r="BP21" s="39"/>
      <c r="BQ21" s="72">
        <f t="shared" si="15"/>
        <v>7064064000</v>
      </c>
      <c r="BR21" s="72">
        <f t="shared" si="34"/>
        <v>5743730473.9861774</v>
      </c>
    </row>
    <row r="22" spans="3:70" ht="16.5" x14ac:dyDescent="0.15">
      <c r="D22" s="81" t="s">
        <v>111</v>
      </c>
      <c r="E22" s="81"/>
      <c r="F22" s="90"/>
      <c r="G22" s="9" t="s">
        <v>372</v>
      </c>
      <c r="I22" s="322">
        <f t="shared" si="35"/>
        <v>2037</v>
      </c>
      <c r="K22" s="71">
        <f t="shared" si="36"/>
        <v>8</v>
      </c>
      <c r="M22" s="7">
        <f t="shared" si="0"/>
        <v>0.78940923431393573</v>
      </c>
      <c r="O22" s="10">
        <f t="shared" si="37"/>
        <v>188196653525.30338</v>
      </c>
      <c r="P22" s="29">
        <f t="shared" si="1"/>
        <v>0.156</v>
      </c>
      <c r="R22" s="10">
        <f t="shared" si="16"/>
        <v>225275919103.50934</v>
      </c>
      <c r="T22" s="10">
        <f t="shared" si="17"/>
        <v>225275919000</v>
      </c>
      <c r="V22" s="10">
        <f t="shared" si="2"/>
        <v>29358677949.947327</v>
      </c>
      <c r="W22" s="10">
        <f t="shared" si="18"/>
        <v>23176011480.937347</v>
      </c>
      <c r="Y22" s="10">
        <f t="shared" si="3"/>
        <v>3153862800</v>
      </c>
      <c r="Z22" s="10">
        <f t="shared" si="19"/>
        <v>2489688418.0792055</v>
      </c>
      <c r="AB22" s="10">
        <f t="shared" si="4"/>
        <v>0</v>
      </c>
      <c r="AC22" s="10">
        <f t="shared" si="20"/>
        <v>0</v>
      </c>
      <c r="AE22" s="10">
        <f t="shared" si="5"/>
        <v>0</v>
      </c>
      <c r="AF22" s="10">
        <f t="shared" si="21"/>
        <v>0</v>
      </c>
      <c r="AH22" s="10">
        <f t="shared" si="6"/>
        <v>2220000000</v>
      </c>
      <c r="AI22" s="10">
        <f t="shared" si="22"/>
        <v>1752488500.1769373</v>
      </c>
      <c r="AK22" s="10">
        <f t="shared" si="7"/>
        <v>11721100000</v>
      </c>
      <c r="AL22" s="10">
        <f t="shared" si="23"/>
        <v>9252744576.3170719</v>
      </c>
      <c r="AN22" s="10">
        <f t="shared" si="8"/>
        <v>9410000000</v>
      </c>
      <c r="AO22" s="10">
        <f t="shared" si="24"/>
        <v>7428340894.8941355</v>
      </c>
      <c r="AQ22" s="10">
        <f t="shared" si="9"/>
        <v>2988940800</v>
      </c>
      <c r="AR22" s="10">
        <f t="shared" si="25"/>
        <v>2359497468.3376827</v>
      </c>
      <c r="AT22" s="7">
        <f>IF($K22&lt;=$F$15,IF($F$40&lt;&gt;"",$F$40/1000,IF(ISERROR(VLOOKUP($F$3&amp;IF($G$4&lt;&gt;"",$G$4,"")&amp;IF($F$43&lt;&gt;"","_"&amp;$F$43,""),'表3）燃料価格'!$AF$9:$AG$25,2,0)),0,VLOOKUP($I22,'表3）燃料価格'!$A$6:$U$66,VLOOKUP($F$3&amp;IF($G$4&lt;&gt;"",$G$4,"")&amp;IF($F$43&lt;&gt;"","_"&amp;$F$43,""),'表3）燃料価格'!$AF$9:$AG$25,2,0)+VLOOKUP($F$41,'表3）燃料価格'!$AF$28:$AG$29,2,0),0)*IF($F$43="需要地価格",1,$F$8/$F$141))),"")</f>
        <v>0</v>
      </c>
      <c r="AV22" s="10">
        <f t="shared" si="10"/>
        <v>0</v>
      </c>
      <c r="AW22" s="10">
        <f t="shared" si="26"/>
        <v>0</v>
      </c>
      <c r="AY22" s="7">
        <v>0</v>
      </c>
      <c r="BA22" s="11">
        <f t="shared" si="11"/>
        <v>0</v>
      </c>
      <c r="BB22" s="10">
        <f t="shared" si="27"/>
        <v>0</v>
      </c>
      <c r="BD22" s="10">
        <f t="shared" si="12"/>
        <v>0</v>
      </c>
      <c r="BE22" s="10">
        <f t="shared" si="28"/>
        <v>0</v>
      </c>
      <c r="BG22" s="11">
        <f t="shared" si="13"/>
        <v>0</v>
      </c>
      <c r="BH22" s="10">
        <f t="shared" si="29"/>
        <v>0</v>
      </c>
      <c r="BJ22" s="7" t="str">
        <f t="shared" si="30"/>
        <v/>
      </c>
      <c r="BK22" s="158" t="str">
        <f t="shared" si="31"/>
        <v/>
      </c>
      <c r="BL22" s="158" t="str">
        <f t="shared" si="14"/>
        <v/>
      </c>
      <c r="BM22" s="10"/>
      <c r="BN22" s="10" t="str">
        <f t="shared" si="32"/>
        <v/>
      </c>
      <c r="BO22" s="10" t="str">
        <f t="shared" si="33"/>
        <v/>
      </c>
      <c r="BQ22" s="10">
        <f t="shared" si="15"/>
        <v>7064064000</v>
      </c>
      <c r="BR22" s="10">
        <f t="shared" si="34"/>
        <v>5576437353.3846378</v>
      </c>
    </row>
    <row r="23" spans="3:70" x14ac:dyDescent="0.15">
      <c r="D23" s="81" t="s">
        <v>112</v>
      </c>
      <c r="E23" s="81"/>
      <c r="F23" s="147"/>
      <c r="G23" s="9" t="s">
        <v>172</v>
      </c>
      <c r="I23" s="38">
        <f t="shared" si="35"/>
        <v>2038</v>
      </c>
      <c r="J23" s="39"/>
      <c r="K23" s="39">
        <f t="shared" si="36"/>
        <v>9</v>
      </c>
      <c r="L23" s="39"/>
      <c r="M23" s="40">
        <f t="shared" si="0"/>
        <v>0.76641673234362695</v>
      </c>
      <c r="N23" s="39"/>
      <c r="O23" s="72">
        <f t="shared" si="37"/>
        <v>158837975575.35605</v>
      </c>
      <c r="P23" s="41">
        <f t="shared" si="1"/>
        <v>0.156</v>
      </c>
      <c r="Q23" s="39"/>
      <c r="R23" s="72">
        <f t="shared" si="16"/>
        <v>195080908855.78729</v>
      </c>
      <c r="S23" s="39"/>
      <c r="T23" s="72">
        <f t="shared" si="17"/>
        <v>195080908000</v>
      </c>
      <c r="U23" s="39"/>
      <c r="V23" s="72">
        <f t="shared" si="2"/>
        <v>24778724189.755543</v>
      </c>
      <c r="W23" s="72">
        <f t="shared" si="18"/>
        <v>18990828825.156429</v>
      </c>
      <c r="X23" s="39"/>
      <c r="Y23" s="72">
        <f t="shared" si="3"/>
        <v>2731132700</v>
      </c>
      <c r="Z23" s="72">
        <f t="shared" si="19"/>
        <v>2093185799.5308273</v>
      </c>
      <c r="AA23" s="39"/>
      <c r="AB23" s="72">
        <f t="shared" si="4"/>
        <v>0</v>
      </c>
      <c r="AC23" s="72">
        <f t="shared" si="20"/>
        <v>0</v>
      </c>
      <c r="AD23" s="39"/>
      <c r="AE23" s="72">
        <f t="shared" si="5"/>
        <v>0</v>
      </c>
      <c r="AF23" s="72">
        <f t="shared" si="21"/>
        <v>0</v>
      </c>
      <c r="AG23" s="39"/>
      <c r="AH23" s="72">
        <f t="shared" si="6"/>
        <v>2220000000</v>
      </c>
      <c r="AI23" s="72">
        <f t="shared" si="22"/>
        <v>1701445145.8028519</v>
      </c>
      <c r="AJ23" s="39"/>
      <c r="AK23" s="72">
        <f t="shared" si="7"/>
        <v>11721100000</v>
      </c>
      <c r="AL23" s="72">
        <f t="shared" si="23"/>
        <v>8983247161.4728851</v>
      </c>
      <c r="AM23" s="39"/>
      <c r="AN23" s="72">
        <f t="shared" si="8"/>
        <v>9410000000</v>
      </c>
      <c r="AO23" s="72">
        <f t="shared" si="24"/>
        <v>7211981451.3535299</v>
      </c>
      <c r="AP23" s="39"/>
      <c r="AQ23" s="72">
        <f t="shared" si="9"/>
        <v>2988940800</v>
      </c>
      <c r="AR23" s="72">
        <f t="shared" si="25"/>
        <v>2290774241.1045461</v>
      </c>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0</v>
      </c>
      <c r="AU23" s="39"/>
      <c r="AV23" s="72">
        <f t="shared" si="10"/>
        <v>0</v>
      </c>
      <c r="AW23" s="72">
        <f t="shared" si="26"/>
        <v>0</v>
      </c>
      <c r="AX23" s="39"/>
      <c r="AY23" s="40">
        <v>0</v>
      </c>
      <c r="AZ23" s="39"/>
      <c r="BA23" s="42">
        <f t="shared" si="11"/>
        <v>0</v>
      </c>
      <c r="BB23" s="72">
        <f t="shared" si="27"/>
        <v>0</v>
      </c>
      <c r="BC23" s="39"/>
      <c r="BD23" s="72">
        <f t="shared" si="12"/>
        <v>0</v>
      </c>
      <c r="BE23" s="72">
        <f t="shared" si="28"/>
        <v>0</v>
      </c>
      <c r="BF23" s="39"/>
      <c r="BG23" s="42">
        <f t="shared" si="13"/>
        <v>0</v>
      </c>
      <c r="BH23" s="72">
        <f t="shared" si="29"/>
        <v>0</v>
      </c>
      <c r="BI23" s="39"/>
      <c r="BJ23" s="40" t="str">
        <f t="shared" si="30"/>
        <v/>
      </c>
      <c r="BK23" s="157" t="str">
        <f t="shared" si="31"/>
        <v/>
      </c>
      <c r="BL23" s="157" t="str">
        <f t="shared" si="14"/>
        <v/>
      </c>
      <c r="BM23" s="72"/>
      <c r="BN23" s="72" t="str">
        <f t="shared" si="32"/>
        <v/>
      </c>
      <c r="BO23" s="72" t="str">
        <f t="shared" si="33"/>
        <v/>
      </c>
      <c r="BP23" s="39"/>
      <c r="BQ23" s="72">
        <f t="shared" si="15"/>
        <v>7064064000</v>
      </c>
      <c r="BR23" s="72">
        <f t="shared" si="34"/>
        <v>5414016847.9462509</v>
      </c>
    </row>
    <row r="24" spans="3:70" x14ac:dyDescent="0.15">
      <c r="D24" s="81" t="s">
        <v>113</v>
      </c>
      <c r="E24" s="81"/>
      <c r="F24" s="68">
        <v>4</v>
      </c>
      <c r="G24" s="9" t="s">
        <v>172</v>
      </c>
      <c r="I24" s="322">
        <f t="shared" si="35"/>
        <v>2039</v>
      </c>
      <c r="K24" s="71">
        <f t="shared" si="36"/>
        <v>10</v>
      </c>
      <c r="M24" s="7">
        <f t="shared" si="0"/>
        <v>0.74409391489672516</v>
      </c>
      <c r="O24" s="10">
        <f t="shared" si="37"/>
        <v>134059251385.60051</v>
      </c>
      <c r="P24" s="29">
        <f t="shared" si="1"/>
        <v>0.156</v>
      </c>
      <c r="R24" s="10">
        <f t="shared" si="16"/>
        <v>168933107237.76843</v>
      </c>
      <c r="T24" s="10">
        <f t="shared" si="17"/>
        <v>168933107000</v>
      </c>
      <c r="V24" s="10">
        <f t="shared" si="2"/>
        <v>20913243216.153679</v>
      </c>
      <c r="W24" s="10">
        <f t="shared" si="18"/>
        <v>15561417017.89517</v>
      </c>
      <c r="Y24" s="10">
        <f t="shared" si="3"/>
        <v>2365063400</v>
      </c>
      <c r="Z24" s="10">
        <f t="shared" si="19"/>
        <v>1759829284.2849596</v>
      </c>
      <c r="AB24" s="10">
        <f t="shared" si="4"/>
        <v>0</v>
      </c>
      <c r="AC24" s="10">
        <f t="shared" si="20"/>
        <v>0</v>
      </c>
      <c r="AE24" s="10">
        <f t="shared" si="5"/>
        <v>0</v>
      </c>
      <c r="AF24" s="10">
        <f t="shared" si="21"/>
        <v>0</v>
      </c>
      <c r="AH24" s="10">
        <f t="shared" si="6"/>
        <v>2220000000</v>
      </c>
      <c r="AI24" s="10">
        <f t="shared" si="22"/>
        <v>1651888491.07073</v>
      </c>
      <c r="AK24" s="10">
        <f t="shared" si="7"/>
        <v>11721100000</v>
      </c>
      <c r="AL24" s="10">
        <f t="shared" si="23"/>
        <v>8721599185.8960056</v>
      </c>
      <c r="AN24" s="10">
        <f t="shared" si="8"/>
        <v>9410000000</v>
      </c>
      <c r="AO24" s="10">
        <f t="shared" si="24"/>
        <v>7001923739.1781836</v>
      </c>
      <c r="AQ24" s="10">
        <f t="shared" si="9"/>
        <v>2988940800</v>
      </c>
      <c r="AR24" s="10">
        <f t="shared" si="25"/>
        <v>2224052661.2665496</v>
      </c>
      <c r="AT24" s="7">
        <f>IF($K24&lt;=$F$15,IF($F$40&lt;&gt;"",$F$40/1000,IF(ISERROR(VLOOKUP($F$3&amp;IF($G$4&lt;&gt;"",$G$4,"")&amp;IF($F$43&lt;&gt;"","_"&amp;$F$43,""),'表3）燃料価格'!$AF$9:$AG$25,2,0)),0,VLOOKUP($I24,'表3）燃料価格'!$A$6:$U$66,VLOOKUP($F$3&amp;IF($G$4&lt;&gt;"",$G$4,"")&amp;IF($F$43&lt;&gt;"","_"&amp;$F$43,""),'表3）燃料価格'!$AF$9:$AG$25,2,0)+VLOOKUP($F$41,'表3）燃料価格'!$AF$28:$AG$29,2,0),0)*IF($F$43="需要地価格",1,$F$8/$F$141))),"")</f>
        <v>0</v>
      </c>
      <c r="AV24" s="10">
        <f t="shared" si="10"/>
        <v>0</v>
      </c>
      <c r="AW24" s="10">
        <f t="shared" si="26"/>
        <v>0</v>
      </c>
      <c r="AY24" s="7">
        <v>0</v>
      </c>
      <c r="BA24" s="11">
        <f t="shared" si="11"/>
        <v>0</v>
      </c>
      <c r="BB24" s="10">
        <f t="shared" si="27"/>
        <v>0</v>
      </c>
      <c r="BD24" s="10">
        <f t="shared" si="12"/>
        <v>0</v>
      </c>
      <c r="BE24" s="10">
        <f t="shared" si="28"/>
        <v>0</v>
      </c>
      <c r="BG24" s="11">
        <f t="shared" si="13"/>
        <v>0</v>
      </c>
      <c r="BH24" s="10">
        <f t="shared" si="29"/>
        <v>0</v>
      </c>
      <c r="BJ24" s="7" t="str">
        <f t="shared" si="30"/>
        <v/>
      </c>
      <c r="BK24" s="158" t="str">
        <f t="shared" si="31"/>
        <v/>
      </c>
      <c r="BL24" s="158" t="str">
        <f t="shared" si="14"/>
        <v/>
      </c>
      <c r="BM24" s="10"/>
      <c r="BN24" s="10" t="str">
        <f t="shared" si="32"/>
        <v/>
      </c>
      <c r="BO24" s="10" t="str">
        <f t="shared" si="33"/>
        <v/>
      </c>
      <c r="BQ24" s="10">
        <f t="shared" si="15"/>
        <v>7064064000</v>
      </c>
      <c r="BR24" s="10">
        <f t="shared" si="34"/>
        <v>5256327036.8410196</v>
      </c>
    </row>
    <row r="25" spans="3:70" x14ac:dyDescent="0.15">
      <c r="D25" s="81" t="s">
        <v>114</v>
      </c>
      <c r="E25" s="81"/>
      <c r="F25" s="66">
        <v>1.4</v>
      </c>
      <c r="G25" s="9" t="s">
        <v>172</v>
      </c>
      <c r="I25" s="38">
        <f t="shared" si="35"/>
        <v>2040</v>
      </c>
      <c r="J25" s="39"/>
      <c r="K25" s="39">
        <f t="shared" si="36"/>
        <v>11</v>
      </c>
      <c r="L25" s="39"/>
      <c r="M25" s="40">
        <f t="shared" si="0"/>
        <v>0.72242127659876232</v>
      </c>
      <c r="N25" s="39"/>
      <c r="O25" s="72">
        <f t="shared" si="37"/>
        <v>113146008169.44684</v>
      </c>
      <c r="P25" s="41">
        <f t="shared" si="1"/>
        <v>0.16700000000000001</v>
      </c>
      <c r="Q25" s="39"/>
      <c r="R25" s="72">
        <f t="shared" si="16"/>
        <v>146290043902.26749</v>
      </c>
      <c r="S25" s="39"/>
      <c r="T25" s="72">
        <f t="shared" si="17"/>
        <v>146290043000</v>
      </c>
      <c r="U25" s="39"/>
      <c r="V25" s="72">
        <f t="shared" si="2"/>
        <v>18895383364.297623</v>
      </c>
      <c r="W25" s="72">
        <f t="shared" si="18"/>
        <v>13650426971.858906</v>
      </c>
      <c r="X25" s="39"/>
      <c r="Y25" s="72">
        <f t="shared" si="3"/>
        <v>2048060600</v>
      </c>
      <c r="Z25" s="72">
        <f t="shared" si="19"/>
        <v>1479562553.2036271</v>
      </c>
      <c r="AA25" s="39"/>
      <c r="AB25" s="72">
        <f t="shared" si="4"/>
        <v>0</v>
      </c>
      <c r="AC25" s="72">
        <f t="shared" si="20"/>
        <v>0</v>
      </c>
      <c r="AD25" s="39"/>
      <c r="AE25" s="72">
        <f t="shared" si="5"/>
        <v>0</v>
      </c>
      <c r="AF25" s="72">
        <f t="shared" si="21"/>
        <v>0</v>
      </c>
      <c r="AG25" s="39"/>
      <c r="AH25" s="72">
        <f t="shared" si="6"/>
        <v>2220000000</v>
      </c>
      <c r="AI25" s="72">
        <f t="shared" si="22"/>
        <v>1603775234.0492523</v>
      </c>
      <c r="AJ25" s="39"/>
      <c r="AK25" s="72">
        <f t="shared" si="7"/>
        <v>11721100000</v>
      </c>
      <c r="AL25" s="72">
        <f t="shared" si="23"/>
        <v>8467572025.1417532</v>
      </c>
      <c r="AM25" s="39"/>
      <c r="AN25" s="72">
        <f t="shared" si="8"/>
        <v>9410000000</v>
      </c>
      <c r="AO25" s="72">
        <f t="shared" si="24"/>
        <v>6797984212.7943535</v>
      </c>
      <c r="AP25" s="39"/>
      <c r="AQ25" s="72">
        <f t="shared" si="9"/>
        <v>2988940800</v>
      </c>
      <c r="AR25" s="72">
        <f t="shared" si="25"/>
        <v>2159274428.4141259</v>
      </c>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0</v>
      </c>
      <c r="AU25" s="39"/>
      <c r="AV25" s="72">
        <f t="shared" si="10"/>
        <v>0</v>
      </c>
      <c r="AW25" s="72">
        <f t="shared" si="26"/>
        <v>0</v>
      </c>
      <c r="AX25" s="39"/>
      <c r="AY25" s="40">
        <v>0</v>
      </c>
      <c r="AZ25" s="39"/>
      <c r="BA25" s="42">
        <f t="shared" si="11"/>
        <v>0</v>
      </c>
      <c r="BB25" s="72">
        <f t="shared" si="27"/>
        <v>0</v>
      </c>
      <c r="BC25" s="39"/>
      <c r="BD25" s="72">
        <f t="shared" si="12"/>
        <v>0</v>
      </c>
      <c r="BE25" s="72">
        <f t="shared" si="28"/>
        <v>0</v>
      </c>
      <c r="BF25" s="39"/>
      <c r="BG25" s="42">
        <f t="shared" si="13"/>
        <v>0</v>
      </c>
      <c r="BH25" s="72">
        <f t="shared" si="29"/>
        <v>0</v>
      </c>
      <c r="BI25" s="39"/>
      <c r="BJ25" s="40" t="str">
        <f t="shared" si="30"/>
        <v/>
      </c>
      <c r="BK25" s="157" t="str">
        <f t="shared" si="31"/>
        <v/>
      </c>
      <c r="BL25" s="157" t="str">
        <f t="shared" si="14"/>
        <v/>
      </c>
      <c r="BM25" s="72"/>
      <c r="BN25" s="72" t="str">
        <f t="shared" si="32"/>
        <v/>
      </c>
      <c r="BO25" s="72" t="str">
        <f t="shared" si="33"/>
        <v/>
      </c>
      <c r="BP25" s="39"/>
      <c r="BQ25" s="72">
        <f t="shared" si="15"/>
        <v>7064064000</v>
      </c>
      <c r="BR25" s="72">
        <f t="shared" si="34"/>
        <v>5103230132.8553591</v>
      </c>
    </row>
    <row r="26" spans="3:70" x14ac:dyDescent="0.15">
      <c r="D26" s="81" t="s">
        <v>115</v>
      </c>
      <c r="E26" s="81"/>
      <c r="F26" s="59"/>
      <c r="G26" s="9" t="s">
        <v>175</v>
      </c>
      <c r="I26" s="322">
        <f t="shared" si="35"/>
        <v>2041</v>
      </c>
      <c r="K26" s="71">
        <f t="shared" si="36"/>
        <v>12</v>
      </c>
      <c r="M26" s="7">
        <f t="shared" si="0"/>
        <v>0.70137988019297326</v>
      </c>
      <c r="O26" s="10">
        <f t="shared" si="37"/>
        <v>94250624805.149216</v>
      </c>
      <c r="P26" s="29" t="str">
        <f t="shared" si="1"/>
        <v>-</v>
      </c>
      <c r="R26" s="10">
        <f t="shared" si="16"/>
        <v>126681958882.14131</v>
      </c>
      <c r="T26" s="10">
        <f t="shared" si="17"/>
        <v>126681958000</v>
      </c>
      <c r="V26" s="10">
        <f t="shared" si="2"/>
        <v>18895383364.297623</v>
      </c>
      <c r="W26" s="10">
        <f t="shared" si="18"/>
        <v>13252841720.251366</v>
      </c>
      <c r="Y26" s="10">
        <f t="shared" si="3"/>
        <v>1773547400</v>
      </c>
      <c r="Z26" s="10">
        <f t="shared" si="19"/>
        <v>1243930462.9285593</v>
      </c>
      <c r="AB26" s="10">
        <f t="shared" si="4"/>
        <v>0</v>
      </c>
      <c r="AC26" s="10">
        <f t="shared" si="20"/>
        <v>0</v>
      </c>
      <c r="AE26" s="10">
        <f t="shared" si="5"/>
        <v>0</v>
      </c>
      <c r="AF26" s="10">
        <f t="shared" si="21"/>
        <v>0</v>
      </c>
      <c r="AH26" s="10">
        <f t="shared" si="6"/>
        <v>2220000000</v>
      </c>
      <c r="AI26" s="10">
        <f t="shared" si="22"/>
        <v>1557063334.0284007</v>
      </c>
      <c r="AK26" s="10">
        <f t="shared" si="7"/>
        <v>11721100000</v>
      </c>
      <c r="AL26" s="10">
        <f t="shared" si="23"/>
        <v>8220943713.7298584</v>
      </c>
      <c r="AN26" s="10">
        <f t="shared" si="8"/>
        <v>9410000000</v>
      </c>
      <c r="AO26" s="10">
        <f t="shared" si="24"/>
        <v>6599984672.6158781</v>
      </c>
      <c r="AQ26" s="10">
        <f t="shared" si="9"/>
        <v>2988940800</v>
      </c>
      <c r="AR26" s="10">
        <f t="shared" si="25"/>
        <v>2096382940.2078896</v>
      </c>
      <c r="AT26" s="7">
        <f>IF($K26&lt;=$F$15,IF($F$40&lt;&gt;"",$F$40/1000,IF(ISERROR(VLOOKUP($F$3&amp;IF($G$4&lt;&gt;"",$G$4,"")&amp;IF($F$43&lt;&gt;"","_"&amp;$F$43,""),'表3）燃料価格'!$AF$9:$AG$25,2,0)),0,VLOOKUP($I26,'表3）燃料価格'!$A$6:$U$66,VLOOKUP($F$3&amp;IF($G$4&lt;&gt;"",$G$4,"")&amp;IF($F$43&lt;&gt;"","_"&amp;$F$43,""),'表3）燃料価格'!$AF$9:$AG$25,2,0)+VLOOKUP($F$41,'表3）燃料価格'!$AF$28:$AG$29,2,0),0)*IF($F$43="需要地価格",1,$F$8/$F$141))),"")</f>
        <v>0</v>
      </c>
      <c r="AV26" s="10">
        <f t="shared" si="10"/>
        <v>0</v>
      </c>
      <c r="AW26" s="10">
        <f t="shared" si="26"/>
        <v>0</v>
      </c>
      <c r="AY26" s="7">
        <v>0</v>
      </c>
      <c r="BA26" s="11">
        <f t="shared" si="11"/>
        <v>0</v>
      </c>
      <c r="BB26" s="10">
        <f t="shared" si="27"/>
        <v>0</v>
      </c>
      <c r="BD26" s="10">
        <f t="shared" si="12"/>
        <v>0</v>
      </c>
      <c r="BE26" s="10">
        <f t="shared" si="28"/>
        <v>0</v>
      </c>
      <c r="BG26" s="11">
        <f t="shared" si="13"/>
        <v>0</v>
      </c>
      <c r="BH26" s="10">
        <f t="shared" si="29"/>
        <v>0</v>
      </c>
      <c r="BJ26" s="7" t="str">
        <f t="shared" si="30"/>
        <v/>
      </c>
      <c r="BK26" s="158" t="str">
        <f t="shared" si="31"/>
        <v/>
      </c>
      <c r="BL26" s="158" t="str">
        <f t="shared" si="14"/>
        <v/>
      </c>
      <c r="BM26" s="10"/>
      <c r="BN26" s="10" t="str">
        <f t="shared" si="32"/>
        <v/>
      </c>
      <c r="BO26" s="10" t="str">
        <f t="shared" si="33"/>
        <v/>
      </c>
      <c r="BQ26" s="10">
        <f t="shared" si="15"/>
        <v>7064064000</v>
      </c>
      <c r="BR26" s="10">
        <f t="shared" si="34"/>
        <v>4954592361.9954958</v>
      </c>
    </row>
    <row r="27" spans="3:70" x14ac:dyDescent="0.15">
      <c r="D27" s="82" t="s">
        <v>86</v>
      </c>
      <c r="E27" s="81"/>
      <c r="F27" s="59">
        <v>750</v>
      </c>
      <c r="G27" s="9" t="s">
        <v>176</v>
      </c>
      <c r="I27" s="38">
        <f t="shared" si="35"/>
        <v>2042</v>
      </c>
      <c r="J27" s="39"/>
      <c r="K27" s="39">
        <f t="shared" si="36"/>
        <v>13</v>
      </c>
      <c r="L27" s="39"/>
      <c r="M27" s="40">
        <f t="shared" si="0"/>
        <v>0.68095133999317792</v>
      </c>
      <c r="N27" s="39"/>
      <c r="O27" s="72">
        <f t="shared" si="37"/>
        <v>75355241440.851593</v>
      </c>
      <c r="P27" s="41" t="str">
        <f t="shared" si="1"/>
        <v>-</v>
      </c>
      <c r="Q27" s="39"/>
      <c r="R27" s="72">
        <f t="shared" si="16"/>
        <v>109702056805.30112</v>
      </c>
      <c r="S27" s="39"/>
      <c r="T27" s="72">
        <f t="shared" si="17"/>
        <v>109702056000</v>
      </c>
      <c r="U27" s="39"/>
      <c r="V27" s="72">
        <f t="shared" si="2"/>
        <v>18895383364.297623</v>
      </c>
      <c r="W27" s="72">
        <f t="shared" si="18"/>
        <v>12866836621.603268</v>
      </c>
      <c r="X27" s="39"/>
      <c r="Y27" s="72">
        <f t="shared" si="3"/>
        <v>1535828700</v>
      </c>
      <c r="Z27" s="72">
        <f t="shared" si="19"/>
        <v>1045824611.2649804</v>
      </c>
      <c r="AA27" s="39"/>
      <c r="AB27" s="72">
        <f t="shared" si="4"/>
        <v>0</v>
      </c>
      <c r="AC27" s="72">
        <f t="shared" si="20"/>
        <v>0</v>
      </c>
      <c r="AD27" s="39"/>
      <c r="AE27" s="72">
        <f t="shared" si="5"/>
        <v>0</v>
      </c>
      <c r="AF27" s="72">
        <f t="shared" si="21"/>
        <v>0</v>
      </c>
      <c r="AG27" s="39"/>
      <c r="AH27" s="72">
        <f t="shared" si="6"/>
        <v>2220000000</v>
      </c>
      <c r="AI27" s="72">
        <f t="shared" si="22"/>
        <v>1511711974.7848549</v>
      </c>
      <c r="AJ27" s="39"/>
      <c r="AK27" s="72">
        <f t="shared" si="7"/>
        <v>11721100000</v>
      </c>
      <c r="AL27" s="72">
        <f t="shared" si="23"/>
        <v>7981498751.1940374</v>
      </c>
      <c r="AM27" s="39"/>
      <c r="AN27" s="72">
        <f t="shared" si="8"/>
        <v>9410000000</v>
      </c>
      <c r="AO27" s="72">
        <f t="shared" si="24"/>
        <v>6407752109.335804</v>
      </c>
      <c r="AP27" s="39"/>
      <c r="AQ27" s="72">
        <f t="shared" si="9"/>
        <v>2988940800</v>
      </c>
      <c r="AR27" s="72">
        <f t="shared" si="25"/>
        <v>2035323242.9202812</v>
      </c>
      <c r="AS27" s="39"/>
      <c r="AT27" s="40">
        <f>IF($K27&lt;=$F$15,IF($F$40&lt;&gt;"",$F$40/1000,IF(ISERROR(VLOOKUP($F$3&amp;IF($G$4&lt;&gt;"",$G$4,"")&amp;IF($F$43&lt;&gt;"","_"&amp;$F$43,""),'表3）燃料価格'!$AF$9:$AG$25,2,0)),0,VLOOKUP($I27,'表3）燃料価格'!$A$6:$U$66,VLOOKUP($F$3&amp;IF($G$4&lt;&gt;"",$G$4,"")&amp;IF($F$43&lt;&gt;"","_"&amp;$F$43,""),'表3）燃料価格'!$AF$9:$AG$25,2,0)+VLOOKUP($F$41,'表3）燃料価格'!$AF$28:$AG$29,2,0),0)*IF($F$43="需要地価格",1,$F$8/$F$141))),"")</f>
        <v>0</v>
      </c>
      <c r="AU27" s="39"/>
      <c r="AV27" s="72">
        <f t="shared" si="10"/>
        <v>0</v>
      </c>
      <c r="AW27" s="72">
        <f t="shared" si="26"/>
        <v>0</v>
      </c>
      <c r="AX27" s="39"/>
      <c r="AY27" s="40">
        <v>0</v>
      </c>
      <c r="AZ27" s="39"/>
      <c r="BA27" s="42">
        <f t="shared" si="11"/>
        <v>0</v>
      </c>
      <c r="BB27" s="72">
        <f t="shared" si="27"/>
        <v>0</v>
      </c>
      <c r="BC27" s="39"/>
      <c r="BD27" s="72">
        <f t="shared" si="12"/>
        <v>0</v>
      </c>
      <c r="BE27" s="72">
        <f t="shared" si="28"/>
        <v>0</v>
      </c>
      <c r="BF27" s="39"/>
      <c r="BG27" s="42">
        <f t="shared" si="13"/>
        <v>0</v>
      </c>
      <c r="BH27" s="72">
        <f t="shared" si="29"/>
        <v>0</v>
      </c>
      <c r="BI27" s="39"/>
      <c r="BJ27" s="40" t="str">
        <f t="shared" si="30"/>
        <v/>
      </c>
      <c r="BK27" s="157" t="str">
        <f t="shared" si="31"/>
        <v/>
      </c>
      <c r="BL27" s="157" t="str">
        <f t="shared" si="14"/>
        <v/>
      </c>
      <c r="BM27" s="72"/>
      <c r="BN27" s="72" t="str">
        <f t="shared" si="32"/>
        <v/>
      </c>
      <c r="BO27" s="72" t="str">
        <f t="shared" si="33"/>
        <v/>
      </c>
      <c r="BP27" s="39"/>
      <c r="BQ27" s="72">
        <f t="shared" si="15"/>
        <v>7064064000</v>
      </c>
      <c r="BR27" s="72">
        <f t="shared" si="34"/>
        <v>4810283846.5975685</v>
      </c>
    </row>
    <row r="28" spans="3:70" x14ac:dyDescent="0.15">
      <c r="D28" s="81" t="s">
        <v>116</v>
      </c>
      <c r="E28" s="81"/>
      <c r="F28" s="59">
        <v>10</v>
      </c>
      <c r="G28" s="9" t="s">
        <v>108</v>
      </c>
      <c r="I28" s="322">
        <f t="shared" si="35"/>
        <v>2043</v>
      </c>
      <c r="K28" s="71">
        <f t="shared" si="36"/>
        <v>14</v>
      </c>
      <c r="M28" s="7">
        <f t="shared" si="0"/>
        <v>0.66111780581861923</v>
      </c>
      <c r="O28" s="10">
        <f t="shared" si="37"/>
        <v>56459858076.55397</v>
      </c>
      <c r="P28" s="29" t="str">
        <f t="shared" si="1"/>
        <v>-</v>
      </c>
      <c r="R28" s="10">
        <f t="shared" si="16"/>
        <v>94998067392.610031</v>
      </c>
      <c r="T28" s="10">
        <f t="shared" si="17"/>
        <v>94998067000</v>
      </c>
      <c r="V28" s="10">
        <f t="shared" si="2"/>
        <v>18895383364.297623</v>
      </c>
      <c r="W28" s="10">
        <f t="shared" si="18"/>
        <v>12492074389.906084</v>
      </c>
      <c r="Y28" s="10">
        <f t="shared" si="3"/>
        <v>1329972900</v>
      </c>
      <c r="Z28" s="10">
        <f t="shared" si="19"/>
        <v>879268765.44622588</v>
      </c>
      <c r="AB28" s="10">
        <f t="shared" si="4"/>
        <v>0</v>
      </c>
      <c r="AC28" s="10">
        <f t="shared" si="20"/>
        <v>0</v>
      </c>
      <c r="AE28" s="10">
        <f t="shared" si="5"/>
        <v>0</v>
      </c>
      <c r="AF28" s="10">
        <f t="shared" si="21"/>
        <v>0</v>
      </c>
      <c r="AH28" s="10">
        <f t="shared" si="6"/>
        <v>2220000000</v>
      </c>
      <c r="AI28" s="10">
        <f t="shared" si="22"/>
        <v>1467681528.9173348</v>
      </c>
      <c r="AK28" s="10">
        <f t="shared" si="7"/>
        <v>11721100000</v>
      </c>
      <c r="AL28" s="10">
        <f t="shared" si="23"/>
        <v>7749027913.7806177</v>
      </c>
      <c r="AN28" s="10">
        <f t="shared" si="8"/>
        <v>9410000000</v>
      </c>
      <c r="AO28" s="10">
        <f t="shared" si="24"/>
        <v>6221118552.7532072</v>
      </c>
      <c r="AQ28" s="10">
        <f t="shared" si="9"/>
        <v>2988940800</v>
      </c>
      <c r="AR28" s="10">
        <f t="shared" si="25"/>
        <v>1976041983.4177485</v>
      </c>
      <c r="AT28" s="7">
        <f>IF($K28&lt;=$F$15,IF($F$40&lt;&gt;"",$F$40/1000,IF(ISERROR(VLOOKUP($F$3&amp;IF($G$4&lt;&gt;"",$G$4,"")&amp;IF($F$43&lt;&gt;"","_"&amp;$F$43,""),'表3）燃料価格'!$AF$9:$AG$25,2,0)),0,VLOOKUP($I28,'表3）燃料価格'!$A$6:$U$66,VLOOKUP($F$3&amp;IF($G$4&lt;&gt;"",$G$4,"")&amp;IF($F$43&lt;&gt;"","_"&amp;$F$43,""),'表3）燃料価格'!$AF$9:$AG$25,2,0)+VLOOKUP($F$41,'表3）燃料価格'!$AF$28:$AG$29,2,0),0)*IF($F$43="需要地価格",1,$F$8/$F$141))),"")</f>
        <v>0</v>
      </c>
      <c r="AV28" s="10">
        <f t="shared" si="10"/>
        <v>0</v>
      </c>
      <c r="AW28" s="10">
        <f t="shared" si="26"/>
        <v>0</v>
      </c>
      <c r="AY28" s="7">
        <v>0</v>
      </c>
      <c r="BA28" s="11">
        <f t="shared" si="11"/>
        <v>0</v>
      </c>
      <c r="BB28" s="10">
        <f t="shared" si="27"/>
        <v>0</v>
      </c>
      <c r="BD28" s="10">
        <f t="shared" si="12"/>
        <v>0</v>
      </c>
      <c r="BE28" s="10">
        <f t="shared" si="28"/>
        <v>0</v>
      </c>
      <c r="BG28" s="11">
        <f t="shared" si="13"/>
        <v>0</v>
      </c>
      <c r="BH28" s="10">
        <f t="shared" si="29"/>
        <v>0</v>
      </c>
      <c r="BJ28" s="7" t="str">
        <f t="shared" si="30"/>
        <v/>
      </c>
      <c r="BK28" s="158" t="str">
        <f t="shared" si="31"/>
        <v/>
      </c>
      <c r="BL28" s="158" t="str">
        <f t="shared" si="14"/>
        <v/>
      </c>
      <c r="BM28" s="10"/>
      <c r="BN28" s="10" t="str">
        <f t="shared" si="32"/>
        <v/>
      </c>
      <c r="BO28" s="10" t="str">
        <f t="shared" si="33"/>
        <v/>
      </c>
      <c r="BQ28" s="10">
        <f t="shared" si="15"/>
        <v>7064064000</v>
      </c>
      <c r="BR28" s="10">
        <f t="shared" si="34"/>
        <v>4670178491.8422985</v>
      </c>
    </row>
    <row r="29" spans="3:70" x14ac:dyDescent="0.15">
      <c r="D29" s="81" t="s">
        <v>117</v>
      </c>
      <c r="E29" s="81"/>
      <c r="F29" s="59">
        <v>1369</v>
      </c>
      <c r="G29" s="9" t="s">
        <v>176</v>
      </c>
      <c r="I29" s="38">
        <f t="shared" si="35"/>
        <v>2044</v>
      </c>
      <c r="J29" s="39"/>
      <c r="K29" s="39">
        <f t="shared" si="36"/>
        <v>15</v>
      </c>
      <c r="L29" s="39"/>
      <c r="M29" s="40">
        <f t="shared" si="0"/>
        <v>0.64186194739671765</v>
      </c>
      <c r="N29" s="39"/>
      <c r="O29" s="72">
        <f t="shared" si="37"/>
        <v>37564474712.256348</v>
      </c>
      <c r="P29" s="41" t="str">
        <f t="shared" si="1"/>
        <v>-</v>
      </c>
      <c r="Q29" s="39"/>
      <c r="R29" s="72">
        <f t="shared" si="16"/>
        <v>82264937150.155426</v>
      </c>
      <c r="S29" s="39"/>
      <c r="T29" s="72">
        <f t="shared" si="17"/>
        <v>82264937000</v>
      </c>
      <c r="U29" s="39"/>
      <c r="V29" s="72">
        <f t="shared" si="2"/>
        <v>18895383364.297623</v>
      </c>
      <c r="W29" s="72">
        <f t="shared" si="18"/>
        <v>12128227563.015614</v>
      </c>
      <c r="X29" s="39"/>
      <c r="Y29" s="72">
        <f t="shared" si="3"/>
        <v>1151709100</v>
      </c>
      <c r="Z29" s="72">
        <f t="shared" si="19"/>
        <v>739238245.76052105</v>
      </c>
      <c r="AA29" s="39"/>
      <c r="AB29" s="72">
        <f t="shared" si="4"/>
        <v>0</v>
      </c>
      <c r="AC29" s="72">
        <f t="shared" si="20"/>
        <v>0</v>
      </c>
      <c r="AD29" s="39"/>
      <c r="AE29" s="72">
        <f t="shared" si="5"/>
        <v>0</v>
      </c>
      <c r="AF29" s="72">
        <f t="shared" si="21"/>
        <v>0</v>
      </c>
      <c r="AG29" s="39"/>
      <c r="AH29" s="72">
        <f t="shared" si="6"/>
        <v>2220000000</v>
      </c>
      <c r="AI29" s="72">
        <f t="shared" si="22"/>
        <v>1424933523.2207131</v>
      </c>
      <c r="AJ29" s="39"/>
      <c r="AK29" s="72">
        <f t="shared" si="7"/>
        <v>11721100000</v>
      </c>
      <c r="AL29" s="72">
        <f t="shared" si="23"/>
        <v>7523328071.6316671</v>
      </c>
      <c r="AM29" s="39"/>
      <c r="AN29" s="72">
        <f t="shared" si="8"/>
        <v>9410000000</v>
      </c>
      <c r="AO29" s="72">
        <f t="shared" si="24"/>
        <v>6039920925.0031128</v>
      </c>
      <c r="AP29" s="39"/>
      <c r="AQ29" s="72">
        <f t="shared" si="9"/>
        <v>2988940800</v>
      </c>
      <c r="AR29" s="72">
        <f t="shared" si="25"/>
        <v>1918487362.5415032</v>
      </c>
      <c r="AS29" s="39"/>
      <c r="AT29" s="40">
        <f>IF($K29&lt;=$F$15,IF($F$40&lt;&gt;"",$F$40/1000,IF(ISERROR(VLOOKUP($F$3&amp;IF($G$4&lt;&gt;"",$G$4,"")&amp;IF($F$43&lt;&gt;"","_"&amp;$F$43,""),'表3）燃料価格'!$AF$9:$AG$25,2,0)),0,VLOOKUP($I29,'表3）燃料価格'!$A$6:$U$66,VLOOKUP($F$3&amp;IF($G$4&lt;&gt;"",$G$4,"")&amp;IF($F$43&lt;&gt;"","_"&amp;$F$43,""),'表3）燃料価格'!$AF$9:$AG$25,2,0)+VLOOKUP($F$41,'表3）燃料価格'!$AF$28:$AG$29,2,0),0)*IF($F$43="需要地価格",1,$F$8/$F$141))),"")</f>
        <v>0</v>
      </c>
      <c r="AU29" s="39"/>
      <c r="AV29" s="72">
        <f t="shared" si="10"/>
        <v>0</v>
      </c>
      <c r="AW29" s="72">
        <f t="shared" si="26"/>
        <v>0</v>
      </c>
      <c r="AX29" s="39"/>
      <c r="AY29" s="40">
        <v>0</v>
      </c>
      <c r="AZ29" s="39"/>
      <c r="BA29" s="42">
        <f t="shared" si="11"/>
        <v>0</v>
      </c>
      <c r="BB29" s="72">
        <f t="shared" si="27"/>
        <v>0</v>
      </c>
      <c r="BC29" s="39"/>
      <c r="BD29" s="72">
        <f t="shared" si="12"/>
        <v>0</v>
      </c>
      <c r="BE29" s="72">
        <f t="shared" si="28"/>
        <v>0</v>
      </c>
      <c r="BF29" s="39"/>
      <c r="BG29" s="42">
        <f t="shared" si="13"/>
        <v>0</v>
      </c>
      <c r="BH29" s="72">
        <f t="shared" si="29"/>
        <v>0</v>
      </c>
      <c r="BI29" s="39"/>
      <c r="BJ29" s="40" t="str">
        <f t="shared" si="30"/>
        <v/>
      </c>
      <c r="BK29" s="157" t="str">
        <f t="shared" si="31"/>
        <v/>
      </c>
      <c r="BL29" s="157" t="str">
        <f t="shared" si="14"/>
        <v/>
      </c>
      <c r="BM29" s="72"/>
      <c r="BN29" s="72" t="str">
        <f t="shared" si="32"/>
        <v/>
      </c>
      <c r="BO29" s="72" t="str">
        <f t="shared" si="33"/>
        <v/>
      </c>
      <c r="BP29" s="39"/>
      <c r="BQ29" s="72">
        <f t="shared" si="15"/>
        <v>7064064000</v>
      </c>
      <c r="BR29" s="72">
        <f t="shared" si="34"/>
        <v>4534153875.5750465</v>
      </c>
    </row>
    <row r="30" spans="3:70" x14ac:dyDescent="0.15">
      <c r="D30" s="81"/>
      <c r="E30" s="81"/>
      <c r="I30" s="322">
        <f t="shared" si="35"/>
        <v>2045</v>
      </c>
      <c r="K30" s="71">
        <f t="shared" si="36"/>
        <v>16</v>
      </c>
      <c r="M30" s="7">
        <f t="shared" si="0"/>
        <v>0.62316693922011435</v>
      </c>
      <c r="O30" s="10">
        <f t="shared" si="37"/>
        <v>18669091347.958725</v>
      </c>
      <c r="P30" s="29" t="str">
        <f t="shared" si="1"/>
        <v>-</v>
      </c>
      <c r="R30" s="10">
        <f t="shared" si="16"/>
        <v>71238500635.492645</v>
      </c>
      <c r="T30" s="10">
        <f t="shared" si="17"/>
        <v>71238500000</v>
      </c>
      <c r="V30" s="10">
        <f t="shared" si="2"/>
        <v>18669091347.958725</v>
      </c>
      <c r="W30" s="10">
        <f t="shared" si="18"/>
        <v>11633960513.328157</v>
      </c>
      <c r="Y30" s="10">
        <f t="shared" si="3"/>
        <v>997339000</v>
      </c>
      <c r="Z30" s="10">
        <f t="shared" si="19"/>
        <v>621508691.99484956</v>
      </c>
      <c r="AB30" s="10">
        <f t="shared" si="4"/>
        <v>0</v>
      </c>
      <c r="AC30" s="10">
        <f t="shared" si="20"/>
        <v>0</v>
      </c>
      <c r="AE30" s="10">
        <f t="shared" si="5"/>
        <v>0</v>
      </c>
      <c r="AF30" s="10">
        <f t="shared" si="21"/>
        <v>0</v>
      </c>
      <c r="AH30" s="10">
        <f t="shared" si="6"/>
        <v>2220000000</v>
      </c>
      <c r="AI30" s="10">
        <f t="shared" si="22"/>
        <v>1383430605.0686538</v>
      </c>
      <c r="AK30" s="10">
        <f t="shared" si="7"/>
        <v>11721100000</v>
      </c>
      <c r="AL30" s="10">
        <f t="shared" si="23"/>
        <v>7304202011.292882</v>
      </c>
      <c r="AN30" s="10">
        <f t="shared" si="8"/>
        <v>9410000000</v>
      </c>
      <c r="AO30" s="10">
        <f t="shared" si="24"/>
        <v>5864000898.0612764</v>
      </c>
      <c r="AQ30" s="10">
        <f t="shared" si="9"/>
        <v>2988940800</v>
      </c>
      <c r="AR30" s="10">
        <f t="shared" si="25"/>
        <v>1862609089.8461199</v>
      </c>
      <c r="AT30" s="7">
        <f>IF($K30&lt;=$F$15,IF($F$40&lt;&gt;"",$F$40/1000,IF(ISERROR(VLOOKUP($F$3&amp;IF($G$4&lt;&gt;"",$G$4,"")&amp;IF($F$43&lt;&gt;"","_"&amp;$F$43,""),'表3）燃料価格'!$AF$9:$AG$25,2,0)),0,VLOOKUP($I30,'表3）燃料価格'!$A$6:$U$66,VLOOKUP($F$3&amp;IF($G$4&lt;&gt;"",$G$4,"")&amp;IF($F$43&lt;&gt;"","_"&amp;$F$43,""),'表3）燃料価格'!$AF$9:$AG$25,2,0)+VLOOKUP($F$41,'表3）燃料価格'!$AF$28:$AG$29,2,0),0)*IF($F$43="需要地価格",1,$F$8/$F$141))),"")</f>
        <v>0</v>
      </c>
      <c r="AV30" s="10">
        <f t="shared" si="10"/>
        <v>0</v>
      </c>
      <c r="AW30" s="10">
        <f t="shared" si="26"/>
        <v>0</v>
      </c>
      <c r="AY30" s="7">
        <v>0</v>
      </c>
      <c r="BA30" s="11">
        <f t="shared" si="11"/>
        <v>0</v>
      </c>
      <c r="BB30" s="10">
        <f t="shared" si="27"/>
        <v>0</v>
      </c>
      <c r="BD30" s="10">
        <f t="shared" si="12"/>
        <v>0</v>
      </c>
      <c r="BE30" s="10">
        <f t="shared" si="28"/>
        <v>0</v>
      </c>
      <c r="BG30" s="11">
        <f t="shared" si="13"/>
        <v>0</v>
      </c>
      <c r="BH30" s="10">
        <f t="shared" si="29"/>
        <v>0</v>
      </c>
      <c r="BJ30" s="7" t="str">
        <f t="shared" si="30"/>
        <v/>
      </c>
      <c r="BK30" s="158" t="str">
        <f t="shared" si="31"/>
        <v/>
      </c>
      <c r="BL30" s="158" t="str">
        <f t="shared" si="14"/>
        <v/>
      </c>
      <c r="BM30" s="10"/>
      <c r="BN30" s="10" t="str">
        <f t="shared" si="32"/>
        <v/>
      </c>
      <c r="BO30" s="10" t="str">
        <f t="shared" si="33"/>
        <v/>
      </c>
      <c r="BQ30" s="10">
        <f t="shared" si="15"/>
        <v>7064064000</v>
      </c>
      <c r="BR30" s="10">
        <f t="shared" si="34"/>
        <v>4402091141.3349981</v>
      </c>
    </row>
    <row r="31" spans="3:70" x14ac:dyDescent="0.15">
      <c r="C31" s="89" t="s">
        <v>507</v>
      </c>
      <c r="D31" s="101"/>
      <c r="E31" s="101"/>
      <c r="F31" s="89"/>
      <c r="G31" s="89"/>
      <c r="I31" s="38">
        <f t="shared" si="35"/>
        <v>2046</v>
      </c>
      <c r="J31" s="39"/>
      <c r="K31" s="39">
        <f t="shared" si="36"/>
        <v>17</v>
      </c>
      <c r="L31" s="39"/>
      <c r="M31" s="40">
        <f t="shared" si="0"/>
        <v>0.60501644584477121</v>
      </c>
      <c r="N31" s="39"/>
      <c r="O31" s="72">
        <f t="shared" si="37"/>
        <v>0</v>
      </c>
      <c r="P31" s="41" t="str">
        <f t="shared" si="1"/>
        <v>-</v>
      </c>
      <c r="Q31" s="39"/>
      <c r="R31" s="72">
        <f t="shared" si="16"/>
        <v>61689999999.999977</v>
      </c>
      <c r="S31" s="39"/>
      <c r="T31" s="72">
        <f t="shared" si="17"/>
        <v>61690000000</v>
      </c>
      <c r="U31" s="39"/>
      <c r="V31" s="72">
        <f t="shared" si="2"/>
        <v>0</v>
      </c>
      <c r="W31" s="72">
        <f t="shared" si="18"/>
        <v>0</v>
      </c>
      <c r="X31" s="39"/>
      <c r="Y31" s="72">
        <f t="shared" si="3"/>
        <v>863660000</v>
      </c>
      <c r="Z31" s="72">
        <f>IF(ISNUMBER(Y31),Y31*$M31,"")</f>
        <v>522528503.61829513</v>
      </c>
      <c r="AA31" s="39"/>
      <c r="AB31" s="72">
        <f t="shared" si="4"/>
        <v>0</v>
      </c>
      <c r="AC31" s="72">
        <f t="shared" si="20"/>
        <v>0</v>
      </c>
      <c r="AD31" s="39"/>
      <c r="AE31" s="72">
        <f t="shared" si="5"/>
        <v>0</v>
      </c>
      <c r="AF31" s="72">
        <f t="shared" si="21"/>
        <v>0</v>
      </c>
      <c r="AG31" s="39"/>
      <c r="AH31" s="72">
        <f t="shared" si="6"/>
        <v>2220000000</v>
      </c>
      <c r="AI31" s="72">
        <f t="shared" si="22"/>
        <v>1343136509.7753921</v>
      </c>
      <c r="AJ31" s="39"/>
      <c r="AK31" s="72">
        <f t="shared" si="7"/>
        <v>11721100000</v>
      </c>
      <c r="AL31" s="72">
        <f t="shared" si="23"/>
        <v>7091458263.3911476</v>
      </c>
      <c r="AM31" s="39"/>
      <c r="AN31" s="72">
        <f t="shared" si="8"/>
        <v>9410000000</v>
      </c>
      <c r="AO31" s="72">
        <f t="shared" si="24"/>
        <v>5693204755.3992968</v>
      </c>
      <c r="AP31" s="39"/>
      <c r="AQ31" s="72">
        <f t="shared" si="9"/>
        <v>2988940800</v>
      </c>
      <c r="AR31" s="72">
        <f t="shared" si="25"/>
        <v>1808358339.6564271</v>
      </c>
      <c r="AS31" s="39"/>
      <c r="AT31" s="40">
        <f>IF($K31&lt;=$F$15,IF($F$40&lt;&gt;"",$F$40/1000,IF(ISERROR(VLOOKUP($F$3&amp;IF($G$4&lt;&gt;"",$G$4,"")&amp;IF($F$43&lt;&gt;"","_"&amp;$F$43,""),'表3）燃料価格'!$AF$9:$AG$25,2,0)),0,VLOOKUP($I31,'表3）燃料価格'!$A$6:$U$66,VLOOKUP($F$3&amp;IF($G$4&lt;&gt;"",$G$4,"")&amp;IF($F$43&lt;&gt;"","_"&amp;$F$43,""),'表3）燃料価格'!$AF$9:$AG$25,2,0)+VLOOKUP($F$41,'表3）燃料価格'!$AF$28:$AG$29,2,0),0)*IF($F$43="需要地価格",1,$F$8/$F$141))),"")</f>
        <v>0</v>
      </c>
      <c r="AU31" s="39"/>
      <c r="AV31" s="72">
        <f t="shared" si="10"/>
        <v>0</v>
      </c>
      <c r="AW31" s="72">
        <f t="shared" si="26"/>
        <v>0</v>
      </c>
      <c r="AX31" s="39"/>
      <c r="AY31" s="40">
        <v>0</v>
      </c>
      <c r="AZ31" s="39"/>
      <c r="BA31" s="42">
        <f t="shared" si="11"/>
        <v>0</v>
      </c>
      <c r="BB31" s="72">
        <f t="shared" si="27"/>
        <v>0</v>
      </c>
      <c r="BC31" s="39"/>
      <c r="BD31" s="72">
        <f t="shared" si="12"/>
        <v>0</v>
      </c>
      <c r="BE31" s="72">
        <f t="shared" si="28"/>
        <v>0</v>
      </c>
      <c r="BF31" s="39"/>
      <c r="BG31" s="42">
        <f t="shared" si="13"/>
        <v>0</v>
      </c>
      <c r="BH31" s="72">
        <f t="shared" si="29"/>
        <v>0</v>
      </c>
      <c r="BI31" s="39"/>
      <c r="BJ31" s="40" t="str">
        <f t="shared" si="30"/>
        <v/>
      </c>
      <c r="BK31" s="157" t="str">
        <f t="shared" si="31"/>
        <v/>
      </c>
      <c r="BL31" s="157" t="str">
        <f t="shared" si="14"/>
        <v/>
      </c>
      <c r="BM31" s="72"/>
      <c r="BN31" s="72" t="str">
        <f t="shared" si="32"/>
        <v/>
      </c>
      <c r="BO31" s="72" t="str">
        <f t="shared" si="33"/>
        <v/>
      </c>
      <c r="BP31" s="39"/>
      <c r="BQ31" s="72">
        <f t="shared" si="15"/>
        <v>7064064000</v>
      </c>
      <c r="BR31" s="72">
        <f t="shared" si="34"/>
        <v>4273874894.4999981</v>
      </c>
    </row>
    <row r="32" spans="3:70" x14ac:dyDescent="0.15">
      <c r="I32" s="322">
        <f t="shared" si="35"/>
        <v>2047</v>
      </c>
      <c r="K32" s="71">
        <f t="shared" si="36"/>
        <v>18</v>
      </c>
      <c r="M32" s="7">
        <f t="shared" si="0"/>
        <v>0.5873946076162827</v>
      </c>
      <c r="O32" s="10">
        <f t="shared" si="37"/>
        <v>0</v>
      </c>
      <c r="P32" s="29" t="str">
        <f t="shared" si="1"/>
        <v>-</v>
      </c>
      <c r="R32" s="10">
        <f t="shared" si="16"/>
        <v>53421339108.082413</v>
      </c>
      <c r="T32" s="10">
        <f t="shared" si="17"/>
        <v>53421339000</v>
      </c>
      <c r="V32" s="10">
        <f t="shared" si="2"/>
        <v>0</v>
      </c>
      <c r="W32" s="10">
        <f t="shared" si="18"/>
        <v>0</v>
      </c>
      <c r="Y32" s="10">
        <f t="shared" si="3"/>
        <v>747898700</v>
      </c>
      <c r="Z32" s="10">
        <f t="shared" si="19"/>
        <v>439311663.42322791</v>
      </c>
      <c r="AB32" s="10">
        <f t="shared" si="4"/>
        <v>0</v>
      </c>
      <c r="AC32" s="10">
        <f t="shared" si="20"/>
        <v>0</v>
      </c>
      <c r="AE32" s="10">
        <f t="shared" si="5"/>
        <v>0</v>
      </c>
      <c r="AF32" s="10">
        <f t="shared" si="21"/>
        <v>0</v>
      </c>
      <c r="AH32" s="10">
        <f t="shared" si="6"/>
        <v>2220000000</v>
      </c>
      <c r="AI32" s="10">
        <f t="shared" si="22"/>
        <v>1304016028.9081476</v>
      </c>
      <c r="AK32" s="10">
        <f t="shared" si="7"/>
        <v>11721100000</v>
      </c>
      <c r="AL32" s="10">
        <f t="shared" si="23"/>
        <v>6884910935.3312111</v>
      </c>
      <c r="AN32" s="10">
        <f t="shared" si="8"/>
        <v>9410000000</v>
      </c>
      <c r="AO32" s="10">
        <f t="shared" si="24"/>
        <v>5527383257.66922</v>
      </c>
      <c r="AQ32" s="10">
        <f t="shared" si="9"/>
        <v>2988940800</v>
      </c>
      <c r="AR32" s="10">
        <f t="shared" si="25"/>
        <v>1755687708.4042981</v>
      </c>
      <c r="AT32" s="7">
        <f>IF($K32&lt;=$F$15,IF($F$40&lt;&gt;"",$F$40/1000,IF(ISERROR(VLOOKUP($F$3&amp;IF($G$4&lt;&gt;"",$G$4,"")&amp;IF($F$43&lt;&gt;"","_"&amp;$F$43,""),'表3）燃料価格'!$AF$9:$AG$25,2,0)),0,VLOOKUP($I32,'表3）燃料価格'!$A$6:$U$66,VLOOKUP($F$3&amp;IF($G$4&lt;&gt;"",$G$4,"")&amp;IF($F$43&lt;&gt;"","_"&amp;$F$43,""),'表3）燃料価格'!$AF$9:$AG$25,2,0)+VLOOKUP($F$41,'表3）燃料価格'!$AF$28:$AG$29,2,0),0)*IF($F$43="需要地価格",1,$F$8/$F$141))),"")</f>
        <v>0</v>
      </c>
      <c r="AV32" s="10">
        <f t="shared" si="10"/>
        <v>0</v>
      </c>
      <c r="AW32" s="10">
        <f t="shared" si="26"/>
        <v>0</v>
      </c>
      <c r="AY32" s="7">
        <v>0</v>
      </c>
      <c r="BA32" s="11">
        <f t="shared" si="11"/>
        <v>0</v>
      </c>
      <c r="BB32" s="10">
        <f t="shared" si="27"/>
        <v>0</v>
      </c>
      <c r="BD32" s="10">
        <f t="shared" si="12"/>
        <v>0</v>
      </c>
      <c r="BE32" s="10">
        <f t="shared" si="28"/>
        <v>0</v>
      </c>
      <c r="BG32" s="11">
        <f t="shared" si="13"/>
        <v>0</v>
      </c>
      <c r="BH32" s="10">
        <f t="shared" si="29"/>
        <v>0</v>
      </c>
      <c r="BJ32" s="7" t="str">
        <f t="shared" si="30"/>
        <v/>
      </c>
      <c r="BK32" s="158" t="str">
        <f t="shared" si="31"/>
        <v/>
      </c>
      <c r="BL32" s="158" t="str">
        <f t="shared" si="14"/>
        <v/>
      </c>
      <c r="BM32" s="10"/>
      <c r="BN32" s="10" t="str">
        <f t="shared" si="32"/>
        <v/>
      </c>
      <c r="BO32" s="10" t="str">
        <f t="shared" si="33"/>
        <v/>
      </c>
      <c r="BQ32" s="10">
        <f t="shared" si="15"/>
        <v>7064064000</v>
      </c>
      <c r="BR32" s="10">
        <f t="shared" si="34"/>
        <v>4149393101.4563084</v>
      </c>
    </row>
    <row r="33" spans="3:70" x14ac:dyDescent="0.15">
      <c r="D33" s="9" t="s">
        <v>88</v>
      </c>
      <c r="F33" s="66">
        <v>22.2</v>
      </c>
      <c r="G33" s="81" t="s">
        <v>119</v>
      </c>
      <c r="I33" s="38">
        <f t="shared" si="35"/>
        <v>2048</v>
      </c>
      <c r="J33" s="39"/>
      <c r="K33" s="39">
        <f t="shared" si="36"/>
        <v>19</v>
      </c>
      <c r="L33" s="39"/>
      <c r="M33" s="40">
        <f t="shared" si="0"/>
        <v>0.57028602681192497</v>
      </c>
      <c r="N33" s="39"/>
      <c r="O33" s="72">
        <f t="shared" si="37"/>
        <v>0</v>
      </c>
      <c r="P33" s="41" t="str">
        <f t="shared" si="1"/>
        <v>-</v>
      </c>
      <c r="Q33" s="39"/>
      <c r="R33" s="72">
        <f t="shared" si="16"/>
        <v>46260973773.719185</v>
      </c>
      <c r="S33" s="39"/>
      <c r="T33" s="72">
        <f t="shared" si="17"/>
        <v>46260973000</v>
      </c>
      <c r="U33" s="39"/>
      <c r="V33" s="72">
        <f t="shared" si="2"/>
        <v>0</v>
      </c>
      <c r="W33" s="72">
        <f t="shared" si="18"/>
        <v>0</v>
      </c>
      <c r="X33" s="39"/>
      <c r="Y33" s="72">
        <f t="shared" si="3"/>
        <v>647653600</v>
      </c>
      <c r="Z33" s="72">
        <f t="shared" si="19"/>
        <v>369347798.29443973</v>
      </c>
      <c r="AA33" s="39"/>
      <c r="AB33" s="72">
        <f t="shared" si="4"/>
        <v>0</v>
      </c>
      <c r="AC33" s="72">
        <f t="shared" si="20"/>
        <v>0</v>
      </c>
      <c r="AD33" s="39"/>
      <c r="AE33" s="72">
        <f t="shared" si="5"/>
        <v>0</v>
      </c>
      <c r="AF33" s="72">
        <f t="shared" si="21"/>
        <v>0</v>
      </c>
      <c r="AG33" s="39"/>
      <c r="AH33" s="72">
        <f t="shared" si="6"/>
        <v>2220000000</v>
      </c>
      <c r="AI33" s="72">
        <f t="shared" si="22"/>
        <v>1266034979.5224733</v>
      </c>
      <c r="AJ33" s="39"/>
      <c r="AK33" s="72">
        <f t="shared" si="7"/>
        <v>11721100000</v>
      </c>
      <c r="AL33" s="72">
        <f t="shared" si="23"/>
        <v>6684379548.8652534</v>
      </c>
      <c r="AM33" s="39"/>
      <c r="AN33" s="72">
        <f t="shared" si="8"/>
        <v>9410000000</v>
      </c>
      <c r="AO33" s="72">
        <f t="shared" si="24"/>
        <v>5366391512.3002138</v>
      </c>
      <c r="AP33" s="39"/>
      <c r="AQ33" s="72">
        <f t="shared" si="9"/>
        <v>2988940800</v>
      </c>
      <c r="AR33" s="72">
        <f t="shared" si="25"/>
        <v>1704551173.2080564</v>
      </c>
      <c r="AS33" s="39"/>
      <c r="AT33" s="40">
        <f>IF($K33&lt;=$F$15,IF($F$40&lt;&gt;"",$F$40/1000,IF(ISERROR(VLOOKUP($F$3&amp;IF($G$4&lt;&gt;"",$G$4,"")&amp;IF($F$43&lt;&gt;"","_"&amp;$F$43,""),'表3）燃料価格'!$AF$9:$AG$25,2,0)),0,VLOOKUP($I33,'表3）燃料価格'!$A$6:$U$66,VLOOKUP($F$3&amp;IF($G$4&lt;&gt;"",$G$4,"")&amp;IF($F$43&lt;&gt;"","_"&amp;$F$43,""),'表3）燃料価格'!$AF$9:$AG$25,2,0)+VLOOKUP($F$41,'表3）燃料価格'!$AF$28:$AG$29,2,0),0)*IF($F$43="需要地価格",1,$F$8/$F$141))),"")</f>
        <v>0</v>
      </c>
      <c r="AU33" s="39"/>
      <c r="AV33" s="72">
        <f t="shared" si="10"/>
        <v>0</v>
      </c>
      <c r="AW33" s="72">
        <f t="shared" si="26"/>
        <v>0</v>
      </c>
      <c r="AX33" s="39"/>
      <c r="AY33" s="40">
        <v>0</v>
      </c>
      <c r="AZ33" s="39"/>
      <c r="BA33" s="42">
        <f t="shared" si="11"/>
        <v>0</v>
      </c>
      <c r="BB33" s="72">
        <f t="shared" si="27"/>
        <v>0</v>
      </c>
      <c r="BC33" s="39"/>
      <c r="BD33" s="72">
        <f t="shared" si="12"/>
        <v>0</v>
      </c>
      <c r="BE33" s="72">
        <f t="shared" si="28"/>
        <v>0</v>
      </c>
      <c r="BF33" s="39"/>
      <c r="BG33" s="42">
        <f t="shared" si="13"/>
        <v>0</v>
      </c>
      <c r="BH33" s="72">
        <f t="shared" si="29"/>
        <v>0</v>
      </c>
      <c r="BI33" s="39"/>
      <c r="BJ33" s="40" t="str">
        <f t="shared" si="30"/>
        <v/>
      </c>
      <c r="BK33" s="157" t="str">
        <f t="shared" si="31"/>
        <v/>
      </c>
      <c r="BL33" s="157" t="str">
        <f t="shared" si="14"/>
        <v/>
      </c>
      <c r="BM33" s="72"/>
      <c r="BN33" s="72" t="str">
        <f t="shared" si="32"/>
        <v/>
      </c>
      <c r="BO33" s="72" t="str">
        <f t="shared" si="33"/>
        <v/>
      </c>
      <c r="BP33" s="39"/>
      <c r="BQ33" s="72">
        <f t="shared" si="15"/>
        <v>7064064000</v>
      </c>
      <c r="BR33" s="72">
        <f t="shared" si="34"/>
        <v>4028536991.7051539</v>
      </c>
    </row>
    <row r="34" spans="3:70" x14ac:dyDescent="0.15">
      <c r="D34" s="9" t="s">
        <v>120</v>
      </c>
      <c r="F34" s="66">
        <v>1.9</v>
      </c>
      <c r="G34" s="81" t="s">
        <v>121</v>
      </c>
      <c r="I34" s="322">
        <f t="shared" si="35"/>
        <v>2049</v>
      </c>
      <c r="K34" s="71">
        <f t="shared" si="36"/>
        <v>20</v>
      </c>
      <c r="M34" s="7">
        <f t="shared" si="0"/>
        <v>0.55367575418633497</v>
      </c>
      <c r="O34" s="10">
        <f t="shared" si="37"/>
        <v>0</v>
      </c>
      <c r="P34" s="29" t="str">
        <f t="shared" si="1"/>
        <v>-</v>
      </c>
      <c r="R34" s="10">
        <f t="shared" si="16"/>
        <v>40060352851.936462</v>
      </c>
      <c r="T34" s="10">
        <f t="shared" si="17"/>
        <v>40060352000</v>
      </c>
      <c r="V34" s="10">
        <f t="shared" si="2"/>
        <v>0</v>
      </c>
      <c r="W34" s="10">
        <f t="shared" si="18"/>
        <v>0</v>
      </c>
      <c r="Y34" s="10">
        <f t="shared" si="3"/>
        <v>560844900</v>
      </c>
      <c r="Z34" s="10">
        <f t="shared" si="19"/>
        <v>310526222.98905963</v>
      </c>
      <c r="AB34" s="10">
        <f t="shared" si="4"/>
        <v>0</v>
      </c>
      <c r="AC34" s="10">
        <f t="shared" si="20"/>
        <v>0</v>
      </c>
      <c r="AE34" s="10">
        <f t="shared" si="5"/>
        <v>0</v>
      </c>
      <c r="AF34" s="10">
        <f t="shared" si="21"/>
        <v>0</v>
      </c>
      <c r="AH34" s="10">
        <f t="shared" si="6"/>
        <v>2220000000</v>
      </c>
      <c r="AI34" s="10">
        <f t="shared" si="22"/>
        <v>1229160174.2936637</v>
      </c>
      <c r="AK34" s="10">
        <f t="shared" si="7"/>
        <v>11721100000</v>
      </c>
      <c r="AL34" s="10">
        <f t="shared" si="23"/>
        <v>6489688882.3934507</v>
      </c>
      <c r="AN34" s="10">
        <f t="shared" si="8"/>
        <v>9410000000</v>
      </c>
      <c r="AO34" s="10">
        <f t="shared" si="24"/>
        <v>5210088846.8934116</v>
      </c>
      <c r="AQ34" s="10">
        <f t="shared" si="9"/>
        <v>2988940800</v>
      </c>
      <c r="AR34" s="10">
        <f t="shared" si="25"/>
        <v>1654904051.6583073</v>
      </c>
      <c r="AT34" s="7">
        <f>IF($K34&lt;=$F$15,IF($F$40&lt;&gt;"",$F$40/1000,IF(ISERROR(VLOOKUP($F$3&amp;IF($G$4&lt;&gt;"",$G$4,"")&amp;IF($F$43&lt;&gt;"","_"&amp;$F$43,""),'表3）燃料価格'!$AF$9:$AG$25,2,0)),0,VLOOKUP($I34,'表3）燃料価格'!$A$6:$U$66,VLOOKUP($F$3&amp;IF($G$4&lt;&gt;"",$G$4,"")&amp;IF($F$43&lt;&gt;"","_"&amp;$F$43,""),'表3）燃料価格'!$AF$9:$AG$25,2,0)+VLOOKUP($F$41,'表3）燃料価格'!$AF$28:$AG$29,2,0),0)*IF($F$43="需要地価格",1,$F$8/$F$141))),"")</f>
        <v>0</v>
      </c>
      <c r="AV34" s="10">
        <f t="shared" si="10"/>
        <v>0</v>
      </c>
      <c r="AW34" s="10">
        <f t="shared" si="26"/>
        <v>0</v>
      </c>
      <c r="AY34" s="7">
        <v>0</v>
      </c>
      <c r="BA34" s="11">
        <f t="shared" si="11"/>
        <v>0</v>
      </c>
      <c r="BB34" s="10">
        <f t="shared" si="27"/>
        <v>0</v>
      </c>
      <c r="BD34" s="10">
        <f t="shared" si="12"/>
        <v>0</v>
      </c>
      <c r="BE34" s="10">
        <f t="shared" si="28"/>
        <v>0</v>
      </c>
      <c r="BG34" s="11">
        <f t="shared" si="13"/>
        <v>0</v>
      </c>
      <c r="BH34" s="10">
        <f t="shared" si="29"/>
        <v>0</v>
      </c>
      <c r="BJ34" s="7" t="str">
        <f t="shared" si="30"/>
        <v/>
      </c>
      <c r="BK34" s="158" t="str">
        <f t="shared" si="31"/>
        <v/>
      </c>
      <c r="BL34" s="158" t="str">
        <f t="shared" si="14"/>
        <v/>
      </c>
      <c r="BM34" s="10"/>
      <c r="BN34" s="10" t="str">
        <f t="shared" si="32"/>
        <v/>
      </c>
      <c r="BO34" s="10" t="str">
        <f t="shared" si="33"/>
        <v/>
      </c>
      <c r="BQ34" s="10">
        <f t="shared" si="15"/>
        <v>7064064000</v>
      </c>
      <c r="BR34" s="10">
        <f t="shared" si="34"/>
        <v>3911200962.820538</v>
      </c>
    </row>
    <row r="35" spans="3:70" x14ac:dyDescent="0.15">
      <c r="D35" s="9" t="s">
        <v>122</v>
      </c>
      <c r="F35" s="66">
        <v>94.1</v>
      </c>
      <c r="G35" s="81" t="s">
        <v>119</v>
      </c>
      <c r="I35" s="38">
        <f t="shared" si="35"/>
        <v>2050</v>
      </c>
      <c r="J35" s="39"/>
      <c r="K35" s="39">
        <f t="shared" si="36"/>
        <v>21</v>
      </c>
      <c r="L35" s="39"/>
      <c r="M35" s="40">
        <f t="shared" si="0"/>
        <v>0.5375492759090631</v>
      </c>
      <c r="N35" s="39"/>
      <c r="O35" s="72">
        <f t="shared" si="37"/>
        <v>0</v>
      </c>
      <c r="P35" s="41" t="str">
        <f t="shared" si="1"/>
        <v>-</v>
      </c>
      <c r="Q35" s="39"/>
      <c r="R35" s="72">
        <f t="shared" si="16"/>
        <v>34690836350.992622</v>
      </c>
      <c r="S35" s="39"/>
      <c r="T35" s="72">
        <f t="shared" si="17"/>
        <v>34690836000</v>
      </c>
      <c r="U35" s="39"/>
      <c r="V35" s="72">
        <f t="shared" si="2"/>
        <v>0</v>
      </c>
      <c r="W35" s="72">
        <f t="shared" si="18"/>
        <v>0</v>
      </c>
      <c r="X35" s="39"/>
      <c r="Y35" s="72">
        <f t="shared" si="3"/>
        <v>485671700</v>
      </c>
      <c r="Z35" s="72">
        <f t="shared" si="19"/>
        <v>261072470.66452372</v>
      </c>
      <c r="AA35" s="39"/>
      <c r="AB35" s="72">
        <f t="shared" si="4"/>
        <v>0</v>
      </c>
      <c r="AC35" s="72">
        <f t="shared" si="20"/>
        <v>0</v>
      </c>
      <c r="AD35" s="39"/>
      <c r="AE35" s="72">
        <f t="shared" si="5"/>
        <v>0</v>
      </c>
      <c r="AF35" s="72">
        <f t="shared" si="21"/>
        <v>0</v>
      </c>
      <c r="AG35" s="39"/>
      <c r="AH35" s="72">
        <f t="shared" si="6"/>
        <v>2220000000</v>
      </c>
      <c r="AI35" s="72">
        <f t="shared" si="22"/>
        <v>1193359392.5181201</v>
      </c>
      <c r="AJ35" s="39"/>
      <c r="AK35" s="72">
        <f t="shared" si="7"/>
        <v>11721100000</v>
      </c>
      <c r="AL35" s="72">
        <f t="shared" si="23"/>
        <v>6300668817.8577194</v>
      </c>
      <c r="AM35" s="39"/>
      <c r="AN35" s="72">
        <f t="shared" si="8"/>
        <v>9410000000</v>
      </c>
      <c r="AO35" s="72">
        <f t="shared" si="24"/>
        <v>5058338686.3042841</v>
      </c>
      <c r="AP35" s="39"/>
      <c r="AQ35" s="72">
        <f t="shared" si="9"/>
        <v>2988940800</v>
      </c>
      <c r="AR35" s="72">
        <f t="shared" si="25"/>
        <v>1606702962.7750559</v>
      </c>
      <c r="AS35" s="39"/>
      <c r="AT35" s="40">
        <f>IF($K35&lt;=$F$15,IF($F$40&lt;&gt;"",$F$40/1000,IF(ISERROR(VLOOKUP($F$3&amp;IF($G$4&lt;&gt;"",$G$4,"")&amp;IF($F$43&lt;&gt;"","_"&amp;$F$43,""),'表3）燃料価格'!$AF$9:$AG$25,2,0)),0,VLOOKUP($I35,'表3）燃料価格'!$A$6:$U$66,VLOOKUP($F$3&amp;IF($G$4&lt;&gt;"",$G$4,"")&amp;IF($F$43&lt;&gt;"","_"&amp;$F$43,""),'表3）燃料価格'!$AF$9:$AG$25,2,0)+VLOOKUP($F$41,'表3）燃料価格'!$AF$28:$AG$29,2,0),0)*IF($F$43="需要地価格",1,$F$8/$F$141))),"")</f>
        <v>0</v>
      </c>
      <c r="AU35" s="39"/>
      <c r="AV35" s="72">
        <f t="shared" si="10"/>
        <v>0</v>
      </c>
      <c r="AW35" s="72">
        <f t="shared" si="26"/>
        <v>0</v>
      </c>
      <c r="AX35" s="39"/>
      <c r="AY35" s="40">
        <v>0</v>
      </c>
      <c r="AZ35" s="39"/>
      <c r="BA35" s="42">
        <f t="shared" si="11"/>
        <v>0</v>
      </c>
      <c r="BB35" s="72">
        <f t="shared" si="27"/>
        <v>0</v>
      </c>
      <c r="BC35" s="39"/>
      <c r="BD35" s="72">
        <f t="shared" si="12"/>
        <v>0</v>
      </c>
      <c r="BE35" s="72">
        <f t="shared" si="28"/>
        <v>0</v>
      </c>
      <c r="BF35" s="39"/>
      <c r="BG35" s="42">
        <f t="shared" si="13"/>
        <v>0</v>
      </c>
      <c r="BH35" s="72">
        <f t="shared" si="29"/>
        <v>0</v>
      </c>
      <c r="BI35" s="39"/>
      <c r="BJ35" s="40" t="str">
        <f t="shared" si="30"/>
        <v/>
      </c>
      <c r="BK35" s="157" t="str">
        <f t="shared" si="31"/>
        <v/>
      </c>
      <c r="BL35" s="157" t="str">
        <f t="shared" si="14"/>
        <v/>
      </c>
      <c r="BM35" s="72"/>
      <c r="BN35" s="72" t="str">
        <f t="shared" si="32"/>
        <v/>
      </c>
      <c r="BO35" s="72" t="str">
        <f t="shared" si="33"/>
        <v/>
      </c>
      <c r="BP35" s="39"/>
      <c r="BQ35" s="72">
        <f t="shared" si="15"/>
        <v>7064064000</v>
      </c>
      <c r="BR35" s="72">
        <f t="shared" si="34"/>
        <v>3797282488.1752801</v>
      </c>
    </row>
    <row r="36" spans="3:70" x14ac:dyDescent="0.15">
      <c r="D36" s="9" t="s">
        <v>177</v>
      </c>
      <c r="F36" s="68">
        <v>12.8</v>
      </c>
      <c r="G36" s="81" t="s">
        <v>123</v>
      </c>
      <c r="I36" s="322">
        <f t="shared" si="35"/>
        <v>2051</v>
      </c>
      <c r="K36" s="71">
        <f t="shared" si="36"/>
        <v>22</v>
      </c>
      <c r="M36" s="7">
        <f t="shared" si="0"/>
        <v>0.52189250088258554</v>
      </c>
      <c r="O36" s="10">
        <f t="shared" si="37"/>
        <v>0</v>
      </c>
      <c r="P36" s="29" t="str">
        <f t="shared" si="1"/>
        <v>-</v>
      </c>
      <c r="R36" s="10">
        <f t="shared" si="16"/>
        <v>30845000000</v>
      </c>
      <c r="T36" s="10">
        <f t="shared" si="17"/>
        <v>30845000000</v>
      </c>
      <c r="V36" s="10">
        <f t="shared" si="2"/>
        <v>0</v>
      </c>
      <c r="W36" s="10">
        <f t="shared" si="18"/>
        <v>0</v>
      </c>
      <c r="Y36" s="10">
        <f t="shared" si="3"/>
        <v>431830000</v>
      </c>
      <c r="Z36" s="10">
        <f t="shared" si="19"/>
        <v>225368838.65612692</v>
      </c>
      <c r="AB36" s="10">
        <f t="shared" si="4"/>
        <v>0</v>
      </c>
      <c r="AC36" s="10">
        <f t="shared" si="20"/>
        <v>0</v>
      </c>
      <c r="AE36" s="10">
        <f t="shared" si="5"/>
        <v>0</v>
      </c>
      <c r="AF36" s="10">
        <f t="shared" si="21"/>
        <v>0</v>
      </c>
      <c r="AH36" s="10">
        <f t="shared" si="6"/>
        <v>2220000000</v>
      </c>
      <c r="AI36" s="10">
        <f t="shared" si="22"/>
        <v>1158601351.9593399</v>
      </c>
      <c r="AK36" s="10">
        <f t="shared" si="7"/>
        <v>11721100000</v>
      </c>
      <c r="AL36" s="10">
        <f t="shared" si="23"/>
        <v>6117154192.0948734</v>
      </c>
      <c r="AN36" s="10">
        <f t="shared" si="8"/>
        <v>9410000000</v>
      </c>
      <c r="AO36" s="10">
        <f t="shared" si="24"/>
        <v>4911008433.30513</v>
      </c>
      <c r="AQ36" s="10">
        <f t="shared" si="9"/>
        <v>2988940800</v>
      </c>
      <c r="AR36" s="10">
        <f t="shared" si="25"/>
        <v>1559905789.1019959</v>
      </c>
      <c r="AT36" s="7">
        <f>IF($K36&lt;=$F$15,IF($F$40&lt;&gt;"",$F$40/1000,IF(ISERROR(VLOOKUP($F$3&amp;IF($G$4&lt;&gt;"",$G$4,"")&amp;IF($F$43&lt;&gt;"","_"&amp;$F$43,""),'表3）燃料価格'!$AF$9:$AG$25,2,0)),0,VLOOKUP($I36,'表3）燃料価格'!$A$6:$U$66,VLOOKUP($F$3&amp;IF($G$4&lt;&gt;"",$G$4,"")&amp;IF($F$43&lt;&gt;"","_"&amp;$F$43,""),'表3）燃料価格'!$AF$9:$AG$25,2,0)+VLOOKUP($F$41,'表3）燃料価格'!$AF$28:$AG$29,2,0),0)*IF($F$43="需要地価格",1,$F$8/$F$141))),"")</f>
        <v>0</v>
      </c>
      <c r="AV36" s="10">
        <f t="shared" si="10"/>
        <v>0</v>
      </c>
      <c r="AW36" s="10">
        <f t="shared" si="26"/>
        <v>0</v>
      </c>
      <c r="AY36" s="7">
        <v>0</v>
      </c>
      <c r="BA36" s="11">
        <f t="shared" si="11"/>
        <v>0</v>
      </c>
      <c r="BB36" s="10">
        <f t="shared" si="27"/>
        <v>0</v>
      </c>
      <c r="BD36" s="10">
        <f t="shared" si="12"/>
        <v>0</v>
      </c>
      <c r="BE36" s="10">
        <f t="shared" si="28"/>
        <v>0</v>
      </c>
      <c r="BG36" s="11">
        <f t="shared" si="13"/>
        <v>0</v>
      </c>
      <c r="BH36" s="10">
        <f t="shared" si="29"/>
        <v>0</v>
      </c>
      <c r="BJ36" s="7" t="str">
        <f t="shared" si="30"/>
        <v/>
      </c>
      <c r="BK36" s="158" t="str">
        <f t="shared" si="31"/>
        <v/>
      </c>
      <c r="BL36" s="158" t="str">
        <f t="shared" si="14"/>
        <v/>
      </c>
      <c r="BM36" s="10"/>
      <c r="BN36" s="10" t="str">
        <f t="shared" si="32"/>
        <v/>
      </c>
      <c r="BO36" s="10" t="str">
        <f t="shared" si="33"/>
        <v/>
      </c>
      <c r="BQ36" s="10">
        <f t="shared" si="15"/>
        <v>7064064000</v>
      </c>
      <c r="BR36" s="10">
        <f t="shared" si="34"/>
        <v>3686682027.354641</v>
      </c>
    </row>
    <row r="37" spans="3:70" x14ac:dyDescent="0.15">
      <c r="G37" s="81"/>
      <c r="I37" s="38">
        <f t="shared" si="35"/>
        <v>2052</v>
      </c>
      <c r="J37" s="39"/>
      <c r="K37" s="39">
        <f t="shared" si="36"/>
        <v>23</v>
      </c>
      <c r="L37" s="39"/>
      <c r="M37" s="40">
        <f t="shared" si="0"/>
        <v>0.50669174842969467</v>
      </c>
      <c r="N37" s="39"/>
      <c r="O37" s="72">
        <f t="shared" si="37"/>
        <v>0</v>
      </c>
      <c r="P37" s="41" t="str">
        <f t="shared" si="1"/>
        <v>-</v>
      </c>
      <c r="Q37" s="39"/>
      <c r="R37" s="72">
        <f t="shared" si="16"/>
        <v>30845000000</v>
      </c>
      <c r="S37" s="39"/>
      <c r="T37" s="72">
        <f t="shared" si="17"/>
        <v>30845000000</v>
      </c>
      <c r="U37" s="39"/>
      <c r="V37" s="72">
        <f t="shared" si="2"/>
        <v>0</v>
      </c>
      <c r="W37" s="72">
        <f t="shared" si="18"/>
        <v>0</v>
      </c>
      <c r="X37" s="39"/>
      <c r="Y37" s="72">
        <f t="shared" si="3"/>
        <v>431830000</v>
      </c>
      <c r="Z37" s="72">
        <f t="shared" si="19"/>
        <v>218804697.72439504</v>
      </c>
      <c r="AA37" s="39"/>
      <c r="AB37" s="72">
        <f t="shared" si="4"/>
        <v>0</v>
      </c>
      <c r="AC37" s="72">
        <f t="shared" si="20"/>
        <v>0</v>
      </c>
      <c r="AD37" s="39"/>
      <c r="AE37" s="72">
        <f t="shared" si="5"/>
        <v>0</v>
      </c>
      <c r="AF37" s="72">
        <f t="shared" si="21"/>
        <v>0</v>
      </c>
      <c r="AG37" s="39"/>
      <c r="AH37" s="72">
        <f t="shared" si="6"/>
        <v>2220000000</v>
      </c>
      <c r="AI37" s="72">
        <f t="shared" si="22"/>
        <v>1124855681.5139222</v>
      </c>
      <c r="AJ37" s="39"/>
      <c r="AK37" s="72">
        <f t="shared" si="7"/>
        <v>11721100000</v>
      </c>
      <c r="AL37" s="72">
        <f t="shared" si="23"/>
        <v>5938984652.5192938</v>
      </c>
      <c r="AM37" s="39"/>
      <c r="AN37" s="72">
        <f t="shared" si="8"/>
        <v>9410000000</v>
      </c>
      <c r="AO37" s="72">
        <f t="shared" si="24"/>
        <v>4767969352.7234268</v>
      </c>
      <c r="AP37" s="39"/>
      <c r="AQ37" s="72">
        <f t="shared" si="9"/>
        <v>2988940800</v>
      </c>
      <c r="AR37" s="72">
        <f t="shared" si="25"/>
        <v>1514471639.9048502</v>
      </c>
      <c r="AS37" s="39"/>
      <c r="AT37" s="40">
        <f>IF($K37&lt;=$F$15,IF($F$40&lt;&gt;"",$F$40/1000,IF(ISERROR(VLOOKUP($F$3&amp;IF($G$4&lt;&gt;"",$G$4,"")&amp;IF($F$43&lt;&gt;"","_"&amp;$F$43,""),'表3）燃料価格'!$AF$9:$AG$25,2,0)),0,VLOOKUP($I37,'表3）燃料価格'!$A$6:$U$66,VLOOKUP($F$3&amp;IF($G$4&lt;&gt;"",$G$4,"")&amp;IF($F$43&lt;&gt;"","_"&amp;$F$43,""),'表3）燃料価格'!$AF$9:$AG$25,2,0)+VLOOKUP($F$41,'表3）燃料価格'!$AF$28:$AG$29,2,0),0)*IF($F$43="需要地価格",1,$F$8/$F$141))),"")</f>
        <v>0</v>
      </c>
      <c r="AU37" s="39"/>
      <c r="AV37" s="72">
        <f t="shared" si="10"/>
        <v>0</v>
      </c>
      <c r="AW37" s="72">
        <f t="shared" si="26"/>
        <v>0</v>
      </c>
      <c r="AX37" s="39"/>
      <c r="AY37" s="40">
        <v>0</v>
      </c>
      <c r="AZ37" s="39"/>
      <c r="BA37" s="42">
        <f t="shared" si="11"/>
        <v>0</v>
      </c>
      <c r="BB37" s="72">
        <f t="shared" si="27"/>
        <v>0</v>
      </c>
      <c r="BC37" s="39"/>
      <c r="BD37" s="72">
        <f t="shared" si="12"/>
        <v>0</v>
      </c>
      <c r="BE37" s="72">
        <f t="shared" si="28"/>
        <v>0</v>
      </c>
      <c r="BF37" s="39"/>
      <c r="BG37" s="42">
        <f t="shared" si="13"/>
        <v>0</v>
      </c>
      <c r="BH37" s="72">
        <f t="shared" si="29"/>
        <v>0</v>
      </c>
      <c r="BI37" s="39"/>
      <c r="BJ37" s="40" t="str">
        <f t="shared" si="30"/>
        <v/>
      </c>
      <c r="BK37" s="157" t="str">
        <f t="shared" si="31"/>
        <v/>
      </c>
      <c r="BL37" s="157" t="str">
        <f t="shared" si="14"/>
        <v/>
      </c>
      <c r="BM37" s="72"/>
      <c r="BN37" s="72" t="str">
        <f t="shared" si="32"/>
        <v/>
      </c>
      <c r="BO37" s="72" t="str">
        <f t="shared" si="33"/>
        <v/>
      </c>
      <c r="BP37" s="39"/>
      <c r="BQ37" s="72">
        <f t="shared" si="15"/>
        <v>7064064000</v>
      </c>
      <c r="BR37" s="72">
        <f t="shared" si="34"/>
        <v>3579302939.1792626</v>
      </c>
    </row>
    <row r="38" spans="3:70" x14ac:dyDescent="0.15">
      <c r="C38" s="89" t="s">
        <v>508</v>
      </c>
      <c r="D38" s="89"/>
      <c r="E38" s="89"/>
      <c r="F38" s="89"/>
      <c r="G38" s="101"/>
      <c r="I38" s="322">
        <f t="shared" si="35"/>
        <v>2053</v>
      </c>
      <c r="K38" s="71">
        <f t="shared" si="36"/>
        <v>24</v>
      </c>
      <c r="M38" s="7">
        <f t="shared" si="0"/>
        <v>0.49193373633950943</v>
      </c>
      <c r="O38" s="10">
        <f t="shared" si="37"/>
        <v>0</v>
      </c>
      <c r="P38" s="29" t="str">
        <f t="shared" si="1"/>
        <v>-</v>
      </c>
      <c r="R38" s="10">
        <f t="shared" si="16"/>
        <v>30845000000</v>
      </c>
      <c r="T38" s="10">
        <f t="shared" si="17"/>
        <v>30845000000</v>
      </c>
      <c r="V38" s="10">
        <f t="shared" si="2"/>
        <v>0</v>
      </c>
      <c r="W38" s="10">
        <f t="shared" si="18"/>
        <v>0</v>
      </c>
      <c r="Y38" s="10">
        <f t="shared" si="3"/>
        <v>431830000</v>
      </c>
      <c r="Z38" s="10">
        <f t="shared" si="19"/>
        <v>212431745.36349034</v>
      </c>
      <c r="AB38" s="10">
        <f t="shared" si="4"/>
        <v>0</v>
      </c>
      <c r="AC38" s="10">
        <f t="shared" si="20"/>
        <v>0</v>
      </c>
      <c r="AE38" s="10">
        <f t="shared" si="5"/>
        <v>0</v>
      </c>
      <c r="AF38" s="10">
        <f t="shared" si="21"/>
        <v>0</v>
      </c>
      <c r="AH38" s="10">
        <f t="shared" si="6"/>
        <v>2220000000</v>
      </c>
      <c r="AI38" s="10">
        <f t="shared" si="22"/>
        <v>1092092894.6737108</v>
      </c>
      <c r="AK38" s="10">
        <f t="shared" si="7"/>
        <v>11721100000</v>
      </c>
      <c r="AL38" s="10">
        <f t="shared" si="23"/>
        <v>5766004517.0090237</v>
      </c>
      <c r="AN38" s="10">
        <f t="shared" si="8"/>
        <v>9410000000</v>
      </c>
      <c r="AO38" s="10">
        <f t="shared" si="24"/>
        <v>4629096458.9547834</v>
      </c>
      <c r="AQ38" s="10">
        <f t="shared" si="9"/>
        <v>2988940800</v>
      </c>
      <c r="AR38" s="10">
        <f t="shared" si="25"/>
        <v>1470360815.4416025</v>
      </c>
      <c r="AT38" s="7">
        <f>IF($K38&lt;=$F$15,IF($F$40&lt;&gt;"",$F$40/1000,IF(ISERROR(VLOOKUP($F$3&amp;IF($G$4&lt;&gt;"",$G$4,"")&amp;IF($F$43&lt;&gt;"","_"&amp;$F$43,""),'表3）燃料価格'!$AF$9:$AG$25,2,0)),0,VLOOKUP($I38,'表3）燃料価格'!$A$6:$U$66,VLOOKUP($F$3&amp;IF($G$4&lt;&gt;"",$G$4,"")&amp;IF($F$43&lt;&gt;"","_"&amp;$F$43,""),'表3）燃料価格'!$AF$9:$AG$25,2,0)+VLOOKUP($F$41,'表3）燃料価格'!$AF$28:$AG$29,2,0),0)*IF($F$43="需要地価格",1,$F$8/$F$141))),"")</f>
        <v>0</v>
      </c>
      <c r="AV38" s="10">
        <f t="shared" si="10"/>
        <v>0</v>
      </c>
      <c r="AW38" s="10">
        <f t="shared" si="26"/>
        <v>0</v>
      </c>
      <c r="AY38" s="7">
        <v>0</v>
      </c>
      <c r="BA38" s="11">
        <f t="shared" si="11"/>
        <v>0</v>
      </c>
      <c r="BB38" s="10">
        <f t="shared" si="27"/>
        <v>0</v>
      </c>
      <c r="BD38" s="10">
        <f t="shared" si="12"/>
        <v>0</v>
      </c>
      <c r="BE38" s="10">
        <f t="shared" si="28"/>
        <v>0</v>
      </c>
      <c r="BG38" s="11">
        <f t="shared" si="13"/>
        <v>0</v>
      </c>
      <c r="BH38" s="10">
        <f t="shared" si="29"/>
        <v>0</v>
      </c>
      <c r="BJ38" s="7" t="str">
        <f t="shared" si="30"/>
        <v/>
      </c>
      <c r="BK38" s="158" t="str">
        <f t="shared" si="31"/>
        <v/>
      </c>
      <c r="BL38" s="158" t="str">
        <f t="shared" si="14"/>
        <v/>
      </c>
      <c r="BM38" s="10"/>
      <c r="BN38" s="10" t="str">
        <f t="shared" si="32"/>
        <v/>
      </c>
      <c r="BO38" s="10" t="str">
        <f t="shared" si="33"/>
        <v/>
      </c>
      <c r="BQ38" s="10">
        <f t="shared" si="15"/>
        <v>7064064000</v>
      </c>
      <c r="BR38" s="10">
        <f t="shared" si="34"/>
        <v>3475051397.2614202</v>
      </c>
    </row>
    <row r="39" spans="3:70" x14ac:dyDescent="0.15">
      <c r="I39" s="38">
        <f t="shared" si="35"/>
        <v>2054</v>
      </c>
      <c r="J39" s="39"/>
      <c r="K39" s="39">
        <f t="shared" si="36"/>
        <v>25</v>
      </c>
      <c r="L39" s="39"/>
      <c r="M39" s="40">
        <f t="shared" si="0"/>
        <v>0.47760556926165965</v>
      </c>
      <c r="N39" s="39"/>
      <c r="O39" s="72">
        <f t="shared" si="37"/>
        <v>0</v>
      </c>
      <c r="P39" s="41" t="str">
        <f t="shared" si="1"/>
        <v>-</v>
      </c>
      <c r="Q39" s="39"/>
      <c r="R39" s="72">
        <f t="shared" si="16"/>
        <v>30845000000</v>
      </c>
      <c r="S39" s="39"/>
      <c r="T39" s="72">
        <f t="shared" si="17"/>
        <v>30845000000</v>
      </c>
      <c r="U39" s="39"/>
      <c r="V39" s="72">
        <f t="shared" si="2"/>
        <v>0</v>
      </c>
      <c r="W39" s="72">
        <f t="shared" si="18"/>
        <v>0</v>
      </c>
      <c r="X39" s="39"/>
      <c r="Y39" s="72">
        <f t="shared" si="3"/>
        <v>431830000</v>
      </c>
      <c r="Z39" s="72">
        <f t="shared" si="19"/>
        <v>206244412.97426248</v>
      </c>
      <c r="AA39" s="39"/>
      <c r="AB39" s="72">
        <f t="shared" si="4"/>
        <v>0</v>
      </c>
      <c r="AC39" s="72">
        <f t="shared" si="20"/>
        <v>0</v>
      </c>
      <c r="AD39" s="39"/>
      <c r="AE39" s="72">
        <f t="shared" si="5"/>
        <v>0</v>
      </c>
      <c r="AF39" s="72">
        <f t="shared" si="21"/>
        <v>0</v>
      </c>
      <c r="AG39" s="39"/>
      <c r="AH39" s="72">
        <f t="shared" si="6"/>
        <v>2220000000</v>
      </c>
      <c r="AI39" s="72">
        <f t="shared" si="22"/>
        <v>1060284363.7608844</v>
      </c>
      <c r="AJ39" s="39"/>
      <c r="AK39" s="72">
        <f t="shared" si="7"/>
        <v>11721100000</v>
      </c>
      <c r="AL39" s="72">
        <f t="shared" si="23"/>
        <v>5598062637.872839</v>
      </c>
      <c r="AM39" s="39"/>
      <c r="AN39" s="72">
        <f t="shared" si="8"/>
        <v>9410000000</v>
      </c>
      <c r="AO39" s="72">
        <f t="shared" si="24"/>
        <v>4494268406.7522173</v>
      </c>
      <c r="AP39" s="39"/>
      <c r="AQ39" s="72">
        <f t="shared" si="9"/>
        <v>2988940800</v>
      </c>
      <c r="AR39" s="72">
        <f t="shared" si="25"/>
        <v>1427534772.2734003</v>
      </c>
      <c r="AS39" s="39"/>
      <c r="AT39" s="40">
        <f>IF($K39&lt;=$F$15,IF($F$40&lt;&gt;"",$F$40/1000,IF(ISERROR(VLOOKUP($F$3&amp;IF($G$4&lt;&gt;"",$G$4,"")&amp;IF($F$43&lt;&gt;"","_"&amp;$F$43,""),'表3）燃料価格'!$AF$9:$AG$25,2,0)),0,VLOOKUP($I39,'表3）燃料価格'!$A$6:$U$66,VLOOKUP($F$3&amp;IF($G$4&lt;&gt;"",$G$4,"")&amp;IF($F$43&lt;&gt;"","_"&amp;$F$43,""),'表3）燃料価格'!$AF$9:$AG$25,2,0)+VLOOKUP($F$41,'表3）燃料価格'!$AF$28:$AG$29,2,0),0)*IF($F$43="需要地価格",1,$F$8/$F$141))),"")</f>
        <v>0</v>
      </c>
      <c r="AU39" s="39"/>
      <c r="AV39" s="72">
        <f t="shared" si="10"/>
        <v>0</v>
      </c>
      <c r="AW39" s="72">
        <f t="shared" si="26"/>
        <v>0</v>
      </c>
      <c r="AX39" s="39"/>
      <c r="AY39" s="40">
        <v>0</v>
      </c>
      <c r="AZ39" s="39"/>
      <c r="BA39" s="42">
        <f t="shared" si="11"/>
        <v>0</v>
      </c>
      <c r="BB39" s="72">
        <f t="shared" si="27"/>
        <v>0</v>
      </c>
      <c r="BC39" s="39"/>
      <c r="BD39" s="72">
        <f t="shared" si="12"/>
        <v>0</v>
      </c>
      <c r="BE39" s="72">
        <f t="shared" si="28"/>
        <v>0</v>
      </c>
      <c r="BF39" s="39"/>
      <c r="BG39" s="42">
        <f t="shared" si="13"/>
        <v>0</v>
      </c>
      <c r="BH39" s="72">
        <f t="shared" si="29"/>
        <v>0</v>
      </c>
      <c r="BI39" s="39"/>
      <c r="BJ39" s="40" t="str">
        <f t="shared" si="30"/>
        <v/>
      </c>
      <c r="BK39" s="157" t="str">
        <f t="shared" si="31"/>
        <v/>
      </c>
      <c r="BL39" s="157" t="str">
        <f t="shared" si="14"/>
        <v/>
      </c>
      <c r="BM39" s="72"/>
      <c r="BN39" s="72" t="str">
        <f t="shared" si="32"/>
        <v/>
      </c>
      <c r="BO39" s="72" t="str">
        <f t="shared" si="33"/>
        <v/>
      </c>
      <c r="BP39" s="39"/>
      <c r="BQ39" s="72">
        <f t="shared" si="15"/>
        <v>7064064000</v>
      </c>
      <c r="BR39" s="72">
        <f t="shared" si="34"/>
        <v>3373836308.0207963</v>
      </c>
    </row>
    <row r="40" spans="3:70" x14ac:dyDescent="0.15">
      <c r="D40" s="9" t="s">
        <v>124</v>
      </c>
      <c r="F40" s="59"/>
      <c r="G40" s="236" t="s">
        <v>178</v>
      </c>
      <c r="I40" s="322">
        <f t="shared" si="35"/>
        <v>2055</v>
      </c>
      <c r="K40" s="71">
        <f t="shared" si="36"/>
        <v>26</v>
      </c>
      <c r="M40" s="7">
        <f t="shared" si="0"/>
        <v>0.46369472743850448</v>
      </c>
      <c r="O40" s="10">
        <f t="shared" si="37"/>
        <v>0</v>
      </c>
      <c r="P40" s="29" t="str">
        <f t="shared" si="1"/>
        <v>-</v>
      </c>
      <c r="R40" s="10">
        <f t="shared" si="16"/>
        <v>30845000000</v>
      </c>
      <c r="T40" s="10">
        <f t="shared" si="17"/>
        <v>30845000000</v>
      </c>
      <c r="V40" s="10">
        <f t="shared" si="2"/>
        <v>0</v>
      </c>
      <c r="W40" s="10">
        <f t="shared" si="18"/>
        <v>0</v>
      </c>
      <c r="Y40" s="10">
        <f t="shared" si="3"/>
        <v>431830000</v>
      </c>
      <c r="Z40" s="10">
        <f t="shared" si="19"/>
        <v>200237294.1497694</v>
      </c>
      <c r="AB40" s="10">
        <f t="shared" si="4"/>
        <v>0</v>
      </c>
      <c r="AC40" s="10">
        <f t="shared" si="20"/>
        <v>0</v>
      </c>
      <c r="AE40" s="10">
        <f t="shared" si="5"/>
        <v>0</v>
      </c>
      <c r="AF40" s="10">
        <f t="shared" si="21"/>
        <v>0</v>
      </c>
      <c r="AH40" s="10">
        <f t="shared" si="6"/>
        <v>2220000000</v>
      </c>
      <c r="AI40" s="10">
        <f t="shared" si="22"/>
        <v>1029402294.9134799</v>
      </c>
      <c r="AK40" s="10">
        <f t="shared" si="7"/>
        <v>11721100000</v>
      </c>
      <c r="AL40" s="10">
        <f t="shared" si="23"/>
        <v>5435012269.7794552</v>
      </c>
      <c r="AN40" s="10">
        <f t="shared" si="8"/>
        <v>9410000000</v>
      </c>
      <c r="AO40" s="10">
        <f t="shared" si="24"/>
        <v>4363367385.1963272</v>
      </c>
      <c r="AQ40" s="10">
        <f t="shared" si="9"/>
        <v>2988940800</v>
      </c>
      <c r="AR40" s="10">
        <f t="shared" si="25"/>
        <v>1385956089.5858254</v>
      </c>
      <c r="AT40" s="7">
        <f>IF($K40&lt;=$F$15,IF($F$40&lt;&gt;"",$F$40/1000,IF(ISERROR(VLOOKUP($F$3&amp;IF($G$4&lt;&gt;"",$G$4,"")&amp;IF($F$43&lt;&gt;"","_"&amp;$F$43,""),'表3）燃料価格'!$AF$9:$AG$25,2,0)),0,VLOOKUP($I40,'表3）燃料価格'!$A$6:$U$66,VLOOKUP($F$3&amp;IF($G$4&lt;&gt;"",$G$4,"")&amp;IF($F$43&lt;&gt;"","_"&amp;$F$43,""),'表3）燃料価格'!$AF$9:$AG$25,2,0)+VLOOKUP($F$41,'表3）燃料価格'!$AF$28:$AG$29,2,0),0)*IF($F$43="需要地価格",1,$F$8/$F$141))),"")</f>
        <v>0</v>
      </c>
      <c r="AV40" s="10">
        <f t="shared" si="10"/>
        <v>0</v>
      </c>
      <c r="AW40" s="10">
        <f t="shared" si="26"/>
        <v>0</v>
      </c>
      <c r="AY40" s="7">
        <v>0</v>
      </c>
      <c r="BA40" s="11">
        <f t="shared" si="11"/>
        <v>0</v>
      </c>
      <c r="BB40" s="10">
        <f t="shared" si="27"/>
        <v>0</v>
      </c>
      <c r="BD40" s="10">
        <f t="shared" si="12"/>
        <v>0</v>
      </c>
      <c r="BE40" s="10">
        <f t="shared" si="28"/>
        <v>0</v>
      </c>
      <c r="BG40" s="11">
        <f t="shared" si="13"/>
        <v>0</v>
      </c>
      <c r="BH40" s="10">
        <f t="shared" si="29"/>
        <v>0</v>
      </c>
      <c r="BJ40" s="7" t="str">
        <f t="shared" si="30"/>
        <v/>
      </c>
      <c r="BK40" s="158" t="str">
        <f t="shared" si="31"/>
        <v/>
      </c>
      <c r="BL40" s="158" t="str">
        <f t="shared" si="14"/>
        <v/>
      </c>
      <c r="BM40" s="10"/>
      <c r="BN40" s="10" t="str">
        <f t="shared" si="32"/>
        <v/>
      </c>
      <c r="BO40" s="10" t="str">
        <f t="shared" si="33"/>
        <v/>
      </c>
      <c r="BQ40" s="10">
        <f t="shared" si="15"/>
        <v>7064064000</v>
      </c>
      <c r="BR40" s="10">
        <f t="shared" si="34"/>
        <v>3275569231.0881519</v>
      </c>
    </row>
    <row r="41" spans="3:70" x14ac:dyDescent="0.15">
      <c r="D41" s="9" t="s">
        <v>179</v>
      </c>
      <c r="F41" s="88"/>
      <c r="I41" s="38">
        <f t="shared" si="35"/>
        <v>2056</v>
      </c>
      <c r="J41" s="39"/>
      <c r="K41" s="39">
        <f t="shared" si="36"/>
        <v>27</v>
      </c>
      <c r="L41" s="39"/>
      <c r="M41" s="40">
        <f t="shared" si="0"/>
        <v>0.45018905576553836</v>
      </c>
      <c r="N41" s="39"/>
      <c r="O41" s="72">
        <f t="shared" si="37"/>
        <v>0</v>
      </c>
      <c r="P41" s="41" t="str">
        <f t="shared" si="1"/>
        <v>-</v>
      </c>
      <c r="Q41" s="39"/>
      <c r="R41" s="72">
        <f t="shared" si="16"/>
        <v>30845000000</v>
      </c>
      <c r="S41" s="39"/>
      <c r="T41" s="72">
        <f t="shared" si="17"/>
        <v>30845000000</v>
      </c>
      <c r="U41" s="39"/>
      <c r="V41" s="72">
        <f t="shared" si="2"/>
        <v>0</v>
      </c>
      <c r="W41" s="72">
        <f t="shared" si="18"/>
        <v>0</v>
      </c>
      <c r="X41" s="39"/>
      <c r="Y41" s="72">
        <f t="shared" si="3"/>
        <v>431830000</v>
      </c>
      <c r="Z41" s="72">
        <f t="shared" si="19"/>
        <v>194405139.95123243</v>
      </c>
      <c r="AA41" s="39"/>
      <c r="AB41" s="72">
        <f t="shared" si="4"/>
        <v>0</v>
      </c>
      <c r="AC41" s="72">
        <f t="shared" si="20"/>
        <v>0</v>
      </c>
      <c r="AD41" s="39"/>
      <c r="AE41" s="72">
        <f t="shared" si="5"/>
        <v>0</v>
      </c>
      <c r="AF41" s="72">
        <f t="shared" si="21"/>
        <v>0</v>
      </c>
      <c r="AG41" s="39"/>
      <c r="AH41" s="72">
        <f t="shared" si="6"/>
        <v>2220000000</v>
      </c>
      <c r="AI41" s="72">
        <f t="shared" si="22"/>
        <v>999419703.7994951</v>
      </c>
      <c r="AJ41" s="39"/>
      <c r="AK41" s="72">
        <f t="shared" si="7"/>
        <v>11721100000</v>
      </c>
      <c r="AL41" s="72">
        <f t="shared" si="23"/>
        <v>5276710941.533452</v>
      </c>
      <c r="AM41" s="39"/>
      <c r="AN41" s="72">
        <f t="shared" si="8"/>
        <v>9410000000</v>
      </c>
      <c r="AO41" s="72">
        <f t="shared" si="24"/>
        <v>4236279014.753716</v>
      </c>
      <c r="AP41" s="39"/>
      <c r="AQ41" s="72">
        <f t="shared" si="9"/>
        <v>2988940800</v>
      </c>
      <c r="AR41" s="72">
        <f t="shared" si="25"/>
        <v>1345588436.4910929</v>
      </c>
      <c r="AS41" s="39"/>
      <c r="AT41" s="40">
        <f>IF($K41&lt;=$F$15,IF($F$40&lt;&gt;"",$F$40/1000,IF(ISERROR(VLOOKUP($F$3&amp;IF($G$4&lt;&gt;"",$G$4,"")&amp;IF($F$43&lt;&gt;"","_"&amp;$F$43,""),'表3）燃料価格'!$AF$9:$AG$25,2,0)),0,VLOOKUP($I41,'表3）燃料価格'!$A$6:$U$66,VLOOKUP($F$3&amp;IF($G$4&lt;&gt;"",$G$4,"")&amp;IF($F$43&lt;&gt;"","_"&amp;$F$43,""),'表3）燃料価格'!$AF$9:$AG$25,2,0)+VLOOKUP($F$41,'表3）燃料価格'!$AF$28:$AG$29,2,0),0)*IF($F$43="需要地価格",1,$F$8/$F$141))),"")</f>
        <v>0</v>
      </c>
      <c r="AU41" s="39"/>
      <c r="AV41" s="72">
        <f t="shared" si="10"/>
        <v>0</v>
      </c>
      <c r="AW41" s="72">
        <f t="shared" si="26"/>
        <v>0</v>
      </c>
      <c r="AX41" s="39"/>
      <c r="AY41" s="40">
        <v>0</v>
      </c>
      <c r="AZ41" s="39"/>
      <c r="BA41" s="42">
        <f t="shared" si="11"/>
        <v>0</v>
      </c>
      <c r="BB41" s="72">
        <f t="shared" si="27"/>
        <v>0</v>
      </c>
      <c r="BC41" s="39"/>
      <c r="BD41" s="72">
        <f t="shared" si="12"/>
        <v>0</v>
      </c>
      <c r="BE41" s="72">
        <f t="shared" si="28"/>
        <v>0</v>
      </c>
      <c r="BF41" s="39"/>
      <c r="BG41" s="42">
        <f t="shared" si="13"/>
        <v>0</v>
      </c>
      <c r="BH41" s="72">
        <f t="shared" si="29"/>
        <v>0</v>
      </c>
      <c r="BI41" s="39"/>
      <c r="BJ41" s="40" t="str">
        <f t="shared" si="30"/>
        <v/>
      </c>
      <c r="BK41" s="157" t="str">
        <f t="shared" si="31"/>
        <v/>
      </c>
      <c r="BL41" s="157" t="str">
        <f t="shared" si="14"/>
        <v/>
      </c>
      <c r="BM41" s="72"/>
      <c r="BN41" s="72" t="str">
        <f t="shared" si="32"/>
        <v/>
      </c>
      <c r="BO41" s="72" t="str">
        <f t="shared" si="33"/>
        <v/>
      </c>
      <c r="BP41" s="39"/>
      <c r="BQ41" s="72">
        <f t="shared" si="15"/>
        <v>7064064000</v>
      </c>
      <c r="BR41" s="72">
        <f t="shared" si="34"/>
        <v>3180164302.0273318</v>
      </c>
    </row>
    <row r="42" spans="3:70" x14ac:dyDescent="0.15">
      <c r="D42" s="9" t="s">
        <v>180</v>
      </c>
      <c r="F42" s="59"/>
      <c r="G42" s="9" t="s">
        <v>181</v>
      </c>
      <c r="I42" s="322">
        <f t="shared" si="35"/>
        <v>2057</v>
      </c>
      <c r="K42" s="71">
        <f t="shared" si="36"/>
        <v>28</v>
      </c>
      <c r="M42" s="7">
        <f t="shared" si="0"/>
        <v>0.4370767531704256</v>
      </c>
      <c r="O42" s="10">
        <f t="shared" si="37"/>
        <v>0</v>
      </c>
      <c r="P42" s="29" t="str">
        <f t="shared" si="1"/>
        <v>-</v>
      </c>
      <c r="R42" s="10">
        <f t="shared" si="16"/>
        <v>30845000000</v>
      </c>
      <c r="T42" s="10">
        <f t="shared" si="17"/>
        <v>30845000000</v>
      </c>
      <c r="V42" s="10">
        <f t="shared" si="2"/>
        <v>0</v>
      </c>
      <c r="W42" s="10">
        <f t="shared" si="18"/>
        <v>0</v>
      </c>
      <c r="Y42" s="10">
        <f t="shared" si="3"/>
        <v>431830000</v>
      </c>
      <c r="Z42" s="10">
        <f t="shared" si="19"/>
        <v>188742854.32158488</v>
      </c>
      <c r="AB42" s="10">
        <f t="shared" si="4"/>
        <v>0</v>
      </c>
      <c r="AC42" s="10">
        <f t="shared" si="20"/>
        <v>0</v>
      </c>
      <c r="AE42" s="10">
        <f t="shared" si="5"/>
        <v>0</v>
      </c>
      <c r="AF42" s="10">
        <f t="shared" si="21"/>
        <v>0</v>
      </c>
      <c r="AH42" s="10">
        <f t="shared" si="6"/>
        <v>2220000000</v>
      </c>
      <c r="AI42" s="10">
        <f t="shared" si="22"/>
        <v>970310392.03834486</v>
      </c>
      <c r="AK42" s="10">
        <f t="shared" si="7"/>
        <v>11721100000</v>
      </c>
      <c r="AL42" s="10">
        <f t="shared" si="23"/>
        <v>5123020331.5858755</v>
      </c>
      <c r="AN42" s="10">
        <f t="shared" si="8"/>
        <v>9410000000</v>
      </c>
      <c r="AO42" s="10">
        <f t="shared" si="24"/>
        <v>4112892247.3337049</v>
      </c>
      <c r="AQ42" s="10">
        <f t="shared" si="9"/>
        <v>2988940800</v>
      </c>
      <c r="AR42" s="10">
        <f t="shared" si="25"/>
        <v>1306396540.2826145</v>
      </c>
      <c r="AT42" s="7">
        <f>IF($K42&lt;=$F$15,IF($F$40&lt;&gt;"",$F$40/1000,IF(ISERROR(VLOOKUP($F$3&amp;IF($G$4&lt;&gt;"",$G$4,"")&amp;IF($F$43&lt;&gt;"","_"&amp;$F$43,""),'表3）燃料価格'!$AF$9:$AG$25,2,0)),0,VLOOKUP($I42,'表3）燃料価格'!$A$6:$U$66,VLOOKUP($F$3&amp;IF($G$4&lt;&gt;"",$G$4,"")&amp;IF($F$43&lt;&gt;"","_"&amp;$F$43,""),'表3）燃料価格'!$AF$9:$AG$25,2,0)+VLOOKUP($F$41,'表3）燃料価格'!$AF$28:$AG$29,2,0),0)*IF($F$43="需要地価格",1,$F$8/$F$141))),"")</f>
        <v>0</v>
      </c>
      <c r="AV42" s="10">
        <f t="shared" si="10"/>
        <v>0</v>
      </c>
      <c r="AW42" s="10">
        <f t="shared" si="26"/>
        <v>0</v>
      </c>
      <c r="AY42" s="7">
        <v>0</v>
      </c>
      <c r="BA42" s="11">
        <f t="shared" si="11"/>
        <v>0</v>
      </c>
      <c r="BB42" s="10">
        <f t="shared" si="27"/>
        <v>0</v>
      </c>
      <c r="BD42" s="10">
        <f t="shared" si="12"/>
        <v>0</v>
      </c>
      <c r="BE42" s="10">
        <f t="shared" si="28"/>
        <v>0</v>
      </c>
      <c r="BG42" s="11">
        <f t="shared" si="13"/>
        <v>0</v>
      </c>
      <c r="BH42" s="10">
        <f t="shared" si="29"/>
        <v>0</v>
      </c>
      <c r="BJ42" s="7" t="str">
        <f t="shared" si="30"/>
        <v/>
      </c>
      <c r="BK42" s="158" t="str">
        <f t="shared" si="31"/>
        <v/>
      </c>
      <c r="BL42" s="158" t="str">
        <f t="shared" si="14"/>
        <v/>
      </c>
      <c r="BM42" s="10"/>
      <c r="BN42" s="10" t="str">
        <f t="shared" si="32"/>
        <v/>
      </c>
      <c r="BO42" s="10" t="str">
        <f t="shared" si="33"/>
        <v/>
      </c>
      <c r="BQ42" s="10">
        <f t="shared" si="15"/>
        <v>7064064000</v>
      </c>
      <c r="BR42" s="10">
        <f t="shared" si="34"/>
        <v>3087538157.3080893</v>
      </c>
    </row>
    <row r="43" spans="3:70" x14ac:dyDescent="0.15">
      <c r="D43" s="82" t="s">
        <v>126</v>
      </c>
      <c r="E43" s="81"/>
      <c r="F43" s="88"/>
      <c r="I43" s="38">
        <f t="shared" si="35"/>
        <v>2058</v>
      </c>
      <c r="J43" s="39"/>
      <c r="K43" s="39">
        <f t="shared" si="36"/>
        <v>29</v>
      </c>
      <c r="L43" s="39"/>
      <c r="M43" s="40">
        <f t="shared" si="0"/>
        <v>0.42434636230138412</v>
      </c>
      <c r="N43" s="39"/>
      <c r="O43" s="72">
        <f t="shared" si="37"/>
        <v>0</v>
      </c>
      <c r="P43" s="41" t="str">
        <f t="shared" si="1"/>
        <v>-</v>
      </c>
      <c r="Q43" s="39"/>
      <c r="R43" s="72">
        <f t="shared" si="16"/>
        <v>30845000000</v>
      </c>
      <c r="S43" s="39"/>
      <c r="T43" s="72">
        <f t="shared" si="17"/>
        <v>30845000000</v>
      </c>
      <c r="U43" s="39"/>
      <c r="V43" s="72">
        <f t="shared" si="2"/>
        <v>0</v>
      </c>
      <c r="W43" s="72">
        <f t="shared" si="18"/>
        <v>0</v>
      </c>
      <c r="X43" s="39"/>
      <c r="Y43" s="72">
        <f t="shared" si="3"/>
        <v>431830000</v>
      </c>
      <c r="Z43" s="72">
        <f t="shared" si="19"/>
        <v>183245489.63260671</v>
      </c>
      <c r="AA43" s="39"/>
      <c r="AB43" s="72">
        <f t="shared" si="4"/>
        <v>0</v>
      </c>
      <c r="AC43" s="72">
        <f t="shared" si="20"/>
        <v>0</v>
      </c>
      <c r="AD43" s="39"/>
      <c r="AE43" s="72">
        <f t="shared" si="5"/>
        <v>0</v>
      </c>
      <c r="AF43" s="72">
        <f t="shared" si="21"/>
        <v>0</v>
      </c>
      <c r="AG43" s="39"/>
      <c r="AH43" s="72">
        <f t="shared" si="6"/>
        <v>2220000000</v>
      </c>
      <c r="AI43" s="72">
        <f t="shared" si="22"/>
        <v>942048924.30907273</v>
      </c>
      <c r="AJ43" s="39"/>
      <c r="AK43" s="72">
        <f t="shared" si="7"/>
        <v>11721100000</v>
      </c>
      <c r="AL43" s="72">
        <f t="shared" si="23"/>
        <v>4973806147.1707535</v>
      </c>
      <c r="AM43" s="39"/>
      <c r="AN43" s="72">
        <f t="shared" si="8"/>
        <v>9410000000</v>
      </c>
      <c r="AO43" s="72">
        <f t="shared" si="24"/>
        <v>3993099269.2560244</v>
      </c>
      <c r="AP43" s="39"/>
      <c r="AQ43" s="72">
        <f t="shared" si="9"/>
        <v>2988940800</v>
      </c>
      <c r="AR43" s="72">
        <f t="shared" si="25"/>
        <v>1268346155.6141889</v>
      </c>
      <c r="AS43" s="39"/>
      <c r="AT43" s="40">
        <f>IF($K43&lt;=$F$15,IF($F$40&lt;&gt;"",$F$40/1000,IF(ISERROR(VLOOKUP($F$3&amp;IF($G$4&lt;&gt;"",$G$4,"")&amp;IF($F$43&lt;&gt;"","_"&amp;$F$43,""),'表3）燃料価格'!$AF$9:$AG$25,2,0)),0,VLOOKUP($I43,'表3）燃料価格'!$A$6:$U$66,VLOOKUP($F$3&amp;IF($G$4&lt;&gt;"",$G$4,"")&amp;IF($F$43&lt;&gt;"","_"&amp;$F$43,""),'表3）燃料価格'!$AF$9:$AG$25,2,0)+VLOOKUP($F$41,'表3）燃料価格'!$AF$28:$AG$29,2,0),0)*IF($F$43="需要地価格",1,$F$8/$F$141))),"")</f>
        <v>0</v>
      </c>
      <c r="AU43" s="39"/>
      <c r="AV43" s="72">
        <f t="shared" si="10"/>
        <v>0</v>
      </c>
      <c r="AW43" s="72">
        <f t="shared" si="26"/>
        <v>0</v>
      </c>
      <c r="AX43" s="39"/>
      <c r="AY43" s="40">
        <v>0</v>
      </c>
      <c r="AZ43" s="39"/>
      <c r="BA43" s="42">
        <f t="shared" si="11"/>
        <v>0</v>
      </c>
      <c r="BB43" s="72">
        <f t="shared" si="27"/>
        <v>0</v>
      </c>
      <c r="BC43" s="39"/>
      <c r="BD43" s="72">
        <f t="shared" si="12"/>
        <v>0</v>
      </c>
      <c r="BE43" s="72">
        <f t="shared" si="28"/>
        <v>0</v>
      </c>
      <c r="BF43" s="39"/>
      <c r="BG43" s="42">
        <f t="shared" si="13"/>
        <v>0</v>
      </c>
      <c r="BH43" s="72">
        <f t="shared" si="29"/>
        <v>0</v>
      </c>
      <c r="BI43" s="39"/>
      <c r="BJ43" s="40" t="str">
        <f t="shared" si="30"/>
        <v/>
      </c>
      <c r="BK43" s="157" t="str">
        <f t="shared" si="31"/>
        <v/>
      </c>
      <c r="BL43" s="157" t="str">
        <f t="shared" si="14"/>
        <v/>
      </c>
      <c r="BM43" s="72"/>
      <c r="BN43" s="72" t="str">
        <f t="shared" si="32"/>
        <v/>
      </c>
      <c r="BO43" s="72" t="str">
        <f t="shared" si="33"/>
        <v/>
      </c>
      <c r="BP43" s="39"/>
      <c r="BQ43" s="72">
        <f t="shared" si="15"/>
        <v>7064064000</v>
      </c>
      <c r="BR43" s="72">
        <f t="shared" si="34"/>
        <v>2997609861.4641647</v>
      </c>
    </row>
    <row r="44" spans="3:70" x14ac:dyDescent="0.15">
      <c r="I44" s="322">
        <f t="shared" si="35"/>
        <v>2059</v>
      </c>
      <c r="K44" s="71">
        <f t="shared" si="36"/>
        <v>30</v>
      </c>
      <c r="M44" s="7">
        <f t="shared" si="0"/>
        <v>0.41198675951590691</v>
      </c>
      <c r="O44" s="10">
        <f t="shared" si="37"/>
        <v>0</v>
      </c>
      <c r="P44" s="29" t="str">
        <f t="shared" si="1"/>
        <v>-</v>
      </c>
      <c r="R44" s="10">
        <f t="shared" si="16"/>
        <v>30845000000</v>
      </c>
      <c r="T44" s="10">
        <f t="shared" si="17"/>
        <v>30845000000</v>
      </c>
      <c r="V44" s="10">
        <f t="shared" si="2"/>
        <v>0</v>
      </c>
      <c r="W44" s="10">
        <f t="shared" si="18"/>
        <v>0</v>
      </c>
      <c r="Y44" s="10">
        <f t="shared" si="3"/>
        <v>431830000</v>
      </c>
      <c r="Z44" s="10">
        <f t="shared" si="19"/>
        <v>177908242.36175409</v>
      </c>
      <c r="AB44" s="10">
        <f t="shared" si="4"/>
        <v>0</v>
      </c>
      <c r="AC44" s="10">
        <f t="shared" si="20"/>
        <v>0</v>
      </c>
      <c r="AE44" s="10">
        <f t="shared" si="5"/>
        <v>0</v>
      </c>
      <c r="AF44" s="10">
        <f t="shared" si="21"/>
        <v>0</v>
      </c>
      <c r="AH44" s="10">
        <f t="shared" si="6"/>
        <v>2220000000</v>
      </c>
      <c r="AI44" s="10">
        <f t="shared" si="22"/>
        <v>914610606.12531328</v>
      </c>
      <c r="AK44" s="10">
        <f t="shared" si="7"/>
        <v>11721100000</v>
      </c>
      <c r="AL44" s="10">
        <f t="shared" si="23"/>
        <v>4828938006.9618969</v>
      </c>
      <c r="AN44" s="10">
        <f t="shared" si="8"/>
        <v>9410000000</v>
      </c>
      <c r="AO44" s="10">
        <f t="shared" si="24"/>
        <v>3876795407.0446839</v>
      </c>
      <c r="AQ44" s="10">
        <f t="shared" si="9"/>
        <v>2988940800</v>
      </c>
      <c r="AR44" s="10">
        <f t="shared" si="25"/>
        <v>1231404034.5768824</v>
      </c>
      <c r="AT44" s="7">
        <f>IF($K44&lt;=$F$15,IF($F$40&lt;&gt;"",$F$40/1000,IF(ISERROR(VLOOKUP($F$3&amp;IF($G$4&lt;&gt;"",$G$4,"")&amp;IF($F$43&lt;&gt;"","_"&amp;$F$43,""),'表3）燃料価格'!$AF$9:$AG$25,2,0)),0,VLOOKUP($I44,'表3）燃料価格'!$A$6:$U$66,VLOOKUP($F$3&amp;IF($G$4&lt;&gt;"",$G$4,"")&amp;IF($F$43&lt;&gt;"","_"&amp;$F$43,""),'表3）燃料価格'!$AF$9:$AG$25,2,0)+VLOOKUP($F$41,'表3）燃料価格'!$AF$28:$AG$29,2,0),0)*IF($F$43="需要地価格",1,$F$8/$F$141))),"")</f>
        <v>0</v>
      </c>
      <c r="AV44" s="10">
        <f t="shared" si="10"/>
        <v>0</v>
      </c>
      <c r="AW44" s="10">
        <f t="shared" si="26"/>
        <v>0</v>
      </c>
      <c r="AY44" s="7">
        <v>0</v>
      </c>
      <c r="BA44" s="11">
        <f t="shared" si="11"/>
        <v>0</v>
      </c>
      <c r="BB44" s="10">
        <f t="shared" si="27"/>
        <v>0</v>
      </c>
      <c r="BD44" s="10">
        <f t="shared" si="12"/>
        <v>0</v>
      </c>
      <c r="BE44" s="10">
        <f t="shared" si="28"/>
        <v>0</v>
      </c>
      <c r="BG44" s="11">
        <f t="shared" si="13"/>
        <v>0</v>
      </c>
      <c r="BH44" s="10">
        <f t="shared" si="29"/>
        <v>0</v>
      </c>
      <c r="BJ44" s="7" t="str">
        <f t="shared" si="30"/>
        <v/>
      </c>
      <c r="BK44" s="158" t="str">
        <f t="shared" si="31"/>
        <v/>
      </c>
      <c r="BL44" s="158" t="str">
        <f t="shared" si="14"/>
        <v/>
      </c>
      <c r="BM44" s="10"/>
      <c r="BN44" s="10" t="str">
        <f t="shared" si="32"/>
        <v/>
      </c>
      <c r="BO44" s="10" t="str">
        <f t="shared" si="33"/>
        <v/>
      </c>
      <c r="BQ44" s="10">
        <f t="shared" si="15"/>
        <v>7064064000</v>
      </c>
      <c r="BR44" s="10">
        <f t="shared" si="34"/>
        <v>2910300836.3729753</v>
      </c>
    </row>
    <row r="45" spans="3:70" x14ac:dyDescent="0.15">
      <c r="C45" s="89" t="s">
        <v>509</v>
      </c>
      <c r="D45" s="89"/>
      <c r="E45" s="89"/>
      <c r="F45" s="89"/>
      <c r="G45" s="89"/>
      <c r="I45" s="38">
        <f t="shared" si="35"/>
        <v>2060</v>
      </c>
      <c r="J45" s="39"/>
      <c r="K45" s="39">
        <f t="shared" si="36"/>
        <v>31</v>
      </c>
      <c r="L45" s="39"/>
      <c r="M45" s="40">
        <f t="shared" si="0"/>
        <v>0.39998714516107459</v>
      </c>
      <c r="N45" s="39"/>
      <c r="O45" s="72">
        <f t="shared" si="37"/>
        <v>0</v>
      </c>
      <c r="P45" s="41" t="str">
        <f t="shared" si="1"/>
        <v>-</v>
      </c>
      <c r="Q45" s="39"/>
      <c r="R45" s="72">
        <f t="shared" si="16"/>
        <v>30845000000</v>
      </c>
      <c r="S45" s="39"/>
      <c r="T45" s="72">
        <f t="shared" si="17"/>
        <v>30845000000</v>
      </c>
      <c r="U45" s="39"/>
      <c r="V45" s="72">
        <f t="shared" si="2"/>
        <v>0</v>
      </c>
      <c r="W45" s="72">
        <f t="shared" si="18"/>
        <v>0</v>
      </c>
      <c r="X45" s="39"/>
      <c r="Y45" s="72">
        <f t="shared" si="3"/>
        <v>431830000</v>
      </c>
      <c r="Z45" s="72">
        <f t="shared" si="19"/>
        <v>172726448.89490685</v>
      </c>
      <c r="AA45" s="39"/>
      <c r="AB45" s="72">
        <f t="shared" si="4"/>
        <v>0</v>
      </c>
      <c r="AC45" s="72">
        <f t="shared" si="20"/>
        <v>0</v>
      </c>
      <c r="AD45" s="39"/>
      <c r="AE45" s="72">
        <f t="shared" si="5"/>
        <v>0</v>
      </c>
      <c r="AF45" s="72">
        <f t="shared" si="21"/>
        <v>0</v>
      </c>
      <c r="AG45" s="39"/>
      <c r="AH45" s="72">
        <f t="shared" si="6"/>
        <v>2220000000</v>
      </c>
      <c r="AI45" s="72">
        <f t="shared" si="22"/>
        <v>887971462.25758553</v>
      </c>
      <c r="AJ45" s="39"/>
      <c r="AK45" s="72">
        <f t="shared" si="7"/>
        <v>11721100000</v>
      </c>
      <c r="AL45" s="72">
        <f t="shared" si="23"/>
        <v>4688289327.1474714</v>
      </c>
      <c r="AM45" s="39"/>
      <c r="AN45" s="72">
        <f t="shared" si="8"/>
        <v>9410000000</v>
      </c>
      <c r="AO45" s="72">
        <f t="shared" si="24"/>
        <v>3763879035.9657121</v>
      </c>
      <c r="AP45" s="39"/>
      <c r="AQ45" s="72">
        <f t="shared" si="9"/>
        <v>2988940800</v>
      </c>
      <c r="AR45" s="72">
        <f t="shared" si="25"/>
        <v>1195537897.6474583</v>
      </c>
      <c r="AS45" s="39"/>
      <c r="AT45" s="40">
        <f>IF($K45&lt;=$F$15,IF($F$40&lt;&gt;"",$F$40/1000,IF(ISERROR(VLOOKUP($F$3&amp;IF($G$4&lt;&gt;"",$G$4,"")&amp;IF($F$43&lt;&gt;"","_"&amp;$F$43,""),'表3）燃料価格'!$AF$9:$AG$25,2,0)),0,VLOOKUP($I45,'表3）燃料価格'!$A$6:$U$66,VLOOKUP($F$3&amp;IF($G$4&lt;&gt;"",$G$4,"")&amp;IF($F$43&lt;&gt;"","_"&amp;$F$43,""),'表3）燃料価格'!$AF$9:$AG$25,2,0)+VLOOKUP($F$41,'表3）燃料価格'!$AF$28:$AG$29,2,0),0)*IF($F$43="需要地価格",1,$F$8/$F$141))),"")</f>
        <v>0</v>
      </c>
      <c r="AU45" s="39"/>
      <c r="AV45" s="72">
        <f t="shared" si="10"/>
        <v>0</v>
      </c>
      <c r="AW45" s="72">
        <f t="shared" si="26"/>
        <v>0</v>
      </c>
      <c r="AX45" s="39"/>
      <c r="AY45" s="40">
        <v>0</v>
      </c>
      <c r="AZ45" s="39"/>
      <c r="BA45" s="42">
        <f t="shared" si="11"/>
        <v>0</v>
      </c>
      <c r="BB45" s="72">
        <f t="shared" si="27"/>
        <v>0</v>
      </c>
      <c r="BC45" s="39"/>
      <c r="BD45" s="72">
        <f t="shared" si="12"/>
        <v>0</v>
      </c>
      <c r="BE45" s="72">
        <f t="shared" si="28"/>
        <v>0</v>
      </c>
      <c r="BF45" s="39"/>
      <c r="BG45" s="42">
        <f t="shared" si="13"/>
        <v>0</v>
      </c>
      <c r="BH45" s="72">
        <f t="shared" si="29"/>
        <v>0</v>
      </c>
      <c r="BI45" s="39"/>
      <c r="BJ45" s="40" t="str">
        <f t="shared" si="30"/>
        <v/>
      </c>
      <c r="BK45" s="157" t="str">
        <f t="shared" si="31"/>
        <v/>
      </c>
      <c r="BL45" s="157" t="str">
        <f t="shared" si="14"/>
        <v/>
      </c>
      <c r="BM45" s="72"/>
      <c r="BN45" s="72" t="str">
        <f t="shared" si="32"/>
        <v/>
      </c>
      <c r="BO45" s="72" t="str">
        <f t="shared" si="33"/>
        <v/>
      </c>
      <c r="BP45" s="39"/>
      <c r="BQ45" s="72">
        <f t="shared" si="15"/>
        <v>7064064000</v>
      </c>
      <c r="BR45" s="72">
        <f t="shared" si="34"/>
        <v>2825534792.5951214</v>
      </c>
    </row>
    <row r="46" spans="3:70" x14ac:dyDescent="0.15">
      <c r="I46" s="322">
        <f t="shared" si="35"/>
        <v>2061</v>
      </c>
      <c r="K46" s="71">
        <f t="shared" si="36"/>
        <v>32</v>
      </c>
      <c r="M46" s="7">
        <f t="shared" si="0"/>
        <v>0.38833703413696569</v>
      </c>
      <c r="O46" s="10">
        <f t="shared" si="37"/>
        <v>0</v>
      </c>
      <c r="P46" s="29" t="str">
        <f t="shared" si="1"/>
        <v>-</v>
      </c>
      <c r="R46" s="10">
        <f t="shared" si="16"/>
        <v>30845000000</v>
      </c>
      <c r="T46" s="10">
        <f t="shared" si="17"/>
        <v>30845000000</v>
      </c>
      <c r="V46" s="10">
        <f t="shared" si="2"/>
        <v>0</v>
      </c>
      <c r="W46" s="10">
        <f t="shared" si="18"/>
        <v>0</v>
      </c>
      <c r="Y46" s="10">
        <f t="shared" si="3"/>
        <v>431830000</v>
      </c>
      <c r="Z46" s="10">
        <f t="shared" si="19"/>
        <v>167695581.45136589</v>
      </c>
      <c r="AB46" s="10">
        <f t="shared" si="4"/>
        <v>0</v>
      </c>
      <c r="AC46" s="10">
        <f t="shared" si="20"/>
        <v>0</v>
      </c>
      <c r="AE46" s="10">
        <f t="shared" si="5"/>
        <v>0</v>
      </c>
      <c r="AF46" s="10">
        <f t="shared" si="21"/>
        <v>0</v>
      </c>
      <c r="AH46" s="10">
        <f t="shared" si="6"/>
        <v>2220000000</v>
      </c>
      <c r="AI46" s="10">
        <f t="shared" si="22"/>
        <v>862108215.78406382</v>
      </c>
      <c r="AK46" s="10">
        <f t="shared" si="7"/>
        <v>11721100000</v>
      </c>
      <c r="AL46" s="10">
        <f t="shared" si="23"/>
        <v>4551737210.8227882</v>
      </c>
      <c r="AN46" s="10">
        <f t="shared" si="8"/>
        <v>9410000000</v>
      </c>
      <c r="AO46" s="10">
        <f t="shared" si="24"/>
        <v>3654251491.228847</v>
      </c>
      <c r="AQ46" s="10">
        <f t="shared" si="9"/>
        <v>2988940800</v>
      </c>
      <c r="AR46" s="10">
        <f t="shared" si="25"/>
        <v>1160716405.4829695</v>
      </c>
      <c r="AT46" s="7">
        <f>IF($K46&lt;=$F$15,IF($F$40&lt;&gt;"",$F$40/1000,IF(ISERROR(VLOOKUP($F$3&amp;IF($G$4&lt;&gt;"",$G$4,"")&amp;IF($F$43&lt;&gt;"","_"&amp;$F$43,""),'表3）燃料価格'!$AF$9:$AG$25,2,0)),0,VLOOKUP($I46,'表3）燃料価格'!$A$6:$U$66,VLOOKUP($F$3&amp;IF($G$4&lt;&gt;"",$G$4,"")&amp;IF($F$43&lt;&gt;"","_"&amp;$F$43,""),'表3）燃料価格'!$AF$9:$AG$25,2,0)+VLOOKUP($F$41,'表3）燃料価格'!$AF$28:$AG$29,2,0),0)*IF($F$43="需要地価格",1,$F$8/$F$141))),"")</f>
        <v>0</v>
      </c>
      <c r="AV46" s="10">
        <f t="shared" si="10"/>
        <v>0</v>
      </c>
      <c r="AW46" s="10">
        <f t="shared" si="26"/>
        <v>0</v>
      </c>
      <c r="AY46" s="7">
        <v>0</v>
      </c>
      <c r="BA46" s="11">
        <f t="shared" si="11"/>
        <v>0</v>
      </c>
      <c r="BB46" s="10">
        <f t="shared" si="27"/>
        <v>0</v>
      </c>
      <c r="BD46" s="10">
        <f t="shared" si="12"/>
        <v>0</v>
      </c>
      <c r="BE46" s="10">
        <f t="shared" si="28"/>
        <v>0</v>
      </c>
      <c r="BG46" s="11">
        <f t="shared" si="13"/>
        <v>0</v>
      </c>
      <c r="BH46" s="10">
        <f t="shared" si="29"/>
        <v>0</v>
      </c>
      <c r="BJ46" s="7" t="str">
        <f t="shared" si="30"/>
        <v/>
      </c>
      <c r="BK46" s="158" t="str">
        <f t="shared" si="31"/>
        <v/>
      </c>
      <c r="BL46" s="158" t="str">
        <f t="shared" si="14"/>
        <v/>
      </c>
      <c r="BM46" s="10"/>
      <c r="BN46" s="10" t="str">
        <f t="shared" si="32"/>
        <v/>
      </c>
      <c r="BO46" s="10" t="str">
        <f t="shared" si="33"/>
        <v/>
      </c>
      <c r="BQ46" s="10">
        <f t="shared" si="15"/>
        <v>7064064000</v>
      </c>
      <c r="BR46" s="10">
        <f t="shared" si="34"/>
        <v>2743237662.7137103</v>
      </c>
    </row>
    <row r="47" spans="3:70" x14ac:dyDescent="0.15">
      <c r="D47" s="9" t="s">
        <v>182</v>
      </c>
      <c r="F47" s="66"/>
      <c r="G47" s="9" t="s">
        <v>226</v>
      </c>
      <c r="I47" s="38">
        <f t="shared" si="35"/>
        <v>2062</v>
      </c>
      <c r="J47" s="39"/>
      <c r="K47" s="39">
        <f t="shared" si="36"/>
        <v>33</v>
      </c>
      <c r="L47" s="39"/>
      <c r="M47" s="40">
        <f t="shared" si="0"/>
        <v>0.37702624673491814</v>
      </c>
      <c r="N47" s="39"/>
      <c r="O47" s="72">
        <f t="shared" si="37"/>
        <v>0</v>
      </c>
      <c r="P47" s="41" t="str">
        <f t="shared" ref="P47:P78" si="38">IF(K47&lt;=$F$15,IF(OR(P46=$F$124,P46="-"),"-",IF(O47*$F$123&gt;$F$127,$F$123,$F$124)),"")</f>
        <v>-</v>
      </c>
      <c r="Q47" s="39"/>
      <c r="R47" s="72">
        <f t="shared" si="16"/>
        <v>30845000000</v>
      </c>
      <c r="S47" s="39"/>
      <c r="T47" s="72">
        <f t="shared" si="17"/>
        <v>30845000000</v>
      </c>
      <c r="U47" s="39"/>
      <c r="V47" s="72">
        <f t="shared" ref="V47:V78" si="39">IF(K47&lt;=$F$15,IF(K47&lt;$F$119,IF(P47="-",V46,O47*P47),IF(K47=$F$119,MIN(IF(P47="-",V46,O47*P47),O47),0)),"")</f>
        <v>0</v>
      </c>
      <c r="W47" s="72">
        <f t="shared" si="18"/>
        <v>0</v>
      </c>
      <c r="X47" s="39"/>
      <c r="Y47" s="72">
        <f t="shared" ref="Y47:Y78" si="40">IF($K47&lt;=$F$15,ROUNDDOWN(T47*$F$25/100,-2),"")</f>
        <v>431830000</v>
      </c>
      <c r="Z47" s="72">
        <f t="shared" si="19"/>
        <v>162811244.12753969</v>
      </c>
      <c r="AA47" s="39"/>
      <c r="AB47" s="72">
        <f t="shared" si="4"/>
        <v>0</v>
      </c>
      <c r="AC47" s="72">
        <f t="shared" si="20"/>
        <v>0</v>
      </c>
      <c r="AD47" s="39"/>
      <c r="AE47" s="72">
        <f t="shared" ref="AE47:AE78" si="41">IF($K47&lt;=$F$15,$F$26,"")</f>
        <v>0</v>
      </c>
      <c r="AF47" s="72">
        <f t="shared" si="21"/>
        <v>0</v>
      </c>
      <c r="AG47" s="39"/>
      <c r="AH47" s="72">
        <f t="shared" ref="AH47:AH78" si="42">IF($K47&lt;=$F$15,$F$33*10^8,"")</f>
        <v>2220000000</v>
      </c>
      <c r="AI47" s="72">
        <f t="shared" si="22"/>
        <v>836998267.75151825</v>
      </c>
      <c r="AJ47" s="39"/>
      <c r="AK47" s="72">
        <f t="shared" ref="AK47:AK78" si="43">IF($K47&lt;=$F$15,$F$117*$F$34/100,"")</f>
        <v>11721100000</v>
      </c>
      <c r="AL47" s="72">
        <f t="shared" si="23"/>
        <v>4419162340.6046486</v>
      </c>
      <c r="AM47" s="39"/>
      <c r="AN47" s="72">
        <f t="shared" si="8"/>
        <v>9410000000</v>
      </c>
      <c r="AO47" s="72">
        <f t="shared" si="24"/>
        <v>3547816981.7755795</v>
      </c>
      <c r="AP47" s="39"/>
      <c r="AQ47" s="72">
        <f t="shared" ref="AQ47:AQ78" si="44">IF($K47&lt;=$F$15,SUM(AH47,AK47,AN47)*($F$36/100),"")</f>
        <v>2988940800</v>
      </c>
      <c r="AR47" s="72">
        <f t="shared" si="25"/>
        <v>1126909131.5368636</v>
      </c>
      <c r="AS47" s="39"/>
      <c r="AT47" s="40">
        <f>IF($K47&lt;=$F$15,IF($F$40&lt;&gt;"",$F$40/1000,IF(ISERROR(VLOOKUP($F$3&amp;IF($G$4&lt;&gt;"",$G$4,"")&amp;IF($F$43&lt;&gt;"","_"&amp;$F$43,""),'表3）燃料価格'!$AF$9:$AG$25,2,0)),0,VLOOKUP($I47,'表3）燃料価格'!$A$6:$U$66,VLOOKUP($F$3&amp;IF($G$4&lt;&gt;"",$G$4,"")&amp;IF($F$43&lt;&gt;"","_"&amp;$F$43,""),'表3）燃料価格'!$AF$9:$AG$25,2,0)+VLOOKUP($F$41,'表3）燃料価格'!$AF$28:$AG$29,2,0),0)*IF($F$43="需要地価格",1,$F$8/$F$141))),"")</f>
        <v>0</v>
      </c>
      <c r="AU47" s="39"/>
      <c r="AV47" s="72">
        <f t="shared" ref="AV47:AV78" si="45">IF($K47&lt;=$F$15,($AT47+$F$142)*$F$137,"")</f>
        <v>0</v>
      </c>
      <c r="AW47" s="72">
        <f t="shared" si="26"/>
        <v>0</v>
      </c>
      <c r="AX47" s="39"/>
      <c r="AY47" s="40">
        <v>0</v>
      </c>
      <c r="AZ47" s="39"/>
      <c r="BA47" s="42">
        <f t="shared" ref="BA47:BA78" si="46">IF($K47&lt;=$F$15,$F$145*AY47,"")</f>
        <v>0</v>
      </c>
      <c r="BB47" s="72">
        <f t="shared" si="27"/>
        <v>0</v>
      </c>
      <c r="BC47" s="39"/>
      <c r="BD47" s="72">
        <f t="shared" ref="BD47:BD78" si="47">IF($K47&lt;=$F$15,($AT47+$F$151)*$F$150,"")</f>
        <v>0</v>
      </c>
      <c r="BE47" s="72">
        <f t="shared" si="28"/>
        <v>0</v>
      </c>
      <c r="BF47" s="39"/>
      <c r="BG47" s="42">
        <f t="shared" ref="BG47:BG78" si="48">IF($K47&lt;=$F$15,$F$152*AY47,"")</f>
        <v>0</v>
      </c>
      <c r="BH47" s="72">
        <f t="shared" si="29"/>
        <v>0</v>
      </c>
      <c r="BI47" s="39"/>
      <c r="BJ47" s="40" t="str">
        <f t="shared" si="30"/>
        <v/>
      </c>
      <c r="BK47" s="157" t="str">
        <f t="shared" si="31"/>
        <v/>
      </c>
      <c r="BL47" s="157" t="str">
        <f t="shared" si="14"/>
        <v/>
      </c>
      <c r="BM47" s="72"/>
      <c r="BN47" s="72" t="str">
        <f t="shared" si="32"/>
        <v/>
      </c>
      <c r="BO47" s="72" t="str">
        <f t="shared" si="33"/>
        <v/>
      </c>
      <c r="BP47" s="39"/>
      <c r="BQ47" s="72">
        <f t="shared" ref="BQ47:BQ78" si="49">IF($K47&lt;=$F$15,$F$134,"")</f>
        <v>7064064000</v>
      </c>
      <c r="BR47" s="72">
        <f t="shared" si="34"/>
        <v>2663337536.615253</v>
      </c>
    </row>
    <row r="48" spans="3:70" x14ac:dyDescent="0.15">
      <c r="D48" s="9" t="s">
        <v>184</v>
      </c>
      <c r="F48" s="88"/>
      <c r="I48" s="322">
        <f t="shared" si="35"/>
        <v>2063</v>
      </c>
      <c r="K48" s="71">
        <f t="shared" si="36"/>
        <v>34</v>
      </c>
      <c r="M48" s="7">
        <f t="shared" si="0"/>
        <v>0.36604489974263904</v>
      </c>
      <c r="O48" s="10">
        <f t="shared" si="37"/>
        <v>0</v>
      </c>
      <c r="P48" s="29" t="str">
        <f t="shared" si="38"/>
        <v>-</v>
      </c>
      <c r="R48" s="10">
        <f t="shared" ref="R48:R79" si="50">IF($K48&lt;=$F$15,MAX($F$117*5%,R47*$F$129),"")</f>
        <v>30845000000</v>
      </c>
      <c r="T48" s="10">
        <f t="shared" si="17"/>
        <v>30845000000</v>
      </c>
      <c r="V48" s="10">
        <f t="shared" si="39"/>
        <v>0</v>
      </c>
      <c r="W48" s="10">
        <f t="shared" si="18"/>
        <v>0</v>
      </c>
      <c r="Y48" s="10">
        <f t="shared" si="40"/>
        <v>431830000</v>
      </c>
      <c r="Z48" s="10">
        <f t="shared" si="19"/>
        <v>158069169.05586383</v>
      </c>
      <c r="AB48" s="10">
        <f t="shared" si="4"/>
        <v>0</v>
      </c>
      <c r="AC48" s="10">
        <f t="shared" si="20"/>
        <v>0</v>
      </c>
      <c r="AE48" s="10">
        <f t="shared" si="41"/>
        <v>0</v>
      </c>
      <c r="AF48" s="10">
        <f t="shared" si="21"/>
        <v>0</v>
      </c>
      <c r="AH48" s="10">
        <f t="shared" si="42"/>
        <v>2220000000</v>
      </c>
      <c r="AI48" s="10">
        <f t="shared" si="22"/>
        <v>812619677.42865872</v>
      </c>
      <c r="AK48" s="10">
        <f t="shared" si="43"/>
        <v>11721100000</v>
      </c>
      <c r="AL48" s="10">
        <f t="shared" si="23"/>
        <v>4290448874.3734465</v>
      </c>
      <c r="AN48" s="10">
        <f t="shared" si="8"/>
        <v>9410000000</v>
      </c>
      <c r="AO48" s="10">
        <f t="shared" si="24"/>
        <v>3444482506.5782332</v>
      </c>
      <c r="AQ48" s="10">
        <f t="shared" si="44"/>
        <v>2988940800</v>
      </c>
      <c r="AR48" s="10">
        <f t="shared" si="25"/>
        <v>1094086535.4726834</v>
      </c>
      <c r="AT48" s="7">
        <f>IF($K48&lt;=$F$15,IF($F$40&lt;&gt;"",$F$40/1000,IF(ISERROR(VLOOKUP($F$3&amp;IF($G$4&lt;&gt;"",$G$4,"")&amp;IF($F$43&lt;&gt;"","_"&amp;$F$43,""),'表3）燃料価格'!$AF$9:$AG$25,2,0)),0,VLOOKUP($I48,'表3）燃料価格'!$A$6:$U$66,VLOOKUP($F$3&amp;IF($G$4&lt;&gt;"",$G$4,"")&amp;IF($F$43&lt;&gt;"","_"&amp;$F$43,""),'表3）燃料価格'!$AF$9:$AG$25,2,0)+VLOOKUP($F$41,'表3）燃料価格'!$AF$28:$AG$29,2,0),0)*IF($F$43="需要地価格",1,$F$8/$F$141))),"")</f>
        <v>0</v>
      </c>
      <c r="AV48" s="10">
        <f t="shared" si="45"/>
        <v>0</v>
      </c>
      <c r="AW48" s="10">
        <f t="shared" si="26"/>
        <v>0</v>
      </c>
      <c r="AY48" s="7">
        <v>0</v>
      </c>
      <c r="BA48" s="11">
        <f t="shared" si="46"/>
        <v>0</v>
      </c>
      <c r="BB48" s="10">
        <f t="shared" si="27"/>
        <v>0</v>
      </c>
      <c r="BD48" s="10">
        <f t="shared" si="47"/>
        <v>0</v>
      </c>
      <c r="BE48" s="10">
        <f t="shared" si="28"/>
        <v>0</v>
      </c>
      <c r="BG48" s="11">
        <f t="shared" si="48"/>
        <v>0</v>
      </c>
      <c r="BH48" s="10">
        <f t="shared" si="29"/>
        <v>0</v>
      </c>
      <c r="BJ48" s="7" t="str">
        <f t="shared" si="30"/>
        <v/>
      </c>
      <c r="BK48" s="158" t="str">
        <f t="shared" si="31"/>
        <v/>
      </c>
      <c r="BL48" s="158" t="str">
        <f t="shared" si="14"/>
        <v/>
      </c>
      <c r="BM48" s="10"/>
      <c r="BN48" s="10" t="str">
        <f t="shared" si="32"/>
        <v/>
      </c>
      <c r="BO48" s="10" t="str">
        <f t="shared" si="33"/>
        <v/>
      </c>
      <c r="BQ48" s="10">
        <f t="shared" si="49"/>
        <v>7064064000</v>
      </c>
      <c r="BR48" s="10">
        <f t="shared" si="34"/>
        <v>2585764598.6555858</v>
      </c>
    </row>
    <row r="49" spans="3:70" x14ac:dyDescent="0.15">
      <c r="I49" s="38">
        <f t="shared" si="35"/>
        <v>2064</v>
      </c>
      <c r="J49" s="39"/>
      <c r="K49" s="39">
        <f t="shared" si="36"/>
        <v>35</v>
      </c>
      <c r="L49" s="39"/>
      <c r="M49" s="40">
        <f t="shared" si="0"/>
        <v>0.35538339780838735</v>
      </c>
      <c r="N49" s="39"/>
      <c r="O49" s="72">
        <f t="shared" si="37"/>
        <v>0</v>
      </c>
      <c r="P49" s="41" t="str">
        <f t="shared" si="38"/>
        <v>-</v>
      </c>
      <c r="Q49" s="39"/>
      <c r="R49" s="72">
        <f t="shared" si="50"/>
        <v>30845000000</v>
      </c>
      <c r="S49" s="39"/>
      <c r="T49" s="72">
        <f t="shared" si="17"/>
        <v>30845000000</v>
      </c>
      <c r="U49" s="39"/>
      <c r="V49" s="72">
        <f t="shared" si="39"/>
        <v>0</v>
      </c>
      <c r="W49" s="72">
        <f t="shared" si="18"/>
        <v>0</v>
      </c>
      <c r="X49" s="39"/>
      <c r="Y49" s="72">
        <f t="shared" si="40"/>
        <v>431830000</v>
      </c>
      <c r="Z49" s="72">
        <f t="shared" si="19"/>
        <v>153465212.67559591</v>
      </c>
      <c r="AA49" s="39"/>
      <c r="AB49" s="72">
        <f t="shared" si="4"/>
        <v>0</v>
      </c>
      <c r="AC49" s="72">
        <f t="shared" si="20"/>
        <v>0</v>
      </c>
      <c r="AD49" s="39"/>
      <c r="AE49" s="72">
        <f t="shared" si="41"/>
        <v>0</v>
      </c>
      <c r="AF49" s="72">
        <f t="shared" si="21"/>
        <v>0</v>
      </c>
      <c r="AG49" s="39"/>
      <c r="AH49" s="72">
        <f t="shared" si="42"/>
        <v>2220000000</v>
      </c>
      <c r="AI49" s="72">
        <f t="shared" si="22"/>
        <v>788951143.13461995</v>
      </c>
      <c r="AJ49" s="39"/>
      <c r="AK49" s="72">
        <f t="shared" si="43"/>
        <v>11721100000</v>
      </c>
      <c r="AL49" s="72">
        <f t="shared" si="23"/>
        <v>4165484344.0518889</v>
      </c>
      <c r="AM49" s="39"/>
      <c r="AN49" s="72">
        <f t="shared" si="8"/>
        <v>9410000000</v>
      </c>
      <c r="AO49" s="72">
        <f t="shared" si="24"/>
        <v>3344157773.376925</v>
      </c>
      <c r="AP49" s="39"/>
      <c r="AQ49" s="72">
        <f t="shared" si="44"/>
        <v>2988940800</v>
      </c>
      <c r="AR49" s="72">
        <f t="shared" si="25"/>
        <v>1062219937.3521196</v>
      </c>
      <c r="AS49" s="39"/>
      <c r="AT49" s="40">
        <f>IF($K49&lt;=$F$15,IF($F$40&lt;&gt;"",$F$40/1000,IF(ISERROR(VLOOKUP($F$3&amp;IF($G$4&lt;&gt;"",$G$4,"")&amp;IF($F$43&lt;&gt;"","_"&amp;$F$43,""),'表3）燃料価格'!$AF$9:$AG$25,2,0)),0,VLOOKUP($I49,'表3）燃料価格'!$A$6:$U$66,VLOOKUP($F$3&amp;IF($G$4&lt;&gt;"",$G$4,"")&amp;IF($F$43&lt;&gt;"","_"&amp;$F$43,""),'表3）燃料価格'!$AF$9:$AG$25,2,0)+VLOOKUP($F$41,'表3）燃料価格'!$AF$28:$AG$29,2,0),0)*IF($F$43="需要地価格",1,$F$8/$F$141))),"")</f>
        <v>0</v>
      </c>
      <c r="AU49" s="39"/>
      <c r="AV49" s="72">
        <f t="shared" si="45"/>
        <v>0</v>
      </c>
      <c r="AW49" s="72">
        <f t="shared" si="26"/>
        <v>0</v>
      </c>
      <c r="AX49" s="39"/>
      <c r="AY49" s="40">
        <v>0</v>
      </c>
      <c r="AZ49" s="39"/>
      <c r="BA49" s="42">
        <f t="shared" si="46"/>
        <v>0</v>
      </c>
      <c r="BB49" s="72">
        <f t="shared" si="27"/>
        <v>0</v>
      </c>
      <c r="BC49" s="39"/>
      <c r="BD49" s="72">
        <f t="shared" si="47"/>
        <v>0</v>
      </c>
      <c r="BE49" s="72">
        <f t="shared" si="28"/>
        <v>0</v>
      </c>
      <c r="BF49" s="39"/>
      <c r="BG49" s="42">
        <f t="shared" si="48"/>
        <v>0</v>
      </c>
      <c r="BH49" s="72">
        <f t="shared" si="29"/>
        <v>0</v>
      </c>
      <c r="BI49" s="39"/>
      <c r="BJ49" s="40" t="str">
        <f t="shared" si="30"/>
        <v/>
      </c>
      <c r="BK49" s="157" t="str">
        <f t="shared" si="31"/>
        <v/>
      </c>
      <c r="BL49" s="157" t="str">
        <f t="shared" si="14"/>
        <v/>
      </c>
      <c r="BM49" s="72"/>
      <c r="BN49" s="72" t="str">
        <f t="shared" si="32"/>
        <v/>
      </c>
      <c r="BO49" s="72" t="str">
        <f t="shared" si="33"/>
        <v/>
      </c>
      <c r="BP49" s="39"/>
      <c r="BQ49" s="72">
        <f t="shared" si="49"/>
        <v>7064064000</v>
      </c>
      <c r="BR49" s="72">
        <f t="shared" si="34"/>
        <v>2510451066.6559081</v>
      </c>
    </row>
    <row r="50" spans="3:70" x14ac:dyDescent="0.15">
      <c r="C50" s="89" t="s">
        <v>510</v>
      </c>
      <c r="D50" s="89"/>
      <c r="E50" s="89"/>
      <c r="F50" s="89"/>
      <c r="G50" s="89"/>
      <c r="I50" s="322">
        <f t="shared" si="35"/>
        <v>2065</v>
      </c>
      <c r="K50" s="71">
        <f t="shared" si="36"/>
        <v>36</v>
      </c>
      <c r="M50" s="7">
        <f t="shared" si="0"/>
        <v>0.34503242505668674</v>
      </c>
      <c r="O50" s="10">
        <f t="shared" si="37"/>
        <v>0</v>
      </c>
      <c r="P50" s="29" t="str">
        <f t="shared" si="38"/>
        <v>-</v>
      </c>
      <c r="R50" s="10">
        <f t="shared" si="50"/>
        <v>30845000000</v>
      </c>
      <c r="T50" s="10">
        <f t="shared" si="17"/>
        <v>30845000000</v>
      </c>
      <c r="V50" s="10">
        <f t="shared" si="39"/>
        <v>0</v>
      </c>
      <c r="W50" s="10">
        <f t="shared" si="18"/>
        <v>0</v>
      </c>
      <c r="Y50" s="10">
        <f t="shared" si="40"/>
        <v>431830000</v>
      </c>
      <c r="Z50" s="10">
        <f t="shared" si="19"/>
        <v>148995352.11222905</v>
      </c>
      <c r="AB50" s="10">
        <f t="shared" si="4"/>
        <v>0</v>
      </c>
      <c r="AC50" s="10">
        <f t="shared" si="20"/>
        <v>0</v>
      </c>
      <c r="AE50" s="10">
        <f t="shared" si="41"/>
        <v>0</v>
      </c>
      <c r="AF50" s="10">
        <f t="shared" si="21"/>
        <v>0</v>
      </c>
      <c r="AH50" s="10">
        <f t="shared" si="42"/>
        <v>2220000000</v>
      </c>
      <c r="AI50" s="10">
        <f t="shared" si="22"/>
        <v>765971983.6258446</v>
      </c>
      <c r="AK50" s="10">
        <f t="shared" si="43"/>
        <v>11721100000</v>
      </c>
      <c r="AL50" s="10">
        <f t="shared" si="23"/>
        <v>4044159557.3319311</v>
      </c>
      <c r="AN50" s="10">
        <f t="shared" si="8"/>
        <v>9410000000</v>
      </c>
      <c r="AO50" s="10">
        <f t="shared" si="24"/>
        <v>3246755119.7834225</v>
      </c>
      <c r="AQ50" s="10">
        <f t="shared" si="44"/>
        <v>2988940800</v>
      </c>
      <c r="AR50" s="10">
        <f t="shared" si="25"/>
        <v>1031281492.5748733</v>
      </c>
      <c r="AT50" s="7">
        <f>IF($K50&lt;=$F$15,IF($F$40&lt;&gt;"",$F$40/1000,IF(ISERROR(VLOOKUP($F$3&amp;IF($G$4&lt;&gt;"",$G$4,"")&amp;IF($F$43&lt;&gt;"","_"&amp;$F$43,""),'表3）燃料価格'!$AF$9:$AG$25,2,0)),0,VLOOKUP($I50,'表3）燃料価格'!$A$6:$U$66,VLOOKUP($F$3&amp;IF($G$4&lt;&gt;"",$G$4,"")&amp;IF($F$43&lt;&gt;"","_"&amp;$F$43,""),'表3）燃料価格'!$AF$9:$AG$25,2,0)+VLOOKUP($F$41,'表3）燃料価格'!$AF$28:$AG$29,2,0),0)*IF($F$43="需要地価格",1,$F$8/$F$141))),"")</f>
        <v>0</v>
      </c>
      <c r="AV50" s="10">
        <f t="shared" si="45"/>
        <v>0</v>
      </c>
      <c r="AW50" s="10">
        <f t="shared" si="26"/>
        <v>0</v>
      </c>
      <c r="AY50" s="7">
        <v>0</v>
      </c>
      <c r="BA50" s="11">
        <f t="shared" si="46"/>
        <v>0</v>
      </c>
      <c r="BB50" s="10">
        <f t="shared" si="27"/>
        <v>0</v>
      </c>
      <c r="BD50" s="10">
        <f t="shared" si="47"/>
        <v>0</v>
      </c>
      <c r="BE50" s="10">
        <f t="shared" si="28"/>
        <v>0</v>
      </c>
      <c r="BG50" s="11">
        <f t="shared" si="48"/>
        <v>0</v>
      </c>
      <c r="BH50" s="10">
        <f t="shared" si="29"/>
        <v>0</v>
      </c>
      <c r="BJ50" s="7" t="str">
        <f t="shared" si="30"/>
        <v/>
      </c>
      <c r="BK50" s="158" t="str">
        <f t="shared" si="31"/>
        <v/>
      </c>
      <c r="BL50" s="158" t="str">
        <f t="shared" si="14"/>
        <v/>
      </c>
      <c r="BM50" s="10"/>
      <c r="BN50" s="10" t="str">
        <f t="shared" si="32"/>
        <v/>
      </c>
      <c r="BO50" s="10" t="str">
        <f t="shared" si="33"/>
        <v/>
      </c>
      <c r="BQ50" s="10">
        <f t="shared" si="49"/>
        <v>7064064000</v>
      </c>
      <c r="BR50" s="10">
        <f t="shared" si="34"/>
        <v>2437331132.6756387</v>
      </c>
    </row>
    <row r="51" spans="3:70" x14ac:dyDescent="0.15">
      <c r="I51" s="38">
        <f t="shared" si="35"/>
        <v>2066</v>
      </c>
      <c r="J51" s="39"/>
      <c r="K51" s="39">
        <f t="shared" si="36"/>
        <v>37</v>
      </c>
      <c r="L51" s="39"/>
      <c r="M51" s="40">
        <f t="shared" si="0"/>
        <v>0.33498293694823961</v>
      </c>
      <c r="N51" s="39"/>
      <c r="O51" s="72">
        <f t="shared" si="37"/>
        <v>0</v>
      </c>
      <c r="P51" s="41" t="str">
        <f t="shared" si="38"/>
        <v>-</v>
      </c>
      <c r="Q51" s="39"/>
      <c r="R51" s="72">
        <f t="shared" si="50"/>
        <v>30845000000</v>
      </c>
      <c r="S51" s="39"/>
      <c r="T51" s="72">
        <f t="shared" si="17"/>
        <v>30845000000</v>
      </c>
      <c r="U51" s="39"/>
      <c r="V51" s="72">
        <f t="shared" si="39"/>
        <v>0</v>
      </c>
      <c r="W51" s="72">
        <f t="shared" si="18"/>
        <v>0</v>
      </c>
      <c r="X51" s="39"/>
      <c r="Y51" s="72">
        <f t="shared" si="40"/>
        <v>431830000</v>
      </c>
      <c r="Z51" s="72">
        <f t="shared" si="19"/>
        <v>144655681.66235831</v>
      </c>
      <c r="AA51" s="39"/>
      <c r="AB51" s="72">
        <f t="shared" si="4"/>
        <v>0</v>
      </c>
      <c r="AC51" s="72">
        <f t="shared" si="20"/>
        <v>0</v>
      </c>
      <c r="AD51" s="39"/>
      <c r="AE51" s="72">
        <f t="shared" si="41"/>
        <v>0</v>
      </c>
      <c r="AF51" s="72">
        <f t="shared" si="21"/>
        <v>0</v>
      </c>
      <c r="AG51" s="39"/>
      <c r="AH51" s="72">
        <f t="shared" si="42"/>
        <v>2220000000</v>
      </c>
      <c r="AI51" s="72">
        <f t="shared" si="22"/>
        <v>743662120.02509189</v>
      </c>
      <c r="AJ51" s="39"/>
      <c r="AK51" s="72">
        <f t="shared" si="43"/>
        <v>11721100000</v>
      </c>
      <c r="AL51" s="72">
        <f t="shared" si="23"/>
        <v>3926368502.2640114</v>
      </c>
      <c r="AM51" s="39"/>
      <c r="AN51" s="72">
        <f t="shared" si="8"/>
        <v>9410000000</v>
      </c>
      <c r="AO51" s="72">
        <f t="shared" si="24"/>
        <v>3152189436.6829348</v>
      </c>
      <c r="AP51" s="39"/>
      <c r="AQ51" s="72">
        <f t="shared" si="44"/>
        <v>2988940800</v>
      </c>
      <c r="AR51" s="72">
        <f t="shared" si="25"/>
        <v>1001244167.5484209</v>
      </c>
      <c r="AS51" s="39"/>
      <c r="AT51" s="40">
        <f>IF($K51&lt;=$F$15,IF($F$40&lt;&gt;"",$F$40/1000,IF(ISERROR(VLOOKUP($F$3&amp;IF($G$4&lt;&gt;"",$G$4,"")&amp;IF($F$43&lt;&gt;"","_"&amp;$F$43,""),'表3）燃料価格'!$AF$9:$AG$25,2,0)),0,VLOOKUP($I51,'表3）燃料価格'!$A$6:$U$66,VLOOKUP($F$3&amp;IF($G$4&lt;&gt;"",$G$4,"")&amp;IF($F$43&lt;&gt;"","_"&amp;$F$43,""),'表3）燃料価格'!$AF$9:$AG$25,2,0)+VLOOKUP($F$41,'表3）燃料価格'!$AF$28:$AG$29,2,0),0)*IF($F$43="需要地価格",1,$F$8/$F$141))),"")</f>
        <v>0</v>
      </c>
      <c r="AU51" s="39"/>
      <c r="AV51" s="72">
        <f t="shared" si="45"/>
        <v>0</v>
      </c>
      <c r="AW51" s="72">
        <f t="shared" si="26"/>
        <v>0</v>
      </c>
      <c r="AX51" s="39"/>
      <c r="AY51" s="40">
        <v>0</v>
      </c>
      <c r="AZ51" s="39"/>
      <c r="BA51" s="42">
        <f t="shared" si="46"/>
        <v>0</v>
      </c>
      <c r="BB51" s="72">
        <f t="shared" si="27"/>
        <v>0</v>
      </c>
      <c r="BC51" s="39"/>
      <c r="BD51" s="72">
        <f t="shared" si="47"/>
        <v>0</v>
      </c>
      <c r="BE51" s="72">
        <f t="shared" si="28"/>
        <v>0</v>
      </c>
      <c r="BF51" s="39"/>
      <c r="BG51" s="42">
        <f t="shared" si="48"/>
        <v>0</v>
      </c>
      <c r="BH51" s="72">
        <f t="shared" si="29"/>
        <v>0</v>
      </c>
      <c r="BI51" s="39"/>
      <c r="BJ51" s="40" t="str">
        <f t="shared" si="30"/>
        <v/>
      </c>
      <c r="BK51" s="157" t="str">
        <f t="shared" si="31"/>
        <v/>
      </c>
      <c r="BL51" s="157" t="str">
        <f t="shared" si="14"/>
        <v/>
      </c>
      <c r="BM51" s="72"/>
      <c r="BN51" s="72" t="str">
        <f t="shared" si="32"/>
        <v/>
      </c>
      <c r="BO51" s="72" t="str">
        <f t="shared" si="33"/>
        <v/>
      </c>
      <c r="BP51" s="39"/>
      <c r="BQ51" s="72">
        <f t="shared" si="49"/>
        <v>7064064000</v>
      </c>
      <c r="BR51" s="72">
        <f t="shared" si="34"/>
        <v>2366340905.5103292</v>
      </c>
    </row>
    <row r="52" spans="3:70" x14ac:dyDescent="0.15">
      <c r="D52" s="9" t="s">
        <v>511</v>
      </c>
      <c r="F52" s="90"/>
      <c r="G52" s="9" t="s">
        <v>172</v>
      </c>
      <c r="I52" s="322">
        <f t="shared" si="35"/>
        <v>2067</v>
      </c>
      <c r="K52" s="71">
        <f t="shared" si="36"/>
        <v>38</v>
      </c>
      <c r="M52" s="7">
        <f t="shared" si="0"/>
        <v>0.3252261523769317</v>
      </c>
      <c r="O52" s="10">
        <f t="shared" si="37"/>
        <v>0</v>
      </c>
      <c r="P52" s="29" t="str">
        <f t="shared" si="38"/>
        <v>-</v>
      </c>
      <c r="R52" s="10">
        <f t="shared" si="50"/>
        <v>30845000000</v>
      </c>
      <c r="T52" s="10">
        <f t="shared" si="17"/>
        <v>30845000000</v>
      </c>
      <c r="V52" s="10">
        <f t="shared" si="39"/>
        <v>0</v>
      </c>
      <c r="W52" s="10">
        <f t="shared" si="18"/>
        <v>0</v>
      </c>
      <c r="Y52" s="10">
        <f t="shared" si="40"/>
        <v>431830000</v>
      </c>
      <c r="Z52" s="10">
        <f t="shared" si="19"/>
        <v>140442409.38093042</v>
      </c>
      <c r="AB52" s="10">
        <f t="shared" si="4"/>
        <v>0</v>
      </c>
      <c r="AC52" s="10">
        <f t="shared" si="20"/>
        <v>0</v>
      </c>
      <c r="AE52" s="10">
        <f t="shared" si="41"/>
        <v>0</v>
      </c>
      <c r="AF52" s="10">
        <f t="shared" si="21"/>
        <v>0</v>
      </c>
      <c r="AH52" s="10">
        <f t="shared" si="42"/>
        <v>2220000000</v>
      </c>
      <c r="AI52" s="10">
        <f t="shared" si="22"/>
        <v>722002058.27678835</v>
      </c>
      <c r="AK52" s="10">
        <f t="shared" si="43"/>
        <v>11721100000</v>
      </c>
      <c r="AL52" s="10">
        <f t="shared" si="23"/>
        <v>3812008254.6252542</v>
      </c>
      <c r="AN52" s="10">
        <f t="shared" si="8"/>
        <v>9410000000</v>
      </c>
      <c r="AO52" s="10">
        <f t="shared" si="24"/>
        <v>3060378093.8669271</v>
      </c>
      <c r="AQ52" s="10">
        <f t="shared" si="44"/>
        <v>2988940800</v>
      </c>
      <c r="AR52" s="10">
        <f t="shared" si="25"/>
        <v>972081716.06642818</v>
      </c>
      <c r="AT52" s="7">
        <f>IF($K52&lt;=$F$15,IF($F$40&lt;&gt;"",$F$40/1000,IF(ISERROR(VLOOKUP($F$3&amp;IF($G$4&lt;&gt;"",$G$4,"")&amp;IF($F$43&lt;&gt;"","_"&amp;$F$43,""),'表3）燃料価格'!$AF$9:$AG$25,2,0)),0,VLOOKUP($I52,'表3）燃料価格'!$A$6:$U$66,VLOOKUP($F$3&amp;IF($G$4&lt;&gt;"",$G$4,"")&amp;IF($F$43&lt;&gt;"","_"&amp;$F$43,""),'表3）燃料価格'!$AF$9:$AG$25,2,0)+VLOOKUP($F$41,'表3）燃料価格'!$AF$28:$AG$29,2,0),0)*IF($F$43="需要地価格",1,$F$8/$F$141))),"")</f>
        <v>0</v>
      </c>
      <c r="AV52" s="10">
        <f t="shared" si="45"/>
        <v>0</v>
      </c>
      <c r="AW52" s="10">
        <f t="shared" si="26"/>
        <v>0</v>
      </c>
      <c r="AY52" s="7">
        <v>0</v>
      </c>
      <c r="BA52" s="11">
        <f t="shared" si="46"/>
        <v>0</v>
      </c>
      <c r="BB52" s="10">
        <f t="shared" si="27"/>
        <v>0</v>
      </c>
      <c r="BD52" s="10">
        <f t="shared" si="47"/>
        <v>0</v>
      </c>
      <c r="BE52" s="10">
        <f t="shared" si="28"/>
        <v>0</v>
      </c>
      <c r="BG52" s="11">
        <f t="shared" si="48"/>
        <v>0</v>
      </c>
      <c r="BH52" s="10">
        <f t="shared" si="29"/>
        <v>0</v>
      </c>
      <c r="BJ52" s="7" t="str">
        <f t="shared" si="30"/>
        <v/>
      </c>
      <c r="BK52" s="158" t="str">
        <f t="shared" si="31"/>
        <v/>
      </c>
      <c r="BL52" s="158" t="str">
        <f t="shared" si="14"/>
        <v/>
      </c>
      <c r="BM52" s="10"/>
      <c r="BN52" s="10" t="str">
        <f t="shared" si="32"/>
        <v/>
      </c>
      <c r="BO52" s="10" t="str">
        <f t="shared" si="33"/>
        <v/>
      </c>
      <c r="BQ52" s="10">
        <f t="shared" si="49"/>
        <v>7064064000</v>
      </c>
      <c r="BR52" s="10">
        <f t="shared" si="34"/>
        <v>2297418354.8643975</v>
      </c>
    </row>
    <row r="53" spans="3:70" x14ac:dyDescent="0.15">
      <c r="D53" s="9" t="s">
        <v>186</v>
      </c>
      <c r="F53" s="66"/>
      <c r="G53" s="9" t="s">
        <v>172</v>
      </c>
      <c r="I53" s="38">
        <f t="shared" si="35"/>
        <v>2068</v>
      </c>
      <c r="J53" s="39"/>
      <c r="K53" s="39">
        <f t="shared" si="36"/>
        <v>39</v>
      </c>
      <c r="L53" s="39"/>
      <c r="M53" s="40">
        <f t="shared" si="0"/>
        <v>0.31575354599702099</v>
      </c>
      <c r="N53" s="39"/>
      <c r="O53" s="72">
        <f t="shared" si="37"/>
        <v>0</v>
      </c>
      <c r="P53" s="41" t="str">
        <f t="shared" si="38"/>
        <v>-</v>
      </c>
      <c r="Q53" s="39"/>
      <c r="R53" s="72">
        <f t="shared" si="50"/>
        <v>30845000000</v>
      </c>
      <c r="S53" s="39"/>
      <c r="T53" s="72">
        <f t="shared" si="17"/>
        <v>30845000000</v>
      </c>
      <c r="U53" s="39"/>
      <c r="V53" s="72">
        <f t="shared" si="39"/>
        <v>0</v>
      </c>
      <c r="W53" s="72">
        <f t="shared" si="18"/>
        <v>0</v>
      </c>
      <c r="X53" s="39"/>
      <c r="Y53" s="72">
        <f t="shared" si="40"/>
        <v>431830000</v>
      </c>
      <c r="Z53" s="72">
        <f t="shared" si="19"/>
        <v>136351853.76789358</v>
      </c>
      <c r="AA53" s="39"/>
      <c r="AB53" s="72">
        <f t="shared" si="4"/>
        <v>0</v>
      </c>
      <c r="AC53" s="72">
        <f t="shared" si="20"/>
        <v>0</v>
      </c>
      <c r="AD53" s="39"/>
      <c r="AE53" s="72">
        <f t="shared" si="41"/>
        <v>0</v>
      </c>
      <c r="AF53" s="72">
        <f t="shared" si="21"/>
        <v>0</v>
      </c>
      <c r="AG53" s="39"/>
      <c r="AH53" s="72">
        <f t="shared" si="42"/>
        <v>2220000000</v>
      </c>
      <c r="AI53" s="72">
        <f t="shared" si="22"/>
        <v>700972872.11338663</v>
      </c>
      <c r="AJ53" s="39"/>
      <c r="AK53" s="72">
        <f t="shared" si="43"/>
        <v>11721100000</v>
      </c>
      <c r="AL53" s="72">
        <f t="shared" si="23"/>
        <v>3700978887.985683</v>
      </c>
      <c r="AM53" s="39"/>
      <c r="AN53" s="72">
        <f t="shared" si="8"/>
        <v>9410000000</v>
      </c>
      <c r="AO53" s="72">
        <f t="shared" si="24"/>
        <v>2971240867.8319674</v>
      </c>
      <c r="AP53" s="39"/>
      <c r="AQ53" s="72">
        <f t="shared" si="44"/>
        <v>2988940800</v>
      </c>
      <c r="AR53" s="72">
        <f t="shared" si="25"/>
        <v>943768656.37517273</v>
      </c>
      <c r="AS53" s="39"/>
      <c r="AT53" s="40">
        <f>IF($K53&lt;=$F$15,IF($F$40&lt;&gt;"",$F$40/1000,IF(ISERROR(VLOOKUP($F$3&amp;IF($G$4&lt;&gt;"",$G$4,"")&amp;IF($F$43&lt;&gt;"","_"&amp;$F$43,""),'表3）燃料価格'!$AF$9:$AG$25,2,0)),0,VLOOKUP($I53,'表3）燃料価格'!$A$6:$U$66,VLOOKUP($F$3&amp;IF($G$4&lt;&gt;"",$G$4,"")&amp;IF($F$43&lt;&gt;"","_"&amp;$F$43,""),'表3）燃料価格'!$AF$9:$AG$25,2,0)+VLOOKUP($F$41,'表3）燃料価格'!$AF$28:$AG$29,2,0),0)*IF($F$43="需要地価格",1,$F$8/$F$141))),"")</f>
        <v>0</v>
      </c>
      <c r="AU53" s="39"/>
      <c r="AV53" s="72">
        <f t="shared" si="45"/>
        <v>0</v>
      </c>
      <c r="AW53" s="72">
        <f t="shared" si="26"/>
        <v>0</v>
      </c>
      <c r="AX53" s="39"/>
      <c r="AY53" s="40">
        <v>0</v>
      </c>
      <c r="AZ53" s="39"/>
      <c r="BA53" s="42">
        <f t="shared" si="46"/>
        <v>0</v>
      </c>
      <c r="BB53" s="72">
        <f t="shared" si="27"/>
        <v>0</v>
      </c>
      <c r="BC53" s="39"/>
      <c r="BD53" s="72">
        <f t="shared" si="47"/>
        <v>0</v>
      </c>
      <c r="BE53" s="72">
        <f t="shared" si="28"/>
        <v>0</v>
      </c>
      <c r="BF53" s="39"/>
      <c r="BG53" s="42">
        <f t="shared" si="48"/>
        <v>0</v>
      </c>
      <c r="BH53" s="72">
        <f t="shared" si="29"/>
        <v>0</v>
      </c>
      <c r="BI53" s="39"/>
      <c r="BJ53" s="40" t="str">
        <f t="shared" si="30"/>
        <v/>
      </c>
      <c r="BK53" s="157" t="str">
        <f t="shared" si="31"/>
        <v/>
      </c>
      <c r="BL53" s="157" t="str">
        <f t="shared" si="14"/>
        <v/>
      </c>
      <c r="BM53" s="72"/>
      <c r="BN53" s="72" t="str">
        <f t="shared" si="32"/>
        <v/>
      </c>
      <c r="BO53" s="72" t="str">
        <f t="shared" si="33"/>
        <v/>
      </c>
      <c r="BP53" s="39"/>
      <c r="BQ53" s="72">
        <f t="shared" si="49"/>
        <v>7064064000</v>
      </c>
      <c r="BR53" s="72">
        <f t="shared" si="34"/>
        <v>2230503257.1499</v>
      </c>
    </row>
    <row r="54" spans="3:70" x14ac:dyDescent="0.15">
      <c r="D54" s="9" t="s">
        <v>187</v>
      </c>
      <c r="F54" s="66"/>
      <c r="G54" s="9" t="s">
        <v>172</v>
      </c>
      <c r="I54" s="322">
        <f t="shared" si="35"/>
        <v>2069</v>
      </c>
      <c r="K54" s="71">
        <f t="shared" si="36"/>
        <v>40</v>
      </c>
      <c r="M54" s="7">
        <f t="shared" si="0"/>
        <v>0.30655684077380685</v>
      </c>
      <c r="O54" s="10">
        <f t="shared" si="37"/>
        <v>0</v>
      </c>
      <c r="P54" s="29" t="str">
        <f t="shared" si="38"/>
        <v>-</v>
      </c>
      <c r="R54" s="10">
        <f t="shared" si="50"/>
        <v>30845000000</v>
      </c>
      <c r="T54" s="10">
        <f t="shared" si="17"/>
        <v>30845000000</v>
      </c>
      <c r="V54" s="10">
        <f t="shared" si="39"/>
        <v>0</v>
      </c>
      <c r="W54" s="10">
        <f t="shared" si="18"/>
        <v>0</v>
      </c>
      <c r="Y54" s="10">
        <f t="shared" si="40"/>
        <v>431830000</v>
      </c>
      <c r="Z54" s="10">
        <f t="shared" si="19"/>
        <v>132380440.55135301</v>
      </c>
      <c r="AB54" s="10">
        <f t="shared" si="4"/>
        <v>0</v>
      </c>
      <c r="AC54" s="10">
        <f t="shared" si="20"/>
        <v>0</v>
      </c>
      <c r="AE54" s="10">
        <f t="shared" si="41"/>
        <v>0</v>
      </c>
      <c r="AF54" s="10">
        <f t="shared" si="21"/>
        <v>0</v>
      </c>
      <c r="AH54" s="10">
        <f t="shared" si="42"/>
        <v>2220000000</v>
      </c>
      <c r="AI54" s="10">
        <f t="shared" si="22"/>
        <v>680556186.51785123</v>
      </c>
      <c r="AK54" s="10">
        <f t="shared" si="43"/>
        <v>11721100000</v>
      </c>
      <c r="AL54" s="10">
        <f t="shared" si="23"/>
        <v>3593183386.3938675</v>
      </c>
      <c r="AN54" s="188">
        <f t="shared" si="8"/>
        <v>9410000000</v>
      </c>
      <c r="AO54" s="10">
        <f t="shared" si="24"/>
        <v>2884699871.6815224</v>
      </c>
      <c r="AQ54" s="10">
        <f t="shared" si="44"/>
        <v>2988940800</v>
      </c>
      <c r="AR54" s="10">
        <f t="shared" si="25"/>
        <v>916280248.9079349</v>
      </c>
      <c r="AT54" s="7">
        <f>IF($K54&lt;=$F$15,IF($F$40&lt;&gt;"",$F$40/1000,IF(ISERROR(VLOOKUP($F$3&amp;IF($G$4&lt;&gt;"",$G$4,"")&amp;IF($F$43&lt;&gt;"","_"&amp;$F$43,""),'表3）燃料価格'!$AF$9:$AG$25,2,0)),0,VLOOKUP($I54,'表3）燃料価格'!$A$6:$U$66,VLOOKUP($F$3&amp;IF($G$4&lt;&gt;"",$G$4,"")&amp;IF($F$43&lt;&gt;"","_"&amp;$F$43,""),'表3）燃料価格'!$AF$9:$AG$25,2,0)+VLOOKUP($F$41,'表3）燃料価格'!$AF$28:$AG$29,2,0),0)*IF($F$43="需要地価格",1,$F$8/$F$141))),"")</f>
        <v>0</v>
      </c>
      <c r="AV54" s="10">
        <f t="shared" si="45"/>
        <v>0</v>
      </c>
      <c r="AW54" s="10">
        <f t="shared" si="26"/>
        <v>0</v>
      </c>
      <c r="AY54" s="7">
        <v>0</v>
      </c>
      <c r="BA54" s="11">
        <f t="shared" si="46"/>
        <v>0</v>
      </c>
      <c r="BB54" s="10">
        <f t="shared" si="27"/>
        <v>0</v>
      </c>
      <c r="BD54" s="10">
        <f t="shared" si="47"/>
        <v>0</v>
      </c>
      <c r="BE54" s="10">
        <f t="shared" si="28"/>
        <v>0</v>
      </c>
      <c r="BG54" s="11">
        <f t="shared" si="48"/>
        <v>0</v>
      </c>
      <c r="BH54" s="10">
        <f t="shared" si="29"/>
        <v>0</v>
      </c>
      <c r="BJ54" s="7" t="str">
        <f t="shared" si="30"/>
        <v/>
      </c>
      <c r="BK54" s="158" t="str">
        <f t="shared" si="31"/>
        <v/>
      </c>
      <c r="BL54" s="158" t="str">
        <f t="shared" si="14"/>
        <v/>
      </c>
      <c r="BM54" s="10"/>
      <c r="BN54" s="10" t="str">
        <f t="shared" si="32"/>
        <v/>
      </c>
      <c r="BO54" s="10" t="str">
        <f t="shared" si="33"/>
        <v/>
      </c>
      <c r="BQ54" s="10">
        <f t="shared" si="49"/>
        <v>7064064000</v>
      </c>
      <c r="BR54" s="10">
        <f t="shared" si="34"/>
        <v>2165537142.8639812</v>
      </c>
    </row>
    <row r="55" spans="3:70" ht="16.5" x14ac:dyDescent="0.15">
      <c r="D55" s="9" t="s">
        <v>188</v>
      </c>
      <c r="F55" s="66"/>
      <c r="G55" s="9" t="s">
        <v>372</v>
      </c>
      <c r="I55" s="38">
        <f>I54+1</f>
        <v>2070</v>
      </c>
      <c r="J55" s="39"/>
      <c r="K55" s="39">
        <f>IF(I55&lt;&gt;"",K54+1,"")</f>
        <v>41</v>
      </c>
      <c r="L55" s="39"/>
      <c r="M55" s="40">
        <f t="shared" si="0"/>
        <v>0.29762800075126877</v>
      </c>
      <c r="N55" s="39"/>
      <c r="O55" s="72" t="str">
        <f t="shared" si="37"/>
        <v/>
      </c>
      <c r="P55" s="41" t="str">
        <f t="shared" si="38"/>
        <v/>
      </c>
      <c r="Q55" s="39"/>
      <c r="R55" s="72" t="str">
        <f t="shared" si="50"/>
        <v/>
      </c>
      <c r="S55" s="39"/>
      <c r="T55" s="72" t="str">
        <f t="shared" si="17"/>
        <v/>
      </c>
      <c r="U55" s="39"/>
      <c r="V55" s="72" t="str">
        <f t="shared" si="39"/>
        <v/>
      </c>
      <c r="W55" s="72" t="str">
        <f t="shared" si="18"/>
        <v/>
      </c>
      <c r="X55" s="39"/>
      <c r="Y55" s="72" t="str">
        <f t="shared" si="40"/>
        <v/>
      </c>
      <c r="Z55" s="72" t="str">
        <f t="shared" si="19"/>
        <v/>
      </c>
      <c r="AA55" s="39"/>
      <c r="AB55" s="72">
        <f t="shared" si="4"/>
        <v>7500000000</v>
      </c>
      <c r="AC55" s="72">
        <f>IF(ISNUMBER(AB55),AB55*$M55,"")</f>
        <v>2232210005.6345158</v>
      </c>
      <c r="AD55" s="39"/>
      <c r="AE55" s="72" t="str">
        <f t="shared" si="41"/>
        <v/>
      </c>
      <c r="AF55" s="72" t="str">
        <f t="shared" si="21"/>
        <v/>
      </c>
      <c r="AG55" s="39"/>
      <c r="AH55" s="72" t="str">
        <f t="shared" si="42"/>
        <v/>
      </c>
      <c r="AI55" s="72" t="str">
        <f t="shared" si="22"/>
        <v/>
      </c>
      <c r="AJ55" s="39"/>
      <c r="AK55" s="72" t="str">
        <f t="shared" si="43"/>
        <v/>
      </c>
      <c r="AL55" s="72" t="str">
        <f t="shared" si="23"/>
        <v/>
      </c>
      <c r="AM55" s="39"/>
      <c r="AN55" s="72" t="str">
        <f t="shared" si="8"/>
        <v/>
      </c>
      <c r="AO55" s="72" t="str">
        <f t="shared" si="24"/>
        <v/>
      </c>
      <c r="AP55" s="39"/>
      <c r="AQ55" s="72" t="str">
        <f t="shared" si="44"/>
        <v/>
      </c>
      <c r="AR55" s="72" t="str">
        <f t="shared" si="25"/>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45"/>
        <v/>
      </c>
      <c r="AW55" s="72" t="str">
        <f t="shared" si="26"/>
        <v/>
      </c>
      <c r="AX55" s="39"/>
      <c r="AY55" s="40" t="s">
        <v>127</v>
      </c>
      <c r="AZ55" s="39"/>
      <c r="BA55" s="42" t="str">
        <f t="shared" si="46"/>
        <v/>
      </c>
      <c r="BB55" s="72" t="str">
        <f t="shared" si="27"/>
        <v/>
      </c>
      <c r="BC55" s="39"/>
      <c r="BD55" s="72" t="str">
        <f t="shared" si="47"/>
        <v/>
      </c>
      <c r="BE55" s="72" t="str">
        <f t="shared" si="28"/>
        <v/>
      </c>
      <c r="BF55" s="39"/>
      <c r="BG55" s="42" t="str">
        <f t="shared" si="48"/>
        <v/>
      </c>
      <c r="BH55" s="72" t="str">
        <f t="shared" si="29"/>
        <v/>
      </c>
      <c r="BI55" s="39"/>
      <c r="BJ55" s="40" t="str">
        <f t="shared" si="30"/>
        <v/>
      </c>
      <c r="BK55" s="157" t="str">
        <f t="shared" si="31"/>
        <v/>
      </c>
      <c r="BL55" s="157" t="str">
        <f t="shared" si="14"/>
        <v/>
      </c>
      <c r="BM55" s="72"/>
      <c r="BN55" s="72" t="str">
        <f t="shared" si="32"/>
        <v/>
      </c>
      <c r="BO55" s="72" t="str">
        <f t="shared" si="33"/>
        <v/>
      </c>
      <c r="BP55" s="39"/>
      <c r="BQ55" s="72" t="str">
        <f t="shared" si="49"/>
        <v/>
      </c>
      <c r="BR55" s="72" t="str">
        <f t="shared" si="34"/>
        <v/>
      </c>
    </row>
    <row r="56" spans="3:70" x14ac:dyDescent="0.15">
      <c r="D56" s="9" t="s">
        <v>189</v>
      </c>
      <c r="F56" s="59"/>
      <c r="G56" s="9" t="s">
        <v>181</v>
      </c>
      <c r="I56" s="322">
        <f t="shared" si="35"/>
        <v>2071</v>
      </c>
      <c r="K56" s="71">
        <f t="shared" si="36"/>
        <v>42</v>
      </c>
      <c r="M56" s="7">
        <f t="shared" si="0"/>
        <v>0.28895922403035801</v>
      </c>
      <c r="O56" s="10" t="str">
        <f t="shared" si="37"/>
        <v/>
      </c>
      <c r="P56" s="29" t="str">
        <f t="shared" si="38"/>
        <v/>
      </c>
      <c r="R56" s="10" t="str">
        <f t="shared" si="50"/>
        <v/>
      </c>
      <c r="T56" s="10" t="str">
        <f t="shared" si="17"/>
        <v/>
      </c>
      <c r="V56" s="10" t="str">
        <f t="shared" si="39"/>
        <v/>
      </c>
      <c r="W56" s="10" t="str">
        <f t="shared" si="18"/>
        <v/>
      </c>
      <c r="Y56" s="10" t="str">
        <f t="shared" si="40"/>
        <v/>
      </c>
      <c r="Z56" s="10" t="str">
        <f t="shared" si="19"/>
        <v/>
      </c>
      <c r="AB56" s="10">
        <f t="shared" si="4"/>
        <v>7500000000</v>
      </c>
      <c r="AC56" s="10">
        <f t="shared" ref="AC56:AC114" si="51">IF(ISNUMBER(AB56),AB56*$M56,"")</f>
        <v>2167194180.227685</v>
      </c>
      <c r="AE56" s="10" t="str">
        <f t="shared" si="41"/>
        <v/>
      </c>
      <c r="AF56" s="10" t="str">
        <f t="shared" si="21"/>
        <v/>
      </c>
      <c r="AH56" s="10" t="str">
        <f t="shared" si="42"/>
        <v/>
      </c>
      <c r="AI56" s="10" t="str">
        <f t="shared" si="22"/>
        <v/>
      </c>
      <c r="AK56" s="10" t="str">
        <f t="shared" si="43"/>
        <v/>
      </c>
      <c r="AL56" s="10" t="str">
        <f t="shared" si="23"/>
        <v/>
      </c>
      <c r="AN56" s="188" t="str">
        <f t="shared" si="8"/>
        <v/>
      </c>
      <c r="AO56" s="10" t="str">
        <f t="shared" si="24"/>
        <v/>
      </c>
      <c r="AQ56" s="10" t="str">
        <f t="shared" si="44"/>
        <v/>
      </c>
      <c r="AR56" s="10" t="str">
        <f t="shared" si="25"/>
        <v/>
      </c>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V56" s="10" t="str">
        <f t="shared" si="45"/>
        <v/>
      </c>
      <c r="AW56" s="10" t="str">
        <f t="shared" si="26"/>
        <v/>
      </c>
      <c r="AY56" s="7" t="s">
        <v>127</v>
      </c>
      <c r="BA56" s="11" t="str">
        <f t="shared" si="46"/>
        <v/>
      </c>
      <c r="BB56" s="10" t="str">
        <f t="shared" si="27"/>
        <v/>
      </c>
      <c r="BD56" s="10" t="str">
        <f t="shared" si="47"/>
        <v/>
      </c>
      <c r="BE56" s="10" t="str">
        <f t="shared" si="28"/>
        <v/>
      </c>
      <c r="BG56" s="11" t="str">
        <f t="shared" si="48"/>
        <v/>
      </c>
      <c r="BH56" s="10" t="str">
        <f t="shared" si="29"/>
        <v/>
      </c>
      <c r="BJ56" s="7" t="str">
        <f t="shared" si="30"/>
        <v/>
      </c>
      <c r="BK56" s="158" t="str">
        <f t="shared" si="31"/>
        <v/>
      </c>
      <c r="BL56" s="158" t="str">
        <f t="shared" si="14"/>
        <v/>
      </c>
      <c r="BM56" s="10"/>
      <c r="BN56" s="10" t="str">
        <f t="shared" si="32"/>
        <v/>
      </c>
      <c r="BO56" s="10" t="str">
        <f t="shared" si="33"/>
        <v/>
      </c>
      <c r="BQ56" s="10" t="str">
        <f t="shared" si="49"/>
        <v/>
      </c>
      <c r="BR56" s="10" t="str">
        <f t="shared" si="34"/>
        <v/>
      </c>
    </row>
    <row r="57" spans="3:70" x14ac:dyDescent="0.15">
      <c r="I57" s="38">
        <f t="shared" si="35"/>
        <v>2072</v>
      </c>
      <c r="J57" s="39"/>
      <c r="K57" s="39">
        <f t="shared" si="36"/>
        <v>43</v>
      </c>
      <c r="L57" s="39"/>
      <c r="M57" s="40">
        <f t="shared" si="0"/>
        <v>0.28054293595180391</v>
      </c>
      <c r="N57" s="39"/>
      <c r="O57" s="72" t="str">
        <f t="shared" si="37"/>
        <v/>
      </c>
      <c r="P57" s="41" t="str">
        <f t="shared" si="38"/>
        <v/>
      </c>
      <c r="Q57" s="39"/>
      <c r="R57" s="72" t="str">
        <f t="shared" si="50"/>
        <v/>
      </c>
      <c r="S57" s="39"/>
      <c r="T57" s="72" t="str">
        <f t="shared" si="17"/>
        <v/>
      </c>
      <c r="U57" s="39"/>
      <c r="V57" s="72" t="str">
        <f t="shared" si="39"/>
        <v/>
      </c>
      <c r="W57" s="72" t="str">
        <f t="shared" si="18"/>
        <v/>
      </c>
      <c r="X57" s="39"/>
      <c r="Y57" s="72" t="str">
        <f t="shared" si="40"/>
        <v/>
      </c>
      <c r="Z57" s="72" t="str">
        <f t="shared" si="19"/>
        <v/>
      </c>
      <c r="AA57" s="39"/>
      <c r="AB57" s="72">
        <f t="shared" si="4"/>
        <v>7500000000</v>
      </c>
      <c r="AC57" s="72">
        <f t="shared" si="51"/>
        <v>2104072019.6385293</v>
      </c>
      <c r="AD57" s="39"/>
      <c r="AE57" s="72" t="str">
        <f t="shared" si="41"/>
        <v/>
      </c>
      <c r="AF57" s="72" t="str">
        <f t="shared" si="21"/>
        <v/>
      </c>
      <c r="AG57" s="39"/>
      <c r="AH57" s="72" t="str">
        <f t="shared" si="42"/>
        <v/>
      </c>
      <c r="AI57" s="72" t="str">
        <f t="shared" si="22"/>
        <v/>
      </c>
      <c r="AJ57" s="39"/>
      <c r="AK57" s="72" t="str">
        <f t="shared" si="43"/>
        <v/>
      </c>
      <c r="AL57" s="72" t="str">
        <f t="shared" si="23"/>
        <v/>
      </c>
      <c r="AM57" s="39"/>
      <c r="AN57" s="72" t="str">
        <f t="shared" si="8"/>
        <v/>
      </c>
      <c r="AO57" s="72" t="str">
        <f t="shared" si="24"/>
        <v/>
      </c>
      <c r="AP57" s="39"/>
      <c r="AQ57" s="72" t="str">
        <f t="shared" si="44"/>
        <v/>
      </c>
      <c r="AR57" s="72" t="str">
        <f t="shared" si="25"/>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45"/>
        <v/>
      </c>
      <c r="AW57" s="72" t="str">
        <f t="shared" si="26"/>
        <v/>
      </c>
      <c r="AX57" s="39"/>
      <c r="AY57" s="40" t="s">
        <v>127</v>
      </c>
      <c r="AZ57" s="39"/>
      <c r="BA57" s="42" t="str">
        <f t="shared" si="46"/>
        <v/>
      </c>
      <c r="BB57" s="72" t="str">
        <f t="shared" si="27"/>
        <v/>
      </c>
      <c r="BC57" s="39"/>
      <c r="BD57" s="72" t="str">
        <f t="shared" si="47"/>
        <v/>
      </c>
      <c r="BE57" s="72" t="str">
        <f t="shared" si="28"/>
        <v/>
      </c>
      <c r="BF57" s="39"/>
      <c r="BG57" s="42" t="str">
        <f t="shared" si="48"/>
        <v/>
      </c>
      <c r="BH57" s="72" t="str">
        <f t="shared" si="29"/>
        <v/>
      </c>
      <c r="BI57" s="39"/>
      <c r="BJ57" s="40" t="str">
        <f t="shared" si="30"/>
        <v/>
      </c>
      <c r="BK57" s="157" t="str">
        <f t="shared" si="31"/>
        <v/>
      </c>
      <c r="BL57" s="157" t="str">
        <f t="shared" si="14"/>
        <v/>
      </c>
      <c r="BM57" s="72"/>
      <c r="BN57" s="72" t="str">
        <f t="shared" si="32"/>
        <v/>
      </c>
      <c r="BO57" s="72" t="str">
        <f t="shared" si="33"/>
        <v/>
      </c>
      <c r="BP57" s="39"/>
      <c r="BQ57" s="72" t="str">
        <f t="shared" si="49"/>
        <v/>
      </c>
      <c r="BR57" s="72" t="str">
        <f t="shared" si="34"/>
        <v/>
      </c>
    </row>
    <row r="58" spans="3:70" x14ac:dyDescent="0.15">
      <c r="C58" s="89" t="s">
        <v>512</v>
      </c>
      <c r="D58" s="89"/>
      <c r="E58" s="89"/>
      <c r="F58" s="89"/>
      <c r="G58" s="89"/>
      <c r="I58" s="322">
        <f t="shared" si="35"/>
        <v>2073</v>
      </c>
      <c r="K58" s="71">
        <f t="shared" si="36"/>
        <v>44</v>
      </c>
      <c r="M58" s="7">
        <f t="shared" si="0"/>
        <v>0.27237178247747956</v>
      </c>
      <c r="O58" s="10" t="str">
        <f t="shared" si="37"/>
        <v/>
      </c>
      <c r="P58" s="29" t="str">
        <f t="shared" si="38"/>
        <v/>
      </c>
      <c r="R58" s="10" t="str">
        <f t="shared" si="50"/>
        <v/>
      </c>
      <c r="T58" s="10" t="str">
        <f t="shared" si="17"/>
        <v/>
      </c>
      <c r="V58" s="10" t="str">
        <f t="shared" si="39"/>
        <v/>
      </c>
      <c r="W58" s="10" t="str">
        <f t="shared" si="18"/>
        <v/>
      </c>
      <c r="Y58" s="10" t="str">
        <f t="shared" si="40"/>
        <v/>
      </c>
      <c r="Z58" s="10" t="str">
        <f t="shared" si="19"/>
        <v/>
      </c>
      <c r="AB58" s="10">
        <f t="shared" si="4"/>
        <v>7500000000</v>
      </c>
      <c r="AC58" s="10">
        <f t="shared" si="51"/>
        <v>2042788368.5810966</v>
      </c>
      <c r="AE58" s="10" t="str">
        <f t="shared" si="41"/>
        <v/>
      </c>
      <c r="AF58" s="10" t="str">
        <f t="shared" si="21"/>
        <v/>
      </c>
      <c r="AH58" s="10" t="str">
        <f t="shared" si="42"/>
        <v/>
      </c>
      <c r="AI58" s="10" t="str">
        <f t="shared" si="22"/>
        <v/>
      </c>
      <c r="AK58" s="10" t="str">
        <f t="shared" si="43"/>
        <v/>
      </c>
      <c r="AL58" s="10" t="str">
        <f t="shared" si="23"/>
        <v/>
      </c>
      <c r="AN58" s="188" t="str">
        <f t="shared" si="8"/>
        <v/>
      </c>
      <c r="AO58" s="10" t="str">
        <f t="shared" si="24"/>
        <v/>
      </c>
      <c r="AQ58" s="10" t="str">
        <f t="shared" si="44"/>
        <v/>
      </c>
      <c r="AR58" s="10" t="str">
        <f t="shared" si="25"/>
        <v/>
      </c>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V58" s="10" t="str">
        <f t="shared" si="45"/>
        <v/>
      </c>
      <c r="AW58" s="10" t="str">
        <f t="shared" si="26"/>
        <v/>
      </c>
      <c r="AY58" s="7" t="s">
        <v>127</v>
      </c>
      <c r="BA58" s="11" t="str">
        <f t="shared" si="46"/>
        <v/>
      </c>
      <c r="BB58" s="10" t="str">
        <f t="shared" si="27"/>
        <v/>
      </c>
      <c r="BD58" s="10" t="str">
        <f t="shared" si="47"/>
        <v/>
      </c>
      <c r="BE58" s="10" t="str">
        <f t="shared" si="28"/>
        <v/>
      </c>
      <c r="BG58" s="11" t="str">
        <f t="shared" si="48"/>
        <v/>
      </c>
      <c r="BH58" s="10" t="str">
        <f t="shared" si="29"/>
        <v/>
      </c>
      <c r="BJ58" s="7" t="str">
        <f t="shared" si="30"/>
        <v/>
      </c>
      <c r="BK58" s="158" t="str">
        <f t="shared" si="31"/>
        <v/>
      </c>
      <c r="BL58" s="158" t="str">
        <f t="shared" si="14"/>
        <v/>
      </c>
      <c r="BM58" s="10"/>
      <c r="BN58" s="10" t="str">
        <f t="shared" si="32"/>
        <v/>
      </c>
      <c r="BO58" s="10" t="str">
        <f t="shared" si="33"/>
        <v/>
      </c>
      <c r="BQ58" s="10" t="str">
        <f t="shared" si="49"/>
        <v/>
      </c>
      <c r="BR58" s="10" t="str">
        <f t="shared" si="34"/>
        <v/>
      </c>
    </row>
    <row r="59" spans="3:70" x14ac:dyDescent="0.15">
      <c r="D59" s="81"/>
      <c r="E59" s="81"/>
      <c r="I59" s="38">
        <f t="shared" si="35"/>
        <v>2074</v>
      </c>
      <c r="J59" s="39"/>
      <c r="K59" s="39">
        <f t="shared" si="36"/>
        <v>45</v>
      </c>
      <c r="L59" s="39"/>
      <c r="M59" s="40">
        <f t="shared" si="0"/>
        <v>0.26443862376454325</v>
      </c>
      <c r="N59" s="39"/>
      <c r="O59" s="72" t="str">
        <f t="shared" si="37"/>
        <v/>
      </c>
      <c r="P59" s="41" t="str">
        <f t="shared" si="38"/>
        <v/>
      </c>
      <c r="Q59" s="39"/>
      <c r="R59" s="72" t="str">
        <f t="shared" si="50"/>
        <v/>
      </c>
      <c r="S59" s="39"/>
      <c r="T59" s="72" t="str">
        <f t="shared" si="17"/>
        <v/>
      </c>
      <c r="U59" s="39"/>
      <c r="V59" s="72" t="str">
        <f t="shared" si="39"/>
        <v/>
      </c>
      <c r="W59" s="72" t="str">
        <f t="shared" si="18"/>
        <v/>
      </c>
      <c r="X59" s="39"/>
      <c r="Y59" s="72" t="str">
        <f t="shared" si="40"/>
        <v/>
      </c>
      <c r="Z59" s="72" t="str">
        <f t="shared" si="19"/>
        <v/>
      </c>
      <c r="AA59" s="39"/>
      <c r="AB59" s="72">
        <f t="shared" si="4"/>
        <v>7500000000</v>
      </c>
      <c r="AC59" s="72">
        <f t="shared" si="51"/>
        <v>1983289678.2340744</v>
      </c>
      <c r="AD59" s="39"/>
      <c r="AE59" s="72" t="str">
        <f t="shared" si="41"/>
        <v/>
      </c>
      <c r="AF59" s="72" t="str">
        <f t="shared" si="21"/>
        <v/>
      </c>
      <c r="AG59" s="39"/>
      <c r="AH59" s="72" t="str">
        <f t="shared" si="42"/>
        <v/>
      </c>
      <c r="AI59" s="72" t="str">
        <f t="shared" si="22"/>
        <v/>
      </c>
      <c r="AJ59" s="39"/>
      <c r="AK59" s="72" t="str">
        <f t="shared" si="43"/>
        <v/>
      </c>
      <c r="AL59" s="72" t="str">
        <f t="shared" si="23"/>
        <v/>
      </c>
      <c r="AM59" s="39"/>
      <c r="AN59" s="72" t="str">
        <f t="shared" si="8"/>
        <v/>
      </c>
      <c r="AO59" s="72" t="str">
        <f t="shared" si="24"/>
        <v/>
      </c>
      <c r="AP59" s="39"/>
      <c r="AQ59" s="72" t="str">
        <f t="shared" si="44"/>
        <v/>
      </c>
      <c r="AR59" s="72" t="str">
        <f t="shared" si="25"/>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45"/>
        <v/>
      </c>
      <c r="AW59" s="72" t="str">
        <f t="shared" si="26"/>
        <v/>
      </c>
      <c r="AX59" s="39"/>
      <c r="AY59" s="40" t="s">
        <v>127</v>
      </c>
      <c r="AZ59" s="39"/>
      <c r="BA59" s="42" t="str">
        <f t="shared" si="46"/>
        <v/>
      </c>
      <c r="BB59" s="72" t="str">
        <f t="shared" si="27"/>
        <v/>
      </c>
      <c r="BC59" s="39"/>
      <c r="BD59" s="72" t="str">
        <f t="shared" si="47"/>
        <v/>
      </c>
      <c r="BE59" s="72" t="str">
        <f t="shared" si="28"/>
        <v/>
      </c>
      <c r="BF59" s="39"/>
      <c r="BG59" s="42" t="str">
        <f t="shared" si="48"/>
        <v/>
      </c>
      <c r="BH59" s="72" t="str">
        <f t="shared" si="29"/>
        <v/>
      </c>
      <c r="BI59" s="39"/>
      <c r="BJ59" s="40" t="str">
        <f t="shared" si="30"/>
        <v/>
      </c>
      <c r="BK59" s="157" t="str">
        <f t="shared" si="31"/>
        <v/>
      </c>
      <c r="BL59" s="157" t="str">
        <f t="shared" si="14"/>
        <v/>
      </c>
      <c r="BM59" s="72"/>
      <c r="BN59" s="72" t="str">
        <f t="shared" si="32"/>
        <v/>
      </c>
      <c r="BO59" s="72" t="str">
        <f t="shared" si="33"/>
        <v/>
      </c>
      <c r="BP59" s="39"/>
      <c r="BQ59" s="72" t="str">
        <f t="shared" si="49"/>
        <v/>
      </c>
      <c r="BR59" s="72" t="str">
        <f t="shared" si="34"/>
        <v/>
      </c>
    </row>
    <row r="60" spans="3:70" x14ac:dyDescent="0.15">
      <c r="D60" s="81" t="s">
        <v>128</v>
      </c>
      <c r="E60" s="81"/>
      <c r="F60" s="59">
        <v>156808</v>
      </c>
      <c r="G60" s="9" t="s">
        <v>176</v>
      </c>
      <c r="I60" s="322">
        <f t="shared" si="35"/>
        <v>2075</v>
      </c>
      <c r="K60" s="71">
        <f t="shared" si="36"/>
        <v>46</v>
      </c>
      <c r="M60" s="7">
        <f t="shared" si="0"/>
        <v>0.25673652792674101</v>
      </c>
      <c r="O60" s="10" t="str">
        <f t="shared" si="37"/>
        <v/>
      </c>
      <c r="P60" s="29" t="str">
        <f t="shared" si="38"/>
        <v/>
      </c>
      <c r="R60" s="10" t="str">
        <f t="shared" si="50"/>
        <v/>
      </c>
      <c r="T60" s="10" t="str">
        <f t="shared" si="17"/>
        <v/>
      </c>
      <c r="V60" s="10" t="str">
        <f t="shared" si="39"/>
        <v/>
      </c>
      <c r="W60" s="10" t="str">
        <f t="shared" si="18"/>
        <v/>
      </c>
      <c r="Y60" s="10" t="str">
        <f t="shared" si="40"/>
        <v/>
      </c>
      <c r="Z60" s="10" t="str">
        <f t="shared" si="19"/>
        <v/>
      </c>
      <c r="AB60" s="10">
        <f t="shared" si="4"/>
        <v>7500000000</v>
      </c>
      <c r="AC60" s="10">
        <f t="shared" si="51"/>
        <v>1925523959.4505575</v>
      </c>
      <c r="AE60" s="10" t="str">
        <f t="shared" si="41"/>
        <v/>
      </c>
      <c r="AF60" s="10" t="str">
        <f t="shared" si="21"/>
        <v/>
      </c>
      <c r="AH60" s="10" t="str">
        <f t="shared" si="42"/>
        <v/>
      </c>
      <c r="AI60" s="10" t="str">
        <f t="shared" si="22"/>
        <v/>
      </c>
      <c r="AK60" s="10" t="str">
        <f t="shared" si="43"/>
        <v/>
      </c>
      <c r="AL60" s="10" t="str">
        <f t="shared" si="23"/>
        <v/>
      </c>
      <c r="AN60" s="188" t="str">
        <f t="shared" si="8"/>
        <v/>
      </c>
      <c r="AO60" s="10" t="str">
        <f t="shared" si="24"/>
        <v/>
      </c>
      <c r="AQ60" s="10" t="str">
        <f t="shared" si="44"/>
        <v/>
      </c>
      <c r="AR60" s="10" t="str">
        <f t="shared" si="25"/>
        <v/>
      </c>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V60" s="10" t="str">
        <f t="shared" si="45"/>
        <v/>
      </c>
      <c r="AW60" s="10" t="str">
        <f t="shared" si="26"/>
        <v/>
      </c>
      <c r="AY60" s="7" t="s">
        <v>127</v>
      </c>
      <c r="BA60" s="11" t="str">
        <f t="shared" si="46"/>
        <v/>
      </c>
      <c r="BB60" s="10" t="str">
        <f t="shared" si="27"/>
        <v/>
      </c>
      <c r="BD60" s="10" t="str">
        <f t="shared" si="47"/>
        <v/>
      </c>
      <c r="BE60" s="10" t="str">
        <f t="shared" si="28"/>
        <v/>
      </c>
      <c r="BG60" s="11" t="str">
        <f t="shared" si="48"/>
        <v/>
      </c>
      <c r="BH60" s="10" t="str">
        <f t="shared" si="29"/>
        <v/>
      </c>
      <c r="BJ60" s="7" t="str">
        <f t="shared" si="30"/>
        <v/>
      </c>
      <c r="BK60" s="158" t="str">
        <f t="shared" si="31"/>
        <v/>
      </c>
      <c r="BL60" s="158" t="str">
        <f t="shared" si="14"/>
        <v/>
      </c>
      <c r="BM60" s="10"/>
      <c r="BN60" s="10" t="str">
        <f t="shared" si="32"/>
        <v/>
      </c>
      <c r="BO60" s="10" t="str">
        <f t="shared" si="33"/>
        <v/>
      </c>
      <c r="BQ60" s="10" t="str">
        <f t="shared" si="49"/>
        <v/>
      </c>
      <c r="BR60" s="10" t="str">
        <f t="shared" si="34"/>
        <v/>
      </c>
    </row>
    <row r="61" spans="3:70" x14ac:dyDescent="0.15">
      <c r="D61" s="82" t="s">
        <v>129</v>
      </c>
      <c r="E61" s="81"/>
      <c r="F61" s="129">
        <v>4000</v>
      </c>
      <c r="G61" s="74" t="s">
        <v>130</v>
      </c>
      <c r="I61" s="38">
        <f t="shared" si="35"/>
        <v>2076</v>
      </c>
      <c r="J61" s="39"/>
      <c r="K61" s="39">
        <f t="shared" si="36"/>
        <v>47</v>
      </c>
      <c r="L61" s="39"/>
      <c r="M61" s="40">
        <f t="shared" si="0"/>
        <v>0.24925876497741845</v>
      </c>
      <c r="N61" s="39"/>
      <c r="O61" s="72" t="str">
        <f t="shared" si="37"/>
        <v/>
      </c>
      <c r="P61" s="41" t="str">
        <f t="shared" si="38"/>
        <v/>
      </c>
      <c r="Q61" s="39"/>
      <c r="R61" s="72" t="str">
        <f t="shared" si="50"/>
        <v/>
      </c>
      <c r="S61" s="39"/>
      <c r="T61" s="72" t="str">
        <f t="shared" si="17"/>
        <v/>
      </c>
      <c r="U61" s="39"/>
      <c r="V61" s="72" t="str">
        <f t="shared" si="39"/>
        <v/>
      </c>
      <c r="W61" s="72" t="str">
        <f t="shared" si="18"/>
        <v/>
      </c>
      <c r="X61" s="39"/>
      <c r="Y61" s="72" t="str">
        <f t="shared" si="40"/>
        <v/>
      </c>
      <c r="Z61" s="72" t="str">
        <f t="shared" si="19"/>
        <v/>
      </c>
      <c r="AA61" s="39"/>
      <c r="AB61" s="72">
        <f t="shared" si="4"/>
        <v>7500000000</v>
      </c>
      <c r="AC61" s="72">
        <f t="shared" si="51"/>
        <v>1869440737.3306384</v>
      </c>
      <c r="AD61" s="39"/>
      <c r="AE61" s="72" t="str">
        <f t="shared" si="41"/>
        <v/>
      </c>
      <c r="AF61" s="72" t="str">
        <f t="shared" si="21"/>
        <v/>
      </c>
      <c r="AG61" s="39"/>
      <c r="AH61" s="72" t="str">
        <f t="shared" si="42"/>
        <v/>
      </c>
      <c r="AI61" s="72" t="str">
        <f t="shared" si="22"/>
        <v/>
      </c>
      <c r="AJ61" s="39"/>
      <c r="AK61" s="72" t="str">
        <f t="shared" si="43"/>
        <v/>
      </c>
      <c r="AL61" s="72" t="str">
        <f t="shared" si="23"/>
        <v/>
      </c>
      <c r="AM61" s="39"/>
      <c r="AN61" s="72" t="str">
        <f t="shared" si="8"/>
        <v/>
      </c>
      <c r="AO61" s="72" t="str">
        <f t="shared" si="24"/>
        <v/>
      </c>
      <c r="AP61" s="39"/>
      <c r="AQ61" s="72" t="str">
        <f t="shared" si="44"/>
        <v/>
      </c>
      <c r="AR61" s="72" t="str">
        <f t="shared" si="25"/>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45"/>
        <v/>
      </c>
      <c r="AW61" s="72" t="str">
        <f t="shared" si="26"/>
        <v/>
      </c>
      <c r="AX61" s="39"/>
      <c r="AY61" s="40" t="s">
        <v>127</v>
      </c>
      <c r="AZ61" s="39"/>
      <c r="BA61" s="42" t="str">
        <f t="shared" si="46"/>
        <v/>
      </c>
      <c r="BB61" s="72" t="str">
        <f t="shared" si="27"/>
        <v/>
      </c>
      <c r="BC61" s="39"/>
      <c r="BD61" s="72" t="str">
        <f t="shared" si="47"/>
        <v/>
      </c>
      <c r="BE61" s="72" t="str">
        <f t="shared" si="28"/>
        <v/>
      </c>
      <c r="BF61" s="39"/>
      <c r="BG61" s="42" t="str">
        <f t="shared" si="48"/>
        <v/>
      </c>
      <c r="BH61" s="72" t="str">
        <f t="shared" si="29"/>
        <v/>
      </c>
      <c r="BI61" s="39"/>
      <c r="BJ61" s="40" t="str">
        <f t="shared" si="30"/>
        <v/>
      </c>
      <c r="BK61" s="157" t="str">
        <f t="shared" si="31"/>
        <v/>
      </c>
      <c r="BL61" s="157" t="str">
        <f t="shared" si="14"/>
        <v/>
      </c>
      <c r="BM61" s="72"/>
      <c r="BN61" s="72" t="str">
        <f t="shared" si="32"/>
        <v/>
      </c>
      <c r="BO61" s="72" t="str">
        <f t="shared" si="33"/>
        <v/>
      </c>
      <c r="BP61" s="39"/>
      <c r="BQ61" s="72" t="str">
        <f t="shared" si="49"/>
        <v/>
      </c>
      <c r="BR61" s="72" t="str">
        <f t="shared" si="34"/>
        <v/>
      </c>
    </row>
    <row r="62" spans="3:70" x14ac:dyDescent="0.15">
      <c r="D62" s="81" t="s">
        <v>131</v>
      </c>
      <c r="E62" s="81"/>
      <c r="F62" s="99">
        <f>(F13*24*365*F14/100)/10000*(1-F24/100)</f>
        <v>70.640640000000005</v>
      </c>
      <c r="G62" s="9" t="s">
        <v>191</v>
      </c>
      <c r="I62" s="322">
        <f t="shared" si="35"/>
        <v>2077</v>
      </c>
      <c r="K62" s="71">
        <f t="shared" si="36"/>
        <v>48</v>
      </c>
      <c r="M62" s="7">
        <f t="shared" si="0"/>
        <v>0.24199880094894996</v>
      </c>
      <c r="O62" s="10" t="str">
        <f t="shared" si="37"/>
        <v/>
      </c>
      <c r="P62" s="29" t="str">
        <f t="shared" si="38"/>
        <v/>
      </c>
      <c r="R62" s="10" t="str">
        <f t="shared" si="50"/>
        <v/>
      </c>
      <c r="T62" s="10" t="str">
        <f t="shared" si="17"/>
        <v/>
      </c>
      <c r="V62" s="10" t="str">
        <f t="shared" si="39"/>
        <v/>
      </c>
      <c r="W62" s="10" t="str">
        <f t="shared" si="18"/>
        <v/>
      </c>
      <c r="Y62" s="10" t="str">
        <f t="shared" si="40"/>
        <v/>
      </c>
      <c r="Z62" s="10" t="str">
        <f t="shared" si="19"/>
        <v/>
      </c>
      <c r="AB62" s="10">
        <f t="shared" si="4"/>
        <v>7500000000</v>
      </c>
      <c r="AC62" s="10">
        <f t="shared" si="51"/>
        <v>1814991007.1171248</v>
      </c>
      <c r="AE62" s="10" t="str">
        <f t="shared" si="41"/>
        <v/>
      </c>
      <c r="AF62" s="10" t="str">
        <f t="shared" si="21"/>
        <v/>
      </c>
      <c r="AH62" s="10" t="str">
        <f t="shared" si="42"/>
        <v/>
      </c>
      <c r="AI62" s="10" t="str">
        <f t="shared" si="22"/>
        <v/>
      </c>
      <c r="AK62" s="10" t="str">
        <f t="shared" si="43"/>
        <v/>
      </c>
      <c r="AL62" s="10" t="str">
        <f t="shared" si="23"/>
        <v/>
      </c>
      <c r="AN62" s="188" t="str">
        <f t="shared" si="8"/>
        <v/>
      </c>
      <c r="AO62" s="10" t="str">
        <f t="shared" si="24"/>
        <v/>
      </c>
      <c r="AQ62" s="10" t="str">
        <f t="shared" si="44"/>
        <v/>
      </c>
      <c r="AR62" s="10" t="str">
        <f t="shared" si="25"/>
        <v/>
      </c>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V62" s="10" t="str">
        <f t="shared" si="45"/>
        <v/>
      </c>
      <c r="AW62" s="10" t="str">
        <f t="shared" si="26"/>
        <v/>
      </c>
      <c r="AY62" s="7" t="s">
        <v>127</v>
      </c>
      <c r="BA62" s="11" t="str">
        <f t="shared" si="46"/>
        <v/>
      </c>
      <c r="BB62" s="10" t="str">
        <f t="shared" si="27"/>
        <v/>
      </c>
      <c r="BD62" s="10" t="str">
        <f t="shared" si="47"/>
        <v/>
      </c>
      <c r="BE62" s="10" t="str">
        <f t="shared" si="28"/>
        <v/>
      </c>
      <c r="BG62" s="11" t="str">
        <f t="shared" si="48"/>
        <v/>
      </c>
      <c r="BH62" s="10" t="str">
        <f t="shared" si="29"/>
        <v/>
      </c>
      <c r="BJ62" s="7" t="str">
        <f t="shared" si="30"/>
        <v/>
      </c>
      <c r="BK62" s="158" t="str">
        <f t="shared" si="31"/>
        <v/>
      </c>
      <c r="BL62" s="158" t="str">
        <f t="shared" si="14"/>
        <v/>
      </c>
      <c r="BM62" s="10"/>
      <c r="BN62" s="10" t="str">
        <f t="shared" si="32"/>
        <v/>
      </c>
      <c r="BO62" s="10" t="str">
        <f t="shared" si="33"/>
        <v/>
      </c>
      <c r="BQ62" s="10" t="str">
        <f t="shared" si="49"/>
        <v/>
      </c>
      <c r="BR62" s="10" t="str">
        <f t="shared" si="34"/>
        <v/>
      </c>
    </row>
    <row r="63" spans="3:70" x14ac:dyDescent="0.15">
      <c r="D63" s="81"/>
      <c r="E63" s="81"/>
      <c r="F63" s="81"/>
      <c r="G63" s="81"/>
      <c r="I63" s="38">
        <f t="shared" si="35"/>
        <v>2078</v>
      </c>
      <c r="J63" s="39"/>
      <c r="K63" s="39">
        <f t="shared" si="36"/>
        <v>49</v>
      </c>
      <c r="L63" s="39"/>
      <c r="M63" s="40">
        <f t="shared" si="0"/>
        <v>0.2349502921834466</v>
      </c>
      <c r="N63" s="39"/>
      <c r="O63" s="72" t="str">
        <f t="shared" si="37"/>
        <v/>
      </c>
      <c r="P63" s="41" t="str">
        <f t="shared" si="38"/>
        <v/>
      </c>
      <c r="Q63" s="39"/>
      <c r="R63" s="72" t="str">
        <f t="shared" si="50"/>
        <v/>
      </c>
      <c r="S63" s="39"/>
      <c r="T63" s="72" t="str">
        <f t="shared" si="17"/>
        <v/>
      </c>
      <c r="U63" s="39"/>
      <c r="V63" s="72" t="str">
        <f t="shared" si="39"/>
        <v/>
      </c>
      <c r="W63" s="72" t="str">
        <f t="shared" si="18"/>
        <v/>
      </c>
      <c r="X63" s="39"/>
      <c r="Y63" s="72" t="str">
        <f t="shared" si="40"/>
        <v/>
      </c>
      <c r="Z63" s="72" t="str">
        <f t="shared" si="19"/>
        <v/>
      </c>
      <c r="AA63" s="39"/>
      <c r="AB63" s="72">
        <f t="shared" si="4"/>
        <v>7500000000</v>
      </c>
      <c r="AC63" s="72">
        <f t="shared" si="51"/>
        <v>1762127191.3758495</v>
      </c>
      <c r="AD63" s="39"/>
      <c r="AE63" s="72" t="str">
        <f t="shared" si="41"/>
        <v/>
      </c>
      <c r="AF63" s="72" t="str">
        <f t="shared" si="21"/>
        <v/>
      </c>
      <c r="AG63" s="39"/>
      <c r="AH63" s="72" t="str">
        <f t="shared" si="42"/>
        <v/>
      </c>
      <c r="AI63" s="72" t="str">
        <f t="shared" si="22"/>
        <v/>
      </c>
      <c r="AJ63" s="39"/>
      <c r="AK63" s="72" t="str">
        <f t="shared" si="43"/>
        <v/>
      </c>
      <c r="AL63" s="72" t="str">
        <f t="shared" si="23"/>
        <v/>
      </c>
      <c r="AM63" s="39"/>
      <c r="AN63" s="72" t="str">
        <f t="shared" si="8"/>
        <v/>
      </c>
      <c r="AO63" s="72" t="str">
        <f t="shared" si="24"/>
        <v/>
      </c>
      <c r="AP63" s="39"/>
      <c r="AQ63" s="72" t="str">
        <f t="shared" si="44"/>
        <v/>
      </c>
      <c r="AR63" s="72" t="str">
        <f t="shared" si="25"/>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45"/>
        <v/>
      </c>
      <c r="AW63" s="72" t="str">
        <f t="shared" si="26"/>
        <v/>
      </c>
      <c r="AX63" s="39"/>
      <c r="AY63" s="40" t="s">
        <v>127</v>
      </c>
      <c r="AZ63" s="39"/>
      <c r="BA63" s="42" t="str">
        <f t="shared" si="46"/>
        <v/>
      </c>
      <c r="BB63" s="72" t="str">
        <f t="shared" si="27"/>
        <v/>
      </c>
      <c r="BC63" s="39"/>
      <c r="BD63" s="72" t="str">
        <f t="shared" si="47"/>
        <v/>
      </c>
      <c r="BE63" s="72" t="str">
        <f t="shared" si="28"/>
        <v/>
      </c>
      <c r="BF63" s="39"/>
      <c r="BG63" s="42" t="str">
        <f t="shared" si="48"/>
        <v/>
      </c>
      <c r="BH63" s="72" t="str">
        <f t="shared" si="29"/>
        <v/>
      </c>
      <c r="BI63" s="39"/>
      <c r="BJ63" s="40" t="str">
        <f t="shared" si="30"/>
        <v/>
      </c>
      <c r="BK63" s="157" t="str">
        <f t="shared" si="31"/>
        <v/>
      </c>
      <c r="BL63" s="157" t="str">
        <f t="shared" si="14"/>
        <v/>
      </c>
      <c r="BM63" s="72"/>
      <c r="BN63" s="72" t="str">
        <f t="shared" si="32"/>
        <v/>
      </c>
      <c r="BO63" s="72" t="str">
        <f t="shared" si="33"/>
        <v/>
      </c>
      <c r="BP63" s="39"/>
      <c r="BQ63" s="72" t="str">
        <f t="shared" si="49"/>
        <v/>
      </c>
      <c r="BR63" s="72" t="str">
        <f t="shared" si="34"/>
        <v/>
      </c>
    </row>
    <row r="64" spans="3:70" x14ac:dyDescent="0.15">
      <c r="C64" s="9" t="s">
        <v>513</v>
      </c>
      <c r="D64" s="81"/>
      <c r="E64" s="81"/>
      <c r="F64" s="67">
        <v>1.51</v>
      </c>
      <c r="G64" s="81" t="s">
        <v>132</v>
      </c>
      <c r="I64" s="322">
        <f t="shared" si="35"/>
        <v>2079</v>
      </c>
      <c r="K64" s="71">
        <f t="shared" si="36"/>
        <v>50</v>
      </c>
      <c r="M64" s="7">
        <f t="shared" si="0"/>
        <v>0.22810707978975397</v>
      </c>
      <c r="O64" s="10" t="str">
        <f t="shared" si="37"/>
        <v/>
      </c>
      <c r="P64" s="29" t="str">
        <f t="shared" si="38"/>
        <v/>
      </c>
      <c r="R64" s="10" t="str">
        <f t="shared" si="50"/>
        <v/>
      </c>
      <c r="T64" s="10" t="str">
        <f t="shared" si="17"/>
        <v/>
      </c>
      <c r="V64" s="10" t="str">
        <f t="shared" si="39"/>
        <v/>
      </c>
      <c r="W64" s="10" t="str">
        <f t="shared" si="18"/>
        <v/>
      </c>
      <c r="Y64" s="10" t="str">
        <f t="shared" si="40"/>
        <v/>
      </c>
      <c r="Z64" s="10" t="str">
        <f t="shared" si="19"/>
        <v/>
      </c>
      <c r="AB64" s="10">
        <f t="shared" si="4"/>
        <v>7500000000</v>
      </c>
      <c r="AC64" s="10">
        <f t="shared" si="51"/>
        <v>1710803098.4231548</v>
      </c>
      <c r="AE64" s="10" t="str">
        <f t="shared" si="41"/>
        <v/>
      </c>
      <c r="AF64" s="10" t="str">
        <f t="shared" si="21"/>
        <v/>
      </c>
      <c r="AH64" s="10" t="str">
        <f t="shared" si="42"/>
        <v/>
      </c>
      <c r="AI64" s="10" t="str">
        <f t="shared" si="22"/>
        <v/>
      </c>
      <c r="AK64" s="10" t="str">
        <f t="shared" si="43"/>
        <v/>
      </c>
      <c r="AL64" s="10" t="str">
        <f t="shared" si="23"/>
        <v/>
      </c>
      <c r="AN64" s="188" t="str">
        <f t="shared" si="8"/>
        <v/>
      </c>
      <c r="AO64" s="10" t="str">
        <f t="shared" si="24"/>
        <v/>
      </c>
      <c r="AQ64" s="10" t="str">
        <f t="shared" si="44"/>
        <v/>
      </c>
      <c r="AR64" s="10" t="str">
        <f t="shared" si="25"/>
        <v/>
      </c>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V64" s="10" t="str">
        <f t="shared" si="45"/>
        <v/>
      </c>
      <c r="AW64" s="10" t="str">
        <f t="shared" si="26"/>
        <v/>
      </c>
      <c r="AY64" s="7" t="s">
        <v>127</v>
      </c>
      <c r="BA64" s="11" t="str">
        <f t="shared" si="46"/>
        <v/>
      </c>
      <c r="BB64" s="10" t="str">
        <f t="shared" si="27"/>
        <v/>
      </c>
      <c r="BD64" s="10" t="str">
        <f t="shared" si="47"/>
        <v/>
      </c>
      <c r="BE64" s="10" t="str">
        <f t="shared" si="28"/>
        <v/>
      </c>
      <c r="BG64" s="11" t="str">
        <f t="shared" si="48"/>
        <v/>
      </c>
      <c r="BH64" s="10" t="str">
        <f t="shared" si="29"/>
        <v/>
      </c>
      <c r="BJ64" s="7" t="str">
        <f t="shared" si="30"/>
        <v/>
      </c>
      <c r="BK64" s="158" t="str">
        <f t="shared" si="31"/>
        <v/>
      </c>
      <c r="BL64" s="158" t="str">
        <f t="shared" si="14"/>
        <v/>
      </c>
      <c r="BM64" s="10"/>
      <c r="BN64" s="10" t="str">
        <f t="shared" si="32"/>
        <v/>
      </c>
      <c r="BO64" s="10" t="str">
        <f t="shared" si="33"/>
        <v/>
      </c>
      <c r="BQ64" s="10" t="str">
        <f t="shared" si="49"/>
        <v/>
      </c>
      <c r="BR64" s="10" t="str">
        <f t="shared" si="34"/>
        <v/>
      </c>
    </row>
    <row r="65" spans="1:70" x14ac:dyDescent="0.15">
      <c r="D65" s="81"/>
      <c r="E65" s="81"/>
      <c r="I65" s="38">
        <f t="shared" si="35"/>
        <v>2080</v>
      </c>
      <c r="J65" s="39"/>
      <c r="K65" s="39">
        <f t="shared" si="36"/>
        <v>51</v>
      </c>
      <c r="L65" s="39"/>
      <c r="M65" s="40">
        <f t="shared" si="0"/>
        <v>0.22146318426189707</v>
      </c>
      <c r="N65" s="39"/>
      <c r="O65" s="72" t="str">
        <f t="shared" si="37"/>
        <v/>
      </c>
      <c r="P65" s="41" t="str">
        <f t="shared" si="38"/>
        <v/>
      </c>
      <c r="Q65" s="39"/>
      <c r="R65" s="72" t="str">
        <f t="shared" si="50"/>
        <v/>
      </c>
      <c r="S65" s="39"/>
      <c r="T65" s="72" t="str">
        <f t="shared" si="17"/>
        <v/>
      </c>
      <c r="U65" s="39"/>
      <c r="V65" s="72" t="str">
        <f t="shared" si="39"/>
        <v/>
      </c>
      <c r="W65" s="72" t="str">
        <f t="shared" si="18"/>
        <v/>
      </c>
      <c r="X65" s="39"/>
      <c r="Y65" s="72" t="str">
        <f t="shared" si="40"/>
        <v/>
      </c>
      <c r="Z65" s="72" t="str">
        <f t="shared" si="19"/>
        <v/>
      </c>
      <c r="AA65" s="39"/>
      <c r="AB65" s="72" t="str">
        <f t="shared" si="4"/>
        <v/>
      </c>
      <c r="AC65" s="72" t="str">
        <f t="shared" si="51"/>
        <v/>
      </c>
      <c r="AD65" s="39"/>
      <c r="AE65" s="72" t="str">
        <f t="shared" si="41"/>
        <v/>
      </c>
      <c r="AF65" s="72" t="str">
        <f t="shared" si="21"/>
        <v/>
      </c>
      <c r="AG65" s="39"/>
      <c r="AH65" s="72" t="str">
        <f t="shared" si="42"/>
        <v/>
      </c>
      <c r="AI65" s="72" t="str">
        <f t="shared" si="22"/>
        <v/>
      </c>
      <c r="AJ65" s="39"/>
      <c r="AK65" s="72" t="str">
        <f t="shared" si="43"/>
        <v/>
      </c>
      <c r="AL65" s="72" t="str">
        <f t="shared" si="23"/>
        <v/>
      </c>
      <c r="AM65" s="39"/>
      <c r="AN65" s="72" t="str">
        <f t="shared" si="8"/>
        <v/>
      </c>
      <c r="AO65" s="72" t="str">
        <f t="shared" si="24"/>
        <v/>
      </c>
      <c r="AP65" s="39"/>
      <c r="AQ65" s="72" t="str">
        <f t="shared" si="44"/>
        <v/>
      </c>
      <c r="AR65" s="72" t="str">
        <f t="shared" si="25"/>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45"/>
        <v/>
      </c>
      <c r="AW65" s="72" t="str">
        <f t="shared" si="26"/>
        <v/>
      </c>
      <c r="AX65" s="39"/>
      <c r="AY65" s="40" t="s">
        <v>127</v>
      </c>
      <c r="AZ65" s="39"/>
      <c r="BA65" s="42" t="str">
        <f t="shared" si="46"/>
        <v/>
      </c>
      <c r="BB65" s="72" t="str">
        <f t="shared" si="27"/>
        <v/>
      </c>
      <c r="BC65" s="39"/>
      <c r="BD65" s="72" t="str">
        <f t="shared" si="47"/>
        <v/>
      </c>
      <c r="BE65" s="72" t="str">
        <f t="shared" si="28"/>
        <v/>
      </c>
      <c r="BF65" s="39"/>
      <c r="BG65" s="42" t="str">
        <f t="shared" si="48"/>
        <v/>
      </c>
      <c r="BH65" s="72" t="str">
        <f t="shared" si="29"/>
        <v/>
      </c>
      <c r="BI65" s="39"/>
      <c r="BJ65" s="40" t="str">
        <f t="shared" si="30"/>
        <v/>
      </c>
      <c r="BK65" s="157" t="str">
        <f t="shared" si="31"/>
        <v/>
      </c>
      <c r="BL65" s="157" t="str">
        <f t="shared" si="14"/>
        <v/>
      </c>
      <c r="BM65" s="72"/>
      <c r="BN65" s="72" t="str">
        <f t="shared" si="32"/>
        <v/>
      </c>
      <c r="BO65" s="72" t="str">
        <f t="shared" si="33"/>
        <v/>
      </c>
      <c r="BP65" s="39"/>
      <c r="BQ65" s="72" t="str">
        <f t="shared" si="49"/>
        <v/>
      </c>
      <c r="BR65" s="72" t="str">
        <f t="shared" si="34"/>
        <v/>
      </c>
    </row>
    <row r="66" spans="1:70" x14ac:dyDescent="0.15">
      <c r="D66" s="81"/>
      <c r="E66" s="81"/>
      <c r="G66" s="81"/>
      <c r="I66" s="322">
        <f t="shared" si="35"/>
        <v>2081</v>
      </c>
      <c r="K66" s="71">
        <f t="shared" si="36"/>
        <v>52</v>
      </c>
      <c r="M66" s="7">
        <f t="shared" si="0"/>
        <v>0.215012800254269</v>
      </c>
      <c r="O66" s="10" t="str">
        <f t="shared" si="37"/>
        <v/>
      </c>
      <c r="P66" s="29" t="str">
        <f t="shared" si="38"/>
        <v/>
      </c>
      <c r="R66" s="10" t="str">
        <f t="shared" si="50"/>
        <v/>
      </c>
      <c r="T66" s="10" t="str">
        <f t="shared" si="17"/>
        <v/>
      </c>
      <c r="V66" s="10" t="str">
        <f t="shared" si="39"/>
        <v/>
      </c>
      <c r="W66" s="10" t="str">
        <f t="shared" si="18"/>
        <v/>
      </c>
      <c r="Y66" s="10" t="str">
        <f t="shared" si="40"/>
        <v/>
      </c>
      <c r="Z66" s="10" t="str">
        <f t="shared" si="19"/>
        <v/>
      </c>
      <c r="AB66" s="10" t="str">
        <f t="shared" si="4"/>
        <v/>
      </c>
      <c r="AC66" s="10" t="str">
        <f t="shared" si="51"/>
        <v/>
      </c>
      <c r="AE66" s="10" t="str">
        <f t="shared" si="41"/>
        <v/>
      </c>
      <c r="AF66" s="10" t="str">
        <f t="shared" si="21"/>
        <v/>
      </c>
      <c r="AH66" s="10" t="str">
        <f t="shared" si="42"/>
        <v/>
      </c>
      <c r="AI66" s="10" t="str">
        <f t="shared" si="22"/>
        <v/>
      </c>
      <c r="AK66" s="10" t="str">
        <f t="shared" si="43"/>
        <v/>
      </c>
      <c r="AL66" s="10" t="str">
        <f t="shared" si="23"/>
        <v/>
      </c>
      <c r="AN66" s="188" t="str">
        <f t="shared" si="8"/>
        <v/>
      </c>
      <c r="AO66" s="10" t="str">
        <f t="shared" si="24"/>
        <v/>
      </c>
      <c r="AQ66" s="10" t="str">
        <f t="shared" si="44"/>
        <v/>
      </c>
      <c r="AR66" s="10" t="str">
        <f t="shared" si="25"/>
        <v/>
      </c>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V66" s="10" t="str">
        <f t="shared" si="45"/>
        <v/>
      </c>
      <c r="AW66" s="10" t="str">
        <f t="shared" si="26"/>
        <v/>
      </c>
      <c r="AY66" s="7" t="s">
        <v>127</v>
      </c>
      <c r="BA66" s="11" t="str">
        <f t="shared" si="46"/>
        <v/>
      </c>
      <c r="BB66" s="10" t="str">
        <f t="shared" si="27"/>
        <v/>
      </c>
      <c r="BD66" s="10" t="str">
        <f t="shared" si="47"/>
        <v/>
      </c>
      <c r="BE66" s="10" t="str">
        <f t="shared" si="28"/>
        <v/>
      </c>
      <c r="BG66" s="11" t="str">
        <f t="shared" si="48"/>
        <v/>
      </c>
      <c r="BH66" s="10" t="str">
        <f t="shared" si="29"/>
        <v/>
      </c>
      <c r="BJ66" s="7" t="str">
        <f t="shared" si="30"/>
        <v/>
      </c>
      <c r="BK66" s="158" t="str">
        <f t="shared" si="31"/>
        <v/>
      </c>
      <c r="BL66" s="158" t="str">
        <f t="shared" si="14"/>
        <v/>
      </c>
      <c r="BM66" s="10"/>
      <c r="BN66" s="10" t="str">
        <f t="shared" si="32"/>
        <v/>
      </c>
      <c r="BO66" s="10" t="str">
        <f t="shared" si="33"/>
        <v/>
      </c>
      <c r="BQ66" s="10" t="str">
        <f t="shared" si="49"/>
        <v/>
      </c>
      <c r="BR66" s="10" t="str">
        <f t="shared" si="34"/>
        <v/>
      </c>
    </row>
    <row r="67" spans="1:70" ht="15.75" thickBot="1" x14ac:dyDescent="0.2">
      <c r="B67" s="460" t="s">
        <v>133</v>
      </c>
      <c r="C67" s="86"/>
      <c r="D67" s="104"/>
      <c r="E67" s="104"/>
      <c r="F67" s="86"/>
      <c r="G67" s="104"/>
      <c r="I67" s="38">
        <f t="shared" si="35"/>
        <v>2082</v>
      </c>
      <c r="J67" s="39"/>
      <c r="K67" s="39">
        <f t="shared" si="36"/>
        <v>53</v>
      </c>
      <c r="L67" s="39"/>
      <c r="M67" s="40">
        <f t="shared" si="0"/>
        <v>0.20875029150899907</v>
      </c>
      <c r="N67" s="39"/>
      <c r="O67" s="72" t="str">
        <f t="shared" si="37"/>
        <v/>
      </c>
      <c r="P67" s="41" t="str">
        <f t="shared" si="38"/>
        <v/>
      </c>
      <c r="Q67" s="39"/>
      <c r="R67" s="72" t="str">
        <f t="shared" si="50"/>
        <v/>
      </c>
      <c r="S67" s="39"/>
      <c r="T67" s="72" t="str">
        <f t="shared" si="17"/>
        <v/>
      </c>
      <c r="U67" s="39"/>
      <c r="V67" s="72" t="str">
        <f t="shared" si="39"/>
        <v/>
      </c>
      <c r="W67" s="72" t="str">
        <f t="shared" si="18"/>
        <v/>
      </c>
      <c r="X67" s="39"/>
      <c r="Y67" s="72" t="str">
        <f t="shared" si="40"/>
        <v/>
      </c>
      <c r="Z67" s="72" t="str">
        <f t="shared" si="19"/>
        <v/>
      </c>
      <c r="AA67" s="39"/>
      <c r="AB67" s="72" t="str">
        <f t="shared" si="4"/>
        <v/>
      </c>
      <c r="AC67" s="72" t="str">
        <f t="shared" si="51"/>
        <v/>
      </c>
      <c r="AD67" s="39"/>
      <c r="AE67" s="72" t="str">
        <f t="shared" si="41"/>
        <v/>
      </c>
      <c r="AF67" s="72" t="str">
        <f t="shared" si="21"/>
        <v/>
      </c>
      <c r="AG67" s="39"/>
      <c r="AH67" s="72" t="str">
        <f t="shared" si="42"/>
        <v/>
      </c>
      <c r="AI67" s="72" t="str">
        <f t="shared" si="22"/>
        <v/>
      </c>
      <c r="AJ67" s="39"/>
      <c r="AK67" s="72" t="str">
        <f t="shared" si="43"/>
        <v/>
      </c>
      <c r="AL67" s="72" t="str">
        <f t="shared" si="23"/>
        <v/>
      </c>
      <c r="AM67" s="39"/>
      <c r="AN67" s="72" t="str">
        <f t="shared" si="8"/>
        <v/>
      </c>
      <c r="AO67" s="72" t="str">
        <f t="shared" si="24"/>
        <v/>
      </c>
      <c r="AP67" s="39"/>
      <c r="AQ67" s="72" t="str">
        <f t="shared" si="44"/>
        <v/>
      </c>
      <c r="AR67" s="72" t="str">
        <f t="shared" si="25"/>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45"/>
        <v/>
      </c>
      <c r="AW67" s="72" t="str">
        <f t="shared" si="26"/>
        <v/>
      </c>
      <c r="AX67" s="39"/>
      <c r="AY67" s="40" t="s">
        <v>127</v>
      </c>
      <c r="AZ67" s="39"/>
      <c r="BA67" s="42" t="str">
        <f t="shared" si="46"/>
        <v/>
      </c>
      <c r="BB67" s="72" t="str">
        <f t="shared" si="27"/>
        <v/>
      </c>
      <c r="BC67" s="39"/>
      <c r="BD67" s="72" t="str">
        <f t="shared" si="47"/>
        <v/>
      </c>
      <c r="BE67" s="72" t="str">
        <f t="shared" si="28"/>
        <v/>
      </c>
      <c r="BF67" s="39"/>
      <c r="BG67" s="42" t="str">
        <f t="shared" si="48"/>
        <v/>
      </c>
      <c r="BH67" s="72" t="str">
        <f t="shared" si="29"/>
        <v/>
      </c>
      <c r="BI67" s="39"/>
      <c r="BJ67" s="40" t="str">
        <f t="shared" si="30"/>
        <v/>
      </c>
      <c r="BK67" s="157" t="str">
        <f t="shared" si="31"/>
        <v/>
      </c>
      <c r="BL67" s="157" t="str">
        <f t="shared" si="14"/>
        <v/>
      </c>
      <c r="BM67" s="72"/>
      <c r="BN67" s="72" t="str">
        <f t="shared" si="32"/>
        <v/>
      </c>
      <c r="BO67" s="72" t="str">
        <f t="shared" si="33"/>
        <v/>
      </c>
      <c r="BP67" s="39"/>
      <c r="BQ67" s="72" t="str">
        <f t="shared" si="49"/>
        <v/>
      </c>
      <c r="BR67" s="72" t="str">
        <f t="shared" si="34"/>
        <v/>
      </c>
    </row>
    <row r="68" spans="1:70" x14ac:dyDescent="0.15">
      <c r="D68" s="81"/>
      <c r="E68" s="81"/>
      <c r="I68" s="322">
        <f t="shared" si="35"/>
        <v>2083</v>
      </c>
      <c r="K68" s="71">
        <f t="shared" si="36"/>
        <v>54</v>
      </c>
      <c r="M68" s="7">
        <f t="shared" si="0"/>
        <v>0.20267018593106703</v>
      </c>
      <c r="O68" s="10" t="str">
        <f t="shared" si="37"/>
        <v/>
      </c>
      <c r="P68" s="29" t="str">
        <f t="shared" si="38"/>
        <v/>
      </c>
      <c r="R68" s="10" t="str">
        <f t="shared" si="50"/>
        <v/>
      </c>
      <c r="T68" s="10" t="str">
        <f t="shared" si="17"/>
        <v/>
      </c>
      <c r="V68" s="10" t="str">
        <f t="shared" si="39"/>
        <v/>
      </c>
      <c r="W68" s="10" t="str">
        <f t="shared" si="18"/>
        <v/>
      </c>
      <c r="Y68" s="10" t="str">
        <f t="shared" si="40"/>
        <v/>
      </c>
      <c r="Z68" s="10" t="str">
        <f t="shared" si="19"/>
        <v/>
      </c>
      <c r="AB68" s="10" t="str">
        <f t="shared" si="4"/>
        <v/>
      </c>
      <c r="AC68" s="10" t="str">
        <f t="shared" si="51"/>
        <v/>
      </c>
      <c r="AE68" s="10" t="str">
        <f t="shared" si="41"/>
        <v/>
      </c>
      <c r="AF68" s="10" t="str">
        <f t="shared" si="21"/>
        <v/>
      </c>
      <c r="AH68" s="10" t="str">
        <f t="shared" si="42"/>
        <v/>
      </c>
      <c r="AI68" s="10" t="str">
        <f t="shared" si="22"/>
        <v/>
      </c>
      <c r="AK68" s="10" t="str">
        <f t="shared" si="43"/>
        <v/>
      </c>
      <c r="AL68" s="10" t="str">
        <f t="shared" si="23"/>
        <v/>
      </c>
      <c r="AN68" s="188" t="str">
        <f t="shared" si="8"/>
        <v/>
      </c>
      <c r="AO68" s="10" t="str">
        <f t="shared" si="24"/>
        <v/>
      </c>
      <c r="AQ68" s="10" t="str">
        <f t="shared" si="44"/>
        <v/>
      </c>
      <c r="AR68" s="10" t="str">
        <f t="shared" si="25"/>
        <v/>
      </c>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V68" s="10" t="str">
        <f t="shared" si="45"/>
        <v/>
      </c>
      <c r="AW68" s="10" t="str">
        <f t="shared" si="26"/>
        <v/>
      </c>
      <c r="AY68" s="7" t="s">
        <v>127</v>
      </c>
      <c r="BA68" s="11" t="str">
        <f t="shared" si="46"/>
        <v/>
      </c>
      <c r="BB68" s="10" t="str">
        <f t="shared" si="27"/>
        <v/>
      </c>
      <c r="BD68" s="10" t="str">
        <f t="shared" si="47"/>
        <v/>
      </c>
      <c r="BE68" s="10" t="str">
        <f t="shared" si="28"/>
        <v/>
      </c>
      <c r="BG68" s="11" t="str">
        <f t="shared" si="48"/>
        <v/>
      </c>
      <c r="BH68" s="10" t="str">
        <f t="shared" si="29"/>
        <v/>
      </c>
      <c r="BJ68" s="7" t="str">
        <f t="shared" si="30"/>
        <v/>
      </c>
      <c r="BK68" s="158" t="str">
        <f t="shared" si="31"/>
        <v/>
      </c>
      <c r="BL68" s="158" t="str">
        <f t="shared" si="14"/>
        <v/>
      </c>
      <c r="BM68" s="10"/>
      <c r="BN68" s="10" t="str">
        <f t="shared" si="32"/>
        <v/>
      </c>
      <c r="BO68" s="10" t="str">
        <f t="shared" si="33"/>
        <v/>
      </c>
      <c r="BQ68" s="10" t="str">
        <f t="shared" si="49"/>
        <v/>
      </c>
      <c r="BR68" s="10" t="str">
        <f t="shared" si="34"/>
        <v/>
      </c>
    </row>
    <row r="69" spans="1:70" x14ac:dyDescent="0.15">
      <c r="C69" s="461" t="s">
        <v>134</v>
      </c>
      <c r="F69" s="94">
        <f>SUBTOTAL(9,F74:F112)-F105</f>
        <v>10.195274174267764</v>
      </c>
      <c r="G69" s="9" t="s">
        <v>132</v>
      </c>
      <c r="I69" s="38">
        <f t="shared" si="35"/>
        <v>2084</v>
      </c>
      <c r="J69" s="39"/>
      <c r="K69" s="39">
        <f t="shared" si="36"/>
        <v>55</v>
      </c>
      <c r="L69" s="39"/>
      <c r="M69" s="40">
        <f t="shared" si="0"/>
        <v>0.19676717080686118</v>
      </c>
      <c r="N69" s="39"/>
      <c r="O69" s="72" t="str">
        <f t="shared" si="37"/>
        <v/>
      </c>
      <c r="P69" s="41" t="str">
        <f t="shared" si="38"/>
        <v/>
      </c>
      <c r="Q69" s="39"/>
      <c r="R69" s="72" t="str">
        <f t="shared" si="50"/>
        <v/>
      </c>
      <c r="S69" s="39"/>
      <c r="T69" s="72" t="str">
        <f t="shared" si="17"/>
        <v/>
      </c>
      <c r="U69" s="39"/>
      <c r="V69" s="72" t="str">
        <f t="shared" si="39"/>
        <v/>
      </c>
      <c r="W69" s="72" t="str">
        <f t="shared" si="18"/>
        <v/>
      </c>
      <c r="X69" s="39"/>
      <c r="Y69" s="72" t="str">
        <f t="shared" si="40"/>
        <v/>
      </c>
      <c r="Z69" s="72" t="str">
        <f t="shared" si="19"/>
        <v/>
      </c>
      <c r="AA69" s="39"/>
      <c r="AB69" s="72" t="str">
        <f t="shared" si="4"/>
        <v/>
      </c>
      <c r="AC69" s="72" t="str">
        <f t="shared" si="51"/>
        <v/>
      </c>
      <c r="AD69" s="39"/>
      <c r="AE69" s="72" t="str">
        <f t="shared" si="41"/>
        <v/>
      </c>
      <c r="AF69" s="72" t="str">
        <f t="shared" si="21"/>
        <v/>
      </c>
      <c r="AG69" s="39"/>
      <c r="AH69" s="72" t="str">
        <f t="shared" si="42"/>
        <v/>
      </c>
      <c r="AI69" s="72" t="str">
        <f t="shared" si="22"/>
        <v/>
      </c>
      <c r="AJ69" s="39"/>
      <c r="AK69" s="72" t="str">
        <f t="shared" si="43"/>
        <v/>
      </c>
      <c r="AL69" s="72" t="str">
        <f t="shared" si="23"/>
        <v/>
      </c>
      <c r="AM69" s="39"/>
      <c r="AN69" s="72" t="str">
        <f t="shared" si="8"/>
        <v/>
      </c>
      <c r="AO69" s="72" t="str">
        <f t="shared" si="24"/>
        <v/>
      </c>
      <c r="AP69" s="39"/>
      <c r="AQ69" s="72" t="str">
        <f t="shared" si="44"/>
        <v/>
      </c>
      <c r="AR69" s="72" t="str">
        <f t="shared" si="25"/>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45"/>
        <v/>
      </c>
      <c r="AW69" s="72" t="str">
        <f t="shared" si="26"/>
        <v/>
      </c>
      <c r="AX69" s="39"/>
      <c r="AY69" s="40" t="s">
        <v>127</v>
      </c>
      <c r="AZ69" s="39"/>
      <c r="BA69" s="42" t="str">
        <f t="shared" si="46"/>
        <v/>
      </c>
      <c r="BB69" s="72" t="str">
        <f t="shared" si="27"/>
        <v/>
      </c>
      <c r="BC69" s="39"/>
      <c r="BD69" s="72" t="str">
        <f t="shared" si="47"/>
        <v/>
      </c>
      <c r="BE69" s="72" t="str">
        <f t="shared" si="28"/>
        <v/>
      </c>
      <c r="BF69" s="39"/>
      <c r="BG69" s="42" t="str">
        <f t="shared" si="48"/>
        <v/>
      </c>
      <c r="BH69" s="72" t="str">
        <f t="shared" si="29"/>
        <v/>
      </c>
      <c r="BI69" s="39"/>
      <c r="BJ69" s="40" t="str">
        <f t="shared" si="30"/>
        <v/>
      </c>
      <c r="BK69" s="157" t="str">
        <f t="shared" si="31"/>
        <v/>
      </c>
      <c r="BL69" s="157" t="str">
        <f t="shared" si="14"/>
        <v/>
      </c>
      <c r="BM69" s="72"/>
      <c r="BN69" s="72" t="str">
        <f t="shared" si="32"/>
        <v/>
      </c>
      <c r="BO69" s="72" t="str">
        <f t="shared" si="33"/>
        <v/>
      </c>
      <c r="BP69" s="39"/>
      <c r="BQ69" s="72" t="str">
        <f t="shared" si="49"/>
        <v/>
      </c>
      <c r="BR69" s="72" t="str">
        <f t="shared" si="34"/>
        <v/>
      </c>
    </row>
    <row r="70" spans="1:70" x14ac:dyDescent="0.15">
      <c r="C70" s="461" t="s">
        <v>135</v>
      </c>
      <c r="F70" s="94">
        <f>SUBTOTAL(9,F74:F112)</f>
        <v>11.705274174267764</v>
      </c>
      <c r="G70" s="9" t="s">
        <v>132</v>
      </c>
      <c r="I70" s="322">
        <f t="shared" si="35"/>
        <v>2085</v>
      </c>
      <c r="K70" s="71">
        <f t="shared" si="36"/>
        <v>56</v>
      </c>
      <c r="M70" s="7">
        <f t="shared" si="0"/>
        <v>0.19103608816200118</v>
      </c>
      <c r="O70" s="10" t="str">
        <f t="shared" si="37"/>
        <v/>
      </c>
      <c r="P70" s="29" t="str">
        <f t="shared" si="38"/>
        <v/>
      </c>
      <c r="R70" s="10" t="str">
        <f t="shared" si="50"/>
        <v/>
      </c>
      <c r="T70" s="10" t="str">
        <f t="shared" si="17"/>
        <v/>
      </c>
      <c r="V70" s="10" t="str">
        <f t="shared" si="39"/>
        <v/>
      </c>
      <c r="W70" s="10" t="str">
        <f t="shared" si="18"/>
        <v/>
      </c>
      <c r="Y70" s="10" t="str">
        <f t="shared" si="40"/>
        <v/>
      </c>
      <c r="Z70" s="10" t="str">
        <f t="shared" si="19"/>
        <v/>
      </c>
      <c r="AB70" s="10" t="str">
        <f t="shared" si="4"/>
        <v/>
      </c>
      <c r="AC70" s="10" t="str">
        <f t="shared" si="51"/>
        <v/>
      </c>
      <c r="AE70" s="10" t="str">
        <f t="shared" si="41"/>
        <v/>
      </c>
      <c r="AF70" s="10" t="str">
        <f t="shared" si="21"/>
        <v/>
      </c>
      <c r="AH70" s="10" t="str">
        <f t="shared" si="42"/>
        <v/>
      </c>
      <c r="AI70" s="10" t="str">
        <f t="shared" si="22"/>
        <v/>
      </c>
      <c r="AK70" s="10" t="str">
        <f t="shared" si="43"/>
        <v/>
      </c>
      <c r="AL70" s="10" t="str">
        <f t="shared" si="23"/>
        <v/>
      </c>
      <c r="AN70" s="188" t="str">
        <f t="shared" si="8"/>
        <v/>
      </c>
      <c r="AO70" s="10" t="str">
        <f t="shared" si="24"/>
        <v/>
      </c>
      <c r="AQ70" s="10" t="str">
        <f t="shared" si="44"/>
        <v/>
      </c>
      <c r="AR70" s="10" t="str">
        <f t="shared" si="25"/>
        <v/>
      </c>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V70" s="10" t="str">
        <f t="shared" si="45"/>
        <v/>
      </c>
      <c r="AW70" s="10" t="str">
        <f t="shared" si="26"/>
        <v/>
      </c>
      <c r="AY70" s="7" t="s">
        <v>127</v>
      </c>
      <c r="BA70" s="11" t="str">
        <f t="shared" si="46"/>
        <v/>
      </c>
      <c r="BB70" s="10" t="str">
        <f t="shared" si="27"/>
        <v/>
      </c>
      <c r="BD70" s="10" t="str">
        <f t="shared" si="47"/>
        <v/>
      </c>
      <c r="BE70" s="10" t="str">
        <f t="shared" si="28"/>
        <v/>
      </c>
      <c r="BG70" s="11" t="str">
        <f t="shared" si="48"/>
        <v/>
      </c>
      <c r="BH70" s="10" t="str">
        <f t="shared" si="29"/>
        <v/>
      </c>
      <c r="BJ70" s="7" t="str">
        <f t="shared" si="30"/>
        <v/>
      </c>
      <c r="BK70" s="158" t="str">
        <f t="shared" si="31"/>
        <v/>
      </c>
      <c r="BL70" s="158" t="str">
        <f t="shared" si="14"/>
        <v/>
      </c>
      <c r="BM70" s="10"/>
      <c r="BN70" s="10" t="str">
        <f t="shared" si="32"/>
        <v/>
      </c>
      <c r="BO70" s="10" t="str">
        <f t="shared" si="33"/>
        <v/>
      </c>
      <c r="BQ70" s="10" t="str">
        <f t="shared" si="49"/>
        <v/>
      </c>
      <c r="BR70" s="10" t="str">
        <f t="shared" si="34"/>
        <v/>
      </c>
    </row>
    <row r="71" spans="1:70" x14ac:dyDescent="0.15">
      <c r="F71" s="145"/>
      <c r="I71" s="38">
        <f t="shared" si="35"/>
        <v>2086</v>
      </c>
      <c r="J71" s="39"/>
      <c r="K71" s="39">
        <f t="shared" si="36"/>
        <v>57</v>
      </c>
      <c r="L71" s="39"/>
      <c r="M71" s="40">
        <f t="shared" si="0"/>
        <v>0.18547193025437006</v>
      </c>
      <c r="N71" s="39"/>
      <c r="O71" s="72" t="str">
        <f t="shared" si="37"/>
        <v/>
      </c>
      <c r="P71" s="41" t="str">
        <f t="shared" si="38"/>
        <v/>
      </c>
      <c r="Q71" s="39"/>
      <c r="R71" s="72" t="str">
        <f t="shared" si="50"/>
        <v/>
      </c>
      <c r="S71" s="39"/>
      <c r="T71" s="72" t="str">
        <f t="shared" si="17"/>
        <v/>
      </c>
      <c r="U71" s="39"/>
      <c r="V71" s="72" t="str">
        <f t="shared" si="39"/>
        <v/>
      </c>
      <c r="W71" s="72" t="str">
        <f t="shared" si="18"/>
        <v/>
      </c>
      <c r="X71" s="39"/>
      <c r="Y71" s="72" t="str">
        <f t="shared" si="40"/>
        <v/>
      </c>
      <c r="Z71" s="72" t="str">
        <f t="shared" si="19"/>
        <v/>
      </c>
      <c r="AA71" s="39"/>
      <c r="AB71" s="72" t="str">
        <f t="shared" si="4"/>
        <v/>
      </c>
      <c r="AC71" s="72" t="str">
        <f t="shared" si="51"/>
        <v/>
      </c>
      <c r="AD71" s="39"/>
      <c r="AE71" s="72" t="str">
        <f t="shared" si="41"/>
        <v/>
      </c>
      <c r="AF71" s="72" t="str">
        <f t="shared" si="21"/>
        <v/>
      </c>
      <c r="AG71" s="39"/>
      <c r="AH71" s="72" t="str">
        <f t="shared" si="42"/>
        <v/>
      </c>
      <c r="AI71" s="72" t="str">
        <f t="shared" si="22"/>
        <v/>
      </c>
      <c r="AJ71" s="39"/>
      <c r="AK71" s="72" t="str">
        <f t="shared" si="43"/>
        <v/>
      </c>
      <c r="AL71" s="72" t="str">
        <f t="shared" si="23"/>
        <v/>
      </c>
      <c r="AM71" s="39"/>
      <c r="AN71" s="72" t="str">
        <f t="shared" si="8"/>
        <v/>
      </c>
      <c r="AO71" s="72" t="str">
        <f t="shared" si="24"/>
        <v/>
      </c>
      <c r="AP71" s="39"/>
      <c r="AQ71" s="72" t="str">
        <f t="shared" si="44"/>
        <v/>
      </c>
      <c r="AR71" s="72" t="str">
        <f t="shared" si="25"/>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45"/>
        <v/>
      </c>
      <c r="AW71" s="72" t="str">
        <f t="shared" si="26"/>
        <v/>
      </c>
      <c r="AX71" s="39"/>
      <c r="AY71" s="40" t="s">
        <v>127</v>
      </c>
      <c r="AZ71" s="39"/>
      <c r="BA71" s="42" t="str">
        <f t="shared" si="46"/>
        <v/>
      </c>
      <c r="BB71" s="72" t="str">
        <f t="shared" si="27"/>
        <v/>
      </c>
      <c r="BC71" s="39"/>
      <c r="BD71" s="72" t="str">
        <f t="shared" si="47"/>
        <v/>
      </c>
      <c r="BE71" s="72" t="str">
        <f t="shared" si="28"/>
        <v/>
      </c>
      <c r="BF71" s="39"/>
      <c r="BG71" s="42" t="str">
        <f t="shared" si="48"/>
        <v/>
      </c>
      <c r="BH71" s="72" t="str">
        <f t="shared" si="29"/>
        <v/>
      </c>
      <c r="BI71" s="39"/>
      <c r="BJ71" s="40" t="str">
        <f t="shared" si="30"/>
        <v/>
      </c>
      <c r="BK71" s="157" t="str">
        <f t="shared" si="31"/>
        <v/>
      </c>
      <c r="BL71" s="157" t="str">
        <f t="shared" si="14"/>
        <v/>
      </c>
      <c r="BM71" s="72"/>
      <c r="BN71" s="72" t="str">
        <f t="shared" si="32"/>
        <v/>
      </c>
      <c r="BO71" s="72" t="str">
        <f t="shared" si="33"/>
        <v/>
      </c>
      <c r="BP71" s="39"/>
      <c r="BQ71" s="72" t="str">
        <f t="shared" si="49"/>
        <v/>
      </c>
      <c r="BR71" s="72" t="str">
        <f t="shared" si="34"/>
        <v/>
      </c>
    </row>
    <row r="72" spans="1:70" x14ac:dyDescent="0.15">
      <c r="C72" s="89" t="s">
        <v>136</v>
      </c>
      <c r="D72" s="101"/>
      <c r="E72" s="101"/>
      <c r="F72" s="92"/>
      <c r="G72" s="89"/>
      <c r="I72" s="322">
        <f t="shared" si="35"/>
        <v>2087</v>
      </c>
      <c r="K72" s="71">
        <f t="shared" si="36"/>
        <v>58</v>
      </c>
      <c r="M72" s="7">
        <f t="shared" si="0"/>
        <v>0.18006983519841754</v>
      </c>
      <c r="O72" s="10" t="str">
        <f t="shared" si="37"/>
        <v/>
      </c>
      <c r="P72" s="29" t="str">
        <f t="shared" si="38"/>
        <v/>
      </c>
      <c r="R72" s="10" t="str">
        <f t="shared" si="50"/>
        <v/>
      </c>
      <c r="T72" s="10" t="str">
        <f t="shared" si="17"/>
        <v/>
      </c>
      <c r="V72" s="10" t="str">
        <f t="shared" si="39"/>
        <v/>
      </c>
      <c r="W72" s="10" t="str">
        <f t="shared" si="18"/>
        <v/>
      </c>
      <c r="Y72" s="10" t="str">
        <f t="shared" si="40"/>
        <v/>
      </c>
      <c r="Z72" s="10" t="str">
        <f t="shared" si="19"/>
        <v/>
      </c>
      <c r="AB72" s="10" t="str">
        <f t="shared" si="4"/>
        <v/>
      </c>
      <c r="AC72" s="10" t="str">
        <f t="shared" si="51"/>
        <v/>
      </c>
      <c r="AE72" s="10" t="str">
        <f t="shared" si="41"/>
        <v/>
      </c>
      <c r="AF72" s="10" t="str">
        <f t="shared" si="21"/>
        <v/>
      </c>
      <c r="AH72" s="10" t="str">
        <f t="shared" si="42"/>
        <v/>
      </c>
      <c r="AI72" s="10" t="str">
        <f t="shared" si="22"/>
        <v/>
      </c>
      <c r="AK72" s="10" t="str">
        <f t="shared" si="43"/>
        <v/>
      </c>
      <c r="AL72" s="10" t="str">
        <f t="shared" si="23"/>
        <v/>
      </c>
      <c r="AN72" s="188" t="str">
        <f t="shared" si="8"/>
        <v/>
      </c>
      <c r="AO72" s="10" t="str">
        <f t="shared" si="24"/>
        <v/>
      </c>
      <c r="AQ72" s="10" t="str">
        <f t="shared" si="44"/>
        <v/>
      </c>
      <c r="AR72" s="10" t="str">
        <f t="shared" si="25"/>
        <v/>
      </c>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V72" s="10" t="str">
        <f t="shared" si="45"/>
        <v/>
      </c>
      <c r="AW72" s="10" t="str">
        <f t="shared" si="26"/>
        <v/>
      </c>
      <c r="AY72" s="7" t="s">
        <v>127</v>
      </c>
      <c r="BA72" s="11" t="str">
        <f t="shared" si="46"/>
        <v/>
      </c>
      <c r="BB72" s="10" t="str">
        <f t="shared" si="27"/>
        <v/>
      </c>
      <c r="BD72" s="10" t="str">
        <f t="shared" si="47"/>
        <v/>
      </c>
      <c r="BE72" s="10" t="str">
        <f t="shared" si="28"/>
        <v/>
      </c>
      <c r="BG72" s="11" t="str">
        <f t="shared" si="48"/>
        <v/>
      </c>
      <c r="BH72" s="10" t="str">
        <f t="shared" si="29"/>
        <v/>
      </c>
      <c r="BJ72" s="7" t="str">
        <f t="shared" si="30"/>
        <v/>
      </c>
      <c r="BK72" s="158" t="str">
        <f t="shared" si="31"/>
        <v/>
      </c>
      <c r="BL72" s="158" t="str">
        <f t="shared" si="14"/>
        <v/>
      </c>
      <c r="BM72" s="10"/>
      <c r="BN72" s="10" t="str">
        <f t="shared" si="32"/>
        <v/>
      </c>
      <c r="BO72" s="10" t="str">
        <f t="shared" si="33"/>
        <v/>
      </c>
      <c r="BQ72" s="10" t="str">
        <f t="shared" si="49"/>
        <v/>
      </c>
      <c r="BR72" s="10" t="str">
        <f t="shared" si="34"/>
        <v/>
      </c>
    </row>
    <row r="73" spans="1:70" x14ac:dyDescent="0.15">
      <c r="D73" s="81"/>
      <c r="E73" s="81"/>
      <c r="F73" s="93"/>
      <c r="I73" s="38">
        <f t="shared" si="35"/>
        <v>2088</v>
      </c>
      <c r="J73" s="39"/>
      <c r="K73" s="39">
        <f t="shared" si="36"/>
        <v>59</v>
      </c>
      <c r="L73" s="39"/>
      <c r="M73" s="40">
        <f t="shared" si="0"/>
        <v>0.17482508271691022</v>
      </c>
      <c r="N73" s="39"/>
      <c r="O73" s="72" t="str">
        <f t="shared" si="37"/>
        <v/>
      </c>
      <c r="P73" s="41" t="str">
        <f t="shared" si="38"/>
        <v/>
      </c>
      <c r="Q73" s="39"/>
      <c r="R73" s="72" t="str">
        <f t="shared" si="50"/>
        <v/>
      </c>
      <c r="S73" s="39"/>
      <c r="T73" s="72" t="str">
        <f t="shared" si="17"/>
        <v/>
      </c>
      <c r="U73" s="39"/>
      <c r="V73" s="72" t="str">
        <f t="shared" si="39"/>
        <v/>
      </c>
      <c r="W73" s="72" t="str">
        <f t="shared" si="18"/>
        <v/>
      </c>
      <c r="X73" s="39"/>
      <c r="Y73" s="72" t="str">
        <f t="shared" si="40"/>
        <v/>
      </c>
      <c r="Z73" s="72" t="str">
        <f t="shared" si="19"/>
        <v/>
      </c>
      <c r="AA73" s="39"/>
      <c r="AB73" s="72" t="str">
        <f t="shared" si="4"/>
        <v/>
      </c>
      <c r="AC73" s="72" t="str">
        <f t="shared" si="51"/>
        <v/>
      </c>
      <c r="AD73" s="39"/>
      <c r="AE73" s="72" t="str">
        <f t="shared" si="41"/>
        <v/>
      </c>
      <c r="AF73" s="72" t="str">
        <f t="shared" si="21"/>
        <v/>
      </c>
      <c r="AG73" s="39"/>
      <c r="AH73" s="72" t="str">
        <f t="shared" si="42"/>
        <v/>
      </c>
      <c r="AI73" s="72" t="str">
        <f t="shared" si="22"/>
        <v/>
      </c>
      <c r="AJ73" s="39"/>
      <c r="AK73" s="72" t="str">
        <f t="shared" si="43"/>
        <v/>
      </c>
      <c r="AL73" s="72" t="str">
        <f t="shared" si="23"/>
        <v/>
      </c>
      <c r="AM73" s="39"/>
      <c r="AN73" s="72" t="str">
        <f t="shared" si="8"/>
        <v/>
      </c>
      <c r="AO73" s="72" t="str">
        <f t="shared" si="24"/>
        <v/>
      </c>
      <c r="AP73" s="39"/>
      <c r="AQ73" s="72" t="str">
        <f t="shared" si="44"/>
        <v/>
      </c>
      <c r="AR73" s="72" t="str">
        <f t="shared" si="25"/>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45"/>
        <v/>
      </c>
      <c r="AW73" s="72" t="str">
        <f t="shared" si="26"/>
        <v/>
      </c>
      <c r="AX73" s="39"/>
      <c r="AY73" s="40" t="s">
        <v>127</v>
      </c>
      <c r="AZ73" s="39"/>
      <c r="BA73" s="42" t="str">
        <f t="shared" si="46"/>
        <v/>
      </c>
      <c r="BB73" s="72" t="str">
        <f t="shared" si="27"/>
        <v/>
      </c>
      <c r="BC73" s="39"/>
      <c r="BD73" s="72" t="str">
        <f t="shared" si="47"/>
        <v/>
      </c>
      <c r="BE73" s="72" t="str">
        <f t="shared" si="28"/>
        <v/>
      </c>
      <c r="BF73" s="39"/>
      <c r="BG73" s="42" t="str">
        <f t="shared" si="48"/>
        <v/>
      </c>
      <c r="BH73" s="72" t="str">
        <f t="shared" si="29"/>
        <v/>
      </c>
      <c r="BI73" s="39"/>
      <c r="BJ73" s="40" t="str">
        <f t="shared" si="30"/>
        <v/>
      </c>
      <c r="BK73" s="157" t="str">
        <f t="shared" si="31"/>
        <v/>
      </c>
      <c r="BL73" s="157" t="str">
        <f t="shared" si="14"/>
        <v/>
      </c>
      <c r="BM73" s="72"/>
      <c r="BN73" s="72" t="str">
        <f t="shared" si="32"/>
        <v/>
      </c>
      <c r="BO73" s="72" t="str">
        <f t="shared" si="33"/>
        <v/>
      </c>
      <c r="BP73" s="39"/>
      <c r="BQ73" s="72" t="str">
        <f t="shared" si="49"/>
        <v/>
      </c>
      <c r="BR73" s="72" t="str">
        <f t="shared" si="34"/>
        <v/>
      </c>
    </row>
    <row r="74" spans="1:70" x14ac:dyDescent="0.15">
      <c r="D74" s="467" t="s">
        <v>137</v>
      </c>
      <c r="E74" s="81"/>
      <c r="F74" s="94">
        <f>SUBTOTAL(9,F78:F81)</f>
        <v>4.232557766208882</v>
      </c>
      <c r="G74" s="9" t="s">
        <v>132</v>
      </c>
      <c r="I74" s="322">
        <f t="shared" si="35"/>
        <v>2089</v>
      </c>
      <c r="K74" s="71">
        <f t="shared" si="36"/>
        <v>60</v>
      </c>
      <c r="M74" s="7">
        <f t="shared" si="0"/>
        <v>0.1697330900164177</v>
      </c>
      <c r="O74" s="10" t="str">
        <f t="shared" si="37"/>
        <v/>
      </c>
      <c r="P74" s="29" t="str">
        <f t="shared" si="38"/>
        <v/>
      </c>
      <c r="R74" s="10" t="str">
        <f t="shared" si="50"/>
        <v/>
      </c>
      <c r="T74" s="10" t="str">
        <f t="shared" si="17"/>
        <v/>
      </c>
      <c r="V74" s="10" t="str">
        <f t="shared" si="39"/>
        <v/>
      </c>
      <c r="W74" s="10" t="str">
        <f t="shared" si="18"/>
        <v/>
      </c>
      <c r="Y74" s="10" t="str">
        <f t="shared" si="40"/>
        <v/>
      </c>
      <c r="Z74" s="10" t="str">
        <f t="shared" si="19"/>
        <v/>
      </c>
      <c r="AB74" s="10" t="str">
        <f t="shared" si="4"/>
        <v/>
      </c>
      <c r="AC74" s="10" t="str">
        <f t="shared" si="51"/>
        <v/>
      </c>
      <c r="AE74" s="10" t="str">
        <f t="shared" si="41"/>
        <v/>
      </c>
      <c r="AF74" s="10" t="str">
        <f t="shared" si="21"/>
        <v/>
      </c>
      <c r="AH74" s="10" t="str">
        <f t="shared" si="42"/>
        <v/>
      </c>
      <c r="AI74" s="10" t="str">
        <f t="shared" si="22"/>
        <v/>
      </c>
      <c r="AK74" s="10" t="str">
        <f t="shared" si="43"/>
        <v/>
      </c>
      <c r="AL74" s="10" t="str">
        <f t="shared" si="23"/>
        <v/>
      </c>
      <c r="AN74" s="188" t="str">
        <f t="shared" si="8"/>
        <v/>
      </c>
      <c r="AO74" s="10" t="str">
        <f t="shared" si="24"/>
        <v/>
      </c>
      <c r="AQ74" s="10" t="str">
        <f t="shared" si="44"/>
        <v/>
      </c>
      <c r="AR74" s="10" t="str">
        <f t="shared" si="25"/>
        <v/>
      </c>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V74" s="10" t="str">
        <f t="shared" si="45"/>
        <v/>
      </c>
      <c r="AW74" s="10" t="str">
        <f t="shared" si="26"/>
        <v/>
      </c>
      <c r="AY74" s="7" t="s">
        <v>127</v>
      </c>
      <c r="BA74" s="11" t="str">
        <f t="shared" si="46"/>
        <v/>
      </c>
      <c r="BB74" s="10" t="str">
        <f t="shared" si="27"/>
        <v/>
      </c>
      <c r="BD74" s="10" t="str">
        <f t="shared" si="47"/>
        <v/>
      </c>
      <c r="BE74" s="10" t="str">
        <f t="shared" si="28"/>
        <v/>
      </c>
      <c r="BG74" s="11" t="str">
        <f t="shared" si="48"/>
        <v/>
      </c>
      <c r="BH74" s="10" t="str">
        <f t="shared" si="29"/>
        <v/>
      </c>
      <c r="BJ74" s="7" t="str">
        <f t="shared" si="30"/>
        <v/>
      </c>
      <c r="BK74" s="158" t="str">
        <f t="shared" si="31"/>
        <v/>
      </c>
      <c r="BL74" s="158" t="str">
        <f t="shared" si="14"/>
        <v/>
      </c>
      <c r="BM74" s="10"/>
      <c r="BN74" s="10" t="str">
        <f t="shared" si="32"/>
        <v/>
      </c>
      <c r="BO74" s="10" t="str">
        <f t="shared" si="33"/>
        <v/>
      </c>
      <c r="BQ74" s="10" t="str">
        <f t="shared" si="49"/>
        <v/>
      </c>
      <c r="BR74" s="10" t="str">
        <f t="shared" si="34"/>
        <v/>
      </c>
    </row>
    <row r="75" spans="1:70" x14ac:dyDescent="0.15">
      <c r="A75" s="83"/>
      <c r="D75" s="82"/>
      <c r="E75" s="81"/>
      <c r="F75" s="144"/>
      <c r="G75" s="83"/>
      <c r="H75" s="83"/>
      <c r="I75" s="38">
        <f t="shared" si="35"/>
        <v>2090</v>
      </c>
      <c r="J75" s="39"/>
      <c r="K75" s="39">
        <f t="shared" si="36"/>
        <v>61</v>
      </c>
      <c r="L75" s="39"/>
      <c r="M75" s="40">
        <f t="shared" si="0"/>
        <v>0.16478940778292983</v>
      </c>
      <c r="N75" s="39"/>
      <c r="O75" s="72" t="str">
        <f t="shared" si="37"/>
        <v/>
      </c>
      <c r="P75" s="41" t="str">
        <f t="shared" si="38"/>
        <v/>
      </c>
      <c r="Q75" s="39"/>
      <c r="R75" s="72" t="str">
        <f t="shared" si="50"/>
        <v/>
      </c>
      <c r="S75" s="39"/>
      <c r="T75" s="72" t="str">
        <f t="shared" si="17"/>
        <v/>
      </c>
      <c r="U75" s="39"/>
      <c r="V75" s="72" t="str">
        <f t="shared" si="39"/>
        <v/>
      </c>
      <c r="W75" s="72" t="str">
        <f t="shared" si="18"/>
        <v/>
      </c>
      <c r="X75" s="39"/>
      <c r="Y75" s="72" t="str">
        <f t="shared" si="40"/>
        <v/>
      </c>
      <c r="Z75" s="72" t="str">
        <f t="shared" si="19"/>
        <v/>
      </c>
      <c r="AA75" s="39"/>
      <c r="AB75" s="72" t="str">
        <f t="shared" si="4"/>
        <v/>
      </c>
      <c r="AC75" s="72" t="str">
        <f t="shared" si="51"/>
        <v/>
      </c>
      <c r="AD75" s="39"/>
      <c r="AE75" s="72" t="str">
        <f t="shared" si="41"/>
        <v/>
      </c>
      <c r="AF75" s="72" t="str">
        <f t="shared" si="21"/>
        <v/>
      </c>
      <c r="AG75" s="39"/>
      <c r="AH75" s="72" t="str">
        <f t="shared" si="42"/>
        <v/>
      </c>
      <c r="AI75" s="72" t="str">
        <f t="shared" si="22"/>
        <v/>
      </c>
      <c r="AJ75" s="39"/>
      <c r="AK75" s="72" t="str">
        <f t="shared" si="43"/>
        <v/>
      </c>
      <c r="AL75" s="72" t="str">
        <f t="shared" si="23"/>
        <v/>
      </c>
      <c r="AM75" s="39"/>
      <c r="AN75" s="72" t="str">
        <f t="shared" si="8"/>
        <v/>
      </c>
      <c r="AO75" s="72" t="str">
        <f t="shared" si="24"/>
        <v/>
      </c>
      <c r="AP75" s="39"/>
      <c r="AQ75" s="72" t="str">
        <f t="shared" si="44"/>
        <v/>
      </c>
      <c r="AR75" s="72" t="str">
        <f t="shared" si="25"/>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45"/>
        <v/>
      </c>
      <c r="AW75" s="72" t="str">
        <f t="shared" si="26"/>
        <v/>
      </c>
      <c r="AX75" s="39"/>
      <c r="AY75" s="40" t="s">
        <v>127</v>
      </c>
      <c r="AZ75" s="39"/>
      <c r="BA75" s="42" t="str">
        <f t="shared" si="46"/>
        <v/>
      </c>
      <c r="BB75" s="72" t="str">
        <f t="shared" si="27"/>
        <v/>
      </c>
      <c r="BC75" s="39"/>
      <c r="BD75" s="72" t="str">
        <f t="shared" si="47"/>
        <v/>
      </c>
      <c r="BE75" s="72" t="str">
        <f t="shared" si="28"/>
        <v/>
      </c>
      <c r="BF75" s="39"/>
      <c r="BG75" s="42" t="str">
        <f t="shared" si="48"/>
        <v/>
      </c>
      <c r="BH75" s="72" t="str">
        <f t="shared" si="29"/>
        <v/>
      </c>
      <c r="BI75" s="39"/>
      <c r="BJ75" s="40" t="str">
        <f t="shared" si="30"/>
        <v/>
      </c>
      <c r="BK75" s="157" t="str">
        <f t="shared" si="31"/>
        <v/>
      </c>
      <c r="BL75" s="157" t="str">
        <f t="shared" si="14"/>
        <v/>
      </c>
      <c r="BM75" s="72"/>
      <c r="BN75" s="72" t="str">
        <f t="shared" si="32"/>
        <v/>
      </c>
      <c r="BO75" s="72" t="str">
        <f t="shared" si="33"/>
        <v/>
      </c>
      <c r="BP75" s="39"/>
      <c r="BQ75" s="72" t="str">
        <f t="shared" si="49"/>
        <v/>
      </c>
      <c r="BR75" s="72" t="str">
        <f t="shared" si="34"/>
        <v/>
      </c>
    </row>
    <row r="76" spans="1:70" x14ac:dyDescent="0.15">
      <c r="B76" s="83"/>
      <c r="D76" s="101" t="s">
        <v>193</v>
      </c>
      <c r="E76" s="101"/>
      <c r="F76" s="92"/>
      <c r="G76" s="89"/>
      <c r="I76" s="322">
        <f t="shared" si="35"/>
        <v>2091</v>
      </c>
      <c r="K76" s="71">
        <f t="shared" si="36"/>
        <v>62</v>
      </c>
      <c r="M76" s="7">
        <f t="shared" si="0"/>
        <v>0.15998971629410663</v>
      </c>
      <c r="O76" s="10" t="str">
        <f t="shared" si="37"/>
        <v/>
      </c>
      <c r="P76" s="29" t="str">
        <f t="shared" si="38"/>
        <v/>
      </c>
      <c r="R76" s="10" t="str">
        <f t="shared" si="50"/>
        <v/>
      </c>
      <c r="T76" s="10" t="str">
        <f t="shared" si="17"/>
        <v/>
      </c>
      <c r="V76" s="10" t="str">
        <f t="shared" si="39"/>
        <v/>
      </c>
      <c r="W76" s="10" t="str">
        <f t="shared" si="18"/>
        <v/>
      </c>
      <c r="Y76" s="10" t="str">
        <f t="shared" si="40"/>
        <v/>
      </c>
      <c r="Z76" s="10" t="str">
        <f t="shared" si="19"/>
        <v/>
      </c>
      <c r="AB76" s="10" t="str">
        <f t="shared" si="4"/>
        <v/>
      </c>
      <c r="AC76" s="10" t="str">
        <f t="shared" si="51"/>
        <v/>
      </c>
      <c r="AE76" s="10" t="str">
        <f t="shared" si="41"/>
        <v/>
      </c>
      <c r="AF76" s="10" t="str">
        <f t="shared" si="21"/>
        <v/>
      </c>
      <c r="AH76" s="10" t="str">
        <f t="shared" si="42"/>
        <v/>
      </c>
      <c r="AI76" s="10" t="str">
        <f t="shared" si="22"/>
        <v/>
      </c>
      <c r="AK76" s="10" t="str">
        <f t="shared" si="43"/>
        <v/>
      </c>
      <c r="AL76" s="10" t="str">
        <f t="shared" si="23"/>
        <v/>
      </c>
      <c r="AN76" s="188" t="str">
        <f t="shared" si="8"/>
        <v/>
      </c>
      <c r="AO76" s="10" t="str">
        <f t="shared" si="24"/>
        <v/>
      </c>
      <c r="AQ76" s="10" t="str">
        <f t="shared" si="44"/>
        <v/>
      </c>
      <c r="AR76" s="10" t="str">
        <f t="shared" si="25"/>
        <v/>
      </c>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V76" s="10" t="str">
        <f t="shared" si="45"/>
        <v/>
      </c>
      <c r="AW76" s="10" t="str">
        <f t="shared" si="26"/>
        <v/>
      </c>
      <c r="AY76" s="7" t="s">
        <v>127</v>
      </c>
      <c r="BA76" s="11" t="str">
        <f t="shared" si="46"/>
        <v/>
      </c>
      <c r="BB76" s="10" t="str">
        <f t="shared" si="27"/>
        <v/>
      </c>
      <c r="BD76" s="10" t="str">
        <f t="shared" si="47"/>
        <v/>
      </c>
      <c r="BE76" s="10" t="str">
        <f t="shared" si="28"/>
        <v/>
      </c>
      <c r="BG76" s="11" t="str">
        <f t="shared" si="48"/>
        <v/>
      </c>
      <c r="BH76" s="10" t="str">
        <f t="shared" si="29"/>
        <v/>
      </c>
      <c r="BJ76" s="7" t="str">
        <f t="shared" si="30"/>
        <v/>
      </c>
      <c r="BK76" s="158" t="str">
        <f t="shared" si="31"/>
        <v/>
      </c>
      <c r="BL76" s="158" t="str">
        <f t="shared" si="14"/>
        <v/>
      </c>
      <c r="BM76" s="10"/>
      <c r="BN76" s="10" t="str">
        <f t="shared" si="32"/>
        <v/>
      </c>
      <c r="BO76" s="10" t="str">
        <f t="shared" si="33"/>
        <v/>
      </c>
      <c r="BQ76" s="10" t="str">
        <f t="shared" si="49"/>
        <v/>
      </c>
      <c r="BR76" s="10" t="str">
        <f t="shared" si="34"/>
        <v/>
      </c>
    </row>
    <row r="77" spans="1:70" x14ac:dyDescent="0.15">
      <c r="D77" s="81"/>
      <c r="F77" s="145"/>
      <c r="I77" s="38">
        <f t="shared" si="35"/>
        <v>2092</v>
      </c>
      <c r="J77" s="39"/>
      <c r="K77" s="39">
        <f t="shared" si="36"/>
        <v>63</v>
      </c>
      <c r="L77" s="39"/>
      <c r="M77" s="40">
        <f t="shared" si="0"/>
        <v>0.15532982164476369</v>
      </c>
      <c r="N77" s="39"/>
      <c r="O77" s="72" t="str">
        <f t="shared" si="37"/>
        <v/>
      </c>
      <c r="P77" s="41" t="str">
        <f t="shared" si="38"/>
        <v/>
      </c>
      <c r="Q77" s="39"/>
      <c r="R77" s="72" t="str">
        <f t="shared" si="50"/>
        <v/>
      </c>
      <c r="S77" s="39"/>
      <c r="T77" s="72" t="str">
        <f t="shared" si="17"/>
        <v/>
      </c>
      <c r="U77" s="39"/>
      <c r="V77" s="72" t="str">
        <f t="shared" si="39"/>
        <v/>
      </c>
      <c r="W77" s="72" t="str">
        <f t="shared" si="18"/>
        <v/>
      </c>
      <c r="X77" s="39"/>
      <c r="Y77" s="72" t="str">
        <f t="shared" si="40"/>
        <v/>
      </c>
      <c r="Z77" s="72" t="str">
        <f t="shared" si="19"/>
        <v/>
      </c>
      <c r="AA77" s="39"/>
      <c r="AB77" s="72" t="str">
        <f t="shared" si="4"/>
        <v/>
      </c>
      <c r="AC77" s="72" t="str">
        <f t="shared" si="51"/>
        <v/>
      </c>
      <c r="AD77" s="39"/>
      <c r="AE77" s="72" t="str">
        <f t="shared" si="41"/>
        <v/>
      </c>
      <c r="AF77" s="72" t="str">
        <f t="shared" si="21"/>
        <v/>
      </c>
      <c r="AG77" s="39"/>
      <c r="AH77" s="72" t="str">
        <f t="shared" si="42"/>
        <v/>
      </c>
      <c r="AI77" s="72" t="str">
        <f t="shared" si="22"/>
        <v/>
      </c>
      <c r="AJ77" s="39"/>
      <c r="AK77" s="72" t="str">
        <f t="shared" si="43"/>
        <v/>
      </c>
      <c r="AL77" s="72" t="str">
        <f t="shared" si="23"/>
        <v/>
      </c>
      <c r="AM77" s="39"/>
      <c r="AN77" s="72" t="str">
        <f t="shared" si="8"/>
        <v/>
      </c>
      <c r="AO77" s="72" t="str">
        <f t="shared" si="24"/>
        <v/>
      </c>
      <c r="AP77" s="39"/>
      <c r="AQ77" s="72" t="str">
        <f t="shared" si="44"/>
        <v/>
      </c>
      <c r="AR77" s="72" t="str">
        <f t="shared" si="25"/>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45"/>
        <v/>
      </c>
      <c r="AW77" s="72" t="str">
        <f t="shared" si="26"/>
        <v/>
      </c>
      <c r="AX77" s="39"/>
      <c r="AY77" s="40" t="s">
        <v>127</v>
      </c>
      <c r="AZ77" s="39"/>
      <c r="BA77" s="42" t="str">
        <f t="shared" si="46"/>
        <v/>
      </c>
      <c r="BB77" s="72" t="str">
        <f t="shared" si="27"/>
        <v/>
      </c>
      <c r="BC77" s="39"/>
      <c r="BD77" s="72" t="str">
        <f t="shared" si="47"/>
        <v/>
      </c>
      <c r="BE77" s="72" t="str">
        <f t="shared" si="28"/>
        <v/>
      </c>
      <c r="BF77" s="39"/>
      <c r="BG77" s="42" t="str">
        <f t="shared" si="48"/>
        <v/>
      </c>
      <c r="BH77" s="72" t="str">
        <f t="shared" si="29"/>
        <v/>
      </c>
      <c r="BI77" s="39"/>
      <c r="BJ77" s="40" t="str">
        <f t="shared" si="30"/>
        <v/>
      </c>
      <c r="BK77" s="157" t="str">
        <f t="shared" si="31"/>
        <v/>
      </c>
      <c r="BL77" s="157" t="str">
        <f t="shared" si="14"/>
        <v/>
      </c>
      <c r="BM77" s="72"/>
      <c r="BN77" s="72" t="str">
        <f t="shared" si="32"/>
        <v/>
      </c>
      <c r="BO77" s="72" t="str">
        <f t="shared" si="33"/>
        <v/>
      </c>
      <c r="BP77" s="39"/>
      <c r="BQ77" s="72" t="str">
        <f t="shared" si="49"/>
        <v/>
      </c>
      <c r="BR77" s="72" t="str">
        <f t="shared" si="34"/>
        <v/>
      </c>
    </row>
    <row r="78" spans="1:70" x14ac:dyDescent="0.15">
      <c r="D78" s="81"/>
      <c r="E78" s="74" t="s">
        <v>138</v>
      </c>
      <c r="F78" s="105">
        <f>R15/$BR$116</f>
        <v>3.77807462115668</v>
      </c>
      <c r="G78" s="9" t="s">
        <v>514</v>
      </c>
      <c r="I78" s="322">
        <f t="shared" si="35"/>
        <v>2093</v>
      </c>
      <c r="K78" s="71">
        <f t="shared" si="36"/>
        <v>64</v>
      </c>
      <c r="M78" s="7">
        <f t="shared" si="0"/>
        <v>0.15080565208229488</v>
      </c>
      <c r="O78" s="10" t="str">
        <f t="shared" si="37"/>
        <v/>
      </c>
      <c r="P78" s="29" t="str">
        <f t="shared" si="38"/>
        <v/>
      </c>
      <c r="R78" s="10" t="str">
        <f t="shared" si="50"/>
        <v/>
      </c>
      <c r="T78" s="10" t="str">
        <f t="shared" si="17"/>
        <v/>
      </c>
      <c r="V78" s="10" t="str">
        <f t="shared" si="39"/>
        <v/>
      </c>
      <c r="W78" s="10" t="str">
        <f t="shared" si="18"/>
        <v/>
      </c>
      <c r="Y78" s="10" t="str">
        <f t="shared" si="40"/>
        <v/>
      </c>
      <c r="Z78" s="10" t="str">
        <f t="shared" si="19"/>
        <v/>
      </c>
      <c r="AB78" s="10" t="str">
        <f t="shared" si="4"/>
        <v/>
      </c>
      <c r="AC78" s="10" t="str">
        <f t="shared" si="51"/>
        <v/>
      </c>
      <c r="AE78" s="10" t="str">
        <f t="shared" si="41"/>
        <v/>
      </c>
      <c r="AF78" s="10" t="str">
        <f t="shared" si="21"/>
        <v/>
      </c>
      <c r="AH78" s="10" t="str">
        <f t="shared" si="42"/>
        <v/>
      </c>
      <c r="AI78" s="10" t="str">
        <f t="shared" si="22"/>
        <v/>
      </c>
      <c r="AK78" s="10" t="str">
        <f t="shared" si="43"/>
        <v/>
      </c>
      <c r="AL78" s="10" t="str">
        <f t="shared" si="23"/>
        <v/>
      </c>
      <c r="AN78" s="188" t="str">
        <f t="shared" si="8"/>
        <v/>
      </c>
      <c r="AO78" s="10" t="str">
        <f t="shared" si="24"/>
        <v/>
      </c>
      <c r="AQ78" s="10" t="str">
        <f t="shared" si="44"/>
        <v/>
      </c>
      <c r="AR78" s="10" t="str">
        <f t="shared" si="25"/>
        <v/>
      </c>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V78" s="10" t="str">
        <f t="shared" si="45"/>
        <v/>
      </c>
      <c r="AW78" s="10" t="str">
        <f t="shared" si="26"/>
        <v/>
      </c>
      <c r="AY78" s="7" t="s">
        <v>127</v>
      </c>
      <c r="BA78" s="11" t="str">
        <f t="shared" si="46"/>
        <v/>
      </c>
      <c r="BB78" s="10" t="str">
        <f t="shared" si="27"/>
        <v/>
      </c>
      <c r="BD78" s="10" t="str">
        <f t="shared" si="47"/>
        <v/>
      </c>
      <c r="BE78" s="10" t="str">
        <f t="shared" si="28"/>
        <v/>
      </c>
      <c r="BG78" s="11" t="str">
        <f t="shared" si="48"/>
        <v/>
      </c>
      <c r="BH78" s="10" t="str">
        <f t="shared" si="29"/>
        <v/>
      </c>
      <c r="BJ78" s="7" t="str">
        <f t="shared" si="30"/>
        <v/>
      </c>
      <c r="BK78" s="158" t="str">
        <f t="shared" si="31"/>
        <v/>
      </c>
      <c r="BL78" s="158" t="str">
        <f t="shared" si="14"/>
        <v/>
      </c>
      <c r="BM78" s="10"/>
      <c r="BN78" s="10" t="str">
        <f t="shared" si="32"/>
        <v/>
      </c>
      <c r="BO78" s="10" t="str">
        <f t="shared" si="33"/>
        <v/>
      </c>
      <c r="BQ78" s="10" t="str">
        <f t="shared" si="49"/>
        <v/>
      </c>
      <c r="BR78" s="10" t="str">
        <f t="shared" si="34"/>
        <v/>
      </c>
    </row>
    <row r="79" spans="1:70" x14ac:dyDescent="0.15">
      <c r="D79" s="81"/>
      <c r="E79" s="81" t="s">
        <v>139</v>
      </c>
      <c r="F79" s="91">
        <f>Z116/$BR$116</f>
        <v>0.3343708695579331</v>
      </c>
      <c r="G79" s="9" t="s">
        <v>132</v>
      </c>
      <c r="I79" s="38">
        <f t="shared" si="35"/>
        <v>2094</v>
      </c>
      <c r="J79" s="39"/>
      <c r="K79" s="39">
        <f t="shared" si="36"/>
        <v>65</v>
      </c>
      <c r="L79" s="39"/>
      <c r="M79" s="40">
        <f t="shared" ref="M79:M114" si="52">1/(1+($F$9/100))^K79</f>
        <v>0.14641325444882999</v>
      </c>
      <c r="N79" s="39"/>
      <c r="O79" s="72" t="str">
        <f t="shared" si="37"/>
        <v/>
      </c>
      <c r="P79" s="41" t="str">
        <f t="shared" ref="P79:P110" si="53">IF(K79&lt;=$F$15,IF(OR(P78=$F$124,P78="-"),"-",IF(O79*$F$123&gt;$F$127,$F$123,$F$124)),"")</f>
        <v/>
      </c>
      <c r="Q79" s="39"/>
      <c r="R79" s="72" t="str">
        <f t="shared" si="50"/>
        <v/>
      </c>
      <c r="S79" s="39"/>
      <c r="T79" s="72" t="str">
        <f t="shared" si="17"/>
        <v/>
      </c>
      <c r="U79" s="39"/>
      <c r="V79" s="72" t="str">
        <f t="shared" ref="V79:V114" si="54">IF(K79&lt;=$F$15,IF(K79&lt;$F$119,IF(P79="-",V78,O79*P79),IF(K79=$F$119,MIN(IF(P79="-",V78,O79*P79),O79),0)),"")</f>
        <v/>
      </c>
      <c r="W79" s="72" t="str">
        <f t="shared" si="18"/>
        <v/>
      </c>
      <c r="X79" s="39"/>
      <c r="Y79" s="72" t="str">
        <f t="shared" ref="Y79:Y114" si="55">IF($K79&lt;=$F$15,ROUNDDOWN(T79*$F$25/100,-2),"")</f>
        <v/>
      </c>
      <c r="Z79" s="72" t="str">
        <f t="shared" si="19"/>
        <v/>
      </c>
      <c r="AA79" s="39"/>
      <c r="AB79" s="72" t="str">
        <f t="shared" ref="AB79:AB114" si="56">IF($K79&lt;=$F$15,0,IF(AND($K79&gt;$F$15,$K79&lt;=$F$15+$F$28),$F$27*10^8/$F$28,""))</f>
        <v/>
      </c>
      <c r="AC79" s="72" t="str">
        <f t="shared" si="51"/>
        <v/>
      </c>
      <c r="AD79" s="39"/>
      <c r="AE79" s="72" t="str">
        <f t="shared" ref="AE79:AE114" si="57">IF($K79&lt;=$F$15,$F$26,"")</f>
        <v/>
      </c>
      <c r="AF79" s="72" t="str">
        <f t="shared" si="21"/>
        <v/>
      </c>
      <c r="AG79" s="39"/>
      <c r="AH79" s="72" t="str">
        <f t="shared" ref="AH79:AH114" si="58">IF($K79&lt;=$F$15,$F$33*10^8,"")</f>
        <v/>
      </c>
      <c r="AI79" s="72" t="str">
        <f t="shared" si="22"/>
        <v/>
      </c>
      <c r="AJ79" s="39"/>
      <c r="AK79" s="72" t="str">
        <f t="shared" ref="AK79:AK114" si="59">IF($K79&lt;=$F$15,$F$117*$F$34/100,"")</f>
        <v/>
      </c>
      <c r="AL79" s="72" t="str">
        <f t="shared" si="23"/>
        <v/>
      </c>
      <c r="AM79" s="39"/>
      <c r="AN79" s="72" t="str">
        <f t="shared" ref="AN79:AN114" si="60">IF($K79&lt;=$F$15,$F$35*10^8,"")</f>
        <v/>
      </c>
      <c r="AO79" s="72" t="str">
        <f t="shared" si="24"/>
        <v/>
      </c>
      <c r="AP79" s="39"/>
      <c r="AQ79" s="72" t="str">
        <f t="shared" ref="AQ79:AQ114" si="61">IF($K79&lt;=$F$15,SUM(AH79,AK79,AN79)*($F$36/100),"")</f>
        <v/>
      </c>
      <c r="AR79" s="72" t="str">
        <f t="shared" si="25"/>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62">IF($K79&lt;=$F$15,($AT79+$F$142)*$F$137,"")</f>
        <v/>
      </c>
      <c r="AW79" s="72" t="str">
        <f t="shared" si="26"/>
        <v/>
      </c>
      <c r="AX79" s="39"/>
      <c r="AY79" s="40" t="s">
        <v>127</v>
      </c>
      <c r="AZ79" s="39"/>
      <c r="BA79" s="42" t="str">
        <f t="shared" ref="BA79:BA114" si="63">IF($K79&lt;=$F$15,$F$145*AY79,"")</f>
        <v/>
      </c>
      <c r="BB79" s="72" t="str">
        <f t="shared" si="27"/>
        <v/>
      </c>
      <c r="BC79" s="39"/>
      <c r="BD79" s="72" t="str">
        <f t="shared" ref="BD79:BD114" si="64">IF($K79&lt;=$F$15,($AT79+$F$151)*$F$150,"")</f>
        <v/>
      </c>
      <c r="BE79" s="72" t="str">
        <f t="shared" si="28"/>
        <v/>
      </c>
      <c r="BF79" s="39"/>
      <c r="BG79" s="42" t="str">
        <f t="shared" ref="BG79:BG114" si="65">IF($K79&lt;=$F$15,$F$152*AY79,"")</f>
        <v/>
      </c>
      <c r="BH79" s="72" t="str">
        <f t="shared" si="29"/>
        <v/>
      </c>
      <c r="BI79" s="39"/>
      <c r="BJ79" s="40" t="str">
        <f t="shared" si="30"/>
        <v/>
      </c>
      <c r="BK79" s="157" t="str">
        <f t="shared" si="31"/>
        <v/>
      </c>
      <c r="BL79" s="157" t="str">
        <f t="shared" ref="BL79:BL114" si="66">IF(AND(ISNUMBER(BJ79),$K79&lt;=$F$16),BQ79*BJ79,"")</f>
        <v/>
      </c>
      <c r="BM79" s="72"/>
      <c r="BN79" s="72" t="str">
        <f t="shared" si="32"/>
        <v/>
      </c>
      <c r="BO79" s="72" t="str">
        <f t="shared" si="33"/>
        <v/>
      </c>
      <c r="BP79" s="39"/>
      <c r="BQ79" s="72" t="str">
        <f t="shared" ref="BQ79:BQ114" si="67">IF($K79&lt;=$F$15,$F$134,"")</f>
        <v/>
      </c>
      <c r="BR79" s="72" t="str">
        <f t="shared" si="34"/>
        <v/>
      </c>
    </row>
    <row r="80" spans="1:70" x14ac:dyDescent="0.15">
      <c r="D80" s="81"/>
      <c r="E80" s="81" t="s">
        <v>115</v>
      </c>
      <c r="F80" s="91">
        <f>AF116/$BR$116</f>
        <v>0</v>
      </c>
      <c r="G80" s="9" t="s">
        <v>132</v>
      </c>
      <c r="I80" s="322">
        <f t="shared" si="35"/>
        <v>2095</v>
      </c>
      <c r="K80" s="71">
        <f t="shared" si="36"/>
        <v>66</v>
      </c>
      <c r="M80" s="7">
        <f t="shared" si="52"/>
        <v>0.14214879072701941</v>
      </c>
      <c r="O80" s="10" t="str">
        <f t="shared" si="37"/>
        <v/>
      </c>
      <c r="P80" s="29" t="str">
        <f t="shared" si="53"/>
        <v/>
      </c>
      <c r="R80" s="10" t="str">
        <f t="shared" ref="R80:R114" si="68">IF($K80&lt;=$F$15,MAX($F$117*5%,R79*$F$129),"")</f>
        <v/>
      </c>
      <c r="T80" s="10" t="str">
        <f t="shared" ref="T80:T114" si="69">IF(ISNUMBER(R80),ROUNDDOWN(R80,-3),"")</f>
        <v/>
      </c>
      <c r="V80" s="10" t="str">
        <f t="shared" si="54"/>
        <v/>
      </c>
      <c r="W80" s="10" t="str">
        <f t="shared" ref="W80:W114" si="70">IF(ISNUMBER(V80),V80*$M80,"")</f>
        <v/>
      </c>
      <c r="Y80" s="10" t="str">
        <f t="shared" si="55"/>
        <v/>
      </c>
      <c r="Z80" s="10" t="str">
        <f t="shared" ref="Z80:Z114" si="71">IF(ISNUMBER(Y80),Y80*$M80,"")</f>
        <v/>
      </c>
      <c r="AB80" s="10" t="str">
        <f t="shared" si="56"/>
        <v/>
      </c>
      <c r="AC80" s="10" t="str">
        <f t="shared" si="51"/>
        <v/>
      </c>
      <c r="AE80" s="10" t="str">
        <f t="shared" si="57"/>
        <v/>
      </c>
      <c r="AF80" s="10" t="str">
        <f t="shared" ref="AF80:AF114" si="72">IF(ISNUMBER(AE80),AE80*$M80,"")</f>
        <v/>
      </c>
      <c r="AH80" s="10" t="str">
        <f t="shared" si="58"/>
        <v/>
      </c>
      <c r="AI80" s="10" t="str">
        <f t="shared" ref="AI80:AI114" si="73">IF(ISNUMBER(AH80),AH80*$M80,"")</f>
        <v/>
      </c>
      <c r="AK80" s="10" t="str">
        <f t="shared" si="59"/>
        <v/>
      </c>
      <c r="AL80" s="10" t="str">
        <f t="shared" ref="AL80:AL114" si="74">IF(ISNUMBER(AK80),AK80*$M80,"")</f>
        <v/>
      </c>
      <c r="AN80" s="188" t="str">
        <f t="shared" si="60"/>
        <v/>
      </c>
      <c r="AO80" s="10" t="str">
        <f t="shared" ref="AO80:AO114" si="75">IF(ISNUMBER(AN80),AN80*$M80,"")</f>
        <v/>
      </c>
      <c r="AQ80" s="10" t="str">
        <f t="shared" si="61"/>
        <v/>
      </c>
      <c r="AR80" s="10" t="str">
        <f t="shared" ref="AR80:AR114" si="76">IF(ISNUMBER(AQ80),AQ80*$M80,"")</f>
        <v/>
      </c>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V80" s="10" t="str">
        <f t="shared" si="62"/>
        <v/>
      </c>
      <c r="AW80" s="10" t="str">
        <f t="shared" ref="AW80:AW114" si="77">IF(ISNUMBER(AV80),AV80*$M80,"")</f>
        <v/>
      </c>
      <c r="AY80" s="7" t="s">
        <v>127</v>
      </c>
      <c r="BA80" s="11" t="str">
        <f t="shared" si="63"/>
        <v/>
      </c>
      <c r="BB80" s="10" t="str">
        <f t="shared" ref="BB80:BB114" si="78">IF(ISNUMBER(BA80),BA80*$M80,"")</f>
        <v/>
      </c>
      <c r="BD80" s="10" t="str">
        <f t="shared" si="64"/>
        <v/>
      </c>
      <c r="BE80" s="10" t="str">
        <f t="shared" ref="BE80:BE114" si="79">IF(ISNUMBER(BD80),BD80*$M80,"")</f>
        <v/>
      </c>
      <c r="BG80" s="11" t="str">
        <f t="shared" si="65"/>
        <v/>
      </c>
      <c r="BH80" s="10" t="str">
        <f t="shared" ref="BH80:BH114" si="80">IF(ISNUMBER(BG80),BG80*$M80,"")</f>
        <v/>
      </c>
      <c r="BJ80" s="7" t="str">
        <f t="shared" ref="BJ80:BJ114" si="81">IF(ISNUMBER($F$16),IF($K80&lt;=$F$16+$F$28,1/(1+($F$17/100))^K80,""),"")</f>
        <v/>
      </c>
      <c r="BK80" s="158" t="str">
        <f t="shared" ref="BK80:BK114" si="82">IF(ISNUMBER($F$16),IF($K80&lt;=$F$16+$F$28,IF($K80&lt;=$F$16,SUM(Y80,AB80,AE80,AH80,AK80,AN80,AQ80,AV80,BA80,BD80,BG80),$F$27/$F$28*10^8)*BJ80,""),"")</f>
        <v/>
      </c>
      <c r="BL80" s="158" t="str">
        <f t="shared" si="66"/>
        <v/>
      </c>
      <c r="BM80" s="10"/>
      <c r="BN80" s="10" t="str">
        <f t="shared" ref="BN80:BN114" si="83">IF(AND(ISNUMBER($F$16),$K80&lt;=$F$16),BQ80*($O$15+$BK$116)/$BL$116,"")</f>
        <v/>
      </c>
      <c r="BO80" s="10" t="str">
        <f t="shared" ref="BO80:BO114" si="84">IF(ISNUMBER(BN80),BN80*$M80,"")</f>
        <v/>
      </c>
      <c r="BQ80" s="10" t="str">
        <f t="shared" si="67"/>
        <v/>
      </c>
      <c r="BR80" s="10" t="str">
        <f t="shared" ref="BR80:BR114" si="85">IF(ISNUMBER(BQ80),BQ80*$M80,"")</f>
        <v/>
      </c>
    </row>
    <row r="81" spans="4:70" x14ac:dyDescent="0.15">
      <c r="D81" s="81"/>
      <c r="E81" s="82" t="s">
        <v>86</v>
      </c>
      <c r="F81" s="91">
        <f>AC116/$BR$116</f>
        <v>0.12011227549426885</v>
      </c>
      <c r="G81" s="9" t="s">
        <v>132</v>
      </c>
      <c r="I81" s="38">
        <f t="shared" ref="I81:I114" si="86">I80+1</f>
        <v>2096</v>
      </c>
      <c r="J81" s="39"/>
      <c r="K81" s="39">
        <f t="shared" ref="K81:K114" si="87">IF(I81&lt;&gt;"",K80+1,"")</f>
        <v>67</v>
      </c>
      <c r="L81" s="39"/>
      <c r="M81" s="40">
        <f t="shared" si="52"/>
        <v>0.1380085346864266</v>
      </c>
      <c r="N81" s="39"/>
      <c r="O81" s="72" t="str">
        <f t="shared" ref="O81:O114" si="88">IF(K81&lt;=$F$15,O80-V80,"")</f>
        <v/>
      </c>
      <c r="P81" s="41" t="str">
        <f t="shared" si="53"/>
        <v/>
      </c>
      <c r="Q81" s="39"/>
      <c r="R81" s="72" t="str">
        <f t="shared" si="68"/>
        <v/>
      </c>
      <c r="S81" s="39"/>
      <c r="T81" s="72" t="str">
        <f t="shared" si="69"/>
        <v/>
      </c>
      <c r="U81" s="39"/>
      <c r="V81" s="72" t="str">
        <f t="shared" si="54"/>
        <v/>
      </c>
      <c r="W81" s="72" t="str">
        <f t="shared" si="70"/>
        <v/>
      </c>
      <c r="X81" s="39"/>
      <c r="Y81" s="72" t="str">
        <f t="shared" si="55"/>
        <v/>
      </c>
      <c r="Z81" s="72" t="str">
        <f t="shared" si="71"/>
        <v/>
      </c>
      <c r="AA81" s="39"/>
      <c r="AB81" s="72" t="str">
        <f t="shared" si="56"/>
        <v/>
      </c>
      <c r="AC81" s="72" t="str">
        <f t="shared" si="51"/>
        <v/>
      </c>
      <c r="AD81" s="39"/>
      <c r="AE81" s="72" t="str">
        <f t="shared" si="57"/>
        <v/>
      </c>
      <c r="AF81" s="72" t="str">
        <f t="shared" si="72"/>
        <v/>
      </c>
      <c r="AG81" s="39"/>
      <c r="AH81" s="72" t="str">
        <f t="shared" si="58"/>
        <v/>
      </c>
      <c r="AI81" s="72" t="str">
        <f t="shared" si="73"/>
        <v/>
      </c>
      <c r="AJ81" s="39"/>
      <c r="AK81" s="72" t="str">
        <f t="shared" si="59"/>
        <v/>
      </c>
      <c r="AL81" s="72" t="str">
        <f t="shared" si="74"/>
        <v/>
      </c>
      <c r="AM81" s="39"/>
      <c r="AN81" s="72" t="str">
        <f t="shared" si="60"/>
        <v/>
      </c>
      <c r="AO81" s="72" t="str">
        <f t="shared" si="75"/>
        <v/>
      </c>
      <c r="AP81" s="39"/>
      <c r="AQ81" s="72" t="str">
        <f t="shared" si="61"/>
        <v/>
      </c>
      <c r="AR81" s="72" t="str">
        <f t="shared" si="76"/>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62"/>
        <v/>
      </c>
      <c r="AW81" s="72" t="str">
        <f t="shared" si="77"/>
        <v/>
      </c>
      <c r="AX81" s="39"/>
      <c r="AY81" s="40" t="s">
        <v>127</v>
      </c>
      <c r="AZ81" s="39"/>
      <c r="BA81" s="42" t="str">
        <f t="shared" si="63"/>
        <v/>
      </c>
      <c r="BB81" s="72" t="str">
        <f t="shared" si="78"/>
        <v/>
      </c>
      <c r="BC81" s="39"/>
      <c r="BD81" s="72" t="str">
        <f t="shared" si="64"/>
        <v/>
      </c>
      <c r="BE81" s="72" t="str">
        <f t="shared" si="79"/>
        <v/>
      </c>
      <c r="BF81" s="39"/>
      <c r="BG81" s="42" t="str">
        <f t="shared" si="65"/>
        <v/>
      </c>
      <c r="BH81" s="72" t="str">
        <f t="shared" si="80"/>
        <v/>
      </c>
      <c r="BI81" s="39"/>
      <c r="BJ81" s="40" t="str">
        <f t="shared" si="81"/>
        <v/>
      </c>
      <c r="BK81" s="157" t="str">
        <f t="shared" si="82"/>
        <v/>
      </c>
      <c r="BL81" s="157" t="str">
        <f t="shared" si="66"/>
        <v/>
      </c>
      <c r="BM81" s="72"/>
      <c r="BN81" s="72" t="str">
        <f t="shared" si="83"/>
        <v/>
      </c>
      <c r="BO81" s="72" t="str">
        <f t="shared" si="84"/>
        <v/>
      </c>
      <c r="BP81" s="39"/>
      <c r="BQ81" s="72" t="str">
        <f t="shared" si="67"/>
        <v/>
      </c>
      <c r="BR81" s="72" t="str">
        <f t="shared" si="85"/>
        <v/>
      </c>
    </row>
    <row r="82" spans="4:70" x14ac:dyDescent="0.15">
      <c r="D82" s="81"/>
      <c r="E82" s="81"/>
      <c r="F82" s="93"/>
      <c r="I82" s="322">
        <f t="shared" si="86"/>
        <v>2097</v>
      </c>
      <c r="K82" s="71">
        <f t="shared" si="87"/>
        <v>68</v>
      </c>
      <c r="M82" s="7">
        <f t="shared" si="52"/>
        <v>0.13398886862759865</v>
      </c>
      <c r="O82" s="10" t="str">
        <f t="shared" si="88"/>
        <v/>
      </c>
      <c r="P82" s="29" t="str">
        <f t="shared" si="53"/>
        <v/>
      </c>
      <c r="R82" s="10" t="str">
        <f t="shared" si="68"/>
        <v/>
      </c>
      <c r="T82" s="10" t="str">
        <f t="shared" si="69"/>
        <v/>
      </c>
      <c r="V82" s="10" t="str">
        <f t="shared" si="54"/>
        <v/>
      </c>
      <c r="W82" s="10" t="str">
        <f t="shared" si="70"/>
        <v/>
      </c>
      <c r="Y82" s="10" t="str">
        <f t="shared" si="55"/>
        <v/>
      </c>
      <c r="Z82" s="10" t="str">
        <f t="shared" si="71"/>
        <v/>
      </c>
      <c r="AB82" s="10" t="str">
        <f t="shared" si="56"/>
        <v/>
      </c>
      <c r="AC82" s="10" t="str">
        <f t="shared" si="51"/>
        <v/>
      </c>
      <c r="AE82" s="10" t="str">
        <f t="shared" si="57"/>
        <v/>
      </c>
      <c r="AF82" s="10" t="str">
        <f t="shared" si="72"/>
        <v/>
      </c>
      <c r="AH82" s="10" t="str">
        <f t="shared" si="58"/>
        <v/>
      </c>
      <c r="AI82" s="10" t="str">
        <f t="shared" si="73"/>
        <v/>
      </c>
      <c r="AK82" s="10" t="str">
        <f t="shared" si="59"/>
        <v/>
      </c>
      <c r="AL82" s="10" t="str">
        <f t="shared" si="74"/>
        <v/>
      </c>
      <c r="AN82" s="188" t="str">
        <f t="shared" si="60"/>
        <v/>
      </c>
      <c r="AO82" s="10" t="str">
        <f t="shared" si="75"/>
        <v/>
      </c>
      <c r="AQ82" s="10" t="str">
        <f t="shared" si="61"/>
        <v/>
      </c>
      <c r="AR82" s="10" t="str">
        <f t="shared" si="76"/>
        <v/>
      </c>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V82" s="10" t="str">
        <f t="shared" si="62"/>
        <v/>
      </c>
      <c r="AW82" s="10" t="str">
        <f t="shared" si="77"/>
        <v/>
      </c>
      <c r="AY82" s="7" t="s">
        <v>127</v>
      </c>
      <c r="BA82" s="11" t="str">
        <f t="shared" si="63"/>
        <v/>
      </c>
      <c r="BB82" s="10" t="str">
        <f t="shared" si="78"/>
        <v/>
      </c>
      <c r="BD82" s="10" t="str">
        <f t="shared" si="64"/>
        <v/>
      </c>
      <c r="BE82" s="10" t="str">
        <f t="shared" si="79"/>
        <v/>
      </c>
      <c r="BG82" s="11" t="str">
        <f t="shared" si="65"/>
        <v/>
      </c>
      <c r="BH82" s="10" t="str">
        <f t="shared" si="80"/>
        <v/>
      </c>
      <c r="BJ82" s="7" t="str">
        <f t="shared" si="81"/>
        <v/>
      </c>
      <c r="BK82" s="158" t="str">
        <f t="shared" si="82"/>
        <v/>
      </c>
      <c r="BL82" s="158" t="str">
        <f t="shared" si="66"/>
        <v/>
      </c>
      <c r="BM82" s="10"/>
      <c r="BN82" s="10" t="str">
        <f t="shared" si="83"/>
        <v/>
      </c>
      <c r="BO82" s="10" t="str">
        <f t="shared" si="84"/>
        <v/>
      </c>
      <c r="BQ82" s="10" t="str">
        <f t="shared" si="67"/>
        <v/>
      </c>
      <c r="BR82" s="10" t="str">
        <f t="shared" si="85"/>
        <v/>
      </c>
    </row>
    <row r="83" spans="4:70" ht="15" x14ac:dyDescent="0.15">
      <c r="D83" s="116" t="s">
        <v>194</v>
      </c>
      <c r="E83" s="81"/>
      <c r="F83" s="94">
        <f>SUBTOTAL(9,F87:F90)</f>
        <v>3.7287375652315711</v>
      </c>
      <c r="G83" s="9" t="s">
        <v>132</v>
      </c>
      <c r="I83" s="38">
        <f>I82+1</f>
        <v>2098</v>
      </c>
      <c r="J83" s="39"/>
      <c r="K83" s="39">
        <f>IF(I83&lt;&gt;"",K82+1,"")</f>
        <v>69</v>
      </c>
      <c r="L83" s="39"/>
      <c r="M83" s="40">
        <f t="shared" si="52"/>
        <v>0.13008628022096957</v>
      </c>
      <c r="N83" s="39"/>
      <c r="O83" s="72" t="str">
        <f t="shared" si="88"/>
        <v/>
      </c>
      <c r="P83" s="41" t="str">
        <f t="shared" si="53"/>
        <v/>
      </c>
      <c r="Q83" s="39"/>
      <c r="R83" s="72" t="str">
        <f t="shared" si="68"/>
        <v/>
      </c>
      <c r="S83" s="39"/>
      <c r="T83" s="72" t="str">
        <f t="shared" si="69"/>
        <v/>
      </c>
      <c r="U83" s="39"/>
      <c r="V83" s="72" t="str">
        <f t="shared" si="54"/>
        <v/>
      </c>
      <c r="W83" s="72" t="str">
        <f t="shared" si="70"/>
        <v/>
      </c>
      <c r="X83" s="39"/>
      <c r="Y83" s="72" t="str">
        <f t="shared" si="55"/>
        <v/>
      </c>
      <c r="Z83" s="72" t="str">
        <f t="shared" si="71"/>
        <v/>
      </c>
      <c r="AA83" s="39"/>
      <c r="AB83" s="72" t="str">
        <f t="shared" si="56"/>
        <v/>
      </c>
      <c r="AC83" s="72" t="str">
        <f t="shared" si="51"/>
        <v/>
      </c>
      <c r="AD83" s="39"/>
      <c r="AE83" s="72" t="str">
        <f t="shared" si="57"/>
        <v/>
      </c>
      <c r="AF83" s="72" t="str">
        <f t="shared" si="72"/>
        <v/>
      </c>
      <c r="AG83" s="39"/>
      <c r="AH83" s="72" t="str">
        <f t="shared" si="58"/>
        <v/>
      </c>
      <c r="AI83" s="72" t="str">
        <f t="shared" si="73"/>
        <v/>
      </c>
      <c r="AJ83" s="39"/>
      <c r="AK83" s="72" t="str">
        <f t="shared" si="59"/>
        <v/>
      </c>
      <c r="AL83" s="72" t="str">
        <f t="shared" si="74"/>
        <v/>
      </c>
      <c r="AM83" s="39"/>
      <c r="AN83" s="72" t="str">
        <f t="shared" si="60"/>
        <v/>
      </c>
      <c r="AO83" s="72" t="str">
        <f t="shared" si="75"/>
        <v/>
      </c>
      <c r="AP83" s="39"/>
      <c r="AQ83" s="72" t="str">
        <f t="shared" si="61"/>
        <v/>
      </c>
      <c r="AR83" s="72" t="str">
        <f t="shared" si="76"/>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62"/>
        <v/>
      </c>
      <c r="AW83" s="72" t="str">
        <f t="shared" si="77"/>
        <v/>
      </c>
      <c r="AX83" s="39"/>
      <c r="AY83" s="40" t="s">
        <v>127</v>
      </c>
      <c r="AZ83" s="39"/>
      <c r="BA83" s="42" t="str">
        <f t="shared" si="63"/>
        <v/>
      </c>
      <c r="BB83" s="72" t="str">
        <f t="shared" si="78"/>
        <v/>
      </c>
      <c r="BC83" s="39"/>
      <c r="BD83" s="72" t="str">
        <f t="shared" si="64"/>
        <v/>
      </c>
      <c r="BE83" s="72" t="str">
        <f t="shared" si="79"/>
        <v/>
      </c>
      <c r="BF83" s="39"/>
      <c r="BG83" s="42" t="str">
        <f t="shared" si="65"/>
        <v/>
      </c>
      <c r="BH83" s="72" t="str">
        <f t="shared" si="80"/>
        <v/>
      </c>
      <c r="BI83" s="39"/>
      <c r="BJ83" s="40" t="str">
        <f t="shared" si="81"/>
        <v/>
      </c>
      <c r="BK83" s="157" t="str">
        <f t="shared" si="82"/>
        <v/>
      </c>
      <c r="BL83" s="157" t="str">
        <f t="shared" si="66"/>
        <v/>
      </c>
      <c r="BM83" s="72"/>
      <c r="BN83" s="72" t="str">
        <f t="shared" si="83"/>
        <v/>
      </c>
      <c r="BO83" s="72" t="str">
        <f t="shared" si="84"/>
        <v/>
      </c>
      <c r="BP83" s="39"/>
      <c r="BQ83" s="72" t="str">
        <f t="shared" si="67"/>
        <v/>
      </c>
      <c r="BR83" s="72" t="str">
        <f t="shared" si="85"/>
        <v/>
      </c>
    </row>
    <row r="84" spans="4:70" x14ac:dyDescent="0.15">
      <c r="D84" s="81"/>
      <c r="E84" s="81"/>
      <c r="F84" s="93"/>
      <c r="I84" s="322">
        <f t="shared" si="86"/>
        <v>2099</v>
      </c>
      <c r="K84" s="71">
        <f t="shared" si="87"/>
        <v>70</v>
      </c>
      <c r="M84" s="7">
        <f t="shared" si="52"/>
        <v>0.12629735943783454</v>
      </c>
      <c r="O84" s="10" t="str">
        <f t="shared" si="88"/>
        <v/>
      </c>
      <c r="P84" s="29" t="str">
        <f t="shared" si="53"/>
        <v/>
      </c>
      <c r="R84" s="10" t="str">
        <f t="shared" si="68"/>
        <v/>
      </c>
      <c r="T84" s="10" t="str">
        <f t="shared" si="69"/>
        <v/>
      </c>
      <c r="V84" s="10" t="str">
        <f t="shared" si="54"/>
        <v/>
      </c>
      <c r="W84" s="10" t="str">
        <f t="shared" si="70"/>
        <v/>
      </c>
      <c r="Y84" s="10" t="str">
        <f t="shared" si="55"/>
        <v/>
      </c>
      <c r="Z84" s="10" t="str">
        <f t="shared" si="71"/>
        <v/>
      </c>
      <c r="AB84" s="10" t="str">
        <f t="shared" si="56"/>
        <v/>
      </c>
      <c r="AC84" s="10" t="str">
        <f t="shared" si="51"/>
        <v/>
      </c>
      <c r="AE84" s="10" t="str">
        <f t="shared" si="57"/>
        <v/>
      </c>
      <c r="AF84" s="10" t="str">
        <f t="shared" si="72"/>
        <v/>
      </c>
      <c r="AH84" s="10" t="str">
        <f t="shared" si="58"/>
        <v/>
      </c>
      <c r="AI84" s="10" t="str">
        <f t="shared" si="73"/>
        <v/>
      </c>
      <c r="AK84" s="10" t="str">
        <f t="shared" si="59"/>
        <v/>
      </c>
      <c r="AL84" s="10" t="str">
        <f t="shared" si="74"/>
        <v/>
      </c>
      <c r="AN84" s="188" t="str">
        <f t="shared" si="60"/>
        <v/>
      </c>
      <c r="AO84" s="10" t="str">
        <f t="shared" si="75"/>
        <v/>
      </c>
      <c r="AQ84" s="10" t="str">
        <f t="shared" si="61"/>
        <v/>
      </c>
      <c r="AR84" s="10" t="str">
        <f t="shared" si="76"/>
        <v/>
      </c>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V84" s="10" t="str">
        <f t="shared" si="62"/>
        <v/>
      </c>
      <c r="AW84" s="10" t="str">
        <f t="shared" si="77"/>
        <v/>
      </c>
      <c r="AY84" s="7" t="s">
        <v>127</v>
      </c>
      <c r="BA84" s="11" t="str">
        <f t="shared" si="63"/>
        <v/>
      </c>
      <c r="BB84" s="10" t="str">
        <f t="shared" si="78"/>
        <v/>
      </c>
      <c r="BD84" s="10" t="str">
        <f t="shared" si="64"/>
        <v/>
      </c>
      <c r="BE84" s="10" t="str">
        <f t="shared" si="79"/>
        <v/>
      </c>
      <c r="BG84" s="11" t="str">
        <f t="shared" si="65"/>
        <v/>
      </c>
      <c r="BH84" s="10" t="str">
        <f t="shared" si="80"/>
        <v/>
      </c>
      <c r="BJ84" s="7" t="str">
        <f t="shared" si="81"/>
        <v/>
      </c>
      <c r="BK84" s="158" t="str">
        <f t="shared" si="82"/>
        <v/>
      </c>
      <c r="BL84" s="158" t="str">
        <f t="shared" si="66"/>
        <v/>
      </c>
      <c r="BM84" s="10"/>
      <c r="BN84" s="10" t="str">
        <f t="shared" si="83"/>
        <v/>
      </c>
      <c r="BO84" s="10" t="str">
        <f t="shared" si="84"/>
        <v/>
      </c>
      <c r="BQ84" s="10" t="str">
        <f t="shared" si="67"/>
        <v/>
      </c>
      <c r="BR84" s="10" t="str">
        <f t="shared" si="85"/>
        <v/>
      </c>
    </row>
    <row r="85" spans="4:70" x14ac:dyDescent="0.15">
      <c r="D85" s="113" t="s">
        <v>140</v>
      </c>
      <c r="E85" s="101"/>
      <c r="F85" s="92"/>
      <c r="G85" s="89"/>
      <c r="I85" s="38">
        <f t="shared" si="86"/>
        <v>2100</v>
      </c>
      <c r="J85" s="39"/>
      <c r="K85" s="39">
        <f t="shared" si="87"/>
        <v>71</v>
      </c>
      <c r="L85" s="39"/>
      <c r="M85" s="40">
        <f t="shared" si="52"/>
        <v>0.12261879557071313</v>
      </c>
      <c r="N85" s="39"/>
      <c r="O85" s="72" t="str">
        <f t="shared" si="88"/>
        <v/>
      </c>
      <c r="P85" s="41" t="str">
        <f t="shared" si="53"/>
        <v/>
      </c>
      <c r="Q85" s="39"/>
      <c r="R85" s="72" t="str">
        <f t="shared" si="68"/>
        <v/>
      </c>
      <c r="S85" s="39"/>
      <c r="T85" s="72" t="str">
        <f t="shared" si="69"/>
        <v/>
      </c>
      <c r="U85" s="39"/>
      <c r="V85" s="72" t="str">
        <f t="shared" si="54"/>
        <v/>
      </c>
      <c r="W85" s="72" t="str">
        <f t="shared" si="70"/>
        <v/>
      </c>
      <c r="X85" s="39"/>
      <c r="Y85" s="72" t="str">
        <f t="shared" si="55"/>
        <v/>
      </c>
      <c r="Z85" s="72" t="str">
        <f t="shared" si="71"/>
        <v/>
      </c>
      <c r="AA85" s="39"/>
      <c r="AB85" s="72" t="str">
        <f t="shared" si="56"/>
        <v/>
      </c>
      <c r="AC85" s="72" t="str">
        <f t="shared" si="51"/>
        <v/>
      </c>
      <c r="AD85" s="39"/>
      <c r="AE85" s="72" t="str">
        <f t="shared" si="57"/>
        <v/>
      </c>
      <c r="AF85" s="72" t="str">
        <f t="shared" si="72"/>
        <v/>
      </c>
      <c r="AG85" s="39"/>
      <c r="AH85" s="72" t="str">
        <f t="shared" si="58"/>
        <v/>
      </c>
      <c r="AI85" s="72" t="str">
        <f t="shared" si="73"/>
        <v/>
      </c>
      <c r="AJ85" s="39"/>
      <c r="AK85" s="72" t="str">
        <f t="shared" si="59"/>
        <v/>
      </c>
      <c r="AL85" s="72" t="str">
        <f t="shared" si="74"/>
        <v/>
      </c>
      <c r="AM85" s="39"/>
      <c r="AN85" s="72" t="str">
        <f t="shared" si="60"/>
        <v/>
      </c>
      <c r="AO85" s="72" t="str">
        <f t="shared" si="75"/>
        <v/>
      </c>
      <c r="AP85" s="39"/>
      <c r="AQ85" s="72" t="str">
        <f t="shared" si="61"/>
        <v/>
      </c>
      <c r="AR85" s="72" t="str">
        <f t="shared" si="76"/>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62"/>
        <v/>
      </c>
      <c r="AW85" s="72" t="str">
        <f t="shared" si="77"/>
        <v/>
      </c>
      <c r="AX85" s="39"/>
      <c r="AY85" s="40" t="s">
        <v>127</v>
      </c>
      <c r="AZ85" s="39"/>
      <c r="BA85" s="42" t="str">
        <f t="shared" si="63"/>
        <v/>
      </c>
      <c r="BB85" s="72" t="str">
        <f t="shared" si="78"/>
        <v/>
      </c>
      <c r="BC85" s="39"/>
      <c r="BD85" s="72" t="str">
        <f t="shared" si="64"/>
        <v/>
      </c>
      <c r="BE85" s="72" t="str">
        <f t="shared" si="79"/>
        <v/>
      </c>
      <c r="BF85" s="39"/>
      <c r="BG85" s="42" t="str">
        <f t="shared" si="65"/>
        <v/>
      </c>
      <c r="BH85" s="72" t="str">
        <f t="shared" si="80"/>
        <v/>
      </c>
      <c r="BI85" s="39"/>
      <c r="BJ85" s="40" t="str">
        <f t="shared" si="81"/>
        <v/>
      </c>
      <c r="BK85" s="157" t="str">
        <f t="shared" si="82"/>
        <v/>
      </c>
      <c r="BL85" s="157" t="str">
        <f t="shared" si="66"/>
        <v/>
      </c>
      <c r="BM85" s="72"/>
      <c r="BN85" s="72" t="str">
        <f t="shared" si="83"/>
        <v/>
      </c>
      <c r="BO85" s="72" t="str">
        <f t="shared" si="84"/>
        <v/>
      </c>
      <c r="BP85" s="39"/>
      <c r="BQ85" s="72" t="str">
        <f t="shared" si="67"/>
        <v/>
      </c>
      <c r="BR85" s="72" t="str">
        <f t="shared" si="85"/>
        <v/>
      </c>
    </row>
    <row r="86" spans="4:70" x14ac:dyDescent="0.15">
      <c r="F86" s="93"/>
      <c r="I86" s="322">
        <f t="shared" si="86"/>
        <v>2101</v>
      </c>
      <c r="K86" s="71">
        <f t="shared" si="87"/>
        <v>72</v>
      </c>
      <c r="M86" s="7">
        <f t="shared" si="52"/>
        <v>0.1190473743404982</v>
      </c>
      <c r="O86" s="10" t="str">
        <f t="shared" si="88"/>
        <v/>
      </c>
      <c r="P86" s="29" t="str">
        <f t="shared" si="53"/>
        <v/>
      </c>
      <c r="R86" s="10" t="str">
        <f t="shared" si="68"/>
        <v/>
      </c>
      <c r="T86" s="10" t="str">
        <f t="shared" si="69"/>
        <v/>
      </c>
      <c r="V86" s="10" t="str">
        <f t="shared" si="54"/>
        <v/>
      </c>
      <c r="W86" s="10" t="str">
        <f t="shared" si="70"/>
        <v/>
      </c>
      <c r="Y86" s="10" t="str">
        <f t="shared" si="55"/>
        <v/>
      </c>
      <c r="Z86" s="10" t="str">
        <f t="shared" si="71"/>
        <v/>
      </c>
      <c r="AB86" s="10" t="str">
        <f t="shared" si="56"/>
        <v/>
      </c>
      <c r="AC86" s="10" t="str">
        <f t="shared" si="51"/>
        <v/>
      </c>
      <c r="AE86" s="10" t="str">
        <f t="shared" si="57"/>
        <v/>
      </c>
      <c r="AF86" s="10" t="str">
        <f t="shared" si="72"/>
        <v/>
      </c>
      <c r="AH86" s="10" t="str">
        <f t="shared" si="58"/>
        <v/>
      </c>
      <c r="AI86" s="10" t="str">
        <f t="shared" si="73"/>
        <v/>
      </c>
      <c r="AK86" s="10" t="str">
        <f t="shared" si="59"/>
        <v/>
      </c>
      <c r="AL86" s="10" t="str">
        <f t="shared" si="74"/>
        <v/>
      </c>
      <c r="AN86" s="188" t="str">
        <f t="shared" si="60"/>
        <v/>
      </c>
      <c r="AO86" s="10" t="str">
        <f t="shared" si="75"/>
        <v/>
      </c>
      <c r="AQ86" s="10" t="str">
        <f t="shared" si="61"/>
        <v/>
      </c>
      <c r="AR86" s="10" t="str">
        <f t="shared" si="76"/>
        <v/>
      </c>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V86" s="10" t="str">
        <f t="shared" si="62"/>
        <v/>
      </c>
      <c r="AW86" s="10" t="str">
        <f t="shared" si="77"/>
        <v/>
      </c>
      <c r="AY86" s="7" t="s">
        <v>127</v>
      </c>
      <c r="BA86" s="11" t="str">
        <f t="shared" si="63"/>
        <v/>
      </c>
      <c r="BB86" s="10" t="str">
        <f t="shared" si="78"/>
        <v/>
      </c>
      <c r="BD86" s="10" t="str">
        <f t="shared" si="64"/>
        <v/>
      </c>
      <c r="BE86" s="10" t="str">
        <f t="shared" si="79"/>
        <v/>
      </c>
      <c r="BG86" s="11" t="str">
        <f t="shared" si="65"/>
        <v/>
      </c>
      <c r="BH86" s="10" t="str">
        <f t="shared" si="80"/>
        <v/>
      </c>
      <c r="BJ86" s="7" t="str">
        <f t="shared" si="81"/>
        <v/>
      </c>
      <c r="BK86" s="158" t="str">
        <f t="shared" si="82"/>
        <v/>
      </c>
      <c r="BL86" s="158" t="str">
        <f t="shared" si="66"/>
        <v/>
      </c>
      <c r="BM86" s="10"/>
      <c r="BN86" s="10" t="str">
        <f t="shared" si="83"/>
        <v/>
      </c>
      <c r="BO86" s="10" t="str">
        <f t="shared" si="84"/>
        <v/>
      </c>
      <c r="BQ86" s="10" t="str">
        <f t="shared" si="67"/>
        <v/>
      </c>
      <c r="BR86" s="10" t="str">
        <f t="shared" si="85"/>
        <v/>
      </c>
    </row>
    <row r="87" spans="4:70" x14ac:dyDescent="0.15">
      <c r="E87" s="9" t="s">
        <v>141</v>
      </c>
      <c r="F87" s="91">
        <f>AI116/$BR$116</f>
        <v>0.31426668841052402</v>
      </c>
      <c r="G87" s="9" t="s">
        <v>132</v>
      </c>
      <c r="I87" s="38">
        <f t="shared" si="86"/>
        <v>2102</v>
      </c>
      <c r="J87" s="39"/>
      <c r="K87" s="39">
        <f t="shared" si="87"/>
        <v>73</v>
      </c>
      <c r="L87" s="39"/>
      <c r="M87" s="40">
        <f t="shared" si="52"/>
        <v>0.11557997508786232</v>
      </c>
      <c r="N87" s="39"/>
      <c r="O87" s="72" t="str">
        <f t="shared" si="88"/>
        <v/>
      </c>
      <c r="P87" s="41" t="str">
        <f t="shared" si="53"/>
        <v/>
      </c>
      <c r="Q87" s="39"/>
      <c r="R87" s="72" t="str">
        <f t="shared" si="68"/>
        <v/>
      </c>
      <c r="S87" s="39"/>
      <c r="T87" s="72" t="str">
        <f t="shared" si="69"/>
        <v/>
      </c>
      <c r="U87" s="39"/>
      <c r="V87" s="72" t="str">
        <f t="shared" si="54"/>
        <v/>
      </c>
      <c r="W87" s="72" t="str">
        <f t="shared" si="70"/>
        <v/>
      </c>
      <c r="X87" s="39"/>
      <c r="Y87" s="72" t="str">
        <f t="shared" si="55"/>
        <v/>
      </c>
      <c r="Z87" s="72" t="str">
        <f t="shared" si="71"/>
        <v/>
      </c>
      <c r="AA87" s="39"/>
      <c r="AB87" s="72" t="str">
        <f t="shared" si="56"/>
        <v/>
      </c>
      <c r="AC87" s="72" t="str">
        <f t="shared" si="51"/>
        <v/>
      </c>
      <c r="AD87" s="39"/>
      <c r="AE87" s="72" t="str">
        <f t="shared" si="57"/>
        <v/>
      </c>
      <c r="AF87" s="72" t="str">
        <f t="shared" si="72"/>
        <v/>
      </c>
      <c r="AG87" s="39"/>
      <c r="AH87" s="72" t="str">
        <f t="shared" si="58"/>
        <v/>
      </c>
      <c r="AI87" s="72" t="str">
        <f t="shared" si="73"/>
        <v/>
      </c>
      <c r="AJ87" s="39"/>
      <c r="AK87" s="72" t="str">
        <f t="shared" si="59"/>
        <v/>
      </c>
      <c r="AL87" s="72" t="str">
        <f t="shared" si="74"/>
        <v/>
      </c>
      <c r="AM87" s="39"/>
      <c r="AN87" s="72" t="str">
        <f t="shared" si="60"/>
        <v/>
      </c>
      <c r="AO87" s="72" t="str">
        <f t="shared" si="75"/>
        <v/>
      </c>
      <c r="AP87" s="39"/>
      <c r="AQ87" s="72" t="str">
        <f t="shared" si="61"/>
        <v/>
      </c>
      <c r="AR87" s="72" t="str">
        <f t="shared" si="76"/>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62"/>
        <v/>
      </c>
      <c r="AW87" s="72" t="str">
        <f t="shared" si="77"/>
        <v/>
      </c>
      <c r="AX87" s="39"/>
      <c r="AY87" s="40" t="s">
        <v>127</v>
      </c>
      <c r="AZ87" s="39"/>
      <c r="BA87" s="42" t="str">
        <f t="shared" si="63"/>
        <v/>
      </c>
      <c r="BB87" s="72" t="str">
        <f t="shared" si="78"/>
        <v/>
      </c>
      <c r="BC87" s="39"/>
      <c r="BD87" s="72" t="str">
        <f t="shared" si="64"/>
        <v/>
      </c>
      <c r="BE87" s="72" t="str">
        <f t="shared" si="79"/>
        <v/>
      </c>
      <c r="BF87" s="39"/>
      <c r="BG87" s="42" t="str">
        <f t="shared" si="65"/>
        <v/>
      </c>
      <c r="BH87" s="72" t="str">
        <f t="shared" si="80"/>
        <v/>
      </c>
      <c r="BI87" s="39"/>
      <c r="BJ87" s="40" t="str">
        <f t="shared" si="81"/>
        <v/>
      </c>
      <c r="BK87" s="157" t="str">
        <f t="shared" si="82"/>
        <v/>
      </c>
      <c r="BL87" s="157" t="str">
        <f t="shared" si="66"/>
        <v/>
      </c>
      <c r="BM87" s="72"/>
      <c r="BN87" s="72" t="str">
        <f t="shared" si="83"/>
        <v/>
      </c>
      <c r="BO87" s="72" t="str">
        <f t="shared" si="84"/>
        <v/>
      </c>
      <c r="BP87" s="39"/>
      <c r="BQ87" s="72" t="str">
        <f t="shared" si="67"/>
        <v/>
      </c>
      <c r="BR87" s="72" t="str">
        <f t="shared" si="85"/>
        <v/>
      </c>
    </row>
    <row r="88" spans="4:70" x14ac:dyDescent="0.15">
      <c r="E88" s="9" t="s">
        <v>120</v>
      </c>
      <c r="F88" s="91">
        <f>AL116/$BR$116</f>
        <v>1.6592573340218884</v>
      </c>
      <c r="G88" s="9" t="s">
        <v>132</v>
      </c>
      <c r="I88" s="322">
        <f t="shared" si="86"/>
        <v>2103</v>
      </c>
      <c r="K88" s="71">
        <f t="shared" si="87"/>
        <v>74</v>
      </c>
      <c r="M88" s="7">
        <f t="shared" si="52"/>
        <v>0.11221356804646829</v>
      </c>
      <c r="O88" s="10" t="str">
        <f t="shared" si="88"/>
        <v/>
      </c>
      <c r="P88" s="29" t="str">
        <f t="shared" si="53"/>
        <v/>
      </c>
      <c r="R88" s="10" t="str">
        <f t="shared" si="68"/>
        <v/>
      </c>
      <c r="T88" s="10" t="str">
        <f t="shared" si="69"/>
        <v/>
      </c>
      <c r="V88" s="10" t="str">
        <f t="shared" si="54"/>
        <v/>
      </c>
      <c r="W88" s="10" t="str">
        <f t="shared" si="70"/>
        <v/>
      </c>
      <c r="Y88" s="10" t="str">
        <f t="shared" si="55"/>
        <v/>
      </c>
      <c r="Z88" s="10" t="str">
        <f t="shared" si="71"/>
        <v/>
      </c>
      <c r="AB88" s="10" t="str">
        <f t="shared" si="56"/>
        <v/>
      </c>
      <c r="AC88" s="10" t="str">
        <f t="shared" si="51"/>
        <v/>
      </c>
      <c r="AE88" s="10" t="str">
        <f t="shared" si="57"/>
        <v/>
      </c>
      <c r="AF88" s="10" t="str">
        <f t="shared" si="72"/>
        <v/>
      </c>
      <c r="AH88" s="10" t="str">
        <f t="shared" si="58"/>
        <v/>
      </c>
      <c r="AI88" s="10" t="str">
        <f t="shared" si="73"/>
        <v/>
      </c>
      <c r="AK88" s="10" t="str">
        <f t="shared" si="59"/>
        <v/>
      </c>
      <c r="AL88" s="10" t="str">
        <f t="shared" si="74"/>
        <v/>
      </c>
      <c r="AN88" s="188" t="str">
        <f t="shared" si="60"/>
        <v/>
      </c>
      <c r="AO88" s="10" t="str">
        <f t="shared" si="75"/>
        <v/>
      </c>
      <c r="AQ88" s="10" t="str">
        <f t="shared" si="61"/>
        <v/>
      </c>
      <c r="AR88" s="10" t="str">
        <f t="shared" si="76"/>
        <v/>
      </c>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V88" s="10" t="str">
        <f t="shared" si="62"/>
        <v/>
      </c>
      <c r="AW88" s="10" t="str">
        <f t="shared" si="77"/>
        <v/>
      </c>
      <c r="AY88" s="7" t="s">
        <v>127</v>
      </c>
      <c r="BA88" s="11" t="str">
        <f t="shared" si="63"/>
        <v/>
      </c>
      <c r="BB88" s="10" t="str">
        <f t="shared" si="78"/>
        <v/>
      </c>
      <c r="BD88" s="10" t="str">
        <f t="shared" si="64"/>
        <v/>
      </c>
      <c r="BE88" s="10" t="str">
        <f t="shared" si="79"/>
        <v/>
      </c>
      <c r="BG88" s="11" t="str">
        <f t="shared" si="65"/>
        <v/>
      </c>
      <c r="BH88" s="10" t="str">
        <f t="shared" si="80"/>
        <v/>
      </c>
      <c r="BJ88" s="7" t="str">
        <f t="shared" si="81"/>
        <v/>
      </c>
      <c r="BK88" s="158" t="str">
        <f t="shared" si="82"/>
        <v/>
      </c>
      <c r="BL88" s="158" t="str">
        <f t="shared" si="66"/>
        <v/>
      </c>
      <c r="BM88" s="10"/>
      <c r="BN88" s="10" t="str">
        <f t="shared" si="83"/>
        <v/>
      </c>
      <c r="BO88" s="10" t="str">
        <f t="shared" si="84"/>
        <v/>
      </c>
      <c r="BQ88" s="10" t="str">
        <f t="shared" si="67"/>
        <v/>
      </c>
      <c r="BR88" s="10" t="str">
        <f t="shared" si="85"/>
        <v/>
      </c>
    </row>
    <row r="89" spans="4:70" x14ac:dyDescent="0.15">
      <c r="E89" s="9" t="s">
        <v>122</v>
      </c>
      <c r="F89" s="91">
        <f>AO116/$BR$116</f>
        <v>1.3320943864608241</v>
      </c>
      <c r="G89" s="9" t="s">
        <v>132</v>
      </c>
      <c r="I89" s="38">
        <f t="shared" si="86"/>
        <v>2104</v>
      </c>
      <c r="J89" s="39"/>
      <c r="K89" s="39">
        <f t="shared" si="87"/>
        <v>75</v>
      </c>
      <c r="L89" s="39"/>
      <c r="M89" s="40">
        <f t="shared" si="52"/>
        <v>0.10894521169560026</v>
      </c>
      <c r="N89" s="39"/>
      <c r="O89" s="72" t="str">
        <f t="shared" si="88"/>
        <v/>
      </c>
      <c r="P89" s="41" t="str">
        <f t="shared" si="53"/>
        <v/>
      </c>
      <c r="Q89" s="39"/>
      <c r="R89" s="72" t="str">
        <f t="shared" si="68"/>
        <v/>
      </c>
      <c r="S89" s="39"/>
      <c r="T89" s="72" t="str">
        <f t="shared" si="69"/>
        <v/>
      </c>
      <c r="U89" s="39"/>
      <c r="V89" s="72" t="str">
        <f t="shared" si="54"/>
        <v/>
      </c>
      <c r="W89" s="72" t="str">
        <f t="shared" si="70"/>
        <v/>
      </c>
      <c r="X89" s="39"/>
      <c r="Y89" s="72" t="str">
        <f t="shared" si="55"/>
        <v/>
      </c>
      <c r="Z89" s="72" t="str">
        <f t="shared" si="71"/>
        <v/>
      </c>
      <c r="AA89" s="39"/>
      <c r="AB89" s="72" t="str">
        <f t="shared" si="56"/>
        <v/>
      </c>
      <c r="AC89" s="72" t="str">
        <f t="shared" si="51"/>
        <v/>
      </c>
      <c r="AD89" s="39"/>
      <c r="AE89" s="72" t="str">
        <f t="shared" si="57"/>
        <v/>
      </c>
      <c r="AF89" s="72" t="str">
        <f t="shared" si="72"/>
        <v/>
      </c>
      <c r="AG89" s="39"/>
      <c r="AH89" s="72" t="str">
        <f t="shared" si="58"/>
        <v/>
      </c>
      <c r="AI89" s="72" t="str">
        <f t="shared" si="73"/>
        <v/>
      </c>
      <c r="AJ89" s="39"/>
      <c r="AK89" s="72" t="str">
        <f t="shared" si="59"/>
        <v/>
      </c>
      <c r="AL89" s="72" t="str">
        <f t="shared" si="74"/>
        <v/>
      </c>
      <c r="AM89" s="39"/>
      <c r="AN89" s="72" t="str">
        <f t="shared" si="60"/>
        <v/>
      </c>
      <c r="AO89" s="72" t="str">
        <f t="shared" si="75"/>
        <v/>
      </c>
      <c r="AP89" s="39"/>
      <c r="AQ89" s="72" t="str">
        <f t="shared" si="61"/>
        <v/>
      </c>
      <c r="AR89" s="72" t="str">
        <f t="shared" si="76"/>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62"/>
        <v/>
      </c>
      <c r="AW89" s="72" t="str">
        <f t="shared" si="77"/>
        <v/>
      </c>
      <c r="AX89" s="39"/>
      <c r="AY89" s="40" t="s">
        <v>127</v>
      </c>
      <c r="AZ89" s="39"/>
      <c r="BA89" s="42" t="str">
        <f t="shared" si="63"/>
        <v/>
      </c>
      <c r="BB89" s="72" t="str">
        <f t="shared" si="78"/>
        <v/>
      </c>
      <c r="BC89" s="39"/>
      <c r="BD89" s="72" t="str">
        <f t="shared" si="64"/>
        <v/>
      </c>
      <c r="BE89" s="72" t="str">
        <f t="shared" si="79"/>
        <v/>
      </c>
      <c r="BF89" s="39"/>
      <c r="BG89" s="42" t="str">
        <f t="shared" si="65"/>
        <v/>
      </c>
      <c r="BH89" s="72" t="str">
        <f t="shared" si="80"/>
        <v/>
      </c>
      <c r="BI89" s="39"/>
      <c r="BJ89" s="40" t="str">
        <f t="shared" si="81"/>
        <v/>
      </c>
      <c r="BK89" s="157" t="str">
        <f t="shared" si="82"/>
        <v/>
      </c>
      <c r="BL89" s="157" t="str">
        <f t="shared" si="66"/>
        <v/>
      </c>
      <c r="BM89" s="72"/>
      <c r="BN89" s="72" t="str">
        <f t="shared" si="83"/>
        <v/>
      </c>
      <c r="BO89" s="72" t="str">
        <f t="shared" si="84"/>
        <v/>
      </c>
      <c r="BP89" s="39"/>
      <c r="BQ89" s="72" t="str">
        <f t="shared" si="67"/>
        <v/>
      </c>
      <c r="BR89" s="72" t="str">
        <f t="shared" si="85"/>
        <v/>
      </c>
    </row>
    <row r="90" spans="4:70" x14ac:dyDescent="0.15">
      <c r="E90" s="9" t="s">
        <v>142</v>
      </c>
      <c r="F90" s="91">
        <f>AR116/$BR$116</f>
        <v>0.42311915633833452</v>
      </c>
      <c r="G90" s="9" t="s">
        <v>132</v>
      </c>
      <c r="I90" s="322">
        <f t="shared" si="86"/>
        <v>2105</v>
      </c>
      <c r="K90" s="71">
        <f t="shared" si="87"/>
        <v>76</v>
      </c>
      <c r="M90" s="7">
        <f t="shared" si="52"/>
        <v>0.10577205018990318</v>
      </c>
      <c r="O90" s="10" t="str">
        <f t="shared" si="88"/>
        <v/>
      </c>
      <c r="P90" s="29" t="str">
        <f t="shared" si="53"/>
        <v/>
      </c>
      <c r="R90" s="10" t="str">
        <f t="shared" si="68"/>
        <v/>
      </c>
      <c r="T90" s="10" t="str">
        <f t="shared" si="69"/>
        <v/>
      </c>
      <c r="V90" s="10" t="str">
        <f t="shared" si="54"/>
        <v/>
      </c>
      <c r="W90" s="10" t="str">
        <f t="shared" si="70"/>
        <v/>
      </c>
      <c r="Y90" s="10" t="str">
        <f t="shared" si="55"/>
        <v/>
      </c>
      <c r="Z90" s="10" t="str">
        <f t="shared" si="71"/>
        <v/>
      </c>
      <c r="AB90" s="10" t="str">
        <f t="shared" si="56"/>
        <v/>
      </c>
      <c r="AC90" s="10" t="str">
        <f t="shared" si="51"/>
        <v/>
      </c>
      <c r="AE90" s="10" t="str">
        <f t="shared" si="57"/>
        <v/>
      </c>
      <c r="AF90" s="10" t="str">
        <f t="shared" si="72"/>
        <v/>
      </c>
      <c r="AH90" s="10" t="str">
        <f t="shared" si="58"/>
        <v/>
      </c>
      <c r="AI90" s="10" t="str">
        <f t="shared" si="73"/>
        <v/>
      </c>
      <c r="AK90" s="10" t="str">
        <f t="shared" si="59"/>
        <v/>
      </c>
      <c r="AL90" s="10" t="str">
        <f t="shared" si="74"/>
        <v/>
      </c>
      <c r="AN90" s="188" t="str">
        <f t="shared" si="60"/>
        <v/>
      </c>
      <c r="AO90" s="10" t="str">
        <f t="shared" si="75"/>
        <v/>
      </c>
      <c r="AQ90" s="10" t="str">
        <f t="shared" si="61"/>
        <v/>
      </c>
      <c r="AR90" s="10" t="str">
        <f t="shared" si="76"/>
        <v/>
      </c>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V90" s="10" t="str">
        <f t="shared" si="62"/>
        <v/>
      </c>
      <c r="AW90" s="10" t="str">
        <f t="shared" si="77"/>
        <v/>
      </c>
      <c r="AY90" s="7" t="s">
        <v>127</v>
      </c>
      <c r="BA90" s="11" t="str">
        <f t="shared" si="63"/>
        <v/>
      </c>
      <c r="BB90" s="10" t="str">
        <f t="shared" si="78"/>
        <v/>
      </c>
      <c r="BD90" s="10" t="str">
        <f t="shared" si="64"/>
        <v/>
      </c>
      <c r="BE90" s="10" t="str">
        <f t="shared" si="79"/>
        <v/>
      </c>
      <c r="BG90" s="11" t="str">
        <f t="shared" si="65"/>
        <v/>
      </c>
      <c r="BH90" s="10" t="str">
        <f t="shared" si="80"/>
        <v/>
      </c>
      <c r="BJ90" s="7" t="str">
        <f t="shared" si="81"/>
        <v/>
      </c>
      <c r="BK90" s="158" t="str">
        <f t="shared" si="82"/>
        <v/>
      </c>
      <c r="BL90" s="158" t="str">
        <f t="shared" si="66"/>
        <v/>
      </c>
      <c r="BM90" s="10"/>
      <c r="BN90" s="10" t="str">
        <f t="shared" si="83"/>
        <v/>
      </c>
      <c r="BO90" s="10" t="str">
        <f t="shared" si="84"/>
        <v/>
      </c>
      <c r="BQ90" s="10" t="str">
        <f t="shared" si="67"/>
        <v/>
      </c>
      <c r="BR90" s="10" t="str">
        <f t="shared" si="85"/>
        <v/>
      </c>
    </row>
    <row r="91" spans="4:70" x14ac:dyDescent="0.15">
      <c r="F91" s="93"/>
      <c r="I91" s="38">
        <f t="shared" si="86"/>
        <v>2106</v>
      </c>
      <c r="J91" s="39"/>
      <c r="K91" s="39">
        <f t="shared" si="87"/>
        <v>77</v>
      </c>
      <c r="L91" s="39"/>
      <c r="M91" s="40">
        <f t="shared" si="52"/>
        <v>0.10269131086398368</v>
      </c>
      <c r="N91" s="39"/>
      <c r="O91" s="72" t="str">
        <f t="shared" si="88"/>
        <v/>
      </c>
      <c r="P91" s="41" t="str">
        <f t="shared" si="53"/>
        <v/>
      </c>
      <c r="Q91" s="39"/>
      <c r="R91" s="72" t="str">
        <f t="shared" si="68"/>
        <v/>
      </c>
      <c r="S91" s="39"/>
      <c r="T91" s="72" t="str">
        <f t="shared" si="69"/>
        <v/>
      </c>
      <c r="U91" s="39"/>
      <c r="V91" s="72" t="str">
        <f t="shared" si="54"/>
        <v/>
      </c>
      <c r="W91" s="72" t="str">
        <f t="shared" si="70"/>
        <v/>
      </c>
      <c r="X91" s="39"/>
      <c r="Y91" s="72" t="str">
        <f t="shared" si="55"/>
        <v/>
      </c>
      <c r="Z91" s="72" t="str">
        <f t="shared" si="71"/>
        <v/>
      </c>
      <c r="AA91" s="39"/>
      <c r="AB91" s="72" t="str">
        <f t="shared" si="56"/>
        <v/>
      </c>
      <c r="AC91" s="72" t="str">
        <f t="shared" si="51"/>
        <v/>
      </c>
      <c r="AD91" s="39"/>
      <c r="AE91" s="72" t="str">
        <f t="shared" si="57"/>
        <v/>
      </c>
      <c r="AF91" s="72" t="str">
        <f t="shared" si="72"/>
        <v/>
      </c>
      <c r="AG91" s="39"/>
      <c r="AH91" s="72" t="str">
        <f t="shared" si="58"/>
        <v/>
      </c>
      <c r="AI91" s="72" t="str">
        <f t="shared" si="73"/>
        <v/>
      </c>
      <c r="AJ91" s="39"/>
      <c r="AK91" s="72" t="str">
        <f t="shared" si="59"/>
        <v/>
      </c>
      <c r="AL91" s="72" t="str">
        <f t="shared" si="74"/>
        <v/>
      </c>
      <c r="AM91" s="39"/>
      <c r="AN91" s="72" t="str">
        <f t="shared" si="60"/>
        <v/>
      </c>
      <c r="AO91" s="72" t="str">
        <f t="shared" si="75"/>
        <v/>
      </c>
      <c r="AP91" s="39"/>
      <c r="AQ91" s="72" t="str">
        <f t="shared" si="61"/>
        <v/>
      </c>
      <c r="AR91" s="72" t="str">
        <f t="shared" si="76"/>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62"/>
        <v/>
      </c>
      <c r="AW91" s="72" t="str">
        <f t="shared" si="77"/>
        <v/>
      </c>
      <c r="AX91" s="39"/>
      <c r="AY91" s="40" t="s">
        <v>127</v>
      </c>
      <c r="AZ91" s="39"/>
      <c r="BA91" s="42" t="str">
        <f t="shared" si="63"/>
        <v/>
      </c>
      <c r="BB91" s="72" t="str">
        <f t="shared" si="78"/>
        <v/>
      </c>
      <c r="BC91" s="39"/>
      <c r="BD91" s="72" t="str">
        <f t="shared" si="64"/>
        <v/>
      </c>
      <c r="BE91" s="72" t="str">
        <f t="shared" si="79"/>
        <v/>
      </c>
      <c r="BF91" s="39"/>
      <c r="BG91" s="42" t="str">
        <f t="shared" si="65"/>
        <v/>
      </c>
      <c r="BH91" s="72" t="str">
        <f t="shared" si="80"/>
        <v/>
      </c>
      <c r="BI91" s="39"/>
      <c r="BJ91" s="40" t="str">
        <f t="shared" si="81"/>
        <v/>
      </c>
      <c r="BK91" s="157" t="str">
        <f t="shared" si="82"/>
        <v/>
      </c>
      <c r="BL91" s="157" t="str">
        <f t="shared" si="66"/>
        <v/>
      </c>
      <c r="BM91" s="72"/>
      <c r="BN91" s="72" t="str">
        <f t="shared" si="83"/>
        <v/>
      </c>
      <c r="BO91" s="72" t="str">
        <f t="shared" si="84"/>
        <v/>
      </c>
      <c r="BP91" s="39"/>
      <c r="BQ91" s="72" t="str">
        <f t="shared" si="67"/>
        <v/>
      </c>
      <c r="BR91" s="72" t="str">
        <f t="shared" si="85"/>
        <v/>
      </c>
    </row>
    <row r="92" spans="4:70" ht="15" x14ac:dyDescent="0.15">
      <c r="D92" s="462" t="s">
        <v>196</v>
      </c>
      <c r="F92" s="94">
        <f>SUBTOTAL(9,F96:F97)</f>
        <v>1.679029170797159</v>
      </c>
      <c r="I92" s="322">
        <f t="shared" si="86"/>
        <v>2107</v>
      </c>
      <c r="K92" s="71">
        <f t="shared" si="87"/>
        <v>78</v>
      </c>
      <c r="M92" s="7">
        <f t="shared" si="52"/>
        <v>9.9700301809692873E-2</v>
      </c>
      <c r="O92" s="10" t="str">
        <f t="shared" si="88"/>
        <v/>
      </c>
      <c r="P92" s="29" t="str">
        <f t="shared" si="53"/>
        <v/>
      </c>
      <c r="R92" s="10" t="str">
        <f t="shared" si="68"/>
        <v/>
      </c>
      <c r="T92" s="10" t="str">
        <f t="shared" si="69"/>
        <v/>
      </c>
      <c r="V92" s="10" t="str">
        <f t="shared" si="54"/>
        <v/>
      </c>
      <c r="W92" s="10" t="str">
        <f t="shared" si="70"/>
        <v/>
      </c>
      <c r="Y92" s="10" t="str">
        <f t="shared" si="55"/>
        <v/>
      </c>
      <c r="Z92" s="10" t="str">
        <f t="shared" si="71"/>
        <v/>
      </c>
      <c r="AB92" s="10" t="str">
        <f t="shared" si="56"/>
        <v/>
      </c>
      <c r="AC92" s="10" t="str">
        <f t="shared" si="51"/>
        <v/>
      </c>
      <c r="AE92" s="10" t="str">
        <f t="shared" si="57"/>
        <v/>
      </c>
      <c r="AF92" s="10" t="str">
        <f t="shared" si="72"/>
        <v/>
      </c>
      <c r="AH92" s="10" t="str">
        <f t="shared" si="58"/>
        <v/>
      </c>
      <c r="AI92" s="10" t="str">
        <f t="shared" si="73"/>
        <v/>
      </c>
      <c r="AK92" s="10" t="str">
        <f t="shared" si="59"/>
        <v/>
      </c>
      <c r="AL92" s="10" t="str">
        <f t="shared" si="74"/>
        <v/>
      </c>
      <c r="AN92" s="188" t="str">
        <f t="shared" si="60"/>
        <v/>
      </c>
      <c r="AO92" s="10" t="str">
        <f t="shared" si="75"/>
        <v/>
      </c>
      <c r="AQ92" s="10" t="str">
        <f t="shared" si="61"/>
        <v/>
      </c>
      <c r="AR92" s="10" t="str">
        <f t="shared" si="76"/>
        <v/>
      </c>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V92" s="10" t="str">
        <f t="shared" si="62"/>
        <v/>
      </c>
      <c r="AW92" s="10" t="str">
        <f t="shared" si="77"/>
        <v/>
      </c>
      <c r="AY92" s="7" t="s">
        <v>127</v>
      </c>
      <c r="BA92" s="11" t="str">
        <f t="shared" si="63"/>
        <v/>
      </c>
      <c r="BB92" s="10" t="str">
        <f t="shared" si="78"/>
        <v/>
      </c>
      <c r="BD92" s="10" t="str">
        <f t="shared" si="64"/>
        <v/>
      </c>
      <c r="BE92" s="10" t="str">
        <f t="shared" si="79"/>
        <v/>
      </c>
      <c r="BG92" s="11" t="str">
        <f t="shared" si="65"/>
        <v/>
      </c>
      <c r="BH92" s="10" t="str">
        <f t="shared" si="80"/>
        <v/>
      </c>
      <c r="BJ92" s="7" t="str">
        <f t="shared" si="81"/>
        <v/>
      </c>
      <c r="BK92" s="158" t="str">
        <f t="shared" si="82"/>
        <v/>
      </c>
      <c r="BL92" s="158" t="str">
        <f t="shared" si="66"/>
        <v/>
      </c>
      <c r="BM92" s="10"/>
      <c r="BN92" s="10" t="str">
        <f t="shared" si="83"/>
        <v/>
      </c>
      <c r="BO92" s="10" t="str">
        <f t="shared" si="84"/>
        <v/>
      </c>
      <c r="BQ92" s="10" t="str">
        <f t="shared" si="67"/>
        <v/>
      </c>
      <c r="BR92" s="10" t="str">
        <f t="shared" si="85"/>
        <v/>
      </c>
    </row>
    <row r="93" spans="4:70" ht="15" x14ac:dyDescent="0.15">
      <c r="D93" s="462"/>
      <c r="F93" s="93"/>
      <c r="I93" s="38">
        <f t="shared" si="86"/>
        <v>2108</v>
      </c>
      <c r="J93" s="39"/>
      <c r="K93" s="39">
        <f t="shared" si="87"/>
        <v>79</v>
      </c>
      <c r="L93" s="39"/>
      <c r="M93" s="40">
        <f t="shared" si="52"/>
        <v>9.679640952397367E-2</v>
      </c>
      <c r="N93" s="39"/>
      <c r="O93" s="72" t="str">
        <f t="shared" si="88"/>
        <v/>
      </c>
      <c r="P93" s="41" t="str">
        <f t="shared" si="53"/>
        <v/>
      </c>
      <c r="Q93" s="39"/>
      <c r="R93" s="72" t="str">
        <f t="shared" si="68"/>
        <v/>
      </c>
      <c r="S93" s="39"/>
      <c r="T93" s="72" t="str">
        <f t="shared" si="69"/>
        <v/>
      </c>
      <c r="U93" s="39"/>
      <c r="V93" s="72" t="str">
        <f t="shared" si="54"/>
        <v/>
      </c>
      <c r="W93" s="72" t="str">
        <f t="shared" si="70"/>
        <v/>
      </c>
      <c r="X93" s="39"/>
      <c r="Y93" s="72" t="str">
        <f t="shared" si="55"/>
        <v/>
      </c>
      <c r="Z93" s="72" t="str">
        <f t="shared" si="71"/>
        <v/>
      </c>
      <c r="AA93" s="39"/>
      <c r="AB93" s="72" t="str">
        <f t="shared" si="56"/>
        <v/>
      </c>
      <c r="AC93" s="72" t="str">
        <f t="shared" si="51"/>
        <v/>
      </c>
      <c r="AD93" s="39"/>
      <c r="AE93" s="72" t="str">
        <f t="shared" si="57"/>
        <v/>
      </c>
      <c r="AF93" s="72" t="str">
        <f t="shared" si="72"/>
        <v/>
      </c>
      <c r="AG93" s="39"/>
      <c r="AH93" s="72" t="str">
        <f t="shared" si="58"/>
        <v/>
      </c>
      <c r="AI93" s="72" t="str">
        <f t="shared" si="73"/>
        <v/>
      </c>
      <c r="AJ93" s="39"/>
      <c r="AK93" s="72" t="str">
        <f t="shared" si="59"/>
        <v/>
      </c>
      <c r="AL93" s="72" t="str">
        <f t="shared" si="74"/>
        <v/>
      </c>
      <c r="AM93" s="39"/>
      <c r="AN93" s="72" t="str">
        <f t="shared" si="60"/>
        <v/>
      </c>
      <c r="AO93" s="72" t="str">
        <f t="shared" si="75"/>
        <v/>
      </c>
      <c r="AP93" s="39"/>
      <c r="AQ93" s="72" t="str">
        <f t="shared" si="61"/>
        <v/>
      </c>
      <c r="AR93" s="72" t="str">
        <f t="shared" si="76"/>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62"/>
        <v/>
      </c>
      <c r="AW93" s="72" t="str">
        <f t="shared" si="77"/>
        <v/>
      </c>
      <c r="AX93" s="39"/>
      <c r="AY93" s="40" t="s">
        <v>127</v>
      </c>
      <c r="AZ93" s="39"/>
      <c r="BA93" s="42" t="str">
        <f t="shared" si="63"/>
        <v/>
      </c>
      <c r="BB93" s="72" t="str">
        <f t="shared" si="78"/>
        <v/>
      </c>
      <c r="BC93" s="39"/>
      <c r="BD93" s="72" t="str">
        <f t="shared" si="64"/>
        <v/>
      </c>
      <c r="BE93" s="72" t="str">
        <f t="shared" si="79"/>
        <v/>
      </c>
      <c r="BF93" s="39"/>
      <c r="BG93" s="42" t="str">
        <f t="shared" si="65"/>
        <v/>
      </c>
      <c r="BH93" s="72" t="str">
        <f t="shared" si="80"/>
        <v/>
      </c>
      <c r="BI93" s="39"/>
      <c r="BJ93" s="40" t="str">
        <f t="shared" si="81"/>
        <v/>
      </c>
      <c r="BK93" s="157" t="str">
        <f t="shared" si="82"/>
        <v/>
      </c>
      <c r="BL93" s="157" t="str">
        <f t="shared" si="66"/>
        <v/>
      </c>
      <c r="BM93" s="72"/>
      <c r="BN93" s="72" t="str">
        <f t="shared" si="83"/>
        <v/>
      </c>
      <c r="BO93" s="72" t="str">
        <f t="shared" si="84"/>
        <v/>
      </c>
      <c r="BP93" s="39"/>
      <c r="BQ93" s="72" t="str">
        <f t="shared" si="67"/>
        <v/>
      </c>
      <c r="BR93" s="72" t="str">
        <f t="shared" si="85"/>
        <v/>
      </c>
    </row>
    <row r="94" spans="4:70" x14ac:dyDescent="0.15">
      <c r="D94" s="89" t="s">
        <v>197</v>
      </c>
      <c r="E94" s="89"/>
      <c r="F94" s="92"/>
      <c r="G94" s="89"/>
      <c r="I94" s="322">
        <f t="shared" si="86"/>
        <v>2109</v>
      </c>
      <c r="K94" s="71">
        <f t="shared" si="87"/>
        <v>80</v>
      </c>
      <c r="M94" s="7">
        <f t="shared" si="52"/>
        <v>9.3977096625217166E-2</v>
      </c>
      <c r="O94" s="10" t="str">
        <f t="shared" si="88"/>
        <v/>
      </c>
      <c r="P94" s="29" t="str">
        <f t="shared" si="53"/>
        <v/>
      </c>
      <c r="R94" s="10" t="str">
        <f t="shared" si="68"/>
        <v/>
      </c>
      <c r="T94" s="10" t="str">
        <f t="shared" si="69"/>
        <v/>
      </c>
      <c r="V94" s="10" t="str">
        <f t="shared" si="54"/>
        <v/>
      </c>
      <c r="W94" s="10" t="str">
        <f t="shared" si="70"/>
        <v/>
      </c>
      <c r="Y94" s="10" t="str">
        <f t="shared" si="55"/>
        <v/>
      </c>
      <c r="Z94" s="10" t="str">
        <f t="shared" si="71"/>
        <v/>
      </c>
      <c r="AB94" s="10" t="str">
        <f t="shared" si="56"/>
        <v/>
      </c>
      <c r="AC94" s="10" t="str">
        <f t="shared" si="51"/>
        <v/>
      </c>
      <c r="AE94" s="10" t="str">
        <f t="shared" si="57"/>
        <v/>
      </c>
      <c r="AF94" s="10" t="str">
        <f t="shared" si="72"/>
        <v/>
      </c>
      <c r="AH94" s="10" t="str">
        <f t="shared" si="58"/>
        <v/>
      </c>
      <c r="AI94" s="10" t="str">
        <f t="shared" si="73"/>
        <v/>
      </c>
      <c r="AK94" s="10" t="str">
        <f t="shared" si="59"/>
        <v/>
      </c>
      <c r="AL94" s="10" t="str">
        <f t="shared" si="74"/>
        <v/>
      </c>
      <c r="AN94" s="188" t="str">
        <f t="shared" si="60"/>
        <v/>
      </c>
      <c r="AO94" s="10" t="str">
        <f t="shared" si="75"/>
        <v/>
      </c>
      <c r="AQ94" s="10" t="str">
        <f t="shared" si="61"/>
        <v/>
      </c>
      <c r="AR94" s="10" t="str">
        <f t="shared" si="76"/>
        <v/>
      </c>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V94" s="10" t="str">
        <f t="shared" si="62"/>
        <v/>
      </c>
      <c r="AW94" s="10" t="str">
        <f t="shared" si="77"/>
        <v/>
      </c>
      <c r="AY94" s="7" t="s">
        <v>127</v>
      </c>
      <c r="BA94" s="11" t="str">
        <f t="shared" si="63"/>
        <v/>
      </c>
      <c r="BB94" s="10" t="str">
        <f t="shared" si="78"/>
        <v/>
      </c>
      <c r="BD94" s="10" t="str">
        <f t="shared" si="64"/>
        <v/>
      </c>
      <c r="BE94" s="10" t="str">
        <f t="shared" si="79"/>
        <v/>
      </c>
      <c r="BG94" s="11" t="str">
        <f t="shared" si="65"/>
        <v/>
      </c>
      <c r="BH94" s="10" t="str">
        <f t="shared" si="80"/>
        <v/>
      </c>
      <c r="BJ94" s="7" t="str">
        <f t="shared" si="81"/>
        <v/>
      </c>
      <c r="BK94" s="158" t="str">
        <f t="shared" si="82"/>
        <v/>
      </c>
      <c r="BL94" s="158" t="str">
        <f t="shared" si="66"/>
        <v/>
      </c>
      <c r="BM94" s="10"/>
      <c r="BN94" s="10" t="str">
        <f t="shared" si="83"/>
        <v/>
      </c>
      <c r="BO94" s="10" t="str">
        <f t="shared" si="84"/>
        <v/>
      </c>
      <c r="BQ94" s="10" t="str">
        <f t="shared" si="67"/>
        <v/>
      </c>
      <c r="BR94" s="10" t="str">
        <f t="shared" si="85"/>
        <v/>
      </c>
    </row>
    <row r="95" spans="4:70" ht="15" x14ac:dyDescent="0.15">
      <c r="D95" s="462"/>
      <c r="F95" s="93"/>
      <c r="I95" s="38">
        <f t="shared" si="86"/>
        <v>2110</v>
      </c>
      <c r="J95" s="39"/>
      <c r="K95" s="39">
        <f t="shared" si="87"/>
        <v>81</v>
      </c>
      <c r="L95" s="39"/>
      <c r="M95" s="40">
        <f t="shared" si="52"/>
        <v>9.1239899636133173E-2</v>
      </c>
      <c r="N95" s="39"/>
      <c r="O95" s="72" t="str">
        <f t="shared" si="88"/>
        <v/>
      </c>
      <c r="P95" s="41" t="str">
        <f t="shared" si="53"/>
        <v/>
      </c>
      <c r="Q95" s="39"/>
      <c r="R95" s="72" t="str">
        <f t="shared" si="68"/>
        <v/>
      </c>
      <c r="S95" s="39"/>
      <c r="T95" s="72" t="str">
        <f t="shared" si="69"/>
        <v/>
      </c>
      <c r="U95" s="39"/>
      <c r="V95" s="72" t="str">
        <f t="shared" si="54"/>
        <v/>
      </c>
      <c r="W95" s="72" t="str">
        <f t="shared" si="70"/>
        <v/>
      </c>
      <c r="X95" s="39"/>
      <c r="Y95" s="72" t="str">
        <f t="shared" si="55"/>
        <v/>
      </c>
      <c r="Z95" s="72" t="str">
        <f t="shared" si="71"/>
        <v/>
      </c>
      <c r="AA95" s="39"/>
      <c r="AB95" s="72" t="str">
        <f t="shared" si="56"/>
        <v/>
      </c>
      <c r="AC95" s="72" t="str">
        <f t="shared" si="51"/>
        <v/>
      </c>
      <c r="AD95" s="39"/>
      <c r="AE95" s="72" t="str">
        <f t="shared" si="57"/>
        <v/>
      </c>
      <c r="AF95" s="72" t="str">
        <f t="shared" si="72"/>
        <v/>
      </c>
      <c r="AG95" s="39"/>
      <c r="AH95" s="72" t="str">
        <f t="shared" si="58"/>
        <v/>
      </c>
      <c r="AI95" s="72" t="str">
        <f t="shared" si="73"/>
        <v/>
      </c>
      <c r="AJ95" s="39"/>
      <c r="AK95" s="72" t="str">
        <f t="shared" si="59"/>
        <v/>
      </c>
      <c r="AL95" s="72" t="str">
        <f t="shared" si="74"/>
        <v/>
      </c>
      <c r="AM95" s="39"/>
      <c r="AN95" s="72" t="str">
        <f t="shared" si="60"/>
        <v/>
      </c>
      <c r="AO95" s="72" t="str">
        <f t="shared" si="75"/>
        <v/>
      </c>
      <c r="AP95" s="39"/>
      <c r="AQ95" s="72" t="str">
        <f t="shared" si="61"/>
        <v/>
      </c>
      <c r="AR95" s="72" t="str">
        <f t="shared" si="76"/>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62"/>
        <v/>
      </c>
      <c r="AW95" s="72" t="str">
        <f t="shared" si="77"/>
        <v/>
      </c>
      <c r="AX95" s="39"/>
      <c r="AY95" s="40" t="s">
        <v>127</v>
      </c>
      <c r="AZ95" s="39"/>
      <c r="BA95" s="42" t="str">
        <f t="shared" si="63"/>
        <v/>
      </c>
      <c r="BB95" s="72" t="str">
        <f t="shared" si="78"/>
        <v/>
      </c>
      <c r="BC95" s="39"/>
      <c r="BD95" s="72" t="str">
        <f t="shared" si="64"/>
        <v/>
      </c>
      <c r="BE95" s="72" t="str">
        <f t="shared" si="79"/>
        <v/>
      </c>
      <c r="BF95" s="39"/>
      <c r="BG95" s="42" t="str">
        <f t="shared" si="65"/>
        <v/>
      </c>
      <c r="BH95" s="72" t="str">
        <f t="shared" si="80"/>
        <v/>
      </c>
      <c r="BI95" s="39"/>
      <c r="BJ95" s="40" t="str">
        <f t="shared" si="81"/>
        <v/>
      </c>
      <c r="BK95" s="157" t="str">
        <f t="shared" si="82"/>
        <v/>
      </c>
      <c r="BL95" s="157" t="str">
        <f t="shared" si="66"/>
        <v/>
      </c>
      <c r="BM95" s="72"/>
      <c r="BN95" s="72" t="str">
        <f t="shared" si="83"/>
        <v/>
      </c>
      <c r="BO95" s="72" t="str">
        <f t="shared" si="84"/>
        <v/>
      </c>
      <c r="BP95" s="39"/>
      <c r="BQ95" s="72" t="str">
        <f t="shared" si="67"/>
        <v/>
      </c>
      <c r="BR95" s="72" t="str">
        <f t="shared" si="85"/>
        <v/>
      </c>
    </row>
    <row r="96" spans="4:70" ht="15" x14ac:dyDescent="0.15">
      <c r="D96" s="462"/>
      <c r="E96" s="9" t="s">
        <v>198</v>
      </c>
      <c r="F96" s="91">
        <f>IF(F3&lt;&gt;"原子力",AW116/$BR$116,0)</f>
        <v>0</v>
      </c>
      <c r="G96" s="9" t="s">
        <v>132</v>
      </c>
      <c r="I96" s="322">
        <f t="shared" si="86"/>
        <v>2111</v>
      </c>
      <c r="K96" s="71">
        <f t="shared" si="87"/>
        <v>82</v>
      </c>
      <c r="M96" s="7">
        <f t="shared" si="52"/>
        <v>8.8582426831197242E-2</v>
      </c>
      <c r="O96" s="10" t="str">
        <f t="shared" si="88"/>
        <v/>
      </c>
      <c r="P96" s="29" t="str">
        <f t="shared" si="53"/>
        <v/>
      </c>
      <c r="R96" s="10" t="str">
        <f t="shared" si="68"/>
        <v/>
      </c>
      <c r="T96" s="10" t="str">
        <f t="shared" si="69"/>
        <v/>
      </c>
      <c r="V96" s="10" t="str">
        <f t="shared" si="54"/>
        <v/>
      </c>
      <c r="W96" s="10" t="str">
        <f t="shared" si="70"/>
        <v/>
      </c>
      <c r="Y96" s="10" t="str">
        <f t="shared" si="55"/>
        <v/>
      </c>
      <c r="Z96" s="10" t="str">
        <f t="shared" si="71"/>
        <v/>
      </c>
      <c r="AB96" s="10" t="str">
        <f t="shared" si="56"/>
        <v/>
      </c>
      <c r="AC96" s="10" t="str">
        <f t="shared" si="51"/>
        <v/>
      </c>
      <c r="AE96" s="10" t="str">
        <f t="shared" si="57"/>
        <v/>
      </c>
      <c r="AF96" s="10" t="str">
        <f t="shared" si="72"/>
        <v/>
      </c>
      <c r="AH96" s="10" t="str">
        <f t="shared" si="58"/>
        <v/>
      </c>
      <c r="AI96" s="10" t="str">
        <f t="shared" si="73"/>
        <v/>
      </c>
      <c r="AK96" s="10" t="str">
        <f t="shared" si="59"/>
        <v/>
      </c>
      <c r="AL96" s="10" t="str">
        <f t="shared" si="74"/>
        <v/>
      </c>
      <c r="AN96" s="188" t="str">
        <f t="shared" si="60"/>
        <v/>
      </c>
      <c r="AO96" s="10" t="str">
        <f t="shared" si="75"/>
        <v/>
      </c>
      <c r="AQ96" s="10" t="str">
        <f t="shared" si="61"/>
        <v/>
      </c>
      <c r="AR96" s="10" t="str">
        <f t="shared" si="76"/>
        <v/>
      </c>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V96" s="10" t="str">
        <f t="shared" si="62"/>
        <v/>
      </c>
      <c r="AW96" s="10" t="str">
        <f t="shared" si="77"/>
        <v/>
      </c>
      <c r="AY96" s="7" t="s">
        <v>127</v>
      </c>
      <c r="BA96" s="11" t="str">
        <f t="shared" si="63"/>
        <v/>
      </c>
      <c r="BB96" s="10" t="str">
        <f t="shared" si="78"/>
        <v/>
      </c>
      <c r="BD96" s="10" t="str">
        <f t="shared" si="64"/>
        <v/>
      </c>
      <c r="BE96" s="10" t="str">
        <f t="shared" si="79"/>
        <v/>
      </c>
      <c r="BG96" s="11" t="str">
        <f t="shared" si="65"/>
        <v/>
      </c>
      <c r="BH96" s="10" t="str">
        <f t="shared" si="80"/>
        <v/>
      </c>
      <c r="BJ96" s="7" t="str">
        <f t="shared" si="81"/>
        <v/>
      </c>
      <c r="BK96" s="158" t="str">
        <f t="shared" si="82"/>
        <v/>
      </c>
      <c r="BL96" s="158" t="str">
        <f t="shared" si="66"/>
        <v/>
      </c>
      <c r="BM96" s="10"/>
      <c r="BN96" s="10" t="str">
        <f t="shared" si="83"/>
        <v/>
      </c>
      <c r="BO96" s="10" t="str">
        <f t="shared" si="84"/>
        <v/>
      </c>
      <c r="BQ96" s="10" t="str">
        <f t="shared" si="67"/>
        <v/>
      </c>
      <c r="BR96" s="10" t="str">
        <f t="shared" si="85"/>
        <v/>
      </c>
    </row>
    <row r="97" spans="4:70" ht="15" x14ac:dyDescent="0.15">
      <c r="D97" s="462"/>
      <c r="E97" s="9" t="s">
        <v>199</v>
      </c>
      <c r="F97" s="198">
        <f>IF(F3="原子力",'表5）核燃料サイクル費用'!B30,0)</f>
        <v>1.679029170797159</v>
      </c>
      <c r="G97" s="9" t="s">
        <v>132</v>
      </c>
      <c r="I97" s="38">
        <f t="shared" si="86"/>
        <v>2112</v>
      </c>
      <c r="J97" s="39"/>
      <c r="K97" s="39">
        <f t="shared" si="87"/>
        <v>83</v>
      </c>
      <c r="L97" s="39"/>
      <c r="M97" s="40">
        <f t="shared" si="52"/>
        <v>8.6002356146793454E-2</v>
      </c>
      <c r="N97" s="39"/>
      <c r="O97" s="72" t="str">
        <f t="shared" si="88"/>
        <v/>
      </c>
      <c r="P97" s="41" t="str">
        <f t="shared" si="53"/>
        <v/>
      </c>
      <c r="Q97" s="39"/>
      <c r="R97" s="72" t="str">
        <f t="shared" si="68"/>
        <v/>
      </c>
      <c r="S97" s="39"/>
      <c r="T97" s="72" t="str">
        <f t="shared" si="69"/>
        <v/>
      </c>
      <c r="U97" s="39"/>
      <c r="V97" s="72" t="str">
        <f t="shared" si="54"/>
        <v/>
      </c>
      <c r="W97" s="72" t="str">
        <f t="shared" si="70"/>
        <v/>
      </c>
      <c r="X97" s="39"/>
      <c r="Y97" s="72" t="str">
        <f t="shared" si="55"/>
        <v/>
      </c>
      <c r="Z97" s="72" t="str">
        <f t="shared" si="71"/>
        <v/>
      </c>
      <c r="AA97" s="39"/>
      <c r="AB97" s="72" t="str">
        <f t="shared" si="56"/>
        <v/>
      </c>
      <c r="AC97" s="72" t="str">
        <f t="shared" si="51"/>
        <v/>
      </c>
      <c r="AD97" s="39"/>
      <c r="AE97" s="72" t="str">
        <f t="shared" si="57"/>
        <v/>
      </c>
      <c r="AF97" s="72" t="str">
        <f t="shared" si="72"/>
        <v/>
      </c>
      <c r="AG97" s="39"/>
      <c r="AH97" s="72" t="str">
        <f t="shared" si="58"/>
        <v/>
      </c>
      <c r="AI97" s="72" t="str">
        <f t="shared" si="73"/>
        <v/>
      </c>
      <c r="AJ97" s="39"/>
      <c r="AK97" s="72" t="str">
        <f t="shared" si="59"/>
        <v/>
      </c>
      <c r="AL97" s="72" t="str">
        <f t="shared" si="74"/>
        <v/>
      </c>
      <c r="AM97" s="39"/>
      <c r="AN97" s="72" t="str">
        <f t="shared" si="60"/>
        <v/>
      </c>
      <c r="AO97" s="72" t="str">
        <f t="shared" si="75"/>
        <v/>
      </c>
      <c r="AP97" s="39"/>
      <c r="AQ97" s="72" t="str">
        <f t="shared" si="61"/>
        <v/>
      </c>
      <c r="AR97" s="72" t="str">
        <f t="shared" si="76"/>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62"/>
        <v/>
      </c>
      <c r="AW97" s="72" t="str">
        <f t="shared" si="77"/>
        <v/>
      </c>
      <c r="AX97" s="39"/>
      <c r="AY97" s="40" t="s">
        <v>127</v>
      </c>
      <c r="AZ97" s="39"/>
      <c r="BA97" s="42" t="str">
        <f t="shared" si="63"/>
        <v/>
      </c>
      <c r="BB97" s="72" t="str">
        <f t="shared" si="78"/>
        <v/>
      </c>
      <c r="BC97" s="39"/>
      <c r="BD97" s="72" t="str">
        <f t="shared" si="64"/>
        <v/>
      </c>
      <c r="BE97" s="72" t="str">
        <f t="shared" si="79"/>
        <v/>
      </c>
      <c r="BF97" s="39"/>
      <c r="BG97" s="42" t="str">
        <f t="shared" si="65"/>
        <v/>
      </c>
      <c r="BH97" s="72" t="str">
        <f t="shared" si="80"/>
        <v/>
      </c>
      <c r="BI97" s="39"/>
      <c r="BJ97" s="40" t="str">
        <f t="shared" si="81"/>
        <v/>
      </c>
      <c r="BK97" s="157" t="str">
        <f t="shared" si="82"/>
        <v/>
      </c>
      <c r="BL97" s="157" t="str">
        <f t="shared" si="66"/>
        <v/>
      </c>
      <c r="BM97" s="72"/>
      <c r="BN97" s="72" t="str">
        <f t="shared" si="83"/>
        <v/>
      </c>
      <c r="BO97" s="72" t="str">
        <f t="shared" si="84"/>
        <v/>
      </c>
      <c r="BP97" s="39"/>
      <c r="BQ97" s="72" t="str">
        <f t="shared" si="67"/>
        <v/>
      </c>
      <c r="BR97" s="72" t="str">
        <f t="shared" si="85"/>
        <v/>
      </c>
    </row>
    <row r="98" spans="4:70" x14ac:dyDescent="0.15">
      <c r="F98" s="93"/>
      <c r="I98" s="322">
        <f t="shared" si="86"/>
        <v>2113</v>
      </c>
      <c r="K98" s="71">
        <f t="shared" si="87"/>
        <v>84</v>
      </c>
      <c r="M98" s="7">
        <f t="shared" si="52"/>
        <v>8.3497433152226644E-2</v>
      </c>
      <c r="O98" s="10" t="str">
        <f t="shared" si="88"/>
        <v/>
      </c>
      <c r="P98" s="29" t="str">
        <f t="shared" si="53"/>
        <v/>
      </c>
      <c r="R98" s="10" t="str">
        <f t="shared" si="68"/>
        <v/>
      </c>
      <c r="T98" s="10" t="str">
        <f t="shared" si="69"/>
        <v/>
      </c>
      <c r="V98" s="10" t="str">
        <f t="shared" si="54"/>
        <v/>
      </c>
      <c r="W98" s="10" t="str">
        <f t="shared" si="70"/>
        <v/>
      </c>
      <c r="Y98" s="10" t="str">
        <f t="shared" si="55"/>
        <v/>
      </c>
      <c r="Z98" s="10" t="str">
        <f t="shared" si="71"/>
        <v/>
      </c>
      <c r="AB98" s="10" t="str">
        <f t="shared" si="56"/>
        <v/>
      </c>
      <c r="AC98" s="10" t="str">
        <f t="shared" si="51"/>
        <v/>
      </c>
      <c r="AE98" s="10" t="str">
        <f t="shared" si="57"/>
        <v/>
      </c>
      <c r="AF98" s="10" t="str">
        <f t="shared" si="72"/>
        <v/>
      </c>
      <c r="AH98" s="10" t="str">
        <f t="shared" si="58"/>
        <v/>
      </c>
      <c r="AI98" s="10" t="str">
        <f t="shared" si="73"/>
        <v/>
      </c>
      <c r="AK98" s="10" t="str">
        <f t="shared" si="59"/>
        <v/>
      </c>
      <c r="AL98" s="10" t="str">
        <f t="shared" si="74"/>
        <v/>
      </c>
      <c r="AN98" s="188" t="str">
        <f t="shared" si="60"/>
        <v/>
      </c>
      <c r="AO98" s="10" t="str">
        <f t="shared" si="75"/>
        <v/>
      </c>
      <c r="AQ98" s="10" t="str">
        <f t="shared" si="61"/>
        <v/>
      </c>
      <c r="AR98" s="10" t="str">
        <f t="shared" si="76"/>
        <v/>
      </c>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V98" s="10" t="str">
        <f t="shared" si="62"/>
        <v/>
      </c>
      <c r="AW98" s="10" t="str">
        <f t="shared" si="77"/>
        <v/>
      </c>
      <c r="AY98" s="7" t="s">
        <v>127</v>
      </c>
      <c r="BA98" s="11" t="str">
        <f t="shared" si="63"/>
        <v/>
      </c>
      <c r="BB98" s="10" t="str">
        <f t="shared" si="78"/>
        <v/>
      </c>
      <c r="BD98" s="10" t="str">
        <f t="shared" si="64"/>
        <v/>
      </c>
      <c r="BE98" s="10" t="str">
        <f t="shared" si="79"/>
        <v/>
      </c>
      <c r="BG98" s="11" t="str">
        <f t="shared" si="65"/>
        <v/>
      </c>
      <c r="BH98" s="10" t="str">
        <f t="shared" si="80"/>
        <v/>
      </c>
      <c r="BJ98" s="7" t="str">
        <f t="shared" si="81"/>
        <v/>
      </c>
      <c r="BK98" s="158" t="str">
        <f t="shared" si="82"/>
        <v/>
      </c>
      <c r="BL98" s="158" t="str">
        <f t="shared" si="66"/>
        <v/>
      </c>
      <c r="BM98" s="10"/>
      <c r="BN98" s="10" t="str">
        <f t="shared" si="83"/>
        <v/>
      </c>
      <c r="BO98" s="10" t="str">
        <f t="shared" si="84"/>
        <v/>
      </c>
      <c r="BQ98" s="10" t="str">
        <f t="shared" si="67"/>
        <v/>
      </c>
      <c r="BR98" s="10" t="str">
        <f t="shared" si="85"/>
        <v/>
      </c>
    </row>
    <row r="99" spans="4:70" ht="15" x14ac:dyDescent="0.15">
      <c r="D99" s="462" t="s">
        <v>200</v>
      </c>
      <c r="F99" s="94">
        <f>SUBTOTAL(9,F103:F105)</f>
        <v>2.0649496720301515</v>
      </c>
      <c r="G99" s="9" t="s">
        <v>132</v>
      </c>
      <c r="I99" s="38">
        <f t="shared" si="86"/>
        <v>2114</v>
      </c>
      <c r="J99" s="39"/>
      <c r="K99" s="39">
        <f t="shared" si="87"/>
        <v>85</v>
      </c>
      <c r="L99" s="39"/>
      <c r="M99" s="40">
        <f t="shared" si="52"/>
        <v>8.1065469079831712E-2</v>
      </c>
      <c r="N99" s="39"/>
      <c r="O99" s="72" t="str">
        <f t="shared" si="88"/>
        <v/>
      </c>
      <c r="P99" s="41" t="str">
        <f t="shared" si="53"/>
        <v/>
      </c>
      <c r="Q99" s="39"/>
      <c r="R99" s="72" t="str">
        <f t="shared" si="68"/>
        <v/>
      </c>
      <c r="S99" s="39"/>
      <c r="T99" s="72" t="str">
        <f t="shared" si="69"/>
        <v/>
      </c>
      <c r="U99" s="39"/>
      <c r="V99" s="72" t="str">
        <f t="shared" si="54"/>
        <v/>
      </c>
      <c r="W99" s="72" t="str">
        <f t="shared" si="70"/>
        <v/>
      </c>
      <c r="X99" s="39"/>
      <c r="Y99" s="72" t="str">
        <f t="shared" si="55"/>
        <v/>
      </c>
      <c r="Z99" s="72" t="str">
        <f t="shared" si="71"/>
        <v/>
      </c>
      <c r="AA99" s="39"/>
      <c r="AB99" s="72" t="str">
        <f t="shared" si="56"/>
        <v/>
      </c>
      <c r="AC99" s="72" t="str">
        <f t="shared" si="51"/>
        <v/>
      </c>
      <c r="AD99" s="39"/>
      <c r="AE99" s="72" t="str">
        <f t="shared" si="57"/>
        <v/>
      </c>
      <c r="AF99" s="72" t="str">
        <f t="shared" si="72"/>
        <v/>
      </c>
      <c r="AG99" s="39"/>
      <c r="AH99" s="72" t="str">
        <f t="shared" si="58"/>
        <v/>
      </c>
      <c r="AI99" s="72" t="str">
        <f t="shared" si="73"/>
        <v/>
      </c>
      <c r="AJ99" s="39"/>
      <c r="AK99" s="72" t="str">
        <f t="shared" si="59"/>
        <v/>
      </c>
      <c r="AL99" s="72" t="str">
        <f t="shared" si="74"/>
        <v/>
      </c>
      <c r="AM99" s="39"/>
      <c r="AN99" s="72" t="str">
        <f t="shared" si="60"/>
        <v/>
      </c>
      <c r="AO99" s="72" t="str">
        <f t="shared" si="75"/>
        <v/>
      </c>
      <c r="AP99" s="39"/>
      <c r="AQ99" s="72" t="str">
        <f t="shared" si="61"/>
        <v/>
      </c>
      <c r="AR99" s="72" t="str">
        <f t="shared" si="76"/>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62"/>
        <v/>
      </c>
      <c r="AW99" s="72" t="str">
        <f t="shared" si="77"/>
        <v/>
      </c>
      <c r="AX99" s="39"/>
      <c r="AY99" s="40" t="s">
        <v>127</v>
      </c>
      <c r="AZ99" s="39"/>
      <c r="BA99" s="42" t="str">
        <f t="shared" si="63"/>
        <v/>
      </c>
      <c r="BB99" s="72" t="str">
        <f t="shared" si="78"/>
        <v/>
      </c>
      <c r="BC99" s="39"/>
      <c r="BD99" s="72" t="str">
        <f t="shared" si="64"/>
        <v/>
      </c>
      <c r="BE99" s="72" t="str">
        <f t="shared" si="79"/>
        <v/>
      </c>
      <c r="BF99" s="39"/>
      <c r="BG99" s="42" t="str">
        <f t="shared" si="65"/>
        <v/>
      </c>
      <c r="BH99" s="72" t="str">
        <f t="shared" si="80"/>
        <v/>
      </c>
      <c r="BI99" s="39"/>
      <c r="BJ99" s="40" t="str">
        <f t="shared" si="81"/>
        <v/>
      </c>
      <c r="BK99" s="157" t="str">
        <f t="shared" si="82"/>
        <v/>
      </c>
      <c r="BL99" s="157" t="str">
        <f t="shared" si="66"/>
        <v/>
      </c>
      <c r="BM99" s="72"/>
      <c r="BN99" s="72" t="str">
        <f t="shared" si="83"/>
        <v/>
      </c>
      <c r="BO99" s="72" t="str">
        <f t="shared" si="84"/>
        <v/>
      </c>
      <c r="BP99" s="39"/>
      <c r="BQ99" s="72" t="str">
        <f t="shared" si="67"/>
        <v/>
      </c>
      <c r="BR99" s="72" t="str">
        <f t="shared" si="85"/>
        <v/>
      </c>
    </row>
    <row r="100" spans="4:70" x14ac:dyDescent="0.15">
      <c r="F100" s="93"/>
      <c r="I100" s="322">
        <f t="shared" si="86"/>
        <v>2115</v>
      </c>
      <c r="K100" s="71">
        <f t="shared" si="87"/>
        <v>86</v>
      </c>
      <c r="M100" s="7">
        <f t="shared" si="52"/>
        <v>7.8704338912457969E-2</v>
      </c>
      <c r="O100" s="10" t="str">
        <f t="shared" si="88"/>
        <v/>
      </c>
      <c r="P100" s="29" t="str">
        <f t="shared" si="53"/>
        <v/>
      </c>
      <c r="R100" s="10" t="str">
        <f t="shared" si="68"/>
        <v/>
      </c>
      <c r="T100" s="10" t="str">
        <f t="shared" si="69"/>
        <v/>
      </c>
      <c r="V100" s="10" t="str">
        <f t="shared" si="54"/>
        <v/>
      </c>
      <c r="W100" s="10" t="str">
        <f t="shared" si="70"/>
        <v/>
      </c>
      <c r="Y100" s="10" t="str">
        <f t="shared" si="55"/>
        <v/>
      </c>
      <c r="Z100" s="10" t="str">
        <f t="shared" si="71"/>
        <v/>
      </c>
      <c r="AB100" s="10" t="str">
        <f t="shared" si="56"/>
        <v/>
      </c>
      <c r="AC100" s="10" t="str">
        <f t="shared" si="51"/>
        <v/>
      </c>
      <c r="AE100" s="10" t="str">
        <f t="shared" si="57"/>
        <v/>
      </c>
      <c r="AF100" s="10" t="str">
        <f t="shared" si="72"/>
        <v/>
      </c>
      <c r="AH100" s="10" t="str">
        <f t="shared" si="58"/>
        <v/>
      </c>
      <c r="AI100" s="10" t="str">
        <f t="shared" si="73"/>
        <v/>
      </c>
      <c r="AK100" s="10" t="str">
        <f t="shared" si="59"/>
        <v/>
      </c>
      <c r="AL100" s="10" t="str">
        <f t="shared" si="74"/>
        <v/>
      </c>
      <c r="AN100" s="188" t="str">
        <f t="shared" si="60"/>
        <v/>
      </c>
      <c r="AO100" s="10" t="str">
        <f t="shared" si="75"/>
        <v/>
      </c>
      <c r="AQ100" s="10" t="str">
        <f t="shared" si="61"/>
        <v/>
      </c>
      <c r="AR100" s="10" t="str">
        <f t="shared" si="76"/>
        <v/>
      </c>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V100" s="10" t="str">
        <f t="shared" si="62"/>
        <v/>
      </c>
      <c r="AW100" s="10" t="str">
        <f t="shared" si="77"/>
        <v/>
      </c>
      <c r="AY100" s="7" t="s">
        <v>127</v>
      </c>
      <c r="BA100" s="11" t="str">
        <f t="shared" si="63"/>
        <v/>
      </c>
      <c r="BB100" s="10" t="str">
        <f t="shared" si="78"/>
        <v/>
      </c>
      <c r="BD100" s="10" t="str">
        <f t="shared" si="64"/>
        <v/>
      </c>
      <c r="BE100" s="10" t="str">
        <f t="shared" si="79"/>
        <v/>
      </c>
      <c r="BG100" s="11" t="str">
        <f t="shared" si="65"/>
        <v/>
      </c>
      <c r="BH100" s="10" t="str">
        <f t="shared" si="80"/>
        <v/>
      </c>
      <c r="BJ100" s="7" t="str">
        <f t="shared" si="81"/>
        <v/>
      </c>
      <c r="BK100" s="158" t="str">
        <f t="shared" si="82"/>
        <v/>
      </c>
      <c r="BL100" s="158" t="str">
        <f t="shared" si="66"/>
        <v/>
      </c>
      <c r="BM100" s="10"/>
      <c r="BN100" s="10" t="str">
        <f t="shared" si="83"/>
        <v/>
      </c>
      <c r="BO100" s="10" t="str">
        <f t="shared" si="84"/>
        <v/>
      </c>
      <c r="BQ100" s="10" t="str">
        <f t="shared" si="67"/>
        <v/>
      </c>
      <c r="BR100" s="10" t="str">
        <f t="shared" si="85"/>
        <v/>
      </c>
    </row>
    <row r="101" spans="4:70" x14ac:dyDescent="0.15">
      <c r="D101" s="89" t="s">
        <v>201</v>
      </c>
      <c r="E101" s="89"/>
      <c r="F101" s="92"/>
      <c r="G101" s="89"/>
      <c r="I101" s="38">
        <f t="shared" si="86"/>
        <v>2116</v>
      </c>
      <c r="J101" s="39"/>
      <c r="K101" s="39">
        <f t="shared" si="87"/>
        <v>87</v>
      </c>
      <c r="L101" s="39"/>
      <c r="M101" s="40">
        <f t="shared" si="52"/>
        <v>7.6411979526658208E-2</v>
      </c>
      <c r="N101" s="39"/>
      <c r="O101" s="72" t="str">
        <f t="shared" si="88"/>
        <v/>
      </c>
      <c r="P101" s="41" t="str">
        <f t="shared" si="53"/>
        <v/>
      </c>
      <c r="Q101" s="39"/>
      <c r="R101" s="72" t="str">
        <f t="shared" si="68"/>
        <v/>
      </c>
      <c r="S101" s="39"/>
      <c r="T101" s="72" t="str">
        <f t="shared" si="69"/>
        <v/>
      </c>
      <c r="U101" s="39"/>
      <c r="V101" s="72" t="str">
        <f t="shared" si="54"/>
        <v/>
      </c>
      <c r="W101" s="72" t="str">
        <f t="shared" si="70"/>
        <v/>
      </c>
      <c r="X101" s="39"/>
      <c r="Y101" s="72" t="str">
        <f t="shared" si="55"/>
        <v/>
      </c>
      <c r="Z101" s="72" t="str">
        <f t="shared" si="71"/>
        <v/>
      </c>
      <c r="AA101" s="39"/>
      <c r="AB101" s="72" t="str">
        <f t="shared" si="56"/>
        <v/>
      </c>
      <c r="AC101" s="72" t="str">
        <f t="shared" si="51"/>
        <v/>
      </c>
      <c r="AD101" s="39"/>
      <c r="AE101" s="72" t="str">
        <f t="shared" si="57"/>
        <v/>
      </c>
      <c r="AF101" s="72" t="str">
        <f t="shared" si="72"/>
        <v/>
      </c>
      <c r="AG101" s="39"/>
      <c r="AH101" s="72" t="str">
        <f t="shared" si="58"/>
        <v/>
      </c>
      <c r="AI101" s="72" t="str">
        <f t="shared" si="73"/>
        <v/>
      </c>
      <c r="AJ101" s="39"/>
      <c r="AK101" s="72" t="str">
        <f t="shared" si="59"/>
        <v/>
      </c>
      <c r="AL101" s="72" t="str">
        <f t="shared" si="74"/>
        <v/>
      </c>
      <c r="AM101" s="39"/>
      <c r="AN101" s="72" t="str">
        <f t="shared" si="60"/>
        <v/>
      </c>
      <c r="AO101" s="72" t="str">
        <f t="shared" si="75"/>
        <v/>
      </c>
      <c r="AP101" s="39"/>
      <c r="AQ101" s="72" t="str">
        <f t="shared" si="61"/>
        <v/>
      </c>
      <c r="AR101" s="72" t="str">
        <f t="shared" si="76"/>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62"/>
        <v/>
      </c>
      <c r="AW101" s="72" t="str">
        <f t="shared" si="77"/>
        <v/>
      </c>
      <c r="AX101" s="39"/>
      <c r="AY101" s="40" t="s">
        <v>127</v>
      </c>
      <c r="AZ101" s="39"/>
      <c r="BA101" s="42" t="str">
        <f t="shared" si="63"/>
        <v/>
      </c>
      <c r="BB101" s="72" t="str">
        <f t="shared" si="78"/>
        <v/>
      </c>
      <c r="BC101" s="39"/>
      <c r="BD101" s="72" t="str">
        <f t="shared" si="64"/>
        <v/>
      </c>
      <c r="BE101" s="72" t="str">
        <f t="shared" si="79"/>
        <v/>
      </c>
      <c r="BF101" s="39"/>
      <c r="BG101" s="42" t="str">
        <f t="shared" si="65"/>
        <v/>
      </c>
      <c r="BH101" s="72" t="str">
        <f t="shared" si="80"/>
        <v/>
      </c>
      <c r="BI101" s="39"/>
      <c r="BJ101" s="40" t="str">
        <f t="shared" si="81"/>
        <v/>
      </c>
      <c r="BK101" s="157" t="str">
        <f t="shared" si="82"/>
        <v/>
      </c>
      <c r="BL101" s="157" t="str">
        <f t="shared" si="66"/>
        <v/>
      </c>
      <c r="BM101" s="72"/>
      <c r="BN101" s="72" t="str">
        <f t="shared" si="83"/>
        <v/>
      </c>
      <c r="BO101" s="72" t="str">
        <f t="shared" si="84"/>
        <v/>
      </c>
      <c r="BP101" s="39"/>
      <c r="BQ101" s="72" t="str">
        <f t="shared" si="67"/>
        <v/>
      </c>
      <c r="BR101" s="72" t="str">
        <f t="shared" si="85"/>
        <v/>
      </c>
    </row>
    <row r="102" spans="4:70" x14ac:dyDescent="0.15">
      <c r="F102" s="93"/>
      <c r="I102" s="322">
        <f t="shared" si="86"/>
        <v>2117</v>
      </c>
      <c r="K102" s="71">
        <f t="shared" si="87"/>
        <v>88</v>
      </c>
      <c r="M102" s="7">
        <f t="shared" si="52"/>
        <v>7.4186387889959446E-2</v>
      </c>
      <c r="O102" s="10" t="str">
        <f t="shared" si="88"/>
        <v/>
      </c>
      <c r="P102" s="29" t="str">
        <f t="shared" si="53"/>
        <v/>
      </c>
      <c r="R102" s="10" t="str">
        <f t="shared" si="68"/>
        <v/>
      </c>
      <c r="T102" s="10" t="str">
        <f t="shared" si="69"/>
        <v/>
      </c>
      <c r="V102" s="10" t="str">
        <f t="shared" si="54"/>
        <v/>
      </c>
      <c r="W102" s="10" t="str">
        <f t="shared" si="70"/>
        <v/>
      </c>
      <c r="Y102" s="10" t="str">
        <f t="shared" si="55"/>
        <v/>
      </c>
      <c r="Z102" s="10" t="str">
        <f t="shared" si="71"/>
        <v/>
      </c>
      <c r="AB102" s="10" t="str">
        <f t="shared" si="56"/>
        <v/>
      </c>
      <c r="AC102" s="10" t="str">
        <f t="shared" si="51"/>
        <v/>
      </c>
      <c r="AE102" s="10" t="str">
        <f t="shared" si="57"/>
        <v/>
      </c>
      <c r="AF102" s="10" t="str">
        <f t="shared" si="72"/>
        <v/>
      </c>
      <c r="AH102" s="10" t="str">
        <f t="shared" si="58"/>
        <v/>
      </c>
      <c r="AI102" s="10" t="str">
        <f t="shared" si="73"/>
        <v/>
      </c>
      <c r="AK102" s="10" t="str">
        <f t="shared" si="59"/>
        <v/>
      </c>
      <c r="AL102" s="10" t="str">
        <f t="shared" si="74"/>
        <v/>
      </c>
      <c r="AN102" s="188" t="str">
        <f t="shared" si="60"/>
        <v/>
      </c>
      <c r="AO102" s="10" t="str">
        <f t="shared" si="75"/>
        <v/>
      </c>
      <c r="AQ102" s="10" t="str">
        <f t="shared" si="61"/>
        <v/>
      </c>
      <c r="AR102" s="10" t="str">
        <f t="shared" si="76"/>
        <v/>
      </c>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V102" s="10" t="str">
        <f t="shared" si="62"/>
        <v/>
      </c>
      <c r="AW102" s="10" t="str">
        <f t="shared" si="77"/>
        <v/>
      </c>
      <c r="AY102" s="7" t="s">
        <v>127</v>
      </c>
      <c r="BA102" s="11" t="str">
        <f t="shared" si="63"/>
        <v/>
      </c>
      <c r="BB102" s="10" t="str">
        <f t="shared" si="78"/>
        <v/>
      </c>
      <c r="BD102" s="10" t="str">
        <f t="shared" si="64"/>
        <v/>
      </c>
      <c r="BE102" s="10" t="str">
        <f t="shared" si="79"/>
        <v/>
      </c>
      <c r="BG102" s="11" t="str">
        <f t="shared" si="65"/>
        <v/>
      </c>
      <c r="BH102" s="10" t="str">
        <f t="shared" si="80"/>
        <v/>
      </c>
      <c r="BJ102" s="7" t="str">
        <f t="shared" si="81"/>
        <v/>
      </c>
      <c r="BK102" s="158" t="str">
        <f t="shared" si="82"/>
        <v/>
      </c>
      <c r="BL102" s="158" t="str">
        <f t="shared" si="66"/>
        <v/>
      </c>
      <c r="BM102" s="10"/>
      <c r="BN102" s="10" t="str">
        <f t="shared" si="83"/>
        <v/>
      </c>
      <c r="BO102" s="10" t="str">
        <f t="shared" si="84"/>
        <v/>
      </c>
      <c r="BQ102" s="10" t="str">
        <f t="shared" si="67"/>
        <v/>
      </c>
      <c r="BR102" s="10" t="str">
        <f t="shared" si="85"/>
        <v/>
      </c>
    </row>
    <row r="103" spans="4:70" x14ac:dyDescent="0.15">
      <c r="E103" s="9" t="s">
        <v>202</v>
      </c>
      <c r="F103" s="91">
        <f>BB116/$BR$116</f>
        <v>0</v>
      </c>
      <c r="G103" s="9" t="s">
        <v>132</v>
      </c>
      <c r="I103" s="38">
        <f t="shared" si="86"/>
        <v>2118</v>
      </c>
      <c r="J103" s="39"/>
      <c r="K103" s="39">
        <f t="shared" si="87"/>
        <v>89</v>
      </c>
      <c r="L103" s="39"/>
      <c r="M103" s="40">
        <f t="shared" si="52"/>
        <v>7.2025619310640235E-2</v>
      </c>
      <c r="N103" s="39"/>
      <c r="O103" s="72" t="str">
        <f t="shared" si="88"/>
        <v/>
      </c>
      <c r="P103" s="41" t="str">
        <f t="shared" si="53"/>
        <v/>
      </c>
      <c r="Q103" s="39"/>
      <c r="R103" s="72" t="str">
        <f t="shared" si="68"/>
        <v/>
      </c>
      <c r="S103" s="39"/>
      <c r="T103" s="72" t="str">
        <f t="shared" si="69"/>
        <v/>
      </c>
      <c r="U103" s="39"/>
      <c r="V103" s="72" t="str">
        <f t="shared" si="54"/>
        <v/>
      </c>
      <c r="W103" s="72" t="str">
        <f t="shared" si="70"/>
        <v/>
      </c>
      <c r="X103" s="39"/>
      <c r="Y103" s="72" t="str">
        <f t="shared" si="55"/>
        <v/>
      </c>
      <c r="Z103" s="72" t="str">
        <f t="shared" si="71"/>
        <v/>
      </c>
      <c r="AA103" s="39"/>
      <c r="AB103" s="72" t="str">
        <f t="shared" si="56"/>
        <v/>
      </c>
      <c r="AC103" s="72" t="str">
        <f t="shared" si="51"/>
        <v/>
      </c>
      <c r="AD103" s="39"/>
      <c r="AE103" s="72" t="str">
        <f t="shared" si="57"/>
        <v/>
      </c>
      <c r="AF103" s="72" t="str">
        <f t="shared" si="72"/>
        <v/>
      </c>
      <c r="AG103" s="39"/>
      <c r="AH103" s="72" t="str">
        <f t="shared" si="58"/>
        <v/>
      </c>
      <c r="AI103" s="72" t="str">
        <f t="shared" si="73"/>
        <v/>
      </c>
      <c r="AJ103" s="39"/>
      <c r="AK103" s="72" t="str">
        <f t="shared" si="59"/>
        <v/>
      </c>
      <c r="AL103" s="72" t="str">
        <f t="shared" si="74"/>
        <v/>
      </c>
      <c r="AM103" s="39"/>
      <c r="AN103" s="72" t="str">
        <f t="shared" si="60"/>
        <v/>
      </c>
      <c r="AO103" s="72" t="str">
        <f t="shared" si="75"/>
        <v/>
      </c>
      <c r="AP103" s="39"/>
      <c r="AQ103" s="72" t="str">
        <f t="shared" si="61"/>
        <v/>
      </c>
      <c r="AR103" s="72" t="str">
        <f t="shared" si="76"/>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62"/>
        <v/>
      </c>
      <c r="AW103" s="72" t="str">
        <f t="shared" si="77"/>
        <v/>
      </c>
      <c r="AX103" s="39"/>
      <c r="AY103" s="40" t="s">
        <v>127</v>
      </c>
      <c r="AZ103" s="39"/>
      <c r="BA103" s="42" t="str">
        <f t="shared" si="63"/>
        <v/>
      </c>
      <c r="BB103" s="72" t="str">
        <f t="shared" si="78"/>
        <v/>
      </c>
      <c r="BC103" s="39"/>
      <c r="BD103" s="72" t="str">
        <f t="shared" si="64"/>
        <v/>
      </c>
      <c r="BE103" s="72" t="str">
        <f t="shared" si="79"/>
        <v/>
      </c>
      <c r="BF103" s="39"/>
      <c r="BG103" s="42" t="str">
        <f t="shared" si="65"/>
        <v/>
      </c>
      <c r="BH103" s="72" t="str">
        <f t="shared" si="80"/>
        <v/>
      </c>
      <c r="BI103" s="39"/>
      <c r="BJ103" s="40" t="str">
        <f t="shared" si="81"/>
        <v/>
      </c>
      <c r="BK103" s="157" t="str">
        <f t="shared" si="82"/>
        <v/>
      </c>
      <c r="BL103" s="157" t="str">
        <f t="shared" si="66"/>
        <v/>
      </c>
      <c r="BM103" s="72"/>
      <c r="BN103" s="72" t="str">
        <f t="shared" si="83"/>
        <v/>
      </c>
      <c r="BO103" s="72" t="str">
        <f t="shared" si="84"/>
        <v/>
      </c>
      <c r="BP103" s="39"/>
      <c r="BQ103" s="72" t="str">
        <f t="shared" si="67"/>
        <v/>
      </c>
      <c r="BR103" s="72" t="str">
        <f t="shared" si="85"/>
        <v/>
      </c>
    </row>
    <row r="104" spans="4:70" x14ac:dyDescent="0.15">
      <c r="E104" s="9" t="s">
        <v>203</v>
      </c>
      <c r="F104" s="91">
        <f>(F60/F61)/F62</f>
        <v>0.55494967203015144</v>
      </c>
      <c r="G104" s="9" t="s">
        <v>132</v>
      </c>
      <c r="I104" s="322">
        <f t="shared" si="86"/>
        <v>2119</v>
      </c>
      <c r="K104" s="71">
        <f t="shared" si="87"/>
        <v>90</v>
      </c>
      <c r="M104" s="7">
        <f t="shared" si="52"/>
        <v>6.9927785738485654E-2</v>
      </c>
      <c r="O104" s="10" t="str">
        <f t="shared" si="88"/>
        <v/>
      </c>
      <c r="P104" s="29" t="str">
        <f t="shared" si="53"/>
        <v/>
      </c>
      <c r="R104" s="10" t="str">
        <f t="shared" si="68"/>
        <v/>
      </c>
      <c r="T104" s="10" t="str">
        <f t="shared" si="69"/>
        <v/>
      </c>
      <c r="V104" s="10" t="str">
        <f t="shared" si="54"/>
        <v/>
      </c>
      <c r="W104" s="10" t="str">
        <f t="shared" si="70"/>
        <v/>
      </c>
      <c r="Y104" s="10" t="str">
        <f t="shared" si="55"/>
        <v/>
      </c>
      <c r="Z104" s="10" t="str">
        <f t="shared" si="71"/>
        <v/>
      </c>
      <c r="AB104" s="10" t="str">
        <f t="shared" si="56"/>
        <v/>
      </c>
      <c r="AC104" s="10" t="str">
        <f t="shared" si="51"/>
        <v/>
      </c>
      <c r="AE104" s="10" t="str">
        <f t="shared" si="57"/>
        <v/>
      </c>
      <c r="AF104" s="10" t="str">
        <f t="shared" si="72"/>
        <v/>
      </c>
      <c r="AH104" s="10" t="str">
        <f t="shared" si="58"/>
        <v/>
      </c>
      <c r="AI104" s="10" t="str">
        <f t="shared" si="73"/>
        <v/>
      </c>
      <c r="AK104" s="10" t="str">
        <f t="shared" si="59"/>
        <v/>
      </c>
      <c r="AL104" s="10" t="str">
        <f t="shared" si="74"/>
        <v/>
      </c>
      <c r="AN104" s="188" t="str">
        <f t="shared" si="60"/>
        <v/>
      </c>
      <c r="AO104" s="10" t="str">
        <f t="shared" si="75"/>
        <v/>
      </c>
      <c r="AQ104" s="10" t="str">
        <f t="shared" si="61"/>
        <v/>
      </c>
      <c r="AR104" s="10" t="str">
        <f t="shared" si="76"/>
        <v/>
      </c>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V104" s="10" t="str">
        <f t="shared" si="62"/>
        <v/>
      </c>
      <c r="AW104" s="10" t="str">
        <f t="shared" si="77"/>
        <v/>
      </c>
      <c r="AY104" s="7" t="s">
        <v>127</v>
      </c>
      <c r="BA104" s="11" t="str">
        <f t="shared" si="63"/>
        <v/>
      </c>
      <c r="BB104" s="10" t="str">
        <f t="shared" si="78"/>
        <v/>
      </c>
      <c r="BD104" s="10" t="str">
        <f t="shared" si="64"/>
        <v/>
      </c>
      <c r="BE104" s="10" t="str">
        <f t="shared" si="79"/>
        <v/>
      </c>
      <c r="BG104" s="11" t="str">
        <f t="shared" si="65"/>
        <v/>
      </c>
      <c r="BH104" s="10" t="str">
        <f t="shared" si="80"/>
        <v/>
      </c>
      <c r="BJ104" s="7" t="str">
        <f t="shared" si="81"/>
        <v/>
      </c>
      <c r="BK104" s="158" t="str">
        <f t="shared" si="82"/>
        <v/>
      </c>
      <c r="BL104" s="158" t="str">
        <f t="shared" si="66"/>
        <v/>
      </c>
      <c r="BM104" s="10"/>
      <c r="BN104" s="10" t="str">
        <f t="shared" si="83"/>
        <v/>
      </c>
      <c r="BO104" s="10" t="str">
        <f t="shared" si="84"/>
        <v/>
      </c>
      <c r="BQ104" s="10" t="str">
        <f t="shared" si="67"/>
        <v/>
      </c>
      <c r="BR104" s="10" t="str">
        <f t="shared" si="85"/>
        <v/>
      </c>
    </row>
    <row r="105" spans="4:70" x14ac:dyDescent="0.15">
      <c r="E105" s="9" t="s">
        <v>367</v>
      </c>
      <c r="F105" s="91">
        <f>F64</f>
        <v>1.51</v>
      </c>
      <c r="G105" s="9" t="s">
        <v>132</v>
      </c>
      <c r="I105" s="38">
        <f t="shared" si="86"/>
        <v>2120</v>
      </c>
      <c r="J105" s="39"/>
      <c r="K105" s="39">
        <f t="shared" si="87"/>
        <v>91</v>
      </c>
      <c r="L105" s="39"/>
      <c r="M105" s="40">
        <f t="shared" si="52"/>
        <v>6.7891054115034627E-2</v>
      </c>
      <c r="N105" s="39"/>
      <c r="O105" s="72" t="str">
        <f t="shared" si="88"/>
        <v/>
      </c>
      <c r="P105" s="41" t="str">
        <f t="shared" si="53"/>
        <v/>
      </c>
      <c r="Q105" s="39"/>
      <c r="R105" s="72" t="str">
        <f t="shared" si="68"/>
        <v/>
      </c>
      <c r="S105" s="39"/>
      <c r="T105" s="72" t="str">
        <f t="shared" si="69"/>
        <v/>
      </c>
      <c r="U105" s="39"/>
      <c r="V105" s="72" t="str">
        <f t="shared" si="54"/>
        <v/>
      </c>
      <c r="W105" s="72" t="str">
        <f t="shared" si="70"/>
        <v/>
      </c>
      <c r="X105" s="39"/>
      <c r="Y105" s="72" t="str">
        <f t="shared" si="55"/>
        <v/>
      </c>
      <c r="Z105" s="72" t="str">
        <f t="shared" si="71"/>
        <v/>
      </c>
      <c r="AA105" s="39"/>
      <c r="AB105" s="72" t="str">
        <f t="shared" si="56"/>
        <v/>
      </c>
      <c r="AC105" s="72" t="str">
        <f t="shared" si="51"/>
        <v/>
      </c>
      <c r="AD105" s="39"/>
      <c r="AE105" s="72" t="str">
        <f t="shared" si="57"/>
        <v/>
      </c>
      <c r="AF105" s="72" t="str">
        <f t="shared" si="72"/>
        <v/>
      </c>
      <c r="AG105" s="39"/>
      <c r="AH105" s="72" t="str">
        <f t="shared" si="58"/>
        <v/>
      </c>
      <c r="AI105" s="72" t="str">
        <f t="shared" si="73"/>
        <v/>
      </c>
      <c r="AJ105" s="39"/>
      <c r="AK105" s="72" t="str">
        <f t="shared" si="59"/>
        <v/>
      </c>
      <c r="AL105" s="72" t="str">
        <f t="shared" si="74"/>
        <v/>
      </c>
      <c r="AM105" s="39"/>
      <c r="AN105" s="72" t="str">
        <f t="shared" si="60"/>
        <v/>
      </c>
      <c r="AO105" s="72" t="str">
        <f t="shared" si="75"/>
        <v/>
      </c>
      <c r="AP105" s="39"/>
      <c r="AQ105" s="72" t="str">
        <f t="shared" si="61"/>
        <v/>
      </c>
      <c r="AR105" s="72" t="str">
        <f t="shared" si="76"/>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62"/>
        <v/>
      </c>
      <c r="AW105" s="72" t="str">
        <f t="shared" si="77"/>
        <v/>
      </c>
      <c r="AX105" s="39"/>
      <c r="AY105" s="40" t="s">
        <v>127</v>
      </c>
      <c r="AZ105" s="39"/>
      <c r="BA105" s="42" t="str">
        <f t="shared" si="63"/>
        <v/>
      </c>
      <c r="BB105" s="72" t="str">
        <f t="shared" si="78"/>
        <v/>
      </c>
      <c r="BC105" s="39"/>
      <c r="BD105" s="72" t="str">
        <f t="shared" si="64"/>
        <v/>
      </c>
      <c r="BE105" s="72" t="str">
        <f t="shared" si="79"/>
        <v/>
      </c>
      <c r="BF105" s="39"/>
      <c r="BG105" s="42" t="str">
        <f t="shared" si="65"/>
        <v/>
      </c>
      <c r="BH105" s="72" t="str">
        <f t="shared" si="80"/>
        <v/>
      </c>
      <c r="BI105" s="39"/>
      <c r="BJ105" s="40" t="str">
        <f t="shared" si="81"/>
        <v/>
      </c>
      <c r="BK105" s="157" t="str">
        <f t="shared" si="82"/>
        <v/>
      </c>
      <c r="BL105" s="157" t="str">
        <f t="shared" si="66"/>
        <v/>
      </c>
      <c r="BM105" s="72"/>
      <c r="BN105" s="72" t="str">
        <f t="shared" si="83"/>
        <v/>
      </c>
      <c r="BO105" s="72" t="str">
        <f t="shared" si="84"/>
        <v/>
      </c>
      <c r="BP105" s="39"/>
      <c r="BQ105" s="72" t="str">
        <f t="shared" si="67"/>
        <v/>
      </c>
      <c r="BR105" s="72" t="str">
        <f t="shared" si="85"/>
        <v/>
      </c>
    </row>
    <row r="106" spans="4:70" x14ac:dyDescent="0.15">
      <c r="F106" s="93"/>
      <c r="I106" s="322">
        <f t="shared" si="86"/>
        <v>2121</v>
      </c>
      <c r="K106" s="71">
        <f t="shared" si="87"/>
        <v>92</v>
      </c>
      <c r="M106" s="7">
        <f t="shared" si="52"/>
        <v>6.5913644771878277E-2</v>
      </c>
      <c r="O106" s="10" t="str">
        <f t="shared" si="88"/>
        <v/>
      </c>
      <c r="P106" s="29" t="str">
        <f t="shared" si="53"/>
        <v/>
      </c>
      <c r="R106" s="10" t="str">
        <f t="shared" si="68"/>
        <v/>
      </c>
      <c r="T106" s="10" t="str">
        <f t="shared" si="69"/>
        <v/>
      </c>
      <c r="V106" s="10" t="str">
        <f t="shared" si="54"/>
        <v/>
      </c>
      <c r="W106" s="10" t="str">
        <f t="shared" si="70"/>
        <v/>
      </c>
      <c r="Y106" s="10" t="str">
        <f t="shared" si="55"/>
        <v/>
      </c>
      <c r="Z106" s="10" t="str">
        <f t="shared" si="71"/>
        <v/>
      </c>
      <c r="AB106" s="10" t="str">
        <f t="shared" si="56"/>
        <v/>
      </c>
      <c r="AC106" s="10" t="str">
        <f t="shared" si="51"/>
        <v/>
      </c>
      <c r="AE106" s="10" t="str">
        <f t="shared" si="57"/>
        <v/>
      </c>
      <c r="AF106" s="10" t="str">
        <f t="shared" si="72"/>
        <v/>
      </c>
      <c r="AH106" s="10" t="str">
        <f t="shared" si="58"/>
        <v/>
      </c>
      <c r="AI106" s="10" t="str">
        <f t="shared" si="73"/>
        <v/>
      </c>
      <c r="AK106" s="10" t="str">
        <f t="shared" si="59"/>
        <v/>
      </c>
      <c r="AL106" s="10" t="str">
        <f t="shared" si="74"/>
        <v/>
      </c>
      <c r="AN106" s="188" t="str">
        <f t="shared" si="60"/>
        <v/>
      </c>
      <c r="AO106" s="10" t="str">
        <f t="shared" si="75"/>
        <v/>
      </c>
      <c r="AQ106" s="10" t="str">
        <f t="shared" si="61"/>
        <v/>
      </c>
      <c r="AR106" s="10" t="str">
        <f t="shared" si="76"/>
        <v/>
      </c>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V106" s="10" t="str">
        <f t="shared" si="62"/>
        <v/>
      </c>
      <c r="AW106" s="10" t="str">
        <f t="shared" si="77"/>
        <v/>
      </c>
      <c r="AY106" s="7" t="s">
        <v>127</v>
      </c>
      <c r="BA106" s="11" t="str">
        <f t="shared" si="63"/>
        <v/>
      </c>
      <c r="BB106" s="10" t="str">
        <f t="shared" si="78"/>
        <v/>
      </c>
      <c r="BD106" s="10" t="str">
        <f t="shared" si="64"/>
        <v/>
      </c>
      <c r="BE106" s="10" t="str">
        <f t="shared" si="79"/>
        <v/>
      </c>
      <c r="BG106" s="11" t="str">
        <f t="shared" si="65"/>
        <v/>
      </c>
      <c r="BH106" s="10" t="str">
        <f t="shared" si="80"/>
        <v/>
      </c>
      <c r="BJ106" s="7" t="str">
        <f t="shared" si="81"/>
        <v/>
      </c>
      <c r="BK106" s="158" t="str">
        <f t="shared" si="82"/>
        <v/>
      </c>
      <c r="BL106" s="158" t="str">
        <f t="shared" si="66"/>
        <v/>
      </c>
      <c r="BM106" s="10"/>
      <c r="BN106" s="10" t="str">
        <f t="shared" si="83"/>
        <v/>
      </c>
      <c r="BO106" s="10" t="str">
        <f t="shared" si="84"/>
        <v/>
      </c>
      <c r="BQ106" s="10" t="str">
        <f t="shared" si="67"/>
        <v/>
      </c>
      <c r="BR106" s="10" t="str">
        <f t="shared" si="85"/>
        <v/>
      </c>
    </row>
    <row r="107" spans="4:70" ht="15" x14ac:dyDescent="0.15">
      <c r="D107" s="462" t="s">
        <v>204</v>
      </c>
      <c r="F107" s="94">
        <f>SUBTOTAL(9,F111:F112)</f>
        <v>0</v>
      </c>
      <c r="G107" s="9" t="s">
        <v>132</v>
      </c>
      <c r="I107" s="38">
        <f t="shared" si="86"/>
        <v>2122</v>
      </c>
      <c r="J107" s="39"/>
      <c r="K107" s="39">
        <f t="shared" si="87"/>
        <v>93</v>
      </c>
      <c r="L107" s="39"/>
      <c r="M107" s="40">
        <f t="shared" si="52"/>
        <v>6.3993829875609989E-2</v>
      </c>
      <c r="N107" s="39"/>
      <c r="O107" s="72" t="str">
        <f t="shared" si="88"/>
        <v/>
      </c>
      <c r="P107" s="41" t="str">
        <f t="shared" si="53"/>
        <v/>
      </c>
      <c r="Q107" s="39"/>
      <c r="R107" s="72" t="str">
        <f t="shared" si="68"/>
        <v/>
      </c>
      <c r="S107" s="39"/>
      <c r="T107" s="72" t="str">
        <f t="shared" si="69"/>
        <v/>
      </c>
      <c r="U107" s="39"/>
      <c r="V107" s="72" t="str">
        <f t="shared" si="54"/>
        <v/>
      </c>
      <c r="W107" s="72" t="str">
        <f t="shared" si="70"/>
        <v/>
      </c>
      <c r="X107" s="39"/>
      <c r="Y107" s="72" t="str">
        <f t="shared" si="55"/>
        <v/>
      </c>
      <c r="Z107" s="72" t="str">
        <f t="shared" si="71"/>
        <v/>
      </c>
      <c r="AA107" s="39"/>
      <c r="AB107" s="72" t="str">
        <f t="shared" si="56"/>
        <v/>
      </c>
      <c r="AC107" s="72" t="str">
        <f t="shared" si="51"/>
        <v/>
      </c>
      <c r="AD107" s="39"/>
      <c r="AE107" s="72" t="str">
        <f t="shared" si="57"/>
        <v/>
      </c>
      <c r="AF107" s="72" t="str">
        <f t="shared" si="72"/>
        <v/>
      </c>
      <c r="AG107" s="39"/>
      <c r="AH107" s="72" t="str">
        <f t="shared" si="58"/>
        <v/>
      </c>
      <c r="AI107" s="72" t="str">
        <f t="shared" si="73"/>
        <v/>
      </c>
      <c r="AJ107" s="39"/>
      <c r="AK107" s="72" t="str">
        <f t="shared" si="59"/>
        <v/>
      </c>
      <c r="AL107" s="72" t="str">
        <f t="shared" si="74"/>
        <v/>
      </c>
      <c r="AM107" s="39"/>
      <c r="AN107" s="72" t="str">
        <f t="shared" si="60"/>
        <v/>
      </c>
      <c r="AO107" s="72" t="str">
        <f t="shared" si="75"/>
        <v/>
      </c>
      <c r="AP107" s="39"/>
      <c r="AQ107" s="72" t="str">
        <f t="shared" si="61"/>
        <v/>
      </c>
      <c r="AR107" s="72" t="str">
        <f t="shared" si="76"/>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62"/>
        <v/>
      </c>
      <c r="AW107" s="72" t="str">
        <f t="shared" si="77"/>
        <v/>
      </c>
      <c r="AX107" s="39"/>
      <c r="AY107" s="40" t="s">
        <v>127</v>
      </c>
      <c r="AZ107" s="39"/>
      <c r="BA107" s="42" t="str">
        <f t="shared" si="63"/>
        <v/>
      </c>
      <c r="BB107" s="72" t="str">
        <f t="shared" si="78"/>
        <v/>
      </c>
      <c r="BC107" s="39"/>
      <c r="BD107" s="72" t="str">
        <f t="shared" si="64"/>
        <v/>
      </c>
      <c r="BE107" s="72" t="str">
        <f t="shared" si="79"/>
        <v/>
      </c>
      <c r="BF107" s="39"/>
      <c r="BG107" s="42" t="str">
        <f t="shared" si="65"/>
        <v/>
      </c>
      <c r="BH107" s="72" t="str">
        <f t="shared" si="80"/>
        <v/>
      </c>
      <c r="BI107" s="39"/>
      <c r="BJ107" s="40" t="str">
        <f t="shared" si="81"/>
        <v/>
      </c>
      <c r="BK107" s="157" t="str">
        <f t="shared" si="82"/>
        <v/>
      </c>
      <c r="BL107" s="157" t="str">
        <f t="shared" si="66"/>
        <v/>
      </c>
      <c r="BM107" s="72"/>
      <c r="BN107" s="72" t="str">
        <f t="shared" si="83"/>
        <v/>
      </c>
      <c r="BO107" s="72" t="str">
        <f t="shared" si="84"/>
        <v/>
      </c>
      <c r="BP107" s="39"/>
      <c r="BQ107" s="72" t="str">
        <f t="shared" si="67"/>
        <v/>
      </c>
      <c r="BR107" s="72" t="str">
        <f t="shared" si="85"/>
        <v/>
      </c>
    </row>
    <row r="108" spans="4:70" ht="15" x14ac:dyDescent="0.15">
      <c r="D108" s="462"/>
      <c r="F108" s="93"/>
      <c r="I108" s="322">
        <f t="shared" si="86"/>
        <v>2123</v>
      </c>
      <c r="K108" s="71">
        <f t="shared" si="87"/>
        <v>94</v>
      </c>
      <c r="M108" s="7">
        <f t="shared" si="52"/>
        <v>6.212993191806794E-2</v>
      </c>
      <c r="O108" s="10" t="str">
        <f t="shared" si="88"/>
        <v/>
      </c>
      <c r="P108" s="29" t="str">
        <f t="shared" si="53"/>
        <v/>
      </c>
      <c r="R108" s="10" t="str">
        <f t="shared" si="68"/>
        <v/>
      </c>
      <c r="T108" s="10" t="str">
        <f t="shared" si="69"/>
        <v/>
      </c>
      <c r="V108" s="10" t="str">
        <f t="shared" si="54"/>
        <v/>
      </c>
      <c r="W108" s="10" t="str">
        <f t="shared" si="70"/>
        <v/>
      </c>
      <c r="Y108" s="10" t="str">
        <f t="shared" si="55"/>
        <v/>
      </c>
      <c r="Z108" s="10" t="str">
        <f t="shared" si="71"/>
        <v/>
      </c>
      <c r="AB108" s="10" t="str">
        <f t="shared" si="56"/>
        <v/>
      </c>
      <c r="AC108" s="10" t="str">
        <f t="shared" si="51"/>
        <v/>
      </c>
      <c r="AE108" s="10" t="str">
        <f t="shared" si="57"/>
        <v/>
      </c>
      <c r="AF108" s="10" t="str">
        <f t="shared" si="72"/>
        <v/>
      </c>
      <c r="AH108" s="10" t="str">
        <f t="shared" si="58"/>
        <v/>
      </c>
      <c r="AI108" s="10" t="str">
        <f t="shared" si="73"/>
        <v/>
      </c>
      <c r="AK108" s="10" t="str">
        <f t="shared" si="59"/>
        <v/>
      </c>
      <c r="AL108" s="10" t="str">
        <f t="shared" si="74"/>
        <v/>
      </c>
      <c r="AN108" s="188" t="str">
        <f t="shared" si="60"/>
        <v/>
      </c>
      <c r="AO108" s="10" t="str">
        <f t="shared" si="75"/>
        <v/>
      </c>
      <c r="AQ108" s="10" t="str">
        <f t="shared" si="61"/>
        <v/>
      </c>
      <c r="AR108" s="10" t="str">
        <f t="shared" si="76"/>
        <v/>
      </c>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V108" s="10" t="str">
        <f t="shared" si="62"/>
        <v/>
      </c>
      <c r="AW108" s="10" t="str">
        <f t="shared" si="77"/>
        <v/>
      </c>
      <c r="AY108" s="7" t="s">
        <v>127</v>
      </c>
      <c r="BA108" s="11" t="str">
        <f t="shared" si="63"/>
        <v/>
      </c>
      <c r="BB108" s="10" t="str">
        <f t="shared" si="78"/>
        <v/>
      </c>
      <c r="BD108" s="10" t="str">
        <f t="shared" si="64"/>
        <v/>
      </c>
      <c r="BE108" s="10" t="str">
        <f t="shared" si="79"/>
        <v/>
      </c>
      <c r="BG108" s="11" t="str">
        <f t="shared" si="65"/>
        <v/>
      </c>
      <c r="BH108" s="10" t="str">
        <f t="shared" si="80"/>
        <v/>
      </c>
      <c r="BJ108" s="7" t="str">
        <f t="shared" si="81"/>
        <v/>
      </c>
      <c r="BK108" s="158" t="str">
        <f t="shared" si="82"/>
        <v/>
      </c>
      <c r="BL108" s="158" t="str">
        <f t="shared" si="66"/>
        <v/>
      </c>
      <c r="BM108" s="10"/>
      <c r="BN108" s="10" t="str">
        <f t="shared" si="83"/>
        <v/>
      </c>
      <c r="BO108" s="10" t="str">
        <f t="shared" si="84"/>
        <v/>
      </c>
      <c r="BQ108" s="10" t="str">
        <f t="shared" si="67"/>
        <v/>
      </c>
      <c r="BR108" s="10" t="str">
        <f t="shared" si="85"/>
        <v/>
      </c>
    </row>
    <row r="109" spans="4:70" x14ac:dyDescent="0.15">
      <c r="D109" s="89" t="s">
        <v>205</v>
      </c>
      <c r="E109" s="89"/>
      <c r="F109" s="92"/>
      <c r="G109" s="89"/>
      <c r="I109" s="38">
        <f t="shared" si="86"/>
        <v>2124</v>
      </c>
      <c r="J109" s="39"/>
      <c r="K109" s="39">
        <f t="shared" si="87"/>
        <v>95</v>
      </c>
      <c r="L109" s="39"/>
      <c r="M109" s="40">
        <f t="shared" si="52"/>
        <v>6.0320322250551395E-2</v>
      </c>
      <c r="N109" s="39"/>
      <c r="O109" s="72" t="str">
        <f t="shared" si="88"/>
        <v/>
      </c>
      <c r="P109" s="41" t="str">
        <f t="shared" si="53"/>
        <v/>
      </c>
      <c r="Q109" s="39"/>
      <c r="R109" s="72" t="str">
        <f t="shared" si="68"/>
        <v/>
      </c>
      <c r="S109" s="39"/>
      <c r="T109" s="72" t="str">
        <f t="shared" si="69"/>
        <v/>
      </c>
      <c r="U109" s="39"/>
      <c r="V109" s="72" t="str">
        <f t="shared" si="54"/>
        <v/>
      </c>
      <c r="W109" s="72" t="str">
        <f t="shared" si="70"/>
        <v/>
      </c>
      <c r="X109" s="39"/>
      <c r="Y109" s="72" t="str">
        <f t="shared" si="55"/>
        <v/>
      </c>
      <c r="Z109" s="72" t="str">
        <f t="shared" si="71"/>
        <v/>
      </c>
      <c r="AA109" s="39"/>
      <c r="AB109" s="72" t="str">
        <f t="shared" si="56"/>
        <v/>
      </c>
      <c r="AC109" s="72" t="str">
        <f t="shared" si="51"/>
        <v/>
      </c>
      <c r="AD109" s="39"/>
      <c r="AE109" s="72" t="str">
        <f t="shared" si="57"/>
        <v/>
      </c>
      <c r="AF109" s="72" t="str">
        <f t="shared" si="72"/>
        <v/>
      </c>
      <c r="AG109" s="39"/>
      <c r="AH109" s="72" t="str">
        <f t="shared" si="58"/>
        <v/>
      </c>
      <c r="AI109" s="72" t="str">
        <f t="shared" si="73"/>
        <v/>
      </c>
      <c r="AJ109" s="39"/>
      <c r="AK109" s="72" t="str">
        <f t="shared" si="59"/>
        <v/>
      </c>
      <c r="AL109" s="72" t="str">
        <f t="shared" si="74"/>
        <v/>
      </c>
      <c r="AM109" s="39"/>
      <c r="AN109" s="72" t="str">
        <f t="shared" si="60"/>
        <v/>
      </c>
      <c r="AO109" s="72" t="str">
        <f t="shared" si="75"/>
        <v/>
      </c>
      <c r="AP109" s="39"/>
      <c r="AQ109" s="72" t="str">
        <f t="shared" si="61"/>
        <v/>
      </c>
      <c r="AR109" s="72" t="str">
        <f t="shared" si="76"/>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62"/>
        <v/>
      </c>
      <c r="AW109" s="72" t="str">
        <f t="shared" si="77"/>
        <v/>
      </c>
      <c r="AX109" s="39"/>
      <c r="AY109" s="40" t="s">
        <v>127</v>
      </c>
      <c r="AZ109" s="39"/>
      <c r="BA109" s="42" t="str">
        <f t="shared" si="63"/>
        <v/>
      </c>
      <c r="BB109" s="72" t="str">
        <f t="shared" si="78"/>
        <v/>
      </c>
      <c r="BC109" s="39"/>
      <c r="BD109" s="72" t="str">
        <f t="shared" si="64"/>
        <v/>
      </c>
      <c r="BE109" s="72" t="str">
        <f t="shared" si="79"/>
        <v/>
      </c>
      <c r="BF109" s="39"/>
      <c r="BG109" s="42" t="str">
        <f t="shared" si="65"/>
        <v/>
      </c>
      <c r="BH109" s="72" t="str">
        <f t="shared" si="80"/>
        <v/>
      </c>
      <c r="BI109" s="39"/>
      <c r="BJ109" s="40" t="str">
        <f t="shared" si="81"/>
        <v/>
      </c>
      <c r="BK109" s="157" t="str">
        <f t="shared" si="82"/>
        <v/>
      </c>
      <c r="BL109" s="157" t="str">
        <f t="shared" si="66"/>
        <v/>
      </c>
      <c r="BM109" s="72"/>
      <c r="BN109" s="72" t="str">
        <f t="shared" si="83"/>
        <v/>
      </c>
      <c r="BO109" s="72" t="str">
        <f t="shared" si="84"/>
        <v/>
      </c>
      <c r="BP109" s="39"/>
      <c r="BQ109" s="72" t="str">
        <f t="shared" si="67"/>
        <v/>
      </c>
      <c r="BR109" s="72" t="str">
        <f t="shared" si="85"/>
        <v/>
      </c>
    </row>
    <row r="110" spans="4:70" ht="15" x14ac:dyDescent="0.15">
      <c r="D110" s="462"/>
      <c r="F110" s="93"/>
      <c r="I110" s="322">
        <f t="shared" si="86"/>
        <v>2125</v>
      </c>
      <c r="K110" s="71">
        <f t="shared" si="87"/>
        <v>96</v>
      </c>
      <c r="M110" s="7">
        <f t="shared" si="52"/>
        <v>5.8563419660729518E-2</v>
      </c>
      <c r="O110" s="10" t="str">
        <f t="shared" si="88"/>
        <v/>
      </c>
      <c r="P110" s="29" t="str">
        <f t="shared" si="53"/>
        <v/>
      </c>
      <c r="R110" s="10" t="str">
        <f t="shared" si="68"/>
        <v/>
      </c>
      <c r="T110" s="10" t="str">
        <f t="shared" si="69"/>
        <v/>
      </c>
      <c r="V110" s="10" t="str">
        <f t="shared" si="54"/>
        <v/>
      </c>
      <c r="W110" s="10" t="str">
        <f t="shared" si="70"/>
        <v/>
      </c>
      <c r="Y110" s="10" t="str">
        <f t="shared" si="55"/>
        <v/>
      </c>
      <c r="Z110" s="10" t="str">
        <f t="shared" si="71"/>
        <v/>
      </c>
      <c r="AB110" s="10" t="str">
        <f t="shared" si="56"/>
        <v/>
      </c>
      <c r="AC110" s="10" t="str">
        <f t="shared" si="51"/>
        <v/>
      </c>
      <c r="AE110" s="10" t="str">
        <f t="shared" si="57"/>
        <v/>
      </c>
      <c r="AF110" s="10" t="str">
        <f t="shared" si="72"/>
        <v/>
      </c>
      <c r="AH110" s="10" t="str">
        <f t="shared" si="58"/>
        <v/>
      </c>
      <c r="AI110" s="10" t="str">
        <f t="shared" si="73"/>
        <v/>
      </c>
      <c r="AK110" s="10" t="str">
        <f t="shared" si="59"/>
        <v/>
      </c>
      <c r="AL110" s="10" t="str">
        <f t="shared" si="74"/>
        <v/>
      </c>
      <c r="AN110" s="188" t="str">
        <f t="shared" si="60"/>
        <v/>
      </c>
      <c r="AO110" s="10" t="str">
        <f t="shared" si="75"/>
        <v/>
      </c>
      <c r="AQ110" s="10" t="str">
        <f t="shared" si="61"/>
        <v/>
      </c>
      <c r="AR110" s="10" t="str">
        <f t="shared" si="76"/>
        <v/>
      </c>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V110" s="10" t="str">
        <f t="shared" si="62"/>
        <v/>
      </c>
      <c r="AW110" s="10" t="str">
        <f t="shared" si="77"/>
        <v/>
      </c>
      <c r="AY110" s="7" t="s">
        <v>127</v>
      </c>
      <c r="BA110" s="11" t="str">
        <f t="shared" si="63"/>
        <v/>
      </c>
      <c r="BB110" s="10" t="str">
        <f t="shared" si="78"/>
        <v/>
      </c>
      <c r="BD110" s="10" t="str">
        <f t="shared" si="64"/>
        <v/>
      </c>
      <c r="BE110" s="10" t="str">
        <f t="shared" si="79"/>
        <v/>
      </c>
      <c r="BG110" s="11" t="str">
        <f t="shared" si="65"/>
        <v/>
      </c>
      <c r="BH110" s="10" t="str">
        <f t="shared" si="80"/>
        <v/>
      </c>
      <c r="BJ110" s="7" t="str">
        <f t="shared" si="81"/>
        <v/>
      </c>
      <c r="BK110" s="158" t="str">
        <f t="shared" si="82"/>
        <v/>
      </c>
      <c r="BL110" s="158" t="str">
        <f t="shared" si="66"/>
        <v/>
      </c>
      <c r="BM110" s="10"/>
      <c r="BN110" s="10" t="str">
        <f t="shared" si="83"/>
        <v/>
      </c>
      <c r="BO110" s="10" t="str">
        <f t="shared" si="84"/>
        <v/>
      </c>
      <c r="BQ110" s="10" t="str">
        <f t="shared" si="67"/>
        <v/>
      </c>
      <c r="BR110" s="10" t="str">
        <f t="shared" si="85"/>
        <v/>
      </c>
    </row>
    <row r="111" spans="4:70" ht="15" x14ac:dyDescent="0.15">
      <c r="D111" s="462"/>
      <c r="E111" s="9" t="s">
        <v>206</v>
      </c>
      <c r="F111" s="91">
        <f>-BE116/BR116</f>
        <v>0</v>
      </c>
      <c r="G111" s="9" t="s">
        <v>132</v>
      </c>
      <c r="I111" s="38">
        <f t="shared" si="86"/>
        <v>2126</v>
      </c>
      <c r="J111" s="39"/>
      <c r="K111" s="39">
        <f t="shared" si="87"/>
        <v>97</v>
      </c>
      <c r="L111" s="39"/>
      <c r="M111" s="40">
        <f t="shared" si="52"/>
        <v>5.6857688990999529E-2</v>
      </c>
      <c r="N111" s="39"/>
      <c r="O111" s="72" t="str">
        <f t="shared" si="88"/>
        <v/>
      </c>
      <c r="P111" s="41" t="str">
        <f>IF(K111&lt;=$F$15,IF(OR(P110=$F$124,P110="-"),"-",IF(O111*$F$123&gt;$F$127,$F$123,$F$124)),"")</f>
        <v/>
      </c>
      <c r="Q111" s="39"/>
      <c r="R111" s="72" t="str">
        <f t="shared" si="68"/>
        <v/>
      </c>
      <c r="S111" s="39"/>
      <c r="T111" s="72" t="str">
        <f t="shared" si="69"/>
        <v/>
      </c>
      <c r="U111" s="39"/>
      <c r="V111" s="72" t="str">
        <f t="shared" si="54"/>
        <v/>
      </c>
      <c r="W111" s="72" t="str">
        <f t="shared" si="70"/>
        <v/>
      </c>
      <c r="X111" s="39"/>
      <c r="Y111" s="72" t="str">
        <f t="shared" si="55"/>
        <v/>
      </c>
      <c r="Z111" s="72" t="str">
        <f t="shared" si="71"/>
        <v/>
      </c>
      <c r="AA111" s="39"/>
      <c r="AB111" s="72" t="str">
        <f t="shared" si="56"/>
        <v/>
      </c>
      <c r="AC111" s="72" t="str">
        <f t="shared" si="51"/>
        <v/>
      </c>
      <c r="AD111" s="39"/>
      <c r="AE111" s="72" t="str">
        <f t="shared" si="57"/>
        <v/>
      </c>
      <c r="AF111" s="72" t="str">
        <f t="shared" si="72"/>
        <v/>
      </c>
      <c r="AG111" s="39"/>
      <c r="AH111" s="72" t="str">
        <f t="shared" si="58"/>
        <v/>
      </c>
      <c r="AI111" s="72" t="str">
        <f t="shared" si="73"/>
        <v/>
      </c>
      <c r="AJ111" s="39"/>
      <c r="AK111" s="72" t="str">
        <f t="shared" si="59"/>
        <v/>
      </c>
      <c r="AL111" s="72" t="str">
        <f t="shared" si="74"/>
        <v/>
      </c>
      <c r="AM111" s="39"/>
      <c r="AN111" s="72" t="str">
        <f t="shared" si="60"/>
        <v/>
      </c>
      <c r="AO111" s="72" t="str">
        <f t="shared" si="75"/>
        <v/>
      </c>
      <c r="AP111" s="39"/>
      <c r="AQ111" s="72" t="str">
        <f t="shared" si="61"/>
        <v/>
      </c>
      <c r="AR111" s="72" t="str">
        <f t="shared" si="76"/>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62"/>
        <v/>
      </c>
      <c r="AW111" s="72" t="str">
        <f t="shared" si="77"/>
        <v/>
      </c>
      <c r="AX111" s="39"/>
      <c r="AY111" s="40" t="s">
        <v>127</v>
      </c>
      <c r="AZ111" s="39"/>
      <c r="BA111" s="42" t="str">
        <f t="shared" si="63"/>
        <v/>
      </c>
      <c r="BB111" s="72" t="str">
        <f t="shared" si="78"/>
        <v/>
      </c>
      <c r="BC111" s="39"/>
      <c r="BD111" s="72" t="str">
        <f t="shared" si="64"/>
        <v/>
      </c>
      <c r="BE111" s="72" t="str">
        <f t="shared" si="79"/>
        <v/>
      </c>
      <c r="BF111" s="39"/>
      <c r="BG111" s="42" t="str">
        <f t="shared" si="65"/>
        <v/>
      </c>
      <c r="BH111" s="72" t="str">
        <f t="shared" si="80"/>
        <v/>
      </c>
      <c r="BI111" s="39"/>
      <c r="BJ111" s="40" t="str">
        <f t="shared" si="81"/>
        <v/>
      </c>
      <c r="BK111" s="157" t="str">
        <f t="shared" si="82"/>
        <v/>
      </c>
      <c r="BL111" s="157" t="str">
        <f t="shared" si="66"/>
        <v/>
      </c>
      <c r="BM111" s="72"/>
      <c r="BN111" s="72" t="str">
        <f t="shared" si="83"/>
        <v/>
      </c>
      <c r="BO111" s="72" t="str">
        <f t="shared" si="84"/>
        <v/>
      </c>
      <c r="BP111" s="39"/>
      <c r="BQ111" s="72" t="str">
        <f t="shared" si="67"/>
        <v/>
      </c>
      <c r="BR111" s="72" t="str">
        <f t="shared" si="85"/>
        <v/>
      </c>
    </row>
    <row r="112" spans="4:70" ht="15" x14ac:dyDescent="0.15">
      <c r="D112" s="462"/>
      <c r="E112" s="9" t="s">
        <v>207</v>
      </c>
      <c r="F112" s="91">
        <f>-BH116/BR116</f>
        <v>0</v>
      </c>
      <c r="G112" s="9" t="s">
        <v>132</v>
      </c>
      <c r="I112" s="322">
        <f t="shared" si="86"/>
        <v>2127</v>
      </c>
      <c r="K112" s="71">
        <f t="shared" si="87"/>
        <v>98</v>
      </c>
      <c r="M112" s="7">
        <f t="shared" si="52"/>
        <v>5.5201639797086935E-2</v>
      </c>
      <c r="O112" s="10" t="str">
        <f t="shared" si="88"/>
        <v/>
      </c>
      <c r="P112" s="29" t="str">
        <f>IF(K112&lt;=$F$15,IF(OR(P111=$F$124,P111="-"),"-",IF(O112*$F$123&gt;$F$127,$F$123,$F$124)),"")</f>
        <v/>
      </c>
      <c r="R112" s="10" t="str">
        <f t="shared" si="68"/>
        <v/>
      </c>
      <c r="T112" s="10" t="str">
        <f t="shared" si="69"/>
        <v/>
      </c>
      <c r="V112" s="10" t="str">
        <f t="shared" si="54"/>
        <v/>
      </c>
      <c r="W112" s="10" t="str">
        <f t="shared" si="70"/>
        <v/>
      </c>
      <c r="Y112" s="10" t="str">
        <f t="shared" si="55"/>
        <v/>
      </c>
      <c r="Z112" s="10" t="str">
        <f t="shared" si="71"/>
        <v/>
      </c>
      <c r="AB112" s="10" t="str">
        <f t="shared" si="56"/>
        <v/>
      </c>
      <c r="AC112" s="10" t="str">
        <f t="shared" si="51"/>
        <v/>
      </c>
      <c r="AE112" s="10" t="str">
        <f t="shared" si="57"/>
        <v/>
      </c>
      <c r="AF112" s="10" t="str">
        <f t="shared" si="72"/>
        <v/>
      </c>
      <c r="AH112" s="10" t="str">
        <f t="shared" si="58"/>
        <v/>
      </c>
      <c r="AI112" s="10" t="str">
        <f t="shared" si="73"/>
        <v/>
      </c>
      <c r="AK112" s="10" t="str">
        <f t="shared" si="59"/>
        <v/>
      </c>
      <c r="AL112" s="10" t="str">
        <f t="shared" si="74"/>
        <v/>
      </c>
      <c r="AN112" s="188" t="str">
        <f t="shared" si="60"/>
        <v/>
      </c>
      <c r="AO112" s="10" t="str">
        <f t="shared" si="75"/>
        <v/>
      </c>
      <c r="AQ112" s="10" t="str">
        <f t="shared" si="61"/>
        <v/>
      </c>
      <c r="AR112" s="10" t="str">
        <f t="shared" si="76"/>
        <v/>
      </c>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V112" s="10" t="str">
        <f t="shared" si="62"/>
        <v/>
      </c>
      <c r="AW112" s="10" t="str">
        <f t="shared" si="77"/>
        <v/>
      </c>
      <c r="AY112" s="7" t="s">
        <v>127</v>
      </c>
      <c r="BA112" s="11" t="str">
        <f t="shared" si="63"/>
        <v/>
      </c>
      <c r="BB112" s="10" t="str">
        <f t="shared" si="78"/>
        <v/>
      </c>
      <c r="BD112" s="10" t="str">
        <f t="shared" si="64"/>
        <v/>
      </c>
      <c r="BE112" s="10" t="str">
        <f t="shared" si="79"/>
        <v/>
      </c>
      <c r="BG112" s="11" t="str">
        <f t="shared" si="65"/>
        <v/>
      </c>
      <c r="BH112" s="10" t="str">
        <f t="shared" si="80"/>
        <v/>
      </c>
      <c r="BJ112" s="7" t="str">
        <f t="shared" si="81"/>
        <v/>
      </c>
      <c r="BK112" s="158" t="str">
        <f t="shared" si="82"/>
        <v/>
      </c>
      <c r="BL112" s="158" t="str">
        <f t="shared" si="66"/>
        <v/>
      </c>
      <c r="BM112" s="10"/>
      <c r="BN112" s="10" t="str">
        <f t="shared" si="83"/>
        <v/>
      </c>
      <c r="BO112" s="10" t="str">
        <f t="shared" si="84"/>
        <v/>
      </c>
      <c r="BQ112" s="10" t="str">
        <f t="shared" si="67"/>
        <v/>
      </c>
      <c r="BR112" s="10" t="str">
        <f t="shared" si="85"/>
        <v/>
      </c>
    </row>
    <row r="113" spans="2:70" x14ac:dyDescent="0.15">
      <c r="I113" s="38">
        <f t="shared" si="86"/>
        <v>2128</v>
      </c>
      <c r="J113" s="39"/>
      <c r="K113" s="39">
        <f t="shared" si="87"/>
        <v>99</v>
      </c>
      <c r="L113" s="39"/>
      <c r="M113" s="40">
        <f t="shared" si="52"/>
        <v>5.3593825045715457E-2</v>
      </c>
      <c r="N113" s="39"/>
      <c r="O113" s="72" t="str">
        <f t="shared" si="88"/>
        <v/>
      </c>
      <c r="P113" s="41" t="str">
        <f>IF(K113&lt;=$F$15,IF(OR(P112=$F$124,P112="-"),"-",IF(O113*$F$123&gt;$F$127,$F$123,$F$124)),"")</f>
        <v/>
      </c>
      <c r="Q113" s="39"/>
      <c r="R113" s="72" t="str">
        <f t="shared" si="68"/>
        <v/>
      </c>
      <c r="S113" s="39"/>
      <c r="T113" s="72" t="str">
        <f t="shared" si="69"/>
        <v/>
      </c>
      <c r="U113" s="39"/>
      <c r="V113" s="72" t="str">
        <f t="shared" si="54"/>
        <v/>
      </c>
      <c r="W113" s="72" t="str">
        <f t="shared" si="70"/>
        <v/>
      </c>
      <c r="X113" s="39"/>
      <c r="Y113" s="72" t="str">
        <f t="shared" si="55"/>
        <v/>
      </c>
      <c r="Z113" s="72" t="str">
        <f t="shared" si="71"/>
        <v/>
      </c>
      <c r="AA113" s="39"/>
      <c r="AB113" s="72" t="str">
        <f t="shared" si="56"/>
        <v/>
      </c>
      <c r="AC113" s="72" t="str">
        <f t="shared" si="51"/>
        <v/>
      </c>
      <c r="AD113" s="39"/>
      <c r="AE113" s="72" t="str">
        <f t="shared" si="57"/>
        <v/>
      </c>
      <c r="AF113" s="72" t="str">
        <f t="shared" si="72"/>
        <v/>
      </c>
      <c r="AG113" s="39"/>
      <c r="AH113" s="72" t="str">
        <f t="shared" si="58"/>
        <v/>
      </c>
      <c r="AI113" s="72" t="str">
        <f t="shared" si="73"/>
        <v/>
      </c>
      <c r="AJ113" s="39"/>
      <c r="AK113" s="72" t="str">
        <f t="shared" si="59"/>
        <v/>
      </c>
      <c r="AL113" s="72" t="str">
        <f t="shared" si="74"/>
        <v/>
      </c>
      <c r="AM113" s="39"/>
      <c r="AN113" s="72" t="str">
        <f t="shared" si="60"/>
        <v/>
      </c>
      <c r="AO113" s="72" t="str">
        <f t="shared" si="75"/>
        <v/>
      </c>
      <c r="AP113" s="39"/>
      <c r="AQ113" s="72" t="str">
        <f t="shared" si="61"/>
        <v/>
      </c>
      <c r="AR113" s="72" t="str">
        <f t="shared" si="76"/>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62"/>
        <v/>
      </c>
      <c r="AW113" s="72" t="str">
        <f t="shared" si="77"/>
        <v/>
      </c>
      <c r="AX113" s="39"/>
      <c r="AY113" s="40" t="s">
        <v>127</v>
      </c>
      <c r="AZ113" s="39"/>
      <c r="BA113" s="42" t="str">
        <f t="shared" si="63"/>
        <v/>
      </c>
      <c r="BB113" s="72" t="str">
        <f t="shared" si="78"/>
        <v/>
      </c>
      <c r="BC113" s="39"/>
      <c r="BD113" s="72" t="str">
        <f t="shared" si="64"/>
        <v/>
      </c>
      <c r="BE113" s="72" t="str">
        <f t="shared" si="79"/>
        <v/>
      </c>
      <c r="BF113" s="39"/>
      <c r="BG113" s="42" t="str">
        <f t="shared" si="65"/>
        <v/>
      </c>
      <c r="BH113" s="72" t="str">
        <f t="shared" si="80"/>
        <v/>
      </c>
      <c r="BI113" s="39"/>
      <c r="BJ113" s="40" t="str">
        <f t="shared" si="81"/>
        <v/>
      </c>
      <c r="BK113" s="157" t="str">
        <f t="shared" si="82"/>
        <v/>
      </c>
      <c r="BL113" s="157" t="str">
        <f t="shared" si="66"/>
        <v/>
      </c>
      <c r="BM113" s="72"/>
      <c r="BN113" s="72" t="str">
        <f t="shared" si="83"/>
        <v/>
      </c>
      <c r="BO113" s="72" t="str">
        <f t="shared" si="84"/>
        <v/>
      </c>
      <c r="BP113" s="39"/>
      <c r="BQ113" s="72" t="str">
        <f t="shared" si="67"/>
        <v/>
      </c>
      <c r="BR113" s="72" t="str">
        <f t="shared" si="85"/>
        <v/>
      </c>
    </row>
    <row r="114" spans="2:70" x14ac:dyDescent="0.15">
      <c r="I114" s="322">
        <f t="shared" si="86"/>
        <v>2129</v>
      </c>
      <c r="K114" s="71">
        <f t="shared" si="87"/>
        <v>100</v>
      </c>
      <c r="M114" s="7">
        <f t="shared" si="52"/>
        <v>5.2032839850209185E-2</v>
      </c>
      <c r="O114" s="10" t="str">
        <f t="shared" si="88"/>
        <v/>
      </c>
      <c r="P114" s="29" t="str">
        <f>IF(K114&lt;=$F$15,IF(OR(P113=$F$124,P113="-"),"-",IF(O114*$F$123&gt;$F$127,$F$123,$F$124)),"")</f>
        <v/>
      </c>
      <c r="R114" s="10" t="str">
        <f t="shared" si="68"/>
        <v/>
      </c>
      <c r="T114" s="10" t="str">
        <f t="shared" si="69"/>
        <v/>
      </c>
      <c r="V114" s="10" t="str">
        <f t="shared" si="54"/>
        <v/>
      </c>
      <c r="W114" s="10" t="str">
        <f t="shared" si="70"/>
        <v/>
      </c>
      <c r="Y114" s="10" t="str">
        <f t="shared" si="55"/>
        <v/>
      </c>
      <c r="Z114" s="10" t="str">
        <f t="shared" si="71"/>
        <v/>
      </c>
      <c r="AB114" s="10" t="str">
        <f t="shared" si="56"/>
        <v/>
      </c>
      <c r="AC114" s="10" t="str">
        <f t="shared" si="51"/>
        <v/>
      </c>
      <c r="AE114" s="10" t="str">
        <f t="shared" si="57"/>
        <v/>
      </c>
      <c r="AF114" s="10" t="str">
        <f t="shared" si="72"/>
        <v/>
      </c>
      <c r="AH114" s="10" t="str">
        <f t="shared" si="58"/>
        <v/>
      </c>
      <c r="AI114" s="10" t="str">
        <f t="shared" si="73"/>
        <v/>
      </c>
      <c r="AK114" s="10" t="str">
        <f t="shared" si="59"/>
        <v/>
      </c>
      <c r="AL114" s="10" t="str">
        <f t="shared" si="74"/>
        <v/>
      </c>
      <c r="AN114" s="188" t="str">
        <f t="shared" si="60"/>
        <v/>
      </c>
      <c r="AO114" s="10" t="str">
        <f t="shared" si="75"/>
        <v/>
      </c>
      <c r="AQ114" s="10" t="str">
        <f t="shared" si="61"/>
        <v/>
      </c>
      <c r="AR114" s="10" t="str">
        <f t="shared" si="76"/>
        <v/>
      </c>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V114" s="10" t="str">
        <f t="shared" si="62"/>
        <v/>
      </c>
      <c r="AW114" s="10" t="str">
        <f t="shared" si="77"/>
        <v/>
      </c>
      <c r="AY114" s="7" t="s">
        <v>127</v>
      </c>
      <c r="BA114" s="11" t="str">
        <f t="shared" si="63"/>
        <v/>
      </c>
      <c r="BB114" s="10" t="str">
        <f t="shared" si="78"/>
        <v/>
      </c>
      <c r="BD114" s="10" t="str">
        <f t="shared" si="64"/>
        <v/>
      </c>
      <c r="BE114" s="10" t="str">
        <f t="shared" si="79"/>
        <v/>
      </c>
      <c r="BG114" s="11" t="str">
        <f t="shared" si="65"/>
        <v/>
      </c>
      <c r="BH114" s="10" t="str">
        <f t="shared" si="80"/>
        <v/>
      </c>
      <c r="BJ114" s="7" t="str">
        <f t="shared" si="81"/>
        <v/>
      </c>
      <c r="BK114" s="158" t="str">
        <f t="shared" si="82"/>
        <v/>
      </c>
      <c r="BL114" s="158" t="str">
        <f t="shared" si="66"/>
        <v/>
      </c>
      <c r="BM114" s="10"/>
      <c r="BN114" s="10" t="str">
        <f t="shared" si="83"/>
        <v/>
      </c>
      <c r="BO114" s="10" t="str">
        <f t="shared" si="84"/>
        <v/>
      </c>
      <c r="BQ114" s="10" t="str">
        <f t="shared" si="67"/>
        <v/>
      </c>
      <c r="BR114" s="10" t="str">
        <f t="shared" si="85"/>
        <v/>
      </c>
    </row>
    <row r="115" spans="2:70" ht="15.75" thickBot="1" x14ac:dyDescent="0.2">
      <c r="B115" s="460" t="s">
        <v>515</v>
      </c>
      <c r="C115" s="86"/>
      <c r="D115" s="86"/>
      <c r="E115" s="86"/>
      <c r="F115" s="86"/>
      <c r="G115" s="86"/>
      <c r="I115" s="321"/>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71" t="s">
        <v>143</v>
      </c>
      <c r="V116" s="11"/>
      <c r="W116" s="11"/>
      <c r="Z116" s="11">
        <f>SUM(Z15:Z114)</f>
        <v>54597489492.4487</v>
      </c>
      <c r="AC116" s="11">
        <f>SUM(AC15:AC114)</f>
        <v>19612440246.013229</v>
      </c>
      <c r="AF116" s="11">
        <f>SUM(AF15:AF114)</f>
        <v>0</v>
      </c>
      <c r="AI116" s="11">
        <f>SUM(AI15:AI114)</f>
        <v>51314793782.738327</v>
      </c>
      <c r="AL116" s="11">
        <f>SUM(AL15:AL114)</f>
        <v>270930553786.87119</v>
      </c>
      <c r="AO116" s="11">
        <f>SUM(AO15:AO114)</f>
        <v>217510004277.28262</v>
      </c>
      <c r="AR116" s="11">
        <f>SUM(AR15:AR114)</f>
        <v>69088685036.402237</v>
      </c>
      <c r="AW116" s="11">
        <f>SUM(AW15:AW114)</f>
        <v>0</v>
      </c>
      <c r="BB116" s="11">
        <f>SUM(BB15:BB114)</f>
        <v>0</v>
      </c>
      <c r="BE116" s="11">
        <f>SUM(BE15:BE114)</f>
        <v>0</v>
      </c>
      <c r="BH116" s="11">
        <f>SUM(BH15:BH114)</f>
        <v>0</v>
      </c>
      <c r="BK116" s="11">
        <f>SUM(BK15:BK114)</f>
        <v>0</v>
      </c>
      <c r="BL116" s="11">
        <f>SUM(BL15:BL114)</f>
        <v>0</v>
      </c>
      <c r="BO116" s="11">
        <f>SUM(BO15:BO114)</f>
        <v>0</v>
      </c>
      <c r="BR116" s="11">
        <f>SUM(BR15:BR114)</f>
        <v>163284228571.20074</v>
      </c>
    </row>
    <row r="117" spans="2:70" x14ac:dyDescent="0.15">
      <c r="C117" s="236" t="s">
        <v>144</v>
      </c>
      <c r="F117" s="44">
        <f>F21*10^4*F13*10^4+F29*10^8</f>
        <v>616900000000</v>
      </c>
      <c r="G117" s="9" t="s">
        <v>208</v>
      </c>
      <c r="I117" s="48" t="s">
        <v>145</v>
      </c>
      <c r="W117" s="11"/>
      <c r="Z117" s="11" t="str">
        <f ca="1">IF(ISNUMBER($F$16),SUM(INDIRECT(ADDRESS($F$16+15,COLUMN())):INDIRECT(ADDRESS(114,COLUMN()))),"")</f>
        <v/>
      </c>
      <c r="AC117" s="11" t="str">
        <f ca="1">IF(ISNUMBER($F$16),SUM(INDIRECT(ADDRESS($F$16+15,COLUMN())):INDIRECT(ADDRESS(114,COLUMN()))),"")</f>
        <v/>
      </c>
      <c r="AF117" s="11" t="str">
        <f ca="1">IF(ISNUMBER($F$16),SUM(INDIRECT(ADDRESS($F$16+15,COLUMN())):INDIRECT(ADDRESS(114,COLUMN()))),"")</f>
        <v/>
      </c>
      <c r="AI117" s="11" t="str">
        <f ca="1">IF(ISNUMBER($F$16),SUM(INDIRECT(ADDRESS($F$16+15,COLUMN())):INDIRECT(ADDRESS(114,COLUMN()))),"")</f>
        <v/>
      </c>
      <c r="AL117" s="11" t="str">
        <f ca="1">IF(ISNUMBER($F$16),SUM(INDIRECT(ADDRESS($F$16+15,COLUMN())):INDIRECT(ADDRESS(114,COLUMN()))),"")</f>
        <v/>
      </c>
      <c r="AO117" s="11" t="str">
        <f ca="1">IF(ISNUMBER($F$16),SUM(INDIRECT(ADDRESS($F$16+15,COLUMN())):INDIRECT(ADDRESS(114,COLUMN()))),"")</f>
        <v/>
      </c>
      <c r="AR117" s="11" t="str">
        <f ca="1">IF(ISNUMBER($F$16),SUM(INDIRECT(ADDRESS($F$16+15,COLUMN())):INDIRECT(ADDRESS(114,COLUMN()))),"")</f>
        <v/>
      </c>
      <c r="AW117" s="11" t="str">
        <f ca="1">IF(ISNUMBER($F$16),SUM(INDIRECT(ADDRESS($F$16+15,COLUMN())):INDIRECT(ADDRESS(114,COLUMN()))),"")</f>
        <v/>
      </c>
      <c r="BB117" s="11" t="str">
        <f ca="1">IF(ISNUMBER($F$16),SUM(INDIRECT(ADDRESS($F$16+15,COLUMN())):INDIRECT(ADDRESS(114,COLUMN()))),"")</f>
        <v/>
      </c>
      <c r="BE117" s="11" t="str">
        <f ca="1">IF(ISNUMBER($F$16),SUM(INDIRECT(ADDRESS($F$16+15,COLUMN())):INDIRECT(ADDRESS(114,COLUMN()))),"")</f>
        <v/>
      </c>
      <c r="BH117" s="11" t="str">
        <f ca="1">IF(ISNUMBER($F$16),SUM(INDIRECT(ADDRESS($F$16+15,COLUMN())):INDIRECT(ADDRESS(114,COLUMN()))),"")</f>
        <v/>
      </c>
      <c r="BK117" s="11" t="str">
        <f ca="1">IF(ISNUMBER($F$16),SUM(INDIRECT(ADDRESS($F$16+15,COLUMN())):INDIRECT(ADDRESS(114,COLUMN()))),"")</f>
        <v/>
      </c>
      <c r="BL117" s="11" t="str">
        <f ca="1">IF(ISNUMBER($F$16),SUM(INDIRECT(ADDRESS($F$16+15,COLUMN())):INDIRECT(ADDRESS(114,COLUMN()))),"")</f>
        <v/>
      </c>
      <c r="BO117" s="11" t="str">
        <f ca="1">IF(ISNUMBER($F$16),SUM(INDIRECT(ADDRESS($F$16+15,COLUMN())):INDIRECT(ADDRESS(114,COLUMN()))),"")</f>
        <v/>
      </c>
      <c r="BR117" s="11" t="str">
        <f ca="1">IF(ISNUMBER($F$16),SUM(INDIRECT(ADDRESS($F$16+15,COLUMN())):INDIRECT(ADDRESS(114,COLUMN()))),"")</f>
        <v/>
      </c>
    </row>
    <row r="119" spans="2:70" x14ac:dyDescent="0.15">
      <c r="C119" s="9" t="s">
        <v>521</v>
      </c>
      <c r="F119" s="44">
        <v>16</v>
      </c>
      <c r="G119" s="9" t="s">
        <v>108</v>
      </c>
    </row>
    <row r="121" spans="2:70" x14ac:dyDescent="0.15">
      <c r="C121" s="89" t="s">
        <v>522</v>
      </c>
      <c r="D121" s="89"/>
      <c r="E121" s="89"/>
      <c r="F121" s="89"/>
      <c r="G121" s="89"/>
    </row>
    <row r="123" spans="2:70" x14ac:dyDescent="0.15">
      <c r="D123" s="9" t="s">
        <v>209</v>
      </c>
      <c r="F123" s="95">
        <v>0.156</v>
      </c>
    </row>
    <row r="124" spans="2:70" x14ac:dyDescent="0.15">
      <c r="D124" s="9" t="s">
        <v>210</v>
      </c>
      <c r="F124" s="95">
        <v>0.16700000000000001</v>
      </c>
    </row>
    <row r="125" spans="2:70" x14ac:dyDescent="0.15">
      <c r="D125" s="9" t="s">
        <v>211</v>
      </c>
      <c r="F125" s="88">
        <v>3.0630000000000001E-2</v>
      </c>
    </row>
    <row r="126" spans="2:70" x14ac:dyDescent="0.15">
      <c r="F126" s="96"/>
    </row>
    <row r="127" spans="2:70" x14ac:dyDescent="0.15">
      <c r="C127" s="111" t="s">
        <v>523</v>
      </c>
      <c r="D127" s="111"/>
      <c r="E127" s="468"/>
      <c r="F127" s="44">
        <f>F117*F125</f>
        <v>18895647000</v>
      </c>
      <c r="G127" s="9" t="s">
        <v>208</v>
      </c>
    </row>
    <row r="129" spans="3:7" x14ac:dyDescent="0.15">
      <c r="C129" s="469" t="s">
        <v>152</v>
      </c>
      <c r="D129" s="111"/>
      <c r="E129" s="111"/>
      <c r="F129" s="95">
        <f>0.1^(1/F119)</f>
        <v>0.86596432336006535</v>
      </c>
      <c r="G129" s="111"/>
    </row>
    <row r="131" spans="3:7" x14ac:dyDescent="0.15">
      <c r="C131" s="89" t="s">
        <v>524</v>
      </c>
      <c r="D131" s="89"/>
      <c r="E131" s="89"/>
      <c r="F131" s="89"/>
      <c r="G131" s="89"/>
    </row>
    <row r="133" spans="3:7" x14ac:dyDescent="0.15">
      <c r="D133" s="9" t="s">
        <v>212</v>
      </c>
      <c r="F133" s="44">
        <f>F13*10000*24*365*F14/100</f>
        <v>7358400000</v>
      </c>
      <c r="G133" s="9" t="s">
        <v>213</v>
      </c>
    </row>
    <row r="134" spans="3:7" x14ac:dyDescent="0.15">
      <c r="D134" s="9" t="s">
        <v>214</v>
      </c>
      <c r="F134" s="44">
        <f>F133*(1-F24/100)</f>
        <v>7064064000</v>
      </c>
      <c r="G134" s="9" t="s">
        <v>213</v>
      </c>
    </row>
    <row r="135" spans="3:7" x14ac:dyDescent="0.15">
      <c r="F135" s="97"/>
    </row>
    <row r="137" spans="3:7" ht="16.5" x14ac:dyDescent="0.15">
      <c r="C137" s="9" t="s">
        <v>525</v>
      </c>
      <c r="F137" s="44">
        <f>IF(ISERROR(F133*3.6/(F23/100)/F22),0,F133*3.6/(F23/100)/F22)</f>
        <v>0</v>
      </c>
      <c r="G137" s="9" t="s">
        <v>370</v>
      </c>
    </row>
    <row r="139" spans="3:7" x14ac:dyDescent="0.15">
      <c r="C139" s="89" t="s">
        <v>526</v>
      </c>
      <c r="D139" s="89"/>
      <c r="E139" s="89"/>
      <c r="F139" s="89"/>
      <c r="G139" s="89"/>
    </row>
    <row r="141" spans="3:7" x14ac:dyDescent="0.15">
      <c r="D141" s="9" t="s">
        <v>215</v>
      </c>
      <c r="F141" s="98" t="str">
        <f>IF(OR(F3="石炭火力",F3= "LNG火力", F3="ガスコジェネ",F3="バイオマス（石炭混焼）",F3="バイオマス（木質専焼）",F3="燃料電池"),IF($F$43="需要地価格","",1000),IF(OR(F3="石油火力",F3="石油コジェネ"),IF($F$43="需要地価格","",158.987294928),""))</f>
        <v/>
      </c>
      <c r="G141" s="9" t="s">
        <v>216</v>
      </c>
    </row>
    <row r="142" spans="3:7" x14ac:dyDescent="0.15">
      <c r="D142" s="9" t="s">
        <v>180</v>
      </c>
      <c r="F142" s="91">
        <f>IF(ISERROR(F42/1000),0,F42/1000)</f>
        <v>0</v>
      </c>
      <c r="G142" s="9" t="s">
        <v>217</v>
      </c>
    </row>
    <row r="145" spans="3:7" x14ac:dyDescent="0.15">
      <c r="C145" s="9" t="s">
        <v>368</v>
      </c>
      <c r="F145" s="98">
        <f>IF(ISERROR(F133*(F47*3.6/(F23/100)/1000*(44/12))),0,F133*(F47*3.6/(F23/100)/1000*(44/12)))</f>
        <v>0</v>
      </c>
      <c r="G145" s="9" t="s">
        <v>218</v>
      </c>
    </row>
    <row r="147" spans="3:7" x14ac:dyDescent="0.15">
      <c r="C147" s="89" t="s">
        <v>369</v>
      </c>
      <c r="D147" s="89"/>
      <c r="E147" s="89"/>
      <c r="F147" s="89"/>
      <c r="G147" s="89"/>
    </row>
    <row r="149" spans="3:7" x14ac:dyDescent="0.15">
      <c r="D149" s="9" t="s">
        <v>527</v>
      </c>
      <c r="F149" s="98">
        <f>IF(ISERROR(F52/F23),0,F52/F23)</f>
        <v>0</v>
      </c>
    </row>
    <row r="150" spans="3:7" x14ac:dyDescent="0.15">
      <c r="D150" s="9" t="s">
        <v>220</v>
      </c>
      <c r="F150" s="98">
        <f>F133*F149*(F53/100)*3.6</f>
        <v>0</v>
      </c>
      <c r="G150" s="9" t="s">
        <v>221</v>
      </c>
    </row>
    <row r="151" spans="3:7" ht="16.5" x14ac:dyDescent="0.15">
      <c r="D151" s="9" t="s">
        <v>222</v>
      </c>
      <c r="F151" s="44">
        <f>IF(ISERROR(F150/(F54/100)/F55),0,F150/(F54/100)/F55)</f>
        <v>0</v>
      </c>
      <c r="G151" s="9" t="s">
        <v>370</v>
      </c>
    </row>
    <row r="152" spans="3:7" x14ac:dyDescent="0.15">
      <c r="D152" s="9" t="s">
        <v>223</v>
      </c>
      <c r="F152" s="146">
        <f>IF(ISERROR(F56/1000),0,F56/1000)</f>
        <v>0</v>
      </c>
      <c r="G152" s="9" t="s">
        <v>217</v>
      </c>
    </row>
    <row r="153" spans="3:7" x14ac:dyDescent="0.15">
      <c r="D153" s="9" t="s">
        <v>224</v>
      </c>
      <c r="F153" s="98">
        <f>IF(ISERROR(F150*F47/1000*(44/12)/(F54/100)),0,F150*F47/1000*(44/12)/(F54/100))</f>
        <v>0</v>
      </c>
      <c r="G153" s="9" t="s">
        <v>218</v>
      </c>
    </row>
  </sheetData>
  <mergeCells count="48">
    <mergeCell ref="AT7:AW7"/>
    <mergeCell ref="AY7:BB7"/>
    <mergeCell ref="BD7:BH7"/>
    <mergeCell ref="AE9:AF10"/>
    <mergeCell ref="AH9:AI10"/>
    <mergeCell ref="AT9:AT10"/>
    <mergeCell ref="AV9:AW10"/>
    <mergeCell ref="AY9:AY10"/>
    <mergeCell ref="BA9:BB10"/>
    <mergeCell ref="BD9:BE10"/>
    <mergeCell ref="BG9:BH10"/>
    <mergeCell ref="F3:G3"/>
    <mergeCell ref="V7:AF7"/>
    <mergeCell ref="AH7:AR7"/>
    <mergeCell ref="I9:I10"/>
    <mergeCell ref="K9:K10"/>
    <mergeCell ref="M9:M10"/>
    <mergeCell ref="O9:P10"/>
    <mergeCell ref="R9:R10"/>
    <mergeCell ref="T9:T10"/>
    <mergeCell ref="AK9:AL10"/>
    <mergeCell ref="V9:W10"/>
    <mergeCell ref="Y9:Z10"/>
    <mergeCell ref="AB9:AC10"/>
    <mergeCell ref="AN9:AO10"/>
    <mergeCell ref="AQ9:AR10"/>
    <mergeCell ref="P12:P13"/>
    <mergeCell ref="W12:W13"/>
    <mergeCell ref="Z12:Z13"/>
    <mergeCell ref="AC12:AC13"/>
    <mergeCell ref="AF12:AF13"/>
    <mergeCell ref="BE12:BE13"/>
    <mergeCell ref="BH12:BH13"/>
    <mergeCell ref="AI12:AI13"/>
    <mergeCell ref="AL12:AL13"/>
    <mergeCell ref="AO12:AO13"/>
    <mergeCell ref="AR12:AR13"/>
    <mergeCell ref="AW12:AW13"/>
    <mergeCell ref="BB12:BB13"/>
    <mergeCell ref="BR12:BR13"/>
    <mergeCell ref="BK12:BK13"/>
    <mergeCell ref="BO12:BO13"/>
    <mergeCell ref="BQ7:BR7"/>
    <mergeCell ref="BJ12:BJ13"/>
    <mergeCell ref="BL12:BL13"/>
    <mergeCell ref="BJ7:BO7"/>
    <mergeCell ref="BJ9:BL10"/>
    <mergeCell ref="BN9:BO10"/>
  </mergeCells>
  <phoneticPr fontId="16"/>
  <dataValidations disablePrompts="1" count="3">
    <dataValidation type="list" allowBlank="1" showDropDown="1" showInputMessage="1" showErrorMessage="1" sqref="F48 F41" xr:uid="{00000000-0002-0000-0200-000000000000}">
      <formula1>"現行政策シナリオ, 新政策シナリオ"</formula1>
    </dataValidation>
    <dataValidation type="whole" allowBlank="1" showInputMessage="1" showErrorMessage="1" sqref="F7" xr:uid="{00000000-0002-0000-0200-000001000000}">
      <formula1>2010</formula1>
      <formula2>2030</formula2>
    </dataValidation>
    <dataValidation type="list" allowBlank="1" showDropDown="1" showInputMessage="1" showErrorMessage="1" sqref="F43" xr:uid="{00000000-0002-0000-0200-000002000000}">
      <formula1>"CIF価格, 需要地価格"</formula1>
    </dataValidation>
  </dataValidations>
  <pageMargins left="0.59055118110236227" right="0.59055118110236227" top="0.59055118110236227" bottom="0.59055118110236227" header="0.31496062992125984" footer="0.31496062992125984"/>
  <pageSetup paperSize="8" scale="2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BR153"/>
  <sheetViews>
    <sheetView showGridLines="0" zoomScale="85" zoomScaleNormal="85" workbookViewId="0">
      <pane xSplit="10" ySplit="14" topLeftCell="K15" activePane="bottomRight" state="frozen"/>
      <selection pane="topRight" activeCell="AF12" sqref="AF12:AF13"/>
      <selection pane="bottomLeft" activeCell="AF12" sqref="AF12:AF13"/>
      <selection pane="bottomRight" sqref="A1:G1048576"/>
    </sheetView>
  </sheetViews>
  <sheetFormatPr defaultColWidth="9" defaultRowHeight="14.25" outlineLevelCol="1" x14ac:dyDescent="0.15"/>
  <cols>
    <col min="1" max="3" width="6.25" style="71" customWidth="1"/>
    <col min="4" max="4" width="6.25" style="84" customWidth="1"/>
    <col min="5" max="5" width="24.375" style="84" customWidth="1"/>
    <col min="6" max="6" width="18.75" style="71" customWidth="1"/>
    <col min="7" max="7" width="24.375" style="84" bestFit="1" customWidth="1"/>
    <col min="8" max="8" width="9" style="2"/>
    <col min="9" max="9" width="6.25" style="2" customWidth="1"/>
    <col min="10" max="10" width="3" style="2" customWidth="1"/>
    <col min="11" max="11" width="6.25" style="2" customWidth="1"/>
    <col min="12" max="12" width="3" style="2" customWidth="1"/>
    <col min="13" max="13" width="6.25" style="2" customWidth="1"/>
    <col min="14" max="14" width="3" style="2" customWidth="1"/>
    <col min="15" max="15" width="17.375" style="2" bestFit="1" customWidth="1"/>
    <col min="16" max="16" width="8.625" style="2" customWidth="1"/>
    <col min="17" max="17" width="3" style="2" customWidth="1"/>
    <col min="18" max="18" width="17.375" style="2" bestFit="1" customWidth="1"/>
    <col min="19" max="19" width="3" style="2" customWidth="1"/>
    <col min="20" max="20" width="17.375" style="2" bestFit="1" customWidth="1"/>
    <col min="21" max="21" width="3" style="2" customWidth="1"/>
    <col min="22" max="22" width="15" style="2" customWidth="1" outlineLevel="1"/>
    <col min="23" max="23" width="17.375" style="2" bestFit="1" customWidth="1"/>
    <col min="24" max="24" width="3" style="2" customWidth="1"/>
    <col min="25" max="25" width="15" style="2" customWidth="1" outlineLevel="1"/>
    <col min="26" max="26" width="15" style="2" customWidth="1"/>
    <col min="27" max="27" width="3" style="2" customWidth="1"/>
    <col min="28" max="28" width="15" style="2" customWidth="1" outlineLevel="1"/>
    <col min="29" max="29" width="15" style="2" customWidth="1"/>
    <col min="30" max="30" width="3" style="2" customWidth="1"/>
    <col min="31" max="31" width="15" style="2" customWidth="1" outlineLevel="1"/>
    <col min="32" max="32" width="15" style="2" customWidth="1"/>
    <col min="33" max="33" width="3" style="2" customWidth="1"/>
    <col min="34" max="34" width="14.875" style="2" customWidth="1" outlineLevel="1"/>
    <col min="35" max="35" width="15" style="2" customWidth="1"/>
    <col min="36" max="36" width="3" style="2" customWidth="1"/>
    <col min="37" max="37" width="15" style="2" customWidth="1" outlineLevel="1"/>
    <col min="38" max="38" width="15" style="2" customWidth="1"/>
    <col min="39" max="39" width="3" style="2" customWidth="1"/>
    <col min="40" max="40" width="15" style="2" customWidth="1" outlineLevel="1"/>
    <col min="41" max="41" width="15" style="2" customWidth="1"/>
    <col min="42" max="42" width="3" style="2" customWidth="1"/>
    <col min="43" max="43" width="15" style="2" customWidth="1" outlineLevel="1"/>
    <col min="44" max="44" width="15" style="2" customWidth="1"/>
    <col min="45" max="45" width="3" style="2" customWidth="1"/>
    <col min="46" max="46" width="10.75" style="2" bestFit="1" customWidth="1"/>
    <col min="47" max="47" width="3" style="2" customWidth="1"/>
    <col min="48" max="48" width="15" style="2" customWidth="1" outlineLevel="1"/>
    <col min="49" max="49" width="17.375" style="2" bestFit="1" customWidth="1"/>
    <col min="50" max="50" width="3" style="2" customWidth="1"/>
    <col min="51" max="51" width="9.625" style="2" bestFit="1" customWidth="1"/>
    <col min="52" max="52" width="3" style="2" customWidth="1"/>
    <col min="53" max="53" width="15" style="2" customWidth="1" outlineLevel="1"/>
    <col min="54" max="54" width="17.375" style="2" bestFit="1" customWidth="1"/>
    <col min="55" max="55" width="3" style="2" customWidth="1"/>
    <col min="56" max="56" width="19.25" style="2" customWidth="1" outlineLevel="1"/>
    <col min="57" max="57" width="19.25" style="2" bestFit="1" customWidth="1"/>
    <col min="58" max="58" width="3" style="2" customWidth="1"/>
    <col min="59" max="59" width="19.25" style="2" customWidth="1" outlineLevel="1"/>
    <col min="60" max="60" width="19.25" style="2"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2" customWidth="1" outlineLevel="1"/>
    <col min="70" max="70" width="17.375" style="2" bestFit="1" customWidth="1"/>
    <col min="71" max="16384" width="9" style="2"/>
  </cols>
  <sheetData>
    <row r="1" spans="1:70" ht="18.75" x14ac:dyDescent="0.15">
      <c r="A1" s="6" t="s">
        <v>60</v>
      </c>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Q1" s="71"/>
      <c r="BR1" s="71"/>
    </row>
    <row r="3" spans="1:70" ht="23.25" x14ac:dyDescent="0.15">
      <c r="B3" s="1" t="s">
        <v>542</v>
      </c>
      <c r="F3" s="718" t="s">
        <v>642</v>
      </c>
      <c r="G3" s="719"/>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Q3" s="71"/>
      <c r="BR3" s="71"/>
    </row>
    <row r="4" spans="1:70" x14ac:dyDescent="0.15">
      <c r="G4" s="472"/>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Q4" s="71"/>
      <c r="BR4" s="71"/>
    </row>
    <row r="5" spans="1:70" ht="15.75" thickBot="1" x14ac:dyDescent="0.2">
      <c r="B5" s="5" t="s">
        <v>543</v>
      </c>
      <c r="C5" s="3"/>
      <c r="D5" s="102"/>
      <c r="E5" s="102"/>
      <c r="F5" s="3"/>
      <c r="G5" s="102"/>
      <c r="H5" s="71"/>
      <c r="I5" s="5" t="s">
        <v>64</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H6" s="71"/>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71" t="s">
        <v>545</v>
      </c>
      <c r="F7" s="473">
        <v>2020</v>
      </c>
      <c r="H7" s="71"/>
      <c r="I7" s="8"/>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71" t="s">
        <v>546</v>
      </c>
      <c r="F8" s="474">
        <f>まとめ!B3</f>
        <v>107</v>
      </c>
      <c r="G8" s="84" t="s">
        <v>547</v>
      </c>
      <c r="H8" s="71"/>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71" t="s">
        <v>548</v>
      </c>
      <c r="F9" s="474">
        <f>まとめ!B2</f>
        <v>3</v>
      </c>
      <c r="G9" s="84" t="s">
        <v>549</v>
      </c>
      <c r="H9" s="71"/>
      <c r="I9" s="720" t="s">
        <v>78</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30" t="s">
        <v>232</v>
      </c>
      <c r="AI9" s="729"/>
      <c r="AJ9" s="60"/>
      <c r="AK9" s="730" t="s">
        <v>233</v>
      </c>
      <c r="AL9" s="729"/>
      <c r="AM9" s="111"/>
      <c r="AN9" s="730" t="s">
        <v>233</v>
      </c>
      <c r="AO9" s="729"/>
      <c r="AP9" s="111"/>
      <c r="AQ9" s="730" t="s">
        <v>233</v>
      </c>
      <c r="AR9" s="729"/>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H10" s="71"/>
      <c r="I10" s="708"/>
      <c r="J10" s="71"/>
      <c r="K10" s="708"/>
      <c r="L10" s="71"/>
      <c r="M10" s="708"/>
      <c r="N10" s="71"/>
      <c r="O10" s="717"/>
      <c r="P10" s="717"/>
      <c r="Q10" s="71"/>
      <c r="R10" s="708"/>
      <c r="S10" s="71"/>
      <c r="T10" s="708"/>
      <c r="U10" s="71"/>
      <c r="V10" s="717"/>
      <c r="W10" s="717"/>
      <c r="X10" s="71"/>
      <c r="Y10" s="717"/>
      <c r="Z10" s="717"/>
      <c r="AA10" s="71"/>
      <c r="AB10" s="723"/>
      <c r="AC10" s="723"/>
      <c r="AD10" s="81"/>
      <c r="AE10" s="723"/>
      <c r="AF10" s="723"/>
      <c r="AG10" s="71"/>
      <c r="AH10" s="731"/>
      <c r="AI10" s="731"/>
      <c r="AJ10" s="61"/>
      <c r="AK10" s="731"/>
      <c r="AL10" s="731"/>
      <c r="AM10" s="9"/>
      <c r="AN10" s="731"/>
      <c r="AO10" s="731"/>
      <c r="AP10" s="9"/>
      <c r="AQ10" s="731"/>
      <c r="AR10" s="731"/>
      <c r="AS10" s="71"/>
      <c r="AT10" s="717"/>
      <c r="AU10" s="71"/>
      <c r="AV10" s="717"/>
      <c r="AW10" s="717"/>
      <c r="AX10" s="322"/>
      <c r="AY10" s="708"/>
      <c r="AZ10" s="71"/>
      <c r="BA10" s="708"/>
      <c r="BB10" s="708"/>
      <c r="BC10" s="71"/>
      <c r="BD10" s="717"/>
      <c r="BE10" s="717"/>
      <c r="BF10" s="71"/>
      <c r="BG10" s="717"/>
      <c r="BH10" s="717"/>
      <c r="BJ10" s="708"/>
      <c r="BK10" s="708"/>
      <c r="BL10" s="708"/>
      <c r="BM10" s="322"/>
      <c r="BN10" s="717"/>
      <c r="BO10" s="717"/>
      <c r="BQ10" s="322"/>
      <c r="BR10" s="322"/>
    </row>
    <row r="11" spans="1:70" ht="15.75" customHeight="1" thickBot="1" x14ac:dyDescent="0.2">
      <c r="B11" s="5" t="s">
        <v>95</v>
      </c>
      <c r="C11" s="3"/>
      <c r="D11" s="102"/>
      <c r="E11" s="102"/>
      <c r="F11" s="3"/>
      <c r="G11" s="102"/>
      <c r="H11" s="71"/>
      <c r="I11" s="71"/>
      <c r="J11" s="71"/>
      <c r="K11" s="71"/>
      <c r="L11" s="71"/>
      <c r="M11" s="71"/>
      <c r="N11" s="71"/>
      <c r="O11" s="322" t="s">
        <v>96</v>
      </c>
      <c r="P11" s="322"/>
      <c r="Q11" s="322"/>
      <c r="R11" s="322" t="s">
        <v>96</v>
      </c>
      <c r="S11" s="322"/>
      <c r="T11" s="322"/>
      <c r="U11" s="71"/>
      <c r="V11" s="322"/>
      <c r="W11" s="322"/>
      <c r="X11" s="71"/>
      <c r="Y11" s="322"/>
      <c r="Z11" s="322"/>
      <c r="AA11" s="71"/>
      <c r="AB11" s="322"/>
      <c r="AC11" s="322"/>
      <c r="AD11" s="71"/>
      <c r="AE11" s="322"/>
      <c r="AF11" s="322"/>
      <c r="AG11" s="71"/>
      <c r="AH11" s="322"/>
      <c r="AI11" s="322"/>
      <c r="AJ11" s="71"/>
      <c r="AK11" s="322"/>
      <c r="AL11" s="322"/>
      <c r="AM11" s="71"/>
      <c r="AN11" s="322"/>
      <c r="AO11" s="322"/>
      <c r="AP11" s="71"/>
      <c r="AQ11" s="322"/>
      <c r="AR11" s="322"/>
      <c r="AS11" s="71"/>
      <c r="AT11" s="322"/>
      <c r="AU11" s="71"/>
      <c r="AV11" s="322"/>
      <c r="AW11" s="322"/>
      <c r="AX11" s="322"/>
      <c r="AY11" s="71"/>
      <c r="AZ11" s="71"/>
      <c r="BA11" s="71"/>
      <c r="BB11" s="322"/>
      <c r="BC11" s="71"/>
      <c r="BD11" s="322"/>
      <c r="BE11" s="322"/>
      <c r="BF11" s="71"/>
      <c r="BG11" s="322"/>
      <c r="BH11" s="322"/>
      <c r="BJ11" s="156"/>
      <c r="BM11" s="322"/>
      <c r="BN11" s="322"/>
      <c r="BO11" s="322"/>
      <c r="BQ11" s="322"/>
      <c r="BR11" s="322"/>
    </row>
    <row r="12" spans="1:70" ht="14.25" customHeight="1" x14ac:dyDescent="0.15">
      <c r="H12" s="71"/>
      <c r="I12" s="71"/>
      <c r="J12" s="71"/>
      <c r="K12" s="71"/>
      <c r="L12" s="71"/>
      <c r="M12" s="71"/>
      <c r="N12" s="71"/>
      <c r="O12" s="322"/>
      <c r="P12" s="707" t="s">
        <v>97</v>
      </c>
      <c r="Q12" s="71"/>
      <c r="R12" s="71"/>
      <c r="S12" s="71"/>
      <c r="T12" s="71"/>
      <c r="U12" s="71"/>
      <c r="V12" s="71"/>
      <c r="W12" s="707" t="s">
        <v>98</v>
      </c>
      <c r="X12" s="71"/>
      <c r="Y12" s="71"/>
      <c r="Z12" s="707" t="s">
        <v>98</v>
      </c>
      <c r="AA12" s="71"/>
      <c r="AB12" s="71"/>
      <c r="AC12" s="707" t="s">
        <v>98</v>
      </c>
      <c r="AD12" s="71"/>
      <c r="AE12" s="71"/>
      <c r="AF12" s="707" t="s">
        <v>98</v>
      </c>
      <c r="AG12" s="71"/>
      <c r="AH12" s="71"/>
      <c r="AI12" s="707" t="s">
        <v>98</v>
      </c>
      <c r="AJ12" s="71"/>
      <c r="AK12" s="71"/>
      <c r="AL12" s="707" t="s">
        <v>98</v>
      </c>
      <c r="AM12" s="71"/>
      <c r="AN12" s="71"/>
      <c r="AO12" s="707" t="s">
        <v>98</v>
      </c>
      <c r="AP12" s="71"/>
      <c r="AQ12" s="71"/>
      <c r="AR12" s="707" t="s">
        <v>98</v>
      </c>
      <c r="AS12" s="71"/>
      <c r="AT12" s="71"/>
      <c r="AU12" s="71"/>
      <c r="AV12" s="71"/>
      <c r="AW12" s="707" t="s">
        <v>98</v>
      </c>
      <c r="AX12" s="71"/>
      <c r="AY12" s="71"/>
      <c r="AZ12" s="71"/>
      <c r="BA12" s="71"/>
      <c r="BB12" s="707" t="s">
        <v>98</v>
      </c>
      <c r="BC12" s="71"/>
      <c r="BD12" s="71"/>
      <c r="BE12" s="707" t="s">
        <v>98</v>
      </c>
      <c r="BF12" s="71"/>
      <c r="BG12" s="71"/>
      <c r="BH12" s="707" t="s">
        <v>98</v>
      </c>
      <c r="BJ12" s="709" t="s">
        <v>99</v>
      </c>
      <c r="BK12" s="709" t="s">
        <v>100</v>
      </c>
      <c r="BL12" s="709" t="s">
        <v>101</v>
      </c>
      <c r="BO12" s="709" t="s">
        <v>102</v>
      </c>
      <c r="BQ12" s="71"/>
      <c r="BR12" s="707" t="s">
        <v>103</v>
      </c>
    </row>
    <row r="13" spans="1:70" ht="14.25" customHeight="1" x14ac:dyDescent="0.15">
      <c r="C13" s="71" t="s">
        <v>552</v>
      </c>
      <c r="F13" s="475">
        <v>3</v>
      </c>
      <c r="G13" s="84" t="s">
        <v>553</v>
      </c>
      <c r="H13" s="71"/>
      <c r="I13" s="71"/>
      <c r="J13" s="71"/>
      <c r="K13" s="71"/>
      <c r="L13" s="71"/>
      <c r="M13" s="71"/>
      <c r="N13" s="71"/>
      <c r="O13" s="322"/>
      <c r="P13" s="708"/>
      <c r="Q13" s="322"/>
      <c r="R13" s="322"/>
      <c r="S13" s="322"/>
      <c r="T13" s="322"/>
      <c r="U13" s="71"/>
      <c r="V13" s="322"/>
      <c r="W13" s="708"/>
      <c r="X13" s="71"/>
      <c r="Y13" s="322"/>
      <c r="Z13" s="708"/>
      <c r="AA13" s="71"/>
      <c r="AB13" s="322"/>
      <c r="AC13" s="708"/>
      <c r="AD13" s="71"/>
      <c r="AE13" s="322"/>
      <c r="AF13" s="708"/>
      <c r="AG13" s="71"/>
      <c r="AH13" s="322"/>
      <c r="AI13" s="708"/>
      <c r="AJ13" s="71"/>
      <c r="AK13" s="322"/>
      <c r="AL13" s="708"/>
      <c r="AM13" s="71"/>
      <c r="AN13" s="322"/>
      <c r="AO13" s="708"/>
      <c r="AP13" s="71"/>
      <c r="AQ13" s="322"/>
      <c r="AR13" s="708"/>
      <c r="AS13" s="71"/>
      <c r="AT13" s="322"/>
      <c r="AU13" s="71"/>
      <c r="AV13" s="322"/>
      <c r="AW13" s="708"/>
      <c r="AX13" s="71"/>
      <c r="AY13" s="71"/>
      <c r="AZ13" s="71"/>
      <c r="BA13" s="71"/>
      <c r="BB13" s="708"/>
      <c r="BC13" s="71"/>
      <c r="BD13" s="322"/>
      <c r="BE13" s="708"/>
      <c r="BF13" s="71"/>
      <c r="BG13" s="322"/>
      <c r="BH13" s="708"/>
      <c r="BJ13" s="712"/>
      <c r="BK13" s="710"/>
      <c r="BL13" s="708"/>
      <c r="BM13" s="322"/>
      <c r="BO13" s="708"/>
      <c r="BQ13" s="322"/>
      <c r="BR13" s="708"/>
    </row>
    <row r="14" spans="1:70" ht="16.5" x14ac:dyDescent="0.15">
      <c r="C14" s="71" t="s">
        <v>554</v>
      </c>
      <c r="F14" s="474">
        <f>VLOOKUP(F3&amp;IF(G4&lt;&gt;"","_"&amp;G4,""),まとめ!$A$12:$G$34,IF(F7=2030,4,IF(F7=2020,3,IF(F7=2014,2,"-"))),0)</f>
        <v>83</v>
      </c>
      <c r="G14" s="84" t="s">
        <v>549</v>
      </c>
      <c r="H14" s="71"/>
      <c r="I14" s="71"/>
      <c r="J14" s="71"/>
      <c r="K14" s="71"/>
      <c r="L14" s="71"/>
      <c r="M14" s="71"/>
      <c r="N14" s="71"/>
      <c r="O14" s="322"/>
      <c r="P14" s="322"/>
      <c r="Q14" s="322"/>
      <c r="R14" s="322"/>
      <c r="S14" s="322"/>
      <c r="T14" s="322"/>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50" t="s">
        <v>104</v>
      </c>
      <c r="AU14" s="71"/>
      <c r="AV14" s="71"/>
      <c r="AW14" s="71"/>
      <c r="AX14" s="71"/>
      <c r="AY14" s="71" t="s">
        <v>105</v>
      </c>
      <c r="AZ14" s="71"/>
      <c r="BA14" s="71"/>
      <c r="BB14" s="71"/>
      <c r="BC14" s="71"/>
      <c r="BD14" s="71"/>
      <c r="BE14" s="71"/>
      <c r="BF14" s="71"/>
      <c r="BG14" s="71"/>
      <c r="BH14" s="71"/>
      <c r="BQ14" s="71"/>
      <c r="BR14" s="71"/>
    </row>
    <row r="15" spans="1:70" x14ac:dyDescent="0.15">
      <c r="C15" s="71" t="s">
        <v>555</v>
      </c>
      <c r="F15" s="474">
        <f>VLOOKUP(F3&amp;IF(G4&lt;&gt;"","_"&amp;G4,""),まとめ!$A$12:$G$34,IF(F7=2030,7,IF(F7=2020,6,IF(F7=2014,5,"-"))),0)</f>
        <v>40</v>
      </c>
      <c r="G15" s="84" t="s">
        <v>556</v>
      </c>
      <c r="H15" s="71"/>
      <c r="I15" s="38">
        <f>F7</f>
        <v>2020</v>
      </c>
      <c r="J15" s="39"/>
      <c r="K15" s="39">
        <f>IF(I15&lt;&gt;"",1,"")</f>
        <v>1</v>
      </c>
      <c r="L15" s="39"/>
      <c r="M15" s="40">
        <f t="shared" ref="M15:M78" si="0">1/(1+($F$9/100))^K15</f>
        <v>0.970873786407767</v>
      </c>
      <c r="N15" s="39"/>
      <c r="O15" s="72">
        <f>F117</f>
        <v>23700000000</v>
      </c>
      <c r="P15" s="41">
        <f t="shared" ref="P15:P46" si="1">IF(K15&lt;=$F$15,IF(OR(P14=$F$124,P14="-"),"-",IF(O15*$F$123&gt;$F$127,$F$123,$F$124)),"")</f>
        <v>0.16700000000000001</v>
      </c>
      <c r="Q15" s="39"/>
      <c r="R15" s="72">
        <f>F117</f>
        <v>23700000000</v>
      </c>
      <c r="S15" s="39"/>
      <c r="T15" s="72">
        <f>IF(ISNUMBER(R15),ROUNDDOWN(R15,-3),"")</f>
        <v>23700000000</v>
      </c>
      <c r="U15" s="39"/>
      <c r="V15" s="72">
        <f t="shared" ref="V15:V46" si="2">IF(K15&lt;=$F$15,IF(K15&lt;$F$119,IF(P15="-",V14,O15*P15),IF(K15=$F$119,MIN(IF(P15="-",V14,O15*P15),O15),0)),"")</f>
        <v>3957900000</v>
      </c>
      <c r="W15" s="72">
        <f>IF(ISNUMBER(V15),V15*$M15,"")</f>
        <v>3842621359.2233009</v>
      </c>
      <c r="X15" s="39"/>
      <c r="Y15" s="72">
        <f t="shared" ref="Y15:Y46" si="3">IF($K15&lt;=$F$15,ROUNDDOWN(T15*$F$25/100,-2),"")</f>
        <v>331800000</v>
      </c>
      <c r="Z15" s="72">
        <f>IF(ISNUMBER(Y15),Y15*$M15,"")</f>
        <v>322135922.33009708</v>
      </c>
      <c r="AA15" s="39"/>
      <c r="AB15" s="72">
        <f t="shared" ref="AB15:AB78" si="4">IF($K15&lt;=$F$15,0,IF(AND($K15&gt;$F$15,$K15&lt;=$F$15+$F$28),$F$27*10^8/$F$28,""))</f>
        <v>0</v>
      </c>
      <c r="AC15" s="72">
        <f>IF(ISNUMBER(AB15),AB15*$M15,"")</f>
        <v>0</v>
      </c>
      <c r="AD15" s="39"/>
      <c r="AE15" s="72">
        <f t="shared" ref="AE15:AE46" si="5">IF($K15&lt;=$F$15,$F$26,"")</f>
        <v>0</v>
      </c>
      <c r="AF15" s="72">
        <f>IF(ISNUMBER(AE15),AE15*$M15,"")</f>
        <v>0</v>
      </c>
      <c r="AG15" s="39"/>
      <c r="AH15" s="72">
        <f t="shared" ref="AH15:AH46" si="6">IF($K15&lt;=$F$15,$F$33*10^4*$F$13*10^4,"")</f>
        <v>990000000</v>
      </c>
      <c r="AI15" s="72">
        <f>IF(ISNUMBER(AH15),AH15*$M15,"")</f>
        <v>961165048.54368937</v>
      </c>
      <c r="AJ15" s="39"/>
      <c r="AK15" s="72">
        <f t="shared" ref="AK15:AK46" si="7">IF($K15&lt;=$F$15,$F$117*$F$34/100,"")</f>
        <v>0</v>
      </c>
      <c r="AL15" s="72">
        <f>IF(ISNUMBER(AK15),AK15*$M15,"")</f>
        <v>0</v>
      </c>
      <c r="AM15" s="39"/>
      <c r="AN15" s="72">
        <f t="shared" ref="AN15:AN46" si="8">IF($K15&lt;=$F$15,$F$117*$F$35/100,"")</f>
        <v>0</v>
      </c>
      <c r="AO15" s="72">
        <f>IF(ISNUMBER(AN15),AN15*$M15,"")</f>
        <v>0</v>
      </c>
      <c r="AP15" s="39"/>
      <c r="AQ15" s="72">
        <f t="shared" ref="AQ15:AQ46" si="9">IF($K15&lt;=$F$15,SUM(AH15,AK15,AN15)*($F$36/100),"")</f>
        <v>0</v>
      </c>
      <c r="AR15" s="72">
        <f>IF(ISNUMBER(AQ15),AQ15*$M15,"")</f>
        <v>0</v>
      </c>
      <c r="AS15" s="39"/>
      <c r="AT15" s="40">
        <f>IF($K15&lt;=$F$15,IF($F$40&lt;&gt;"",$F$40/1000,IF(ISERROR(VLOOKUP($F$3&amp;IF($G$4&lt;&gt;"",$G$4,"")&amp;IF($F$43&lt;&gt;"","_"&amp;$F$43,""),'表3）燃料価格'!$AF$9:$AG$25,2,0)),0,VLOOKUP($I15,'表3）燃料価格'!$A$6:$U$66,VLOOKUP($F$3&amp;IF($G$4&lt;&gt;"",$G$4,"")&amp;IF($F$43&lt;&gt;"","_"&amp;$F$43,""),'表3）燃料価格'!$AF$9:$AG$25,2,0)+VLOOKUP($F$41,'表3）燃料価格'!$AF$28:$AG$29,2,0),0)*IF($F$43="需要地価格",1,$F$8/$F$141))),"")</f>
        <v>0</v>
      </c>
      <c r="AU15" s="39"/>
      <c r="AV15" s="72">
        <f t="shared" ref="AV15:AV46" si="10">IF($K15&lt;=$F$15,($AT15+$F$142)*$F$137,"")</f>
        <v>0</v>
      </c>
      <c r="AW15" s="72">
        <f>IF(ISNUMBER(AV15),AV15*$M15,"")</f>
        <v>0</v>
      </c>
      <c r="AX15" s="39"/>
      <c r="AY15" s="40">
        <f>IF(ISERROR(IF($K15&lt;=$F$15,VLOOKUP($I15,'表4）CO2価格'!$A$7:$E$67,VLOOKUP($F$48,'表4）CO2価格'!$H$10:$I$12,2,0),0)*$F$8/1000,"")),0,IF($K15&lt;=$F$15,VLOOKUP($I15,'表4）CO2価格'!$A$7:$E$67,VLOOKUP($F$48,'表4）CO2価格'!$H$10:$I$12,2,0),0)*$F$8/1000,""))</f>
        <v>0</v>
      </c>
      <c r="AZ15" s="39"/>
      <c r="BA15" s="42">
        <f t="shared" ref="BA15:BA46" si="11">IF($K15&lt;=$F$15,$F$145*AY15,"")</f>
        <v>0</v>
      </c>
      <c r="BB15" s="72">
        <f>IF(ISNUMBER(BA15),BA15*$M15,"")</f>
        <v>0</v>
      </c>
      <c r="BC15" s="39"/>
      <c r="BD15" s="72">
        <f t="shared" ref="BD15:BD46" si="12">IF($K15&lt;=$F$15,($AT15+$F$152)*$F$151,"")</f>
        <v>0</v>
      </c>
      <c r="BE15" s="72">
        <f>IF(ISNUMBER(BD15),BD15*$M15,"")</f>
        <v>0</v>
      </c>
      <c r="BF15" s="39"/>
      <c r="BG15" s="42">
        <f t="shared" ref="BG15:BG46" si="13">IF($K15&lt;=$F$15,$F$153*AY15,"")</f>
        <v>0</v>
      </c>
      <c r="BH15" s="72">
        <f>IF(ISNUMBER(BG15),BG15*$M15,"")</f>
        <v>0</v>
      </c>
      <c r="BI15" s="39"/>
      <c r="BJ15" s="40">
        <f>IF(ISNUMBER($F$16),IF($K15&lt;=$F$16+$F$28,1/(1+($F$17/100))^K15,""),"")</f>
        <v>0.88495575221238942</v>
      </c>
      <c r="BK15" s="157">
        <f>IF(ISNUMBER($F$16),IF($K15&lt;=$F$16+$F$28,IF($K15&lt;=$F$16,SUM(Y15,AB15,AE15,AH15,AK15,AN15,AQ15,AV15,BA15,BD15,BG15),$F$27/$F$28*10^8)*BJ15,""),"")</f>
        <v>1169734513.2743363</v>
      </c>
      <c r="BL15" s="157">
        <f t="shared" ref="BL15:BL78" si="14">IF(AND(ISNUMBER(BJ15),$K15&lt;=$F$16),BQ15*BJ15,"")</f>
        <v>171796778.76106197</v>
      </c>
      <c r="BM15" s="72"/>
      <c r="BN15" s="72">
        <f>IF(AND(ISNUMBER($F$16),$K15&lt;=$F$16),BQ15*($O$15+$BK$116)/$BL$116,"")</f>
        <v>4868862800.1687965</v>
      </c>
      <c r="BO15" s="72">
        <f>IF(ISNUMBER(BN15),BN15*$M15,"")</f>
        <v>4727051262.2998028</v>
      </c>
      <c r="BP15" s="39"/>
      <c r="BQ15" s="72">
        <f t="shared" ref="BQ15:BQ46" si="15">IF($K15&lt;=$F$15,$F$134,"")</f>
        <v>194130360</v>
      </c>
      <c r="BR15" s="72">
        <f>IF(ISNUMBER(BQ15),BQ15*$M15,"")</f>
        <v>188476077.66990292</v>
      </c>
    </row>
    <row r="16" spans="1:70" x14ac:dyDescent="0.15">
      <c r="C16" s="184" t="s">
        <v>107</v>
      </c>
      <c r="F16" s="474">
        <f>IF(ISERROR(VLOOKUP(F3&amp;IF(G4&lt;&gt;"","_"&amp;G4,""),'表7）買取期間・IRR'!$A$3:$A$10,1,0)),"",VLOOKUP(F3&amp;IF(G4&lt;&gt;"","_"&amp;G4,""),'表7）買取期間・IRR'!$A$3:$C$10,IF(F7=2030,4,IF(F7=2020,3,IF(F7=2014,2,"-"))),0))</f>
        <v>15</v>
      </c>
      <c r="G16" s="84" t="s">
        <v>556</v>
      </c>
      <c r="H16" s="71"/>
      <c r="I16" s="322">
        <f>I15+1</f>
        <v>2021</v>
      </c>
      <c r="J16" s="71"/>
      <c r="K16" s="71">
        <f>IF(I16&lt;&gt;"",K15+1,"")</f>
        <v>2</v>
      </c>
      <c r="L16" s="71"/>
      <c r="M16" s="7">
        <f t="shared" si="0"/>
        <v>0.94259590913375435</v>
      </c>
      <c r="N16" s="71"/>
      <c r="O16" s="10">
        <f t="shared" ref="O16:O79" si="16">IF(K16&lt;=$F$15,O15-V15,"")</f>
        <v>19742100000</v>
      </c>
      <c r="P16" s="29">
        <f t="shared" si="1"/>
        <v>0.16700000000000001</v>
      </c>
      <c r="Q16" s="71"/>
      <c r="R16" s="10">
        <f t="shared" ref="R16:R47" si="17">IF($K16&lt;=$F$15,MAX($F$117*5%,R15*$F$129),"")</f>
        <v>20327392796.604191</v>
      </c>
      <c r="S16" s="71"/>
      <c r="T16" s="10">
        <f t="shared" ref="T16:T79" si="18">IF(ISNUMBER(R16),ROUNDDOWN(R16,-3),"")</f>
        <v>20327392000</v>
      </c>
      <c r="U16" s="71"/>
      <c r="V16" s="10">
        <f t="shared" si="2"/>
        <v>3296930700</v>
      </c>
      <c r="W16" s="10">
        <f t="shared" ref="W16:W79" si="19">IF(ISNUMBER(V16),V16*$M16,"")</f>
        <v>3107673390.5174851</v>
      </c>
      <c r="X16" s="71"/>
      <c r="Y16" s="10">
        <f t="shared" si="3"/>
        <v>284583400</v>
      </c>
      <c r="Z16" s="10">
        <f t="shared" ref="Z16:Z79" si="20">IF(ISNUMBER(Y16),Y16*$M16,"")</f>
        <v>268247148.64737487</v>
      </c>
      <c r="AA16" s="71"/>
      <c r="AB16" s="10">
        <f t="shared" si="4"/>
        <v>0</v>
      </c>
      <c r="AC16" s="10">
        <f t="shared" ref="AC16:AC79" si="21">IF(ISNUMBER(AB16),AB16*$M16,"")</f>
        <v>0</v>
      </c>
      <c r="AD16" s="71"/>
      <c r="AE16" s="10">
        <f t="shared" si="5"/>
        <v>0</v>
      </c>
      <c r="AF16" s="10">
        <f t="shared" ref="AF16:AF79" si="22">IF(ISNUMBER(AE16),AE16*$M16,"")</f>
        <v>0</v>
      </c>
      <c r="AG16" s="71"/>
      <c r="AH16" s="10">
        <f t="shared" si="6"/>
        <v>990000000</v>
      </c>
      <c r="AI16" s="10">
        <f t="shared" ref="AI16:AI79" si="23">IF(ISNUMBER(AH16),AH16*$M16,"")</f>
        <v>933169950.04241681</v>
      </c>
      <c r="AJ16" s="71"/>
      <c r="AK16" s="10">
        <f t="shared" si="7"/>
        <v>0</v>
      </c>
      <c r="AL16" s="10">
        <f t="shared" ref="AL16:AL79" si="24">IF(ISNUMBER(AK16),AK16*$M16,"")</f>
        <v>0</v>
      </c>
      <c r="AM16" s="71"/>
      <c r="AN16" s="10">
        <f t="shared" si="8"/>
        <v>0</v>
      </c>
      <c r="AO16" s="10">
        <f t="shared" ref="AO16:AO79" si="25">IF(ISNUMBER(AN16),AN16*$M16,"")</f>
        <v>0</v>
      </c>
      <c r="AP16" s="71"/>
      <c r="AQ16" s="10">
        <f t="shared" si="9"/>
        <v>0</v>
      </c>
      <c r="AR16" s="10">
        <f t="shared" ref="AR16:AR79" si="26">IF(ISNUMBER(AQ16),AQ16*$M16,"")</f>
        <v>0</v>
      </c>
      <c r="AS16" s="71"/>
      <c r="AT16" s="7">
        <f>IF($K16&lt;=$F$15,IF($F$40&lt;&gt;"",$F$40/1000,IF(ISERROR(VLOOKUP($F$3&amp;IF($G$4&lt;&gt;"",$G$4,"")&amp;IF($F$43&lt;&gt;"","_"&amp;$F$43,""),'表3）燃料価格'!$AF$9:$AG$25,2,0)),0,VLOOKUP($I16,'表3）燃料価格'!$A$6:$U$66,VLOOKUP($F$3&amp;IF($G$4&lt;&gt;"",$G$4,"")&amp;IF($F$43&lt;&gt;"","_"&amp;$F$43,""),'表3）燃料価格'!$AF$9:$AG$25,2,0)+VLOOKUP($F$41,'表3）燃料価格'!$AF$28:$AG$29,2,0),0)*IF($F$43="需要地価格",1,$F$8/$F$141))),"")</f>
        <v>0</v>
      </c>
      <c r="AU16" s="71"/>
      <c r="AV16" s="10">
        <f t="shared" si="10"/>
        <v>0</v>
      </c>
      <c r="AW16" s="10">
        <f t="shared" ref="AW16:AW79" si="27">IF(ISNUMBER(AV16),AV16*$M16,"")</f>
        <v>0</v>
      </c>
      <c r="AX16" s="71"/>
      <c r="AY16" s="7">
        <f>IF(ISERROR(IF($K16&lt;=$F$15,VLOOKUP($I16,'表4）CO2価格'!$A$7:$E$67,VLOOKUP($F$48,'表4）CO2価格'!$H$10:$I$12,2,0),0)*$F$8/1000,"")),0,IF($K16&lt;=$F$15,VLOOKUP($I16,'表4）CO2価格'!$A$7:$E$67,VLOOKUP($F$48,'表4）CO2価格'!$H$10:$I$12,2,0),0)*$F$8/1000,""))</f>
        <v>0</v>
      </c>
      <c r="AZ16" s="71"/>
      <c r="BA16" s="11">
        <f t="shared" si="11"/>
        <v>0</v>
      </c>
      <c r="BB16" s="10">
        <f t="shared" ref="BB16:BB79" si="28">IF(ISNUMBER(BA16),BA16*$M16,"")</f>
        <v>0</v>
      </c>
      <c r="BC16" s="71"/>
      <c r="BD16" s="10">
        <f t="shared" si="12"/>
        <v>0</v>
      </c>
      <c r="BE16" s="10">
        <f t="shared" ref="BE16:BE79" si="29">IF(ISNUMBER(BD16),BD16*$M16,"")</f>
        <v>0</v>
      </c>
      <c r="BF16" s="71"/>
      <c r="BG16" s="11">
        <f t="shared" si="13"/>
        <v>0</v>
      </c>
      <c r="BH16" s="10">
        <f t="shared" ref="BH16:BH79" si="30">IF(ISNUMBER(BG16),BG16*$M16,"")</f>
        <v>0</v>
      </c>
      <c r="BJ16" s="7">
        <f t="shared" ref="BJ16:BJ79" si="31">IF(ISNUMBER($F$16),IF($K16&lt;=$F$16+$F$28,1/(1+($F$17/100))^K16,""),"")</f>
        <v>0.78314668337379612</v>
      </c>
      <c r="BK16" s="158">
        <f t="shared" ref="BK16:BK79" si="32">IF(ISNUMBER($F$16),IF($K16&lt;=$F$16+$F$28,IF($K16&lt;=$F$16,SUM(Y16,AB16,AE16,AH16,AK16,AN16,AQ16,AV16,BA16,BD16,BG16),$F$27/$F$28*10^8)*BJ16,""),"")</f>
        <v>998185762.39329648</v>
      </c>
      <c r="BL16" s="158">
        <f t="shared" si="14"/>
        <v>152032547.57616106</v>
      </c>
      <c r="BM16" s="10"/>
      <c r="BN16" s="10">
        <f t="shared" ref="BN16:BN79" si="33">IF(AND(ISNUMBER($F$16),$K16&lt;=$F$16),BQ16*($O$15+$BK$116)/$BL$116,"")</f>
        <v>4868862800.1687965</v>
      </c>
      <c r="BO16" s="10">
        <f t="shared" ref="BO16:BO79" si="34">IF(ISNUMBER(BN16),BN16*$M16,"")</f>
        <v>4589370157.5726233</v>
      </c>
      <c r="BQ16" s="10">
        <f t="shared" si="15"/>
        <v>194130360</v>
      </c>
      <c r="BR16" s="10">
        <f t="shared" ref="BR16:BR79" si="35">IF(ISNUMBER(BQ16),BQ16*$M16,"")</f>
        <v>182986483.17466301</v>
      </c>
    </row>
    <row r="17" spans="3:70" x14ac:dyDescent="0.15">
      <c r="C17" s="71" t="s">
        <v>109</v>
      </c>
      <c r="F17" s="476">
        <f>IF(ISERROR(VLOOKUP(F3&amp;IF(G4&lt;&gt;"","_"&amp;G4,""),'表7）買取期間・IRR'!$A$14:$C$21,1,0)),"",VLOOKUP(F3&amp;IF(G4&lt;&gt;"","_"&amp;G4,""),'表7）買取期間・IRR'!$A$14:$C$21,IF(F7=2030,3,IF(F7=2020,2,"-")),0))</f>
        <v>13</v>
      </c>
      <c r="G17" s="84" t="s">
        <v>549</v>
      </c>
      <c r="H17" s="71"/>
      <c r="I17" s="38">
        <f t="shared" ref="I17:I80" si="36">I16+1</f>
        <v>2022</v>
      </c>
      <c r="J17" s="39"/>
      <c r="K17" s="39">
        <f t="shared" ref="K17:K80" si="37">IF(I17&lt;&gt;"",K16+1,"")</f>
        <v>3</v>
      </c>
      <c r="L17" s="39"/>
      <c r="M17" s="40">
        <f t="shared" si="0"/>
        <v>0.91514165935315961</v>
      </c>
      <c r="N17" s="39"/>
      <c r="O17" s="72">
        <f t="shared" si="16"/>
        <v>16445169300</v>
      </c>
      <c r="P17" s="41">
        <f t="shared" si="1"/>
        <v>0.16700000000000001</v>
      </c>
      <c r="Q17" s="39"/>
      <c r="R17" s="72">
        <f t="shared" si="17"/>
        <v>17434721430.693501</v>
      </c>
      <c r="S17" s="39"/>
      <c r="T17" s="72">
        <f t="shared" si="18"/>
        <v>17434721000</v>
      </c>
      <c r="U17" s="39"/>
      <c r="V17" s="72">
        <f t="shared" si="2"/>
        <v>2746343273.1000004</v>
      </c>
      <c r="W17" s="72">
        <f t="shared" si="19"/>
        <v>2513293140.0981221</v>
      </c>
      <c r="X17" s="39"/>
      <c r="Y17" s="72">
        <f t="shared" si="3"/>
        <v>244086000</v>
      </c>
      <c r="Z17" s="72">
        <f t="shared" si="20"/>
        <v>223373267.0648753</v>
      </c>
      <c r="AA17" s="39"/>
      <c r="AB17" s="72">
        <f t="shared" si="4"/>
        <v>0</v>
      </c>
      <c r="AC17" s="72">
        <f t="shared" si="21"/>
        <v>0</v>
      </c>
      <c r="AD17" s="39"/>
      <c r="AE17" s="72">
        <f t="shared" si="5"/>
        <v>0</v>
      </c>
      <c r="AF17" s="72">
        <f t="shared" si="22"/>
        <v>0</v>
      </c>
      <c r="AG17" s="39"/>
      <c r="AH17" s="72">
        <f t="shared" si="6"/>
        <v>990000000</v>
      </c>
      <c r="AI17" s="72">
        <f t="shared" si="23"/>
        <v>905990242.75962806</v>
      </c>
      <c r="AJ17" s="39"/>
      <c r="AK17" s="72">
        <f t="shared" si="7"/>
        <v>0</v>
      </c>
      <c r="AL17" s="72">
        <f t="shared" si="24"/>
        <v>0</v>
      </c>
      <c r="AM17" s="39"/>
      <c r="AN17" s="72">
        <f t="shared" si="8"/>
        <v>0</v>
      </c>
      <c r="AO17" s="72">
        <f t="shared" si="25"/>
        <v>0</v>
      </c>
      <c r="AP17" s="39"/>
      <c r="AQ17" s="72">
        <f t="shared" si="9"/>
        <v>0</v>
      </c>
      <c r="AR17" s="72">
        <f t="shared" si="26"/>
        <v>0</v>
      </c>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0</v>
      </c>
      <c r="AU17" s="39"/>
      <c r="AV17" s="72">
        <f t="shared" si="10"/>
        <v>0</v>
      </c>
      <c r="AW17" s="72">
        <f t="shared" si="27"/>
        <v>0</v>
      </c>
      <c r="AX17" s="39"/>
      <c r="AY17" s="40">
        <f>IF(ISERROR(IF($K17&lt;=$F$15,VLOOKUP($I17,'表4）CO2価格'!$A$7:$E$67,VLOOKUP($F$48,'表4）CO2価格'!$H$10:$I$12,2,0),0)*$F$8/1000,"")),0,IF($K17&lt;=$F$15,VLOOKUP($I17,'表4）CO2価格'!$A$7:$E$67,VLOOKUP($F$48,'表4）CO2価格'!$H$10:$I$12,2,0),0)*$F$8/1000,""))</f>
        <v>0</v>
      </c>
      <c r="AZ17" s="39"/>
      <c r="BA17" s="42">
        <f t="shared" si="11"/>
        <v>0</v>
      </c>
      <c r="BB17" s="72">
        <f t="shared" si="28"/>
        <v>0</v>
      </c>
      <c r="BC17" s="39"/>
      <c r="BD17" s="72">
        <f t="shared" si="12"/>
        <v>0</v>
      </c>
      <c r="BE17" s="72">
        <f t="shared" si="29"/>
        <v>0</v>
      </c>
      <c r="BF17" s="39"/>
      <c r="BG17" s="42">
        <f t="shared" si="13"/>
        <v>0</v>
      </c>
      <c r="BH17" s="72">
        <f t="shared" si="30"/>
        <v>0</v>
      </c>
      <c r="BI17" s="39"/>
      <c r="BJ17" s="40">
        <f t="shared" si="31"/>
        <v>0.69305016227769578</v>
      </c>
      <c r="BK17" s="157">
        <f t="shared" si="32"/>
        <v>855283502.56463242</v>
      </c>
      <c r="BL17" s="157">
        <f t="shared" si="14"/>
        <v>134542077.50102749</v>
      </c>
      <c r="BM17" s="72"/>
      <c r="BN17" s="72">
        <f t="shared" si="33"/>
        <v>4868862800.1687965</v>
      </c>
      <c r="BO17" s="72">
        <f t="shared" si="34"/>
        <v>4455699182.1093435</v>
      </c>
      <c r="BP17" s="39"/>
      <c r="BQ17" s="72">
        <f t="shared" si="15"/>
        <v>194130360</v>
      </c>
      <c r="BR17" s="72">
        <f t="shared" si="35"/>
        <v>177656779.78122625</v>
      </c>
    </row>
    <row r="18" spans="3:70" x14ac:dyDescent="0.15">
      <c r="H18" s="71"/>
      <c r="I18" s="322">
        <f t="shared" si="36"/>
        <v>2023</v>
      </c>
      <c r="J18" s="71"/>
      <c r="K18" s="71">
        <f t="shared" si="37"/>
        <v>4</v>
      </c>
      <c r="L18" s="71"/>
      <c r="M18" s="7">
        <f t="shared" si="0"/>
        <v>0.888487047915689</v>
      </c>
      <c r="N18" s="71"/>
      <c r="O18" s="10">
        <f t="shared" si="16"/>
        <v>13698826026.9</v>
      </c>
      <c r="P18" s="29">
        <f t="shared" si="1"/>
        <v>0.16700000000000001</v>
      </c>
      <c r="Q18" s="71"/>
      <c r="R18" s="10">
        <f t="shared" si="17"/>
        <v>14953689064.180582</v>
      </c>
      <c r="S18" s="71"/>
      <c r="T18" s="10">
        <f t="shared" si="18"/>
        <v>14953689000</v>
      </c>
      <c r="U18" s="71"/>
      <c r="V18" s="10">
        <f t="shared" si="2"/>
        <v>2287703946.4923</v>
      </c>
      <c r="W18" s="10">
        <f t="shared" si="19"/>
        <v>2032595325.924015</v>
      </c>
      <c r="X18" s="71"/>
      <c r="Y18" s="10">
        <f t="shared" si="3"/>
        <v>209351600</v>
      </c>
      <c r="Z18" s="10">
        <f t="shared" si="20"/>
        <v>186006185.06042615</v>
      </c>
      <c r="AA18" s="71"/>
      <c r="AB18" s="10">
        <f t="shared" si="4"/>
        <v>0</v>
      </c>
      <c r="AC18" s="10">
        <f t="shared" si="21"/>
        <v>0</v>
      </c>
      <c r="AD18" s="71"/>
      <c r="AE18" s="10">
        <f t="shared" si="5"/>
        <v>0</v>
      </c>
      <c r="AF18" s="10">
        <f t="shared" si="22"/>
        <v>0</v>
      </c>
      <c r="AG18" s="71"/>
      <c r="AH18" s="10">
        <f t="shared" si="6"/>
        <v>990000000</v>
      </c>
      <c r="AI18" s="10">
        <f t="shared" si="23"/>
        <v>879602177.43653214</v>
      </c>
      <c r="AJ18" s="71"/>
      <c r="AK18" s="10">
        <f t="shared" si="7"/>
        <v>0</v>
      </c>
      <c r="AL18" s="10">
        <f t="shared" si="24"/>
        <v>0</v>
      </c>
      <c r="AM18" s="71"/>
      <c r="AN18" s="10">
        <f t="shared" si="8"/>
        <v>0</v>
      </c>
      <c r="AO18" s="10">
        <f t="shared" si="25"/>
        <v>0</v>
      </c>
      <c r="AP18" s="71"/>
      <c r="AQ18" s="10">
        <f t="shared" si="9"/>
        <v>0</v>
      </c>
      <c r="AR18" s="10">
        <f t="shared" si="26"/>
        <v>0</v>
      </c>
      <c r="AS18" s="71"/>
      <c r="AT18" s="7">
        <f>IF($K18&lt;=$F$15,IF($F$40&lt;&gt;"",$F$40/1000,IF(ISERROR(VLOOKUP($F$3&amp;IF($G$4&lt;&gt;"",$G$4,"")&amp;IF($F$43&lt;&gt;"","_"&amp;$F$43,""),'表3）燃料価格'!$AF$9:$AG$25,2,0)),0,VLOOKUP($I18,'表3）燃料価格'!$A$6:$U$66,VLOOKUP($F$3&amp;IF($G$4&lt;&gt;"",$G$4,"")&amp;IF($F$43&lt;&gt;"","_"&amp;$F$43,""),'表3）燃料価格'!$AF$9:$AG$25,2,0)+VLOOKUP($F$41,'表3）燃料価格'!$AF$28:$AG$29,2,0),0)*IF($F$43="需要地価格",1,$F$8/$F$141))),"")</f>
        <v>0</v>
      </c>
      <c r="AU18" s="71"/>
      <c r="AV18" s="10">
        <f t="shared" si="10"/>
        <v>0</v>
      </c>
      <c r="AW18" s="10">
        <f t="shared" si="27"/>
        <v>0</v>
      </c>
      <c r="AX18" s="71"/>
      <c r="AY18" s="7">
        <f>IF(ISERROR(IF($K18&lt;=$F$15,VLOOKUP($I18,'表4）CO2価格'!$A$7:$E$67,VLOOKUP($F$48,'表4）CO2価格'!$H$10:$I$12,2,0),0)*$F$8/1000,"")),0,IF($K18&lt;=$F$15,VLOOKUP($I18,'表4）CO2価格'!$A$7:$E$67,VLOOKUP($F$48,'表4）CO2価格'!$H$10:$I$12,2,0),0)*$F$8/1000,""))</f>
        <v>0</v>
      </c>
      <c r="AZ18" s="71"/>
      <c r="BA18" s="11">
        <f t="shared" si="11"/>
        <v>0</v>
      </c>
      <c r="BB18" s="10">
        <f t="shared" si="28"/>
        <v>0</v>
      </c>
      <c r="BC18" s="71"/>
      <c r="BD18" s="10">
        <f t="shared" si="12"/>
        <v>0</v>
      </c>
      <c r="BE18" s="10">
        <f t="shared" si="29"/>
        <v>0</v>
      </c>
      <c r="BF18" s="71"/>
      <c r="BG18" s="11">
        <f t="shared" si="13"/>
        <v>0</v>
      </c>
      <c r="BH18" s="10">
        <f t="shared" si="30"/>
        <v>0</v>
      </c>
      <c r="BJ18" s="7">
        <f t="shared" si="31"/>
        <v>0.61331872767937679</v>
      </c>
      <c r="BK18" s="158">
        <f t="shared" si="32"/>
        <v>735584797.35222483</v>
      </c>
      <c r="BL18" s="158">
        <f t="shared" si="14"/>
        <v>119063785.39913937</v>
      </c>
      <c r="BM18" s="10"/>
      <c r="BN18" s="10">
        <f t="shared" si="33"/>
        <v>4868862800.1687965</v>
      </c>
      <c r="BO18" s="10">
        <f t="shared" si="34"/>
        <v>4325921536.0284891</v>
      </c>
      <c r="BQ18" s="10">
        <f t="shared" si="15"/>
        <v>194130360</v>
      </c>
      <c r="BR18" s="10">
        <f t="shared" si="35"/>
        <v>172482310.46720996</v>
      </c>
    </row>
    <row r="19" spans="3:70" x14ac:dyDescent="0.15">
      <c r="C19" s="4" t="s">
        <v>557</v>
      </c>
      <c r="D19" s="100"/>
      <c r="E19" s="100"/>
      <c r="F19" s="4"/>
      <c r="G19" s="100"/>
      <c r="H19" s="71"/>
      <c r="I19" s="38">
        <f t="shared" si="36"/>
        <v>2024</v>
      </c>
      <c r="J19" s="39"/>
      <c r="K19" s="39">
        <f t="shared" si="37"/>
        <v>5</v>
      </c>
      <c r="L19" s="39"/>
      <c r="M19" s="40">
        <f t="shared" si="0"/>
        <v>0.86260878438416411</v>
      </c>
      <c r="N19" s="39"/>
      <c r="O19" s="72">
        <f t="shared" si="16"/>
        <v>11411122080.4077</v>
      </c>
      <c r="P19" s="41">
        <f t="shared" si="1"/>
        <v>0.16700000000000001</v>
      </c>
      <c r="Q19" s="39"/>
      <c r="R19" s="72">
        <f t="shared" si="17"/>
        <v>12825717779.151192</v>
      </c>
      <c r="S19" s="39"/>
      <c r="T19" s="72">
        <f t="shared" si="18"/>
        <v>12825717000</v>
      </c>
      <c r="U19" s="39"/>
      <c r="V19" s="72">
        <f t="shared" si="2"/>
        <v>1905657387.428086</v>
      </c>
      <c r="W19" s="72">
        <f t="shared" si="19"/>
        <v>1643836802.4220433</v>
      </c>
      <c r="X19" s="39"/>
      <c r="Y19" s="72">
        <f t="shared" si="3"/>
        <v>179560000</v>
      </c>
      <c r="Z19" s="72">
        <f t="shared" si="20"/>
        <v>154890033.3240205</v>
      </c>
      <c r="AA19" s="39"/>
      <c r="AB19" s="72">
        <f t="shared" si="4"/>
        <v>0</v>
      </c>
      <c r="AC19" s="72">
        <f t="shared" si="21"/>
        <v>0</v>
      </c>
      <c r="AD19" s="39"/>
      <c r="AE19" s="72">
        <f t="shared" si="5"/>
        <v>0</v>
      </c>
      <c r="AF19" s="72">
        <f t="shared" si="22"/>
        <v>0</v>
      </c>
      <c r="AG19" s="39"/>
      <c r="AH19" s="72">
        <f t="shared" si="6"/>
        <v>990000000</v>
      </c>
      <c r="AI19" s="72">
        <f t="shared" si="23"/>
        <v>853982696.54032242</v>
      </c>
      <c r="AJ19" s="39"/>
      <c r="AK19" s="72">
        <f t="shared" si="7"/>
        <v>0</v>
      </c>
      <c r="AL19" s="72">
        <f t="shared" si="24"/>
        <v>0</v>
      </c>
      <c r="AM19" s="39"/>
      <c r="AN19" s="72">
        <f t="shared" si="8"/>
        <v>0</v>
      </c>
      <c r="AO19" s="72">
        <f t="shared" si="25"/>
        <v>0</v>
      </c>
      <c r="AP19" s="39"/>
      <c r="AQ19" s="72">
        <f t="shared" si="9"/>
        <v>0</v>
      </c>
      <c r="AR19" s="72">
        <f t="shared" si="26"/>
        <v>0</v>
      </c>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0</v>
      </c>
      <c r="AU19" s="39"/>
      <c r="AV19" s="72">
        <f t="shared" si="10"/>
        <v>0</v>
      </c>
      <c r="AW19" s="72">
        <f t="shared" si="27"/>
        <v>0</v>
      </c>
      <c r="AX19" s="39"/>
      <c r="AY19" s="40">
        <f>IF(ISERROR(IF($K19&lt;=$F$15,VLOOKUP($I19,'表4）CO2価格'!$A$7:$E$67,VLOOKUP($F$48,'表4）CO2価格'!$H$10:$I$12,2,0),0)*$F$8/1000,"")),0,IF($K19&lt;=$F$15,VLOOKUP($I19,'表4）CO2価格'!$A$7:$E$67,VLOOKUP($F$48,'表4）CO2価格'!$H$10:$I$12,2,0),0)*$F$8/1000,""))</f>
        <v>0</v>
      </c>
      <c r="AZ19" s="39"/>
      <c r="BA19" s="42">
        <f t="shared" si="11"/>
        <v>0</v>
      </c>
      <c r="BB19" s="72">
        <f t="shared" si="28"/>
        <v>0</v>
      </c>
      <c r="BC19" s="39"/>
      <c r="BD19" s="72">
        <f t="shared" si="12"/>
        <v>0</v>
      </c>
      <c r="BE19" s="72">
        <f t="shared" si="29"/>
        <v>0</v>
      </c>
      <c r="BF19" s="39"/>
      <c r="BG19" s="42">
        <f t="shared" si="13"/>
        <v>0</v>
      </c>
      <c r="BH19" s="72">
        <f t="shared" si="30"/>
        <v>0</v>
      </c>
      <c r="BI19" s="39"/>
      <c r="BJ19" s="40">
        <f t="shared" si="31"/>
        <v>0.54275993599944861</v>
      </c>
      <c r="BK19" s="157">
        <f t="shared" si="32"/>
        <v>634790310.74751508</v>
      </c>
      <c r="BL19" s="157">
        <f t="shared" si="14"/>
        <v>105366181.76914991</v>
      </c>
      <c r="BM19" s="72"/>
      <c r="BN19" s="72">
        <f t="shared" si="33"/>
        <v>4868862800.1687965</v>
      </c>
      <c r="BO19" s="72">
        <f t="shared" si="34"/>
        <v>4199923821.3868828</v>
      </c>
      <c r="BP19" s="39"/>
      <c r="BQ19" s="72">
        <f t="shared" si="15"/>
        <v>194130360</v>
      </c>
      <c r="BR19" s="72">
        <f t="shared" si="35"/>
        <v>167458553.85166016</v>
      </c>
    </row>
    <row r="20" spans="3:70" x14ac:dyDescent="0.15">
      <c r="H20" s="71"/>
      <c r="I20" s="322">
        <f t="shared" si="36"/>
        <v>2025</v>
      </c>
      <c r="J20" s="71"/>
      <c r="K20" s="71">
        <f t="shared" si="37"/>
        <v>6</v>
      </c>
      <c r="L20" s="71"/>
      <c r="M20" s="7">
        <f t="shared" si="0"/>
        <v>0.83748425668365445</v>
      </c>
      <c r="N20" s="71"/>
      <c r="O20" s="10">
        <f t="shared" si="16"/>
        <v>9505464692.9796143</v>
      </c>
      <c r="P20" s="29">
        <f t="shared" si="1"/>
        <v>0.16700000000000001</v>
      </c>
      <c r="Q20" s="71"/>
      <c r="R20" s="10">
        <f t="shared" si="17"/>
        <v>11000565535.662289</v>
      </c>
      <c r="S20" s="71"/>
      <c r="T20" s="10">
        <f t="shared" si="18"/>
        <v>11000565000</v>
      </c>
      <c r="U20" s="71"/>
      <c r="V20" s="10">
        <f t="shared" si="2"/>
        <v>1587412603.7275956</v>
      </c>
      <c r="W20" s="10">
        <f t="shared" si="19"/>
        <v>1329433064.4830699</v>
      </c>
      <c r="X20" s="71"/>
      <c r="Y20" s="10">
        <f t="shared" si="3"/>
        <v>154007900</v>
      </c>
      <c r="Z20" s="10">
        <f t="shared" si="20"/>
        <v>128979191.65491058</v>
      </c>
      <c r="AA20" s="71"/>
      <c r="AB20" s="10">
        <f t="shared" si="4"/>
        <v>0</v>
      </c>
      <c r="AC20" s="10">
        <f t="shared" si="21"/>
        <v>0</v>
      </c>
      <c r="AD20" s="71"/>
      <c r="AE20" s="10">
        <f t="shared" si="5"/>
        <v>0</v>
      </c>
      <c r="AF20" s="10">
        <f t="shared" si="22"/>
        <v>0</v>
      </c>
      <c r="AG20" s="71"/>
      <c r="AH20" s="10">
        <f t="shared" si="6"/>
        <v>990000000</v>
      </c>
      <c r="AI20" s="10">
        <f t="shared" si="23"/>
        <v>829109414.11681795</v>
      </c>
      <c r="AJ20" s="71"/>
      <c r="AK20" s="10">
        <f t="shared" si="7"/>
        <v>0</v>
      </c>
      <c r="AL20" s="10">
        <f t="shared" si="24"/>
        <v>0</v>
      </c>
      <c r="AM20" s="71"/>
      <c r="AN20" s="10">
        <f t="shared" si="8"/>
        <v>0</v>
      </c>
      <c r="AO20" s="10">
        <f t="shared" si="25"/>
        <v>0</v>
      </c>
      <c r="AP20" s="71"/>
      <c r="AQ20" s="10">
        <f t="shared" si="9"/>
        <v>0</v>
      </c>
      <c r="AR20" s="10">
        <f t="shared" si="26"/>
        <v>0</v>
      </c>
      <c r="AS20" s="71"/>
      <c r="AT20" s="7">
        <f>IF($K20&lt;=$F$15,IF($F$40&lt;&gt;"",$F$40/1000,IF(ISERROR(VLOOKUP($F$3&amp;IF($G$4&lt;&gt;"",$G$4,"")&amp;IF($F$43&lt;&gt;"","_"&amp;$F$43,""),'表3）燃料価格'!$AF$9:$AG$25,2,0)),0,VLOOKUP($I20,'表3）燃料価格'!$A$6:$U$66,VLOOKUP($F$3&amp;IF($G$4&lt;&gt;"",$G$4,"")&amp;IF($F$43&lt;&gt;"","_"&amp;$F$43,""),'表3）燃料価格'!$AF$9:$AG$25,2,0)+VLOOKUP($F$41,'表3）燃料価格'!$AF$28:$AG$29,2,0),0)*IF($F$43="需要地価格",1,$F$8/$F$141))),"")</f>
        <v>0</v>
      </c>
      <c r="AU20" s="71"/>
      <c r="AV20" s="10">
        <f t="shared" si="10"/>
        <v>0</v>
      </c>
      <c r="AW20" s="10">
        <f t="shared" si="27"/>
        <v>0</v>
      </c>
      <c r="AX20" s="71"/>
      <c r="AY20" s="7">
        <f>IF(ISERROR(IF($K20&lt;=$F$15,VLOOKUP($I20,'表4）CO2価格'!$A$7:$E$67,VLOOKUP($F$48,'表4）CO2価格'!$H$10:$I$12,2,0),0)*$F$8/1000,"")),0,IF($K20&lt;=$F$15,VLOOKUP($I20,'表4）CO2価格'!$A$7:$E$67,VLOOKUP($F$48,'表4）CO2価格'!$H$10:$I$12,2,0),0)*$F$8/1000,""))</f>
        <v>0</v>
      </c>
      <c r="AZ20" s="71"/>
      <c r="BA20" s="11">
        <f t="shared" si="11"/>
        <v>0</v>
      </c>
      <c r="BB20" s="10">
        <f t="shared" si="28"/>
        <v>0</v>
      </c>
      <c r="BC20" s="71"/>
      <c r="BD20" s="10">
        <f t="shared" si="12"/>
        <v>0</v>
      </c>
      <c r="BE20" s="10">
        <f t="shared" si="29"/>
        <v>0</v>
      </c>
      <c r="BF20" s="71"/>
      <c r="BG20" s="11">
        <f t="shared" si="13"/>
        <v>0</v>
      </c>
      <c r="BH20" s="10">
        <f t="shared" si="30"/>
        <v>0</v>
      </c>
      <c r="BJ20" s="7">
        <f t="shared" si="31"/>
        <v>0.48031852743314046</v>
      </c>
      <c r="BK20" s="158">
        <f t="shared" si="32"/>
        <v>549488189.89987946</v>
      </c>
      <c r="BL20" s="158">
        <f t="shared" si="14"/>
        <v>93244408.64526543</v>
      </c>
      <c r="BM20" s="10"/>
      <c r="BN20" s="10">
        <f t="shared" si="33"/>
        <v>4868862800.1687965</v>
      </c>
      <c r="BO20" s="10">
        <f t="shared" si="34"/>
        <v>4077595943.0940609</v>
      </c>
      <c r="BQ20" s="10">
        <f t="shared" si="15"/>
        <v>194130360</v>
      </c>
      <c r="BR20" s="10">
        <f t="shared" si="35"/>
        <v>162581120.24433026</v>
      </c>
    </row>
    <row r="21" spans="3:70" x14ac:dyDescent="0.15">
      <c r="D21" s="84" t="s">
        <v>558</v>
      </c>
      <c r="F21" s="477">
        <v>79</v>
      </c>
      <c r="G21" s="84" t="s">
        <v>559</v>
      </c>
      <c r="H21" s="71"/>
      <c r="I21" s="38">
        <f t="shared" si="36"/>
        <v>2026</v>
      </c>
      <c r="J21" s="39"/>
      <c r="K21" s="39">
        <f t="shared" si="37"/>
        <v>7</v>
      </c>
      <c r="L21" s="39"/>
      <c r="M21" s="40">
        <f t="shared" si="0"/>
        <v>0.81309151134335378</v>
      </c>
      <c r="N21" s="39"/>
      <c r="O21" s="72">
        <f t="shared" si="16"/>
        <v>7918052089.2520189</v>
      </c>
      <c r="P21" s="41">
        <f t="shared" si="1"/>
        <v>0.16700000000000001</v>
      </c>
      <c r="Q21" s="39"/>
      <c r="R21" s="72">
        <f t="shared" si="17"/>
        <v>9435139942.1178875</v>
      </c>
      <c r="S21" s="39"/>
      <c r="T21" s="72">
        <f t="shared" si="18"/>
        <v>9435139000</v>
      </c>
      <c r="U21" s="39"/>
      <c r="V21" s="72">
        <f t="shared" si="2"/>
        <v>1322314698.9050872</v>
      </c>
      <c r="W21" s="72">
        <f t="shared" si="19"/>
        <v>1075162857.0042691</v>
      </c>
      <c r="X21" s="39"/>
      <c r="Y21" s="72">
        <f t="shared" si="3"/>
        <v>132091900</v>
      </c>
      <c r="Z21" s="72">
        <f t="shared" si="20"/>
        <v>107402802.60721515</v>
      </c>
      <c r="AA21" s="39"/>
      <c r="AB21" s="72">
        <f t="shared" si="4"/>
        <v>0</v>
      </c>
      <c r="AC21" s="72">
        <f t="shared" si="21"/>
        <v>0</v>
      </c>
      <c r="AD21" s="39"/>
      <c r="AE21" s="72">
        <f t="shared" si="5"/>
        <v>0</v>
      </c>
      <c r="AF21" s="72">
        <f t="shared" si="22"/>
        <v>0</v>
      </c>
      <c r="AG21" s="39"/>
      <c r="AH21" s="72">
        <f t="shared" si="6"/>
        <v>990000000</v>
      </c>
      <c r="AI21" s="72">
        <f t="shared" si="23"/>
        <v>804960596.22992027</v>
      </c>
      <c r="AJ21" s="39"/>
      <c r="AK21" s="72">
        <f t="shared" si="7"/>
        <v>0</v>
      </c>
      <c r="AL21" s="72">
        <f t="shared" si="24"/>
        <v>0</v>
      </c>
      <c r="AM21" s="39"/>
      <c r="AN21" s="72">
        <f t="shared" si="8"/>
        <v>0</v>
      </c>
      <c r="AO21" s="72">
        <f t="shared" si="25"/>
        <v>0</v>
      </c>
      <c r="AP21" s="39"/>
      <c r="AQ21" s="72">
        <f t="shared" si="9"/>
        <v>0</v>
      </c>
      <c r="AR21" s="72">
        <f t="shared" si="26"/>
        <v>0</v>
      </c>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0</v>
      </c>
      <c r="AU21" s="39"/>
      <c r="AV21" s="72">
        <f t="shared" si="10"/>
        <v>0</v>
      </c>
      <c r="AW21" s="72">
        <f t="shared" si="27"/>
        <v>0</v>
      </c>
      <c r="AX21" s="39"/>
      <c r="AY21" s="40">
        <f>IF(ISERROR(IF($K21&lt;=$F$15,VLOOKUP($I21,'表4）CO2価格'!$A$7:$E$67,VLOOKUP($F$48,'表4）CO2価格'!$H$10:$I$12,2,0),0)*$F$8/1000,"")),0,IF($K21&lt;=$F$15,VLOOKUP($I21,'表4）CO2価格'!$A$7:$E$67,VLOOKUP($F$48,'表4）CO2価格'!$H$10:$I$12,2,0),0)*$F$8/1000,""))</f>
        <v>0</v>
      </c>
      <c r="AZ21" s="39"/>
      <c r="BA21" s="42">
        <f t="shared" si="11"/>
        <v>0</v>
      </c>
      <c r="BB21" s="72">
        <f t="shared" si="28"/>
        <v>0</v>
      </c>
      <c r="BC21" s="39"/>
      <c r="BD21" s="72">
        <f t="shared" si="12"/>
        <v>0</v>
      </c>
      <c r="BE21" s="72">
        <f t="shared" si="29"/>
        <v>0</v>
      </c>
      <c r="BF21" s="39"/>
      <c r="BG21" s="42">
        <f t="shared" si="13"/>
        <v>0</v>
      </c>
      <c r="BH21" s="72">
        <f t="shared" si="30"/>
        <v>0</v>
      </c>
      <c r="BI21" s="39"/>
      <c r="BJ21" s="40">
        <f t="shared" si="31"/>
        <v>0.425060643746142</v>
      </c>
      <c r="BK21" s="157">
        <f t="shared" si="32"/>
        <v>476957105.35633159</v>
      </c>
      <c r="BL21" s="157">
        <f t="shared" si="14"/>
        <v>82517175.792270288</v>
      </c>
      <c r="BM21" s="72"/>
      <c r="BN21" s="72">
        <f t="shared" si="33"/>
        <v>4868862800.1687965</v>
      </c>
      <c r="BO21" s="72">
        <f t="shared" si="34"/>
        <v>3958831012.7126803</v>
      </c>
      <c r="BP21" s="39"/>
      <c r="BQ21" s="72">
        <f t="shared" si="15"/>
        <v>194130360</v>
      </c>
      <c r="BR21" s="72">
        <f t="shared" si="35"/>
        <v>157845747.81002936</v>
      </c>
    </row>
    <row r="22" spans="3:70" ht="16.5" x14ac:dyDescent="0.15">
      <c r="D22" s="84" t="s">
        <v>560</v>
      </c>
      <c r="F22" s="478"/>
      <c r="G22" s="71" t="s">
        <v>561</v>
      </c>
      <c r="H22" s="71"/>
      <c r="I22" s="322">
        <f t="shared" si="36"/>
        <v>2027</v>
      </c>
      <c r="J22" s="71"/>
      <c r="K22" s="71">
        <f t="shared" si="37"/>
        <v>8</v>
      </c>
      <c r="L22" s="71"/>
      <c r="M22" s="7">
        <f t="shared" si="0"/>
        <v>0.78940923431393573</v>
      </c>
      <c r="N22" s="71"/>
      <c r="O22" s="10">
        <f t="shared" si="16"/>
        <v>6595737390.3469315</v>
      </c>
      <c r="P22" s="29">
        <f t="shared" si="1"/>
        <v>0.16700000000000001</v>
      </c>
      <c r="Q22" s="71"/>
      <c r="R22" s="10">
        <f t="shared" si="17"/>
        <v>8092480830.9856386</v>
      </c>
      <c r="S22" s="71"/>
      <c r="T22" s="10">
        <f t="shared" si="18"/>
        <v>8092480000</v>
      </c>
      <c r="U22" s="71"/>
      <c r="V22" s="10">
        <f t="shared" si="2"/>
        <v>1101488144.1879375</v>
      </c>
      <c r="W22" s="10">
        <f t="shared" si="19"/>
        <v>869524912.50927782</v>
      </c>
      <c r="X22" s="71"/>
      <c r="Y22" s="10">
        <f t="shared" si="3"/>
        <v>113294700</v>
      </c>
      <c r="Z22" s="10">
        <f t="shared" si="20"/>
        <v>89435882.37882705</v>
      </c>
      <c r="AA22" s="71"/>
      <c r="AB22" s="10">
        <f t="shared" si="4"/>
        <v>0</v>
      </c>
      <c r="AC22" s="10">
        <f t="shared" si="21"/>
        <v>0</v>
      </c>
      <c r="AD22" s="71"/>
      <c r="AE22" s="10">
        <f t="shared" si="5"/>
        <v>0</v>
      </c>
      <c r="AF22" s="10">
        <f t="shared" si="22"/>
        <v>0</v>
      </c>
      <c r="AG22" s="71"/>
      <c r="AH22" s="10">
        <f t="shared" si="6"/>
        <v>990000000</v>
      </c>
      <c r="AI22" s="10">
        <f t="shared" si="23"/>
        <v>781515141.97079635</v>
      </c>
      <c r="AJ22" s="71"/>
      <c r="AK22" s="10">
        <f t="shared" si="7"/>
        <v>0</v>
      </c>
      <c r="AL22" s="10">
        <f t="shared" si="24"/>
        <v>0</v>
      </c>
      <c r="AM22" s="71"/>
      <c r="AN22" s="10">
        <f t="shared" si="8"/>
        <v>0</v>
      </c>
      <c r="AO22" s="10">
        <f t="shared" si="25"/>
        <v>0</v>
      </c>
      <c r="AP22" s="71"/>
      <c r="AQ22" s="10">
        <f t="shared" si="9"/>
        <v>0</v>
      </c>
      <c r="AR22" s="10">
        <f t="shared" si="26"/>
        <v>0</v>
      </c>
      <c r="AS22" s="71"/>
      <c r="AT22" s="7">
        <f>IF($K22&lt;=$F$15,IF($F$40&lt;&gt;"",$F$40/1000,IF(ISERROR(VLOOKUP($F$3&amp;IF($G$4&lt;&gt;"",$G$4,"")&amp;IF($F$43&lt;&gt;"","_"&amp;$F$43,""),'表3）燃料価格'!$AF$9:$AG$25,2,0)),0,VLOOKUP($I22,'表3）燃料価格'!$A$6:$U$66,VLOOKUP($F$3&amp;IF($G$4&lt;&gt;"",$G$4,"")&amp;IF($F$43&lt;&gt;"","_"&amp;$F$43,""),'表3）燃料価格'!$AF$9:$AG$25,2,0)+VLOOKUP($F$41,'表3）燃料価格'!$AF$28:$AG$29,2,0),0)*IF($F$43="需要地価格",1,$F$8/$F$141))),"")</f>
        <v>0</v>
      </c>
      <c r="AU22" s="71"/>
      <c r="AV22" s="10">
        <f t="shared" si="10"/>
        <v>0</v>
      </c>
      <c r="AW22" s="10">
        <f t="shared" si="27"/>
        <v>0</v>
      </c>
      <c r="AX22" s="71"/>
      <c r="AY22" s="7">
        <f>IF(ISERROR(IF($K22&lt;=$F$15,VLOOKUP($I22,'表4）CO2価格'!$A$7:$E$67,VLOOKUP($F$48,'表4）CO2価格'!$H$10:$I$12,2,0),0)*$F$8/1000,"")),0,IF($K22&lt;=$F$15,VLOOKUP($I22,'表4）CO2価格'!$A$7:$E$67,VLOOKUP($F$48,'表4）CO2価格'!$H$10:$I$12,2,0),0)*$F$8/1000,""))</f>
        <v>0</v>
      </c>
      <c r="AZ22" s="71"/>
      <c r="BA22" s="11">
        <f t="shared" si="11"/>
        <v>0</v>
      </c>
      <c r="BB22" s="10">
        <f t="shared" si="28"/>
        <v>0</v>
      </c>
      <c r="BC22" s="71"/>
      <c r="BD22" s="10">
        <f t="shared" si="12"/>
        <v>0</v>
      </c>
      <c r="BE22" s="10">
        <f t="shared" si="29"/>
        <v>0</v>
      </c>
      <c r="BF22" s="71"/>
      <c r="BG22" s="11">
        <f t="shared" si="13"/>
        <v>0</v>
      </c>
      <c r="BH22" s="10">
        <f t="shared" si="30"/>
        <v>0</v>
      </c>
      <c r="BJ22" s="7">
        <f t="shared" si="31"/>
        <v>0.37615986172224958</v>
      </c>
      <c r="BK22" s="158">
        <f t="shared" si="32"/>
        <v>415015181.79089081</v>
      </c>
      <c r="BL22" s="158">
        <f t="shared" si="14"/>
        <v>73024049.373690531</v>
      </c>
      <c r="BM22" s="10"/>
      <c r="BN22" s="10">
        <f t="shared" si="33"/>
        <v>4868862800.1687965</v>
      </c>
      <c r="BO22" s="10">
        <f t="shared" si="34"/>
        <v>3843525255.0608549</v>
      </c>
      <c r="BQ22" s="10">
        <f t="shared" si="15"/>
        <v>194130360</v>
      </c>
      <c r="BR22" s="10">
        <f t="shared" si="35"/>
        <v>153248298.84468868</v>
      </c>
    </row>
    <row r="23" spans="3:70" x14ac:dyDescent="0.15">
      <c r="D23" s="84" t="s">
        <v>562</v>
      </c>
      <c r="F23" s="479"/>
      <c r="G23" s="84" t="s">
        <v>549</v>
      </c>
      <c r="H23" s="71"/>
      <c r="I23" s="38">
        <f t="shared" si="36"/>
        <v>2028</v>
      </c>
      <c r="J23" s="39"/>
      <c r="K23" s="39">
        <f t="shared" si="37"/>
        <v>9</v>
      </c>
      <c r="L23" s="39"/>
      <c r="M23" s="40">
        <f t="shared" si="0"/>
        <v>0.76641673234362695</v>
      </c>
      <c r="N23" s="39"/>
      <c r="O23" s="72">
        <f t="shared" si="16"/>
        <v>5494249246.1589937</v>
      </c>
      <c r="P23" s="41">
        <f t="shared" si="1"/>
        <v>0.16700000000000001</v>
      </c>
      <c r="Q23" s="39"/>
      <c r="R23" s="72">
        <f t="shared" si="17"/>
        <v>6940887618.1618128</v>
      </c>
      <c r="S23" s="39"/>
      <c r="T23" s="72">
        <f t="shared" si="18"/>
        <v>6940887000</v>
      </c>
      <c r="U23" s="39"/>
      <c r="V23" s="72">
        <f t="shared" si="2"/>
        <v>917539624.10855198</v>
      </c>
      <c r="W23" s="72">
        <f t="shared" si="19"/>
        <v>703217720.50507617</v>
      </c>
      <c r="X23" s="39"/>
      <c r="Y23" s="72">
        <f t="shared" si="3"/>
        <v>97172400</v>
      </c>
      <c r="Z23" s="72">
        <f t="shared" si="20"/>
        <v>74474553.281987861</v>
      </c>
      <c r="AA23" s="39"/>
      <c r="AB23" s="72">
        <f t="shared" si="4"/>
        <v>0</v>
      </c>
      <c r="AC23" s="72">
        <f t="shared" si="21"/>
        <v>0</v>
      </c>
      <c r="AD23" s="39"/>
      <c r="AE23" s="72">
        <f t="shared" si="5"/>
        <v>0</v>
      </c>
      <c r="AF23" s="72">
        <f t="shared" si="22"/>
        <v>0</v>
      </c>
      <c r="AG23" s="39"/>
      <c r="AH23" s="72">
        <f t="shared" si="6"/>
        <v>990000000</v>
      </c>
      <c r="AI23" s="72">
        <f t="shared" si="23"/>
        <v>758752565.02019072</v>
      </c>
      <c r="AJ23" s="39"/>
      <c r="AK23" s="72">
        <f t="shared" si="7"/>
        <v>0</v>
      </c>
      <c r="AL23" s="72">
        <f t="shared" si="24"/>
        <v>0</v>
      </c>
      <c r="AM23" s="39"/>
      <c r="AN23" s="72">
        <f t="shared" si="8"/>
        <v>0</v>
      </c>
      <c r="AO23" s="72">
        <f t="shared" si="25"/>
        <v>0</v>
      </c>
      <c r="AP23" s="39"/>
      <c r="AQ23" s="72">
        <f t="shared" si="9"/>
        <v>0</v>
      </c>
      <c r="AR23" s="72">
        <f t="shared" si="26"/>
        <v>0</v>
      </c>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0</v>
      </c>
      <c r="AU23" s="39"/>
      <c r="AV23" s="72">
        <f t="shared" si="10"/>
        <v>0</v>
      </c>
      <c r="AW23" s="72">
        <f t="shared" si="27"/>
        <v>0</v>
      </c>
      <c r="AX23" s="39"/>
      <c r="AY23" s="40">
        <f>IF(ISERROR(IF($K23&lt;=$F$15,VLOOKUP($I23,'表4）CO2価格'!$A$7:$E$67,VLOOKUP($F$48,'表4）CO2価格'!$H$10:$I$12,2,0),0)*$F$8/1000,"")),0,IF($K23&lt;=$F$15,VLOOKUP($I23,'表4）CO2価格'!$A$7:$E$67,VLOOKUP($F$48,'表4）CO2価格'!$H$10:$I$12,2,0),0)*$F$8/1000,""))</f>
        <v>0</v>
      </c>
      <c r="AZ23" s="39"/>
      <c r="BA23" s="42">
        <f t="shared" si="11"/>
        <v>0</v>
      </c>
      <c r="BB23" s="72">
        <f t="shared" si="28"/>
        <v>0</v>
      </c>
      <c r="BC23" s="39"/>
      <c r="BD23" s="72">
        <f t="shared" si="12"/>
        <v>0</v>
      </c>
      <c r="BE23" s="72">
        <f t="shared" si="29"/>
        <v>0</v>
      </c>
      <c r="BF23" s="39"/>
      <c r="BG23" s="42">
        <f t="shared" si="13"/>
        <v>0</v>
      </c>
      <c r="BH23" s="72">
        <f t="shared" si="30"/>
        <v>0</v>
      </c>
      <c r="BI23" s="39"/>
      <c r="BJ23" s="40">
        <f t="shared" si="31"/>
        <v>0.33288483338252178</v>
      </c>
      <c r="BK23" s="157">
        <f t="shared" si="32"/>
        <v>361903203.23207635</v>
      </c>
      <c r="BL23" s="157">
        <f t="shared" si="14"/>
        <v>64623052.543088973</v>
      </c>
      <c r="BM23" s="72"/>
      <c r="BN23" s="72">
        <f t="shared" si="33"/>
        <v>4868862800.1687965</v>
      </c>
      <c r="BO23" s="72">
        <f t="shared" si="34"/>
        <v>3731577917.5348105</v>
      </c>
      <c r="BP23" s="39"/>
      <c r="BQ23" s="72">
        <f t="shared" si="15"/>
        <v>194130360</v>
      </c>
      <c r="BR23" s="72">
        <f t="shared" si="35"/>
        <v>148784756.15989193</v>
      </c>
    </row>
    <row r="24" spans="3:70" x14ac:dyDescent="0.15">
      <c r="D24" s="84" t="s">
        <v>563</v>
      </c>
      <c r="F24" s="480">
        <v>11</v>
      </c>
      <c r="G24" s="84" t="s">
        <v>549</v>
      </c>
      <c r="H24" s="71"/>
      <c r="I24" s="322">
        <f t="shared" si="36"/>
        <v>2029</v>
      </c>
      <c r="J24" s="71"/>
      <c r="K24" s="71">
        <f t="shared" si="37"/>
        <v>10</v>
      </c>
      <c r="L24" s="71"/>
      <c r="M24" s="7">
        <f t="shared" si="0"/>
        <v>0.74409391489672516</v>
      </c>
      <c r="N24" s="71"/>
      <c r="O24" s="10">
        <f t="shared" si="16"/>
        <v>4576709622.0504417</v>
      </c>
      <c r="P24" s="29">
        <f t="shared" si="1"/>
        <v>0.16700000000000001</v>
      </c>
      <c r="Q24" s="71"/>
      <c r="R24" s="10">
        <f t="shared" si="17"/>
        <v>5953170842.6777067</v>
      </c>
      <c r="S24" s="71"/>
      <c r="T24" s="10">
        <f t="shared" si="18"/>
        <v>5953170000</v>
      </c>
      <c r="U24" s="71"/>
      <c r="V24" s="10">
        <f t="shared" si="2"/>
        <v>764310506.88242376</v>
      </c>
      <c r="W24" s="10">
        <f t="shared" si="19"/>
        <v>568718797.26284313</v>
      </c>
      <c r="X24" s="71"/>
      <c r="Y24" s="10">
        <f t="shared" si="3"/>
        <v>83344300</v>
      </c>
      <c r="Z24" s="10">
        <f t="shared" si="20"/>
        <v>62015986.471327133</v>
      </c>
      <c r="AA24" s="71"/>
      <c r="AB24" s="10">
        <f t="shared" si="4"/>
        <v>0</v>
      </c>
      <c r="AC24" s="10">
        <f t="shared" si="21"/>
        <v>0</v>
      </c>
      <c r="AD24" s="71"/>
      <c r="AE24" s="10">
        <f t="shared" si="5"/>
        <v>0</v>
      </c>
      <c r="AF24" s="10">
        <f t="shared" si="22"/>
        <v>0</v>
      </c>
      <c r="AG24" s="71"/>
      <c r="AH24" s="10">
        <f t="shared" si="6"/>
        <v>990000000</v>
      </c>
      <c r="AI24" s="10">
        <f t="shared" si="23"/>
        <v>736652975.74775791</v>
      </c>
      <c r="AJ24" s="71"/>
      <c r="AK24" s="10">
        <f t="shared" si="7"/>
        <v>0</v>
      </c>
      <c r="AL24" s="10">
        <f t="shared" si="24"/>
        <v>0</v>
      </c>
      <c r="AM24" s="71"/>
      <c r="AN24" s="10">
        <f t="shared" si="8"/>
        <v>0</v>
      </c>
      <c r="AO24" s="10">
        <f t="shared" si="25"/>
        <v>0</v>
      </c>
      <c r="AP24" s="71"/>
      <c r="AQ24" s="10">
        <f t="shared" si="9"/>
        <v>0</v>
      </c>
      <c r="AR24" s="10">
        <f t="shared" si="26"/>
        <v>0</v>
      </c>
      <c r="AS24" s="71"/>
      <c r="AT24" s="7">
        <f>IF($K24&lt;=$F$15,IF($F$40&lt;&gt;"",$F$40/1000,IF(ISERROR(VLOOKUP($F$3&amp;IF($G$4&lt;&gt;"",$G$4,"")&amp;IF($F$43&lt;&gt;"","_"&amp;$F$43,""),'表3）燃料価格'!$AF$9:$AG$25,2,0)),0,VLOOKUP($I24,'表3）燃料価格'!$A$6:$U$66,VLOOKUP($F$3&amp;IF($G$4&lt;&gt;"",$G$4,"")&amp;IF($F$43&lt;&gt;"","_"&amp;$F$43,""),'表3）燃料価格'!$AF$9:$AG$25,2,0)+VLOOKUP($F$41,'表3）燃料価格'!$AF$28:$AG$29,2,0),0)*IF($F$43="需要地価格",1,$F$8/$F$141))),"")</f>
        <v>0</v>
      </c>
      <c r="AU24" s="71"/>
      <c r="AV24" s="10">
        <f t="shared" si="10"/>
        <v>0</v>
      </c>
      <c r="AW24" s="10">
        <f t="shared" si="27"/>
        <v>0</v>
      </c>
      <c r="AX24" s="71"/>
      <c r="AY24" s="7">
        <f>IF(ISERROR(IF($K24&lt;=$F$15,VLOOKUP($I24,'表4）CO2価格'!$A$7:$E$67,VLOOKUP($F$48,'表4）CO2価格'!$H$10:$I$12,2,0),0)*$F$8/1000,"")),0,IF($K24&lt;=$F$15,VLOOKUP($I24,'表4）CO2価格'!$A$7:$E$67,VLOOKUP($F$48,'表4）CO2価格'!$H$10:$I$12,2,0),0)*$F$8/1000,""))</f>
        <v>0</v>
      </c>
      <c r="AZ24" s="71"/>
      <c r="BA24" s="11">
        <f t="shared" si="11"/>
        <v>0</v>
      </c>
      <c r="BB24" s="10">
        <f t="shared" si="28"/>
        <v>0</v>
      </c>
      <c r="BC24" s="71"/>
      <c r="BD24" s="10">
        <f t="shared" si="12"/>
        <v>0</v>
      </c>
      <c r="BE24" s="10">
        <f t="shared" si="29"/>
        <v>0</v>
      </c>
      <c r="BF24" s="71"/>
      <c r="BG24" s="11">
        <f t="shared" si="13"/>
        <v>0</v>
      </c>
      <c r="BH24" s="10">
        <f t="shared" si="30"/>
        <v>0</v>
      </c>
      <c r="BJ24" s="7">
        <f t="shared" si="31"/>
        <v>0.2945883481261255</v>
      </c>
      <c r="BK24" s="158">
        <f t="shared" si="32"/>
        <v>316194724.30759251</v>
      </c>
      <c r="BL24" s="158">
        <f t="shared" si="14"/>
        <v>57188542.07353007</v>
      </c>
      <c r="BM24" s="10"/>
      <c r="BN24" s="10">
        <f t="shared" si="33"/>
        <v>4868862800.1687965</v>
      </c>
      <c r="BO24" s="10">
        <f t="shared" si="34"/>
        <v>3622891182.0726314</v>
      </c>
      <c r="BQ24" s="10">
        <f t="shared" si="15"/>
        <v>194130360</v>
      </c>
      <c r="BR24" s="10">
        <f t="shared" si="35"/>
        <v>144451219.57271063</v>
      </c>
    </row>
    <row r="25" spans="3:70" x14ac:dyDescent="0.15">
      <c r="D25" s="84" t="s">
        <v>564</v>
      </c>
      <c r="F25" s="475">
        <v>1.4</v>
      </c>
      <c r="G25" s="84" t="s">
        <v>549</v>
      </c>
      <c r="H25" s="71"/>
      <c r="I25" s="38">
        <f t="shared" si="36"/>
        <v>2030</v>
      </c>
      <c r="J25" s="39"/>
      <c r="K25" s="39">
        <f t="shared" si="37"/>
        <v>11</v>
      </c>
      <c r="L25" s="39"/>
      <c r="M25" s="40">
        <f t="shared" si="0"/>
        <v>0.72242127659876232</v>
      </c>
      <c r="N25" s="39"/>
      <c r="O25" s="72">
        <f t="shared" si="16"/>
        <v>3812399115.1680179</v>
      </c>
      <c r="P25" s="41">
        <f t="shared" si="1"/>
        <v>0.2</v>
      </c>
      <c r="Q25" s="39"/>
      <c r="R25" s="72">
        <f t="shared" si="17"/>
        <v>5106010215.3755665</v>
      </c>
      <c r="S25" s="39"/>
      <c r="T25" s="72">
        <f t="shared" si="18"/>
        <v>5106010000</v>
      </c>
      <c r="U25" s="39"/>
      <c r="V25" s="72">
        <f t="shared" si="2"/>
        <v>762479823.03360367</v>
      </c>
      <c r="W25" s="72">
        <f t="shared" si="19"/>
        <v>550831647.13673437</v>
      </c>
      <c r="X25" s="39"/>
      <c r="Y25" s="72">
        <f t="shared" si="3"/>
        <v>71484100</v>
      </c>
      <c r="Z25" s="72">
        <f t="shared" si="20"/>
        <v>51641634.778513588</v>
      </c>
      <c r="AA25" s="39"/>
      <c r="AB25" s="72">
        <f t="shared" si="4"/>
        <v>0</v>
      </c>
      <c r="AC25" s="72">
        <f t="shared" si="21"/>
        <v>0</v>
      </c>
      <c r="AD25" s="39"/>
      <c r="AE25" s="72">
        <f t="shared" si="5"/>
        <v>0</v>
      </c>
      <c r="AF25" s="72">
        <f t="shared" si="22"/>
        <v>0</v>
      </c>
      <c r="AG25" s="39"/>
      <c r="AH25" s="72">
        <f t="shared" si="6"/>
        <v>990000000</v>
      </c>
      <c r="AI25" s="72">
        <f t="shared" si="23"/>
        <v>715197063.83277464</v>
      </c>
      <c r="AJ25" s="39"/>
      <c r="AK25" s="72">
        <f t="shared" si="7"/>
        <v>0</v>
      </c>
      <c r="AL25" s="72">
        <f t="shared" si="24"/>
        <v>0</v>
      </c>
      <c r="AM25" s="39"/>
      <c r="AN25" s="72">
        <f t="shared" si="8"/>
        <v>0</v>
      </c>
      <c r="AO25" s="72">
        <f t="shared" si="25"/>
        <v>0</v>
      </c>
      <c r="AP25" s="39"/>
      <c r="AQ25" s="72">
        <f t="shared" si="9"/>
        <v>0</v>
      </c>
      <c r="AR25" s="72">
        <f t="shared" si="26"/>
        <v>0</v>
      </c>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0</v>
      </c>
      <c r="AU25" s="39"/>
      <c r="AV25" s="72">
        <f t="shared" si="10"/>
        <v>0</v>
      </c>
      <c r="AW25" s="72">
        <f t="shared" si="27"/>
        <v>0</v>
      </c>
      <c r="AX25" s="39"/>
      <c r="AY25" s="40">
        <f>IF(ISERROR(IF($K25&lt;=$F$15,VLOOKUP($I25,'表4）CO2価格'!$A$7:$E$67,VLOOKUP($F$48,'表4）CO2価格'!$H$10:$I$12,2,0),0)*$F$8/1000,"")),0,IF($K25&lt;=$F$15,VLOOKUP($I25,'表4）CO2価格'!$A$7:$E$67,VLOOKUP($F$48,'表4）CO2価格'!$H$10:$I$12,2,0),0)*$F$8/1000,""))</f>
        <v>0</v>
      </c>
      <c r="AZ25" s="39"/>
      <c r="BA25" s="42">
        <f t="shared" si="11"/>
        <v>0</v>
      </c>
      <c r="BB25" s="72">
        <f t="shared" si="28"/>
        <v>0</v>
      </c>
      <c r="BC25" s="39"/>
      <c r="BD25" s="72">
        <f t="shared" si="12"/>
        <v>0</v>
      </c>
      <c r="BE25" s="72">
        <f t="shared" si="29"/>
        <v>0</v>
      </c>
      <c r="BF25" s="39"/>
      <c r="BG25" s="42">
        <f t="shared" si="13"/>
        <v>0</v>
      </c>
      <c r="BH25" s="72">
        <f t="shared" si="30"/>
        <v>0</v>
      </c>
      <c r="BI25" s="39"/>
      <c r="BJ25" s="40">
        <f t="shared" si="31"/>
        <v>0.26069765320896066</v>
      </c>
      <c r="BK25" s="157">
        <f t="shared" si="32"/>
        <v>276726413.78862572</v>
      </c>
      <c r="BL25" s="157">
        <f t="shared" si="14"/>
        <v>50609329.268610686</v>
      </c>
      <c r="BM25" s="72"/>
      <c r="BN25" s="72">
        <f t="shared" si="33"/>
        <v>4868862800.1687965</v>
      </c>
      <c r="BO25" s="72">
        <f t="shared" si="34"/>
        <v>3517370079.6821666</v>
      </c>
      <c r="BP25" s="39"/>
      <c r="BQ25" s="72">
        <f t="shared" si="15"/>
        <v>194130360</v>
      </c>
      <c r="BR25" s="72">
        <f t="shared" si="35"/>
        <v>140243902.49777731</v>
      </c>
    </row>
    <row r="26" spans="3:70" x14ac:dyDescent="0.15">
      <c r="D26" s="84" t="s">
        <v>115</v>
      </c>
      <c r="F26" s="481"/>
      <c r="G26" s="84" t="s">
        <v>565</v>
      </c>
      <c r="H26" s="71"/>
      <c r="I26" s="322">
        <f t="shared" si="36"/>
        <v>2031</v>
      </c>
      <c r="J26" s="71"/>
      <c r="K26" s="71">
        <f t="shared" si="37"/>
        <v>12</v>
      </c>
      <c r="L26" s="71"/>
      <c r="M26" s="7">
        <f t="shared" si="0"/>
        <v>0.70137988019297326</v>
      </c>
      <c r="N26" s="71"/>
      <c r="O26" s="10">
        <f t="shared" si="16"/>
        <v>3049919292.1344142</v>
      </c>
      <c r="P26" s="29" t="str">
        <f t="shared" si="1"/>
        <v>-</v>
      </c>
      <c r="Q26" s="71"/>
      <c r="R26" s="10">
        <f t="shared" si="17"/>
        <v>4379404019.890831</v>
      </c>
      <c r="S26" s="71"/>
      <c r="T26" s="10">
        <f t="shared" si="18"/>
        <v>4379404000</v>
      </c>
      <c r="U26" s="71"/>
      <c r="V26" s="10">
        <f t="shared" si="2"/>
        <v>762479823.03360367</v>
      </c>
      <c r="W26" s="10">
        <f t="shared" si="19"/>
        <v>534788006.92886841</v>
      </c>
      <c r="X26" s="71"/>
      <c r="Y26" s="10">
        <f t="shared" si="3"/>
        <v>61311600</v>
      </c>
      <c r="Z26" s="10">
        <f t="shared" si="20"/>
        <v>43002722.662439503</v>
      </c>
      <c r="AA26" s="71"/>
      <c r="AB26" s="10">
        <f t="shared" si="4"/>
        <v>0</v>
      </c>
      <c r="AC26" s="10">
        <f t="shared" si="21"/>
        <v>0</v>
      </c>
      <c r="AD26" s="71"/>
      <c r="AE26" s="10">
        <f t="shared" si="5"/>
        <v>0</v>
      </c>
      <c r="AF26" s="10">
        <f t="shared" si="22"/>
        <v>0</v>
      </c>
      <c r="AG26" s="71"/>
      <c r="AH26" s="10">
        <f t="shared" si="6"/>
        <v>990000000</v>
      </c>
      <c r="AI26" s="10">
        <f t="shared" si="23"/>
        <v>694366081.39104354</v>
      </c>
      <c r="AJ26" s="71"/>
      <c r="AK26" s="10">
        <f t="shared" si="7"/>
        <v>0</v>
      </c>
      <c r="AL26" s="10">
        <f t="shared" si="24"/>
        <v>0</v>
      </c>
      <c r="AM26" s="71"/>
      <c r="AN26" s="10">
        <f t="shared" si="8"/>
        <v>0</v>
      </c>
      <c r="AO26" s="10">
        <f t="shared" si="25"/>
        <v>0</v>
      </c>
      <c r="AP26" s="71"/>
      <c r="AQ26" s="10">
        <f t="shared" si="9"/>
        <v>0</v>
      </c>
      <c r="AR26" s="10">
        <f t="shared" si="26"/>
        <v>0</v>
      </c>
      <c r="AS26" s="71"/>
      <c r="AT26" s="7">
        <f>IF($K26&lt;=$F$15,IF($F$40&lt;&gt;"",$F$40/1000,IF(ISERROR(VLOOKUP($F$3&amp;IF($G$4&lt;&gt;"",$G$4,"")&amp;IF($F$43&lt;&gt;"","_"&amp;$F$43,""),'表3）燃料価格'!$AF$9:$AG$25,2,0)),0,VLOOKUP($I26,'表3）燃料価格'!$A$6:$U$66,VLOOKUP($F$3&amp;IF($G$4&lt;&gt;"",$G$4,"")&amp;IF($F$43&lt;&gt;"","_"&amp;$F$43,""),'表3）燃料価格'!$AF$9:$AG$25,2,0)+VLOOKUP($F$41,'表3）燃料価格'!$AF$28:$AG$29,2,0),0)*IF($F$43="需要地価格",1,$F$8/$F$141))),"")</f>
        <v>0</v>
      </c>
      <c r="AU26" s="71"/>
      <c r="AV26" s="10">
        <f t="shared" si="10"/>
        <v>0</v>
      </c>
      <c r="AW26" s="10">
        <f t="shared" si="27"/>
        <v>0</v>
      </c>
      <c r="AX26" s="71"/>
      <c r="AY26" s="7">
        <f>IF(ISERROR(IF($K26&lt;=$F$15,VLOOKUP($I26,'表4）CO2価格'!$A$7:$E$67,VLOOKUP($F$48,'表4）CO2価格'!$H$10:$I$12,2,0),0)*$F$8/1000,"")),0,IF($K26&lt;=$F$15,VLOOKUP($I26,'表4）CO2価格'!$A$7:$E$67,VLOOKUP($F$48,'表4）CO2価格'!$H$10:$I$12,2,0),0)*$F$8/1000,""))</f>
        <v>0</v>
      </c>
      <c r="AZ26" s="71"/>
      <c r="BA26" s="11">
        <f t="shared" si="11"/>
        <v>0</v>
      </c>
      <c r="BB26" s="10">
        <f t="shared" si="28"/>
        <v>0</v>
      </c>
      <c r="BC26" s="71"/>
      <c r="BD26" s="10">
        <f t="shared" si="12"/>
        <v>0</v>
      </c>
      <c r="BE26" s="10">
        <f t="shared" si="29"/>
        <v>0</v>
      </c>
      <c r="BF26" s="71"/>
      <c r="BG26" s="11">
        <f t="shared" si="13"/>
        <v>0</v>
      </c>
      <c r="BH26" s="10">
        <f t="shared" si="30"/>
        <v>0</v>
      </c>
      <c r="BJ26" s="7">
        <f t="shared" si="31"/>
        <v>0.23070588779554044</v>
      </c>
      <c r="BK26" s="158">
        <f t="shared" si="32"/>
        <v>242543776.0277501</v>
      </c>
      <c r="BL26" s="158">
        <f t="shared" si="14"/>
        <v>44787017.051867872</v>
      </c>
      <c r="BM26" s="10"/>
      <c r="BN26" s="10">
        <f t="shared" si="33"/>
        <v>4868862800.1687965</v>
      </c>
      <c r="BO26" s="10">
        <f t="shared" si="34"/>
        <v>3414922407.458415</v>
      </c>
      <c r="BQ26" s="10">
        <f t="shared" si="15"/>
        <v>194130360</v>
      </c>
      <c r="BR26" s="10">
        <f t="shared" si="35"/>
        <v>136159128.63861877</v>
      </c>
    </row>
    <row r="27" spans="3:70" x14ac:dyDescent="0.15">
      <c r="D27" s="160" t="s">
        <v>86</v>
      </c>
      <c r="F27" s="481">
        <f>F117*5%/10^8</f>
        <v>11.85</v>
      </c>
      <c r="G27" s="84" t="s">
        <v>566</v>
      </c>
      <c r="H27" s="71"/>
      <c r="I27" s="38">
        <f t="shared" si="36"/>
        <v>2032</v>
      </c>
      <c r="J27" s="39"/>
      <c r="K27" s="39">
        <f t="shared" si="37"/>
        <v>13</v>
      </c>
      <c r="L27" s="39"/>
      <c r="M27" s="40">
        <f t="shared" si="0"/>
        <v>0.68095133999317792</v>
      </c>
      <c r="N27" s="39"/>
      <c r="O27" s="72">
        <f t="shared" si="16"/>
        <v>2287439469.1008105</v>
      </c>
      <c r="P27" s="41" t="str">
        <f t="shared" si="1"/>
        <v>-</v>
      </c>
      <c r="Q27" s="39"/>
      <c r="R27" s="72">
        <f t="shared" si="17"/>
        <v>3756196866.1328402</v>
      </c>
      <c r="S27" s="39"/>
      <c r="T27" s="72">
        <f t="shared" si="18"/>
        <v>3756196000</v>
      </c>
      <c r="U27" s="39"/>
      <c r="V27" s="72">
        <f t="shared" si="2"/>
        <v>762479823.03360367</v>
      </c>
      <c r="W27" s="72">
        <f t="shared" si="19"/>
        <v>519211657.2124936</v>
      </c>
      <c r="X27" s="39"/>
      <c r="Y27" s="72">
        <f t="shared" si="3"/>
        <v>52586700</v>
      </c>
      <c r="Z27" s="72">
        <f t="shared" si="20"/>
        <v>35808983.830819249</v>
      </c>
      <c r="AA27" s="39"/>
      <c r="AB27" s="72">
        <f t="shared" si="4"/>
        <v>0</v>
      </c>
      <c r="AC27" s="72">
        <f t="shared" si="21"/>
        <v>0</v>
      </c>
      <c r="AD27" s="39"/>
      <c r="AE27" s="72">
        <f t="shared" si="5"/>
        <v>0</v>
      </c>
      <c r="AF27" s="72">
        <f t="shared" si="22"/>
        <v>0</v>
      </c>
      <c r="AG27" s="39"/>
      <c r="AH27" s="72">
        <f t="shared" si="6"/>
        <v>990000000</v>
      </c>
      <c r="AI27" s="72">
        <f t="shared" si="23"/>
        <v>674141826.5932461</v>
      </c>
      <c r="AJ27" s="39"/>
      <c r="AK27" s="72">
        <f t="shared" si="7"/>
        <v>0</v>
      </c>
      <c r="AL27" s="72">
        <f t="shared" si="24"/>
        <v>0</v>
      </c>
      <c r="AM27" s="39"/>
      <c r="AN27" s="72">
        <f t="shared" si="8"/>
        <v>0</v>
      </c>
      <c r="AO27" s="72">
        <f t="shared" si="25"/>
        <v>0</v>
      </c>
      <c r="AP27" s="39"/>
      <c r="AQ27" s="72">
        <f t="shared" si="9"/>
        <v>0</v>
      </c>
      <c r="AR27" s="72">
        <f t="shared" si="26"/>
        <v>0</v>
      </c>
      <c r="AS27" s="39"/>
      <c r="AT27" s="40">
        <f>IF($K27&lt;=$F$15,IF($F$40&lt;&gt;"",$F$40/1000,IF(ISERROR(VLOOKUP($F$3&amp;IF($G$4&lt;&gt;"",$G$4,"")&amp;IF($F$43&lt;&gt;"","_"&amp;$F$43,""),'表3）燃料価格'!$AF$9:$AG$25,2,0)),0,VLOOKUP($I27,'表3）燃料価格'!$A$6:$U$66,VLOOKUP($F$3&amp;IF($G$4&lt;&gt;"",$G$4,"")&amp;IF($F$43&lt;&gt;"","_"&amp;$F$43,""),'表3）燃料価格'!$AF$9:$AG$25,2,0)+VLOOKUP($F$41,'表3）燃料価格'!$AF$28:$AG$29,2,0),0)*IF($F$43="需要地価格",1,$F$8/$F$141))),"")</f>
        <v>0</v>
      </c>
      <c r="AU27" s="39"/>
      <c r="AV27" s="72">
        <f t="shared" si="10"/>
        <v>0</v>
      </c>
      <c r="AW27" s="72">
        <f t="shared" si="27"/>
        <v>0</v>
      </c>
      <c r="AX27" s="39"/>
      <c r="AY27" s="40">
        <f>IF(ISERROR(IF($K27&lt;=$F$15,VLOOKUP($I27,'表4）CO2価格'!$A$7:$E$67,VLOOKUP($F$48,'表4）CO2価格'!$H$10:$I$12,2,0),0)*$F$8/1000,"")),0,IF($K27&lt;=$F$15,VLOOKUP($I27,'表4）CO2価格'!$A$7:$E$67,VLOOKUP($F$48,'表4）CO2価格'!$H$10:$I$12,2,0),0)*$F$8/1000,""))</f>
        <v>0</v>
      </c>
      <c r="AZ27" s="39"/>
      <c r="BA27" s="42">
        <f t="shared" si="11"/>
        <v>0</v>
      </c>
      <c r="BB27" s="72">
        <f t="shared" si="28"/>
        <v>0</v>
      </c>
      <c r="BC27" s="39"/>
      <c r="BD27" s="72">
        <f t="shared" si="12"/>
        <v>0</v>
      </c>
      <c r="BE27" s="72">
        <f t="shared" si="29"/>
        <v>0</v>
      </c>
      <c r="BF27" s="39"/>
      <c r="BG27" s="42">
        <f t="shared" si="13"/>
        <v>0</v>
      </c>
      <c r="BH27" s="72">
        <f t="shared" si="30"/>
        <v>0</v>
      </c>
      <c r="BI27" s="39"/>
      <c r="BJ27" s="40">
        <f t="shared" si="31"/>
        <v>0.20416450247392959</v>
      </c>
      <c r="BK27" s="157">
        <f t="shared" si="32"/>
        <v>212859194.89143607</v>
      </c>
      <c r="BL27" s="157">
        <f t="shared" si="14"/>
        <v>39634528.364484839</v>
      </c>
      <c r="BM27" s="72"/>
      <c r="BN27" s="72">
        <f t="shared" si="33"/>
        <v>4868862800.1687965</v>
      </c>
      <c r="BO27" s="72">
        <f t="shared" si="34"/>
        <v>3315458648.0178785</v>
      </c>
      <c r="BP27" s="39"/>
      <c r="BQ27" s="72">
        <f t="shared" si="15"/>
        <v>194130360</v>
      </c>
      <c r="BR27" s="72">
        <f t="shared" si="35"/>
        <v>132193328.77535802</v>
      </c>
    </row>
    <row r="28" spans="3:70" x14ac:dyDescent="0.15">
      <c r="D28" s="84" t="s">
        <v>116</v>
      </c>
      <c r="F28" s="481">
        <v>1</v>
      </c>
      <c r="G28" s="84" t="s">
        <v>556</v>
      </c>
      <c r="H28" s="71"/>
      <c r="I28" s="322">
        <f t="shared" si="36"/>
        <v>2033</v>
      </c>
      <c r="J28" s="71"/>
      <c r="K28" s="71">
        <f t="shared" si="37"/>
        <v>14</v>
      </c>
      <c r="L28" s="71"/>
      <c r="M28" s="7">
        <f t="shared" si="0"/>
        <v>0.66111780581861923</v>
      </c>
      <c r="N28" s="71"/>
      <c r="O28" s="10">
        <f t="shared" si="16"/>
        <v>1524959646.0672069</v>
      </c>
      <c r="P28" s="29" t="str">
        <f t="shared" si="1"/>
        <v>-</v>
      </c>
      <c r="Q28" s="71"/>
      <c r="R28" s="10">
        <f t="shared" si="17"/>
        <v>3221674646.3821068</v>
      </c>
      <c r="S28" s="71"/>
      <c r="T28" s="10">
        <f t="shared" si="18"/>
        <v>3221674000</v>
      </c>
      <c r="U28" s="71"/>
      <c r="V28" s="10">
        <f t="shared" si="2"/>
        <v>762479823.03360367</v>
      </c>
      <c r="W28" s="10">
        <f t="shared" si="19"/>
        <v>504088987.58494514</v>
      </c>
      <c r="X28" s="71"/>
      <c r="Y28" s="10">
        <f t="shared" si="3"/>
        <v>45103400</v>
      </c>
      <c r="Z28" s="10">
        <f t="shared" si="20"/>
        <v>29818660.842959512</v>
      </c>
      <c r="AA28" s="71"/>
      <c r="AB28" s="10">
        <f t="shared" si="4"/>
        <v>0</v>
      </c>
      <c r="AC28" s="10">
        <f t="shared" si="21"/>
        <v>0</v>
      </c>
      <c r="AD28" s="71"/>
      <c r="AE28" s="10">
        <f t="shared" si="5"/>
        <v>0</v>
      </c>
      <c r="AF28" s="10">
        <f t="shared" si="22"/>
        <v>0</v>
      </c>
      <c r="AG28" s="71"/>
      <c r="AH28" s="10">
        <f t="shared" si="6"/>
        <v>990000000</v>
      </c>
      <c r="AI28" s="10">
        <f t="shared" si="23"/>
        <v>654506627.76043308</v>
      </c>
      <c r="AJ28" s="71"/>
      <c r="AK28" s="10">
        <f t="shared" si="7"/>
        <v>0</v>
      </c>
      <c r="AL28" s="10">
        <f t="shared" si="24"/>
        <v>0</v>
      </c>
      <c r="AM28" s="71"/>
      <c r="AN28" s="10">
        <f t="shared" si="8"/>
        <v>0</v>
      </c>
      <c r="AO28" s="10">
        <f t="shared" si="25"/>
        <v>0</v>
      </c>
      <c r="AP28" s="71"/>
      <c r="AQ28" s="10">
        <f t="shared" si="9"/>
        <v>0</v>
      </c>
      <c r="AR28" s="10">
        <f t="shared" si="26"/>
        <v>0</v>
      </c>
      <c r="AS28" s="71"/>
      <c r="AT28" s="7">
        <f>IF($K28&lt;=$F$15,IF($F$40&lt;&gt;"",$F$40/1000,IF(ISERROR(VLOOKUP($F$3&amp;IF($G$4&lt;&gt;"",$G$4,"")&amp;IF($F$43&lt;&gt;"","_"&amp;$F$43,""),'表3）燃料価格'!$AF$9:$AG$25,2,0)),0,VLOOKUP($I28,'表3）燃料価格'!$A$6:$U$66,VLOOKUP($F$3&amp;IF($G$4&lt;&gt;"",$G$4,"")&amp;IF($F$43&lt;&gt;"","_"&amp;$F$43,""),'表3）燃料価格'!$AF$9:$AG$25,2,0)+VLOOKUP($F$41,'表3）燃料価格'!$AF$28:$AG$29,2,0),0)*IF($F$43="需要地価格",1,$F$8/$F$141))),"")</f>
        <v>0</v>
      </c>
      <c r="AU28" s="71"/>
      <c r="AV28" s="10">
        <f t="shared" si="10"/>
        <v>0</v>
      </c>
      <c r="AW28" s="10">
        <f t="shared" si="27"/>
        <v>0</v>
      </c>
      <c r="AX28" s="71"/>
      <c r="AY28" s="7">
        <f>IF(ISERROR(IF($K28&lt;=$F$15,VLOOKUP($I28,'表4）CO2価格'!$A$7:$E$67,VLOOKUP($F$48,'表4）CO2価格'!$H$10:$I$12,2,0),0)*$F$8/1000,"")),0,IF($K28&lt;=$F$15,VLOOKUP($I28,'表4）CO2価格'!$A$7:$E$67,VLOOKUP($F$48,'表4）CO2価格'!$H$10:$I$12,2,0),0)*$F$8/1000,""))</f>
        <v>0</v>
      </c>
      <c r="AZ28" s="71"/>
      <c r="BA28" s="11">
        <f t="shared" si="11"/>
        <v>0</v>
      </c>
      <c r="BB28" s="10">
        <f t="shared" si="28"/>
        <v>0</v>
      </c>
      <c r="BC28" s="71"/>
      <c r="BD28" s="10">
        <f t="shared" si="12"/>
        <v>0</v>
      </c>
      <c r="BE28" s="10">
        <f t="shared" si="29"/>
        <v>0</v>
      </c>
      <c r="BF28" s="71"/>
      <c r="BG28" s="11">
        <f t="shared" si="13"/>
        <v>0</v>
      </c>
      <c r="BH28" s="10">
        <f t="shared" si="30"/>
        <v>0</v>
      </c>
      <c r="BJ28" s="7">
        <f t="shared" si="31"/>
        <v>0.18067655086188467</v>
      </c>
      <c r="BK28" s="158">
        <f t="shared" si="32"/>
        <v>187018912.09740975</v>
      </c>
      <c r="BL28" s="158">
        <f t="shared" si="14"/>
        <v>35074803.862375982</v>
      </c>
      <c r="BM28" s="10"/>
      <c r="BN28" s="10">
        <f t="shared" si="33"/>
        <v>4868862800.1687965</v>
      </c>
      <c r="BO28" s="10">
        <f t="shared" si="34"/>
        <v>3218891891.2794933</v>
      </c>
      <c r="BQ28" s="10">
        <f t="shared" si="15"/>
        <v>194130360</v>
      </c>
      <c r="BR28" s="10">
        <f t="shared" si="35"/>
        <v>128343037.64597864</v>
      </c>
    </row>
    <row r="29" spans="3:70" x14ac:dyDescent="0.15">
      <c r="D29" s="84" t="s">
        <v>567</v>
      </c>
      <c r="F29" s="481"/>
      <c r="G29" s="84" t="s">
        <v>566</v>
      </c>
      <c r="H29" s="71"/>
      <c r="I29" s="38">
        <f t="shared" si="36"/>
        <v>2034</v>
      </c>
      <c r="J29" s="39"/>
      <c r="K29" s="39">
        <f t="shared" si="37"/>
        <v>15</v>
      </c>
      <c r="L29" s="39"/>
      <c r="M29" s="40">
        <f t="shared" si="0"/>
        <v>0.64186194739671765</v>
      </c>
      <c r="N29" s="39"/>
      <c r="O29" s="72">
        <f t="shared" si="16"/>
        <v>762479823.03360319</v>
      </c>
      <c r="P29" s="41" t="str">
        <f t="shared" si="1"/>
        <v>-</v>
      </c>
      <c r="Q29" s="39"/>
      <c r="R29" s="72">
        <f t="shared" si="17"/>
        <v>2763217130.7962022</v>
      </c>
      <c r="S29" s="39"/>
      <c r="T29" s="72">
        <f t="shared" si="18"/>
        <v>2763217000</v>
      </c>
      <c r="U29" s="39"/>
      <c r="V29" s="72">
        <f t="shared" si="2"/>
        <v>762479823.03360319</v>
      </c>
      <c r="W29" s="72">
        <f t="shared" si="19"/>
        <v>489406784.06305319</v>
      </c>
      <c r="X29" s="39"/>
      <c r="Y29" s="72">
        <f t="shared" si="3"/>
        <v>38685000</v>
      </c>
      <c r="Z29" s="72">
        <f t="shared" si="20"/>
        <v>24830429.435042024</v>
      </c>
      <c r="AA29" s="39"/>
      <c r="AB29" s="72">
        <f t="shared" si="4"/>
        <v>0</v>
      </c>
      <c r="AC29" s="72">
        <f t="shared" si="21"/>
        <v>0</v>
      </c>
      <c r="AD29" s="39"/>
      <c r="AE29" s="72">
        <f t="shared" si="5"/>
        <v>0</v>
      </c>
      <c r="AF29" s="72">
        <f t="shared" si="22"/>
        <v>0</v>
      </c>
      <c r="AG29" s="39"/>
      <c r="AH29" s="72">
        <f t="shared" si="6"/>
        <v>990000000</v>
      </c>
      <c r="AI29" s="72">
        <f t="shared" si="23"/>
        <v>635443327.92275047</v>
      </c>
      <c r="AJ29" s="39"/>
      <c r="AK29" s="72">
        <f t="shared" si="7"/>
        <v>0</v>
      </c>
      <c r="AL29" s="72">
        <f t="shared" si="24"/>
        <v>0</v>
      </c>
      <c r="AM29" s="39"/>
      <c r="AN29" s="72">
        <f t="shared" si="8"/>
        <v>0</v>
      </c>
      <c r="AO29" s="72">
        <f t="shared" si="25"/>
        <v>0</v>
      </c>
      <c r="AP29" s="39"/>
      <c r="AQ29" s="72">
        <f t="shared" si="9"/>
        <v>0</v>
      </c>
      <c r="AR29" s="72">
        <f t="shared" si="26"/>
        <v>0</v>
      </c>
      <c r="AS29" s="39"/>
      <c r="AT29" s="40">
        <f>IF($K29&lt;=$F$15,IF($F$40&lt;&gt;"",$F$40/1000,IF(ISERROR(VLOOKUP($F$3&amp;IF($G$4&lt;&gt;"",$G$4,"")&amp;IF($F$43&lt;&gt;"","_"&amp;$F$43,""),'表3）燃料価格'!$AF$9:$AG$25,2,0)),0,VLOOKUP($I29,'表3）燃料価格'!$A$6:$U$66,VLOOKUP($F$3&amp;IF($G$4&lt;&gt;"",$G$4,"")&amp;IF($F$43&lt;&gt;"","_"&amp;$F$43,""),'表3）燃料価格'!$AF$9:$AG$25,2,0)+VLOOKUP($F$41,'表3）燃料価格'!$AF$28:$AG$29,2,0),0)*IF($F$43="需要地価格",1,$F$8/$F$141))),"")</f>
        <v>0</v>
      </c>
      <c r="AU29" s="39"/>
      <c r="AV29" s="72">
        <f t="shared" si="10"/>
        <v>0</v>
      </c>
      <c r="AW29" s="72">
        <f t="shared" si="27"/>
        <v>0</v>
      </c>
      <c r="AX29" s="39"/>
      <c r="AY29" s="40">
        <f>IF(ISERROR(IF($K29&lt;=$F$15,VLOOKUP($I29,'表4）CO2価格'!$A$7:$E$67,VLOOKUP($F$48,'表4）CO2価格'!$H$10:$I$12,2,0),0)*$F$8/1000,"")),0,IF($K29&lt;=$F$15,VLOOKUP($I29,'表4）CO2価格'!$A$7:$E$67,VLOOKUP($F$48,'表4）CO2価格'!$H$10:$I$12,2,0),0)*$F$8/1000,""))</f>
        <v>0</v>
      </c>
      <c r="AZ29" s="39"/>
      <c r="BA29" s="42">
        <f t="shared" si="11"/>
        <v>0</v>
      </c>
      <c r="BB29" s="72">
        <f t="shared" si="28"/>
        <v>0</v>
      </c>
      <c r="BC29" s="39"/>
      <c r="BD29" s="72">
        <f t="shared" si="12"/>
        <v>0</v>
      </c>
      <c r="BE29" s="72">
        <f t="shared" si="29"/>
        <v>0</v>
      </c>
      <c r="BF29" s="39"/>
      <c r="BG29" s="42">
        <f t="shared" si="13"/>
        <v>0</v>
      </c>
      <c r="BH29" s="72">
        <f t="shared" si="30"/>
        <v>0</v>
      </c>
      <c r="BI29" s="39"/>
      <c r="BJ29" s="40">
        <f t="shared" si="31"/>
        <v>0.15989075297511918</v>
      </c>
      <c r="BK29" s="157">
        <f t="shared" si="32"/>
        <v>164477219.22421047</v>
      </c>
      <c r="BL29" s="157">
        <f t="shared" si="14"/>
        <v>31039649.435730956</v>
      </c>
      <c r="BM29" s="72"/>
      <c r="BN29" s="72">
        <f t="shared" si="33"/>
        <v>4868862800.1687965</v>
      </c>
      <c r="BO29" s="72">
        <f t="shared" si="34"/>
        <v>3125137758.5237794</v>
      </c>
      <c r="BP29" s="39"/>
      <c r="BQ29" s="72">
        <f t="shared" si="15"/>
        <v>194130360</v>
      </c>
      <c r="BR29" s="72">
        <f t="shared" si="35"/>
        <v>124604890.91842586</v>
      </c>
    </row>
    <row r="30" spans="3:70" x14ac:dyDescent="0.15">
      <c r="H30" s="71"/>
      <c r="I30" s="322">
        <f t="shared" si="36"/>
        <v>2035</v>
      </c>
      <c r="J30" s="71"/>
      <c r="K30" s="71">
        <f t="shared" si="37"/>
        <v>16</v>
      </c>
      <c r="L30" s="71"/>
      <c r="M30" s="7">
        <f t="shared" si="0"/>
        <v>0.62316693922011435</v>
      </c>
      <c r="N30" s="71"/>
      <c r="O30" s="10">
        <f t="shared" si="16"/>
        <v>0</v>
      </c>
      <c r="P30" s="29" t="str">
        <f t="shared" si="1"/>
        <v>-</v>
      </c>
      <c r="Q30" s="71"/>
      <c r="R30" s="10">
        <f t="shared" si="17"/>
        <v>2370000000.000001</v>
      </c>
      <c r="S30" s="71"/>
      <c r="T30" s="10">
        <f t="shared" si="18"/>
        <v>2370000000</v>
      </c>
      <c r="U30" s="71"/>
      <c r="V30" s="10">
        <f t="shared" si="2"/>
        <v>0</v>
      </c>
      <c r="W30" s="10">
        <f t="shared" si="19"/>
        <v>0</v>
      </c>
      <c r="X30" s="71"/>
      <c r="Y30" s="10">
        <f t="shared" si="3"/>
        <v>33180000</v>
      </c>
      <c r="Z30" s="10">
        <f t="shared" si="20"/>
        <v>20676679.043323394</v>
      </c>
      <c r="AA30" s="71"/>
      <c r="AB30" s="10">
        <f t="shared" si="4"/>
        <v>0</v>
      </c>
      <c r="AC30" s="10">
        <f t="shared" si="21"/>
        <v>0</v>
      </c>
      <c r="AD30" s="71"/>
      <c r="AE30" s="10">
        <f t="shared" si="5"/>
        <v>0</v>
      </c>
      <c r="AF30" s="10">
        <f t="shared" si="22"/>
        <v>0</v>
      </c>
      <c r="AG30" s="71"/>
      <c r="AH30" s="10">
        <f t="shared" si="6"/>
        <v>990000000</v>
      </c>
      <c r="AI30" s="10">
        <f t="shared" si="23"/>
        <v>616935269.82791317</v>
      </c>
      <c r="AJ30" s="71"/>
      <c r="AK30" s="10">
        <f t="shared" si="7"/>
        <v>0</v>
      </c>
      <c r="AL30" s="10">
        <f t="shared" si="24"/>
        <v>0</v>
      </c>
      <c r="AM30" s="71"/>
      <c r="AN30" s="10">
        <f t="shared" si="8"/>
        <v>0</v>
      </c>
      <c r="AO30" s="10">
        <f t="shared" si="25"/>
        <v>0</v>
      </c>
      <c r="AP30" s="71"/>
      <c r="AQ30" s="10">
        <f t="shared" si="9"/>
        <v>0</v>
      </c>
      <c r="AR30" s="10">
        <f t="shared" si="26"/>
        <v>0</v>
      </c>
      <c r="AS30" s="71"/>
      <c r="AT30" s="7">
        <f>IF($K30&lt;=$F$15,IF($F$40&lt;&gt;"",$F$40/1000,IF(ISERROR(VLOOKUP($F$3&amp;IF($G$4&lt;&gt;"",$G$4,"")&amp;IF($F$43&lt;&gt;"","_"&amp;$F$43,""),'表3）燃料価格'!$AF$9:$AG$25,2,0)),0,VLOOKUP($I30,'表3）燃料価格'!$A$6:$U$66,VLOOKUP($F$3&amp;IF($G$4&lt;&gt;"",$G$4,"")&amp;IF($F$43&lt;&gt;"","_"&amp;$F$43,""),'表3）燃料価格'!$AF$9:$AG$25,2,0)+VLOOKUP($F$41,'表3）燃料価格'!$AF$28:$AG$29,2,0),0)*IF($F$43="需要地価格",1,$F$8/$F$141))),"")</f>
        <v>0</v>
      </c>
      <c r="AU30" s="71"/>
      <c r="AV30" s="10">
        <f t="shared" si="10"/>
        <v>0</v>
      </c>
      <c r="AW30" s="10">
        <f t="shared" si="27"/>
        <v>0</v>
      </c>
      <c r="AX30" s="71"/>
      <c r="AY30" s="7">
        <f>IF(ISERROR(IF($K30&lt;=$F$15,VLOOKUP($I30,'表4）CO2価格'!$A$7:$E$67,VLOOKUP($F$48,'表4）CO2価格'!$H$10:$I$12,2,0),0)*$F$8/1000,"")),0,IF($K30&lt;=$F$15,VLOOKUP($I30,'表4）CO2価格'!$A$7:$E$67,VLOOKUP($F$48,'表4）CO2価格'!$H$10:$I$12,2,0),0)*$F$8/1000,""))</f>
        <v>0</v>
      </c>
      <c r="AZ30" s="71"/>
      <c r="BA30" s="11">
        <f t="shared" si="11"/>
        <v>0</v>
      </c>
      <c r="BB30" s="10">
        <f t="shared" si="28"/>
        <v>0</v>
      </c>
      <c r="BC30" s="71"/>
      <c r="BD30" s="10">
        <f t="shared" si="12"/>
        <v>0</v>
      </c>
      <c r="BE30" s="10">
        <f t="shared" si="29"/>
        <v>0</v>
      </c>
      <c r="BF30" s="71"/>
      <c r="BG30" s="11">
        <f t="shared" si="13"/>
        <v>0</v>
      </c>
      <c r="BH30" s="10">
        <f t="shared" si="30"/>
        <v>0</v>
      </c>
      <c r="BJ30" s="7">
        <f t="shared" si="31"/>
        <v>0.14149624157090193</v>
      </c>
      <c r="BK30" s="158">
        <f t="shared" si="32"/>
        <v>167673046.26151878</v>
      </c>
      <c r="BL30" s="158" t="str">
        <f t="shared" si="14"/>
        <v/>
      </c>
      <c r="BM30" s="10"/>
      <c r="BN30" s="10" t="str">
        <f t="shared" si="33"/>
        <v/>
      </c>
      <c r="BO30" s="10" t="str">
        <f t="shared" si="34"/>
        <v/>
      </c>
      <c r="BQ30" s="10">
        <f t="shared" si="15"/>
        <v>194130360</v>
      </c>
      <c r="BR30" s="10">
        <f t="shared" si="35"/>
        <v>120975622.25089891</v>
      </c>
    </row>
    <row r="31" spans="3:70" x14ac:dyDescent="0.15">
      <c r="C31" s="4" t="s">
        <v>568</v>
      </c>
      <c r="D31" s="100"/>
      <c r="E31" s="100"/>
      <c r="F31" s="4"/>
      <c r="G31" s="100"/>
      <c r="H31" s="71"/>
      <c r="I31" s="38">
        <f t="shared" si="36"/>
        <v>2036</v>
      </c>
      <c r="J31" s="39"/>
      <c r="K31" s="39">
        <f t="shared" si="37"/>
        <v>17</v>
      </c>
      <c r="L31" s="39"/>
      <c r="M31" s="40">
        <f t="shared" si="0"/>
        <v>0.60501644584477121</v>
      </c>
      <c r="N31" s="39"/>
      <c r="O31" s="72">
        <f t="shared" si="16"/>
        <v>0</v>
      </c>
      <c r="P31" s="41" t="str">
        <f t="shared" si="1"/>
        <v>-</v>
      </c>
      <c r="Q31" s="39"/>
      <c r="R31" s="72">
        <f t="shared" si="17"/>
        <v>2032739279.6604199</v>
      </c>
      <c r="S31" s="39"/>
      <c r="T31" s="72">
        <f t="shared" si="18"/>
        <v>2032739000</v>
      </c>
      <c r="U31" s="39"/>
      <c r="V31" s="72">
        <f t="shared" si="2"/>
        <v>0</v>
      </c>
      <c r="W31" s="72">
        <f t="shared" si="19"/>
        <v>0</v>
      </c>
      <c r="X31" s="39"/>
      <c r="Y31" s="72">
        <f t="shared" si="3"/>
        <v>28458300</v>
      </c>
      <c r="Z31" s="72">
        <f t="shared" si="20"/>
        <v>17217739.520784251</v>
      </c>
      <c r="AA31" s="39"/>
      <c r="AB31" s="72">
        <f t="shared" si="4"/>
        <v>0</v>
      </c>
      <c r="AC31" s="72">
        <f t="shared" si="21"/>
        <v>0</v>
      </c>
      <c r="AD31" s="39"/>
      <c r="AE31" s="72">
        <f t="shared" si="5"/>
        <v>0</v>
      </c>
      <c r="AF31" s="72">
        <f t="shared" si="22"/>
        <v>0</v>
      </c>
      <c r="AG31" s="39"/>
      <c r="AH31" s="72">
        <f t="shared" si="6"/>
        <v>990000000</v>
      </c>
      <c r="AI31" s="72">
        <f t="shared" si="23"/>
        <v>598966281.38632345</v>
      </c>
      <c r="AJ31" s="39"/>
      <c r="AK31" s="72">
        <f t="shared" si="7"/>
        <v>0</v>
      </c>
      <c r="AL31" s="72">
        <f t="shared" si="24"/>
        <v>0</v>
      </c>
      <c r="AM31" s="39"/>
      <c r="AN31" s="72">
        <f t="shared" si="8"/>
        <v>0</v>
      </c>
      <c r="AO31" s="72">
        <f t="shared" si="25"/>
        <v>0</v>
      </c>
      <c r="AP31" s="39"/>
      <c r="AQ31" s="72">
        <f t="shared" si="9"/>
        <v>0</v>
      </c>
      <c r="AR31" s="72">
        <f t="shared" si="26"/>
        <v>0</v>
      </c>
      <c r="AS31" s="39"/>
      <c r="AT31" s="40">
        <f>IF($K31&lt;=$F$15,IF($F$40&lt;&gt;"",$F$40/1000,IF(ISERROR(VLOOKUP($F$3&amp;IF($G$4&lt;&gt;"",$G$4,"")&amp;IF($F$43&lt;&gt;"","_"&amp;$F$43,""),'表3）燃料価格'!$AF$9:$AG$25,2,0)),0,VLOOKUP($I31,'表3）燃料価格'!$A$6:$U$66,VLOOKUP($F$3&amp;IF($G$4&lt;&gt;"",$G$4,"")&amp;IF($F$43&lt;&gt;"","_"&amp;$F$43,""),'表3）燃料価格'!$AF$9:$AG$25,2,0)+VLOOKUP($F$41,'表3）燃料価格'!$AF$28:$AG$29,2,0),0)*IF($F$43="需要地価格",1,$F$8/$F$141))),"")</f>
        <v>0</v>
      </c>
      <c r="AU31" s="39"/>
      <c r="AV31" s="72">
        <f t="shared" si="10"/>
        <v>0</v>
      </c>
      <c r="AW31" s="72">
        <f t="shared" si="27"/>
        <v>0</v>
      </c>
      <c r="AX31" s="39"/>
      <c r="AY31" s="40">
        <f>IF(ISERROR(IF($K31&lt;=$F$15,VLOOKUP($I31,'表4）CO2価格'!$A$7:$E$67,VLOOKUP($F$48,'表4）CO2価格'!$H$10:$I$12,2,0),0)*$F$8/1000,"")),0,IF($K31&lt;=$F$15,VLOOKUP($I31,'表4）CO2価格'!$A$7:$E$67,VLOOKUP($F$48,'表4）CO2価格'!$H$10:$I$12,2,0),0)*$F$8/1000,""))</f>
        <v>0</v>
      </c>
      <c r="AZ31" s="39"/>
      <c r="BA31" s="42">
        <f t="shared" si="11"/>
        <v>0</v>
      </c>
      <c r="BB31" s="72">
        <f t="shared" si="28"/>
        <v>0</v>
      </c>
      <c r="BC31" s="39"/>
      <c r="BD31" s="72">
        <f t="shared" si="12"/>
        <v>0</v>
      </c>
      <c r="BE31" s="72">
        <f t="shared" si="29"/>
        <v>0</v>
      </c>
      <c r="BF31" s="39"/>
      <c r="BG31" s="42">
        <f t="shared" si="13"/>
        <v>0</v>
      </c>
      <c r="BH31" s="72">
        <f t="shared" si="30"/>
        <v>0</v>
      </c>
      <c r="BI31" s="39"/>
      <c r="BJ31" s="40" t="str">
        <f t="shared" si="31"/>
        <v/>
      </c>
      <c r="BK31" s="157" t="str">
        <f t="shared" si="32"/>
        <v/>
      </c>
      <c r="BL31" s="157" t="str">
        <f t="shared" si="14"/>
        <v/>
      </c>
      <c r="BM31" s="72"/>
      <c r="BN31" s="72" t="str">
        <f t="shared" si="33"/>
        <v/>
      </c>
      <c r="BO31" s="72" t="str">
        <f t="shared" si="34"/>
        <v/>
      </c>
      <c r="BP31" s="39"/>
      <c r="BQ31" s="72">
        <f t="shared" si="15"/>
        <v>194130360</v>
      </c>
      <c r="BR31" s="72">
        <f t="shared" si="35"/>
        <v>117452060.43776594</v>
      </c>
    </row>
    <row r="32" spans="3:70" x14ac:dyDescent="0.15">
      <c r="H32" s="71"/>
      <c r="I32" s="322">
        <f t="shared" si="36"/>
        <v>2037</v>
      </c>
      <c r="J32" s="71"/>
      <c r="K32" s="71">
        <f t="shared" si="37"/>
        <v>18</v>
      </c>
      <c r="L32" s="71"/>
      <c r="M32" s="7">
        <f t="shared" si="0"/>
        <v>0.5873946076162827</v>
      </c>
      <c r="N32" s="71"/>
      <c r="O32" s="10">
        <f t="shared" si="16"/>
        <v>0</v>
      </c>
      <c r="P32" s="29" t="str">
        <f t="shared" si="1"/>
        <v>-</v>
      </c>
      <c r="Q32" s="71"/>
      <c r="R32" s="10">
        <f t="shared" si="17"/>
        <v>1743472143.0693507</v>
      </c>
      <c r="S32" s="71"/>
      <c r="T32" s="10">
        <f t="shared" si="18"/>
        <v>1743472000</v>
      </c>
      <c r="U32" s="71"/>
      <c r="V32" s="10">
        <f t="shared" si="2"/>
        <v>0</v>
      </c>
      <c r="W32" s="10">
        <f t="shared" si="19"/>
        <v>0</v>
      </c>
      <c r="X32" s="71"/>
      <c r="Y32" s="10">
        <f t="shared" si="3"/>
        <v>24408600</v>
      </c>
      <c r="Z32" s="10">
        <f t="shared" si="20"/>
        <v>14337480.019462798</v>
      </c>
      <c r="AA32" s="71"/>
      <c r="AB32" s="10">
        <f t="shared" si="4"/>
        <v>0</v>
      </c>
      <c r="AC32" s="10">
        <f t="shared" si="21"/>
        <v>0</v>
      </c>
      <c r="AD32" s="71"/>
      <c r="AE32" s="10">
        <f t="shared" si="5"/>
        <v>0</v>
      </c>
      <c r="AF32" s="10">
        <f t="shared" si="22"/>
        <v>0</v>
      </c>
      <c r="AG32" s="71"/>
      <c r="AH32" s="10">
        <f t="shared" si="6"/>
        <v>990000000</v>
      </c>
      <c r="AI32" s="10">
        <f t="shared" si="23"/>
        <v>581520661.54011989</v>
      </c>
      <c r="AJ32" s="71"/>
      <c r="AK32" s="10">
        <f t="shared" si="7"/>
        <v>0</v>
      </c>
      <c r="AL32" s="10">
        <f t="shared" si="24"/>
        <v>0</v>
      </c>
      <c r="AM32" s="71"/>
      <c r="AN32" s="10">
        <f t="shared" si="8"/>
        <v>0</v>
      </c>
      <c r="AO32" s="10">
        <f t="shared" si="25"/>
        <v>0</v>
      </c>
      <c r="AP32" s="71"/>
      <c r="AQ32" s="10">
        <f t="shared" si="9"/>
        <v>0</v>
      </c>
      <c r="AR32" s="10">
        <f t="shared" si="26"/>
        <v>0</v>
      </c>
      <c r="AS32" s="71"/>
      <c r="AT32" s="7">
        <f>IF($K32&lt;=$F$15,IF($F$40&lt;&gt;"",$F$40/1000,IF(ISERROR(VLOOKUP($F$3&amp;IF($G$4&lt;&gt;"",$G$4,"")&amp;IF($F$43&lt;&gt;"","_"&amp;$F$43,""),'表3）燃料価格'!$AF$9:$AG$25,2,0)),0,VLOOKUP($I32,'表3）燃料価格'!$A$6:$U$66,VLOOKUP($F$3&amp;IF($G$4&lt;&gt;"",$G$4,"")&amp;IF($F$43&lt;&gt;"","_"&amp;$F$43,""),'表3）燃料価格'!$AF$9:$AG$25,2,0)+VLOOKUP($F$41,'表3）燃料価格'!$AF$28:$AG$29,2,0),0)*IF($F$43="需要地価格",1,$F$8/$F$141))),"")</f>
        <v>0</v>
      </c>
      <c r="AU32" s="71"/>
      <c r="AV32" s="10">
        <f t="shared" si="10"/>
        <v>0</v>
      </c>
      <c r="AW32" s="10">
        <f t="shared" si="27"/>
        <v>0</v>
      </c>
      <c r="AX32" s="71"/>
      <c r="AY32" s="7">
        <f>IF(ISERROR(IF($K32&lt;=$F$15,VLOOKUP($I32,'表4）CO2価格'!$A$7:$E$67,VLOOKUP($F$48,'表4）CO2価格'!$H$10:$I$12,2,0),0)*$F$8/1000,"")),0,IF($K32&lt;=$F$15,VLOOKUP($I32,'表4）CO2価格'!$A$7:$E$67,VLOOKUP($F$48,'表4）CO2価格'!$H$10:$I$12,2,0),0)*$F$8/1000,""))</f>
        <v>0</v>
      </c>
      <c r="AZ32" s="71"/>
      <c r="BA32" s="11">
        <f t="shared" si="11"/>
        <v>0</v>
      </c>
      <c r="BB32" s="10">
        <f t="shared" si="28"/>
        <v>0</v>
      </c>
      <c r="BC32" s="71"/>
      <c r="BD32" s="10">
        <f t="shared" si="12"/>
        <v>0</v>
      </c>
      <c r="BE32" s="10">
        <f t="shared" si="29"/>
        <v>0</v>
      </c>
      <c r="BF32" s="71"/>
      <c r="BG32" s="11">
        <f t="shared" si="13"/>
        <v>0</v>
      </c>
      <c r="BH32" s="10">
        <f t="shared" si="30"/>
        <v>0</v>
      </c>
      <c r="BJ32" s="7" t="str">
        <f t="shared" si="31"/>
        <v/>
      </c>
      <c r="BK32" s="158" t="str">
        <f t="shared" si="32"/>
        <v/>
      </c>
      <c r="BL32" s="158" t="str">
        <f t="shared" si="14"/>
        <v/>
      </c>
      <c r="BM32" s="10"/>
      <c r="BN32" s="10" t="str">
        <f t="shared" si="33"/>
        <v/>
      </c>
      <c r="BO32" s="10" t="str">
        <f t="shared" si="34"/>
        <v/>
      </c>
      <c r="BQ32" s="10">
        <f t="shared" si="15"/>
        <v>194130360</v>
      </c>
      <c r="BR32" s="10">
        <f t="shared" si="35"/>
        <v>114031126.63860771</v>
      </c>
    </row>
    <row r="33" spans="3:70" x14ac:dyDescent="0.15">
      <c r="D33" s="160" t="s">
        <v>232</v>
      </c>
      <c r="F33" s="475">
        <v>3.3</v>
      </c>
      <c r="G33" s="84" t="s">
        <v>569</v>
      </c>
      <c r="H33" s="71"/>
      <c r="I33" s="38">
        <f t="shared" si="36"/>
        <v>2038</v>
      </c>
      <c r="J33" s="39"/>
      <c r="K33" s="39">
        <f t="shared" si="37"/>
        <v>19</v>
      </c>
      <c r="L33" s="39"/>
      <c r="M33" s="40">
        <f t="shared" si="0"/>
        <v>0.57028602681192497</v>
      </c>
      <c r="N33" s="39"/>
      <c r="O33" s="72">
        <f t="shared" si="16"/>
        <v>0</v>
      </c>
      <c r="P33" s="41" t="str">
        <f t="shared" si="1"/>
        <v>-</v>
      </c>
      <c r="Q33" s="39"/>
      <c r="R33" s="72">
        <f t="shared" si="17"/>
        <v>1495368906.4180586</v>
      </c>
      <c r="S33" s="39"/>
      <c r="T33" s="72">
        <f t="shared" si="18"/>
        <v>1495368000</v>
      </c>
      <c r="U33" s="39"/>
      <c r="V33" s="72">
        <f t="shared" si="2"/>
        <v>0</v>
      </c>
      <c r="W33" s="72">
        <f t="shared" si="19"/>
        <v>0</v>
      </c>
      <c r="X33" s="39"/>
      <c r="Y33" s="72">
        <f t="shared" si="3"/>
        <v>20935100</v>
      </c>
      <c r="Z33" s="72">
        <f t="shared" si="20"/>
        <v>11938994.99991033</v>
      </c>
      <c r="AA33" s="39"/>
      <c r="AB33" s="72">
        <f t="shared" si="4"/>
        <v>0</v>
      </c>
      <c r="AC33" s="72">
        <f t="shared" si="21"/>
        <v>0</v>
      </c>
      <c r="AD33" s="39"/>
      <c r="AE33" s="72">
        <f t="shared" si="5"/>
        <v>0</v>
      </c>
      <c r="AF33" s="72">
        <f t="shared" si="22"/>
        <v>0</v>
      </c>
      <c r="AG33" s="39"/>
      <c r="AH33" s="72">
        <f t="shared" si="6"/>
        <v>990000000</v>
      </c>
      <c r="AI33" s="72">
        <f t="shared" si="23"/>
        <v>564583166.54380572</v>
      </c>
      <c r="AJ33" s="39"/>
      <c r="AK33" s="72">
        <f t="shared" si="7"/>
        <v>0</v>
      </c>
      <c r="AL33" s="72">
        <f t="shared" si="24"/>
        <v>0</v>
      </c>
      <c r="AM33" s="39"/>
      <c r="AN33" s="72">
        <f t="shared" si="8"/>
        <v>0</v>
      </c>
      <c r="AO33" s="72">
        <f t="shared" si="25"/>
        <v>0</v>
      </c>
      <c r="AP33" s="39"/>
      <c r="AQ33" s="72">
        <f t="shared" si="9"/>
        <v>0</v>
      </c>
      <c r="AR33" s="72">
        <f t="shared" si="26"/>
        <v>0</v>
      </c>
      <c r="AS33" s="39"/>
      <c r="AT33" s="40">
        <f>IF($K33&lt;=$F$15,IF($F$40&lt;&gt;"",$F$40/1000,IF(ISERROR(VLOOKUP($F$3&amp;IF($G$4&lt;&gt;"",$G$4,"")&amp;IF($F$43&lt;&gt;"","_"&amp;$F$43,""),'表3）燃料価格'!$AF$9:$AG$25,2,0)),0,VLOOKUP($I33,'表3）燃料価格'!$A$6:$U$66,VLOOKUP($F$3&amp;IF($G$4&lt;&gt;"",$G$4,"")&amp;IF($F$43&lt;&gt;"","_"&amp;$F$43,""),'表3）燃料価格'!$AF$9:$AG$25,2,0)+VLOOKUP($F$41,'表3）燃料価格'!$AF$28:$AG$29,2,0),0)*IF($F$43="需要地価格",1,$F$8/$F$141))),"")</f>
        <v>0</v>
      </c>
      <c r="AU33" s="39"/>
      <c r="AV33" s="72">
        <f t="shared" si="10"/>
        <v>0</v>
      </c>
      <c r="AW33" s="72">
        <f t="shared" si="27"/>
        <v>0</v>
      </c>
      <c r="AX33" s="39"/>
      <c r="AY33" s="40">
        <f>IF(ISERROR(IF($K33&lt;=$F$15,VLOOKUP($I33,'表4）CO2価格'!$A$7:$E$67,VLOOKUP($F$48,'表4）CO2価格'!$H$10:$I$12,2,0),0)*$F$8/1000,"")),0,IF($K33&lt;=$F$15,VLOOKUP($I33,'表4）CO2価格'!$A$7:$E$67,VLOOKUP($F$48,'表4）CO2価格'!$H$10:$I$12,2,0),0)*$F$8/1000,""))</f>
        <v>0</v>
      </c>
      <c r="AZ33" s="39"/>
      <c r="BA33" s="42">
        <f t="shared" si="11"/>
        <v>0</v>
      </c>
      <c r="BB33" s="72">
        <f t="shared" si="28"/>
        <v>0</v>
      </c>
      <c r="BC33" s="39"/>
      <c r="BD33" s="72">
        <f t="shared" si="12"/>
        <v>0</v>
      </c>
      <c r="BE33" s="72">
        <f t="shared" si="29"/>
        <v>0</v>
      </c>
      <c r="BF33" s="39"/>
      <c r="BG33" s="42">
        <f t="shared" si="13"/>
        <v>0</v>
      </c>
      <c r="BH33" s="72">
        <f t="shared" si="30"/>
        <v>0</v>
      </c>
      <c r="BI33" s="39"/>
      <c r="BJ33" s="40" t="str">
        <f t="shared" si="31"/>
        <v/>
      </c>
      <c r="BK33" s="157" t="str">
        <f t="shared" si="32"/>
        <v/>
      </c>
      <c r="BL33" s="157" t="str">
        <f t="shared" si="14"/>
        <v/>
      </c>
      <c r="BM33" s="72"/>
      <c r="BN33" s="72" t="str">
        <f t="shared" si="33"/>
        <v/>
      </c>
      <c r="BO33" s="72" t="str">
        <f t="shared" si="34"/>
        <v/>
      </c>
      <c r="BP33" s="39"/>
      <c r="BQ33" s="72">
        <f t="shared" si="15"/>
        <v>194130360</v>
      </c>
      <c r="BR33" s="72">
        <f t="shared" si="35"/>
        <v>110709831.68796864</v>
      </c>
    </row>
    <row r="34" spans="3:70" x14ac:dyDescent="0.15">
      <c r="D34" s="160"/>
      <c r="F34" s="475"/>
      <c r="H34" s="71"/>
      <c r="I34" s="322">
        <f t="shared" si="36"/>
        <v>2039</v>
      </c>
      <c r="J34" s="71"/>
      <c r="K34" s="71">
        <f t="shared" si="37"/>
        <v>20</v>
      </c>
      <c r="L34" s="71"/>
      <c r="M34" s="7">
        <f t="shared" si="0"/>
        <v>0.55367575418633497</v>
      </c>
      <c r="N34" s="71"/>
      <c r="O34" s="10">
        <f t="shared" si="16"/>
        <v>0</v>
      </c>
      <c r="P34" s="29" t="str">
        <f t="shared" si="1"/>
        <v>-</v>
      </c>
      <c r="Q34" s="71"/>
      <c r="R34" s="10">
        <f t="shared" si="17"/>
        <v>1282571777.9151194</v>
      </c>
      <c r="S34" s="71"/>
      <c r="T34" s="10">
        <f t="shared" si="18"/>
        <v>1282571000</v>
      </c>
      <c r="U34" s="71"/>
      <c r="V34" s="10">
        <f t="shared" si="2"/>
        <v>0</v>
      </c>
      <c r="W34" s="10">
        <f t="shared" si="19"/>
        <v>0</v>
      </c>
      <c r="X34" s="71"/>
      <c r="Y34" s="10">
        <f t="shared" si="3"/>
        <v>17955900</v>
      </c>
      <c r="Z34" s="10">
        <f t="shared" si="20"/>
        <v>9941746.4745944124</v>
      </c>
      <c r="AA34" s="71"/>
      <c r="AB34" s="10">
        <f t="shared" si="4"/>
        <v>0</v>
      </c>
      <c r="AC34" s="10">
        <f t="shared" si="21"/>
        <v>0</v>
      </c>
      <c r="AD34" s="71"/>
      <c r="AE34" s="10">
        <f t="shared" si="5"/>
        <v>0</v>
      </c>
      <c r="AF34" s="10">
        <f t="shared" si="22"/>
        <v>0</v>
      </c>
      <c r="AG34" s="71"/>
      <c r="AH34" s="10">
        <f t="shared" si="6"/>
        <v>990000000</v>
      </c>
      <c r="AI34" s="10">
        <f t="shared" si="23"/>
        <v>548138996.64447165</v>
      </c>
      <c r="AJ34" s="71"/>
      <c r="AK34" s="10">
        <f t="shared" si="7"/>
        <v>0</v>
      </c>
      <c r="AL34" s="10">
        <f t="shared" si="24"/>
        <v>0</v>
      </c>
      <c r="AM34" s="71"/>
      <c r="AN34" s="10">
        <f t="shared" si="8"/>
        <v>0</v>
      </c>
      <c r="AO34" s="10">
        <f t="shared" si="25"/>
        <v>0</v>
      </c>
      <c r="AP34" s="71"/>
      <c r="AQ34" s="10">
        <f t="shared" si="9"/>
        <v>0</v>
      </c>
      <c r="AR34" s="10">
        <f t="shared" si="26"/>
        <v>0</v>
      </c>
      <c r="AS34" s="71"/>
      <c r="AT34" s="7">
        <f>IF($K34&lt;=$F$15,IF($F$40&lt;&gt;"",$F$40/1000,IF(ISERROR(VLOOKUP($F$3&amp;IF($G$4&lt;&gt;"",$G$4,"")&amp;IF($F$43&lt;&gt;"","_"&amp;$F$43,""),'表3）燃料価格'!$AF$9:$AG$25,2,0)),0,VLOOKUP($I34,'表3）燃料価格'!$A$6:$U$66,VLOOKUP($F$3&amp;IF($G$4&lt;&gt;"",$G$4,"")&amp;IF($F$43&lt;&gt;"","_"&amp;$F$43,""),'表3）燃料価格'!$AF$9:$AG$25,2,0)+VLOOKUP($F$41,'表3）燃料価格'!$AF$28:$AG$29,2,0),0)*IF($F$43="需要地価格",1,$F$8/$F$141))),"")</f>
        <v>0</v>
      </c>
      <c r="AU34" s="71"/>
      <c r="AV34" s="10">
        <f t="shared" si="10"/>
        <v>0</v>
      </c>
      <c r="AW34" s="10">
        <f t="shared" si="27"/>
        <v>0</v>
      </c>
      <c r="AX34" s="71"/>
      <c r="AY34" s="7">
        <f>IF(ISERROR(IF($K34&lt;=$F$15,VLOOKUP($I34,'表4）CO2価格'!$A$7:$E$67,VLOOKUP($F$48,'表4）CO2価格'!$H$10:$I$12,2,0),0)*$F$8/1000,"")),0,IF($K34&lt;=$F$15,VLOOKUP($I34,'表4）CO2価格'!$A$7:$E$67,VLOOKUP($F$48,'表4）CO2価格'!$H$10:$I$12,2,0),0)*$F$8/1000,""))</f>
        <v>0</v>
      </c>
      <c r="AZ34" s="71"/>
      <c r="BA34" s="11">
        <f t="shared" si="11"/>
        <v>0</v>
      </c>
      <c r="BB34" s="10">
        <f t="shared" si="28"/>
        <v>0</v>
      </c>
      <c r="BC34" s="71"/>
      <c r="BD34" s="10">
        <f t="shared" si="12"/>
        <v>0</v>
      </c>
      <c r="BE34" s="10">
        <f t="shared" si="29"/>
        <v>0</v>
      </c>
      <c r="BF34" s="71"/>
      <c r="BG34" s="11">
        <f t="shared" si="13"/>
        <v>0</v>
      </c>
      <c r="BH34" s="10">
        <f t="shared" si="30"/>
        <v>0</v>
      </c>
      <c r="BJ34" s="7" t="str">
        <f t="shared" si="31"/>
        <v/>
      </c>
      <c r="BK34" s="158" t="str">
        <f t="shared" si="32"/>
        <v/>
      </c>
      <c r="BL34" s="158" t="str">
        <f t="shared" si="14"/>
        <v/>
      </c>
      <c r="BM34" s="10"/>
      <c r="BN34" s="10" t="str">
        <f t="shared" si="33"/>
        <v/>
      </c>
      <c r="BO34" s="10" t="str">
        <f t="shared" si="34"/>
        <v/>
      </c>
      <c r="BQ34" s="10">
        <f t="shared" si="15"/>
        <v>194130360</v>
      </c>
      <c r="BR34" s="10">
        <f t="shared" si="35"/>
        <v>107485273.48346472</v>
      </c>
    </row>
    <row r="35" spans="3:70" x14ac:dyDescent="0.15">
      <c r="D35" s="160"/>
      <c r="F35" s="475"/>
      <c r="H35" s="71"/>
      <c r="I35" s="38">
        <f t="shared" si="36"/>
        <v>2040</v>
      </c>
      <c r="J35" s="39"/>
      <c r="K35" s="39">
        <f t="shared" si="37"/>
        <v>21</v>
      </c>
      <c r="L35" s="39"/>
      <c r="M35" s="40">
        <f t="shared" si="0"/>
        <v>0.5375492759090631</v>
      </c>
      <c r="N35" s="39"/>
      <c r="O35" s="72">
        <f t="shared" si="16"/>
        <v>0</v>
      </c>
      <c r="P35" s="41" t="str">
        <f t="shared" si="1"/>
        <v>-</v>
      </c>
      <c r="Q35" s="39"/>
      <c r="R35" s="72">
        <f t="shared" si="17"/>
        <v>1185000000</v>
      </c>
      <c r="S35" s="39"/>
      <c r="T35" s="72">
        <f t="shared" si="18"/>
        <v>1185000000</v>
      </c>
      <c r="U35" s="39"/>
      <c r="V35" s="72">
        <f t="shared" si="2"/>
        <v>0</v>
      </c>
      <c r="W35" s="72">
        <f t="shared" si="19"/>
        <v>0</v>
      </c>
      <c r="X35" s="39"/>
      <c r="Y35" s="72">
        <f t="shared" si="3"/>
        <v>16590000</v>
      </c>
      <c r="Z35" s="72">
        <f t="shared" si="20"/>
        <v>8917942.4873313569</v>
      </c>
      <c r="AA35" s="39"/>
      <c r="AB35" s="72">
        <f t="shared" si="4"/>
        <v>0</v>
      </c>
      <c r="AC35" s="72">
        <f t="shared" si="21"/>
        <v>0</v>
      </c>
      <c r="AD35" s="39"/>
      <c r="AE35" s="72">
        <f t="shared" si="5"/>
        <v>0</v>
      </c>
      <c r="AF35" s="72">
        <f t="shared" si="22"/>
        <v>0</v>
      </c>
      <c r="AG35" s="39"/>
      <c r="AH35" s="72">
        <f t="shared" si="6"/>
        <v>990000000</v>
      </c>
      <c r="AI35" s="72">
        <f t="shared" si="23"/>
        <v>532173783.14997244</v>
      </c>
      <c r="AJ35" s="39"/>
      <c r="AK35" s="72">
        <f t="shared" si="7"/>
        <v>0</v>
      </c>
      <c r="AL35" s="72">
        <f t="shared" si="24"/>
        <v>0</v>
      </c>
      <c r="AM35" s="39"/>
      <c r="AN35" s="72">
        <f t="shared" si="8"/>
        <v>0</v>
      </c>
      <c r="AO35" s="72">
        <f t="shared" si="25"/>
        <v>0</v>
      </c>
      <c r="AP35" s="39"/>
      <c r="AQ35" s="72">
        <f t="shared" si="9"/>
        <v>0</v>
      </c>
      <c r="AR35" s="72">
        <f t="shared" si="26"/>
        <v>0</v>
      </c>
      <c r="AS35" s="39"/>
      <c r="AT35" s="40">
        <f>IF($K35&lt;=$F$15,IF($F$40&lt;&gt;"",$F$40/1000,IF(ISERROR(VLOOKUP($F$3&amp;IF($G$4&lt;&gt;"",$G$4,"")&amp;IF($F$43&lt;&gt;"","_"&amp;$F$43,""),'表3）燃料価格'!$AF$9:$AG$25,2,0)),0,VLOOKUP($I35,'表3）燃料価格'!$A$6:$U$66,VLOOKUP($F$3&amp;IF($G$4&lt;&gt;"",$G$4,"")&amp;IF($F$43&lt;&gt;"","_"&amp;$F$43,""),'表3）燃料価格'!$AF$9:$AG$25,2,0)+VLOOKUP($F$41,'表3）燃料価格'!$AF$28:$AG$29,2,0),0)*IF($F$43="需要地価格",1,$F$8/$F$141))),"")</f>
        <v>0</v>
      </c>
      <c r="AU35" s="39"/>
      <c r="AV35" s="72">
        <f t="shared" si="10"/>
        <v>0</v>
      </c>
      <c r="AW35" s="72">
        <f t="shared" si="27"/>
        <v>0</v>
      </c>
      <c r="AX35" s="39"/>
      <c r="AY35" s="40">
        <f>IF(ISERROR(IF($K35&lt;=$F$15,VLOOKUP($I35,'表4）CO2価格'!$A$7:$E$67,VLOOKUP($F$48,'表4）CO2価格'!$H$10:$I$12,2,0),0)*$F$8/1000,"")),0,IF($K35&lt;=$F$15,VLOOKUP($I35,'表4）CO2価格'!$A$7:$E$67,VLOOKUP($F$48,'表4）CO2価格'!$H$10:$I$12,2,0),0)*$F$8/1000,""))</f>
        <v>0</v>
      </c>
      <c r="AZ35" s="39"/>
      <c r="BA35" s="42">
        <f t="shared" si="11"/>
        <v>0</v>
      </c>
      <c r="BB35" s="72">
        <f t="shared" si="28"/>
        <v>0</v>
      </c>
      <c r="BC35" s="39"/>
      <c r="BD35" s="72">
        <f t="shared" si="12"/>
        <v>0</v>
      </c>
      <c r="BE35" s="72">
        <f t="shared" si="29"/>
        <v>0</v>
      </c>
      <c r="BF35" s="39"/>
      <c r="BG35" s="42">
        <f t="shared" si="13"/>
        <v>0</v>
      </c>
      <c r="BH35" s="72">
        <f t="shared" si="30"/>
        <v>0</v>
      </c>
      <c r="BI35" s="39"/>
      <c r="BJ35" s="40" t="str">
        <f t="shared" si="31"/>
        <v/>
      </c>
      <c r="BK35" s="157" t="str">
        <f t="shared" si="32"/>
        <v/>
      </c>
      <c r="BL35" s="157" t="str">
        <f t="shared" si="14"/>
        <v/>
      </c>
      <c r="BM35" s="72"/>
      <c r="BN35" s="72" t="str">
        <f t="shared" si="33"/>
        <v/>
      </c>
      <c r="BO35" s="72" t="str">
        <f t="shared" si="34"/>
        <v/>
      </c>
      <c r="BP35" s="39"/>
      <c r="BQ35" s="72">
        <f t="shared" si="15"/>
        <v>194130360</v>
      </c>
      <c r="BR35" s="72">
        <f t="shared" si="35"/>
        <v>104354634.44996575</v>
      </c>
    </row>
    <row r="36" spans="3:70" x14ac:dyDescent="0.15">
      <c r="D36" s="160"/>
      <c r="F36" s="480"/>
      <c r="H36" s="71"/>
      <c r="I36" s="322">
        <f t="shared" si="36"/>
        <v>2041</v>
      </c>
      <c r="J36" s="71"/>
      <c r="K36" s="71">
        <f t="shared" si="37"/>
        <v>22</v>
      </c>
      <c r="L36" s="71"/>
      <c r="M36" s="7">
        <f t="shared" si="0"/>
        <v>0.52189250088258554</v>
      </c>
      <c r="N36" s="71"/>
      <c r="O36" s="10">
        <f t="shared" si="16"/>
        <v>0</v>
      </c>
      <c r="P36" s="29" t="str">
        <f t="shared" si="1"/>
        <v>-</v>
      </c>
      <c r="Q36" s="71"/>
      <c r="R36" s="10">
        <f t="shared" si="17"/>
        <v>1185000000</v>
      </c>
      <c r="S36" s="71"/>
      <c r="T36" s="10">
        <f t="shared" si="18"/>
        <v>1185000000</v>
      </c>
      <c r="U36" s="71"/>
      <c r="V36" s="10">
        <f t="shared" si="2"/>
        <v>0</v>
      </c>
      <c r="W36" s="10">
        <f t="shared" si="19"/>
        <v>0</v>
      </c>
      <c r="X36" s="71"/>
      <c r="Y36" s="10">
        <f t="shared" si="3"/>
        <v>16590000</v>
      </c>
      <c r="Z36" s="10">
        <f t="shared" si="20"/>
        <v>8658196.5896420944</v>
      </c>
      <c r="AA36" s="71"/>
      <c r="AB36" s="10">
        <f t="shared" si="4"/>
        <v>0</v>
      </c>
      <c r="AC36" s="10">
        <f t="shared" si="21"/>
        <v>0</v>
      </c>
      <c r="AD36" s="71"/>
      <c r="AE36" s="10">
        <f t="shared" si="5"/>
        <v>0</v>
      </c>
      <c r="AF36" s="10">
        <f t="shared" si="22"/>
        <v>0</v>
      </c>
      <c r="AG36" s="71"/>
      <c r="AH36" s="10">
        <f t="shared" si="6"/>
        <v>990000000</v>
      </c>
      <c r="AI36" s="10">
        <f t="shared" si="23"/>
        <v>516673575.87375969</v>
      </c>
      <c r="AJ36" s="71"/>
      <c r="AK36" s="10">
        <f t="shared" si="7"/>
        <v>0</v>
      </c>
      <c r="AL36" s="10">
        <f t="shared" si="24"/>
        <v>0</v>
      </c>
      <c r="AM36" s="71"/>
      <c r="AN36" s="10">
        <f t="shared" si="8"/>
        <v>0</v>
      </c>
      <c r="AO36" s="10">
        <f t="shared" si="25"/>
        <v>0</v>
      </c>
      <c r="AP36" s="71"/>
      <c r="AQ36" s="10">
        <f t="shared" si="9"/>
        <v>0</v>
      </c>
      <c r="AR36" s="10">
        <f t="shared" si="26"/>
        <v>0</v>
      </c>
      <c r="AS36" s="71"/>
      <c r="AT36" s="7">
        <f>IF($K36&lt;=$F$15,IF($F$40&lt;&gt;"",$F$40/1000,IF(ISERROR(VLOOKUP($F$3&amp;IF($G$4&lt;&gt;"",$G$4,"")&amp;IF($F$43&lt;&gt;"","_"&amp;$F$43,""),'表3）燃料価格'!$AF$9:$AG$25,2,0)),0,VLOOKUP($I36,'表3）燃料価格'!$A$6:$U$66,VLOOKUP($F$3&amp;IF($G$4&lt;&gt;"",$G$4,"")&amp;IF($F$43&lt;&gt;"","_"&amp;$F$43,""),'表3）燃料価格'!$AF$9:$AG$25,2,0)+VLOOKUP($F$41,'表3）燃料価格'!$AF$28:$AG$29,2,0),0)*IF($F$43="需要地価格",1,$F$8/$F$141))),"")</f>
        <v>0</v>
      </c>
      <c r="AU36" s="71"/>
      <c r="AV36" s="10">
        <f t="shared" si="10"/>
        <v>0</v>
      </c>
      <c r="AW36" s="10">
        <f t="shared" si="27"/>
        <v>0</v>
      </c>
      <c r="AX36" s="71"/>
      <c r="AY36" s="7">
        <f>IF(ISERROR(IF($K36&lt;=$F$15,VLOOKUP($I36,'表4）CO2価格'!$A$7:$E$67,VLOOKUP($F$48,'表4）CO2価格'!$H$10:$I$12,2,0),0)*$F$8/1000,"")),0,IF($K36&lt;=$F$15,VLOOKUP($I36,'表4）CO2価格'!$A$7:$E$67,VLOOKUP($F$48,'表4）CO2価格'!$H$10:$I$12,2,0),0)*$F$8/1000,""))</f>
        <v>0</v>
      </c>
      <c r="AZ36" s="71"/>
      <c r="BA36" s="11">
        <f t="shared" si="11"/>
        <v>0</v>
      </c>
      <c r="BB36" s="10">
        <f t="shared" si="28"/>
        <v>0</v>
      </c>
      <c r="BC36" s="71"/>
      <c r="BD36" s="10">
        <f t="shared" si="12"/>
        <v>0</v>
      </c>
      <c r="BE36" s="10">
        <f t="shared" si="29"/>
        <v>0</v>
      </c>
      <c r="BF36" s="71"/>
      <c r="BG36" s="11">
        <f t="shared" si="13"/>
        <v>0</v>
      </c>
      <c r="BH36" s="10">
        <f t="shared" si="30"/>
        <v>0</v>
      </c>
      <c r="BJ36" s="7" t="str">
        <f t="shared" si="31"/>
        <v/>
      </c>
      <c r="BK36" s="158" t="str">
        <f t="shared" si="32"/>
        <v/>
      </c>
      <c r="BL36" s="158" t="str">
        <f t="shared" si="14"/>
        <v/>
      </c>
      <c r="BM36" s="10"/>
      <c r="BN36" s="10" t="str">
        <f t="shared" si="33"/>
        <v/>
      </c>
      <c r="BO36" s="10" t="str">
        <f t="shared" si="34"/>
        <v/>
      </c>
      <c r="BQ36" s="10">
        <f t="shared" si="15"/>
        <v>194130360</v>
      </c>
      <c r="BR36" s="10">
        <f t="shared" si="35"/>
        <v>101315179.07763664</v>
      </c>
    </row>
    <row r="37" spans="3:70" x14ac:dyDescent="0.15">
      <c r="H37" s="71"/>
      <c r="I37" s="38">
        <f t="shared" si="36"/>
        <v>2042</v>
      </c>
      <c r="J37" s="39"/>
      <c r="K37" s="39">
        <f t="shared" si="37"/>
        <v>23</v>
      </c>
      <c r="L37" s="39"/>
      <c r="M37" s="40">
        <f t="shared" si="0"/>
        <v>0.50669174842969467</v>
      </c>
      <c r="N37" s="39"/>
      <c r="O37" s="72">
        <f t="shared" si="16"/>
        <v>0</v>
      </c>
      <c r="P37" s="41" t="str">
        <f t="shared" si="1"/>
        <v>-</v>
      </c>
      <c r="Q37" s="39"/>
      <c r="R37" s="72">
        <f t="shared" si="17"/>
        <v>1185000000</v>
      </c>
      <c r="S37" s="39"/>
      <c r="T37" s="72">
        <f t="shared" si="18"/>
        <v>1185000000</v>
      </c>
      <c r="U37" s="39"/>
      <c r="V37" s="72">
        <f t="shared" si="2"/>
        <v>0</v>
      </c>
      <c r="W37" s="72">
        <f t="shared" si="19"/>
        <v>0</v>
      </c>
      <c r="X37" s="39"/>
      <c r="Y37" s="72">
        <f t="shared" si="3"/>
        <v>16590000</v>
      </c>
      <c r="Z37" s="72">
        <f t="shared" si="20"/>
        <v>8406016.1064486336</v>
      </c>
      <c r="AA37" s="39"/>
      <c r="AB37" s="72">
        <f t="shared" si="4"/>
        <v>0</v>
      </c>
      <c r="AC37" s="72">
        <f t="shared" si="21"/>
        <v>0</v>
      </c>
      <c r="AD37" s="39"/>
      <c r="AE37" s="72">
        <f t="shared" si="5"/>
        <v>0</v>
      </c>
      <c r="AF37" s="72">
        <f t="shared" si="22"/>
        <v>0</v>
      </c>
      <c r="AG37" s="39"/>
      <c r="AH37" s="72">
        <f t="shared" si="6"/>
        <v>990000000</v>
      </c>
      <c r="AI37" s="72">
        <f t="shared" si="23"/>
        <v>501624830.94539773</v>
      </c>
      <c r="AJ37" s="39"/>
      <c r="AK37" s="72">
        <f t="shared" si="7"/>
        <v>0</v>
      </c>
      <c r="AL37" s="72">
        <f t="shared" si="24"/>
        <v>0</v>
      </c>
      <c r="AM37" s="39"/>
      <c r="AN37" s="72">
        <f t="shared" si="8"/>
        <v>0</v>
      </c>
      <c r="AO37" s="72">
        <f t="shared" si="25"/>
        <v>0</v>
      </c>
      <c r="AP37" s="39"/>
      <c r="AQ37" s="72">
        <f t="shared" si="9"/>
        <v>0</v>
      </c>
      <c r="AR37" s="72">
        <f t="shared" si="26"/>
        <v>0</v>
      </c>
      <c r="AS37" s="39"/>
      <c r="AT37" s="40">
        <f>IF($K37&lt;=$F$15,IF($F$40&lt;&gt;"",$F$40/1000,IF(ISERROR(VLOOKUP($F$3&amp;IF($G$4&lt;&gt;"",$G$4,"")&amp;IF($F$43&lt;&gt;"","_"&amp;$F$43,""),'表3）燃料価格'!$AF$9:$AG$25,2,0)),0,VLOOKUP($I37,'表3）燃料価格'!$A$6:$U$66,VLOOKUP($F$3&amp;IF($G$4&lt;&gt;"",$G$4,"")&amp;IF($F$43&lt;&gt;"","_"&amp;$F$43,""),'表3）燃料価格'!$AF$9:$AG$25,2,0)+VLOOKUP($F$41,'表3）燃料価格'!$AF$28:$AG$29,2,0),0)*IF($F$43="需要地価格",1,$F$8/$F$141))),"")</f>
        <v>0</v>
      </c>
      <c r="AU37" s="39"/>
      <c r="AV37" s="72">
        <f t="shared" si="10"/>
        <v>0</v>
      </c>
      <c r="AW37" s="72">
        <f t="shared" si="27"/>
        <v>0</v>
      </c>
      <c r="AX37" s="39"/>
      <c r="AY37" s="40">
        <f>IF(ISERROR(IF($K37&lt;=$F$15,VLOOKUP($I37,'表4）CO2価格'!$A$7:$E$67,VLOOKUP($F$48,'表4）CO2価格'!$H$10:$I$12,2,0),0)*$F$8/1000,"")),0,IF($K37&lt;=$F$15,VLOOKUP($I37,'表4）CO2価格'!$A$7:$E$67,VLOOKUP($F$48,'表4）CO2価格'!$H$10:$I$12,2,0),0)*$F$8/1000,""))</f>
        <v>0</v>
      </c>
      <c r="AZ37" s="39"/>
      <c r="BA37" s="42">
        <f t="shared" si="11"/>
        <v>0</v>
      </c>
      <c r="BB37" s="72">
        <f t="shared" si="28"/>
        <v>0</v>
      </c>
      <c r="BC37" s="39"/>
      <c r="BD37" s="72">
        <f t="shared" si="12"/>
        <v>0</v>
      </c>
      <c r="BE37" s="72">
        <f t="shared" si="29"/>
        <v>0</v>
      </c>
      <c r="BF37" s="39"/>
      <c r="BG37" s="42">
        <f t="shared" si="13"/>
        <v>0</v>
      </c>
      <c r="BH37" s="72">
        <f t="shared" si="30"/>
        <v>0</v>
      </c>
      <c r="BI37" s="39"/>
      <c r="BJ37" s="40" t="str">
        <f t="shared" si="31"/>
        <v/>
      </c>
      <c r="BK37" s="157" t="str">
        <f t="shared" si="32"/>
        <v/>
      </c>
      <c r="BL37" s="157" t="str">
        <f t="shared" si="14"/>
        <v/>
      </c>
      <c r="BM37" s="72"/>
      <c r="BN37" s="72" t="str">
        <f t="shared" si="33"/>
        <v/>
      </c>
      <c r="BO37" s="72" t="str">
        <f t="shared" si="34"/>
        <v/>
      </c>
      <c r="BP37" s="39"/>
      <c r="BQ37" s="72">
        <f t="shared" si="15"/>
        <v>194130360</v>
      </c>
      <c r="BR37" s="72">
        <f t="shared" si="35"/>
        <v>98364251.531686068</v>
      </c>
    </row>
    <row r="38" spans="3:70" x14ac:dyDescent="0.15">
      <c r="C38" s="4" t="s">
        <v>570</v>
      </c>
      <c r="D38" s="100"/>
      <c r="E38" s="100"/>
      <c r="F38" s="4"/>
      <c r="G38" s="100"/>
      <c r="H38" s="71"/>
      <c r="I38" s="322">
        <f t="shared" si="36"/>
        <v>2043</v>
      </c>
      <c r="J38" s="71"/>
      <c r="K38" s="71">
        <f t="shared" si="37"/>
        <v>24</v>
      </c>
      <c r="L38" s="71"/>
      <c r="M38" s="7">
        <f t="shared" si="0"/>
        <v>0.49193373633950943</v>
      </c>
      <c r="N38" s="71"/>
      <c r="O38" s="10">
        <f t="shared" si="16"/>
        <v>0</v>
      </c>
      <c r="P38" s="29" t="str">
        <f t="shared" si="1"/>
        <v>-</v>
      </c>
      <c r="Q38" s="71"/>
      <c r="R38" s="10">
        <f t="shared" si="17"/>
        <v>1185000000</v>
      </c>
      <c r="S38" s="71"/>
      <c r="T38" s="10">
        <f t="shared" si="18"/>
        <v>1185000000</v>
      </c>
      <c r="U38" s="71"/>
      <c r="V38" s="10">
        <f t="shared" si="2"/>
        <v>0</v>
      </c>
      <c r="W38" s="10">
        <f t="shared" si="19"/>
        <v>0</v>
      </c>
      <c r="X38" s="71"/>
      <c r="Y38" s="10">
        <f t="shared" si="3"/>
        <v>16590000</v>
      </c>
      <c r="Z38" s="10">
        <f t="shared" si="20"/>
        <v>8161180.6858724616</v>
      </c>
      <c r="AA38" s="71"/>
      <c r="AB38" s="10">
        <f t="shared" si="4"/>
        <v>0</v>
      </c>
      <c r="AC38" s="10">
        <f t="shared" si="21"/>
        <v>0</v>
      </c>
      <c r="AD38" s="71"/>
      <c r="AE38" s="10">
        <f t="shared" si="5"/>
        <v>0</v>
      </c>
      <c r="AF38" s="10">
        <f t="shared" si="22"/>
        <v>0</v>
      </c>
      <c r="AG38" s="71"/>
      <c r="AH38" s="10">
        <f t="shared" si="6"/>
        <v>990000000</v>
      </c>
      <c r="AI38" s="10">
        <f t="shared" si="23"/>
        <v>487014398.97611433</v>
      </c>
      <c r="AJ38" s="71"/>
      <c r="AK38" s="10">
        <f t="shared" si="7"/>
        <v>0</v>
      </c>
      <c r="AL38" s="10">
        <f t="shared" si="24"/>
        <v>0</v>
      </c>
      <c r="AM38" s="71"/>
      <c r="AN38" s="10">
        <f t="shared" si="8"/>
        <v>0</v>
      </c>
      <c r="AO38" s="10">
        <f t="shared" si="25"/>
        <v>0</v>
      </c>
      <c r="AP38" s="71"/>
      <c r="AQ38" s="10">
        <f t="shared" si="9"/>
        <v>0</v>
      </c>
      <c r="AR38" s="10">
        <f t="shared" si="26"/>
        <v>0</v>
      </c>
      <c r="AS38" s="71"/>
      <c r="AT38" s="7">
        <f>IF($K38&lt;=$F$15,IF($F$40&lt;&gt;"",$F$40/1000,IF(ISERROR(VLOOKUP($F$3&amp;IF($G$4&lt;&gt;"",$G$4,"")&amp;IF($F$43&lt;&gt;"","_"&amp;$F$43,""),'表3）燃料価格'!$AF$9:$AG$25,2,0)),0,VLOOKUP($I38,'表3）燃料価格'!$A$6:$U$66,VLOOKUP($F$3&amp;IF($G$4&lt;&gt;"",$G$4,"")&amp;IF($F$43&lt;&gt;"","_"&amp;$F$43,""),'表3）燃料価格'!$AF$9:$AG$25,2,0)+VLOOKUP($F$41,'表3）燃料価格'!$AF$28:$AG$29,2,0),0)*IF($F$43="需要地価格",1,$F$8/$F$141))),"")</f>
        <v>0</v>
      </c>
      <c r="AU38" s="71"/>
      <c r="AV38" s="10">
        <f t="shared" si="10"/>
        <v>0</v>
      </c>
      <c r="AW38" s="10">
        <f t="shared" si="27"/>
        <v>0</v>
      </c>
      <c r="AX38" s="71"/>
      <c r="AY38" s="7">
        <f>IF(ISERROR(IF($K38&lt;=$F$15,VLOOKUP($I38,'表4）CO2価格'!$A$7:$E$67,VLOOKUP($F$48,'表4）CO2価格'!$H$10:$I$12,2,0),0)*$F$8/1000,"")),0,IF($K38&lt;=$F$15,VLOOKUP($I38,'表4）CO2価格'!$A$7:$E$67,VLOOKUP($F$48,'表4）CO2価格'!$H$10:$I$12,2,0),0)*$F$8/1000,""))</f>
        <v>0</v>
      </c>
      <c r="AZ38" s="71"/>
      <c r="BA38" s="11">
        <f t="shared" si="11"/>
        <v>0</v>
      </c>
      <c r="BB38" s="10">
        <f t="shared" si="28"/>
        <v>0</v>
      </c>
      <c r="BC38" s="71"/>
      <c r="BD38" s="10">
        <f t="shared" si="12"/>
        <v>0</v>
      </c>
      <c r="BE38" s="10">
        <f t="shared" si="29"/>
        <v>0</v>
      </c>
      <c r="BF38" s="71"/>
      <c r="BG38" s="11">
        <f t="shared" si="13"/>
        <v>0</v>
      </c>
      <c r="BH38" s="10">
        <f t="shared" si="30"/>
        <v>0</v>
      </c>
      <c r="BJ38" s="7" t="str">
        <f t="shared" si="31"/>
        <v/>
      </c>
      <c r="BK38" s="158" t="str">
        <f t="shared" si="32"/>
        <v/>
      </c>
      <c r="BL38" s="158" t="str">
        <f t="shared" si="14"/>
        <v/>
      </c>
      <c r="BM38" s="10"/>
      <c r="BN38" s="10" t="str">
        <f t="shared" si="33"/>
        <v/>
      </c>
      <c r="BO38" s="10" t="str">
        <f t="shared" si="34"/>
        <v/>
      </c>
      <c r="BQ38" s="10">
        <f t="shared" si="15"/>
        <v>194130360</v>
      </c>
      <c r="BR38" s="10">
        <f t="shared" si="35"/>
        <v>95499273.331734046</v>
      </c>
    </row>
    <row r="39" spans="3:70" x14ac:dyDescent="0.15">
      <c r="H39" s="71"/>
      <c r="I39" s="38">
        <f t="shared" si="36"/>
        <v>2044</v>
      </c>
      <c r="J39" s="39"/>
      <c r="K39" s="39">
        <f t="shared" si="37"/>
        <v>25</v>
      </c>
      <c r="L39" s="39"/>
      <c r="M39" s="40">
        <f t="shared" si="0"/>
        <v>0.47760556926165965</v>
      </c>
      <c r="N39" s="39"/>
      <c r="O39" s="72">
        <f t="shared" si="16"/>
        <v>0</v>
      </c>
      <c r="P39" s="41" t="str">
        <f t="shared" si="1"/>
        <v>-</v>
      </c>
      <c r="Q39" s="39"/>
      <c r="R39" s="72">
        <f t="shared" si="17"/>
        <v>1185000000</v>
      </c>
      <c r="S39" s="39"/>
      <c r="T39" s="72">
        <f t="shared" si="18"/>
        <v>1185000000</v>
      </c>
      <c r="U39" s="39"/>
      <c r="V39" s="72">
        <f t="shared" si="2"/>
        <v>0</v>
      </c>
      <c r="W39" s="72">
        <f t="shared" si="19"/>
        <v>0</v>
      </c>
      <c r="X39" s="39"/>
      <c r="Y39" s="72">
        <f t="shared" si="3"/>
        <v>16590000</v>
      </c>
      <c r="Z39" s="72">
        <f t="shared" si="20"/>
        <v>7923476.3940509334</v>
      </c>
      <c r="AA39" s="39"/>
      <c r="AB39" s="72">
        <f t="shared" si="4"/>
        <v>0</v>
      </c>
      <c r="AC39" s="72">
        <f t="shared" si="21"/>
        <v>0</v>
      </c>
      <c r="AD39" s="39"/>
      <c r="AE39" s="72">
        <f t="shared" si="5"/>
        <v>0</v>
      </c>
      <c r="AF39" s="72">
        <f t="shared" si="22"/>
        <v>0</v>
      </c>
      <c r="AG39" s="39"/>
      <c r="AH39" s="72">
        <f t="shared" si="6"/>
        <v>990000000</v>
      </c>
      <c r="AI39" s="72">
        <f t="shared" si="23"/>
        <v>472829513.56904304</v>
      </c>
      <c r="AJ39" s="39"/>
      <c r="AK39" s="72">
        <f t="shared" si="7"/>
        <v>0</v>
      </c>
      <c r="AL39" s="72">
        <f t="shared" si="24"/>
        <v>0</v>
      </c>
      <c r="AM39" s="39"/>
      <c r="AN39" s="72">
        <f t="shared" si="8"/>
        <v>0</v>
      </c>
      <c r="AO39" s="72">
        <f t="shared" si="25"/>
        <v>0</v>
      </c>
      <c r="AP39" s="39"/>
      <c r="AQ39" s="72">
        <f t="shared" si="9"/>
        <v>0</v>
      </c>
      <c r="AR39" s="72">
        <f t="shared" si="26"/>
        <v>0</v>
      </c>
      <c r="AS39" s="39"/>
      <c r="AT39" s="40">
        <f>IF($K39&lt;=$F$15,IF($F$40&lt;&gt;"",$F$40/1000,IF(ISERROR(VLOOKUP($F$3&amp;IF($G$4&lt;&gt;"",$G$4,"")&amp;IF($F$43&lt;&gt;"","_"&amp;$F$43,""),'表3）燃料価格'!$AF$9:$AG$25,2,0)),0,VLOOKUP($I39,'表3）燃料価格'!$A$6:$U$66,VLOOKUP($F$3&amp;IF($G$4&lt;&gt;"",$G$4,"")&amp;IF($F$43&lt;&gt;"","_"&amp;$F$43,""),'表3）燃料価格'!$AF$9:$AG$25,2,0)+VLOOKUP($F$41,'表3）燃料価格'!$AF$28:$AG$29,2,0),0)*IF($F$43="需要地価格",1,$F$8/$F$141))),"")</f>
        <v>0</v>
      </c>
      <c r="AU39" s="39"/>
      <c r="AV39" s="72">
        <f t="shared" si="10"/>
        <v>0</v>
      </c>
      <c r="AW39" s="72">
        <f t="shared" si="27"/>
        <v>0</v>
      </c>
      <c r="AX39" s="39"/>
      <c r="AY39" s="40">
        <f>IF(ISERROR(IF($K39&lt;=$F$15,VLOOKUP($I39,'表4）CO2価格'!$A$7:$E$67,VLOOKUP($F$48,'表4）CO2価格'!$H$10:$I$12,2,0),0)*$F$8/1000,"")),0,IF($K39&lt;=$F$15,VLOOKUP($I39,'表4）CO2価格'!$A$7:$E$67,VLOOKUP($F$48,'表4）CO2価格'!$H$10:$I$12,2,0),0)*$F$8/1000,""))</f>
        <v>0</v>
      </c>
      <c r="AZ39" s="39"/>
      <c r="BA39" s="42">
        <f t="shared" si="11"/>
        <v>0</v>
      </c>
      <c r="BB39" s="72">
        <f t="shared" si="28"/>
        <v>0</v>
      </c>
      <c r="BC39" s="39"/>
      <c r="BD39" s="72">
        <f t="shared" si="12"/>
        <v>0</v>
      </c>
      <c r="BE39" s="72">
        <f t="shared" si="29"/>
        <v>0</v>
      </c>
      <c r="BF39" s="39"/>
      <c r="BG39" s="42">
        <f t="shared" si="13"/>
        <v>0</v>
      </c>
      <c r="BH39" s="72">
        <f t="shared" si="30"/>
        <v>0</v>
      </c>
      <c r="BI39" s="39"/>
      <c r="BJ39" s="40" t="str">
        <f t="shared" si="31"/>
        <v/>
      </c>
      <c r="BK39" s="157" t="str">
        <f t="shared" si="32"/>
        <v/>
      </c>
      <c r="BL39" s="157" t="str">
        <f t="shared" si="14"/>
        <v/>
      </c>
      <c r="BM39" s="72"/>
      <c r="BN39" s="72" t="str">
        <f t="shared" si="33"/>
        <v/>
      </c>
      <c r="BO39" s="72" t="str">
        <f t="shared" si="34"/>
        <v/>
      </c>
      <c r="BP39" s="39"/>
      <c r="BQ39" s="72">
        <f t="shared" si="15"/>
        <v>194130360</v>
      </c>
      <c r="BR39" s="72">
        <f t="shared" si="35"/>
        <v>92717741.098770916</v>
      </c>
    </row>
    <row r="40" spans="3:70" x14ac:dyDescent="0.15">
      <c r="D40" s="84" t="s">
        <v>124</v>
      </c>
      <c r="F40" s="482"/>
      <c r="G40" s="160" t="s">
        <v>571</v>
      </c>
      <c r="H40" s="71"/>
      <c r="I40" s="322">
        <f t="shared" si="36"/>
        <v>2045</v>
      </c>
      <c r="J40" s="71"/>
      <c r="K40" s="71">
        <f t="shared" si="37"/>
        <v>26</v>
      </c>
      <c r="L40" s="71"/>
      <c r="M40" s="7">
        <f t="shared" si="0"/>
        <v>0.46369472743850448</v>
      </c>
      <c r="N40" s="71"/>
      <c r="O40" s="10">
        <f t="shared" si="16"/>
        <v>0</v>
      </c>
      <c r="P40" s="29" t="str">
        <f t="shared" si="1"/>
        <v>-</v>
      </c>
      <c r="Q40" s="71"/>
      <c r="R40" s="10">
        <f t="shared" si="17"/>
        <v>1185000000</v>
      </c>
      <c r="S40" s="71"/>
      <c r="T40" s="10">
        <f t="shared" si="18"/>
        <v>1185000000</v>
      </c>
      <c r="U40" s="71"/>
      <c r="V40" s="10">
        <f t="shared" si="2"/>
        <v>0</v>
      </c>
      <c r="W40" s="10">
        <f t="shared" si="19"/>
        <v>0</v>
      </c>
      <c r="X40" s="71"/>
      <c r="Y40" s="10">
        <f t="shared" si="3"/>
        <v>16590000</v>
      </c>
      <c r="Z40" s="10">
        <f t="shared" si="20"/>
        <v>7692695.5282047894</v>
      </c>
      <c r="AA40" s="71"/>
      <c r="AB40" s="10">
        <f t="shared" si="4"/>
        <v>0</v>
      </c>
      <c r="AC40" s="10">
        <f t="shared" si="21"/>
        <v>0</v>
      </c>
      <c r="AD40" s="71"/>
      <c r="AE40" s="10">
        <f t="shared" si="5"/>
        <v>0</v>
      </c>
      <c r="AF40" s="10">
        <f t="shared" si="22"/>
        <v>0</v>
      </c>
      <c r="AG40" s="71"/>
      <c r="AH40" s="10">
        <f t="shared" si="6"/>
        <v>990000000</v>
      </c>
      <c r="AI40" s="10">
        <f t="shared" si="23"/>
        <v>459057780.16411942</v>
      </c>
      <c r="AJ40" s="71"/>
      <c r="AK40" s="10">
        <f t="shared" si="7"/>
        <v>0</v>
      </c>
      <c r="AL40" s="10">
        <f t="shared" si="24"/>
        <v>0</v>
      </c>
      <c r="AM40" s="71"/>
      <c r="AN40" s="10">
        <f t="shared" si="8"/>
        <v>0</v>
      </c>
      <c r="AO40" s="10">
        <f t="shared" si="25"/>
        <v>0</v>
      </c>
      <c r="AP40" s="71"/>
      <c r="AQ40" s="10">
        <f t="shared" si="9"/>
        <v>0</v>
      </c>
      <c r="AR40" s="10">
        <f t="shared" si="26"/>
        <v>0</v>
      </c>
      <c r="AS40" s="71"/>
      <c r="AT40" s="7">
        <f>IF($K40&lt;=$F$15,IF($F$40&lt;&gt;"",$F$40/1000,IF(ISERROR(VLOOKUP($F$3&amp;IF($G$4&lt;&gt;"",$G$4,"")&amp;IF($F$43&lt;&gt;"","_"&amp;$F$43,""),'表3）燃料価格'!$AF$9:$AG$25,2,0)),0,VLOOKUP($I40,'表3）燃料価格'!$A$6:$U$66,VLOOKUP($F$3&amp;IF($G$4&lt;&gt;"",$G$4,"")&amp;IF($F$43&lt;&gt;"","_"&amp;$F$43,""),'表3）燃料価格'!$AF$9:$AG$25,2,0)+VLOOKUP($F$41,'表3）燃料価格'!$AF$28:$AG$29,2,0),0)*IF($F$43="需要地価格",1,$F$8/$F$141))),"")</f>
        <v>0</v>
      </c>
      <c r="AU40" s="71"/>
      <c r="AV40" s="10">
        <f t="shared" si="10"/>
        <v>0</v>
      </c>
      <c r="AW40" s="10">
        <f t="shared" si="27"/>
        <v>0</v>
      </c>
      <c r="AX40" s="71"/>
      <c r="AY40" s="7">
        <f>IF(ISERROR(IF($K40&lt;=$F$15,VLOOKUP($I40,'表4）CO2価格'!$A$7:$E$67,VLOOKUP($F$48,'表4）CO2価格'!$H$10:$I$12,2,0),0)*$F$8/1000,"")),0,IF($K40&lt;=$F$15,VLOOKUP($I40,'表4）CO2価格'!$A$7:$E$67,VLOOKUP($F$48,'表4）CO2価格'!$H$10:$I$12,2,0),0)*$F$8/1000,""))</f>
        <v>0</v>
      </c>
      <c r="AZ40" s="71"/>
      <c r="BA40" s="11">
        <f t="shared" si="11"/>
        <v>0</v>
      </c>
      <c r="BB40" s="10">
        <f t="shared" si="28"/>
        <v>0</v>
      </c>
      <c r="BC40" s="71"/>
      <c r="BD40" s="10">
        <f t="shared" si="12"/>
        <v>0</v>
      </c>
      <c r="BE40" s="10">
        <f t="shared" si="29"/>
        <v>0</v>
      </c>
      <c r="BF40" s="71"/>
      <c r="BG40" s="11">
        <f t="shared" si="13"/>
        <v>0</v>
      </c>
      <c r="BH40" s="10">
        <f t="shared" si="30"/>
        <v>0</v>
      </c>
      <c r="BJ40" s="7" t="str">
        <f t="shared" si="31"/>
        <v/>
      </c>
      <c r="BK40" s="158" t="str">
        <f t="shared" si="32"/>
        <v/>
      </c>
      <c r="BL40" s="158" t="str">
        <f t="shared" si="14"/>
        <v/>
      </c>
      <c r="BM40" s="10"/>
      <c r="BN40" s="10" t="str">
        <f t="shared" si="33"/>
        <v/>
      </c>
      <c r="BO40" s="10" t="str">
        <f t="shared" si="34"/>
        <v/>
      </c>
      <c r="BQ40" s="10">
        <f t="shared" si="15"/>
        <v>194130360</v>
      </c>
      <c r="BR40" s="10">
        <f t="shared" si="35"/>
        <v>90017224.367738754</v>
      </c>
    </row>
    <row r="41" spans="3:70" x14ac:dyDescent="0.15">
      <c r="D41" s="84" t="s">
        <v>572</v>
      </c>
      <c r="F41" s="474"/>
      <c r="H41" s="71"/>
      <c r="I41" s="38">
        <f t="shared" si="36"/>
        <v>2046</v>
      </c>
      <c r="J41" s="39"/>
      <c r="K41" s="39">
        <f t="shared" si="37"/>
        <v>27</v>
      </c>
      <c r="L41" s="39"/>
      <c r="M41" s="40">
        <f t="shared" si="0"/>
        <v>0.45018905576553836</v>
      </c>
      <c r="N41" s="39"/>
      <c r="O41" s="72">
        <f t="shared" si="16"/>
        <v>0</v>
      </c>
      <c r="P41" s="41" t="str">
        <f t="shared" si="1"/>
        <v>-</v>
      </c>
      <c r="Q41" s="39"/>
      <c r="R41" s="72">
        <f t="shared" si="17"/>
        <v>1185000000</v>
      </c>
      <c r="S41" s="39"/>
      <c r="T41" s="72">
        <f t="shared" si="18"/>
        <v>1185000000</v>
      </c>
      <c r="U41" s="39"/>
      <c r="V41" s="72">
        <f t="shared" si="2"/>
        <v>0</v>
      </c>
      <c r="W41" s="72">
        <f t="shared" si="19"/>
        <v>0</v>
      </c>
      <c r="X41" s="39"/>
      <c r="Y41" s="72">
        <f t="shared" si="3"/>
        <v>16590000</v>
      </c>
      <c r="Z41" s="72">
        <f t="shared" si="20"/>
        <v>7468636.4351502815</v>
      </c>
      <c r="AA41" s="39"/>
      <c r="AB41" s="72">
        <f t="shared" si="4"/>
        <v>0</v>
      </c>
      <c r="AC41" s="72">
        <f t="shared" si="21"/>
        <v>0</v>
      </c>
      <c r="AD41" s="39"/>
      <c r="AE41" s="72">
        <f t="shared" si="5"/>
        <v>0</v>
      </c>
      <c r="AF41" s="72">
        <f t="shared" si="22"/>
        <v>0</v>
      </c>
      <c r="AG41" s="39"/>
      <c r="AH41" s="72">
        <f t="shared" si="6"/>
        <v>990000000</v>
      </c>
      <c r="AI41" s="72">
        <f t="shared" si="23"/>
        <v>445687165.207883</v>
      </c>
      <c r="AJ41" s="39"/>
      <c r="AK41" s="72">
        <f t="shared" si="7"/>
        <v>0</v>
      </c>
      <c r="AL41" s="72">
        <f t="shared" si="24"/>
        <v>0</v>
      </c>
      <c r="AM41" s="39"/>
      <c r="AN41" s="72">
        <f t="shared" si="8"/>
        <v>0</v>
      </c>
      <c r="AO41" s="72">
        <f t="shared" si="25"/>
        <v>0</v>
      </c>
      <c r="AP41" s="39"/>
      <c r="AQ41" s="72">
        <f t="shared" si="9"/>
        <v>0</v>
      </c>
      <c r="AR41" s="72">
        <f t="shared" si="26"/>
        <v>0</v>
      </c>
      <c r="AS41" s="39"/>
      <c r="AT41" s="40">
        <f>IF($K41&lt;=$F$15,IF($F$40&lt;&gt;"",$F$40/1000,IF(ISERROR(VLOOKUP($F$3&amp;IF($G$4&lt;&gt;"",$G$4,"")&amp;IF($F$43&lt;&gt;"","_"&amp;$F$43,""),'表3）燃料価格'!$AF$9:$AG$25,2,0)),0,VLOOKUP($I41,'表3）燃料価格'!$A$6:$U$66,VLOOKUP($F$3&amp;IF($G$4&lt;&gt;"",$G$4,"")&amp;IF($F$43&lt;&gt;"","_"&amp;$F$43,""),'表3）燃料価格'!$AF$9:$AG$25,2,0)+VLOOKUP($F$41,'表3）燃料価格'!$AF$28:$AG$29,2,0),0)*IF($F$43="需要地価格",1,$F$8/$F$141))),"")</f>
        <v>0</v>
      </c>
      <c r="AU41" s="39"/>
      <c r="AV41" s="72">
        <f t="shared" si="10"/>
        <v>0</v>
      </c>
      <c r="AW41" s="72">
        <f t="shared" si="27"/>
        <v>0</v>
      </c>
      <c r="AX41" s="39"/>
      <c r="AY41" s="40">
        <f>IF(ISERROR(IF($K41&lt;=$F$15,VLOOKUP($I41,'表4）CO2価格'!$A$7:$E$67,VLOOKUP($F$48,'表4）CO2価格'!$H$10:$I$12,2,0),0)*$F$8/1000,"")),0,IF($K41&lt;=$F$15,VLOOKUP($I41,'表4）CO2価格'!$A$7:$E$67,VLOOKUP($F$48,'表4）CO2価格'!$H$10:$I$12,2,0),0)*$F$8/1000,""))</f>
        <v>0</v>
      </c>
      <c r="AZ41" s="39"/>
      <c r="BA41" s="42">
        <f t="shared" si="11"/>
        <v>0</v>
      </c>
      <c r="BB41" s="72">
        <f t="shared" si="28"/>
        <v>0</v>
      </c>
      <c r="BC41" s="39"/>
      <c r="BD41" s="72">
        <f t="shared" si="12"/>
        <v>0</v>
      </c>
      <c r="BE41" s="72">
        <f t="shared" si="29"/>
        <v>0</v>
      </c>
      <c r="BF41" s="39"/>
      <c r="BG41" s="42">
        <f t="shared" si="13"/>
        <v>0</v>
      </c>
      <c r="BH41" s="72">
        <f t="shared" si="30"/>
        <v>0</v>
      </c>
      <c r="BI41" s="39"/>
      <c r="BJ41" s="40" t="str">
        <f t="shared" si="31"/>
        <v/>
      </c>
      <c r="BK41" s="157" t="str">
        <f t="shared" si="32"/>
        <v/>
      </c>
      <c r="BL41" s="157" t="str">
        <f t="shared" si="14"/>
        <v/>
      </c>
      <c r="BM41" s="72"/>
      <c r="BN41" s="72" t="str">
        <f t="shared" si="33"/>
        <v/>
      </c>
      <c r="BO41" s="72" t="str">
        <f t="shared" si="34"/>
        <v/>
      </c>
      <c r="BP41" s="39"/>
      <c r="BQ41" s="72">
        <f t="shared" si="15"/>
        <v>194130360</v>
      </c>
      <c r="BR41" s="72">
        <f t="shared" si="35"/>
        <v>87395363.463824034</v>
      </c>
    </row>
    <row r="42" spans="3:70" x14ac:dyDescent="0.15">
      <c r="D42" s="84" t="s">
        <v>573</v>
      </c>
      <c r="F42" s="481"/>
      <c r="G42" s="84" t="s">
        <v>574</v>
      </c>
      <c r="H42" s="71"/>
      <c r="I42" s="322">
        <f t="shared" si="36"/>
        <v>2047</v>
      </c>
      <c r="J42" s="71"/>
      <c r="K42" s="71">
        <f t="shared" si="37"/>
        <v>28</v>
      </c>
      <c r="L42" s="71"/>
      <c r="M42" s="7">
        <f t="shared" si="0"/>
        <v>0.4370767531704256</v>
      </c>
      <c r="N42" s="71"/>
      <c r="O42" s="10">
        <f t="shared" si="16"/>
        <v>0</v>
      </c>
      <c r="P42" s="29" t="str">
        <f t="shared" si="1"/>
        <v>-</v>
      </c>
      <c r="Q42" s="71"/>
      <c r="R42" s="10">
        <f t="shared" si="17"/>
        <v>1185000000</v>
      </c>
      <c r="S42" s="71"/>
      <c r="T42" s="10">
        <f t="shared" si="18"/>
        <v>1185000000</v>
      </c>
      <c r="U42" s="71"/>
      <c r="V42" s="10">
        <f t="shared" si="2"/>
        <v>0</v>
      </c>
      <c r="W42" s="10">
        <f t="shared" si="19"/>
        <v>0</v>
      </c>
      <c r="X42" s="71"/>
      <c r="Y42" s="10">
        <f t="shared" si="3"/>
        <v>16590000</v>
      </c>
      <c r="Z42" s="10">
        <f t="shared" si="20"/>
        <v>7251103.3350973604</v>
      </c>
      <c r="AA42" s="71"/>
      <c r="AB42" s="10">
        <f t="shared" si="4"/>
        <v>0</v>
      </c>
      <c r="AC42" s="10">
        <f t="shared" si="21"/>
        <v>0</v>
      </c>
      <c r="AD42" s="71"/>
      <c r="AE42" s="10">
        <f t="shared" si="5"/>
        <v>0</v>
      </c>
      <c r="AF42" s="10">
        <f t="shared" si="22"/>
        <v>0</v>
      </c>
      <c r="AG42" s="71"/>
      <c r="AH42" s="10">
        <f t="shared" si="6"/>
        <v>990000000</v>
      </c>
      <c r="AI42" s="10">
        <f t="shared" si="23"/>
        <v>432705985.63872135</v>
      </c>
      <c r="AJ42" s="71"/>
      <c r="AK42" s="10">
        <f t="shared" si="7"/>
        <v>0</v>
      </c>
      <c r="AL42" s="10">
        <f t="shared" si="24"/>
        <v>0</v>
      </c>
      <c r="AM42" s="71"/>
      <c r="AN42" s="10">
        <f t="shared" si="8"/>
        <v>0</v>
      </c>
      <c r="AO42" s="10">
        <f t="shared" si="25"/>
        <v>0</v>
      </c>
      <c r="AP42" s="71"/>
      <c r="AQ42" s="10">
        <f t="shared" si="9"/>
        <v>0</v>
      </c>
      <c r="AR42" s="10">
        <f t="shared" si="26"/>
        <v>0</v>
      </c>
      <c r="AS42" s="71"/>
      <c r="AT42" s="7">
        <f>IF($K42&lt;=$F$15,IF($F$40&lt;&gt;"",$F$40/1000,IF(ISERROR(VLOOKUP($F$3&amp;IF($G$4&lt;&gt;"",$G$4,"")&amp;IF($F$43&lt;&gt;"","_"&amp;$F$43,""),'表3）燃料価格'!$AF$9:$AG$25,2,0)),0,VLOOKUP($I42,'表3）燃料価格'!$A$6:$U$66,VLOOKUP($F$3&amp;IF($G$4&lt;&gt;"",$G$4,"")&amp;IF($F$43&lt;&gt;"","_"&amp;$F$43,""),'表3）燃料価格'!$AF$9:$AG$25,2,0)+VLOOKUP($F$41,'表3）燃料価格'!$AF$28:$AG$29,2,0),0)*IF($F$43="需要地価格",1,$F$8/$F$141))),"")</f>
        <v>0</v>
      </c>
      <c r="AU42" s="71"/>
      <c r="AV42" s="10">
        <f t="shared" si="10"/>
        <v>0</v>
      </c>
      <c r="AW42" s="10">
        <f t="shared" si="27"/>
        <v>0</v>
      </c>
      <c r="AX42" s="71"/>
      <c r="AY42" s="7">
        <f>IF(ISERROR(IF($K42&lt;=$F$15,VLOOKUP($I42,'表4）CO2価格'!$A$7:$E$67,VLOOKUP($F$48,'表4）CO2価格'!$H$10:$I$12,2,0),0)*$F$8/1000,"")),0,IF($K42&lt;=$F$15,VLOOKUP($I42,'表4）CO2価格'!$A$7:$E$67,VLOOKUP($F$48,'表4）CO2価格'!$H$10:$I$12,2,0),0)*$F$8/1000,""))</f>
        <v>0</v>
      </c>
      <c r="AZ42" s="71"/>
      <c r="BA42" s="11">
        <f t="shared" si="11"/>
        <v>0</v>
      </c>
      <c r="BB42" s="10">
        <f t="shared" si="28"/>
        <v>0</v>
      </c>
      <c r="BC42" s="71"/>
      <c r="BD42" s="10">
        <f t="shared" si="12"/>
        <v>0</v>
      </c>
      <c r="BE42" s="10">
        <f t="shared" si="29"/>
        <v>0</v>
      </c>
      <c r="BF42" s="71"/>
      <c r="BG42" s="11">
        <f t="shared" si="13"/>
        <v>0</v>
      </c>
      <c r="BH42" s="10">
        <f t="shared" si="30"/>
        <v>0</v>
      </c>
      <c r="BJ42" s="7" t="str">
        <f t="shared" si="31"/>
        <v/>
      </c>
      <c r="BK42" s="158" t="str">
        <f t="shared" si="32"/>
        <v/>
      </c>
      <c r="BL42" s="158" t="str">
        <f t="shared" si="14"/>
        <v/>
      </c>
      <c r="BM42" s="10"/>
      <c r="BN42" s="10" t="str">
        <f t="shared" si="33"/>
        <v/>
      </c>
      <c r="BO42" s="10" t="str">
        <f t="shared" si="34"/>
        <v/>
      </c>
      <c r="BQ42" s="10">
        <f t="shared" si="15"/>
        <v>194130360</v>
      </c>
      <c r="BR42" s="10">
        <f t="shared" si="35"/>
        <v>84849867.440605864</v>
      </c>
    </row>
    <row r="43" spans="3:70" x14ac:dyDescent="0.15">
      <c r="D43" s="160" t="s">
        <v>126</v>
      </c>
      <c r="F43" s="474"/>
      <c r="H43" s="71"/>
      <c r="I43" s="38">
        <f t="shared" si="36"/>
        <v>2048</v>
      </c>
      <c r="J43" s="39"/>
      <c r="K43" s="39">
        <f t="shared" si="37"/>
        <v>29</v>
      </c>
      <c r="L43" s="39"/>
      <c r="M43" s="40">
        <f t="shared" si="0"/>
        <v>0.42434636230138412</v>
      </c>
      <c r="N43" s="39"/>
      <c r="O43" s="72">
        <f t="shared" si="16"/>
        <v>0</v>
      </c>
      <c r="P43" s="41" t="str">
        <f t="shared" si="1"/>
        <v>-</v>
      </c>
      <c r="Q43" s="39"/>
      <c r="R43" s="72">
        <f t="shared" si="17"/>
        <v>1185000000</v>
      </c>
      <c r="S43" s="39"/>
      <c r="T43" s="72">
        <f t="shared" si="18"/>
        <v>1185000000</v>
      </c>
      <c r="U43" s="39"/>
      <c r="V43" s="72">
        <f t="shared" si="2"/>
        <v>0</v>
      </c>
      <c r="W43" s="72">
        <f t="shared" si="19"/>
        <v>0</v>
      </c>
      <c r="X43" s="39"/>
      <c r="Y43" s="72">
        <f t="shared" si="3"/>
        <v>16590000</v>
      </c>
      <c r="Z43" s="72">
        <f t="shared" si="20"/>
        <v>7039906.1505799629</v>
      </c>
      <c r="AA43" s="39"/>
      <c r="AB43" s="72">
        <f t="shared" si="4"/>
        <v>0</v>
      </c>
      <c r="AC43" s="72">
        <f t="shared" si="21"/>
        <v>0</v>
      </c>
      <c r="AD43" s="39"/>
      <c r="AE43" s="72">
        <f t="shared" si="5"/>
        <v>0</v>
      </c>
      <c r="AF43" s="72">
        <f t="shared" si="22"/>
        <v>0</v>
      </c>
      <c r="AG43" s="39"/>
      <c r="AH43" s="72">
        <f t="shared" si="6"/>
        <v>990000000</v>
      </c>
      <c r="AI43" s="72">
        <f t="shared" si="23"/>
        <v>420102898.6783703</v>
      </c>
      <c r="AJ43" s="39"/>
      <c r="AK43" s="72">
        <f t="shared" si="7"/>
        <v>0</v>
      </c>
      <c r="AL43" s="72">
        <f t="shared" si="24"/>
        <v>0</v>
      </c>
      <c r="AM43" s="39"/>
      <c r="AN43" s="72">
        <f t="shared" si="8"/>
        <v>0</v>
      </c>
      <c r="AO43" s="72">
        <f t="shared" si="25"/>
        <v>0</v>
      </c>
      <c r="AP43" s="39"/>
      <c r="AQ43" s="72">
        <f t="shared" si="9"/>
        <v>0</v>
      </c>
      <c r="AR43" s="72">
        <f t="shared" si="26"/>
        <v>0</v>
      </c>
      <c r="AS43" s="39"/>
      <c r="AT43" s="40">
        <f>IF($K43&lt;=$F$15,IF($F$40&lt;&gt;"",$F$40/1000,IF(ISERROR(VLOOKUP($F$3&amp;IF($G$4&lt;&gt;"",$G$4,"")&amp;IF($F$43&lt;&gt;"","_"&amp;$F$43,""),'表3）燃料価格'!$AF$9:$AG$25,2,0)),0,VLOOKUP($I43,'表3）燃料価格'!$A$6:$U$66,VLOOKUP($F$3&amp;IF($G$4&lt;&gt;"",$G$4,"")&amp;IF($F$43&lt;&gt;"","_"&amp;$F$43,""),'表3）燃料価格'!$AF$9:$AG$25,2,0)+VLOOKUP($F$41,'表3）燃料価格'!$AF$28:$AG$29,2,0),0)*IF($F$43="需要地価格",1,$F$8/$F$141))),"")</f>
        <v>0</v>
      </c>
      <c r="AU43" s="39"/>
      <c r="AV43" s="72">
        <f t="shared" si="10"/>
        <v>0</v>
      </c>
      <c r="AW43" s="72">
        <f t="shared" si="27"/>
        <v>0</v>
      </c>
      <c r="AX43" s="39"/>
      <c r="AY43" s="40">
        <f>IF(ISERROR(IF($K43&lt;=$F$15,VLOOKUP($I43,'表4）CO2価格'!$A$7:$E$67,VLOOKUP($F$48,'表4）CO2価格'!$H$10:$I$12,2,0),0)*$F$8/1000,"")),0,IF($K43&lt;=$F$15,VLOOKUP($I43,'表4）CO2価格'!$A$7:$E$67,VLOOKUP($F$48,'表4）CO2価格'!$H$10:$I$12,2,0),0)*$F$8/1000,""))</f>
        <v>0</v>
      </c>
      <c r="AZ43" s="39"/>
      <c r="BA43" s="42">
        <f t="shared" si="11"/>
        <v>0</v>
      </c>
      <c r="BB43" s="72">
        <f t="shared" si="28"/>
        <v>0</v>
      </c>
      <c r="BC43" s="39"/>
      <c r="BD43" s="72">
        <f t="shared" si="12"/>
        <v>0</v>
      </c>
      <c r="BE43" s="72">
        <f t="shared" si="29"/>
        <v>0</v>
      </c>
      <c r="BF43" s="39"/>
      <c r="BG43" s="42">
        <f t="shared" si="13"/>
        <v>0</v>
      </c>
      <c r="BH43" s="72">
        <f t="shared" si="30"/>
        <v>0</v>
      </c>
      <c r="BI43" s="39"/>
      <c r="BJ43" s="40" t="str">
        <f t="shared" si="31"/>
        <v/>
      </c>
      <c r="BK43" s="157" t="str">
        <f t="shared" si="32"/>
        <v/>
      </c>
      <c r="BL43" s="157" t="str">
        <f t="shared" si="14"/>
        <v/>
      </c>
      <c r="BM43" s="72"/>
      <c r="BN43" s="72" t="str">
        <f t="shared" si="33"/>
        <v/>
      </c>
      <c r="BO43" s="72" t="str">
        <f t="shared" si="34"/>
        <v/>
      </c>
      <c r="BP43" s="39"/>
      <c r="BQ43" s="72">
        <f t="shared" si="15"/>
        <v>194130360</v>
      </c>
      <c r="BR43" s="72">
        <f t="shared" si="35"/>
        <v>82378512.078258127</v>
      </c>
    </row>
    <row r="44" spans="3:70" x14ac:dyDescent="0.15">
      <c r="H44" s="71"/>
      <c r="I44" s="322">
        <f t="shared" si="36"/>
        <v>2049</v>
      </c>
      <c r="J44" s="71"/>
      <c r="K44" s="71">
        <f t="shared" si="37"/>
        <v>30</v>
      </c>
      <c r="L44" s="71"/>
      <c r="M44" s="7">
        <f t="shared" si="0"/>
        <v>0.41198675951590691</v>
      </c>
      <c r="N44" s="71"/>
      <c r="O44" s="10">
        <f t="shared" si="16"/>
        <v>0</v>
      </c>
      <c r="P44" s="29" t="str">
        <f t="shared" si="1"/>
        <v>-</v>
      </c>
      <c r="Q44" s="71"/>
      <c r="R44" s="10">
        <f t="shared" si="17"/>
        <v>1185000000</v>
      </c>
      <c r="S44" s="71"/>
      <c r="T44" s="10">
        <f t="shared" si="18"/>
        <v>1185000000</v>
      </c>
      <c r="U44" s="71"/>
      <c r="V44" s="10">
        <f t="shared" si="2"/>
        <v>0</v>
      </c>
      <c r="W44" s="10">
        <f t="shared" si="19"/>
        <v>0</v>
      </c>
      <c r="X44" s="71"/>
      <c r="Y44" s="10">
        <f t="shared" si="3"/>
        <v>16590000</v>
      </c>
      <c r="Z44" s="10">
        <f t="shared" si="20"/>
        <v>6834860.3403688958</v>
      </c>
      <c r="AA44" s="71"/>
      <c r="AB44" s="10">
        <f t="shared" si="4"/>
        <v>0</v>
      </c>
      <c r="AC44" s="10">
        <f t="shared" si="21"/>
        <v>0</v>
      </c>
      <c r="AD44" s="71"/>
      <c r="AE44" s="10">
        <f t="shared" si="5"/>
        <v>0</v>
      </c>
      <c r="AF44" s="10">
        <f t="shared" si="22"/>
        <v>0</v>
      </c>
      <c r="AG44" s="71"/>
      <c r="AH44" s="10">
        <f t="shared" si="6"/>
        <v>990000000</v>
      </c>
      <c r="AI44" s="10">
        <f t="shared" si="23"/>
        <v>407866891.92074782</v>
      </c>
      <c r="AJ44" s="71"/>
      <c r="AK44" s="10">
        <f t="shared" si="7"/>
        <v>0</v>
      </c>
      <c r="AL44" s="10">
        <f t="shared" si="24"/>
        <v>0</v>
      </c>
      <c r="AM44" s="71"/>
      <c r="AN44" s="10">
        <f t="shared" si="8"/>
        <v>0</v>
      </c>
      <c r="AO44" s="10">
        <f t="shared" si="25"/>
        <v>0</v>
      </c>
      <c r="AP44" s="71"/>
      <c r="AQ44" s="10">
        <f t="shared" si="9"/>
        <v>0</v>
      </c>
      <c r="AR44" s="10">
        <f t="shared" si="26"/>
        <v>0</v>
      </c>
      <c r="AS44" s="71"/>
      <c r="AT44" s="7">
        <f>IF($K44&lt;=$F$15,IF($F$40&lt;&gt;"",$F$40/1000,IF(ISERROR(VLOOKUP($F$3&amp;IF($G$4&lt;&gt;"",$G$4,"")&amp;IF($F$43&lt;&gt;"","_"&amp;$F$43,""),'表3）燃料価格'!$AF$9:$AG$25,2,0)),0,VLOOKUP($I44,'表3）燃料価格'!$A$6:$U$66,VLOOKUP($F$3&amp;IF($G$4&lt;&gt;"",$G$4,"")&amp;IF($F$43&lt;&gt;"","_"&amp;$F$43,""),'表3）燃料価格'!$AF$9:$AG$25,2,0)+VLOOKUP($F$41,'表3）燃料価格'!$AF$28:$AG$29,2,0),0)*IF($F$43="需要地価格",1,$F$8/$F$141))),"")</f>
        <v>0</v>
      </c>
      <c r="AU44" s="71"/>
      <c r="AV44" s="10">
        <f t="shared" si="10"/>
        <v>0</v>
      </c>
      <c r="AW44" s="10">
        <f t="shared" si="27"/>
        <v>0</v>
      </c>
      <c r="AX44" s="71"/>
      <c r="AY44" s="7">
        <f>IF(ISERROR(IF($K44&lt;=$F$15,VLOOKUP($I44,'表4）CO2価格'!$A$7:$E$67,VLOOKUP($F$48,'表4）CO2価格'!$H$10:$I$12,2,0),0)*$F$8/1000,"")),0,IF($K44&lt;=$F$15,VLOOKUP($I44,'表4）CO2価格'!$A$7:$E$67,VLOOKUP($F$48,'表4）CO2価格'!$H$10:$I$12,2,0),0)*$F$8/1000,""))</f>
        <v>0</v>
      </c>
      <c r="AZ44" s="71"/>
      <c r="BA44" s="11">
        <f t="shared" si="11"/>
        <v>0</v>
      </c>
      <c r="BB44" s="10">
        <f t="shared" si="28"/>
        <v>0</v>
      </c>
      <c r="BC44" s="71"/>
      <c r="BD44" s="10">
        <f t="shared" si="12"/>
        <v>0</v>
      </c>
      <c r="BE44" s="10">
        <f t="shared" si="29"/>
        <v>0</v>
      </c>
      <c r="BF44" s="71"/>
      <c r="BG44" s="11">
        <f t="shared" si="13"/>
        <v>0</v>
      </c>
      <c r="BH44" s="10">
        <f t="shared" si="30"/>
        <v>0</v>
      </c>
      <c r="BJ44" s="7" t="str">
        <f t="shared" si="31"/>
        <v/>
      </c>
      <c r="BK44" s="158" t="str">
        <f t="shared" si="32"/>
        <v/>
      </c>
      <c r="BL44" s="158" t="str">
        <f t="shared" si="14"/>
        <v/>
      </c>
      <c r="BM44" s="10"/>
      <c r="BN44" s="10" t="str">
        <f t="shared" si="33"/>
        <v/>
      </c>
      <c r="BO44" s="10" t="str">
        <f t="shared" si="34"/>
        <v/>
      </c>
      <c r="BQ44" s="10">
        <f t="shared" si="15"/>
        <v>194130360</v>
      </c>
      <c r="BR44" s="10">
        <f t="shared" si="35"/>
        <v>79979137.940056428</v>
      </c>
    </row>
    <row r="45" spans="3:70" x14ac:dyDescent="0.15">
      <c r="C45" s="4" t="s">
        <v>575</v>
      </c>
      <c r="D45" s="100"/>
      <c r="E45" s="100"/>
      <c r="F45" s="4"/>
      <c r="G45" s="100"/>
      <c r="H45" s="71"/>
      <c r="I45" s="38">
        <f t="shared" si="36"/>
        <v>2050</v>
      </c>
      <c r="J45" s="39"/>
      <c r="K45" s="39">
        <f t="shared" si="37"/>
        <v>31</v>
      </c>
      <c r="L45" s="39"/>
      <c r="M45" s="40">
        <f t="shared" si="0"/>
        <v>0.39998714516107459</v>
      </c>
      <c r="N45" s="39"/>
      <c r="O45" s="72">
        <f t="shared" si="16"/>
        <v>0</v>
      </c>
      <c r="P45" s="41" t="str">
        <f t="shared" si="1"/>
        <v>-</v>
      </c>
      <c r="Q45" s="39"/>
      <c r="R45" s="72">
        <f t="shared" si="17"/>
        <v>1185000000</v>
      </c>
      <c r="S45" s="39"/>
      <c r="T45" s="72">
        <f t="shared" si="18"/>
        <v>1185000000</v>
      </c>
      <c r="U45" s="39"/>
      <c r="V45" s="72">
        <f t="shared" si="2"/>
        <v>0</v>
      </c>
      <c r="W45" s="72">
        <f t="shared" si="19"/>
        <v>0</v>
      </c>
      <c r="X45" s="39"/>
      <c r="Y45" s="72">
        <f t="shared" si="3"/>
        <v>16590000</v>
      </c>
      <c r="Z45" s="72">
        <f t="shared" si="20"/>
        <v>6635786.7382222274</v>
      </c>
      <c r="AA45" s="39"/>
      <c r="AB45" s="72">
        <f t="shared" si="4"/>
        <v>0</v>
      </c>
      <c r="AC45" s="72">
        <f t="shared" si="21"/>
        <v>0</v>
      </c>
      <c r="AD45" s="39"/>
      <c r="AE45" s="72">
        <f t="shared" si="5"/>
        <v>0</v>
      </c>
      <c r="AF45" s="72">
        <f t="shared" si="22"/>
        <v>0</v>
      </c>
      <c r="AG45" s="39"/>
      <c r="AH45" s="72">
        <f t="shared" si="6"/>
        <v>990000000</v>
      </c>
      <c r="AI45" s="72">
        <f t="shared" si="23"/>
        <v>395987273.70946383</v>
      </c>
      <c r="AJ45" s="39"/>
      <c r="AK45" s="72">
        <f t="shared" si="7"/>
        <v>0</v>
      </c>
      <c r="AL45" s="72">
        <f t="shared" si="24"/>
        <v>0</v>
      </c>
      <c r="AM45" s="39"/>
      <c r="AN45" s="72">
        <f t="shared" si="8"/>
        <v>0</v>
      </c>
      <c r="AO45" s="72">
        <f t="shared" si="25"/>
        <v>0</v>
      </c>
      <c r="AP45" s="39"/>
      <c r="AQ45" s="72">
        <f t="shared" si="9"/>
        <v>0</v>
      </c>
      <c r="AR45" s="72">
        <f t="shared" si="26"/>
        <v>0</v>
      </c>
      <c r="AS45" s="39"/>
      <c r="AT45" s="40">
        <f>IF($K45&lt;=$F$15,IF($F$40&lt;&gt;"",$F$40/1000,IF(ISERROR(VLOOKUP($F$3&amp;IF($G$4&lt;&gt;"",$G$4,"")&amp;IF($F$43&lt;&gt;"","_"&amp;$F$43,""),'表3）燃料価格'!$AF$9:$AG$25,2,0)),0,VLOOKUP($I45,'表3）燃料価格'!$A$6:$U$66,VLOOKUP($F$3&amp;IF($G$4&lt;&gt;"",$G$4,"")&amp;IF($F$43&lt;&gt;"","_"&amp;$F$43,""),'表3）燃料価格'!$AF$9:$AG$25,2,0)+VLOOKUP($F$41,'表3）燃料価格'!$AF$28:$AG$29,2,0),0)*IF($F$43="需要地価格",1,$F$8/$F$141))),"")</f>
        <v>0</v>
      </c>
      <c r="AU45" s="39"/>
      <c r="AV45" s="72">
        <f t="shared" si="10"/>
        <v>0</v>
      </c>
      <c r="AW45" s="72">
        <f t="shared" si="27"/>
        <v>0</v>
      </c>
      <c r="AX45" s="39"/>
      <c r="AY45" s="40">
        <f>IF(ISERROR(IF($K45&lt;=$F$15,VLOOKUP($I45,'表4）CO2価格'!$A$7:$E$67,VLOOKUP($F$48,'表4）CO2価格'!$H$10:$I$12,2,0),0)*$F$8/1000,"")),0,IF($K45&lt;=$F$15,VLOOKUP($I45,'表4）CO2価格'!$A$7:$E$67,VLOOKUP($F$48,'表4）CO2価格'!$H$10:$I$12,2,0),0)*$F$8/1000,""))</f>
        <v>0</v>
      </c>
      <c r="AZ45" s="39"/>
      <c r="BA45" s="42">
        <f t="shared" si="11"/>
        <v>0</v>
      </c>
      <c r="BB45" s="72">
        <f t="shared" si="28"/>
        <v>0</v>
      </c>
      <c r="BC45" s="39"/>
      <c r="BD45" s="72">
        <f t="shared" si="12"/>
        <v>0</v>
      </c>
      <c r="BE45" s="72">
        <f t="shared" si="29"/>
        <v>0</v>
      </c>
      <c r="BF45" s="39"/>
      <c r="BG45" s="42">
        <f t="shared" si="13"/>
        <v>0</v>
      </c>
      <c r="BH45" s="72">
        <f t="shared" si="30"/>
        <v>0</v>
      </c>
      <c r="BI45" s="39"/>
      <c r="BJ45" s="40" t="str">
        <f t="shared" si="31"/>
        <v/>
      </c>
      <c r="BK45" s="157" t="str">
        <f t="shared" si="32"/>
        <v/>
      </c>
      <c r="BL45" s="157" t="str">
        <f t="shared" si="14"/>
        <v/>
      </c>
      <c r="BM45" s="72"/>
      <c r="BN45" s="72" t="str">
        <f t="shared" si="33"/>
        <v/>
      </c>
      <c r="BO45" s="72" t="str">
        <f t="shared" si="34"/>
        <v/>
      </c>
      <c r="BP45" s="39"/>
      <c r="BQ45" s="72">
        <f t="shared" si="15"/>
        <v>194130360</v>
      </c>
      <c r="BR45" s="72">
        <f t="shared" si="35"/>
        <v>77649648.485491663</v>
      </c>
    </row>
    <row r="46" spans="3:70" x14ac:dyDescent="0.15">
      <c r="H46" s="71"/>
      <c r="I46" s="322">
        <f t="shared" si="36"/>
        <v>2051</v>
      </c>
      <c r="J46" s="71"/>
      <c r="K46" s="71">
        <f t="shared" si="37"/>
        <v>32</v>
      </c>
      <c r="L46" s="71"/>
      <c r="M46" s="7">
        <f t="shared" si="0"/>
        <v>0.38833703413696569</v>
      </c>
      <c r="N46" s="71"/>
      <c r="O46" s="10">
        <f t="shared" si="16"/>
        <v>0</v>
      </c>
      <c r="P46" s="29" t="str">
        <f t="shared" si="1"/>
        <v>-</v>
      </c>
      <c r="Q46" s="71"/>
      <c r="R46" s="10">
        <f t="shared" si="17"/>
        <v>1185000000</v>
      </c>
      <c r="S46" s="71"/>
      <c r="T46" s="10">
        <f t="shared" si="18"/>
        <v>1185000000</v>
      </c>
      <c r="U46" s="71"/>
      <c r="V46" s="10">
        <f t="shared" si="2"/>
        <v>0</v>
      </c>
      <c r="W46" s="10">
        <f t="shared" si="19"/>
        <v>0</v>
      </c>
      <c r="X46" s="71"/>
      <c r="Y46" s="10">
        <f t="shared" si="3"/>
        <v>16590000</v>
      </c>
      <c r="Z46" s="10">
        <f t="shared" si="20"/>
        <v>6442511.3963322612</v>
      </c>
      <c r="AA46" s="71"/>
      <c r="AB46" s="10">
        <f t="shared" si="4"/>
        <v>0</v>
      </c>
      <c r="AC46" s="10">
        <f t="shared" si="21"/>
        <v>0</v>
      </c>
      <c r="AD46" s="71"/>
      <c r="AE46" s="10">
        <f t="shared" si="5"/>
        <v>0</v>
      </c>
      <c r="AF46" s="10">
        <f t="shared" si="22"/>
        <v>0</v>
      </c>
      <c r="AG46" s="71"/>
      <c r="AH46" s="10">
        <f t="shared" si="6"/>
        <v>990000000</v>
      </c>
      <c r="AI46" s="10">
        <f t="shared" si="23"/>
        <v>384453663.795596</v>
      </c>
      <c r="AJ46" s="71"/>
      <c r="AK46" s="10">
        <f t="shared" si="7"/>
        <v>0</v>
      </c>
      <c r="AL46" s="10">
        <f t="shared" si="24"/>
        <v>0</v>
      </c>
      <c r="AM46" s="71"/>
      <c r="AN46" s="10">
        <f t="shared" si="8"/>
        <v>0</v>
      </c>
      <c r="AO46" s="10">
        <f t="shared" si="25"/>
        <v>0</v>
      </c>
      <c r="AP46" s="71"/>
      <c r="AQ46" s="10">
        <f t="shared" si="9"/>
        <v>0</v>
      </c>
      <c r="AR46" s="10">
        <f t="shared" si="26"/>
        <v>0</v>
      </c>
      <c r="AS46" s="71"/>
      <c r="AT46" s="7">
        <f>IF($K46&lt;=$F$15,IF($F$40&lt;&gt;"",$F$40/1000,IF(ISERROR(VLOOKUP($F$3&amp;IF($G$4&lt;&gt;"",$G$4,"")&amp;IF($F$43&lt;&gt;"","_"&amp;$F$43,""),'表3）燃料価格'!$AF$9:$AG$25,2,0)),0,VLOOKUP($I46,'表3）燃料価格'!$A$6:$U$66,VLOOKUP($F$3&amp;IF($G$4&lt;&gt;"",$G$4,"")&amp;IF($F$43&lt;&gt;"","_"&amp;$F$43,""),'表3）燃料価格'!$AF$9:$AG$25,2,0)+VLOOKUP($F$41,'表3）燃料価格'!$AF$28:$AG$29,2,0),0)*IF($F$43="需要地価格",1,$F$8/$F$141))),"")</f>
        <v>0</v>
      </c>
      <c r="AU46" s="71"/>
      <c r="AV46" s="10">
        <f t="shared" si="10"/>
        <v>0</v>
      </c>
      <c r="AW46" s="10">
        <f t="shared" si="27"/>
        <v>0</v>
      </c>
      <c r="AX46" s="71"/>
      <c r="AY46" s="7">
        <f>IF(ISERROR(IF($K46&lt;=$F$15,VLOOKUP($I46,'表4）CO2価格'!$A$7:$E$67,VLOOKUP($F$48,'表4）CO2価格'!$H$10:$I$12,2,0),0)*$F$8/1000,"")),0,IF($K46&lt;=$F$15,VLOOKUP($I46,'表4）CO2価格'!$A$7:$E$67,VLOOKUP($F$48,'表4）CO2価格'!$H$10:$I$12,2,0),0)*$F$8/1000,""))</f>
        <v>0</v>
      </c>
      <c r="AZ46" s="71"/>
      <c r="BA46" s="11">
        <f t="shared" si="11"/>
        <v>0</v>
      </c>
      <c r="BB46" s="10">
        <f t="shared" si="28"/>
        <v>0</v>
      </c>
      <c r="BC46" s="71"/>
      <c r="BD46" s="10">
        <f t="shared" si="12"/>
        <v>0</v>
      </c>
      <c r="BE46" s="10">
        <f t="shared" si="29"/>
        <v>0</v>
      </c>
      <c r="BF46" s="71"/>
      <c r="BG46" s="11">
        <f t="shared" si="13"/>
        <v>0</v>
      </c>
      <c r="BH46" s="10">
        <f t="shared" si="30"/>
        <v>0</v>
      </c>
      <c r="BJ46" s="7" t="str">
        <f t="shared" si="31"/>
        <v/>
      </c>
      <c r="BK46" s="158" t="str">
        <f t="shared" si="32"/>
        <v/>
      </c>
      <c r="BL46" s="158" t="str">
        <f t="shared" si="14"/>
        <v/>
      </c>
      <c r="BM46" s="10"/>
      <c r="BN46" s="10" t="str">
        <f t="shared" si="33"/>
        <v/>
      </c>
      <c r="BO46" s="10" t="str">
        <f t="shared" si="34"/>
        <v/>
      </c>
      <c r="BQ46" s="10">
        <f t="shared" si="15"/>
        <v>194130360</v>
      </c>
      <c r="BR46" s="10">
        <f t="shared" si="35"/>
        <v>75388008.238341436</v>
      </c>
    </row>
    <row r="47" spans="3:70" x14ac:dyDescent="0.15">
      <c r="D47" s="84" t="s">
        <v>576</v>
      </c>
      <c r="F47" s="475"/>
      <c r="G47" s="84" t="s">
        <v>577</v>
      </c>
      <c r="H47" s="71"/>
      <c r="I47" s="38">
        <f t="shared" si="36"/>
        <v>2052</v>
      </c>
      <c r="J47" s="39"/>
      <c r="K47" s="39">
        <f t="shared" si="37"/>
        <v>33</v>
      </c>
      <c r="L47" s="39"/>
      <c r="M47" s="40">
        <f t="shared" si="0"/>
        <v>0.37702624673491814</v>
      </c>
      <c r="N47" s="39"/>
      <c r="O47" s="72">
        <f t="shared" si="16"/>
        <v>0</v>
      </c>
      <c r="P47" s="41" t="str">
        <f t="shared" ref="P47:P78" si="38">IF(K47&lt;=$F$15,IF(OR(P46=$F$124,P46="-"),"-",IF(O47*$F$123&gt;$F$127,$F$123,$F$124)),"")</f>
        <v>-</v>
      </c>
      <c r="Q47" s="39"/>
      <c r="R47" s="72">
        <f t="shared" si="17"/>
        <v>1185000000</v>
      </c>
      <c r="S47" s="39"/>
      <c r="T47" s="72">
        <f t="shared" si="18"/>
        <v>1185000000</v>
      </c>
      <c r="U47" s="39"/>
      <c r="V47" s="72">
        <f t="shared" ref="V47:V78" si="39">IF(K47&lt;=$F$15,IF(K47&lt;$F$119,IF(P47="-",V46,O47*P47),IF(K47=$F$119,MIN(IF(P47="-",V46,O47*P47),O47),0)),"")</f>
        <v>0</v>
      </c>
      <c r="W47" s="72">
        <f t="shared" si="19"/>
        <v>0</v>
      </c>
      <c r="X47" s="39"/>
      <c r="Y47" s="72">
        <f t="shared" ref="Y47:Y78" si="40">IF($K47&lt;=$F$15,ROUNDDOWN(T47*$F$25/100,-2),"")</f>
        <v>16590000</v>
      </c>
      <c r="Z47" s="72">
        <f t="shared" si="20"/>
        <v>6254865.4333322914</v>
      </c>
      <c r="AA47" s="39"/>
      <c r="AB47" s="72">
        <f t="shared" si="4"/>
        <v>0</v>
      </c>
      <c r="AC47" s="72">
        <f t="shared" si="21"/>
        <v>0</v>
      </c>
      <c r="AD47" s="39"/>
      <c r="AE47" s="72">
        <f t="shared" ref="AE47:AE78" si="41">IF($K47&lt;=$F$15,$F$26,"")</f>
        <v>0</v>
      </c>
      <c r="AF47" s="72">
        <f t="shared" si="22"/>
        <v>0</v>
      </c>
      <c r="AG47" s="39"/>
      <c r="AH47" s="72">
        <f t="shared" ref="AH47:AH78" si="42">IF($K47&lt;=$F$15,$F$33*10^4*$F$13*10^4,"")</f>
        <v>990000000</v>
      </c>
      <c r="AI47" s="72">
        <f t="shared" si="23"/>
        <v>373255984.26756895</v>
      </c>
      <c r="AJ47" s="39"/>
      <c r="AK47" s="72">
        <f t="shared" ref="AK47:AK78" si="43">IF($K47&lt;=$F$15,$F$117*$F$34/100,"")</f>
        <v>0</v>
      </c>
      <c r="AL47" s="72">
        <f t="shared" si="24"/>
        <v>0</v>
      </c>
      <c r="AM47" s="39"/>
      <c r="AN47" s="72">
        <f t="shared" ref="AN47:AN78" si="44">IF($K47&lt;=$F$15,$F$117*$F$35/100,"")</f>
        <v>0</v>
      </c>
      <c r="AO47" s="72">
        <f t="shared" si="25"/>
        <v>0</v>
      </c>
      <c r="AP47" s="39"/>
      <c r="AQ47" s="72">
        <f t="shared" ref="AQ47:AQ78" si="45">IF($K47&lt;=$F$15,SUM(AH47,AK47,AN47)*($F$36/100),"")</f>
        <v>0</v>
      </c>
      <c r="AR47" s="72">
        <f t="shared" si="26"/>
        <v>0</v>
      </c>
      <c r="AS47" s="39"/>
      <c r="AT47" s="40">
        <f>IF($K47&lt;=$F$15,IF($F$40&lt;&gt;"",$F$40/1000,IF(ISERROR(VLOOKUP($F$3&amp;IF($G$4&lt;&gt;"",$G$4,"")&amp;IF($F$43&lt;&gt;"","_"&amp;$F$43,""),'表3）燃料価格'!$AF$9:$AG$25,2,0)),0,VLOOKUP($I47,'表3）燃料価格'!$A$6:$U$66,VLOOKUP($F$3&amp;IF($G$4&lt;&gt;"",$G$4,"")&amp;IF($F$43&lt;&gt;"","_"&amp;$F$43,""),'表3）燃料価格'!$AF$9:$AG$25,2,0)+VLOOKUP($F$41,'表3）燃料価格'!$AF$28:$AG$29,2,0),0)*IF($F$43="需要地価格",1,$F$8/$F$141))),"")</f>
        <v>0</v>
      </c>
      <c r="AU47" s="39"/>
      <c r="AV47" s="72">
        <f t="shared" ref="AV47:AV78" si="46">IF($K47&lt;=$F$15,($AT47+$F$142)*$F$137,"")</f>
        <v>0</v>
      </c>
      <c r="AW47" s="72">
        <f t="shared" si="27"/>
        <v>0</v>
      </c>
      <c r="AX47" s="39"/>
      <c r="AY47" s="40">
        <f>IF(ISERROR(IF($K47&lt;=$F$15,VLOOKUP($I47,'表4）CO2価格'!$A$7:$E$67,VLOOKUP($F$48,'表4）CO2価格'!$H$10:$I$12,2,0),0)*$F$8/1000,"")),0,IF($K47&lt;=$F$15,VLOOKUP($I47,'表4）CO2価格'!$A$7:$E$67,VLOOKUP($F$48,'表4）CO2価格'!$H$10:$I$12,2,0),0)*$F$8/1000,""))</f>
        <v>0</v>
      </c>
      <c r="AZ47" s="39"/>
      <c r="BA47" s="42">
        <f t="shared" ref="BA47:BA78" si="47">IF($K47&lt;=$F$15,$F$145*AY47,"")</f>
        <v>0</v>
      </c>
      <c r="BB47" s="72">
        <f t="shared" si="28"/>
        <v>0</v>
      </c>
      <c r="BC47" s="39"/>
      <c r="BD47" s="72">
        <f t="shared" ref="BD47:BD78" si="48">IF($K47&lt;=$F$15,($AT47+$F$152)*$F$151,"")</f>
        <v>0</v>
      </c>
      <c r="BE47" s="72">
        <f t="shared" si="29"/>
        <v>0</v>
      </c>
      <c r="BF47" s="39"/>
      <c r="BG47" s="42">
        <f t="shared" ref="BG47:BG78" si="49">IF($K47&lt;=$F$15,$F$153*AY47,"")</f>
        <v>0</v>
      </c>
      <c r="BH47" s="72">
        <f t="shared" si="30"/>
        <v>0</v>
      </c>
      <c r="BI47" s="39"/>
      <c r="BJ47" s="40" t="str">
        <f t="shared" si="31"/>
        <v/>
      </c>
      <c r="BK47" s="157" t="str">
        <f t="shared" si="32"/>
        <v/>
      </c>
      <c r="BL47" s="157" t="str">
        <f t="shared" si="14"/>
        <v/>
      </c>
      <c r="BM47" s="72"/>
      <c r="BN47" s="72" t="str">
        <f t="shared" si="33"/>
        <v/>
      </c>
      <c r="BO47" s="72" t="str">
        <f t="shared" si="34"/>
        <v/>
      </c>
      <c r="BP47" s="39"/>
      <c r="BQ47" s="72">
        <f t="shared" ref="BQ47:BQ78" si="50">IF($K47&lt;=$F$15,$F$134,"")</f>
        <v>194130360</v>
      </c>
      <c r="BR47" s="72">
        <f t="shared" si="35"/>
        <v>73192241.008098483</v>
      </c>
    </row>
    <row r="48" spans="3:70" x14ac:dyDescent="0.15">
      <c r="D48" s="84" t="s">
        <v>578</v>
      </c>
      <c r="F48" s="474"/>
      <c r="H48" s="71"/>
      <c r="I48" s="322">
        <f t="shared" si="36"/>
        <v>2053</v>
      </c>
      <c r="J48" s="71"/>
      <c r="K48" s="71">
        <f t="shared" si="37"/>
        <v>34</v>
      </c>
      <c r="L48" s="71"/>
      <c r="M48" s="7">
        <f t="shared" si="0"/>
        <v>0.36604489974263904</v>
      </c>
      <c r="N48" s="71"/>
      <c r="O48" s="10">
        <f t="shared" si="16"/>
        <v>0</v>
      </c>
      <c r="P48" s="29" t="str">
        <f t="shared" si="38"/>
        <v>-</v>
      </c>
      <c r="Q48" s="71"/>
      <c r="R48" s="10">
        <f t="shared" ref="R48:R79" si="51">IF($K48&lt;=$F$15,MAX($F$117*5%,R47*$F$129),"")</f>
        <v>1185000000</v>
      </c>
      <c r="S48" s="71"/>
      <c r="T48" s="10">
        <f t="shared" si="18"/>
        <v>1185000000</v>
      </c>
      <c r="U48" s="71"/>
      <c r="V48" s="10">
        <f t="shared" si="39"/>
        <v>0</v>
      </c>
      <c r="W48" s="10">
        <f t="shared" si="19"/>
        <v>0</v>
      </c>
      <c r="X48" s="71"/>
      <c r="Y48" s="10">
        <f t="shared" si="40"/>
        <v>16590000</v>
      </c>
      <c r="Z48" s="10">
        <f t="shared" si="20"/>
        <v>6072684.8867303813</v>
      </c>
      <c r="AA48" s="71"/>
      <c r="AB48" s="10">
        <f t="shared" si="4"/>
        <v>0</v>
      </c>
      <c r="AC48" s="10">
        <f t="shared" si="21"/>
        <v>0</v>
      </c>
      <c r="AD48" s="71"/>
      <c r="AE48" s="10">
        <f t="shared" si="41"/>
        <v>0</v>
      </c>
      <c r="AF48" s="10">
        <f t="shared" si="22"/>
        <v>0</v>
      </c>
      <c r="AG48" s="71"/>
      <c r="AH48" s="10">
        <f t="shared" si="42"/>
        <v>990000000</v>
      </c>
      <c r="AI48" s="10">
        <f t="shared" si="23"/>
        <v>362384450.74521267</v>
      </c>
      <c r="AJ48" s="71"/>
      <c r="AK48" s="10">
        <f t="shared" si="43"/>
        <v>0</v>
      </c>
      <c r="AL48" s="10">
        <f t="shared" si="24"/>
        <v>0</v>
      </c>
      <c r="AM48" s="71"/>
      <c r="AN48" s="10">
        <f t="shared" si="44"/>
        <v>0</v>
      </c>
      <c r="AO48" s="10">
        <f t="shared" si="25"/>
        <v>0</v>
      </c>
      <c r="AP48" s="71"/>
      <c r="AQ48" s="10">
        <f t="shared" si="45"/>
        <v>0</v>
      </c>
      <c r="AR48" s="10">
        <f t="shared" si="26"/>
        <v>0</v>
      </c>
      <c r="AS48" s="71"/>
      <c r="AT48" s="7">
        <f>IF($K48&lt;=$F$15,IF($F$40&lt;&gt;"",$F$40/1000,IF(ISERROR(VLOOKUP($F$3&amp;IF($G$4&lt;&gt;"",$G$4,"")&amp;IF($F$43&lt;&gt;"","_"&amp;$F$43,""),'表3）燃料価格'!$AF$9:$AG$25,2,0)),0,VLOOKUP($I48,'表3）燃料価格'!$A$6:$U$66,VLOOKUP($F$3&amp;IF($G$4&lt;&gt;"",$G$4,"")&amp;IF($F$43&lt;&gt;"","_"&amp;$F$43,""),'表3）燃料価格'!$AF$9:$AG$25,2,0)+VLOOKUP($F$41,'表3）燃料価格'!$AF$28:$AG$29,2,0),0)*IF($F$43="需要地価格",1,$F$8/$F$141))),"")</f>
        <v>0</v>
      </c>
      <c r="AU48" s="71"/>
      <c r="AV48" s="10">
        <f t="shared" si="46"/>
        <v>0</v>
      </c>
      <c r="AW48" s="10">
        <f t="shared" si="27"/>
        <v>0</v>
      </c>
      <c r="AX48" s="71"/>
      <c r="AY48" s="7">
        <f>IF(ISERROR(IF($K48&lt;=$F$15,VLOOKUP($I48,'表4）CO2価格'!$A$7:$E$67,VLOOKUP($F$48,'表4）CO2価格'!$H$10:$I$12,2,0),0)*$F$8/1000,"")),0,IF($K48&lt;=$F$15,VLOOKUP($I48,'表4）CO2価格'!$A$7:$E$67,VLOOKUP($F$48,'表4）CO2価格'!$H$10:$I$12,2,0),0)*$F$8/1000,""))</f>
        <v>0</v>
      </c>
      <c r="AZ48" s="71"/>
      <c r="BA48" s="11">
        <f t="shared" si="47"/>
        <v>0</v>
      </c>
      <c r="BB48" s="10">
        <f t="shared" si="28"/>
        <v>0</v>
      </c>
      <c r="BC48" s="71"/>
      <c r="BD48" s="10">
        <f t="shared" si="48"/>
        <v>0</v>
      </c>
      <c r="BE48" s="10">
        <f t="shared" si="29"/>
        <v>0</v>
      </c>
      <c r="BF48" s="71"/>
      <c r="BG48" s="11">
        <f t="shared" si="49"/>
        <v>0</v>
      </c>
      <c r="BH48" s="10">
        <f t="shared" si="30"/>
        <v>0</v>
      </c>
      <c r="BJ48" s="7" t="str">
        <f t="shared" si="31"/>
        <v/>
      </c>
      <c r="BK48" s="158" t="str">
        <f t="shared" si="32"/>
        <v/>
      </c>
      <c r="BL48" s="158" t="str">
        <f t="shared" si="14"/>
        <v/>
      </c>
      <c r="BM48" s="10"/>
      <c r="BN48" s="10" t="str">
        <f t="shared" si="33"/>
        <v/>
      </c>
      <c r="BO48" s="10" t="str">
        <f t="shared" si="34"/>
        <v/>
      </c>
      <c r="BQ48" s="10">
        <f t="shared" si="50"/>
        <v>194130360</v>
      </c>
      <c r="BR48" s="10">
        <f t="shared" si="35"/>
        <v>71060428.16320242</v>
      </c>
    </row>
    <row r="49" spans="3:70" x14ac:dyDescent="0.15">
      <c r="H49" s="71"/>
      <c r="I49" s="38">
        <f t="shared" si="36"/>
        <v>2054</v>
      </c>
      <c r="J49" s="39"/>
      <c r="K49" s="39">
        <f t="shared" si="37"/>
        <v>35</v>
      </c>
      <c r="L49" s="39"/>
      <c r="M49" s="40">
        <f t="shared" si="0"/>
        <v>0.35538339780838735</v>
      </c>
      <c r="N49" s="39"/>
      <c r="O49" s="72">
        <f t="shared" si="16"/>
        <v>0</v>
      </c>
      <c r="P49" s="41" t="str">
        <f t="shared" si="38"/>
        <v>-</v>
      </c>
      <c r="Q49" s="39"/>
      <c r="R49" s="72">
        <f t="shared" si="51"/>
        <v>1185000000</v>
      </c>
      <c r="S49" s="39"/>
      <c r="T49" s="72">
        <f t="shared" si="18"/>
        <v>1185000000</v>
      </c>
      <c r="U49" s="39"/>
      <c r="V49" s="72">
        <f t="shared" si="39"/>
        <v>0</v>
      </c>
      <c r="W49" s="72">
        <f t="shared" si="19"/>
        <v>0</v>
      </c>
      <c r="X49" s="39"/>
      <c r="Y49" s="72">
        <f t="shared" si="40"/>
        <v>16590000</v>
      </c>
      <c r="Z49" s="72">
        <f t="shared" si="20"/>
        <v>5895810.5696411459</v>
      </c>
      <c r="AA49" s="39"/>
      <c r="AB49" s="72">
        <f t="shared" si="4"/>
        <v>0</v>
      </c>
      <c r="AC49" s="72">
        <f t="shared" si="21"/>
        <v>0</v>
      </c>
      <c r="AD49" s="39"/>
      <c r="AE49" s="72">
        <f t="shared" si="41"/>
        <v>0</v>
      </c>
      <c r="AF49" s="72">
        <f t="shared" si="22"/>
        <v>0</v>
      </c>
      <c r="AG49" s="39"/>
      <c r="AH49" s="72">
        <f t="shared" si="42"/>
        <v>990000000</v>
      </c>
      <c r="AI49" s="72">
        <f t="shared" si="23"/>
        <v>351829563.83030349</v>
      </c>
      <c r="AJ49" s="39"/>
      <c r="AK49" s="72">
        <f t="shared" si="43"/>
        <v>0</v>
      </c>
      <c r="AL49" s="72">
        <f t="shared" si="24"/>
        <v>0</v>
      </c>
      <c r="AM49" s="39"/>
      <c r="AN49" s="72">
        <f t="shared" si="44"/>
        <v>0</v>
      </c>
      <c r="AO49" s="72">
        <f t="shared" si="25"/>
        <v>0</v>
      </c>
      <c r="AP49" s="39"/>
      <c r="AQ49" s="72">
        <f t="shared" si="45"/>
        <v>0</v>
      </c>
      <c r="AR49" s="72">
        <f t="shared" si="26"/>
        <v>0</v>
      </c>
      <c r="AS49" s="39"/>
      <c r="AT49" s="40">
        <f>IF($K49&lt;=$F$15,IF($F$40&lt;&gt;"",$F$40/1000,IF(ISERROR(VLOOKUP($F$3&amp;IF($G$4&lt;&gt;"",$G$4,"")&amp;IF($F$43&lt;&gt;"","_"&amp;$F$43,""),'表3）燃料価格'!$AF$9:$AG$25,2,0)),0,VLOOKUP($I49,'表3）燃料価格'!$A$6:$U$66,VLOOKUP($F$3&amp;IF($G$4&lt;&gt;"",$G$4,"")&amp;IF($F$43&lt;&gt;"","_"&amp;$F$43,""),'表3）燃料価格'!$AF$9:$AG$25,2,0)+VLOOKUP($F$41,'表3）燃料価格'!$AF$28:$AG$29,2,0),0)*IF($F$43="需要地価格",1,$F$8/$F$141))),"")</f>
        <v>0</v>
      </c>
      <c r="AU49" s="39"/>
      <c r="AV49" s="72">
        <f t="shared" si="46"/>
        <v>0</v>
      </c>
      <c r="AW49" s="72">
        <f t="shared" si="27"/>
        <v>0</v>
      </c>
      <c r="AX49" s="39"/>
      <c r="AY49" s="40">
        <f>IF(ISERROR(IF($K49&lt;=$F$15,VLOOKUP($I49,'表4）CO2価格'!$A$7:$E$67,VLOOKUP($F$48,'表4）CO2価格'!$H$10:$I$12,2,0),0)*$F$8/1000,"")),0,IF($K49&lt;=$F$15,VLOOKUP($I49,'表4）CO2価格'!$A$7:$E$67,VLOOKUP($F$48,'表4）CO2価格'!$H$10:$I$12,2,0),0)*$F$8/1000,""))</f>
        <v>0</v>
      </c>
      <c r="AZ49" s="39"/>
      <c r="BA49" s="42">
        <f t="shared" si="47"/>
        <v>0</v>
      </c>
      <c r="BB49" s="72">
        <f t="shared" si="28"/>
        <v>0</v>
      </c>
      <c r="BC49" s="39"/>
      <c r="BD49" s="72">
        <f t="shared" si="48"/>
        <v>0</v>
      </c>
      <c r="BE49" s="72">
        <f t="shared" si="29"/>
        <v>0</v>
      </c>
      <c r="BF49" s="39"/>
      <c r="BG49" s="42">
        <f t="shared" si="49"/>
        <v>0</v>
      </c>
      <c r="BH49" s="72">
        <f t="shared" si="30"/>
        <v>0</v>
      </c>
      <c r="BI49" s="39"/>
      <c r="BJ49" s="40" t="str">
        <f t="shared" si="31"/>
        <v/>
      </c>
      <c r="BK49" s="157" t="str">
        <f t="shared" si="32"/>
        <v/>
      </c>
      <c r="BL49" s="157" t="str">
        <f t="shared" si="14"/>
        <v/>
      </c>
      <c r="BM49" s="72"/>
      <c r="BN49" s="72" t="str">
        <f t="shared" si="33"/>
        <v/>
      </c>
      <c r="BO49" s="72" t="str">
        <f t="shared" si="34"/>
        <v/>
      </c>
      <c r="BP49" s="39"/>
      <c r="BQ49" s="72">
        <f t="shared" si="50"/>
        <v>194130360</v>
      </c>
      <c r="BR49" s="72">
        <f t="shared" si="35"/>
        <v>68990706.954565451</v>
      </c>
    </row>
    <row r="50" spans="3:70" x14ac:dyDescent="0.15">
      <c r="C50" s="4" t="s">
        <v>579</v>
      </c>
      <c r="D50" s="100"/>
      <c r="E50" s="100"/>
      <c r="F50" s="4"/>
      <c r="G50" s="100"/>
      <c r="H50" s="71"/>
      <c r="I50" s="322">
        <f t="shared" si="36"/>
        <v>2055</v>
      </c>
      <c r="J50" s="71"/>
      <c r="K50" s="71">
        <f t="shared" si="37"/>
        <v>36</v>
      </c>
      <c r="L50" s="71"/>
      <c r="M50" s="7">
        <f t="shared" si="0"/>
        <v>0.34503242505668674</v>
      </c>
      <c r="N50" s="71"/>
      <c r="O50" s="10">
        <f t="shared" si="16"/>
        <v>0</v>
      </c>
      <c r="P50" s="29" t="str">
        <f t="shared" si="38"/>
        <v>-</v>
      </c>
      <c r="Q50" s="71"/>
      <c r="R50" s="10">
        <f t="shared" si="51"/>
        <v>1185000000</v>
      </c>
      <c r="S50" s="71"/>
      <c r="T50" s="10">
        <f t="shared" si="18"/>
        <v>1185000000</v>
      </c>
      <c r="U50" s="71"/>
      <c r="V50" s="10">
        <f t="shared" si="39"/>
        <v>0</v>
      </c>
      <c r="W50" s="10">
        <f t="shared" si="19"/>
        <v>0</v>
      </c>
      <c r="X50" s="71"/>
      <c r="Y50" s="10">
        <f t="shared" si="40"/>
        <v>16590000</v>
      </c>
      <c r="Z50" s="10">
        <f t="shared" si="20"/>
        <v>5724087.9316904331</v>
      </c>
      <c r="AA50" s="71"/>
      <c r="AB50" s="10">
        <f t="shared" si="4"/>
        <v>0</v>
      </c>
      <c r="AC50" s="10">
        <f t="shared" si="21"/>
        <v>0</v>
      </c>
      <c r="AD50" s="71"/>
      <c r="AE50" s="10">
        <f t="shared" si="41"/>
        <v>0</v>
      </c>
      <c r="AF50" s="10">
        <f t="shared" si="22"/>
        <v>0</v>
      </c>
      <c r="AG50" s="71"/>
      <c r="AH50" s="10">
        <f t="shared" si="42"/>
        <v>990000000</v>
      </c>
      <c r="AI50" s="10">
        <f t="shared" si="23"/>
        <v>341582100.80611986</v>
      </c>
      <c r="AJ50" s="71"/>
      <c r="AK50" s="10">
        <f t="shared" si="43"/>
        <v>0</v>
      </c>
      <c r="AL50" s="10">
        <f t="shared" si="24"/>
        <v>0</v>
      </c>
      <c r="AM50" s="71"/>
      <c r="AN50" s="10">
        <f t="shared" si="44"/>
        <v>0</v>
      </c>
      <c r="AO50" s="10">
        <f t="shared" si="25"/>
        <v>0</v>
      </c>
      <c r="AP50" s="71"/>
      <c r="AQ50" s="10">
        <f t="shared" si="45"/>
        <v>0</v>
      </c>
      <c r="AR50" s="10">
        <f t="shared" si="26"/>
        <v>0</v>
      </c>
      <c r="AS50" s="71"/>
      <c r="AT50" s="7">
        <f>IF($K50&lt;=$F$15,IF($F$40&lt;&gt;"",$F$40/1000,IF(ISERROR(VLOOKUP($F$3&amp;IF($G$4&lt;&gt;"",$G$4,"")&amp;IF($F$43&lt;&gt;"","_"&amp;$F$43,""),'表3）燃料価格'!$AF$9:$AG$25,2,0)),0,VLOOKUP($I50,'表3）燃料価格'!$A$6:$U$66,VLOOKUP($F$3&amp;IF($G$4&lt;&gt;"",$G$4,"")&amp;IF($F$43&lt;&gt;"","_"&amp;$F$43,""),'表3）燃料価格'!$AF$9:$AG$25,2,0)+VLOOKUP($F$41,'表3）燃料価格'!$AF$28:$AG$29,2,0),0)*IF($F$43="需要地価格",1,$F$8/$F$141))),"")</f>
        <v>0</v>
      </c>
      <c r="AU50" s="71"/>
      <c r="AV50" s="10">
        <f t="shared" si="46"/>
        <v>0</v>
      </c>
      <c r="AW50" s="10">
        <f t="shared" si="27"/>
        <v>0</v>
      </c>
      <c r="AX50" s="71"/>
      <c r="AY50" s="7">
        <f>IF(ISERROR(IF($K50&lt;=$F$15,VLOOKUP($I50,'表4）CO2価格'!$A$7:$E$67,VLOOKUP($F$48,'表4）CO2価格'!$H$10:$I$12,2,0),0)*$F$8/1000,"")),0,IF($K50&lt;=$F$15,VLOOKUP($I50,'表4）CO2価格'!$A$7:$E$67,VLOOKUP($F$48,'表4）CO2価格'!$H$10:$I$12,2,0),0)*$F$8/1000,""))</f>
        <v>0</v>
      </c>
      <c r="AZ50" s="71"/>
      <c r="BA50" s="11">
        <f t="shared" si="47"/>
        <v>0</v>
      </c>
      <c r="BB50" s="10">
        <f t="shared" si="28"/>
        <v>0</v>
      </c>
      <c r="BC50" s="71"/>
      <c r="BD50" s="10">
        <f t="shared" si="48"/>
        <v>0</v>
      </c>
      <c r="BE50" s="10">
        <f t="shared" si="29"/>
        <v>0</v>
      </c>
      <c r="BF50" s="71"/>
      <c r="BG50" s="11">
        <f t="shared" si="49"/>
        <v>0</v>
      </c>
      <c r="BH50" s="10">
        <f t="shared" si="30"/>
        <v>0</v>
      </c>
      <c r="BJ50" s="7" t="str">
        <f t="shared" si="31"/>
        <v/>
      </c>
      <c r="BK50" s="158" t="str">
        <f t="shared" si="32"/>
        <v/>
      </c>
      <c r="BL50" s="158" t="str">
        <f t="shared" si="14"/>
        <v/>
      </c>
      <c r="BM50" s="10"/>
      <c r="BN50" s="10" t="str">
        <f t="shared" si="33"/>
        <v/>
      </c>
      <c r="BO50" s="10" t="str">
        <f t="shared" si="34"/>
        <v/>
      </c>
      <c r="BQ50" s="10">
        <f t="shared" si="50"/>
        <v>194130360</v>
      </c>
      <c r="BR50" s="10">
        <f t="shared" si="35"/>
        <v>66981268.887927614</v>
      </c>
    </row>
    <row r="51" spans="3:70" x14ac:dyDescent="0.15">
      <c r="H51" s="71"/>
      <c r="I51" s="38">
        <f t="shared" si="36"/>
        <v>2056</v>
      </c>
      <c r="J51" s="39"/>
      <c r="K51" s="39">
        <f t="shared" si="37"/>
        <v>37</v>
      </c>
      <c r="L51" s="39"/>
      <c r="M51" s="40">
        <f t="shared" si="0"/>
        <v>0.33498293694823961</v>
      </c>
      <c r="N51" s="39"/>
      <c r="O51" s="72">
        <f t="shared" si="16"/>
        <v>0</v>
      </c>
      <c r="P51" s="41" t="str">
        <f t="shared" si="38"/>
        <v>-</v>
      </c>
      <c r="Q51" s="39"/>
      <c r="R51" s="72">
        <f t="shared" si="51"/>
        <v>1185000000</v>
      </c>
      <c r="S51" s="39"/>
      <c r="T51" s="72">
        <f t="shared" si="18"/>
        <v>1185000000</v>
      </c>
      <c r="U51" s="39"/>
      <c r="V51" s="72">
        <f t="shared" si="39"/>
        <v>0</v>
      </c>
      <c r="W51" s="72">
        <f t="shared" si="19"/>
        <v>0</v>
      </c>
      <c r="X51" s="39"/>
      <c r="Y51" s="72">
        <f t="shared" si="40"/>
        <v>16590000</v>
      </c>
      <c r="Z51" s="72">
        <f t="shared" si="20"/>
        <v>5557366.9239712954</v>
      </c>
      <c r="AA51" s="39"/>
      <c r="AB51" s="72">
        <f t="shared" si="4"/>
        <v>0</v>
      </c>
      <c r="AC51" s="72">
        <f t="shared" si="21"/>
        <v>0</v>
      </c>
      <c r="AD51" s="39"/>
      <c r="AE51" s="72">
        <f t="shared" si="41"/>
        <v>0</v>
      </c>
      <c r="AF51" s="72">
        <f t="shared" si="22"/>
        <v>0</v>
      </c>
      <c r="AG51" s="39"/>
      <c r="AH51" s="72">
        <f t="shared" si="42"/>
        <v>990000000</v>
      </c>
      <c r="AI51" s="72">
        <f t="shared" si="23"/>
        <v>331633107.57875723</v>
      </c>
      <c r="AJ51" s="39"/>
      <c r="AK51" s="72">
        <f t="shared" si="43"/>
        <v>0</v>
      </c>
      <c r="AL51" s="72">
        <f t="shared" si="24"/>
        <v>0</v>
      </c>
      <c r="AM51" s="39"/>
      <c r="AN51" s="72">
        <f t="shared" si="44"/>
        <v>0</v>
      </c>
      <c r="AO51" s="72">
        <f t="shared" si="25"/>
        <v>0</v>
      </c>
      <c r="AP51" s="39"/>
      <c r="AQ51" s="72">
        <f t="shared" si="45"/>
        <v>0</v>
      </c>
      <c r="AR51" s="72">
        <f t="shared" si="26"/>
        <v>0</v>
      </c>
      <c r="AS51" s="39"/>
      <c r="AT51" s="40">
        <f>IF($K51&lt;=$F$15,IF($F$40&lt;&gt;"",$F$40/1000,IF(ISERROR(VLOOKUP($F$3&amp;IF($G$4&lt;&gt;"",$G$4,"")&amp;IF($F$43&lt;&gt;"","_"&amp;$F$43,""),'表3）燃料価格'!$AF$9:$AG$25,2,0)),0,VLOOKUP($I51,'表3）燃料価格'!$A$6:$U$66,VLOOKUP($F$3&amp;IF($G$4&lt;&gt;"",$G$4,"")&amp;IF($F$43&lt;&gt;"","_"&amp;$F$43,""),'表3）燃料価格'!$AF$9:$AG$25,2,0)+VLOOKUP($F$41,'表3）燃料価格'!$AF$28:$AG$29,2,0),0)*IF($F$43="需要地価格",1,$F$8/$F$141))),"")</f>
        <v>0</v>
      </c>
      <c r="AU51" s="39"/>
      <c r="AV51" s="72">
        <f t="shared" si="46"/>
        <v>0</v>
      </c>
      <c r="AW51" s="72">
        <f t="shared" si="27"/>
        <v>0</v>
      </c>
      <c r="AX51" s="39"/>
      <c r="AY51" s="40">
        <f>IF(ISERROR(IF($K51&lt;=$F$15,VLOOKUP($I51,'表4）CO2価格'!$A$7:$E$67,VLOOKUP($F$48,'表4）CO2価格'!$H$10:$I$12,2,0),0)*$F$8/1000,"")),0,IF($K51&lt;=$F$15,VLOOKUP($I51,'表4）CO2価格'!$A$7:$E$67,VLOOKUP($F$48,'表4）CO2価格'!$H$10:$I$12,2,0),0)*$F$8/1000,""))</f>
        <v>0</v>
      </c>
      <c r="AZ51" s="39"/>
      <c r="BA51" s="42">
        <f t="shared" si="47"/>
        <v>0</v>
      </c>
      <c r="BB51" s="72">
        <f t="shared" si="28"/>
        <v>0</v>
      </c>
      <c r="BC51" s="39"/>
      <c r="BD51" s="72">
        <f t="shared" si="48"/>
        <v>0</v>
      </c>
      <c r="BE51" s="72">
        <f t="shared" si="29"/>
        <v>0</v>
      </c>
      <c r="BF51" s="39"/>
      <c r="BG51" s="42">
        <f t="shared" si="49"/>
        <v>0</v>
      </c>
      <c r="BH51" s="72">
        <f t="shared" si="30"/>
        <v>0</v>
      </c>
      <c r="BI51" s="39"/>
      <c r="BJ51" s="40" t="str">
        <f t="shared" si="31"/>
        <v/>
      </c>
      <c r="BK51" s="157" t="str">
        <f t="shared" si="32"/>
        <v/>
      </c>
      <c r="BL51" s="157" t="str">
        <f t="shared" si="14"/>
        <v/>
      </c>
      <c r="BM51" s="72"/>
      <c r="BN51" s="72" t="str">
        <f t="shared" si="33"/>
        <v/>
      </c>
      <c r="BO51" s="72" t="str">
        <f t="shared" si="34"/>
        <v/>
      </c>
      <c r="BP51" s="39"/>
      <c r="BQ51" s="72">
        <f t="shared" si="50"/>
        <v>194130360</v>
      </c>
      <c r="BR51" s="72">
        <f t="shared" si="35"/>
        <v>65030358.143619053</v>
      </c>
    </row>
    <row r="52" spans="3:70" x14ac:dyDescent="0.15">
      <c r="D52" s="84" t="s">
        <v>185</v>
      </c>
      <c r="F52" s="478"/>
      <c r="G52" s="84" t="s">
        <v>549</v>
      </c>
      <c r="H52" s="71"/>
      <c r="I52" s="322">
        <f t="shared" si="36"/>
        <v>2057</v>
      </c>
      <c r="J52" s="71"/>
      <c r="K52" s="71">
        <f t="shared" si="37"/>
        <v>38</v>
      </c>
      <c r="L52" s="71"/>
      <c r="M52" s="7">
        <f t="shared" si="0"/>
        <v>0.3252261523769317</v>
      </c>
      <c r="N52" s="71"/>
      <c r="O52" s="10">
        <f t="shared" si="16"/>
        <v>0</v>
      </c>
      <c r="P52" s="29" t="str">
        <f t="shared" si="38"/>
        <v>-</v>
      </c>
      <c r="Q52" s="71"/>
      <c r="R52" s="10">
        <f t="shared" si="51"/>
        <v>1185000000</v>
      </c>
      <c r="S52" s="71"/>
      <c r="T52" s="10">
        <f t="shared" si="18"/>
        <v>1185000000</v>
      </c>
      <c r="U52" s="71"/>
      <c r="V52" s="10">
        <f t="shared" si="39"/>
        <v>0</v>
      </c>
      <c r="W52" s="10">
        <f t="shared" si="19"/>
        <v>0</v>
      </c>
      <c r="X52" s="71"/>
      <c r="Y52" s="10">
        <f t="shared" si="40"/>
        <v>16590000</v>
      </c>
      <c r="Z52" s="10">
        <f t="shared" si="20"/>
        <v>5395501.8679332966</v>
      </c>
      <c r="AA52" s="71"/>
      <c r="AB52" s="10">
        <f t="shared" si="4"/>
        <v>0</v>
      </c>
      <c r="AC52" s="10">
        <f t="shared" si="21"/>
        <v>0</v>
      </c>
      <c r="AD52" s="71"/>
      <c r="AE52" s="10">
        <f t="shared" si="41"/>
        <v>0</v>
      </c>
      <c r="AF52" s="10">
        <f t="shared" si="22"/>
        <v>0</v>
      </c>
      <c r="AG52" s="71"/>
      <c r="AH52" s="10">
        <f t="shared" si="42"/>
        <v>990000000</v>
      </c>
      <c r="AI52" s="10">
        <f t="shared" si="23"/>
        <v>321973890.85316241</v>
      </c>
      <c r="AJ52" s="71"/>
      <c r="AK52" s="10">
        <f t="shared" si="43"/>
        <v>0</v>
      </c>
      <c r="AL52" s="10">
        <f t="shared" si="24"/>
        <v>0</v>
      </c>
      <c r="AM52" s="71"/>
      <c r="AN52" s="10">
        <f t="shared" si="44"/>
        <v>0</v>
      </c>
      <c r="AO52" s="10">
        <f t="shared" si="25"/>
        <v>0</v>
      </c>
      <c r="AP52" s="71"/>
      <c r="AQ52" s="10">
        <f t="shared" si="45"/>
        <v>0</v>
      </c>
      <c r="AR52" s="10">
        <f t="shared" si="26"/>
        <v>0</v>
      </c>
      <c r="AS52" s="71"/>
      <c r="AT52" s="7">
        <f>IF($K52&lt;=$F$15,IF($F$40&lt;&gt;"",$F$40/1000,IF(ISERROR(VLOOKUP($F$3&amp;IF($G$4&lt;&gt;"",$G$4,"")&amp;IF($F$43&lt;&gt;"","_"&amp;$F$43,""),'表3）燃料価格'!$AF$9:$AG$25,2,0)),0,VLOOKUP($I52,'表3）燃料価格'!$A$6:$U$66,VLOOKUP($F$3&amp;IF($G$4&lt;&gt;"",$G$4,"")&amp;IF($F$43&lt;&gt;"","_"&amp;$F$43,""),'表3）燃料価格'!$AF$9:$AG$25,2,0)+VLOOKUP($F$41,'表3）燃料価格'!$AF$28:$AG$29,2,0),0)*IF($F$43="需要地価格",1,$F$8/$F$141))),"")</f>
        <v>0</v>
      </c>
      <c r="AU52" s="71"/>
      <c r="AV52" s="10">
        <f t="shared" si="46"/>
        <v>0</v>
      </c>
      <c r="AW52" s="10">
        <f t="shared" si="27"/>
        <v>0</v>
      </c>
      <c r="AX52" s="71"/>
      <c r="AY52" s="7">
        <f>IF(ISERROR(IF($K52&lt;=$F$15,VLOOKUP($I52,'表4）CO2価格'!$A$7:$E$67,VLOOKUP($F$48,'表4）CO2価格'!$H$10:$I$12,2,0),0)*$F$8/1000,"")),0,IF($K52&lt;=$F$15,VLOOKUP($I52,'表4）CO2価格'!$A$7:$E$67,VLOOKUP($F$48,'表4）CO2価格'!$H$10:$I$12,2,0),0)*$F$8/1000,""))</f>
        <v>0</v>
      </c>
      <c r="AZ52" s="71"/>
      <c r="BA52" s="11">
        <f t="shared" si="47"/>
        <v>0</v>
      </c>
      <c r="BB52" s="10">
        <f t="shared" si="28"/>
        <v>0</v>
      </c>
      <c r="BC52" s="71"/>
      <c r="BD52" s="10">
        <f t="shared" si="48"/>
        <v>0</v>
      </c>
      <c r="BE52" s="10">
        <f t="shared" si="29"/>
        <v>0</v>
      </c>
      <c r="BF52" s="71"/>
      <c r="BG52" s="11">
        <f t="shared" si="49"/>
        <v>0</v>
      </c>
      <c r="BH52" s="10">
        <f t="shared" si="30"/>
        <v>0</v>
      </c>
      <c r="BJ52" s="7" t="str">
        <f t="shared" si="31"/>
        <v/>
      </c>
      <c r="BK52" s="158" t="str">
        <f t="shared" si="32"/>
        <v/>
      </c>
      <c r="BL52" s="158" t="str">
        <f t="shared" si="14"/>
        <v/>
      </c>
      <c r="BM52" s="10"/>
      <c r="BN52" s="10" t="str">
        <f t="shared" si="33"/>
        <v/>
      </c>
      <c r="BO52" s="10" t="str">
        <f t="shared" si="34"/>
        <v/>
      </c>
      <c r="BQ52" s="10">
        <f t="shared" si="50"/>
        <v>194130360</v>
      </c>
      <c r="BR52" s="10">
        <f t="shared" si="35"/>
        <v>63136270.042348608</v>
      </c>
    </row>
    <row r="53" spans="3:70" x14ac:dyDescent="0.15">
      <c r="D53" s="84" t="s">
        <v>580</v>
      </c>
      <c r="F53" s="475"/>
      <c r="G53" s="84" t="s">
        <v>549</v>
      </c>
      <c r="H53" s="71"/>
      <c r="I53" s="38">
        <f t="shared" si="36"/>
        <v>2058</v>
      </c>
      <c r="J53" s="39"/>
      <c r="K53" s="39">
        <f t="shared" si="37"/>
        <v>39</v>
      </c>
      <c r="L53" s="39"/>
      <c r="M53" s="40">
        <f t="shared" si="0"/>
        <v>0.31575354599702099</v>
      </c>
      <c r="N53" s="39"/>
      <c r="O53" s="72">
        <f t="shared" si="16"/>
        <v>0</v>
      </c>
      <c r="P53" s="41" t="str">
        <f t="shared" si="38"/>
        <v>-</v>
      </c>
      <c r="Q53" s="39"/>
      <c r="R53" s="72">
        <f t="shared" si="51"/>
        <v>1185000000</v>
      </c>
      <c r="S53" s="39"/>
      <c r="T53" s="72">
        <f t="shared" si="18"/>
        <v>1185000000</v>
      </c>
      <c r="U53" s="39"/>
      <c r="V53" s="72">
        <f t="shared" si="39"/>
        <v>0</v>
      </c>
      <c r="W53" s="72">
        <f t="shared" si="19"/>
        <v>0</v>
      </c>
      <c r="X53" s="39"/>
      <c r="Y53" s="72">
        <f t="shared" si="40"/>
        <v>16590000</v>
      </c>
      <c r="Z53" s="72">
        <f t="shared" si="20"/>
        <v>5238351.3280905783</v>
      </c>
      <c r="AA53" s="39"/>
      <c r="AB53" s="72">
        <f t="shared" si="4"/>
        <v>0</v>
      </c>
      <c r="AC53" s="72">
        <f t="shared" si="21"/>
        <v>0</v>
      </c>
      <c r="AD53" s="39"/>
      <c r="AE53" s="72">
        <f t="shared" si="41"/>
        <v>0</v>
      </c>
      <c r="AF53" s="72">
        <f t="shared" si="22"/>
        <v>0</v>
      </c>
      <c r="AG53" s="39"/>
      <c r="AH53" s="72">
        <f t="shared" si="42"/>
        <v>990000000</v>
      </c>
      <c r="AI53" s="72">
        <f t="shared" si="23"/>
        <v>312596010.53705078</v>
      </c>
      <c r="AJ53" s="39"/>
      <c r="AK53" s="72">
        <f t="shared" si="43"/>
        <v>0</v>
      </c>
      <c r="AL53" s="72">
        <f t="shared" si="24"/>
        <v>0</v>
      </c>
      <c r="AM53" s="39"/>
      <c r="AN53" s="72">
        <f t="shared" si="44"/>
        <v>0</v>
      </c>
      <c r="AO53" s="72">
        <f t="shared" si="25"/>
        <v>0</v>
      </c>
      <c r="AP53" s="39"/>
      <c r="AQ53" s="72">
        <f t="shared" si="45"/>
        <v>0</v>
      </c>
      <c r="AR53" s="72">
        <f t="shared" si="26"/>
        <v>0</v>
      </c>
      <c r="AS53" s="39"/>
      <c r="AT53" s="40">
        <f>IF($K53&lt;=$F$15,IF($F$40&lt;&gt;"",$F$40/1000,IF(ISERROR(VLOOKUP($F$3&amp;IF($G$4&lt;&gt;"",$G$4,"")&amp;IF($F$43&lt;&gt;"","_"&amp;$F$43,""),'表3）燃料価格'!$AF$9:$AG$25,2,0)),0,VLOOKUP($I53,'表3）燃料価格'!$A$6:$U$66,VLOOKUP($F$3&amp;IF($G$4&lt;&gt;"",$G$4,"")&amp;IF($F$43&lt;&gt;"","_"&amp;$F$43,""),'表3）燃料価格'!$AF$9:$AG$25,2,0)+VLOOKUP($F$41,'表3）燃料価格'!$AF$28:$AG$29,2,0),0)*IF($F$43="需要地価格",1,$F$8/$F$141))),"")</f>
        <v>0</v>
      </c>
      <c r="AU53" s="39"/>
      <c r="AV53" s="72">
        <f t="shared" si="46"/>
        <v>0</v>
      </c>
      <c r="AW53" s="72">
        <f t="shared" si="27"/>
        <v>0</v>
      </c>
      <c r="AX53" s="39"/>
      <c r="AY53" s="40">
        <f>IF(ISERROR(IF($K53&lt;=$F$15,VLOOKUP($I53,'表4）CO2価格'!$A$7:$E$67,VLOOKUP($F$48,'表4）CO2価格'!$H$10:$I$12,2,0),0)*$F$8/1000,"")),0,IF($K53&lt;=$F$15,VLOOKUP($I53,'表4）CO2価格'!$A$7:$E$67,VLOOKUP($F$48,'表4）CO2価格'!$H$10:$I$12,2,0),0)*$F$8/1000,""))</f>
        <v>0</v>
      </c>
      <c r="AZ53" s="39"/>
      <c r="BA53" s="42">
        <f t="shared" si="47"/>
        <v>0</v>
      </c>
      <c r="BB53" s="72">
        <f t="shared" si="28"/>
        <v>0</v>
      </c>
      <c r="BC53" s="39"/>
      <c r="BD53" s="72">
        <f t="shared" si="48"/>
        <v>0</v>
      </c>
      <c r="BE53" s="72">
        <f t="shared" si="29"/>
        <v>0</v>
      </c>
      <c r="BF53" s="39"/>
      <c r="BG53" s="42">
        <f t="shared" si="49"/>
        <v>0</v>
      </c>
      <c r="BH53" s="72">
        <f t="shared" si="30"/>
        <v>0</v>
      </c>
      <c r="BI53" s="39"/>
      <c r="BJ53" s="40" t="str">
        <f t="shared" si="31"/>
        <v/>
      </c>
      <c r="BK53" s="157" t="str">
        <f t="shared" si="32"/>
        <v/>
      </c>
      <c r="BL53" s="157" t="str">
        <f t="shared" si="14"/>
        <v/>
      </c>
      <c r="BM53" s="72"/>
      <c r="BN53" s="72" t="str">
        <f t="shared" si="33"/>
        <v/>
      </c>
      <c r="BO53" s="72" t="str">
        <f t="shared" si="34"/>
        <v/>
      </c>
      <c r="BP53" s="39"/>
      <c r="BQ53" s="72">
        <f t="shared" si="50"/>
        <v>194130360</v>
      </c>
      <c r="BR53" s="72">
        <f t="shared" si="35"/>
        <v>61297349.555678241</v>
      </c>
    </row>
    <row r="54" spans="3:70" x14ac:dyDescent="0.15">
      <c r="D54" s="84" t="s">
        <v>581</v>
      </c>
      <c r="F54" s="475"/>
      <c r="G54" s="84" t="s">
        <v>549</v>
      </c>
      <c r="H54" s="71"/>
      <c r="I54" s="322">
        <f t="shared" si="36"/>
        <v>2059</v>
      </c>
      <c r="J54" s="71"/>
      <c r="K54" s="71">
        <f t="shared" si="37"/>
        <v>40</v>
      </c>
      <c r="L54" s="71"/>
      <c r="M54" s="7">
        <f t="shared" si="0"/>
        <v>0.30655684077380685</v>
      </c>
      <c r="N54" s="71"/>
      <c r="O54" s="10">
        <f t="shared" si="16"/>
        <v>0</v>
      </c>
      <c r="P54" s="29" t="str">
        <f t="shared" si="38"/>
        <v>-</v>
      </c>
      <c r="Q54" s="71"/>
      <c r="R54" s="10">
        <f t="shared" si="51"/>
        <v>1185000000</v>
      </c>
      <c r="S54" s="71"/>
      <c r="T54" s="10">
        <f t="shared" si="18"/>
        <v>1185000000</v>
      </c>
      <c r="U54" s="71"/>
      <c r="V54" s="10">
        <f t="shared" si="39"/>
        <v>0</v>
      </c>
      <c r="W54" s="10">
        <f t="shared" si="19"/>
        <v>0</v>
      </c>
      <c r="X54" s="71"/>
      <c r="Y54" s="10">
        <f t="shared" si="40"/>
        <v>16590000</v>
      </c>
      <c r="Z54" s="10">
        <f t="shared" si="20"/>
        <v>5085777.9884374561</v>
      </c>
      <c r="AA54" s="71"/>
      <c r="AB54" s="10">
        <f t="shared" si="4"/>
        <v>0</v>
      </c>
      <c r="AC54" s="10">
        <f t="shared" si="21"/>
        <v>0</v>
      </c>
      <c r="AD54" s="71"/>
      <c r="AE54" s="10">
        <f t="shared" si="41"/>
        <v>0</v>
      </c>
      <c r="AF54" s="10">
        <f t="shared" si="22"/>
        <v>0</v>
      </c>
      <c r="AG54" s="71"/>
      <c r="AH54" s="10">
        <f t="shared" si="42"/>
        <v>990000000</v>
      </c>
      <c r="AI54" s="10">
        <f t="shared" si="23"/>
        <v>303491272.36606878</v>
      </c>
      <c r="AJ54" s="71"/>
      <c r="AK54" s="10">
        <f t="shared" si="43"/>
        <v>0</v>
      </c>
      <c r="AL54" s="10">
        <f t="shared" si="24"/>
        <v>0</v>
      </c>
      <c r="AM54" s="71"/>
      <c r="AN54" s="10">
        <f t="shared" si="44"/>
        <v>0</v>
      </c>
      <c r="AO54" s="10">
        <f t="shared" si="25"/>
        <v>0</v>
      </c>
      <c r="AP54" s="71"/>
      <c r="AQ54" s="10">
        <f t="shared" si="45"/>
        <v>0</v>
      </c>
      <c r="AR54" s="10">
        <f t="shared" si="26"/>
        <v>0</v>
      </c>
      <c r="AS54" s="71"/>
      <c r="AT54" s="7">
        <f>IF($K54&lt;=$F$15,IF($F$40&lt;&gt;"",$F$40/1000,IF(ISERROR(VLOOKUP($F$3&amp;IF($G$4&lt;&gt;"",$G$4,"")&amp;IF($F$43&lt;&gt;"","_"&amp;$F$43,""),'表3）燃料価格'!$AF$9:$AG$25,2,0)),0,VLOOKUP($I54,'表3）燃料価格'!$A$6:$U$66,VLOOKUP($F$3&amp;IF($G$4&lt;&gt;"",$G$4,"")&amp;IF($F$43&lt;&gt;"","_"&amp;$F$43,""),'表3）燃料価格'!$AF$9:$AG$25,2,0)+VLOOKUP($F$41,'表3）燃料価格'!$AF$28:$AG$29,2,0),0)*IF($F$43="需要地価格",1,$F$8/$F$141))),"")</f>
        <v>0</v>
      </c>
      <c r="AU54" s="71"/>
      <c r="AV54" s="10">
        <f t="shared" si="46"/>
        <v>0</v>
      </c>
      <c r="AW54" s="10">
        <f t="shared" si="27"/>
        <v>0</v>
      </c>
      <c r="AX54" s="71"/>
      <c r="AY54" s="7">
        <f>IF(ISERROR(IF($K54&lt;=$F$15,VLOOKUP($I54,'表4）CO2価格'!$A$7:$E$67,VLOOKUP($F$48,'表4）CO2価格'!$H$10:$I$12,2,0),0)*$F$8/1000,"")),0,IF($K54&lt;=$F$15,VLOOKUP($I54,'表4）CO2価格'!$A$7:$E$67,VLOOKUP($F$48,'表4）CO2価格'!$H$10:$I$12,2,0),0)*$F$8/1000,""))</f>
        <v>0</v>
      </c>
      <c r="AZ54" s="71"/>
      <c r="BA54" s="11">
        <f t="shared" si="47"/>
        <v>0</v>
      </c>
      <c r="BB54" s="10">
        <f t="shared" si="28"/>
        <v>0</v>
      </c>
      <c r="BC54" s="71"/>
      <c r="BD54" s="10">
        <f t="shared" si="48"/>
        <v>0</v>
      </c>
      <c r="BE54" s="10">
        <f t="shared" si="29"/>
        <v>0</v>
      </c>
      <c r="BF54" s="71"/>
      <c r="BG54" s="11">
        <f t="shared" si="49"/>
        <v>0</v>
      </c>
      <c r="BH54" s="10">
        <f t="shared" si="30"/>
        <v>0</v>
      </c>
      <c r="BJ54" s="7" t="str">
        <f t="shared" si="31"/>
        <v/>
      </c>
      <c r="BK54" s="158" t="str">
        <f t="shared" si="32"/>
        <v/>
      </c>
      <c r="BL54" s="158" t="str">
        <f t="shared" si="14"/>
        <v/>
      </c>
      <c r="BM54" s="10"/>
      <c r="BN54" s="10" t="str">
        <f t="shared" si="33"/>
        <v/>
      </c>
      <c r="BO54" s="10" t="str">
        <f t="shared" si="34"/>
        <v/>
      </c>
      <c r="BQ54" s="10">
        <f t="shared" si="50"/>
        <v>194130360</v>
      </c>
      <c r="BR54" s="10">
        <f t="shared" si="35"/>
        <v>59511989.859881803</v>
      </c>
    </row>
    <row r="55" spans="3:70" ht="16.5" x14ac:dyDescent="0.15">
      <c r="D55" s="84" t="s">
        <v>582</v>
      </c>
      <c r="F55" s="475"/>
      <c r="G55" s="71" t="s">
        <v>561</v>
      </c>
      <c r="H55" s="71"/>
      <c r="I55" s="38">
        <f>I54+1</f>
        <v>2060</v>
      </c>
      <c r="J55" s="39"/>
      <c r="K55" s="39">
        <f>IF(I55&lt;&gt;"",K54+1,"")</f>
        <v>41</v>
      </c>
      <c r="L55" s="39"/>
      <c r="M55" s="40">
        <f t="shared" si="0"/>
        <v>0.29762800075126877</v>
      </c>
      <c r="N55" s="39"/>
      <c r="O55" s="72" t="str">
        <f t="shared" si="16"/>
        <v/>
      </c>
      <c r="P55" s="41" t="str">
        <f t="shared" si="38"/>
        <v/>
      </c>
      <c r="Q55" s="39"/>
      <c r="R55" s="72" t="str">
        <f t="shared" si="51"/>
        <v/>
      </c>
      <c r="S55" s="39"/>
      <c r="T55" s="72" t="str">
        <f t="shared" si="18"/>
        <v/>
      </c>
      <c r="U55" s="39"/>
      <c r="V55" s="72" t="str">
        <f t="shared" si="39"/>
        <v/>
      </c>
      <c r="W55" s="72" t="str">
        <f t="shared" si="19"/>
        <v/>
      </c>
      <c r="X55" s="39"/>
      <c r="Y55" s="72" t="str">
        <f t="shared" si="40"/>
        <v/>
      </c>
      <c r="Z55" s="72" t="str">
        <f t="shared" si="20"/>
        <v/>
      </c>
      <c r="AA55" s="39"/>
      <c r="AB55" s="72">
        <f t="shared" si="4"/>
        <v>1185000000</v>
      </c>
      <c r="AC55" s="72">
        <f t="shared" si="21"/>
        <v>352689180.89025348</v>
      </c>
      <c r="AD55" s="39"/>
      <c r="AE55" s="72" t="str">
        <f t="shared" si="41"/>
        <v/>
      </c>
      <c r="AF55" s="72" t="str">
        <f t="shared" si="22"/>
        <v/>
      </c>
      <c r="AG55" s="39"/>
      <c r="AH55" s="72" t="str">
        <f t="shared" si="42"/>
        <v/>
      </c>
      <c r="AI55" s="72" t="str">
        <f t="shared" si="23"/>
        <v/>
      </c>
      <c r="AJ55" s="39"/>
      <c r="AK55" s="72" t="str">
        <f t="shared" si="43"/>
        <v/>
      </c>
      <c r="AL55" s="72" t="str">
        <f t="shared" si="24"/>
        <v/>
      </c>
      <c r="AM55" s="39"/>
      <c r="AN55" s="72" t="str">
        <f t="shared" si="44"/>
        <v/>
      </c>
      <c r="AO55" s="72" t="str">
        <f t="shared" si="25"/>
        <v/>
      </c>
      <c r="AP55" s="39"/>
      <c r="AQ55" s="72" t="str">
        <f t="shared" si="45"/>
        <v/>
      </c>
      <c r="AR55" s="72" t="str">
        <f t="shared" si="26"/>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46"/>
        <v/>
      </c>
      <c r="AW55" s="72" t="str">
        <f t="shared" si="27"/>
        <v/>
      </c>
      <c r="AX55" s="39"/>
      <c r="AY55" s="40" t="str">
        <f>IF(ISERROR(IF($K55&lt;=$F$15,VLOOKUP($I55,'表4）CO2価格'!$A$7:$E$67,VLOOKUP($F$48,'表4）CO2価格'!$H$10:$I$12,2,0),0)*$F$8/1000,"")),0,IF($K55&lt;=$F$15,VLOOKUP($I55,'表4）CO2価格'!$A$7:$E$67,VLOOKUP($F$48,'表4）CO2価格'!$H$10:$I$12,2,0),0)*$F$8/1000,""))</f>
        <v/>
      </c>
      <c r="AZ55" s="39"/>
      <c r="BA55" s="42" t="str">
        <f t="shared" si="47"/>
        <v/>
      </c>
      <c r="BB55" s="72" t="str">
        <f t="shared" si="28"/>
        <v/>
      </c>
      <c r="BC55" s="39"/>
      <c r="BD55" s="72" t="str">
        <f t="shared" si="48"/>
        <v/>
      </c>
      <c r="BE55" s="72" t="str">
        <f t="shared" si="29"/>
        <v/>
      </c>
      <c r="BF55" s="39"/>
      <c r="BG55" s="42" t="str">
        <f t="shared" si="49"/>
        <v/>
      </c>
      <c r="BH55" s="72" t="str">
        <f t="shared" si="30"/>
        <v/>
      </c>
      <c r="BI55" s="39"/>
      <c r="BJ55" s="40" t="str">
        <f t="shared" si="31"/>
        <v/>
      </c>
      <c r="BK55" s="157" t="str">
        <f t="shared" si="32"/>
        <v/>
      </c>
      <c r="BL55" s="157" t="str">
        <f t="shared" si="14"/>
        <v/>
      </c>
      <c r="BM55" s="72"/>
      <c r="BN55" s="72" t="str">
        <f t="shared" si="33"/>
        <v/>
      </c>
      <c r="BO55" s="72" t="str">
        <f t="shared" si="34"/>
        <v/>
      </c>
      <c r="BP55" s="39"/>
      <c r="BQ55" s="72" t="str">
        <f t="shared" si="50"/>
        <v/>
      </c>
      <c r="BR55" s="72" t="str">
        <f t="shared" si="35"/>
        <v/>
      </c>
    </row>
    <row r="56" spans="3:70" x14ac:dyDescent="0.15">
      <c r="D56" s="84" t="s">
        <v>583</v>
      </c>
      <c r="F56" s="481"/>
      <c r="G56" s="84" t="s">
        <v>574</v>
      </c>
      <c r="H56" s="71"/>
      <c r="I56" s="322">
        <f t="shared" si="36"/>
        <v>2061</v>
      </c>
      <c r="J56" s="71"/>
      <c r="K56" s="71">
        <f t="shared" si="37"/>
        <v>42</v>
      </c>
      <c r="L56" s="71"/>
      <c r="M56" s="7">
        <f t="shared" si="0"/>
        <v>0.28895922403035801</v>
      </c>
      <c r="N56" s="71"/>
      <c r="O56" s="10" t="str">
        <f t="shared" si="16"/>
        <v/>
      </c>
      <c r="P56" s="29" t="str">
        <f t="shared" si="38"/>
        <v/>
      </c>
      <c r="Q56" s="71"/>
      <c r="R56" s="10" t="str">
        <f t="shared" si="51"/>
        <v/>
      </c>
      <c r="S56" s="71"/>
      <c r="T56" s="10" t="str">
        <f t="shared" si="18"/>
        <v/>
      </c>
      <c r="U56" s="71"/>
      <c r="V56" s="10" t="str">
        <f t="shared" si="39"/>
        <v/>
      </c>
      <c r="W56" s="10" t="str">
        <f t="shared" si="19"/>
        <v/>
      </c>
      <c r="X56" s="71"/>
      <c r="Y56" s="10" t="str">
        <f t="shared" si="40"/>
        <v/>
      </c>
      <c r="Z56" s="10" t="str">
        <f t="shared" si="20"/>
        <v/>
      </c>
      <c r="AA56" s="71"/>
      <c r="AB56" s="10" t="str">
        <f t="shared" si="4"/>
        <v/>
      </c>
      <c r="AC56" s="10" t="str">
        <f t="shared" si="21"/>
        <v/>
      </c>
      <c r="AD56" s="71"/>
      <c r="AE56" s="10" t="str">
        <f t="shared" si="41"/>
        <v/>
      </c>
      <c r="AF56" s="10" t="str">
        <f t="shared" si="22"/>
        <v/>
      </c>
      <c r="AG56" s="71"/>
      <c r="AH56" s="10" t="str">
        <f t="shared" si="42"/>
        <v/>
      </c>
      <c r="AI56" s="10" t="str">
        <f t="shared" si="23"/>
        <v/>
      </c>
      <c r="AJ56" s="71"/>
      <c r="AK56" s="10" t="str">
        <f t="shared" si="43"/>
        <v/>
      </c>
      <c r="AL56" s="10" t="str">
        <f t="shared" si="24"/>
        <v/>
      </c>
      <c r="AM56" s="71"/>
      <c r="AN56" s="10" t="str">
        <f t="shared" si="44"/>
        <v/>
      </c>
      <c r="AO56" s="10" t="str">
        <f t="shared" si="25"/>
        <v/>
      </c>
      <c r="AP56" s="71"/>
      <c r="AQ56" s="10" t="str">
        <f t="shared" si="45"/>
        <v/>
      </c>
      <c r="AR56" s="10" t="str">
        <f t="shared" si="26"/>
        <v/>
      </c>
      <c r="AS56" s="71"/>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U56" s="71"/>
      <c r="AV56" s="10" t="str">
        <f t="shared" si="46"/>
        <v/>
      </c>
      <c r="AW56" s="10" t="str">
        <f t="shared" si="27"/>
        <v/>
      </c>
      <c r="AX56" s="71"/>
      <c r="AY56" s="7" t="str">
        <f>IF(ISERROR(IF($K56&lt;=$F$15,VLOOKUP($I56,'表4）CO2価格'!$A$7:$E$67,VLOOKUP($F$48,'表4）CO2価格'!$H$10:$I$12,2,0),0)*$F$8/1000,"")),0,IF($K56&lt;=$F$15,VLOOKUP($I56,'表4）CO2価格'!$A$7:$E$67,VLOOKUP($F$48,'表4）CO2価格'!$H$10:$I$12,2,0),0)*$F$8/1000,""))</f>
        <v/>
      </c>
      <c r="AZ56" s="71"/>
      <c r="BA56" s="11" t="str">
        <f t="shared" si="47"/>
        <v/>
      </c>
      <c r="BB56" s="10" t="str">
        <f t="shared" si="28"/>
        <v/>
      </c>
      <c r="BC56" s="71"/>
      <c r="BD56" s="10" t="str">
        <f t="shared" si="48"/>
        <v/>
      </c>
      <c r="BE56" s="10" t="str">
        <f t="shared" si="29"/>
        <v/>
      </c>
      <c r="BF56" s="71"/>
      <c r="BG56" s="11" t="str">
        <f t="shared" si="49"/>
        <v/>
      </c>
      <c r="BH56" s="10" t="str">
        <f t="shared" si="30"/>
        <v/>
      </c>
      <c r="BJ56" s="7" t="str">
        <f t="shared" si="31"/>
        <v/>
      </c>
      <c r="BK56" s="158" t="str">
        <f t="shared" si="32"/>
        <v/>
      </c>
      <c r="BL56" s="158" t="str">
        <f t="shared" si="14"/>
        <v/>
      </c>
      <c r="BM56" s="10"/>
      <c r="BN56" s="10" t="str">
        <f t="shared" si="33"/>
        <v/>
      </c>
      <c r="BO56" s="10" t="str">
        <f t="shared" si="34"/>
        <v/>
      </c>
      <c r="BQ56" s="10" t="str">
        <f t="shared" si="50"/>
        <v/>
      </c>
      <c r="BR56" s="10" t="str">
        <f t="shared" si="35"/>
        <v/>
      </c>
    </row>
    <row r="57" spans="3:70" x14ac:dyDescent="0.15">
      <c r="H57" s="71"/>
      <c r="I57" s="38">
        <f t="shared" si="36"/>
        <v>2062</v>
      </c>
      <c r="J57" s="39"/>
      <c r="K57" s="39">
        <f t="shared" si="37"/>
        <v>43</v>
      </c>
      <c r="L57" s="39"/>
      <c r="M57" s="40">
        <f t="shared" si="0"/>
        <v>0.28054293595180391</v>
      </c>
      <c r="N57" s="39"/>
      <c r="O57" s="72" t="str">
        <f t="shared" si="16"/>
        <v/>
      </c>
      <c r="P57" s="41" t="str">
        <f t="shared" si="38"/>
        <v/>
      </c>
      <c r="Q57" s="39"/>
      <c r="R57" s="72" t="str">
        <f t="shared" si="51"/>
        <v/>
      </c>
      <c r="S57" s="39"/>
      <c r="T57" s="72" t="str">
        <f t="shared" si="18"/>
        <v/>
      </c>
      <c r="U57" s="39"/>
      <c r="V57" s="72" t="str">
        <f t="shared" si="39"/>
        <v/>
      </c>
      <c r="W57" s="72" t="str">
        <f t="shared" si="19"/>
        <v/>
      </c>
      <c r="X57" s="39"/>
      <c r="Y57" s="72" t="str">
        <f t="shared" si="40"/>
        <v/>
      </c>
      <c r="Z57" s="72" t="str">
        <f t="shared" si="20"/>
        <v/>
      </c>
      <c r="AA57" s="39"/>
      <c r="AB57" s="72" t="str">
        <f t="shared" si="4"/>
        <v/>
      </c>
      <c r="AC57" s="72" t="str">
        <f t="shared" si="21"/>
        <v/>
      </c>
      <c r="AD57" s="39"/>
      <c r="AE57" s="72" t="str">
        <f t="shared" si="41"/>
        <v/>
      </c>
      <c r="AF57" s="72" t="str">
        <f t="shared" si="22"/>
        <v/>
      </c>
      <c r="AG57" s="39"/>
      <c r="AH57" s="72" t="str">
        <f t="shared" si="42"/>
        <v/>
      </c>
      <c r="AI57" s="72" t="str">
        <f t="shared" si="23"/>
        <v/>
      </c>
      <c r="AJ57" s="39"/>
      <c r="AK57" s="72" t="str">
        <f t="shared" si="43"/>
        <v/>
      </c>
      <c r="AL57" s="72" t="str">
        <f t="shared" si="24"/>
        <v/>
      </c>
      <c r="AM57" s="39"/>
      <c r="AN57" s="72" t="str">
        <f t="shared" si="44"/>
        <v/>
      </c>
      <c r="AO57" s="72" t="str">
        <f t="shared" si="25"/>
        <v/>
      </c>
      <c r="AP57" s="39"/>
      <c r="AQ57" s="72" t="str">
        <f t="shared" si="45"/>
        <v/>
      </c>
      <c r="AR57" s="72" t="str">
        <f t="shared" si="26"/>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46"/>
        <v/>
      </c>
      <c r="AW57" s="72" t="str">
        <f t="shared" si="27"/>
        <v/>
      </c>
      <c r="AX57" s="39"/>
      <c r="AY57" s="40" t="str">
        <f>IF(ISERROR(IF($K57&lt;=$F$15,VLOOKUP($I57,'表4）CO2価格'!$A$7:$E$67,VLOOKUP($F$48,'表4）CO2価格'!$H$10:$I$12,2,0),0)*$F$8/1000,"")),0,IF($K57&lt;=$F$15,VLOOKUP($I57,'表4）CO2価格'!$A$7:$E$67,VLOOKUP($F$48,'表4）CO2価格'!$H$10:$I$12,2,0),0)*$F$8/1000,""))</f>
        <v/>
      </c>
      <c r="AZ57" s="39"/>
      <c r="BA57" s="42" t="str">
        <f t="shared" si="47"/>
        <v/>
      </c>
      <c r="BB57" s="72" t="str">
        <f t="shared" si="28"/>
        <v/>
      </c>
      <c r="BC57" s="39"/>
      <c r="BD57" s="72" t="str">
        <f t="shared" si="48"/>
        <v/>
      </c>
      <c r="BE57" s="72" t="str">
        <f t="shared" si="29"/>
        <v/>
      </c>
      <c r="BF57" s="39"/>
      <c r="BG57" s="42" t="str">
        <f t="shared" si="49"/>
        <v/>
      </c>
      <c r="BH57" s="72" t="str">
        <f t="shared" si="30"/>
        <v/>
      </c>
      <c r="BI57" s="39"/>
      <c r="BJ57" s="40" t="str">
        <f t="shared" si="31"/>
        <v/>
      </c>
      <c r="BK57" s="157" t="str">
        <f t="shared" si="32"/>
        <v/>
      </c>
      <c r="BL57" s="157" t="str">
        <f t="shared" si="14"/>
        <v/>
      </c>
      <c r="BM57" s="72"/>
      <c r="BN57" s="72" t="str">
        <f t="shared" si="33"/>
        <v/>
      </c>
      <c r="BO57" s="72" t="str">
        <f t="shared" si="34"/>
        <v/>
      </c>
      <c r="BP57" s="39"/>
      <c r="BQ57" s="72" t="str">
        <f t="shared" si="50"/>
        <v/>
      </c>
      <c r="BR57" s="72" t="str">
        <f t="shared" si="35"/>
        <v/>
      </c>
    </row>
    <row r="58" spans="3:70" x14ac:dyDescent="0.15">
      <c r="C58" s="4" t="s">
        <v>584</v>
      </c>
      <c r="D58" s="100"/>
      <c r="E58" s="100"/>
      <c r="F58" s="4"/>
      <c r="G58" s="100"/>
      <c r="H58" s="71"/>
      <c r="I58" s="322">
        <f t="shared" si="36"/>
        <v>2063</v>
      </c>
      <c r="J58" s="71"/>
      <c r="K58" s="71">
        <f t="shared" si="37"/>
        <v>44</v>
      </c>
      <c r="L58" s="71"/>
      <c r="M58" s="7">
        <f t="shared" si="0"/>
        <v>0.27237178247747956</v>
      </c>
      <c r="N58" s="71"/>
      <c r="O58" s="10" t="str">
        <f t="shared" si="16"/>
        <v/>
      </c>
      <c r="P58" s="29" t="str">
        <f t="shared" si="38"/>
        <v/>
      </c>
      <c r="Q58" s="71"/>
      <c r="R58" s="10" t="str">
        <f t="shared" si="51"/>
        <v/>
      </c>
      <c r="S58" s="71"/>
      <c r="T58" s="10" t="str">
        <f t="shared" si="18"/>
        <v/>
      </c>
      <c r="U58" s="71"/>
      <c r="V58" s="10" t="str">
        <f t="shared" si="39"/>
        <v/>
      </c>
      <c r="W58" s="10" t="str">
        <f t="shared" si="19"/>
        <v/>
      </c>
      <c r="X58" s="71"/>
      <c r="Y58" s="10" t="str">
        <f t="shared" si="40"/>
        <v/>
      </c>
      <c r="Z58" s="10" t="str">
        <f t="shared" si="20"/>
        <v/>
      </c>
      <c r="AA58" s="71"/>
      <c r="AB58" s="10" t="str">
        <f t="shared" si="4"/>
        <v/>
      </c>
      <c r="AC58" s="10" t="str">
        <f t="shared" si="21"/>
        <v/>
      </c>
      <c r="AD58" s="71"/>
      <c r="AE58" s="10" t="str">
        <f t="shared" si="41"/>
        <v/>
      </c>
      <c r="AF58" s="10" t="str">
        <f t="shared" si="22"/>
        <v/>
      </c>
      <c r="AG58" s="71"/>
      <c r="AH58" s="10" t="str">
        <f t="shared" si="42"/>
        <v/>
      </c>
      <c r="AI58" s="10" t="str">
        <f t="shared" si="23"/>
        <v/>
      </c>
      <c r="AJ58" s="71"/>
      <c r="AK58" s="10" t="str">
        <f t="shared" si="43"/>
        <v/>
      </c>
      <c r="AL58" s="10" t="str">
        <f t="shared" si="24"/>
        <v/>
      </c>
      <c r="AM58" s="71"/>
      <c r="AN58" s="10" t="str">
        <f t="shared" si="44"/>
        <v/>
      </c>
      <c r="AO58" s="10" t="str">
        <f t="shared" si="25"/>
        <v/>
      </c>
      <c r="AP58" s="71"/>
      <c r="AQ58" s="10" t="str">
        <f t="shared" si="45"/>
        <v/>
      </c>
      <c r="AR58" s="10" t="str">
        <f t="shared" si="26"/>
        <v/>
      </c>
      <c r="AS58" s="71"/>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U58" s="71"/>
      <c r="AV58" s="10" t="str">
        <f t="shared" si="46"/>
        <v/>
      </c>
      <c r="AW58" s="10" t="str">
        <f t="shared" si="27"/>
        <v/>
      </c>
      <c r="AX58" s="71"/>
      <c r="AY58" s="7" t="str">
        <f>IF(ISERROR(IF($K58&lt;=$F$15,VLOOKUP($I58,'表4）CO2価格'!$A$7:$E$67,VLOOKUP($F$48,'表4）CO2価格'!$H$10:$I$12,2,0),0)*$F$8/1000,"")),0,IF($K58&lt;=$F$15,VLOOKUP($I58,'表4）CO2価格'!$A$7:$E$67,VLOOKUP($F$48,'表4）CO2価格'!$H$10:$I$12,2,0),0)*$F$8/1000,""))</f>
        <v/>
      </c>
      <c r="AZ58" s="71"/>
      <c r="BA58" s="11" t="str">
        <f t="shared" si="47"/>
        <v/>
      </c>
      <c r="BB58" s="10" t="str">
        <f t="shared" si="28"/>
        <v/>
      </c>
      <c r="BC58" s="71"/>
      <c r="BD58" s="10" t="str">
        <f t="shared" si="48"/>
        <v/>
      </c>
      <c r="BE58" s="10" t="str">
        <f t="shared" si="29"/>
        <v/>
      </c>
      <c r="BF58" s="71"/>
      <c r="BG58" s="11" t="str">
        <f t="shared" si="49"/>
        <v/>
      </c>
      <c r="BH58" s="10" t="str">
        <f t="shared" si="30"/>
        <v/>
      </c>
      <c r="BJ58" s="7" t="str">
        <f t="shared" si="31"/>
        <v/>
      </c>
      <c r="BK58" s="158" t="str">
        <f t="shared" si="32"/>
        <v/>
      </c>
      <c r="BL58" s="158" t="str">
        <f t="shared" si="14"/>
        <v/>
      </c>
      <c r="BM58" s="10"/>
      <c r="BN58" s="10" t="str">
        <f t="shared" si="33"/>
        <v/>
      </c>
      <c r="BO58" s="10" t="str">
        <f t="shared" si="34"/>
        <v/>
      </c>
      <c r="BQ58" s="10" t="str">
        <f t="shared" si="50"/>
        <v/>
      </c>
      <c r="BR58" s="10" t="str">
        <f t="shared" si="35"/>
        <v/>
      </c>
    </row>
    <row r="59" spans="3:70" x14ac:dyDescent="0.15">
      <c r="H59" s="71"/>
      <c r="I59" s="38">
        <f t="shared" si="36"/>
        <v>2064</v>
      </c>
      <c r="J59" s="39"/>
      <c r="K59" s="39">
        <f t="shared" si="37"/>
        <v>45</v>
      </c>
      <c r="L59" s="39"/>
      <c r="M59" s="40">
        <f t="shared" si="0"/>
        <v>0.26443862376454325</v>
      </c>
      <c r="N59" s="39"/>
      <c r="O59" s="72" t="str">
        <f t="shared" si="16"/>
        <v/>
      </c>
      <c r="P59" s="41" t="str">
        <f t="shared" si="38"/>
        <v/>
      </c>
      <c r="Q59" s="39"/>
      <c r="R59" s="72" t="str">
        <f t="shared" si="51"/>
        <v/>
      </c>
      <c r="S59" s="39"/>
      <c r="T59" s="72" t="str">
        <f t="shared" si="18"/>
        <v/>
      </c>
      <c r="U59" s="39"/>
      <c r="V59" s="72" t="str">
        <f t="shared" si="39"/>
        <v/>
      </c>
      <c r="W59" s="72" t="str">
        <f t="shared" si="19"/>
        <v/>
      </c>
      <c r="X59" s="39"/>
      <c r="Y59" s="72" t="str">
        <f t="shared" si="40"/>
        <v/>
      </c>
      <c r="Z59" s="72" t="str">
        <f t="shared" si="20"/>
        <v/>
      </c>
      <c r="AA59" s="39"/>
      <c r="AB59" s="72" t="str">
        <f t="shared" si="4"/>
        <v/>
      </c>
      <c r="AC59" s="72" t="str">
        <f t="shared" si="21"/>
        <v/>
      </c>
      <c r="AD59" s="39"/>
      <c r="AE59" s="72" t="str">
        <f t="shared" si="41"/>
        <v/>
      </c>
      <c r="AF59" s="72" t="str">
        <f t="shared" si="22"/>
        <v/>
      </c>
      <c r="AG59" s="39"/>
      <c r="AH59" s="72" t="str">
        <f t="shared" si="42"/>
        <v/>
      </c>
      <c r="AI59" s="72" t="str">
        <f t="shared" si="23"/>
        <v/>
      </c>
      <c r="AJ59" s="39"/>
      <c r="AK59" s="72" t="str">
        <f t="shared" si="43"/>
        <v/>
      </c>
      <c r="AL59" s="72" t="str">
        <f t="shared" si="24"/>
        <v/>
      </c>
      <c r="AM59" s="39"/>
      <c r="AN59" s="72" t="str">
        <f t="shared" si="44"/>
        <v/>
      </c>
      <c r="AO59" s="72" t="str">
        <f t="shared" si="25"/>
        <v/>
      </c>
      <c r="AP59" s="39"/>
      <c r="AQ59" s="72" t="str">
        <f t="shared" si="45"/>
        <v/>
      </c>
      <c r="AR59" s="72" t="str">
        <f t="shared" si="26"/>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46"/>
        <v/>
      </c>
      <c r="AW59" s="72" t="str">
        <f t="shared" si="27"/>
        <v/>
      </c>
      <c r="AX59" s="39"/>
      <c r="AY59" s="40" t="str">
        <f>IF(ISERROR(IF($K59&lt;=$F$15,VLOOKUP($I59,'表4）CO2価格'!$A$7:$E$67,VLOOKUP($F$48,'表4）CO2価格'!$H$10:$I$12,2,0),0)*$F$8/1000,"")),0,IF($K59&lt;=$F$15,VLOOKUP($I59,'表4）CO2価格'!$A$7:$E$67,VLOOKUP($F$48,'表4）CO2価格'!$H$10:$I$12,2,0),0)*$F$8/1000,""))</f>
        <v/>
      </c>
      <c r="AZ59" s="39"/>
      <c r="BA59" s="42" t="str">
        <f t="shared" si="47"/>
        <v/>
      </c>
      <c r="BB59" s="72" t="str">
        <f t="shared" si="28"/>
        <v/>
      </c>
      <c r="BC59" s="39"/>
      <c r="BD59" s="72" t="str">
        <f t="shared" si="48"/>
        <v/>
      </c>
      <c r="BE59" s="72" t="str">
        <f t="shared" si="29"/>
        <v/>
      </c>
      <c r="BF59" s="39"/>
      <c r="BG59" s="42" t="str">
        <f t="shared" si="49"/>
        <v/>
      </c>
      <c r="BH59" s="72" t="str">
        <f t="shared" si="30"/>
        <v/>
      </c>
      <c r="BI59" s="39"/>
      <c r="BJ59" s="40" t="str">
        <f t="shared" si="31"/>
        <v/>
      </c>
      <c r="BK59" s="157" t="str">
        <f t="shared" si="32"/>
        <v/>
      </c>
      <c r="BL59" s="157" t="str">
        <f t="shared" si="14"/>
        <v/>
      </c>
      <c r="BM59" s="72"/>
      <c r="BN59" s="72" t="str">
        <f t="shared" si="33"/>
        <v/>
      </c>
      <c r="BO59" s="72" t="str">
        <f t="shared" si="34"/>
        <v/>
      </c>
      <c r="BP59" s="39"/>
      <c r="BQ59" s="72" t="str">
        <f t="shared" si="50"/>
        <v/>
      </c>
      <c r="BR59" s="72" t="str">
        <f t="shared" si="35"/>
        <v/>
      </c>
    </row>
    <row r="60" spans="3:70" x14ac:dyDescent="0.15">
      <c r="D60" s="84" t="s">
        <v>585</v>
      </c>
      <c r="F60" s="481"/>
      <c r="G60" s="84" t="s">
        <v>566</v>
      </c>
      <c r="H60" s="71"/>
      <c r="I60" s="322">
        <f t="shared" si="36"/>
        <v>2065</v>
      </c>
      <c r="J60" s="71"/>
      <c r="K60" s="71">
        <f t="shared" si="37"/>
        <v>46</v>
      </c>
      <c r="L60" s="71"/>
      <c r="M60" s="7">
        <f t="shared" si="0"/>
        <v>0.25673652792674101</v>
      </c>
      <c r="N60" s="71"/>
      <c r="O60" s="10" t="str">
        <f t="shared" si="16"/>
        <v/>
      </c>
      <c r="P60" s="29" t="str">
        <f t="shared" si="38"/>
        <v/>
      </c>
      <c r="Q60" s="71"/>
      <c r="R60" s="10" t="str">
        <f t="shared" si="51"/>
        <v/>
      </c>
      <c r="S60" s="71"/>
      <c r="T60" s="10" t="str">
        <f t="shared" si="18"/>
        <v/>
      </c>
      <c r="U60" s="71"/>
      <c r="V60" s="10" t="str">
        <f t="shared" si="39"/>
        <v/>
      </c>
      <c r="W60" s="10" t="str">
        <f t="shared" si="19"/>
        <v/>
      </c>
      <c r="X60" s="71"/>
      <c r="Y60" s="10" t="str">
        <f t="shared" si="40"/>
        <v/>
      </c>
      <c r="Z60" s="10" t="str">
        <f t="shared" si="20"/>
        <v/>
      </c>
      <c r="AA60" s="71"/>
      <c r="AB60" s="10" t="str">
        <f t="shared" si="4"/>
        <v/>
      </c>
      <c r="AC60" s="10" t="str">
        <f t="shared" si="21"/>
        <v/>
      </c>
      <c r="AD60" s="71"/>
      <c r="AE60" s="10" t="str">
        <f t="shared" si="41"/>
        <v/>
      </c>
      <c r="AF60" s="10" t="str">
        <f t="shared" si="22"/>
        <v/>
      </c>
      <c r="AG60" s="71"/>
      <c r="AH60" s="10" t="str">
        <f t="shared" si="42"/>
        <v/>
      </c>
      <c r="AI60" s="10" t="str">
        <f t="shared" si="23"/>
        <v/>
      </c>
      <c r="AJ60" s="71"/>
      <c r="AK60" s="10" t="str">
        <f t="shared" si="43"/>
        <v/>
      </c>
      <c r="AL60" s="10" t="str">
        <f t="shared" si="24"/>
        <v/>
      </c>
      <c r="AM60" s="71"/>
      <c r="AN60" s="10" t="str">
        <f t="shared" si="44"/>
        <v/>
      </c>
      <c r="AO60" s="10" t="str">
        <f t="shared" si="25"/>
        <v/>
      </c>
      <c r="AP60" s="71"/>
      <c r="AQ60" s="10" t="str">
        <f t="shared" si="45"/>
        <v/>
      </c>
      <c r="AR60" s="10" t="str">
        <f t="shared" si="26"/>
        <v/>
      </c>
      <c r="AS60" s="71"/>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U60" s="71"/>
      <c r="AV60" s="10" t="str">
        <f t="shared" si="46"/>
        <v/>
      </c>
      <c r="AW60" s="10" t="str">
        <f t="shared" si="27"/>
        <v/>
      </c>
      <c r="AX60" s="71"/>
      <c r="AY60" s="7" t="str">
        <f>IF(ISERROR(IF($K60&lt;=$F$15,VLOOKUP($I60,'表4）CO2価格'!$A$7:$E$67,VLOOKUP($F$48,'表4）CO2価格'!$H$10:$I$12,2,0),0)*$F$8/1000,"")),0,IF($K60&lt;=$F$15,VLOOKUP($I60,'表4）CO2価格'!$A$7:$E$67,VLOOKUP($F$48,'表4）CO2価格'!$H$10:$I$12,2,0),0)*$F$8/1000,""))</f>
        <v/>
      </c>
      <c r="AZ60" s="71"/>
      <c r="BA60" s="11" t="str">
        <f t="shared" si="47"/>
        <v/>
      </c>
      <c r="BB60" s="10" t="str">
        <f t="shared" si="28"/>
        <v/>
      </c>
      <c r="BC60" s="71"/>
      <c r="BD60" s="10" t="str">
        <f t="shared" si="48"/>
        <v/>
      </c>
      <c r="BE60" s="10" t="str">
        <f t="shared" si="29"/>
        <v/>
      </c>
      <c r="BF60" s="71"/>
      <c r="BG60" s="11" t="str">
        <f t="shared" si="49"/>
        <v/>
      </c>
      <c r="BH60" s="10" t="str">
        <f t="shared" si="30"/>
        <v/>
      </c>
      <c r="BJ60" s="7" t="str">
        <f t="shared" si="31"/>
        <v/>
      </c>
      <c r="BK60" s="158" t="str">
        <f t="shared" si="32"/>
        <v/>
      </c>
      <c r="BL60" s="158" t="str">
        <f t="shared" si="14"/>
        <v/>
      </c>
      <c r="BM60" s="10"/>
      <c r="BN60" s="10" t="str">
        <f t="shared" si="33"/>
        <v/>
      </c>
      <c r="BO60" s="10" t="str">
        <f t="shared" si="34"/>
        <v/>
      </c>
      <c r="BQ60" s="10" t="str">
        <f t="shared" si="50"/>
        <v/>
      </c>
      <c r="BR60" s="10" t="str">
        <f t="shared" si="35"/>
        <v/>
      </c>
    </row>
    <row r="61" spans="3:70" x14ac:dyDescent="0.15">
      <c r="D61" s="84" t="s">
        <v>586</v>
      </c>
      <c r="F61" s="475"/>
      <c r="G61" s="84" t="s">
        <v>556</v>
      </c>
      <c r="H61" s="71"/>
      <c r="I61" s="38">
        <f t="shared" si="36"/>
        <v>2066</v>
      </c>
      <c r="J61" s="39"/>
      <c r="K61" s="39">
        <f t="shared" si="37"/>
        <v>47</v>
      </c>
      <c r="L61" s="39"/>
      <c r="M61" s="40">
        <f t="shared" si="0"/>
        <v>0.24925876497741845</v>
      </c>
      <c r="N61" s="39"/>
      <c r="O61" s="72" t="str">
        <f t="shared" si="16"/>
        <v/>
      </c>
      <c r="P61" s="41" t="str">
        <f t="shared" si="38"/>
        <v/>
      </c>
      <c r="Q61" s="39"/>
      <c r="R61" s="72" t="str">
        <f t="shared" si="51"/>
        <v/>
      </c>
      <c r="S61" s="39"/>
      <c r="T61" s="72" t="str">
        <f t="shared" si="18"/>
        <v/>
      </c>
      <c r="U61" s="39"/>
      <c r="V61" s="72" t="str">
        <f t="shared" si="39"/>
        <v/>
      </c>
      <c r="W61" s="72" t="str">
        <f t="shared" si="19"/>
        <v/>
      </c>
      <c r="X61" s="39"/>
      <c r="Y61" s="72" t="str">
        <f t="shared" si="40"/>
        <v/>
      </c>
      <c r="Z61" s="72" t="str">
        <f t="shared" si="20"/>
        <v/>
      </c>
      <c r="AA61" s="39"/>
      <c r="AB61" s="72" t="str">
        <f t="shared" si="4"/>
        <v/>
      </c>
      <c r="AC61" s="72" t="str">
        <f t="shared" si="21"/>
        <v/>
      </c>
      <c r="AD61" s="39"/>
      <c r="AE61" s="72" t="str">
        <f t="shared" si="41"/>
        <v/>
      </c>
      <c r="AF61" s="72" t="str">
        <f t="shared" si="22"/>
        <v/>
      </c>
      <c r="AG61" s="39"/>
      <c r="AH61" s="72" t="str">
        <f t="shared" si="42"/>
        <v/>
      </c>
      <c r="AI61" s="72" t="str">
        <f t="shared" si="23"/>
        <v/>
      </c>
      <c r="AJ61" s="39"/>
      <c r="AK61" s="72" t="str">
        <f t="shared" si="43"/>
        <v/>
      </c>
      <c r="AL61" s="72" t="str">
        <f t="shared" si="24"/>
        <v/>
      </c>
      <c r="AM61" s="39"/>
      <c r="AN61" s="72" t="str">
        <f t="shared" si="44"/>
        <v/>
      </c>
      <c r="AO61" s="72" t="str">
        <f t="shared" si="25"/>
        <v/>
      </c>
      <c r="AP61" s="39"/>
      <c r="AQ61" s="72" t="str">
        <f t="shared" si="45"/>
        <v/>
      </c>
      <c r="AR61" s="72" t="str">
        <f t="shared" si="26"/>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46"/>
        <v/>
      </c>
      <c r="AW61" s="72" t="str">
        <f t="shared" si="27"/>
        <v/>
      </c>
      <c r="AX61" s="39"/>
      <c r="AY61" s="40" t="str">
        <f>IF(ISERROR(IF($K61&lt;=$F$15,VLOOKUP($I61,'表4）CO2価格'!$A$7:$E$67,VLOOKUP($F$48,'表4）CO2価格'!$H$10:$I$12,2,0),0)*$F$8/1000,"")),0,IF($K61&lt;=$F$15,VLOOKUP($I61,'表4）CO2価格'!$A$7:$E$67,VLOOKUP($F$48,'表4）CO2価格'!$H$10:$I$12,2,0),0)*$F$8/1000,""))</f>
        <v/>
      </c>
      <c r="AZ61" s="39"/>
      <c r="BA61" s="42" t="str">
        <f t="shared" si="47"/>
        <v/>
      </c>
      <c r="BB61" s="72" t="str">
        <f t="shared" si="28"/>
        <v/>
      </c>
      <c r="BC61" s="39"/>
      <c r="BD61" s="72" t="str">
        <f t="shared" si="48"/>
        <v/>
      </c>
      <c r="BE61" s="72" t="str">
        <f t="shared" si="29"/>
        <v/>
      </c>
      <c r="BF61" s="39"/>
      <c r="BG61" s="42" t="str">
        <f t="shared" si="49"/>
        <v/>
      </c>
      <c r="BH61" s="72" t="str">
        <f t="shared" si="30"/>
        <v/>
      </c>
      <c r="BI61" s="39"/>
      <c r="BJ61" s="40" t="str">
        <f t="shared" si="31"/>
        <v/>
      </c>
      <c r="BK61" s="157" t="str">
        <f t="shared" si="32"/>
        <v/>
      </c>
      <c r="BL61" s="157" t="str">
        <f t="shared" si="14"/>
        <v/>
      </c>
      <c r="BM61" s="72"/>
      <c r="BN61" s="72" t="str">
        <f t="shared" si="33"/>
        <v/>
      </c>
      <c r="BO61" s="72" t="str">
        <f t="shared" si="34"/>
        <v/>
      </c>
      <c r="BP61" s="39"/>
      <c r="BQ61" s="72" t="str">
        <f t="shared" si="50"/>
        <v/>
      </c>
      <c r="BR61" s="72" t="str">
        <f t="shared" si="35"/>
        <v/>
      </c>
    </row>
    <row r="62" spans="3:70" x14ac:dyDescent="0.15">
      <c r="D62" s="84" t="s">
        <v>587</v>
      </c>
      <c r="F62" s="481"/>
      <c r="G62" s="84" t="s">
        <v>588</v>
      </c>
      <c r="H62" s="71"/>
      <c r="I62" s="322">
        <f t="shared" si="36"/>
        <v>2067</v>
      </c>
      <c r="J62" s="71"/>
      <c r="K62" s="71">
        <f t="shared" si="37"/>
        <v>48</v>
      </c>
      <c r="L62" s="71"/>
      <c r="M62" s="7">
        <f t="shared" si="0"/>
        <v>0.24199880094894996</v>
      </c>
      <c r="N62" s="71"/>
      <c r="O62" s="10" t="str">
        <f t="shared" si="16"/>
        <v/>
      </c>
      <c r="P62" s="29" t="str">
        <f t="shared" si="38"/>
        <v/>
      </c>
      <c r="Q62" s="71"/>
      <c r="R62" s="10" t="str">
        <f t="shared" si="51"/>
        <v/>
      </c>
      <c r="S62" s="71"/>
      <c r="T62" s="10" t="str">
        <f t="shared" si="18"/>
        <v/>
      </c>
      <c r="U62" s="71"/>
      <c r="V62" s="10" t="str">
        <f t="shared" si="39"/>
        <v/>
      </c>
      <c r="W62" s="10" t="str">
        <f t="shared" si="19"/>
        <v/>
      </c>
      <c r="X62" s="71"/>
      <c r="Y62" s="10" t="str">
        <f t="shared" si="40"/>
        <v/>
      </c>
      <c r="Z62" s="10" t="str">
        <f t="shared" si="20"/>
        <v/>
      </c>
      <c r="AA62" s="71"/>
      <c r="AB62" s="10" t="str">
        <f t="shared" si="4"/>
        <v/>
      </c>
      <c r="AC62" s="10" t="str">
        <f t="shared" si="21"/>
        <v/>
      </c>
      <c r="AD62" s="71"/>
      <c r="AE62" s="10" t="str">
        <f t="shared" si="41"/>
        <v/>
      </c>
      <c r="AF62" s="10" t="str">
        <f t="shared" si="22"/>
        <v/>
      </c>
      <c r="AG62" s="71"/>
      <c r="AH62" s="10" t="str">
        <f t="shared" si="42"/>
        <v/>
      </c>
      <c r="AI62" s="10" t="str">
        <f t="shared" si="23"/>
        <v/>
      </c>
      <c r="AJ62" s="71"/>
      <c r="AK62" s="10" t="str">
        <f t="shared" si="43"/>
        <v/>
      </c>
      <c r="AL62" s="10" t="str">
        <f t="shared" si="24"/>
        <v/>
      </c>
      <c r="AM62" s="71"/>
      <c r="AN62" s="10" t="str">
        <f t="shared" si="44"/>
        <v/>
      </c>
      <c r="AO62" s="10" t="str">
        <f t="shared" si="25"/>
        <v/>
      </c>
      <c r="AP62" s="71"/>
      <c r="AQ62" s="10" t="str">
        <f t="shared" si="45"/>
        <v/>
      </c>
      <c r="AR62" s="10" t="str">
        <f t="shared" si="26"/>
        <v/>
      </c>
      <c r="AS62" s="71"/>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U62" s="71"/>
      <c r="AV62" s="10" t="str">
        <f t="shared" si="46"/>
        <v/>
      </c>
      <c r="AW62" s="10" t="str">
        <f t="shared" si="27"/>
        <v/>
      </c>
      <c r="AX62" s="71"/>
      <c r="AY62" s="7" t="str">
        <f>IF(ISERROR(IF($K62&lt;=$F$15,VLOOKUP($I62,'表4）CO2価格'!$A$7:$E$67,VLOOKUP($F$48,'表4）CO2価格'!$H$10:$I$12,2,0),0)*$F$8/1000,"")),0,IF($K62&lt;=$F$15,VLOOKUP($I62,'表4）CO2価格'!$A$7:$E$67,VLOOKUP($F$48,'表4）CO2価格'!$H$10:$I$12,2,0),0)*$F$8/1000,""))</f>
        <v/>
      </c>
      <c r="AZ62" s="71"/>
      <c r="BA62" s="11" t="str">
        <f t="shared" si="47"/>
        <v/>
      </c>
      <c r="BB62" s="10" t="str">
        <f t="shared" si="28"/>
        <v/>
      </c>
      <c r="BC62" s="71"/>
      <c r="BD62" s="10" t="str">
        <f t="shared" si="48"/>
        <v/>
      </c>
      <c r="BE62" s="10" t="str">
        <f t="shared" si="29"/>
        <v/>
      </c>
      <c r="BF62" s="71"/>
      <c r="BG62" s="11" t="str">
        <f t="shared" si="49"/>
        <v/>
      </c>
      <c r="BH62" s="10" t="str">
        <f t="shared" si="30"/>
        <v/>
      </c>
      <c r="BJ62" s="7" t="str">
        <f t="shared" si="31"/>
        <v/>
      </c>
      <c r="BK62" s="158" t="str">
        <f t="shared" si="32"/>
        <v/>
      </c>
      <c r="BL62" s="158" t="str">
        <f t="shared" si="14"/>
        <v/>
      </c>
      <c r="BM62" s="10"/>
      <c r="BN62" s="10" t="str">
        <f t="shared" si="33"/>
        <v/>
      </c>
      <c r="BO62" s="10" t="str">
        <f t="shared" si="34"/>
        <v/>
      </c>
      <c r="BQ62" s="10" t="str">
        <f t="shared" si="50"/>
        <v/>
      </c>
      <c r="BR62" s="10" t="str">
        <f t="shared" si="35"/>
        <v/>
      </c>
    </row>
    <row r="63" spans="3:70" x14ac:dyDescent="0.15">
      <c r="H63" s="71"/>
      <c r="I63" s="38">
        <f t="shared" si="36"/>
        <v>2068</v>
      </c>
      <c r="J63" s="39"/>
      <c r="K63" s="39">
        <f t="shared" si="37"/>
        <v>49</v>
      </c>
      <c r="L63" s="39"/>
      <c r="M63" s="40">
        <f t="shared" si="0"/>
        <v>0.2349502921834466</v>
      </c>
      <c r="N63" s="39"/>
      <c r="O63" s="72" t="str">
        <f t="shared" si="16"/>
        <v/>
      </c>
      <c r="P63" s="41" t="str">
        <f t="shared" si="38"/>
        <v/>
      </c>
      <c r="Q63" s="39"/>
      <c r="R63" s="72" t="str">
        <f t="shared" si="51"/>
        <v/>
      </c>
      <c r="S63" s="39"/>
      <c r="T63" s="72" t="str">
        <f t="shared" si="18"/>
        <v/>
      </c>
      <c r="U63" s="39"/>
      <c r="V63" s="72" t="str">
        <f t="shared" si="39"/>
        <v/>
      </c>
      <c r="W63" s="72" t="str">
        <f t="shared" si="19"/>
        <v/>
      </c>
      <c r="X63" s="39"/>
      <c r="Y63" s="72" t="str">
        <f t="shared" si="40"/>
        <v/>
      </c>
      <c r="Z63" s="72" t="str">
        <f t="shared" si="20"/>
        <v/>
      </c>
      <c r="AA63" s="39"/>
      <c r="AB63" s="72" t="str">
        <f t="shared" si="4"/>
        <v/>
      </c>
      <c r="AC63" s="72" t="str">
        <f t="shared" si="21"/>
        <v/>
      </c>
      <c r="AD63" s="39"/>
      <c r="AE63" s="72" t="str">
        <f t="shared" si="41"/>
        <v/>
      </c>
      <c r="AF63" s="72" t="str">
        <f t="shared" si="22"/>
        <v/>
      </c>
      <c r="AG63" s="39"/>
      <c r="AH63" s="72" t="str">
        <f t="shared" si="42"/>
        <v/>
      </c>
      <c r="AI63" s="72" t="str">
        <f t="shared" si="23"/>
        <v/>
      </c>
      <c r="AJ63" s="39"/>
      <c r="AK63" s="72" t="str">
        <f t="shared" si="43"/>
        <v/>
      </c>
      <c r="AL63" s="72" t="str">
        <f t="shared" si="24"/>
        <v/>
      </c>
      <c r="AM63" s="39"/>
      <c r="AN63" s="72" t="str">
        <f t="shared" si="44"/>
        <v/>
      </c>
      <c r="AO63" s="72" t="str">
        <f t="shared" si="25"/>
        <v/>
      </c>
      <c r="AP63" s="39"/>
      <c r="AQ63" s="72" t="str">
        <f t="shared" si="45"/>
        <v/>
      </c>
      <c r="AR63" s="72" t="str">
        <f t="shared" si="26"/>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46"/>
        <v/>
      </c>
      <c r="AW63" s="72" t="str">
        <f t="shared" si="27"/>
        <v/>
      </c>
      <c r="AX63" s="39"/>
      <c r="AY63" s="40" t="str">
        <f>IF(ISERROR(IF($K63&lt;=$F$15,VLOOKUP($I63,'表4）CO2価格'!$A$7:$E$67,VLOOKUP($F$48,'表4）CO2価格'!$H$10:$I$12,2,0),0)*$F$8/1000,"")),0,IF($K63&lt;=$F$15,VLOOKUP($I63,'表4）CO2価格'!$A$7:$E$67,VLOOKUP($F$48,'表4）CO2価格'!$H$10:$I$12,2,0),0)*$F$8/1000,""))</f>
        <v/>
      </c>
      <c r="AZ63" s="39"/>
      <c r="BA63" s="42" t="str">
        <f t="shared" si="47"/>
        <v/>
      </c>
      <c r="BB63" s="72" t="str">
        <f t="shared" si="28"/>
        <v/>
      </c>
      <c r="BC63" s="39"/>
      <c r="BD63" s="72" t="str">
        <f t="shared" si="48"/>
        <v/>
      </c>
      <c r="BE63" s="72" t="str">
        <f t="shared" si="29"/>
        <v/>
      </c>
      <c r="BF63" s="39"/>
      <c r="BG63" s="42" t="str">
        <f t="shared" si="49"/>
        <v/>
      </c>
      <c r="BH63" s="72" t="str">
        <f t="shared" si="30"/>
        <v/>
      </c>
      <c r="BI63" s="39"/>
      <c r="BJ63" s="40" t="str">
        <f t="shared" si="31"/>
        <v/>
      </c>
      <c r="BK63" s="157" t="str">
        <f t="shared" si="32"/>
        <v/>
      </c>
      <c r="BL63" s="157" t="str">
        <f t="shared" si="14"/>
        <v/>
      </c>
      <c r="BM63" s="72"/>
      <c r="BN63" s="72" t="str">
        <f t="shared" si="33"/>
        <v/>
      </c>
      <c r="BO63" s="72" t="str">
        <f t="shared" si="34"/>
        <v/>
      </c>
      <c r="BP63" s="39"/>
      <c r="BQ63" s="72" t="str">
        <f t="shared" si="50"/>
        <v/>
      </c>
      <c r="BR63" s="72" t="str">
        <f t="shared" si="35"/>
        <v/>
      </c>
    </row>
    <row r="64" spans="3:70" x14ac:dyDescent="0.15">
      <c r="C64" s="71" t="s">
        <v>589</v>
      </c>
      <c r="F64" s="477">
        <v>1.26</v>
      </c>
      <c r="G64" s="84" t="s">
        <v>590</v>
      </c>
      <c r="H64" s="71"/>
      <c r="I64" s="322">
        <f t="shared" si="36"/>
        <v>2069</v>
      </c>
      <c r="J64" s="71"/>
      <c r="K64" s="71">
        <f t="shared" si="37"/>
        <v>50</v>
      </c>
      <c r="L64" s="71"/>
      <c r="M64" s="7">
        <f t="shared" si="0"/>
        <v>0.22810707978975397</v>
      </c>
      <c r="N64" s="71"/>
      <c r="O64" s="10" t="str">
        <f t="shared" si="16"/>
        <v/>
      </c>
      <c r="P64" s="29" t="str">
        <f t="shared" si="38"/>
        <v/>
      </c>
      <c r="Q64" s="71"/>
      <c r="R64" s="10" t="str">
        <f t="shared" si="51"/>
        <v/>
      </c>
      <c r="S64" s="71"/>
      <c r="T64" s="10" t="str">
        <f t="shared" si="18"/>
        <v/>
      </c>
      <c r="U64" s="71"/>
      <c r="V64" s="10" t="str">
        <f t="shared" si="39"/>
        <v/>
      </c>
      <c r="W64" s="10" t="str">
        <f t="shared" si="19"/>
        <v/>
      </c>
      <c r="X64" s="71"/>
      <c r="Y64" s="10" t="str">
        <f t="shared" si="40"/>
        <v/>
      </c>
      <c r="Z64" s="10" t="str">
        <f t="shared" si="20"/>
        <v/>
      </c>
      <c r="AA64" s="71"/>
      <c r="AB64" s="10" t="str">
        <f t="shared" si="4"/>
        <v/>
      </c>
      <c r="AC64" s="10" t="str">
        <f t="shared" si="21"/>
        <v/>
      </c>
      <c r="AD64" s="71"/>
      <c r="AE64" s="10" t="str">
        <f t="shared" si="41"/>
        <v/>
      </c>
      <c r="AF64" s="10" t="str">
        <f t="shared" si="22"/>
        <v/>
      </c>
      <c r="AG64" s="71"/>
      <c r="AH64" s="10" t="str">
        <f t="shared" si="42"/>
        <v/>
      </c>
      <c r="AI64" s="10" t="str">
        <f t="shared" si="23"/>
        <v/>
      </c>
      <c r="AJ64" s="71"/>
      <c r="AK64" s="10" t="str">
        <f t="shared" si="43"/>
        <v/>
      </c>
      <c r="AL64" s="10" t="str">
        <f t="shared" si="24"/>
        <v/>
      </c>
      <c r="AM64" s="71"/>
      <c r="AN64" s="10" t="str">
        <f t="shared" si="44"/>
        <v/>
      </c>
      <c r="AO64" s="10" t="str">
        <f t="shared" si="25"/>
        <v/>
      </c>
      <c r="AP64" s="71"/>
      <c r="AQ64" s="10" t="str">
        <f t="shared" si="45"/>
        <v/>
      </c>
      <c r="AR64" s="10" t="str">
        <f t="shared" si="26"/>
        <v/>
      </c>
      <c r="AS64" s="71"/>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U64" s="71"/>
      <c r="AV64" s="10" t="str">
        <f t="shared" si="46"/>
        <v/>
      </c>
      <c r="AW64" s="10" t="str">
        <f t="shared" si="27"/>
        <v/>
      </c>
      <c r="AX64" s="71"/>
      <c r="AY64" s="7" t="str">
        <f>IF(ISERROR(IF($K64&lt;=$F$15,VLOOKUP($I64,'表4）CO2価格'!$A$7:$E$67,VLOOKUP($F$48,'表4）CO2価格'!$H$10:$I$12,2,0),0)*$F$8/1000,"")),0,IF($K64&lt;=$F$15,VLOOKUP($I64,'表4）CO2価格'!$A$7:$E$67,VLOOKUP($F$48,'表4）CO2価格'!$H$10:$I$12,2,0),0)*$F$8/1000,""))</f>
        <v/>
      </c>
      <c r="AZ64" s="71"/>
      <c r="BA64" s="11" t="str">
        <f t="shared" si="47"/>
        <v/>
      </c>
      <c r="BB64" s="10" t="str">
        <f t="shared" si="28"/>
        <v/>
      </c>
      <c r="BC64" s="71"/>
      <c r="BD64" s="10" t="str">
        <f t="shared" si="48"/>
        <v/>
      </c>
      <c r="BE64" s="10" t="str">
        <f t="shared" si="29"/>
        <v/>
      </c>
      <c r="BF64" s="71"/>
      <c r="BG64" s="11" t="str">
        <f t="shared" si="49"/>
        <v/>
      </c>
      <c r="BH64" s="10" t="str">
        <f t="shared" si="30"/>
        <v/>
      </c>
      <c r="BJ64" s="7" t="str">
        <f t="shared" si="31"/>
        <v/>
      </c>
      <c r="BK64" s="158" t="str">
        <f t="shared" si="32"/>
        <v/>
      </c>
      <c r="BL64" s="158" t="str">
        <f t="shared" si="14"/>
        <v/>
      </c>
      <c r="BM64" s="10"/>
      <c r="BN64" s="10" t="str">
        <f t="shared" si="33"/>
        <v/>
      </c>
      <c r="BO64" s="10" t="str">
        <f t="shared" si="34"/>
        <v/>
      </c>
      <c r="BQ64" s="10" t="str">
        <f t="shared" si="50"/>
        <v/>
      </c>
      <c r="BR64" s="10" t="str">
        <f t="shared" si="35"/>
        <v/>
      </c>
    </row>
    <row r="65" spans="2:70" x14ac:dyDescent="0.15">
      <c r="H65" s="71"/>
      <c r="I65" s="38">
        <f t="shared" si="36"/>
        <v>2070</v>
      </c>
      <c r="J65" s="39"/>
      <c r="K65" s="39">
        <f t="shared" si="37"/>
        <v>51</v>
      </c>
      <c r="L65" s="39"/>
      <c r="M65" s="40">
        <f t="shared" si="0"/>
        <v>0.22146318426189707</v>
      </c>
      <c r="N65" s="39"/>
      <c r="O65" s="72" t="str">
        <f t="shared" si="16"/>
        <v/>
      </c>
      <c r="P65" s="41" t="str">
        <f t="shared" si="38"/>
        <v/>
      </c>
      <c r="Q65" s="39"/>
      <c r="R65" s="72" t="str">
        <f t="shared" si="51"/>
        <v/>
      </c>
      <c r="S65" s="39"/>
      <c r="T65" s="72" t="str">
        <f t="shared" si="18"/>
        <v/>
      </c>
      <c r="U65" s="39"/>
      <c r="V65" s="72" t="str">
        <f t="shared" si="39"/>
        <v/>
      </c>
      <c r="W65" s="72" t="str">
        <f t="shared" si="19"/>
        <v/>
      </c>
      <c r="X65" s="39"/>
      <c r="Y65" s="72" t="str">
        <f t="shared" si="40"/>
        <v/>
      </c>
      <c r="Z65" s="72" t="str">
        <f t="shared" si="20"/>
        <v/>
      </c>
      <c r="AA65" s="39"/>
      <c r="AB65" s="72" t="str">
        <f t="shared" si="4"/>
        <v/>
      </c>
      <c r="AC65" s="72" t="str">
        <f t="shared" si="21"/>
        <v/>
      </c>
      <c r="AD65" s="39"/>
      <c r="AE65" s="72" t="str">
        <f t="shared" si="41"/>
        <v/>
      </c>
      <c r="AF65" s="72" t="str">
        <f t="shared" si="22"/>
        <v/>
      </c>
      <c r="AG65" s="39"/>
      <c r="AH65" s="72" t="str">
        <f t="shared" si="42"/>
        <v/>
      </c>
      <c r="AI65" s="72" t="str">
        <f t="shared" si="23"/>
        <v/>
      </c>
      <c r="AJ65" s="39"/>
      <c r="AK65" s="72" t="str">
        <f t="shared" si="43"/>
        <v/>
      </c>
      <c r="AL65" s="72" t="str">
        <f t="shared" si="24"/>
        <v/>
      </c>
      <c r="AM65" s="39"/>
      <c r="AN65" s="72" t="str">
        <f t="shared" si="44"/>
        <v/>
      </c>
      <c r="AO65" s="72" t="str">
        <f t="shared" si="25"/>
        <v/>
      </c>
      <c r="AP65" s="39"/>
      <c r="AQ65" s="72" t="str">
        <f t="shared" si="45"/>
        <v/>
      </c>
      <c r="AR65" s="72" t="str">
        <f t="shared" si="26"/>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46"/>
        <v/>
      </c>
      <c r="AW65" s="72" t="str">
        <f t="shared" si="27"/>
        <v/>
      </c>
      <c r="AX65" s="39"/>
      <c r="AY65" s="40" t="str">
        <f>IF(ISERROR(IF($K65&lt;=$F$15,VLOOKUP($I65,'表4）CO2価格'!$A$7:$E$67,VLOOKUP($F$48,'表4）CO2価格'!$H$10:$I$12,2,0),0)*$F$8/1000,"")),0,IF($K65&lt;=$F$15,VLOOKUP($I65,'表4）CO2価格'!$A$7:$E$67,VLOOKUP($F$48,'表4）CO2価格'!$H$10:$I$12,2,0),0)*$F$8/1000,""))</f>
        <v/>
      </c>
      <c r="AZ65" s="39"/>
      <c r="BA65" s="42" t="str">
        <f t="shared" si="47"/>
        <v/>
      </c>
      <c r="BB65" s="72" t="str">
        <f t="shared" si="28"/>
        <v/>
      </c>
      <c r="BC65" s="39"/>
      <c r="BD65" s="72" t="str">
        <f t="shared" si="48"/>
        <v/>
      </c>
      <c r="BE65" s="72" t="str">
        <f t="shared" si="29"/>
        <v/>
      </c>
      <c r="BF65" s="39"/>
      <c r="BG65" s="42" t="str">
        <f t="shared" si="49"/>
        <v/>
      </c>
      <c r="BH65" s="72" t="str">
        <f t="shared" si="30"/>
        <v/>
      </c>
      <c r="BI65" s="39"/>
      <c r="BJ65" s="40" t="str">
        <f t="shared" si="31"/>
        <v/>
      </c>
      <c r="BK65" s="157" t="str">
        <f t="shared" si="32"/>
        <v/>
      </c>
      <c r="BL65" s="157" t="str">
        <f t="shared" si="14"/>
        <v/>
      </c>
      <c r="BM65" s="72"/>
      <c r="BN65" s="72" t="str">
        <f t="shared" si="33"/>
        <v/>
      </c>
      <c r="BO65" s="72" t="str">
        <f t="shared" si="34"/>
        <v/>
      </c>
      <c r="BP65" s="39"/>
      <c r="BQ65" s="72" t="str">
        <f t="shared" si="50"/>
        <v/>
      </c>
      <c r="BR65" s="72" t="str">
        <f t="shared" si="35"/>
        <v/>
      </c>
    </row>
    <row r="66" spans="2:70" x14ac:dyDescent="0.15">
      <c r="H66" s="71"/>
      <c r="I66" s="322">
        <f t="shared" si="36"/>
        <v>2071</v>
      </c>
      <c r="J66" s="71"/>
      <c r="K66" s="71">
        <f t="shared" si="37"/>
        <v>52</v>
      </c>
      <c r="L66" s="71"/>
      <c r="M66" s="7">
        <f t="shared" si="0"/>
        <v>0.215012800254269</v>
      </c>
      <c r="N66" s="71"/>
      <c r="O66" s="10" t="str">
        <f t="shared" si="16"/>
        <v/>
      </c>
      <c r="P66" s="29" t="str">
        <f t="shared" si="38"/>
        <v/>
      </c>
      <c r="Q66" s="71"/>
      <c r="R66" s="10" t="str">
        <f t="shared" si="51"/>
        <v/>
      </c>
      <c r="S66" s="71"/>
      <c r="T66" s="10" t="str">
        <f t="shared" si="18"/>
        <v/>
      </c>
      <c r="U66" s="71"/>
      <c r="V66" s="10" t="str">
        <f t="shared" si="39"/>
        <v/>
      </c>
      <c r="W66" s="10" t="str">
        <f t="shared" si="19"/>
        <v/>
      </c>
      <c r="X66" s="71"/>
      <c r="Y66" s="10" t="str">
        <f t="shared" si="40"/>
        <v/>
      </c>
      <c r="Z66" s="10" t="str">
        <f t="shared" si="20"/>
        <v/>
      </c>
      <c r="AA66" s="71"/>
      <c r="AB66" s="10" t="str">
        <f t="shared" si="4"/>
        <v/>
      </c>
      <c r="AC66" s="10" t="str">
        <f t="shared" si="21"/>
        <v/>
      </c>
      <c r="AD66" s="71"/>
      <c r="AE66" s="10" t="str">
        <f t="shared" si="41"/>
        <v/>
      </c>
      <c r="AF66" s="10" t="str">
        <f t="shared" si="22"/>
        <v/>
      </c>
      <c r="AG66" s="71"/>
      <c r="AH66" s="10" t="str">
        <f t="shared" si="42"/>
        <v/>
      </c>
      <c r="AI66" s="10" t="str">
        <f t="shared" si="23"/>
        <v/>
      </c>
      <c r="AJ66" s="71"/>
      <c r="AK66" s="10" t="str">
        <f t="shared" si="43"/>
        <v/>
      </c>
      <c r="AL66" s="10" t="str">
        <f t="shared" si="24"/>
        <v/>
      </c>
      <c r="AM66" s="71"/>
      <c r="AN66" s="10" t="str">
        <f t="shared" si="44"/>
        <v/>
      </c>
      <c r="AO66" s="10" t="str">
        <f t="shared" si="25"/>
        <v/>
      </c>
      <c r="AP66" s="71"/>
      <c r="AQ66" s="10" t="str">
        <f t="shared" si="45"/>
        <v/>
      </c>
      <c r="AR66" s="10" t="str">
        <f t="shared" si="26"/>
        <v/>
      </c>
      <c r="AS66" s="71"/>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U66" s="71"/>
      <c r="AV66" s="10" t="str">
        <f t="shared" si="46"/>
        <v/>
      </c>
      <c r="AW66" s="10" t="str">
        <f t="shared" si="27"/>
        <v/>
      </c>
      <c r="AX66" s="71"/>
      <c r="AY66" s="7" t="str">
        <f>IF(ISERROR(IF($K66&lt;=$F$15,VLOOKUP($I66,'表4）CO2価格'!$A$7:$E$67,VLOOKUP($F$48,'表4）CO2価格'!$H$10:$I$12,2,0),0)*$F$8/1000,"")),0,IF($K66&lt;=$F$15,VLOOKUP($I66,'表4）CO2価格'!$A$7:$E$67,VLOOKUP($F$48,'表4）CO2価格'!$H$10:$I$12,2,0),0)*$F$8/1000,""))</f>
        <v/>
      </c>
      <c r="AZ66" s="71"/>
      <c r="BA66" s="11" t="str">
        <f t="shared" si="47"/>
        <v/>
      </c>
      <c r="BB66" s="10" t="str">
        <f t="shared" si="28"/>
        <v/>
      </c>
      <c r="BC66" s="71"/>
      <c r="BD66" s="10" t="str">
        <f t="shared" si="48"/>
        <v/>
      </c>
      <c r="BE66" s="10" t="str">
        <f t="shared" si="29"/>
        <v/>
      </c>
      <c r="BF66" s="71"/>
      <c r="BG66" s="11" t="str">
        <f t="shared" si="49"/>
        <v/>
      </c>
      <c r="BH66" s="10" t="str">
        <f t="shared" si="30"/>
        <v/>
      </c>
      <c r="BJ66" s="7" t="str">
        <f t="shared" si="31"/>
        <v/>
      </c>
      <c r="BK66" s="158" t="str">
        <f t="shared" si="32"/>
        <v/>
      </c>
      <c r="BL66" s="158" t="str">
        <f t="shared" si="14"/>
        <v/>
      </c>
      <c r="BM66" s="10"/>
      <c r="BN66" s="10" t="str">
        <f t="shared" si="33"/>
        <v/>
      </c>
      <c r="BO66" s="10" t="str">
        <f t="shared" si="34"/>
        <v/>
      </c>
      <c r="BQ66" s="10" t="str">
        <f t="shared" si="50"/>
        <v/>
      </c>
      <c r="BR66" s="10" t="str">
        <f t="shared" si="35"/>
        <v/>
      </c>
    </row>
    <row r="67" spans="2:70" ht="15.75" thickBot="1" x14ac:dyDescent="0.2">
      <c r="B67" s="5" t="s">
        <v>133</v>
      </c>
      <c r="C67" s="3"/>
      <c r="D67" s="102"/>
      <c r="E67" s="102"/>
      <c r="F67" s="3"/>
      <c r="G67" s="102"/>
      <c r="H67" s="71"/>
      <c r="I67" s="38">
        <f t="shared" si="36"/>
        <v>2072</v>
      </c>
      <c r="J67" s="39"/>
      <c r="K67" s="39">
        <f t="shared" si="37"/>
        <v>53</v>
      </c>
      <c r="L67" s="39"/>
      <c r="M67" s="40">
        <f t="shared" si="0"/>
        <v>0.20875029150899907</v>
      </c>
      <c r="N67" s="39"/>
      <c r="O67" s="72" t="str">
        <f t="shared" si="16"/>
        <v/>
      </c>
      <c r="P67" s="41" t="str">
        <f t="shared" si="38"/>
        <v/>
      </c>
      <c r="Q67" s="39"/>
      <c r="R67" s="72" t="str">
        <f t="shared" si="51"/>
        <v/>
      </c>
      <c r="S67" s="39"/>
      <c r="T67" s="72" t="str">
        <f t="shared" si="18"/>
        <v/>
      </c>
      <c r="U67" s="39"/>
      <c r="V67" s="72" t="str">
        <f t="shared" si="39"/>
        <v/>
      </c>
      <c r="W67" s="72" t="str">
        <f t="shared" si="19"/>
        <v/>
      </c>
      <c r="X67" s="39"/>
      <c r="Y67" s="72" t="str">
        <f t="shared" si="40"/>
        <v/>
      </c>
      <c r="Z67" s="72" t="str">
        <f t="shared" si="20"/>
        <v/>
      </c>
      <c r="AA67" s="39"/>
      <c r="AB67" s="72" t="str">
        <f t="shared" si="4"/>
        <v/>
      </c>
      <c r="AC67" s="72" t="str">
        <f t="shared" si="21"/>
        <v/>
      </c>
      <c r="AD67" s="39"/>
      <c r="AE67" s="72" t="str">
        <f t="shared" si="41"/>
        <v/>
      </c>
      <c r="AF67" s="72" t="str">
        <f t="shared" si="22"/>
        <v/>
      </c>
      <c r="AG67" s="39"/>
      <c r="AH67" s="72" t="str">
        <f t="shared" si="42"/>
        <v/>
      </c>
      <c r="AI67" s="72" t="str">
        <f t="shared" si="23"/>
        <v/>
      </c>
      <c r="AJ67" s="39"/>
      <c r="AK67" s="72" t="str">
        <f t="shared" si="43"/>
        <v/>
      </c>
      <c r="AL67" s="72" t="str">
        <f t="shared" si="24"/>
        <v/>
      </c>
      <c r="AM67" s="39"/>
      <c r="AN67" s="72" t="str">
        <f t="shared" si="44"/>
        <v/>
      </c>
      <c r="AO67" s="72" t="str">
        <f t="shared" si="25"/>
        <v/>
      </c>
      <c r="AP67" s="39"/>
      <c r="AQ67" s="72" t="str">
        <f t="shared" si="45"/>
        <v/>
      </c>
      <c r="AR67" s="72" t="str">
        <f t="shared" si="26"/>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46"/>
        <v/>
      </c>
      <c r="AW67" s="72" t="str">
        <f t="shared" si="27"/>
        <v/>
      </c>
      <c r="AX67" s="39"/>
      <c r="AY67" s="40" t="str">
        <f>IF(ISERROR(IF($K67&lt;=$F$15,VLOOKUP($I67,'表4）CO2価格'!$A$7:$E$67,VLOOKUP($F$48,'表4）CO2価格'!$H$10:$I$12,2,0),0)*$F$8/1000,"")),0,IF($K67&lt;=$F$15,VLOOKUP($I67,'表4）CO2価格'!$A$7:$E$67,VLOOKUP($F$48,'表4）CO2価格'!$H$10:$I$12,2,0),0)*$F$8/1000,""))</f>
        <v/>
      </c>
      <c r="AZ67" s="39"/>
      <c r="BA67" s="42" t="str">
        <f t="shared" si="47"/>
        <v/>
      </c>
      <c r="BB67" s="72" t="str">
        <f t="shared" si="28"/>
        <v/>
      </c>
      <c r="BC67" s="39"/>
      <c r="BD67" s="72" t="str">
        <f t="shared" si="48"/>
        <v/>
      </c>
      <c r="BE67" s="72" t="str">
        <f t="shared" si="29"/>
        <v/>
      </c>
      <c r="BF67" s="39"/>
      <c r="BG67" s="42" t="str">
        <f t="shared" si="49"/>
        <v/>
      </c>
      <c r="BH67" s="72" t="str">
        <f t="shared" si="30"/>
        <v/>
      </c>
      <c r="BI67" s="39"/>
      <c r="BJ67" s="40" t="str">
        <f t="shared" si="31"/>
        <v/>
      </c>
      <c r="BK67" s="157" t="str">
        <f t="shared" si="32"/>
        <v/>
      </c>
      <c r="BL67" s="157" t="str">
        <f t="shared" si="14"/>
        <v/>
      </c>
      <c r="BM67" s="72"/>
      <c r="BN67" s="72" t="str">
        <f t="shared" si="33"/>
        <v/>
      </c>
      <c r="BO67" s="72" t="str">
        <f t="shared" si="34"/>
        <v/>
      </c>
      <c r="BP67" s="39"/>
      <c r="BQ67" s="72" t="str">
        <f t="shared" si="50"/>
        <v/>
      </c>
      <c r="BR67" s="72" t="str">
        <f t="shared" si="35"/>
        <v/>
      </c>
    </row>
    <row r="68" spans="2:70" x14ac:dyDescent="0.15">
      <c r="H68" s="71"/>
      <c r="I68" s="322">
        <f t="shared" si="36"/>
        <v>2073</v>
      </c>
      <c r="J68" s="71"/>
      <c r="K68" s="71">
        <f t="shared" si="37"/>
        <v>54</v>
      </c>
      <c r="L68" s="71"/>
      <c r="M68" s="7">
        <f t="shared" si="0"/>
        <v>0.20267018593106703</v>
      </c>
      <c r="N68" s="71"/>
      <c r="O68" s="10" t="str">
        <f t="shared" si="16"/>
        <v/>
      </c>
      <c r="P68" s="29" t="str">
        <f t="shared" si="38"/>
        <v/>
      </c>
      <c r="Q68" s="71"/>
      <c r="R68" s="10" t="str">
        <f t="shared" si="51"/>
        <v/>
      </c>
      <c r="S68" s="71"/>
      <c r="T68" s="10" t="str">
        <f t="shared" si="18"/>
        <v/>
      </c>
      <c r="U68" s="71"/>
      <c r="V68" s="10" t="str">
        <f t="shared" si="39"/>
        <v/>
      </c>
      <c r="W68" s="10" t="str">
        <f t="shared" si="19"/>
        <v/>
      </c>
      <c r="X68" s="71"/>
      <c r="Y68" s="10" t="str">
        <f t="shared" si="40"/>
        <v/>
      </c>
      <c r="Z68" s="10" t="str">
        <f t="shared" si="20"/>
        <v/>
      </c>
      <c r="AA68" s="71"/>
      <c r="AB68" s="10" t="str">
        <f t="shared" si="4"/>
        <v/>
      </c>
      <c r="AC68" s="10" t="str">
        <f t="shared" si="21"/>
        <v/>
      </c>
      <c r="AD68" s="71"/>
      <c r="AE68" s="10" t="str">
        <f t="shared" si="41"/>
        <v/>
      </c>
      <c r="AF68" s="10" t="str">
        <f t="shared" si="22"/>
        <v/>
      </c>
      <c r="AG68" s="71"/>
      <c r="AH68" s="10" t="str">
        <f t="shared" si="42"/>
        <v/>
      </c>
      <c r="AI68" s="10" t="str">
        <f t="shared" si="23"/>
        <v/>
      </c>
      <c r="AJ68" s="71"/>
      <c r="AK68" s="10" t="str">
        <f t="shared" si="43"/>
        <v/>
      </c>
      <c r="AL68" s="10" t="str">
        <f t="shared" si="24"/>
        <v/>
      </c>
      <c r="AM68" s="71"/>
      <c r="AN68" s="10" t="str">
        <f t="shared" si="44"/>
        <v/>
      </c>
      <c r="AO68" s="10" t="str">
        <f t="shared" si="25"/>
        <v/>
      </c>
      <c r="AP68" s="71"/>
      <c r="AQ68" s="10" t="str">
        <f t="shared" si="45"/>
        <v/>
      </c>
      <c r="AR68" s="10" t="str">
        <f t="shared" si="26"/>
        <v/>
      </c>
      <c r="AS68" s="71"/>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U68" s="71"/>
      <c r="AV68" s="10" t="str">
        <f t="shared" si="46"/>
        <v/>
      </c>
      <c r="AW68" s="10" t="str">
        <f t="shared" si="27"/>
        <v/>
      </c>
      <c r="AX68" s="71"/>
      <c r="AY68" s="7" t="str">
        <f>IF(ISERROR(IF($K68&lt;=$F$15,VLOOKUP($I68,'表4）CO2価格'!$A$7:$E$67,VLOOKUP($F$48,'表4）CO2価格'!$H$10:$I$12,2,0),0)*$F$8/1000,"")),0,IF($K68&lt;=$F$15,VLOOKUP($I68,'表4）CO2価格'!$A$7:$E$67,VLOOKUP($F$48,'表4）CO2価格'!$H$10:$I$12,2,0),0)*$F$8/1000,""))</f>
        <v/>
      </c>
      <c r="AZ68" s="71"/>
      <c r="BA68" s="11" t="str">
        <f t="shared" si="47"/>
        <v/>
      </c>
      <c r="BB68" s="10" t="str">
        <f t="shared" si="28"/>
        <v/>
      </c>
      <c r="BC68" s="71"/>
      <c r="BD68" s="10" t="str">
        <f t="shared" si="48"/>
        <v/>
      </c>
      <c r="BE68" s="10" t="str">
        <f t="shared" si="29"/>
        <v/>
      </c>
      <c r="BF68" s="71"/>
      <c r="BG68" s="11" t="str">
        <f t="shared" si="49"/>
        <v/>
      </c>
      <c r="BH68" s="10" t="str">
        <f t="shared" si="30"/>
        <v/>
      </c>
      <c r="BJ68" s="7" t="str">
        <f t="shared" si="31"/>
        <v/>
      </c>
      <c r="BK68" s="158" t="str">
        <f t="shared" si="32"/>
        <v/>
      </c>
      <c r="BL68" s="158" t="str">
        <f t="shared" si="14"/>
        <v/>
      </c>
      <c r="BM68" s="10"/>
      <c r="BN68" s="10" t="str">
        <f t="shared" si="33"/>
        <v/>
      </c>
      <c r="BO68" s="10" t="str">
        <f t="shared" si="34"/>
        <v/>
      </c>
      <c r="BQ68" s="10" t="str">
        <f t="shared" si="50"/>
        <v/>
      </c>
      <c r="BR68" s="10" t="str">
        <f t="shared" si="35"/>
        <v/>
      </c>
    </row>
    <row r="69" spans="2:70" x14ac:dyDescent="0.15">
      <c r="C69" s="483" t="s">
        <v>134</v>
      </c>
      <c r="D69" s="71"/>
      <c r="E69" s="71"/>
      <c r="F69" s="484">
        <f>SUBTOTAL(9,F74:F112)-F105</f>
        <v>10.908424947045125</v>
      </c>
      <c r="G69" s="71" t="s">
        <v>590</v>
      </c>
      <c r="H69" s="71"/>
      <c r="I69" s="38">
        <f t="shared" si="36"/>
        <v>2074</v>
      </c>
      <c r="J69" s="39"/>
      <c r="K69" s="39">
        <f t="shared" si="37"/>
        <v>55</v>
      </c>
      <c r="L69" s="39"/>
      <c r="M69" s="40">
        <f t="shared" si="0"/>
        <v>0.19676717080686118</v>
      </c>
      <c r="N69" s="39"/>
      <c r="O69" s="72" t="str">
        <f t="shared" si="16"/>
        <v/>
      </c>
      <c r="P69" s="41" t="str">
        <f t="shared" si="38"/>
        <v/>
      </c>
      <c r="Q69" s="39"/>
      <c r="R69" s="72" t="str">
        <f t="shared" si="51"/>
        <v/>
      </c>
      <c r="S69" s="39"/>
      <c r="T69" s="72" t="str">
        <f t="shared" si="18"/>
        <v/>
      </c>
      <c r="U69" s="39"/>
      <c r="V69" s="72" t="str">
        <f t="shared" si="39"/>
        <v/>
      </c>
      <c r="W69" s="72" t="str">
        <f t="shared" si="19"/>
        <v/>
      </c>
      <c r="X69" s="39"/>
      <c r="Y69" s="72" t="str">
        <f t="shared" si="40"/>
        <v/>
      </c>
      <c r="Z69" s="72" t="str">
        <f t="shared" si="20"/>
        <v/>
      </c>
      <c r="AA69" s="39"/>
      <c r="AB69" s="72" t="str">
        <f t="shared" si="4"/>
        <v/>
      </c>
      <c r="AC69" s="72" t="str">
        <f t="shared" si="21"/>
        <v/>
      </c>
      <c r="AD69" s="39"/>
      <c r="AE69" s="72" t="str">
        <f t="shared" si="41"/>
        <v/>
      </c>
      <c r="AF69" s="72" t="str">
        <f t="shared" si="22"/>
        <v/>
      </c>
      <c r="AG69" s="39"/>
      <c r="AH69" s="72" t="str">
        <f t="shared" si="42"/>
        <v/>
      </c>
      <c r="AI69" s="72" t="str">
        <f t="shared" si="23"/>
        <v/>
      </c>
      <c r="AJ69" s="39"/>
      <c r="AK69" s="72" t="str">
        <f t="shared" si="43"/>
        <v/>
      </c>
      <c r="AL69" s="72" t="str">
        <f t="shared" si="24"/>
        <v/>
      </c>
      <c r="AM69" s="39"/>
      <c r="AN69" s="72" t="str">
        <f t="shared" si="44"/>
        <v/>
      </c>
      <c r="AO69" s="72" t="str">
        <f t="shared" si="25"/>
        <v/>
      </c>
      <c r="AP69" s="39"/>
      <c r="AQ69" s="72" t="str">
        <f t="shared" si="45"/>
        <v/>
      </c>
      <c r="AR69" s="72" t="str">
        <f t="shared" si="26"/>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46"/>
        <v/>
      </c>
      <c r="AW69" s="72" t="str">
        <f t="shared" si="27"/>
        <v/>
      </c>
      <c r="AX69" s="39"/>
      <c r="AY69" s="40" t="str">
        <f>IF(ISERROR(IF($K69&lt;=$F$15,VLOOKUP($I69,'表4）CO2価格'!$A$7:$E$67,VLOOKUP($F$48,'表4）CO2価格'!$H$10:$I$12,2,0),0)*$F$8/1000,"")),0,IF($K69&lt;=$F$15,VLOOKUP($I69,'表4）CO2価格'!$A$7:$E$67,VLOOKUP($F$48,'表4）CO2価格'!$H$10:$I$12,2,0),0)*$F$8/1000,""))</f>
        <v/>
      </c>
      <c r="AZ69" s="39"/>
      <c r="BA69" s="42" t="str">
        <f t="shared" si="47"/>
        <v/>
      </c>
      <c r="BB69" s="72" t="str">
        <f t="shared" si="28"/>
        <v/>
      </c>
      <c r="BC69" s="39"/>
      <c r="BD69" s="72" t="str">
        <f t="shared" si="48"/>
        <v/>
      </c>
      <c r="BE69" s="72" t="str">
        <f t="shared" si="29"/>
        <v/>
      </c>
      <c r="BF69" s="39"/>
      <c r="BG69" s="42" t="str">
        <f t="shared" si="49"/>
        <v/>
      </c>
      <c r="BH69" s="72" t="str">
        <f t="shared" si="30"/>
        <v/>
      </c>
      <c r="BI69" s="39"/>
      <c r="BJ69" s="40" t="str">
        <f t="shared" si="31"/>
        <v/>
      </c>
      <c r="BK69" s="157" t="str">
        <f t="shared" si="32"/>
        <v/>
      </c>
      <c r="BL69" s="157" t="str">
        <f t="shared" si="14"/>
        <v/>
      </c>
      <c r="BM69" s="72"/>
      <c r="BN69" s="72" t="str">
        <f t="shared" si="33"/>
        <v/>
      </c>
      <c r="BO69" s="72" t="str">
        <f t="shared" si="34"/>
        <v/>
      </c>
      <c r="BP69" s="39"/>
      <c r="BQ69" s="72" t="str">
        <f t="shared" si="50"/>
        <v/>
      </c>
      <c r="BR69" s="72" t="str">
        <f t="shared" si="35"/>
        <v/>
      </c>
    </row>
    <row r="70" spans="2:70" x14ac:dyDescent="0.15">
      <c r="C70" s="483" t="s">
        <v>135</v>
      </c>
      <c r="D70" s="71"/>
      <c r="E70" s="71"/>
      <c r="F70" s="484">
        <f ca="1">MAX(SUM($Z$117,$AF$117,$AI$117,$AL$117,$AO$117,$AR$117,$AW$117,$BB$117,$BE$117,$BH$117,$BO$116)/$BR$116+$F$105,SUBTOTAL(9,F74:F112))</f>
        <v>16.725944038765991</v>
      </c>
      <c r="G70" s="71" t="s">
        <v>590</v>
      </c>
      <c r="H70" s="71"/>
      <c r="I70" s="322">
        <f t="shared" si="36"/>
        <v>2075</v>
      </c>
      <c r="J70" s="71"/>
      <c r="K70" s="71">
        <f t="shared" si="37"/>
        <v>56</v>
      </c>
      <c r="L70" s="71"/>
      <c r="M70" s="7">
        <f t="shared" si="0"/>
        <v>0.19103608816200118</v>
      </c>
      <c r="N70" s="71"/>
      <c r="O70" s="10" t="str">
        <f t="shared" si="16"/>
        <v/>
      </c>
      <c r="P70" s="29" t="str">
        <f t="shared" si="38"/>
        <v/>
      </c>
      <c r="Q70" s="71"/>
      <c r="R70" s="10" t="str">
        <f t="shared" si="51"/>
        <v/>
      </c>
      <c r="S70" s="71"/>
      <c r="T70" s="10" t="str">
        <f t="shared" si="18"/>
        <v/>
      </c>
      <c r="U70" s="71"/>
      <c r="V70" s="10" t="str">
        <f t="shared" si="39"/>
        <v/>
      </c>
      <c r="W70" s="10" t="str">
        <f t="shared" si="19"/>
        <v/>
      </c>
      <c r="X70" s="71"/>
      <c r="Y70" s="10" t="str">
        <f t="shared" si="40"/>
        <v/>
      </c>
      <c r="Z70" s="10" t="str">
        <f t="shared" si="20"/>
        <v/>
      </c>
      <c r="AA70" s="71"/>
      <c r="AB70" s="10" t="str">
        <f t="shared" si="4"/>
        <v/>
      </c>
      <c r="AC70" s="10" t="str">
        <f t="shared" si="21"/>
        <v/>
      </c>
      <c r="AD70" s="71"/>
      <c r="AE70" s="10" t="str">
        <f t="shared" si="41"/>
        <v/>
      </c>
      <c r="AF70" s="10" t="str">
        <f t="shared" si="22"/>
        <v/>
      </c>
      <c r="AG70" s="71"/>
      <c r="AH70" s="10" t="str">
        <f t="shared" si="42"/>
        <v/>
      </c>
      <c r="AI70" s="10" t="str">
        <f t="shared" si="23"/>
        <v/>
      </c>
      <c r="AJ70" s="71"/>
      <c r="AK70" s="10" t="str">
        <f t="shared" si="43"/>
        <v/>
      </c>
      <c r="AL70" s="10" t="str">
        <f t="shared" si="24"/>
        <v/>
      </c>
      <c r="AM70" s="71"/>
      <c r="AN70" s="10" t="str">
        <f t="shared" si="44"/>
        <v/>
      </c>
      <c r="AO70" s="10" t="str">
        <f t="shared" si="25"/>
        <v/>
      </c>
      <c r="AP70" s="71"/>
      <c r="AQ70" s="10" t="str">
        <f t="shared" si="45"/>
        <v/>
      </c>
      <c r="AR70" s="10" t="str">
        <f t="shared" si="26"/>
        <v/>
      </c>
      <c r="AS70" s="71"/>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U70" s="71"/>
      <c r="AV70" s="10" t="str">
        <f t="shared" si="46"/>
        <v/>
      </c>
      <c r="AW70" s="10" t="str">
        <f t="shared" si="27"/>
        <v/>
      </c>
      <c r="AX70" s="71"/>
      <c r="AY70" s="7" t="str">
        <f>IF(ISERROR(IF($K70&lt;=$F$15,VLOOKUP($I70,'表4）CO2価格'!$A$7:$E$67,VLOOKUP($F$48,'表4）CO2価格'!$H$10:$I$12,2,0),0)*$F$8/1000,"")),0,IF($K70&lt;=$F$15,VLOOKUP($I70,'表4）CO2価格'!$A$7:$E$67,VLOOKUP($F$48,'表4）CO2価格'!$H$10:$I$12,2,0),0)*$F$8/1000,""))</f>
        <v/>
      </c>
      <c r="AZ70" s="71"/>
      <c r="BA70" s="11" t="str">
        <f t="shared" si="47"/>
        <v/>
      </c>
      <c r="BB70" s="10" t="str">
        <f t="shared" si="28"/>
        <v/>
      </c>
      <c r="BC70" s="71"/>
      <c r="BD70" s="10" t="str">
        <f t="shared" si="48"/>
        <v/>
      </c>
      <c r="BE70" s="10" t="str">
        <f t="shared" si="29"/>
        <v/>
      </c>
      <c r="BF70" s="71"/>
      <c r="BG70" s="11" t="str">
        <f t="shared" si="49"/>
        <v/>
      </c>
      <c r="BH70" s="10" t="str">
        <f t="shared" si="30"/>
        <v/>
      </c>
      <c r="BJ70" s="7" t="str">
        <f t="shared" si="31"/>
        <v/>
      </c>
      <c r="BK70" s="158" t="str">
        <f t="shared" si="32"/>
        <v/>
      </c>
      <c r="BL70" s="158" t="str">
        <f t="shared" si="14"/>
        <v/>
      </c>
      <c r="BM70" s="10"/>
      <c r="BN70" s="10" t="str">
        <f t="shared" si="33"/>
        <v/>
      </c>
      <c r="BO70" s="10" t="str">
        <f t="shared" si="34"/>
        <v/>
      </c>
      <c r="BQ70" s="10" t="str">
        <f t="shared" si="50"/>
        <v/>
      </c>
      <c r="BR70" s="10" t="str">
        <f t="shared" si="35"/>
        <v/>
      </c>
    </row>
    <row r="71" spans="2:70" x14ac:dyDescent="0.15">
      <c r="F71" s="485"/>
      <c r="H71" s="71"/>
      <c r="I71" s="38">
        <f t="shared" si="36"/>
        <v>2076</v>
      </c>
      <c r="J71" s="39"/>
      <c r="K71" s="39">
        <f t="shared" si="37"/>
        <v>57</v>
      </c>
      <c r="L71" s="39"/>
      <c r="M71" s="40">
        <f t="shared" si="0"/>
        <v>0.18547193025437006</v>
      </c>
      <c r="N71" s="39"/>
      <c r="O71" s="72" t="str">
        <f t="shared" si="16"/>
        <v/>
      </c>
      <c r="P71" s="41" t="str">
        <f t="shared" si="38"/>
        <v/>
      </c>
      <c r="Q71" s="39"/>
      <c r="R71" s="72" t="str">
        <f t="shared" si="51"/>
        <v/>
      </c>
      <c r="S71" s="39"/>
      <c r="T71" s="72" t="str">
        <f t="shared" si="18"/>
        <v/>
      </c>
      <c r="U71" s="39"/>
      <c r="V71" s="72" t="str">
        <f t="shared" si="39"/>
        <v/>
      </c>
      <c r="W71" s="72" t="str">
        <f t="shared" si="19"/>
        <v/>
      </c>
      <c r="X71" s="39"/>
      <c r="Y71" s="72" t="str">
        <f t="shared" si="40"/>
        <v/>
      </c>
      <c r="Z71" s="72" t="str">
        <f t="shared" si="20"/>
        <v/>
      </c>
      <c r="AA71" s="39"/>
      <c r="AB71" s="72" t="str">
        <f t="shared" si="4"/>
        <v/>
      </c>
      <c r="AC71" s="72" t="str">
        <f t="shared" si="21"/>
        <v/>
      </c>
      <c r="AD71" s="39"/>
      <c r="AE71" s="72" t="str">
        <f t="shared" si="41"/>
        <v/>
      </c>
      <c r="AF71" s="72" t="str">
        <f t="shared" si="22"/>
        <v/>
      </c>
      <c r="AG71" s="39"/>
      <c r="AH71" s="72" t="str">
        <f t="shared" si="42"/>
        <v/>
      </c>
      <c r="AI71" s="72" t="str">
        <f t="shared" si="23"/>
        <v/>
      </c>
      <c r="AJ71" s="39"/>
      <c r="AK71" s="72" t="str">
        <f t="shared" si="43"/>
        <v/>
      </c>
      <c r="AL71" s="72" t="str">
        <f t="shared" si="24"/>
        <v/>
      </c>
      <c r="AM71" s="39"/>
      <c r="AN71" s="72" t="str">
        <f t="shared" si="44"/>
        <v/>
      </c>
      <c r="AO71" s="72" t="str">
        <f t="shared" si="25"/>
        <v/>
      </c>
      <c r="AP71" s="39"/>
      <c r="AQ71" s="72" t="str">
        <f t="shared" si="45"/>
        <v/>
      </c>
      <c r="AR71" s="72" t="str">
        <f t="shared" si="26"/>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46"/>
        <v/>
      </c>
      <c r="AW71" s="72" t="str">
        <f t="shared" si="27"/>
        <v/>
      </c>
      <c r="AX71" s="39"/>
      <c r="AY71" s="40" t="str">
        <f>IF(ISERROR(IF($K71&lt;=$F$15,VLOOKUP($I71,'表4）CO2価格'!$A$7:$E$67,VLOOKUP($F$48,'表4）CO2価格'!$H$10:$I$12,2,0),0)*$F$8/1000,"")),0,IF($K71&lt;=$F$15,VLOOKUP($I71,'表4）CO2価格'!$A$7:$E$67,VLOOKUP($F$48,'表4）CO2価格'!$H$10:$I$12,2,0),0)*$F$8/1000,""))</f>
        <v/>
      </c>
      <c r="AZ71" s="39"/>
      <c r="BA71" s="42" t="str">
        <f t="shared" si="47"/>
        <v/>
      </c>
      <c r="BB71" s="72" t="str">
        <f t="shared" si="28"/>
        <v/>
      </c>
      <c r="BC71" s="39"/>
      <c r="BD71" s="72" t="str">
        <f t="shared" si="48"/>
        <v/>
      </c>
      <c r="BE71" s="72" t="str">
        <f t="shared" si="29"/>
        <v/>
      </c>
      <c r="BF71" s="39"/>
      <c r="BG71" s="42" t="str">
        <f t="shared" si="49"/>
        <v/>
      </c>
      <c r="BH71" s="72" t="str">
        <f t="shared" si="30"/>
        <v/>
      </c>
      <c r="BI71" s="39"/>
      <c r="BJ71" s="40" t="str">
        <f t="shared" si="31"/>
        <v/>
      </c>
      <c r="BK71" s="157" t="str">
        <f t="shared" si="32"/>
        <v/>
      </c>
      <c r="BL71" s="157" t="str">
        <f t="shared" si="14"/>
        <v/>
      </c>
      <c r="BM71" s="72"/>
      <c r="BN71" s="72" t="str">
        <f t="shared" si="33"/>
        <v/>
      </c>
      <c r="BO71" s="72" t="str">
        <f t="shared" si="34"/>
        <v/>
      </c>
      <c r="BP71" s="39"/>
      <c r="BQ71" s="72" t="str">
        <f t="shared" si="50"/>
        <v/>
      </c>
      <c r="BR71" s="72" t="str">
        <f t="shared" si="35"/>
        <v/>
      </c>
    </row>
    <row r="72" spans="2:70" x14ac:dyDescent="0.15">
      <c r="C72" s="4" t="s">
        <v>136</v>
      </c>
      <c r="D72" s="100"/>
      <c r="E72" s="100"/>
      <c r="F72" s="486"/>
      <c r="G72" s="100"/>
      <c r="H72" s="71"/>
      <c r="I72" s="322">
        <f t="shared" si="36"/>
        <v>2077</v>
      </c>
      <c r="J72" s="71"/>
      <c r="K72" s="71">
        <f t="shared" si="37"/>
        <v>58</v>
      </c>
      <c r="L72" s="71"/>
      <c r="M72" s="7">
        <f t="shared" si="0"/>
        <v>0.18006983519841754</v>
      </c>
      <c r="N72" s="71"/>
      <c r="O72" s="10" t="str">
        <f t="shared" si="16"/>
        <v/>
      </c>
      <c r="P72" s="29" t="str">
        <f t="shared" si="38"/>
        <v/>
      </c>
      <c r="Q72" s="71"/>
      <c r="R72" s="10" t="str">
        <f t="shared" si="51"/>
        <v/>
      </c>
      <c r="S72" s="71"/>
      <c r="T72" s="10" t="str">
        <f t="shared" si="18"/>
        <v/>
      </c>
      <c r="U72" s="71"/>
      <c r="V72" s="10" t="str">
        <f t="shared" si="39"/>
        <v/>
      </c>
      <c r="W72" s="10" t="str">
        <f t="shared" si="19"/>
        <v/>
      </c>
      <c r="X72" s="71"/>
      <c r="Y72" s="10" t="str">
        <f t="shared" si="40"/>
        <v/>
      </c>
      <c r="Z72" s="10" t="str">
        <f t="shared" si="20"/>
        <v/>
      </c>
      <c r="AA72" s="71"/>
      <c r="AB72" s="10" t="str">
        <f t="shared" si="4"/>
        <v/>
      </c>
      <c r="AC72" s="10" t="str">
        <f t="shared" si="21"/>
        <v/>
      </c>
      <c r="AD72" s="71"/>
      <c r="AE72" s="10" t="str">
        <f t="shared" si="41"/>
        <v/>
      </c>
      <c r="AF72" s="10" t="str">
        <f t="shared" si="22"/>
        <v/>
      </c>
      <c r="AG72" s="71"/>
      <c r="AH72" s="10" t="str">
        <f t="shared" si="42"/>
        <v/>
      </c>
      <c r="AI72" s="10" t="str">
        <f t="shared" si="23"/>
        <v/>
      </c>
      <c r="AJ72" s="71"/>
      <c r="AK72" s="10" t="str">
        <f t="shared" si="43"/>
        <v/>
      </c>
      <c r="AL72" s="10" t="str">
        <f t="shared" si="24"/>
        <v/>
      </c>
      <c r="AM72" s="71"/>
      <c r="AN72" s="10" t="str">
        <f t="shared" si="44"/>
        <v/>
      </c>
      <c r="AO72" s="10" t="str">
        <f t="shared" si="25"/>
        <v/>
      </c>
      <c r="AP72" s="71"/>
      <c r="AQ72" s="10" t="str">
        <f t="shared" si="45"/>
        <v/>
      </c>
      <c r="AR72" s="10" t="str">
        <f t="shared" si="26"/>
        <v/>
      </c>
      <c r="AS72" s="71"/>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U72" s="71"/>
      <c r="AV72" s="10" t="str">
        <f t="shared" si="46"/>
        <v/>
      </c>
      <c r="AW72" s="10" t="str">
        <f t="shared" si="27"/>
        <v/>
      </c>
      <c r="AX72" s="71"/>
      <c r="AY72" s="7" t="str">
        <f>IF(ISERROR(IF($K72&lt;=$F$15,VLOOKUP($I72,'表4）CO2価格'!$A$7:$E$67,VLOOKUP($F$48,'表4）CO2価格'!$H$10:$I$12,2,0),0)*$F$8/1000,"")),0,IF($K72&lt;=$F$15,VLOOKUP($I72,'表4）CO2価格'!$A$7:$E$67,VLOOKUP($F$48,'表4）CO2価格'!$H$10:$I$12,2,0),0)*$F$8/1000,""))</f>
        <v/>
      </c>
      <c r="AZ72" s="71"/>
      <c r="BA72" s="11" t="str">
        <f t="shared" si="47"/>
        <v/>
      </c>
      <c r="BB72" s="10" t="str">
        <f t="shared" si="28"/>
        <v/>
      </c>
      <c r="BC72" s="71"/>
      <c r="BD72" s="10" t="str">
        <f t="shared" si="48"/>
        <v/>
      </c>
      <c r="BE72" s="10" t="str">
        <f t="shared" si="29"/>
        <v/>
      </c>
      <c r="BF72" s="71"/>
      <c r="BG72" s="11" t="str">
        <f t="shared" si="49"/>
        <v/>
      </c>
      <c r="BH72" s="10" t="str">
        <f t="shared" si="30"/>
        <v/>
      </c>
      <c r="BJ72" s="7" t="str">
        <f t="shared" si="31"/>
        <v/>
      </c>
      <c r="BK72" s="158" t="str">
        <f t="shared" si="32"/>
        <v/>
      </c>
      <c r="BL72" s="158" t="str">
        <f t="shared" si="14"/>
        <v/>
      </c>
      <c r="BM72" s="10"/>
      <c r="BN72" s="10" t="str">
        <f t="shared" si="33"/>
        <v/>
      </c>
      <c r="BO72" s="10" t="str">
        <f t="shared" si="34"/>
        <v/>
      </c>
      <c r="BQ72" s="10" t="str">
        <f t="shared" si="50"/>
        <v/>
      </c>
      <c r="BR72" s="10" t="str">
        <f t="shared" si="35"/>
        <v/>
      </c>
    </row>
    <row r="73" spans="2:70" x14ac:dyDescent="0.15">
      <c r="F73" s="487"/>
      <c r="H73" s="71"/>
      <c r="I73" s="38">
        <f t="shared" si="36"/>
        <v>2078</v>
      </c>
      <c r="J73" s="39"/>
      <c r="K73" s="39">
        <f t="shared" si="37"/>
        <v>59</v>
      </c>
      <c r="L73" s="39"/>
      <c r="M73" s="40">
        <f t="shared" si="0"/>
        <v>0.17482508271691022</v>
      </c>
      <c r="N73" s="39"/>
      <c r="O73" s="72" t="str">
        <f t="shared" si="16"/>
        <v/>
      </c>
      <c r="P73" s="41" t="str">
        <f t="shared" si="38"/>
        <v/>
      </c>
      <c r="Q73" s="39"/>
      <c r="R73" s="72" t="str">
        <f t="shared" si="51"/>
        <v/>
      </c>
      <c r="S73" s="39"/>
      <c r="T73" s="72" t="str">
        <f t="shared" si="18"/>
        <v/>
      </c>
      <c r="U73" s="39"/>
      <c r="V73" s="72" t="str">
        <f t="shared" si="39"/>
        <v/>
      </c>
      <c r="W73" s="72" t="str">
        <f t="shared" si="19"/>
        <v/>
      </c>
      <c r="X73" s="39"/>
      <c r="Y73" s="72" t="str">
        <f t="shared" si="40"/>
        <v/>
      </c>
      <c r="Z73" s="72" t="str">
        <f t="shared" si="20"/>
        <v/>
      </c>
      <c r="AA73" s="39"/>
      <c r="AB73" s="72" t="str">
        <f t="shared" si="4"/>
        <v/>
      </c>
      <c r="AC73" s="72" t="str">
        <f t="shared" si="21"/>
        <v/>
      </c>
      <c r="AD73" s="39"/>
      <c r="AE73" s="72" t="str">
        <f t="shared" si="41"/>
        <v/>
      </c>
      <c r="AF73" s="72" t="str">
        <f t="shared" si="22"/>
        <v/>
      </c>
      <c r="AG73" s="39"/>
      <c r="AH73" s="72" t="str">
        <f t="shared" si="42"/>
        <v/>
      </c>
      <c r="AI73" s="72" t="str">
        <f t="shared" si="23"/>
        <v/>
      </c>
      <c r="AJ73" s="39"/>
      <c r="AK73" s="72" t="str">
        <f t="shared" si="43"/>
        <v/>
      </c>
      <c r="AL73" s="72" t="str">
        <f t="shared" si="24"/>
        <v/>
      </c>
      <c r="AM73" s="39"/>
      <c r="AN73" s="72" t="str">
        <f t="shared" si="44"/>
        <v/>
      </c>
      <c r="AO73" s="72" t="str">
        <f t="shared" si="25"/>
        <v/>
      </c>
      <c r="AP73" s="39"/>
      <c r="AQ73" s="72" t="str">
        <f t="shared" si="45"/>
        <v/>
      </c>
      <c r="AR73" s="72" t="str">
        <f t="shared" si="26"/>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46"/>
        <v/>
      </c>
      <c r="AW73" s="72" t="str">
        <f t="shared" si="27"/>
        <v/>
      </c>
      <c r="AX73" s="39"/>
      <c r="AY73" s="40" t="str">
        <f>IF(ISERROR(IF($K73&lt;=$F$15,VLOOKUP($I73,'表4）CO2価格'!$A$7:$E$67,VLOOKUP($F$48,'表4）CO2価格'!$H$10:$I$12,2,0),0)*$F$8/1000,"")),0,IF($K73&lt;=$F$15,VLOOKUP($I73,'表4）CO2価格'!$A$7:$E$67,VLOOKUP($F$48,'表4）CO2価格'!$H$10:$I$12,2,0),0)*$F$8/1000,""))</f>
        <v/>
      </c>
      <c r="AZ73" s="39"/>
      <c r="BA73" s="42" t="str">
        <f t="shared" si="47"/>
        <v/>
      </c>
      <c r="BB73" s="72" t="str">
        <f t="shared" si="28"/>
        <v/>
      </c>
      <c r="BC73" s="39"/>
      <c r="BD73" s="72" t="str">
        <f t="shared" si="48"/>
        <v/>
      </c>
      <c r="BE73" s="72" t="str">
        <f t="shared" si="29"/>
        <v/>
      </c>
      <c r="BF73" s="39"/>
      <c r="BG73" s="42" t="str">
        <f t="shared" si="49"/>
        <v/>
      </c>
      <c r="BH73" s="72" t="str">
        <f t="shared" si="30"/>
        <v/>
      </c>
      <c r="BI73" s="39"/>
      <c r="BJ73" s="40" t="str">
        <f t="shared" si="31"/>
        <v/>
      </c>
      <c r="BK73" s="157" t="str">
        <f t="shared" si="32"/>
        <v/>
      </c>
      <c r="BL73" s="157" t="str">
        <f t="shared" si="14"/>
        <v/>
      </c>
      <c r="BM73" s="72"/>
      <c r="BN73" s="72" t="str">
        <f t="shared" si="33"/>
        <v/>
      </c>
      <c r="BO73" s="72" t="str">
        <f t="shared" si="34"/>
        <v/>
      </c>
      <c r="BP73" s="39"/>
      <c r="BQ73" s="72" t="str">
        <f t="shared" si="50"/>
        <v/>
      </c>
      <c r="BR73" s="72" t="str">
        <f t="shared" si="35"/>
        <v/>
      </c>
    </row>
    <row r="74" spans="2:70" ht="15" x14ac:dyDescent="0.15">
      <c r="D74" s="103" t="s">
        <v>591</v>
      </c>
      <c r="F74" s="484">
        <f>SUBTOTAL(9,F78:F81)</f>
        <v>5.8087589288087171</v>
      </c>
      <c r="G74" s="84" t="s">
        <v>590</v>
      </c>
      <c r="H74" s="71"/>
      <c r="I74" s="322">
        <f t="shared" si="36"/>
        <v>2079</v>
      </c>
      <c r="J74" s="71"/>
      <c r="K74" s="71">
        <f t="shared" si="37"/>
        <v>60</v>
      </c>
      <c r="L74" s="71"/>
      <c r="M74" s="7">
        <f t="shared" si="0"/>
        <v>0.1697330900164177</v>
      </c>
      <c r="N74" s="71"/>
      <c r="O74" s="10" t="str">
        <f t="shared" si="16"/>
        <v/>
      </c>
      <c r="P74" s="29" t="str">
        <f t="shared" si="38"/>
        <v/>
      </c>
      <c r="Q74" s="71"/>
      <c r="R74" s="10" t="str">
        <f t="shared" si="51"/>
        <v/>
      </c>
      <c r="S74" s="71"/>
      <c r="T74" s="10" t="str">
        <f t="shared" si="18"/>
        <v/>
      </c>
      <c r="U74" s="71"/>
      <c r="V74" s="10" t="str">
        <f t="shared" si="39"/>
        <v/>
      </c>
      <c r="W74" s="10" t="str">
        <f t="shared" si="19"/>
        <v/>
      </c>
      <c r="X74" s="71"/>
      <c r="Y74" s="10" t="str">
        <f t="shared" si="40"/>
        <v/>
      </c>
      <c r="Z74" s="10" t="str">
        <f t="shared" si="20"/>
        <v/>
      </c>
      <c r="AA74" s="71"/>
      <c r="AB74" s="10" t="str">
        <f t="shared" si="4"/>
        <v/>
      </c>
      <c r="AC74" s="10" t="str">
        <f t="shared" si="21"/>
        <v/>
      </c>
      <c r="AD74" s="71"/>
      <c r="AE74" s="10" t="str">
        <f t="shared" si="41"/>
        <v/>
      </c>
      <c r="AF74" s="10" t="str">
        <f t="shared" si="22"/>
        <v/>
      </c>
      <c r="AG74" s="71"/>
      <c r="AH74" s="10" t="str">
        <f t="shared" si="42"/>
        <v/>
      </c>
      <c r="AI74" s="10" t="str">
        <f t="shared" si="23"/>
        <v/>
      </c>
      <c r="AJ74" s="71"/>
      <c r="AK74" s="10" t="str">
        <f t="shared" si="43"/>
        <v/>
      </c>
      <c r="AL74" s="10" t="str">
        <f t="shared" si="24"/>
        <v/>
      </c>
      <c r="AM74" s="71"/>
      <c r="AN74" s="10" t="str">
        <f t="shared" si="44"/>
        <v/>
      </c>
      <c r="AO74" s="10" t="str">
        <f t="shared" si="25"/>
        <v/>
      </c>
      <c r="AP74" s="71"/>
      <c r="AQ74" s="10" t="str">
        <f t="shared" si="45"/>
        <v/>
      </c>
      <c r="AR74" s="10" t="str">
        <f t="shared" si="26"/>
        <v/>
      </c>
      <c r="AS74" s="71"/>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U74" s="71"/>
      <c r="AV74" s="10" t="str">
        <f t="shared" si="46"/>
        <v/>
      </c>
      <c r="AW74" s="10" t="str">
        <f t="shared" si="27"/>
        <v/>
      </c>
      <c r="AX74" s="71"/>
      <c r="AY74" s="7" t="str">
        <f>IF(ISERROR(IF($K74&lt;=$F$15,VLOOKUP($I74,'表4）CO2価格'!$A$7:$E$67,VLOOKUP($F$48,'表4）CO2価格'!$H$10:$I$12,2,0),0)*$F$8/1000,"")),0,IF($K74&lt;=$F$15,VLOOKUP($I74,'表4）CO2価格'!$A$7:$E$67,VLOOKUP($F$48,'表4）CO2価格'!$H$10:$I$12,2,0),0)*$F$8/1000,""))</f>
        <v/>
      </c>
      <c r="AZ74" s="71"/>
      <c r="BA74" s="11" t="str">
        <f t="shared" si="47"/>
        <v/>
      </c>
      <c r="BB74" s="10" t="str">
        <f t="shared" si="28"/>
        <v/>
      </c>
      <c r="BC74" s="71"/>
      <c r="BD74" s="10" t="str">
        <f t="shared" si="48"/>
        <v/>
      </c>
      <c r="BE74" s="10" t="str">
        <f t="shared" si="29"/>
        <v/>
      </c>
      <c r="BF74" s="71"/>
      <c r="BG74" s="11" t="str">
        <f t="shared" si="49"/>
        <v/>
      </c>
      <c r="BH74" s="10" t="str">
        <f t="shared" si="30"/>
        <v/>
      </c>
      <c r="BJ74" s="7" t="str">
        <f t="shared" si="31"/>
        <v/>
      </c>
      <c r="BK74" s="158" t="str">
        <f t="shared" si="32"/>
        <v/>
      </c>
      <c r="BL74" s="158" t="str">
        <f t="shared" si="14"/>
        <v/>
      </c>
      <c r="BM74" s="10"/>
      <c r="BN74" s="10" t="str">
        <f t="shared" si="33"/>
        <v/>
      </c>
      <c r="BO74" s="10" t="str">
        <f t="shared" si="34"/>
        <v/>
      </c>
      <c r="BQ74" s="10" t="str">
        <f t="shared" si="50"/>
        <v/>
      </c>
      <c r="BR74" s="10" t="str">
        <f t="shared" si="35"/>
        <v/>
      </c>
    </row>
    <row r="75" spans="2:70" x14ac:dyDescent="0.15">
      <c r="F75" s="487"/>
      <c r="H75" s="71"/>
      <c r="I75" s="38">
        <f t="shared" si="36"/>
        <v>2080</v>
      </c>
      <c r="J75" s="39"/>
      <c r="K75" s="39">
        <f t="shared" si="37"/>
        <v>61</v>
      </c>
      <c r="L75" s="39"/>
      <c r="M75" s="40">
        <f t="shared" si="0"/>
        <v>0.16478940778292983</v>
      </c>
      <c r="N75" s="39"/>
      <c r="O75" s="72" t="str">
        <f t="shared" si="16"/>
        <v/>
      </c>
      <c r="P75" s="41" t="str">
        <f t="shared" si="38"/>
        <v/>
      </c>
      <c r="Q75" s="39"/>
      <c r="R75" s="72" t="str">
        <f t="shared" si="51"/>
        <v/>
      </c>
      <c r="S75" s="39"/>
      <c r="T75" s="72" t="str">
        <f t="shared" si="18"/>
        <v/>
      </c>
      <c r="U75" s="39"/>
      <c r="V75" s="72" t="str">
        <f t="shared" si="39"/>
        <v/>
      </c>
      <c r="W75" s="72" t="str">
        <f t="shared" si="19"/>
        <v/>
      </c>
      <c r="X75" s="39"/>
      <c r="Y75" s="72" t="str">
        <f t="shared" si="40"/>
        <v/>
      </c>
      <c r="Z75" s="72" t="str">
        <f t="shared" si="20"/>
        <v/>
      </c>
      <c r="AA75" s="39"/>
      <c r="AB75" s="72" t="str">
        <f t="shared" si="4"/>
        <v/>
      </c>
      <c r="AC75" s="72" t="str">
        <f t="shared" si="21"/>
        <v/>
      </c>
      <c r="AD75" s="39"/>
      <c r="AE75" s="72" t="str">
        <f t="shared" si="41"/>
        <v/>
      </c>
      <c r="AF75" s="72" t="str">
        <f t="shared" si="22"/>
        <v/>
      </c>
      <c r="AG75" s="39"/>
      <c r="AH75" s="72" t="str">
        <f t="shared" si="42"/>
        <v/>
      </c>
      <c r="AI75" s="72" t="str">
        <f t="shared" si="23"/>
        <v/>
      </c>
      <c r="AJ75" s="39"/>
      <c r="AK75" s="72" t="str">
        <f t="shared" si="43"/>
        <v/>
      </c>
      <c r="AL75" s="72" t="str">
        <f t="shared" si="24"/>
        <v/>
      </c>
      <c r="AM75" s="39"/>
      <c r="AN75" s="72" t="str">
        <f t="shared" si="44"/>
        <v/>
      </c>
      <c r="AO75" s="72" t="str">
        <f t="shared" si="25"/>
        <v/>
      </c>
      <c r="AP75" s="39"/>
      <c r="AQ75" s="72" t="str">
        <f t="shared" si="45"/>
        <v/>
      </c>
      <c r="AR75" s="72" t="str">
        <f t="shared" si="26"/>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46"/>
        <v/>
      </c>
      <c r="AW75" s="72" t="str">
        <f t="shared" si="27"/>
        <v/>
      </c>
      <c r="AX75" s="39"/>
      <c r="AY75" s="40" t="str">
        <f>IF(ISERROR(IF($K75&lt;=$F$15,VLOOKUP($I75,'表4）CO2価格'!$A$7:$E$67,VLOOKUP($F$48,'表4）CO2価格'!$H$10:$I$12,2,0),0)*$F$8/1000,"")),0,IF($K75&lt;=$F$15,VLOOKUP($I75,'表4）CO2価格'!$A$7:$E$67,VLOOKUP($F$48,'表4）CO2価格'!$H$10:$I$12,2,0),0)*$F$8/1000,""))</f>
        <v/>
      </c>
      <c r="AZ75" s="39"/>
      <c r="BA75" s="42" t="str">
        <f t="shared" si="47"/>
        <v/>
      </c>
      <c r="BB75" s="72" t="str">
        <f t="shared" si="28"/>
        <v/>
      </c>
      <c r="BC75" s="39"/>
      <c r="BD75" s="72" t="str">
        <f t="shared" si="48"/>
        <v/>
      </c>
      <c r="BE75" s="72" t="str">
        <f t="shared" si="29"/>
        <v/>
      </c>
      <c r="BF75" s="39"/>
      <c r="BG75" s="42" t="str">
        <f t="shared" si="49"/>
        <v/>
      </c>
      <c r="BH75" s="72" t="str">
        <f t="shared" si="30"/>
        <v/>
      </c>
      <c r="BI75" s="39"/>
      <c r="BJ75" s="40" t="str">
        <f t="shared" si="31"/>
        <v/>
      </c>
      <c r="BK75" s="157" t="str">
        <f t="shared" si="32"/>
        <v/>
      </c>
      <c r="BL75" s="157" t="str">
        <f t="shared" si="14"/>
        <v/>
      </c>
      <c r="BM75" s="72"/>
      <c r="BN75" s="72" t="str">
        <f t="shared" si="33"/>
        <v/>
      </c>
      <c r="BO75" s="72" t="str">
        <f t="shared" si="34"/>
        <v/>
      </c>
      <c r="BP75" s="39"/>
      <c r="BQ75" s="72" t="str">
        <f t="shared" si="50"/>
        <v/>
      </c>
      <c r="BR75" s="72" t="str">
        <f t="shared" si="35"/>
        <v/>
      </c>
    </row>
    <row r="76" spans="2:70" x14ac:dyDescent="0.15">
      <c r="D76" s="100" t="s">
        <v>592</v>
      </c>
      <c r="E76" s="100"/>
      <c r="F76" s="486"/>
      <c r="G76" s="100"/>
      <c r="H76" s="71"/>
      <c r="I76" s="322">
        <f t="shared" si="36"/>
        <v>2081</v>
      </c>
      <c r="J76" s="71"/>
      <c r="K76" s="71">
        <f t="shared" si="37"/>
        <v>62</v>
      </c>
      <c r="L76" s="71"/>
      <c r="M76" s="7">
        <f t="shared" si="0"/>
        <v>0.15998971629410663</v>
      </c>
      <c r="N76" s="71"/>
      <c r="O76" s="10" t="str">
        <f t="shared" si="16"/>
        <v/>
      </c>
      <c r="P76" s="29" t="str">
        <f t="shared" si="38"/>
        <v/>
      </c>
      <c r="Q76" s="71"/>
      <c r="R76" s="10" t="str">
        <f t="shared" si="51"/>
        <v/>
      </c>
      <c r="S76" s="71"/>
      <c r="T76" s="10" t="str">
        <f t="shared" si="18"/>
        <v/>
      </c>
      <c r="U76" s="71"/>
      <c r="V76" s="10" t="str">
        <f t="shared" si="39"/>
        <v/>
      </c>
      <c r="W76" s="10" t="str">
        <f t="shared" si="19"/>
        <v/>
      </c>
      <c r="X76" s="71"/>
      <c r="Y76" s="10" t="str">
        <f t="shared" si="40"/>
        <v/>
      </c>
      <c r="Z76" s="10" t="str">
        <f t="shared" si="20"/>
        <v/>
      </c>
      <c r="AA76" s="71"/>
      <c r="AB76" s="10" t="str">
        <f t="shared" si="4"/>
        <v/>
      </c>
      <c r="AC76" s="10" t="str">
        <f t="shared" si="21"/>
        <v/>
      </c>
      <c r="AD76" s="71"/>
      <c r="AE76" s="10" t="str">
        <f t="shared" si="41"/>
        <v/>
      </c>
      <c r="AF76" s="10" t="str">
        <f t="shared" si="22"/>
        <v/>
      </c>
      <c r="AG76" s="71"/>
      <c r="AH76" s="10" t="str">
        <f t="shared" si="42"/>
        <v/>
      </c>
      <c r="AI76" s="10" t="str">
        <f t="shared" si="23"/>
        <v/>
      </c>
      <c r="AJ76" s="71"/>
      <c r="AK76" s="10" t="str">
        <f t="shared" si="43"/>
        <v/>
      </c>
      <c r="AL76" s="10" t="str">
        <f t="shared" si="24"/>
        <v/>
      </c>
      <c r="AM76" s="71"/>
      <c r="AN76" s="10" t="str">
        <f t="shared" si="44"/>
        <v/>
      </c>
      <c r="AO76" s="10" t="str">
        <f t="shared" si="25"/>
        <v/>
      </c>
      <c r="AP76" s="71"/>
      <c r="AQ76" s="10" t="str">
        <f t="shared" si="45"/>
        <v/>
      </c>
      <c r="AR76" s="10" t="str">
        <f t="shared" si="26"/>
        <v/>
      </c>
      <c r="AS76" s="71"/>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U76" s="71"/>
      <c r="AV76" s="10" t="str">
        <f t="shared" si="46"/>
        <v/>
      </c>
      <c r="AW76" s="10" t="str">
        <f t="shared" si="27"/>
        <v/>
      </c>
      <c r="AX76" s="71"/>
      <c r="AY76" s="7" t="str">
        <f>IF(ISERROR(IF($K76&lt;=$F$15,VLOOKUP($I76,'表4）CO2価格'!$A$7:$E$67,VLOOKUP($F$48,'表4）CO2価格'!$H$10:$I$12,2,0),0)*$F$8/1000,"")),0,IF($K76&lt;=$F$15,VLOOKUP($I76,'表4）CO2価格'!$A$7:$E$67,VLOOKUP($F$48,'表4）CO2価格'!$H$10:$I$12,2,0),0)*$F$8/1000,""))</f>
        <v/>
      </c>
      <c r="AZ76" s="71"/>
      <c r="BA76" s="11" t="str">
        <f t="shared" si="47"/>
        <v/>
      </c>
      <c r="BB76" s="10" t="str">
        <f t="shared" si="28"/>
        <v/>
      </c>
      <c r="BC76" s="71"/>
      <c r="BD76" s="10" t="str">
        <f t="shared" si="48"/>
        <v/>
      </c>
      <c r="BE76" s="10" t="str">
        <f t="shared" si="29"/>
        <v/>
      </c>
      <c r="BF76" s="71"/>
      <c r="BG76" s="11" t="str">
        <f t="shared" si="49"/>
        <v/>
      </c>
      <c r="BH76" s="10" t="str">
        <f t="shared" si="30"/>
        <v/>
      </c>
      <c r="BJ76" s="7" t="str">
        <f t="shared" si="31"/>
        <v/>
      </c>
      <c r="BK76" s="158" t="str">
        <f t="shared" si="32"/>
        <v/>
      </c>
      <c r="BL76" s="158" t="str">
        <f t="shared" si="14"/>
        <v/>
      </c>
      <c r="BM76" s="10"/>
      <c r="BN76" s="10" t="str">
        <f t="shared" si="33"/>
        <v/>
      </c>
      <c r="BO76" s="10" t="str">
        <f t="shared" si="34"/>
        <v/>
      </c>
      <c r="BQ76" s="10" t="str">
        <f t="shared" si="50"/>
        <v/>
      </c>
      <c r="BR76" s="10" t="str">
        <f t="shared" si="35"/>
        <v/>
      </c>
    </row>
    <row r="77" spans="2:70" x14ac:dyDescent="0.15">
      <c r="F77" s="487"/>
      <c r="H77" s="71"/>
      <c r="I77" s="38">
        <f t="shared" si="36"/>
        <v>2082</v>
      </c>
      <c r="J77" s="39"/>
      <c r="K77" s="39">
        <f t="shared" si="37"/>
        <v>63</v>
      </c>
      <c r="L77" s="39"/>
      <c r="M77" s="40">
        <f t="shared" si="0"/>
        <v>0.15532982164476369</v>
      </c>
      <c r="N77" s="39"/>
      <c r="O77" s="72" t="str">
        <f t="shared" si="16"/>
        <v/>
      </c>
      <c r="P77" s="41" t="str">
        <f t="shared" si="38"/>
        <v/>
      </c>
      <c r="Q77" s="39"/>
      <c r="R77" s="72" t="str">
        <f t="shared" si="51"/>
        <v/>
      </c>
      <c r="S77" s="39"/>
      <c r="T77" s="72" t="str">
        <f t="shared" si="18"/>
        <v/>
      </c>
      <c r="U77" s="39"/>
      <c r="V77" s="72" t="str">
        <f t="shared" si="39"/>
        <v/>
      </c>
      <c r="W77" s="72" t="str">
        <f t="shared" si="19"/>
        <v/>
      </c>
      <c r="X77" s="39"/>
      <c r="Y77" s="72" t="str">
        <f t="shared" si="40"/>
        <v/>
      </c>
      <c r="Z77" s="72" t="str">
        <f t="shared" si="20"/>
        <v/>
      </c>
      <c r="AA77" s="39"/>
      <c r="AB77" s="72" t="str">
        <f t="shared" si="4"/>
        <v/>
      </c>
      <c r="AC77" s="72" t="str">
        <f t="shared" si="21"/>
        <v/>
      </c>
      <c r="AD77" s="39"/>
      <c r="AE77" s="72" t="str">
        <f t="shared" si="41"/>
        <v/>
      </c>
      <c r="AF77" s="72" t="str">
        <f t="shared" si="22"/>
        <v/>
      </c>
      <c r="AG77" s="39"/>
      <c r="AH77" s="72" t="str">
        <f t="shared" si="42"/>
        <v/>
      </c>
      <c r="AI77" s="72" t="str">
        <f t="shared" si="23"/>
        <v/>
      </c>
      <c r="AJ77" s="39"/>
      <c r="AK77" s="72" t="str">
        <f t="shared" si="43"/>
        <v/>
      </c>
      <c r="AL77" s="72" t="str">
        <f t="shared" si="24"/>
        <v/>
      </c>
      <c r="AM77" s="39"/>
      <c r="AN77" s="72" t="str">
        <f t="shared" si="44"/>
        <v/>
      </c>
      <c r="AO77" s="72" t="str">
        <f t="shared" si="25"/>
        <v/>
      </c>
      <c r="AP77" s="39"/>
      <c r="AQ77" s="72" t="str">
        <f t="shared" si="45"/>
        <v/>
      </c>
      <c r="AR77" s="72" t="str">
        <f t="shared" si="26"/>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46"/>
        <v/>
      </c>
      <c r="AW77" s="72" t="str">
        <f t="shared" si="27"/>
        <v/>
      </c>
      <c r="AX77" s="39"/>
      <c r="AY77" s="40" t="str">
        <f>IF(ISERROR(IF($K77&lt;=$F$15,VLOOKUP($I77,'表4）CO2価格'!$A$7:$E$67,VLOOKUP($F$48,'表4）CO2価格'!$H$10:$I$12,2,0),0)*$F$8/1000,"")),0,IF($K77&lt;=$F$15,VLOOKUP($I77,'表4）CO2価格'!$A$7:$E$67,VLOOKUP($F$48,'表4）CO2価格'!$H$10:$I$12,2,0),0)*$F$8/1000,""))</f>
        <v/>
      </c>
      <c r="AZ77" s="39"/>
      <c r="BA77" s="42" t="str">
        <f t="shared" si="47"/>
        <v/>
      </c>
      <c r="BB77" s="72" t="str">
        <f t="shared" si="28"/>
        <v/>
      </c>
      <c r="BC77" s="39"/>
      <c r="BD77" s="72" t="str">
        <f t="shared" si="48"/>
        <v/>
      </c>
      <c r="BE77" s="72" t="str">
        <f t="shared" si="29"/>
        <v/>
      </c>
      <c r="BF77" s="39"/>
      <c r="BG77" s="42" t="str">
        <f t="shared" si="49"/>
        <v/>
      </c>
      <c r="BH77" s="72" t="str">
        <f t="shared" si="30"/>
        <v/>
      </c>
      <c r="BI77" s="39"/>
      <c r="BJ77" s="40" t="str">
        <f t="shared" si="31"/>
        <v/>
      </c>
      <c r="BK77" s="157" t="str">
        <f t="shared" si="32"/>
        <v/>
      </c>
      <c r="BL77" s="157" t="str">
        <f t="shared" si="14"/>
        <v/>
      </c>
      <c r="BM77" s="72"/>
      <c r="BN77" s="72" t="str">
        <f t="shared" si="33"/>
        <v/>
      </c>
      <c r="BO77" s="72" t="str">
        <f t="shared" si="34"/>
        <v/>
      </c>
      <c r="BP77" s="39"/>
      <c r="BQ77" s="72" t="str">
        <f t="shared" si="50"/>
        <v/>
      </c>
      <c r="BR77" s="72" t="str">
        <f t="shared" si="35"/>
        <v/>
      </c>
    </row>
    <row r="78" spans="2:70" x14ac:dyDescent="0.15">
      <c r="E78" s="70" t="s">
        <v>138</v>
      </c>
      <c r="F78" s="488">
        <f>R15/$BR$116</f>
        <v>5.2815971494822866</v>
      </c>
      <c r="G78" s="84" t="s">
        <v>590</v>
      </c>
      <c r="H78" s="71"/>
      <c r="I78" s="322">
        <f t="shared" si="36"/>
        <v>2083</v>
      </c>
      <c r="J78" s="71"/>
      <c r="K78" s="71">
        <f t="shared" si="37"/>
        <v>64</v>
      </c>
      <c r="L78" s="71"/>
      <c r="M78" s="7">
        <f t="shared" si="0"/>
        <v>0.15080565208229488</v>
      </c>
      <c r="N78" s="71"/>
      <c r="O78" s="10" t="str">
        <f t="shared" si="16"/>
        <v/>
      </c>
      <c r="P78" s="29" t="str">
        <f t="shared" si="38"/>
        <v/>
      </c>
      <c r="Q78" s="71"/>
      <c r="R78" s="10" t="str">
        <f t="shared" si="51"/>
        <v/>
      </c>
      <c r="S78" s="71"/>
      <c r="T78" s="10" t="str">
        <f t="shared" si="18"/>
        <v/>
      </c>
      <c r="U78" s="71"/>
      <c r="V78" s="10" t="str">
        <f t="shared" si="39"/>
        <v/>
      </c>
      <c r="W78" s="10" t="str">
        <f t="shared" si="19"/>
        <v/>
      </c>
      <c r="X78" s="71"/>
      <c r="Y78" s="10" t="str">
        <f t="shared" si="40"/>
        <v/>
      </c>
      <c r="Z78" s="10" t="str">
        <f t="shared" si="20"/>
        <v/>
      </c>
      <c r="AA78" s="71"/>
      <c r="AB78" s="10" t="str">
        <f t="shared" si="4"/>
        <v/>
      </c>
      <c r="AC78" s="10" t="str">
        <f t="shared" si="21"/>
        <v/>
      </c>
      <c r="AD78" s="71"/>
      <c r="AE78" s="10" t="str">
        <f t="shared" si="41"/>
        <v/>
      </c>
      <c r="AF78" s="10" t="str">
        <f t="shared" si="22"/>
        <v/>
      </c>
      <c r="AG78" s="71"/>
      <c r="AH78" s="10" t="str">
        <f t="shared" si="42"/>
        <v/>
      </c>
      <c r="AI78" s="10" t="str">
        <f t="shared" si="23"/>
        <v/>
      </c>
      <c r="AJ78" s="71"/>
      <c r="AK78" s="10" t="str">
        <f t="shared" si="43"/>
        <v/>
      </c>
      <c r="AL78" s="10" t="str">
        <f t="shared" si="24"/>
        <v/>
      </c>
      <c r="AM78" s="71"/>
      <c r="AN78" s="10" t="str">
        <f t="shared" si="44"/>
        <v/>
      </c>
      <c r="AO78" s="10" t="str">
        <f t="shared" si="25"/>
        <v/>
      </c>
      <c r="AP78" s="71"/>
      <c r="AQ78" s="10" t="str">
        <f t="shared" si="45"/>
        <v/>
      </c>
      <c r="AR78" s="10" t="str">
        <f t="shared" si="26"/>
        <v/>
      </c>
      <c r="AS78" s="71"/>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U78" s="71"/>
      <c r="AV78" s="10" t="str">
        <f t="shared" si="46"/>
        <v/>
      </c>
      <c r="AW78" s="10" t="str">
        <f t="shared" si="27"/>
        <v/>
      </c>
      <c r="AX78" s="71"/>
      <c r="AY78" s="7" t="str">
        <f>IF(ISERROR(IF($K78&lt;=$F$15,VLOOKUP($I78,'表4）CO2価格'!$A$7:$E$67,VLOOKUP($F$48,'表4）CO2価格'!$H$10:$I$12,2,0),0)*$F$8/1000,"")),0,IF($K78&lt;=$F$15,VLOOKUP($I78,'表4）CO2価格'!$A$7:$E$67,VLOOKUP($F$48,'表4）CO2価格'!$H$10:$I$12,2,0),0)*$F$8/1000,""))</f>
        <v/>
      </c>
      <c r="AZ78" s="71"/>
      <c r="BA78" s="11" t="str">
        <f t="shared" si="47"/>
        <v/>
      </c>
      <c r="BB78" s="10" t="str">
        <f t="shared" si="28"/>
        <v/>
      </c>
      <c r="BC78" s="71"/>
      <c r="BD78" s="10" t="str">
        <f t="shared" si="48"/>
        <v/>
      </c>
      <c r="BE78" s="10" t="str">
        <f t="shared" si="29"/>
        <v/>
      </c>
      <c r="BF78" s="71"/>
      <c r="BG78" s="11" t="str">
        <f t="shared" si="49"/>
        <v/>
      </c>
      <c r="BH78" s="10" t="str">
        <f t="shared" si="30"/>
        <v/>
      </c>
      <c r="BJ78" s="7" t="str">
        <f t="shared" si="31"/>
        <v/>
      </c>
      <c r="BK78" s="158" t="str">
        <f t="shared" si="32"/>
        <v/>
      </c>
      <c r="BL78" s="158" t="str">
        <f t="shared" si="14"/>
        <v/>
      </c>
      <c r="BM78" s="10"/>
      <c r="BN78" s="10" t="str">
        <f t="shared" si="33"/>
        <v/>
      </c>
      <c r="BO78" s="10" t="str">
        <f t="shared" si="34"/>
        <v/>
      </c>
      <c r="BQ78" s="10" t="str">
        <f t="shared" si="50"/>
        <v/>
      </c>
      <c r="BR78" s="10" t="str">
        <f t="shared" si="35"/>
        <v/>
      </c>
    </row>
    <row r="79" spans="2:70" x14ac:dyDescent="0.15">
      <c r="E79" s="84" t="s">
        <v>139</v>
      </c>
      <c r="F79" s="488">
        <f>Z116/$BR$116</f>
        <v>0.44856421930772983</v>
      </c>
      <c r="G79" s="84" t="s">
        <v>590</v>
      </c>
      <c r="H79" s="71"/>
      <c r="I79" s="38">
        <f t="shared" si="36"/>
        <v>2084</v>
      </c>
      <c r="J79" s="39"/>
      <c r="K79" s="39">
        <f t="shared" si="37"/>
        <v>65</v>
      </c>
      <c r="L79" s="39"/>
      <c r="M79" s="40">
        <f t="shared" ref="M79:M114" si="52">1/(1+($F$9/100))^K79</f>
        <v>0.14641325444882999</v>
      </c>
      <c r="N79" s="39"/>
      <c r="O79" s="72" t="str">
        <f t="shared" si="16"/>
        <v/>
      </c>
      <c r="P79" s="41" t="str">
        <f t="shared" ref="P79:P110" si="53">IF(K79&lt;=$F$15,IF(OR(P78=$F$124,P78="-"),"-",IF(O79*$F$123&gt;$F$127,$F$123,$F$124)),"")</f>
        <v/>
      </c>
      <c r="Q79" s="39"/>
      <c r="R79" s="72" t="str">
        <f t="shared" si="51"/>
        <v/>
      </c>
      <c r="S79" s="39"/>
      <c r="T79" s="72" t="str">
        <f t="shared" si="18"/>
        <v/>
      </c>
      <c r="U79" s="39"/>
      <c r="V79" s="72" t="str">
        <f t="shared" ref="V79:V114" si="54">IF(K79&lt;=$F$15,IF(K79&lt;$F$119,IF(P79="-",V78,O79*P79),IF(K79=$F$119,MIN(IF(P79="-",V78,O79*P79),O79),0)),"")</f>
        <v/>
      </c>
      <c r="W79" s="72" t="str">
        <f t="shared" si="19"/>
        <v/>
      </c>
      <c r="X79" s="39"/>
      <c r="Y79" s="72" t="str">
        <f t="shared" ref="Y79:Y114" si="55">IF($K79&lt;=$F$15,ROUNDDOWN(T79*$F$25/100,-2),"")</f>
        <v/>
      </c>
      <c r="Z79" s="72" t="str">
        <f t="shared" si="20"/>
        <v/>
      </c>
      <c r="AA79" s="39"/>
      <c r="AB79" s="72" t="str">
        <f t="shared" ref="AB79:AB114" si="56">IF($K79&lt;=$F$15,0,IF(AND($K79&gt;$F$15,$K79&lt;=$F$15+$F$28),$F$27*10^8/$F$28,""))</f>
        <v/>
      </c>
      <c r="AC79" s="72" t="str">
        <f t="shared" si="21"/>
        <v/>
      </c>
      <c r="AD79" s="39"/>
      <c r="AE79" s="72" t="str">
        <f t="shared" ref="AE79:AE114" si="57">IF($K79&lt;=$F$15,$F$26,"")</f>
        <v/>
      </c>
      <c r="AF79" s="72" t="str">
        <f t="shared" si="22"/>
        <v/>
      </c>
      <c r="AG79" s="39"/>
      <c r="AH79" s="72" t="str">
        <f t="shared" ref="AH79:AH114" si="58">IF($K79&lt;=$F$15,$F$33*10^4*$F$13*10^4,"")</f>
        <v/>
      </c>
      <c r="AI79" s="72" t="str">
        <f t="shared" si="23"/>
        <v/>
      </c>
      <c r="AJ79" s="39"/>
      <c r="AK79" s="72" t="str">
        <f t="shared" ref="AK79:AK114" si="59">IF($K79&lt;=$F$15,$F$117*$F$34/100,"")</f>
        <v/>
      </c>
      <c r="AL79" s="72" t="str">
        <f t="shared" si="24"/>
        <v/>
      </c>
      <c r="AM79" s="39"/>
      <c r="AN79" s="72" t="str">
        <f t="shared" ref="AN79:AN114" si="60">IF($K79&lt;=$F$15,$F$117*$F$35/100,"")</f>
        <v/>
      </c>
      <c r="AO79" s="72" t="str">
        <f t="shared" si="25"/>
        <v/>
      </c>
      <c r="AP79" s="39"/>
      <c r="AQ79" s="72" t="str">
        <f t="shared" ref="AQ79:AQ114" si="61">IF($K79&lt;=$F$15,SUM(AH79,AK79,AN79)*($F$36/100),"")</f>
        <v/>
      </c>
      <c r="AR79" s="72" t="str">
        <f t="shared" si="26"/>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62">IF($K79&lt;=$F$15,($AT79+$F$142)*$F$137,"")</f>
        <v/>
      </c>
      <c r="AW79" s="72" t="str">
        <f t="shared" si="27"/>
        <v/>
      </c>
      <c r="AX79" s="39"/>
      <c r="AY79" s="40" t="str">
        <f>IF(ISERROR(IF($K79&lt;=$F$15,VLOOKUP($I79,'表4）CO2価格'!$A$7:$E$67,VLOOKUP($F$48,'表4）CO2価格'!$H$10:$I$12,2,0),0)*$F$8/1000,"")),0,IF($K79&lt;=$F$15,VLOOKUP($I79,'表4）CO2価格'!$A$7:$E$67,VLOOKUP($F$48,'表4）CO2価格'!$H$10:$I$12,2,0),0)*$F$8/1000,""))</f>
        <v/>
      </c>
      <c r="AZ79" s="39"/>
      <c r="BA79" s="42" t="str">
        <f t="shared" ref="BA79:BA114" si="63">IF($K79&lt;=$F$15,$F$145*AY79,"")</f>
        <v/>
      </c>
      <c r="BB79" s="72" t="str">
        <f t="shared" si="28"/>
        <v/>
      </c>
      <c r="BC79" s="39"/>
      <c r="BD79" s="72" t="str">
        <f t="shared" ref="BD79:BD114" si="64">IF($K79&lt;=$F$15,($AT79+$F$152)*$F$151,"")</f>
        <v/>
      </c>
      <c r="BE79" s="72" t="str">
        <f t="shared" si="29"/>
        <v/>
      </c>
      <c r="BF79" s="39"/>
      <c r="BG79" s="42" t="str">
        <f t="shared" ref="BG79:BG114" si="65">IF($K79&lt;=$F$15,$F$153*AY79,"")</f>
        <v/>
      </c>
      <c r="BH79" s="72" t="str">
        <f t="shared" si="30"/>
        <v/>
      </c>
      <c r="BI79" s="39"/>
      <c r="BJ79" s="40" t="str">
        <f t="shared" si="31"/>
        <v/>
      </c>
      <c r="BK79" s="157" t="str">
        <f t="shared" si="32"/>
        <v/>
      </c>
      <c r="BL79" s="157" t="str">
        <f t="shared" ref="BL79:BL114" si="66">IF(AND(ISNUMBER(BJ79),$K79&lt;=$F$16),BQ79*BJ79,"")</f>
        <v/>
      </c>
      <c r="BM79" s="72"/>
      <c r="BN79" s="72" t="str">
        <f t="shared" si="33"/>
        <v/>
      </c>
      <c r="BO79" s="72" t="str">
        <f t="shared" si="34"/>
        <v/>
      </c>
      <c r="BP79" s="39"/>
      <c r="BQ79" s="72" t="str">
        <f t="shared" ref="BQ79:BQ114" si="67">IF($K79&lt;=$F$15,$F$134,"")</f>
        <v/>
      </c>
      <c r="BR79" s="72" t="str">
        <f t="shared" si="35"/>
        <v/>
      </c>
    </row>
    <row r="80" spans="2:70" x14ac:dyDescent="0.15">
      <c r="E80" s="84" t="s">
        <v>115</v>
      </c>
      <c r="F80" s="488">
        <f>AF116/$BR$116</f>
        <v>0</v>
      </c>
      <c r="G80" s="84" t="s">
        <v>590</v>
      </c>
      <c r="H80" s="71"/>
      <c r="I80" s="322">
        <f t="shared" si="36"/>
        <v>2085</v>
      </c>
      <c r="J80" s="71"/>
      <c r="K80" s="71">
        <f t="shared" si="37"/>
        <v>66</v>
      </c>
      <c r="L80" s="71"/>
      <c r="M80" s="7">
        <f t="shared" si="52"/>
        <v>0.14214879072701941</v>
      </c>
      <c r="N80" s="71"/>
      <c r="O80" s="10" t="str">
        <f t="shared" ref="O80:O114" si="68">IF(K80&lt;=$F$15,O79-V79,"")</f>
        <v/>
      </c>
      <c r="P80" s="29" t="str">
        <f t="shared" si="53"/>
        <v/>
      </c>
      <c r="Q80" s="71"/>
      <c r="R80" s="10" t="str">
        <f t="shared" ref="R80:R114" si="69">IF($K80&lt;=$F$15,MAX($F$117*5%,R79*$F$129),"")</f>
        <v/>
      </c>
      <c r="S80" s="71"/>
      <c r="T80" s="10" t="str">
        <f t="shared" ref="T80:T114" si="70">IF(ISNUMBER(R80),ROUNDDOWN(R80,-3),"")</f>
        <v/>
      </c>
      <c r="U80" s="71"/>
      <c r="V80" s="10" t="str">
        <f t="shared" si="54"/>
        <v/>
      </c>
      <c r="W80" s="10" t="str">
        <f t="shared" ref="W80:W114" si="71">IF(ISNUMBER(V80),V80*$M80,"")</f>
        <v/>
      </c>
      <c r="X80" s="71"/>
      <c r="Y80" s="10" t="str">
        <f t="shared" si="55"/>
        <v/>
      </c>
      <c r="Z80" s="10" t="str">
        <f t="shared" ref="Z80:Z114" si="72">IF(ISNUMBER(Y80),Y80*$M80,"")</f>
        <v/>
      </c>
      <c r="AA80" s="71"/>
      <c r="AB80" s="10" t="str">
        <f t="shared" si="56"/>
        <v/>
      </c>
      <c r="AC80" s="10" t="str">
        <f t="shared" ref="AC80:AC114" si="73">IF(ISNUMBER(AB80),AB80*$M80,"")</f>
        <v/>
      </c>
      <c r="AD80" s="71"/>
      <c r="AE80" s="10" t="str">
        <f t="shared" si="57"/>
        <v/>
      </c>
      <c r="AF80" s="10" t="str">
        <f t="shared" ref="AF80:AF114" si="74">IF(ISNUMBER(AE80),AE80*$M80,"")</f>
        <v/>
      </c>
      <c r="AG80" s="71"/>
      <c r="AH80" s="10" t="str">
        <f t="shared" si="58"/>
        <v/>
      </c>
      <c r="AI80" s="10" t="str">
        <f t="shared" ref="AI80:AI114" si="75">IF(ISNUMBER(AH80),AH80*$M80,"")</f>
        <v/>
      </c>
      <c r="AJ80" s="71"/>
      <c r="AK80" s="10" t="str">
        <f t="shared" si="59"/>
        <v/>
      </c>
      <c r="AL80" s="10" t="str">
        <f t="shared" ref="AL80:AL114" si="76">IF(ISNUMBER(AK80),AK80*$M80,"")</f>
        <v/>
      </c>
      <c r="AM80" s="71"/>
      <c r="AN80" s="10" t="str">
        <f t="shared" si="60"/>
        <v/>
      </c>
      <c r="AO80" s="10" t="str">
        <f t="shared" ref="AO80:AO114" si="77">IF(ISNUMBER(AN80),AN80*$M80,"")</f>
        <v/>
      </c>
      <c r="AP80" s="71"/>
      <c r="AQ80" s="10" t="str">
        <f t="shared" si="61"/>
        <v/>
      </c>
      <c r="AR80" s="10" t="str">
        <f t="shared" ref="AR80:AR114" si="78">IF(ISNUMBER(AQ80),AQ80*$M80,"")</f>
        <v/>
      </c>
      <c r="AS80" s="71"/>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U80" s="71"/>
      <c r="AV80" s="10" t="str">
        <f t="shared" si="62"/>
        <v/>
      </c>
      <c r="AW80" s="10" t="str">
        <f t="shared" ref="AW80:AW114" si="79">IF(ISNUMBER(AV80),AV80*$M80,"")</f>
        <v/>
      </c>
      <c r="AX80" s="71"/>
      <c r="AY80" s="7" t="str">
        <f>IF(ISERROR(IF($K80&lt;=$F$15,VLOOKUP($I80,'表4）CO2価格'!$A$7:$E$67,VLOOKUP($F$48,'表4）CO2価格'!$H$10:$I$12,2,0),0)*$F$8/1000,"")),0,IF($K80&lt;=$F$15,VLOOKUP($I80,'表4）CO2価格'!$A$7:$E$67,VLOOKUP($F$48,'表4）CO2価格'!$H$10:$I$12,2,0),0)*$F$8/1000,""))</f>
        <v/>
      </c>
      <c r="AZ80" s="71"/>
      <c r="BA80" s="11" t="str">
        <f t="shared" si="63"/>
        <v/>
      </c>
      <c r="BB80" s="10" t="str">
        <f t="shared" ref="BB80:BB114" si="80">IF(ISNUMBER(BA80),BA80*$M80,"")</f>
        <v/>
      </c>
      <c r="BC80" s="71"/>
      <c r="BD80" s="10" t="str">
        <f t="shared" si="64"/>
        <v/>
      </c>
      <c r="BE80" s="10" t="str">
        <f t="shared" ref="BE80:BE114" si="81">IF(ISNUMBER(BD80),BD80*$M80,"")</f>
        <v/>
      </c>
      <c r="BF80" s="71"/>
      <c r="BG80" s="11" t="str">
        <f t="shared" si="65"/>
        <v/>
      </c>
      <c r="BH80" s="10" t="str">
        <f t="shared" ref="BH80:BH114" si="82">IF(ISNUMBER(BG80),BG80*$M80,"")</f>
        <v/>
      </c>
      <c r="BJ80" s="7" t="str">
        <f t="shared" ref="BJ80:BJ114" si="83">IF(ISNUMBER($F$16),IF($K80&lt;=$F$16+$F$28,1/(1+($F$17/100))^K80,""),"")</f>
        <v/>
      </c>
      <c r="BK80" s="158" t="str">
        <f t="shared" ref="BK80:BK114" si="84">IF(ISNUMBER($F$16),IF($K80&lt;=$F$16+$F$28,IF($K80&lt;=$F$16,SUM(Y80,AB80,AE80,AH80,AK80,AN80,AQ80,AV80,BA80,BD80,BG80),$F$27/$F$28*10^8)*BJ80,""),"")</f>
        <v/>
      </c>
      <c r="BL80" s="158" t="str">
        <f t="shared" si="66"/>
        <v/>
      </c>
      <c r="BM80" s="10"/>
      <c r="BN80" s="10" t="str">
        <f t="shared" ref="BN80:BN114" si="85">IF(AND(ISNUMBER($F$16),$K80&lt;=$F$16),BQ80*($O$15+$BK$116)/$BL$116,"")</f>
        <v/>
      </c>
      <c r="BO80" s="10" t="str">
        <f t="shared" ref="BO80:BO114" si="86">IF(ISNUMBER(BN80),BN80*$M80,"")</f>
        <v/>
      </c>
      <c r="BQ80" s="10" t="str">
        <f t="shared" si="67"/>
        <v/>
      </c>
      <c r="BR80" s="10" t="str">
        <f t="shared" ref="BR80:BR114" si="87">IF(ISNUMBER(BQ80),BQ80*$M80,"")</f>
        <v/>
      </c>
    </row>
    <row r="81" spans="4:70" x14ac:dyDescent="0.15">
      <c r="E81" s="160" t="s">
        <v>86</v>
      </c>
      <c r="F81" s="488">
        <f>AC116/$BR$116</f>
        <v>7.8597560018700649E-2</v>
      </c>
      <c r="G81" s="84" t="s">
        <v>590</v>
      </c>
      <c r="H81" s="71"/>
      <c r="I81" s="38">
        <f t="shared" ref="I81:I114" si="88">I80+1</f>
        <v>2086</v>
      </c>
      <c r="J81" s="39"/>
      <c r="K81" s="39">
        <f t="shared" ref="K81:K114" si="89">IF(I81&lt;&gt;"",K80+1,"")</f>
        <v>67</v>
      </c>
      <c r="L81" s="39"/>
      <c r="M81" s="40">
        <f t="shared" si="52"/>
        <v>0.1380085346864266</v>
      </c>
      <c r="N81" s="39"/>
      <c r="O81" s="72" t="str">
        <f t="shared" si="68"/>
        <v/>
      </c>
      <c r="P81" s="41" t="str">
        <f t="shared" si="53"/>
        <v/>
      </c>
      <c r="Q81" s="39"/>
      <c r="R81" s="72" t="str">
        <f t="shared" si="69"/>
        <v/>
      </c>
      <c r="S81" s="39"/>
      <c r="T81" s="72" t="str">
        <f t="shared" si="70"/>
        <v/>
      </c>
      <c r="U81" s="39"/>
      <c r="V81" s="72" t="str">
        <f t="shared" si="54"/>
        <v/>
      </c>
      <c r="W81" s="72" t="str">
        <f t="shared" si="71"/>
        <v/>
      </c>
      <c r="X81" s="39"/>
      <c r="Y81" s="72" t="str">
        <f t="shared" si="55"/>
        <v/>
      </c>
      <c r="Z81" s="72" t="str">
        <f t="shared" si="72"/>
        <v/>
      </c>
      <c r="AA81" s="39"/>
      <c r="AB81" s="72" t="str">
        <f t="shared" si="56"/>
        <v/>
      </c>
      <c r="AC81" s="72" t="str">
        <f t="shared" si="73"/>
        <v/>
      </c>
      <c r="AD81" s="39"/>
      <c r="AE81" s="72" t="str">
        <f t="shared" si="57"/>
        <v/>
      </c>
      <c r="AF81" s="72" t="str">
        <f t="shared" si="74"/>
        <v/>
      </c>
      <c r="AG81" s="39"/>
      <c r="AH81" s="72" t="str">
        <f t="shared" si="58"/>
        <v/>
      </c>
      <c r="AI81" s="72" t="str">
        <f t="shared" si="75"/>
        <v/>
      </c>
      <c r="AJ81" s="39"/>
      <c r="AK81" s="72" t="str">
        <f t="shared" si="59"/>
        <v/>
      </c>
      <c r="AL81" s="72" t="str">
        <f t="shared" si="76"/>
        <v/>
      </c>
      <c r="AM81" s="39"/>
      <c r="AN81" s="72" t="str">
        <f t="shared" si="60"/>
        <v/>
      </c>
      <c r="AO81" s="72" t="str">
        <f t="shared" si="77"/>
        <v/>
      </c>
      <c r="AP81" s="39"/>
      <c r="AQ81" s="72" t="str">
        <f t="shared" si="61"/>
        <v/>
      </c>
      <c r="AR81" s="72" t="str">
        <f t="shared" si="78"/>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62"/>
        <v/>
      </c>
      <c r="AW81" s="72" t="str">
        <f t="shared" si="79"/>
        <v/>
      </c>
      <c r="AX81" s="39"/>
      <c r="AY81" s="40" t="str">
        <f>IF(ISERROR(IF($K81&lt;=$F$15,VLOOKUP($I81,'表4）CO2価格'!$A$7:$E$67,VLOOKUP($F$48,'表4）CO2価格'!$H$10:$I$12,2,0),0)*$F$8/1000,"")),0,IF($K81&lt;=$F$15,VLOOKUP($I81,'表4）CO2価格'!$A$7:$E$67,VLOOKUP($F$48,'表4）CO2価格'!$H$10:$I$12,2,0),0)*$F$8/1000,""))</f>
        <v/>
      </c>
      <c r="AZ81" s="39"/>
      <c r="BA81" s="42" t="str">
        <f t="shared" si="63"/>
        <v/>
      </c>
      <c r="BB81" s="72" t="str">
        <f t="shared" si="80"/>
        <v/>
      </c>
      <c r="BC81" s="39"/>
      <c r="BD81" s="72" t="str">
        <f t="shared" si="64"/>
        <v/>
      </c>
      <c r="BE81" s="72" t="str">
        <f t="shared" si="81"/>
        <v/>
      </c>
      <c r="BF81" s="39"/>
      <c r="BG81" s="42" t="str">
        <f t="shared" si="65"/>
        <v/>
      </c>
      <c r="BH81" s="72" t="str">
        <f t="shared" si="82"/>
        <v/>
      </c>
      <c r="BI81" s="39"/>
      <c r="BJ81" s="40" t="str">
        <f t="shared" si="83"/>
        <v/>
      </c>
      <c r="BK81" s="157" t="str">
        <f t="shared" si="84"/>
        <v/>
      </c>
      <c r="BL81" s="157" t="str">
        <f t="shared" si="66"/>
        <v/>
      </c>
      <c r="BM81" s="72"/>
      <c r="BN81" s="72" t="str">
        <f t="shared" si="85"/>
        <v/>
      </c>
      <c r="BO81" s="72" t="str">
        <f t="shared" si="86"/>
        <v/>
      </c>
      <c r="BP81" s="39"/>
      <c r="BQ81" s="72" t="str">
        <f t="shared" si="67"/>
        <v/>
      </c>
      <c r="BR81" s="72" t="str">
        <f t="shared" si="87"/>
        <v/>
      </c>
    </row>
    <row r="82" spans="4:70" x14ac:dyDescent="0.15">
      <c r="F82" s="487"/>
      <c r="H82" s="71"/>
      <c r="I82" s="322">
        <f t="shared" si="88"/>
        <v>2087</v>
      </c>
      <c r="J82" s="71"/>
      <c r="K82" s="71">
        <f t="shared" si="89"/>
        <v>68</v>
      </c>
      <c r="L82" s="71"/>
      <c r="M82" s="7">
        <f t="shared" si="52"/>
        <v>0.13398886862759865</v>
      </c>
      <c r="N82" s="71"/>
      <c r="O82" s="10" t="str">
        <f t="shared" si="68"/>
        <v/>
      </c>
      <c r="P82" s="29" t="str">
        <f t="shared" si="53"/>
        <v/>
      </c>
      <c r="Q82" s="71"/>
      <c r="R82" s="10" t="str">
        <f t="shared" si="69"/>
        <v/>
      </c>
      <c r="S82" s="71"/>
      <c r="T82" s="10" t="str">
        <f t="shared" si="70"/>
        <v/>
      </c>
      <c r="U82" s="71"/>
      <c r="V82" s="10" t="str">
        <f t="shared" si="54"/>
        <v/>
      </c>
      <c r="W82" s="10" t="str">
        <f t="shared" si="71"/>
        <v/>
      </c>
      <c r="X82" s="71"/>
      <c r="Y82" s="10" t="str">
        <f t="shared" si="55"/>
        <v/>
      </c>
      <c r="Z82" s="10" t="str">
        <f t="shared" si="72"/>
        <v/>
      </c>
      <c r="AA82" s="71"/>
      <c r="AB82" s="10" t="str">
        <f t="shared" si="56"/>
        <v/>
      </c>
      <c r="AC82" s="10" t="str">
        <f t="shared" si="73"/>
        <v/>
      </c>
      <c r="AD82" s="71"/>
      <c r="AE82" s="10" t="str">
        <f t="shared" si="57"/>
        <v/>
      </c>
      <c r="AF82" s="10" t="str">
        <f t="shared" si="74"/>
        <v/>
      </c>
      <c r="AG82" s="71"/>
      <c r="AH82" s="10" t="str">
        <f t="shared" si="58"/>
        <v/>
      </c>
      <c r="AI82" s="10" t="str">
        <f t="shared" si="75"/>
        <v/>
      </c>
      <c r="AJ82" s="71"/>
      <c r="AK82" s="10" t="str">
        <f t="shared" si="59"/>
        <v/>
      </c>
      <c r="AL82" s="10" t="str">
        <f t="shared" si="76"/>
        <v/>
      </c>
      <c r="AM82" s="71"/>
      <c r="AN82" s="10" t="str">
        <f t="shared" si="60"/>
        <v/>
      </c>
      <c r="AO82" s="10" t="str">
        <f t="shared" si="77"/>
        <v/>
      </c>
      <c r="AP82" s="71"/>
      <c r="AQ82" s="10" t="str">
        <f t="shared" si="61"/>
        <v/>
      </c>
      <c r="AR82" s="10" t="str">
        <f t="shared" si="78"/>
        <v/>
      </c>
      <c r="AS82" s="71"/>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U82" s="71"/>
      <c r="AV82" s="10" t="str">
        <f t="shared" si="62"/>
        <v/>
      </c>
      <c r="AW82" s="10" t="str">
        <f t="shared" si="79"/>
        <v/>
      </c>
      <c r="AX82" s="71"/>
      <c r="AY82" s="7" t="str">
        <f>IF(ISERROR(IF($K82&lt;=$F$15,VLOOKUP($I82,'表4）CO2価格'!$A$7:$E$67,VLOOKUP($F$48,'表4）CO2価格'!$H$10:$I$12,2,0),0)*$F$8/1000,"")),0,IF($K82&lt;=$F$15,VLOOKUP($I82,'表4）CO2価格'!$A$7:$E$67,VLOOKUP($F$48,'表4）CO2価格'!$H$10:$I$12,2,0),0)*$F$8/1000,""))</f>
        <v/>
      </c>
      <c r="AZ82" s="71"/>
      <c r="BA82" s="11" t="str">
        <f t="shared" si="63"/>
        <v/>
      </c>
      <c r="BB82" s="10" t="str">
        <f t="shared" si="80"/>
        <v/>
      </c>
      <c r="BC82" s="71"/>
      <c r="BD82" s="10" t="str">
        <f t="shared" si="64"/>
        <v/>
      </c>
      <c r="BE82" s="10" t="str">
        <f t="shared" si="81"/>
        <v/>
      </c>
      <c r="BF82" s="71"/>
      <c r="BG82" s="11" t="str">
        <f t="shared" si="65"/>
        <v/>
      </c>
      <c r="BH82" s="10" t="str">
        <f t="shared" si="82"/>
        <v/>
      </c>
      <c r="BJ82" s="7" t="str">
        <f t="shared" si="83"/>
        <v/>
      </c>
      <c r="BK82" s="158" t="str">
        <f t="shared" si="84"/>
        <v/>
      </c>
      <c r="BL82" s="158" t="str">
        <f t="shared" si="66"/>
        <v/>
      </c>
      <c r="BM82" s="10"/>
      <c r="BN82" s="10" t="str">
        <f t="shared" si="85"/>
        <v/>
      </c>
      <c r="BO82" s="10" t="str">
        <f t="shared" si="86"/>
        <v/>
      </c>
      <c r="BQ82" s="10" t="str">
        <f t="shared" si="67"/>
        <v/>
      </c>
      <c r="BR82" s="10" t="str">
        <f t="shared" si="87"/>
        <v/>
      </c>
    </row>
    <row r="83" spans="4:70" ht="15" x14ac:dyDescent="0.15">
      <c r="D83" s="103" t="s">
        <v>593</v>
      </c>
      <c r="F83" s="484">
        <f>SUBTOTAL(9,F87:F90)</f>
        <v>5.099666018236408</v>
      </c>
      <c r="G83" s="84" t="s">
        <v>590</v>
      </c>
      <c r="H83" s="71"/>
      <c r="I83" s="38">
        <f>I82+1</f>
        <v>2088</v>
      </c>
      <c r="J83" s="39"/>
      <c r="K83" s="39">
        <f>IF(I83&lt;&gt;"",K82+1,"")</f>
        <v>69</v>
      </c>
      <c r="L83" s="39"/>
      <c r="M83" s="40">
        <f t="shared" si="52"/>
        <v>0.13008628022096957</v>
      </c>
      <c r="N83" s="39"/>
      <c r="O83" s="72" t="str">
        <f t="shared" si="68"/>
        <v/>
      </c>
      <c r="P83" s="41" t="str">
        <f t="shared" si="53"/>
        <v/>
      </c>
      <c r="Q83" s="39"/>
      <c r="R83" s="72" t="str">
        <f t="shared" si="69"/>
        <v/>
      </c>
      <c r="S83" s="39"/>
      <c r="T83" s="72" t="str">
        <f t="shared" si="70"/>
        <v/>
      </c>
      <c r="U83" s="39"/>
      <c r="V83" s="72" t="str">
        <f t="shared" si="54"/>
        <v/>
      </c>
      <c r="W83" s="72" t="str">
        <f t="shared" si="71"/>
        <v/>
      </c>
      <c r="X83" s="39"/>
      <c r="Y83" s="72" t="str">
        <f t="shared" si="55"/>
        <v/>
      </c>
      <c r="Z83" s="72" t="str">
        <f t="shared" si="72"/>
        <v/>
      </c>
      <c r="AA83" s="39"/>
      <c r="AB83" s="72" t="str">
        <f t="shared" si="56"/>
        <v/>
      </c>
      <c r="AC83" s="72" t="str">
        <f t="shared" si="73"/>
        <v/>
      </c>
      <c r="AD83" s="39"/>
      <c r="AE83" s="72" t="str">
        <f t="shared" si="57"/>
        <v/>
      </c>
      <c r="AF83" s="72" t="str">
        <f t="shared" si="74"/>
        <v/>
      </c>
      <c r="AG83" s="39"/>
      <c r="AH83" s="72" t="str">
        <f t="shared" si="58"/>
        <v/>
      </c>
      <c r="AI83" s="72" t="str">
        <f t="shared" si="75"/>
        <v/>
      </c>
      <c r="AJ83" s="39"/>
      <c r="AK83" s="72" t="str">
        <f t="shared" si="59"/>
        <v/>
      </c>
      <c r="AL83" s="72" t="str">
        <f t="shared" si="76"/>
        <v/>
      </c>
      <c r="AM83" s="39"/>
      <c r="AN83" s="72" t="str">
        <f t="shared" si="60"/>
        <v/>
      </c>
      <c r="AO83" s="72" t="str">
        <f t="shared" si="77"/>
        <v/>
      </c>
      <c r="AP83" s="39"/>
      <c r="AQ83" s="72" t="str">
        <f t="shared" si="61"/>
        <v/>
      </c>
      <c r="AR83" s="72" t="str">
        <f t="shared" si="78"/>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62"/>
        <v/>
      </c>
      <c r="AW83" s="72" t="str">
        <f t="shared" si="79"/>
        <v/>
      </c>
      <c r="AX83" s="39"/>
      <c r="AY83" s="40" t="str">
        <f>IF(ISERROR(IF($K83&lt;=$F$15,VLOOKUP($I83,'表4）CO2価格'!$A$7:$E$67,VLOOKUP($F$48,'表4）CO2価格'!$H$10:$I$12,2,0),0)*$F$8/1000,"")),0,IF($K83&lt;=$F$15,VLOOKUP($I83,'表4）CO2価格'!$A$7:$E$67,VLOOKUP($F$48,'表4）CO2価格'!$H$10:$I$12,2,0),0)*$F$8/1000,""))</f>
        <v/>
      </c>
      <c r="AZ83" s="39"/>
      <c r="BA83" s="42" t="str">
        <f t="shared" si="63"/>
        <v/>
      </c>
      <c r="BB83" s="72" t="str">
        <f t="shared" si="80"/>
        <v/>
      </c>
      <c r="BC83" s="39"/>
      <c r="BD83" s="72" t="str">
        <f t="shared" si="64"/>
        <v/>
      </c>
      <c r="BE83" s="72" t="str">
        <f t="shared" si="81"/>
        <v/>
      </c>
      <c r="BF83" s="39"/>
      <c r="BG83" s="42" t="str">
        <f t="shared" si="65"/>
        <v/>
      </c>
      <c r="BH83" s="72" t="str">
        <f t="shared" si="82"/>
        <v/>
      </c>
      <c r="BI83" s="39"/>
      <c r="BJ83" s="40" t="str">
        <f t="shared" si="83"/>
        <v/>
      </c>
      <c r="BK83" s="157" t="str">
        <f t="shared" si="84"/>
        <v/>
      </c>
      <c r="BL83" s="157" t="str">
        <f t="shared" si="66"/>
        <v/>
      </c>
      <c r="BM83" s="72"/>
      <c r="BN83" s="72" t="str">
        <f t="shared" si="85"/>
        <v/>
      </c>
      <c r="BO83" s="72" t="str">
        <f t="shared" si="86"/>
        <v/>
      </c>
      <c r="BP83" s="39"/>
      <c r="BQ83" s="72" t="str">
        <f t="shared" si="67"/>
        <v/>
      </c>
      <c r="BR83" s="72" t="str">
        <f t="shared" si="87"/>
        <v/>
      </c>
    </row>
    <row r="84" spans="4:70" x14ac:dyDescent="0.15">
      <c r="F84" s="487"/>
      <c r="H84" s="71"/>
      <c r="I84" s="322">
        <f t="shared" si="88"/>
        <v>2089</v>
      </c>
      <c r="J84" s="71"/>
      <c r="K84" s="71">
        <f t="shared" si="89"/>
        <v>70</v>
      </c>
      <c r="L84" s="71"/>
      <c r="M84" s="7">
        <f t="shared" si="52"/>
        <v>0.12629735943783454</v>
      </c>
      <c r="N84" s="71"/>
      <c r="O84" s="10" t="str">
        <f t="shared" si="68"/>
        <v/>
      </c>
      <c r="P84" s="29" t="str">
        <f t="shared" si="53"/>
        <v/>
      </c>
      <c r="Q84" s="71"/>
      <c r="R84" s="10" t="str">
        <f t="shared" si="69"/>
        <v/>
      </c>
      <c r="S84" s="71"/>
      <c r="T84" s="10" t="str">
        <f t="shared" si="70"/>
        <v/>
      </c>
      <c r="U84" s="71"/>
      <c r="V84" s="10" t="str">
        <f t="shared" si="54"/>
        <v/>
      </c>
      <c r="W84" s="10" t="str">
        <f t="shared" si="71"/>
        <v/>
      </c>
      <c r="X84" s="71"/>
      <c r="Y84" s="10" t="str">
        <f t="shared" si="55"/>
        <v/>
      </c>
      <c r="Z84" s="10" t="str">
        <f t="shared" si="72"/>
        <v/>
      </c>
      <c r="AA84" s="71"/>
      <c r="AB84" s="10" t="str">
        <f t="shared" si="56"/>
        <v/>
      </c>
      <c r="AC84" s="10" t="str">
        <f t="shared" si="73"/>
        <v/>
      </c>
      <c r="AD84" s="71"/>
      <c r="AE84" s="10" t="str">
        <f t="shared" si="57"/>
        <v/>
      </c>
      <c r="AF84" s="10" t="str">
        <f t="shared" si="74"/>
        <v/>
      </c>
      <c r="AG84" s="71"/>
      <c r="AH84" s="10" t="str">
        <f t="shared" si="58"/>
        <v/>
      </c>
      <c r="AI84" s="10" t="str">
        <f t="shared" si="75"/>
        <v/>
      </c>
      <c r="AJ84" s="71"/>
      <c r="AK84" s="10" t="str">
        <f t="shared" si="59"/>
        <v/>
      </c>
      <c r="AL84" s="10" t="str">
        <f t="shared" si="76"/>
        <v/>
      </c>
      <c r="AM84" s="71"/>
      <c r="AN84" s="10" t="str">
        <f t="shared" si="60"/>
        <v/>
      </c>
      <c r="AO84" s="10" t="str">
        <f t="shared" si="77"/>
        <v/>
      </c>
      <c r="AP84" s="71"/>
      <c r="AQ84" s="10" t="str">
        <f t="shared" si="61"/>
        <v/>
      </c>
      <c r="AR84" s="10" t="str">
        <f t="shared" si="78"/>
        <v/>
      </c>
      <c r="AS84" s="71"/>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U84" s="71"/>
      <c r="AV84" s="10" t="str">
        <f t="shared" si="62"/>
        <v/>
      </c>
      <c r="AW84" s="10" t="str">
        <f t="shared" si="79"/>
        <v/>
      </c>
      <c r="AX84" s="71"/>
      <c r="AY84" s="7" t="str">
        <f>IF(ISERROR(IF($K84&lt;=$F$15,VLOOKUP($I84,'表4）CO2価格'!$A$7:$E$67,VLOOKUP($F$48,'表4）CO2価格'!$H$10:$I$12,2,0),0)*$F$8/1000,"")),0,IF($K84&lt;=$F$15,VLOOKUP($I84,'表4）CO2価格'!$A$7:$E$67,VLOOKUP($F$48,'表4）CO2価格'!$H$10:$I$12,2,0),0)*$F$8/1000,""))</f>
        <v/>
      </c>
      <c r="AZ84" s="71"/>
      <c r="BA84" s="11" t="str">
        <f t="shared" si="63"/>
        <v/>
      </c>
      <c r="BB84" s="10" t="str">
        <f t="shared" si="80"/>
        <v/>
      </c>
      <c r="BC84" s="71"/>
      <c r="BD84" s="10" t="str">
        <f t="shared" si="64"/>
        <v/>
      </c>
      <c r="BE84" s="10" t="str">
        <f t="shared" si="81"/>
        <v/>
      </c>
      <c r="BF84" s="71"/>
      <c r="BG84" s="11" t="str">
        <f t="shared" si="65"/>
        <v/>
      </c>
      <c r="BH84" s="10" t="str">
        <f t="shared" si="82"/>
        <v/>
      </c>
      <c r="BJ84" s="7" t="str">
        <f t="shared" si="83"/>
        <v/>
      </c>
      <c r="BK84" s="158" t="str">
        <f t="shared" si="84"/>
        <v/>
      </c>
      <c r="BL84" s="158" t="str">
        <f t="shared" si="66"/>
        <v/>
      </c>
      <c r="BM84" s="10"/>
      <c r="BN84" s="10" t="str">
        <f t="shared" si="85"/>
        <v/>
      </c>
      <c r="BO84" s="10" t="str">
        <f t="shared" si="86"/>
        <v/>
      </c>
      <c r="BQ84" s="10" t="str">
        <f t="shared" si="67"/>
        <v/>
      </c>
      <c r="BR84" s="10" t="str">
        <f t="shared" si="87"/>
        <v/>
      </c>
    </row>
    <row r="85" spans="4:70" x14ac:dyDescent="0.15">
      <c r="D85" s="100" t="s">
        <v>594</v>
      </c>
      <c r="E85" s="489"/>
      <c r="F85" s="486"/>
      <c r="G85" s="100"/>
      <c r="H85" s="71"/>
      <c r="I85" s="38">
        <f t="shared" si="88"/>
        <v>2090</v>
      </c>
      <c r="J85" s="39"/>
      <c r="K85" s="39">
        <f t="shared" si="89"/>
        <v>71</v>
      </c>
      <c r="L85" s="39"/>
      <c r="M85" s="40">
        <f t="shared" si="52"/>
        <v>0.12261879557071313</v>
      </c>
      <c r="N85" s="39"/>
      <c r="O85" s="72" t="str">
        <f t="shared" si="68"/>
        <v/>
      </c>
      <c r="P85" s="41" t="str">
        <f t="shared" si="53"/>
        <v/>
      </c>
      <c r="Q85" s="39"/>
      <c r="R85" s="72" t="str">
        <f t="shared" si="69"/>
        <v/>
      </c>
      <c r="S85" s="39"/>
      <c r="T85" s="72" t="str">
        <f t="shared" si="70"/>
        <v/>
      </c>
      <c r="U85" s="39"/>
      <c r="V85" s="72" t="str">
        <f t="shared" si="54"/>
        <v/>
      </c>
      <c r="W85" s="72" t="str">
        <f t="shared" si="71"/>
        <v/>
      </c>
      <c r="X85" s="39"/>
      <c r="Y85" s="72" t="str">
        <f t="shared" si="55"/>
        <v/>
      </c>
      <c r="Z85" s="72" t="str">
        <f t="shared" si="72"/>
        <v/>
      </c>
      <c r="AA85" s="39"/>
      <c r="AB85" s="72" t="str">
        <f t="shared" si="56"/>
        <v/>
      </c>
      <c r="AC85" s="72" t="str">
        <f t="shared" si="73"/>
        <v/>
      </c>
      <c r="AD85" s="39"/>
      <c r="AE85" s="72" t="str">
        <f t="shared" si="57"/>
        <v/>
      </c>
      <c r="AF85" s="72" t="str">
        <f t="shared" si="74"/>
        <v/>
      </c>
      <c r="AG85" s="39"/>
      <c r="AH85" s="72" t="str">
        <f t="shared" si="58"/>
        <v/>
      </c>
      <c r="AI85" s="72" t="str">
        <f t="shared" si="75"/>
        <v/>
      </c>
      <c r="AJ85" s="39"/>
      <c r="AK85" s="72" t="str">
        <f t="shared" si="59"/>
        <v/>
      </c>
      <c r="AL85" s="72" t="str">
        <f t="shared" si="76"/>
        <v/>
      </c>
      <c r="AM85" s="39"/>
      <c r="AN85" s="72" t="str">
        <f t="shared" si="60"/>
        <v/>
      </c>
      <c r="AO85" s="72" t="str">
        <f t="shared" si="77"/>
        <v/>
      </c>
      <c r="AP85" s="39"/>
      <c r="AQ85" s="72" t="str">
        <f t="shared" si="61"/>
        <v/>
      </c>
      <c r="AR85" s="72" t="str">
        <f t="shared" si="78"/>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62"/>
        <v/>
      </c>
      <c r="AW85" s="72" t="str">
        <f t="shared" si="79"/>
        <v/>
      </c>
      <c r="AX85" s="39"/>
      <c r="AY85" s="40" t="str">
        <f>IF(ISERROR(IF($K85&lt;=$F$15,VLOOKUP($I85,'表4）CO2価格'!$A$7:$E$67,VLOOKUP($F$48,'表4）CO2価格'!$H$10:$I$12,2,0),0)*$F$8/1000,"")),0,IF($K85&lt;=$F$15,VLOOKUP($I85,'表4）CO2価格'!$A$7:$E$67,VLOOKUP($F$48,'表4）CO2価格'!$H$10:$I$12,2,0),0)*$F$8/1000,""))</f>
        <v/>
      </c>
      <c r="AZ85" s="39"/>
      <c r="BA85" s="42" t="str">
        <f t="shared" si="63"/>
        <v/>
      </c>
      <c r="BB85" s="72" t="str">
        <f t="shared" si="80"/>
        <v/>
      </c>
      <c r="BC85" s="39"/>
      <c r="BD85" s="72" t="str">
        <f t="shared" si="64"/>
        <v/>
      </c>
      <c r="BE85" s="72" t="str">
        <f t="shared" si="81"/>
        <v/>
      </c>
      <c r="BF85" s="39"/>
      <c r="BG85" s="42" t="str">
        <f t="shared" si="65"/>
        <v/>
      </c>
      <c r="BH85" s="72" t="str">
        <f t="shared" si="82"/>
        <v/>
      </c>
      <c r="BI85" s="39"/>
      <c r="BJ85" s="40" t="str">
        <f t="shared" si="83"/>
        <v/>
      </c>
      <c r="BK85" s="157" t="str">
        <f t="shared" si="84"/>
        <v/>
      </c>
      <c r="BL85" s="157" t="str">
        <f t="shared" si="66"/>
        <v/>
      </c>
      <c r="BM85" s="72"/>
      <c r="BN85" s="72" t="str">
        <f t="shared" si="85"/>
        <v/>
      </c>
      <c r="BO85" s="72" t="str">
        <f t="shared" si="86"/>
        <v/>
      </c>
      <c r="BP85" s="39"/>
      <c r="BQ85" s="72" t="str">
        <f t="shared" si="67"/>
        <v/>
      </c>
      <c r="BR85" s="72" t="str">
        <f t="shared" si="87"/>
        <v/>
      </c>
    </row>
    <row r="86" spans="4:70" x14ac:dyDescent="0.15">
      <c r="F86" s="487"/>
      <c r="H86" s="71"/>
      <c r="I86" s="322">
        <f t="shared" si="88"/>
        <v>2091</v>
      </c>
      <c r="J86" s="71"/>
      <c r="K86" s="71">
        <f t="shared" si="89"/>
        <v>72</v>
      </c>
      <c r="L86" s="71"/>
      <c r="M86" s="7">
        <f t="shared" si="52"/>
        <v>0.1190473743404982</v>
      </c>
      <c r="N86" s="71"/>
      <c r="O86" s="10" t="str">
        <f t="shared" si="68"/>
        <v/>
      </c>
      <c r="P86" s="29" t="str">
        <f t="shared" si="53"/>
        <v/>
      </c>
      <c r="Q86" s="71"/>
      <c r="R86" s="10" t="str">
        <f t="shared" si="69"/>
        <v/>
      </c>
      <c r="S86" s="71"/>
      <c r="T86" s="10" t="str">
        <f t="shared" si="70"/>
        <v/>
      </c>
      <c r="U86" s="71"/>
      <c r="V86" s="10" t="str">
        <f t="shared" si="54"/>
        <v/>
      </c>
      <c r="W86" s="10" t="str">
        <f t="shared" si="71"/>
        <v/>
      </c>
      <c r="X86" s="71"/>
      <c r="Y86" s="10" t="str">
        <f t="shared" si="55"/>
        <v/>
      </c>
      <c r="Z86" s="10" t="str">
        <f t="shared" si="72"/>
        <v/>
      </c>
      <c r="AA86" s="71"/>
      <c r="AB86" s="10" t="str">
        <f t="shared" si="56"/>
        <v/>
      </c>
      <c r="AC86" s="10" t="str">
        <f t="shared" si="73"/>
        <v/>
      </c>
      <c r="AD86" s="71"/>
      <c r="AE86" s="10" t="str">
        <f t="shared" si="57"/>
        <v/>
      </c>
      <c r="AF86" s="10" t="str">
        <f t="shared" si="74"/>
        <v/>
      </c>
      <c r="AG86" s="71"/>
      <c r="AH86" s="10" t="str">
        <f t="shared" si="58"/>
        <v/>
      </c>
      <c r="AI86" s="10" t="str">
        <f t="shared" si="75"/>
        <v/>
      </c>
      <c r="AJ86" s="71"/>
      <c r="AK86" s="10" t="str">
        <f t="shared" si="59"/>
        <v/>
      </c>
      <c r="AL86" s="10" t="str">
        <f t="shared" si="76"/>
        <v/>
      </c>
      <c r="AM86" s="71"/>
      <c r="AN86" s="10" t="str">
        <f t="shared" si="60"/>
        <v/>
      </c>
      <c r="AO86" s="10" t="str">
        <f t="shared" si="77"/>
        <v/>
      </c>
      <c r="AP86" s="71"/>
      <c r="AQ86" s="10" t="str">
        <f t="shared" si="61"/>
        <v/>
      </c>
      <c r="AR86" s="10" t="str">
        <f t="shared" si="78"/>
        <v/>
      </c>
      <c r="AS86" s="71"/>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U86" s="71"/>
      <c r="AV86" s="10" t="str">
        <f t="shared" si="62"/>
        <v/>
      </c>
      <c r="AW86" s="10" t="str">
        <f t="shared" si="79"/>
        <v/>
      </c>
      <c r="AX86" s="71"/>
      <c r="AY86" s="7" t="str">
        <f>IF(ISERROR(IF($K86&lt;=$F$15,VLOOKUP($I86,'表4）CO2価格'!$A$7:$E$67,VLOOKUP($F$48,'表4）CO2価格'!$H$10:$I$12,2,0),0)*$F$8/1000,"")),0,IF($K86&lt;=$F$15,VLOOKUP($I86,'表4）CO2価格'!$A$7:$E$67,VLOOKUP($F$48,'表4）CO2価格'!$H$10:$I$12,2,0),0)*$F$8/1000,""))</f>
        <v/>
      </c>
      <c r="AZ86" s="71"/>
      <c r="BA86" s="11" t="str">
        <f t="shared" si="63"/>
        <v/>
      </c>
      <c r="BB86" s="10" t="str">
        <f t="shared" si="80"/>
        <v/>
      </c>
      <c r="BC86" s="71"/>
      <c r="BD86" s="10" t="str">
        <f t="shared" si="64"/>
        <v/>
      </c>
      <c r="BE86" s="10" t="str">
        <f t="shared" si="81"/>
        <v/>
      </c>
      <c r="BF86" s="71"/>
      <c r="BG86" s="11" t="str">
        <f t="shared" si="65"/>
        <v/>
      </c>
      <c r="BH86" s="10" t="str">
        <f t="shared" si="82"/>
        <v/>
      </c>
      <c r="BJ86" s="7" t="str">
        <f t="shared" si="83"/>
        <v/>
      </c>
      <c r="BK86" s="158" t="str">
        <f t="shared" si="84"/>
        <v/>
      </c>
      <c r="BL86" s="158" t="str">
        <f t="shared" si="66"/>
        <v/>
      </c>
      <c r="BM86" s="10"/>
      <c r="BN86" s="10" t="str">
        <f t="shared" si="85"/>
        <v/>
      </c>
      <c r="BO86" s="10" t="str">
        <f t="shared" si="86"/>
        <v/>
      </c>
      <c r="BQ86" s="10" t="str">
        <f t="shared" si="67"/>
        <v/>
      </c>
      <c r="BR86" s="10" t="str">
        <f t="shared" si="87"/>
        <v/>
      </c>
    </row>
    <row r="87" spans="4:70" x14ac:dyDescent="0.15">
      <c r="E87" s="84" t="s">
        <v>141</v>
      </c>
      <c r="F87" s="488">
        <f>AI116/$BR$116</f>
        <v>5.099666018236408</v>
      </c>
      <c r="G87" s="84" t="s">
        <v>590</v>
      </c>
      <c r="H87" s="71"/>
      <c r="I87" s="38">
        <f t="shared" si="88"/>
        <v>2092</v>
      </c>
      <c r="J87" s="39"/>
      <c r="K87" s="39">
        <f t="shared" si="89"/>
        <v>73</v>
      </c>
      <c r="L87" s="39"/>
      <c r="M87" s="40">
        <f t="shared" si="52"/>
        <v>0.11557997508786232</v>
      </c>
      <c r="N87" s="39"/>
      <c r="O87" s="72" t="str">
        <f t="shared" si="68"/>
        <v/>
      </c>
      <c r="P87" s="41" t="str">
        <f t="shared" si="53"/>
        <v/>
      </c>
      <c r="Q87" s="39"/>
      <c r="R87" s="72" t="str">
        <f t="shared" si="69"/>
        <v/>
      </c>
      <c r="S87" s="39"/>
      <c r="T87" s="72" t="str">
        <f t="shared" si="70"/>
        <v/>
      </c>
      <c r="U87" s="39"/>
      <c r="V87" s="72" t="str">
        <f t="shared" si="54"/>
        <v/>
      </c>
      <c r="W87" s="72" t="str">
        <f t="shared" si="71"/>
        <v/>
      </c>
      <c r="X87" s="39"/>
      <c r="Y87" s="72" t="str">
        <f t="shared" si="55"/>
        <v/>
      </c>
      <c r="Z87" s="72" t="str">
        <f t="shared" si="72"/>
        <v/>
      </c>
      <c r="AA87" s="39"/>
      <c r="AB87" s="72" t="str">
        <f t="shared" si="56"/>
        <v/>
      </c>
      <c r="AC87" s="72" t="str">
        <f t="shared" si="73"/>
        <v/>
      </c>
      <c r="AD87" s="39"/>
      <c r="AE87" s="72" t="str">
        <f t="shared" si="57"/>
        <v/>
      </c>
      <c r="AF87" s="72" t="str">
        <f t="shared" si="74"/>
        <v/>
      </c>
      <c r="AG87" s="39"/>
      <c r="AH87" s="72" t="str">
        <f t="shared" si="58"/>
        <v/>
      </c>
      <c r="AI87" s="72" t="str">
        <f t="shared" si="75"/>
        <v/>
      </c>
      <c r="AJ87" s="39"/>
      <c r="AK87" s="72" t="str">
        <f t="shared" si="59"/>
        <v/>
      </c>
      <c r="AL87" s="72" t="str">
        <f t="shared" si="76"/>
        <v/>
      </c>
      <c r="AM87" s="39"/>
      <c r="AN87" s="72" t="str">
        <f t="shared" si="60"/>
        <v/>
      </c>
      <c r="AO87" s="72" t="str">
        <f t="shared" si="77"/>
        <v/>
      </c>
      <c r="AP87" s="39"/>
      <c r="AQ87" s="72" t="str">
        <f t="shared" si="61"/>
        <v/>
      </c>
      <c r="AR87" s="72" t="str">
        <f t="shared" si="78"/>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62"/>
        <v/>
      </c>
      <c r="AW87" s="72" t="str">
        <f t="shared" si="79"/>
        <v/>
      </c>
      <c r="AX87" s="39"/>
      <c r="AY87" s="40" t="str">
        <f>IF(ISERROR(IF($K87&lt;=$F$15,VLOOKUP($I87,'表4）CO2価格'!$A$7:$E$67,VLOOKUP($F$48,'表4）CO2価格'!$H$10:$I$12,2,0),0)*$F$8/1000,"")),0,IF($K87&lt;=$F$15,VLOOKUP($I87,'表4）CO2価格'!$A$7:$E$67,VLOOKUP($F$48,'表4）CO2価格'!$H$10:$I$12,2,0),0)*$F$8/1000,""))</f>
        <v/>
      </c>
      <c r="AZ87" s="39"/>
      <c r="BA87" s="42" t="str">
        <f t="shared" si="63"/>
        <v/>
      </c>
      <c r="BB87" s="72" t="str">
        <f t="shared" si="80"/>
        <v/>
      </c>
      <c r="BC87" s="39"/>
      <c r="BD87" s="72" t="str">
        <f t="shared" si="64"/>
        <v/>
      </c>
      <c r="BE87" s="72" t="str">
        <f t="shared" si="81"/>
        <v/>
      </c>
      <c r="BF87" s="39"/>
      <c r="BG87" s="42" t="str">
        <f t="shared" si="65"/>
        <v/>
      </c>
      <c r="BH87" s="72" t="str">
        <f t="shared" si="82"/>
        <v/>
      </c>
      <c r="BI87" s="39"/>
      <c r="BJ87" s="40" t="str">
        <f t="shared" si="83"/>
        <v/>
      </c>
      <c r="BK87" s="157" t="str">
        <f t="shared" si="84"/>
        <v/>
      </c>
      <c r="BL87" s="157" t="str">
        <f t="shared" si="66"/>
        <v/>
      </c>
      <c r="BM87" s="72"/>
      <c r="BN87" s="72" t="str">
        <f t="shared" si="85"/>
        <v/>
      </c>
      <c r="BO87" s="72" t="str">
        <f t="shared" si="86"/>
        <v/>
      </c>
      <c r="BP87" s="39"/>
      <c r="BQ87" s="72" t="str">
        <f t="shared" si="67"/>
        <v/>
      </c>
      <c r="BR87" s="72" t="str">
        <f t="shared" si="87"/>
        <v/>
      </c>
    </row>
    <row r="88" spans="4:70" x14ac:dyDescent="0.15">
      <c r="E88" s="84" t="s">
        <v>120</v>
      </c>
      <c r="F88" s="488">
        <f>AL116/$BR$116</f>
        <v>0</v>
      </c>
      <c r="G88" s="84" t="s">
        <v>590</v>
      </c>
      <c r="H88" s="71"/>
      <c r="I88" s="322">
        <f t="shared" si="88"/>
        <v>2093</v>
      </c>
      <c r="J88" s="71"/>
      <c r="K88" s="71">
        <f t="shared" si="89"/>
        <v>74</v>
      </c>
      <c r="L88" s="71"/>
      <c r="M88" s="7">
        <f t="shared" si="52"/>
        <v>0.11221356804646829</v>
      </c>
      <c r="N88" s="71"/>
      <c r="O88" s="10" t="str">
        <f t="shared" si="68"/>
        <v/>
      </c>
      <c r="P88" s="29" t="str">
        <f t="shared" si="53"/>
        <v/>
      </c>
      <c r="Q88" s="71"/>
      <c r="R88" s="10" t="str">
        <f t="shared" si="69"/>
        <v/>
      </c>
      <c r="S88" s="71"/>
      <c r="T88" s="10" t="str">
        <f t="shared" si="70"/>
        <v/>
      </c>
      <c r="U88" s="71"/>
      <c r="V88" s="10" t="str">
        <f t="shared" si="54"/>
        <v/>
      </c>
      <c r="W88" s="10" t="str">
        <f t="shared" si="71"/>
        <v/>
      </c>
      <c r="X88" s="71"/>
      <c r="Y88" s="10" t="str">
        <f t="shared" si="55"/>
        <v/>
      </c>
      <c r="Z88" s="10" t="str">
        <f t="shared" si="72"/>
        <v/>
      </c>
      <c r="AA88" s="71"/>
      <c r="AB88" s="10" t="str">
        <f t="shared" si="56"/>
        <v/>
      </c>
      <c r="AC88" s="10" t="str">
        <f t="shared" si="73"/>
        <v/>
      </c>
      <c r="AD88" s="71"/>
      <c r="AE88" s="10" t="str">
        <f t="shared" si="57"/>
        <v/>
      </c>
      <c r="AF88" s="10" t="str">
        <f t="shared" si="74"/>
        <v/>
      </c>
      <c r="AG88" s="71"/>
      <c r="AH88" s="10" t="str">
        <f t="shared" si="58"/>
        <v/>
      </c>
      <c r="AI88" s="10" t="str">
        <f t="shared" si="75"/>
        <v/>
      </c>
      <c r="AJ88" s="71"/>
      <c r="AK88" s="10" t="str">
        <f t="shared" si="59"/>
        <v/>
      </c>
      <c r="AL88" s="10" t="str">
        <f t="shared" si="76"/>
        <v/>
      </c>
      <c r="AM88" s="71"/>
      <c r="AN88" s="10" t="str">
        <f t="shared" si="60"/>
        <v/>
      </c>
      <c r="AO88" s="10" t="str">
        <f t="shared" si="77"/>
        <v/>
      </c>
      <c r="AP88" s="71"/>
      <c r="AQ88" s="10" t="str">
        <f t="shared" si="61"/>
        <v/>
      </c>
      <c r="AR88" s="10" t="str">
        <f t="shared" si="78"/>
        <v/>
      </c>
      <c r="AS88" s="71"/>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U88" s="71"/>
      <c r="AV88" s="10" t="str">
        <f t="shared" si="62"/>
        <v/>
      </c>
      <c r="AW88" s="10" t="str">
        <f t="shared" si="79"/>
        <v/>
      </c>
      <c r="AX88" s="71"/>
      <c r="AY88" s="7" t="str">
        <f>IF(ISERROR(IF($K88&lt;=$F$15,VLOOKUP($I88,'表4）CO2価格'!$A$7:$E$67,VLOOKUP($F$48,'表4）CO2価格'!$H$10:$I$12,2,0),0)*$F$8/1000,"")),0,IF($K88&lt;=$F$15,VLOOKUP($I88,'表4）CO2価格'!$A$7:$E$67,VLOOKUP($F$48,'表4）CO2価格'!$H$10:$I$12,2,0),0)*$F$8/1000,""))</f>
        <v/>
      </c>
      <c r="AZ88" s="71"/>
      <c r="BA88" s="11" t="str">
        <f t="shared" si="63"/>
        <v/>
      </c>
      <c r="BB88" s="10" t="str">
        <f t="shared" si="80"/>
        <v/>
      </c>
      <c r="BC88" s="71"/>
      <c r="BD88" s="10" t="str">
        <f t="shared" si="64"/>
        <v/>
      </c>
      <c r="BE88" s="10" t="str">
        <f t="shared" si="81"/>
        <v/>
      </c>
      <c r="BF88" s="71"/>
      <c r="BG88" s="11" t="str">
        <f t="shared" si="65"/>
        <v/>
      </c>
      <c r="BH88" s="10" t="str">
        <f t="shared" si="82"/>
        <v/>
      </c>
      <c r="BJ88" s="7" t="str">
        <f t="shared" si="83"/>
        <v/>
      </c>
      <c r="BK88" s="158" t="str">
        <f t="shared" si="84"/>
        <v/>
      </c>
      <c r="BL88" s="158" t="str">
        <f t="shared" si="66"/>
        <v/>
      </c>
      <c r="BM88" s="10"/>
      <c r="BN88" s="10" t="str">
        <f t="shared" si="85"/>
        <v/>
      </c>
      <c r="BO88" s="10" t="str">
        <f t="shared" si="86"/>
        <v/>
      </c>
      <c r="BQ88" s="10" t="str">
        <f t="shared" si="67"/>
        <v/>
      </c>
      <c r="BR88" s="10" t="str">
        <f t="shared" si="87"/>
        <v/>
      </c>
    </row>
    <row r="89" spans="4:70" x14ac:dyDescent="0.15">
      <c r="E89" s="84" t="s">
        <v>122</v>
      </c>
      <c r="F89" s="488">
        <f>AO116/$BR$116</f>
        <v>0</v>
      </c>
      <c r="G89" s="84" t="s">
        <v>590</v>
      </c>
      <c r="H89" s="71"/>
      <c r="I89" s="38">
        <f t="shared" si="88"/>
        <v>2094</v>
      </c>
      <c r="J89" s="39"/>
      <c r="K89" s="39">
        <f t="shared" si="89"/>
        <v>75</v>
      </c>
      <c r="L89" s="39"/>
      <c r="M89" s="40">
        <f t="shared" si="52"/>
        <v>0.10894521169560026</v>
      </c>
      <c r="N89" s="39"/>
      <c r="O89" s="72" t="str">
        <f t="shared" si="68"/>
        <v/>
      </c>
      <c r="P89" s="41" t="str">
        <f t="shared" si="53"/>
        <v/>
      </c>
      <c r="Q89" s="39"/>
      <c r="R89" s="72" t="str">
        <f t="shared" si="69"/>
        <v/>
      </c>
      <c r="S89" s="39"/>
      <c r="T89" s="72" t="str">
        <f t="shared" si="70"/>
        <v/>
      </c>
      <c r="U89" s="39"/>
      <c r="V89" s="72" t="str">
        <f t="shared" si="54"/>
        <v/>
      </c>
      <c r="W89" s="72" t="str">
        <f t="shared" si="71"/>
        <v/>
      </c>
      <c r="X89" s="39"/>
      <c r="Y89" s="72" t="str">
        <f t="shared" si="55"/>
        <v/>
      </c>
      <c r="Z89" s="72" t="str">
        <f t="shared" si="72"/>
        <v/>
      </c>
      <c r="AA89" s="39"/>
      <c r="AB89" s="72" t="str">
        <f t="shared" si="56"/>
        <v/>
      </c>
      <c r="AC89" s="72" t="str">
        <f t="shared" si="73"/>
        <v/>
      </c>
      <c r="AD89" s="39"/>
      <c r="AE89" s="72" t="str">
        <f t="shared" si="57"/>
        <v/>
      </c>
      <c r="AF89" s="72" t="str">
        <f t="shared" si="74"/>
        <v/>
      </c>
      <c r="AG89" s="39"/>
      <c r="AH89" s="72" t="str">
        <f t="shared" si="58"/>
        <v/>
      </c>
      <c r="AI89" s="72" t="str">
        <f t="shared" si="75"/>
        <v/>
      </c>
      <c r="AJ89" s="39"/>
      <c r="AK89" s="72" t="str">
        <f t="shared" si="59"/>
        <v/>
      </c>
      <c r="AL89" s="72" t="str">
        <f t="shared" si="76"/>
        <v/>
      </c>
      <c r="AM89" s="39"/>
      <c r="AN89" s="72" t="str">
        <f t="shared" si="60"/>
        <v/>
      </c>
      <c r="AO89" s="72" t="str">
        <f t="shared" si="77"/>
        <v/>
      </c>
      <c r="AP89" s="39"/>
      <c r="AQ89" s="72" t="str">
        <f t="shared" si="61"/>
        <v/>
      </c>
      <c r="AR89" s="72" t="str">
        <f t="shared" si="78"/>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62"/>
        <v/>
      </c>
      <c r="AW89" s="72" t="str">
        <f t="shared" si="79"/>
        <v/>
      </c>
      <c r="AX89" s="39"/>
      <c r="AY89" s="40" t="str">
        <f>IF(ISERROR(IF($K89&lt;=$F$15,VLOOKUP($I89,'表4）CO2価格'!$A$7:$E$67,VLOOKUP($F$48,'表4）CO2価格'!$H$10:$I$12,2,0),0)*$F$8/1000,"")),0,IF($K89&lt;=$F$15,VLOOKUP($I89,'表4）CO2価格'!$A$7:$E$67,VLOOKUP($F$48,'表4）CO2価格'!$H$10:$I$12,2,0),0)*$F$8/1000,""))</f>
        <v/>
      </c>
      <c r="AZ89" s="39"/>
      <c r="BA89" s="42" t="str">
        <f t="shared" si="63"/>
        <v/>
      </c>
      <c r="BB89" s="72" t="str">
        <f t="shared" si="80"/>
        <v/>
      </c>
      <c r="BC89" s="39"/>
      <c r="BD89" s="72" t="str">
        <f t="shared" si="64"/>
        <v/>
      </c>
      <c r="BE89" s="72" t="str">
        <f t="shared" si="81"/>
        <v/>
      </c>
      <c r="BF89" s="39"/>
      <c r="BG89" s="42" t="str">
        <f t="shared" si="65"/>
        <v/>
      </c>
      <c r="BH89" s="72" t="str">
        <f t="shared" si="82"/>
        <v/>
      </c>
      <c r="BI89" s="39"/>
      <c r="BJ89" s="40" t="str">
        <f t="shared" si="83"/>
        <v/>
      </c>
      <c r="BK89" s="157" t="str">
        <f t="shared" si="84"/>
        <v/>
      </c>
      <c r="BL89" s="157" t="str">
        <f t="shared" si="66"/>
        <v/>
      </c>
      <c r="BM89" s="72"/>
      <c r="BN89" s="72" t="str">
        <f t="shared" si="85"/>
        <v/>
      </c>
      <c r="BO89" s="72" t="str">
        <f t="shared" si="86"/>
        <v/>
      </c>
      <c r="BP89" s="39"/>
      <c r="BQ89" s="72" t="str">
        <f t="shared" si="67"/>
        <v/>
      </c>
      <c r="BR89" s="72" t="str">
        <f t="shared" si="87"/>
        <v/>
      </c>
    </row>
    <row r="90" spans="4:70" x14ac:dyDescent="0.15">
      <c r="E90" s="84" t="s">
        <v>142</v>
      </c>
      <c r="F90" s="488">
        <f>AR116/$BR$116</f>
        <v>0</v>
      </c>
      <c r="G90" s="84" t="s">
        <v>590</v>
      </c>
      <c r="H90" s="71"/>
      <c r="I90" s="322">
        <f t="shared" si="88"/>
        <v>2095</v>
      </c>
      <c r="J90" s="71"/>
      <c r="K90" s="71">
        <f t="shared" si="89"/>
        <v>76</v>
      </c>
      <c r="L90" s="71"/>
      <c r="M90" s="7">
        <f t="shared" si="52"/>
        <v>0.10577205018990318</v>
      </c>
      <c r="N90" s="71"/>
      <c r="O90" s="10" t="str">
        <f t="shared" si="68"/>
        <v/>
      </c>
      <c r="P90" s="29" t="str">
        <f t="shared" si="53"/>
        <v/>
      </c>
      <c r="Q90" s="71"/>
      <c r="R90" s="10" t="str">
        <f t="shared" si="69"/>
        <v/>
      </c>
      <c r="S90" s="71"/>
      <c r="T90" s="10" t="str">
        <f t="shared" si="70"/>
        <v/>
      </c>
      <c r="U90" s="71"/>
      <c r="V90" s="10" t="str">
        <f t="shared" si="54"/>
        <v/>
      </c>
      <c r="W90" s="10" t="str">
        <f t="shared" si="71"/>
        <v/>
      </c>
      <c r="X90" s="71"/>
      <c r="Y90" s="10" t="str">
        <f t="shared" si="55"/>
        <v/>
      </c>
      <c r="Z90" s="10" t="str">
        <f t="shared" si="72"/>
        <v/>
      </c>
      <c r="AA90" s="71"/>
      <c r="AB90" s="10" t="str">
        <f t="shared" si="56"/>
        <v/>
      </c>
      <c r="AC90" s="10" t="str">
        <f t="shared" si="73"/>
        <v/>
      </c>
      <c r="AD90" s="71"/>
      <c r="AE90" s="10" t="str">
        <f t="shared" si="57"/>
        <v/>
      </c>
      <c r="AF90" s="10" t="str">
        <f t="shared" si="74"/>
        <v/>
      </c>
      <c r="AG90" s="71"/>
      <c r="AH90" s="10" t="str">
        <f t="shared" si="58"/>
        <v/>
      </c>
      <c r="AI90" s="10" t="str">
        <f t="shared" si="75"/>
        <v/>
      </c>
      <c r="AJ90" s="71"/>
      <c r="AK90" s="10" t="str">
        <f t="shared" si="59"/>
        <v/>
      </c>
      <c r="AL90" s="10" t="str">
        <f t="shared" si="76"/>
        <v/>
      </c>
      <c r="AM90" s="71"/>
      <c r="AN90" s="10" t="str">
        <f t="shared" si="60"/>
        <v/>
      </c>
      <c r="AO90" s="10" t="str">
        <f t="shared" si="77"/>
        <v/>
      </c>
      <c r="AP90" s="71"/>
      <c r="AQ90" s="10" t="str">
        <f t="shared" si="61"/>
        <v/>
      </c>
      <c r="AR90" s="10" t="str">
        <f t="shared" si="78"/>
        <v/>
      </c>
      <c r="AS90" s="71"/>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U90" s="71"/>
      <c r="AV90" s="10" t="str">
        <f t="shared" si="62"/>
        <v/>
      </c>
      <c r="AW90" s="10" t="str">
        <f t="shared" si="79"/>
        <v/>
      </c>
      <c r="AX90" s="71"/>
      <c r="AY90" s="7" t="str">
        <f>IF(ISERROR(IF($K90&lt;=$F$15,VLOOKUP($I90,'表4）CO2価格'!$A$7:$E$67,VLOOKUP($F$48,'表4）CO2価格'!$H$10:$I$12,2,0),0)*$F$8/1000,"")),0,IF($K90&lt;=$F$15,VLOOKUP($I90,'表4）CO2価格'!$A$7:$E$67,VLOOKUP($F$48,'表4）CO2価格'!$H$10:$I$12,2,0),0)*$F$8/1000,""))</f>
        <v/>
      </c>
      <c r="AZ90" s="71"/>
      <c r="BA90" s="11" t="str">
        <f t="shared" si="63"/>
        <v/>
      </c>
      <c r="BB90" s="10" t="str">
        <f t="shared" si="80"/>
        <v/>
      </c>
      <c r="BC90" s="71"/>
      <c r="BD90" s="10" t="str">
        <f t="shared" si="64"/>
        <v/>
      </c>
      <c r="BE90" s="10" t="str">
        <f t="shared" si="81"/>
        <v/>
      </c>
      <c r="BF90" s="71"/>
      <c r="BG90" s="11" t="str">
        <f t="shared" si="65"/>
        <v/>
      </c>
      <c r="BH90" s="10" t="str">
        <f t="shared" si="82"/>
        <v/>
      </c>
      <c r="BJ90" s="7" t="str">
        <f t="shared" si="83"/>
        <v/>
      </c>
      <c r="BK90" s="158" t="str">
        <f t="shared" si="84"/>
        <v/>
      </c>
      <c r="BL90" s="158" t="str">
        <f t="shared" si="66"/>
        <v/>
      </c>
      <c r="BM90" s="10"/>
      <c r="BN90" s="10" t="str">
        <f t="shared" si="85"/>
        <v/>
      </c>
      <c r="BO90" s="10" t="str">
        <f t="shared" si="86"/>
        <v/>
      </c>
      <c r="BQ90" s="10" t="str">
        <f t="shared" si="67"/>
        <v/>
      </c>
      <c r="BR90" s="10" t="str">
        <f t="shared" si="87"/>
        <v/>
      </c>
    </row>
    <row r="91" spans="4:70" x14ac:dyDescent="0.15">
      <c r="F91" s="487"/>
      <c r="H91" s="71"/>
      <c r="I91" s="38">
        <f t="shared" si="88"/>
        <v>2096</v>
      </c>
      <c r="J91" s="39"/>
      <c r="K91" s="39">
        <f t="shared" si="89"/>
        <v>77</v>
      </c>
      <c r="L91" s="39"/>
      <c r="M91" s="40">
        <f t="shared" si="52"/>
        <v>0.10269131086398368</v>
      </c>
      <c r="N91" s="39"/>
      <c r="O91" s="72" t="str">
        <f t="shared" si="68"/>
        <v/>
      </c>
      <c r="P91" s="41" t="str">
        <f t="shared" si="53"/>
        <v/>
      </c>
      <c r="Q91" s="39"/>
      <c r="R91" s="72" t="str">
        <f t="shared" si="69"/>
        <v/>
      </c>
      <c r="S91" s="39"/>
      <c r="T91" s="72" t="str">
        <f t="shared" si="70"/>
        <v/>
      </c>
      <c r="U91" s="39"/>
      <c r="V91" s="72" t="str">
        <f t="shared" si="54"/>
        <v/>
      </c>
      <c r="W91" s="72" t="str">
        <f t="shared" si="71"/>
        <v/>
      </c>
      <c r="X91" s="39"/>
      <c r="Y91" s="72" t="str">
        <f t="shared" si="55"/>
        <v/>
      </c>
      <c r="Z91" s="72" t="str">
        <f t="shared" si="72"/>
        <v/>
      </c>
      <c r="AA91" s="39"/>
      <c r="AB91" s="72" t="str">
        <f t="shared" si="56"/>
        <v/>
      </c>
      <c r="AC91" s="72" t="str">
        <f t="shared" si="73"/>
        <v/>
      </c>
      <c r="AD91" s="39"/>
      <c r="AE91" s="72" t="str">
        <f t="shared" si="57"/>
        <v/>
      </c>
      <c r="AF91" s="72" t="str">
        <f t="shared" si="74"/>
        <v/>
      </c>
      <c r="AG91" s="39"/>
      <c r="AH91" s="72" t="str">
        <f t="shared" si="58"/>
        <v/>
      </c>
      <c r="AI91" s="72" t="str">
        <f t="shared" si="75"/>
        <v/>
      </c>
      <c r="AJ91" s="39"/>
      <c r="AK91" s="72" t="str">
        <f t="shared" si="59"/>
        <v/>
      </c>
      <c r="AL91" s="72" t="str">
        <f t="shared" si="76"/>
        <v/>
      </c>
      <c r="AM91" s="39"/>
      <c r="AN91" s="72" t="str">
        <f t="shared" si="60"/>
        <v/>
      </c>
      <c r="AO91" s="72" t="str">
        <f t="shared" si="77"/>
        <v/>
      </c>
      <c r="AP91" s="39"/>
      <c r="AQ91" s="72" t="str">
        <f t="shared" si="61"/>
        <v/>
      </c>
      <c r="AR91" s="72" t="str">
        <f t="shared" si="78"/>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62"/>
        <v/>
      </c>
      <c r="AW91" s="72" t="str">
        <f t="shared" si="79"/>
        <v/>
      </c>
      <c r="AX91" s="39"/>
      <c r="AY91" s="40" t="str">
        <f>IF(ISERROR(IF($K91&lt;=$F$15,VLOOKUP($I91,'表4）CO2価格'!$A$7:$E$67,VLOOKUP($F$48,'表4）CO2価格'!$H$10:$I$12,2,0),0)*$F$8/1000,"")),0,IF($K91&lt;=$F$15,VLOOKUP($I91,'表4）CO2価格'!$A$7:$E$67,VLOOKUP($F$48,'表4）CO2価格'!$H$10:$I$12,2,0),0)*$F$8/1000,""))</f>
        <v/>
      </c>
      <c r="AZ91" s="39"/>
      <c r="BA91" s="42" t="str">
        <f t="shared" si="63"/>
        <v/>
      </c>
      <c r="BB91" s="72" t="str">
        <f t="shared" si="80"/>
        <v/>
      </c>
      <c r="BC91" s="39"/>
      <c r="BD91" s="72" t="str">
        <f t="shared" si="64"/>
        <v/>
      </c>
      <c r="BE91" s="72" t="str">
        <f t="shared" si="81"/>
        <v/>
      </c>
      <c r="BF91" s="39"/>
      <c r="BG91" s="42" t="str">
        <f t="shared" si="65"/>
        <v/>
      </c>
      <c r="BH91" s="72" t="str">
        <f t="shared" si="82"/>
        <v/>
      </c>
      <c r="BI91" s="39"/>
      <c r="BJ91" s="40" t="str">
        <f t="shared" si="83"/>
        <v/>
      </c>
      <c r="BK91" s="157" t="str">
        <f t="shared" si="84"/>
        <v/>
      </c>
      <c r="BL91" s="157" t="str">
        <f t="shared" si="66"/>
        <v/>
      </c>
      <c r="BM91" s="72"/>
      <c r="BN91" s="72" t="str">
        <f t="shared" si="85"/>
        <v/>
      </c>
      <c r="BO91" s="72" t="str">
        <f t="shared" si="86"/>
        <v/>
      </c>
      <c r="BP91" s="39"/>
      <c r="BQ91" s="72" t="str">
        <f t="shared" si="67"/>
        <v/>
      </c>
      <c r="BR91" s="72" t="str">
        <f t="shared" si="87"/>
        <v/>
      </c>
    </row>
    <row r="92" spans="4:70" ht="15" x14ac:dyDescent="0.15">
      <c r="D92" s="103" t="s">
        <v>595</v>
      </c>
      <c r="F92" s="484">
        <f>SUBTOTAL(9,F96:F97)</f>
        <v>0</v>
      </c>
      <c r="H92" s="71"/>
      <c r="I92" s="322">
        <f t="shared" si="88"/>
        <v>2097</v>
      </c>
      <c r="J92" s="71"/>
      <c r="K92" s="71">
        <f t="shared" si="89"/>
        <v>78</v>
      </c>
      <c r="L92" s="71"/>
      <c r="M92" s="7">
        <f t="shared" si="52"/>
        <v>9.9700301809692873E-2</v>
      </c>
      <c r="N92" s="71"/>
      <c r="O92" s="10" t="str">
        <f t="shared" si="68"/>
        <v/>
      </c>
      <c r="P92" s="29" t="str">
        <f t="shared" si="53"/>
        <v/>
      </c>
      <c r="Q92" s="71"/>
      <c r="R92" s="10" t="str">
        <f t="shared" si="69"/>
        <v/>
      </c>
      <c r="S92" s="71"/>
      <c r="T92" s="10" t="str">
        <f t="shared" si="70"/>
        <v/>
      </c>
      <c r="U92" s="71"/>
      <c r="V92" s="10" t="str">
        <f t="shared" si="54"/>
        <v/>
      </c>
      <c r="W92" s="10" t="str">
        <f t="shared" si="71"/>
        <v/>
      </c>
      <c r="X92" s="71"/>
      <c r="Y92" s="10" t="str">
        <f t="shared" si="55"/>
        <v/>
      </c>
      <c r="Z92" s="10" t="str">
        <f t="shared" si="72"/>
        <v/>
      </c>
      <c r="AA92" s="71"/>
      <c r="AB92" s="10" t="str">
        <f t="shared" si="56"/>
        <v/>
      </c>
      <c r="AC92" s="10" t="str">
        <f t="shared" si="73"/>
        <v/>
      </c>
      <c r="AD92" s="71"/>
      <c r="AE92" s="10" t="str">
        <f t="shared" si="57"/>
        <v/>
      </c>
      <c r="AF92" s="10" t="str">
        <f t="shared" si="74"/>
        <v/>
      </c>
      <c r="AG92" s="71"/>
      <c r="AH92" s="10" t="str">
        <f t="shared" si="58"/>
        <v/>
      </c>
      <c r="AI92" s="10" t="str">
        <f t="shared" si="75"/>
        <v/>
      </c>
      <c r="AJ92" s="71"/>
      <c r="AK92" s="10" t="str">
        <f t="shared" si="59"/>
        <v/>
      </c>
      <c r="AL92" s="10" t="str">
        <f t="shared" si="76"/>
        <v/>
      </c>
      <c r="AM92" s="71"/>
      <c r="AN92" s="10" t="str">
        <f t="shared" si="60"/>
        <v/>
      </c>
      <c r="AO92" s="10" t="str">
        <f t="shared" si="77"/>
        <v/>
      </c>
      <c r="AP92" s="71"/>
      <c r="AQ92" s="10" t="str">
        <f t="shared" si="61"/>
        <v/>
      </c>
      <c r="AR92" s="10" t="str">
        <f t="shared" si="78"/>
        <v/>
      </c>
      <c r="AS92" s="71"/>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U92" s="71"/>
      <c r="AV92" s="10" t="str">
        <f t="shared" si="62"/>
        <v/>
      </c>
      <c r="AW92" s="10" t="str">
        <f t="shared" si="79"/>
        <v/>
      </c>
      <c r="AX92" s="71"/>
      <c r="AY92" s="7" t="str">
        <f>IF(ISERROR(IF($K92&lt;=$F$15,VLOOKUP($I92,'表4）CO2価格'!$A$7:$E$67,VLOOKUP($F$48,'表4）CO2価格'!$H$10:$I$12,2,0),0)*$F$8/1000,"")),0,IF($K92&lt;=$F$15,VLOOKUP($I92,'表4）CO2価格'!$A$7:$E$67,VLOOKUP($F$48,'表4）CO2価格'!$H$10:$I$12,2,0),0)*$F$8/1000,""))</f>
        <v/>
      </c>
      <c r="AZ92" s="71"/>
      <c r="BA92" s="11" t="str">
        <f t="shared" si="63"/>
        <v/>
      </c>
      <c r="BB92" s="10" t="str">
        <f t="shared" si="80"/>
        <v/>
      </c>
      <c r="BC92" s="71"/>
      <c r="BD92" s="10" t="str">
        <f t="shared" si="64"/>
        <v/>
      </c>
      <c r="BE92" s="10" t="str">
        <f t="shared" si="81"/>
        <v/>
      </c>
      <c r="BF92" s="71"/>
      <c r="BG92" s="11" t="str">
        <f t="shared" si="65"/>
        <v/>
      </c>
      <c r="BH92" s="10" t="str">
        <f t="shared" si="82"/>
        <v/>
      </c>
      <c r="BJ92" s="7" t="str">
        <f t="shared" si="83"/>
        <v/>
      </c>
      <c r="BK92" s="158" t="str">
        <f t="shared" si="84"/>
        <v/>
      </c>
      <c r="BL92" s="158" t="str">
        <f t="shared" si="66"/>
        <v/>
      </c>
      <c r="BM92" s="10"/>
      <c r="BN92" s="10" t="str">
        <f t="shared" si="85"/>
        <v/>
      </c>
      <c r="BO92" s="10" t="str">
        <f t="shared" si="86"/>
        <v/>
      </c>
      <c r="BQ92" s="10" t="str">
        <f t="shared" si="67"/>
        <v/>
      </c>
      <c r="BR92" s="10" t="str">
        <f t="shared" si="87"/>
        <v/>
      </c>
    </row>
    <row r="93" spans="4:70" ht="15" x14ac:dyDescent="0.15">
      <c r="D93" s="103"/>
      <c r="F93" s="487"/>
      <c r="H93" s="71"/>
      <c r="I93" s="38">
        <f t="shared" si="88"/>
        <v>2098</v>
      </c>
      <c r="J93" s="39"/>
      <c r="K93" s="39">
        <f t="shared" si="89"/>
        <v>79</v>
      </c>
      <c r="L93" s="39"/>
      <c r="M93" s="40">
        <f t="shared" si="52"/>
        <v>9.679640952397367E-2</v>
      </c>
      <c r="N93" s="39"/>
      <c r="O93" s="72" t="str">
        <f t="shared" si="68"/>
        <v/>
      </c>
      <c r="P93" s="41" t="str">
        <f t="shared" si="53"/>
        <v/>
      </c>
      <c r="Q93" s="39"/>
      <c r="R93" s="72" t="str">
        <f t="shared" si="69"/>
        <v/>
      </c>
      <c r="S93" s="39"/>
      <c r="T93" s="72" t="str">
        <f t="shared" si="70"/>
        <v/>
      </c>
      <c r="U93" s="39"/>
      <c r="V93" s="72" t="str">
        <f t="shared" si="54"/>
        <v/>
      </c>
      <c r="W93" s="72" t="str">
        <f t="shared" si="71"/>
        <v/>
      </c>
      <c r="X93" s="39"/>
      <c r="Y93" s="72" t="str">
        <f t="shared" si="55"/>
        <v/>
      </c>
      <c r="Z93" s="72" t="str">
        <f t="shared" si="72"/>
        <v/>
      </c>
      <c r="AA93" s="39"/>
      <c r="AB93" s="72" t="str">
        <f t="shared" si="56"/>
        <v/>
      </c>
      <c r="AC93" s="72" t="str">
        <f t="shared" si="73"/>
        <v/>
      </c>
      <c r="AD93" s="39"/>
      <c r="AE93" s="72" t="str">
        <f t="shared" si="57"/>
        <v/>
      </c>
      <c r="AF93" s="72" t="str">
        <f t="shared" si="74"/>
        <v/>
      </c>
      <c r="AG93" s="39"/>
      <c r="AH93" s="72" t="str">
        <f t="shared" si="58"/>
        <v/>
      </c>
      <c r="AI93" s="72" t="str">
        <f t="shared" si="75"/>
        <v/>
      </c>
      <c r="AJ93" s="39"/>
      <c r="AK93" s="72" t="str">
        <f t="shared" si="59"/>
        <v/>
      </c>
      <c r="AL93" s="72" t="str">
        <f t="shared" si="76"/>
        <v/>
      </c>
      <c r="AM93" s="39"/>
      <c r="AN93" s="72" t="str">
        <f t="shared" si="60"/>
        <v/>
      </c>
      <c r="AO93" s="72" t="str">
        <f t="shared" si="77"/>
        <v/>
      </c>
      <c r="AP93" s="39"/>
      <c r="AQ93" s="72" t="str">
        <f t="shared" si="61"/>
        <v/>
      </c>
      <c r="AR93" s="72" t="str">
        <f t="shared" si="78"/>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62"/>
        <v/>
      </c>
      <c r="AW93" s="72" t="str">
        <f t="shared" si="79"/>
        <v/>
      </c>
      <c r="AX93" s="39"/>
      <c r="AY93" s="40" t="str">
        <f>IF(ISERROR(IF($K93&lt;=$F$15,VLOOKUP($I93,'表4）CO2価格'!$A$7:$E$67,VLOOKUP($F$48,'表4）CO2価格'!$H$10:$I$12,2,0),0)*$F$8/1000,"")),0,IF($K93&lt;=$F$15,VLOOKUP($I93,'表4）CO2価格'!$A$7:$E$67,VLOOKUP($F$48,'表4）CO2価格'!$H$10:$I$12,2,0),0)*$F$8/1000,""))</f>
        <v/>
      </c>
      <c r="AZ93" s="39"/>
      <c r="BA93" s="42" t="str">
        <f t="shared" si="63"/>
        <v/>
      </c>
      <c r="BB93" s="72" t="str">
        <f t="shared" si="80"/>
        <v/>
      </c>
      <c r="BC93" s="39"/>
      <c r="BD93" s="72" t="str">
        <f t="shared" si="64"/>
        <v/>
      </c>
      <c r="BE93" s="72" t="str">
        <f t="shared" si="81"/>
        <v/>
      </c>
      <c r="BF93" s="39"/>
      <c r="BG93" s="42" t="str">
        <f t="shared" si="65"/>
        <v/>
      </c>
      <c r="BH93" s="72" t="str">
        <f t="shared" si="82"/>
        <v/>
      </c>
      <c r="BI93" s="39"/>
      <c r="BJ93" s="40" t="str">
        <f t="shared" si="83"/>
        <v/>
      </c>
      <c r="BK93" s="157" t="str">
        <f t="shared" si="84"/>
        <v/>
      </c>
      <c r="BL93" s="157" t="str">
        <f t="shared" si="66"/>
        <v/>
      </c>
      <c r="BM93" s="72"/>
      <c r="BN93" s="72" t="str">
        <f t="shared" si="85"/>
        <v/>
      </c>
      <c r="BO93" s="72" t="str">
        <f t="shared" si="86"/>
        <v/>
      </c>
      <c r="BP93" s="39"/>
      <c r="BQ93" s="72" t="str">
        <f t="shared" si="67"/>
        <v/>
      </c>
      <c r="BR93" s="72" t="str">
        <f t="shared" si="87"/>
        <v/>
      </c>
    </row>
    <row r="94" spans="4:70" x14ac:dyDescent="0.15">
      <c r="D94" s="100" t="s">
        <v>596</v>
      </c>
      <c r="E94" s="100"/>
      <c r="F94" s="486"/>
      <c r="G94" s="100"/>
      <c r="H94" s="71"/>
      <c r="I94" s="322">
        <f t="shared" si="88"/>
        <v>2099</v>
      </c>
      <c r="J94" s="71"/>
      <c r="K94" s="71">
        <f t="shared" si="89"/>
        <v>80</v>
      </c>
      <c r="L94" s="71"/>
      <c r="M94" s="7">
        <f t="shared" si="52"/>
        <v>9.3977096625217166E-2</v>
      </c>
      <c r="N94" s="71"/>
      <c r="O94" s="10" t="str">
        <f t="shared" si="68"/>
        <v/>
      </c>
      <c r="P94" s="29" t="str">
        <f t="shared" si="53"/>
        <v/>
      </c>
      <c r="Q94" s="71"/>
      <c r="R94" s="10" t="str">
        <f t="shared" si="69"/>
        <v/>
      </c>
      <c r="S94" s="71"/>
      <c r="T94" s="10" t="str">
        <f t="shared" si="70"/>
        <v/>
      </c>
      <c r="U94" s="71"/>
      <c r="V94" s="10" t="str">
        <f t="shared" si="54"/>
        <v/>
      </c>
      <c r="W94" s="10" t="str">
        <f t="shared" si="71"/>
        <v/>
      </c>
      <c r="X94" s="71"/>
      <c r="Y94" s="10" t="str">
        <f t="shared" si="55"/>
        <v/>
      </c>
      <c r="Z94" s="10" t="str">
        <f t="shared" si="72"/>
        <v/>
      </c>
      <c r="AA94" s="71"/>
      <c r="AB94" s="10" t="str">
        <f t="shared" si="56"/>
        <v/>
      </c>
      <c r="AC94" s="10" t="str">
        <f t="shared" si="73"/>
        <v/>
      </c>
      <c r="AD94" s="71"/>
      <c r="AE94" s="10" t="str">
        <f t="shared" si="57"/>
        <v/>
      </c>
      <c r="AF94" s="10" t="str">
        <f t="shared" si="74"/>
        <v/>
      </c>
      <c r="AG94" s="71"/>
      <c r="AH94" s="10" t="str">
        <f t="shared" si="58"/>
        <v/>
      </c>
      <c r="AI94" s="10" t="str">
        <f t="shared" si="75"/>
        <v/>
      </c>
      <c r="AJ94" s="71"/>
      <c r="AK94" s="10" t="str">
        <f t="shared" si="59"/>
        <v/>
      </c>
      <c r="AL94" s="10" t="str">
        <f t="shared" si="76"/>
        <v/>
      </c>
      <c r="AM94" s="71"/>
      <c r="AN94" s="10" t="str">
        <f t="shared" si="60"/>
        <v/>
      </c>
      <c r="AO94" s="10" t="str">
        <f t="shared" si="77"/>
        <v/>
      </c>
      <c r="AP94" s="71"/>
      <c r="AQ94" s="10" t="str">
        <f t="shared" si="61"/>
        <v/>
      </c>
      <c r="AR94" s="10" t="str">
        <f t="shared" si="78"/>
        <v/>
      </c>
      <c r="AS94" s="71"/>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U94" s="71"/>
      <c r="AV94" s="10" t="str">
        <f t="shared" si="62"/>
        <v/>
      </c>
      <c r="AW94" s="10" t="str">
        <f t="shared" si="79"/>
        <v/>
      </c>
      <c r="AX94" s="71"/>
      <c r="AY94" s="7" t="str">
        <f>IF(ISERROR(IF($K94&lt;=$F$15,VLOOKUP($I94,'表4）CO2価格'!$A$7:$E$67,VLOOKUP($F$48,'表4）CO2価格'!$H$10:$I$12,2,0),0)*$F$8/1000,"")),0,IF($K94&lt;=$F$15,VLOOKUP($I94,'表4）CO2価格'!$A$7:$E$67,VLOOKUP($F$48,'表4）CO2価格'!$H$10:$I$12,2,0),0)*$F$8/1000,""))</f>
        <v/>
      </c>
      <c r="AZ94" s="71"/>
      <c r="BA94" s="11" t="str">
        <f t="shared" si="63"/>
        <v/>
      </c>
      <c r="BB94" s="10" t="str">
        <f t="shared" si="80"/>
        <v/>
      </c>
      <c r="BC94" s="71"/>
      <c r="BD94" s="10" t="str">
        <f t="shared" si="64"/>
        <v/>
      </c>
      <c r="BE94" s="10" t="str">
        <f t="shared" si="81"/>
        <v/>
      </c>
      <c r="BF94" s="71"/>
      <c r="BG94" s="11" t="str">
        <f t="shared" si="65"/>
        <v/>
      </c>
      <c r="BH94" s="10" t="str">
        <f t="shared" si="82"/>
        <v/>
      </c>
      <c r="BJ94" s="7" t="str">
        <f t="shared" si="83"/>
        <v/>
      </c>
      <c r="BK94" s="158" t="str">
        <f t="shared" si="84"/>
        <v/>
      </c>
      <c r="BL94" s="158" t="str">
        <f t="shared" si="66"/>
        <v/>
      </c>
      <c r="BM94" s="10"/>
      <c r="BN94" s="10" t="str">
        <f t="shared" si="85"/>
        <v/>
      </c>
      <c r="BO94" s="10" t="str">
        <f t="shared" si="86"/>
        <v/>
      </c>
      <c r="BQ94" s="10" t="str">
        <f t="shared" si="67"/>
        <v/>
      </c>
      <c r="BR94" s="10" t="str">
        <f t="shared" si="87"/>
        <v/>
      </c>
    </row>
    <row r="95" spans="4:70" ht="15" x14ac:dyDescent="0.15">
      <c r="D95" s="103"/>
      <c r="F95" s="487"/>
      <c r="H95" s="71"/>
      <c r="I95" s="38">
        <f t="shared" si="88"/>
        <v>2100</v>
      </c>
      <c r="J95" s="39"/>
      <c r="K95" s="39">
        <f t="shared" si="89"/>
        <v>81</v>
      </c>
      <c r="L95" s="39"/>
      <c r="M95" s="40">
        <f t="shared" si="52"/>
        <v>9.1239899636133173E-2</v>
      </c>
      <c r="N95" s="39"/>
      <c r="O95" s="72" t="str">
        <f t="shared" si="68"/>
        <v/>
      </c>
      <c r="P95" s="41" t="str">
        <f t="shared" si="53"/>
        <v/>
      </c>
      <c r="Q95" s="39"/>
      <c r="R95" s="72" t="str">
        <f t="shared" si="69"/>
        <v/>
      </c>
      <c r="S95" s="39"/>
      <c r="T95" s="72" t="str">
        <f t="shared" si="70"/>
        <v/>
      </c>
      <c r="U95" s="39"/>
      <c r="V95" s="72" t="str">
        <f t="shared" si="54"/>
        <v/>
      </c>
      <c r="W95" s="72" t="str">
        <f t="shared" si="71"/>
        <v/>
      </c>
      <c r="X95" s="39"/>
      <c r="Y95" s="72" t="str">
        <f t="shared" si="55"/>
        <v/>
      </c>
      <c r="Z95" s="72" t="str">
        <f t="shared" si="72"/>
        <v/>
      </c>
      <c r="AA95" s="39"/>
      <c r="AB95" s="72" t="str">
        <f t="shared" si="56"/>
        <v/>
      </c>
      <c r="AC95" s="72" t="str">
        <f t="shared" si="73"/>
        <v/>
      </c>
      <c r="AD95" s="39"/>
      <c r="AE95" s="72" t="str">
        <f t="shared" si="57"/>
        <v/>
      </c>
      <c r="AF95" s="72" t="str">
        <f t="shared" si="74"/>
        <v/>
      </c>
      <c r="AG95" s="39"/>
      <c r="AH95" s="72" t="str">
        <f t="shared" si="58"/>
        <v/>
      </c>
      <c r="AI95" s="72" t="str">
        <f t="shared" si="75"/>
        <v/>
      </c>
      <c r="AJ95" s="39"/>
      <c r="AK95" s="72" t="str">
        <f t="shared" si="59"/>
        <v/>
      </c>
      <c r="AL95" s="72" t="str">
        <f t="shared" si="76"/>
        <v/>
      </c>
      <c r="AM95" s="39"/>
      <c r="AN95" s="72" t="str">
        <f t="shared" si="60"/>
        <v/>
      </c>
      <c r="AO95" s="72" t="str">
        <f t="shared" si="77"/>
        <v/>
      </c>
      <c r="AP95" s="39"/>
      <c r="AQ95" s="72" t="str">
        <f t="shared" si="61"/>
        <v/>
      </c>
      <c r="AR95" s="72" t="str">
        <f t="shared" si="78"/>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62"/>
        <v/>
      </c>
      <c r="AW95" s="72" t="str">
        <f t="shared" si="79"/>
        <v/>
      </c>
      <c r="AX95" s="39"/>
      <c r="AY95" s="40" t="str">
        <f>IF(ISERROR(IF($K95&lt;=$F$15,VLOOKUP($I95,'表4）CO2価格'!$A$7:$E$67,VLOOKUP($F$48,'表4）CO2価格'!$H$10:$I$12,2,0),0)*$F$8/1000,"")),0,IF($K95&lt;=$F$15,VLOOKUP($I95,'表4）CO2価格'!$A$7:$E$67,VLOOKUP($F$48,'表4）CO2価格'!$H$10:$I$12,2,0),0)*$F$8/1000,""))</f>
        <v/>
      </c>
      <c r="AZ95" s="39"/>
      <c r="BA95" s="42" t="str">
        <f t="shared" si="63"/>
        <v/>
      </c>
      <c r="BB95" s="72" t="str">
        <f t="shared" si="80"/>
        <v/>
      </c>
      <c r="BC95" s="39"/>
      <c r="BD95" s="72" t="str">
        <f t="shared" si="64"/>
        <v/>
      </c>
      <c r="BE95" s="72" t="str">
        <f t="shared" si="81"/>
        <v/>
      </c>
      <c r="BF95" s="39"/>
      <c r="BG95" s="42" t="str">
        <f t="shared" si="65"/>
        <v/>
      </c>
      <c r="BH95" s="72" t="str">
        <f t="shared" si="82"/>
        <v/>
      </c>
      <c r="BI95" s="39"/>
      <c r="BJ95" s="40" t="str">
        <f t="shared" si="83"/>
        <v/>
      </c>
      <c r="BK95" s="157" t="str">
        <f t="shared" si="84"/>
        <v/>
      </c>
      <c r="BL95" s="157" t="str">
        <f t="shared" si="66"/>
        <v/>
      </c>
      <c r="BM95" s="72"/>
      <c r="BN95" s="72" t="str">
        <f t="shared" si="85"/>
        <v/>
      </c>
      <c r="BO95" s="72" t="str">
        <f t="shared" si="86"/>
        <v/>
      </c>
      <c r="BP95" s="39"/>
      <c r="BQ95" s="72" t="str">
        <f t="shared" si="67"/>
        <v/>
      </c>
      <c r="BR95" s="72" t="str">
        <f t="shared" si="87"/>
        <v/>
      </c>
    </row>
    <row r="96" spans="4:70" ht="15" x14ac:dyDescent="0.15">
      <c r="D96" s="103"/>
      <c r="E96" s="84" t="s">
        <v>597</v>
      </c>
      <c r="F96" s="488">
        <f>IF(F3&lt;&gt;"原子力",AW116/$BR$116,0)</f>
        <v>0</v>
      </c>
      <c r="G96" s="84" t="s">
        <v>590</v>
      </c>
      <c r="H96" s="71"/>
      <c r="I96" s="322">
        <f t="shared" si="88"/>
        <v>2101</v>
      </c>
      <c r="J96" s="71"/>
      <c r="K96" s="71">
        <f t="shared" si="89"/>
        <v>82</v>
      </c>
      <c r="L96" s="71"/>
      <c r="M96" s="7">
        <f t="shared" si="52"/>
        <v>8.8582426831197242E-2</v>
      </c>
      <c r="N96" s="71"/>
      <c r="O96" s="10" t="str">
        <f t="shared" si="68"/>
        <v/>
      </c>
      <c r="P96" s="29" t="str">
        <f t="shared" si="53"/>
        <v/>
      </c>
      <c r="Q96" s="71"/>
      <c r="R96" s="10" t="str">
        <f t="shared" si="69"/>
        <v/>
      </c>
      <c r="S96" s="71"/>
      <c r="T96" s="10" t="str">
        <f t="shared" si="70"/>
        <v/>
      </c>
      <c r="U96" s="71"/>
      <c r="V96" s="10" t="str">
        <f t="shared" si="54"/>
        <v/>
      </c>
      <c r="W96" s="10" t="str">
        <f t="shared" si="71"/>
        <v/>
      </c>
      <c r="X96" s="71"/>
      <c r="Y96" s="10" t="str">
        <f t="shared" si="55"/>
        <v/>
      </c>
      <c r="Z96" s="10" t="str">
        <f t="shared" si="72"/>
        <v/>
      </c>
      <c r="AA96" s="71"/>
      <c r="AB96" s="10" t="str">
        <f t="shared" si="56"/>
        <v/>
      </c>
      <c r="AC96" s="10" t="str">
        <f t="shared" si="73"/>
        <v/>
      </c>
      <c r="AD96" s="71"/>
      <c r="AE96" s="10" t="str">
        <f t="shared" si="57"/>
        <v/>
      </c>
      <c r="AF96" s="10" t="str">
        <f t="shared" si="74"/>
        <v/>
      </c>
      <c r="AG96" s="71"/>
      <c r="AH96" s="10" t="str">
        <f t="shared" si="58"/>
        <v/>
      </c>
      <c r="AI96" s="10" t="str">
        <f t="shared" si="75"/>
        <v/>
      </c>
      <c r="AJ96" s="71"/>
      <c r="AK96" s="10" t="str">
        <f t="shared" si="59"/>
        <v/>
      </c>
      <c r="AL96" s="10" t="str">
        <f t="shared" si="76"/>
        <v/>
      </c>
      <c r="AM96" s="71"/>
      <c r="AN96" s="10" t="str">
        <f t="shared" si="60"/>
        <v/>
      </c>
      <c r="AO96" s="10" t="str">
        <f t="shared" si="77"/>
        <v/>
      </c>
      <c r="AP96" s="71"/>
      <c r="AQ96" s="10" t="str">
        <f t="shared" si="61"/>
        <v/>
      </c>
      <c r="AR96" s="10" t="str">
        <f t="shared" si="78"/>
        <v/>
      </c>
      <c r="AS96" s="71"/>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U96" s="71"/>
      <c r="AV96" s="10" t="str">
        <f t="shared" si="62"/>
        <v/>
      </c>
      <c r="AW96" s="10" t="str">
        <f t="shared" si="79"/>
        <v/>
      </c>
      <c r="AX96" s="71"/>
      <c r="AY96" s="7" t="str">
        <f>IF(ISERROR(IF($K96&lt;=$F$15,VLOOKUP($I96,'表4）CO2価格'!$A$7:$E$67,VLOOKUP($F$48,'表4）CO2価格'!$H$10:$I$12,2,0),0)*$F$8/1000,"")),0,IF($K96&lt;=$F$15,VLOOKUP($I96,'表4）CO2価格'!$A$7:$E$67,VLOOKUP($F$48,'表4）CO2価格'!$H$10:$I$12,2,0),0)*$F$8/1000,""))</f>
        <v/>
      </c>
      <c r="AZ96" s="71"/>
      <c r="BA96" s="11" t="str">
        <f t="shared" si="63"/>
        <v/>
      </c>
      <c r="BB96" s="10" t="str">
        <f t="shared" si="80"/>
        <v/>
      </c>
      <c r="BC96" s="71"/>
      <c r="BD96" s="10" t="str">
        <f t="shared" si="64"/>
        <v/>
      </c>
      <c r="BE96" s="10" t="str">
        <f t="shared" si="81"/>
        <v/>
      </c>
      <c r="BF96" s="71"/>
      <c r="BG96" s="11" t="str">
        <f t="shared" si="65"/>
        <v/>
      </c>
      <c r="BH96" s="10" t="str">
        <f t="shared" si="82"/>
        <v/>
      </c>
      <c r="BJ96" s="7" t="str">
        <f t="shared" si="83"/>
        <v/>
      </c>
      <c r="BK96" s="158" t="str">
        <f t="shared" si="84"/>
        <v/>
      </c>
      <c r="BL96" s="158" t="str">
        <f t="shared" si="66"/>
        <v/>
      </c>
      <c r="BM96" s="10"/>
      <c r="BN96" s="10" t="str">
        <f t="shared" si="85"/>
        <v/>
      </c>
      <c r="BO96" s="10" t="str">
        <f t="shared" si="86"/>
        <v/>
      </c>
      <c r="BQ96" s="10" t="str">
        <f t="shared" si="67"/>
        <v/>
      </c>
      <c r="BR96" s="10" t="str">
        <f t="shared" si="87"/>
        <v/>
      </c>
    </row>
    <row r="97" spans="4:70" ht="15" x14ac:dyDescent="0.15">
      <c r="D97" s="103"/>
      <c r="E97" s="84" t="s">
        <v>598</v>
      </c>
      <c r="F97" s="488">
        <f>IF(F3="原子力",#REF!,0)</f>
        <v>0</v>
      </c>
      <c r="G97" s="84" t="s">
        <v>590</v>
      </c>
      <c r="H97" s="71"/>
      <c r="I97" s="38">
        <f t="shared" si="88"/>
        <v>2102</v>
      </c>
      <c r="J97" s="39"/>
      <c r="K97" s="39">
        <f t="shared" si="89"/>
        <v>83</v>
      </c>
      <c r="L97" s="39"/>
      <c r="M97" s="40">
        <f t="shared" si="52"/>
        <v>8.6002356146793454E-2</v>
      </c>
      <c r="N97" s="39"/>
      <c r="O97" s="72" t="str">
        <f t="shared" si="68"/>
        <v/>
      </c>
      <c r="P97" s="41" t="str">
        <f t="shared" si="53"/>
        <v/>
      </c>
      <c r="Q97" s="39"/>
      <c r="R97" s="72" t="str">
        <f t="shared" si="69"/>
        <v/>
      </c>
      <c r="S97" s="39"/>
      <c r="T97" s="72" t="str">
        <f t="shared" si="70"/>
        <v/>
      </c>
      <c r="U97" s="39"/>
      <c r="V97" s="72" t="str">
        <f t="shared" si="54"/>
        <v/>
      </c>
      <c r="W97" s="72" t="str">
        <f t="shared" si="71"/>
        <v/>
      </c>
      <c r="X97" s="39"/>
      <c r="Y97" s="72" t="str">
        <f t="shared" si="55"/>
        <v/>
      </c>
      <c r="Z97" s="72" t="str">
        <f t="shared" si="72"/>
        <v/>
      </c>
      <c r="AA97" s="39"/>
      <c r="AB97" s="72" t="str">
        <f t="shared" si="56"/>
        <v/>
      </c>
      <c r="AC97" s="72" t="str">
        <f t="shared" si="73"/>
        <v/>
      </c>
      <c r="AD97" s="39"/>
      <c r="AE97" s="72" t="str">
        <f t="shared" si="57"/>
        <v/>
      </c>
      <c r="AF97" s="72" t="str">
        <f t="shared" si="74"/>
        <v/>
      </c>
      <c r="AG97" s="39"/>
      <c r="AH97" s="72" t="str">
        <f t="shared" si="58"/>
        <v/>
      </c>
      <c r="AI97" s="72" t="str">
        <f t="shared" si="75"/>
        <v/>
      </c>
      <c r="AJ97" s="39"/>
      <c r="AK97" s="72" t="str">
        <f t="shared" si="59"/>
        <v/>
      </c>
      <c r="AL97" s="72" t="str">
        <f t="shared" si="76"/>
        <v/>
      </c>
      <c r="AM97" s="39"/>
      <c r="AN97" s="72" t="str">
        <f t="shared" si="60"/>
        <v/>
      </c>
      <c r="AO97" s="72" t="str">
        <f t="shared" si="77"/>
        <v/>
      </c>
      <c r="AP97" s="39"/>
      <c r="AQ97" s="72" t="str">
        <f t="shared" si="61"/>
        <v/>
      </c>
      <c r="AR97" s="72" t="str">
        <f t="shared" si="78"/>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62"/>
        <v/>
      </c>
      <c r="AW97" s="72" t="str">
        <f t="shared" si="79"/>
        <v/>
      </c>
      <c r="AX97" s="39"/>
      <c r="AY97" s="40" t="str">
        <f>IF(ISERROR(IF($K97&lt;=$F$15,VLOOKUP($I97,'表4）CO2価格'!$A$7:$E$67,VLOOKUP($F$48,'表4）CO2価格'!$H$10:$I$12,2,0),0)*$F$8/1000,"")),0,IF($K97&lt;=$F$15,VLOOKUP($I97,'表4）CO2価格'!$A$7:$E$67,VLOOKUP($F$48,'表4）CO2価格'!$H$10:$I$12,2,0),0)*$F$8/1000,""))</f>
        <v/>
      </c>
      <c r="AZ97" s="39"/>
      <c r="BA97" s="42" t="str">
        <f t="shared" si="63"/>
        <v/>
      </c>
      <c r="BB97" s="72" t="str">
        <f t="shared" si="80"/>
        <v/>
      </c>
      <c r="BC97" s="39"/>
      <c r="BD97" s="72" t="str">
        <f t="shared" si="64"/>
        <v/>
      </c>
      <c r="BE97" s="72" t="str">
        <f t="shared" si="81"/>
        <v/>
      </c>
      <c r="BF97" s="39"/>
      <c r="BG97" s="42" t="str">
        <f t="shared" si="65"/>
        <v/>
      </c>
      <c r="BH97" s="72" t="str">
        <f t="shared" si="82"/>
        <v/>
      </c>
      <c r="BI97" s="39"/>
      <c r="BJ97" s="40" t="str">
        <f t="shared" si="83"/>
        <v/>
      </c>
      <c r="BK97" s="157" t="str">
        <f t="shared" si="84"/>
        <v/>
      </c>
      <c r="BL97" s="157" t="str">
        <f t="shared" si="66"/>
        <v/>
      </c>
      <c r="BM97" s="72"/>
      <c r="BN97" s="72" t="str">
        <f t="shared" si="85"/>
        <v/>
      </c>
      <c r="BO97" s="72" t="str">
        <f t="shared" si="86"/>
        <v/>
      </c>
      <c r="BP97" s="39"/>
      <c r="BQ97" s="72" t="str">
        <f t="shared" si="67"/>
        <v/>
      </c>
      <c r="BR97" s="72" t="str">
        <f t="shared" si="87"/>
        <v/>
      </c>
    </row>
    <row r="98" spans="4:70" x14ac:dyDescent="0.15">
      <c r="F98" s="487"/>
      <c r="H98" s="71"/>
      <c r="I98" s="322">
        <f t="shared" si="88"/>
        <v>2103</v>
      </c>
      <c r="J98" s="71"/>
      <c r="K98" s="71">
        <f t="shared" si="89"/>
        <v>84</v>
      </c>
      <c r="L98" s="71"/>
      <c r="M98" s="7">
        <f t="shared" si="52"/>
        <v>8.3497433152226644E-2</v>
      </c>
      <c r="N98" s="71"/>
      <c r="O98" s="10" t="str">
        <f t="shared" si="68"/>
        <v/>
      </c>
      <c r="P98" s="29" t="str">
        <f t="shared" si="53"/>
        <v/>
      </c>
      <c r="Q98" s="71"/>
      <c r="R98" s="10" t="str">
        <f t="shared" si="69"/>
        <v/>
      </c>
      <c r="S98" s="71"/>
      <c r="T98" s="10" t="str">
        <f t="shared" si="70"/>
        <v/>
      </c>
      <c r="U98" s="71"/>
      <c r="V98" s="10" t="str">
        <f t="shared" si="54"/>
        <v/>
      </c>
      <c r="W98" s="10" t="str">
        <f t="shared" si="71"/>
        <v/>
      </c>
      <c r="X98" s="71"/>
      <c r="Y98" s="10" t="str">
        <f t="shared" si="55"/>
        <v/>
      </c>
      <c r="Z98" s="10" t="str">
        <f t="shared" si="72"/>
        <v/>
      </c>
      <c r="AA98" s="71"/>
      <c r="AB98" s="10" t="str">
        <f t="shared" si="56"/>
        <v/>
      </c>
      <c r="AC98" s="10" t="str">
        <f t="shared" si="73"/>
        <v/>
      </c>
      <c r="AD98" s="71"/>
      <c r="AE98" s="10" t="str">
        <f t="shared" si="57"/>
        <v/>
      </c>
      <c r="AF98" s="10" t="str">
        <f t="shared" si="74"/>
        <v/>
      </c>
      <c r="AG98" s="71"/>
      <c r="AH98" s="10" t="str">
        <f t="shared" si="58"/>
        <v/>
      </c>
      <c r="AI98" s="10" t="str">
        <f t="shared" si="75"/>
        <v/>
      </c>
      <c r="AJ98" s="71"/>
      <c r="AK98" s="10" t="str">
        <f t="shared" si="59"/>
        <v/>
      </c>
      <c r="AL98" s="10" t="str">
        <f t="shared" si="76"/>
        <v/>
      </c>
      <c r="AM98" s="71"/>
      <c r="AN98" s="10" t="str">
        <f t="shared" si="60"/>
        <v/>
      </c>
      <c r="AO98" s="10" t="str">
        <f t="shared" si="77"/>
        <v/>
      </c>
      <c r="AP98" s="71"/>
      <c r="AQ98" s="10" t="str">
        <f t="shared" si="61"/>
        <v/>
      </c>
      <c r="AR98" s="10" t="str">
        <f t="shared" si="78"/>
        <v/>
      </c>
      <c r="AS98" s="71"/>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U98" s="71"/>
      <c r="AV98" s="10" t="str">
        <f t="shared" si="62"/>
        <v/>
      </c>
      <c r="AW98" s="10" t="str">
        <f t="shared" si="79"/>
        <v/>
      </c>
      <c r="AX98" s="71"/>
      <c r="AY98" s="7" t="str">
        <f>IF(ISERROR(IF($K98&lt;=$F$15,VLOOKUP($I98,'表4）CO2価格'!$A$7:$E$67,VLOOKUP($F$48,'表4）CO2価格'!$H$10:$I$12,2,0),0)*$F$8/1000,"")),0,IF($K98&lt;=$F$15,VLOOKUP($I98,'表4）CO2価格'!$A$7:$E$67,VLOOKUP($F$48,'表4）CO2価格'!$H$10:$I$12,2,0),0)*$F$8/1000,""))</f>
        <v/>
      </c>
      <c r="AZ98" s="71"/>
      <c r="BA98" s="11" t="str">
        <f t="shared" si="63"/>
        <v/>
      </c>
      <c r="BB98" s="10" t="str">
        <f t="shared" si="80"/>
        <v/>
      </c>
      <c r="BC98" s="71"/>
      <c r="BD98" s="10" t="str">
        <f t="shared" si="64"/>
        <v/>
      </c>
      <c r="BE98" s="10" t="str">
        <f t="shared" si="81"/>
        <v/>
      </c>
      <c r="BF98" s="71"/>
      <c r="BG98" s="11" t="str">
        <f t="shared" si="65"/>
        <v/>
      </c>
      <c r="BH98" s="10" t="str">
        <f t="shared" si="82"/>
        <v/>
      </c>
      <c r="BJ98" s="7" t="str">
        <f t="shared" si="83"/>
        <v/>
      </c>
      <c r="BK98" s="158" t="str">
        <f t="shared" si="84"/>
        <v/>
      </c>
      <c r="BL98" s="158" t="str">
        <f t="shared" si="66"/>
        <v/>
      </c>
      <c r="BM98" s="10"/>
      <c r="BN98" s="10" t="str">
        <f t="shared" si="85"/>
        <v/>
      </c>
      <c r="BO98" s="10" t="str">
        <f t="shared" si="86"/>
        <v/>
      </c>
      <c r="BQ98" s="10" t="str">
        <f t="shared" si="67"/>
        <v/>
      </c>
      <c r="BR98" s="10" t="str">
        <f t="shared" si="87"/>
        <v/>
      </c>
    </row>
    <row r="99" spans="4:70" ht="15" x14ac:dyDescent="0.15">
      <c r="D99" s="103" t="s">
        <v>599</v>
      </c>
      <c r="F99" s="484">
        <f>SUBTOTAL(9,F103:F105)</f>
        <v>1.26</v>
      </c>
      <c r="G99" s="84" t="s">
        <v>590</v>
      </c>
      <c r="H99" s="71"/>
      <c r="I99" s="38">
        <f t="shared" si="88"/>
        <v>2104</v>
      </c>
      <c r="J99" s="39"/>
      <c r="K99" s="39">
        <f t="shared" si="89"/>
        <v>85</v>
      </c>
      <c r="L99" s="39"/>
      <c r="M99" s="40">
        <f t="shared" si="52"/>
        <v>8.1065469079831712E-2</v>
      </c>
      <c r="N99" s="39"/>
      <c r="O99" s="72" t="str">
        <f t="shared" si="68"/>
        <v/>
      </c>
      <c r="P99" s="41" t="str">
        <f t="shared" si="53"/>
        <v/>
      </c>
      <c r="Q99" s="39"/>
      <c r="R99" s="72" t="str">
        <f t="shared" si="69"/>
        <v/>
      </c>
      <c r="S99" s="39"/>
      <c r="T99" s="72" t="str">
        <f t="shared" si="70"/>
        <v/>
      </c>
      <c r="U99" s="39"/>
      <c r="V99" s="72" t="str">
        <f t="shared" si="54"/>
        <v/>
      </c>
      <c r="W99" s="72" t="str">
        <f t="shared" si="71"/>
        <v/>
      </c>
      <c r="X99" s="39"/>
      <c r="Y99" s="72" t="str">
        <f t="shared" si="55"/>
        <v/>
      </c>
      <c r="Z99" s="72" t="str">
        <f t="shared" si="72"/>
        <v/>
      </c>
      <c r="AA99" s="39"/>
      <c r="AB99" s="72" t="str">
        <f t="shared" si="56"/>
        <v/>
      </c>
      <c r="AC99" s="72" t="str">
        <f t="shared" si="73"/>
        <v/>
      </c>
      <c r="AD99" s="39"/>
      <c r="AE99" s="72" t="str">
        <f t="shared" si="57"/>
        <v/>
      </c>
      <c r="AF99" s="72" t="str">
        <f t="shared" si="74"/>
        <v/>
      </c>
      <c r="AG99" s="39"/>
      <c r="AH99" s="72" t="str">
        <f t="shared" si="58"/>
        <v/>
      </c>
      <c r="AI99" s="72" t="str">
        <f t="shared" si="75"/>
        <v/>
      </c>
      <c r="AJ99" s="39"/>
      <c r="AK99" s="72" t="str">
        <f t="shared" si="59"/>
        <v/>
      </c>
      <c r="AL99" s="72" t="str">
        <f t="shared" si="76"/>
        <v/>
      </c>
      <c r="AM99" s="39"/>
      <c r="AN99" s="72" t="str">
        <f t="shared" si="60"/>
        <v/>
      </c>
      <c r="AO99" s="72" t="str">
        <f t="shared" si="77"/>
        <v/>
      </c>
      <c r="AP99" s="39"/>
      <c r="AQ99" s="72" t="str">
        <f t="shared" si="61"/>
        <v/>
      </c>
      <c r="AR99" s="72" t="str">
        <f t="shared" si="78"/>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62"/>
        <v/>
      </c>
      <c r="AW99" s="72" t="str">
        <f t="shared" si="79"/>
        <v/>
      </c>
      <c r="AX99" s="39"/>
      <c r="AY99" s="40" t="str">
        <f>IF(ISERROR(IF($K99&lt;=$F$15,VLOOKUP($I99,'表4）CO2価格'!$A$7:$E$67,VLOOKUP($F$48,'表4）CO2価格'!$H$10:$I$12,2,0),0)*$F$8/1000,"")),0,IF($K99&lt;=$F$15,VLOOKUP($I99,'表4）CO2価格'!$A$7:$E$67,VLOOKUP($F$48,'表4）CO2価格'!$H$10:$I$12,2,0),0)*$F$8/1000,""))</f>
        <v/>
      </c>
      <c r="AZ99" s="39"/>
      <c r="BA99" s="42" t="str">
        <f t="shared" si="63"/>
        <v/>
      </c>
      <c r="BB99" s="72" t="str">
        <f t="shared" si="80"/>
        <v/>
      </c>
      <c r="BC99" s="39"/>
      <c r="BD99" s="72" t="str">
        <f t="shared" si="64"/>
        <v/>
      </c>
      <c r="BE99" s="72" t="str">
        <f t="shared" si="81"/>
        <v/>
      </c>
      <c r="BF99" s="39"/>
      <c r="BG99" s="42" t="str">
        <f t="shared" si="65"/>
        <v/>
      </c>
      <c r="BH99" s="72" t="str">
        <f t="shared" si="82"/>
        <v/>
      </c>
      <c r="BI99" s="39"/>
      <c r="BJ99" s="40" t="str">
        <f t="shared" si="83"/>
        <v/>
      </c>
      <c r="BK99" s="157" t="str">
        <f t="shared" si="84"/>
        <v/>
      </c>
      <c r="BL99" s="157" t="str">
        <f t="shared" si="66"/>
        <v/>
      </c>
      <c r="BM99" s="72"/>
      <c r="BN99" s="72" t="str">
        <f t="shared" si="85"/>
        <v/>
      </c>
      <c r="BO99" s="72" t="str">
        <f t="shared" si="86"/>
        <v/>
      </c>
      <c r="BP99" s="39"/>
      <c r="BQ99" s="72" t="str">
        <f t="shared" si="67"/>
        <v/>
      </c>
      <c r="BR99" s="72" t="str">
        <f t="shared" si="87"/>
        <v/>
      </c>
    </row>
    <row r="100" spans="4:70" x14ac:dyDescent="0.15">
      <c r="F100" s="487"/>
      <c r="H100" s="71"/>
      <c r="I100" s="322">
        <f t="shared" si="88"/>
        <v>2105</v>
      </c>
      <c r="J100" s="71"/>
      <c r="K100" s="71">
        <f t="shared" si="89"/>
        <v>86</v>
      </c>
      <c r="L100" s="71"/>
      <c r="M100" s="7">
        <f t="shared" si="52"/>
        <v>7.8704338912457969E-2</v>
      </c>
      <c r="N100" s="71"/>
      <c r="O100" s="10" t="str">
        <f t="shared" si="68"/>
        <v/>
      </c>
      <c r="P100" s="29" t="str">
        <f t="shared" si="53"/>
        <v/>
      </c>
      <c r="Q100" s="71"/>
      <c r="R100" s="10" t="str">
        <f t="shared" si="69"/>
        <v/>
      </c>
      <c r="S100" s="71"/>
      <c r="T100" s="10" t="str">
        <f t="shared" si="70"/>
        <v/>
      </c>
      <c r="U100" s="71"/>
      <c r="V100" s="10" t="str">
        <f t="shared" si="54"/>
        <v/>
      </c>
      <c r="W100" s="10" t="str">
        <f t="shared" si="71"/>
        <v/>
      </c>
      <c r="X100" s="71"/>
      <c r="Y100" s="10" t="str">
        <f t="shared" si="55"/>
        <v/>
      </c>
      <c r="Z100" s="10" t="str">
        <f t="shared" si="72"/>
        <v/>
      </c>
      <c r="AA100" s="71"/>
      <c r="AB100" s="10" t="str">
        <f t="shared" si="56"/>
        <v/>
      </c>
      <c r="AC100" s="10" t="str">
        <f t="shared" si="73"/>
        <v/>
      </c>
      <c r="AD100" s="71"/>
      <c r="AE100" s="10" t="str">
        <f t="shared" si="57"/>
        <v/>
      </c>
      <c r="AF100" s="10" t="str">
        <f t="shared" si="74"/>
        <v/>
      </c>
      <c r="AG100" s="71"/>
      <c r="AH100" s="10" t="str">
        <f t="shared" si="58"/>
        <v/>
      </c>
      <c r="AI100" s="10" t="str">
        <f t="shared" si="75"/>
        <v/>
      </c>
      <c r="AJ100" s="71"/>
      <c r="AK100" s="10" t="str">
        <f t="shared" si="59"/>
        <v/>
      </c>
      <c r="AL100" s="10" t="str">
        <f t="shared" si="76"/>
        <v/>
      </c>
      <c r="AM100" s="71"/>
      <c r="AN100" s="10" t="str">
        <f t="shared" si="60"/>
        <v/>
      </c>
      <c r="AO100" s="10" t="str">
        <f t="shared" si="77"/>
        <v/>
      </c>
      <c r="AP100" s="71"/>
      <c r="AQ100" s="10" t="str">
        <f t="shared" si="61"/>
        <v/>
      </c>
      <c r="AR100" s="10" t="str">
        <f t="shared" si="78"/>
        <v/>
      </c>
      <c r="AS100" s="71"/>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U100" s="71"/>
      <c r="AV100" s="10" t="str">
        <f t="shared" si="62"/>
        <v/>
      </c>
      <c r="AW100" s="10" t="str">
        <f t="shared" si="79"/>
        <v/>
      </c>
      <c r="AX100" s="71"/>
      <c r="AY100" s="7" t="str">
        <f>IF(ISERROR(IF($K100&lt;=$F$15,VLOOKUP($I100,'表4）CO2価格'!$A$7:$E$67,VLOOKUP($F$48,'表4）CO2価格'!$H$10:$I$12,2,0),0)*$F$8/1000,"")),0,IF($K100&lt;=$F$15,VLOOKUP($I100,'表4）CO2価格'!$A$7:$E$67,VLOOKUP($F$48,'表4）CO2価格'!$H$10:$I$12,2,0),0)*$F$8/1000,""))</f>
        <v/>
      </c>
      <c r="AZ100" s="71"/>
      <c r="BA100" s="11" t="str">
        <f t="shared" si="63"/>
        <v/>
      </c>
      <c r="BB100" s="10" t="str">
        <f t="shared" si="80"/>
        <v/>
      </c>
      <c r="BC100" s="71"/>
      <c r="BD100" s="10" t="str">
        <f t="shared" si="64"/>
        <v/>
      </c>
      <c r="BE100" s="10" t="str">
        <f t="shared" si="81"/>
        <v/>
      </c>
      <c r="BF100" s="71"/>
      <c r="BG100" s="11" t="str">
        <f t="shared" si="65"/>
        <v/>
      </c>
      <c r="BH100" s="10" t="str">
        <f t="shared" si="82"/>
        <v/>
      </c>
      <c r="BJ100" s="7" t="str">
        <f t="shared" si="83"/>
        <v/>
      </c>
      <c r="BK100" s="158" t="str">
        <f t="shared" si="84"/>
        <v/>
      </c>
      <c r="BL100" s="158" t="str">
        <f t="shared" si="66"/>
        <v/>
      </c>
      <c r="BM100" s="10"/>
      <c r="BN100" s="10" t="str">
        <f t="shared" si="85"/>
        <v/>
      </c>
      <c r="BO100" s="10" t="str">
        <f t="shared" si="86"/>
        <v/>
      </c>
      <c r="BQ100" s="10" t="str">
        <f t="shared" si="67"/>
        <v/>
      </c>
      <c r="BR100" s="10" t="str">
        <f t="shared" si="87"/>
        <v/>
      </c>
    </row>
    <row r="101" spans="4:70" x14ac:dyDescent="0.15">
      <c r="D101" s="100" t="s">
        <v>600</v>
      </c>
      <c r="E101" s="100"/>
      <c r="F101" s="486"/>
      <c r="G101" s="100"/>
      <c r="H101" s="71"/>
      <c r="I101" s="38">
        <f t="shared" si="88"/>
        <v>2106</v>
      </c>
      <c r="J101" s="39"/>
      <c r="K101" s="39">
        <f t="shared" si="89"/>
        <v>87</v>
      </c>
      <c r="L101" s="39"/>
      <c r="M101" s="40">
        <f t="shared" si="52"/>
        <v>7.6411979526658208E-2</v>
      </c>
      <c r="N101" s="39"/>
      <c r="O101" s="72" t="str">
        <f t="shared" si="68"/>
        <v/>
      </c>
      <c r="P101" s="41" t="str">
        <f t="shared" si="53"/>
        <v/>
      </c>
      <c r="Q101" s="39"/>
      <c r="R101" s="72" t="str">
        <f t="shared" si="69"/>
        <v/>
      </c>
      <c r="S101" s="39"/>
      <c r="T101" s="72" t="str">
        <f t="shared" si="70"/>
        <v/>
      </c>
      <c r="U101" s="39"/>
      <c r="V101" s="72" t="str">
        <f t="shared" si="54"/>
        <v/>
      </c>
      <c r="W101" s="72" t="str">
        <f t="shared" si="71"/>
        <v/>
      </c>
      <c r="X101" s="39"/>
      <c r="Y101" s="72" t="str">
        <f t="shared" si="55"/>
        <v/>
      </c>
      <c r="Z101" s="72" t="str">
        <f t="shared" si="72"/>
        <v/>
      </c>
      <c r="AA101" s="39"/>
      <c r="AB101" s="72" t="str">
        <f t="shared" si="56"/>
        <v/>
      </c>
      <c r="AC101" s="72" t="str">
        <f t="shared" si="73"/>
        <v/>
      </c>
      <c r="AD101" s="39"/>
      <c r="AE101" s="72" t="str">
        <f t="shared" si="57"/>
        <v/>
      </c>
      <c r="AF101" s="72" t="str">
        <f t="shared" si="74"/>
        <v/>
      </c>
      <c r="AG101" s="39"/>
      <c r="AH101" s="72" t="str">
        <f t="shared" si="58"/>
        <v/>
      </c>
      <c r="AI101" s="72" t="str">
        <f t="shared" si="75"/>
        <v/>
      </c>
      <c r="AJ101" s="39"/>
      <c r="AK101" s="72" t="str">
        <f t="shared" si="59"/>
        <v/>
      </c>
      <c r="AL101" s="72" t="str">
        <f t="shared" si="76"/>
        <v/>
      </c>
      <c r="AM101" s="39"/>
      <c r="AN101" s="72" t="str">
        <f t="shared" si="60"/>
        <v/>
      </c>
      <c r="AO101" s="72" t="str">
        <f t="shared" si="77"/>
        <v/>
      </c>
      <c r="AP101" s="39"/>
      <c r="AQ101" s="72" t="str">
        <f t="shared" si="61"/>
        <v/>
      </c>
      <c r="AR101" s="72" t="str">
        <f t="shared" si="78"/>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62"/>
        <v/>
      </c>
      <c r="AW101" s="72" t="str">
        <f t="shared" si="79"/>
        <v/>
      </c>
      <c r="AX101" s="39"/>
      <c r="AY101" s="40" t="str">
        <f>IF(ISERROR(IF($K101&lt;=$F$15,VLOOKUP($I101,'表4）CO2価格'!$A$7:$E$67,VLOOKUP($F$48,'表4）CO2価格'!$H$10:$I$12,2,0),0)*$F$8/1000,"")),0,IF($K101&lt;=$F$15,VLOOKUP($I101,'表4）CO2価格'!$A$7:$E$67,VLOOKUP($F$48,'表4）CO2価格'!$H$10:$I$12,2,0),0)*$F$8/1000,""))</f>
        <v/>
      </c>
      <c r="AZ101" s="39"/>
      <c r="BA101" s="42" t="str">
        <f t="shared" si="63"/>
        <v/>
      </c>
      <c r="BB101" s="72" t="str">
        <f t="shared" si="80"/>
        <v/>
      </c>
      <c r="BC101" s="39"/>
      <c r="BD101" s="72" t="str">
        <f t="shared" si="64"/>
        <v/>
      </c>
      <c r="BE101" s="72" t="str">
        <f t="shared" si="81"/>
        <v/>
      </c>
      <c r="BF101" s="39"/>
      <c r="BG101" s="42" t="str">
        <f t="shared" si="65"/>
        <v/>
      </c>
      <c r="BH101" s="72" t="str">
        <f t="shared" si="82"/>
        <v/>
      </c>
      <c r="BI101" s="39"/>
      <c r="BJ101" s="40" t="str">
        <f t="shared" si="83"/>
        <v/>
      </c>
      <c r="BK101" s="157" t="str">
        <f t="shared" si="84"/>
        <v/>
      </c>
      <c r="BL101" s="157" t="str">
        <f t="shared" si="66"/>
        <v/>
      </c>
      <c r="BM101" s="72"/>
      <c r="BN101" s="72" t="str">
        <f t="shared" si="85"/>
        <v/>
      </c>
      <c r="BO101" s="72" t="str">
        <f t="shared" si="86"/>
        <v/>
      </c>
      <c r="BP101" s="39"/>
      <c r="BQ101" s="72" t="str">
        <f t="shared" si="67"/>
        <v/>
      </c>
      <c r="BR101" s="72" t="str">
        <f t="shared" si="87"/>
        <v/>
      </c>
    </row>
    <row r="102" spans="4:70" x14ac:dyDescent="0.15">
      <c r="F102" s="487"/>
      <c r="H102" s="71"/>
      <c r="I102" s="322">
        <f t="shared" si="88"/>
        <v>2107</v>
      </c>
      <c r="J102" s="71"/>
      <c r="K102" s="71">
        <f t="shared" si="89"/>
        <v>88</v>
      </c>
      <c r="L102" s="71"/>
      <c r="M102" s="7">
        <f t="shared" si="52"/>
        <v>7.4186387889959446E-2</v>
      </c>
      <c r="N102" s="71"/>
      <c r="O102" s="10" t="str">
        <f t="shared" si="68"/>
        <v/>
      </c>
      <c r="P102" s="29" t="str">
        <f t="shared" si="53"/>
        <v/>
      </c>
      <c r="Q102" s="71"/>
      <c r="R102" s="10" t="str">
        <f t="shared" si="69"/>
        <v/>
      </c>
      <c r="S102" s="71"/>
      <c r="T102" s="10" t="str">
        <f t="shared" si="70"/>
        <v/>
      </c>
      <c r="U102" s="71"/>
      <c r="V102" s="10" t="str">
        <f t="shared" si="54"/>
        <v/>
      </c>
      <c r="W102" s="10" t="str">
        <f t="shared" si="71"/>
        <v/>
      </c>
      <c r="X102" s="71"/>
      <c r="Y102" s="10" t="str">
        <f t="shared" si="55"/>
        <v/>
      </c>
      <c r="Z102" s="10" t="str">
        <f t="shared" si="72"/>
        <v/>
      </c>
      <c r="AA102" s="71"/>
      <c r="AB102" s="10" t="str">
        <f t="shared" si="56"/>
        <v/>
      </c>
      <c r="AC102" s="10" t="str">
        <f t="shared" si="73"/>
        <v/>
      </c>
      <c r="AD102" s="71"/>
      <c r="AE102" s="10" t="str">
        <f t="shared" si="57"/>
        <v/>
      </c>
      <c r="AF102" s="10" t="str">
        <f t="shared" si="74"/>
        <v/>
      </c>
      <c r="AG102" s="71"/>
      <c r="AH102" s="10" t="str">
        <f t="shared" si="58"/>
        <v/>
      </c>
      <c r="AI102" s="10" t="str">
        <f t="shared" si="75"/>
        <v/>
      </c>
      <c r="AJ102" s="71"/>
      <c r="AK102" s="10" t="str">
        <f t="shared" si="59"/>
        <v/>
      </c>
      <c r="AL102" s="10" t="str">
        <f t="shared" si="76"/>
        <v/>
      </c>
      <c r="AM102" s="71"/>
      <c r="AN102" s="10" t="str">
        <f t="shared" si="60"/>
        <v/>
      </c>
      <c r="AO102" s="10" t="str">
        <f t="shared" si="77"/>
        <v/>
      </c>
      <c r="AP102" s="71"/>
      <c r="AQ102" s="10" t="str">
        <f t="shared" si="61"/>
        <v/>
      </c>
      <c r="AR102" s="10" t="str">
        <f t="shared" si="78"/>
        <v/>
      </c>
      <c r="AS102" s="71"/>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U102" s="71"/>
      <c r="AV102" s="10" t="str">
        <f t="shared" si="62"/>
        <v/>
      </c>
      <c r="AW102" s="10" t="str">
        <f t="shared" si="79"/>
        <v/>
      </c>
      <c r="AX102" s="71"/>
      <c r="AY102" s="7" t="str">
        <f>IF(ISERROR(IF($K102&lt;=$F$15,VLOOKUP($I102,'表4）CO2価格'!$A$7:$E$67,VLOOKUP($F$48,'表4）CO2価格'!$H$10:$I$12,2,0),0)*$F$8/1000,"")),0,IF($K102&lt;=$F$15,VLOOKUP($I102,'表4）CO2価格'!$A$7:$E$67,VLOOKUP($F$48,'表4）CO2価格'!$H$10:$I$12,2,0),0)*$F$8/1000,""))</f>
        <v/>
      </c>
      <c r="AZ102" s="71"/>
      <c r="BA102" s="11" t="str">
        <f t="shared" si="63"/>
        <v/>
      </c>
      <c r="BB102" s="10" t="str">
        <f t="shared" si="80"/>
        <v/>
      </c>
      <c r="BC102" s="71"/>
      <c r="BD102" s="10" t="str">
        <f t="shared" si="64"/>
        <v/>
      </c>
      <c r="BE102" s="10" t="str">
        <f t="shared" si="81"/>
        <v/>
      </c>
      <c r="BF102" s="71"/>
      <c r="BG102" s="11" t="str">
        <f t="shared" si="65"/>
        <v/>
      </c>
      <c r="BH102" s="10" t="str">
        <f t="shared" si="82"/>
        <v/>
      </c>
      <c r="BJ102" s="7" t="str">
        <f t="shared" si="83"/>
        <v/>
      </c>
      <c r="BK102" s="158" t="str">
        <f t="shared" si="84"/>
        <v/>
      </c>
      <c r="BL102" s="158" t="str">
        <f t="shared" si="66"/>
        <v/>
      </c>
      <c r="BM102" s="10"/>
      <c r="BN102" s="10" t="str">
        <f t="shared" si="85"/>
        <v/>
      </c>
      <c r="BO102" s="10" t="str">
        <f t="shared" si="86"/>
        <v/>
      </c>
      <c r="BQ102" s="10" t="str">
        <f t="shared" si="67"/>
        <v/>
      </c>
      <c r="BR102" s="10" t="str">
        <f t="shared" si="87"/>
        <v/>
      </c>
    </row>
    <row r="103" spans="4:70" x14ac:dyDescent="0.15">
      <c r="E103" s="84" t="s">
        <v>601</v>
      </c>
      <c r="F103" s="488">
        <f>BB116/$BR$116</f>
        <v>0</v>
      </c>
      <c r="G103" s="84" t="s">
        <v>590</v>
      </c>
      <c r="H103" s="71"/>
      <c r="I103" s="38">
        <f t="shared" si="88"/>
        <v>2108</v>
      </c>
      <c r="J103" s="39"/>
      <c r="K103" s="39">
        <f t="shared" si="89"/>
        <v>89</v>
      </c>
      <c r="L103" s="39"/>
      <c r="M103" s="40">
        <f t="shared" si="52"/>
        <v>7.2025619310640235E-2</v>
      </c>
      <c r="N103" s="39"/>
      <c r="O103" s="72" t="str">
        <f t="shared" si="68"/>
        <v/>
      </c>
      <c r="P103" s="41" t="str">
        <f t="shared" si="53"/>
        <v/>
      </c>
      <c r="Q103" s="39"/>
      <c r="R103" s="72" t="str">
        <f t="shared" si="69"/>
        <v/>
      </c>
      <c r="S103" s="39"/>
      <c r="T103" s="72" t="str">
        <f t="shared" si="70"/>
        <v/>
      </c>
      <c r="U103" s="39"/>
      <c r="V103" s="72" t="str">
        <f t="shared" si="54"/>
        <v/>
      </c>
      <c r="W103" s="72" t="str">
        <f t="shared" si="71"/>
        <v/>
      </c>
      <c r="X103" s="39"/>
      <c r="Y103" s="72" t="str">
        <f t="shared" si="55"/>
        <v/>
      </c>
      <c r="Z103" s="72" t="str">
        <f t="shared" si="72"/>
        <v/>
      </c>
      <c r="AA103" s="39"/>
      <c r="AB103" s="72" t="str">
        <f t="shared" si="56"/>
        <v/>
      </c>
      <c r="AC103" s="72" t="str">
        <f t="shared" si="73"/>
        <v/>
      </c>
      <c r="AD103" s="39"/>
      <c r="AE103" s="72" t="str">
        <f t="shared" si="57"/>
        <v/>
      </c>
      <c r="AF103" s="72" t="str">
        <f t="shared" si="74"/>
        <v/>
      </c>
      <c r="AG103" s="39"/>
      <c r="AH103" s="72" t="str">
        <f t="shared" si="58"/>
        <v/>
      </c>
      <c r="AI103" s="72" t="str">
        <f t="shared" si="75"/>
        <v/>
      </c>
      <c r="AJ103" s="39"/>
      <c r="AK103" s="72" t="str">
        <f t="shared" si="59"/>
        <v/>
      </c>
      <c r="AL103" s="72" t="str">
        <f t="shared" si="76"/>
        <v/>
      </c>
      <c r="AM103" s="39"/>
      <c r="AN103" s="72" t="str">
        <f t="shared" si="60"/>
        <v/>
      </c>
      <c r="AO103" s="72" t="str">
        <f t="shared" si="77"/>
        <v/>
      </c>
      <c r="AP103" s="39"/>
      <c r="AQ103" s="72" t="str">
        <f t="shared" si="61"/>
        <v/>
      </c>
      <c r="AR103" s="72" t="str">
        <f t="shared" si="78"/>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62"/>
        <v/>
      </c>
      <c r="AW103" s="72" t="str">
        <f t="shared" si="79"/>
        <v/>
      </c>
      <c r="AX103" s="39"/>
      <c r="AY103" s="40" t="str">
        <f>IF(ISERROR(IF($K103&lt;=$F$15,VLOOKUP($I103,'表4）CO2価格'!$A$7:$E$67,VLOOKUP($F$48,'表4）CO2価格'!$H$10:$I$12,2,0),0)*$F$8/1000,"")),0,IF($K103&lt;=$F$15,VLOOKUP($I103,'表4）CO2価格'!$A$7:$E$67,VLOOKUP($F$48,'表4）CO2価格'!$H$10:$I$12,2,0),0)*$F$8/1000,""))</f>
        <v/>
      </c>
      <c r="AZ103" s="39"/>
      <c r="BA103" s="42" t="str">
        <f t="shared" si="63"/>
        <v/>
      </c>
      <c r="BB103" s="72" t="str">
        <f t="shared" si="80"/>
        <v/>
      </c>
      <c r="BC103" s="39"/>
      <c r="BD103" s="72" t="str">
        <f t="shared" si="64"/>
        <v/>
      </c>
      <c r="BE103" s="72" t="str">
        <f t="shared" si="81"/>
        <v/>
      </c>
      <c r="BF103" s="39"/>
      <c r="BG103" s="42" t="str">
        <f t="shared" si="65"/>
        <v/>
      </c>
      <c r="BH103" s="72" t="str">
        <f t="shared" si="82"/>
        <v/>
      </c>
      <c r="BI103" s="39"/>
      <c r="BJ103" s="40" t="str">
        <f t="shared" si="83"/>
        <v/>
      </c>
      <c r="BK103" s="157" t="str">
        <f t="shared" si="84"/>
        <v/>
      </c>
      <c r="BL103" s="157" t="str">
        <f t="shared" si="66"/>
        <v/>
      </c>
      <c r="BM103" s="72"/>
      <c r="BN103" s="72" t="str">
        <f t="shared" si="85"/>
        <v/>
      </c>
      <c r="BO103" s="72" t="str">
        <f t="shared" si="86"/>
        <v/>
      </c>
      <c r="BP103" s="39"/>
      <c r="BQ103" s="72" t="str">
        <f t="shared" si="67"/>
        <v/>
      </c>
      <c r="BR103" s="72" t="str">
        <f t="shared" si="87"/>
        <v/>
      </c>
    </row>
    <row r="104" spans="4:70" x14ac:dyDescent="0.15">
      <c r="E104" s="84" t="s">
        <v>602</v>
      </c>
      <c r="F104" s="488">
        <f>IF(ISERROR(F60*(1/F61)/F62),0,F60*(1/F61)/F62)</f>
        <v>0</v>
      </c>
      <c r="G104" s="84" t="s">
        <v>590</v>
      </c>
      <c r="H104" s="71"/>
      <c r="I104" s="322">
        <f t="shared" si="88"/>
        <v>2109</v>
      </c>
      <c r="J104" s="71"/>
      <c r="K104" s="71">
        <f t="shared" si="89"/>
        <v>90</v>
      </c>
      <c r="L104" s="71"/>
      <c r="M104" s="7">
        <f t="shared" si="52"/>
        <v>6.9927785738485654E-2</v>
      </c>
      <c r="N104" s="71"/>
      <c r="O104" s="10" t="str">
        <f t="shared" si="68"/>
        <v/>
      </c>
      <c r="P104" s="29" t="str">
        <f t="shared" si="53"/>
        <v/>
      </c>
      <c r="Q104" s="71"/>
      <c r="R104" s="10" t="str">
        <f t="shared" si="69"/>
        <v/>
      </c>
      <c r="S104" s="71"/>
      <c r="T104" s="10" t="str">
        <f t="shared" si="70"/>
        <v/>
      </c>
      <c r="U104" s="71"/>
      <c r="V104" s="10" t="str">
        <f t="shared" si="54"/>
        <v/>
      </c>
      <c r="W104" s="10" t="str">
        <f t="shared" si="71"/>
        <v/>
      </c>
      <c r="X104" s="71"/>
      <c r="Y104" s="10" t="str">
        <f t="shared" si="55"/>
        <v/>
      </c>
      <c r="Z104" s="10" t="str">
        <f t="shared" si="72"/>
        <v/>
      </c>
      <c r="AA104" s="71"/>
      <c r="AB104" s="10" t="str">
        <f t="shared" si="56"/>
        <v/>
      </c>
      <c r="AC104" s="10" t="str">
        <f t="shared" si="73"/>
        <v/>
      </c>
      <c r="AD104" s="71"/>
      <c r="AE104" s="10" t="str">
        <f t="shared" si="57"/>
        <v/>
      </c>
      <c r="AF104" s="10" t="str">
        <f t="shared" si="74"/>
        <v/>
      </c>
      <c r="AG104" s="71"/>
      <c r="AH104" s="10" t="str">
        <f t="shared" si="58"/>
        <v/>
      </c>
      <c r="AI104" s="10" t="str">
        <f t="shared" si="75"/>
        <v/>
      </c>
      <c r="AJ104" s="71"/>
      <c r="AK104" s="10" t="str">
        <f t="shared" si="59"/>
        <v/>
      </c>
      <c r="AL104" s="10" t="str">
        <f t="shared" si="76"/>
        <v/>
      </c>
      <c r="AM104" s="71"/>
      <c r="AN104" s="10" t="str">
        <f t="shared" si="60"/>
        <v/>
      </c>
      <c r="AO104" s="10" t="str">
        <f t="shared" si="77"/>
        <v/>
      </c>
      <c r="AP104" s="71"/>
      <c r="AQ104" s="10" t="str">
        <f t="shared" si="61"/>
        <v/>
      </c>
      <c r="AR104" s="10" t="str">
        <f t="shared" si="78"/>
        <v/>
      </c>
      <c r="AS104" s="71"/>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U104" s="71"/>
      <c r="AV104" s="10" t="str">
        <f t="shared" si="62"/>
        <v/>
      </c>
      <c r="AW104" s="10" t="str">
        <f t="shared" si="79"/>
        <v/>
      </c>
      <c r="AX104" s="71"/>
      <c r="AY104" s="7" t="str">
        <f>IF(ISERROR(IF($K104&lt;=$F$15,VLOOKUP($I104,'表4）CO2価格'!$A$7:$E$67,VLOOKUP($F$48,'表4）CO2価格'!$H$10:$I$12,2,0),0)*$F$8/1000,"")),0,IF($K104&lt;=$F$15,VLOOKUP($I104,'表4）CO2価格'!$A$7:$E$67,VLOOKUP($F$48,'表4）CO2価格'!$H$10:$I$12,2,0),0)*$F$8/1000,""))</f>
        <v/>
      </c>
      <c r="AZ104" s="71"/>
      <c r="BA104" s="11" t="str">
        <f t="shared" si="63"/>
        <v/>
      </c>
      <c r="BB104" s="10" t="str">
        <f t="shared" si="80"/>
        <v/>
      </c>
      <c r="BC104" s="71"/>
      <c r="BD104" s="10" t="str">
        <f t="shared" si="64"/>
        <v/>
      </c>
      <c r="BE104" s="10" t="str">
        <f t="shared" si="81"/>
        <v/>
      </c>
      <c r="BF104" s="71"/>
      <c r="BG104" s="11" t="str">
        <f t="shared" si="65"/>
        <v/>
      </c>
      <c r="BH104" s="10" t="str">
        <f t="shared" si="82"/>
        <v/>
      </c>
      <c r="BJ104" s="7" t="str">
        <f t="shared" si="83"/>
        <v/>
      </c>
      <c r="BK104" s="158" t="str">
        <f t="shared" si="84"/>
        <v/>
      </c>
      <c r="BL104" s="158" t="str">
        <f t="shared" si="66"/>
        <v/>
      </c>
      <c r="BM104" s="10"/>
      <c r="BN104" s="10" t="str">
        <f t="shared" si="85"/>
        <v/>
      </c>
      <c r="BO104" s="10" t="str">
        <f t="shared" si="86"/>
        <v/>
      </c>
      <c r="BQ104" s="10" t="str">
        <f t="shared" si="67"/>
        <v/>
      </c>
      <c r="BR104" s="10" t="str">
        <f t="shared" si="87"/>
        <v/>
      </c>
    </row>
    <row r="105" spans="4:70" x14ac:dyDescent="0.15">
      <c r="E105" s="71" t="s">
        <v>603</v>
      </c>
      <c r="F105" s="488">
        <f>F64</f>
        <v>1.26</v>
      </c>
      <c r="G105" s="84" t="s">
        <v>590</v>
      </c>
      <c r="H105" s="71"/>
      <c r="I105" s="38">
        <f t="shared" si="88"/>
        <v>2110</v>
      </c>
      <c r="J105" s="39"/>
      <c r="K105" s="39">
        <f t="shared" si="89"/>
        <v>91</v>
      </c>
      <c r="L105" s="39"/>
      <c r="M105" s="40">
        <f t="shared" si="52"/>
        <v>6.7891054115034627E-2</v>
      </c>
      <c r="N105" s="39"/>
      <c r="O105" s="72" t="str">
        <f t="shared" si="68"/>
        <v/>
      </c>
      <c r="P105" s="41" t="str">
        <f t="shared" si="53"/>
        <v/>
      </c>
      <c r="Q105" s="39"/>
      <c r="R105" s="72" t="str">
        <f t="shared" si="69"/>
        <v/>
      </c>
      <c r="S105" s="39"/>
      <c r="T105" s="72" t="str">
        <f t="shared" si="70"/>
        <v/>
      </c>
      <c r="U105" s="39"/>
      <c r="V105" s="72" t="str">
        <f t="shared" si="54"/>
        <v/>
      </c>
      <c r="W105" s="72" t="str">
        <f t="shared" si="71"/>
        <v/>
      </c>
      <c r="X105" s="39"/>
      <c r="Y105" s="72" t="str">
        <f t="shared" si="55"/>
        <v/>
      </c>
      <c r="Z105" s="72" t="str">
        <f t="shared" si="72"/>
        <v/>
      </c>
      <c r="AA105" s="39"/>
      <c r="AB105" s="72" t="str">
        <f t="shared" si="56"/>
        <v/>
      </c>
      <c r="AC105" s="72" t="str">
        <f t="shared" si="73"/>
        <v/>
      </c>
      <c r="AD105" s="39"/>
      <c r="AE105" s="72" t="str">
        <f t="shared" si="57"/>
        <v/>
      </c>
      <c r="AF105" s="72" t="str">
        <f t="shared" si="74"/>
        <v/>
      </c>
      <c r="AG105" s="39"/>
      <c r="AH105" s="72" t="str">
        <f t="shared" si="58"/>
        <v/>
      </c>
      <c r="AI105" s="72" t="str">
        <f t="shared" si="75"/>
        <v/>
      </c>
      <c r="AJ105" s="39"/>
      <c r="AK105" s="72" t="str">
        <f t="shared" si="59"/>
        <v/>
      </c>
      <c r="AL105" s="72" t="str">
        <f t="shared" si="76"/>
        <v/>
      </c>
      <c r="AM105" s="39"/>
      <c r="AN105" s="72" t="str">
        <f t="shared" si="60"/>
        <v/>
      </c>
      <c r="AO105" s="72" t="str">
        <f t="shared" si="77"/>
        <v/>
      </c>
      <c r="AP105" s="39"/>
      <c r="AQ105" s="72" t="str">
        <f t="shared" si="61"/>
        <v/>
      </c>
      <c r="AR105" s="72" t="str">
        <f t="shared" si="78"/>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62"/>
        <v/>
      </c>
      <c r="AW105" s="72" t="str">
        <f t="shared" si="79"/>
        <v/>
      </c>
      <c r="AX105" s="39"/>
      <c r="AY105" s="40" t="str">
        <f>IF(ISERROR(IF($K105&lt;=$F$15,VLOOKUP($I105,'表4）CO2価格'!$A$7:$E$67,VLOOKUP($F$48,'表4）CO2価格'!$H$10:$I$12,2,0),0)*$F$8/1000,"")),0,IF($K105&lt;=$F$15,VLOOKUP($I105,'表4）CO2価格'!$A$7:$E$67,VLOOKUP($F$48,'表4）CO2価格'!$H$10:$I$12,2,0),0)*$F$8/1000,""))</f>
        <v/>
      </c>
      <c r="AZ105" s="39"/>
      <c r="BA105" s="42" t="str">
        <f t="shared" si="63"/>
        <v/>
      </c>
      <c r="BB105" s="72" t="str">
        <f t="shared" si="80"/>
        <v/>
      </c>
      <c r="BC105" s="39"/>
      <c r="BD105" s="72" t="str">
        <f t="shared" si="64"/>
        <v/>
      </c>
      <c r="BE105" s="72" t="str">
        <f t="shared" si="81"/>
        <v/>
      </c>
      <c r="BF105" s="39"/>
      <c r="BG105" s="42" t="str">
        <f t="shared" si="65"/>
        <v/>
      </c>
      <c r="BH105" s="72" t="str">
        <f t="shared" si="82"/>
        <v/>
      </c>
      <c r="BI105" s="39"/>
      <c r="BJ105" s="40" t="str">
        <f t="shared" si="83"/>
        <v/>
      </c>
      <c r="BK105" s="157" t="str">
        <f t="shared" si="84"/>
        <v/>
      </c>
      <c r="BL105" s="157" t="str">
        <f t="shared" si="66"/>
        <v/>
      </c>
      <c r="BM105" s="72"/>
      <c r="BN105" s="72" t="str">
        <f t="shared" si="85"/>
        <v/>
      </c>
      <c r="BO105" s="72" t="str">
        <f t="shared" si="86"/>
        <v/>
      </c>
      <c r="BP105" s="39"/>
      <c r="BQ105" s="72" t="str">
        <f t="shared" si="67"/>
        <v/>
      </c>
      <c r="BR105" s="72" t="str">
        <f t="shared" si="87"/>
        <v/>
      </c>
    </row>
    <row r="106" spans="4:70" x14ac:dyDescent="0.15">
      <c r="F106" s="487"/>
      <c r="H106" s="71"/>
      <c r="I106" s="322">
        <f t="shared" si="88"/>
        <v>2111</v>
      </c>
      <c r="J106" s="71"/>
      <c r="K106" s="71">
        <f t="shared" si="89"/>
        <v>92</v>
      </c>
      <c r="L106" s="71"/>
      <c r="M106" s="7">
        <f t="shared" si="52"/>
        <v>6.5913644771878277E-2</v>
      </c>
      <c r="N106" s="71"/>
      <c r="O106" s="10" t="str">
        <f t="shared" si="68"/>
        <v/>
      </c>
      <c r="P106" s="29" t="str">
        <f t="shared" si="53"/>
        <v/>
      </c>
      <c r="Q106" s="71"/>
      <c r="R106" s="10" t="str">
        <f t="shared" si="69"/>
        <v/>
      </c>
      <c r="S106" s="71"/>
      <c r="T106" s="10" t="str">
        <f t="shared" si="70"/>
        <v/>
      </c>
      <c r="U106" s="71"/>
      <c r="V106" s="10" t="str">
        <f t="shared" si="54"/>
        <v/>
      </c>
      <c r="W106" s="10" t="str">
        <f t="shared" si="71"/>
        <v/>
      </c>
      <c r="X106" s="71"/>
      <c r="Y106" s="10" t="str">
        <f t="shared" si="55"/>
        <v/>
      </c>
      <c r="Z106" s="10" t="str">
        <f t="shared" si="72"/>
        <v/>
      </c>
      <c r="AA106" s="71"/>
      <c r="AB106" s="10" t="str">
        <f t="shared" si="56"/>
        <v/>
      </c>
      <c r="AC106" s="10" t="str">
        <f t="shared" si="73"/>
        <v/>
      </c>
      <c r="AD106" s="71"/>
      <c r="AE106" s="10" t="str">
        <f t="shared" si="57"/>
        <v/>
      </c>
      <c r="AF106" s="10" t="str">
        <f t="shared" si="74"/>
        <v/>
      </c>
      <c r="AG106" s="71"/>
      <c r="AH106" s="10" t="str">
        <f t="shared" si="58"/>
        <v/>
      </c>
      <c r="AI106" s="10" t="str">
        <f t="shared" si="75"/>
        <v/>
      </c>
      <c r="AJ106" s="71"/>
      <c r="AK106" s="10" t="str">
        <f t="shared" si="59"/>
        <v/>
      </c>
      <c r="AL106" s="10" t="str">
        <f t="shared" si="76"/>
        <v/>
      </c>
      <c r="AM106" s="71"/>
      <c r="AN106" s="10" t="str">
        <f t="shared" si="60"/>
        <v/>
      </c>
      <c r="AO106" s="10" t="str">
        <f t="shared" si="77"/>
        <v/>
      </c>
      <c r="AP106" s="71"/>
      <c r="AQ106" s="10" t="str">
        <f t="shared" si="61"/>
        <v/>
      </c>
      <c r="AR106" s="10" t="str">
        <f t="shared" si="78"/>
        <v/>
      </c>
      <c r="AS106" s="71"/>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U106" s="71"/>
      <c r="AV106" s="10" t="str">
        <f t="shared" si="62"/>
        <v/>
      </c>
      <c r="AW106" s="10" t="str">
        <f t="shared" si="79"/>
        <v/>
      </c>
      <c r="AX106" s="71"/>
      <c r="AY106" s="7" t="str">
        <f>IF(ISERROR(IF($K106&lt;=$F$15,VLOOKUP($I106,'表4）CO2価格'!$A$7:$E$67,VLOOKUP($F$48,'表4）CO2価格'!$H$10:$I$12,2,0),0)*$F$8/1000,"")),0,IF($K106&lt;=$F$15,VLOOKUP($I106,'表4）CO2価格'!$A$7:$E$67,VLOOKUP($F$48,'表4）CO2価格'!$H$10:$I$12,2,0),0)*$F$8/1000,""))</f>
        <v/>
      </c>
      <c r="AZ106" s="71"/>
      <c r="BA106" s="11" t="str">
        <f t="shared" si="63"/>
        <v/>
      </c>
      <c r="BB106" s="10" t="str">
        <f t="shared" si="80"/>
        <v/>
      </c>
      <c r="BC106" s="71"/>
      <c r="BD106" s="10" t="str">
        <f t="shared" si="64"/>
        <v/>
      </c>
      <c r="BE106" s="10" t="str">
        <f t="shared" si="81"/>
        <v/>
      </c>
      <c r="BF106" s="71"/>
      <c r="BG106" s="11" t="str">
        <f t="shared" si="65"/>
        <v/>
      </c>
      <c r="BH106" s="10" t="str">
        <f t="shared" si="82"/>
        <v/>
      </c>
      <c r="BJ106" s="7" t="str">
        <f t="shared" si="83"/>
        <v/>
      </c>
      <c r="BK106" s="158" t="str">
        <f t="shared" si="84"/>
        <v/>
      </c>
      <c r="BL106" s="158" t="str">
        <f t="shared" si="66"/>
        <v/>
      </c>
      <c r="BM106" s="10"/>
      <c r="BN106" s="10" t="str">
        <f t="shared" si="85"/>
        <v/>
      </c>
      <c r="BO106" s="10" t="str">
        <f t="shared" si="86"/>
        <v/>
      </c>
      <c r="BQ106" s="10" t="str">
        <f t="shared" si="67"/>
        <v/>
      </c>
      <c r="BR106" s="10" t="str">
        <f t="shared" si="87"/>
        <v/>
      </c>
    </row>
    <row r="107" spans="4:70" ht="15" x14ac:dyDescent="0.15">
      <c r="D107" s="103" t="s">
        <v>604</v>
      </c>
      <c r="F107" s="484">
        <f>SUBTOTAL(9,F111:F112)</f>
        <v>0</v>
      </c>
      <c r="G107" s="84" t="s">
        <v>590</v>
      </c>
      <c r="H107" s="71"/>
      <c r="I107" s="38">
        <f t="shared" si="88"/>
        <v>2112</v>
      </c>
      <c r="J107" s="39"/>
      <c r="K107" s="39">
        <f t="shared" si="89"/>
        <v>93</v>
      </c>
      <c r="L107" s="39"/>
      <c r="M107" s="40">
        <f t="shared" si="52"/>
        <v>6.3993829875609989E-2</v>
      </c>
      <c r="N107" s="39"/>
      <c r="O107" s="72" t="str">
        <f t="shared" si="68"/>
        <v/>
      </c>
      <c r="P107" s="41" t="str">
        <f t="shared" si="53"/>
        <v/>
      </c>
      <c r="Q107" s="39"/>
      <c r="R107" s="72" t="str">
        <f t="shared" si="69"/>
        <v/>
      </c>
      <c r="S107" s="39"/>
      <c r="T107" s="72" t="str">
        <f t="shared" si="70"/>
        <v/>
      </c>
      <c r="U107" s="39"/>
      <c r="V107" s="72" t="str">
        <f t="shared" si="54"/>
        <v/>
      </c>
      <c r="W107" s="72" t="str">
        <f t="shared" si="71"/>
        <v/>
      </c>
      <c r="X107" s="39"/>
      <c r="Y107" s="72" t="str">
        <f t="shared" si="55"/>
        <v/>
      </c>
      <c r="Z107" s="72" t="str">
        <f t="shared" si="72"/>
        <v/>
      </c>
      <c r="AA107" s="39"/>
      <c r="AB107" s="72" t="str">
        <f t="shared" si="56"/>
        <v/>
      </c>
      <c r="AC107" s="72" t="str">
        <f t="shared" si="73"/>
        <v/>
      </c>
      <c r="AD107" s="39"/>
      <c r="AE107" s="72" t="str">
        <f t="shared" si="57"/>
        <v/>
      </c>
      <c r="AF107" s="72" t="str">
        <f t="shared" si="74"/>
        <v/>
      </c>
      <c r="AG107" s="39"/>
      <c r="AH107" s="72" t="str">
        <f t="shared" si="58"/>
        <v/>
      </c>
      <c r="AI107" s="72" t="str">
        <f t="shared" si="75"/>
        <v/>
      </c>
      <c r="AJ107" s="39"/>
      <c r="AK107" s="72" t="str">
        <f t="shared" si="59"/>
        <v/>
      </c>
      <c r="AL107" s="72" t="str">
        <f t="shared" si="76"/>
        <v/>
      </c>
      <c r="AM107" s="39"/>
      <c r="AN107" s="72" t="str">
        <f t="shared" si="60"/>
        <v/>
      </c>
      <c r="AO107" s="72" t="str">
        <f t="shared" si="77"/>
        <v/>
      </c>
      <c r="AP107" s="39"/>
      <c r="AQ107" s="72" t="str">
        <f t="shared" si="61"/>
        <v/>
      </c>
      <c r="AR107" s="72" t="str">
        <f t="shared" si="78"/>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62"/>
        <v/>
      </c>
      <c r="AW107" s="72" t="str">
        <f t="shared" si="79"/>
        <v/>
      </c>
      <c r="AX107" s="39"/>
      <c r="AY107" s="40" t="str">
        <f>IF(ISERROR(IF($K107&lt;=$F$15,VLOOKUP($I107,'表4）CO2価格'!$A$7:$E$67,VLOOKUP($F$48,'表4）CO2価格'!$H$10:$I$12,2,0),0)*$F$8/1000,"")),0,IF($K107&lt;=$F$15,VLOOKUP($I107,'表4）CO2価格'!$A$7:$E$67,VLOOKUP($F$48,'表4）CO2価格'!$H$10:$I$12,2,0),0)*$F$8/1000,""))</f>
        <v/>
      </c>
      <c r="AZ107" s="39"/>
      <c r="BA107" s="42" t="str">
        <f t="shared" si="63"/>
        <v/>
      </c>
      <c r="BB107" s="72" t="str">
        <f t="shared" si="80"/>
        <v/>
      </c>
      <c r="BC107" s="39"/>
      <c r="BD107" s="72" t="str">
        <f t="shared" si="64"/>
        <v/>
      </c>
      <c r="BE107" s="72" t="str">
        <f t="shared" si="81"/>
        <v/>
      </c>
      <c r="BF107" s="39"/>
      <c r="BG107" s="42" t="str">
        <f t="shared" si="65"/>
        <v/>
      </c>
      <c r="BH107" s="72" t="str">
        <f t="shared" si="82"/>
        <v/>
      </c>
      <c r="BI107" s="39"/>
      <c r="BJ107" s="40" t="str">
        <f t="shared" si="83"/>
        <v/>
      </c>
      <c r="BK107" s="157" t="str">
        <f t="shared" si="84"/>
        <v/>
      </c>
      <c r="BL107" s="157" t="str">
        <f t="shared" si="66"/>
        <v/>
      </c>
      <c r="BM107" s="72"/>
      <c r="BN107" s="72" t="str">
        <f t="shared" si="85"/>
        <v/>
      </c>
      <c r="BO107" s="72" t="str">
        <f t="shared" si="86"/>
        <v/>
      </c>
      <c r="BP107" s="39"/>
      <c r="BQ107" s="72" t="str">
        <f t="shared" si="67"/>
        <v/>
      </c>
      <c r="BR107" s="72" t="str">
        <f t="shared" si="87"/>
        <v/>
      </c>
    </row>
    <row r="108" spans="4:70" ht="15" x14ac:dyDescent="0.15">
      <c r="D108" s="103"/>
      <c r="F108" s="487"/>
      <c r="H108" s="71"/>
      <c r="I108" s="322">
        <f t="shared" si="88"/>
        <v>2113</v>
      </c>
      <c r="J108" s="71"/>
      <c r="K108" s="71">
        <f t="shared" si="89"/>
        <v>94</v>
      </c>
      <c r="L108" s="71"/>
      <c r="M108" s="7">
        <f t="shared" si="52"/>
        <v>6.212993191806794E-2</v>
      </c>
      <c r="N108" s="71"/>
      <c r="O108" s="10" t="str">
        <f t="shared" si="68"/>
        <v/>
      </c>
      <c r="P108" s="29" t="str">
        <f t="shared" si="53"/>
        <v/>
      </c>
      <c r="Q108" s="71"/>
      <c r="R108" s="10" t="str">
        <f t="shared" si="69"/>
        <v/>
      </c>
      <c r="S108" s="71"/>
      <c r="T108" s="10" t="str">
        <f t="shared" si="70"/>
        <v/>
      </c>
      <c r="U108" s="71"/>
      <c r="V108" s="10" t="str">
        <f t="shared" si="54"/>
        <v/>
      </c>
      <c r="W108" s="10" t="str">
        <f t="shared" si="71"/>
        <v/>
      </c>
      <c r="X108" s="71"/>
      <c r="Y108" s="10" t="str">
        <f t="shared" si="55"/>
        <v/>
      </c>
      <c r="Z108" s="10" t="str">
        <f t="shared" si="72"/>
        <v/>
      </c>
      <c r="AA108" s="71"/>
      <c r="AB108" s="10" t="str">
        <f t="shared" si="56"/>
        <v/>
      </c>
      <c r="AC108" s="10" t="str">
        <f t="shared" si="73"/>
        <v/>
      </c>
      <c r="AD108" s="71"/>
      <c r="AE108" s="10" t="str">
        <f t="shared" si="57"/>
        <v/>
      </c>
      <c r="AF108" s="10" t="str">
        <f t="shared" si="74"/>
        <v/>
      </c>
      <c r="AG108" s="71"/>
      <c r="AH108" s="10" t="str">
        <f t="shared" si="58"/>
        <v/>
      </c>
      <c r="AI108" s="10" t="str">
        <f t="shared" si="75"/>
        <v/>
      </c>
      <c r="AJ108" s="71"/>
      <c r="AK108" s="10" t="str">
        <f t="shared" si="59"/>
        <v/>
      </c>
      <c r="AL108" s="10" t="str">
        <f t="shared" si="76"/>
        <v/>
      </c>
      <c r="AM108" s="71"/>
      <c r="AN108" s="10" t="str">
        <f t="shared" si="60"/>
        <v/>
      </c>
      <c r="AO108" s="10" t="str">
        <f t="shared" si="77"/>
        <v/>
      </c>
      <c r="AP108" s="71"/>
      <c r="AQ108" s="10" t="str">
        <f t="shared" si="61"/>
        <v/>
      </c>
      <c r="AR108" s="10" t="str">
        <f t="shared" si="78"/>
        <v/>
      </c>
      <c r="AS108" s="71"/>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U108" s="71"/>
      <c r="AV108" s="10" t="str">
        <f t="shared" si="62"/>
        <v/>
      </c>
      <c r="AW108" s="10" t="str">
        <f t="shared" si="79"/>
        <v/>
      </c>
      <c r="AX108" s="71"/>
      <c r="AY108" s="7" t="str">
        <f>IF(ISERROR(IF($K108&lt;=$F$15,VLOOKUP($I108,'表4）CO2価格'!$A$7:$E$67,VLOOKUP($F$48,'表4）CO2価格'!$H$10:$I$12,2,0),0)*$F$8/1000,"")),0,IF($K108&lt;=$F$15,VLOOKUP($I108,'表4）CO2価格'!$A$7:$E$67,VLOOKUP($F$48,'表4）CO2価格'!$H$10:$I$12,2,0),0)*$F$8/1000,""))</f>
        <v/>
      </c>
      <c r="AZ108" s="71"/>
      <c r="BA108" s="11" t="str">
        <f t="shared" si="63"/>
        <v/>
      </c>
      <c r="BB108" s="10" t="str">
        <f t="shared" si="80"/>
        <v/>
      </c>
      <c r="BC108" s="71"/>
      <c r="BD108" s="10" t="str">
        <f t="shared" si="64"/>
        <v/>
      </c>
      <c r="BE108" s="10" t="str">
        <f t="shared" si="81"/>
        <v/>
      </c>
      <c r="BF108" s="71"/>
      <c r="BG108" s="11" t="str">
        <f t="shared" si="65"/>
        <v/>
      </c>
      <c r="BH108" s="10" t="str">
        <f t="shared" si="82"/>
        <v/>
      </c>
      <c r="BJ108" s="7" t="str">
        <f t="shared" si="83"/>
        <v/>
      </c>
      <c r="BK108" s="158" t="str">
        <f t="shared" si="84"/>
        <v/>
      </c>
      <c r="BL108" s="158" t="str">
        <f t="shared" si="66"/>
        <v/>
      </c>
      <c r="BM108" s="10"/>
      <c r="BN108" s="10" t="str">
        <f t="shared" si="85"/>
        <v/>
      </c>
      <c r="BO108" s="10" t="str">
        <f t="shared" si="86"/>
        <v/>
      </c>
      <c r="BQ108" s="10" t="str">
        <f t="shared" si="67"/>
        <v/>
      </c>
      <c r="BR108" s="10" t="str">
        <f t="shared" si="87"/>
        <v/>
      </c>
    </row>
    <row r="109" spans="4:70" x14ac:dyDescent="0.15">
      <c r="D109" s="100" t="s">
        <v>605</v>
      </c>
      <c r="E109" s="100"/>
      <c r="F109" s="486"/>
      <c r="G109" s="100"/>
      <c r="H109" s="71"/>
      <c r="I109" s="38">
        <f t="shared" si="88"/>
        <v>2114</v>
      </c>
      <c r="J109" s="39"/>
      <c r="K109" s="39">
        <f t="shared" si="89"/>
        <v>95</v>
      </c>
      <c r="L109" s="39"/>
      <c r="M109" s="40">
        <f t="shared" si="52"/>
        <v>6.0320322250551395E-2</v>
      </c>
      <c r="N109" s="39"/>
      <c r="O109" s="72" t="str">
        <f t="shared" si="68"/>
        <v/>
      </c>
      <c r="P109" s="41" t="str">
        <f t="shared" si="53"/>
        <v/>
      </c>
      <c r="Q109" s="39"/>
      <c r="R109" s="72" t="str">
        <f t="shared" si="69"/>
        <v/>
      </c>
      <c r="S109" s="39"/>
      <c r="T109" s="72" t="str">
        <f t="shared" si="70"/>
        <v/>
      </c>
      <c r="U109" s="39"/>
      <c r="V109" s="72" t="str">
        <f t="shared" si="54"/>
        <v/>
      </c>
      <c r="W109" s="72" t="str">
        <f t="shared" si="71"/>
        <v/>
      </c>
      <c r="X109" s="39"/>
      <c r="Y109" s="72" t="str">
        <f t="shared" si="55"/>
        <v/>
      </c>
      <c r="Z109" s="72" t="str">
        <f t="shared" si="72"/>
        <v/>
      </c>
      <c r="AA109" s="39"/>
      <c r="AB109" s="72" t="str">
        <f t="shared" si="56"/>
        <v/>
      </c>
      <c r="AC109" s="72" t="str">
        <f t="shared" si="73"/>
        <v/>
      </c>
      <c r="AD109" s="39"/>
      <c r="AE109" s="72" t="str">
        <f t="shared" si="57"/>
        <v/>
      </c>
      <c r="AF109" s="72" t="str">
        <f t="shared" si="74"/>
        <v/>
      </c>
      <c r="AG109" s="39"/>
      <c r="AH109" s="72" t="str">
        <f t="shared" si="58"/>
        <v/>
      </c>
      <c r="AI109" s="72" t="str">
        <f t="shared" si="75"/>
        <v/>
      </c>
      <c r="AJ109" s="39"/>
      <c r="AK109" s="72" t="str">
        <f t="shared" si="59"/>
        <v/>
      </c>
      <c r="AL109" s="72" t="str">
        <f t="shared" si="76"/>
        <v/>
      </c>
      <c r="AM109" s="39"/>
      <c r="AN109" s="72" t="str">
        <f t="shared" si="60"/>
        <v/>
      </c>
      <c r="AO109" s="72" t="str">
        <f t="shared" si="77"/>
        <v/>
      </c>
      <c r="AP109" s="39"/>
      <c r="AQ109" s="72" t="str">
        <f t="shared" si="61"/>
        <v/>
      </c>
      <c r="AR109" s="72" t="str">
        <f t="shared" si="78"/>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62"/>
        <v/>
      </c>
      <c r="AW109" s="72" t="str">
        <f t="shared" si="79"/>
        <v/>
      </c>
      <c r="AX109" s="39"/>
      <c r="AY109" s="40" t="str">
        <f>IF(ISERROR(IF($K109&lt;=$F$15,VLOOKUP($I109,'表4）CO2価格'!$A$7:$E$67,VLOOKUP($F$48,'表4）CO2価格'!$H$10:$I$12,2,0),0)*$F$8/1000,"")),0,IF($K109&lt;=$F$15,VLOOKUP($I109,'表4）CO2価格'!$A$7:$E$67,VLOOKUP($F$48,'表4）CO2価格'!$H$10:$I$12,2,0),0)*$F$8/1000,""))</f>
        <v/>
      </c>
      <c r="AZ109" s="39"/>
      <c r="BA109" s="42" t="str">
        <f t="shared" si="63"/>
        <v/>
      </c>
      <c r="BB109" s="72" t="str">
        <f t="shared" si="80"/>
        <v/>
      </c>
      <c r="BC109" s="39"/>
      <c r="BD109" s="72" t="str">
        <f t="shared" si="64"/>
        <v/>
      </c>
      <c r="BE109" s="72" t="str">
        <f t="shared" si="81"/>
        <v/>
      </c>
      <c r="BF109" s="39"/>
      <c r="BG109" s="42" t="str">
        <f t="shared" si="65"/>
        <v/>
      </c>
      <c r="BH109" s="72" t="str">
        <f t="shared" si="82"/>
        <v/>
      </c>
      <c r="BI109" s="39"/>
      <c r="BJ109" s="40" t="str">
        <f t="shared" si="83"/>
        <v/>
      </c>
      <c r="BK109" s="157" t="str">
        <f t="shared" si="84"/>
        <v/>
      </c>
      <c r="BL109" s="157" t="str">
        <f t="shared" si="66"/>
        <v/>
      </c>
      <c r="BM109" s="72"/>
      <c r="BN109" s="72" t="str">
        <f t="shared" si="85"/>
        <v/>
      </c>
      <c r="BO109" s="72" t="str">
        <f t="shared" si="86"/>
        <v/>
      </c>
      <c r="BP109" s="39"/>
      <c r="BQ109" s="72" t="str">
        <f t="shared" si="67"/>
        <v/>
      </c>
      <c r="BR109" s="72" t="str">
        <f t="shared" si="87"/>
        <v/>
      </c>
    </row>
    <row r="110" spans="4:70" ht="15" x14ac:dyDescent="0.15">
      <c r="D110" s="103"/>
      <c r="F110" s="487"/>
      <c r="H110" s="71"/>
      <c r="I110" s="322">
        <f t="shared" si="88"/>
        <v>2115</v>
      </c>
      <c r="J110" s="71"/>
      <c r="K110" s="71">
        <f t="shared" si="89"/>
        <v>96</v>
      </c>
      <c r="L110" s="71"/>
      <c r="M110" s="7">
        <f t="shared" si="52"/>
        <v>5.8563419660729518E-2</v>
      </c>
      <c r="N110" s="71"/>
      <c r="O110" s="10" t="str">
        <f t="shared" si="68"/>
        <v/>
      </c>
      <c r="P110" s="29" t="str">
        <f t="shared" si="53"/>
        <v/>
      </c>
      <c r="Q110" s="71"/>
      <c r="R110" s="10" t="str">
        <f t="shared" si="69"/>
        <v/>
      </c>
      <c r="S110" s="71"/>
      <c r="T110" s="10" t="str">
        <f t="shared" si="70"/>
        <v/>
      </c>
      <c r="U110" s="71"/>
      <c r="V110" s="10" t="str">
        <f t="shared" si="54"/>
        <v/>
      </c>
      <c r="W110" s="10" t="str">
        <f t="shared" si="71"/>
        <v/>
      </c>
      <c r="X110" s="71"/>
      <c r="Y110" s="10" t="str">
        <f t="shared" si="55"/>
        <v/>
      </c>
      <c r="Z110" s="10" t="str">
        <f t="shared" si="72"/>
        <v/>
      </c>
      <c r="AA110" s="71"/>
      <c r="AB110" s="10" t="str">
        <f t="shared" si="56"/>
        <v/>
      </c>
      <c r="AC110" s="10" t="str">
        <f t="shared" si="73"/>
        <v/>
      </c>
      <c r="AD110" s="71"/>
      <c r="AE110" s="10" t="str">
        <f t="shared" si="57"/>
        <v/>
      </c>
      <c r="AF110" s="10" t="str">
        <f t="shared" si="74"/>
        <v/>
      </c>
      <c r="AG110" s="71"/>
      <c r="AH110" s="10" t="str">
        <f t="shared" si="58"/>
        <v/>
      </c>
      <c r="AI110" s="10" t="str">
        <f t="shared" si="75"/>
        <v/>
      </c>
      <c r="AJ110" s="71"/>
      <c r="AK110" s="10" t="str">
        <f t="shared" si="59"/>
        <v/>
      </c>
      <c r="AL110" s="10" t="str">
        <f t="shared" si="76"/>
        <v/>
      </c>
      <c r="AM110" s="71"/>
      <c r="AN110" s="10" t="str">
        <f t="shared" si="60"/>
        <v/>
      </c>
      <c r="AO110" s="10" t="str">
        <f t="shared" si="77"/>
        <v/>
      </c>
      <c r="AP110" s="71"/>
      <c r="AQ110" s="10" t="str">
        <f t="shared" si="61"/>
        <v/>
      </c>
      <c r="AR110" s="10" t="str">
        <f t="shared" si="78"/>
        <v/>
      </c>
      <c r="AS110" s="71"/>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U110" s="71"/>
      <c r="AV110" s="10" t="str">
        <f t="shared" si="62"/>
        <v/>
      </c>
      <c r="AW110" s="10" t="str">
        <f t="shared" si="79"/>
        <v/>
      </c>
      <c r="AX110" s="71"/>
      <c r="AY110" s="7" t="str">
        <f>IF(ISERROR(IF($K110&lt;=$F$15,VLOOKUP($I110,'表4）CO2価格'!$A$7:$E$67,VLOOKUP($F$48,'表4）CO2価格'!$H$10:$I$12,2,0),0)*$F$8/1000,"")),0,IF($K110&lt;=$F$15,VLOOKUP($I110,'表4）CO2価格'!$A$7:$E$67,VLOOKUP($F$48,'表4）CO2価格'!$H$10:$I$12,2,0),0)*$F$8/1000,""))</f>
        <v/>
      </c>
      <c r="AZ110" s="71"/>
      <c r="BA110" s="11" t="str">
        <f t="shared" si="63"/>
        <v/>
      </c>
      <c r="BB110" s="10" t="str">
        <f t="shared" si="80"/>
        <v/>
      </c>
      <c r="BC110" s="71"/>
      <c r="BD110" s="10" t="str">
        <f t="shared" si="64"/>
        <v/>
      </c>
      <c r="BE110" s="10" t="str">
        <f t="shared" si="81"/>
        <v/>
      </c>
      <c r="BF110" s="71"/>
      <c r="BG110" s="11" t="str">
        <f t="shared" si="65"/>
        <v/>
      </c>
      <c r="BH110" s="10" t="str">
        <f t="shared" si="82"/>
        <v/>
      </c>
      <c r="BJ110" s="7" t="str">
        <f t="shared" si="83"/>
        <v/>
      </c>
      <c r="BK110" s="158" t="str">
        <f t="shared" si="84"/>
        <v/>
      </c>
      <c r="BL110" s="158" t="str">
        <f t="shared" si="66"/>
        <v/>
      </c>
      <c r="BM110" s="10"/>
      <c r="BN110" s="10" t="str">
        <f t="shared" si="85"/>
        <v/>
      </c>
      <c r="BO110" s="10" t="str">
        <f t="shared" si="86"/>
        <v/>
      </c>
      <c r="BQ110" s="10" t="str">
        <f t="shared" si="67"/>
        <v/>
      </c>
      <c r="BR110" s="10" t="str">
        <f t="shared" si="87"/>
        <v/>
      </c>
    </row>
    <row r="111" spans="4:70" ht="15" x14ac:dyDescent="0.15">
      <c r="D111" s="103"/>
      <c r="E111" s="84" t="s">
        <v>606</v>
      </c>
      <c r="F111" s="488">
        <f>-BE116/BR116</f>
        <v>0</v>
      </c>
      <c r="G111" s="84" t="s">
        <v>590</v>
      </c>
      <c r="H111" s="71"/>
      <c r="I111" s="38">
        <f t="shared" si="88"/>
        <v>2116</v>
      </c>
      <c r="J111" s="39"/>
      <c r="K111" s="39">
        <f t="shared" si="89"/>
        <v>97</v>
      </c>
      <c r="L111" s="39"/>
      <c r="M111" s="40">
        <f t="shared" si="52"/>
        <v>5.6857688990999529E-2</v>
      </c>
      <c r="N111" s="39"/>
      <c r="O111" s="72" t="str">
        <f t="shared" si="68"/>
        <v/>
      </c>
      <c r="P111" s="41" t="str">
        <f>IF(K111&lt;=$F$15,IF(OR(P110=$F$124,P110="-"),"-",IF(O111*$F$123&gt;$F$127,$F$123,$F$124)),"")</f>
        <v/>
      </c>
      <c r="Q111" s="39"/>
      <c r="R111" s="72" t="str">
        <f t="shared" si="69"/>
        <v/>
      </c>
      <c r="S111" s="39"/>
      <c r="T111" s="72" t="str">
        <f t="shared" si="70"/>
        <v/>
      </c>
      <c r="U111" s="39"/>
      <c r="V111" s="72" t="str">
        <f t="shared" si="54"/>
        <v/>
      </c>
      <c r="W111" s="72" t="str">
        <f t="shared" si="71"/>
        <v/>
      </c>
      <c r="X111" s="39"/>
      <c r="Y111" s="72" t="str">
        <f t="shared" si="55"/>
        <v/>
      </c>
      <c r="Z111" s="72" t="str">
        <f t="shared" si="72"/>
        <v/>
      </c>
      <c r="AA111" s="39"/>
      <c r="AB111" s="72" t="str">
        <f t="shared" si="56"/>
        <v/>
      </c>
      <c r="AC111" s="72" t="str">
        <f t="shared" si="73"/>
        <v/>
      </c>
      <c r="AD111" s="39"/>
      <c r="AE111" s="72" t="str">
        <f t="shared" si="57"/>
        <v/>
      </c>
      <c r="AF111" s="72" t="str">
        <f t="shared" si="74"/>
        <v/>
      </c>
      <c r="AG111" s="39"/>
      <c r="AH111" s="72" t="str">
        <f t="shared" si="58"/>
        <v/>
      </c>
      <c r="AI111" s="72" t="str">
        <f t="shared" si="75"/>
        <v/>
      </c>
      <c r="AJ111" s="39"/>
      <c r="AK111" s="72" t="str">
        <f t="shared" si="59"/>
        <v/>
      </c>
      <c r="AL111" s="72" t="str">
        <f t="shared" si="76"/>
        <v/>
      </c>
      <c r="AM111" s="39"/>
      <c r="AN111" s="72" t="str">
        <f t="shared" si="60"/>
        <v/>
      </c>
      <c r="AO111" s="72" t="str">
        <f t="shared" si="77"/>
        <v/>
      </c>
      <c r="AP111" s="39"/>
      <c r="AQ111" s="72" t="str">
        <f t="shared" si="61"/>
        <v/>
      </c>
      <c r="AR111" s="72" t="str">
        <f t="shared" si="78"/>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62"/>
        <v/>
      </c>
      <c r="AW111" s="72" t="str">
        <f t="shared" si="79"/>
        <v/>
      </c>
      <c r="AX111" s="39"/>
      <c r="AY111" s="40" t="str">
        <f>IF(ISERROR(IF($K111&lt;=$F$15,VLOOKUP($I111,'表4）CO2価格'!$A$7:$E$67,VLOOKUP($F$48,'表4）CO2価格'!$H$10:$I$12,2,0),0)*$F$8/1000,"")),0,IF($K111&lt;=$F$15,VLOOKUP($I111,'表4）CO2価格'!$A$7:$E$67,VLOOKUP($F$48,'表4）CO2価格'!$H$10:$I$12,2,0),0)*$F$8/1000,""))</f>
        <v/>
      </c>
      <c r="AZ111" s="39"/>
      <c r="BA111" s="42" t="str">
        <f t="shared" si="63"/>
        <v/>
      </c>
      <c r="BB111" s="72" t="str">
        <f t="shared" si="80"/>
        <v/>
      </c>
      <c r="BC111" s="39"/>
      <c r="BD111" s="72" t="str">
        <f t="shared" si="64"/>
        <v/>
      </c>
      <c r="BE111" s="72" t="str">
        <f t="shared" si="81"/>
        <v/>
      </c>
      <c r="BF111" s="39"/>
      <c r="BG111" s="42" t="str">
        <f t="shared" si="65"/>
        <v/>
      </c>
      <c r="BH111" s="72" t="str">
        <f t="shared" si="82"/>
        <v/>
      </c>
      <c r="BI111" s="39"/>
      <c r="BJ111" s="40" t="str">
        <f t="shared" si="83"/>
        <v/>
      </c>
      <c r="BK111" s="157" t="str">
        <f t="shared" si="84"/>
        <v/>
      </c>
      <c r="BL111" s="157" t="str">
        <f t="shared" si="66"/>
        <v/>
      </c>
      <c r="BM111" s="72"/>
      <c r="BN111" s="72" t="str">
        <f t="shared" si="85"/>
        <v/>
      </c>
      <c r="BO111" s="72" t="str">
        <f t="shared" si="86"/>
        <v/>
      </c>
      <c r="BP111" s="39"/>
      <c r="BQ111" s="72" t="str">
        <f t="shared" si="67"/>
        <v/>
      </c>
      <c r="BR111" s="72" t="str">
        <f t="shared" si="87"/>
        <v/>
      </c>
    </row>
    <row r="112" spans="4:70" ht="15" x14ac:dyDescent="0.15">
      <c r="D112" s="103"/>
      <c r="E112" s="84" t="s">
        <v>607</v>
      </c>
      <c r="F112" s="488">
        <f>-BH116/BR116</f>
        <v>0</v>
      </c>
      <c r="G112" s="84" t="s">
        <v>590</v>
      </c>
      <c r="H112" s="71"/>
      <c r="I112" s="322">
        <f t="shared" si="88"/>
        <v>2117</v>
      </c>
      <c r="J112" s="71"/>
      <c r="K112" s="71">
        <f t="shared" si="89"/>
        <v>98</v>
      </c>
      <c r="L112" s="71"/>
      <c r="M112" s="7">
        <f t="shared" si="52"/>
        <v>5.5201639797086935E-2</v>
      </c>
      <c r="N112" s="71"/>
      <c r="O112" s="10" t="str">
        <f t="shared" si="68"/>
        <v/>
      </c>
      <c r="P112" s="29" t="str">
        <f>IF(K112&lt;=$F$15,IF(OR(P111=$F$124,P111="-"),"-",IF(O112*$F$123&gt;$F$127,$F$123,$F$124)),"")</f>
        <v/>
      </c>
      <c r="Q112" s="71"/>
      <c r="R112" s="10" t="str">
        <f t="shared" si="69"/>
        <v/>
      </c>
      <c r="S112" s="71"/>
      <c r="T112" s="10" t="str">
        <f t="shared" si="70"/>
        <v/>
      </c>
      <c r="U112" s="71"/>
      <c r="V112" s="10" t="str">
        <f t="shared" si="54"/>
        <v/>
      </c>
      <c r="W112" s="10" t="str">
        <f t="shared" si="71"/>
        <v/>
      </c>
      <c r="X112" s="71"/>
      <c r="Y112" s="10" t="str">
        <f t="shared" si="55"/>
        <v/>
      </c>
      <c r="Z112" s="10" t="str">
        <f t="shared" si="72"/>
        <v/>
      </c>
      <c r="AA112" s="71"/>
      <c r="AB112" s="10" t="str">
        <f t="shared" si="56"/>
        <v/>
      </c>
      <c r="AC112" s="10" t="str">
        <f t="shared" si="73"/>
        <v/>
      </c>
      <c r="AD112" s="71"/>
      <c r="AE112" s="10" t="str">
        <f t="shared" si="57"/>
        <v/>
      </c>
      <c r="AF112" s="10" t="str">
        <f t="shared" si="74"/>
        <v/>
      </c>
      <c r="AG112" s="71"/>
      <c r="AH112" s="10" t="str">
        <f t="shared" si="58"/>
        <v/>
      </c>
      <c r="AI112" s="10" t="str">
        <f t="shared" si="75"/>
        <v/>
      </c>
      <c r="AJ112" s="71"/>
      <c r="AK112" s="10" t="str">
        <f t="shared" si="59"/>
        <v/>
      </c>
      <c r="AL112" s="10" t="str">
        <f t="shared" si="76"/>
        <v/>
      </c>
      <c r="AM112" s="71"/>
      <c r="AN112" s="10" t="str">
        <f t="shared" si="60"/>
        <v/>
      </c>
      <c r="AO112" s="10" t="str">
        <f t="shared" si="77"/>
        <v/>
      </c>
      <c r="AP112" s="71"/>
      <c r="AQ112" s="10" t="str">
        <f t="shared" si="61"/>
        <v/>
      </c>
      <c r="AR112" s="10" t="str">
        <f t="shared" si="78"/>
        <v/>
      </c>
      <c r="AS112" s="71"/>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U112" s="71"/>
      <c r="AV112" s="10" t="str">
        <f t="shared" si="62"/>
        <v/>
      </c>
      <c r="AW112" s="10" t="str">
        <f t="shared" si="79"/>
        <v/>
      </c>
      <c r="AX112" s="71"/>
      <c r="AY112" s="7" t="str">
        <f>IF(ISERROR(IF($K112&lt;=$F$15,VLOOKUP($I112,'表4）CO2価格'!$A$7:$E$67,VLOOKUP($F$48,'表4）CO2価格'!$H$10:$I$12,2,0),0)*$F$8/1000,"")),0,IF($K112&lt;=$F$15,VLOOKUP($I112,'表4）CO2価格'!$A$7:$E$67,VLOOKUP($F$48,'表4）CO2価格'!$H$10:$I$12,2,0),0)*$F$8/1000,""))</f>
        <v/>
      </c>
      <c r="AZ112" s="71"/>
      <c r="BA112" s="11" t="str">
        <f t="shared" si="63"/>
        <v/>
      </c>
      <c r="BB112" s="10" t="str">
        <f t="shared" si="80"/>
        <v/>
      </c>
      <c r="BC112" s="71"/>
      <c r="BD112" s="10" t="str">
        <f t="shared" si="64"/>
        <v/>
      </c>
      <c r="BE112" s="10" t="str">
        <f t="shared" si="81"/>
        <v/>
      </c>
      <c r="BF112" s="71"/>
      <c r="BG112" s="11" t="str">
        <f t="shared" si="65"/>
        <v/>
      </c>
      <c r="BH112" s="10" t="str">
        <f t="shared" si="82"/>
        <v/>
      </c>
      <c r="BJ112" s="7" t="str">
        <f t="shared" si="83"/>
        <v/>
      </c>
      <c r="BK112" s="158" t="str">
        <f t="shared" si="84"/>
        <v/>
      </c>
      <c r="BL112" s="158" t="str">
        <f t="shared" si="66"/>
        <v/>
      </c>
      <c r="BM112" s="10"/>
      <c r="BN112" s="10" t="str">
        <f t="shared" si="85"/>
        <v/>
      </c>
      <c r="BO112" s="10" t="str">
        <f t="shared" si="86"/>
        <v/>
      </c>
      <c r="BQ112" s="10" t="str">
        <f t="shared" si="67"/>
        <v/>
      </c>
      <c r="BR112" s="10" t="str">
        <f t="shared" si="87"/>
        <v/>
      </c>
    </row>
    <row r="113" spans="2:70" x14ac:dyDescent="0.15">
      <c r="H113" s="71"/>
      <c r="I113" s="38">
        <f t="shared" si="88"/>
        <v>2118</v>
      </c>
      <c r="J113" s="39"/>
      <c r="K113" s="39">
        <f t="shared" si="89"/>
        <v>99</v>
      </c>
      <c r="L113" s="39"/>
      <c r="M113" s="40">
        <f t="shared" si="52"/>
        <v>5.3593825045715457E-2</v>
      </c>
      <c r="N113" s="39"/>
      <c r="O113" s="72" t="str">
        <f t="shared" si="68"/>
        <v/>
      </c>
      <c r="P113" s="41" t="str">
        <f>IF(K113&lt;=$F$15,IF(OR(P112=$F$124,P112="-"),"-",IF(O113*$F$123&gt;$F$127,$F$123,$F$124)),"")</f>
        <v/>
      </c>
      <c r="Q113" s="39"/>
      <c r="R113" s="72" t="str">
        <f t="shared" si="69"/>
        <v/>
      </c>
      <c r="S113" s="39"/>
      <c r="T113" s="72" t="str">
        <f t="shared" si="70"/>
        <v/>
      </c>
      <c r="U113" s="39"/>
      <c r="V113" s="72" t="str">
        <f t="shared" si="54"/>
        <v/>
      </c>
      <c r="W113" s="72" t="str">
        <f t="shared" si="71"/>
        <v/>
      </c>
      <c r="X113" s="39"/>
      <c r="Y113" s="72" t="str">
        <f t="shared" si="55"/>
        <v/>
      </c>
      <c r="Z113" s="72" t="str">
        <f t="shared" si="72"/>
        <v/>
      </c>
      <c r="AA113" s="39"/>
      <c r="AB113" s="72" t="str">
        <f t="shared" si="56"/>
        <v/>
      </c>
      <c r="AC113" s="72" t="str">
        <f t="shared" si="73"/>
        <v/>
      </c>
      <c r="AD113" s="39"/>
      <c r="AE113" s="72" t="str">
        <f t="shared" si="57"/>
        <v/>
      </c>
      <c r="AF113" s="72" t="str">
        <f t="shared" si="74"/>
        <v/>
      </c>
      <c r="AG113" s="39"/>
      <c r="AH113" s="72" t="str">
        <f t="shared" si="58"/>
        <v/>
      </c>
      <c r="AI113" s="72" t="str">
        <f t="shared" si="75"/>
        <v/>
      </c>
      <c r="AJ113" s="39"/>
      <c r="AK113" s="72" t="str">
        <f t="shared" si="59"/>
        <v/>
      </c>
      <c r="AL113" s="72" t="str">
        <f t="shared" si="76"/>
        <v/>
      </c>
      <c r="AM113" s="39"/>
      <c r="AN113" s="72" t="str">
        <f t="shared" si="60"/>
        <v/>
      </c>
      <c r="AO113" s="72" t="str">
        <f t="shared" si="77"/>
        <v/>
      </c>
      <c r="AP113" s="39"/>
      <c r="AQ113" s="72" t="str">
        <f t="shared" si="61"/>
        <v/>
      </c>
      <c r="AR113" s="72" t="str">
        <f t="shared" si="78"/>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62"/>
        <v/>
      </c>
      <c r="AW113" s="72" t="str">
        <f t="shared" si="79"/>
        <v/>
      </c>
      <c r="AX113" s="39"/>
      <c r="AY113" s="40" t="str">
        <f>IF(ISERROR(IF($K113&lt;=$F$15,VLOOKUP($I113,'表4）CO2価格'!$A$7:$E$67,VLOOKUP($F$48,'表4）CO2価格'!$H$10:$I$12,2,0),0)*$F$8/1000,"")),0,IF($K113&lt;=$F$15,VLOOKUP($I113,'表4）CO2価格'!$A$7:$E$67,VLOOKUP($F$48,'表4）CO2価格'!$H$10:$I$12,2,0),0)*$F$8/1000,""))</f>
        <v/>
      </c>
      <c r="AZ113" s="39"/>
      <c r="BA113" s="42" t="str">
        <f t="shared" si="63"/>
        <v/>
      </c>
      <c r="BB113" s="72" t="str">
        <f t="shared" si="80"/>
        <v/>
      </c>
      <c r="BC113" s="39"/>
      <c r="BD113" s="72" t="str">
        <f t="shared" si="64"/>
        <v/>
      </c>
      <c r="BE113" s="72" t="str">
        <f t="shared" si="81"/>
        <v/>
      </c>
      <c r="BF113" s="39"/>
      <c r="BG113" s="42" t="str">
        <f t="shared" si="65"/>
        <v/>
      </c>
      <c r="BH113" s="72" t="str">
        <f t="shared" si="82"/>
        <v/>
      </c>
      <c r="BI113" s="39"/>
      <c r="BJ113" s="40" t="str">
        <f t="shared" si="83"/>
        <v/>
      </c>
      <c r="BK113" s="157" t="str">
        <f t="shared" si="84"/>
        <v/>
      </c>
      <c r="BL113" s="157" t="str">
        <f t="shared" si="66"/>
        <v/>
      </c>
      <c r="BM113" s="72"/>
      <c r="BN113" s="72" t="str">
        <f t="shared" si="85"/>
        <v/>
      </c>
      <c r="BO113" s="72" t="str">
        <f t="shared" si="86"/>
        <v/>
      </c>
      <c r="BP113" s="39"/>
      <c r="BQ113" s="72" t="str">
        <f t="shared" si="67"/>
        <v/>
      </c>
      <c r="BR113" s="72" t="str">
        <f t="shared" si="87"/>
        <v/>
      </c>
    </row>
    <row r="114" spans="2:70" x14ac:dyDescent="0.15">
      <c r="H114" s="71"/>
      <c r="I114" s="322">
        <f t="shared" si="88"/>
        <v>2119</v>
      </c>
      <c r="J114" s="71"/>
      <c r="K114" s="71">
        <f t="shared" si="89"/>
        <v>100</v>
      </c>
      <c r="L114" s="71"/>
      <c r="M114" s="7">
        <f t="shared" si="52"/>
        <v>5.2032839850209185E-2</v>
      </c>
      <c r="N114" s="71"/>
      <c r="O114" s="10" t="str">
        <f t="shared" si="68"/>
        <v/>
      </c>
      <c r="P114" s="29" t="str">
        <f>IF(K114&lt;=$F$15,IF(OR(P113=$F$124,P113="-"),"-",IF(O114*$F$123&gt;$F$127,$F$123,$F$124)),"")</f>
        <v/>
      </c>
      <c r="Q114" s="71"/>
      <c r="R114" s="10" t="str">
        <f t="shared" si="69"/>
        <v/>
      </c>
      <c r="S114" s="71"/>
      <c r="T114" s="10" t="str">
        <f t="shared" si="70"/>
        <v/>
      </c>
      <c r="U114" s="71"/>
      <c r="V114" s="10" t="str">
        <f t="shared" si="54"/>
        <v/>
      </c>
      <c r="W114" s="10" t="str">
        <f t="shared" si="71"/>
        <v/>
      </c>
      <c r="X114" s="71"/>
      <c r="Y114" s="10" t="str">
        <f t="shared" si="55"/>
        <v/>
      </c>
      <c r="Z114" s="10" t="str">
        <f t="shared" si="72"/>
        <v/>
      </c>
      <c r="AA114" s="71"/>
      <c r="AB114" s="10" t="str">
        <f t="shared" si="56"/>
        <v/>
      </c>
      <c r="AC114" s="10" t="str">
        <f t="shared" si="73"/>
        <v/>
      </c>
      <c r="AD114" s="71"/>
      <c r="AE114" s="10" t="str">
        <f t="shared" si="57"/>
        <v/>
      </c>
      <c r="AF114" s="10" t="str">
        <f t="shared" si="74"/>
        <v/>
      </c>
      <c r="AG114" s="71"/>
      <c r="AH114" s="10" t="str">
        <f t="shared" si="58"/>
        <v/>
      </c>
      <c r="AI114" s="10" t="str">
        <f t="shared" si="75"/>
        <v/>
      </c>
      <c r="AJ114" s="71"/>
      <c r="AK114" s="10" t="str">
        <f t="shared" si="59"/>
        <v/>
      </c>
      <c r="AL114" s="10" t="str">
        <f t="shared" si="76"/>
        <v/>
      </c>
      <c r="AM114" s="71"/>
      <c r="AN114" s="10" t="str">
        <f t="shared" si="60"/>
        <v/>
      </c>
      <c r="AO114" s="10" t="str">
        <f t="shared" si="77"/>
        <v/>
      </c>
      <c r="AP114" s="71"/>
      <c r="AQ114" s="10" t="str">
        <f t="shared" si="61"/>
        <v/>
      </c>
      <c r="AR114" s="10" t="str">
        <f t="shared" si="78"/>
        <v/>
      </c>
      <c r="AS114" s="71"/>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U114" s="71"/>
      <c r="AV114" s="10" t="str">
        <f t="shared" si="62"/>
        <v/>
      </c>
      <c r="AW114" s="10" t="str">
        <f t="shared" si="79"/>
        <v/>
      </c>
      <c r="AX114" s="71"/>
      <c r="AY114" s="7" t="str">
        <f>IF(ISERROR(IF($K114&lt;=$F$15,VLOOKUP($I114,'表4）CO2価格'!$A$7:$E$67,VLOOKUP($F$48,'表4）CO2価格'!$H$10:$I$12,2,0),0)*$F$8/1000,"")),0,IF($K114&lt;=$F$15,VLOOKUP($I114,'表4）CO2価格'!$A$7:$E$67,VLOOKUP($F$48,'表4）CO2価格'!$H$10:$I$12,2,0),0)*$F$8/1000,""))</f>
        <v/>
      </c>
      <c r="AZ114" s="71"/>
      <c r="BA114" s="11" t="str">
        <f t="shared" si="63"/>
        <v/>
      </c>
      <c r="BB114" s="10" t="str">
        <f t="shared" si="80"/>
        <v/>
      </c>
      <c r="BC114" s="71"/>
      <c r="BD114" s="10" t="str">
        <f t="shared" si="64"/>
        <v/>
      </c>
      <c r="BE114" s="10" t="str">
        <f t="shared" si="81"/>
        <v/>
      </c>
      <c r="BF114" s="71"/>
      <c r="BG114" s="11" t="str">
        <f t="shared" si="65"/>
        <v/>
      </c>
      <c r="BH114" s="10" t="str">
        <f t="shared" si="82"/>
        <v/>
      </c>
      <c r="BJ114" s="7" t="str">
        <f t="shared" si="83"/>
        <v/>
      </c>
      <c r="BK114" s="158" t="str">
        <f t="shared" si="84"/>
        <v/>
      </c>
      <c r="BL114" s="158" t="str">
        <f t="shared" si="66"/>
        <v/>
      </c>
      <c r="BM114" s="10"/>
      <c r="BN114" s="10" t="str">
        <f t="shared" si="85"/>
        <v/>
      </c>
      <c r="BO114" s="10" t="str">
        <f t="shared" si="86"/>
        <v/>
      </c>
      <c r="BQ114" s="10" t="str">
        <f t="shared" si="67"/>
        <v/>
      </c>
      <c r="BR114" s="10" t="str">
        <f t="shared" si="87"/>
        <v/>
      </c>
    </row>
    <row r="115" spans="2:70" ht="15.75" thickBot="1" x14ac:dyDescent="0.2">
      <c r="B115" s="5" t="s">
        <v>608</v>
      </c>
      <c r="C115" s="3"/>
      <c r="D115" s="102"/>
      <c r="E115" s="102"/>
      <c r="F115" s="3"/>
      <c r="G115" s="102"/>
      <c r="H115" s="71"/>
      <c r="I115" s="321"/>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H116" s="71"/>
      <c r="I116" s="71" t="s">
        <v>143</v>
      </c>
      <c r="J116" s="71"/>
      <c r="K116" s="71"/>
      <c r="L116" s="71"/>
      <c r="M116" s="71"/>
      <c r="N116" s="71"/>
      <c r="O116" s="71"/>
      <c r="P116" s="71"/>
      <c r="Q116" s="71"/>
      <c r="R116" s="71"/>
      <c r="S116" s="71"/>
      <c r="T116" s="71"/>
      <c r="U116" s="71"/>
      <c r="V116" s="71"/>
      <c r="W116" s="11"/>
      <c r="X116" s="71"/>
      <c r="Y116" s="71"/>
      <c r="Z116" s="11">
        <f>SUM(Z15:Z114)</f>
        <v>2012832803.5460384</v>
      </c>
      <c r="AA116" s="71"/>
      <c r="AB116" s="71"/>
      <c r="AC116" s="11">
        <f>SUM(AC15:AC114)</f>
        <v>352689180.89025348</v>
      </c>
      <c r="AD116" s="71"/>
      <c r="AE116" s="71"/>
      <c r="AF116" s="11">
        <f>SUM(AF15:AF114)</f>
        <v>0</v>
      </c>
      <c r="AG116" s="71"/>
      <c r="AH116" s="71"/>
      <c r="AI116" s="11">
        <f>SUM(AI15:AI114)</f>
        <v>22883624254.464394</v>
      </c>
      <c r="AJ116" s="71"/>
      <c r="AK116" s="71"/>
      <c r="AL116" s="11">
        <f>SUM(AL15:AL114)</f>
        <v>0</v>
      </c>
      <c r="AM116" s="71"/>
      <c r="AN116" s="71"/>
      <c r="AO116" s="11">
        <f>SUM(AO15:AO114)</f>
        <v>0</v>
      </c>
      <c r="AP116" s="71"/>
      <c r="AQ116" s="71"/>
      <c r="AR116" s="11">
        <f>SUM(AR15:AR114)</f>
        <v>0</v>
      </c>
      <c r="AS116" s="71"/>
      <c r="AT116" s="71"/>
      <c r="AU116" s="71"/>
      <c r="AV116" s="71"/>
      <c r="AW116" s="11">
        <f>SUM(AW15:AW114)</f>
        <v>0</v>
      </c>
      <c r="AX116" s="71"/>
      <c r="AY116" s="71"/>
      <c r="AZ116" s="71"/>
      <c r="BA116" s="71"/>
      <c r="BB116" s="11">
        <f>SUM(BB15:BB114)</f>
        <v>0</v>
      </c>
      <c r="BC116" s="71"/>
      <c r="BD116" s="71"/>
      <c r="BE116" s="11">
        <f>SUM(BE15:BE114)</f>
        <v>0</v>
      </c>
      <c r="BF116" s="71"/>
      <c r="BG116" s="71"/>
      <c r="BH116" s="11">
        <f>SUM(BH15:BH114)</f>
        <v>0</v>
      </c>
      <c r="BK116" s="11">
        <f>SUM(BK15:BK114)</f>
        <v>7764435853.2097273</v>
      </c>
      <c r="BL116" s="11">
        <f>SUM(BL15:BL114)</f>
        <v>1254543927.4174554</v>
      </c>
      <c r="BO116" s="11">
        <f>SUM(BO15:BO114)</f>
        <v>58124168054.833916</v>
      </c>
      <c r="BQ116" s="71"/>
      <c r="BR116" s="11">
        <f>SUM(BR15:BR114)</f>
        <v>4487279004.6706085</v>
      </c>
    </row>
    <row r="117" spans="2:70" x14ac:dyDescent="0.15">
      <c r="C117" s="71" t="s">
        <v>610</v>
      </c>
      <c r="F117" s="490">
        <f>F21*10^4*F13*10^4+F29*10^8</f>
        <v>23700000000</v>
      </c>
      <c r="G117" s="84" t="s">
        <v>611</v>
      </c>
      <c r="H117" s="71"/>
      <c r="I117" s="48" t="s">
        <v>145</v>
      </c>
      <c r="J117" s="71"/>
      <c r="K117" s="71"/>
      <c r="L117" s="71"/>
      <c r="M117" s="71"/>
      <c r="N117" s="71"/>
      <c r="O117" s="71"/>
      <c r="P117" s="71"/>
      <c r="Q117" s="71"/>
      <c r="R117" s="71"/>
      <c r="S117" s="71"/>
      <c r="T117" s="71"/>
      <c r="U117" s="71"/>
      <c r="V117" s="71"/>
      <c r="W117" s="11"/>
      <c r="X117" s="71"/>
      <c r="Y117" s="71"/>
      <c r="Z117" s="11">
        <f ca="1">IF(ISNUMBER($F$16),SUM(INDIRECT(ADDRESS($F$16+15,COLUMN())):INDIRECT(ADDRESS(114,COLUMN()))),"")</f>
        <v>210769399.17520332</v>
      </c>
      <c r="AA117" s="71"/>
      <c r="AB117" s="71"/>
      <c r="AC117" s="11">
        <f ca="1">IF(ISNUMBER($F$16),SUM(INDIRECT(ADDRESS($F$16+15,COLUMN())):INDIRECT(ADDRESS(114,COLUMN()))),"")</f>
        <v>352689180.89025348</v>
      </c>
      <c r="AD117" s="71"/>
      <c r="AE117" s="71"/>
      <c r="AF117" s="11">
        <f ca="1">IF(ISNUMBER($F$16),SUM(INDIRECT(ADDRESS($F$16+15,COLUMN())):INDIRECT(ADDRESS(114,COLUMN()))),"")</f>
        <v>0</v>
      </c>
      <c r="AG117" s="71"/>
      <c r="AH117" s="71"/>
      <c r="AI117" s="11">
        <f ca="1">IF(ISNUMBER($F$16),SUM(INDIRECT(ADDRESS($F$16+15,COLUMN())):INDIRECT(ADDRESS(114,COLUMN()))),"")</f>
        <v>11065068518.556067</v>
      </c>
      <c r="AJ117" s="71"/>
      <c r="AK117" s="71"/>
      <c r="AL117" s="11">
        <f ca="1">IF(ISNUMBER($F$16),SUM(INDIRECT(ADDRESS($F$16+15,COLUMN())):INDIRECT(ADDRESS(114,COLUMN()))),"")</f>
        <v>0</v>
      </c>
      <c r="AM117" s="71"/>
      <c r="AN117" s="71"/>
      <c r="AO117" s="11">
        <f ca="1">IF(ISNUMBER($F$16),SUM(INDIRECT(ADDRESS($F$16+15,COLUMN())):INDIRECT(ADDRESS(114,COLUMN()))),"")</f>
        <v>0</v>
      </c>
      <c r="AP117" s="71"/>
      <c r="AQ117" s="71"/>
      <c r="AR117" s="11">
        <f ca="1">IF(ISNUMBER($F$16),SUM(INDIRECT(ADDRESS($F$16+15,COLUMN())):INDIRECT(ADDRESS(114,COLUMN()))),"")</f>
        <v>0</v>
      </c>
      <c r="AS117" s="71"/>
      <c r="AT117" s="71"/>
      <c r="AU117" s="71"/>
      <c r="AV117" s="71"/>
      <c r="AW117" s="11">
        <f ca="1">IF(ISNUMBER($F$16),SUM(INDIRECT(ADDRESS($F$16+15,COLUMN())):INDIRECT(ADDRESS(114,COLUMN()))),"")</f>
        <v>0</v>
      </c>
      <c r="AX117" s="71"/>
      <c r="AY117" s="71"/>
      <c r="AZ117" s="71"/>
      <c r="BA117" s="71"/>
      <c r="BB117" s="11">
        <f ca="1">IF(ISNUMBER($F$16),SUM(INDIRECT(ADDRESS($F$16+15,COLUMN())):INDIRECT(ADDRESS(114,COLUMN()))),"")</f>
        <v>0</v>
      </c>
      <c r="BC117" s="71"/>
      <c r="BD117" s="71"/>
      <c r="BE117" s="11">
        <f ca="1">IF(ISNUMBER($F$16),SUM(INDIRECT(ADDRESS($F$16+15,COLUMN())):INDIRECT(ADDRESS(114,COLUMN()))),"")</f>
        <v>0</v>
      </c>
      <c r="BF117" s="71"/>
      <c r="BG117" s="71"/>
      <c r="BH117" s="11">
        <f ca="1">IF(ISNUMBER($F$16),SUM(INDIRECT(ADDRESS($F$16+15,COLUMN())):INDIRECT(ADDRESS(114,COLUMN()))),"")</f>
        <v>0</v>
      </c>
      <c r="BK117" s="11">
        <f ca="1">IF(ISNUMBER($F$16),SUM(INDIRECT(ADDRESS($F$16+15,COLUMN())):INDIRECT(ADDRESS(114,COLUMN()))),"")</f>
        <v>167673046.26151878</v>
      </c>
      <c r="BL117" s="11">
        <f ca="1">IF(ISNUMBER($F$16),SUM(INDIRECT(ADDRESS($F$16+15,COLUMN())):INDIRECT(ADDRESS(114,COLUMN()))),"")</f>
        <v>0</v>
      </c>
      <c r="BO117" s="11">
        <f ca="1">IF(ISNUMBER($F$16),SUM(INDIRECT(ADDRESS($F$16+15,COLUMN())):INDIRECT(ADDRESS(114,COLUMN()))),"")</f>
        <v>0</v>
      </c>
      <c r="BQ117" s="71"/>
      <c r="BR117" s="11">
        <f ca="1">IF(ISNUMBER($F$16),SUM(INDIRECT(ADDRESS($F$16+15,COLUMN())):INDIRECT(ADDRESS(114,COLUMN()))),"")</f>
        <v>2169763368.6181369</v>
      </c>
    </row>
    <row r="119" spans="2:70" x14ac:dyDescent="0.15">
      <c r="C119" s="71" t="s">
        <v>612</v>
      </c>
      <c r="F119" s="490">
        <f>VLOOKUP(F3,'表2）法定耐用年数'!$A$2:$B$24,2,0)</f>
        <v>15</v>
      </c>
      <c r="G119" s="84" t="s">
        <v>556</v>
      </c>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Q119" s="71"/>
      <c r="BR119" s="71"/>
    </row>
    <row r="121" spans="2:70" x14ac:dyDescent="0.15">
      <c r="C121" s="4" t="s">
        <v>613</v>
      </c>
      <c r="D121" s="100"/>
      <c r="E121" s="100"/>
      <c r="F121" s="4"/>
      <c r="G121" s="100"/>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Q121" s="71"/>
      <c r="BR121" s="71"/>
    </row>
    <row r="123" spans="2:70" x14ac:dyDescent="0.15">
      <c r="D123" s="84" t="s">
        <v>614</v>
      </c>
      <c r="F123" s="491">
        <f>VLOOKUP($F$119,'表1）減価償却率表'!$A$9:$E$107,3,0)</f>
        <v>0.16700000000000001</v>
      </c>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Q123" s="71"/>
      <c r="BR123" s="71"/>
    </row>
    <row r="124" spans="2:70" x14ac:dyDescent="0.15">
      <c r="D124" s="84" t="s">
        <v>615</v>
      </c>
      <c r="F124" s="491">
        <f>VLOOKUP($F$119,'表1）減価償却率表'!$A$9:$E$107,4,0)</f>
        <v>0.2</v>
      </c>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Q124" s="71"/>
      <c r="BR124" s="71"/>
    </row>
    <row r="125" spans="2:70" x14ac:dyDescent="0.15">
      <c r="D125" s="84" t="s">
        <v>616</v>
      </c>
      <c r="F125" s="474">
        <f>VLOOKUP($F$119,'表1）減価償却率表'!$A$9:$E$107,5,0)</f>
        <v>3.2169999999999997E-2</v>
      </c>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Q125" s="71"/>
      <c r="BR125" s="71"/>
    </row>
    <row r="126" spans="2:70" x14ac:dyDescent="0.15">
      <c r="F126" s="492"/>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Q126" s="71"/>
      <c r="BR126" s="71"/>
    </row>
    <row r="127" spans="2:70" x14ac:dyDescent="0.15">
      <c r="C127" s="8" t="s">
        <v>617</v>
      </c>
      <c r="D127" s="493"/>
      <c r="E127" s="494"/>
      <c r="F127" s="490">
        <f>F117*F125</f>
        <v>762428999.99999988</v>
      </c>
      <c r="G127" s="84" t="s">
        <v>611</v>
      </c>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Q127" s="71"/>
      <c r="BR127" s="71"/>
    </row>
    <row r="129" spans="3:7" x14ac:dyDescent="0.15">
      <c r="C129" s="8" t="s">
        <v>152</v>
      </c>
      <c r="D129" s="493"/>
      <c r="E129" s="493"/>
      <c r="F129" s="491">
        <f>0.1^(1/F119)</f>
        <v>0.85769589859089412</v>
      </c>
      <c r="G129" s="493"/>
    </row>
    <row r="131" spans="3:7" x14ac:dyDescent="0.15">
      <c r="C131" s="4" t="s">
        <v>618</v>
      </c>
      <c r="D131" s="100"/>
      <c r="E131" s="100"/>
      <c r="F131" s="4"/>
      <c r="G131" s="100"/>
    </row>
    <row r="133" spans="3:7" x14ac:dyDescent="0.15">
      <c r="D133" s="84" t="s">
        <v>619</v>
      </c>
      <c r="F133" s="490">
        <f>F13*10000*24*365*F14/100</f>
        <v>218124000</v>
      </c>
      <c r="G133" s="84" t="s">
        <v>620</v>
      </c>
    </row>
    <row r="134" spans="3:7" x14ac:dyDescent="0.15">
      <c r="D134" s="84" t="s">
        <v>621</v>
      </c>
      <c r="F134" s="490">
        <f>F133*(1-F24/100)</f>
        <v>194130360</v>
      </c>
      <c r="G134" s="84" t="s">
        <v>620</v>
      </c>
    </row>
    <row r="135" spans="3:7" x14ac:dyDescent="0.15">
      <c r="F135" s="495"/>
    </row>
    <row r="137" spans="3:7" ht="16.5" x14ac:dyDescent="0.15">
      <c r="C137" s="71" t="s">
        <v>622</v>
      </c>
      <c r="F137" s="490">
        <f>IF(ISERROR(F133*3.6/(F23/100)/F22),0,F133*3.6/(F23/100)/F22)</f>
        <v>0</v>
      </c>
      <c r="G137" s="71" t="s">
        <v>623</v>
      </c>
    </row>
    <row r="139" spans="3:7" x14ac:dyDescent="0.15">
      <c r="C139" s="4" t="s">
        <v>624</v>
      </c>
      <c r="D139" s="100"/>
      <c r="E139" s="100"/>
      <c r="F139" s="4"/>
      <c r="G139" s="100"/>
    </row>
    <row r="141" spans="3:7" x14ac:dyDescent="0.15">
      <c r="D141" s="84" t="s">
        <v>625</v>
      </c>
      <c r="F141" s="496" t="str">
        <f>IF(OR(F3="石炭火力",F3= "LNG火力", F3="ガスコジェネ",F3="バイオマス（石炭混焼）",F3="バイオマス（木質専焼）",F3="燃料電池"),IF($F$43="需要地価格","",1000),IF(OR(F3="石油火力",F3="石油コジェネ"),IF($F$43="需要地価格","",158.987294928),""))</f>
        <v/>
      </c>
      <c r="G141" s="84" t="s">
        <v>626</v>
      </c>
    </row>
    <row r="142" spans="3:7" x14ac:dyDescent="0.15">
      <c r="D142" s="84" t="s">
        <v>573</v>
      </c>
      <c r="F142" s="488">
        <f>IF(ISERROR(F42/1000),0,F42/1000)</f>
        <v>0</v>
      </c>
      <c r="G142" s="84" t="s">
        <v>627</v>
      </c>
    </row>
    <row r="145" spans="3:7" x14ac:dyDescent="0.15">
      <c r="C145" s="71" t="s">
        <v>628</v>
      </c>
      <c r="F145" s="496">
        <f>IF(ISERROR(F133*(F47*3.6/(F23/100)/1000*(44/12))),0,F133*(F47*3.6/(F23/100)/1000*(44/12)))</f>
        <v>0</v>
      </c>
      <c r="G145" s="84" t="s">
        <v>629</v>
      </c>
    </row>
    <row r="147" spans="3:7" x14ac:dyDescent="0.15">
      <c r="C147" s="4" t="s">
        <v>630</v>
      </c>
      <c r="D147" s="100"/>
      <c r="E147" s="100"/>
      <c r="F147" s="4"/>
      <c r="G147" s="100"/>
    </row>
    <row r="149" spans="3:7" x14ac:dyDescent="0.15">
      <c r="D149" s="84" t="s">
        <v>219</v>
      </c>
      <c r="F149" s="496">
        <f>IF(ISERROR(F52/F23),0,F52/F23)</f>
        <v>0</v>
      </c>
    </row>
    <row r="150" spans="3:7" x14ac:dyDescent="0.15">
      <c r="D150" s="84" t="s">
        <v>631</v>
      </c>
      <c r="F150" s="496">
        <f>F133*F149*(F53/100)*3.6</f>
        <v>0</v>
      </c>
      <c r="G150" s="84" t="s">
        <v>632</v>
      </c>
    </row>
    <row r="151" spans="3:7" ht="16.5" x14ac:dyDescent="0.15">
      <c r="D151" s="84" t="s">
        <v>633</v>
      </c>
      <c r="F151" s="490">
        <f>IF(ISERROR(F150/(F54/100)/F55),0,F150/(F54/100)/F55)</f>
        <v>0</v>
      </c>
      <c r="G151" s="71" t="s">
        <v>623</v>
      </c>
    </row>
    <row r="152" spans="3:7" x14ac:dyDescent="0.15">
      <c r="D152" s="84" t="s">
        <v>634</v>
      </c>
      <c r="F152" s="497">
        <f>IF(ISERROR(F56/1000),0,F56/1000)</f>
        <v>0</v>
      </c>
      <c r="G152" s="84" t="s">
        <v>627</v>
      </c>
    </row>
    <row r="153" spans="3:7" x14ac:dyDescent="0.15">
      <c r="D153" s="84" t="s">
        <v>635</v>
      </c>
      <c r="F153" s="496">
        <f>IF(ISERROR(F150*F47/1000*(44/12)/(F54/100)),0,F150*F47/1000*(44/12)/(F54/100))</f>
        <v>0</v>
      </c>
      <c r="G153" s="84" t="s">
        <v>629</v>
      </c>
    </row>
  </sheetData>
  <mergeCells count="48">
    <mergeCell ref="BR12:BR13"/>
    <mergeCell ref="AI12:AI13"/>
    <mergeCell ref="AL12:AL13"/>
    <mergeCell ref="AO12:AO13"/>
    <mergeCell ref="AR12:AR13"/>
    <mergeCell ref="AW12:AW13"/>
    <mergeCell ref="BB12:BB13"/>
    <mergeCell ref="BL12:BL13"/>
    <mergeCell ref="BK12:BK13"/>
    <mergeCell ref="BO12:BO13"/>
    <mergeCell ref="BJ12:BJ13"/>
    <mergeCell ref="BA9:BB10"/>
    <mergeCell ref="AE9:AF10"/>
    <mergeCell ref="V9:W10"/>
    <mergeCell ref="BE12:BE13"/>
    <mergeCell ref="BH12:BH13"/>
    <mergeCell ref="P12:P13"/>
    <mergeCell ref="W12:W13"/>
    <mergeCell ref="Z12:Z13"/>
    <mergeCell ref="AC12:AC13"/>
    <mergeCell ref="AF12:AF13"/>
    <mergeCell ref="BQ7:BR7"/>
    <mergeCell ref="BJ7:BO7"/>
    <mergeCell ref="I9:I10"/>
    <mergeCell ref="K9:K10"/>
    <mergeCell ref="M9:M10"/>
    <mergeCell ref="O9:P10"/>
    <mergeCell ref="R9:R10"/>
    <mergeCell ref="AN9:AO10"/>
    <mergeCell ref="AQ9:AR10"/>
    <mergeCell ref="AY7:BB7"/>
    <mergeCell ref="AY9:AY10"/>
    <mergeCell ref="BD7:BH7"/>
    <mergeCell ref="BJ9:BL10"/>
    <mergeCell ref="BN9:BO10"/>
    <mergeCell ref="BD9:BE10"/>
    <mergeCell ref="BG9:BH10"/>
    <mergeCell ref="F3:G3"/>
    <mergeCell ref="V7:AF7"/>
    <mergeCell ref="AH7:AR7"/>
    <mergeCell ref="AT7:AW7"/>
    <mergeCell ref="AK9:AL10"/>
    <mergeCell ref="T9:T10"/>
    <mergeCell ref="AV9:AW10"/>
    <mergeCell ref="AT9:AT10"/>
    <mergeCell ref="AH9:AI10"/>
    <mergeCell ref="AB9:AC10"/>
    <mergeCell ref="Y9:Z10"/>
  </mergeCells>
  <phoneticPr fontId="17"/>
  <dataValidations count="4">
    <dataValidation type="list" allowBlank="1" showDropDown="1" showInputMessage="1" showErrorMessage="1" sqref="F48 F41" xr:uid="{00000000-0002-0000-1D00-000000000000}">
      <formula1>"現行政策シナリオ, 新政策シナリオ"</formula1>
    </dataValidation>
    <dataValidation type="whole" allowBlank="1" showInputMessage="1" showErrorMessage="1" sqref="F7" xr:uid="{00000000-0002-0000-1D00-000001000000}">
      <formula1>2010</formula1>
      <formula2>2030</formula2>
    </dataValidation>
    <dataValidation type="list" allowBlank="1" showDropDown="1" showInputMessage="1" showErrorMessage="1" sqref="F43" xr:uid="{00000000-0002-0000-1D00-000002000000}">
      <formula1>"CIF価格, 需要地価格"</formula1>
    </dataValidation>
    <dataValidation type="list" allowBlank="1" showDropDown="1" showInputMessage="1" showErrorMessage="1" sqref="F3:G3" xr:uid="{00000000-0002-0000-1D00-000003000000}">
      <formula1>"原子力,石炭火力,LNG火力,石油火力,一般水力,太陽光（メガソーラー）,太陽光（住宅）,風力（陸上）,風力（洋上）,小水力,地熱,バイオマス（石炭混焼）,バイオマス（木質専焼）,ガスコジェネ,石油コジェネ,燃料電池"</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BR153"/>
  <sheetViews>
    <sheetView showGridLines="0" zoomScale="85" zoomScaleNormal="85" workbookViewId="0">
      <pane xSplit="10" ySplit="14" topLeftCell="K39" activePane="bottomRight" state="frozen"/>
      <selection pane="topRight" activeCell="AF12" sqref="AF12:AF13"/>
      <selection pane="bottomLeft" activeCell="AF12" sqref="AF12:AF13"/>
      <selection pane="bottomRight" sqref="A1:G1048576"/>
    </sheetView>
  </sheetViews>
  <sheetFormatPr defaultColWidth="9" defaultRowHeight="14.25" outlineLevelCol="1" x14ac:dyDescent="0.15"/>
  <cols>
    <col min="1" max="3" width="6.25" style="71" customWidth="1"/>
    <col min="4" max="4" width="6.25" style="84" customWidth="1"/>
    <col min="5" max="5" width="24.375" style="84" customWidth="1"/>
    <col min="6" max="6" width="18.75" style="71" customWidth="1"/>
    <col min="7" max="7" width="24.375" style="84" bestFit="1" customWidth="1"/>
    <col min="8" max="8" width="9" style="2"/>
    <col min="9" max="9" width="6.25" style="2" customWidth="1"/>
    <col min="10" max="10" width="3" style="2" customWidth="1"/>
    <col min="11" max="11" width="6.25" style="2" customWidth="1"/>
    <col min="12" max="12" width="3" style="2" customWidth="1"/>
    <col min="13" max="13" width="6.25" style="2" customWidth="1"/>
    <col min="14" max="14" width="3" style="2" customWidth="1"/>
    <col min="15" max="15" width="17.375" style="2" bestFit="1" customWidth="1"/>
    <col min="16" max="16" width="8.625" style="2" customWidth="1"/>
    <col min="17" max="17" width="3" style="2" customWidth="1"/>
    <col min="18" max="18" width="17.375" style="2" bestFit="1" customWidth="1"/>
    <col min="19" max="19" width="3" style="2" customWidth="1"/>
    <col min="20" max="20" width="17.375" style="2" bestFit="1" customWidth="1"/>
    <col min="21" max="21" width="3" style="2" customWidth="1"/>
    <col min="22" max="22" width="15" style="2" customWidth="1" outlineLevel="1"/>
    <col min="23" max="23" width="17.375" style="2" bestFit="1" customWidth="1"/>
    <col min="24" max="24" width="3" style="2" customWidth="1"/>
    <col min="25" max="25" width="15" style="2" customWidth="1" outlineLevel="1"/>
    <col min="26" max="26" width="15" style="2" customWidth="1"/>
    <col min="27" max="27" width="3" style="2" customWidth="1"/>
    <col min="28" max="28" width="15" style="2" customWidth="1" outlineLevel="1"/>
    <col min="29" max="29" width="15" style="2" customWidth="1"/>
    <col min="30" max="30" width="3" style="2" customWidth="1"/>
    <col min="31" max="31" width="15" style="2" customWidth="1" outlineLevel="1"/>
    <col min="32" max="32" width="15" style="2" customWidth="1"/>
    <col min="33" max="33" width="3" style="2" customWidth="1"/>
    <col min="34" max="34" width="14.875" style="2" customWidth="1" outlineLevel="1"/>
    <col min="35" max="35" width="15" style="2" customWidth="1"/>
    <col min="36" max="36" width="3" style="2" customWidth="1"/>
    <col min="37" max="37" width="15" style="2" customWidth="1" outlineLevel="1"/>
    <col min="38" max="38" width="15" style="2" customWidth="1"/>
    <col min="39" max="39" width="3" style="2" customWidth="1"/>
    <col min="40" max="40" width="15" style="2" customWidth="1" outlineLevel="1"/>
    <col min="41" max="41" width="15" style="2" customWidth="1"/>
    <col min="42" max="42" width="3" style="2" customWidth="1"/>
    <col min="43" max="43" width="15" style="2" customWidth="1" outlineLevel="1"/>
    <col min="44" max="44" width="15" style="2" customWidth="1"/>
    <col min="45" max="45" width="3" style="2" customWidth="1"/>
    <col min="46" max="46" width="10.75" style="2" bestFit="1" customWidth="1"/>
    <col min="47" max="47" width="3" style="2" customWidth="1"/>
    <col min="48" max="48" width="15" style="2" customWidth="1" outlineLevel="1"/>
    <col min="49" max="49" width="17.375" style="2" bestFit="1" customWidth="1"/>
    <col min="50" max="50" width="3" style="2" customWidth="1"/>
    <col min="51" max="51" width="9.625" style="2" bestFit="1" customWidth="1"/>
    <col min="52" max="52" width="3" style="2" customWidth="1"/>
    <col min="53" max="53" width="15" style="2" customWidth="1" outlineLevel="1"/>
    <col min="54" max="54" width="17.375" style="2" bestFit="1" customWidth="1"/>
    <col min="55" max="55" width="3" style="2" customWidth="1"/>
    <col min="56" max="56" width="19.25" style="2" customWidth="1" outlineLevel="1"/>
    <col min="57" max="57" width="19.25" style="2" bestFit="1" customWidth="1"/>
    <col min="58" max="58" width="3" style="2" customWidth="1"/>
    <col min="59" max="59" width="19.25" style="2" customWidth="1" outlineLevel="1"/>
    <col min="60" max="60" width="19.25" style="2"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2" customWidth="1" outlineLevel="1"/>
    <col min="70" max="70" width="17.375" style="2" bestFit="1" customWidth="1"/>
    <col min="71" max="16384" width="9" style="2"/>
  </cols>
  <sheetData>
    <row r="1" spans="1:70" ht="18.75" x14ac:dyDescent="0.15">
      <c r="A1" s="6" t="s">
        <v>60</v>
      </c>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Q1" s="71"/>
      <c r="BR1" s="71"/>
    </row>
    <row r="3" spans="1:70" ht="23.25" x14ac:dyDescent="0.15">
      <c r="B3" s="1" t="s">
        <v>542</v>
      </c>
      <c r="F3" s="718" t="s">
        <v>642</v>
      </c>
      <c r="G3" s="719"/>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Q3" s="71"/>
      <c r="BR3" s="71"/>
    </row>
    <row r="4" spans="1:70" x14ac:dyDescent="0.15">
      <c r="G4" s="472"/>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Q4" s="71"/>
      <c r="BR4" s="71"/>
    </row>
    <row r="5" spans="1:70" ht="15.75" thickBot="1" x14ac:dyDescent="0.2">
      <c r="B5" s="5" t="s">
        <v>543</v>
      </c>
      <c r="C5" s="3"/>
      <c r="D5" s="102"/>
      <c r="E5" s="102"/>
      <c r="F5" s="3"/>
      <c r="G5" s="102"/>
      <c r="H5" s="71"/>
      <c r="I5" s="5" t="s">
        <v>64</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H6" s="71"/>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71" t="s">
        <v>545</v>
      </c>
      <c r="F7" s="473">
        <v>2030</v>
      </c>
      <c r="H7" s="71"/>
      <c r="I7" s="8"/>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71" t="s">
        <v>546</v>
      </c>
      <c r="F8" s="474">
        <f>まとめ!B3</f>
        <v>107</v>
      </c>
      <c r="G8" s="84" t="s">
        <v>547</v>
      </c>
      <c r="H8" s="71"/>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71" t="s">
        <v>548</v>
      </c>
      <c r="F9" s="474">
        <f>まとめ!B2</f>
        <v>3</v>
      </c>
      <c r="G9" s="84" t="s">
        <v>549</v>
      </c>
      <c r="H9" s="71"/>
      <c r="I9" s="720" t="s">
        <v>78</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30" t="s">
        <v>232</v>
      </c>
      <c r="AI9" s="729"/>
      <c r="AJ9" s="60"/>
      <c r="AK9" s="730" t="s">
        <v>233</v>
      </c>
      <c r="AL9" s="729"/>
      <c r="AM9" s="111"/>
      <c r="AN9" s="730" t="s">
        <v>233</v>
      </c>
      <c r="AO9" s="729"/>
      <c r="AP9" s="111"/>
      <c r="AQ9" s="730" t="s">
        <v>233</v>
      </c>
      <c r="AR9" s="729"/>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H10" s="71"/>
      <c r="I10" s="708"/>
      <c r="J10" s="71"/>
      <c r="K10" s="708"/>
      <c r="L10" s="71"/>
      <c r="M10" s="708"/>
      <c r="N10" s="71"/>
      <c r="O10" s="717"/>
      <c r="P10" s="717"/>
      <c r="Q10" s="71"/>
      <c r="R10" s="708"/>
      <c r="S10" s="71"/>
      <c r="T10" s="708"/>
      <c r="U10" s="71"/>
      <c r="V10" s="717"/>
      <c r="W10" s="717"/>
      <c r="X10" s="71"/>
      <c r="Y10" s="717"/>
      <c r="Z10" s="717"/>
      <c r="AA10" s="71"/>
      <c r="AB10" s="723"/>
      <c r="AC10" s="723"/>
      <c r="AD10" s="81"/>
      <c r="AE10" s="723"/>
      <c r="AF10" s="723"/>
      <c r="AG10" s="71"/>
      <c r="AH10" s="731"/>
      <c r="AI10" s="731"/>
      <c r="AJ10" s="61"/>
      <c r="AK10" s="731"/>
      <c r="AL10" s="731"/>
      <c r="AM10" s="9"/>
      <c r="AN10" s="731"/>
      <c r="AO10" s="731"/>
      <c r="AP10" s="9"/>
      <c r="AQ10" s="731"/>
      <c r="AR10" s="731"/>
      <c r="AS10" s="71"/>
      <c r="AT10" s="717"/>
      <c r="AU10" s="71"/>
      <c r="AV10" s="717"/>
      <c r="AW10" s="717"/>
      <c r="AX10" s="322"/>
      <c r="AY10" s="708"/>
      <c r="AZ10" s="71"/>
      <c r="BA10" s="708"/>
      <c r="BB10" s="708"/>
      <c r="BC10" s="71"/>
      <c r="BD10" s="717"/>
      <c r="BE10" s="717"/>
      <c r="BF10" s="71"/>
      <c r="BG10" s="717"/>
      <c r="BH10" s="717"/>
      <c r="BJ10" s="708"/>
      <c r="BK10" s="708"/>
      <c r="BL10" s="708"/>
      <c r="BM10" s="322"/>
      <c r="BN10" s="717"/>
      <c r="BO10" s="717"/>
      <c r="BQ10" s="322"/>
      <c r="BR10" s="322"/>
    </row>
    <row r="11" spans="1:70" ht="15.75" customHeight="1" thickBot="1" x14ac:dyDescent="0.2">
      <c r="B11" s="5" t="s">
        <v>95</v>
      </c>
      <c r="C11" s="3"/>
      <c r="D11" s="102"/>
      <c r="E11" s="102"/>
      <c r="F11" s="3"/>
      <c r="G11" s="102"/>
      <c r="H11" s="71"/>
      <c r="I11" s="71"/>
      <c r="J11" s="71"/>
      <c r="K11" s="71"/>
      <c r="L11" s="71"/>
      <c r="M11" s="71"/>
      <c r="N11" s="71"/>
      <c r="O11" s="322" t="s">
        <v>96</v>
      </c>
      <c r="P11" s="322"/>
      <c r="Q11" s="322"/>
      <c r="R11" s="322" t="s">
        <v>96</v>
      </c>
      <c r="S11" s="322"/>
      <c r="T11" s="322"/>
      <c r="U11" s="71"/>
      <c r="V11" s="322"/>
      <c r="W11" s="322"/>
      <c r="X11" s="71"/>
      <c r="Y11" s="322"/>
      <c r="Z11" s="322"/>
      <c r="AA11" s="71"/>
      <c r="AB11" s="322"/>
      <c r="AC11" s="322"/>
      <c r="AD11" s="71"/>
      <c r="AE11" s="322"/>
      <c r="AF11" s="322"/>
      <c r="AG11" s="71"/>
      <c r="AH11" s="322"/>
      <c r="AI11" s="322"/>
      <c r="AJ11" s="71"/>
      <c r="AK11" s="322"/>
      <c r="AL11" s="322"/>
      <c r="AM11" s="71"/>
      <c r="AN11" s="322"/>
      <c r="AO11" s="322"/>
      <c r="AP11" s="71"/>
      <c r="AQ11" s="322"/>
      <c r="AR11" s="322"/>
      <c r="AS11" s="71"/>
      <c r="AT11" s="322"/>
      <c r="AU11" s="71"/>
      <c r="AV11" s="322"/>
      <c r="AW11" s="322"/>
      <c r="AX11" s="322"/>
      <c r="AY11" s="71"/>
      <c r="AZ11" s="71"/>
      <c r="BA11" s="71"/>
      <c r="BB11" s="322"/>
      <c r="BC11" s="71"/>
      <c r="BD11" s="322"/>
      <c r="BE11" s="322"/>
      <c r="BF11" s="71"/>
      <c r="BG11" s="322"/>
      <c r="BH11" s="322"/>
      <c r="BJ11" s="156"/>
      <c r="BM11" s="322"/>
      <c r="BN11" s="322"/>
      <c r="BO11" s="322"/>
      <c r="BQ11" s="322"/>
      <c r="BR11" s="322"/>
    </row>
    <row r="12" spans="1:70" ht="14.25" customHeight="1" x14ac:dyDescent="0.15">
      <c r="H12" s="71"/>
      <c r="I12" s="71"/>
      <c r="J12" s="71"/>
      <c r="K12" s="71"/>
      <c r="L12" s="71"/>
      <c r="M12" s="71"/>
      <c r="N12" s="71"/>
      <c r="O12" s="322"/>
      <c r="P12" s="707" t="s">
        <v>97</v>
      </c>
      <c r="Q12" s="71"/>
      <c r="R12" s="71"/>
      <c r="S12" s="71"/>
      <c r="T12" s="71"/>
      <c r="U12" s="71"/>
      <c r="V12" s="71"/>
      <c r="W12" s="707" t="s">
        <v>98</v>
      </c>
      <c r="X12" s="71"/>
      <c r="Y12" s="71"/>
      <c r="Z12" s="707" t="s">
        <v>98</v>
      </c>
      <c r="AA12" s="71"/>
      <c r="AB12" s="71"/>
      <c r="AC12" s="707" t="s">
        <v>98</v>
      </c>
      <c r="AD12" s="71"/>
      <c r="AE12" s="71"/>
      <c r="AF12" s="707" t="s">
        <v>98</v>
      </c>
      <c r="AG12" s="71"/>
      <c r="AH12" s="71"/>
      <c r="AI12" s="707" t="s">
        <v>98</v>
      </c>
      <c r="AJ12" s="71"/>
      <c r="AK12" s="71"/>
      <c r="AL12" s="707" t="s">
        <v>98</v>
      </c>
      <c r="AM12" s="71"/>
      <c r="AN12" s="71"/>
      <c r="AO12" s="707" t="s">
        <v>98</v>
      </c>
      <c r="AP12" s="71"/>
      <c r="AQ12" s="71"/>
      <c r="AR12" s="707" t="s">
        <v>98</v>
      </c>
      <c r="AS12" s="71"/>
      <c r="AT12" s="71"/>
      <c r="AU12" s="71"/>
      <c r="AV12" s="71"/>
      <c r="AW12" s="707" t="s">
        <v>98</v>
      </c>
      <c r="AX12" s="71"/>
      <c r="AY12" s="71"/>
      <c r="AZ12" s="71"/>
      <c r="BA12" s="71"/>
      <c r="BB12" s="707" t="s">
        <v>98</v>
      </c>
      <c r="BC12" s="71"/>
      <c r="BD12" s="71"/>
      <c r="BE12" s="707" t="s">
        <v>98</v>
      </c>
      <c r="BF12" s="71"/>
      <c r="BG12" s="71"/>
      <c r="BH12" s="707" t="s">
        <v>98</v>
      </c>
      <c r="BJ12" s="709" t="s">
        <v>99</v>
      </c>
      <c r="BK12" s="709" t="s">
        <v>100</v>
      </c>
      <c r="BL12" s="709" t="s">
        <v>101</v>
      </c>
      <c r="BO12" s="709" t="s">
        <v>102</v>
      </c>
      <c r="BQ12" s="71"/>
      <c r="BR12" s="707" t="s">
        <v>103</v>
      </c>
    </row>
    <row r="13" spans="1:70" ht="14.25" customHeight="1" x14ac:dyDescent="0.15">
      <c r="C13" s="71" t="s">
        <v>552</v>
      </c>
      <c r="F13" s="475">
        <v>3</v>
      </c>
      <c r="G13" s="84" t="s">
        <v>553</v>
      </c>
      <c r="H13" s="71"/>
      <c r="I13" s="71"/>
      <c r="J13" s="71"/>
      <c r="K13" s="71"/>
      <c r="L13" s="71"/>
      <c r="M13" s="71"/>
      <c r="N13" s="71"/>
      <c r="O13" s="322"/>
      <c r="P13" s="708"/>
      <c r="Q13" s="322"/>
      <c r="R13" s="322"/>
      <c r="S13" s="322"/>
      <c r="T13" s="322"/>
      <c r="U13" s="71"/>
      <c r="V13" s="322"/>
      <c r="W13" s="708"/>
      <c r="X13" s="71"/>
      <c r="Y13" s="322"/>
      <c r="Z13" s="708"/>
      <c r="AA13" s="71"/>
      <c r="AB13" s="322"/>
      <c r="AC13" s="708"/>
      <c r="AD13" s="71"/>
      <c r="AE13" s="322"/>
      <c r="AF13" s="708"/>
      <c r="AG13" s="71"/>
      <c r="AH13" s="322"/>
      <c r="AI13" s="708"/>
      <c r="AJ13" s="71"/>
      <c r="AK13" s="322"/>
      <c r="AL13" s="708"/>
      <c r="AM13" s="71"/>
      <c r="AN13" s="322"/>
      <c r="AO13" s="708"/>
      <c r="AP13" s="71"/>
      <c r="AQ13" s="322"/>
      <c r="AR13" s="708"/>
      <c r="AS13" s="71"/>
      <c r="AT13" s="322"/>
      <c r="AU13" s="71"/>
      <c r="AV13" s="322"/>
      <c r="AW13" s="708"/>
      <c r="AX13" s="71"/>
      <c r="AY13" s="71"/>
      <c r="AZ13" s="71"/>
      <c r="BA13" s="71"/>
      <c r="BB13" s="708"/>
      <c r="BC13" s="71"/>
      <c r="BD13" s="322"/>
      <c r="BE13" s="708"/>
      <c r="BF13" s="71"/>
      <c r="BG13" s="322"/>
      <c r="BH13" s="708"/>
      <c r="BJ13" s="712"/>
      <c r="BK13" s="710"/>
      <c r="BL13" s="708"/>
      <c r="BM13" s="322"/>
      <c r="BO13" s="708"/>
      <c r="BQ13" s="322"/>
      <c r="BR13" s="708"/>
    </row>
    <row r="14" spans="1:70" ht="16.5" x14ac:dyDescent="0.15">
      <c r="C14" s="71" t="s">
        <v>554</v>
      </c>
      <c r="F14" s="474">
        <f>VLOOKUP(F3&amp;IF(G4&lt;&gt;"","_"&amp;G4,""),まとめ!$A$12:$G$34,IF(F7=2030,4,IF(F7=2020,3,IF(F7=2014,2,"-"))),0)</f>
        <v>83</v>
      </c>
      <c r="G14" s="84" t="s">
        <v>549</v>
      </c>
      <c r="H14" s="71"/>
      <c r="I14" s="71"/>
      <c r="J14" s="71"/>
      <c r="K14" s="71"/>
      <c r="L14" s="71"/>
      <c r="M14" s="71"/>
      <c r="N14" s="71"/>
      <c r="O14" s="322"/>
      <c r="P14" s="322"/>
      <c r="Q14" s="322"/>
      <c r="R14" s="322"/>
      <c r="S14" s="322"/>
      <c r="T14" s="322"/>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50" t="s">
        <v>104</v>
      </c>
      <c r="AU14" s="71"/>
      <c r="AV14" s="71"/>
      <c r="AW14" s="71"/>
      <c r="AX14" s="71"/>
      <c r="AY14" s="71" t="s">
        <v>105</v>
      </c>
      <c r="AZ14" s="71"/>
      <c r="BA14" s="71"/>
      <c r="BB14" s="71"/>
      <c r="BC14" s="71"/>
      <c r="BD14" s="71"/>
      <c r="BE14" s="71"/>
      <c r="BF14" s="71"/>
      <c r="BG14" s="71"/>
      <c r="BH14" s="71"/>
      <c r="BQ14" s="71"/>
      <c r="BR14" s="71"/>
    </row>
    <row r="15" spans="1:70" x14ac:dyDescent="0.15">
      <c r="C15" s="71" t="s">
        <v>555</v>
      </c>
      <c r="F15" s="474">
        <f>VLOOKUP(F3&amp;IF(G4&lt;&gt;"","_"&amp;G4,""),まとめ!$A$12:$G$34,IF(F7=2030,7,IF(F7=2020,6,IF(F7=2014,5,"-"))),0)</f>
        <v>40</v>
      </c>
      <c r="G15" s="84" t="s">
        <v>556</v>
      </c>
      <c r="H15" s="71"/>
      <c r="I15" s="38">
        <f>F7</f>
        <v>2030</v>
      </c>
      <c r="J15" s="39"/>
      <c r="K15" s="39">
        <f>IF(I15&lt;&gt;"",1,"")</f>
        <v>1</v>
      </c>
      <c r="L15" s="39"/>
      <c r="M15" s="40">
        <f t="shared" ref="M15:M78" si="0">1/(1+($F$9/100))^K15</f>
        <v>0.970873786407767</v>
      </c>
      <c r="N15" s="39"/>
      <c r="O15" s="72">
        <f>F117</f>
        <v>23700000000</v>
      </c>
      <c r="P15" s="41">
        <f t="shared" ref="P15:P46" si="1">IF(K15&lt;=$F$15,IF(OR(P14=$F$124,P14="-"),"-",IF(O15*$F$123&gt;$F$127,$F$123,$F$124)),"")</f>
        <v>0.16700000000000001</v>
      </c>
      <c r="Q15" s="39"/>
      <c r="R15" s="72">
        <f>F117</f>
        <v>23700000000</v>
      </c>
      <c r="S15" s="39"/>
      <c r="T15" s="72">
        <f>IF(ISNUMBER(R15),ROUNDDOWN(R15,-3),"")</f>
        <v>23700000000</v>
      </c>
      <c r="U15" s="39"/>
      <c r="V15" s="72">
        <f t="shared" ref="V15:V46" si="2">IF(K15&lt;=$F$15,IF(K15&lt;$F$119,IF(P15="-",V14,O15*P15),IF(K15=$F$119,MIN(IF(P15="-",V14,O15*P15),O15),0)),"")</f>
        <v>3957900000</v>
      </c>
      <c r="W15" s="72">
        <f>IF(ISNUMBER(V15),V15*$M15,"")</f>
        <v>3842621359.2233009</v>
      </c>
      <c r="X15" s="39"/>
      <c r="Y15" s="72">
        <f t="shared" ref="Y15:Y46" si="3">IF($K15&lt;=$F$15,ROUNDDOWN(T15*$F$25/100,-2),"")</f>
        <v>331800000</v>
      </c>
      <c r="Z15" s="72">
        <f>IF(ISNUMBER(Y15),Y15*$M15,"")</f>
        <v>322135922.33009708</v>
      </c>
      <c r="AA15" s="39"/>
      <c r="AB15" s="72">
        <f t="shared" ref="AB15:AB78" si="4">IF($K15&lt;=$F$15,0,IF(AND($K15&gt;$F$15,$K15&lt;=$F$15+$F$28),$F$27*10^8/$F$28,""))</f>
        <v>0</v>
      </c>
      <c r="AC15" s="72">
        <f>IF(ISNUMBER(AB15),AB15*$M15,"")</f>
        <v>0</v>
      </c>
      <c r="AD15" s="39"/>
      <c r="AE15" s="72">
        <f t="shared" ref="AE15:AE46" si="5">IF($K15&lt;=$F$15,$F$26,"")</f>
        <v>0</v>
      </c>
      <c r="AF15" s="72">
        <f>IF(ISNUMBER(AE15),AE15*$M15,"")</f>
        <v>0</v>
      </c>
      <c r="AG15" s="39"/>
      <c r="AH15" s="72">
        <f t="shared" ref="AH15:AH46" si="6">IF($K15&lt;=$F$15,$F$33*10^4*$F$13*10^4,"")</f>
        <v>990000000</v>
      </c>
      <c r="AI15" s="72">
        <f>IF(ISNUMBER(AH15),AH15*$M15,"")</f>
        <v>961165048.54368937</v>
      </c>
      <c r="AJ15" s="39"/>
      <c r="AK15" s="72">
        <f t="shared" ref="AK15:AK46" si="7">IF($K15&lt;=$F$15,$F$117*$F$34/100,"")</f>
        <v>0</v>
      </c>
      <c r="AL15" s="72">
        <f>IF(ISNUMBER(AK15),AK15*$M15,"")</f>
        <v>0</v>
      </c>
      <c r="AM15" s="39"/>
      <c r="AN15" s="72">
        <f t="shared" ref="AN15:AN46" si="8">IF($K15&lt;=$F$15,$F$117*$F$35/100,"")</f>
        <v>0</v>
      </c>
      <c r="AO15" s="72">
        <f>IF(ISNUMBER(AN15),AN15*$M15,"")</f>
        <v>0</v>
      </c>
      <c r="AP15" s="39"/>
      <c r="AQ15" s="72">
        <f t="shared" ref="AQ15:AQ46" si="9">IF($K15&lt;=$F$15,SUM(AH15,AK15,AN15)*($F$36/100),"")</f>
        <v>0</v>
      </c>
      <c r="AR15" s="72">
        <f>IF(ISNUMBER(AQ15),AQ15*$M15,"")</f>
        <v>0</v>
      </c>
      <c r="AS15" s="39"/>
      <c r="AT15" s="40">
        <f>IF($K15&lt;=$F$15,IF($F$40&lt;&gt;"",$F$40/1000,IF(ISERROR(VLOOKUP($F$3&amp;IF($G$4&lt;&gt;"",$G$4,"")&amp;IF($F$43&lt;&gt;"","_"&amp;$F$43,""),'表3）燃料価格'!$AF$9:$AG$25,2,0)),0,VLOOKUP($I15,'表3）燃料価格'!$A$6:$U$66,VLOOKUP($F$3&amp;IF($G$4&lt;&gt;"",$G$4,"")&amp;IF($F$43&lt;&gt;"","_"&amp;$F$43,""),'表3）燃料価格'!$AF$9:$AG$25,2,0)+VLOOKUP($F$41,'表3）燃料価格'!$AF$28:$AG$29,2,0),0)*IF($F$43="需要地価格",1,$F$8/$F$141))),"")</f>
        <v>0</v>
      </c>
      <c r="AU15" s="39"/>
      <c r="AV15" s="72">
        <f t="shared" ref="AV15:AV46" si="10">IF($K15&lt;=$F$15,($AT15+$F$142)*$F$137,"")</f>
        <v>0</v>
      </c>
      <c r="AW15" s="72">
        <f>IF(ISNUMBER(AV15),AV15*$M15,"")</f>
        <v>0</v>
      </c>
      <c r="AX15" s="39"/>
      <c r="AY15" s="40">
        <f>IF(ISERROR(IF($K15&lt;=$F$15,VLOOKUP($I15,'表4）CO2価格'!$A$7:$E$67,VLOOKUP($F$48,'表4）CO2価格'!$H$10:$I$12,2,0),0)*$F$8/1000,"")),0,IF($K15&lt;=$F$15,VLOOKUP($I15,'表4）CO2価格'!$A$7:$E$67,VLOOKUP($F$48,'表4）CO2価格'!$H$10:$I$12,2,0),0)*$F$8/1000,""))</f>
        <v>0</v>
      </c>
      <c r="AZ15" s="39"/>
      <c r="BA15" s="42">
        <f t="shared" ref="BA15:BA46" si="11">IF($K15&lt;=$F$15,$F$145*AY15,"")</f>
        <v>0</v>
      </c>
      <c r="BB15" s="72">
        <f>IF(ISNUMBER(BA15),BA15*$M15,"")</f>
        <v>0</v>
      </c>
      <c r="BC15" s="39"/>
      <c r="BD15" s="72">
        <f t="shared" ref="BD15:BD46" si="12">IF($K15&lt;=$F$15,($AT15+$F$152)*$F$151,"")</f>
        <v>0</v>
      </c>
      <c r="BE15" s="72">
        <f>IF(ISNUMBER(BD15),BD15*$M15,"")</f>
        <v>0</v>
      </c>
      <c r="BF15" s="39"/>
      <c r="BG15" s="42">
        <f t="shared" ref="BG15:BG46" si="13">IF($K15&lt;=$F$15,$F$153*AY15,"")</f>
        <v>0</v>
      </c>
      <c r="BH15" s="72">
        <f>IF(ISNUMBER(BG15),BG15*$M15,"")</f>
        <v>0</v>
      </c>
      <c r="BI15" s="39"/>
      <c r="BJ15" s="40">
        <f>IF(ISNUMBER($F$16),IF($K15&lt;=$F$16+$F$28,1/(1+($F$17/100))^K15,""),"")</f>
        <v>0.88495575221238942</v>
      </c>
      <c r="BK15" s="157">
        <f>IF(ISNUMBER($F$16),IF($K15&lt;=$F$16+$F$28,IF($K15&lt;=$F$16,SUM(Y15,AB15,AE15,AH15,AK15,AN15,AQ15,AV15,BA15,BD15,BG15),$F$27/$F$28*10^8)*BJ15,""),"")</f>
        <v>1169734513.2743363</v>
      </c>
      <c r="BL15" s="157">
        <f t="shared" ref="BL15:BL78" si="14">IF(AND(ISNUMBER(BJ15),$K15&lt;=$F$16),BQ15*BJ15,"")</f>
        <v>171796778.76106197</v>
      </c>
      <c r="BM15" s="72"/>
      <c r="BN15" s="72">
        <f>IF(AND(ISNUMBER($F$16),$K15&lt;=$F$16),BQ15*($O$15+$BK$116)/$BL$116,"")</f>
        <v>4868862800.1687965</v>
      </c>
      <c r="BO15" s="72">
        <f>IF(ISNUMBER(BN15),BN15*$M15,"")</f>
        <v>4727051262.2998028</v>
      </c>
      <c r="BP15" s="39"/>
      <c r="BQ15" s="72">
        <f t="shared" ref="BQ15:BQ46" si="15">IF($K15&lt;=$F$15,$F$134,"")</f>
        <v>194130360</v>
      </c>
      <c r="BR15" s="72">
        <f>IF(ISNUMBER(BQ15),BQ15*$M15,"")</f>
        <v>188476077.66990292</v>
      </c>
    </row>
    <row r="16" spans="1:70" x14ac:dyDescent="0.15">
      <c r="C16" s="184" t="s">
        <v>107</v>
      </c>
      <c r="F16" s="474">
        <f>IF(ISERROR(VLOOKUP(F3&amp;IF(G4&lt;&gt;"","_"&amp;G4,""),'表7）買取期間・IRR'!$A$3:$A$10,1,0)),"",VLOOKUP(F3&amp;IF(G4&lt;&gt;"","_"&amp;G4,""),'表7）買取期間・IRR'!$A$3:$C$10,IF(F7=2030,3,IF(F7=2020,3,IF(F7=2014,2,"-"))),0))</f>
        <v>15</v>
      </c>
      <c r="G16" s="84" t="s">
        <v>556</v>
      </c>
      <c r="H16" s="71"/>
      <c r="I16" s="322">
        <f>I15+1</f>
        <v>2031</v>
      </c>
      <c r="J16" s="71"/>
      <c r="K16" s="71">
        <f>IF(I16&lt;&gt;"",K15+1,"")</f>
        <v>2</v>
      </c>
      <c r="L16" s="71"/>
      <c r="M16" s="7">
        <f t="shared" si="0"/>
        <v>0.94259590913375435</v>
      </c>
      <c r="N16" s="71"/>
      <c r="O16" s="10">
        <f t="shared" ref="O16:O79" si="16">IF(K16&lt;=$F$15,O15-V15,"")</f>
        <v>19742100000</v>
      </c>
      <c r="P16" s="29">
        <f t="shared" si="1"/>
        <v>0.16700000000000001</v>
      </c>
      <c r="Q16" s="71"/>
      <c r="R16" s="10">
        <f t="shared" ref="R16:R47" si="17">IF($K16&lt;=$F$15,MAX($F$117*5%,R15*$F$129),"")</f>
        <v>20327392796.604191</v>
      </c>
      <c r="S16" s="71"/>
      <c r="T16" s="10">
        <f t="shared" ref="T16:T79" si="18">IF(ISNUMBER(R16),ROUNDDOWN(R16,-3),"")</f>
        <v>20327392000</v>
      </c>
      <c r="U16" s="71"/>
      <c r="V16" s="10">
        <f t="shared" si="2"/>
        <v>3296930700</v>
      </c>
      <c r="W16" s="10">
        <f t="shared" ref="W16:W79" si="19">IF(ISNUMBER(V16),V16*$M16,"")</f>
        <v>3107673390.5174851</v>
      </c>
      <c r="X16" s="71"/>
      <c r="Y16" s="10">
        <f t="shared" si="3"/>
        <v>284583400</v>
      </c>
      <c r="Z16" s="10">
        <f t="shared" ref="Z16:Z79" si="20">IF(ISNUMBER(Y16),Y16*$M16,"")</f>
        <v>268247148.64737487</v>
      </c>
      <c r="AA16" s="71"/>
      <c r="AB16" s="10">
        <f t="shared" si="4"/>
        <v>0</v>
      </c>
      <c r="AC16" s="10">
        <f t="shared" ref="AC16:AC79" si="21">IF(ISNUMBER(AB16),AB16*$M16,"")</f>
        <v>0</v>
      </c>
      <c r="AD16" s="71"/>
      <c r="AE16" s="10">
        <f t="shared" si="5"/>
        <v>0</v>
      </c>
      <c r="AF16" s="10">
        <f t="shared" ref="AF16:AF79" si="22">IF(ISNUMBER(AE16),AE16*$M16,"")</f>
        <v>0</v>
      </c>
      <c r="AG16" s="71"/>
      <c r="AH16" s="10">
        <f t="shared" si="6"/>
        <v>990000000</v>
      </c>
      <c r="AI16" s="10">
        <f t="shared" ref="AI16:AI79" si="23">IF(ISNUMBER(AH16),AH16*$M16,"")</f>
        <v>933169950.04241681</v>
      </c>
      <c r="AJ16" s="71"/>
      <c r="AK16" s="10">
        <f t="shared" si="7"/>
        <v>0</v>
      </c>
      <c r="AL16" s="10">
        <f t="shared" ref="AL16:AL79" si="24">IF(ISNUMBER(AK16),AK16*$M16,"")</f>
        <v>0</v>
      </c>
      <c r="AM16" s="71"/>
      <c r="AN16" s="10">
        <f t="shared" si="8"/>
        <v>0</v>
      </c>
      <c r="AO16" s="10">
        <f t="shared" ref="AO16:AO79" si="25">IF(ISNUMBER(AN16),AN16*$M16,"")</f>
        <v>0</v>
      </c>
      <c r="AP16" s="71"/>
      <c r="AQ16" s="10">
        <f t="shared" si="9"/>
        <v>0</v>
      </c>
      <c r="AR16" s="10">
        <f t="shared" ref="AR16:AR79" si="26">IF(ISNUMBER(AQ16),AQ16*$M16,"")</f>
        <v>0</v>
      </c>
      <c r="AS16" s="71"/>
      <c r="AT16" s="7">
        <f>IF($K16&lt;=$F$15,IF($F$40&lt;&gt;"",$F$40/1000,IF(ISERROR(VLOOKUP($F$3&amp;IF($G$4&lt;&gt;"",$G$4,"")&amp;IF($F$43&lt;&gt;"","_"&amp;$F$43,""),'表3）燃料価格'!$AF$9:$AG$25,2,0)),0,VLOOKUP($I16,'表3）燃料価格'!$A$6:$U$66,VLOOKUP($F$3&amp;IF($G$4&lt;&gt;"",$G$4,"")&amp;IF($F$43&lt;&gt;"","_"&amp;$F$43,""),'表3）燃料価格'!$AF$9:$AG$25,2,0)+VLOOKUP($F$41,'表3）燃料価格'!$AF$28:$AG$29,2,0),0)*IF($F$43="需要地価格",1,$F$8/$F$141))),"")</f>
        <v>0</v>
      </c>
      <c r="AU16" s="71"/>
      <c r="AV16" s="10">
        <f t="shared" si="10"/>
        <v>0</v>
      </c>
      <c r="AW16" s="10">
        <f t="shared" ref="AW16:AW79" si="27">IF(ISNUMBER(AV16),AV16*$M16,"")</f>
        <v>0</v>
      </c>
      <c r="AX16" s="71"/>
      <c r="AY16" s="7">
        <f>IF(ISERROR(IF($K16&lt;=$F$15,VLOOKUP($I16,'表4）CO2価格'!$A$7:$E$67,VLOOKUP($F$48,'表4）CO2価格'!$H$10:$I$12,2,0),0)*$F$8/1000,"")),0,IF($K16&lt;=$F$15,VLOOKUP($I16,'表4）CO2価格'!$A$7:$E$67,VLOOKUP($F$48,'表4）CO2価格'!$H$10:$I$12,2,0),0)*$F$8/1000,""))</f>
        <v>0</v>
      </c>
      <c r="AZ16" s="71"/>
      <c r="BA16" s="11">
        <f t="shared" si="11"/>
        <v>0</v>
      </c>
      <c r="BB16" s="10">
        <f t="shared" ref="BB16:BB79" si="28">IF(ISNUMBER(BA16),BA16*$M16,"")</f>
        <v>0</v>
      </c>
      <c r="BC16" s="71"/>
      <c r="BD16" s="10">
        <f t="shared" si="12"/>
        <v>0</v>
      </c>
      <c r="BE16" s="10">
        <f t="shared" ref="BE16:BE79" si="29">IF(ISNUMBER(BD16),BD16*$M16,"")</f>
        <v>0</v>
      </c>
      <c r="BF16" s="71"/>
      <c r="BG16" s="11">
        <f t="shared" si="13"/>
        <v>0</v>
      </c>
      <c r="BH16" s="10">
        <f t="shared" ref="BH16:BH79" si="30">IF(ISNUMBER(BG16),BG16*$M16,"")</f>
        <v>0</v>
      </c>
      <c r="BJ16" s="7">
        <f t="shared" ref="BJ16:BJ79" si="31">IF(ISNUMBER($F$16),IF($K16&lt;=$F$16+$F$28,1/(1+($F$17/100))^K16,""),"")</f>
        <v>0.78314668337379612</v>
      </c>
      <c r="BK16" s="158">
        <f t="shared" ref="BK16:BK79" si="32">IF(ISNUMBER($F$16),IF($K16&lt;=$F$16+$F$28,IF($K16&lt;=$F$16,SUM(Y16,AB16,AE16,AH16,AK16,AN16,AQ16,AV16,BA16,BD16,BG16),$F$27/$F$28*10^8)*BJ16,""),"")</f>
        <v>998185762.39329648</v>
      </c>
      <c r="BL16" s="158">
        <f t="shared" si="14"/>
        <v>152032547.57616106</v>
      </c>
      <c r="BM16" s="10"/>
      <c r="BN16" s="10">
        <f t="shared" ref="BN16:BN79" si="33">IF(AND(ISNUMBER($F$16),$K16&lt;=$F$16),BQ16*($O$15+$BK$116)/$BL$116,"")</f>
        <v>4868862800.1687965</v>
      </c>
      <c r="BO16" s="10">
        <f t="shared" ref="BO16:BO79" si="34">IF(ISNUMBER(BN16),BN16*$M16,"")</f>
        <v>4589370157.5726233</v>
      </c>
      <c r="BQ16" s="10">
        <f t="shared" si="15"/>
        <v>194130360</v>
      </c>
      <c r="BR16" s="10">
        <f t="shared" ref="BR16:BR79" si="35">IF(ISNUMBER(BQ16),BQ16*$M16,"")</f>
        <v>182986483.17466301</v>
      </c>
    </row>
    <row r="17" spans="3:70" x14ac:dyDescent="0.15">
      <c r="C17" s="71" t="s">
        <v>109</v>
      </c>
      <c r="F17" s="476">
        <f>IF(ISERROR(VLOOKUP(F3&amp;IF(G4&lt;&gt;"","_"&amp;G4,""),'表7）買取期間・IRR'!$A$14:$C$21,1,0)),"",VLOOKUP(F3&amp;IF(G4&lt;&gt;"","_"&amp;G4,""),'表7）買取期間・IRR'!$A$14:$C$21,IF(F7=2030,3,IF(F7=2020,2,"-")),0))</f>
        <v>13</v>
      </c>
      <c r="G17" s="84" t="s">
        <v>549</v>
      </c>
      <c r="H17" s="71"/>
      <c r="I17" s="38">
        <f t="shared" ref="I17:I80" si="36">I16+1</f>
        <v>2032</v>
      </c>
      <c r="J17" s="39"/>
      <c r="K17" s="39">
        <f t="shared" ref="K17:K80" si="37">IF(I17&lt;&gt;"",K16+1,"")</f>
        <v>3</v>
      </c>
      <c r="L17" s="39"/>
      <c r="M17" s="40">
        <f t="shared" si="0"/>
        <v>0.91514165935315961</v>
      </c>
      <c r="N17" s="39"/>
      <c r="O17" s="72">
        <f t="shared" si="16"/>
        <v>16445169300</v>
      </c>
      <c r="P17" s="41">
        <f t="shared" si="1"/>
        <v>0.16700000000000001</v>
      </c>
      <c r="Q17" s="39"/>
      <c r="R17" s="72">
        <f t="shared" si="17"/>
        <v>17434721430.693501</v>
      </c>
      <c r="S17" s="39"/>
      <c r="T17" s="72">
        <f t="shared" si="18"/>
        <v>17434721000</v>
      </c>
      <c r="U17" s="39"/>
      <c r="V17" s="72">
        <f t="shared" si="2"/>
        <v>2746343273.1000004</v>
      </c>
      <c r="W17" s="72">
        <f t="shared" si="19"/>
        <v>2513293140.0981221</v>
      </c>
      <c r="X17" s="39"/>
      <c r="Y17" s="72">
        <f t="shared" si="3"/>
        <v>244086000</v>
      </c>
      <c r="Z17" s="72">
        <f t="shared" si="20"/>
        <v>223373267.0648753</v>
      </c>
      <c r="AA17" s="39"/>
      <c r="AB17" s="72">
        <f t="shared" si="4"/>
        <v>0</v>
      </c>
      <c r="AC17" s="72">
        <f t="shared" si="21"/>
        <v>0</v>
      </c>
      <c r="AD17" s="39"/>
      <c r="AE17" s="72">
        <f t="shared" si="5"/>
        <v>0</v>
      </c>
      <c r="AF17" s="72">
        <f t="shared" si="22"/>
        <v>0</v>
      </c>
      <c r="AG17" s="39"/>
      <c r="AH17" s="72">
        <f t="shared" si="6"/>
        <v>990000000</v>
      </c>
      <c r="AI17" s="72">
        <f t="shared" si="23"/>
        <v>905990242.75962806</v>
      </c>
      <c r="AJ17" s="39"/>
      <c r="AK17" s="72">
        <f t="shared" si="7"/>
        <v>0</v>
      </c>
      <c r="AL17" s="72">
        <f t="shared" si="24"/>
        <v>0</v>
      </c>
      <c r="AM17" s="39"/>
      <c r="AN17" s="72">
        <f t="shared" si="8"/>
        <v>0</v>
      </c>
      <c r="AO17" s="72">
        <f t="shared" si="25"/>
        <v>0</v>
      </c>
      <c r="AP17" s="39"/>
      <c r="AQ17" s="72">
        <f t="shared" si="9"/>
        <v>0</v>
      </c>
      <c r="AR17" s="72">
        <f t="shared" si="26"/>
        <v>0</v>
      </c>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0</v>
      </c>
      <c r="AU17" s="39"/>
      <c r="AV17" s="72">
        <f t="shared" si="10"/>
        <v>0</v>
      </c>
      <c r="AW17" s="72">
        <f t="shared" si="27"/>
        <v>0</v>
      </c>
      <c r="AX17" s="39"/>
      <c r="AY17" s="40">
        <f>IF(ISERROR(IF($K17&lt;=$F$15,VLOOKUP($I17,'表4）CO2価格'!$A$7:$E$67,VLOOKUP($F$48,'表4）CO2価格'!$H$10:$I$12,2,0),0)*$F$8/1000,"")),0,IF($K17&lt;=$F$15,VLOOKUP($I17,'表4）CO2価格'!$A$7:$E$67,VLOOKUP($F$48,'表4）CO2価格'!$H$10:$I$12,2,0),0)*$F$8/1000,""))</f>
        <v>0</v>
      </c>
      <c r="AZ17" s="39"/>
      <c r="BA17" s="42">
        <f t="shared" si="11"/>
        <v>0</v>
      </c>
      <c r="BB17" s="72">
        <f t="shared" si="28"/>
        <v>0</v>
      </c>
      <c r="BC17" s="39"/>
      <c r="BD17" s="72">
        <f t="shared" si="12"/>
        <v>0</v>
      </c>
      <c r="BE17" s="72">
        <f t="shared" si="29"/>
        <v>0</v>
      </c>
      <c r="BF17" s="39"/>
      <c r="BG17" s="42">
        <f t="shared" si="13"/>
        <v>0</v>
      </c>
      <c r="BH17" s="72">
        <f t="shared" si="30"/>
        <v>0</v>
      </c>
      <c r="BI17" s="39"/>
      <c r="BJ17" s="40">
        <f t="shared" si="31"/>
        <v>0.69305016227769578</v>
      </c>
      <c r="BK17" s="157">
        <f t="shared" si="32"/>
        <v>855283502.56463242</v>
      </c>
      <c r="BL17" s="157">
        <f t="shared" si="14"/>
        <v>134542077.50102749</v>
      </c>
      <c r="BM17" s="72"/>
      <c r="BN17" s="72">
        <f t="shared" si="33"/>
        <v>4868862800.1687965</v>
      </c>
      <c r="BO17" s="72">
        <f t="shared" si="34"/>
        <v>4455699182.1093435</v>
      </c>
      <c r="BP17" s="39"/>
      <c r="BQ17" s="72">
        <f t="shared" si="15"/>
        <v>194130360</v>
      </c>
      <c r="BR17" s="72">
        <f t="shared" si="35"/>
        <v>177656779.78122625</v>
      </c>
    </row>
    <row r="18" spans="3:70" x14ac:dyDescent="0.15">
      <c r="H18" s="71"/>
      <c r="I18" s="322">
        <f t="shared" si="36"/>
        <v>2033</v>
      </c>
      <c r="J18" s="71"/>
      <c r="K18" s="71">
        <f t="shared" si="37"/>
        <v>4</v>
      </c>
      <c r="L18" s="71"/>
      <c r="M18" s="7">
        <f t="shared" si="0"/>
        <v>0.888487047915689</v>
      </c>
      <c r="N18" s="71"/>
      <c r="O18" s="10">
        <f t="shared" si="16"/>
        <v>13698826026.9</v>
      </c>
      <c r="P18" s="29">
        <f t="shared" si="1"/>
        <v>0.16700000000000001</v>
      </c>
      <c r="Q18" s="71"/>
      <c r="R18" s="10">
        <f t="shared" si="17"/>
        <v>14953689064.180582</v>
      </c>
      <c r="S18" s="71"/>
      <c r="T18" s="10">
        <f t="shared" si="18"/>
        <v>14953689000</v>
      </c>
      <c r="U18" s="71"/>
      <c r="V18" s="10">
        <f t="shared" si="2"/>
        <v>2287703946.4923</v>
      </c>
      <c r="W18" s="10">
        <f t="shared" si="19"/>
        <v>2032595325.924015</v>
      </c>
      <c r="X18" s="71"/>
      <c r="Y18" s="10">
        <f t="shared" si="3"/>
        <v>209351600</v>
      </c>
      <c r="Z18" s="10">
        <f t="shared" si="20"/>
        <v>186006185.06042615</v>
      </c>
      <c r="AA18" s="71"/>
      <c r="AB18" s="10">
        <f t="shared" si="4"/>
        <v>0</v>
      </c>
      <c r="AC18" s="10">
        <f t="shared" si="21"/>
        <v>0</v>
      </c>
      <c r="AD18" s="71"/>
      <c r="AE18" s="10">
        <f t="shared" si="5"/>
        <v>0</v>
      </c>
      <c r="AF18" s="10">
        <f t="shared" si="22"/>
        <v>0</v>
      </c>
      <c r="AG18" s="71"/>
      <c r="AH18" s="10">
        <f t="shared" si="6"/>
        <v>990000000</v>
      </c>
      <c r="AI18" s="10">
        <f t="shared" si="23"/>
        <v>879602177.43653214</v>
      </c>
      <c r="AJ18" s="71"/>
      <c r="AK18" s="10">
        <f t="shared" si="7"/>
        <v>0</v>
      </c>
      <c r="AL18" s="10">
        <f t="shared" si="24"/>
        <v>0</v>
      </c>
      <c r="AM18" s="71"/>
      <c r="AN18" s="10">
        <f t="shared" si="8"/>
        <v>0</v>
      </c>
      <c r="AO18" s="10">
        <f t="shared" si="25"/>
        <v>0</v>
      </c>
      <c r="AP18" s="71"/>
      <c r="AQ18" s="10">
        <f t="shared" si="9"/>
        <v>0</v>
      </c>
      <c r="AR18" s="10">
        <f t="shared" si="26"/>
        <v>0</v>
      </c>
      <c r="AS18" s="71"/>
      <c r="AT18" s="7">
        <f>IF($K18&lt;=$F$15,IF($F$40&lt;&gt;"",$F$40/1000,IF(ISERROR(VLOOKUP($F$3&amp;IF($G$4&lt;&gt;"",$G$4,"")&amp;IF($F$43&lt;&gt;"","_"&amp;$F$43,""),'表3）燃料価格'!$AF$9:$AG$25,2,0)),0,VLOOKUP($I18,'表3）燃料価格'!$A$6:$U$66,VLOOKUP($F$3&amp;IF($G$4&lt;&gt;"",$G$4,"")&amp;IF($F$43&lt;&gt;"","_"&amp;$F$43,""),'表3）燃料価格'!$AF$9:$AG$25,2,0)+VLOOKUP($F$41,'表3）燃料価格'!$AF$28:$AG$29,2,0),0)*IF($F$43="需要地価格",1,$F$8/$F$141))),"")</f>
        <v>0</v>
      </c>
      <c r="AU18" s="71"/>
      <c r="AV18" s="10">
        <f t="shared" si="10"/>
        <v>0</v>
      </c>
      <c r="AW18" s="10">
        <f t="shared" si="27"/>
        <v>0</v>
      </c>
      <c r="AX18" s="71"/>
      <c r="AY18" s="7">
        <f>IF(ISERROR(IF($K18&lt;=$F$15,VLOOKUP($I18,'表4）CO2価格'!$A$7:$E$67,VLOOKUP($F$48,'表4）CO2価格'!$H$10:$I$12,2,0),0)*$F$8/1000,"")),0,IF($K18&lt;=$F$15,VLOOKUP($I18,'表4）CO2価格'!$A$7:$E$67,VLOOKUP($F$48,'表4）CO2価格'!$H$10:$I$12,2,0),0)*$F$8/1000,""))</f>
        <v>0</v>
      </c>
      <c r="AZ18" s="71"/>
      <c r="BA18" s="11">
        <f t="shared" si="11"/>
        <v>0</v>
      </c>
      <c r="BB18" s="10">
        <f t="shared" si="28"/>
        <v>0</v>
      </c>
      <c r="BC18" s="71"/>
      <c r="BD18" s="10">
        <f t="shared" si="12"/>
        <v>0</v>
      </c>
      <c r="BE18" s="10">
        <f t="shared" si="29"/>
        <v>0</v>
      </c>
      <c r="BF18" s="71"/>
      <c r="BG18" s="11">
        <f t="shared" si="13"/>
        <v>0</v>
      </c>
      <c r="BH18" s="10">
        <f t="shared" si="30"/>
        <v>0</v>
      </c>
      <c r="BJ18" s="7">
        <f t="shared" si="31"/>
        <v>0.61331872767937679</v>
      </c>
      <c r="BK18" s="158">
        <f t="shared" si="32"/>
        <v>735584797.35222483</v>
      </c>
      <c r="BL18" s="158">
        <f t="shared" si="14"/>
        <v>119063785.39913937</v>
      </c>
      <c r="BM18" s="10"/>
      <c r="BN18" s="10">
        <f t="shared" si="33"/>
        <v>4868862800.1687965</v>
      </c>
      <c r="BO18" s="10">
        <f t="shared" si="34"/>
        <v>4325921536.0284891</v>
      </c>
      <c r="BQ18" s="10">
        <f t="shared" si="15"/>
        <v>194130360</v>
      </c>
      <c r="BR18" s="10">
        <f t="shared" si="35"/>
        <v>172482310.46720996</v>
      </c>
    </row>
    <row r="19" spans="3:70" x14ac:dyDescent="0.15">
      <c r="C19" s="4" t="s">
        <v>557</v>
      </c>
      <c r="D19" s="100"/>
      <c r="E19" s="100"/>
      <c r="F19" s="4"/>
      <c r="G19" s="100"/>
      <c r="H19" s="71"/>
      <c r="I19" s="38">
        <f t="shared" si="36"/>
        <v>2034</v>
      </c>
      <c r="J19" s="39"/>
      <c r="K19" s="39">
        <f t="shared" si="37"/>
        <v>5</v>
      </c>
      <c r="L19" s="39"/>
      <c r="M19" s="40">
        <f t="shared" si="0"/>
        <v>0.86260878438416411</v>
      </c>
      <c r="N19" s="39"/>
      <c r="O19" s="72">
        <f t="shared" si="16"/>
        <v>11411122080.4077</v>
      </c>
      <c r="P19" s="41">
        <f t="shared" si="1"/>
        <v>0.16700000000000001</v>
      </c>
      <c r="Q19" s="39"/>
      <c r="R19" s="72">
        <f t="shared" si="17"/>
        <v>12825717779.151192</v>
      </c>
      <c r="S19" s="39"/>
      <c r="T19" s="72">
        <f t="shared" si="18"/>
        <v>12825717000</v>
      </c>
      <c r="U19" s="39"/>
      <c r="V19" s="72">
        <f t="shared" si="2"/>
        <v>1905657387.428086</v>
      </c>
      <c r="W19" s="72">
        <f t="shared" si="19"/>
        <v>1643836802.4220433</v>
      </c>
      <c r="X19" s="39"/>
      <c r="Y19" s="72">
        <f t="shared" si="3"/>
        <v>179560000</v>
      </c>
      <c r="Z19" s="72">
        <f t="shared" si="20"/>
        <v>154890033.3240205</v>
      </c>
      <c r="AA19" s="39"/>
      <c r="AB19" s="72">
        <f t="shared" si="4"/>
        <v>0</v>
      </c>
      <c r="AC19" s="72">
        <f t="shared" si="21"/>
        <v>0</v>
      </c>
      <c r="AD19" s="39"/>
      <c r="AE19" s="72">
        <f t="shared" si="5"/>
        <v>0</v>
      </c>
      <c r="AF19" s="72">
        <f t="shared" si="22"/>
        <v>0</v>
      </c>
      <c r="AG19" s="39"/>
      <c r="AH19" s="72">
        <f t="shared" si="6"/>
        <v>990000000</v>
      </c>
      <c r="AI19" s="72">
        <f t="shared" si="23"/>
        <v>853982696.54032242</v>
      </c>
      <c r="AJ19" s="39"/>
      <c r="AK19" s="72">
        <f t="shared" si="7"/>
        <v>0</v>
      </c>
      <c r="AL19" s="72">
        <f t="shared" si="24"/>
        <v>0</v>
      </c>
      <c r="AM19" s="39"/>
      <c r="AN19" s="72">
        <f t="shared" si="8"/>
        <v>0</v>
      </c>
      <c r="AO19" s="72">
        <f t="shared" si="25"/>
        <v>0</v>
      </c>
      <c r="AP19" s="39"/>
      <c r="AQ19" s="72">
        <f t="shared" si="9"/>
        <v>0</v>
      </c>
      <c r="AR19" s="72">
        <f t="shared" si="26"/>
        <v>0</v>
      </c>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0</v>
      </c>
      <c r="AU19" s="39"/>
      <c r="AV19" s="72">
        <f t="shared" si="10"/>
        <v>0</v>
      </c>
      <c r="AW19" s="72">
        <f t="shared" si="27"/>
        <v>0</v>
      </c>
      <c r="AX19" s="39"/>
      <c r="AY19" s="40">
        <f>IF(ISERROR(IF($K19&lt;=$F$15,VLOOKUP($I19,'表4）CO2価格'!$A$7:$E$67,VLOOKUP($F$48,'表4）CO2価格'!$H$10:$I$12,2,0),0)*$F$8/1000,"")),0,IF($K19&lt;=$F$15,VLOOKUP($I19,'表4）CO2価格'!$A$7:$E$67,VLOOKUP($F$48,'表4）CO2価格'!$H$10:$I$12,2,0),0)*$F$8/1000,""))</f>
        <v>0</v>
      </c>
      <c r="AZ19" s="39"/>
      <c r="BA19" s="42">
        <f t="shared" si="11"/>
        <v>0</v>
      </c>
      <c r="BB19" s="72">
        <f t="shared" si="28"/>
        <v>0</v>
      </c>
      <c r="BC19" s="39"/>
      <c r="BD19" s="72">
        <f t="shared" si="12"/>
        <v>0</v>
      </c>
      <c r="BE19" s="72">
        <f t="shared" si="29"/>
        <v>0</v>
      </c>
      <c r="BF19" s="39"/>
      <c r="BG19" s="42">
        <f t="shared" si="13"/>
        <v>0</v>
      </c>
      <c r="BH19" s="72">
        <f t="shared" si="30"/>
        <v>0</v>
      </c>
      <c r="BI19" s="39"/>
      <c r="BJ19" s="40">
        <f t="shared" si="31"/>
        <v>0.54275993599944861</v>
      </c>
      <c r="BK19" s="157">
        <f t="shared" si="32"/>
        <v>634790310.74751508</v>
      </c>
      <c r="BL19" s="157">
        <f t="shared" si="14"/>
        <v>105366181.76914991</v>
      </c>
      <c r="BM19" s="72"/>
      <c r="BN19" s="72">
        <f t="shared" si="33"/>
        <v>4868862800.1687965</v>
      </c>
      <c r="BO19" s="72">
        <f t="shared" si="34"/>
        <v>4199923821.3868828</v>
      </c>
      <c r="BP19" s="39"/>
      <c r="BQ19" s="72">
        <f t="shared" si="15"/>
        <v>194130360</v>
      </c>
      <c r="BR19" s="72">
        <f t="shared" si="35"/>
        <v>167458553.85166016</v>
      </c>
    </row>
    <row r="20" spans="3:70" x14ac:dyDescent="0.15">
      <c r="H20" s="71"/>
      <c r="I20" s="322">
        <f t="shared" si="36"/>
        <v>2035</v>
      </c>
      <c r="J20" s="71"/>
      <c r="K20" s="71">
        <f t="shared" si="37"/>
        <v>6</v>
      </c>
      <c r="L20" s="71"/>
      <c r="M20" s="7">
        <f t="shared" si="0"/>
        <v>0.83748425668365445</v>
      </c>
      <c r="N20" s="71"/>
      <c r="O20" s="10">
        <f t="shared" si="16"/>
        <v>9505464692.9796143</v>
      </c>
      <c r="P20" s="29">
        <f t="shared" si="1"/>
        <v>0.16700000000000001</v>
      </c>
      <c r="Q20" s="71"/>
      <c r="R20" s="10">
        <f t="shared" si="17"/>
        <v>11000565535.662289</v>
      </c>
      <c r="S20" s="71"/>
      <c r="T20" s="10">
        <f t="shared" si="18"/>
        <v>11000565000</v>
      </c>
      <c r="U20" s="71"/>
      <c r="V20" s="10">
        <f t="shared" si="2"/>
        <v>1587412603.7275956</v>
      </c>
      <c r="W20" s="10">
        <f t="shared" si="19"/>
        <v>1329433064.4830699</v>
      </c>
      <c r="X20" s="71"/>
      <c r="Y20" s="10">
        <f t="shared" si="3"/>
        <v>154007900</v>
      </c>
      <c r="Z20" s="10">
        <f t="shared" si="20"/>
        <v>128979191.65491058</v>
      </c>
      <c r="AA20" s="71"/>
      <c r="AB20" s="10">
        <f t="shared" si="4"/>
        <v>0</v>
      </c>
      <c r="AC20" s="10">
        <f t="shared" si="21"/>
        <v>0</v>
      </c>
      <c r="AD20" s="71"/>
      <c r="AE20" s="10">
        <f t="shared" si="5"/>
        <v>0</v>
      </c>
      <c r="AF20" s="10">
        <f t="shared" si="22"/>
        <v>0</v>
      </c>
      <c r="AG20" s="71"/>
      <c r="AH20" s="10">
        <f t="shared" si="6"/>
        <v>990000000</v>
      </c>
      <c r="AI20" s="10">
        <f t="shared" si="23"/>
        <v>829109414.11681795</v>
      </c>
      <c r="AJ20" s="71"/>
      <c r="AK20" s="10">
        <f t="shared" si="7"/>
        <v>0</v>
      </c>
      <c r="AL20" s="10">
        <f t="shared" si="24"/>
        <v>0</v>
      </c>
      <c r="AM20" s="71"/>
      <c r="AN20" s="10">
        <f t="shared" si="8"/>
        <v>0</v>
      </c>
      <c r="AO20" s="10">
        <f t="shared" si="25"/>
        <v>0</v>
      </c>
      <c r="AP20" s="71"/>
      <c r="AQ20" s="10">
        <f t="shared" si="9"/>
        <v>0</v>
      </c>
      <c r="AR20" s="10">
        <f t="shared" si="26"/>
        <v>0</v>
      </c>
      <c r="AS20" s="71"/>
      <c r="AT20" s="7">
        <f>IF($K20&lt;=$F$15,IF($F$40&lt;&gt;"",$F$40/1000,IF(ISERROR(VLOOKUP($F$3&amp;IF($G$4&lt;&gt;"",$G$4,"")&amp;IF($F$43&lt;&gt;"","_"&amp;$F$43,""),'表3）燃料価格'!$AF$9:$AG$25,2,0)),0,VLOOKUP($I20,'表3）燃料価格'!$A$6:$U$66,VLOOKUP($F$3&amp;IF($G$4&lt;&gt;"",$G$4,"")&amp;IF($F$43&lt;&gt;"","_"&amp;$F$43,""),'表3）燃料価格'!$AF$9:$AG$25,2,0)+VLOOKUP($F$41,'表3）燃料価格'!$AF$28:$AG$29,2,0),0)*IF($F$43="需要地価格",1,$F$8/$F$141))),"")</f>
        <v>0</v>
      </c>
      <c r="AU20" s="71"/>
      <c r="AV20" s="10">
        <f t="shared" si="10"/>
        <v>0</v>
      </c>
      <c r="AW20" s="10">
        <f t="shared" si="27"/>
        <v>0</v>
      </c>
      <c r="AX20" s="71"/>
      <c r="AY20" s="7">
        <f>IF(ISERROR(IF($K20&lt;=$F$15,VLOOKUP($I20,'表4）CO2価格'!$A$7:$E$67,VLOOKUP($F$48,'表4）CO2価格'!$H$10:$I$12,2,0),0)*$F$8/1000,"")),0,IF($K20&lt;=$F$15,VLOOKUP($I20,'表4）CO2価格'!$A$7:$E$67,VLOOKUP($F$48,'表4）CO2価格'!$H$10:$I$12,2,0),0)*$F$8/1000,""))</f>
        <v>0</v>
      </c>
      <c r="AZ20" s="71"/>
      <c r="BA20" s="11">
        <f t="shared" si="11"/>
        <v>0</v>
      </c>
      <c r="BB20" s="10">
        <f t="shared" si="28"/>
        <v>0</v>
      </c>
      <c r="BC20" s="71"/>
      <c r="BD20" s="10">
        <f t="shared" si="12"/>
        <v>0</v>
      </c>
      <c r="BE20" s="10">
        <f t="shared" si="29"/>
        <v>0</v>
      </c>
      <c r="BF20" s="71"/>
      <c r="BG20" s="11">
        <f t="shared" si="13"/>
        <v>0</v>
      </c>
      <c r="BH20" s="10">
        <f t="shared" si="30"/>
        <v>0</v>
      </c>
      <c r="BJ20" s="7">
        <f t="shared" si="31"/>
        <v>0.48031852743314046</v>
      </c>
      <c r="BK20" s="158">
        <f t="shared" si="32"/>
        <v>549488189.89987946</v>
      </c>
      <c r="BL20" s="158">
        <f t="shared" si="14"/>
        <v>93244408.64526543</v>
      </c>
      <c r="BM20" s="10"/>
      <c r="BN20" s="10">
        <f t="shared" si="33"/>
        <v>4868862800.1687965</v>
      </c>
      <c r="BO20" s="10">
        <f t="shared" si="34"/>
        <v>4077595943.0940609</v>
      </c>
      <c r="BQ20" s="10">
        <f t="shared" si="15"/>
        <v>194130360</v>
      </c>
      <c r="BR20" s="10">
        <f t="shared" si="35"/>
        <v>162581120.24433026</v>
      </c>
    </row>
    <row r="21" spans="3:70" x14ac:dyDescent="0.15">
      <c r="D21" s="84" t="s">
        <v>558</v>
      </c>
      <c r="F21" s="477">
        <v>79</v>
      </c>
      <c r="G21" s="84" t="s">
        <v>559</v>
      </c>
      <c r="H21" s="71"/>
      <c r="I21" s="38">
        <f t="shared" si="36"/>
        <v>2036</v>
      </c>
      <c r="J21" s="39"/>
      <c r="K21" s="39">
        <f t="shared" si="37"/>
        <v>7</v>
      </c>
      <c r="L21" s="39"/>
      <c r="M21" s="40">
        <f t="shared" si="0"/>
        <v>0.81309151134335378</v>
      </c>
      <c r="N21" s="39"/>
      <c r="O21" s="72">
        <f t="shared" si="16"/>
        <v>7918052089.2520189</v>
      </c>
      <c r="P21" s="41">
        <f t="shared" si="1"/>
        <v>0.16700000000000001</v>
      </c>
      <c r="Q21" s="39"/>
      <c r="R21" s="72">
        <f t="shared" si="17"/>
        <v>9435139942.1178875</v>
      </c>
      <c r="S21" s="39"/>
      <c r="T21" s="72">
        <f t="shared" si="18"/>
        <v>9435139000</v>
      </c>
      <c r="U21" s="39"/>
      <c r="V21" s="72">
        <f t="shared" si="2"/>
        <v>1322314698.9050872</v>
      </c>
      <c r="W21" s="72">
        <f t="shared" si="19"/>
        <v>1075162857.0042691</v>
      </c>
      <c r="X21" s="39"/>
      <c r="Y21" s="72">
        <f t="shared" si="3"/>
        <v>132091900</v>
      </c>
      <c r="Z21" s="72">
        <f t="shared" si="20"/>
        <v>107402802.60721515</v>
      </c>
      <c r="AA21" s="39"/>
      <c r="AB21" s="72">
        <f t="shared" si="4"/>
        <v>0</v>
      </c>
      <c r="AC21" s="72">
        <f t="shared" si="21"/>
        <v>0</v>
      </c>
      <c r="AD21" s="39"/>
      <c r="AE21" s="72">
        <f t="shared" si="5"/>
        <v>0</v>
      </c>
      <c r="AF21" s="72">
        <f t="shared" si="22"/>
        <v>0</v>
      </c>
      <c r="AG21" s="39"/>
      <c r="AH21" s="72">
        <f t="shared" si="6"/>
        <v>990000000</v>
      </c>
      <c r="AI21" s="72">
        <f t="shared" si="23"/>
        <v>804960596.22992027</v>
      </c>
      <c r="AJ21" s="39"/>
      <c r="AK21" s="72">
        <f t="shared" si="7"/>
        <v>0</v>
      </c>
      <c r="AL21" s="72">
        <f t="shared" si="24"/>
        <v>0</v>
      </c>
      <c r="AM21" s="39"/>
      <c r="AN21" s="72">
        <f t="shared" si="8"/>
        <v>0</v>
      </c>
      <c r="AO21" s="72">
        <f t="shared" si="25"/>
        <v>0</v>
      </c>
      <c r="AP21" s="39"/>
      <c r="AQ21" s="72">
        <f t="shared" si="9"/>
        <v>0</v>
      </c>
      <c r="AR21" s="72">
        <f t="shared" si="26"/>
        <v>0</v>
      </c>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0</v>
      </c>
      <c r="AU21" s="39"/>
      <c r="AV21" s="72">
        <f t="shared" si="10"/>
        <v>0</v>
      </c>
      <c r="AW21" s="72">
        <f t="shared" si="27"/>
        <v>0</v>
      </c>
      <c r="AX21" s="39"/>
      <c r="AY21" s="40">
        <f>IF(ISERROR(IF($K21&lt;=$F$15,VLOOKUP($I21,'表4）CO2価格'!$A$7:$E$67,VLOOKUP($F$48,'表4）CO2価格'!$H$10:$I$12,2,0),0)*$F$8/1000,"")),0,IF($K21&lt;=$F$15,VLOOKUP($I21,'表4）CO2価格'!$A$7:$E$67,VLOOKUP($F$48,'表4）CO2価格'!$H$10:$I$12,2,0),0)*$F$8/1000,""))</f>
        <v>0</v>
      </c>
      <c r="AZ21" s="39"/>
      <c r="BA21" s="42">
        <f t="shared" si="11"/>
        <v>0</v>
      </c>
      <c r="BB21" s="72">
        <f t="shared" si="28"/>
        <v>0</v>
      </c>
      <c r="BC21" s="39"/>
      <c r="BD21" s="72">
        <f t="shared" si="12"/>
        <v>0</v>
      </c>
      <c r="BE21" s="72">
        <f t="shared" si="29"/>
        <v>0</v>
      </c>
      <c r="BF21" s="39"/>
      <c r="BG21" s="42">
        <f t="shared" si="13"/>
        <v>0</v>
      </c>
      <c r="BH21" s="72">
        <f t="shared" si="30"/>
        <v>0</v>
      </c>
      <c r="BI21" s="39"/>
      <c r="BJ21" s="40">
        <f t="shared" si="31"/>
        <v>0.425060643746142</v>
      </c>
      <c r="BK21" s="157">
        <f t="shared" si="32"/>
        <v>476957105.35633159</v>
      </c>
      <c r="BL21" s="157">
        <f t="shared" si="14"/>
        <v>82517175.792270288</v>
      </c>
      <c r="BM21" s="72"/>
      <c r="BN21" s="72">
        <f t="shared" si="33"/>
        <v>4868862800.1687965</v>
      </c>
      <c r="BO21" s="72">
        <f t="shared" si="34"/>
        <v>3958831012.7126803</v>
      </c>
      <c r="BP21" s="39"/>
      <c r="BQ21" s="72">
        <f t="shared" si="15"/>
        <v>194130360</v>
      </c>
      <c r="BR21" s="72">
        <f t="shared" si="35"/>
        <v>157845747.81002936</v>
      </c>
    </row>
    <row r="22" spans="3:70" ht="16.5" x14ac:dyDescent="0.15">
      <c r="D22" s="84" t="s">
        <v>560</v>
      </c>
      <c r="F22" s="478"/>
      <c r="G22" s="71" t="s">
        <v>561</v>
      </c>
      <c r="H22" s="71"/>
      <c r="I22" s="322">
        <f t="shared" si="36"/>
        <v>2037</v>
      </c>
      <c r="J22" s="71"/>
      <c r="K22" s="71">
        <f t="shared" si="37"/>
        <v>8</v>
      </c>
      <c r="L22" s="71"/>
      <c r="M22" s="7">
        <f t="shared" si="0"/>
        <v>0.78940923431393573</v>
      </c>
      <c r="N22" s="71"/>
      <c r="O22" s="10">
        <f t="shared" si="16"/>
        <v>6595737390.3469315</v>
      </c>
      <c r="P22" s="29">
        <f t="shared" si="1"/>
        <v>0.16700000000000001</v>
      </c>
      <c r="Q22" s="71"/>
      <c r="R22" s="10">
        <f t="shared" si="17"/>
        <v>8092480830.9856386</v>
      </c>
      <c r="S22" s="71"/>
      <c r="T22" s="10">
        <f t="shared" si="18"/>
        <v>8092480000</v>
      </c>
      <c r="U22" s="71"/>
      <c r="V22" s="10">
        <f t="shared" si="2"/>
        <v>1101488144.1879375</v>
      </c>
      <c r="W22" s="10">
        <f t="shared" si="19"/>
        <v>869524912.50927782</v>
      </c>
      <c r="X22" s="71"/>
      <c r="Y22" s="10">
        <f t="shared" si="3"/>
        <v>113294700</v>
      </c>
      <c r="Z22" s="10">
        <f t="shared" si="20"/>
        <v>89435882.37882705</v>
      </c>
      <c r="AA22" s="71"/>
      <c r="AB22" s="10">
        <f t="shared" si="4"/>
        <v>0</v>
      </c>
      <c r="AC22" s="10">
        <f t="shared" si="21"/>
        <v>0</v>
      </c>
      <c r="AD22" s="71"/>
      <c r="AE22" s="10">
        <f t="shared" si="5"/>
        <v>0</v>
      </c>
      <c r="AF22" s="10">
        <f t="shared" si="22"/>
        <v>0</v>
      </c>
      <c r="AG22" s="71"/>
      <c r="AH22" s="10">
        <f t="shared" si="6"/>
        <v>990000000</v>
      </c>
      <c r="AI22" s="10">
        <f t="shared" si="23"/>
        <v>781515141.97079635</v>
      </c>
      <c r="AJ22" s="71"/>
      <c r="AK22" s="10">
        <f t="shared" si="7"/>
        <v>0</v>
      </c>
      <c r="AL22" s="10">
        <f t="shared" si="24"/>
        <v>0</v>
      </c>
      <c r="AM22" s="71"/>
      <c r="AN22" s="10">
        <f t="shared" si="8"/>
        <v>0</v>
      </c>
      <c r="AO22" s="10">
        <f t="shared" si="25"/>
        <v>0</v>
      </c>
      <c r="AP22" s="71"/>
      <c r="AQ22" s="10">
        <f t="shared" si="9"/>
        <v>0</v>
      </c>
      <c r="AR22" s="10">
        <f t="shared" si="26"/>
        <v>0</v>
      </c>
      <c r="AS22" s="71"/>
      <c r="AT22" s="7">
        <f>IF($K22&lt;=$F$15,IF($F$40&lt;&gt;"",$F$40/1000,IF(ISERROR(VLOOKUP($F$3&amp;IF($G$4&lt;&gt;"",$G$4,"")&amp;IF($F$43&lt;&gt;"","_"&amp;$F$43,""),'表3）燃料価格'!$AF$9:$AG$25,2,0)),0,VLOOKUP($I22,'表3）燃料価格'!$A$6:$U$66,VLOOKUP($F$3&amp;IF($G$4&lt;&gt;"",$G$4,"")&amp;IF($F$43&lt;&gt;"","_"&amp;$F$43,""),'表3）燃料価格'!$AF$9:$AG$25,2,0)+VLOOKUP($F$41,'表3）燃料価格'!$AF$28:$AG$29,2,0),0)*IF($F$43="需要地価格",1,$F$8/$F$141))),"")</f>
        <v>0</v>
      </c>
      <c r="AU22" s="71"/>
      <c r="AV22" s="10">
        <f t="shared" si="10"/>
        <v>0</v>
      </c>
      <c r="AW22" s="10">
        <f t="shared" si="27"/>
        <v>0</v>
      </c>
      <c r="AX22" s="71"/>
      <c r="AY22" s="7">
        <f>IF(ISERROR(IF($K22&lt;=$F$15,VLOOKUP($I22,'表4）CO2価格'!$A$7:$E$67,VLOOKUP($F$48,'表4）CO2価格'!$H$10:$I$12,2,0),0)*$F$8/1000,"")),0,IF($K22&lt;=$F$15,VLOOKUP($I22,'表4）CO2価格'!$A$7:$E$67,VLOOKUP($F$48,'表4）CO2価格'!$H$10:$I$12,2,0),0)*$F$8/1000,""))</f>
        <v>0</v>
      </c>
      <c r="AZ22" s="71"/>
      <c r="BA22" s="11">
        <f t="shared" si="11"/>
        <v>0</v>
      </c>
      <c r="BB22" s="10">
        <f t="shared" si="28"/>
        <v>0</v>
      </c>
      <c r="BC22" s="71"/>
      <c r="BD22" s="10">
        <f t="shared" si="12"/>
        <v>0</v>
      </c>
      <c r="BE22" s="10">
        <f t="shared" si="29"/>
        <v>0</v>
      </c>
      <c r="BF22" s="71"/>
      <c r="BG22" s="11">
        <f t="shared" si="13"/>
        <v>0</v>
      </c>
      <c r="BH22" s="10">
        <f t="shared" si="30"/>
        <v>0</v>
      </c>
      <c r="BJ22" s="7">
        <f t="shared" si="31"/>
        <v>0.37615986172224958</v>
      </c>
      <c r="BK22" s="158">
        <f t="shared" si="32"/>
        <v>415015181.79089081</v>
      </c>
      <c r="BL22" s="158">
        <f t="shared" si="14"/>
        <v>73024049.373690531</v>
      </c>
      <c r="BM22" s="10"/>
      <c r="BN22" s="10">
        <f t="shared" si="33"/>
        <v>4868862800.1687965</v>
      </c>
      <c r="BO22" s="10">
        <f t="shared" si="34"/>
        <v>3843525255.0608549</v>
      </c>
      <c r="BQ22" s="10">
        <f t="shared" si="15"/>
        <v>194130360</v>
      </c>
      <c r="BR22" s="10">
        <f t="shared" si="35"/>
        <v>153248298.84468868</v>
      </c>
    </row>
    <row r="23" spans="3:70" x14ac:dyDescent="0.15">
      <c r="D23" s="84" t="s">
        <v>562</v>
      </c>
      <c r="F23" s="479"/>
      <c r="G23" s="84" t="s">
        <v>549</v>
      </c>
      <c r="H23" s="71"/>
      <c r="I23" s="38">
        <f t="shared" si="36"/>
        <v>2038</v>
      </c>
      <c r="J23" s="39"/>
      <c r="K23" s="39">
        <f t="shared" si="37"/>
        <v>9</v>
      </c>
      <c r="L23" s="39"/>
      <c r="M23" s="40">
        <f t="shared" si="0"/>
        <v>0.76641673234362695</v>
      </c>
      <c r="N23" s="39"/>
      <c r="O23" s="72">
        <f t="shared" si="16"/>
        <v>5494249246.1589937</v>
      </c>
      <c r="P23" s="41">
        <f t="shared" si="1"/>
        <v>0.16700000000000001</v>
      </c>
      <c r="Q23" s="39"/>
      <c r="R23" s="72">
        <f t="shared" si="17"/>
        <v>6940887618.1618128</v>
      </c>
      <c r="S23" s="39"/>
      <c r="T23" s="72">
        <f t="shared" si="18"/>
        <v>6940887000</v>
      </c>
      <c r="U23" s="39"/>
      <c r="V23" s="72">
        <f t="shared" si="2"/>
        <v>917539624.10855198</v>
      </c>
      <c r="W23" s="72">
        <f t="shared" si="19"/>
        <v>703217720.50507617</v>
      </c>
      <c r="X23" s="39"/>
      <c r="Y23" s="72">
        <f t="shared" si="3"/>
        <v>97172400</v>
      </c>
      <c r="Z23" s="72">
        <f t="shared" si="20"/>
        <v>74474553.281987861</v>
      </c>
      <c r="AA23" s="39"/>
      <c r="AB23" s="72">
        <f t="shared" si="4"/>
        <v>0</v>
      </c>
      <c r="AC23" s="72">
        <f t="shared" si="21"/>
        <v>0</v>
      </c>
      <c r="AD23" s="39"/>
      <c r="AE23" s="72">
        <f t="shared" si="5"/>
        <v>0</v>
      </c>
      <c r="AF23" s="72">
        <f t="shared" si="22"/>
        <v>0</v>
      </c>
      <c r="AG23" s="39"/>
      <c r="AH23" s="72">
        <f t="shared" si="6"/>
        <v>990000000</v>
      </c>
      <c r="AI23" s="72">
        <f t="shared" si="23"/>
        <v>758752565.02019072</v>
      </c>
      <c r="AJ23" s="39"/>
      <c r="AK23" s="72">
        <f t="shared" si="7"/>
        <v>0</v>
      </c>
      <c r="AL23" s="72">
        <f t="shared" si="24"/>
        <v>0</v>
      </c>
      <c r="AM23" s="39"/>
      <c r="AN23" s="72">
        <f t="shared" si="8"/>
        <v>0</v>
      </c>
      <c r="AO23" s="72">
        <f t="shared" si="25"/>
        <v>0</v>
      </c>
      <c r="AP23" s="39"/>
      <c r="AQ23" s="72">
        <f t="shared" si="9"/>
        <v>0</v>
      </c>
      <c r="AR23" s="72">
        <f t="shared" si="26"/>
        <v>0</v>
      </c>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0</v>
      </c>
      <c r="AU23" s="39"/>
      <c r="AV23" s="72">
        <f t="shared" si="10"/>
        <v>0</v>
      </c>
      <c r="AW23" s="72">
        <f t="shared" si="27"/>
        <v>0</v>
      </c>
      <c r="AX23" s="39"/>
      <c r="AY23" s="40">
        <f>IF(ISERROR(IF($K23&lt;=$F$15,VLOOKUP($I23,'表4）CO2価格'!$A$7:$E$67,VLOOKUP($F$48,'表4）CO2価格'!$H$10:$I$12,2,0),0)*$F$8/1000,"")),0,IF($K23&lt;=$F$15,VLOOKUP($I23,'表4）CO2価格'!$A$7:$E$67,VLOOKUP($F$48,'表4）CO2価格'!$H$10:$I$12,2,0),0)*$F$8/1000,""))</f>
        <v>0</v>
      </c>
      <c r="AZ23" s="39"/>
      <c r="BA23" s="42">
        <f t="shared" si="11"/>
        <v>0</v>
      </c>
      <c r="BB23" s="72">
        <f t="shared" si="28"/>
        <v>0</v>
      </c>
      <c r="BC23" s="39"/>
      <c r="BD23" s="72">
        <f t="shared" si="12"/>
        <v>0</v>
      </c>
      <c r="BE23" s="72">
        <f t="shared" si="29"/>
        <v>0</v>
      </c>
      <c r="BF23" s="39"/>
      <c r="BG23" s="42">
        <f t="shared" si="13"/>
        <v>0</v>
      </c>
      <c r="BH23" s="72">
        <f t="shared" si="30"/>
        <v>0</v>
      </c>
      <c r="BI23" s="39"/>
      <c r="BJ23" s="40">
        <f t="shared" si="31"/>
        <v>0.33288483338252178</v>
      </c>
      <c r="BK23" s="157">
        <f t="shared" si="32"/>
        <v>361903203.23207635</v>
      </c>
      <c r="BL23" s="157">
        <f t="shared" si="14"/>
        <v>64623052.543088973</v>
      </c>
      <c r="BM23" s="72"/>
      <c r="BN23" s="72">
        <f t="shared" si="33"/>
        <v>4868862800.1687965</v>
      </c>
      <c r="BO23" s="72">
        <f t="shared" si="34"/>
        <v>3731577917.5348105</v>
      </c>
      <c r="BP23" s="39"/>
      <c r="BQ23" s="72">
        <f t="shared" si="15"/>
        <v>194130360</v>
      </c>
      <c r="BR23" s="72">
        <f t="shared" si="35"/>
        <v>148784756.15989193</v>
      </c>
    </row>
    <row r="24" spans="3:70" x14ac:dyDescent="0.15">
      <c r="D24" s="84" t="s">
        <v>563</v>
      </c>
      <c r="F24" s="480">
        <v>11</v>
      </c>
      <c r="G24" s="84" t="s">
        <v>549</v>
      </c>
      <c r="H24" s="71"/>
      <c r="I24" s="322">
        <f t="shared" si="36"/>
        <v>2039</v>
      </c>
      <c r="J24" s="71"/>
      <c r="K24" s="71">
        <f t="shared" si="37"/>
        <v>10</v>
      </c>
      <c r="L24" s="71"/>
      <c r="M24" s="7">
        <f t="shared" si="0"/>
        <v>0.74409391489672516</v>
      </c>
      <c r="N24" s="71"/>
      <c r="O24" s="10">
        <f t="shared" si="16"/>
        <v>4576709622.0504417</v>
      </c>
      <c r="P24" s="29">
        <f t="shared" si="1"/>
        <v>0.16700000000000001</v>
      </c>
      <c r="Q24" s="71"/>
      <c r="R24" s="10">
        <f t="shared" si="17"/>
        <v>5953170842.6777067</v>
      </c>
      <c r="S24" s="71"/>
      <c r="T24" s="10">
        <f t="shared" si="18"/>
        <v>5953170000</v>
      </c>
      <c r="U24" s="71"/>
      <c r="V24" s="10">
        <f t="shared" si="2"/>
        <v>764310506.88242376</v>
      </c>
      <c r="W24" s="10">
        <f t="shared" si="19"/>
        <v>568718797.26284313</v>
      </c>
      <c r="X24" s="71"/>
      <c r="Y24" s="10">
        <f t="shared" si="3"/>
        <v>83344300</v>
      </c>
      <c r="Z24" s="10">
        <f t="shared" si="20"/>
        <v>62015986.471327133</v>
      </c>
      <c r="AA24" s="71"/>
      <c r="AB24" s="10">
        <f t="shared" si="4"/>
        <v>0</v>
      </c>
      <c r="AC24" s="10">
        <f t="shared" si="21"/>
        <v>0</v>
      </c>
      <c r="AD24" s="71"/>
      <c r="AE24" s="10">
        <f t="shared" si="5"/>
        <v>0</v>
      </c>
      <c r="AF24" s="10">
        <f t="shared" si="22"/>
        <v>0</v>
      </c>
      <c r="AG24" s="71"/>
      <c r="AH24" s="10">
        <f t="shared" si="6"/>
        <v>990000000</v>
      </c>
      <c r="AI24" s="10">
        <f t="shared" si="23"/>
        <v>736652975.74775791</v>
      </c>
      <c r="AJ24" s="71"/>
      <c r="AK24" s="10">
        <f t="shared" si="7"/>
        <v>0</v>
      </c>
      <c r="AL24" s="10">
        <f t="shared" si="24"/>
        <v>0</v>
      </c>
      <c r="AM24" s="71"/>
      <c r="AN24" s="10">
        <f t="shared" si="8"/>
        <v>0</v>
      </c>
      <c r="AO24" s="10">
        <f t="shared" si="25"/>
        <v>0</v>
      </c>
      <c r="AP24" s="71"/>
      <c r="AQ24" s="10">
        <f t="shared" si="9"/>
        <v>0</v>
      </c>
      <c r="AR24" s="10">
        <f t="shared" si="26"/>
        <v>0</v>
      </c>
      <c r="AS24" s="71"/>
      <c r="AT24" s="7">
        <f>IF($K24&lt;=$F$15,IF($F$40&lt;&gt;"",$F$40/1000,IF(ISERROR(VLOOKUP($F$3&amp;IF($G$4&lt;&gt;"",$G$4,"")&amp;IF($F$43&lt;&gt;"","_"&amp;$F$43,""),'表3）燃料価格'!$AF$9:$AG$25,2,0)),0,VLOOKUP($I24,'表3）燃料価格'!$A$6:$U$66,VLOOKUP($F$3&amp;IF($G$4&lt;&gt;"",$G$4,"")&amp;IF($F$43&lt;&gt;"","_"&amp;$F$43,""),'表3）燃料価格'!$AF$9:$AG$25,2,0)+VLOOKUP($F$41,'表3）燃料価格'!$AF$28:$AG$29,2,0),0)*IF($F$43="需要地価格",1,$F$8/$F$141))),"")</f>
        <v>0</v>
      </c>
      <c r="AU24" s="71"/>
      <c r="AV24" s="10">
        <f t="shared" si="10"/>
        <v>0</v>
      </c>
      <c r="AW24" s="10">
        <f t="shared" si="27"/>
        <v>0</v>
      </c>
      <c r="AX24" s="71"/>
      <c r="AY24" s="7">
        <f>IF(ISERROR(IF($K24&lt;=$F$15,VLOOKUP($I24,'表4）CO2価格'!$A$7:$E$67,VLOOKUP($F$48,'表4）CO2価格'!$H$10:$I$12,2,0),0)*$F$8/1000,"")),0,IF($K24&lt;=$F$15,VLOOKUP($I24,'表4）CO2価格'!$A$7:$E$67,VLOOKUP($F$48,'表4）CO2価格'!$H$10:$I$12,2,0),0)*$F$8/1000,""))</f>
        <v>0</v>
      </c>
      <c r="AZ24" s="71"/>
      <c r="BA24" s="11">
        <f t="shared" si="11"/>
        <v>0</v>
      </c>
      <c r="BB24" s="10">
        <f t="shared" si="28"/>
        <v>0</v>
      </c>
      <c r="BC24" s="71"/>
      <c r="BD24" s="10">
        <f t="shared" si="12"/>
        <v>0</v>
      </c>
      <c r="BE24" s="10">
        <f t="shared" si="29"/>
        <v>0</v>
      </c>
      <c r="BF24" s="71"/>
      <c r="BG24" s="11">
        <f t="shared" si="13"/>
        <v>0</v>
      </c>
      <c r="BH24" s="10">
        <f t="shared" si="30"/>
        <v>0</v>
      </c>
      <c r="BJ24" s="7">
        <f t="shared" si="31"/>
        <v>0.2945883481261255</v>
      </c>
      <c r="BK24" s="158">
        <f t="shared" si="32"/>
        <v>316194724.30759251</v>
      </c>
      <c r="BL24" s="158">
        <f t="shared" si="14"/>
        <v>57188542.07353007</v>
      </c>
      <c r="BM24" s="10"/>
      <c r="BN24" s="10">
        <f t="shared" si="33"/>
        <v>4868862800.1687965</v>
      </c>
      <c r="BO24" s="10">
        <f t="shared" si="34"/>
        <v>3622891182.0726314</v>
      </c>
      <c r="BQ24" s="10">
        <f t="shared" si="15"/>
        <v>194130360</v>
      </c>
      <c r="BR24" s="10">
        <f t="shared" si="35"/>
        <v>144451219.57271063</v>
      </c>
    </row>
    <row r="25" spans="3:70" x14ac:dyDescent="0.15">
      <c r="D25" s="84" t="s">
        <v>564</v>
      </c>
      <c r="F25" s="475">
        <v>1.4</v>
      </c>
      <c r="G25" s="84" t="s">
        <v>549</v>
      </c>
      <c r="H25" s="71"/>
      <c r="I25" s="38">
        <f t="shared" si="36"/>
        <v>2040</v>
      </c>
      <c r="J25" s="39"/>
      <c r="K25" s="39">
        <f t="shared" si="37"/>
        <v>11</v>
      </c>
      <c r="L25" s="39"/>
      <c r="M25" s="40">
        <f t="shared" si="0"/>
        <v>0.72242127659876232</v>
      </c>
      <c r="N25" s="39"/>
      <c r="O25" s="72">
        <f t="shared" si="16"/>
        <v>3812399115.1680179</v>
      </c>
      <c r="P25" s="41">
        <f t="shared" si="1"/>
        <v>0.2</v>
      </c>
      <c r="Q25" s="39"/>
      <c r="R25" s="72">
        <f t="shared" si="17"/>
        <v>5106010215.3755665</v>
      </c>
      <c r="S25" s="39"/>
      <c r="T25" s="72">
        <f t="shared" si="18"/>
        <v>5106010000</v>
      </c>
      <c r="U25" s="39"/>
      <c r="V25" s="72">
        <f t="shared" si="2"/>
        <v>762479823.03360367</v>
      </c>
      <c r="W25" s="72">
        <f t="shared" si="19"/>
        <v>550831647.13673437</v>
      </c>
      <c r="X25" s="39"/>
      <c r="Y25" s="72">
        <f t="shared" si="3"/>
        <v>71484100</v>
      </c>
      <c r="Z25" s="72">
        <f t="shared" si="20"/>
        <v>51641634.778513588</v>
      </c>
      <c r="AA25" s="39"/>
      <c r="AB25" s="72">
        <f t="shared" si="4"/>
        <v>0</v>
      </c>
      <c r="AC25" s="72">
        <f t="shared" si="21"/>
        <v>0</v>
      </c>
      <c r="AD25" s="39"/>
      <c r="AE25" s="72">
        <f t="shared" si="5"/>
        <v>0</v>
      </c>
      <c r="AF25" s="72">
        <f t="shared" si="22"/>
        <v>0</v>
      </c>
      <c r="AG25" s="39"/>
      <c r="AH25" s="72">
        <f t="shared" si="6"/>
        <v>990000000</v>
      </c>
      <c r="AI25" s="72">
        <f t="shared" si="23"/>
        <v>715197063.83277464</v>
      </c>
      <c r="AJ25" s="39"/>
      <c r="AK25" s="72">
        <f t="shared" si="7"/>
        <v>0</v>
      </c>
      <c r="AL25" s="72">
        <f t="shared" si="24"/>
        <v>0</v>
      </c>
      <c r="AM25" s="39"/>
      <c r="AN25" s="72">
        <f t="shared" si="8"/>
        <v>0</v>
      </c>
      <c r="AO25" s="72">
        <f t="shared" si="25"/>
        <v>0</v>
      </c>
      <c r="AP25" s="39"/>
      <c r="AQ25" s="72">
        <f t="shared" si="9"/>
        <v>0</v>
      </c>
      <c r="AR25" s="72">
        <f t="shared" si="26"/>
        <v>0</v>
      </c>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0</v>
      </c>
      <c r="AU25" s="39"/>
      <c r="AV25" s="72">
        <f t="shared" si="10"/>
        <v>0</v>
      </c>
      <c r="AW25" s="72">
        <f t="shared" si="27"/>
        <v>0</v>
      </c>
      <c r="AX25" s="39"/>
      <c r="AY25" s="40">
        <f>IF(ISERROR(IF($K25&lt;=$F$15,VLOOKUP($I25,'表4）CO2価格'!$A$7:$E$67,VLOOKUP($F$48,'表4）CO2価格'!$H$10:$I$12,2,0),0)*$F$8/1000,"")),0,IF($K25&lt;=$F$15,VLOOKUP($I25,'表4）CO2価格'!$A$7:$E$67,VLOOKUP($F$48,'表4）CO2価格'!$H$10:$I$12,2,0),0)*$F$8/1000,""))</f>
        <v>0</v>
      </c>
      <c r="AZ25" s="39"/>
      <c r="BA25" s="42">
        <f t="shared" si="11"/>
        <v>0</v>
      </c>
      <c r="BB25" s="72">
        <f t="shared" si="28"/>
        <v>0</v>
      </c>
      <c r="BC25" s="39"/>
      <c r="BD25" s="72">
        <f t="shared" si="12"/>
        <v>0</v>
      </c>
      <c r="BE25" s="72">
        <f t="shared" si="29"/>
        <v>0</v>
      </c>
      <c r="BF25" s="39"/>
      <c r="BG25" s="42">
        <f t="shared" si="13"/>
        <v>0</v>
      </c>
      <c r="BH25" s="72">
        <f t="shared" si="30"/>
        <v>0</v>
      </c>
      <c r="BI25" s="39"/>
      <c r="BJ25" s="40">
        <f t="shared" si="31"/>
        <v>0.26069765320896066</v>
      </c>
      <c r="BK25" s="157">
        <f t="shared" si="32"/>
        <v>276726413.78862572</v>
      </c>
      <c r="BL25" s="157">
        <f t="shared" si="14"/>
        <v>50609329.268610686</v>
      </c>
      <c r="BM25" s="72"/>
      <c r="BN25" s="72">
        <f t="shared" si="33"/>
        <v>4868862800.1687965</v>
      </c>
      <c r="BO25" s="72">
        <f t="shared" si="34"/>
        <v>3517370079.6821666</v>
      </c>
      <c r="BP25" s="39"/>
      <c r="BQ25" s="72">
        <f t="shared" si="15"/>
        <v>194130360</v>
      </c>
      <c r="BR25" s="72">
        <f t="shared" si="35"/>
        <v>140243902.49777731</v>
      </c>
    </row>
    <row r="26" spans="3:70" x14ac:dyDescent="0.15">
      <c r="D26" s="84" t="s">
        <v>115</v>
      </c>
      <c r="F26" s="481"/>
      <c r="G26" s="84" t="s">
        <v>565</v>
      </c>
      <c r="H26" s="71"/>
      <c r="I26" s="322">
        <f t="shared" si="36"/>
        <v>2041</v>
      </c>
      <c r="J26" s="71"/>
      <c r="K26" s="71">
        <f t="shared" si="37"/>
        <v>12</v>
      </c>
      <c r="L26" s="71"/>
      <c r="M26" s="7">
        <f t="shared" si="0"/>
        <v>0.70137988019297326</v>
      </c>
      <c r="N26" s="71"/>
      <c r="O26" s="10">
        <f t="shared" si="16"/>
        <v>3049919292.1344142</v>
      </c>
      <c r="P26" s="29" t="str">
        <f t="shared" si="1"/>
        <v>-</v>
      </c>
      <c r="Q26" s="71"/>
      <c r="R26" s="10">
        <f t="shared" si="17"/>
        <v>4379404019.890831</v>
      </c>
      <c r="S26" s="71"/>
      <c r="T26" s="10">
        <f t="shared" si="18"/>
        <v>4379404000</v>
      </c>
      <c r="U26" s="71"/>
      <c r="V26" s="10">
        <f t="shared" si="2"/>
        <v>762479823.03360367</v>
      </c>
      <c r="W26" s="10">
        <f t="shared" si="19"/>
        <v>534788006.92886841</v>
      </c>
      <c r="X26" s="71"/>
      <c r="Y26" s="10">
        <f t="shared" si="3"/>
        <v>61311600</v>
      </c>
      <c r="Z26" s="10">
        <f t="shared" si="20"/>
        <v>43002722.662439503</v>
      </c>
      <c r="AA26" s="71"/>
      <c r="AB26" s="10">
        <f t="shared" si="4"/>
        <v>0</v>
      </c>
      <c r="AC26" s="10">
        <f t="shared" si="21"/>
        <v>0</v>
      </c>
      <c r="AD26" s="71"/>
      <c r="AE26" s="10">
        <f t="shared" si="5"/>
        <v>0</v>
      </c>
      <c r="AF26" s="10">
        <f t="shared" si="22"/>
        <v>0</v>
      </c>
      <c r="AG26" s="71"/>
      <c r="AH26" s="10">
        <f t="shared" si="6"/>
        <v>990000000</v>
      </c>
      <c r="AI26" s="10">
        <f t="shared" si="23"/>
        <v>694366081.39104354</v>
      </c>
      <c r="AJ26" s="71"/>
      <c r="AK26" s="10">
        <f t="shared" si="7"/>
        <v>0</v>
      </c>
      <c r="AL26" s="10">
        <f t="shared" si="24"/>
        <v>0</v>
      </c>
      <c r="AM26" s="71"/>
      <c r="AN26" s="10">
        <f t="shared" si="8"/>
        <v>0</v>
      </c>
      <c r="AO26" s="10">
        <f t="shared" si="25"/>
        <v>0</v>
      </c>
      <c r="AP26" s="71"/>
      <c r="AQ26" s="10">
        <f t="shared" si="9"/>
        <v>0</v>
      </c>
      <c r="AR26" s="10">
        <f t="shared" si="26"/>
        <v>0</v>
      </c>
      <c r="AS26" s="71"/>
      <c r="AT26" s="7">
        <f>IF($K26&lt;=$F$15,IF($F$40&lt;&gt;"",$F$40/1000,IF(ISERROR(VLOOKUP($F$3&amp;IF($G$4&lt;&gt;"",$G$4,"")&amp;IF($F$43&lt;&gt;"","_"&amp;$F$43,""),'表3）燃料価格'!$AF$9:$AG$25,2,0)),0,VLOOKUP($I26,'表3）燃料価格'!$A$6:$U$66,VLOOKUP($F$3&amp;IF($G$4&lt;&gt;"",$G$4,"")&amp;IF($F$43&lt;&gt;"","_"&amp;$F$43,""),'表3）燃料価格'!$AF$9:$AG$25,2,0)+VLOOKUP($F$41,'表3）燃料価格'!$AF$28:$AG$29,2,0),0)*IF($F$43="需要地価格",1,$F$8/$F$141))),"")</f>
        <v>0</v>
      </c>
      <c r="AU26" s="71"/>
      <c r="AV26" s="10">
        <f t="shared" si="10"/>
        <v>0</v>
      </c>
      <c r="AW26" s="10">
        <f t="shared" si="27"/>
        <v>0</v>
      </c>
      <c r="AX26" s="71"/>
      <c r="AY26" s="7">
        <f>IF(ISERROR(IF($K26&lt;=$F$15,VLOOKUP($I26,'表4）CO2価格'!$A$7:$E$67,VLOOKUP($F$48,'表4）CO2価格'!$H$10:$I$12,2,0),0)*$F$8/1000,"")),0,IF($K26&lt;=$F$15,VLOOKUP($I26,'表4）CO2価格'!$A$7:$E$67,VLOOKUP($F$48,'表4）CO2価格'!$H$10:$I$12,2,0),0)*$F$8/1000,""))</f>
        <v>0</v>
      </c>
      <c r="AZ26" s="71"/>
      <c r="BA26" s="11">
        <f t="shared" si="11"/>
        <v>0</v>
      </c>
      <c r="BB26" s="10">
        <f t="shared" si="28"/>
        <v>0</v>
      </c>
      <c r="BC26" s="71"/>
      <c r="BD26" s="10">
        <f t="shared" si="12"/>
        <v>0</v>
      </c>
      <c r="BE26" s="10">
        <f t="shared" si="29"/>
        <v>0</v>
      </c>
      <c r="BF26" s="71"/>
      <c r="BG26" s="11">
        <f t="shared" si="13"/>
        <v>0</v>
      </c>
      <c r="BH26" s="10">
        <f t="shared" si="30"/>
        <v>0</v>
      </c>
      <c r="BJ26" s="7">
        <f t="shared" si="31"/>
        <v>0.23070588779554044</v>
      </c>
      <c r="BK26" s="158">
        <f t="shared" si="32"/>
        <v>242543776.0277501</v>
      </c>
      <c r="BL26" s="158">
        <f t="shared" si="14"/>
        <v>44787017.051867872</v>
      </c>
      <c r="BM26" s="10"/>
      <c r="BN26" s="10">
        <f t="shared" si="33"/>
        <v>4868862800.1687965</v>
      </c>
      <c r="BO26" s="10">
        <f t="shared" si="34"/>
        <v>3414922407.458415</v>
      </c>
      <c r="BQ26" s="10">
        <f t="shared" si="15"/>
        <v>194130360</v>
      </c>
      <c r="BR26" s="10">
        <f t="shared" si="35"/>
        <v>136159128.63861877</v>
      </c>
    </row>
    <row r="27" spans="3:70" x14ac:dyDescent="0.15">
      <c r="D27" s="160" t="s">
        <v>86</v>
      </c>
      <c r="F27" s="481">
        <f>F117*5%/10^8</f>
        <v>11.85</v>
      </c>
      <c r="G27" s="84" t="s">
        <v>566</v>
      </c>
      <c r="H27" s="71"/>
      <c r="I27" s="38">
        <f t="shared" si="36"/>
        <v>2042</v>
      </c>
      <c r="J27" s="39"/>
      <c r="K27" s="39">
        <f t="shared" si="37"/>
        <v>13</v>
      </c>
      <c r="L27" s="39"/>
      <c r="M27" s="40">
        <f t="shared" si="0"/>
        <v>0.68095133999317792</v>
      </c>
      <c r="N27" s="39"/>
      <c r="O27" s="72">
        <f t="shared" si="16"/>
        <v>2287439469.1008105</v>
      </c>
      <c r="P27" s="41" t="str">
        <f t="shared" si="1"/>
        <v>-</v>
      </c>
      <c r="Q27" s="39"/>
      <c r="R27" s="72">
        <f t="shared" si="17"/>
        <v>3756196866.1328402</v>
      </c>
      <c r="S27" s="39"/>
      <c r="T27" s="72">
        <f t="shared" si="18"/>
        <v>3756196000</v>
      </c>
      <c r="U27" s="39"/>
      <c r="V27" s="72">
        <f t="shared" si="2"/>
        <v>762479823.03360367</v>
      </c>
      <c r="W27" s="72">
        <f t="shared" si="19"/>
        <v>519211657.2124936</v>
      </c>
      <c r="X27" s="39"/>
      <c r="Y27" s="72">
        <f t="shared" si="3"/>
        <v>52586700</v>
      </c>
      <c r="Z27" s="72">
        <f t="shared" si="20"/>
        <v>35808983.830819249</v>
      </c>
      <c r="AA27" s="39"/>
      <c r="AB27" s="72">
        <f t="shared" si="4"/>
        <v>0</v>
      </c>
      <c r="AC27" s="72">
        <f t="shared" si="21"/>
        <v>0</v>
      </c>
      <c r="AD27" s="39"/>
      <c r="AE27" s="72">
        <f t="shared" si="5"/>
        <v>0</v>
      </c>
      <c r="AF27" s="72">
        <f t="shared" si="22"/>
        <v>0</v>
      </c>
      <c r="AG27" s="39"/>
      <c r="AH27" s="72">
        <f t="shared" si="6"/>
        <v>990000000</v>
      </c>
      <c r="AI27" s="72">
        <f t="shared" si="23"/>
        <v>674141826.5932461</v>
      </c>
      <c r="AJ27" s="39"/>
      <c r="AK27" s="72">
        <f t="shared" si="7"/>
        <v>0</v>
      </c>
      <c r="AL27" s="72">
        <f t="shared" si="24"/>
        <v>0</v>
      </c>
      <c r="AM27" s="39"/>
      <c r="AN27" s="72">
        <f t="shared" si="8"/>
        <v>0</v>
      </c>
      <c r="AO27" s="72">
        <f t="shared" si="25"/>
        <v>0</v>
      </c>
      <c r="AP27" s="39"/>
      <c r="AQ27" s="72">
        <f t="shared" si="9"/>
        <v>0</v>
      </c>
      <c r="AR27" s="72">
        <f t="shared" si="26"/>
        <v>0</v>
      </c>
      <c r="AS27" s="39"/>
      <c r="AT27" s="40">
        <f>IF($K27&lt;=$F$15,IF($F$40&lt;&gt;"",$F$40/1000,IF(ISERROR(VLOOKUP($F$3&amp;IF($G$4&lt;&gt;"",$G$4,"")&amp;IF($F$43&lt;&gt;"","_"&amp;$F$43,""),'表3）燃料価格'!$AF$9:$AG$25,2,0)),0,VLOOKUP($I27,'表3）燃料価格'!$A$6:$U$66,VLOOKUP($F$3&amp;IF($G$4&lt;&gt;"",$G$4,"")&amp;IF($F$43&lt;&gt;"","_"&amp;$F$43,""),'表3）燃料価格'!$AF$9:$AG$25,2,0)+VLOOKUP($F$41,'表3）燃料価格'!$AF$28:$AG$29,2,0),0)*IF($F$43="需要地価格",1,$F$8/$F$141))),"")</f>
        <v>0</v>
      </c>
      <c r="AU27" s="39"/>
      <c r="AV27" s="72">
        <f t="shared" si="10"/>
        <v>0</v>
      </c>
      <c r="AW27" s="72">
        <f t="shared" si="27"/>
        <v>0</v>
      </c>
      <c r="AX27" s="39"/>
      <c r="AY27" s="40">
        <f>IF(ISERROR(IF($K27&lt;=$F$15,VLOOKUP($I27,'表4）CO2価格'!$A$7:$E$67,VLOOKUP($F$48,'表4）CO2価格'!$H$10:$I$12,2,0),0)*$F$8/1000,"")),0,IF($K27&lt;=$F$15,VLOOKUP($I27,'表4）CO2価格'!$A$7:$E$67,VLOOKUP($F$48,'表4）CO2価格'!$H$10:$I$12,2,0),0)*$F$8/1000,""))</f>
        <v>0</v>
      </c>
      <c r="AZ27" s="39"/>
      <c r="BA27" s="42">
        <f t="shared" si="11"/>
        <v>0</v>
      </c>
      <c r="BB27" s="72">
        <f t="shared" si="28"/>
        <v>0</v>
      </c>
      <c r="BC27" s="39"/>
      <c r="BD27" s="72">
        <f t="shared" si="12"/>
        <v>0</v>
      </c>
      <c r="BE27" s="72">
        <f t="shared" si="29"/>
        <v>0</v>
      </c>
      <c r="BF27" s="39"/>
      <c r="BG27" s="42">
        <f t="shared" si="13"/>
        <v>0</v>
      </c>
      <c r="BH27" s="72">
        <f t="shared" si="30"/>
        <v>0</v>
      </c>
      <c r="BI27" s="39"/>
      <c r="BJ27" s="40">
        <f t="shared" si="31"/>
        <v>0.20416450247392959</v>
      </c>
      <c r="BK27" s="157">
        <f t="shared" si="32"/>
        <v>212859194.89143607</v>
      </c>
      <c r="BL27" s="157">
        <f t="shared" si="14"/>
        <v>39634528.364484839</v>
      </c>
      <c r="BM27" s="72"/>
      <c r="BN27" s="72">
        <f t="shared" si="33"/>
        <v>4868862800.1687965</v>
      </c>
      <c r="BO27" s="72">
        <f t="shared" si="34"/>
        <v>3315458648.0178785</v>
      </c>
      <c r="BP27" s="39"/>
      <c r="BQ27" s="72">
        <f t="shared" si="15"/>
        <v>194130360</v>
      </c>
      <c r="BR27" s="72">
        <f t="shared" si="35"/>
        <v>132193328.77535802</v>
      </c>
    </row>
    <row r="28" spans="3:70" x14ac:dyDescent="0.15">
      <c r="D28" s="84" t="s">
        <v>116</v>
      </c>
      <c r="F28" s="481">
        <v>1</v>
      </c>
      <c r="G28" s="84" t="s">
        <v>556</v>
      </c>
      <c r="H28" s="71"/>
      <c r="I28" s="322">
        <f t="shared" si="36"/>
        <v>2043</v>
      </c>
      <c r="J28" s="71"/>
      <c r="K28" s="71">
        <f t="shared" si="37"/>
        <v>14</v>
      </c>
      <c r="L28" s="71"/>
      <c r="M28" s="7">
        <f t="shared" si="0"/>
        <v>0.66111780581861923</v>
      </c>
      <c r="N28" s="71"/>
      <c r="O28" s="10">
        <f t="shared" si="16"/>
        <v>1524959646.0672069</v>
      </c>
      <c r="P28" s="29" t="str">
        <f t="shared" si="1"/>
        <v>-</v>
      </c>
      <c r="Q28" s="71"/>
      <c r="R28" s="10">
        <f t="shared" si="17"/>
        <v>3221674646.3821068</v>
      </c>
      <c r="S28" s="71"/>
      <c r="T28" s="10">
        <f t="shared" si="18"/>
        <v>3221674000</v>
      </c>
      <c r="U28" s="71"/>
      <c r="V28" s="10">
        <f t="shared" si="2"/>
        <v>762479823.03360367</v>
      </c>
      <c r="W28" s="10">
        <f t="shared" si="19"/>
        <v>504088987.58494514</v>
      </c>
      <c r="X28" s="71"/>
      <c r="Y28" s="10">
        <f t="shared" si="3"/>
        <v>45103400</v>
      </c>
      <c r="Z28" s="10">
        <f t="shared" si="20"/>
        <v>29818660.842959512</v>
      </c>
      <c r="AA28" s="71"/>
      <c r="AB28" s="10">
        <f t="shared" si="4"/>
        <v>0</v>
      </c>
      <c r="AC28" s="10">
        <f t="shared" si="21"/>
        <v>0</v>
      </c>
      <c r="AD28" s="71"/>
      <c r="AE28" s="10">
        <f t="shared" si="5"/>
        <v>0</v>
      </c>
      <c r="AF28" s="10">
        <f t="shared" si="22"/>
        <v>0</v>
      </c>
      <c r="AG28" s="71"/>
      <c r="AH28" s="10">
        <f t="shared" si="6"/>
        <v>990000000</v>
      </c>
      <c r="AI28" s="10">
        <f t="shared" si="23"/>
        <v>654506627.76043308</v>
      </c>
      <c r="AJ28" s="71"/>
      <c r="AK28" s="10">
        <f t="shared" si="7"/>
        <v>0</v>
      </c>
      <c r="AL28" s="10">
        <f t="shared" si="24"/>
        <v>0</v>
      </c>
      <c r="AM28" s="71"/>
      <c r="AN28" s="10">
        <f t="shared" si="8"/>
        <v>0</v>
      </c>
      <c r="AO28" s="10">
        <f t="shared" si="25"/>
        <v>0</v>
      </c>
      <c r="AP28" s="71"/>
      <c r="AQ28" s="10">
        <f t="shared" si="9"/>
        <v>0</v>
      </c>
      <c r="AR28" s="10">
        <f t="shared" si="26"/>
        <v>0</v>
      </c>
      <c r="AS28" s="71"/>
      <c r="AT28" s="7">
        <f>IF($K28&lt;=$F$15,IF($F$40&lt;&gt;"",$F$40/1000,IF(ISERROR(VLOOKUP($F$3&amp;IF($G$4&lt;&gt;"",$G$4,"")&amp;IF($F$43&lt;&gt;"","_"&amp;$F$43,""),'表3）燃料価格'!$AF$9:$AG$25,2,0)),0,VLOOKUP($I28,'表3）燃料価格'!$A$6:$U$66,VLOOKUP($F$3&amp;IF($G$4&lt;&gt;"",$G$4,"")&amp;IF($F$43&lt;&gt;"","_"&amp;$F$43,""),'表3）燃料価格'!$AF$9:$AG$25,2,0)+VLOOKUP($F$41,'表3）燃料価格'!$AF$28:$AG$29,2,0),0)*IF($F$43="需要地価格",1,$F$8/$F$141))),"")</f>
        <v>0</v>
      </c>
      <c r="AU28" s="71"/>
      <c r="AV28" s="10">
        <f t="shared" si="10"/>
        <v>0</v>
      </c>
      <c r="AW28" s="10">
        <f t="shared" si="27"/>
        <v>0</v>
      </c>
      <c r="AX28" s="71"/>
      <c r="AY28" s="7">
        <f>IF(ISERROR(IF($K28&lt;=$F$15,VLOOKUP($I28,'表4）CO2価格'!$A$7:$E$67,VLOOKUP($F$48,'表4）CO2価格'!$H$10:$I$12,2,0),0)*$F$8/1000,"")),0,IF($K28&lt;=$F$15,VLOOKUP($I28,'表4）CO2価格'!$A$7:$E$67,VLOOKUP($F$48,'表4）CO2価格'!$H$10:$I$12,2,0),0)*$F$8/1000,""))</f>
        <v>0</v>
      </c>
      <c r="AZ28" s="71"/>
      <c r="BA28" s="11">
        <f t="shared" si="11"/>
        <v>0</v>
      </c>
      <c r="BB28" s="10">
        <f t="shared" si="28"/>
        <v>0</v>
      </c>
      <c r="BC28" s="71"/>
      <c r="BD28" s="10">
        <f t="shared" si="12"/>
        <v>0</v>
      </c>
      <c r="BE28" s="10">
        <f t="shared" si="29"/>
        <v>0</v>
      </c>
      <c r="BF28" s="71"/>
      <c r="BG28" s="11">
        <f t="shared" si="13"/>
        <v>0</v>
      </c>
      <c r="BH28" s="10">
        <f t="shared" si="30"/>
        <v>0</v>
      </c>
      <c r="BJ28" s="7">
        <f t="shared" si="31"/>
        <v>0.18067655086188467</v>
      </c>
      <c r="BK28" s="158">
        <f t="shared" si="32"/>
        <v>187018912.09740975</v>
      </c>
      <c r="BL28" s="158">
        <f t="shared" si="14"/>
        <v>35074803.862375982</v>
      </c>
      <c r="BM28" s="10"/>
      <c r="BN28" s="10">
        <f t="shared" si="33"/>
        <v>4868862800.1687965</v>
      </c>
      <c r="BO28" s="10">
        <f t="shared" si="34"/>
        <v>3218891891.2794933</v>
      </c>
      <c r="BQ28" s="10">
        <f t="shared" si="15"/>
        <v>194130360</v>
      </c>
      <c r="BR28" s="10">
        <f t="shared" si="35"/>
        <v>128343037.64597864</v>
      </c>
    </row>
    <row r="29" spans="3:70" x14ac:dyDescent="0.15">
      <c r="D29" s="84" t="s">
        <v>567</v>
      </c>
      <c r="F29" s="481"/>
      <c r="G29" s="84" t="s">
        <v>566</v>
      </c>
      <c r="H29" s="71"/>
      <c r="I29" s="38">
        <f t="shared" si="36"/>
        <v>2044</v>
      </c>
      <c r="J29" s="39"/>
      <c r="K29" s="39">
        <f t="shared" si="37"/>
        <v>15</v>
      </c>
      <c r="L29" s="39"/>
      <c r="M29" s="40">
        <f t="shared" si="0"/>
        <v>0.64186194739671765</v>
      </c>
      <c r="N29" s="39"/>
      <c r="O29" s="72">
        <f t="shared" si="16"/>
        <v>762479823.03360319</v>
      </c>
      <c r="P29" s="41" t="str">
        <f t="shared" si="1"/>
        <v>-</v>
      </c>
      <c r="Q29" s="39"/>
      <c r="R29" s="72">
        <f t="shared" si="17"/>
        <v>2763217130.7962022</v>
      </c>
      <c r="S29" s="39"/>
      <c r="T29" s="72">
        <f t="shared" si="18"/>
        <v>2763217000</v>
      </c>
      <c r="U29" s="39"/>
      <c r="V29" s="72">
        <f t="shared" si="2"/>
        <v>762479823.03360319</v>
      </c>
      <c r="W29" s="72">
        <f t="shared" si="19"/>
        <v>489406784.06305319</v>
      </c>
      <c r="X29" s="39"/>
      <c r="Y29" s="72">
        <f t="shared" si="3"/>
        <v>38685000</v>
      </c>
      <c r="Z29" s="72">
        <f t="shared" si="20"/>
        <v>24830429.435042024</v>
      </c>
      <c r="AA29" s="39"/>
      <c r="AB29" s="72">
        <f t="shared" si="4"/>
        <v>0</v>
      </c>
      <c r="AC29" s="72">
        <f t="shared" si="21"/>
        <v>0</v>
      </c>
      <c r="AD29" s="39"/>
      <c r="AE29" s="72">
        <f t="shared" si="5"/>
        <v>0</v>
      </c>
      <c r="AF29" s="72">
        <f t="shared" si="22"/>
        <v>0</v>
      </c>
      <c r="AG29" s="39"/>
      <c r="AH29" s="72">
        <f t="shared" si="6"/>
        <v>990000000</v>
      </c>
      <c r="AI29" s="72">
        <f t="shared" si="23"/>
        <v>635443327.92275047</v>
      </c>
      <c r="AJ29" s="39"/>
      <c r="AK29" s="72">
        <f t="shared" si="7"/>
        <v>0</v>
      </c>
      <c r="AL29" s="72">
        <f t="shared" si="24"/>
        <v>0</v>
      </c>
      <c r="AM29" s="39"/>
      <c r="AN29" s="72">
        <f t="shared" si="8"/>
        <v>0</v>
      </c>
      <c r="AO29" s="72">
        <f t="shared" si="25"/>
        <v>0</v>
      </c>
      <c r="AP29" s="39"/>
      <c r="AQ29" s="72">
        <f t="shared" si="9"/>
        <v>0</v>
      </c>
      <c r="AR29" s="72">
        <f t="shared" si="26"/>
        <v>0</v>
      </c>
      <c r="AS29" s="39"/>
      <c r="AT29" s="40">
        <f>IF($K29&lt;=$F$15,IF($F$40&lt;&gt;"",$F$40/1000,IF(ISERROR(VLOOKUP($F$3&amp;IF($G$4&lt;&gt;"",$G$4,"")&amp;IF($F$43&lt;&gt;"","_"&amp;$F$43,""),'表3）燃料価格'!$AF$9:$AG$25,2,0)),0,VLOOKUP($I29,'表3）燃料価格'!$A$6:$U$66,VLOOKUP($F$3&amp;IF($G$4&lt;&gt;"",$G$4,"")&amp;IF($F$43&lt;&gt;"","_"&amp;$F$43,""),'表3）燃料価格'!$AF$9:$AG$25,2,0)+VLOOKUP($F$41,'表3）燃料価格'!$AF$28:$AG$29,2,0),0)*IF($F$43="需要地価格",1,$F$8/$F$141))),"")</f>
        <v>0</v>
      </c>
      <c r="AU29" s="39"/>
      <c r="AV29" s="72">
        <f t="shared" si="10"/>
        <v>0</v>
      </c>
      <c r="AW29" s="72">
        <f t="shared" si="27"/>
        <v>0</v>
      </c>
      <c r="AX29" s="39"/>
      <c r="AY29" s="40">
        <f>IF(ISERROR(IF($K29&lt;=$F$15,VLOOKUP($I29,'表4）CO2価格'!$A$7:$E$67,VLOOKUP($F$48,'表4）CO2価格'!$H$10:$I$12,2,0),0)*$F$8/1000,"")),0,IF($K29&lt;=$F$15,VLOOKUP($I29,'表4）CO2価格'!$A$7:$E$67,VLOOKUP($F$48,'表4）CO2価格'!$H$10:$I$12,2,0),0)*$F$8/1000,""))</f>
        <v>0</v>
      </c>
      <c r="AZ29" s="39"/>
      <c r="BA29" s="42">
        <f t="shared" si="11"/>
        <v>0</v>
      </c>
      <c r="BB29" s="72">
        <f t="shared" si="28"/>
        <v>0</v>
      </c>
      <c r="BC29" s="39"/>
      <c r="BD29" s="72">
        <f t="shared" si="12"/>
        <v>0</v>
      </c>
      <c r="BE29" s="72">
        <f t="shared" si="29"/>
        <v>0</v>
      </c>
      <c r="BF29" s="39"/>
      <c r="BG29" s="42">
        <f t="shared" si="13"/>
        <v>0</v>
      </c>
      <c r="BH29" s="72">
        <f t="shared" si="30"/>
        <v>0</v>
      </c>
      <c r="BI29" s="39"/>
      <c r="BJ29" s="40">
        <f t="shared" si="31"/>
        <v>0.15989075297511918</v>
      </c>
      <c r="BK29" s="157">
        <f t="shared" si="32"/>
        <v>164477219.22421047</v>
      </c>
      <c r="BL29" s="157">
        <f t="shared" si="14"/>
        <v>31039649.435730956</v>
      </c>
      <c r="BM29" s="72"/>
      <c r="BN29" s="72">
        <f t="shared" si="33"/>
        <v>4868862800.1687965</v>
      </c>
      <c r="BO29" s="72">
        <f t="shared" si="34"/>
        <v>3125137758.5237794</v>
      </c>
      <c r="BP29" s="39"/>
      <c r="BQ29" s="72">
        <f t="shared" si="15"/>
        <v>194130360</v>
      </c>
      <c r="BR29" s="72">
        <f t="shared" si="35"/>
        <v>124604890.91842586</v>
      </c>
    </row>
    <row r="30" spans="3:70" x14ac:dyDescent="0.15">
      <c r="H30" s="71"/>
      <c r="I30" s="322">
        <f t="shared" si="36"/>
        <v>2045</v>
      </c>
      <c r="J30" s="71"/>
      <c r="K30" s="71">
        <f t="shared" si="37"/>
        <v>16</v>
      </c>
      <c r="L30" s="71"/>
      <c r="M30" s="7">
        <f t="shared" si="0"/>
        <v>0.62316693922011435</v>
      </c>
      <c r="N30" s="71"/>
      <c r="O30" s="10">
        <f t="shared" si="16"/>
        <v>0</v>
      </c>
      <c r="P30" s="29" t="str">
        <f t="shared" si="1"/>
        <v>-</v>
      </c>
      <c r="Q30" s="71"/>
      <c r="R30" s="10">
        <f t="shared" si="17"/>
        <v>2370000000.000001</v>
      </c>
      <c r="S30" s="71"/>
      <c r="T30" s="10">
        <f t="shared" si="18"/>
        <v>2370000000</v>
      </c>
      <c r="U30" s="71"/>
      <c r="V30" s="10">
        <f t="shared" si="2"/>
        <v>0</v>
      </c>
      <c r="W30" s="10">
        <f t="shared" si="19"/>
        <v>0</v>
      </c>
      <c r="X30" s="71"/>
      <c r="Y30" s="10">
        <f t="shared" si="3"/>
        <v>33180000</v>
      </c>
      <c r="Z30" s="10">
        <f t="shared" si="20"/>
        <v>20676679.043323394</v>
      </c>
      <c r="AA30" s="71"/>
      <c r="AB30" s="10">
        <f t="shared" si="4"/>
        <v>0</v>
      </c>
      <c r="AC30" s="10">
        <f t="shared" si="21"/>
        <v>0</v>
      </c>
      <c r="AD30" s="71"/>
      <c r="AE30" s="10">
        <f t="shared" si="5"/>
        <v>0</v>
      </c>
      <c r="AF30" s="10">
        <f t="shared" si="22"/>
        <v>0</v>
      </c>
      <c r="AG30" s="71"/>
      <c r="AH30" s="10">
        <f t="shared" si="6"/>
        <v>990000000</v>
      </c>
      <c r="AI30" s="10">
        <f t="shared" si="23"/>
        <v>616935269.82791317</v>
      </c>
      <c r="AJ30" s="71"/>
      <c r="AK30" s="10">
        <f t="shared" si="7"/>
        <v>0</v>
      </c>
      <c r="AL30" s="10">
        <f t="shared" si="24"/>
        <v>0</v>
      </c>
      <c r="AM30" s="71"/>
      <c r="AN30" s="10">
        <f t="shared" si="8"/>
        <v>0</v>
      </c>
      <c r="AO30" s="10">
        <f t="shared" si="25"/>
        <v>0</v>
      </c>
      <c r="AP30" s="71"/>
      <c r="AQ30" s="10">
        <f t="shared" si="9"/>
        <v>0</v>
      </c>
      <c r="AR30" s="10">
        <f t="shared" si="26"/>
        <v>0</v>
      </c>
      <c r="AS30" s="71"/>
      <c r="AT30" s="7">
        <f>IF($K30&lt;=$F$15,IF($F$40&lt;&gt;"",$F$40/1000,IF(ISERROR(VLOOKUP($F$3&amp;IF($G$4&lt;&gt;"",$G$4,"")&amp;IF($F$43&lt;&gt;"","_"&amp;$F$43,""),'表3）燃料価格'!$AF$9:$AG$25,2,0)),0,VLOOKUP($I30,'表3）燃料価格'!$A$6:$U$66,VLOOKUP($F$3&amp;IF($G$4&lt;&gt;"",$G$4,"")&amp;IF($F$43&lt;&gt;"","_"&amp;$F$43,""),'表3）燃料価格'!$AF$9:$AG$25,2,0)+VLOOKUP($F$41,'表3）燃料価格'!$AF$28:$AG$29,2,0),0)*IF($F$43="需要地価格",1,$F$8/$F$141))),"")</f>
        <v>0</v>
      </c>
      <c r="AU30" s="71"/>
      <c r="AV30" s="10">
        <f t="shared" si="10"/>
        <v>0</v>
      </c>
      <c r="AW30" s="10">
        <f t="shared" si="27"/>
        <v>0</v>
      </c>
      <c r="AX30" s="71"/>
      <c r="AY30" s="7">
        <f>IF(ISERROR(IF($K30&lt;=$F$15,VLOOKUP($I30,'表4）CO2価格'!$A$7:$E$67,VLOOKUP($F$48,'表4）CO2価格'!$H$10:$I$12,2,0),0)*$F$8/1000,"")),0,IF($K30&lt;=$F$15,VLOOKUP($I30,'表4）CO2価格'!$A$7:$E$67,VLOOKUP($F$48,'表4）CO2価格'!$H$10:$I$12,2,0),0)*$F$8/1000,""))</f>
        <v>0</v>
      </c>
      <c r="AZ30" s="71"/>
      <c r="BA30" s="11">
        <f t="shared" si="11"/>
        <v>0</v>
      </c>
      <c r="BB30" s="10">
        <f t="shared" si="28"/>
        <v>0</v>
      </c>
      <c r="BC30" s="71"/>
      <c r="BD30" s="10">
        <f t="shared" si="12"/>
        <v>0</v>
      </c>
      <c r="BE30" s="10">
        <f t="shared" si="29"/>
        <v>0</v>
      </c>
      <c r="BF30" s="71"/>
      <c r="BG30" s="11">
        <f t="shared" si="13"/>
        <v>0</v>
      </c>
      <c r="BH30" s="10">
        <f t="shared" si="30"/>
        <v>0</v>
      </c>
      <c r="BJ30" s="7">
        <f t="shared" si="31"/>
        <v>0.14149624157090193</v>
      </c>
      <c r="BK30" s="158">
        <f t="shared" si="32"/>
        <v>167673046.26151878</v>
      </c>
      <c r="BL30" s="158" t="str">
        <f t="shared" si="14"/>
        <v/>
      </c>
      <c r="BM30" s="10"/>
      <c r="BN30" s="10" t="str">
        <f t="shared" si="33"/>
        <v/>
      </c>
      <c r="BO30" s="10" t="str">
        <f t="shared" si="34"/>
        <v/>
      </c>
      <c r="BQ30" s="10">
        <f t="shared" si="15"/>
        <v>194130360</v>
      </c>
      <c r="BR30" s="10">
        <f t="shared" si="35"/>
        <v>120975622.25089891</v>
      </c>
    </row>
    <row r="31" spans="3:70" x14ac:dyDescent="0.15">
      <c r="C31" s="4" t="s">
        <v>568</v>
      </c>
      <c r="D31" s="100"/>
      <c r="E31" s="100"/>
      <c r="F31" s="4"/>
      <c r="G31" s="100"/>
      <c r="H31" s="71"/>
      <c r="I31" s="38">
        <f t="shared" si="36"/>
        <v>2046</v>
      </c>
      <c r="J31" s="39"/>
      <c r="K31" s="39">
        <f t="shared" si="37"/>
        <v>17</v>
      </c>
      <c r="L31" s="39"/>
      <c r="M31" s="40">
        <f t="shared" si="0"/>
        <v>0.60501644584477121</v>
      </c>
      <c r="N31" s="39"/>
      <c r="O31" s="72">
        <f t="shared" si="16"/>
        <v>0</v>
      </c>
      <c r="P31" s="41" t="str">
        <f t="shared" si="1"/>
        <v>-</v>
      </c>
      <c r="Q31" s="39"/>
      <c r="R31" s="72">
        <f t="shared" si="17"/>
        <v>2032739279.6604199</v>
      </c>
      <c r="S31" s="39"/>
      <c r="T31" s="72">
        <f t="shared" si="18"/>
        <v>2032739000</v>
      </c>
      <c r="U31" s="39"/>
      <c r="V31" s="72">
        <f t="shared" si="2"/>
        <v>0</v>
      </c>
      <c r="W31" s="72">
        <f t="shared" si="19"/>
        <v>0</v>
      </c>
      <c r="X31" s="39"/>
      <c r="Y31" s="72">
        <f t="shared" si="3"/>
        <v>28458300</v>
      </c>
      <c r="Z31" s="72">
        <f t="shared" si="20"/>
        <v>17217739.520784251</v>
      </c>
      <c r="AA31" s="39"/>
      <c r="AB31" s="72">
        <f t="shared" si="4"/>
        <v>0</v>
      </c>
      <c r="AC31" s="72">
        <f t="shared" si="21"/>
        <v>0</v>
      </c>
      <c r="AD31" s="39"/>
      <c r="AE31" s="72">
        <f t="shared" si="5"/>
        <v>0</v>
      </c>
      <c r="AF31" s="72">
        <f t="shared" si="22"/>
        <v>0</v>
      </c>
      <c r="AG31" s="39"/>
      <c r="AH31" s="72">
        <f t="shared" si="6"/>
        <v>990000000</v>
      </c>
      <c r="AI31" s="72">
        <f t="shared" si="23"/>
        <v>598966281.38632345</v>
      </c>
      <c r="AJ31" s="39"/>
      <c r="AK31" s="72">
        <f t="shared" si="7"/>
        <v>0</v>
      </c>
      <c r="AL31" s="72">
        <f t="shared" si="24"/>
        <v>0</v>
      </c>
      <c r="AM31" s="39"/>
      <c r="AN31" s="72">
        <f t="shared" si="8"/>
        <v>0</v>
      </c>
      <c r="AO31" s="72">
        <f t="shared" si="25"/>
        <v>0</v>
      </c>
      <c r="AP31" s="39"/>
      <c r="AQ31" s="72">
        <f t="shared" si="9"/>
        <v>0</v>
      </c>
      <c r="AR31" s="72">
        <f t="shared" si="26"/>
        <v>0</v>
      </c>
      <c r="AS31" s="39"/>
      <c r="AT31" s="40">
        <f>IF($K31&lt;=$F$15,IF($F$40&lt;&gt;"",$F$40/1000,IF(ISERROR(VLOOKUP($F$3&amp;IF($G$4&lt;&gt;"",$G$4,"")&amp;IF($F$43&lt;&gt;"","_"&amp;$F$43,""),'表3）燃料価格'!$AF$9:$AG$25,2,0)),0,VLOOKUP($I31,'表3）燃料価格'!$A$6:$U$66,VLOOKUP($F$3&amp;IF($G$4&lt;&gt;"",$G$4,"")&amp;IF($F$43&lt;&gt;"","_"&amp;$F$43,""),'表3）燃料価格'!$AF$9:$AG$25,2,0)+VLOOKUP($F$41,'表3）燃料価格'!$AF$28:$AG$29,2,0),0)*IF($F$43="需要地価格",1,$F$8/$F$141))),"")</f>
        <v>0</v>
      </c>
      <c r="AU31" s="39"/>
      <c r="AV31" s="72">
        <f t="shared" si="10"/>
        <v>0</v>
      </c>
      <c r="AW31" s="72">
        <f t="shared" si="27"/>
        <v>0</v>
      </c>
      <c r="AX31" s="39"/>
      <c r="AY31" s="40">
        <f>IF(ISERROR(IF($K31&lt;=$F$15,VLOOKUP($I31,'表4）CO2価格'!$A$7:$E$67,VLOOKUP($F$48,'表4）CO2価格'!$H$10:$I$12,2,0),0)*$F$8/1000,"")),0,IF($K31&lt;=$F$15,VLOOKUP($I31,'表4）CO2価格'!$A$7:$E$67,VLOOKUP($F$48,'表4）CO2価格'!$H$10:$I$12,2,0),0)*$F$8/1000,""))</f>
        <v>0</v>
      </c>
      <c r="AZ31" s="39"/>
      <c r="BA31" s="42">
        <f t="shared" si="11"/>
        <v>0</v>
      </c>
      <c r="BB31" s="72">
        <f t="shared" si="28"/>
        <v>0</v>
      </c>
      <c r="BC31" s="39"/>
      <c r="BD31" s="72">
        <f t="shared" si="12"/>
        <v>0</v>
      </c>
      <c r="BE31" s="72">
        <f t="shared" si="29"/>
        <v>0</v>
      </c>
      <c r="BF31" s="39"/>
      <c r="BG31" s="42">
        <f t="shared" si="13"/>
        <v>0</v>
      </c>
      <c r="BH31" s="72">
        <f t="shared" si="30"/>
        <v>0</v>
      </c>
      <c r="BI31" s="39"/>
      <c r="BJ31" s="40" t="str">
        <f t="shared" si="31"/>
        <v/>
      </c>
      <c r="BK31" s="157" t="str">
        <f t="shared" si="32"/>
        <v/>
      </c>
      <c r="BL31" s="157" t="str">
        <f t="shared" si="14"/>
        <v/>
      </c>
      <c r="BM31" s="72"/>
      <c r="BN31" s="72" t="str">
        <f t="shared" si="33"/>
        <v/>
      </c>
      <c r="BO31" s="72" t="str">
        <f t="shared" si="34"/>
        <v/>
      </c>
      <c r="BP31" s="39"/>
      <c r="BQ31" s="72">
        <f t="shared" si="15"/>
        <v>194130360</v>
      </c>
      <c r="BR31" s="72">
        <f t="shared" si="35"/>
        <v>117452060.43776594</v>
      </c>
    </row>
    <row r="32" spans="3:70" x14ac:dyDescent="0.15">
      <c r="H32" s="71"/>
      <c r="I32" s="322">
        <f t="shared" si="36"/>
        <v>2047</v>
      </c>
      <c r="J32" s="71"/>
      <c r="K32" s="71">
        <f t="shared" si="37"/>
        <v>18</v>
      </c>
      <c r="L32" s="71"/>
      <c r="M32" s="7">
        <f t="shared" si="0"/>
        <v>0.5873946076162827</v>
      </c>
      <c r="N32" s="71"/>
      <c r="O32" s="10">
        <f t="shared" si="16"/>
        <v>0</v>
      </c>
      <c r="P32" s="29" t="str">
        <f t="shared" si="1"/>
        <v>-</v>
      </c>
      <c r="Q32" s="71"/>
      <c r="R32" s="10">
        <f t="shared" si="17"/>
        <v>1743472143.0693507</v>
      </c>
      <c r="S32" s="71"/>
      <c r="T32" s="10">
        <f t="shared" si="18"/>
        <v>1743472000</v>
      </c>
      <c r="U32" s="71"/>
      <c r="V32" s="10">
        <f t="shared" si="2"/>
        <v>0</v>
      </c>
      <c r="W32" s="10">
        <f t="shared" si="19"/>
        <v>0</v>
      </c>
      <c r="X32" s="71"/>
      <c r="Y32" s="10">
        <f t="shared" si="3"/>
        <v>24408600</v>
      </c>
      <c r="Z32" s="10">
        <f t="shared" si="20"/>
        <v>14337480.019462798</v>
      </c>
      <c r="AA32" s="71"/>
      <c r="AB32" s="10">
        <f t="shared" si="4"/>
        <v>0</v>
      </c>
      <c r="AC32" s="10">
        <f t="shared" si="21"/>
        <v>0</v>
      </c>
      <c r="AD32" s="71"/>
      <c r="AE32" s="10">
        <f t="shared" si="5"/>
        <v>0</v>
      </c>
      <c r="AF32" s="10">
        <f t="shared" si="22"/>
        <v>0</v>
      </c>
      <c r="AG32" s="71"/>
      <c r="AH32" s="10">
        <f t="shared" si="6"/>
        <v>990000000</v>
      </c>
      <c r="AI32" s="10">
        <f t="shared" si="23"/>
        <v>581520661.54011989</v>
      </c>
      <c r="AJ32" s="71"/>
      <c r="AK32" s="10">
        <f t="shared" si="7"/>
        <v>0</v>
      </c>
      <c r="AL32" s="10">
        <f t="shared" si="24"/>
        <v>0</v>
      </c>
      <c r="AM32" s="71"/>
      <c r="AN32" s="10">
        <f t="shared" si="8"/>
        <v>0</v>
      </c>
      <c r="AO32" s="10">
        <f t="shared" si="25"/>
        <v>0</v>
      </c>
      <c r="AP32" s="71"/>
      <c r="AQ32" s="10">
        <f t="shared" si="9"/>
        <v>0</v>
      </c>
      <c r="AR32" s="10">
        <f t="shared" si="26"/>
        <v>0</v>
      </c>
      <c r="AS32" s="71"/>
      <c r="AT32" s="7">
        <f>IF($K32&lt;=$F$15,IF($F$40&lt;&gt;"",$F$40/1000,IF(ISERROR(VLOOKUP($F$3&amp;IF($G$4&lt;&gt;"",$G$4,"")&amp;IF($F$43&lt;&gt;"","_"&amp;$F$43,""),'表3）燃料価格'!$AF$9:$AG$25,2,0)),0,VLOOKUP($I32,'表3）燃料価格'!$A$6:$U$66,VLOOKUP($F$3&amp;IF($G$4&lt;&gt;"",$G$4,"")&amp;IF($F$43&lt;&gt;"","_"&amp;$F$43,""),'表3）燃料価格'!$AF$9:$AG$25,2,0)+VLOOKUP($F$41,'表3）燃料価格'!$AF$28:$AG$29,2,0),0)*IF($F$43="需要地価格",1,$F$8/$F$141))),"")</f>
        <v>0</v>
      </c>
      <c r="AU32" s="71"/>
      <c r="AV32" s="10">
        <f t="shared" si="10"/>
        <v>0</v>
      </c>
      <c r="AW32" s="10">
        <f t="shared" si="27"/>
        <v>0</v>
      </c>
      <c r="AX32" s="71"/>
      <c r="AY32" s="7">
        <f>IF(ISERROR(IF($K32&lt;=$F$15,VLOOKUP($I32,'表4）CO2価格'!$A$7:$E$67,VLOOKUP($F$48,'表4）CO2価格'!$H$10:$I$12,2,0),0)*$F$8/1000,"")),0,IF($K32&lt;=$F$15,VLOOKUP($I32,'表4）CO2価格'!$A$7:$E$67,VLOOKUP($F$48,'表4）CO2価格'!$H$10:$I$12,2,0),0)*$F$8/1000,""))</f>
        <v>0</v>
      </c>
      <c r="AZ32" s="71"/>
      <c r="BA32" s="11">
        <f t="shared" si="11"/>
        <v>0</v>
      </c>
      <c r="BB32" s="10">
        <f t="shared" si="28"/>
        <v>0</v>
      </c>
      <c r="BC32" s="71"/>
      <c r="BD32" s="10">
        <f t="shared" si="12"/>
        <v>0</v>
      </c>
      <c r="BE32" s="10">
        <f t="shared" si="29"/>
        <v>0</v>
      </c>
      <c r="BF32" s="71"/>
      <c r="BG32" s="11">
        <f t="shared" si="13"/>
        <v>0</v>
      </c>
      <c r="BH32" s="10">
        <f t="shared" si="30"/>
        <v>0</v>
      </c>
      <c r="BJ32" s="7" t="str">
        <f t="shared" si="31"/>
        <v/>
      </c>
      <c r="BK32" s="158" t="str">
        <f t="shared" si="32"/>
        <v/>
      </c>
      <c r="BL32" s="158" t="str">
        <f t="shared" si="14"/>
        <v/>
      </c>
      <c r="BM32" s="10"/>
      <c r="BN32" s="10" t="str">
        <f t="shared" si="33"/>
        <v/>
      </c>
      <c r="BO32" s="10" t="str">
        <f t="shared" si="34"/>
        <v/>
      </c>
      <c r="BQ32" s="10">
        <f t="shared" si="15"/>
        <v>194130360</v>
      </c>
      <c r="BR32" s="10">
        <f t="shared" si="35"/>
        <v>114031126.63860771</v>
      </c>
    </row>
    <row r="33" spans="3:70" x14ac:dyDescent="0.15">
      <c r="D33" s="160" t="s">
        <v>232</v>
      </c>
      <c r="F33" s="475">
        <v>3.3</v>
      </c>
      <c r="G33" s="84" t="s">
        <v>569</v>
      </c>
      <c r="H33" s="71"/>
      <c r="I33" s="38">
        <f t="shared" si="36"/>
        <v>2048</v>
      </c>
      <c r="J33" s="39"/>
      <c r="K33" s="39">
        <f t="shared" si="37"/>
        <v>19</v>
      </c>
      <c r="L33" s="39"/>
      <c r="M33" s="40">
        <f t="shared" si="0"/>
        <v>0.57028602681192497</v>
      </c>
      <c r="N33" s="39"/>
      <c r="O33" s="72">
        <f t="shared" si="16"/>
        <v>0</v>
      </c>
      <c r="P33" s="41" t="str">
        <f t="shared" si="1"/>
        <v>-</v>
      </c>
      <c r="Q33" s="39"/>
      <c r="R33" s="72">
        <f t="shared" si="17"/>
        <v>1495368906.4180586</v>
      </c>
      <c r="S33" s="39"/>
      <c r="T33" s="72">
        <f t="shared" si="18"/>
        <v>1495368000</v>
      </c>
      <c r="U33" s="39"/>
      <c r="V33" s="72">
        <f t="shared" si="2"/>
        <v>0</v>
      </c>
      <c r="W33" s="72">
        <f t="shared" si="19"/>
        <v>0</v>
      </c>
      <c r="X33" s="39"/>
      <c r="Y33" s="72">
        <f t="shared" si="3"/>
        <v>20935100</v>
      </c>
      <c r="Z33" s="72">
        <f t="shared" si="20"/>
        <v>11938994.99991033</v>
      </c>
      <c r="AA33" s="39"/>
      <c r="AB33" s="72">
        <f t="shared" si="4"/>
        <v>0</v>
      </c>
      <c r="AC33" s="72">
        <f t="shared" si="21"/>
        <v>0</v>
      </c>
      <c r="AD33" s="39"/>
      <c r="AE33" s="72">
        <f t="shared" si="5"/>
        <v>0</v>
      </c>
      <c r="AF33" s="72">
        <f t="shared" si="22"/>
        <v>0</v>
      </c>
      <c r="AG33" s="39"/>
      <c r="AH33" s="72">
        <f t="shared" si="6"/>
        <v>990000000</v>
      </c>
      <c r="AI33" s="72">
        <f t="shared" si="23"/>
        <v>564583166.54380572</v>
      </c>
      <c r="AJ33" s="39"/>
      <c r="AK33" s="72">
        <f t="shared" si="7"/>
        <v>0</v>
      </c>
      <c r="AL33" s="72">
        <f t="shared" si="24"/>
        <v>0</v>
      </c>
      <c r="AM33" s="39"/>
      <c r="AN33" s="72">
        <f t="shared" si="8"/>
        <v>0</v>
      </c>
      <c r="AO33" s="72">
        <f t="shared" si="25"/>
        <v>0</v>
      </c>
      <c r="AP33" s="39"/>
      <c r="AQ33" s="72">
        <f t="shared" si="9"/>
        <v>0</v>
      </c>
      <c r="AR33" s="72">
        <f t="shared" si="26"/>
        <v>0</v>
      </c>
      <c r="AS33" s="39"/>
      <c r="AT33" s="40">
        <f>IF($K33&lt;=$F$15,IF($F$40&lt;&gt;"",$F$40/1000,IF(ISERROR(VLOOKUP($F$3&amp;IF($G$4&lt;&gt;"",$G$4,"")&amp;IF($F$43&lt;&gt;"","_"&amp;$F$43,""),'表3）燃料価格'!$AF$9:$AG$25,2,0)),0,VLOOKUP($I33,'表3）燃料価格'!$A$6:$U$66,VLOOKUP($F$3&amp;IF($G$4&lt;&gt;"",$G$4,"")&amp;IF($F$43&lt;&gt;"","_"&amp;$F$43,""),'表3）燃料価格'!$AF$9:$AG$25,2,0)+VLOOKUP($F$41,'表3）燃料価格'!$AF$28:$AG$29,2,0),0)*IF($F$43="需要地価格",1,$F$8/$F$141))),"")</f>
        <v>0</v>
      </c>
      <c r="AU33" s="39"/>
      <c r="AV33" s="72">
        <f t="shared" si="10"/>
        <v>0</v>
      </c>
      <c r="AW33" s="72">
        <f t="shared" si="27"/>
        <v>0</v>
      </c>
      <c r="AX33" s="39"/>
      <c r="AY33" s="40">
        <f>IF(ISERROR(IF($K33&lt;=$F$15,VLOOKUP($I33,'表4）CO2価格'!$A$7:$E$67,VLOOKUP($F$48,'表4）CO2価格'!$H$10:$I$12,2,0),0)*$F$8/1000,"")),0,IF($K33&lt;=$F$15,VLOOKUP($I33,'表4）CO2価格'!$A$7:$E$67,VLOOKUP($F$48,'表4）CO2価格'!$H$10:$I$12,2,0),0)*$F$8/1000,""))</f>
        <v>0</v>
      </c>
      <c r="AZ33" s="39"/>
      <c r="BA33" s="42">
        <f t="shared" si="11"/>
        <v>0</v>
      </c>
      <c r="BB33" s="72">
        <f t="shared" si="28"/>
        <v>0</v>
      </c>
      <c r="BC33" s="39"/>
      <c r="BD33" s="72">
        <f t="shared" si="12"/>
        <v>0</v>
      </c>
      <c r="BE33" s="72">
        <f t="shared" si="29"/>
        <v>0</v>
      </c>
      <c r="BF33" s="39"/>
      <c r="BG33" s="42">
        <f t="shared" si="13"/>
        <v>0</v>
      </c>
      <c r="BH33" s="72">
        <f t="shared" si="30"/>
        <v>0</v>
      </c>
      <c r="BI33" s="39"/>
      <c r="BJ33" s="40" t="str">
        <f t="shared" si="31"/>
        <v/>
      </c>
      <c r="BK33" s="157" t="str">
        <f t="shared" si="32"/>
        <v/>
      </c>
      <c r="BL33" s="157" t="str">
        <f t="shared" si="14"/>
        <v/>
      </c>
      <c r="BM33" s="72"/>
      <c r="BN33" s="72" t="str">
        <f t="shared" si="33"/>
        <v/>
      </c>
      <c r="BO33" s="72" t="str">
        <f t="shared" si="34"/>
        <v/>
      </c>
      <c r="BP33" s="39"/>
      <c r="BQ33" s="72">
        <f t="shared" si="15"/>
        <v>194130360</v>
      </c>
      <c r="BR33" s="72">
        <f t="shared" si="35"/>
        <v>110709831.68796864</v>
      </c>
    </row>
    <row r="34" spans="3:70" x14ac:dyDescent="0.15">
      <c r="D34" s="160"/>
      <c r="F34" s="475"/>
      <c r="H34" s="71"/>
      <c r="I34" s="322">
        <f t="shared" si="36"/>
        <v>2049</v>
      </c>
      <c r="J34" s="71"/>
      <c r="K34" s="71">
        <f t="shared" si="37"/>
        <v>20</v>
      </c>
      <c r="L34" s="71"/>
      <c r="M34" s="7">
        <f t="shared" si="0"/>
        <v>0.55367575418633497</v>
      </c>
      <c r="N34" s="71"/>
      <c r="O34" s="10">
        <f t="shared" si="16"/>
        <v>0</v>
      </c>
      <c r="P34" s="29" t="str">
        <f t="shared" si="1"/>
        <v>-</v>
      </c>
      <c r="Q34" s="71"/>
      <c r="R34" s="10">
        <f t="shared" si="17"/>
        <v>1282571777.9151194</v>
      </c>
      <c r="S34" s="71"/>
      <c r="T34" s="10">
        <f t="shared" si="18"/>
        <v>1282571000</v>
      </c>
      <c r="U34" s="71"/>
      <c r="V34" s="10">
        <f t="shared" si="2"/>
        <v>0</v>
      </c>
      <c r="W34" s="10">
        <f t="shared" si="19"/>
        <v>0</v>
      </c>
      <c r="X34" s="71"/>
      <c r="Y34" s="10">
        <f t="shared" si="3"/>
        <v>17955900</v>
      </c>
      <c r="Z34" s="10">
        <f t="shared" si="20"/>
        <v>9941746.4745944124</v>
      </c>
      <c r="AA34" s="71"/>
      <c r="AB34" s="10">
        <f t="shared" si="4"/>
        <v>0</v>
      </c>
      <c r="AC34" s="10">
        <f t="shared" si="21"/>
        <v>0</v>
      </c>
      <c r="AD34" s="71"/>
      <c r="AE34" s="10">
        <f t="shared" si="5"/>
        <v>0</v>
      </c>
      <c r="AF34" s="10">
        <f t="shared" si="22"/>
        <v>0</v>
      </c>
      <c r="AG34" s="71"/>
      <c r="AH34" s="10">
        <f t="shared" si="6"/>
        <v>990000000</v>
      </c>
      <c r="AI34" s="10">
        <f t="shared" si="23"/>
        <v>548138996.64447165</v>
      </c>
      <c r="AJ34" s="71"/>
      <c r="AK34" s="10">
        <f t="shared" si="7"/>
        <v>0</v>
      </c>
      <c r="AL34" s="10">
        <f t="shared" si="24"/>
        <v>0</v>
      </c>
      <c r="AM34" s="71"/>
      <c r="AN34" s="10">
        <f t="shared" si="8"/>
        <v>0</v>
      </c>
      <c r="AO34" s="10">
        <f t="shared" si="25"/>
        <v>0</v>
      </c>
      <c r="AP34" s="71"/>
      <c r="AQ34" s="10">
        <f t="shared" si="9"/>
        <v>0</v>
      </c>
      <c r="AR34" s="10">
        <f t="shared" si="26"/>
        <v>0</v>
      </c>
      <c r="AS34" s="71"/>
      <c r="AT34" s="7">
        <f>IF($K34&lt;=$F$15,IF($F$40&lt;&gt;"",$F$40/1000,IF(ISERROR(VLOOKUP($F$3&amp;IF($G$4&lt;&gt;"",$G$4,"")&amp;IF($F$43&lt;&gt;"","_"&amp;$F$43,""),'表3）燃料価格'!$AF$9:$AG$25,2,0)),0,VLOOKUP($I34,'表3）燃料価格'!$A$6:$U$66,VLOOKUP($F$3&amp;IF($G$4&lt;&gt;"",$G$4,"")&amp;IF($F$43&lt;&gt;"","_"&amp;$F$43,""),'表3）燃料価格'!$AF$9:$AG$25,2,0)+VLOOKUP($F$41,'表3）燃料価格'!$AF$28:$AG$29,2,0),0)*IF($F$43="需要地価格",1,$F$8/$F$141))),"")</f>
        <v>0</v>
      </c>
      <c r="AU34" s="71"/>
      <c r="AV34" s="10">
        <f t="shared" si="10"/>
        <v>0</v>
      </c>
      <c r="AW34" s="10">
        <f t="shared" si="27"/>
        <v>0</v>
      </c>
      <c r="AX34" s="71"/>
      <c r="AY34" s="7">
        <f>IF(ISERROR(IF($K34&lt;=$F$15,VLOOKUP($I34,'表4）CO2価格'!$A$7:$E$67,VLOOKUP($F$48,'表4）CO2価格'!$H$10:$I$12,2,0),0)*$F$8/1000,"")),0,IF($K34&lt;=$F$15,VLOOKUP($I34,'表4）CO2価格'!$A$7:$E$67,VLOOKUP($F$48,'表4）CO2価格'!$H$10:$I$12,2,0),0)*$F$8/1000,""))</f>
        <v>0</v>
      </c>
      <c r="AZ34" s="71"/>
      <c r="BA34" s="11">
        <f t="shared" si="11"/>
        <v>0</v>
      </c>
      <c r="BB34" s="10">
        <f t="shared" si="28"/>
        <v>0</v>
      </c>
      <c r="BC34" s="71"/>
      <c r="BD34" s="10">
        <f t="shared" si="12"/>
        <v>0</v>
      </c>
      <c r="BE34" s="10">
        <f t="shared" si="29"/>
        <v>0</v>
      </c>
      <c r="BF34" s="71"/>
      <c r="BG34" s="11">
        <f t="shared" si="13"/>
        <v>0</v>
      </c>
      <c r="BH34" s="10">
        <f t="shared" si="30"/>
        <v>0</v>
      </c>
      <c r="BJ34" s="7" t="str">
        <f t="shared" si="31"/>
        <v/>
      </c>
      <c r="BK34" s="158" t="str">
        <f t="shared" si="32"/>
        <v/>
      </c>
      <c r="BL34" s="158" t="str">
        <f t="shared" si="14"/>
        <v/>
      </c>
      <c r="BM34" s="10"/>
      <c r="BN34" s="10" t="str">
        <f t="shared" si="33"/>
        <v/>
      </c>
      <c r="BO34" s="10" t="str">
        <f t="shared" si="34"/>
        <v/>
      </c>
      <c r="BQ34" s="10">
        <f t="shared" si="15"/>
        <v>194130360</v>
      </c>
      <c r="BR34" s="10">
        <f t="shared" si="35"/>
        <v>107485273.48346472</v>
      </c>
    </row>
    <row r="35" spans="3:70" x14ac:dyDescent="0.15">
      <c r="D35" s="160"/>
      <c r="F35" s="475"/>
      <c r="H35" s="71"/>
      <c r="I35" s="38">
        <f t="shared" si="36"/>
        <v>2050</v>
      </c>
      <c r="J35" s="39"/>
      <c r="K35" s="39">
        <f t="shared" si="37"/>
        <v>21</v>
      </c>
      <c r="L35" s="39"/>
      <c r="M35" s="40">
        <f t="shared" si="0"/>
        <v>0.5375492759090631</v>
      </c>
      <c r="N35" s="39"/>
      <c r="O35" s="72">
        <f t="shared" si="16"/>
        <v>0</v>
      </c>
      <c r="P35" s="41" t="str">
        <f t="shared" si="1"/>
        <v>-</v>
      </c>
      <c r="Q35" s="39"/>
      <c r="R35" s="72">
        <f t="shared" si="17"/>
        <v>1185000000</v>
      </c>
      <c r="S35" s="39"/>
      <c r="T35" s="72">
        <f t="shared" si="18"/>
        <v>1185000000</v>
      </c>
      <c r="U35" s="39"/>
      <c r="V35" s="72">
        <f t="shared" si="2"/>
        <v>0</v>
      </c>
      <c r="W35" s="72">
        <f t="shared" si="19"/>
        <v>0</v>
      </c>
      <c r="X35" s="39"/>
      <c r="Y35" s="72">
        <f t="shared" si="3"/>
        <v>16590000</v>
      </c>
      <c r="Z35" s="72">
        <f t="shared" si="20"/>
        <v>8917942.4873313569</v>
      </c>
      <c r="AA35" s="39"/>
      <c r="AB35" s="72">
        <f t="shared" si="4"/>
        <v>0</v>
      </c>
      <c r="AC35" s="72">
        <f t="shared" si="21"/>
        <v>0</v>
      </c>
      <c r="AD35" s="39"/>
      <c r="AE35" s="72">
        <f t="shared" si="5"/>
        <v>0</v>
      </c>
      <c r="AF35" s="72">
        <f t="shared" si="22"/>
        <v>0</v>
      </c>
      <c r="AG35" s="39"/>
      <c r="AH35" s="72">
        <f t="shared" si="6"/>
        <v>990000000</v>
      </c>
      <c r="AI35" s="72">
        <f t="shared" si="23"/>
        <v>532173783.14997244</v>
      </c>
      <c r="AJ35" s="39"/>
      <c r="AK35" s="72">
        <f t="shared" si="7"/>
        <v>0</v>
      </c>
      <c r="AL35" s="72">
        <f t="shared" si="24"/>
        <v>0</v>
      </c>
      <c r="AM35" s="39"/>
      <c r="AN35" s="72">
        <f t="shared" si="8"/>
        <v>0</v>
      </c>
      <c r="AO35" s="72">
        <f t="shared" si="25"/>
        <v>0</v>
      </c>
      <c r="AP35" s="39"/>
      <c r="AQ35" s="72">
        <f t="shared" si="9"/>
        <v>0</v>
      </c>
      <c r="AR35" s="72">
        <f t="shared" si="26"/>
        <v>0</v>
      </c>
      <c r="AS35" s="39"/>
      <c r="AT35" s="40">
        <f>IF($K35&lt;=$F$15,IF($F$40&lt;&gt;"",$F$40/1000,IF(ISERROR(VLOOKUP($F$3&amp;IF($G$4&lt;&gt;"",$G$4,"")&amp;IF($F$43&lt;&gt;"","_"&amp;$F$43,""),'表3）燃料価格'!$AF$9:$AG$25,2,0)),0,VLOOKUP($I35,'表3）燃料価格'!$A$6:$U$66,VLOOKUP($F$3&amp;IF($G$4&lt;&gt;"",$G$4,"")&amp;IF($F$43&lt;&gt;"","_"&amp;$F$43,""),'表3）燃料価格'!$AF$9:$AG$25,2,0)+VLOOKUP($F$41,'表3）燃料価格'!$AF$28:$AG$29,2,0),0)*IF($F$43="需要地価格",1,$F$8/$F$141))),"")</f>
        <v>0</v>
      </c>
      <c r="AU35" s="39"/>
      <c r="AV35" s="72">
        <f t="shared" si="10"/>
        <v>0</v>
      </c>
      <c r="AW35" s="72">
        <f t="shared" si="27"/>
        <v>0</v>
      </c>
      <c r="AX35" s="39"/>
      <c r="AY35" s="40">
        <f>IF(ISERROR(IF($K35&lt;=$F$15,VLOOKUP($I35,'表4）CO2価格'!$A$7:$E$67,VLOOKUP($F$48,'表4）CO2価格'!$H$10:$I$12,2,0),0)*$F$8/1000,"")),0,IF($K35&lt;=$F$15,VLOOKUP($I35,'表4）CO2価格'!$A$7:$E$67,VLOOKUP($F$48,'表4）CO2価格'!$H$10:$I$12,2,0),0)*$F$8/1000,""))</f>
        <v>0</v>
      </c>
      <c r="AZ35" s="39"/>
      <c r="BA35" s="42">
        <f t="shared" si="11"/>
        <v>0</v>
      </c>
      <c r="BB35" s="72">
        <f t="shared" si="28"/>
        <v>0</v>
      </c>
      <c r="BC35" s="39"/>
      <c r="BD35" s="72">
        <f t="shared" si="12"/>
        <v>0</v>
      </c>
      <c r="BE35" s="72">
        <f t="shared" si="29"/>
        <v>0</v>
      </c>
      <c r="BF35" s="39"/>
      <c r="BG35" s="42">
        <f t="shared" si="13"/>
        <v>0</v>
      </c>
      <c r="BH35" s="72">
        <f t="shared" si="30"/>
        <v>0</v>
      </c>
      <c r="BI35" s="39"/>
      <c r="BJ35" s="40" t="str">
        <f t="shared" si="31"/>
        <v/>
      </c>
      <c r="BK35" s="157" t="str">
        <f t="shared" si="32"/>
        <v/>
      </c>
      <c r="BL35" s="157" t="str">
        <f t="shared" si="14"/>
        <v/>
      </c>
      <c r="BM35" s="72"/>
      <c r="BN35" s="72" t="str">
        <f t="shared" si="33"/>
        <v/>
      </c>
      <c r="BO35" s="72" t="str">
        <f t="shared" si="34"/>
        <v/>
      </c>
      <c r="BP35" s="39"/>
      <c r="BQ35" s="72">
        <f t="shared" si="15"/>
        <v>194130360</v>
      </c>
      <c r="BR35" s="72">
        <f t="shared" si="35"/>
        <v>104354634.44996575</v>
      </c>
    </row>
    <row r="36" spans="3:70" x14ac:dyDescent="0.15">
      <c r="D36" s="160"/>
      <c r="F36" s="480"/>
      <c r="H36" s="71"/>
      <c r="I36" s="322">
        <f t="shared" si="36"/>
        <v>2051</v>
      </c>
      <c r="J36" s="71"/>
      <c r="K36" s="71">
        <f t="shared" si="37"/>
        <v>22</v>
      </c>
      <c r="L36" s="71"/>
      <c r="M36" s="7">
        <f t="shared" si="0"/>
        <v>0.52189250088258554</v>
      </c>
      <c r="N36" s="71"/>
      <c r="O36" s="10">
        <f t="shared" si="16"/>
        <v>0</v>
      </c>
      <c r="P36" s="29" t="str">
        <f t="shared" si="1"/>
        <v>-</v>
      </c>
      <c r="Q36" s="71"/>
      <c r="R36" s="10">
        <f t="shared" si="17"/>
        <v>1185000000</v>
      </c>
      <c r="S36" s="71"/>
      <c r="T36" s="10">
        <f t="shared" si="18"/>
        <v>1185000000</v>
      </c>
      <c r="U36" s="71"/>
      <c r="V36" s="10">
        <f t="shared" si="2"/>
        <v>0</v>
      </c>
      <c r="W36" s="10">
        <f t="shared" si="19"/>
        <v>0</v>
      </c>
      <c r="X36" s="71"/>
      <c r="Y36" s="10">
        <f t="shared" si="3"/>
        <v>16590000</v>
      </c>
      <c r="Z36" s="10">
        <f t="shared" si="20"/>
        <v>8658196.5896420944</v>
      </c>
      <c r="AA36" s="71"/>
      <c r="AB36" s="10">
        <f t="shared" si="4"/>
        <v>0</v>
      </c>
      <c r="AC36" s="10">
        <f t="shared" si="21"/>
        <v>0</v>
      </c>
      <c r="AD36" s="71"/>
      <c r="AE36" s="10">
        <f t="shared" si="5"/>
        <v>0</v>
      </c>
      <c r="AF36" s="10">
        <f t="shared" si="22"/>
        <v>0</v>
      </c>
      <c r="AG36" s="71"/>
      <c r="AH36" s="10">
        <f t="shared" si="6"/>
        <v>990000000</v>
      </c>
      <c r="AI36" s="10">
        <f t="shared" si="23"/>
        <v>516673575.87375969</v>
      </c>
      <c r="AJ36" s="71"/>
      <c r="AK36" s="10">
        <f t="shared" si="7"/>
        <v>0</v>
      </c>
      <c r="AL36" s="10">
        <f t="shared" si="24"/>
        <v>0</v>
      </c>
      <c r="AM36" s="71"/>
      <c r="AN36" s="10">
        <f t="shared" si="8"/>
        <v>0</v>
      </c>
      <c r="AO36" s="10">
        <f t="shared" si="25"/>
        <v>0</v>
      </c>
      <c r="AP36" s="71"/>
      <c r="AQ36" s="10">
        <f t="shared" si="9"/>
        <v>0</v>
      </c>
      <c r="AR36" s="10">
        <f t="shared" si="26"/>
        <v>0</v>
      </c>
      <c r="AS36" s="71"/>
      <c r="AT36" s="7">
        <f>IF($K36&lt;=$F$15,IF($F$40&lt;&gt;"",$F$40/1000,IF(ISERROR(VLOOKUP($F$3&amp;IF($G$4&lt;&gt;"",$G$4,"")&amp;IF($F$43&lt;&gt;"","_"&amp;$F$43,""),'表3）燃料価格'!$AF$9:$AG$25,2,0)),0,VLOOKUP($I36,'表3）燃料価格'!$A$6:$U$66,VLOOKUP($F$3&amp;IF($G$4&lt;&gt;"",$G$4,"")&amp;IF($F$43&lt;&gt;"","_"&amp;$F$43,""),'表3）燃料価格'!$AF$9:$AG$25,2,0)+VLOOKUP($F$41,'表3）燃料価格'!$AF$28:$AG$29,2,0),0)*IF($F$43="需要地価格",1,$F$8/$F$141))),"")</f>
        <v>0</v>
      </c>
      <c r="AU36" s="71"/>
      <c r="AV36" s="10">
        <f t="shared" si="10"/>
        <v>0</v>
      </c>
      <c r="AW36" s="10">
        <f t="shared" si="27"/>
        <v>0</v>
      </c>
      <c r="AX36" s="71"/>
      <c r="AY36" s="7">
        <f>IF(ISERROR(IF($K36&lt;=$F$15,VLOOKUP($I36,'表4）CO2価格'!$A$7:$E$67,VLOOKUP($F$48,'表4）CO2価格'!$H$10:$I$12,2,0),0)*$F$8/1000,"")),0,IF($K36&lt;=$F$15,VLOOKUP($I36,'表4）CO2価格'!$A$7:$E$67,VLOOKUP($F$48,'表4）CO2価格'!$H$10:$I$12,2,0),0)*$F$8/1000,""))</f>
        <v>0</v>
      </c>
      <c r="AZ36" s="71"/>
      <c r="BA36" s="11">
        <f t="shared" si="11"/>
        <v>0</v>
      </c>
      <c r="BB36" s="10">
        <f t="shared" si="28"/>
        <v>0</v>
      </c>
      <c r="BC36" s="71"/>
      <c r="BD36" s="10">
        <f t="shared" si="12"/>
        <v>0</v>
      </c>
      <c r="BE36" s="10">
        <f t="shared" si="29"/>
        <v>0</v>
      </c>
      <c r="BF36" s="71"/>
      <c r="BG36" s="11">
        <f t="shared" si="13"/>
        <v>0</v>
      </c>
      <c r="BH36" s="10">
        <f t="shared" si="30"/>
        <v>0</v>
      </c>
      <c r="BJ36" s="7" t="str">
        <f t="shared" si="31"/>
        <v/>
      </c>
      <c r="BK36" s="158" t="str">
        <f t="shared" si="32"/>
        <v/>
      </c>
      <c r="BL36" s="158" t="str">
        <f t="shared" si="14"/>
        <v/>
      </c>
      <c r="BM36" s="10"/>
      <c r="BN36" s="10" t="str">
        <f t="shared" si="33"/>
        <v/>
      </c>
      <c r="BO36" s="10" t="str">
        <f t="shared" si="34"/>
        <v/>
      </c>
      <c r="BQ36" s="10">
        <f t="shared" si="15"/>
        <v>194130360</v>
      </c>
      <c r="BR36" s="10">
        <f t="shared" si="35"/>
        <v>101315179.07763664</v>
      </c>
    </row>
    <row r="37" spans="3:70" x14ac:dyDescent="0.15">
      <c r="H37" s="71"/>
      <c r="I37" s="38">
        <f t="shared" si="36"/>
        <v>2052</v>
      </c>
      <c r="J37" s="39"/>
      <c r="K37" s="39">
        <f t="shared" si="37"/>
        <v>23</v>
      </c>
      <c r="L37" s="39"/>
      <c r="M37" s="40">
        <f t="shared" si="0"/>
        <v>0.50669174842969467</v>
      </c>
      <c r="N37" s="39"/>
      <c r="O37" s="72">
        <f t="shared" si="16"/>
        <v>0</v>
      </c>
      <c r="P37" s="41" t="str">
        <f t="shared" si="1"/>
        <v>-</v>
      </c>
      <c r="Q37" s="39"/>
      <c r="R37" s="72">
        <f t="shared" si="17"/>
        <v>1185000000</v>
      </c>
      <c r="S37" s="39"/>
      <c r="T37" s="72">
        <f t="shared" si="18"/>
        <v>1185000000</v>
      </c>
      <c r="U37" s="39"/>
      <c r="V37" s="72">
        <f t="shared" si="2"/>
        <v>0</v>
      </c>
      <c r="W37" s="72">
        <f t="shared" si="19"/>
        <v>0</v>
      </c>
      <c r="X37" s="39"/>
      <c r="Y37" s="72">
        <f t="shared" si="3"/>
        <v>16590000</v>
      </c>
      <c r="Z37" s="72">
        <f t="shared" si="20"/>
        <v>8406016.1064486336</v>
      </c>
      <c r="AA37" s="39"/>
      <c r="AB37" s="72">
        <f t="shared" si="4"/>
        <v>0</v>
      </c>
      <c r="AC37" s="72">
        <f t="shared" si="21"/>
        <v>0</v>
      </c>
      <c r="AD37" s="39"/>
      <c r="AE37" s="72">
        <f t="shared" si="5"/>
        <v>0</v>
      </c>
      <c r="AF37" s="72">
        <f t="shared" si="22"/>
        <v>0</v>
      </c>
      <c r="AG37" s="39"/>
      <c r="AH37" s="72">
        <f t="shared" si="6"/>
        <v>990000000</v>
      </c>
      <c r="AI37" s="72">
        <f t="shared" si="23"/>
        <v>501624830.94539773</v>
      </c>
      <c r="AJ37" s="39"/>
      <c r="AK37" s="72">
        <f t="shared" si="7"/>
        <v>0</v>
      </c>
      <c r="AL37" s="72">
        <f t="shared" si="24"/>
        <v>0</v>
      </c>
      <c r="AM37" s="39"/>
      <c r="AN37" s="72">
        <f t="shared" si="8"/>
        <v>0</v>
      </c>
      <c r="AO37" s="72">
        <f t="shared" si="25"/>
        <v>0</v>
      </c>
      <c r="AP37" s="39"/>
      <c r="AQ37" s="72">
        <f t="shared" si="9"/>
        <v>0</v>
      </c>
      <c r="AR37" s="72">
        <f t="shared" si="26"/>
        <v>0</v>
      </c>
      <c r="AS37" s="39"/>
      <c r="AT37" s="40">
        <f>IF($K37&lt;=$F$15,IF($F$40&lt;&gt;"",$F$40/1000,IF(ISERROR(VLOOKUP($F$3&amp;IF($G$4&lt;&gt;"",$G$4,"")&amp;IF($F$43&lt;&gt;"","_"&amp;$F$43,""),'表3）燃料価格'!$AF$9:$AG$25,2,0)),0,VLOOKUP($I37,'表3）燃料価格'!$A$6:$U$66,VLOOKUP($F$3&amp;IF($G$4&lt;&gt;"",$G$4,"")&amp;IF($F$43&lt;&gt;"","_"&amp;$F$43,""),'表3）燃料価格'!$AF$9:$AG$25,2,0)+VLOOKUP($F$41,'表3）燃料価格'!$AF$28:$AG$29,2,0),0)*IF($F$43="需要地価格",1,$F$8/$F$141))),"")</f>
        <v>0</v>
      </c>
      <c r="AU37" s="39"/>
      <c r="AV37" s="72">
        <f t="shared" si="10"/>
        <v>0</v>
      </c>
      <c r="AW37" s="72">
        <f t="shared" si="27"/>
        <v>0</v>
      </c>
      <c r="AX37" s="39"/>
      <c r="AY37" s="40">
        <f>IF(ISERROR(IF($K37&lt;=$F$15,VLOOKUP($I37,'表4）CO2価格'!$A$7:$E$67,VLOOKUP($F$48,'表4）CO2価格'!$H$10:$I$12,2,0),0)*$F$8/1000,"")),0,IF($K37&lt;=$F$15,VLOOKUP($I37,'表4）CO2価格'!$A$7:$E$67,VLOOKUP($F$48,'表4）CO2価格'!$H$10:$I$12,2,0),0)*$F$8/1000,""))</f>
        <v>0</v>
      </c>
      <c r="AZ37" s="39"/>
      <c r="BA37" s="42">
        <f t="shared" si="11"/>
        <v>0</v>
      </c>
      <c r="BB37" s="72">
        <f t="shared" si="28"/>
        <v>0</v>
      </c>
      <c r="BC37" s="39"/>
      <c r="BD37" s="72">
        <f t="shared" si="12"/>
        <v>0</v>
      </c>
      <c r="BE37" s="72">
        <f t="shared" si="29"/>
        <v>0</v>
      </c>
      <c r="BF37" s="39"/>
      <c r="BG37" s="42">
        <f t="shared" si="13"/>
        <v>0</v>
      </c>
      <c r="BH37" s="72">
        <f t="shared" si="30"/>
        <v>0</v>
      </c>
      <c r="BI37" s="39"/>
      <c r="BJ37" s="40" t="str">
        <f t="shared" si="31"/>
        <v/>
      </c>
      <c r="BK37" s="157" t="str">
        <f t="shared" si="32"/>
        <v/>
      </c>
      <c r="BL37" s="157" t="str">
        <f t="shared" si="14"/>
        <v/>
      </c>
      <c r="BM37" s="72"/>
      <c r="BN37" s="72" t="str">
        <f t="shared" si="33"/>
        <v/>
      </c>
      <c r="BO37" s="72" t="str">
        <f t="shared" si="34"/>
        <v/>
      </c>
      <c r="BP37" s="39"/>
      <c r="BQ37" s="72">
        <f t="shared" si="15"/>
        <v>194130360</v>
      </c>
      <c r="BR37" s="72">
        <f t="shared" si="35"/>
        <v>98364251.531686068</v>
      </c>
    </row>
    <row r="38" spans="3:70" x14ac:dyDescent="0.15">
      <c r="C38" s="4" t="s">
        <v>570</v>
      </c>
      <c r="D38" s="100"/>
      <c r="E38" s="100"/>
      <c r="F38" s="4"/>
      <c r="G38" s="100"/>
      <c r="H38" s="71"/>
      <c r="I38" s="322">
        <f t="shared" si="36"/>
        <v>2053</v>
      </c>
      <c r="J38" s="71"/>
      <c r="K38" s="71">
        <f t="shared" si="37"/>
        <v>24</v>
      </c>
      <c r="L38" s="71"/>
      <c r="M38" s="7">
        <f t="shared" si="0"/>
        <v>0.49193373633950943</v>
      </c>
      <c r="N38" s="71"/>
      <c r="O38" s="10">
        <f t="shared" si="16"/>
        <v>0</v>
      </c>
      <c r="P38" s="29" t="str">
        <f t="shared" si="1"/>
        <v>-</v>
      </c>
      <c r="Q38" s="71"/>
      <c r="R38" s="10">
        <f t="shared" si="17"/>
        <v>1185000000</v>
      </c>
      <c r="S38" s="71"/>
      <c r="T38" s="10">
        <f t="shared" si="18"/>
        <v>1185000000</v>
      </c>
      <c r="U38" s="71"/>
      <c r="V38" s="10">
        <f t="shared" si="2"/>
        <v>0</v>
      </c>
      <c r="W38" s="10">
        <f t="shared" si="19"/>
        <v>0</v>
      </c>
      <c r="X38" s="71"/>
      <c r="Y38" s="10">
        <f t="shared" si="3"/>
        <v>16590000</v>
      </c>
      <c r="Z38" s="10">
        <f t="shared" si="20"/>
        <v>8161180.6858724616</v>
      </c>
      <c r="AA38" s="71"/>
      <c r="AB38" s="10">
        <f t="shared" si="4"/>
        <v>0</v>
      </c>
      <c r="AC38" s="10">
        <f t="shared" si="21"/>
        <v>0</v>
      </c>
      <c r="AD38" s="71"/>
      <c r="AE38" s="10">
        <f t="shared" si="5"/>
        <v>0</v>
      </c>
      <c r="AF38" s="10">
        <f t="shared" si="22"/>
        <v>0</v>
      </c>
      <c r="AG38" s="71"/>
      <c r="AH38" s="10">
        <f t="shared" si="6"/>
        <v>990000000</v>
      </c>
      <c r="AI38" s="10">
        <f t="shared" si="23"/>
        <v>487014398.97611433</v>
      </c>
      <c r="AJ38" s="71"/>
      <c r="AK38" s="10">
        <f t="shared" si="7"/>
        <v>0</v>
      </c>
      <c r="AL38" s="10">
        <f t="shared" si="24"/>
        <v>0</v>
      </c>
      <c r="AM38" s="71"/>
      <c r="AN38" s="10">
        <f t="shared" si="8"/>
        <v>0</v>
      </c>
      <c r="AO38" s="10">
        <f t="shared" si="25"/>
        <v>0</v>
      </c>
      <c r="AP38" s="71"/>
      <c r="AQ38" s="10">
        <f t="shared" si="9"/>
        <v>0</v>
      </c>
      <c r="AR38" s="10">
        <f t="shared" si="26"/>
        <v>0</v>
      </c>
      <c r="AS38" s="71"/>
      <c r="AT38" s="7">
        <f>IF($K38&lt;=$F$15,IF($F$40&lt;&gt;"",$F$40/1000,IF(ISERROR(VLOOKUP($F$3&amp;IF($G$4&lt;&gt;"",$G$4,"")&amp;IF($F$43&lt;&gt;"","_"&amp;$F$43,""),'表3）燃料価格'!$AF$9:$AG$25,2,0)),0,VLOOKUP($I38,'表3）燃料価格'!$A$6:$U$66,VLOOKUP($F$3&amp;IF($G$4&lt;&gt;"",$G$4,"")&amp;IF($F$43&lt;&gt;"","_"&amp;$F$43,""),'表3）燃料価格'!$AF$9:$AG$25,2,0)+VLOOKUP($F$41,'表3）燃料価格'!$AF$28:$AG$29,2,0),0)*IF($F$43="需要地価格",1,$F$8/$F$141))),"")</f>
        <v>0</v>
      </c>
      <c r="AU38" s="71"/>
      <c r="AV38" s="10">
        <f t="shared" si="10"/>
        <v>0</v>
      </c>
      <c r="AW38" s="10">
        <f t="shared" si="27"/>
        <v>0</v>
      </c>
      <c r="AX38" s="71"/>
      <c r="AY38" s="7">
        <f>IF(ISERROR(IF($K38&lt;=$F$15,VLOOKUP($I38,'表4）CO2価格'!$A$7:$E$67,VLOOKUP($F$48,'表4）CO2価格'!$H$10:$I$12,2,0),0)*$F$8/1000,"")),0,IF($K38&lt;=$F$15,VLOOKUP($I38,'表4）CO2価格'!$A$7:$E$67,VLOOKUP($F$48,'表4）CO2価格'!$H$10:$I$12,2,0),0)*$F$8/1000,""))</f>
        <v>0</v>
      </c>
      <c r="AZ38" s="71"/>
      <c r="BA38" s="11">
        <f t="shared" si="11"/>
        <v>0</v>
      </c>
      <c r="BB38" s="10">
        <f t="shared" si="28"/>
        <v>0</v>
      </c>
      <c r="BC38" s="71"/>
      <c r="BD38" s="10">
        <f t="shared" si="12"/>
        <v>0</v>
      </c>
      <c r="BE38" s="10">
        <f t="shared" si="29"/>
        <v>0</v>
      </c>
      <c r="BF38" s="71"/>
      <c r="BG38" s="11">
        <f t="shared" si="13"/>
        <v>0</v>
      </c>
      <c r="BH38" s="10">
        <f t="shared" si="30"/>
        <v>0</v>
      </c>
      <c r="BJ38" s="7" t="str">
        <f t="shared" si="31"/>
        <v/>
      </c>
      <c r="BK38" s="158" t="str">
        <f t="shared" si="32"/>
        <v/>
      </c>
      <c r="BL38" s="158" t="str">
        <f t="shared" si="14"/>
        <v/>
      </c>
      <c r="BM38" s="10"/>
      <c r="BN38" s="10" t="str">
        <f t="shared" si="33"/>
        <v/>
      </c>
      <c r="BO38" s="10" t="str">
        <f t="shared" si="34"/>
        <v/>
      </c>
      <c r="BQ38" s="10">
        <f t="shared" si="15"/>
        <v>194130360</v>
      </c>
      <c r="BR38" s="10">
        <f t="shared" si="35"/>
        <v>95499273.331734046</v>
      </c>
    </row>
    <row r="39" spans="3:70" x14ac:dyDescent="0.15">
      <c r="H39" s="71"/>
      <c r="I39" s="38">
        <f t="shared" si="36"/>
        <v>2054</v>
      </c>
      <c r="J39" s="39"/>
      <c r="K39" s="39">
        <f t="shared" si="37"/>
        <v>25</v>
      </c>
      <c r="L39" s="39"/>
      <c r="M39" s="40">
        <f t="shared" si="0"/>
        <v>0.47760556926165965</v>
      </c>
      <c r="N39" s="39"/>
      <c r="O39" s="72">
        <f t="shared" si="16"/>
        <v>0</v>
      </c>
      <c r="P39" s="41" t="str">
        <f t="shared" si="1"/>
        <v>-</v>
      </c>
      <c r="Q39" s="39"/>
      <c r="R39" s="72">
        <f t="shared" si="17"/>
        <v>1185000000</v>
      </c>
      <c r="S39" s="39"/>
      <c r="T39" s="72">
        <f t="shared" si="18"/>
        <v>1185000000</v>
      </c>
      <c r="U39" s="39"/>
      <c r="V39" s="72">
        <f t="shared" si="2"/>
        <v>0</v>
      </c>
      <c r="W39" s="72">
        <f t="shared" si="19"/>
        <v>0</v>
      </c>
      <c r="X39" s="39"/>
      <c r="Y39" s="72">
        <f t="shared" si="3"/>
        <v>16590000</v>
      </c>
      <c r="Z39" s="72">
        <f t="shared" si="20"/>
        <v>7923476.3940509334</v>
      </c>
      <c r="AA39" s="39"/>
      <c r="AB39" s="72">
        <f t="shared" si="4"/>
        <v>0</v>
      </c>
      <c r="AC39" s="72">
        <f t="shared" si="21"/>
        <v>0</v>
      </c>
      <c r="AD39" s="39"/>
      <c r="AE39" s="72">
        <f t="shared" si="5"/>
        <v>0</v>
      </c>
      <c r="AF39" s="72">
        <f t="shared" si="22"/>
        <v>0</v>
      </c>
      <c r="AG39" s="39"/>
      <c r="AH39" s="72">
        <f t="shared" si="6"/>
        <v>990000000</v>
      </c>
      <c r="AI39" s="72">
        <f t="shared" si="23"/>
        <v>472829513.56904304</v>
      </c>
      <c r="AJ39" s="39"/>
      <c r="AK39" s="72">
        <f t="shared" si="7"/>
        <v>0</v>
      </c>
      <c r="AL39" s="72">
        <f t="shared" si="24"/>
        <v>0</v>
      </c>
      <c r="AM39" s="39"/>
      <c r="AN39" s="72">
        <f t="shared" si="8"/>
        <v>0</v>
      </c>
      <c r="AO39" s="72">
        <f t="shared" si="25"/>
        <v>0</v>
      </c>
      <c r="AP39" s="39"/>
      <c r="AQ39" s="72">
        <f t="shared" si="9"/>
        <v>0</v>
      </c>
      <c r="AR39" s="72">
        <f t="shared" si="26"/>
        <v>0</v>
      </c>
      <c r="AS39" s="39"/>
      <c r="AT39" s="40">
        <f>IF($K39&lt;=$F$15,IF($F$40&lt;&gt;"",$F$40/1000,IF(ISERROR(VLOOKUP($F$3&amp;IF($G$4&lt;&gt;"",$G$4,"")&amp;IF($F$43&lt;&gt;"","_"&amp;$F$43,""),'表3）燃料価格'!$AF$9:$AG$25,2,0)),0,VLOOKUP($I39,'表3）燃料価格'!$A$6:$U$66,VLOOKUP($F$3&amp;IF($G$4&lt;&gt;"",$G$4,"")&amp;IF($F$43&lt;&gt;"","_"&amp;$F$43,""),'表3）燃料価格'!$AF$9:$AG$25,2,0)+VLOOKUP($F$41,'表3）燃料価格'!$AF$28:$AG$29,2,0),0)*IF($F$43="需要地価格",1,$F$8/$F$141))),"")</f>
        <v>0</v>
      </c>
      <c r="AU39" s="39"/>
      <c r="AV39" s="72">
        <f t="shared" si="10"/>
        <v>0</v>
      </c>
      <c r="AW39" s="72">
        <f t="shared" si="27"/>
        <v>0</v>
      </c>
      <c r="AX39" s="39"/>
      <c r="AY39" s="40">
        <f>IF(ISERROR(IF($K39&lt;=$F$15,VLOOKUP($I39,'表4）CO2価格'!$A$7:$E$67,VLOOKUP($F$48,'表4）CO2価格'!$H$10:$I$12,2,0),0)*$F$8/1000,"")),0,IF($K39&lt;=$F$15,VLOOKUP($I39,'表4）CO2価格'!$A$7:$E$67,VLOOKUP($F$48,'表4）CO2価格'!$H$10:$I$12,2,0),0)*$F$8/1000,""))</f>
        <v>0</v>
      </c>
      <c r="AZ39" s="39"/>
      <c r="BA39" s="42">
        <f t="shared" si="11"/>
        <v>0</v>
      </c>
      <c r="BB39" s="72">
        <f t="shared" si="28"/>
        <v>0</v>
      </c>
      <c r="BC39" s="39"/>
      <c r="BD39" s="72">
        <f t="shared" si="12"/>
        <v>0</v>
      </c>
      <c r="BE39" s="72">
        <f t="shared" si="29"/>
        <v>0</v>
      </c>
      <c r="BF39" s="39"/>
      <c r="BG39" s="42">
        <f t="shared" si="13"/>
        <v>0</v>
      </c>
      <c r="BH39" s="72">
        <f t="shared" si="30"/>
        <v>0</v>
      </c>
      <c r="BI39" s="39"/>
      <c r="BJ39" s="40" t="str">
        <f t="shared" si="31"/>
        <v/>
      </c>
      <c r="BK39" s="157" t="str">
        <f t="shared" si="32"/>
        <v/>
      </c>
      <c r="BL39" s="157" t="str">
        <f t="shared" si="14"/>
        <v/>
      </c>
      <c r="BM39" s="72"/>
      <c r="BN39" s="72" t="str">
        <f t="shared" si="33"/>
        <v/>
      </c>
      <c r="BO39" s="72" t="str">
        <f t="shared" si="34"/>
        <v/>
      </c>
      <c r="BP39" s="39"/>
      <c r="BQ39" s="72">
        <f t="shared" si="15"/>
        <v>194130360</v>
      </c>
      <c r="BR39" s="72">
        <f t="shared" si="35"/>
        <v>92717741.098770916</v>
      </c>
    </row>
    <row r="40" spans="3:70" x14ac:dyDescent="0.15">
      <c r="D40" s="84" t="s">
        <v>124</v>
      </c>
      <c r="F40" s="482"/>
      <c r="G40" s="160" t="s">
        <v>571</v>
      </c>
      <c r="H40" s="71"/>
      <c r="I40" s="322">
        <f t="shared" si="36"/>
        <v>2055</v>
      </c>
      <c r="J40" s="71"/>
      <c r="K40" s="71">
        <f t="shared" si="37"/>
        <v>26</v>
      </c>
      <c r="L40" s="71"/>
      <c r="M40" s="7">
        <f t="shared" si="0"/>
        <v>0.46369472743850448</v>
      </c>
      <c r="N40" s="71"/>
      <c r="O40" s="10">
        <f t="shared" si="16"/>
        <v>0</v>
      </c>
      <c r="P40" s="29" t="str">
        <f t="shared" si="1"/>
        <v>-</v>
      </c>
      <c r="Q40" s="71"/>
      <c r="R40" s="10">
        <f t="shared" si="17"/>
        <v>1185000000</v>
      </c>
      <c r="S40" s="71"/>
      <c r="T40" s="10">
        <f t="shared" si="18"/>
        <v>1185000000</v>
      </c>
      <c r="U40" s="71"/>
      <c r="V40" s="10">
        <f t="shared" si="2"/>
        <v>0</v>
      </c>
      <c r="W40" s="10">
        <f t="shared" si="19"/>
        <v>0</v>
      </c>
      <c r="X40" s="71"/>
      <c r="Y40" s="10">
        <f t="shared" si="3"/>
        <v>16590000</v>
      </c>
      <c r="Z40" s="10">
        <f t="shared" si="20"/>
        <v>7692695.5282047894</v>
      </c>
      <c r="AA40" s="71"/>
      <c r="AB40" s="10">
        <f t="shared" si="4"/>
        <v>0</v>
      </c>
      <c r="AC40" s="10">
        <f t="shared" si="21"/>
        <v>0</v>
      </c>
      <c r="AD40" s="71"/>
      <c r="AE40" s="10">
        <f t="shared" si="5"/>
        <v>0</v>
      </c>
      <c r="AF40" s="10">
        <f t="shared" si="22"/>
        <v>0</v>
      </c>
      <c r="AG40" s="71"/>
      <c r="AH40" s="10">
        <f t="shared" si="6"/>
        <v>990000000</v>
      </c>
      <c r="AI40" s="10">
        <f t="shared" si="23"/>
        <v>459057780.16411942</v>
      </c>
      <c r="AJ40" s="71"/>
      <c r="AK40" s="10">
        <f t="shared" si="7"/>
        <v>0</v>
      </c>
      <c r="AL40" s="10">
        <f t="shared" si="24"/>
        <v>0</v>
      </c>
      <c r="AM40" s="71"/>
      <c r="AN40" s="10">
        <f t="shared" si="8"/>
        <v>0</v>
      </c>
      <c r="AO40" s="10">
        <f t="shared" si="25"/>
        <v>0</v>
      </c>
      <c r="AP40" s="71"/>
      <c r="AQ40" s="10">
        <f t="shared" si="9"/>
        <v>0</v>
      </c>
      <c r="AR40" s="10">
        <f t="shared" si="26"/>
        <v>0</v>
      </c>
      <c r="AS40" s="71"/>
      <c r="AT40" s="7">
        <f>IF($K40&lt;=$F$15,IF($F$40&lt;&gt;"",$F$40/1000,IF(ISERROR(VLOOKUP($F$3&amp;IF($G$4&lt;&gt;"",$G$4,"")&amp;IF($F$43&lt;&gt;"","_"&amp;$F$43,""),'表3）燃料価格'!$AF$9:$AG$25,2,0)),0,VLOOKUP($I40,'表3）燃料価格'!$A$6:$U$66,VLOOKUP($F$3&amp;IF($G$4&lt;&gt;"",$G$4,"")&amp;IF($F$43&lt;&gt;"","_"&amp;$F$43,""),'表3）燃料価格'!$AF$9:$AG$25,2,0)+VLOOKUP($F$41,'表3）燃料価格'!$AF$28:$AG$29,2,0),0)*IF($F$43="需要地価格",1,$F$8/$F$141))),"")</f>
        <v>0</v>
      </c>
      <c r="AU40" s="71"/>
      <c r="AV40" s="10">
        <f t="shared" si="10"/>
        <v>0</v>
      </c>
      <c r="AW40" s="10">
        <f t="shared" si="27"/>
        <v>0</v>
      </c>
      <c r="AX40" s="71"/>
      <c r="AY40" s="7">
        <f>IF(ISERROR(IF($K40&lt;=$F$15,VLOOKUP($I40,'表4）CO2価格'!$A$7:$E$67,VLOOKUP($F$48,'表4）CO2価格'!$H$10:$I$12,2,0),0)*$F$8/1000,"")),0,IF($K40&lt;=$F$15,VLOOKUP($I40,'表4）CO2価格'!$A$7:$E$67,VLOOKUP($F$48,'表4）CO2価格'!$H$10:$I$12,2,0),0)*$F$8/1000,""))</f>
        <v>0</v>
      </c>
      <c r="AZ40" s="71"/>
      <c r="BA40" s="11">
        <f t="shared" si="11"/>
        <v>0</v>
      </c>
      <c r="BB40" s="10">
        <f t="shared" si="28"/>
        <v>0</v>
      </c>
      <c r="BC40" s="71"/>
      <c r="BD40" s="10">
        <f t="shared" si="12"/>
        <v>0</v>
      </c>
      <c r="BE40" s="10">
        <f t="shared" si="29"/>
        <v>0</v>
      </c>
      <c r="BF40" s="71"/>
      <c r="BG40" s="11">
        <f t="shared" si="13"/>
        <v>0</v>
      </c>
      <c r="BH40" s="10">
        <f t="shared" si="30"/>
        <v>0</v>
      </c>
      <c r="BJ40" s="7" t="str">
        <f t="shared" si="31"/>
        <v/>
      </c>
      <c r="BK40" s="158" t="str">
        <f t="shared" si="32"/>
        <v/>
      </c>
      <c r="BL40" s="158" t="str">
        <f t="shared" si="14"/>
        <v/>
      </c>
      <c r="BM40" s="10"/>
      <c r="BN40" s="10" t="str">
        <f t="shared" si="33"/>
        <v/>
      </c>
      <c r="BO40" s="10" t="str">
        <f t="shared" si="34"/>
        <v/>
      </c>
      <c r="BQ40" s="10">
        <f t="shared" si="15"/>
        <v>194130360</v>
      </c>
      <c r="BR40" s="10">
        <f t="shared" si="35"/>
        <v>90017224.367738754</v>
      </c>
    </row>
    <row r="41" spans="3:70" x14ac:dyDescent="0.15">
      <c r="D41" s="84" t="s">
        <v>572</v>
      </c>
      <c r="F41" s="474"/>
      <c r="H41" s="71"/>
      <c r="I41" s="38">
        <f t="shared" si="36"/>
        <v>2056</v>
      </c>
      <c r="J41" s="39"/>
      <c r="K41" s="39">
        <f t="shared" si="37"/>
        <v>27</v>
      </c>
      <c r="L41" s="39"/>
      <c r="M41" s="40">
        <f t="shared" si="0"/>
        <v>0.45018905576553836</v>
      </c>
      <c r="N41" s="39"/>
      <c r="O41" s="72">
        <f t="shared" si="16"/>
        <v>0</v>
      </c>
      <c r="P41" s="41" t="str">
        <f t="shared" si="1"/>
        <v>-</v>
      </c>
      <c r="Q41" s="39"/>
      <c r="R41" s="72">
        <f t="shared" si="17"/>
        <v>1185000000</v>
      </c>
      <c r="S41" s="39"/>
      <c r="T41" s="72">
        <f t="shared" si="18"/>
        <v>1185000000</v>
      </c>
      <c r="U41" s="39"/>
      <c r="V41" s="72">
        <f t="shared" si="2"/>
        <v>0</v>
      </c>
      <c r="W41" s="72">
        <f t="shared" si="19"/>
        <v>0</v>
      </c>
      <c r="X41" s="39"/>
      <c r="Y41" s="72">
        <f t="shared" si="3"/>
        <v>16590000</v>
      </c>
      <c r="Z41" s="72">
        <f t="shared" si="20"/>
        <v>7468636.4351502815</v>
      </c>
      <c r="AA41" s="39"/>
      <c r="AB41" s="72">
        <f t="shared" si="4"/>
        <v>0</v>
      </c>
      <c r="AC41" s="72">
        <f t="shared" si="21"/>
        <v>0</v>
      </c>
      <c r="AD41" s="39"/>
      <c r="AE41" s="72">
        <f t="shared" si="5"/>
        <v>0</v>
      </c>
      <c r="AF41" s="72">
        <f t="shared" si="22"/>
        <v>0</v>
      </c>
      <c r="AG41" s="39"/>
      <c r="AH41" s="72">
        <f t="shared" si="6"/>
        <v>990000000</v>
      </c>
      <c r="AI41" s="72">
        <f t="shared" si="23"/>
        <v>445687165.207883</v>
      </c>
      <c r="AJ41" s="39"/>
      <c r="AK41" s="72">
        <f t="shared" si="7"/>
        <v>0</v>
      </c>
      <c r="AL41" s="72">
        <f t="shared" si="24"/>
        <v>0</v>
      </c>
      <c r="AM41" s="39"/>
      <c r="AN41" s="72">
        <f t="shared" si="8"/>
        <v>0</v>
      </c>
      <c r="AO41" s="72">
        <f t="shared" si="25"/>
        <v>0</v>
      </c>
      <c r="AP41" s="39"/>
      <c r="AQ41" s="72">
        <f t="shared" si="9"/>
        <v>0</v>
      </c>
      <c r="AR41" s="72">
        <f t="shared" si="26"/>
        <v>0</v>
      </c>
      <c r="AS41" s="39"/>
      <c r="AT41" s="40">
        <f>IF($K41&lt;=$F$15,IF($F$40&lt;&gt;"",$F$40/1000,IF(ISERROR(VLOOKUP($F$3&amp;IF($G$4&lt;&gt;"",$G$4,"")&amp;IF($F$43&lt;&gt;"","_"&amp;$F$43,""),'表3）燃料価格'!$AF$9:$AG$25,2,0)),0,VLOOKUP($I41,'表3）燃料価格'!$A$6:$U$66,VLOOKUP($F$3&amp;IF($G$4&lt;&gt;"",$G$4,"")&amp;IF($F$43&lt;&gt;"","_"&amp;$F$43,""),'表3）燃料価格'!$AF$9:$AG$25,2,0)+VLOOKUP($F$41,'表3）燃料価格'!$AF$28:$AG$29,2,0),0)*IF($F$43="需要地価格",1,$F$8/$F$141))),"")</f>
        <v>0</v>
      </c>
      <c r="AU41" s="39"/>
      <c r="AV41" s="72">
        <f t="shared" si="10"/>
        <v>0</v>
      </c>
      <c r="AW41" s="72">
        <f t="shared" si="27"/>
        <v>0</v>
      </c>
      <c r="AX41" s="39"/>
      <c r="AY41" s="40">
        <f>IF(ISERROR(IF($K41&lt;=$F$15,VLOOKUP($I41,'表4）CO2価格'!$A$7:$E$67,VLOOKUP($F$48,'表4）CO2価格'!$H$10:$I$12,2,0),0)*$F$8/1000,"")),0,IF($K41&lt;=$F$15,VLOOKUP($I41,'表4）CO2価格'!$A$7:$E$67,VLOOKUP($F$48,'表4）CO2価格'!$H$10:$I$12,2,0),0)*$F$8/1000,""))</f>
        <v>0</v>
      </c>
      <c r="AZ41" s="39"/>
      <c r="BA41" s="42">
        <f t="shared" si="11"/>
        <v>0</v>
      </c>
      <c r="BB41" s="72">
        <f t="shared" si="28"/>
        <v>0</v>
      </c>
      <c r="BC41" s="39"/>
      <c r="BD41" s="72">
        <f t="shared" si="12"/>
        <v>0</v>
      </c>
      <c r="BE41" s="72">
        <f t="shared" si="29"/>
        <v>0</v>
      </c>
      <c r="BF41" s="39"/>
      <c r="BG41" s="42">
        <f t="shared" si="13"/>
        <v>0</v>
      </c>
      <c r="BH41" s="72">
        <f t="shared" si="30"/>
        <v>0</v>
      </c>
      <c r="BI41" s="39"/>
      <c r="BJ41" s="40" t="str">
        <f t="shared" si="31"/>
        <v/>
      </c>
      <c r="BK41" s="157" t="str">
        <f t="shared" si="32"/>
        <v/>
      </c>
      <c r="BL41" s="157" t="str">
        <f t="shared" si="14"/>
        <v/>
      </c>
      <c r="BM41" s="72"/>
      <c r="BN41" s="72" t="str">
        <f t="shared" si="33"/>
        <v/>
      </c>
      <c r="BO41" s="72" t="str">
        <f t="shared" si="34"/>
        <v/>
      </c>
      <c r="BP41" s="39"/>
      <c r="BQ41" s="72">
        <f t="shared" si="15"/>
        <v>194130360</v>
      </c>
      <c r="BR41" s="72">
        <f t="shared" si="35"/>
        <v>87395363.463824034</v>
      </c>
    </row>
    <row r="42" spans="3:70" x14ac:dyDescent="0.15">
      <c r="D42" s="84" t="s">
        <v>573</v>
      </c>
      <c r="F42" s="481"/>
      <c r="G42" s="84" t="s">
        <v>574</v>
      </c>
      <c r="H42" s="71"/>
      <c r="I42" s="322">
        <f t="shared" si="36"/>
        <v>2057</v>
      </c>
      <c r="J42" s="71"/>
      <c r="K42" s="71">
        <f t="shared" si="37"/>
        <v>28</v>
      </c>
      <c r="L42" s="71"/>
      <c r="M42" s="7">
        <f t="shared" si="0"/>
        <v>0.4370767531704256</v>
      </c>
      <c r="N42" s="71"/>
      <c r="O42" s="10">
        <f t="shared" si="16"/>
        <v>0</v>
      </c>
      <c r="P42" s="29" t="str">
        <f t="shared" si="1"/>
        <v>-</v>
      </c>
      <c r="Q42" s="71"/>
      <c r="R42" s="10">
        <f t="shared" si="17"/>
        <v>1185000000</v>
      </c>
      <c r="S42" s="71"/>
      <c r="T42" s="10">
        <f t="shared" si="18"/>
        <v>1185000000</v>
      </c>
      <c r="U42" s="71"/>
      <c r="V42" s="10">
        <f t="shared" si="2"/>
        <v>0</v>
      </c>
      <c r="W42" s="10">
        <f t="shared" si="19"/>
        <v>0</v>
      </c>
      <c r="X42" s="71"/>
      <c r="Y42" s="10">
        <f t="shared" si="3"/>
        <v>16590000</v>
      </c>
      <c r="Z42" s="10">
        <f t="shared" si="20"/>
        <v>7251103.3350973604</v>
      </c>
      <c r="AA42" s="71"/>
      <c r="AB42" s="10">
        <f t="shared" si="4"/>
        <v>0</v>
      </c>
      <c r="AC42" s="10">
        <f t="shared" si="21"/>
        <v>0</v>
      </c>
      <c r="AD42" s="71"/>
      <c r="AE42" s="10">
        <f t="shared" si="5"/>
        <v>0</v>
      </c>
      <c r="AF42" s="10">
        <f t="shared" si="22"/>
        <v>0</v>
      </c>
      <c r="AG42" s="71"/>
      <c r="AH42" s="10">
        <f t="shared" si="6"/>
        <v>990000000</v>
      </c>
      <c r="AI42" s="10">
        <f t="shared" si="23"/>
        <v>432705985.63872135</v>
      </c>
      <c r="AJ42" s="71"/>
      <c r="AK42" s="10">
        <f t="shared" si="7"/>
        <v>0</v>
      </c>
      <c r="AL42" s="10">
        <f t="shared" si="24"/>
        <v>0</v>
      </c>
      <c r="AM42" s="71"/>
      <c r="AN42" s="10">
        <f t="shared" si="8"/>
        <v>0</v>
      </c>
      <c r="AO42" s="10">
        <f t="shared" si="25"/>
        <v>0</v>
      </c>
      <c r="AP42" s="71"/>
      <c r="AQ42" s="10">
        <f t="shared" si="9"/>
        <v>0</v>
      </c>
      <c r="AR42" s="10">
        <f t="shared" si="26"/>
        <v>0</v>
      </c>
      <c r="AS42" s="71"/>
      <c r="AT42" s="7">
        <f>IF($K42&lt;=$F$15,IF($F$40&lt;&gt;"",$F$40/1000,IF(ISERROR(VLOOKUP($F$3&amp;IF($G$4&lt;&gt;"",$G$4,"")&amp;IF($F$43&lt;&gt;"","_"&amp;$F$43,""),'表3）燃料価格'!$AF$9:$AG$25,2,0)),0,VLOOKUP($I42,'表3）燃料価格'!$A$6:$U$66,VLOOKUP($F$3&amp;IF($G$4&lt;&gt;"",$G$4,"")&amp;IF($F$43&lt;&gt;"","_"&amp;$F$43,""),'表3）燃料価格'!$AF$9:$AG$25,2,0)+VLOOKUP($F$41,'表3）燃料価格'!$AF$28:$AG$29,2,0),0)*IF($F$43="需要地価格",1,$F$8/$F$141))),"")</f>
        <v>0</v>
      </c>
      <c r="AU42" s="71"/>
      <c r="AV42" s="10">
        <f t="shared" si="10"/>
        <v>0</v>
      </c>
      <c r="AW42" s="10">
        <f t="shared" si="27"/>
        <v>0</v>
      </c>
      <c r="AX42" s="71"/>
      <c r="AY42" s="7">
        <f>IF(ISERROR(IF($K42&lt;=$F$15,VLOOKUP($I42,'表4）CO2価格'!$A$7:$E$67,VLOOKUP($F$48,'表4）CO2価格'!$H$10:$I$12,2,0),0)*$F$8/1000,"")),0,IF($K42&lt;=$F$15,VLOOKUP($I42,'表4）CO2価格'!$A$7:$E$67,VLOOKUP($F$48,'表4）CO2価格'!$H$10:$I$12,2,0),0)*$F$8/1000,""))</f>
        <v>0</v>
      </c>
      <c r="AZ42" s="71"/>
      <c r="BA42" s="11">
        <f t="shared" si="11"/>
        <v>0</v>
      </c>
      <c r="BB42" s="10">
        <f t="shared" si="28"/>
        <v>0</v>
      </c>
      <c r="BC42" s="71"/>
      <c r="BD42" s="10">
        <f t="shared" si="12"/>
        <v>0</v>
      </c>
      <c r="BE42" s="10">
        <f t="shared" si="29"/>
        <v>0</v>
      </c>
      <c r="BF42" s="71"/>
      <c r="BG42" s="11">
        <f t="shared" si="13"/>
        <v>0</v>
      </c>
      <c r="BH42" s="10">
        <f t="shared" si="30"/>
        <v>0</v>
      </c>
      <c r="BJ42" s="7" t="str">
        <f t="shared" si="31"/>
        <v/>
      </c>
      <c r="BK42" s="158" t="str">
        <f t="shared" si="32"/>
        <v/>
      </c>
      <c r="BL42" s="158" t="str">
        <f t="shared" si="14"/>
        <v/>
      </c>
      <c r="BM42" s="10"/>
      <c r="BN42" s="10" t="str">
        <f t="shared" si="33"/>
        <v/>
      </c>
      <c r="BO42" s="10" t="str">
        <f t="shared" si="34"/>
        <v/>
      </c>
      <c r="BQ42" s="10">
        <f t="shared" si="15"/>
        <v>194130360</v>
      </c>
      <c r="BR42" s="10">
        <f t="shared" si="35"/>
        <v>84849867.440605864</v>
      </c>
    </row>
    <row r="43" spans="3:70" x14ac:dyDescent="0.15">
      <c r="D43" s="160" t="s">
        <v>126</v>
      </c>
      <c r="F43" s="474"/>
      <c r="H43" s="71"/>
      <c r="I43" s="38">
        <f t="shared" si="36"/>
        <v>2058</v>
      </c>
      <c r="J43" s="39"/>
      <c r="K43" s="39">
        <f t="shared" si="37"/>
        <v>29</v>
      </c>
      <c r="L43" s="39"/>
      <c r="M43" s="40">
        <f t="shared" si="0"/>
        <v>0.42434636230138412</v>
      </c>
      <c r="N43" s="39"/>
      <c r="O43" s="72">
        <f t="shared" si="16"/>
        <v>0</v>
      </c>
      <c r="P43" s="41" t="str">
        <f t="shared" si="1"/>
        <v>-</v>
      </c>
      <c r="Q43" s="39"/>
      <c r="R43" s="72">
        <f t="shared" si="17"/>
        <v>1185000000</v>
      </c>
      <c r="S43" s="39"/>
      <c r="T43" s="72">
        <f t="shared" si="18"/>
        <v>1185000000</v>
      </c>
      <c r="U43" s="39"/>
      <c r="V43" s="72">
        <f t="shared" si="2"/>
        <v>0</v>
      </c>
      <c r="W43" s="72">
        <f t="shared" si="19"/>
        <v>0</v>
      </c>
      <c r="X43" s="39"/>
      <c r="Y43" s="72">
        <f t="shared" si="3"/>
        <v>16590000</v>
      </c>
      <c r="Z43" s="72">
        <f t="shared" si="20"/>
        <v>7039906.1505799629</v>
      </c>
      <c r="AA43" s="39"/>
      <c r="AB43" s="72">
        <f t="shared" si="4"/>
        <v>0</v>
      </c>
      <c r="AC43" s="72">
        <f t="shared" si="21"/>
        <v>0</v>
      </c>
      <c r="AD43" s="39"/>
      <c r="AE43" s="72">
        <f t="shared" si="5"/>
        <v>0</v>
      </c>
      <c r="AF43" s="72">
        <f t="shared" si="22"/>
        <v>0</v>
      </c>
      <c r="AG43" s="39"/>
      <c r="AH43" s="72">
        <f t="shared" si="6"/>
        <v>990000000</v>
      </c>
      <c r="AI43" s="72">
        <f t="shared" si="23"/>
        <v>420102898.6783703</v>
      </c>
      <c r="AJ43" s="39"/>
      <c r="AK43" s="72">
        <f t="shared" si="7"/>
        <v>0</v>
      </c>
      <c r="AL43" s="72">
        <f t="shared" si="24"/>
        <v>0</v>
      </c>
      <c r="AM43" s="39"/>
      <c r="AN43" s="72">
        <f t="shared" si="8"/>
        <v>0</v>
      </c>
      <c r="AO43" s="72">
        <f t="shared" si="25"/>
        <v>0</v>
      </c>
      <c r="AP43" s="39"/>
      <c r="AQ43" s="72">
        <f t="shared" si="9"/>
        <v>0</v>
      </c>
      <c r="AR43" s="72">
        <f t="shared" si="26"/>
        <v>0</v>
      </c>
      <c r="AS43" s="39"/>
      <c r="AT43" s="40">
        <f>IF($K43&lt;=$F$15,IF($F$40&lt;&gt;"",$F$40/1000,IF(ISERROR(VLOOKUP($F$3&amp;IF($G$4&lt;&gt;"",$G$4,"")&amp;IF($F$43&lt;&gt;"","_"&amp;$F$43,""),'表3）燃料価格'!$AF$9:$AG$25,2,0)),0,VLOOKUP($I43,'表3）燃料価格'!$A$6:$U$66,VLOOKUP($F$3&amp;IF($G$4&lt;&gt;"",$G$4,"")&amp;IF($F$43&lt;&gt;"","_"&amp;$F$43,""),'表3）燃料価格'!$AF$9:$AG$25,2,0)+VLOOKUP($F$41,'表3）燃料価格'!$AF$28:$AG$29,2,0),0)*IF($F$43="需要地価格",1,$F$8/$F$141))),"")</f>
        <v>0</v>
      </c>
      <c r="AU43" s="39"/>
      <c r="AV43" s="72">
        <f t="shared" si="10"/>
        <v>0</v>
      </c>
      <c r="AW43" s="72">
        <f t="shared" si="27"/>
        <v>0</v>
      </c>
      <c r="AX43" s="39"/>
      <c r="AY43" s="40">
        <f>IF(ISERROR(IF($K43&lt;=$F$15,VLOOKUP($I43,'表4）CO2価格'!$A$7:$E$67,VLOOKUP($F$48,'表4）CO2価格'!$H$10:$I$12,2,0),0)*$F$8/1000,"")),0,IF($K43&lt;=$F$15,VLOOKUP($I43,'表4）CO2価格'!$A$7:$E$67,VLOOKUP($F$48,'表4）CO2価格'!$H$10:$I$12,2,0),0)*$F$8/1000,""))</f>
        <v>0</v>
      </c>
      <c r="AZ43" s="39"/>
      <c r="BA43" s="42">
        <f t="shared" si="11"/>
        <v>0</v>
      </c>
      <c r="BB43" s="72">
        <f t="shared" si="28"/>
        <v>0</v>
      </c>
      <c r="BC43" s="39"/>
      <c r="BD43" s="72">
        <f t="shared" si="12"/>
        <v>0</v>
      </c>
      <c r="BE43" s="72">
        <f t="shared" si="29"/>
        <v>0</v>
      </c>
      <c r="BF43" s="39"/>
      <c r="BG43" s="42">
        <f t="shared" si="13"/>
        <v>0</v>
      </c>
      <c r="BH43" s="72">
        <f t="shared" si="30"/>
        <v>0</v>
      </c>
      <c r="BI43" s="39"/>
      <c r="BJ43" s="40" t="str">
        <f t="shared" si="31"/>
        <v/>
      </c>
      <c r="BK43" s="157" t="str">
        <f t="shared" si="32"/>
        <v/>
      </c>
      <c r="BL43" s="157" t="str">
        <f t="shared" si="14"/>
        <v/>
      </c>
      <c r="BM43" s="72"/>
      <c r="BN43" s="72" t="str">
        <f t="shared" si="33"/>
        <v/>
      </c>
      <c r="BO43" s="72" t="str">
        <f t="shared" si="34"/>
        <v/>
      </c>
      <c r="BP43" s="39"/>
      <c r="BQ43" s="72">
        <f t="shared" si="15"/>
        <v>194130360</v>
      </c>
      <c r="BR43" s="72">
        <f t="shared" si="35"/>
        <v>82378512.078258127</v>
      </c>
    </row>
    <row r="44" spans="3:70" x14ac:dyDescent="0.15">
      <c r="H44" s="71"/>
      <c r="I44" s="322">
        <f t="shared" si="36"/>
        <v>2059</v>
      </c>
      <c r="J44" s="71"/>
      <c r="K44" s="71">
        <f t="shared" si="37"/>
        <v>30</v>
      </c>
      <c r="L44" s="71"/>
      <c r="M44" s="7">
        <f t="shared" si="0"/>
        <v>0.41198675951590691</v>
      </c>
      <c r="N44" s="71"/>
      <c r="O44" s="10">
        <f t="shared" si="16"/>
        <v>0</v>
      </c>
      <c r="P44" s="29" t="str">
        <f t="shared" si="1"/>
        <v>-</v>
      </c>
      <c r="Q44" s="71"/>
      <c r="R44" s="10">
        <f t="shared" si="17"/>
        <v>1185000000</v>
      </c>
      <c r="S44" s="71"/>
      <c r="T44" s="10">
        <f t="shared" si="18"/>
        <v>1185000000</v>
      </c>
      <c r="U44" s="71"/>
      <c r="V44" s="10">
        <f t="shared" si="2"/>
        <v>0</v>
      </c>
      <c r="W44" s="10">
        <f t="shared" si="19"/>
        <v>0</v>
      </c>
      <c r="X44" s="71"/>
      <c r="Y44" s="10">
        <f t="shared" si="3"/>
        <v>16590000</v>
      </c>
      <c r="Z44" s="10">
        <f t="shared" si="20"/>
        <v>6834860.3403688958</v>
      </c>
      <c r="AA44" s="71"/>
      <c r="AB44" s="10">
        <f t="shared" si="4"/>
        <v>0</v>
      </c>
      <c r="AC44" s="10">
        <f t="shared" si="21"/>
        <v>0</v>
      </c>
      <c r="AD44" s="71"/>
      <c r="AE44" s="10">
        <f t="shared" si="5"/>
        <v>0</v>
      </c>
      <c r="AF44" s="10">
        <f t="shared" si="22"/>
        <v>0</v>
      </c>
      <c r="AG44" s="71"/>
      <c r="AH44" s="10">
        <f t="shared" si="6"/>
        <v>990000000</v>
      </c>
      <c r="AI44" s="10">
        <f t="shared" si="23"/>
        <v>407866891.92074782</v>
      </c>
      <c r="AJ44" s="71"/>
      <c r="AK44" s="10">
        <f t="shared" si="7"/>
        <v>0</v>
      </c>
      <c r="AL44" s="10">
        <f t="shared" si="24"/>
        <v>0</v>
      </c>
      <c r="AM44" s="71"/>
      <c r="AN44" s="10">
        <f t="shared" si="8"/>
        <v>0</v>
      </c>
      <c r="AO44" s="10">
        <f t="shared" si="25"/>
        <v>0</v>
      </c>
      <c r="AP44" s="71"/>
      <c r="AQ44" s="10">
        <f t="shared" si="9"/>
        <v>0</v>
      </c>
      <c r="AR44" s="10">
        <f t="shared" si="26"/>
        <v>0</v>
      </c>
      <c r="AS44" s="71"/>
      <c r="AT44" s="7">
        <f>IF($K44&lt;=$F$15,IF($F$40&lt;&gt;"",$F$40/1000,IF(ISERROR(VLOOKUP($F$3&amp;IF($G$4&lt;&gt;"",$G$4,"")&amp;IF($F$43&lt;&gt;"","_"&amp;$F$43,""),'表3）燃料価格'!$AF$9:$AG$25,2,0)),0,VLOOKUP($I44,'表3）燃料価格'!$A$6:$U$66,VLOOKUP($F$3&amp;IF($G$4&lt;&gt;"",$G$4,"")&amp;IF($F$43&lt;&gt;"","_"&amp;$F$43,""),'表3）燃料価格'!$AF$9:$AG$25,2,0)+VLOOKUP($F$41,'表3）燃料価格'!$AF$28:$AG$29,2,0),0)*IF($F$43="需要地価格",1,$F$8/$F$141))),"")</f>
        <v>0</v>
      </c>
      <c r="AU44" s="71"/>
      <c r="AV44" s="10">
        <f t="shared" si="10"/>
        <v>0</v>
      </c>
      <c r="AW44" s="10">
        <f t="shared" si="27"/>
        <v>0</v>
      </c>
      <c r="AX44" s="71"/>
      <c r="AY44" s="7">
        <f>IF(ISERROR(IF($K44&lt;=$F$15,VLOOKUP($I44,'表4）CO2価格'!$A$7:$E$67,VLOOKUP($F$48,'表4）CO2価格'!$H$10:$I$12,2,0),0)*$F$8/1000,"")),0,IF($K44&lt;=$F$15,VLOOKUP($I44,'表4）CO2価格'!$A$7:$E$67,VLOOKUP($F$48,'表4）CO2価格'!$H$10:$I$12,2,0),0)*$F$8/1000,""))</f>
        <v>0</v>
      </c>
      <c r="AZ44" s="71"/>
      <c r="BA44" s="11">
        <f t="shared" si="11"/>
        <v>0</v>
      </c>
      <c r="BB44" s="10">
        <f t="shared" si="28"/>
        <v>0</v>
      </c>
      <c r="BC44" s="71"/>
      <c r="BD44" s="10">
        <f t="shared" si="12"/>
        <v>0</v>
      </c>
      <c r="BE44" s="10">
        <f t="shared" si="29"/>
        <v>0</v>
      </c>
      <c r="BF44" s="71"/>
      <c r="BG44" s="11">
        <f t="shared" si="13"/>
        <v>0</v>
      </c>
      <c r="BH44" s="10">
        <f t="shared" si="30"/>
        <v>0</v>
      </c>
      <c r="BJ44" s="7" t="str">
        <f t="shared" si="31"/>
        <v/>
      </c>
      <c r="BK44" s="158" t="str">
        <f t="shared" si="32"/>
        <v/>
      </c>
      <c r="BL44" s="158" t="str">
        <f t="shared" si="14"/>
        <v/>
      </c>
      <c r="BM44" s="10"/>
      <c r="BN44" s="10" t="str">
        <f t="shared" si="33"/>
        <v/>
      </c>
      <c r="BO44" s="10" t="str">
        <f t="shared" si="34"/>
        <v/>
      </c>
      <c r="BQ44" s="10">
        <f t="shared" si="15"/>
        <v>194130360</v>
      </c>
      <c r="BR44" s="10">
        <f t="shared" si="35"/>
        <v>79979137.940056428</v>
      </c>
    </row>
    <row r="45" spans="3:70" x14ac:dyDescent="0.15">
      <c r="C45" s="4" t="s">
        <v>575</v>
      </c>
      <c r="D45" s="100"/>
      <c r="E45" s="100"/>
      <c r="F45" s="4"/>
      <c r="G45" s="100"/>
      <c r="H45" s="71"/>
      <c r="I45" s="38">
        <f t="shared" si="36"/>
        <v>2060</v>
      </c>
      <c r="J45" s="39"/>
      <c r="K45" s="39">
        <f t="shared" si="37"/>
        <v>31</v>
      </c>
      <c r="L45" s="39"/>
      <c r="M45" s="40">
        <f t="shared" si="0"/>
        <v>0.39998714516107459</v>
      </c>
      <c r="N45" s="39"/>
      <c r="O45" s="72">
        <f t="shared" si="16"/>
        <v>0</v>
      </c>
      <c r="P45" s="41" t="str">
        <f t="shared" si="1"/>
        <v>-</v>
      </c>
      <c r="Q45" s="39"/>
      <c r="R45" s="72">
        <f t="shared" si="17"/>
        <v>1185000000</v>
      </c>
      <c r="S45" s="39"/>
      <c r="T45" s="72">
        <f t="shared" si="18"/>
        <v>1185000000</v>
      </c>
      <c r="U45" s="39"/>
      <c r="V45" s="72">
        <f t="shared" si="2"/>
        <v>0</v>
      </c>
      <c r="W45" s="72">
        <f t="shared" si="19"/>
        <v>0</v>
      </c>
      <c r="X45" s="39"/>
      <c r="Y45" s="72">
        <f t="shared" si="3"/>
        <v>16590000</v>
      </c>
      <c r="Z45" s="72">
        <f t="shared" si="20"/>
        <v>6635786.7382222274</v>
      </c>
      <c r="AA45" s="39"/>
      <c r="AB45" s="72">
        <f t="shared" si="4"/>
        <v>0</v>
      </c>
      <c r="AC45" s="72">
        <f t="shared" si="21"/>
        <v>0</v>
      </c>
      <c r="AD45" s="39"/>
      <c r="AE45" s="72">
        <f t="shared" si="5"/>
        <v>0</v>
      </c>
      <c r="AF45" s="72">
        <f t="shared" si="22"/>
        <v>0</v>
      </c>
      <c r="AG45" s="39"/>
      <c r="AH45" s="72">
        <f t="shared" si="6"/>
        <v>990000000</v>
      </c>
      <c r="AI45" s="72">
        <f t="shared" si="23"/>
        <v>395987273.70946383</v>
      </c>
      <c r="AJ45" s="39"/>
      <c r="AK45" s="72">
        <f t="shared" si="7"/>
        <v>0</v>
      </c>
      <c r="AL45" s="72">
        <f t="shared" si="24"/>
        <v>0</v>
      </c>
      <c r="AM45" s="39"/>
      <c r="AN45" s="72">
        <f t="shared" si="8"/>
        <v>0</v>
      </c>
      <c r="AO45" s="72">
        <f t="shared" si="25"/>
        <v>0</v>
      </c>
      <c r="AP45" s="39"/>
      <c r="AQ45" s="72">
        <f t="shared" si="9"/>
        <v>0</v>
      </c>
      <c r="AR45" s="72">
        <f t="shared" si="26"/>
        <v>0</v>
      </c>
      <c r="AS45" s="39"/>
      <c r="AT45" s="40">
        <f>IF($K45&lt;=$F$15,IF($F$40&lt;&gt;"",$F$40/1000,IF(ISERROR(VLOOKUP($F$3&amp;IF($G$4&lt;&gt;"",$G$4,"")&amp;IF($F$43&lt;&gt;"","_"&amp;$F$43,""),'表3）燃料価格'!$AF$9:$AG$25,2,0)),0,VLOOKUP($I45,'表3）燃料価格'!$A$6:$U$66,VLOOKUP($F$3&amp;IF($G$4&lt;&gt;"",$G$4,"")&amp;IF($F$43&lt;&gt;"","_"&amp;$F$43,""),'表3）燃料価格'!$AF$9:$AG$25,2,0)+VLOOKUP($F$41,'表3）燃料価格'!$AF$28:$AG$29,2,0),0)*IF($F$43="需要地価格",1,$F$8/$F$141))),"")</f>
        <v>0</v>
      </c>
      <c r="AU45" s="39"/>
      <c r="AV45" s="72">
        <f t="shared" si="10"/>
        <v>0</v>
      </c>
      <c r="AW45" s="72">
        <f t="shared" si="27"/>
        <v>0</v>
      </c>
      <c r="AX45" s="39"/>
      <c r="AY45" s="40">
        <f>IF(ISERROR(IF($K45&lt;=$F$15,VLOOKUP($I45,'表4）CO2価格'!$A$7:$E$67,VLOOKUP($F$48,'表4）CO2価格'!$H$10:$I$12,2,0),0)*$F$8/1000,"")),0,IF($K45&lt;=$F$15,VLOOKUP($I45,'表4）CO2価格'!$A$7:$E$67,VLOOKUP($F$48,'表4）CO2価格'!$H$10:$I$12,2,0),0)*$F$8/1000,""))</f>
        <v>0</v>
      </c>
      <c r="AZ45" s="39"/>
      <c r="BA45" s="42">
        <f t="shared" si="11"/>
        <v>0</v>
      </c>
      <c r="BB45" s="72">
        <f t="shared" si="28"/>
        <v>0</v>
      </c>
      <c r="BC45" s="39"/>
      <c r="BD45" s="72">
        <f t="shared" si="12"/>
        <v>0</v>
      </c>
      <c r="BE45" s="72">
        <f t="shared" si="29"/>
        <v>0</v>
      </c>
      <c r="BF45" s="39"/>
      <c r="BG45" s="42">
        <f t="shared" si="13"/>
        <v>0</v>
      </c>
      <c r="BH45" s="72">
        <f t="shared" si="30"/>
        <v>0</v>
      </c>
      <c r="BI45" s="39"/>
      <c r="BJ45" s="40" t="str">
        <f t="shared" si="31"/>
        <v/>
      </c>
      <c r="BK45" s="157" t="str">
        <f t="shared" si="32"/>
        <v/>
      </c>
      <c r="BL45" s="157" t="str">
        <f t="shared" si="14"/>
        <v/>
      </c>
      <c r="BM45" s="72"/>
      <c r="BN45" s="72" t="str">
        <f t="shared" si="33"/>
        <v/>
      </c>
      <c r="BO45" s="72" t="str">
        <f t="shared" si="34"/>
        <v/>
      </c>
      <c r="BP45" s="39"/>
      <c r="BQ45" s="72">
        <f t="shared" si="15"/>
        <v>194130360</v>
      </c>
      <c r="BR45" s="72">
        <f t="shared" si="35"/>
        <v>77649648.485491663</v>
      </c>
    </row>
    <row r="46" spans="3:70" x14ac:dyDescent="0.15">
      <c r="H46" s="71"/>
      <c r="I46" s="322">
        <f t="shared" si="36"/>
        <v>2061</v>
      </c>
      <c r="J46" s="71"/>
      <c r="K46" s="71">
        <f t="shared" si="37"/>
        <v>32</v>
      </c>
      <c r="L46" s="71"/>
      <c r="M46" s="7">
        <f t="shared" si="0"/>
        <v>0.38833703413696569</v>
      </c>
      <c r="N46" s="71"/>
      <c r="O46" s="10">
        <f t="shared" si="16"/>
        <v>0</v>
      </c>
      <c r="P46" s="29" t="str">
        <f t="shared" si="1"/>
        <v>-</v>
      </c>
      <c r="Q46" s="71"/>
      <c r="R46" s="10">
        <f t="shared" si="17"/>
        <v>1185000000</v>
      </c>
      <c r="S46" s="71"/>
      <c r="T46" s="10">
        <f t="shared" si="18"/>
        <v>1185000000</v>
      </c>
      <c r="U46" s="71"/>
      <c r="V46" s="10">
        <f t="shared" si="2"/>
        <v>0</v>
      </c>
      <c r="W46" s="10">
        <f t="shared" si="19"/>
        <v>0</v>
      </c>
      <c r="X46" s="71"/>
      <c r="Y46" s="10">
        <f t="shared" si="3"/>
        <v>16590000</v>
      </c>
      <c r="Z46" s="10">
        <f t="shared" si="20"/>
        <v>6442511.3963322612</v>
      </c>
      <c r="AA46" s="71"/>
      <c r="AB46" s="10">
        <f t="shared" si="4"/>
        <v>0</v>
      </c>
      <c r="AC46" s="10">
        <f t="shared" si="21"/>
        <v>0</v>
      </c>
      <c r="AD46" s="71"/>
      <c r="AE46" s="10">
        <f t="shared" si="5"/>
        <v>0</v>
      </c>
      <c r="AF46" s="10">
        <f t="shared" si="22"/>
        <v>0</v>
      </c>
      <c r="AG46" s="71"/>
      <c r="AH46" s="10">
        <f t="shared" si="6"/>
        <v>990000000</v>
      </c>
      <c r="AI46" s="10">
        <f t="shared" si="23"/>
        <v>384453663.795596</v>
      </c>
      <c r="AJ46" s="71"/>
      <c r="AK46" s="10">
        <f t="shared" si="7"/>
        <v>0</v>
      </c>
      <c r="AL46" s="10">
        <f t="shared" si="24"/>
        <v>0</v>
      </c>
      <c r="AM46" s="71"/>
      <c r="AN46" s="10">
        <f t="shared" si="8"/>
        <v>0</v>
      </c>
      <c r="AO46" s="10">
        <f t="shared" si="25"/>
        <v>0</v>
      </c>
      <c r="AP46" s="71"/>
      <c r="AQ46" s="10">
        <f t="shared" si="9"/>
        <v>0</v>
      </c>
      <c r="AR46" s="10">
        <f t="shared" si="26"/>
        <v>0</v>
      </c>
      <c r="AS46" s="71"/>
      <c r="AT46" s="7">
        <f>IF($K46&lt;=$F$15,IF($F$40&lt;&gt;"",$F$40/1000,IF(ISERROR(VLOOKUP($F$3&amp;IF($G$4&lt;&gt;"",$G$4,"")&amp;IF($F$43&lt;&gt;"","_"&amp;$F$43,""),'表3）燃料価格'!$AF$9:$AG$25,2,0)),0,VLOOKUP($I46,'表3）燃料価格'!$A$6:$U$66,VLOOKUP($F$3&amp;IF($G$4&lt;&gt;"",$G$4,"")&amp;IF($F$43&lt;&gt;"","_"&amp;$F$43,""),'表3）燃料価格'!$AF$9:$AG$25,2,0)+VLOOKUP($F$41,'表3）燃料価格'!$AF$28:$AG$29,2,0),0)*IF($F$43="需要地価格",1,$F$8/$F$141))),"")</f>
        <v>0</v>
      </c>
      <c r="AU46" s="71"/>
      <c r="AV46" s="10">
        <f t="shared" si="10"/>
        <v>0</v>
      </c>
      <c r="AW46" s="10">
        <f t="shared" si="27"/>
        <v>0</v>
      </c>
      <c r="AX46" s="71"/>
      <c r="AY46" s="7">
        <f>IF(ISERROR(IF($K46&lt;=$F$15,VLOOKUP($I46,'表4）CO2価格'!$A$7:$E$67,VLOOKUP($F$48,'表4）CO2価格'!$H$10:$I$12,2,0),0)*$F$8/1000,"")),0,IF($K46&lt;=$F$15,VLOOKUP($I46,'表4）CO2価格'!$A$7:$E$67,VLOOKUP($F$48,'表4）CO2価格'!$H$10:$I$12,2,0),0)*$F$8/1000,""))</f>
        <v>0</v>
      </c>
      <c r="AZ46" s="71"/>
      <c r="BA46" s="11">
        <f t="shared" si="11"/>
        <v>0</v>
      </c>
      <c r="BB46" s="10">
        <f t="shared" si="28"/>
        <v>0</v>
      </c>
      <c r="BC46" s="71"/>
      <c r="BD46" s="10">
        <f t="shared" si="12"/>
        <v>0</v>
      </c>
      <c r="BE46" s="10">
        <f t="shared" si="29"/>
        <v>0</v>
      </c>
      <c r="BF46" s="71"/>
      <c r="BG46" s="11">
        <f t="shared" si="13"/>
        <v>0</v>
      </c>
      <c r="BH46" s="10">
        <f t="shared" si="30"/>
        <v>0</v>
      </c>
      <c r="BJ46" s="7" t="str">
        <f t="shared" si="31"/>
        <v/>
      </c>
      <c r="BK46" s="158" t="str">
        <f t="shared" si="32"/>
        <v/>
      </c>
      <c r="BL46" s="158" t="str">
        <f t="shared" si="14"/>
        <v/>
      </c>
      <c r="BM46" s="10"/>
      <c r="BN46" s="10" t="str">
        <f t="shared" si="33"/>
        <v/>
      </c>
      <c r="BO46" s="10" t="str">
        <f t="shared" si="34"/>
        <v/>
      </c>
      <c r="BQ46" s="10">
        <f t="shared" si="15"/>
        <v>194130360</v>
      </c>
      <c r="BR46" s="10">
        <f t="shared" si="35"/>
        <v>75388008.238341436</v>
      </c>
    </row>
    <row r="47" spans="3:70" x14ac:dyDescent="0.15">
      <c r="D47" s="84" t="s">
        <v>576</v>
      </c>
      <c r="F47" s="475"/>
      <c r="G47" s="84" t="s">
        <v>577</v>
      </c>
      <c r="H47" s="71"/>
      <c r="I47" s="38">
        <f t="shared" si="36"/>
        <v>2062</v>
      </c>
      <c r="J47" s="39"/>
      <c r="K47" s="39">
        <f t="shared" si="37"/>
        <v>33</v>
      </c>
      <c r="L47" s="39"/>
      <c r="M47" s="40">
        <f t="shared" si="0"/>
        <v>0.37702624673491814</v>
      </c>
      <c r="N47" s="39"/>
      <c r="O47" s="72">
        <f t="shared" si="16"/>
        <v>0</v>
      </c>
      <c r="P47" s="41" t="str">
        <f t="shared" ref="P47:P78" si="38">IF(K47&lt;=$F$15,IF(OR(P46=$F$124,P46="-"),"-",IF(O47*$F$123&gt;$F$127,$F$123,$F$124)),"")</f>
        <v>-</v>
      </c>
      <c r="Q47" s="39"/>
      <c r="R47" s="72">
        <f t="shared" si="17"/>
        <v>1185000000</v>
      </c>
      <c r="S47" s="39"/>
      <c r="T47" s="72">
        <f t="shared" si="18"/>
        <v>1185000000</v>
      </c>
      <c r="U47" s="39"/>
      <c r="V47" s="72">
        <f t="shared" ref="V47:V78" si="39">IF(K47&lt;=$F$15,IF(K47&lt;$F$119,IF(P47="-",V46,O47*P47),IF(K47=$F$119,MIN(IF(P47="-",V46,O47*P47),O47),0)),"")</f>
        <v>0</v>
      </c>
      <c r="W47" s="72">
        <f t="shared" si="19"/>
        <v>0</v>
      </c>
      <c r="X47" s="39"/>
      <c r="Y47" s="72">
        <f t="shared" ref="Y47:Y78" si="40">IF($K47&lt;=$F$15,ROUNDDOWN(T47*$F$25/100,-2),"")</f>
        <v>16590000</v>
      </c>
      <c r="Z47" s="72">
        <f t="shared" si="20"/>
        <v>6254865.4333322914</v>
      </c>
      <c r="AA47" s="39"/>
      <c r="AB47" s="72">
        <f t="shared" si="4"/>
        <v>0</v>
      </c>
      <c r="AC47" s="72">
        <f t="shared" si="21"/>
        <v>0</v>
      </c>
      <c r="AD47" s="39"/>
      <c r="AE47" s="72">
        <f t="shared" ref="AE47:AE78" si="41">IF($K47&lt;=$F$15,$F$26,"")</f>
        <v>0</v>
      </c>
      <c r="AF47" s="72">
        <f t="shared" si="22"/>
        <v>0</v>
      </c>
      <c r="AG47" s="39"/>
      <c r="AH47" s="72">
        <f t="shared" ref="AH47:AH78" si="42">IF($K47&lt;=$F$15,$F$33*10^4*$F$13*10^4,"")</f>
        <v>990000000</v>
      </c>
      <c r="AI47" s="72">
        <f t="shared" si="23"/>
        <v>373255984.26756895</v>
      </c>
      <c r="AJ47" s="39"/>
      <c r="AK47" s="72">
        <f t="shared" ref="AK47:AK78" si="43">IF($K47&lt;=$F$15,$F$117*$F$34/100,"")</f>
        <v>0</v>
      </c>
      <c r="AL47" s="72">
        <f t="shared" si="24"/>
        <v>0</v>
      </c>
      <c r="AM47" s="39"/>
      <c r="AN47" s="72">
        <f t="shared" ref="AN47:AN78" si="44">IF($K47&lt;=$F$15,$F$117*$F$35/100,"")</f>
        <v>0</v>
      </c>
      <c r="AO47" s="72">
        <f t="shared" si="25"/>
        <v>0</v>
      </c>
      <c r="AP47" s="39"/>
      <c r="AQ47" s="72">
        <f t="shared" ref="AQ47:AQ78" si="45">IF($K47&lt;=$F$15,SUM(AH47,AK47,AN47)*($F$36/100),"")</f>
        <v>0</v>
      </c>
      <c r="AR47" s="72">
        <f t="shared" si="26"/>
        <v>0</v>
      </c>
      <c r="AS47" s="39"/>
      <c r="AT47" s="40">
        <f>IF($K47&lt;=$F$15,IF($F$40&lt;&gt;"",$F$40/1000,IF(ISERROR(VLOOKUP($F$3&amp;IF($G$4&lt;&gt;"",$G$4,"")&amp;IF($F$43&lt;&gt;"","_"&amp;$F$43,""),'表3）燃料価格'!$AF$9:$AG$25,2,0)),0,VLOOKUP($I47,'表3）燃料価格'!$A$6:$U$66,VLOOKUP($F$3&amp;IF($G$4&lt;&gt;"",$G$4,"")&amp;IF($F$43&lt;&gt;"","_"&amp;$F$43,""),'表3）燃料価格'!$AF$9:$AG$25,2,0)+VLOOKUP($F$41,'表3）燃料価格'!$AF$28:$AG$29,2,0),0)*IF($F$43="需要地価格",1,$F$8/$F$141))),"")</f>
        <v>0</v>
      </c>
      <c r="AU47" s="39"/>
      <c r="AV47" s="72">
        <f t="shared" ref="AV47:AV78" si="46">IF($K47&lt;=$F$15,($AT47+$F$142)*$F$137,"")</f>
        <v>0</v>
      </c>
      <c r="AW47" s="72">
        <f t="shared" si="27"/>
        <v>0</v>
      </c>
      <c r="AX47" s="39"/>
      <c r="AY47" s="40">
        <f>IF(ISERROR(IF($K47&lt;=$F$15,VLOOKUP($I47,'表4）CO2価格'!$A$7:$E$67,VLOOKUP($F$48,'表4）CO2価格'!$H$10:$I$12,2,0),0)*$F$8/1000,"")),0,IF($K47&lt;=$F$15,VLOOKUP($I47,'表4）CO2価格'!$A$7:$E$67,VLOOKUP($F$48,'表4）CO2価格'!$H$10:$I$12,2,0),0)*$F$8/1000,""))</f>
        <v>0</v>
      </c>
      <c r="AZ47" s="39"/>
      <c r="BA47" s="42">
        <f t="shared" ref="BA47:BA78" si="47">IF($K47&lt;=$F$15,$F$145*AY47,"")</f>
        <v>0</v>
      </c>
      <c r="BB47" s="72">
        <f t="shared" si="28"/>
        <v>0</v>
      </c>
      <c r="BC47" s="39"/>
      <c r="BD47" s="72">
        <f t="shared" ref="BD47:BD78" si="48">IF($K47&lt;=$F$15,($AT47+$F$152)*$F$151,"")</f>
        <v>0</v>
      </c>
      <c r="BE47" s="72">
        <f t="shared" si="29"/>
        <v>0</v>
      </c>
      <c r="BF47" s="39"/>
      <c r="BG47" s="42">
        <f t="shared" ref="BG47:BG78" si="49">IF($K47&lt;=$F$15,$F$153*AY47,"")</f>
        <v>0</v>
      </c>
      <c r="BH47" s="72">
        <f t="shared" si="30"/>
        <v>0</v>
      </c>
      <c r="BI47" s="39"/>
      <c r="BJ47" s="40" t="str">
        <f t="shared" si="31"/>
        <v/>
      </c>
      <c r="BK47" s="157" t="str">
        <f t="shared" si="32"/>
        <v/>
      </c>
      <c r="BL47" s="157" t="str">
        <f t="shared" si="14"/>
        <v/>
      </c>
      <c r="BM47" s="72"/>
      <c r="BN47" s="72" t="str">
        <f t="shared" si="33"/>
        <v/>
      </c>
      <c r="BO47" s="72" t="str">
        <f t="shared" si="34"/>
        <v/>
      </c>
      <c r="BP47" s="39"/>
      <c r="BQ47" s="72">
        <f t="shared" ref="BQ47:BQ78" si="50">IF($K47&lt;=$F$15,$F$134,"")</f>
        <v>194130360</v>
      </c>
      <c r="BR47" s="72">
        <f t="shared" si="35"/>
        <v>73192241.008098483</v>
      </c>
    </row>
    <row r="48" spans="3:70" x14ac:dyDescent="0.15">
      <c r="D48" s="84" t="s">
        <v>578</v>
      </c>
      <c r="F48" s="474"/>
      <c r="H48" s="71"/>
      <c r="I48" s="322">
        <f t="shared" si="36"/>
        <v>2063</v>
      </c>
      <c r="J48" s="71"/>
      <c r="K48" s="71">
        <f t="shared" si="37"/>
        <v>34</v>
      </c>
      <c r="L48" s="71"/>
      <c r="M48" s="7">
        <f t="shared" si="0"/>
        <v>0.36604489974263904</v>
      </c>
      <c r="N48" s="71"/>
      <c r="O48" s="10">
        <f t="shared" si="16"/>
        <v>0</v>
      </c>
      <c r="P48" s="29" t="str">
        <f t="shared" si="38"/>
        <v>-</v>
      </c>
      <c r="Q48" s="71"/>
      <c r="R48" s="10">
        <f t="shared" ref="R48:R79" si="51">IF($K48&lt;=$F$15,MAX($F$117*5%,R47*$F$129),"")</f>
        <v>1185000000</v>
      </c>
      <c r="S48" s="71"/>
      <c r="T48" s="10">
        <f t="shared" si="18"/>
        <v>1185000000</v>
      </c>
      <c r="U48" s="71"/>
      <c r="V48" s="10">
        <f t="shared" si="39"/>
        <v>0</v>
      </c>
      <c r="W48" s="10">
        <f t="shared" si="19"/>
        <v>0</v>
      </c>
      <c r="X48" s="71"/>
      <c r="Y48" s="10">
        <f t="shared" si="40"/>
        <v>16590000</v>
      </c>
      <c r="Z48" s="10">
        <f t="shared" si="20"/>
        <v>6072684.8867303813</v>
      </c>
      <c r="AA48" s="71"/>
      <c r="AB48" s="10">
        <f t="shared" si="4"/>
        <v>0</v>
      </c>
      <c r="AC48" s="10">
        <f t="shared" si="21"/>
        <v>0</v>
      </c>
      <c r="AD48" s="71"/>
      <c r="AE48" s="10">
        <f t="shared" si="41"/>
        <v>0</v>
      </c>
      <c r="AF48" s="10">
        <f t="shared" si="22"/>
        <v>0</v>
      </c>
      <c r="AG48" s="71"/>
      <c r="AH48" s="10">
        <f t="shared" si="42"/>
        <v>990000000</v>
      </c>
      <c r="AI48" s="10">
        <f t="shared" si="23"/>
        <v>362384450.74521267</v>
      </c>
      <c r="AJ48" s="71"/>
      <c r="AK48" s="10">
        <f t="shared" si="43"/>
        <v>0</v>
      </c>
      <c r="AL48" s="10">
        <f t="shared" si="24"/>
        <v>0</v>
      </c>
      <c r="AM48" s="71"/>
      <c r="AN48" s="10">
        <f t="shared" si="44"/>
        <v>0</v>
      </c>
      <c r="AO48" s="10">
        <f t="shared" si="25"/>
        <v>0</v>
      </c>
      <c r="AP48" s="71"/>
      <c r="AQ48" s="10">
        <f t="shared" si="45"/>
        <v>0</v>
      </c>
      <c r="AR48" s="10">
        <f t="shared" si="26"/>
        <v>0</v>
      </c>
      <c r="AS48" s="71"/>
      <c r="AT48" s="7">
        <f>IF($K48&lt;=$F$15,IF($F$40&lt;&gt;"",$F$40/1000,IF(ISERROR(VLOOKUP($F$3&amp;IF($G$4&lt;&gt;"",$G$4,"")&amp;IF($F$43&lt;&gt;"","_"&amp;$F$43,""),'表3）燃料価格'!$AF$9:$AG$25,2,0)),0,VLOOKUP($I48,'表3）燃料価格'!$A$6:$U$66,VLOOKUP($F$3&amp;IF($G$4&lt;&gt;"",$G$4,"")&amp;IF($F$43&lt;&gt;"","_"&amp;$F$43,""),'表3）燃料価格'!$AF$9:$AG$25,2,0)+VLOOKUP($F$41,'表3）燃料価格'!$AF$28:$AG$29,2,0),0)*IF($F$43="需要地価格",1,$F$8/$F$141))),"")</f>
        <v>0</v>
      </c>
      <c r="AU48" s="71"/>
      <c r="AV48" s="10">
        <f t="shared" si="46"/>
        <v>0</v>
      </c>
      <c r="AW48" s="10">
        <f t="shared" si="27"/>
        <v>0</v>
      </c>
      <c r="AX48" s="71"/>
      <c r="AY48" s="7">
        <f>IF(ISERROR(IF($K48&lt;=$F$15,VLOOKUP($I48,'表4）CO2価格'!$A$7:$E$67,VLOOKUP($F$48,'表4）CO2価格'!$H$10:$I$12,2,0),0)*$F$8/1000,"")),0,IF($K48&lt;=$F$15,VLOOKUP($I48,'表4）CO2価格'!$A$7:$E$67,VLOOKUP($F$48,'表4）CO2価格'!$H$10:$I$12,2,0),0)*$F$8/1000,""))</f>
        <v>0</v>
      </c>
      <c r="AZ48" s="71"/>
      <c r="BA48" s="11">
        <f t="shared" si="47"/>
        <v>0</v>
      </c>
      <c r="BB48" s="10">
        <f t="shared" si="28"/>
        <v>0</v>
      </c>
      <c r="BC48" s="71"/>
      <c r="BD48" s="10">
        <f t="shared" si="48"/>
        <v>0</v>
      </c>
      <c r="BE48" s="10">
        <f t="shared" si="29"/>
        <v>0</v>
      </c>
      <c r="BF48" s="71"/>
      <c r="BG48" s="11">
        <f t="shared" si="49"/>
        <v>0</v>
      </c>
      <c r="BH48" s="10">
        <f t="shared" si="30"/>
        <v>0</v>
      </c>
      <c r="BJ48" s="7" t="str">
        <f t="shared" si="31"/>
        <v/>
      </c>
      <c r="BK48" s="158" t="str">
        <f t="shared" si="32"/>
        <v/>
      </c>
      <c r="BL48" s="158" t="str">
        <f t="shared" si="14"/>
        <v/>
      </c>
      <c r="BM48" s="10"/>
      <c r="BN48" s="10" t="str">
        <f t="shared" si="33"/>
        <v/>
      </c>
      <c r="BO48" s="10" t="str">
        <f t="shared" si="34"/>
        <v/>
      </c>
      <c r="BQ48" s="10">
        <f t="shared" si="50"/>
        <v>194130360</v>
      </c>
      <c r="BR48" s="10">
        <f t="shared" si="35"/>
        <v>71060428.16320242</v>
      </c>
    </row>
    <row r="49" spans="3:70" x14ac:dyDescent="0.15">
      <c r="H49" s="71"/>
      <c r="I49" s="38">
        <f t="shared" si="36"/>
        <v>2064</v>
      </c>
      <c r="J49" s="39"/>
      <c r="K49" s="39">
        <f t="shared" si="37"/>
        <v>35</v>
      </c>
      <c r="L49" s="39"/>
      <c r="M49" s="40">
        <f t="shared" si="0"/>
        <v>0.35538339780838735</v>
      </c>
      <c r="N49" s="39"/>
      <c r="O49" s="72">
        <f t="shared" si="16"/>
        <v>0</v>
      </c>
      <c r="P49" s="41" t="str">
        <f t="shared" si="38"/>
        <v>-</v>
      </c>
      <c r="Q49" s="39"/>
      <c r="R49" s="72">
        <f t="shared" si="51"/>
        <v>1185000000</v>
      </c>
      <c r="S49" s="39"/>
      <c r="T49" s="72">
        <f t="shared" si="18"/>
        <v>1185000000</v>
      </c>
      <c r="U49" s="39"/>
      <c r="V49" s="72">
        <f t="shared" si="39"/>
        <v>0</v>
      </c>
      <c r="W49" s="72">
        <f t="shared" si="19"/>
        <v>0</v>
      </c>
      <c r="X49" s="39"/>
      <c r="Y49" s="72">
        <f t="shared" si="40"/>
        <v>16590000</v>
      </c>
      <c r="Z49" s="72">
        <f t="shared" si="20"/>
        <v>5895810.5696411459</v>
      </c>
      <c r="AA49" s="39"/>
      <c r="AB49" s="72">
        <f t="shared" si="4"/>
        <v>0</v>
      </c>
      <c r="AC49" s="72">
        <f t="shared" si="21"/>
        <v>0</v>
      </c>
      <c r="AD49" s="39"/>
      <c r="AE49" s="72">
        <f t="shared" si="41"/>
        <v>0</v>
      </c>
      <c r="AF49" s="72">
        <f t="shared" si="22"/>
        <v>0</v>
      </c>
      <c r="AG49" s="39"/>
      <c r="AH49" s="72">
        <f t="shared" si="42"/>
        <v>990000000</v>
      </c>
      <c r="AI49" s="72">
        <f t="shared" si="23"/>
        <v>351829563.83030349</v>
      </c>
      <c r="AJ49" s="39"/>
      <c r="AK49" s="72">
        <f t="shared" si="43"/>
        <v>0</v>
      </c>
      <c r="AL49" s="72">
        <f t="shared" si="24"/>
        <v>0</v>
      </c>
      <c r="AM49" s="39"/>
      <c r="AN49" s="72">
        <f t="shared" si="44"/>
        <v>0</v>
      </c>
      <c r="AO49" s="72">
        <f t="shared" si="25"/>
        <v>0</v>
      </c>
      <c r="AP49" s="39"/>
      <c r="AQ49" s="72">
        <f t="shared" si="45"/>
        <v>0</v>
      </c>
      <c r="AR49" s="72">
        <f t="shared" si="26"/>
        <v>0</v>
      </c>
      <c r="AS49" s="39"/>
      <c r="AT49" s="40">
        <f>IF($K49&lt;=$F$15,IF($F$40&lt;&gt;"",$F$40/1000,IF(ISERROR(VLOOKUP($F$3&amp;IF($G$4&lt;&gt;"",$G$4,"")&amp;IF($F$43&lt;&gt;"","_"&amp;$F$43,""),'表3）燃料価格'!$AF$9:$AG$25,2,0)),0,VLOOKUP($I49,'表3）燃料価格'!$A$6:$U$66,VLOOKUP($F$3&amp;IF($G$4&lt;&gt;"",$G$4,"")&amp;IF($F$43&lt;&gt;"","_"&amp;$F$43,""),'表3）燃料価格'!$AF$9:$AG$25,2,0)+VLOOKUP($F$41,'表3）燃料価格'!$AF$28:$AG$29,2,0),0)*IF($F$43="需要地価格",1,$F$8/$F$141))),"")</f>
        <v>0</v>
      </c>
      <c r="AU49" s="39"/>
      <c r="AV49" s="72">
        <f t="shared" si="46"/>
        <v>0</v>
      </c>
      <c r="AW49" s="72">
        <f t="shared" si="27"/>
        <v>0</v>
      </c>
      <c r="AX49" s="39"/>
      <c r="AY49" s="40">
        <f>IF(ISERROR(IF($K49&lt;=$F$15,VLOOKUP($I49,'表4）CO2価格'!$A$7:$E$67,VLOOKUP($F$48,'表4）CO2価格'!$H$10:$I$12,2,0),0)*$F$8/1000,"")),0,IF($K49&lt;=$F$15,VLOOKUP($I49,'表4）CO2価格'!$A$7:$E$67,VLOOKUP($F$48,'表4）CO2価格'!$H$10:$I$12,2,0),0)*$F$8/1000,""))</f>
        <v>0</v>
      </c>
      <c r="AZ49" s="39"/>
      <c r="BA49" s="42">
        <f t="shared" si="47"/>
        <v>0</v>
      </c>
      <c r="BB49" s="72">
        <f t="shared" si="28"/>
        <v>0</v>
      </c>
      <c r="BC49" s="39"/>
      <c r="BD49" s="72">
        <f t="shared" si="48"/>
        <v>0</v>
      </c>
      <c r="BE49" s="72">
        <f t="shared" si="29"/>
        <v>0</v>
      </c>
      <c r="BF49" s="39"/>
      <c r="BG49" s="42">
        <f t="shared" si="49"/>
        <v>0</v>
      </c>
      <c r="BH49" s="72">
        <f t="shared" si="30"/>
        <v>0</v>
      </c>
      <c r="BI49" s="39"/>
      <c r="BJ49" s="40" t="str">
        <f t="shared" si="31"/>
        <v/>
      </c>
      <c r="BK49" s="157" t="str">
        <f t="shared" si="32"/>
        <v/>
      </c>
      <c r="BL49" s="157" t="str">
        <f t="shared" si="14"/>
        <v/>
      </c>
      <c r="BM49" s="72"/>
      <c r="BN49" s="72" t="str">
        <f t="shared" si="33"/>
        <v/>
      </c>
      <c r="BO49" s="72" t="str">
        <f t="shared" si="34"/>
        <v/>
      </c>
      <c r="BP49" s="39"/>
      <c r="BQ49" s="72">
        <f t="shared" si="50"/>
        <v>194130360</v>
      </c>
      <c r="BR49" s="72">
        <f t="shared" si="35"/>
        <v>68990706.954565451</v>
      </c>
    </row>
    <row r="50" spans="3:70" x14ac:dyDescent="0.15">
      <c r="C50" s="4" t="s">
        <v>579</v>
      </c>
      <c r="D50" s="100"/>
      <c r="E50" s="100"/>
      <c r="F50" s="4"/>
      <c r="G50" s="100"/>
      <c r="H50" s="71"/>
      <c r="I50" s="322">
        <f t="shared" si="36"/>
        <v>2065</v>
      </c>
      <c r="J50" s="71"/>
      <c r="K50" s="71">
        <f t="shared" si="37"/>
        <v>36</v>
      </c>
      <c r="L50" s="71"/>
      <c r="M50" s="7">
        <f t="shared" si="0"/>
        <v>0.34503242505668674</v>
      </c>
      <c r="N50" s="71"/>
      <c r="O50" s="10">
        <f t="shared" si="16"/>
        <v>0</v>
      </c>
      <c r="P50" s="29" t="str">
        <f t="shared" si="38"/>
        <v>-</v>
      </c>
      <c r="Q50" s="71"/>
      <c r="R50" s="10">
        <f t="shared" si="51"/>
        <v>1185000000</v>
      </c>
      <c r="S50" s="71"/>
      <c r="T50" s="10">
        <f t="shared" si="18"/>
        <v>1185000000</v>
      </c>
      <c r="U50" s="71"/>
      <c r="V50" s="10">
        <f t="shared" si="39"/>
        <v>0</v>
      </c>
      <c r="W50" s="10">
        <f t="shared" si="19"/>
        <v>0</v>
      </c>
      <c r="X50" s="71"/>
      <c r="Y50" s="10">
        <f t="shared" si="40"/>
        <v>16590000</v>
      </c>
      <c r="Z50" s="10">
        <f t="shared" si="20"/>
        <v>5724087.9316904331</v>
      </c>
      <c r="AA50" s="71"/>
      <c r="AB50" s="10">
        <f t="shared" si="4"/>
        <v>0</v>
      </c>
      <c r="AC50" s="10">
        <f t="shared" si="21"/>
        <v>0</v>
      </c>
      <c r="AD50" s="71"/>
      <c r="AE50" s="10">
        <f t="shared" si="41"/>
        <v>0</v>
      </c>
      <c r="AF50" s="10">
        <f t="shared" si="22"/>
        <v>0</v>
      </c>
      <c r="AG50" s="71"/>
      <c r="AH50" s="10">
        <f t="shared" si="42"/>
        <v>990000000</v>
      </c>
      <c r="AI50" s="10">
        <f t="shared" si="23"/>
        <v>341582100.80611986</v>
      </c>
      <c r="AJ50" s="71"/>
      <c r="AK50" s="10">
        <f t="shared" si="43"/>
        <v>0</v>
      </c>
      <c r="AL50" s="10">
        <f t="shared" si="24"/>
        <v>0</v>
      </c>
      <c r="AM50" s="71"/>
      <c r="AN50" s="10">
        <f t="shared" si="44"/>
        <v>0</v>
      </c>
      <c r="AO50" s="10">
        <f t="shared" si="25"/>
        <v>0</v>
      </c>
      <c r="AP50" s="71"/>
      <c r="AQ50" s="10">
        <f t="shared" si="45"/>
        <v>0</v>
      </c>
      <c r="AR50" s="10">
        <f t="shared" si="26"/>
        <v>0</v>
      </c>
      <c r="AS50" s="71"/>
      <c r="AT50" s="7">
        <f>IF($K50&lt;=$F$15,IF($F$40&lt;&gt;"",$F$40/1000,IF(ISERROR(VLOOKUP($F$3&amp;IF($G$4&lt;&gt;"",$G$4,"")&amp;IF($F$43&lt;&gt;"","_"&amp;$F$43,""),'表3）燃料価格'!$AF$9:$AG$25,2,0)),0,VLOOKUP($I50,'表3）燃料価格'!$A$6:$U$66,VLOOKUP($F$3&amp;IF($G$4&lt;&gt;"",$G$4,"")&amp;IF($F$43&lt;&gt;"","_"&amp;$F$43,""),'表3）燃料価格'!$AF$9:$AG$25,2,0)+VLOOKUP($F$41,'表3）燃料価格'!$AF$28:$AG$29,2,0),0)*IF($F$43="需要地価格",1,$F$8/$F$141))),"")</f>
        <v>0</v>
      </c>
      <c r="AU50" s="71"/>
      <c r="AV50" s="10">
        <f t="shared" si="46"/>
        <v>0</v>
      </c>
      <c r="AW50" s="10">
        <f t="shared" si="27"/>
        <v>0</v>
      </c>
      <c r="AX50" s="71"/>
      <c r="AY50" s="7">
        <f>IF(ISERROR(IF($K50&lt;=$F$15,VLOOKUP($I50,'表4）CO2価格'!$A$7:$E$67,VLOOKUP($F$48,'表4）CO2価格'!$H$10:$I$12,2,0),0)*$F$8/1000,"")),0,IF($K50&lt;=$F$15,VLOOKUP($I50,'表4）CO2価格'!$A$7:$E$67,VLOOKUP($F$48,'表4）CO2価格'!$H$10:$I$12,2,0),0)*$F$8/1000,""))</f>
        <v>0</v>
      </c>
      <c r="AZ50" s="71"/>
      <c r="BA50" s="11">
        <f t="shared" si="47"/>
        <v>0</v>
      </c>
      <c r="BB50" s="10">
        <f t="shared" si="28"/>
        <v>0</v>
      </c>
      <c r="BC50" s="71"/>
      <c r="BD50" s="10">
        <f t="shared" si="48"/>
        <v>0</v>
      </c>
      <c r="BE50" s="10">
        <f t="shared" si="29"/>
        <v>0</v>
      </c>
      <c r="BF50" s="71"/>
      <c r="BG50" s="11">
        <f t="shared" si="49"/>
        <v>0</v>
      </c>
      <c r="BH50" s="10">
        <f t="shared" si="30"/>
        <v>0</v>
      </c>
      <c r="BJ50" s="7" t="str">
        <f t="shared" si="31"/>
        <v/>
      </c>
      <c r="BK50" s="158" t="str">
        <f t="shared" si="32"/>
        <v/>
      </c>
      <c r="BL50" s="158" t="str">
        <f t="shared" si="14"/>
        <v/>
      </c>
      <c r="BM50" s="10"/>
      <c r="BN50" s="10" t="str">
        <f t="shared" si="33"/>
        <v/>
      </c>
      <c r="BO50" s="10" t="str">
        <f t="shared" si="34"/>
        <v/>
      </c>
      <c r="BQ50" s="10">
        <f t="shared" si="50"/>
        <v>194130360</v>
      </c>
      <c r="BR50" s="10">
        <f t="shared" si="35"/>
        <v>66981268.887927614</v>
      </c>
    </row>
    <row r="51" spans="3:70" x14ac:dyDescent="0.15">
      <c r="H51" s="71"/>
      <c r="I51" s="38">
        <f t="shared" si="36"/>
        <v>2066</v>
      </c>
      <c r="J51" s="39"/>
      <c r="K51" s="39">
        <f t="shared" si="37"/>
        <v>37</v>
      </c>
      <c r="L51" s="39"/>
      <c r="M51" s="40">
        <f t="shared" si="0"/>
        <v>0.33498293694823961</v>
      </c>
      <c r="N51" s="39"/>
      <c r="O51" s="72">
        <f t="shared" si="16"/>
        <v>0</v>
      </c>
      <c r="P51" s="41" t="str">
        <f t="shared" si="38"/>
        <v>-</v>
      </c>
      <c r="Q51" s="39"/>
      <c r="R51" s="72">
        <f t="shared" si="51"/>
        <v>1185000000</v>
      </c>
      <c r="S51" s="39"/>
      <c r="T51" s="72">
        <f t="shared" si="18"/>
        <v>1185000000</v>
      </c>
      <c r="U51" s="39"/>
      <c r="V51" s="72">
        <f t="shared" si="39"/>
        <v>0</v>
      </c>
      <c r="W51" s="72">
        <f t="shared" si="19"/>
        <v>0</v>
      </c>
      <c r="X51" s="39"/>
      <c r="Y51" s="72">
        <f t="shared" si="40"/>
        <v>16590000</v>
      </c>
      <c r="Z51" s="72">
        <f t="shared" si="20"/>
        <v>5557366.9239712954</v>
      </c>
      <c r="AA51" s="39"/>
      <c r="AB51" s="72">
        <f t="shared" si="4"/>
        <v>0</v>
      </c>
      <c r="AC51" s="72">
        <f t="shared" si="21"/>
        <v>0</v>
      </c>
      <c r="AD51" s="39"/>
      <c r="AE51" s="72">
        <f t="shared" si="41"/>
        <v>0</v>
      </c>
      <c r="AF51" s="72">
        <f t="shared" si="22"/>
        <v>0</v>
      </c>
      <c r="AG51" s="39"/>
      <c r="AH51" s="72">
        <f t="shared" si="42"/>
        <v>990000000</v>
      </c>
      <c r="AI51" s="72">
        <f t="shared" si="23"/>
        <v>331633107.57875723</v>
      </c>
      <c r="AJ51" s="39"/>
      <c r="AK51" s="72">
        <f t="shared" si="43"/>
        <v>0</v>
      </c>
      <c r="AL51" s="72">
        <f t="shared" si="24"/>
        <v>0</v>
      </c>
      <c r="AM51" s="39"/>
      <c r="AN51" s="72">
        <f t="shared" si="44"/>
        <v>0</v>
      </c>
      <c r="AO51" s="72">
        <f t="shared" si="25"/>
        <v>0</v>
      </c>
      <c r="AP51" s="39"/>
      <c r="AQ51" s="72">
        <f t="shared" si="45"/>
        <v>0</v>
      </c>
      <c r="AR51" s="72">
        <f t="shared" si="26"/>
        <v>0</v>
      </c>
      <c r="AS51" s="39"/>
      <c r="AT51" s="40">
        <f>IF($K51&lt;=$F$15,IF($F$40&lt;&gt;"",$F$40/1000,IF(ISERROR(VLOOKUP($F$3&amp;IF($G$4&lt;&gt;"",$G$4,"")&amp;IF($F$43&lt;&gt;"","_"&amp;$F$43,""),'表3）燃料価格'!$AF$9:$AG$25,2,0)),0,VLOOKUP($I51,'表3）燃料価格'!$A$6:$U$66,VLOOKUP($F$3&amp;IF($G$4&lt;&gt;"",$G$4,"")&amp;IF($F$43&lt;&gt;"","_"&amp;$F$43,""),'表3）燃料価格'!$AF$9:$AG$25,2,0)+VLOOKUP($F$41,'表3）燃料価格'!$AF$28:$AG$29,2,0),0)*IF($F$43="需要地価格",1,$F$8/$F$141))),"")</f>
        <v>0</v>
      </c>
      <c r="AU51" s="39"/>
      <c r="AV51" s="72">
        <f t="shared" si="46"/>
        <v>0</v>
      </c>
      <c r="AW51" s="72">
        <f t="shared" si="27"/>
        <v>0</v>
      </c>
      <c r="AX51" s="39"/>
      <c r="AY51" s="40">
        <f>IF(ISERROR(IF($K51&lt;=$F$15,VLOOKUP($I51,'表4）CO2価格'!$A$7:$E$67,VLOOKUP($F$48,'表4）CO2価格'!$H$10:$I$12,2,0),0)*$F$8/1000,"")),0,IF($K51&lt;=$F$15,VLOOKUP($I51,'表4）CO2価格'!$A$7:$E$67,VLOOKUP($F$48,'表4）CO2価格'!$H$10:$I$12,2,0),0)*$F$8/1000,""))</f>
        <v>0</v>
      </c>
      <c r="AZ51" s="39"/>
      <c r="BA51" s="42">
        <f t="shared" si="47"/>
        <v>0</v>
      </c>
      <c r="BB51" s="72">
        <f t="shared" si="28"/>
        <v>0</v>
      </c>
      <c r="BC51" s="39"/>
      <c r="BD51" s="72">
        <f t="shared" si="48"/>
        <v>0</v>
      </c>
      <c r="BE51" s="72">
        <f t="shared" si="29"/>
        <v>0</v>
      </c>
      <c r="BF51" s="39"/>
      <c r="BG51" s="42">
        <f t="shared" si="49"/>
        <v>0</v>
      </c>
      <c r="BH51" s="72">
        <f t="shared" si="30"/>
        <v>0</v>
      </c>
      <c r="BI51" s="39"/>
      <c r="BJ51" s="40" t="str">
        <f t="shared" si="31"/>
        <v/>
      </c>
      <c r="BK51" s="157" t="str">
        <f t="shared" si="32"/>
        <v/>
      </c>
      <c r="BL51" s="157" t="str">
        <f t="shared" si="14"/>
        <v/>
      </c>
      <c r="BM51" s="72"/>
      <c r="BN51" s="72" t="str">
        <f t="shared" si="33"/>
        <v/>
      </c>
      <c r="BO51" s="72" t="str">
        <f t="shared" si="34"/>
        <v/>
      </c>
      <c r="BP51" s="39"/>
      <c r="BQ51" s="72">
        <f t="shared" si="50"/>
        <v>194130360</v>
      </c>
      <c r="BR51" s="72">
        <f t="shared" si="35"/>
        <v>65030358.143619053</v>
      </c>
    </row>
    <row r="52" spans="3:70" x14ac:dyDescent="0.15">
      <c r="D52" s="84" t="s">
        <v>185</v>
      </c>
      <c r="F52" s="478"/>
      <c r="G52" s="84" t="s">
        <v>549</v>
      </c>
      <c r="H52" s="71"/>
      <c r="I52" s="322">
        <f t="shared" si="36"/>
        <v>2067</v>
      </c>
      <c r="J52" s="71"/>
      <c r="K52" s="71">
        <f t="shared" si="37"/>
        <v>38</v>
      </c>
      <c r="L52" s="71"/>
      <c r="M52" s="7">
        <f t="shared" si="0"/>
        <v>0.3252261523769317</v>
      </c>
      <c r="N52" s="71"/>
      <c r="O52" s="10">
        <f t="shared" si="16"/>
        <v>0</v>
      </c>
      <c r="P52" s="29" t="str">
        <f t="shared" si="38"/>
        <v>-</v>
      </c>
      <c r="Q52" s="71"/>
      <c r="R52" s="10">
        <f t="shared" si="51"/>
        <v>1185000000</v>
      </c>
      <c r="S52" s="71"/>
      <c r="T52" s="10">
        <f t="shared" si="18"/>
        <v>1185000000</v>
      </c>
      <c r="U52" s="71"/>
      <c r="V52" s="10">
        <f t="shared" si="39"/>
        <v>0</v>
      </c>
      <c r="W52" s="10">
        <f t="shared" si="19"/>
        <v>0</v>
      </c>
      <c r="X52" s="71"/>
      <c r="Y52" s="10">
        <f t="shared" si="40"/>
        <v>16590000</v>
      </c>
      <c r="Z52" s="10">
        <f t="shared" si="20"/>
        <v>5395501.8679332966</v>
      </c>
      <c r="AA52" s="71"/>
      <c r="AB52" s="10">
        <f t="shared" si="4"/>
        <v>0</v>
      </c>
      <c r="AC52" s="10">
        <f t="shared" si="21"/>
        <v>0</v>
      </c>
      <c r="AD52" s="71"/>
      <c r="AE52" s="10">
        <f t="shared" si="41"/>
        <v>0</v>
      </c>
      <c r="AF52" s="10">
        <f t="shared" si="22"/>
        <v>0</v>
      </c>
      <c r="AG52" s="71"/>
      <c r="AH52" s="10">
        <f t="shared" si="42"/>
        <v>990000000</v>
      </c>
      <c r="AI52" s="10">
        <f t="shared" si="23"/>
        <v>321973890.85316241</v>
      </c>
      <c r="AJ52" s="71"/>
      <c r="AK52" s="10">
        <f t="shared" si="43"/>
        <v>0</v>
      </c>
      <c r="AL52" s="10">
        <f t="shared" si="24"/>
        <v>0</v>
      </c>
      <c r="AM52" s="71"/>
      <c r="AN52" s="10">
        <f t="shared" si="44"/>
        <v>0</v>
      </c>
      <c r="AO52" s="10">
        <f t="shared" si="25"/>
        <v>0</v>
      </c>
      <c r="AP52" s="71"/>
      <c r="AQ52" s="10">
        <f t="shared" si="45"/>
        <v>0</v>
      </c>
      <c r="AR52" s="10">
        <f t="shared" si="26"/>
        <v>0</v>
      </c>
      <c r="AS52" s="71"/>
      <c r="AT52" s="7">
        <f>IF($K52&lt;=$F$15,IF($F$40&lt;&gt;"",$F$40/1000,IF(ISERROR(VLOOKUP($F$3&amp;IF($G$4&lt;&gt;"",$G$4,"")&amp;IF($F$43&lt;&gt;"","_"&amp;$F$43,""),'表3）燃料価格'!$AF$9:$AG$25,2,0)),0,VLOOKUP($I52,'表3）燃料価格'!$A$6:$U$66,VLOOKUP($F$3&amp;IF($G$4&lt;&gt;"",$G$4,"")&amp;IF($F$43&lt;&gt;"","_"&amp;$F$43,""),'表3）燃料価格'!$AF$9:$AG$25,2,0)+VLOOKUP($F$41,'表3）燃料価格'!$AF$28:$AG$29,2,0),0)*IF($F$43="需要地価格",1,$F$8/$F$141))),"")</f>
        <v>0</v>
      </c>
      <c r="AU52" s="71"/>
      <c r="AV52" s="10">
        <f t="shared" si="46"/>
        <v>0</v>
      </c>
      <c r="AW52" s="10">
        <f t="shared" si="27"/>
        <v>0</v>
      </c>
      <c r="AX52" s="71"/>
      <c r="AY52" s="7">
        <f>IF(ISERROR(IF($K52&lt;=$F$15,VLOOKUP($I52,'表4）CO2価格'!$A$7:$E$67,VLOOKUP($F$48,'表4）CO2価格'!$H$10:$I$12,2,0),0)*$F$8/1000,"")),0,IF($K52&lt;=$F$15,VLOOKUP($I52,'表4）CO2価格'!$A$7:$E$67,VLOOKUP($F$48,'表4）CO2価格'!$H$10:$I$12,2,0),0)*$F$8/1000,""))</f>
        <v>0</v>
      </c>
      <c r="AZ52" s="71"/>
      <c r="BA52" s="11">
        <f t="shared" si="47"/>
        <v>0</v>
      </c>
      <c r="BB52" s="10">
        <f t="shared" si="28"/>
        <v>0</v>
      </c>
      <c r="BC52" s="71"/>
      <c r="BD52" s="10">
        <f t="shared" si="48"/>
        <v>0</v>
      </c>
      <c r="BE52" s="10">
        <f t="shared" si="29"/>
        <v>0</v>
      </c>
      <c r="BF52" s="71"/>
      <c r="BG52" s="11">
        <f t="shared" si="49"/>
        <v>0</v>
      </c>
      <c r="BH52" s="10">
        <f t="shared" si="30"/>
        <v>0</v>
      </c>
      <c r="BJ52" s="7" t="str">
        <f t="shared" si="31"/>
        <v/>
      </c>
      <c r="BK52" s="158" t="str">
        <f t="shared" si="32"/>
        <v/>
      </c>
      <c r="BL52" s="158" t="str">
        <f t="shared" si="14"/>
        <v/>
      </c>
      <c r="BM52" s="10"/>
      <c r="BN52" s="10" t="str">
        <f t="shared" si="33"/>
        <v/>
      </c>
      <c r="BO52" s="10" t="str">
        <f t="shared" si="34"/>
        <v/>
      </c>
      <c r="BQ52" s="10">
        <f t="shared" si="50"/>
        <v>194130360</v>
      </c>
      <c r="BR52" s="10">
        <f t="shared" si="35"/>
        <v>63136270.042348608</v>
      </c>
    </row>
    <row r="53" spans="3:70" x14ac:dyDescent="0.15">
      <c r="D53" s="84" t="s">
        <v>580</v>
      </c>
      <c r="F53" s="475"/>
      <c r="G53" s="84" t="s">
        <v>549</v>
      </c>
      <c r="H53" s="71"/>
      <c r="I53" s="38">
        <f t="shared" si="36"/>
        <v>2068</v>
      </c>
      <c r="J53" s="39"/>
      <c r="K53" s="39">
        <f t="shared" si="37"/>
        <v>39</v>
      </c>
      <c r="L53" s="39"/>
      <c r="M53" s="40">
        <f t="shared" si="0"/>
        <v>0.31575354599702099</v>
      </c>
      <c r="N53" s="39"/>
      <c r="O53" s="72">
        <f t="shared" si="16"/>
        <v>0</v>
      </c>
      <c r="P53" s="41" t="str">
        <f t="shared" si="38"/>
        <v>-</v>
      </c>
      <c r="Q53" s="39"/>
      <c r="R53" s="72">
        <f t="shared" si="51"/>
        <v>1185000000</v>
      </c>
      <c r="S53" s="39"/>
      <c r="T53" s="72">
        <f t="shared" si="18"/>
        <v>1185000000</v>
      </c>
      <c r="U53" s="39"/>
      <c r="V53" s="72">
        <f t="shared" si="39"/>
        <v>0</v>
      </c>
      <c r="W53" s="72">
        <f t="shared" si="19"/>
        <v>0</v>
      </c>
      <c r="X53" s="39"/>
      <c r="Y53" s="72">
        <f t="shared" si="40"/>
        <v>16590000</v>
      </c>
      <c r="Z53" s="72">
        <f t="shared" si="20"/>
        <v>5238351.3280905783</v>
      </c>
      <c r="AA53" s="39"/>
      <c r="AB53" s="72">
        <f t="shared" si="4"/>
        <v>0</v>
      </c>
      <c r="AC53" s="72">
        <f t="shared" si="21"/>
        <v>0</v>
      </c>
      <c r="AD53" s="39"/>
      <c r="AE53" s="72">
        <f t="shared" si="41"/>
        <v>0</v>
      </c>
      <c r="AF53" s="72">
        <f t="shared" si="22"/>
        <v>0</v>
      </c>
      <c r="AG53" s="39"/>
      <c r="AH53" s="72">
        <f t="shared" si="42"/>
        <v>990000000</v>
      </c>
      <c r="AI53" s="72">
        <f t="shared" si="23"/>
        <v>312596010.53705078</v>
      </c>
      <c r="AJ53" s="39"/>
      <c r="AK53" s="72">
        <f t="shared" si="43"/>
        <v>0</v>
      </c>
      <c r="AL53" s="72">
        <f t="shared" si="24"/>
        <v>0</v>
      </c>
      <c r="AM53" s="39"/>
      <c r="AN53" s="72">
        <f t="shared" si="44"/>
        <v>0</v>
      </c>
      <c r="AO53" s="72">
        <f t="shared" si="25"/>
        <v>0</v>
      </c>
      <c r="AP53" s="39"/>
      <c r="AQ53" s="72">
        <f t="shared" si="45"/>
        <v>0</v>
      </c>
      <c r="AR53" s="72">
        <f t="shared" si="26"/>
        <v>0</v>
      </c>
      <c r="AS53" s="39"/>
      <c r="AT53" s="40">
        <f>IF($K53&lt;=$F$15,IF($F$40&lt;&gt;"",$F$40/1000,IF(ISERROR(VLOOKUP($F$3&amp;IF($G$4&lt;&gt;"",$G$4,"")&amp;IF($F$43&lt;&gt;"","_"&amp;$F$43,""),'表3）燃料価格'!$AF$9:$AG$25,2,0)),0,VLOOKUP($I53,'表3）燃料価格'!$A$6:$U$66,VLOOKUP($F$3&amp;IF($G$4&lt;&gt;"",$G$4,"")&amp;IF($F$43&lt;&gt;"","_"&amp;$F$43,""),'表3）燃料価格'!$AF$9:$AG$25,2,0)+VLOOKUP($F$41,'表3）燃料価格'!$AF$28:$AG$29,2,0),0)*IF($F$43="需要地価格",1,$F$8/$F$141))),"")</f>
        <v>0</v>
      </c>
      <c r="AU53" s="39"/>
      <c r="AV53" s="72">
        <f t="shared" si="46"/>
        <v>0</v>
      </c>
      <c r="AW53" s="72">
        <f t="shared" si="27"/>
        <v>0</v>
      </c>
      <c r="AX53" s="39"/>
      <c r="AY53" s="40">
        <f>IF(ISERROR(IF($K53&lt;=$F$15,VLOOKUP($I53,'表4）CO2価格'!$A$7:$E$67,VLOOKUP($F$48,'表4）CO2価格'!$H$10:$I$12,2,0),0)*$F$8/1000,"")),0,IF($K53&lt;=$F$15,VLOOKUP($I53,'表4）CO2価格'!$A$7:$E$67,VLOOKUP($F$48,'表4）CO2価格'!$H$10:$I$12,2,0),0)*$F$8/1000,""))</f>
        <v>0</v>
      </c>
      <c r="AZ53" s="39"/>
      <c r="BA53" s="42">
        <f t="shared" si="47"/>
        <v>0</v>
      </c>
      <c r="BB53" s="72">
        <f t="shared" si="28"/>
        <v>0</v>
      </c>
      <c r="BC53" s="39"/>
      <c r="BD53" s="72">
        <f t="shared" si="48"/>
        <v>0</v>
      </c>
      <c r="BE53" s="72">
        <f t="shared" si="29"/>
        <v>0</v>
      </c>
      <c r="BF53" s="39"/>
      <c r="BG53" s="42">
        <f t="shared" si="49"/>
        <v>0</v>
      </c>
      <c r="BH53" s="72">
        <f t="shared" si="30"/>
        <v>0</v>
      </c>
      <c r="BI53" s="39"/>
      <c r="BJ53" s="40" t="str">
        <f t="shared" si="31"/>
        <v/>
      </c>
      <c r="BK53" s="157" t="str">
        <f t="shared" si="32"/>
        <v/>
      </c>
      <c r="BL53" s="157" t="str">
        <f t="shared" si="14"/>
        <v/>
      </c>
      <c r="BM53" s="72"/>
      <c r="BN53" s="72" t="str">
        <f t="shared" si="33"/>
        <v/>
      </c>
      <c r="BO53" s="72" t="str">
        <f t="shared" si="34"/>
        <v/>
      </c>
      <c r="BP53" s="39"/>
      <c r="BQ53" s="72">
        <f t="shared" si="50"/>
        <v>194130360</v>
      </c>
      <c r="BR53" s="72">
        <f t="shared" si="35"/>
        <v>61297349.555678241</v>
      </c>
    </row>
    <row r="54" spans="3:70" x14ac:dyDescent="0.15">
      <c r="D54" s="84" t="s">
        <v>581</v>
      </c>
      <c r="F54" s="475"/>
      <c r="G54" s="84" t="s">
        <v>549</v>
      </c>
      <c r="H54" s="71"/>
      <c r="I54" s="322">
        <f t="shared" si="36"/>
        <v>2069</v>
      </c>
      <c r="J54" s="71"/>
      <c r="K54" s="71">
        <f t="shared" si="37"/>
        <v>40</v>
      </c>
      <c r="L54" s="71"/>
      <c r="M54" s="7">
        <f t="shared" si="0"/>
        <v>0.30655684077380685</v>
      </c>
      <c r="N54" s="71"/>
      <c r="O54" s="10">
        <f t="shared" si="16"/>
        <v>0</v>
      </c>
      <c r="P54" s="29" t="str">
        <f t="shared" si="38"/>
        <v>-</v>
      </c>
      <c r="Q54" s="71"/>
      <c r="R54" s="10">
        <f t="shared" si="51"/>
        <v>1185000000</v>
      </c>
      <c r="S54" s="71"/>
      <c r="T54" s="10">
        <f t="shared" si="18"/>
        <v>1185000000</v>
      </c>
      <c r="U54" s="71"/>
      <c r="V54" s="10">
        <f t="shared" si="39"/>
        <v>0</v>
      </c>
      <c r="W54" s="10">
        <f t="shared" si="19"/>
        <v>0</v>
      </c>
      <c r="X54" s="71"/>
      <c r="Y54" s="10">
        <f t="shared" si="40"/>
        <v>16590000</v>
      </c>
      <c r="Z54" s="10">
        <f t="shared" si="20"/>
        <v>5085777.9884374561</v>
      </c>
      <c r="AA54" s="71"/>
      <c r="AB54" s="10">
        <f t="shared" si="4"/>
        <v>0</v>
      </c>
      <c r="AC54" s="10">
        <f t="shared" si="21"/>
        <v>0</v>
      </c>
      <c r="AD54" s="71"/>
      <c r="AE54" s="10">
        <f t="shared" si="41"/>
        <v>0</v>
      </c>
      <c r="AF54" s="10">
        <f t="shared" si="22"/>
        <v>0</v>
      </c>
      <c r="AG54" s="71"/>
      <c r="AH54" s="10">
        <f t="shared" si="42"/>
        <v>990000000</v>
      </c>
      <c r="AI54" s="10">
        <f t="shared" si="23"/>
        <v>303491272.36606878</v>
      </c>
      <c r="AJ54" s="71"/>
      <c r="AK54" s="10">
        <f t="shared" si="43"/>
        <v>0</v>
      </c>
      <c r="AL54" s="10">
        <f t="shared" si="24"/>
        <v>0</v>
      </c>
      <c r="AM54" s="71"/>
      <c r="AN54" s="10">
        <f t="shared" si="44"/>
        <v>0</v>
      </c>
      <c r="AO54" s="10">
        <f t="shared" si="25"/>
        <v>0</v>
      </c>
      <c r="AP54" s="71"/>
      <c r="AQ54" s="10">
        <f t="shared" si="45"/>
        <v>0</v>
      </c>
      <c r="AR54" s="10">
        <f t="shared" si="26"/>
        <v>0</v>
      </c>
      <c r="AS54" s="71"/>
      <c r="AT54" s="7">
        <f>IF($K54&lt;=$F$15,IF($F$40&lt;&gt;"",$F$40/1000,IF(ISERROR(VLOOKUP($F$3&amp;IF($G$4&lt;&gt;"",$G$4,"")&amp;IF($F$43&lt;&gt;"","_"&amp;$F$43,""),'表3）燃料価格'!$AF$9:$AG$25,2,0)),0,VLOOKUP($I54,'表3）燃料価格'!$A$6:$U$66,VLOOKUP($F$3&amp;IF($G$4&lt;&gt;"",$G$4,"")&amp;IF($F$43&lt;&gt;"","_"&amp;$F$43,""),'表3）燃料価格'!$AF$9:$AG$25,2,0)+VLOOKUP($F$41,'表3）燃料価格'!$AF$28:$AG$29,2,0),0)*IF($F$43="需要地価格",1,$F$8/$F$141))),"")</f>
        <v>0</v>
      </c>
      <c r="AU54" s="71"/>
      <c r="AV54" s="10">
        <f t="shared" si="46"/>
        <v>0</v>
      </c>
      <c r="AW54" s="10">
        <f t="shared" si="27"/>
        <v>0</v>
      </c>
      <c r="AX54" s="71"/>
      <c r="AY54" s="7">
        <f>IF(ISERROR(IF($K54&lt;=$F$15,VLOOKUP($I54,'表4）CO2価格'!$A$7:$E$67,VLOOKUP($F$48,'表4）CO2価格'!$H$10:$I$12,2,0),0)*$F$8/1000,"")),0,IF($K54&lt;=$F$15,VLOOKUP($I54,'表4）CO2価格'!$A$7:$E$67,VLOOKUP($F$48,'表4）CO2価格'!$H$10:$I$12,2,0),0)*$F$8/1000,""))</f>
        <v>0</v>
      </c>
      <c r="AZ54" s="71"/>
      <c r="BA54" s="11">
        <f t="shared" si="47"/>
        <v>0</v>
      </c>
      <c r="BB54" s="10">
        <f t="shared" si="28"/>
        <v>0</v>
      </c>
      <c r="BC54" s="71"/>
      <c r="BD54" s="10">
        <f t="shared" si="48"/>
        <v>0</v>
      </c>
      <c r="BE54" s="10">
        <f t="shared" si="29"/>
        <v>0</v>
      </c>
      <c r="BF54" s="71"/>
      <c r="BG54" s="11">
        <f t="shared" si="49"/>
        <v>0</v>
      </c>
      <c r="BH54" s="10">
        <f t="shared" si="30"/>
        <v>0</v>
      </c>
      <c r="BJ54" s="7" t="str">
        <f t="shared" si="31"/>
        <v/>
      </c>
      <c r="BK54" s="158" t="str">
        <f t="shared" si="32"/>
        <v/>
      </c>
      <c r="BL54" s="158" t="str">
        <f t="shared" si="14"/>
        <v/>
      </c>
      <c r="BM54" s="10"/>
      <c r="BN54" s="10" t="str">
        <f t="shared" si="33"/>
        <v/>
      </c>
      <c r="BO54" s="10" t="str">
        <f t="shared" si="34"/>
        <v/>
      </c>
      <c r="BQ54" s="10">
        <f t="shared" si="50"/>
        <v>194130360</v>
      </c>
      <c r="BR54" s="10">
        <f t="shared" si="35"/>
        <v>59511989.859881803</v>
      </c>
    </row>
    <row r="55" spans="3:70" ht="16.5" x14ac:dyDescent="0.15">
      <c r="D55" s="84" t="s">
        <v>582</v>
      </c>
      <c r="F55" s="475"/>
      <c r="G55" s="71" t="s">
        <v>561</v>
      </c>
      <c r="H55" s="71"/>
      <c r="I55" s="38">
        <f>I54+1</f>
        <v>2070</v>
      </c>
      <c r="J55" s="39"/>
      <c r="K55" s="39">
        <f>IF(I55&lt;&gt;"",K54+1,"")</f>
        <v>41</v>
      </c>
      <c r="L55" s="39"/>
      <c r="M55" s="40">
        <f t="shared" si="0"/>
        <v>0.29762800075126877</v>
      </c>
      <c r="N55" s="39"/>
      <c r="O55" s="72" t="str">
        <f t="shared" si="16"/>
        <v/>
      </c>
      <c r="P55" s="41" t="str">
        <f t="shared" si="38"/>
        <v/>
      </c>
      <c r="Q55" s="39"/>
      <c r="R55" s="72" t="str">
        <f t="shared" si="51"/>
        <v/>
      </c>
      <c r="S55" s="39"/>
      <c r="T55" s="72" t="str">
        <f t="shared" si="18"/>
        <v/>
      </c>
      <c r="U55" s="39"/>
      <c r="V55" s="72" t="str">
        <f t="shared" si="39"/>
        <v/>
      </c>
      <c r="W55" s="72" t="str">
        <f t="shared" si="19"/>
        <v/>
      </c>
      <c r="X55" s="39"/>
      <c r="Y55" s="72" t="str">
        <f t="shared" si="40"/>
        <v/>
      </c>
      <c r="Z55" s="72" t="str">
        <f t="shared" si="20"/>
        <v/>
      </c>
      <c r="AA55" s="39"/>
      <c r="AB55" s="72">
        <f t="shared" si="4"/>
        <v>1185000000</v>
      </c>
      <c r="AC55" s="72">
        <f t="shared" si="21"/>
        <v>352689180.89025348</v>
      </c>
      <c r="AD55" s="39"/>
      <c r="AE55" s="72" t="str">
        <f t="shared" si="41"/>
        <v/>
      </c>
      <c r="AF55" s="72" t="str">
        <f t="shared" si="22"/>
        <v/>
      </c>
      <c r="AG55" s="39"/>
      <c r="AH55" s="72" t="str">
        <f t="shared" si="42"/>
        <v/>
      </c>
      <c r="AI55" s="72" t="str">
        <f t="shared" si="23"/>
        <v/>
      </c>
      <c r="AJ55" s="39"/>
      <c r="AK55" s="72" t="str">
        <f t="shared" si="43"/>
        <v/>
      </c>
      <c r="AL55" s="72" t="str">
        <f t="shared" si="24"/>
        <v/>
      </c>
      <c r="AM55" s="39"/>
      <c r="AN55" s="72" t="str">
        <f t="shared" si="44"/>
        <v/>
      </c>
      <c r="AO55" s="72" t="str">
        <f t="shared" si="25"/>
        <v/>
      </c>
      <c r="AP55" s="39"/>
      <c r="AQ55" s="72" t="str">
        <f t="shared" si="45"/>
        <v/>
      </c>
      <c r="AR55" s="72" t="str">
        <f t="shared" si="26"/>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46"/>
        <v/>
      </c>
      <c r="AW55" s="72" t="str">
        <f t="shared" si="27"/>
        <v/>
      </c>
      <c r="AX55" s="39"/>
      <c r="AY55" s="40" t="str">
        <f>IF(ISERROR(IF($K55&lt;=$F$15,VLOOKUP($I55,'表4）CO2価格'!$A$7:$E$67,VLOOKUP($F$48,'表4）CO2価格'!$H$10:$I$12,2,0),0)*$F$8/1000,"")),0,IF($K55&lt;=$F$15,VLOOKUP($I55,'表4）CO2価格'!$A$7:$E$67,VLOOKUP($F$48,'表4）CO2価格'!$H$10:$I$12,2,0),0)*$F$8/1000,""))</f>
        <v/>
      </c>
      <c r="AZ55" s="39"/>
      <c r="BA55" s="42" t="str">
        <f t="shared" si="47"/>
        <v/>
      </c>
      <c r="BB55" s="72" t="str">
        <f t="shared" si="28"/>
        <v/>
      </c>
      <c r="BC55" s="39"/>
      <c r="BD55" s="72" t="str">
        <f t="shared" si="48"/>
        <v/>
      </c>
      <c r="BE55" s="72" t="str">
        <f t="shared" si="29"/>
        <v/>
      </c>
      <c r="BF55" s="39"/>
      <c r="BG55" s="42" t="str">
        <f t="shared" si="49"/>
        <v/>
      </c>
      <c r="BH55" s="72" t="str">
        <f t="shared" si="30"/>
        <v/>
      </c>
      <c r="BI55" s="39"/>
      <c r="BJ55" s="40" t="str">
        <f t="shared" si="31"/>
        <v/>
      </c>
      <c r="BK55" s="157" t="str">
        <f t="shared" si="32"/>
        <v/>
      </c>
      <c r="BL55" s="157" t="str">
        <f t="shared" si="14"/>
        <v/>
      </c>
      <c r="BM55" s="72"/>
      <c r="BN55" s="72" t="str">
        <f t="shared" si="33"/>
        <v/>
      </c>
      <c r="BO55" s="72" t="str">
        <f t="shared" si="34"/>
        <v/>
      </c>
      <c r="BP55" s="39"/>
      <c r="BQ55" s="72" t="str">
        <f t="shared" si="50"/>
        <v/>
      </c>
      <c r="BR55" s="72" t="str">
        <f t="shared" si="35"/>
        <v/>
      </c>
    </row>
    <row r="56" spans="3:70" x14ac:dyDescent="0.15">
      <c r="D56" s="84" t="s">
        <v>583</v>
      </c>
      <c r="F56" s="481"/>
      <c r="G56" s="84" t="s">
        <v>574</v>
      </c>
      <c r="H56" s="71"/>
      <c r="I56" s="322">
        <f t="shared" si="36"/>
        <v>2071</v>
      </c>
      <c r="J56" s="71"/>
      <c r="K56" s="71">
        <f t="shared" si="37"/>
        <v>42</v>
      </c>
      <c r="L56" s="71"/>
      <c r="M56" s="7">
        <f t="shared" si="0"/>
        <v>0.28895922403035801</v>
      </c>
      <c r="N56" s="71"/>
      <c r="O56" s="10" t="str">
        <f t="shared" si="16"/>
        <v/>
      </c>
      <c r="P56" s="29" t="str">
        <f t="shared" si="38"/>
        <v/>
      </c>
      <c r="Q56" s="71"/>
      <c r="R56" s="10" t="str">
        <f t="shared" si="51"/>
        <v/>
      </c>
      <c r="S56" s="71"/>
      <c r="T56" s="10" t="str">
        <f t="shared" si="18"/>
        <v/>
      </c>
      <c r="U56" s="71"/>
      <c r="V56" s="10" t="str">
        <f t="shared" si="39"/>
        <v/>
      </c>
      <c r="W56" s="10" t="str">
        <f t="shared" si="19"/>
        <v/>
      </c>
      <c r="X56" s="71"/>
      <c r="Y56" s="10" t="str">
        <f t="shared" si="40"/>
        <v/>
      </c>
      <c r="Z56" s="10" t="str">
        <f t="shared" si="20"/>
        <v/>
      </c>
      <c r="AA56" s="71"/>
      <c r="AB56" s="10" t="str">
        <f t="shared" si="4"/>
        <v/>
      </c>
      <c r="AC56" s="10" t="str">
        <f t="shared" si="21"/>
        <v/>
      </c>
      <c r="AD56" s="71"/>
      <c r="AE56" s="10" t="str">
        <f t="shared" si="41"/>
        <v/>
      </c>
      <c r="AF56" s="10" t="str">
        <f t="shared" si="22"/>
        <v/>
      </c>
      <c r="AG56" s="71"/>
      <c r="AH56" s="10" t="str">
        <f t="shared" si="42"/>
        <v/>
      </c>
      <c r="AI56" s="10" t="str">
        <f t="shared" si="23"/>
        <v/>
      </c>
      <c r="AJ56" s="71"/>
      <c r="AK56" s="10" t="str">
        <f t="shared" si="43"/>
        <v/>
      </c>
      <c r="AL56" s="10" t="str">
        <f t="shared" si="24"/>
        <v/>
      </c>
      <c r="AM56" s="71"/>
      <c r="AN56" s="10" t="str">
        <f t="shared" si="44"/>
        <v/>
      </c>
      <c r="AO56" s="10" t="str">
        <f t="shared" si="25"/>
        <v/>
      </c>
      <c r="AP56" s="71"/>
      <c r="AQ56" s="10" t="str">
        <f t="shared" si="45"/>
        <v/>
      </c>
      <c r="AR56" s="10" t="str">
        <f t="shared" si="26"/>
        <v/>
      </c>
      <c r="AS56" s="71"/>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U56" s="71"/>
      <c r="AV56" s="10" t="str">
        <f t="shared" si="46"/>
        <v/>
      </c>
      <c r="AW56" s="10" t="str">
        <f t="shared" si="27"/>
        <v/>
      </c>
      <c r="AX56" s="71"/>
      <c r="AY56" s="7" t="str">
        <f>IF(ISERROR(IF($K56&lt;=$F$15,VLOOKUP($I56,'表4）CO2価格'!$A$7:$E$67,VLOOKUP($F$48,'表4）CO2価格'!$H$10:$I$12,2,0),0)*$F$8/1000,"")),0,IF($K56&lt;=$F$15,VLOOKUP($I56,'表4）CO2価格'!$A$7:$E$67,VLOOKUP($F$48,'表4）CO2価格'!$H$10:$I$12,2,0),0)*$F$8/1000,""))</f>
        <v/>
      </c>
      <c r="AZ56" s="71"/>
      <c r="BA56" s="11" t="str">
        <f t="shared" si="47"/>
        <v/>
      </c>
      <c r="BB56" s="10" t="str">
        <f t="shared" si="28"/>
        <v/>
      </c>
      <c r="BC56" s="71"/>
      <c r="BD56" s="10" t="str">
        <f t="shared" si="48"/>
        <v/>
      </c>
      <c r="BE56" s="10" t="str">
        <f t="shared" si="29"/>
        <v/>
      </c>
      <c r="BF56" s="71"/>
      <c r="BG56" s="11" t="str">
        <f t="shared" si="49"/>
        <v/>
      </c>
      <c r="BH56" s="10" t="str">
        <f t="shared" si="30"/>
        <v/>
      </c>
      <c r="BJ56" s="7" t="str">
        <f t="shared" si="31"/>
        <v/>
      </c>
      <c r="BK56" s="158" t="str">
        <f t="shared" si="32"/>
        <v/>
      </c>
      <c r="BL56" s="158" t="str">
        <f t="shared" si="14"/>
        <v/>
      </c>
      <c r="BM56" s="10"/>
      <c r="BN56" s="10" t="str">
        <f t="shared" si="33"/>
        <v/>
      </c>
      <c r="BO56" s="10" t="str">
        <f t="shared" si="34"/>
        <v/>
      </c>
      <c r="BQ56" s="10" t="str">
        <f t="shared" si="50"/>
        <v/>
      </c>
      <c r="BR56" s="10" t="str">
        <f t="shared" si="35"/>
        <v/>
      </c>
    </row>
    <row r="57" spans="3:70" x14ac:dyDescent="0.15">
      <c r="H57" s="71"/>
      <c r="I57" s="38">
        <f t="shared" si="36"/>
        <v>2072</v>
      </c>
      <c r="J57" s="39"/>
      <c r="K57" s="39">
        <f t="shared" si="37"/>
        <v>43</v>
      </c>
      <c r="L57" s="39"/>
      <c r="M57" s="40">
        <f t="shared" si="0"/>
        <v>0.28054293595180391</v>
      </c>
      <c r="N57" s="39"/>
      <c r="O57" s="72" t="str">
        <f t="shared" si="16"/>
        <v/>
      </c>
      <c r="P57" s="41" t="str">
        <f t="shared" si="38"/>
        <v/>
      </c>
      <c r="Q57" s="39"/>
      <c r="R57" s="72" t="str">
        <f t="shared" si="51"/>
        <v/>
      </c>
      <c r="S57" s="39"/>
      <c r="T57" s="72" t="str">
        <f t="shared" si="18"/>
        <v/>
      </c>
      <c r="U57" s="39"/>
      <c r="V57" s="72" t="str">
        <f t="shared" si="39"/>
        <v/>
      </c>
      <c r="W57" s="72" t="str">
        <f t="shared" si="19"/>
        <v/>
      </c>
      <c r="X57" s="39"/>
      <c r="Y57" s="72" t="str">
        <f t="shared" si="40"/>
        <v/>
      </c>
      <c r="Z57" s="72" t="str">
        <f t="shared" si="20"/>
        <v/>
      </c>
      <c r="AA57" s="39"/>
      <c r="AB57" s="72" t="str">
        <f t="shared" si="4"/>
        <v/>
      </c>
      <c r="AC57" s="72" t="str">
        <f t="shared" si="21"/>
        <v/>
      </c>
      <c r="AD57" s="39"/>
      <c r="AE57" s="72" t="str">
        <f t="shared" si="41"/>
        <v/>
      </c>
      <c r="AF57" s="72" t="str">
        <f t="shared" si="22"/>
        <v/>
      </c>
      <c r="AG57" s="39"/>
      <c r="AH57" s="72" t="str">
        <f t="shared" si="42"/>
        <v/>
      </c>
      <c r="AI57" s="72" t="str">
        <f t="shared" si="23"/>
        <v/>
      </c>
      <c r="AJ57" s="39"/>
      <c r="AK57" s="72" t="str">
        <f t="shared" si="43"/>
        <v/>
      </c>
      <c r="AL57" s="72" t="str">
        <f t="shared" si="24"/>
        <v/>
      </c>
      <c r="AM57" s="39"/>
      <c r="AN57" s="72" t="str">
        <f t="shared" si="44"/>
        <v/>
      </c>
      <c r="AO57" s="72" t="str">
        <f t="shared" si="25"/>
        <v/>
      </c>
      <c r="AP57" s="39"/>
      <c r="AQ57" s="72" t="str">
        <f t="shared" si="45"/>
        <v/>
      </c>
      <c r="AR57" s="72" t="str">
        <f t="shared" si="26"/>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46"/>
        <v/>
      </c>
      <c r="AW57" s="72" t="str">
        <f t="shared" si="27"/>
        <v/>
      </c>
      <c r="AX57" s="39"/>
      <c r="AY57" s="40" t="str">
        <f>IF(ISERROR(IF($K57&lt;=$F$15,VLOOKUP($I57,'表4）CO2価格'!$A$7:$E$67,VLOOKUP($F$48,'表4）CO2価格'!$H$10:$I$12,2,0),0)*$F$8/1000,"")),0,IF($K57&lt;=$F$15,VLOOKUP($I57,'表4）CO2価格'!$A$7:$E$67,VLOOKUP($F$48,'表4）CO2価格'!$H$10:$I$12,2,0),0)*$F$8/1000,""))</f>
        <v/>
      </c>
      <c r="AZ57" s="39"/>
      <c r="BA57" s="42" t="str">
        <f t="shared" si="47"/>
        <v/>
      </c>
      <c r="BB57" s="72" t="str">
        <f t="shared" si="28"/>
        <v/>
      </c>
      <c r="BC57" s="39"/>
      <c r="BD57" s="72" t="str">
        <f t="shared" si="48"/>
        <v/>
      </c>
      <c r="BE57" s="72" t="str">
        <f t="shared" si="29"/>
        <v/>
      </c>
      <c r="BF57" s="39"/>
      <c r="BG57" s="42" t="str">
        <f t="shared" si="49"/>
        <v/>
      </c>
      <c r="BH57" s="72" t="str">
        <f t="shared" si="30"/>
        <v/>
      </c>
      <c r="BI57" s="39"/>
      <c r="BJ57" s="40" t="str">
        <f t="shared" si="31"/>
        <v/>
      </c>
      <c r="BK57" s="157" t="str">
        <f t="shared" si="32"/>
        <v/>
      </c>
      <c r="BL57" s="157" t="str">
        <f t="shared" si="14"/>
        <v/>
      </c>
      <c r="BM57" s="72"/>
      <c r="BN57" s="72" t="str">
        <f t="shared" si="33"/>
        <v/>
      </c>
      <c r="BO57" s="72" t="str">
        <f t="shared" si="34"/>
        <v/>
      </c>
      <c r="BP57" s="39"/>
      <c r="BQ57" s="72" t="str">
        <f t="shared" si="50"/>
        <v/>
      </c>
      <c r="BR57" s="72" t="str">
        <f t="shared" si="35"/>
        <v/>
      </c>
    </row>
    <row r="58" spans="3:70" x14ac:dyDescent="0.15">
      <c r="C58" s="4" t="s">
        <v>584</v>
      </c>
      <c r="D58" s="100"/>
      <c r="E58" s="100"/>
      <c r="F58" s="4"/>
      <c r="G58" s="100"/>
      <c r="H58" s="71"/>
      <c r="I58" s="322">
        <f t="shared" si="36"/>
        <v>2073</v>
      </c>
      <c r="J58" s="71"/>
      <c r="K58" s="71">
        <f t="shared" si="37"/>
        <v>44</v>
      </c>
      <c r="L58" s="71"/>
      <c r="M58" s="7">
        <f t="shared" si="0"/>
        <v>0.27237178247747956</v>
      </c>
      <c r="N58" s="71"/>
      <c r="O58" s="10" t="str">
        <f t="shared" si="16"/>
        <v/>
      </c>
      <c r="P58" s="29" t="str">
        <f t="shared" si="38"/>
        <v/>
      </c>
      <c r="Q58" s="71"/>
      <c r="R58" s="10" t="str">
        <f t="shared" si="51"/>
        <v/>
      </c>
      <c r="S58" s="71"/>
      <c r="T58" s="10" t="str">
        <f t="shared" si="18"/>
        <v/>
      </c>
      <c r="U58" s="71"/>
      <c r="V58" s="10" t="str">
        <f t="shared" si="39"/>
        <v/>
      </c>
      <c r="W58" s="10" t="str">
        <f t="shared" si="19"/>
        <v/>
      </c>
      <c r="X58" s="71"/>
      <c r="Y58" s="10" t="str">
        <f t="shared" si="40"/>
        <v/>
      </c>
      <c r="Z58" s="10" t="str">
        <f t="shared" si="20"/>
        <v/>
      </c>
      <c r="AA58" s="71"/>
      <c r="AB58" s="10" t="str">
        <f t="shared" si="4"/>
        <v/>
      </c>
      <c r="AC58" s="10" t="str">
        <f t="shared" si="21"/>
        <v/>
      </c>
      <c r="AD58" s="71"/>
      <c r="AE58" s="10" t="str">
        <f t="shared" si="41"/>
        <v/>
      </c>
      <c r="AF58" s="10" t="str">
        <f t="shared" si="22"/>
        <v/>
      </c>
      <c r="AG58" s="71"/>
      <c r="AH58" s="10" t="str">
        <f t="shared" si="42"/>
        <v/>
      </c>
      <c r="AI58" s="10" t="str">
        <f t="shared" si="23"/>
        <v/>
      </c>
      <c r="AJ58" s="71"/>
      <c r="AK58" s="10" t="str">
        <f t="shared" si="43"/>
        <v/>
      </c>
      <c r="AL58" s="10" t="str">
        <f t="shared" si="24"/>
        <v/>
      </c>
      <c r="AM58" s="71"/>
      <c r="AN58" s="10" t="str">
        <f t="shared" si="44"/>
        <v/>
      </c>
      <c r="AO58" s="10" t="str">
        <f t="shared" si="25"/>
        <v/>
      </c>
      <c r="AP58" s="71"/>
      <c r="AQ58" s="10" t="str">
        <f t="shared" si="45"/>
        <v/>
      </c>
      <c r="AR58" s="10" t="str">
        <f t="shared" si="26"/>
        <v/>
      </c>
      <c r="AS58" s="71"/>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U58" s="71"/>
      <c r="AV58" s="10" t="str">
        <f t="shared" si="46"/>
        <v/>
      </c>
      <c r="AW58" s="10" t="str">
        <f t="shared" si="27"/>
        <v/>
      </c>
      <c r="AX58" s="71"/>
      <c r="AY58" s="7" t="str">
        <f>IF(ISERROR(IF($K58&lt;=$F$15,VLOOKUP($I58,'表4）CO2価格'!$A$7:$E$67,VLOOKUP($F$48,'表4）CO2価格'!$H$10:$I$12,2,0),0)*$F$8/1000,"")),0,IF($K58&lt;=$F$15,VLOOKUP($I58,'表4）CO2価格'!$A$7:$E$67,VLOOKUP($F$48,'表4）CO2価格'!$H$10:$I$12,2,0),0)*$F$8/1000,""))</f>
        <v/>
      </c>
      <c r="AZ58" s="71"/>
      <c r="BA58" s="11" t="str">
        <f t="shared" si="47"/>
        <v/>
      </c>
      <c r="BB58" s="10" t="str">
        <f t="shared" si="28"/>
        <v/>
      </c>
      <c r="BC58" s="71"/>
      <c r="BD58" s="10" t="str">
        <f t="shared" si="48"/>
        <v/>
      </c>
      <c r="BE58" s="10" t="str">
        <f t="shared" si="29"/>
        <v/>
      </c>
      <c r="BF58" s="71"/>
      <c r="BG58" s="11" t="str">
        <f t="shared" si="49"/>
        <v/>
      </c>
      <c r="BH58" s="10" t="str">
        <f t="shared" si="30"/>
        <v/>
      </c>
      <c r="BJ58" s="7" t="str">
        <f t="shared" si="31"/>
        <v/>
      </c>
      <c r="BK58" s="158" t="str">
        <f t="shared" si="32"/>
        <v/>
      </c>
      <c r="BL58" s="158" t="str">
        <f t="shared" si="14"/>
        <v/>
      </c>
      <c r="BM58" s="10"/>
      <c r="BN58" s="10" t="str">
        <f t="shared" si="33"/>
        <v/>
      </c>
      <c r="BO58" s="10" t="str">
        <f t="shared" si="34"/>
        <v/>
      </c>
      <c r="BQ58" s="10" t="str">
        <f t="shared" si="50"/>
        <v/>
      </c>
      <c r="BR58" s="10" t="str">
        <f t="shared" si="35"/>
        <v/>
      </c>
    </row>
    <row r="59" spans="3:70" x14ac:dyDescent="0.15">
      <c r="H59" s="71"/>
      <c r="I59" s="38">
        <f t="shared" si="36"/>
        <v>2074</v>
      </c>
      <c r="J59" s="39"/>
      <c r="K59" s="39">
        <f t="shared" si="37"/>
        <v>45</v>
      </c>
      <c r="L59" s="39"/>
      <c r="M59" s="40">
        <f t="shared" si="0"/>
        <v>0.26443862376454325</v>
      </c>
      <c r="N59" s="39"/>
      <c r="O59" s="72" t="str">
        <f t="shared" si="16"/>
        <v/>
      </c>
      <c r="P59" s="41" t="str">
        <f t="shared" si="38"/>
        <v/>
      </c>
      <c r="Q59" s="39"/>
      <c r="R59" s="72" t="str">
        <f t="shared" si="51"/>
        <v/>
      </c>
      <c r="S59" s="39"/>
      <c r="T59" s="72" t="str">
        <f t="shared" si="18"/>
        <v/>
      </c>
      <c r="U59" s="39"/>
      <c r="V59" s="72" t="str">
        <f t="shared" si="39"/>
        <v/>
      </c>
      <c r="W59" s="72" t="str">
        <f t="shared" si="19"/>
        <v/>
      </c>
      <c r="X59" s="39"/>
      <c r="Y59" s="72" t="str">
        <f t="shared" si="40"/>
        <v/>
      </c>
      <c r="Z59" s="72" t="str">
        <f t="shared" si="20"/>
        <v/>
      </c>
      <c r="AA59" s="39"/>
      <c r="AB59" s="72" t="str">
        <f t="shared" si="4"/>
        <v/>
      </c>
      <c r="AC59" s="72" t="str">
        <f t="shared" si="21"/>
        <v/>
      </c>
      <c r="AD59" s="39"/>
      <c r="AE59" s="72" t="str">
        <f t="shared" si="41"/>
        <v/>
      </c>
      <c r="AF59" s="72" t="str">
        <f t="shared" si="22"/>
        <v/>
      </c>
      <c r="AG59" s="39"/>
      <c r="AH59" s="72" t="str">
        <f t="shared" si="42"/>
        <v/>
      </c>
      <c r="AI59" s="72" t="str">
        <f t="shared" si="23"/>
        <v/>
      </c>
      <c r="AJ59" s="39"/>
      <c r="AK59" s="72" t="str">
        <f t="shared" si="43"/>
        <v/>
      </c>
      <c r="AL59" s="72" t="str">
        <f t="shared" si="24"/>
        <v/>
      </c>
      <c r="AM59" s="39"/>
      <c r="AN59" s="72" t="str">
        <f t="shared" si="44"/>
        <v/>
      </c>
      <c r="AO59" s="72" t="str">
        <f t="shared" si="25"/>
        <v/>
      </c>
      <c r="AP59" s="39"/>
      <c r="AQ59" s="72" t="str">
        <f t="shared" si="45"/>
        <v/>
      </c>
      <c r="AR59" s="72" t="str">
        <f t="shared" si="26"/>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46"/>
        <v/>
      </c>
      <c r="AW59" s="72" t="str">
        <f t="shared" si="27"/>
        <v/>
      </c>
      <c r="AX59" s="39"/>
      <c r="AY59" s="40" t="str">
        <f>IF(ISERROR(IF($K59&lt;=$F$15,VLOOKUP($I59,'表4）CO2価格'!$A$7:$E$67,VLOOKUP($F$48,'表4）CO2価格'!$H$10:$I$12,2,0),0)*$F$8/1000,"")),0,IF($K59&lt;=$F$15,VLOOKUP($I59,'表4）CO2価格'!$A$7:$E$67,VLOOKUP($F$48,'表4）CO2価格'!$H$10:$I$12,2,0),0)*$F$8/1000,""))</f>
        <v/>
      </c>
      <c r="AZ59" s="39"/>
      <c r="BA59" s="42" t="str">
        <f t="shared" si="47"/>
        <v/>
      </c>
      <c r="BB59" s="72" t="str">
        <f t="shared" si="28"/>
        <v/>
      </c>
      <c r="BC59" s="39"/>
      <c r="BD59" s="72" t="str">
        <f t="shared" si="48"/>
        <v/>
      </c>
      <c r="BE59" s="72" t="str">
        <f t="shared" si="29"/>
        <v/>
      </c>
      <c r="BF59" s="39"/>
      <c r="BG59" s="42" t="str">
        <f t="shared" si="49"/>
        <v/>
      </c>
      <c r="BH59" s="72" t="str">
        <f t="shared" si="30"/>
        <v/>
      </c>
      <c r="BI59" s="39"/>
      <c r="BJ59" s="40" t="str">
        <f t="shared" si="31"/>
        <v/>
      </c>
      <c r="BK59" s="157" t="str">
        <f t="shared" si="32"/>
        <v/>
      </c>
      <c r="BL59" s="157" t="str">
        <f t="shared" si="14"/>
        <v/>
      </c>
      <c r="BM59" s="72"/>
      <c r="BN59" s="72" t="str">
        <f t="shared" si="33"/>
        <v/>
      </c>
      <c r="BO59" s="72" t="str">
        <f t="shared" si="34"/>
        <v/>
      </c>
      <c r="BP59" s="39"/>
      <c r="BQ59" s="72" t="str">
        <f t="shared" si="50"/>
        <v/>
      </c>
      <c r="BR59" s="72" t="str">
        <f t="shared" si="35"/>
        <v/>
      </c>
    </row>
    <row r="60" spans="3:70" x14ac:dyDescent="0.15">
      <c r="D60" s="84" t="s">
        <v>585</v>
      </c>
      <c r="F60" s="481"/>
      <c r="G60" s="84" t="s">
        <v>566</v>
      </c>
      <c r="H60" s="71"/>
      <c r="I60" s="322">
        <f t="shared" si="36"/>
        <v>2075</v>
      </c>
      <c r="J60" s="71"/>
      <c r="K60" s="71">
        <f t="shared" si="37"/>
        <v>46</v>
      </c>
      <c r="L60" s="71"/>
      <c r="M60" s="7">
        <f t="shared" si="0"/>
        <v>0.25673652792674101</v>
      </c>
      <c r="N60" s="71"/>
      <c r="O60" s="10" t="str">
        <f t="shared" si="16"/>
        <v/>
      </c>
      <c r="P60" s="29" t="str">
        <f t="shared" si="38"/>
        <v/>
      </c>
      <c r="Q60" s="71"/>
      <c r="R60" s="10" t="str">
        <f t="shared" si="51"/>
        <v/>
      </c>
      <c r="S60" s="71"/>
      <c r="T60" s="10" t="str">
        <f t="shared" si="18"/>
        <v/>
      </c>
      <c r="U60" s="71"/>
      <c r="V60" s="10" t="str">
        <f t="shared" si="39"/>
        <v/>
      </c>
      <c r="W60" s="10" t="str">
        <f t="shared" si="19"/>
        <v/>
      </c>
      <c r="X60" s="71"/>
      <c r="Y60" s="10" t="str">
        <f t="shared" si="40"/>
        <v/>
      </c>
      <c r="Z60" s="10" t="str">
        <f t="shared" si="20"/>
        <v/>
      </c>
      <c r="AA60" s="71"/>
      <c r="AB60" s="10" t="str">
        <f t="shared" si="4"/>
        <v/>
      </c>
      <c r="AC60" s="10" t="str">
        <f t="shared" si="21"/>
        <v/>
      </c>
      <c r="AD60" s="71"/>
      <c r="AE60" s="10" t="str">
        <f t="shared" si="41"/>
        <v/>
      </c>
      <c r="AF60" s="10" t="str">
        <f t="shared" si="22"/>
        <v/>
      </c>
      <c r="AG60" s="71"/>
      <c r="AH60" s="10" t="str">
        <f t="shared" si="42"/>
        <v/>
      </c>
      <c r="AI60" s="10" t="str">
        <f t="shared" si="23"/>
        <v/>
      </c>
      <c r="AJ60" s="71"/>
      <c r="AK60" s="10" t="str">
        <f t="shared" si="43"/>
        <v/>
      </c>
      <c r="AL60" s="10" t="str">
        <f t="shared" si="24"/>
        <v/>
      </c>
      <c r="AM60" s="71"/>
      <c r="AN60" s="10" t="str">
        <f t="shared" si="44"/>
        <v/>
      </c>
      <c r="AO60" s="10" t="str">
        <f t="shared" si="25"/>
        <v/>
      </c>
      <c r="AP60" s="71"/>
      <c r="AQ60" s="10" t="str">
        <f t="shared" si="45"/>
        <v/>
      </c>
      <c r="AR60" s="10" t="str">
        <f t="shared" si="26"/>
        <v/>
      </c>
      <c r="AS60" s="71"/>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U60" s="71"/>
      <c r="AV60" s="10" t="str">
        <f t="shared" si="46"/>
        <v/>
      </c>
      <c r="AW60" s="10" t="str">
        <f t="shared" si="27"/>
        <v/>
      </c>
      <c r="AX60" s="71"/>
      <c r="AY60" s="7" t="str">
        <f>IF(ISERROR(IF($K60&lt;=$F$15,VLOOKUP($I60,'表4）CO2価格'!$A$7:$E$67,VLOOKUP($F$48,'表4）CO2価格'!$H$10:$I$12,2,0),0)*$F$8/1000,"")),0,IF($K60&lt;=$F$15,VLOOKUP($I60,'表4）CO2価格'!$A$7:$E$67,VLOOKUP($F$48,'表4）CO2価格'!$H$10:$I$12,2,0),0)*$F$8/1000,""))</f>
        <v/>
      </c>
      <c r="AZ60" s="71"/>
      <c r="BA60" s="11" t="str">
        <f t="shared" si="47"/>
        <v/>
      </c>
      <c r="BB60" s="10" t="str">
        <f t="shared" si="28"/>
        <v/>
      </c>
      <c r="BC60" s="71"/>
      <c r="BD60" s="10" t="str">
        <f t="shared" si="48"/>
        <v/>
      </c>
      <c r="BE60" s="10" t="str">
        <f t="shared" si="29"/>
        <v/>
      </c>
      <c r="BF60" s="71"/>
      <c r="BG60" s="11" t="str">
        <f t="shared" si="49"/>
        <v/>
      </c>
      <c r="BH60" s="10" t="str">
        <f t="shared" si="30"/>
        <v/>
      </c>
      <c r="BJ60" s="7" t="str">
        <f t="shared" si="31"/>
        <v/>
      </c>
      <c r="BK60" s="158" t="str">
        <f t="shared" si="32"/>
        <v/>
      </c>
      <c r="BL60" s="158" t="str">
        <f t="shared" si="14"/>
        <v/>
      </c>
      <c r="BM60" s="10"/>
      <c r="BN60" s="10" t="str">
        <f t="shared" si="33"/>
        <v/>
      </c>
      <c r="BO60" s="10" t="str">
        <f t="shared" si="34"/>
        <v/>
      </c>
      <c r="BQ60" s="10" t="str">
        <f t="shared" si="50"/>
        <v/>
      </c>
      <c r="BR60" s="10" t="str">
        <f t="shared" si="35"/>
        <v/>
      </c>
    </row>
    <row r="61" spans="3:70" x14ac:dyDescent="0.15">
      <c r="D61" s="84" t="s">
        <v>586</v>
      </c>
      <c r="F61" s="475"/>
      <c r="G61" s="84" t="s">
        <v>556</v>
      </c>
      <c r="H61" s="71"/>
      <c r="I61" s="38">
        <f t="shared" si="36"/>
        <v>2076</v>
      </c>
      <c r="J61" s="39"/>
      <c r="K61" s="39">
        <f t="shared" si="37"/>
        <v>47</v>
      </c>
      <c r="L61" s="39"/>
      <c r="M61" s="40">
        <f t="shared" si="0"/>
        <v>0.24925876497741845</v>
      </c>
      <c r="N61" s="39"/>
      <c r="O61" s="72" t="str">
        <f t="shared" si="16"/>
        <v/>
      </c>
      <c r="P61" s="41" t="str">
        <f t="shared" si="38"/>
        <v/>
      </c>
      <c r="Q61" s="39"/>
      <c r="R61" s="72" t="str">
        <f t="shared" si="51"/>
        <v/>
      </c>
      <c r="S61" s="39"/>
      <c r="T61" s="72" t="str">
        <f t="shared" si="18"/>
        <v/>
      </c>
      <c r="U61" s="39"/>
      <c r="V61" s="72" t="str">
        <f t="shared" si="39"/>
        <v/>
      </c>
      <c r="W61" s="72" t="str">
        <f t="shared" si="19"/>
        <v/>
      </c>
      <c r="X61" s="39"/>
      <c r="Y61" s="72" t="str">
        <f t="shared" si="40"/>
        <v/>
      </c>
      <c r="Z61" s="72" t="str">
        <f t="shared" si="20"/>
        <v/>
      </c>
      <c r="AA61" s="39"/>
      <c r="AB61" s="72" t="str">
        <f t="shared" si="4"/>
        <v/>
      </c>
      <c r="AC61" s="72" t="str">
        <f t="shared" si="21"/>
        <v/>
      </c>
      <c r="AD61" s="39"/>
      <c r="AE61" s="72" t="str">
        <f t="shared" si="41"/>
        <v/>
      </c>
      <c r="AF61" s="72" t="str">
        <f t="shared" si="22"/>
        <v/>
      </c>
      <c r="AG61" s="39"/>
      <c r="AH61" s="72" t="str">
        <f t="shared" si="42"/>
        <v/>
      </c>
      <c r="AI61" s="72" t="str">
        <f t="shared" si="23"/>
        <v/>
      </c>
      <c r="AJ61" s="39"/>
      <c r="AK61" s="72" t="str">
        <f t="shared" si="43"/>
        <v/>
      </c>
      <c r="AL61" s="72" t="str">
        <f t="shared" si="24"/>
        <v/>
      </c>
      <c r="AM61" s="39"/>
      <c r="AN61" s="72" t="str">
        <f t="shared" si="44"/>
        <v/>
      </c>
      <c r="AO61" s="72" t="str">
        <f t="shared" si="25"/>
        <v/>
      </c>
      <c r="AP61" s="39"/>
      <c r="AQ61" s="72" t="str">
        <f t="shared" si="45"/>
        <v/>
      </c>
      <c r="AR61" s="72" t="str">
        <f t="shared" si="26"/>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46"/>
        <v/>
      </c>
      <c r="AW61" s="72" t="str">
        <f t="shared" si="27"/>
        <v/>
      </c>
      <c r="AX61" s="39"/>
      <c r="AY61" s="40" t="str">
        <f>IF(ISERROR(IF($K61&lt;=$F$15,VLOOKUP($I61,'表4）CO2価格'!$A$7:$E$67,VLOOKUP($F$48,'表4）CO2価格'!$H$10:$I$12,2,0),0)*$F$8/1000,"")),0,IF($K61&lt;=$F$15,VLOOKUP($I61,'表4）CO2価格'!$A$7:$E$67,VLOOKUP($F$48,'表4）CO2価格'!$H$10:$I$12,2,0),0)*$F$8/1000,""))</f>
        <v/>
      </c>
      <c r="AZ61" s="39"/>
      <c r="BA61" s="42" t="str">
        <f t="shared" si="47"/>
        <v/>
      </c>
      <c r="BB61" s="72" t="str">
        <f t="shared" si="28"/>
        <v/>
      </c>
      <c r="BC61" s="39"/>
      <c r="BD61" s="72" t="str">
        <f t="shared" si="48"/>
        <v/>
      </c>
      <c r="BE61" s="72" t="str">
        <f t="shared" si="29"/>
        <v/>
      </c>
      <c r="BF61" s="39"/>
      <c r="BG61" s="42" t="str">
        <f t="shared" si="49"/>
        <v/>
      </c>
      <c r="BH61" s="72" t="str">
        <f t="shared" si="30"/>
        <v/>
      </c>
      <c r="BI61" s="39"/>
      <c r="BJ61" s="40" t="str">
        <f t="shared" si="31"/>
        <v/>
      </c>
      <c r="BK61" s="157" t="str">
        <f t="shared" si="32"/>
        <v/>
      </c>
      <c r="BL61" s="157" t="str">
        <f t="shared" si="14"/>
        <v/>
      </c>
      <c r="BM61" s="72"/>
      <c r="BN61" s="72" t="str">
        <f t="shared" si="33"/>
        <v/>
      </c>
      <c r="BO61" s="72" t="str">
        <f t="shared" si="34"/>
        <v/>
      </c>
      <c r="BP61" s="39"/>
      <c r="BQ61" s="72" t="str">
        <f t="shared" si="50"/>
        <v/>
      </c>
      <c r="BR61" s="72" t="str">
        <f t="shared" si="35"/>
        <v/>
      </c>
    </row>
    <row r="62" spans="3:70" x14ac:dyDescent="0.15">
      <c r="D62" s="84" t="s">
        <v>587</v>
      </c>
      <c r="F62" s="481"/>
      <c r="G62" s="84" t="s">
        <v>588</v>
      </c>
      <c r="H62" s="71"/>
      <c r="I62" s="322">
        <f t="shared" si="36"/>
        <v>2077</v>
      </c>
      <c r="J62" s="71"/>
      <c r="K62" s="71">
        <f t="shared" si="37"/>
        <v>48</v>
      </c>
      <c r="L62" s="71"/>
      <c r="M62" s="7">
        <f t="shared" si="0"/>
        <v>0.24199880094894996</v>
      </c>
      <c r="N62" s="71"/>
      <c r="O62" s="10" t="str">
        <f t="shared" si="16"/>
        <v/>
      </c>
      <c r="P62" s="29" t="str">
        <f t="shared" si="38"/>
        <v/>
      </c>
      <c r="Q62" s="71"/>
      <c r="R62" s="10" t="str">
        <f t="shared" si="51"/>
        <v/>
      </c>
      <c r="S62" s="71"/>
      <c r="T62" s="10" t="str">
        <f t="shared" si="18"/>
        <v/>
      </c>
      <c r="U62" s="71"/>
      <c r="V62" s="10" t="str">
        <f t="shared" si="39"/>
        <v/>
      </c>
      <c r="W62" s="10" t="str">
        <f t="shared" si="19"/>
        <v/>
      </c>
      <c r="X62" s="71"/>
      <c r="Y62" s="10" t="str">
        <f t="shared" si="40"/>
        <v/>
      </c>
      <c r="Z62" s="10" t="str">
        <f t="shared" si="20"/>
        <v/>
      </c>
      <c r="AA62" s="71"/>
      <c r="AB62" s="10" t="str">
        <f t="shared" si="4"/>
        <v/>
      </c>
      <c r="AC62" s="10" t="str">
        <f t="shared" si="21"/>
        <v/>
      </c>
      <c r="AD62" s="71"/>
      <c r="AE62" s="10" t="str">
        <f t="shared" si="41"/>
        <v/>
      </c>
      <c r="AF62" s="10" t="str">
        <f t="shared" si="22"/>
        <v/>
      </c>
      <c r="AG62" s="71"/>
      <c r="AH62" s="10" t="str">
        <f t="shared" si="42"/>
        <v/>
      </c>
      <c r="AI62" s="10" t="str">
        <f t="shared" si="23"/>
        <v/>
      </c>
      <c r="AJ62" s="71"/>
      <c r="AK62" s="10" t="str">
        <f t="shared" si="43"/>
        <v/>
      </c>
      <c r="AL62" s="10" t="str">
        <f t="shared" si="24"/>
        <v/>
      </c>
      <c r="AM62" s="71"/>
      <c r="AN62" s="10" t="str">
        <f t="shared" si="44"/>
        <v/>
      </c>
      <c r="AO62" s="10" t="str">
        <f t="shared" si="25"/>
        <v/>
      </c>
      <c r="AP62" s="71"/>
      <c r="AQ62" s="10" t="str">
        <f t="shared" si="45"/>
        <v/>
      </c>
      <c r="AR62" s="10" t="str">
        <f t="shared" si="26"/>
        <v/>
      </c>
      <c r="AS62" s="71"/>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U62" s="71"/>
      <c r="AV62" s="10" t="str">
        <f t="shared" si="46"/>
        <v/>
      </c>
      <c r="AW62" s="10" t="str">
        <f t="shared" si="27"/>
        <v/>
      </c>
      <c r="AX62" s="71"/>
      <c r="AY62" s="7" t="str">
        <f>IF(ISERROR(IF($K62&lt;=$F$15,VLOOKUP($I62,'表4）CO2価格'!$A$7:$E$67,VLOOKUP($F$48,'表4）CO2価格'!$H$10:$I$12,2,0),0)*$F$8/1000,"")),0,IF($K62&lt;=$F$15,VLOOKUP($I62,'表4）CO2価格'!$A$7:$E$67,VLOOKUP($F$48,'表4）CO2価格'!$H$10:$I$12,2,0),0)*$F$8/1000,""))</f>
        <v/>
      </c>
      <c r="AZ62" s="71"/>
      <c r="BA62" s="11" t="str">
        <f t="shared" si="47"/>
        <v/>
      </c>
      <c r="BB62" s="10" t="str">
        <f t="shared" si="28"/>
        <v/>
      </c>
      <c r="BC62" s="71"/>
      <c r="BD62" s="10" t="str">
        <f t="shared" si="48"/>
        <v/>
      </c>
      <c r="BE62" s="10" t="str">
        <f t="shared" si="29"/>
        <v/>
      </c>
      <c r="BF62" s="71"/>
      <c r="BG62" s="11" t="str">
        <f t="shared" si="49"/>
        <v/>
      </c>
      <c r="BH62" s="10" t="str">
        <f t="shared" si="30"/>
        <v/>
      </c>
      <c r="BJ62" s="7" t="str">
        <f t="shared" si="31"/>
        <v/>
      </c>
      <c r="BK62" s="158" t="str">
        <f t="shared" si="32"/>
        <v/>
      </c>
      <c r="BL62" s="158" t="str">
        <f t="shared" si="14"/>
        <v/>
      </c>
      <c r="BM62" s="10"/>
      <c r="BN62" s="10" t="str">
        <f t="shared" si="33"/>
        <v/>
      </c>
      <c r="BO62" s="10" t="str">
        <f t="shared" si="34"/>
        <v/>
      </c>
      <c r="BQ62" s="10" t="str">
        <f t="shared" si="50"/>
        <v/>
      </c>
      <c r="BR62" s="10" t="str">
        <f t="shared" si="35"/>
        <v/>
      </c>
    </row>
    <row r="63" spans="3:70" x14ac:dyDescent="0.15">
      <c r="H63" s="71"/>
      <c r="I63" s="38">
        <f t="shared" si="36"/>
        <v>2078</v>
      </c>
      <c r="J63" s="39"/>
      <c r="K63" s="39">
        <f t="shared" si="37"/>
        <v>49</v>
      </c>
      <c r="L63" s="39"/>
      <c r="M63" s="40">
        <f t="shared" si="0"/>
        <v>0.2349502921834466</v>
      </c>
      <c r="N63" s="39"/>
      <c r="O63" s="72" t="str">
        <f t="shared" si="16"/>
        <v/>
      </c>
      <c r="P63" s="41" t="str">
        <f t="shared" si="38"/>
        <v/>
      </c>
      <c r="Q63" s="39"/>
      <c r="R63" s="72" t="str">
        <f t="shared" si="51"/>
        <v/>
      </c>
      <c r="S63" s="39"/>
      <c r="T63" s="72" t="str">
        <f t="shared" si="18"/>
        <v/>
      </c>
      <c r="U63" s="39"/>
      <c r="V63" s="72" t="str">
        <f t="shared" si="39"/>
        <v/>
      </c>
      <c r="W63" s="72" t="str">
        <f t="shared" si="19"/>
        <v/>
      </c>
      <c r="X63" s="39"/>
      <c r="Y63" s="72" t="str">
        <f t="shared" si="40"/>
        <v/>
      </c>
      <c r="Z63" s="72" t="str">
        <f t="shared" si="20"/>
        <v/>
      </c>
      <c r="AA63" s="39"/>
      <c r="AB63" s="72" t="str">
        <f t="shared" si="4"/>
        <v/>
      </c>
      <c r="AC63" s="72" t="str">
        <f t="shared" si="21"/>
        <v/>
      </c>
      <c r="AD63" s="39"/>
      <c r="AE63" s="72" t="str">
        <f t="shared" si="41"/>
        <v/>
      </c>
      <c r="AF63" s="72" t="str">
        <f t="shared" si="22"/>
        <v/>
      </c>
      <c r="AG63" s="39"/>
      <c r="AH63" s="72" t="str">
        <f t="shared" si="42"/>
        <v/>
      </c>
      <c r="AI63" s="72" t="str">
        <f t="shared" si="23"/>
        <v/>
      </c>
      <c r="AJ63" s="39"/>
      <c r="AK63" s="72" t="str">
        <f t="shared" si="43"/>
        <v/>
      </c>
      <c r="AL63" s="72" t="str">
        <f t="shared" si="24"/>
        <v/>
      </c>
      <c r="AM63" s="39"/>
      <c r="AN63" s="72" t="str">
        <f t="shared" si="44"/>
        <v/>
      </c>
      <c r="AO63" s="72" t="str">
        <f t="shared" si="25"/>
        <v/>
      </c>
      <c r="AP63" s="39"/>
      <c r="AQ63" s="72" t="str">
        <f t="shared" si="45"/>
        <v/>
      </c>
      <c r="AR63" s="72" t="str">
        <f t="shared" si="26"/>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46"/>
        <v/>
      </c>
      <c r="AW63" s="72" t="str">
        <f t="shared" si="27"/>
        <v/>
      </c>
      <c r="AX63" s="39"/>
      <c r="AY63" s="40" t="str">
        <f>IF(ISERROR(IF($K63&lt;=$F$15,VLOOKUP($I63,'表4）CO2価格'!$A$7:$E$67,VLOOKUP($F$48,'表4）CO2価格'!$H$10:$I$12,2,0),0)*$F$8/1000,"")),0,IF($K63&lt;=$F$15,VLOOKUP($I63,'表4）CO2価格'!$A$7:$E$67,VLOOKUP($F$48,'表4）CO2価格'!$H$10:$I$12,2,0),0)*$F$8/1000,""))</f>
        <v/>
      </c>
      <c r="AZ63" s="39"/>
      <c r="BA63" s="42" t="str">
        <f t="shared" si="47"/>
        <v/>
      </c>
      <c r="BB63" s="72" t="str">
        <f t="shared" si="28"/>
        <v/>
      </c>
      <c r="BC63" s="39"/>
      <c r="BD63" s="72" t="str">
        <f t="shared" si="48"/>
        <v/>
      </c>
      <c r="BE63" s="72" t="str">
        <f t="shared" si="29"/>
        <v/>
      </c>
      <c r="BF63" s="39"/>
      <c r="BG63" s="42" t="str">
        <f t="shared" si="49"/>
        <v/>
      </c>
      <c r="BH63" s="72" t="str">
        <f t="shared" si="30"/>
        <v/>
      </c>
      <c r="BI63" s="39"/>
      <c r="BJ63" s="40" t="str">
        <f t="shared" si="31"/>
        <v/>
      </c>
      <c r="BK63" s="157" t="str">
        <f t="shared" si="32"/>
        <v/>
      </c>
      <c r="BL63" s="157" t="str">
        <f t="shared" si="14"/>
        <v/>
      </c>
      <c r="BM63" s="72"/>
      <c r="BN63" s="72" t="str">
        <f t="shared" si="33"/>
        <v/>
      </c>
      <c r="BO63" s="72" t="str">
        <f t="shared" si="34"/>
        <v/>
      </c>
      <c r="BP63" s="39"/>
      <c r="BQ63" s="72" t="str">
        <f t="shared" si="50"/>
        <v/>
      </c>
      <c r="BR63" s="72" t="str">
        <f t="shared" si="35"/>
        <v/>
      </c>
    </row>
    <row r="64" spans="3:70" x14ac:dyDescent="0.15">
      <c r="C64" s="71" t="s">
        <v>589</v>
      </c>
      <c r="F64" s="477">
        <v>1.26</v>
      </c>
      <c r="G64" s="84" t="s">
        <v>590</v>
      </c>
      <c r="H64" s="71"/>
      <c r="I64" s="322">
        <f t="shared" si="36"/>
        <v>2079</v>
      </c>
      <c r="J64" s="71"/>
      <c r="K64" s="71">
        <f t="shared" si="37"/>
        <v>50</v>
      </c>
      <c r="L64" s="71"/>
      <c r="M64" s="7">
        <f t="shared" si="0"/>
        <v>0.22810707978975397</v>
      </c>
      <c r="N64" s="71"/>
      <c r="O64" s="10" t="str">
        <f t="shared" si="16"/>
        <v/>
      </c>
      <c r="P64" s="29" t="str">
        <f t="shared" si="38"/>
        <v/>
      </c>
      <c r="Q64" s="71"/>
      <c r="R64" s="10" t="str">
        <f t="shared" si="51"/>
        <v/>
      </c>
      <c r="S64" s="71"/>
      <c r="T64" s="10" t="str">
        <f t="shared" si="18"/>
        <v/>
      </c>
      <c r="U64" s="71"/>
      <c r="V64" s="10" t="str">
        <f t="shared" si="39"/>
        <v/>
      </c>
      <c r="W64" s="10" t="str">
        <f t="shared" si="19"/>
        <v/>
      </c>
      <c r="X64" s="71"/>
      <c r="Y64" s="10" t="str">
        <f t="shared" si="40"/>
        <v/>
      </c>
      <c r="Z64" s="10" t="str">
        <f t="shared" si="20"/>
        <v/>
      </c>
      <c r="AA64" s="71"/>
      <c r="AB64" s="10" t="str">
        <f t="shared" si="4"/>
        <v/>
      </c>
      <c r="AC64" s="10" t="str">
        <f t="shared" si="21"/>
        <v/>
      </c>
      <c r="AD64" s="71"/>
      <c r="AE64" s="10" t="str">
        <f t="shared" si="41"/>
        <v/>
      </c>
      <c r="AF64" s="10" t="str">
        <f t="shared" si="22"/>
        <v/>
      </c>
      <c r="AG64" s="71"/>
      <c r="AH64" s="10" t="str">
        <f t="shared" si="42"/>
        <v/>
      </c>
      <c r="AI64" s="10" t="str">
        <f t="shared" si="23"/>
        <v/>
      </c>
      <c r="AJ64" s="71"/>
      <c r="AK64" s="10" t="str">
        <f t="shared" si="43"/>
        <v/>
      </c>
      <c r="AL64" s="10" t="str">
        <f t="shared" si="24"/>
        <v/>
      </c>
      <c r="AM64" s="71"/>
      <c r="AN64" s="10" t="str">
        <f t="shared" si="44"/>
        <v/>
      </c>
      <c r="AO64" s="10" t="str">
        <f t="shared" si="25"/>
        <v/>
      </c>
      <c r="AP64" s="71"/>
      <c r="AQ64" s="10" t="str">
        <f t="shared" si="45"/>
        <v/>
      </c>
      <c r="AR64" s="10" t="str">
        <f t="shared" si="26"/>
        <v/>
      </c>
      <c r="AS64" s="71"/>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U64" s="71"/>
      <c r="AV64" s="10" t="str">
        <f t="shared" si="46"/>
        <v/>
      </c>
      <c r="AW64" s="10" t="str">
        <f t="shared" si="27"/>
        <v/>
      </c>
      <c r="AX64" s="71"/>
      <c r="AY64" s="7" t="str">
        <f>IF(ISERROR(IF($K64&lt;=$F$15,VLOOKUP($I64,'表4）CO2価格'!$A$7:$E$67,VLOOKUP($F$48,'表4）CO2価格'!$H$10:$I$12,2,0),0)*$F$8/1000,"")),0,IF($K64&lt;=$F$15,VLOOKUP($I64,'表4）CO2価格'!$A$7:$E$67,VLOOKUP($F$48,'表4）CO2価格'!$H$10:$I$12,2,0),0)*$F$8/1000,""))</f>
        <v/>
      </c>
      <c r="AZ64" s="71"/>
      <c r="BA64" s="11" t="str">
        <f t="shared" si="47"/>
        <v/>
      </c>
      <c r="BB64" s="10" t="str">
        <f t="shared" si="28"/>
        <v/>
      </c>
      <c r="BC64" s="71"/>
      <c r="BD64" s="10" t="str">
        <f t="shared" si="48"/>
        <v/>
      </c>
      <c r="BE64" s="10" t="str">
        <f t="shared" si="29"/>
        <v/>
      </c>
      <c r="BF64" s="71"/>
      <c r="BG64" s="11" t="str">
        <f t="shared" si="49"/>
        <v/>
      </c>
      <c r="BH64" s="10" t="str">
        <f t="shared" si="30"/>
        <v/>
      </c>
      <c r="BJ64" s="7" t="str">
        <f t="shared" si="31"/>
        <v/>
      </c>
      <c r="BK64" s="158" t="str">
        <f t="shared" si="32"/>
        <v/>
      </c>
      <c r="BL64" s="158" t="str">
        <f t="shared" si="14"/>
        <v/>
      </c>
      <c r="BM64" s="10"/>
      <c r="BN64" s="10" t="str">
        <f t="shared" si="33"/>
        <v/>
      </c>
      <c r="BO64" s="10" t="str">
        <f t="shared" si="34"/>
        <v/>
      </c>
      <c r="BQ64" s="10" t="str">
        <f t="shared" si="50"/>
        <v/>
      </c>
      <c r="BR64" s="10" t="str">
        <f t="shared" si="35"/>
        <v/>
      </c>
    </row>
    <row r="65" spans="2:70" x14ac:dyDescent="0.15">
      <c r="H65" s="71"/>
      <c r="I65" s="38">
        <f t="shared" si="36"/>
        <v>2080</v>
      </c>
      <c r="J65" s="39"/>
      <c r="K65" s="39">
        <f t="shared" si="37"/>
        <v>51</v>
      </c>
      <c r="L65" s="39"/>
      <c r="M65" s="40">
        <f t="shared" si="0"/>
        <v>0.22146318426189707</v>
      </c>
      <c r="N65" s="39"/>
      <c r="O65" s="72" t="str">
        <f t="shared" si="16"/>
        <v/>
      </c>
      <c r="P65" s="41" t="str">
        <f t="shared" si="38"/>
        <v/>
      </c>
      <c r="Q65" s="39"/>
      <c r="R65" s="72" t="str">
        <f t="shared" si="51"/>
        <v/>
      </c>
      <c r="S65" s="39"/>
      <c r="T65" s="72" t="str">
        <f t="shared" si="18"/>
        <v/>
      </c>
      <c r="U65" s="39"/>
      <c r="V65" s="72" t="str">
        <f t="shared" si="39"/>
        <v/>
      </c>
      <c r="W65" s="72" t="str">
        <f t="shared" si="19"/>
        <v/>
      </c>
      <c r="X65" s="39"/>
      <c r="Y65" s="72" t="str">
        <f t="shared" si="40"/>
        <v/>
      </c>
      <c r="Z65" s="72" t="str">
        <f t="shared" si="20"/>
        <v/>
      </c>
      <c r="AA65" s="39"/>
      <c r="AB65" s="72" t="str">
        <f t="shared" si="4"/>
        <v/>
      </c>
      <c r="AC65" s="72" t="str">
        <f t="shared" si="21"/>
        <v/>
      </c>
      <c r="AD65" s="39"/>
      <c r="AE65" s="72" t="str">
        <f t="shared" si="41"/>
        <v/>
      </c>
      <c r="AF65" s="72" t="str">
        <f t="shared" si="22"/>
        <v/>
      </c>
      <c r="AG65" s="39"/>
      <c r="AH65" s="72" t="str">
        <f t="shared" si="42"/>
        <v/>
      </c>
      <c r="AI65" s="72" t="str">
        <f t="shared" si="23"/>
        <v/>
      </c>
      <c r="AJ65" s="39"/>
      <c r="AK65" s="72" t="str">
        <f t="shared" si="43"/>
        <v/>
      </c>
      <c r="AL65" s="72" t="str">
        <f t="shared" si="24"/>
        <v/>
      </c>
      <c r="AM65" s="39"/>
      <c r="AN65" s="72" t="str">
        <f t="shared" si="44"/>
        <v/>
      </c>
      <c r="AO65" s="72" t="str">
        <f t="shared" si="25"/>
        <v/>
      </c>
      <c r="AP65" s="39"/>
      <c r="AQ65" s="72" t="str">
        <f t="shared" si="45"/>
        <v/>
      </c>
      <c r="AR65" s="72" t="str">
        <f t="shared" si="26"/>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46"/>
        <v/>
      </c>
      <c r="AW65" s="72" t="str">
        <f t="shared" si="27"/>
        <v/>
      </c>
      <c r="AX65" s="39"/>
      <c r="AY65" s="40" t="str">
        <f>IF(ISERROR(IF($K65&lt;=$F$15,VLOOKUP($I65,'表4）CO2価格'!$A$7:$E$67,VLOOKUP($F$48,'表4）CO2価格'!$H$10:$I$12,2,0),0)*$F$8/1000,"")),0,IF($K65&lt;=$F$15,VLOOKUP($I65,'表4）CO2価格'!$A$7:$E$67,VLOOKUP($F$48,'表4）CO2価格'!$H$10:$I$12,2,0),0)*$F$8/1000,""))</f>
        <v/>
      </c>
      <c r="AZ65" s="39"/>
      <c r="BA65" s="42" t="str">
        <f t="shared" si="47"/>
        <v/>
      </c>
      <c r="BB65" s="72" t="str">
        <f t="shared" si="28"/>
        <v/>
      </c>
      <c r="BC65" s="39"/>
      <c r="BD65" s="72" t="str">
        <f t="shared" si="48"/>
        <v/>
      </c>
      <c r="BE65" s="72" t="str">
        <f t="shared" si="29"/>
        <v/>
      </c>
      <c r="BF65" s="39"/>
      <c r="BG65" s="42" t="str">
        <f t="shared" si="49"/>
        <v/>
      </c>
      <c r="BH65" s="72" t="str">
        <f t="shared" si="30"/>
        <v/>
      </c>
      <c r="BI65" s="39"/>
      <c r="BJ65" s="40" t="str">
        <f t="shared" si="31"/>
        <v/>
      </c>
      <c r="BK65" s="157" t="str">
        <f t="shared" si="32"/>
        <v/>
      </c>
      <c r="BL65" s="157" t="str">
        <f t="shared" si="14"/>
        <v/>
      </c>
      <c r="BM65" s="72"/>
      <c r="BN65" s="72" t="str">
        <f t="shared" si="33"/>
        <v/>
      </c>
      <c r="BO65" s="72" t="str">
        <f t="shared" si="34"/>
        <v/>
      </c>
      <c r="BP65" s="39"/>
      <c r="BQ65" s="72" t="str">
        <f t="shared" si="50"/>
        <v/>
      </c>
      <c r="BR65" s="72" t="str">
        <f t="shared" si="35"/>
        <v/>
      </c>
    </row>
    <row r="66" spans="2:70" x14ac:dyDescent="0.15">
      <c r="H66" s="71"/>
      <c r="I66" s="322">
        <f t="shared" si="36"/>
        <v>2081</v>
      </c>
      <c r="J66" s="71"/>
      <c r="K66" s="71">
        <f t="shared" si="37"/>
        <v>52</v>
      </c>
      <c r="L66" s="71"/>
      <c r="M66" s="7">
        <f t="shared" si="0"/>
        <v>0.215012800254269</v>
      </c>
      <c r="N66" s="71"/>
      <c r="O66" s="10" t="str">
        <f t="shared" si="16"/>
        <v/>
      </c>
      <c r="P66" s="29" t="str">
        <f t="shared" si="38"/>
        <v/>
      </c>
      <c r="Q66" s="71"/>
      <c r="R66" s="10" t="str">
        <f t="shared" si="51"/>
        <v/>
      </c>
      <c r="S66" s="71"/>
      <c r="T66" s="10" t="str">
        <f t="shared" si="18"/>
        <v/>
      </c>
      <c r="U66" s="71"/>
      <c r="V66" s="10" t="str">
        <f t="shared" si="39"/>
        <v/>
      </c>
      <c r="W66" s="10" t="str">
        <f t="shared" si="19"/>
        <v/>
      </c>
      <c r="X66" s="71"/>
      <c r="Y66" s="10" t="str">
        <f t="shared" si="40"/>
        <v/>
      </c>
      <c r="Z66" s="10" t="str">
        <f t="shared" si="20"/>
        <v/>
      </c>
      <c r="AA66" s="71"/>
      <c r="AB66" s="10" t="str">
        <f t="shared" si="4"/>
        <v/>
      </c>
      <c r="AC66" s="10" t="str">
        <f t="shared" si="21"/>
        <v/>
      </c>
      <c r="AD66" s="71"/>
      <c r="AE66" s="10" t="str">
        <f t="shared" si="41"/>
        <v/>
      </c>
      <c r="AF66" s="10" t="str">
        <f t="shared" si="22"/>
        <v/>
      </c>
      <c r="AG66" s="71"/>
      <c r="AH66" s="10" t="str">
        <f t="shared" si="42"/>
        <v/>
      </c>
      <c r="AI66" s="10" t="str">
        <f t="shared" si="23"/>
        <v/>
      </c>
      <c r="AJ66" s="71"/>
      <c r="AK66" s="10" t="str">
        <f t="shared" si="43"/>
        <v/>
      </c>
      <c r="AL66" s="10" t="str">
        <f t="shared" si="24"/>
        <v/>
      </c>
      <c r="AM66" s="71"/>
      <c r="AN66" s="10" t="str">
        <f t="shared" si="44"/>
        <v/>
      </c>
      <c r="AO66" s="10" t="str">
        <f t="shared" si="25"/>
        <v/>
      </c>
      <c r="AP66" s="71"/>
      <c r="AQ66" s="10" t="str">
        <f t="shared" si="45"/>
        <v/>
      </c>
      <c r="AR66" s="10" t="str">
        <f t="shared" si="26"/>
        <v/>
      </c>
      <c r="AS66" s="71"/>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U66" s="71"/>
      <c r="AV66" s="10" t="str">
        <f t="shared" si="46"/>
        <v/>
      </c>
      <c r="AW66" s="10" t="str">
        <f t="shared" si="27"/>
        <v/>
      </c>
      <c r="AX66" s="71"/>
      <c r="AY66" s="7" t="str">
        <f>IF(ISERROR(IF($K66&lt;=$F$15,VLOOKUP($I66,'表4）CO2価格'!$A$7:$E$67,VLOOKUP($F$48,'表4）CO2価格'!$H$10:$I$12,2,0),0)*$F$8/1000,"")),0,IF($K66&lt;=$F$15,VLOOKUP($I66,'表4）CO2価格'!$A$7:$E$67,VLOOKUP($F$48,'表4）CO2価格'!$H$10:$I$12,2,0),0)*$F$8/1000,""))</f>
        <v/>
      </c>
      <c r="AZ66" s="71"/>
      <c r="BA66" s="11" t="str">
        <f t="shared" si="47"/>
        <v/>
      </c>
      <c r="BB66" s="10" t="str">
        <f t="shared" si="28"/>
        <v/>
      </c>
      <c r="BC66" s="71"/>
      <c r="BD66" s="10" t="str">
        <f t="shared" si="48"/>
        <v/>
      </c>
      <c r="BE66" s="10" t="str">
        <f t="shared" si="29"/>
        <v/>
      </c>
      <c r="BF66" s="71"/>
      <c r="BG66" s="11" t="str">
        <f t="shared" si="49"/>
        <v/>
      </c>
      <c r="BH66" s="10" t="str">
        <f t="shared" si="30"/>
        <v/>
      </c>
      <c r="BJ66" s="7" t="str">
        <f t="shared" si="31"/>
        <v/>
      </c>
      <c r="BK66" s="158" t="str">
        <f t="shared" si="32"/>
        <v/>
      </c>
      <c r="BL66" s="158" t="str">
        <f t="shared" si="14"/>
        <v/>
      </c>
      <c r="BM66" s="10"/>
      <c r="BN66" s="10" t="str">
        <f t="shared" si="33"/>
        <v/>
      </c>
      <c r="BO66" s="10" t="str">
        <f t="shared" si="34"/>
        <v/>
      </c>
      <c r="BQ66" s="10" t="str">
        <f t="shared" si="50"/>
        <v/>
      </c>
      <c r="BR66" s="10" t="str">
        <f t="shared" si="35"/>
        <v/>
      </c>
    </row>
    <row r="67" spans="2:70" ht="15.75" thickBot="1" x14ac:dyDescent="0.2">
      <c r="B67" s="5" t="s">
        <v>133</v>
      </c>
      <c r="C67" s="3"/>
      <c r="D67" s="102"/>
      <c r="E67" s="102"/>
      <c r="F67" s="3"/>
      <c r="G67" s="102"/>
      <c r="H67" s="71"/>
      <c r="I67" s="38">
        <f t="shared" si="36"/>
        <v>2082</v>
      </c>
      <c r="J67" s="39"/>
      <c r="K67" s="39">
        <f t="shared" si="37"/>
        <v>53</v>
      </c>
      <c r="L67" s="39"/>
      <c r="M67" s="40">
        <f t="shared" si="0"/>
        <v>0.20875029150899907</v>
      </c>
      <c r="N67" s="39"/>
      <c r="O67" s="72" t="str">
        <f t="shared" si="16"/>
        <v/>
      </c>
      <c r="P67" s="41" t="str">
        <f t="shared" si="38"/>
        <v/>
      </c>
      <c r="Q67" s="39"/>
      <c r="R67" s="72" t="str">
        <f t="shared" si="51"/>
        <v/>
      </c>
      <c r="S67" s="39"/>
      <c r="T67" s="72" t="str">
        <f t="shared" si="18"/>
        <v/>
      </c>
      <c r="U67" s="39"/>
      <c r="V67" s="72" t="str">
        <f t="shared" si="39"/>
        <v/>
      </c>
      <c r="W67" s="72" t="str">
        <f t="shared" si="19"/>
        <v/>
      </c>
      <c r="X67" s="39"/>
      <c r="Y67" s="72" t="str">
        <f t="shared" si="40"/>
        <v/>
      </c>
      <c r="Z67" s="72" t="str">
        <f t="shared" si="20"/>
        <v/>
      </c>
      <c r="AA67" s="39"/>
      <c r="AB67" s="72" t="str">
        <f t="shared" si="4"/>
        <v/>
      </c>
      <c r="AC67" s="72" t="str">
        <f t="shared" si="21"/>
        <v/>
      </c>
      <c r="AD67" s="39"/>
      <c r="AE67" s="72" t="str">
        <f t="shared" si="41"/>
        <v/>
      </c>
      <c r="AF67" s="72" t="str">
        <f t="shared" si="22"/>
        <v/>
      </c>
      <c r="AG67" s="39"/>
      <c r="AH67" s="72" t="str">
        <f t="shared" si="42"/>
        <v/>
      </c>
      <c r="AI67" s="72" t="str">
        <f t="shared" si="23"/>
        <v/>
      </c>
      <c r="AJ67" s="39"/>
      <c r="AK67" s="72" t="str">
        <f t="shared" si="43"/>
        <v/>
      </c>
      <c r="AL67" s="72" t="str">
        <f t="shared" si="24"/>
        <v/>
      </c>
      <c r="AM67" s="39"/>
      <c r="AN67" s="72" t="str">
        <f t="shared" si="44"/>
        <v/>
      </c>
      <c r="AO67" s="72" t="str">
        <f t="shared" si="25"/>
        <v/>
      </c>
      <c r="AP67" s="39"/>
      <c r="AQ67" s="72" t="str">
        <f t="shared" si="45"/>
        <v/>
      </c>
      <c r="AR67" s="72" t="str">
        <f t="shared" si="26"/>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46"/>
        <v/>
      </c>
      <c r="AW67" s="72" t="str">
        <f t="shared" si="27"/>
        <v/>
      </c>
      <c r="AX67" s="39"/>
      <c r="AY67" s="40" t="str">
        <f>IF(ISERROR(IF($K67&lt;=$F$15,VLOOKUP($I67,'表4）CO2価格'!$A$7:$E$67,VLOOKUP($F$48,'表4）CO2価格'!$H$10:$I$12,2,0),0)*$F$8/1000,"")),0,IF($K67&lt;=$F$15,VLOOKUP($I67,'表4）CO2価格'!$A$7:$E$67,VLOOKUP($F$48,'表4）CO2価格'!$H$10:$I$12,2,0),0)*$F$8/1000,""))</f>
        <v/>
      </c>
      <c r="AZ67" s="39"/>
      <c r="BA67" s="42" t="str">
        <f t="shared" si="47"/>
        <v/>
      </c>
      <c r="BB67" s="72" t="str">
        <f t="shared" si="28"/>
        <v/>
      </c>
      <c r="BC67" s="39"/>
      <c r="BD67" s="72" t="str">
        <f t="shared" si="48"/>
        <v/>
      </c>
      <c r="BE67" s="72" t="str">
        <f t="shared" si="29"/>
        <v/>
      </c>
      <c r="BF67" s="39"/>
      <c r="BG67" s="42" t="str">
        <f t="shared" si="49"/>
        <v/>
      </c>
      <c r="BH67" s="72" t="str">
        <f t="shared" si="30"/>
        <v/>
      </c>
      <c r="BI67" s="39"/>
      <c r="BJ67" s="40" t="str">
        <f t="shared" si="31"/>
        <v/>
      </c>
      <c r="BK67" s="157" t="str">
        <f t="shared" si="32"/>
        <v/>
      </c>
      <c r="BL67" s="157" t="str">
        <f t="shared" si="14"/>
        <v/>
      </c>
      <c r="BM67" s="72"/>
      <c r="BN67" s="72" t="str">
        <f t="shared" si="33"/>
        <v/>
      </c>
      <c r="BO67" s="72" t="str">
        <f t="shared" si="34"/>
        <v/>
      </c>
      <c r="BP67" s="39"/>
      <c r="BQ67" s="72" t="str">
        <f t="shared" si="50"/>
        <v/>
      </c>
      <c r="BR67" s="72" t="str">
        <f t="shared" si="35"/>
        <v/>
      </c>
    </row>
    <row r="68" spans="2:70" x14ac:dyDescent="0.15">
      <c r="H68" s="71"/>
      <c r="I68" s="322">
        <f t="shared" si="36"/>
        <v>2083</v>
      </c>
      <c r="J68" s="71"/>
      <c r="K68" s="71">
        <f t="shared" si="37"/>
        <v>54</v>
      </c>
      <c r="L68" s="71"/>
      <c r="M68" s="7">
        <f t="shared" si="0"/>
        <v>0.20267018593106703</v>
      </c>
      <c r="N68" s="71"/>
      <c r="O68" s="10" t="str">
        <f t="shared" si="16"/>
        <v/>
      </c>
      <c r="P68" s="29" t="str">
        <f t="shared" si="38"/>
        <v/>
      </c>
      <c r="Q68" s="71"/>
      <c r="R68" s="10" t="str">
        <f t="shared" si="51"/>
        <v/>
      </c>
      <c r="S68" s="71"/>
      <c r="T68" s="10" t="str">
        <f t="shared" si="18"/>
        <v/>
      </c>
      <c r="U68" s="71"/>
      <c r="V68" s="10" t="str">
        <f t="shared" si="39"/>
        <v/>
      </c>
      <c r="W68" s="10" t="str">
        <f t="shared" si="19"/>
        <v/>
      </c>
      <c r="X68" s="71"/>
      <c r="Y68" s="10" t="str">
        <f t="shared" si="40"/>
        <v/>
      </c>
      <c r="Z68" s="10" t="str">
        <f t="shared" si="20"/>
        <v/>
      </c>
      <c r="AA68" s="71"/>
      <c r="AB68" s="10" t="str">
        <f t="shared" si="4"/>
        <v/>
      </c>
      <c r="AC68" s="10" t="str">
        <f t="shared" si="21"/>
        <v/>
      </c>
      <c r="AD68" s="71"/>
      <c r="AE68" s="10" t="str">
        <f t="shared" si="41"/>
        <v/>
      </c>
      <c r="AF68" s="10" t="str">
        <f t="shared" si="22"/>
        <v/>
      </c>
      <c r="AG68" s="71"/>
      <c r="AH68" s="10" t="str">
        <f t="shared" si="42"/>
        <v/>
      </c>
      <c r="AI68" s="10" t="str">
        <f t="shared" si="23"/>
        <v/>
      </c>
      <c r="AJ68" s="71"/>
      <c r="AK68" s="10" t="str">
        <f t="shared" si="43"/>
        <v/>
      </c>
      <c r="AL68" s="10" t="str">
        <f t="shared" si="24"/>
        <v/>
      </c>
      <c r="AM68" s="71"/>
      <c r="AN68" s="10" t="str">
        <f t="shared" si="44"/>
        <v/>
      </c>
      <c r="AO68" s="10" t="str">
        <f t="shared" si="25"/>
        <v/>
      </c>
      <c r="AP68" s="71"/>
      <c r="AQ68" s="10" t="str">
        <f t="shared" si="45"/>
        <v/>
      </c>
      <c r="AR68" s="10" t="str">
        <f t="shared" si="26"/>
        <v/>
      </c>
      <c r="AS68" s="71"/>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U68" s="71"/>
      <c r="AV68" s="10" t="str">
        <f t="shared" si="46"/>
        <v/>
      </c>
      <c r="AW68" s="10" t="str">
        <f t="shared" si="27"/>
        <v/>
      </c>
      <c r="AX68" s="71"/>
      <c r="AY68" s="7" t="str">
        <f>IF(ISERROR(IF($K68&lt;=$F$15,VLOOKUP($I68,'表4）CO2価格'!$A$7:$E$67,VLOOKUP($F$48,'表4）CO2価格'!$H$10:$I$12,2,0),0)*$F$8/1000,"")),0,IF($K68&lt;=$F$15,VLOOKUP($I68,'表4）CO2価格'!$A$7:$E$67,VLOOKUP($F$48,'表4）CO2価格'!$H$10:$I$12,2,0),0)*$F$8/1000,""))</f>
        <v/>
      </c>
      <c r="AZ68" s="71"/>
      <c r="BA68" s="11" t="str">
        <f t="shared" si="47"/>
        <v/>
      </c>
      <c r="BB68" s="10" t="str">
        <f t="shared" si="28"/>
        <v/>
      </c>
      <c r="BC68" s="71"/>
      <c r="BD68" s="10" t="str">
        <f t="shared" si="48"/>
        <v/>
      </c>
      <c r="BE68" s="10" t="str">
        <f t="shared" si="29"/>
        <v/>
      </c>
      <c r="BF68" s="71"/>
      <c r="BG68" s="11" t="str">
        <f t="shared" si="49"/>
        <v/>
      </c>
      <c r="BH68" s="10" t="str">
        <f t="shared" si="30"/>
        <v/>
      </c>
      <c r="BJ68" s="7" t="str">
        <f t="shared" si="31"/>
        <v/>
      </c>
      <c r="BK68" s="158" t="str">
        <f t="shared" si="32"/>
        <v/>
      </c>
      <c r="BL68" s="158" t="str">
        <f t="shared" si="14"/>
        <v/>
      </c>
      <c r="BM68" s="10"/>
      <c r="BN68" s="10" t="str">
        <f t="shared" si="33"/>
        <v/>
      </c>
      <c r="BO68" s="10" t="str">
        <f t="shared" si="34"/>
        <v/>
      </c>
      <c r="BQ68" s="10" t="str">
        <f t="shared" si="50"/>
        <v/>
      </c>
      <c r="BR68" s="10" t="str">
        <f t="shared" si="35"/>
        <v/>
      </c>
    </row>
    <row r="69" spans="2:70" x14ac:dyDescent="0.15">
      <c r="C69" s="483" t="s">
        <v>134</v>
      </c>
      <c r="D69" s="71"/>
      <c r="E69" s="71"/>
      <c r="F69" s="484">
        <f>SUBTOTAL(9,F74:F112)-F105</f>
        <v>10.908424947045125</v>
      </c>
      <c r="G69" s="71" t="s">
        <v>590</v>
      </c>
      <c r="H69" s="71"/>
      <c r="I69" s="38">
        <f t="shared" si="36"/>
        <v>2084</v>
      </c>
      <c r="J69" s="39"/>
      <c r="K69" s="39">
        <f t="shared" si="37"/>
        <v>55</v>
      </c>
      <c r="L69" s="39"/>
      <c r="M69" s="40">
        <f t="shared" si="0"/>
        <v>0.19676717080686118</v>
      </c>
      <c r="N69" s="39"/>
      <c r="O69" s="72" t="str">
        <f t="shared" si="16"/>
        <v/>
      </c>
      <c r="P69" s="41" t="str">
        <f t="shared" si="38"/>
        <v/>
      </c>
      <c r="Q69" s="39"/>
      <c r="R69" s="72" t="str">
        <f t="shared" si="51"/>
        <v/>
      </c>
      <c r="S69" s="39"/>
      <c r="T69" s="72" t="str">
        <f t="shared" si="18"/>
        <v/>
      </c>
      <c r="U69" s="39"/>
      <c r="V69" s="72" t="str">
        <f t="shared" si="39"/>
        <v/>
      </c>
      <c r="W69" s="72" t="str">
        <f t="shared" si="19"/>
        <v/>
      </c>
      <c r="X69" s="39"/>
      <c r="Y69" s="72" t="str">
        <f t="shared" si="40"/>
        <v/>
      </c>
      <c r="Z69" s="72" t="str">
        <f t="shared" si="20"/>
        <v/>
      </c>
      <c r="AA69" s="39"/>
      <c r="AB69" s="72" t="str">
        <f t="shared" si="4"/>
        <v/>
      </c>
      <c r="AC69" s="72" t="str">
        <f t="shared" si="21"/>
        <v/>
      </c>
      <c r="AD69" s="39"/>
      <c r="AE69" s="72" t="str">
        <f t="shared" si="41"/>
        <v/>
      </c>
      <c r="AF69" s="72" t="str">
        <f t="shared" si="22"/>
        <v/>
      </c>
      <c r="AG69" s="39"/>
      <c r="AH69" s="72" t="str">
        <f t="shared" si="42"/>
        <v/>
      </c>
      <c r="AI69" s="72" t="str">
        <f t="shared" si="23"/>
        <v/>
      </c>
      <c r="AJ69" s="39"/>
      <c r="AK69" s="72" t="str">
        <f t="shared" si="43"/>
        <v/>
      </c>
      <c r="AL69" s="72" t="str">
        <f t="shared" si="24"/>
        <v/>
      </c>
      <c r="AM69" s="39"/>
      <c r="AN69" s="72" t="str">
        <f t="shared" si="44"/>
        <v/>
      </c>
      <c r="AO69" s="72" t="str">
        <f t="shared" si="25"/>
        <v/>
      </c>
      <c r="AP69" s="39"/>
      <c r="AQ69" s="72" t="str">
        <f t="shared" si="45"/>
        <v/>
      </c>
      <c r="AR69" s="72" t="str">
        <f t="shared" si="26"/>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46"/>
        <v/>
      </c>
      <c r="AW69" s="72" t="str">
        <f t="shared" si="27"/>
        <v/>
      </c>
      <c r="AX69" s="39"/>
      <c r="AY69" s="40" t="str">
        <f>IF(ISERROR(IF($K69&lt;=$F$15,VLOOKUP($I69,'表4）CO2価格'!$A$7:$E$67,VLOOKUP($F$48,'表4）CO2価格'!$H$10:$I$12,2,0),0)*$F$8/1000,"")),0,IF($K69&lt;=$F$15,VLOOKUP($I69,'表4）CO2価格'!$A$7:$E$67,VLOOKUP($F$48,'表4）CO2価格'!$H$10:$I$12,2,0),0)*$F$8/1000,""))</f>
        <v/>
      </c>
      <c r="AZ69" s="39"/>
      <c r="BA69" s="42" t="str">
        <f t="shared" si="47"/>
        <v/>
      </c>
      <c r="BB69" s="72" t="str">
        <f t="shared" si="28"/>
        <v/>
      </c>
      <c r="BC69" s="39"/>
      <c r="BD69" s="72" t="str">
        <f t="shared" si="48"/>
        <v/>
      </c>
      <c r="BE69" s="72" t="str">
        <f t="shared" si="29"/>
        <v/>
      </c>
      <c r="BF69" s="39"/>
      <c r="BG69" s="42" t="str">
        <f t="shared" si="49"/>
        <v/>
      </c>
      <c r="BH69" s="72" t="str">
        <f t="shared" si="30"/>
        <v/>
      </c>
      <c r="BI69" s="39"/>
      <c r="BJ69" s="40" t="str">
        <f t="shared" si="31"/>
        <v/>
      </c>
      <c r="BK69" s="157" t="str">
        <f t="shared" si="32"/>
        <v/>
      </c>
      <c r="BL69" s="157" t="str">
        <f t="shared" si="14"/>
        <v/>
      </c>
      <c r="BM69" s="72"/>
      <c r="BN69" s="72" t="str">
        <f t="shared" si="33"/>
        <v/>
      </c>
      <c r="BO69" s="72" t="str">
        <f t="shared" si="34"/>
        <v/>
      </c>
      <c r="BP69" s="39"/>
      <c r="BQ69" s="72" t="str">
        <f t="shared" si="50"/>
        <v/>
      </c>
      <c r="BR69" s="72" t="str">
        <f t="shared" si="35"/>
        <v/>
      </c>
    </row>
    <row r="70" spans="2:70" x14ac:dyDescent="0.15">
      <c r="C70" s="483" t="s">
        <v>135</v>
      </c>
      <c r="D70" s="71"/>
      <c r="E70" s="71"/>
      <c r="F70" s="484">
        <f ca="1">MAX(SUM($Z$117,$AF$117,$AI$117,$AL$117,$AO$117,$AR$117,$AW$117,$BB$117,$BE$117,$BH$117,$BO$116)/$BR$116+$F$105,SUBTOTAL(9,F74:F112))</f>
        <v>16.725944038765991</v>
      </c>
      <c r="G70" s="71" t="s">
        <v>590</v>
      </c>
      <c r="H70" s="71"/>
      <c r="I70" s="322">
        <f t="shared" si="36"/>
        <v>2085</v>
      </c>
      <c r="J70" s="71"/>
      <c r="K70" s="71">
        <f t="shared" si="37"/>
        <v>56</v>
      </c>
      <c r="L70" s="71"/>
      <c r="M70" s="7">
        <f t="shared" si="0"/>
        <v>0.19103608816200118</v>
      </c>
      <c r="N70" s="71"/>
      <c r="O70" s="10" t="str">
        <f t="shared" si="16"/>
        <v/>
      </c>
      <c r="P70" s="29" t="str">
        <f t="shared" si="38"/>
        <v/>
      </c>
      <c r="Q70" s="71"/>
      <c r="R70" s="10" t="str">
        <f t="shared" si="51"/>
        <v/>
      </c>
      <c r="S70" s="71"/>
      <c r="T70" s="10" t="str">
        <f t="shared" si="18"/>
        <v/>
      </c>
      <c r="U70" s="71"/>
      <c r="V70" s="10" t="str">
        <f t="shared" si="39"/>
        <v/>
      </c>
      <c r="W70" s="10" t="str">
        <f t="shared" si="19"/>
        <v/>
      </c>
      <c r="X70" s="71"/>
      <c r="Y70" s="10" t="str">
        <f t="shared" si="40"/>
        <v/>
      </c>
      <c r="Z70" s="10" t="str">
        <f t="shared" si="20"/>
        <v/>
      </c>
      <c r="AA70" s="71"/>
      <c r="AB70" s="10" t="str">
        <f t="shared" si="4"/>
        <v/>
      </c>
      <c r="AC70" s="10" t="str">
        <f t="shared" si="21"/>
        <v/>
      </c>
      <c r="AD70" s="71"/>
      <c r="AE70" s="10" t="str">
        <f t="shared" si="41"/>
        <v/>
      </c>
      <c r="AF70" s="10" t="str">
        <f t="shared" si="22"/>
        <v/>
      </c>
      <c r="AG70" s="71"/>
      <c r="AH70" s="10" t="str">
        <f t="shared" si="42"/>
        <v/>
      </c>
      <c r="AI70" s="10" t="str">
        <f t="shared" si="23"/>
        <v/>
      </c>
      <c r="AJ70" s="71"/>
      <c r="AK70" s="10" t="str">
        <f t="shared" si="43"/>
        <v/>
      </c>
      <c r="AL70" s="10" t="str">
        <f t="shared" si="24"/>
        <v/>
      </c>
      <c r="AM70" s="71"/>
      <c r="AN70" s="10" t="str">
        <f t="shared" si="44"/>
        <v/>
      </c>
      <c r="AO70" s="10" t="str">
        <f t="shared" si="25"/>
        <v/>
      </c>
      <c r="AP70" s="71"/>
      <c r="AQ70" s="10" t="str">
        <f t="shared" si="45"/>
        <v/>
      </c>
      <c r="AR70" s="10" t="str">
        <f t="shared" si="26"/>
        <v/>
      </c>
      <c r="AS70" s="71"/>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U70" s="71"/>
      <c r="AV70" s="10" t="str">
        <f t="shared" si="46"/>
        <v/>
      </c>
      <c r="AW70" s="10" t="str">
        <f t="shared" si="27"/>
        <v/>
      </c>
      <c r="AX70" s="71"/>
      <c r="AY70" s="7" t="str">
        <f>IF(ISERROR(IF($K70&lt;=$F$15,VLOOKUP($I70,'表4）CO2価格'!$A$7:$E$67,VLOOKUP($F$48,'表4）CO2価格'!$H$10:$I$12,2,0),0)*$F$8/1000,"")),0,IF($K70&lt;=$F$15,VLOOKUP($I70,'表4）CO2価格'!$A$7:$E$67,VLOOKUP($F$48,'表4）CO2価格'!$H$10:$I$12,2,0),0)*$F$8/1000,""))</f>
        <v/>
      </c>
      <c r="AZ70" s="71"/>
      <c r="BA70" s="11" t="str">
        <f t="shared" si="47"/>
        <v/>
      </c>
      <c r="BB70" s="10" t="str">
        <f t="shared" si="28"/>
        <v/>
      </c>
      <c r="BC70" s="71"/>
      <c r="BD70" s="10" t="str">
        <f t="shared" si="48"/>
        <v/>
      </c>
      <c r="BE70" s="10" t="str">
        <f t="shared" si="29"/>
        <v/>
      </c>
      <c r="BF70" s="71"/>
      <c r="BG70" s="11" t="str">
        <f t="shared" si="49"/>
        <v/>
      </c>
      <c r="BH70" s="10" t="str">
        <f t="shared" si="30"/>
        <v/>
      </c>
      <c r="BJ70" s="7" t="str">
        <f t="shared" si="31"/>
        <v/>
      </c>
      <c r="BK70" s="158" t="str">
        <f t="shared" si="32"/>
        <v/>
      </c>
      <c r="BL70" s="158" t="str">
        <f t="shared" si="14"/>
        <v/>
      </c>
      <c r="BM70" s="10"/>
      <c r="BN70" s="10" t="str">
        <f t="shared" si="33"/>
        <v/>
      </c>
      <c r="BO70" s="10" t="str">
        <f t="shared" si="34"/>
        <v/>
      </c>
      <c r="BQ70" s="10" t="str">
        <f t="shared" si="50"/>
        <v/>
      </c>
      <c r="BR70" s="10" t="str">
        <f t="shared" si="35"/>
        <v/>
      </c>
    </row>
    <row r="71" spans="2:70" x14ac:dyDescent="0.15">
      <c r="F71" s="485"/>
      <c r="H71" s="71"/>
      <c r="I71" s="38">
        <f t="shared" si="36"/>
        <v>2086</v>
      </c>
      <c r="J71" s="39"/>
      <c r="K71" s="39">
        <f t="shared" si="37"/>
        <v>57</v>
      </c>
      <c r="L71" s="39"/>
      <c r="M71" s="40">
        <f t="shared" si="0"/>
        <v>0.18547193025437006</v>
      </c>
      <c r="N71" s="39"/>
      <c r="O71" s="72" t="str">
        <f t="shared" si="16"/>
        <v/>
      </c>
      <c r="P71" s="41" t="str">
        <f t="shared" si="38"/>
        <v/>
      </c>
      <c r="Q71" s="39"/>
      <c r="R71" s="72" t="str">
        <f t="shared" si="51"/>
        <v/>
      </c>
      <c r="S71" s="39"/>
      <c r="T71" s="72" t="str">
        <f t="shared" si="18"/>
        <v/>
      </c>
      <c r="U71" s="39"/>
      <c r="V71" s="72" t="str">
        <f t="shared" si="39"/>
        <v/>
      </c>
      <c r="W71" s="72" t="str">
        <f t="shared" si="19"/>
        <v/>
      </c>
      <c r="X71" s="39"/>
      <c r="Y71" s="72" t="str">
        <f t="shared" si="40"/>
        <v/>
      </c>
      <c r="Z71" s="72" t="str">
        <f t="shared" si="20"/>
        <v/>
      </c>
      <c r="AA71" s="39"/>
      <c r="AB71" s="72" t="str">
        <f t="shared" si="4"/>
        <v/>
      </c>
      <c r="AC71" s="72" t="str">
        <f t="shared" si="21"/>
        <v/>
      </c>
      <c r="AD71" s="39"/>
      <c r="AE71" s="72" t="str">
        <f t="shared" si="41"/>
        <v/>
      </c>
      <c r="AF71" s="72" t="str">
        <f t="shared" si="22"/>
        <v/>
      </c>
      <c r="AG71" s="39"/>
      <c r="AH71" s="72" t="str">
        <f t="shared" si="42"/>
        <v/>
      </c>
      <c r="AI71" s="72" t="str">
        <f t="shared" si="23"/>
        <v/>
      </c>
      <c r="AJ71" s="39"/>
      <c r="AK71" s="72" t="str">
        <f t="shared" si="43"/>
        <v/>
      </c>
      <c r="AL71" s="72" t="str">
        <f t="shared" si="24"/>
        <v/>
      </c>
      <c r="AM71" s="39"/>
      <c r="AN71" s="72" t="str">
        <f t="shared" si="44"/>
        <v/>
      </c>
      <c r="AO71" s="72" t="str">
        <f t="shared" si="25"/>
        <v/>
      </c>
      <c r="AP71" s="39"/>
      <c r="AQ71" s="72" t="str">
        <f t="shared" si="45"/>
        <v/>
      </c>
      <c r="AR71" s="72" t="str">
        <f t="shared" si="26"/>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46"/>
        <v/>
      </c>
      <c r="AW71" s="72" t="str">
        <f t="shared" si="27"/>
        <v/>
      </c>
      <c r="AX71" s="39"/>
      <c r="AY71" s="40" t="str">
        <f>IF(ISERROR(IF($K71&lt;=$F$15,VLOOKUP($I71,'表4）CO2価格'!$A$7:$E$67,VLOOKUP($F$48,'表4）CO2価格'!$H$10:$I$12,2,0),0)*$F$8/1000,"")),0,IF($K71&lt;=$F$15,VLOOKUP($I71,'表4）CO2価格'!$A$7:$E$67,VLOOKUP($F$48,'表4）CO2価格'!$H$10:$I$12,2,0),0)*$F$8/1000,""))</f>
        <v/>
      </c>
      <c r="AZ71" s="39"/>
      <c r="BA71" s="42" t="str">
        <f t="shared" si="47"/>
        <v/>
      </c>
      <c r="BB71" s="72" t="str">
        <f t="shared" si="28"/>
        <v/>
      </c>
      <c r="BC71" s="39"/>
      <c r="BD71" s="72" t="str">
        <f t="shared" si="48"/>
        <v/>
      </c>
      <c r="BE71" s="72" t="str">
        <f t="shared" si="29"/>
        <v/>
      </c>
      <c r="BF71" s="39"/>
      <c r="BG71" s="42" t="str">
        <f t="shared" si="49"/>
        <v/>
      </c>
      <c r="BH71" s="72" t="str">
        <f t="shared" si="30"/>
        <v/>
      </c>
      <c r="BI71" s="39"/>
      <c r="BJ71" s="40" t="str">
        <f t="shared" si="31"/>
        <v/>
      </c>
      <c r="BK71" s="157" t="str">
        <f t="shared" si="32"/>
        <v/>
      </c>
      <c r="BL71" s="157" t="str">
        <f t="shared" si="14"/>
        <v/>
      </c>
      <c r="BM71" s="72"/>
      <c r="BN71" s="72" t="str">
        <f t="shared" si="33"/>
        <v/>
      </c>
      <c r="BO71" s="72" t="str">
        <f t="shared" si="34"/>
        <v/>
      </c>
      <c r="BP71" s="39"/>
      <c r="BQ71" s="72" t="str">
        <f t="shared" si="50"/>
        <v/>
      </c>
      <c r="BR71" s="72" t="str">
        <f t="shared" si="35"/>
        <v/>
      </c>
    </row>
    <row r="72" spans="2:70" x14ac:dyDescent="0.15">
      <c r="C72" s="4" t="s">
        <v>136</v>
      </c>
      <c r="D72" s="100"/>
      <c r="E72" s="100"/>
      <c r="F72" s="486"/>
      <c r="G72" s="100"/>
      <c r="H72" s="71"/>
      <c r="I72" s="322">
        <f t="shared" si="36"/>
        <v>2087</v>
      </c>
      <c r="J72" s="71"/>
      <c r="K72" s="71">
        <f t="shared" si="37"/>
        <v>58</v>
      </c>
      <c r="L72" s="71"/>
      <c r="M72" s="7">
        <f t="shared" si="0"/>
        <v>0.18006983519841754</v>
      </c>
      <c r="N72" s="71"/>
      <c r="O72" s="10" t="str">
        <f t="shared" si="16"/>
        <v/>
      </c>
      <c r="P72" s="29" t="str">
        <f t="shared" si="38"/>
        <v/>
      </c>
      <c r="Q72" s="71"/>
      <c r="R72" s="10" t="str">
        <f t="shared" si="51"/>
        <v/>
      </c>
      <c r="S72" s="71"/>
      <c r="T72" s="10" t="str">
        <f t="shared" si="18"/>
        <v/>
      </c>
      <c r="U72" s="71"/>
      <c r="V72" s="10" t="str">
        <f t="shared" si="39"/>
        <v/>
      </c>
      <c r="W72" s="10" t="str">
        <f t="shared" si="19"/>
        <v/>
      </c>
      <c r="X72" s="71"/>
      <c r="Y72" s="10" t="str">
        <f t="shared" si="40"/>
        <v/>
      </c>
      <c r="Z72" s="10" t="str">
        <f t="shared" si="20"/>
        <v/>
      </c>
      <c r="AA72" s="71"/>
      <c r="AB72" s="10" t="str">
        <f t="shared" si="4"/>
        <v/>
      </c>
      <c r="AC72" s="10" t="str">
        <f t="shared" si="21"/>
        <v/>
      </c>
      <c r="AD72" s="71"/>
      <c r="AE72" s="10" t="str">
        <f t="shared" si="41"/>
        <v/>
      </c>
      <c r="AF72" s="10" t="str">
        <f t="shared" si="22"/>
        <v/>
      </c>
      <c r="AG72" s="71"/>
      <c r="AH72" s="10" t="str">
        <f t="shared" si="42"/>
        <v/>
      </c>
      <c r="AI72" s="10" t="str">
        <f t="shared" si="23"/>
        <v/>
      </c>
      <c r="AJ72" s="71"/>
      <c r="AK72" s="10" t="str">
        <f t="shared" si="43"/>
        <v/>
      </c>
      <c r="AL72" s="10" t="str">
        <f t="shared" si="24"/>
        <v/>
      </c>
      <c r="AM72" s="71"/>
      <c r="AN72" s="10" t="str">
        <f t="shared" si="44"/>
        <v/>
      </c>
      <c r="AO72" s="10" t="str">
        <f t="shared" si="25"/>
        <v/>
      </c>
      <c r="AP72" s="71"/>
      <c r="AQ72" s="10" t="str">
        <f t="shared" si="45"/>
        <v/>
      </c>
      <c r="AR72" s="10" t="str">
        <f t="shared" si="26"/>
        <v/>
      </c>
      <c r="AS72" s="71"/>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U72" s="71"/>
      <c r="AV72" s="10" t="str">
        <f t="shared" si="46"/>
        <v/>
      </c>
      <c r="AW72" s="10" t="str">
        <f t="shared" si="27"/>
        <v/>
      </c>
      <c r="AX72" s="71"/>
      <c r="AY72" s="7" t="str">
        <f>IF(ISERROR(IF($K72&lt;=$F$15,VLOOKUP($I72,'表4）CO2価格'!$A$7:$E$67,VLOOKUP($F$48,'表4）CO2価格'!$H$10:$I$12,2,0),0)*$F$8/1000,"")),0,IF($K72&lt;=$F$15,VLOOKUP($I72,'表4）CO2価格'!$A$7:$E$67,VLOOKUP($F$48,'表4）CO2価格'!$H$10:$I$12,2,0),0)*$F$8/1000,""))</f>
        <v/>
      </c>
      <c r="AZ72" s="71"/>
      <c r="BA72" s="11" t="str">
        <f t="shared" si="47"/>
        <v/>
      </c>
      <c r="BB72" s="10" t="str">
        <f t="shared" si="28"/>
        <v/>
      </c>
      <c r="BC72" s="71"/>
      <c r="BD72" s="10" t="str">
        <f t="shared" si="48"/>
        <v/>
      </c>
      <c r="BE72" s="10" t="str">
        <f t="shared" si="29"/>
        <v/>
      </c>
      <c r="BF72" s="71"/>
      <c r="BG72" s="11" t="str">
        <f t="shared" si="49"/>
        <v/>
      </c>
      <c r="BH72" s="10" t="str">
        <f t="shared" si="30"/>
        <v/>
      </c>
      <c r="BJ72" s="7" t="str">
        <f t="shared" si="31"/>
        <v/>
      </c>
      <c r="BK72" s="158" t="str">
        <f t="shared" si="32"/>
        <v/>
      </c>
      <c r="BL72" s="158" t="str">
        <f t="shared" si="14"/>
        <v/>
      </c>
      <c r="BM72" s="10"/>
      <c r="BN72" s="10" t="str">
        <f t="shared" si="33"/>
        <v/>
      </c>
      <c r="BO72" s="10" t="str">
        <f t="shared" si="34"/>
        <v/>
      </c>
      <c r="BQ72" s="10" t="str">
        <f t="shared" si="50"/>
        <v/>
      </c>
      <c r="BR72" s="10" t="str">
        <f t="shared" si="35"/>
        <v/>
      </c>
    </row>
    <row r="73" spans="2:70" x14ac:dyDescent="0.15">
      <c r="F73" s="487"/>
      <c r="H73" s="71"/>
      <c r="I73" s="38">
        <f t="shared" si="36"/>
        <v>2088</v>
      </c>
      <c r="J73" s="39"/>
      <c r="K73" s="39">
        <f t="shared" si="37"/>
        <v>59</v>
      </c>
      <c r="L73" s="39"/>
      <c r="M73" s="40">
        <f t="shared" si="0"/>
        <v>0.17482508271691022</v>
      </c>
      <c r="N73" s="39"/>
      <c r="O73" s="72" t="str">
        <f t="shared" si="16"/>
        <v/>
      </c>
      <c r="P73" s="41" t="str">
        <f t="shared" si="38"/>
        <v/>
      </c>
      <c r="Q73" s="39"/>
      <c r="R73" s="72" t="str">
        <f t="shared" si="51"/>
        <v/>
      </c>
      <c r="S73" s="39"/>
      <c r="T73" s="72" t="str">
        <f t="shared" si="18"/>
        <v/>
      </c>
      <c r="U73" s="39"/>
      <c r="V73" s="72" t="str">
        <f t="shared" si="39"/>
        <v/>
      </c>
      <c r="W73" s="72" t="str">
        <f t="shared" si="19"/>
        <v/>
      </c>
      <c r="X73" s="39"/>
      <c r="Y73" s="72" t="str">
        <f t="shared" si="40"/>
        <v/>
      </c>
      <c r="Z73" s="72" t="str">
        <f t="shared" si="20"/>
        <v/>
      </c>
      <c r="AA73" s="39"/>
      <c r="AB73" s="72" t="str">
        <f t="shared" si="4"/>
        <v/>
      </c>
      <c r="AC73" s="72" t="str">
        <f t="shared" si="21"/>
        <v/>
      </c>
      <c r="AD73" s="39"/>
      <c r="AE73" s="72" t="str">
        <f t="shared" si="41"/>
        <v/>
      </c>
      <c r="AF73" s="72" t="str">
        <f t="shared" si="22"/>
        <v/>
      </c>
      <c r="AG73" s="39"/>
      <c r="AH73" s="72" t="str">
        <f t="shared" si="42"/>
        <v/>
      </c>
      <c r="AI73" s="72" t="str">
        <f t="shared" si="23"/>
        <v/>
      </c>
      <c r="AJ73" s="39"/>
      <c r="AK73" s="72" t="str">
        <f t="shared" si="43"/>
        <v/>
      </c>
      <c r="AL73" s="72" t="str">
        <f t="shared" si="24"/>
        <v/>
      </c>
      <c r="AM73" s="39"/>
      <c r="AN73" s="72" t="str">
        <f t="shared" si="44"/>
        <v/>
      </c>
      <c r="AO73" s="72" t="str">
        <f t="shared" si="25"/>
        <v/>
      </c>
      <c r="AP73" s="39"/>
      <c r="AQ73" s="72" t="str">
        <f t="shared" si="45"/>
        <v/>
      </c>
      <c r="AR73" s="72" t="str">
        <f t="shared" si="26"/>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46"/>
        <v/>
      </c>
      <c r="AW73" s="72" t="str">
        <f t="shared" si="27"/>
        <v/>
      </c>
      <c r="AX73" s="39"/>
      <c r="AY73" s="40" t="str">
        <f>IF(ISERROR(IF($K73&lt;=$F$15,VLOOKUP($I73,'表4）CO2価格'!$A$7:$E$67,VLOOKUP($F$48,'表4）CO2価格'!$H$10:$I$12,2,0),0)*$F$8/1000,"")),0,IF($K73&lt;=$F$15,VLOOKUP($I73,'表4）CO2価格'!$A$7:$E$67,VLOOKUP($F$48,'表4）CO2価格'!$H$10:$I$12,2,0),0)*$F$8/1000,""))</f>
        <v/>
      </c>
      <c r="AZ73" s="39"/>
      <c r="BA73" s="42" t="str">
        <f t="shared" si="47"/>
        <v/>
      </c>
      <c r="BB73" s="72" t="str">
        <f t="shared" si="28"/>
        <v/>
      </c>
      <c r="BC73" s="39"/>
      <c r="BD73" s="72" t="str">
        <f t="shared" si="48"/>
        <v/>
      </c>
      <c r="BE73" s="72" t="str">
        <f t="shared" si="29"/>
        <v/>
      </c>
      <c r="BF73" s="39"/>
      <c r="BG73" s="42" t="str">
        <f t="shared" si="49"/>
        <v/>
      </c>
      <c r="BH73" s="72" t="str">
        <f t="shared" si="30"/>
        <v/>
      </c>
      <c r="BI73" s="39"/>
      <c r="BJ73" s="40" t="str">
        <f t="shared" si="31"/>
        <v/>
      </c>
      <c r="BK73" s="157" t="str">
        <f t="shared" si="32"/>
        <v/>
      </c>
      <c r="BL73" s="157" t="str">
        <f t="shared" si="14"/>
        <v/>
      </c>
      <c r="BM73" s="72"/>
      <c r="BN73" s="72" t="str">
        <f t="shared" si="33"/>
        <v/>
      </c>
      <c r="BO73" s="72" t="str">
        <f t="shared" si="34"/>
        <v/>
      </c>
      <c r="BP73" s="39"/>
      <c r="BQ73" s="72" t="str">
        <f t="shared" si="50"/>
        <v/>
      </c>
      <c r="BR73" s="72" t="str">
        <f t="shared" si="35"/>
        <v/>
      </c>
    </row>
    <row r="74" spans="2:70" ht="15" x14ac:dyDescent="0.15">
      <c r="D74" s="103" t="s">
        <v>591</v>
      </c>
      <c r="F74" s="484">
        <f>SUBTOTAL(9,F78:F81)</f>
        <v>5.8087589288087171</v>
      </c>
      <c r="G74" s="84" t="s">
        <v>590</v>
      </c>
      <c r="H74" s="71"/>
      <c r="I74" s="322">
        <f t="shared" si="36"/>
        <v>2089</v>
      </c>
      <c r="J74" s="71"/>
      <c r="K74" s="71">
        <f t="shared" si="37"/>
        <v>60</v>
      </c>
      <c r="L74" s="71"/>
      <c r="M74" s="7">
        <f t="shared" si="0"/>
        <v>0.1697330900164177</v>
      </c>
      <c r="N74" s="71"/>
      <c r="O74" s="10" t="str">
        <f t="shared" si="16"/>
        <v/>
      </c>
      <c r="P74" s="29" t="str">
        <f t="shared" si="38"/>
        <v/>
      </c>
      <c r="Q74" s="71"/>
      <c r="R74" s="10" t="str">
        <f t="shared" si="51"/>
        <v/>
      </c>
      <c r="S74" s="71"/>
      <c r="T74" s="10" t="str">
        <f t="shared" si="18"/>
        <v/>
      </c>
      <c r="U74" s="71"/>
      <c r="V74" s="10" t="str">
        <f t="shared" si="39"/>
        <v/>
      </c>
      <c r="W74" s="10" t="str">
        <f t="shared" si="19"/>
        <v/>
      </c>
      <c r="X74" s="71"/>
      <c r="Y74" s="10" t="str">
        <f t="shared" si="40"/>
        <v/>
      </c>
      <c r="Z74" s="10" t="str">
        <f t="shared" si="20"/>
        <v/>
      </c>
      <c r="AA74" s="71"/>
      <c r="AB74" s="10" t="str">
        <f t="shared" si="4"/>
        <v/>
      </c>
      <c r="AC74" s="10" t="str">
        <f t="shared" si="21"/>
        <v/>
      </c>
      <c r="AD74" s="71"/>
      <c r="AE74" s="10" t="str">
        <f t="shared" si="41"/>
        <v/>
      </c>
      <c r="AF74" s="10" t="str">
        <f t="shared" si="22"/>
        <v/>
      </c>
      <c r="AG74" s="71"/>
      <c r="AH74" s="10" t="str">
        <f t="shared" si="42"/>
        <v/>
      </c>
      <c r="AI74" s="10" t="str">
        <f t="shared" si="23"/>
        <v/>
      </c>
      <c r="AJ74" s="71"/>
      <c r="AK74" s="10" t="str">
        <f t="shared" si="43"/>
        <v/>
      </c>
      <c r="AL74" s="10" t="str">
        <f t="shared" si="24"/>
        <v/>
      </c>
      <c r="AM74" s="71"/>
      <c r="AN74" s="10" t="str">
        <f t="shared" si="44"/>
        <v/>
      </c>
      <c r="AO74" s="10" t="str">
        <f t="shared" si="25"/>
        <v/>
      </c>
      <c r="AP74" s="71"/>
      <c r="AQ74" s="10" t="str">
        <f t="shared" si="45"/>
        <v/>
      </c>
      <c r="AR74" s="10" t="str">
        <f t="shared" si="26"/>
        <v/>
      </c>
      <c r="AS74" s="71"/>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U74" s="71"/>
      <c r="AV74" s="10" t="str">
        <f t="shared" si="46"/>
        <v/>
      </c>
      <c r="AW74" s="10" t="str">
        <f t="shared" si="27"/>
        <v/>
      </c>
      <c r="AX74" s="71"/>
      <c r="AY74" s="7" t="str">
        <f>IF(ISERROR(IF($K74&lt;=$F$15,VLOOKUP($I74,'表4）CO2価格'!$A$7:$E$67,VLOOKUP($F$48,'表4）CO2価格'!$H$10:$I$12,2,0),0)*$F$8/1000,"")),0,IF($K74&lt;=$F$15,VLOOKUP($I74,'表4）CO2価格'!$A$7:$E$67,VLOOKUP($F$48,'表4）CO2価格'!$H$10:$I$12,2,0),0)*$F$8/1000,""))</f>
        <v/>
      </c>
      <c r="AZ74" s="71"/>
      <c r="BA74" s="11" t="str">
        <f t="shared" si="47"/>
        <v/>
      </c>
      <c r="BB74" s="10" t="str">
        <f t="shared" si="28"/>
        <v/>
      </c>
      <c r="BC74" s="71"/>
      <c r="BD74" s="10" t="str">
        <f t="shared" si="48"/>
        <v/>
      </c>
      <c r="BE74" s="10" t="str">
        <f t="shared" si="29"/>
        <v/>
      </c>
      <c r="BF74" s="71"/>
      <c r="BG74" s="11" t="str">
        <f t="shared" si="49"/>
        <v/>
      </c>
      <c r="BH74" s="10" t="str">
        <f t="shared" si="30"/>
        <v/>
      </c>
      <c r="BJ74" s="7" t="str">
        <f t="shared" si="31"/>
        <v/>
      </c>
      <c r="BK74" s="158" t="str">
        <f t="shared" si="32"/>
        <v/>
      </c>
      <c r="BL74" s="158" t="str">
        <f t="shared" si="14"/>
        <v/>
      </c>
      <c r="BM74" s="10"/>
      <c r="BN74" s="10" t="str">
        <f t="shared" si="33"/>
        <v/>
      </c>
      <c r="BO74" s="10" t="str">
        <f t="shared" si="34"/>
        <v/>
      </c>
      <c r="BQ74" s="10" t="str">
        <f t="shared" si="50"/>
        <v/>
      </c>
      <c r="BR74" s="10" t="str">
        <f t="shared" si="35"/>
        <v/>
      </c>
    </row>
    <row r="75" spans="2:70" x14ac:dyDescent="0.15">
      <c r="F75" s="487"/>
      <c r="H75" s="71"/>
      <c r="I75" s="38">
        <f t="shared" si="36"/>
        <v>2090</v>
      </c>
      <c r="J75" s="39"/>
      <c r="K75" s="39">
        <f t="shared" si="37"/>
        <v>61</v>
      </c>
      <c r="L75" s="39"/>
      <c r="M75" s="40">
        <f t="shared" si="0"/>
        <v>0.16478940778292983</v>
      </c>
      <c r="N75" s="39"/>
      <c r="O75" s="72" t="str">
        <f t="shared" si="16"/>
        <v/>
      </c>
      <c r="P75" s="41" t="str">
        <f t="shared" si="38"/>
        <v/>
      </c>
      <c r="Q75" s="39"/>
      <c r="R75" s="72" t="str">
        <f t="shared" si="51"/>
        <v/>
      </c>
      <c r="S75" s="39"/>
      <c r="T75" s="72" t="str">
        <f t="shared" si="18"/>
        <v/>
      </c>
      <c r="U75" s="39"/>
      <c r="V75" s="72" t="str">
        <f t="shared" si="39"/>
        <v/>
      </c>
      <c r="W75" s="72" t="str">
        <f t="shared" si="19"/>
        <v/>
      </c>
      <c r="X75" s="39"/>
      <c r="Y75" s="72" t="str">
        <f t="shared" si="40"/>
        <v/>
      </c>
      <c r="Z75" s="72" t="str">
        <f t="shared" si="20"/>
        <v/>
      </c>
      <c r="AA75" s="39"/>
      <c r="AB75" s="72" t="str">
        <f t="shared" si="4"/>
        <v/>
      </c>
      <c r="AC75" s="72" t="str">
        <f t="shared" si="21"/>
        <v/>
      </c>
      <c r="AD75" s="39"/>
      <c r="AE75" s="72" t="str">
        <f t="shared" si="41"/>
        <v/>
      </c>
      <c r="AF75" s="72" t="str">
        <f t="shared" si="22"/>
        <v/>
      </c>
      <c r="AG75" s="39"/>
      <c r="AH75" s="72" t="str">
        <f t="shared" si="42"/>
        <v/>
      </c>
      <c r="AI75" s="72" t="str">
        <f t="shared" si="23"/>
        <v/>
      </c>
      <c r="AJ75" s="39"/>
      <c r="AK75" s="72" t="str">
        <f t="shared" si="43"/>
        <v/>
      </c>
      <c r="AL75" s="72" t="str">
        <f t="shared" si="24"/>
        <v/>
      </c>
      <c r="AM75" s="39"/>
      <c r="AN75" s="72" t="str">
        <f t="shared" si="44"/>
        <v/>
      </c>
      <c r="AO75" s="72" t="str">
        <f t="shared" si="25"/>
        <v/>
      </c>
      <c r="AP75" s="39"/>
      <c r="AQ75" s="72" t="str">
        <f t="shared" si="45"/>
        <v/>
      </c>
      <c r="AR75" s="72" t="str">
        <f t="shared" si="26"/>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46"/>
        <v/>
      </c>
      <c r="AW75" s="72" t="str">
        <f t="shared" si="27"/>
        <v/>
      </c>
      <c r="AX75" s="39"/>
      <c r="AY75" s="40" t="str">
        <f>IF(ISERROR(IF($K75&lt;=$F$15,VLOOKUP($I75,'表4）CO2価格'!$A$7:$E$67,VLOOKUP($F$48,'表4）CO2価格'!$H$10:$I$12,2,0),0)*$F$8/1000,"")),0,IF($K75&lt;=$F$15,VLOOKUP($I75,'表4）CO2価格'!$A$7:$E$67,VLOOKUP($F$48,'表4）CO2価格'!$H$10:$I$12,2,0),0)*$F$8/1000,""))</f>
        <v/>
      </c>
      <c r="AZ75" s="39"/>
      <c r="BA75" s="42" t="str">
        <f t="shared" si="47"/>
        <v/>
      </c>
      <c r="BB75" s="72" t="str">
        <f t="shared" si="28"/>
        <v/>
      </c>
      <c r="BC75" s="39"/>
      <c r="BD75" s="72" t="str">
        <f t="shared" si="48"/>
        <v/>
      </c>
      <c r="BE75" s="72" t="str">
        <f t="shared" si="29"/>
        <v/>
      </c>
      <c r="BF75" s="39"/>
      <c r="BG75" s="42" t="str">
        <f t="shared" si="49"/>
        <v/>
      </c>
      <c r="BH75" s="72" t="str">
        <f t="shared" si="30"/>
        <v/>
      </c>
      <c r="BI75" s="39"/>
      <c r="BJ75" s="40" t="str">
        <f t="shared" si="31"/>
        <v/>
      </c>
      <c r="BK75" s="157" t="str">
        <f t="shared" si="32"/>
        <v/>
      </c>
      <c r="BL75" s="157" t="str">
        <f t="shared" si="14"/>
        <v/>
      </c>
      <c r="BM75" s="72"/>
      <c r="BN75" s="72" t="str">
        <f t="shared" si="33"/>
        <v/>
      </c>
      <c r="BO75" s="72" t="str">
        <f t="shared" si="34"/>
        <v/>
      </c>
      <c r="BP75" s="39"/>
      <c r="BQ75" s="72" t="str">
        <f t="shared" si="50"/>
        <v/>
      </c>
      <c r="BR75" s="72" t="str">
        <f t="shared" si="35"/>
        <v/>
      </c>
    </row>
    <row r="76" spans="2:70" x14ac:dyDescent="0.15">
      <c r="D76" s="100" t="s">
        <v>592</v>
      </c>
      <c r="E76" s="100"/>
      <c r="F76" s="486"/>
      <c r="G76" s="100"/>
      <c r="H76" s="71"/>
      <c r="I76" s="322">
        <f t="shared" si="36"/>
        <v>2091</v>
      </c>
      <c r="J76" s="71"/>
      <c r="K76" s="71">
        <f t="shared" si="37"/>
        <v>62</v>
      </c>
      <c r="L76" s="71"/>
      <c r="M76" s="7">
        <f t="shared" si="0"/>
        <v>0.15998971629410663</v>
      </c>
      <c r="N76" s="71"/>
      <c r="O76" s="10" t="str">
        <f t="shared" si="16"/>
        <v/>
      </c>
      <c r="P76" s="29" t="str">
        <f t="shared" si="38"/>
        <v/>
      </c>
      <c r="Q76" s="71"/>
      <c r="R76" s="10" t="str">
        <f t="shared" si="51"/>
        <v/>
      </c>
      <c r="S76" s="71"/>
      <c r="T76" s="10" t="str">
        <f t="shared" si="18"/>
        <v/>
      </c>
      <c r="U76" s="71"/>
      <c r="V76" s="10" t="str">
        <f t="shared" si="39"/>
        <v/>
      </c>
      <c r="W76" s="10" t="str">
        <f t="shared" si="19"/>
        <v/>
      </c>
      <c r="X76" s="71"/>
      <c r="Y76" s="10" t="str">
        <f t="shared" si="40"/>
        <v/>
      </c>
      <c r="Z76" s="10" t="str">
        <f t="shared" si="20"/>
        <v/>
      </c>
      <c r="AA76" s="71"/>
      <c r="AB76" s="10" t="str">
        <f t="shared" si="4"/>
        <v/>
      </c>
      <c r="AC76" s="10" t="str">
        <f t="shared" si="21"/>
        <v/>
      </c>
      <c r="AD76" s="71"/>
      <c r="AE76" s="10" t="str">
        <f t="shared" si="41"/>
        <v/>
      </c>
      <c r="AF76" s="10" t="str">
        <f t="shared" si="22"/>
        <v/>
      </c>
      <c r="AG76" s="71"/>
      <c r="AH76" s="10" t="str">
        <f t="shared" si="42"/>
        <v/>
      </c>
      <c r="AI76" s="10" t="str">
        <f t="shared" si="23"/>
        <v/>
      </c>
      <c r="AJ76" s="71"/>
      <c r="AK76" s="10" t="str">
        <f t="shared" si="43"/>
        <v/>
      </c>
      <c r="AL76" s="10" t="str">
        <f t="shared" si="24"/>
        <v/>
      </c>
      <c r="AM76" s="71"/>
      <c r="AN76" s="10" t="str">
        <f t="shared" si="44"/>
        <v/>
      </c>
      <c r="AO76" s="10" t="str">
        <f t="shared" si="25"/>
        <v/>
      </c>
      <c r="AP76" s="71"/>
      <c r="AQ76" s="10" t="str">
        <f t="shared" si="45"/>
        <v/>
      </c>
      <c r="AR76" s="10" t="str">
        <f t="shared" si="26"/>
        <v/>
      </c>
      <c r="AS76" s="71"/>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U76" s="71"/>
      <c r="AV76" s="10" t="str">
        <f t="shared" si="46"/>
        <v/>
      </c>
      <c r="AW76" s="10" t="str">
        <f t="shared" si="27"/>
        <v/>
      </c>
      <c r="AX76" s="71"/>
      <c r="AY76" s="7" t="str">
        <f>IF(ISERROR(IF($K76&lt;=$F$15,VLOOKUP($I76,'表4）CO2価格'!$A$7:$E$67,VLOOKUP($F$48,'表4）CO2価格'!$H$10:$I$12,2,0),0)*$F$8/1000,"")),0,IF($K76&lt;=$F$15,VLOOKUP($I76,'表4）CO2価格'!$A$7:$E$67,VLOOKUP($F$48,'表4）CO2価格'!$H$10:$I$12,2,0),0)*$F$8/1000,""))</f>
        <v/>
      </c>
      <c r="AZ76" s="71"/>
      <c r="BA76" s="11" t="str">
        <f t="shared" si="47"/>
        <v/>
      </c>
      <c r="BB76" s="10" t="str">
        <f t="shared" si="28"/>
        <v/>
      </c>
      <c r="BC76" s="71"/>
      <c r="BD76" s="10" t="str">
        <f t="shared" si="48"/>
        <v/>
      </c>
      <c r="BE76" s="10" t="str">
        <f t="shared" si="29"/>
        <v/>
      </c>
      <c r="BF76" s="71"/>
      <c r="BG76" s="11" t="str">
        <f t="shared" si="49"/>
        <v/>
      </c>
      <c r="BH76" s="10" t="str">
        <f t="shared" si="30"/>
        <v/>
      </c>
      <c r="BJ76" s="7" t="str">
        <f t="shared" si="31"/>
        <v/>
      </c>
      <c r="BK76" s="158" t="str">
        <f t="shared" si="32"/>
        <v/>
      </c>
      <c r="BL76" s="158" t="str">
        <f t="shared" si="14"/>
        <v/>
      </c>
      <c r="BM76" s="10"/>
      <c r="BN76" s="10" t="str">
        <f t="shared" si="33"/>
        <v/>
      </c>
      <c r="BO76" s="10" t="str">
        <f t="shared" si="34"/>
        <v/>
      </c>
      <c r="BQ76" s="10" t="str">
        <f t="shared" si="50"/>
        <v/>
      </c>
      <c r="BR76" s="10" t="str">
        <f t="shared" si="35"/>
        <v/>
      </c>
    </row>
    <row r="77" spans="2:70" x14ac:dyDescent="0.15">
      <c r="F77" s="487"/>
      <c r="H77" s="71"/>
      <c r="I77" s="38">
        <f t="shared" si="36"/>
        <v>2092</v>
      </c>
      <c r="J77" s="39"/>
      <c r="K77" s="39">
        <f t="shared" si="37"/>
        <v>63</v>
      </c>
      <c r="L77" s="39"/>
      <c r="M77" s="40">
        <f t="shared" si="0"/>
        <v>0.15532982164476369</v>
      </c>
      <c r="N77" s="39"/>
      <c r="O77" s="72" t="str">
        <f t="shared" si="16"/>
        <v/>
      </c>
      <c r="P77" s="41" t="str">
        <f t="shared" si="38"/>
        <v/>
      </c>
      <c r="Q77" s="39"/>
      <c r="R77" s="72" t="str">
        <f t="shared" si="51"/>
        <v/>
      </c>
      <c r="S77" s="39"/>
      <c r="T77" s="72" t="str">
        <f t="shared" si="18"/>
        <v/>
      </c>
      <c r="U77" s="39"/>
      <c r="V77" s="72" t="str">
        <f t="shared" si="39"/>
        <v/>
      </c>
      <c r="W77" s="72" t="str">
        <f t="shared" si="19"/>
        <v/>
      </c>
      <c r="X77" s="39"/>
      <c r="Y77" s="72" t="str">
        <f t="shared" si="40"/>
        <v/>
      </c>
      <c r="Z77" s="72" t="str">
        <f t="shared" si="20"/>
        <v/>
      </c>
      <c r="AA77" s="39"/>
      <c r="AB77" s="72" t="str">
        <f t="shared" si="4"/>
        <v/>
      </c>
      <c r="AC77" s="72" t="str">
        <f t="shared" si="21"/>
        <v/>
      </c>
      <c r="AD77" s="39"/>
      <c r="AE77" s="72" t="str">
        <f t="shared" si="41"/>
        <v/>
      </c>
      <c r="AF77" s="72" t="str">
        <f t="shared" si="22"/>
        <v/>
      </c>
      <c r="AG77" s="39"/>
      <c r="AH77" s="72" t="str">
        <f t="shared" si="42"/>
        <v/>
      </c>
      <c r="AI77" s="72" t="str">
        <f t="shared" si="23"/>
        <v/>
      </c>
      <c r="AJ77" s="39"/>
      <c r="AK77" s="72" t="str">
        <f t="shared" si="43"/>
        <v/>
      </c>
      <c r="AL77" s="72" t="str">
        <f t="shared" si="24"/>
        <v/>
      </c>
      <c r="AM77" s="39"/>
      <c r="AN77" s="72" t="str">
        <f t="shared" si="44"/>
        <v/>
      </c>
      <c r="AO77" s="72" t="str">
        <f t="shared" si="25"/>
        <v/>
      </c>
      <c r="AP77" s="39"/>
      <c r="AQ77" s="72" t="str">
        <f t="shared" si="45"/>
        <v/>
      </c>
      <c r="AR77" s="72" t="str">
        <f t="shared" si="26"/>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46"/>
        <v/>
      </c>
      <c r="AW77" s="72" t="str">
        <f t="shared" si="27"/>
        <v/>
      </c>
      <c r="AX77" s="39"/>
      <c r="AY77" s="40" t="str">
        <f>IF(ISERROR(IF($K77&lt;=$F$15,VLOOKUP($I77,'表4）CO2価格'!$A$7:$E$67,VLOOKUP($F$48,'表4）CO2価格'!$H$10:$I$12,2,0),0)*$F$8/1000,"")),0,IF($K77&lt;=$F$15,VLOOKUP($I77,'表4）CO2価格'!$A$7:$E$67,VLOOKUP($F$48,'表4）CO2価格'!$H$10:$I$12,2,0),0)*$F$8/1000,""))</f>
        <v/>
      </c>
      <c r="AZ77" s="39"/>
      <c r="BA77" s="42" t="str">
        <f t="shared" si="47"/>
        <v/>
      </c>
      <c r="BB77" s="72" t="str">
        <f t="shared" si="28"/>
        <v/>
      </c>
      <c r="BC77" s="39"/>
      <c r="BD77" s="72" t="str">
        <f t="shared" si="48"/>
        <v/>
      </c>
      <c r="BE77" s="72" t="str">
        <f t="shared" si="29"/>
        <v/>
      </c>
      <c r="BF77" s="39"/>
      <c r="BG77" s="42" t="str">
        <f t="shared" si="49"/>
        <v/>
      </c>
      <c r="BH77" s="72" t="str">
        <f t="shared" si="30"/>
        <v/>
      </c>
      <c r="BI77" s="39"/>
      <c r="BJ77" s="40" t="str">
        <f t="shared" si="31"/>
        <v/>
      </c>
      <c r="BK77" s="157" t="str">
        <f t="shared" si="32"/>
        <v/>
      </c>
      <c r="BL77" s="157" t="str">
        <f t="shared" si="14"/>
        <v/>
      </c>
      <c r="BM77" s="72"/>
      <c r="BN77" s="72" t="str">
        <f t="shared" si="33"/>
        <v/>
      </c>
      <c r="BO77" s="72" t="str">
        <f t="shared" si="34"/>
        <v/>
      </c>
      <c r="BP77" s="39"/>
      <c r="BQ77" s="72" t="str">
        <f t="shared" si="50"/>
        <v/>
      </c>
      <c r="BR77" s="72" t="str">
        <f t="shared" si="35"/>
        <v/>
      </c>
    </row>
    <row r="78" spans="2:70" x14ac:dyDescent="0.15">
      <c r="E78" s="70" t="s">
        <v>138</v>
      </c>
      <c r="F78" s="488">
        <f>R15/$BR$116</f>
        <v>5.2815971494822866</v>
      </c>
      <c r="G78" s="84" t="s">
        <v>590</v>
      </c>
      <c r="H78" s="71"/>
      <c r="I78" s="322">
        <f t="shared" si="36"/>
        <v>2093</v>
      </c>
      <c r="J78" s="71"/>
      <c r="K78" s="71">
        <f t="shared" si="37"/>
        <v>64</v>
      </c>
      <c r="L78" s="71"/>
      <c r="M78" s="7">
        <f t="shared" si="0"/>
        <v>0.15080565208229488</v>
      </c>
      <c r="N78" s="71"/>
      <c r="O78" s="10" t="str">
        <f t="shared" si="16"/>
        <v/>
      </c>
      <c r="P78" s="29" t="str">
        <f t="shared" si="38"/>
        <v/>
      </c>
      <c r="Q78" s="71"/>
      <c r="R78" s="10" t="str">
        <f t="shared" si="51"/>
        <v/>
      </c>
      <c r="S78" s="71"/>
      <c r="T78" s="10" t="str">
        <f t="shared" si="18"/>
        <v/>
      </c>
      <c r="U78" s="71"/>
      <c r="V78" s="10" t="str">
        <f t="shared" si="39"/>
        <v/>
      </c>
      <c r="W78" s="10" t="str">
        <f t="shared" si="19"/>
        <v/>
      </c>
      <c r="X78" s="71"/>
      <c r="Y78" s="10" t="str">
        <f t="shared" si="40"/>
        <v/>
      </c>
      <c r="Z78" s="10" t="str">
        <f t="shared" si="20"/>
        <v/>
      </c>
      <c r="AA78" s="71"/>
      <c r="AB78" s="10" t="str">
        <f t="shared" si="4"/>
        <v/>
      </c>
      <c r="AC78" s="10" t="str">
        <f t="shared" si="21"/>
        <v/>
      </c>
      <c r="AD78" s="71"/>
      <c r="AE78" s="10" t="str">
        <f t="shared" si="41"/>
        <v/>
      </c>
      <c r="AF78" s="10" t="str">
        <f t="shared" si="22"/>
        <v/>
      </c>
      <c r="AG78" s="71"/>
      <c r="AH78" s="10" t="str">
        <f t="shared" si="42"/>
        <v/>
      </c>
      <c r="AI78" s="10" t="str">
        <f t="shared" si="23"/>
        <v/>
      </c>
      <c r="AJ78" s="71"/>
      <c r="AK78" s="10" t="str">
        <f t="shared" si="43"/>
        <v/>
      </c>
      <c r="AL78" s="10" t="str">
        <f t="shared" si="24"/>
        <v/>
      </c>
      <c r="AM78" s="71"/>
      <c r="AN78" s="10" t="str">
        <f t="shared" si="44"/>
        <v/>
      </c>
      <c r="AO78" s="10" t="str">
        <f t="shared" si="25"/>
        <v/>
      </c>
      <c r="AP78" s="71"/>
      <c r="AQ78" s="10" t="str">
        <f t="shared" si="45"/>
        <v/>
      </c>
      <c r="AR78" s="10" t="str">
        <f t="shared" si="26"/>
        <v/>
      </c>
      <c r="AS78" s="71"/>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U78" s="71"/>
      <c r="AV78" s="10" t="str">
        <f t="shared" si="46"/>
        <v/>
      </c>
      <c r="AW78" s="10" t="str">
        <f t="shared" si="27"/>
        <v/>
      </c>
      <c r="AX78" s="71"/>
      <c r="AY78" s="7" t="str">
        <f>IF(ISERROR(IF($K78&lt;=$F$15,VLOOKUP($I78,'表4）CO2価格'!$A$7:$E$67,VLOOKUP($F$48,'表4）CO2価格'!$H$10:$I$12,2,0),0)*$F$8/1000,"")),0,IF($K78&lt;=$F$15,VLOOKUP($I78,'表4）CO2価格'!$A$7:$E$67,VLOOKUP($F$48,'表4）CO2価格'!$H$10:$I$12,2,0),0)*$F$8/1000,""))</f>
        <v/>
      </c>
      <c r="AZ78" s="71"/>
      <c r="BA78" s="11" t="str">
        <f t="shared" si="47"/>
        <v/>
      </c>
      <c r="BB78" s="10" t="str">
        <f t="shared" si="28"/>
        <v/>
      </c>
      <c r="BC78" s="71"/>
      <c r="BD78" s="10" t="str">
        <f t="shared" si="48"/>
        <v/>
      </c>
      <c r="BE78" s="10" t="str">
        <f t="shared" si="29"/>
        <v/>
      </c>
      <c r="BF78" s="71"/>
      <c r="BG78" s="11" t="str">
        <f t="shared" si="49"/>
        <v/>
      </c>
      <c r="BH78" s="10" t="str">
        <f t="shared" si="30"/>
        <v/>
      </c>
      <c r="BJ78" s="7" t="str">
        <f t="shared" si="31"/>
        <v/>
      </c>
      <c r="BK78" s="158" t="str">
        <f t="shared" si="32"/>
        <v/>
      </c>
      <c r="BL78" s="158" t="str">
        <f t="shared" si="14"/>
        <v/>
      </c>
      <c r="BM78" s="10"/>
      <c r="BN78" s="10" t="str">
        <f t="shared" si="33"/>
        <v/>
      </c>
      <c r="BO78" s="10" t="str">
        <f t="shared" si="34"/>
        <v/>
      </c>
      <c r="BQ78" s="10" t="str">
        <f t="shared" si="50"/>
        <v/>
      </c>
      <c r="BR78" s="10" t="str">
        <f t="shared" si="35"/>
        <v/>
      </c>
    </row>
    <row r="79" spans="2:70" x14ac:dyDescent="0.15">
      <c r="E79" s="84" t="s">
        <v>139</v>
      </c>
      <c r="F79" s="488">
        <f>Z116/$BR$116</f>
        <v>0.44856421930772983</v>
      </c>
      <c r="G79" s="84" t="s">
        <v>590</v>
      </c>
      <c r="H79" s="71"/>
      <c r="I79" s="38">
        <f t="shared" si="36"/>
        <v>2094</v>
      </c>
      <c r="J79" s="39"/>
      <c r="K79" s="39">
        <f t="shared" si="37"/>
        <v>65</v>
      </c>
      <c r="L79" s="39"/>
      <c r="M79" s="40">
        <f t="shared" ref="M79:M114" si="52">1/(1+($F$9/100))^K79</f>
        <v>0.14641325444882999</v>
      </c>
      <c r="N79" s="39"/>
      <c r="O79" s="72" t="str">
        <f t="shared" si="16"/>
        <v/>
      </c>
      <c r="P79" s="41" t="str">
        <f t="shared" ref="P79:P110" si="53">IF(K79&lt;=$F$15,IF(OR(P78=$F$124,P78="-"),"-",IF(O79*$F$123&gt;$F$127,$F$123,$F$124)),"")</f>
        <v/>
      </c>
      <c r="Q79" s="39"/>
      <c r="R79" s="72" t="str">
        <f t="shared" si="51"/>
        <v/>
      </c>
      <c r="S79" s="39"/>
      <c r="T79" s="72" t="str">
        <f t="shared" si="18"/>
        <v/>
      </c>
      <c r="U79" s="39"/>
      <c r="V79" s="72" t="str">
        <f t="shared" ref="V79:V114" si="54">IF(K79&lt;=$F$15,IF(K79&lt;$F$119,IF(P79="-",V78,O79*P79),IF(K79=$F$119,MIN(IF(P79="-",V78,O79*P79),O79),0)),"")</f>
        <v/>
      </c>
      <c r="W79" s="72" t="str">
        <f t="shared" si="19"/>
        <v/>
      </c>
      <c r="X79" s="39"/>
      <c r="Y79" s="72" t="str">
        <f t="shared" ref="Y79:Y114" si="55">IF($K79&lt;=$F$15,ROUNDDOWN(T79*$F$25/100,-2),"")</f>
        <v/>
      </c>
      <c r="Z79" s="72" t="str">
        <f t="shared" si="20"/>
        <v/>
      </c>
      <c r="AA79" s="39"/>
      <c r="AB79" s="72" t="str">
        <f t="shared" ref="AB79:AB114" si="56">IF($K79&lt;=$F$15,0,IF(AND($K79&gt;$F$15,$K79&lt;=$F$15+$F$28),$F$27*10^8/$F$28,""))</f>
        <v/>
      </c>
      <c r="AC79" s="72" t="str">
        <f t="shared" si="21"/>
        <v/>
      </c>
      <c r="AD79" s="39"/>
      <c r="AE79" s="72" t="str">
        <f t="shared" ref="AE79:AE114" si="57">IF($K79&lt;=$F$15,$F$26,"")</f>
        <v/>
      </c>
      <c r="AF79" s="72" t="str">
        <f t="shared" si="22"/>
        <v/>
      </c>
      <c r="AG79" s="39"/>
      <c r="AH79" s="72" t="str">
        <f t="shared" ref="AH79:AH114" si="58">IF($K79&lt;=$F$15,$F$33*10^4*$F$13*10^4,"")</f>
        <v/>
      </c>
      <c r="AI79" s="72" t="str">
        <f t="shared" si="23"/>
        <v/>
      </c>
      <c r="AJ79" s="39"/>
      <c r="AK79" s="72" t="str">
        <f t="shared" ref="AK79:AK114" si="59">IF($K79&lt;=$F$15,$F$117*$F$34/100,"")</f>
        <v/>
      </c>
      <c r="AL79" s="72" t="str">
        <f t="shared" si="24"/>
        <v/>
      </c>
      <c r="AM79" s="39"/>
      <c r="AN79" s="72" t="str">
        <f t="shared" ref="AN79:AN114" si="60">IF($K79&lt;=$F$15,$F$117*$F$35/100,"")</f>
        <v/>
      </c>
      <c r="AO79" s="72" t="str">
        <f t="shared" si="25"/>
        <v/>
      </c>
      <c r="AP79" s="39"/>
      <c r="AQ79" s="72" t="str">
        <f t="shared" ref="AQ79:AQ114" si="61">IF($K79&lt;=$F$15,SUM(AH79,AK79,AN79)*($F$36/100),"")</f>
        <v/>
      </c>
      <c r="AR79" s="72" t="str">
        <f t="shared" si="26"/>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62">IF($K79&lt;=$F$15,($AT79+$F$142)*$F$137,"")</f>
        <v/>
      </c>
      <c r="AW79" s="72" t="str">
        <f t="shared" si="27"/>
        <v/>
      </c>
      <c r="AX79" s="39"/>
      <c r="AY79" s="40" t="str">
        <f>IF(ISERROR(IF($K79&lt;=$F$15,VLOOKUP($I79,'表4）CO2価格'!$A$7:$E$67,VLOOKUP($F$48,'表4）CO2価格'!$H$10:$I$12,2,0),0)*$F$8/1000,"")),0,IF($K79&lt;=$F$15,VLOOKUP($I79,'表4）CO2価格'!$A$7:$E$67,VLOOKUP($F$48,'表4）CO2価格'!$H$10:$I$12,2,0),0)*$F$8/1000,""))</f>
        <v/>
      </c>
      <c r="AZ79" s="39"/>
      <c r="BA79" s="42" t="str">
        <f t="shared" ref="BA79:BA114" si="63">IF($K79&lt;=$F$15,$F$145*AY79,"")</f>
        <v/>
      </c>
      <c r="BB79" s="72" t="str">
        <f t="shared" si="28"/>
        <v/>
      </c>
      <c r="BC79" s="39"/>
      <c r="BD79" s="72" t="str">
        <f t="shared" ref="BD79:BD114" si="64">IF($K79&lt;=$F$15,($AT79+$F$152)*$F$151,"")</f>
        <v/>
      </c>
      <c r="BE79" s="72" t="str">
        <f t="shared" si="29"/>
        <v/>
      </c>
      <c r="BF79" s="39"/>
      <c r="BG79" s="42" t="str">
        <f t="shared" ref="BG79:BG114" si="65">IF($K79&lt;=$F$15,$F$153*AY79,"")</f>
        <v/>
      </c>
      <c r="BH79" s="72" t="str">
        <f t="shared" si="30"/>
        <v/>
      </c>
      <c r="BI79" s="39"/>
      <c r="BJ79" s="40" t="str">
        <f t="shared" si="31"/>
        <v/>
      </c>
      <c r="BK79" s="157" t="str">
        <f t="shared" si="32"/>
        <v/>
      </c>
      <c r="BL79" s="157" t="str">
        <f t="shared" ref="BL79:BL114" si="66">IF(AND(ISNUMBER(BJ79),$K79&lt;=$F$16),BQ79*BJ79,"")</f>
        <v/>
      </c>
      <c r="BM79" s="72"/>
      <c r="BN79" s="72" t="str">
        <f t="shared" si="33"/>
        <v/>
      </c>
      <c r="BO79" s="72" t="str">
        <f t="shared" si="34"/>
        <v/>
      </c>
      <c r="BP79" s="39"/>
      <c r="BQ79" s="72" t="str">
        <f t="shared" ref="BQ79:BQ114" si="67">IF($K79&lt;=$F$15,$F$134,"")</f>
        <v/>
      </c>
      <c r="BR79" s="72" t="str">
        <f t="shared" si="35"/>
        <v/>
      </c>
    </row>
    <row r="80" spans="2:70" x14ac:dyDescent="0.15">
      <c r="E80" s="84" t="s">
        <v>115</v>
      </c>
      <c r="F80" s="488">
        <f>AF116/$BR$116</f>
        <v>0</v>
      </c>
      <c r="G80" s="84" t="s">
        <v>590</v>
      </c>
      <c r="H80" s="71"/>
      <c r="I80" s="322">
        <f t="shared" si="36"/>
        <v>2095</v>
      </c>
      <c r="J80" s="71"/>
      <c r="K80" s="71">
        <f t="shared" si="37"/>
        <v>66</v>
      </c>
      <c r="L80" s="71"/>
      <c r="M80" s="7">
        <f t="shared" si="52"/>
        <v>0.14214879072701941</v>
      </c>
      <c r="N80" s="71"/>
      <c r="O80" s="10" t="str">
        <f t="shared" ref="O80:O114" si="68">IF(K80&lt;=$F$15,O79-V79,"")</f>
        <v/>
      </c>
      <c r="P80" s="29" t="str">
        <f t="shared" si="53"/>
        <v/>
      </c>
      <c r="Q80" s="71"/>
      <c r="R80" s="10" t="str">
        <f t="shared" ref="R80:R114" si="69">IF($K80&lt;=$F$15,MAX($F$117*5%,R79*$F$129),"")</f>
        <v/>
      </c>
      <c r="S80" s="71"/>
      <c r="T80" s="10" t="str">
        <f t="shared" ref="T80:T114" si="70">IF(ISNUMBER(R80),ROUNDDOWN(R80,-3),"")</f>
        <v/>
      </c>
      <c r="U80" s="71"/>
      <c r="V80" s="10" t="str">
        <f t="shared" si="54"/>
        <v/>
      </c>
      <c r="W80" s="10" t="str">
        <f t="shared" ref="W80:W114" si="71">IF(ISNUMBER(V80),V80*$M80,"")</f>
        <v/>
      </c>
      <c r="X80" s="71"/>
      <c r="Y80" s="10" t="str">
        <f t="shared" si="55"/>
        <v/>
      </c>
      <c r="Z80" s="10" t="str">
        <f t="shared" ref="Z80:Z114" si="72">IF(ISNUMBER(Y80),Y80*$M80,"")</f>
        <v/>
      </c>
      <c r="AA80" s="71"/>
      <c r="AB80" s="10" t="str">
        <f t="shared" si="56"/>
        <v/>
      </c>
      <c r="AC80" s="10" t="str">
        <f t="shared" ref="AC80:AC114" si="73">IF(ISNUMBER(AB80),AB80*$M80,"")</f>
        <v/>
      </c>
      <c r="AD80" s="71"/>
      <c r="AE80" s="10" t="str">
        <f t="shared" si="57"/>
        <v/>
      </c>
      <c r="AF80" s="10" t="str">
        <f t="shared" ref="AF80:AF114" si="74">IF(ISNUMBER(AE80),AE80*$M80,"")</f>
        <v/>
      </c>
      <c r="AG80" s="71"/>
      <c r="AH80" s="10" t="str">
        <f t="shared" si="58"/>
        <v/>
      </c>
      <c r="AI80" s="10" t="str">
        <f t="shared" ref="AI80:AI114" si="75">IF(ISNUMBER(AH80),AH80*$M80,"")</f>
        <v/>
      </c>
      <c r="AJ80" s="71"/>
      <c r="AK80" s="10" t="str">
        <f t="shared" si="59"/>
        <v/>
      </c>
      <c r="AL80" s="10" t="str">
        <f t="shared" ref="AL80:AL114" si="76">IF(ISNUMBER(AK80),AK80*$M80,"")</f>
        <v/>
      </c>
      <c r="AM80" s="71"/>
      <c r="AN80" s="10" t="str">
        <f t="shared" si="60"/>
        <v/>
      </c>
      <c r="AO80" s="10" t="str">
        <f t="shared" ref="AO80:AO114" si="77">IF(ISNUMBER(AN80),AN80*$M80,"")</f>
        <v/>
      </c>
      <c r="AP80" s="71"/>
      <c r="AQ80" s="10" t="str">
        <f t="shared" si="61"/>
        <v/>
      </c>
      <c r="AR80" s="10" t="str">
        <f t="shared" ref="AR80:AR114" si="78">IF(ISNUMBER(AQ80),AQ80*$M80,"")</f>
        <v/>
      </c>
      <c r="AS80" s="71"/>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U80" s="71"/>
      <c r="AV80" s="10" t="str">
        <f t="shared" si="62"/>
        <v/>
      </c>
      <c r="AW80" s="10" t="str">
        <f t="shared" ref="AW80:AW114" si="79">IF(ISNUMBER(AV80),AV80*$M80,"")</f>
        <v/>
      </c>
      <c r="AX80" s="71"/>
      <c r="AY80" s="7" t="str">
        <f>IF(ISERROR(IF($K80&lt;=$F$15,VLOOKUP($I80,'表4）CO2価格'!$A$7:$E$67,VLOOKUP($F$48,'表4）CO2価格'!$H$10:$I$12,2,0),0)*$F$8/1000,"")),0,IF($K80&lt;=$F$15,VLOOKUP($I80,'表4）CO2価格'!$A$7:$E$67,VLOOKUP($F$48,'表4）CO2価格'!$H$10:$I$12,2,0),0)*$F$8/1000,""))</f>
        <v/>
      </c>
      <c r="AZ80" s="71"/>
      <c r="BA80" s="11" t="str">
        <f t="shared" si="63"/>
        <v/>
      </c>
      <c r="BB80" s="10" t="str">
        <f t="shared" ref="BB80:BB114" si="80">IF(ISNUMBER(BA80),BA80*$M80,"")</f>
        <v/>
      </c>
      <c r="BC80" s="71"/>
      <c r="BD80" s="10" t="str">
        <f t="shared" si="64"/>
        <v/>
      </c>
      <c r="BE80" s="10" t="str">
        <f t="shared" ref="BE80:BE114" si="81">IF(ISNUMBER(BD80),BD80*$M80,"")</f>
        <v/>
      </c>
      <c r="BF80" s="71"/>
      <c r="BG80" s="11" t="str">
        <f t="shared" si="65"/>
        <v/>
      </c>
      <c r="BH80" s="10" t="str">
        <f t="shared" ref="BH80:BH114" si="82">IF(ISNUMBER(BG80),BG80*$M80,"")</f>
        <v/>
      </c>
      <c r="BJ80" s="7" t="str">
        <f t="shared" ref="BJ80:BJ114" si="83">IF(ISNUMBER($F$16),IF($K80&lt;=$F$16+$F$28,1/(1+($F$17/100))^K80,""),"")</f>
        <v/>
      </c>
      <c r="BK80" s="158" t="str">
        <f t="shared" ref="BK80:BK114" si="84">IF(ISNUMBER($F$16),IF($K80&lt;=$F$16+$F$28,IF($K80&lt;=$F$16,SUM(Y80,AB80,AE80,AH80,AK80,AN80,AQ80,AV80,BA80,BD80,BG80),$F$27/$F$28*10^8)*BJ80,""),"")</f>
        <v/>
      </c>
      <c r="BL80" s="158" t="str">
        <f t="shared" si="66"/>
        <v/>
      </c>
      <c r="BM80" s="10"/>
      <c r="BN80" s="10" t="str">
        <f t="shared" ref="BN80:BN114" si="85">IF(AND(ISNUMBER($F$16),$K80&lt;=$F$16),BQ80*($O$15+$BK$116)/$BL$116,"")</f>
        <v/>
      </c>
      <c r="BO80" s="10" t="str">
        <f t="shared" ref="BO80:BO114" si="86">IF(ISNUMBER(BN80),BN80*$M80,"")</f>
        <v/>
      </c>
      <c r="BQ80" s="10" t="str">
        <f t="shared" si="67"/>
        <v/>
      </c>
      <c r="BR80" s="10" t="str">
        <f t="shared" ref="BR80:BR114" si="87">IF(ISNUMBER(BQ80),BQ80*$M80,"")</f>
        <v/>
      </c>
    </row>
    <row r="81" spans="4:70" x14ac:dyDescent="0.15">
      <c r="E81" s="160" t="s">
        <v>86</v>
      </c>
      <c r="F81" s="488">
        <f>AC116/$BR$116</f>
        <v>7.8597560018700649E-2</v>
      </c>
      <c r="G81" s="84" t="s">
        <v>590</v>
      </c>
      <c r="H81" s="71"/>
      <c r="I81" s="38">
        <f t="shared" ref="I81:I114" si="88">I80+1</f>
        <v>2096</v>
      </c>
      <c r="J81" s="39"/>
      <c r="K81" s="39">
        <f t="shared" ref="K81:K114" si="89">IF(I81&lt;&gt;"",K80+1,"")</f>
        <v>67</v>
      </c>
      <c r="L81" s="39"/>
      <c r="M81" s="40">
        <f t="shared" si="52"/>
        <v>0.1380085346864266</v>
      </c>
      <c r="N81" s="39"/>
      <c r="O81" s="72" t="str">
        <f t="shared" si="68"/>
        <v/>
      </c>
      <c r="P81" s="41" t="str">
        <f t="shared" si="53"/>
        <v/>
      </c>
      <c r="Q81" s="39"/>
      <c r="R81" s="72" t="str">
        <f t="shared" si="69"/>
        <v/>
      </c>
      <c r="S81" s="39"/>
      <c r="T81" s="72" t="str">
        <f t="shared" si="70"/>
        <v/>
      </c>
      <c r="U81" s="39"/>
      <c r="V81" s="72" t="str">
        <f t="shared" si="54"/>
        <v/>
      </c>
      <c r="W81" s="72" t="str">
        <f t="shared" si="71"/>
        <v/>
      </c>
      <c r="X81" s="39"/>
      <c r="Y81" s="72" t="str">
        <f t="shared" si="55"/>
        <v/>
      </c>
      <c r="Z81" s="72" t="str">
        <f t="shared" si="72"/>
        <v/>
      </c>
      <c r="AA81" s="39"/>
      <c r="AB81" s="72" t="str">
        <f t="shared" si="56"/>
        <v/>
      </c>
      <c r="AC81" s="72" t="str">
        <f t="shared" si="73"/>
        <v/>
      </c>
      <c r="AD81" s="39"/>
      <c r="AE81" s="72" t="str">
        <f t="shared" si="57"/>
        <v/>
      </c>
      <c r="AF81" s="72" t="str">
        <f t="shared" si="74"/>
        <v/>
      </c>
      <c r="AG81" s="39"/>
      <c r="AH81" s="72" t="str">
        <f t="shared" si="58"/>
        <v/>
      </c>
      <c r="AI81" s="72" t="str">
        <f t="shared" si="75"/>
        <v/>
      </c>
      <c r="AJ81" s="39"/>
      <c r="AK81" s="72" t="str">
        <f t="shared" si="59"/>
        <v/>
      </c>
      <c r="AL81" s="72" t="str">
        <f t="shared" si="76"/>
        <v/>
      </c>
      <c r="AM81" s="39"/>
      <c r="AN81" s="72" t="str">
        <f t="shared" si="60"/>
        <v/>
      </c>
      <c r="AO81" s="72" t="str">
        <f t="shared" si="77"/>
        <v/>
      </c>
      <c r="AP81" s="39"/>
      <c r="AQ81" s="72" t="str">
        <f t="shared" si="61"/>
        <v/>
      </c>
      <c r="AR81" s="72" t="str">
        <f t="shared" si="78"/>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62"/>
        <v/>
      </c>
      <c r="AW81" s="72" t="str">
        <f t="shared" si="79"/>
        <v/>
      </c>
      <c r="AX81" s="39"/>
      <c r="AY81" s="40" t="str">
        <f>IF(ISERROR(IF($K81&lt;=$F$15,VLOOKUP($I81,'表4）CO2価格'!$A$7:$E$67,VLOOKUP($F$48,'表4）CO2価格'!$H$10:$I$12,2,0),0)*$F$8/1000,"")),0,IF($K81&lt;=$F$15,VLOOKUP($I81,'表4）CO2価格'!$A$7:$E$67,VLOOKUP($F$48,'表4）CO2価格'!$H$10:$I$12,2,0),0)*$F$8/1000,""))</f>
        <v/>
      </c>
      <c r="AZ81" s="39"/>
      <c r="BA81" s="42" t="str">
        <f t="shared" si="63"/>
        <v/>
      </c>
      <c r="BB81" s="72" t="str">
        <f t="shared" si="80"/>
        <v/>
      </c>
      <c r="BC81" s="39"/>
      <c r="BD81" s="72" t="str">
        <f t="shared" si="64"/>
        <v/>
      </c>
      <c r="BE81" s="72" t="str">
        <f t="shared" si="81"/>
        <v/>
      </c>
      <c r="BF81" s="39"/>
      <c r="BG81" s="42" t="str">
        <f t="shared" si="65"/>
        <v/>
      </c>
      <c r="BH81" s="72" t="str">
        <f t="shared" si="82"/>
        <v/>
      </c>
      <c r="BI81" s="39"/>
      <c r="BJ81" s="40" t="str">
        <f t="shared" si="83"/>
        <v/>
      </c>
      <c r="BK81" s="157" t="str">
        <f t="shared" si="84"/>
        <v/>
      </c>
      <c r="BL81" s="157" t="str">
        <f t="shared" si="66"/>
        <v/>
      </c>
      <c r="BM81" s="72"/>
      <c r="BN81" s="72" t="str">
        <f t="shared" si="85"/>
        <v/>
      </c>
      <c r="BO81" s="72" t="str">
        <f t="shared" si="86"/>
        <v/>
      </c>
      <c r="BP81" s="39"/>
      <c r="BQ81" s="72" t="str">
        <f t="shared" si="67"/>
        <v/>
      </c>
      <c r="BR81" s="72" t="str">
        <f t="shared" si="87"/>
        <v/>
      </c>
    </row>
    <row r="82" spans="4:70" x14ac:dyDescent="0.15">
      <c r="F82" s="487"/>
      <c r="H82" s="71"/>
      <c r="I82" s="322">
        <f t="shared" si="88"/>
        <v>2097</v>
      </c>
      <c r="J82" s="71"/>
      <c r="K82" s="71">
        <f t="shared" si="89"/>
        <v>68</v>
      </c>
      <c r="L82" s="71"/>
      <c r="M82" s="7">
        <f t="shared" si="52"/>
        <v>0.13398886862759865</v>
      </c>
      <c r="N82" s="71"/>
      <c r="O82" s="10" t="str">
        <f t="shared" si="68"/>
        <v/>
      </c>
      <c r="P82" s="29" t="str">
        <f t="shared" si="53"/>
        <v/>
      </c>
      <c r="Q82" s="71"/>
      <c r="R82" s="10" t="str">
        <f t="shared" si="69"/>
        <v/>
      </c>
      <c r="S82" s="71"/>
      <c r="T82" s="10" t="str">
        <f t="shared" si="70"/>
        <v/>
      </c>
      <c r="U82" s="71"/>
      <c r="V82" s="10" t="str">
        <f t="shared" si="54"/>
        <v/>
      </c>
      <c r="W82" s="10" t="str">
        <f t="shared" si="71"/>
        <v/>
      </c>
      <c r="X82" s="71"/>
      <c r="Y82" s="10" t="str">
        <f t="shared" si="55"/>
        <v/>
      </c>
      <c r="Z82" s="10" t="str">
        <f t="shared" si="72"/>
        <v/>
      </c>
      <c r="AA82" s="71"/>
      <c r="AB82" s="10" t="str">
        <f t="shared" si="56"/>
        <v/>
      </c>
      <c r="AC82" s="10" t="str">
        <f t="shared" si="73"/>
        <v/>
      </c>
      <c r="AD82" s="71"/>
      <c r="AE82" s="10" t="str">
        <f t="shared" si="57"/>
        <v/>
      </c>
      <c r="AF82" s="10" t="str">
        <f t="shared" si="74"/>
        <v/>
      </c>
      <c r="AG82" s="71"/>
      <c r="AH82" s="10" t="str">
        <f t="shared" si="58"/>
        <v/>
      </c>
      <c r="AI82" s="10" t="str">
        <f t="shared" si="75"/>
        <v/>
      </c>
      <c r="AJ82" s="71"/>
      <c r="AK82" s="10" t="str">
        <f t="shared" si="59"/>
        <v/>
      </c>
      <c r="AL82" s="10" t="str">
        <f t="shared" si="76"/>
        <v/>
      </c>
      <c r="AM82" s="71"/>
      <c r="AN82" s="10" t="str">
        <f t="shared" si="60"/>
        <v/>
      </c>
      <c r="AO82" s="10" t="str">
        <f t="shared" si="77"/>
        <v/>
      </c>
      <c r="AP82" s="71"/>
      <c r="AQ82" s="10" t="str">
        <f t="shared" si="61"/>
        <v/>
      </c>
      <c r="AR82" s="10" t="str">
        <f t="shared" si="78"/>
        <v/>
      </c>
      <c r="AS82" s="71"/>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U82" s="71"/>
      <c r="AV82" s="10" t="str">
        <f t="shared" si="62"/>
        <v/>
      </c>
      <c r="AW82" s="10" t="str">
        <f t="shared" si="79"/>
        <v/>
      </c>
      <c r="AX82" s="71"/>
      <c r="AY82" s="7" t="str">
        <f>IF(ISERROR(IF($K82&lt;=$F$15,VLOOKUP($I82,'表4）CO2価格'!$A$7:$E$67,VLOOKUP($F$48,'表4）CO2価格'!$H$10:$I$12,2,0),0)*$F$8/1000,"")),0,IF($K82&lt;=$F$15,VLOOKUP($I82,'表4）CO2価格'!$A$7:$E$67,VLOOKUP($F$48,'表4）CO2価格'!$H$10:$I$12,2,0),0)*$F$8/1000,""))</f>
        <v/>
      </c>
      <c r="AZ82" s="71"/>
      <c r="BA82" s="11" t="str">
        <f t="shared" si="63"/>
        <v/>
      </c>
      <c r="BB82" s="10" t="str">
        <f t="shared" si="80"/>
        <v/>
      </c>
      <c r="BC82" s="71"/>
      <c r="BD82" s="10" t="str">
        <f t="shared" si="64"/>
        <v/>
      </c>
      <c r="BE82" s="10" t="str">
        <f t="shared" si="81"/>
        <v/>
      </c>
      <c r="BF82" s="71"/>
      <c r="BG82" s="11" t="str">
        <f t="shared" si="65"/>
        <v/>
      </c>
      <c r="BH82" s="10" t="str">
        <f t="shared" si="82"/>
        <v/>
      </c>
      <c r="BJ82" s="7" t="str">
        <f t="shared" si="83"/>
        <v/>
      </c>
      <c r="BK82" s="158" t="str">
        <f t="shared" si="84"/>
        <v/>
      </c>
      <c r="BL82" s="158" t="str">
        <f t="shared" si="66"/>
        <v/>
      </c>
      <c r="BM82" s="10"/>
      <c r="BN82" s="10" t="str">
        <f t="shared" si="85"/>
        <v/>
      </c>
      <c r="BO82" s="10" t="str">
        <f t="shared" si="86"/>
        <v/>
      </c>
      <c r="BQ82" s="10" t="str">
        <f t="shared" si="67"/>
        <v/>
      </c>
      <c r="BR82" s="10" t="str">
        <f t="shared" si="87"/>
        <v/>
      </c>
    </row>
    <row r="83" spans="4:70" ht="15" x14ac:dyDescent="0.15">
      <c r="D83" s="103" t="s">
        <v>593</v>
      </c>
      <c r="F83" s="484">
        <f>SUBTOTAL(9,F87:F90)</f>
        <v>5.099666018236408</v>
      </c>
      <c r="G83" s="84" t="s">
        <v>590</v>
      </c>
      <c r="H83" s="71"/>
      <c r="I83" s="38">
        <f>I82+1</f>
        <v>2098</v>
      </c>
      <c r="J83" s="39"/>
      <c r="K83" s="39">
        <f>IF(I83&lt;&gt;"",K82+1,"")</f>
        <v>69</v>
      </c>
      <c r="L83" s="39"/>
      <c r="M83" s="40">
        <f t="shared" si="52"/>
        <v>0.13008628022096957</v>
      </c>
      <c r="N83" s="39"/>
      <c r="O83" s="72" t="str">
        <f t="shared" si="68"/>
        <v/>
      </c>
      <c r="P83" s="41" t="str">
        <f t="shared" si="53"/>
        <v/>
      </c>
      <c r="Q83" s="39"/>
      <c r="R83" s="72" t="str">
        <f t="shared" si="69"/>
        <v/>
      </c>
      <c r="S83" s="39"/>
      <c r="T83" s="72" t="str">
        <f t="shared" si="70"/>
        <v/>
      </c>
      <c r="U83" s="39"/>
      <c r="V83" s="72" t="str">
        <f t="shared" si="54"/>
        <v/>
      </c>
      <c r="W83" s="72" t="str">
        <f t="shared" si="71"/>
        <v/>
      </c>
      <c r="X83" s="39"/>
      <c r="Y83" s="72" t="str">
        <f t="shared" si="55"/>
        <v/>
      </c>
      <c r="Z83" s="72" t="str">
        <f t="shared" si="72"/>
        <v/>
      </c>
      <c r="AA83" s="39"/>
      <c r="AB83" s="72" t="str">
        <f t="shared" si="56"/>
        <v/>
      </c>
      <c r="AC83" s="72" t="str">
        <f t="shared" si="73"/>
        <v/>
      </c>
      <c r="AD83" s="39"/>
      <c r="AE83" s="72" t="str">
        <f t="shared" si="57"/>
        <v/>
      </c>
      <c r="AF83" s="72" t="str">
        <f t="shared" si="74"/>
        <v/>
      </c>
      <c r="AG83" s="39"/>
      <c r="AH83" s="72" t="str">
        <f t="shared" si="58"/>
        <v/>
      </c>
      <c r="AI83" s="72" t="str">
        <f t="shared" si="75"/>
        <v/>
      </c>
      <c r="AJ83" s="39"/>
      <c r="AK83" s="72" t="str">
        <f t="shared" si="59"/>
        <v/>
      </c>
      <c r="AL83" s="72" t="str">
        <f t="shared" si="76"/>
        <v/>
      </c>
      <c r="AM83" s="39"/>
      <c r="AN83" s="72" t="str">
        <f t="shared" si="60"/>
        <v/>
      </c>
      <c r="AO83" s="72" t="str">
        <f t="shared" si="77"/>
        <v/>
      </c>
      <c r="AP83" s="39"/>
      <c r="AQ83" s="72" t="str">
        <f t="shared" si="61"/>
        <v/>
      </c>
      <c r="AR83" s="72" t="str">
        <f t="shared" si="78"/>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62"/>
        <v/>
      </c>
      <c r="AW83" s="72" t="str">
        <f t="shared" si="79"/>
        <v/>
      </c>
      <c r="AX83" s="39"/>
      <c r="AY83" s="40" t="str">
        <f>IF(ISERROR(IF($K83&lt;=$F$15,VLOOKUP($I83,'表4）CO2価格'!$A$7:$E$67,VLOOKUP($F$48,'表4）CO2価格'!$H$10:$I$12,2,0),0)*$F$8/1000,"")),0,IF($K83&lt;=$F$15,VLOOKUP($I83,'表4）CO2価格'!$A$7:$E$67,VLOOKUP($F$48,'表4）CO2価格'!$H$10:$I$12,2,0),0)*$F$8/1000,""))</f>
        <v/>
      </c>
      <c r="AZ83" s="39"/>
      <c r="BA83" s="42" t="str">
        <f t="shared" si="63"/>
        <v/>
      </c>
      <c r="BB83" s="72" t="str">
        <f t="shared" si="80"/>
        <v/>
      </c>
      <c r="BC83" s="39"/>
      <c r="BD83" s="72" t="str">
        <f t="shared" si="64"/>
        <v/>
      </c>
      <c r="BE83" s="72" t="str">
        <f t="shared" si="81"/>
        <v/>
      </c>
      <c r="BF83" s="39"/>
      <c r="BG83" s="42" t="str">
        <f t="shared" si="65"/>
        <v/>
      </c>
      <c r="BH83" s="72" t="str">
        <f t="shared" si="82"/>
        <v/>
      </c>
      <c r="BI83" s="39"/>
      <c r="BJ83" s="40" t="str">
        <f t="shared" si="83"/>
        <v/>
      </c>
      <c r="BK83" s="157" t="str">
        <f t="shared" si="84"/>
        <v/>
      </c>
      <c r="BL83" s="157" t="str">
        <f t="shared" si="66"/>
        <v/>
      </c>
      <c r="BM83" s="72"/>
      <c r="BN83" s="72" t="str">
        <f t="shared" si="85"/>
        <v/>
      </c>
      <c r="BO83" s="72" t="str">
        <f t="shared" si="86"/>
        <v/>
      </c>
      <c r="BP83" s="39"/>
      <c r="BQ83" s="72" t="str">
        <f t="shared" si="67"/>
        <v/>
      </c>
      <c r="BR83" s="72" t="str">
        <f t="shared" si="87"/>
        <v/>
      </c>
    </row>
    <row r="84" spans="4:70" x14ac:dyDescent="0.15">
      <c r="F84" s="487"/>
      <c r="H84" s="71"/>
      <c r="I84" s="322">
        <f t="shared" si="88"/>
        <v>2099</v>
      </c>
      <c r="J84" s="71"/>
      <c r="K84" s="71">
        <f t="shared" si="89"/>
        <v>70</v>
      </c>
      <c r="L84" s="71"/>
      <c r="M84" s="7">
        <f t="shared" si="52"/>
        <v>0.12629735943783454</v>
      </c>
      <c r="N84" s="71"/>
      <c r="O84" s="10" t="str">
        <f t="shared" si="68"/>
        <v/>
      </c>
      <c r="P84" s="29" t="str">
        <f t="shared" si="53"/>
        <v/>
      </c>
      <c r="Q84" s="71"/>
      <c r="R84" s="10" t="str">
        <f t="shared" si="69"/>
        <v/>
      </c>
      <c r="S84" s="71"/>
      <c r="T84" s="10" t="str">
        <f t="shared" si="70"/>
        <v/>
      </c>
      <c r="U84" s="71"/>
      <c r="V84" s="10" t="str">
        <f t="shared" si="54"/>
        <v/>
      </c>
      <c r="W84" s="10" t="str">
        <f t="shared" si="71"/>
        <v/>
      </c>
      <c r="X84" s="71"/>
      <c r="Y84" s="10" t="str">
        <f t="shared" si="55"/>
        <v/>
      </c>
      <c r="Z84" s="10" t="str">
        <f t="shared" si="72"/>
        <v/>
      </c>
      <c r="AA84" s="71"/>
      <c r="AB84" s="10" t="str">
        <f t="shared" si="56"/>
        <v/>
      </c>
      <c r="AC84" s="10" t="str">
        <f t="shared" si="73"/>
        <v/>
      </c>
      <c r="AD84" s="71"/>
      <c r="AE84" s="10" t="str">
        <f t="shared" si="57"/>
        <v/>
      </c>
      <c r="AF84" s="10" t="str">
        <f t="shared" si="74"/>
        <v/>
      </c>
      <c r="AG84" s="71"/>
      <c r="AH84" s="10" t="str">
        <f t="shared" si="58"/>
        <v/>
      </c>
      <c r="AI84" s="10" t="str">
        <f t="shared" si="75"/>
        <v/>
      </c>
      <c r="AJ84" s="71"/>
      <c r="AK84" s="10" t="str">
        <f t="shared" si="59"/>
        <v/>
      </c>
      <c r="AL84" s="10" t="str">
        <f t="shared" si="76"/>
        <v/>
      </c>
      <c r="AM84" s="71"/>
      <c r="AN84" s="10" t="str">
        <f t="shared" si="60"/>
        <v/>
      </c>
      <c r="AO84" s="10" t="str">
        <f t="shared" si="77"/>
        <v/>
      </c>
      <c r="AP84" s="71"/>
      <c r="AQ84" s="10" t="str">
        <f t="shared" si="61"/>
        <v/>
      </c>
      <c r="AR84" s="10" t="str">
        <f t="shared" si="78"/>
        <v/>
      </c>
      <c r="AS84" s="71"/>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U84" s="71"/>
      <c r="AV84" s="10" t="str">
        <f t="shared" si="62"/>
        <v/>
      </c>
      <c r="AW84" s="10" t="str">
        <f t="shared" si="79"/>
        <v/>
      </c>
      <c r="AX84" s="71"/>
      <c r="AY84" s="7" t="str">
        <f>IF(ISERROR(IF($K84&lt;=$F$15,VLOOKUP($I84,'表4）CO2価格'!$A$7:$E$67,VLOOKUP($F$48,'表4）CO2価格'!$H$10:$I$12,2,0),0)*$F$8/1000,"")),0,IF($K84&lt;=$F$15,VLOOKUP($I84,'表4）CO2価格'!$A$7:$E$67,VLOOKUP($F$48,'表4）CO2価格'!$H$10:$I$12,2,0),0)*$F$8/1000,""))</f>
        <v/>
      </c>
      <c r="AZ84" s="71"/>
      <c r="BA84" s="11" t="str">
        <f t="shared" si="63"/>
        <v/>
      </c>
      <c r="BB84" s="10" t="str">
        <f t="shared" si="80"/>
        <v/>
      </c>
      <c r="BC84" s="71"/>
      <c r="BD84" s="10" t="str">
        <f t="shared" si="64"/>
        <v/>
      </c>
      <c r="BE84" s="10" t="str">
        <f t="shared" si="81"/>
        <v/>
      </c>
      <c r="BF84" s="71"/>
      <c r="BG84" s="11" t="str">
        <f t="shared" si="65"/>
        <v/>
      </c>
      <c r="BH84" s="10" t="str">
        <f t="shared" si="82"/>
        <v/>
      </c>
      <c r="BJ84" s="7" t="str">
        <f t="shared" si="83"/>
        <v/>
      </c>
      <c r="BK84" s="158" t="str">
        <f t="shared" si="84"/>
        <v/>
      </c>
      <c r="BL84" s="158" t="str">
        <f t="shared" si="66"/>
        <v/>
      </c>
      <c r="BM84" s="10"/>
      <c r="BN84" s="10" t="str">
        <f t="shared" si="85"/>
        <v/>
      </c>
      <c r="BO84" s="10" t="str">
        <f t="shared" si="86"/>
        <v/>
      </c>
      <c r="BQ84" s="10" t="str">
        <f t="shared" si="67"/>
        <v/>
      </c>
      <c r="BR84" s="10" t="str">
        <f t="shared" si="87"/>
        <v/>
      </c>
    </row>
    <row r="85" spans="4:70" x14ac:dyDescent="0.15">
      <c r="D85" s="100" t="s">
        <v>594</v>
      </c>
      <c r="E85" s="489"/>
      <c r="F85" s="486"/>
      <c r="G85" s="100"/>
      <c r="H85" s="71"/>
      <c r="I85" s="38">
        <f t="shared" si="88"/>
        <v>2100</v>
      </c>
      <c r="J85" s="39"/>
      <c r="K85" s="39">
        <f t="shared" si="89"/>
        <v>71</v>
      </c>
      <c r="L85" s="39"/>
      <c r="M85" s="40">
        <f t="shared" si="52"/>
        <v>0.12261879557071313</v>
      </c>
      <c r="N85" s="39"/>
      <c r="O85" s="72" t="str">
        <f t="shared" si="68"/>
        <v/>
      </c>
      <c r="P85" s="41" t="str">
        <f t="shared" si="53"/>
        <v/>
      </c>
      <c r="Q85" s="39"/>
      <c r="R85" s="72" t="str">
        <f t="shared" si="69"/>
        <v/>
      </c>
      <c r="S85" s="39"/>
      <c r="T85" s="72" t="str">
        <f t="shared" si="70"/>
        <v/>
      </c>
      <c r="U85" s="39"/>
      <c r="V85" s="72" t="str">
        <f t="shared" si="54"/>
        <v/>
      </c>
      <c r="W85" s="72" t="str">
        <f t="shared" si="71"/>
        <v/>
      </c>
      <c r="X85" s="39"/>
      <c r="Y85" s="72" t="str">
        <f t="shared" si="55"/>
        <v/>
      </c>
      <c r="Z85" s="72" t="str">
        <f t="shared" si="72"/>
        <v/>
      </c>
      <c r="AA85" s="39"/>
      <c r="AB85" s="72" t="str">
        <f t="shared" si="56"/>
        <v/>
      </c>
      <c r="AC85" s="72" t="str">
        <f t="shared" si="73"/>
        <v/>
      </c>
      <c r="AD85" s="39"/>
      <c r="AE85" s="72" t="str">
        <f t="shared" si="57"/>
        <v/>
      </c>
      <c r="AF85" s="72" t="str">
        <f t="shared" si="74"/>
        <v/>
      </c>
      <c r="AG85" s="39"/>
      <c r="AH85" s="72" t="str">
        <f t="shared" si="58"/>
        <v/>
      </c>
      <c r="AI85" s="72" t="str">
        <f t="shared" si="75"/>
        <v/>
      </c>
      <c r="AJ85" s="39"/>
      <c r="AK85" s="72" t="str">
        <f t="shared" si="59"/>
        <v/>
      </c>
      <c r="AL85" s="72" t="str">
        <f t="shared" si="76"/>
        <v/>
      </c>
      <c r="AM85" s="39"/>
      <c r="AN85" s="72" t="str">
        <f t="shared" si="60"/>
        <v/>
      </c>
      <c r="AO85" s="72" t="str">
        <f t="shared" si="77"/>
        <v/>
      </c>
      <c r="AP85" s="39"/>
      <c r="AQ85" s="72" t="str">
        <f t="shared" si="61"/>
        <v/>
      </c>
      <c r="AR85" s="72" t="str">
        <f t="shared" si="78"/>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62"/>
        <v/>
      </c>
      <c r="AW85" s="72" t="str">
        <f t="shared" si="79"/>
        <v/>
      </c>
      <c r="AX85" s="39"/>
      <c r="AY85" s="40" t="str">
        <f>IF(ISERROR(IF($K85&lt;=$F$15,VLOOKUP($I85,'表4）CO2価格'!$A$7:$E$67,VLOOKUP($F$48,'表4）CO2価格'!$H$10:$I$12,2,0),0)*$F$8/1000,"")),0,IF($K85&lt;=$F$15,VLOOKUP($I85,'表4）CO2価格'!$A$7:$E$67,VLOOKUP($F$48,'表4）CO2価格'!$H$10:$I$12,2,0),0)*$F$8/1000,""))</f>
        <v/>
      </c>
      <c r="AZ85" s="39"/>
      <c r="BA85" s="42" t="str">
        <f t="shared" si="63"/>
        <v/>
      </c>
      <c r="BB85" s="72" t="str">
        <f t="shared" si="80"/>
        <v/>
      </c>
      <c r="BC85" s="39"/>
      <c r="BD85" s="72" t="str">
        <f t="shared" si="64"/>
        <v/>
      </c>
      <c r="BE85" s="72" t="str">
        <f t="shared" si="81"/>
        <v/>
      </c>
      <c r="BF85" s="39"/>
      <c r="BG85" s="42" t="str">
        <f t="shared" si="65"/>
        <v/>
      </c>
      <c r="BH85" s="72" t="str">
        <f t="shared" si="82"/>
        <v/>
      </c>
      <c r="BI85" s="39"/>
      <c r="BJ85" s="40" t="str">
        <f t="shared" si="83"/>
        <v/>
      </c>
      <c r="BK85" s="157" t="str">
        <f t="shared" si="84"/>
        <v/>
      </c>
      <c r="BL85" s="157" t="str">
        <f t="shared" si="66"/>
        <v/>
      </c>
      <c r="BM85" s="72"/>
      <c r="BN85" s="72" t="str">
        <f t="shared" si="85"/>
        <v/>
      </c>
      <c r="BO85" s="72" t="str">
        <f t="shared" si="86"/>
        <v/>
      </c>
      <c r="BP85" s="39"/>
      <c r="BQ85" s="72" t="str">
        <f t="shared" si="67"/>
        <v/>
      </c>
      <c r="BR85" s="72" t="str">
        <f t="shared" si="87"/>
        <v/>
      </c>
    </row>
    <row r="86" spans="4:70" x14ac:dyDescent="0.15">
      <c r="F86" s="487"/>
      <c r="H86" s="71"/>
      <c r="I86" s="322">
        <f t="shared" si="88"/>
        <v>2101</v>
      </c>
      <c r="J86" s="71"/>
      <c r="K86" s="71">
        <f t="shared" si="89"/>
        <v>72</v>
      </c>
      <c r="L86" s="71"/>
      <c r="M86" s="7">
        <f t="shared" si="52"/>
        <v>0.1190473743404982</v>
      </c>
      <c r="N86" s="71"/>
      <c r="O86" s="10" t="str">
        <f t="shared" si="68"/>
        <v/>
      </c>
      <c r="P86" s="29" t="str">
        <f t="shared" si="53"/>
        <v/>
      </c>
      <c r="Q86" s="71"/>
      <c r="R86" s="10" t="str">
        <f t="shared" si="69"/>
        <v/>
      </c>
      <c r="S86" s="71"/>
      <c r="T86" s="10" t="str">
        <f t="shared" si="70"/>
        <v/>
      </c>
      <c r="U86" s="71"/>
      <c r="V86" s="10" t="str">
        <f t="shared" si="54"/>
        <v/>
      </c>
      <c r="W86" s="10" t="str">
        <f t="shared" si="71"/>
        <v/>
      </c>
      <c r="X86" s="71"/>
      <c r="Y86" s="10" t="str">
        <f t="shared" si="55"/>
        <v/>
      </c>
      <c r="Z86" s="10" t="str">
        <f t="shared" si="72"/>
        <v/>
      </c>
      <c r="AA86" s="71"/>
      <c r="AB86" s="10" t="str">
        <f t="shared" si="56"/>
        <v/>
      </c>
      <c r="AC86" s="10" t="str">
        <f t="shared" si="73"/>
        <v/>
      </c>
      <c r="AD86" s="71"/>
      <c r="AE86" s="10" t="str">
        <f t="shared" si="57"/>
        <v/>
      </c>
      <c r="AF86" s="10" t="str">
        <f t="shared" si="74"/>
        <v/>
      </c>
      <c r="AG86" s="71"/>
      <c r="AH86" s="10" t="str">
        <f t="shared" si="58"/>
        <v/>
      </c>
      <c r="AI86" s="10" t="str">
        <f t="shared" si="75"/>
        <v/>
      </c>
      <c r="AJ86" s="71"/>
      <c r="AK86" s="10" t="str">
        <f t="shared" si="59"/>
        <v/>
      </c>
      <c r="AL86" s="10" t="str">
        <f t="shared" si="76"/>
        <v/>
      </c>
      <c r="AM86" s="71"/>
      <c r="AN86" s="10" t="str">
        <f t="shared" si="60"/>
        <v/>
      </c>
      <c r="AO86" s="10" t="str">
        <f t="shared" si="77"/>
        <v/>
      </c>
      <c r="AP86" s="71"/>
      <c r="AQ86" s="10" t="str">
        <f t="shared" si="61"/>
        <v/>
      </c>
      <c r="AR86" s="10" t="str">
        <f t="shared" si="78"/>
        <v/>
      </c>
      <c r="AS86" s="71"/>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U86" s="71"/>
      <c r="AV86" s="10" t="str">
        <f t="shared" si="62"/>
        <v/>
      </c>
      <c r="AW86" s="10" t="str">
        <f t="shared" si="79"/>
        <v/>
      </c>
      <c r="AX86" s="71"/>
      <c r="AY86" s="7" t="str">
        <f>IF(ISERROR(IF($K86&lt;=$F$15,VLOOKUP($I86,'表4）CO2価格'!$A$7:$E$67,VLOOKUP($F$48,'表4）CO2価格'!$H$10:$I$12,2,0),0)*$F$8/1000,"")),0,IF($K86&lt;=$F$15,VLOOKUP($I86,'表4）CO2価格'!$A$7:$E$67,VLOOKUP($F$48,'表4）CO2価格'!$H$10:$I$12,2,0),0)*$F$8/1000,""))</f>
        <v/>
      </c>
      <c r="AZ86" s="71"/>
      <c r="BA86" s="11" t="str">
        <f t="shared" si="63"/>
        <v/>
      </c>
      <c r="BB86" s="10" t="str">
        <f t="shared" si="80"/>
        <v/>
      </c>
      <c r="BC86" s="71"/>
      <c r="BD86" s="10" t="str">
        <f t="shared" si="64"/>
        <v/>
      </c>
      <c r="BE86" s="10" t="str">
        <f t="shared" si="81"/>
        <v/>
      </c>
      <c r="BF86" s="71"/>
      <c r="BG86" s="11" t="str">
        <f t="shared" si="65"/>
        <v/>
      </c>
      <c r="BH86" s="10" t="str">
        <f t="shared" si="82"/>
        <v/>
      </c>
      <c r="BJ86" s="7" t="str">
        <f t="shared" si="83"/>
        <v/>
      </c>
      <c r="BK86" s="158" t="str">
        <f t="shared" si="84"/>
        <v/>
      </c>
      <c r="BL86" s="158" t="str">
        <f t="shared" si="66"/>
        <v/>
      </c>
      <c r="BM86" s="10"/>
      <c r="BN86" s="10" t="str">
        <f t="shared" si="85"/>
        <v/>
      </c>
      <c r="BO86" s="10" t="str">
        <f t="shared" si="86"/>
        <v/>
      </c>
      <c r="BQ86" s="10" t="str">
        <f t="shared" si="67"/>
        <v/>
      </c>
      <c r="BR86" s="10" t="str">
        <f t="shared" si="87"/>
        <v/>
      </c>
    </row>
    <row r="87" spans="4:70" x14ac:dyDescent="0.15">
      <c r="E87" s="84" t="s">
        <v>141</v>
      </c>
      <c r="F87" s="488">
        <f>AI116/$BR$116</f>
        <v>5.099666018236408</v>
      </c>
      <c r="G87" s="84" t="s">
        <v>590</v>
      </c>
      <c r="H87" s="71"/>
      <c r="I87" s="38">
        <f t="shared" si="88"/>
        <v>2102</v>
      </c>
      <c r="J87" s="39"/>
      <c r="K87" s="39">
        <f t="shared" si="89"/>
        <v>73</v>
      </c>
      <c r="L87" s="39"/>
      <c r="M87" s="40">
        <f t="shared" si="52"/>
        <v>0.11557997508786232</v>
      </c>
      <c r="N87" s="39"/>
      <c r="O87" s="72" t="str">
        <f t="shared" si="68"/>
        <v/>
      </c>
      <c r="P87" s="41" t="str">
        <f t="shared" si="53"/>
        <v/>
      </c>
      <c r="Q87" s="39"/>
      <c r="R87" s="72" t="str">
        <f t="shared" si="69"/>
        <v/>
      </c>
      <c r="S87" s="39"/>
      <c r="T87" s="72" t="str">
        <f t="shared" si="70"/>
        <v/>
      </c>
      <c r="U87" s="39"/>
      <c r="V87" s="72" t="str">
        <f t="shared" si="54"/>
        <v/>
      </c>
      <c r="W87" s="72" t="str">
        <f t="shared" si="71"/>
        <v/>
      </c>
      <c r="X87" s="39"/>
      <c r="Y87" s="72" t="str">
        <f t="shared" si="55"/>
        <v/>
      </c>
      <c r="Z87" s="72" t="str">
        <f t="shared" si="72"/>
        <v/>
      </c>
      <c r="AA87" s="39"/>
      <c r="AB87" s="72" t="str">
        <f t="shared" si="56"/>
        <v/>
      </c>
      <c r="AC87" s="72" t="str">
        <f t="shared" si="73"/>
        <v/>
      </c>
      <c r="AD87" s="39"/>
      <c r="AE87" s="72" t="str">
        <f t="shared" si="57"/>
        <v/>
      </c>
      <c r="AF87" s="72" t="str">
        <f t="shared" si="74"/>
        <v/>
      </c>
      <c r="AG87" s="39"/>
      <c r="AH87" s="72" t="str">
        <f t="shared" si="58"/>
        <v/>
      </c>
      <c r="AI87" s="72" t="str">
        <f t="shared" si="75"/>
        <v/>
      </c>
      <c r="AJ87" s="39"/>
      <c r="AK87" s="72" t="str">
        <f t="shared" si="59"/>
        <v/>
      </c>
      <c r="AL87" s="72" t="str">
        <f t="shared" si="76"/>
        <v/>
      </c>
      <c r="AM87" s="39"/>
      <c r="AN87" s="72" t="str">
        <f t="shared" si="60"/>
        <v/>
      </c>
      <c r="AO87" s="72" t="str">
        <f t="shared" si="77"/>
        <v/>
      </c>
      <c r="AP87" s="39"/>
      <c r="AQ87" s="72" t="str">
        <f t="shared" si="61"/>
        <v/>
      </c>
      <c r="AR87" s="72" t="str">
        <f t="shared" si="78"/>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62"/>
        <v/>
      </c>
      <c r="AW87" s="72" t="str">
        <f t="shared" si="79"/>
        <v/>
      </c>
      <c r="AX87" s="39"/>
      <c r="AY87" s="40" t="str">
        <f>IF(ISERROR(IF($K87&lt;=$F$15,VLOOKUP($I87,'表4）CO2価格'!$A$7:$E$67,VLOOKUP($F$48,'表4）CO2価格'!$H$10:$I$12,2,0),0)*$F$8/1000,"")),0,IF($K87&lt;=$F$15,VLOOKUP($I87,'表4）CO2価格'!$A$7:$E$67,VLOOKUP($F$48,'表4）CO2価格'!$H$10:$I$12,2,0),0)*$F$8/1000,""))</f>
        <v/>
      </c>
      <c r="AZ87" s="39"/>
      <c r="BA87" s="42" t="str">
        <f t="shared" si="63"/>
        <v/>
      </c>
      <c r="BB87" s="72" t="str">
        <f t="shared" si="80"/>
        <v/>
      </c>
      <c r="BC87" s="39"/>
      <c r="BD87" s="72" t="str">
        <f t="shared" si="64"/>
        <v/>
      </c>
      <c r="BE87" s="72" t="str">
        <f t="shared" si="81"/>
        <v/>
      </c>
      <c r="BF87" s="39"/>
      <c r="BG87" s="42" t="str">
        <f t="shared" si="65"/>
        <v/>
      </c>
      <c r="BH87" s="72" t="str">
        <f t="shared" si="82"/>
        <v/>
      </c>
      <c r="BI87" s="39"/>
      <c r="BJ87" s="40" t="str">
        <f t="shared" si="83"/>
        <v/>
      </c>
      <c r="BK87" s="157" t="str">
        <f t="shared" si="84"/>
        <v/>
      </c>
      <c r="BL87" s="157" t="str">
        <f t="shared" si="66"/>
        <v/>
      </c>
      <c r="BM87" s="72"/>
      <c r="BN87" s="72" t="str">
        <f t="shared" si="85"/>
        <v/>
      </c>
      <c r="BO87" s="72" t="str">
        <f t="shared" si="86"/>
        <v/>
      </c>
      <c r="BP87" s="39"/>
      <c r="BQ87" s="72" t="str">
        <f t="shared" si="67"/>
        <v/>
      </c>
      <c r="BR87" s="72" t="str">
        <f t="shared" si="87"/>
        <v/>
      </c>
    </row>
    <row r="88" spans="4:70" x14ac:dyDescent="0.15">
      <c r="E88" s="84" t="s">
        <v>120</v>
      </c>
      <c r="F88" s="488">
        <f>AL116/$BR$116</f>
        <v>0</v>
      </c>
      <c r="G88" s="84" t="s">
        <v>590</v>
      </c>
      <c r="H88" s="71"/>
      <c r="I88" s="322">
        <f t="shared" si="88"/>
        <v>2103</v>
      </c>
      <c r="J88" s="71"/>
      <c r="K88" s="71">
        <f t="shared" si="89"/>
        <v>74</v>
      </c>
      <c r="L88" s="71"/>
      <c r="M88" s="7">
        <f t="shared" si="52"/>
        <v>0.11221356804646829</v>
      </c>
      <c r="N88" s="71"/>
      <c r="O88" s="10" t="str">
        <f t="shared" si="68"/>
        <v/>
      </c>
      <c r="P88" s="29" t="str">
        <f t="shared" si="53"/>
        <v/>
      </c>
      <c r="Q88" s="71"/>
      <c r="R88" s="10" t="str">
        <f t="shared" si="69"/>
        <v/>
      </c>
      <c r="S88" s="71"/>
      <c r="T88" s="10" t="str">
        <f t="shared" si="70"/>
        <v/>
      </c>
      <c r="U88" s="71"/>
      <c r="V88" s="10" t="str">
        <f t="shared" si="54"/>
        <v/>
      </c>
      <c r="W88" s="10" t="str">
        <f t="shared" si="71"/>
        <v/>
      </c>
      <c r="X88" s="71"/>
      <c r="Y88" s="10" t="str">
        <f t="shared" si="55"/>
        <v/>
      </c>
      <c r="Z88" s="10" t="str">
        <f t="shared" si="72"/>
        <v/>
      </c>
      <c r="AA88" s="71"/>
      <c r="AB88" s="10" t="str">
        <f t="shared" si="56"/>
        <v/>
      </c>
      <c r="AC88" s="10" t="str">
        <f t="shared" si="73"/>
        <v/>
      </c>
      <c r="AD88" s="71"/>
      <c r="AE88" s="10" t="str">
        <f t="shared" si="57"/>
        <v/>
      </c>
      <c r="AF88" s="10" t="str">
        <f t="shared" si="74"/>
        <v/>
      </c>
      <c r="AG88" s="71"/>
      <c r="AH88" s="10" t="str">
        <f t="shared" si="58"/>
        <v/>
      </c>
      <c r="AI88" s="10" t="str">
        <f t="shared" si="75"/>
        <v/>
      </c>
      <c r="AJ88" s="71"/>
      <c r="AK88" s="10" t="str">
        <f t="shared" si="59"/>
        <v/>
      </c>
      <c r="AL88" s="10" t="str">
        <f t="shared" si="76"/>
        <v/>
      </c>
      <c r="AM88" s="71"/>
      <c r="AN88" s="10" t="str">
        <f t="shared" si="60"/>
        <v/>
      </c>
      <c r="AO88" s="10" t="str">
        <f t="shared" si="77"/>
        <v/>
      </c>
      <c r="AP88" s="71"/>
      <c r="AQ88" s="10" t="str">
        <f t="shared" si="61"/>
        <v/>
      </c>
      <c r="AR88" s="10" t="str">
        <f t="shared" si="78"/>
        <v/>
      </c>
      <c r="AS88" s="71"/>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U88" s="71"/>
      <c r="AV88" s="10" t="str">
        <f t="shared" si="62"/>
        <v/>
      </c>
      <c r="AW88" s="10" t="str">
        <f t="shared" si="79"/>
        <v/>
      </c>
      <c r="AX88" s="71"/>
      <c r="AY88" s="7" t="str">
        <f>IF(ISERROR(IF($K88&lt;=$F$15,VLOOKUP($I88,'表4）CO2価格'!$A$7:$E$67,VLOOKUP($F$48,'表4）CO2価格'!$H$10:$I$12,2,0),0)*$F$8/1000,"")),0,IF($K88&lt;=$F$15,VLOOKUP($I88,'表4）CO2価格'!$A$7:$E$67,VLOOKUP($F$48,'表4）CO2価格'!$H$10:$I$12,2,0),0)*$F$8/1000,""))</f>
        <v/>
      </c>
      <c r="AZ88" s="71"/>
      <c r="BA88" s="11" t="str">
        <f t="shared" si="63"/>
        <v/>
      </c>
      <c r="BB88" s="10" t="str">
        <f t="shared" si="80"/>
        <v/>
      </c>
      <c r="BC88" s="71"/>
      <c r="BD88" s="10" t="str">
        <f t="shared" si="64"/>
        <v/>
      </c>
      <c r="BE88" s="10" t="str">
        <f t="shared" si="81"/>
        <v/>
      </c>
      <c r="BF88" s="71"/>
      <c r="BG88" s="11" t="str">
        <f t="shared" si="65"/>
        <v/>
      </c>
      <c r="BH88" s="10" t="str">
        <f t="shared" si="82"/>
        <v/>
      </c>
      <c r="BJ88" s="7" t="str">
        <f t="shared" si="83"/>
        <v/>
      </c>
      <c r="BK88" s="158" t="str">
        <f t="shared" si="84"/>
        <v/>
      </c>
      <c r="BL88" s="158" t="str">
        <f t="shared" si="66"/>
        <v/>
      </c>
      <c r="BM88" s="10"/>
      <c r="BN88" s="10" t="str">
        <f t="shared" si="85"/>
        <v/>
      </c>
      <c r="BO88" s="10" t="str">
        <f t="shared" si="86"/>
        <v/>
      </c>
      <c r="BQ88" s="10" t="str">
        <f t="shared" si="67"/>
        <v/>
      </c>
      <c r="BR88" s="10" t="str">
        <f t="shared" si="87"/>
        <v/>
      </c>
    </row>
    <row r="89" spans="4:70" x14ac:dyDescent="0.15">
      <c r="E89" s="84" t="s">
        <v>122</v>
      </c>
      <c r="F89" s="488">
        <f>AO116/$BR$116</f>
        <v>0</v>
      </c>
      <c r="G89" s="84" t="s">
        <v>590</v>
      </c>
      <c r="H89" s="71"/>
      <c r="I89" s="38">
        <f t="shared" si="88"/>
        <v>2104</v>
      </c>
      <c r="J89" s="39"/>
      <c r="K89" s="39">
        <f t="shared" si="89"/>
        <v>75</v>
      </c>
      <c r="L89" s="39"/>
      <c r="M89" s="40">
        <f t="shared" si="52"/>
        <v>0.10894521169560026</v>
      </c>
      <c r="N89" s="39"/>
      <c r="O89" s="72" t="str">
        <f t="shared" si="68"/>
        <v/>
      </c>
      <c r="P89" s="41" t="str">
        <f t="shared" si="53"/>
        <v/>
      </c>
      <c r="Q89" s="39"/>
      <c r="R89" s="72" t="str">
        <f t="shared" si="69"/>
        <v/>
      </c>
      <c r="S89" s="39"/>
      <c r="T89" s="72" t="str">
        <f t="shared" si="70"/>
        <v/>
      </c>
      <c r="U89" s="39"/>
      <c r="V89" s="72" t="str">
        <f t="shared" si="54"/>
        <v/>
      </c>
      <c r="W89" s="72" t="str">
        <f t="shared" si="71"/>
        <v/>
      </c>
      <c r="X89" s="39"/>
      <c r="Y89" s="72" t="str">
        <f t="shared" si="55"/>
        <v/>
      </c>
      <c r="Z89" s="72" t="str">
        <f t="shared" si="72"/>
        <v/>
      </c>
      <c r="AA89" s="39"/>
      <c r="AB89" s="72" t="str">
        <f t="shared" si="56"/>
        <v/>
      </c>
      <c r="AC89" s="72" t="str">
        <f t="shared" si="73"/>
        <v/>
      </c>
      <c r="AD89" s="39"/>
      <c r="AE89" s="72" t="str">
        <f t="shared" si="57"/>
        <v/>
      </c>
      <c r="AF89" s="72" t="str">
        <f t="shared" si="74"/>
        <v/>
      </c>
      <c r="AG89" s="39"/>
      <c r="AH89" s="72" t="str">
        <f t="shared" si="58"/>
        <v/>
      </c>
      <c r="AI89" s="72" t="str">
        <f t="shared" si="75"/>
        <v/>
      </c>
      <c r="AJ89" s="39"/>
      <c r="AK89" s="72" t="str">
        <f t="shared" si="59"/>
        <v/>
      </c>
      <c r="AL89" s="72" t="str">
        <f t="shared" si="76"/>
        <v/>
      </c>
      <c r="AM89" s="39"/>
      <c r="AN89" s="72" t="str">
        <f t="shared" si="60"/>
        <v/>
      </c>
      <c r="AO89" s="72" t="str">
        <f t="shared" si="77"/>
        <v/>
      </c>
      <c r="AP89" s="39"/>
      <c r="AQ89" s="72" t="str">
        <f t="shared" si="61"/>
        <v/>
      </c>
      <c r="AR89" s="72" t="str">
        <f t="shared" si="78"/>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62"/>
        <v/>
      </c>
      <c r="AW89" s="72" t="str">
        <f t="shared" si="79"/>
        <v/>
      </c>
      <c r="AX89" s="39"/>
      <c r="AY89" s="40" t="str">
        <f>IF(ISERROR(IF($K89&lt;=$F$15,VLOOKUP($I89,'表4）CO2価格'!$A$7:$E$67,VLOOKUP($F$48,'表4）CO2価格'!$H$10:$I$12,2,0),0)*$F$8/1000,"")),0,IF($K89&lt;=$F$15,VLOOKUP($I89,'表4）CO2価格'!$A$7:$E$67,VLOOKUP($F$48,'表4）CO2価格'!$H$10:$I$12,2,0),0)*$F$8/1000,""))</f>
        <v/>
      </c>
      <c r="AZ89" s="39"/>
      <c r="BA89" s="42" t="str">
        <f t="shared" si="63"/>
        <v/>
      </c>
      <c r="BB89" s="72" t="str">
        <f t="shared" si="80"/>
        <v/>
      </c>
      <c r="BC89" s="39"/>
      <c r="BD89" s="72" t="str">
        <f t="shared" si="64"/>
        <v/>
      </c>
      <c r="BE89" s="72" t="str">
        <f t="shared" si="81"/>
        <v/>
      </c>
      <c r="BF89" s="39"/>
      <c r="BG89" s="42" t="str">
        <f t="shared" si="65"/>
        <v/>
      </c>
      <c r="BH89" s="72" t="str">
        <f t="shared" si="82"/>
        <v/>
      </c>
      <c r="BI89" s="39"/>
      <c r="BJ89" s="40" t="str">
        <f t="shared" si="83"/>
        <v/>
      </c>
      <c r="BK89" s="157" t="str">
        <f t="shared" si="84"/>
        <v/>
      </c>
      <c r="BL89" s="157" t="str">
        <f t="shared" si="66"/>
        <v/>
      </c>
      <c r="BM89" s="72"/>
      <c r="BN89" s="72" t="str">
        <f t="shared" si="85"/>
        <v/>
      </c>
      <c r="BO89" s="72" t="str">
        <f t="shared" si="86"/>
        <v/>
      </c>
      <c r="BP89" s="39"/>
      <c r="BQ89" s="72" t="str">
        <f t="shared" si="67"/>
        <v/>
      </c>
      <c r="BR89" s="72" t="str">
        <f t="shared" si="87"/>
        <v/>
      </c>
    </row>
    <row r="90" spans="4:70" x14ac:dyDescent="0.15">
      <c r="E90" s="84" t="s">
        <v>142</v>
      </c>
      <c r="F90" s="488">
        <f>AR116/$BR$116</f>
        <v>0</v>
      </c>
      <c r="G90" s="84" t="s">
        <v>590</v>
      </c>
      <c r="H90" s="71"/>
      <c r="I90" s="322">
        <f t="shared" si="88"/>
        <v>2105</v>
      </c>
      <c r="J90" s="71"/>
      <c r="K90" s="71">
        <f t="shared" si="89"/>
        <v>76</v>
      </c>
      <c r="L90" s="71"/>
      <c r="M90" s="7">
        <f t="shared" si="52"/>
        <v>0.10577205018990318</v>
      </c>
      <c r="N90" s="71"/>
      <c r="O90" s="10" t="str">
        <f t="shared" si="68"/>
        <v/>
      </c>
      <c r="P90" s="29" t="str">
        <f t="shared" si="53"/>
        <v/>
      </c>
      <c r="Q90" s="71"/>
      <c r="R90" s="10" t="str">
        <f t="shared" si="69"/>
        <v/>
      </c>
      <c r="S90" s="71"/>
      <c r="T90" s="10" t="str">
        <f t="shared" si="70"/>
        <v/>
      </c>
      <c r="U90" s="71"/>
      <c r="V90" s="10" t="str">
        <f t="shared" si="54"/>
        <v/>
      </c>
      <c r="W90" s="10" t="str">
        <f t="shared" si="71"/>
        <v/>
      </c>
      <c r="X90" s="71"/>
      <c r="Y90" s="10" t="str">
        <f t="shared" si="55"/>
        <v/>
      </c>
      <c r="Z90" s="10" t="str">
        <f t="shared" si="72"/>
        <v/>
      </c>
      <c r="AA90" s="71"/>
      <c r="AB90" s="10" t="str">
        <f t="shared" si="56"/>
        <v/>
      </c>
      <c r="AC90" s="10" t="str">
        <f t="shared" si="73"/>
        <v/>
      </c>
      <c r="AD90" s="71"/>
      <c r="AE90" s="10" t="str">
        <f t="shared" si="57"/>
        <v/>
      </c>
      <c r="AF90" s="10" t="str">
        <f t="shared" si="74"/>
        <v/>
      </c>
      <c r="AG90" s="71"/>
      <c r="AH90" s="10" t="str">
        <f t="shared" si="58"/>
        <v/>
      </c>
      <c r="AI90" s="10" t="str">
        <f t="shared" si="75"/>
        <v/>
      </c>
      <c r="AJ90" s="71"/>
      <c r="AK90" s="10" t="str">
        <f t="shared" si="59"/>
        <v/>
      </c>
      <c r="AL90" s="10" t="str">
        <f t="shared" si="76"/>
        <v/>
      </c>
      <c r="AM90" s="71"/>
      <c r="AN90" s="10" t="str">
        <f t="shared" si="60"/>
        <v/>
      </c>
      <c r="AO90" s="10" t="str">
        <f t="shared" si="77"/>
        <v/>
      </c>
      <c r="AP90" s="71"/>
      <c r="AQ90" s="10" t="str">
        <f t="shared" si="61"/>
        <v/>
      </c>
      <c r="AR90" s="10" t="str">
        <f t="shared" si="78"/>
        <v/>
      </c>
      <c r="AS90" s="71"/>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U90" s="71"/>
      <c r="AV90" s="10" t="str">
        <f t="shared" si="62"/>
        <v/>
      </c>
      <c r="AW90" s="10" t="str">
        <f t="shared" si="79"/>
        <v/>
      </c>
      <c r="AX90" s="71"/>
      <c r="AY90" s="7" t="str">
        <f>IF(ISERROR(IF($K90&lt;=$F$15,VLOOKUP($I90,'表4）CO2価格'!$A$7:$E$67,VLOOKUP($F$48,'表4）CO2価格'!$H$10:$I$12,2,0),0)*$F$8/1000,"")),0,IF($K90&lt;=$F$15,VLOOKUP($I90,'表4）CO2価格'!$A$7:$E$67,VLOOKUP($F$48,'表4）CO2価格'!$H$10:$I$12,2,0),0)*$F$8/1000,""))</f>
        <v/>
      </c>
      <c r="AZ90" s="71"/>
      <c r="BA90" s="11" t="str">
        <f t="shared" si="63"/>
        <v/>
      </c>
      <c r="BB90" s="10" t="str">
        <f t="shared" si="80"/>
        <v/>
      </c>
      <c r="BC90" s="71"/>
      <c r="BD90" s="10" t="str">
        <f t="shared" si="64"/>
        <v/>
      </c>
      <c r="BE90" s="10" t="str">
        <f t="shared" si="81"/>
        <v/>
      </c>
      <c r="BF90" s="71"/>
      <c r="BG90" s="11" t="str">
        <f t="shared" si="65"/>
        <v/>
      </c>
      <c r="BH90" s="10" t="str">
        <f t="shared" si="82"/>
        <v/>
      </c>
      <c r="BJ90" s="7" t="str">
        <f t="shared" si="83"/>
        <v/>
      </c>
      <c r="BK90" s="158" t="str">
        <f t="shared" si="84"/>
        <v/>
      </c>
      <c r="BL90" s="158" t="str">
        <f t="shared" si="66"/>
        <v/>
      </c>
      <c r="BM90" s="10"/>
      <c r="BN90" s="10" t="str">
        <f t="shared" si="85"/>
        <v/>
      </c>
      <c r="BO90" s="10" t="str">
        <f t="shared" si="86"/>
        <v/>
      </c>
      <c r="BQ90" s="10" t="str">
        <f t="shared" si="67"/>
        <v/>
      </c>
      <c r="BR90" s="10" t="str">
        <f t="shared" si="87"/>
        <v/>
      </c>
    </row>
    <row r="91" spans="4:70" x14ac:dyDescent="0.15">
      <c r="F91" s="487"/>
      <c r="H91" s="71"/>
      <c r="I91" s="38">
        <f t="shared" si="88"/>
        <v>2106</v>
      </c>
      <c r="J91" s="39"/>
      <c r="K91" s="39">
        <f t="shared" si="89"/>
        <v>77</v>
      </c>
      <c r="L91" s="39"/>
      <c r="M91" s="40">
        <f t="shared" si="52"/>
        <v>0.10269131086398368</v>
      </c>
      <c r="N91" s="39"/>
      <c r="O91" s="72" t="str">
        <f t="shared" si="68"/>
        <v/>
      </c>
      <c r="P91" s="41" t="str">
        <f t="shared" si="53"/>
        <v/>
      </c>
      <c r="Q91" s="39"/>
      <c r="R91" s="72" t="str">
        <f t="shared" si="69"/>
        <v/>
      </c>
      <c r="S91" s="39"/>
      <c r="T91" s="72" t="str">
        <f t="shared" si="70"/>
        <v/>
      </c>
      <c r="U91" s="39"/>
      <c r="V91" s="72" t="str">
        <f t="shared" si="54"/>
        <v/>
      </c>
      <c r="W91" s="72" t="str">
        <f t="shared" si="71"/>
        <v/>
      </c>
      <c r="X91" s="39"/>
      <c r="Y91" s="72" t="str">
        <f t="shared" si="55"/>
        <v/>
      </c>
      <c r="Z91" s="72" t="str">
        <f t="shared" si="72"/>
        <v/>
      </c>
      <c r="AA91" s="39"/>
      <c r="AB91" s="72" t="str">
        <f t="shared" si="56"/>
        <v/>
      </c>
      <c r="AC91" s="72" t="str">
        <f t="shared" si="73"/>
        <v/>
      </c>
      <c r="AD91" s="39"/>
      <c r="AE91" s="72" t="str">
        <f t="shared" si="57"/>
        <v/>
      </c>
      <c r="AF91" s="72" t="str">
        <f t="shared" si="74"/>
        <v/>
      </c>
      <c r="AG91" s="39"/>
      <c r="AH91" s="72" t="str">
        <f t="shared" si="58"/>
        <v/>
      </c>
      <c r="AI91" s="72" t="str">
        <f t="shared" si="75"/>
        <v/>
      </c>
      <c r="AJ91" s="39"/>
      <c r="AK91" s="72" t="str">
        <f t="shared" si="59"/>
        <v/>
      </c>
      <c r="AL91" s="72" t="str">
        <f t="shared" si="76"/>
        <v/>
      </c>
      <c r="AM91" s="39"/>
      <c r="AN91" s="72" t="str">
        <f t="shared" si="60"/>
        <v/>
      </c>
      <c r="AO91" s="72" t="str">
        <f t="shared" si="77"/>
        <v/>
      </c>
      <c r="AP91" s="39"/>
      <c r="AQ91" s="72" t="str">
        <f t="shared" si="61"/>
        <v/>
      </c>
      <c r="AR91" s="72" t="str">
        <f t="shared" si="78"/>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62"/>
        <v/>
      </c>
      <c r="AW91" s="72" t="str">
        <f t="shared" si="79"/>
        <v/>
      </c>
      <c r="AX91" s="39"/>
      <c r="AY91" s="40" t="str">
        <f>IF(ISERROR(IF($K91&lt;=$F$15,VLOOKUP($I91,'表4）CO2価格'!$A$7:$E$67,VLOOKUP($F$48,'表4）CO2価格'!$H$10:$I$12,2,0),0)*$F$8/1000,"")),0,IF($K91&lt;=$F$15,VLOOKUP($I91,'表4）CO2価格'!$A$7:$E$67,VLOOKUP($F$48,'表4）CO2価格'!$H$10:$I$12,2,0),0)*$F$8/1000,""))</f>
        <v/>
      </c>
      <c r="AZ91" s="39"/>
      <c r="BA91" s="42" t="str">
        <f t="shared" si="63"/>
        <v/>
      </c>
      <c r="BB91" s="72" t="str">
        <f t="shared" si="80"/>
        <v/>
      </c>
      <c r="BC91" s="39"/>
      <c r="BD91" s="72" t="str">
        <f t="shared" si="64"/>
        <v/>
      </c>
      <c r="BE91" s="72" t="str">
        <f t="shared" si="81"/>
        <v/>
      </c>
      <c r="BF91" s="39"/>
      <c r="BG91" s="42" t="str">
        <f t="shared" si="65"/>
        <v/>
      </c>
      <c r="BH91" s="72" t="str">
        <f t="shared" si="82"/>
        <v/>
      </c>
      <c r="BI91" s="39"/>
      <c r="BJ91" s="40" t="str">
        <f t="shared" si="83"/>
        <v/>
      </c>
      <c r="BK91" s="157" t="str">
        <f t="shared" si="84"/>
        <v/>
      </c>
      <c r="BL91" s="157" t="str">
        <f t="shared" si="66"/>
        <v/>
      </c>
      <c r="BM91" s="72"/>
      <c r="BN91" s="72" t="str">
        <f t="shared" si="85"/>
        <v/>
      </c>
      <c r="BO91" s="72" t="str">
        <f t="shared" si="86"/>
        <v/>
      </c>
      <c r="BP91" s="39"/>
      <c r="BQ91" s="72" t="str">
        <f t="shared" si="67"/>
        <v/>
      </c>
      <c r="BR91" s="72" t="str">
        <f t="shared" si="87"/>
        <v/>
      </c>
    </row>
    <row r="92" spans="4:70" ht="15" x14ac:dyDescent="0.15">
      <c r="D92" s="103" t="s">
        <v>595</v>
      </c>
      <c r="F92" s="484">
        <f>SUBTOTAL(9,F96:F97)</f>
        <v>0</v>
      </c>
      <c r="H92" s="71"/>
      <c r="I92" s="322">
        <f t="shared" si="88"/>
        <v>2107</v>
      </c>
      <c r="J92" s="71"/>
      <c r="K92" s="71">
        <f t="shared" si="89"/>
        <v>78</v>
      </c>
      <c r="L92" s="71"/>
      <c r="M92" s="7">
        <f t="shared" si="52"/>
        <v>9.9700301809692873E-2</v>
      </c>
      <c r="N92" s="71"/>
      <c r="O92" s="10" t="str">
        <f t="shared" si="68"/>
        <v/>
      </c>
      <c r="P92" s="29" t="str">
        <f t="shared" si="53"/>
        <v/>
      </c>
      <c r="Q92" s="71"/>
      <c r="R92" s="10" t="str">
        <f t="shared" si="69"/>
        <v/>
      </c>
      <c r="S92" s="71"/>
      <c r="T92" s="10" t="str">
        <f t="shared" si="70"/>
        <v/>
      </c>
      <c r="U92" s="71"/>
      <c r="V92" s="10" t="str">
        <f t="shared" si="54"/>
        <v/>
      </c>
      <c r="W92" s="10" t="str">
        <f t="shared" si="71"/>
        <v/>
      </c>
      <c r="X92" s="71"/>
      <c r="Y92" s="10" t="str">
        <f t="shared" si="55"/>
        <v/>
      </c>
      <c r="Z92" s="10" t="str">
        <f t="shared" si="72"/>
        <v/>
      </c>
      <c r="AA92" s="71"/>
      <c r="AB92" s="10" t="str">
        <f t="shared" si="56"/>
        <v/>
      </c>
      <c r="AC92" s="10" t="str">
        <f t="shared" si="73"/>
        <v/>
      </c>
      <c r="AD92" s="71"/>
      <c r="AE92" s="10" t="str">
        <f t="shared" si="57"/>
        <v/>
      </c>
      <c r="AF92" s="10" t="str">
        <f t="shared" si="74"/>
        <v/>
      </c>
      <c r="AG92" s="71"/>
      <c r="AH92" s="10" t="str">
        <f t="shared" si="58"/>
        <v/>
      </c>
      <c r="AI92" s="10" t="str">
        <f t="shared" si="75"/>
        <v/>
      </c>
      <c r="AJ92" s="71"/>
      <c r="AK92" s="10" t="str">
        <f t="shared" si="59"/>
        <v/>
      </c>
      <c r="AL92" s="10" t="str">
        <f t="shared" si="76"/>
        <v/>
      </c>
      <c r="AM92" s="71"/>
      <c r="AN92" s="10" t="str">
        <f t="shared" si="60"/>
        <v/>
      </c>
      <c r="AO92" s="10" t="str">
        <f t="shared" si="77"/>
        <v/>
      </c>
      <c r="AP92" s="71"/>
      <c r="AQ92" s="10" t="str">
        <f t="shared" si="61"/>
        <v/>
      </c>
      <c r="AR92" s="10" t="str">
        <f t="shared" si="78"/>
        <v/>
      </c>
      <c r="AS92" s="71"/>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U92" s="71"/>
      <c r="AV92" s="10" t="str">
        <f t="shared" si="62"/>
        <v/>
      </c>
      <c r="AW92" s="10" t="str">
        <f t="shared" si="79"/>
        <v/>
      </c>
      <c r="AX92" s="71"/>
      <c r="AY92" s="7" t="str">
        <f>IF(ISERROR(IF($K92&lt;=$F$15,VLOOKUP($I92,'表4）CO2価格'!$A$7:$E$67,VLOOKUP($F$48,'表4）CO2価格'!$H$10:$I$12,2,0),0)*$F$8/1000,"")),0,IF($K92&lt;=$F$15,VLOOKUP($I92,'表4）CO2価格'!$A$7:$E$67,VLOOKUP($F$48,'表4）CO2価格'!$H$10:$I$12,2,0),0)*$F$8/1000,""))</f>
        <v/>
      </c>
      <c r="AZ92" s="71"/>
      <c r="BA92" s="11" t="str">
        <f t="shared" si="63"/>
        <v/>
      </c>
      <c r="BB92" s="10" t="str">
        <f t="shared" si="80"/>
        <v/>
      </c>
      <c r="BC92" s="71"/>
      <c r="BD92" s="10" t="str">
        <f t="shared" si="64"/>
        <v/>
      </c>
      <c r="BE92" s="10" t="str">
        <f t="shared" si="81"/>
        <v/>
      </c>
      <c r="BF92" s="71"/>
      <c r="BG92" s="11" t="str">
        <f t="shared" si="65"/>
        <v/>
      </c>
      <c r="BH92" s="10" t="str">
        <f t="shared" si="82"/>
        <v/>
      </c>
      <c r="BJ92" s="7" t="str">
        <f t="shared" si="83"/>
        <v/>
      </c>
      <c r="BK92" s="158" t="str">
        <f t="shared" si="84"/>
        <v/>
      </c>
      <c r="BL92" s="158" t="str">
        <f t="shared" si="66"/>
        <v/>
      </c>
      <c r="BM92" s="10"/>
      <c r="BN92" s="10" t="str">
        <f t="shared" si="85"/>
        <v/>
      </c>
      <c r="BO92" s="10" t="str">
        <f t="shared" si="86"/>
        <v/>
      </c>
      <c r="BQ92" s="10" t="str">
        <f t="shared" si="67"/>
        <v/>
      </c>
      <c r="BR92" s="10" t="str">
        <f t="shared" si="87"/>
        <v/>
      </c>
    </row>
    <row r="93" spans="4:70" ht="15" x14ac:dyDescent="0.15">
      <c r="D93" s="103"/>
      <c r="F93" s="487"/>
      <c r="H93" s="71"/>
      <c r="I93" s="38">
        <f t="shared" si="88"/>
        <v>2108</v>
      </c>
      <c r="J93" s="39"/>
      <c r="K93" s="39">
        <f t="shared" si="89"/>
        <v>79</v>
      </c>
      <c r="L93" s="39"/>
      <c r="M93" s="40">
        <f t="shared" si="52"/>
        <v>9.679640952397367E-2</v>
      </c>
      <c r="N93" s="39"/>
      <c r="O93" s="72" t="str">
        <f t="shared" si="68"/>
        <v/>
      </c>
      <c r="P93" s="41" t="str">
        <f t="shared" si="53"/>
        <v/>
      </c>
      <c r="Q93" s="39"/>
      <c r="R93" s="72" t="str">
        <f t="shared" si="69"/>
        <v/>
      </c>
      <c r="S93" s="39"/>
      <c r="T93" s="72" t="str">
        <f t="shared" si="70"/>
        <v/>
      </c>
      <c r="U93" s="39"/>
      <c r="V93" s="72" t="str">
        <f t="shared" si="54"/>
        <v/>
      </c>
      <c r="W93" s="72" t="str">
        <f t="shared" si="71"/>
        <v/>
      </c>
      <c r="X93" s="39"/>
      <c r="Y93" s="72" t="str">
        <f t="shared" si="55"/>
        <v/>
      </c>
      <c r="Z93" s="72" t="str">
        <f t="shared" si="72"/>
        <v/>
      </c>
      <c r="AA93" s="39"/>
      <c r="AB93" s="72" t="str">
        <f t="shared" si="56"/>
        <v/>
      </c>
      <c r="AC93" s="72" t="str">
        <f t="shared" si="73"/>
        <v/>
      </c>
      <c r="AD93" s="39"/>
      <c r="AE93" s="72" t="str">
        <f t="shared" si="57"/>
        <v/>
      </c>
      <c r="AF93" s="72" t="str">
        <f t="shared" si="74"/>
        <v/>
      </c>
      <c r="AG93" s="39"/>
      <c r="AH93" s="72" t="str">
        <f t="shared" si="58"/>
        <v/>
      </c>
      <c r="AI93" s="72" t="str">
        <f t="shared" si="75"/>
        <v/>
      </c>
      <c r="AJ93" s="39"/>
      <c r="AK93" s="72" t="str">
        <f t="shared" si="59"/>
        <v/>
      </c>
      <c r="AL93" s="72" t="str">
        <f t="shared" si="76"/>
        <v/>
      </c>
      <c r="AM93" s="39"/>
      <c r="AN93" s="72" t="str">
        <f t="shared" si="60"/>
        <v/>
      </c>
      <c r="AO93" s="72" t="str">
        <f t="shared" si="77"/>
        <v/>
      </c>
      <c r="AP93" s="39"/>
      <c r="AQ93" s="72" t="str">
        <f t="shared" si="61"/>
        <v/>
      </c>
      <c r="AR93" s="72" t="str">
        <f t="shared" si="78"/>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62"/>
        <v/>
      </c>
      <c r="AW93" s="72" t="str">
        <f t="shared" si="79"/>
        <v/>
      </c>
      <c r="AX93" s="39"/>
      <c r="AY93" s="40" t="str">
        <f>IF(ISERROR(IF($K93&lt;=$F$15,VLOOKUP($I93,'表4）CO2価格'!$A$7:$E$67,VLOOKUP($F$48,'表4）CO2価格'!$H$10:$I$12,2,0),0)*$F$8/1000,"")),0,IF($K93&lt;=$F$15,VLOOKUP($I93,'表4）CO2価格'!$A$7:$E$67,VLOOKUP($F$48,'表4）CO2価格'!$H$10:$I$12,2,0),0)*$F$8/1000,""))</f>
        <v/>
      </c>
      <c r="AZ93" s="39"/>
      <c r="BA93" s="42" t="str">
        <f t="shared" si="63"/>
        <v/>
      </c>
      <c r="BB93" s="72" t="str">
        <f t="shared" si="80"/>
        <v/>
      </c>
      <c r="BC93" s="39"/>
      <c r="BD93" s="72" t="str">
        <f t="shared" si="64"/>
        <v/>
      </c>
      <c r="BE93" s="72" t="str">
        <f t="shared" si="81"/>
        <v/>
      </c>
      <c r="BF93" s="39"/>
      <c r="BG93" s="42" t="str">
        <f t="shared" si="65"/>
        <v/>
      </c>
      <c r="BH93" s="72" t="str">
        <f t="shared" si="82"/>
        <v/>
      </c>
      <c r="BI93" s="39"/>
      <c r="BJ93" s="40" t="str">
        <f t="shared" si="83"/>
        <v/>
      </c>
      <c r="BK93" s="157" t="str">
        <f t="shared" si="84"/>
        <v/>
      </c>
      <c r="BL93" s="157" t="str">
        <f t="shared" si="66"/>
        <v/>
      </c>
      <c r="BM93" s="72"/>
      <c r="BN93" s="72" t="str">
        <f t="shared" si="85"/>
        <v/>
      </c>
      <c r="BO93" s="72" t="str">
        <f t="shared" si="86"/>
        <v/>
      </c>
      <c r="BP93" s="39"/>
      <c r="BQ93" s="72" t="str">
        <f t="shared" si="67"/>
        <v/>
      </c>
      <c r="BR93" s="72" t="str">
        <f t="shared" si="87"/>
        <v/>
      </c>
    </row>
    <row r="94" spans="4:70" x14ac:dyDescent="0.15">
      <c r="D94" s="100" t="s">
        <v>596</v>
      </c>
      <c r="E94" s="100"/>
      <c r="F94" s="486"/>
      <c r="G94" s="100"/>
      <c r="H94" s="71"/>
      <c r="I94" s="322">
        <f t="shared" si="88"/>
        <v>2109</v>
      </c>
      <c r="J94" s="71"/>
      <c r="K94" s="71">
        <f t="shared" si="89"/>
        <v>80</v>
      </c>
      <c r="L94" s="71"/>
      <c r="M94" s="7">
        <f t="shared" si="52"/>
        <v>9.3977096625217166E-2</v>
      </c>
      <c r="N94" s="71"/>
      <c r="O94" s="10" t="str">
        <f t="shared" si="68"/>
        <v/>
      </c>
      <c r="P94" s="29" t="str">
        <f t="shared" si="53"/>
        <v/>
      </c>
      <c r="Q94" s="71"/>
      <c r="R94" s="10" t="str">
        <f t="shared" si="69"/>
        <v/>
      </c>
      <c r="S94" s="71"/>
      <c r="T94" s="10" t="str">
        <f t="shared" si="70"/>
        <v/>
      </c>
      <c r="U94" s="71"/>
      <c r="V94" s="10" t="str">
        <f t="shared" si="54"/>
        <v/>
      </c>
      <c r="W94" s="10" t="str">
        <f t="shared" si="71"/>
        <v/>
      </c>
      <c r="X94" s="71"/>
      <c r="Y94" s="10" t="str">
        <f t="shared" si="55"/>
        <v/>
      </c>
      <c r="Z94" s="10" t="str">
        <f t="shared" si="72"/>
        <v/>
      </c>
      <c r="AA94" s="71"/>
      <c r="AB94" s="10" t="str">
        <f t="shared" si="56"/>
        <v/>
      </c>
      <c r="AC94" s="10" t="str">
        <f t="shared" si="73"/>
        <v/>
      </c>
      <c r="AD94" s="71"/>
      <c r="AE94" s="10" t="str">
        <f t="shared" si="57"/>
        <v/>
      </c>
      <c r="AF94" s="10" t="str">
        <f t="shared" si="74"/>
        <v/>
      </c>
      <c r="AG94" s="71"/>
      <c r="AH94" s="10" t="str">
        <f t="shared" si="58"/>
        <v/>
      </c>
      <c r="AI94" s="10" t="str">
        <f t="shared" si="75"/>
        <v/>
      </c>
      <c r="AJ94" s="71"/>
      <c r="AK94" s="10" t="str">
        <f t="shared" si="59"/>
        <v/>
      </c>
      <c r="AL94" s="10" t="str">
        <f t="shared" si="76"/>
        <v/>
      </c>
      <c r="AM94" s="71"/>
      <c r="AN94" s="10" t="str">
        <f t="shared" si="60"/>
        <v/>
      </c>
      <c r="AO94" s="10" t="str">
        <f t="shared" si="77"/>
        <v/>
      </c>
      <c r="AP94" s="71"/>
      <c r="AQ94" s="10" t="str">
        <f t="shared" si="61"/>
        <v/>
      </c>
      <c r="AR94" s="10" t="str">
        <f t="shared" si="78"/>
        <v/>
      </c>
      <c r="AS94" s="71"/>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U94" s="71"/>
      <c r="AV94" s="10" t="str">
        <f t="shared" si="62"/>
        <v/>
      </c>
      <c r="AW94" s="10" t="str">
        <f t="shared" si="79"/>
        <v/>
      </c>
      <c r="AX94" s="71"/>
      <c r="AY94" s="7" t="str">
        <f>IF(ISERROR(IF($K94&lt;=$F$15,VLOOKUP($I94,'表4）CO2価格'!$A$7:$E$67,VLOOKUP($F$48,'表4）CO2価格'!$H$10:$I$12,2,0),0)*$F$8/1000,"")),0,IF($K94&lt;=$F$15,VLOOKUP($I94,'表4）CO2価格'!$A$7:$E$67,VLOOKUP($F$48,'表4）CO2価格'!$H$10:$I$12,2,0),0)*$F$8/1000,""))</f>
        <v/>
      </c>
      <c r="AZ94" s="71"/>
      <c r="BA94" s="11" t="str">
        <f t="shared" si="63"/>
        <v/>
      </c>
      <c r="BB94" s="10" t="str">
        <f t="shared" si="80"/>
        <v/>
      </c>
      <c r="BC94" s="71"/>
      <c r="BD94" s="10" t="str">
        <f t="shared" si="64"/>
        <v/>
      </c>
      <c r="BE94" s="10" t="str">
        <f t="shared" si="81"/>
        <v/>
      </c>
      <c r="BF94" s="71"/>
      <c r="BG94" s="11" t="str">
        <f t="shared" si="65"/>
        <v/>
      </c>
      <c r="BH94" s="10" t="str">
        <f t="shared" si="82"/>
        <v/>
      </c>
      <c r="BJ94" s="7" t="str">
        <f t="shared" si="83"/>
        <v/>
      </c>
      <c r="BK94" s="158" t="str">
        <f t="shared" si="84"/>
        <v/>
      </c>
      <c r="BL94" s="158" t="str">
        <f t="shared" si="66"/>
        <v/>
      </c>
      <c r="BM94" s="10"/>
      <c r="BN94" s="10" t="str">
        <f t="shared" si="85"/>
        <v/>
      </c>
      <c r="BO94" s="10" t="str">
        <f t="shared" si="86"/>
        <v/>
      </c>
      <c r="BQ94" s="10" t="str">
        <f t="shared" si="67"/>
        <v/>
      </c>
      <c r="BR94" s="10" t="str">
        <f t="shared" si="87"/>
        <v/>
      </c>
    </row>
    <row r="95" spans="4:70" ht="15" x14ac:dyDescent="0.15">
      <c r="D95" s="103"/>
      <c r="F95" s="487"/>
      <c r="H95" s="71"/>
      <c r="I95" s="38">
        <f t="shared" si="88"/>
        <v>2110</v>
      </c>
      <c r="J95" s="39"/>
      <c r="K95" s="39">
        <f t="shared" si="89"/>
        <v>81</v>
      </c>
      <c r="L95" s="39"/>
      <c r="M95" s="40">
        <f t="shared" si="52"/>
        <v>9.1239899636133173E-2</v>
      </c>
      <c r="N95" s="39"/>
      <c r="O95" s="72" t="str">
        <f t="shared" si="68"/>
        <v/>
      </c>
      <c r="P95" s="41" t="str">
        <f t="shared" si="53"/>
        <v/>
      </c>
      <c r="Q95" s="39"/>
      <c r="R95" s="72" t="str">
        <f t="shared" si="69"/>
        <v/>
      </c>
      <c r="S95" s="39"/>
      <c r="T95" s="72" t="str">
        <f t="shared" si="70"/>
        <v/>
      </c>
      <c r="U95" s="39"/>
      <c r="V95" s="72" t="str">
        <f t="shared" si="54"/>
        <v/>
      </c>
      <c r="W95" s="72" t="str">
        <f t="shared" si="71"/>
        <v/>
      </c>
      <c r="X95" s="39"/>
      <c r="Y95" s="72" t="str">
        <f t="shared" si="55"/>
        <v/>
      </c>
      <c r="Z95" s="72" t="str">
        <f t="shared" si="72"/>
        <v/>
      </c>
      <c r="AA95" s="39"/>
      <c r="AB95" s="72" t="str">
        <f t="shared" si="56"/>
        <v/>
      </c>
      <c r="AC95" s="72" t="str">
        <f t="shared" si="73"/>
        <v/>
      </c>
      <c r="AD95" s="39"/>
      <c r="AE95" s="72" t="str">
        <f t="shared" si="57"/>
        <v/>
      </c>
      <c r="AF95" s="72" t="str">
        <f t="shared" si="74"/>
        <v/>
      </c>
      <c r="AG95" s="39"/>
      <c r="AH95" s="72" t="str">
        <f t="shared" si="58"/>
        <v/>
      </c>
      <c r="AI95" s="72" t="str">
        <f t="shared" si="75"/>
        <v/>
      </c>
      <c r="AJ95" s="39"/>
      <c r="AK95" s="72" t="str">
        <f t="shared" si="59"/>
        <v/>
      </c>
      <c r="AL95" s="72" t="str">
        <f t="shared" si="76"/>
        <v/>
      </c>
      <c r="AM95" s="39"/>
      <c r="AN95" s="72" t="str">
        <f t="shared" si="60"/>
        <v/>
      </c>
      <c r="AO95" s="72" t="str">
        <f t="shared" si="77"/>
        <v/>
      </c>
      <c r="AP95" s="39"/>
      <c r="AQ95" s="72" t="str">
        <f t="shared" si="61"/>
        <v/>
      </c>
      <c r="AR95" s="72" t="str">
        <f t="shared" si="78"/>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62"/>
        <v/>
      </c>
      <c r="AW95" s="72" t="str">
        <f t="shared" si="79"/>
        <v/>
      </c>
      <c r="AX95" s="39"/>
      <c r="AY95" s="40" t="str">
        <f>IF(ISERROR(IF($K95&lt;=$F$15,VLOOKUP($I95,'表4）CO2価格'!$A$7:$E$67,VLOOKUP($F$48,'表4）CO2価格'!$H$10:$I$12,2,0),0)*$F$8/1000,"")),0,IF($K95&lt;=$F$15,VLOOKUP($I95,'表4）CO2価格'!$A$7:$E$67,VLOOKUP($F$48,'表4）CO2価格'!$H$10:$I$12,2,0),0)*$F$8/1000,""))</f>
        <v/>
      </c>
      <c r="AZ95" s="39"/>
      <c r="BA95" s="42" t="str">
        <f t="shared" si="63"/>
        <v/>
      </c>
      <c r="BB95" s="72" t="str">
        <f t="shared" si="80"/>
        <v/>
      </c>
      <c r="BC95" s="39"/>
      <c r="BD95" s="72" t="str">
        <f t="shared" si="64"/>
        <v/>
      </c>
      <c r="BE95" s="72" t="str">
        <f t="shared" si="81"/>
        <v/>
      </c>
      <c r="BF95" s="39"/>
      <c r="BG95" s="42" t="str">
        <f t="shared" si="65"/>
        <v/>
      </c>
      <c r="BH95" s="72" t="str">
        <f t="shared" si="82"/>
        <v/>
      </c>
      <c r="BI95" s="39"/>
      <c r="BJ95" s="40" t="str">
        <f t="shared" si="83"/>
        <v/>
      </c>
      <c r="BK95" s="157" t="str">
        <f t="shared" si="84"/>
        <v/>
      </c>
      <c r="BL95" s="157" t="str">
        <f t="shared" si="66"/>
        <v/>
      </c>
      <c r="BM95" s="72"/>
      <c r="BN95" s="72" t="str">
        <f t="shared" si="85"/>
        <v/>
      </c>
      <c r="BO95" s="72" t="str">
        <f t="shared" si="86"/>
        <v/>
      </c>
      <c r="BP95" s="39"/>
      <c r="BQ95" s="72" t="str">
        <f t="shared" si="67"/>
        <v/>
      </c>
      <c r="BR95" s="72" t="str">
        <f t="shared" si="87"/>
        <v/>
      </c>
    </row>
    <row r="96" spans="4:70" ht="15" x14ac:dyDescent="0.15">
      <c r="D96" s="103"/>
      <c r="E96" s="84" t="s">
        <v>597</v>
      </c>
      <c r="F96" s="488">
        <f>IF(F3&lt;&gt;"原子力",AW116/$BR$116,0)</f>
        <v>0</v>
      </c>
      <c r="G96" s="84" t="s">
        <v>590</v>
      </c>
      <c r="H96" s="71"/>
      <c r="I96" s="322">
        <f t="shared" si="88"/>
        <v>2111</v>
      </c>
      <c r="J96" s="71"/>
      <c r="K96" s="71">
        <f t="shared" si="89"/>
        <v>82</v>
      </c>
      <c r="L96" s="71"/>
      <c r="M96" s="7">
        <f t="shared" si="52"/>
        <v>8.8582426831197242E-2</v>
      </c>
      <c r="N96" s="71"/>
      <c r="O96" s="10" t="str">
        <f t="shared" si="68"/>
        <v/>
      </c>
      <c r="P96" s="29" t="str">
        <f t="shared" si="53"/>
        <v/>
      </c>
      <c r="Q96" s="71"/>
      <c r="R96" s="10" t="str">
        <f t="shared" si="69"/>
        <v/>
      </c>
      <c r="S96" s="71"/>
      <c r="T96" s="10" t="str">
        <f t="shared" si="70"/>
        <v/>
      </c>
      <c r="U96" s="71"/>
      <c r="V96" s="10" t="str">
        <f t="shared" si="54"/>
        <v/>
      </c>
      <c r="W96" s="10" t="str">
        <f t="shared" si="71"/>
        <v/>
      </c>
      <c r="X96" s="71"/>
      <c r="Y96" s="10" t="str">
        <f t="shared" si="55"/>
        <v/>
      </c>
      <c r="Z96" s="10" t="str">
        <f t="shared" si="72"/>
        <v/>
      </c>
      <c r="AA96" s="71"/>
      <c r="AB96" s="10" t="str">
        <f t="shared" si="56"/>
        <v/>
      </c>
      <c r="AC96" s="10" t="str">
        <f t="shared" si="73"/>
        <v/>
      </c>
      <c r="AD96" s="71"/>
      <c r="AE96" s="10" t="str">
        <f t="shared" si="57"/>
        <v/>
      </c>
      <c r="AF96" s="10" t="str">
        <f t="shared" si="74"/>
        <v/>
      </c>
      <c r="AG96" s="71"/>
      <c r="AH96" s="10" t="str">
        <f t="shared" si="58"/>
        <v/>
      </c>
      <c r="AI96" s="10" t="str">
        <f t="shared" si="75"/>
        <v/>
      </c>
      <c r="AJ96" s="71"/>
      <c r="AK96" s="10" t="str">
        <f t="shared" si="59"/>
        <v/>
      </c>
      <c r="AL96" s="10" t="str">
        <f t="shared" si="76"/>
        <v/>
      </c>
      <c r="AM96" s="71"/>
      <c r="AN96" s="10" t="str">
        <f t="shared" si="60"/>
        <v/>
      </c>
      <c r="AO96" s="10" t="str">
        <f t="shared" si="77"/>
        <v/>
      </c>
      <c r="AP96" s="71"/>
      <c r="AQ96" s="10" t="str">
        <f t="shared" si="61"/>
        <v/>
      </c>
      <c r="AR96" s="10" t="str">
        <f t="shared" si="78"/>
        <v/>
      </c>
      <c r="AS96" s="71"/>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U96" s="71"/>
      <c r="AV96" s="10" t="str">
        <f t="shared" si="62"/>
        <v/>
      </c>
      <c r="AW96" s="10" t="str">
        <f t="shared" si="79"/>
        <v/>
      </c>
      <c r="AX96" s="71"/>
      <c r="AY96" s="7" t="str">
        <f>IF(ISERROR(IF($K96&lt;=$F$15,VLOOKUP($I96,'表4）CO2価格'!$A$7:$E$67,VLOOKUP($F$48,'表4）CO2価格'!$H$10:$I$12,2,0),0)*$F$8/1000,"")),0,IF($K96&lt;=$F$15,VLOOKUP($I96,'表4）CO2価格'!$A$7:$E$67,VLOOKUP($F$48,'表4）CO2価格'!$H$10:$I$12,2,0),0)*$F$8/1000,""))</f>
        <v/>
      </c>
      <c r="AZ96" s="71"/>
      <c r="BA96" s="11" t="str">
        <f t="shared" si="63"/>
        <v/>
      </c>
      <c r="BB96" s="10" t="str">
        <f t="shared" si="80"/>
        <v/>
      </c>
      <c r="BC96" s="71"/>
      <c r="BD96" s="10" t="str">
        <f t="shared" si="64"/>
        <v/>
      </c>
      <c r="BE96" s="10" t="str">
        <f t="shared" si="81"/>
        <v/>
      </c>
      <c r="BF96" s="71"/>
      <c r="BG96" s="11" t="str">
        <f t="shared" si="65"/>
        <v/>
      </c>
      <c r="BH96" s="10" t="str">
        <f t="shared" si="82"/>
        <v/>
      </c>
      <c r="BJ96" s="7" t="str">
        <f t="shared" si="83"/>
        <v/>
      </c>
      <c r="BK96" s="158" t="str">
        <f t="shared" si="84"/>
        <v/>
      </c>
      <c r="BL96" s="158" t="str">
        <f t="shared" si="66"/>
        <v/>
      </c>
      <c r="BM96" s="10"/>
      <c r="BN96" s="10" t="str">
        <f t="shared" si="85"/>
        <v/>
      </c>
      <c r="BO96" s="10" t="str">
        <f t="shared" si="86"/>
        <v/>
      </c>
      <c r="BQ96" s="10" t="str">
        <f t="shared" si="67"/>
        <v/>
      </c>
      <c r="BR96" s="10" t="str">
        <f t="shared" si="87"/>
        <v/>
      </c>
    </row>
    <row r="97" spans="4:70" ht="15" x14ac:dyDescent="0.15">
      <c r="D97" s="103"/>
      <c r="E97" s="84" t="s">
        <v>598</v>
      </c>
      <c r="F97" s="488">
        <f>IF(F3="原子力",#REF!,0)</f>
        <v>0</v>
      </c>
      <c r="G97" s="84" t="s">
        <v>590</v>
      </c>
      <c r="H97" s="71"/>
      <c r="I97" s="38">
        <f t="shared" si="88"/>
        <v>2112</v>
      </c>
      <c r="J97" s="39"/>
      <c r="K97" s="39">
        <f t="shared" si="89"/>
        <v>83</v>
      </c>
      <c r="L97" s="39"/>
      <c r="M97" s="40">
        <f t="shared" si="52"/>
        <v>8.6002356146793454E-2</v>
      </c>
      <c r="N97" s="39"/>
      <c r="O97" s="72" t="str">
        <f t="shared" si="68"/>
        <v/>
      </c>
      <c r="P97" s="41" t="str">
        <f t="shared" si="53"/>
        <v/>
      </c>
      <c r="Q97" s="39"/>
      <c r="R97" s="72" t="str">
        <f t="shared" si="69"/>
        <v/>
      </c>
      <c r="S97" s="39"/>
      <c r="T97" s="72" t="str">
        <f t="shared" si="70"/>
        <v/>
      </c>
      <c r="U97" s="39"/>
      <c r="V97" s="72" t="str">
        <f t="shared" si="54"/>
        <v/>
      </c>
      <c r="W97" s="72" t="str">
        <f t="shared" si="71"/>
        <v/>
      </c>
      <c r="X97" s="39"/>
      <c r="Y97" s="72" t="str">
        <f t="shared" si="55"/>
        <v/>
      </c>
      <c r="Z97" s="72" t="str">
        <f t="shared" si="72"/>
        <v/>
      </c>
      <c r="AA97" s="39"/>
      <c r="AB97" s="72" t="str">
        <f t="shared" si="56"/>
        <v/>
      </c>
      <c r="AC97" s="72" t="str">
        <f t="shared" si="73"/>
        <v/>
      </c>
      <c r="AD97" s="39"/>
      <c r="AE97" s="72" t="str">
        <f t="shared" si="57"/>
        <v/>
      </c>
      <c r="AF97" s="72" t="str">
        <f t="shared" si="74"/>
        <v/>
      </c>
      <c r="AG97" s="39"/>
      <c r="AH97" s="72" t="str">
        <f t="shared" si="58"/>
        <v/>
      </c>
      <c r="AI97" s="72" t="str">
        <f t="shared" si="75"/>
        <v/>
      </c>
      <c r="AJ97" s="39"/>
      <c r="AK97" s="72" t="str">
        <f t="shared" si="59"/>
        <v/>
      </c>
      <c r="AL97" s="72" t="str">
        <f t="shared" si="76"/>
        <v/>
      </c>
      <c r="AM97" s="39"/>
      <c r="AN97" s="72" t="str">
        <f t="shared" si="60"/>
        <v/>
      </c>
      <c r="AO97" s="72" t="str">
        <f t="shared" si="77"/>
        <v/>
      </c>
      <c r="AP97" s="39"/>
      <c r="AQ97" s="72" t="str">
        <f t="shared" si="61"/>
        <v/>
      </c>
      <c r="AR97" s="72" t="str">
        <f t="shared" si="78"/>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62"/>
        <v/>
      </c>
      <c r="AW97" s="72" t="str">
        <f t="shared" si="79"/>
        <v/>
      </c>
      <c r="AX97" s="39"/>
      <c r="AY97" s="40" t="str">
        <f>IF(ISERROR(IF($K97&lt;=$F$15,VLOOKUP($I97,'表4）CO2価格'!$A$7:$E$67,VLOOKUP($F$48,'表4）CO2価格'!$H$10:$I$12,2,0),0)*$F$8/1000,"")),0,IF($K97&lt;=$F$15,VLOOKUP($I97,'表4）CO2価格'!$A$7:$E$67,VLOOKUP($F$48,'表4）CO2価格'!$H$10:$I$12,2,0),0)*$F$8/1000,""))</f>
        <v/>
      </c>
      <c r="AZ97" s="39"/>
      <c r="BA97" s="42" t="str">
        <f t="shared" si="63"/>
        <v/>
      </c>
      <c r="BB97" s="72" t="str">
        <f t="shared" si="80"/>
        <v/>
      </c>
      <c r="BC97" s="39"/>
      <c r="BD97" s="72" t="str">
        <f t="shared" si="64"/>
        <v/>
      </c>
      <c r="BE97" s="72" t="str">
        <f t="shared" si="81"/>
        <v/>
      </c>
      <c r="BF97" s="39"/>
      <c r="BG97" s="42" t="str">
        <f t="shared" si="65"/>
        <v/>
      </c>
      <c r="BH97" s="72" t="str">
        <f t="shared" si="82"/>
        <v/>
      </c>
      <c r="BI97" s="39"/>
      <c r="BJ97" s="40" t="str">
        <f t="shared" si="83"/>
        <v/>
      </c>
      <c r="BK97" s="157" t="str">
        <f t="shared" si="84"/>
        <v/>
      </c>
      <c r="BL97" s="157" t="str">
        <f t="shared" si="66"/>
        <v/>
      </c>
      <c r="BM97" s="72"/>
      <c r="BN97" s="72" t="str">
        <f t="shared" si="85"/>
        <v/>
      </c>
      <c r="BO97" s="72" t="str">
        <f t="shared" si="86"/>
        <v/>
      </c>
      <c r="BP97" s="39"/>
      <c r="BQ97" s="72" t="str">
        <f t="shared" si="67"/>
        <v/>
      </c>
      <c r="BR97" s="72" t="str">
        <f t="shared" si="87"/>
        <v/>
      </c>
    </row>
    <row r="98" spans="4:70" x14ac:dyDescent="0.15">
      <c r="F98" s="487"/>
      <c r="H98" s="71"/>
      <c r="I98" s="322">
        <f t="shared" si="88"/>
        <v>2113</v>
      </c>
      <c r="J98" s="71"/>
      <c r="K98" s="71">
        <f t="shared" si="89"/>
        <v>84</v>
      </c>
      <c r="L98" s="71"/>
      <c r="M98" s="7">
        <f t="shared" si="52"/>
        <v>8.3497433152226644E-2</v>
      </c>
      <c r="N98" s="71"/>
      <c r="O98" s="10" t="str">
        <f t="shared" si="68"/>
        <v/>
      </c>
      <c r="P98" s="29" t="str">
        <f t="shared" si="53"/>
        <v/>
      </c>
      <c r="Q98" s="71"/>
      <c r="R98" s="10" t="str">
        <f t="shared" si="69"/>
        <v/>
      </c>
      <c r="S98" s="71"/>
      <c r="T98" s="10" t="str">
        <f t="shared" si="70"/>
        <v/>
      </c>
      <c r="U98" s="71"/>
      <c r="V98" s="10" t="str">
        <f t="shared" si="54"/>
        <v/>
      </c>
      <c r="W98" s="10" t="str">
        <f t="shared" si="71"/>
        <v/>
      </c>
      <c r="X98" s="71"/>
      <c r="Y98" s="10" t="str">
        <f t="shared" si="55"/>
        <v/>
      </c>
      <c r="Z98" s="10" t="str">
        <f t="shared" si="72"/>
        <v/>
      </c>
      <c r="AA98" s="71"/>
      <c r="AB98" s="10" t="str">
        <f t="shared" si="56"/>
        <v/>
      </c>
      <c r="AC98" s="10" t="str">
        <f t="shared" si="73"/>
        <v/>
      </c>
      <c r="AD98" s="71"/>
      <c r="AE98" s="10" t="str">
        <f t="shared" si="57"/>
        <v/>
      </c>
      <c r="AF98" s="10" t="str">
        <f t="shared" si="74"/>
        <v/>
      </c>
      <c r="AG98" s="71"/>
      <c r="AH98" s="10" t="str">
        <f t="shared" si="58"/>
        <v/>
      </c>
      <c r="AI98" s="10" t="str">
        <f t="shared" si="75"/>
        <v/>
      </c>
      <c r="AJ98" s="71"/>
      <c r="AK98" s="10" t="str">
        <f t="shared" si="59"/>
        <v/>
      </c>
      <c r="AL98" s="10" t="str">
        <f t="shared" si="76"/>
        <v/>
      </c>
      <c r="AM98" s="71"/>
      <c r="AN98" s="10" t="str">
        <f t="shared" si="60"/>
        <v/>
      </c>
      <c r="AO98" s="10" t="str">
        <f t="shared" si="77"/>
        <v/>
      </c>
      <c r="AP98" s="71"/>
      <c r="AQ98" s="10" t="str">
        <f t="shared" si="61"/>
        <v/>
      </c>
      <c r="AR98" s="10" t="str">
        <f t="shared" si="78"/>
        <v/>
      </c>
      <c r="AS98" s="71"/>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U98" s="71"/>
      <c r="AV98" s="10" t="str">
        <f t="shared" si="62"/>
        <v/>
      </c>
      <c r="AW98" s="10" t="str">
        <f t="shared" si="79"/>
        <v/>
      </c>
      <c r="AX98" s="71"/>
      <c r="AY98" s="7" t="str">
        <f>IF(ISERROR(IF($K98&lt;=$F$15,VLOOKUP($I98,'表4）CO2価格'!$A$7:$E$67,VLOOKUP($F$48,'表4）CO2価格'!$H$10:$I$12,2,0),0)*$F$8/1000,"")),0,IF($K98&lt;=$F$15,VLOOKUP($I98,'表4）CO2価格'!$A$7:$E$67,VLOOKUP($F$48,'表4）CO2価格'!$H$10:$I$12,2,0),0)*$F$8/1000,""))</f>
        <v/>
      </c>
      <c r="AZ98" s="71"/>
      <c r="BA98" s="11" t="str">
        <f t="shared" si="63"/>
        <v/>
      </c>
      <c r="BB98" s="10" t="str">
        <f t="shared" si="80"/>
        <v/>
      </c>
      <c r="BC98" s="71"/>
      <c r="BD98" s="10" t="str">
        <f t="shared" si="64"/>
        <v/>
      </c>
      <c r="BE98" s="10" t="str">
        <f t="shared" si="81"/>
        <v/>
      </c>
      <c r="BF98" s="71"/>
      <c r="BG98" s="11" t="str">
        <f t="shared" si="65"/>
        <v/>
      </c>
      <c r="BH98" s="10" t="str">
        <f t="shared" si="82"/>
        <v/>
      </c>
      <c r="BJ98" s="7" t="str">
        <f t="shared" si="83"/>
        <v/>
      </c>
      <c r="BK98" s="158" t="str">
        <f t="shared" si="84"/>
        <v/>
      </c>
      <c r="BL98" s="158" t="str">
        <f t="shared" si="66"/>
        <v/>
      </c>
      <c r="BM98" s="10"/>
      <c r="BN98" s="10" t="str">
        <f t="shared" si="85"/>
        <v/>
      </c>
      <c r="BO98" s="10" t="str">
        <f t="shared" si="86"/>
        <v/>
      </c>
      <c r="BQ98" s="10" t="str">
        <f t="shared" si="67"/>
        <v/>
      </c>
      <c r="BR98" s="10" t="str">
        <f t="shared" si="87"/>
        <v/>
      </c>
    </row>
    <row r="99" spans="4:70" ht="15" x14ac:dyDescent="0.15">
      <c r="D99" s="103" t="s">
        <v>599</v>
      </c>
      <c r="F99" s="484">
        <f>SUBTOTAL(9,F103:F105)</f>
        <v>1.26</v>
      </c>
      <c r="G99" s="84" t="s">
        <v>590</v>
      </c>
      <c r="H99" s="71"/>
      <c r="I99" s="38">
        <f t="shared" si="88"/>
        <v>2114</v>
      </c>
      <c r="J99" s="39"/>
      <c r="K99" s="39">
        <f t="shared" si="89"/>
        <v>85</v>
      </c>
      <c r="L99" s="39"/>
      <c r="M99" s="40">
        <f t="shared" si="52"/>
        <v>8.1065469079831712E-2</v>
      </c>
      <c r="N99" s="39"/>
      <c r="O99" s="72" t="str">
        <f t="shared" si="68"/>
        <v/>
      </c>
      <c r="P99" s="41" t="str">
        <f t="shared" si="53"/>
        <v/>
      </c>
      <c r="Q99" s="39"/>
      <c r="R99" s="72" t="str">
        <f t="shared" si="69"/>
        <v/>
      </c>
      <c r="S99" s="39"/>
      <c r="T99" s="72" t="str">
        <f t="shared" si="70"/>
        <v/>
      </c>
      <c r="U99" s="39"/>
      <c r="V99" s="72" t="str">
        <f t="shared" si="54"/>
        <v/>
      </c>
      <c r="W99" s="72" t="str">
        <f t="shared" si="71"/>
        <v/>
      </c>
      <c r="X99" s="39"/>
      <c r="Y99" s="72" t="str">
        <f t="shared" si="55"/>
        <v/>
      </c>
      <c r="Z99" s="72" t="str">
        <f t="shared" si="72"/>
        <v/>
      </c>
      <c r="AA99" s="39"/>
      <c r="AB99" s="72" t="str">
        <f t="shared" si="56"/>
        <v/>
      </c>
      <c r="AC99" s="72" t="str">
        <f t="shared" si="73"/>
        <v/>
      </c>
      <c r="AD99" s="39"/>
      <c r="AE99" s="72" t="str">
        <f t="shared" si="57"/>
        <v/>
      </c>
      <c r="AF99" s="72" t="str">
        <f t="shared" si="74"/>
        <v/>
      </c>
      <c r="AG99" s="39"/>
      <c r="AH99" s="72" t="str">
        <f t="shared" si="58"/>
        <v/>
      </c>
      <c r="AI99" s="72" t="str">
        <f t="shared" si="75"/>
        <v/>
      </c>
      <c r="AJ99" s="39"/>
      <c r="AK99" s="72" t="str">
        <f t="shared" si="59"/>
        <v/>
      </c>
      <c r="AL99" s="72" t="str">
        <f t="shared" si="76"/>
        <v/>
      </c>
      <c r="AM99" s="39"/>
      <c r="AN99" s="72" t="str">
        <f t="shared" si="60"/>
        <v/>
      </c>
      <c r="AO99" s="72" t="str">
        <f t="shared" si="77"/>
        <v/>
      </c>
      <c r="AP99" s="39"/>
      <c r="AQ99" s="72" t="str">
        <f t="shared" si="61"/>
        <v/>
      </c>
      <c r="AR99" s="72" t="str">
        <f t="shared" si="78"/>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62"/>
        <v/>
      </c>
      <c r="AW99" s="72" t="str">
        <f t="shared" si="79"/>
        <v/>
      </c>
      <c r="AX99" s="39"/>
      <c r="AY99" s="40" t="str">
        <f>IF(ISERROR(IF($K99&lt;=$F$15,VLOOKUP($I99,'表4）CO2価格'!$A$7:$E$67,VLOOKUP($F$48,'表4）CO2価格'!$H$10:$I$12,2,0),0)*$F$8/1000,"")),0,IF($K99&lt;=$F$15,VLOOKUP($I99,'表4）CO2価格'!$A$7:$E$67,VLOOKUP($F$48,'表4）CO2価格'!$H$10:$I$12,2,0),0)*$F$8/1000,""))</f>
        <v/>
      </c>
      <c r="AZ99" s="39"/>
      <c r="BA99" s="42" t="str">
        <f t="shared" si="63"/>
        <v/>
      </c>
      <c r="BB99" s="72" t="str">
        <f t="shared" si="80"/>
        <v/>
      </c>
      <c r="BC99" s="39"/>
      <c r="BD99" s="72" t="str">
        <f t="shared" si="64"/>
        <v/>
      </c>
      <c r="BE99" s="72" t="str">
        <f t="shared" si="81"/>
        <v/>
      </c>
      <c r="BF99" s="39"/>
      <c r="BG99" s="42" t="str">
        <f t="shared" si="65"/>
        <v/>
      </c>
      <c r="BH99" s="72" t="str">
        <f t="shared" si="82"/>
        <v/>
      </c>
      <c r="BI99" s="39"/>
      <c r="BJ99" s="40" t="str">
        <f t="shared" si="83"/>
        <v/>
      </c>
      <c r="BK99" s="157" t="str">
        <f t="shared" si="84"/>
        <v/>
      </c>
      <c r="BL99" s="157" t="str">
        <f t="shared" si="66"/>
        <v/>
      </c>
      <c r="BM99" s="72"/>
      <c r="BN99" s="72" t="str">
        <f t="shared" si="85"/>
        <v/>
      </c>
      <c r="BO99" s="72" t="str">
        <f t="shared" si="86"/>
        <v/>
      </c>
      <c r="BP99" s="39"/>
      <c r="BQ99" s="72" t="str">
        <f t="shared" si="67"/>
        <v/>
      </c>
      <c r="BR99" s="72" t="str">
        <f t="shared" si="87"/>
        <v/>
      </c>
    </row>
    <row r="100" spans="4:70" x14ac:dyDescent="0.15">
      <c r="F100" s="487"/>
      <c r="H100" s="71"/>
      <c r="I100" s="322">
        <f t="shared" si="88"/>
        <v>2115</v>
      </c>
      <c r="J100" s="71"/>
      <c r="K100" s="71">
        <f t="shared" si="89"/>
        <v>86</v>
      </c>
      <c r="L100" s="71"/>
      <c r="M100" s="7">
        <f t="shared" si="52"/>
        <v>7.8704338912457969E-2</v>
      </c>
      <c r="N100" s="71"/>
      <c r="O100" s="10" t="str">
        <f t="shared" si="68"/>
        <v/>
      </c>
      <c r="P100" s="29" t="str">
        <f t="shared" si="53"/>
        <v/>
      </c>
      <c r="Q100" s="71"/>
      <c r="R100" s="10" t="str">
        <f t="shared" si="69"/>
        <v/>
      </c>
      <c r="S100" s="71"/>
      <c r="T100" s="10" t="str">
        <f t="shared" si="70"/>
        <v/>
      </c>
      <c r="U100" s="71"/>
      <c r="V100" s="10" t="str">
        <f t="shared" si="54"/>
        <v/>
      </c>
      <c r="W100" s="10" t="str">
        <f t="shared" si="71"/>
        <v/>
      </c>
      <c r="X100" s="71"/>
      <c r="Y100" s="10" t="str">
        <f t="shared" si="55"/>
        <v/>
      </c>
      <c r="Z100" s="10" t="str">
        <f t="shared" si="72"/>
        <v/>
      </c>
      <c r="AA100" s="71"/>
      <c r="AB100" s="10" t="str">
        <f t="shared" si="56"/>
        <v/>
      </c>
      <c r="AC100" s="10" t="str">
        <f t="shared" si="73"/>
        <v/>
      </c>
      <c r="AD100" s="71"/>
      <c r="AE100" s="10" t="str">
        <f t="shared" si="57"/>
        <v/>
      </c>
      <c r="AF100" s="10" t="str">
        <f t="shared" si="74"/>
        <v/>
      </c>
      <c r="AG100" s="71"/>
      <c r="AH100" s="10" t="str">
        <f t="shared" si="58"/>
        <v/>
      </c>
      <c r="AI100" s="10" t="str">
        <f t="shared" si="75"/>
        <v/>
      </c>
      <c r="AJ100" s="71"/>
      <c r="AK100" s="10" t="str">
        <f t="shared" si="59"/>
        <v/>
      </c>
      <c r="AL100" s="10" t="str">
        <f t="shared" si="76"/>
        <v/>
      </c>
      <c r="AM100" s="71"/>
      <c r="AN100" s="10" t="str">
        <f t="shared" si="60"/>
        <v/>
      </c>
      <c r="AO100" s="10" t="str">
        <f t="shared" si="77"/>
        <v/>
      </c>
      <c r="AP100" s="71"/>
      <c r="AQ100" s="10" t="str">
        <f t="shared" si="61"/>
        <v/>
      </c>
      <c r="AR100" s="10" t="str">
        <f t="shared" si="78"/>
        <v/>
      </c>
      <c r="AS100" s="71"/>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U100" s="71"/>
      <c r="AV100" s="10" t="str">
        <f t="shared" si="62"/>
        <v/>
      </c>
      <c r="AW100" s="10" t="str">
        <f t="shared" si="79"/>
        <v/>
      </c>
      <c r="AX100" s="71"/>
      <c r="AY100" s="7" t="str">
        <f>IF(ISERROR(IF($K100&lt;=$F$15,VLOOKUP($I100,'表4）CO2価格'!$A$7:$E$67,VLOOKUP($F$48,'表4）CO2価格'!$H$10:$I$12,2,0),0)*$F$8/1000,"")),0,IF($K100&lt;=$F$15,VLOOKUP($I100,'表4）CO2価格'!$A$7:$E$67,VLOOKUP($F$48,'表4）CO2価格'!$H$10:$I$12,2,0),0)*$F$8/1000,""))</f>
        <v/>
      </c>
      <c r="AZ100" s="71"/>
      <c r="BA100" s="11" t="str">
        <f t="shared" si="63"/>
        <v/>
      </c>
      <c r="BB100" s="10" t="str">
        <f t="shared" si="80"/>
        <v/>
      </c>
      <c r="BC100" s="71"/>
      <c r="BD100" s="10" t="str">
        <f t="shared" si="64"/>
        <v/>
      </c>
      <c r="BE100" s="10" t="str">
        <f t="shared" si="81"/>
        <v/>
      </c>
      <c r="BF100" s="71"/>
      <c r="BG100" s="11" t="str">
        <f t="shared" si="65"/>
        <v/>
      </c>
      <c r="BH100" s="10" t="str">
        <f t="shared" si="82"/>
        <v/>
      </c>
      <c r="BJ100" s="7" t="str">
        <f t="shared" si="83"/>
        <v/>
      </c>
      <c r="BK100" s="158" t="str">
        <f t="shared" si="84"/>
        <v/>
      </c>
      <c r="BL100" s="158" t="str">
        <f t="shared" si="66"/>
        <v/>
      </c>
      <c r="BM100" s="10"/>
      <c r="BN100" s="10" t="str">
        <f t="shared" si="85"/>
        <v/>
      </c>
      <c r="BO100" s="10" t="str">
        <f t="shared" si="86"/>
        <v/>
      </c>
      <c r="BQ100" s="10" t="str">
        <f t="shared" si="67"/>
        <v/>
      </c>
      <c r="BR100" s="10" t="str">
        <f t="shared" si="87"/>
        <v/>
      </c>
    </row>
    <row r="101" spans="4:70" x14ac:dyDescent="0.15">
      <c r="D101" s="100" t="s">
        <v>600</v>
      </c>
      <c r="E101" s="100"/>
      <c r="F101" s="486"/>
      <c r="G101" s="100"/>
      <c r="H101" s="71"/>
      <c r="I101" s="38">
        <f t="shared" si="88"/>
        <v>2116</v>
      </c>
      <c r="J101" s="39"/>
      <c r="K101" s="39">
        <f t="shared" si="89"/>
        <v>87</v>
      </c>
      <c r="L101" s="39"/>
      <c r="M101" s="40">
        <f t="shared" si="52"/>
        <v>7.6411979526658208E-2</v>
      </c>
      <c r="N101" s="39"/>
      <c r="O101" s="72" t="str">
        <f t="shared" si="68"/>
        <v/>
      </c>
      <c r="P101" s="41" t="str">
        <f t="shared" si="53"/>
        <v/>
      </c>
      <c r="Q101" s="39"/>
      <c r="R101" s="72" t="str">
        <f t="shared" si="69"/>
        <v/>
      </c>
      <c r="S101" s="39"/>
      <c r="T101" s="72" t="str">
        <f t="shared" si="70"/>
        <v/>
      </c>
      <c r="U101" s="39"/>
      <c r="V101" s="72" t="str">
        <f t="shared" si="54"/>
        <v/>
      </c>
      <c r="W101" s="72" t="str">
        <f t="shared" si="71"/>
        <v/>
      </c>
      <c r="X101" s="39"/>
      <c r="Y101" s="72" t="str">
        <f t="shared" si="55"/>
        <v/>
      </c>
      <c r="Z101" s="72" t="str">
        <f t="shared" si="72"/>
        <v/>
      </c>
      <c r="AA101" s="39"/>
      <c r="AB101" s="72" t="str">
        <f t="shared" si="56"/>
        <v/>
      </c>
      <c r="AC101" s="72" t="str">
        <f t="shared" si="73"/>
        <v/>
      </c>
      <c r="AD101" s="39"/>
      <c r="AE101" s="72" t="str">
        <f t="shared" si="57"/>
        <v/>
      </c>
      <c r="AF101" s="72" t="str">
        <f t="shared" si="74"/>
        <v/>
      </c>
      <c r="AG101" s="39"/>
      <c r="AH101" s="72" t="str">
        <f t="shared" si="58"/>
        <v/>
      </c>
      <c r="AI101" s="72" t="str">
        <f t="shared" si="75"/>
        <v/>
      </c>
      <c r="AJ101" s="39"/>
      <c r="AK101" s="72" t="str">
        <f t="shared" si="59"/>
        <v/>
      </c>
      <c r="AL101" s="72" t="str">
        <f t="shared" si="76"/>
        <v/>
      </c>
      <c r="AM101" s="39"/>
      <c r="AN101" s="72" t="str">
        <f t="shared" si="60"/>
        <v/>
      </c>
      <c r="AO101" s="72" t="str">
        <f t="shared" si="77"/>
        <v/>
      </c>
      <c r="AP101" s="39"/>
      <c r="AQ101" s="72" t="str">
        <f t="shared" si="61"/>
        <v/>
      </c>
      <c r="AR101" s="72" t="str">
        <f t="shared" si="78"/>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62"/>
        <v/>
      </c>
      <c r="AW101" s="72" t="str">
        <f t="shared" si="79"/>
        <v/>
      </c>
      <c r="AX101" s="39"/>
      <c r="AY101" s="40" t="str">
        <f>IF(ISERROR(IF($K101&lt;=$F$15,VLOOKUP($I101,'表4）CO2価格'!$A$7:$E$67,VLOOKUP($F$48,'表4）CO2価格'!$H$10:$I$12,2,0),0)*$F$8/1000,"")),0,IF($K101&lt;=$F$15,VLOOKUP($I101,'表4）CO2価格'!$A$7:$E$67,VLOOKUP($F$48,'表4）CO2価格'!$H$10:$I$12,2,0),0)*$F$8/1000,""))</f>
        <v/>
      </c>
      <c r="AZ101" s="39"/>
      <c r="BA101" s="42" t="str">
        <f t="shared" si="63"/>
        <v/>
      </c>
      <c r="BB101" s="72" t="str">
        <f t="shared" si="80"/>
        <v/>
      </c>
      <c r="BC101" s="39"/>
      <c r="BD101" s="72" t="str">
        <f t="shared" si="64"/>
        <v/>
      </c>
      <c r="BE101" s="72" t="str">
        <f t="shared" si="81"/>
        <v/>
      </c>
      <c r="BF101" s="39"/>
      <c r="BG101" s="42" t="str">
        <f t="shared" si="65"/>
        <v/>
      </c>
      <c r="BH101" s="72" t="str">
        <f t="shared" si="82"/>
        <v/>
      </c>
      <c r="BI101" s="39"/>
      <c r="BJ101" s="40" t="str">
        <f t="shared" si="83"/>
        <v/>
      </c>
      <c r="BK101" s="157" t="str">
        <f t="shared" si="84"/>
        <v/>
      </c>
      <c r="BL101" s="157" t="str">
        <f t="shared" si="66"/>
        <v/>
      </c>
      <c r="BM101" s="72"/>
      <c r="BN101" s="72" t="str">
        <f t="shared" si="85"/>
        <v/>
      </c>
      <c r="BO101" s="72" t="str">
        <f t="shared" si="86"/>
        <v/>
      </c>
      <c r="BP101" s="39"/>
      <c r="BQ101" s="72" t="str">
        <f t="shared" si="67"/>
        <v/>
      </c>
      <c r="BR101" s="72" t="str">
        <f t="shared" si="87"/>
        <v/>
      </c>
    </row>
    <row r="102" spans="4:70" x14ac:dyDescent="0.15">
      <c r="F102" s="487"/>
      <c r="H102" s="71"/>
      <c r="I102" s="322">
        <f t="shared" si="88"/>
        <v>2117</v>
      </c>
      <c r="J102" s="71"/>
      <c r="K102" s="71">
        <f t="shared" si="89"/>
        <v>88</v>
      </c>
      <c r="L102" s="71"/>
      <c r="M102" s="7">
        <f t="shared" si="52"/>
        <v>7.4186387889959446E-2</v>
      </c>
      <c r="N102" s="71"/>
      <c r="O102" s="10" t="str">
        <f t="shared" si="68"/>
        <v/>
      </c>
      <c r="P102" s="29" t="str">
        <f t="shared" si="53"/>
        <v/>
      </c>
      <c r="Q102" s="71"/>
      <c r="R102" s="10" t="str">
        <f t="shared" si="69"/>
        <v/>
      </c>
      <c r="S102" s="71"/>
      <c r="T102" s="10" t="str">
        <f t="shared" si="70"/>
        <v/>
      </c>
      <c r="U102" s="71"/>
      <c r="V102" s="10" t="str">
        <f t="shared" si="54"/>
        <v/>
      </c>
      <c r="W102" s="10" t="str">
        <f t="shared" si="71"/>
        <v/>
      </c>
      <c r="X102" s="71"/>
      <c r="Y102" s="10" t="str">
        <f t="shared" si="55"/>
        <v/>
      </c>
      <c r="Z102" s="10" t="str">
        <f t="shared" si="72"/>
        <v/>
      </c>
      <c r="AA102" s="71"/>
      <c r="AB102" s="10" t="str">
        <f t="shared" si="56"/>
        <v/>
      </c>
      <c r="AC102" s="10" t="str">
        <f t="shared" si="73"/>
        <v/>
      </c>
      <c r="AD102" s="71"/>
      <c r="AE102" s="10" t="str">
        <f t="shared" si="57"/>
        <v/>
      </c>
      <c r="AF102" s="10" t="str">
        <f t="shared" si="74"/>
        <v/>
      </c>
      <c r="AG102" s="71"/>
      <c r="AH102" s="10" t="str">
        <f t="shared" si="58"/>
        <v/>
      </c>
      <c r="AI102" s="10" t="str">
        <f t="shared" si="75"/>
        <v/>
      </c>
      <c r="AJ102" s="71"/>
      <c r="AK102" s="10" t="str">
        <f t="shared" si="59"/>
        <v/>
      </c>
      <c r="AL102" s="10" t="str">
        <f t="shared" si="76"/>
        <v/>
      </c>
      <c r="AM102" s="71"/>
      <c r="AN102" s="10" t="str">
        <f t="shared" si="60"/>
        <v/>
      </c>
      <c r="AO102" s="10" t="str">
        <f t="shared" si="77"/>
        <v/>
      </c>
      <c r="AP102" s="71"/>
      <c r="AQ102" s="10" t="str">
        <f t="shared" si="61"/>
        <v/>
      </c>
      <c r="AR102" s="10" t="str">
        <f t="shared" si="78"/>
        <v/>
      </c>
      <c r="AS102" s="71"/>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U102" s="71"/>
      <c r="AV102" s="10" t="str">
        <f t="shared" si="62"/>
        <v/>
      </c>
      <c r="AW102" s="10" t="str">
        <f t="shared" si="79"/>
        <v/>
      </c>
      <c r="AX102" s="71"/>
      <c r="AY102" s="7" t="str">
        <f>IF(ISERROR(IF($K102&lt;=$F$15,VLOOKUP($I102,'表4）CO2価格'!$A$7:$E$67,VLOOKUP($F$48,'表4）CO2価格'!$H$10:$I$12,2,0),0)*$F$8/1000,"")),0,IF($K102&lt;=$F$15,VLOOKUP($I102,'表4）CO2価格'!$A$7:$E$67,VLOOKUP($F$48,'表4）CO2価格'!$H$10:$I$12,2,0),0)*$F$8/1000,""))</f>
        <v/>
      </c>
      <c r="AZ102" s="71"/>
      <c r="BA102" s="11" t="str">
        <f t="shared" si="63"/>
        <v/>
      </c>
      <c r="BB102" s="10" t="str">
        <f t="shared" si="80"/>
        <v/>
      </c>
      <c r="BC102" s="71"/>
      <c r="BD102" s="10" t="str">
        <f t="shared" si="64"/>
        <v/>
      </c>
      <c r="BE102" s="10" t="str">
        <f t="shared" si="81"/>
        <v/>
      </c>
      <c r="BF102" s="71"/>
      <c r="BG102" s="11" t="str">
        <f t="shared" si="65"/>
        <v/>
      </c>
      <c r="BH102" s="10" t="str">
        <f t="shared" si="82"/>
        <v/>
      </c>
      <c r="BJ102" s="7" t="str">
        <f t="shared" si="83"/>
        <v/>
      </c>
      <c r="BK102" s="158" t="str">
        <f t="shared" si="84"/>
        <v/>
      </c>
      <c r="BL102" s="158" t="str">
        <f t="shared" si="66"/>
        <v/>
      </c>
      <c r="BM102" s="10"/>
      <c r="BN102" s="10" t="str">
        <f t="shared" si="85"/>
        <v/>
      </c>
      <c r="BO102" s="10" t="str">
        <f t="shared" si="86"/>
        <v/>
      </c>
      <c r="BQ102" s="10" t="str">
        <f t="shared" si="67"/>
        <v/>
      </c>
      <c r="BR102" s="10" t="str">
        <f t="shared" si="87"/>
        <v/>
      </c>
    </row>
    <row r="103" spans="4:70" x14ac:dyDescent="0.15">
      <c r="E103" s="84" t="s">
        <v>601</v>
      </c>
      <c r="F103" s="488">
        <f>BB116/$BR$116</f>
        <v>0</v>
      </c>
      <c r="G103" s="84" t="s">
        <v>590</v>
      </c>
      <c r="H103" s="71"/>
      <c r="I103" s="38">
        <f t="shared" si="88"/>
        <v>2118</v>
      </c>
      <c r="J103" s="39"/>
      <c r="K103" s="39">
        <f t="shared" si="89"/>
        <v>89</v>
      </c>
      <c r="L103" s="39"/>
      <c r="M103" s="40">
        <f t="shared" si="52"/>
        <v>7.2025619310640235E-2</v>
      </c>
      <c r="N103" s="39"/>
      <c r="O103" s="72" t="str">
        <f t="shared" si="68"/>
        <v/>
      </c>
      <c r="P103" s="41" t="str">
        <f t="shared" si="53"/>
        <v/>
      </c>
      <c r="Q103" s="39"/>
      <c r="R103" s="72" t="str">
        <f t="shared" si="69"/>
        <v/>
      </c>
      <c r="S103" s="39"/>
      <c r="T103" s="72" t="str">
        <f t="shared" si="70"/>
        <v/>
      </c>
      <c r="U103" s="39"/>
      <c r="V103" s="72" t="str">
        <f t="shared" si="54"/>
        <v/>
      </c>
      <c r="W103" s="72" t="str">
        <f t="shared" si="71"/>
        <v/>
      </c>
      <c r="X103" s="39"/>
      <c r="Y103" s="72" t="str">
        <f t="shared" si="55"/>
        <v/>
      </c>
      <c r="Z103" s="72" t="str">
        <f t="shared" si="72"/>
        <v/>
      </c>
      <c r="AA103" s="39"/>
      <c r="AB103" s="72" t="str">
        <f t="shared" si="56"/>
        <v/>
      </c>
      <c r="AC103" s="72" t="str">
        <f t="shared" si="73"/>
        <v/>
      </c>
      <c r="AD103" s="39"/>
      <c r="AE103" s="72" t="str">
        <f t="shared" si="57"/>
        <v/>
      </c>
      <c r="AF103" s="72" t="str">
        <f t="shared" si="74"/>
        <v/>
      </c>
      <c r="AG103" s="39"/>
      <c r="AH103" s="72" t="str">
        <f t="shared" si="58"/>
        <v/>
      </c>
      <c r="AI103" s="72" t="str">
        <f t="shared" si="75"/>
        <v/>
      </c>
      <c r="AJ103" s="39"/>
      <c r="AK103" s="72" t="str">
        <f t="shared" si="59"/>
        <v/>
      </c>
      <c r="AL103" s="72" t="str">
        <f t="shared" si="76"/>
        <v/>
      </c>
      <c r="AM103" s="39"/>
      <c r="AN103" s="72" t="str">
        <f t="shared" si="60"/>
        <v/>
      </c>
      <c r="AO103" s="72" t="str">
        <f t="shared" si="77"/>
        <v/>
      </c>
      <c r="AP103" s="39"/>
      <c r="AQ103" s="72" t="str">
        <f t="shared" si="61"/>
        <v/>
      </c>
      <c r="AR103" s="72" t="str">
        <f t="shared" si="78"/>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62"/>
        <v/>
      </c>
      <c r="AW103" s="72" t="str">
        <f t="shared" si="79"/>
        <v/>
      </c>
      <c r="AX103" s="39"/>
      <c r="AY103" s="40" t="str">
        <f>IF(ISERROR(IF($K103&lt;=$F$15,VLOOKUP($I103,'表4）CO2価格'!$A$7:$E$67,VLOOKUP($F$48,'表4）CO2価格'!$H$10:$I$12,2,0),0)*$F$8/1000,"")),0,IF($K103&lt;=$F$15,VLOOKUP($I103,'表4）CO2価格'!$A$7:$E$67,VLOOKUP($F$48,'表4）CO2価格'!$H$10:$I$12,2,0),0)*$F$8/1000,""))</f>
        <v/>
      </c>
      <c r="AZ103" s="39"/>
      <c r="BA103" s="42" t="str">
        <f t="shared" si="63"/>
        <v/>
      </c>
      <c r="BB103" s="72" t="str">
        <f t="shared" si="80"/>
        <v/>
      </c>
      <c r="BC103" s="39"/>
      <c r="BD103" s="72" t="str">
        <f t="shared" si="64"/>
        <v/>
      </c>
      <c r="BE103" s="72" t="str">
        <f t="shared" si="81"/>
        <v/>
      </c>
      <c r="BF103" s="39"/>
      <c r="BG103" s="42" t="str">
        <f t="shared" si="65"/>
        <v/>
      </c>
      <c r="BH103" s="72" t="str">
        <f t="shared" si="82"/>
        <v/>
      </c>
      <c r="BI103" s="39"/>
      <c r="BJ103" s="40" t="str">
        <f t="shared" si="83"/>
        <v/>
      </c>
      <c r="BK103" s="157" t="str">
        <f t="shared" si="84"/>
        <v/>
      </c>
      <c r="BL103" s="157" t="str">
        <f t="shared" si="66"/>
        <v/>
      </c>
      <c r="BM103" s="72"/>
      <c r="BN103" s="72" t="str">
        <f t="shared" si="85"/>
        <v/>
      </c>
      <c r="BO103" s="72" t="str">
        <f t="shared" si="86"/>
        <v/>
      </c>
      <c r="BP103" s="39"/>
      <c r="BQ103" s="72" t="str">
        <f t="shared" si="67"/>
        <v/>
      </c>
      <c r="BR103" s="72" t="str">
        <f t="shared" si="87"/>
        <v/>
      </c>
    </row>
    <row r="104" spans="4:70" x14ac:dyDescent="0.15">
      <c r="E104" s="84" t="s">
        <v>602</v>
      </c>
      <c r="F104" s="488">
        <f>IF(ISERROR(F60*(1/F61)/F62),0,F60*(1/F61)/F62)</f>
        <v>0</v>
      </c>
      <c r="G104" s="84" t="s">
        <v>590</v>
      </c>
      <c r="H104" s="71"/>
      <c r="I104" s="322">
        <f t="shared" si="88"/>
        <v>2119</v>
      </c>
      <c r="J104" s="71"/>
      <c r="K104" s="71">
        <f t="shared" si="89"/>
        <v>90</v>
      </c>
      <c r="L104" s="71"/>
      <c r="M104" s="7">
        <f t="shared" si="52"/>
        <v>6.9927785738485654E-2</v>
      </c>
      <c r="N104" s="71"/>
      <c r="O104" s="10" t="str">
        <f t="shared" si="68"/>
        <v/>
      </c>
      <c r="P104" s="29" t="str">
        <f t="shared" si="53"/>
        <v/>
      </c>
      <c r="Q104" s="71"/>
      <c r="R104" s="10" t="str">
        <f t="shared" si="69"/>
        <v/>
      </c>
      <c r="S104" s="71"/>
      <c r="T104" s="10" t="str">
        <f t="shared" si="70"/>
        <v/>
      </c>
      <c r="U104" s="71"/>
      <c r="V104" s="10" t="str">
        <f t="shared" si="54"/>
        <v/>
      </c>
      <c r="W104" s="10" t="str">
        <f t="shared" si="71"/>
        <v/>
      </c>
      <c r="X104" s="71"/>
      <c r="Y104" s="10" t="str">
        <f t="shared" si="55"/>
        <v/>
      </c>
      <c r="Z104" s="10" t="str">
        <f t="shared" si="72"/>
        <v/>
      </c>
      <c r="AA104" s="71"/>
      <c r="AB104" s="10" t="str">
        <f t="shared" si="56"/>
        <v/>
      </c>
      <c r="AC104" s="10" t="str">
        <f t="shared" si="73"/>
        <v/>
      </c>
      <c r="AD104" s="71"/>
      <c r="AE104" s="10" t="str">
        <f t="shared" si="57"/>
        <v/>
      </c>
      <c r="AF104" s="10" t="str">
        <f t="shared" si="74"/>
        <v/>
      </c>
      <c r="AG104" s="71"/>
      <c r="AH104" s="10" t="str">
        <f t="shared" si="58"/>
        <v/>
      </c>
      <c r="AI104" s="10" t="str">
        <f t="shared" si="75"/>
        <v/>
      </c>
      <c r="AJ104" s="71"/>
      <c r="AK104" s="10" t="str">
        <f t="shared" si="59"/>
        <v/>
      </c>
      <c r="AL104" s="10" t="str">
        <f t="shared" si="76"/>
        <v/>
      </c>
      <c r="AM104" s="71"/>
      <c r="AN104" s="10" t="str">
        <f t="shared" si="60"/>
        <v/>
      </c>
      <c r="AO104" s="10" t="str">
        <f t="shared" si="77"/>
        <v/>
      </c>
      <c r="AP104" s="71"/>
      <c r="AQ104" s="10" t="str">
        <f t="shared" si="61"/>
        <v/>
      </c>
      <c r="AR104" s="10" t="str">
        <f t="shared" si="78"/>
        <v/>
      </c>
      <c r="AS104" s="71"/>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U104" s="71"/>
      <c r="AV104" s="10" t="str">
        <f t="shared" si="62"/>
        <v/>
      </c>
      <c r="AW104" s="10" t="str">
        <f t="shared" si="79"/>
        <v/>
      </c>
      <c r="AX104" s="71"/>
      <c r="AY104" s="7" t="str">
        <f>IF(ISERROR(IF($K104&lt;=$F$15,VLOOKUP($I104,'表4）CO2価格'!$A$7:$E$67,VLOOKUP($F$48,'表4）CO2価格'!$H$10:$I$12,2,0),0)*$F$8/1000,"")),0,IF($K104&lt;=$F$15,VLOOKUP($I104,'表4）CO2価格'!$A$7:$E$67,VLOOKUP($F$48,'表4）CO2価格'!$H$10:$I$12,2,0),0)*$F$8/1000,""))</f>
        <v/>
      </c>
      <c r="AZ104" s="71"/>
      <c r="BA104" s="11" t="str">
        <f t="shared" si="63"/>
        <v/>
      </c>
      <c r="BB104" s="10" t="str">
        <f t="shared" si="80"/>
        <v/>
      </c>
      <c r="BC104" s="71"/>
      <c r="BD104" s="10" t="str">
        <f t="shared" si="64"/>
        <v/>
      </c>
      <c r="BE104" s="10" t="str">
        <f t="shared" si="81"/>
        <v/>
      </c>
      <c r="BF104" s="71"/>
      <c r="BG104" s="11" t="str">
        <f t="shared" si="65"/>
        <v/>
      </c>
      <c r="BH104" s="10" t="str">
        <f t="shared" si="82"/>
        <v/>
      </c>
      <c r="BJ104" s="7" t="str">
        <f t="shared" si="83"/>
        <v/>
      </c>
      <c r="BK104" s="158" t="str">
        <f t="shared" si="84"/>
        <v/>
      </c>
      <c r="BL104" s="158" t="str">
        <f t="shared" si="66"/>
        <v/>
      </c>
      <c r="BM104" s="10"/>
      <c r="BN104" s="10" t="str">
        <f t="shared" si="85"/>
        <v/>
      </c>
      <c r="BO104" s="10" t="str">
        <f t="shared" si="86"/>
        <v/>
      </c>
      <c r="BQ104" s="10" t="str">
        <f t="shared" si="67"/>
        <v/>
      </c>
      <c r="BR104" s="10" t="str">
        <f t="shared" si="87"/>
        <v/>
      </c>
    </row>
    <row r="105" spans="4:70" x14ac:dyDescent="0.15">
      <c r="E105" s="71" t="s">
        <v>603</v>
      </c>
      <c r="F105" s="488">
        <f>F64</f>
        <v>1.26</v>
      </c>
      <c r="G105" s="84" t="s">
        <v>590</v>
      </c>
      <c r="H105" s="71"/>
      <c r="I105" s="38">
        <f t="shared" si="88"/>
        <v>2120</v>
      </c>
      <c r="J105" s="39"/>
      <c r="K105" s="39">
        <f t="shared" si="89"/>
        <v>91</v>
      </c>
      <c r="L105" s="39"/>
      <c r="M105" s="40">
        <f t="shared" si="52"/>
        <v>6.7891054115034627E-2</v>
      </c>
      <c r="N105" s="39"/>
      <c r="O105" s="72" t="str">
        <f t="shared" si="68"/>
        <v/>
      </c>
      <c r="P105" s="41" t="str">
        <f t="shared" si="53"/>
        <v/>
      </c>
      <c r="Q105" s="39"/>
      <c r="R105" s="72" t="str">
        <f t="shared" si="69"/>
        <v/>
      </c>
      <c r="S105" s="39"/>
      <c r="T105" s="72" t="str">
        <f t="shared" si="70"/>
        <v/>
      </c>
      <c r="U105" s="39"/>
      <c r="V105" s="72" t="str">
        <f t="shared" si="54"/>
        <v/>
      </c>
      <c r="W105" s="72" t="str">
        <f t="shared" si="71"/>
        <v/>
      </c>
      <c r="X105" s="39"/>
      <c r="Y105" s="72" t="str">
        <f t="shared" si="55"/>
        <v/>
      </c>
      <c r="Z105" s="72" t="str">
        <f t="shared" si="72"/>
        <v/>
      </c>
      <c r="AA105" s="39"/>
      <c r="AB105" s="72" t="str">
        <f t="shared" si="56"/>
        <v/>
      </c>
      <c r="AC105" s="72" t="str">
        <f t="shared" si="73"/>
        <v/>
      </c>
      <c r="AD105" s="39"/>
      <c r="AE105" s="72" t="str">
        <f t="shared" si="57"/>
        <v/>
      </c>
      <c r="AF105" s="72" t="str">
        <f t="shared" si="74"/>
        <v/>
      </c>
      <c r="AG105" s="39"/>
      <c r="AH105" s="72" t="str">
        <f t="shared" si="58"/>
        <v/>
      </c>
      <c r="AI105" s="72" t="str">
        <f t="shared" si="75"/>
        <v/>
      </c>
      <c r="AJ105" s="39"/>
      <c r="AK105" s="72" t="str">
        <f t="shared" si="59"/>
        <v/>
      </c>
      <c r="AL105" s="72" t="str">
        <f t="shared" si="76"/>
        <v/>
      </c>
      <c r="AM105" s="39"/>
      <c r="AN105" s="72" t="str">
        <f t="shared" si="60"/>
        <v/>
      </c>
      <c r="AO105" s="72" t="str">
        <f t="shared" si="77"/>
        <v/>
      </c>
      <c r="AP105" s="39"/>
      <c r="AQ105" s="72" t="str">
        <f t="shared" si="61"/>
        <v/>
      </c>
      <c r="AR105" s="72" t="str">
        <f t="shared" si="78"/>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62"/>
        <v/>
      </c>
      <c r="AW105" s="72" t="str">
        <f t="shared" si="79"/>
        <v/>
      </c>
      <c r="AX105" s="39"/>
      <c r="AY105" s="40" t="str">
        <f>IF(ISERROR(IF($K105&lt;=$F$15,VLOOKUP($I105,'表4）CO2価格'!$A$7:$E$67,VLOOKUP($F$48,'表4）CO2価格'!$H$10:$I$12,2,0),0)*$F$8/1000,"")),0,IF($K105&lt;=$F$15,VLOOKUP($I105,'表4）CO2価格'!$A$7:$E$67,VLOOKUP($F$48,'表4）CO2価格'!$H$10:$I$12,2,0),0)*$F$8/1000,""))</f>
        <v/>
      </c>
      <c r="AZ105" s="39"/>
      <c r="BA105" s="42" t="str">
        <f t="shared" si="63"/>
        <v/>
      </c>
      <c r="BB105" s="72" t="str">
        <f t="shared" si="80"/>
        <v/>
      </c>
      <c r="BC105" s="39"/>
      <c r="BD105" s="72" t="str">
        <f t="shared" si="64"/>
        <v/>
      </c>
      <c r="BE105" s="72" t="str">
        <f t="shared" si="81"/>
        <v/>
      </c>
      <c r="BF105" s="39"/>
      <c r="BG105" s="42" t="str">
        <f t="shared" si="65"/>
        <v/>
      </c>
      <c r="BH105" s="72" t="str">
        <f t="shared" si="82"/>
        <v/>
      </c>
      <c r="BI105" s="39"/>
      <c r="BJ105" s="40" t="str">
        <f t="shared" si="83"/>
        <v/>
      </c>
      <c r="BK105" s="157" t="str">
        <f t="shared" si="84"/>
        <v/>
      </c>
      <c r="BL105" s="157" t="str">
        <f t="shared" si="66"/>
        <v/>
      </c>
      <c r="BM105" s="72"/>
      <c r="BN105" s="72" t="str">
        <f t="shared" si="85"/>
        <v/>
      </c>
      <c r="BO105" s="72" t="str">
        <f t="shared" si="86"/>
        <v/>
      </c>
      <c r="BP105" s="39"/>
      <c r="BQ105" s="72" t="str">
        <f t="shared" si="67"/>
        <v/>
      </c>
      <c r="BR105" s="72" t="str">
        <f t="shared" si="87"/>
        <v/>
      </c>
    </row>
    <row r="106" spans="4:70" x14ac:dyDescent="0.15">
      <c r="F106" s="487"/>
      <c r="H106" s="71"/>
      <c r="I106" s="322">
        <f t="shared" si="88"/>
        <v>2121</v>
      </c>
      <c r="J106" s="71"/>
      <c r="K106" s="71">
        <f t="shared" si="89"/>
        <v>92</v>
      </c>
      <c r="L106" s="71"/>
      <c r="M106" s="7">
        <f t="shared" si="52"/>
        <v>6.5913644771878277E-2</v>
      </c>
      <c r="N106" s="71"/>
      <c r="O106" s="10" t="str">
        <f t="shared" si="68"/>
        <v/>
      </c>
      <c r="P106" s="29" t="str">
        <f t="shared" si="53"/>
        <v/>
      </c>
      <c r="Q106" s="71"/>
      <c r="R106" s="10" t="str">
        <f t="shared" si="69"/>
        <v/>
      </c>
      <c r="S106" s="71"/>
      <c r="T106" s="10" t="str">
        <f t="shared" si="70"/>
        <v/>
      </c>
      <c r="U106" s="71"/>
      <c r="V106" s="10" t="str">
        <f t="shared" si="54"/>
        <v/>
      </c>
      <c r="W106" s="10" t="str">
        <f t="shared" si="71"/>
        <v/>
      </c>
      <c r="X106" s="71"/>
      <c r="Y106" s="10" t="str">
        <f t="shared" si="55"/>
        <v/>
      </c>
      <c r="Z106" s="10" t="str">
        <f t="shared" si="72"/>
        <v/>
      </c>
      <c r="AA106" s="71"/>
      <c r="AB106" s="10" t="str">
        <f t="shared" si="56"/>
        <v/>
      </c>
      <c r="AC106" s="10" t="str">
        <f t="shared" si="73"/>
        <v/>
      </c>
      <c r="AD106" s="71"/>
      <c r="AE106" s="10" t="str">
        <f t="shared" si="57"/>
        <v/>
      </c>
      <c r="AF106" s="10" t="str">
        <f t="shared" si="74"/>
        <v/>
      </c>
      <c r="AG106" s="71"/>
      <c r="AH106" s="10" t="str">
        <f t="shared" si="58"/>
        <v/>
      </c>
      <c r="AI106" s="10" t="str">
        <f t="shared" si="75"/>
        <v/>
      </c>
      <c r="AJ106" s="71"/>
      <c r="AK106" s="10" t="str">
        <f t="shared" si="59"/>
        <v/>
      </c>
      <c r="AL106" s="10" t="str">
        <f t="shared" si="76"/>
        <v/>
      </c>
      <c r="AM106" s="71"/>
      <c r="AN106" s="10" t="str">
        <f t="shared" si="60"/>
        <v/>
      </c>
      <c r="AO106" s="10" t="str">
        <f t="shared" si="77"/>
        <v/>
      </c>
      <c r="AP106" s="71"/>
      <c r="AQ106" s="10" t="str">
        <f t="shared" si="61"/>
        <v/>
      </c>
      <c r="AR106" s="10" t="str">
        <f t="shared" si="78"/>
        <v/>
      </c>
      <c r="AS106" s="71"/>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U106" s="71"/>
      <c r="AV106" s="10" t="str">
        <f t="shared" si="62"/>
        <v/>
      </c>
      <c r="AW106" s="10" t="str">
        <f t="shared" si="79"/>
        <v/>
      </c>
      <c r="AX106" s="71"/>
      <c r="AY106" s="7" t="str">
        <f>IF(ISERROR(IF($K106&lt;=$F$15,VLOOKUP($I106,'表4）CO2価格'!$A$7:$E$67,VLOOKUP($F$48,'表4）CO2価格'!$H$10:$I$12,2,0),0)*$F$8/1000,"")),0,IF($K106&lt;=$F$15,VLOOKUP($I106,'表4）CO2価格'!$A$7:$E$67,VLOOKUP($F$48,'表4）CO2価格'!$H$10:$I$12,2,0),0)*$F$8/1000,""))</f>
        <v/>
      </c>
      <c r="AZ106" s="71"/>
      <c r="BA106" s="11" t="str">
        <f t="shared" si="63"/>
        <v/>
      </c>
      <c r="BB106" s="10" t="str">
        <f t="shared" si="80"/>
        <v/>
      </c>
      <c r="BC106" s="71"/>
      <c r="BD106" s="10" t="str">
        <f t="shared" si="64"/>
        <v/>
      </c>
      <c r="BE106" s="10" t="str">
        <f t="shared" si="81"/>
        <v/>
      </c>
      <c r="BF106" s="71"/>
      <c r="BG106" s="11" t="str">
        <f t="shared" si="65"/>
        <v/>
      </c>
      <c r="BH106" s="10" t="str">
        <f t="shared" si="82"/>
        <v/>
      </c>
      <c r="BJ106" s="7" t="str">
        <f t="shared" si="83"/>
        <v/>
      </c>
      <c r="BK106" s="158" t="str">
        <f t="shared" si="84"/>
        <v/>
      </c>
      <c r="BL106" s="158" t="str">
        <f t="shared" si="66"/>
        <v/>
      </c>
      <c r="BM106" s="10"/>
      <c r="BN106" s="10" t="str">
        <f t="shared" si="85"/>
        <v/>
      </c>
      <c r="BO106" s="10" t="str">
        <f t="shared" si="86"/>
        <v/>
      </c>
      <c r="BQ106" s="10" t="str">
        <f t="shared" si="67"/>
        <v/>
      </c>
      <c r="BR106" s="10" t="str">
        <f t="shared" si="87"/>
        <v/>
      </c>
    </row>
    <row r="107" spans="4:70" ht="15" x14ac:dyDescent="0.15">
      <c r="D107" s="103" t="s">
        <v>604</v>
      </c>
      <c r="F107" s="484">
        <f>SUBTOTAL(9,F111:F112)</f>
        <v>0</v>
      </c>
      <c r="G107" s="84" t="s">
        <v>590</v>
      </c>
      <c r="H107" s="71"/>
      <c r="I107" s="38">
        <f t="shared" si="88"/>
        <v>2122</v>
      </c>
      <c r="J107" s="39"/>
      <c r="K107" s="39">
        <f t="shared" si="89"/>
        <v>93</v>
      </c>
      <c r="L107" s="39"/>
      <c r="M107" s="40">
        <f t="shared" si="52"/>
        <v>6.3993829875609989E-2</v>
      </c>
      <c r="N107" s="39"/>
      <c r="O107" s="72" t="str">
        <f t="shared" si="68"/>
        <v/>
      </c>
      <c r="P107" s="41" t="str">
        <f t="shared" si="53"/>
        <v/>
      </c>
      <c r="Q107" s="39"/>
      <c r="R107" s="72" t="str">
        <f t="shared" si="69"/>
        <v/>
      </c>
      <c r="S107" s="39"/>
      <c r="T107" s="72" t="str">
        <f t="shared" si="70"/>
        <v/>
      </c>
      <c r="U107" s="39"/>
      <c r="V107" s="72" t="str">
        <f t="shared" si="54"/>
        <v/>
      </c>
      <c r="W107" s="72" t="str">
        <f t="shared" si="71"/>
        <v/>
      </c>
      <c r="X107" s="39"/>
      <c r="Y107" s="72" t="str">
        <f t="shared" si="55"/>
        <v/>
      </c>
      <c r="Z107" s="72" t="str">
        <f t="shared" si="72"/>
        <v/>
      </c>
      <c r="AA107" s="39"/>
      <c r="AB107" s="72" t="str">
        <f t="shared" si="56"/>
        <v/>
      </c>
      <c r="AC107" s="72" t="str">
        <f t="shared" si="73"/>
        <v/>
      </c>
      <c r="AD107" s="39"/>
      <c r="AE107" s="72" t="str">
        <f t="shared" si="57"/>
        <v/>
      </c>
      <c r="AF107" s="72" t="str">
        <f t="shared" si="74"/>
        <v/>
      </c>
      <c r="AG107" s="39"/>
      <c r="AH107" s="72" t="str">
        <f t="shared" si="58"/>
        <v/>
      </c>
      <c r="AI107" s="72" t="str">
        <f t="shared" si="75"/>
        <v/>
      </c>
      <c r="AJ107" s="39"/>
      <c r="AK107" s="72" t="str">
        <f t="shared" si="59"/>
        <v/>
      </c>
      <c r="AL107" s="72" t="str">
        <f t="shared" si="76"/>
        <v/>
      </c>
      <c r="AM107" s="39"/>
      <c r="AN107" s="72" t="str">
        <f t="shared" si="60"/>
        <v/>
      </c>
      <c r="AO107" s="72" t="str">
        <f t="shared" si="77"/>
        <v/>
      </c>
      <c r="AP107" s="39"/>
      <c r="AQ107" s="72" t="str">
        <f t="shared" si="61"/>
        <v/>
      </c>
      <c r="AR107" s="72" t="str">
        <f t="shared" si="78"/>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62"/>
        <v/>
      </c>
      <c r="AW107" s="72" t="str">
        <f t="shared" si="79"/>
        <v/>
      </c>
      <c r="AX107" s="39"/>
      <c r="AY107" s="40" t="str">
        <f>IF(ISERROR(IF($K107&lt;=$F$15,VLOOKUP($I107,'表4）CO2価格'!$A$7:$E$67,VLOOKUP($F$48,'表4）CO2価格'!$H$10:$I$12,2,0),0)*$F$8/1000,"")),0,IF($K107&lt;=$F$15,VLOOKUP($I107,'表4）CO2価格'!$A$7:$E$67,VLOOKUP($F$48,'表4）CO2価格'!$H$10:$I$12,2,0),0)*$F$8/1000,""))</f>
        <v/>
      </c>
      <c r="AZ107" s="39"/>
      <c r="BA107" s="42" t="str">
        <f t="shared" si="63"/>
        <v/>
      </c>
      <c r="BB107" s="72" t="str">
        <f t="shared" si="80"/>
        <v/>
      </c>
      <c r="BC107" s="39"/>
      <c r="BD107" s="72" t="str">
        <f t="shared" si="64"/>
        <v/>
      </c>
      <c r="BE107" s="72" t="str">
        <f t="shared" si="81"/>
        <v/>
      </c>
      <c r="BF107" s="39"/>
      <c r="BG107" s="42" t="str">
        <f t="shared" si="65"/>
        <v/>
      </c>
      <c r="BH107" s="72" t="str">
        <f t="shared" si="82"/>
        <v/>
      </c>
      <c r="BI107" s="39"/>
      <c r="BJ107" s="40" t="str">
        <f t="shared" si="83"/>
        <v/>
      </c>
      <c r="BK107" s="157" t="str">
        <f t="shared" si="84"/>
        <v/>
      </c>
      <c r="BL107" s="157" t="str">
        <f t="shared" si="66"/>
        <v/>
      </c>
      <c r="BM107" s="72"/>
      <c r="BN107" s="72" t="str">
        <f t="shared" si="85"/>
        <v/>
      </c>
      <c r="BO107" s="72" t="str">
        <f t="shared" si="86"/>
        <v/>
      </c>
      <c r="BP107" s="39"/>
      <c r="BQ107" s="72" t="str">
        <f t="shared" si="67"/>
        <v/>
      </c>
      <c r="BR107" s="72" t="str">
        <f t="shared" si="87"/>
        <v/>
      </c>
    </row>
    <row r="108" spans="4:70" ht="15" x14ac:dyDescent="0.15">
      <c r="D108" s="103"/>
      <c r="F108" s="487"/>
      <c r="H108" s="71"/>
      <c r="I108" s="322">
        <f t="shared" si="88"/>
        <v>2123</v>
      </c>
      <c r="J108" s="71"/>
      <c r="K108" s="71">
        <f t="shared" si="89"/>
        <v>94</v>
      </c>
      <c r="L108" s="71"/>
      <c r="M108" s="7">
        <f t="shared" si="52"/>
        <v>6.212993191806794E-2</v>
      </c>
      <c r="N108" s="71"/>
      <c r="O108" s="10" t="str">
        <f t="shared" si="68"/>
        <v/>
      </c>
      <c r="P108" s="29" t="str">
        <f t="shared" si="53"/>
        <v/>
      </c>
      <c r="Q108" s="71"/>
      <c r="R108" s="10" t="str">
        <f t="shared" si="69"/>
        <v/>
      </c>
      <c r="S108" s="71"/>
      <c r="T108" s="10" t="str">
        <f t="shared" si="70"/>
        <v/>
      </c>
      <c r="U108" s="71"/>
      <c r="V108" s="10" t="str">
        <f t="shared" si="54"/>
        <v/>
      </c>
      <c r="W108" s="10" t="str">
        <f t="shared" si="71"/>
        <v/>
      </c>
      <c r="X108" s="71"/>
      <c r="Y108" s="10" t="str">
        <f t="shared" si="55"/>
        <v/>
      </c>
      <c r="Z108" s="10" t="str">
        <f t="shared" si="72"/>
        <v/>
      </c>
      <c r="AA108" s="71"/>
      <c r="AB108" s="10" t="str">
        <f t="shared" si="56"/>
        <v/>
      </c>
      <c r="AC108" s="10" t="str">
        <f t="shared" si="73"/>
        <v/>
      </c>
      <c r="AD108" s="71"/>
      <c r="AE108" s="10" t="str">
        <f t="shared" si="57"/>
        <v/>
      </c>
      <c r="AF108" s="10" t="str">
        <f t="shared" si="74"/>
        <v/>
      </c>
      <c r="AG108" s="71"/>
      <c r="AH108" s="10" t="str">
        <f t="shared" si="58"/>
        <v/>
      </c>
      <c r="AI108" s="10" t="str">
        <f t="shared" si="75"/>
        <v/>
      </c>
      <c r="AJ108" s="71"/>
      <c r="AK108" s="10" t="str">
        <f t="shared" si="59"/>
        <v/>
      </c>
      <c r="AL108" s="10" t="str">
        <f t="shared" si="76"/>
        <v/>
      </c>
      <c r="AM108" s="71"/>
      <c r="AN108" s="10" t="str">
        <f t="shared" si="60"/>
        <v/>
      </c>
      <c r="AO108" s="10" t="str">
        <f t="shared" si="77"/>
        <v/>
      </c>
      <c r="AP108" s="71"/>
      <c r="AQ108" s="10" t="str">
        <f t="shared" si="61"/>
        <v/>
      </c>
      <c r="AR108" s="10" t="str">
        <f t="shared" si="78"/>
        <v/>
      </c>
      <c r="AS108" s="71"/>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U108" s="71"/>
      <c r="AV108" s="10" t="str">
        <f t="shared" si="62"/>
        <v/>
      </c>
      <c r="AW108" s="10" t="str">
        <f t="shared" si="79"/>
        <v/>
      </c>
      <c r="AX108" s="71"/>
      <c r="AY108" s="7" t="str">
        <f>IF(ISERROR(IF($K108&lt;=$F$15,VLOOKUP($I108,'表4）CO2価格'!$A$7:$E$67,VLOOKUP($F$48,'表4）CO2価格'!$H$10:$I$12,2,0),0)*$F$8/1000,"")),0,IF($K108&lt;=$F$15,VLOOKUP($I108,'表4）CO2価格'!$A$7:$E$67,VLOOKUP($F$48,'表4）CO2価格'!$H$10:$I$12,2,0),0)*$F$8/1000,""))</f>
        <v/>
      </c>
      <c r="AZ108" s="71"/>
      <c r="BA108" s="11" t="str">
        <f t="shared" si="63"/>
        <v/>
      </c>
      <c r="BB108" s="10" t="str">
        <f t="shared" si="80"/>
        <v/>
      </c>
      <c r="BC108" s="71"/>
      <c r="BD108" s="10" t="str">
        <f t="shared" si="64"/>
        <v/>
      </c>
      <c r="BE108" s="10" t="str">
        <f t="shared" si="81"/>
        <v/>
      </c>
      <c r="BF108" s="71"/>
      <c r="BG108" s="11" t="str">
        <f t="shared" si="65"/>
        <v/>
      </c>
      <c r="BH108" s="10" t="str">
        <f t="shared" si="82"/>
        <v/>
      </c>
      <c r="BJ108" s="7" t="str">
        <f t="shared" si="83"/>
        <v/>
      </c>
      <c r="BK108" s="158" t="str">
        <f t="shared" si="84"/>
        <v/>
      </c>
      <c r="BL108" s="158" t="str">
        <f t="shared" si="66"/>
        <v/>
      </c>
      <c r="BM108" s="10"/>
      <c r="BN108" s="10" t="str">
        <f t="shared" si="85"/>
        <v/>
      </c>
      <c r="BO108" s="10" t="str">
        <f t="shared" si="86"/>
        <v/>
      </c>
      <c r="BQ108" s="10" t="str">
        <f t="shared" si="67"/>
        <v/>
      </c>
      <c r="BR108" s="10" t="str">
        <f t="shared" si="87"/>
        <v/>
      </c>
    </row>
    <row r="109" spans="4:70" x14ac:dyDescent="0.15">
      <c r="D109" s="100" t="s">
        <v>605</v>
      </c>
      <c r="E109" s="100"/>
      <c r="F109" s="486"/>
      <c r="G109" s="100"/>
      <c r="H109" s="71"/>
      <c r="I109" s="38">
        <f t="shared" si="88"/>
        <v>2124</v>
      </c>
      <c r="J109" s="39"/>
      <c r="K109" s="39">
        <f t="shared" si="89"/>
        <v>95</v>
      </c>
      <c r="L109" s="39"/>
      <c r="M109" s="40">
        <f t="shared" si="52"/>
        <v>6.0320322250551395E-2</v>
      </c>
      <c r="N109" s="39"/>
      <c r="O109" s="72" t="str">
        <f t="shared" si="68"/>
        <v/>
      </c>
      <c r="P109" s="41" t="str">
        <f t="shared" si="53"/>
        <v/>
      </c>
      <c r="Q109" s="39"/>
      <c r="R109" s="72" t="str">
        <f t="shared" si="69"/>
        <v/>
      </c>
      <c r="S109" s="39"/>
      <c r="T109" s="72" t="str">
        <f t="shared" si="70"/>
        <v/>
      </c>
      <c r="U109" s="39"/>
      <c r="V109" s="72" t="str">
        <f t="shared" si="54"/>
        <v/>
      </c>
      <c r="W109" s="72" t="str">
        <f t="shared" si="71"/>
        <v/>
      </c>
      <c r="X109" s="39"/>
      <c r="Y109" s="72" t="str">
        <f t="shared" si="55"/>
        <v/>
      </c>
      <c r="Z109" s="72" t="str">
        <f t="shared" si="72"/>
        <v/>
      </c>
      <c r="AA109" s="39"/>
      <c r="AB109" s="72" t="str">
        <f t="shared" si="56"/>
        <v/>
      </c>
      <c r="AC109" s="72" t="str">
        <f t="shared" si="73"/>
        <v/>
      </c>
      <c r="AD109" s="39"/>
      <c r="AE109" s="72" t="str">
        <f t="shared" si="57"/>
        <v/>
      </c>
      <c r="AF109" s="72" t="str">
        <f t="shared" si="74"/>
        <v/>
      </c>
      <c r="AG109" s="39"/>
      <c r="AH109" s="72" t="str">
        <f t="shared" si="58"/>
        <v/>
      </c>
      <c r="AI109" s="72" t="str">
        <f t="shared" si="75"/>
        <v/>
      </c>
      <c r="AJ109" s="39"/>
      <c r="AK109" s="72" t="str">
        <f t="shared" si="59"/>
        <v/>
      </c>
      <c r="AL109" s="72" t="str">
        <f t="shared" si="76"/>
        <v/>
      </c>
      <c r="AM109" s="39"/>
      <c r="AN109" s="72" t="str">
        <f t="shared" si="60"/>
        <v/>
      </c>
      <c r="AO109" s="72" t="str">
        <f t="shared" si="77"/>
        <v/>
      </c>
      <c r="AP109" s="39"/>
      <c r="AQ109" s="72" t="str">
        <f t="shared" si="61"/>
        <v/>
      </c>
      <c r="AR109" s="72" t="str">
        <f t="shared" si="78"/>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62"/>
        <v/>
      </c>
      <c r="AW109" s="72" t="str">
        <f t="shared" si="79"/>
        <v/>
      </c>
      <c r="AX109" s="39"/>
      <c r="AY109" s="40" t="str">
        <f>IF(ISERROR(IF($K109&lt;=$F$15,VLOOKUP($I109,'表4）CO2価格'!$A$7:$E$67,VLOOKUP($F$48,'表4）CO2価格'!$H$10:$I$12,2,0),0)*$F$8/1000,"")),0,IF($K109&lt;=$F$15,VLOOKUP($I109,'表4）CO2価格'!$A$7:$E$67,VLOOKUP($F$48,'表4）CO2価格'!$H$10:$I$12,2,0),0)*$F$8/1000,""))</f>
        <v/>
      </c>
      <c r="AZ109" s="39"/>
      <c r="BA109" s="42" t="str">
        <f t="shared" si="63"/>
        <v/>
      </c>
      <c r="BB109" s="72" t="str">
        <f t="shared" si="80"/>
        <v/>
      </c>
      <c r="BC109" s="39"/>
      <c r="BD109" s="72" t="str">
        <f t="shared" si="64"/>
        <v/>
      </c>
      <c r="BE109" s="72" t="str">
        <f t="shared" si="81"/>
        <v/>
      </c>
      <c r="BF109" s="39"/>
      <c r="BG109" s="42" t="str">
        <f t="shared" si="65"/>
        <v/>
      </c>
      <c r="BH109" s="72" t="str">
        <f t="shared" si="82"/>
        <v/>
      </c>
      <c r="BI109" s="39"/>
      <c r="BJ109" s="40" t="str">
        <f t="shared" si="83"/>
        <v/>
      </c>
      <c r="BK109" s="157" t="str">
        <f t="shared" si="84"/>
        <v/>
      </c>
      <c r="BL109" s="157" t="str">
        <f t="shared" si="66"/>
        <v/>
      </c>
      <c r="BM109" s="72"/>
      <c r="BN109" s="72" t="str">
        <f t="shared" si="85"/>
        <v/>
      </c>
      <c r="BO109" s="72" t="str">
        <f t="shared" si="86"/>
        <v/>
      </c>
      <c r="BP109" s="39"/>
      <c r="BQ109" s="72" t="str">
        <f t="shared" si="67"/>
        <v/>
      </c>
      <c r="BR109" s="72" t="str">
        <f t="shared" si="87"/>
        <v/>
      </c>
    </row>
    <row r="110" spans="4:70" ht="15" x14ac:dyDescent="0.15">
      <c r="D110" s="103"/>
      <c r="F110" s="487"/>
      <c r="H110" s="71"/>
      <c r="I110" s="322">
        <f t="shared" si="88"/>
        <v>2125</v>
      </c>
      <c r="J110" s="71"/>
      <c r="K110" s="71">
        <f t="shared" si="89"/>
        <v>96</v>
      </c>
      <c r="L110" s="71"/>
      <c r="M110" s="7">
        <f t="shared" si="52"/>
        <v>5.8563419660729518E-2</v>
      </c>
      <c r="N110" s="71"/>
      <c r="O110" s="10" t="str">
        <f t="shared" si="68"/>
        <v/>
      </c>
      <c r="P110" s="29" t="str">
        <f t="shared" si="53"/>
        <v/>
      </c>
      <c r="Q110" s="71"/>
      <c r="R110" s="10" t="str">
        <f t="shared" si="69"/>
        <v/>
      </c>
      <c r="S110" s="71"/>
      <c r="T110" s="10" t="str">
        <f t="shared" si="70"/>
        <v/>
      </c>
      <c r="U110" s="71"/>
      <c r="V110" s="10" t="str">
        <f t="shared" si="54"/>
        <v/>
      </c>
      <c r="W110" s="10" t="str">
        <f t="shared" si="71"/>
        <v/>
      </c>
      <c r="X110" s="71"/>
      <c r="Y110" s="10" t="str">
        <f t="shared" si="55"/>
        <v/>
      </c>
      <c r="Z110" s="10" t="str">
        <f t="shared" si="72"/>
        <v/>
      </c>
      <c r="AA110" s="71"/>
      <c r="AB110" s="10" t="str">
        <f t="shared" si="56"/>
        <v/>
      </c>
      <c r="AC110" s="10" t="str">
        <f t="shared" si="73"/>
        <v/>
      </c>
      <c r="AD110" s="71"/>
      <c r="AE110" s="10" t="str">
        <f t="shared" si="57"/>
        <v/>
      </c>
      <c r="AF110" s="10" t="str">
        <f t="shared" si="74"/>
        <v/>
      </c>
      <c r="AG110" s="71"/>
      <c r="AH110" s="10" t="str">
        <f t="shared" si="58"/>
        <v/>
      </c>
      <c r="AI110" s="10" t="str">
        <f t="shared" si="75"/>
        <v/>
      </c>
      <c r="AJ110" s="71"/>
      <c r="AK110" s="10" t="str">
        <f t="shared" si="59"/>
        <v/>
      </c>
      <c r="AL110" s="10" t="str">
        <f t="shared" si="76"/>
        <v/>
      </c>
      <c r="AM110" s="71"/>
      <c r="AN110" s="10" t="str">
        <f t="shared" si="60"/>
        <v/>
      </c>
      <c r="AO110" s="10" t="str">
        <f t="shared" si="77"/>
        <v/>
      </c>
      <c r="AP110" s="71"/>
      <c r="AQ110" s="10" t="str">
        <f t="shared" si="61"/>
        <v/>
      </c>
      <c r="AR110" s="10" t="str">
        <f t="shared" si="78"/>
        <v/>
      </c>
      <c r="AS110" s="71"/>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U110" s="71"/>
      <c r="AV110" s="10" t="str">
        <f t="shared" si="62"/>
        <v/>
      </c>
      <c r="AW110" s="10" t="str">
        <f t="shared" si="79"/>
        <v/>
      </c>
      <c r="AX110" s="71"/>
      <c r="AY110" s="7" t="str">
        <f>IF(ISERROR(IF($K110&lt;=$F$15,VLOOKUP($I110,'表4）CO2価格'!$A$7:$E$67,VLOOKUP($F$48,'表4）CO2価格'!$H$10:$I$12,2,0),0)*$F$8/1000,"")),0,IF($K110&lt;=$F$15,VLOOKUP($I110,'表4）CO2価格'!$A$7:$E$67,VLOOKUP($F$48,'表4）CO2価格'!$H$10:$I$12,2,0),0)*$F$8/1000,""))</f>
        <v/>
      </c>
      <c r="AZ110" s="71"/>
      <c r="BA110" s="11" t="str">
        <f t="shared" si="63"/>
        <v/>
      </c>
      <c r="BB110" s="10" t="str">
        <f t="shared" si="80"/>
        <v/>
      </c>
      <c r="BC110" s="71"/>
      <c r="BD110" s="10" t="str">
        <f t="shared" si="64"/>
        <v/>
      </c>
      <c r="BE110" s="10" t="str">
        <f t="shared" si="81"/>
        <v/>
      </c>
      <c r="BF110" s="71"/>
      <c r="BG110" s="11" t="str">
        <f t="shared" si="65"/>
        <v/>
      </c>
      <c r="BH110" s="10" t="str">
        <f t="shared" si="82"/>
        <v/>
      </c>
      <c r="BJ110" s="7" t="str">
        <f t="shared" si="83"/>
        <v/>
      </c>
      <c r="BK110" s="158" t="str">
        <f t="shared" si="84"/>
        <v/>
      </c>
      <c r="BL110" s="158" t="str">
        <f t="shared" si="66"/>
        <v/>
      </c>
      <c r="BM110" s="10"/>
      <c r="BN110" s="10" t="str">
        <f t="shared" si="85"/>
        <v/>
      </c>
      <c r="BO110" s="10" t="str">
        <f t="shared" si="86"/>
        <v/>
      </c>
      <c r="BQ110" s="10" t="str">
        <f t="shared" si="67"/>
        <v/>
      </c>
      <c r="BR110" s="10" t="str">
        <f t="shared" si="87"/>
        <v/>
      </c>
    </row>
    <row r="111" spans="4:70" ht="15" x14ac:dyDescent="0.15">
      <c r="D111" s="103"/>
      <c r="E111" s="84" t="s">
        <v>606</v>
      </c>
      <c r="F111" s="488">
        <f>-BE116/BR116</f>
        <v>0</v>
      </c>
      <c r="G111" s="84" t="s">
        <v>590</v>
      </c>
      <c r="H111" s="71"/>
      <c r="I111" s="38">
        <f t="shared" si="88"/>
        <v>2126</v>
      </c>
      <c r="J111" s="39"/>
      <c r="K111" s="39">
        <f t="shared" si="89"/>
        <v>97</v>
      </c>
      <c r="L111" s="39"/>
      <c r="M111" s="40">
        <f t="shared" si="52"/>
        <v>5.6857688990999529E-2</v>
      </c>
      <c r="N111" s="39"/>
      <c r="O111" s="72" t="str">
        <f t="shared" si="68"/>
        <v/>
      </c>
      <c r="P111" s="41" t="str">
        <f>IF(K111&lt;=$F$15,IF(OR(P110=$F$124,P110="-"),"-",IF(O111*$F$123&gt;$F$127,$F$123,$F$124)),"")</f>
        <v/>
      </c>
      <c r="Q111" s="39"/>
      <c r="R111" s="72" t="str">
        <f t="shared" si="69"/>
        <v/>
      </c>
      <c r="S111" s="39"/>
      <c r="T111" s="72" t="str">
        <f t="shared" si="70"/>
        <v/>
      </c>
      <c r="U111" s="39"/>
      <c r="V111" s="72" t="str">
        <f t="shared" si="54"/>
        <v/>
      </c>
      <c r="W111" s="72" t="str">
        <f t="shared" si="71"/>
        <v/>
      </c>
      <c r="X111" s="39"/>
      <c r="Y111" s="72" t="str">
        <f t="shared" si="55"/>
        <v/>
      </c>
      <c r="Z111" s="72" t="str">
        <f t="shared" si="72"/>
        <v/>
      </c>
      <c r="AA111" s="39"/>
      <c r="AB111" s="72" t="str">
        <f t="shared" si="56"/>
        <v/>
      </c>
      <c r="AC111" s="72" t="str">
        <f t="shared" si="73"/>
        <v/>
      </c>
      <c r="AD111" s="39"/>
      <c r="AE111" s="72" t="str">
        <f t="shared" si="57"/>
        <v/>
      </c>
      <c r="AF111" s="72" t="str">
        <f t="shared" si="74"/>
        <v/>
      </c>
      <c r="AG111" s="39"/>
      <c r="AH111" s="72" t="str">
        <f t="shared" si="58"/>
        <v/>
      </c>
      <c r="AI111" s="72" t="str">
        <f t="shared" si="75"/>
        <v/>
      </c>
      <c r="AJ111" s="39"/>
      <c r="AK111" s="72" t="str">
        <f t="shared" si="59"/>
        <v/>
      </c>
      <c r="AL111" s="72" t="str">
        <f t="shared" si="76"/>
        <v/>
      </c>
      <c r="AM111" s="39"/>
      <c r="AN111" s="72" t="str">
        <f t="shared" si="60"/>
        <v/>
      </c>
      <c r="AO111" s="72" t="str">
        <f t="shared" si="77"/>
        <v/>
      </c>
      <c r="AP111" s="39"/>
      <c r="AQ111" s="72" t="str">
        <f t="shared" si="61"/>
        <v/>
      </c>
      <c r="AR111" s="72" t="str">
        <f t="shared" si="78"/>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62"/>
        <v/>
      </c>
      <c r="AW111" s="72" t="str">
        <f t="shared" si="79"/>
        <v/>
      </c>
      <c r="AX111" s="39"/>
      <c r="AY111" s="40" t="str">
        <f>IF(ISERROR(IF($K111&lt;=$F$15,VLOOKUP($I111,'表4）CO2価格'!$A$7:$E$67,VLOOKUP($F$48,'表4）CO2価格'!$H$10:$I$12,2,0),0)*$F$8/1000,"")),0,IF($K111&lt;=$F$15,VLOOKUP($I111,'表4）CO2価格'!$A$7:$E$67,VLOOKUP($F$48,'表4）CO2価格'!$H$10:$I$12,2,0),0)*$F$8/1000,""))</f>
        <v/>
      </c>
      <c r="AZ111" s="39"/>
      <c r="BA111" s="42" t="str">
        <f t="shared" si="63"/>
        <v/>
      </c>
      <c r="BB111" s="72" t="str">
        <f t="shared" si="80"/>
        <v/>
      </c>
      <c r="BC111" s="39"/>
      <c r="BD111" s="72" t="str">
        <f t="shared" si="64"/>
        <v/>
      </c>
      <c r="BE111" s="72" t="str">
        <f t="shared" si="81"/>
        <v/>
      </c>
      <c r="BF111" s="39"/>
      <c r="BG111" s="42" t="str">
        <f t="shared" si="65"/>
        <v/>
      </c>
      <c r="BH111" s="72" t="str">
        <f t="shared" si="82"/>
        <v/>
      </c>
      <c r="BI111" s="39"/>
      <c r="BJ111" s="40" t="str">
        <f t="shared" si="83"/>
        <v/>
      </c>
      <c r="BK111" s="157" t="str">
        <f t="shared" si="84"/>
        <v/>
      </c>
      <c r="BL111" s="157" t="str">
        <f t="shared" si="66"/>
        <v/>
      </c>
      <c r="BM111" s="72"/>
      <c r="BN111" s="72" t="str">
        <f t="shared" si="85"/>
        <v/>
      </c>
      <c r="BO111" s="72" t="str">
        <f t="shared" si="86"/>
        <v/>
      </c>
      <c r="BP111" s="39"/>
      <c r="BQ111" s="72" t="str">
        <f t="shared" si="67"/>
        <v/>
      </c>
      <c r="BR111" s="72" t="str">
        <f t="shared" si="87"/>
        <v/>
      </c>
    </row>
    <row r="112" spans="4:70" ht="15" x14ac:dyDescent="0.15">
      <c r="D112" s="103"/>
      <c r="E112" s="84" t="s">
        <v>607</v>
      </c>
      <c r="F112" s="488">
        <f>-BH116/BR116</f>
        <v>0</v>
      </c>
      <c r="G112" s="84" t="s">
        <v>590</v>
      </c>
      <c r="H112" s="71"/>
      <c r="I112" s="322">
        <f t="shared" si="88"/>
        <v>2127</v>
      </c>
      <c r="J112" s="71"/>
      <c r="K112" s="71">
        <f t="shared" si="89"/>
        <v>98</v>
      </c>
      <c r="L112" s="71"/>
      <c r="M112" s="7">
        <f t="shared" si="52"/>
        <v>5.5201639797086935E-2</v>
      </c>
      <c r="N112" s="71"/>
      <c r="O112" s="10" t="str">
        <f t="shared" si="68"/>
        <v/>
      </c>
      <c r="P112" s="29" t="str">
        <f>IF(K112&lt;=$F$15,IF(OR(P111=$F$124,P111="-"),"-",IF(O112*$F$123&gt;$F$127,$F$123,$F$124)),"")</f>
        <v/>
      </c>
      <c r="Q112" s="71"/>
      <c r="R112" s="10" t="str">
        <f t="shared" si="69"/>
        <v/>
      </c>
      <c r="S112" s="71"/>
      <c r="T112" s="10" t="str">
        <f t="shared" si="70"/>
        <v/>
      </c>
      <c r="U112" s="71"/>
      <c r="V112" s="10" t="str">
        <f t="shared" si="54"/>
        <v/>
      </c>
      <c r="W112" s="10" t="str">
        <f t="shared" si="71"/>
        <v/>
      </c>
      <c r="X112" s="71"/>
      <c r="Y112" s="10" t="str">
        <f t="shared" si="55"/>
        <v/>
      </c>
      <c r="Z112" s="10" t="str">
        <f t="shared" si="72"/>
        <v/>
      </c>
      <c r="AA112" s="71"/>
      <c r="AB112" s="10" t="str">
        <f t="shared" si="56"/>
        <v/>
      </c>
      <c r="AC112" s="10" t="str">
        <f t="shared" si="73"/>
        <v/>
      </c>
      <c r="AD112" s="71"/>
      <c r="AE112" s="10" t="str">
        <f t="shared" si="57"/>
        <v/>
      </c>
      <c r="AF112" s="10" t="str">
        <f t="shared" si="74"/>
        <v/>
      </c>
      <c r="AG112" s="71"/>
      <c r="AH112" s="10" t="str">
        <f t="shared" si="58"/>
        <v/>
      </c>
      <c r="AI112" s="10" t="str">
        <f t="shared" si="75"/>
        <v/>
      </c>
      <c r="AJ112" s="71"/>
      <c r="AK112" s="10" t="str">
        <f t="shared" si="59"/>
        <v/>
      </c>
      <c r="AL112" s="10" t="str">
        <f t="shared" si="76"/>
        <v/>
      </c>
      <c r="AM112" s="71"/>
      <c r="AN112" s="10" t="str">
        <f t="shared" si="60"/>
        <v/>
      </c>
      <c r="AO112" s="10" t="str">
        <f t="shared" si="77"/>
        <v/>
      </c>
      <c r="AP112" s="71"/>
      <c r="AQ112" s="10" t="str">
        <f t="shared" si="61"/>
        <v/>
      </c>
      <c r="AR112" s="10" t="str">
        <f t="shared" si="78"/>
        <v/>
      </c>
      <c r="AS112" s="71"/>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U112" s="71"/>
      <c r="AV112" s="10" t="str">
        <f t="shared" si="62"/>
        <v/>
      </c>
      <c r="AW112" s="10" t="str">
        <f t="shared" si="79"/>
        <v/>
      </c>
      <c r="AX112" s="71"/>
      <c r="AY112" s="7" t="str">
        <f>IF(ISERROR(IF($K112&lt;=$F$15,VLOOKUP($I112,'表4）CO2価格'!$A$7:$E$67,VLOOKUP($F$48,'表4）CO2価格'!$H$10:$I$12,2,0),0)*$F$8/1000,"")),0,IF($K112&lt;=$F$15,VLOOKUP($I112,'表4）CO2価格'!$A$7:$E$67,VLOOKUP($F$48,'表4）CO2価格'!$H$10:$I$12,2,0),0)*$F$8/1000,""))</f>
        <v/>
      </c>
      <c r="AZ112" s="71"/>
      <c r="BA112" s="11" t="str">
        <f t="shared" si="63"/>
        <v/>
      </c>
      <c r="BB112" s="10" t="str">
        <f t="shared" si="80"/>
        <v/>
      </c>
      <c r="BC112" s="71"/>
      <c r="BD112" s="10" t="str">
        <f t="shared" si="64"/>
        <v/>
      </c>
      <c r="BE112" s="10" t="str">
        <f t="shared" si="81"/>
        <v/>
      </c>
      <c r="BF112" s="71"/>
      <c r="BG112" s="11" t="str">
        <f t="shared" si="65"/>
        <v/>
      </c>
      <c r="BH112" s="10" t="str">
        <f t="shared" si="82"/>
        <v/>
      </c>
      <c r="BJ112" s="7" t="str">
        <f t="shared" si="83"/>
        <v/>
      </c>
      <c r="BK112" s="158" t="str">
        <f t="shared" si="84"/>
        <v/>
      </c>
      <c r="BL112" s="158" t="str">
        <f t="shared" si="66"/>
        <v/>
      </c>
      <c r="BM112" s="10"/>
      <c r="BN112" s="10" t="str">
        <f t="shared" si="85"/>
        <v/>
      </c>
      <c r="BO112" s="10" t="str">
        <f t="shared" si="86"/>
        <v/>
      </c>
      <c r="BQ112" s="10" t="str">
        <f t="shared" si="67"/>
        <v/>
      </c>
      <c r="BR112" s="10" t="str">
        <f t="shared" si="87"/>
        <v/>
      </c>
    </row>
    <row r="113" spans="2:70" x14ac:dyDescent="0.15">
      <c r="H113" s="71"/>
      <c r="I113" s="38">
        <f t="shared" si="88"/>
        <v>2128</v>
      </c>
      <c r="J113" s="39"/>
      <c r="K113" s="39">
        <f t="shared" si="89"/>
        <v>99</v>
      </c>
      <c r="L113" s="39"/>
      <c r="M113" s="40">
        <f t="shared" si="52"/>
        <v>5.3593825045715457E-2</v>
      </c>
      <c r="N113" s="39"/>
      <c r="O113" s="72" t="str">
        <f t="shared" si="68"/>
        <v/>
      </c>
      <c r="P113" s="41" t="str">
        <f>IF(K113&lt;=$F$15,IF(OR(P112=$F$124,P112="-"),"-",IF(O113*$F$123&gt;$F$127,$F$123,$F$124)),"")</f>
        <v/>
      </c>
      <c r="Q113" s="39"/>
      <c r="R113" s="72" t="str">
        <f t="shared" si="69"/>
        <v/>
      </c>
      <c r="S113" s="39"/>
      <c r="T113" s="72" t="str">
        <f t="shared" si="70"/>
        <v/>
      </c>
      <c r="U113" s="39"/>
      <c r="V113" s="72" t="str">
        <f t="shared" si="54"/>
        <v/>
      </c>
      <c r="W113" s="72" t="str">
        <f t="shared" si="71"/>
        <v/>
      </c>
      <c r="X113" s="39"/>
      <c r="Y113" s="72" t="str">
        <f t="shared" si="55"/>
        <v/>
      </c>
      <c r="Z113" s="72" t="str">
        <f t="shared" si="72"/>
        <v/>
      </c>
      <c r="AA113" s="39"/>
      <c r="AB113" s="72" t="str">
        <f t="shared" si="56"/>
        <v/>
      </c>
      <c r="AC113" s="72" t="str">
        <f t="shared" si="73"/>
        <v/>
      </c>
      <c r="AD113" s="39"/>
      <c r="AE113" s="72" t="str">
        <f t="shared" si="57"/>
        <v/>
      </c>
      <c r="AF113" s="72" t="str">
        <f t="shared" si="74"/>
        <v/>
      </c>
      <c r="AG113" s="39"/>
      <c r="AH113" s="72" t="str">
        <f t="shared" si="58"/>
        <v/>
      </c>
      <c r="AI113" s="72" t="str">
        <f t="shared" si="75"/>
        <v/>
      </c>
      <c r="AJ113" s="39"/>
      <c r="AK113" s="72" t="str">
        <f t="shared" si="59"/>
        <v/>
      </c>
      <c r="AL113" s="72" t="str">
        <f t="shared" si="76"/>
        <v/>
      </c>
      <c r="AM113" s="39"/>
      <c r="AN113" s="72" t="str">
        <f t="shared" si="60"/>
        <v/>
      </c>
      <c r="AO113" s="72" t="str">
        <f t="shared" si="77"/>
        <v/>
      </c>
      <c r="AP113" s="39"/>
      <c r="AQ113" s="72" t="str">
        <f t="shared" si="61"/>
        <v/>
      </c>
      <c r="AR113" s="72" t="str">
        <f t="shared" si="78"/>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62"/>
        <v/>
      </c>
      <c r="AW113" s="72" t="str">
        <f t="shared" si="79"/>
        <v/>
      </c>
      <c r="AX113" s="39"/>
      <c r="AY113" s="40" t="str">
        <f>IF(ISERROR(IF($K113&lt;=$F$15,VLOOKUP($I113,'表4）CO2価格'!$A$7:$E$67,VLOOKUP($F$48,'表4）CO2価格'!$H$10:$I$12,2,0),0)*$F$8/1000,"")),0,IF($K113&lt;=$F$15,VLOOKUP($I113,'表4）CO2価格'!$A$7:$E$67,VLOOKUP($F$48,'表4）CO2価格'!$H$10:$I$12,2,0),0)*$F$8/1000,""))</f>
        <v/>
      </c>
      <c r="AZ113" s="39"/>
      <c r="BA113" s="42" t="str">
        <f t="shared" si="63"/>
        <v/>
      </c>
      <c r="BB113" s="72" t="str">
        <f t="shared" si="80"/>
        <v/>
      </c>
      <c r="BC113" s="39"/>
      <c r="BD113" s="72" t="str">
        <f t="shared" si="64"/>
        <v/>
      </c>
      <c r="BE113" s="72" t="str">
        <f t="shared" si="81"/>
        <v/>
      </c>
      <c r="BF113" s="39"/>
      <c r="BG113" s="42" t="str">
        <f t="shared" si="65"/>
        <v/>
      </c>
      <c r="BH113" s="72" t="str">
        <f t="shared" si="82"/>
        <v/>
      </c>
      <c r="BI113" s="39"/>
      <c r="BJ113" s="40" t="str">
        <f t="shared" si="83"/>
        <v/>
      </c>
      <c r="BK113" s="157" t="str">
        <f t="shared" si="84"/>
        <v/>
      </c>
      <c r="BL113" s="157" t="str">
        <f t="shared" si="66"/>
        <v/>
      </c>
      <c r="BM113" s="72"/>
      <c r="BN113" s="72" t="str">
        <f t="shared" si="85"/>
        <v/>
      </c>
      <c r="BO113" s="72" t="str">
        <f t="shared" si="86"/>
        <v/>
      </c>
      <c r="BP113" s="39"/>
      <c r="BQ113" s="72" t="str">
        <f t="shared" si="67"/>
        <v/>
      </c>
      <c r="BR113" s="72" t="str">
        <f t="shared" si="87"/>
        <v/>
      </c>
    </row>
    <row r="114" spans="2:70" x14ac:dyDescent="0.15">
      <c r="H114" s="71"/>
      <c r="I114" s="322">
        <f t="shared" si="88"/>
        <v>2129</v>
      </c>
      <c r="J114" s="71"/>
      <c r="K114" s="71">
        <f t="shared" si="89"/>
        <v>100</v>
      </c>
      <c r="L114" s="71"/>
      <c r="M114" s="7">
        <f t="shared" si="52"/>
        <v>5.2032839850209185E-2</v>
      </c>
      <c r="N114" s="71"/>
      <c r="O114" s="10" t="str">
        <f t="shared" si="68"/>
        <v/>
      </c>
      <c r="P114" s="29" t="str">
        <f>IF(K114&lt;=$F$15,IF(OR(P113=$F$124,P113="-"),"-",IF(O114*$F$123&gt;$F$127,$F$123,$F$124)),"")</f>
        <v/>
      </c>
      <c r="Q114" s="71"/>
      <c r="R114" s="10" t="str">
        <f t="shared" si="69"/>
        <v/>
      </c>
      <c r="S114" s="71"/>
      <c r="T114" s="10" t="str">
        <f t="shared" si="70"/>
        <v/>
      </c>
      <c r="U114" s="71"/>
      <c r="V114" s="10" t="str">
        <f t="shared" si="54"/>
        <v/>
      </c>
      <c r="W114" s="10" t="str">
        <f t="shared" si="71"/>
        <v/>
      </c>
      <c r="X114" s="71"/>
      <c r="Y114" s="10" t="str">
        <f t="shared" si="55"/>
        <v/>
      </c>
      <c r="Z114" s="10" t="str">
        <f t="shared" si="72"/>
        <v/>
      </c>
      <c r="AA114" s="71"/>
      <c r="AB114" s="10" t="str">
        <f t="shared" si="56"/>
        <v/>
      </c>
      <c r="AC114" s="10" t="str">
        <f t="shared" si="73"/>
        <v/>
      </c>
      <c r="AD114" s="71"/>
      <c r="AE114" s="10" t="str">
        <f t="shared" si="57"/>
        <v/>
      </c>
      <c r="AF114" s="10" t="str">
        <f t="shared" si="74"/>
        <v/>
      </c>
      <c r="AG114" s="71"/>
      <c r="AH114" s="10" t="str">
        <f t="shared" si="58"/>
        <v/>
      </c>
      <c r="AI114" s="10" t="str">
        <f t="shared" si="75"/>
        <v/>
      </c>
      <c r="AJ114" s="71"/>
      <c r="AK114" s="10" t="str">
        <f t="shared" si="59"/>
        <v/>
      </c>
      <c r="AL114" s="10" t="str">
        <f t="shared" si="76"/>
        <v/>
      </c>
      <c r="AM114" s="71"/>
      <c r="AN114" s="10" t="str">
        <f t="shared" si="60"/>
        <v/>
      </c>
      <c r="AO114" s="10" t="str">
        <f t="shared" si="77"/>
        <v/>
      </c>
      <c r="AP114" s="71"/>
      <c r="AQ114" s="10" t="str">
        <f t="shared" si="61"/>
        <v/>
      </c>
      <c r="AR114" s="10" t="str">
        <f t="shared" si="78"/>
        <v/>
      </c>
      <c r="AS114" s="71"/>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U114" s="71"/>
      <c r="AV114" s="10" t="str">
        <f t="shared" si="62"/>
        <v/>
      </c>
      <c r="AW114" s="10" t="str">
        <f t="shared" si="79"/>
        <v/>
      </c>
      <c r="AX114" s="71"/>
      <c r="AY114" s="7" t="str">
        <f>IF(ISERROR(IF($K114&lt;=$F$15,VLOOKUP($I114,'表4）CO2価格'!$A$7:$E$67,VLOOKUP($F$48,'表4）CO2価格'!$H$10:$I$12,2,0),0)*$F$8/1000,"")),0,IF($K114&lt;=$F$15,VLOOKUP($I114,'表4）CO2価格'!$A$7:$E$67,VLOOKUP($F$48,'表4）CO2価格'!$H$10:$I$12,2,0),0)*$F$8/1000,""))</f>
        <v/>
      </c>
      <c r="AZ114" s="71"/>
      <c r="BA114" s="11" t="str">
        <f t="shared" si="63"/>
        <v/>
      </c>
      <c r="BB114" s="10" t="str">
        <f t="shared" si="80"/>
        <v/>
      </c>
      <c r="BC114" s="71"/>
      <c r="BD114" s="10" t="str">
        <f t="shared" si="64"/>
        <v/>
      </c>
      <c r="BE114" s="10" t="str">
        <f t="shared" si="81"/>
        <v/>
      </c>
      <c r="BF114" s="71"/>
      <c r="BG114" s="11" t="str">
        <f t="shared" si="65"/>
        <v/>
      </c>
      <c r="BH114" s="10" t="str">
        <f t="shared" si="82"/>
        <v/>
      </c>
      <c r="BJ114" s="7" t="str">
        <f t="shared" si="83"/>
        <v/>
      </c>
      <c r="BK114" s="158" t="str">
        <f t="shared" si="84"/>
        <v/>
      </c>
      <c r="BL114" s="158" t="str">
        <f t="shared" si="66"/>
        <v/>
      </c>
      <c r="BM114" s="10"/>
      <c r="BN114" s="10" t="str">
        <f t="shared" si="85"/>
        <v/>
      </c>
      <c r="BO114" s="10" t="str">
        <f t="shared" si="86"/>
        <v/>
      </c>
      <c r="BQ114" s="10" t="str">
        <f t="shared" si="67"/>
        <v/>
      </c>
      <c r="BR114" s="10" t="str">
        <f t="shared" si="87"/>
        <v/>
      </c>
    </row>
    <row r="115" spans="2:70" ht="15.75" thickBot="1" x14ac:dyDescent="0.2">
      <c r="B115" s="5" t="s">
        <v>608</v>
      </c>
      <c r="C115" s="3"/>
      <c r="D115" s="102"/>
      <c r="E115" s="102"/>
      <c r="F115" s="3"/>
      <c r="G115" s="102"/>
      <c r="H115" s="71"/>
      <c r="I115" s="321"/>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H116" s="71"/>
      <c r="I116" s="71" t="s">
        <v>143</v>
      </c>
      <c r="J116" s="71"/>
      <c r="K116" s="71"/>
      <c r="L116" s="71"/>
      <c r="M116" s="71"/>
      <c r="N116" s="71"/>
      <c r="O116" s="71"/>
      <c r="P116" s="71"/>
      <c r="Q116" s="71"/>
      <c r="R116" s="71"/>
      <c r="S116" s="71"/>
      <c r="T116" s="71"/>
      <c r="U116" s="71"/>
      <c r="V116" s="71"/>
      <c r="W116" s="11"/>
      <c r="X116" s="71"/>
      <c r="Y116" s="71"/>
      <c r="Z116" s="11">
        <f>SUM(Z15:Z114)</f>
        <v>2012832803.5460384</v>
      </c>
      <c r="AA116" s="71"/>
      <c r="AB116" s="71"/>
      <c r="AC116" s="11">
        <f>SUM(AC15:AC114)</f>
        <v>352689180.89025348</v>
      </c>
      <c r="AD116" s="71"/>
      <c r="AE116" s="71"/>
      <c r="AF116" s="11">
        <f>SUM(AF15:AF114)</f>
        <v>0</v>
      </c>
      <c r="AG116" s="71"/>
      <c r="AH116" s="71"/>
      <c r="AI116" s="11">
        <f>SUM(AI15:AI114)</f>
        <v>22883624254.464394</v>
      </c>
      <c r="AJ116" s="71"/>
      <c r="AK116" s="71"/>
      <c r="AL116" s="11">
        <f>SUM(AL15:AL114)</f>
        <v>0</v>
      </c>
      <c r="AM116" s="71"/>
      <c r="AN116" s="71"/>
      <c r="AO116" s="11">
        <f>SUM(AO15:AO114)</f>
        <v>0</v>
      </c>
      <c r="AP116" s="71"/>
      <c r="AQ116" s="71"/>
      <c r="AR116" s="11">
        <f>SUM(AR15:AR114)</f>
        <v>0</v>
      </c>
      <c r="AS116" s="71"/>
      <c r="AT116" s="71"/>
      <c r="AU116" s="71"/>
      <c r="AV116" s="71"/>
      <c r="AW116" s="11">
        <f>SUM(AW15:AW114)</f>
        <v>0</v>
      </c>
      <c r="AX116" s="71"/>
      <c r="AY116" s="71"/>
      <c r="AZ116" s="71"/>
      <c r="BA116" s="71"/>
      <c r="BB116" s="11">
        <f>SUM(BB15:BB114)</f>
        <v>0</v>
      </c>
      <c r="BC116" s="71"/>
      <c r="BD116" s="71"/>
      <c r="BE116" s="11">
        <f>SUM(BE15:BE114)</f>
        <v>0</v>
      </c>
      <c r="BF116" s="71"/>
      <c r="BG116" s="71"/>
      <c r="BH116" s="11">
        <f>SUM(BH15:BH114)</f>
        <v>0</v>
      </c>
      <c r="BK116" s="11">
        <f>SUM(BK15:BK114)</f>
        <v>7764435853.2097273</v>
      </c>
      <c r="BL116" s="11">
        <f>SUM(BL15:BL114)</f>
        <v>1254543927.4174554</v>
      </c>
      <c r="BO116" s="11">
        <f>SUM(BO15:BO114)</f>
        <v>58124168054.833916</v>
      </c>
      <c r="BQ116" s="71"/>
      <c r="BR116" s="11">
        <f>SUM(BR15:BR114)</f>
        <v>4487279004.6706085</v>
      </c>
    </row>
    <row r="117" spans="2:70" x14ac:dyDescent="0.15">
      <c r="C117" s="71" t="s">
        <v>610</v>
      </c>
      <c r="F117" s="490">
        <f>F21*10^4*F13*10^4+F29*10^8</f>
        <v>23700000000</v>
      </c>
      <c r="G117" s="84" t="s">
        <v>611</v>
      </c>
      <c r="H117" s="71"/>
      <c r="I117" s="48" t="s">
        <v>145</v>
      </c>
      <c r="J117" s="71"/>
      <c r="K117" s="71"/>
      <c r="L117" s="71"/>
      <c r="M117" s="71"/>
      <c r="N117" s="71"/>
      <c r="O117" s="71"/>
      <c r="P117" s="71"/>
      <c r="Q117" s="71"/>
      <c r="R117" s="71"/>
      <c r="S117" s="71"/>
      <c r="T117" s="71"/>
      <c r="U117" s="71"/>
      <c r="V117" s="71"/>
      <c r="W117" s="11"/>
      <c r="X117" s="71"/>
      <c r="Y117" s="71"/>
      <c r="Z117" s="11">
        <f ca="1">IF(ISNUMBER($F$16),SUM(INDIRECT(ADDRESS($F$16+15,COLUMN())):INDIRECT(ADDRESS(114,COLUMN()))),"")</f>
        <v>210769399.17520332</v>
      </c>
      <c r="AA117" s="71"/>
      <c r="AB117" s="71"/>
      <c r="AC117" s="11">
        <f ca="1">IF(ISNUMBER($F$16),SUM(INDIRECT(ADDRESS($F$16+15,COLUMN())):INDIRECT(ADDRESS(114,COLUMN()))),"")</f>
        <v>352689180.89025348</v>
      </c>
      <c r="AD117" s="71"/>
      <c r="AE117" s="71"/>
      <c r="AF117" s="11">
        <f ca="1">IF(ISNUMBER($F$16),SUM(INDIRECT(ADDRESS($F$16+15,COLUMN())):INDIRECT(ADDRESS(114,COLUMN()))),"")</f>
        <v>0</v>
      </c>
      <c r="AG117" s="71"/>
      <c r="AH117" s="71"/>
      <c r="AI117" s="11">
        <f ca="1">IF(ISNUMBER($F$16),SUM(INDIRECT(ADDRESS($F$16+15,COLUMN())):INDIRECT(ADDRESS(114,COLUMN()))),"")</f>
        <v>11065068518.556067</v>
      </c>
      <c r="AJ117" s="71"/>
      <c r="AK117" s="71"/>
      <c r="AL117" s="11">
        <f ca="1">IF(ISNUMBER($F$16),SUM(INDIRECT(ADDRESS($F$16+15,COLUMN())):INDIRECT(ADDRESS(114,COLUMN()))),"")</f>
        <v>0</v>
      </c>
      <c r="AM117" s="71"/>
      <c r="AN117" s="71"/>
      <c r="AO117" s="11">
        <f ca="1">IF(ISNUMBER($F$16),SUM(INDIRECT(ADDRESS($F$16+15,COLUMN())):INDIRECT(ADDRESS(114,COLUMN()))),"")</f>
        <v>0</v>
      </c>
      <c r="AP117" s="71"/>
      <c r="AQ117" s="71"/>
      <c r="AR117" s="11">
        <f ca="1">IF(ISNUMBER($F$16),SUM(INDIRECT(ADDRESS($F$16+15,COLUMN())):INDIRECT(ADDRESS(114,COLUMN()))),"")</f>
        <v>0</v>
      </c>
      <c r="AS117" s="71"/>
      <c r="AT117" s="71"/>
      <c r="AU117" s="71"/>
      <c r="AV117" s="71"/>
      <c r="AW117" s="11">
        <f ca="1">IF(ISNUMBER($F$16),SUM(INDIRECT(ADDRESS($F$16+15,COLUMN())):INDIRECT(ADDRESS(114,COLUMN()))),"")</f>
        <v>0</v>
      </c>
      <c r="AX117" s="71"/>
      <c r="AY117" s="71"/>
      <c r="AZ117" s="71"/>
      <c r="BA117" s="71"/>
      <c r="BB117" s="11">
        <f ca="1">IF(ISNUMBER($F$16),SUM(INDIRECT(ADDRESS($F$16+15,COLUMN())):INDIRECT(ADDRESS(114,COLUMN()))),"")</f>
        <v>0</v>
      </c>
      <c r="BC117" s="71"/>
      <c r="BD117" s="71"/>
      <c r="BE117" s="11">
        <f ca="1">IF(ISNUMBER($F$16),SUM(INDIRECT(ADDRESS($F$16+15,COLUMN())):INDIRECT(ADDRESS(114,COLUMN()))),"")</f>
        <v>0</v>
      </c>
      <c r="BF117" s="71"/>
      <c r="BG117" s="71"/>
      <c r="BH117" s="11">
        <f ca="1">IF(ISNUMBER($F$16),SUM(INDIRECT(ADDRESS($F$16+15,COLUMN())):INDIRECT(ADDRESS(114,COLUMN()))),"")</f>
        <v>0</v>
      </c>
      <c r="BK117" s="11">
        <f ca="1">IF(ISNUMBER($F$16),SUM(INDIRECT(ADDRESS($F$16+15,COLUMN())):INDIRECT(ADDRESS(114,COLUMN()))),"")</f>
        <v>167673046.26151878</v>
      </c>
      <c r="BL117" s="11">
        <f ca="1">IF(ISNUMBER($F$16),SUM(INDIRECT(ADDRESS($F$16+15,COLUMN())):INDIRECT(ADDRESS(114,COLUMN()))),"")</f>
        <v>0</v>
      </c>
      <c r="BO117" s="11">
        <f ca="1">IF(ISNUMBER($F$16),SUM(INDIRECT(ADDRESS($F$16+15,COLUMN())):INDIRECT(ADDRESS(114,COLUMN()))),"")</f>
        <v>0</v>
      </c>
      <c r="BQ117" s="71"/>
      <c r="BR117" s="11">
        <f ca="1">IF(ISNUMBER($F$16),SUM(INDIRECT(ADDRESS($F$16+15,COLUMN())):INDIRECT(ADDRESS(114,COLUMN()))),"")</f>
        <v>2169763368.6181369</v>
      </c>
    </row>
    <row r="119" spans="2:70" x14ac:dyDescent="0.15">
      <c r="C119" s="71" t="s">
        <v>612</v>
      </c>
      <c r="F119" s="490">
        <f>VLOOKUP(F3,'表2）法定耐用年数'!$A$2:$B$24,2,0)</f>
        <v>15</v>
      </c>
      <c r="G119" s="84" t="s">
        <v>556</v>
      </c>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Q119" s="71"/>
      <c r="BR119" s="71"/>
    </row>
    <row r="121" spans="2:70" x14ac:dyDescent="0.15">
      <c r="C121" s="4" t="s">
        <v>613</v>
      </c>
      <c r="D121" s="100"/>
      <c r="E121" s="100"/>
      <c r="F121" s="4"/>
      <c r="G121" s="100"/>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Q121" s="71"/>
      <c r="BR121" s="71"/>
    </row>
    <row r="123" spans="2:70" x14ac:dyDescent="0.15">
      <c r="D123" s="84" t="s">
        <v>614</v>
      </c>
      <c r="F123" s="491">
        <f>VLOOKUP($F$119,'表1）減価償却率表'!$A$9:$E$107,3,0)</f>
        <v>0.16700000000000001</v>
      </c>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Q123" s="71"/>
      <c r="BR123" s="71"/>
    </row>
    <row r="124" spans="2:70" x14ac:dyDescent="0.15">
      <c r="D124" s="84" t="s">
        <v>615</v>
      </c>
      <c r="F124" s="491">
        <f>VLOOKUP($F$119,'表1）減価償却率表'!$A$9:$E$107,4,0)</f>
        <v>0.2</v>
      </c>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Q124" s="71"/>
      <c r="BR124" s="71"/>
    </row>
    <row r="125" spans="2:70" x14ac:dyDescent="0.15">
      <c r="D125" s="84" t="s">
        <v>616</v>
      </c>
      <c r="F125" s="474">
        <f>VLOOKUP($F$119,'表1）減価償却率表'!$A$9:$E$107,5,0)</f>
        <v>3.2169999999999997E-2</v>
      </c>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Q125" s="71"/>
      <c r="BR125" s="71"/>
    </row>
    <row r="126" spans="2:70" x14ac:dyDescent="0.15">
      <c r="F126" s="492"/>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Q126" s="71"/>
      <c r="BR126" s="71"/>
    </row>
    <row r="127" spans="2:70" x14ac:dyDescent="0.15">
      <c r="C127" s="8" t="s">
        <v>617</v>
      </c>
      <c r="D127" s="493"/>
      <c r="E127" s="494"/>
      <c r="F127" s="490">
        <f>F117*F125</f>
        <v>762428999.99999988</v>
      </c>
      <c r="G127" s="84" t="s">
        <v>611</v>
      </c>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Q127" s="71"/>
      <c r="BR127" s="71"/>
    </row>
    <row r="129" spans="3:7" x14ac:dyDescent="0.15">
      <c r="C129" s="8" t="s">
        <v>152</v>
      </c>
      <c r="D129" s="493"/>
      <c r="E129" s="493"/>
      <c r="F129" s="491">
        <f>0.1^(1/F119)</f>
        <v>0.85769589859089412</v>
      </c>
      <c r="G129" s="493"/>
    </row>
    <row r="131" spans="3:7" x14ac:dyDescent="0.15">
      <c r="C131" s="4" t="s">
        <v>618</v>
      </c>
      <c r="D131" s="100"/>
      <c r="E131" s="100"/>
      <c r="F131" s="4"/>
      <c r="G131" s="100"/>
    </row>
    <row r="133" spans="3:7" x14ac:dyDescent="0.15">
      <c r="D133" s="84" t="s">
        <v>619</v>
      </c>
      <c r="F133" s="490">
        <f>F13*10000*24*365*F14/100</f>
        <v>218124000</v>
      </c>
      <c r="G133" s="84" t="s">
        <v>620</v>
      </c>
    </row>
    <row r="134" spans="3:7" x14ac:dyDescent="0.15">
      <c r="D134" s="84" t="s">
        <v>621</v>
      </c>
      <c r="F134" s="490">
        <f>F133*(1-F24/100)</f>
        <v>194130360</v>
      </c>
      <c r="G134" s="84" t="s">
        <v>620</v>
      </c>
    </row>
    <row r="135" spans="3:7" x14ac:dyDescent="0.15">
      <c r="F135" s="495"/>
    </row>
    <row r="137" spans="3:7" ht="16.5" x14ac:dyDescent="0.15">
      <c r="C137" s="71" t="s">
        <v>622</v>
      </c>
      <c r="F137" s="490">
        <f>IF(ISERROR(F133*3.6/(F23/100)/F22),0,F133*3.6/(F23/100)/F22)</f>
        <v>0</v>
      </c>
      <c r="G137" s="71" t="s">
        <v>623</v>
      </c>
    </row>
    <row r="139" spans="3:7" x14ac:dyDescent="0.15">
      <c r="C139" s="4" t="s">
        <v>624</v>
      </c>
      <c r="D139" s="100"/>
      <c r="E139" s="100"/>
      <c r="F139" s="4"/>
      <c r="G139" s="100"/>
    </row>
    <row r="141" spans="3:7" x14ac:dyDescent="0.15">
      <c r="D141" s="84" t="s">
        <v>625</v>
      </c>
      <c r="F141" s="496" t="str">
        <f>IF(OR(F3="石炭火力",F3= "LNG火力", F3="ガスコジェネ",F3="バイオマス（石炭混焼）",F3="バイオマス（木質専焼）",F3="燃料電池"),IF($F$43="需要地価格","",1000),IF(OR(F3="石油火力",F3="石油コジェネ"),IF($F$43="需要地価格","",158.987294928),""))</f>
        <v/>
      </c>
      <c r="G141" s="84" t="s">
        <v>626</v>
      </c>
    </row>
    <row r="142" spans="3:7" x14ac:dyDescent="0.15">
      <c r="D142" s="84" t="s">
        <v>573</v>
      </c>
      <c r="F142" s="488">
        <f>IF(ISERROR(F42/1000),0,F42/1000)</f>
        <v>0</v>
      </c>
      <c r="G142" s="84" t="s">
        <v>627</v>
      </c>
    </row>
    <row r="145" spans="3:7" x14ac:dyDescent="0.15">
      <c r="C145" s="71" t="s">
        <v>628</v>
      </c>
      <c r="F145" s="496">
        <f>IF(ISERROR(F133*(F47*3.6/(F23/100)/1000*(44/12))),0,F133*(F47*3.6/(F23/100)/1000*(44/12)))</f>
        <v>0</v>
      </c>
      <c r="G145" s="84" t="s">
        <v>629</v>
      </c>
    </row>
    <row r="147" spans="3:7" x14ac:dyDescent="0.15">
      <c r="C147" s="4" t="s">
        <v>630</v>
      </c>
      <c r="D147" s="100"/>
      <c r="E147" s="100"/>
      <c r="F147" s="4"/>
      <c r="G147" s="100"/>
    </row>
    <row r="149" spans="3:7" x14ac:dyDescent="0.15">
      <c r="D149" s="84" t="s">
        <v>219</v>
      </c>
      <c r="F149" s="496">
        <f>IF(ISERROR(F52/F23),0,F52/F23)</f>
        <v>0</v>
      </c>
    </row>
    <row r="150" spans="3:7" x14ac:dyDescent="0.15">
      <c r="D150" s="84" t="s">
        <v>631</v>
      </c>
      <c r="F150" s="496">
        <f>F133*F149*(F53/100)*3.6</f>
        <v>0</v>
      </c>
      <c r="G150" s="84" t="s">
        <v>632</v>
      </c>
    </row>
    <row r="151" spans="3:7" ht="16.5" x14ac:dyDescent="0.15">
      <c r="D151" s="84" t="s">
        <v>633</v>
      </c>
      <c r="F151" s="490">
        <f>IF(ISERROR(F150/(F54/100)/F55),0,F150/(F54/100)/F55)</f>
        <v>0</v>
      </c>
      <c r="G151" s="71" t="s">
        <v>623</v>
      </c>
    </row>
    <row r="152" spans="3:7" x14ac:dyDescent="0.15">
      <c r="D152" s="84" t="s">
        <v>634</v>
      </c>
      <c r="F152" s="497">
        <f>IF(ISERROR(F56/1000),0,F56/1000)</f>
        <v>0</v>
      </c>
      <c r="G152" s="84" t="s">
        <v>627</v>
      </c>
    </row>
    <row r="153" spans="3:7" x14ac:dyDescent="0.15">
      <c r="D153" s="84" t="s">
        <v>635</v>
      </c>
      <c r="F153" s="496">
        <f>IF(ISERROR(F150*F47/1000*(44/12)/(F54/100)),0,F150*F47/1000*(44/12)/(F54/100))</f>
        <v>0</v>
      </c>
      <c r="G153" s="84" t="s">
        <v>629</v>
      </c>
    </row>
  </sheetData>
  <mergeCells count="48">
    <mergeCell ref="BR12:BR13"/>
    <mergeCell ref="AI12:AI13"/>
    <mergeCell ref="AL12:AL13"/>
    <mergeCell ref="AO12:AO13"/>
    <mergeCell ref="AR12:AR13"/>
    <mergeCell ref="AW12:AW13"/>
    <mergeCell ref="BB12:BB13"/>
    <mergeCell ref="BL12:BL13"/>
    <mergeCell ref="BK12:BK13"/>
    <mergeCell ref="BO12:BO13"/>
    <mergeCell ref="BJ12:BJ13"/>
    <mergeCell ref="BA9:BB10"/>
    <mergeCell ref="AE9:AF10"/>
    <mergeCell ref="V9:W10"/>
    <mergeCell ref="BE12:BE13"/>
    <mergeCell ref="BH12:BH13"/>
    <mergeCell ref="P12:P13"/>
    <mergeCell ref="W12:W13"/>
    <mergeCell ref="Z12:Z13"/>
    <mergeCell ref="AC12:AC13"/>
    <mergeCell ref="AF12:AF13"/>
    <mergeCell ref="BQ7:BR7"/>
    <mergeCell ref="BJ7:BO7"/>
    <mergeCell ref="I9:I10"/>
    <mergeCell ref="K9:K10"/>
    <mergeCell ref="M9:M10"/>
    <mergeCell ref="O9:P10"/>
    <mergeCell ref="R9:R10"/>
    <mergeCell ref="AN9:AO10"/>
    <mergeCell ref="AQ9:AR10"/>
    <mergeCell ref="AY7:BB7"/>
    <mergeCell ref="AY9:AY10"/>
    <mergeCell ref="BD7:BH7"/>
    <mergeCell ref="BJ9:BL10"/>
    <mergeCell ref="BN9:BO10"/>
    <mergeCell ref="BD9:BE10"/>
    <mergeCell ref="BG9:BH10"/>
    <mergeCell ref="F3:G3"/>
    <mergeCell ref="V7:AF7"/>
    <mergeCell ref="AH7:AR7"/>
    <mergeCell ref="AT7:AW7"/>
    <mergeCell ref="AK9:AL10"/>
    <mergeCell ref="T9:T10"/>
    <mergeCell ref="AV9:AW10"/>
    <mergeCell ref="AT9:AT10"/>
    <mergeCell ref="AH9:AI10"/>
    <mergeCell ref="AB9:AC10"/>
    <mergeCell ref="Y9:Z10"/>
  </mergeCells>
  <phoneticPr fontId="17"/>
  <dataValidations count="4">
    <dataValidation type="list" allowBlank="1" showDropDown="1" showInputMessage="1" showErrorMessage="1" sqref="F48 F41" xr:uid="{00000000-0002-0000-1E00-000000000000}">
      <formula1>"現行政策シナリオ, 新政策シナリオ"</formula1>
    </dataValidation>
    <dataValidation type="whole" allowBlank="1" showInputMessage="1" showErrorMessage="1" sqref="F7" xr:uid="{00000000-0002-0000-1E00-000001000000}">
      <formula1>2010</formula1>
      <formula2>2030</formula2>
    </dataValidation>
    <dataValidation type="list" allowBlank="1" showDropDown="1" showInputMessage="1" showErrorMessage="1" sqref="F43" xr:uid="{00000000-0002-0000-1E00-000002000000}">
      <formula1>"CIF価格, 需要地価格"</formula1>
    </dataValidation>
    <dataValidation type="list" allowBlank="1" showDropDown="1" showInputMessage="1" showErrorMessage="1" sqref="F3:G3" xr:uid="{00000000-0002-0000-1E00-000003000000}">
      <formula1>"原子力,石炭火力,LNG火力,石油火力,一般水力,太陽光（メガソーラー）,太陽光（住宅）,風力（陸上）,風力（洋上）,小水力,地熱,バイオマス（石炭混焼）,バイオマス（木質専焼）,ガスコジェネ,石油コジェネ,燃料電池"</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BR153"/>
  <sheetViews>
    <sheetView showGridLines="0" zoomScale="85" zoomScaleNormal="85" workbookViewId="0">
      <pane xSplit="10" ySplit="14" topLeftCell="BF15" activePane="bottomRight" state="frozen"/>
      <selection pane="topRight" activeCell="AF12" sqref="AF12:AF13"/>
      <selection pane="bottomLeft" activeCell="AF12" sqref="AF12:AF13"/>
      <selection pane="bottomRight" sqref="A1:I1048576"/>
    </sheetView>
  </sheetViews>
  <sheetFormatPr defaultColWidth="9" defaultRowHeight="14.25" outlineLevelCol="1" x14ac:dyDescent="0.15"/>
  <cols>
    <col min="1" max="3" width="6.25" style="71" customWidth="1"/>
    <col min="4" max="4" width="6.25" style="84" customWidth="1"/>
    <col min="5" max="5" width="24.375" style="84" customWidth="1"/>
    <col min="6" max="6" width="18.75" style="71" customWidth="1"/>
    <col min="7" max="7" width="24.375" style="84" bestFit="1" customWidth="1"/>
    <col min="8" max="8" width="9" style="71"/>
    <col min="9" max="9" width="6.25" style="71" customWidth="1"/>
    <col min="10" max="10" width="3" style="2" customWidth="1"/>
    <col min="11" max="11" width="6.25" style="2" customWidth="1"/>
    <col min="12" max="12" width="3" style="2" customWidth="1"/>
    <col min="13" max="13" width="6.25" style="2" customWidth="1"/>
    <col min="14" max="14" width="3" style="2" customWidth="1"/>
    <col min="15" max="15" width="17.375" style="2" bestFit="1" customWidth="1"/>
    <col min="16" max="16" width="8.625" style="2" customWidth="1"/>
    <col min="17" max="17" width="3" style="2" customWidth="1"/>
    <col min="18" max="18" width="17.375" style="2" bestFit="1" customWidth="1"/>
    <col min="19" max="19" width="3" style="2" customWidth="1"/>
    <col min="20" max="20" width="17.375" style="2" bestFit="1" customWidth="1"/>
    <col min="21" max="21" width="3" style="2" customWidth="1"/>
    <col min="22" max="22" width="15" style="2" customWidth="1" outlineLevel="1"/>
    <col min="23" max="23" width="17.375" style="2" bestFit="1" customWidth="1"/>
    <col min="24" max="24" width="3" style="2" customWidth="1"/>
    <col min="25" max="25" width="15" style="2" customWidth="1" outlineLevel="1"/>
    <col min="26" max="26" width="15" style="2" customWidth="1"/>
    <col min="27" max="27" width="3" style="2" customWidth="1"/>
    <col min="28" max="28" width="15" style="2" customWidth="1" outlineLevel="1"/>
    <col min="29" max="29" width="15" style="2" customWidth="1"/>
    <col min="30" max="30" width="3" style="2" customWidth="1"/>
    <col min="31" max="31" width="15" style="2" customWidth="1" outlineLevel="1"/>
    <col min="32" max="32" width="15" style="2" customWidth="1"/>
    <col min="33" max="33" width="3" style="2" customWidth="1"/>
    <col min="34" max="34" width="14.875" style="2" customWidth="1" outlineLevel="1"/>
    <col min="35" max="35" width="15" style="2" customWidth="1"/>
    <col min="36" max="36" width="3" style="2" customWidth="1"/>
    <col min="37" max="37" width="15" style="2" customWidth="1" outlineLevel="1"/>
    <col min="38" max="38" width="15" style="2" customWidth="1"/>
    <col min="39" max="39" width="3" style="2" customWidth="1"/>
    <col min="40" max="40" width="15" style="2" customWidth="1" outlineLevel="1"/>
    <col min="41" max="41" width="15" style="2" customWidth="1"/>
    <col min="42" max="42" width="3" style="2" customWidth="1"/>
    <col min="43" max="43" width="15" style="2" customWidth="1" outlineLevel="1"/>
    <col min="44" max="44" width="15" style="2" customWidth="1"/>
    <col min="45" max="45" width="3" style="2" customWidth="1"/>
    <col min="46" max="46" width="10.75" style="2" bestFit="1" customWidth="1"/>
    <col min="47" max="47" width="3" style="2" customWidth="1"/>
    <col min="48" max="48" width="15" style="2" customWidth="1" outlineLevel="1"/>
    <col min="49" max="49" width="17.375" style="2" bestFit="1" customWidth="1"/>
    <col min="50" max="50" width="3" style="2" customWidth="1"/>
    <col min="51" max="51" width="9.625" style="2" bestFit="1" customWidth="1"/>
    <col min="52" max="52" width="3" style="2" customWidth="1"/>
    <col min="53" max="53" width="15" style="2" customWidth="1" outlineLevel="1"/>
    <col min="54" max="54" width="17.375" style="2" bestFit="1" customWidth="1"/>
    <col min="55" max="55" width="3" style="2" customWidth="1"/>
    <col min="56" max="56" width="19.25" style="2" customWidth="1" outlineLevel="1"/>
    <col min="57" max="57" width="19.25" style="2" bestFit="1" customWidth="1"/>
    <col min="58" max="58" width="3" style="2" customWidth="1"/>
    <col min="59" max="59" width="19.25" style="2" customWidth="1" outlineLevel="1"/>
    <col min="60" max="60" width="19.25" style="2"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2" customWidth="1" outlineLevel="1"/>
    <col min="70" max="70" width="17.375" style="2" bestFit="1" customWidth="1"/>
    <col min="71" max="16384" width="9" style="2"/>
  </cols>
  <sheetData>
    <row r="1" spans="1:70" ht="18.75" x14ac:dyDescent="0.15">
      <c r="A1" s="6" t="s">
        <v>60</v>
      </c>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Q1" s="71"/>
      <c r="BR1" s="71"/>
    </row>
    <row r="3" spans="1:70" ht="23.25" x14ac:dyDescent="0.15">
      <c r="B3" s="1" t="s">
        <v>542</v>
      </c>
      <c r="F3" s="718" t="s">
        <v>643</v>
      </c>
      <c r="G3" s="719"/>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Q3" s="71"/>
      <c r="BR3" s="71"/>
    </row>
    <row r="4" spans="1:70" x14ac:dyDescent="0.15">
      <c r="G4" s="500"/>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Q4" s="71"/>
      <c r="BR4" s="71"/>
    </row>
    <row r="5" spans="1:70" ht="15.75" thickBot="1" x14ac:dyDescent="0.2">
      <c r="B5" s="5" t="s">
        <v>543</v>
      </c>
      <c r="C5" s="3"/>
      <c r="D5" s="102"/>
      <c r="E5" s="102"/>
      <c r="F5" s="3"/>
      <c r="G5" s="102"/>
      <c r="I5" s="5" t="s">
        <v>544</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71" t="s">
        <v>545</v>
      </c>
      <c r="F7" s="473">
        <v>2020</v>
      </c>
      <c r="I7" s="8"/>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71" t="s">
        <v>546</v>
      </c>
      <c r="F8" s="474">
        <f>まとめ!B3</f>
        <v>107</v>
      </c>
      <c r="G8" s="84" t="s">
        <v>547</v>
      </c>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71" t="s">
        <v>548</v>
      </c>
      <c r="F9" s="474">
        <f>まとめ!B2</f>
        <v>3</v>
      </c>
      <c r="G9" s="84" t="s">
        <v>549</v>
      </c>
      <c r="I9" s="720" t="s">
        <v>550</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07" t="s">
        <v>118</v>
      </c>
      <c r="AI9" s="707"/>
      <c r="AJ9" s="8"/>
      <c r="AK9" s="707" t="s">
        <v>89</v>
      </c>
      <c r="AL9" s="707"/>
      <c r="AM9" s="8"/>
      <c r="AN9" s="707" t="s">
        <v>90</v>
      </c>
      <c r="AO9" s="707"/>
      <c r="AP9" s="8"/>
      <c r="AQ9" s="707" t="s">
        <v>91</v>
      </c>
      <c r="AR9" s="707"/>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I10" s="708"/>
      <c r="J10" s="71"/>
      <c r="K10" s="708"/>
      <c r="L10" s="71"/>
      <c r="M10" s="708"/>
      <c r="N10" s="71"/>
      <c r="O10" s="717"/>
      <c r="P10" s="717"/>
      <c r="Q10" s="71"/>
      <c r="R10" s="708"/>
      <c r="S10" s="71"/>
      <c r="T10" s="708"/>
      <c r="U10" s="71"/>
      <c r="V10" s="717"/>
      <c r="W10" s="717"/>
      <c r="X10" s="71"/>
      <c r="Y10" s="717"/>
      <c r="Z10" s="717"/>
      <c r="AA10" s="71"/>
      <c r="AB10" s="723"/>
      <c r="AC10" s="723"/>
      <c r="AD10" s="81"/>
      <c r="AE10" s="723"/>
      <c r="AF10" s="723"/>
      <c r="AG10" s="71"/>
      <c r="AH10" s="717"/>
      <c r="AI10" s="717"/>
      <c r="AJ10" s="71"/>
      <c r="AK10" s="717"/>
      <c r="AL10" s="717"/>
      <c r="AM10" s="71"/>
      <c r="AN10" s="717"/>
      <c r="AO10" s="717"/>
      <c r="AP10" s="71"/>
      <c r="AQ10" s="717"/>
      <c r="AR10" s="717"/>
      <c r="AS10" s="71"/>
      <c r="AT10" s="717"/>
      <c r="AU10" s="71"/>
      <c r="AV10" s="717"/>
      <c r="AW10" s="717"/>
      <c r="AX10" s="322"/>
      <c r="AY10" s="708"/>
      <c r="AZ10" s="71"/>
      <c r="BA10" s="708"/>
      <c r="BB10" s="708"/>
      <c r="BC10" s="71"/>
      <c r="BD10" s="717"/>
      <c r="BE10" s="717"/>
      <c r="BF10" s="71"/>
      <c r="BG10" s="717"/>
      <c r="BH10" s="717"/>
      <c r="BJ10" s="708"/>
      <c r="BK10" s="708"/>
      <c r="BL10" s="708"/>
      <c r="BM10" s="322"/>
      <c r="BN10" s="717"/>
      <c r="BO10" s="717"/>
      <c r="BQ10" s="322"/>
      <c r="BR10" s="322"/>
    </row>
    <row r="11" spans="1:70" ht="15.75" customHeight="1" thickBot="1" x14ac:dyDescent="0.2">
      <c r="B11" s="5" t="s">
        <v>95</v>
      </c>
      <c r="C11" s="3"/>
      <c r="D11" s="102"/>
      <c r="E11" s="102"/>
      <c r="F11" s="3"/>
      <c r="G11" s="102"/>
      <c r="J11" s="71"/>
      <c r="K11" s="71"/>
      <c r="L11" s="71"/>
      <c r="M11" s="71"/>
      <c r="N11" s="71"/>
      <c r="O11" s="322" t="s">
        <v>96</v>
      </c>
      <c r="P11" s="322"/>
      <c r="Q11" s="322"/>
      <c r="R11" s="322" t="s">
        <v>96</v>
      </c>
      <c r="S11" s="322"/>
      <c r="T11" s="322"/>
      <c r="U11" s="71"/>
      <c r="V11" s="322"/>
      <c r="W11" s="322"/>
      <c r="X11" s="71"/>
      <c r="Y11" s="322"/>
      <c r="Z11" s="322"/>
      <c r="AA11" s="71"/>
      <c r="AB11" s="322"/>
      <c r="AC11" s="322"/>
      <c r="AD11" s="71"/>
      <c r="AE11" s="322"/>
      <c r="AF11" s="322"/>
      <c r="AG11" s="71"/>
      <c r="AH11" s="322"/>
      <c r="AI11" s="322"/>
      <c r="AJ11" s="71"/>
      <c r="AK11" s="322"/>
      <c r="AL11" s="322"/>
      <c r="AM11" s="71"/>
      <c r="AN11" s="322"/>
      <c r="AO11" s="322"/>
      <c r="AP11" s="71"/>
      <c r="AQ11" s="322"/>
      <c r="AR11" s="322"/>
      <c r="AS11" s="71"/>
      <c r="AT11" s="322"/>
      <c r="AU11" s="71"/>
      <c r="AV11" s="322"/>
      <c r="AW11" s="322"/>
      <c r="AX11" s="322"/>
      <c r="AY11" s="71"/>
      <c r="AZ11" s="71"/>
      <c r="BA11" s="71"/>
      <c r="BB11" s="322"/>
      <c r="BC11" s="71"/>
      <c r="BD11" s="322"/>
      <c r="BE11" s="322"/>
      <c r="BF11" s="71"/>
      <c r="BG11" s="322"/>
      <c r="BH11" s="322"/>
      <c r="BJ11" s="156"/>
      <c r="BM11" s="322"/>
      <c r="BN11" s="322"/>
      <c r="BO11" s="322"/>
      <c r="BQ11" s="322"/>
      <c r="BR11" s="322"/>
    </row>
    <row r="12" spans="1:70" ht="14.25" customHeight="1" x14ac:dyDescent="0.15">
      <c r="J12" s="71"/>
      <c r="K12" s="71"/>
      <c r="L12" s="71"/>
      <c r="M12" s="71"/>
      <c r="N12" s="71"/>
      <c r="O12" s="322"/>
      <c r="P12" s="707" t="s">
        <v>97</v>
      </c>
      <c r="Q12" s="71"/>
      <c r="R12" s="71"/>
      <c r="S12" s="71"/>
      <c r="T12" s="71"/>
      <c r="U12" s="71"/>
      <c r="V12" s="71"/>
      <c r="W12" s="707" t="s">
        <v>98</v>
      </c>
      <c r="X12" s="71"/>
      <c r="Y12" s="71"/>
      <c r="Z12" s="707" t="s">
        <v>98</v>
      </c>
      <c r="AA12" s="71"/>
      <c r="AB12" s="71"/>
      <c r="AC12" s="707" t="s">
        <v>98</v>
      </c>
      <c r="AD12" s="71"/>
      <c r="AE12" s="71"/>
      <c r="AF12" s="707" t="s">
        <v>98</v>
      </c>
      <c r="AG12" s="71"/>
      <c r="AH12" s="71"/>
      <c r="AI12" s="707" t="s">
        <v>98</v>
      </c>
      <c r="AJ12" s="71"/>
      <c r="AK12" s="71"/>
      <c r="AL12" s="707" t="s">
        <v>98</v>
      </c>
      <c r="AM12" s="71"/>
      <c r="AN12" s="71"/>
      <c r="AO12" s="707" t="s">
        <v>98</v>
      </c>
      <c r="AP12" s="71"/>
      <c r="AQ12" s="71"/>
      <c r="AR12" s="707" t="s">
        <v>98</v>
      </c>
      <c r="AS12" s="71"/>
      <c r="AT12" s="71"/>
      <c r="AU12" s="71"/>
      <c r="AV12" s="71"/>
      <c r="AW12" s="707" t="s">
        <v>98</v>
      </c>
      <c r="AX12" s="71"/>
      <c r="AY12" s="71"/>
      <c r="AZ12" s="71"/>
      <c r="BA12" s="71"/>
      <c r="BB12" s="707" t="s">
        <v>98</v>
      </c>
      <c r="BC12" s="71"/>
      <c r="BD12" s="71"/>
      <c r="BE12" s="707" t="s">
        <v>98</v>
      </c>
      <c r="BF12" s="71"/>
      <c r="BG12" s="71"/>
      <c r="BH12" s="707" t="s">
        <v>98</v>
      </c>
      <c r="BJ12" s="709" t="s">
        <v>99</v>
      </c>
      <c r="BK12" s="709" t="s">
        <v>100</v>
      </c>
      <c r="BL12" s="709" t="s">
        <v>101</v>
      </c>
      <c r="BO12" s="709" t="s">
        <v>102</v>
      </c>
      <c r="BQ12" s="71"/>
      <c r="BR12" s="707" t="s">
        <v>103</v>
      </c>
    </row>
    <row r="13" spans="1:70" ht="14.25" customHeight="1" x14ac:dyDescent="0.15">
      <c r="C13" s="71" t="s">
        <v>552</v>
      </c>
      <c r="F13" s="477">
        <v>70</v>
      </c>
      <c r="G13" s="84" t="s">
        <v>553</v>
      </c>
      <c r="J13" s="71"/>
      <c r="K13" s="71"/>
      <c r="L13" s="71"/>
      <c r="M13" s="71"/>
      <c r="N13" s="71"/>
      <c r="O13" s="322"/>
      <c r="P13" s="708"/>
      <c r="Q13" s="322"/>
      <c r="R13" s="322"/>
      <c r="S13" s="322"/>
      <c r="T13" s="322"/>
      <c r="U13" s="71"/>
      <c r="V13" s="322"/>
      <c r="W13" s="708"/>
      <c r="X13" s="71"/>
      <c r="Y13" s="322"/>
      <c r="Z13" s="708"/>
      <c r="AA13" s="71"/>
      <c r="AB13" s="322"/>
      <c r="AC13" s="708"/>
      <c r="AD13" s="71"/>
      <c r="AE13" s="322"/>
      <c r="AF13" s="708"/>
      <c r="AG13" s="71"/>
      <c r="AH13" s="322"/>
      <c r="AI13" s="708"/>
      <c r="AJ13" s="71"/>
      <c r="AK13" s="322"/>
      <c r="AL13" s="708"/>
      <c r="AM13" s="71"/>
      <c r="AN13" s="322"/>
      <c r="AO13" s="708"/>
      <c r="AP13" s="71"/>
      <c r="AQ13" s="322"/>
      <c r="AR13" s="708"/>
      <c r="AS13" s="71"/>
      <c r="AT13" s="322"/>
      <c r="AU13" s="71"/>
      <c r="AV13" s="322"/>
      <c r="AW13" s="708"/>
      <c r="AX13" s="71"/>
      <c r="AY13" s="71"/>
      <c r="AZ13" s="71"/>
      <c r="BA13" s="71"/>
      <c r="BB13" s="708"/>
      <c r="BC13" s="71"/>
      <c r="BD13" s="322"/>
      <c r="BE13" s="708"/>
      <c r="BF13" s="71"/>
      <c r="BG13" s="322"/>
      <c r="BH13" s="708"/>
      <c r="BJ13" s="712"/>
      <c r="BK13" s="710"/>
      <c r="BL13" s="708"/>
      <c r="BM13" s="322"/>
      <c r="BO13" s="708"/>
      <c r="BQ13" s="322"/>
      <c r="BR13" s="708"/>
    </row>
    <row r="14" spans="1:70" ht="16.5" x14ac:dyDescent="0.15">
      <c r="C14" s="71" t="s">
        <v>554</v>
      </c>
      <c r="F14" s="474">
        <f>VLOOKUP(F3,まとめ!$A$12:$G$34,IF(F7=2030,4,IF(F7=2020,3,IF(F7=2014,2,"-"))),0)</f>
        <v>70</v>
      </c>
      <c r="G14" s="84" t="s">
        <v>549</v>
      </c>
      <c r="J14" s="71"/>
      <c r="K14" s="71"/>
      <c r="L14" s="71"/>
      <c r="M14" s="71"/>
      <c r="N14" s="71"/>
      <c r="O14" s="322"/>
      <c r="P14" s="322"/>
      <c r="Q14" s="322"/>
      <c r="R14" s="322"/>
      <c r="S14" s="322"/>
      <c r="T14" s="322"/>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50" t="s">
        <v>104</v>
      </c>
      <c r="AU14" s="71"/>
      <c r="AV14" s="71"/>
      <c r="AW14" s="71"/>
      <c r="AX14" s="71"/>
      <c r="AY14" s="71" t="s">
        <v>105</v>
      </c>
      <c r="AZ14" s="71"/>
      <c r="BA14" s="71"/>
      <c r="BB14" s="71"/>
      <c r="BC14" s="71"/>
      <c r="BD14" s="71"/>
      <c r="BE14" s="71"/>
      <c r="BF14" s="71"/>
      <c r="BG14" s="71"/>
      <c r="BH14" s="71"/>
      <c r="BQ14" s="71"/>
      <c r="BR14" s="71"/>
    </row>
    <row r="15" spans="1:70" x14ac:dyDescent="0.15">
      <c r="C15" s="71" t="s">
        <v>555</v>
      </c>
      <c r="F15" s="474">
        <f>VLOOKUP(F3,まとめ!$A$12:$G$34,IF(F7=2030,7,IF(F7=2020,6,IF(F7=2014,5,"-"))),0)</f>
        <v>40</v>
      </c>
      <c r="G15" s="84" t="s">
        <v>556</v>
      </c>
      <c r="I15" s="38">
        <f>F7</f>
        <v>2020</v>
      </c>
      <c r="J15" s="39"/>
      <c r="K15" s="39">
        <f>IF(I15&lt;&gt;"",1,"")</f>
        <v>1</v>
      </c>
      <c r="L15" s="39"/>
      <c r="M15" s="40">
        <f t="shared" ref="M15:M78" si="0">1/(1+($F$9/100))^K15</f>
        <v>0.970873786407767</v>
      </c>
      <c r="N15" s="39"/>
      <c r="O15" s="72">
        <f>F117</f>
        <v>178500000000</v>
      </c>
      <c r="P15" s="41">
        <f t="shared" ref="P15:P46" si="1">IF(K15&lt;=$F$15,IF(OR(P14=$F$124,P14="-"),"-",IF(O15*$F$123&gt;$F$127,$F$123,$F$124)),"")</f>
        <v>0.16700000000000001</v>
      </c>
      <c r="Q15" s="39"/>
      <c r="R15" s="72">
        <f>F117</f>
        <v>178500000000</v>
      </c>
      <c r="S15" s="39"/>
      <c r="T15" s="72">
        <f>IF(ISNUMBER(R15),ROUNDDOWN(R15,-3),"")</f>
        <v>178500000000</v>
      </c>
      <c r="U15" s="39"/>
      <c r="V15" s="72">
        <f t="shared" ref="V15:V46" si="2">IF(K15&lt;=$F$15,IF(K15&lt;$F$119,IF(P15="-",V14,O15*P15),IF(K15=$F$119,MIN(IF(P15="-",V14,O15*P15),O15),0)),"")</f>
        <v>29809500000</v>
      </c>
      <c r="W15" s="72">
        <f>IF(ISNUMBER(V15),V15*$M15,"")</f>
        <v>28941262135.922329</v>
      </c>
      <c r="X15" s="39"/>
      <c r="Y15" s="72">
        <f t="shared" ref="Y15:Y46" si="3">IF($K15&lt;=$F$15,ROUNDDOWN(T15*$F$25/100,-2),"")</f>
        <v>2499000000</v>
      </c>
      <c r="Z15" s="72">
        <f>IF(ISNUMBER(Y15),Y15*$M15,"")</f>
        <v>2426213592.2330098</v>
      </c>
      <c r="AA15" s="39"/>
      <c r="AB15" s="72">
        <f t="shared" ref="AB15:AB78" si="4">IF($K15&lt;=$F$15,0,IF(AND($K15&gt;$F$15,$K15&lt;=$F$15+$F$28),$F$27*10^8/$F$28,""))</f>
        <v>0</v>
      </c>
      <c r="AC15" s="72">
        <f>IF(ISNUMBER(AB15),AB15*$M15,"")</f>
        <v>0</v>
      </c>
      <c r="AD15" s="39"/>
      <c r="AE15" s="72">
        <f t="shared" ref="AE15:AE46" si="5">IF($K15&lt;=$F$15,$F$26,"")</f>
        <v>0</v>
      </c>
      <c r="AF15" s="72">
        <f>IF(ISNUMBER(AE15),AE15*$M15,"")</f>
        <v>0</v>
      </c>
      <c r="AG15" s="39"/>
      <c r="AH15" s="72">
        <f t="shared" ref="AH15:AH46" si="6">IF($K15&lt;=$F$15,$F$33*10^8,"")</f>
        <v>440000000.00000006</v>
      </c>
      <c r="AI15" s="72">
        <f>IF(ISNUMBER(AH15),AH15*$M15,"")</f>
        <v>427184466.01941752</v>
      </c>
      <c r="AJ15" s="39"/>
      <c r="AK15" s="72">
        <f t="shared" ref="AK15:AK46" si="7">IF($K15&lt;=$F$15,$F$117*$F$34/100,"")</f>
        <v>4284000000</v>
      </c>
      <c r="AL15" s="72">
        <f>IF(ISNUMBER(AK15),AK15*$M15,"")</f>
        <v>4159223300.9708738</v>
      </c>
      <c r="AM15" s="39"/>
      <c r="AN15" s="72">
        <f t="shared" ref="AN15:AN46" si="8">IF($K15&lt;=$F$15,$F$117*$F$35/100,"")</f>
        <v>3927000000.0000005</v>
      </c>
      <c r="AO15" s="72">
        <f>IF(ISNUMBER(AN15),AN15*$M15,"")</f>
        <v>3812621359.2233014</v>
      </c>
      <c r="AP15" s="39"/>
      <c r="AQ15" s="72">
        <f t="shared" ref="AQ15:AQ46" si="9">IF($K15&lt;=$F$15,SUM(AH15,AK15,AN15)*($F$36/100),"")</f>
        <v>1055422000</v>
      </c>
      <c r="AR15" s="72">
        <f>IF(ISNUMBER(AQ15),AQ15*$M15,"")</f>
        <v>1024681553.3980583</v>
      </c>
      <c r="AS15" s="39"/>
      <c r="AT15" s="40">
        <f>IF($K15&lt;=$F$15,IF($F$40&lt;&gt;"",$F$40/1000,IF(ISERROR(VLOOKUP($F$3&amp;IF($G$4&lt;&gt;"",$G$4,"")&amp;IF($F$43&lt;&gt;"","_"&amp;$F$43,""),'表3）燃料価格'!$AF$9:$AG$25,2,0)),0,VLOOKUP($I15,'表3）燃料価格'!$A$6:$U$66,VLOOKUP($F$3&amp;IF($G$4&lt;&gt;"",$G$4,"")&amp;IF($F$43&lt;&gt;"","_"&amp;$F$43,""),'表3）燃料価格'!$AF$9:$AG$25,2,0)+VLOOKUP($F$41,'表3）燃料価格'!$AF$28:$AG$29,2,0),0)*IF($F$43="需要地価格",1,$F$8/$F$141))),"")</f>
        <v>11.518565333333333</v>
      </c>
      <c r="AU15" s="39"/>
      <c r="AV15" s="72">
        <f t="shared" ref="AV15:AV46" si="10">IF($K15&lt;=$F$15,($AT15+$F$142)*$F$137,"")</f>
        <v>18792050197.797493</v>
      </c>
      <c r="AW15" s="72">
        <f t="shared" ref="AW15:AW78" si="11">IF(ISNUMBER(AV15),AV15*$M15,"")</f>
        <v>18244708929.900478</v>
      </c>
      <c r="AX15" s="39"/>
      <c r="AY15" s="40">
        <f>IF(ISERROR(IF($K15&lt;=$F$15,VLOOKUP($I15,'表4）CO2価格'!$A$7:$E$67,VLOOKUP($F$48,'表4）CO2価格'!$H$10:$I$12,2,0),0)*$F$8/1000,"")),0,IF($K15&lt;=$F$15,VLOOKUP($I15,'表4）CO2価格'!$A$7:$E$67,VLOOKUP($F$48,'表4）CO2価格'!$H$10:$I$12,2,0),0)*$F$8/1000,""))</f>
        <v>1.8297000000000001</v>
      </c>
      <c r="AZ15" s="39"/>
      <c r="BA15" s="42">
        <f t="shared" ref="BA15:BA46" si="12">IF($K15&lt;=$F$15,$F$145*AY15,"")</f>
        <v>5638532687.420166</v>
      </c>
      <c r="BB15" s="72">
        <f>IF(ISNUMBER(BA15),BA15*$M15,"")</f>
        <v>5474303580.0195789</v>
      </c>
      <c r="BC15" s="39"/>
      <c r="BD15" s="72">
        <f t="shared" ref="BD15:BD46" si="13">IF($K15&lt;=$F$15,($AT15+$F$152)*$F$151,"")</f>
        <v>0</v>
      </c>
      <c r="BE15" s="72">
        <f>IF(ISNUMBER(BD15),BD15*$M15,"")</f>
        <v>0</v>
      </c>
      <c r="BF15" s="39"/>
      <c r="BG15" s="42">
        <f t="shared" ref="BG15:BG46" si="14">IF($K15&lt;=$F$15,$F$153*AY15,"")</f>
        <v>0</v>
      </c>
      <c r="BH15" s="72">
        <f>IF(ISNUMBER(BG15),BG15*$M15,"")</f>
        <v>0</v>
      </c>
      <c r="BI15" s="39"/>
      <c r="BJ15" s="40"/>
      <c r="BK15" s="157"/>
      <c r="BL15" s="157"/>
      <c r="BM15" s="72"/>
      <c r="BN15" s="72">
        <f>IF(AND(ISNUMBER($F$16),$K15&lt;=$F$16),BQ15*('バイオマス（木質専焼）（2020年）'!$O$15+'バイオマス（木質専焼）（2020年）'!$BK$116)/'バイオマス（木質専焼）（2020年）'!$BL$116,"")</f>
        <v>129668679369.96863</v>
      </c>
      <c r="BO15" s="72">
        <f>IF(ISNUMBER(BN15),BN15*$M15,"")</f>
        <v>125891921718.41614</v>
      </c>
      <c r="BP15" s="39"/>
      <c r="BQ15" s="72">
        <f t="shared" ref="BQ15:BQ46" si="15">IF($K15&lt;=$F$15,$F$134,"")</f>
        <v>4056318000</v>
      </c>
      <c r="BR15" s="72">
        <f>IF(ISNUMBER(BQ15),BQ15*$M15,"")</f>
        <v>3938172815.5339808</v>
      </c>
    </row>
    <row r="16" spans="1:70" x14ac:dyDescent="0.15">
      <c r="C16" s="184" t="s">
        <v>107</v>
      </c>
      <c r="F16" s="474">
        <f>'バイオマス（木質専焼）（2020年）'!F16</f>
        <v>20</v>
      </c>
      <c r="G16" s="84" t="s">
        <v>556</v>
      </c>
      <c r="I16" s="457">
        <f>I15+1</f>
        <v>2021</v>
      </c>
      <c r="J16" s="71"/>
      <c r="K16" s="71">
        <f>IF(I16&lt;&gt;"",K15+1,"")</f>
        <v>2</v>
      </c>
      <c r="L16" s="71"/>
      <c r="M16" s="7">
        <f t="shared" si="0"/>
        <v>0.94259590913375435</v>
      </c>
      <c r="N16" s="71"/>
      <c r="O16" s="10">
        <f t="shared" ref="O16:O79" si="16">IF(K16&lt;=$F$15,O15-V15,"")</f>
        <v>148690500000</v>
      </c>
      <c r="P16" s="29">
        <f t="shared" si="1"/>
        <v>0.16700000000000001</v>
      </c>
      <c r="Q16" s="71"/>
      <c r="R16" s="10">
        <f t="shared" ref="R16:R47" si="17">IF($K16&lt;=$F$15,MAX($F$117*5%,R15*$F$129),"")</f>
        <v>153098717898.47461</v>
      </c>
      <c r="S16" s="71"/>
      <c r="T16" s="10">
        <f t="shared" ref="T16:T79" si="18">IF(ISNUMBER(R16),ROUNDDOWN(R16,-3),"")</f>
        <v>153098717000</v>
      </c>
      <c r="U16" s="71"/>
      <c r="V16" s="10">
        <f t="shared" si="2"/>
        <v>24831313500</v>
      </c>
      <c r="W16" s="10">
        <f t="shared" ref="W16:W79" si="19">IF(ISNUMBER(V16),V16*$M16,"")</f>
        <v>23405894523.517769</v>
      </c>
      <c r="X16" s="71"/>
      <c r="Y16" s="10">
        <f t="shared" si="3"/>
        <v>2143382000</v>
      </c>
      <c r="Z16" s="10">
        <f t="shared" ref="Z16:Z79" si="20">IF(ISNUMBER(Y16),Y16*$M16,"")</f>
        <v>2020343104.9109247</v>
      </c>
      <c r="AA16" s="71"/>
      <c r="AB16" s="10">
        <f t="shared" si="4"/>
        <v>0</v>
      </c>
      <c r="AC16" s="10">
        <f t="shared" ref="AC16:AC79" si="21">IF(ISNUMBER(AB16),AB16*$M16,"")</f>
        <v>0</v>
      </c>
      <c r="AD16" s="71"/>
      <c r="AE16" s="10">
        <f t="shared" si="5"/>
        <v>0</v>
      </c>
      <c r="AF16" s="10">
        <f t="shared" ref="AF16:AF79" si="22">IF(ISNUMBER(AE16),AE16*$M16,"")</f>
        <v>0</v>
      </c>
      <c r="AG16" s="71"/>
      <c r="AH16" s="10">
        <f t="shared" si="6"/>
        <v>440000000.00000006</v>
      </c>
      <c r="AI16" s="10">
        <f t="shared" ref="AI16:AI79" si="23">IF(ISNUMBER(AH16),AH16*$M16,"")</f>
        <v>414742200.018852</v>
      </c>
      <c r="AJ16" s="71"/>
      <c r="AK16" s="10">
        <f t="shared" si="7"/>
        <v>4284000000</v>
      </c>
      <c r="AL16" s="10">
        <f t="shared" ref="AL16:AL79" si="24">IF(ISNUMBER(AK16),AK16*$M16,"")</f>
        <v>4038080874.7290034</v>
      </c>
      <c r="AM16" s="71"/>
      <c r="AN16" s="10">
        <f t="shared" si="8"/>
        <v>3927000000.0000005</v>
      </c>
      <c r="AO16" s="10">
        <f t="shared" ref="AO16:AO79" si="25">IF(ISNUMBER(AN16),AN16*$M16,"")</f>
        <v>3701574135.1682539</v>
      </c>
      <c r="AP16" s="71"/>
      <c r="AQ16" s="10">
        <f t="shared" si="9"/>
        <v>1055422000</v>
      </c>
      <c r="AR16" s="10">
        <f t="shared" ref="AR16:AR79" si="26">IF(ISNUMBER(AQ16),AQ16*$M16,"")</f>
        <v>994836459.60976529</v>
      </c>
      <c r="AS16" s="71"/>
      <c r="AT16" s="7">
        <f>IF($K16&lt;=$F$15,IF($F$40&lt;&gt;"",$F$40/1000,IF(ISERROR(VLOOKUP($F$3&amp;IF($G$4&lt;&gt;"",$G$4,"")&amp;IF($F$43&lt;&gt;"","_"&amp;$F$43,""),'表3）燃料価格'!$AF$9:$AG$25,2,0)),0,VLOOKUP($I16,'表3）燃料価格'!$A$6:$U$66,VLOOKUP($F$3&amp;IF($G$4&lt;&gt;"",$G$4,"")&amp;IF($F$43&lt;&gt;"","_"&amp;$F$43,""),'表3）燃料価格'!$AF$9:$AG$25,2,0)+VLOOKUP($F$41,'表3）燃料価格'!$AF$28:$AG$29,2,0),0)*IF($F$43="需要地価格",1,$F$8/$F$141))),"")</f>
        <v>11.399973666666666</v>
      </c>
      <c r="AU16" s="71"/>
      <c r="AV16" s="10">
        <f t="shared" si="10"/>
        <v>18626431162.97311</v>
      </c>
      <c r="AW16" s="10">
        <f t="shared" si="11"/>
        <v>17557197815.979931</v>
      </c>
      <c r="AX16" s="71"/>
      <c r="AY16" s="7">
        <f>IF(ISERROR(IF($K16&lt;=$F$15,VLOOKUP($I16,'表4）CO2価格'!$A$7:$E$67,VLOOKUP($F$48,'表4）CO2価格'!$H$10:$I$12,2,0),0)*$F$8/1000,"")),0,IF($K16&lt;=$F$15,VLOOKUP($I16,'表4）CO2価格'!$A$7:$E$67,VLOOKUP($F$48,'表4）CO2価格'!$H$10:$I$12,2,0),0)*$F$8/1000,""))</f>
        <v>3.1243999999999805</v>
      </c>
      <c r="AZ16" s="71"/>
      <c r="BA16" s="11">
        <f t="shared" si="12"/>
        <v>9628371606.5887604</v>
      </c>
      <c r="BB16" s="10">
        <f t="shared" ref="BB16:BB79" si="27">IF(ISNUMBER(BA16),BA16*$M16,"")</f>
        <v>9075663687.99016</v>
      </c>
      <c r="BC16" s="71"/>
      <c r="BD16" s="10">
        <f t="shared" si="13"/>
        <v>0</v>
      </c>
      <c r="BE16" s="10">
        <f t="shared" ref="BE16:BE79" si="28">IF(ISNUMBER(BD16),BD16*$M16,"")</f>
        <v>0</v>
      </c>
      <c r="BF16" s="71"/>
      <c r="BG16" s="11">
        <f t="shared" si="14"/>
        <v>0</v>
      </c>
      <c r="BH16" s="10">
        <f t="shared" ref="BH16:BH79" si="29">IF(ISNUMBER(BG16),BG16*$M16,"")</f>
        <v>0</v>
      </c>
      <c r="BJ16" s="7"/>
      <c r="BK16" s="158"/>
      <c r="BL16" s="158"/>
      <c r="BM16" s="10"/>
      <c r="BN16" s="10">
        <f>IF(AND(ISNUMBER($F$16),$K16&lt;=$F$16),BQ16*('バイオマス（木質専焼）（2020年）'!$O$15+'バイオマス（木質専焼）（2020年）'!$BK$116)/'バイオマス（木質専焼）（2020年）'!$BL$116,"")</f>
        <v>129668679369.96863</v>
      </c>
      <c r="BO16" s="10">
        <f t="shared" ref="BO16:BO79" si="30">IF(ISNUMBER(BN16),BN16*$M16,"")</f>
        <v>122225166716.90887</v>
      </c>
      <c r="BQ16" s="10">
        <f t="shared" si="15"/>
        <v>4056318000</v>
      </c>
      <c r="BR16" s="10">
        <f t="shared" ref="BR16:BR79" si="31">IF(ISNUMBER(BQ16),BQ16*$M16,"")</f>
        <v>3823468752.945612</v>
      </c>
    </row>
    <row r="17" spans="3:70" x14ac:dyDescent="0.15">
      <c r="C17" s="71" t="s">
        <v>109</v>
      </c>
      <c r="F17" s="476" t="str">
        <f>IF(ISERROR(VLOOKUP(F3&amp;IF(G4&lt;&gt;"","_"&amp;G4,""),'表7）買取期間・IRR'!$A$14:$C$21,1,0)),"",VLOOKUP(F3&amp;IF(G4&lt;&gt;"","_"&amp;G4,""),'表7）買取期間・IRR'!$A$14:$C$21,IF(F7=2030,3,IF(F7=2020,2,"-")),0))</f>
        <v/>
      </c>
      <c r="G17" s="84" t="s">
        <v>549</v>
      </c>
      <c r="I17" s="38">
        <f t="shared" ref="I17:I80" si="32">I16+1</f>
        <v>2022</v>
      </c>
      <c r="J17" s="39"/>
      <c r="K17" s="39">
        <f t="shared" ref="K17:K80" si="33">IF(I17&lt;&gt;"",K16+1,"")</f>
        <v>3</v>
      </c>
      <c r="L17" s="39"/>
      <c r="M17" s="40">
        <f t="shared" si="0"/>
        <v>0.91514165935315961</v>
      </c>
      <c r="N17" s="39"/>
      <c r="O17" s="72">
        <f t="shared" si="16"/>
        <v>123859186500</v>
      </c>
      <c r="P17" s="41">
        <f t="shared" si="1"/>
        <v>0.16700000000000001</v>
      </c>
      <c r="Q17" s="39"/>
      <c r="R17" s="72">
        <f t="shared" si="17"/>
        <v>131312142421.04599</v>
      </c>
      <c r="S17" s="39"/>
      <c r="T17" s="72">
        <f t="shared" si="18"/>
        <v>131312142000</v>
      </c>
      <c r="U17" s="39"/>
      <c r="V17" s="72">
        <f t="shared" si="2"/>
        <v>20684484145.5</v>
      </c>
      <c r="W17" s="72">
        <f t="shared" si="19"/>
        <v>18929233143.776993</v>
      </c>
      <c r="X17" s="39"/>
      <c r="Y17" s="72">
        <f t="shared" si="3"/>
        <v>1838369900</v>
      </c>
      <c r="Z17" s="72">
        <f t="shared" si="20"/>
        <v>1682368880.7909021</v>
      </c>
      <c r="AA17" s="39"/>
      <c r="AB17" s="72">
        <f t="shared" si="4"/>
        <v>0</v>
      </c>
      <c r="AC17" s="72">
        <f t="shared" si="21"/>
        <v>0</v>
      </c>
      <c r="AD17" s="39"/>
      <c r="AE17" s="72">
        <f t="shared" si="5"/>
        <v>0</v>
      </c>
      <c r="AF17" s="72">
        <f t="shared" si="22"/>
        <v>0</v>
      </c>
      <c r="AG17" s="39"/>
      <c r="AH17" s="72">
        <f t="shared" si="6"/>
        <v>440000000.00000006</v>
      </c>
      <c r="AI17" s="72">
        <f t="shared" si="23"/>
        <v>402662330.1153903</v>
      </c>
      <c r="AJ17" s="39"/>
      <c r="AK17" s="72">
        <f t="shared" si="7"/>
        <v>4284000000</v>
      </c>
      <c r="AL17" s="72">
        <f t="shared" si="24"/>
        <v>3920466868.6689358</v>
      </c>
      <c r="AM17" s="39"/>
      <c r="AN17" s="72">
        <f t="shared" si="8"/>
        <v>3927000000.0000005</v>
      </c>
      <c r="AO17" s="72">
        <f t="shared" si="25"/>
        <v>3593761296.2798581</v>
      </c>
      <c r="AP17" s="39"/>
      <c r="AQ17" s="72">
        <f t="shared" si="9"/>
        <v>1055422000</v>
      </c>
      <c r="AR17" s="72">
        <f t="shared" si="26"/>
        <v>965860640.39783037</v>
      </c>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11.281381999999999</v>
      </c>
      <c r="AU17" s="39"/>
      <c r="AV17" s="72">
        <f t="shared" si="10"/>
        <v>18460812128.148731</v>
      </c>
      <c r="AW17" s="72">
        <f t="shared" si="11"/>
        <v>16894258243.960964</v>
      </c>
      <c r="AX17" s="39"/>
      <c r="AY17" s="40">
        <f>IF(ISERROR(IF($K17&lt;=$F$15,VLOOKUP($I17,'表4）CO2価格'!$A$7:$E$67,VLOOKUP($F$48,'表4）CO2価格'!$H$10:$I$12,2,0),0)*$F$8/1000,"")),0,IF($K17&lt;=$F$15,VLOOKUP($I17,'表4）CO2価格'!$A$7:$E$67,VLOOKUP($F$48,'表4）CO2価格'!$H$10:$I$12,2,0),0)*$F$8/1000,""))</f>
        <v>3.2528000000000099</v>
      </c>
      <c r="AZ17" s="39"/>
      <c r="BA17" s="42">
        <f t="shared" si="12"/>
        <v>10024058110.969213</v>
      </c>
      <c r="BB17" s="72">
        <f t="shared" si="27"/>
        <v>9173433173.1248646</v>
      </c>
      <c r="BC17" s="39"/>
      <c r="BD17" s="72">
        <f t="shared" si="13"/>
        <v>0</v>
      </c>
      <c r="BE17" s="72">
        <f t="shared" si="28"/>
        <v>0</v>
      </c>
      <c r="BF17" s="39"/>
      <c r="BG17" s="42">
        <f t="shared" si="14"/>
        <v>0</v>
      </c>
      <c r="BH17" s="72">
        <f t="shared" si="29"/>
        <v>0</v>
      </c>
      <c r="BI17" s="39"/>
      <c r="BJ17" s="40"/>
      <c r="BK17" s="157"/>
      <c r="BL17" s="157"/>
      <c r="BM17" s="72"/>
      <c r="BN17" s="72">
        <f>IF(AND(ISNUMBER($F$16),$K17&lt;=$F$16),BQ17*('バイオマス（木質専焼）（2020年）'!$O$15+'バイオマス（木質専焼）（2020年）'!$BK$116)/'バイオマス（木質専焼）（2020年）'!$BL$116,"")</f>
        <v>129668679369.96863</v>
      </c>
      <c r="BO17" s="72">
        <f t="shared" si="30"/>
        <v>118665210404.7659</v>
      </c>
      <c r="BP17" s="39"/>
      <c r="BQ17" s="72">
        <f t="shared" si="15"/>
        <v>4056318000</v>
      </c>
      <c r="BR17" s="72">
        <f t="shared" si="31"/>
        <v>3712105585.3840895</v>
      </c>
    </row>
    <row r="18" spans="3:70" x14ac:dyDescent="0.15">
      <c r="I18" s="457">
        <f t="shared" si="32"/>
        <v>2023</v>
      </c>
      <c r="J18" s="71"/>
      <c r="K18" s="71">
        <f t="shared" si="33"/>
        <v>4</v>
      </c>
      <c r="L18" s="71"/>
      <c r="M18" s="7">
        <f t="shared" si="0"/>
        <v>0.888487047915689</v>
      </c>
      <c r="N18" s="71"/>
      <c r="O18" s="10">
        <f t="shared" si="16"/>
        <v>103174702354.5</v>
      </c>
      <c r="P18" s="29">
        <f t="shared" si="1"/>
        <v>0.16700000000000001</v>
      </c>
      <c r="Q18" s="71"/>
      <c r="R18" s="10">
        <f t="shared" si="17"/>
        <v>112625885989.71451</v>
      </c>
      <c r="S18" s="71"/>
      <c r="T18" s="10">
        <f t="shared" si="18"/>
        <v>112625885000</v>
      </c>
      <c r="U18" s="71"/>
      <c r="V18" s="10">
        <f t="shared" si="2"/>
        <v>17230175293.2015</v>
      </c>
      <c r="W18" s="10">
        <f t="shared" si="19"/>
        <v>15308787581.326443</v>
      </c>
      <c r="X18" s="71"/>
      <c r="Y18" s="10">
        <f t="shared" si="3"/>
        <v>1576762300</v>
      </c>
      <c r="Z18" s="10">
        <f t="shared" si="20"/>
        <v>1400932881.191752</v>
      </c>
      <c r="AA18" s="71"/>
      <c r="AB18" s="10">
        <f t="shared" si="4"/>
        <v>0</v>
      </c>
      <c r="AC18" s="10">
        <f t="shared" si="21"/>
        <v>0</v>
      </c>
      <c r="AD18" s="71"/>
      <c r="AE18" s="10">
        <f t="shared" si="5"/>
        <v>0</v>
      </c>
      <c r="AF18" s="10">
        <f t="shared" si="22"/>
        <v>0</v>
      </c>
      <c r="AG18" s="71"/>
      <c r="AH18" s="10">
        <f t="shared" si="6"/>
        <v>440000000.00000006</v>
      </c>
      <c r="AI18" s="10">
        <f t="shared" si="23"/>
        <v>390934301.08290321</v>
      </c>
      <c r="AJ18" s="71"/>
      <c r="AK18" s="10">
        <f t="shared" si="7"/>
        <v>4284000000</v>
      </c>
      <c r="AL18" s="10">
        <f t="shared" si="24"/>
        <v>3806278513.2708116</v>
      </c>
      <c r="AM18" s="71"/>
      <c r="AN18" s="10">
        <f t="shared" si="8"/>
        <v>3927000000.0000005</v>
      </c>
      <c r="AO18" s="10">
        <f t="shared" si="25"/>
        <v>3489088637.1649113</v>
      </c>
      <c r="AP18" s="71"/>
      <c r="AQ18" s="10">
        <f t="shared" si="9"/>
        <v>1055422000</v>
      </c>
      <c r="AR18" s="10">
        <f t="shared" si="26"/>
        <v>937728777.08527231</v>
      </c>
      <c r="AS18" s="71"/>
      <c r="AT18" s="7">
        <f>IF($K18&lt;=$F$15,IF($F$40&lt;&gt;"",$F$40/1000,IF(ISERROR(VLOOKUP($F$3&amp;IF($G$4&lt;&gt;"",$G$4,"")&amp;IF($F$43&lt;&gt;"","_"&amp;$F$43,""),'表3）燃料価格'!$AF$9:$AG$25,2,0)),0,VLOOKUP($I18,'表3）燃料価格'!$A$6:$U$66,VLOOKUP($F$3&amp;IF($G$4&lt;&gt;"",$G$4,"")&amp;IF($F$43&lt;&gt;"","_"&amp;$F$43,""),'表3）燃料価格'!$AF$9:$AG$25,2,0)+VLOOKUP($F$41,'表3）燃料価格'!$AF$28:$AG$29,2,0),0)*IF($F$43="需要地価格",1,$F$8/$F$141))),"")</f>
        <v>11.162790333333332</v>
      </c>
      <c r="AU18" s="71"/>
      <c r="AV18" s="10">
        <f t="shared" si="10"/>
        <v>18295193093.324348</v>
      </c>
      <c r="AW18" s="10">
        <f t="shared" si="11"/>
        <v>16255042102.535254</v>
      </c>
      <c r="AX18" s="71"/>
      <c r="AY18" s="7">
        <f>IF(ISERROR(IF($K18&lt;=$F$15,VLOOKUP($I18,'表4）CO2価格'!$A$7:$E$67,VLOOKUP($F$48,'表4）CO2価格'!$H$10:$I$12,2,0),0)*$F$8/1000,"")),0,IF($K18&lt;=$F$15,VLOOKUP($I18,'表4）CO2価格'!$A$7:$E$67,VLOOKUP($F$48,'表4）CO2価格'!$H$10:$I$12,2,0),0)*$F$8/1000,""))</f>
        <v>3.3811999999999904</v>
      </c>
      <c r="AZ18" s="71"/>
      <c r="BA18" s="11">
        <f t="shared" si="12"/>
        <v>10419744615.349516</v>
      </c>
      <c r="BB18" s="10">
        <f t="shared" si="27"/>
        <v>9257808133.3272877</v>
      </c>
      <c r="BC18" s="71"/>
      <c r="BD18" s="10">
        <f t="shared" si="13"/>
        <v>0</v>
      </c>
      <c r="BE18" s="10">
        <f t="shared" si="28"/>
        <v>0</v>
      </c>
      <c r="BF18" s="71"/>
      <c r="BG18" s="11">
        <f t="shared" si="14"/>
        <v>0</v>
      </c>
      <c r="BH18" s="10">
        <f t="shared" si="29"/>
        <v>0</v>
      </c>
      <c r="BJ18" s="7"/>
      <c r="BK18" s="158"/>
      <c r="BL18" s="158"/>
      <c r="BM18" s="10"/>
      <c r="BN18" s="10">
        <f>IF(AND(ISNUMBER($F$16),$K18&lt;=$F$16),BQ18*('バイオマス（木質専焼）（2020年）'!$O$15+'バイオマス（木質専焼）（2020年）'!$BK$116)/'バイオマス（木質専焼）（2020年）'!$BL$116,"")</f>
        <v>129668679369.96863</v>
      </c>
      <c r="BO18" s="10">
        <f t="shared" si="30"/>
        <v>115208942140.54942</v>
      </c>
      <c r="BQ18" s="10">
        <f t="shared" si="15"/>
        <v>4056318000</v>
      </c>
      <c r="BR18" s="10">
        <f t="shared" si="31"/>
        <v>3603986005.2272716</v>
      </c>
    </row>
    <row r="19" spans="3:70" x14ac:dyDescent="0.15">
      <c r="C19" s="4" t="s">
        <v>557</v>
      </c>
      <c r="D19" s="100"/>
      <c r="E19" s="100"/>
      <c r="F19" s="4"/>
      <c r="G19" s="100"/>
      <c r="I19" s="38">
        <f t="shared" si="32"/>
        <v>2024</v>
      </c>
      <c r="J19" s="39"/>
      <c r="K19" s="39">
        <f t="shared" si="33"/>
        <v>5</v>
      </c>
      <c r="L19" s="39"/>
      <c r="M19" s="40">
        <f t="shared" si="0"/>
        <v>0.86260878438416411</v>
      </c>
      <c r="N19" s="39"/>
      <c r="O19" s="72">
        <f t="shared" si="16"/>
        <v>85944527061.298492</v>
      </c>
      <c r="P19" s="41">
        <f t="shared" si="1"/>
        <v>0.16700000000000001</v>
      </c>
      <c r="Q19" s="39"/>
      <c r="R19" s="72">
        <f t="shared" si="17"/>
        <v>96598760488.543777</v>
      </c>
      <c r="S19" s="39"/>
      <c r="T19" s="72">
        <f t="shared" si="18"/>
        <v>96598760000</v>
      </c>
      <c r="U19" s="39"/>
      <c r="V19" s="72">
        <f t="shared" si="2"/>
        <v>14352736019.236849</v>
      </c>
      <c r="W19" s="72">
        <f t="shared" si="19"/>
        <v>12380796170.140705</v>
      </c>
      <c r="X19" s="39"/>
      <c r="Y19" s="72">
        <f t="shared" si="3"/>
        <v>1352382600</v>
      </c>
      <c r="Z19" s="72">
        <f t="shared" si="20"/>
        <v>1166577110.6082952</v>
      </c>
      <c r="AA19" s="39"/>
      <c r="AB19" s="72">
        <f t="shared" si="4"/>
        <v>0</v>
      </c>
      <c r="AC19" s="72">
        <f t="shared" si="21"/>
        <v>0</v>
      </c>
      <c r="AD19" s="39"/>
      <c r="AE19" s="72">
        <f t="shared" si="5"/>
        <v>0</v>
      </c>
      <c r="AF19" s="72">
        <f t="shared" si="22"/>
        <v>0</v>
      </c>
      <c r="AG19" s="39"/>
      <c r="AH19" s="72">
        <f t="shared" si="6"/>
        <v>440000000.00000006</v>
      </c>
      <c r="AI19" s="72">
        <f t="shared" si="23"/>
        <v>379547865.12903225</v>
      </c>
      <c r="AJ19" s="39"/>
      <c r="AK19" s="72">
        <f t="shared" si="7"/>
        <v>4284000000</v>
      </c>
      <c r="AL19" s="72">
        <f t="shared" si="24"/>
        <v>3695416032.3017592</v>
      </c>
      <c r="AM19" s="39"/>
      <c r="AN19" s="72">
        <f t="shared" si="8"/>
        <v>3927000000.0000005</v>
      </c>
      <c r="AO19" s="72">
        <f t="shared" si="25"/>
        <v>3387464696.2766128</v>
      </c>
      <c r="AP19" s="39"/>
      <c r="AQ19" s="72">
        <f t="shared" si="9"/>
        <v>1055422000</v>
      </c>
      <c r="AR19" s="72">
        <f t="shared" si="26"/>
        <v>910416288.43230319</v>
      </c>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11.044198666666665</v>
      </c>
      <c r="AU19" s="39"/>
      <c r="AV19" s="72">
        <f t="shared" si="10"/>
        <v>18129574058.499969</v>
      </c>
      <c r="AW19" s="72">
        <f t="shared" si="11"/>
        <v>15638729840.005335</v>
      </c>
      <c r="AX19" s="39"/>
      <c r="AY19" s="40">
        <f>IF(ISERROR(IF($K19&lt;=$F$15,VLOOKUP($I19,'表4）CO2価格'!$A$7:$E$67,VLOOKUP($F$48,'表4）CO2価格'!$H$10:$I$12,2,0),0)*$F$8/1000,"")),0,IF($K19&lt;=$F$15,VLOOKUP($I19,'表4）CO2価格'!$A$7:$E$67,VLOOKUP($F$48,'表4）CO2価格'!$H$10:$I$12,2,0),0)*$F$8/1000,""))</f>
        <v>3.509599999999971</v>
      </c>
      <c r="AZ19" s="39"/>
      <c r="BA19" s="42">
        <f t="shared" si="12"/>
        <v>10815431119.729818</v>
      </c>
      <c r="BB19" s="72">
        <f t="shared" si="27"/>
        <v>9329485890.780798</v>
      </c>
      <c r="BC19" s="39"/>
      <c r="BD19" s="72">
        <f t="shared" si="13"/>
        <v>0</v>
      </c>
      <c r="BE19" s="72">
        <f t="shared" si="28"/>
        <v>0</v>
      </c>
      <c r="BF19" s="39"/>
      <c r="BG19" s="42">
        <f t="shared" si="14"/>
        <v>0</v>
      </c>
      <c r="BH19" s="72">
        <f t="shared" si="29"/>
        <v>0</v>
      </c>
      <c r="BI19" s="39"/>
      <c r="BJ19" s="40"/>
      <c r="BK19" s="157"/>
      <c r="BL19" s="157"/>
      <c r="BM19" s="72"/>
      <c r="BN19" s="72">
        <f>IF(AND(ISNUMBER($F$16),$K19&lt;=$F$16),BQ19*('バイオマス（木質専焼）（2020年）'!$O$15+'バイオマス（木質専焼）（2020年）'!$BK$116)/'バイオマス（木質専焼）（2020年）'!$BL$116,"")</f>
        <v>129668679369.96863</v>
      </c>
      <c r="BO19" s="72">
        <f t="shared" si="30"/>
        <v>111853341884.02858</v>
      </c>
      <c r="BP19" s="39"/>
      <c r="BQ19" s="72">
        <f t="shared" si="15"/>
        <v>4056318000</v>
      </c>
      <c r="BR19" s="72">
        <f t="shared" si="31"/>
        <v>3499015539.055604</v>
      </c>
    </row>
    <row r="20" spans="3:70" x14ac:dyDescent="0.15">
      <c r="I20" s="457">
        <f t="shared" si="32"/>
        <v>2025</v>
      </c>
      <c r="J20" s="71"/>
      <c r="K20" s="71">
        <f t="shared" si="33"/>
        <v>6</v>
      </c>
      <c r="L20" s="71"/>
      <c r="M20" s="7">
        <f t="shared" si="0"/>
        <v>0.83748425668365445</v>
      </c>
      <c r="N20" s="71"/>
      <c r="O20" s="10">
        <f t="shared" si="16"/>
        <v>71591791042.061646</v>
      </c>
      <c r="P20" s="29">
        <f t="shared" si="1"/>
        <v>0.16700000000000001</v>
      </c>
      <c r="Q20" s="71"/>
      <c r="R20" s="10">
        <f t="shared" si="17"/>
        <v>82852360679.988113</v>
      </c>
      <c r="S20" s="71"/>
      <c r="T20" s="10">
        <f t="shared" si="18"/>
        <v>82852360000</v>
      </c>
      <c r="U20" s="71"/>
      <c r="V20" s="10">
        <f t="shared" si="2"/>
        <v>11955829104.024296</v>
      </c>
      <c r="W20" s="10">
        <f t="shared" si="19"/>
        <v>10012818650.220591</v>
      </c>
      <c r="X20" s="71"/>
      <c r="Y20" s="10">
        <f t="shared" si="3"/>
        <v>1159933000</v>
      </c>
      <c r="Z20" s="10">
        <f t="shared" si="20"/>
        <v>971425626.3078413</v>
      </c>
      <c r="AA20" s="71"/>
      <c r="AB20" s="10">
        <f t="shared" si="4"/>
        <v>0</v>
      </c>
      <c r="AC20" s="10">
        <f t="shared" si="21"/>
        <v>0</v>
      </c>
      <c r="AD20" s="71"/>
      <c r="AE20" s="10">
        <f t="shared" si="5"/>
        <v>0</v>
      </c>
      <c r="AF20" s="10">
        <f t="shared" si="22"/>
        <v>0</v>
      </c>
      <c r="AG20" s="71"/>
      <c r="AH20" s="10">
        <f t="shared" si="6"/>
        <v>440000000.00000006</v>
      </c>
      <c r="AI20" s="10">
        <f t="shared" si="23"/>
        <v>368493072.940808</v>
      </c>
      <c r="AJ20" s="71"/>
      <c r="AK20" s="10">
        <f t="shared" si="7"/>
        <v>4284000000</v>
      </c>
      <c r="AL20" s="10">
        <f t="shared" si="24"/>
        <v>3587782555.6327758</v>
      </c>
      <c r="AM20" s="71"/>
      <c r="AN20" s="10">
        <f t="shared" si="8"/>
        <v>3927000000.0000005</v>
      </c>
      <c r="AO20" s="10">
        <f t="shared" si="25"/>
        <v>3288800675.9967113</v>
      </c>
      <c r="AP20" s="71"/>
      <c r="AQ20" s="10">
        <f t="shared" si="9"/>
        <v>1055422000</v>
      </c>
      <c r="AR20" s="10">
        <f t="shared" si="26"/>
        <v>883899309.15757596</v>
      </c>
      <c r="AS20" s="71"/>
      <c r="AT20" s="7">
        <f>IF($K20&lt;=$F$15,IF($F$40&lt;&gt;"",$F$40/1000,IF(ISERROR(VLOOKUP($F$3&amp;IF($G$4&lt;&gt;"",$G$4,"")&amp;IF($F$43&lt;&gt;"","_"&amp;$F$43,""),'表3）燃料価格'!$AF$9:$AG$25,2,0)),0,VLOOKUP($I20,'表3）燃料価格'!$A$6:$U$66,VLOOKUP($F$3&amp;IF($G$4&lt;&gt;"",$G$4,"")&amp;IF($F$43&lt;&gt;"","_"&amp;$F$43,""),'表3）燃料価格'!$AF$9:$AG$25,2,0)+VLOOKUP($F$41,'表3）燃料価格'!$AF$28:$AG$29,2,0),0)*IF($F$43="需要地価格",1,$F$8/$F$141))),"")</f>
        <v>10.925606999999999</v>
      </c>
      <c r="AU20" s="71"/>
      <c r="AV20" s="10">
        <f t="shared" si="10"/>
        <v>17963955023.675591</v>
      </c>
      <c r="AW20" s="10">
        <f t="shared" si="11"/>
        <v>15044529520.101553</v>
      </c>
      <c r="AX20" s="71"/>
      <c r="AY20" s="7">
        <f>IF(ISERROR(IF($K20&lt;=$F$15,VLOOKUP($I20,'表4）CO2価格'!$A$7:$E$67,VLOOKUP($F$48,'表4）CO2価格'!$H$10:$I$12,2,0),0)*$F$8/1000,"")),0,IF($K20&lt;=$F$15,VLOOKUP($I20,'表4）CO2価格'!$A$7:$E$67,VLOOKUP($F$48,'表4）CO2価格'!$H$10:$I$12,2,0),0)*$F$8/1000,""))</f>
        <v>3.6379999999999999</v>
      </c>
      <c r="AZ20" s="71"/>
      <c r="BA20" s="11">
        <f t="shared" si="12"/>
        <v>11211117624.11027</v>
      </c>
      <c r="BB20" s="10">
        <f t="shared" si="27"/>
        <v>9389134510.0210075</v>
      </c>
      <c r="BC20" s="71"/>
      <c r="BD20" s="10">
        <f t="shared" si="13"/>
        <v>0</v>
      </c>
      <c r="BE20" s="10">
        <f t="shared" si="28"/>
        <v>0</v>
      </c>
      <c r="BF20" s="71"/>
      <c r="BG20" s="11">
        <f t="shared" si="14"/>
        <v>0</v>
      </c>
      <c r="BH20" s="10">
        <f t="shared" si="29"/>
        <v>0</v>
      </c>
      <c r="BJ20" s="7"/>
      <c r="BK20" s="158"/>
      <c r="BL20" s="158"/>
      <c r="BM20" s="10"/>
      <c r="BN20" s="10">
        <f>IF(AND(ISNUMBER($F$16),$K20&lt;=$F$16),BQ20*('バイオマス（木質専焼）（2020年）'!$O$15+'バイオマス（木質専焼）（2020年）'!$BK$116)/'バイオマス（木質専焼）（2020年）'!$BL$116,"")</f>
        <v>129668679369.96863</v>
      </c>
      <c r="BO20" s="10">
        <f t="shared" si="30"/>
        <v>108595477557.3093</v>
      </c>
      <c r="BQ20" s="10">
        <f t="shared" si="15"/>
        <v>4056318000</v>
      </c>
      <c r="BR20" s="10">
        <f t="shared" si="31"/>
        <v>3397102465.1025276</v>
      </c>
    </row>
    <row r="21" spans="3:70" x14ac:dyDescent="0.15">
      <c r="D21" s="84" t="s">
        <v>558</v>
      </c>
      <c r="F21" s="478">
        <v>25.5</v>
      </c>
      <c r="G21" s="84" t="s">
        <v>559</v>
      </c>
      <c r="I21" s="38">
        <f t="shared" si="32"/>
        <v>2026</v>
      </c>
      <c r="J21" s="39"/>
      <c r="K21" s="39">
        <f t="shared" si="33"/>
        <v>7</v>
      </c>
      <c r="L21" s="39"/>
      <c r="M21" s="40">
        <f t="shared" si="0"/>
        <v>0.81309151134335378</v>
      </c>
      <c r="N21" s="39"/>
      <c r="O21" s="72">
        <f t="shared" si="16"/>
        <v>59635961938.037354</v>
      </c>
      <c r="P21" s="41">
        <f t="shared" si="1"/>
        <v>0.16700000000000001</v>
      </c>
      <c r="Q21" s="39"/>
      <c r="R21" s="72">
        <f t="shared" si="17"/>
        <v>71062129943.799271</v>
      </c>
      <c r="S21" s="39"/>
      <c r="T21" s="72">
        <f t="shared" si="18"/>
        <v>71062129000</v>
      </c>
      <c r="U21" s="39"/>
      <c r="V21" s="72">
        <f t="shared" si="2"/>
        <v>9959205643.6522388</v>
      </c>
      <c r="W21" s="72">
        <f t="shared" si="19"/>
        <v>8097745568.576457</v>
      </c>
      <c r="X21" s="39"/>
      <c r="Y21" s="72">
        <f t="shared" si="3"/>
        <v>994869800</v>
      </c>
      <c r="Z21" s="72">
        <f t="shared" si="20"/>
        <v>808920189.27186012</v>
      </c>
      <c r="AA21" s="39"/>
      <c r="AB21" s="72">
        <f t="shared" si="4"/>
        <v>0</v>
      </c>
      <c r="AC21" s="72">
        <f t="shared" si="21"/>
        <v>0</v>
      </c>
      <c r="AD21" s="39"/>
      <c r="AE21" s="72">
        <f t="shared" si="5"/>
        <v>0</v>
      </c>
      <c r="AF21" s="72">
        <f t="shared" si="22"/>
        <v>0</v>
      </c>
      <c r="AG21" s="39"/>
      <c r="AH21" s="72">
        <f t="shared" si="6"/>
        <v>440000000.00000006</v>
      </c>
      <c r="AI21" s="72">
        <f t="shared" si="23"/>
        <v>357760264.99107569</v>
      </c>
      <c r="AJ21" s="39"/>
      <c r="AK21" s="72">
        <f t="shared" si="7"/>
        <v>4284000000</v>
      </c>
      <c r="AL21" s="72">
        <f t="shared" si="24"/>
        <v>3483284034.5949278</v>
      </c>
      <c r="AM21" s="39"/>
      <c r="AN21" s="72">
        <f t="shared" si="8"/>
        <v>3927000000.0000005</v>
      </c>
      <c r="AO21" s="72">
        <f t="shared" si="25"/>
        <v>3193010365.0453506</v>
      </c>
      <c r="AP21" s="39"/>
      <c r="AQ21" s="72">
        <f t="shared" si="9"/>
        <v>1055422000</v>
      </c>
      <c r="AR21" s="72">
        <f t="shared" si="26"/>
        <v>858154669.08502519</v>
      </c>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10.925606999999999</v>
      </c>
      <c r="AU21" s="39"/>
      <c r="AV21" s="72">
        <f t="shared" si="10"/>
        <v>17963955023.675591</v>
      </c>
      <c r="AW21" s="72">
        <f t="shared" si="11"/>
        <v>14606339339.904419</v>
      </c>
      <c r="AX21" s="39"/>
      <c r="AY21" s="40">
        <f>IF(ISERROR(IF($K21&lt;=$F$15,VLOOKUP($I21,'表4）CO2価格'!$A$7:$E$67,VLOOKUP($F$48,'表4）CO2価格'!$H$10:$I$12,2,0),0)*$F$8/1000,"")),0,IF($K21&lt;=$F$15,VLOOKUP($I21,'表4）CO2価格'!$A$7:$E$67,VLOOKUP($F$48,'表4）CO2価格'!$H$10:$I$12,2,0),0)*$F$8/1000,""))</f>
        <v>3.7663999999999804</v>
      </c>
      <c r="AZ21" s="39"/>
      <c r="BA21" s="42">
        <f t="shared" si="12"/>
        <v>11606804128.490572</v>
      </c>
      <c r="BB21" s="72">
        <f t="shared" si="27"/>
        <v>9437393910.7006779</v>
      </c>
      <c r="BC21" s="39"/>
      <c r="BD21" s="72">
        <f t="shared" si="13"/>
        <v>0</v>
      </c>
      <c r="BE21" s="72">
        <f t="shared" si="28"/>
        <v>0</v>
      </c>
      <c r="BF21" s="39"/>
      <c r="BG21" s="42">
        <f t="shared" si="14"/>
        <v>0</v>
      </c>
      <c r="BH21" s="72">
        <f t="shared" si="29"/>
        <v>0</v>
      </c>
      <c r="BI21" s="39"/>
      <c r="BJ21" s="40"/>
      <c r="BK21" s="157"/>
      <c r="BL21" s="157"/>
      <c r="BM21" s="72"/>
      <c r="BN21" s="72">
        <f>IF(AND(ISNUMBER($F$16),$K21&lt;=$F$16),BQ21*('バイオマス（木質専焼）（2020年）'!$O$15+'バイオマス（木質専焼）（2020年）'!$BK$116)/'バイオマス（木質専焼）（2020年）'!$BL$116,"")</f>
        <v>129668679369.96863</v>
      </c>
      <c r="BO21" s="72">
        <f t="shared" si="30"/>
        <v>105432502482.82455</v>
      </c>
      <c r="BP21" s="39"/>
      <c r="BQ21" s="72">
        <f t="shared" si="15"/>
        <v>4056318000</v>
      </c>
      <c r="BR21" s="72">
        <f t="shared" si="31"/>
        <v>3298157733.1092501</v>
      </c>
    </row>
    <row r="22" spans="3:70" ht="16.5" x14ac:dyDescent="0.15">
      <c r="D22" s="84" t="s">
        <v>560</v>
      </c>
      <c r="F22" s="478">
        <f>26.08*95%+13.21*5%</f>
        <v>25.436499999999995</v>
      </c>
      <c r="G22" s="71" t="s">
        <v>561</v>
      </c>
      <c r="I22" s="457">
        <f t="shared" si="32"/>
        <v>2027</v>
      </c>
      <c r="J22" s="71"/>
      <c r="K22" s="71">
        <f t="shared" si="33"/>
        <v>8</v>
      </c>
      <c r="L22" s="71"/>
      <c r="M22" s="7">
        <f t="shared" si="0"/>
        <v>0.78940923431393573</v>
      </c>
      <c r="N22" s="71"/>
      <c r="O22" s="10">
        <f t="shared" si="16"/>
        <v>49676756294.385117</v>
      </c>
      <c r="P22" s="29">
        <f t="shared" si="1"/>
        <v>0.16700000000000001</v>
      </c>
      <c r="Q22" s="71"/>
      <c r="R22" s="10">
        <f t="shared" si="17"/>
        <v>60949697397.929802</v>
      </c>
      <c r="S22" s="71"/>
      <c r="T22" s="10">
        <f t="shared" si="18"/>
        <v>60949697000</v>
      </c>
      <c r="U22" s="71"/>
      <c r="V22" s="10">
        <f t="shared" si="2"/>
        <v>8296018301.1623154</v>
      </c>
      <c r="W22" s="10">
        <f t="shared" si="19"/>
        <v>6548953454.9749413</v>
      </c>
      <c r="X22" s="71"/>
      <c r="Y22" s="10">
        <f t="shared" si="3"/>
        <v>853295700</v>
      </c>
      <c r="Z22" s="10">
        <f t="shared" si="20"/>
        <v>673599505.18037379</v>
      </c>
      <c r="AA22" s="71"/>
      <c r="AB22" s="10">
        <f t="shared" si="4"/>
        <v>0</v>
      </c>
      <c r="AC22" s="10">
        <f t="shared" si="21"/>
        <v>0</v>
      </c>
      <c r="AD22" s="71"/>
      <c r="AE22" s="10">
        <f t="shared" si="5"/>
        <v>0</v>
      </c>
      <c r="AF22" s="10">
        <f t="shared" si="22"/>
        <v>0</v>
      </c>
      <c r="AG22" s="71"/>
      <c r="AH22" s="10">
        <f t="shared" si="6"/>
        <v>440000000.00000006</v>
      </c>
      <c r="AI22" s="10">
        <f t="shared" si="23"/>
        <v>347340063.09813178</v>
      </c>
      <c r="AJ22" s="71"/>
      <c r="AK22" s="10">
        <f t="shared" si="7"/>
        <v>4284000000</v>
      </c>
      <c r="AL22" s="10">
        <f t="shared" si="24"/>
        <v>3381829159.8009005</v>
      </c>
      <c r="AM22" s="71"/>
      <c r="AN22" s="10">
        <f t="shared" si="8"/>
        <v>3927000000.0000005</v>
      </c>
      <c r="AO22" s="10">
        <f t="shared" si="25"/>
        <v>3100010063.150826</v>
      </c>
      <c r="AP22" s="71"/>
      <c r="AQ22" s="10">
        <f t="shared" si="9"/>
        <v>1055422000</v>
      </c>
      <c r="AR22" s="10">
        <f t="shared" si="26"/>
        <v>833159872.89808261</v>
      </c>
      <c r="AS22" s="71"/>
      <c r="AT22" s="7">
        <f>IF($K22&lt;=$F$15,IF($F$40&lt;&gt;"",$F$40/1000,IF(ISERROR(VLOOKUP($F$3&amp;IF($G$4&lt;&gt;"",$G$4,"")&amp;IF($F$43&lt;&gt;"","_"&amp;$F$43,""),'表3）燃料価格'!$AF$9:$AG$25,2,0)),0,VLOOKUP($I22,'表3）燃料価格'!$A$6:$U$66,VLOOKUP($F$3&amp;IF($G$4&lt;&gt;"",$G$4,"")&amp;IF($F$43&lt;&gt;"","_"&amp;$F$43,""),'表3）燃料価格'!$AF$9:$AG$25,2,0)+VLOOKUP($F$41,'表3）燃料価格'!$AF$28:$AG$29,2,0),0)*IF($F$43="需要地価格",1,$F$8/$F$141))),"")</f>
        <v>10.925606999999999</v>
      </c>
      <c r="AU22" s="71"/>
      <c r="AV22" s="10">
        <f t="shared" si="10"/>
        <v>17963955023.675591</v>
      </c>
      <c r="AW22" s="10">
        <f t="shared" si="11"/>
        <v>14180911980.489727</v>
      </c>
      <c r="AX22" s="71"/>
      <c r="AY22" s="7">
        <f>IF(ISERROR(IF($K22&lt;=$F$15,VLOOKUP($I22,'表4）CO2価格'!$A$7:$E$67,VLOOKUP($F$48,'表4）CO2価格'!$H$10:$I$12,2,0),0)*$F$8/1000,"")),0,IF($K22&lt;=$F$15,VLOOKUP($I22,'表4）CO2価格'!$A$7:$E$67,VLOOKUP($F$48,'表4）CO2価格'!$H$10:$I$12,2,0),0)*$F$8/1000,""))</f>
        <v>3.8948000000000098</v>
      </c>
      <c r="AZ22" s="71"/>
      <c r="BA22" s="11">
        <f t="shared" si="12"/>
        <v>12002490632.871025</v>
      </c>
      <c r="BB22" s="10">
        <f t="shared" si="27"/>
        <v>9474876940.3549023</v>
      </c>
      <c r="BC22" s="71"/>
      <c r="BD22" s="10">
        <f t="shared" si="13"/>
        <v>0</v>
      </c>
      <c r="BE22" s="10">
        <f t="shared" si="28"/>
        <v>0</v>
      </c>
      <c r="BF22" s="71"/>
      <c r="BG22" s="11">
        <f t="shared" si="14"/>
        <v>0</v>
      </c>
      <c r="BH22" s="10">
        <f t="shared" si="29"/>
        <v>0</v>
      </c>
      <c r="BJ22" s="7"/>
      <c r="BK22" s="158"/>
      <c r="BL22" s="158"/>
      <c r="BM22" s="10"/>
      <c r="BN22" s="10">
        <f>IF(AND(ISNUMBER($F$16),$K22&lt;=$F$16),BQ22*('バイオマス（木質専焼）（2020年）'!$O$15+'バイオマス（木質専焼）（2020年）'!$BK$116)/'バイオマス（木質専焼）（2020年）'!$BL$116,"")</f>
        <v>129668679369.96863</v>
      </c>
      <c r="BO22" s="10">
        <f t="shared" si="30"/>
        <v>102361652895.94617</v>
      </c>
      <c r="BQ22" s="10">
        <f t="shared" si="15"/>
        <v>4056318000</v>
      </c>
      <c r="BR22" s="10">
        <f t="shared" si="31"/>
        <v>3202094886.513835</v>
      </c>
    </row>
    <row r="23" spans="3:70" x14ac:dyDescent="0.15">
      <c r="D23" s="84" t="s">
        <v>562</v>
      </c>
      <c r="F23" s="479">
        <v>43.5</v>
      </c>
      <c r="G23" s="84" t="s">
        <v>549</v>
      </c>
      <c r="I23" s="38">
        <f t="shared" si="32"/>
        <v>2028</v>
      </c>
      <c r="J23" s="39"/>
      <c r="K23" s="39">
        <f t="shared" si="33"/>
        <v>9</v>
      </c>
      <c r="L23" s="39"/>
      <c r="M23" s="40">
        <f t="shared" si="0"/>
        <v>0.76641673234362695</v>
      </c>
      <c r="N23" s="39"/>
      <c r="O23" s="72">
        <f t="shared" si="16"/>
        <v>41380737993.222801</v>
      </c>
      <c r="P23" s="41">
        <f t="shared" si="1"/>
        <v>0.16700000000000001</v>
      </c>
      <c r="Q23" s="39"/>
      <c r="R23" s="72">
        <f t="shared" si="17"/>
        <v>52276305478.560486</v>
      </c>
      <c r="S23" s="39"/>
      <c r="T23" s="72">
        <f t="shared" si="18"/>
        <v>52276305000</v>
      </c>
      <c r="U23" s="39"/>
      <c r="V23" s="72">
        <f t="shared" si="2"/>
        <v>6910583244.8682079</v>
      </c>
      <c r="W23" s="72">
        <f t="shared" si="19"/>
        <v>5296386629.1205101</v>
      </c>
      <c r="X23" s="39"/>
      <c r="Y23" s="72">
        <f t="shared" si="3"/>
        <v>731868200</v>
      </c>
      <c r="Z23" s="72">
        <f t="shared" si="20"/>
        <v>560916034.35021198</v>
      </c>
      <c r="AA23" s="39"/>
      <c r="AB23" s="72">
        <f t="shared" si="4"/>
        <v>0</v>
      </c>
      <c r="AC23" s="72">
        <f t="shared" si="21"/>
        <v>0</v>
      </c>
      <c r="AD23" s="39"/>
      <c r="AE23" s="72">
        <f t="shared" si="5"/>
        <v>0</v>
      </c>
      <c r="AF23" s="72">
        <f t="shared" si="22"/>
        <v>0</v>
      </c>
      <c r="AG23" s="39"/>
      <c r="AH23" s="72">
        <f t="shared" si="6"/>
        <v>440000000.00000006</v>
      </c>
      <c r="AI23" s="72">
        <f t="shared" si="23"/>
        <v>337223362.23119593</v>
      </c>
      <c r="AJ23" s="39"/>
      <c r="AK23" s="72">
        <f t="shared" si="7"/>
        <v>4284000000</v>
      </c>
      <c r="AL23" s="72">
        <f t="shared" si="24"/>
        <v>3283329281.3600979</v>
      </c>
      <c r="AM23" s="39"/>
      <c r="AN23" s="72">
        <f t="shared" si="8"/>
        <v>3927000000.0000005</v>
      </c>
      <c r="AO23" s="72">
        <f t="shared" si="25"/>
        <v>3009718507.9134235</v>
      </c>
      <c r="AP23" s="39"/>
      <c r="AQ23" s="72">
        <f t="shared" si="9"/>
        <v>1055422000</v>
      </c>
      <c r="AR23" s="72">
        <f t="shared" si="26"/>
        <v>808893080.48357546</v>
      </c>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10.925606999999999</v>
      </c>
      <c r="AU23" s="39"/>
      <c r="AV23" s="72">
        <f t="shared" si="10"/>
        <v>17963955023.675591</v>
      </c>
      <c r="AW23" s="72">
        <f t="shared" si="11"/>
        <v>13767875709.213327</v>
      </c>
      <c r="AX23" s="39"/>
      <c r="AY23" s="40">
        <f>IF(ISERROR(IF($K23&lt;=$F$15,VLOOKUP($I23,'表4）CO2価格'!$A$7:$E$67,VLOOKUP($F$48,'表4）CO2価格'!$H$10:$I$12,2,0),0)*$F$8/1000,"")),0,IF($K23&lt;=$F$15,VLOOKUP($I23,'表4）CO2価格'!$A$7:$E$67,VLOOKUP($F$48,'表4）CO2価格'!$H$10:$I$12,2,0),0)*$F$8/1000,""))</f>
        <v>4.0231999999999903</v>
      </c>
      <c r="AZ23" s="39"/>
      <c r="BA23" s="42">
        <f t="shared" si="12"/>
        <v>12398177137.251328</v>
      </c>
      <c r="BB23" s="72">
        <f t="shared" si="27"/>
        <v>9502170408.5496254</v>
      </c>
      <c r="BC23" s="39"/>
      <c r="BD23" s="72">
        <f t="shared" si="13"/>
        <v>0</v>
      </c>
      <c r="BE23" s="72">
        <f t="shared" si="28"/>
        <v>0</v>
      </c>
      <c r="BF23" s="39"/>
      <c r="BG23" s="42">
        <f t="shared" si="14"/>
        <v>0</v>
      </c>
      <c r="BH23" s="72">
        <f t="shared" si="29"/>
        <v>0</v>
      </c>
      <c r="BI23" s="39"/>
      <c r="BJ23" s="40"/>
      <c r="BK23" s="157"/>
      <c r="BL23" s="157"/>
      <c r="BM23" s="72"/>
      <c r="BN23" s="72">
        <f>IF(AND(ISNUMBER($F$16),$K23&lt;=$F$16),BQ23*('バイオマス（木質専焼）（2020年）'!$O$15+'バイオマス（木質専焼）（2020年）'!$BK$116)/'バイオマス（木質専焼）（2020年）'!$BL$116,"")</f>
        <v>129668679369.96863</v>
      </c>
      <c r="BO23" s="72">
        <f t="shared" si="30"/>
        <v>99380245530.04483</v>
      </c>
      <c r="BP23" s="39"/>
      <c r="BQ23" s="72">
        <f t="shared" si="15"/>
        <v>4056318000</v>
      </c>
      <c r="BR23" s="72">
        <f t="shared" si="31"/>
        <v>3108829986.9066362</v>
      </c>
    </row>
    <row r="24" spans="3:70" x14ac:dyDescent="0.15">
      <c r="D24" s="84" t="s">
        <v>563</v>
      </c>
      <c r="F24" s="480">
        <v>5.5</v>
      </c>
      <c r="G24" s="84" t="s">
        <v>549</v>
      </c>
      <c r="I24" s="457">
        <f t="shared" si="32"/>
        <v>2029</v>
      </c>
      <c r="J24" s="71"/>
      <c r="K24" s="71">
        <f t="shared" si="33"/>
        <v>10</v>
      </c>
      <c r="L24" s="71"/>
      <c r="M24" s="7">
        <f t="shared" si="0"/>
        <v>0.74409391489672516</v>
      </c>
      <c r="N24" s="71"/>
      <c r="O24" s="10">
        <f t="shared" si="16"/>
        <v>34470154748.354591</v>
      </c>
      <c r="P24" s="29">
        <f t="shared" si="1"/>
        <v>0.16700000000000001</v>
      </c>
      <c r="Q24" s="71"/>
      <c r="R24" s="10">
        <f t="shared" si="17"/>
        <v>44837172802.446014</v>
      </c>
      <c r="S24" s="71"/>
      <c r="T24" s="10">
        <f t="shared" si="18"/>
        <v>44837172000</v>
      </c>
      <c r="U24" s="71"/>
      <c r="V24" s="10">
        <f t="shared" si="2"/>
        <v>5756515842.9752169</v>
      </c>
      <c r="W24" s="10">
        <f t="shared" si="19"/>
        <v>4283388409.764451</v>
      </c>
      <c r="X24" s="71"/>
      <c r="Y24" s="10">
        <f t="shared" si="3"/>
        <v>627720400</v>
      </c>
      <c r="Z24" s="10">
        <f t="shared" si="20"/>
        <v>467082929.89653826</v>
      </c>
      <c r="AA24" s="71"/>
      <c r="AB24" s="10">
        <f t="shared" si="4"/>
        <v>0</v>
      </c>
      <c r="AC24" s="10">
        <f t="shared" si="21"/>
        <v>0</v>
      </c>
      <c r="AD24" s="71"/>
      <c r="AE24" s="10">
        <f t="shared" si="5"/>
        <v>0</v>
      </c>
      <c r="AF24" s="10">
        <f t="shared" si="22"/>
        <v>0</v>
      </c>
      <c r="AG24" s="71"/>
      <c r="AH24" s="10">
        <f t="shared" si="6"/>
        <v>440000000.00000006</v>
      </c>
      <c r="AI24" s="10">
        <f t="shared" si="23"/>
        <v>327401322.55455911</v>
      </c>
      <c r="AJ24" s="71"/>
      <c r="AK24" s="10">
        <f t="shared" si="7"/>
        <v>4284000000</v>
      </c>
      <c r="AL24" s="10">
        <f t="shared" si="24"/>
        <v>3187698331.4175706</v>
      </c>
      <c r="AM24" s="71"/>
      <c r="AN24" s="10">
        <f t="shared" si="8"/>
        <v>3927000000.0000005</v>
      </c>
      <c r="AO24" s="10">
        <f t="shared" si="25"/>
        <v>2922056803.7994399</v>
      </c>
      <c r="AP24" s="71"/>
      <c r="AQ24" s="10">
        <f t="shared" si="9"/>
        <v>1055422000</v>
      </c>
      <c r="AR24" s="10">
        <f t="shared" si="26"/>
        <v>785333087.84813142</v>
      </c>
      <c r="AS24" s="71"/>
      <c r="AT24" s="7">
        <f>IF($K24&lt;=$F$15,IF($F$40&lt;&gt;"",$F$40/1000,IF(ISERROR(VLOOKUP($F$3&amp;IF($G$4&lt;&gt;"",$G$4,"")&amp;IF($F$43&lt;&gt;"","_"&amp;$F$43,""),'表3）燃料価格'!$AF$9:$AG$25,2,0)),0,VLOOKUP($I24,'表3）燃料価格'!$A$6:$U$66,VLOOKUP($F$3&amp;IF($G$4&lt;&gt;"",$G$4,"")&amp;IF($F$43&lt;&gt;"","_"&amp;$F$43,""),'表3）燃料価格'!$AF$9:$AG$25,2,0)+VLOOKUP($F$41,'表3）燃料価格'!$AF$28:$AG$29,2,0),0)*IF($F$43="需要地価格",1,$F$8/$F$141))),"")</f>
        <v>10.925606999999999</v>
      </c>
      <c r="AU24" s="71"/>
      <c r="AV24" s="10">
        <f t="shared" si="10"/>
        <v>17963955023.675591</v>
      </c>
      <c r="AW24" s="10">
        <f t="shared" si="11"/>
        <v>13366869620.595463</v>
      </c>
      <c r="AX24" s="71"/>
      <c r="AY24" s="7">
        <f>IF(ISERROR(IF($K24&lt;=$F$15,VLOOKUP($I24,'表4）CO2価格'!$A$7:$E$67,VLOOKUP($F$48,'表4）CO2価格'!$H$10:$I$12,2,0),0)*$F$8/1000,"")),0,IF($K24&lt;=$F$15,VLOOKUP($I24,'表4）CO2価格'!$A$7:$E$67,VLOOKUP($F$48,'表4）CO2価格'!$H$10:$I$12,2,0),0)*$F$8/1000,""))</f>
        <v>4.1515999999999709</v>
      </c>
      <c r="AZ24" s="71"/>
      <c r="BA24" s="11">
        <f t="shared" si="12"/>
        <v>12793863641.63163</v>
      </c>
      <c r="BB24" s="10">
        <f t="shared" si="27"/>
        <v>9519836083.7565517</v>
      </c>
      <c r="BC24" s="71"/>
      <c r="BD24" s="10">
        <f t="shared" si="13"/>
        <v>0</v>
      </c>
      <c r="BE24" s="10">
        <f t="shared" si="28"/>
        <v>0</v>
      </c>
      <c r="BF24" s="71"/>
      <c r="BG24" s="11">
        <f t="shared" si="14"/>
        <v>0</v>
      </c>
      <c r="BH24" s="10">
        <f t="shared" si="29"/>
        <v>0</v>
      </c>
      <c r="BJ24" s="7"/>
      <c r="BK24" s="158"/>
      <c r="BL24" s="158"/>
      <c r="BM24" s="10"/>
      <c r="BN24" s="10">
        <f>IF(AND(ISNUMBER($F$16),$K24&lt;=$F$16),BQ24*('バイオマス（木質専焼）（2020年）'!$O$15+'バイオマス（木質専焼）（2020年）'!$BK$116)/'バイオマス（木質専焼）（2020年）'!$BL$116,"")</f>
        <v>129668679369.96863</v>
      </c>
      <c r="BO24" s="10">
        <f t="shared" si="30"/>
        <v>96485675271.888184</v>
      </c>
      <c r="BQ24" s="10">
        <f t="shared" si="15"/>
        <v>4056318000</v>
      </c>
      <c r="BR24" s="10">
        <f t="shared" si="31"/>
        <v>3018281540.6860542</v>
      </c>
    </row>
    <row r="25" spans="3:70" x14ac:dyDescent="0.15">
      <c r="D25" s="84" t="s">
        <v>564</v>
      </c>
      <c r="F25" s="475">
        <v>1.4</v>
      </c>
      <c r="G25" s="84" t="s">
        <v>549</v>
      </c>
      <c r="I25" s="38">
        <f t="shared" si="32"/>
        <v>2030</v>
      </c>
      <c r="J25" s="39"/>
      <c r="K25" s="39">
        <f t="shared" si="33"/>
        <v>11</v>
      </c>
      <c r="L25" s="39"/>
      <c r="M25" s="40">
        <f t="shared" si="0"/>
        <v>0.72242127659876232</v>
      </c>
      <c r="N25" s="39"/>
      <c r="O25" s="72">
        <f t="shared" si="16"/>
        <v>28713638905.379375</v>
      </c>
      <c r="P25" s="41">
        <f t="shared" si="1"/>
        <v>0.2</v>
      </c>
      <c r="Q25" s="39"/>
      <c r="R25" s="72">
        <f t="shared" si="17"/>
        <v>38456659217.06913</v>
      </c>
      <c r="S25" s="39"/>
      <c r="T25" s="72">
        <f t="shared" si="18"/>
        <v>38456659000</v>
      </c>
      <c r="U25" s="39"/>
      <c r="V25" s="72">
        <f t="shared" si="2"/>
        <v>5742727781.0758753</v>
      </c>
      <c r="W25" s="72">
        <f t="shared" si="19"/>
        <v>4148668734.7640114</v>
      </c>
      <c r="X25" s="39"/>
      <c r="Y25" s="72">
        <f t="shared" si="3"/>
        <v>538393200</v>
      </c>
      <c r="Z25" s="72">
        <f t="shared" si="20"/>
        <v>388946702.85609275</v>
      </c>
      <c r="AA25" s="39"/>
      <c r="AB25" s="72">
        <f t="shared" si="4"/>
        <v>0</v>
      </c>
      <c r="AC25" s="72">
        <f t="shared" si="21"/>
        <v>0</v>
      </c>
      <c r="AD25" s="39"/>
      <c r="AE25" s="72">
        <f t="shared" si="5"/>
        <v>0</v>
      </c>
      <c r="AF25" s="72">
        <f t="shared" si="22"/>
        <v>0</v>
      </c>
      <c r="AG25" s="39"/>
      <c r="AH25" s="72">
        <f t="shared" si="6"/>
        <v>440000000.00000006</v>
      </c>
      <c r="AI25" s="72">
        <f t="shared" si="23"/>
        <v>317865361.70345545</v>
      </c>
      <c r="AJ25" s="39"/>
      <c r="AK25" s="72">
        <f t="shared" si="7"/>
        <v>4284000000</v>
      </c>
      <c r="AL25" s="72">
        <f t="shared" si="24"/>
        <v>3094852748.9490976</v>
      </c>
      <c r="AM25" s="39"/>
      <c r="AN25" s="72">
        <f t="shared" si="8"/>
        <v>3927000000.0000005</v>
      </c>
      <c r="AO25" s="72">
        <f t="shared" si="25"/>
        <v>2836948353.2033401</v>
      </c>
      <c r="AP25" s="39"/>
      <c r="AQ25" s="72">
        <f t="shared" si="9"/>
        <v>1055422000</v>
      </c>
      <c r="AR25" s="72">
        <f t="shared" si="26"/>
        <v>762459308.59041893</v>
      </c>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10.925606999999999</v>
      </c>
      <c r="AU25" s="39"/>
      <c r="AV25" s="72">
        <f t="shared" si="10"/>
        <v>17963955023.675591</v>
      </c>
      <c r="AW25" s="72">
        <f t="shared" si="11"/>
        <v>12977543320.966469</v>
      </c>
      <c r="AX25" s="39"/>
      <c r="AY25" s="40">
        <f>IF(ISERROR(IF($K25&lt;=$F$15,VLOOKUP($I25,'表4）CO2価格'!$A$7:$E$67,VLOOKUP($F$48,'表4）CO2価格'!$H$10:$I$12,2,0),0)*$F$8/1000,"")),0,IF($K25&lt;=$F$15,VLOOKUP($I25,'表4）CO2価格'!$A$7:$E$67,VLOOKUP($F$48,'表4）CO2価格'!$H$10:$I$12,2,0),0)*$F$8/1000,""))</f>
        <v>4.28</v>
      </c>
      <c r="AZ25" s="39"/>
      <c r="BA25" s="42">
        <f t="shared" si="12"/>
        <v>13189550146.012083</v>
      </c>
      <c r="BB25" s="72">
        <f t="shared" si="27"/>
        <v>9528411654.2454414</v>
      </c>
      <c r="BC25" s="39"/>
      <c r="BD25" s="72">
        <f t="shared" si="13"/>
        <v>0</v>
      </c>
      <c r="BE25" s="72">
        <f t="shared" si="28"/>
        <v>0</v>
      </c>
      <c r="BF25" s="39"/>
      <c r="BG25" s="42">
        <f t="shared" si="14"/>
        <v>0</v>
      </c>
      <c r="BH25" s="72">
        <f t="shared" si="29"/>
        <v>0</v>
      </c>
      <c r="BI25" s="39"/>
      <c r="BJ25" s="40"/>
      <c r="BK25" s="157"/>
      <c r="BL25" s="157"/>
      <c r="BM25" s="72"/>
      <c r="BN25" s="72">
        <f>IF(AND(ISNUMBER($F$16),$K25&lt;=$F$16),BQ25*('バイオマス（木質専焼）（2020年）'!$O$15+'バイオマス（木質専焼）（2020年）'!$BK$116)/'バイオマス（木質専焼）（2020年）'!$BL$116,"")</f>
        <v>129668679369.96863</v>
      </c>
      <c r="BO25" s="72">
        <f t="shared" si="30"/>
        <v>93675412885.328339</v>
      </c>
      <c r="BP25" s="39"/>
      <c r="BQ25" s="72">
        <f t="shared" si="15"/>
        <v>4056318000</v>
      </c>
      <c r="BR25" s="72">
        <f t="shared" si="31"/>
        <v>2930370427.8505383</v>
      </c>
    </row>
    <row r="26" spans="3:70" x14ac:dyDescent="0.15">
      <c r="D26" s="84" t="s">
        <v>115</v>
      </c>
      <c r="F26" s="481"/>
      <c r="G26" s="84" t="s">
        <v>565</v>
      </c>
      <c r="I26" s="457">
        <f t="shared" si="32"/>
        <v>2031</v>
      </c>
      <c r="J26" s="71"/>
      <c r="K26" s="71">
        <f t="shared" si="33"/>
        <v>12</v>
      </c>
      <c r="L26" s="71"/>
      <c r="M26" s="7">
        <f t="shared" si="0"/>
        <v>0.70137988019297326</v>
      </c>
      <c r="N26" s="71"/>
      <c r="O26" s="10">
        <f t="shared" si="16"/>
        <v>22970911124.303501</v>
      </c>
      <c r="P26" s="29" t="str">
        <f t="shared" si="1"/>
        <v>-</v>
      </c>
      <c r="Q26" s="71"/>
      <c r="R26" s="10">
        <f t="shared" si="17"/>
        <v>32984118883.9879</v>
      </c>
      <c r="S26" s="71"/>
      <c r="T26" s="10">
        <f t="shared" si="18"/>
        <v>32984118000</v>
      </c>
      <c r="U26" s="71"/>
      <c r="V26" s="10">
        <f t="shared" si="2"/>
        <v>5742727781.0758753</v>
      </c>
      <c r="W26" s="10">
        <f t="shared" si="19"/>
        <v>4027833723.0718565</v>
      </c>
      <c r="X26" s="71"/>
      <c r="Y26" s="10">
        <f t="shared" si="3"/>
        <v>461777600</v>
      </c>
      <c r="Z26" s="10">
        <f t="shared" si="20"/>
        <v>323881517.76379871</v>
      </c>
      <c r="AA26" s="71"/>
      <c r="AB26" s="10">
        <f t="shared" si="4"/>
        <v>0</v>
      </c>
      <c r="AC26" s="10">
        <f t="shared" si="21"/>
        <v>0</v>
      </c>
      <c r="AD26" s="71"/>
      <c r="AE26" s="10">
        <f t="shared" si="5"/>
        <v>0</v>
      </c>
      <c r="AF26" s="10">
        <f t="shared" si="22"/>
        <v>0</v>
      </c>
      <c r="AG26" s="71"/>
      <c r="AH26" s="10">
        <f t="shared" si="6"/>
        <v>440000000.00000006</v>
      </c>
      <c r="AI26" s="10">
        <f t="shared" si="23"/>
        <v>308607147.28490829</v>
      </c>
      <c r="AJ26" s="71"/>
      <c r="AK26" s="10">
        <f t="shared" si="7"/>
        <v>4284000000</v>
      </c>
      <c r="AL26" s="10">
        <f t="shared" si="24"/>
        <v>3004711406.7466974</v>
      </c>
      <c r="AM26" s="71"/>
      <c r="AN26" s="10">
        <f t="shared" si="8"/>
        <v>3927000000.0000005</v>
      </c>
      <c r="AO26" s="10">
        <f t="shared" si="25"/>
        <v>2754318789.5178065</v>
      </c>
      <c r="AP26" s="71"/>
      <c r="AQ26" s="10">
        <f t="shared" si="9"/>
        <v>1055422000</v>
      </c>
      <c r="AR26" s="10">
        <f t="shared" si="26"/>
        <v>740251755.91302824</v>
      </c>
      <c r="AS26" s="71"/>
      <c r="AT26" s="7">
        <f>IF($K26&lt;=$F$15,IF($F$40&lt;&gt;"",$F$40/1000,IF(ISERROR(VLOOKUP($F$3&amp;IF($G$4&lt;&gt;"",$G$4,"")&amp;IF($F$43&lt;&gt;"","_"&amp;$F$43,""),'表3）燃料価格'!$AF$9:$AG$25,2,0)),0,VLOOKUP($I26,'表3）燃料価格'!$A$6:$U$66,VLOOKUP($F$3&amp;IF($G$4&lt;&gt;"",$G$4,"")&amp;IF($F$43&lt;&gt;"","_"&amp;$F$43,""),'表3）燃料価格'!$AF$9:$AG$25,2,0)+VLOOKUP($F$41,'表3）燃料価格'!$AF$28:$AG$29,2,0),0)*IF($F$43="需要地価格",1,$F$8/$F$141))),"")</f>
        <v>10.925606999999999</v>
      </c>
      <c r="AU26" s="71"/>
      <c r="AV26" s="10">
        <f t="shared" si="10"/>
        <v>17963955023.675591</v>
      </c>
      <c r="AW26" s="10">
        <f t="shared" si="11"/>
        <v>12599556622.297546</v>
      </c>
      <c r="AX26" s="71"/>
      <c r="AY26" s="7">
        <f>IF(ISERROR(IF($K26&lt;=$F$15,VLOOKUP($I26,'表4）CO2価格'!$A$7:$E$67,VLOOKUP($F$48,'表4）CO2価格'!$H$10:$I$12,2,0),0)*$F$8/1000,"")),0,IF($K26&lt;=$F$15,VLOOKUP($I26,'表4）CO2価格'!$A$7:$E$67,VLOOKUP($F$48,'表4）CO2価格'!$H$10:$I$12,2,0),0)*$F$8/1000,""))</f>
        <v>4.4083999999999808</v>
      </c>
      <c r="AZ26" s="71"/>
      <c r="BA26" s="11">
        <f t="shared" si="12"/>
        <v>13585236650.392385</v>
      </c>
      <c r="BB26" s="10">
        <f t="shared" si="27"/>
        <v>9528411654.2454014</v>
      </c>
      <c r="BC26" s="71"/>
      <c r="BD26" s="10">
        <f t="shared" si="13"/>
        <v>0</v>
      </c>
      <c r="BE26" s="10">
        <f t="shared" si="28"/>
        <v>0</v>
      </c>
      <c r="BF26" s="71"/>
      <c r="BG26" s="11">
        <f t="shared" si="14"/>
        <v>0</v>
      </c>
      <c r="BH26" s="10">
        <f t="shared" si="29"/>
        <v>0</v>
      </c>
      <c r="BJ26" s="7"/>
      <c r="BK26" s="158"/>
      <c r="BL26" s="158"/>
      <c r="BM26" s="10"/>
      <c r="BN26" s="10">
        <f>IF(AND(ISNUMBER($F$16),$K26&lt;=$F$16),BQ26*('バイオマス（木質専焼）（2020年）'!$O$15+'バイオマス（木質専焼）（2020年）'!$BK$116)/'バイオマス（木質専焼）（2020年）'!$BL$116,"")</f>
        <v>129668679369.96863</v>
      </c>
      <c r="BO26" s="10">
        <f t="shared" si="30"/>
        <v>90947002801.289658</v>
      </c>
      <c r="BQ26" s="10">
        <f t="shared" si="15"/>
        <v>4056318000</v>
      </c>
      <c r="BR26" s="10">
        <f t="shared" si="31"/>
        <v>2845019832.8646011</v>
      </c>
    </row>
    <row r="27" spans="3:70" x14ac:dyDescent="0.15">
      <c r="D27" s="160" t="s">
        <v>86</v>
      </c>
      <c r="F27" s="481">
        <f>F117*5%/10^8</f>
        <v>89.25</v>
      </c>
      <c r="G27" s="84" t="s">
        <v>566</v>
      </c>
      <c r="I27" s="38">
        <f t="shared" si="32"/>
        <v>2032</v>
      </c>
      <c r="J27" s="39"/>
      <c r="K27" s="39">
        <f t="shared" si="33"/>
        <v>13</v>
      </c>
      <c r="L27" s="39"/>
      <c r="M27" s="40">
        <f t="shared" si="0"/>
        <v>0.68095133999317792</v>
      </c>
      <c r="N27" s="39"/>
      <c r="O27" s="72">
        <f t="shared" si="16"/>
        <v>17228183343.227627</v>
      </c>
      <c r="P27" s="41" t="str">
        <f t="shared" si="1"/>
        <v>-</v>
      </c>
      <c r="Q27" s="39"/>
      <c r="R27" s="72">
        <f t="shared" si="17"/>
        <v>28290343485.430882</v>
      </c>
      <c r="S27" s="39"/>
      <c r="T27" s="72">
        <f t="shared" si="18"/>
        <v>28290343000</v>
      </c>
      <c r="U27" s="39"/>
      <c r="V27" s="72">
        <f t="shared" si="2"/>
        <v>5742727781.0758753</v>
      </c>
      <c r="W27" s="72">
        <f t="shared" si="19"/>
        <v>3910518177.7396665</v>
      </c>
      <c r="X27" s="39"/>
      <c r="Y27" s="72">
        <f t="shared" si="3"/>
        <v>396064800</v>
      </c>
      <c r="Z27" s="72">
        <f t="shared" si="20"/>
        <v>269700856.28413004</v>
      </c>
      <c r="AA27" s="39"/>
      <c r="AB27" s="72">
        <f t="shared" si="4"/>
        <v>0</v>
      </c>
      <c r="AC27" s="72">
        <f t="shared" si="21"/>
        <v>0</v>
      </c>
      <c r="AD27" s="39"/>
      <c r="AE27" s="72">
        <f t="shared" si="5"/>
        <v>0</v>
      </c>
      <c r="AF27" s="72">
        <f t="shared" si="22"/>
        <v>0</v>
      </c>
      <c r="AG27" s="39"/>
      <c r="AH27" s="72">
        <f t="shared" si="6"/>
        <v>440000000.00000006</v>
      </c>
      <c r="AI27" s="72">
        <f t="shared" si="23"/>
        <v>299618589.59699833</v>
      </c>
      <c r="AJ27" s="39"/>
      <c r="AK27" s="72">
        <f t="shared" si="7"/>
        <v>4284000000</v>
      </c>
      <c r="AL27" s="72">
        <f t="shared" si="24"/>
        <v>2917195540.5307741</v>
      </c>
      <c r="AM27" s="39"/>
      <c r="AN27" s="72">
        <f t="shared" si="8"/>
        <v>3927000000.0000005</v>
      </c>
      <c r="AO27" s="72">
        <f t="shared" si="25"/>
        <v>2674095912.1532102</v>
      </c>
      <c r="AP27" s="39"/>
      <c r="AQ27" s="72">
        <f t="shared" si="9"/>
        <v>1055422000</v>
      </c>
      <c r="AR27" s="72">
        <f t="shared" si="26"/>
        <v>718691025.15827978</v>
      </c>
      <c r="AS27" s="39"/>
      <c r="AT27" s="40">
        <f>IF($K27&lt;=$F$15,IF($F$40&lt;&gt;"",$F$40/1000,IF(ISERROR(VLOOKUP($F$3&amp;IF($G$4&lt;&gt;"",$G$4,"")&amp;IF($F$43&lt;&gt;"","_"&amp;$F$43,""),'表3）燃料価格'!$AF$9:$AG$25,2,0)),0,VLOOKUP($I27,'表3）燃料価格'!$A$6:$U$66,VLOOKUP($F$3&amp;IF($G$4&lt;&gt;"",$G$4,"")&amp;IF($F$43&lt;&gt;"","_"&amp;$F$43,""),'表3）燃料価格'!$AF$9:$AG$25,2,0)+VLOOKUP($F$41,'表3）燃料価格'!$AF$28:$AG$29,2,0),0)*IF($F$43="需要地価格",1,$F$8/$F$141))),"")</f>
        <v>10.925606999999999</v>
      </c>
      <c r="AU27" s="39"/>
      <c r="AV27" s="72">
        <f t="shared" si="10"/>
        <v>17963955023.675591</v>
      </c>
      <c r="AW27" s="72">
        <f t="shared" si="11"/>
        <v>12232579244.949074</v>
      </c>
      <c r="AX27" s="39"/>
      <c r="AY27" s="40">
        <f>IF(ISERROR(IF($K27&lt;=$F$15,VLOOKUP($I27,'表4）CO2価格'!$A$7:$E$67,VLOOKUP($F$48,'表4）CO2価格'!$H$10:$I$12,2,0),0)*$F$8/1000,"")),0,IF($K27&lt;=$F$15,VLOOKUP($I27,'表4）CO2価格'!$A$7:$E$67,VLOOKUP($F$48,'表4）CO2価格'!$H$10:$I$12,2,0),0)*$F$8/1000,""))</f>
        <v>4.5368000000000102</v>
      </c>
      <c r="AZ27" s="39"/>
      <c r="BA27" s="42">
        <f t="shared" si="12"/>
        <v>13980923154.772839</v>
      </c>
      <c r="BB27" s="72">
        <f t="shared" si="27"/>
        <v>9520328356.5842133</v>
      </c>
      <c r="BC27" s="39"/>
      <c r="BD27" s="72">
        <f t="shared" si="13"/>
        <v>0</v>
      </c>
      <c r="BE27" s="72">
        <f t="shared" si="28"/>
        <v>0</v>
      </c>
      <c r="BF27" s="39"/>
      <c r="BG27" s="42">
        <f t="shared" si="14"/>
        <v>0</v>
      </c>
      <c r="BH27" s="72">
        <f t="shared" si="29"/>
        <v>0</v>
      </c>
      <c r="BI27" s="39"/>
      <c r="BJ27" s="40"/>
      <c r="BK27" s="157"/>
      <c r="BL27" s="157"/>
      <c r="BM27" s="72"/>
      <c r="BN27" s="72">
        <f>IF(AND(ISNUMBER($F$16),$K27&lt;=$F$16),BQ27*('バイオマス（木質専焼）（2020年）'!$O$15+'バイオマス（木質専焼）（2020年）'!$BK$116)/'バイオマス（木質専焼）（2020年）'!$BL$116,"")</f>
        <v>129668679369.96863</v>
      </c>
      <c r="BO27" s="72">
        <f t="shared" si="30"/>
        <v>88298060972.125885</v>
      </c>
      <c r="BP27" s="39"/>
      <c r="BQ27" s="72">
        <f t="shared" si="15"/>
        <v>4056318000</v>
      </c>
      <c r="BR27" s="72">
        <f t="shared" si="31"/>
        <v>2762155177.5384474</v>
      </c>
    </row>
    <row r="28" spans="3:70" x14ac:dyDescent="0.15">
      <c r="D28" s="84" t="s">
        <v>116</v>
      </c>
      <c r="F28" s="481">
        <v>1</v>
      </c>
      <c r="G28" s="84" t="s">
        <v>556</v>
      </c>
      <c r="I28" s="457">
        <f t="shared" si="32"/>
        <v>2033</v>
      </c>
      <c r="J28" s="71"/>
      <c r="K28" s="71">
        <f t="shared" si="33"/>
        <v>14</v>
      </c>
      <c r="L28" s="71"/>
      <c r="M28" s="7">
        <f t="shared" si="0"/>
        <v>0.66111780581861923</v>
      </c>
      <c r="N28" s="71"/>
      <c r="O28" s="10">
        <f t="shared" si="16"/>
        <v>11485455562.151752</v>
      </c>
      <c r="P28" s="29" t="str">
        <f t="shared" si="1"/>
        <v>-</v>
      </c>
      <c r="Q28" s="71"/>
      <c r="R28" s="10">
        <f t="shared" si="17"/>
        <v>24264511577.181686</v>
      </c>
      <c r="S28" s="71"/>
      <c r="T28" s="10">
        <f t="shared" si="18"/>
        <v>24264511000</v>
      </c>
      <c r="U28" s="71"/>
      <c r="V28" s="10">
        <f t="shared" si="2"/>
        <v>5742727781.0758753</v>
      </c>
      <c r="W28" s="10">
        <f t="shared" si="19"/>
        <v>3796619590.0385108</v>
      </c>
      <c r="X28" s="71"/>
      <c r="Y28" s="10">
        <f t="shared" si="3"/>
        <v>339703100</v>
      </c>
      <c r="Z28" s="10">
        <f t="shared" si="20"/>
        <v>224583768.10178298</v>
      </c>
      <c r="AA28" s="71"/>
      <c r="AB28" s="10">
        <f t="shared" si="4"/>
        <v>0</v>
      </c>
      <c r="AC28" s="10">
        <f t="shared" si="21"/>
        <v>0</v>
      </c>
      <c r="AD28" s="71"/>
      <c r="AE28" s="10">
        <f t="shared" si="5"/>
        <v>0</v>
      </c>
      <c r="AF28" s="10">
        <f t="shared" si="22"/>
        <v>0</v>
      </c>
      <c r="AG28" s="71"/>
      <c r="AH28" s="10">
        <f t="shared" si="6"/>
        <v>440000000.00000006</v>
      </c>
      <c r="AI28" s="10">
        <f t="shared" si="23"/>
        <v>290891834.56019253</v>
      </c>
      <c r="AJ28" s="71"/>
      <c r="AK28" s="10">
        <f t="shared" si="7"/>
        <v>4284000000</v>
      </c>
      <c r="AL28" s="10">
        <f t="shared" si="24"/>
        <v>2832228680.1269646</v>
      </c>
      <c r="AM28" s="71"/>
      <c r="AN28" s="10">
        <f t="shared" si="8"/>
        <v>3927000000.0000005</v>
      </c>
      <c r="AO28" s="10">
        <f t="shared" si="25"/>
        <v>2596209623.449718</v>
      </c>
      <c r="AP28" s="71"/>
      <c r="AQ28" s="10">
        <f t="shared" si="9"/>
        <v>1055422000</v>
      </c>
      <c r="AR28" s="10">
        <f t="shared" si="26"/>
        <v>697758276.8526988</v>
      </c>
      <c r="AS28" s="71"/>
      <c r="AT28" s="7">
        <f>IF($K28&lt;=$F$15,IF($F$40&lt;&gt;"",$F$40/1000,IF(ISERROR(VLOOKUP($F$3&amp;IF($G$4&lt;&gt;"",$G$4,"")&amp;IF($F$43&lt;&gt;"","_"&amp;$F$43,""),'表3）燃料価格'!$AF$9:$AG$25,2,0)),0,VLOOKUP($I28,'表3）燃料価格'!$A$6:$U$66,VLOOKUP($F$3&amp;IF($G$4&lt;&gt;"",$G$4,"")&amp;IF($F$43&lt;&gt;"","_"&amp;$F$43,""),'表3）燃料価格'!$AF$9:$AG$25,2,0)+VLOOKUP($F$41,'表3）燃料価格'!$AF$28:$AG$29,2,0),0)*IF($F$43="需要地価格",1,$F$8/$F$141))),"")</f>
        <v>10.925606999999999</v>
      </c>
      <c r="AU28" s="71"/>
      <c r="AV28" s="10">
        <f t="shared" si="10"/>
        <v>17963955023.675591</v>
      </c>
      <c r="AW28" s="10">
        <f t="shared" si="11"/>
        <v>11876290529.076769</v>
      </c>
      <c r="AX28" s="71"/>
      <c r="AY28" s="7">
        <f>IF(ISERROR(IF($K28&lt;=$F$15,VLOOKUP($I28,'表4）CO2価格'!$A$7:$E$67,VLOOKUP($F$48,'表4）CO2価格'!$H$10:$I$12,2,0),0)*$F$8/1000,"")),0,IF($K28&lt;=$F$15,VLOOKUP($I28,'表4）CO2価格'!$A$7:$E$67,VLOOKUP($F$48,'表4）CO2価格'!$H$10:$I$12,2,0),0)*$F$8/1000,""))</f>
        <v>4.6651999999999898</v>
      </c>
      <c r="AZ28" s="71"/>
      <c r="BA28" s="11">
        <f t="shared" si="12"/>
        <v>14376609659.153139</v>
      </c>
      <c r="BB28" s="10">
        <f t="shared" si="27"/>
        <v>9504632632.9700909</v>
      </c>
      <c r="BC28" s="71"/>
      <c r="BD28" s="10">
        <f t="shared" si="13"/>
        <v>0</v>
      </c>
      <c r="BE28" s="10">
        <f t="shared" si="28"/>
        <v>0</v>
      </c>
      <c r="BF28" s="71"/>
      <c r="BG28" s="11">
        <f t="shared" si="14"/>
        <v>0</v>
      </c>
      <c r="BH28" s="10">
        <f t="shared" si="29"/>
        <v>0</v>
      </c>
      <c r="BJ28" s="7"/>
      <c r="BK28" s="158"/>
      <c r="BL28" s="158"/>
      <c r="BM28" s="10"/>
      <c r="BN28" s="10">
        <f>IF(AND(ISNUMBER($F$16),$K28&lt;=$F$16),BQ28*('バイオマス（木質専焼）（2020年）'!$O$15+'バイオマス（木質専焼）（2020年）'!$BK$116)/'バイオマス（木質専焼）（2020年）'!$BL$116,"")</f>
        <v>129668679369.96863</v>
      </c>
      <c r="BO28" s="10">
        <f t="shared" si="30"/>
        <v>85726272788.47171</v>
      </c>
      <c r="BQ28" s="10">
        <f t="shared" si="15"/>
        <v>4056318000</v>
      </c>
      <c r="BR28" s="10">
        <f t="shared" si="31"/>
        <v>2681704055.8625698</v>
      </c>
    </row>
    <row r="29" spans="3:70" x14ac:dyDescent="0.15">
      <c r="D29" s="84" t="s">
        <v>567</v>
      </c>
      <c r="F29" s="481"/>
      <c r="G29" s="84" t="s">
        <v>566</v>
      </c>
      <c r="I29" s="38">
        <f t="shared" si="32"/>
        <v>2034</v>
      </c>
      <c r="J29" s="39"/>
      <c r="K29" s="39">
        <f t="shared" si="33"/>
        <v>15</v>
      </c>
      <c r="L29" s="39"/>
      <c r="M29" s="40">
        <f t="shared" si="0"/>
        <v>0.64186194739671765</v>
      </c>
      <c r="N29" s="39"/>
      <c r="O29" s="72">
        <f t="shared" si="16"/>
        <v>5742727781.0758772</v>
      </c>
      <c r="P29" s="41" t="str">
        <f t="shared" si="1"/>
        <v>-</v>
      </c>
      <c r="Q29" s="39"/>
      <c r="R29" s="72">
        <f t="shared" si="17"/>
        <v>20811572061.060001</v>
      </c>
      <c r="S29" s="39"/>
      <c r="T29" s="72">
        <f t="shared" si="18"/>
        <v>20811572000</v>
      </c>
      <c r="U29" s="39"/>
      <c r="V29" s="72">
        <f t="shared" si="2"/>
        <v>5742727781.0758753</v>
      </c>
      <c r="W29" s="72">
        <f t="shared" si="19"/>
        <v>3686038436.9305925</v>
      </c>
      <c r="X29" s="39"/>
      <c r="Y29" s="72">
        <f t="shared" si="3"/>
        <v>291362000</v>
      </c>
      <c r="Z29" s="72">
        <f t="shared" si="20"/>
        <v>187014180.71740246</v>
      </c>
      <c r="AA29" s="39"/>
      <c r="AB29" s="72">
        <f t="shared" si="4"/>
        <v>0</v>
      </c>
      <c r="AC29" s="72">
        <f t="shared" si="21"/>
        <v>0</v>
      </c>
      <c r="AD29" s="39"/>
      <c r="AE29" s="72">
        <f t="shared" si="5"/>
        <v>0</v>
      </c>
      <c r="AF29" s="72">
        <f t="shared" si="22"/>
        <v>0</v>
      </c>
      <c r="AG29" s="39"/>
      <c r="AH29" s="72">
        <f t="shared" si="6"/>
        <v>440000000.00000006</v>
      </c>
      <c r="AI29" s="72">
        <f t="shared" si="23"/>
        <v>282419256.85455579</v>
      </c>
      <c r="AJ29" s="39"/>
      <c r="AK29" s="72">
        <f t="shared" si="7"/>
        <v>4284000000</v>
      </c>
      <c r="AL29" s="72">
        <f t="shared" si="24"/>
        <v>2749736582.6475382</v>
      </c>
      <c r="AM29" s="39"/>
      <c r="AN29" s="72">
        <f t="shared" si="8"/>
        <v>3927000000.0000005</v>
      </c>
      <c r="AO29" s="72">
        <f t="shared" si="25"/>
        <v>2520591867.4269104</v>
      </c>
      <c r="AP29" s="39"/>
      <c r="AQ29" s="72">
        <f t="shared" si="9"/>
        <v>1055422000</v>
      </c>
      <c r="AR29" s="72">
        <f t="shared" si="26"/>
        <v>677435220.24533856</v>
      </c>
      <c r="AS29" s="39"/>
      <c r="AT29" s="40">
        <f>IF($K29&lt;=$F$15,IF($F$40&lt;&gt;"",$F$40/1000,IF(ISERROR(VLOOKUP($F$3&amp;IF($G$4&lt;&gt;"",$G$4,"")&amp;IF($F$43&lt;&gt;"","_"&amp;$F$43,""),'表3）燃料価格'!$AF$9:$AG$25,2,0)),0,VLOOKUP($I29,'表3）燃料価格'!$A$6:$U$66,VLOOKUP($F$3&amp;IF($G$4&lt;&gt;"",$G$4,"")&amp;IF($F$43&lt;&gt;"","_"&amp;$F$43,""),'表3）燃料価格'!$AF$9:$AG$25,2,0)+VLOOKUP($F$41,'表3）燃料価格'!$AF$28:$AG$29,2,0),0)*IF($F$43="需要地価格",1,$F$8/$F$141))),"")</f>
        <v>10.925606999999999</v>
      </c>
      <c r="AU29" s="39"/>
      <c r="AV29" s="72">
        <f t="shared" si="10"/>
        <v>17963955023.675591</v>
      </c>
      <c r="AW29" s="72">
        <f t="shared" si="11"/>
        <v>11530379154.443464</v>
      </c>
      <c r="AX29" s="39"/>
      <c r="AY29" s="40">
        <f>IF(ISERROR(IF($K29&lt;=$F$15,VLOOKUP($I29,'表4）CO2価格'!$A$7:$E$67,VLOOKUP($F$48,'表4）CO2価格'!$H$10:$I$12,2,0),0)*$F$8/1000,"")),0,IF($K29&lt;=$F$15,VLOOKUP($I29,'表4）CO2価格'!$A$7:$E$67,VLOOKUP($F$48,'表4）CO2価格'!$H$10:$I$12,2,0),0)*$F$8/1000,""))</f>
        <v>4.7935999999999712</v>
      </c>
      <c r="AZ29" s="39"/>
      <c r="BA29" s="42">
        <f t="shared" si="12"/>
        <v>14772296163.533443</v>
      </c>
      <c r="BB29" s="72">
        <f t="shared" si="27"/>
        <v>9481774783.0466366</v>
      </c>
      <c r="BC29" s="39"/>
      <c r="BD29" s="72">
        <f t="shared" si="13"/>
        <v>0</v>
      </c>
      <c r="BE29" s="72">
        <f t="shared" si="28"/>
        <v>0</v>
      </c>
      <c r="BF29" s="39"/>
      <c r="BG29" s="42">
        <f t="shared" si="14"/>
        <v>0</v>
      </c>
      <c r="BH29" s="72">
        <f t="shared" si="29"/>
        <v>0</v>
      </c>
      <c r="BI29" s="39"/>
      <c r="BJ29" s="40"/>
      <c r="BK29" s="157"/>
      <c r="BL29" s="157"/>
      <c r="BM29" s="72"/>
      <c r="BN29" s="72">
        <f>IF(AND(ISNUMBER($F$16),$K29&lt;=$F$16),BQ29*('バイオマス（木質専焼）（2020年）'!$O$15+'バイオマス（木質専焼）（2020年）'!$BK$116)/'バイオマス（木質専焼）（2020年）'!$BL$116,"")</f>
        <v>129668679369.96863</v>
      </c>
      <c r="BO29" s="72">
        <f t="shared" si="30"/>
        <v>83229391056.768646</v>
      </c>
      <c r="BP29" s="39"/>
      <c r="BQ29" s="72">
        <f t="shared" si="15"/>
        <v>4056318000</v>
      </c>
      <c r="BR29" s="72">
        <f t="shared" si="31"/>
        <v>2603596170.7403588</v>
      </c>
    </row>
    <row r="30" spans="3:70" x14ac:dyDescent="0.15">
      <c r="I30" s="457">
        <f t="shared" si="32"/>
        <v>2035</v>
      </c>
      <c r="J30" s="71"/>
      <c r="K30" s="71">
        <f t="shared" si="33"/>
        <v>16</v>
      </c>
      <c r="L30" s="71"/>
      <c r="M30" s="7">
        <f t="shared" si="0"/>
        <v>0.62316693922011435</v>
      </c>
      <c r="N30" s="71"/>
      <c r="O30" s="10">
        <f t="shared" si="16"/>
        <v>1.9073486328125E-6</v>
      </c>
      <c r="P30" s="29" t="str">
        <f t="shared" si="1"/>
        <v>-</v>
      </c>
      <c r="Q30" s="71"/>
      <c r="R30" s="10">
        <f t="shared" si="17"/>
        <v>17850000000.000004</v>
      </c>
      <c r="S30" s="71"/>
      <c r="T30" s="10">
        <f t="shared" si="18"/>
        <v>17850000000</v>
      </c>
      <c r="U30" s="71"/>
      <c r="V30" s="10">
        <f t="shared" si="2"/>
        <v>0</v>
      </c>
      <c r="W30" s="10">
        <f t="shared" si="19"/>
        <v>0</v>
      </c>
      <c r="X30" s="71"/>
      <c r="Y30" s="10">
        <f t="shared" si="3"/>
        <v>249900000</v>
      </c>
      <c r="Z30" s="10">
        <f t="shared" si="20"/>
        <v>155729418.11110657</v>
      </c>
      <c r="AA30" s="71"/>
      <c r="AB30" s="10">
        <f t="shared" si="4"/>
        <v>0</v>
      </c>
      <c r="AC30" s="10">
        <f t="shared" si="21"/>
        <v>0</v>
      </c>
      <c r="AD30" s="71"/>
      <c r="AE30" s="10">
        <f t="shared" si="5"/>
        <v>0</v>
      </c>
      <c r="AF30" s="10">
        <f t="shared" si="22"/>
        <v>0</v>
      </c>
      <c r="AG30" s="71"/>
      <c r="AH30" s="10">
        <f t="shared" si="6"/>
        <v>440000000.00000006</v>
      </c>
      <c r="AI30" s="10">
        <f t="shared" si="23"/>
        <v>274193453.25685036</v>
      </c>
      <c r="AJ30" s="71"/>
      <c r="AK30" s="10">
        <f t="shared" si="7"/>
        <v>4284000000</v>
      </c>
      <c r="AL30" s="10">
        <f t="shared" si="24"/>
        <v>2669647167.6189699</v>
      </c>
      <c r="AM30" s="71"/>
      <c r="AN30" s="10">
        <f t="shared" si="8"/>
        <v>3927000000.0000005</v>
      </c>
      <c r="AO30" s="10">
        <f t="shared" si="25"/>
        <v>2447176570.3173895</v>
      </c>
      <c r="AP30" s="71"/>
      <c r="AQ30" s="10">
        <f t="shared" si="9"/>
        <v>1055422000</v>
      </c>
      <c r="AR30" s="10">
        <f t="shared" si="26"/>
        <v>657704097.32557154</v>
      </c>
      <c r="AS30" s="71"/>
      <c r="AT30" s="7">
        <f>IF($K30&lt;=$F$15,IF($F$40&lt;&gt;"",$F$40/1000,IF(ISERROR(VLOOKUP($F$3&amp;IF($G$4&lt;&gt;"",$G$4,"")&amp;IF($F$43&lt;&gt;"","_"&amp;$F$43,""),'表3）燃料価格'!$AF$9:$AG$25,2,0)),0,VLOOKUP($I30,'表3）燃料価格'!$A$6:$U$66,VLOOKUP($F$3&amp;IF($G$4&lt;&gt;"",$G$4,"")&amp;IF($F$43&lt;&gt;"","_"&amp;$F$43,""),'表3）燃料価格'!$AF$9:$AG$25,2,0)+VLOOKUP($F$41,'表3）燃料価格'!$AF$28:$AG$29,2,0),0)*IF($F$43="需要地価格",1,$F$8/$F$141))),"")</f>
        <v>10.925606999999999</v>
      </c>
      <c r="AU30" s="71"/>
      <c r="AV30" s="10">
        <f t="shared" si="10"/>
        <v>17963955023.675591</v>
      </c>
      <c r="AW30" s="10">
        <f t="shared" si="11"/>
        <v>11194542868.391714</v>
      </c>
      <c r="AX30" s="71"/>
      <c r="AY30" s="7">
        <f>IF(ISERROR(IF($K30&lt;=$F$15,VLOOKUP($I30,'表4）CO2価格'!$A$7:$E$67,VLOOKUP($F$48,'表4）CO2価格'!$H$10:$I$12,2,0),0)*$F$8/1000,"")),0,IF($K30&lt;=$F$15,VLOOKUP($I30,'表4）CO2価格'!$A$7:$E$67,VLOOKUP($F$48,'表4）CO2価格'!$H$10:$I$12,2,0),0)*$F$8/1000,""))</f>
        <v>4.9219999999999997</v>
      </c>
      <c r="AZ30" s="71"/>
      <c r="BA30" s="11">
        <f t="shared" si="12"/>
        <v>15167982667.913895</v>
      </c>
      <c r="BB30" s="10">
        <f t="shared" si="27"/>
        <v>9452185333.3076458</v>
      </c>
      <c r="BC30" s="71"/>
      <c r="BD30" s="10">
        <f t="shared" si="13"/>
        <v>0</v>
      </c>
      <c r="BE30" s="10">
        <f t="shared" si="28"/>
        <v>0</v>
      </c>
      <c r="BF30" s="71"/>
      <c r="BG30" s="11">
        <f t="shared" si="14"/>
        <v>0</v>
      </c>
      <c r="BH30" s="10">
        <f t="shared" si="29"/>
        <v>0</v>
      </c>
      <c r="BJ30" s="7"/>
      <c r="BK30" s="158"/>
      <c r="BL30" s="158"/>
      <c r="BM30" s="10"/>
      <c r="BN30" s="10">
        <f>IF(AND(ISNUMBER($F$16),$K30&lt;=$F$16),BQ30*('バイオマス（木質専焼）（2020年）'!$O$15+'バイオマス（木質専焼）（2020年）'!$BK$116)/'バイオマス（木質専焼）（2020年）'!$BL$116,"")</f>
        <v>129668679369.96863</v>
      </c>
      <c r="BO30" s="10">
        <f t="shared" si="30"/>
        <v>80805234035.697739</v>
      </c>
      <c r="BQ30" s="10">
        <f t="shared" si="15"/>
        <v>4056318000</v>
      </c>
      <c r="BR30" s="10">
        <f t="shared" si="31"/>
        <v>2527763272.5634556</v>
      </c>
    </row>
    <row r="31" spans="3:70" x14ac:dyDescent="0.15">
      <c r="C31" s="4" t="s">
        <v>568</v>
      </c>
      <c r="D31" s="100"/>
      <c r="E31" s="100"/>
      <c r="F31" s="4"/>
      <c r="G31" s="100"/>
      <c r="I31" s="38">
        <f t="shared" si="32"/>
        <v>2036</v>
      </c>
      <c r="J31" s="39"/>
      <c r="K31" s="39">
        <f t="shared" si="33"/>
        <v>17</v>
      </c>
      <c r="L31" s="39"/>
      <c r="M31" s="40">
        <f t="shared" si="0"/>
        <v>0.60501644584477121</v>
      </c>
      <c r="N31" s="39"/>
      <c r="O31" s="72">
        <f t="shared" si="16"/>
        <v>1.9073486328125E-6</v>
      </c>
      <c r="P31" s="41" t="str">
        <f t="shared" si="1"/>
        <v>-</v>
      </c>
      <c r="Q31" s="39"/>
      <c r="R31" s="72">
        <f t="shared" si="17"/>
        <v>15309871789.847464</v>
      </c>
      <c r="S31" s="39"/>
      <c r="T31" s="72">
        <f t="shared" si="18"/>
        <v>15309871000</v>
      </c>
      <c r="U31" s="39"/>
      <c r="V31" s="72">
        <f t="shared" si="2"/>
        <v>0</v>
      </c>
      <c r="W31" s="72">
        <f t="shared" si="19"/>
        <v>0</v>
      </c>
      <c r="X31" s="39"/>
      <c r="Y31" s="72">
        <f t="shared" si="3"/>
        <v>214338100</v>
      </c>
      <c r="Z31" s="72">
        <f t="shared" si="20"/>
        <v>129678075.47112116</v>
      </c>
      <c r="AA31" s="39"/>
      <c r="AB31" s="72">
        <f t="shared" si="4"/>
        <v>0</v>
      </c>
      <c r="AC31" s="72">
        <f t="shared" si="21"/>
        <v>0</v>
      </c>
      <c r="AD31" s="39"/>
      <c r="AE31" s="72">
        <f t="shared" si="5"/>
        <v>0</v>
      </c>
      <c r="AF31" s="72">
        <f t="shared" si="22"/>
        <v>0</v>
      </c>
      <c r="AG31" s="39"/>
      <c r="AH31" s="72">
        <f t="shared" si="6"/>
        <v>440000000.00000006</v>
      </c>
      <c r="AI31" s="72">
        <f t="shared" si="23"/>
        <v>266207236.17169937</v>
      </c>
      <c r="AJ31" s="39"/>
      <c r="AK31" s="72">
        <f t="shared" si="7"/>
        <v>4284000000</v>
      </c>
      <c r="AL31" s="72">
        <f t="shared" si="24"/>
        <v>2591890453.9990001</v>
      </c>
      <c r="AM31" s="39"/>
      <c r="AN31" s="72">
        <f t="shared" si="8"/>
        <v>3927000000.0000005</v>
      </c>
      <c r="AO31" s="72">
        <f t="shared" si="25"/>
        <v>2375899582.832417</v>
      </c>
      <c r="AP31" s="39"/>
      <c r="AQ31" s="72">
        <f t="shared" si="9"/>
        <v>1055422000</v>
      </c>
      <c r="AR31" s="72">
        <f t="shared" si="26"/>
        <v>638547667.30638015</v>
      </c>
      <c r="AS31" s="39"/>
      <c r="AT31" s="40">
        <f>IF($K31&lt;=$F$15,IF($F$40&lt;&gt;"",$F$40/1000,IF(ISERROR(VLOOKUP($F$3&amp;IF($G$4&lt;&gt;"",$G$4,"")&amp;IF($F$43&lt;&gt;"","_"&amp;$F$43,""),'表3）燃料価格'!$AF$9:$AG$25,2,0)),0,VLOOKUP($I31,'表3）燃料価格'!$A$6:$U$66,VLOOKUP($F$3&amp;IF($G$4&lt;&gt;"",$G$4,"")&amp;IF($F$43&lt;&gt;"","_"&amp;$F$43,""),'表3）燃料価格'!$AF$9:$AG$25,2,0)+VLOOKUP($F$41,'表3）燃料価格'!$AF$28:$AG$29,2,0),0)*IF($F$43="需要地価格",1,$F$8/$F$141))),"")</f>
        <v>10.925606999999999</v>
      </c>
      <c r="AU31" s="39"/>
      <c r="AV31" s="72">
        <f t="shared" si="10"/>
        <v>17963955023.675591</v>
      </c>
      <c r="AW31" s="72">
        <f t="shared" si="11"/>
        <v>10868488221.739529</v>
      </c>
      <c r="AX31" s="39"/>
      <c r="AY31" s="40">
        <f>IF(ISERROR(IF($K31&lt;=$F$15,VLOOKUP($I31,'表4）CO2価格'!$A$7:$E$67,VLOOKUP($F$48,'表4）CO2価格'!$H$10:$I$12,2,0),0)*$F$8/1000,"")),0,IF($K31&lt;=$F$15,VLOOKUP($I31,'表4）CO2価格'!$A$7:$E$67,VLOOKUP($F$48,'表4）CO2価格'!$H$10:$I$12,2,0),0)*$F$8/1000,""))</f>
        <v>5.0503999999999802</v>
      </c>
      <c r="AZ31" s="39"/>
      <c r="BA31" s="42">
        <f t="shared" si="12"/>
        <v>15563669172.294197</v>
      </c>
      <c r="BB31" s="72">
        <f t="shared" si="27"/>
        <v>9416275806.9252682</v>
      </c>
      <c r="BC31" s="39"/>
      <c r="BD31" s="72">
        <f t="shared" si="13"/>
        <v>0</v>
      </c>
      <c r="BE31" s="72">
        <f t="shared" si="28"/>
        <v>0</v>
      </c>
      <c r="BF31" s="39"/>
      <c r="BG31" s="42">
        <f t="shared" si="14"/>
        <v>0</v>
      </c>
      <c r="BH31" s="72">
        <f t="shared" si="29"/>
        <v>0</v>
      </c>
      <c r="BI31" s="39"/>
      <c r="BJ31" s="40"/>
      <c r="BK31" s="157"/>
      <c r="BL31" s="157"/>
      <c r="BM31" s="72"/>
      <c r="BN31" s="72">
        <f>IF(AND(ISNUMBER($F$16),$K31&lt;=$F$16),BQ31*('バイオマス（木質専焼）（2020年）'!$O$15+'バイオマス（木質専焼）（2020年）'!$BK$116)/'バイオマス（木質専焼）（2020年）'!$BL$116,"")</f>
        <v>129668679369.96863</v>
      </c>
      <c r="BO31" s="72">
        <f t="shared" si="30"/>
        <v>78451683529.803619</v>
      </c>
      <c r="BP31" s="39"/>
      <c r="BQ31" s="72">
        <f t="shared" si="15"/>
        <v>4056318000</v>
      </c>
      <c r="BR31" s="72">
        <f t="shared" si="31"/>
        <v>2454139099.5761704</v>
      </c>
    </row>
    <row r="32" spans="3:70" x14ac:dyDescent="0.15">
      <c r="I32" s="457">
        <f t="shared" si="32"/>
        <v>2037</v>
      </c>
      <c r="J32" s="71"/>
      <c r="K32" s="71">
        <f t="shared" si="33"/>
        <v>18</v>
      </c>
      <c r="L32" s="71"/>
      <c r="M32" s="7">
        <f t="shared" si="0"/>
        <v>0.5873946076162827</v>
      </c>
      <c r="N32" s="71"/>
      <c r="O32" s="10">
        <f t="shared" si="16"/>
        <v>1.9073486328125E-6</v>
      </c>
      <c r="P32" s="29" t="str">
        <f t="shared" si="1"/>
        <v>-</v>
      </c>
      <c r="Q32" s="71"/>
      <c r="R32" s="10">
        <f t="shared" si="17"/>
        <v>13131214242.104601</v>
      </c>
      <c r="S32" s="71"/>
      <c r="T32" s="10">
        <f t="shared" si="18"/>
        <v>13131214000</v>
      </c>
      <c r="U32" s="71"/>
      <c r="V32" s="10">
        <f t="shared" si="2"/>
        <v>0</v>
      </c>
      <c r="W32" s="10">
        <f t="shared" si="19"/>
        <v>0</v>
      </c>
      <c r="X32" s="71"/>
      <c r="Y32" s="10">
        <f t="shared" si="3"/>
        <v>183836900</v>
      </c>
      <c r="Z32" s="10">
        <f t="shared" si="20"/>
        <v>107984803.7408938</v>
      </c>
      <c r="AA32" s="71"/>
      <c r="AB32" s="10">
        <f t="shared" si="4"/>
        <v>0</v>
      </c>
      <c r="AC32" s="10">
        <f t="shared" si="21"/>
        <v>0</v>
      </c>
      <c r="AD32" s="71"/>
      <c r="AE32" s="10">
        <f t="shared" si="5"/>
        <v>0</v>
      </c>
      <c r="AF32" s="10">
        <f t="shared" si="22"/>
        <v>0</v>
      </c>
      <c r="AG32" s="71"/>
      <c r="AH32" s="10">
        <f t="shared" si="6"/>
        <v>440000000.00000006</v>
      </c>
      <c r="AI32" s="10">
        <f t="shared" si="23"/>
        <v>258453627.35116443</v>
      </c>
      <c r="AJ32" s="71"/>
      <c r="AK32" s="10">
        <f t="shared" si="7"/>
        <v>4284000000</v>
      </c>
      <c r="AL32" s="10">
        <f t="shared" si="24"/>
        <v>2516398499.0281553</v>
      </c>
      <c r="AM32" s="71"/>
      <c r="AN32" s="10">
        <f t="shared" si="8"/>
        <v>3927000000.0000005</v>
      </c>
      <c r="AO32" s="10">
        <f t="shared" si="25"/>
        <v>2306698624.1091423</v>
      </c>
      <c r="AP32" s="71"/>
      <c r="AQ32" s="10">
        <f t="shared" si="9"/>
        <v>1055422000</v>
      </c>
      <c r="AR32" s="10">
        <f t="shared" si="26"/>
        <v>619949191.55959237</v>
      </c>
      <c r="AS32" s="71"/>
      <c r="AT32" s="7">
        <f>IF($K32&lt;=$F$15,IF($F$40&lt;&gt;"",$F$40/1000,IF(ISERROR(VLOOKUP($F$3&amp;IF($G$4&lt;&gt;"",$G$4,"")&amp;IF($F$43&lt;&gt;"","_"&amp;$F$43,""),'表3）燃料価格'!$AF$9:$AG$25,2,0)),0,VLOOKUP($I32,'表3）燃料価格'!$A$6:$U$66,VLOOKUP($F$3&amp;IF($G$4&lt;&gt;"",$G$4,"")&amp;IF($F$43&lt;&gt;"","_"&amp;$F$43,""),'表3）燃料価格'!$AF$9:$AG$25,2,0)+VLOOKUP($F$41,'表3）燃料価格'!$AF$28:$AG$29,2,0),0)*IF($F$43="需要地価格",1,$F$8/$F$141))),"")</f>
        <v>10.925606999999999</v>
      </c>
      <c r="AU32" s="71"/>
      <c r="AV32" s="10">
        <f t="shared" si="10"/>
        <v>17963955023.675591</v>
      </c>
      <c r="AW32" s="10">
        <f t="shared" si="11"/>
        <v>10551930312.368473</v>
      </c>
      <c r="AX32" s="71"/>
      <c r="AY32" s="7">
        <f>IF(ISERROR(IF($K32&lt;=$F$15,VLOOKUP($I32,'表4）CO2価格'!$A$7:$E$67,VLOOKUP($F$48,'表4）CO2価格'!$H$10:$I$12,2,0),0)*$F$8/1000,"")),0,IF($K32&lt;=$F$15,VLOOKUP($I32,'表4）CO2価格'!$A$7:$E$67,VLOOKUP($F$48,'表4）CO2価格'!$H$10:$I$12,2,0),0)*$F$8/1000,""))</f>
        <v>5.1788000000000105</v>
      </c>
      <c r="AZ32" s="71"/>
      <c r="BA32" s="11">
        <f t="shared" si="12"/>
        <v>15959355676.674652</v>
      </c>
      <c r="BB32" s="10">
        <f t="shared" si="27"/>
        <v>9374439465.5090008</v>
      </c>
      <c r="BC32" s="71"/>
      <c r="BD32" s="10">
        <f t="shared" si="13"/>
        <v>0</v>
      </c>
      <c r="BE32" s="10">
        <f t="shared" si="28"/>
        <v>0</v>
      </c>
      <c r="BF32" s="71"/>
      <c r="BG32" s="11">
        <f t="shared" si="14"/>
        <v>0</v>
      </c>
      <c r="BH32" s="10">
        <f t="shared" si="29"/>
        <v>0</v>
      </c>
      <c r="BJ32" s="7"/>
      <c r="BK32" s="158"/>
      <c r="BL32" s="158"/>
      <c r="BM32" s="10"/>
      <c r="BN32" s="10">
        <f>IF(AND(ISNUMBER($F$16),$K32&lt;=$F$16),BQ32*('バイオマス（木質専焼）（2020年）'!$O$15+'バイオマス（木質専焼）（2020年）'!$BK$116)/'バイオマス（木質専焼）（2020年）'!$BL$116,"")</f>
        <v>129668679369.96863</v>
      </c>
      <c r="BO32" s="10">
        <f t="shared" si="30"/>
        <v>76166683038.644287</v>
      </c>
      <c r="BQ32" s="10">
        <f t="shared" si="15"/>
        <v>4056318000</v>
      </c>
      <c r="BR32" s="10">
        <f t="shared" si="31"/>
        <v>2382659319.9768648</v>
      </c>
    </row>
    <row r="33" spans="3:70" x14ac:dyDescent="0.15">
      <c r="D33" s="84" t="s">
        <v>636</v>
      </c>
      <c r="F33" s="475">
        <v>4.4000000000000004</v>
      </c>
      <c r="G33" s="84" t="s">
        <v>637</v>
      </c>
      <c r="I33" s="38">
        <f t="shared" si="32"/>
        <v>2038</v>
      </c>
      <c r="J33" s="39"/>
      <c r="K33" s="39">
        <f t="shared" si="33"/>
        <v>19</v>
      </c>
      <c r="L33" s="39"/>
      <c r="M33" s="40">
        <f t="shared" si="0"/>
        <v>0.57028602681192497</v>
      </c>
      <c r="N33" s="39"/>
      <c r="O33" s="72">
        <f t="shared" si="16"/>
        <v>1.9073486328125E-6</v>
      </c>
      <c r="P33" s="41" t="str">
        <f t="shared" si="1"/>
        <v>-</v>
      </c>
      <c r="Q33" s="39"/>
      <c r="R33" s="72">
        <f t="shared" si="17"/>
        <v>11262588598.971453</v>
      </c>
      <c r="S33" s="39"/>
      <c r="T33" s="72">
        <f t="shared" si="18"/>
        <v>11262588000</v>
      </c>
      <c r="U33" s="39"/>
      <c r="V33" s="72">
        <f t="shared" si="2"/>
        <v>0</v>
      </c>
      <c r="W33" s="72">
        <f t="shared" si="19"/>
        <v>0</v>
      </c>
      <c r="X33" s="39"/>
      <c r="Y33" s="72">
        <f t="shared" si="3"/>
        <v>157676200</v>
      </c>
      <c r="Z33" s="72">
        <f t="shared" si="20"/>
        <v>89920533.620802447</v>
      </c>
      <c r="AA33" s="39"/>
      <c r="AB33" s="72">
        <f t="shared" si="4"/>
        <v>0</v>
      </c>
      <c r="AC33" s="72">
        <f t="shared" si="21"/>
        <v>0</v>
      </c>
      <c r="AD33" s="39"/>
      <c r="AE33" s="72">
        <f t="shared" si="5"/>
        <v>0</v>
      </c>
      <c r="AF33" s="72">
        <f t="shared" si="22"/>
        <v>0</v>
      </c>
      <c r="AG33" s="39"/>
      <c r="AH33" s="72">
        <f t="shared" si="6"/>
        <v>440000000.00000006</v>
      </c>
      <c r="AI33" s="72">
        <f t="shared" si="23"/>
        <v>250925851.79724702</v>
      </c>
      <c r="AJ33" s="39"/>
      <c r="AK33" s="72">
        <f t="shared" si="7"/>
        <v>4284000000</v>
      </c>
      <c r="AL33" s="72">
        <f t="shared" si="24"/>
        <v>2443105338.8622866</v>
      </c>
      <c r="AM33" s="39"/>
      <c r="AN33" s="72">
        <f t="shared" si="8"/>
        <v>3927000000.0000005</v>
      </c>
      <c r="AO33" s="72">
        <f t="shared" si="25"/>
        <v>2239513227.2904296</v>
      </c>
      <c r="AP33" s="39"/>
      <c r="AQ33" s="72">
        <f t="shared" si="9"/>
        <v>1055422000</v>
      </c>
      <c r="AR33" s="72">
        <f t="shared" si="26"/>
        <v>601892418.98989546</v>
      </c>
      <c r="AS33" s="39"/>
      <c r="AT33" s="40">
        <f>IF($K33&lt;=$F$15,IF($F$40&lt;&gt;"",$F$40/1000,IF(ISERROR(VLOOKUP($F$3&amp;IF($G$4&lt;&gt;"",$G$4,"")&amp;IF($F$43&lt;&gt;"","_"&amp;$F$43,""),'表3）燃料価格'!$AF$9:$AG$25,2,0)),0,VLOOKUP($I33,'表3）燃料価格'!$A$6:$U$66,VLOOKUP($F$3&amp;IF($G$4&lt;&gt;"",$G$4,"")&amp;IF($F$43&lt;&gt;"","_"&amp;$F$43,""),'表3）燃料価格'!$AF$9:$AG$25,2,0)+VLOOKUP($F$41,'表3）燃料価格'!$AF$28:$AG$29,2,0),0)*IF($F$43="需要地価格",1,$F$8/$F$141))),"")</f>
        <v>10.925606999999999</v>
      </c>
      <c r="AU33" s="39"/>
      <c r="AV33" s="72">
        <f t="shared" si="10"/>
        <v>17963955023.675591</v>
      </c>
      <c r="AW33" s="72">
        <f t="shared" si="11"/>
        <v>10244592536.280071</v>
      </c>
      <c r="AX33" s="39"/>
      <c r="AY33" s="40">
        <f>IF(ISERROR(IF($K33&lt;=$F$15,VLOOKUP($I33,'表4）CO2価格'!$A$7:$E$67,VLOOKUP($F$48,'表4）CO2価格'!$H$10:$I$12,2,0),0)*$F$8/1000,"")),0,IF($K33&lt;=$F$15,VLOOKUP($I33,'表4）CO2価格'!$A$7:$E$67,VLOOKUP($F$48,'表4）CO2価格'!$H$10:$I$12,2,0),0)*$F$8/1000,""))</f>
        <v>5.3071999999999901</v>
      </c>
      <c r="AZ33" s="39"/>
      <c r="BA33" s="42">
        <f t="shared" si="12"/>
        <v>16355042181.054953</v>
      </c>
      <c r="BB33" s="72">
        <f t="shared" si="27"/>
        <v>9327052023.7752686</v>
      </c>
      <c r="BC33" s="39"/>
      <c r="BD33" s="72">
        <f t="shared" si="13"/>
        <v>0</v>
      </c>
      <c r="BE33" s="72">
        <f t="shared" si="28"/>
        <v>0</v>
      </c>
      <c r="BF33" s="39"/>
      <c r="BG33" s="42">
        <f t="shared" si="14"/>
        <v>0</v>
      </c>
      <c r="BH33" s="72">
        <f t="shared" si="29"/>
        <v>0</v>
      </c>
      <c r="BI33" s="39"/>
      <c r="BJ33" s="40"/>
      <c r="BK33" s="157"/>
      <c r="BL33" s="157"/>
      <c r="BM33" s="72"/>
      <c r="BN33" s="72">
        <f>IF(AND(ISNUMBER($F$16),$K33&lt;=$F$16),BQ33*('バイオマス（木質専焼）（2020年）'!$O$15+'バイオマス（木質専焼）（2020年）'!$BK$116)/'バイオマス（木質専焼）（2020年）'!$BL$116,"")</f>
        <v>129668679369.96863</v>
      </c>
      <c r="BO33" s="72">
        <f t="shared" si="30"/>
        <v>73948235959.848831</v>
      </c>
      <c r="BP33" s="39"/>
      <c r="BQ33" s="72">
        <f t="shared" si="15"/>
        <v>4056318000</v>
      </c>
      <c r="BR33" s="72">
        <f t="shared" si="31"/>
        <v>2313261475.7056937</v>
      </c>
    </row>
    <row r="34" spans="3:70" x14ac:dyDescent="0.15">
      <c r="D34" s="84" t="s">
        <v>120</v>
      </c>
      <c r="F34" s="475">
        <v>2.4</v>
      </c>
      <c r="G34" s="84" t="s">
        <v>638</v>
      </c>
      <c r="I34" s="457">
        <f t="shared" si="32"/>
        <v>2039</v>
      </c>
      <c r="J34" s="71"/>
      <c r="K34" s="71">
        <f t="shared" si="33"/>
        <v>20</v>
      </c>
      <c r="L34" s="71"/>
      <c r="M34" s="7">
        <f t="shared" si="0"/>
        <v>0.55367575418633497</v>
      </c>
      <c r="N34" s="71"/>
      <c r="O34" s="10">
        <f t="shared" si="16"/>
        <v>1.9073486328125E-6</v>
      </c>
      <c r="P34" s="29" t="str">
        <f t="shared" si="1"/>
        <v>-</v>
      </c>
      <c r="Q34" s="71"/>
      <c r="R34" s="10">
        <f t="shared" si="17"/>
        <v>9659876048.8543797</v>
      </c>
      <c r="S34" s="71"/>
      <c r="T34" s="10">
        <f t="shared" si="18"/>
        <v>9659876000</v>
      </c>
      <c r="U34" s="71"/>
      <c r="V34" s="10">
        <f t="shared" si="2"/>
        <v>0</v>
      </c>
      <c r="W34" s="10">
        <f t="shared" si="19"/>
        <v>0</v>
      </c>
      <c r="X34" s="71"/>
      <c r="Y34" s="10">
        <f t="shared" si="3"/>
        <v>135238200</v>
      </c>
      <c r="Z34" s="10">
        <f t="shared" si="20"/>
        <v>74878112.379802406</v>
      </c>
      <c r="AA34" s="71"/>
      <c r="AB34" s="10">
        <f t="shared" si="4"/>
        <v>0</v>
      </c>
      <c r="AC34" s="10">
        <f t="shared" si="21"/>
        <v>0</v>
      </c>
      <c r="AD34" s="71"/>
      <c r="AE34" s="10">
        <f t="shared" si="5"/>
        <v>0</v>
      </c>
      <c r="AF34" s="10">
        <f t="shared" si="22"/>
        <v>0</v>
      </c>
      <c r="AG34" s="71"/>
      <c r="AH34" s="10">
        <f t="shared" si="6"/>
        <v>440000000.00000006</v>
      </c>
      <c r="AI34" s="10">
        <f t="shared" si="23"/>
        <v>243617331.84198743</v>
      </c>
      <c r="AJ34" s="71"/>
      <c r="AK34" s="10">
        <f t="shared" si="7"/>
        <v>4284000000</v>
      </c>
      <c r="AL34" s="10">
        <f t="shared" si="24"/>
        <v>2371946930.9342589</v>
      </c>
      <c r="AM34" s="71"/>
      <c r="AN34" s="10">
        <f t="shared" si="8"/>
        <v>3927000000.0000005</v>
      </c>
      <c r="AO34" s="10">
        <f t="shared" si="25"/>
        <v>2174284686.6897378</v>
      </c>
      <c r="AP34" s="71"/>
      <c r="AQ34" s="10">
        <f t="shared" si="9"/>
        <v>1055422000</v>
      </c>
      <c r="AR34" s="10">
        <f t="shared" si="26"/>
        <v>584361571.83485007</v>
      </c>
      <c r="AS34" s="71"/>
      <c r="AT34" s="7">
        <f>IF($K34&lt;=$F$15,IF($F$40&lt;&gt;"",$F$40/1000,IF(ISERROR(VLOOKUP($F$3&amp;IF($G$4&lt;&gt;"",$G$4,"")&amp;IF($F$43&lt;&gt;"","_"&amp;$F$43,""),'表3）燃料価格'!$AF$9:$AG$25,2,0)),0,VLOOKUP($I34,'表3）燃料価格'!$A$6:$U$66,VLOOKUP($F$3&amp;IF($G$4&lt;&gt;"",$G$4,"")&amp;IF($F$43&lt;&gt;"","_"&amp;$F$43,""),'表3）燃料価格'!$AF$9:$AG$25,2,0)+VLOOKUP($F$41,'表3）燃料価格'!$AF$28:$AG$29,2,0),0)*IF($F$43="需要地価格",1,$F$8/$F$141))),"")</f>
        <v>10.925606999999999</v>
      </c>
      <c r="AU34" s="71"/>
      <c r="AV34" s="10">
        <f t="shared" si="10"/>
        <v>17963955023.675591</v>
      </c>
      <c r="AW34" s="10">
        <f t="shared" si="11"/>
        <v>9946206345.9029827</v>
      </c>
      <c r="AX34" s="71"/>
      <c r="AY34" s="7">
        <f>IF(ISERROR(IF($K34&lt;=$F$15,VLOOKUP($I34,'表4）CO2価格'!$A$7:$E$67,VLOOKUP($F$48,'表4）CO2価格'!$H$10:$I$12,2,0),0)*$F$8/1000,"")),0,IF($K34&lt;=$F$15,VLOOKUP($I34,'表4）CO2価格'!$A$7:$E$67,VLOOKUP($F$48,'表4）CO2価格'!$H$10:$I$12,2,0),0)*$F$8/1000,""))</f>
        <v>5.4355999999999716</v>
      </c>
      <c r="AZ34" s="71"/>
      <c r="BA34" s="11">
        <f t="shared" si="12"/>
        <v>16750728685.435257</v>
      </c>
      <c r="BB34" s="10">
        <f t="shared" si="27"/>
        <v>9274472338.0790405</v>
      </c>
      <c r="BC34" s="71"/>
      <c r="BD34" s="10">
        <f t="shared" si="13"/>
        <v>0</v>
      </c>
      <c r="BE34" s="10">
        <f t="shared" si="28"/>
        <v>0</v>
      </c>
      <c r="BF34" s="71"/>
      <c r="BG34" s="11">
        <f t="shared" si="14"/>
        <v>0</v>
      </c>
      <c r="BH34" s="10">
        <f t="shared" si="29"/>
        <v>0</v>
      </c>
      <c r="BJ34" s="7"/>
      <c r="BK34" s="158"/>
      <c r="BL34" s="158"/>
      <c r="BM34" s="10"/>
      <c r="BN34" s="10">
        <f>IF(AND(ISNUMBER($F$16),$K34&lt;=$F$16),BQ34*('バイオマス（木質専焼）（2020年）'!$O$15+'バイオマス（木質専焼）（2020年）'!$BK$116)/'バイオマス（木質専焼）（2020年）'!$BL$116,"")</f>
        <v>129668679369.96863</v>
      </c>
      <c r="BO34" s="10">
        <f t="shared" si="30"/>
        <v>71794403844.513428</v>
      </c>
      <c r="BQ34" s="10">
        <f t="shared" si="15"/>
        <v>4056318000</v>
      </c>
      <c r="BR34" s="10">
        <f t="shared" si="31"/>
        <v>2245884927.869606</v>
      </c>
    </row>
    <row r="35" spans="3:70" x14ac:dyDescent="0.15">
      <c r="D35" s="84" t="s">
        <v>122</v>
      </c>
      <c r="F35" s="475">
        <v>2.2000000000000002</v>
      </c>
      <c r="G35" s="84" t="s">
        <v>638</v>
      </c>
      <c r="I35" s="38">
        <f t="shared" si="32"/>
        <v>2040</v>
      </c>
      <c r="J35" s="39"/>
      <c r="K35" s="39">
        <f t="shared" si="33"/>
        <v>21</v>
      </c>
      <c r="L35" s="39"/>
      <c r="M35" s="40">
        <f t="shared" si="0"/>
        <v>0.5375492759090631</v>
      </c>
      <c r="N35" s="39"/>
      <c r="O35" s="72">
        <f t="shared" si="16"/>
        <v>1.9073486328125E-6</v>
      </c>
      <c r="P35" s="41" t="str">
        <f t="shared" si="1"/>
        <v>-</v>
      </c>
      <c r="Q35" s="39"/>
      <c r="R35" s="72">
        <f t="shared" si="17"/>
        <v>8925000000</v>
      </c>
      <c r="S35" s="39"/>
      <c r="T35" s="72">
        <f t="shared" si="18"/>
        <v>8925000000</v>
      </c>
      <c r="U35" s="39"/>
      <c r="V35" s="72">
        <f t="shared" si="2"/>
        <v>0</v>
      </c>
      <c r="W35" s="72">
        <f t="shared" si="19"/>
        <v>0</v>
      </c>
      <c r="X35" s="39"/>
      <c r="Y35" s="72">
        <f t="shared" si="3"/>
        <v>124950000</v>
      </c>
      <c r="Z35" s="72">
        <f t="shared" si="20"/>
        <v>67166782.024837434</v>
      </c>
      <c r="AA35" s="39"/>
      <c r="AB35" s="72">
        <f t="shared" si="4"/>
        <v>0</v>
      </c>
      <c r="AC35" s="72">
        <f t="shared" si="21"/>
        <v>0</v>
      </c>
      <c r="AD35" s="39"/>
      <c r="AE35" s="72">
        <f t="shared" si="5"/>
        <v>0</v>
      </c>
      <c r="AF35" s="72">
        <f t="shared" si="22"/>
        <v>0</v>
      </c>
      <c r="AG35" s="39"/>
      <c r="AH35" s="72">
        <f t="shared" si="6"/>
        <v>440000000.00000006</v>
      </c>
      <c r="AI35" s="72">
        <f t="shared" si="23"/>
        <v>236521681.39998779</v>
      </c>
      <c r="AJ35" s="39"/>
      <c r="AK35" s="72">
        <f t="shared" si="7"/>
        <v>4284000000</v>
      </c>
      <c r="AL35" s="72">
        <f t="shared" si="24"/>
        <v>2302861097.9944263</v>
      </c>
      <c r="AM35" s="39"/>
      <c r="AN35" s="72">
        <f t="shared" si="8"/>
        <v>3927000000.0000005</v>
      </c>
      <c r="AO35" s="72">
        <f t="shared" si="25"/>
        <v>2110956006.4948909</v>
      </c>
      <c r="AP35" s="39"/>
      <c r="AQ35" s="72">
        <f t="shared" si="9"/>
        <v>1055422000</v>
      </c>
      <c r="AR35" s="72">
        <f t="shared" si="26"/>
        <v>567341331.87849522</v>
      </c>
      <c r="AS35" s="39"/>
      <c r="AT35" s="40">
        <f>IF($K35&lt;=$F$15,IF($F$40&lt;&gt;"",$F$40/1000,IF(ISERROR(VLOOKUP($F$3&amp;IF($G$4&lt;&gt;"",$G$4,"")&amp;IF($F$43&lt;&gt;"","_"&amp;$F$43,""),'表3）燃料価格'!$AF$9:$AG$25,2,0)),0,VLOOKUP($I35,'表3）燃料価格'!$A$6:$U$66,VLOOKUP($F$3&amp;IF($G$4&lt;&gt;"",$G$4,"")&amp;IF($F$43&lt;&gt;"","_"&amp;$F$43,""),'表3）燃料価格'!$AF$9:$AG$25,2,0)+VLOOKUP($F$41,'表3）燃料価格'!$AF$28:$AG$29,2,0),0)*IF($F$43="需要地価格",1,$F$8/$F$141))),"")</f>
        <v>10.925606999999999</v>
      </c>
      <c r="AU35" s="39"/>
      <c r="AV35" s="72">
        <f t="shared" si="10"/>
        <v>17963955023.675591</v>
      </c>
      <c r="AW35" s="72">
        <f t="shared" si="11"/>
        <v>9656511015.4397907</v>
      </c>
      <c r="AX35" s="39"/>
      <c r="AY35" s="40">
        <f>IF(ISERROR(IF($K35&lt;=$F$15,VLOOKUP($I35,'表4）CO2価格'!$A$7:$E$67,VLOOKUP($F$48,'表4）CO2価格'!$H$10:$I$12,2,0),0)*$F$8/1000,"")),0,IF($K35&lt;=$F$15,VLOOKUP($I35,'表4）CO2価格'!$A$7:$E$67,VLOOKUP($F$48,'表4）CO2価格'!$H$10:$I$12,2,0),0)*$F$8/1000,""))</f>
        <v>5.5640000000000001</v>
      </c>
      <c r="AZ35" s="39"/>
      <c r="BA35" s="42">
        <f t="shared" si="12"/>
        <v>17146415189.815708</v>
      </c>
      <c r="BB35" s="72">
        <f t="shared" si="27"/>
        <v>9217043069.7215939</v>
      </c>
      <c r="BC35" s="39"/>
      <c r="BD35" s="72">
        <f t="shared" si="13"/>
        <v>0</v>
      </c>
      <c r="BE35" s="72">
        <f t="shared" si="28"/>
        <v>0</v>
      </c>
      <c r="BF35" s="39"/>
      <c r="BG35" s="42">
        <f t="shared" si="14"/>
        <v>0</v>
      </c>
      <c r="BH35" s="72">
        <f t="shared" si="29"/>
        <v>0</v>
      </c>
      <c r="BI35" s="39"/>
      <c r="BJ35" s="40"/>
      <c r="BK35" s="157"/>
      <c r="BL35" s="157"/>
      <c r="BM35" s="72"/>
      <c r="BN35" s="72" t="str">
        <f>IF(AND(ISNUMBER($F$16),$K35&lt;=$F$16),BQ35*('バイオマス（木質専焼）（2020年）'!$O$15+'バイオマス（木質専焼）（2020年）'!$BK$116)/'バイオマス（木質専焼）（2020年）'!$BL$116,"")</f>
        <v/>
      </c>
      <c r="BO35" s="72" t="str">
        <f t="shared" si="30"/>
        <v/>
      </c>
      <c r="BP35" s="39"/>
      <c r="BQ35" s="72">
        <f t="shared" si="15"/>
        <v>4056318000</v>
      </c>
      <c r="BR35" s="72">
        <f t="shared" si="31"/>
        <v>2180470803.7568989</v>
      </c>
    </row>
    <row r="36" spans="3:70" x14ac:dyDescent="0.15">
      <c r="D36" s="84" t="s">
        <v>639</v>
      </c>
      <c r="F36" s="480">
        <v>12.2</v>
      </c>
      <c r="G36" s="84" t="s">
        <v>640</v>
      </c>
      <c r="I36" s="457">
        <f t="shared" si="32"/>
        <v>2041</v>
      </c>
      <c r="J36" s="71"/>
      <c r="K36" s="71">
        <f t="shared" si="33"/>
        <v>22</v>
      </c>
      <c r="L36" s="71"/>
      <c r="M36" s="7">
        <f t="shared" si="0"/>
        <v>0.52189250088258554</v>
      </c>
      <c r="N36" s="71"/>
      <c r="O36" s="10">
        <f t="shared" si="16"/>
        <v>1.9073486328125E-6</v>
      </c>
      <c r="P36" s="29" t="str">
        <f t="shared" si="1"/>
        <v>-</v>
      </c>
      <c r="Q36" s="71"/>
      <c r="R36" s="10">
        <f t="shared" si="17"/>
        <v>8925000000</v>
      </c>
      <c r="S36" s="71"/>
      <c r="T36" s="10">
        <f t="shared" si="18"/>
        <v>8925000000</v>
      </c>
      <c r="U36" s="71"/>
      <c r="V36" s="10">
        <f t="shared" si="2"/>
        <v>0</v>
      </c>
      <c r="W36" s="10">
        <f t="shared" si="19"/>
        <v>0</v>
      </c>
      <c r="X36" s="71"/>
      <c r="Y36" s="10">
        <f t="shared" si="3"/>
        <v>124950000</v>
      </c>
      <c r="Z36" s="10">
        <f t="shared" si="20"/>
        <v>65210467.985279061</v>
      </c>
      <c r="AA36" s="71"/>
      <c r="AB36" s="10">
        <f t="shared" si="4"/>
        <v>0</v>
      </c>
      <c r="AC36" s="10">
        <f t="shared" si="21"/>
        <v>0</v>
      </c>
      <c r="AD36" s="71"/>
      <c r="AE36" s="10">
        <f t="shared" si="5"/>
        <v>0</v>
      </c>
      <c r="AF36" s="10">
        <f t="shared" si="22"/>
        <v>0</v>
      </c>
      <c r="AG36" s="71"/>
      <c r="AH36" s="10">
        <f t="shared" si="6"/>
        <v>440000000.00000006</v>
      </c>
      <c r="AI36" s="10">
        <f t="shared" si="23"/>
        <v>229632700.38833767</v>
      </c>
      <c r="AJ36" s="71"/>
      <c r="AK36" s="10">
        <f t="shared" si="7"/>
        <v>4284000000</v>
      </c>
      <c r="AL36" s="10">
        <f t="shared" si="24"/>
        <v>2235787473.7809963</v>
      </c>
      <c r="AM36" s="71"/>
      <c r="AN36" s="10">
        <f t="shared" si="8"/>
        <v>3927000000.0000005</v>
      </c>
      <c r="AO36" s="10">
        <f t="shared" si="25"/>
        <v>2049471850.9659138</v>
      </c>
      <c r="AP36" s="71"/>
      <c r="AQ36" s="10">
        <f t="shared" si="9"/>
        <v>1055422000</v>
      </c>
      <c r="AR36" s="10">
        <f t="shared" si="26"/>
        <v>550816827.06650019</v>
      </c>
      <c r="AS36" s="71"/>
      <c r="AT36" s="7">
        <f>IF($K36&lt;=$F$15,IF($F$40&lt;&gt;"",$F$40/1000,IF(ISERROR(VLOOKUP($F$3&amp;IF($G$4&lt;&gt;"",$G$4,"")&amp;IF($F$43&lt;&gt;"","_"&amp;$F$43,""),'表3）燃料価格'!$AF$9:$AG$25,2,0)),0,VLOOKUP($I36,'表3）燃料価格'!$A$6:$U$66,VLOOKUP($F$3&amp;IF($G$4&lt;&gt;"",$G$4,"")&amp;IF($F$43&lt;&gt;"","_"&amp;$F$43,""),'表3）燃料価格'!$AF$9:$AG$25,2,0)+VLOOKUP($F$41,'表3）燃料価格'!$AF$28:$AG$29,2,0),0)*IF($F$43="需要地価格",1,$F$8/$F$141))),"")</f>
        <v>10.909563575252392</v>
      </c>
      <c r="AU36" s="71"/>
      <c r="AV36" s="10">
        <f t="shared" si="10"/>
        <v>17941549600.118767</v>
      </c>
      <c r="AW36" s="10">
        <f t="shared" si="11"/>
        <v>9363560190.5149364</v>
      </c>
      <c r="AX36" s="71"/>
      <c r="AY36" s="7">
        <f>IF(ISERROR(IF($K36&lt;=$F$15,VLOOKUP($I36,'表4）CO2価格'!$A$7:$E$67,VLOOKUP($F$48,'表4）CO2価格'!$H$10:$I$12,2,0),0)*$F$8/1000,"")),0,IF($K36&lt;=$F$15,VLOOKUP($I36,'表4）CO2価格'!$A$7:$E$67,VLOOKUP($F$48,'表4）CO2価格'!$H$10:$I$12,2,0),0)*$F$8/1000,""))</f>
        <v>5.6923999999999806</v>
      </c>
      <c r="AZ36" s="71"/>
      <c r="BA36" s="11">
        <f t="shared" si="12"/>
        <v>17542101694.196011</v>
      </c>
      <c r="BB36" s="10">
        <f t="shared" si="27"/>
        <v>9155091323.9205971</v>
      </c>
      <c r="BC36" s="71"/>
      <c r="BD36" s="10">
        <f t="shared" si="13"/>
        <v>0</v>
      </c>
      <c r="BE36" s="10">
        <f t="shared" si="28"/>
        <v>0</v>
      </c>
      <c r="BF36" s="71"/>
      <c r="BG36" s="11">
        <f t="shared" si="14"/>
        <v>0</v>
      </c>
      <c r="BH36" s="10">
        <f t="shared" si="29"/>
        <v>0</v>
      </c>
      <c r="BJ36" s="7"/>
      <c r="BK36" s="158"/>
      <c r="BL36" s="158"/>
      <c r="BM36" s="10"/>
      <c r="BN36" s="10" t="str">
        <f>IF(AND(ISNUMBER($F$16),$K36&lt;=$F$16),BQ36*('バイオマス（木質専焼）（2020年）'!$O$15+'バイオマス（木質専焼）（2020年）'!$BK$116)/'バイオマス（木質専焼）（2020年）'!$BL$116,"")</f>
        <v/>
      </c>
      <c r="BO36" s="10" t="str">
        <f t="shared" si="30"/>
        <v/>
      </c>
      <c r="BQ36" s="10">
        <f t="shared" si="15"/>
        <v>4056318000</v>
      </c>
      <c r="BR36" s="10">
        <f t="shared" si="31"/>
        <v>2116961945.3950477</v>
      </c>
    </row>
    <row r="37" spans="3:70" x14ac:dyDescent="0.15">
      <c r="I37" s="38">
        <f t="shared" si="32"/>
        <v>2042</v>
      </c>
      <c r="J37" s="39"/>
      <c r="K37" s="39">
        <f t="shared" si="33"/>
        <v>23</v>
      </c>
      <c r="L37" s="39"/>
      <c r="M37" s="40">
        <f t="shared" si="0"/>
        <v>0.50669174842969467</v>
      </c>
      <c r="N37" s="39"/>
      <c r="O37" s="72">
        <f t="shared" si="16"/>
        <v>1.9073486328125E-6</v>
      </c>
      <c r="P37" s="41" t="str">
        <f t="shared" si="1"/>
        <v>-</v>
      </c>
      <c r="Q37" s="39"/>
      <c r="R37" s="72">
        <f t="shared" si="17"/>
        <v>8925000000</v>
      </c>
      <c r="S37" s="39"/>
      <c r="T37" s="72">
        <f t="shared" si="18"/>
        <v>8925000000</v>
      </c>
      <c r="U37" s="39"/>
      <c r="V37" s="72">
        <f t="shared" si="2"/>
        <v>0</v>
      </c>
      <c r="W37" s="72">
        <f t="shared" si="19"/>
        <v>0</v>
      </c>
      <c r="X37" s="39"/>
      <c r="Y37" s="72">
        <f t="shared" si="3"/>
        <v>124950000</v>
      </c>
      <c r="Z37" s="72">
        <f t="shared" si="20"/>
        <v>63311133.966290347</v>
      </c>
      <c r="AA37" s="39"/>
      <c r="AB37" s="72">
        <f t="shared" si="4"/>
        <v>0</v>
      </c>
      <c r="AC37" s="72">
        <f t="shared" si="21"/>
        <v>0</v>
      </c>
      <c r="AD37" s="39"/>
      <c r="AE37" s="72">
        <f t="shared" si="5"/>
        <v>0</v>
      </c>
      <c r="AF37" s="72">
        <f t="shared" si="22"/>
        <v>0</v>
      </c>
      <c r="AG37" s="39"/>
      <c r="AH37" s="72">
        <f t="shared" si="6"/>
        <v>440000000.00000006</v>
      </c>
      <c r="AI37" s="72">
        <f t="shared" si="23"/>
        <v>222944369.30906567</v>
      </c>
      <c r="AJ37" s="39"/>
      <c r="AK37" s="72">
        <f t="shared" si="7"/>
        <v>4284000000</v>
      </c>
      <c r="AL37" s="72">
        <f t="shared" si="24"/>
        <v>2170667450.2728119</v>
      </c>
      <c r="AM37" s="39"/>
      <c r="AN37" s="72">
        <f t="shared" si="8"/>
        <v>3927000000.0000005</v>
      </c>
      <c r="AO37" s="72">
        <f t="shared" si="25"/>
        <v>1989778496.0834112</v>
      </c>
      <c r="AP37" s="39"/>
      <c r="AQ37" s="72">
        <f t="shared" si="9"/>
        <v>1055422000</v>
      </c>
      <c r="AR37" s="72">
        <f t="shared" si="26"/>
        <v>534773618.5111652</v>
      </c>
      <c r="AS37" s="39"/>
      <c r="AT37" s="40">
        <f>IF($K37&lt;=$F$15,IF($F$40&lt;&gt;"",$F$40/1000,IF(ISERROR(VLOOKUP($F$3&amp;IF($G$4&lt;&gt;"",$G$4,"")&amp;IF($F$43&lt;&gt;"","_"&amp;$F$43,""),'表3）燃料価格'!$AF$9:$AG$25,2,0)),0,VLOOKUP($I37,'表3）燃料価格'!$A$6:$U$66,VLOOKUP($F$3&amp;IF($G$4&lt;&gt;"",$G$4,"")&amp;IF($F$43&lt;&gt;"","_"&amp;$F$43,""),'表3）燃料価格'!$AF$9:$AG$25,2,0)+VLOOKUP($F$41,'表3）燃料価格'!$AF$28:$AG$29,2,0),0)*IF($F$43="需要地価格",1,$F$8/$F$141))),"")</f>
        <v>10.894103678805058</v>
      </c>
      <c r="AU37" s="39"/>
      <c r="AV37" s="72">
        <f t="shared" si="10"/>
        <v>17919959102.235901</v>
      </c>
      <c r="AW37" s="72">
        <f t="shared" si="11"/>
        <v>9079895409.3005295</v>
      </c>
      <c r="AX37" s="39"/>
      <c r="AY37" s="40">
        <f>IF(ISERROR(IF($K37&lt;=$F$15,VLOOKUP($I37,'表4）CO2価格'!$A$7:$E$67,VLOOKUP($F$48,'表4）CO2価格'!$H$10:$I$12,2,0),0)*$F$8/1000,"")),0,IF($K37&lt;=$F$15,VLOOKUP($I37,'表4）CO2価格'!$A$7:$E$67,VLOOKUP($F$48,'表4）CO2価格'!$H$10:$I$12,2,0),0)*$F$8/1000,""))</f>
        <v>5.82080000000001</v>
      </c>
      <c r="AZ37" s="39"/>
      <c r="BA37" s="42">
        <f t="shared" si="12"/>
        <v>17937788198.576462</v>
      </c>
      <c r="BB37" s="72">
        <f t="shared" si="27"/>
        <v>9088929265.2982502</v>
      </c>
      <c r="BC37" s="39"/>
      <c r="BD37" s="72">
        <f t="shared" si="13"/>
        <v>0</v>
      </c>
      <c r="BE37" s="72">
        <f t="shared" si="28"/>
        <v>0</v>
      </c>
      <c r="BF37" s="39"/>
      <c r="BG37" s="42">
        <f t="shared" si="14"/>
        <v>0</v>
      </c>
      <c r="BH37" s="72">
        <f t="shared" si="29"/>
        <v>0</v>
      </c>
      <c r="BI37" s="39"/>
      <c r="BJ37" s="40"/>
      <c r="BK37" s="157"/>
      <c r="BL37" s="157"/>
      <c r="BM37" s="72"/>
      <c r="BN37" s="72" t="str">
        <f>IF(AND(ISNUMBER($F$16),$K37&lt;=$F$16),BQ37*('バイオマス（木質専焼）（2020年）'!$O$15+'バイオマス（木質専焼）（2020年）'!$BK$116)/'バイオマス（木質専焼）（2020年）'!$BL$116,"")</f>
        <v/>
      </c>
      <c r="BO37" s="72" t="str">
        <f t="shared" si="30"/>
        <v/>
      </c>
      <c r="BP37" s="39"/>
      <c r="BQ37" s="72">
        <f t="shared" si="15"/>
        <v>4056318000</v>
      </c>
      <c r="BR37" s="72">
        <f t="shared" si="31"/>
        <v>2055302859.6068423</v>
      </c>
    </row>
    <row r="38" spans="3:70" x14ac:dyDescent="0.15">
      <c r="C38" s="4" t="s">
        <v>570</v>
      </c>
      <c r="D38" s="100"/>
      <c r="E38" s="100"/>
      <c r="F38" s="4"/>
      <c r="G38" s="100"/>
      <c r="I38" s="457">
        <f t="shared" si="32"/>
        <v>2043</v>
      </c>
      <c r="J38" s="71"/>
      <c r="K38" s="71">
        <f t="shared" si="33"/>
        <v>24</v>
      </c>
      <c r="L38" s="71"/>
      <c r="M38" s="7">
        <f t="shared" si="0"/>
        <v>0.49193373633950943</v>
      </c>
      <c r="N38" s="71"/>
      <c r="O38" s="10">
        <f t="shared" si="16"/>
        <v>1.9073486328125E-6</v>
      </c>
      <c r="P38" s="29" t="str">
        <f t="shared" si="1"/>
        <v>-</v>
      </c>
      <c r="Q38" s="71"/>
      <c r="R38" s="10">
        <f t="shared" si="17"/>
        <v>8925000000</v>
      </c>
      <c r="S38" s="71"/>
      <c r="T38" s="10">
        <f t="shared" si="18"/>
        <v>8925000000</v>
      </c>
      <c r="U38" s="71"/>
      <c r="V38" s="10">
        <f t="shared" si="2"/>
        <v>0</v>
      </c>
      <c r="W38" s="10">
        <f t="shared" si="19"/>
        <v>0</v>
      </c>
      <c r="X38" s="71"/>
      <c r="Y38" s="10">
        <f t="shared" si="3"/>
        <v>124950000</v>
      </c>
      <c r="Z38" s="10">
        <f t="shared" si="20"/>
        <v>61467120.355621703</v>
      </c>
      <c r="AA38" s="71"/>
      <c r="AB38" s="10">
        <f t="shared" si="4"/>
        <v>0</v>
      </c>
      <c r="AC38" s="10">
        <f t="shared" si="21"/>
        <v>0</v>
      </c>
      <c r="AD38" s="71"/>
      <c r="AE38" s="10">
        <f t="shared" si="5"/>
        <v>0</v>
      </c>
      <c r="AF38" s="10">
        <f t="shared" si="22"/>
        <v>0</v>
      </c>
      <c r="AG38" s="71"/>
      <c r="AH38" s="10">
        <f t="shared" si="6"/>
        <v>440000000.00000006</v>
      </c>
      <c r="AI38" s="10">
        <f t="shared" si="23"/>
        <v>216450843.98938417</v>
      </c>
      <c r="AJ38" s="71"/>
      <c r="AK38" s="10">
        <f t="shared" si="7"/>
        <v>4284000000</v>
      </c>
      <c r="AL38" s="10">
        <f t="shared" si="24"/>
        <v>2107444126.4784584</v>
      </c>
      <c r="AM38" s="71"/>
      <c r="AN38" s="10">
        <f t="shared" si="8"/>
        <v>3927000000.0000005</v>
      </c>
      <c r="AO38" s="10">
        <f t="shared" si="25"/>
        <v>1931823782.6052537</v>
      </c>
      <c r="AP38" s="71"/>
      <c r="AQ38" s="10">
        <f t="shared" si="9"/>
        <v>1055422000</v>
      </c>
      <c r="AR38" s="10">
        <f t="shared" si="26"/>
        <v>519197687.87491775</v>
      </c>
      <c r="AS38" s="71"/>
      <c r="AT38" s="7">
        <f>IF($K38&lt;=$F$15,IF($F$40&lt;&gt;"",$F$40/1000,IF(ISERROR(VLOOKUP($F$3&amp;IF($G$4&lt;&gt;"",$G$4,"")&amp;IF($F$43&lt;&gt;"","_"&amp;$F$43,""),'表3）燃料価格'!$AF$9:$AG$25,2,0)),0,VLOOKUP($I38,'表3）燃料価格'!$A$6:$U$66,VLOOKUP($F$3&amp;IF($G$4&lt;&gt;"",$G$4,"")&amp;IF($F$43&lt;&gt;"","_"&amp;$F$43,""),'表3）燃料価格'!$AF$9:$AG$25,2,0)+VLOOKUP($F$41,'表3）燃料価格'!$AF$28:$AG$29,2,0),0)*IF($F$43="需要地価格",1,$F$8/$F$141))),"")</f>
        <v>10.879186348225893</v>
      </c>
      <c r="AU38" s="71"/>
      <c r="AV38" s="10">
        <f t="shared" si="10"/>
        <v>17899126323.996754</v>
      </c>
      <c r="AW38" s="10">
        <f t="shared" si="11"/>
        <v>8805184089.7765923</v>
      </c>
      <c r="AX38" s="71"/>
      <c r="AY38" s="7">
        <f>IF(ISERROR(IF($K38&lt;=$F$15,VLOOKUP($I38,'表4）CO2価格'!$A$7:$E$67,VLOOKUP($F$48,'表4）CO2価格'!$H$10:$I$12,2,0),0)*$F$8/1000,"")),0,IF($K38&lt;=$F$15,VLOOKUP($I38,'表4）CO2価格'!$A$7:$E$67,VLOOKUP($F$48,'表4）CO2価格'!$H$10:$I$12,2,0),0)*$F$8/1000,""))</f>
        <v>5.9491999999999896</v>
      </c>
      <c r="AZ38" s="71"/>
      <c r="BA38" s="11">
        <f t="shared" si="12"/>
        <v>18333474702.956764</v>
      </c>
      <c r="BB38" s="10">
        <f t="shared" si="27"/>
        <v>9018854710.7113991</v>
      </c>
      <c r="BC38" s="71"/>
      <c r="BD38" s="10">
        <f t="shared" si="13"/>
        <v>0</v>
      </c>
      <c r="BE38" s="10">
        <f t="shared" si="28"/>
        <v>0</v>
      </c>
      <c r="BF38" s="71"/>
      <c r="BG38" s="11">
        <f t="shared" si="14"/>
        <v>0</v>
      </c>
      <c r="BH38" s="10">
        <f t="shared" si="29"/>
        <v>0</v>
      </c>
      <c r="BJ38" s="7"/>
      <c r="BK38" s="158"/>
      <c r="BL38" s="158"/>
      <c r="BM38" s="10"/>
      <c r="BN38" s="10" t="str">
        <f>IF(AND(ISNUMBER($F$16),$K38&lt;=$F$16),BQ38*('バイオマス（木質専焼）（2020年）'!$O$15+'バイオマス（木質専焼）（2020年）'!$BK$116)/'バイオマス（木質専焼）（2020年）'!$BL$116,"")</f>
        <v/>
      </c>
      <c r="BO38" s="10" t="str">
        <f t="shared" si="30"/>
        <v/>
      </c>
      <c r="BQ38" s="10">
        <f t="shared" si="15"/>
        <v>4056318000</v>
      </c>
      <c r="BR38" s="10">
        <f t="shared" si="31"/>
        <v>1995439669.5212061</v>
      </c>
    </row>
    <row r="39" spans="3:70" x14ac:dyDescent="0.15">
      <c r="I39" s="38">
        <f t="shared" si="32"/>
        <v>2044</v>
      </c>
      <c r="J39" s="39"/>
      <c r="K39" s="39">
        <f t="shared" si="33"/>
        <v>25</v>
      </c>
      <c r="L39" s="39"/>
      <c r="M39" s="40">
        <f t="shared" si="0"/>
        <v>0.47760556926165965</v>
      </c>
      <c r="N39" s="39"/>
      <c r="O39" s="72">
        <f t="shared" si="16"/>
        <v>1.9073486328125E-6</v>
      </c>
      <c r="P39" s="41" t="str">
        <f t="shared" si="1"/>
        <v>-</v>
      </c>
      <c r="Q39" s="39"/>
      <c r="R39" s="72">
        <f t="shared" si="17"/>
        <v>8925000000</v>
      </c>
      <c r="S39" s="39"/>
      <c r="T39" s="72">
        <f t="shared" si="18"/>
        <v>8925000000</v>
      </c>
      <c r="U39" s="39"/>
      <c r="V39" s="72">
        <f t="shared" si="2"/>
        <v>0</v>
      </c>
      <c r="W39" s="72">
        <f t="shared" si="19"/>
        <v>0</v>
      </c>
      <c r="X39" s="39"/>
      <c r="Y39" s="72">
        <f t="shared" si="3"/>
        <v>124950000</v>
      </c>
      <c r="Z39" s="72">
        <f t="shared" si="20"/>
        <v>59676815.879244372</v>
      </c>
      <c r="AA39" s="39"/>
      <c r="AB39" s="72">
        <f t="shared" si="4"/>
        <v>0</v>
      </c>
      <c r="AC39" s="72">
        <f t="shared" si="21"/>
        <v>0</v>
      </c>
      <c r="AD39" s="39"/>
      <c r="AE39" s="72">
        <f t="shared" si="5"/>
        <v>0</v>
      </c>
      <c r="AF39" s="72">
        <f t="shared" si="22"/>
        <v>0</v>
      </c>
      <c r="AG39" s="39"/>
      <c r="AH39" s="72">
        <f t="shared" si="6"/>
        <v>440000000.00000006</v>
      </c>
      <c r="AI39" s="72">
        <f t="shared" si="23"/>
        <v>210146450.47513026</v>
      </c>
      <c r="AJ39" s="39"/>
      <c r="AK39" s="72">
        <f t="shared" si="7"/>
        <v>4284000000</v>
      </c>
      <c r="AL39" s="72">
        <f t="shared" si="24"/>
        <v>2046062258.7169499</v>
      </c>
      <c r="AM39" s="39"/>
      <c r="AN39" s="72">
        <f t="shared" si="8"/>
        <v>3927000000.0000005</v>
      </c>
      <c r="AO39" s="72">
        <f t="shared" si="25"/>
        <v>1875557070.4905376</v>
      </c>
      <c r="AP39" s="39"/>
      <c r="AQ39" s="72">
        <f t="shared" si="9"/>
        <v>1055422000</v>
      </c>
      <c r="AR39" s="72">
        <f t="shared" si="26"/>
        <v>504075425.12127936</v>
      </c>
      <c r="AS39" s="39"/>
      <c r="AT39" s="40">
        <f>IF($K39&lt;=$F$15,IF($F$40&lt;&gt;"",$F$40/1000,IF(ISERROR(VLOOKUP($F$3&amp;IF($G$4&lt;&gt;"",$G$4,"")&amp;IF($F$43&lt;&gt;"","_"&amp;$F$43,""),'表3）燃料価格'!$AF$9:$AG$25,2,0)),0,VLOOKUP($I39,'表3）燃料価格'!$A$6:$U$66,VLOOKUP($F$3&amp;IF($G$4&lt;&gt;"",$G$4,"")&amp;IF($F$43&lt;&gt;"","_"&amp;$F$43,""),'表3）燃料価格'!$AF$9:$AG$25,2,0)+VLOOKUP($F$41,'表3）燃料価格'!$AF$28:$AG$29,2,0),0)*IF($F$43="需要地価格",1,$F$8/$F$141))),"")</f>
        <v>10.864774788438096</v>
      </c>
      <c r="AU39" s="39"/>
      <c r="AV39" s="72">
        <f t="shared" si="10"/>
        <v>17878999879.28561</v>
      </c>
      <c r="AW39" s="72">
        <f t="shared" si="11"/>
        <v>8539109915.1753483</v>
      </c>
      <c r="AX39" s="39"/>
      <c r="AY39" s="40">
        <f>IF(ISERROR(IF($K39&lt;=$F$15,VLOOKUP($I39,'表4）CO2価格'!$A$7:$E$67,VLOOKUP($F$48,'表4）CO2価格'!$H$10:$I$12,2,0),0)*$F$8/1000,"")),0,IF($K39&lt;=$F$15,VLOOKUP($I39,'表4）CO2価格'!$A$7:$E$67,VLOOKUP($F$48,'表4）CO2価格'!$H$10:$I$12,2,0),0)*$F$8/1000,""))</f>
        <v>6.077599999999971</v>
      </c>
      <c r="AZ39" s="39"/>
      <c r="BA39" s="42">
        <f t="shared" si="12"/>
        <v>18729161207.337067</v>
      </c>
      <c r="BB39" s="72">
        <f t="shared" si="27"/>
        <v>8945151700.2236118</v>
      </c>
      <c r="BC39" s="39"/>
      <c r="BD39" s="72">
        <f t="shared" si="13"/>
        <v>0</v>
      </c>
      <c r="BE39" s="72">
        <f t="shared" si="28"/>
        <v>0</v>
      </c>
      <c r="BF39" s="39"/>
      <c r="BG39" s="42">
        <f t="shared" si="14"/>
        <v>0</v>
      </c>
      <c r="BH39" s="72">
        <f t="shared" si="29"/>
        <v>0</v>
      </c>
      <c r="BI39" s="39"/>
      <c r="BJ39" s="40"/>
      <c r="BK39" s="157"/>
      <c r="BL39" s="157"/>
      <c r="BM39" s="72"/>
      <c r="BN39" s="72" t="str">
        <f>IF(AND(ISNUMBER($F$16),$K39&lt;=$F$16),BQ39*('バイオマス（木質専焼）（2020年）'!$O$15+'バイオマス（木質専焼）（2020年）'!$BK$116)/'バイオマス（木質専焼）（2020年）'!$BL$116,"")</f>
        <v/>
      </c>
      <c r="BO39" s="72" t="str">
        <f t="shared" si="30"/>
        <v/>
      </c>
      <c r="BP39" s="39"/>
      <c r="BQ39" s="72">
        <f t="shared" si="15"/>
        <v>4056318000</v>
      </c>
      <c r="BR39" s="72">
        <f t="shared" si="31"/>
        <v>1937320067.4963167</v>
      </c>
    </row>
    <row r="40" spans="3:70" x14ac:dyDescent="0.15">
      <c r="D40" s="84" t="s">
        <v>124</v>
      </c>
      <c r="F40" s="482"/>
      <c r="G40" s="160" t="s">
        <v>571</v>
      </c>
      <c r="I40" s="457">
        <f t="shared" si="32"/>
        <v>2045</v>
      </c>
      <c r="J40" s="71"/>
      <c r="K40" s="71">
        <f t="shared" si="33"/>
        <v>26</v>
      </c>
      <c r="L40" s="71"/>
      <c r="M40" s="7">
        <f t="shared" si="0"/>
        <v>0.46369472743850448</v>
      </c>
      <c r="N40" s="71"/>
      <c r="O40" s="10">
        <f t="shared" si="16"/>
        <v>1.9073486328125E-6</v>
      </c>
      <c r="P40" s="29" t="str">
        <f t="shared" si="1"/>
        <v>-</v>
      </c>
      <c r="Q40" s="71"/>
      <c r="R40" s="10">
        <f t="shared" si="17"/>
        <v>8925000000</v>
      </c>
      <c r="S40" s="71"/>
      <c r="T40" s="10">
        <f t="shared" si="18"/>
        <v>8925000000</v>
      </c>
      <c r="U40" s="71"/>
      <c r="V40" s="10">
        <f t="shared" si="2"/>
        <v>0</v>
      </c>
      <c r="W40" s="10">
        <f t="shared" si="19"/>
        <v>0</v>
      </c>
      <c r="X40" s="71"/>
      <c r="Y40" s="10">
        <f t="shared" si="3"/>
        <v>124950000</v>
      </c>
      <c r="Z40" s="10">
        <f t="shared" si="20"/>
        <v>57938656.193441138</v>
      </c>
      <c r="AA40" s="71"/>
      <c r="AB40" s="10">
        <f t="shared" si="4"/>
        <v>0</v>
      </c>
      <c r="AC40" s="10">
        <f t="shared" si="21"/>
        <v>0</v>
      </c>
      <c r="AD40" s="71"/>
      <c r="AE40" s="10">
        <f t="shared" si="5"/>
        <v>0</v>
      </c>
      <c r="AF40" s="10">
        <f t="shared" si="22"/>
        <v>0</v>
      </c>
      <c r="AG40" s="71"/>
      <c r="AH40" s="10">
        <f t="shared" si="6"/>
        <v>440000000.00000006</v>
      </c>
      <c r="AI40" s="10">
        <f t="shared" si="23"/>
        <v>204025680.07294199</v>
      </c>
      <c r="AJ40" s="71"/>
      <c r="AK40" s="10">
        <f t="shared" si="7"/>
        <v>4284000000</v>
      </c>
      <c r="AL40" s="10">
        <f t="shared" si="24"/>
        <v>1986468212.3465533</v>
      </c>
      <c r="AM40" s="71"/>
      <c r="AN40" s="10">
        <f t="shared" si="8"/>
        <v>3927000000.0000005</v>
      </c>
      <c r="AO40" s="10">
        <f t="shared" si="25"/>
        <v>1820929194.6510074</v>
      </c>
      <c r="AP40" s="71"/>
      <c r="AQ40" s="10">
        <f t="shared" si="9"/>
        <v>1055422000</v>
      </c>
      <c r="AR40" s="10">
        <f t="shared" si="26"/>
        <v>489393616.62260127</v>
      </c>
      <c r="AS40" s="71"/>
      <c r="AT40" s="7">
        <f>IF($K40&lt;=$F$15,IF($F$40&lt;&gt;"",$F$40/1000,IF(ISERROR(VLOOKUP($F$3&amp;IF($G$4&lt;&gt;"",$G$4,"")&amp;IF($F$43&lt;&gt;"","_"&amp;$F$43,""),'表3）燃料価格'!$AF$9:$AG$25,2,0)),0,VLOOKUP($I40,'表3）燃料価格'!$A$6:$U$66,VLOOKUP($F$3&amp;IF($G$4&lt;&gt;"",$G$4,"")&amp;IF($F$43&lt;&gt;"","_"&amp;$F$43,""),'表3）燃料価格'!$AF$9:$AG$25,2,0)+VLOOKUP($F$41,'表3）燃料価格'!$AF$28:$AG$29,2,0),0)*IF($F$43="需要地価格",1,$F$8/$F$141))),"")</f>
        <v>10.850835824919093</v>
      </c>
      <c r="AU40" s="71"/>
      <c r="AV40" s="10">
        <f t="shared" si="10"/>
        <v>17859533438.266968</v>
      </c>
      <c r="AW40" s="10">
        <f t="shared" si="11"/>
        <v>8281371489.8360586</v>
      </c>
      <c r="AX40" s="71"/>
      <c r="AY40" s="7">
        <f>IF(ISERROR(IF($K40&lt;=$F$15,VLOOKUP($I40,'表4）CO2価格'!$A$7:$E$67,VLOOKUP($F$48,'表4）CO2価格'!$H$10:$I$12,2,0),0)*$F$8/1000,"")),0,IF($K40&lt;=$F$15,VLOOKUP($I40,'表4）CO2価格'!$A$7:$E$67,VLOOKUP($F$48,'表4）CO2価格'!$H$10:$I$12,2,0),0)*$F$8/1000,""))</f>
        <v>6.2060000000000004</v>
      </c>
      <c r="AZ40" s="71"/>
      <c r="BA40" s="11">
        <f t="shared" si="12"/>
        <v>19124847711.717522</v>
      </c>
      <c r="BB40" s="10">
        <f t="shared" si="27"/>
        <v>8868091046.9877625</v>
      </c>
      <c r="BC40" s="71"/>
      <c r="BD40" s="10">
        <f t="shared" si="13"/>
        <v>0</v>
      </c>
      <c r="BE40" s="10">
        <f t="shared" si="28"/>
        <v>0</v>
      </c>
      <c r="BF40" s="71"/>
      <c r="BG40" s="11">
        <f t="shared" si="14"/>
        <v>0</v>
      </c>
      <c r="BH40" s="10">
        <f t="shared" si="29"/>
        <v>0</v>
      </c>
      <c r="BJ40" s="7"/>
      <c r="BK40" s="158"/>
      <c r="BL40" s="158"/>
      <c r="BM40" s="10"/>
      <c r="BN40" s="10" t="str">
        <f>IF(AND(ISNUMBER($F$16),$K40&lt;=$F$16),BQ40*('バイオマス（木質専焼）（2020年）'!$O$15+'バイオマス（木質専焼）（2020年）'!$BK$116)/'バイオマス（木質専焼）（2020年）'!$BL$116,"")</f>
        <v/>
      </c>
      <c r="BO40" s="10" t="str">
        <f t="shared" si="30"/>
        <v/>
      </c>
      <c r="BQ40" s="10">
        <f t="shared" si="15"/>
        <v>4056318000</v>
      </c>
      <c r="BR40" s="10">
        <f t="shared" si="31"/>
        <v>1880893269.4138997</v>
      </c>
    </row>
    <row r="41" spans="3:70" x14ac:dyDescent="0.15">
      <c r="D41" s="84" t="s">
        <v>572</v>
      </c>
      <c r="F41" s="474" t="str">
        <f>まとめ!B4</f>
        <v>WEO2020　STEPS</v>
      </c>
      <c r="I41" s="38">
        <f t="shared" si="32"/>
        <v>2046</v>
      </c>
      <c r="J41" s="39"/>
      <c r="K41" s="39">
        <f t="shared" si="33"/>
        <v>27</v>
      </c>
      <c r="L41" s="39"/>
      <c r="M41" s="40">
        <f t="shared" si="0"/>
        <v>0.45018905576553836</v>
      </c>
      <c r="N41" s="39"/>
      <c r="O41" s="72">
        <f t="shared" si="16"/>
        <v>1.9073486328125E-6</v>
      </c>
      <c r="P41" s="41" t="str">
        <f t="shared" si="1"/>
        <v>-</v>
      </c>
      <c r="Q41" s="39"/>
      <c r="R41" s="72">
        <f t="shared" si="17"/>
        <v>8925000000</v>
      </c>
      <c r="S41" s="39"/>
      <c r="T41" s="72">
        <f t="shared" si="18"/>
        <v>8925000000</v>
      </c>
      <c r="U41" s="39"/>
      <c r="V41" s="72">
        <f t="shared" si="2"/>
        <v>0</v>
      </c>
      <c r="W41" s="72">
        <f t="shared" si="19"/>
        <v>0</v>
      </c>
      <c r="X41" s="39"/>
      <c r="Y41" s="72">
        <f t="shared" si="3"/>
        <v>124950000</v>
      </c>
      <c r="Z41" s="72">
        <f t="shared" si="20"/>
        <v>56251122.517904021</v>
      </c>
      <c r="AA41" s="39"/>
      <c r="AB41" s="72">
        <f t="shared" si="4"/>
        <v>0</v>
      </c>
      <c r="AC41" s="72">
        <f t="shared" si="21"/>
        <v>0</v>
      </c>
      <c r="AD41" s="39"/>
      <c r="AE41" s="72">
        <f t="shared" si="5"/>
        <v>0</v>
      </c>
      <c r="AF41" s="72">
        <f t="shared" si="22"/>
        <v>0</v>
      </c>
      <c r="AG41" s="39"/>
      <c r="AH41" s="72">
        <f t="shared" si="6"/>
        <v>440000000.00000006</v>
      </c>
      <c r="AI41" s="72">
        <f t="shared" si="23"/>
        <v>198083184.53683689</v>
      </c>
      <c r="AJ41" s="39"/>
      <c r="AK41" s="72">
        <f t="shared" si="7"/>
        <v>4284000000</v>
      </c>
      <c r="AL41" s="72">
        <f t="shared" si="24"/>
        <v>1928609914.8995664</v>
      </c>
      <c r="AM41" s="39"/>
      <c r="AN41" s="72">
        <f t="shared" si="8"/>
        <v>3927000000.0000005</v>
      </c>
      <c r="AO41" s="72">
        <f t="shared" si="25"/>
        <v>1767892421.9912694</v>
      </c>
      <c r="AP41" s="39"/>
      <c r="AQ41" s="72">
        <f t="shared" si="9"/>
        <v>1055422000</v>
      </c>
      <c r="AR41" s="72">
        <f t="shared" si="26"/>
        <v>475139433.61417603</v>
      </c>
      <c r="AS41" s="39"/>
      <c r="AT41" s="40">
        <f>IF($K41&lt;=$F$15,IF($F$40&lt;&gt;"",$F$40/1000,IF(ISERROR(VLOOKUP($F$3&amp;IF($G$4&lt;&gt;"",$G$4,"")&amp;IF($F$43&lt;&gt;"","_"&amp;$F$43,""),'表3）燃料価格'!$AF$9:$AG$25,2,0)),0,VLOOKUP($I41,'表3）燃料価格'!$A$6:$U$66,VLOOKUP($F$3&amp;IF($G$4&lt;&gt;"",$G$4,"")&amp;IF($F$43&lt;&gt;"","_"&amp;$F$43,""),'表3）燃料価格'!$AF$9:$AG$25,2,0)+VLOOKUP($F$41,'表3）燃料価格'!$AF$28:$AG$29,2,0),0)*IF($F$43="需要地価格",1,$F$8/$F$141))),"")</f>
        <v>10.83733944374096</v>
      </c>
      <c r="AU41" s="39"/>
      <c r="AV41" s="72">
        <f t="shared" si="10"/>
        <v>17840685085.029575</v>
      </c>
      <c r="AW41" s="72">
        <f t="shared" si="11"/>
        <v>8031681172.6397877</v>
      </c>
      <c r="AX41" s="39"/>
      <c r="AY41" s="40">
        <f>IF(ISERROR(IF($K41&lt;=$F$15,VLOOKUP($I41,'表4）CO2価格'!$A$7:$E$67,VLOOKUP($F$48,'表4）CO2価格'!$H$10:$I$12,2,0),0)*$F$8/1000,"")),0,IF($K41&lt;=$F$15,VLOOKUP($I41,'表4）CO2価格'!$A$7:$E$67,VLOOKUP($F$48,'表4）CO2価格'!$H$10:$I$12,2,0),0)*$F$8/1000,""))</f>
        <v>6.3343999999999809</v>
      </c>
      <c r="AZ41" s="39"/>
      <c r="BA41" s="42">
        <f t="shared" si="12"/>
        <v>19520534216.097824</v>
      </c>
      <c r="BB41" s="72">
        <f t="shared" si="27"/>
        <v>8787930866.7839622</v>
      </c>
      <c r="BC41" s="39"/>
      <c r="BD41" s="72">
        <f t="shared" si="13"/>
        <v>0</v>
      </c>
      <c r="BE41" s="72">
        <f t="shared" si="28"/>
        <v>0</v>
      </c>
      <c r="BF41" s="39"/>
      <c r="BG41" s="42">
        <f t="shared" si="14"/>
        <v>0</v>
      </c>
      <c r="BH41" s="72">
        <f t="shared" si="29"/>
        <v>0</v>
      </c>
      <c r="BI41" s="39"/>
      <c r="BJ41" s="40"/>
      <c r="BK41" s="157"/>
      <c r="BL41" s="157"/>
      <c r="BM41" s="72"/>
      <c r="BN41" s="72" t="str">
        <f>IF(AND(ISNUMBER($F$16),$K41&lt;=$F$16),BQ41*('バイオマス（木質専焼）（2020年）'!$O$15+'バイオマス（木質専焼）（2020年）'!$BK$116)/'バイオマス（木質専焼）（2020年）'!$BL$116,"")</f>
        <v/>
      </c>
      <c r="BO41" s="72" t="str">
        <f t="shared" si="30"/>
        <v/>
      </c>
      <c r="BP41" s="39"/>
      <c r="BQ41" s="72">
        <f t="shared" si="15"/>
        <v>4056318000</v>
      </c>
      <c r="BR41" s="72">
        <f t="shared" si="31"/>
        <v>1826109970.3047571</v>
      </c>
    </row>
    <row r="42" spans="3:70" x14ac:dyDescent="0.15">
      <c r="D42" s="84" t="s">
        <v>573</v>
      </c>
      <c r="F42" s="481">
        <f>2000*95%+750*5%</f>
        <v>1937.5</v>
      </c>
      <c r="G42" s="84" t="s">
        <v>574</v>
      </c>
      <c r="I42" s="457">
        <f t="shared" si="32"/>
        <v>2047</v>
      </c>
      <c r="J42" s="71"/>
      <c r="K42" s="71">
        <f t="shared" si="33"/>
        <v>28</v>
      </c>
      <c r="L42" s="71"/>
      <c r="M42" s="7">
        <f t="shared" si="0"/>
        <v>0.4370767531704256</v>
      </c>
      <c r="N42" s="71"/>
      <c r="O42" s="10">
        <f t="shared" si="16"/>
        <v>1.9073486328125E-6</v>
      </c>
      <c r="P42" s="29" t="str">
        <f t="shared" si="1"/>
        <v>-</v>
      </c>
      <c r="Q42" s="71"/>
      <c r="R42" s="10">
        <f t="shared" si="17"/>
        <v>8925000000</v>
      </c>
      <c r="S42" s="71"/>
      <c r="T42" s="10">
        <f t="shared" si="18"/>
        <v>8925000000</v>
      </c>
      <c r="U42" s="71"/>
      <c r="V42" s="10">
        <f t="shared" si="2"/>
        <v>0</v>
      </c>
      <c r="W42" s="10">
        <f t="shared" si="19"/>
        <v>0</v>
      </c>
      <c r="X42" s="71"/>
      <c r="Y42" s="10">
        <f t="shared" si="3"/>
        <v>124950000</v>
      </c>
      <c r="Z42" s="10">
        <f t="shared" si="20"/>
        <v>54612740.308644682</v>
      </c>
      <c r="AA42" s="71"/>
      <c r="AB42" s="10">
        <f t="shared" si="4"/>
        <v>0</v>
      </c>
      <c r="AC42" s="10">
        <f t="shared" si="21"/>
        <v>0</v>
      </c>
      <c r="AD42" s="71"/>
      <c r="AE42" s="10">
        <f t="shared" si="5"/>
        <v>0</v>
      </c>
      <c r="AF42" s="10">
        <f t="shared" si="22"/>
        <v>0</v>
      </c>
      <c r="AG42" s="71"/>
      <c r="AH42" s="10">
        <f t="shared" si="6"/>
        <v>440000000.00000006</v>
      </c>
      <c r="AI42" s="10">
        <f t="shared" si="23"/>
        <v>192313771.39498729</v>
      </c>
      <c r="AJ42" s="71"/>
      <c r="AK42" s="10">
        <f t="shared" si="7"/>
        <v>4284000000</v>
      </c>
      <c r="AL42" s="10">
        <f t="shared" si="24"/>
        <v>1872436810.5821033</v>
      </c>
      <c r="AM42" s="71"/>
      <c r="AN42" s="10">
        <f t="shared" si="8"/>
        <v>3927000000.0000005</v>
      </c>
      <c r="AO42" s="10">
        <f t="shared" si="25"/>
        <v>1716400409.7002616</v>
      </c>
      <c r="AP42" s="71"/>
      <c r="AQ42" s="10">
        <f t="shared" si="9"/>
        <v>1055422000</v>
      </c>
      <c r="AR42" s="10">
        <f t="shared" si="26"/>
        <v>461300420.9846369</v>
      </c>
      <c r="AS42" s="71"/>
      <c r="AT42" s="7">
        <f>IF($K42&lt;=$F$15,IF($F$40&lt;&gt;"",$F$40/1000,IF(ISERROR(VLOOKUP($F$3&amp;IF($G$4&lt;&gt;"",$G$4,"")&amp;IF($F$43&lt;&gt;"","_"&amp;$F$43,""),'表3）燃料価格'!$AF$9:$AG$25,2,0)),0,VLOOKUP($I42,'表3）燃料価格'!$A$6:$U$66,VLOOKUP($F$3&amp;IF($G$4&lt;&gt;"",$G$4,"")&amp;IF($F$43&lt;&gt;"","_"&amp;$F$43,""),'表3）燃料価格'!$AF$9:$AG$25,2,0)+VLOOKUP($F$41,'表3）燃料価格'!$AF$28:$AG$29,2,0),0)*IF($F$43="需要地価格",1,$F$8/$F$141))),"")</f>
        <v>10.824258402410223</v>
      </c>
      <c r="AU42" s="71"/>
      <c r="AV42" s="10">
        <f t="shared" si="10"/>
        <v>17822416774.105301</v>
      </c>
      <c r="AW42" s="10">
        <f t="shared" si="11"/>
        <v>7789764057.2760754</v>
      </c>
      <c r="AX42" s="71"/>
      <c r="AY42" s="7">
        <f>IF(ISERROR(IF($K42&lt;=$F$15,VLOOKUP($I42,'表4）CO2価格'!$A$7:$E$67,VLOOKUP($F$48,'表4）CO2価格'!$H$10:$I$12,2,0),0)*$F$8/1000,"")),0,IF($K42&lt;=$F$15,VLOOKUP($I42,'表4）CO2価格'!$A$7:$E$67,VLOOKUP($F$48,'表4）CO2価格'!$H$10:$I$12,2,0),0)*$F$8/1000,""))</f>
        <v>6.4628000000000103</v>
      </c>
      <c r="AZ42" s="71"/>
      <c r="BA42" s="11">
        <f t="shared" si="12"/>
        <v>19916220720.478275</v>
      </c>
      <c r="BB42" s="10">
        <f t="shared" si="27"/>
        <v>8704917087.9321995</v>
      </c>
      <c r="BC42" s="71"/>
      <c r="BD42" s="10">
        <f t="shared" si="13"/>
        <v>0</v>
      </c>
      <c r="BE42" s="10">
        <f t="shared" si="28"/>
        <v>0</v>
      </c>
      <c r="BF42" s="71"/>
      <c r="BG42" s="11">
        <f t="shared" si="14"/>
        <v>0</v>
      </c>
      <c r="BH42" s="10">
        <f t="shared" si="29"/>
        <v>0</v>
      </c>
      <c r="BJ42" s="7"/>
      <c r="BK42" s="158"/>
      <c r="BL42" s="158"/>
      <c r="BM42" s="10"/>
      <c r="BN42" s="10" t="str">
        <f>IF(AND(ISNUMBER($F$16),$K42&lt;=$F$16),BQ42*('バイオマス（木質専焼）（2020年）'!$O$15+'バイオマス（木質専焼）（2020年）'!$BK$116)/'バイオマス（木質専焼）（2020年）'!$BL$116,"")</f>
        <v/>
      </c>
      <c r="BO42" s="10" t="str">
        <f t="shared" si="30"/>
        <v/>
      </c>
      <c r="BQ42" s="10">
        <f t="shared" si="15"/>
        <v>4056318000</v>
      </c>
      <c r="BR42" s="10">
        <f t="shared" si="31"/>
        <v>1772922301.2667544</v>
      </c>
    </row>
    <row r="43" spans="3:70" x14ac:dyDescent="0.15">
      <c r="D43" s="160" t="s">
        <v>126</v>
      </c>
      <c r="F43" s="474"/>
      <c r="I43" s="38">
        <f t="shared" si="32"/>
        <v>2048</v>
      </c>
      <c r="J43" s="39"/>
      <c r="K43" s="39">
        <f t="shared" si="33"/>
        <v>29</v>
      </c>
      <c r="L43" s="39"/>
      <c r="M43" s="40">
        <f t="shared" si="0"/>
        <v>0.42434636230138412</v>
      </c>
      <c r="N43" s="39"/>
      <c r="O43" s="72">
        <f t="shared" si="16"/>
        <v>1.9073486328125E-6</v>
      </c>
      <c r="P43" s="41" t="str">
        <f t="shared" si="1"/>
        <v>-</v>
      </c>
      <c r="Q43" s="39"/>
      <c r="R43" s="72">
        <f t="shared" si="17"/>
        <v>8925000000</v>
      </c>
      <c r="S43" s="39"/>
      <c r="T43" s="72">
        <f t="shared" si="18"/>
        <v>8925000000</v>
      </c>
      <c r="U43" s="39"/>
      <c r="V43" s="72">
        <f t="shared" si="2"/>
        <v>0</v>
      </c>
      <c r="W43" s="72">
        <f t="shared" si="19"/>
        <v>0</v>
      </c>
      <c r="X43" s="39"/>
      <c r="Y43" s="72">
        <f t="shared" si="3"/>
        <v>124950000</v>
      </c>
      <c r="Z43" s="72">
        <f t="shared" si="20"/>
        <v>53022077.969557948</v>
      </c>
      <c r="AA43" s="39"/>
      <c r="AB43" s="72">
        <f t="shared" si="4"/>
        <v>0</v>
      </c>
      <c r="AC43" s="72">
        <f t="shared" si="21"/>
        <v>0</v>
      </c>
      <c r="AD43" s="39"/>
      <c r="AE43" s="72">
        <f t="shared" si="5"/>
        <v>0</v>
      </c>
      <c r="AF43" s="72">
        <f t="shared" si="22"/>
        <v>0</v>
      </c>
      <c r="AG43" s="39"/>
      <c r="AH43" s="72">
        <f t="shared" si="6"/>
        <v>440000000.00000006</v>
      </c>
      <c r="AI43" s="72">
        <f t="shared" si="23"/>
        <v>186712399.41260904</v>
      </c>
      <c r="AJ43" s="39"/>
      <c r="AK43" s="72">
        <f t="shared" si="7"/>
        <v>4284000000</v>
      </c>
      <c r="AL43" s="72">
        <f t="shared" si="24"/>
        <v>1817899816.0991294</v>
      </c>
      <c r="AM43" s="39"/>
      <c r="AN43" s="72">
        <f t="shared" si="8"/>
        <v>3927000000.0000005</v>
      </c>
      <c r="AO43" s="72">
        <f t="shared" si="25"/>
        <v>1666408164.7575357</v>
      </c>
      <c r="AP43" s="39"/>
      <c r="AQ43" s="72">
        <f t="shared" si="9"/>
        <v>1055422000</v>
      </c>
      <c r="AR43" s="72">
        <f t="shared" si="26"/>
        <v>447864486.39285141</v>
      </c>
      <c r="AS43" s="39"/>
      <c r="AT43" s="40">
        <f>IF($K43&lt;=$F$15,IF($F$40&lt;&gt;"",$F$40/1000,IF(ISERROR(VLOOKUP($F$3&amp;IF($G$4&lt;&gt;"",$G$4,"")&amp;IF($F$43&lt;&gt;"","_"&amp;$F$43,""),'表3）燃料価格'!$AF$9:$AG$25,2,0)),0,VLOOKUP($I43,'表3）燃料価格'!$A$6:$U$66,VLOOKUP($F$3&amp;IF($G$4&lt;&gt;"",$G$4,"")&amp;IF($F$43&lt;&gt;"","_"&amp;$F$43,""),'表3）燃料価格'!$AF$9:$AG$25,2,0)+VLOOKUP($F$41,'表3）燃料価格'!$AF$28:$AG$29,2,0),0)*IF($F$43="需要地価格",1,$F$8/$F$141))),"")</f>
        <v>10.811567898819405</v>
      </c>
      <c r="AU43" s="39"/>
      <c r="AV43" s="72">
        <f t="shared" si="10"/>
        <v>17804693868.143837</v>
      </c>
      <c r="AW43" s="72">
        <f t="shared" si="11"/>
        <v>7555357074.8365965</v>
      </c>
      <c r="AX43" s="39"/>
      <c r="AY43" s="40">
        <f>IF(ISERROR(IF($K43&lt;=$F$15,VLOOKUP($I43,'表4）CO2価格'!$A$7:$E$67,VLOOKUP($F$48,'表4）CO2価格'!$H$10:$I$12,2,0),0)*$F$8/1000,"")),0,IF($K43&lt;=$F$15,VLOOKUP($I43,'表4）CO2価格'!$A$7:$E$67,VLOOKUP($F$48,'表4）CO2価格'!$H$10:$I$12,2,0),0)*$F$8/1000,""))</f>
        <v>6.59119999999999</v>
      </c>
      <c r="AZ43" s="39"/>
      <c r="BA43" s="42">
        <f t="shared" si="12"/>
        <v>20311907224.858578</v>
      </c>
      <c r="BB43" s="72">
        <f t="shared" si="27"/>
        <v>8619283942.2719402</v>
      </c>
      <c r="BC43" s="39"/>
      <c r="BD43" s="72">
        <f t="shared" si="13"/>
        <v>0</v>
      </c>
      <c r="BE43" s="72">
        <f t="shared" si="28"/>
        <v>0</v>
      </c>
      <c r="BF43" s="39"/>
      <c r="BG43" s="42">
        <f t="shared" si="14"/>
        <v>0</v>
      </c>
      <c r="BH43" s="72">
        <f t="shared" si="29"/>
        <v>0</v>
      </c>
      <c r="BI43" s="39"/>
      <c r="BJ43" s="40"/>
      <c r="BK43" s="157"/>
      <c r="BL43" s="157"/>
      <c r="BM43" s="72"/>
      <c r="BN43" s="72" t="str">
        <f>IF(AND(ISNUMBER($F$16),$K43&lt;=$F$16),BQ43*('バイオマス（木質専焼）（2020年）'!$O$15+'バイオマス（木質専焼）（2020年）'!$BK$116)/'バイオマス（木質専焼）（2020年）'!$BL$116,"")</f>
        <v/>
      </c>
      <c r="BO43" s="72" t="str">
        <f t="shared" si="30"/>
        <v/>
      </c>
      <c r="BP43" s="39"/>
      <c r="BQ43" s="72">
        <f t="shared" si="15"/>
        <v>4056318000</v>
      </c>
      <c r="BR43" s="72">
        <f t="shared" si="31"/>
        <v>1721283787.6376259</v>
      </c>
    </row>
    <row r="44" spans="3:70" x14ac:dyDescent="0.15">
      <c r="I44" s="457">
        <f t="shared" si="32"/>
        <v>2049</v>
      </c>
      <c r="J44" s="71"/>
      <c r="K44" s="71">
        <f t="shared" si="33"/>
        <v>30</v>
      </c>
      <c r="L44" s="71"/>
      <c r="M44" s="7">
        <f t="shared" si="0"/>
        <v>0.41198675951590691</v>
      </c>
      <c r="N44" s="71"/>
      <c r="O44" s="10">
        <f t="shared" si="16"/>
        <v>1.9073486328125E-6</v>
      </c>
      <c r="P44" s="29" t="str">
        <f t="shared" si="1"/>
        <v>-</v>
      </c>
      <c r="Q44" s="71"/>
      <c r="R44" s="10">
        <f t="shared" si="17"/>
        <v>8925000000</v>
      </c>
      <c r="S44" s="71"/>
      <c r="T44" s="10">
        <f t="shared" si="18"/>
        <v>8925000000</v>
      </c>
      <c r="U44" s="71"/>
      <c r="V44" s="10">
        <f t="shared" si="2"/>
        <v>0</v>
      </c>
      <c r="W44" s="10">
        <f t="shared" si="19"/>
        <v>0</v>
      </c>
      <c r="X44" s="71"/>
      <c r="Y44" s="10">
        <f t="shared" si="3"/>
        <v>124950000</v>
      </c>
      <c r="Z44" s="10">
        <f t="shared" si="20"/>
        <v>51477745.601512566</v>
      </c>
      <c r="AA44" s="71"/>
      <c r="AB44" s="10">
        <f t="shared" si="4"/>
        <v>0</v>
      </c>
      <c r="AC44" s="10">
        <f t="shared" si="21"/>
        <v>0</v>
      </c>
      <c r="AD44" s="71"/>
      <c r="AE44" s="10">
        <f t="shared" si="5"/>
        <v>0</v>
      </c>
      <c r="AF44" s="10">
        <f t="shared" si="22"/>
        <v>0</v>
      </c>
      <c r="AG44" s="71"/>
      <c r="AH44" s="10">
        <f t="shared" si="6"/>
        <v>440000000.00000006</v>
      </c>
      <c r="AI44" s="10">
        <f t="shared" si="23"/>
        <v>181274174.18699905</v>
      </c>
      <c r="AJ44" s="71"/>
      <c r="AK44" s="10">
        <f t="shared" si="7"/>
        <v>4284000000</v>
      </c>
      <c r="AL44" s="10">
        <f t="shared" si="24"/>
        <v>1764951277.7661452</v>
      </c>
      <c r="AM44" s="71"/>
      <c r="AN44" s="10">
        <f t="shared" si="8"/>
        <v>3927000000.0000005</v>
      </c>
      <c r="AO44" s="10">
        <f t="shared" si="25"/>
        <v>1617872004.6189666</v>
      </c>
      <c r="AP44" s="71"/>
      <c r="AQ44" s="10">
        <f t="shared" si="9"/>
        <v>1055422000</v>
      </c>
      <c r="AR44" s="10">
        <f t="shared" si="26"/>
        <v>434819889.70179749</v>
      </c>
      <c r="AS44" s="71"/>
      <c r="AT44" s="7">
        <f>IF($K44&lt;=$F$15,IF($F$40&lt;&gt;"",$F$40/1000,IF(ISERROR(VLOOKUP($F$3&amp;IF($G$4&lt;&gt;"",$G$4,"")&amp;IF($F$43&lt;&gt;"","_"&amp;$F$43,""),'表3）燃料価格'!$AF$9:$AG$25,2,0)),0,VLOOKUP($I44,'表3）燃料価格'!$A$6:$U$66,VLOOKUP($F$3&amp;IF($G$4&lt;&gt;"",$G$4,"")&amp;IF($F$43&lt;&gt;"","_"&amp;$F$43,""),'表3）燃料価格'!$AF$9:$AG$25,2,0)+VLOOKUP($F$41,'表3）燃料価格'!$AF$28:$AG$29,2,0),0)*IF($F$43="需要地価格",1,$F$8/$F$141))),"")</f>
        <v>10.799245288198325</v>
      </c>
      <c r="AU44" s="71"/>
      <c r="AV44" s="10">
        <f t="shared" si="10"/>
        <v>17787484742.621414</v>
      </c>
      <c r="AW44" s="10">
        <f t="shared" si="11"/>
        <v>7328208199.0512314</v>
      </c>
      <c r="AX44" s="71"/>
      <c r="AY44" s="7">
        <f>IF(ISERROR(IF($K44&lt;=$F$15,VLOOKUP($I44,'表4）CO2価格'!$A$7:$E$67,VLOOKUP($F$48,'表4）CO2価格'!$H$10:$I$12,2,0),0)*$F$8/1000,"")),0,IF($K44&lt;=$F$15,VLOOKUP($I44,'表4）CO2価格'!$A$7:$E$67,VLOOKUP($F$48,'表4）CO2価格'!$H$10:$I$12,2,0),0)*$F$8/1000,""))</f>
        <v>6.7195999999999714</v>
      </c>
      <c r="AZ44" s="71"/>
      <c r="BA44" s="11">
        <f t="shared" si="12"/>
        <v>20707593729.23888</v>
      </c>
      <c r="BB44" s="10">
        <f t="shared" si="27"/>
        <v>8531254437.8810406</v>
      </c>
      <c r="BC44" s="71"/>
      <c r="BD44" s="10">
        <f t="shared" si="13"/>
        <v>0</v>
      </c>
      <c r="BE44" s="10">
        <f t="shared" si="28"/>
        <v>0</v>
      </c>
      <c r="BF44" s="71"/>
      <c r="BG44" s="11">
        <f t="shared" si="14"/>
        <v>0</v>
      </c>
      <c r="BH44" s="10">
        <f t="shared" si="29"/>
        <v>0</v>
      </c>
      <c r="BJ44" s="7"/>
      <c r="BK44" s="158"/>
      <c r="BL44" s="158"/>
      <c r="BM44" s="10"/>
      <c r="BN44" s="10" t="str">
        <f>IF(AND(ISNUMBER($F$16),$K44&lt;=$F$16),BQ44*('バイオマス（木質専焼）（2020年）'!$O$15+'バイオマス（木質専焼）（2020年）'!$BK$116)/'バイオマス（木質専焼）（2020年）'!$BL$116,"")</f>
        <v/>
      </c>
      <c r="BO44" s="10" t="str">
        <f t="shared" si="30"/>
        <v/>
      </c>
      <c r="BQ44" s="10">
        <f t="shared" si="15"/>
        <v>4056318000</v>
      </c>
      <c r="BR44" s="10">
        <f t="shared" si="31"/>
        <v>1671149308.3860445</v>
      </c>
    </row>
    <row r="45" spans="3:70" x14ac:dyDescent="0.15">
      <c r="C45" s="4" t="s">
        <v>575</v>
      </c>
      <c r="D45" s="100"/>
      <c r="E45" s="100"/>
      <c r="F45" s="4"/>
      <c r="G45" s="100"/>
      <c r="I45" s="38">
        <f t="shared" si="32"/>
        <v>2050</v>
      </c>
      <c r="J45" s="39"/>
      <c r="K45" s="39">
        <f t="shared" si="33"/>
        <v>31</v>
      </c>
      <c r="L45" s="39"/>
      <c r="M45" s="40">
        <f t="shared" si="0"/>
        <v>0.39998714516107459</v>
      </c>
      <c r="N45" s="39"/>
      <c r="O45" s="72">
        <f t="shared" si="16"/>
        <v>1.9073486328125E-6</v>
      </c>
      <c r="P45" s="41" t="str">
        <f t="shared" si="1"/>
        <v>-</v>
      </c>
      <c r="Q45" s="39"/>
      <c r="R45" s="72">
        <f t="shared" si="17"/>
        <v>8925000000</v>
      </c>
      <c r="S45" s="39"/>
      <c r="T45" s="72">
        <f t="shared" si="18"/>
        <v>8925000000</v>
      </c>
      <c r="U45" s="39"/>
      <c r="V45" s="72">
        <f t="shared" si="2"/>
        <v>0</v>
      </c>
      <c r="W45" s="72">
        <f t="shared" si="19"/>
        <v>0</v>
      </c>
      <c r="X45" s="39"/>
      <c r="Y45" s="72">
        <f t="shared" si="3"/>
        <v>124950000</v>
      </c>
      <c r="Z45" s="72">
        <f t="shared" si="20"/>
        <v>49978393.787876271</v>
      </c>
      <c r="AA45" s="39"/>
      <c r="AB45" s="72">
        <f t="shared" si="4"/>
        <v>0</v>
      </c>
      <c r="AC45" s="72">
        <f t="shared" si="21"/>
        <v>0</v>
      </c>
      <c r="AD45" s="39"/>
      <c r="AE45" s="72">
        <f t="shared" si="5"/>
        <v>0</v>
      </c>
      <c r="AF45" s="72">
        <f t="shared" si="22"/>
        <v>0</v>
      </c>
      <c r="AG45" s="39"/>
      <c r="AH45" s="72">
        <f t="shared" si="6"/>
        <v>440000000.00000006</v>
      </c>
      <c r="AI45" s="72">
        <f t="shared" si="23"/>
        <v>175994343.87087286</v>
      </c>
      <c r="AJ45" s="39"/>
      <c r="AK45" s="72">
        <f t="shared" si="7"/>
        <v>4284000000</v>
      </c>
      <c r="AL45" s="72">
        <f t="shared" si="24"/>
        <v>1713544929.8700435</v>
      </c>
      <c r="AM45" s="39"/>
      <c r="AN45" s="72">
        <f t="shared" si="8"/>
        <v>3927000000.0000005</v>
      </c>
      <c r="AO45" s="72">
        <f t="shared" si="25"/>
        <v>1570749519.0475402</v>
      </c>
      <c r="AP45" s="39"/>
      <c r="AQ45" s="72">
        <f t="shared" si="9"/>
        <v>1055422000</v>
      </c>
      <c r="AR45" s="72">
        <f t="shared" si="26"/>
        <v>422155232.72019166</v>
      </c>
      <c r="AS45" s="39"/>
      <c r="AT45" s="40">
        <f>IF($K45&lt;=$F$15,IF($F$40&lt;&gt;"",$F$40/1000,IF(ISERROR(VLOOKUP($F$3&amp;IF($G$4&lt;&gt;"",$G$4,"")&amp;IF($F$43&lt;&gt;"","_"&amp;$F$43,""),'表3）燃料価格'!$AF$9:$AG$25,2,0)),0,VLOOKUP($I45,'表3）燃料価格'!$A$6:$U$66,VLOOKUP($F$3&amp;IF($G$4&lt;&gt;"",$G$4,"")&amp;IF($F$43&lt;&gt;"","_"&amp;$F$43,""),'表3）燃料価格'!$AF$9:$AG$25,2,0)+VLOOKUP($F$41,'表3）燃料価格'!$AF$28:$AG$29,2,0),0)*IF($F$43="需要地価格",1,$F$8/$F$141))),"")</f>
        <v>10.78726983994852</v>
      </c>
      <c r="AU45" s="39"/>
      <c r="AV45" s="72">
        <f t="shared" si="10"/>
        <v>17770760446.248241</v>
      </c>
      <c r="AW45" s="72">
        <f t="shared" si="11"/>
        <v>7108075738.2361784</v>
      </c>
      <c r="AX45" s="39"/>
      <c r="AY45" s="40">
        <f>IF(ISERROR(IF($K45&lt;=$F$15,VLOOKUP($I45,'表4）CO2価格'!$A$7:$E$67,VLOOKUP($F$48,'表4）CO2価格'!$H$10:$I$12,2,0),0)*$F$8/1000,"")),0,IF($K45&lt;=$F$15,VLOOKUP($I45,'表4）CO2価格'!$A$7:$E$67,VLOOKUP($F$48,'表4）CO2価格'!$H$10:$I$12,2,0),0)*$F$8/1000,""))</f>
        <v>6.8479999999999999</v>
      </c>
      <c r="AZ45" s="39"/>
      <c r="BA45" s="42">
        <f t="shared" si="12"/>
        <v>21103280233.619331</v>
      </c>
      <c r="BB45" s="72">
        <f t="shared" si="27"/>
        <v>8441040814.1795311</v>
      </c>
      <c r="BC45" s="39"/>
      <c r="BD45" s="72">
        <f t="shared" si="13"/>
        <v>0</v>
      </c>
      <c r="BE45" s="72">
        <f t="shared" si="28"/>
        <v>0</v>
      </c>
      <c r="BF45" s="39"/>
      <c r="BG45" s="42">
        <f t="shared" si="14"/>
        <v>0</v>
      </c>
      <c r="BH45" s="72">
        <f t="shared" si="29"/>
        <v>0</v>
      </c>
      <c r="BI45" s="39"/>
      <c r="BJ45" s="40"/>
      <c r="BK45" s="157"/>
      <c r="BL45" s="157"/>
      <c r="BM45" s="72"/>
      <c r="BN45" s="72" t="str">
        <f>IF(AND(ISNUMBER($F$16),$K45&lt;=$F$16),BQ45*('バイオマス（木質専焼）（2020年）'!$O$15+'バイオマス（木質専焼）（2020年）'!$BK$116)/'バイオマス（木質専焼）（2020年）'!$BL$116,"")</f>
        <v/>
      </c>
      <c r="BO45" s="72" t="str">
        <f t="shared" si="30"/>
        <v/>
      </c>
      <c r="BP45" s="39"/>
      <c r="BQ45" s="72">
        <f t="shared" si="15"/>
        <v>4056318000</v>
      </c>
      <c r="BR45" s="72">
        <f t="shared" si="31"/>
        <v>1622475056.6854796</v>
      </c>
    </row>
    <row r="46" spans="3:70" x14ac:dyDescent="0.15">
      <c r="I46" s="457">
        <f t="shared" si="32"/>
        <v>2051</v>
      </c>
      <c r="J46" s="71"/>
      <c r="K46" s="71">
        <f t="shared" si="33"/>
        <v>32</v>
      </c>
      <c r="L46" s="71"/>
      <c r="M46" s="7">
        <f t="shared" si="0"/>
        <v>0.38833703413696569</v>
      </c>
      <c r="N46" s="71"/>
      <c r="O46" s="10">
        <f t="shared" si="16"/>
        <v>1.9073486328125E-6</v>
      </c>
      <c r="P46" s="29" t="str">
        <f t="shared" si="1"/>
        <v>-</v>
      </c>
      <c r="Q46" s="71"/>
      <c r="R46" s="10">
        <f t="shared" si="17"/>
        <v>8925000000</v>
      </c>
      <c r="S46" s="71"/>
      <c r="T46" s="10">
        <f t="shared" si="18"/>
        <v>8925000000</v>
      </c>
      <c r="U46" s="71"/>
      <c r="V46" s="10">
        <f t="shared" si="2"/>
        <v>0</v>
      </c>
      <c r="W46" s="10">
        <f t="shared" si="19"/>
        <v>0</v>
      </c>
      <c r="X46" s="71"/>
      <c r="Y46" s="10">
        <f t="shared" si="3"/>
        <v>124950000</v>
      </c>
      <c r="Z46" s="10">
        <f t="shared" si="20"/>
        <v>48522712.415413864</v>
      </c>
      <c r="AA46" s="71"/>
      <c r="AB46" s="10">
        <f t="shared" si="4"/>
        <v>0</v>
      </c>
      <c r="AC46" s="10">
        <f t="shared" si="21"/>
        <v>0</v>
      </c>
      <c r="AD46" s="71"/>
      <c r="AE46" s="10">
        <f t="shared" si="5"/>
        <v>0</v>
      </c>
      <c r="AF46" s="10">
        <f t="shared" si="22"/>
        <v>0</v>
      </c>
      <c r="AG46" s="71"/>
      <c r="AH46" s="10">
        <f t="shared" si="6"/>
        <v>440000000.00000006</v>
      </c>
      <c r="AI46" s="10">
        <f t="shared" si="23"/>
        <v>170868295.02026492</v>
      </c>
      <c r="AJ46" s="71"/>
      <c r="AK46" s="10">
        <f t="shared" si="7"/>
        <v>4284000000</v>
      </c>
      <c r="AL46" s="10">
        <f t="shared" si="24"/>
        <v>1663635854.2427609</v>
      </c>
      <c r="AM46" s="71"/>
      <c r="AN46" s="10">
        <f t="shared" si="8"/>
        <v>3927000000.0000005</v>
      </c>
      <c r="AO46" s="10">
        <f t="shared" si="25"/>
        <v>1524999533.0558643</v>
      </c>
      <c r="AP46" s="71"/>
      <c r="AQ46" s="10">
        <f t="shared" si="9"/>
        <v>1055422000</v>
      </c>
      <c r="AR46" s="10">
        <f t="shared" si="26"/>
        <v>409859449.2429046</v>
      </c>
      <c r="AS46" s="71"/>
      <c r="AT46" s="7">
        <f>IF($K46&lt;=$F$15,IF($F$40&lt;&gt;"",$F$40/1000,IF(ISERROR(VLOOKUP($F$3&amp;IF($G$4&lt;&gt;"",$G$4,"")&amp;IF($F$43&lt;&gt;"","_"&amp;$F$43,""),'表3）燃料価格'!$AF$9:$AG$25,2,0)),0,VLOOKUP($I46,'表3）燃料価格'!$A$6:$U$66,VLOOKUP($F$3&amp;IF($G$4&lt;&gt;"",$G$4,"")&amp;IF($F$43&lt;&gt;"","_"&amp;$F$43,""),'表3）燃料価格'!$AF$9:$AG$25,2,0)+VLOOKUP($F$41,'表3）燃料価格'!$AF$28:$AG$29,2,0),0)*IF($F$43="需要地価格",1,$F$8/$F$141))),"")</f>
        <v>10.775622527801458</v>
      </c>
      <c r="AU46" s="71"/>
      <c r="AV46" s="10">
        <f t="shared" si="10"/>
        <v>17754494407.914227</v>
      </c>
      <c r="AW46" s="10">
        <f t="shared" si="11"/>
        <v>6894727700.9707537</v>
      </c>
      <c r="AX46" s="71"/>
      <c r="AY46" s="7">
        <f>IF(ISERROR(IF($K46&lt;=$F$15,VLOOKUP($I46,'表4）CO2価格'!$A$7:$E$67,VLOOKUP($F$48,'表4）CO2価格'!$H$10:$I$12,2,0),0)*$F$8/1000,"")),0,IF($K46&lt;=$F$15,VLOOKUP($I46,'表4）CO2価格'!$A$7:$E$67,VLOOKUP($F$48,'表4）CO2価格'!$H$10:$I$12,2,0),0)*$F$8/1000,""))</f>
        <v>7.0184806169104448</v>
      </c>
      <c r="AZ46" s="71"/>
      <c r="BA46" s="11">
        <f t="shared" si="12"/>
        <v>21628645337.746292</v>
      </c>
      <c r="BB46" s="10">
        <f t="shared" si="27"/>
        <v>8399203982.8607054</v>
      </c>
      <c r="BC46" s="71"/>
      <c r="BD46" s="10">
        <f t="shared" si="13"/>
        <v>0</v>
      </c>
      <c r="BE46" s="10">
        <f t="shared" si="28"/>
        <v>0</v>
      </c>
      <c r="BF46" s="71"/>
      <c r="BG46" s="11">
        <f t="shared" si="14"/>
        <v>0</v>
      </c>
      <c r="BH46" s="10">
        <f t="shared" si="29"/>
        <v>0</v>
      </c>
      <c r="BJ46" s="7"/>
      <c r="BK46" s="158"/>
      <c r="BL46" s="158"/>
      <c r="BM46" s="10"/>
      <c r="BN46" s="10" t="str">
        <f>IF(AND(ISNUMBER($F$16),$K46&lt;=$F$16),BQ46*('バイオマス（木質専焼）（2020年）'!$O$15+'バイオマス（木質専焼）（2020年）'!$BK$116)/'バイオマス（木質専焼）（2020年）'!$BL$116,"")</f>
        <v/>
      </c>
      <c r="BO46" s="10" t="str">
        <f t="shared" si="30"/>
        <v/>
      </c>
      <c r="BQ46" s="10">
        <f t="shared" si="15"/>
        <v>4056318000</v>
      </c>
      <c r="BR46" s="10">
        <f t="shared" si="31"/>
        <v>1575218501.6363883</v>
      </c>
    </row>
    <row r="47" spans="3:70" x14ac:dyDescent="0.15">
      <c r="D47" s="84" t="s">
        <v>576</v>
      </c>
      <c r="F47" s="478">
        <f>24.29*(26.08*95%/(26.08*95%+13.21*5%))</f>
        <v>23.659270733001787</v>
      </c>
      <c r="G47" s="84" t="s">
        <v>577</v>
      </c>
      <c r="I47" s="38">
        <f t="shared" si="32"/>
        <v>2052</v>
      </c>
      <c r="J47" s="39"/>
      <c r="K47" s="39">
        <f t="shared" si="33"/>
        <v>33</v>
      </c>
      <c r="L47" s="39"/>
      <c r="M47" s="40">
        <f t="shared" si="0"/>
        <v>0.37702624673491814</v>
      </c>
      <c r="N47" s="39"/>
      <c r="O47" s="72">
        <f t="shared" si="16"/>
        <v>1.9073486328125E-6</v>
      </c>
      <c r="P47" s="41" t="str">
        <f t="shared" ref="P47:P78" si="34">IF(K47&lt;=$F$15,IF(OR(P46=$F$124,P46="-"),"-",IF(O47*$F$123&gt;$F$127,$F$123,$F$124)),"")</f>
        <v>-</v>
      </c>
      <c r="Q47" s="39"/>
      <c r="R47" s="72">
        <f t="shared" si="17"/>
        <v>8925000000</v>
      </c>
      <c r="S47" s="39"/>
      <c r="T47" s="72">
        <f t="shared" si="18"/>
        <v>8925000000</v>
      </c>
      <c r="U47" s="39"/>
      <c r="V47" s="72">
        <f t="shared" ref="V47:V78" si="35">IF(K47&lt;=$F$15,IF(K47&lt;$F$119,IF(P47="-",V46,O47*P47),IF(K47=$F$119,MIN(IF(P47="-",V46,O47*P47),O47),0)),"")</f>
        <v>0</v>
      </c>
      <c r="W47" s="72">
        <f t="shared" si="19"/>
        <v>0</v>
      </c>
      <c r="X47" s="39"/>
      <c r="Y47" s="72">
        <f t="shared" ref="Y47:Y78" si="36">IF($K47&lt;=$F$15,ROUNDDOWN(T47*$F$25/100,-2),"")</f>
        <v>124950000</v>
      </c>
      <c r="Z47" s="72">
        <f t="shared" si="20"/>
        <v>47109429.529528022</v>
      </c>
      <c r="AA47" s="39"/>
      <c r="AB47" s="72">
        <f t="shared" si="4"/>
        <v>0</v>
      </c>
      <c r="AC47" s="72">
        <f t="shared" si="21"/>
        <v>0</v>
      </c>
      <c r="AD47" s="39"/>
      <c r="AE47" s="72">
        <f t="shared" ref="AE47:AE78" si="37">IF($K47&lt;=$F$15,$F$26,"")</f>
        <v>0</v>
      </c>
      <c r="AF47" s="72">
        <f t="shared" si="22"/>
        <v>0</v>
      </c>
      <c r="AG47" s="39"/>
      <c r="AH47" s="72">
        <f t="shared" ref="AH47:AH78" si="38">IF($K47&lt;=$F$15,$F$33*10^8,"")</f>
        <v>440000000.00000006</v>
      </c>
      <c r="AI47" s="72">
        <f t="shared" si="23"/>
        <v>165891548.563364</v>
      </c>
      <c r="AJ47" s="39"/>
      <c r="AK47" s="72">
        <f t="shared" ref="AK47:AK78" si="39">IF($K47&lt;=$F$15,$F$117*$F$34/100,"")</f>
        <v>4284000000</v>
      </c>
      <c r="AL47" s="72">
        <f t="shared" si="24"/>
        <v>1615180441.0123892</v>
      </c>
      <c r="AM47" s="39"/>
      <c r="AN47" s="72">
        <f t="shared" ref="AN47:AN78" si="40">IF($K47&lt;=$F$15,$F$117*$F$35/100,"")</f>
        <v>3927000000.0000005</v>
      </c>
      <c r="AO47" s="72">
        <f t="shared" si="25"/>
        <v>1480582070.9280238</v>
      </c>
      <c r="AP47" s="39"/>
      <c r="AQ47" s="72">
        <f t="shared" ref="AQ47:AQ78" si="41">IF($K47&lt;=$F$15,SUM(AH47,AK47,AN47)*($F$36/100),"")</f>
        <v>1055422000</v>
      </c>
      <c r="AR47" s="72">
        <f t="shared" si="26"/>
        <v>397921795.38146079</v>
      </c>
      <c r="AS47" s="39"/>
      <c r="AT47" s="40">
        <f>IF($K47&lt;=$F$15,IF($F$40&lt;&gt;"",$F$40/1000,IF(ISERROR(VLOOKUP($F$3&amp;IF($G$4&lt;&gt;"",$G$4,"")&amp;IF($F$43&lt;&gt;"","_"&amp;$F$43,""),'表3）燃料価格'!$AF$9:$AG$25,2,0)),0,VLOOKUP($I47,'表3）燃料価格'!$A$6:$U$66,VLOOKUP($F$3&amp;IF($G$4&lt;&gt;"",$G$4,"")&amp;IF($F$43&lt;&gt;"","_"&amp;$F$43,""),'表3）燃料価格'!$AF$9:$AG$25,2,0)+VLOOKUP($F$41,'表3）燃料価格'!$AF$28:$AG$29,2,0),0)*IF($F$43="需要地価格",1,$F$8/$F$141))),"")</f>
        <v>10.764285847966356</v>
      </c>
      <c r="AU47" s="39"/>
      <c r="AV47" s="72">
        <f t="shared" ref="AV47:AV78" si="42">IF($K47&lt;=$F$15,($AT47+$F$142)*$F$137,"")</f>
        <v>17738662182.723564</v>
      </c>
      <c r="AW47" s="72">
        <f t="shared" si="11"/>
        <v>6687941224.8508959</v>
      </c>
      <c r="AX47" s="39"/>
      <c r="AY47" s="40">
        <f>IF(ISERROR(IF($K47&lt;=$F$15,VLOOKUP($I47,'表4）CO2価格'!$A$7:$E$67,VLOOKUP($F$48,'表4）CO2価格'!$H$10:$I$12,2,0),0)*$F$8/1000,"")),0,IF($K47&lt;=$F$15,VLOOKUP($I47,'表4）CO2価格'!$A$7:$E$67,VLOOKUP($F$48,'表4）CO2価格'!$H$10:$I$12,2,0),0)*$F$8/1000,""))</f>
        <v>7.1500080975609199</v>
      </c>
      <c r="AZ47" s="39"/>
      <c r="BA47" s="42">
        <f t="shared" ref="BA47:BA78" si="43">IF($K47&lt;=$F$15,$F$145*AY47,"")</f>
        <v>22033969707.283226</v>
      </c>
      <c r="BB47" s="72">
        <f t="shared" si="27"/>
        <v>8307384899.4078779</v>
      </c>
      <c r="BC47" s="39"/>
      <c r="BD47" s="72">
        <f t="shared" ref="BD47:BD78" si="44">IF($K47&lt;=$F$15,($AT47+$F$152)*$F$151,"")</f>
        <v>0</v>
      </c>
      <c r="BE47" s="72">
        <f t="shared" si="28"/>
        <v>0</v>
      </c>
      <c r="BF47" s="39"/>
      <c r="BG47" s="42">
        <f t="shared" ref="BG47:BG78" si="45">IF($K47&lt;=$F$15,$F$153*AY47,"")</f>
        <v>0</v>
      </c>
      <c r="BH47" s="72">
        <f t="shared" si="29"/>
        <v>0</v>
      </c>
      <c r="BI47" s="39"/>
      <c r="BJ47" s="40"/>
      <c r="BK47" s="157"/>
      <c r="BL47" s="157"/>
      <c r="BM47" s="72"/>
      <c r="BN47" s="72" t="str">
        <f>IF(AND(ISNUMBER($F$16),$K47&lt;=$F$16),BQ47*('バイオマス（木質専焼）（2020年）'!$O$15+'バイオマス（木質専焼）（2020年）'!$BK$116)/'バイオマス（木質専焼）（2020年）'!$BL$116,"")</f>
        <v/>
      </c>
      <c r="BO47" s="72" t="str">
        <f t="shared" si="30"/>
        <v/>
      </c>
      <c r="BP47" s="39"/>
      <c r="BQ47" s="72">
        <f t="shared" ref="BQ47:BQ78" si="46">IF($K47&lt;=$F$15,$F$134,"")</f>
        <v>4056318000</v>
      </c>
      <c r="BR47" s="72">
        <f t="shared" si="31"/>
        <v>1529338351.1032896</v>
      </c>
    </row>
    <row r="48" spans="3:70" x14ac:dyDescent="0.15">
      <c r="D48" s="84" t="s">
        <v>578</v>
      </c>
      <c r="F48" s="474" t="str">
        <f>まとめ!B5</f>
        <v>WEO2020　STEPS</v>
      </c>
      <c r="I48" s="457">
        <f t="shared" si="32"/>
        <v>2053</v>
      </c>
      <c r="J48" s="71"/>
      <c r="K48" s="71">
        <f t="shared" si="33"/>
        <v>34</v>
      </c>
      <c r="L48" s="71"/>
      <c r="M48" s="7">
        <f t="shared" si="0"/>
        <v>0.36604489974263904</v>
      </c>
      <c r="N48" s="71"/>
      <c r="O48" s="10">
        <f t="shared" si="16"/>
        <v>1.9073486328125E-6</v>
      </c>
      <c r="P48" s="29" t="str">
        <f t="shared" si="34"/>
        <v>-</v>
      </c>
      <c r="Q48" s="71"/>
      <c r="R48" s="10">
        <f t="shared" ref="R48:R79" si="47">IF($K48&lt;=$F$15,MAX($F$117*5%,R47*$F$129),"")</f>
        <v>8925000000</v>
      </c>
      <c r="S48" s="71"/>
      <c r="T48" s="10">
        <f t="shared" si="18"/>
        <v>8925000000</v>
      </c>
      <c r="U48" s="71"/>
      <c r="V48" s="10">
        <f t="shared" si="35"/>
        <v>0</v>
      </c>
      <c r="W48" s="10">
        <f t="shared" si="19"/>
        <v>0</v>
      </c>
      <c r="X48" s="71"/>
      <c r="Y48" s="10">
        <f t="shared" si="36"/>
        <v>124950000</v>
      </c>
      <c r="Z48" s="10">
        <f t="shared" si="20"/>
        <v>45737310.222842745</v>
      </c>
      <c r="AA48" s="71"/>
      <c r="AB48" s="10">
        <f t="shared" si="4"/>
        <v>0</v>
      </c>
      <c r="AC48" s="10">
        <f t="shared" si="21"/>
        <v>0</v>
      </c>
      <c r="AD48" s="71"/>
      <c r="AE48" s="10">
        <f t="shared" si="37"/>
        <v>0</v>
      </c>
      <c r="AF48" s="10">
        <f t="shared" si="22"/>
        <v>0</v>
      </c>
      <c r="AG48" s="71"/>
      <c r="AH48" s="10">
        <f t="shared" si="38"/>
        <v>440000000.00000006</v>
      </c>
      <c r="AI48" s="10">
        <f t="shared" si="23"/>
        <v>161059755.88676119</v>
      </c>
      <c r="AJ48" s="71"/>
      <c r="AK48" s="10">
        <f t="shared" si="39"/>
        <v>4284000000</v>
      </c>
      <c r="AL48" s="10">
        <f t="shared" si="24"/>
        <v>1568136350.4974656</v>
      </c>
      <c r="AM48" s="71"/>
      <c r="AN48" s="10">
        <f t="shared" si="40"/>
        <v>3927000000.0000005</v>
      </c>
      <c r="AO48" s="10">
        <f t="shared" si="25"/>
        <v>1437458321.2893436</v>
      </c>
      <c r="AP48" s="71"/>
      <c r="AQ48" s="10">
        <f t="shared" si="41"/>
        <v>1055422000</v>
      </c>
      <c r="AR48" s="10">
        <f t="shared" si="26"/>
        <v>386331840.17617559</v>
      </c>
      <c r="AS48" s="71"/>
      <c r="AT48" s="7">
        <f>IF($K48&lt;=$F$15,IF($F$40&lt;&gt;"",$F$40/1000,IF(ISERROR(VLOOKUP($F$3&amp;IF($G$4&lt;&gt;"",$G$4,"")&amp;IF($F$43&lt;&gt;"","_"&amp;$F$43,""),'表3）燃料価格'!$AF$9:$AG$25,2,0)),0,VLOOKUP($I48,'表3）燃料価格'!$A$6:$U$66,VLOOKUP($F$3&amp;IF($G$4&lt;&gt;"",$G$4,"")&amp;IF($F$43&lt;&gt;"","_"&amp;$F$43,""),'表3）燃料価格'!$AF$9:$AG$25,2,0)+VLOOKUP($F$41,'表3）燃料価格'!$AF$28:$AG$29,2,0),0)*IF($F$43="需要地価格",1,$F$8/$F$141))),"")</f>
        <v>10.753243660903685</v>
      </c>
      <c r="AU48" s="71"/>
      <c r="AV48" s="10">
        <f t="shared" si="42"/>
        <v>17723241231.023727</v>
      </c>
      <c r="AW48" s="10">
        <f t="shared" si="11"/>
        <v>6487502059.5246868</v>
      </c>
      <c r="AX48" s="71"/>
      <c r="AY48" s="7">
        <f>IF(ISERROR(IF($K48&lt;=$F$15,VLOOKUP($I48,'表4）CO2価格'!$A$7:$E$67,VLOOKUP($F$48,'表4）CO2価格'!$H$10:$I$12,2,0),0)*$F$8/1000,"")),0,IF($K48&lt;=$F$15,VLOOKUP($I48,'表4）CO2価格'!$A$7:$E$67,VLOOKUP($F$48,'表4）CO2価格'!$H$10:$I$12,2,0),0)*$F$8/1000,""))</f>
        <v>7.2814714966103056</v>
      </c>
      <c r="AZ48" s="71"/>
      <c r="BA48" s="11">
        <f t="shared" si="43"/>
        <v>22439096598.43441</v>
      </c>
      <c r="BB48" s="10">
        <f t="shared" si="27"/>
        <v>8213716864.6893167</v>
      </c>
      <c r="BC48" s="71"/>
      <c r="BD48" s="10">
        <f t="shared" si="44"/>
        <v>0</v>
      </c>
      <c r="BE48" s="10">
        <f t="shared" si="28"/>
        <v>0</v>
      </c>
      <c r="BF48" s="71"/>
      <c r="BG48" s="11">
        <f t="shared" si="45"/>
        <v>0</v>
      </c>
      <c r="BH48" s="10">
        <f t="shared" si="29"/>
        <v>0</v>
      </c>
      <c r="BJ48" s="7"/>
      <c r="BK48" s="158"/>
      <c r="BL48" s="158"/>
      <c r="BM48" s="10"/>
      <c r="BN48" s="10" t="str">
        <f>IF(AND(ISNUMBER($F$16),$K48&lt;=$F$16),BQ48*('バイオマス（木質専焼）（2020年）'!$O$15+'バイオマス（木質専焼）（2020年）'!$BK$116)/'バイオマス（木質専焼）（2020年）'!$BL$116,"")</f>
        <v/>
      </c>
      <c r="BO48" s="10" t="str">
        <f t="shared" si="30"/>
        <v/>
      </c>
      <c r="BQ48" s="10">
        <f t="shared" si="46"/>
        <v>4056318000</v>
      </c>
      <c r="BR48" s="10">
        <f t="shared" si="31"/>
        <v>1484794515.6342621</v>
      </c>
    </row>
    <row r="49" spans="3:70" x14ac:dyDescent="0.15">
      <c r="I49" s="38">
        <f t="shared" si="32"/>
        <v>2054</v>
      </c>
      <c r="J49" s="39"/>
      <c r="K49" s="39">
        <f t="shared" si="33"/>
        <v>35</v>
      </c>
      <c r="L49" s="39"/>
      <c r="M49" s="40">
        <f t="shared" si="0"/>
        <v>0.35538339780838735</v>
      </c>
      <c r="N49" s="39"/>
      <c r="O49" s="72">
        <f t="shared" si="16"/>
        <v>1.9073486328125E-6</v>
      </c>
      <c r="P49" s="41" t="str">
        <f t="shared" si="34"/>
        <v>-</v>
      </c>
      <c r="Q49" s="39"/>
      <c r="R49" s="72">
        <f t="shared" si="47"/>
        <v>8925000000</v>
      </c>
      <c r="S49" s="39"/>
      <c r="T49" s="72">
        <f t="shared" si="18"/>
        <v>8925000000</v>
      </c>
      <c r="U49" s="39"/>
      <c r="V49" s="72">
        <f t="shared" si="35"/>
        <v>0</v>
      </c>
      <c r="W49" s="72">
        <f t="shared" si="19"/>
        <v>0</v>
      </c>
      <c r="X49" s="39"/>
      <c r="Y49" s="72">
        <f t="shared" si="36"/>
        <v>124950000</v>
      </c>
      <c r="Z49" s="72">
        <f t="shared" si="20"/>
        <v>44405155.556157999</v>
      </c>
      <c r="AA49" s="39"/>
      <c r="AB49" s="72">
        <f t="shared" si="4"/>
        <v>0</v>
      </c>
      <c r="AC49" s="72">
        <f t="shared" si="21"/>
        <v>0</v>
      </c>
      <c r="AD49" s="39"/>
      <c r="AE49" s="72">
        <f t="shared" si="37"/>
        <v>0</v>
      </c>
      <c r="AF49" s="72">
        <f t="shared" si="22"/>
        <v>0</v>
      </c>
      <c r="AG49" s="39"/>
      <c r="AH49" s="72">
        <f t="shared" si="38"/>
        <v>440000000.00000006</v>
      </c>
      <c r="AI49" s="72">
        <f t="shared" si="23"/>
        <v>156368695.03569046</v>
      </c>
      <c r="AJ49" s="39"/>
      <c r="AK49" s="72">
        <f t="shared" si="39"/>
        <v>4284000000</v>
      </c>
      <c r="AL49" s="72">
        <f t="shared" si="24"/>
        <v>1522462476.2111313</v>
      </c>
      <c r="AM49" s="39"/>
      <c r="AN49" s="72">
        <f t="shared" si="40"/>
        <v>3927000000.0000005</v>
      </c>
      <c r="AO49" s="72">
        <f t="shared" si="25"/>
        <v>1395590603.1935372</v>
      </c>
      <c r="AP49" s="39"/>
      <c r="AQ49" s="72">
        <f t="shared" si="41"/>
        <v>1055422000</v>
      </c>
      <c r="AR49" s="72">
        <f t="shared" si="26"/>
        <v>375079456.48172379</v>
      </c>
      <c r="AS49" s="39"/>
      <c r="AT49" s="40">
        <f>IF($K49&lt;=$F$15,IF($F$40&lt;&gt;"",$F$40/1000,IF(ISERROR(VLOOKUP($F$3&amp;IF($G$4&lt;&gt;"",$G$4,"")&amp;IF($F$43&lt;&gt;"","_"&amp;$F$43,""),'表3）燃料価格'!$AF$9:$AG$25,2,0)),0,VLOOKUP($I49,'表3）燃料価格'!$A$6:$U$66,VLOOKUP($F$3&amp;IF($G$4&lt;&gt;"",$G$4,"")&amp;IF($F$43&lt;&gt;"","_"&amp;$F$43,""),'表3）燃料価格'!$AF$9:$AG$25,2,0)+VLOOKUP($F$41,'表3）燃料価格'!$AF$28:$AG$29,2,0),0)*IF($F$43="需要地価格",1,$F$8/$F$141))),"")</f>
        <v>10.742481053134219</v>
      </c>
      <c r="AU49" s="39"/>
      <c r="AV49" s="72">
        <f t="shared" si="42"/>
        <v>17708210725.415077</v>
      </c>
      <c r="AW49" s="72">
        <f t="shared" si="11"/>
        <v>6293204096.7049379</v>
      </c>
      <c r="AX49" s="39"/>
      <c r="AY49" s="40">
        <f>IF(ISERROR(IF($K49&lt;=$F$15,VLOOKUP($I49,'表4）CO2価格'!$A$7:$E$67,VLOOKUP($F$48,'表4）CO2価格'!$H$10:$I$12,2,0),0)*$F$8/1000,"")),0,IF($K49&lt;=$F$15,VLOOKUP($I49,'表4）CO2価格'!$A$7:$E$67,VLOOKUP($F$48,'表4）CO2価格'!$H$10:$I$12,2,0),0)*$F$8/1000,""))</f>
        <v>7.4128708764708131</v>
      </c>
      <c r="AZ49" s="39"/>
      <c r="BA49" s="42">
        <f t="shared" si="43"/>
        <v>22844026203.533722</v>
      </c>
      <c r="BB49" s="72">
        <f t="shared" si="27"/>
        <v>8118387651.8356495</v>
      </c>
      <c r="BC49" s="39"/>
      <c r="BD49" s="72">
        <f t="shared" si="44"/>
        <v>0</v>
      </c>
      <c r="BE49" s="72">
        <f t="shared" si="28"/>
        <v>0</v>
      </c>
      <c r="BF49" s="39"/>
      <c r="BG49" s="42">
        <f t="shared" si="45"/>
        <v>0</v>
      </c>
      <c r="BH49" s="72">
        <f t="shared" si="29"/>
        <v>0</v>
      </c>
      <c r="BI49" s="39"/>
      <c r="BJ49" s="40"/>
      <c r="BK49" s="157"/>
      <c r="BL49" s="157"/>
      <c r="BM49" s="72"/>
      <c r="BN49" s="72" t="str">
        <f>IF(AND(ISNUMBER($F$16),$K49&lt;=$F$16),BQ49*('バイオマス（木質専焼）（2020年）'!$O$15+'バイオマス（木質専焼）（2020年）'!$BK$116)/'バイオマス（木質専焼）（2020年）'!$BL$116,"")</f>
        <v/>
      </c>
      <c r="BO49" s="72" t="str">
        <f t="shared" si="30"/>
        <v/>
      </c>
      <c r="BP49" s="39"/>
      <c r="BQ49" s="72">
        <f t="shared" si="46"/>
        <v>4056318000</v>
      </c>
      <c r="BR49" s="72">
        <f t="shared" si="31"/>
        <v>1441548073.4313221</v>
      </c>
    </row>
    <row r="50" spans="3:70" x14ac:dyDescent="0.15">
      <c r="C50" s="4" t="s">
        <v>579</v>
      </c>
      <c r="D50" s="100"/>
      <c r="E50" s="100"/>
      <c r="F50" s="4"/>
      <c r="G50" s="100"/>
      <c r="I50" s="457">
        <f t="shared" si="32"/>
        <v>2055</v>
      </c>
      <c r="J50" s="71"/>
      <c r="K50" s="71">
        <f t="shared" si="33"/>
        <v>36</v>
      </c>
      <c r="L50" s="71"/>
      <c r="M50" s="7">
        <f t="shared" si="0"/>
        <v>0.34503242505668674</v>
      </c>
      <c r="N50" s="71"/>
      <c r="O50" s="10">
        <f t="shared" si="16"/>
        <v>1.9073486328125E-6</v>
      </c>
      <c r="P50" s="29" t="str">
        <f t="shared" si="34"/>
        <v>-</v>
      </c>
      <c r="Q50" s="71"/>
      <c r="R50" s="10">
        <f t="shared" si="47"/>
        <v>8925000000</v>
      </c>
      <c r="S50" s="71"/>
      <c r="T50" s="10">
        <f t="shared" si="18"/>
        <v>8925000000</v>
      </c>
      <c r="U50" s="71"/>
      <c r="V50" s="10">
        <f t="shared" si="35"/>
        <v>0</v>
      </c>
      <c r="W50" s="10">
        <f t="shared" si="19"/>
        <v>0</v>
      </c>
      <c r="X50" s="71"/>
      <c r="Y50" s="10">
        <f t="shared" si="36"/>
        <v>124950000</v>
      </c>
      <c r="Z50" s="10">
        <f t="shared" si="20"/>
        <v>43111801.51083301</v>
      </c>
      <c r="AA50" s="71"/>
      <c r="AB50" s="10">
        <f t="shared" si="4"/>
        <v>0</v>
      </c>
      <c r="AC50" s="10">
        <f t="shared" si="21"/>
        <v>0</v>
      </c>
      <c r="AD50" s="71"/>
      <c r="AE50" s="10">
        <f t="shared" si="37"/>
        <v>0</v>
      </c>
      <c r="AF50" s="10">
        <f t="shared" si="22"/>
        <v>0</v>
      </c>
      <c r="AG50" s="71"/>
      <c r="AH50" s="10">
        <f t="shared" si="38"/>
        <v>440000000.00000006</v>
      </c>
      <c r="AI50" s="10">
        <f t="shared" si="23"/>
        <v>151814267.02494219</v>
      </c>
      <c r="AJ50" s="71"/>
      <c r="AK50" s="10">
        <f t="shared" si="39"/>
        <v>4284000000</v>
      </c>
      <c r="AL50" s="10">
        <f t="shared" si="24"/>
        <v>1478118908.9428461</v>
      </c>
      <c r="AM50" s="71"/>
      <c r="AN50" s="10">
        <f t="shared" si="40"/>
        <v>3927000000.0000005</v>
      </c>
      <c r="AO50" s="10">
        <f t="shared" si="25"/>
        <v>1354942333.1976089</v>
      </c>
      <c r="AP50" s="71"/>
      <c r="AQ50" s="10">
        <f t="shared" si="41"/>
        <v>1055422000</v>
      </c>
      <c r="AR50" s="10">
        <f t="shared" si="26"/>
        <v>364154812.11817843</v>
      </c>
      <c r="AS50" s="71"/>
      <c r="AT50" s="7">
        <f>IF($K50&lt;=$F$15,IF($F$40&lt;&gt;"",$F$40/1000,IF(ISERROR(VLOOKUP($F$3&amp;IF($G$4&lt;&gt;"",$G$4,"")&amp;IF($F$43&lt;&gt;"","_"&amp;$F$43,""),'表3）燃料価格'!$AF$9:$AG$25,2,0)),0,VLOOKUP($I50,'表3）燃料価格'!$A$6:$U$66,VLOOKUP($F$3&amp;IF($G$4&lt;&gt;"",$G$4,"")&amp;IF($F$43&lt;&gt;"","_"&amp;$F$43,""),'表3）燃料価格'!$AF$9:$AG$25,2,0)+VLOOKUP($F$41,'表3）燃料価格'!$AF$28:$AG$29,2,0),0)*IF($F$43="需要地価格",1,$F$8/$F$141))),"")</f>
        <v>10.731984216114272</v>
      </c>
      <c r="AU50" s="71"/>
      <c r="AV50" s="10">
        <f t="shared" si="42"/>
        <v>17693551381.594242</v>
      </c>
      <c r="AW50" s="10">
        <f t="shared" si="11"/>
        <v>6104848941.0565519</v>
      </c>
      <c r="AX50" s="71"/>
      <c r="AY50" s="7">
        <f>IF(ISERROR(IF($K50&lt;=$F$15,VLOOKUP($I50,'表4）CO2価格'!$A$7:$E$67,VLOOKUP($F$48,'表4）CO2価格'!$H$10:$I$12,2,0),0)*$F$8/1000,"")),0,IF($K50&lt;=$F$15,VLOOKUP($I50,'表4）CO2価格'!$A$7:$E$67,VLOOKUP($F$48,'表4）CO2価格'!$H$10:$I$12,2,0),0)*$F$8/1000,""))</f>
        <v>7.5442062994635668</v>
      </c>
      <c r="AZ50" s="71"/>
      <c r="BA50" s="11">
        <f t="shared" si="43"/>
        <v>23248758714.634335</v>
      </c>
      <c r="BB50" s="10">
        <f t="shared" si="27"/>
        <v>8021575598.8680639</v>
      </c>
      <c r="BC50" s="71"/>
      <c r="BD50" s="10">
        <f t="shared" si="44"/>
        <v>0</v>
      </c>
      <c r="BE50" s="10">
        <f t="shared" si="28"/>
        <v>0</v>
      </c>
      <c r="BF50" s="71"/>
      <c r="BG50" s="11">
        <f t="shared" si="45"/>
        <v>0</v>
      </c>
      <c r="BH50" s="10">
        <f t="shared" si="29"/>
        <v>0</v>
      </c>
      <c r="BJ50" s="7"/>
      <c r="BK50" s="158"/>
      <c r="BL50" s="158"/>
      <c r="BM50" s="10"/>
      <c r="BN50" s="10" t="str">
        <f>IF(AND(ISNUMBER($F$16),$K50&lt;=$F$16),BQ50*('バイオマス（木質専焼）（2020年）'!$O$15+'バイオマス（木質専焼）（2020年）'!$BK$116)/'バイオマス（木質専焼）（2020年）'!$BL$116,"")</f>
        <v/>
      </c>
      <c r="BO50" s="10" t="str">
        <f t="shared" si="30"/>
        <v/>
      </c>
      <c r="BQ50" s="10">
        <f t="shared" si="46"/>
        <v>4056318000</v>
      </c>
      <c r="BR50" s="10">
        <f t="shared" si="31"/>
        <v>1399561236.3410895</v>
      </c>
    </row>
    <row r="51" spans="3:70" x14ac:dyDescent="0.15">
      <c r="I51" s="38">
        <f t="shared" si="32"/>
        <v>2056</v>
      </c>
      <c r="J51" s="39"/>
      <c r="K51" s="39">
        <f t="shared" si="33"/>
        <v>37</v>
      </c>
      <c r="L51" s="39"/>
      <c r="M51" s="40">
        <f t="shared" si="0"/>
        <v>0.33498293694823961</v>
      </c>
      <c r="N51" s="39"/>
      <c r="O51" s="72">
        <f t="shared" si="16"/>
        <v>1.9073486328125E-6</v>
      </c>
      <c r="P51" s="41" t="str">
        <f t="shared" si="34"/>
        <v>-</v>
      </c>
      <c r="Q51" s="39"/>
      <c r="R51" s="72">
        <f t="shared" si="47"/>
        <v>8925000000</v>
      </c>
      <c r="S51" s="39"/>
      <c r="T51" s="72">
        <f t="shared" si="18"/>
        <v>8925000000</v>
      </c>
      <c r="U51" s="39"/>
      <c r="V51" s="72">
        <f t="shared" si="35"/>
        <v>0</v>
      </c>
      <c r="W51" s="72">
        <f t="shared" si="19"/>
        <v>0</v>
      </c>
      <c r="X51" s="39"/>
      <c r="Y51" s="72">
        <f t="shared" si="36"/>
        <v>124950000</v>
      </c>
      <c r="Z51" s="72">
        <f t="shared" si="20"/>
        <v>41856117.971682541</v>
      </c>
      <c r="AA51" s="39"/>
      <c r="AB51" s="72">
        <f t="shared" si="4"/>
        <v>0</v>
      </c>
      <c r="AC51" s="72">
        <f t="shared" si="21"/>
        <v>0</v>
      </c>
      <c r="AD51" s="39"/>
      <c r="AE51" s="72">
        <f t="shared" si="37"/>
        <v>0</v>
      </c>
      <c r="AF51" s="72">
        <f t="shared" si="22"/>
        <v>0</v>
      </c>
      <c r="AG51" s="39"/>
      <c r="AH51" s="72">
        <f t="shared" si="38"/>
        <v>440000000.00000006</v>
      </c>
      <c r="AI51" s="72">
        <f t="shared" si="23"/>
        <v>147392492.25722545</v>
      </c>
      <c r="AJ51" s="39"/>
      <c r="AK51" s="72">
        <f t="shared" si="39"/>
        <v>4284000000</v>
      </c>
      <c r="AL51" s="72">
        <f t="shared" si="24"/>
        <v>1435066901.8862584</v>
      </c>
      <c r="AM51" s="39"/>
      <c r="AN51" s="72">
        <f t="shared" si="40"/>
        <v>3927000000.0000005</v>
      </c>
      <c r="AO51" s="72">
        <f t="shared" si="25"/>
        <v>1315477993.3957372</v>
      </c>
      <c r="AP51" s="39"/>
      <c r="AQ51" s="72">
        <f t="shared" si="41"/>
        <v>1055422000</v>
      </c>
      <c r="AR51" s="72">
        <f t="shared" si="26"/>
        <v>353548361.27978492</v>
      </c>
      <c r="AS51" s="39"/>
      <c r="AT51" s="40">
        <f>IF($K51&lt;=$F$15,IF($F$40&lt;&gt;"",$F$40/1000,IF(ISERROR(VLOOKUP($F$3&amp;IF($G$4&lt;&gt;"",$G$4,"")&amp;IF($F$43&lt;&gt;"","_"&amp;$F$43,""),'表3）燃料価格'!$AF$9:$AG$25,2,0)),0,VLOOKUP($I51,'表3）燃料価格'!$A$6:$U$66,VLOOKUP($F$3&amp;IF($G$4&lt;&gt;"",$G$4,"")&amp;IF($F$43&lt;&gt;"","_"&amp;$F$43,""),'表3）燃料価格'!$AF$9:$AG$25,2,0)+VLOOKUP($F$41,'表3）燃料価格'!$AF$28:$AG$29,2,0),0)*IF($F$43="需要地価格",1,$F$8/$F$141))),"")</f>
        <v>10.721740339708749</v>
      </c>
      <c r="AU51" s="39"/>
      <c r="AV51" s="72">
        <f t="shared" si="42"/>
        <v>17679245309.584042</v>
      </c>
      <c r="AW51" s="72">
        <f t="shared" si="11"/>
        <v>5922245516.8328514</v>
      </c>
      <c r="AX51" s="39"/>
      <c r="AY51" s="40">
        <f>IF(ISERROR(IF($K51&lt;=$F$15,VLOOKUP($I51,'表4）CO2価格'!$A$7:$E$67,VLOOKUP($F$48,'表4）CO2価格'!$H$10:$I$12,2,0),0)*$F$8/1000,"")),0,IF($K51&lt;=$F$15,VLOOKUP($I51,'表4）CO2価格'!$A$7:$E$67,VLOOKUP($F$48,'表4）CO2価格'!$H$10:$I$12,2,0),0)*$F$8/1000,""))</f>
        <v>7.675477827818213</v>
      </c>
      <c r="AZ51" s="39"/>
      <c r="BA51" s="42">
        <f t="shared" si="43"/>
        <v>23653294323.507526</v>
      </c>
      <c r="BB51" s="72">
        <f t="shared" si="27"/>
        <v>7923450000.9896755</v>
      </c>
      <c r="BC51" s="39"/>
      <c r="BD51" s="72">
        <f t="shared" si="44"/>
        <v>0</v>
      </c>
      <c r="BE51" s="72">
        <f t="shared" si="28"/>
        <v>0</v>
      </c>
      <c r="BF51" s="39"/>
      <c r="BG51" s="42">
        <f t="shared" si="45"/>
        <v>0</v>
      </c>
      <c r="BH51" s="72">
        <f t="shared" si="29"/>
        <v>0</v>
      </c>
      <c r="BI51" s="39"/>
      <c r="BJ51" s="40"/>
      <c r="BK51" s="157"/>
      <c r="BL51" s="157"/>
      <c r="BM51" s="72"/>
      <c r="BN51" s="72" t="str">
        <f>IF(AND(ISNUMBER($F$16),$K51&lt;=$F$16),BQ51*('バイオマス（木質専焼）（2020年）'!$O$15+'バイオマス（木質専焼）（2020年）'!$BK$116)/'バイオマス（木質専焼）（2020年）'!$BL$116,"")</f>
        <v/>
      </c>
      <c r="BO51" s="72" t="str">
        <f t="shared" si="30"/>
        <v/>
      </c>
      <c r="BP51" s="39"/>
      <c r="BQ51" s="72">
        <f t="shared" si="46"/>
        <v>4056318000</v>
      </c>
      <c r="BR51" s="72">
        <f t="shared" si="31"/>
        <v>1358797316.8360095</v>
      </c>
    </row>
    <row r="52" spans="3:70" x14ac:dyDescent="0.15">
      <c r="D52" s="84" t="s">
        <v>185</v>
      </c>
      <c r="F52" s="478"/>
      <c r="G52" s="84" t="s">
        <v>549</v>
      </c>
      <c r="I52" s="457">
        <f t="shared" si="32"/>
        <v>2057</v>
      </c>
      <c r="J52" s="71"/>
      <c r="K52" s="71">
        <f t="shared" si="33"/>
        <v>38</v>
      </c>
      <c r="L52" s="71"/>
      <c r="M52" s="7">
        <f t="shared" si="0"/>
        <v>0.3252261523769317</v>
      </c>
      <c r="N52" s="71"/>
      <c r="O52" s="10">
        <f t="shared" si="16"/>
        <v>1.9073486328125E-6</v>
      </c>
      <c r="P52" s="29" t="str">
        <f t="shared" si="34"/>
        <v>-</v>
      </c>
      <c r="Q52" s="71"/>
      <c r="R52" s="10">
        <f t="shared" si="47"/>
        <v>8925000000</v>
      </c>
      <c r="S52" s="71"/>
      <c r="T52" s="10">
        <f t="shared" si="18"/>
        <v>8925000000</v>
      </c>
      <c r="U52" s="71"/>
      <c r="V52" s="10">
        <f t="shared" si="35"/>
        <v>0</v>
      </c>
      <c r="W52" s="10">
        <f t="shared" si="19"/>
        <v>0</v>
      </c>
      <c r="X52" s="71"/>
      <c r="Y52" s="10">
        <f t="shared" si="36"/>
        <v>124950000</v>
      </c>
      <c r="Z52" s="10">
        <f t="shared" si="20"/>
        <v>40637007.739497617</v>
      </c>
      <c r="AA52" s="71"/>
      <c r="AB52" s="10">
        <f t="shared" si="4"/>
        <v>0</v>
      </c>
      <c r="AC52" s="10">
        <f t="shared" si="21"/>
        <v>0</v>
      </c>
      <c r="AD52" s="71"/>
      <c r="AE52" s="10">
        <f t="shared" si="37"/>
        <v>0</v>
      </c>
      <c r="AF52" s="10">
        <f t="shared" si="22"/>
        <v>0</v>
      </c>
      <c r="AG52" s="71"/>
      <c r="AH52" s="10">
        <f t="shared" si="38"/>
        <v>440000000.00000006</v>
      </c>
      <c r="AI52" s="10">
        <f t="shared" si="23"/>
        <v>143099507.04584998</v>
      </c>
      <c r="AJ52" s="71"/>
      <c r="AK52" s="10">
        <f t="shared" si="39"/>
        <v>4284000000</v>
      </c>
      <c r="AL52" s="10">
        <f t="shared" si="24"/>
        <v>1393268836.7827754</v>
      </c>
      <c r="AM52" s="71"/>
      <c r="AN52" s="10">
        <f t="shared" si="40"/>
        <v>3927000000.0000005</v>
      </c>
      <c r="AO52" s="10">
        <f t="shared" si="25"/>
        <v>1277163100.3842108</v>
      </c>
      <c r="AP52" s="71"/>
      <c r="AQ52" s="10">
        <f t="shared" si="41"/>
        <v>1055422000</v>
      </c>
      <c r="AR52" s="10">
        <f t="shared" si="26"/>
        <v>343250836.19396603</v>
      </c>
      <c r="AS52" s="71"/>
      <c r="AT52" s="7">
        <f>IF($K52&lt;=$F$15,IF($F$40&lt;&gt;"",$F$40/1000,IF(ISERROR(VLOOKUP($F$3&amp;IF($G$4&lt;&gt;"",$G$4,"")&amp;IF($F$43&lt;&gt;"","_"&amp;$F$43,""),'表3）燃料価格'!$AF$9:$AG$25,2,0)),0,VLOOKUP($I52,'表3）燃料価格'!$A$6:$U$66,VLOOKUP($F$3&amp;IF($G$4&lt;&gt;"",$G$4,"")&amp;IF($F$43&lt;&gt;"","_"&amp;$F$43,""),'表3）燃料価格'!$AF$9:$AG$25,2,0)+VLOOKUP($F$41,'表3）燃料価格'!$AF$28:$AG$29,2,0),0)*IF($F$43="需要地価格",1,$F$8/$F$141))),"")</f>
        <v>10.711737518200525</v>
      </c>
      <c r="AU52" s="71"/>
      <c r="AV52" s="10">
        <f t="shared" si="42"/>
        <v>17665275882.471016</v>
      </c>
      <c r="AW52" s="10">
        <f t="shared" si="11"/>
        <v>5745209705.9330549</v>
      </c>
      <c r="AX52" s="71"/>
      <c r="AY52" s="7">
        <f>IF(ISERROR(IF($K52&lt;=$F$15,VLOOKUP($I52,'表4）CO2価格'!$A$7:$E$67,VLOOKUP($F$48,'表4）CO2価格'!$H$10:$I$12,2,0),0)*$F$8/1000,"")),0,IF($K52&lt;=$F$15,VLOOKUP($I52,'表4）CO2価格'!$A$7:$E$67,VLOOKUP($F$48,'表4）CO2価格'!$H$10:$I$12,2,0),0)*$F$8/1000,""))</f>
        <v>7.8066855236744779</v>
      </c>
      <c r="AZ52" s="71"/>
      <c r="BA52" s="11">
        <f t="shared" si="43"/>
        <v>24057633221.647457</v>
      </c>
      <c r="BB52" s="10">
        <f t="shared" si="27"/>
        <v>7824171487.9718504</v>
      </c>
      <c r="BC52" s="71"/>
      <c r="BD52" s="10">
        <f t="shared" si="44"/>
        <v>0</v>
      </c>
      <c r="BE52" s="10">
        <f t="shared" si="28"/>
        <v>0</v>
      </c>
      <c r="BF52" s="71"/>
      <c r="BG52" s="11">
        <f t="shared" si="45"/>
        <v>0</v>
      </c>
      <c r="BH52" s="10">
        <f t="shared" si="29"/>
        <v>0</v>
      </c>
      <c r="BJ52" s="7"/>
      <c r="BK52" s="158"/>
      <c r="BL52" s="158"/>
      <c r="BM52" s="10"/>
      <c r="BN52" s="10" t="str">
        <f>IF(AND(ISNUMBER($F$16),$K52&lt;=$F$16),BQ52*('バイオマス（木質専焼）（2020年）'!$O$15+'バイオマス（木質専焼）（2020年）'!$BK$116)/'バイオマス（木質専焼）（2020年）'!$BL$116,"")</f>
        <v/>
      </c>
      <c r="BO52" s="10" t="str">
        <f t="shared" si="30"/>
        <v/>
      </c>
      <c r="BQ52" s="10">
        <f t="shared" si="46"/>
        <v>4056318000</v>
      </c>
      <c r="BR52" s="10">
        <f t="shared" si="31"/>
        <v>1319220695.9572909</v>
      </c>
    </row>
    <row r="53" spans="3:70" x14ac:dyDescent="0.15">
      <c r="D53" s="84" t="s">
        <v>580</v>
      </c>
      <c r="F53" s="475"/>
      <c r="G53" s="84" t="s">
        <v>549</v>
      </c>
      <c r="I53" s="38">
        <f t="shared" si="32"/>
        <v>2058</v>
      </c>
      <c r="J53" s="39"/>
      <c r="K53" s="39">
        <f t="shared" si="33"/>
        <v>39</v>
      </c>
      <c r="L53" s="39"/>
      <c r="M53" s="40">
        <f t="shared" si="0"/>
        <v>0.31575354599702099</v>
      </c>
      <c r="N53" s="39"/>
      <c r="O53" s="72">
        <f t="shared" si="16"/>
        <v>1.9073486328125E-6</v>
      </c>
      <c r="P53" s="41" t="str">
        <f t="shared" si="34"/>
        <v>-</v>
      </c>
      <c r="Q53" s="39"/>
      <c r="R53" s="72">
        <f t="shared" si="47"/>
        <v>8925000000</v>
      </c>
      <c r="S53" s="39"/>
      <c r="T53" s="72">
        <f t="shared" si="18"/>
        <v>8925000000</v>
      </c>
      <c r="U53" s="39"/>
      <c r="V53" s="72">
        <f t="shared" si="35"/>
        <v>0</v>
      </c>
      <c r="W53" s="72">
        <f t="shared" si="19"/>
        <v>0</v>
      </c>
      <c r="X53" s="39"/>
      <c r="Y53" s="72">
        <f t="shared" si="36"/>
        <v>124950000</v>
      </c>
      <c r="Z53" s="72">
        <f t="shared" si="20"/>
        <v>39453405.57232777</v>
      </c>
      <c r="AA53" s="39"/>
      <c r="AB53" s="72">
        <f t="shared" si="4"/>
        <v>0</v>
      </c>
      <c r="AC53" s="72">
        <f t="shared" si="21"/>
        <v>0</v>
      </c>
      <c r="AD53" s="39"/>
      <c r="AE53" s="72">
        <f t="shared" si="37"/>
        <v>0</v>
      </c>
      <c r="AF53" s="72">
        <f t="shared" si="22"/>
        <v>0</v>
      </c>
      <c r="AG53" s="39"/>
      <c r="AH53" s="72">
        <f t="shared" si="38"/>
        <v>440000000.00000006</v>
      </c>
      <c r="AI53" s="72">
        <f t="shared" si="23"/>
        <v>138931560.23868924</v>
      </c>
      <c r="AJ53" s="39"/>
      <c r="AK53" s="72">
        <f t="shared" si="39"/>
        <v>4284000000</v>
      </c>
      <c r="AL53" s="72">
        <f t="shared" si="24"/>
        <v>1352688191.0512378</v>
      </c>
      <c r="AM53" s="39"/>
      <c r="AN53" s="72">
        <f t="shared" si="40"/>
        <v>3927000000.0000005</v>
      </c>
      <c r="AO53" s="72">
        <f t="shared" si="25"/>
        <v>1239964175.1303015</v>
      </c>
      <c r="AP53" s="39"/>
      <c r="AQ53" s="72">
        <f t="shared" si="41"/>
        <v>1055422000</v>
      </c>
      <c r="AR53" s="72">
        <f t="shared" si="26"/>
        <v>333253239.02326787</v>
      </c>
      <c r="AS53" s="39"/>
      <c r="AT53" s="40">
        <f>IF($K53&lt;=$F$15,IF($F$40&lt;&gt;"",$F$40/1000,IF(ISERROR(VLOOKUP($F$3&amp;IF($G$4&lt;&gt;"",$G$4,"")&amp;IF($F$43&lt;&gt;"","_"&amp;$F$43,""),'表3）燃料価格'!$AF$9:$AG$25,2,0)),0,VLOOKUP($I53,'表3）燃料価格'!$A$6:$U$66,VLOOKUP($F$3&amp;IF($G$4&lt;&gt;"",$G$4,"")&amp;IF($F$43&lt;&gt;"","_"&amp;$F$43,""),'表3）燃料価格'!$AF$9:$AG$25,2,0)+VLOOKUP($F$41,'表3）燃料価格'!$AF$28:$AG$29,2,0),0)*IF($F$43="需要地価格",1,$F$8/$F$141))),"")</f>
        <v>10.701964667106349</v>
      </c>
      <c r="AU53" s="39"/>
      <c r="AV53" s="72">
        <f t="shared" si="42"/>
        <v>17651627620.234772</v>
      </c>
      <c r="AW53" s="72">
        <f t="shared" si="11"/>
        <v>5573564013.708086</v>
      </c>
      <c r="AX53" s="39"/>
      <c r="AY53" s="40">
        <f>IF(ISERROR(IF($K53&lt;=$F$15,VLOOKUP($I53,'表4）CO2価格'!$A$7:$E$67,VLOOKUP($F$48,'表4）CO2価格'!$H$10:$I$12,2,0),0)*$F$8/1000,"")),0,IF($K53&lt;=$F$15,VLOOKUP($I53,'表4）CO2価格'!$A$7:$E$67,VLOOKUP($F$48,'表4）CO2価格'!$H$10:$I$12,2,0),0)*$F$8/1000,""))</f>
        <v>7.9378294490802217</v>
      </c>
      <c r="AZ53" s="39"/>
      <c r="BA53" s="42">
        <f t="shared" si="43"/>
        <v>24461775600.265198</v>
      </c>
      <c r="BB53" s="72">
        <f t="shared" si="27"/>
        <v>7723892387.1671429</v>
      </c>
      <c r="BC53" s="39"/>
      <c r="BD53" s="72">
        <f t="shared" si="44"/>
        <v>0</v>
      </c>
      <c r="BE53" s="72">
        <f t="shared" si="28"/>
        <v>0</v>
      </c>
      <c r="BF53" s="39"/>
      <c r="BG53" s="42">
        <f t="shared" si="45"/>
        <v>0</v>
      </c>
      <c r="BH53" s="72">
        <f t="shared" si="29"/>
        <v>0</v>
      </c>
      <c r="BI53" s="39"/>
      <c r="BJ53" s="40"/>
      <c r="BK53" s="157"/>
      <c r="BL53" s="157"/>
      <c r="BM53" s="72"/>
      <c r="BN53" s="72" t="str">
        <f>IF(AND(ISNUMBER($F$16),$K53&lt;=$F$16),BQ53*('バイオマス（木質専焼）（2020年）'!$O$15+'バイオマス（木質専焼）（2020年）'!$BK$116)/'バイオマス（木質専焼）（2020年）'!$BL$116,"")</f>
        <v/>
      </c>
      <c r="BO53" s="72" t="str">
        <f t="shared" si="30"/>
        <v/>
      </c>
      <c r="BP53" s="39"/>
      <c r="BQ53" s="72">
        <f t="shared" si="46"/>
        <v>4056318000</v>
      </c>
      <c r="BR53" s="72">
        <f t="shared" si="31"/>
        <v>1280796792.1915443</v>
      </c>
    </row>
    <row r="54" spans="3:70" x14ac:dyDescent="0.15">
      <c r="D54" s="84" t="s">
        <v>581</v>
      </c>
      <c r="F54" s="475"/>
      <c r="G54" s="84" t="s">
        <v>549</v>
      </c>
      <c r="I54" s="457">
        <f t="shared" si="32"/>
        <v>2059</v>
      </c>
      <c r="J54" s="71"/>
      <c r="K54" s="71">
        <f t="shared" si="33"/>
        <v>40</v>
      </c>
      <c r="L54" s="71"/>
      <c r="M54" s="7">
        <f t="shared" si="0"/>
        <v>0.30655684077380685</v>
      </c>
      <c r="N54" s="71"/>
      <c r="O54" s="10">
        <f t="shared" si="16"/>
        <v>1.9073486328125E-6</v>
      </c>
      <c r="P54" s="29" t="str">
        <f t="shared" si="34"/>
        <v>-</v>
      </c>
      <c r="Q54" s="71"/>
      <c r="R54" s="10">
        <f t="shared" si="47"/>
        <v>8925000000</v>
      </c>
      <c r="S54" s="71"/>
      <c r="T54" s="10">
        <f t="shared" si="18"/>
        <v>8925000000</v>
      </c>
      <c r="U54" s="71"/>
      <c r="V54" s="10">
        <f t="shared" si="35"/>
        <v>0</v>
      </c>
      <c r="W54" s="10">
        <f t="shared" si="19"/>
        <v>0</v>
      </c>
      <c r="X54" s="71"/>
      <c r="Y54" s="10">
        <f t="shared" si="36"/>
        <v>124950000</v>
      </c>
      <c r="Z54" s="10">
        <f t="shared" si="20"/>
        <v>38304277.254687168</v>
      </c>
      <c r="AA54" s="71"/>
      <c r="AB54" s="10">
        <f t="shared" si="4"/>
        <v>0</v>
      </c>
      <c r="AC54" s="10">
        <f t="shared" si="21"/>
        <v>0</v>
      </c>
      <c r="AD54" s="71"/>
      <c r="AE54" s="10">
        <f t="shared" si="37"/>
        <v>0</v>
      </c>
      <c r="AF54" s="10">
        <f t="shared" si="22"/>
        <v>0</v>
      </c>
      <c r="AG54" s="71"/>
      <c r="AH54" s="10">
        <f t="shared" si="38"/>
        <v>440000000.00000006</v>
      </c>
      <c r="AI54" s="10">
        <f t="shared" si="23"/>
        <v>134885009.94047505</v>
      </c>
      <c r="AJ54" s="71"/>
      <c r="AK54" s="10">
        <f t="shared" si="39"/>
        <v>4284000000</v>
      </c>
      <c r="AL54" s="10">
        <f t="shared" si="24"/>
        <v>1313289505.8749886</v>
      </c>
      <c r="AM54" s="71"/>
      <c r="AN54" s="10">
        <f t="shared" si="40"/>
        <v>3927000000.0000005</v>
      </c>
      <c r="AO54" s="10">
        <f t="shared" si="25"/>
        <v>1203848713.7187397</v>
      </c>
      <c r="AP54" s="71"/>
      <c r="AQ54" s="10">
        <f t="shared" si="41"/>
        <v>1055422000</v>
      </c>
      <c r="AR54" s="10">
        <f t="shared" si="26"/>
        <v>323546834.00317276</v>
      </c>
      <c r="AS54" s="71"/>
      <c r="AT54" s="7">
        <f>IF($K54&lt;=$F$15,IF($F$40&lt;&gt;"",$F$40/1000,IF(ISERROR(VLOOKUP($F$3&amp;IF($G$4&lt;&gt;"",$G$4,"")&amp;IF($F$43&lt;&gt;"","_"&amp;$F$43,""),'表3）燃料価格'!$AF$9:$AG$25,2,0)),0,VLOOKUP($I54,'表3）燃料価格'!$A$6:$U$66,VLOOKUP($F$3&amp;IF($G$4&lt;&gt;"",$G$4,"")&amp;IF($F$43&lt;&gt;"","_"&amp;$F$43,""),'表3）燃料価格'!$AF$9:$AG$25,2,0)+VLOOKUP($F$41,'表3）燃料価格'!$AF$28:$AG$29,2,0),0)*IF($F$43="需要地価格",1,$F$8/$F$141))),"")</f>
        <v>10.692411449341781</v>
      </c>
      <c r="AU54" s="71"/>
      <c r="AV54" s="10">
        <f t="shared" si="42"/>
        <v>17638286086.633747</v>
      </c>
      <c r="AW54" s="10">
        <f t="shared" si="11"/>
        <v>5407137259.3830347</v>
      </c>
      <c r="AX54" s="71"/>
      <c r="AY54" s="7">
        <f>IF(ISERROR(IF($K54&lt;=$F$15,VLOOKUP($I54,'表4）CO2価格'!$A$7:$E$67,VLOOKUP($F$48,'表4）CO2価格'!$H$10:$I$12,2,0),0)*$F$8/1000,"")),0,IF($K54&lt;=$F$15,VLOOKUP($I54,'表4）CO2価格'!$A$7:$E$67,VLOOKUP($F$48,'表4）CO2価格'!$H$10:$I$12,2,0),0)*$F$8/1000,""))</f>
        <v>8.0689096659945534</v>
      </c>
      <c r="AZ54" s="71"/>
      <c r="BA54" s="11">
        <f t="shared" si="43"/>
        <v>24865721650.298309</v>
      </c>
      <c r="BB54" s="10">
        <f t="shared" si="27"/>
        <v>7622757072.6763</v>
      </c>
      <c r="BC54" s="71"/>
      <c r="BD54" s="10">
        <f t="shared" si="44"/>
        <v>0</v>
      </c>
      <c r="BE54" s="10">
        <f t="shared" si="28"/>
        <v>0</v>
      </c>
      <c r="BF54" s="71"/>
      <c r="BG54" s="11">
        <f t="shared" si="45"/>
        <v>0</v>
      </c>
      <c r="BH54" s="10">
        <f t="shared" si="29"/>
        <v>0</v>
      </c>
      <c r="BJ54" s="7"/>
      <c r="BK54" s="158"/>
      <c r="BL54" s="158"/>
      <c r="BM54" s="10"/>
      <c r="BN54" s="10" t="str">
        <f>IF(AND(ISNUMBER($F$16),$K54&lt;=$F$16),BQ54*('バイオマス（木質専焼）（2020年）'!$O$15+'バイオマス（木質専焼）（2020年）'!$BK$116)/'バイオマス（木質専焼）（2020年）'!$BL$116,"")</f>
        <v/>
      </c>
      <c r="BO54" s="10" t="str">
        <f t="shared" si="30"/>
        <v/>
      </c>
      <c r="BQ54" s="10">
        <f t="shared" si="46"/>
        <v>4056318000</v>
      </c>
      <c r="BR54" s="10">
        <f t="shared" si="31"/>
        <v>1243492031.2539268</v>
      </c>
    </row>
    <row r="55" spans="3:70" ht="16.5" x14ac:dyDescent="0.15">
      <c r="D55" s="84" t="s">
        <v>582</v>
      </c>
      <c r="F55" s="475"/>
      <c r="G55" s="71" t="s">
        <v>561</v>
      </c>
      <c r="I55" s="38">
        <f>I54+1</f>
        <v>2060</v>
      </c>
      <c r="J55" s="39"/>
      <c r="K55" s="39">
        <f>IF(I55&lt;&gt;"",K54+1,"")</f>
        <v>41</v>
      </c>
      <c r="L55" s="39"/>
      <c r="M55" s="40">
        <f t="shared" si="0"/>
        <v>0.29762800075126877</v>
      </c>
      <c r="N55" s="39"/>
      <c r="O55" s="72" t="str">
        <f t="shared" si="16"/>
        <v/>
      </c>
      <c r="P55" s="41" t="str">
        <f t="shared" si="34"/>
        <v/>
      </c>
      <c r="Q55" s="39"/>
      <c r="R55" s="72" t="str">
        <f t="shared" si="47"/>
        <v/>
      </c>
      <c r="S55" s="39"/>
      <c r="T55" s="72" t="str">
        <f t="shared" si="18"/>
        <v/>
      </c>
      <c r="U55" s="39"/>
      <c r="V55" s="72" t="str">
        <f t="shared" si="35"/>
        <v/>
      </c>
      <c r="W55" s="72" t="str">
        <f t="shared" si="19"/>
        <v/>
      </c>
      <c r="X55" s="39"/>
      <c r="Y55" s="72" t="str">
        <f t="shared" si="36"/>
        <v/>
      </c>
      <c r="Z55" s="72" t="str">
        <f t="shared" si="20"/>
        <v/>
      </c>
      <c r="AA55" s="39"/>
      <c r="AB55" s="72">
        <f t="shared" si="4"/>
        <v>8925000000</v>
      </c>
      <c r="AC55" s="72">
        <f t="shared" si="21"/>
        <v>2656329906.7050738</v>
      </c>
      <c r="AD55" s="39"/>
      <c r="AE55" s="72" t="str">
        <f t="shared" si="37"/>
        <v/>
      </c>
      <c r="AF55" s="72" t="str">
        <f t="shared" si="22"/>
        <v/>
      </c>
      <c r="AG55" s="39"/>
      <c r="AH55" s="72" t="str">
        <f t="shared" si="38"/>
        <v/>
      </c>
      <c r="AI55" s="72" t="str">
        <f t="shared" si="23"/>
        <v/>
      </c>
      <c r="AJ55" s="39"/>
      <c r="AK55" s="72" t="str">
        <f t="shared" si="39"/>
        <v/>
      </c>
      <c r="AL55" s="72" t="str">
        <f t="shared" si="24"/>
        <v/>
      </c>
      <c r="AM55" s="39"/>
      <c r="AN55" s="72" t="str">
        <f t="shared" si="40"/>
        <v/>
      </c>
      <c r="AO55" s="72" t="str">
        <f t="shared" si="25"/>
        <v/>
      </c>
      <c r="AP55" s="39"/>
      <c r="AQ55" s="72" t="str">
        <f t="shared" si="41"/>
        <v/>
      </c>
      <c r="AR55" s="72" t="str">
        <f t="shared" si="26"/>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42"/>
        <v/>
      </c>
      <c r="AW55" s="72" t="str">
        <f t="shared" si="11"/>
        <v/>
      </c>
      <c r="AX55" s="39"/>
      <c r="AY55" s="40" t="str">
        <f>IF(ISERROR(IF($K55&lt;=$F$15,VLOOKUP($I55,'表4）CO2価格'!$A$7:$E$67,VLOOKUP($F$48,'表4）CO2価格'!$H$10:$I$12,2,0),0)*$F$8/1000,"")),0,IF($K55&lt;=$F$15,VLOOKUP($I55,'表4）CO2価格'!$A$7:$E$67,VLOOKUP($F$48,'表4）CO2価格'!$H$10:$I$12,2,0),0)*$F$8/1000,""))</f>
        <v/>
      </c>
      <c r="AZ55" s="39"/>
      <c r="BA55" s="42" t="str">
        <f t="shared" si="43"/>
        <v/>
      </c>
      <c r="BB55" s="72" t="str">
        <f t="shared" si="27"/>
        <v/>
      </c>
      <c r="BC55" s="39"/>
      <c r="BD55" s="72" t="str">
        <f t="shared" si="44"/>
        <v/>
      </c>
      <c r="BE55" s="72" t="str">
        <f t="shared" si="28"/>
        <v/>
      </c>
      <c r="BF55" s="39"/>
      <c r="BG55" s="42" t="str">
        <f t="shared" si="45"/>
        <v/>
      </c>
      <c r="BH55" s="72" t="str">
        <f t="shared" si="29"/>
        <v/>
      </c>
      <c r="BI55" s="39"/>
      <c r="BJ55" s="40"/>
      <c r="BK55" s="157"/>
      <c r="BL55" s="157"/>
      <c r="BM55" s="72"/>
      <c r="BN55" s="72" t="str">
        <f>IF(AND(ISNUMBER($F$16),$K55&lt;=$F$16),BQ55*('バイオマス（木質専焼）（2020年）'!$O$15+'バイオマス（木質専焼）（2020年）'!$BK$116)/'バイオマス（木質専焼）（2020年）'!$BL$116,"")</f>
        <v/>
      </c>
      <c r="BO55" s="72" t="str">
        <f t="shared" si="30"/>
        <v/>
      </c>
      <c r="BP55" s="39"/>
      <c r="BQ55" s="72" t="str">
        <f t="shared" si="46"/>
        <v/>
      </c>
      <c r="BR55" s="72" t="str">
        <f t="shared" si="31"/>
        <v/>
      </c>
    </row>
    <row r="56" spans="3:70" x14ac:dyDescent="0.15">
      <c r="D56" s="84" t="s">
        <v>583</v>
      </c>
      <c r="F56" s="481"/>
      <c r="G56" s="84" t="s">
        <v>574</v>
      </c>
      <c r="I56" s="457">
        <f t="shared" si="32"/>
        <v>2061</v>
      </c>
      <c r="J56" s="71"/>
      <c r="K56" s="71">
        <f t="shared" si="33"/>
        <v>42</v>
      </c>
      <c r="L56" s="71"/>
      <c r="M56" s="7">
        <f t="shared" si="0"/>
        <v>0.28895922403035801</v>
      </c>
      <c r="N56" s="71"/>
      <c r="O56" s="10" t="str">
        <f t="shared" si="16"/>
        <v/>
      </c>
      <c r="P56" s="29" t="str">
        <f t="shared" si="34"/>
        <v/>
      </c>
      <c r="Q56" s="71"/>
      <c r="R56" s="10" t="str">
        <f t="shared" si="47"/>
        <v/>
      </c>
      <c r="S56" s="71"/>
      <c r="T56" s="10" t="str">
        <f t="shared" si="18"/>
        <v/>
      </c>
      <c r="U56" s="71"/>
      <c r="V56" s="10" t="str">
        <f t="shared" si="35"/>
        <v/>
      </c>
      <c r="W56" s="10" t="str">
        <f t="shared" si="19"/>
        <v/>
      </c>
      <c r="X56" s="71"/>
      <c r="Y56" s="10" t="str">
        <f t="shared" si="36"/>
        <v/>
      </c>
      <c r="Z56" s="10" t="str">
        <f t="shared" si="20"/>
        <v/>
      </c>
      <c r="AA56" s="71"/>
      <c r="AB56" s="10" t="str">
        <f t="shared" si="4"/>
        <v/>
      </c>
      <c r="AC56" s="10" t="str">
        <f t="shared" si="21"/>
        <v/>
      </c>
      <c r="AD56" s="71"/>
      <c r="AE56" s="10" t="str">
        <f t="shared" si="37"/>
        <v/>
      </c>
      <c r="AF56" s="10" t="str">
        <f t="shared" si="22"/>
        <v/>
      </c>
      <c r="AG56" s="71"/>
      <c r="AH56" s="10" t="str">
        <f t="shared" si="38"/>
        <v/>
      </c>
      <c r="AI56" s="10" t="str">
        <f t="shared" si="23"/>
        <v/>
      </c>
      <c r="AJ56" s="71"/>
      <c r="AK56" s="10" t="str">
        <f t="shared" si="39"/>
        <v/>
      </c>
      <c r="AL56" s="10" t="str">
        <f t="shared" si="24"/>
        <v/>
      </c>
      <c r="AM56" s="71"/>
      <c r="AN56" s="10" t="str">
        <f t="shared" si="40"/>
        <v/>
      </c>
      <c r="AO56" s="10" t="str">
        <f t="shared" si="25"/>
        <v/>
      </c>
      <c r="AP56" s="71"/>
      <c r="AQ56" s="10" t="str">
        <f t="shared" si="41"/>
        <v/>
      </c>
      <c r="AR56" s="10" t="str">
        <f t="shared" si="26"/>
        <v/>
      </c>
      <c r="AS56" s="71"/>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U56" s="71"/>
      <c r="AV56" s="10" t="str">
        <f t="shared" si="42"/>
        <v/>
      </c>
      <c r="AW56" s="10" t="str">
        <f t="shared" si="11"/>
        <v/>
      </c>
      <c r="AX56" s="71"/>
      <c r="AY56" s="7" t="str">
        <f>IF(ISERROR(IF($K56&lt;=$F$15,VLOOKUP($I56,'表4）CO2価格'!$A$7:$E$67,VLOOKUP($F$48,'表4）CO2価格'!$H$10:$I$12,2,0),0)*$F$8/1000,"")),0,IF($K56&lt;=$F$15,VLOOKUP($I56,'表4）CO2価格'!$A$7:$E$67,VLOOKUP($F$48,'表4）CO2価格'!$H$10:$I$12,2,0),0)*$F$8/1000,""))</f>
        <v/>
      </c>
      <c r="AZ56" s="71"/>
      <c r="BA56" s="11" t="str">
        <f t="shared" si="43"/>
        <v/>
      </c>
      <c r="BB56" s="10" t="str">
        <f t="shared" si="27"/>
        <v/>
      </c>
      <c r="BC56" s="71"/>
      <c r="BD56" s="10" t="str">
        <f t="shared" si="44"/>
        <v/>
      </c>
      <c r="BE56" s="10" t="str">
        <f t="shared" si="28"/>
        <v/>
      </c>
      <c r="BF56" s="71"/>
      <c r="BG56" s="11" t="str">
        <f t="shared" si="45"/>
        <v/>
      </c>
      <c r="BH56" s="10" t="str">
        <f t="shared" si="29"/>
        <v/>
      </c>
      <c r="BJ56" s="7"/>
      <c r="BK56" s="158"/>
      <c r="BL56" s="158"/>
      <c r="BM56" s="10"/>
      <c r="BN56" s="10" t="str">
        <f>IF(AND(ISNUMBER($F$16),$K56&lt;=$F$16),BQ56*('バイオマス（木質専焼）（2020年）'!$O$15+'バイオマス（木質専焼）（2020年）'!$BK$116)/'バイオマス（木質専焼）（2020年）'!$BL$116,"")</f>
        <v/>
      </c>
      <c r="BO56" s="10" t="str">
        <f t="shared" si="30"/>
        <v/>
      </c>
      <c r="BQ56" s="10" t="str">
        <f t="shared" si="46"/>
        <v/>
      </c>
      <c r="BR56" s="10" t="str">
        <f t="shared" si="31"/>
        <v/>
      </c>
    </row>
    <row r="57" spans="3:70" x14ac:dyDescent="0.15">
      <c r="I57" s="38">
        <f t="shared" si="32"/>
        <v>2062</v>
      </c>
      <c r="J57" s="39"/>
      <c r="K57" s="39">
        <f t="shared" si="33"/>
        <v>43</v>
      </c>
      <c r="L57" s="39"/>
      <c r="M57" s="40">
        <f t="shared" si="0"/>
        <v>0.28054293595180391</v>
      </c>
      <c r="N57" s="39"/>
      <c r="O57" s="72" t="str">
        <f t="shared" si="16"/>
        <v/>
      </c>
      <c r="P57" s="41" t="str">
        <f t="shared" si="34"/>
        <v/>
      </c>
      <c r="Q57" s="39"/>
      <c r="R57" s="72" t="str">
        <f t="shared" si="47"/>
        <v/>
      </c>
      <c r="S57" s="39"/>
      <c r="T57" s="72" t="str">
        <f t="shared" si="18"/>
        <v/>
      </c>
      <c r="U57" s="39"/>
      <c r="V57" s="72" t="str">
        <f t="shared" si="35"/>
        <v/>
      </c>
      <c r="W57" s="72" t="str">
        <f t="shared" si="19"/>
        <v/>
      </c>
      <c r="X57" s="39"/>
      <c r="Y57" s="72" t="str">
        <f t="shared" si="36"/>
        <v/>
      </c>
      <c r="Z57" s="72" t="str">
        <f t="shared" si="20"/>
        <v/>
      </c>
      <c r="AA57" s="39"/>
      <c r="AB57" s="72" t="str">
        <f t="shared" si="4"/>
        <v/>
      </c>
      <c r="AC57" s="72" t="str">
        <f t="shared" si="21"/>
        <v/>
      </c>
      <c r="AD57" s="39"/>
      <c r="AE57" s="72" t="str">
        <f t="shared" si="37"/>
        <v/>
      </c>
      <c r="AF57" s="72" t="str">
        <f t="shared" si="22"/>
        <v/>
      </c>
      <c r="AG57" s="39"/>
      <c r="AH57" s="72" t="str">
        <f t="shared" si="38"/>
        <v/>
      </c>
      <c r="AI57" s="72" t="str">
        <f t="shared" si="23"/>
        <v/>
      </c>
      <c r="AJ57" s="39"/>
      <c r="AK57" s="72" t="str">
        <f t="shared" si="39"/>
        <v/>
      </c>
      <c r="AL57" s="72" t="str">
        <f t="shared" si="24"/>
        <v/>
      </c>
      <c r="AM57" s="39"/>
      <c r="AN57" s="72" t="str">
        <f t="shared" si="40"/>
        <v/>
      </c>
      <c r="AO57" s="72" t="str">
        <f t="shared" si="25"/>
        <v/>
      </c>
      <c r="AP57" s="39"/>
      <c r="AQ57" s="72" t="str">
        <f t="shared" si="41"/>
        <v/>
      </c>
      <c r="AR57" s="72" t="str">
        <f t="shared" si="26"/>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42"/>
        <v/>
      </c>
      <c r="AW57" s="72" t="str">
        <f t="shared" si="11"/>
        <v/>
      </c>
      <c r="AX57" s="39"/>
      <c r="AY57" s="40" t="str">
        <f>IF(ISERROR(IF($K57&lt;=$F$15,VLOOKUP($I57,'表4）CO2価格'!$A$7:$E$67,VLOOKUP($F$48,'表4）CO2価格'!$H$10:$I$12,2,0),0)*$F$8/1000,"")),0,IF($K57&lt;=$F$15,VLOOKUP($I57,'表4）CO2価格'!$A$7:$E$67,VLOOKUP($F$48,'表4）CO2価格'!$H$10:$I$12,2,0),0)*$F$8/1000,""))</f>
        <v/>
      </c>
      <c r="AZ57" s="39"/>
      <c r="BA57" s="42" t="str">
        <f t="shared" si="43"/>
        <v/>
      </c>
      <c r="BB57" s="72" t="str">
        <f t="shared" si="27"/>
        <v/>
      </c>
      <c r="BC57" s="39"/>
      <c r="BD57" s="72" t="str">
        <f t="shared" si="44"/>
        <v/>
      </c>
      <c r="BE57" s="72" t="str">
        <f t="shared" si="28"/>
        <v/>
      </c>
      <c r="BF57" s="39"/>
      <c r="BG57" s="42" t="str">
        <f t="shared" si="45"/>
        <v/>
      </c>
      <c r="BH57" s="72" t="str">
        <f t="shared" si="29"/>
        <v/>
      </c>
      <c r="BI57" s="39"/>
      <c r="BJ57" s="40"/>
      <c r="BK57" s="157"/>
      <c r="BL57" s="157"/>
      <c r="BM57" s="72"/>
      <c r="BN57" s="72" t="str">
        <f>IF(AND(ISNUMBER($F$16),$K57&lt;=$F$16),BQ57*('バイオマス（木質専焼）（2020年）'!$O$15+'バイオマス（木質専焼）（2020年）'!$BK$116)/'バイオマス（木質専焼）（2020年）'!$BL$116,"")</f>
        <v/>
      </c>
      <c r="BO57" s="72" t="str">
        <f t="shared" si="30"/>
        <v/>
      </c>
      <c r="BP57" s="39"/>
      <c r="BQ57" s="72" t="str">
        <f t="shared" si="46"/>
        <v/>
      </c>
      <c r="BR57" s="72" t="str">
        <f t="shared" si="31"/>
        <v/>
      </c>
    </row>
    <row r="58" spans="3:70" x14ac:dyDescent="0.15">
      <c r="C58" s="4" t="s">
        <v>584</v>
      </c>
      <c r="D58" s="100"/>
      <c r="E58" s="100"/>
      <c r="F58" s="4"/>
      <c r="G58" s="100"/>
      <c r="I58" s="457">
        <f t="shared" si="32"/>
        <v>2063</v>
      </c>
      <c r="J58" s="71"/>
      <c r="K58" s="71">
        <f t="shared" si="33"/>
        <v>44</v>
      </c>
      <c r="L58" s="71"/>
      <c r="M58" s="7">
        <f t="shared" si="0"/>
        <v>0.27237178247747956</v>
      </c>
      <c r="N58" s="71"/>
      <c r="O58" s="10" t="str">
        <f t="shared" si="16"/>
        <v/>
      </c>
      <c r="P58" s="29" t="str">
        <f t="shared" si="34"/>
        <v/>
      </c>
      <c r="Q58" s="71"/>
      <c r="R58" s="10" t="str">
        <f t="shared" si="47"/>
        <v/>
      </c>
      <c r="S58" s="71"/>
      <c r="T58" s="10" t="str">
        <f t="shared" si="18"/>
        <v/>
      </c>
      <c r="U58" s="71"/>
      <c r="V58" s="10" t="str">
        <f t="shared" si="35"/>
        <v/>
      </c>
      <c r="W58" s="10" t="str">
        <f t="shared" si="19"/>
        <v/>
      </c>
      <c r="X58" s="71"/>
      <c r="Y58" s="10" t="str">
        <f t="shared" si="36"/>
        <v/>
      </c>
      <c r="Z58" s="10" t="str">
        <f t="shared" si="20"/>
        <v/>
      </c>
      <c r="AA58" s="71"/>
      <c r="AB58" s="10" t="str">
        <f t="shared" si="4"/>
        <v/>
      </c>
      <c r="AC58" s="10" t="str">
        <f t="shared" si="21"/>
        <v/>
      </c>
      <c r="AD58" s="71"/>
      <c r="AE58" s="10" t="str">
        <f t="shared" si="37"/>
        <v/>
      </c>
      <c r="AF58" s="10" t="str">
        <f t="shared" si="22"/>
        <v/>
      </c>
      <c r="AG58" s="71"/>
      <c r="AH58" s="10" t="str">
        <f t="shared" si="38"/>
        <v/>
      </c>
      <c r="AI58" s="10" t="str">
        <f t="shared" si="23"/>
        <v/>
      </c>
      <c r="AJ58" s="71"/>
      <c r="AK58" s="10" t="str">
        <f t="shared" si="39"/>
        <v/>
      </c>
      <c r="AL58" s="10" t="str">
        <f t="shared" si="24"/>
        <v/>
      </c>
      <c r="AM58" s="71"/>
      <c r="AN58" s="10" t="str">
        <f t="shared" si="40"/>
        <v/>
      </c>
      <c r="AO58" s="10" t="str">
        <f t="shared" si="25"/>
        <v/>
      </c>
      <c r="AP58" s="71"/>
      <c r="AQ58" s="10" t="str">
        <f t="shared" si="41"/>
        <v/>
      </c>
      <c r="AR58" s="10" t="str">
        <f t="shared" si="26"/>
        <v/>
      </c>
      <c r="AS58" s="71"/>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U58" s="71"/>
      <c r="AV58" s="10" t="str">
        <f t="shared" si="42"/>
        <v/>
      </c>
      <c r="AW58" s="10" t="str">
        <f t="shared" si="11"/>
        <v/>
      </c>
      <c r="AX58" s="71"/>
      <c r="AY58" s="7" t="str">
        <f>IF(ISERROR(IF($K58&lt;=$F$15,VLOOKUP($I58,'表4）CO2価格'!$A$7:$E$67,VLOOKUP($F$48,'表4）CO2価格'!$H$10:$I$12,2,0),0)*$F$8/1000,"")),0,IF($K58&lt;=$F$15,VLOOKUP($I58,'表4）CO2価格'!$A$7:$E$67,VLOOKUP($F$48,'表4）CO2価格'!$H$10:$I$12,2,0),0)*$F$8/1000,""))</f>
        <v/>
      </c>
      <c r="AZ58" s="71"/>
      <c r="BA58" s="11" t="str">
        <f t="shared" si="43"/>
        <v/>
      </c>
      <c r="BB58" s="10" t="str">
        <f t="shared" si="27"/>
        <v/>
      </c>
      <c r="BC58" s="71"/>
      <c r="BD58" s="10" t="str">
        <f t="shared" si="44"/>
        <v/>
      </c>
      <c r="BE58" s="10" t="str">
        <f t="shared" si="28"/>
        <v/>
      </c>
      <c r="BF58" s="71"/>
      <c r="BG58" s="11" t="str">
        <f t="shared" si="45"/>
        <v/>
      </c>
      <c r="BH58" s="10" t="str">
        <f t="shared" si="29"/>
        <v/>
      </c>
      <c r="BJ58" s="7"/>
      <c r="BK58" s="158"/>
      <c r="BL58" s="158"/>
      <c r="BM58" s="10"/>
      <c r="BN58" s="10" t="str">
        <f>IF(AND(ISNUMBER($F$16),$K58&lt;=$F$16),BQ58*('バイオマス（木質専焼）（2020年）'!$O$15+'バイオマス（木質専焼）（2020年）'!$BK$116)/'バイオマス（木質専焼）（2020年）'!$BL$116,"")</f>
        <v/>
      </c>
      <c r="BO58" s="10" t="str">
        <f t="shared" si="30"/>
        <v/>
      </c>
      <c r="BQ58" s="10" t="str">
        <f t="shared" si="46"/>
        <v/>
      </c>
      <c r="BR58" s="10" t="str">
        <f t="shared" si="31"/>
        <v/>
      </c>
    </row>
    <row r="59" spans="3:70" x14ac:dyDescent="0.15">
      <c r="I59" s="38">
        <f t="shared" si="32"/>
        <v>2064</v>
      </c>
      <c r="J59" s="39"/>
      <c r="K59" s="39">
        <f t="shared" si="33"/>
        <v>45</v>
      </c>
      <c r="L59" s="39"/>
      <c r="M59" s="40">
        <f t="shared" si="0"/>
        <v>0.26443862376454325</v>
      </c>
      <c r="N59" s="39"/>
      <c r="O59" s="72" t="str">
        <f t="shared" si="16"/>
        <v/>
      </c>
      <c r="P59" s="41" t="str">
        <f t="shared" si="34"/>
        <v/>
      </c>
      <c r="Q59" s="39"/>
      <c r="R59" s="72" t="str">
        <f t="shared" si="47"/>
        <v/>
      </c>
      <c r="S59" s="39"/>
      <c r="T59" s="72" t="str">
        <f t="shared" si="18"/>
        <v/>
      </c>
      <c r="U59" s="39"/>
      <c r="V59" s="72" t="str">
        <f t="shared" si="35"/>
        <v/>
      </c>
      <c r="W59" s="72" t="str">
        <f t="shared" si="19"/>
        <v/>
      </c>
      <c r="X59" s="39"/>
      <c r="Y59" s="72" t="str">
        <f t="shared" si="36"/>
        <v/>
      </c>
      <c r="Z59" s="72" t="str">
        <f t="shared" si="20"/>
        <v/>
      </c>
      <c r="AA59" s="39"/>
      <c r="AB59" s="72" t="str">
        <f t="shared" si="4"/>
        <v/>
      </c>
      <c r="AC59" s="72" t="str">
        <f t="shared" si="21"/>
        <v/>
      </c>
      <c r="AD59" s="39"/>
      <c r="AE59" s="72" t="str">
        <f t="shared" si="37"/>
        <v/>
      </c>
      <c r="AF59" s="72" t="str">
        <f t="shared" si="22"/>
        <v/>
      </c>
      <c r="AG59" s="39"/>
      <c r="AH59" s="72" t="str">
        <f t="shared" si="38"/>
        <v/>
      </c>
      <c r="AI59" s="72" t="str">
        <f t="shared" si="23"/>
        <v/>
      </c>
      <c r="AJ59" s="39"/>
      <c r="AK59" s="72" t="str">
        <f t="shared" si="39"/>
        <v/>
      </c>
      <c r="AL59" s="72" t="str">
        <f t="shared" si="24"/>
        <v/>
      </c>
      <c r="AM59" s="39"/>
      <c r="AN59" s="72" t="str">
        <f t="shared" si="40"/>
        <v/>
      </c>
      <c r="AO59" s="72" t="str">
        <f t="shared" si="25"/>
        <v/>
      </c>
      <c r="AP59" s="39"/>
      <c r="AQ59" s="72" t="str">
        <f t="shared" si="41"/>
        <v/>
      </c>
      <c r="AR59" s="72" t="str">
        <f t="shared" si="26"/>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42"/>
        <v/>
      </c>
      <c r="AW59" s="72" t="str">
        <f t="shared" si="11"/>
        <v/>
      </c>
      <c r="AX59" s="39"/>
      <c r="AY59" s="40" t="str">
        <f>IF(ISERROR(IF($K59&lt;=$F$15,VLOOKUP($I59,'表4）CO2価格'!$A$7:$E$67,VLOOKUP($F$48,'表4）CO2価格'!$H$10:$I$12,2,0),0)*$F$8/1000,"")),0,IF($K59&lt;=$F$15,VLOOKUP($I59,'表4）CO2価格'!$A$7:$E$67,VLOOKUP($F$48,'表4）CO2価格'!$H$10:$I$12,2,0),0)*$F$8/1000,""))</f>
        <v/>
      </c>
      <c r="AZ59" s="39"/>
      <c r="BA59" s="42" t="str">
        <f t="shared" si="43"/>
        <v/>
      </c>
      <c r="BB59" s="72" t="str">
        <f t="shared" si="27"/>
        <v/>
      </c>
      <c r="BC59" s="39"/>
      <c r="BD59" s="72" t="str">
        <f t="shared" si="44"/>
        <v/>
      </c>
      <c r="BE59" s="72" t="str">
        <f t="shared" si="28"/>
        <v/>
      </c>
      <c r="BF59" s="39"/>
      <c r="BG59" s="42" t="str">
        <f t="shared" si="45"/>
        <v/>
      </c>
      <c r="BH59" s="72" t="str">
        <f t="shared" si="29"/>
        <v/>
      </c>
      <c r="BI59" s="39"/>
      <c r="BJ59" s="40"/>
      <c r="BK59" s="157"/>
      <c r="BL59" s="157"/>
      <c r="BM59" s="72"/>
      <c r="BN59" s="72" t="str">
        <f>IF(AND(ISNUMBER($F$16),$K59&lt;=$F$16),BQ59*('バイオマス（木質専焼）（2020年）'!$O$15+'バイオマス（木質専焼）（2020年）'!$BK$116)/'バイオマス（木質専焼）（2020年）'!$BL$116,"")</f>
        <v/>
      </c>
      <c r="BO59" s="72" t="str">
        <f t="shared" si="30"/>
        <v/>
      </c>
      <c r="BP59" s="39"/>
      <c r="BQ59" s="72" t="str">
        <f t="shared" si="46"/>
        <v/>
      </c>
      <c r="BR59" s="72" t="str">
        <f t="shared" si="31"/>
        <v/>
      </c>
    </row>
    <row r="60" spans="3:70" x14ac:dyDescent="0.15">
      <c r="D60" s="84" t="s">
        <v>585</v>
      </c>
      <c r="F60" s="481"/>
      <c r="G60" s="84" t="s">
        <v>566</v>
      </c>
      <c r="I60" s="457">
        <f t="shared" si="32"/>
        <v>2065</v>
      </c>
      <c r="J60" s="71"/>
      <c r="K60" s="71">
        <f t="shared" si="33"/>
        <v>46</v>
      </c>
      <c r="L60" s="71"/>
      <c r="M60" s="7">
        <f t="shared" si="0"/>
        <v>0.25673652792674101</v>
      </c>
      <c r="N60" s="71"/>
      <c r="O60" s="10" t="str">
        <f t="shared" si="16"/>
        <v/>
      </c>
      <c r="P60" s="29" t="str">
        <f t="shared" si="34"/>
        <v/>
      </c>
      <c r="Q60" s="71"/>
      <c r="R60" s="10" t="str">
        <f t="shared" si="47"/>
        <v/>
      </c>
      <c r="S60" s="71"/>
      <c r="T60" s="10" t="str">
        <f t="shared" si="18"/>
        <v/>
      </c>
      <c r="U60" s="71"/>
      <c r="V60" s="10" t="str">
        <f t="shared" si="35"/>
        <v/>
      </c>
      <c r="W60" s="10" t="str">
        <f t="shared" si="19"/>
        <v/>
      </c>
      <c r="X60" s="71"/>
      <c r="Y60" s="10" t="str">
        <f t="shared" si="36"/>
        <v/>
      </c>
      <c r="Z60" s="10" t="str">
        <f t="shared" si="20"/>
        <v/>
      </c>
      <c r="AA60" s="71"/>
      <c r="AB60" s="10" t="str">
        <f t="shared" si="4"/>
        <v/>
      </c>
      <c r="AC60" s="10" t="str">
        <f t="shared" si="21"/>
        <v/>
      </c>
      <c r="AD60" s="71"/>
      <c r="AE60" s="10" t="str">
        <f t="shared" si="37"/>
        <v/>
      </c>
      <c r="AF60" s="10" t="str">
        <f t="shared" si="22"/>
        <v/>
      </c>
      <c r="AG60" s="71"/>
      <c r="AH60" s="10" t="str">
        <f t="shared" si="38"/>
        <v/>
      </c>
      <c r="AI60" s="10" t="str">
        <f t="shared" si="23"/>
        <v/>
      </c>
      <c r="AJ60" s="71"/>
      <c r="AK60" s="10" t="str">
        <f t="shared" si="39"/>
        <v/>
      </c>
      <c r="AL60" s="10" t="str">
        <f t="shared" si="24"/>
        <v/>
      </c>
      <c r="AM60" s="71"/>
      <c r="AN60" s="10" t="str">
        <f t="shared" si="40"/>
        <v/>
      </c>
      <c r="AO60" s="10" t="str">
        <f t="shared" si="25"/>
        <v/>
      </c>
      <c r="AP60" s="71"/>
      <c r="AQ60" s="10" t="str">
        <f t="shared" si="41"/>
        <v/>
      </c>
      <c r="AR60" s="10" t="str">
        <f t="shared" si="26"/>
        <v/>
      </c>
      <c r="AS60" s="71"/>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U60" s="71"/>
      <c r="AV60" s="10" t="str">
        <f t="shared" si="42"/>
        <v/>
      </c>
      <c r="AW60" s="10" t="str">
        <f t="shared" si="11"/>
        <v/>
      </c>
      <c r="AX60" s="71"/>
      <c r="AY60" s="7" t="str">
        <f>IF(ISERROR(IF($K60&lt;=$F$15,VLOOKUP($I60,'表4）CO2価格'!$A$7:$E$67,VLOOKUP($F$48,'表4）CO2価格'!$H$10:$I$12,2,0),0)*$F$8/1000,"")),0,IF($K60&lt;=$F$15,VLOOKUP($I60,'表4）CO2価格'!$A$7:$E$67,VLOOKUP($F$48,'表4）CO2価格'!$H$10:$I$12,2,0),0)*$F$8/1000,""))</f>
        <v/>
      </c>
      <c r="AZ60" s="71"/>
      <c r="BA60" s="11" t="str">
        <f t="shared" si="43"/>
        <v/>
      </c>
      <c r="BB60" s="10" t="str">
        <f t="shared" si="27"/>
        <v/>
      </c>
      <c r="BC60" s="71"/>
      <c r="BD60" s="10" t="str">
        <f t="shared" si="44"/>
        <v/>
      </c>
      <c r="BE60" s="10" t="str">
        <f t="shared" si="28"/>
        <v/>
      </c>
      <c r="BF60" s="71"/>
      <c r="BG60" s="11" t="str">
        <f t="shared" si="45"/>
        <v/>
      </c>
      <c r="BH60" s="10" t="str">
        <f t="shared" si="29"/>
        <v/>
      </c>
      <c r="BJ60" s="7"/>
      <c r="BK60" s="158"/>
      <c r="BL60" s="158"/>
      <c r="BM60" s="10"/>
      <c r="BN60" s="10" t="str">
        <f>IF(AND(ISNUMBER($F$16),$K60&lt;=$F$16),BQ60*('バイオマス（木質専焼）（2020年）'!$O$15+'バイオマス（木質専焼）（2020年）'!$BK$116)/'バイオマス（木質専焼）（2020年）'!$BL$116,"")</f>
        <v/>
      </c>
      <c r="BO60" s="10" t="str">
        <f t="shared" si="30"/>
        <v/>
      </c>
      <c r="BQ60" s="10" t="str">
        <f t="shared" si="46"/>
        <v/>
      </c>
      <c r="BR60" s="10" t="str">
        <f t="shared" si="31"/>
        <v/>
      </c>
    </row>
    <row r="61" spans="3:70" x14ac:dyDescent="0.15">
      <c r="D61" s="84" t="s">
        <v>586</v>
      </c>
      <c r="F61" s="475"/>
      <c r="G61" s="84" t="s">
        <v>556</v>
      </c>
      <c r="I61" s="38">
        <f t="shared" si="32"/>
        <v>2066</v>
      </c>
      <c r="J61" s="39"/>
      <c r="K61" s="39">
        <f t="shared" si="33"/>
        <v>47</v>
      </c>
      <c r="L61" s="39"/>
      <c r="M61" s="40">
        <f t="shared" si="0"/>
        <v>0.24925876497741845</v>
      </c>
      <c r="N61" s="39"/>
      <c r="O61" s="72" t="str">
        <f t="shared" si="16"/>
        <v/>
      </c>
      <c r="P61" s="41" t="str">
        <f t="shared" si="34"/>
        <v/>
      </c>
      <c r="Q61" s="39"/>
      <c r="R61" s="72" t="str">
        <f t="shared" si="47"/>
        <v/>
      </c>
      <c r="S61" s="39"/>
      <c r="T61" s="72" t="str">
        <f t="shared" si="18"/>
        <v/>
      </c>
      <c r="U61" s="39"/>
      <c r="V61" s="72" t="str">
        <f t="shared" si="35"/>
        <v/>
      </c>
      <c r="W61" s="72" t="str">
        <f t="shared" si="19"/>
        <v/>
      </c>
      <c r="X61" s="39"/>
      <c r="Y61" s="72" t="str">
        <f t="shared" si="36"/>
        <v/>
      </c>
      <c r="Z61" s="72" t="str">
        <f t="shared" si="20"/>
        <v/>
      </c>
      <c r="AA61" s="39"/>
      <c r="AB61" s="72" t="str">
        <f t="shared" si="4"/>
        <v/>
      </c>
      <c r="AC61" s="72" t="str">
        <f t="shared" si="21"/>
        <v/>
      </c>
      <c r="AD61" s="39"/>
      <c r="AE61" s="72" t="str">
        <f t="shared" si="37"/>
        <v/>
      </c>
      <c r="AF61" s="72" t="str">
        <f t="shared" si="22"/>
        <v/>
      </c>
      <c r="AG61" s="39"/>
      <c r="AH61" s="72" t="str">
        <f t="shared" si="38"/>
        <v/>
      </c>
      <c r="AI61" s="72" t="str">
        <f t="shared" si="23"/>
        <v/>
      </c>
      <c r="AJ61" s="39"/>
      <c r="AK61" s="72" t="str">
        <f t="shared" si="39"/>
        <v/>
      </c>
      <c r="AL61" s="72" t="str">
        <f t="shared" si="24"/>
        <v/>
      </c>
      <c r="AM61" s="39"/>
      <c r="AN61" s="72" t="str">
        <f t="shared" si="40"/>
        <v/>
      </c>
      <c r="AO61" s="72" t="str">
        <f t="shared" si="25"/>
        <v/>
      </c>
      <c r="AP61" s="39"/>
      <c r="AQ61" s="72" t="str">
        <f t="shared" si="41"/>
        <v/>
      </c>
      <c r="AR61" s="72" t="str">
        <f t="shared" si="26"/>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42"/>
        <v/>
      </c>
      <c r="AW61" s="72" t="str">
        <f t="shared" si="11"/>
        <v/>
      </c>
      <c r="AX61" s="39"/>
      <c r="AY61" s="40" t="str">
        <f>IF(ISERROR(IF($K61&lt;=$F$15,VLOOKUP($I61,'表4）CO2価格'!$A$7:$E$67,VLOOKUP($F$48,'表4）CO2価格'!$H$10:$I$12,2,0),0)*$F$8/1000,"")),0,IF($K61&lt;=$F$15,VLOOKUP($I61,'表4）CO2価格'!$A$7:$E$67,VLOOKUP($F$48,'表4）CO2価格'!$H$10:$I$12,2,0),0)*$F$8/1000,""))</f>
        <v/>
      </c>
      <c r="AZ61" s="39"/>
      <c r="BA61" s="42" t="str">
        <f t="shared" si="43"/>
        <v/>
      </c>
      <c r="BB61" s="72" t="str">
        <f t="shared" si="27"/>
        <v/>
      </c>
      <c r="BC61" s="39"/>
      <c r="BD61" s="72" t="str">
        <f t="shared" si="44"/>
        <v/>
      </c>
      <c r="BE61" s="72" t="str">
        <f t="shared" si="28"/>
        <v/>
      </c>
      <c r="BF61" s="39"/>
      <c r="BG61" s="42" t="str">
        <f t="shared" si="45"/>
        <v/>
      </c>
      <c r="BH61" s="72" t="str">
        <f t="shared" si="29"/>
        <v/>
      </c>
      <c r="BI61" s="39"/>
      <c r="BJ61" s="40"/>
      <c r="BK61" s="157"/>
      <c r="BL61" s="157"/>
      <c r="BM61" s="72"/>
      <c r="BN61" s="72" t="str">
        <f>IF(AND(ISNUMBER($F$16),$K61&lt;=$F$16),BQ61*('バイオマス（木質専焼）（2020年）'!$O$15+'バイオマス（木質専焼）（2020年）'!$BK$116)/'バイオマス（木質専焼）（2020年）'!$BL$116,"")</f>
        <v/>
      </c>
      <c r="BO61" s="72" t="str">
        <f t="shared" si="30"/>
        <v/>
      </c>
      <c r="BP61" s="39"/>
      <c r="BQ61" s="72" t="str">
        <f t="shared" si="46"/>
        <v/>
      </c>
      <c r="BR61" s="72" t="str">
        <f t="shared" si="31"/>
        <v/>
      </c>
    </row>
    <row r="62" spans="3:70" x14ac:dyDescent="0.15">
      <c r="D62" s="84" t="s">
        <v>587</v>
      </c>
      <c r="F62" s="481"/>
      <c r="G62" s="84" t="s">
        <v>588</v>
      </c>
      <c r="I62" s="457">
        <f t="shared" si="32"/>
        <v>2067</v>
      </c>
      <c r="J62" s="71"/>
      <c r="K62" s="71">
        <f t="shared" si="33"/>
        <v>48</v>
      </c>
      <c r="L62" s="71"/>
      <c r="M62" s="7">
        <f t="shared" si="0"/>
        <v>0.24199880094894996</v>
      </c>
      <c r="N62" s="71"/>
      <c r="O62" s="10" t="str">
        <f t="shared" si="16"/>
        <v/>
      </c>
      <c r="P62" s="29" t="str">
        <f t="shared" si="34"/>
        <v/>
      </c>
      <c r="Q62" s="71"/>
      <c r="R62" s="10" t="str">
        <f t="shared" si="47"/>
        <v/>
      </c>
      <c r="S62" s="71"/>
      <c r="T62" s="10" t="str">
        <f t="shared" si="18"/>
        <v/>
      </c>
      <c r="U62" s="71"/>
      <c r="V62" s="10" t="str">
        <f t="shared" si="35"/>
        <v/>
      </c>
      <c r="W62" s="10" t="str">
        <f t="shared" si="19"/>
        <v/>
      </c>
      <c r="X62" s="71"/>
      <c r="Y62" s="10" t="str">
        <f t="shared" si="36"/>
        <v/>
      </c>
      <c r="Z62" s="10" t="str">
        <f t="shared" si="20"/>
        <v/>
      </c>
      <c r="AA62" s="71"/>
      <c r="AB62" s="10" t="str">
        <f t="shared" si="4"/>
        <v/>
      </c>
      <c r="AC62" s="10" t="str">
        <f t="shared" si="21"/>
        <v/>
      </c>
      <c r="AD62" s="71"/>
      <c r="AE62" s="10" t="str">
        <f t="shared" si="37"/>
        <v/>
      </c>
      <c r="AF62" s="10" t="str">
        <f t="shared" si="22"/>
        <v/>
      </c>
      <c r="AG62" s="71"/>
      <c r="AH62" s="10" t="str">
        <f t="shared" si="38"/>
        <v/>
      </c>
      <c r="AI62" s="10" t="str">
        <f t="shared" si="23"/>
        <v/>
      </c>
      <c r="AJ62" s="71"/>
      <c r="AK62" s="10" t="str">
        <f t="shared" si="39"/>
        <v/>
      </c>
      <c r="AL62" s="10" t="str">
        <f t="shared" si="24"/>
        <v/>
      </c>
      <c r="AM62" s="71"/>
      <c r="AN62" s="10" t="str">
        <f t="shared" si="40"/>
        <v/>
      </c>
      <c r="AO62" s="10" t="str">
        <f t="shared" si="25"/>
        <v/>
      </c>
      <c r="AP62" s="71"/>
      <c r="AQ62" s="10" t="str">
        <f t="shared" si="41"/>
        <v/>
      </c>
      <c r="AR62" s="10" t="str">
        <f t="shared" si="26"/>
        <v/>
      </c>
      <c r="AS62" s="71"/>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U62" s="71"/>
      <c r="AV62" s="10" t="str">
        <f t="shared" si="42"/>
        <v/>
      </c>
      <c r="AW62" s="10" t="str">
        <f t="shared" si="11"/>
        <v/>
      </c>
      <c r="AX62" s="71"/>
      <c r="AY62" s="7" t="str">
        <f>IF(ISERROR(IF($K62&lt;=$F$15,VLOOKUP($I62,'表4）CO2価格'!$A$7:$E$67,VLOOKUP($F$48,'表4）CO2価格'!$H$10:$I$12,2,0),0)*$F$8/1000,"")),0,IF($K62&lt;=$F$15,VLOOKUP($I62,'表4）CO2価格'!$A$7:$E$67,VLOOKUP($F$48,'表4）CO2価格'!$H$10:$I$12,2,0),0)*$F$8/1000,""))</f>
        <v/>
      </c>
      <c r="AZ62" s="71"/>
      <c r="BA62" s="11" t="str">
        <f t="shared" si="43"/>
        <v/>
      </c>
      <c r="BB62" s="10" t="str">
        <f t="shared" si="27"/>
        <v/>
      </c>
      <c r="BC62" s="71"/>
      <c r="BD62" s="10" t="str">
        <f t="shared" si="44"/>
        <v/>
      </c>
      <c r="BE62" s="10" t="str">
        <f t="shared" si="28"/>
        <v/>
      </c>
      <c r="BF62" s="71"/>
      <c r="BG62" s="11" t="str">
        <f t="shared" si="45"/>
        <v/>
      </c>
      <c r="BH62" s="10" t="str">
        <f t="shared" si="29"/>
        <v/>
      </c>
      <c r="BJ62" s="7"/>
      <c r="BK62" s="158"/>
      <c r="BL62" s="158"/>
      <c r="BM62" s="10"/>
      <c r="BN62" s="10" t="str">
        <f>IF(AND(ISNUMBER($F$16),$K62&lt;=$F$16),BQ62*('バイオマス（木質専焼）（2020年）'!$O$15+'バイオマス（木質専焼）（2020年）'!$BK$116)/'バイオマス（木質専焼）（2020年）'!$BL$116,"")</f>
        <v/>
      </c>
      <c r="BO62" s="10" t="str">
        <f t="shared" si="30"/>
        <v/>
      </c>
      <c r="BQ62" s="10" t="str">
        <f t="shared" si="46"/>
        <v/>
      </c>
      <c r="BR62" s="10" t="str">
        <f t="shared" si="31"/>
        <v/>
      </c>
    </row>
    <row r="63" spans="3:70" x14ac:dyDescent="0.15">
      <c r="I63" s="38">
        <f t="shared" si="32"/>
        <v>2068</v>
      </c>
      <c r="J63" s="39"/>
      <c r="K63" s="39">
        <f t="shared" si="33"/>
        <v>49</v>
      </c>
      <c r="L63" s="39"/>
      <c r="M63" s="40">
        <f t="shared" si="0"/>
        <v>0.2349502921834466</v>
      </c>
      <c r="N63" s="39"/>
      <c r="O63" s="72" t="str">
        <f t="shared" si="16"/>
        <v/>
      </c>
      <c r="P63" s="41" t="str">
        <f t="shared" si="34"/>
        <v/>
      </c>
      <c r="Q63" s="39"/>
      <c r="R63" s="72" t="str">
        <f t="shared" si="47"/>
        <v/>
      </c>
      <c r="S63" s="39"/>
      <c r="T63" s="72" t="str">
        <f t="shared" si="18"/>
        <v/>
      </c>
      <c r="U63" s="39"/>
      <c r="V63" s="72" t="str">
        <f t="shared" si="35"/>
        <v/>
      </c>
      <c r="W63" s="72" t="str">
        <f t="shared" si="19"/>
        <v/>
      </c>
      <c r="X63" s="39"/>
      <c r="Y63" s="72" t="str">
        <f t="shared" si="36"/>
        <v/>
      </c>
      <c r="Z63" s="72" t="str">
        <f t="shared" si="20"/>
        <v/>
      </c>
      <c r="AA63" s="39"/>
      <c r="AB63" s="72" t="str">
        <f t="shared" si="4"/>
        <v/>
      </c>
      <c r="AC63" s="72" t="str">
        <f t="shared" si="21"/>
        <v/>
      </c>
      <c r="AD63" s="39"/>
      <c r="AE63" s="72" t="str">
        <f t="shared" si="37"/>
        <v/>
      </c>
      <c r="AF63" s="72" t="str">
        <f t="shared" si="22"/>
        <v/>
      </c>
      <c r="AG63" s="39"/>
      <c r="AH63" s="72" t="str">
        <f t="shared" si="38"/>
        <v/>
      </c>
      <c r="AI63" s="72" t="str">
        <f t="shared" si="23"/>
        <v/>
      </c>
      <c r="AJ63" s="39"/>
      <c r="AK63" s="72" t="str">
        <f t="shared" si="39"/>
        <v/>
      </c>
      <c r="AL63" s="72" t="str">
        <f t="shared" si="24"/>
        <v/>
      </c>
      <c r="AM63" s="39"/>
      <c r="AN63" s="72" t="str">
        <f t="shared" si="40"/>
        <v/>
      </c>
      <c r="AO63" s="72" t="str">
        <f t="shared" si="25"/>
        <v/>
      </c>
      <c r="AP63" s="39"/>
      <c r="AQ63" s="72" t="str">
        <f t="shared" si="41"/>
        <v/>
      </c>
      <c r="AR63" s="72" t="str">
        <f t="shared" si="26"/>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42"/>
        <v/>
      </c>
      <c r="AW63" s="72" t="str">
        <f t="shared" si="11"/>
        <v/>
      </c>
      <c r="AX63" s="39"/>
      <c r="AY63" s="40" t="str">
        <f>IF(ISERROR(IF($K63&lt;=$F$15,VLOOKUP($I63,'表4）CO2価格'!$A$7:$E$67,VLOOKUP($F$48,'表4）CO2価格'!$H$10:$I$12,2,0),0)*$F$8/1000,"")),0,IF($K63&lt;=$F$15,VLOOKUP($I63,'表4）CO2価格'!$A$7:$E$67,VLOOKUP($F$48,'表4）CO2価格'!$H$10:$I$12,2,0),0)*$F$8/1000,""))</f>
        <v/>
      </c>
      <c r="AZ63" s="39"/>
      <c r="BA63" s="42" t="str">
        <f t="shared" si="43"/>
        <v/>
      </c>
      <c r="BB63" s="72" t="str">
        <f t="shared" si="27"/>
        <v/>
      </c>
      <c r="BC63" s="39"/>
      <c r="BD63" s="72" t="str">
        <f t="shared" si="44"/>
        <v/>
      </c>
      <c r="BE63" s="72" t="str">
        <f t="shared" si="28"/>
        <v/>
      </c>
      <c r="BF63" s="39"/>
      <c r="BG63" s="42" t="str">
        <f t="shared" si="45"/>
        <v/>
      </c>
      <c r="BH63" s="72" t="str">
        <f t="shared" si="29"/>
        <v/>
      </c>
      <c r="BI63" s="39"/>
      <c r="BJ63" s="40"/>
      <c r="BK63" s="157"/>
      <c r="BL63" s="157"/>
      <c r="BM63" s="72"/>
      <c r="BN63" s="72" t="str">
        <f>IF(AND(ISNUMBER($F$16),$K63&lt;=$F$16),BQ63*('バイオマス（木質専焼）（2020年）'!$O$15+'バイオマス（木質専焼）（2020年）'!$BK$116)/'バイオマス（木質専焼）（2020年）'!$BL$116,"")</f>
        <v/>
      </c>
      <c r="BO63" s="72" t="str">
        <f t="shared" si="30"/>
        <v/>
      </c>
      <c r="BP63" s="39"/>
      <c r="BQ63" s="72" t="str">
        <f t="shared" si="46"/>
        <v/>
      </c>
      <c r="BR63" s="72" t="str">
        <f t="shared" si="31"/>
        <v/>
      </c>
    </row>
    <row r="64" spans="3:70" x14ac:dyDescent="0.15">
      <c r="C64" s="71" t="s">
        <v>589</v>
      </c>
      <c r="F64" s="477">
        <v>0.26822400000000002</v>
      </c>
      <c r="G64" s="84" t="s">
        <v>590</v>
      </c>
      <c r="I64" s="457">
        <f t="shared" si="32"/>
        <v>2069</v>
      </c>
      <c r="J64" s="71"/>
      <c r="K64" s="71">
        <f t="shared" si="33"/>
        <v>50</v>
      </c>
      <c r="L64" s="71"/>
      <c r="M64" s="7">
        <f t="shared" si="0"/>
        <v>0.22810707978975397</v>
      </c>
      <c r="N64" s="71"/>
      <c r="O64" s="10" t="str">
        <f t="shared" si="16"/>
        <v/>
      </c>
      <c r="P64" s="29" t="str">
        <f t="shared" si="34"/>
        <v/>
      </c>
      <c r="Q64" s="71"/>
      <c r="R64" s="10" t="str">
        <f t="shared" si="47"/>
        <v/>
      </c>
      <c r="S64" s="71"/>
      <c r="T64" s="10" t="str">
        <f t="shared" si="18"/>
        <v/>
      </c>
      <c r="U64" s="71"/>
      <c r="V64" s="10" t="str">
        <f t="shared" si="35"/>
        <v/>
      </c>
      <c r="W64" s="10" t="str">
        <f t="shared" si="19"/>
        <v/>
      </c>
      <c r="X64" s="71"/>
      <c r="Y64" s="10" t="str">
        <f t="shared" si="36"/>
        <v/>
      </c>
      <c r="Z64" s="10" t="str">
        <f t="shared" si="20"/>
        <v/>
      </c>
      <c r="AA64" s="71"/>
      <c r="AB64" s="10" t="str">
        <f t="shared" si="4"/>
        <v/>
      </c>
      <c r="AC64" s="10" t="str">
        <f t="shared" si="21"/>
        <v/>
      </c>
      <c r="AD64" s="71"/>
      <c r="AE64" s="10" t="str">
        <f t="shared" si="37"/>
        <v/>
      </c>
      <c r="AF64" s="10" t="str">
        <f t="shared" si="22"/>
        <v/>
      </c>
      <c r="AG64" s="71"/>
      <c r="AH64" s="10" t="str">
        <f t="shared" si="38"/>
        <v/>
      </c>
      <c r="AI64" s="10" t="str">
        <f t="shared" si="23"/>
        <v/>
      </c>
      <c r="AJ64" s="71"/>
      <c r="AK64" s="10" t="str">
        <f t="shared" si="39"/>
        <v/>
      </c>
      <c r="AL64" s="10" t="str">
        <f t="shared" si="24"/>
        <v/>
      </c>
      <c r="AM64" s="71"/>
      <c r="AN64" s="10" t="str">
        <f t="shared" si="40"/>
        <v/>
      </c>
      <c r="AO64" s="10" t="str">
        <f t="shared" si="25"/>
        <v/>
      </c>
      <c r="AP64" s="71"/>
      <c r="AQ64" s="10" t="str">
        <f t="shared" si="41"/>
        <v/>
      </c>
      <c r="AR64" s="10" t="str">
        <f t="shared" si="26"/>
        <v/>
      </c>
      <c r="AS64" s="71"/>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U64" s="71"/>
      <c r="AV64" s="10" t="str">
        <f t="shared" si="42"/>
        <v/>
      </c>
      <c r="AW64" s="10" t="str">
        <f t="shared" si="11"/>
        <v/>
      </c>
      <c r="AX64" s="71"/>
      <c r="AY64" s="7" t="str">
        <f>IF(ISERROR(IF($K64&lt;=$F$15,VLOOKUP($I64,'表4）CO2価格'!$A$7:$E$67,VLOOKUP($F$48,'表4）CO2価格'!$H$10:$I$12,2,0),0)*$F$8/1000,"")),0,IF($K64&lt;=$F$15,VLOOKUP($I64,'表4）CO2価格'!$A$7:$E$67,VLOOKUP($F$48,'表4）CO2価格'!$H$10:$I$12,2,0),0)*$F$8/1000,""))</f>
        <v/>
      </c>
      <c r="AZ64" s="71"/>
      <c r="BA64" s="11" t="str">
        <f t="shared" si="43"/>
        <v/>
      </c>
      <c r="BB64" s="10" t="str">
        <f t="shared" si="27"/>
        <v/>
      </c>
      <c r="BC64" s="71"/>
      <c r="BD64" s="10" t="str">
        <f t="shared" si="44"/>
        <v/>
      </c>
      <c r="BE64" s="10" t="str">
        <f t="shared" si="28"/>
        <v/>
      </c>
      <c r="BF64" s="71"/>
      <c r="BG64" s="11" t="str">
        <f t="shared" si="45"/>
        <v/>
      </c>
      <c r="BH64" s="10" t="str">
        <f t="shared" si="29"/>
        <v/>
      </c>
      <c r="BJ64" s="7"/>
      <c r="BK64" s="158"/>
      <c r="BL64" s="158"/>
      <c r="BM64" s="10"/>
      <c r="BN64" s="10" t="str">
        <f>IF(AND(ISNUMBER($F$16),$K64&lt;=$F$16),BQ64*('バイオマス（木質専焼）（2020年）'!$O$15+'バイオマス（木質専焼）（2020年）'!$BK$116)/'バイオマス（木質専焼）（2020年）'!$BL$116,"")</f>
        <v/>
      </c>
      <c r="BO64" s="10" t="str">
        <f t="shared" si="30"/>
        <v/>
      </c>
      <c r="BQ64" s="10" t="str">
        <f t="shared" si="46"/>
        <v/>
      </c>
      <c r="BR64" s="10" t="str">
        <f t="shared" si="31"/>
        <v/>
      </c>
    </row>
    <row r="65" spans="2:70" x14ac:dyDescent="0.15">
      <c r="I65" s="38">
        <f t="shared" si="32"/>
        <v>2070</v>
      </c>
      <c r="J65" s="39"/>
      <c r="K65" s="39">
        <f t="shared" si="33"/>
        <v>51</v>
      </c>
      <c r="L65" s="39"/>
      <c r="M65" s="40">
        <f t="shared" si="0"/>
        <v>0.22146318426189707</v>
      </c>
      <c r="N65" s="39"/>
      <c r="O65" s="72" t="str">
        <f t="shared" si="16"/>
        <v/>
      </c>
      <c r="P65" s="41" t="str">
        <f t="shared" si="34"/>
        <v/>
      </c>
      <c r="Q65" s="39"/>
      <c r="R65" s="72" t="str">
        <f t="shared" si="47"/>
        <v/>
      </c>
      <c r="S65" s="39"/>
      <c r="T65" s="72" t="str">
        <f t="shared" si="18"/>
        <v/>
      </c>
      <c r="U65" s="39"/>
      <c r="V65" s="72" t="str">
        <f t="shared" si="35"/>
        <v/>
      </c>
      <c r="W65" s="72" t="str">
        <f t="shared" si="19"/>
        <v/>
      </c>
      <c r="X65" s="39"/>
      <c r="Y65" s="72" t="str">
        <f t="shared" si="36"/>
        <v/>
      </c>
      <c r="Z65" s="72" t="str">
        <f t="shared" si="20"/>
        <v/>
      </c>
      <c r="AA65" s="39"/>
      <c r="AB65" s="72" t="str">
        <f t="shared" si="4"/>
        <v/>
      </c>
      <c r="AC65" s="72" t="str">
        <f t="shared" si="21"/>
        <v/>
      </c>
      <c r="AD65" s="39"/>
      <c r="AE65" s="72" t="str">
        <f t="shared" si="37"/>
        <v/>
      </c>
      <c r="AF65" s="72" t="str">
        <f t="shared" si="22"/>
        <v/>
      </c>
      <c r="AG65" s="39"/>
      <c r="AH65" s="72" t="str">
        <f t="shared" si="38"/>
        <v/>
      </c>
      <c r="AI65" s="72" t="str">
        <f t="shared" si="23"/>
        <v/>
      </c>
      <c r="AJ65" s="39"/>
      <c r="AK65" s="72" t="str">
        <f t="shared" si="39"/>
        <v/>
      </c>
      <c r="AL65" s="72" t="str">
        <f t="shared" si="24"/>
        <v/>
      </c>
      <c r="AM65" s="39"/>
      <c r="AN65" s="72" t="str">
        <f t="shared" si="40"/>
        <v/>
      </c>
      <c r="AO65" s="72" t="str">
        <f t="shared" si="25"/>
        <v/>
      </c>
      <c r="AP65" s="39"/>
      <c r="AQ65" s="72" t="str">
        <f t="shared" si="41"/>
        <v/>
      </c>
      <c r="AR65" s="72" t="str">
        <f t="shared" si="26"/>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42"/>
        <v/>
      </c>
      <c r="AW65" s="72" t="str">
        <f t="shared" si="11"/>
        <v/>
      </c>
      <c r="AX65" s="39"/>
      <c r="AY65" s="40" t="str">
        <f>IF(ISERROR(IF($K65&lt;=$F$15,VLOOKUP($I65,'表4）CO2価格'!$A$7:$E$67,VLOOKUP($F$48,'表4）CO2価格'!$H$10:$I$12,2,0),0)*$F$8/1000,"")),0,IF($K65&lt;=$F$15,VLOOKUP($I65,'表4）CO2価格'!$A$7:$E$67,VLOOKUP($F$48,'表4）CO2価格'!$H$10:$I$12,2,0),0)*$F$8/1000,""))</f>
        <v/>
      </c>
      <c r="AZ65" s="39"/>
      <c r="BA65" s="42" t="str">
        <f t="shared" si="43"/>
        <v/>
      </c>
      <c r="BB65" s="72" t="str">
        <f t="shared" si="27"/>
        <v/>
      </c>
      <c r="BC65" s="39"/>
      <c r="BD65" s="72" t="str">
        <f t="shared" si="44"/>
        <v/>
      </c>
      <c r="BE65" s="72" t="str">
        <f t="shared" si="28"/>
        <v/>
      </c>
      <c r="BF65" s="39"/>
      <c r="BG65" s="42" t="str">
        <f t="shared" si="45"/>
        <v/>
      </c>
      <c r="BH65" s="72" t="str">
        <f t="shared" si="29"/>
        <v/>
      </c>
      <c r="BI65" s="39"/>
      <c r="BJ65" s="40"/>
      <c r="BK65" s="157"/>
      <c r="BL65" s="157"/>
      <c r="BM65" s="72"/>
      <c r="BN65" s="72" t="str">
        <f>IF(AND(ISNUMBER($F$16),$K65&lt;=$F$16),BQ65*('バイオマス（木質専焼）（2020年）'!$O$15+'バイオマス（木質専焼）（2020年）'!$BK$116)/'バイオマス（木質専焼）（2020年）'!$BL$116,"")</f>
        <v/>
      </c>
      <c r="BO65" s="72" t="str">
        <f t="shared" si="30"/>
        <v/>
      </c>
      <c r="BP65" s="39"/>
      <c r="BQ65" s="72" t="str">
        <f t="shared" si="46"/>
        <v/>
      </c>
      <c r="BR65" s="72" t="str">
        <f t="shared" si="31"/>
        <v/>
      </c>
    </row>
    <row r="66" spans="2:70" x14ac:dyDescent="0.15">
      <c r="I66" s="457">
        <f t="shared" si="32"/>
        <v>2071</v>
      </c>
      <c r="J66" s="71"/>
      <c r="K66" s="71">
        <f t="shared" si="33"/>
        <v>52</v>
      </c>
      <c r="L66" s="71"/>
      <c r="M66" s="7">
        <f t="shared" si="0"/>
        <v>0.215012800254269</v>
      </c>
      <c r="N66" s="71"/>
      <c r="O66" s="10" t="str">
        <f t="shared" si="16"/>
        <v/>
      </c>
      <c r="P66" s="29" t="str">
        <f t="shared" si="34"/>
        <v/>
      </c>
      <c r="Q66" s="71"/>
      <c r="R66" s="10" t="str">
        <f t="shared" si="47"/>
        <v/>
      </c>
      <c r="S66" s="71"/>
      <c r="T66" s="10" t="str">
        <f t="shared" si="18"/>
        <v/>
      </c>
      <c r="U66" s="71"/>
      <c r="V66" s="10" t="str">
        <f t="shared" si="35"/>
        <v/>
      </c>
      <c r="W66" s="10" t="str">
        <f t="shared" si="19"/>
        <v/>
      </c>
      <c r="X66" s="71"/>
      <c r="Y66" s="10" t="str">
        <f t="shared" si="36"/>
        <v/>
      </c>
      <c r="Z66" s="10" t="str">
        <f t="shared" si="20"/>
        <v/>
      </c>
      <c r="AA66" s="71"/>
      <c r="AB66" s="10" t="str">
        <f t="shared" si="4"/>
        <v/>
      </c>
      <c r="AC66" s="10" t="str">
        <f t="shared" si="21"/>
        <v/>
      </c>
      <c r="AD66" s="71"/>
      <c r="AE66" s="10" t="str">
        <f t="shared" si="37"/>
        <v/>
      </c>
      <c r="AF66" s="10" t="str">
        <f t="shared" si="22"/>
        <v/>
      </c>
      <c r="AG66" s="71"/>
      <c r="AH66" s="10" t="str">
        <f t="shared" si="38"/>
        <v/>
      </c>
      <c r="AI66" s="10" t="str">
        <f t="shared" si="23"/>
        <v/>
      </c>
      <c r="AJ66" s="71"/>
      <c r="AK66" s="10" t="str">
        <f t="shared" si="39"/>
        <v/>
      </c>
      <c r="AL66" s="10" t="str">
        <f t="shared" si="24"/>
        <v/>
      </c>
      <c r="AM66" s="71"/>
      <c r="AN66" s="10" t="str">
        <f t="shared" si="40"/>
        <v/>
      </c>
      <c r="AO66" s="10" t="str">
        <f t="shared" si="25"/>
        <v/>
      </c>
      <c r="AP66" s="71"/>
      <c r="AQ66" s="10" t="str">
        <f t="shared" si="41"/>
        <v/>
      </c>
      <c r="AR66" s="10" t="str">
        <f t="shared" si="26"/>
        <v/>
      </c>
      <c r="AS66" s="71"/>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U66" s="71"/>
      <c r="AV66" s="10" t="str">
        <f t="shared" si="42"/>
        <v/>
      </c>
      <c r="AW66" s="10" t="str">
        <f t="shared" si="11"/>
        <v/>
      </c>
      <c r="AX66" s="71"/>
      <c r="AY66" s="7" t="str">
        <f>IF(ISERROR(IF($K66&lt;=$F$15,VLOOKUP($I66,'表4）CO2価格'!$A$7:$E$67,VLOOKUP($F$48,'表4）CO2価格'!$H$10:$I$12,2,0),0)*$F$8/1000,"")),0,IF($K66&lt;=$F$15,VLOOKUP($I66,'表4）CO2価格'!$A$7:$E$67,VLOOKUP($F$48,'表4）CO2価格'!$H$10:$I$12,2,0),0)*$F$8/1000,""))</f>
        <v/>
      </c>
      <c r="AZ66" s="71"/>
      <c r="BA66" s="11" t="str">
        <f t="shared" si="43"/>
        <v/>
      </c>
      <c r="BB66" s="10" t="str">
        <f t="shared" si="27"/>
        <v/>
      </c>
      <c r="BC66" s="71"/>
      <c r="BD66" s="10" t="str">
        <f t="shared" si="44"/>
        <v/>
      </c>
      <c r="BE66" s="10" t="str">
        <f t="shared" si="28"/>
        <v/>
      </c>
      <c r="BF66" s="71"/>
      <c r="BG66" s="11" t="str">
        <f t="shared" si="45"/>
        <v/>
      </c>
      <c r="BH66" s="10" t="str">
        <f t="shared" si="29"/>
        <v/>
      </c>
      <c r="BJ66" s="7"/>
      <c r="BK66" s="158"/>
      <c r="BL66" s="158"/>
      <c r="BM66" s="10"/>
      <c r="BN66" s="10" t="str">
        <f>IF(AND(ISNUMBER($F$16),$K66&lt;=$F$16),BQ66*('バイオマス（木質専焼）（2020年）'!$O$15+'バイオマス（木質専焼）（2020年）'!$BK$116)/'バイオマス（木質専焼）（2020年）'!$BL$116,"")</f>
        <v/>
      </c>
      <c r="BO66" s="10" t="str">
        <f t="shared" si="30"/>
        <v/>
      </c>
      <c r="BQ66" s="10" t="str">
        <f t="shared" si="46"/>
        <v/>
      </c>
      <c r="BR66" s="10" t="str">
        <f t="shared" si="31"/>
        <v/>
      </c>
    </row>
    <row r="67" spans="2:70" ht="15.75" thickBot="1" x14ac:dyDescent="0.2">
      <c r="B67" s="5" t="s">
        <v>133</v>
      </c>
      <c r="C67" s="3"/>
      <c r="D67" s="102"/>
      <c r="E67" s="102"/>
      <c r="F67" s="3"/>
      <c r="G67" s="102"/>
      <c r="I67" s="38">
        <f t="shared" si="32"/>
        <v>2072</v>
      </c>
      <c r="J67" s="39"/>
      <c r="K67" s="39">
        <f t="shared" si="33"/>
        <v>53</v>
      </c>
      <c r="L67" s="39"/>
      <c r="M67" s="40">
        <f t="shared" si="0"/>
        <v>0.20875029150899907</v>
      </c>
      <c r="N67" s="39"/>
      <c r="O67" s="72" t="str">
        <f t="shared" si="16"/>
        <v/>
      </c>
      <c r="P67" s="41" t="str">
        <f t="shared" si="34"/>
        <v/>
      </c>
      <c r="Q67" s="39"/>
      <c r="R67" s="72" t="str">
        <f t="shared" si="47"/>
        <v/>
      </c>
      <c r="S67" s="39"/>
      <c r="T67" s="72" t="str">
        <f t="shared" si="18"/>
        <v/>
      </c>
      <c r="U67" s="39"/>
      <c r="V67" s="72" t="str">
        <f t="shared" si="35"/>
        <v/>
      </c>
      <c r="W67" s="72" t="str">
        <f t="shared" si="19"/>
        <v/>
      </c>
      <c r="X67" s="39"/>
      <c r="Y67" s="72" t="str">
        <f t="shared" si="36"/>
        <v/>
      </c>
      <c r="Z67" s="72" t="str">
        <f t="shared" si="20"/>
        <v/>
      </c>
      <c r="AA67" s="39"/>
      <c r="AB67" s="72" t="str">
        <f t="shared" si="4"/>
        <v/>
      </c>
      <c r="AC67" s="72" t="str">
        <f t="shared" si="21"/>
        <v/>
      </c>
      <c r="AD67" s="39"/>
      <c r="AE67" s="72" t="str">
        <f t="shared" si="37"/>
        <v/>
      </c>
      <c r="AF67" s="72" t="str">
        <f t="shared" si="22"/>
        <v/>
      </c>
      <c r="AG67" s="39"/>
      <c r="AH67" s="72" t="str">
        <f t="shared" si="38"/>
        <v/>
      </c>
      <c r="AI67" s="72" t="str">
        <f t="shared" si="23"/>
        <v/>
      </c>
      <c r="AJ67" s="39"/>
      <c r="AK67" s="72" t="str">
        <f t="shared" si="39"/>
        <v/>
      </c>
      <c r="AL67" s="72" t="str">
        <f t="shared" si="24"/>
        <v/>
      </c>
      <c r="AM67" s="39"/>
      <c r="AN67" s="72" t="str">
        <f t="shared" si="40"/>
        <v/>
      </c>
      <c r="AO67" s="72" t="str">
        <f t="shared" si="25"/>
        <v/>
      </c>
      <c r="AP67" s="39"/>
      <c r="AQ67" s="72" t="str">
        <f t="shared" si="41"/>
        <v/>
      </c>
      <c r="AR67" s="72" t="str">
        <f t="shared" si="26"/>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42"/>
        <v/>
      </c>
      <c r="AW67" s="72" t="str">
        <f t="shared" si="11"/>
        <v/>
      </c>
      <c r="AX67" s="39"/>
      <c r="AY67" s="40" t="str">
        <f>IF(ISERROR(IF($K67&lt;=$F$15,VLOOKUP($I67,'表4）CO2価格'!$A$7:$E$67,VLOOKUP($F$48,'表4）CO2価格'!$H$10:$I$12,2,0),0)*$F$8/1000,"")),0,IF($K67&lt;=$F$15,VLOOKUP($I67,'表4）CO2価格'!$A$7:$E$67,VLOOKUP($F$48,'表4）CO2価格'!$H$10:$I$12,2,0),0)*$F$8/1000,""))</f>
        <v/>
      </c>
      <c r="AZ67" s="39"/>
      <c r="BA67" s="42" t="str">
        <f t="shared" si="43"/>
        <v/>
      </c>
      <c r="BB67" s="72" t="str">
        <f t="shared" si="27"/>
        <v/>
      </c>
      <c r="BC67" s="39"/>
      <c r="BD67" s="72" t="str">
        <f t="shared" si="44"/>
        <v/>
      </c>
      <c r="BE67" s="72" t="str">
        <f t="shared" si="28"/>
        <v/>
      </c>
      <c r="BF67" s="39"/>
      <c r="BG67" s="42" t="str">
        <f t="shared" si="45"/>
        <v/>
      </c>
      <c r="BH67" s="72" t="str">
        <f t="shared" si="29"/>
        <v/>
      </c>
      <c r="BI67" s="39"/>
      <c r="BJ67" s="40"/>
      <c r="BK67" s="157"/>
      <c r="BL67" s="157"/>
      <c r="BM67" s="72"/>
      <c r="BN67" s="72" t="str">
        <f>IF(AND(ISNUMBER($F$16),$K67&lt;=$F$16),BQ67*('バイオマス（木質専焼）（2020年）'!$O$15+'バイオマス（木質専焼）（2020年）'!$BK$116)/'バイオマス（木質専焼）（2020年）'!$BL$116,"")</f>
        <v/>
      </c>
      <c r="BO67" s="72" t="str">
        <f t="shared" si="30"/>
        <v/>
      </c>
      <c r="BP67" s="39"/>
      <c r="BQ67" s="72" t="str">
        <f t="shared" si="46"/>
        <v/>
      </c>
      <c r="BR67" s="72" t="str">
        <f t="shared" si="31"/>
        <v/>
      </c>
    </row>
    <row r="68" spans="2:70" x14ac:dyDescent="0.15">
      <c r="I68" s="457">
        <f t="shared" si="32"/>
        <v>2073</v>
      </c>
      <c r="J68" s="71"/>
      <c r="K68" s="71">
        <f t="shared" si="33"/>
        <v>54</v>
      </c>
      <c r="L68" s="71"/>
      <c r="M68" s="7">
        <f t="shared" si="0"/>
        <v>0.20267018593106703</v>
      </c>
      <c r="N68" s="71"/>
      <c r="O68" s="10" t="str">
        <f t="shared" si="16"/>
        <v/>
      </c>
      <c r="P68" s="29" t="str">
        <f t="shared" si="34"/>
        <v/>
      </c>
      <c r="Q68" s="71"/>
      <c r="R68" s="10" t="str">
        <f t="shared" si="47"/>
        <v/>
      </c>
      <c r="S68" s="71"/>
      <c r="T68" s="10" t="str">
        <f t="shared" si="18"/>
        <v/>
      </c>
      <c r="U68" s="71"/>
      <c r="V68" s="10" t="str">
        <f t="shared" si="35"/>
        <v/>
      </c>
      <c r="W68" s="10" t="str">
        <f t="shared" si="19"/>
        <v/>
      </c>
      <c r="X68" s="71"/>
      <c r="Y68" s="10" t="str">
        <f t="shared" si="36"/>
        <v/>
      </c>
      <c r="Z68" s="10" t="str">
        <f t="shared" si="20"/>
        <v/>
      </c>
      <c r="AA68" s="71"/>
      <c r="AB68" s="10" t="str">
        <f t="shared" si="4"/>
        <v/>
      </c>
      <c r="AC68" s="10" t="str">
        <f t="shared" si="21"/>
        <v/>
      </c>
      <c r="AD68" s="71"/>
      <c r="AE68" s="10" t="str">
        <f t="shared" si="37"/>
        <v/>
      </c>
      <c r="AF68" s="10" t="str">
        <f t="shared" si="22"/>
        <v/>
      </c>
      <c r="AG68" s="71"/>
      <c r="AH68" s="10" t="str">
        <f t="shared" si="38"/>
        <v/>
      </c>
      <c r="AI68" s="10" t="str">
        <f t="shared" si="23"/>
        <v/>
      </c>
      <c r="AJ68" s="71"/>
      <c r="AK68" s="10" t="str">
        <f t="shared" si="39"/>
        <v/>
      </c>
      <c r="AL68" s="10" t="str">
        <f t="shared" si="24"/>
        <v/>
      </c>
      <c r="AM68" s="71"/>
      <c r="AN68" s="10" t="str">
        <f t="shared" si="40"/>
        <v/>
      </c>
      <c r="AO68" s="10" t="str">
        <f t="shared" si="25"/>
        <v/>
      </c>
      <c r="AP68" s="71"/>
      <c r="AQ68" s="10" t="str">
        <f t="shared" si="41"/>
        <v/>
      </c>
      <c r="AR68" s="10" t="str">
        <f t="shared" si="26"/>
        <v/>
      </c>
      <c r="AS68" s="71"/>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U68" s="71"/>
      <c r="AV68" s="10" t="str">
        <f t="shared" si="42"/>
        <v/>
      </c>
      <c r="AW68" s="10" t="str">
        <f t="shared" si="11"/>
        <v/>
      </c>
      <c r="AX68" s="71"/>
      <c r="AY68" s="7" t="str">
        <f>IF(ISERROR(IF($K68&lt;=$F$15,VLOOKUP($I68,'表4）CO2価格'!$A$7:$E$67,VLOOKUP($F$48,'表4）CO2価格'!$H$10:$I$12,2,0),0)*$F$8/1000,"")),0,IF($K68&lt;=$F$15,VLOOKUP($I68,'表4）CO2価格'!$A$7:$E$67,VLOOKUP($F$48,'表4）CO2価格'!$H$10:$I$12,2,0),0)*$F$8/1000,""))</f>
        <v/>
      </c>
      <c r="AZ68" s="71"/>
      <c r="BA68" s="11" t="str">
        <f t="shared" si="43"/>
        <v/>
      </c>
      <c r="BB68" s="10" t="str">
        <f t="shared" si="27"/>
        <v/>
      </c>
      <c r="BC68" s="71"/>
      <c r="BD68" s="10" t="str">
        <f t="shared" si="44"/>
        <v/>
      </c>
      <c r="BE68" s="10" t="str">
        <f t="shared" si="28"/>
        <v/>
      </c>
      <c r="BF68" s="71"/>
      <c r="BG68" s="11" t="str">
        <f t="shared" si="45"/>
        <v/>
      </c>
      <c r="BH68" s="10" t="str">
        <f t="shared" si="29"/>
        <v/>
      </c>
      <c r="BJ68" s="7"/>
      <c r="BK68" s="158"/>
      <c r="BL68" s="158"/>
      <c r="BM68" s="10"/>
      <c r="BN68" s="10" t="str">
        <f>IF(AND(ISNUMBER($F$16),$K68&lt;=$F$16),BQ68*('バイオマス（木質専焼）（2020年）'!$O$15+'バイオマス（木質専焼）（2020年）'!$BK$116)/'バイオマス（木質専焼）（2020年）'!$BL$116,"")</f>
        <v/>
      </c>
      <c r="BO68" s="10" t="str">
        <f t="shared" si="30"/>
        <v/>
      </c>
      <c r="BQ68" s="10" t="str">
        <f t="shared" si="46"/>
        <v/>
      </c>
      <c r="BR68" s="10" t="str">
        <f t="shared" si="31"/>
        <v/>
      </c>
    </row>
    <row r="69" spans="2:70" x14ac:dyDescent="0.15">
      <c r="C69" s="483" t="s">
        <v>134</v>
      </c>
      <c r="D69" s="71"/>
      <c r="E69" s="71"/>
      <c r="F69" s="484">
        <f>SUBTOTAL(9,F74:F112)-F105</f>
        <v>12.697044667795335</v>
      </c>
      <c r="G69" s="71" t="s">
        <v>590</v>
      </c>
      <c r="I69" s="38">
        <f t="shared" si="32"/>
        <v>2074</v>
      </c>
      <c r="J69" s="39"/>
      <c r="K69" s="39">
        <f t="shared" si="33"/>
        <v>55</v>
      </c>
      <c r="L69" s="39"/>
      <c r="M69" s="40">
        <f t="shared" si="0"/>
        <v>0.19676717080686118</v>
      </c>
      <c r="N69" s="39"/>
      <c r="O69" s="72" t="str">
        <f t="shared" si="16"/>
        <v/>
      </c>
      <c r="P69" s="41" t="str">
        <f t="shared" si="34"/>
        <v/>
      </c>
      <c r="Q69" s="39"/>
      <c r="R69" s="72" t="str">
        <f t="shared" si="47"/>
        <v/>
      </c>
      <c r="S69" s="39"/>
      <c r="T69" s="72" t="str">
        <f t="shared" si="18"/>
        <v/>
      </c>
      <c r="U69" s="39"/>
      <c r="V69" s="72" t="str">
        <f t="shared" si="35"/>
        <v/>
      </c>
      <c r="W69" s="72" t="str">
        <f t="shared" si="19"/>
        <v/>
      </c>
      <c r="X69" s="39"/>
      <c r="Y69" s="72" t="str">
        <f t="shared" si="36"/>
        <v/>
      </c>
      <c r="Z69" s="72" t="str">
        <f t="shared" si="20"/>
        <v/>
      </c>
      <c r="AA69" s="39"/>
      <c r="AB69" s="72" t="str">
        <f t="shared" si="4"/>
        <v/>
      </c>
      <c r="AC69" s="72" t="str">
        <f t="shared" si="21"/>
        <v/>
      </c>
      <c r="AD69" s="39"/>
      <c r="AE69" s="72" t="str">
        <f t="shared" si="37"/>
        <v/>
      </c>
      <c r="AF69" s="72" t="str">
        <f t="shared" si="22"/>
        <v/>
      </c>
      <c r="AG69" s="39"/>
      <c r="AH69" s="72" t="str">
        <f t="shared" si="38"/>
        <v/>
      </c>
      <c r="AI69" s="72" t="str">
        <f t="shared" si="23"/>
        <v/>
      </c>
      <c r="AJ69" s="39"/>
      <c r="AK69" s="72" t="str">
        <f t="shared" si="39"/>
        <v/>
      </c>
      <c r="AL69" s="72" t="str">
        <f t="shared" si="24"/>
        <v/>
      </c>
      <c r="AM69" s="39"/>
      <c r="AN69" s="72" t="str">
        <f t="shared" si="40"/>
        <v/>
      </c>
      <c r="AO69" s="72" t="str">
        <f t="shared" si="25"/>
        <v/>
      </c>
      <c r="AP69" s="39"/>
      <c r="AQ69" s="72" t="str">
        <f t="shared" si="41"/>
        <v/>
      </c>
      <c r="AR69" s="72" t="str">
        <f t="shared" si="26"/>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42"/>
        <v/>
      </c>
      <c r="AW69" s="72" t="str">
        <f t="shared" si="11"/>
        <v/>
      </c>
      <c r="AX69" s="39"/>
      <c r="AY69" s="40" t="str">
        <f>IF(ISERROR(IF($K69&lt;=$F$15,VLOOKUP($I69,'表4）CO2価格'!$A$7:$E$67,VLOOKUP($F$48,'表4）CO2価格'!$H$10:$I$12,2,0),0)*$F$8/1000,"")),0,IF($K69&lt;=$F$15,VLOOKUP($I69,'表4）CO2価格'!$A$7:$E$67,VLOOKUP($F$48,'表4）CO2価格'!$H$10:$I$12,2,0),0)*$F$8/1000,""))</f>
        <v/>
      </c>
      <c r="AZ69" s="39"/>
      <c r="BA69" s="42" t="str">
        <f t="shared" si="43"/>
        <v/>
      </c>
      <c r="BB69" s="72" t="str">
        <f t="shared" si="27"/>
        <v/>
      </c>
      <c r="BC69" s="39"/>
      <c r="BD69" s="72" t="str">
        <f t="shared" si="44"/>
        <v/>
      </c>
      <c r="BE69" s="72" t="str">
        <f t="shared" si="28"/>
        <v/>
      </c>
      <c r="BF69" s="39"/>
      <c r="BG69" s="42" t="str">
        <f t="shared" si="45"/>
        <v/>
      </c>
      <c r="BH69" s="72" t="str">
        <f t="shared" si="29"/>
        <v/>
      </c>
      <c r="BI69" s="39"/>
      <c r="BJ69" s="40"/>
      <c r="BK69" s="157"/>
      <c r="BL69" s="157"/>
      <c r="BM69" s="72"/>
      <c r="BN69" s="72" t="str">
        <f>IF(AND(ISNUMBER($F$16),$K69&lt;=$F$16),BQ69*('バイオマス（木質専焼）（2020年）'!$O$15+'バイオマス（木質専焼）（2020年）'!$BK$116)/'バイオマス（木質専焼）（2020年）'!$BL$116,"")</f>
        <v/>
      </c>
      <c r="BO69" s="72" t="str">
        <f t="shared" si="30"/>
        <v/>
      </c>
      <c r="BP69" s="39"/>
      <c r="BQ69" s="72" t="str">
        <f t="shared" si="46"/>
        <v/>
      </c>
      <c r="BR69" s="72" t="str">
        <f t="shared" si="31"/>
        <v/>
      </c>
    </row>
    <row r="70" spans="2:70" x14ac:dyDescent="0.15">
      <c r="C70" s="483" t="s">
        <v>135</v>
      </c>
      <c r="D70" s="71"/>
      <c r="E70" s="71"/>
      <c r="F70" s="484">
        <f ca="1">MAX(17.79*0.03/(17.79*0.03+25.97*0.97)*SUM($Z$117,$AF$117,$AI$117,$AL$117,$AO$117,$AR$117,$AW$117,$BB$117,$BE$117,$BH$117,$BO$116)/$BR$116+25.97*0.97/(17.79*0.03+25.97*0.97)*F69+$F$105,SUBTOTAL(9,F74:F112))</f>
        <v>13.21659584281945</v>
      </c>
      <c r="G70" s="71" t="s">
        <v>590</v>
      </c>
      <c r="I70" s="457">
        <f t="shared" si="32"/>
        <v>2075</v>
      </c>
      <c r="J70" s="71"/>
      <c r="K70" s="71">
        <f t="shared" si="33"/>
        <v>56</v>
      </c>
      <c r="L70" s="71"/>
      <c r="M70" s="7">
        <f t="shared" si="0"/>
        <v>0.19103608816200118</v>
      </c>
      <c r="N70" s="71"/>
      <c r="O70" s="10" t="str">
        <f t="shared" si="16"/>
        <v/>
      </c>
      <c r="P70" s="29" t="str">
        <f t="shared" si="34"/>
        <v/>
      </c>
      <c r="Q70" s="71"/>
      <c r="R70" s="10" t="str">
        <f t="shared" si="47"/>
        <v/>
      </c>
      <c r="S70" s="71"/>
      <c r="T70" s="10" t="str">
        <f t="shared" si="18"/>
        <v/>
      </c>
      <c r="U70" s="71"/>
      <c r="V70" s="10" t="str">
        <f t="shared" si="35"/>
        <v/>
      </c>
      <c r="W70" s="10" t="str">
        <f t="shared" si="19"/>
        <v/>
      </c>
      <c r="X70" s="71"/>
      <c r="Y70" s="10" t="str">
        <f t="shared" si="36"/>
        <v/>
      </c>
      <c r="Z70" s="10" t="str">
        <f t="shared" si="20"/>
        <v/>
      </c>
      <c r="AA70" s="71"/>
      <c r="AB70" s="10" t="str">
        <f t="shared" si="4"/>
        <v/>
      </c>
      <c r="AC70" s="10" t="str">
        <f t="shared" si="21"/>
        <v/>
      </c>
      <c r="AD70" s="71"/>
      <c r="AE70" s="10" t="str">
        <f t="shared" si="37"/>
        <v/>
      </c>
      <c r="AF70" s="10" t="str">
        <f t="shared" si="22"/>
        <v/>
      </c>
      <c r="AG70" s="71"/>
      <c r="AH70" s="10" t="str">
        <f t="shared" si="38"/>
        <v/>
      </c>
      <c r="AI70" s="10" t="str">
        <f t="shared" si="23"/>
        <v/>
      </c>
      <c r="AJ70" s="71"/>
      <c r="AK70" s="10" t="str">
        <f t="shared" si="39"/>
        <v/>
      </c>
      <c r="AL70" s="10" t="str">
        <f t="shared" si="24"/>
        <v/>
      </c>
      <c r="AM70" s="71"/>
      <c r="AN70" s="10" t="str">
        <f t="shared" si="40"/>
        <v/>
      </c>
      <c r="AO70" s="10" t="str">
        <f t="shared" si="25"/>
        <v/>
      </c>
      <c r="AP70" s="71"/>
      <c r="AQ70" s="10" t="str">
        <f t="shared" si="41"/>
        <v/>
      </c>
      <c r="AR70" s="10" t="str">
        <f t="shared" si="26"/>
        <v/>
      </c>
      <c r="AS70" s="71"/>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U70" s="71"/>
      <c r="AV70" s="10" t="str">
        <f t="shared" si="42"/>
        <v/>
      </c>
      <c r="AW70" s="10" t="str">
        <f t="shared" si="11"/>
        <v/>
      </c>
      <c r="AX70" s="71"/>
      <c r="AY70" s="7" t="str">
        <f>IF(ISERROR(IF($K70&lt;=$F$15,VLOOKUP($I70,'表4）CO2価格'!$A$7:$E$67,VLOOKUP($F$48,'表4）CO2価格'!$H$10:$I$12,2,0),0)*$F$8/1000,"")),0,IF($K70&lt;=$F$15,VLOOKUP($I70,'表4）CO2価格'!$A$7:$E$67,VLOOKUP($F$48,'表4）CO2価格'!$H$10:$I$12,2,0),0)*$F$8/1000,""))</f>
        <v/>
      </c>
      <c r="AZ70" s="71"/>
      <c r="BA70" s="11" t="str">
        <f t="shared" si="43"/>
        <v/>
      </c>
      <c r="BB70" s="10" t="str">
        <f t="shared" si="27"/>
        <v/>
      </c>
      <c r="BC70" s="71"/>
      <c r="BD70" s="10" t="str">
        <f t="shared" si="44"/>
        <v/>
      </c>
      <c r="BE70" s="10" t="str">
        <f t="shared" si="28"/>
        <v/>
      </c>
      <c r="BF70" s="71"/>
      <c r="BG70" s="11" t="str">
        <f t="shared" si="45"/>
        <v/>
      </c>
      <c r="BH70" s="10" t="str">
        <f t="shared" si="29"/>
        <v/>
      </c>
      <c r="BJ70" s="7"/>
      <c r="BK70" s="158"/>
      <c r="BL70" s="158"/>
      <c r="BM70" s="10"/>
      <c r="BN70" s="10" t="str">
        <f>IF(AND(ISNUMBER($F$16),$K70&lt;=$F$16),BQ70*('バイオマス（木質専焼）（2020年）'!$O$15+'バイオマス（木質専焼）（2020年）'!$BK$116)/'バイオマス（木質専焼）（2020年）'!$BL$116,"")</f>
        <v/>
      </c>
      <c r="BO70" s="10" t="str">
        <f t="shared" si="30"/>
        <v/>
      </c>
      <c r="BQ70" s="10" t="str">
        <f t="shared" si="46"/>
        <v/>
      </c>
      <c r="BR70" s="10" t="str">
        <f t="shared" si="31"/>
        <v/>
      </c>
    </row>
    <row r="71" spans="2:70" x14ac:dyDescent="0.15">
      <c r="F71" s="485"/>
      <c r="I71" s="38">
        <f t="shared" si="32"/>
        <v>2076</v>
      </c>
      <c r="J71" s="39"/>
      <c r="K71" s="39">
        <f t="shared" si="33"/>
        <v>57</v>
      </c>
      <c r="L71" s="39"/>
      <c r="M71" s="40">
        <f t="shared" si="0"/>
        <v>0.18547193025437006</v>
      </c>
      <c r="N71" s="39"/>
      <c r="O71" s="72" t="str">
        <f t="shared" si="16"/>
        <v/>
      </c>
      <c r="P71" s="41" t="str">
        <f t="shared" si="34"/>
        <v/>
      </c>
      <c r="Q71" s="39"/>
      <c r="R71" s="72" t="str">
        <f t="shared" si="47"/>
        <v/>
      </c>
      <c r="S71" s="39"/>
      <c r="T71" s="72" t="str">
        <f t="shared" si="18"/>
        <v/>
      </c>
      <c r="U71" s="39"/>
      <c r="V71" s="72" t="str">
        <f t="shared" si="35"/>
        <v/>
      </c>
      <c r="W71" s="72" t="str">
        <f t="shared" si="19"/>
        <v/>
      </c>
      <c r="X71" s="39"/>
      <c r="Y71" s="72" t="str">
        <f t="shared" si="36"/>
        <v/>
      </c>
      <c r="Z71" s="72" t="str">
        <f t="shared" si="20"/>
        <v/>
      </c>
      <c r="AA71" s="39"/>
      <c r="AB71" s="72" t="str">
        <f t="shared" si="4"/>
        <v/>
      </c>
      <c r="AC71" s="72" t="str">
        <f t="shared" si="21"/>
        <v/>
      </c>
      <c r="AD71" s="39"/>
      <c r="AE71" s="72" t="str">
        <f t="shared" si="37"/>
        <v/>
      </c>
      <c r="AF71" s="72" t="str">
        <f t="shared" si="22"/>
        <v/>
      </c>
      <c r="AG71" s="39"/>
      <c r="AH71" s="72" t="str">
        <f t="shared" si="38"/>
        <v/>
      </c>
      <c r="AI71" s="72" t="str">
        <f t="shared" si="23"/>
        <v/>
      </c>
      <c r="AJ71" s="39"/>
      <c r="AK71" s="72" t="str">
        <f t="shared" si="39"/>
        <v/>
      </c>
      <c r="AL71" s="72" t="str">
        <f t="shared" si="24"/>
        <v/>
      </c>
      <c r="AM71" s="39"/>
      <c r="AN71" s="72" t="str">
        <f t="shared" si="40"/>
        <v/>
      </c>
      <c r="AO71" s="72" t="str">
        <f t="shared" si="25"/>
        <v/>
      </c>
      <c r="AP71" s="39"/>
      <c r="AQ71" s="72" t="str">
        <f t="shared" si="41"/>
        <v/>
      </c>
      <c r="AR71" s="72" t="str">
        <f t="shared" si="26"/>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42"/>
        <v/>
      </c>
      <c r="AW71" s="72" t="str">
        <f t="shared" si="11"/>
        <v/>
      </c>
      <c r="AX71" s="39"/>
      <c r="AY71" s="40" t="str">
        <f>IF(ISERROR(IF($K71&lt;=$F$15,VLOOKUP($I71,'表4）CO2価格'!$A$7:$E$67,VLOOKUP($F$48,'表4）CO2価格'!$H$10:$I$12,2,0),0)*$F$8/1000,"")),0,IF($K71&lt;=$F$15,VLOOKUP($I71,'表4）CO2価格'!$A$7:$E$67,VLOOKUP($F$48,'表4）CO2価格'!$H$10:$I$12,2,0),0)*$F$8/1000,""))</f>
        <v/>
      </c>
      <c r="AZ71" s="39"/>
      <c r="BA71" s="42" t="str">
        <f t="shared" si="43"/>
        <v/>
      </c>
      <c r="BB71" s="72" t="str">
        <f t="shared" si="27"/>
        <v/>
      </c>
      <c r="BC71" s="39"/>
      <c r="BD71" s="72" t="str">
        <f t="shared" si="44"/>
        <v/>
      </c>
      <c r="BE71" s="72" t="str">
        <f t="shared" si="28"/>
        <v/>
      </c>
      <c r="BF71" s="39"/>
      <c r="BG71" s="42" t="str">
        <f t="shared" si="45"/>
        <v/>
      </c>
      <c r="BH71" s="72" t="str">
        <f t="shared" si="29"/>
        <v/>
      </c>
      <c r="BI71" s="39"/>
      <c r="BJ71" s="40"/>
      <c r="BK71" s="157"/>
      <c r="BL71" s="157"/>
      <c r="BM71" s="72"/>
      <c r="BN71" s="72" t="str">
        <f>IF(AND(ISNUMBER($F$16),$K71&lt;=$F$16),BQ71*('バイオマス（木質専焼）（2020年）'!$O$15+'バイオマス（木質専焼）（2020年）'!$BK$116)/'バイオマス（木質専焼）（2020年）'!$BL$116,"")</f>
        <v/>
      </c>
      <c r="BO71" s="72" t="str">
        <f t="shared" si="30"/>
        <v/>
      </c>
      <c r="BP71" s="39"/>
      <c r="BQ71" s="72" t="str">
        <f t="shared" si="46"/>
        <v/>
      </c>
      <c r="BR71" s="72" t="str">
        <f t="shared" si="31"/>
        <v/>
      </c>
    </row>
    <row r="72" spans="2:70" x14ac:dyDescent="0.15">
      <c r="C72" s="4" t="s">
        <v>136</v>
      </c>
      <c r="D72" s="100"/>
      <c r="E72" s="100"/>
      <c r="F72" s="486"/>
      <c r="G72" s="100"/>
      <c r="I72" s="457">
        <f t="shared" si="32"/>
        <v>2077</v>
      </c>
      <c r="J72" s="71"/>
      <c r="K72" s="71">
        <f t="shared" si="33"/>
        <v>58</v>
      </c>
      <c r="L72" s="71"/>
      <c r="M72" s="7">
        <f t="shared" si="0"/>
        <v>0.18006983519841754</v>
      </c>
      <c r="N72" s="71"/>
      <c r="O72" s="10" t="str">
        <f t="shared" si="16"/>
        <v/>
      </c>
      <c r="P72" s="29" t="str">
        <f t="shared" si="34"/>
        <v/>
      </c>
      <c r="Q72" s="71"/>
      <c r="R72" s="10" t="str">
        <f t="shared" si="47"/>
        <v/>
      </c>
      <c r="S72" s="71"/>
      <c r="T72" s="10" t="str">
        <f t="shared" si="18"/>
        <v/>
      </c>
      <c r="U72" s="71"/>
      <c r="V72" s="10" t="str">
        <f t="shared" si="35"/>
        <v/>
      </c>
      <c r="W72" s="10" t="str">
        <f t="shared" si="19"/>
        <v/>
      </c>
      <c r="X72" s="71"/>
      <c r="Y72" s="10" t="str">
        <f t="shared" si="36"/>
        <v/>
      </c>
      <c r="Z72" s="10" t="str">
        <f t="shared" si="20"/>
        <v/>
      </c>
      <c r="AA72" s="71"/>
      <c r="AB72" s="10" t="str">
        <f t="shared" si="4"/>
        <v/>
      </c>
      <c r="AC72" s="10" t="str">
        <f t="shared" si="21"/>
        <v/>
      </c>
      <c r="AD72" s="71"/>
      <c r="AE72" s="10" t="str">
        <f t="shared" si="37"/>
        <v/>
      </c>
      <c r="AF72" s="10" t="str">
        <f t="shared" si="22"/>
        <v/>
      </c>
      <c r="AG72" s="71"/>
      <c r="AH72" s="10" t="str">
        <f t="shared" si="38"/>
        <v/>
      </c>
      <c r="AI72" s="10" t="str">
        <f t="shared" si="23"/>
        <v/>
      </c>
      <c r="AJ72" s="71"/>
      <c r="AK72" s="10" t="str">
        <f t="shared" si="39"/>
        <v/>
      </c>
      <c r="AL72" s="10" t="str">
        <f t="shared" si="24"/>
        <v/>
      </c>
      <c r="AM72" s="71"/>
      <c r="AN72" s="10" t="str">
        <f t="shared" si="40"/>
        <v/>
      </c>
      <c r="AO72" s="10" t="str">
        <f t="shared" si="25"/>
        <v/>
      </c>
      <c r="AP72" s="71"/>
      <c r="AQ72" s="10" t="str">
        <f t="shared" si="41"/>
        <v/>
      </c>
      <c r="AR72" s="10" t="str">
        <f t="shared" si="26"/>
        <v/>
      </c>
      <c r="AS72" s="71"/>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U72" s="71"/>
      <c r="AV72" s="10" t="str">
        <f t="shared" si="42"/>
        <v/>
      </c>
      <c r="AW72" s="10" t="str">
        <f t="shared" si="11"/>
        <v/>
      </c>
      <c r="AX72" s="71"/>
      <c r="AY72" s="7" t="str">
        <f>IF(ISERROR(IF($K72&lt;=$F$15,VLOOKUP($I72,'表4）CO2価格'!$A$7:$E$67,VLOOKUP($F$48,'表4）CO2価格'!$H$10:$I$12,2,0),0)*$F$8/1000,"")),0,IF($K72&lt;=$F$15,VLOOKUP($I72,'表4）CO2価格'!$A$7:$E$67,VLOOKUP($F$48,'表4）CO2価格'!$H$10:$I$12,2,0),0)*$F$8/1000,""))</f>
        <v/>
      </c>
      <c r="AZ72" s="71"/>
      <c r="BA72" s="11" t="str">
        <f t="shared" si="43"/>
        <v/>
      </c>
      <c r="BB72" s="10" t="str">
        <f t="shared" si="27"/>
        <v/>
      </c>
      <c r="BC72" s="71"/>
      <c r="BD72" s="10" t="str">
        <f t="shared" si="44"/>
        <v/>
      </c>
      <c r="BE72" s="10" t="str">
        <f t="shared" si="28"/>
        <v/>
      </c>
      <c r="BF72" s="71"/>
      <c r="BG72" s="11" t="str">
        <f t="shared" si="45"/>
        <v/>
      </c>
      <c r="BH72" s="10" t="str">
        <f t="shared" si="29"/>
        <v/>
      </c>
      <c r="BJ72" s="7"/>
      <c r="BK72" s="158"/>
      <c r="BL72" s="158"/>
      <c r="BM72" s="10"/>
      <c r="BN72" s="10" t="str">
        <f>IF(AND(ISNUMBER($F$16),$K72&lt;=$F$16),BQ72*('バイオマス（木質専焼）（2020年）'!$O$15+'バイオマス（木質専焼）（2020年）'!$BK$116)/'バイオマス（木質専焼）（2020年）'!$BL$116,"")</f>
        <v/>
      </c>
      <c r="BO72" s="10" t="str">
        <f t="shared" si="30"/>
        <v/>
      </c>
      <c r="BQ72" s="10" t="str">
        <f t="shared" si="46"/>
        <v/>
      </c>
      <c r="BR72" s="10" t="str">
        <f t="shared" si="31"/>
        <v/>
      </c>
    </row>
    <row r="73" spans="2:70" x14ac:dyDescent="0.15">
      <c r="F73" s="487"/>
      <c r="I73" s="38">
        <f t="shared" si="32"/>
        <v>2078</v>
      </c>
      <c r="J73" s="39"/>
      <c r="K73" s="39">
        <f t="shared" si="33"/>
        <v>59</v>
      </c>
      <c r="L73" s="39"/>
      <c r="M73" s="40">
        <f t="shared" si="0"/>
        <v>0.17482508271691022</v>
      </c>
      <c r="N73" s="39"/>
      <c r="O73" s="72" t="str">
        <f t="shared" si="16"/>
        <v/>
      </c>
      <c r="P73" s="41" t="str">
        <f t="shared" si="34"/>
        <v/>
      </c>
      <c r="Q73" s="39"/>
      <c r="R73" s="72" t="str">
        <f t="shared" si="47"/>
        <v/>
      </c>
      <c r="S73" s="39"/>
      <c r="T73" s="72" t="str">
        <f t="shared" si="18"/>
        <v/>
      </c>
      <c r="U73" s="39"/>
      <c r="V73" s="72" t="str">
        <f t="shared" si="35"/>
        <v/>
      </c>
      <c r="W73" s="72" t="str">
        <f t="shared" si="19"/>
        <v/>
      </c>
      <c r="X73" s="39"/>
      <c r="Y73" s="72" t="str">
        <f t="shared" si="36"/>
        <v/>
      </c>
      <c r="Z73" s="72" t="str">
        <f t="shared" si="20"/>
        <v/>
      </c>
      <c r="AA73" s="39"/>
      <c r="AB73" s="72" t="str">
        <f t="shared" si="4"/>
        <v/>
      </c>
      <c r="AC73" s="72" t="str">
        <f t="shared" si="21"/>
        <v/>
      </c>
      <c r="AD73" s="39"/>
      <c r="AE73" s="72" t="str">
        <f t="shared" si="37"/>
        <v/>
      </c>
      <c r="AF73" s="72" t="str">
        <f t="shared" si="22"/>
        <v/>
      </c>
      <c r="AG73" s="39"/>
      <c r="AH73" s="72" t="str">
        <f t="shared" si="38"/>
        <v/>
      </c>
      <c r="AI73" s="72" t="str">
        <f t="shared" si="23"/>
        <v/>
      </c>
      <c r="AJ73" s="39"/>
      <c r="AK73" s="72" t="str">
        <f t="shared" si="39"/>
        <v/>
      </c>
      <c r="AL73" s="72" t="str">
        <f t="shared" si="24"/>
        <v/>
      </c>
      <c r="AM73" s="39"/>
      <c r="AN73" s="72" t="str">
        <f t="shared" si="40"/>
        <v/>
      </c>
      <c r="AO73" s="72" t="str">
        <f t="shared" si="25"/>
        <v/>
      </c>
      <c r="AP73" s="39"/>
      <c r="AQ73" s="72" t="str">
        <f t="shared" si="41"/>
        <v/>
      </c>
      <c r="AR73" s="72" t="str">
        <f t="shared" si="26"/>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42"/>
        <v/>
      </c>
      <c r="AW73" s="72" t="str">
        <f t="shared" si="11"/>
        <v/>
      </c>
      <c r="AX73" s="39"/>
      <c r="AY73" s="40" t="str">
        <f>IF(ISERROR(IF($K73&lt;=$F$15,VLOOKUP($I73,'表4）CO2価格'!$A$7:$E$67,VLOOKUP($F$48,'表4）CO2価格'!$H$10:$I$12,2,0),0)*$F$8/1000,"")),0,IF($K73&lt;=$F$15,VLOOKUP($I73,'表4）CO2価格'!$A$7:$E$67,VLOOKUP($F$48,'表4）CO2価格'!$H$10:$I$12,2,0),0)*$F$8/1000,""))</f>
        <v/>
      </c>
      <c r="AZ73" s="39"/>
      <c r="BA73" s="42" t="str">
        <f t="shared" si="43"/>
        <v/>
      </c>
      <c r="BB73" s="72" t="str">
        <f t="shared" si="27"/>
        <v/>
      </c>
      <c r="BC73" s="39"/>
      <c r="BD73" s="72" t="str">
        <f t="shared" si="44"/>
        <v/>
      </c>
      <c r="BE73" s="72" t="str">
        <f t="shared" si="28"/>
        <v/>
      </c>
      <c r="BF73" s="39"/>
      <c r="BG73" s="42" t="str">
        <f t="shared" si="45"/>
        <v/>
      </c>
      <c r="BH73" s="72" t="str">
        <f t="shared" si="29"/>
        <v/>
      </c>
      <c r="BI73" s="39"/>
      <c r="BJ73" s="40"/>
      <c r="BK73" s="157"/>
      <c r="BL73" s="157"/>
      <c r="BM73" s="72"/>
      <c r="BN73" s="72" t="str">
        <f>IF(AND(ISNUMBER($F$16),$K73&lt;=$F$16),BQ73*('バイオマス（木質専焼）（2020年）'!$O$15+'バイオマス（木質専焼）（2020年）'!$BK$116)/'バイオマス（木質専焼）（2020年）'!$BL$116,"")</f>
        <v/>
      </c>
      <c r="BO73" s="72" t="str">
        <f t="shared" si="30"/>
        <v/>
      </c>
      <c r="BP73" s="39"/>
      <c r="BQ73" s="72" t="str">
        <f t="shared" si="46"/>
        <v/>
      </c>
      <c r="BR73" s="72" t="str">
        <f t="shared" si="31"/>
        <v/>
      </c>
    </row>
    <row r="74" spans="2:70" ht="15" x14ac:dyDescent="0.15">
      <c r="D74" s="103" t="s">
        <v>591</v>
      </c>
      <c r="F74" s="484">
        <f>SUBTOTAL(9,F78:F81)</f>
        <v>2.0937976275763592</v>
      </c>
      <c r="G74" s="84" t="s">
        <v>590</v>
      </c>
      <c r="I74" s="457">
        <f t="shared" si="32"/>
        <v>2079</v>
      </c>
      <c r="J74" s="71"/>
      <c r="K74" s="71">
        <f t="shared" si="33"/>
        <v>60</v>
      </c>
      <c r="L74" s="71"/>
      <c r="M74" s="7">
        <f t="shared" si="0"/>
        <v>0.1697330900164177</v>
      </c>
      <c r="N74" s="71"/>
      <c r="O74" s="10" t="str">
        <f t="shared" si="16"/>
        <v/>
      </c>
      <c r="P74" s="29" t="str">
        <f t="shared" si="34"/>
        <v/>
      </c>
      <c r="Q74" s="71"/>
      <c r="R74" s="10" t="str">
        <f t="shared" si="47"/>
        <v/>
      </c>
      <c r="S74" s="71"/>
      <c r="T74" s="10" t="str">
        <f t="shared" si="18"/>
        <v/>
      </c>
      <c r="U74" s="71"/>
      <c r="V74" s="10" t="str">
        <f t="shared" si="35"/>
        <v/>
      </c>
      <c r="W74" s="10" t="str">
        <f t="shared" si="19"/>
        <v/>
      </c>
      <c r="X74" s="71"/>
      <c r="Y74" s="10" t="str">
        <f t="shared" si="36"/>
        <v/>
      </c>
      <c r="Z74" s="10" t="str">
        <f t="shared" si="20"/>
        <v/>
      </c>
      <c r="AA74" s="71"/>
      <c r="AB74" s="10" t="str">
        <f t="shared" si="4"/>
        <v/>
      </c>
      <c r="AC74" s="10" t="str">
        <f t="shared" si="21"/>
        <v/>
      </c>
      <c r="AD74" s="71"/>
      <c r="AE74" s="10" t="str">
        <f t="shared" si="37"/>
        <v/>
      </c>
      <c r="AF74" s="10" t="str">
        <f t="shared" si="22"/>
        <v/>
      </c>
      <c r="AG74" s="71"/>
      <c r="AH74" s="10" t="str">
        <f t="shared" si="38"/>
        <v/>
      </c>
      <c r="AI74" s="10" t="str">
        <f t="shared" si="23"/>
        <v/>
      </c>
      <c r="AJ74" s="71"/>
      <c r="AK74" s="10" t="str">
        <f t="shared" si="39"/>
        <v/>
      </c>
      <c r="AL74" s="10" t="str">
        <f t="shared" si="24"/>
        <v/>
      </c>
      <c r="AM74" s="71"/>
      <c r="AN74" s="10" t="str">
        <f t="shared" si="40"/>
        <v/>
      </c>
      <c r="AO74" s="10" t="str">
        <f t="shared" si="25"/>
        <v/>
      </c>
      <c r="AP74" s="71"/>
      <c r="AQ74" s="10" t="str">
        <f t="shared" si="41"/>
        <v/>
      </c>
      <c r="AR74" s="10" t="str">
        <f t="shared" si="26"/>
        <v/>
      </c>
      <c r="AS74" s="71"/>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U74" s="71"/>
      <c r="AV74" s="10" t="str">
        <f t="shared" si="42"/>
        <v/>
      </c>
      <c r="AW74" s="10" t="str">
        <f t="shared" si="11"/>
        <v/>
      </c>
      <c r="AX74" s="71"/>
      <c r="AY74" s="7" t="str">
        <f>IF(ISERROR(IF($K74&lt;=$F$15,VLOOKUP($I74,'表4）CO2価格'!$A$7:$E$67,VLOOKUP($F$48,'表4）CO2価格'!$H$10:$I$12,2,0),0)*$F$8/1000,"")),0,IF($K74&lt;=$F$15,VLOOKUP($I74,'表4）CO2価格'!$A$7:$E$67,VLOOKUP($F$48,'表4）CO2価格'!$H$10:$I$12,2,0),0)*$F$8/1000,""))</f>
        <v/>
      </c>
      <c r="AZ74" s="71"/>
      <c r="BA74" s="11" t="str">
        <f t="shared" si="43"/>
        <v/>
      </c>
      <c r="BB74" s="10" t="str">
        <f t="shared" si="27"/>
        <v/>
      </c>
      <c r="BC74" s="71"/>
      <c r="BD74" s="10" t="str">
        <f t="shared" si="44"/>
        <v/>
      </c>
      <c r="BE74" s="10" t="str">
        <f t="shared" si="28"/>
        <v/>
      </c>
      <c r="BF74" s="71"/>
      <c r="BG74" s="11" t="str">
        <f t="shared" si="45"/>
        <v/>
      </c>
      <c r="BH74" s="10" t="str">
        <f t="shared" si="29"/>
        <v/>
      </c>
      <c r="BJ74" s="7"/>
      <c r="BK74" s="158"/>
      <c r="BL74" s="158"/>
      <c r="BM74" s="10"/>
      <c r="BN74" s="10" t="str">
        <f>IF(AND(ISNUMBER($F$16),$K74&lt;=$F$16),BQ74*('バイオマス（木質専焼）（2020年）'!$O$15+'バイオマス（木質専焼）（2020年）'!$BK$116)/'バイオマス（木質専焼）（2020年）'!$BL$116,"")</f>
        <v/>
      </c>
      <c r="BO74" s="10" t="str">
        <f t="shared" si="30"/>
        <v/>
      </c>
      <c r="BQ74" s="10" t="str">
        <f t="shared" si="46"/>
        <v/>
      </c>
      <c r="BR74" s="10" t="str">
        <f t="shared" si="31"/>
        <v/>
      </c>
    </row>
    <row r="75" spans="2:70" x14ac:dyDescent="0.15">
      <c r="F75" s="487"/>
      <c r="I75" s="38">
        <f t="shared" si="32"/>
        <v>2080</v>
      </c>
      <c r="J75" s="39"/>
      <c r="K75" s="39">
        <f t="shared" si="33"/>
        <v>61</v>
      </c>
      <c r="L75" s="39"/>
      <c r="M75" s="40">
        <f t="shared" si="0"/>
        <v>0.16478940778292983</v>
      </c>
      <c r="N75" s="39"/>
      <c r="O75" s="72" t="str">
        <f t="shared" si="16"/>
        <v/>
      </c>
      <c r="P75" s="41" t="str">
        <f t="shared" si="34"/>
        <v/>
      </c>
      <c r="Q75" s="39"/>
      <c r="R75" s="72" t="str">
        <f t="shared" si="47"/>
        <v/>
      </c>
      <c r="S75" s="39"/>
      <c r="T75" s="72" t="str">
        <f t="shared" si="18"/>
        <v/>
      </c>
      <c r="U75" s="39"/>
      <c r="V75" s="72" t="str">
        <f t="shared" si="35"/>
        <v/>
      </c>
      <c r="W75" s="72" t="str">
        <f t="shared" si="19"/>
        <v/>
      </c>
      <c r="X75" s="39"/>
      <c r="Y75" s="72" t="str">
        <f t="shared" si="36"/>
        <v/>
      </c>
      <c r="Z75" s="72" t="str">
        <f t="shared" si="20"/>
        <v/>
      </c>
      <c r="AA75" s="39"/>
      <c r="AB75" s="72" t="str">
        <f t="shared" si="4"/>
        <v/>
      </c>
      <c r="AC75" s="72" t="str">
        <f t="shared" si="21"/>
        <v/>
      </c>
      <c r="AD75" s="39"/>
      <c r="AE75" s="72" t="str">
        <f t="shared" si="37"/>
        <v/>
      </c>
      <c r="AF75" s="72" t="str">
        <f t="shared" si="22"/>
        <v/>
      </c>
      <c r="AG75" s="39"/>
      <c r="AH75" s="72" t="str">
        <f t="shared" si="38"/>
        <v/>
      </c>
      <c r="AI75" s="72" t="str">
        <f t="shared" si="23"/>
        <v/>
      </c>
      <c r="AJ75" s="39"/>
      <c r="AK75" s="72" t="str">
        <f t="shared" si="39"/>
        <v/>
      </c>
      <c r="AL75" s="72" t="str">
        <f t="shared" si="24"/>
        <v/>
      </c>
      <c r="AM75" s="39"/>
      <c r="AN75" s="72" t="str">
        <f t="shared" si="40"/>
        <v/>
      </c>
      <c r="AO75" s="72" t="str">
        <f t="shared" si="25"/>
        <v/>
      </c>
      <c r="AP75" s="39"/>
      <c r="AQ75" s="72" t="str">
        <f t="shared" si="41"/>
        <v/>
      </c>
      <c r="AR75" s="72" t="str">
        <f t="shared" si="26"/>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42"/>
        <v/>
      </c>
      <c r="AW75" s="72" t="str">
        <f t="shared" si="11"/>
        <v/>
      </c>
      <c r="AX75" s="39"/>
      <c r="AY75" s="40" t="str">
        <f>IF(ISERROR(IF($K75&lt;=$F$15,VLOOKUP($I75,'表4）CO2価格'!$A$7:$E$67,VLOOKUP($F$48,'表4）CO2価格'!$H$10:$I$12,2,0),0)*$F$8/1000,"")),0,IF($K75&lt;=$F$15,VLOOKUP($I75,'表4）CO2価格'!$A$7:$E$67,VLOOKUP($F$48,'表4）CO2価格'!$H$10:$I$12,2,0),0)*$F$8/1000,""))</f>
        <v/>
      </c>
      <c r="AZ75" s="39"/>
      <c r="BA75" s="42" t="str">
        <f t="shared" si="43"/>
        <v/>
      </c>
      <c r="BB75" s="72" t="str">
        <f t="shared" si="27"/>
        <v/>
      </c>
      <c r="BC75" s="39"/>
      <c r="BD75" s="72" t="str">
        <f t="shared" si="44"/>
        <v/>
      </c>
      <c r="BE75" s="72" t="str">
        <f t="shared" si="28"/>
        <v/>
      </c>
      <c r="BF75" s="39"/>
      <c r="BG75" s="42" t="str">
        <f t="shared" si="45"/>
        <v/>
      </c>
      <c r="BH75" s="72" t="str">
        <f t="shared" si="29"/>
        <v/>
      </c>
      <c r="BI75" s="39"/>
      <c r="BJ75" s="40"/>
      <c r="BK75" s="157"/>
      <c r="BL75" s="157"/>
      <c r="BM75" s="72"/>
      <c r="BN75" s="72" t="str">
        <f>IF(AND(ISNUMBER($F$16),$K75&lt;=$F$16),BQ75*('バイオマス（木質専焼）（2020年）'!$O$15+'バイオマス（木質専焼）（2020年）'!$BK$116)/'バイオマス（木質専焼）（2020年）'!$BL$116,"")</f>
        <v/>
      </c>
      <c r="BO75" s="72" t="str">
        <f t="shared" si="30"/>
        <v/>
      </c>
      <c r="BP75" s="39"/>
      <c r="BQ75" s="72" t="str">
        <f t="shared" si="46"/>
        <v/>
      </c>
      <c r="BR75" s="72" t="str">
        <f t="shared" si="31"/>
        <v/>
      </c>
    </row>
    <row r="76" spans="2:70" x14ac:dyDescent="0.15">
      <c r="D76" s="100" t="s">
        <v>592</v>
      </c>
      <c r="E76" s="100"/>
      <c r="F76" s="486"/>
      <c r="G76" s="100"/>
      <c r="I76" s="457">
        <f t="shared" si="32"/>
        <v>2081</v>
      </c>
      <c r="J76" s="71"/>
      <c r="K76" s="71">
        <f t="shared" si="33"/>
        <v>62</v>
      </c>
      <c r="L76" s="71"/>
      <c r="M76" s="7">
        <f t="shared" si="0"/>
        <v>0.15998971629410663</v>
      </c>
      <c r="N76" s="71"/>
      <c r="O76" s="10" t="str">
        <f t="shared" si="16"/>
        <v/>
      </c>
      <c r="P76" s="29" t="str">
        <f t="shared" si="34"/>
        <v/>
      </c>
      <c r="Q76" s="71"/>
      <c r="R76" s="10" t="str">
        <f t="shared" si="47"/>
        <v/>
      </c>
      <c r="S76" s="71"/>
      <c r="T76" s="10" t="str">
        <f t="shared" si="18"/>
        <v/>
      </c>
      <c r="U76" s="71"/>
      <c r="V76" s="10" t="str">
        <f t="shared" si="35"/>
        <v/>
      </c>
      <c r="W76" s="10" t="str">
        <f t="shared" si="19"/>
        <v/>
      </c>
      <c r="X76" s="71"/>
      <c r="Y76" s="10" t="str">
        <f t="shared" si="36"/>
        <v/>
      </c>
      <c r="Z76" s="10" t="str">
        <f t="shared" si="20"/>
        <v/>
      </c>
      <c r="AA76" s="71"/>
      <c r="AB76" s="10" t="str">
        <f t="shared" si="4"/>
        <v/>
      </c>
      <c r="AC76" s="10" t="str">
        <f t="shared" si="21"/>
        <v/>
      </c>
      <c r="AD76" s="71"/>
      <c r="AE76" s="10" t="str">
        <f t="shared" si="37"/>
        <v/>
      </c>
      <c r="AF76" s="10" t="str">
        <f t="shared" si="22"/>
        <v/>
      </c>
      <c r="AG76" s="71"/>
      <c r="AH76" s="10" t="str">
        <f t="shared" si="38"/>
        <v/>
      </c>
      <c r="AI76" s="10" t="str">
        <f t="shared" si="23"/>
        <v/>
      </c>
      <c r="AJ76" s="71"/>
      <c r="AK76" s="10" t="str">
        <f t="shared" si="39"/>
        <v/>
      </c>
      <c r="AL76" s="10" t="str">
        <f t="shared" si="24"/>
        <v/>
      </c>
      <c r="AM76" s="71"/>
      <c r="AN76" s="10" t="str">
        <f t="shared" si="40"/>
        <v/>
      </c>
      <c r="AO76" s="10" t="str">
        <f t="shared" si="25"/>
        <v/>
      </c>
      <c r="AP76" s="71"/>
      <c r="AQ76" s="10" t="str">
        <f t="shared" si="41"/>
        <v/>
      </c>
      <c r="AR76" s="10" t="str">
        <f t="shared" si="26"/>
        <v/>
      </c>
      <c r="AS76" s="71"/>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U76" s="71"/>
      <c r="AV76" s="10" t="str">
        <f t="shared" si="42"/>
        <v/>
      </c>
      <c r="AW76" s="10" t="str">
        <f t="shared" si="11"/>
        <v/>
      </c>
      <c r="AX76" s="71"/>
      <c r="AY76" s="7" t="str">
        <f>IF(ISERROR(IF($K76&lt;=$F$15,VLOOKUP($I76,'表4）CO2価格'!$A$7:$E$67,VLOOKUP($F$48,'表4）CO2価格'!$H$10:$I$12,2,0),0)*$F$8/1000,"")),0,IF($K76&lt;=$F$15,VLOOKUP($I76,'表4）CO2価格'!$A$7:$E$67,VLOOKUP($F$48,'表4）CO2価格'!$H$10:$I$12,2,0),0)*$F$8/1000,""))</f>
        <v/>
      </c>
      <c r="AZ76" s="71"/>
      <c r="BA76" s="11" t="str">
        <f t="shared" si="43"/>
        <v/>
      </c>
      <c r="BB76" s="10" t="str">
        <f t="shared" si="27"/>
        <v/>
      </c>
      <c r="BC76" s="71"/>
      <c r="BD76" s="10" t="str">
        <f t="shared" si="44"/>
        <v/>
      </c>
      <c r="BE76" s="10" t="str">
        <f t="shared" si="28"/>
        <v/>
      </c>
      <c r="BF76" s="71"/>
      <c r="BG76" s="11" t="str">
        <f t="shared" si="45"/>
        <v/>
      </c>
      <c r="BH76" s="10" t="str">
        <f t="shared" si="29"/>
        <v/>
      </c>
      <c r="BJ76" s="7"/>
      <c r="BK76" s="158"/>
      <c r="BL76" s="158"/>
      <c r="BM76" s="10"/>
      <c r="BN76" s="10" t="str">
        <f>IF(AND(ISNUMBER($F$16),$K76&lt;=$F$16),BQ76*('バイオマス（木質専焼）（2020年）'!$O$15+'バイオマス（木質専焼）（2020年）'!$BK$116)/'バイオマス（木質専焼）（2020年）'!$BL$116,"")</f>
        <v/>
      </c>
      <c r="BO76" s="10" t="str">
        <f t="shared" si="30"/>
        <v/>
      </c>
      <c r="BQ76" s="10" t="str">
        <f t="shared" si="46"/>
        <v/>
      </c>
      <c r="BR76" s="10" t="str">
        <f t="shared" si="31"/>
        <v/>
      </c>
    </row>
    <row r="77" spans="2:70" x14ac:dyDescent="0.15">
      <c r="F77" s="487"/>
      <c r="I77" s="38">
        <f t="shared" si="32"/>
        <v>2082</v>
      </c>
      <c r="J77" s="39"/>
      <c r="K77" s="39">
        <f t="shared" si="33"/>
        <v>63</v>
      </c>
      <c r="L77" s="39"/>
      <c r="M77" s="40">
        <f t="shared" si="0"/>
        <v>0.15532982164476369</v>
      </c>
      <c r="N77" s="39"/>
      <c r="O77" s="72" t="str">
        <f t="shared" si="16"/>
        <v/>
      </c>
      <c r="P77" s="41" t="str">
        <f t="shared" si="34"/>
        <v/>
      </c>
      <c r="Q77" s="39"/>
      <c r="R77" s="72" t="str">
        <f t="shared" si="47"/>
        <v/>
      </c>
      <c r="S77" s="39"/>
      <c r="T77" s="72" t="str">
        <f t="shared" si="18"/>
        <v/>
      </c>
      <c r="U77" s="39"/>
      <c r="V77" s="72" t="str">
        <f t="shared" si="35"/>
        <v/>
      </c>
      <c r="W77" s="72" t="str">
        <f t="shared" si="19"/>
        <v/>
      </c>
      <c r="X77" s="39"/>
      <c r="Y77" s="72" t="str">
        <f t="shared" si="36"/>
        <v/>
      </c>
      <c r="Z77" s="72" t="str">
        <f t="shared" si="20"/>
        <v/>
      </c>
      <c r="AA77" s="39"/>
      <c r="AB77" s="72" t="str">
        <f t="shared" si="4"/>
        <v/>
      </c>
      <c r="AC77" s="72" t="str">
        <f t="shared" si="21"/>
        <v/>
      </c>
      <c r="AD77" s="39"/>
      <c r="AE77" s="72" t="str">
        <f t="shared" si="37"/>
        <v/>
      </c>
      <c r="AF77" s="72" t="str">
        <f t="shared" si="22"/>
        <v/>
      </c>
      <c r="AG77" s="39"/>
      <c r="AH77" s="72" t="str">
        <f t="shared" si="38"/>
        <v/>
      </c>
      <c r="AI77" s="72" t="str">
        <f t="shared" si="23"/>
        <v/>
      </c>
      <c r="AJ77" s="39"/>
      <c r="AK77" s="72" t="str">
        <f t="shared" si="39"/>
        <v/>
      </c>
      <c r="AL77" s="72" t="str">
        <f t="shared" si="24"/>
        <v/>
      </c>
      <c r="AM77" s="39"/>
      <c r="AN77" s="72" t="str">
        <f t="shared" si="40"/>
        <v/>
      </c>
      <c r="AO77" s="72" t="str">
        <f t="shared" si="25"/>
        <v/>
      </c>
      <c r="AP77" s="39"/>
      <c r="AQ77" s="72" t="str">
        <f t="shared" si="41"/>
        <v/>
      </c>
      <c r="AR77" s="72" t="str">
        <f t="shared" si="26"/>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42"/>
        <v/>
      </c>
      <c r="AW77" s="72" t="str">
        <f t="shared" si="11"/>
        <v/>
      </c>
      <c r="AX77" s="39"/>
      <c r="AY77" s="40" t="str">
        <f>IF(ISERROR(IF($K77&lt;=$F$15,VLOOKUP($I77,'表4）CO2価格'!$A$7:$E$67,VLOOKUP($F$48,'表4）CO2価格'!$H$10:$I$12,2,0),0)*$F$8/1000,"")),0,IF($K77&lt;=$F$15,VLOOKUP($I77,'表4）CO2価格'!$A$7:$E$67,VLOOKUP($F$48,'表4）CO2価格'!$H$10:$I$12,2,0),0)*$F$8/1000,""))</f>
        <v/>
      </c>
      <c r="AZ77" s="39"/>
      <c r="BA77" s="42" t="str">
        <f t="shared" si="43"/>
        <v/>
      </c>
      <c r="BB77" s="72" t="str">
        <f t="shared" si="27"/>
        <v/>
      </c>
      <c r="BC77" s="39"/>
      <c r="BD77" s="72" t="str">
        <f t="shared" si="44"/>
        <v/>
      </c>
      <c r="BE77" s="72" t="str">
        <f t="shared" si="28"/>
        <v/>
      </c>
      <c r="BF77" s="39"/>
      <c r="BG77" s="42" t="str">
        <f t="shared" si="45"/>
        <v/>
      </c>
      <c r="BH77" s="72" t="str">
        <f t="shared" si="29"/>
        <v/>
      </c>
      <c r="BI77" s="39"/>
      <c r="BJ77" s="40"/>
      <c r="BK77" s="157"/>
      <c r="BL77" s="157"/>
      <c r="BM77" s="72"/>
      <c r="BN77" s="72" t="str">
        <f>IF(AND(ISNUMBER($F$16),$K77&lt;=$F$16),BQ77*('バイオマス（木質専焼）（2020年）'!$O$15+'バイオマス（木質専焼）（2020年）'!$BK$116)/'バイオマス（木質専焼）（2020年）'!$BL$116,"")</f>
        <v/>
      </c>
      <c r="BO77" s="72" t="str">
        <f t="shared" si="30"/>
        <v/>
      </c>
      <c r="BP77" s="39"/>
      <c r="BQ77" s="72" t="str">
        <f t="shared" si="46"/>
        <v/>
      </c>
      <c r="BR77" s="72" t="str">
        <f t="shared" si="31"/>
        <v/>
      </c>
    </row>
    <row r="78" spans="2:70" x14ac:dyDescent="0.15">
      <c r="E78" s="70" t="s">
        <v>138</v>
      </c>
      <c r="F78" s="488">
        <f>R15/$BR$116</f>
        <v>1.9037793519757626</v>
      </c>
      <c r="G78" s="84" t="s">
        <v>590</v>
      </c>
      <c r="I78" s="457">
        <f t="shared" si="32"/>
        <v>2083</v>
      </c>
      <c r="J78" s="71"/>
      <c r="K78" s="71">
        <f t="shared" si="33"/>
        <v>64</v>
      </c>
      <c r="L78" s="71"/>
      <c r="M78" s="7">
        <f t="shared" si="0"/>
        <v>0.15080565208229488</v>
      </c>
      <c r="N78" s="71"/>
      <c r="O78" s="10" t="str">
        <f t="shared" si="16"/>
        <v/>
      </c>
      <c r="P78" s="29" t="str">
        <f t="shared" si="34"/>
        <v/>
      </c>
      <c r="Q78" s="71"/>
      <c r="R78" s="10" t="str">
        <f t="shared" si="47"/>
        <v/>
      </c>
      <c r="S78" s="71"/>
      <c r="T78" s="10" t="str">
        <f t="shared" si="18"/>
        <v/>
      </c>
      <c r="U78" s="71"/>
      <c r="V78" s="10" t="str">
        <f t="shared" si="35"/>
        <v/>
      </c>
      <c r="W78" s="10" t="str">
        <f t="shared" si="19"/>
        <v/>
      </c>
      <c r="X78" s="71"/>
      <c r="Y78" s="10" t="str">
        <f t="shared" si="36"/>
        <v/>
      </c>
      <c r="Z78" s="10" t="str">
        <f t="shared" si="20"/>
        <v/>
      </c>
      <c r="AA78" s="71"/>
      <c r="AB78" s="10" t="str">
        <f t="shared" si="4"/>
        <v/>
      </c>
      <c r="AC78" s="10" t="str">
        <f t="shared" si="21"/>
        <v/>
      </c>
      <c r="AD78" s="71"/>
      <c r="AE78" s="10" t="str">
        <f t="shared" si="37"/>
        <v/>
      </c>
      <c r="AF78" s="10" t="str">
        <f t="shared" si="22"/>
        <v/>
      </c>
      <c r="AG78" s="71"/>
      <c r="AH78" s="10" t="str">
        <f t="shared" si="38"/>
        <v/>
      </c>
      <c r="AI78" s="10" t="str">
        <f t="shared" si="23"/>
        <v/>
      </c>
      <c r="AJ78" s="71"/>
      <c r="AK78" s="10" t="str">
        <f t="shared" si="39"/>
        <v/>
      </c>
      <c r="AL78" s="10" t="str">
        <f t="shared" si="24"/>
        <v/>
      </c>
      <c r="AM78" s="71"/>
      <c r="AN78" s="10" t="str">
        <f t="shared" si="40"/>
        <v/>
      </c>
      <c r="AO78" s="10" t="str">
        <f t="shared" si="25"/>
        <v/>
      </c>
      <c r="AP78" s="71"/>
      <c r="AQ78" s="10" t="str">
        <f t="shared" si="41"/>
        <v/>
      </c>
      <c r="AR78" s="10" t="str">
        <f t="shared" si="26"/>
        <v/>
      </c>
      <c r="AS78" s="71"/>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U78" s="71"/>
      <c r="AV78" s="10" t="str">
        <f t="shared" si="42"/>
        <v/>
      </c>
      <c r="AW78" s="10" t="str">
        <f t="shared" si="11"/>
        <v/>
      </c>
      <c r="AX78" s="71"/>
      <c r="AY78" s="7" t="str">
        <f>IF(ISERROR(IF($K78&lt;=$F$15,VLOOKUP($I78,'表4）CO2価格'!$A$7:$E$67,VLOOKUP($F$48,'表4）CO2価格'!$H$10:$I$12,2,0),0)*$F$8/1000,"")),0,IF($K78&lt;=$F$15,VLOOKUP($I78,'表4）CO2価格'!$A$7:$E$67,VLOOKUP($F$48,'表4）CO2価格'!$H$10:$I$12,2,0),0)*$F$8/1000,""))</f>
        <v/>
      </c>
      <c r="AZ78" s="71"/>
      <c r="BA78" s="11" t="str">
        <f t="shared" si="43"/>
        <v/>
      </c>
      <c r="BB78" s="10" t="str">
        <f t="shared" si="27"/>
        <v/>
      </c>
      <c r="BC78" s="71"/>
      <c r="BD78" s="10" t="str">
        <f t="shared" si="44"/>
        <v/>
      </c>
      <c r="BE78" s="10" t="str">
        <f t="shared" si="28"/>
        <v/>
      </c>
      <c r="BF78" s="71"/>
      <c r="BG78" s="11" t="str">
        <f t="shared" si="45"/>
        <v/>
      </c>
      <c r="BH78" s="10" t="str">
        <f t="shared" si="29"/>
        <v/>
      </c>
      <c r="BJ78" s="7"/>
      <c r="BK78" s="158"/>
      <c r="BL78" s="158"/>
      <c r="BM78" s="10"/>
      <c r="BN78" s="10" t="str">
        <f>IF(AND(ISNUMBER($F$16),$K78&lt;=$F$16),BQ78*('バイオマス（木質専焼）（2020年）'!$O$15+'バイオマス（木質専焼）（2020年）'!$BK$116)/'バイオマス（木質専焼）（2020年）'!$BL$116,"")</f>
        <v/>
      </c>
      <c r="BO78" s="10" t="str">
        <f t="shared" si="30"/>
        <v/>
      </c>
      <c r="BQ78" s="10" t="str">
        <f t="shared" si="46"/>
        <v/>
      </c>
      <c r="BR78" s="10" t="str">
        <f t="shared" si="31"/>
        <v/>
      </c>
    </row>
    <row r="79" spans="2:70" x14ac:dyDescent="0.15">
      <c r="E79" s="84" t="s">
        <v>139</v>
      </c>
      <c r="F79" s="488">
        <f>Z116/$BR$116</f>
        <v>0.16168737348059203</v>
      </c>
      <c r="G79" s="84" t="s">
        <v>590</v>
      </c>
      <c r="I79" s="38">
        <f t="shared" si="32"/>
        <v>2084</v>
      </c>
      <c r="J79" s="39"/>
      <c r="K79" s="39">
        <f t="shared" si="33"/>
        <v>65</v>
      </c>
      <c r="L79" s="39"/>
      <c r="M79" s="40">
        <f t="shared" ref="M79:M114" si="48">1/(1+($F$9/100))^K79</f>
        <v>0.14641325444882999</v>
      </c>
      <c r="N79" s="39"/>
      <c r="O79" s="72" t="str">
        <f t="shared" si="16"/>
        <v/>
      </c>
      <c r="P79" s="41" t="str">
        <f t="shared" ref="P79:P110" si="49">IF(K79&lt;=$F$15,IF(OR(P78=$F$124,P78="-"),"-",IF(O79*$F$123&gt;$F$127,$F$123,$F$124)),"")</f>
        <v/>
      </c>
      <c r="Q79" s="39"/>
      <c r="R79" s="72" t="str">
        <f t="shared" si="47"/>
        <v/>
      </c>
      <c r="S79" s="39"/>
      <c r="T79" s="72" t="str">
        <f t="shared" si="18"/>
        <v/>
      </c>
      <c r="U79" s="39"/>
      <c r="V79" s="72" t="str">
        <f t="shared" ref="V79:V114" si="50">IF(K79&lt;=$F$15,IF(K79&lt;$F$119,IF(P79="-",V78,O79*P79),IF(K79=$F$119,MIN(IF(P79="-",V78,O79*P79),O79),0)),"")</f>
        <v/>
      </c>
      <c r="W79" s="72" t="str">
        <f t="shared" si="19"/>
        <v/>
      </c>
      <c r="X79" s="39"/>
      <c r="Y79" s="72" t="str">
        <f t="shared" ref="Y79:Y114" si="51">IF($K79&lt;=$F$15,ROUNDDOWN(T79*$F$25/100,-2),"")</f>
        <v/>
      </c>
      <c r="Z79" s="72" t="str">
        <f t="shared" si="20"/>
        <v/>
      </c>
      <c r="AA79" s="39"/>
      <c r="AB79" s="72" t="str">
        <f t="shared" ref="AB79:AB114" si="52">IF($K79&lt;=$F$15,0,IF(AND($K79&gt;$F$15,$K79&lt;=$F$15+$F$28),$F$27*10^8/$F$28,""))</f>
        <v/>
      </c>
      <c r="AC79" s="72" t="str">
        <f t="shared" si="21"/>
        <v/>
      </c>
      <c r="AD79" s="39"/>
      <c r="AE79" s="72" t="str">
        <f t="shared" ref="AE79:AE114" si="53">IF($K79&lt;=$F$15,$F$26,"")</f>
        <v/>
      </c>
      <c r="AF79" s="72" t="str">
        <f t="shared" si="22"/>
        <v/>
      </c>
      <c r="AG79" s="39"/>
      <c r="AH79" s="72" t="str">
        <f t="shared" ref="AH79:AH114" si="54">IF($K79&lt;=$F$15,$F$33*10^8,"")</f>
        <v/>
      </c>
      <c r="AI79" s="72" t="str">
        <f t="shared" si="23"/>
        <v/>
      </c>
      <c r="AJ79" s="39"/>
      <c r="AK79" s="72" t="str">
        <f t="shared" ref="AK79:AK114" si="55">IF($K79&lt;=$F$15,$F$117*$F$34/100,"")</f>
        <v/>
      </c>
      <c r="AL79" s="72" t="str">
        <f t="shared" si="24"/>
        <v/>
      </c>
      <c r="AM79" s="39"/>
      <c r="AN79" s="72" t="str">
        <f t="shared" ref="AN79:AN114" si="56">IF($K79&lt;=$F$15,$F$117*$F$35/100,"")</f>
        <v/>
      </c>
      <c r="AO79" s="72" t="str">
        <f t="shared" si="25"/>
        <v/>
      </c>
      <c r="AP79" s="39"/>
      <c r="AQ79" s="72" t="str">
        <f t="shared" ref="AQ79:AQ114" si="57">IF($K79&lt;=$F$15,SUM(AH79,AK79,AN79)*($F$36/100),"")</f>
        <v/>
      </c>
      <c r="AR79" s="72" t="str">
        <f t="shared" si="26"/>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58">IF($K79&lt;=$F$15,($AT79+$F$142)*$F$137,"")</f>
        <v/>
      </c>
      <c r="AW79" s="72" t="str">
        <f t="shared" ref="AW79:AW114" si="59">IF(ISNUMBER(AV79),AV79*$M79,"")</f>
        <v/>
      </c>
      <c r="AX79" s="39"/>
      <c r="AY79" s="40" t="str">
        <f>IF(ISERROR(IF($K79&lt;=$F$15,VLOOKUP($I79,'表4）CO2価格'!$A$7:$E$67,VLOOKUP($F$48,'表4）CO2価格'!$H$10:$I$12,2,0),0)*$F$8/1000,"")),0,IF($K79&lt;=$F$15,VLOOKUP($I79,'表4）CO2価格'!$A$7:$E$67,VLOOKUP($F$48,'表4）CO2価格'!$H$10:$I$12,2,0),0)*$F$8/1000,""))</f>
        <v/>
      </c>
      <c r="AZ79" s="39"/>
      <c r="BA79" s="42" t="str">
        <f t="shared" ref="BA79:BA114" si="60">IF($K79&lt;=$F$15,$F$145*AY79,"")</f>
        <v/>
      </c>
      <c r="BB79" s="72" t="str">
        <f t="shared" si="27"/>
        <v/>
      </c>
      <c r="BC79" s="39"/>
      <c r="BD79" s="72" t="str">
        <f t="shared" ref="BD79:BD114" si="61">IF($K79&lt;=$F$15,($AT79+$F$152)*$F$151,"")</f>
        <v/>
      </c>
      <c r="BE79" s="72" t="str">
        <f t="shared" si="28"/>
        <v/>
      </c>
      <c r="BF79" s="39"/>
      <c r="BG79" s="42" t="str">
        <f t="shared" ref="BG79:BG114" si="62">IF($K79&lt;=$F$15,$F$153*AY79,"")</f>
        <v/>
      </c>
      <c r="BH79" s="72" t="str">
        <f t="shared" si="29"/>
        <v/>
      </c>
      <c r="BI79" s="39"/>
      <c r="BJ79" s="40"/>
      <c r="BK79" s="157"/>
      <c r="BL79" s="157"/>
      <c r="BM79" s="72"/>
      <c r="BN79" s="72" t="str">
        <f>IF(AND(ISNUMBER($F$16),$K79&lt;=$F$16),BQ79*('バイオマス（木質専焼）（2020年）'!$O$15+'バイオマス（木質専焼）（2020年）'!$BK$116)/'バイオマス（木質専焼）（2020年）'!$BL$116,"")</f>
        <v/>
      </c>
      <c r="BO79" s="72" t="str">
        <f t="shared" si="30"/>
        <v/>
      </c>
      <c r="BP79" s="39"/>
      <c r="BQ79" s="72" t="str">
        <f t="shared" ref="BQ79:BQ114" si="63">IF($K79&lt;=$F$15,$F$134,"")</f>
        <v/>
      </c>
      <c r="BR79" s="72" t="str">
        <f t="shared" si="31"/>
        <v/>
      </c>
    </row>
    <row r="80" spans="2:70" x14ac:dyDescent="0.15">
      <c r="E80" s="84" t="s">
        <v>115</v>
      </c>
      <c r="F80" s="488">
        <f>AF116/$BR$116</f>
        <v>0</v>
      </c>
      <c r="G80" s="84" t="s">
        <v>590</v>
      </c>
      <c r="I80" s="457">
        <f t="shared" si="32"/>
        <v>2085</v>
      </c>
      <c r="J80" s="71"/>
      <c r="K80" s="71">
        <f t="shared" si="33"/>
        <v>66</v>
      </c>
      <c r="L80" s="71"/>
      <c r="M80" s="7">
        <f t="shared" si="48"/>
        <v>0.14214879072701941</v>
      </c>
      <c r="N80" s="71"/>
      <c r="O80" s="10" t="str">
        <f t="shared" ref="O80:O114" si="64">IF(K80&lt;=$F$15,O79-V79,"")</f>
        <v/>
      </c>
      <c r="P80" s="29" t="str">
        <f t="shared" si="49"/>
        <v/>
      </c>
      <c r="Q80" s="71"/>
      <c r="R80" s="10" t="str">
        <f t="shared" ref="R80:R114" si="65">IF($K80&lt;=$F$15,MAX($F$117*5%,R79*$F$129),"")</f>
        <v/>
      </c>
      <c r="S80" s="71"/>
      <c r="T80" s="10" t="str">
        <f t="shared" ref="T80:T114" si="66">IF(ISNUMBER(R80),ROUNDDOWN(R80,-3),"")</f>
        <v/>
      </c>
      <c r="U80" s="71"/>
      <c r="V80" s="10" t="str">
        <f t="shared" si="50"/>
        <v/>
      </c>
      <c r="W80" s="10" t="str">
        <f t="shared" ref="W80:W114" si="67">IF(ISNUMBER(V80),V80*$M80,"")</f>
        <v/>
      </c>
      <c r="X80" s="71"/>
      <c r="Y80" s="10" t="str">
        <f t="shared" si="51"/>
        <v/>
      </c>
      <c r="Z80" s="10" t="str">
        <f t="shared" ref="Z80:Z114" si="68">IF(ISNUMBER(Y80),Y80*$M80,"")</f>
        <v/>
      </c>
      <c r="AA80" s="71"/>
      <c r="AB80" s="10" t="str">
        <f t="shared" si="52"/>
        <v/>
      </c>
      <c r="AC80" s="10" t="str">
        <f t="shared" ref="AC80:AC114" si="69">IF(ISNUMBER(AB80),AB80*$M80,"")</f>
        <v/>
      </c>
      <c r="AD80" s="71"/>
      <c r="AE80" s="10" t="str">
        <f t="shared" si="53"/>
        <v/>
      </c>
      <c r="AF80" s="10" t="str">
        <f t="shared" ref="AF80:AF114" si="70">IF(ISNUMBER(AE80),AE80*$M80,"")</f>
        <v/>
      </c>
      <c r="AG80" s="71"/>
      <c r="AH80" s="10" t="str">
        <f t="shared" si="54"/>
        <v/>
      </c>
      <c r="AI80" s="10" t="str">
        <f t="shared" ref="AI80:AI114" si="71">IF(ISNUMBER(AH80),AH80*$M80,"")</f>
        <v/>
      </c>
      <c r="AJ80" s="71"/>
      <c r="AK80" s="10" t="str">
        <f t="shared" si="55"/>
        <v/>
      </c>
      <c r="AL80" s="10" t="str">
        <f t="shared" ref="AL80:AL114" si="72">IF(ISNUMBER(AK80),AK80*$M80,"")</f>
        <v/>
      </c>
      <c r="AM80" s="71"/>
      <c r="AN80" s="10" t="str">
        <f t="shared" si="56"/>
        <v/>
      </c>
      <c r="AO80" s="10" t="str">
        <f t="shared" ref="AO80:AO114" si="73">IF(ISNUMBER(AN80),AN80*$M80,"")</f>
        <v/>
      </c>
      <c r="AP80" s="71"/>
      <c r="AQ80" s="10" t="str">
        <f t="shared" si="57"/>
        <v/>
      </c>
      <c r="AR80" s="10" t="str">
        <f t="shared" ref="AR80:AR114" si="74">IF(ISNUMBER(AQ80),AQ80*$M80,"")</f>
        <v/>
      </c>
      <c r="AS80" s="71"/>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U80" s="71"/>
      <c r="AV80" s="10" t="str">
        <f t="shared" si="58"/>
        <v/>
      </c>
      <c r="AW80" s="10" t="str">
        <f t="shared" si="59"/>
        <v/>
      </c>
      <c r="AX80" s="71"/>
      <c r="AY80" s="7" t="str">
        <f>IF(ISERROR(IF($K80&lt;=$F$15,VLOOKUP($I80,'表4）CO2価格'!$A$7:$E$67,VLOOKUP($F$48,'表4）CO2価格'!$H$10:$I$12,2,0),0)*$F$8/1000,"")),0,IF($K80&lt;=$F$15,VLOOKUP($I80,'表4）CO2価格'!$A$7:$E$67,VLOOKUP($F$48,'表4）CO2価格'!$H$10:$I$12,2,0),0)*$F$8/1000,""))</f>
        <v/>
      </c>
      <c r="AZ80" s="71"/>
      <c r="BA80" s="11" t="str">
        <f t="shared" si="60"/>
        <v/>
      </c>
      <c r="BB80" s="10" t="str">
        <f t="shared" ref="BB80:BB114" si="75">IF(ISNUMBER(BA80),BA80*$M80,"")</f>
        <v/>
      </c>
      <c r="BC80" s="71"/>
      <c r="BD80" s="10" t="str">
        <f t="shared" si="61"/>
        <v/>
      </c>
      <c r="BE80" s="10" t="str">
        <f t="shared" ref="BE80:BE114" si="76">IF(ISNUMBER(BD80),BD80*$M80,"")</f>
        <v/>
      </c>
      <c r="BF80" s="71"/>
      <c r="BG80" s="11" t="str">
        <f t="shared" si="62"/>
        <v/>
      </c>
      <c r="BH80" s="10" t="str">
        <f t="shared" ref="BH80:BH114" si="77">IF(ISNUMBER(BG80),BG80*$M80,"")</f>
        <v/>
      </c>
      <c r="BJ80" s="7"/>
      <c r="BK80" s="158"/>
      <c r="BL80" s="158"/>
      <c r="BM80" s="10"/>
      <c r="BN80" s="10" t="str">
        <f>IF(AND(ISNUMBER($F$16),$K80&lt;=$F$16),BQ80*('バイオマス（木質専焼）（2020年）'!$O$15+'バイオマス（木質専焼）（2020年）'!$BK$116)/'バイオマス（木質専焼）（2020年）'!$BL$116,"")</f>
        <v/>
      </c>
      <c r="BO80" s="10" t="str">
        <f t="shared" ref="BO80:BO114" si="78">IF(ISNUMBER(BN80),BN80*$M80,"")</f>
        <v/>
      </c>
      <c r="BQ80" s="10" t="str">
        <f t="shared" si="63"/>
        <v/>
      </c>
      <c r="BR80" s="10" t="str">
        <f t="shared" ref="BR80:BR114" si="79">IF(ISNUMBER(BQ80),BQ80*$M80,"")</f>
        <v/>
      </c>
    </row>
    <row r="81" spans="4:70" x14ac:dyDescent="0.15">
      <c r="E81" s="160" t="s">
        <v>86</v>
      </c>
      <c r="F81" s="488">
        <f>AC116/$BR$116</f>
        <v>2.8330902120004615E-2</v>
      </c>
      <c r="G81" s="84" t="s">
        <v>590</v>
      </c>
      <c r="I81" s="38">
        <f t="shared" ref="I81:I114" si="80">I80+1</f>
        <v>2086</v>
      </c>
      <c r="J81" s="39"/>
      <c r="K81" s="39">
        <f t="shared" ref="K81:K114" si="81">IF(I81&lt;&gt;"",K80+1,"")</f>
        <v>67</v>
      </c>
      <c r="L81" s="39"/>
      <c r="M81" s="40">
        <f t="shared" si="48"/>
        <v>0.1380085346864266</v>
      </c>
      <c r="N81" s="39"/>
      <c r="O81" s="72" t="str">
        <f t="shared" si="64"/>
        <v/>
      </c>
      <c r="P81" s="41" t="str">
        <f t="shared" si="49"/>
        <v/>
      </c>
      <c r="Q81" s="39"/>
      <c r="R81" s="72" t="str">
        <f t="shared" si="65"/>
        <v/>
      </c>
      <c r="S81" s="39"/>
      <c r="T81" s="72" t="str">
        <f t="shared" si="66"/>
        <v/>
      </c>
      <c r="U81" s="39"/>
      <c r="V81" s="72" t="str">
        <f t="shared" si="50"/>
        <v/>
      </c>
      <c r="W81" s="72" t="str">
        <f t="shared" si="67"/>
        <v/>
      </c>
      <c r="X81" s="39"/>
      <c r="Y81" s="72" t="str">
        <f t="shared" si="51"/>
        <v/>
      </c>
      <c r="Z81" s="72" t="str">
        <f t="shared" si="68"/>
        <v/>
      </c>
      <c r="AA81" s="39"/>
      <c r="AB81" s="72" t="str">
        <f t="shared" si="52"/>
        <v/>
      </c>
      <c r="AC81" s="72" t="str">
        <f t="shared" si="69"/>
        <v/>
      </c>
      <c r="AD81" s="39"/>
      <c r="AE81" s="72" t="str">
        <f t="shared" si="53"/>
        <v/>
      </c>
      <c r="AF81" s="72" t="str">
        <f t="shared" si="70"/>
        <v/>
      </c>
      <c r="AG81" s="39"/>
      <c r="AH81" s="72" t="str">
        <f t="shared" si="54"/>
        <v/>
      </c>
      <c r="AI81" s="72" t="str">
        <f t="shared" si="71"/>
        <v/>
      </c>
      <c r="AJ81" s="39"/>
      <c r="AK81" s="72" t="str">
        <f t="shared" si="55"/>
        <v/>
      </c>
      <c r="AL81" s="72" t="str">
        <f t="shared" si="72"/>
        <v/>
      </c>
      <c r="AM81" s="39"/>
      <c r="AN81" s="72" t="str">
        <f t="shared" si="56"/>
        <v/>
      </c>
      <c r="AO81" s="72" t="str">
        <f t="shared" si="73"/>
        <v/>
      </c>
      <c r="AP81" s="39"/>
      <c r="AQ81" s="72" t="str">
        <f t="shared" si="57"/>
        <v/>
      </c>
      <c r="AR81" s="72" t="str">
        <f t="shared" si="74"/>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58"/>
        <v/>
      </c>
      <c r="AW81" s="72" t="str">
        <f t="shared" si="59"/>
        <v/>
      </c>
      <c r="AX81" s="39"/>
      <c r="AY81" s="40" t="str">
        <f>IF(ISERROR(IF($K81&lt;=$F$15,VLOOKUP($I81,'表4）CO2価格'!$A$7:$E$67,VLOOKUP($F$48,'表4）CO2価格'!$H$10:$I$12,2,0),0)*$F$8/1000,"")),0,IF($K81&lt;=$F$15,VLOOKUP($I81,'表4）CO2価格'!$A$7:$E$67,VLOOKUP($F$48,'表4）CO2価格'!$H$10:$I$12,2,0),0)*$F$8/1000,""))</f>
        <v/>
      </c>
      <c r="AZ81" s="39"/>
      <c r="BA81" s="42" t="str">
        <f t="shared" si="60"/>
        <v/>
      </c>
      <c r="BB81" s="72" t="str">
        <f t="shared" si="75"/>
        <v/>
      </c>
      <c r="BC81" s="39"/>
      <c r="BD81" s="72" t="str">
        <f t="shared" si="61"/>
        <v/>
      </c>
      <c r="BE81" s="72" t="str">
        <f t="shared" si="76"/>
        <v/>
      </c>
      <c r="BF81" s="39"/>
      <c r="BG81" s="42" t="str">
        <f t="shared" si="62"/>
        <v/>
      </c>
      <c r="BH81" s="72" t="str">
        <f t="shared" si="77"/>
        <v/>
      </c>
      <c r="BI81" s="39"/>
      <c r="BJ81" s="40"/>
      <c r="BK81" s="157"/>
      <c r="BL81" s="157"/>
      <c r="BM81" s="72"/>
      <c r="BN81" s="72" t="str">
        <f>IF(AND(ISNUMBER($F$16),$K81&lt;=$F$16),BQ81*('バイオマス（木質専焼）（2020年）'!$O$15+'バイオマス（木質専焼）（2020年）'!$BK$116)/'バイオマス（木質専焼）（2020年）'!$BL$116,"")</f>
        <v/>
      </c>
      <c r="BO81" s="72" t="str">
        <f t="shared" si="78"/>
        <v/>
      </c>
      <c r="BP81" s="39"/>
      <c r="BQ81" s="72" t="str">
        <f t="shared" si="63"/>
        <v/>
      </c>
      <c r="BR81" s="72" t="str">
        <f t="shared" si="79"/>
        <v/>
      </c>
    </row>
    <row r="82" spans="4:70" x14ac:dyDescent="0.15">
      <c r="F82" s="487"/>
      <c r="I82" s="457">
        <f t="shared" si="80"/>
        <v>2087</v>
      </c>
      <c r="J82" s="71"/>
      <c r="K82" s="71">
        <f t="shared" si="81"/>
        <v>68</v>
      </c>
      <c r="L82" s="71"/>
      <c r="M82" s="7">
        <f t="shared" si="48"/>
        <v>0.13398886862759865</v>
      </c>
      <c r="N82" s="71"/>
      <c r="O82" s="10" t="str">
        <f t="shared" si="64"/>
        <v/>
      </c>
      <c r="P82" s="29" t="str">
        <f t="shared" si="49"/>
        <v/>
      </c>
      <c r="Q82" s="71"/>
      <c r="R82" s="10" t="str">
        <f t="shared" si="65"/>
        <v/>
      </c>
      <c r="S82" s="71"/>
      <c r="T82" s="10" t="str">
        <f t="shared" si="66"/>
        <v/>
      </c>
      <c r="U82" s="71"/>
      <c r="V82" s="10" t="str">
        <f t="shared" si="50"/>
        <v/>
      </c>
      <c r="W82" s="10" t="str">
        <f t="shared" si="67"/>
        <v/>
      </c>
      <c r="X82" s="71"/>
      <c r="Y82" s="10" t="str">
        <f t="shared" si="51"/>
        <v/>
      </c>
      <c r="Z82" s="10" t="str">
        <f t="shared" si="68"/>
        <v/>
      </c>
      <c r="AA82" s="71"/>
      <c r="AB82" s="10" t="str">
        <f t="shared" si="52"/>
        <v/>
      </c>
      <c r="AC82" s="10" t="str">
        <f t="shared" si="69"/>
        <v/>
      </c>
      <c r="AD82" s="71"/>
      <c r="AE82" s="10" t="str">
        <f t="shared" si="53"/>
        <v/>
      </c>
      <c r="AF82" s="10" t="str">
        <f t="shared" si="70"/>
        <v/>
      </c>
      <c r="AG82" s="71"/>
      <c r="AH82" s="10" t="str">
        <f t="shared" si="54"/>
        <v/>
      </c>
      <c r="AI82" s="10" t="str">
        <f t="shared" si="71"/>
        <v/>
      </c>
      <c r="AJ82" s="71"/>
      <c r="AK82" s="10" t="str">
        <f t="shared" si="55"/>
        <v/>
      </c>
      <c r="AL82" s="10" t="str">
        <f t="shared" si="72"/>
        <v/>
      </c>
      <c r="AM82" s="71"/>
      <c r="AN82" s="10" t="str">
        <f t="shared" si="56"/>
        <v/>
      </c>
      <c r="AO82" s="10" t="str">
        <f t="shared" si="73"/>
        <v/>
      </c>
      <c r="AP82" s="71"/>
      <c r="AQ82" s="10" t="str">
        <f t="shared" si="57"/>
        <v/>
      </c>
      <c r="AR82" s="10" t="str">
        <f t="shared" si="74"/>
        <v/>
      </c>
      <c r="AS82" s="71"/>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U82" s="71"/>
      <c r="AV82" s="10" t="str">
        <f t="shared" si="58"/>
        <v/>
      </c>
      <c r="AW82" s="10" t="str">
        <f t="shared" si="59"/>
        <v/>
      </c>
      <c r="AX82" s="71"/>
      <c r="AY82" s="7" t="str">
        <f>IF(ISERROR(IF($K82&lt;=$F$15,VLOOKUP($I82,'表4）CO2価格'!$A$7:$E$67,VLOOKUP($F$48,'表4）CO2価格'!$H$10:$I$12,2,0),0)*$F$8/1000,"")),0,IF($K82&lt;=$F$15,VLOOKUP($I82,'表4）CO2価格'!$A$7:$E$67,VLOOKUP($F$48,'表4）CO2価格'!$H$10:$I$12,2,0),0)*$F$8/1000,""))</f>
        <v/>
      </c>
      <c r="AZ82" s="71"/>
      <c r="BA82" s="11" t="str">
        <f t="shared" si="60"/>
        <v/>
      </c>
      <c r="BB82" s="10" t="str">
        <f t="shared" si="75"/>
        <v/>
      </c>
      <c r="BC82" s="71"/>
      <c r="BD82" s="10" t="str">
        <f t="shared" si="61"/>
        <v/>
      </c>
      <c r="BE82" s="10" t="str">
        <f t="shared" si="76"/>
        <v/>
      </c>
      <c r="BF82" s="71"/>
      <c r="BG82" s="11" t="str">
        <f t="shared" si="62"/>
        <v/>
      </c>
      <c r="BH82" s="10" t="str">
        <f t="shared" si="77"/>
        <v/>
      </c>
      <c r="BJ82" s="7"/>
      <c r="BK82" s="158"/>
      <c r="BL82" s="158"/>
      <c r="BM82" s="10"/>
      <c r="BN82" s="10" t="str">
        <f>IF(AND(ISNUMBER($F$16),$K82&lt;=$F$16),BQ82*('バイオマス（木質専焼）（2020年）'!$O$15+'バイオマス（木質専焼）（2020年）'!$BK$116)/'バイオマス（木質専焼）（2020年）'!$BL$116,"")</f>
        <v/>
      </c>
      <c r="BO82" s="10" t="str">
        <f t="shared" si="78"/>
        <v/>
      </c>
      <c r="BQ82" s="10" t="str">
        <f t="shared" si="63"/>
        <v/>
      </c>
      <c r="BR82" s="10" t="str">
        <f t="shared" si="79"/>
        <v/>
      </c>
    </row>
    <row r="83" spans="4:70" ht="15" x14ac:dyDescent="0.15">
      <c r="D83" s="103" t="s">
        <v>593</v>
      </c>
      <c r="F83" s="484">
        <f>SUBTOTAL(9,F87:F90)</f>
        <v>2.3929144608484845</v>
      </c>
      <c r="G83" s="84" t="s">
        <v>590</v>
      </c>
      <c r="I83" s="38">
        <f>I82+1</f>
        <v>2088</v>
      </c>
      <c r="J83" s="39"/>
      <c r="K83" s="39">
        <f>IF(I83&lt;&gt;"",K82+1,"")</f>
        <v>69</v>
      </c>
      <c r="L83" s="39"/>
      <c r="M83" s="40">
        <f t="shared" si="48"/>
        <v>0.13008628022096957</v>
      </c>
      <c r="N83" s="39"/>
      <c r="O83" s="72" t="str">
        <f t="shared" si="64"/>
        <v/>
      </c>
      <c r="P83" s="41" t="str">
        <f t="shared" si="49"/>
        <v/>
      </c>
      <c r="Q83" s="39"/>
      <c r="R83" s="72" t="str">
        <f t="shared" si="65"/>
        <v/>
      </c>
      <c r="S83" s="39"/>
      <c r="T83" s="72" t="str">
        <f t="shared" si="66"/>
        <v/>
      </c>
      <c r="U83" s="39"/>
      <c r="V83" s="72" t="str">
        <f t="shared" si="50"/>
        <v/>
      </c>
      <c r="W83" s="72" t="str">
        <f t="shared" si="67"/>
        <v/>
      </c>
      <c r="X83" s="39"/>
      <c r="Y83" s="72" t="str">
        <f t="shared" si="51"/>
        <v/>
      </c>
      <c r="Z83" s="72" t="str">
        <f t="shared" si="68"/>
        <v/>
      </c>
      <c r="AA83" s="39"/>
      <c r="AB83" s="72" t="str">
        <f t="shared" si="52"/>
        <v/>
      </c>
      <c r="AC83" s="72" t="str">
        <f t="shared" si="69"/>
        <v/>
      </c>
      <c r="AD83" s="39"/>
      <c r="AE83" s="72" t="str">
        <f t="shared" si="53"/>
        <v/>
      </c>
      <c r="AF83" s="72" t="str">
        <f t="shared" si="70"/>
        <v/>
      </c>
      <c r="AG83" s="39"/>
      <c r="AH83" s="72" t="str">
        <f t="shared" si="54"/>
        <v/>
      </c>
      <c r="AI83" s="72" t="str">
        <f t="shared" si="71"/>
        <v/>
      </c>
      <c r="AJ83" s="39"/>
      <c r="AK83" s="72" t="str">
        <f t="shared" si="55"/>
        <v/>
      </c>
      <c r="AL83" s="72" t="str">
        <f t="shared" si="72"/>
        <v/>
      </c>
      <c r="AM83" s="39"/>
      <c r="AN83" s="72" t="str">
        <f t="shared" si="56"/>
        <v/>
      </c>
      <c r="AO83" s="72" t="str">
        <f t="shared" si="73"/>
        <v/>
      </c>
      <c r="AP83" s="39"/>
      <c r="AQ83" s="72" t="str">
        <f t="shared" si="57"/>
        <v/>
      </c>
      <c r="AR83" s="72" t="str">
        <f t="shared" si="74"/>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58"/>
        <v/>
      </c>
      <c r="AW83" s="72" t="str">
        <f t="shared" si="59"/>
        <v/>
      </c>
      <c r="AX83" s="39"/>
      <c r="AY83" s="40" t="str">
        <f>IF(ISERROR(IF($K83&lt;=$F$15,VLOOKUP($I83,'表4）CO2価格'!$A$7:$E$67,VLOOKUP($F$48,'表4）CO2価格'!$H$10:$I$12,2,0),0)*$F$8/1000,"")),0,IF($K83&lt;=$F$15,VLOOKUP($I83,'表4）CO2価格'!$A$7:$E$67,VLOOKUP($F$48,'表4）CO2価格'!$H$10:$I$12,2,0),0)*$F$8/1000,""))</f>
        <v/>
      </c>
      <c r="AZ83" s="39"/>
      <c r="BA83" s="42" t="str">
        <f t="shared" si="60"/>
        <v/>
      </c>
      <c r="BB83" s="72" t="str">
        <f t="shared" si="75"/>
        <v/>
      </c>
      <c r="BC83" s="39"/>
      <c r="BD83" s="72" t="str">
        <f t="shared" si="61"/>
        <v/>
      </c>
      <c r="BE83" s="72" t="str">
        <f t="shared" si="76"/>
        <v/>
      </c>
      <c r="BF83" s="39"/>
      <c r="BG83" s="42" t="str">
        <f t="shared" si="62"/>
        <v/>
      </c>
      <c r="BH83" s="72" t="str">
        <f t="shared" si="77"/>
        <v/>
      </c>
      <c r="BI83" s="39"/>
      <c r="BJ83" s="40"/>
      <c r="BK83" s="157"/>
      <c r="BL83" s="157"/>
      <c r="BM83" s="72"/>
      <c r="BN83" s="72" t="str">
        <f>IF(AND(ISNUMBER($F$16),$K83&lt;=$F$16),BQ83*('バイオマス（木質専焼）（2020年）'!$O$15+'バイオマス（木質専焼）（2020年）'!$BK$116)/'バイオマス（木質専焼）（2020年）'!$BL$116,"")</f>
        <v/>
      </c>
      <c r="BO83" s="72" t="str">
        <f t="shared" si="78"/>
        <v/>
      </c>
      <c r="BP83" s="39"/>
      <c r="BQ83" s="72" t="str">
        <f t="shared" si="63"/>
        <v/>
      </c>
      <c r="BR83" s="72" t="str">
        <f t="shared" si="79"/>
        <v/>
      </c>
    </row>
    <row r="84" spans="4:70" x14ac:dyDescent="0.15">
      <c r="F84" s="487"/>
      <c r="I84" s="457">
        <f t="shared" si="80"/>
        <v>2089</v>
      </c>
      <c r="J84" s="71"/>
      <c r="K84" s="71">
        <f t="shared" si="81"/>
        <v>70</v>
      </c>
      <c r="L84" s="71"/>
      <c r="M84" s="7">
        <f t="shared" si="48"/>
        <v>0.12629735943783454</v>
      </c>
      <c r="N84" s="71"/>
      <c r="O84" s="10" t="str">
        <f t="shared" si="64"/>
        <v/>
      </c>
      <c r="P84" s="29" t="str">
        <f t="shared" si="49"/>
        <v/>
      </c>
      <c r="Q84" s="71"/>
      <c r="R84" s="10" t="str">
        <f t="shared" si="65"/>
        <v/>
      </c>
      <c r="S84" s="71"/>
      <c r="T84" s="10" t="str">
        <f t="shared" si="66"/>
        <v/>
      </c>
      <c r="U84" s="71"/>
      <c r="V84" s="10" t="str">
        <f t="shared" si="50"/>
        <v/>
      </c>
      <c r="W84" s="10" t="str">
        <f t="shared" si="67"/>
        <v/>
      </c>
      <c r="X84" s="71"/>
      <c r="Y84" s="10" t="str">
        <f t="shared" si="51"/>
        <v/>
      </c>
      <c r="Z84" s="10" t="str">
        <f t="shared" si="68"/>
        <v/>
      </c>
      <c r="AA84" s="71"/>
      <c r="AB84" s="10" t="str">
        <f t="shared" si="52"/>
        <v/>
      </c>
      <c r="AC84" s="10" t="str">
        <f t="shared" si="69"/>
        <v/>
      </c>
      <c r="AD84" s="71"/>
      <c r="AE84" s="10" t="str">
        <f t="shared" si="53"/>
        <v/>
      </c>
      <c r="AF84" s="10" t="str">
        <f t="shared" si="70"/>
        <v/>
      </c>
      <c r="AG84" s="71"/>
      <c r="AH84" s="10" t="str">
        <f t="shared" si="54"/>
        <v/>
      </c>
      <c r="AI84" s="10" t="str">
        <f t="shared" si="71"/>
        <v/>
      </c>
      <c r="AJ84" s="71"/>
      <c r="AK84" s="10" t="str">
        <f t="shared" si="55"/>
        <v/>
      </c>
      <c r="AL84" s="10" t="str">
        <f t="shared" si="72"/>
        <v/>
      </c>
      <c r="AM84" s="71"/>
      <c r="AN84" s="10" t="str">
        <f t="shared" si="56"/>
        <v/>
      </c>
      <c r="AO84" s="10" t="str">
        <f t="shared" si="73"/>
        <v/>
      </c>
      <c r="AP84" s="71"/>
      <c r="AQ84" s="10" t="str">
        <f t="shared" si="57"/>
        <v/>
      </c>
      <c r="AR84" s="10" t="str">
        <f t="shared" si="74"/>
        <v/>
      </c>
      <c r="AS84" s="71"/>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U84" s="71"/>
      <c r="AV84" s="10" t="str">
        <f t="shared" si="58"/>
        <v/>
      </c>
      <c r="AW84" s="10" t="str">
        <f t="shared" si="59"/>
        <v/>
      </c>
      <c r="AX84" s="71"/>
      <c r="AY84" s="7" t="str">
        <f>IF(ISERROR(IF($K84&lt;=$F$15,VLOOKUP($I84,'表4）CO2価格'!$A$7:$E$67,VLOOKUP($F$48,'表4）CO2価格'!$H$10:$I$12,2,0),0)*$F$8/1000,"")),0,IF($K84&lt;=$F$15,VLOOKUP($I84,'表4）CO2価格'!$A$7:$E$67,VLOOKUP($F$48,'表4）CO2価格'!$H$10:$I$12,2,0),0)*$F$8/1000,""))</f>
        <v/>
      </c>
      <c r="AZ84" s="71"/>
      <c r="BA84" s="11" t="str">
        <f t="shared" si="60"/>
        <v/>
      </c>
      <c r="BB84" s="10" t="str">
        <f t="shared" si="75"/>
        <v/>
      </c>
      <c r="BC84" s="71"/>
      <c r="BD84" s="10" t="str">
        <f t="shared" si="61"/>
        <v/>
      </c>
      <c r="BE84" s="10" t="str">
        <f t="shared" si="76"/>
        <v/>
      </c>
      <c r="BF84" s="71"/>
      <c r="BG84" s="11" t="str">
        <f t="shared" si="62"/>
        <v/>
      </c>
      <c r="BH84" s="10" t="str">
        <f t="shared" si="77"/>
        <v/>
      </c>
      <c r="BJ84" s="7"/>
      <c r="BK84" s="158"/>
      <c r="BL84" s="158"/>
      <c r="BM84" s="10"/>
      <c r="BN84" s="10" t="str">
        <f>IF(AND(ISNUMBER($F$16),$K84&lt;=$F$16),BQ84*('バイオマス（木質専焼）（2020年）'!$O$15+'バイオマス（木質専焼）（2020年）'!$BK$116)/'バイオマス（木質専焼）（2020年）'!$BL$116,"")</f>
        <v/>
      </c>
      <c r="BO84" s="10" t="str">
        <f t="shared" si="78"/>
        <v/>
      </c>
      <c r="BQ84" s="10" t="str">
        <f t="shared" si="63"/>
        <v/>
      </c>
      <c r="BR84" s="10" t="str">
        <f t="shared" si="79"/>
        <v/>
      </c>
    </row>
    <row r="85" spans="4:70" x14ac:dyDescent="0.15">
      <c r="D85" s="100" t="s">
        <v>594</v>
      </c>
      <c r="E85" s="489"/>
      <c r="F85" s="486"/>
      <c r="G85" s="100"/>
      <c r="I85" s="38">
        <f t="shared" si="80"/>
        <v>2090</v>
      </c>
      <c r="J85" s="39"/>
      <c r="K85" s="39">
        <f t="shared" si="81"/>
        <v>71</v>
      </c>
      <c r="L85" s="39"/>
      <c r="M85" s="40">
        <f t="shared" si="48"/>
        <v>0.12261879557071313</v>
      </c>
      <c r="N85" s="39"/>
      <c r="O85" s="72" t="str">
        <f t="shared" si="64"/>
        <v/>
      </c>
      <c r="P85" s="41" t="str">
        <f t="shared" si="49"/>
        <v/>
      </c>
      <c r="Q85" s="39"/>
      <c r="R85" s="72" t="str">
        <f t="shared" si="65"/>
        <v/>
      </c>
      <c r="S85" s="39"/>
      <c r="T85" s="72" t="str">
        <f t="shared" si="66"/>
        <v/>
      </c>
      <c r="U85" s="39"/>
      <c r="V85" s="72" t="str">
        <f t="shared" si="50"/>
        <v/>
      </c>
      <c r="W85" s="72" t="str">
        <f t="shared" si="67"/>
        <v/>
      </c>
      <c r="X85" s="39"/>
      <c r="Y85" s="72" t="str">
        <f t="shared" si="51"/>
        <v/>
      </c>
      <c r="Z85" s="72" t="str">
        <f t="shared" si="68"/>
        <v/>
      </c>
      <c r="AA85" s="39"/>
      <c r="AB85" s="72" t="str">
        <f t="shared" si="52"/>
        <v/>
      </c>
      <c r="AC85" s="72" t="str">
        <f t="shared" si="69"/>
        <v/>
      </c>
      <c r="AD85" s="39"/>
      <c r="AE85" s="72" t="str">
        <f t="shared" si="53"/>
        <v/>
      </c>
      <c r="AF85" s="72" t="str">
        <f t="shared" si="70"/>
        <v/>
      </c>
      <c r="AG85" s="39"/>
      <c r="AH85" s="72" t="str">
        <f t="shared" si="54"/>
        <v/>
      </c>
      <c r="AI85" s="72" t="str">
        <f t="shared" si="71"/>
        <v/>
      </c>
      <c r="AJ85" s="39"/>
      <c r="AK85" s="72" t="str">
        <f t="shared" si="55"/>
        <v/>
      </c>
      <c r="AL85" s="72" t="str">
        <f t="shared" si="72"/>
        <v/>
      </c>
      <c r="AM85" s="39"/>
      <c r="AN85" s="72" t="str">
        <f t="shared" si="56"/>
        <v/>
      </c>
      <c r="AO85" s="72" t="str">
        <f t="shared" si="73"/>
        <v/>
      </c>
      <c r="AP85" s="39"/>
      <c r="AQ85" s="72" t="str">
        <f t="shared" si="57"/>
        <v/>
      </c>
      <c r="AR85" s="72" t="str">
        <f t="shared" si="74"/>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58"/>
        <v/>
      </c>
      <c r="AW85" s="72" t="str">
        <f t="shared" si="59"/>
        <v/>
      </c>
      <c r="AX85" s="39"/>
      <c r="AY85" s="40" t="str">
        <f>IF(ISERROR(IF($K85&lt;=$F$15,VLOOKUP($I85,'表4）CO2価格'!$A$7:$E$67,VLOOKUP($F$48,'表4）CO2価格'!$H$10:$I$12,2,0),0)*$F$8/1000,"")),0,IF($K85&lt;=$F$15,VLOOKUP($I85,'表4）CO2価格'!$A$7:$E$67,VLOOKUP($F$48,'表4）CO2価格'!$H$10:$I$12,2,0),0)*$F$8/1000,""))</f>
        <v/>
      </c>
      <c r="AZ85" s="39"/>
      <c r="BA85" s="42" t="str">
        <f t="shared" si="60"/>
        <v/>
      </c>
      <c r="BB85" s="72" t="str">
        <f t="shared" si="75"/>
        <v/>
      </c>
      <c r="BC85" s="39"/>
      <c r="BD85" s="72" t="str">
        <f t="shared" si="61"/>
        <v/>
      </c>
      <c r="BE85" s="72" t="str">
        <f t="shared" si="76"/>
        <v/>
      </c>
      <c r="BF85" s="39"/>
      <c r="BG85" s="42" t="str">
        <f t="shared" si="62"/>
        <v/>
      </c>
      <c r="BH85" s="72" t="str">
        <f t="shared" si="77"/>
        <v/>
      </c>
      <c r="BI85" s="39"/>
      <c r="BJ85" s="40"/>
      <c r="BK85" s="157"/>
      <c r="BL85" s="157"/>
      <c r="BM85" s="72"/>
      <c r="BN85" s="72" t="str">
        <f>IF(AND(ISNUMBER($F$16),$K85&lt;=$F$16),BQ85*('バイオマス（木質専焼）（2020年）'!$O$15+'バイオマス（木質専焼）（2020年）'!$BK$116)/'バイオマス（木質専焼）（2020年）'!$BL$116,"")</f>
        <v/>
      </c>
      <c r="BO85" s="72" t="str">
        <f t="shared" si="78"/>
        <v/>
      </c>
      <c r="BP85" s="39"/>
      <c r="BQ85" s="72" t="str">
        <f t="shared" si="63"/>
        <v/>
      </c>
      <c r="BR85" s="72" t="str">
        <f t="shared" si="79"/>
        <v/>
      </c>
    </row>
    <row r="86" spans="4:70" x14ac:dyDescent="0.15">
      <c r="F86" s="487"/>
      <c r="I86" s="457">
        <f t="shared" si="80"/>
        <v>2091</v>
      </c>
      <c r="J86" s="71"/>
      <c r="K86" s="71">
        <f t="shared" si="81"/>
        <v>72</v>
      </c>
      <c r="L86" s="71"/>
      <c r="M86" s="7">
        <f t="shared" si="48"/>
        <v>0.1190473743404982</v>
      </c>
      <c r="N86" s="71"/>
      <c r="O86" s="10" t="str">
        <f t="shared" si="64"/>
        <v/>
      </c>
      <c r="P86" s="29" t="str">
        <f t="shared" si="49"/>
        <v/>
      </c>
      <c r="Q86" s="71"/>
      <c r="R86" s="10" t="str">
        <f t="shared" si="65"/>
        <v/>
      </c>
      <c r="S86" s="71"/>
      <c r="T86" s="10" t="str">
        <f t="shared" si="66"/>
        <v/>
      </c>
      <c r="U86" s="71"/>
      <c r="V86" s="10" t="str">
        <f t="shared" si="50"/>
        <v/>
      </c>
      <c r="W86" s="10" t="str">
        <f t="shared" si="67"/>
        <v/>
      </c>
      <c r="X86" s="71"/>
      <c r="Y86" s="10" t="str">
        <f t="shared" si="51"/>
        <v/>
      </c>
      <c r="Z86" s="10" t="str">
        <f t="shared" si="68"/>
        <v/>
      </c>
      <c r="AA86" s="71"/>
      <c r="AB86" s="10" t="str">
        <f t="shared" si="52"/>
        <v/>
      </c>
      <c r="AC86" s="10" t="str">
        <f t="shared" si="69"/>
        <v/>
      </c>
      <c r="AD86" s="71"/>
      <c r="AE86" s="10" t="str">
        <f t="shared" si="53"/>
        <v/>
      </c>
      <c r="AF86" s="10" t="str">
        <f t="shared" si="70"/>
        <v/>
      </c>
      <c r="AG86" s="71"/>
      <c r="AH86" s="10" t="str">
        <f t="shared" si="54"/>
        <v/>
      </c>
      <c r="AI86" s="10" t="str">
        <f t="shared" si="71"/>
        <v/>
      </c>
      <c r="AJ86" s="71"/>
      <c r="AK86" s="10" t="str">
        <f t="shared" si="55"/>
        <v/>
      </c>
      <c r="AL86" s="10" t="str">
        <f t="shared" si="72"/>
        <v/>
      </c>
      <c r="AM86" s="71"/>
      <c r="AN86" s="10" t="str">
        <f t="shared" si="56"/>
        <v/>
      </c>
      <c r="AO86" s="10" t="str">
        <f t="shared" si="73"/>
        <v/>
      </c>
      <c r="AP86" s="71"/>
      <c r="AQ86" s="10" t="str">
        <f t="shared" si="57"/>
        <v/>
      </c>
      <c r="AR86" s="10" t="str">
        <f t="shared" si="74"/>
        <v/>
      </c>
      <c r="AS86" s="71"/>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U86" s="71"/>
      <c r="AV86" s="10" t="str">
        <f t="shared" si="58"/>
        <v/>
      </c>
      <c r="AW86" s="10" t="str">
        <f t="shared" si="59"/>
        <v/>
      </c>
      <c r="AX86" s="71"/>
      <c r="AY86" s="7" t="str">
        <f>IF(ISERROR(IF($K86&lt;=$F$15,VLOOKUP($I86,'表4）CO2価格'!$A$7:$E$67,VLOOKUP($F$48,'表4）CO2価格'!$H$10:$I$12,2,0),0)*$F$8/1000,"")),0,IF($K86&lt;=$F$15,VLOOKUP($I86,'表4）CO2価格'!$A$7:$E$67,VLOOKUP($F$48,'表4）CO2価格'!$H$10:$I$12,2,0),0)*$F$8/1000,""))</f>
        <v/>
      </c>
      <c r="AZ86" s="71"/>
      <c r="BA86" s="11" t="str">
        <f t="shared" si="60"/>
        <v/>
      </c>
      <c r="BB86" s="10" t="str">
        <f t="shared" si="75"/>
        <v/>
      </c>
      <c r="BC86" s="71"/>
      <c r="BD86" s="10" t="str">
        <f t="shared" si="61"/>
        <v/>
      </c>
      <c r="BE86" s="10" t="str">
        <f t="shared" si="76"/>
        <v/>
      </c>
      <c r="BF86" s="71"/>
      <c r="BG86" s="11" t="str">
        <f t="shared" si="62"/>
        <v/>
      </c>
      <c r="BH86" s="10" t="str">
        <f t="shared" si="77"/>
        <v/>
      </c>
      <c r="BJ86" s="7"/>
      <c r="BK86" s="158"/>
      <c r="BL86" s="158"/>
      <c r="BM86" s="10"/>
      <c r="BN86" s="10" t="str">
        <f>IF(AND(ISNUMBER($F$16),$K86&lt;=$F$16),BQ86*('バイオマス（木質専焼）（2020年）'!$O$15+'バイオマス（木質専焼）（2020年）'!$BK$116)/'バイオマス（木質専焼）（2020年）'!$BL$116,"")</f>
        <v/>
      </c>
      <c r="BO86" s="10" t="str">
        <f t="shared" si="78"/>
        <v/>
      </c>
      <c r="BQ86" s="10" t="str">
        <f t="shared" si="63"/>
        <v/>
      </c>
      <c r="BR86" s="10" t="str">
        <f t="shared" si="79"/>
        <v/>
      </c>
    </row>
    <row r="87" spans="4:70" x14ac:dyDescent="0.15">
      <c r="E87" s="84" t="s">
        <v>141</v>
      </c>
      <c r="F87" s="488">
        <f>AI116/$BR$116</f>
        <v>0.10847275780646391</v>
      </c>
      <c r="G87" s="84" t="s">
        <v>590</v>
      </c>
      <c r="I87" s="38">
        <f t="shared" si="80"/>
        <v>2092</v>
      </c>
      <c r="J87" s="39"/>
      <c r="K87" s="39">
        <f t="shared" si="81"/>
        <v>73</v>
      </c>
      <c r="L87" s="39"/>
      <c r="M87" s="40">
        <f t="shared" si="48"/>
        <v>0.11557997508786232</v>
      </c>
      <c r="N87" s="39"/>
      <c r="O87" s="72" t="str">
        <f t="shared" si="64"/>
        <v/>
      </c>
      <c r="P87" s="41" t="str">
        <f t="shared" si="49"/>
        <v/>
      </c>
      <c r="Q87" s="39"/>
      <c r="R87" s="72" t="str">
        <f t="shared" si="65"/>
        <v/>
      </c>
      <c r="S87" s="39"/>
      <c r="T87" s="72" t="str">
        <f t="shared" si="66"/>
        <v/>
      </c>
      <c r="U87" s="39"/>
      <c r="V87" s="72" t="str">
        <f t="shared" si="50"/>
        <v/>
      </c>
      <c r="W87" s="72" t="str">
        <f t="shared" si="67"/>
        <v/>
      </c>
      <c r="X87" s="39"/>
      <c r="Y87" s="72" t="str">
        <f t="shared" si="51"/>
        <v/>
      </c>
      <c r="Z87" s="72" t="str">
        <f t="shared" si="68"/>
        <v/>
      </c>
      <c r="AA87" s="39"/>
      <c r="AB87" s="72" t="str">
        <f t="shared" si="52"/>
        <v/>
      </c>
      <c r="AC87" s="72" t="str">
        <f t="shared" si="69"/>
        <v/>
      </c>
      <c r="AD87" s="39"/>
      <c r="AE87" s="72" t="str">
        <f t="shared" si="53"/>
        <v/>
      </c>
      <c r="AF87" s="72" t="str">
        <f t="shared" si="70"/>
        <v/>
      </c>
      <c r="AG87" s="39"/>
      <c r="AH87" s="72" t="str">
        <f t="shared" si="54"/>
        <v/>
      </c>
      <c r="AI87" s="72" t="str">
        <f t="shared" si="71"/>
        <v/>
      </c>
      <c r="AJ87" s="39"/>
      <c r="AK87" s="72" t="str">
        <f t="shared" si="55"/>
        <v/>
      </c>
      <c r="AL87" s="72" t="str">
        <f t="shared" si="72"/>
        <v/>
      </c>
      <c r="AM87" s="39"/>
      <c r="AN87" s="72" t="str">
        <f t="shared" si="56"/>
        <v/>
      </c>
      <c r="AO87" s="72" t="str">
        <f t="shared" si="73"/>
        <v/>
      </c>
      <c r="AP87" s="39"/>
      <c r="AQ87" s="72" t="str">
        <f t="shared" si="57"/>
        <v/>
      </c>
      <c r="AR87" s="72" t="str">
        <f t="shared" si="74"/>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58"/>
        <v/>
      </c>
      <c r="AW87" s="72" t="str">
        <f t="shared" si="59"/>
        <v/>
      </c>
      <c r="AX87" s="39"/>
      <c r="AY87" s="40" t="str">
        <f>IF(ISERROR(IF($K87&lt;=$F$15,VLOOKUP($I87,'表4）CO2価格'!$A$7:$E$67,VLOOKUP($F$48,'表4）CO2価格'!$H$10:$I$12,2,0),0)*$F$8/1000,"")),0,IF($K87&lt;=$F$15,VLOOKUP($I87,'表4）CO2価格'!$A$7:$E$67,VLOOKUP($F$48,'表4）CO2価格'!$H$10:$I$12,2,0),0)*$F$8/1000,""))</f>
        <v/>
      </c>
      <c r="AZ87" s="39"/>
      <c r="BA87" s="42" t="str">
        <f t="shared" si="60"/>
        <v/>
      </c>
      <c r="BB87" s="72" t="str">
        <f t="shared" si="75"/>
        <v/>
      </c>
      <c r="BC87" s="39"/>
      <c r="BD87" s="72" t="str">
        <f t="shared" si="61"/>
        <v/>
      </c>
      <c r="BE87" s="72" t="str">
        <f t="shared" si="76"/>
        <v/>
      </c>
      <c r="BF87" s="39"/>
      <c r="BG87" s="42" t="str">
        <f t="shared" si="62"/>
        <v/>
      </c>
      <c r="BH87" s="72" t="str">
        <f t="shared" si="77"/>
        <v/>
      </c>
      <c r="BI87" s="39"/>
      <c r="BJ87" s="40"/>
      <c r="BK87" s="157"/>
      <c r="BL87" s="157"/>
      <c r="BM87" s="72"/>
      <c r="BN87" s="72" t="str">
        <f>IF(AND(ISNUMBER($F$16),$K87&lt;=$F$16),BQ87*('バイオマス（木質専焼）（2020年）'!$O$15+'バイオマス（木質専焼）（2020年）'!$BK$116)/'バイオマス（木質専焼）（2020年）'!$BL$116,"")</f>
        <v/>
      </c>
      <c r="BO87" s="72" t="str">
        <f t="shared" si="78"/>
        <v/>
      </c>
      <c r="BP87" s="39"/>
      <c r="BQ87" s="72" t="str">
        <f t="shared" si="63"/>
        <v/>
      </c>
      <c r="BR87" s="72" t="str">
        <f t="shared" si="79"/>
        <v/>
      </c>
    </row>
    <row r="88" spans="4:70" x14ac:dyDescent="0.15">
      <c r="E88" s="84" t="s">
        <v>120</v>
      </c>
      <c r="F88" s="488">
        <f>AL116/$BR$116</f>
        <v>1.056130214642935</v>
      </c>
      <c r="G88" s="84" t="s">
        <v>590</v>
      </c>
      <c r="I88" s="457">
        <f t="shared" si="80"/>
        <v>2093</v>
      </c>
      <c r="J88" s="71"/>
      <c r="K88" s="71">
        <f t="shared" si="81"/>
        <v>74</v>
      </c>
      <c r="L88" s="71"/>
      <c r="M88" s="7">
        <f t="shared" si="48"/>
        <v>0.11221356804646829</v>
      </c>
      <c r="N88" s="71"/>
      <c r="O88" s="10" t="str">
        <f t="shared" si="64"/>
        <v/>
      </c>
      <c r="P88" s="29" t="str">
        <f t="shared" si="49"/>
        <v/>
      </c>
      <c r="Q88" s="71"/>
      <c r="R88" s="10" t="str">
        <f t="shared" si="65"/>
        <v/>
      </c>
      <c r="S88" s="71"/>
      <c r="T88" s="10" t="str">
        <f t="shared" si="66"/>
        <v/>
      </c>
      <c r="U88" s="71"/>
      <c r="V88" s="10" t="str">
        <f t="shared" si="50"/>
        <v/>
      </c>
      <c r="W88" s="10" t="str">
        <f t="shared" si="67"/>
        <v/>
      </c>
      <c r="X88" s="71"/>
      <c r="Y88" s="10" t="str">
        <f t="shared" si="51"/>
        <v/>
      </c>
      <c r="Z88" s="10" t="str">
        <f t="shared" si="68"/>
        <v/>
      </c>
      <c r="AA88" s="71"/>
      <c r="AB88" s="10" t="str">
        <f t="shared" si="52"/>
        <v/>
      </c>
      <c r="AC88" s="10" t="str">
        <f t="shared" si="69"/>
        <v/>
      </c>
      <c r="AD88" s="71"/>
      <c r="AE88" s="10" t="str">
        <f t="shared" si="53"/>
        <v/>
      </c>
      <c r="AF88" s="10" t="str">
        <f t="shared" si="70"/>
        <v/>
      </c>
      <c r="AG88" s="71"/>
      <c r="AH88" s="10" t="str">
        <f t="shared" si="54"/>
        <v/>
      </c>
      <c r="AI88" s="10" t="str">
        <f t="shared" si="71"/>
        <v/>
      </c>
      <c r="AJ88" s="71"/>
      <c r="AK88" s="10" t="str">
        <f t="shared" si="55"/>
        <v/>
      </c>
      <c r="AL88" s="10" t="str">
        <f t="shared" si="72"/>
        <v/>
      </c>
      <c r="AM88" s="71"/>
      <c r="AN88" s="10" t="str">
        <f t="shared" si="56"/>
        <v/>
      </c>
      <c r="AO88" s="10" t="str">
        <f t="shared" si="73"/>
        <v/>
      </c>
      <c r="AP88" s="71"/>
      <c r="AQ88" s="10" t="str">
        <f t="shared" si="57"/>
        <v/>
      </c>
      <c r="AR88" s="10" t="str">
        <f t="shared" si="74"/>
        <v/>
      </c>
      <c r="AS88" s="71"/>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U88" s="71"/>
      <c r="AV88" s="10" t="str">
        <f t="shared" si="58"/>
        <v/>
      </c>
      <c r="AW88" s="10" t="str">
        <f t="shared" si="59"/>
        <v/>
      </c>
      <c r="AX88" s="71"/>
      <c r="AY88" s="7" t="str">
        <f>IF(ISERROR(IF($K88&lt;=$F$15,VLOOKUP($I88,'表4）CO2価格'!$A$7:$E$67,VLOOKUP($F$48,'表4）CO2価格'!$H$10:$I$12,2,0),0)*$F$8/1000,"")),0,IF($K88&lt;=$F$15,VLOOKUP($I88,'表4）CO2価格'!$A$7:$E$67,VLOOKUP($F$48,'表4）CO2価格'!$H$10:$I$12,2,0),0)*$F$8/1000,""))</f>
        <v/>
      </c>
      <c r="AZ88" s="71"/>
      <c r="BA88" s="11" t="str">
        <f t="shared" si="60"/>
        <v/>
      </c>
      <c r="BB88" s="10" t="str">
        <f t="shared" si="75"/>
        <v/>
      </c>
      <c r="BC88" s="71"/>
      <c r="BD88" s="10" t="str">
        <f t="shared" si="61"/>
        <v/>
      </c>
      <c r="BE88" s="10" t="str">
        <f t="shared" si="76"/>
        <v/>
      </c>
      <c r="BF88" s="71"/>
      <c r="BG88" s="11" t="str">
        <f t="shared" si="62"/>
        <v/>
      </c>
      <c r="BH88" s="10" t="str">
        <f t="shared" si="77"/>
        <v/>
      </c>
      <c r="BJ88" s="7"/>
      <c r="BK88" s="158"/>
      <c r="BL88" s="158"/>
      <c r="BM88" s="10"/>
      <c r="BN88" s="10" t="str">
        <f>IF(AND(ISNUMBER($F$16),$K88&lt;=$F$16),BQ88*('バイオマス（木質専焼）（2020年）'!$O$15+'バイオマス（木質専焼）（2020年）'!$BK$116)/'バイオマス（木質専焼）（2020年）'!$BL$116,"")</f>
        <v/>
      </c>
      <c r="BO88" s="10" t="str">
        <f t="shared" si="78"/>
        <v/>
      </c>
      <c r="BQ88" s="10" t="str">
        <f t="shared" si="63"/>
        <v/>
      </c>
      <c r="BR88" s="10" t="str">
        <f t="shared" si="79"/>
        <v/>
      </c>
    </row>
    <row r="89" spans="4:70" x14ac:dyDescent="0.15">
      <c r="E89" s="84" t="s">
        <v>122</v>
      </c>
      <c r="F89" s="488">
        <f>AO116/$BR$116</f>
        <v>0.96811936342269034</v>
      </c>
      <c r="G89" s="84" t="s">
        <v>590</v>
      </c>
      <c r="I89" s="38">
        <f t="shared" si="80"/>
        <v>2094</v>
      </c>
      <c r="J89" s="39"/>
      <c r="K89" s="39">
        <f t="shared" si="81"/>
        <v>75</v>
      </c>
      <c r="L89" s="39"/>
      <c r="M89" s="40">
        <f t="shared" si="48"/>
        <v>0.10894521169560026</v>
      </c>
      <c r="N89" s="39"/>
      <c r="O89" s="72" t="str">
        <f t="shared" si="64"/>
        <v/>
      </c>
      <c r="P89" s="41" t="str">
        <f t="shared" si="49"/>
        <v/>
      </c>
      <c r="Q89" s="39"/>
      <c r="R89" s="72" t="str">
        <f t="shared" si="65"/>
        <v/>
      </c>
      <c r="S89" s="39"/>
      <c r="T89" s="72" t="str">
        <f t="shared" si="66"/>
        <v/>
      </c>
      <c r="U89" s="39"/>
      <c r="V89" s="72" t="str">
        <f t="shared" si="50"/>
        <v/>
      </c>
      <c r="W89" s="72" t="str">
        <f t="shared" si="67"/>
        <v/>
      </c>
      <c r="X89" s="39"/>
      <c r="Y89" s="72" t="str">
        <f t="shared" si="51"/>
        <v/>
      </c>
      <c r="Z89" s="72" t="str">
        <f t="shared" si="68"/>
        <v/>
      </c>
      <c r="AA89" s="39"/>
      <c r="AB89" s="72" t="str">
        <f t="shared" si="52"/>
        <v/>
      </c>
      <c r="AC89" s="72" t="str">
        <f t="shared" si="69"/>
        <v/>
      </c>
      <c r="AD89" s="39"/>
      <c r="AE89" s="72" t="str">
        <f t="shared" si="53"/>
        <v/>
      </c>
      <c r="AF89" s="72" t="str">
        <f t="shared" si="70"/>
        <v/>
      </c>
      <c r="AG89" s="39"/>
      <c r="AH89" s="72" t="str">
        <f t="shared" si="54"/>
        <v/>
      </c>
      <c r="AI89" s="72" t="str">
        <f t="shared" si="71"/>
        <v/>
      </c>
      <c r="AJ89" s="39"/>
      <c r="AK89" s="72" t="str">
        <f t="shared" si="55"/>
        <v/>
      </c>
      <c r="AL89" s="72" t="str">
        <f t="shared" si="72"/>
        <v/>
      </c>
      <c r="AM89" s="39"/>
      <c r="AN89" s="72" t="str">
        <f t="shared" si="56"/>
        <v/>
      </c>
      <c r="AO89" s="72" t="str">
        <f t="shared" si="73"/>
        <v/>
      </c>
      <c r="AP89" s="39"/>
      <c r="AQ89" s="72" t="str">
        <f t="shared" si="57"/>
        <v/>
      </c>
      <c r="AR89" s="72" t="str">
        <f t="shared" si="74"/>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58"/>
        <v/>
      </c>
      <c r="AW89" s="72" t="str">
        <f t="shared" si="59"/>
        <v/>
      </c>
      <c r="AX89" s="39"/>
      <c r="AY89" s="40" t="str">
        <f>IF(ISERROR(IF($K89&lt;=$F$15,VLOOKUP($I89,'表4）CO2価格'!$A$7:$E$67,VLOOKUP($F$48,'表4）CO2価格'!$H$10:$I$12,2,0),0)*$F$8/1000,"")),0,IF($K89&lt;=$F$15,VLOOKUP($I89,'表4）CO2価格'!$A$7:$E$67,VLOOKUP($F$48,'表4）CO2価格'!$H$10:$I$12,2,0),0)*$F$8/1000,""))</f>
        <v/>
      </c>
      <c r="AZ89" s="39"/>
      <c r="BA89" s="42" t="str">
        <f t="shared" si="60"/>
        <v/>
      </c>
      <c r="BB89" s="72" t="str">
        <f t="shared" si="75"/>
        <v/>
      </c>
      <c r="BC89" s="39"/>
      <c r="BD89" s="72" t="str">
        <f t="shared" si="61"/>
        <v/>
      </c>
      <c r="BE89" s="72" t="str">
        <f t="shared" si="76"/>
        <v/>
      </c>
      <c r="BF89" s="39"/>
      <c r="BG89" s="42" t="str">
        <f t="shared" si="62"/>
        <v/>
      </c>
      <c r="BH89" s="72" t="str">
        <f t="shared" si="77"/>
        <v/>
      </c>
      <c r="BI89" s="39"/>
      <c r="BJ89" s="40"/>
      <c r="BK89" s="157"/>
      <c r="BL89" s="157"/>
      <c r="BM89" s="72"/>
      <c r="BN89" s="72" t="str">
        <f>IF(AND(ISNUMBER($F$16),$K89&lt;=$F$16),BQ89*('バイオマス（木質専焼）（2020年）'!$O$15+'バイオマス（木質専焼）（2020年）'!$BK$116)/'バイオマス（木質専焼）（2020年）'!$BL$116,"")</f>
        <v/>
      </c>
      <c r="BO89" s="72" t="str">
        <f t="shared" si="78"/>
        <v/>
      </c>
      <c r="BP89" s="39"/>
      <c r="BQ89" s="72" t="str">
        <f t="shared" si="63"/>
        <v/>
      </c>
      <c r="BR89" s="72" t="str">
        <f t="shared" si="79"/>
        <v/>
      </c>
    </row>
    <row r="90" spans="4:70" x14ac:dyDescent="0.15">
      <c r="E90" s="84" t="s">
        <v>142</v>
      </c>
      <c r="F90" s="488">
        <f>AR116/$BR$116</f>
        <v>0.26019212497639488</v>
      </c>
      <c r="G90" s="84" t="s">
        <v>590</v>
      </c>
      <c r="I90" s="457">
        <f t="shared" si="80"/>
        <v>2095</v>
      </c>
      <c r="J90" s="71"/>
      <c r="K90" s="71">
        <f t="shared" si="81"/>
        <v>76</v>
      </c>
      <c r="L90" s="71"/>
      <c r="M90" s="7">
        <f t="shared" si="48"/>
        <v>0.10577205018990318</v>
      </c>
      <c r="N90" s="71"/>
      <c r="O90" s="10" t="str">
        <f t="shared" si="64"/>
        <v/>
      </c>
      <c r="P90" s="29" t="str">
        <f t="shared" si="49"/>
        <v/>
      </c>
      <c r="Q90" s="71"/>
      <c r="R90" s="10" t="str">
        <f t="shared" si="65"/>
        <v/>
      </c>
      <c r="S90" s="71"/>
      <c r="T90" s="10" t="str">
        <f t="shared" si="66"/>
        <v/>
      </c>
      <c r="U90" s="71"/>
      <c r="V90" s="10" t="str">
        <f t="shared" si="50"/>
        <v/>
      </c>
      <c r="W90" s="10" t="str">
        <f t="shared" si="67"/>
        <v/>
      </c>
      <c r="X90" s="71"/>
      <c r="Y90" s="10" t="str">
        <f t="shared" si="51"/>
        <v/>
      </c>
      <c r="Z90" s="10" t="str">
        <f t="shared" si="68"/>
        <v/>
      </c>
      <c r="AA90" s="71"/>
      <c r="AB90" s="10" t="str">
        <f t="shared" si="52"/>
        <v/>
      </c>
      <c r="AC90" s="10" t="str">
        <f t="shared" si="69"/>
        <v/>
      </c>
      <c r="AD90" s="71"/>
      <c r="AE90" s="10" t="str">
        <f t="shared" si="53"/>
        <v/>
      </c>
      <c r="AF90" s="10" t="str">
        <f t="shared" si="70"/>
        <v/>
      </c>
      <c r="AG90" s="71"/>
      <c r="AH90" s="10" t="str">
        <f t="shared" si="54"/>
        <v/>
      </c>
      <c r="AI90" s="10" t="str">
        <f t="shared" si="71"/>
        <v/>
      </c>
      <c r="AJ90" s="71"/>
      <c r="AK90" s="10" t="str">
        <f t="shared" si="55"/>
        <v/>
      </c>
      <c r="AL90" s="10" t="str">
        <f t="shared" si="72"/>
        <v/>
      </c>
      <c r="AM90" s="71"/>
      <c r="AN90" s="10" t="str">
        <f t="shared" si="56"/>
        <v/>
      </c>
      <c r="AO90" s="10" t="str">
        <f t="shared" si="73"/>
        <v/>
      </c>
      <c r="AP90" s="71"/>
      <c r="AQ90" s="10" t="str">
        <f t="shared" si="57"/>
        <v/>
      </c>
      <c r="AR90" s="10" t="str">
        <f t="shared" si="74"/>
        <v/>
      </c>
      <c r="AS90" s="71"/>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U90" s="71"/>
      <c r="AV90" s="10" t="str">
        <f t="shared" si="58"/>
        <v/>
      </c>
      <c r="AW90" s="10" t="str">
        <f t="shared" si="59"/>
        <v/>
      </c>
      <c r="AX90" s="71"/>
      <c r="AY90" s="7" t="str">
        <f>IF(ISERROR(IF($K90&lt;=$F$15,VLOOKUP($I90,'表4）CO2価格'!$A$7:$E$67,VLOOKUP($F$48,'表4）CO2価格'!$H$10:$I$12,2,0),0)*$F$8/1000,"")),0,IF($K90&lt;=$F$15,VLOOKUP($I90,'表4）CO2価格'!$A$7:$E$67,VLOOKUP($F$48,'表4）CO2価格'!$H$10:$I$12,2,0),0)*$F$8/1000,""))</f>
        <v/>
      </c>
      <c r="AZ90" s="71"/>
      <c r="BA90" s="11" t="str">
        <f t="shared" si="60"/>
        <v/>
      </c>
      <c r="BB90" s="10" t="str">
        <f t="shared" si="75"/>
        <v/>
      </c>
      <c r="BC90" s="71"/>
      <c r="BD90" s="10" t="str">
        <f t="shared" si="61"/>
        <v/>
      </c>
      <c r="BE90" s="10" t="str">
        <f t="shared" si="76"/>
        <v/>
      </c>
      <c r="BF90" s="71"/>
      <c r="BG90" s="11" t="str">
        <f t="shared" si="62"/>
        <v/>
      </c>
      <c r="BH90" s="10" t="str">
        <f t="shared" si="77"/>
        <v/>
      </c>
      <c r="BJ90" s="7"/>
      <c r="BK90" s="158"/>
      <c r="BL90" s="158"/>
      <c r="BM90" s="10"/>
      <c r="BN90" s="10" t="str">
        <f>IF(AND(ISNUMBER($F$16),$K90&lt;=$F$16),BQ90*('バイオマス（木質専焼）（2020年）'!$O$15+'バイオマス（木質専焼）（2020年）'!$BK$116)/'バイオマス（木質専焼）（2020年）'!$BL$116,"")</f>
        <v/>
      </c>
      <c r="BO90" s="10" t="str">
        <f t="shared" si="78"/>
        <v/>
      </c>
      <c r="BQ90" s="10" t="str">
        <f t="shared" si="63"/>
        <v/>
      </c>
      <c r="BR90" s="10" t="str">
        <f t="shared" si="79"/>
        <v/>
      </c>
    </row>
    <row r="91" spans="4:70" x14ac:dyDescent="0.15">
      <c r="F91" s="487"/>
      <c r="I91" s="38">
        <f t="shared" si="80"/>
        <v>2096</v>
      </c>
      <c r="J91" s="39"/>
      <c r="K91" s="39">
        <f t="shared" si="81"/>
        <v>77</v>
      </c>
      <c r="L91" s="39"/>
      <c r="M91" s="40">
        <f t="shared" si="48"/>
        <v>0.10269131086398368</v>
      </c>
      <c r="N91" s="39"/>
      <c r="O91" s="72" t="str">
        <f t="shared" si="64"/>
        <v/>
      </c>
      <c r="P91" s="41" t="str">
        <f t="shared" si="49"/>
        <v/>
      </c>
      <c r="Q91" s="39"/>
      <c r="R91" s="72" t="str">
        <f t="shared" si="65"/>
        <v/>
      </c>
      <c r="S91" s="39"/>
      <c r="T91" s="72" t="str">
        <f t="shared" si="66"/>
        <v/>
      </c>
      <c r="U91" s="39"/>
      <c r="V91" s="72" t="str">
        <f t="shared" si="50"/>
        <v/>
      </c>
      <c r="W91" s="72" t="str">
        <f t="shared" si="67"/>
        <v/>
      </c>
      <c r="X91" s="39"/>
      <c r="Y91" s="72" t="str">
        <f t="shared" si="51"/>
        <v/>
      </c>
      <c r="Z91" s="72" t="str">
        <f t="shared" si="68"/>
        <v/>
      </c>
      <c r="AA91" s="39"/>
      <c r="AB91" s="72" t="str">
        <f t="shared" si="52"/>
        <v/>
      </c>
      <c r="AC91" s="72" t="str">
        <f t="shared" si="69"/>
        <v/>
      </c>
      <c r="AD91" s="39"/>
      <c r="AE91" s="72" t="str">
        <f t="shared" si="53"/>
        <v/>
      </c>
      <c r="AF91" s="72" t="str">
        <f t="shared" si="70"/>
        <v/>
      </c>
      <c r="AG91" s="39"/>
      <c r="AH91" s="72" t="str">
        <f t="shared" si="54"/>
        <v/>
      </c>
      <c r="AI91" s="72" t="str">
        <f t="shared" si="71"/>
        <v/>
      </c>
      <c r="AJ91" s="39"/>
      <c r="AK91" s="72" t="str">
        <f t="shared" si="55"/>
        <v/>
      </c>
      <c r="AL91" s="72" t="str">
        <f t="shared" si="72"/>
        <v/>
      </c>
      <c r="AM91" s="39"/>
      <c r="AN91" s="72" t="str">
        <f t="shared" si="56"/>
        <v/>
      </c>
      <c r="AO91" s="72" t="str">
        <f t="shared" si="73"/>
        <v/>
      </c>
      <c r="AP91" s="39"/>
      <c r="AQ91" s="72" t="str">
        <f t="shared" si="57"/>
        <v/>
      </c>
      <c r="AR91" s="72" t="str">
        <f t="shared" si="74"/>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58"/>
        <v/>
      </c>
      <c r="AW91" s="72" t="str">
        <f t="shared" si="59"/>
        <v/>
      </c>
      <c r="AX91" s="39"/>
      <c r="AY91" s="40" t="str">
        <f>IF(ISERROR(IF($K91&lt;=$F$15,VLOOKUP($I91,'表4）CO2価格'!$A$7:$E$67,VLOOKUP($F$48,'表4）CO2価格'!$H$10:$I$12,2,0),0)*$F$8/1000,"")),0,IF($K91&lt;=$F$15,VLOOKUP($I91,'表4）CO2価格'!$A$7:$E$67,VLOOKUP($F$48,'表4）CO2価格'!$H$10:$I$12,2,0),0)*$F$8/1000,""))</f>
        <v/>
      </c>
      <c r="AZ91" s="39"/>
      <c r="BA91" s="42" t="str">
        <f t="shared" si="60"/>
        <v/>
      </c>
      <c r="BB91" s="72" t="str">
        <f t="shared" si="75"/>
        <v/>
      </c>
      <c r="BC91" s="39"/>
      <c r="BD91" s="72" t="str">
        <f t="shared" si="61"/>
        <v/>
      </c>
      <c r="BE91" s="72" t="str">
        <f t="shared" si="76"/>
        <v/>
      </c>
      <c r="BF91" s="39"/>
      <c r="BG91" s="42" t="str">
        <f t="shared" si="62"/>
        <v/>
      </c>
      <c r="BH91" s="72" t="str">
        <f t="shared" si="77"/>
        <v/>
      </c>
      <c r="BI91" s="39"/>
      <c r="BJ91" s="40"/>
      <c r="BK91" s="157"/>
      <c r="BL91" s="157"/>
      <c r="BM91" s="72"/>
      <c r="BN91" s="72" t="str">
        <f>IF(AND(ISNUMBER($F$16),$K91&lt;=$F$16),BQ91*('バイオマス（木質専焼）（2020年）'!$O$15+'バイオマス（木質専焼）（2020年）'!$BK$116)/'バイオマス（木質専焼）（2020年）'!$BL$116,"")</f>
        <v/>
      </c>
      <c r="BO91" s="72" t="str">
        <f t="shared" si="78"/>
        <v/>
      </c>
      <c r="BP91" s="39"/>
      <c r="BQ91" s="72" t="str">
        <f t="shared" si="63"/>
        <v/>
      </c>
      <c r="BR91" s="72" t="str">
        <f t="shared" si="79"/>
        <v/>
      </c>
    </row>
    <row r="92" spans="4:70" ht="15" x14ac:dyDescent="0.15">
      <c r="D92" s="103" t="s">
        <v>595</v>
      </c>
      <c r="F92" s="484">
        <f>SUBTOTAL(9,F96:F97)</f>
        <v>4.4393113092137293</v>
      </c>
      <c r="I92" s="457">
        <f t="shared" si="80"/>
        <v>2097</v>
      </c>
      <c r="J92" s="71"/>
      <c r="K92" s="71">
        <f t="shared" si="81"/>
        <v>78</v>
      </c>
      <c r="L92" s="71"/>
      <c r="M92" s="7">
        <f t="shared" si="48"/>
        <v>9.9700301809692873E-2</v>
      </c>
      <c r="N92" s="71"/>
      <c r="O92" s="10" t="str">
        <f t="shared" si="64"/>
        <v/>
      </c>
      <c r="P92" s="29" t="str">
        <f t="shared" si="49"/>
        <v/>
      </c>
      <c r="Q92" s="71"/>
      <c r="R92" s="10" t="str">
        <f t="shared" si="65"/>
        <v/>
      </c>
      <c r="S92" s="71"/>
      <c r="T92" s="10" t="str">
        <f t="shared" si="66"/>
        <v/>
      </c>
      <c r="U92" s="71"/>
      <c r="V92" s="10" t="str">
        <f t="shared" si="50"/>
        <v/>
      </c>
      <c r="W92" s="10" t="str">
        <f t="shared" si="67"/>
        <v/>
      </c>
      <c r="X92" s="71"/>
      <c r="Y92" s="10" t="str">
        <f t="shared" si="51"/>
        <v/>
      </c>
      <c r="Z92" s="10" t="str">
        <f t="shared" si="68"/>
        <v/>
      </c>
      <c r="AA92" s="71"/>
      <c r="AB92" s="10" t="str">
        <f t="shared" si="52"/>
        <v/>
      </c>
      <c r="AC92" s="10" t="str">
        <f t="shared" si="69"/>
        <v/>
      </c>
      <c r="AD92" s="71"/>
      <c r="AE92" s="10" t="str">
        <f t="shared" si="53"/>
        <v/>
      </c>
      <c r="AF92" s="10" t="str">
        <f t="shared" si="70"/>
        <v/>
      </c>
      <c r="AG92" s="71"/>
      <c r="AH92" s="10" t="str">
        <f t="shared" si="54"/>
        <v/>
      </c>
      <c r="AI92" s="10" t="str">
        <f t="shared" si="71"/>
        <v/>
      </c>
      <c r="AJ92" s="71"/>
      <c r="AK92" s="10" t="str">
        <f t="shared" si="55"/>
        <v/>
      </c>
      <c r="AL92" s="10" t="str">
        <f t="shared" si="72"/>
        <v/>
      </c>
      <c r="AM92" s="71"/>
      <c r="AN92" s="10" t="str">
        <f t="shared" si="56"/>
        <v/>
      </c>
      <c r="AO92" s="10" t="str">
        <f t="shared" si="73"/>
        <v/>
      </c>
      <c r="AP92" s="71"/>
      <c r="AQ92" s="10" t="str">
        <f t="shared" si="57"/>
        <v/>
      </c>
      <c r="AR92" s="10" t="str">
        <f t="shared" si="74"/>
        <v/>
      </c>
      <c r="AS92" s="71"/>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U92" s="71"/>
      <c r="AV92" s="10" t="str">
        <f t="shared" si="58"/>
        <v/>
      </c>
      <c r="AW92" s="10" t="str">
        <f t="shared" si="59"/>
        <v/>
      </c>
      <c r="AX92" s="71"/>
      <c r="AY92" s="7" t="str">
        <f>IF(ISERROR(IF($K92&lt;=$F$15,VLOOKUP($I92,'表4）CO2価格'!$A$7:$E$67,VLOOKUP($F$48,'表4）CO2価格'!$H$10:$I$12,2,0),0)*$F$8/1000,"")),0,IF($K92&lt;=$F$15,VLOOKUP($I92,'表4）CO2価格'!$A$7:$E$67,VLOOKUP($F$48,'表4）CO2価格'!$H$10:$I$12,2,0),0)*$F$8/1000,""))</f>
        <v/>
      </c>
      <c r="AZ92" s="71"/>
      <c r="BA92" s="11" t="str">
        <f t="shared" si="60"/>
        <v/>
      </c>
      <c r="BB92" s="10" t="str">
        <f t="shared" si="75"/>
        <v/>
      </c>
      <c r="BC92" s="71"/>
      <c r="BD92" s="10" t="str">
        <f t="shared" si="61"/>
        <v/>
      </c>
      <c r="BE92" s="10" t="str">
        <f t="shared" si="76"/>
        <v/>
      </c>
      <c r="BF92" s="71"/>
      <c r="BG92" s="11" t="str">
        <f t="shared" si="62"/>
        <v/>
      </c>
      <c r="BH92" s="10" t="str">
        <f t="shared" si="77"/>
        <v/>
      </c>
      <c r="BJ92" s="7"/>
      <c r="BK92" s="158"/>
      <c r="BL92" s="158"/>
      <c r="BM92" s="10"/>
      <c r="BN92" s="10" t="str">
        <f>IF(AND(ISNUMBER($F$16),$K92&lt;=$F$16),BQ92*('バイオマス（木質専焼）（2020年）'!$O$15+'バイオマス（木質専焼）（2020年）'!$BK$116)/'バイオマス（木質専焼）（2020年）'!$BL$116,"")</f>
        <v/>
      </c>
      <c r="BO92" s="10" t="str">
        <f t="shared" si="78"/>
        <v/>
      </c>
      <c r="BQ92" s="10" t="str">
        <f t="shared" si="63"/>
        <v/>
      </c>
      <c r="BR92" s="10" t="str">
        <f t="shared" si="79"/>
        <v/>
      </c>
    </row>
    <row r="93" spans="4:70" ht="15" x14ac:dyDescent="0.15">
      <c r="D93" s="103"/>
      <c r="F93" s="487"/>
      <c r="I93" s="38">
        <f t="shared" si="80"/>
        <v>2098</v>
      </c>
      <c r="J93" s="39"/>
      <c r="K93" s="39">
        <f t="shared" si="81"/>
        <v>79</v>
      </c>
      <c r="L93" s="39"/>
      <c r="M93" s="40">
        <f t="shared" si="48"/>
        <v>9.679640952397367E-2</v>
      </c>
      <c r="N93" s="39"/>
      <c r="O93" s="72" t="str">
        <f t="shared" si="64"/>
        <v/>
      </c>
      <c r="P93" s="41" t="str">
        <f t="shared" si="49"/>
        <v/>
      </c>
      <c r="Q93" s="39"/>
      <c r="R93" s="72" t="str">
        <f t="shared" si="65"/>
        <v/>
      </c>
      <c r="S93" s="39"/>
      <c r="T93" s="72" t="str">
        <f t="shared" si="66"/>
        <v/>
      </c>
      <c r="U93" s="39"/>
      <c r="V93" s="72" t="str">
        <f t="shared" si="50"/>
        <v/>
      </c>
      <c r="W93" s="72" t="str">
        <f t="shared" si="67"/>
        <v/>
      </c>
      <c r="X93" s="39"/>
      <c r="Y93" s="72" t="str">
        <f t="shared" si="51"/>
        <v/>
      </c>
      <c r="Z93" s="72" t="str">
        <f t="shared" si="68"/>
        <v/>
      </c>
      <c r="AA93" s="39"/>
      <c r="AB93" s="72" t="str">
        <f t="shared" si="52"/>
        <v/>
      </c>
      <c r="AC93" s="72" t="str">
        <f t="shared" si="69"/>
        <v/>
      </c>
      <c r="AD93" s="39"/>
      <c r="AE93" s="72" t="str">
        <f t="shared" si="53"/>
        <v/>
      </c>
      <c r="AF93" s="72" t="str">
        <f t="shared" si="70"/>
        <v/>
      </c>
      <c r="AG93" s="39"/>
      <c r="AH93" s="72" t="str">
        <f t="shared" si="54"/>
        <v/>
      </c>
      <c r="AI93" s="72" t="str">
        <f t="shared" si="71"/>
        <v/>
      </c>
      <c r="AJ93" s="39"/>
      <c r="AK93" s="72" t="str">
        <f t="shared" si="55"/>
        <v/>
      </c>
      <c r="AL93" s="72" t="str">
        <f t="shared" si="72"/>
        <v/>
      </c>
      <c r="AM93" s="39"/>
      <c r="AN93" s="72" t="str">
        <f t="shared" si="56"/>
        <v/>
      </c>
      <c r="AO93" s="72" t="str">
        <f t="shared" si="73"/>
        <v/>
      </c>
      <c r="AP93" s="39"/>
      <c r="AQ93" s="72" t="str">
        <f t="shared" si="57"/>
        <v/>
      </c>
      <c r="AR93" s="72" t="str">
        <f t="shared" si="74"/>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58"/>
        <v/>
      </c>
      <c r="AW93" s="72" t="str">
        <f t="shared" si="59"/>
        <v/>
      </c>
      <c r="AX93" s="39"/>
      <c r="AY93" s="40" t="str">
        <f>IF(ISERROR(IF($K93&lt;=$F$15,VLOOKUP($I93,'表4）CO2価格'!$A$7:$E$67,VLOOKUP($F$48,'表4）CO2価格'!$H$10:$I$12,2,0),0)*$F$8/1000,"")),0,IF($K93&lt;=$F$15,VLOOKUP($I93,'表4）CO2価格'!$A$7:$E$67,VLOOKUP($F$48,'表4）CO2価格'!$H$10:$I$12,2,0),0)*$F$8/1000,""))</f>
        <v/>
      </c>
      <c r="AZ93" s="39"/>
      <c r="BA93" s="42" t="str">
        <f t="shared" si="60"/>
        <v/>
      </c>
      <c r="BB93" s="72" t="str">
        <f t="shared" si="75"/>
        <v/>
      </c>
      <c r="BC93" s="39"/>
      <c r="BD93" s="72" t="str">
        <f t="shared" si="61"/>
        <v/>
      </c>
      <c r="BE93" s="72" t="str">
        <f t="shared" si="76"/>
        <v/>
      </c>
      <c r="BF93" s="39"/>
      <c r="BG93" s="42" t="str">
        <f t="shared" si="62"/>
        <v/>
      </c>
      <c r="BH93" s="72" t="str">
        <f t="shared" si="77"/>
        <v/>
      </c>
      <c r="BI93" s="39"/>
      <c r="BJ93" s="40"/>
      <c r="BK93" s="157"/>
      <c r="BL93" s="157"/>
      <c r="BM93" s="72"/>
      <c r="BN93" s="72" t="str">
        <f>IF(AND(ISNUMBER($F$16),$K93&lt;=$F$16),BQ93*('バイオマス（木質専焼）（2020年）'!$O$15+'バイオマス（木質専焼）（2020年）'!$BK$116)/'バイオマス（木質専焼）（2020年）'!$BL$116,"")</f>
        <v/>
      </c>
      <c r="BO93" s="72" t="str">
        <f t="shared" si="78"/>
        <v/>
      </c>
      <c r="BP93" s="39"/>
      <c r="BQ93" s="72" t="str">
        <f t="shared" si="63"/>
        <v/>
      </c>
      <c r="BR93" s="72" t="str">
        <f t="shared" si="79"/>
        <v/>
      </c>
    </row>
    <row r="94" spans="4:70" x14ac:dyDescent="0.15">
      <c r="D94" s="100" t="s">
        <v>596</v>
      </c>
      <c r="E94" s="100"/>
      <c r="F94" s="486"/>
      <c r="G94" s="100"/>
      <c r="I94" s="457">
        <f t="shared" si="80"/>
        <v>2099</v>
      </c>
      <c r="J94" s="71"/>
      <c r="K94" s="71">
        <f t="shared" si="81"/>
        <v>80</v>
      </c>
      <c r="L94" s="71"/>
      <c r="M94" s="7">
        <f t="shared" si="48"/>
        <v>9.3977096625217166E-2</v>
      </c>
      <c r="N94" s="71"/>
      <c r="O94" s="10" t="str">
        <f t="shared" si="64"/>
        <v/>
      </c>
      <c r="P94" s="29" t="str">
        <f t="shared" si="49"/>
        <v/>
      </c>
      <c r="Q94" s="71"/>
      <c r="R94" s="10" t="str">
        <f t="shared" si="65"/>
        <v/>
      </c>
      <c r="S94" s="71"/>
      <c r="T94" s="10" t="str">
        <f t="shared" si="66"/>
        <v/>
      </c>
      <c r="U94" s="71"/>
      <c r="V94" s="10" t="str">
        <f t="shared" si="50"/>
        <v/>
      </c>
      <c r="W94" s="10" t="str">
        <f t="shared" si="67"/>
        <v/>
      </c>
      <c r="X94" s="71"/>
      <c r="Y94" s="10" t="str">
        <f t="shared" si="51"/>
        <v/>
      </c>
      <c r="Z94" s="10" t="str">
        <f t="shared" si="68"/>
        <v/>
      </c>
      <c r="AA94" s="71"/>
      <c r="AB94" s="10" t="str">
        <f t="shared" si="52"/>
        <v/>
      </c>
      <c r="AC94" s="10" t="str">
        <f t="shared" si="69"/>
        <v/>
      </c>
      <c r="AD94" s="71"/>
      <c r="AE94" s="10" t="str">
        <f t="shared" si="53"/>
        <v/>
      </c>
      <c r="AF94" s="10" t="str">
        <f t="shared" si="70"/>
        <v/>
      </c>
      <c r="AG94" s="71"/>
      <c r="AH94" s="10" t="str">
        <f t="shared" si="54"/>
        <v/>
      </c>
      <c r="AI94" s="10" t="str">
        <f t="shared" si="71"/>
        <v/>
      </c>
      <c r="AJ94" s="71"/>
      <c r="AK94" s="10" t="str">
        <f t="shared" si="55"/>
        <v/>
      </c>
      <c r="AL94" s="10" t="str">
        <f t="shared" si="72"/>
        <v/>
      </c>
      <c r="AM94" s="71"/>
      <c r="AN94" s="10" t="str">
        <f t="shared" si="56"/>
        <v/>
      </c>
      <c r="AO94" s="10" t="str">
        <f t="shared" si="73"/>
        <v/>
      </c>
      <c r="AP94" s="71"/>
      <c r="AQ94" s="10" t="str">
        <f t="shared" si="57"/>
        <v/>
      </c>
      <c r="AR94" s="10" t="str">
        <f t="shared" si="74"/>
        <v/>
      </c>
      <c r="AS94" s="71"/>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U94" s="71"/>
      <c r="AV94" s="10" t="str">
        <f t="shared" si="58"/>
        <v/>
      </c>
      <c r="AW94" s="10" t="str">
        <f t="shared" si="59"/>
        <v/>
      </c>
      <c r="AX94" s="71"/>
      <c r="AY94" s="7" t="str">
        <f>IF(ISERROR(IF($K94&lt;=$F$15,VLOOKUP($I94,'表4）CO2価格'!$A$7:$E$67,VLOOKUP($F$48,'表4）CO2価格'!$H$10:$I$12,2,0),0)*$F$8/1000,"")),0,IF($K94&lt;=$F$15,VLOOKUP($I94,'表4）CO2価格'!$A$7:$E$67,VLOOKUP($F$48,'表4）CO2価格'!$H$10:$I$12,2,0),0)*$F$8/1000,""))</f>
        <v/>
      </c>
      <c r="AZ94" s="71"/>
      <c r="BA94" s="11" t="str">
        <f t="shared" si="60"/>
        <v/>
      </c>
      <c r="BB94" s="10" t="str">
        <f t="shared" si="75"/>
        <v/>
      </c>
      <c r="BC94" s="71"/>
      <c r="BD94" s="10" t="str">
        <f t="shared" si="61"/>
        <v/>
      </c>
      <c r="BE94" s="10" t="str">
        <f t="shared" si="76"/>
        <v/>
      </c>
      <c r="BF94" s="71"/>
      <c r="BG94" s="11" t="str">
        <f t="shared" si="62"/>
        <v/>
      </c>
      <c r="BH94" s="10" t="str">
        <f t="shared" si="77"/>
        <v/>
      </c>
      <c r="BJ94" s="7"/>
      <c r="BK94" s="158"/>
      <c r="BL94" s="158"/>
      <c r="BM94" s="10"/>
      <c r="BN94" s="10" t="str">
        <f>IF(AND(ISNUMBER($F$16),$K94&lt;=$F$16),BQ94*('バイオマス（木質専焼）（2020年）'!$O$15+'バイオマス（木質専焼）（2020年）'!$BK$116)/'バイオマス（木質専焼）（2020年）'!$BL$116,"")</f>
        <v/>
      </c>
      <c r="BO94" s="10" t="str">
        <f t="shared" si="78"/>
        <v/>
      </c>
      <c r="BQ94" s="10" t="str">
        <f t="shared" si="63"/>
        <v/>
      </c>
      <c r="BR94" s="10" t="str">
        <f t="shared" si="79"/>
        <v/>
      </c>
    </row>
    <row r="95" spans="4:70" ht="15" x14ac:dyDescent="0.15">
      <c r="D95" s="103"/>
      <c r="F95" s="487"/>
      <c r="I95" s="38">
        <f t="shared" si="80"/>
        <v>2100</v>
      </c>
      <c r="J95" s="39"/>
      <c r="K95" s="39">
        <f t="shared" si="81"/>
        <v>81</v>
      </c>
      <c r="L95" s="39"/>
      <c r="M95" s="40">
        <f t="shared" si="48"/>
        <v>9.1239899636133173E-2</v>
      </c>
      <c r="N95" s="39"/>
      <c r="O95" s="72" t="str">
        <f t="shared" si="64"/>
        <v/>
      </c>
      <c r="P95" s="41" t="str">
        <f t="shared" si="49"/>
        <v/>
      </c>
      <c r="Q95" s="39"/>
      <c r="R95" s="72" t="str">
        <f t="shared" si="65"/>
        <v/>
      </c>
      <c r="S95" s="39"/>
      <c r="T95" s="72" t="str">
        <f t="shared" si="66"/>
        <v/>
      </c>
      <c r="U95" s="39"/>
      <c r="V95" s="72" t="str">
        <f t="shared" si="50"/>
        <v/>
      </c>
      <c r="W95" s="72" t="str">
        <f t="shared" si="67"/>
        <v/>
      </c>
      <c r="X95" s="39"/>
      <c r="Y95" s="72" t="str">
        <f t="shared" si="51"/>
        <v/>
      </c>
      <c r="Z95" s="72" t="str">
        <f t="shared" si="68"/>
        <v/>
      </c>
      <c r="AA95" s="39"/>
      <c r="AB95" s="72" t="str">
        <f t="shared" si="52"/>
        <v/>
      </c>
      <c r="AC95" s="72" t="str">
        <f t="shared" si="69"/>
        <v/>
      </c>
      <c r="AD95" s="39"/>
      <c r="AE95" s="72" t="str">
        <f t="shared" si="53"/>
        <v/>
      </c>
      <c r="AF95" s="72" t="str">
        <f t="shared" si="70"/>
        <v/>
      </c>
      <c r="AG95" s="39"/>
      <c r="AH95" s="72" t="str">
        <f t="shared" si="54"/>
        <v/>
      </c>
      <c r="AI95" s="72" t="str">
        <f t="shared" si="71"/>
        <v/>
      </c>
      <c r="AJ95" s="39"/>
      <c r="AK95" s="72" t="str">
        <f t="shared" si="55"/>
        <v/>
      </c>
      <c r="AL95" s="72" t="str">
        <f t="shared" si="72"/>
        <v/>
      </c>
      <c r="AM95" s="39"/>
      <c r="AN95" s="72" t="str">
        <f t="shared" si="56"/>
        <v/>
      </c>
      <c r="AO95" s="72" t="str">
        <f t="shared" si="73"/>
        <v/>
      </c>
      <c r="AP95" s="39"/>
      <c r="AQ95" s="72" t="str">
        <f t="shared" si="57"/>
        <v/>
      </c>
      <c r="AR95" s="72" t="str">
        <f t="shared" si="74"/>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58"/>
        <v/>
      </c>
      <c r="AW95" s="72" t="str">
        <f t="shared" si="59"/>
        <v/>
      </c>
      <c r="AX95" s="39"/>
      <c r="AY95" s="40" t="str">
        <f>IF(ISERROR(IF($K95&lt;=$F$15,VLOOKUP($I95,'表4）CO2価格'!$A$7:$E$67,VLOOKUP($F$48,'表4）CO2価格'!$H$10:$I$12,2,0),0)*$F$8/1000,"")),0,IF($K95&lt;=$F$15,VLOOKUP($I95,'表4）CO2価格'!$A$7:$E$67,VLOOKUP($F$48,'表4）CO2価格'!$H$10:$I$12,2,0),0)*$F$8/1000,""))</f>
        <v/>
      </c>
      <c r="AZ95" s="39"/>
      <c r="BA95" s="42" t="str">
        <f t="shared" si="60"/>
        <v/>
      </c>
      <c r="BB95" s="72" t="str">
        <f t="shared" si="75"/>
        <v/>
      </c>
      <c r="BC95" s="39"/>
      <c r="BD95" s="72" t="str">
        <f t="shared" si="61"/>
        <v/>
      </c>
      <c r="BE95" s="72" t="str">
        <f t="shared" si="76"/>
        <v/>
      </c>
      <c r="BF95" s="39"/>
      <c r="BG95" s="42" t="str">
        <f t="shared" si="62"/>
        <v/>
      </c>
      <c r="BH95" s="72" t="str">
        <f t="shared" si="77"/>
        <v/>
      </c>
      <c r="BI95" s="39"/>
      <c r="BJ95" s="40"/>
      <c r="BK95" s="157"/>
      <c r="BL95" s="157"/>
      <c r="BM95" s="72"/>
      <c r="BN95" s="72" t="str">
        <f>IF(AND(ISNUMBER($F$16),$K95&lt;=$F$16),BQ95*('バイオマス（木質専焼）（2020年）'!$O$15+'バイオマス（木質専焼）（2020年）'!$BK$116)/'バイオマス（木質専焼）（2020年）'!$BL$116,"")</f>
        <v/>
      </c>
      <c r="BO95" s="72" t="str">
        <f t="shared" si="78"/>
        <v/>
      </c>
      <c r="BP95" s="39"/>
      <c r="BQ95" s="72" t="str">
        <f t="shared" si="63"/>
        <v/>
      </c>
      <c r="BR95" s="72" t="str">
        <f t="shared" si="79"/>
        <v/>
      </c>
    </row>
    <row r="96" spans="4:70" ht="15" x14ac:dyDescent="0.15">
      <c r="D96" s="103"/>
      <c r="E96" s="84" t="s">
        <v>597</v>
      </c>
      <c r="F96" s="488">
        <f>IF(F3&lt;&gt;"原子力",AW116/$BR$116,0)</f>
        <v>4.4393113092137293</v>
      </c>
      <c r="G96" s="84" t="s">
        <v>590</v>
      </c>
      <c r="I96" s="457">
        <f t="shared" si="80"/>
        <v>2101</v>
      </c>
      <c r="J96" s="71"/>
      <c r="K96" s="71">
        <f t="shared" si="81"/>
        <v>82</v>
      </c>
      <c r="L96" s="71"/>
      <c r="M96" s="7">
        <f t="shared" si="48"/>
        <v>8.8582426831197242E-2</v>
      </c>
      <c r="N96" s="71"/>
      <c r="O96" s="10" t="str">
        <f t="shared" si="64"/>
        <v/>
      </c>
      <c r="P96" s="29" t="str">
        <f t="shared" si="49"/>
        <v/>
      </c>
      <c r="Q96" s="71"/>
      <c r="R96" s="10" t="str">
        <f t="shared" si="65"/>
        <v/>
      </c>
      <c r="S96" s="71"/>
      <c r="T96" s="10" t="str">
        <f t="shared" si="66"/>
        <v/>
      </c>
      <c r="U96" s="71"/>
      <c r="V96" s="10" t="str">
        <f t="shared" si="50"/>
        <v/>
      </c>
      <c r="W96" s="10" t="str">
        <f t="shared" si="67"/>
        <v/>
      </c>
      <c r="X96" s="71"/>
      <c r="Y96" s="10" t="str">
        <f t="shared" si="51"/>
        <v/>
      </c>
      <c r="Z96" s="10" t="str">
        <f t="shared" si="68"/>
        <v/>
      </c>
      <c r="AA96" s="71"/>
      <c r="AB96" s="10" t="str">
        <f t="shared" si="52"/>
        <v/>
      </c>
      <c r="AC96" s="10" t="str">
        <f t="shared" si="69"/>
        <v/>
      </c>
      <c r="AD96" s="71"/>
      <c r="AE96" s="10" t="str">
        <f t="shared" si="53"/>
        <v/>
      </c>
      <c r="AF96" s="10" t="str">
        <f t="shared" si="70"/>
        <v/>
      </c>
      <c r="AG96" s="71"/>
      <c r="AH96" s="10" t="str">
        <f t="shared" si="54"/>
        <v/>
      </c>
      <c r="AI96" s="10" t="str">
        <f t="shared" si="71"/>
        <v/>
      </c>
      <c r="AJ96" s="71"/>
      <c r="AK96" s="10" t="str">
        <f t="shared" si="55"/>
        <v/>
      </c>
      <c r="AL96" s="10" t="str">
        <f t="shared" si="72"/>
        <v/>
      </c>
      <c r="AM96" s="71"/>
      <c r="AN96" s="10" t="str">
        <f t="shared" si="56"/>
        <v/>
      </c>
      <c r="AO96" s="10" t="str">
        <f t="shared" si="73"/>
        <v/>
      </c>
      <c r="AP96" s="71"/>
      <c r="AQ96" s="10" t="str">
        <f t="shared" si="57"/>
        <v/>
      </c>
      <c r="AR96" s="10" t="str">
        <f t="shared" si="74"/>
        <v/>
      </c>
      <c r="AS96" s="71"/>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U96" s="71"/>
      <c r="AV96" s="10" t="str">
        <f t="shared" si="58"/>
        <v/>
      </c>
      <c r="AW96" s="10" t="str">
        <f t="shared" si="59"/>
        <v/>
      </c>
      <c r="AX96" s="71"/>
      <c r="AY96" s="7" t="str">
        <f>IF(ISERROR(IF($K96&lt;=$F$15,VLOOKUP($I96,'表4）CO2価格'!$A$7:$E$67,VLOOKUP($F$48,'表4）CO2価格'!$H$10:$I$12,2,0),0)*$F$8/1000,"")),0,IF($K96&lt;=$F$15,VLOOKUP($I96,'表4）CO2価格'!$A$7:$E$67,VLOOKUP($F$48,'表4）CO2価格'!$H$10:$I$12,2,0),0)*$F$8/1000,""))</f>
        <v/>
      </c>
      <c r="AZ96" s="71"/>
      <c r="BA96" s="11" t="str">
        <f t="shared" si="60"/>
        <v/>
      </c>
      <c r="BB96" s="10" t="str">
        <f t="shared" si="75"/>
        <v/>
      </c>
      <c r="BC96" s="71"/>
      <c r="BD96" s="10" t="str">
        <f t="shared" si="61"/>
        <v/>
      </c>
      <c r="BE96" s="10" t="str">
        <f t="shared" si="76"/>
        <v/>
      </c>
      <c r="BF96" s="71"/>
      <c r="BG96" s="11" t="str">
        <f t="shared" si="62"/>
        <v/>
      </c>
      <c r="BH96" s="10" t="str">
        <f t="shared" si="77"/>
        <v/>
      </c>
      <c r="BJ96" s="7"/>
      <c r="BK96" s="158"/>
      <c r="BL96" s="158"/>
      <c r="BM96" s="10"/>
      <c r="BN96" s="10" t="str">
        <f>IF(AND(ISNUMBER($F$16),$K96&lt;=$F$16),BQ96*('バイオマス（木質専焼）（2020年）'!$O$15+'バイオマス（木質専焼）（2020年）'!$BK$116)/'バイオマス（木質専焼）（2020年）'!$BL$116,"")</f>
        <v/>
      </c>
      <c r="BO96" s="10" t="str">
        <f t="shared" si="78"/>
        <v/>
      </c>
      <c r="BQ96" s="10" t="str">
        <f t="shared" si="63"/>
        <v/>
      </c>
      <c r="BR96" s="10" t="str">
        <f t="shared" si="79"/>
        <v/>
      </c>
    </row>
    <row r="97" spans="4:70" ht="15" x14ac:dyDescent="0.15">
      <c r="D97" s="103"/>
      <c r="E97" s="84" t="s">
        <v>598</v>
      </c>
      <c r="F97" s="488">
        <f>IF(F3="原子力",#REF!,0)</f>
        <v>0</v>
      </c>
      <c r="G97" s="84" t="s">
        <v>590</v>
      </c>
      <c r="I97" s="38">
        <f t="shared" si="80"/>
        <v>2102</v>
      </c>
      <c r="J97" s="39"/>
      <c r="K97" s="39">
        <f t="shared" si="81"/>
        <v>83</v>
      </c>
      <c r="L97" s="39"/>
      <c r="M97" s="40">
        <f t="shared" si="48"/>
        <v>8.6002356146793454E-2</v>
      </c>
      <c r="N97" s="39"/>
      <c r="O97" s="72" t="str">
        <f t="shared" si="64"/>
        <v/>
      </c>
      <c r="P97" s="41" t="str">
        <f t="shared" si="49"/>
        <v/>
      </c>
      <c r="Q97" s="39"/>
      <c r="R97" s="72" t="str">
        <f t="shared" si="65"/>
        <v/>
      </c>
      <c r="S97" s="39"/>
      <c r="T97" s="72" t="str">
        <f t="shared" si="66"/>
        <v/>
      </c>
      <c r="U97" s="39"/>
      <c r="V97" s="72" t="str">
        <f t="shared" si="50"/>
        <v/>
      </c>
      <c r="W97" s="72" t="str">
        <f t="shared" si="67"/>
        <v/>
      </c>
      <c r="X97" s="39"/>
      <c r="Y97" s="72" t="str">
        <f t="shared" si="51"/>
        <v/>
      </c>
      <c r="Z97" s="72" t="str">
        <f t="shared" si="68"/>
        <v/>
      </c>
      <c r="AA97" s="39"/>
      <c r="AB97" s="72" t="str">
        <f t="shared" si="52"/>
        <v/>
      </c>
      <c r="AC97" s="72" t="str">
        <f t="shared" si="69"/>
        <v/>
      </c>
      <c r="AD97" s="39"/>
      <c r="AE97" s="72" t="str">
        <f t="shared" si="53"/>
        <v/>
      </c>
      <c r="AF97" s="72" t="str">
        <f t="shared" si="70"/>
        <v/>
      </c>
      <c r="AG97" s="39"/>
      <c r="AH97" s="72" t="str">
        <f t="shared" si="54"/>
        <v/>
      </c>
      <c r="AI97" s="72" t="str">
        <f t="shared" si="71"/>
        <v/>
      </c>
      <c r="AJ97" s="39"/>
      <c r="AK97" s="72" t="str">
        <f t="shared" si="55"/>
        <v/>
      </c>
      <c r="AL97" s="72" t="str">
        <f t="shared" si="72"/>
        <v/>
      </c>
      <c r="AM97" s="39"/>
      <c r="AN97" s="72" t="str">
        <f t="shared" si="56"/>
        <v/>
      </c>
      <c r="AO97" s="72" t="str">
        <f t="shared" si="73"/>
        <v/>
      </c>
      <c r="AP97" s="39"/>
      <c r="AQ97" s="72" t="str">
        <f t="shared" si="57"/>
        <v/>
      </c>
      <c r="AR97" s="72" t="str">
        <f t="shared" si="74"/>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58"/>
        <v/>
      </c>
      <c r="AW97" s="72" t="str">
        <f t="shared" si="59"/>
        <v/>
      </c>
      <c r="AX97" s="39"/>
      <c r="AY97" s="40" t="str">
        <f>IF(ISERROR(IF($K97&lt;=$F$15,VLOOKUP($I97,'表4）CO2価格'!$A$7:$E$67,VLOOKUP($F$48,'表4）CO2価格'!$H$10:$I$12,2,0),0)*$F$8/1000,"")),0,IF($K97&lt;=$F$15,VLOOKUP($I97,'表4）CO2価格'!$A$7:$E$67,VLOOKUP($F$48,'表4）CO2価格'!$H$10:$I$12,2,0),0)*$F$8/1000,""))</f>
        <v/>
      </c>
      <c r="AZ97" s="39"/>
      <c r="BA97" s="42" t="str">
        <f t="shared" si="60"/>
        <v/>
      </c>
      <c r="BB97" s="72" t="str">
        <f t="shared" si="75"/>
        <v/>
      </c>
      <c r="BC97" s="39"/>
      <c r="BD97" s="72" t="str">
        <f t="shared" si="61"/>
        <v/>
      </c>
      <c r="BE97" s="72" t="str">
        <f t="shared" si="76"/>
        <v/>
      </c>
      <c r="BF97" s="39"/>
      <c r="BG97" s="42" t="str">
        <f t="shared" si="62"/>
        <v/>
      </c>
      <c r="BH97" s="72" t="str">
        <f t="shared" si="77"/>
        <v/>
      </c>
      <c r="BI97" s="39"/>
      <c r="BJ97" s="40"/>
      <c r="BK97" s="157"/>
      <c r="BL97" s="157"/>
      <c r="BM97" s="72"/>
      <c r="BN97" s="72" t="str">
        <f>IF(AND(ISNUMBER($F$16),$K97&lt;=$F$16),BQ97*('バイオマス（木質専焼）（2020年）'!$O$15+'バイオマス（木質専焼）（2020年）'!$BK$116)/'バイオマス（木質専焼）（2020年）'!$BL$116,"")</f>
        <v/>
      </c>
      <c r="BO97" s="72" t="str">
        <f t="shared" si="78"/>
        <v/>
      </c>
      <c r="BP97" s="39"/>
      <c r="BQ97" s="72" t="str">
        <f t="shared" si="63"/>
        <v/>
      </c>
      <c r="BR97" s="72" t="str">
        <f t="shared" si="79"/>
        <v/>
      </c>
    </row>
    <row r="98" spans="4:70" x14ac:dyDescent="0.15">
      <c r="F98" s="487"/>
      <c r="I98" s="457">
        <f t="shared" si="80"/>
        <v>2103</v>
      </c>
      <c r="J98" s="71"/>
      <c r="K98" s="71">
        <f t="shared" si="81"/>
        <v>84</v>
      </c>
      <c r="L98" s="71"/>
      <c r="M98" s="7">
        <f t="shared" si="48"/>
        <v>8.3497433152226644E-2</v>
      </c>
      <c r="N98" s="71"/>
      <c r="O98" s="10" t="str">
        <f t="shared" si="64"/>
        <v/>
      </c>
      <c r="P98" s="29" t="str">
        <f t="shared" si="49"/>
        <v/>
      </c>
      <c r="Q98" s="71"/>
      <c r="R98" s="10" t="str">
        <f t="shared" si="65"/>
        <v/>
      </c>
      <c r="S98" s="71"/>
      <c r="T98" s="10" t="str">
        <f t="shared" si="66"/>
        <v/>
      </c>
      <c r="U98" s="71"/>
      <c r="V98" s="10" t="str">
        <f t="shared" si="50"/>
        <v/>
      </c>
      <c r="W98" s="10" t="str">
        <f t="shared" si="67"/>
        <v/>
      </c>
      <c r="X98" s="71"/>
      <c r="Y98" s="10" t="str">
        <f t="shared" si="51"/>
        <v/>
      </c>
      <c r="Z98" s="10" t="str">
        <f t="shared" si="68"/>
        <v/>
      </c>
      <c r="AA98" s="71"/>
      <c r="AB98" s="10" t="str">
        <f t="shared" si="52"/>
        <v/>
      </c>
      <c r="AC98" s="10" t="str">
        <f t="shared" si="69"/>
        <v/>
      </c>
      <c r="AD98" s="71"/>
      <c r="AE98" s="10" t="str">
        <f t="shared" si="53"/>
        <v/>
      </c>
      <c r="AF98" s="10" t="str">
        <f t="shared" si="70"/>
        <v/>
      </c>
      <c r="AG98" s="71"/>
      <c r="AH98" s="10" t="str">
        <f t="shared" si="54"/>
        <v/>
      </c>
      <c r="AI98" s="10" t="str">
        <f t="shared" si="71"/>
        <v/>
      </c>
      <c r="AJ98" s="71"/>
      <c r="AK98" s="10" t="str">
        <f t="shared" si="55"/>
        <v/>
      </c>
      <c r="AL98" s="10" t="str">
        <f t="shared" si="72"/>
        <v/>
      </c>
      <c r="AM98" s="71"/>
      <c r="AN98" s="10" t="str">
        <f t="shared" si="56"/>
        <v/>
      </c>
      <c r="AO98" s="10" t="str">
        <f t="shared" si="73"/>
        <v/>
      </c>
      <c r="AP98" s="71"/>
      <c r="AQ98" s="10" t="str">
        <f t="shared" si="57"/>
        <v/>
      </c>
      <c r="AR98" s="10" t="str">
        <f t="shared" si="74"/>
        <v/>
      </c>
      <c r="AS98" s="71"/>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U98" s="71"/>
      <c r="AV98" s="10" t="str">
        <f t="shared" si="58"/>
        <v/>
      </c>
      <c r="AW98" s="10" t="str">
        <f t="shared" si="59"/>
        <v/>
      </c>
      <c r="AX98" s="71"/>
      <c r="AY98" s="7" t="str">
        <f>IF(ISERROR(IF($K98&lt;=$F$15,VLOOKUP($I98,'表4）CO2価格'!$A$7:$E$67,VLOOKUP($F$48,'表4）CO2価格'!$H$10:$I$12,2,0),0)*$F$8/1000,"")),0,IF($K98&lt;=$F$15,VLOOKUP($I98,'表4）CO2価格'!$A$7:$E$67,VLOOKUP($F$48,'表4）CO2価格'!$H$10:$I$12,2,0),0)*$F$8/1000,""))</f>
        <v/>
      </c>
      <c r="AZ98" s="71"/>
      <c r="BA98" s="11" t="str">
        <f t="shared" si="60"/>
        <v/>
      </c>
      <c r="BB98" s="10" t="str">
        <f t="shared" si="75"/>
        <v/>
      </c>
      <c r="BC98" s="71"/>
      <c r="BD98" s="10" t="str">
        <f t="shared" si="61"/>
        <v/>
      </c>
      <c r="BE98" s="10" t="str">
        <f t="shared" si="76"/>
        <v/>
      </c>
      <c r="BF98" s="71"/>
      <c r="BG98" s="11" t="str">
        <f t="shared" si="62"/>
        <v/>
      </c>
      <c r="BH98" s="10" t="str">
        <f t="shared" si="77"/>
        <v/>
      </c>
      <c r="BJ98" s="7"/>
      <c r="BK98" s="158"/>
      <c r="BL98" s="158"/>
      <c r="BM98" s="10"/>
      <c r="BN98" s="10" t="str">
        <f>IF(AND(ISNUMBER($F$16),$K98&lt;=$F$16),BQ98*('バイオマス（木質専焼）（2020年）'!$O$15+'バイオマス（木質専焼）（2020年）'!$BK$116)/'バイオマス（木質専焼）（2020年）'!$BL$116,"")</f>
        <v/>
      </c>
      <c r="BO98" s="10" t="str">
        <f t="shared" si="78"/>
        <v/>
      </c>
      <c r="BQ98" s="10" t="str">
        <f t="shared" si="63"/>
        <v/>
      </c>
      <c r="BR98" s="10" t="str">
        <f t="shared" si="79"/>
        <v/>
      </c>
    </row>
    <row r="99" spans="4:70" ht="15" x14ac:dyDescent="0.15">
      <c r="D99" s="103" t="s">
        <v>599</v>
      </c>
      <c r="F99" s="484">
        <f>SUBTOTAL(9,F103:F105)</f>
        <v>4.0392452701567647</v>
      </c>
      <c r="G99" s="84" t="s">
        <v>590</v>
      </c>
      <c r="I99" s="38">
        <f t="shared" si="80"/>
        <v>2104</v>
      </c>
      <c r="J99" s="39"/>
      <c r="K99" s="39">
        <f t="shared" si="81"/>
        <v>85</v>
      </c>
      <c r="L99" s="39"/>
      <c r="M99" s="40">
        <f t="shared" si="48"/>
        <v>8.1065469079831712E-2</v>
      </c>
      <c r="N99" s="39"/>
      <c r="O99" s="72" t="str">
        <f t="shared" si="64"/>
        <v/>
      </c>
      <c r="P99" s="41" t="str">
        <f t="shared" si="49"/>
        <v/>
      </c>
      <c r="Q99" s="39"/>
      <c r="R99" s="72" t="str">
        <f t="shared" si="65"/>
        <v/>
      </c>
      <c r="S99" s="39"/>
      <c r="T99" s="72" t="str">
        <f t="shared" si="66"/>
        <v/>
      </c>
      <c r="U99" s="39"/>
      <c r="V99" s="72" t="str">
        <f t="shared" si="50"/>
        <v/>
      </c>
      <c r="W99" s="72" t="str">
        <f t="shared" si="67"/>
        <v/>
      </c>
      <c r="X99" s="39"/>
      <c r="Y99" s="72" t="str">
        <f t="shared" si="51"/>
        <v/>
      </c>
      <c r="Z99" s="72" t="str">
        <f t="shared" si="68"/>
        <v/>
      </c>
      <c r="AA99" s="39"/>
      <c r="AB99" s="72" t="str">
        <f t="shared" si="52"/>
        <v/>
      </c>
      <c r="AC99" s="72" t="str">
        <f t="shared" si="69"/>
        <v/>
      </c>
      <c r="AD99" s="39"/>
      <c r="AE99" s="72" t="str">
        <f t="shared" si="53"/>
        <v/>
      </c>
      <c r="AF99" s="72" t="str">
        <f t="shared" si="70"/>
        <v/>
      </c>
      <c r="AG99" s="39"/>
      <c r="AH99" s="72" t="str">
        <f t="shared" si="54"/>
        <v/>
      </c>
      <c r="AI99" s="72" t="str">
        <f t="shared" si="71"/>
        <v/>
      </c>
      <c r="AJ99" s="39"/>
      <c r="AK99" s="72" t="str">
        <f t="shared" si="55"/>
        <v/>
      </c>
      <c r="AL99" s="72" t="str">
        <f t="shared" si="72"/>
        <v/>
      </c>
      <c r="AM99" s="39"/>
      <c r="AN99" s="72" t="str">
        <f t="shared" si="56"/>
        <v/>
      </c>
      <c r="AO99" s="72" t="str">
        <f t="shared" si="73"/>
        <v/>
      </c>
      <c r="AP99" s="39"/>
      <c r="AQ99" s="72" t="str">
        <f t="shared" si="57"/>
        <v/>
      </c>
      <c r="AR99" s="72" t="str">
        <f t="shared" si="74"/>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58"/>
        <v/>
      </c>
      <c r="AW99" s="72" t="str">
        <f t="shared" si="59"/>
        <v/>
      </c>
      <c r="AX99" s="39"/>
      <c r="AY99" s="40" t="str">
        <f>IF(ISERROR(IF($K99&lt;=$F$15,VLOOKUP($I99,'表4）CO2価格'!$A$7:$E$67,VLOOKUP($F$48,'表4）CO2価格'!$H$10:$I$12,2,0),0)*$F$8/1000,"")),0,IF($K99&lt;=$F$15,VLOOKUP($I99,'表4）CO2価格'!$A$7:$E$67,VLOOKUP($F$48,'表4）CO2価格'!$H$10:$I$12,2,0),0)*$F$8/1000,""))</f>
        <v/>
      </c>
      <c r="AZ99" s="39"/>
      <c r="BA99" s="42" t="str">
        <f t="shared" si="60"/>
        <v/>
      </c>
      <c r="BB99" s="72" t="str">
        <f t="shared" si="75"/>
        <v/>
      </c>
      <c r="BC99" s="39"/>
      <c r="BD99" s="72" t="str">
        <f t="shared" si="61"/>
        <v/>
      </c>
      <c r="BE99" s="72" t="str">
        <f t="shared" si="76"/>
        <v/>
      </c>
      <c r="BF99" s="39"/>
      <c r="BG99" s="42" t="str">
        <f t="shared" si="62"/>
        <v/>
      </c>
      <c r="BH99" s="72" t="str">
        <f t="shared" si="77"/>
        <v/>
      </c>
      <c r="BI99" s="39"/>
      <c r="BJ99" s="40"/>
      <c r="BK99" s="157"/>
      <c r="BL99" s="157"/>
      <c r="BM99" s="72"/>
      <c r="BN99" s="72" t="str">
        <f>IF(AND(ISNUMBER($F$16),$K99&lt;=$F$16),BQ99*('バイオマス（木質専焼）（2020年）'!$O$15+'バイオマス（木質専焼）（2020年）'!$BK$116)/'バイオマス（木質専焼）（2020年）'!$BL$116,"")</f>
        <v/>
      </c>
      <c r="BO99" s="72" t="str">
        <f t="shared" si="78"/>
        <v/>
      </c>
      <c r="BP99" s="39"/>
      <c r="BQ99" s="72" t="str">
        <f t="shared" si="63"/>
        <v/>
      </c>
      <c r="BR99" s="72" t="str">
        <f t="shared" si="79"/>
        <v/>
      </c>
    </row>
    <row r="100" spans="4:70" x14ac:dyDescent="0.15">
      <c r="F100" s="487"/>
      <c r="I100" s="457">
        <f t="shared" si="80"/>
        <v>2105</v>
      </c>
      <c r="J100" s="71"/>
      <c r="K100" s="71">
        <f t="shared" si="81"/>
        <v>86</v>
      </c>
      <c r="L100" s="71"/>
      <c r="M100" s="7">
        <f t="shared" si="48"/>
        <v>7.8704338912457969E-2</v>
      </c>
      <c r="N100" s="71"/>
      <c r="O100" s="10" t="str">
        <f t="shared" si="64"/>
        <v/>
      </c>
      <c r="P100" s="29" t="str">
        <f t="shared" si="49"/>
        <v/>
      </c>
      <c r="Q100" s="71"/>
      <c r="R100" s="10" t="str">
        <f t="shared" si="65"/>
        <v/>
      </c>
      <c r="S100" s="71"/>
      <c r="T100" s="10" t="str">
        <f t="shared" si="66"/>
        <v/>
      </c>
      <c r="U100" s="71"/>
      <c r="V100" s="10" t="str">
        <f t="shared" si="50"/>
        <v/>
      </c>
      <c r="W100" s="10" t="str">
        <f t="shared" si="67"/>
        <v/>
      </c>
      <c r="X100" s="71"/>
      <c r="Y100" s="10" t="str">
        <f t="shared" si="51"/>
        <v/>
      </c>
      <c r="Z100" s="10" t="str">
        <f t="shared" si="68"/>
        <v/>
      </c>
      <c r="AA100" s="71"/>
      <c r="AB100" s="10" t="str">
        <f t="shared" si="52"/>
        <v/>
      </c>
      <c r="AC100" s="10" t="str">
        <f t="shared" si="69"/>
        <v/>
      </c>
      <c r="AD100" s="71"/>
      <c r="AE100" s="10" t="str">
        <f t="shared" si="53"/>
        <v/>
      </c>
      <c r="AF100" s="10" t="str">
        <f t="shared" si="70"/>
        <v/>
      </c>
      <c r="AG100" s="71"/>
      <c r="AH100" s="10" t="str">
        <f t="shared" si="54"/>
        <v/>
      </c>
      <c r="AI100" s="10" t="str">
        <f t="shared" si="71"/>
        <v/>
      </c>
      <c r="AJ100" s="71"/>
      <c r="AK100" s="10" t="str">
        <f t="shared" si="55"/>
        <v/>
      </c>
      <c r="AL100" s="10" t="str">
        <f t="shared" si="72"/>
        <v/>
      </c>
      <c r="AM100" s="71"/>
      <c r="AN100" s="10" t="str">
        <f t="shared" si="56"/>
        <v/>
      </c>
      <c r="AO100" s="10" t="str">
        <f t="shared" si="73"/>
        <v/>
      </c>
      <c r="AP100" s="71"/>
      <c r="AQ100" s="10" t="str">
        <f t="shared" si="57"/>
        <v/>
      </c>
      <c r="AR100" s="10" t="str">
        <f t="shared" si="74"/>
        <v/>
      </c>
      <c r="AS100" s="71"/>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U100" s="71"/>
      <c r="AV100" s="10" t="str">
        <f t="shared" si="58"/>
        <v/>
      </c>
      <c r="AW100" s="10" t="str">
        <f t="shared" si="59"/>
        <v/>
      </c>
      <c r="AX100" s="71"/>
      <c r="AY100" s="7" t="str">
        <f>IF(ISERROR(IF($K100&lt;=$F$15,VLOOKUP($I100,'表4）CO2価格'!$A$7:$E$67,VLOOKUP($F$48,'表4）CO2価格'!$H$10:$I$12,2,0),0)*$F$8/1000,"")),0,IF($K100&lt;=$F$15,VLOOKUP($I100,'表4）CO2価格'!$A$7:$E$67,VLOOKUP($F$48,'表4）CO2価格'!$H$10:$I$12,2,0),0)*$F$8/1000,""))</f>
        <v/>
      </c>
      <c r="AZ100" s="71"/>
      <c r="BA100" s="11" t="str">
        <f t="shared" si="60"/>
        <v/>
      </c>
      <c r="BB100" s="10" t="str">
        <f t="shared" si="75"/>
        <v/>
      </c>
      <c r="BC100" s="71"/>
      <c r="BD100" s="10" t="str">
        <f t="shared" si="61"/>
        <v/>
      </c>
      <c r="BE100" s="10" t="str">
        <f t="shared" si="76"/>
        <v/>
      </c>
      <c r="BF100" s="71"/>
      <c r="BG100" s="11" t="str">
        <f t="shared" si="62"/>
        <v/>
      </c>
      <c r="BH100" s="10" t="str">
        <f t="shared" si="77"/>
        <v/>
      </c>
      <c r="BJ100" s="7"/>
      <c r="BK100" s="158"/>
      <c r="BL100" s="158"/>
      <c r="BM100" s="10"/>
      <c r="BN100" s="10" t="str">
        <f>IF(AND(ISNUMBER($F$16),$K100&lt;=$F$16),BQ100*('バイオマス（木質専焼）（2020年）'!$O$15+'バイオマス（木質専焼）（2020年）'!$BK$116)/'バイオマス（木質専焼）（2020年）'!$BL$116,"")</f>
        <v/>
      </c>
      <c r="BO100" s="10" t="str">
        <f t="shared" si="78"/>
        <v/>
      </c>
      <c r="BQ100" s="10" t="str">
        <f t="shared" si="63"/>
        <v/>
      </c>
      <c r="BR100" s="10" t="str">
        <f t="shared" si="79"/>
        <v/>
      </c>
    </row>
    <row r="101" spans="4:70" x14ac:dyDescent="0.15">
      <c r="D101" s="100" t="s">
        <v>600</v>
      </c>
      <c r="E101" s="100"/>
      <c r="F101" s="486"/>
      <c r="G101" s="100"/>
      <c r="I101" s="38">
        <f t="shared" si="80"/>
        <v>2106</v>
      </c>
      <c r="J101" s="39"/>
      <c r="K101" s="39">
        <f t="shared" si="81"/>
        <v>87</v>
      </c>
      <c r="L101" s="39"/>
      <c r="M101" s="40">
        <f t="shared" si="48"/>
        <v>7.6411979526658208E-2</v>
      </c>
      <c r="N101" s="39"/>
      <c r="O101" s="72" t="str">
        <f t="shared" si="64"/>
        <v/>
      </c>
      <c r="P101" s="41" t="str">
        <f t="shared" si="49"/>
        <v/>
      </c>
      <c r="Q101" s="39"/>
      <c r="R101" s="72" t="str">
        <f t="shared" si="65"/>
        <v/>
      </c>
      <c r="S101" s="39"/>
      <c r="T101" s="72" t="str">
        <f t="shared" si="66"/>
        <v/>
      </c>
      <c r="U101" s="39"/>
      <c r="V101" s="72" t="str">
        <f t="shared" si="50"/>
        <v/>
      </c>
      <c r="W101" s="72" t="str">
        <f t="shared" si="67"/>
        <v/>
      </c>
      <c r="X101" s="39"/>
      <c r="Y101" s="72" t="str">
        <f t="shared" si="51"/>
        <v/>
      </c>
      <c r="Z101" s="72" t="str">
        <f t="shared" si="68"/>
        <v/>
      </c>
      <c r="AA101" s="39"/>
      <c r="AB101" s="72" t="str">
        <f t="shared" si="52"/>
        <v/>
      </c>
      <c r="AC101" s="72" t="str">
        <f t="shared" si="69"/>
        <v/>
      </c>
      <c r="AD101" s="39"/>
      <c r="AE101" s="72" t="str">
        <f t="shared" si="53"/>
        <v/>
      </c>
      <c r="AF101" s="72" t="str">
        <f t="shared" si="70"/>
        <v/>
      </c>
      <c r="AG101" s="39"/>
      <c r="AH101" s="72" t="str">
        <f t="shared" si="54"/>
        <v/>
      </c>
      <c r="AI101" s="72" t="str">
        <f t="shared" si="71"/>
        <v/>
      </c>
      <c r="AJ101" s="39"/>
      <c r="AK101" s="72" t="str">
        <f t="shared" si="55"/>
        <v/>
      </c>
      <c r="AL101" s="72" t="str">
        <f t="shared" si="72"/>
        <v/>
      </c>
      <c r="AM101" s="39"/>
      <c r="AN101" s="72" t="str">
        <f t="shared" si="56"/>
        <v/>
      </c>
      <c r="AO101" s="72" t="str">
        <f t="shared" si="73"/>
        <v/>
      </c>
      <c r="AP101" s="39"/>
      <c r="AQ101" s="72" t="str">
        <f t="shared" si="57"/>
        <v/>
      </c>
      <c r="AR101" s="72" t="str">
        <f t="shared" si="74"/>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58"/>
        <v/>
      </c>
      <c r="AW101" s="72" t="str">
        <f t="shared" si="59"/>
        <v/>
      </c>
      <c r="AX101" s="39"/>
      <c r="AY101" s="40" t="str">
        <f>IF(ISERROR(IF($K101&lt;=$F$15,VLOOKUP($I101,'表4）CO2価格'!$A$7:$E$67,VLOOKUP($F$48,'表4）CO2価格'!$H$10:$I$12,2,0),0)*$F$8/1000,"")),0,IF($K101&lt;=$F$15,VLOOKUP($I101,'表4）CO2価格'!$A$7:$E$67,VLOOKUP($F$48,'表4）CO2価格'!$H$10:$I$12,2,0),0)*$F$8/1000,""))</f>
        <v/>
      </c>
      <c r="AZ101" s="39"/>
      <c r="BA101" s="42" t="str">
        <f t="shared" si="60"/>
        <v/>
      </c>
      <c r="BB101" s="72" t="str">
        <f t="shared" si="75"/>
        <v/>
      </c>
      <c r="BC101" s="39"/>
      <c r="BD101" s="72" t="str">
        <f t="shared" si="61"/>
        <v/>
      </c>
      <c r="BE101" s="72" t="str">
        <f t="shared" si="76"/>
        <v/>
      </c>
      <c r="BF101" s="39"/>
      <c r="BG101" s="42" t="str">
        <f t="shared" si="62"/>
        <v/>
      </c>
      <c r="BH101" s="72" t="str">
        <f t="shared" si="77"/>
        <v/>
      </c>
      <c r="BI101" s="39"/>
      <c r="BJ101" s="40"/>
      <c r="BK101" s="157"/>
      <c r="BL101" s="157"/>
      <c r="BM101" s="72"/>
      <c r="BN101" s="72" t="str">
        <f>IF(AND(ISNUMBER($F$16),$K101&lt;=$F$16),BQ101*('バイオマス（木質専焼）（2020年）'!$O$15+'バイオマス（木質専焼）（2020年）'!$BK$116)/'バイオマス（木質専焼）（2020年）'!$BL$116,"")</f>
        <v/>
      </c>
      <c r="BO101" s="72" t="str">
        <f t="shared" si="78"/>
        <v/>
      </c>
      <c r="BP101" s="39"/>
      <c r="BQ101" s="72" t="str">
        <f t="shared" si="63"/>
        <v/>
      </c>
      <c r="BR101" s="72" t="str">
        <f t="shared" si="79"/>
        <v/>
      </c>
    </row>
    <row r="102" spans="4:70" x14ac:dyDescent="0.15">
      <c r="F102" s="487"/>
      <c r="I102" s="457">
        <f t="shared" si="80"/>
        <v>2107</v>
      </c>
      <c r="J102" s="71"/>
      <c r="K102" s="71">
        <f t="shared" si="81"/>
        <v>88</v>
      </c>
      <c r="L102" s="71"/>
      <c r="M102" s="7">
        <f t="shared" si="48"/>
        <v>7.4186387889959446E-2</v>
      </c>
      <c r="N102" s="71"/>
      <c r="O102" s="10" t="str">
        <f t="shared" si="64"/>
        <v/>
      </c>
      <c r="P102" s="29" t="str">
        <f t="shared" si="49"/>
        <v/>
      </c>
      <c r="Q102" s="71"/>
      <c r="R102" s="10" t="str">
        <f t="shared" si="65"/>
        <v/>
      </c>
      <c r="S102" s="71"/>
      <c r="T102" s="10" t="str">
        <f t="shared" si="66"/>
        <v/>
      </c>
      <c r="U102" s="71"/>
      <c r="V102" s="10" t="str">
        <f t="shared" si="50"/>
        <v/>
      </c>
      <c r="W102" s="10" t="str">
        <f t="shared" si="67"/>
        <v/>
      </c>
      <c r="X102" s="71"/>
      <c r="Y102" s="10" t="str">
        <f t="shared" si="51"/>
        <v/>
      </c>
      <c r="Z102" s="10" t="str">
        <f t="shared" si="68"/>
        <v/>
      </c>
      <c r="AA102" s="71"/>
      <c r="AB102" s="10" t="str">
        <f t="shared" si="52"/>
        <v/>
      </c>
      <c r="AC102" s="10" t="str">
        <f t="shared" si="69"/>
        <v/>
      </c>
      <c r="AD102" s="71"/>
      <c r="AE102" s="10" t="str">
        <f t="shared" si="53"/>
        <v/>
      </c>
      <c r="AF102" s="10" t="str">
        <f t="shared" si="70"/>
        <v/>
      </c>
      <c r="AG102" s="71"/>
      <c r="AH102" s="10" t="str">
        <f t="shared" si="54"/>
        <v/>
      </c>
      <c r="AI102" s="10" t="str">
        <f t="shared" si="71"/>
        <v/>
      </c>
      <c r="AJ102" s="71"/>
      <c r="AK102" s="10" t="str">
        <f t="shared" si="55"/>
        <v/>
      </c>
      <c r="AL102" s="10" t="str">
        <f t="shared" si="72"/>
        <v/>
      </c>
      <c r="AM102" s="71"/>
      <c r="AN102" s="10" t="str">
        <f t="shared" si="56"/>
        <v/>
      </c>
      <c r="AO102" s="10" t="str">
        <f t="shared" si="73"/>
        <v/>
      </c>
      <c r="AP102" s="71"/>
      <c r="AQ102" s="10" t="str">
        <f t="shared" si="57"/>
        <v/>
      </c>
      <c r="AR102" s="10" t="str">
        <f t="shared" si="74"/>
        <v/>
      </c>
      <c r="AS102" s="71"/>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U102" s="71"/>
      <c r="AV102" s="10" t="str">
        <f t="shared" si="58"/>
        <v/>
      </c>
      <c r="AW102" s="10" t="str">
        <f t="shared" si="59"/>
        <v/>
      </c>
      <c r="AX102" s="71"/>
      <c r="AY102" s="7" t="str">
        <f>IF(ISERROR(IF($K102&lt;=$F$15,VLOOKUP($I102,'表4）CO2価格'!$A$7:$E$67,VLOOKUP($F$48,'表4）CO2価格'!$H$10:$I$12,2,0),0)*$F$8/1000,"")),0,IF($K102&lt;=$F$15,VLOOKUP($I102,'表4）CO2価格'!$A$7:$E$67,VLOOKUP($F$48,'表4）CO2価格'!$H$10:$I$12,2,0),0)*$F$8/1000,""))</f>
        <v/>
      </c>
      <c r="AZ102" s="71"/>
      <c r="BA102" s="11" t="str">
        <f t="shared" si="60"/>
        <v/>
      </c>
      <c r="BB102" s="10" t="str">
        <f t="shared" si="75"/>
        <v/>
      </c>
      <c r="BC102" s="71"/>
      <c r="BD102" s="10" t="str">
        <f t="shared" si="61"/>
        <v/>
      </c>
      <c r="BE102" s="10" t="str">
        <f t="shared" si="76"/>
        <v/>
      </c>
      <c r="BF102" s="71"/>
      <c r="BG102" s="11" t="str">
        <f t="shared" si="62"/>
        <v/>
      </c>
      <c r="BH102" s="10" t="str">
        <f t="shared" si="77"/>
        <v/>
      </c>
      <c r="BJ102" s="7"/>
      <c r="BK102" s="158"/>
      <c r="BL102" s="158"/>
      <c r="BM102" s="10"/>
      <c r="BN102" s="10" t="str">
        <f>IF(AND(ISNUMBER($F$16),$K102&lt;=$F$16),BQ102*('バイオマス（木質専焼）（2020年）'!$O$15+'バイオマス（木質専焼）（2020年）'!$BK$116)/'バイオマス（木質専焼）（2020年）'!$BL$116,"")</f>
        <v/>
      </c>
      <c r="BO102" s="10" t="str">
        <f t="shared" si="78"/>
        <v/>
      </c>
      <c r="BQ102" s="10" t="str">
        <f t="shared" si="63"/>
        <v/>
      </c>
      <c r="BR102" s="10" t="str">
        <f t="shared" si="79"/>
        <v/>
      </c>
    </row>
    <row r="103" spans="4:70" x14ac:dyDescent="0.15">
      <c r="E103" s="84" t="s">
        <v>601</v>
      </c>
      <c r="F103" s="488">
        <f>BB116/$BR$116</f>
        <v>3.7710212701567647</v>
      </c>
      <c r="G103" s="84" t="s">
        <v>590</v>
      </c>
      <c r="I103" s="38">
        <f t="shared" si="80"/>
        <v>2108</v>
      </c>
      <c r="J103" s="39"/>
      <c r="K103" s="39">
        <f t="shared" si="81"/>
        <v>89</v>
      </c>
      <c r="L103" s="39"/>
      <c r="M103" s="40">
        <f t="shared" si="48"/>
        <v>7.2025619310640235E-2</v>
      </c>
      <c r="N103" s="39"/>
      <c r="O103" s="72" t="str">
        <f t="shared" si="64"/>
        <v/>
      </c>
      <c r="P103" s="41" t="str">
        <f t="shared" si="49"/>
        <v/>
      </c>
      <c r="Q103" s="39"/>
      <c r="R103" s="72" t="str">
        <f t="shared" si="65"/>
        <v/>
      </c>
      <c r="S103" s="39"/>
      <c r="T103" s="72" t="str">
        <f t="shared" si="66"/>
        <v/>
      </c>
      <c r="U103" s="39"/>
      <c r="V103" s="72" t="str">
        <f t="shared" si="50"/>
        <v/>
      </c>
      <c r="W103" s="72" t="str">
        <f t="shared" si="67"/>
        <v/>
      </c>
      <c r="X103" s="39"/>
      <c r="Y103" s="72" t="str">
        <f t="shared" si="51"/>
        <v/>
      </c>
      <c r="Z103" s="72" t="str">
        <f t="shared" si="68"/>
        <v/>
      </c>
      <c r="AA103" s="39"/>
      <c r="AB103" s="72" t="str">
        <f t="shared" si="52"/>
        <v/>
      </c>
      <c r="AC103" s="72" t="str">
        <f t="shared" si="69"/>
        <v/>
      </c>
      <c r="AD103" s="39"/>
      <c r="AE103" s="72" t="str">
        <f t="shared" si="53"/>
        <v/>
      </c>
      <c r="AF103" s="72" t="str">
        <f t="shared" si="70"/>
        <v/>
      </c>
      <c r="AG103" s="39"/>
      <c r="AH103" s="72" t="str">
        <f t="shared" si="54"/>
        <v/>
      </c>
      <c r="AI103" s="72" t="str">
        <f t="shared" si="71"/>
        <v/>
      </c>
      <c r="AJ103" s="39"/>
      <c r="AK103" s="72" t="str">
        <f t="shared" si="55"/>
        <v/>
      </c>
      <c r="AL103" s="72" t="str">
        <f t="shared" si="72"/>
        <v/>
      </c>
      <c r="AM103" s="39"/>
      <c r="AN103" s="72" t="str">
        <f t="shared" si="56"/>
        <v/>
      </c>
      <c r="AO103" s="72" t="str">
        <f t="shared" si="73"/>
        <v/>
      </c>
      <c r="AP103" s="39"/>
      <c r="AQ103" s="72" t="str">
        <f t="shared" si="57"/>
        <v/>
      </c>
      <c r="AR103" s="72" t="str">
        <f t="shared" si="74"/>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58"/>
        <v/>
      </c>
      <c r="AW103" s="72" t="str">
        <f t="shared" si="59"/>
        <v/>
      </c>
      <c r="AX103" s="39"/>
      <c r="AY103" s="40" t="str">
        <f>IF(ISERROR(IF($K103&lt;=$F$15,VLOOKUP($I103,'表4）CO2価格'!$A$7:$E$67,VLOOKUP($F$48,'表4）CO2価格'!$H$10:$I$12,2,0),0)*$F$8/1000,"")),0,IF($K103&lt;=$F$15,VLOOKUP($I103,'表4）CO2価格'!$A$7:$E$67,VLOOKUP($F$48,'表4）CO2価格'!$H$10:$I$12,2,0),0)*$F$8/1000,""))</f>
        <v/>
      </c>
      <c r="AZ103" s="39"/>
      <c r="BA103" s="42" t="str">
        <f t="shared" si="60"/>
        <v/>
      </c>
      <c r="BB103" s="72" t="str">
        <f t="shared" si="75"/>
        <v/>
      </c>
      <c r="BC103" s="39"/>
      <c r="BD103" s="72" t="str">
        <f t="shared" si="61"/>
        <v/>
      </c>
      <c r="BE103" s="72" t="str">
        <f t="shared" si="76"/>
        <v/>
      </c>
      <c r="BF103" s="39"/>
      <c r="BG103" s="42" t="str">
        <f t="shared" si="62"/>
        <v/>
      </c>
      <c r="BH103" s="72" t="str">
        <f t="shared" si="77"/>
        <v/>
      </c>
      <c r="BI103" s="39"/>
      <c r="BJ103" s="40"/>
      <c r="BK103" s="157"/>
      <c r="BL103" s="157"/>
      <c r="BM103" s="72"/>
      <c r="BN103" s="72" t="str">
        <f>IF(AND(ISNUMBER($F$16),$K103&lt;=$F$16),BQ103*('バイオマス（木質専焼）（2020年）'!$O$15+'バイオマス（木質専焼）（2020年）'!$BK$116)/'バイオマス（木質専焼）（2020年）'!$BL$116,"")</f>
        <v/>
      </c>
      <c r="BO103" s="72" t="str">
        <f t="shared" si="78"/>
        <v/>
      </c>
      <c r="BP103" s="39"/>
      <c r="BQ103" s="72" t="str">
        <f t="shared" si="63"/>
        <v/>
      </c>
      <c r="BR103" s="72" t="str">
        <f t="shared" si="79"/>
        <v/>
      </c>
    </row>
    <row r="104" spans="4:70" x14ac:dyDescent="0.15">
      <c r="E104" s="84" t="s">
        <v>602</v>
      </c>
      <c r="F104" s="488">
        <f>IF(ISERROR(F60*(1/F61)/F62),0,F60*(1/F61)/F62)</f>
        <v>0</v>
      </c>
      <c r="G104" s="84" t="s">
        <v>590</v>
      </c>
      <c r="I104" s="457">
        <f t="shared" si="80"/>
        <v>2109</v>
      </c>
      <c r="J104" s="71"/>
      <c r="K104" s="71">
        <f t="shared" si="81"/>
        <v>90</v>
      </c>
      <c r="L104" s="71"/>
      <c r="M104" s="7">
        <f t="shared" si="48"/>
        <v>6.9927785738485654E-2</v>
      </c>
      <c r="N104" s="71"/>
      <c r="O104" s="10" t="str">
        <f t="shared" si="64"/>
        <v/>
      </c>
      <c r="P104" s="29" t="str">
        <f t="shared" si="49"/>
        <v/>
      </c>
      <c r="Q104" s="71"/>
      <c r="R104" s="10" t="str">
        <f t="shared" si="65"/>
        <v/>
      </c>
      <c r="S104" s="71"/>
      <c r="T104" s="10" t="str">
        <f t="shared" si="66"/>
        <v/>
      </c>
      <c r="U104" s="71"/>
      <c r="V104" s="10" t="str">
        <f t="shared" si="50"/>
        <v/>
      </c>
      <c r="W104" s="10" t="str">
        <f t="shared" si="67"/>
        <v/>
      </c>
      <c r="X104" s="71"/>
      <c r="Y104" s="10" t="str">
        <f t="shared" si="51"/>
        <v/>
      </c>
      <c r="Z104" s="10" t="str">
        <f t="shared" si="68"/>
        <v/>
      </c>
      <c r="AA104" s="71"/>
      <c r="AB104" s="10" t="str">
        <f t="shared" si="52"/>
        <v/>
      </c>
      <c r="AC104" s="10" t="str">
        <f t="shared" si="69"/>
        <v/>
      </c>
      <c r="AD104" s="71"/>
      <c r="AE104" s="10" t="str">
        <f t="shared" si="53"/>
        <v/>
      </c>
      <c r="AF104" s="10" t="str">
        <f t="shared" si="70"/>
        <v/>
      </c>
      <c r="AG104" s="71"/>
      <c r="AH104" s="10" t="str">
        <f t="shared" si="54"/>
        <v/>
      </c>
      <c r="AI104" s="10" t="str">
        <f t="shared" si="71"/>
        <v/>
      </c>
      <c r="AJ104" s="71"/>
      <c r="AK104" s="10" t="str">
        <f t="shared" si="55"/>
        <v/>
      </c>
      <c r="AL104" s="10" t="str">
        <f t="shared" si="72"/>
        <v/>
      </c>
      <c r="AM104" s="71"/>
      <c r="AN104" s="10" t="str">
        <f t="shared" si="56"/>
        <v/>
      </c>
      <c r="AO104" s="10" t="str">
        <f t="shared" si="73"/>
        <v/>
      </c>
      <c r="AP104" s="71"/>
      <c r="AQ104" s="10" t="str">
        <f t="shared" si="57"/>
        <v/>
      </c>
      <c r="AR104" s="10" t="str">
        <f t="shared" si="74"/>
        <v/>
      </c>
      <c r="AS104" s="71"/>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U104" s="71"/>
      <c r="AV104" s="10" t="str">
        <f t="shared" si="58"/>
        <v/>
      </c>
      <c r="AW104" s="10" t="str">
        <f t="shared" si="59"/>
        <v/>
      </c>
      <c r="AX104" s="71"/>
      <c r="AY104" s="7" t="str">
        <f>IF(ISERROR(IF($K104&lt;=$F$15,VLOOKUP($I104,'表4）CO2価格'!$A$7:$E$67,VLOOKUP($F$48,'表4）CO2価格'!$H$10:$I$12,2,0),0)*$F$8/1000,"")),0,IF($K104&lt;=$F$15,VLOOKUP($I104,'表4）CO2価格'!$A$7:$E$67,VLOOKUP($F$48,'表4）CO2価格'!$H$10:$I$12,2,0),0)*$F$8/1000,""))</f>
        <v/>
      </c>
      <c r="AZ104" s="71"/>
      <c r="BA104" s="11" t="str">
        <f t="shared" si="60"/>
        <v/>
      </c>
      <c r="BB104" s="10" t="str">
        <f t="shared" si="75"/>
        <v/>
      </c>
      <c r="BC104" s="71"/>
      <c r="BD104" s="10" t="str">
        <f t="shared" si="61"/>
        <v/>
      </c>
      <c r="BE104" s="10" t="str">
        <f t="shared" si="76"/>
        <v/>
      </c>
      <c r="BF104" s="71"/>
      <c r="BG104" s="11" t="str">
        <f t="shared" si="62"/>
        <v/>
      </c>
      <c r="BH104" s="10" t="str">
        <f t="shared" si="77"/>
        <v/>
      </c>
      <c r="BJ104" s="7"/>
      <c r="BK104" s="158"/>
      <c r="BL104" s="158"/>
      <c r="BM104" s="10"/>
      <c r="BN104" s="10" t="str">
        <f>IF(AND(ISNUMBER($F$16),$K104&lt;=$F$16),BQ104*('バイオマス（木質専焼）（2020年）'!$O$15+'バイオマス（木質専焼）（2020年）'!$BK$116)/'バイオマス（木質専焼）（2020年）'!$BL$116,"")</f>
        <v/>
      </c>
      <c r="BO104" s="10" t="str">
        <f t="shared" si="78"/>
        <v/>
      </c>
      <c r="BQ104" s="10" t="str">
        <f t="shared" si="63"/>
        <v/>
      </c>
      <c r="BR104" s="10" t="str">
        <f t="shared" si="79"/>
        <v/>
      </c>
    </row>
    <row r="105" spans="4:70" x14ac:dyDescent="0.15">
      <c r="E105" s="71" t="s">
        <v>603</v>
      </c>
      <c r="F105" s="488">
        <f>F64</f>
        <v>0.26822400000000002</v>
      </c>
      <c r="G105" s="84" t="s">
        <v>590</v>
      </c>
      <c r="I105" s="38">
        <f t="shared" si="80"/>
        <v>2110</v>
      </c>
      <c r="J105" s="39"/>
      <c r="K105" s="39">
        <f t="shared" si="81"/>
        <v>91</v>
      </c>
      <c r="L105" s="39"/>
      <c r="M105" s="40">
        <f t="shared" si="48"/>
        <v>6.7891054115034627E-2</v>
      </c>
      <c r="N105" s="39"/>
      <c r="O105" s="72" t="str">
        <f t="shared" si="64"/>
        <v/>
      </c>
      <c r="P105" s="41" t="str">
        <f t="shared" si="49"/>
        <v/>
      </c>
      <c r="Q105" s="39"/>
      <c r="R105" s="72" t="str">
        <f t="shared" si="65"/>
        <v/>
      </c>
      <c r="S105" s="39"/>
      <c r="T105" s="72" t="str">
        <f t="shared" si="66"/>
        <v/>
      </c>
      <c r="U105" s="39"/>
      <c r="V105" s="72" t="str">
        <f t="shared" si="50"/>
        <v/>
      </c>
      <c r="W105" s="72" t="str">
        <f t="shared" si="67"/>
        <v/>
      </c>
      <c r="X105" s="39"/>
      <c r="Y105" s="72" t="str">
        <f t="shared" si="51"/>
        <v/>
      </c>
      <c r="Z105" s="72" t="str">
        <f t="shared" si="68"/>
        <v/>
      </c>
      <c r="AA105" s="39"/>
      <c r="AB105" s="72" t="str">
        <f t="shared" si="52"/>
        <v/>
      </c>
      <c r="AC105" s="72" t="str">
        <f t="shared" si="69"/>
        <v/>
      </c>
      <c r="AD105" s="39"/>
      <c r="AE105" s="72" t="str">
        <f t="shared" si="53"/>
        <v/>
      </c>
      <c r="AF105" s="72" t="str">
        <f t="shared" si="70"/>
        <v/>
      </c>
      <c r="AG105" s="39"/>
      <c r="AH105" s="72" t="str">
        <f t="shared" si="54"/>
        <v/>
      </c>
      <c r="AI105" s="72" t="str">
        <f t="shared" si="71"/>
        <v/>
      </c>
      <c r="AJ105" s="39"/>
      <c r="AK105" s="72" t="str">
        <f t="shared" si="55"/>
        <v/>
      </c>
      <c r="AL105" s="72" t="str">
        <f t="shared" si="72"/>
        <v/>
      </c>
      <c r="AM105" s="39"/>
      <c r="AN105" s="72" t="str">
        <f t="shared" si="56"/>
        <v/>
      </c>
      <c r="AO105" s="72" t="str">
        <f t="shared" si="73"/>
        <v/>
      </c>
      <c r="AP105" s="39"/>
      <c r="AQ105" s="72" t="str">
        <f t="shared" si="57"/>
        <v/>
      </c>
      <c r="AR105" s="72" t="str">
        <f t="shared" si="74"/>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58"/>
        <v/>
      </c>
      <c r="AW105" s="72" t="str">
        <f t="shared" si="59"/>
        <v/>
      </c>
      <c r="AX105" s="39"/>
      <c r="AY105" s="40" t="str">
        <f>IF(ISERROR(IF($K105&lt;=$F$15,VLOOKUP($I105,'表4）CO2価格'!$A$7:$E$67,VLOOKUP($F$48,'表4）CO2価格'!$H$10:$I$12,2,0),0)*$F$8/1000,"")),0,IF($K105&lt;=$F$15,VLOOKUP($I105,'表4）CO2価格'!$A$7:$E$67,VLOOKUP($F$48,'表4）CO2価格'!$H$10:$I$12,2,0),0)*$F$8/1000,""))</f>
        <v/>
      </c>
      <c r="AZ105" s="39"/>
      <c r="BA105" s="42" t="str">
        <f t="shared" si="60"/>
        <v/>
      </c>
      <c r="BB105" s="72" t="str">
        <f t="shared" si="75"/>
        <v/>
      </c>
      <c r="BC105" s="39"/>
      <c r="BD105" s="72" t="str">
        <f t="shared" si="61"/>
        <v/>
      </c>
      <c r="BE105" s="72" t="str">
        <f t="shared" si="76"/>
        <v/>
      </c>
      <c r="BF105" s="39"/>
      <c r="BG105" s="42" t="str">
        <f t="shared" si="62"/>
        <v/>
      </c>
      <c r="BH105" s="72" t="str">
        <f t="shared" si="77"/>
        <v/>
      </c>
      <c r="BI105" s="39"/>
      <c r="BJ105" s="40"/>
      <c r="BK105" s="157"/>
      <c r="BL105" s="157"/>
      <c r="BM105" s="72"/>
      <c r="BN105" s="72" t="str">
        <f>IF(AND(ISNUMBER($F$16),$K105&lt;=$F$16),BQ105*('バイオマス（木質専焼）（2020年）'!$O$15+'バイオマス（木質専焼）（2020年）'!$BK$116)/'バイオマス（木質専焼）（2020年）'!$BL$116,"")</f>
        <v/>
      </c>
      <c r="BO105" s="72" t="str">
        <f t="shared" si="78"/>
        <v/>
      </c>
      <c r="BP105" s="39"/>
      <c r="BQ105" s="72" t="str">
        <f t="shared" si="63"/>
        <v/>
      </c>
      <c r="BR105" s="72" t="str">
        <f t="shared" si="79"/>
        <v/>
      </c>
    </row>
    <row r="106" spans="4:70" x14ac:dyDescent="0.15">
      <c r="F106" s="487"/>
      <c r="I106" s="457">
        <f t="shared" si="80"/>
        <v>2111</v>
      </c>
      <c r="J106" s="71"/>
      <c r="K106" s="71">
        <f t="shared" si="81"/>
        <v>92</v>
      </c>
      <c r="L106" s="71"/>
      <c r="M106" s="7">
        <f t="shared" si="48"/>
        <v>6.5913644771878277E-2</v>
      </c>
      <c r="N106" s="71"/>
      <c r="O106" s="10" t="str">
        <f t="shared" si="64"/>
        <v/>
      </c>
      <c r="P106" s="29" t="str">
        <f t="shared" si="49"/>
        <v/>
      </c>
      <c r="Q106" s="71"/>
      <c r="R106" s="10" t="str">
        <f t="shared" si="65"/>
        <v/>
      </c>
      <c r="S106" s="71"/>
      <c r="T106" s="10" t="str">
        <f t="shared" si="66"/>
        <v/>
      </c>
      <c r="U106" s="71"/>
      <c r="V106" s="10" t="str">
        <f t="shared" si="50"/>
        <v/>
      </c>
      <c r="W106" s="10" t="str">
        <f t="shared" si="67"/>
        <v/>
      </c>
      <c r="X106" s="71"/>
      <c r="Y106" s="10" t="str">
        <f t="shared" si="51"/>
        <v/>
      </c>
      <c r="Z106" s="10" t="str">
        <f t="shared" si="68"/>
        <v/>
      </c>
      <c r="AA106" s="71"/>
      <c r="AB106" s="10" t="str">
        <f t="shared" si="52"/>
        <v/>
      </c>
      <c r="AC106" s="10" t="str">
        <f t="shared" si="69"/>
        <v/>
      </c>
      <c r="AD106" s="71"/>
      <c r="AE106" s="10" t="str">
        <f t="shared" si="53"/>
        <v/>
      </c>
      <c r="AF106" s="10" t="str">
        <f t="shared" si="70"/>
        <v/>
      </c>
      <c r="AG106" s="71"/>
      <c r="AH106" s="10" t="str">
        <f t="shared" si="54"/>
        <v/>
      </c>
      <c r="AI106" s="10" t="str">
        <f t="shared" si="71"/>
        <v/>
      </c>
      <c r="AJ106" s="71"/>
      <c r="AK106" s="10" t="str">
        <f t="shared" si="55"/>
        <v/>
      </c>
      <c r="AL106" s="10" t="str">
        <f t="shared" si="72"/>
        <v/>
      </c>
      <c r="AM106" s="71"/>
      <c r="AN106" s="10" t="str">
        <f t="shared" si="56"/>
        <v/>
      </c>
      <c r="AO106" s="10" t="str">
        <f t="shared" si="73"/>
        <v/>
      </c>
      <c r="AP106" s="71"/>
      <c r="AQ106" s="10" t="str">
        <f t="shared" si="57"/>
        <v/>
      </c>
      <c r="AR106" s="10" t="str">
        <f t="shared" si="74"/>
        <v/>
      </c>
      <c r="AS106" s="71"/>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U106" s="71"/>
      <c r="AV106" s="10" t="str">
        <f t="shared" si="58"/>
        <v/>
      </c>
      <c r="AW106" s="10" t="str">
        <f t="shared" si="59"/>
        <v/>
      </c>
      <c r="AX106" s="71"/>
      <c r="AY106" s="7" t="str">
        <f>IF(ISERROR(IF($K106&lt;=$F$15,VLOOKUP($I106,'表4）CO2価格'!$A$7:$E$67,VLOOKUP($F$48,'表4）CO2価格'!$H$10:$I$12,2,0),0)*$F$8/1000,"")),0,IF($K106&lt;=$F$15,VLOOKUP($I106,'表4）CO2価格'!$A$7:$E$67,VLOOKUP($F$48,'表4）CO2価格'!$H$10:$I$12,2,0),0)*$F$8/1000,""))</f>
        <v/>
      </c>
      <c r="AZ106" s="71"/>
      <c r="BA106" s="11" t="str">
        <f t="shared" si="60"/>
        <v/>
      </c>
      <c r="BB106" s="10" t="str">
        <f t="shared" si="75"/>
        <v/>
      </c>
      <c r="BC106" s="71"/>
      <c r="BD106" s="10" t="str">
        <f t="shared" si="61"/>
        <v/>
      </c>
      <c r="BE106" s="10" t="str">
        <f t="shared" si="76"/>
        <v/>
      </c>
      <c r="BF106" s="71"/>
      <c r="BG106" s="11" t="str">
        <f t="shared" si="62"/>
        <v/>
      </c>
      <c r="BH106" s="10" t="str">
        <f t="shared" si="77"/>
        <v/>
      </c>
      <c r="BJ106" s="7"/>
      <c r="BK106" s="158"/>
      <c r="BL106" s="158"/>
      <c r="BM106" s="10"/>
      <c r="BN106" s="10" t="str">
        <f>IF(AND(ISNUMBER($F$16),$K106&lt;=$F$16),BQ106*('バイオマス（木質専焼）（2020年）'!$O$15+'バイオマス（木質専焼）（2020年）'!$BK$116)/'バイオマス（木質専焼）（2020年）'!$BL$116,"")</f>
        <v/>
      </c>
      <c r="BO106" s="10" t="str">
        <f t="shared" si="78"/>
        <v/>
      </c>
      <c r="BQ106" s="10" t="str">
        <f t="shared" si="63"/>
        <v/>
      </c>
      <c r="BR106" s="10" t="str">
        <f t="shared" si="79"/>
        <v/>
      </c>
    </row>
    <row r="107" spans="4:70" ht="15" x14ac:dyDescent="0.15">
      <c r="D107" s="103" t="s">
        <v>604</v>
      </c>
      <c r="F107" s="484">
        <f>SUBTOTAL(9,F111:F112)</f>
        <v>0</v>
      </c>
      <c r="G107" s="84" t="s">
        <v>590</v>
      </c>
      <c r="I107" s="38">
        <f t="shared" si="80"/>
        <v>2112</v>
      </c>
      <c r="J107" s="39"/>
      <c r="K107" s="39">
        <f t="shared" si="81"/>
        <v>93</v>
      </c>
      <c r="L107" s="39"/>
      <c r="M107" s="40">
        <f t="shared" si="48"/>
        <v>6.3993829875609989E-2</v>
      </c>
      <c r="N107" s="39"/>
      <c r="O107" s="72" t="str">
        <f t="shared" si="64"/>
        <v/>
      </c>
      <c r="P107" s="41" t="str">
        <f t="shared" si="49"/>
        <v/>
      </c>
      <c r="Q107" s="39"/>
      <c r="R107" s="72" t="str">
        <f t="shared" si="65"/>
        <v/>
      </c>
      <c r="S107" s="39"/>
      <c r="T107" s="72" t="str">
        <f t="shared" si="66"/>
        <v/>
      </c>
      <c r="U107" s="39"/>
      <c r="V107" s="72" t="str">
        <f t="shared" si="50"/>
        <v/>
      </c>
      <c r="W107" s="72" t="str">
        <f t="shared" si="67"/>
        <v/>
      </c>
      <c r="X107" s="39"/>
      <c r="Y107" s="72" t="str">
        <f t="shared" si="51"/>
        <v/>
      </c>
      <c r="Z107" s="72" t="str">
        <f t="shared" si="68"/>
        <v/>
      </c>
      <c r="AA107" s="39"/>
      <c r="AB107" s="72" t="str">
        <f t="shared" si="52"/>
        <v/>
      </c>
      <c r="AC107" s="72" t="str">
        <f t="shared" si="69"/>
        <v/>
      </c>
      <c r="AD107" s="39"/>
      <c r="AE107" s="72" t="str">
        <f t="shared" si="53"/>
        <v/>
      </c>
      <c r="AF107" s="72" t="str">
        <f t="shared" si="70"/>
        <v/>
      </c>
      <c r="AG107" s="39"/>
      <c r="AH107" s="72" t="str">
        <f t="shared" si="54"/>
        <v/>
      </c>
      <c r="AI107" s="72" t="str">
        <f t="shared" si="71"/>
        <v/>
      </c>
      <c r="AJ107" s="39"/>
      <c r="AK107" s="72" t="str">
        <f t="shared" si="55"/>
        <v/>
      </c>
      <c r="AL107" s="72" t="str">
        <f t="shared" si="72"/>
        <v/>
      </c>
      <c r="AM107" s="39"/>
      <c r="AN107" s="72" t="str">
        <f t="shared" si="56"/>
        <v/>
      </c>
      <c r="AO107" s="72" t="str">
        <f t="shared" si="73"/>
        <v/>
      </c>
      <c r="AP107" s="39"/>
      <c r="AQ107" s="72" t="str">
        <f t="shared" si="57"/>
        <v/>
      </c>
      <c r="AR107" s="72" t="str">
        <f t="shared" si="74"/>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58"/>
        <v/>
      </c>
      <c r="AW107" s="72" t="str">
        <f t="shared" si="59"/>
        <v/>
      </c>
      <c r="AX107" s="39"/>
      <c r="AY107" s="40" t="str">
        <f>IF(ISERROR(IF($K107&lt;=$F$15,VLOOKUP($I107,'表4）CO2価格'!$A$7:$E$67,VLOOKUP($F$48,'表4）CO2価格'!$H$10:$I$12,2,0),0)*$F$8/1000,"")),0,IF($K107&lt;=$F$15,VLOOKUP($I107,'表4）CO2価格'!$A$7:$E$67,VLOOKUP($F$48,'表4）CO2価格'!$H$10:$I$12,2,0),0)*$F$8/1000,""))</f>
        <v/>
      </c>
      <c r="AZ107" s="39"/>
      <c r="BA107" s="42" t="str">
        <f t="shared" si="60"/>
        <v/>
      </c>
      <c r="BB107" s="72" t="str">
        <f t="shared" si="75"/>
        <v/>
      </c>
      <c r="BC107" s="39"/>
      <c r="BD107" s="72" t="str">
        <f t="shared" si="61"/>
        <v/>
      </c>
      <c r="BE107" s="72" t="str">
        <f t="shared" si="76"/>
        <v/>
      </c>
      <c r="BF107" s="39"/>
      <c r="BG107" s="42" t="str">
        <f t="shared" si="62"/>
        <v/>
      </c>
      <c r="BH107" s="72" t="str">
        <f t="shared" si="77"/>
        <v/>
      </c>
      <c r="BI107" s="39"/>
      <c r="BJ107" s="40"/>
      <c r="BK107" s="157"/>
      <c r="BL107" s="157"/>
      <c r="BM107" s="72"/>
      <c r="BN107" s="72" t="str">
        <f>IF(AND(ISNUMBER($F$16),$K107&lt;=$F$16),BQ107*('バイオマス（木質専焼）（2020年）'!$O$15+'バイオマス（木質専焼）（2020年）'!$BK$116)/'バイオマス（木質専焼）（2020年）'!$BL$116,"")</f>
        <v/>
      </c>
      <c r="BO107" s="72" t="str">
        <f t="shared" si="78"/>
        <v/>
      </c>
      <c r="BP107" s="39"/>
      <c r="BQ107" s="72" t="str">
        <f t="shared" si="63"/>
        <v/>
      </c>
      <c r="BR107" s="72" t="str">
        <f t="shared" si="79"/>
        <v/>
      </c>
    </row>
    <row r="108" spans="4:70" ht="15" x14ac:dyDescent="0.15">
      <c r="D108" s="103"/>
      <c r="F108" s="487"/>
      <c r="I108" s="457">
        <f t="shared" si="80"/>
        <v>2113</v>
      </c>
      <c r="J108" s="71"/>
      <c r="K108" s="71">
        <f t="shared" si="81"/>
        <v>94</v>
      </c>
      <c r="L108" s="71"/>
      <c r="M108" s="7">
        <f t="shared" si="48"/>
        <v>6.212993191806794E-2</v>
      </c>
      <c r="N108" s="71"/>
      <c r="O108" s="10" t="str">
        <f t="shared" si="64"/>
        <v/>
      </c>
      <c r="P108" s="29" t="str">
        <f t="shared" si="49"/>
        <v/>
      </c>
      <c r="Q108" s="71"/>
      <c r="R108" s="10" t="str">
        <f t="shared" si="65"/>
        <v/>
      </c>
      <c r="S108" s="71"/>
      <c r="T108" s="10" t="str">
        <f t="shared" si="66"/>
        <v/>
      </c>
      <c r="U108" s="71"/>
      <c r="V108" s="10" t="str">
        <f t="shared" si="50"/>
        <v/>
      </c>
      <c r="W108" s="10" t="str">
        <f t="shared" si="67"/>
        <v/>
      </c>
      <c r="X108" s="71"/>
      <c r="Y108" s="10" t="str">
        <f t="shared" si="51"/>
        <v/>
      </c>
      <c r="Z108" s="10" t="str">
        <f t="shared" si="68"/>
        <v/>
      </c>
      <c r="AA108" s="71"/>
      <c r="AB108" s="10" t="str">
        <f t="shared" si="52"/>
        <v/>
      </c>
      <c r="AC108" s="10" t="str">
        <f t="shared" si="69"/>
        <v/>
      </c>
      <c r="AD108" s="71"/>
      <c r="AE108" s="10" t="str">
        <f t="shared" si="53"/>
        <v/>
      </c>
      <c r="AF108" s="10" t="str">
        <f t="shared" si="70"/>
        <v/>
      </c>
      <c r="AG108" s="71"/>
      <c r="AH108" s="10" t="str">
        <f t="shared" si="54"/>
        <v/>
      </c>
      <c r="AI108" s="10" t="str">
        <f t="shared" si="71"/>
        <v/>
      </c>
      <c r="AJ108" s="71"/>
      <c r="AK108" s="10" t="str">
        <f t="shared" si="55"/>
        <v/>
      </c>
      <c r="AL108" s="10" t="str">
        <f t="shared" si="72"/>
        <v/>
      </c>
      <c r="AM108" s="71"/>
      <c r="AN108" s="10" t="str">
        <f t="shared" si="56"/>
        <v/>
      </c>
      <c r="AO108" s="10" t="str">
        <f t="shared" si="73"/>
        <v/>
      </c>
      <c r="AP108" s="71"/>
      <c r="AQ108" s="10" t="str">
        <f t="shared" si="57"/>
        <v/>
      </c>
      <c r="AR108" s="10" t="str">
        <f t="shared" si="74"/>
        <v/>
      </c>
      <c r="AS108" s="71"/>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U108" s="71"/>
      <c r="AV108" s="10" t="str">
        <f t="shared" si="58"/>
        <v/>
      </c>
      <c r="AW108" s="10" t="str">
        <f t="shared" si="59"/>
        <v/>
      </c>
      <c r="AX108" s="71"/>
      <c r="AY108" s="7" t="str">
        <f>IF(ISERROR(IF($K108&lt;=$F$15,VLOOKUP($I108,'表4）CO2価格'!$A$7:$E$67,VLOOKUP($F$48,'表4）CO2価格'!$H$10:$I$12,2,0),0)*$F$8/1000,"")),0,IF($K108&lt;=$F$15,VLOOKUP($I108,'表4）CO2価格'!$A$7:$E$67,VLOOKUP($F$48,'表4）CO2価格'!$H$10:$I$12,2,0),0)*$F$8/1000,""))</f>
        <v/>
      </c>
      <c r="AZ108" s="71"/>
      <c r="BA108" s="11" t="str">
        <f t="shared" si="60"/>
        <v/>
      </c>
      <c r="BB108" s="10" t="str">
        <f t="shared" si="75"/>
        <v/>
      </c>
      <c r="BC108" s="71"/>
      <c r="BD108" s="10" t="str">
        <f t="shared" si="61"/>
        <v/>
      </c>
      <c r="BE108" s="10" t="str">
        <f t="shared" si="76"/>
        <v/>
      </c>
      <c r="BF108" s="71"/>
      <c r="BG108" s="11" t="str">
        <f t="shared" si="62"/>
        <v/>
      </c>
      <c r="BH108" s="10" t="str">
        <f t="shared" si="77"/>
        <v/>
      </c>
      <c r="BJ108" s="7"/>
      <c r="BK108" s="158"/>
      <c r="BL108" s="158"/>
      <c r="BM108" s="10"/>
      <c r="BN108" s="10" t="str">
        <f>IF(AND(ISNUMBER($F$16),$K108&lt;=$F$16),BQ108*('バイオマス（木質専焼）（2020年）'!$O$15+'バイオマス（木質専焼）（2020年）'!$BK$116)/'バイオマス（木質専焼）（2020年）'!$BL$116,"")</f>
        <v/>
      </c>
      <c r="BO108" s="10" t="str">
        <f t="shared" si="78"/>
        <v/>
      </c>
      <c r="BQ108" s="10" t="str">
        <f t="shared" si="63"/>
        <v/>
      </c>
      <c r="BR108" s="10" t="str">
        <f t="shared" si="79"/>
        <v/>
      </c>
    </row>
    <row r="109" spans="4:70" x14ac:dyDescent="0.15">
      <c r="D109" s="100" t="s">
        <v>605</v>
      </c>
      <c r="E109" s="100"/>
      <c r="F109" s="486"/>
      <c r="G109" s="100"/>
      <c r="I109" s="38">
        <f t="shared" si="80"/>
        <v>2114</v>
      </c>
      <c r="J109" s="39"/>
      <c r="K109" s="39">
        <f t="shared" si="81"/>
        <v>95</v>
      </c>
      <c r="L109" s="39"/>
      <c r="M109" s="40">
        <f t="shared" si="48"/>
        <v>6.0320322250551395E-2</v>
      </c>
      <c r="N109" s="39"/>
      <c r="O109" s="72" t="str">
        <f t="shared" si="64"/>
        <v/>
      </c>
      <c r="P109" s="41" t="str">
        <f t="shared" si="49"/>
        <v/>
      </c>
      <c r="Q109" s="39"/>
      <c r="R109" s="72" t="str">
        <f t="shared" si="65"/>
        <v/>
      </c>
      <c r="S109" s="39"/>
      <c r="T109" s="72" t="str">
        <f t="shared" si="66"/>
        <v/>
      </c>
      <c r="U109" s="39"/>
      <c r="V109" s="72" t="str">
        <f t="shared" si="50"/>
        <v/>
      </c>
      <c r="W109" s="72" t="str">
        <f t="shared" si="67"/>
        <v/>
      </c>
      <c r="X109" s="39"/>
      <c r="Y109" s="72" t="str">
        <f t="shared" si="51"/>
        <v/>
      </c>
      <c r="Z109" s="72" t="str">
        <f t="shared" si="68"/>
        <v/>
      </c>
      <c r="AA109" s="39"/>
      <c r="AB109" s="72" t="str">
        <f t="shared" si="52"/>
        <v/>
      </c>
      <c r="AC109" s="72" t="str">
        <f t="shared" si="69"/>
        <v/>
      </c>
      <c r="AD109" s="39"/>
      <c r="AE109" s="72" t="str">
        <f t="shared" si="53"/>
        <v/>
      </c>
      <c r="AF109" s="72" t="str">
        <f t="shared" si="70"/>
        <v/>
      </c>
      <c r="AG109" s="39"/>
      <c r="AH109" s="72" t="str">
        <f t="shared" si="54"/>
        <v/>
      </c>
      <c r="AI109" s="72" t="str">
        <f t="shared" si="71"/>
        <v/>
      </c>
      <c r="AJ109" s="39"/>
      <c r="AK109" s="72" t="str">
        <f t="shared" si="55"/>
        <v/>
      </c>
      <c r="AL109" s="72" t="str">
        <f t="shared" si="72"/>
        <v/>
      </c>
      <c r="AM109" s="39"/>
      <c r="AN109" s="72" t="str">
        <f t="shared" si="56"/>
        <v/>
      </c>
      <c r="AO109" s="72" t="str">
        <f t="shared" si="73"/>
        <v/>
      </c>
      <c r="AP109" s="39"/>
      <c r="AQ109" s="72" t="str">
        <f t="shared" si="57"/>
        <v/>
      </c>
      <c r="AR109" s="72" t="str">
        <f t="shared" si="74"/>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58"/>
        <v/>
      </c>
      <c r="AW109" s="72" t="str">
        <f t="shared" si="59"/>
        <v/>
      </c>
      <c r="AX109" s="39"/>
      <c r="AY109" s="40" t="str">
        <f>IF(ISERROR(IF($K109&lt;=$F$15,VLOOKUP($I109,'表4）CO2価格'!$A$7:$E$67,VLOOKUP($F$48,'表4）CO2価格'!$H$10:$I$12,2,0),0)*$F$8/1000,"")),0,IF($K109&lt;=$F$15,VLOOKUP($I109,'表4）CO2価格'!$A$7:$E$67,VLOOKUP($F$48,'表4）CO2価格'!$H$10:$I$12,2,0),0)*$F$8/1000,""))</f>
        <v/>
      </c>
      <c r="AZ109" s="39"/>
      <c r="BA109" s="42" t="str">
        <f t="shared" si="60"/>
        <v/>
      </c>
      <c r="BB109" s="72" t="str">
        <f t="shared" si="75"/>
        <v/>
      </c>
      <c r="BC109" s="39"/>
      <c r="BD109" s="72" t="str">
        <f t="shared" si="61"/>
        <v/>
      </c>
      <c r="BE109" s="72" t="str">
        <f t="shared" si="76"/>
        <v/>
      </c>
      <c r="BF109" s="39"/>
      <c r="BG109" s="42" t="str">
        <f t="shared" si="62"/>
        <v/>
      </c>
      <c r="BH109" s="72" t="str">
        <f t="shared" si="77"/>
        <v/>
      </c>
      <c r="BI109" s="39"/>
      <c r="BJ109" s="40"/>
      <c r="BK109" s="157"/>
      <c r="BL109" s="157"/>
      <c r="BM109" s="72"/>
      <c r="BN109" s="72" t="str">
        <f>IF(AND(ISNUMBER($F$16),$K109&lt;=$F$16),BQ109*('バイオマス（木質専焼）（2020年）'!$O$15+'バイオマス（木質専焼）（2020年）'!$BK$116)/'バイオマス（木質専焼）（2020年）'!$BL$116,"")</f>
        <v/>
      </c>
      <c r="BO109" s="72" t="str">
        <f t="shared" si="78"/>
        <v/>
      </c>
      <c r="BP109" s="39"/>
      <c r="BQ109" s="72" t="str">
        <f t="shared" si="63"/>
        <v/>
      </c>
      <c r="BR109" s="72" t="str">
        <f t="shared" si="79"/>
        <v/>
      </c>
    </row>
    <row r="110" spans="4:70" ht="15" x14ac:dyDescent="0.15">
      <c r="D110" s="103"/>
      <c r="F110" s="487"/>
      <c r="I110" s="457">
        <f t="shared" si="80"/>
        <v>2115</v>
      </c>
      <c r="J110" s="71"/>
      <c r="K110" s="71">
        <f t="shared" si="81"/>
        <v>96</v>
      </c>
      <c r="L110" s="71"/>
      <c r="M110" s="7">
        <f t="shared" si="48"/>
        <v>5.8563419660729518E-2</v>
      </c>
      <c r="N110" s="71"/>
      <c r="O110" s="10" t="str">
        <f t="shared" si="64"/>
        <v/>
      </c>
      <c r="P110" s="29" t="str">
        <f t="shared" si="49"/>
        <v/>
      </c>
      <c r="Q110" s="71"/>
      <c r="R110" s="10" t="str">
        <f t="shared" si="65"/>
        <v/>
      </c>
      <c r="S110" s="71"/>
      <c r="T110" s="10" t="str">
        <f t="shared" si="66"/>
        <v/>
      </c>
      <c r="U110" s="71"/>
      <c r="V110" s="10" t="str">
        <f t="shared" si="50"/>
        <v/>
      </c>
      <c r="W110" s="10" t="str">
        <f t="shared" si="67"/>
        <v/>
      </c>
      <c r="X110" s="71"/>
      <c r="Y110" s="10" t="str">
        <f t="shared" si="51"/>
        <v/>
      </c>
      <c r="Z110" s="10" t="str">
        <f t="shared" si="68"/>
        <v/>
      </c>
      <c r="AA110" s="71"/>
      <c r="AB110" s="10" t="str">
        <f t="shared" si="52"/>
        <v/>
      </c>
      <c r="AC110" s="10" t="str">
        <f t="shared" si="69"/>
        <v/>
      </c>
      <c r="AD110" s="71"/>
      <c r="AE110" s="10" t="str">
        <f t="shared" si="53"/>
        <v/>
      </c>
      <c r="AF110" s="10" t="str">
        <f t="shared" si="70"/>
        <v/>
      </c>
      <c r="AG110" s="71"/>
      <c r="AH110" s="10" t="str">
        <f t="shared" si="54"/>
        <v/>
      </c>
      <c r="AI110" s="10" t="str">
        <f t="shared" si="71"/>
        <v/>
      </c>
      <c r="AJ110" s="71"/>
      <c r="AK110" s="10" t="str">
        <f t="shared" si="55"/>
        <v/>
      </c>
      <c r="AL110" s="10" t="str">
        <f t="shared" si="72"/>
        <v/>
      </c>
      <c r="AM110" s="71"/>
      <c r="AN110" s="10" t="str">
        <f t="shared" si="56"/>
        <v/>
      </c>
      <c r="AO110" s="10" t="str">
        <f t="shared" si="73"/>
        <v/>
      </c>
      <c r="AP110" s="71"/>
      <c r="AQ110" s="10" t="str">
        <f t="shared" si="57"/>
        <v/>
      </c>
      <c r="AR110" s="10" t="str">
        <f t="shared" si="74"/>
        <v/>
      </c>
      <c r="AS110" s="71"/>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U110" s="71"/>
      <c r="AV110" s="10" t="str">
        <f t="shared" si="58"/>
        <v/>
      </c>
      <c r="AW110" s="10" t="str">
        <f t="shared" si="59"/>
        <v/>
      </c>
      <c r="AX110" s="71"/>
      <c r="AY110" s="7" t="str">
        <f>IF(ISERROR(IF($K110&lt;=$F$15,VLOOKUP($I110,'表4）CO2価格'!$A$7:$E$67,VLOOKUP($F$48,'表4）CO2価格'!$H$10:$I$12,2,0),0)*$F$8/1000,"")),0,IF($K110&lt;=$F$15,VLOOKUP($I110,'表4）CO2価格'!$A$7:$E$67,VLOOKUP($F$48,'表4）CO2価格'!$H$10:$I$12,2,0),0)*$F$8/1000,""))</f>
        <v/>
      </c>
      <c r="AZ110" s="71"/>
      <c r="BA110" s="11" t="str">
        <f t="shared" si="60"/>
        <v/>
      </c>
      <c r="BB110" s="10" t="str">
        <f t="shared" si="75"/>
        <v/>
      </c>
      <c r="BC110" s="71"/>
      <c r="BD110" s="10" t="str">
        <f t="shared" si="61"/>
        <v/>
      </c>
      <c r="BE110" s="10" t="str">
        <f t="shared" si="76"/>
        <v/>
      </c>
      <c r="BF110" s="71"/>
      <c r="BG110" s="11" t="str">
        <f t="shared" si="62"/>
        <v/>
      </c>
      <c r="BH110" s="10" t="str">
        <f t="shared" si="77"/>
        <v/>
      </c>
      <c r="BJ110" s="7"/>
      <c r="BK110" s="158"/>
      <c r="BL110" s="158"/>
      <c r="BM110" s="10"/>
      <c r="BN110" s="10" t="str">
        <f>IF(AND(ISNUMBER($F$16),$K110&lt;=$F$16),BQ110*('バイオマス（木質専焼）（2020年）'!$O$15+'バイオマス（木質専焼）（2020年）'!$BK$116)/'バイオマス（木質専焼）（2020年）'!$BL$116,"")</f>
        <v/>
      </c>
      <c r="BO110" s="10" t="str">
        <f t="shared" si="78"/>
        <v/>
      </c>
      <c r="BQ110" s="10" t="str">
        <f t="shared" si="63"/>
        <v/>
      </c>
      <c r="BR110" s="10" t="str">
        <f t="shared" si="79"/>
        <v/>
      </c>
    </row>
    <row r="111" spans="4:70" ht="15" x14ac:dyDescent="0.15">
      <c r="D111" s="103"/>
      <c r="E111" s="84" t="s">
        <v>606</v>
      </c>
      <c r="F111" s="488">
        <f>-BE116/BR116</f>
        <v>0</v>
      </c>
      <c r="G111" s="84" t="s">
        <v>590</v>
      </c>
      <c r="I111" s="38">
        <f t="shared" si="80"/>
        <v>2116</v>
      </c>
      <c r="J111" s="39"/>
      <c r="K111" s="39">
        <f t="shared" si="81"/>
        <v>97</v>
      </c>
      <c r="L111" s="39"/>
      <c r="M111" s="40">
        <f t="shared" si="48"/>
        <v>5.6857688990999529E-2</v>
      </c>
      <c r="N111" s="39"/>
      <c r="O111" s="72" t="str">
        <f t="shared" si="64"/>
        <v/>
      </c>
      <c r="P111" s="41" t="str">
        <f>IF(K111&lt;=$F$15,IF(OR(P110=$F$124,P110="-"),"-",IF(O111*$F$123&gt;$F$127,$F$123,$F$124)),"")</f>
        <v/>
      </c>
      <c r="Q111" s="39"/>
      <c r="R111" s="72" t="str">
        <f t="shared" si="65"/>
        <v/>
      </c>
      <c r="S111" s="39"/>
      <c r="T111" s="72" t="str">
        <f t="shared" si="66"/>
        <v/>
      </c>
      <c r="U111" s="39"/>
      <c r="V111" s="72" t="str">
        <f t="shared" si="50"/>
        <v/>
      </c>
      <c r="W111" s="72" t="str">
        <f t="shared" si="67"/>
        <v/>
      </c>
      <c r="X111" s="39"/>
      <c r="Y111" s="72" t="str">
        <f t="shared" si="51"/>
        <v/>
      </c>
      <c r="Z111" s="72" t="str">
        <f t="shared" si="68"/>
        <v/>
      </c>
      <c r="AA111" s="39"/>
      <c r="AB111" s="72" t="str">
        <f t="shared" si="52"/>
        <v/>
      </c>
      <c r="AC111" s="72" t="str">
        <f t="shared" si="69"/>
        <v/>
      </c>
      <c r="AD111" s="39"/>
      <c r="AE111" s="72" t="str">
        <f t="shared" si="53"/>
        <v/>
      </c>
      <c r="AF111" s="72" t="str">
        <f t="shared" si="70"/>
        <v/>
      </c>
      <c r="AG111" s="39"/>
      <c r="AH111" s="72" t="str">
        <f t="shared" si="54"/>
        <v/>
      </c>
      <c r="AI111" s="72" t="str">
        <f t="shared" si="71"/>
        <v/>
      </c>
      <c r="AJ111" s="39"/>
      <c r="AK111" s="72" t="str">
        <f t="shared" si="55"/>
        <v/>
      </c>
      <c r="AL111" s="72" t="str">
        <f t="shared" si="72"/>
        <v/>
      </c>
      <c r="AM111" s="39"/>
      <c r="AN111" s="72" t="str">
        <f t="shared" si="56"/>
        <v/>
      </c>
      <c r="AO111" s="72" t="str">
        <f t="shared" si="73"/>
        <v/>
      </c>
      <c r="AP111" s="39"/>
      <c r="AQ111" s="72" t="str">
        <f t="shared" si="57"/>
        <v/>
      </c>
      <c r="AR111" s="72" t="str">
        <f t="shared" si="74"/>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58"/>
        <v/>
      </c>
      <c r="AW111" s="72" t="str">
        <f t="shared" si="59"/>
        <v/>
      </c>
      <c r="AX111" s="39"/>
      <c r="AY111" s="40" t="str">
        <f>IF(ISERROR(IF($K111&lt;=$F$15,VLOOKUP($I111,'表4）CO2価格'!$A$7:$E$67,VLOOKUP($F$48,'表4）CO2価格'!$H$10:$I$12,2,0),0)*$F$8/1000,"")),0,IF($K111&lt;=$F$15,VLOOKUP($I111,'表4）CO2価格'!$A$7:$E$67,VLOOKUP($F$48,'表4）CO2価格'!$H$10:$I$12,2,0),0)*$F$8/1000,""))</f>
        <v/>
      </c>
      <c r="AZ111" s="39"/>
      <c r="BA111" s="42" t="str">
        <f t="shared" si="60"/>
        <v/>
      </c>
      <c r="BB111" s="72" t="str">
        <f t="shared" si="75"/>
        <v/>
      </c>
      <c r="BC111" s="39"/>
      <c r="BD111" s="72" t="str">
        <f t="shared" si="61"/>
        <v/>
      </c>
      <c r="BE111" s="72" t="str">
        <f t="shared" si="76"/>
        <v/>
      </c>
      <c r="BF111" s="39"/>
      <c r="BG111" s="42" t="str">
        <f t="shared" si="62"/>
        <v/>
      </c>
      <c r="BH111" s="72" t="str">
        <f t="shared" si="77"/>
        <v/>
      </c>
      <c r="BI111" s="39"/>
      <c r="BJ111" s="40"/>
      <c r="BK111" s="157"/>
      <c r="BL111" s="157"/>
      <c r="BM111" s="72"/>
      <c r="BN111" s="72" t="str">
        <f>IF(AND(ISNUMBER($F$16),$K111&lt;=$F$16),BQ111*('バイオマス（木質専焼）（2020年）'!$O$15+'バイオマス（木質専焼）（2020年）'!$BK$116)/'バイオマス（木質専焼）（2020年）'!$BL$116,"")</f>
        <v/>
      </c>
      <c r="BO111" s="72" t="str">
        <f t="shared" si="78"/>
        <v/>
      </c>
      <c r="BP111" s="39"/>
      <c r="BQ111" s="72" t="str">
        <f t="shared" si="63"/>
        <v/>
      </c>
      <c r="BR111" s="72" t="str">
        <f t="shared" si="79"/>
        <v/>
      </c>
    </row>
    <row r="112" spans="4:70" ht="15" x14ac:dyDescent="0.15">
      <c r="D112" s="103"/>
      <c r="E112" s="84" t="s">
        <v>607</v>
      </c>
      <c r="F112" s="488">
        <f>-BH116/BR116</f>
        <v>0</v>
      </c>
      <c r="G112" s="84" t="s">
        <v>590</v>
      </c>
      <c r="I112" s="457">
        <f t="shared" si="80"/>
        <v>2117</v>
      </c>
      <c r="J112" s="71"/>
      <c r="K112" s="71">
        <f t="shared" si="81"/>
        <v>98</v>
      </c>
      <c r="L112" s="71"/>
      <c r="M112" s="7">
        <f t="shared" si="48"/>
        <v>5.5201639797086935E-2</v>
      </c>
      <c r="N112" s="71"/>
      <c r="O112" s="10" t="str">
        <f t="shared" si="64"/>
        <v/>
      </c>
      <c r="P112" s="29" t="str">
        <f>IF(K112&lt;=$F$15,IF(OR(P111=$F$124,P111="-"),"-",IF(O112*$F$123&gt;$F$127,$F$123,$F$124)),"")</f>
        <v/>
      </c>
      <c r="Q112" s="71"/>
      <c r="R112" s="10" t="str">
        <f t="shared" si="65"/>
        <v/>
      </c>
      <c r="S112" s="71"/>
      <c r="T112" s="10" t="str">
        <f t="shared" si="66"/>
        <v/>
      </c>
      <c r="U112" s="71"/>
      <c r="V112" s="10" t="str">
        <f t="shared" si="50"/>
        <v/>
      </c>
      <c r="W112" s="10" t="str">
        <f t="shared" si="67"/>
        <v/>
      </c>
      <c r="X112" s="71"/>
      <c r="Y112" s="10" t="str">
        <f t="shared" si="51"/>
        <v/>
      </c>
      <c r="Z112" s="10" t="str">
        <f t="shared" si="68"/>
        <v/>
      </c>
      <c r="AA112" s="71"/>
      <c r="AB112" s="10" t="str">
        <f t="shared" si="52"/>
        <v/>
      </c>
      <c r="AC112" s="10" t="str">
        <f t="shared" si="69"/>
        <v/>
      </c>
      <c r="AD112" s="71"/>
      <c r="AE112" s="10" t="str">
        <f t="shared" si="53"/>
        <v/>
      </c>
      <c r="AF112" s="10" t="str">
        <f t="shared" si="70"/>
        <v/>
      </c>
      <c r="AG112" s="71"/>
      <c r="AH112" s="10" t="str">
        <f t="shared" si="54"/>
        <v/>
      </c>
      <c r="AI112" s="10" t="str">
        <f t="shared" si="71"/>
        <v/>
      </c>
      <c r="AJ112" s="71"/>
      <c r="AK112" s="10" t="str">
        <f t="shared" si="55"/>
        <v/>
      </c>
      <c r="AL112" s="10" t="str">
        <f t="shared" si="72"/>
        <v/>
      </c>
      <c r="AM112" s="71"/>
      <c r="AN112" s="10" t="str">
        <f t="shared" si="56"/>
        <v/>
      </c>
      <c r="AO112" s="10" t="str">
        <f t="shared" si="73"/>
        <v/>
      </c>
      <c r="AP112" s="71"/>
      <c r="AQ112" s="10" t="str">
        <f t="shared" si="57"/>
        <v/>
      </c>
      <c r="AR112" s="10" t="str">
        <f t="shared" si="74"/>
        <v/>
      </c>
      <c r="AS112" s="71"/>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U112" s="71"/>
      <c r="AV112" s="10" t="str">
        <f t="shared" si="58"/>
        <v/>
      </c>
      <c r="AW112" s="10" t="str">
        <f t="shared" si="59"/>
        <v/>
      </c>
      <c r="AX112" s="71"/>
      <c r="AY112" s="7" t="str">
        <f>IF(ISERROR(IF($K112&lt;=$F$15,VLOOKUP($I112,'表4）CO2価格'!$A$7:$E$67,VLOOKUP($F$48,'表4）CO2価格'!$H$10:$I$12,2,0),0)*$F$8/1000,"")),0,IF($K112&lt;=$F$15,VLOOKUP($I112,'表4）CO2価格'!$A$7:$E$67,VLOOKUP($F$48,'表4）CO2価格'!$H$10:$I$12,2,0),0)*$F$8/1000,""))</f>
        <v/>
      </c>
      <c r="AZ112" s="71"/>
      <c r="BA112" s="11" t="str">
        <f t="shared" si="60"/>
        <v/>
      </c>
      <c r="BB112" s="10" t="str">
        <f t="shared" si="75"/>
        <v/>
      </c>
      <c r="BC112" s="71"/>
      <c r="BD112" s="10" t="str">
        <f t="shared" si="61"/>
        <v/>
      </c>
      <c r="BE112" s="10" t="str">
        <f t="shared" si="76"/>
        <v/>
      </c>
      <c r="BF112" s="71"/>
      <c r="BG112" s="11" t="str">
        <f t="shared" si="62"/>
        <v/>
      </c>
      <c r="BH112" s="10" t="str">
        <f t="shared" si="77"/>
        <v/>
      </c>
      <c r="BJ112" s="7"/>
      <c r="BK112" s="158"/>
      <c r="BL112" s="158"/>
      <c r="BM112" s="10"/>
      <c r="BN112" s="10" t="str">
        <f>IF(AND(ISNUMBER($F$16),$K112&lt;=$F$16),BQ112*('バイオマス（木質専焼）（2020年）'!$O$15+'バイオマス（木質専焼）（2020年）'!$BK$116)/'バイオマス（木質専焼）（2020年）'!$BL$116,"")</f>
        <v/>
      </c>
      <c r="BO112" s="10" t="str">
        <f t="shared" si="78"/>
        <v/>
      </c>
      <c r="BQ112" s="10" t="str">
        <f t="shared" si="63"/>
        <v/>
      </c>
      <c r="BR112" s="10" t="str">
        <f t="shared" si="79"/>
        <v/>
      </c>
    </row>
    <row r="113" spans="2:70" x14ac:dyDescent="0.15">
      <c r="I113" s="38">
        <f t="shared" si="80"/>
        <v>2118</v>
      </c>
      <c r="J113" s="39"/>
      <c r="K113" s="39">
        <f t="shared" si="81"/>
        <v>99</v>
      </c>
      <c r="L113" s="39"/>
      <c r="M113" s="40">
        <f t="shared" si="48"/>
        <v>5.3593825045715457E-2</v>
      </c>
      <c r="N113" s="39"/>
      <c r="O113" s="72" t="str">
        <f t="shared" si="64"/>
        <v/>
      </c>
      <c r="P113" s="41" t="str">
        <f>IF(K113&lt;=$F$15,IF(OR(P112=$F$124,P112="-"),"-",IF(O113*$F$123&gt;$F$127,$F$123,$F$124)),"")</f>
        <v/>
      </c>
      <c r="Q113" s="39"/>
      <c r="R113" s="72" t="str">
        <f t="shared" si="65"/>
        <v/>
      </c>
      <c r="S113" s="39"/>
      <c r="T113" s="72" t="str">
        <f t="shared" si="66"/>
        <v/>
      </c>
      <c r="U113" s="39"/>
      <c r="V113" s="72" t="str">
        <f t="shared" si="50"/>
        <v/>
      </c>
      <c r="W113" s="72" t="str">
        <f t="shared" si="67"/>
        <v/>
      </c>
      <c r="X113" s="39"/>
      <c r="Y113" s="72" t="str">
        <f t="shared" si="51"/>
        <v/>
      </c>
      <c r="Z113" s="72" t="str">
        <f t="shared" si="68"/>
        <v/>
      </c>
      <c r="AA113" s="39"/>
      <c r="AB113" s="72" t="str">
        <f t="shared" si="52"/>
        <v/>
      </c>
      <c r="AC113" s="72" t="str">
        <f t="shared" si="69"/>
        <v/>
      </c>
      <c r="AD113" s="39"/>
      <c r="AE113" s="72" t="str">
        <f t="shared" si="53"/>
        <v/>
      </c>
      <c r="AF113" s="72" t="str">
        <f t="shared" si="70"/>
        <v/>
      </c>
      <c r="AG113" s="39"/>
      <c r="AH113" s="72" t="str">
        <f t="shared" si="54"/>
        <v/>
      </c>
      <c r="AI113" s="72" t="str">
        <f t="shared" si="71"/>
        <v/>
      </c>
      <c r="AJ113" s="39"/>
      <c r="AK113" s="72" t="str">
        <f t="shared" si="55"/>
        <v/>
      </c>
      <c r="AL113" s="72" t="str">
        <f t="shared" si="72"/>
        <v/>
      </c>
      <c r="AM113" s="39"/>
      <c r="AN113" s="72" t="str">
        <f t="shared" si="56"/>
        <v/>
      </c>
      <c r="AO113" s="72" t="str">
        <f t="shared" si="73"/>
        <v/>
      </c>
      <c r="AP113" s="39"/>
      <c r="AQ113" s="72" t="str">
        <f t="shared" si="57"/>
        <v/>
      </c>
      <c r="AR113" s="72" t="str">
        <f t="shared" si="74"/>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58"/>
        <v/>
      </c>
      <c r="AW113" s="72" t="str">
        <f t="shared" si="59"/>
        <v/>
      </c>
      <c r="AX113" s="39"/>
      <c r="AY113" s="40" t="str">
        <f>IF(ISERROR(IF($K113&lt;=$F$15,VLOOKUP($I113,'表4）CO2価格'!$A$7:$E$67,VLOOKUP($F$48,'表4）CO2価格'!$H$10:$I$12,2,0),0)*$F$8/1000,"")),0,IF($K113&lt;=$F$15,VLOOKUP($I113,'表4）CO2価格'!$A$7:$E$67,VLOOKUP($F$48,'表4）CO2価格'!$H$10:$I$12,2,0),0)*$F$8/1000,""))</f>
        <v/>
      </c>
      <c r="AZ113" s="39"/>
      <c r="BA113" s="42" t="str">
        <f t="shared" si="60"/>
        <v/>
      </c>
      <c r="BB113" s="72" t="str">
        <f t="shared" si="75"/>
        <v/>
      </c>
      <c r="BC113" s="39"/>
      <c r="BD113" s="72" t="str">
        <f t="shared" si="61"/>
        <v/>
      </c>
      <c r="BE113" s="72" t="str">
        <f t="shared" si="76"/>
        <v/>
      </c>
      <c r="BF113" s="39"/>
      <c r="BG113" s="42" t="str">
        <f t="shared" si="62"/>
        <v/>
      </c>
      <c r="BH113" s="72" t="str">
        <f t="shared" si="77"/>
        <v/>
      </c>
      <c r="BI113" s="39"/>
      <c r="BJ113" s="40"/>
      <c r="BK113" s="157"/>
      <c r="BL113" s="157"/>
      <c r="BM113" s="72"/>
      <c r="BN113" s="72" t="str">
        <f>IF(AND(ISNUMBER($F$16),$K113&lt;=$F$16),BQ113*('バイオマス（木質専焼）（2020年）'!$O$15+'バイオマス（木質専焼）（2020年）'!$BK$116)/'バイオマス（木質専焼）（2020年）'!$BL$116,"")</f>
        <v/>
      </c>
      <c r="BO113" s="72" t="str">
        <f t="shared" si="78"/>
        <v/>
      </c>
      <c r="BP113" s="39"/>
      <c r="BQ113" s="72" t="str">
        <f t="shared" si="63"/>
        <v/>
      </c>
      <c r="BR113" s="72" t="str">
        <f t="shared" si="79"/>
        <v/>
      </c>
    </row>
    <row r="114" spans="2:70" x14ac:dyDescent="0.15">
      <c r="I114" s="457">
        <f t="shared" si="80"/>
        <v>2119</v>
      </c>
      <c r="J114" s="71"/>
      <c r="K114" s="71">
        <f t="shared" si="81"/>
        <v>100</v>
      </c>
      <c r="L114" s="71"/>
      <c r="M114" s="7">
        <f t="shared" si="48"/>
        <v>5.2032839850209185E-2</v>
      </c>
      <c r="N114" s="71"/>
      <c r="O114" s="10" t="str">
        <f t="shared" si="64"/>
        <v/>
      </c>
      <c r="P114" s="29" t="str">
        <f>IF(K114&lt;=$F$15,IF(OR(P113=$F$124,P113="-"),"-",IF(O114*$F$123&gt;$F$127,$F$123,$F$124)),"")</f>
        <v/>
      </c>
      <c r="Q114" s="71"/>
      <c r="R114" s="10" t="str">
        <f t="shared" si="65"/>
        <v/>
      </c>
      <c r="S114" s="71"/>
      <c r="T114" s="10" t="str">
        <f t="shared" si="66"/>
        <v/>
      </c>
      <c r="U114" s="71"/>
      <c r="V114" s="10" t="str">
        <f t="shared" si="50"/>
        <v/>
      </c>
      <c r="W114" s="10" t="str">
        <f t="shared" si="67"/>
        <v/>
      </c>
      <c r="X114" s="71"/>
      <c r="Y114" s="10" t="str">
        <f t="shared" si="51"/>
        <v/>
      </c>
      <c r="Z114" s="10" t="str">
        <f t="shared" si="68"/>
        <v/>
      </c>
      <c r="AA114" s="71"/>
      <c r="AB114" s="10" t="str">
        <f t="shared" si="52"/>
        <v/>
      </c>
      <c r="AC114" s="10" t="str">
        <f t="shared" si="69"/>
        <v/>
      </c>
      <c r="AD114" s="71"/>
      <c r="AE114" s="10" t="str">
        <f t="shared" si="53"/>
        <v/>
      </c>
      <c r="AF114" s="10" t="str">
        <f t="shared" si="70"/>
        <v/>
      </c>
      <c r="AG114" s="71"/>
      <c r="AH114" s="10" t="str">
        <f t="shared" si="54"/>
        <v/>
      </c>
      <c r="AI114" s="10" t="str">
        <f t="shared" si="71"/>
        <v/>
      </c>
      <c r="AJ114" s="71"/>
      <c r="AK114" s="10" t="str">
        <f t="shared" si="55"/>
        <v/>
      </c>
      <c r="AL114" s="10" t="str">
        <f t="shared" si="72"/>
        <v/>
      </c>
      <c r="AM114" s="71"/>
      <c r="AN114" s="10" t="str">
        <f t="shared" si="56"/>
        <v/>
      </c>
      <c r="AO114" s="10" t="str">
        <f t="shared" si="73"/>
        <v/>
      </c>
      <c r="AP114" s="71"/>
      <c r="AQ114" s="10" t="str">
        <f t="shared" si="57"/>
        <v/>
      </c>
      <c r="AR114" s="10" t="str">
        <f t="shared" si="74"/>
        <v/>
      </c>
      <c r="AS114" s="71"/>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U114" s="71"/>
      <c r="AV114" s="10" t="str">
        <f t="shared" si="58"/>
        <v/>
      </c>
      <c r="AW114" s="10" t="str">
        <f t="shared" si="59"/>
        <v/>
      </c>
      <c r="AX114" s="71"/>
      <c r="AY114" s="7" t="str">
        <f>IF(ISERROR(IF($K114&lt;=$F$15,VLOOKUP($I114,'表4）CO2価格'!$A$7:$E$67,VLOOKUP($F$48,'表4）CO2価格'!$H$10:$I$12,2,0),0)*$F$8/1000,"")),0,IF($K114&lt;=$F$15,VLOOKUP($I114,'表4）CO2価格'!$A$7:$E$67,VLOOKUP($F$48,'表4）CO2価格'!$H$10:$I$12,2,0),0)*$F$8/1000,""))</f>
        <v/>
      </c>
      <c r="AZ114" s="71"/>
      <c r="BA114" s="11" t="str">
        <f t="shared" si="60"/>
        <v/>
      </c>
      <c r="BB114" s="10" t="str">
        <f t="shared" si="75"/>
        <v/>
      </c>
      <c r="BC114" s="71"/>
      <c r="BD114" s="10" t="str">
        <f t="shared" si="61"/>
        <v/>
      </c>
      <c r="BE114" s="10" t="str">
        <f t="shared" si="76"/>
        <v/>
      </c>
      <c r="BF114" s="71"/>
      <c r="BG114" s="11" t="str">
        <f t="shared" si="62"/>
        <v/>
      </c>
      <c r="BH114" s="10" t="str">
        <f t="shared" si="77"/>
        <v/>
      </c>
      <c r="BJ114" s="7"/>
      <c r="BK114" s="158"/>
      <c r="BL114" s="158"/>
      <c r="BM114" s="10"/>
      <c r="BN114" s="10" t="str">
        <f>IF(AND(ISNUMBER($F$16),$K114&lt;=$F$16),BQ114*('バイオマス（木質専焼）（2020年）'!$O$15+'バイオマス（木質専焼）（2020年）'!$BK$116)/'バイオマス（木質専焼）（2020年）'!$BL$116,"")</f>
        <v/>
      </c>
      <c r="BO114" s="10" t="str">
        <f t="shared" si="78"/>
        <v/>
      </c>
      <c r="BQ114" s="10" t="str">
        <f t="shared" si="63"/>
        <v/>
      </c>
      <c r="BR114" s="10" t="str">
        <f t="shared" si="79"/>
        <v/>
      </c>
    </row>
    <row r="115" spans="2:70" ht="15.75" thickBot="1" x14ac:dyDescent="0.2">
      <c r="B115" s="5" t="s">
        <v>608</v>
      </c>
      <c r="C115" s="3"/>
      <c r="D115" s="102"/>
      <c r="E115" s="102"/>
      <c r="F115" s="3"/>
      <c r="G115" s="102"/>
      <c r="I115" s="456"/>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71" t="s">
        <v>609</v>
      </c>
      <c r="J116" s="71"/>
      <c r="K116" s="71"/>
      <c r="L116" s="71"/>
      <c r="M116" s="71"/>
      <c r="N116" s="71"/>
      <c r="O116" s="71"/>
      <c r="P116" s="71"/>
      <c r="Q116" s="71"/>
      <c r="R116" s="71"/>
      <c r="S116" s="71"/>
      <c r="T116" s="71"/>
      <c r="U116" s="71"/>
      <c r="V116" s="71"/>
      <c r="W116" s="11"/>
      <c r="X116" s="71"/>
      <c r="Y116" s="71"/>
      <c r="Z116" s="11">
        <f>SUM(Z15:Z114)</f>
        <v>15159948098.151825</v>
      </c>
      <c r="AA116" s="71"/>
      <c r="AB116" s="71"/>
      <c r="AC116" s="11">
        <f>SUM(AC15:AC114)</f>
        <v>2656329906.7050738</v>
      </c>
      <c r="AD116" s="71"/>
      <c r="AE116" s="71"/>
      <c r="AF116" s="11">
        <f>SUM(AF15:AF114)</f>
        <v>0</v>
      </c>
      <c r="AG116" s="71"/>
      <c r="AH116" s="71"/>
      <c r="AI116" s="11">
        <f>SUM(AI15:AI114)</f>
        <v>10170499668.650841</v>
      </c>
      <c r="AJ116" s="71"/>
      <c r="AK116" s="71"/>
      <c r="AL116" s="11">
        <f>SUM(AL15:AL114)</f>
        <v>99023683137.500458</v>
      </c>
      <c r="AM116" s="71"/>
      <c r="AN116" s="71"/>
      <c r="AO116" s="11">
        <f>SUM(AO15:AO114)</f>
        <v>90771709542.708755</v>
      </c>
      <c r="AP116" s="71"/>
      <c r="AQ116" s="71"/>
      <c r="AR116" s="11">
        <f>SUM(AR15:AR114)</f>
        <v>24395838866.560928</v>
      </c>
      <c r="AS116" s="71"/>
      <c r="AT116" s="71"/>
      <c r="AU116" s="71"/>
      <c r="AV116" s="71"/>
      <c r="AW116" s="11">
        <f>SUM(AW15:AW114)</f>
        <v>416233671130.15051</v>
      </c>
      <c r="AX116" s="71"/>
      <c r="AY116" s="71"/>
      <c r="AZ116" s="71"/>
      <c r="BA116" s="71"/>
      <c r="BB116" s="11">
        <f>SUM(BB15:BB114)</f>
        <v>353574218579.69189</v>
      </c>
      <c r="BC116" s="71"/>
      <c r="BD116" s="71"/>
      <c r="BE116" s="11">
        <f>SUM(BE15:BE114)</f>
        <v>0</v>
      </c>
      <c r="BF116" s="71"/>
      <c r="BG116" s="71"/>
      <c r="BH116" s="11">
        <f>SUM(BH15:BH114)</f>
        <v>0</v>
      </c>
      <c r="BK116" s="11">
        <f>SUM(BK15:BK114)</f>
        <v>0</v>
      </c>
      <c r="BL116" s="11">
        <f>SUM(BL15:BL114)</f>
        <v>0</v>
      </c>
      <c r="BO116" s="11">
        <f>SUM(BO15:BO114)</f>
        <v>1929142517515.1743</v>
      </c>
      <c r="BQ116" s="71"/>
      <c r="BR116" s="11">
        <f>SUM(BR15:BR114)</f>
        <v>93760865624.869171</v>
      </c>
    </row>
    <row r="117" spans="2:70" x14ac:dyDescent="0.15">
      <c r="C117" s="71" t="s">
        <v>610</v>
      </c>
      <c r="F117" s="490">
        <f>F21*10^4*F13*10^4+F29*10^8</f>
        <v>178500000000</v>
      </c>
      <c r="G117" s="84" t="s">
        <v>611</v>
      </c>
      <c r="I117" s="184" t="s">
        <v>145</v>
      </c>
      <c r="J117" s="71"/>
      <c r="K117" s="71"/>
      <c r="L117" s="71"/>
      <c r="M117" s="71"/>
      <c r="N117" s="71"/>
      <c r="O117" s="71"/>
      <c r="P117" s="71"/>
      <c r="Q117" s="71"/>
      <c r="R117" s="71"/>
      <c r="S117" s="71"/>
      <c r="T117" s="71"/>
      <c r="U117" s="71"/>
      <c r="V117" s="71"/>
      <c r="W117" s="11"/>
      <c r="X117" s="71"/>
      <c r="Y117" s="71"/>
      <c r="Z117" s="11">
        <f ca="1">IF(ISNUMBER($F$16),SUM(INDIRECT(ADDRESS($F$16+15,COLUMN())):INDIRECT(ADDRESS(114,COLUMN()))),"")</f>
        <v>1029250274.3631803</v>
      </c>
      <c r="AA117" s="71"/>
      <c r="AB117" s="71"/>
      <c r="AC117" s="11">
        <f ca="1">IF(ISNUMBER($F$16),SUM(INDIRECT(ADDRESS($F$16+15,COLUMN())):INDIRECT(ADDRESS(114,COLUMN()))),"")</f>
        <v>2656329906.7050738</v>
      </c>
      <c r="AD117" s="71"/>
      <c r="AE117" s="71"/>
      <c r="AF117" s="11">
        <f ca="1">IF(ISNUMBER($F$16),SUM(INDIRECT(ADDRESS($F$16+15,COLUMN())):INDIRECT(ADDRESS(114,COLUMN()))),"")</f>
        <v>0</v>
      </c>
      <c r="AG117" s="71"/>
      <c r="AH117" s="71"/>
      <c r="AI117" s="11">
        <f ca="1">IF(ISNUMBER($F$16),SUM(INDIRECT(ADDRESS($F$16+15,COLUMN())):INDIRECT(ADDRESS(114,COLUMN()))),"")</f>
        <v>3624410730.0504155</v>
      </c>
      <c r="AJ117" s="71"/>
      <c r="AK117" s="71"/>
      <c r="AL117" s="11">
        <f ca="1">IF(ISNUMBER($F$16),SUM(INDIRECT(ADDRESS($F$16+15,COLUMN())):INDIRECT(ADDRESS(114,COLUMN()))),"")</f>
        <v>35288580835.309036</v>
      </c>
      <c r="AM117" s="71"/>
      <c r="AN117" s="71"/>
      <c r="AO117" s="11">
        <f ca="1">IF(ISNUMBER($F$16),SUM(INDIRECT(ADDRESS($F$16+15,COLUMN())):INDIRECT(ADDRESS(114,COLUMN()))),"")</f>
        <v>32347865765.699955</v>
      </c>
      <c r="AP117" s="71"/>
      <c r="AQ117" s="71"/>
      <c r="AR117" s="11">
        <f ca="1">IF(ISNUMBER($F$16),SUM(INDIRECT(ADDRESS($F$16+15,COLUMN())):INDIRECT(ADDRESS(114,COLUMN()))),"")</f>
        <v>8693824594.3892479</v>
      </c>
      <c r="AS117" s="71"/>
      <c r="AT117" s="71"/>
      <c r="AU117" s="71"/>
      <c r="AV117" s="71"/>
      <c r="AW117" s="11">
        <f ca="1">IF(ISNUMBER($F$16),SUM(INDIRECT(ADDRESS($F$16+15,COLUMN())):INDIRECT(ADDRESS(114,COLUMN()))),"")</f>
        <v>146655098871.04794</v>
      </c>
      <c r="AX117" s="71"/>
      <c r="AY117" s="71"/>
      <c r="AZ117" s="71"/>
      <c r="BA117" s="71"/>
      <c r="BB117" s="11">
        <f ca="1">IF(ISNUMBER($F$16),SUM(INDIRECT(ADDRESS($F$16+15,COLUMN())):INDIRECT(ADDRESS(114,COLUMN()))),"")</f>
        <v>169532128212.37851</v>
      </c>
      <c r="BC117" s="71"/>
      <c r="BD117" s="71"/>
      <c r="BE117" s="11">
        <f ca="1">IF(ISNUMBER($F$16),SUM(INDIRECT(ADDRESS($F$16+15,COLUMN())):INDIRECT(ADDRESS(114,COLUMN()))),"")</f>
        <v>0</v>
      </c>
      <c r="BF117" s="71"/>
      <c r="BG117" s="71"/>
      <c r="BH117" s="11">
        <f ca="1">IF(ISNUMBER($F$16),SUM(INDIRECT(ADDRESS($F$16+15,COLUMN())):INDIRECT(ADDRESS(114,COLUMN()))),"")</f>
        <v>0</v>
      </c>
      <c r="BK117" s="11">
        <f ca="1">IF(ISNUMBER($F$16),SUM(INDIRECT(ADDRESS($F$16+15,COLUMN())):INDIRECT(ADDRESS(114,COLUMN()))),"")</f>
        <v>0</v>
      </c>
      <c r="BL117" s="11">
        <f ca="1">IF(ISNUMBER($F$16),SUM(INDIRECT(ADDRESS($F$16+15,COLUMN())):INDIRECT(ADDRESS(114,COLUMN()))),"")</f>
        <v>0</v>
      </c>
      <c r="BO117" s="11">
        <f ca="1">IF(ISNUMBER($F$16),SUM(INDIRECT(ADDRESS($F$16+15,COLUMN())):INDIRECT(ADDRESS(114,COLUMN()))),"")</f>
        <v>0</v>
      </c>
      <c r="BQ117" s="71"/>
      <c r="BR117" s="11">
        <f ca="1">IF(ISNUMBER($F$16),SUM(INDIRECT(ADDRESS($F$16+15,COLUMN())):INDIRECT(ADDRESS(114,COLUMN()))),"")</f>
        <v>33413096553.855991</v>
      </c>
    </row>
    <row r="119" spans="2:70" x14ac:dyDescent="0.15">
      <c r="C119" s="71" t="s">
        <v>612</v>
      </c>
      <c r="F119" s="490">
        <f>VLOOKUP(F3,'表2）法定耐用年数'!$A$2:$B$24,2,0)</f>
        <v>15</v>
      </c>
      <c r="G119" s="84" t="s">
        <v>556</v>
      </c>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Q119" s="71"/>
      <c r="BR119" s="71"/>
    </row>
    <row r="121" spans="2:70" x14ac:dyDescent="0.15">
      <c r="C121" s="4" t="s">
        <v>613</v>
      </c>
      <c r="D121" s="100"/>
      <c r="E121" s="100"/>
      <c r="F121" s="4"/>
      <c r="G121" s="100"/>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Q121" s="71"/>
      <c r="BR121" s="71"/>
    </row>
    <row r="123" spans="2:70" x14ac:dyDescent="0.15">
      <c r="D123" s="84" t="s">
        <v>614</v>
      </c>
      <c r="F123" s="491">
        <f>VLOOKUP($F$119,'表1）減価償却率表'!$A$9:$E$107,3,0)</f>
        <v>0.16700000000000001</v>
      </c>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Q123" s="71"/>
      <c r="BR123" s="71"/>
    </row>
    <row r="124" spans="2:70" x14ac:dyDescent="0.15">
      <c r="D124" s="84" t="s">
        <v>615</v>
      </c>
      <c r="F124" s="491">
        <f>VLOOKUP($F$119,'表1）減価償却率表'!$A$9:$E$107,4,0)</f>
        <v>0.2</v>
      </c>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Q124" s="71"/>
      <c r="BR124" s="71"/>
    </row>
    <row r="125" spans="2:70" x14ac:dyDescent="0.15">
      <c r="D125" s="84" t="s">
        <v>616</v>
      </c>
      <c r="F125" s="474">
        <f>VLOOKUP($F$119,'表1）減価償却率表'!$A$9:$E$107,5,0)</f>
        <v>3.2169999999999997E-2</v>
      </c>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Q125" s="71"/>
      <c r="BR125" s="71"/>
    </row>
    <row r="126" spans="2:70" x14ac:dyDescent="0.15">
      <c r="F126" s="492"/>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Q126" s="71"/>
      <c r="BR126" s="71"/>
    </row>
    <row r="127" spans="2:70" x14ac:dyDescent="0.15">
      <c r="C127" s="8" t="s">
        <v>617</v>
      </c>
      <c r="D127" s="493"/>
      <c r="E127" s="494"/>
      <c r="F127" s="490">
        <f>F117*F125</f>
        <v>5742344999.999999</v>
      </c>
      <c r="G127" s="84" t="s">
        <v>611</v>
      </c>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Q127" s="71"/>
      <c r="BR127" s="71"/>
    </row>
    <row r="129" spans="3:7" x14ac:dyDescent="0.15">
      <c r="C129" s="8" t="s">
        <v>152</v>
      </c>
      <c r="D129" s="493"/>
      <c r="E129" s="493"/>
      <c r="F129" s="491">
        <f>0.1^(1/F119)</f>
        <v>0.85769589859089412</v>
      </c>
      <c r="G129" s="493"/>
    </row>
    <row r="131" spans="3:7" x14ac:dyDescent="0.15">
      <c r="C131" s="4" t="s">
        <v>618</v>
      </c>
      <c r="D131" s="100"/>
      <c r="E131" s="100"/>
      <c r="F131" s="4"/>
      <c r="G131" s="100"/>
    </row>
    <row r="133" spans="3:7" x14ac:dyDescent="0.15">
      <c r="D133" s="84" t="s">
        <v>619</v>
      </c>
      <c r="F133" s="490">
        <f>F13*10000*24*365*F14/100</f>
        <v>4292400000</v>
      </c>
      <c r="G133" s="84" t="s">
        <v>620</v>
      </c>
    </row>
    <row r="134" spans="3:7" x14ac:dyDescent="0.15">
      <c r="D134" s="84" t="s">
        <v>621</v>
      </c>
      <c r="F134" s="490">
        <f>F133*(1-F24/100)</f>
        <v>4056318000</v>
      </c>
      <c r="G134" s="84" t="s">
        <v>620</v>
      </c>
    </row>
    <row r="135" spans="3:7" x14ac:dyDescent="0.15">
      <c r="F135" s="495"/>
    </row>
    <row r="137" spans="3:7" ht="16.5" x14ac:dyDescent="0.15">
      <c r="C137" s="71" t="s">
        <v>622</v>
      </c>
      <c r="F137" s="490">
        <f>IF(ISERROR(F133*3.6/(F23/100)/F22),0,F133*3.6/(F23/100)/F22)</f>
        <v>1396548673.9460063</v>
      </c>
      <c r="G137" s="71" t="s">
        <v>623</v>
      </c>
    </row>
    <row r="139" spans="3:7" x14ac:dyDescent="0.15">
      <c r="C139" s="4" t="s">
        <v>624</v>
      </c>
      <c r="D139" s="100"/>
      <c r="E139" s="100"/>
      <c r="F139" s="4"/>
      <c r="G139" s="100"/>
    </row>
    <row r="141" spans="3:7" x14ac:dyDescent="0.15">
      <c r="D141" s="84" t="s">
        <v>625</v>
      </c>
      <c r="F141" s="496">
        <f>IF(OR(F3="石炭火力",F3= "LNG火力", F3="ガスコジェネ",F3="バイオマス（石炭混焼）",F3="バイオマス（木質専焼）",F3="燃料電池"),IF($F$43="需要地価格","",1000),IF(OR(F3="石油火力",F3="石油コジェネ"),IF($F$43="需要地価格","",158.987294928),""))</f>
        <v>1000</v>
      </c>
      <c r="G141" s="84" t="s">
        <v>626</v>
      </c>
    </row>
    <row r="142" spans="3:7" x14ac:dyDescent="0.15">
      <c r="D142" s="84" t="s">
        <v>573</v>
      </c>
      <c r="F142" s="488">
        <f>IF(ISERROR(F42/1000),0,F42/1000)</f>
        <v>1.9375</v>
      </c>
      <c r="G142" s="84" t="s">
        <v>627</v>
      </c>
    </row>
    <row r="145" spans="3:7" x14ac:dyDescent="0.15">
      <c r="C145" s="71" t="s">
        <v>628</v>
      </c>
      <c r="F145" s="496">
        <f>IF(ISERROR(F133*(F47*3.6/(F23/100)/1000*(44/12))),0,F133*(F47*3.6/(F23/100)/1000*(44/12)))</f>
        <v>3081670594.8626361</v>
      </c>
      <c r="G145" s="84" t="s">
        <v>629</v>
      </c>
    </row>
    <row r="147" spans="3:7" x14ac:dyDescent="0.15">
      <c r="C147" s="4" t="s">
        <v>630</v>
      </c>
      <c r="D147" s="100"/>
      <c r="E147" s="100"/>
      <c r="F147" s="4"/>
      <c r="G147" s="100"/>
    </row>
    <row r="149" spans="3:7" x14ac:dyDescent="0.15">
      <c r="D149" s="84" t="s">
        <v>219</v>
      </c>
      <c r="F149" s="496">
        <f>IF(ISERROR(F52/F23),0,F52/F23)</f>
        <v>0</v>
      </c>
    </row>
    <row r="150" spans="3:7" x14ac:dyDescent="0.15">
      <c r="D150" s="84" t="s">
        <v>631</v>
      </c>
      <c r="F150" s="496">
        <f>F133*F149*(F53/100)*3.6</f>
        <v>0</v>
      </c>
      <c r="G150" s="84" t="s">
        <v>632</v>
      </c>
    </row>
    <row r="151" spans="3:7" ht="16.5" x14ac:dyDescent="0.15">
      <c r="D151" s="84" t="s">
        <v>633</v>
      </c>
      <c r="F151" s="490">
        <f>IF(ISERROR(F150/(F54/100)/F55),0,F150/(F54/100)/F55)</f>
        <v>0</v>
      </c>
      <c r="G151" s="71" t="s">
        <v>623</v>
      </c>
    </row>
    <row r="152" spans="3:7" x14ac:dyDescent="0.15">
      <c r="D152" s="84" t="s">
        <v>634</v>
      </c>
      <c r="F152" s="497">
        <f>IF(ISERROR(F56/1000),0,F56/1000)</f>
        <v>0</v>
      </c>
      <c r="G152" s="84" t="s">
        <v>627</v>
      </c>
    </row>
    <row r="153" spans="3:7" x14ac:dyDescent="0.15">
      <c r="D153" s="84" t="s">
        <v>635</v>
      </c>
      <c r="F153" s="496">
        <f>IF(ISERROR(F150*F47/1000*(44/12)/(F54/100)),0,F150*F47/1000*(44/12)/(F54/100))</f>
        <v>0</v>
      </c>
      <c r="G153" s="84" t="s">
        <v>629</v>
      </c>
    </row>
  </sheetData>
  <mergeCells count="48">
    <mergeCell ref="BR12:BR13"/>
    <mergeCell ref="AI12:AI13"/>
    <mergeCell ref="AL12:AL13"/>
    <mergeCell ref="AO12:AO13"/>
    <mergeCell ref="AR12:AR13"/>
    <mergeCell ref="AW12:AW13"/>
    <mergeCell ref="BB12:BB13"/>
    <mergeCell ref="BL12:BL13"/>
    <mergeCell ref="BK12:BK13"/>
    <mergeCell ref="BO12:BO13"/>
    <mergeCell ref="BJ12:BJ13"/>
    <mergeCell ref="BA9:BB10"/>
    <mergeCell ref="AE9:AF10"/>
    <mergeCell ref="V9:W10"/>
    <mergeCell ref="BE12:BE13"/>
    <mergeCell ref="BH12:BH13"/>
    <mergeCell ref="P12:P13"/>
    <mergeCell ref="W12:W13"/>
    <mergeCell ref="Z12:Z13"/>
    <mergeCell ref="AC12:AC13"/>
    <mergeCell ref="AF12:AF13"/>
    <mergeCell ref="BQ7:BR7"/>
    <mergeCell ref="BJ7:BO7"/>
    <mergeCell ref="I9:I10"/>
    <mergeCell ref="K9:K10"/>
    <mergeCell ref="M9:M10"/>
    <mergeCell ref="O9:P10"/>
    <mergeCell ref="R9:R10"/>
    <mergeCell ref="AN9:AO10"/>
    <mergeCell ref="AQ9:AR10"/>
    <mergeCell ref="AY7:BB7"/>
    <mergeCell ref="AY9:AY10"/>
    <mergeCell ref="BD7:BH7"/>
    <mergeCell ref="BJ9:BL10"/>
    <mergeCell ref="BN9:BO10"/>
    <mergeCell ref="BD9:BE10"/>
    <mergeCell ref="BG9:BH10"/>
    <mergeCell ref="F3:G3"/>
    <mergeCell ref="V7:AF7"/>
    <mergeCell ref="AH7:AR7"/>
    <mergeCell ref="AT7:AW7"/>
    <mergeCell ref="AK9:AL10"/>
    <mergeCell ref="T9:T10"/>
    <mergeCell ref="AV9:AW10"/>
    <mergeCell ref="AT9:AT10"/>
    <mergeCell ref="AH9:AI10"/>
    <mergeCell ref="AB9:AC10"/>
    <mergeCell ref="Y9:Z10"/>
  </mergeCells>
  <phoneticPr fontId="17"/>
  <dataValidations count="4">
    <dataValidation type="list" allowBlank="1" showDropDown="1" showInputMessage="1" showErrorMessage="1" sqref="F48 F41" xr:uid="{00000000-0002-0000-1F00-000000000000}">
      <formula1>"現行政策シナリオ, 新政策シナリオ"</formula1>
    </dataValidation>
    <dataValidation type="whole" allowBlank="1" showInputMessage="1" showErrorMessage="1" sqref="F7" xr:uid="{00000000-0002-0000-1F00-000001000000}">
      <formula1>2010</formula1>
      <formula2>2030</formula2>
    </dataValidation>
    <dataValidation type="list" allowBlank="1" showDropDown="1" showInputMessage="1" showErrorMessage="1" sqref="F43" xr:uid="{00000000-0002-0000-1F00-000002000000}">
      <formula1>"CIF価格, 需要地価格"</formula1>
    </dataValidation>
    <dataValidation type="list" allowBlank="1" showDropDown="1" showInputMessage="1" showErrorMessage="1" sqref="F3:G3" xr:uid="{00000000-0002-0000-1F00-000003000000}">
      <formula1>"原子力,石炭火力,LNG火力,石油火力,一般水力,太陽光（メガソーラー）,太陽光（住宅）,風力（陸上）,風力（洋上）,小水力,地熱,バイオマス（石炭混焼）,バイオマス（木質専焼）,ガスコジェネ,石油コジェネ,燃料電池"</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BR153"/>
  <sheetViews>
    <sheetView showGridLines="0" zoomScale="85" zoomScaleNormal="85" workbookViewId="0">
      <pane xSplit="10" ySplit="14" topLeftCell="BF111" activePane="bottomRight" state="frozen"/>
      <selection pane="topRight" activeCell="AF12" sqref="AF12:AF13"/>
      <selection pane="bottomLeft" activeCell="AF12" sqref="AF12:AF13"/>
      <selection pane="bottomRight" activeCell="BS116" sqref="BS116"/>
    </sheetView>
  </sheetViews>
  <sheetFormatPr defaultColWidth="9" defaultRowHeight="14.25" outlineLevelCol="1" x14ac:dyDescent="0.15"/>
  <cols>
    <col min="1" max="3" width="6.25" style="71" customWidth="1"/>
    <col min="4" max="4" width="6.25" style="84" customWidth="1"/>
    <col min="5" max="5" width="24.375" style="84" customWidth="1"/>
    <col min="6" max="6" width="18.75" style="71" customWidth="1"/>
    <col min="7" max="7" width="24.375" style="84" bestFit="1" customWidth="1"/>
    <col min="8" max="8" width="9" style="71"/>
    <col min="9" max="9" width="6.25" style="71" customWidth="1"/>
    <col min="10" max="10" width="3" style="2" customWidth="1"/>
    <col min="11" max="11" width="6.25" style="2" customWidth="1"/>
    <col min="12" max="12" width="3" style="2" customWidth="1"/>
    <col min="13" max="13" width="6.25" style="2" customWidth="1"/>
    <col min="14" max="14" width="3" style="2" customWidth="1"/>
    <col min="15" max="15" width="17.375" style="2" bestFit="1" customWidth="1"/>
    <col min="16" max="16" width="8.625" style="2" customWidth="1"/>
    <col min="17" max="17" width="3" style="2" customWidth="1"/>
    <col min="18" max="18" width="17.375" style="2" bestFit="1" customWidth="1"/>
    <col min="19" max="19" width="3" style="2" customWidth="1"/>
    <col min="20" max="20" width="17.375" style="2" bestFit="1" customWidth="1"/>
    <col min="21" max="21" width="3" style="2" customWidth="1"/>
    <col min="22" max="22" width="15" style="2" customWidth="1" outlineLevel="1"/>
    <col min="23" max="23" width="17.375" style="2" bestFit="1" customWidth="1"/>
    <col min="24" max="24" width="3" style="2" customWidth="1"/>
    <col min="25" max="25" width="15" style="2" customWidth="1" outlineLevel="1"/>
    <col min="26" max="26" width="15" style="2" customWidth="1"/>
    <col min="27" max="27" width="3" style="2" customWidth="1"/>
    <col min="28" max="28" width="15" style="2" customWidth="1" outlineLevel="1"/>
    <col min="29" max="29" width="15" style="2" customWidth="1"/>
    <col min="30" max="30" width="3" style="2" customWidth="1"/>
    <col min="31" max="31" width="15" style="2" customWidth="1" outlineLevel="1"/>
    <col min="32" max="32" width="15" style="2" customWidth="1"/>
    <col min="33" max="33" width="3" style="2" customWidth="1"/>
    <col min="34" max="34" width="14.875" style="2" customWidth="1" outlineLevel="1"/>
    <col min="35" max="35" width="15" style="2" customWidth="1"/>
    <col min="36" max="36" width="3" style="2" customWidth="1"/>
    <col min="37" max="37" width="15" style="2" customWidth="1" outlineLevel="1"/>
    <col min="38" max="38" width="15" style="2" customWidth="1"/>
    <col min="39" max="39" width="3" style="2" customWidth="1"/>
    <col min="40" max="40" width="15" style="2" customWidth="1" outlineLevel="1"/>
    <col min="41" max="41" width="15" style="2" customWidth="1"/>
    <col min="42" max="42" width="3" style="2" customWidth="1"/>
    <col min="43" max="43" width="15" style="2" customWidth="1" outlineLevel="1"/>
    <col min="44" max="44" width="15" style="2" customWidth="1"/>
    <col min="45" max="45" width="3" style="2" customWidth="1"/>
    <col min="46" max="46" width="10.75" style="2" bestFit="1" customWidth="1"/>
    <col min="47" max="47" width="3" style="2" customWidth="1"/>
    <col min="48" max="48" width="15" style="2" customWidth="1" outlineLevel="1"/>
    <col min="49" max="49" width="17.375" style="2" bestFit="1" customWidth="1"/>
    <col min="50" max="50" width="3" style="2" customWidth="1"/>
    <col min="51" max="51" width="9.625" style="2" bestFit="1" customWidth="1"/>
    <col min="52" max="52" width="3" style="2" customWidth="1"/>
    <col min="53" max="53" width="15" style="2" customWidth="1" outlineLevel="1"/>
    <col min="54" max="54" width="17.375" style="2" bestFit="1" customWidth="1"/>
    <col min="55" max="55" width="3" style="2" customWidth="1"/>
    <col min="56" max="56" width="19.25" style="2" customWidth="1" outlineLevel="1"/>
    <col min="57" max="57" width="19.25" style="2" bestFit="1" customWidth="1"/>
    <col min="58" max="58" width="3" style="2" customWidth="1"/>
    <col min="59" max="59" width="19.25" style="2" customWidth="1" outlineLevel="1"/>
    <col min="60" max="60" width="19.25" style="2"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2" customWidth="1" outlineLevel="1"/>
    <col min="70" max="70" width="17.375" style="2" bestFit="1" customWidth="1"/>
    <col min="71" max="16384" width="9" style="2"/>
  </cols>
  <sheetData>
    <row r="1" spans="1:70" ht="18.75" x14ac:dyDescent="0.15">
      <c r="A1" s="6" t="s">
        <v>60</v>
      </c>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Q1" s="71"/>
      <c r="BR1" s="71"/>
    </row>
    <row r="3" spans="1:70" ht="23.25" x14ac:dyDescent="0.15">
      <c r="B3" s="1" t="s">
        <v>542</v>
      </c>
      <c r="F3" s="732" t="s">
        <v>43</v>
      </c>
      <c r="G3" s="719"/>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Q3" s="71"/>
      <c r="BR3" s="71"/>
    </row>
    <row r="4" spans="1:70" x14ac:dyDescent="0.15">
      <c r="G4" s="472"/>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Q4" s="71"/>
      <c r="BR4" s="71"/>
    </row>
    <row r="5" spans="1:70" ht="15.75" thickBot="1" x14ac:dyDescent="0.2">
      <c r="B5" s="5" t="s">
        <v>543</v>
      </c>
      <c r="C5" s="3"/>
      <c r="D5" s="102"/>
      <c r="E5" s="102"/>
      <c r="F5" s="3"/>
      <c r="G5" s="102"/>
      <c r="I5" s="5" t="s">
        <v>544</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71" t="s">
        <v>545</v>
      </c>
      <c r="F7" s="473">
        <v>2030</v>
      </c>
      <c r="I7" s="8"/>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71" t="s">
        <v>546</v>
      </c>
      <c r="F8" s="474">
        <f>まとめ!B3</f>
        <v>107</v>
      </c>
      <c r="G8" s="84" t="s">
        <v>547</v>
      </c>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71" t="s">
        <v>548</v>
      </c>
      <c r="F9" s="474">
        <f>まとめ!B2</f>
        <v>3</v>
      </c>
      <c r="G9" s="84" t="s">
        <v>549</v>
      </c>
      <c r="I9" s="720" t="s">
        <v>550</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07" t="s">
        <v>118</v>
      </c>
      <c r="AI9" s="707"/>
      <c r="AJ9" s="8"/>
      <c r="AK9" s="707" t="s">
        <v>89</v>
      </c>
      <c r="AL9" s="707"/>
      <c r="AM9" s="8"/>
      <c r="AN9" s="707" t="s">
        <v>90</v>
      </c>
      <c r="AO9" s="707"/>
      <c r="AP9" s="8"/>
      <c r="AQ9" s="707" t="s">
        <v>91</v>
      </c>
      <c r="AR9" s="707"/>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I10" s="708"/>
      <c r="J10" s="71"/>
      <c r="K10" s="708"/>
      <c r="L10" s="71"/>
      <c r="M10" s="708"/>
      <c r="N10" s="71"/>
      <c r="O10" s="717"/>
      <c r="P10" s="717"/>
      <c r="Q10" s="71"/>
      <c r="R10" s="708"/>
      <c r="S10" s="71"/>
      <c r="T10" s="708"/>
      <c r="U10" s="71"/>
      <c r="V10" s="717"/>
      <c r="W10" s="717"/>
      <c r="X10" s="71"/>
      <c r="Y10" s="717"/>
      <c r="Z10" s="717"/>
      <c r="AA10" s="71"/>
      <c r="AB10" s="723"/>
      <c r="AC10" s="723"/>
      <c r="AD10" s="81"/>
      <c r="AE10" s="723"/>
      <c r="AF10" s="723"/>
      <c r="AG10" s="71"/>
      <c r="AH10" s="717"/>
      <c r="AI10" s="717"/>
      <c r="AJ10" s="71"/>
      <c r="AK10" s="717"/>
      <c r="AL10" s="717"/>
      <c r="AM10" s="71"/>
      <c r="AN10" s="717"/>
      <c r="AO10" s="717"/>
      <c r="AP10" s="71"/>
      <c r="AQ10" s="717"/>
      <c r="AR10" s="717"/>
      <c r="AS10" s="71"/>
      <c r="AT10" s="717"/>
      <c r="AU10" s="71"/>
      <c r="AV10" s="717"/>
      <c r="AW10" s="717"/>
      <c r="AX10" s="322"/>
      <c r="AY10" s="708"/>
      <c r="AZ10" s="71"/>
      <c r="BA10" s="708"/>
      <c r="BB10" s="708"/>
      <c r="BC10" s="71"/>
      <c r="BD10" s="717"/>
      <c r="BE10" s="717"/>
      <c r="BF10" s="71"/>
      <c r="BG10" s="717"/>
      <c r="BH10" s="717"/>
      <c r="BJ10" s="708"/>
      <c r="BK10" s="708"/>
      <c r="BL10" s="708"/>
      <c r="BM10" s="322"/>
      <c r="BN10" s="717"/>
      <c r="BO10" s="717"/>
      <c r="BQ10" s="322"/>
      <c r="BR10" s="322"/>
    </row>
    <row r="11" spans="1:70" ht="15.75" customHeight="1" thickBot="1" x14ac:dyDescent="0.2">
      <c r="B11" s="5" t="s">
        <v>95</v>
      </c>
      <c r="C11" s="3"/>
      <c r="D11" s="102"/>
      <c r="E11" s="102"/>
      <c r="F11" s="3"/>
      <c r="G11" s="102"/>
      <c r="J11" s="71"/>
      <c r="K11" s="71"/>
      <c r="L11" s="71"/>
      <c r="M11" s="71"/>
      <c r="N11" s="71"/>
      <c r="O11" s="322" t="s">
        <v>96</v>
      </c>
      <c r="P11" s="322"/>
      <c r="Q11" s="322"/>
      <c r="R11" s="322" t="s">
        <v>96</v>
      </c>
      <c r="S11" s="322"/>
      <c r="T11" s="322"/>
      <c r="U11" s="71"/>
      <c r="V11" s="322"/>
      <c r="W11" s="322"/>
      <c r="X11" s="71"/>
      <c r="Y11" s="322"/>
      <c r="Z11" s="322"/>
      <c r="AA11" s="71"/>
      <c r="AB11" s="322"/>
      <c r="AC11" s="322"/>
      <c r="AD11" s="71"/>
      <c r="AE11" s="322"/>
      <c r="AF11" s="322"/>
      <c r="AG11" s="71"/>
      <c r="AH11" s="322"/>
      <c r="AI11" s="322"/>
      <c r="AJ11" s="71"/>
      <c r="AK11" s="322"/>
      <c r="AL11" s="322"/>
      <c r="AM11" s="71"/>
      <c r="AN11" s="322"/>
      <c r="AO11" s="322"/>
      <c r="AP11" s="71"/>
      <c r="AQ11" s="322"/>
      <c r="AR11" s="322"/>
      <c r="AS11" s="71"/>
      <c r="AT11" s="322"/>
      <c r="AU11" s="71"/>
      <c r="AV11" s="322"/>
      <c r="AW11" s="322"/>
      <c r="AX11" s="322"/>
      <c r="AY11" s="71"/>
      <c r="AZ11" s="71"/>
      <c r="BA11" s="71"/>
      <c r="BB11" s="322"/>
      <c r="BC11" s="71"/>
      <c r="BD11" s="322"/>
      <c r="BE11" s="322"/>
      <c r="BF11" s="71"/>
      <c r="BG11" s="322"/>
      <c r="BH11" s="322"/>
      <c r="BJ11" s="156"/>
      <c r="BM11" s="322"/>
      <c r="BN11" s="322"/>
      <c r="BO11" s="322"/>
      <c r="BQ11" s="322"/>
      <c r="BR11" s="322"/>
    </row>
    <row r="12" spans="1:70" ht="14.25" customHeight="1" x14ac:dyDescent="0.15">
      <c r="J12" s="71"/>
      <c r="K12" s="71"/>
      <c r="L12" s="71"/>
      <c r="M12" s="71"/>
      <c r="N12" s="71"/>
      <c r="O12" s="322"/>
      <c r="P12" s="707" t="s">
        <v>97</v>
      </c>
      <c r="Q12" s="71"/>
      <c r="R12" s="71"/>
      <c r="S12" s="71"/>
      <c r="T12" s="71"/>
      <c r="U12" s="71"/>
      <c r="V12" s="71"/>
      <c r="W12" s="707" t="s">
        <v>98</v>
      </c>
      <c r="X12" s="71"/>
      <c r="Y12" s="71"/>
      <c r="Z12" s="707" t="s">
        <v>98</v>
      </c>
      <c r="AA12" s="71"/>
      <c r="AB12" s="71"/>
      <c r="AC12" s="707" t="s">
        <v>98</v>
      </c>
      <c r="AD12" s="71"/>
      <c r="AE12" s="71"/>
      <c r="AF12" s="707" t="s">
        <v>98</v>
      </c>
      <c r="AG12" s="71"/>
      <c r="AH12" s="71"/>
      <c r="AI12" s="707" t="s">
        <v>98</v>
      </c>
      <c r="AJ12" s="71"/>
      <c r="AK12" s="71"/>
      <c r="AL12" s="707" t="s">
        <v>98</v>
      </c>
      <c r="AM12" s="71"/>
      <c r="AN12" s="71"/>
      <c r="AO12" s="707" t="s">
        <v>98</v>
      </c>
      <c r="AP12" s="71"/>
      <c r="AQ12" s="71"/>
      <c r="AR12" s="707" t="s">
        <v>98</v>
      </c>
      <c r="AS12" s="71"/>
      <c r="AT12" s="71"/>
      <c r="AU12" s="71"/>
      <c r="AV12" s="71"/>
      <c r="AW12" s="707" t="s">
        <v>98</v>
      </c>
      <c r="AX12" s="71"/>
      <c r="AY12" s="71"/>
      <c r="AZ12" s="71"/>
      <c r="BA12" s="71"/>
      <c r="BB12" s="707" t="s">
        <v>98</v>
      </c>
      <c r="BC12" s="71"/>
      <c r="BD12" s="71"/>
      <c r="BE12" s="707" t="s">
        <v>98</v>
      </c>
      <c r="BF12" s="71"/>
      <c r="BG12" s="71"/>
      <c r="BH12" s="707" t="s">
        <v>98</v>
      </c>
      <c r="BJ12" s="709" t="s">
        <v>99</v>
      </c>
      <c r="BK12" s="709" t="s">
        <v>100</v>
      </c>
      <c r="BL12" s="709" t="s">
        <v>101</v>
      </c>
      <c r="BO12" s="709" t="s">
        <v>102</v>
      </c>
      <c r="BQ12" s="71"/>
      <c r="BR12" s="707" t="s">
        <v>103</v>
      </c>
    </row>
    <row r="13" spans="1:70" ht="14.25" customHeight="1" x14ac:dyDescent="0.15">
      <c r="C13" s="71" t="s">
        <v>552</v>
      </c>
      <c r="F13" s="477">
        <v>70</v>
      </c>
      <c r="G13" s="84" t="s">
        <v>553</v>
      </c>
      <c r="J13" s="71"/>
      <c r="K13" s="71"/>
      <c r="L13" s="71"/>
      <c r="M13" s="71"/>
      <c r="N13" s="71"/>
      <c r="O13" s="322"/>
      <c r="P13" s="708"/>
      <c r="Q13" s="322"/>
      <c r="R13" s="322"/>
      <c r="S13" s="322"/>
      <c r="T13" s="322"/>
      <c r="U13" s="71"/>
      <c r="V13" s="322"/>
      <c r="W13" s="708"/>
      <c r="X13" s="71"/>
      <c r="Y13" s="322"/>
      <c r="Z13" s="708"/>
      <c r="AA13" s="71"/>
      <c r="AB13" s="322"/>
      <c r="AC13" s="708"/>
      <c r="AD13" s="71"/>
      <c r="AE13" s="322"/>
      <c r="AF13" s="708"/>
      <c r="AG13" s="71"/>
      <c r="AH13" s="322"/>
      <c r="AI13" s="708"/>
      <c r="AJ13" s="71"/>
      <c r="AK13" s="322"/>
      <c r="AL13" s="708"/>
      <c r="AM13" s="71"/>
      <c r="AN13" s="322"/>
      <c r="AO13" s="708"/>
      <c r="AP13" s="71"/>
      <c r="AQ13" s="322"/>
      <c r="AR13" s="708"/>
      <c r="AS13" s="71"/>
      <c r="AT13" s="322"/>
      <c r="AU13" s="71"/>
      <c r="AV13" s="322"/>
      <c r="AW13" s="708"/>
      <c r="AX13" s="71"/>
      <c r="AY13" s="71"/>
      <c r="AZ13" s="71"/>
      <c r="BA13" s="71"/>
      <c r="BB13" s="708"/>
      <c r="BC13" s="71"/>
      <c r="BD13" s="322"/>
      <c r="BE13" s="708"/>
      <c r="BF13" s="71"/>
      <c r="BG13" s="322"/>
      <c r="BH13" s="708"/>
      <c r="BJ13" s="712"/>
      <c r="BK13" s="710"/>
      <c r="BL13" s="708"/>
      <c r="BM13" s="322"/>
      <c r="BO13" s="708"/>
      <c r="BQ13" s="322"/>
      <c r="BR13" s="708"/>
    </row>
    <row r="14" spans="1:70" ht="16.5" x14ac:dyDescent="0.15">
      <c r="C14" s="71" t="s">
        <v>554</v>
      </c>
      <c r="F14" s="474">
        <f>VLOOKUP(F3&amp;IF(G4&lt;&gt;"","_"&amp;G4,""),まとめ!$A$12:$G$34,IF(F7=2030,4,IF(F7=2020,3,IF(F7=2014,2,"-"))),0)</f>
        <v>70</v>
      </c>
      <c r="G14" s="84" t="s">
        <v>549</v>
      </c>
      <c r="J14" s="71"/>
      <c r="K14" s="71"/>
      <c r="L14" s="71"/>
      <c r="M14" s="71"/>
      <c r="N14" s="71"/>
      <c r="O14" s="322"/>
      <c r="P14" s="322"/>
      <c r="Q14" s="322"/>
      <c r="R14" s="322"/>
      <c r="S14" s="322"/>
      <c r="T14" s="322"/>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50" t="s">
        <v>104</v>
      </c>
      <c r="AU14" s="71"/>
      <c r="AV14" s="71"/>
      <c r="AW14" s="71"/>
      <c r="AX14" s="71"/>
      <c r="AY14" s="71" t="s">
        <v>105</v>
      </c>
      <c r="AZ14" s="71"/>
      <c r="BA14" s="71"/>
      <c r="BB14" s="71"/>
      <c r="BC14" s="71"/>
      <c r="BD14" s="71"/>
      <c r="BE14" s="71"/>
      <c r="BF14" s="71"/>
      <c r="BG14" s="71"/>
      <c r="BH14" s="71"/>
      <c r="BQ14" s="71"/>
      <c r="BR14" s="71"/>
    </row>
    <row r="15" spans="1:70" x14ac:dyDescent="0.15">
      <c r="C15" s="71" t="s">
        <v>555</v>
      </c>
      <c r="F15" s="474">
        <f>VLOOKUP(F3&amp;IF(G4&lt;&gt;"","_"&amp;G4,""),まとめ!$A$12:$G$34,IF(F7=2030,7,IF(F7=2020,6,IF(F7=2014,5,"-"))),0)</f>
        <v>40</v>
      </c>
      <c r="G15" s="84" t="s">
        <v>556</v>
      </c>
      <c r="I15" s="38">
        <f>F7</f>
        <v>2030</v>
      </c>
      <c r="J15" s="39"/>
      <c r="K15" s="39">
        <f>IF(I15&lt;&gt;"",1,"")</f>
        <v>1</v>
      </c>
      <c r="L15" s="39"/>
      <c r="M15" s="40">
        <f t="shared" ref="M15:M78" si="0">1/(1+($F$9/100))^K15</f>
        <v>0.970873786407767</v>
      </c>
      <c r="N15" s="39"/>
      <c r="O15" s="72">
        <f>F117</f>
        <v>178500000000</v>
      </c>
      <c r="P15" s="41">
        <f t="shared" ref="P15:P46" si="1">IF(K15&lt;=$F$15,IF(OR(P14=$F$124,P14="-"),"-",IF(O15*$F$123&gt;$F$127,$F$123,$F$124)),"")</f>
        <v>0.16700000000000001</v>
      </c>
      <c r="Q15" s="39"/>
      <c r="R15" s="72">
        <f>F117</f>
        <v>178500000000</v>
      </c>
      <c r="S15" s="39"/>
      <c r="T15" s="72">
        <f>IF(ISNUMBER(R15),ROUNDDOWN(R15,-3),"")</f>
        <v>178500000000</v>
      </c>
      <c r="U15" s="39"/>
      <c r="V15" s="72">
        <f t="shared" ref="V15:V46" si="2">IF(K15&lt;=$F$15,IF(K15&lt;$F$119,IF(P15="-",V14,O15*P15),IF(K15=$F$119,MIN(IF(P15="-",V14,O15*P15),O15),0)),"")</f>
        <v>29809500000</v>
      </c>
      <c r="W15" s="72">
        <f>IF(ISNUMBER(V15),V15*$M15,"")</f>
        <v>28941262135.922329</v>
      </c>
      <c r="X15" s="39"/>
      <c r="Y15" s="72">
        <f t="shared" ref="Y15:Y46" si="3">IF($K15&lt;=$F$15,ROUNDDOWN(T15*$F$25/100,-2),"")</f>
        <v>2499000000</v>
      </c>
      <c r="Z15" s="72">
        <f>IF(ISNUMBER(Y15),Y15*$M15,"")</f>
        <v>2426213592.2330098</v>
      </c>
      <c r="AA15" s="39"/>
      <c r="AB15" s="72">
        <f t="shared" ref="AB15:AB78" si="4">IF($K15&lt;=$F$15,0,IF(AND($K15&gt;$F$15,$K15&lt;=$F$15+$F$28),$F$27*10^8/$F$28,""))</f>
        <v>0</v>
      </c>
      <c r="AC15" s="72">
        <f>IF(ISNUMBER(AB15),AB15*$M15,"")</f>
        <v>0</v>
      </c>
      <c r="AD15" s="39"/>
      <c r="AE15" s="72">
        <f t="shared" ref="AE15:AE46" si="5">IF($K15&lt;=$F$15,$F$26,"")</f>
        <v>0</v>
      </c>
      <c r="AF15" s="72">
        <f>IF(ISNUMBER(AE15),AE15*$M15,"")</f>
        <v>0</v>
      </c>
      <c r="AG15" s="39"/>
      <c r="AH15" s="72">
        <f t="shared" ref="AH15:AH46" si="6">IF($K15&lt;=$F$15,$F$33*10^8,"")</f>
        <v>440000000.00000006</v>
      </c>
      <c r="AI15" s="72">
        <f>IF(ISNUMBER(AH15),AH15*$M15,"")</f>
        <v>427184466.01941752</v>
      </c>
      <c r="AJ15" s="39"/>
      <c r="AK15" s="72">
        <f t="shared" ref="AK15:AK46" si="7">IF($K15&lt;=$F$15,$F$117*$F$34/100,"")</f>
        <v>4284000000</v>
      </c>
      <c r="AL15" s="72">
        <f>IF(ISNUMBER(AK15),AK15*$M15,"")</f>
        <v>4159223300.9708738</v>
      </c>
      <c r="AM15" s="39"/>
      <c r="AN15" s="72">
        <f t="shared" ref="AN15:AN46" si="8">IF($K15&lt;=$F$15,$F$117*$F$35/100,"")</f>
        <v>3927000000.0000005</v>
      </c>
      <c r="AO15" s="72">
        <f>IF(ISNUMBER(AN15),AN15*$M15,"")</f>
        <v>3812621359.2233014</v>
      </c>
      <c r="AP15" s="39"/>
      <c r="AQ15" s="72">
        <f t="shared" ref="AQ15:AQ46" si="9">IF($K15&lt;=$F$15,SUM(AH15,AK15,AN15)*($F$36/100),"")</f>
        <v>1055422000</v>
      </c>
      <c r="AR15" s="72">
        <f>IF(ISNUMBER(AQ15),AQ15*$M15,"")</f>
        <v>1024681553.3980583</v>
      </c>
      <c r="AS15" s="39"/>
      <c r="AT15" s="40">
        <f>IF($K15&lt;=$F$15,IF($F$40&lt;&gt;"",$F$40/1000,IF(ISERROR(VLOOKUP($F$3&amp;IF($G$4&lt;&gt;"",$G$4,"")&amp;IF($F$43&lt;&gt;"","_"&amp;$F$43,""),'表3）燃料価格'!$AF$9:$AG$25,2,0)),0,VLOOKUP($I15,'表3）燃料価格'!$A$6:$U$66,VLOOKUP($F$3&amp;IF($G$4&lt;&gt;"",$G$4,"")&amp;IF($F$43&lt;&gt;"","_"&amp;$F$43,""),'表3）燃料価格'!$AF$9:$AG$25,2,0)+VLOOKUP($F$41,'表3）燃料価格'!$AF$28:$AG$29,2,0),0)*IF($F$43="需要地価格",1,$F$8/$F$141))),"")</f>
        <v>10.925606999999999</v>
      </c>
      <c r="AU15" s="39"/>
      <c r="AV15" s="72">
        <f t="shared" ref="AV15:AV46" si="10">IF($K15&lt;=$F$15,($AT15+$F$142)*$F$137,"")</f>
        <v>17963955023.675591</v>
      </c>
      <c r="AW15" s="72">
        <f t="shared" ref="AW15:AW78" si="11">IF(ISNUMBER(AV15),AV15*$M15,"")</f>
        <v>17440733032.694748</v>
      </c>
      <c r="AX15" s="39"/>
      <c r="AY15" s="40">
        <f>IF(ISERROR(IF($K15&lt;=$F$15,VLOOKUP($I15,'表4）CO2価格'!$A$7:$E$67,VLOOKUP($F$48,'表4）CO2価格'!$H$10:$I$12,2,0),0)*$F$8/1000,"")),0,IF($K15&lt;=$F$15,VLOOKUP($I15,'表4）CO2価格'!$A$7:$E$67,VLOOKUP($F$48,'表4）CO2価格'!$H$10:$I$12,2,0),0)*$F$8/1000,""))</f>
        <v>4.28</v>
      </c>
      <c r="AZ15" s="39"/>
      <c r="BA15" s="42">
        <f t="shared" ref="BA15:BA46" si="12">IF($K15&lt;=$F$15,$F$145*AY15,"")</f>
        <v>13189550146.012083</v>
      </c>
      <c r="BB15" s="72">
        <f>IF(ISNUMBER(BA15),BA15*$M15,"")</f>
        <v>12805388491.273867</v>
      </c>
      <c r="BC15" s="39"/>
      <c r="BD15" s="72">
        <f t="shared" ref="BD15:BD46" si="13">IF($K15&lt;=$F$15,($AT15+$F$152)*$F$151,"")</f>
        <v>0</v>
      </c>
      <c r="BE15" s="72">
        <f>IF(ISNUMBER(BD15),BD15*$M15,"")</f>
        <v>0</v>
      </c>
      <c r="BF15" s="39"/>
      <c r="BG15" s="42">
        <f t="shared" ref="BG15:BG46" si="14">IF($K15&lt;=$F$15,$F$153*AY15,"")</f>
        <v>0</v>
      </c>
      <c r="BH15" s="72">
        <f>IF(ISNUMBER(BG15),BG15*$M15,"")</f>
        <v>0</v>
      </c>
      <c r="BI15" s="39"/>
      <c r="BJ15" s="40"/>
      <c r="BK15" s="157"/>
      <c r="BL15" s="157"/>
      <c r="BM15" s="72"/>
      <c r="BN15" s="72">
        <f>IF(AND(ISNUMBER($F$16),$K15&lt;=$F$16),BQ15*('バイオマス（木質専焼）（2030年）'!$O$15+'バイオマス（木質専焼）（2030年）'!$BK$116)/'バイオマス（木質専焼）（2030年）'!$BL$116,"")</f>
        <v>129668679369.96863</v>
      </c>
      <c r="BO15" s="72">
        <f>IF(ISNUMBER(BN15),BN15*$M15,"")</f>
        <v>125891921718.41614</v>
      </c>
      <c r="BP15" s="39"/>
      <c r="BQ15" s="72">
        <f t="shared" ref="BQ15:BQ46" si="15">IF($K15&lt;=$F$15,$F$134,"")</f>
        <v>4056318000</v>
      </c>
      <c r="BR15" s="72">
        <f>IF(ISNUMBER(BQ15),BQ15*$M15,"")</f>
        <v>3938172815.5339808</v>
      </c>
    </row>
    <row r="16" spans="1:70" x14ac:dyDescent="0.15">
      <c r="C16" s="184" t="s">
        <v>107</v>
      </c>
      <c r="F16" s="474">
        <f>'バイオマス（木質専焼）（2030年）'!F16</f>
        <v>20</v>
      </c>
      <c r="G16" s="84" t="s">
        <v>556</v>
      </c>
      <c r="I16" s="457">
        <f>I15+1</f>
        <v>2031</v>
      </c>
      <c r="J16" s="71"/>
      <c r="K16" s="71">
        <f>IF(I16&lt;&gt;"",K15+1,"")</f>
        <v>2</v>
      </c>
      <c r="L16" s="71"/>
      <c r="M16" s="7">
        <f t="shared" si="0"/>
        <v>0.94259590913375435</v>
      </c>
      <c r="N16" s="71"/>
      <c r="O16" s="10">
        <f t="shared" ref="O16:O79" si="16">IF(K16&lt;=$F$15,O15-V15,"")</f>
        <v>148690500000</v>
      </c>
      <c r="P16" s="29">
        <f t="shared" si="1"/>
        <v>0.16700000000000001</v>
      </c>
      <c r="Q16" s="71"/>
      <c r="R16" s="10">
        <f t="shared" ref="R16:R47" si="17">IF($K16&lt;=$F$15,MAX($F$117*5%,R15*$F$129),"")</f>
        <v>153098717898.47461</v>
      </c>
      <c r="S16" s="71"/>
      <c r="T16" s="10">
        <f t="shared" ref="T16:T79" si="18">IF(ISNUMBER(R16),ROUNDDOWN(R16,-3),"")</f>
        <v>153098717000</v>
      </c>
      <c r="U16" s="71"/>
      <c r="V16" s="10">
        <f t="shared" si="2"/>
        <v>24831313500</v>
      </c>
      <c r="W16" s="10">
        <f t="shared" ref="W16:W79" si="19">IF(ISNUMBER(V16),V16*$M16,"")</f>
        <v>23405894523.517769</v>
      </c>
      <c r="X16" s="71"/>
      <c r="Y16" s="10">
        <f t="shared" si="3"/>
        <v>2143382000</v>
      </c>
      <c r="Z16" s="10">
        <f t="shared" ref="Z16:Z79" si="20">IF(ISNUMBER(Y16),Y16*$M16,"")</f>
        <v>2020343104.9109247</v>
      </c>
      <c r="AA16" s="71"/>
      <c r="AB16" s="10">
        <f t="shared" si="4"/>
        <v>0</v>
      </c>
      <c r="AC16" s="10">
        <f t="shared" ref="AC16:AC79" si="21">IF(ISNUMBER(AB16),AB16*$M16,"")</f>
        <v>0</v>
      </c>
      <c r="AD16" s="71"/>
      <c r="AE16" s="10">
        <f t="shared" si="5"/>
        <v>0</v>
      </c>
      <c r="AF16" s="10">
        <f t="shared" ref="AF16:AF79" si="22">IF(ISNUMBER(AE16),AE16*$M16,"")</f>
        <v>0</v>
      </c>
      <c r="AG16" s="71"/>
      <c r="AH16" s="10">
        <f t="shared" si="6"/>
        <v>440000000.00000006</v>
      </c>
      <c r="AI16" s="10">
        <f t="shared" ref="AI16:AI79" si="23">IF(ISNUMBER(AH16),AH16*$M16,"")</f>
        <v>414742200.018852</v>
      </c>
      <c r="AJ16" s="71"/>
      <c r="AK16" s="10">
        <f t="shared" si="7"/>
        <v>4284000000</v>
      </c>
      <c r="AL16" s="10">
        <f t="shared" ref="AL16:AL79" si="24">IF(ISNUMBER(AK16),AK16*$M16,"")</f>
        <v>4038080874.7290034</v>
      </c>
      <c r="AM16" s="71"/>
      <c r="AN16" s="10">
        <f t="shared" si="8"/>
        <v>3927000000.0000005</v>
      </c>
      <c r="AO16" s="10">
        <f t="shared" ref="AO16:AO79" si="25">IF(ISNUMBER(AN16),AN16*$M16,"")</f>
        <v>3701574135.1682539</v>
      </c>
      <c r="AP16" s="71"/>
      <c r="AQ16" s="10">
        <f t="shared" si="9"/>
        <v>1055422000</v>
      </c>
      <c r="AR16" s="10">
        <f t="shared" ref="AR16:AR79" si="26">IF(ISNUMBER(AQ16),AQ16*$M16,"")</f>
        <v>994836459.60976529</v>
      </c>
      <c r="AS16" s="71"/>
      <c r="AT16" s="7">
        <f>IF($K16&lt;=$F$15,IF($F$40&lt;&gt;"",$F$40/1000,IF(ISERROR(VLOOKUP($F$3&amp;IF($G$4&lt;&gt;"",$G$4,"")&amp;IF($F$43&lt;&gt;"","_"&amp;$F$43,""),'表3）燃料価格'!$AF$9:$AG$25,2,0)),0,VLOOKUP($I16,'表3）燃料価格'!$A$6:$U$66,VLOOKUP($F$3&amp;IF($G$4&lt;&gt;"",$G$4,"")&amp;IF($F$43&lt;&gt;"","_"&amp;$F$43,""),'表3）燃料価格'!$AF$9:$AG$25,2,0)+VLOOKUP($F$41,'表3）燃料価格'!$AF$28:$AG$29,2,0),0)*IF($F$43="需要地価格",1,$F$8/$F$141))),"")</f>
        <v>10.925606999999999</v>
      </c>
      <c r="AU16" s="71"/>
      <c r="AV16" s="10">
        <f t="shared" si="10"/>
        <v>17963955023.675591</v>
      </c>
      <c r="AW16" s="10">
        <f t="shared" si="11"/>
        <v>16932750517.179367</v>
      </c>
      <c r="AX16" s="71"/>
      <c r="AY16" s="7">
        <f>IF(ISERROR(IF($K16&lt;=$F$15,VLOOKUP($I16,'表4）CO2価格'!$A$7:$E$67,VLOOKUP($F$48,'表4）CO2価格'!$H$10:$I$12,2,0),0)*$F$8/1000,"")),0,IF($K16&lt;=$F$15,VLOOKUP($I16,'表4）CO2価格'!$A$7:$E$67,VLOOKUP($F$48,'表4）CO2価格'!$H$10:$I$12,2,0),0)*$F$8/1000,""))</f>
        <v>4.4083999999999808</v>
      </c>
      <c r="AZ16" s="71"/>
      <c r="BA16" s="11">
        <f t="shared" si="12"/>
        <v>13585236650.392385</v>
      </c>
      <c r="BB16" s="10">
        <f t="shared" ref="BB16:BB79" si="27">IF(ISNUMBER(BA16),BA16*$M16,"")</f>
        <v>12805388491.273809</v>
      </c>
      <c r="BC16" s="71"/>
      <c r="BD16" s="10">
        <f t="shared" si="13"/>
        <v>0</v>
      </c>
      <c r="BE16" s="10">
        <f t="shared" ref="BE16:BE79" si="28">IF(ISNUMBER(BD16),BD16*$M16,"")</f>
        <v>0</v>
      </c>
      <c r="BF16" s="71"/>
      <c r="BG16" s="11">
        <f t="shared" si="14"/>
        <v>0</v>
      </c>
      <c r="BH16" s="10">
        <f t="shared" ref="BH16:BH79" si="29">IF(ISNUMBER(BG16),BG16*$M16,"")</f>
        <v>0</v>
      </c>
      <c r="BJ16" s="7"/>
      <c r="BK16" s="158"/>
      <c r="BL16" s="158"/>
      <c r="BM16" s="10"/>
      <c r="BN16" s="10">
        <f>IF(AND(ISNUMBER($F$16),$K16&lt;=$F$16),BQ16*('バイオマス（木質専焼）（2030年）'!$O$15+'バイオマス（木質専焼）（2030年）'!$BK$116)/'バイオマス（木質専焼）（2030年）'!$BL$116,"")</f>
        <v>129668679369.96863</v>
      </c>
      <c r="BO16" s="10">
        <f t="shared" ref="BO16:BO79" si="30">IF(ISNUMBER(BN16),BN16*$M16,"")</f>
        <v>122225166716.90887</v>
      </c>
      <c r="BQ16" s="10">
        <f t="shared" si="15"/>
        <v>4056318000</v>
      </c>
      <c r="BR16" s="10">
        <f t="shared" ref="BR16:BR79" si="31">IF(ISNUMBER(BQ16),BQ16*$M16,"")</f>
        <v>3823468752.945612</v>
      </c>
    </row>
    <row r="17" spans="3:70" x14ac:dyDescent="0.15">
      <c r="C17" s="71" t="s">
        <v>109</v>
      </c>
      <c r="F17" s="476" t="str">
        <f>IF(ISERROR(VLOOKUP(F3&amp;IF(G4&lt;&gt;"","_"&amp;G4,""),'表7）買取期間・IRR'!$A$14:$C$21,1,0)),"",VLOOKUP(F3&amp;IF(G4&lt;&gt;"","_"&amp;G4,""),'表7）買取期間・IRR'!$A$14:$C$21,IF(F7=2030,3,IF(F7=2020,2,"-")),0))</f>
        <v/>
      </c>
      <c r="G17" s="84" t="s">
        <v>549</v>
      </c>
      <c r="I17" s="38">
        <f t="shared" ref="I17:I80" si="32">I16+1</f>
        <v>2032</v>
      </c>
      <c r="J17" s="39"/>
      <c r="K17" s="39">
        <f t="shared" ref="K17:K80" si="33">IF(I17&lt;&gt;"",K16+1,"")</f>
        <v>3</v>
      </c>
      <c r="L17" s="39"/>
      <c r="M17" s="40">
        <f t="shared" si="0"/>
        <v>0.91514165935315961</v>
      </c>
      <c r="N17" s="39"/>
      <c r="O17" s="72">
        <f t="shared" si="16"/>
        <v>123859186500</v>
      </c>
      <c r="P17" s="41">
        <f t="shared" si="1"/>
        <v>0.16700000000000001</v>
      </c>
      <c r="Q17" s="39"/>
      <c r="R17" s="72">
        <f t="shared" si="17"/>
        <v>131312142421.04599</v>
      </c>
      <c r="S17" s="39"/>
      <c r="T17" s="72">
        <f t="shared" si="18"/>
        <v>131312142000</v>
      </c>
      <c r="U17" s="39"/>
      <c r="V17" s="72">
        <f t="shared" si="2"/>
        <v>20684484145.5</v>
      </c>
      <c r="W17" s="72">
        <f t="shared" si="19"/>
        <v>18929233143.776993</v>
      </c>
      <c r="X17" s="39"/>
      <c r="Y17" s="72">
        <f t="shared" si="3"/>
        <v>1838369900</v>
      </c>
      <c r="Z17" s="72">
        <f t="shared" si="20"/>
        <v>1682368880.7909021</v>
      </c>
      <c r="AA17" s="39"/>
      <c r="AB17" s="72">
        <f t="shared" si="4"/>
        <v>0</v>
      </c>
      <c r="AC17" s="72">
        <f t="shared" si="21"/>
        <v>0</v>
      </c>
      <c r="AD17" s="39"/>
      <c r="AE17" s="72">
        <f t="shared" si="5"/>
        <v>0</v>
      </c>
      <c r="AF17" s="72">
        <f t="shared" si="22"/>
        <v>0</v>
      </c>
      <c r="AG17" s="39"/>
      <c r="AH17" s="72">
        <f t="shared" si="6"/>
        <v>440000000.00000006</v>
      </c>
      <c r="AI17" s="72">
        <f t="shared" si="23"/>
        <v>402662330.1153903</v>
      </c>
      <c r="AJ17" s="39"/>
      <c r="AK17" s="72">
        <f t="shared" si="7"/>
        <v>4284000000</v>
      </c>
      <c r="AL17" s="72">
        <f t="shared" si="24"/>
        <v>3920466868.6689358</v>
      </c>
      <c r="AM17" s="39"/>
      <c r="AN17" s="72">
        <f t="shared" si="8"/>
        <v>3927000000.0000005</v>
      </c>
      <c r="AO17" s="72">
        <f t="shared" si="25"/>
        <v>3593761296.2798581</v>
      </c>
      <c r="AP17" s="39"/>
      <c r="AQ17" s="72">
        <f t="shared" si="9"/>
        <v>1055422000</v>
      </c>
      <c r="AR17" s="72">
        <f t="shared" si="26"/>
        <v>965860640.39783037</v>
      </c>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10.925606999999999</v>
      </c>
      <c r="AU17" s="39"/>
      <c r="AV17" s="72">
        <f t="shared" si="10"/>
        <v>17963955023.675591</v>
      </c>
      <c r="AW17" s="72">
        <f t="shared" si="11"/>
        <v>16439563608.912008</v>
      </c>
      <c r="AX17" s="39"/>
      <c r="AY17" s="40">
        <f>IF(ISERROR(IF($K17&lt;=$F$15,VLOOKUP($I17,'表4）CO2価格'!$A$7:$E$67,VLOOKUP($F$48,'表4）CO2価格'!$H$10:$I$12,2,0),0)*$F$8/1000,"")),0,IF($K17&lt;=$F$15,VLOOKUP($I17,'表4）CO2価格'!$A$7:$E$67,VLOOKUP($F$48,'表4）CO2価格'!$H$10:$I$12,2,0),0)*$F$8/1000,""))</f>
        <v>4.5368000000000102</v>
      </c>
      <c r="AZ17" s="39"/>
      <c r="BA17" s="42">
        <f t="shared" si="12"/>
        <v>13980923154.772839</v>
      </c>
      <c r="BB17" s="72">
        <f t="shared" si="27"/>
        <v>12794525215.147827</v>
      </c>
      <c r="BC17" s="39"/>
      <c r="BD17" s="72">
        <f t="shared" si="13"/>
        <v>0</v>
      </c>
      <c r="BE17" s="72">
        <f t="shared" si="28"/>
        <v>0</v>
      </c>
      <c r="BF17" s="39"/>
      <c r="BG17" s="42">
        <f t="shared" si="14"/>
        <v>0</v>
      </c>
      <c r="BH17" s="72">
        <f t="shared" si="29"/>
        <v>0</v>
      </c>
      <c r="BI17" s="39"/>
      <c r="BJ17" s="40"/>
      <c r="BK17" s="157"/>
      <c r="BL17" s="157"/>
      <c r="BM17" s="72"/>
      <c r="BN17" s="72">
        <f>IF(AND(ISNUMBER($F$16),$K17&lt;=$F$16),BQ17*('バイオマス（木質専焼）（2030年）'!$O$15+'バイオマス（木質専焼）（2030年）'!$BK$116)/'バイオマス（木質専焼）（2030年）'!$BL$116,"")</f>
        <v>129668679369.96863</v>
      </c>
      <c r="BO17" s="72">
        <f t="shared" si="30"/>
        <v>118665210404.7659</v>
      </c>
      <c r="BP17" s="39"/>
      <c r="BQ17" s="72">
        <f t="shared" si="15"/>
        <v>4056318000</v>
      </c>
      <c r="BR17" s="72">
        <f t="shared" si="31"/>
        <v>3712105585.3840895</v>
      </c>
    </row>
    <row r="18" spans="3:70" x14ac:dyDescent="0.15">
      <c r="I18" s="457">
        <f t="shared" si="32"/>
        <v>2033</v>
      </c>
      <c r="J18" s="71"/>
      <c r="K18" s="71">
        <f t="shared" si="33"/>
        <v>4</v>
      </c>
      <c r="L18" s="71"/>
      <c r="M18" s="7">
        <f t="shared" si="0"/>
        <v>0.888487047915689</v>
      </c>
      <c r="N18" s="71"/>
      <c r="O18" s="10">
        <f t="shared" si="16"/>
        <v>103174702354.5</v>
      </c>
      <c r="P18" s="29">
        <f t="shared" si="1"/>
        <v>0.16700000000000001</v>
      </c>
      <c r="Q18" s="71"/>
      <c r="R18" s="10">
        <f t="shared" si="17"/>
        <v>112625885989.71451</v>
      </c>
      <c r="S18" s="71"/>
      <c r="T18" s="10">
        <f t="shared" si="18"/>
        <v>112625885000</v>
      </c>
      <c r="U18" s="71"/>
      <c r="V18" s="10">
        <f t="shared" si="2"/>
        <v>17230175293.2015</v>
      </c>
      <c r="W18" s="10">
        <f t="shared" si="19"/>
        <v>15308787581.326443</v>
      </c>
      <c r="X18" s="71"/>
      <c r="Y18" s="10">
        <f t="shared" si="3"/>
        <v>1576762300</v>
      </c>
      <c r="Z18" s="10">
        <f t="shared" si="20"/>
        <v>1400932881.191752</v>
      </c>
      <c r="AA18" s="71"/>
      <c r="AB18" s="10">
        <f t="shared" si="4"/>
        <v>0</v>
      </c>
      <c r="AC18" s="10">
        <f t="shared" si="21"/>
        <v>0</v>
      </c>
      <c r="AD18" s="71"/>
      <c r="AE18" s="10">
        <f t="shared" si="5"/>
        <v>0</v>
      </c>
      <c r="AF18" s="10">
        <f t="shared" si="22"/>
        <v>0</v>
      </c>
      <c r="AG18" s="71"/>
      <c r="AH18" s="10">
        <f t="shared" si="6"/>
        <v>440000000.00000006</v>
      </c>
      <c r="AI18" s="10">
        <f t="shared" si="23"/>
        <v>390934301.08290321</v>
      </c>
      <c r="AJ18" s="71"/>
      <c r="AK18" s="10">
        <f t="shared" si="7"/>
        <v>4284000000</v>
      </c>
      <c r="AL18" s="10">
        <f t="shared" si="24"/>
        <v>3806278513.2708116</v>
      </c>
      <c r="AM18" s="71"/>
      <c r="AN18" s="10">
        <f t="shared" si="8"/>
        <v>3927000000.0000005</v>
      </c>
      <c r="AO18" s="10">
        <f t="shared" si="25"/>
        <v>3489088637.1649113</v>
      </c>
      <c r="AP18" s="71"/>
      <c r="AQ18" s="10">
        <f t="shared" si="9"/>
        <v>1055422000</v>
      </c>
      <c r="AR18" s="10">
        <f t="shared" si="26"/>
        <v>937728777.08527231</v>
      </c>
      <c r="AS18" s="71"/>
      <c r="AT18" s="7">
        <f>IF($K18&lt;=$F$15,IF($F$40&lt;&gt;"",$F$40/1000,IF(ISERROR(VLOOKUP($F$3&amp;IF($G$4&lt;&gt;"",$G$4,"")&amp;IF($F$43&lt;&gt;"","_"&amp;$F$43,""),'表3）燃料価格'!$AF$9:$AG$25,2,0)),0,VLOOKUP($I18,'表3）燃料価格'!$A$6:$U$66,VLOOKUP($F$3&amp;IF($G$4&lt;&gt;"",$G$4,"")&amp;IF($F$43&lt;&gt;"","_"&amp;$F$43,""),'表3）燃料価格'!$AF$9:$AG$25,2,0)+VLOOKUP($F$41,'表3）燃料価格'!$AF$28:$AG$29,2,0),0)*IF($F$43="需要地価格",1,$F$8/$F$141))),"")</f>
        <v>10.925606999999999</v>
      </c>
      <c r="AU18" s="71"/>
      <c r="AV18" s="10">
        <f t="shared" si="10"/>
        <v>17963955023.675591</v>
      </c>
      <c r="AW18" s="10">
        <f t="shared" si="11"/>
        <v>15960741367.875736</v>
      </c>
      <c r="AX18" s="71"/>
      <c r="AY18" s="7">
        <f>IF(ISERROR(IF($K18&lt;=$F$15,VLOOKUP($I18,'表4）CO2価格'!$A$7:$E$67,VLOOKUP($F$48,'表4）CO2価格'!$H$10:$I$12,2,0),0)*$F$8/1000,"")),0,IF($K18&lt;=$F$15,VLOOKUP($I18,'表4）CO2価格'!$A$7:$E$67,VLOOKUP($F$48,'表4）CO2価格'!$H$10:$I$12,2,0),0)*$F$8/1000,""))</f>
        <v>4.6651999999999898</v>
      </c>
      <c r="AZ18" s="71"/>
      <c r="BA18" s="11">
        <f t="shared" si="12"/>
        <v>14376609659.153139</v>
      </c>
      <c r="BB18" s="10">
        <f t="shared" si="27"/>
        <v>12773431475.097153</v>
      </c>
      <c r="BC18" s="71"/>
      <c r="BD18" s="10">
        <f t="shared" si="13"/>
        <v>0</v>
      </c>
      <c r="BE18" s="10">
        <f t="shared" si="28"/>
        <v>0</v>
      </c>
      <c r="BF18" s="71"/>
      <c r="BG18" s="11">
        <f t="shared" si="14"/>
        <v>0</v>
      </c>
      <c r="BH18" s="10">
        <f t="shared" si="29"/>
        <v>0</v>
      </c>
      <c r="BJ18" s="7"/>
      <c r="BK18" s="158"/>
      <c r="BL18" s="158"/>
      <c r="BM18" s="10"/>
      <c r="BN18" s="10">
        <f>IF(AND(ISNUMBER($F$16),$K18&lt;=$F$16),BQ18*('バイオマス（木質専焼）（2030年）'!$O$15+'バイオマス（木質専焼）（2030年）'!$BK$116)/'バイオマス（木質専焼）（2030年）'!$BL$116,"")</f>
        <v>129668679369.96863</v>
      </c>
      <c r="BO18" s="10">
        <f t="shared" si="30"/>
        <v>115208942140.54942</v>
      </c>
      <c r="BQ18" s="10">
        <f t="shared" si="15"/>
        <v>4056318000</v>
      </c>
      <c r="BR18" s="10">
        <f t="shared" si="31"/>
        <v>3603986005.2272716</v>
      </c>
    </row>
    <row r="19" spans="3:70" x14ac:dyDescent="0.15">
      <c r="C19" s="4" t="s">
        <v>557</v>
      </c>
      <c r="D19" s="100"/>
      <c r="E19" s="100"/>
      <c r="F19" s="4"/>
      <c r="G19" s="100"/>
      <c r="I19" s="38">
        <f t="shared" si="32"/>
        <v>2034</v>
      </c>
      <c r="J19" s="39"/>
      <c r="K19" s="39">
        <f t="shared" si="33"/>
        <v>5</v>
      </c>
      <c r="L19" s="39"/>
      <c r="M19" s="40">
        <f t="shared" si="0"/>
        <v>0.86260878438416411</v>
      </c>
      <c r="N19" s="39"/>
      <c r="O19" s="72">
        <f t="shared" si="16"/>
        <v>85944527061.298492</v>
      </c>
      <c r="P19" s="41">
        <f t="shared" si="1"/>
        <v>0.16700000000000001</v>
      </c>
      <c r="Q19" s="39"/>
      <c r="R19" s="72">
        <f t="shared" si="17"/>
        <v>96598760488.543777</v>
      </c>
      <c r="S19" s="39"/>
      <c r="T19" s="72">
        <f t="shared" si="18"/>
        <v>96598760000</v>
      </c>
      <c r="U19" s="39"/>
      <c r="V19" s="72">
        <f t="shared" si="2"/>
        <v>14352736019.236849</v>
      </c>
      <c r="W19" s="72">
        <f t="shared" si="19"/>
        <v>12380796170.140705</v>
      </c>
      <c r="X19" s="39"/>
      <c r="Y19" s="72">
        <f t="shared" si="3"/>
        <v>1352382600</v>
      </c>
      <c r="Z19" s="72">
        <f t="shared" si="20"/>
        <v>1166577110.6082952</v>
      </c>
      <c r="AA19" s="39"/>
      <c r="AB19" s="72">
        <f t="shared" si="4"/>
        <v>0</v>
      </c>
      <c r="AC19" s="72">
        <f t="shared" si="21"/>
        <v>0</v>
      </c>
      <c r="AD19" s="39"/>
      <c r="AE19" s="72">
        <f t="shared" si="5"/>
        <v>0</v>
      </c>
      <c r="AF19" s="72">
        <f t="shared" si="22"/>
        <v>0</v>
      </c>
      <c r="AG19" s="39"/>
      <c r="AH19" s="72">
        <f t="shared" si="6"/>
        <v>440000000.00000006</v>
      </c>
      <c r="AI19" s="72">
        <f t="shared" si="23"/>
        <v>379547865.12903225</v>
      </c>
      <c r="AJ19" s="39"/>
      <c r="AK19" s="72">
        <f t="shared" si="7"/>
        <v>4284000000</v>
      </c>
      <c r="AL19" s="72">
        <f t="shared" si="24"/>
        <v>3695416032.3017592</v>
      </c>
      <c r="AM19" s="39"/>
      <c r="AN19" s="72">
        <f t="shared" si="8"/>
        <v>3927000000.0000005</v>
      </c>
      <c r="AO19" s="72">
        <f t="shared" si="25"/>
        <v>3387464696.2766128</v>
      </c>
      <c r="AP19" s="39"/>
      <c r="AQ19" s="72">
        <f t="shared" si="9"/>
        <v>1055422000</v>
      </c>
      <c r="AR19" s="72">
        <f t="shared" si="26"/>
        <v>910416288.43230319</v>
      </c>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10.925606999999999</v>
      </c>
      <c r="AU19" s="39"/>
      <c r="AV19" s="72">
        <f t="shared" si="10"/>
        <v>17963955023.675591</v>
      </c>
      <c r="AW19" s="72">
        <f t="shared" si="11"/>
        <v>15495865405.704599</v>
      </c>
      <c r="AX19" s="39"/>
      <c r="AY19" s="40">
        <f>IF(ISERROR(IF($K19&lt;=$F$15,VLOOKUP($I19,'表4）CO2価格'!$A$7:$E$67,VLOOKUP($F$48,'表4）CO2価格'!$H$10:$I$12,2,0),0)*$F$8/1000,"")),0,IF($K19&lt;=$F$15,VLOOKUP($I19,'表4）CO2価格'!$A$7:$E$67,VLOOKUP($F$48,'表4）CO2価格'!$H$10:$I$12,2,0),0)*$F$8/1000,""))</f>
        <v>4.7935999999999712</v>
      </c>
      <c r="AZ19" s="39"/>
      <c r="BA19" s="42">
        <f t="shared" si="12"/>
        <v>14772296163.533443</v>
      </c>
      <c r="BB19" s="72">
        <f t="shared" si="27"/>
        <v>12742712436.188435</v>
      </c>
      <c r="BC19" s="39"/>
      <c r="BD19" s="72">
        <f t="shared" si="13"/>
        <v>0</v>
      </c>
      <c r="BE19" s="72">
        <f t="shared" si="28"/>
        <v>0</v>
      </c>
      <c r="BF19" s="39"/>
      <c r="BG19" s="42">
        <f t="shared" si="14"/>
        <v>0</v>
      </c>
      <c r="BH19" s="72">
        <f t="shared" si="29"/>
        <v>0</v>
      </c>
      <c r="BI19" s="39"/>
      <c r="BJ19" s="40"/>
      <c r="BK19" s="157"/>
      <c r="BL19" s="157"/>
      <c r="BM19" s="72"/>
      <c r="BN19" s="72">
        <f>IF(AND(ISNUMBER($F$16),$K19&lt;=$F$16),BQ19*('バイオマス（木質専焼）（2030年）'!$O$15+'バイオマス（木質専焼）（2030年）'!$BK$116)/'バイオマス（木質専焼）（2030年）'!$BL$116,"")</f>
        <v>129668679369.96863</v>
      </c>
      <c r="BO19" s="72">
        <f t="shared" si="30"/>
        <v>111853341884.02858</v>
      </c>
      <c r="BP19" s="39"/>
      <c r="BQ19" s="72">
        <f t="shared" si="15"/>
        <v>4056318000</v>
      </c>
      <c r="BR19" s="72">
        <f t="shared" si="31"/>
        <v>3499015539.055604</v>
      </c>
    </row>
    <row r="20" spans="3:70" x14ac:dyDescent="0.15">
      <c r="I20" s="457">
        <f t="shared" si="32"/>
        <v>2035</v>
      </c>
      <c r="J20" s="71"/>
      <c r="K20" s="71">
        <f t="shared" si="33"/>
        <v>6</v>
      </c>
      <c r="L20" s="71"/>
      <c r="M20" s="7">
        <f t="shared" si="0"/>
        <v>0.83748425668365445</v>
      </c>
      <c r="N20" s="71"/>
      <c r="O20" s="10">
        <f t="shared" si="16"/>
        <v>71591791042.061646</v>
      </c>
      <c r="P20" s="29">
        <f t="shared" si="1"/>
        <v>0.16700000000000001</v>
      </c>
      <c r="Q20" s="71"/>
      <c r="R20" s="10">
        <f t="shared" si="17"/>
        <v>82852360679.988113</v>
      </c>
      <c r="S20" s="71"/>
      <c r="T20" s="10">
        <f t="shared" si="18"/>
        <v>82852360000</v>
      </c>
      <c r="U20" s="71"/>
      <c r="V20" s="10">
        <f t="shared" si="2"/>
        <v>11955829104.024296</v>
      </c>
      <c r="W20" s="10">
        <f t="shared" si="19"/>
        <v>10012818650.220591</v>
      </c>
      <c r="X20" s="71"/>
      <c r="Y20" s="10">
        <f t="shared" si="3"/>
        <v>1159933000</v>
      </c>
      <c r="Z20" s="10">
        <f t="shared" si="20"/>
        <v>971425626.3078413</v>
      </c>
      <c r="AA20" s="71"/>
      <c r="AB20" s="10">
        <f t="shared" si="4"/>
        <v>0</v>
      </c>
      <c r="AC20" s="10">
        <f t="shared" si="21"/>
        <v>0</v>
      </c>
      <c r="AD20" s="71"/>
      <c r="AE20" s="10">
        <f t="shared" si="5"/>
        <v>0</v>
      </c>
      <c r="AF20" s="10">
        <f t="shared" si="22"/>
        <v>0</v>
      </c>
      <c r="AG20" s="71"/>
      <c r="AH20" s="10">
        <f t="shared" si="6"/>
        <v>440000000.00000006</v>
      </c>
      <c r="AI20" s="10">
        <f t="shared" si="23"/>
        <v>368493072.940808</v>
      </c>
      <c r="AJ20" s="71"/>
      <c r="AK20" s="10">
        <f t="shared" si="7"/>
        <v>4284000000</v>
      </c>
      <c r="AL20" s="10">
        <f t="shared" si="24"/>
        <v>3587782555.6327758</v>
      </c>
      <c r="AM20" s="71"/>
      <c r="AN20" s="10">
        <f t="shared" si="8"/>
        <v>3927000000.0000005</v>
      </c>
      <c r="AO20" s="10">
        <f t="shared" si="25"/>
        <v>3288800675.9967113</v>
      </c>
      <c r="AP20" s="71"/>
      <c r="AQ20" s="10">
        <f t="shared" si="9"/>
        <v>1055422000</v>
      </c>
      <c r="AR20" s="10">
        <f t="shared" si="26"/>
        <v>883899309.15757596</v>
      </c>
      <c r="AS20" s="71"/>
      <c r="AT20" s="7">
        <f>IF($K20&lt;=$F$15,IF($F$40&lt;&gt;"",$F$40/1000,IF(ISERROR(VLOOKUP($F$3&amp;IF($G$4&lt;&gt;"",$G$4,"")&amp;IF($F$43&lt;&gt;"","_"&amp;$F$43,""),'表3）燃料価格'!$AF$9:$AG$25,2,0)),0,VLOOKUP($I20,'表3）燃料価格'!$A$6:$U$66,VLOOKUP($F$3&amp;IF($G$4&lt;&gt;"",$G$4,"")&amp;IF($F$43&lt;&gt;"","_"&amp;$F$43,""),'表3）燃料価格'!$AF$9:$AG$25,2,0)+VLOOKUP($F$41,'表3）燃料価格'!$AF$28:$AG$29,2,0),0)*IF($F$43="需要地価格",1,$F$8/$F$141))),"")</f>
        <v>10.925606999999999</v>
      </c>
      <c r="AU20" s="71"/>
      <c r="AV20" s="10">
        <f t="shared" si="10"/>
        <v>17963955023.675591</v>
      </c>
      <c r="AW20" s="10">
        <f t="shared" si="11"/>
        <v>15044529520.101553</v>
      </c>
      <c r="AX20" s="71"/>
      <c r="AY20" s="7">
        <f>IF(ISERROR(IF($K20&lt;=$F$15,VLOOKUP($I20,'表4）CO2価格'!$A$7:$E$67,VLOOKUP($F$48,'表4）CO2価格'!$H$10:$I$12,2,0),0)*$F$8/1000,"")),0,IF($K20&lt;=$F$15,VLOOKUP($I20,'表4）CO2価格'!$A$7:$E$67,VLOOKUP($F$48,'表4）CO2価格'!$H$10:$I$12,2,0),0)*$F$8/1000,""))</f>
        <v>4.9219999999999997</v>
      </c>
      <c r="AZ20" s="71"/>
      <c r="BA20" s="11">
        <f t="shared" si="12"/>
        <v>15167982667.913895</v>
      </c>
      <c r="BB20" s="10">
        <f t="shared" si="27"/>
        <v>12702946690.028421</v>
      </c>
      <c r="BC20" s="71"/>
      <c r="BD20" s="10">
        <f t="shared" si="13"/>
        <v>0</v>
      </c>
      <c r="BE20" s="10">
        <f t="shared" si="28"/>
        <v>0</v>
      </c>
      <c r="BF20" s="71"/>
      <c r="BG20" s="11">
        <f t="shared" si="14"/>
        <v>0</v>
      </c>
      <c r="BH20" s="10">
        <f t="shared" si="29"/>
        <v>0</v>
      </c>
      <c r="BJ20" s="7"/>
      <c r="BK20" s="158"/>
      <c r="BL20" s="158"/>
      <c r="BM20" s="10"/>
      <c r="BN20" s="10">
        <f>IF(AND(ISNUMBER($F$16),$K20&lt;=$F$16),BQ20*('バイオマス（木質専焼）（2030年）'!$O$15+'バイオマス（木質専焼）（2030年）'!$BK$116)/'バイオマス（木質専焼）（2030年）'!$BL$116,"")</f>
        <v>129668679369.96863</v>
      </c>
      <c r="BO20" s="10">
        <f t="shared" si="30"/>
        <v>108595477557.3093</v>
      </c>
      <c r="BQ20" s="10">
        <f t="shared" si="15"/>
        <v>4056318000</v>
      </c>
      <c r="BR20" s="10">
        <f t="shared" si="31"/>
        <v>3397102465.1025276</v>
      </c>
    </row>
    <row r="21" spans="3:70" x14ac:dyDescent="0.15">
      <c r="D21" s="84" t="s">
        <v>558</v>
      </c>
      <c r="F21" s="478">
        <v>25.5</v>
      </c>
      <c r="G21" s="84" t="s">
        <v>559</v>
      </c>
      <c r="I21" s="38">
        <f t="shared" si="32"/>
        <v>2036</v>
      </c>
      <c r="J21" s="39"/>
      <c r="K21" s="39">
        <f t="shared" si="33"/>
        <v>7</v>
      </c>
      <c r="L21" s="39"/>
      <c r="M21" s="40">
        <f t="shared" si="0"/>
        <v>0.81309151134335378</v>
      </c>
      <c r="N21" s="39"/>
      <c r="O21" s="72">
        <f t="shared" si="16"/>
        <v>59635961938.037354</v>
      </c>
      <c r="P21" s="41">
        <f t="shared" si="1"/>
        <v>0.16700000000000001</v>
      </c>
      <c r="Q21" s="39"/>
      <c r="R21" s="72">
        <f t="shared" si="17"/>
        <v>71062129943.799271</v>
      </c>
      <c r="S21" s="39"/>
      <c r="T21" s="72">
        <f t="shared" si="18"/>
        <v>71062129000</v>
      </c>
      <c r="U21" s="39"/>
      <c r="V21" s="72">
        <f t="shared" si="2"/>
        <v>9959205643.6522388</v>
      </c>
      <c r="W21" s="72">
        <f t="shared" si="19"/>
        <v>8097745568.576457</v>
      </c>
      <c r="X21" s="39"/>
      <c r="Y21" s="72">
        <f t="shared" si="3"/>
        <v>994869800</v>
      </c>
      <c r="Z21" s="72">
        <f t="shared" si="20"/>
        <v>808920189.27186012</v>
      </c>
      <c r="AA21" s="39"/>
      <c r="AB21" s="72">
        <f t="shared" si="4"/>
        <v>0</v>
      </c>
      <c r="AC21" s="72">
        <f t="shared" si="21"/>
        <v>0</v>
      </c>
      <c r="AD21" s="39"/>
      <c r="AE21" s="72">
        <f t="shared" si="5"/>
        <v>0</v>
      </c>
      <c r="AF21" s="72">
        <f t="shared" si="22"/>
        <v>0</v>
      </c>
      <c r="AG21" s="39"/>
      <c r="AH21" s="72">
        <f t="shared" si="6"/>
        <v>440000000.00000006</v>
      </c>
      <c r="AI21" s="72">
        <f t="shared" si="23"/>
        <v>357760264.99107569</v>
      </c>
      <c r="AJ21" s="39"/>
      <c r="AK21" s="72">
        <f t="shared" si="7"/>
        <v>4284000000</v>
      </c>
      <c r="AL21" s="72">
        <f t="shared" si="24"/>
        <v>3483284034.5949278</v>
      </c>
      <c r="AM21" s="39"/>
      <c r="AN21" s="72">
        <f t="shared" si="8"/>
        <v>3927000000.0000005</v>
      </c>
      <c r="AO21" s="72">
        <f t="shared" si="25"/>
        <v>3193010365.0453506</v>
      </c>
      <c r="AP21" s="39"/>
      <c r="AQ21" s="72">
        <f t="shared" si="9"/>
        <v>1055422000</v>
      </c>
      <c r="AR21" s="72">
        <f t="shared" si="26"/>
        <v>858154669.08502519</v>
      </c>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10.925606999999999</v>
      </c>
      <c r="AU21" s="39"/>
      <c r="AV21" s="72">
        <f t="shared" si="10"/>
        <v>17963955023.675591</v>
      </c>
      <c r="AW21" s="72">
        <f t="shared" si="11"/>
        <v>14606339339.904419</v>
      </c>
      <c r="AX21" s="39"/>
      <c r="AY21" s="40">
        <f>IF(ISERROR(IF($K21&lt;=$F$15,VLOOKUP($I21,'表4）CO2価格'!$A$7:$E$67,VLOOKUP($F$48,'表4）CO2価格'!$H$10:$I$12,2,0),0)*$F$8/1000,"")),0,IF($K21&lt;=$F$15,VLOOKUP($I21,'表4）CO2価格'!$A$7:$E$67,VLOOKUP($F$48,'表4）CO2価格'!$H$10:$I$12,2,0),0)*$F$8/1000,""))</f>
        <v>5.0503999999999802</v>
      </c>
      <c r="AZ21" s="39"/>
      <c r="BA21" s="42">
        <f t="shared" si="12"/>
        <v>15563669172.294197</v>
      </c>
      <c r="BB21" s="72">
        <f t="shared" si="27"/>
        <v>12654687289.348652</v>
      </c>
      <c r="BC21" s="39"/>
      <c r="BD21" s="72">
        <f t="shared" si="13"/>
        <v>0</v>
      </c>
      <c r="BE21" s="72">
        <f t="shared" si="28"/>
        <v>0</v>
      </c>
      <c r="BF21" s="39"/>
      <c r="BG21" s="42">
        <f t="shared" si="14"/>
        <v>0</v>
      </c>
      <c r="BH21" s="72">
        <f t="shared" si="29"/>
        <v>0</v>
      </c>
      <c r="BI21" s="39"/>
      <c r="BJ21" s="40"/>
      <c r="BK21" s="157"/>
      <c r="BL21" s="157"/>
      <c r="BM21" s="72"/>
      <c r="BN21" s="72">
        <f>IF(AND(ISNUMBER($F$16),$K21&lt;=$F$16),BQ21*('バイオマス（木質専焼）（2030年）'!$O$15+'バイオマス（木質専焼）（2030年）'!$BK$116)/'バイオマス（木質専焼）（2030年）'!$BL$116,"")</f>
        <v>129668679369.96863</v>
      </c>
      <c r="BO21" s="72">
        <f t="shared" si="30"/>
        <v>105432502482.82455</v>
      </c>
      <c r="BP21" s="39"/>
      <c r="BQ21" s="72">
        <f t="shared" si="15"/>
        <v>4056318000</v>
      </c>
      <c r="BR21" s="72">
        <f t="shared" si="31"/>
        <v>3298157733.1092501</v>
      </c>
    </row>
    <row r="22" spans="3:70" ht="16.5" x14ac:dyDescent="0.15">
      <c r="D22" s="84" t="s">
        <v>560</v>
      </c>
      <c r="F22" s="478">
        <f>26.08*95%+13.21*5%</f>
        <v>25.436499999999995</v>
      </c>
      <c r="G22" s="71" t="s">
        <v>561</v>
      </c>
      <c r="I22" s="457">
        <f t="shared" si="32"/>
        <v>2037</v>
      </c>
      <c r="J22" s="71"/>
      <c r="K22" s="71">
        <f t="shared" si="33"/>
        <v>8</v>
      </c>
      <c r="L22" s="71"/>
      <c r="M22" s="7">
        <f t="shared" si="0"/>
        <v>0.78940923431393573</v>
      </c>
      <c r="N22" s="71"/>
      <c r="O22" s="10">
        <f t="shared" si="16"/>
        <v>49676756294.385117</v>
      </c>
      <c r="P22" s="29">
        <f t="shared" si="1"/>
        <v>0.16700000000000001</v>
      </c>
      <c r="Q22" s="71"/>
      <c r="R22" s="10">
        <f t="shared" si="17"/>
        <v>60949697397.929802</v>
      </c>
      <c r="S22" s="71"/>
      <c r="T22" s="10">
        <f t="shared" si="18"/>
        <v>60949697000</v>
      </c>
      <c r="U22" s="71"/>
      <c r="V22" s="10">
        <f t="shared" si="2"/>
        <v>8296018301.1623154</v>
      </c>
      <c r="W22" s="10">
        <f t="shared" si="19"/>
        <v>6548953454.9749413</v>
      </c>
      <c r="X22" s="71"/>
      <c r="Y22" s="10">
        <f t="shared" si="3"/>
        <v>853295700</v>
      </c>
      <c r="Z22" s="10">
        <f t="shared" si="20"/>
        <v>673599505.18037379</v>
      </c>
      <c r="AA22" s="71"/>
      <c r="AB22" s="10">
        <f t="shared" si="4"/>
        <v>0</v>
      </c>
      <c r="AC22" s="10">
        <f t="shared" si="21"/>
        <v>0</v>
      </c>
      <c r="AD22" s="71"/>
      <c r="AE22" s="10">
        <f t="shared" si="5"/>
        <v>0</v>
      </c>
      <c r="AF22" s="10">
        <f t="shared" si="22"/>
        <v>0</v>
      </c>
      <c r="AG22" s="71"/>
      <c r="AH22" s="10">
        <f t="shared" si="6"/>
        <v>440000000.00000006</v>
      </c>
      <c r="AI22" s="10">
        <f t="shared" si="23"/>
        <v>347340063.09813178</v>
      </c>
      <c r="AJ22" s="71"/>
      <c r="AK22" s="10">
        <f t="shared" si="7"/>
        <v>4284000000</v>
      </c>
      <c r="AL22" s="10">
        <f t="shared" si="24"/>
        <v>3381829159.8009005</v>
      </c>
      <c r="AM22" s="71"/>
      <c r="AN22" s="10">
        <f t="shared" si="8"/>
        <v>3927000000.0000005</v>
      </c>
      <c r="AO22" s="10">
        <f t="shared" si="25"/>
        <v>3100010063.150826</v>
      </c>
      <c r="AP22" s="71"/>
      <c r="AQ22" s="10">
        <f t="shared" si="9"/>
        <v>1055422000</v>
      </c>
      <c r="AR22" s="10">
        <f t="shared" si="26"/>
        <v>833159872.89808261</v>
      </c>
      <c r="AS22" s="71"/>
      <c r="AT22" s="7">
        <f>IF($K22&lt;=$F$15,IF($F$40&lt;&gt;"",$F$40/1000,IF(ISERROR(VLOOKUP($F$3&amp;IF($G$4&lt;&gt;"",$G$4,"")&amp;IF($F$43&lt;&gt;"","_"&amp;$F$43,""),'表3）燃料価格'!$AF$9:$AG$25,2,0)),0,VLOOKUP($I22,'表3）燃料価格'!$A$6:$U$66,VLOOKUP($F$3&amp;IF($G$4&lt;&gt;"",$G$4,"")&amp;IF($F$43&lt;&gt;"","_"&amp;$F$43,""),'表3）燃料価格'!$AF$9:$AG$25,2,0)+VLOOKUP($F$41,'表3）燃料価格'!$AF$28:$AG$29,2,0),0)*IF($F$43="需要地価格",1,$F$8/$F$141))),"")</f>
        <v>10.925606999999999</v>
      </c>
      <c r="AU22" s="71"/>
      <c r="AV22" s="10">
        <f t="shared" si="10"/>
        <v>17963955023.675591</v>
      </c>
      <c r="AW22" s="10">
        <f t="shared" si="11"/>
        <v>14180911980.489727</v>
      </c>
      <c r="AX22" s="71"/>
      <c r="AY22" s="7">
        <f>IF(ISERROR(IF($K22&lt;=$F$15,VLOOKUP($I22,'表4）CO2価格'!$A$7:$E$67,VLOOKUP($F$48,'表4）CO2価格'!$H$10:$I$12,2,0),0)*$F$8/1000,"")),0,IF($K22&lt;=$F$15,VLOOKUP($I22,'表4）CO2価格'!$A$7:$E$67,VLOOKUP($F$48,'表4）CO2価格'!$H$10:$I$12,2,0),0)*$F$8/1000,""))</f>
        <v>5.1788000000000105</v>
      </c>
      <c r="AZ22" s="71"/>
      <c r="BA22" s="11">
        <f t="shared" si="12"/>
        <v>15959355676.674652</v>
      </c>
      <c r="BB22" s="10">
        <f t="shared" si="27"/>
        <v>12598462744.8675</v>
      </c>
      <c r="BC22" s="71"/>
      <c r="BD22" s="10">
        <f t="shared" si="13"/>
        <v>0</v>
      </c>
      <c r="BE22" s="10">
        <f t="shared" si="28"/>
        <v>0</v>
      </c>
      <c r="BF22" s="71"/>
      <c r="BG22" s="11">
        <f t="shared" si="14"/>
        <v>0</v>
      </c>
      <c r="BH22" s="10">
        <f t="shared" si="29"/>
        <v>0</v>
      </c>
      <c r="BJ22" s="7"/>
      <c r="BK22" s="158"/>
      <c r="BL22" s="158"/>
      <c r="BM22" s="10"/>
      <c r="BN22" s="10">
        <f>IF(AND(ISNUMBER($F$16),$K22&lt;=$F$16),BQ22*('バイオマス（木質専焼）（2030年）'!$O$15+'バイオマス（木質専焼）（2030年）'!$BK$116)/'バイオマス（木質専焼）（2030年）'!$BL$116,"")</f>
        <v>129668679369.96863</v>
      </c>
      <c r="BO22" s="10">
        <f t="shared" si="30"/>
        <v>102361652895.94617</v>
      </c>
      <c r="BQ22" s="10">
        <f t="shared" si="15"/>
        <v>4056318000</v>
      </c>
      <c r="BR22" s="10">
        <f t="shared" si="31"/>
        <v>3202094886.513835</v>
      </c>
    </row>
    <row r="23" spans="3:70" x14ac:dyDescent="0.15">
      <c r="D23" s="84" t="s">
        <v>562</v>
      </c>
      <c r="F23" s="479">
        <v>43.5</v>
      </c>
      <c r="G23" s="84" t="s">
        <v>549</v>
      </c>
      <c r="I23" s="38">
        <f t="shared" si="32"/>
        <v>2038</v>
      </c>
      <c r="J23" s="39"/>
      <c r="K23" s="39">
        <f t="shared" si="33"/>
        <v>9</v>
      </c>
      <c r="L23" s="39"/>
      <c r="M23" s="40">
        <f t="shared" si="0"/>
        <v>0.76641673234362695</v>
      </c>
      <c r="N23" s="39"/>
      <c r="O23" s="72">
        <f t="shared" si="16"/>
        <v>41380737993.222801</v>
      </c>
      <c r="P23" s="41">
        <f t="shared" si="1"/>
        <v>0.16700000000000001</v>
      </c>
      <c r="Q23" s="39"/>
      <c r="R23" s="72">
        <f t="shared" si="17"/>
        <v>52276305478.560486</v>
      </c>
      <c r="S23" s="39"/>
      <c r="T23" s="72">
        <f t="shared" si="18"/>
        <v>52276305000</v>
      </c>
      <c r="U23" s="39"/>
      <c r="V23" s="72">
        <f t="shared" si="2"/>
        <v>6910583244.8682079</v>
      </c>
      <c r="W23" s="72">
        <f t="shared" si="19"/>
        <v>5296386629.1205101</v>
      </c>
      <c r="X23" s="39"/>
      <c r="Y23" s="72">
        <f t="shared" si="3"/>
        <v>731868200</v>
      </c>
      <c r="Z23" s="72">
        <f t="shared" si="20"/>
        <v>560916034.35021198</v>
      </c>
      <c r="AA23" s="39"/>
      <c r="AB23" s="72">
        <f t="shared" si="4"/>
        <v>0</v>
      </c>
      <c r="AC23" s="72">
        <f t="shared" si="21"/>
        <v>0</v>
      </c>
      <c r="AD23" s="39"/>
      <c r="AE23" s="72">
        <f t="shared" si="5"/>
        <v>0</v>
      </c>
      <c r="AF23" s="72">
        <f t="shared" si="22"/>
        <v>0</v>
      </c>
      <c r="AG23" s="39"/>
      <c r="AH23" s="72">
        <f t="shared" si="6"/>
        <v>440000000.00000006</v>
      </c>
      <c r="AI23" s="72">
        <f t="shared" si="23"/>
        <v>337223362.23119593</v>
      </c>
      <c r="AJ23" s="39"/>
      <c r="AK23" s="72">
        <f t="shared" si="7"/>
        <v>4284000000</v>
      </c>
      <c r="AL23" s="72">
        <f t="shared" si="24"/>
        <v>3283329281.3600979</v>
      </c>
      <c r="AM23" s="39"/>
      <c r="AN23" s="72">
        <f t="shared" si="8"/>
        <v>3927000000.0000005</v>
      </c>
      <c r="AO23" s="72">
        <f t="shared" si="25"/>
        <v>3009718507.9134235</v>
      </c>
      <c r="AP23" s="39"/>
      <c r="AQ23" s="72">
        <f t="shared" si="9"/>
        <v>1055422000</v>
      </c>
      <c r="AR23" s="72">
        <f t="shared" si="26"/>
        <v>808893080.48357546</v>
      </c>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10.925606999999999</v>
      </c>
      <c r="AU23" s="39"/>
      <c r="AV23" s="72">
        <f t="shared" si="10"/>
        <v>17963955023.675591</v>
      </c>
      <c r="AW23" s="72">
        <f t="shared" si="11"/>
        <v>13767875709.213327</v>
      </c>
      <c r="AX23" s="39"/>
      <c r="AY23" s="40">
        <f>IF(ISERROR(IF($K23&lt;=$F$15,VLOOKUP($I23,'表4）CO2価格'!$A$7:$E$67,VLOOKUP($F$48,'表4）CO2価格'!$H$10:$I$12,2,0),0)*$F$8/1000,"")),0,IF($K23&lt;=$F$15,VLOOKUP($I23,'表4）CO2価格'!$A$7:$E$67,VLOOKUP($F$48,'表4）CO2価格'!$H$10:$I$12,2,0),0)*$F$8/1000,""))</f>
        <v>5.3071999999999901</v>
      </c>
      <c r="AZ23" s="39"/>
      <c r="BA23" s="42">
        <f t="shared" si="12"/>
        <v>16355042181.054953</v>
      </c>
      <c r="BB23" s="72">
        <f t="shared" si="27"/>
        <v>12534777985.746323</v>
      </c>
      <c r="BC23" s="39"/>
      <c r="BD23" s="72">
        <f t="shared" si="13"/>
        <v>0</v>
      </c>
      <c r="BE23" s="72">
        <f t="shared" si="28"/>
        <v>0</v>
      </c>
      <c r="BF23" s="39"/>
      <c r="BG23" s="42">
        <f t="shared" si="14"/>
        <v>0</v>
      </c>
      <c r="BH23" s="72">
        <f t="shared" si="29"/>
        <v>0</v>
      </c>
      <c r="BI23" s="39"/>
      <c r="BJ23" s="40"/>
      <c r="BK23" s="157"/>
      <c r="BL23" s="157"/>
      <c r="BM23" s="72"/>
      <c r="BN23" s="72">
        <f>IF(AND(ISNUMBER($F$16),$K23&lt;=$F$16),BQ23*('バイオマス（木質専焼）（2030年）'!$O$15+'バイオマス（木質専焼）（2030年）'!$BK$116)/'バイオマス（木質専焼）（2030年）'!$BL$116,"")</f>
        <v>129668679369.96863</v>
      </c>
      <c r="BO23" s="72">
        <f t="shared" si="30"/>
        <v>99380245530.04483</v>
      </c>
      <c r="BP23" s="39"/>
      <c r="BQ23" s="72">
        <f t="shared" si="15"/>
        <v>4056318000</v>
      </c>
      <c r="BR23" s="72">
        <f t="shared" si="31"/>
        <v>3108829986.9066362</v>
      </c>
    </row>
    <row r="24" spans="3:70" x14ac:dyDescent="0.15">
      <c r="D24" s="84" t="s">
        <v>563</v>
      </c>
      <c r="F24" s="480">
        <v>5.5</v>
      </c>
      <c r="G24" s="84" t="s">
        <v>549</v>
      </c>
      <c r="I24" s="457">
        <f t="shared" si="32"/>
        <v>2039</v>
      </c>
      <c r="J24" s="71"/>
      <c r="K24" s="71">
        <f t="shared" si="33"/>
        <v>10</v>
      </c>
      <c r="L24" s="71"/>
      <c r="M24" s="7">
        <f t="shared" si="0"/>
        <v>0.74409391489672516</v>
      </c>
      <c r="N24" s="71"/>
      <c r="O24" s="10">
        <f t="shared" si="16"/>
        <v>34470154748.354591</v>
      </c>
      <c r="P24" s="29">
        <f t="shared" si="1"/>
        <v>0.16700000000000001</v>
      </c>
      <c r="Q24" s="71"/>
      <c r="R24" s="10">
        <f t="shared" si="17"/>
        <v>44837172802.446014</v>
      </c>
      <c r="S24" s="71"/>
      <c r="T24" s="10">
        <f t="shared" si="18"/>
        <v>44837172000</v>
      </c>
      <c r="U24" s="71"/>
      <c r="V24" s="10">
        <f t="shared" si="2"/>
        <v>5756515842.9752169</v>
      </c>
      <c r="W24" s="10">
        <f t="shared" si="19"/>
        <v>4283388409.764451</v>
      </c>
      <c r="X24" s="71"/>
      <c r="Y24" s="10">
        <f t="shared" si="3"/>
        <v>627720400</v>
      </c>
      <c r="Z24" s="10">
        <f t="shared" si="20"/>
        <v>467082929.89653826</v>
      </c>
      <c r="AA24" s="71"/>
      <c r="AB24" s="10">
        <f t="shared" si="4"/>
        <v>0</v>
      </c>
      <c r="AC24" s="10">
        <f t="shared" si="21"/>
        <v>0</v>
      </c>
      <c r="AD24" s="71"/>
      <c r="AE24" s="10">
        <f t="shared" si="5"/>
        <v>0</v>
      </c>
      <c r="AF24" s="10">
        <f t="shared" si="22"/>
        <v>0</v>
      </c>
      <c r="AG24" s="71"/>
      <c r="AH24" s="10">
        <f t="shared" si="6"/>
        <v>440000000.00000006</v>
      </c>
      <c r="AI24" s="10">
        <f t="shared" si="23"/>
        <v>327401322.55455911</v>
      </c>
      <c r="AJ24" s="71"/>
      <c r="AK24" s="10">
        <f t="shared" si="7"/>
        <v>4284000000</v>
      </c>
      <c r="AL24" s="10">
        <f t="shared" si="24"/>
        <v>3187698331.4175706</v>
      </c>
      <c r="AM24" s="71"/>
      <c r="AN24" s="10">
        <f t="shared" si="8"/>
        <v>3927000000.0000005</v>
      </c>
      <c r="AO24" s="10">
        <f t="shared" si="25"/>
        <v>2922056803.7994399</v>
      </c>
      <c r="AP24" s="71"/>
      <c r="AQ24" s="10">
        <f t="shared" si="9"/>
        <v>1055422000</v>
      </c>
      <c r="AR24" s="10">
        <f t="shared" si="26"/>
        <v>785333087.84813142</v>
      </c>
      <c r="AS24" s="71"/>
      <c r="AT24" s="7">
        <f>IF($K24&lt;=$F$15,IF($F$40&lt;&gt;"",$F$40/1000,IF(ISERROR(VLOOKUP($F$3&amp;IF($G$4&lt;&gt;"",$G$4,"")&amp;IF($F$43&lt;&gt;"","_"&amp;$F$43,""),'表3）燃料価格'!$AF$9:$AG$25,2,0)),0,VLOOKUP($I24,'表3）燃料価格'!$A$6:$U$66,VLOOKUP($F$3&amp;IF($G$4&lt;&gt;"",$G$4,"")&amp;IF($F$43&lt;&gt;"","_"&amp;$F$43,""),'表3）燃料価格'!$AF$9:$AG$25,2,0)+VLOOKUP($F$41,'表3）燃料価格'!$AF$28:$AG$29,2,0),0)*IF($F$43="需要地価格",1,$F$8/$F$141))),"")</f>
        <v>10.925606999999999</v>
      </c>
      <c r="AU24" s="71"/>
      <c r="AV24" s="10">
        <f t="shared" si="10"/>
        <v>17963955023.675591</v>
      </c>
      <c r="AW24" s="10">
        <f t="shared" si="11"/>
        <v>13366869620.595463</v>
      </c>
      <c r="AX24" s="71"/>
      <c r="AY24" s="7">
        <f>IF(ISERROR(IF($K24&lt;=$F$15,VLOOKUP($I24,'表4）CO2価格'!$A$7:$E$67,VLOOKUP($F$48,'表4）CO2価格'!$H$10:$I$12,2,0),0)*$F$8/1000,"")),0,IF($K24&lt;=$F$15,VLOOKUP($I24,'表4）CO2価格'!$A$7:$E$67,VLOOKUP($F$48,'表4）CO2価格'!$H$10:$I$12,2,0),0)*$F$8/1000,""))</f>
        <v>5.4355999999999716</v>
      </c>
      <c r="AZ24" s="71"/>
      <c r="BA24" s="11">
        <f t="shared" si="12"/>
        <v>16750728685.435257</v>
      </c>
      <c r="BB24" s="10">
        <f t="shared" si="27"/>
        <v>12464115284.918394</v>
      </c>
      <c r="BC24" s="71"/>
      <c r="BD24" s="10">
        <f t="shared" si="13"/>
        <v>0</v>
      </c>
      <c r="BE24" s="10">
        <f t="shared" si="28"/>
        <v>0</v>
      </c>
      <c r="BF24" s="71"/>
      <c r="BG24" s="11">
        <f t="shared" si="14"/>
        <v>0</v>
      </c>
      <c r="BH24" s="10">
        <f t="shared" si="29"/>
        <v>0</v>
      </c>
      <c r="BJ24" s="7"/>
      <c r="BK24" s="158"/>
      <c r="BL24" s="158"/>
      <c r="BM24" s="10"/>
      <c r="BN24" s="10">
        <f>IF(AND(ISNUMBER($F$16),$K24&lt;=$F$16),BQ24*('バイオマス（木質専焼）（2030年）'!$O$15+'バイオマス（木質専焼）（2030年）'!$BK$116)/'バイオマス（木質専焼）（2030年）'!$BL$116,"")</f>
        <v>129668679369.96863</v>
      </c>
      <c r="BO24" s="10">
        <f t="shared" si="30"/>
        <v>96485675271.888184</v>
      </c>
      <c r="BQ24" s="10">
        <f t="shared" si="15"/>
        <v>4056318000</v>
      </c>
      <c r="BR24" s="10">
        <f t="shared" si="31"/>
        <v>3018281540.6860542</v>
      </c>
    </row>
    <row r="25" spans="3:70" x14ac:dyDescent="0.15">
      <c r="D25" s="84" t="s">
        <v>564</v>
      </c>
      <c r="F25" s="475">
        <v>1.4</v>
      </c>
      <c r="G25" s="84" t="s">
        <v>549</v>
      </c>
      <c r="I25" s="38">
        <f t="shared" si="32"/>
        <v>2040</v>
      </c>
      <c r="J25" s="39"/>
      <c r="K25" s="39">
        <f t="shared" si="33"/>
        <v>11</v>
      </c>
      <c r="L25" s="39"/>
      <c r="M25" s="40">
        <f t="shared" si="0"/>
        <v>0.72242127659876232</v>
      </c>
      <c r="N25" s="39"/>
      <c r="O25" s="72">
        <f t="shared" si="16"/>
        <v>28713638905.379375</v>
      </c>
      <c r="P25" s="41">
        <f t="shared" si="1"/>
        <v>0.2</v>
      </c>
      <c r="Q25" s="39"/>
      <c r="R25" s="72">
        <f t="shared" si="17"/>
        <v>38456659217.06913</v>
      </c>
      <c r="S25" s="39"/>
      <c r="T25" s="72">
        <f t="shared" si="18"/>
        <v>38456659000</v>
      </c>
      <c r="U25" s="39"/>
      <c r="V25" s="72">
        <f t="shared" si="2"/>
        <v>5742727781.0758753</v>
      </c>
      <c r="W25" s="72">
        <f t="shared" si="19"/>
        <v>4148668734.7640114</v>
      </c>
      <c r="X25" s="39"/>
      <c r="Y25" s="72">
        <f t="shared" si="3"/>
        <v>538393200</v>
      </c>
      <c r="Z25" s="72">
        <f t="shared" si="20"/>
        <v>388946702.85609275</v>
      </c>
      <c r="AA25" s="39"/>
      <c r="AB25" s="72">
        <f t="shared" si="4"/>
        <v>0</v>
      </c>
      <c r="AC25" s="72">
        <f t="shared" si="21"/>
        <v>0</v>
      </c>
      <c r="AD25" s="39"/>
      <c r="AE25" s="72">
        <f t="shared" si="5"/>
        <v>0</v>
      </c>
      <c r="AF25" s="72">
        <f t="shared" si="22"/>
        <v>0</v>
      </c>
      <c r="AG25" s="39"/>
      <c r="AH25" s="72">
        <f t="shared" si="6"/>
        <v>440000000.00000006</v>
      </c>
      <c r="AI25" s="72">
        <f t="shared" si="23"/>
        <v>317865361.70345545</v>
      </c>
      <c r="AJ25" s="39"/>
      <c r="AK25" s="72">
        <f t="shared" si="7"/>
        <v>4284000000</v>
      </c>
      <c r="AL25" s="72">
        <f t="shared" si="24"/>
        <v>3094852748.9490976</v>
      </c>
      <c r="AM25" s="39"/>
      <c r="AN25" s="72">
        <f t="shared" si="8"/>
        <v>3927000000.0000005</v>
      </c>
      <c r="AO25" s="72">
        <f t="shared" si="25"/>
        <v>2836948353.2033401</v>
      </c>
      <c r="AP25" s="39"/>
      <c r="AQ25" s="72">
        <f t="shared" si="9"/>
        <v>1055422000</v>
      </c>
      <c r="AR25" s="72">
        <f t="shared" si="26"/>
        <v>762459308.59041893</v>
      </c>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10.925606999999999</v>
      </c>
      <c r="AU25" s="39"/>
      <c r="AV25" s="72">
        <f t="shared" si="10"/>
        <v>17963955023.675591</v>
      </c>
      <c r="AW25" s="72">
        <f t="shared" si="11"/>
        <v>12977543320.966469</v>
      </c>
      <c r="AX25" s="39"/>
      <c r="AY25" s="40">
        <f>IF(ISERROR(IF($K25&lt;=$F$15,VLOOKUP($I25,'表4）CO2価格'!$A$7:$E$67,VLOOKUP($F$48,'表4）CO2価格'!$H$10:$I$12,2,0),0)*$F$8/1000,"")),0,IF($K25&lt;=$F$15,VLOOKUP($I25,'表4）CO2価格'!$A$7:$E$67,VLOOKUP($F$48,'表4）CO2価格'!$H$10:$I$12,2,0),0)*$F$8/1000,""))</f>
        <v>5.5640000000000001</v>
      </c>
      <c r="AZ25" s="39"/>
      <c r="BA25" s="42">
        <f t="shared" si="12"/>
        <v>17146415189.815708</v>
      </c>
      <c r="BB25" s="72">
        <f t="shared" si="27"/>
        <v>12386935150.519073</v>
      </c>
      <c r="BC25" s="39"/>
      <c r="BD25" s="72">
        <f t="shared" si="13"/>
        <v>0</v>
      </c>
      <c r="BE25" s="72">
        <f t="shared" si="28"/>
        <v>0</v>
      </c>
      <c r="BF25" s="39"/>
      <c r="BG25" s="42">
        <f t="shared" si="14"/>
        <v>0</v>
      </c>
      <c r="BH25" s="72">
        <f t="shared" si="29"/>
        <v>0</v>
      </c>
      <c r="BI25" s="39"/>
      <c r="BJ25" s="40"/>
      <c r="BK25" s="157"/>
      <c r="BL25" s="157"/>
      <c r="BM25" s="72"/>
      <c r="BN25" s="72">
        <f>IF(AND(ISNUMBER($F$16),$K25&lt;=$F$16),BQ25*('バイオマス（木質専焼）（2030年）'!$O$15+'バイオマス（木質専焼）（2030年）'!$BK$116)/'バイオマス（木質専焼）（2030年）'!$BL$116,"")</f>
        <v>129668679369.96863</v>
      </c>
      <c r="BO25" s="72">
        <f t="shared" si="30"/>
        <v>93675412885.328339</v>
      </c>
      <c r="BP25" s="39"/>
      <c r="BQ25" s="72">
        <f t="shared" si="15"/>
        <v>4056318000</v>
      </c>
      <c r="BR25" s="72">
        <f t="shared" si="31"/>
        <v>2930370427.8505383</v>
      </c>
    </row>
    <row r="26" spans="3:70" x14ac:dyDescent="0.15">
      <c r="D26" s="84" t="s">
        <v>115</v>
      </c>
      <c r="F26" s="481"/>
      <c r="G26" s="84" t="s">
        <v>565</v>
      </c>
      <c r="I26" s="457">
        <f t="shared" si="32"/>
        <v>2041</v>
      </c>
      <c r="J26" s="71"/>
      <c r="K26" s="71">
        <f t="shared" si="33"/>
        <v>12</v>
      </c>
      <c r="L26" s="71"/>
      <c r="M26" s="7">
        <f t="shared" si="0"/>
        <v>0.70137988019297326</v>
      </c>
      <c r="N26" s="71"/>
      <c r="O26" s="10">
        <f t="shared" si="16"/>
        <v>22970911124.303501</v>
      </c>
      <c r="P26" s="29" t="str">
        <f t="shared" si="1"/>
        <v>-</v>
      </c>
      <c r="Q26" s="71"/>
      <c r="R26" s="10">
        <f t="shared" si="17"/>
        <v>32984118883.9879</v>
      </c>
      <c r="S26" s="71"/>
      <c r="T26" s="10">
        <f t="shared" si="18"/>
        <v>32984118000</v>
      </c>
      <c r="U26" s="71"/>
      <c r="V26" s="10">
        <f t="shared" si="2"/>
        <v>5742727781.0758753</v>
      </c>
      <c r="W26" s="10">
        <f t="shared" si="19"/>
        <v>4027833723.0718565</v>
      </c>
      <c r="X26" s="71"/>
      <c r="Y26" s="10">
        <f t="shared" si="3"/>
        <v>461777600</v>
      </c>
      <c r="Z26" s="10">
        <f t="shared" si="20"/>
        <v>323881517.76379871</v>
      </c>
      <c r="AA26" s="71"/>
      <c r="AB26" s="10">
        <f t="shared" si="4"/>
        <v>0</v>
      </c>
      <c r="AC26" s="10">
        <f t="shared" si="21"/>
        <v>0</v>
      </c>
      <c r="AD26" s="71"/>
      <c r="AE26" s="10">
        <f t="shared" si="5"/>
        <v>0</v>
      </c>
      <c r="AF26" s="10">
        <f t="shared" si="22"/>
        <v>0</v>
      </c>
      <c r="AG26" s="71"/>
      <c r="AH26" s="10">
        <f t="shared" si="6"/>
        <v>440000000.00000006</v>
      </c>
      <c r="AI26" s="10">
        <f t="shared" si="23"/>
        <v>308607147.28490829</v>
      </c>
      <c r="AJ26" s="71"/>
      <c r="AK26" s="10">
        <f t="shared" si="7"/>
        <v>4284000000</v>
      </c>
      <c r="AL26" s="10">
        <f t="shared" si="24"/>
        <v>3004711406.7466974</v>
      </c>
      <c r="AM26" s="71"/>
      <c r="AN26" s="10">
        <f t="shared" si="8"/>
        <v>3927000000.0000005</v>
      </c>
      <c r="AO26" s="10">
        <f t="shared" si="25"/>
        <v>2754318789.5178065</v>
      </c>
      <c r="AP26" s="71"/>
      <c r="AQ26" s="10">
        <f t="shared" si="9"/>
        <v>1055422000</v>
      </c>
      <c r="AR26" s="10">
        <f t="shared" si="26"/>
        <v>740251755.91302824</v>
      </c>
      <c r="AS26" s="71"/>
      <c r="AT26" s="7">
        <f>IF($K26&lt;=$F$15,IF($F$40&lt;&gt;"",$F$40/1000,IF(ISERROR(VLOOKUP($F$3&amp;IF($G$4&lt;&gt;"",$G$4,"")&amp;IF($F$43&lt;&gt;"","_"&amp;$F$43,""),'表3）燃料価格'!$AF$9:$AG$25,2,0)),0,VLOOKUP($I26,'表3）燃料価格'!$A$6:$U$66,VLOOKUP($F$3&amp;IF($G$4&lt;&gt;"",$G$4,"")&amp;IF($F$43&lt;&gt;"","_"&amp;$F$43,""),'表3）燃料価格'!$AF$9:$AG$25,2,0)+VLOOKUP($F$41,'表3）燃料価格'!$AF$28:$AG$29,2,0),0)*IF($F$43="需要地価格",1,$F$8/$F$141))),"")</f>
        <v>10.909563575252392</v>
      </c>
      <c r="AU26" s="71"/>
      <c r="AV26" s="10">
        <f t="shared" si="10"/>
        <v>17941549600.118767</v>
      </c>
      <c r="AW26" s="10">
        <f t="shared" si="11"/>
        <v>12583841909.007587</v>
      </c>
      <c r="AX26" s="71"/>
      <c r="AY26" s="7">
        <f>IF(ISERROR(IF($K26&lt;=$F$15,VLOOKUP($I26,'表4）CO2価格'!$A$7:$E$67,VLOOKUP($F$48,'表4）CO2価格'!$H$10:$I$12,2,0),0)*$F$8/1000,"")),0,IF($K26&lt;=$F$15,VLOOKUP($I26,'表4）CO2価格'!$A$7:$E$67,VLOOKUP($F$48,'表4）CO2価格'!$H$10:$I$12,2,0),0)*$F$8/1000,""))</f>
        <v>5.6923999999999806</v>
      </c>
      <c r="AZ26" s="71"/>
      <c r="BA26" s="11">
        <f t="shared" si="12"/>
        <v>17542101694.196011</v>
      </c>
      <c r="BB26" s="10">
        <f t="shared" si="27"/>
        <v>12303677184.60815</v>
      </c>
      <c r="BC26" s="71"/>
      <c r="BD26" s="10">
        <f t="shared" si="13"/>
        <v>0</v>
      </c>
      <c r="BE26" s="10">
        <f t="shared" si="28"/>
        <v>0</v>
      </c>
      <c r="BF26" s="71"/>
      <c r="BG26" s="11">
        <f t="shared" si="14"/>
        <v>0</v>
      </c>
      <c r="BH26" s="10">
        <f t="shared" si="29"/>
        <v>0</v>
      </c>
      <c r="BJ26" s="7"/>
      <c r="BK26" s="158"/>
      <c r="BL26" s="158"/>
      <c r="BM26" s="10"/>
      <c r="BN26" s="10">
        <f>IF(AND(ISNUMBER($F$16),$K26&lt;=$F$16),BQ26*('バイオマス（木質専焼）（2030年）'!$O$15+'バイオマス（木質専焼）（2030年）'!$BK$116)/'バイオマス（木質専焼）（2030年）'!$BL$116,"")</f>
        <v>129668679369.96863</v>
      </c>
      <c r="BO26" s="10">
        <f t="shared" si="30"/>
        <v>90947002801.289658</v>
      </c>
      <c r="BQ26" s="10">
        <f t="shared" si="15"/>
        <v>4056318000</v>
      </c>
      <c r="BR26" s="10">
        <f t="shared" si="31"/>
        <v>2845019832.8646011</v>
      </c>
    </row>
    <row r="27" spans="3:70" x14ac:dyDescent="0.15">
      <c r="D27" s="160" t="s">
        <v>86</v>
      </c>
      <c r="F27" s="481">
        <f>F117*5%/10^8</f>
        <v>89.25</v>
      </c>
      <c r="G27" s="84" t="s">
        <v>566</v>
      </c>
      <c r="I27" s="38">
        <f t="shared" si="32"/>
        <v>2042</v>
      </c>
      <c r="J27" s="39"/>
      <c r="K27" s="39">
        <f t="shared" si="33"/>
        <v>13</v>
      </c>
      <c r="L27" s="39"/>
      <c r="M27" s="40">
        <f t="shared" si="0"/>
        <v>0.68095133999317792</v>
      </c>
      <c r="N27" s="39"/>
      <c r="O27" s="72">
        <f t="shared" si="16"/>
        <v>17228183343.227627</v>
      </c>
      <c r="P27" s="41" t="str">
        <f t="shared" si="1"/>
        <v>-</v>
      </c>
      <c r="Q27" s="39"/>
      <c r="R27" s="72">
        <f t="shared" si="17"/>
        <v>28290343485.430882</v>
      </c>
      <c r="S27" s="39"/>
      <c r="T27" s="72">
        <f t="shared" si="18"/>
        <v>28290343000</v>
      </c>
      <c r="U27" s="39"/>
      <c r="V27" s="72">
        <f t="shared" si="2"/>
        <v>5742727781.0758753</v>
      </c>
      <c r="W27" s="72">
        <f t="shared" si="19"/>
        <v>3910518177.7396665</v>
      </c>
      <c r="X27" s="39"/>
      <c r="Y27" s="72">
        <f t="shared" si="3"/>
        <v>396064800</v>
      </c>
      <c r="Z27" s="72">
        <f t="shared" si="20"/>
        <v>269700856.28413004</v>
      </c>
      <c r="AA27" s="39"/>
      <c r="AB27" s="72">
        <f t="shared" si="4"/>
        <v>0</v>
      </c>
      <c r="AC27" s="72">
        <f t="shared" si="21"/>
        <v>0</v>
      </c>
      <c r="AD27" s="39"/>
      <c r="AE27" s="72">
        <f t="shared" si="5"/>
        <v>0</v>
      </c>
      <c r="AF27" s="72">
        <f t="shared" si="22"/>
        <v>0</v>
      </c>
      <c r="AG27" s="39"/>
      <c r="AH27" s="72">
        <f t="shared" si="6"/>
        <v>440000000.00000006</v>
      </c>
      <c r="AI27" s="72">
        <f t="shared" si="23"/>
        <v>299618589.59699833</v>
      </c>
      <c r="AJ27" s="39"/>
      <c r="AK27" s="72">
        <f t="shared" si="7"/>
        <v>4284000000</v>
      </c>
      <c r="AL27" s="72">
        <f t="shared" si="24"/>
        <v>2917195540.5307741</v>
      </c>
      <c r="AM27" s="39"/>
      <c r="AN27" s="72">
        <f t="shared" si="8"/>
        <v>3927000000.0000005</v>
      </c>
      <c r="AO27" s="72">
        <f t="shared" si="25"/>
        <v>2674095912.1532102</v>
      </c>
      <c r="AP27" s="39"/>
      <c r="AQ27" s="72">
        <f t="shared" si="9"/>
        <v>1055422000</v>
      </c>
      <c r="AR27" s="72">
        <f t="shared" si="26"/>
        <v>718691025.15827978</v>
      </c>
      <c r="AS27" s="39"/>
      <c r="AT27" s="40">
        <f>IF($K27&lt;=$F$15,IF($F$40&lt;&gt;"",$F$40/1000,IF(ISERROR(VLOOKUP($F$3&amp;IF($G$4&lt;&gt;"",$G$4,"")&amp;IF($F$43&lt;&gt;"","_"&amp;$F$43,""),'表3）燃料価格'!$AF$9:$AG$25,2,0)),0,VLOOKUP($I27,'表3）燃料価格'!$A$6:$U$66,VLOOKUP($F$3&amp;IF($G$4&lt;&gt;"",$G$4,"")&amp;IF($F$43&lt;&gt;"","_"&amp;$F$43,""),'表3）燃料価格'!$AF$9:$AG$25,2,0)+VLOOKUP($F$41,'表3）燃料価格'!$AF$28:$AG$29,2,0),0)*IF($F$43="需要地価格",1,$F$8/$F$141))),"")</f>
        <v>10.894103678805058</v>
      </c>
      <c r="AU27" s="39"/>
      <c r="AV27" s="72">
        <f t="shared" si="10"/>
        <v>17919959102.235901</v>
      </c>
      <c r="AW27" s="72">
        <f t="shared" si="11"/>
        <v>12202620163.290482</v>
      </c>
      <c r="AX27" s="39"/>
      <c r="AY27" s="40">
        <f>IF(ISERROR(IF($K27&lt;=$F$15,VLOOKUP($I27,'表4）CO2価格'!$A$7:$E$67,VLOOKUP($F$48,'表4）CO2価格'!$H$10:$I$12,2,0),0)*$F$8/1000,"")),0,IF($K27&lt;=$F$15,VLOOKUP($I27,'表4）CO2価格'!$A$7:$E$67,VLOOKUP($F$48,'表4）CO2価格'!$H$10:$I$12,2,0),0)*$F$8/1000,""))</f>
        <v>5.82080000000001</v>
      </c>
      <c r="AZ27" s="39"/>
      <c r="BA27" s="42">
        <f t="shared" si="12"/>
        <v>17937788198.576462</v>
      </c>
      <c r="BB27" s="72">
        <f t="shared" si="27"/>
        <v>12214760910.334455</v>
      </c>
      <c r="BC27" s="39"/>
      <c r="BD27" s="72">
        <f t="shared" si="13"/>
        <v>0</v>
      </c>
      <c r="BE27" s="72">
        <f t="shared" si="28"/>
        <v>0</v>
      </c>
      <c r="BF27" s="39"/>
      <c r="BG27" s="42">
        <f t="shared" si="14"/>
        <v>0</v>
      </c>
      <c r="BH27" s="72">
        <f t="shared" si="29"/>
        <v>0</v>
      </c>
      <c r="BI27" s="39"/>
      <c r="BJ27" s="40"/>
      <c r="BK27" s="157"/>
      <c r="BL27" s="157"/>
      <c r="BM27" s="72"/>
      <c r="BN27" s="72">
        <f>IF(AND(ISNUMBER($F$16),$K27&lt;=$F$16),BQ27*('バイオマス（木質専焼）（2030年）'!$O$15+'バイオマス（木質専焼）（2030年）'!$BK$116)/'バイオマス（木質専焼）（2030年）'!$BL$116,"")</f>
        <v>129668679369.96863</v>
      </c>
      <c r="BO27" s="72">
        <f t="shared" si="30"/>
        <v>88298060972.125885</v>
      </c>
      <c r="BP27" s="39"/>
      <c r="BQ27" s="72">
        <f t="shared" si="15"/>
        <v>4056318000</v>
      </c>
      <c r="BR27" s="72">
        <f t="shared" si="31"/>
        <v>2762155177.5384474</v>
      </c>
    </row>
    <row r="28" spans="3:70" x14ac:dyDescent="0.15">
      <c r="D28" s="84" t="s">
        <v>116</v>
      </c>
      <c r="F28" s="481">
        <v>1</v>
      </c>
      <c r="G28" s="84" t="s">
        <v>556</v>
      </c>
      <c r="I28" s="457">
        <f t="shared" si="32"/>
        <v>2043</v>
      </c>
      <c r="J28" s="71"/>
      <c r="K28" s="71">
        <f t="shared" si="33"/>
        <v>14</v>
      </c>
      <c r="L28" s="71"/>
      <c r="M28" s="7">
        <f t="shared" si="0"/>
        <v>0.66111780581861923</v>
      </c>
      <c r="N28" s="71"/>
      <c r="O28" s="10">
        <f t="shared" si="16"/>
        <v>11485455562.151752</v>
      </c>
      <c r="P28" s="29" t="str">
        <f t="shared" si="1"/>
        <v>-</v>
      </c>
      <c r="Q28" s="71"/>
      <c r="R28" s="10">
        <f t="shared" si="17"/>
        <v>24264511577.181686</v>
      </c>
      <c r="S28" s="71"/>
      <c r="T28" s="10">
        <f t="shared" si="18"/>
        <v>24264511000</v>
      </c>
      <c r="U28" s="71"/>
      <c r="V28" s="10">
        <f t="shared" si="2"/>
        <v>5742727781.0758753</v>
      </c>
      <c r="W28" s="10">
        <f t="shared" si="19"/>
        <v>3796619590.0385108</v>
      </c>
      <c r="X28" s="71"/>
      <c r="Y28" s="10">
        <f t="shared" si="3"/>
        <v>339703100</v>
      </c>
      <c r="Z28" s="10">
        <f t="shared" si="20"/>
        <v>224583768.10178298</v>
      </c>
      <c r="AA28" s="71"/>
      <c r="AB28" s="10">
        <f t="shared" si="4"/>
        <v>0</v>
      </c>
      <c r="AC28" s="10">
        <f t="shared" si="21"/>
        <v>0</v>
      </c>
      <c r="AD28" s="71"/>
      <c r="AE28" s="10">
        <f t="shared" si="5"/>
        <v>0</v>
      </c>
      <c r="AF28" s="10">
        <f t="shared" si="22"/>
        <v>0</v>
      </c>
      <c r="AG28" s="71"/>
      <c r="AH28" s="10">
        <f t="shared" si="6"/>
        <v>440000000.00000006</v>
      </c>
      <c r="AI28" s="10">
        <f t="shared" si="23"/>
        <v>290891834.56019253</v>
      </c>
      <c r="AJ28" s="71"/>
      <c r="AK28" s="10">
        <f t="shared" si="7"/>
        <v>4284000000</v>
      </c>
      <c r="AL28" s="10">
        <f t="shared" si="24"/>
        <v>2832228680.1269646</v>
      </c>
      <c r="AM28" s="71"/>
      <c r="AN28" s="10">
        <f t="shared" si="8"/>
        <v>3927000000.0000005</v>
      </c>
      <c r="AO28" s="10">
        <f t="shared" si="25"/>
        <v>2596209623.449718</v>
      </c>
      <c r="AP28" s="71"/>
      <c r="AQ28" s="10">
        <f t="shared" si="9"/>
        <v>1055422000</v>
      </c>
      <c r="AR28" s="10">
        <f t="shared" si="26"/>
        <v>697758276.8526988</v>
      </c>
      <c r="AS28" s="71"/>
      <c r="AT28" s="7">
        <f>IF($K28&lt;=$F$15,IF($F$40&lt;&gt;"",$F$40/1000,IF(ISERROR(VLOOKUP($F$3&amp;IF($G$4&lt;&gt;"",$G$4,"")&amp;IF($F$43&lt;&gt;"","_"&amp;$F$43,""),'表3）燃料価格'!$AF$9:$AG$25,2,0)),0,VLOOKUP($I28,'表3）燃料価格'!$A$6:$U$66,VLOOKUP($F$3&amp;IF($G$4&lt;&gt;"",$G$4,"")&amp;IF($F$43&lt;&gt;"","_"&amp;$F$43,""),'表3）燃料価格'!$AF$9:$AG$25,2,0)+VLOOKUP($F$41,'表3）燃料価格'!$AF$28:$AG$29,2,0),0)*IF($F$43="需要地価格",1,$F$8/$F$141))),"")</f>
        <v>10.879186348225893</v>
      </c>
      <c r="AU28" s="71"/>
      <c r="AV28" s="10">
        <f t="shared" si="10"/>
        <v>17899126323.996754</v>
      </c>
      <c r="AW28" s="10">
        <f t="shared" si="11"/>
        <v>11833431121.391022</v>
      </c>
      <c r="AX28" s="71"/>
      <c r="AY28" s="7">
        <f>IF(ISERROR(IF($K28&lt;=$F$15,VLOOKUP($I28,'表4）CO2価格'!$A$7:$E$67,VLOOKUP($F$48,'表4）CO2価格'!$H$10:$I$12,2,0),0)*$F$8/1000,"")),0,IF($K28&lt;=$F$15,VLOOKUP($I28,'表4）CO2価格'!$A$7:$E$67,VLOOKUP($F$48,'表4）CO2価格'!$H$10:$I$12,2,0),0)*$F$8/1000,""))</f>
        <v>5.9491999999999896</v>
      </c>
      <c r="AZ28" s="71"/>
      <c r="BA28" s="11">
        <f t="shared" si="12"/>
        <v>18333474702.956764</v>
      </c>
      <c r="BB28" s="10">
        <f t="shared" si="27"/>
        <v>12120586568.649939</v>
      </c>
      <c r="BC28" s="71"/>
      <c r="BD28" s="10">
        <f t="shared" si="13"/>
        <v>0</v>
      </c>
      <c r="BE28" s="10">
        <f t="shared" si="28"/>
        <v>0</v>
      </c>
      <c r="BF28" s="71"/>
      <c r="BG28" s="11">
        <f t="shared" si="14"/>
        <v>0</v>
      </c>
      <c r="BH28" s="10">
        <f t="shared" si="29"/>
        <v>0</v>
      </c>
      <c r="BJ28" s="7"/>
      <c r="BK28" s="158"/>
      <c r="BL28" s="158"/>
      <c r="BM28" s="10"/>
      <c r="BN28" s="10">
        <f>IF(AND(ISNUMBER($F$16),$K28&lt;=$F$16),BQ28*('バイオマス（木質専焼）（2030年）'!$O$15+'バイオマス（木質専焼）（2030年）'!$BK$116)/'バイオマス（木質専焼）（2030年）'!$BL$116,"")</f>
        <v>129668679369.96863</v>
      </c>
      <c r="BO28" s="10">
        <f t="shared" si="30"/>
        <v>85726272788.47171</v>
      </c>
      <c r="BQ28" s="10">
        <f t="shared" si="15"/>
        <v>4056318000</v>
      </c>
      <c r="BR28" s="10">
        <f t="shared" si="31"/>
        <v>2681704055.8625698</v>
      </c>
    </row>
    <row r="29" spans="3:70" x14ac:dyDescent="0.15">
      <c r="D29" s="84" t="s">
        <v>567</v>
      </c>
      <c r="F29" s="481"/>
      <c r="G29" s="84" t="s">
        <v>566</v>
      </c>
      <c r="I29" s="38">
        <f t="shared" si="32"/>
        <v>2044</v>
      </c>
      <c r="J29" s="39"/>
      <c r="K29" s="39">
        <f t="shared" si="33"/>
        <v>15</v>
      </c>
      <c r="L29" s="39"/>
      <c r="M29" s="40">
        <f t="shared" si="0"/>
        <v>0.64186194739671765</v>
      </c>
      <c r="N29" s="39"/>
      <c r="O29" s="72">
        <f t="shared" si="16"/>
        <v>5742727781.0758772</v>
      </c>
      <c r="P29" s="41" t="str">
        <f t="shared" si="1"/>
        <v>-</v>
      </c>
      <c r="Q29" s="39"/>
      <c r="R29" s="72">
        <f t="shared" si="17"/>
        <v>20811572061.060001</v>
      </c>
      <c r="S29" s="39"/>
      <c r="T29" s="72">
        <f t="shared" si="18"/>
        <v>20811572000</v>
      </c>
      <c r="U29" s="39"/>
      <c r="V29" s="72">
        <f t="shared" si="2"/>
        <v>5742727781.0758753</v>
      </c>
      <c r="W29" s="72">
        <f t="shared" si="19"/>
        <v>3686038436.9305925</v>
      </c>
      <c r="X29" s="39"/>
      <c r="Y29" s="72">
        <f t="shared" si="3"/>
        <v>291362000</v>
      </c>
      <c r="Z29" s="72">
        <f t="shared" si="20"/>
        <v>187014180.71740246</v>
      </c>
      <c r="AA29" s="39"/>
      <c r="AB29" s="72">
        <f t="shared" si="4"/>
        <v>0</v>
      </c>
      <c r="AC29" s="72">
        <f t="shared" si="21"/>
        <v>0</v>
      </c>
      <c r="AD29" s="39"/>
      <c r="AE29" s="72">
        <f t="shared" si="5"/>
        <v>0</v>
      </c>
      <c r="AF29" s="72">
        <f t="shared" si="22"/>
        <v>0</v>
      </c>
      <c r="AG29" s="39"/>
      <c r="AH29" s="72">
        <f t="shared" si="6"/>
        <v>440000000.00000006</v>
      </c>
      <c r="AI29" s="72">
        <f t="shared" si="23"/>
        <v>282419256.85455579</v>
      </c>
      <c r="AJ29" s="39"/>
      <c r="AK29" s="72">
        <f t="shared" si="7"/>
        <v>4284000000</v>
      </c>
      <c r="AL29" s="72">
        <f t="shared" si="24"/>
        <v>2749736582.6475382</v>
      </c>
      <c r="AM29" s="39"/>
      <c r="AN29" s="72">
        <f t="shared" si="8"/>
        <v>3927000000.0000005</v>
      </c>
      <c r="AO29" s="72">
        <f t="shared" si="25"/>
        <v>2520591867.4269104</v>
      </c>
      <c r="AP29" s="39"/>
      <c r="AQ29" s="72">
        <f t="shared" si="9"/>
        <v>1055422000</v>
      </c>
      <c r="AR29" s="72">
        <f t="shared" si="26"/>
        <v>677435220.24533856</v>
      </c>
      <c r="AS29" s="39"/>
      <c r="AT29" s="40">
        <f>IF($K29&lt;=$F$15,IF($F$40&lt;&gt;"",$F$40/1000,IF(ISERROR(VLOOKUP($F$3&amp;IF($G$4&lt;&gt;"",$G$4,"")&amp;IF($F$43&lt;&gt;"","_"&amp;$F$43,""),'表3）燃料価格'!$AF$9:$AG$25,2,0)),0,VLOOKUP($I29,'表3）燃料価格'!$A$6:$U$66,VLOOKUP($F$3&amp;IF($G$4&lt;&gt;"",$G$4,"")&amp;IF($F$43&lt;&gt;"","_"&amp;$F$43,""),'表3）燃料価格'!$AF$9:$AG$25,2,0)+VLOOKUP($F$41,'表3）燃料価格'!$AF$28:$AG$29,2,0),0)*IF($F$43="需要地価格",1,$F$8/$F$141))),"")</f>
        <v>10.864774788438096</v>
      </c>
      <c r="AU29" s="39"/>
      <c r="AV29" s="72">
        <f t="shared" si="10"/>
        <v>17878999879.28561</v>
      </c>
      <c r="AW29" s="72">
        <f t="shared" si="11"/>
        <v>11475849680.023941</v>
      </c>
      <c r="AX29" s="39"/>
      <c r="AY29" s="40">
        <f>IF(ISERROR(IF($K29&lt;=$F$15,VLOOKUP($I29,'表4）CO2価格'!$A$7:$E$67,VLOOKUP($F$48,'表4）CO2価格'!$H$10:$I$12,2,0),0)*$F$8/1000,"")),0,IF($K29&lt;=$F$15,VLOOKUP($I29,'表4）CO2価格'!$A$7:$E$67,VLOOKUP($F$48,'表4）CO2価格'!$H$10:$I$12,2,0),0)*$F$8/1000,""))</f>
        <v>6.077599999999971</v>
      </c>
      <c r="AZ29" s="39"/>
      <c r="BA29" s="42">
        <f t="shared" si="12"/>
        <v>18729161207.337067</v>
      </c>
      <c r="BB29" s="72">
        <f t="shared" si="27"/>
        <v>12021535885.64843</v>
      </c>
      <c r="BC29" s="39"/>
      <c r="BD29" s="72">
        <f t="shared" si="13"/>
        <v>0</v>
      </c>
      <c r="BE29" s="72">
        <f t="shared" si="28"/>
        <v>0</v>
      </c>
      <c r="BF29" s="39"/>
      <c r="BG29" s="42">
        <f t="shared" si="14"/>
        <v>0</v>
      </c>
      <c r="BH29" s="72">
        <f t="shared" si="29"/>
        <v>0</v>
      </c>
      <c r="BI29" s="39"/>
      <c r="BJ29" s="40"/>
      <c r="BK29" s="157"/>
      <c r="BL29" s="157"/>
      <c r="BM29" s="72"/>
      <c r="BN29" s="72">
        <f>IF(AND(ISNUMBER($F$16),$K29&lt;=$F$16),BQ29*('バイオマス（木質専焼）（2030年）'!$O$15+'バイオマス（木質専焼）（2030年）'!$BK$116)/'バイオマス（木質専焼）（2030年）'!$BL$116,"")</f>
        <v>129668679369.96863</v>
      </c>
      <c r="BO29" s="72">
        <f t="shared" si="30"/>
        <v>83229391056.768646</v>
      </c>
      <c r="BP29" s="39"/>
      <c r="BQ29" s="72">
        <f t="shared" si="15"/>
        <v>4056318000</v>
      </c>
      <c r="BR29" s="72">
        <f t="shared" si="31"/>
        <v>2603596170.7403588</v>
      </c>
    </row>
    <row r="30" spans="3:70" x14ac:dyDescent="0.15">
      <c r="I30" s="457">
        <f t="shared" si="32"/>
        <v>2045</v>
      </c>
      <c r="J30" s="71"/>
      <c r="K30" s="71">
        <f t="shared" si="33"/>
        <v>16</v>
      </c>
      <c r="L30" s="71"/>
      <c r="M30" s="7">
        <f t="shared" si="0"/>
        <v>0.62316693922011435</v>
      </c>
      <c r="N30" s="71"/>
      <c r="O30" s="10">
        <f t="shared" si="16"/>
        <v>1.9073486328125E-6</v>
      </c>
      <c r="P30" s="29" t="str">
        <f t="shared" si="1"/>
        <v>-</v>
      </c>
      <c r="Q30" s="71"/>
      <c r="R30" s="10">
        <f t="shared" si="17"/>
        <v>17850000000.000004</v>
      </c>
      <c r="S30" s="71"/>
      <c r="T30" s="10">
        <f t="shared" si="18"/>
        <v>17850000000</v>
      </c>
      <c r="U30" s="71"/>
      <c r="V30" s="10">
        <f t="shared" si="2"/>
        <v>0</v>
      </c>
      <c r="W30" s="10">
        <f t="shared" si="19"/>
        <v>0</v>
      </c>
      <c r="X30" s="71"/>
      <c r="Y30" s="10">
        <f t="shared" si="3"/>
        <v>249900000</v>
      </c>
      <c r="Z30" s="10">
        <f t="shared" si="20"/>
        <v>155729418.11110657</v>
      </c>
      <c r="AA30" s="71"/>
      <c r="AB30" s="10">
        <f t="shared" si="4"/>
        <v>0</v>
      </c>
      <c r="AC30" s="10">
        <f t="shared" si="21"/>
        <v>0</v>
      </c>
      <c r="AD30" s="71"/>
      <c r="AE30" s="10">
        <f t="shared" si="5"/>
        <v>0</v>
      </c>
      <c r="AF30" s="10">
        <f t="shared" si="22"/>
        <v>0</v>
      </c>
      <c r="AG30" s="71"/>
      <c r="AH30" s="10">
        <f t="shared" si="6"/>
        <v>440000000.00000006</v>
      </c>
      <c r="AI30" s="10">
        <f t="shared" si="23"/>
        <v>274193453.25685036</v>
      </c>
      <c r="AJ30" s="71"/>
      <c r="AK30" s="10">
        <f t="shared" si="7"/>
        <v>4284000000</v>
      </c>
      <c r="AL30" s="10">
        <f t="shared" si="24"/>
        <v>2669647167.6189699</v>
      </c>
      <c r="AM30" s="71"/>
      <c r="AN30" s="10">
        <f t="shared" si="8"/>
        <v>3927000000.0000005</v>
      </c>
      <c r="AO30" s="10">
        <f t="shared" si="25"/>
        <v>2447176570.3173895</v>
      </c>
      <c r="AP30" s="71"/>
      <c r="AQ30" s="10">
        <f t="shared" si="9"/>
        <v>1055422000</v>
      </c>
      <c r="AR30" s="10">
        <f t="shared" si="26"/>
        <v>657704097.32557154</v>
      </c>
      <c r="AS30" s="71"/>
      <c r="AT30" s="7">
        <f>IF($K30&lt;=$F$15,IF($F$40&lt;&gt;"",$F$40/1000,IF(ISERROR(VLOOKUP($F$3&amp;IF($G$4&lt;&gt;"",$G$4,"")&amp;IF($F$43&lt;&gt;"","_"&amp;$F$43,""),'表3）燃料価格'!$AF$9:$AG$25,2,0)),0,VLOOKUP($I30,'表3）燃料価格'!$A$6:$U$66,VLOOKUP($F$3&amp;IF($G$4&lt;&gt;"",$G$4,"")&amp;IF($F$43&lt;&gt;"","_"&amp;$F$43,""),'表3）燃料価格'!$AF$9:$AG$25,2,0)+VLOOKUP($F$41,'表3）燃料価格'!$AF$28:$AG$29,2,0),0)*IF($F$43="需要地価格",1,$F$8/$F$141))),"")</f>
        <v>10.850835824919093</v>
      </c>
      <c r="AU30" s="71"/>
      <c r="AV30" s="10">
        <f t="shared" si="10"/>
        <v>17859533438.266968</v>
      </c>
      <c r="AW30" s="10">
        <f t="shared" si="11"/>
        <v>11129470788.624111</v>
      </c>
      <c r="AX30" s="71"/>
      <c r="AY30" s="7">
        <f>IF(ISERROR(IF($K30&lt;=$F$15,VLOOKUP($I30,'表4）CO2価格'!$A$7:$E$67,VLOOKUP($F$48,'表4）CO2価格'!$H$10:$I$12,2,0),0)*$F$8/1000,"")),0,IF($K30&lt;=$F$15,VLOOKUP($I30,'表4）CO2価格'!$A$7:$E$67,VLOOKUP($F$48,'表4）CO2価格'!$H$10:$I$12,2,0),0)*$F$8/1000,""))</f>
        <v>6.2060000000000004</v>
      </c>
      <c r="AZ30" s="71"/>
      <c r="BA30" s="11">
        <f t="shared" si="12"/>
        <v>19124847711.717522</v>
      </c>
      <c r="BB30" s="10">
        <f t="shared" si="27"/>
        <v>11917972811.561815</v>
      </c>
      <c r="BC30" s="71"/>
      <c r="BD30" s="10">
        <f t="shared" si="13"/>
        <v>0</v>
      </c>
      <c r="BE30" s="10">
        <f t="shared" si="28"/>
        <v>0</v>
      </c>
      <c r="BF30" s="71"/>
      <c r="BG30" s="11">
        <f t="shared" si="14"/>
        <v>0</v>
      </c>
      <c r="BH30" s="10">
        <f t="shared" si="29"/>
        <v>0</v>
      </c>
      <c r="BJ30" s="7"/>
      <c r="BK30" s="158"/>
      <c r="BL30" s="158"/>
      <c r="BM30" s="10"/>
      <c r="BN30" s="10">
        <f>IF(AND(ISNUMBER($F$16),$K30&lt;=$F$16),BQ30*('バイオマス（木質専焼）（2030年）'!$O$15+'バイオマス（木質専焼）（2030年）'!$BK$116)/'バイオマス（木質専焼）（2030年）'!$BL$116,"")</f>
        <v>129668679369.96863</v>
      </c>
      <c r="BO30" s="10">
        <f t="shared" si="30"/>
        <v>80805234035.697739</v>
      </c>
      <c r="BQ30" s="10">
        <f t="shared" si="15"/>
        <v>4056318000</v>
      </c>
      <c r="BR30" s="10">
        <f t="shared" si="31"/>
        <v>2527763272.5634556</v>
      </c>
    </row>
    <row r="31" spans="3:70" x14ac:dyDescent="0.15">
      <c r="C31" s="4" t="s">
        <v>568</v>
      </c>
      <c r="D31" s="100"/>
      <c r="E31" s="100"/>
      <c r="F31" s="4"/>
      <c r="G31" s="100"/>
      <c r="I31" s="38">
        <f t="shared" si="32"/>
        <v>2046</v>
      </c>
      <c r="J31" s="39"/>
      <c r="K31" s="39">
        <f t="shared" si="33"/>
        <v>17</v>
      </c>
      <c r="L31" s="39"/>
      <c r="M31" s="40">
        <f t="shared" si="0"/>
        <v>0.60501644584477121</v>
      </c>
      <c r="N31" s="39"/>
      <c r="O31" s="72">
        <f t="shared" si="16"/>
        <v>1.9073486328125E-6</v>
      </c>
      <c r="P31" s="41" t="str">
        <f t="shared" si="1"/>
        <v>-</v>
      </c>
      <c r="Q31" s="39"/>
      <c r="R31" s="72">
        <f t="shared" si="17"/>
        <v>15309871789.847464</v>
      </c>
      <c r="S31" s="39"/>
      <c r="T31" s="72">
        <f t="shared" si="18"/>
        <v>15309871000</v>
      </c>
      <c r="U31" s="39"/>
      <c r="V31" s="72">
        <f t="shared" si="2"/>
        <v>0</v>
      </c>
      <c r="W31" s="72">
        <f t="shared" si="19"/>
        <v>0</v>
      </c>
      <c r="X31" s="39"/>
      <c r="Y31" s="72">
        <f t="shared" si="3"/>
        <v>214338100</v>
      </c>
      <c r="Z31" s="72">
        <f t="shared" si="20"/>
        <v>129678075.47112116</v>
      </c>
      <c r="AA31" s="39"/>
      <c r="AB31" s="72">
        <f t="shared" si="4"/>
        <v>0</v>
      </c>
      <c r="AC31" s="72">
        <f t="shared" si="21"/>
        <v>0</v>
      </c>
      <c r="AD31" s="39"/>
      <c r="AE31" s="72">
        <f t="shared" si="5"/>
        <v>0</v>
      </c>
      <c r="AF31" s="72">
        <f t="shared" si="22"/>
        <v>0</v>
      </c>
      <c r="AG31" s="39"/>
      <c r="AH31" s="72">
        <f t="shared" si="6"/>
        <v>440000000.00000006</v>
      </c>
      <c r="AI31" s="72">
        <f t="shared" si="23"/>
        <v>266207236.17169937</v>
      </c>
      <c r="AJ31" s="39"/>
      <c r="AK31" s="72">
        <f t="shared" si="7"/>
        <v>4284000000</v>
      </c>
      <c r="AL31" s="72">
        <f t="shared" si="24"/>
        <v>2591890453.9990001</v>
      </c>
      <c r="AM31" s="39"/>
      <c r="AN31" s="72">
        <f t="shared" si="8"/>
        <v>3927000000.0000005</v>
      </c>
      <c r="AO31" s="72">
        <f t="shared" si="25"/>
        <v>2375899582.832417</v>
      </c>
      <c r="AP31" s="39"/>
      <c r="AQ31" s="72">
        <f t="shared" si="9"/>
        <v>1055422000</v>
      </c>
      <c r="AR31" s="72">
        <f t="shared" si="26"/>
        <v>638547667.30638015</v>
      </c>
      <c r="AS31" s="39"/>
      <c r="AT31" s="40">
        <f>IF($K31&lt;=$F$15,IF($F$40&lt;&gt;"",$F$40/1000,IF(ISERROR(VLOOKUP($F$3&amp;IF($G$4&lt;&gt;"",$G$4,"")&amp;IF($F$43&lt;&gt;"","_"&amp;$F$43,""),'表3）燃料価格'!$AF$9:$AG$25,2,0)),0,VLOOKUP($I31,'表3）燃料価格'!$A$6:$U$66,VLOOKUP($F$3&amp;IF($G$4&lt;&gt;"",$G$4,"")&amp;IF($F$43&lt;&gt;"","_"&amp;$F$43,""),'表3）燃料価格'!$AF$9:$AG$25,2,0)+VLOOKUP($F$41,'表3）燃料価格'!$AF$28:$AG$29,2,0),0)*IF($F$43="需要地価格",1,$F$8/$F$141))),"")</f>
        <v>10.83733944374096</v>
      </c>
      <c r="AU31" s="39"/>
      <c r="AV31" s="72">
        <f t="shared" si="10"/>
        <v>17840685085.029575</v>
      </c>
      <c r="AW31" s="72">
        <f t="shared" si="11"/>
        <v>10793907881.580414</v>
      </c>
      <c r="AX31" s="39"/>
      <c r="AY31" s="40">
        <f>IF(ISERROR(IF($K31&lt;=$F$15,VLOOKUP($I31,'表4）CO2価格'!$A$7:$E$67,VLOOKUP($F$48,'表4）CO2価格'!$H$10:$I$12,2,0),0)*$F$8/1000,"")),0,IF($K31&lt;=$F$15,VLOOKUP($I31,'表4）CO2価格'!$A$7:$E$67,VLOOKUP($F$48,'表4）CO2価格'!$H$10:$I$12,2,0),0)*$F$8/1000,""))</f>
        <v>6.3343999999999809</v>
      </c>
      <c r="AZ31" s="39"/>
      <c r="BA31" s="42">
        <f t="shared" si="12"/>
        <v>19520534216.097824</v>
      </c>
      <c r="BB31" s="72">
        <f t="shared" si="27"/>
        <v>11810244232.414753</v>
      </c>
      <c r="BC31" s="39"/>
      <c r="BD31" s="72">
        <f t="shared" si="13"/>
        <v>0</v>
      </c>
      <c r="BE31" s="72">
        <f t="shared" si="28"/>
        <v>0</v>
      </c>
      <c r="BF31" s="39"/>
      <c r="BG31" s="42">
        <f t="shared" si="14"/>
        <v>0</v>
      </c>
      <c r="BH31" s="72">
        <f t="shared" si="29"/>
        <v>0</v>
      </c>
      <c r="BI31" s="39"/>
      <c r="BJ31" s="40"/>
      <c r="BK31" s="157"/>
      <c r="BL31" s="157"/>
      <c r="BM31" s="72"/>
      <c r="BN31" s="72">
        <f>IF(AND(ISNUMBER($F$16),$K31&lt;=$F$16),BQ31*('バイオマス（木質専焼）（2030年）'!$O$15+'バイオマス（木質専焼）（2030年）'!$BK$116)/'バイオマス（木質専焼）（2030年）'!$BL$116,"")</f>
        <v>129668679369.96863</v>
      </c>
      <c r="BO31" s="72">
        <f t="shared" si="30"/>
        <v>78451683529.803619</v>
      </c>
      <c r="BP31" s="39"/>
      <c r="BQ31" s="72">
        <f t="shared" si="15"/>
        <v>4056318000</v>
      </c>
      <c r="BR31" s="72">
        <f t="shared" si="31"/>
        <v>2454139099.5761704</v>
      </c>
    </row>
    <row r="32" spans="3:70" x14ac:dyDescent="0.15">
      <c r="I32" s="457">
        <f t="shared" si="32"/>
        <v>2047</v>
      </c>
      <c r="J32" s="71"/>
      <c r="K32" s="71">
        <f t="shared" si="33"/>
        <v>18</v>
      </c>
      <c r="L32" s="71"/>
      <c r="M32" s="7">
        <f t="shared" si="0"/>
        <v>0.5873946076162827</v>
      </c>
      <c r="N32" s="71"/>
      <c r="O32" s="10">
        <f t="shared" si="16"/>
        <v>1.9073486328125E-6</v>
      </c>
      <c r="P32" s="29" t="str">
        <f t="shared" si="1"/>
        <v>-</v>
      </c>
      <c r="Q32" s="71"/>
      <c r="R32" s="10">
        <f t="shared" si="17"/>
        <v>13131214242.104601</v>
      </c>
      <c r="S32" s="71"/>
      <c r="T32" s="10">
        <f t="shared" si="18"/>
        <v>13131214000</v>
      </c>
      <c r="U32" s="71"/>
      <c r="V32" s="10">
        <f t="shared" si="2"/>
        <v>0</v>
      </c>
      <c r="W32" s="10">
        <f t="shared" si="19"/>
        <v>0</v>
      </c>
      <c r="X32" s="71"/>
      <c r="Y32" s="10">
        <f t="shared" si="3"/>
        <v>183836900</v>
      </c>
      <c r="Z32" s="10">
        <f t="shared" si="20"/>
        <v>107984803.7408938</v>
      </c>
      <c r="AA32" s="71"/>
      <c r="AB32" s="10">
        <f t="shared" si="4"/>
        <v>0</v>
      </c>
      <c r="AC32" s="10">
        <f t="shared" si="21"/>
        <v>0</v>
      </c>
      <c r="AD32" s="71"/>
      <c r="AE32" s="10">
        <f t="shared" si="5"/>
        <v>0</v>
      </c>
      <c r="AF32" s="10">
        <f t="shared" si="22"/>
        <v>0</v>
      </c>
      <c r="AG32" s="71"/>
      <c r="AH32" s="10">
        <f t="shared" si="6"/>
        <v>440000000.00000006</v>
      </c>
      <c r="AI32" s="10">
        <f t="shared" si="23"/>
        <v>258453627.35116443</v>
      </c>
      <c r="AJ32" s="71"/>
      <c r="AK32" s="10">
        <f t="shared" si="7"/>
        <v>4284000000</v>
      </c>
      <c r="AL32" s="10">
        <f t="shared" si="24"/>
        <v>2516398499.0281553</v>
      </c>
      <c r="AM32" s="71"/>
      <c r="AN32" s="10">
        <f t="shared" si="8"/>
        <v>3927000000.0000005</v>
      </c>
      <c r="AO32" s="10">
        <f t="shared" si="25"/>
        <v>2306698624.1091423</v>
      </c>
      <c r="AP32" s="71"/>
      <c r="AQ32" s="10">
        <f t="shared" si="9"/>
        <v>1055422000</v>
      </c>
      <c r="AR32" s="10">
        <f t="shared" si="26"/>
        <v>619949191.55959237</v>
      </c>
      <c r="AS32" s="71"/>
      <c r="AT32" s="7">
        <f>IF($K32&lt;=$F$15,IF($F$40&lt;&gt;"",$F$40/1000,IF(ISERROR(VLOOKUP($F$3&amp;IF($G$4&lt;&gt;"",$G$4,"")&amp;IF($F$43&lt;&gt;"","_"&amp;$F$43,""),'表3）燃料価格'!$AF$9:$AG$25,2,0)),0,VLOOKUP($I32,'表3）燃料価格'!$A$6:$U$66,VLOOKUP($F$3&amp;IF($G$4&lt;&gt;"",$G$4,"")&amp;IF($F$43&lt;&gt;"","_"&amp;$F$43,""),'表3）燃料価格'!$AF$9:$AG$25,2,0)+VLOOKUP($F$41,'表3）燃料価格'!$AF$28:$AG$29,2,0),0)*IF($F$43="需要地価格",1,$F$8/$F$141))),"")</f>
        <v>10.824258402410223</v>
      </c>
      <c r="AU32" s="71"/>
      <c r="AV32" s="10">
        <f t="shared" si="10"/>
        <v>17822416774.105301</v>
      </c>
      <c r="AW32" s="10">
        <f t="shared" si="11"/>
        <v>10468791507.799438</v>
      </c>
      <c r="AX32" s="71"/>
      <c r="AY32" s="7">
        <f>IF(ISERROR(IF($K32&lt;=$F$15,VLOOKUP($I32,'表4）CO2価格'!$A$7:$E$67,VLOOKUP($F$48,'表4）CO2価格'!$H$10:$I$12,2,0),0)*$F$8/1000,"")),0,IF($K32&lt;=$F$15,VLOOKUP($I32,'表4）CO2価格'!$A$7:$E$67,VLOOKUP($F$48,'表4）CO2価格'!$H$10:$I$12,2,0),0)*$F$8/1000,""))</f>
        <v>6.4628000000000103</v>
      </c>
      <c r="AZ32" s="71"/>
      <c r="BA32" s="11">
        <f t="shared" si="12"/>
        <v>19916220720.478275</v>
      </c>
      <c r="BB32" s="10">
        <f t="shared" si="27"/>
        <v>11698680655.304615</v>
      </c>
      <c r="BC32" s="71"/>
      <c r="BD32" s="10">
        <f t="shared" si="13"/>
        <v>0</v>
      </c>
      <c r="BE32" s="10">
        <f t="shared" si="28"/>
        <v>0</v>
      </c>
      <c r="BF32" s="71"/>
      <c r="BG32" s="11">
        <f t="shared" si="14"/>
        <v>0</v>
      </c>
      <c r="BH32" s="10">
        <f t="shared" si="29"/>
        <v>0</v>
      </c>
      <c r="BJ32" s="7"/>
      <c r="BK32" s="158"/>
      <c r="BL32" s="158"/>
      <c r="BM32" s="10"/>
      <c r="BN32" s="10">
        <f>IF(AND(ISNUMBER($F$16),$K32&lt;=$F$16),BQ32*('バイオマス（木質専焼）（2030年）'!$O$15+'バイオマス（木質専焼）（2030年）'!$BK$116)/'バイオマス（木質専焼）（2030年）'!$BL$116,"")</f>
        <v>129668679369.96863</v>
      </c>
      <c r="BO32" s="10">
        <f t="shared" si="30"/>
        <v>76166683038.644287</v>
      </c>
      <c r="BQ32" s="10">
        <f t="shared" si="15"/>
        <v>4056318000</v>
      </c>
      <c r="BR32" s="10">
        <f t="shared" si="31"/>
        <v>2382659319.9768648</v>
      </c>
    </row>
    <row r="33" spans="3:70" x14ac:dyDescent="0.15">
      <c r="D33" s="84" t="s">
        <v>636</v>
      </c>
      <c r="F33" s="475">
        <v>4.4000000000000004</v>
      </c>
      <c r="G33" s="84" t="s">
        <v>637</v>
      </c>
      <c r="I33" s="38">
        <f t="shared" si="32"/>
        <v>2048</v>
      </c>
      <c r="J33" s="39"/>
      <c r="K33" s="39">
        <f t="shared" si="33"/>
        <v>19</v>
      </c>
      <c r="L33" s="39"/>
      <c r="M33" s="40">
        <f t="shared" si="0"/>
        <v>0.57028602681192497</v>
      </c>
      <c r="N33" s="39"/>
      <c r="O33" s="72">
        <f t="shared" si="16"/>
        <v>1.9073486328125E-6</v>
      </c>
      <c r="P33" s="41" t="str">
        <f t="shared" si="1"/>
        <v>-</v>
      </c>
      <c r="Q33" s="39"/>
      <c r="R33" s="72">
        <f t="shared" si="17"/>
        <v>11262588598.971453</v>
      </c>
      <c r="S33" s="39"/>
      <c r="T33" s="72">
        <f t="shared" si="18"/>
        <v>11262588000</v>
      </c>
      <c r="U33" s="39"/>
      <c r="V33" s="72">
        <f t="shared" si="2"/>
        <v>0</v>
      </c>
      <c r="W33" s="72">
        <f t="shared" si="19"/>
        <v>0</v>
      </c>
      <c r="X33" s="39"/>
      <c r="Y33" s="72">
        <f t="shared" si="3"/>
        <v>157676200</v>
      </c>
      <c r="Z33" s="72">
        <f t="shared" si="20"/>
        <v>89920533.620802447</v>
      </c>
      <c r="AA33" s="39"/>
      <c r="AB33" s="72">
        <f t="shared" si="4"/>
        <v>0</v>
      </c>
      <c r="AC33" s="72">
        <f t="shared" si="21"/>
        <v>0</v>
      </c>
      <c r="AD33" s="39"/>
      <c r="AE33" s="72">
        <f t="shared" si="5"/>
        <v>0</v>
      </c>
      <c r="AF33" s="72">
        <f t="shared" si="22"/>
        <v>0</v>
      </c>
      <c r="AG33" s="39"/>
      <c r="AH33" s="72">
        <f t="shared" si="6"/>
        <v>440000000.00000006</v>
      </c>
      <c r="AI33" s="72">
        <f t="shared" si="23"/>
        <v>250925851.79724702</v>
      </c>
      <c r="AJ33" s="39"/>
      <c r="AK33" s="72">
        <f t="shared" si="7"/>
        <v>4284000000</v>
      </c>
      <c r="AL33" s="72">
        <f t="shared" si="24"/>
        <v>2443105338.8622866</v>
      </c>
      <c r="AM33" s="39"/>
      <c r="AN33" s="72">
        <f t="shared" si="8"/>
        <v>3927000000.0000005</v>
      </c>
      <c r="AO33" s="72">
        <f t="shared" si="25"/>
        <v>2239513227.2904296</v>
      </c>
      <c r="AP33" s="39"/>
      <c r="AQ33" s="72">
        <f t="shared" si="9"/>
        <v>1055422000</v>
      </c>
      <c r="AR33" s="72">
        <f t="shared" si="26"/>
        <v>601892418.98989546</v>
      </c>
      <c r="AS33" s="39"/>
      <c r="AT33" s="40">
        <f>IF($K33&lt;=$F$15,IF($F$40&lt;&gt;"",$F$40/1000,IF(ISERROR(VLOOKUP($F$3&amp;IF($G$4&lt;&gt;"",$G$4,"")&amp;IF($F$43&lt;&gt;"","_"&amp;$F$43,""),'表3）燃料価格'!$AF$9:$AG$25,2,0)),0,VLOOKUP($I33,'表3）燃料価格'!$A$6:$U$66,VLOOKUP($F$3&amp;IF($G$4&lt;&gt;"",$G$4,"")&amp;IF($F$43&lt;&gt;"","_"&amp;$F$43,""),'表3）燃料価格'!$AF$9:$AG$25,2,0)+VLOOKUP($F$41,'表3）燃料価格'!$AF$28:$AG$29,2,0),0)*IF($F$43="需要地価格",1,$F$8/$F$141))),"")</f>
        <v>10.811567898819405</v>
      </c>
      <c r="AU33" s="39"/>
      <c r="AV33" s="72">
        <f t="shared" si="10"/>
        <v>17804693868.143837</v>
      </c>
      <c r="AW33" s="72">
        <f t="shared" si="11"/>
        <v>10153768124.666393</v>
      </c>
      <c r="AX33" s="39"/>
      <c r="AY33" s="40">
        <f>IF(ISERROR(IF($K33&lt;=$F$15,VLOOKUP($I33,'表4）CO2価格'!$A$7:$E$67,VLOOKUP($F$48,'表4）CO2価格'!$H$10:$I$12,2,0),0)*$F$8/1000,"")),0,IF($K33&lt;=$F$15,VLOOKUP($I33,'表4）CO2価格'!$A$7:$E$67,VLOOKUP($F$48,'表4）CO2価格'!$H$10:$I$12,2,0),0)*$F$8/1000,""))</f>
        <v>6.59119999999999</v>
      </c>
      <c r="AZ33" s="39"/>
      <c r="BA33" s="42">
        <f t="shared" si="12"/>
        <v>20311907224.858578</v>
      </c>
      <c r="BB33" s="72">
        <f t="shared" si="27"/>
        <v>11583596868.237032</v>
      </c>
      <c r="BC33" s="39"/>
      <c r="BD33" s="72">
        <f t="shared" si="13"/>
        <v>0</v>
      </c>
      <c r="BE33" s="72">
        <f t="shared" si="28"/>
        <v>0</v>
      </c>
      <c r="BF33" s="39"/>
      <c r="BG33" s="42">
        <f t="shared" si="14"/>
        <v>0</v>
      </c>
      <c r="BH33" s="72">
        <f t="shared" si="29"/>
        <v>0</v>
      </c>
      <c r="BI33" s="39"/>
      <c r="BJ33" s="40"/>
      <c r="BK33" s="157"/>
      <c r="BL33" s="157"/>
      <c r="BM33" s="72"/>
      <c r="BN33" s="72">
        <f>IF(AND(ISNUMBER($F$16),$K33&lt;=$F$16),BQ33*('バイオマス（木質専焼）（2030年）'!$O$15+'バイオマス（木質専焼）（2030年）'!$BK$116)/'バイオマス（木質専焼）（2030年）'!$BL$116,"")</f>
        <v>129668679369.96863</v>
      </c>
      <c r="BO33" s="72">
        <f t="shared" si="30"/>
        <v>73948235959.848831</v>
      </c>
      <c r="BP33" s="39"/>
      <c r="BQ33" s="72">
        <f t="shared" si="15"/>
        <v>4056318000</v>
      </c>
      <c r="BR33" s="72">
        <f t="shared" si="31"/>
        <v>2313261475.7056937</v>
      </c>
    </row>
    <row r="34" spans="3:70" x14ac:dyDescent="0.15">
      <c r="D34" s="84" t="s">
        <v>120</v>
      </c>
      <c r="F34" s="475">
        <v>2.4</v>
      </c>
      <c r="G34" s="84" t="s">
        <v>638</v>
      </c>
      <c r="I34" s="457">
        <f t="shared" si="32"/>
        <v>2049</v>
      </c>
      <c r="J34" s="71"/>
      <c r="K34" s="71">
        <f t="shared" si="33"/>
        <v>20</v>
      </c>
      <c r="L34" s="71"/>
      <c r="M34" s="7">
        <f t="shared" si="0"/>
        <v>0.55367575418633497</v>
      </c>
      <c r="N34" s="71"/>
      <c r="O34" s="10">
        <f t="shared" si="16"/>
        <v>1.9073486328125E-6</v>
      </c>
      <c r="P34" s="29" t="str">
        <f t="shared" si="1"/>
        <v>-</v>
      </c>
      <c r="Q34" s="71"/>
      <c r="R34" s="10">
        <f t="shared" si="17"/>
        <v>9659876048.8543797</v>
      </c>
      <c r="S34" s="71"/>
      <c r="T34" s="10">
        <f t="shared" si="18"/>
        <v>9659876000</v>
      </c>
      <c r="U34" s="71"/>
      <c r="V34" s="10">
        <f t="shared" si="2"/>
        <v>0</v>
      </c>
      <c r="W34" s="10">
        <f t="shared" si="19"/>
        <v>0</v>
      </c>
      <c r="X34" s="71"/>
      <c r="Y34" s="10">
        <f t="shared" si="3"/>
        <v>135238200</v>
      </c>
      <c r="Z34" s="10">
        <f t="shared" si="20"/>
        <v>74878112.379802406</v>
      </c>
      <c r="AA34" s="71"/>
      <c r="AB34" s="10">
        <f t="shared" si="4"/>
        <v>0</v>
      </c>
      <c r="AC34" s="10">
        <f t="shared" si="21"/>
        <v>0</v>
      </c>
      <c r="AD34" s="71"/>
      <c r="AE34" s="10">
        <f t="shared" si="5"/>
        <v>0</v>
      </c>
      <c r="AF34" s="10">
        <f t="shared" si="22"/>
        <v>0</v>
      </c>
      <c r="AG34" s="71"/>
      <c r="AH34" s="10">
        <f t="shared" si="6"/>
        <v>440000000.00000006</v>
      </c>
      <c r="AI34" s="10">
        <f t="shared" si="23"/>
        <v>243617331.84198743</v>
      </c>
      <c r="AJ34" s="71"/>
      <c r="AK34" s="10">
        <f t="shared" si="7"/>
        <v>4284000000</v>
      </c>
      <c r="AL34" s="10">
        <f t="shared" si="24"/>
        <v>2371946930.9342589</v>
      </c>
      <c r="AM34" s="71"/>
      <c r="AN34" s="10">
        <f t="shared" si="8"/>
        <v>3927000000.0000005</v>
      </c>
      <c r="AO34" s="10">
        <f t="shared" si="25"/>
        <v>2174284686.6897378</v>
      </c>
      <c r="AP34" s="71"/>
      <c r="AQ34" s="10">
        <f t="shared" si="9"/>
        <v>1055422000</v>
      </c>
      <c r="AR34" s="10">
        <f t="shared" si="26"/>
        <v>584361571.83485007</v>
      </c>
      <c r="AS34" s="71"/>
      <c r="AT34" s="7">
        <f>IF($K34&lt;=$F$15,IF($F$40&lt;&gt;"",$F$40/1000,IF(ISERROR(VLOOKUP($F$3&amp;IF($G$4&lt;&gt;"",$G$4,"")&amp;IF($F$43&lt;&gt;"","_"&amp;$F$43,""),'表3）燃料価格'!$AF$9:$AG$25,2,0)),0,VLOOKUP($I34,'表3）燃料価格'!$A$6:$U$66,VLOOKUP($F$3&amp;IF($G$4&lt;&gt;"",$G$4,"")&amp;IF($F$43&lt;&gt;"","_"&amp;$F$43,""),'表3）燃料価格'!$AF$9:$AG$25,2,0)+VLOOKUP($F$41,'表3）燃料価格'!$AF$28:$AG$29,2,0),0)*IF($F$43="需要地価格",1,$F$8/$F$141))),"")</f>
        <v>10.799245288198325</v>
      </c>
      <c r="AU34" s="71"/>
      <c r="AV34" s="10">
        <f t="shared" si="10"/>
        <v>17787484742.621414</v>
      </c>
      <c r="AW34" s="10">
        <f t="shared" si="11"/>
        <v>9848499029.9488373</v>
      </c>
      <c r="AX34" s="71"/>
      <c r="AY34" s="7">
        <f>IF(ISERROR(IF($K34&lt;=$F$15,VLOOKUP($I34,'表4）CO2価格'!$A$7:$E$67,VLOOKUP($F$48,'表4）CO2価格'!$H$10:$I$12,2,0),0)*$F$8/1000,"")),0,IF($K34&lt;=$F$15,VLOOKUP($I34,'表4）CO2価格'!$A$7:$E$67,VLOOKUP($F$48,'表4）CO2価格'!$H$10:$I$12,2,0),0)*$F$8/1000,""))</f>
        <v>6.7195999999999714</v>
      </c>
      <c r="AZ34" s="71"/>
      <c r="BA34" s="11">
        <f t="shared" si="12"/>
        <v>20707593729.23888</v>
      </c>
      <c r="BB34" s="10">
        <f t="shared" si="27"/>
        <v>11465292575.420557</v>
      </c>
      <c r="BC34" s="71"/>
      <c r="BD34" s="10">
        <f t="shared" si="13"/>
        <v>0</v>
      </c>
      <c r="BE34" s="10">
        <f t="shared" si="28"/>
        <v>0</v>
      </c>
      <c r="BF34" s="71"/>
      <c r="BG34" s="11">
        <f t="shared" si="14"/>
        <v>0</v>
      </c>
      <c r="BH34" s="10">
        <f t="shared" si="29"/>
        <v>0</v>
      </c>
      <c r="BJ34" s="7"/>
      <c r="BK34" s="158"/>
      <c r="BL34" s="158"/>
      <c r="BM34" s="10"/>
      <c r="BN34" s="10">
        <f>IF(AND(ISNUMBER($F$16),$K34&lt;=$F$16),BQ34*('バイオマス（木質専焼）（2030年）'!$O$15+'バイオマス（木質専焼）（2030年）'!$BK$116)/'バイオマス（木質専焼）（2030年）'!$BL$116,"")</f>
        <v>129668679369.96863</v>
      </c>
      <c r="BO34" s="10">
        <f t="shared" si="30"/>
        <v>71794403844.513428</v>
      </c>
      <c r="BQ34" s="10">
        <f t="shared" si="15"/>
        <v>4056318000</v>
      </c>
      <c r="BR34" s="10">
        <f t="shared" si="31"/>
        <v>2245884927.869606</v>
      </c>
    </row>
    <row r="35" spans="3:70" x14ac:dyDescent="0.15">
      <c r="D35" s="84" t="s">
        <v>122</v>
      </c>
      <c r="F35" s="475">
        <v>2.2000000000000002</v>
      </c>
      <c r="G35" s="84" t="s">
        <v>638</v>
      </c>
      <c r="I35" s="38">
        <f t="shared" si="32"/>
        <v>2050</v>
      </c>
      <c r="J35" s="39"/>
      <c r="K35" s="39">
        <f t="shared" si="33"/>
        <v>21</v>
      </c>
      <c r="L35" s="39"/>
      <c r="M35" s="40">
        <f t="shared" si="0"/>
        <v>0.5375492759090631</v>
      </c>
      <c r="N35" s="39"/>
      <c r="O35" s="72">
        <f t="shared" si="16"/>
        <v>1.9073486328125E-6</v>
      </c>
      <c r="P35" s="41" t="str">
        <f t="shared" si="1"/>
        <v>-</v>
      </c>
      <c r="Q35" s="39"/>
      <c r="R35" s="72">
        <f t="shared" si="17"/>
        <v>8925000000</v>
      </c>
      <c r="S35" s="39"/>
      <c r="T35" s="72">
        <f t="shared" si="18"/>
        <v>8925000000</v>
      </c>
      <c r="U35" s="39"/>
      <c r="V35" s="72">
        <f t="shared" si="2"/>
        <v>0</v>
      </c>
      <c r="W35" s="72">
        <f t="shared" si="19"/>
        <v>0</v>
      </c>
      <c r="X35" s="39"/>
      <c r="Y35" s="72">
        <f t="shared" si="3"/>
        <v>124950000</v>
      </c>
      <c r="Z35" s="72">
        <f t="shared" si="20"/>
        <v>67166782.024837434</v>
      </c>
      <c r="AA35" s="39"/>
      <c r="AB35" s="72">
        <f t="shared" si="4"/>
        <v>0</v>
      </c>
      <c r="AC35" s="72">
        <f t="shared" si="21"/>
        <v>0</v>
      </c>
      <c r="AD35" s="39"/>
      <c r="AE35" s="72">
        <f t="shared" si="5"/>
        <v>0</v>
      </c>
      <c r="AF35" s="72">
        <f t="shared" si="22"/>
        <v>0</v>
      </c>
      <c r="AG35" s="39"/>
      <c r="AH35" s="72">
        <f t="shared" si="6"/>
        <v>440000000.00000006</v>
      </c>
      <c r="AI35" s="72">
        <f t="shared" si="23"/>
        <v>236521681.39998779</v>
      </c>
      <c r="AJ35" s="39"/>
      <c r="AK35" s="72">
        <f t="shared" si="7"/>
        <v>4284000000</v>
      </c>
      <c r="AL35" s="72">
        <f t="shared" si="24"/>
        <v>2302861097.9944263</v>
      </c>
      <c r="AM35" s="39"/>
      <c r="AN35" s="72">
        <f t="shared" si="8"/>
        <v>3927000000.0000005</v>
      </c>
      <c r="AO35" s="72">
        <f t="shared" si="25"/>
        <v>2110956006.4948909</v>
      </c>
      <c r="AP35" s="39"/>
      <c r="AQ35" s="72">
        <f t="shared" si="9"/>
        <v>1055422000</v>
      </c>
      <c r="AR35" s="72">
        <f t="shared" si="26"/>
        <v>567341331.87849522</v>
      </c>
      <c r="AS35" s="39"/>
      <c r="AT35" s="40">
        <f>IF($K35&lt;=$F$15,IF($F$40&lt;&gt;"",$F$40/1000,IF(ISERROR(VLOOKUP($F$3&amp;IF($G$4&lt;&gt;"",$G$4,"")&amp;IF($F$43&lt;&gt;"","_"&amp;$F$43,""),'表3）燃料価格'!$AF$9:$AG$25,2,0)),0,VLOOKUP($I35,'表3）燃料価格'!$A$6:$U$66,VLOOKUP($F$3&amp;IF($G$4&lt;&gt;"",$G$4,"")&amp;IF($F$43&lt;&gt;"","_"&amp;$F$43,""),'表3）燃料価格'!$AF$9:$AG$25,2,0)+VLOOKUP($F$41,'表3）燃料価格'!$AF$28:$AG$29,2,0),0)*IF($F$43="需要地価格",1,$F$8/$F$141))),"")</f>
        <v>10.78726983994852</v>
      </c>
      <c r="AU35" s="39"/>
      <c r="AV35" s="72">
        <f t="shared" si="10"/>
        <v>17770760446.248241</v>
      </c>
      <c r="AW35" s="72">
        <f t="shared" si="11"/>
        <v>9552659410.2341614</v>
      </c>
      <c r="AX35" s="39"/>
      <c r="AY35" s="40">
        <f>IF(ISERROR(IF($K35&lt;=$F$15,VLOOKUP($I35,'表4）CO2価格'!$A$7:$E$67,VLOOKUP($F$48,'表4）CO2価格'!$H$10:$I$12,2,0),0)*$F$8/1000,"")),0,IF($K35&lt;=$F$15,VLOOKUP($I35,'表4）CO2価格'!$A$7:$E$67,VLOOKUP($F$48,'表4）CO2価格'!$H$10:$I$12,2,0),0)*$F$8/1000,""))</f>
        <v>6.8479999999999999</v>
      </c>
      <c r="AZ35" s="39"/>
      <c r="BA35" s="42">
        <f t="shared" si="12"/>
        <v>21103280233.619331</v>
      </c>
      <c r="BB35" s="72">
        <f t="shared" si="27"/>
        <v>11344053008.888115</v>
      </c>
      <c r="BC35" s="39"/>
      <c r="BD35" s="72">
        <f t="shared" si="13"/>
        <v>0</v>
      </c>
      <c r="BE35" s="72">
        <f t="shared" si="28"/>
        <v>0</v>
      </c>
      <c r="BF35" s="39"/>
      <c r="BG35" s="42">
        <f t="shared" si="14"/>
        <v>0</v>
      </c>
      <c r="BH35" s="72">
        <f t="shared" si="29"/>
        <v>0</v>
      </c>
      <c r="BI35" s="39"/>
      <c r="BJ35" s="40"/>
      <c r="BK35" s="157"/>
      <c r="BL35" s="157"/>
      <c r="BM35" s="72"/>
      <c r="BN35" s="72" t="str">
        <f>IF(AND(ISNUMBER($F$16),$K35&lt;=$F$16),BQ35*('バイオマス（木質専焼）（2030年）'!$O$15+'バイオマス（木質専焼）（2030年）'!$BK$116)/'バイオマス（木質専焼）（2030年）'!$BL$116,"")</f>
        <v/>
      </c>
      <c r="BO35" s="72" t="str">
        <f t="shared" si="30"/>
        <v/>
      </c>
      <c r="BP35" s="39"/>
      <c r="BQ35" s="72">
        <f t="shared" si="15"/>
        <v>4056318000</v>
      </c>
      <c r="BR35" s="72">
        <f t="shared" si="31"/>
        <v>2180470803.7568989</v>
      </c>
    </row>
    <row r="36" spans="3:70" x14ac:dyDescent="0.15">
      <c r="D36" s="84" t="s">
        <v>639</v>
      </c>
      <c r="F36" s="480">
        <v>12.2</v>
      </c>
      <c r="G36" s="84" t="s">
        <v>640</v>
      </c>
      <c r="I36" s="457">
        <f t="shared" si="32"/>
        <v>2051</v>
      </c>
      <c r="J36" s="71"/>
      <c r="K36" s="71">
        <f t="shared" si="33"/>
        <v>22</v>
      </c>
      <c r="L36" s="71"/>
      <c r="M36" s="7">
        <f t="shared" si="0"/>
        <v>0.52189250088258554</v>
      </c>
      <c r="N36" s="71"/>
      <c r="O36" s="10">
        <f t="shared" si="16"/>
        <v>1.9073486328125E-6</v>
      </c>
      <c r="P36" s="29" t="str">
        <f t="shared" si="1"/>
        <v>-</v>
      </c>
      <c r="Q36" s="71"/>
      <c r="R36" s="10">
        <f t="shared" si="17"/>
        <v>8925000000</v>
      </c>
      <c r="S36" s="71"/>
      <c r="T36" s="10">
        <f t="shared" si="18"/>
        <v>8925000000</v>
      </c>
      <c r="U36" s="71"/>
      <c r="V36" s="10">
        <f t="shared" si="2"/>
        <v>0</v>
      </c>
      <c r="W36" s="10">
        <f t="shared" si="19"/>
        <v>0</v>
      </c>
      <c r="X36" s="71"/>
      <c r="Y36" s="10">
        <f t="shared" si="3"/>
        <v>124950000</v>
      </c>
      <c r="Z36" s="10">
        <f t="shared" si="20"/>
        <v>65210467.985279061</v>
      </c>
      <c r="AA36" s="71"/>
      <c r="AB36" s="10">
        <f t="shared" si="4"/>
        <v>0</v>
      </c>
      <c r="AC36" s="10">
        <f t="shared" si="21"/>
        <v>0</v>
      </c>
      <c r="AD36" s="71"/>
      <c r="AE36" s="10">
        <f t="shared" si="5"/>
        <v>0</v>
      </c>
      <c r="AF36" s="10">
        <f t="shared" si="22"/>
        <v>0</v>
      </c>
      <c r="AG36" s="71"/>
      <c r="AH36" s="10">
        <f t="shared" si="6"/>
        <v>440000000.00000006</v>
      </c>
      <c r="AI36" s="10">
        <f t="shared" si="23"/>
        <v>229632700.38833767</v>
      </c>
      <c r="AJ36" s="71"/>
      <c r="AK36" s="10">
        <f t="shared" si="7"/>
        <v>4284000000</v>
      </c>
      <c r="AL36" s="10">
        <f t="shared" si="24"/>
        <v>2235787473.7809963</v>
      </c>
      <c r="AM36" s="71"/>
      <c r="AN36" s="10">
        <f t="shared" si="8"/>
        <v>3927000000.0000005</v>
      </c>
      <c r="AO36" s="10">
        <f t="shared" si="25"/>
        <v>2049471850.9659138</v>
      </c>
      <c r="AP36" s="71"/>
      <c r="AQ36" s="10">
        <f t="shared" si="9"/>
        <v>1055422000</v>
      </c>
      <c r="AR36" s="10">
        <f t="shared" si="26"/>
        <v>550816827.06650019</v>
      </c>
      <c r="AS36" s="71"/>
      <c r="AT36" s="7">
        <f>IF($K36&lt;=$F$15,IF($F$40&lt;&gt;"",$F$40/1000,IF(ISERROR(VLOOKUP($F$3&amp;IF($G$4&lt;&gt;"",$G$4,"")&amp;IF($F$43&lt;&gt;"","_"&amp;$F$43,""),'表3）燃料価格'!$AF$9:$AG$25,2,0)),0,VLOOKUP($I36,'表3）燃料価格'!$A$6:$U$66,VLOOKUP($F$3&amp;IF($G$4&lt;&gt;"",$G$4,"")&amp;IF($F$43&lt;&gt;"","_"&amp;$F$43,""),'表3）燃料価格'!$AF$9:$AG$25,2,0)+VLOOKUP($F$41,'表3）燃料価格'!$AF$28:$AG$29,2,0),0)*IF($F$43="需要地価格",1,$F$8/$F$141))),"")</f>
        <v>10.775622527801458</v>
      </c>
      <c r="AU36" s="71"/>
      <c r="AV36" s="10">
        <f t="shared" si="10"/>
        <v>17754494407.914227</v>
      </c>
      <c r="AW36" s="10">
        <f t="shared" si="11"/>
        <v>9265937488.4522362</v>
      </c>
      <c r="AX36" s="71"/>
      <c r="AY36" s="7">
        <f>IF(ISERROR(IF($K36&lt;=$F$15,VLOOKUP($I36,'表4）CO2価格'!$A$7:$E$67,VLOOKUP($F$48,'表4）CO2価格'!$H$10:$I$12,2,0),0)*$F$8/1000,"")),0,IF($K36&lt;=$F$15,VLOOKUP($I36,'表4）CO2価格'!$A$7:$E$67,VLOOKUP($F$48,'表4）CO2価格'!$H$10:$I$12,2,0),0)*$F$8/1000,""))</f>
        <v>7.0184806169104448</v>
      </c>
      <c r="AZ36" s="71"/>
      <c r="BA36" s="11">
        <f t="shared" si="12"/>
        <v>21628645337.746292</v>
      </c>
      <c r="BB36" s="10">
        <f t="shared" si="27"/>
        <v>11287827806.018887</v>
      </c>
      <c r="BC36" s="71"/>
      <c r="BD36" s="10">
        <f t="shared" si="13"/>
        <v>0</v>
      </c>
      <c r="BE36" s="10">
        <f t="shared" si="28"/>
        <v>0</v>
      </c>
      <c r="BF36" s="71"/>
      <c r="BG36" s="11">
        <f t="shared" si="14"/>
        <v>0</v>
      </c>
      <c r="BH36" s="10">
        <f t="shared" si="29"/>
        <v>0</v>
      </c>
      <c r="BJ36" s="7"/>
      <c r="BK36" s="158"/>
      <c r="BL36" s="158"/>
      <c r="BM36" s="10"/>
      <c r="BN36" s="10" t="str">
        <f>IF(AND(ISNUMBER($F$16),$K36&lt;=$F$16),BQ36*('バイオマス（木質専焼）（2030年）'!$O$15+'バイオマス（木質専焼）（2030年）'!$BK$116)/'バイオマス（木質専焼）（2030年）'!$BL$116,"")</f>
        <v/>
      </c>
      <c r="BO36" s="10" t="str">
        <f t="shared" si="30"/>
        <v/>
      </c>
      <c r="BQ36" s="10">
        <f t="shared" si="15"/>
        <v>4056318000</v>
      </c>
      <c r="BR36" s="10">
        <f t="shared" si="31"/>
        <v>2116961945.3950477</v>
      </c>
    </row>
    <row r="37" spans="3:70" x14ac:dyDescent="0.15">
      <c r="I37" s="38">
        <f t="shared" si="32"/>
        <v>2052</v>
      </c>
      <c r="J37" s="39"/>
      <c r="K37" s="39">
        <f t="shared" si="33"/>
        <v>23</v>
      </c>
      <c r="L37" s="39"/>
      <c r="M37" s="40">
        <f t="shared" si="0"/>
        <v>0.50669174842969467</v>
      </c>
      <c r="N37" s="39"/>
      <c r="O37" s="72">
        <f t="shared" si="16"/>
        <v>1.9073486328125E-6</v>
      </c>
      <c r="P37" s="41" t="str">
        <f t="shared" si="1"/>
        <v>-</v>
      </c>
      <c r="Q37" s="39"/>
      <c r="R37" s="72">
        <f t="shared" si="17"/>
        <v>8925000000</v>
      </c>
      <c r="S37" s="39"/>
      <c r="T37" s="72">
        <f t="shared" si="18"/>
        <v>8925000000</v>
      </c>
      <c r="U37" s="39"/>
      <c r="V37" s="72">
        <f t="shared" si="2"/>
        <v>0</v>
      </c>
      <c r="W37" s="72">
        <f t="shared" si="19"/>
        <v>0</v>
      </c>
      <c r="X37" s="39"/>
      <c r="Y37" s="72">
        <f t="shared" si="3"/>
        <v>124950000</v>
      </c>
      <c r="Z37" s="72">
        <f t="shared" si="20"/>
        <v>63311133.966290347</v>
      </c>
      <c r="AA37" s="39"/>
      <c r="AB37" s="72">
        <f t="shared" si="4"/>
        <v>0</v>
      </c>
      <c r="AC37" s="72">
        <f t="shared" si="21"/>
        <v>0</v>
      </c>
      <c r="AD37" s="39"/>
      <c r="AE37" s="72">
        <f t="shared" si="5"/>
        <v>0</v>
      </c>
      <c r="AF37" s="72">
        <f t="shared" si="22"/>
        <v>0</v>
      </c>
      <c r="AG37" s="39"/>
      <c r="AH37" s="72">
        <f t="shared" si="6"/>
        <v>440000000.00000006</v>
      </c>
      <c r="AI37" s="72">
        <f t="shared" si="23"/>
        <v>222944369.30906567</v>
      </c>
      <c r="AJ37" s="39"/>
      <c r="AK37" s="72">
        <f t="shared" si="7"/>
        <v>4284000000</v>
      </c>
      <c r="AL37" s="72">
        <f t="shared" si="24"/>
        <v>2170667450.2728119</v>
      </c>
      <c r="AM37" s="39"/>
      <c r="AN37" s="72">
        <f t="shared" si="8"/>
        <v>3927000000.0000005</v>
      </c>
      <c r="AO37" s="72">
        <f t="shared" si="25"/>
        <v>1989778496.0834112</v>
      </c>
      <c r="AP37" s="39"/>
      <c r="AQ37" s="72">
        <f t="shared" si="9"/>
        <v>1055422000</v>
      </c>
      <c r="AR37" s="72">
        <f t="shared" si="26"/>
        <v>534773618.5111652</v>
      </c>
      <c r="AS37" s="39"/>
      <c r="AT37" s="40">
        <f>IF($K37&lt;=$F$15,IF($F$40&lt;&gt;"",$F$40/1000,IF(ISERROR(VLOOKUP($F$3&amp;IF($G$4&lt;&gt;"",$G$4,"")&amp;IF($F$43&lt;&gt;"","_"&amp;$F$43,""),'表3）燃料価格'!$AF$9:$AG$25,2,0)),0,VLOOKUP($I37,'表3）燃料価格'!$A$6:$U$66,VLOOKUP($F$3&amp;IF($G$4&lt;&gt;"",$G$4,"")&amp;IF($F$43&lt;&gt;"","_"&amp;$F$43,""),'表3）燃料価格'!$AF$9:$AG$25,2,0)+VLOOKUP($F$41,'表3）燃料価格'!$AF$28:$AG$29,2,0),0)*IF($F$43="需要地価格",1,$F$8/$F$141))),"")</f>
        <v>10.764285847966356</v>
      </c>
      <c r="AU37" s="39"/>
      <c r="AV37" s="72">
        <f t="shared" si="10"/>
        <v>17738662182.723564</v>
      </c>
      <c r="AW37" s="72">
        <f t="shared" si="11"/>
        <v>8988033756.1679058</v>
      </c>
      <c r="AX37" s="39"/>
      <c r="AY37" s="40">
        <f>IF(ISERROR(IF($K37&lt;=$F$15,VLOOKUP($I37,'表4）CO2価格'!$A$7:$E$67,VLOOKUP($F$48,'表4）CO2価格'!$H$10:$I$12,2,0),0)*$F$8/1000,"")),0,IF($K37&lt;=$F$15,VLOOKUP($I37,'表4）CO2価格'!$A$7:$E$67,VLOOKUP($F$48,'表4）CO2価格'!$H$10:$I$12,2,0),0)*$F$8/1000,""))</f>
        <v>7.1500080975609199</v>
      </c>
      <c r="AZ37" s="39"/>
      <c r="BA37" s="42">
        <f t="shared" si="12"/>
        <v>22033969707.283226</v>
      </c>
      <c r="BB37" s="72">
        <f t="shared" si="27"/>
        <v>11164430635.830265</v>
      </c>
      <c r="BC37" s="39"/>
      <c r="BD37" s="72">
        <f t="shared" si="13"/>
        <v>0</v>
      </c>
      <c r="BE37" s="72">
        <f t="shared" si="28"/>
        <v>0</v>
      </c>
      <c r="BF37" s="39"/>
      <c r="BG37" s="42">
        <f t="shared" si="14"/>
        <v>0</v>
      </c>
      <c r="BH37" s="72">
        <f t="shared" si="29"/>
        <v>0</v>
      </c>
      <c r="BI37" s="39"/>
      <c r="BJ37" s="40"/>
      <c r="BK37" s="157"/>
      <c r="BL37" s="157"/>
      <c r="BM37" s="72"/>
      <c r="BN37" s="72" t="str">
        <f>IF(AND(ISNUMBER($F$16),$K37&lt;=$F$16),BQ37*('バイオマス（木質専焼）（2030年）'!$O$15+'バイオマス（木質専焼）（2030年）'!$BK$116)/'バイオマス（木質専焼）（2030年）'!$BL$116,"")</f>
        <v/>
      </c>
      <c r="BO37" s="72" t="str">
        <f t="shared" si="30"/>
        <v/>
      </c>
      <c r="BP37" s="39"/>
      <c r="BQ37" s="72">
        <f t="shared" si="15"/>
        <v>4056318000</v>
      </c>
      <c r="BR37" s="72">
        <f t="shared" si="31"/>
        <v>2055302859.6068423</v>
      </c>
    </row>
    <row r="38" spans="3:70" x14ac:dyDescent="0.15">
      <c r="C38" s="4" t="s">
        <v>570</v>
      </c>
      <c r="D38" s="100"/>
      <c r="E38" s="100"/>
      <c r="F38" s="4"/>
      <c r="G38" s="100"/>
      <c r="I38" s="457">
        <f t="shared" si="32"/>
        <v>2053</v>
      </c>
      <c r="J38" s="71"/>
      <c r="K38" s="71">
        <f t="shared" si="33"/>
        <v>24</v>
      </c>
      <c r="L38" s="71"/>
      <c r="M38" s="7">
        <f t="shared" si="0"/>
        <v>0.49193373633950943</v>
      </c>
      <c r="N38" s="71"/>
      <c r="O38" s="10">
        <f t="shared" si="16"/>
        <v>1.9073486328125E-6</v>
      </c>
      <c r="P38" s="29" t="str">
        <f t="shared" si="1"/>
        <v>-</v>
      </c>
      <c r="Q38" s="71"/>
      <c r="R38" s="10">
        <f t="shared" si="17"/>
        <v>8925000000</v>
      </c>
      <c r="S38" s="71"/>
      <c r="T38" s="10">
        <f t="shared" si="18"/>
        <v>8925000000</v>
      </c>
      <c r="U38" s="71"/>
      <c r="V38" s="10">
        <f t="shared" si="2"/>
        <v>0</v>
      </c>
      <c r="W38" s="10">
        <f t="shared" si="19"/>
        <v>0</v>
      </c>
      <c r="X38" s="71"/>
      <c r="Y38" s="10">
        <f t="shared" si="3"/>
        <v>124950000</v>
      </c>
      <c r="Z38" s="10">
        <f t="shared" si="20"/>
        <v>61467120.355621703</v>
      </c>
      <c r="AA38" s="71"/>
      <c r="AB38" s="10">
        <f t="shared" si="4"/>
        <v>0</v>
      </c>
      <c r="AC38" s="10">
        <f t="shared" si="21"/>
        <v>0</v>
      </c>
      <c r="AD38" s="71"/>
      <c r="AE38" s="10">
        <f t="shared" si="5"/>
        <v>0</v>
      </c>
      <c r="AF38" s="10">
        <f t="shared" si="22"/>
        <v>0</v>
      </c>
      <c r="AG38" s="71"/>
      <c r="AH38" s="10">
        <f t="shared" si="6"/>
        <v>440000000.00000006</v>
      </c>
      <c r="AI38" s="10">
        <f t="shared" si="23"/>
        <v>216450843.98938417</v>
      </c>
      <c r="AJ38" s="71"/>
      <c r="AK38" s="10">
        <f t="shared" si="7"/>
        <v>4284000000</v>
      </c>
      <c r="AL38" s="10">
        <f t="shared" si="24"/>
        <v>2107444126.4784584</v>
      </c>
      <c r="AM38" s="71"/>
      <c r="AN38" s="10">
        <f t="shared" si="8"/>
        <v>3927000000.0000005</v>
      </c>
      <c r="AO38" s="10">
        <f t="shared" si="25"/>
        <v>1931823782.6052537</v>
      </c>
      <c r="AP38" s="71"/>
      <c r="AQ38" s="10">
        <f t="shared" si="9"/>
        <v>1055422000</v>
      </c>
      <c r="AR38" s="10">
        <f t="shared" si="26"/>
        <v>519197687.87491775</v>
      </c>
      <c r="AS38" s="71"/>
      <c r="AT38" s="7">
        <f>IF($K38&lt;=$F$15,IF($F$40&lt;&gt;"",$F$40/1000,IF(ISERROR(VLOOKUP($F$3&amp;IF($G$4&lt;&gt;"",$G$4,"")&amp;IF($F$43&lt;&gt;"","_"&amp;$F$43,""),'表3）燃料価格'!$AF$9:$AG$25,2,0)),0,VLOOKUP($I38,'表3）燃料価格'!$A$6:$U$66,VLOOKUP($F$3&amp;IF($G$4&lt;&gt;"",$G$4,"")&amp;IF($F$43&lt;&gt;"","_"&amp;$F$43,""),'表3）燃料価格'!$AF$9:$AG$25,2,0)+VLOOKUP($F$41,'表3）燃料価格'!$AF$28:$AG$29,2,0),0)*IF($F$43="需要地価格",1,$F$8/$F$141))),"")</f>
        <v>10.753243660903685</v>
      </c>
      <c r="AU38" s="71"/>
      <c r="AV38" s="10">
        <f t="shared" si="10"/>
        <v>17723241231.023727</v>
      </c>
      <c r="AW38" s="10">
        <f t="shared" si="11"/>
        <v>8718660278.8239498</v>
      </c>
      <c r="AX38" s="71"/>
      <c r="AY38" s="7">
        <f>IF(ISERROR(IF($K38&lt;=$F$15,VLOOKUP($I38,'表4）CO2価格'!$A$7:$E$67,VLOOKUP($F$48,'表4）CO2価格'!$H$10:$I$12,2,0),0)*$F$8/1000,"")),0,IF($K38&lt;=$F$15,VLOOKUP($I38,'表4）CO2価格'!$A$7:$E$67,VLOOKUP($F$48,'表4）CO2価格'!$H$10:$I$12,2,0),0)*$F$8/1000,""))</f>
        <v>7.2814714966103056</v>
      </c>
      <c r="AZ38" s="71"/>
      <c r="BA38" s="11">
        <f t="shared" si="12"/>
        <v>22439096598.43441</v>
      </c>
      <c r="BB38" s="10">
        <f t="shared" si="27"/>
        <v>11038548629.751017</v>
      </c>
      <c r="BC38" s="71"/>
      <c r="BD38" s="10">
        <f t="shared" si="13"/>
        <v>0</v>
      </c>
      <c r="BE38" s="10">
        <f t="shared" si="28"/>
        <v>0</v>
      </c>
      <c r="BF38" s="71"/>
      <c r="BG38" s="11">
        <f t="shared" si="14"/>
        <v>0</v>
      </c>
      <c r="BH38" s="10">
        <f t="shared" si="29"/>
        <v>0</v>
      </c>
      <c r="BJ38" s="7"/>
      <c r="BK38" s="158"/>
      <c r="BL38" s="158"/>
      <c r="BM38" s="10"/>
      <c r="BN38" s="10" t="str">
        <f>IF(AND(ISNUMBER($F$16),$K38&lt;=$F$16),BQ38*('バイオマス（木質専焼）（2030年）'!$O$15+'バイオマス（木質専焼）（2030年）'!$BK$116)/'バイオマス（木質専焼）（2030年）'!$BL$116,"")</f>
        <v/>
      </c>
      <c r="BO38" s="10" t="str">
        <f t="shared" si="30"/>
        <v/>
      </c>
      <c r="BQ38" s="10">
        <f t="shared" si="15"/>
        <v>4056318000</v>
      </c>
      <c r="BR38" s="10">
        <f t="shared" si="31"/>
        <v>1995439669.5212061</v>
      </c>
    </row>
    <row r="39" spans="3:70" x14ac:dyDescent="0.15">
      <c r="I39" s="38">
        <f t="shared" si="32"/>
        <v>2054</v>
      </c>
      <c r="J39" s="39"/>
      <c r="K39" s="39">
        <f t="shared" si="33"/>
        <v>25</v>
      </c>
      <c r="L39" s="39"/>
      <c r="M39" s="40">
        <f t="shared" si="0"/>
        <v>0.47760556926165965</v>
      </c>
      <c r="N39" s="39"/>
      <c r="O39" s="72">
        <f t="shared" si="16"/>
        <v>1.9073486328125E-6</v>
      </c>
      <c r="P39" s="41" t="str">
        <f t="shared" si="1"/>
        <v>-</v>
      </c>
      <c r="Q39" s="39"/>
      <c r="R39" s="72">
        <f t="shared" si="17"/>
        <v>8925000000</v>
      </c>
      <c r="S39" s="39"/>
      <c r="T39" s="72">
        <f t="shared" si="18"/>
        <v>8925000000</v>
      </c>
      <c r="U39" s="39"/>
      <c r="V39" s="72">
        <f t="shared" si="2"/>
        <v>0</v>
      </c>
      <c r="W39" s="72">
        <f t="shared" si="19"/>
        <v>0</v>
      </c>
      <c r="X39" s="39"/>
      <c r="Y39" s="72">
        <f t="shared" si="3"/>
        <v>124950000</v>
      </c>
      <c r="Z39" s="72">
        <f t="shared" si="20"/>
        <v>59676815.879244372</v>
      </c>
      <c r="AA39" s="39"/>
      <c r="AB39" s="72">
        <f t="shared" si="4"/>
        <v>0</v>
      </c>
      <c r="AC39" s="72">
        <f t="shared" si="21"/>
        <v>0</v>
      </c>
      <c r="AD39" s="39"/>
      <c r="AE39" s="72">
        <f t="shared" si="5"/>
        <v>0</v>
      </c>
      <c r="AF39" s="72">
        <f t="shared" si="22"/>
        <v>0</v>
      </c>
      <c r="AG39" s="39"/>
      <c r="AH39" s="72">
        <f t="shared" si="6"/>
        <v>440000000.00000006</v>
      </c>
      <c r="AI39" s="72">
        <f t="shared" si="23"/>
        <v>210146450.47513026</v>
      </c>
      <c r="AJ39" s="39"/>
      <c r="AK39" s="72">
        <f t="shared" si="7"/>
        <v>4284000000</v>
      </c>
      <c r="AL39" s="72">
        <f t="shared" si="24"/>
        <v>2046062258.7169499</v>
      </c>
      <c r="AM39" s="39"/>
      <c r="AN39" s="72">
        <f t="shared" si="8"/>
        <v>3927000000.0000005</v>
      </c>
      <c r="AO39" s="72">
        <f t="shared" si="25"/>
        <v>1875557070.4905376</v>
      </c>
      <c r="AP39" s="39"/>
      <c r="AQ39" s="72">
        <f t="shared" si="9"/>
        <v>1055422000</v>
      </c>
      <c r="AR39" s="72">
        <f t="shared" si="26"/>
        <v>504075425.12127936</v>
      </c>
      <c r="AS39" s="39"/>
      <c r="AT39" s="40">
        <f>IF($K39&lt;=$F$15,IF($F$40&lt;&gt;"",$F$40/1000,IF(ISERROR(VLOOKUP($F$3&amp;IF($G$4&lt;&gt;"",$G$4,"")&amp;IF($F$43&lt;&gt;"","_"&amp;$F$43,""),'表3）燃料価格'!$AF$9:$AG$25,2,0)),0,VLOOKUP($I39,'表3）燃料価格'!$A$6:$U$66,VLOOKUP($F$3&amp;IF($G$4&lt;&gt;"",$G$4,"")&amp;IF($F$43&lt;&gt;"","_"&amp;$F$43,""),'表3）燃料価格'!$AF$9:$AG$25,2,0)+VLOOKUP($F$41,'表3）燃料価格'!$AF$28:$AG$29,2,0),0)*IF($F$43="需要地価格",1,$F$8/$F$141))),"")</f>
        <v>10.742481053134219</v>
      </c>
      <c r="AU39" s="39"/>
      <c r="AV39" s="72">
        <f t="shared" si="10"/>
        <v>17708210725.415077</v>
      </c>
      <c r="AW39" s="72">
        <f t="shared" si="11"/>
        <v>8457540064.1172953</v>
      </c>
      <c r="AX39" s="39"/>
      <c r="AY39" s="40">
        <f>IF(ISERROR(IF($K39&lt;=$F$15,VLOOKUP($I39,'表4）CO2価格'!$A$7:$E$67,VLOOKUP($F$48,'表4）CO2価格'!$H$10:$I$12,2,0),0)*$F$8/1000,"")),0,IF($K39&lt;=$F$15,VLOOKUP($I39,'表4）CO2価格'!$A$7:$E$67,VLOOKUP($F$48,'表4）CO2価格'!$H$10:$I$12,2,0),0)*$F$8/1000,""))</f>
        <v>7.4128708764708131</v>
      </c>
      <c r="AZ39" s="39"/>
      <c r="BA39" s="42">
        <f t="shared" si="12"/>
        <v>22844026203.533722</v>
      </c>
      <c r="BB39" s="72">
        <f t="shared" si="27"/>
        <v>10910434139.166992</v>
      </c>
      <c r="BC39" s="39"/>
      <c r="BD39" s="72">
        <f t="shared" si="13"/>
        <v>0</v>
      </c>
      <c r="BE39" s="72">
        <f t="shared" si="28"/>
        <v>0</v>
      </c>
      <c r="BF39" s="39"/>
      <c r="BG39" s="42">
        <f t="shared" si="14"/>
        <v>0</v>
      </c>
      <c r="BH39" s="72">
        <f t="shared" si="29"/>
        <v>0</v>
      </c>
      <c r="BI39" s="39"/>
      <c r="BJ39" s="40"/>
      <c r="BK39" s="157"/>
      <c r="BL39" s="157"/>
      <c r="BM39" s="72"/>
      <c r="BN39" s="72" t="str">
        <f>IF(AND(ISNUMBER($F$16),$K39&lt;=$F$16),BQ39*('バイオマス（木質専焼）（2030年）'!$O$15+'バイオマス（木質専焼）（2030年）'!$BK$116)/'バイオマス（木質専焼）（2030年）'!$BL$116,"")</f>
        <v/>
      </c>
      <c r="BO39" s="72" t="str">
        <f t="shared" si="30"/>
        <v/>
      </c>
      <c r="BP39" s="39"/>
      <c r="BQ39" s="72">
        <f t="shared" si="15"/>
        <v>4056318000</v>
      </c>
      <c r="BR39" s="72">
        <f t="shared" si="31"/>
        <v>1937320067.4963167</v>
      </c>
    </row>
    <row r="40" spans="3:70" x14ac:dyDescent="0.15">
      <c r="D40" s="84" t="s">
        <v>124</v>
      </c>
      <c r="F40" s="482"/>
      <c r="G40" s="160" t="s">
        <v>571</v>
      </c>
      <c r="I40" s="457">
        <f t="shared" si="32"/>
        <v>2055</v>
      </c>
      <c r="J40" s="71"/>
      <c r="K40" s="71">
        <f t="shared" si="33"/>
        <v>26</v>
      </c>
      <c r="L40" s="71"/>
      <c r="M40" s="7">
        <f t="shared" si="0"/>
        <v>0.46369472743850448</v>
      </c>
      <c r="N40" s="71"/>
      <c r="O40" s="10">
        <f t="shared" si="16"/>
        <v>1.9073486328125E-6</v>
      </c>
      <c r="P40" s="29" t="str">
        <f t="shared" si="1"/>
        <v>-</v>
      </c>
      <c r="Q40" s="71"/>
      <c r="R40" s="10">
        <f t="shared" si="17"/>
        <v>8925000000</v>
      </c>
      <c r="S40" s="71"/>
      <c r="T40" s="10">
        <f t="shared" si="18"/>
        <v>8925000000</v>
      </c>
      <c r="U40" s="71"/>
      <c r="V40" s="10">
        <f t="shared" si="2"/>
        <v>0</v>
      </c>
      <c r="W40" s="10">
        <f t="shared" si="19"/>
        <v>0</v>
      </c>
      <c r="X40" s="71"/>
      <c r="Y40" s="10">
        <f t="shared" si="3"/>
        <v>124950000</v>
      </c>
      <c r="Z40" s="10">
        <f t="shared" si="20"/>
        <v>57938656.193441138</v>
      </c>
      <c r="AA40" s="71"/>
      <c r="AB40" s="10">
        <f t="shared" si="4"/>
        <v>0</v>
      </c>
      <c r="AC40" s="10">
        <f t="shared" si="21"/>
        <v>0</v>
      </c>
      <c r="AD40" s="71"/>
      <c r="AE40" s="10">
        <f t="shared" si="5"/>
        <v>0</v>
      </c>
      <c r="AF40" s="10">
        <f t="shared" si="22"/>
        <v>0</v>
      </c>
      <c r="AG40" s="71"/>
      <c r="AH40" s="10">
        <f t="shared" si="6"/>
        <v>440000000.00000006</v>
      </c>
      <c r="AI40" s="10">
        <f t="shared" si="23"/>
        <v>204025680.07294199</v>
      </c>
      <c r="AJ40" s="71"/>
      <c r="AK40" s="10">
        <f t="shared" si="7"/>
        <v>4284000000</v>
      </c>
      <c r="AL40" s="10">
        <f t="shared" si="24"/>
        <v>1986468212.3465533</v>
      </c>
      <c r="AM40" s="71"/>
      <c r="AN40" s="10">
        <f t="shared" si="8"/>
        <v>3927000000.0000005</v>
      </c>
      <c r="AO40" s="10">
        <f t="shared" si="25"/>
        <v>1820929194.6510074</v>
      </c>
      <c r="AP40" s="71"/>
      <c r="AQ40" s="10">
        <f t="shared" si="9"/>
        <v>1055422000</v>
      </c>
      <c r="AR40" s="10">
        <f t="shared" si="26"/>
        <v>489393616.62260127</v>
      </c>
      <c r="AS40" s="71"/>
      <c r="AT40" s="7">
        <f>IF($K40&lt;=$F$15,IF($F$40&lt;&gt;"",$F$40/1000,IF(ISERROR(VLOOKUP($F$3&amp;IF($G$4&lt;&gt;"",$G$4,"")&amp;IF($F$43&lt;&gt;"","_"&amp;$F$43,""),'表3）燃料価格'!$AF$9:$AG$25,2,0)),0,VLOOKUP($I40,'表3）燃料価格'!$A$6:$U$66,VLOOKUP($F$3&amp;IF($G$4&lt;&gt;"",$G$4,"")&amp;IF($F$43&lt;&gt;"","_"&amp;$F$43,""),'表3）燃料価格'!$AF$9:$AG$25,2,0)+VLOOKUP($F$41,'表3）燃料価格'!$AF$28:$AG$29,2,0),0)*IF($F$43="需要地価格",1,$F$8/$F$141))),"")</f>
        <v>10.731984216114272</v>
      </c>
      <c r="AU40" s="71"/>
      <c r="AV40" s="10">
        <f t="shared" si="10"/>
        <v>17693551381.594242</v>
      </c>
      <c r="AW40" s="10">
        <f t="shared" si="11"/>
        <v>8204406485.3075161</v>
      </c>
      <c r="AX40" s="71"/>
      <c r="AY40" s="7">
        <f>IF(ISERROR(IF($K40&lt;=$F$15,VLOOKUP($I40,'表4）CO2価格'!$A$7:$E$67,VLOOKUP($F$48,'表4）CO2価格'!$H$10:$I$12,2,0),0)*$F$8/1000,"")),0,IF($K40&lt;=$F$15,VLOOKUP($I40,'表4）CO2価格'!$A$7:$E$67,VLOOKUP($F$48,'表4）CO2価格'!$H$10:$I$12,2,0),0)*$F$8/1000,""))</f>
        <v>7.5442062994635668</v>
      </c>
      <c r="AZ40" s="71"/>
      <c r="BA40" s="11">
        <f t="shared" si="12"/>
        <v>23248758714.634335</v>
      </c>
      <c r="BB40" s="10">
        <f t="shared" si="27"/>
        <v>10780326835.465923</v>
      </c>
      <c r="BC40" s="71"/>
      <c r="BD40" s="10">
        <f t="shared" si="13"/>
        <v>0</v>
      </c>
      <c r="BE40" s="10">
        <f t="shared" si="28"/>
        <v>0</v>
      </c>
      <c r="BF40" s="71"/>
      <c r="BG40" s="11">
        <f t="shared" si="14"/>
        <v>0</v>
      </c>
      <c r="BH40" s="10">
        <f t="shared" si="29"/>
        <v>0</v>
      </c>
      <c r="BJ40" s="7"/>
      <c r="BK40" s="158"/>
      <c r="BL40" s="158"/>
      <c r="BM40" s="10"/>
      <c r="BN40" s="10" t="str">
        <f>IF(AND(ISNUMBER($F$16),$K40&lt;=$F$16),BQ40*('バイオマス（木質専焼）（2030年）'!$O$15+'バイオマス（木質専焼）（2030年）'!$BK$116)/'バイオマス（木質専焼）（2030年）'!$BL$116,"")</f>
        <v/>
      </c>
      <c r="BO40" s="10" t="str">
        <f t="shared" si="30"/>
        <v/>
      </c>
      <c r="BQ40" s="10">
        <f t="shared" si="15"/>
        <v>4056318000</v>
      </c>
      <c r="BR40" s="10">
        <f t="shared" si="31"/>
        <v>1880893269.4138997</v>
      </c>
    </row>
    <row r="41" spans="3:70" x14ac:dyDescent="0.15">
      <c r="D41" s="84" t="s">
        <v>572</v>
      </c>
      <c r="F41" s="474" t="str">
        <f>まとめ!B4</f>
        <v>WEO2020　STEPS</v>
      </c>
      <c r="I41" s="38">
        <f t="shared" si="32"/>
        <v>2056</v>
      </c>
      <c r="J41" s="39"/>
      <c r="K41" s="39">
        <f t="shared" si="33"/>
        <v>27</v>
      </c>
      <c r="L41" s="39"/>
      <c r="M41" s="40">
        <f t="shared" si="0"/>
        <v>0.45018905576553836</v>
      </c>
      <c r="N41" s="39"/>
      <c r="O41" s="72">
        <f t="shared" si="16"/>
        <v>1.9073486328125E-6</v>
      </c>
      <c r="P41" s="41" t="str">
        <f t="shared" si="1"/>
        <v>-</v>
      </c>
      <c r="Q41" s="39"/>
      <c r="R41" s="72">
        <f t="shared" si="17"/>
        <v>8925000000</v>
      </c>
      <c r="S41" s="39"/>
      <c r="T41" s="72">
        <f t="shared" si="18"/>
        <v>8925000000</v>
      </c>
      <c r="U41" s="39"/>
      <c r="V41" s="72">
        <f t="shared" si="2"/>
        <v>0</v>
      </c>
      <c r="W41" s="72">
        <f t="shared" si="19"/>
        <v>0</v>
      </c>
      <c r="X41" s="39"/>
      <c r="Y41" s="72">
        <f t="shared" si="3"/>
        <v>124950000</v>
      </c>
      <c r="Z41" s="72">
        <f t="shared" si="20"/>
        <v>56251122.517904021</v>
      </c>
      <c r="AA41" s="39"/>
      <c r="AB41" s="72">
        <f t="shared" si="4"/>
        <v>0</v>
      </c>
      <c r="AC41" s="72">
        <f t="shared" si="21"/>
        <v>0</v>
      </c>
      <c r="AD41" s="39"/>
      <c r="AE41" s="72">
        <f t="shared" si="5"/>
        <v>0</v>
      </c>
      <c r="AF41" s="72">
        <f t="shared" si="22"/>
        <v>0</v>
      </c>
      <c r="AG41" s="39"/>
      <c r="AH41" s="72">
        <f t="shared" si="6"/>
        <v>440000000.00000006</v>
      </c>
      <c r="AI41" s="72">
        <f t="shared" si="23"/>
        <v>198083184.53683689</v>
      </c>
      <c r="AJ41" s="39"/>
      <c r="AK41" s="72">
        <f t="shared" si="7"/>
        <v>4284000000</v>
      </c>
      <c r="AL41" s="72">
        <f t="shared" si="24"/>
        <v>1928609914.8995664</v>
      </c>
      <c r="AM41" s="39"/>
      <c r="AN41" s="72">
        <f t="shared" si="8"/>
        <v>3927000000.0000005</v>
      </c>
      <c r="AO41" s="72">
        <f t="shared" si="25"/>
        <v>1767892421.9912694</v>
      </c>
      <c r="AP41" s="39"/>
      <c r="AQ41" s="72">
        <f t="shared" si="9"/>
        <v>1055422000</v>
      </c>
      <c r="AR41" s="72">
        <f t="shared" si="26"/>
        <v>475139433.61417603</v>
      </c>
      <c r="AS41" s="39"/>
      <c r="AT41" s="40">
        <f>IF($K41&lt;=$F$15,IF($F$40&lt;&gt;"",$F$40/1000,IF(ISERROR(VLOOKUP($F$3&amp;IF($G$4&lt;&gt;"",$G$4,"")&amp;IF($F$43&lt;&gt;"","_"&amp;$F$43,""),'表3）燃料価格'!$AF$9:$AG$25,2,0)),0,VLOOKUP($I41,'表3）燃料価格'!$A$6:$U$66,VLOOKUP($F$3&amp;IF($G$4&lt;&gt;"",$G$4,"")&amp;IF($F$43&lt;&gt;"","_"&amp;$F$43,""),'表3）燃料価格'!$AF$9:$AG$25,2,0)+VLOOKUP($F$41,'表3）燃料価格'!$AF$28:$AG$29,2,0),0)*IF($F$43="需要地価格",1,$F$8/$F$141))),"")</f>
        <v>10.721740339708749</v>
      </c>
      <c r="AU41" s="39"/>
      <c r="AV41" s="72">
        <f t="shared" si="10"/>
        <v>17679245309.584042</v>
      </c>
      <c r="AW41" s="72">
        <f t="shared" si="11"/>
        <v>7959002752.5689631</v>
      </c>
      <c r="AX41" s="39"/>
      <c r="AY41" s="40">
        <f>IF(ISERROR(IF($K41&lt;=$F$15,VLOOKUP($I41,'表4）CO2価格'!$A$7:$E$67,VLOOKUP($F$48,'表4）CO2価格'!$H$10:$I$12,2,0),0)*$F$8/1000,"")),0,IF($K41&lt;=$F$15,VLOOKUP($I41,'表4）CO2価格'!$A$7:$E$67,VLOOKUP($F$48,'表4）CO2価格'!$H$10:$I$12,2,0),0)*$F$8/1000,""))</f>
        <v>7.675477827818213</v>
      </c>
      <c r="AZ41" s="39"/>
      <c r="BA41" s="42">
        <f t="shared" si="12"/>
        <v>23653294323.507526</v>
      </c>
      <c r="BB41" s="72">
        <f t="shared" si="27"/>
        <v>10648454237.244223</v>
      </c>
      <c r="BC41" s="39"/>
      <c r="BD41" s="72">
        <f t="shared" si="13"/>
        <v>0</v>
      </c>
      <c r="BE41" s="72">
        <f t="shared" si="28"/>
        <v>0</v>
      </c>
      <c r="BF41" s="39"/>
      <c r="BG41" s="42">
        <f t="shared" si="14"/>
        <v>0</v>
      </c>
      <c r="BH41" s="72">
        <f t="shared" si="29"/>
        <v>0</v>
      </c>
      <c r="BI41" s="39"/>
      <c r="BJ41" s="40"/>
      <c r="BK41" s="157"/>
      <c r="BL41" s="157"/>
      <c r="BM41" s="72"/>
      <c r="BN41" s="72" t="str">
        <f>IF(AND(ISNUMBER($F$16),$K41&lt;=$F$16),BQ41*('バイオマス（木質専焼）（2030年）'!$O$15+'バイオマス（木質専焼）（2030年）'!$BK$116)/'バイオマス（木質専焼）（2030年）'!$BL$116,"")</f>
        <v/>
      </c>
      <c r="BO41" s="72" t="str">
        <f t="shared" si="30"/>
        <v/>
      </c>
      <c r="BP41" s="39"/>
      <c r="BQ41" s="72">
        <f t="shared" si="15"/>
        <v>4056318000</v>
      </c>
      <c r="BR41" s="72">
        <f t="shared" si="31"/>
        <v>1826109970.3047571</v>
      </c>
    </row>
    <row r="42" spans="3:70" x14ac:dyDescent="0.15">
      <c r="D42" s="84" t="s">
        <v>573</v>
      </c>
      <c r="F42" s="481">
        <f>2000*95%+750*5%</f>
        <v>1937.5</v>
      </c>
      <c r="G42" s="84" t="s">
        <v>574</v>
      </c>
      <c r="I42" s="457">
        <f t="shared" si="32"/>
        <v>2057</v>
      </c>
      <c r="J42" s="71"/>
      <c r="K42" s="71">
        <f t="shared" si="33"/>
        <v>28</v>
      </c>
      <c r="L42" s="71"/>
      <c r="M42" s="7">
        <f t="shared" si="0"/>
        <v>0.4370767531704256</v>
      </c>
      <c r="N42" s="71"/>
      <c r="O42" s="10">
        <f t="shared" si="16"/>
        <v>1.9073486328125E-6</v>
      </c>
      <c r="P42" s="29" t="str">
        <f t="shared" si="1"/>
        <v>-</v>
      </c>
      <c r="Q42" s="71"/>
      <c r="R42" s="10">
        <f t="shared" si="17"/>
        <v>8925000000</v>
      </c>
      <c r="S42" s="71"/>
      <c r="T42" s="10">
        <f t="shared" si="18"/>
        <v>8925000000</v>
      </c>
      <c r="U42" s="71"/>
      <c r="V42" s="10">
        <f t="shared" si="2"/>
        <v>0</v>
      </c>
      <c r="W42" s="10">
        <f t="shared" si="19"/>
        <v>0</v>
      </c>
      <c r="X42" s="71"/>
      <c r="Y42" s="10">
        <f t="shared" si="3"/>
        <v>124950000</v>
      </c>
      <c r="Z42" s="10">
        <f t="shared" si="20"/>
        <v>54612740.308644682</v>
      </c>
      <c r="AA42" s="71"/>
      <c r="AB42" s="10">
        <f t="shared" si="4"/>
        <v>0</v>
      </c>
      <c r="AC42" s="10">
        <f t="shared" si="21"/>
        <v>0</v>
      </c>
      <c r="AD42" s="71"/>
      <c r="AE42" s="10">
        <f t="shared" si="5"/>
        <v>0</v>
      </c>
      <c r="AF42" s="10">
        <f t="shared" si="22"/>
        <v>0</v>
      </c>
      <c r="AG42" s="71"/>
      <c r="AH42" s="10">
        <f t="shared" si="6"/>
        <v>440000000.00000006</v>
      </c>
      <c r="AI42" s="10">
        <f t="shared" si="23"/>
        <v>192313771.39498729</v>
      </c>
      <c r="AJ42" s="71"/>
      <c r="AK42" s="10">
        <f t="shared" si="7"/>
        <v>4284000000</v>
      </c>
      <c r="AL42" s="10">
        <f t="shared" si="24"/>
        <v>1872436810.5821033</v>
      </c>
      <c r="AM42" s="71"/>
      <c r="AN42" s="10">
        <f t="shared" si="8"/>
        <v>3927000000.0000005</v>
      </c>
      <c r="AO42" s="10">
        <f t="shared" si="25"/>
        <v>1716400409.7002616</v>
      </c>
      <c r="AP42" s="71"/>
      <c r="AQ42" s="10">
        <f t="shared" si="9"/>
        <v>1055422000</v>
      </c>
      <c r="AR42" s="10">
        <f t="shared" si="26"/>
        <v>461300420.9846369</v>
      </c>
      <c r="AS42" s="71"/>
      <c r="AT42" s="7">
        <f>IF($K42&lt;=$F$15,IF($F$40&lt;&gt;"",$F$40/1000,IF(ISERROR(VLOOKUP($F$3&amp;IF($G$4&lt;&gt;"",$G$4,"")&amp;IF($F$43&lt;&gt;"","_"&amp;$F$43,""),'表3）燃料価格'!$AF$9:$AG$25,2,0)),0,VLOOKUP($I42,'表3）燃料価格'!$A$6:$U$66,VLOOKUP($F$3&amp;IF($G$4&lt;&gt;"",$G$4,"")&amp;IF($F$43&lt;&gt;"","_"&amp;$F$43,""),'表3）燃料価格'!$AF$9:$AG$25,2,0)+VLOOKUP($F$41,'表3）燃料価格'!$AF$28:$AG$29,2,0),0)*IF($F$43="需要地価格",1,$F$8/$F$141))),"")</f>
        <v>10.711737518200525</v>
      </c>
      <c r="AU42" s="71"/>
      <c r="AV42" s="10">
        <f t="shared" si="10"/>
        <v>17665275882.471016</v>
      </c>
      <c r="AW42" s="10">
        <f t="shared" si="11"/>
        <v>7721081426.5702562</v>
      </c>
      <c r="AX42" s="71"/>
      <c r="AY42" s="7">
        <f>IF(ISERROR(IF($K42&lt;=$F$15,VLOOKUP($I42,'表4）CO2価格'!$A$7:$E$67,VLOOKUP($F$48,'表4）CO2価格'!$H$10:$I$12,2,0),0)*$F$8/1000,"")),0,IF($K42&lt;=$F$15,VLOOKUP($I42,'表4）CO2価格'!$A$7:$E$67,VLOOKUP($F$48,'表4）CO2価格'!$H$10:$I$12,2,0),0)*$F$8/1000,""))</f>
        <v>7.8066855236744779</v>
      </c>
      <c r="AZ42" s="71"/>
      <c r="BA42" s="11">
        <f t="shared" si="12"/>
        <v>24057633221.647457</v>
      </c>
      <c r="BB42" s="10">
        <f t="shared" si="27"/>
        <v>10515032217.482637</v>
      </c>
      <c r="BC42" s="71"/>
      <c r="BD42" s="10">
        <f t="shared" si="13"/>
        <v>0</v>
      </c>
      <c r="BE42" s="10">
        <f t="shared" si="28"/>
        <v>0</v>
      </c>
      <c r="BF42" s="71"/>
      <c r="BG42" s="11">
        <f t="shared" si="14"/>
        <v>0</v>
      </c>
      <c r="BH42" s="10">
        <f t="shared" si="29"/>
        <v>0</v>
      </c>
      <c r="BJ42" s="7"/>
      <c r="BK42" s="158"/>
      <c r="BL42" s="158"/>
      <c r="BM42" s="10"/>
      <c r="BN42" s="10" t="str">
        <f>IF(AND(ISNUMBER($F$16),$K42&lt;=$F$16),BQ42*('バイオマス（木質専焼）（2030年）'!$O$15+'バイオマス（木質専焼）（2030年）'!$BK$116)/'バイオマス（木質専焼）（2030年）'!$BL$116,"")</f>
        <v/>
      </c>
      <c r="BO42" s="10" t="str">
        <f t="shared" si="30"/>
        <v/>
      </c>
      <c r="BQ42" s="10">
        <f t="shared" si="15"/>
        <v>4056318000</v>
      </c>
      <c r="BR42" s="10">
        <f t="shared" si="31"/>
        <v>1772922301.2667544</v>
      </c>
    </row>
    <row r="43" spans="3:70" x14ac:dyDescent="0.15">
      <c r="D43" s="160" t="s">
        <v>126</v>
      </c>
      <c r="F43" s="474"/>
      <c r="I43" s="38">
        <f t="shared" si="32"/>
        <v>2058</v>
      </c>
      <c r="J43" s="39"/>
      <c r="K43" s="39">
        <f t="shared" si="33"/>
        <v>29</v>
      </c>
      <c r="L43" s="39"/>
      <c r="M43" s="40">
        <f t="shared" si="0"/>
        <v>0.42434636230138412</v>
      </c>
      <c r="N43" s="39"/>
      <c r="O43" s="72">
        <f t="shared" si="16"/>
        <v>1.9073486328125E-6</v>
      </c>
      <c r="P43" s="41" t="str">
        <f t="shared" si="1"/>
        <v>-</v>
      </c>
      <c r="Q43" s="39"/>
      <c r="R43" s="72">
        <f t="shared" si="17"/>
        <v>8925000000</v>
      </c>
      <c r="S43" s="39"/>
      <c r="T43" s="72">
        <f t="shared" si="18"/>
        <v>8925000000</v>
      </c>
      <c r="U43" s="39"/>
      <c r="V43" s="72">
        <f t="shared" si="2"/>
        <v>0</v>
      </c>
      <c r="W43" s="72">
        <f t="shared" si="19"/>
        <v>0</v>
      </c>
      <c r="X43" s="39"/>
      <c r="Y43" s="72">
        <f t="shared" si="3"/>
        <v>124950000</v>
      </c>
      <c r="Z43" s="72">
        <f t="shared" si="20"/>
        <v>53022077.969557948</v>
      </c>
      <c r="AA43" s="39"/>
      <c r="AB43" s="72">
        <f t="shared" si="4"/>
        <v>0</v>
      </c>
      <c r="AC43" s="72">
        <f t="shared" si="21"/>
        <v>0</v>
      </c>
      <c r="AD43" s="39"/>
      <c r="AE43" s="72">
        <f t="shared" si="5"/>
        <v>0</v>
      </c>
      <c r="AF43" s="72">
        <f t="shared" si="22"/>
        <v>0</v>
      </c>
      <c r="AG43" s="39"/>
      <c r="AH43" s="72">
        <f t="shared" si="6"/>
        <v>440000000.00000006</v>
      </c>
      <c r="AI43" s="72">
        <f t="shared" si="23"/>
        <v>186712399.41260904</v>
      </c>
      <c r="AJ43" s="39"/>
      <c r="AK43" s="72">
        <f t="shared" si="7"/>
        <v>4284000000</v>
      </c>
      <c r="AL43" s="72">
        <f t="shared" si="24"/>
        <v>1817899816.0991294</v>
      </c>
      <c r="AM43" s="39"/>
      <c r="AN43" s="72">
        <f t="shared" si="8"/>
        <v>3927000000.0000005</v>
      </c>
      <c r="AO43" s="72">
        <f t="shared" si="25"/>
        <v>1666408164.7575357</v>
      </c>
      <c r="AP43" s="39"/>
      <c r="AQ43" s="72">
        <f t="shared" si="9"/>
        <v>1055422000</v>
      </c>
      <c r="AR43" s="72">
        <f t="shared" si="26"/>
        <v>447864486.39285141</v>
      </c>
      <c r="AS43" s="39"/>
      <c r="AT43" s="40">
        <f>IF($K43&lt;=$F$15,IF($F$40&lt;&gt;"",$F$40/1000,IF(ISERROR(VLOOKUP($F$3&amp;IF($G$4&lt;&gt;"",$G$4,"")&amp;IF($F$43&lt;&gt;"","_"&amp;$F$43,""),'表3）燃料価格'!$AF$9:$AG$25,2,0)),0,VLOOKUP($I43,'表3）燃料価格'!$A$6:$U$66,VLOOKUP($F$3&amp;IF($G$4&lt;&gt;"",$G$4,"")&amp;IF($F$43&lt;&gt;"","_"&amp;$F$43,""),'表3）燃料価格'!$AF$9:$AG$25,2,0)+VLOOKUP($F$41,'表3）燃料価格'!$AF$28:$AG$29,2,0),0)*IF($F$43="需要地価格",1,$F$8/$F$141))),"")</f>
        <v>10.701964667106349</v>
      </c>
      <c r="AU43" s="39"/>
      <c r="AV43" s="72">
        <f t="shared" si="10"/>
        <v>17651627620.234772</v>
      </c>
      <c r="AW43" s="72">
        <f t="shared" si="11"/>
        <v>7490403969.3452635</v>
      </c>
      <c r="AX43" s="39"/>
      <c r="AY43" s="40">
        <f>IF(ISERROR(IF($K43&lt;=$F$15,VLOOKUP($I43,'表4）CO2価格'!$A$7:$E$67,VLOOKUP($F$48,'表4）CO2価格'!$H$10:$I$12,2,0),0)*$F$8/1000,"")),0,IF($K43&lt;=$F$15,VLOOKUP($I43,'表4）CO2価格'!$A$7:$E$67,VLOOKUP($F$48,'表4）CO2価格'!$H$10:$I$12,2,0),0)*$F$8/1000,""))</f>
        <v>7.9378294490802217</v>
      </c>
      <c r="AZ43" s="39"/>
      <c r="BA43" s="42">
        <f t="shared" si="12"/>
        <v>24461775600.265198</v>
      </c>
      <c r="BB43" s="72">
        <f t="shared" si="27"/>
        <v>10380265491.405294</v>
      </c>
      <c r="BC43" s="39"/>
      <c r="BD43" s="72">
        <f t="shared" si="13"/>
        <v>0</v>
      </c>
      <c r="BE43" s="72">
        <f t="shared" si="28"/>
        <v>0</v>
      </c>
      <c r="BF43" s="39"/>
      <c r="BG43" s="42">
        <f t="shared" si="14"/>
        <v>0</v>
      </c>
      <c r="BH43" s="72">
        <f t="shared" si="29"/>
        <v>0</v>
      </c>
      <c r="BI43" s="39"/>
      <c r="BJ43" s="40"/>
      <c r="BK43" s="157"/>
      <c r="BL43" s="157"/>
      <c r="BM43" s="72"/>
      <c r="BN43" s="72" t="str">
        <f>IF(AND(ISNUMBER($F$16),$K43&lt;=$F$16),BQ43*('バイオマス（木質専焼）（2030年）'!$O$15+'バイオマス（木質専焼）（2030年）'!$BK$116)/'バイオマス（木質専焼）（2030年）'!$BL$116,"")</f>
        <v/>
      </c>
      <c r="BO43" s="72" t="str">
        <f t="shared" si="30"/>
        <v/>
      </c>
      <c r="BP43" s="39"/>
      <c r="BQ43" s="72">
        <f t="shared" si="15"/>
        <v>4056318000</v>
      </c>
      <c r="BR43" s="72">
        <f t="shared" si="31"/>
        <v>1721283787.6376259</v>
      </c>
    </row>
    <row r="44" spans="3:70" x14ac:dyDescent="0.15">
      <c r="I44" s="457">
        <f t="shared" si="32"/>
        <v>2059</v>
      </c>
      <c r="J44" s="71"/>
      <c r="K44" s="71">
        <f t="shared" si="33"/>
        <v>30</v>
      </c>
      <c r="L44" s="71"/>
      <c r="M44" s="7">
        <f t="shared" si="0"/>
        <v>0.41198675951590691</v>
      </c>
      <c r="N44" s="71"/>
      <c r="O44" s="10">
        <f t="shared" si="16"/>
        <v>1.9073486328125E-6</v>
      </c>
      <c r="P44" s="29" t="str">
        <f t="shared" si="1"/>
        <v>-</v>
      </c>
      <c r="Q44" s="71"/>
      <c r="R44" s="10">
        <f t="shared" si="17"/>
        <v>8925000000</v>
      </c>
      <c r="S44" s="71"/>
      <c r="T44" s="10">
        <f t="shared" si="18"/>
        <v>8925000000</v>
      </c>
      <c r="U44" s="71"/>
      <c r="V44" s="10">
        <f t="shared" si="2"/>
        <v>0</v>
      </c>
      <c r="W44" s="10">
        <f t="shared" si="19"/>
        <v>0</v>
      </c>
      <c r="X44" s="71"/>
      <c r="Y44" s="10">
        <f t="shared" si="3"/>
        <v>124950000</v>
      </c>
      <c r="Z44" s="10">
        <f t="shared" si="20"/>
        <v>51477745.601512566</v>
      </c>
      <c r="AA44" s="71"/>
      <c r="AB44" s="10">
        <f t="shared" si="4"/>
        <v>0</v>
      </c>
      <c r="AC44" s="10">
        <f t="shared" si="21"/>
        <v>0</v>
      </c>
      <c r="AD44" s="71"/>
      <c r="AE44" s="10">
        <f t="shared" si="5"/>
        <v>0</v>
      </c>
      <c r="AF44" s="10">
        <f t="shared" si="22"/>
        <v>0</v>
      </c>
      <c r="AG44" s="71"/>
      <c r="AH44" s="10">
        <f t="shared" si="6"/>
        <v>440000000.00000006</v>
      </c>
      <c r="AI44" s="10">
        <f t="shared" si="23"/>
        <v>181274174.18699905</v>
      </c>
      <c r="AJ44" s="71"/>
      <c r="AK44" s="10">
        <f t="shared" si="7"/>
        <v>4284000000</v>
      </c>
      <c r="AL44" s="10">
        <f t="shared" si="24"/>
        <v>1764951277.7661452</v>
      </c>
      <c r="AM44" s="71"/>
      <c r="AN44" s="10">
        <f t="shared" si="8"/>
        <v>3927000000.0000005</v>
      </c>
      <c r="AO44" s="10">
        <f t="shared" si="25"/>
        <v>1617872004.6189666</v>
      </c>
      <c r="AP44" s="71"/>
      <c r="AQ44" s="10">
        <f t="shared" si="9"/>
        <v>1055422000</v>
      </c>
      <c r="AR44" s="10">
        <f t="shared" si="26"/>
        <v>434819889.70179749</v>
      </c>
      <c r="AS44" s="71"/>
      <c r="AT44" s="7">
        <f>IF($K44&lt;=$F$15,IF($F$40&lt;&gt;"",$F$40/1000,IF(ISERROR(VLOOKUP($F$3&amp;IF($G$4&lt;&gt;"",$G$4,"")&amp;IF($F$43&lt;&gt;"","_"&amp;$F$43,""),'表3）燃料価格'!$AF$9:$AG$25,2,0)),0,VLOOKUP($I44,'表3）燃料価格'!$A$6:$U$66,VLOOKUP($F$3&amp;IF($G$4&lt;&gt;"",$G$4,"")&amp;IF($F$43&lt;&gt;"","_"&amp;$F$43,""),'表3）燃料価格'!$AF$9:$AG$25,2,0)+VLOOKUP($F$41,'表3）燃料価格'!$AF$28:$AG$29,2,0),0)*IF($F$43="需要地価格",1,$F$8/$F$141))),"")</f>
        <v>10.692411449341781</v>
      </c>
      <c r="AU44" s="71"/>
      <c r="AV44" s="10">
        <f t="shared" si="10"/>
        <v>17638286086.633747</v>
      </c>
      <c r="AW44" s="10">
        <f t="shared" si="11"/>
        <v>7266740328.2467442</v>
      </c>
      <c r="AX44" s="71"/>
      <c r="AY44" s="7">
        <f>IF(ISERROR(IF($K44&lt;=$F$15,VLOOKUP($I44,'表4）CO2価格'!$A$7:$E$67,VLOOKUP($F$48,'表4）CO2価格'!$H$10:$I$12,2,0),0)*$F$8/1000,"")),0,IF($K44&lt;=$F$15,VLOOKUP($I44,'表4）CO2価格'!$A$7:$E$67,VLOOKUP($F$48,'表4）CO2価格'!$H$10:$I$12,2,0),0)*$F$8/1000,""))</f>
        <v>8.0689096659945534</v>
      </c>
      <c r="AZ44" s="71"/>
      <c r="BA44" s="11">
        <f t="shared" si="12"/>
        <v>24865721650.298309</v>
      </c>
      <c r="BB44" s="10">
        <f t="shared" si="27"/>
        <v>10244348085.73093</v>
      </c>
      <c r="BC44" s="71"/>
      <c r="BD44" s="10">
        <f t="shared" si="13"/>
        <v>0</v>
      </c>
      <c r="BE44" s="10">
        <f t="shared" si="28"/>
        <v>0</v>
      </c>
      <c r="BF44" s="71"/>
      <c r="BG44" s="11">
        <f t="shared" si="14"/>
        <v>0</v>
      </c>
      <c r="BH44" s="10">
        <f t="shared" si="29"/>
        <v>0</v>
      </c>
      <c r="BJ44" s="7"/>
      <c r="BK44" s="158"/>
      <c r="BL44" s="158"/>
      <c r="BM44" s="10"/>
      <c r="BN44" s="10" t="str">
        <f>IF(AND(ISNUMBER($F$16),$K44&lt;=$F$16),BQ44*('バイオマス（木質専焼）（2030年）'!$O$15+'バイオマス（木質専焼）（2030年）'!$BK$116)/'バイオマス（木質専焼）（2030年）'!$BL$116,"")</f>
        <v/>
      </c>
      <c r="BO44" s="10" t="str">
        <f t="shared" si="30"/>
        <v/>
      </c>
      <c r="BQ44" s="10">
        <f t="shared" si="15"/>
        <v>4056318000</v>
      </c>
      <c r="BR44" s="10">
        <f t="shared" si="31"/>
        <v>1671149308.3860445</v>
      </c>
    </row>
    <row r="45" spans="3:70" x14ac:dyDescent="0.15">
      <c r="C45" s="4" t="s">
        <v>575</v>
      </c>
      <c r="D45" s="100"/>
      <c r="E45" s="100"/>
      <c r="F45" s="4"/>
      <c r="G45" s="100"/>
      <c r="I45" s="38">
        <f t="shared" si="32"/>
        <v>2060</v>
      </c>
      <c r="J45" s="39"/>
      <c r="K45" s="39">
        <f t="shared" si="33"/>
        <v>31</v>
      </c>
      <c r="L45" s="39"/>
      <c r="M45" s="40">
        <f t="shared" si="0"/>
        <v>0.39998714516107459</v>
      </c>
      <c r="N45" s="39"/>
      <c r="O45" s="72">
        <f t="shared" si="16"/>
        <v>1.9073486328125E-6</v>
      </c>
      <c r="P45" s="41" t="str">
        <f t="shared" si="1"/>
        <v>-</v>
      </c>
      <c r="Q45" s="39"/>
      <c r="R45" s="72">
        <f t="shared" si="17"/>
        <v>8925000000</v>
      </c>
      <c r="S45" s="39"/>
      <c r="T45" s="72">
        <f t="shared" si="18"/>
        <v>8925000000</v>
      </c>
      <c r="U45" s="39"/>
      <c r="V45" s="72">
        <f t="shared" si="2"/>
        <v>0</v>
      </c>
      <c r="W45" s="72">
        <f t="shared" si="19"/>
        <v>0</v>
      </c>
      <c r="X45" s="39"/>
      <c r="Y45" s="72">
        <f t="shared" si="3"/>
        <v>124950000</v>
      </c>
      <c r="Z45" s="72">
        <f t="shared" si="20"/>
        <v>49978393.787876271</v>
      </c>
      <c r="AA45" s="39"/>
      <c r="AB45" s="72">
        <f t="shared" si="4"/>
        <v>0</v>
      </c>
      <c r="AC45" s="72">
        <f t="shared" si="21"/>
        <v>0</v>
      </c>
      <c r="AD45" s="39"/>
      <c r="AE45" s="72">
        <f t="shared" si="5"/>
        <v>0</v>
      </c>
      <c r="AF45" s="72">
        <f t="shared" si="22"/>
        <v>0</v>
      </c>
      <c r="AG45" s="39"/>
      <c r="AH45" s="72">
        <f t="shared" si="6"/>
        <v>440000000.00000006</v>
      </c>
      <c r="AI45" s="72">
        <f t="shared" si="23"/>
        <v>175994343.87087286</v>
      </c>
      <c r="AJ45" s="39"/>
      <c r="AK45" s="72">
        <f t="shared" si="7"/>
        <v>4284000000</v>
      </c>
      <c r="AL45" s="72">
        <f t="shared" si="24"/>
        <v>1713544929.8700435</v>
      </c>
      <c r="AM45" s="39"/>
      <c r="AN45" s="72">
        <f t="shared" si="8"/>
        <v>3927000000.0000005</v>
      </c>
      <c r="AO45" s="72">
        <f t="shared" si="25"/>
        <v>1570749519.0475402</v>
      </c>
      <c r="AP45" s="39"/>
      <c r="AQ45" s="72">
        <f t="shared" si="9"/>
        <v>1055422000</v>
      </c>
      <c r="AR45" s="72">
        <f t="shared" si="26"/>
        <v>422155232.72019166</v>
      </c>
      <c r="AS45" s="39"/>
      <c r="AT45" s="40">
        <f>IF($K45&lt;=$F$15,IF($F$40&lt;&gt;"",$F$40/1000,IF(ISERROR(VLOOKUP($F$3&amp;IF($G$4&lt;&gt;"",$G$4,"")&amp;IF($F$43&lt;&gt;"","_"&amp;$F$43,""),'表3）燃料価格'!$AF$9:$AG$25,2,0)),0,VLOOKUP($I45,'表3）燃料価格'!$A$6:$U$66,VLOOKUP($F$3&amp;IF($G$4&lt;&gt;"",$G$4,"")&amp;IF($F$43&lt;&gt;"","_"&amp;$F$43,""),'表3）燃料価格'!$AF$9:$AG$25,2,0)+VLOOKUP($F$41,'表3）燃料価格'!$AF$28:$AG$29,2,0),0)*IF($F$43="需要地価格",1,$F$8/$F$141))),"")</f>
        <v>10.683068209501958</v>
      </c>
      <c r="AU45" s="39"/>
      <c r="AV45" s="72">
        <f t="shared" si="10"/>
        <v>17625237797.425083</v>
      </c>
      <c r="AW45" s="72">
        <f t="shared" si="11"/>
        <v>7049868549.3771248</v>
      </c>
      <c r="AX45" s="39"/>
      <c r="AY45" s="40">
        <f>IF(ISERROR(IF($K45&lt;=$F$15,VLOOKUP($I45,'表4）CO2価格'!$A$7:$E$67,VLOOKUP($F$48,'表4）CO2価格'!$H$10:$I$12,2,0),0)*$F$8/1000,"")),0,IF($K45&lt;=$F$15,VLOOKUP($I45,'表4）CO2価格'!$A$7:$E$67,VLOOKUP($F$48,'表4）CO2価格'!$H$10:$I$12,2,0),0)*$F$8/1000,""))</f>
        <v>8.1999262362847141</v>
      </c>
      <c r="AZ45" s="39"/>
      <c r="BA45" s="42">
        <f t="shared" si="12"/>
        <v>25269471562.401253</v>
      </c>
      <c r="BB45" s="72">
        <f t="shared" si="27"/>
        <v>10107463789.973837</v>
      </c>
      <c r="BC45" s="39"/>
      <c r="BD45" s="72">
        <f t="shared" si="13"/>
        <v>0</v>
      </c>
      <c r="BE45" s="72">
        <f t="shared" si="28"/>
        <v>0</v>
      </c>
      <c r="BF45" s="39"/>
      <c r="BG45" s="42">
        <f t="shared" si="14"/>
        <v>0</v>
      </c>
      <c r="BH45" s="72">
        <f t="shared" si="29"/>
        <v>0</v>
      </c>
      <c r="BI45" s="39"/>
      <c r="BJ45" s="40"/>
      <c r="BK45" s="157"/>
      <c r="BL45" s="157"/>
      <c r="BM45" s="72"/>
      <c r="BN45" s="72" t="str">
        <f>IF(AND(ISNUMBER($F$16),$K45&lt;=$F$16),BQ45*('バイオマス（木質専焼）（2030年）'!$O$15+'バイオマス（木質専焼）（2030年）'!$BK$116)/'バイオマス（木質専焼）（2030年）'!$BL$116,"")</f>
        <v/>
      </c>
      <c r="BO45" s="72" t="str">
        <f t="shared" si="30"/>
        <v/>
      </c>
      <c r="BP45" s="39"/>
      <c r="BQ45" s="72">
        <f t="shared" si="15"/>
        <v>4056318000</v>
      </c>
      <c r="BR45" s="72">
        <f t="shared" si="31"/>
        <v>1622475056.6854796</v>
      </c>
    </row>
    <row r="46" spans="3:70" x14ac:dyDescent="0.15">
      <c r="I46" s="457">
        <f t="shared" si="32"/>
        <v>2061</v>
      </c>
      <c r="J46" s="71"/>
      <c r="K46" s="71">
        <f t="shared" si="33"/>
        <v>32</v>
      </c>
      <c r="L46" s="71"/>
      <c r="M46" s="7">
        <f t="shared" si="0"/>
        <v>0.38833703413696569</v>
      </c>
      <c r="N46" s="71"/>
      <c r="O46" s="10">
        <f t="shared" si="16"/>
        <v>1.9073486328125E-6</v>
      </c>
      <c r="P46" s="29" t="str">
        <f t="shared" si="1"/>
        <v>-</v>
      </c>
      <c r="Q46" s="71"/>
      <c r="R46" s="10">
        <f t="shared" si="17"/>
        <v>8925000000</v>
      </c>
      <c r="S46" s="71"/>
      <c r="T46" s="10">
        <f t="shared" si="18"/>
        <v>8925000000</v>
      </c>
      <c r="U46" s="71"/>
      <c r="V46" s="10">
        <f t="shared" si="2"/>
        <v>0</v>
      </c>
      <c r="W46" s="10">
        <f t="shared" si="19"/>
        <v>0</v>
      </c>
      <c r="X46" s="71"/>
      <c r="Y46" s="10">
        <f t="shared" si="3"/>
        <v>124950000</v>
      </c>
      <c r="Z46" s="10">
        <f t="shared" si="20"/>
        <v>48522712.415413864</v>
      </c>
      <c r="AA46" s="71"/>
      <c r="AB46" s="10">
        <f t="shared" si="4"/>
        <v>0</v>
      </c>
      <c r="AC46" s="10">
        <f t="shared" si="21"/>
        <v>0</v>
      </c>
      <c r="AD46" s="71"/>
      <c r="AE46" s="10">
        <f t="shared" si="5"/>
        <v>0</v>
      </c>
      <c r="AF46" s="10">
        <f t="shared" si="22"/>
        <v>0</v>
      </c>
      <c r="AG46" s="71"/>
      <c r="AH46" s="10">
        <f t="shared" si="6"/>
        <v>440000000.00000006</v>
      </c>
      <c r="AI46" s="10">
        <f t="shared" si="23"/>
        <v>170868295.02026492</v>
      </c>
      <c r="AJ46" s="71"/>
      <c r="AK46" s="10">
        <f t="shared" si="7"/>
        <v>4284000000</v>
      </c>
      <c r="AL46" s="10">
        <f t="shared" si="24"/>
        <v>1663635854.2427609</v>
      </c>
      <c r="AM46" s="71"/>
      <c r="AN46" s="10">
        <f t="shared" si="8"/>
        <v>3927000000.0000005</v>
      </c>
      <c r="AO46" s="10">
        <f t="shared" si="25"/>
        <v>1524999533.0558643</v>
      </c>
      <c r="AP46" s="71"/>
      <c r="AQ46" s="10">
        <f t="shared" si="9"/>
        <v>1055422000</v>
      </c>
      <c r="AR46" s="10">
        <f t="shared" si="26"/>
        <v>409859449.2429046</v>
      </c>
      <c r="AS46" s="71"/>
      <c r="AT46" s="7">
        <f>IF($K46&lt;=$F$15,IF($F$40&lt;&gt;"",$F$40/1000,IF(ISERROR(VLOOKUP($F$3&amp;IF($G$4&lt;&gt;"",$G$4,"")&amp;IF($F$43&lt;&gt;"","_"&amp;$F$43,""),'表3）燃料価格'!$AF$9:$AG$25,2,0)),0,VLOOKUP($I46,'表3）燃料価格'!$A$6:$U$66,VLOOKUP($F$3&amp;IF($G$4&lt;&gt;"",$G$4,"")&amp;IF($F$43&lt;&gt;"","_"&amp;$F$43,""),'表3）燃料価格'!$AF$9:$AG$25,2,0)+VLOOKUP($F$41,'表3）燃料価格'!$AF$28:$AG$29,2,0),0)*IF($F$43="需要地価格",1,$F$8/$F$141))),"")</f>
        <v>10.673925915210665</v>
      </c>
      <c r="AU46" s="71"/>
      <c r="AV46" s="10">
        <f t="shared" si="10"/>
        <v>17612470138.455753</v>
      </c>
      <c r="AW46" s="10">
        <f t="shared" si="11"/>
        <v>6839574417.3937807</v>
      </c>
      <c r="AX46" s="71"/>
      <c r="AY46" s="7">
        <f>IF(ISERROR(IF($K46&lt;=$F$15,VLOOKUP($I46,'表4）CO2価格'!$A$7:$E$67,VLOOKUP($F$48,'表4）CO2価格'!$H$10:$I$12,2,0),0)*$F$8/1000,"")),0,IF($K46&lt;=$F$15,VLOOKUP($I46,'表4）CO2価格'!$A$7:$E$67,VLOOKUP($F$48,'表4）CO2価格'!$H$10:$I$12,2,0),0)*$F$8/1000,""))</f>
        <v>8.3308792217288072</v>
      </c>
      <c r="AZ46" s="71"/>
      <c r="BA46" s="11">
        <f t="shared" si="12"/>
        <v>25673025526.953789</v>
      </c>
      <c r="BB46" s="10">
        <f t="shared" si="27"/>
        <v>9969786590.4598446</v>
      </c>
      <c r="BC46" s="71"/>
      <c r="BD46" s="10">
        <f t="shared" si="13"/>
        <v>0</v>
      </c>
      <c r="BE46" s="10">
        <f t="shared" si="28"/>
        <v>0</v>
      </c>
      <c r="BF46" s="71"/>
      <c r="BG46" s="11">
        <f t="shared" si="14"/>
        <v>0</v>
      </c>
      <c r="BH46" s="10">
        <f t="shared" si="29"/>
        <v>0</v>
      </c>
      <c r="BJ46" s="7"/>
      <c r="BK46" s="158"/>
      <c r="BL46" s="158"/>
      <c r="BM46" s="10"/>
      <c r="BN46" s="10" t="str">
        <f>IF(AND(ISNUMBER($F$16),$K46&lt;=$F$16),BQ46*('バイオマス（木質専焼）（2030年）'!$O$15+'バイオマス（木質専焼）（2030年）'!$BK$116)/'バイオマス（木質専焼）（2030年）'!$BL$116,"")</f>
        <v/>
      </c>
      <c r="BO46" s="10" t="str">
        <f t="shared" si="30"/>
        <v/>
      </c>
      <c r="BQ46" s="10">
        <f t="shared" si="15"/>
        <v>4056318000</v>
      </c>
      <c r="BR46" s="10">
        <f t="shared" si="31"/>
        <v>1575218501.6363883</v>
      </c>
    </row>
    <row r="47" spans="3:70" x14ac:dyDescent="0.15">
      <c r="D47" s="84" t="s">
        <v>576</v>
      </c>
      <c r="F47" s="478">
        <f>24.29*(26.08*95%/(26.08*95%+13.21*5%))</f>
        <v>23.659270733001787</v>
      </c>
      <c r="G47" s="84" t="s">
        <v>577</v>
      </c>
      <c r="I47" s="38">
        <f t="shared" si="32"/>
        <v>2062</v>
      </c>
      <c r="J47" s="39"/>
      <c r="K47" s="39">
        <f t="shared" si="33"/>
        <v>33</v>
      </c>
      <c r="L47" s="39"/>
      <c r="M47" s="40">
        <f t="shared" si="0"/>
        <v>0.37702624673491814</v>
      </c>
      <c r="N47" s="39"/>
      <c r="O47" s="72">
        <f t="shared" si="16"/>
        <v>1.9073486328125E-6</v>
      </c>
      <c r="P47" s="41" t="str">
        <f t="shared" ref="P47:P78" si="34">IF(K47&lt;=$F$15,IF(OR(P46=$F$124,P46="-"),"-",IF(O47*$F$123&gt;$F$127,$F$123,$F$124)),"")</f>
        <v>-</v>
      </c>
      <c r="Q47" s="39"/>
      <c r="R47" s="72">
        <f t="shared" si="17"/>
        <v>8925000000</v>
      </c>
      <c r="S47" s="39"/>
      <c r="T47" s="72">
        <f t="shared" si="18"/>
        <v>8925000000</v>
      </c>
      <c r="U47" s="39"/>
      <c r="V47" s="72">
        <f t="shared" ref="V47:V78" si="35">IF(K47&lt;=$F$15,IF(K47&lt;$F$119,IF(P47="-",V46,O47*P47),IF(K47=$F$119,MIN(IF(P47="-",V46,O47*P47),O47),0)),"")</f>
        <v>0</v>
      </c>
      <c r="W47" s="72">
        <f t="shared" si="19"/>
        <v>0</v>
      </c>
      <c r="X47" s="39"/>
      <c r="Y47" s="72">
        <f t="shared" ref="Y47:Y78" si="36">IF($K47&lt;=$F$15,ROUNDDOWN(T47*$F$25/100,-2),"")</f>
        <v>124950000</v>
      </c>
      <c r="Z47" s="72">
        <f t="shared" si="20"/>
        <v>47109429.529528022</v>
      </c>
      <c r="AA47" s="39"/>
      <c r="AB47" s="72">
        <f t="shared" si="4"/>
        <v>0</v>
      </c>
      <c r="AC47" s="72">
        <f t="shared" si="21"/>
        <v>0</v>
      </c>
      <c r="AD47" s="39"/>
      <c r="AE47" s="72">
        <f t="shared" ref="AE47:AE78" si="37">IF($K47&lt;=$F$15,$F$26,"")</f>
        <v>0</v>
      </c>
      <c r="AF47" s="72">
        <f t="shared" si="22"/>
        <v>0</v>
      </c>
      <c r="AG47" s="39"/>
      <c r="AH47" s="72">
        <f t="shared" ref="AH47:AH78" si="38">IF($K47&lt;=$F$15,$F$33*10^8,"")</f>
        <v>440000000.00000006</v>
      </c>
      <c r="AI47" s="72">
        <f t="shared" si="23"/>
        <v>165891548.563364</v>
      </c>
      <c r="AJ47" s="39"/>
      <c r="AK47" s="72">
        <f t="shared" ref="AK47:AK78" si="39">IF($K47&lt;=$F$15,$F$117*$F$34/100,"")</f>
        <v>4284000000</v>
      </c>
      <c r="AL47" s="72">
        <f t="shared" si="24"/>
        <v>1615180441.0123892</v>
      </c>
      <c r="AM47" s="39"/>
      <c r="AN47" s="72">
        <f t="shared" ref="AN47:AN78" si="40">IF($K47&lt;=$F$15,$F$117*$F$35/100,"")</f>
        <v>3927000000.0000005</v>
      </c>
      <c r="AO47" s="72">
        <f t="shared" si="25"/>
        <v>1480582070.9280238</v>
      </c>
      <c r="AP47" s="39"/>
      <c r="AQ47" s="72">
        <f t="shared" ref="AQ47:AQ78" si="41">IF($K47&lt;=$F$15,SUM(AH47,AK47,AN47)*($F$36/100),"")</f>
        <v>1055422000</v>
      </c>
      <c r="AR47" s="72">
        <f t="shared" si="26"/>
        <v>397921795.38146079</v>
      </c>
      <c r="AS47" s="39"/>
      <c r="AT47" s="40">
        <f>IF($K47&lt;=$F$15,IF($F$40&lt;&gt;"",$F$40/1000,IF(ISERROR(VLOOKUP($F$3&amp;IF($G$4&lt;&gt;"",$G$4,"")&amp;IF($F$43&lt;&gt;"","_"&amp;$F$43,""),'表3）燃料価格'!$AF$9:$AG$25,2,0)),0,VLOOKUP($I47,'表3）燃料価格'!$A$6:$U$66,VLOOKUP($F$3&amp;IF($G$4&lt;&gt;"",$G$4,"")&amp;IF($F$43&lt;&gt;"","_"&amp;$F$43,""),'表3）燃料価格'!$AF$9:$AG$25,2,0)+VLOOKUP($F$41,'表3）燃料価格'!$AF$28:$AG$29,2,0),0)*IF($F$43="需要地価格",1,$F$8/$F$141))),"")</f>
        <v>10.664976104644644</v>
      </c>
      <c r="AU47" s="39"/>
      <c r="AV47" s="72">
        <f t="shared" ref="AV47:AV78" si="42">IF($K47&lt;=$F$15,($AT47+$F$142)*$F$137,"")</f>
        <v>17599971292.377708</v>
      </c>
      <c r="AW47" s="72">
        <f t="shared" si="11"/>
        <v>6635651119.0074739</v>
      </c>
      <c r="AX47" s="39"/>
      <c r="AY47" s="40">
        <f>IF(ISERROR(IF($K47&lt;=$F$15,VLOOKUP($I47,'表4）CO2価格'!$A$7:$E$67,VLOOKUP($F$48,'表4）CO2価格'!$H$10:$I$12,2,0),0)*$F$8/1000,"")),0,IF($K47&lt;=$F$15,VLOOKUP($I47,'表4）CO2価格'!$A$7:$E$67,VLOOKUP($F$48,'表4）CO2価格'!$H$10:$I$12,2,0),0)*$F$8/1000,""))</f>
        <v>8.4617686840146202</v>
      </c>
      <c r="AZ47" s="39"/>
      <c r="BA47" s="42">
        <f t="shared" ref="BA47:BA78" si="43">IF($K47&lt;=$F$15,$F$145*AY47,"")</f>
        <v>26076383734.057362</v>
      </c>
      <c r="BB47" s="72">
        <f t="shared" si="27"/>
        <v>9831481087.6711159</v>
      </c>
      <c r="BC47" s="39"/>
      <c r="BD47" s="72">
        <f t="shared" ref="BD47:BD78" si="44">IF($K47&lt;=$F$15,($AT47+$F$152)*$F$151,"")</f>
        <v>0</v>
      </c>
      <c r="BE47" s="72">
        <f t="shared" si="28"/>
        <v>0</v>
      </c>
      <c r="BF47" s="39"/>
      <c r="BG47" s="42">
        <f t="shared" ref="BG47:BG78" si="45">IF($K47&lt;=$F$15,$F$153*AY47,"")</f>
        <v>0</v>
      </c>
      <c r="BH47" s="72">
        <f t="shared" si="29"/>
        <v>0</v>
      </c>
      <c r="BI47" s="39"/>
      <c r="BJ47" s="40"/>
      <c r="BK47" s="157"/>
      <c r="BL47" s="157"/>
      <c r="BM47" s="72"/>
      <c r="BN47" s="72" t="str">
        <f>IF(AND(ISNUMBER($F$16),$K47&lt;=$F$16),BQ47*('バイオマス（木質専焼）（2030年）'!$O$15+'バイオマス（木質専焼）（2030年）'!$BK$116)/'バイオマス（木質専焼）（2030年）'!$BL$116,"")</f>
        <v/>
      </c>
      <c r="BO47" s="72" t="str">
        <f t="shared" si="30"/>
        <v/>
      </c>
      <c r="BP47" s="39"/>
      <c r="BQ47" s="72">
        <f t="shared" ref="BQ47:BQ78" si="46">IF($K47&lt;=$F$15,$F$134,"")</f>
        <v>4056318000</v>
      </c>
      <c r="BR47" s="72">
        <f t="shared" si="31"/>
        <v>1529338351.1032896</v>
      </c>
    </row>
    <row r="48" spans="3:70" x14ac:dyDescent="0.15">
      <c r="D48" s="84" t="s">
        <v>578</v>
      </c>
      <c r="F48" s="474" t="str">
        <f>まとめ!B5</f>
        <v>WEO2020　STEPS</v>
      </c>
      <c r="I48" s="457">
        <f t="shared" si="32"/>
        <v>2063</v>
      </c>
      <c r="J48" s="71"/>
      <c r="K48" s="71">
        <f t="shared" si="33"/>
        <v>34</v>
      </c>
      <c r="L48" s="71"/>
      <c r="M48" s="7">
        <f t="shared" si="0"/>
        <v>0.36604489974263904</v>
      </c>
      <c r="N48" s="71"/>
      <c r="O48" s="10">
        <f t="shared" si="16"/>
        <v>1.9073486328125E-6</v>
      </c>
      <c r="P48" s="29" t="str">
        <f t="shared" si="34"/>
        <v>-</v>
      </c>
      <c r="Q48" s="71"/>
      <c r="R48" s="10">
        <f t="shared" ref="R48:R79" si="47">IF($K48&lt;=$F$15,MAX($F$117*5%,R47*$F$129),"")</f>
        <v>8925000000</v>
      </c>
      <c r="S48" s="71"/>
      <c r="T48" s="10">
        <f t="shared" si="18"/>
        <v>8925000000</v>
      </c>
      <c r="U48" s="71"/>
      <c r="V48" s="10">
        <f t="shared" si="35"/>
        <v>0</v>
      </c>
      <c r="W48" s="10">
        <f t="shared" si="19"/>
        <v>0</v>
      </c>
      <c r="X48" s="71"/>
      <c r="Y48" s="10">
        <f t="shared" si="36"/>
        <v>124950000</v>
      </c>
      <c r="Z48" s="10">
        <f t="shared" si="20"/>
        <v>45737310.222842745</v>
      </c>
      <c r="AA48" s="71"/>
      <c r="AB48" s="10">
        <f t="shared" si="4"/>
        <v>0</v>
      </c>
      <c r="AC48" s="10">
        <f t="shared" si="21"/>
        <v>0</v>
      </c>
      <c r="AD48" s="71"/>
      <c r="AE48" s="10">
        <f t="shared" si="37"/>
        <v>0</v>
      </c>
      <c r="AF48" s="10">
        <f t="shared" si="22"/>
        <v>0</v>
      </c>
      <c r="AG48" s="71"/>
      <c r="AH48" s="10">
        <f t="shared" si="38"/>
        <v>440000000.00000006</v>
      </c>
      <c r="AI48" s="10">
        <f t="shared" si="23"/>
        <v>161059755.88676119</v>
      </c>
      <c r="AJ48" s="71"/>
      <c r="AK48" s="10">
        <f t="shared" si="39"/>
        <v>4284000000</v>
      </c>
      <c r="AL48" s="10">
        <f t="shared" si="24"/>
        <v>1568136350.4974656</v>
      </c>
      <c r="AM48" s="71"/>
      <c r="AN48" s="10">
        <f t="shared" si="40"/>
        <v>3927000000.0000005</v>
      </c>
      <c r="AO48" s="10">
        <f t="shared" si="25"/>
        <v>1437458321.2893436</v>
      </c>
      <c r="AP48" s="71"/>
      <c r="AQ48" s="10">
        <f t="shared" si="41"/>
        <v>1055422000</v>
      </c>
      <c r="AR48" s="10">
        <f t="shared" si="26"/>
        <v>386331840.17617559</v>
      </c>
      <c r="AS48" s="71"/>
      <c r="AT48" s="7">
        <f>IF($K48&lt;=$F$15,IF($F$40&lt;&gt;"",$F$40/1000,IF(ISERROR(VLOOKUP($F$3&amp;IF($G$4&lt;&gt;"",$G$4,"")&amp;IF($F$43&lt;&gt;"","_"&amp;$F$43,""),'表3）燃料価格'!$AF$9:$AG$25,2,0)),0,VLOOKUP($I48,'表3）燃料価格'!$A$6:$U$66,VLOOKUP($F$3&amp;IF($G$4&lt;&gt;"",$G$4,"")&amp;IF($F$43&lt;&gt;"","_"&amp;$F$43,""),'表3）燃料価格'!$AF$9:$AG$25,2,0)+VLOOKUP($F$41,'表3）燃料価格'!$AF$28:$AG$29,2,0),0)*IF($F$43="需要地価格",1,$F$8/$F$141))),"")</f>
        <v>10.656210839468978</v>
      </c>
      <c r="AU48" s="71"/>
      <c r="AV48" s="10">
        <f t="shared" si="42"/>
        <v>17587730172.919846</v>
      </c>
      <c r="AW48" s="10">
        <f t="shared" si="11"/>
        <v>6437898927.8470325</v>
      </c>
      <c r="AX48" s="71"/>
      <c r="AY48" s="7">
        <f>IF(ISERROR(IF($K48&lt;=$F$15,VLOOKUP($I48,'表4）CO2価格'!$A$7:$E$67,VLOOKUP($F$48,'表4）CO2価格'!$H$10:$I$12,2,0),0)*$F$8/1000,"")),0,IF($K48&lt;=$F$15,VLOOKUP($I48,'表4）CO2価格'!$A$7:$E$67,VLOOKUP($F$48,'表4）CO2価格'!$H$10:$I$12,2,0),0)*$F$8/1000,""))</f>
        <v>8.5925946847404155</v>
      </c>
      <c r="AZ48" s="71"/>
      <c r="BA48" s="11">
        <f t="shared" si="43"/>
        <v>26479546373.537521</v>
      </c>
      <c r="BB48" s="10">
        <f t="shared" si="27"/>
        <v>9692702897.5321026</v>
      </c>
      <c r="BC48" s="71"/>
      <c r="BD48" s="10">
        <f t="shared" si="44"/>
        <v>0</v>
      </c>
      <c r="BE48" s="10">
        <f t="shared" si="28"/>
        <v>0</v>
      </c>
      <c r="BF48" s="71"/>
      <c r="BG48" s="11">
        <f t="shared" si="45"/>
        <v>0</v>
      </c>
      <c r="BH48" s="10">
        <f t="shared" si="29"/>
        <v>0</v>
      </c>
      <c r="BJ48" s="7"/>
      <c r="BK48" s="158"/>
      <c r="BL48" s="158"/>
      <c r="BM48" s="10"/>
      <c r="BN48" s="10" t="str">
        <f>IF(AND(ISNUMBER($F$16),$K48&lt;=$F$16),BQ48*('バイオマス（木質専焼）（2030年）'!$O$15+'バイオマス（木質専焼）（2030年）'!$BK$116)/'バイオマス（木質専焼）（2030年）'!$BL$116,"")</f>
        <v/>
      </c>
      <c r="BO48" s="10" t="str">
        <f t="shared" si="30"/>
        <v/>
      </c>
      <c r="BQ48" s="10">
        <f t="shared" si="46"/>
        <v>4056318000</v>
      </c>
      <c r="BR48" s="10">
        <f t="shared" si="31"/>
        <v>1484794515.6342621</v>
      </c>
    </row>
    <row r="49" spans="3:70" x14ac:dyDescent="0.15">
      <c r="I49" s="38">
        <f t="shared" si="32"/>
        <v>2064</v>
      </c>
      <c r="J49" s="39"/>
      <c r="K49" s="39">
        <f t="shared" si="33"/>
        <v>35</v>
      </c>
      <c r="L49" s="39"/>
      <c r="M49" s="40">
        <f t="shared" si="0"/>
        <v>0.35538339780838735</v>
      </c>
      <c r="N49" s="39"/>
      <c r="O49" s="72">
        <f t="shared" si="16"/>
        <v>1.9073486328125E-6</v>
      </c>
      <c r="P49" s="41" t="str">
        <f t="shared" si="34"/>
        <v>-</v>
      </c>
      <c r="Q49" s="39"/>
      <c r="R49" s="72">
        <f t="shared" si="47"/>
        <v>8925000000</v>
      </c>
      <c r="S49" s="39"/>
      <c r="T49" s="72">
        <f t="shared" si="18"/>
        <v>8925000000</v>
      </c>
      <c r="U49" s="39"/>
      <c r="V49" s="72">
        <f t="shared" si="35"/>
        <v>0</v>
      </c>
      <c r="W49" s="72">
        <f t="shared" si="19"/>
        <v>0</v>
      </c>
      <c r="X49" s="39"/>
      <c r="Y49" s="72">
        <f t="shared" si="36"/>
        <v>124950000</v>
      </c>
      <c r="Z49" s="72">
        <f t="shared" si="20"/>
        <v>44405155.556157999</v>
      </c>
      <c r="AA49" s="39"/>
      <c r="AB49" s="72">
        <f t="shared" si="4"/>
        <v>0</v>
      </c>
      <c r="AC49" s="72">
        <f t="shared" si="21"/>
        <v>0</v>
      </c>
      <c r="AD49" s="39"/>
      <c r="AE49" s="72">
        <f t="shared" si="37"/>
        <v>0</v>
      </c>
      <c r="AF49" s="72">
        <f t="shared" si="22"/>
        <v>0</v>
      </c>
      <c r="AG49" s="39"/>
      <c r="AH49" s="72">
        <f t="shared" si="38"/>
        <v>440000000.00000006</v>
      </c>
      <c r="AI49" s="72">
        <f t="shared" si="23"/>
        <v>156368695.03569046</v>
      </c>
      <c r="AJ49" s="39"/>
      <c r="AK49" s="72">
        <f t="shared" si="39"/>
        <v>4284000000</v>
      </c>
      <c r="AL49" s="72">
        <f t="shared" si="24"/>
        <v>1522462476.2111313</v>
      </c>
      <c r="AM49" s="39"/>
      <c r="AN49" s="72">
        <f t="shared" si="40"/>
        <v>3927000000.0000005</v>
      </c>
      <c r="AO49" s="72">
        <f t="shared" si="25"/>
        <v>1395590603.1935372</v>
      </c>
      <c r="AP49" s="39"/>
      <c r="AQ49" s="72">
        <f t="shared" si="41"/>
        <v>1055422000</v>
      </c>
      <c r="AR49" s="72">
        <f t="shared" si="26"/>
        <v>375079456.48172379</v>
      </c>
      <c r="AS49" s="39"/>
      <c r="AT49" s="40">
        <f>IF($K49&lt;=$F$15,IF($F$40&lt;&gt;"",$F$40/1000,IF(ISERROR(VLOOKUP($F$3&amp;IF($G$4&lt;&gt;"",$G$4,"")&amp;IF($F$43&lt;&gt;"","_"&amp;$F$43,""),'表3）燃料価格'!$AF$9:$AG$25,2,0)),0,VLOOKUP($I49,'表3）燃料価格'!$A$6:$U$66,VLOOKUP($F$3&amp;IF($G$4&lt;&gt;"",$G$4,"")&amp;IF($F$43&lt;&gt;"","_"&amp;$F$43,""),'表3）燃料価格'!$AF$9:$AG$25,2,0)+VLOOKUP($F$41,'表3）燃料価格'!$AF$28:$AG$29,2,0),0)*IF($F$43="需要地価格",1,$F$8/$F$141))),"")</f>
        <v>10.647622662527485</v>
      </c>
      <c r="AU49" s="39"/>
      <c r="AV49" s="72">
        <f t="shared" si="42"/>
        <v>17575736365.800591</v>
      </c>
      <c r="AW49" s="72">
        <f t="shared" si="11"/>
        <v>6246124908.6626511</v>
      </c>
      <c r="AX49" s="39"/>
      <c r="AY49" s="40">
        <f>IF(ISERROR(IF($K49&lt;=$F$15,VLOOKUP($I49,'表4）CO2価格'!$A$7:$E$67,VLOOKUP($F$48,'表4）CO2価格'!$H$10:$I$12,2,0),0)*$F$8/1000,"")),0,IF($K49&lt;=$F$15,VLOOKUP($I49,'表4）CO2価格'!$A$7:$E$67,VLOOKUP($F$48,'表4）CO2価格'!$H$10:$I$12,2,0),0)*$F$8/1000,""))</f>
        <v>8.7233572854149237</v>
      </c>
      <c r="AZ49" s="39"/>
      <c r="BA49" s="42">
        <f t="shared" si="43"/>
        <v>26882513634.94392</v>
      </c>
      <c r="BB49" s="72">
        <f t="shared" si="27"/>
        <v>9553599037.2166729</v>
      </c>
      <c r="BC49" s="39"/>
      <c r="BD49" s="72">
        <f t="shared" si="44"/>
        <v>0</v>
      </c>
      <c r="BE49" s="72">
        <f t="shared" si="28"/>
        <v>0</v>
      </c>
      <c r="BF49" s="39"/>
      <c r="BG49" s="42">
        <f t="shared" si="45"/>
        <v>0</v>
      </c>
      <c r="BH49" s="72">
        <f t="shared" si="29"/>
        <v>0</v>
      </c>
      <c r="BI49" s="39"/>
      <c r="BJ49" s="40"/>
      <c r="BK49" s="157"/>
      <c r="BL49" s="157"/>
      <c r="BM49" s="72"/>
      <c r="BN49" s="72" t="str">
        <f>IF(AND(ISNUMBER($F$16),$K49&lt;=$F$16),BQ49*('バイオマス（木質専焼）（2030年）'!$O$15+'バイオマス（木質専焼）（2030年）'!$BK$116)/'バイオマス（木質専焼）（2030年）'!$BL$116,"")</f>
        <v/>
      </c>
      <c r="BO49" s="72" t="str">
        <f t="shared" si="30"/>
        <v/>
      </c>
      <c r="BP49" s="39"/>
      <c r="BQ49" s="72">
        <f t="shared" si="46"/>
        <v>4056318000</v>
      </c>
      <c r="BR49" s="72">
        <f t="shared" si="31"/>
        <v>1441548073.4313221</v>
      </c>
    </row>
    <row r="50" spans="3:70" x14ac:dyDescent="0.15">
      <c r="C50" s="4" t="s">
        <v>579</v>
      </c>
      <c r="D50" s="100"/>
      <c r="E50" s="100"/>
      <c r="F50" s="4"/>
      <c r="G50" s="100"/>
      <c r="I50" s="457">
        <f t="shared" si="32"/>
        <v>2065</v>
      </c>
      <c r="J50" s="71"/>
      <c r="K50" s="71">
        <f t="shared" si="33"/>
        <v>36</v>
      </c>
      <c r="L50" s="71"/>
      <c r="M50" s="7">
        <f t="shared" si="0"/>
        <v>0.34503242505668674</v>
      </c>
      <c r="N50" s="71"/>
      <c r="O50" s="10">
        <f t="shared" si="16"/>
        <v>1.9073486328125E-6</v>
      </c>
      <c r="P50" s="29" t="str">
        <f t="shared" si="34"/>
        <v>-</v>
      </c>
      <c r="Q50" s="71"/>
      <c r="R50" s="10">
        <f t="shared" si="47"/>
        <v>8925000000</v>
      </c>
      <c r="S50" s="71"/>
      <c r="T50" s="10">
        <f t="shared" si="18"/>
        <v>8925000000</v>
      </c>
      <c r="U50" s="71"/>
      <c r="V50" s="10">
        <f t="shared" si="35"/>
        <v>0</v>
      </c>
      <c r="W50" s="10">
        <f t="shared" si="19"/>
        <v>0</v>
      </c>
      <c r="X50" s="71"/>
      <c r="Y50" s="10">
        <f t="shared" si="36"/>
        <v>124950000</v>
      </c>
      <c r="Z50" s="10">
        <f t="shared" si="20"/>
        <v>43111801.51083301</v>
      </c>
      <c r="AA50" s="71"/>
      <c r="AB50" s="10">
        <f t="shared" si="4"/>
        <v>0</v>
      </c>
      <c r="AC50" s="10">
        <f t="shared" si="21"/>
        <v>0</v>
      </c>
      <c r="AD50" s="71"/>
      <c r="AE50" s="10">
        <f t="shared" si="37"/>
        <v>0</v>
      </c>
      <c r="AF50" s="10">
        <f t="shared" si="22"/>
        <v>0</v>
      </c>
      <c r="AG50" s="71"/>
      <c r="AH50" s="10">
        <f t="shared" si="38"/>
        <v>440000000.00000006</v>
      </c>
      <c r="AI50" s="10">
        <f t="shared" si="23"/>
        <v>151814267.02494219</v>
      </c>
      <c r="AJ50" s="71"/>
      <c r="AK50" s="10">
        <f t="shared" si="39"/>
        <v>4284000000</v>
      </c>
      <c r="AL50" s="10">
        <f t="shared" si="24"/>
        <v>1478118908.9428461</v>
      </c>
      <c r="AM50" s="71"/>
      <c r="AN50" s="10">
        <f t="shared" si="40"/>
        <v>3927000000.0000005</v>
      </c>
      <c r="AO50" s="10">
        <f t="shared" si="25"/>
        <v>1354942333.1976089</v>
      </c>
      <c r="AP50" s="71"/>
      <c r="AQ50" s="10">
        <f t="shared" si="41"/>
        <v>1055422000</v>
      </c>
      <c r="AR50" s="10">
        <f t="shared" si="26"/>
        <v>364154812.11817843</v>
      </c>
      <c r="AS50" s="71"/>
      <c r="AT50" s="7">
        <f>IF($K50&lt;=$F$15,IF($F$40&lt;&gt;"",$F$40/1000,IF(ISERROR(VLOOKUP($F$3&amp;IF($G$4&lt;&gt;"",$G$4,"")&amp;IF($F$43&lt;&gt;"","_"&amp;$F$43,""),'表3）燃料価格'!$AF$9:$AG$25,2,0)),0,VLOOKUP($I50,'表3）燃料価格'!$A$6:$U$66,VLOOKUP($F$3&amp;IF($G$4&lt;&gt;"",$G$4,"")&amp;IF($F$43&lt;&gt;"","_"&amp;$F$43,""),'表3）燃料価格'!$AF$9:$AG$25,2,0)+VLOOKUP($F$41,'表3）燃料価格'!$AF$28:$AG$29,2,0),0)*IF($F$43="需要地価格",1,$F$8/$F$141))),"")</f>
        <v>10.639204559723092</v>
      </c>
      <c r="AU50" s="71"/>
      <c r="AV50" s="10">
        <f t="shared" si="42"/>
        <v>17563980075.491974</v>
      </c>
      <c r="AW50" s="10">
        <f t="shared" si="11"/>
        <v>6060142639.0943232</v>
      </c>
      <c r="AX50" s="71"/>
      <c r="AY50" s="7">
        <f>IF(ISERROR(IF($K50&lt;=$F$15,VLOOKUP($I50,'表4）CO2価格'!$A$7:$E$67,VLOOKUP($F$48,'表4）CO2価格'!$H$10:$I$12,2,0),0)*$F$8/1000,"")),0,IF($K50&lt;=$F$15,VLOOKUP($I50,'表4）CO2価格'!$A$7:$E$67,VLOOKUP($F$48,'表4）CO2価格'!$H$10:$I$12,2,0),0)*$F$8/1000,""))</f>
        <v>8.8540565474573452</v>
      </c>
      <c r="AZ50" s="71"/>
      <c r="BA50" s="11">
        <f t="shared" si="43"/>
        <v>27285285707.550293</v>
      </c>
      <c r="BB50" s="10">
        <f t="shared" si="27"/>
        <v>9414308296.0406322</v>
      </c>
      <c r="BC50" s="71"/>
      <c r="BD50" s="10">
        <f t="shared" si="44"/>
        <v>0</v>
      </c>
      <c r="BE50" s="10">
        <f t="shared" si="28"/>
        <v>0</v>
      </c>
      <c r="BF50" s="71"/>
      <c r="BG50" s="11">
        <f t="shared" si="45"/>
        <v>0</v>
      </c>
      <c r="BH50" s="10">
        <f t="shared" si="29"/>
        <v>0</v>
      </c>
      <c r="BJ50" s="7"/>
      <c r="BK50" s="158"/>
      <c r="BL50" s="158"/>
      <c r="BM50" s="10"/>
      <c r="BN50" s="10" t="str">
        <f>IF(AND(ISNUMBER($F$16),$K50&lt;=$F$16),BQ50*('バイオマス（木質専焼）（2030年）'!$O$15+'バイオマス（木質専焼）（2030年）'!$BK$116)/'バイオマス（木質専焼）（2030年）'!$BL$116,"")</f>
        <v/>
      </c>
      <c r="BO50" s="10" t="str">
        <f t="shared" si="30"/>
        <v/>
      </c>
      <c r="BQ50" s="10">
        <f t="shared" si="46"/>
        <v>4056318000</v>
      </c>
      <c r="BR50" s="10">
        <f t="shared" si="31"/>
        <v>1399561236.3410895</v>
      </c>
    </row>
    <row r="51" spans="3:70" x14ac:dyDescent="0.15">
      <c r="I51" s="38">
        <f t="shared" si="32"/>
        <v>2066</v>
      </c>
      <c r="J51" s="39"/>
      <c r="K51" s="39">
        <f t="shared" si="33"/>
        <v>37</v>
      </c>
      <c r="L51" s="39"/>
      <c r="M51" s="40">
        <f t="shared" si="0"/>
        <v>0.33498293694823961</v>
      </c>
      <c r="N51" s="39"/>
      <c r="O51" s="72">
        <f t="shared" si="16"/>
        <v>1.9073486328125E-6</v>
      </c>
      <c r="P51" s="41" t="str">
        <f t="shared" si="34"/>
        <v>-</v>
      </c>
      <c r="Q51" s="39"/>
      <c r="R51" s="72">
        <f t="shared" si="47"/>
        <v>8925000000</v>
      </c>
      <c r="S51" s="39"/>
      <c r="T51" s="72">
        <f t="shared" si="18"/>
        <v>8925000000</v>
      </c>
      <c r="U51" s="39"/>
      <c r="V51" s="72">
        <f t="shared" si="35"/>
        <v>0</v>
      </c>
      <c r="W51" s="72">
        <f t="shared" si="19"/>
        <v>0</v>
      </c>
      <c r="X51" s="39"/>
      <c r="Y51" s="72">
        <f t="shared" si="36"/>
        <v>124950000</v>
      </c>
      <c r="Z51" s="72">
        <f t="shared" si="20"/>
        <v>41856117.971682541</v>
      </c>
      <c r="AA51" s="39"/>
      <c r="AB51" s="72">
        <f t="shared" si="4"/>
        <v>0</v>
      </c>
      <c r="AC51" s="72">
        <f t="shared" si="21"/>
        <v>0</v>
      </c>
      <c r="AD51" s="39"/>
      <c r="AE51" s="72">
        <f t="shared" si="37"/>
        <v>0</v>
      </c>
      <c r="AF51" s="72">
        <f t="shared" si="22"/>
        <v>0</v>
      </c>
      <c r="AG51" s="39"/>
      <c r="AH51" s="72">
        <f t="shared" si="38"/>
        <v>440000000.00000006</v>
      </c>
      <c r="AI51" s="72">
        <f t="shared" si="23"/>
        <v>147392492.25722545</v>
      </c>
      <c r="AJ51" s="39"/>
      <c r="AK51" s="72">
        <f t="shared" si="39"/>
        <v>4284000000</v>
      </c>
      <c r="AL51" s="72">
        <f t="shared" si="24"/>
        <v>1435066901.8862584</v>
      </c>
      <c r="AM51" s="39"/>
      <c r="AN51" s="72">
        <f t="shared" si="40"/>
        <v>3927000000.0000005</v>
      </c>
      <c r="AO51" s="72">
        <f t="shared" si="25"/>
        <v>1315477993.3957372</v>
      </c>
      <c r="AP51" s="39"/>
      <c r="AQ51" s="72">
        <f t="shared" si="41"/>
        <v>1055422000</v>
      </c>
      <c r="AR51" s="72">
        <f t="shared" si="26"/>
        <v>353548361.27978492</v>
      </c>
      <c r="AS51" s="39"/>
      <c r="AT51" s="40">
        <f>IF($K51&lt;=$F$15,IF($F$40&lt;&gt;"",$F$40/1000,IF(ISERROR(VLOOKUP($F$3&amp;IF($G$4&lt;&gt;"",$G$4,"")&amp;IF($F$43&lt;&gt;"","_"&amp;$F$43,""),'表3）燃料価格'!$AF$9:$AG$25,2,0)),0,VLOOKUP($I51,'表3）燃料価格'!$A$6:$U$66,VLOOKUP($F$3&amp;IF($G$4&lt;&gt;"",$G$4,"")&amp;IF($F$43&lt;&gt;"","_"&amp;$F$43,""),'表3）燃料価格'!$AF$9:$AG$25,2,0)+VLOOKUP($F$41,'表3）燃料価格'!$AF$28:$AG$29,2,0),0)*IF($F$43="需要地価格",1,$F$8/$F$141))),"")</f>
        <v>10.630949925599809</v>
      </c>
      <c r="AU51" s="39"/>
      <c r="AV51" s="72">
        <f t="shared" si="42"/>
        <v>17552452077.153194</v>
      </c>
      <c r="AW51" s="72">
        <f t="shared" si="11"/>
        <v>5879771947.4480057</v>
      </c>
      <c r="AX51" s="39"/>
      <c r="AY51" s="40">
        <f>IF(ISERROR(IF($K51&lt;=$F$15,VLOOKUP($I51,'表4）CO2価格'!$A$7:$E$67,VLOOKUP($F$48,'表4）CO2価格'!$H$10:$I$12,2,0),0)*$F$8/1000,"")),0,IF($K51&lt;=$F$15,VLOOKUP($I51,'表4）CO2価格'!$A$7:$E$67,VLOOKUP($F$48,'表4）CO2価格'!$H$10:$I$12,2,0),0)*$F$8/1000,""))</f>
        <v>8.9846925321981246</v>
      </c>
      <c r="AZ51" s="39"/>
      <c r="BA51" s="42">
        <f t="shared" si="43"/>
        <v>27687862780.35688</v>
      </c>
      <c r="BB51" s="72">
        <f t="shared" si="27"/>
        <v>9274961591.983799</v>
      </c>
      <c r="BC51" s="39"/>
      <c r="BD51" s="72">
        <f t="shared" si="44"/>
        <v>0</v>
      </c>
      <c r="BE51" s="72">
        <f t="shared" si="28"/>
        <v>0</v>
      </c>
      <c r="BF51" s="39"/>
      <c r="BG51" s="42">
        <f t="shared" si="45"/>
        <v>0</v>
      </c>
      <c r="BH51" s="72">
        <f t="shared" si="29"/>
        <v>0</v>
      </c>
      <c r="BI51" s="39"/>
      <c r="BJ51" s="40"/>
      <c r="BK51" s="157"/>
      <c r="BL51" s="157"/>
      <c r="BM51" s="72"/>
      <c r="BN51" s="72" t="str">
        <f>IF(AND(ISNUMBER($F$16),$K51&lt;=$F$16),BQ51*('バイオマス（木質専焼）（2030年）'!$O$15+'バイオマス（木質専焼）（2030年）'!$BK$116)/'バイオマス（木質専焼）（2030年）'!$BL$116,"")</f>
        <v/>
      </c>
      <c r="BO51" s="72" t="str">
        <f t="shared" si="30"/>
        <v/>
      </c>
      <c r="BP51" s="39"/>
      <c r="BQ51" s="72">
        <f t="shared" si="46"/>
        <v>4056318000</v>
      </c>
      <c r="BR51" s="72">
        <f t="shared" si="31"/>
        <v>1358797316.8360095</v>
      </c>
    </row>
    <row r="52" spans="3:70" x14ac:dyDescent="0.15">
      <c r="D52" s="84" t="s">
        <v>185</v>
      </c>
      <c r="F52" s="478"/>
      <c r="G52" s="84" t="s">
        <v>549</v>
      </c>
      <c r="I52" s="457">
        <f t="shared" si="32"/>
        <v>2067</v>
      </c>
      <c r="J52" s="71"/>
      <c r="K52" s="71">
        <f t="shared" si="33"/>
        <v>38</v>
      </c>
      <c r="L52" s="71"/>
      <c r="M52" s="7">
        <f t="shared" si="0"/>
        <v>0.3252261523769317</v>
      </c>
      <c r="N52" s="71"/>
      <c r="O52" s="10">
        <f t="shared" si="16"/>
        <v>1.9073486328125E-6</v>
      </c>
      <c r="P52" s="29" t="str">
        <f t="shared" si="34"/>
        <v>-</v>
      </c>
      <c r="Q52" s="71"/>
      <c r="R52" s="10">
        <f t="shared" si="47"/>
        <v>8925000000</v>
      </c>
      <c r="S52" s="71"/>
      <c r="T52" s="10">
        <f t="shared" si="18"/>
        <v>8925000000</v>
      </c>
      <c r="U52" s="71"/>
      <c r="V52" s="10">
        <f t="shared" si="35"/>
        <v>0</v>
      </c>
      <c r="W52" s="10">
        <f t="shared" si="19"/>
        <v>0</v>
      </c>
      <c r="X52" s="71"/>
      <c r="Y52" s="10">
        <f t="shared" si="36"/>
        <v>124950000</v>
      </c>
      <c r="Z52" s="10">
        <f t="shared" si="20"/>
        <v>40637007.739497617</v>
      </c>
      <c r="AA52" s="71"/>
      <c r="AB52" s="10">
        <f t="shared" si="4"/>
        <v>0</v>
      </c>
      <c r="AC52" s="10">
        <f t="shared" si="21"/>
        <v>0</v>
      </c>
      <c r="AD52" s="71"/>
      <c r="AE52" s="10">
        <f t="shared" si="37"/>
        <v>0</v>
      </c>
      <c r="AF52" s="10">
        <f t="shared" si="22"/>
        <v>0</v>
      </c>
      <c r="AG52" s="71"/>
      <c r="AH52" s="10">
        <f t="shared" si="38"/>
        <v>440000000.00000006</v>
      </c>
      <c r="AI52" s="10">
        <f t="shared" si="23"/>
        <v>143099507.04584998</v>
      </c>
      <c r="AJ52" s="71"/>
      <c r="AK52" s="10">
        <f t="shared" si="39"/>
        <v>4284000000</v>
      </c>
      <c r="AL52" s="10">
        <f t="shared" si="24"/>
        <v>1393268836.7827754</v>
      </c>
      <c r="AM52" s="71"/>
      <c r="AN52" s="10">
        <f t="shared" si="40"/>
        <v>3927000000.0000005</v>
      </c>
      <c r="AO52" s="10">
        <f t="shared" si="25"/>
        <v>1277163100.3842108</v>
      </c>
      <c r="AP52" s="71"/>
      <c r="AQ52" s="10">
        <f t="shared" si="41"/>
        <v>1055422000</v>
      </c>
      <c r="AR52" s="10">
        <f t="shared" si="26"/>
        <v>343250836.19396603</v>
      </c>
      <c r="AS52" s="71"/>
      <c r="AT52" s="7">
        <f>IF($K52&lt;=$F$15,IF($F$40&lt;&gt;"",$F$40/1000,IF(ISERROR(VLOOKUP($F$3&amp;IF($G$4&lt;&gt;"",$G$4,"")&amp;IF($F$43&lt;&gt;"","_"&amp;$F$43,""),'表3）燃料価格'!$AF$9:$AG$25,2,0)),0,VLOOKUP($I52,'表3）燃料価格'!$A$6:$U$66,VLOOKUP($F$3&amp;IF($G$4&lt;&gt;"",$G$4,"")&amp;IF($F$43&lt;&gt;"","_"&amp;$F$43,""),'表3）燃料価格'!$AF$9:$AG$25,2,0)+VLOOKUP($F$41,'表3）燃料価格'!$AF$28:$AG$29,2,0),0)*IF($F$43="需要地価格",1,$F$8/$F$141))),"")</f>
        <v>10.622852532203311</v>
      </c>
      <c r="AU52" s="71"/>
      <c r="AV52" s="10">
        <f t="shared" si="42"/>
        <v>17541143673.142895</v>
      </c>
      <c r="AW52" s="10">
        <f t="shared" si="11"/>
        <v>5704838665.1072226</v>
      </c>
      <c r="AX52" s="71"/>
      <c r="AY52" s="7">
        <f>IF(ISERROR(IF($K52&lt;=$F$15,VLOOKUP($I52,'表4）CO2価格'!$A$7:$E$67,VLOOKUP($F$48,'表4）CO2価格'!$H$10:$I$12,2,0),0)*$F$8/1000,"")),0,IF($K52&lt;=$F$15,VLOOKUP($I52,'表4）CO2価格'!$A$7:$E$67,VLOOKUP($F$48,'表4）CO2価格'!$H$10:$I$12,2,0),0)*$F$8/1000,""))</f>
        <v>9.1152653008777929</v>
      </c>
      <c r="AZ52" s="71"/>
      <c r="BA52" s="11">
        <f t="shared" si="43"/>
        <v>28090245042.086815</v>
      </c>
      <c r="BB52" s="10">
        <f t="shared" si="27"/>
        <v>9135682314.3630772</v>
      </c>
      <c r="BC52" s="71"/>
      <c r="BD52" s="10">
        <f t="shared" si="44"/>
        <v>0</v>
      </c>
      <c r="BE52" s="10">
        <f t="shared" si="28"/>
        <v>0</v>
      </c>
      <c r="BF52" s="71"/>
      <c r="BG52" s="11">
        <f t="shared" si="45"/>
        <v>0</v>
      </c>
      <c r="BH52" s="10">
        <f t="shared" si="29"/>
        <v>0</v>
      </c>
      <c r="BJ52" s="7"/>
      <c r="BK52" s="158"/>
      <c r="BL52" s="158"/>
      <c r="BM52" s="10"/>
      <c r="BN52" s="10" t="str">
        <f>IF(AND(ISNUMBER($F$16),$K52&lt;=$F$16),BQ52*('バイオマス（木質専焼）（2030年）'!$O$15+'バイオマス（木質専焼）（2030年）'!$BK$116)/'バイオマス（木質専焼）（2030年）'!$BL$116,"")</f>
        <v/>
      </c>
      <c r="BO52" s="10" t="str">
        <f t="shared" si="30"/>
        <v/>
      </c>
      <c r="BQ52" s="10">
        <f t="shared" si="46"/>
        <v>4056318000</v>
      </c>
      <c r="BR52" s="10">
        <f t="shared" si="31"/>
        <v>1319220695.9572909</v>
      </c>
    </row>
    <row r="53" spans="3:70" x14ac:dyDescent="0.15">
      <c r="D53" s="84" t="s">
        <v>580</v>
      </c>
      <c r="F53" s="475"/>
      <c r="G53" s="84" t="s">
        <v>549</v>
      </c>
      <c r="I53" s="38">
        <f t="shared" si="32"/>
        <v>2068</v>
      </c>
      <c r="J53" s="39"/>
      <c r="K53" s="39">
        <f t="shared" si="33"/>
        <v>39</v>
      </c>
      <c r="L53" s="39"/>
      <c r="M53" s="40">
        <f t="shared" si="0"/>
        <v>0.31575354599702099</v>
      </c>
      <c r="N53" s="39"/>
      <c r="O53" s="72">
        <f t="shared" si="16"/>
        <v>1.9073486328125E-6</v>
      </c>
      <c r="P53" s="41" t="str">
        <f t="shared" si="34"/>
        <v>-</v>
      </c>
      <c r="Q53" s="39"/>
      <c r="R53" s="72">
        <f t="shared" si="47"/>
        <v>8925000000</v>
      </c>
      <c r="S53" s="39"/>
      <c r="T53" s="72">
        <f t="shared" si="18"/>
        <v>8925000000</v>
      </c>
      <c r="U53" s="39"/>
      <c r="V53" s="72">
        <f t="shared" si="35"/>
        <v>0</v>
      </c>
      <c r="W53" s="72">
        <f t="shared" si="19"/>
        <v>0</v>
      </c>
      <c r="X53" s="39"/>
      <c r="Y53" s="72">
        <f t="shared" si="36"/>
        <v>124950000</v>
      </c>
      <c r="Z53" s="72">
        <f t="shared" si="20"/>
        <v>39453405.57232777</v>
      </c>
      <c r="AA53" s="39"/>
      <c r="AB53" s="72">
        <f t="shared" si="4"/>
        <v>0</v>
      </c>
      <c r="AC53" s="72">
        <f t="shared" si="21"/>
        <v>0</v>
      </c>
      <c r="AD53" s="39"/>
      <c r="AE53" s="72">
        <f t="shared" si="37"/>
        <v>0</v>
      </c>
      <c r="AF53" s="72">
        <f t="shared" si="22"/>
        <v>0</v>
      </c>
      <c r="AG53" s="39"/>
      <c r="AH53" s="72">
        <f t="shared" si="38"/>
        <v>440000000.00000006</v>
      </c>
      <c r="AI53" s="72">
        <f t="shared" si="23"/>
        <v>138931560.23868924</v>
      </c>
      <c r="AJ53" s="39"/>
      <c r="AK53" s="72">
        <f t="shared" si="39"/>
        <v>4284000000</v>
      </c>
      <c r="AL53" s="72">
        <f t="shared" si="24"/>
        <v>1352688191.0512378</v>
      </c>
      <c r="AM53" s="39"/>
      <c r="AN53" s="72">
        <f t="shared" si="40"/>
        <v>3927000000.0000005</v>
      </c>
      <c r="AO53" s="72">
        <f t="shared" si="25"/>
        <v>1239964175.1303015</v>
      </c>
      <c r="AP53" s="39"/>
      <c r="AQ53" s="72">
        <f t="shared" si="41"/>
        <v>1055422000</v>
      </c>
      <c r="AR53" s="72">
        <f t="shared" si="26"/>
        <v>333253239.02326787</v>
      </c>
      <c r="AS53" s="39"/>
      <c r="AT53" s="40">
        <f>IF($K53&lt;=$F$15,IF($F$40&lt;&gt;"",$F$40/1000,IF(ISERROR(VLOOKUP($F$3&amp;IF($G$4&lt;&gt;"",$G$4,"")&amp;IF($F$43&lt;&gt;"","_"&amp;$F$43,""),'表3）燃料価格'!$AF$9:$AG$25,2,0)),0,VLOOKUP($I53,'表3）燃料価格'!$A$6:$U$66,VLOOKUP($F$3&amp;IF($G$4&lt;&gt;"",$G$4,"")&amp;IF($F$43&lt;&gt;"","_"&amp;$F$43,""),'表3）燃料価格'!$AF$9:$AG$25,2,0)+VLOOKUP($F$41,'表3）燃料価格'!$AF$28:$AG$29,2,0),0)*IF($F$43="需要地価格",1,$F$8/$F$141))),"")</f>
        <v>10.614906500852205</v>
      </c>
      <c r="AU53" s="39"/>
      <c r="AV53" s="72">
        <f t="shared" si="42"/>
        <v>17530046653.596378</v>
      </c>
      <c r="AW53" s="72">
        <f t="shared" si="11"/>
        <v>5535174392.3662682</v>
      </c>
      <c r="AX53" s="39"/>
      <c r="AY53" s="40">
        <f>IF(ISERROR(IF($K53&lt;=$F$15,VLOOKUP($I53,'表4）CO2価格'!$A$7:$E$67,VLOOKUP($F$48,'表4）CO2価格'!$H$10:$I$12,2,0),0)*$F$8/1000,"")),0,IF($K53&lt;=$F$15,VLOOKUP($I53,'表4）CO2価格'!$A$7:$E$67,VLOOKUP($F$48,'表4）CO2価格'!$H$10:$I$12,2,0),0)*$F$8/1000,""))</f>
        <v>9.2457749146488997</v>
      </c>
      <c r="AZ53" s="39"/>
      <c r="BA53" s="42">
        <f t="shared" si="43"/>
        <v>28492432681.192112</v>
      </c>
      <c r="BB53" s="72">
        <f t="shared" si="27"/>
        <v>8996586653.1678181</v>
      </c>
      <c r="BC53" s="39"/>
      <c r="BD53" s="72">
        <f t="shared" si="44"/>
        <v>0</v>
      </c>
      <c r="BE53" s="72">
        <f t="shared" si="28"/>
        <v>0</v>
      </c>
      <c r="BF53" s="39"/>
      <c r="BG53" s="42">
        <f t="shared" si="45"/>
        <v>0</v>
      </c>
      <c r="BH53" s="72">
        <f t="shared" si="29"/>
        <v>0</v>
      </c>
      <c r="BI53" s="39"/>
      <c r="BJ53" s="40"/>
      <c r="BK53" s="157"/>
      <c r="BL53" s="157"/>
      <c r="BM53" s="72"/>
      <c r="BN53" s="72" t="str">
        <f>IF(AND(ISNUMBER($F$16),$K53&lt;=$F$16),BQ53*('バイオマス（木質専焼）（2030年）'!$O$15+'バイオマス（木質専焼）（2030年）'!$BK$116)/'バイオマス（木質専焼）（2030年）'!$BL$116,"")</f>
        <v/>
      </c>
      <c r="BO53" s="72" t="str">
        <f t="shared" si="30"/>
        <v/>
      </c>
      <c r="BP53" s="39"/>
      <c r="BQ53" s="72">
        <f t="shared" si="46"/>
        <v>4056318000</v>
      </c>
      <c r="BR53" s="72">
        <f t="shared" si="31"/>
        <v>1280796792.1915443</v>
      </c>
    </row>
    <row r="54" spans="3:70" x14ac:dyDescent="0.15">
      <c r="D54" s="84" t="s">
        <v>581</v>
      </c>
      <c r="F54" s="475"/>
      <c r="G54" s="84" t="s">
        <v>549</v>
      </c>
      <c r="I54" s="457">
        <f t="shared" si="32"/>
        <v>2069</v>
      </c>
      <c r="J54" s="71"/>
      <c r="K54" s="71">
        <f t="shared" si="33"/>
        <v>40</v>
      </c>
      <c r="L54" s="71"/>
      <c r="M54" s="7">
        <f t="shared" si="0"/>
        <v>0.30655684077380685</v>
      </c>
      <c r="N54" s="71"/>
      <c r="O54" s="10">
        <f t="shared" si="16"/>
        <v>1.9073486328125E-6</v>
      </c>
      <c r="P54" s="29" t="str">
        <f t="shared" si="34"/>
        <v>-</v>
      </c>
      <c r="Q54" s="71"/>
      <c r="R54" s="10">
        <f t="shared" si="47"/>
        <v>8925000000</v>
      </c>
      <c r="S54" s="71"/>
      <c r="T54" s="10">
        <f t="shared" si="18"/>
        <v>8925000000</v>
      </c>
      <c r="U54" s="71"/>
      <c r="V54" s="10">
        <f t="shared" si="35"/>
        <v>0</v>
      </c>
      <c r="W54" s="10">
        <f t="shared" si="19"/>
        <v>0</v>
      </c>
      <c r="X54" s="71"/>
      <c r="Y54" s="10">
        <f t="shared" si="36"/>
        <v>124950000</v>
      </c>
      <c r="Z54" s="10">
        <f t="shared" si="20"/>
        <v>38304277.254687168</v>
      </c>
      <c r="AA54" s="71"/>
      <c r="AB54" s="10">
        <f t="shared" si="4"/>
        <v>0</v>
      </c>
      <c r="AC54" s="10">
        <f t="shared" si="21"/>
        <v>0</v>
      </c>
      <c r="AD54" s="71"/>
      <c r="AE54" s="10">
        <f t="shared" si="37"/>
        <v>0</v>
      </c>
      <c r="AF54" s="10">
        <f t="shared" si="22"/>
        <v>0</v>
      </c>
      <c r="AG54" s="71"/>
      <c r="AH54" s="10">
        <f t="shared" si="38"/>
        <v>440000000.00000006</v>
      </c>
      <c r="AI54" s="10">
        <f t="shared" si="23"/>
        <v>134885009.94047505</v>
      </c>
      <c r="AJ54" s="71"/>
      <c r="AK54" s="10">
        <f t="shared" si="39"/>
        <v>4284000000</v>
      </c>
      <c r="AL54" s="10">
        <f t="shared" si="24"/>
        <v>1313289505.8749886</v>
      </c>
      <c r="AM54" s="71"/>
      <c r="AN54" s="10">
        <f t="shared" si="40"/>
        <v>3927000000.0000005</v>
      </c>
      <c r="AO54" s="10">
        <f t="shared" si="25"/>
        <v>1203848713.7187397</v>
      </c>
      <c r="AP54" s="71"/>
      <c r="AQ54" s="10">
        <f t="shared" si="41"/>
        <v>1055422000</v>
      </c>
      <c r="AR54" s="10">
        <f t="shared" si="26"/>
        <v>323546834.00317276</v>
      </c>
      <c r="AS54" s="71"/>
      <c r="AT54" s="7">
        <f>IF($K54&lt;=$F$15,IF($F$40&lt;&gt;"",$F$40/1000,IF(ISERROR(VLOOKUP($F$3&amp;IF($G$4&lt;&gt;"",$G$4,"")&amp;IF($F$43&lt;&gt;"","_"&amp;$F$43,""),'表3）燃料価格'!$AF$9:$AG$25,2,0)),0,VLOOKUP($I54,'表3）燃料価格'!$A$6:$U$66,VLOOKUP($F$3&amp;IF($G$4&lt;&gt;"",$G$4,"")&amp;IF($F$43&lt;&gt;"","_"&amp;$F$43,""),'表3）燃料価格'!$AF$9:$AG$25,2,0)+VLOOKUP($F$41,'表3）燃料価格'!$AF$28:$AG$29,2,0),0)*IF($F$43="需要地価格",1,$F$8/$F$141))),"")</f>
        <v>10.607106276499612</v>
      </c>
      <c r="AU54" s="71"/>
      <c r="AV54" s="10">
        <f t="shared" si="42"/>
        <v>17519153260.620281</v>
      </c>
      <c r="AW54" s="10">
        <f t="shared" si="11"/>
        <v>5370616276.6078911</v>
      </c>
      <c r="AX54" s="71"/>
      <c r="AY54" s="7">
        <f>IF(ISERROR(IF($K54&lt;=$F$15,VLOOKUP($I54,'表4）CO2価格'!$A$7:$E$67,VLOOKUP($F$48,'表4）CO2価格'!$H$10:$I$12,2,0),0)*$F$8/1000,"")),0,IF($K54&lt;=$F$15,VLOOKUP($I54,'表4）CO2価格'!$A$7:$E$67,VLOOKUP($F$48,'表4）CO2価格'!$H$10:$I$12,2,0),0)*$F$8/1000,""))</f>
        <v>9.3762214345748625</v>
      </c>
      <c r="AZ54" s="71"/>
      <c r="BA54" s="11">
        <f t="shared" si="43"/>
        <v>28894425885.850117</v>
      </c>
      <c r="BB54" s="10">
        <f t="shared" si="27"/>
        <v>8857783915.5391178</v>
      </c>
      <c r="BC54" s="71"/>
      <c r="BD54" s="10">
        <f t="shared" si="44"/>
        <v>0</v>
      </c>
      <c r="BE54" s="10">
        <f t="shared" si="28"/>
        <v>0</v>
      </c>
      <c r="BF54" s="71"/>
      <c r="BG54" s="11">
        <f t="shared" si="45"/>
        <v>0</v>
      </c>
      <c r="BH54" s="10">
        <f t="shared" si="29"/>
        <v>0</v>
      </c>
      <c r="BJ54" s="7"/>
      <c r="BK54" s="158"/>
      <c r="BL54" s="158"/>
      <c r="BM54" s="10"/>
      <c r="BN54" s="10" t="str">
        <f>IF(AND(ISNUMBER($F$16),$K54&lt;=$F$16),BQ54*('バイオマス（木質専焼）（2030年）'!$O$15+'バイオマス（木質専焼）（2030年）'!$BK$116)/'バイオマス（木質専焼）（2030年）'!$BL$116,"")</f>
        <v/>
      </c>
      <c r="BO54" s="10" t="str">
        <f t="shared" si="30"/>
        <v/>
      </c>
      <c r="BQ54" s="10">
        <f t="shared" si="46"/>
        <v>4056318000</v>
      </c>
      <c r="BR54" s="10">
        <f t="shared" si="31"/>
        <v>1243492031.2539268</v>
      </c>
    </row>
    <row r="55" spans="3:70" ht="16.5" x14ac:dyDescent="0.15">
      <c r="D55" s="84" t="s">
        <v>582</v>
      </c>
      <c r="F55" s="475"/>
      <c r="G55" s="71" t="s">
        <v>561</v>
      </c>
      <c r="I55" s="38">
        <f>I54+1</f>
        <v>2070</v>
      </c>
      <c r="J55" s="39"/>
      <c r="K55" s="39">
        <f>IF(I55&lt;&gt;"",K54+1,"")</f>
        <v>41</v>
      </c>
      <c r="L55" s="39"/>
      <c r="M55" s="40">
        <f t="shared" si="0"/>
        <v>0.29762800075126877</v>
      </c>
      <c r="N55" s="39"/>
      <c r="O55" s="72" t="str">
        <f t="shared" si="16"/>
        <v/>
      </c>
      <c r="P55" s="41" t="str">
        <f t="shared" si="34"/>
        <v/>
      </c>
      <c r="Q55" s="39"/>
      <c r="R55" s="72" t="str">
        <f t="shared" si="47"/>
        <v/>
      </c>
      <c r="S55" s="39"/>
      <c r="T55" s="72" t="str">
        <f t="shared" si="18"/>
        <v/>
      </c>
      <c r="U55" s="39"/>
      <c r="V55" s="72" t="str">
        <f t="shared" si="35"/>
        <v/>
      </c>
      <c r="W55" s="72" t="str">
        <f t="shared" si="19"/>
        <v/>
      </c>
      <c r="X55" s="39"/>
      <c r="Y55" s="72" t="str">
        <f t="shared" si="36"/>
        <v/>
      </c>
      <c r="Z55" s="72" t="str">
        <f t="shared" si="20"/>
        <v/>
      </c>
      <c r="AA55" s="39"/>
      <c r="AB55" s="72">
        <f t="shared" si="4"/>
        <v>8925000000</v>
      </c>
      <c r="AC55" s="72">
        <f t="shared" si="21"/>
        <v>2656329906.7050738</v>
      </c>
      <c r="AD55" s="39"/>
      <c r="AE55" s="72" t="str">
        <f t="shared" si="37"/>
        <v/>
      </c>
      <c r="AF55" s="72" t="str">
        <f t="shared" si="22"/>
        <v/>
      </c>
      <c r="AG55" s="39"/>
      <c r="AH55" s="72" t="str">
        <f t="shared" si="38"/>
        <v/>
      </c>
      <c r="AI55" s="72" t="str">
        <f t="shared" si="23"/>
        <v/>
      </c>
      <c r="AJ55" s="39"/>
      <c r="AK55" s="72" t="str">
        <f t="shared" si="39"/>
        <v/>
      </c>
      <c r="AL55" s="72" t="str">
        <f t="shared" si="24"/>
        <v/>
      </c>
      <c r="AM55" s="39"/>
      <c r="AN55" s="72" t="str">
        <f t="shared" si="40"/>
        <v/>
      </c>
      <c r="AO55" s="72" t="str">
        <f t="shared" si="25"/>
        <v/>
      </c>
      <c r="AP55" s="39"/>
      <c r="AQ55" s="72" t="str">
        <f t="shared" si="41"/>
        <v/>
      </c>
      <c r="AR55" s="72" t="str">
        <f t="shared" si="26"/>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42"/>
        <v/>
      </c>
      <c r="AW55" s="72" t="str">
        <f t="shared" si="11"/>
        <v/>
      </c>
      <c r="AX55" s="39"/>
      <c r="AY55" s="40" t="str">
        <f>IF(ISERROR(IF($K55&lt;=$F$15,VLOOKUP($I55,'表4）CO2価格'!$A$7:$E$67,VLOOKUP($F$48,'表4）CO2価格'!$H$10:$I$12,2,0),0)*$F$8/1000,"")),0,IF($K55&lt;=$F$15,VLOOKUP($I55,'表4）CO2価格'!$A$7:$E$67,VLOOKUP($F$48,'表4）CO2価格'!$H$10:$I$12,2,0),0)*$F$8/1000,""))</f>
        <v/>
      </c>
      <c r="AZ55" s="39"/>
      <c r="BA55" s="42" t="str">
        <f t="shared" si="43"/>
        <v/>
      </c>
      <c r="BB55" s="72" t="str">
        <f t="shared" si="27"/>
        <v/>
      </c>
      <c r="BC55" s="39"/>
      <c r="BD55" s="72" t="str">
        <f t="shared" si="44"/>
        <v/>
      </c>
      <c r="BE55" s="72" t="str">
        <f t="shared" si="28"/>
        <v/>
      </c>
      <c r="BF55" s="39"/>
      <c r="BG55" s="42" t="str">
        <f t="shared" si="45"/>
        <v/>
      </c>
      <c r="BH55" s="72" t="str">
        <f t="shared" si="29"/>
        <v/>
      </c>
      <c r="BI55" s="39"/>
      <c r="BJ55" s="40"/>
      <c r="BK55" s="157"/>
      <c r="BL55" s="157"/>
      <c r="BM55" s="72"/>
      <c r="BN55" s="72" t="str">
        <f>IF(AND(ISNUMBER($F$16),$K55&lt;=$F$16),BQ55*('バイオマス（木質専焼）（2030年）'!$O$15+'バイオマス（木質専焼）（2030年）'!$BK$116)/'バイオマス（木質専焼）（2030年）'!$BL$116,"")</f>
        <v/>
      </c>
      <c r="BO55" s="72" t="str">
        <f t="shared" si="30"/>
        <v/>
      </c>
      <c r="BP55" s="39"/>
      <c r="BQ55" s="72" t="str">
        <f t="shared" si="46"/>
        <v/>
      </c>
      <c r="BR55" s="72" t="str">
        <f t="shared" si="31"/>
        <v/>
      </c>
    </row>
    <row r="56" spans="3:70" x14ac:dyDescent="0.15">
      <c r="D56" s="84" t="s">
        <v>583</v>
      </c>
      <c r="F56" s="481"/>
      <c r="G56" s="84" t="s">
        <v>574</v>
      </c>
      <c r="I56" s="457">
        <f t="shared" si="32"/>
        <v>2071</v>
      </c>
      <c r="J56" s="71"/>
      <c r="K56" s="71">
        <f t="shared" si="33"/>
        <v>42</v>
      </c>
      <c r="L56" s="71"/>
      <c r="M56" s="7">
        <f t="shared" si="0"/>
        <v>0.28895922403035801</v>
      </c>
      <c r="N56" s="71"/>
      <c r="O56" s="10" t="str">
        <f t="shared" si="16"/>
        <v/>
      </c>
      <c r="P56" s="29" t="str">
        <f t="shared" si="34"/>
        <v/>
      </c>
      <c r="Q56" s="71"/>
      <c r="R56" s="10" t="str">
        <f t="shared" si="47"/>
        <v/>
      </c>
      <c r="S56" s="71"/>
      <c r="T56" s="10" t="str">
        <f t="shared" si="18"/>
        <v/>
      </c>
      <c r="U56" s="71"/>
      <c r="V56" s="10" t="str">
        <f t="shared" si="35"/>
        <v/>
      </c>
      <c r="W56" s="10" t="str">
        <f t="shared" si="19"/>
        <v/>
      </c>
      <c r="X56" s="71"/>
      <c r="Y56" s="10" t="str">
        <f t="shared" si="36"/>
        <v/>
      </c>
      <c r="Z56" s="10" t="str">
        <f t="shared" si="20"/>
        <v/>
      </c>
      <c r="AA56" s="71"/>
      <c r="AB56" s="10" t="str">
        <f t="shared" si="4"/>
        <v/>
      </c>
      <c r="AC56" s="10" t="str">
        <f t="shared" si="21"/>
        <v/>
      </c>
      <c r="AD56" s="71"/>
      <c r="AE56" s="10" t="str">
        <f t="shared" si="37"/>
        <v/>
      </c>
      <c r="AF56" s="10" t="str">
        <f t="shared" si="22"/>
        <v/>
      </c>
      <c r="AG56" s="71"/>
      <c r="AH56" s="10" t="str">
        <f t="shared" si="38"/>
        <v/>
      </c>
      <c r="AI56" s="10" t="str">
        <f t="shared" si="23"/>
        <v/>
      </c>
      <c r="AJ56" s="71"/>
      <c r="AK56" s="10" t="str">
        <f t="shared" si="39"/>
        <v/>
      </c>
      <c r="AL56" s="10" t="str">
        <f t="shared" si="24"/>
        <v/>
      </c>
      <c r="AM56" s="71"/>
      <c r="AN56" s="10" t="str">
        <f t="shared" si="40"/>
        <v/>
      </c>
      <c r="AO56" s="10" t="str">
        <f t="shared" si="25"/>
        <v/>
      </c>
      <c r="AP56" s="71"/>
      <c r="AQ56" s="10" t="str">
        <f t="shared" si="41"/>
        <v/>
      </c>
      <c r="AR56" s="10" t="str">
        <f t="shared" si="26"/>
        <v/>
      </c>
      <c r="AS56" s="71"/>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U56" s="71"/>
      <c r="AV56" s="10" t="str">
        <f t="shared" si="42"/>
        <v/>
      </c>
      <c r="AW56" s="10" t="str">
        <f t="shared" si="11"/>
        <v/>
      </c>
      <c r="AX56" s="71"/>
      <c r="AY56" s="7" t="str">
        <f>IF(ISERROR(IF($K56&lt;=$F$15,VLOOKUP($I56,'表4）CO2価格'!$A$7:$E$67,VLOOKUP($F$48,'表4）CO2価格'!$H$10:$I$12,2,0),0)*$F$8/1000,"")),0,IF($K56&lt;=$F$15,VLOOKUP($I56,'表4）CO2価格'!$A$7:$E$67,VLOOKUP($F$48,'表4）CO2価格'!$H$10:$I$12,2,0),0)*$F$8/1000,""))</f>
        <v/>
      </c>
      <c r="AZ56" s="71"/>
      <c r="BA56" s="11" t="str">
        <f t="shared" si="43"/>
        <v/>
      </c>
      <c r="BB56" s="10" t="str">
        <f t="shared" si="27"/>
        <v/>
      </c>
      <c r="BC56" s="71"/>
      <c r="BD56" s="10" t="str">
        <f t="shared" si="44"/>
        <v/>
      </c>
      <c r="BE56" s="10" t="str">
        <f t="shared" si="28"/>
        <v/>
      </c>
      <c r="BF56" s="71"/>
      <c r="BG56" s="11" t="str">
        <f t="shared" si="45"/>
        <v/>
      </c>
      <c r="BH56" s="10" t="str">
        <f t="shared" si="29"/>
        <v/>
      </c>
      <c r="BJ56" s="7"/>
      <c r="BK56" s="158"/>
      <c r="BL56" s="158"/>
      <c r="BM56" s="10"/>
      <c r="BN56" s="10" t="str">
        <f>IF(AND(ISNUMBER($F$16),$K56&lt;=$F$16),BQ56*('バイオマス（木質専焼）（2030年）'!$O$15+'バイオマス（木質専焼）（2030年）'!$BK$116)/'バイオマス（木質専焼）（2030年）'!$BL$116,"")</f>
        <v/>
      </c>
      <c r="BO56" s="10" t="str">
        <f t="shared" si="30"/>
        <v/>
      </c>
      <c r="BQ56" s="10" t="str">
        <f t="shared" si="46"/>
        <v/>
      </c>
      <c r="BR56" s="10" t="str">
        <f t="shared" si="31"/>
        <v/>
      </c>
    </row>
    <row r="57" spans="3:70" x14ac:dyDescent="0.15">
      <c r="I57" s="38">
        <f t="shared" si="32"/>
        <v>2072</v>
      </c>
      <c r="J57" s="39"/>
      <c r="K57" s="39">
        <f t="shared" si="33"/>
        <v>43</v>
      </c>
      <c r="L57" s="39"/>
      <c r="M57" s="40">
        <f t="shared" si="0"/>
        <v>0.28054293595180391</v>
      </c>
      <c r="N57" s="39"/>
      <c r="O57" s="72" t="str">
        <f t="shared" si="16"/>
        <v/>
      </c>
      <c r="P57" s="41" t="str">
        <f t="shared" si="34"/>
        <v/>
      </c>
      <c r="Q57" s="39"/>
      <c r="R57" s="72" t="str">
        <f t="shared" si="47"/>
        <v/>
      </c>
      <c r="S57" s="39"/>
      <c r="T57" s="72" t="str">
        <f t="shared" si="18"/>
        <v/>
      </c>
      <c r="U57" s="39"/>
      <c r="V57" s="72" t="str">
        <f t="shared" si="35"/>
        <v/>
      </c>
      <c r="W57" s="72" t="str">
        <f t="shared" si="19"/>
        <v/>
      </c>
      <c r="X57" s="39"/>
      <c r="Y57" s="72" t="str">
        <f t="shared" si="36"/>
        <v/>
      </c>
      <c r="Z57" s="72" t="str">
        <f t="shared" si="20"/>
        <v/>
      </c>
      <c r="AA57" s="39"/>
      <c r="AB57" s="72" t="str">
        <f t="shared" si="4"/>
        <v/>
      </c>
      <c r="AC57" s="72" t="str">
        <f t="shared" si="21"/>
        <v/>
      </c>
      <c r="AD57" s="39"/>
      <c r="AE57" s="72" t="str">
        <f t="shared" si="37"/>
        <v/>
      </c>
      <c r="AF57" s="72" t="str">
        <f t="shared" si="22"/>
        <v/>
      </c>
      <c r="AG57" s="39"/>
      <c r="AH57" s="72" t="str">
        <f t="shared" si="38"/>
        <v/>
      </c>
      <c r="AI57" s="72" t="str">
        <f t="shared" si="23"/>
        <v/>
      </c>
      <c r="AJ57" s="39"/>
      <c r="AK57" s="72" t="str">
        <f t="shared" si="39"/>
        <v/>
      </c>
      <c r="AL57" s="72" t="str">
        <f t="shared" si="24"/>
        <v/>
      </c>
      <c r="AM57" s="39"/>
      <c r="AN57" s="72" t="str">
        <f t="shared" si="40"/>
        <v/>
      </c>
      <c r="AO57" s="72" t="str">
        <f t="shared" si="25"/>
        <v/>
      </c>
      <c r="AP57" s="39"/>
      <c r="AQ57" s="72" t="str">
        <f t="shared" si="41"/>
        <v/>
      </c>
      <c r="AR57" s="72" t="str">
        <f t="shared" si="26"/>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42"/>
        <v/>
      </c>
      <c r="AW57" s="72" t="str">
        <f t="shared" si="11"/>
        <v/>
      </c>
      <c r="AX57" s="39"/>
      <c r="AY57" s="40" t="str">
        <f>IF(ISERROR(IF($K57&lt;=$F$15,VLOOKUP($I57,'表4）CO2価格'!$A$7:$E$67,VLOOKUP($F$48,'表4）CO2価格'!$H$10:$I$12,2,0),0)*$F$8/1000,"")),0,IF($K57&lt;=$F$15,VLOOKUP($I57,'表4）CO2価格'!$A$7:$E$67,VLOOKUP($F$48,'表4）CO2価格'!$H$10:$I$12,2,0),0)*$F$8/1000,""))</f>
        <v/>
      </c>
      <c r="AZ57" s="39"/>
      <c r="BA57" s="42" t="str">
        <f t="shared" si="43"/>
        <v/>
      </c>
      <c r="BB57" s="72" t="str">
        <f t="shared" si="27"/>
        <v/>
      </c>
      <c r="BC57" s="39"/>
      <c r="BD57" s="72" t="str">
        <f t="shared" si="44"/>
        <v/>
      </c>
      <c r="BE57" s="72" t="str">
        <f t="shared" si="28"/>
        <v/>
      </c>
      <c r="BF57" s="39"/>
      <c r="BG57" s="42" t="str">
        <f t="shared" si="45"/>
        <v/>
      </c>
      <c r="BH57" s="72" t="str">
        <f t="shared" si="29"/>
        <v/>
      </c>
      <c r="BI57" s="39"/>
      <c r="BJ57" s="40"/>
      <c r="BK57" s="157"/>
      <c r="BL57" s="157"/>
      <c r="BM57" s="72"/>
      <c r="BN57" s="72" t="str">
        <f>IF(AND(ISNUMBER($F$16),$K57&lt;=$F$16),BQ57*('バイオマス（木質専焼）（2030年）'!$O$15+'バイオマス（木質専焼）（2030年）'!$BK$116)/'バイオマス（木質専焼）（2030年）'!$BL$116,"")</f>
        <v/>
      </c>
      <c r="BO57" s="72" t="str">
        <f t="shared" si="30"/>
        <v/>
      </c>
      <c r="BP57" s="39"/>
      <c r="BQ57" s="72" t="str">
        <f t="shared" si="46"/>
        <v/>
      </c>
      <c r="BR57" s="72" t="str">
        <f t="shared" si="31"/>
        <v/>
      </c>
    </row>
    <row r="58" spans="3:70" x14ac:dyDescent="0.15">
      <c r="C58" s="4" t="s">
        <v>584</v>
      </c>
      <c r="D58" s="100"/>
      <c r="E58" s="100"/>
      <c r="F58" s="4"/>
      <c r="G58" s="100"/>
      <c r="I58" s="457">
        <f t="shared" si="32"/>
        <v>2073</v>
      </c>
      <c r="J58" s="71"/>
      <c r="K58" s="71">
        <f t="shared" si="33"/>
        <v>44</v>
      </c>
      <c r="L58" s="71"/>
      <c r="M58" s="7">
        <f t="shared" si="0"/>
        <v>0.27237178247747956</v>
      </c>
      <c r="N58" s="71"/>
      <c r="O58" s="10" t="str">
        <f t="shared" si="16"/>
        <v/>
      </c>
      <c r="P58" s="29" t="str">
        <f t="shared" si="34"/>
        <v/>
      </c>
      <c r="Q58" s="71"/>
      <c r="R58" s="10" t="str">
        <f t="shared" si="47"/>
        <v/>
      </c>
      <c r="S58" s="71"/>
      <c r="T58" s="10" t="str">
        <f t="shared" si="18"/>
        <v/>
      </c>
      <c r="U58" s="71"/>
      <c r="V58" s="10" t="str">
        <f t="shared" si="35"/>
        <v/>
      </c>
      <c r="W58" s="10" t="str">
        <f t="shared" si="19"/>
        <v/>
      </c>
      <c r="X58" s="71"/>
      <c r="Y58" s="10" t="str">
        <f t="shared" si="36"/>
        <v/>
      </c>
      <c r="Z58" s="10" t="str">
        <f t="shared" si="20"/>
        <v/>
      </c>
      <c r="AA58" s="71"/>
      <c r="AB58" s="10" t="str">
        <f t="shared" si="4"/>
        <v/>
      </c>
      <c r="AC58" s="10" t="str">
        <f t="shared" si="21"/>
        <v/>
      </c>
      <c r="AD58" s="71"/>
      <c r="AE58" s="10" t="str">
        <f t="shared" si="37"/>
        <v/>
      </c>
      <c r="AF58" s="10" t="str">
        <f t="shared" si="22"/>
        <v/>
      </c>
      <c r="AG58" s="71"/>
      <c r="AH58" s="10" t="str">
        <f t="shared" si="38"/>
        <v/>
      </c>
      <c r="AI58" s="10" t="str">
        <f t="shared" si="23"/>
        <v/>
      </c>
      <c r="AJ58" s="71"/>
      <c r="AK58" s="10" t="str">
        <f t="shared" si="39"/>
        <v/>
      </c>
      <c r="AL58" s="10" t="str">
        <f t="shared" si="24"/>
        <v/>
      </c>
      <c r="AM58" s="71"/>
      <c r="AN58" s="10" t="str">
        <f t="shared" si="40"/>
        <v/>
      </c>
      <c r="AO58" s="10" t="str">
        <f t="shared" si="25"/>
        <v/>
      </c>
      <c r="AP58" s="71"/>
      <c r="AQ58" s="10" t="str">
        <f t="shared" si="41"/>
        <v/>
      </c>
      <c r="AR58" s="10" t="str">
        <f t="shared" si="26"/>
        <v/>
      </c>
      <c r="AS58" s="71"/>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U58" s="71"/>
      <c r="AV58" s="10" t="str">
        <f t="shared" si="42"/>
        <v/>
      </c>
      <c r="AW58" s="10" t="str">
        <f t="shared" si="11"/>
        <v/>
      </c>
      <c r="AX58" s="71"/>
      <c r="AY58" s="7" t="str">
        <f>IF(ISERROR(IF($K58&lt;=$F$15,VLOOKUP($I58,'表4）CO2価格'!$A$7:$E$67,VLOOKUP($F$48,'表4）CO2価格'!$H$10:$I$12,2,0),0)*$F$8/1000,"")),0,IF($K58&lt;=$F$15,VLOOKUP($I58,'表4）CO2価格'!$A$7:$E$67,VLOOKUP($F$48,'表4）CO2価格'!$H$10:$I$12,2,0),0)*$F$8/1000,""))</f>
        <v/>
      </c>
      <c r="AZ58" s="71"/>
      <c r="BA58" s="11" t="str">
        <f t="shared" si="43"/>
        <v/>
      </c>
      <c r="BB58" s="10" t="str">
        <f t="shared" si="27"/>
        <v/>
      </c>
      <c r="BC58" s="71"/>
      <c r="BD58" s="10" t="str">
        <f t="shared" si="44"/>
        <v/>
      </c>
      <c r="BE58" s="10" t="str">
        <f t="shared" si="28"/>
        <v/>
      </c>
      <c r="BF58" s="71"/>
      <c r="BG58" s="11" t="str">
        <f t="shared" si="45"/>
        <v/>
      </c>
      <c r="BH58" s="10" t="str">
        <f t="shared" si="29"/>
        <v/>
      </c>
      <c r="BJ58" s="7"/>
      <c r="BK58" s="158"/>
      <c r="BL58" s="158"/>
      <c r="BM58" s="10"/>
      <c r="BN58" s="10" t="str">
        <f>IF(AND(ISNUMBER($F$16),$K58&lt;=$F$16),BQ58*('バイオマス（木質専焼）（2030年）'!$O$15+'バイオマス（木質専焼）（2030年）'!$BK$116)/'バイオマス（木質専焼）（2030年）'!$BL$116,"")</f>
        <v/>
      </c>
      <c r="BO58" s="10" t="str">
        <f t="shared" si="30"/>
        <v/>
      </c>
      <c r="BQ58" s="10" t="str">
        <f t="shared" si="46"/>
        <v/>
      </c>
      <c r="BR58" s="10" t="str">
        <f t="shared" si="31"/>
        <v/>
      </c>
    </row>
    <row r="59" spans="3:70" x14ac:dyDescent="0.15">
      <c r="I59" s="38">
        <f t="shared" si="32"/>
        <v>2074</v>
      </c>
      <c r="J59" s="39"/>
      <c r="K59" s="39">
        <f t="shared" si="33"/>
        <v>45</v>
      </c>
      <c r="L59" s="39"/>
      <c r="M59" s="40">
        <f t="shared" si="0"/>
        <v>0.26443862376454325</v>
      </c>
      <c r="N59" s="39"/>
      <c r="O59" s="72" t="str">
        <f t="shared" si="16"/>
        <v/>
      </c>
      <c r="P59" s="41" t="str">
        <f t="shared" si="34"/>
        <v/>
      </c>
      <c r="Q59" s="39"/>
      <c r="R59" s="72" t="str">
        <f t="shared" si="47"/>
        <v/>
      </c>
      <c r="S59" s="39"/>
      <c r="T59" s="72" t="str">
        <f t="shared" si="18"/>
        <v/>
      </c>
      <c r="U59" s="39"/>
      <c r="V59" s="72" t="str">
        <f t="shared" si="35"/>
        <v/>
      </c>
      <c r="W59" s="72" t="str">
        <f t="shared" si="19"/>
        <v/>
      </c>
      <c r="X59" s="39"/>
      <c r="Y59" s="72" t="str">
        <f t="shared" si="36"/>
        <v/>
      </c>
      <c r="Z59" s="72" t="str">
        <f t="shared" si="20"/>
        <v/>
      </c>
      <c r="AA59" s="39"/>
      <c r="AB59" s="72" t="str">
        <f t="shared" si="4"/>
        <v/>
      </c>
      <c r="AC59" s="72" t="str">
        <f t="shared" si="21"/>
        <v/>
      </c>
      <c r="AD59" s="39"/>
      <c r="AE59" s="72" t="str">
        <f t="shared" si="37"/>
        <v/>
      </c>
      <c r="AF59" s="72" t="str">
        <f t="shared" si="22"/>
        <v/>
      </c>
      <c r="AG59" s="39"/>
      <c r="AH59" s="72" t="str">
        <f t="shared" si="38"/>
        <v/>
      </c>
      <c r="AI59" s="72" t="str">
        <f t="shared" si="23"/>
        <v/>
      </c>
      <c r="AJ59" s="39"/>
      <c r="AK59" s="72" t="str">
        <f t="shared" si="39"/>
        <v/>
      </c>
      <c r="AL59" s="72" t="str">
        <f t="shared" si="24"/>
        <v/>
      </c>
      <c r="AM59" s="39"/>
      <c r="AN59" s="72" t="str">
        <f t="shared" si="40"/>
        <v/>
      </c>
      <c r="AO59" s="72" t="str">
        <f t="shared" si="25"/>
        <v/>
      </c>
      <c r="AP59" s="39"/>
      <c r="AQ59" s="72" t="str">
        <f t="shared" si="41"/>
        <v/>
      </c>
      <c r="AR59" s="72" t="str">
        <f t="shared" si="26"/>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42"/>
        <v/>
      </c>
      <c r="AW59" s="72" t="str">
        <f t="shared" si="11"/>
        <v/>
      </c>
      <c r="AX59" s="39"/>
      <c r="AY59" s="40" t="str">
        <f>IF(ISERROR(IF($K59&lt;=$F$15,VLOOKUP($I59,'表4）CO2価格'!$A$7:$E$67,VLOOKUP($F$48,'表4）CO2価格'!$H$10:$I$12,2,0),0)*$F$8/1000,"")),0,IF($K59&lt;=$F$15,VLOOKUP($I59,'表4）CO2価格'!$A$7:$E$67,VLOOKUP($F$48,'表4）CO2価格'!$H$10:$I$12,2,0),0)*$F$8/1000,""))</f>
        <v/>
      </c>
      <c r="AZ59" s="39"/>
      <c r="BA59" s="42" t="str">
        <f t="shared" si="43"/>
        <v/>
      </c>
      <c r="BB59" s="72" t="str">
        <f t="shared" si="27"/>
        <v/>
      </c>
      <c r="BC59" s="39"/>
      <c r="BD59" s="72" t="str">
        <f t="shared" si="44"/>
        <v/>
      </c>
      <c r="BE59" s="72" t="str">
        <f t="shared" si="28"/>
        <v/>
      </c>
      <c r="BF59" s="39"/>
      <c r="BG59" s="42" t="str">
        <f t="shared" si="45"/>
        <v/>
      </c>
      <c r="BH59" s="72" t="str">
        <f t="shared" si="29"/>
        <v/>
      </c>
      <c r="BI59" s="39"/>
      <c r="BJ59" s="40"/>
      <c r="BK59" s="157"/>
      <c r="BL59" s="157"/>
      <c r="BM59" s="72"/>
      <c r="BN59" s="72" t="str">
        <f>IF(AND(ISNUMBER($F$16),$K59&lt;=$F$16),BQ59*('バイオマス（木質専焼）（2030年）'!$O$15+'バイオマス（木質専焼）（2030年）'!$BK$116)/'バイオマス（木質専焼）（2030年）'!$BL$116,"")</f>
        <v/>
      </c>
      <c r="BO59" s="72" t="str">
        <f t="shared" si="30"/>
        <v/>
      </c>
      <c r="BP59" s="39"/>
      <c r="BQ59" s="72" t="str">
        <f t="shared" si="46"/>
        <v/>
      </c>
      <c r="BR59" s="72" t="str">
        <f t="shared" si="31"/>
        <v/>
      </c>
    </row>
    <row r="60" spans="3:70" x14ac:dyDescent="0.15">
      <c r="D60" s="84" t="s">
        <v>585</v>
      </c>
      <c r="F60" s="481"/>
      <c r="G60" s="84" t="s">
        <v>566</v>
      </c>
      <c r="I60" s="457">
        <f t="shared" si="32"/>
        <v>2075</v>
      </c>
      <c r="J60" s="71"/>
      <c r="K60" s="71">
        <f t="shared" si="33"/>
        <v>46</v>
      </c>
      <c r="L60" s="71"/>
      <c r="M60" s="7">
        <f t="shared" si="0"/>
        <v>0.25673652792674101</v>
      </c>
      <c r="N60" s="71"/>
      <c r="O60" s="10" t="str">
        <f t="shared" si="16"/>
        <v/>
      </c>
      <c r="P60" s="29" t="str">
        <f t="shared" si="34"/>
        <v/>
      </c>
      <c r="Q60" s="71"/>
      <c r="R60" s="10" t="str">
        <f t="shared" si="47"/>
        <v/>
      </c>
      <c r="S60" s="71"/>
      <c r="T60" s="10" t="str">
        <f t="shared" si="18"/>
        <v/>
      </c>
      <c r="U60" s="71"/>
      <c r="V60" s="10" t="str">
        <f t="shared" si="35"/>
        <v/>
      </c>
      <c r="W60" s="10" t="str">
        <f t="shared" si="19"/>
        <v/>
      </c>
      <c r="X60" s="71"/>
      <c r="Y60" s="10" t="str">
        <f t="shared" si="36"/>
        <v/>
      </c>
      <c r="Z60" s="10" t="str">
        <f t="shared" si="20"/>
        <v/>
      </c>
      <c r="AA60" s="71"/>
      <c r="AB60" s="10" t="str">
        <f t="shared" si="4"/>
        <v/>
      </c>
      <c r="AC60" s="10" t="str">
        <f t="shared" si="21"/>
        <v/>
      </c>
      <c r="AD60" s="71"/>
      <c r="AE60" s="10" t="str">
        <f t="shared" si="37"/>
        <v/>
      </c>
      <c r="AF60" s="10" t="str">
        <f t="shared" si="22"/>
        <v/>
      </c>
      <c r="AG60" s="71"/>
      <c r="AH60" s="10" t="str">
        <f t="shared" si="38"/>
        <v/>
      </c>
      <c r="AI60" s="10" t="str">
        <f t="shared" si="23"/>
        <v/>
      </c>
      <c r="AJ60" s="71"/>
      <c r="AK60" s="10" t="str">
        <f t="shared" si="39"/>
        <v/>
      </c>
      <c r="AL60" s="10" t="str">
        <f t="shared" si="24"/>
        <v/>
      </c>
      <c r="AM60" s="71"/>
      <c r="AN60" s="10" t="str">
        <f t="shared" si="40"/>
        <v/>
      </c>
      <c r="AO60" s="10" t="str">
        <f t="shared" si="25"/>
        <v/>
      </c>
      <c r="AP60" s="71"/>
      <c r="AQ60" s="10" t="str">
        <f t="shared" si="41"/>
        <v/>
      </c>
      <c r="AR60" s="10" t="str">
        <f t="shared" si="26"/>
        <v/>
      </c>
      <c r="AS60" s="71"/>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U60" s="71"/>
      <c r="AV60" s="10" t="str">
        <f t="shared" si="42"/>
        <v/>
      </c>
      <c r="AW60" s="10" t="str">
        <f t="shared" si="11"/>
        <v/>
      </c>
      <c r="AX60" s="71"/>
      <c r="AY60" s="7" t="str">
        <f>IF(ISERROR(IF($K60&lt;=$F$15,VLOOKUP($I60,'表4）CO2価格'!$A$7:$E$67,VLOOKUP($F$48,'表4）CO2価格'!$H$10:$I$12,2,0),0)*$F$8/1000,"")),0,IF($K60&lt;=$F$15,VLOOKUP($I60,'表4）CO2価格'!$A$7:$E$67,VLOOKUP($F$48,'表4）CO2価格'!$H$10:$I$12,2,0),0)*$F$8/1000,""))</f>
        <v/>
      </c>
      <c r="AZ60" s="71"/>
      <c r="BA60" s="11" t="str">
        <f t="shared" si="43"/>
        <v/>
      </c>
      <c r="BB60" s="10" t="str">
        <f t="shared" si="27"/>
        <v/>
      </c>
      <c r="BC60" s="71"/>
      <c r="BD60" s="10" t="str">
        <f t="shared" si="44"/>
        <v/>
      </c>
      <c r="BE60" s="10" t="str">
        <f t="shared" si="28"/>
        <v/>
      </c>
      <c r="BF60" s="71"/>
      <c r="BG60" s="11" t="str">
        <f t="shared" si="45"/>
        <v/>
      </c>
      <c r="BH60" s="10" t="str">
        <f t="shared" si="29"/>
        <v/>
      </c>
      <c r="BJ60" s="7"/>
      <c r="BK60" s="158"/>
      <c r="BL60" s="158"/>
      <c r="BM60" s="10"/>
      <c r="BN60" s="10" t="str">
        <f>IF(AND(ISNUMBER($F$16),$K60&lt;=$F$16),BQ60*('バイオマス（木質専焼）（2030年）'!$O$15+'バイオマス（木質専焼）（2030年）'!$BK$116)/'バイオマス（木質専焼）（2030年）'!$BL$116,"")</f>
        <v/>
      </c>
      <c r="BO60" s="10" t="str">
        <f t="shared" si="30"/>
        <v/>
      </c>
      <c r="BQ60" s="10" t="str">
        <f t="shared" si="46"/>
        <v/>
      </c>
      <c r="BR60" s="10" t="str">
        <f t="shared" si="31"/>
        <v/>
      </c>
    </row>
    <row r="61" spans="3:70" x14ac:dyDescent="0.15">
      <c r="D61" s="84" t="s">
        <v>586</v>
      </c>
      <c r="F61" s="475"/>
      <c r="G61" s="84" t="s">
        <v>556</v>
      </c>
      <c r="I61" s="38">
        <f t="shared" si="32"/>
        <v>2076</v>
      </c>
      <c r="J61" s="39"/>
      <c r="K61" s="39">
        <f t="shared" si="33"/>
        <v>47</v>
      </c>
      <c r="L61" s="39"/>
      <c r="M61" s="40">
        <f t="shared" si="0"/>
        <v>0.24925876497741845</v>
      </c>
      <c r="N61" s="39"/>
      <c r="O61" s="72" t="str">
        <f t="shared" si="16"/>
        <v/>
      </c>
      <c r="P61" s="41" t="str">
        <f t="shared" si="34"/>
        <v/>
      </c>
      <c r="Q61" s="39"/>
      <c r="R61" s="72" t="str">
        <f t="shared" si="47"/>
        <v/>
      </c>
      <c r="S61" s="39"/>
      <c r="T61" s="72" t="str">
        <f t="shared" si="18"/>
        <v/>
      </c>
      <c r="U61" s="39"/>
      <c r="V61" s="72" t="str">
        <f t="shared" si="35"/>
        <v/>
      </c>
      <c r="W61" s="72" t="str">
        <f t="shared" si="19"/>
        <v/>
      </c>
      <c r="X61" s="39"/>
      <c r="Y61" s="72" t="str">
        <f t="shared" si="36"/>
        <v/>
      </c>
      <c r="Z61" s="72" t="str">
        <f t="shared" si="20"/>
        <v/>
      </c>
      <c r="AA61" s="39"/>
      <c r="AB61" s="72" t="str">
        <f t="shared" si="4"/>
        <v/>
      </c>
      <c r="AC61" s="72" t="str">
        <f t="shared" si="21"/>
        <v/>
      </c>
      <c r="AD61" s="39"/>
      <c r="AE61" s="72" t="str">
        <f t="shared" si="37"/>
        <v/>
      </c>
      <c r="AF61" s="72" t="str">
        <f t="shared" si="22"/>
        <v/>
      </c>
      <c r="AG61" s="39"/>
      <c r="AH61" s="72" t="str">
        <f t="shared" si="38"/>
        <v/>
      </c>
      <c r="AI61" s="72" t="str">
        <f t="shared" si="23"/>
        <v/>
      </c>
      <c r="AJ61" s="39"/>
      <c r="AK61" s="72" t="str">
        <f t="shared" si="39"/>
        <v/>
      </c>
      <c r="AL61" s="72" t="str">
        <f t="shared" si="24"/>
        <v/>
      </c>
      <c r="AM61" s="39"/>
      <c r="AN61" s="72" t="str">
        <f t="shared" si="40"/>
        <v/>
      </c>
      <c r="AO61" s="72" t="str">
        <f t="shared" si="25"/>
        <v/>
      </c>
      <c r="AP61" s="39"/>
      <c r="AQ61" s="72" t="str">
        <f t="shared" si="41"/>
        <v/>
      </c>
      <c r="AR61" s="72" t="str">
        <f t="shared" si="26"/>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42"/>
        <v/>
      </c>
      <c r="AW61" s="72" t="str">
        <f t="shared" si="11"/>
        <v/>
      </c>
      <c r="AX61" s="39"/>
      <c r="AY61" s="40" t="str">
        <f>IF(ISERROR(IF($K61&lt;=$F$15,VLOOKUP($I61,'表4）CO2価格'!$A$7:$E$67,VLOOKUP($F$48,'表4）CO2価格'!$H$10:$I$12,2,0),0)*$F$8/1000,"")),0,IF($K61&lt;=$F$15,VLOOKUP($I61,'表4）CO2価格'!$A$7:$E$67,VLOOKUP($F$48,'表4）CO2価格'!$H$10:$I$12,2,0),0)*$F$8/1000,""))</f>
        <v/>
      </c>
      <c r="AZ61" s="39"/>
      <c r="BA61" s="42" t="str">
        <f t="shared" si="43"/>
        <v/>
      </c>
      <c r="BB61" s="72" t="str">
        <f t="shared" si="27"/>
        <v/>
      </c>
      <c r="BC61" s="39"/>
      <c r="BD61" s="72" t="str">
        <f t="shared" si="44"/>
        <v/>
      </c>
      <c r="BE61" s="72" t="str">
        <f t="shared" si="28"/>
        <v/>
      </c>
      <c r="BF61" s="39"/>
      <c r="BG61" s="42" t="str">
        <f t="shared" si="45"/>
        <v/>
      </c>
      <c r="BH61" s="72" t="str">
        <f t="shared" si="29"/>
        <v/>
      </c>
      <c r="BI61" s="39"/>
      <c r="BJ61" s="40"/>
      <c r="BK61" s="157"/>
      <c r="BL61" s="157"/>
      <c r="BM61" s="72"/>
      <c r="BN61" s="72" t="str">
        <f>IF(AND(ISNUMBER($F$16),$K61&lt;=$F$16),BQ61*('バイオマス（木質専焼）（2030年）'!$O$15+'バイオマス（木質専焼）（2030年）'!$BK$116)/'バイオマス（木質専焼）（2030年）'!$BL$116,"")</f>
        <v/>
      </c>
      <c r="BO61" s="72" t="str">
        <f t="shared" si="30"/>
        <v/>
      </c>
      <c r="BP61" s="39"/>
      <c r="BQ61" s="72" t="str">
        <f t="shared" si="46"/>
        <v/>
      </c>
      <c r="BR61" s="72" t="str">
        <f t="shared" si="31"/>
        <v/>
      </c>
    </row>
    <row r="62" spans="3:70" x14ac:dyDescent="0.15">
      <c r="D62" s="84" t="s">
        <v>587</v>
      </c>
      <c r="F62" s="481"/>
      <c r="G62" s="84" t="s">
        <v>588</v>
      </c>
      <c r="I62" s="457">
        <f t="shared" si="32"/>
        <v>2077</v>
      </c>
      <c r="J62" s="71"/>
      <c r="K62" s="71">
        <f t="shared" si="33"/>
        <v>48</v>
      </c>
      <c r="L62" s="71"/>
      <c r="M62" s="7">
        <f t="shared" si="0"/>
        <v>0.24199880094894996</v>
      </c>
      <c r="N62" s="71"/>
      <c r="O62" s="10" t="str">
        <f t="shared" si="16"/>
        <v/>
      </c>
      <c r="P62" s="29" t="str">
        <f t="shared" si="34"/>
        <v/>
      </c>
      <c r="Q62" s="71"/>
      <c r="R62" s="10" t="str">
        <f t="shared" si="47"/>
        <v/>
      </c>
      <c r="S62" s="71"/>
      <c r="T62" s="10" t="str">
        <f t="shared" si="18"/>
        <v/>
      </c>
      <c r="U62" s="71"/>
      <c r="V62" s="10" t="str">
        <f t="shared" si="35"/>
        <v/>
      </c>
      <c r="W62" s="10" t="str">
        <f t="shared" si="19"/>
        <v/>
      </c>
      <c r="X62" s="71"/>
      <c r="Y62" s="10" t="str">
        <f t="shared" si="36"/>
        <v/>
      </c>
      <c r="Z62" s="10" t="str">
        <f t="shared" si="20"/>
        <v/>
      </c>
      <c r="AA62" s="71"/>
      <c r="AB62" s="10" t="str">
        <f t="shared" si="4"/>
        <v/>
      </c>
      <c r="AC62" s="10" t="str">
        <f t="shared" si="21"/>
        <v/>
      </c>
      <c r="AD62" s="71"/>
      <c r="AE62" s="10" t="str">
        <f t="shared" si="37"/>
        <v/>
      </c>
      <c r="AF62" s="10" t="str">
        <f t="shared" si="22"/>
        <v/>
      </c>
      <c r="AG62" s="71"/>
      <c r="AH62" s="10" t="str">
        <f t="shared" si="38"/>
        <v/>
      </c>
      <c r="AI62" s="10" t="str">
        <f t="shared" si="23"/>
        <v/>
      </c>
      <c r="AJ62" s="71"/>
      <c r="AK62" s="10" t="str">
        <f t="shared" si="39"/>
        <v/>
      </c>
      <c r="AL62" s="10" t="str">
        <f t="shared" si="24"/>
        <v/>
      </c>
      <c r="AM62" s="71"/>
      <c r="AN62" s="10" t="str">
        <f t="shared" si="40"/>
        <v/>
      </c>
      <c r="AO62" s="10" t="str">
        <f t="shared" si="25"/>
        <v/>
      </c>
      <c r="AP62" s="71"/>
      <c r="AQ62" s="10" t="str">
        <f t="shared" si="41"/>
        <v/>
      </c>
      <c r="AR62" s="10" t="str">
        <f t="shared" si="26"/>
        <v/>
      </c>
      <c r="AS62" s="71"/>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U62" s="71"/>
      <c r="AV62" s="10" t="str">
        <f t="shared" si="42"/>
        <v/>
      </c>
      <c r="AW62" s="10" t="str">
        <f t="shared" si="11"/>
        <v/>
      </c>
      <c r="AX62" s="71"/>
      <c r="AY62" s="7" t="str">
        <f>IF(ISERROR(IF($K62&lt;=$F$15,VLOOKUP($I62,'表4）CO2価格'!$A$7:$E$67,VLOOKUP($F$48,'表4）CO2価格'!$H$10:$I$12,2,0),0)*$F$8/1000,"")),0,IF($K62&lt;=$F$15,VLOOKUP($I62,'表4）CO2価格'!$A$7:$E$67,VLOOKUP($F$48,'表4）CO2価格'!$H$10:$I$12,2,0),0)*$F$8/1000,""))</f>
        <v/>
      </c>
      <c r="AZ62" s="71"/>
      <c r="BA62" s="11" t="str">
        <f t="shared" si="43"/>
        <v/>
      </c>
      <c r="BB62" s="10" t="str">
        <f t="shared" si="27"/>
        <v/>
      </c>
      <c r="BC62" s="71"/>
      <c r="BD62" s="10" t="str">
        <f t="shared" si="44"/>
        <v/>
      </c>
      <c r="BE62" s="10" t="str">
        <f t="shared" si="28"/>
        <v/>
      </c>
      <c r="BF62" s="71"/>
      <c r="BG62" s="11" t="str">
        <f t="shared" si="45"/>
        <v/>
      </c>
      <c r="BH62" s="10" t="str">
        <f t="shared" si="29"/>
        <v/>
      </c>
      <c r="BJ62" s="7"/>
      <c r="BK62" s="158"/>
      <c r="BL62" s="158"/>
      <c r="BM62" s="10"/>
      <c r="BN62" s="10" t="str">
        <f>IF(AND(ISNUMBER($F$16),$K62&lt;=$F$16),BQ62*('バイオマス（木質専焼）（2030年）'!$O$15+'バイオマス（木質専焼）（2030年）'!$BK$116)/'バイオマス（木質専焼）（2030年）'!$BL$116,"")</f>
        <v/>
      </c>
      <c r="BO62" s="10" t="str">
        <f t="shared" si="30"/>
        <v/>
      </c>
      <c r="BQ62" s="10" t="str">
        <f t="shared" si="46"/>
        <v/>
      </c>
      <c r="BR62" s="10" t="str">
        <f t="shared" si="31"/>
        <v/>
      </c>
    </row>
    <row r="63" spans="3:70" x14ac:dyDescent="0.15">
      <c r="I63" s="38">
        <f t="shared" si="32"/>
        <v>2078</v>
      </c>
      <c r="J63" s="39"/>
      <c r="K63" s="39">
        <f t="shared" si="33"/>
        <v>49</v>
      </c>
      <c r="L63" s="39"/>
      <c r="M63" s="40">
        <f t="shared" si="0"/>
        <v>0.2349502921834466</v>
      </c>
      <c r="N63" s="39"/>
      <c r="O63" s="72" t="str">
        <f t="shared" si="16"/>
        <v/>
      </c>
      <c r="P63" s="41" t="str">
        <f t="shared" si="34"/>
        <v/>
      </c>
      <c r="Q63" s="39"/>
      <c r="R63" s="72" t="str">
        <f t="shared" si="47"/>
        <v/>
      </c>
      <c r="S63" s="39"/>
      <c r="T63" s="72" t="str">
        <f t="shared" si="18"/>
        <v/>
      </c>
      <c r="U63" s="39"/>
      <c r="V63" s="72" t="str">
        <f t="shared" si="35"/>
        <v/>
      </c>
      <c r="W63" s="72" t="str">
        <f t="shared" si="19"/>
        <v/>
      </c>
      <c r="X63" s="39"/>
      <c r="Y63" s="72" t="str">
        <f t="shared" si="36"/>
        <v/>
      </c>
      <c r="Z63" s="72" t="str">
        <f t="shared" si="20"/>
        <v/>
      </c>
      <c r="AA63" s="39"/>
      <c r="AB63" s="72" t="str">
        <f t="shared" si="4"/>
        <v/>
      </c>
      <c r="AC63" s="72" t="str">
        <f t="shared" si="21"/>
        <v/>
      </c>
      <c r="AD63" s="39"/>
      <c r="AE63" s="72" t="str">
        <f t="shared" si="37"/>
        <v/>
      </c>
      <c r="AF63" s="72" t="str">
        <f t="shared" si="22"/>
        <v/>
      </c>
      <c r="AG63" s="39"/>
      <c r="AH63" s="72" t="str">
        <f t="shared" si="38"/>
        <v/>
      </c>
      <c r="AI63" s="72" t="str">
        <f t="shared" si="23"/>
        <v/>
      </c>
      <c r="AJ63" s="39"/>
      <c r="AK63" s="72" t="str">
        <f t="shared" si="39"/>
        <v/>
      </c>
      <c r="AL63" s="72" t="str">
        <f t="shared" si="24"/>
        <v/>
      </c>
      <c r="AM63" s="39"/>
      <c r="AN63" s="72" t="str">
        <f t="shared" si="40"/>
        <v/>
      </c>
      <c r="AO63" s="72" t="str">
        <f t="shared" si="25"/>
        <v/>
      </c>
      <c r="AP63" s="39"/>
      <c r="AQ63" s="72" t="str">
        <f t="shared" si="41"/>
        <v/>
      </c>
      <c r="AR63" s="72" t="str">
        <f t="shared" si="26"/>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42"/>
        <v/>
      </c>
      <c r="AW63" s="72" t="str">
        <f t="shared" si="11"/>
        <v/>
      </c>
      <c r="AX63" s="39"/>
      <c r="AY63" s="40" t="str">
        <f>IF(ISERROR(IF($K63&lt;=$F$15,VLOOKUP($I63,'表4）CO2価格'!$A$7:$E$67,VLOOKUP($F$48,'表4）CO2価格'!$H$10:$I$12,2,0),0)*$F$8/1000,"")),0,IF($K63&lt;=$F$15,VLOOKUP($I63,'表4）CO2価格'!$A$7:$E$67,VLOOKUP($F$48,'表4）CO2価格'!$H$10:$I$12,2,0),0)*$F$8/1000,""))</f>
        <v/>
      </c>
      <c r="AZ63" s="39"/>
      <c r="BA63" s="42" t="str">
        <f t="shared" si="43"/>
        <v/>
      </c>
      <c r="BB63" s="72" t="str">
        <f t="shared" si="27"/>
        <v/>
      </c>
      <c r="BC63" s="39"/>
      <c r="BD63" s="72" t="str">
        <f t="shared" si="44"/>
        <v/>
      </c>
      <c r="BE63" s="72" t="str">
        <f t="shared" si="28"/>
        <v/>
      </c>
      <c r="BF63" s="39"/>
      <c r="BG63" s="42" t="str">
        <f t="shared" si="45"/>
        <v/>
      </c>
      <c r="BH63" s="72" t="str">
        <f t="shared" si="29"/>
        <v/>
      </c>
      <c r="BI63" s="39"/>
      <c r="BJ63" s="40"/>
      <c r="BK63" s="157"/>
      <c r="BL63" s="157"/>
      <c r="BM63" s="72"/>
      <c r="BN63" s="72" t="str">
        <f>IF(AND(ISNUMBER($F$16),$K63&lt;=$F$16),BQ63*('バイオマス（木質専焼）（2030年）'!$O$15+'バイオマス（木質専焼）（2030年）'!$BK$116)/'バイオマス（木質専焼）（2030年）'!$BL$116,"")</f>
        <v/>
      </c>
      <c r="BO63" s="72" t="str">
        <f t="shared" si="30"/>
        <v/>
      </c>
      <c r="BP63" s="39"/>
      <c r="BQ63" s="72" t="str">
        <f t="shared" si="46"/>
        <v/>
      </c>
      <c r="BR63" s="72" t="str">
        <f t="shared" si="31"/>
        <v/>
      </c>
    </row>
    <row r="64" spans="3:70" x14ac:dyDescent="0.15">
      <c r="C64" s="71" t="s">
        <v>589</v>
      </c>
      <c r="F64" s="477">
        <v>0.23055842018198416</v>
      </c>
      <c r="G64" s="84" t="s">
        <v>590</v>
      </c>
      <c r="I64" s="457">
        <f t="shared" si="32"/>
        <v>2079</v>
      </c>
      <c r="J64" s="71"/>
      <c r="K64" s="71">
        <f t="shared" si="33"/>
        <v>50</v>
      </c>
      <c r="L64" s="71"/>
      <c r="M64" s="7">
        <f t="shared" si="0"/>
        <v>0.22810707978975397</v>
      </c>
      <c r="N64" s="71"/>
      <c r="O64" s="10" t="str">
        <f t="shared" si="16"/>
        <v/>
      </c>
      <c r="P64" s="29" t="str">
        <f t="shared" si="34"/>
        <v/>
      </c>
      <c r="Q64" s="71"/>
      <c r="R64" s="10" t="str">
        <f t="shared" si="47"/>
        <v/>
      </c>
      <c r="S64" s="71"/>
      <c r="T64" s="10" t="str">
        <f t="shared" si="18"/>
        <v/>
      </c>
      <c r="U64" s="71"/>
      <c r="V64" s="10" t="str">
        <f t="shared" si="35"/>
        <v/>
      </c>
      <c r="W64" s="10" t="str">
        <f t="shared" si="19"/>
        <v/>
      </c>
      <c r="X64" s="71"/>
      <c r="Y64" s="10" t="str">
        <f t="shared" si="36"/>
        <v/>
      </c>
      <c r="Z64" s="10" t="str">
        <f t="shared" si="20"/>
        <v/>
      </c>
      <c r="AA64" s="71"/>
      <c r="AB64" s="10" t="str">
        <f t="shared" si="4"/>
        <v/>
      </c>
      <c r="AC64" s="10" t="str">
        <f t="shared" si="21"/>
        <v/>
      </c>
      <c r="AD64" s="71"/>
      <c r="AE64" s="10" t="str">
        <f t="shared" si="37"/>
        <v/>
      </c>
      <c r="AF64" s="10" t="str">
        <f t="shared" si="22"/>
        <v/>
      </c>
      <c r="AG64" s="71"/>
      <c r="AH64" s="10" t="str">
        <f t="shared" si="38"/>
        <v/>
      </c>
      <c r="AI64" s="10" t="str">
        <f t="shared" si="23"/>
        <v/>
      </c>
      <c r="AJ64" s="71"/>
      <c r="AK64" s="10" t="str">
        <f t="shared" si="39"/>
        <v/>
      </c>
      <c r="AL64" s="10" t="str">
        <f t="shared" si="24"/>
        <v/>
      </c>
      <c r="AM64" s="71"/>
      <c r="AN64" s="10" t="str">
        <f t="shared" si="40"/>
        <v/>
      </c>
      <c r="AO64" s="10" t="str">
        <f t="shared" si="25"/>
        <v/>
      </c>
      <c r="AP64" s="71"/>
      <c r="AQ64" s="10" t="str">
        <f t="shared" si="41"/>
        <v/>
      </c>
      <c r="AR64" s="10" t="str">
        <f t="shared" si="26"/>
        <v/>
      </c>
      <c r="AS64" s="71"/>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U64" s="71"/>
      <c r="AV64" s="10" t="str">
        <f t="shared" si="42"/>
        <v/>
      </c>
      <c r="AW64" s="10" t="str">
        <f t="shared" si="11"/>
        <v/>
      </c>
      <c r="AX64" s="71"/>
      <c r="AY64" s="7" t="str">
        <f>IF(ISERROR(IF($K64&lt;=$F$15,VLOOKUP($I64,'表4）CO2価格'!$A$7:$E$67,VLOOKUP($F$48,'表4）CO2価格'!$H$10:$I$12,2,0),0)*$F$8/1000,"")),0,IF($K64&lt;=$F$15,VLOOKUP($I64,'表4）CO2価格'!$A$7:$E$67,VLOOKUP($F$48,'表4）CO2価格'!$H$10:$I$12,2,0),0)*$F$8/1000,""))</f>
        <v/>
      </c>
      <c r="AZ64" s="71"/>
      <c r="BA64" s="11" t="str">
        <f t="shared" si="43"/>
        <v/>
      </c>
      <c r="BB64" s="10" t="str">
        <f t="shared" si="27"/>
        <v/>
      </c>
      <c r="BC64" s="71"/>
      <c r="BD64" s="10" t="str">
        <f t="shared" si="44"/>
        <v/>
      </c>
      <c r="BE64" s="10" t="str">
        <f t="shared" si="28"/>
        <v/>
      </c>
      <c r="BF64" s="71"/>
      <c r="BG64" s="11" t="str">
        <f t="shared" si="45"/>
        <v/>
      </c>
      <c r="BH64" s="10" t="str">
        <f t="shared" si="29"/>
        <v/>
      </c>
      <c r="BJ64" s="7"/>
      <c r="BK64" s="158"/>
      <c r="BL64" s="158"/>
      <c r="BM64" s="10"/>
      <c r="BN64" s="10" t="str">
        <f>IF(AND(ISNUMBER($F$16),$K64&lt;=$F$16),BQ64*('バイオマス（木質専焼）（2030年）'!$O$15+'バイオマス（木質専焼）（2030年）'!$BK$116)/'バイオマス（木質専焼）（2030年）'!$BL$116,"")</f>
        <v/>
      </c>
      <c r="BO64" s="10" t="str">
        <f t="shared" si="30"/>
        <v/>
      </c>
      <c r="BQ64" s="10" t="str">
        <f t="shared" si="46"/>
        <v/>
      </c>
      <c r="BR64" s="10" t="str">
        <f t="shared" si="31"/>
        <v/>
      </c>
    </row>
    <row r="65" spans="2:70" x14ac:dyDescent="0.15">
      <c r="I65" s="38">
        <f t="shared" si="32"/>
        <v>2080</v>
      </c>
      <c r="J65" s="39"/>
      <c r="K65" s="39">
        <f t="shared" si="33"/>
        <v>51</v>
      </c>
      <c r="L65" s="39"/>
      <c r="M65" s="40">
        <f t="shared" si="0"/>
        <v>0.22146318426189707</v>
      </c>
      <c r="N65" s="39"/>
      <c r="O65" s="72" t="str">
        <f t="shared" si="16"/>
        <v/>
      </c>
      <c r="P65" s="41" t="str">
        <f t="shared" si="34"/>
        <v/>
      </c>
      <c r="Q65" s="39"/>
      <c r="R65" s="72" t="str">
        <f t="shared" si="47"/>
        <v/>
      </c>
      <c r="S65" s="39"/>
      <c r="T65" s="72" t="str">
        <f t="shared" si="18"/>
        <v/>
      </c>
      <c r="U65" s="39"/>
      <c r="V65" s="72" t="str">
        <f t="shared" si="35"/>
        <v/>
      </c>
      <c r="W65" s="72" t="str">
        <f t="shared" si="19"/>
        <v/>
      </c>
      <c r="X65" s="39"/>
      <c r="Y65" s="72" t="str">
        <f t="shared" si="36"/>
        <v/>
      </c>
      <c r="Z65" s="72" t="str">
        <f t="shared" si="20"/>
        <v/>
      </c>
      <c r="AA65" s="39"/>
      <c r="AB65" s="72" t="str">
        <f t="shared" si="4"/>
        <v/>
      </c>
      <c r="AC65" s="72" t="str">
        <f t="shared" si="21"/>
        <v/>
      </c>
      <c r="AD65" s="39"/>
      <c r="AE65" s="72" t="str">
        <f t="shared" si="37"/>
        <v/>
      </c>
      <c r="AF65" s="72" t="str">
        <f t="shared" si="22"/>
        <v/>
      </c>
      <c r="AG65" s="39"/>
      <c r="AH65" s="72" t="str">
        <f t="shared" si="38"/>
        <v/>
      </c>
      <c r="AI65" s="72" t="str">
        <f t="shared" si="23"/>
        <v/>
      </c>
      <c r="AJ65" s="39"/>
      <c r="AK65" s="72" t="str">
        <f t="shared" si="39"/>
        <v/>
      </c>
      <c r="AL65" s="72" t="str">
        <f t="shared" si="24"/>
        <v/>
      </c>
      <c r="AM65" s="39"/>
      <c r="AN65" s="72" t="str">
        <f t="shared" si="40"/>
        <v/>
      </c>
      <c r="AO65" s="72" t="str">
        <f t="shared" si="25"/>
        <v/>
      </c>
      <c r="AP65" s="39"/>
      <c r="AQ65" s="72" t="str">
        <f t="shared" si="41"/>
        <v/>
      </c>
      <c r="AR65" s="72" t="str">
        <f t="shared" si="26"/>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42"/>
        <v/>
      </c>
      <c r="AW65" s="72" t="str">
        <f t="shared" si="11"/>
        <v/>
      </c>
      <c r="AX65" s="39"/>
      <c r="AY65" s="40" t="str">
        <f>IF(ISERROR(IF($K65&lt;=$F$15,VLOOKUP($I65,'表4）CO2価格'!$A$7:$E$67,VLOOKUP($F$48,'表4）CO2価格'!$H$10:$I$12,2,0),0)*$F$8/1000,"")),0,IF($K65&lt;=$F$15,VLOOKUP($I65,'表4）CO2価格'!$A$7:$E$67,VLOOKUP($F$48,'表4）CO2価格'!$H$10:$I$12,2,0),0)*$F$8/1000,""))</f>
        <v/>
      </c>
      <c r="AZ65" s="39"/>
      <c r="BA65" s="42" t="str">
        <f t="shared" si="43"/>
        <v/>
      </c>
      <c r="BB65" s="72" t="str">
        <f t="shared" si="27"/>
        <v/>
      </c>
      <c r="BC65" s="39"/>
      <c r="BD65" s="72" t="str">
        <f t="shared" si="44"/>
        <v/>
      </c>
      <c r="BE65" s="72" t="str">
        <f t="shared" si="28"/>
        <v/>
      </c>
      <c r="BF65" s="39"/>
      <c r="BG65" s="42" t="str">
        <f t="shared" si="45"/>
        <v/>
      </c>
      <c r="BH65" s="72" t="str">
        <f t="shared" si="29"/>
        <v/>
      </c>
      <c r="BI65" s="39"/>
      <c r="BJ65" s="40"/>
      <c r="BK65" s="157"/>
      <c r="BL65" s="157"/>
      <c r="BM65" s="72"/>
      <c r="BN65" s="72" t="str">
        <f>IF(AND(ISNUMBER($F$16),$K65&lt;=$F$16),BQ65*('バイオマス（木質専焼）（2030年）'!$O$15+'バイオマス（木質専焼）（2030年）'!$BK$116)/'バイオマス（木質専焼）（2030年）'!$BL$116,"")</f>
        <v/>
      </c>
      <c r="BO65" s="72" t="str">
        <f t="shared" si="30"/>
        <v/>
      </c>
      <c r="BP65" s="39"/>
      <c r="BQ65" s="72" t="str">
        <f t="shared" si="46"/>
        <v/>
      </c>
      <c r="BR65" s="72" t="str">
        <f t="shared" si="31"/>
        <v/>
      </c>
    </row>
    <row r="66" spans="2:70" x14ac:dyDescent="0.15">
      <c r="I66" s="457">
        <f t="shared" si="32"/>
        <v>2081</v>
      </c>
      <c r="J66" s="71"/>
      <c r="K66" s="71">
        <f t="shared" si="33"/>
        <v>52</v>
      </c>
      <c r="L66" s="71"/>
      <c r="M66" s="7">
        <f t="shared" si="0"/>
        <v>0.215012800254269</v>
      </c>
      <c r="N66" s="71"/>
      <c r="O66" s="10" t="str">
        <f t="shared" si="16"/>
        <v/>
      </c>
      <c r="P66" s="29" t="str">
        <f t="shared" si="34"/>
        <v/>
      </c>
      <c r="Q66" s="71"/>
      <c r="R66" s="10" t="str">
        <f t="shared" si="47"/>
        <v/>
      </c>
      <c r="S66" s="71"/>
      <c r="T66" s="10" t="str">
        <f t="shared" si="18"/>
        <v/>
      </c>
      <c r="U66" s="71"/>
      <c r="V66" s="10" t="str">
        <f t="shared" si="35"/>
        <v/>
      </c>
      <c r="W66" s="10" t="str">
        <f t="shared" si="19"/>
        <v/>
      </c>
      <c r="X66" s="71"/>
      <c r="Y66" s="10" t="str">
        <f t="shared" si="36"/>
        <v/>
      </c>
      <c r="Z66" s="10" t="str">
        <f t="shared" si="20"/>
        <v/>
      </c>
      <c r="AA66" s="71"/>
      <c r="AB66" s="10" t="str">
        <f t="shared" si="4"/>
        <v/>
      </c>
      <c r="AC66" s="10" t="str">
        <f t="shared" si="21"/>
        <v/>
      </c>
      <c r="AD66" s="71"/>
      <c r="AE66" s="10" t="str">
        <f t="shared" si="37"/>
        <v/>
      </c>
      <c r="AF66" s="10" t="str">
        <f t="shared" si="22"/>
        <v/>
      </c>
      <c r="AG66" s="71"/>
      <c r="AH66" s="10" t="str">
        <f t="shared" si="38"/>
        <v/>
      </c>
      <c r="AI66" s="10" t="str">
        <f t="shared" si="23"/>
        <v/>
      </c>
      <c r="AJ66" s="71"/>
      <c r="AK66" s="10" t="str">
        <f t="shared" si="39"/>
        <v/>
      </c>
      <c r="AL66" s="10" t="str">
        <f t="shared" si="24"/>
        <v/>
      </c>
      <c r="AM66" s="71"/>
      <c r="AN66" s="10" t="str">
        <f t="shared" si="40"/>
        <v/>
      </c>
      <c r="AO66" s="10" t="str">
        <f t="shared" si="25"/>
        <v/>
      </c>
      <c r="AP66" s="71"/>
      <c r="AQ66" s="10" t="str">
        <f t="shared" si="41"/>
        <v/>
      </c>
      <c r="AR66" s="10" t="str">
        <f t="shared" si="26"/>
        <v/>
      </c>
      <c r="AS66" s="71"/>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U66" s="71"/>
      <c r="AV66" s="10" t="str">
        <f t="shared" si="42"/>
        <v/>
      </c>
      <c r="AW66" s="10" t="str">
        <f t="shared" si="11"/>
        <v/>
      </c>
      <c r="AX66" s="71"/>
      <c r="AY66" s="7" t="str">
        <f>IF(ISERROR(IF($K66&lt;=$F$15,VLOOKUP($I66,'表4）CO2価格'!$A$7:$E$67,VLOOKUP($F$48,'表4）CO2価格'!$H$10:$I$12,2,0),0)*$F$8/1000,"")),0,IF($K66&lt;=$F$15,VLOOKUP($I66,'表4）CO2価格'!$A$7:$E$67,VLOOKUP($F$48,'表4）CO2価格'!$H$10:$I$12,2,0),0)*$F$8/1000,""))</f>
        <v/>
      </c>
      <c r="AZ66" s="71"/>
      <c r="BA66" s="11" t="str">
        <f t="shared" si="43"/>
        <v/>
      </c>
      <c r="BB66" s="10" t="str">
        <f t="shared" si="27"/>
        <v/>
      </c>
      <c r="BC66" s="71"/>
      <c r="BD66" s="10" t="str">
        <f t="shared" si="44"/>
        <v/>
      </c>
      <c r="BE66" s="10" t="str">
        <f t="shared" si="28"/>
        <v/>
      </c>
      <c r="BF66" s="71"/>
      <c r="BG66" s="11" t="str">
        <f t="shared" si="45"/>
        <v/>
      </c>
      <c r="BH66" s="10" t="str">
        <f t="shared" si="29"/>
        <v/>
      </c>
      <c r="BJ66" s="7"/>
      <c r="BK66" s="158"/>
      <c r="BL66" s="158"/>
      <c r="BM66" s="10"/>
      <c r="BN66" s="10" t="str">
        <f>IF(AND(ISNUMBER($F$16),$K66&lt;=$F$16),BQ66*('バイオマス（木質専焼）（2030年）'!$O$15+'バイオマス（木質専焼）（2030年）'!$BK$116)/'バイオマス（木質専焼）（2030年）'!$BL$116,"")</f>
        <v/>
      </c>
      <c r="BO66" s="10" t="str">
        <f t="shared" si="30"/>
        <v/>
      </c>
      <c r="BQ66" s="10" t="str">
        <f t="shared" si="46"/>
        <v/>
      </c>
      <c r="BR66" s="10" t="str">
        <f t="shared" si="31"/>
        <v/>
      </c>
    </row>
    <row r="67" spans="2:70" ht="15.75" thickBot="1" x14ac:dyDescent="0.2">
      <c r="B67" s="5" t="s">
        <v>133</v>
      </c>
      <c r="C67" s="3"/>
      <c r="D67" s="102"/>
      <c r="E67" s="102"/>
      <c r="F67" s="3"/>
      <c r="G67" s="102"/>
      <c r="I67" s="38">
        <f t="shared" si="32"/>
        <v>2082</v>
      </c>
      <c r="J67" s="39"/>
      <c r="K67" s="39">
        <f t="shared" si="33"/>
        <v>53</v>
      </c>
      <c r="L67" s="39"/>
      <c r="M67" s="40">
        <f t="shared" si="0"/>
        <v>0.20875029150899907</v>
      </c>
      <c r="N67" s="39"/>
      <c r="O67" s="72" t="str">
        <f t="shared" si="16"/>
        <v/>
      </c>
      <c r="P67" s="41" t="str">
        <f t="shared" si="34"/>
        <v/>
      </c>
      <c r="Q67" s="39"/>
      <c r="R67" s="72" t="str">
        <f t="shared" si="47"/>
        <v/>
      </c>
      <c r="S67" s="39"/>
      <c r="T67" s="72" t="str">
        <f t="shared" si="18"/>
        <v/>
      </c>
      <c r="U67" s="39"/>
      <c r="V67" s="72" t="str">
        <f t="shared" si="35"/>
        <v/>
      </c>
      <c r="W67" s="72" t="str">
        <f t="shared" si="19"/>
        <v/>
      </c>
      <c r="X67" s="39"/>
      <c r="Y67" s="72" t="str">
        <f t="shared" si="36"/>
        <v/>
      </c>
      <c r="Z67" s="72" t="str">
        <f t="shared" si="20"/>
        <v/>
      </c>
      <c r="AA67" s="39"/>
      <c r="AB67" s="72" t="str">
        <f t="shared" si="4"/>
        <v/>
      </c>
      <c r="AC67" s="72" t="str">
        <f t="shared" si="21"/>
        <v/>
      </c>
      <c r="AD67" s="39"/>
      <c r="AE67" s="72" t="str">
        <f t="shared" si="37"/>
        <v/>
      </c>
      <c r="AF67" s="72" t="str">
        <f t="shared" si="22"/>
        <v/>
      </c>
      <c r="AG67" s="39"/>
      <c r="AH67" s="72" t="str">
        <f t="shared" si="38"/>
        <v/>
      </c>
      <c r="AI67" s="72" t="str">
        <f t="shared" si="23"/>
        <v/>
      </c>
      <c r="AJ67" s="39"/>
      <c r="AK67" s="72" t="str">
        <f t="shared" si="39"/>
        <v/>
      </c>
      <c r="AL67" s="72" t="str">
        <f t="shared" si="24"/>
        <v/>
      </c>
      <c r="AM67" s="39"/>
      <c r="AN67" s="72" t="str">
        <f t="shared" si="40"/>
        <v/>
      </c>
      <c r="AO67" s="72" t="str">
        <f t="shared" si="25"/>
        <v/>
      </c>
      <c r="AP67" s="39"/>
      <c r="AQ67" s="72" t="str">
        <f t="shared" si="41"/>
        <v/>
      </c>
      <c r="AR67" s="72" t="str">
        <f t="shared" si="26"/>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42"/>
        <v/>
      </c>
      <c r="AW67" s="72" t="str">
        <f t="shared" si="11"/>
        <v/>
      </c>
      <c r="AX67" s="39"/>
      <c r="AY67" s="40" t="str">
        <f>IF(ISERROR(IF($K67&lt;=$F$15,VLOOKUP($I67,'表4）CO2価格'!$A$7:$E$67,VLOOKUP($F$48,'表4）CO2価格'!$H$10:$I$12,2,0),0)*$F$8/1000,"")),0,IF($K67&lt;=$F$15,VLOOKUP($I67,'表4）CO2価格'!$A$7:$E$67,VLOOKUP($F$48,'表4）CO2価格'!$H$10:$I$12,2,0),0)*$F$8/1000,""))</f>
        <v/>
      </c>
      <c r="AZ67" s="39"/>
      <c r="BA67" s="42" t="str">
        <f t="shared" si="43"/>
        <v/>
      </c>
      <c r="BB67" s="72" t="str">
        <f t="shared" si="27"/>
        <v/>
      </c>
      <c r="BC67" s="39"/>
      <c r="BD67" s="72" t="str">
        <f t="shared" si="44"/>
        <v/>
      </c>
      <c r="BE67" s="72" t="str">
        <f t="shared" si="28"/>
        <v/>
      </c>
      <c r="BF67" s="39"/>
      <c r="BG67" s="42" t="str">
        <f t="shared" si="45"/>
        <v/>
      </c>
      <c r="BH67" s="72" t="str">
        <f t="shared" si="29"/>
        <v/>
      </c>
      <c r="BI67" s="39"/>
      <c r="BJ67" s="40"/>
      <c r="BK67" s="157"/>
      <c r="BL67" s="157"/>
      <c r="BM67" s="72"/>
      <c r="BN67" s="72" t="str">
        <f>IF(AND(ISNUMBER($F$16),$K67&lt;=$F$16),BQ67*('バイオマス（木質専焼）（2030年）'!$O$15+'バイオマス（木質専焼）（2030年）'!$BK$116)/'バイオマス（木質専焼）（2030年）'!$BL$116,"")</f>
        <v/>
      </c>
      <c r="BO67" s="72" t="str">
        <f t="shared" si="30"/>
        <v/>
      </c>
      <c r="BP67" s="39"/>
      <c r="BQ67" s="72" t="str">
        <f t="shared" si="46"/>
        <v/>
      </c>
      <c r="BR67" s="72" t="str">
        <f t="shared" si="31"/>
        <v/>
      </c>
    </row>
    <row r="68" spans="2:70" x14ac:dyDescent="0.15">
      <c r="I68" s="457">
        <f t="shared" si="32"/>
        <v>2083</v>
      </c>
      <c r="J68" s="71"/>
      <c r="K68" s="71">
        <f t="shared" si="33"/>
        <v>54</v>
      </c>
      <c r="L68" s="71"/>
      <c r="M68" s="7">
        <f t="shared" si="0"/>
        <v>0.20267018593106703</v>
      </c>
      <c r="N68" s="71"/>
      <c r="O68" s="10" t="str">
        <f t="shared" si="16"/>
        <v/>
      </c>
      <c r="P68" s="29" t="str">
        <f t="shared" si="34"/>
        <v/>
      </c>
      <c r="Q68" s="71"/>
      <c r="R68" s="10" t="str">
        <f t="shared" si="47"/>
        <v/>
      </c>
      <c r="S68" s="71"/>
      <c r="T68" s="10" t="str">
        <f t="shared" si="18"/>
        <v/>
      </c>
      <c r="U68" s="71"/>
      <c r="V68" s="10" t="str">
        <f t="shared" si="35"/>
        <v/>
      </c>
      <c r="W68" s="10" t="str">
        <f t="shared" si="19"/>
        <v/>
      </c>
      <c r="X68" s="71"/>
      <c r="Y68" s="10" t="str">
        <f t="shared" si="36"/>
        <v/>
      </c>
      <c r="Z68" s="10" t="str">
        <f t="shared" si="20"/>
        <v/>
      </c>
      <c r="AA68" s="71"/>
      <c r="AB68" s="10" t="str">
        <f t="shared" si="4"/>
        <v/>
      </c>
      <c r="AC68" s="10" t="str">
        <f t="shared" si="21"/>
        <v/>
      </c>
      <c r="AD68" s="71"/>
      <c r="AE68" s="10" t="str">
        <f t="shared" si="37"/>
        <v/>
      </c>
      <c r="AF68" s="10" t="str">
        <f t="shared" si="22"/>
        <v/>
      </c>
      <c r="AG68" s="71"/>
      <c r="AH68" s="10" t="str">
        <f t="shared" si="38"/>
        <v/>
      </c>
      <c r="AI68" s="10" t="str">
        <f t="shared" si="23"/>
        <v/>
      </c>
      <c r="AJ68" s="71"/>
      <c r="AK68" s="10" t="str">
        <f t="shared" si="39"/>
        <v/>
      </c>
      <c r="AL68" s="10" t="str">
        <f t="shared" si="24"/>
        <v/>
      </c>
      <c r="AM68" s="71"/>
      <c r="AN68" s="10" t="str">
        <f t="shared" si="40"/>
        <v/>
      </c>
      <c r="AO68" s="10" t="str">
        <f t="shared" si="25"/>
        <v/>
      </c>
      <c r="AP68" s="71"/>
      <c r="AQ68" s="10" t="str">
        <f t="shared" si="41"/>
        <v/>
      </c>
      <c r="AR68" s="10" t="str">
        <f t="shared" si="26"/>
        <v/>
      </c>
      <c r="AS68" s="71"/>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U68" s="71"/>
      <c r="AV68" s="10" t="str">
        <f t="shared" si="42"/>
        <v/>
      </c>
      <c r="AW68" s="10" t="str">
        <f t="shared" si="11"/>
        <v/>
      </c>
      <c r="AX68" s="71"/>
      <c r="AY68" s="7" t="str">
        <f>IF(ISERROR(IF($K68&lt;=$F$15,VLOOKUP($I68,'表4）CO2価格'!$A$7:$E$67,VLOOKUP($F$48,'表4）CO2価格'!$H$10:$I$12,2,0),0)*$F$8/1000,"")),0,IF($K68&lt;=$F$15,VLOOKUP($I68,'表4）CO2価格'!$A$7:$E$67,VLOOKUP($F$48,'表4）CO2価格'!$H$10:$I$12,2,0),0)*$F$8/1000,""))</f>
        <v/>
      </c>
      <c r="AZ68" s="71"/>
      <c r="BA68" s="11" t="str">
        <f t="shared" si="43"/>
        <v/>
      </c>
      <c r="BB68" s="10" t="str">
        <f t="shared" si="27"/>
        <v/>
      </c>
      <c r="BC68" s="71"/>
      <c r="BD68" s="10" t="str">
        <f t="shared" si="44"/>
        <v/>
      </c>
      <c r="BE68" s="10" t="str">
        <f t="shared" si="28"/>
        <v/>
      </c>
      <c r="BF68" s="71"/>
      <c r="BG68" s="11" t="str">
        <f t="shared" si="45"/>
        <v/>
      </c>
      <c r="BH68" s="10" t="str">
        <f t="shared" si="29"/>
        <v/>
      </c>
      <c r="BJ68" s="7"/>
      <c r="BK68" s="158"/>
      <c r="BL68" s="158"/>
      <c r="BM68" s="10"/>
      <c r="BN68" s="10" t="str">
        <f>IF(AND(ISNUMBER($F$16),$K68&lt;=$F$16),BQ68*('バイオマス（木質専焼）（2030年）'!$O$15+'バイオマス（木質専焼）（2030年）'!$BK$116)/'バイオマス（木質専焼）（2030年）'!$BL$116,"")</f>
        <v/>
      </c>
      <c r="BO68" s="10" t="str">
        <f t="shared" si="30"/>
        <v/>
      </c>
      <c r="BQ68" s="10" t="str">
        <f t="shared" si="46"/>
        <v/>
      </c>
      <c r="BR68" s="10" t="str">
        <f t="shared" si="31"/>
        <v/>
      </c>
    </row>
    <row r="69" spans="2:70" x14ac:dyDescent="0.15">
      <c r="C69" s="483" t="s">
        <v>134</v>
      </c>
      <c r="D69" s="71"/>
      <c r="E69" s="71"/>
      <c r="F69" s="484">
        <f>SUBTOTAL(9,F74:F112)-F105</f>
        <v>13.676429161724737</v>
      </c>
      <c r="G69" s="71" t="s">
        <v>590</v>
      </c>
      <c r="I69" s="38">
        <f t="shared" si="32"/>
        <v>2084</v>
      </c>
      <c r="J69" s="39"/>
      <c r="K69" s="39">
        <f t="shared" si="33"/>
        <v>55</v>
      </c>
      <c r="L69" s="39"/>
      <c r="M69" s="40">
        <f t="shared" si="0"/>
        <v>0.19676717080686118</v>
      </c>
      <c r="N69" s="39"/>
      <c r="O69" s="72" t="str">
        <f t="shared" si="16"/>
        <v/>
      </c>
      <c r="P69" s="41" t="str">
        <f t="shared" si="34"/>
        <v/>
      </c>
      <c r="Q69" s="39"/>
      <c r="R69" s="72" t="str">
        <f t="shared" si="47"/>
        <v/>
      </c>
      <c r="S69" s="39"/>
      <c r="T69" s="72" t="str">
        <f t="shared" si="18"/>
        <v/>
      </c>
      <c r="U69" s="39"/>
      <c r="V69" s="72" t="str">
        <f t="shared" si="35"/>
        <v/>
      </c>
      <c r="W69" s="72" t="str">
        <f t="shared" si="19"/>
        <v/>
      </c>
      <c r="X69" s="39"/>
      <c r="Y69" s="72" t="str">
        <f t="shared" si="36"/>
        <v/>
      </c>
      <c r="Z69" s="72" t="str">
        <f t="shared" si="20"/>
        <v/>
      </c>
      <c r="AA69" s="39"/>
      <c r="AB69" s="72" t="str">
        <f t="shared" si="4"/>
        <v/>
      </c>
      <c r="AC69" s="72" t="str">
        <f t="shared" si="21"/>
        <v/>
      </c>
      <c r="AD69" s="39"/>
      <c r="AE69" s="72" t="str">
        <f t="shared" si="37"/>
        <v/>
      </c>
      <c r="AF69" s="72" t="str">
        <f t="shared" si="22"/>
        <v/>
      </c>
      <c r="AG69" s="39"/>
      <c r="AH69" s="72" t="str">
        <f t="shared" si="38"/>
        <v/>
      </c>
      <c r="AI69" s="72" t="str">
        <f t="shared" si="23"/>
        <v/>
      </c>
      <c r="AJ69" s="39"/>
      <c r="AK69" s="72" t="str">
        <f t="shared" si="39"/>
        <v/>
      </c>
      <c r="AL69" s="72" t="str">
        <f t="shared" si="24"/>
        <v/>
      </c>
      <c r="AM69" s="39"/>
      <c r="AN69" s="72" t="str">
        <f t="shared" si="40"/>
        <v/>
      </c>
      <c r="AO69" s="72" t="str">
        <f t="shared" si="25"/>
        <v/>
      </c>
      <c r="AP69" s="39"/>
      <c r="AQ69" s="72" t="str">
        <f t="shared" si="41"/>
        <v/>
      </c>
      <c r="AR69" s="72" t="str">
        <f t="shared" si="26"/>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42"/>
        <v/>
      </c>
      <c r="AW69" s="72" t="str">
        <f t="shared" si="11"/>
        <v/>
      </c>
      <c r="AX69" s="39"/>
      <c r="AY69" s="40" t="str">
        <f>IF(ISERROR(IF($K69&lt;=$F$15,VLOOKUP($I69,'表4）CO2価格'!$A$7:$E$67,VLOOKUP($F$48,'表4）CO2価格'!$H$10:$I$12,2,0),0)*$F$8/1000,"")),0,IF($K69&lt;=$F$15,VLOOKUP($I69,'表4）CO2価格'!$A$7:$E$67,VLOOKUP($F$48,'表4）CO2価格'!$H$10:$I$12,2,0),0)*$F$8/1000,""))</f>
        <v/>
      </c>
      <c r="AZ69" s="39"/>
      <c r="BA69" s="42" t="str">
        <f t="shared" si="43"/>
        <v/>
      </c>
      <c r="BB69" s="72" t="str">
        <f t="shared" si="27"/>
        <v/>
      </c>
      <c r="BC69" s="39"/>
      <c r="BD69" s="72" t="str">
        <f t="shared" si="44"/>
        <v/>
      </c>
      <c r="BE69" s="72" t="str">
        <f t="shared" si="28"/>
        <v/>
      </c>
      <c r="BF69" s="39"/>
      <c r="BG69" s="42" t="str">
        <f t="shared" si="45"/>
        <v/>
      </c>
      <c r="BH69" s="72" t="str">
        <f t="shared" si="29"/>
        <v/>
      </c>
      <c r="BI69" s="39"/>
      <c r="BJ69" s="40"/>
      <c r="BK69" s="157"/>
      <c r="BL69" s="157"/>
      <c r="BM69" s="72"/>
      <c r="BN69" s="72" t="str">
        <f>IF(AND(ISNUMBER($F$16),$K69&lt;=$F$16),BQ69*('バイオマス（木質専焼）（2030年）'!$O$15+'バイオマス（木質専焼）（2030年）'!$BK$116)/'バイオマス（木質専焼）（2030年）'!$BL$116,"")</f>
        <v/>
      </c>
      <c r="BO69" s="72" t="str">
        <f t="shared" si="30"/>
        <v/>
      </c>
      <c r="BP69" s="39"/>
      <c r="BQ69" s="72" t="str">
        <f t="shared" si="46"/>
        <v/>
      </c>
      <c r="BR69" s="72" t="str">
        <f t="shared" si="31"/>
        <v/>
      </c>
    </row>
    <row r="70" spans="2:70" x14ac:dyDescent="0.15">
      <c r="C70" s="483" t="s">
        <v>135</v>
      </c>
      <c r="D70" s="71"/>
      <c r="E70" s="71"/>
      <c r="F70" s="484">
        <f ca="1">MAX(17.79*0.03/(17.79*0.03+25.97*0.97)*SUM($Z$117,$AF$117,$AI$117,$AL$117,$AO$117,$AR$117,$AW$117,$BB$117,$BE$117,$BH$117,$BO$116)/$BR$116+25.97*0.97/(17.79*0.03+25.97*0.97)*F69+$F$105,SUBTOTAL(9,F74:F112))</f>
        <v>14.145152828179278</v>
      </c>
      <c r="G70" s="71" t="s">
        <v>590</v>
      </c>
      <c r="I70" s="457">
        <f t="shared" si="32"/>
        <v>2085</v>
      </c>
      <c r="J70" s="71"/>
      <c r="K70" s="71">
        <f t="shared" si="33"/>
        <v>56</v>
      </c>
      <c r="L70" s="71"/>
      <c r="M70" s="7">
        <f t="shared" si="0"/>
        <v>0.19103608816200118</v>
      </c>
      <c r="N70" s="71"/>
      <c r="O70" s="10" t="str">
        <f t="shared" si="16"/>
        <v/>
      </c>
      <c r="P70" s="29" t="str">
        <f t="shared" si="34"/>
        <v/>
      </c>
      <c r="Q70" s="71"/>
      <c r="R70" s="10" t="str">
        <f t="shared" si="47"/>
        <v/>
      </c>
      <c r="S70" s="71"/>
      <c r="T70" s="10" t="str">
        <f t="shared" si="18"/>
        <v/>
      </c>
      <c r="U70" s="71"/>
      <c r="V70" s="10" t="str">
        <f t="shared" si="35"/>
        <v/>
      </c>
      <c r="W70" s="10" t="str">
        <f t="shared" si="19"/>
        <v/>
      </c>
      <c r="X70" s="71"/>
      <c r="Y70" s="10" t="str">
        <f t="shared" si="36"/>
        <v/>
      </c>
      <c r="Z70" s="10" t="str">
        <f t="shared" si="20"/>
        <v/>
      </c>
      <c r="AA70" s="71"/>
      <c r="AB70" s="10" t="str">
        <f t="shared" si="4"/>
        <v/>
      </c>
      <c r="AC70" s="10" t="str">
        <f t="shared" si="21"/>
        <v/>
      </c>
      <c r="AD70" s="71"/>
      <c r="AE70" s="10" t="str">
        <f t="shared" si="37"/>
        <v/>
      </c>
      <c r="AF70" s="10" t="str">
        <f t="shared" si="22"/>
        <v/>
      </c>
      <c r="AG70" s="71"/>
      <c r="AH70" s="10" t="str">
        <f t="shared" si="38"/>
        <v/>
      </c>
      <c r="AI70" s="10" t="str">
        <f t="shared" si="23"/>
        <v/>
      </c>
      <c r="AJ70" s="71"/>
      <c r="AK70" s="10" t="str">
        <f t="shared" si="39"/>
        <v/>
      </c>
      <c r="AL70" s="10" t="str">
        <f t="shared" si="24"/>
        <v/>
      </c>
      <c r="AM70" s="71"/>
      <c r="AN70" s="10" t="str">
        <f t="shared" si="40"/>
        <v/>
      </c>
      <c r="AO70" s="10" t="str">
        <f t="shared" si="25"/>
        <v/>
      </c>
      <c r="AP70" s="71"/>
      <c r="AQ70" s="10" t="str">
        <f t="shared" si="41"/>
        <v/>
      </c>
      <c r="AR70" s="10" t="str">
        <f t="shared" si="26"/>
        <v/>
      </c>
      <c r="AS70" s="71"/>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U70" s="71"/>
      <c r="AV70" s="10" t="str">
        <f t="shared" si="42"/>
        <v/>
      </c>
      <c r="AW70" s="10" t="str">
        <f t="shared" si="11"/>
        <v/>
      </c>
      <c r="AX70" s="71"/>
      <c r="AY70" s="7" t="str">
        <f>IF(ISERROR(IF($K70&lt;=$F$15,VLOOKUP($I70,'表4）CO2価格'!$A$7:$E$67,VLOOKUP($F$48,'表4）CO2価格'!$H$10:$I$12,2,0),0)*$F$8/1000,"")),0,IF($K70&lt;=$F$15,VLOOKUP($I70,'表4）CO2価格'!$A$7:$E$67,VLOOKUP($F$48,'表4）CO2価格'!$H$10:$I$12,2,0),0)*$F$8/1000,""))</f>
        <v/>
      </c>
      <c r="AZ70" s="71"/>
      <c r="BA70" s="11" t="str">
        <f t="shared" si="43"/>
        <v/>
      </c>
      <c r="BB70" s="10" t="str">
        <f t="shared" si="27"/>
        <v/>
      </c>
      <c r="BC70" s="71"/>
      <c r="BD70" s="10" t="str">
        <f t="shared" si="44"/>
        <v/>
      </c>
      <c r="BE70" s="10" t="str">
        <f t="shared" si="28"/>
        <v/>
      </c>
      <c r="BF70" s="71"/>
      <c r="BG70" s="11" t="str">
        <f t="shared" si="45"/>
        <v/>
      </c>
      <c r="BH70" s="10" t="str">
        <f t="shared" si="29"/>
        <v/>
      </c>
      <c r="BJ70" s="7"/>
      <c r="BK70" s="158"/>
      <c r="BL70" s="158"/>
      <c r="BM70" s="10"/>
      <c r="BN70" s="10" t="str">
        <f>IF(AND(ISNUMBER($F$16),$K70&lt;=$F$16),BQ70*('バイオマス（木質専焼）（2030年）'!$O$15+'バイオマス（木質専焼）（2030年）'!$BK$116)/'バイオマス（木質専焼）（2030年）'!$BL$116,"")</f>
        <v/>
      </c>
      <c r="BO70" s="10" t="str">
        <f t="shared" si="30"/>
        <v/>
      </c>
      <c r="BQ70" s="10" t="str">
        <f t="shared" si="46"/>
        <v/>
      </c>
      <c r="BR70" s="10" t="str">
        <f t="shared" si="31"/>
        <v/>
      </c>
    </row>
    <row r="71" spans="2:70" x14ac:dyDescent="0.15">
      <c r="F71" s="485"/>
      <c r="I71" s="38">
        <f t="shared" si="32"/>
        <v>2086</v>
      </c>
      <c r="J71" s="39"/>
      <c r="K71" s="39">
        <f t="shared" si="33"/>
        <v>57</v>
      </c>
      <c r="L71" s="39"/>
      <c r="M71" s="40">
        <f t="shared" si="0"/>
        <v>0.18547193025437006</v>
      </c>
      <c r="N71" s="39"/>
      <c r="O71" s="72" t="str">
        <f t="shared" si="16"/>
        <v/>
      </c>
      <c r="P71" s="41" t="str">
        <f t="shared" si="34"/>
        <v/>
      </c>
      <c r="Q71" s="39"/>
      <c r="R71" s="72" t="str">
        <f t="shared" si="47"/>
        <v/>
      </c>
      <c r="S71" s="39"/>
      <c r="T71" s="72" t="str">
        <f t="shared" si="18"/>
        <v/>
      </c>
      <c r="U71" s="39"/>
      <c r="V71" s="72" t="str">
        <f t="shared" si="35"/>
        <v/>
      </c>
      <c r="W71" s="72" t="str">
        <f t="shared" si="19"/>
        <v/>
      </c>
      <c r="X71" s="39"/>
      <c r="Y71" s="72" t="str">
        <f t="shared" si="36"/>
        <v/>
      </c>
      <c r="Z71" s="72" t="str">
        <f t="shared" si="20"/>
        <v/>
      </c>
      <c r="AA71" s="39"/>
      <c r="AB71" s="72" t="str">
        <f t="shared" si="4"/>
        <v/>
      </c>
      <c r="AC71" s="72" t="str">
        <f t="shared" si="21"/>
        <v/>
      </c>
      <c r="AD71" s="39"/>
      <c r="AE71" s="72" t="str">
        <f t="shared" si="37"/>
        <v/>
      </c>
      <c r="AF71" s="72" t="str">
        <f t="shared" si="22"/>
        <v/>
      </c>
      <c r="AG71" s="39"/>
      <c r="AH71" s="72" t="str">
        <f t="shared" si="38"/>
        <v/>
      </c>
      <c r="AI71" s="72" t="str">
        <f t="shared" si="23"/>
        <v/>
      </c>
      <c r="AJ71" s="39"/>
      <c r="AK71" s="72" t="str">
        <f t="shared" si="39"/>
        <v/>
      </c>
      <c r="AL71" s="72" t="str">
        <f t="shared" si="24"/>
        <v/>
      </c>
      <c r="AM71" s="39"/>
      <c r="AN71" s="72" t="str">
        <f t="shared" si="40"/>
        <v/>
      </c>
      <c r="AO71" s="72" t="str">
        <f t="shared" si="25"/>
        <v/>
      </c>
      <c r="AP71" s="39"/>
      <c r="AQ71" s="72" t="str">
        <f t="shared" si="41"/>
        <v/>
      </c>
      <c r="AR71" s="72" t="str">
        <f t="shared" si="26"/>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42"/>
        <v/>
      </c>
      <c r="AW71" s="72" t="str">
        <f t="shared" si="11"/>
        <v/>
      </c>
      <c r="AX71" s="39"/>
      <c r="AY71" s="40" t="str">
        <f>IF(ISERROR(IF($K71&lt;=$F$15,VLOOKUP($I71,'表4）CO2価格'!$A$7:$E$67,VLOOKUP($F$48,'表4）CO2価格'!$H$10:$I$12,2,0),0)*$F$8/1000,"")),0,IF($K71&lt;=$F$15,VLOOKUP($I71,'表4）CO2価格'!$A$7:$E$67,VLOOKUP($F$48,'表4）CO2価格'!$H$10:$I$12,2,0),0)*$F$8/1000,""))</f>
        <v/>
      </c>
      <c r="AZ71" s="39"/>
      <c r="BA71" s="42" t="str">
        <f t="shared" si="43"/>
        <v/>
      </c>
      <c r="BB71" s="72" t="str">
        <f t="shared" si="27"/>
        <v/>
      </c>
      <c r="BC71" s="39"/>
      <c r="BD71" s="72" t="str">
        <f t="shared" si="44"/>
        <v/>
      </c>
      <c r="BE71" s="72" t="str">
        <f t="shared" si="28"/>
        <v/>
      </c>
      <c r="BF71" s="39"/>
      <c r="BG71" s="42" t="str">
        <f t="shared" si="45"/>
        <v/>
      </c>
      <c r="BH71" s="72" t="str">
        <f t="shared" si="29"/>
        <v/>
      </c>
      <c r="BI71" s="39"/>
      <c r="BJ71" s="40"/>
      <c r="BK71" s="157"/>
      <c r="BL71" s="157"/>
      <c r="BM71" s="72"/>
      <c r="BN71" s="72" t="str">
        <f>IF(AND(ISNUMBER($F$16),$K71&lt;=$F$16),BQ71*('バイオマス（木質専焼）（2030年）'!$O$15+'バイオマス（木質専焼）（2030年）'!$BK$116)/'バイオマス（木質専焼）（2030年）'!$BL$116,"")</f>
        <v/>
      </c>
      <c r="BO71" s="72" t="str">
        <f t="shared" si="30"/>
        <v/>
      </c>
      <c r="BP71" s="39"/>
      <c r="BQ71" s="72" t="str">
        <f t="shared" si="46"/>
        <v/>
      </c>
      <c r="BR71" s="72" t="str">
        <f t="shared" si="31"/>
        <v/>
      </c>
    </row>
    <row r="72" spans="2:70" x14ac:dyDescent="0.15">
      <c r="C72" s="4" t="s">
        <v>136</v>
      </c>
      <c r="D72" s="100"/>
      <c r="E72" s="100"/>
      <c r="F72" s="486"/>
      <c r="G72" s="100"/>
      <c r="I72" s="457">
        <f t="shared" si="32"/>
        <v>2087</v>
      </c>
      <c r="J72" s="71"/>
      <c r="K72" s="71">
        <f t="shared" si="33"/>
        <v>58</v>
      </c>
      <c r="L72" s="71"/>
      <c r="M72" s="7">
        <f t="shared" si="0"/>
        <v>0.18006983519841754</v>
      </c>
      <c r="N72" s="71"/>
      <c r="O72" s="10" t="str">
        <f t="shared" si="16"/>
        <v/>
      </c>
      <c r="P72" s="29" t="str">
        <f t="shared" si="34"/>
        <v/>
      </c>
      <c r="Q72" s="71"/>
      <c r="R72" s="10" t="str">
        <f t="shared" si="47"/>
        <v/>
      </c>
      <c r="S72" s="71"/>
      <c r="T72" s="10" t="str">
        <f t="shared" si="18"/>
        <v/>
      </c>
      <c r="U72" s="71"/>
      <c r="V72" s="10" t="str">
        <f t="shared" si="35"/>
        <v/>
      </c>
      <c r="W72" s="10" t="str">
        <f t="shared" si="19"/>
        <v/>
      </c>
      <c r="X72" s="71"/>
      <c r="Y72" s="10" t="str">
        <f t="shared" si="36"/>
        <v/>
      </c>
      <c r="Z72" s="10" t="str">
        <f t="shared" si="20"/>
        <v/>
      </c>
      <c r="AA72" s="71"/>
      <c r="AB72" s="10" t="str">
        <f t="shared" si="4"/>
        <v/>
      </c>
      <c r="AC72" s="10" t="str">
        <f t="shared" si="21"/>
        <v/>
      </c>
      <c r="AD72" s="71"/>
      <c r="AE72" s="10" t="str">
        <f t="shared" si="37"/>
        <v/>
      </c>
      <c r="AF72" s="10" t="str">
        <f t="shared" si="22"/>
        <v/>
      </c>
      <c r="AG72" s="71"/>
      <c r="AH72" s="10" t="str">
        <f t="shared" si="38"/>
        <v/>
      </c>
      <c r="AI72" s="10" t="str">
        <f t="shared" si="23"/>
        <v/>
      </c>
      <c r="AJ72" s="71"/>
      <c r="AK72" s="10" t="str">
        <f t="shared" si="39"/>
        <v/>
      </c>
      <c r="AL72" s="10" t="str">
        <f t="shared" si="24"/>
        <v/>
      </c>
      <c r="AM72" s="71"/>
      <c r="AN72" s="10" t="str">
        <f t="shared" si="40"/>
        <v/>
      </c>
      <c r="AO72" s="10" t="str">
        <f t="shared" si="25"/>
        <v/>
      </c>
      <c r="AP72" s="71"/>
      <c r="AQ72" s="10" t="str">
        <f t="shared" si="41"/>
        <v/>
      </c>
      <c r="AR72" s="10" t="str">
        <f t="shared" si="26"/>
        <v/>
      </c>
      <c r="AS72" s="71"/>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U72" s="71"/>
      <c r="AV72" s="10" t="str">
        <f t="shared" si="42"/>
        <v/>
      </c>
      <c r="AW72" s="10" t="str">
        <f t="shared" si="11"/>
        <v/>
      </c>
      <c r="AX72" s="71"/>
      <c r="AY72" s="7" t="str">
        <f>IF(ISERROR(IF($K72&lt;=$F$15,VLOOKUP($I72,'表4）CO2価格'!$A$7:$E$67,VLOOKUP($F$48,'表4）CO2価格'!$H$10:$I$12,2,0),0)*$F$8/1000,"")),0,IF($K72&lt;=$F$15,VLOOKUP($I72,'表4）CO2価格'!$A$7:$E$67,VLOOKUP($F$48,'表4）CO2価格'!$H$10:$I$12,2,0),0)*$F$8/1000,""))</f>
        <v/>
      </c>
      <c r="AZ72" s="71"/>
      <c r="BA72" s="11" t="str">
        <f t="shared" si="43"/>
        <v/>
      </c>
      <c r="BB72" s="10" t="str">
        <f t="shared" si="27"/>
        <v/>
      </c>
      <c r="BC72" s="71"/>
      <c r="BD72" s="10" t="str">
        <f t="shared" si="44"/>
        <v/>
      </c>
      <c r="BE72" s="10" t="str">
        <f t="shared" si="28"/>
        <v/>
      </c>
      <c r="BF72" s="71"/>
      <c r="BG72" s="11" t="str">
        <f t="shared" si="45"/>
        <v/>
      </c>
      <c r="BH72" s="10" t="str">
        <f t="shared" si="29"/>
        <v/>
      </c>
      <c r="BJ72" s="7"/>
      <c r="BK72" s="158"/>
      <c r="BL72" s="158"/>
      <c r="BM72" s="10"/>
      <c r="BN72" s="10" t="str">
        <f>IF(AND(ISNUMBER($F$16),$K72&lt;=$F$16),BQ72*('バイオマス（木質専焼）（2030年）'!$O$15+'バイオマス（木質専焼）（2030年）'!$BK$116)/'バイオマス（木質専焼）（2030年）'!$BL$116,"")</f>
        <v/>
      </c>
      <c r="BO72" s="10" t="str">
        <f t="shared" si="30"/>
        <v/>
      </c>
      <c r="BQ72" s="10" t="str">
        <f t="shared" si="46"/>
        <v/>
      </c>
      <c r="BR72" s="10" t="str">
        <f t="shared" si="31"/>
        <v/>
      </c>
    </row>
    <row r="73" spans="2:70" x14ac:dyDescent="0.15">
      <c r="F73" s="487"/>
      <c r="I73" s="38">
        <f t="shared" si="32"/>
        <v>2088</v>
      </c>
      <c r="J73" s="39"/>
      <c r="K73" s="39">
        <f t="shared" si="33"/>
        <v>59</v>
      </c>
      <c r="L73" s="39"/>
      <c r="M73" s="40">
        <f t="shared" si="0"/>
        <v>0.17482508271691022</v>
      </c>
      <c r="N73" s="39"/>
      <c r="O73" s="72" t="str">
        <f t="shared" si="16"/>
        <v/>
      </c>
      <c r="P73" s="41" t="str">
        <f t="shared" si="34"/>
        <v/>
      </c>
      <c r="Q73" s="39"/>
      <c r="R73" s="72" t="str">
        <f t="shared" si="47"/>
        <v/>
      </c>
      <c r="S73" s="39"/>
      <c r="T73" s="72" t="str">
        <f t="shared" si="18"/>
        <v/>
      </c>
      <c r="U73" s="39"/>
      <c r="V73" s="72" t="str">
        <f t="shared" si="35"/>
        <v/>
      </c>
      <c r="W73" s="72" t="str">
        <f t="shared" si="19"/>
        <v/>
      </c>
      <c r="X73" s="39"/>
      <c r="Y73" s="72" t="str">
        <f t="shared" si="36"/>
        <v/>
      </c>
      <c r="Z73" s="72" t="str">
        <f t="shared" si="20"/>
        <v/>
      </c>
      <c r="AA73" s="39"/>
      <c r="AB73" s="72" t="str">
        <f t="shared" si="4"/>
        <v/>
      </c>
      <c r="AC73" s="72" t="str">
        <f t="shared" si="21"/>
        <v/>
      </c>
      <c r="AD73" s="39"/>
      <c r="AE73" s="72" t="str">
        <f t="shared" si="37"/>
        <v/>
      </c>
      <c r="AF73" s="72" t="str">
        <f t="shared" si="22"/>
        <v/>
      </c>
      <c r="AG73" s="39"/>
      <c r="AH73" s="72" t="str">
        <f t="shared" si="38"/>
        <v/>
      </c>
      <c r="AI73" s="72" t="str">
        <f t="shared" si="23"/>
        <v/>
      </c>
      <c r="AJ73" s="39"/>
      <c r="AK73" s="72" t="str">
        <f t="shared" si="39"/>
        <v/>
      </c>
      <c r="AL73" s="72" t="str">
        <f t="shared" si="24"/>
        <v/>
      </c>
      <c r="AM73" s="39"/>
      <c r="AN73" s="72" t="str">
        <f t="shared" si="40"/>
        <v/>
      </c>
      <c r="AO73" s="72" t="str">
        <f t="shared" si="25"/>
        <v/>
      </c>
      <c r="AP73" s="39"/>
      <c r="AQ73" s="72" t="str">
        <f t="shared" si="41"/>
        <v/>
      </c>
      <c r="AR73" s="72" t="str">
        <f t="shared" si="26"/>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42"/>
        <v/>
      </c>
      <c r="AW73" s="72" t="str">
        <f t="shared" si="11"/>
        <v/>
      </c>
      <c r="AX73" s="39"/>
      <c r="AY73" s="40" t="str">
        <f>IF(ISERROR(IF($K73&lt;=$F$15,VLOOKUP($I73,'表4）CO2価格'!$A$7:$E$67,VLOOKUP($F$48,'表4）CO2価格'!$H$10:$I$12,2,0),0)*$F$8/1000,"")),0,IF($K73&lt;=$F$15,VLOOKUP($I73,'表4）CO2価格'!$A$7:$E$67,VLOOKUP($F$48,'表4）CO2価格'!$H$10:$I$12,2,0),0)*$F$8/1000,""))</f>
        <v/>
      </c>
      <c r="AZ73" s="39"/>
      <c r="BA73" s="42" t="str">
        <f t="shared" si="43"/>
        <v/>
      </c>
      <c r="BB73" s="72" t="str">
        <f t="shared" si="27"/>
        <v/>
      </c>
      <c r="BC73" s="39"/>
      <c r="BD73" s="72" t="str">
        <f t="shared" si="44"/>
        <v/>
      </c>
      <c r="BE73" s="72" t="str">
        <f t="shared" si="28"/>
        <v/>
      </c>
      <c r="BF73" s="39"/>
      <c r="BG73" s="42" t="str">
        <f t="shared" si="45"/>
        <v/>
      </c>
      <c r="BH73" s="72" t="str">
        <f t="shared" si="29"/>
        <v/>
      </c>
      <c r="BI73" s="39"/>
      <c r="BJ73" s="40"/>
      <c r="BK73" s="157"/>
      <c r="BL73" s="157"/>
      <c r="BM73" s="72"/>
      <c r="BN73" s="72" t="str">
        <f>IF(AND(ISNUMBER($F$16),$K73&lt;=$F$16),BQ73*('バイオマス（木質専焼）（2030年）'!$O$15+'バイオマス（木質専焼）（2030年）'!$BK$116)/'バイオマス（木質専焼）（2030年）'!$BL$116,"")</f>
        <v/>
      </c>
      <c r="BO73" s="72" t="str">
        <f t="shared" si="30"/>
        <v/>
      </c>
      <c r="BP73" s="39"/>
      <c r="BQ73" s="72" t="str">
        <f t="shared" si="46"/>
        <v/>
      </c>
      <c r="BR73" s="72" t="str">
        <f t="shared" si="31"/>
        <v/>
      </c>
    </row>
    <row r="74" spans="2:70" ht="15" x14ac:dyDescent="0.15">
      <c r="D74" s="103" t="s">
        <v>591</v>
      </c>
      <c r="F74" s="484">
        <f>SUBTOTAL(9,F78:F81)</f>
        <v>2.0937976275763592</v>
      </c>
      <c r="G74" s="84" t="s">
        <v>590</v>
      </c>
      <c r="I74" s="457">
        <f t="shared" si="32"/>
        <v>2089</v>
      </c>
      <c r="J74" s="71"/>
      <c r="K74" s="71">
        <f t="shared" si="33"/>
        <v>60</v>
      </c>
      <c r="L74" s="71"/>
      <c r="M74" s="7">
        <f t="shared" si="0"/>
        <v>0.1697330900164177</v>
      </c>
      <c r="N74" s="71"/>
      <c r="O74" s="10" t="str">
        <f t="shared" si="16"/>
        <v/>
      </c>
      <c r="P74" s="29" t="str">
        <f t="shared" si="34"/>
        <v/>
      </c>
      <c r="Q74" s="71"/>
      <c r="R74" s="10" t="str">
        <f t="shared" si="47"/>
        <v/>
      </c>
      <c r="S74" s="71"/>
      <c r="T74" s="10" t="str">
        <f t="shared" si="18"/>
        <v/>
      </c>
      <c r="U74" s="71"/>
      <c r="V74" s="10" t="str">
        <f t="shared" si="35"/>
        <v/>
      </c>
      <c r="W74" s="10" t="str">
        <f t="shared" si="19"/>
        <v/>
      </c>
      <c r="X74" s="71"/>
      <c r="Y74" s="10" t="str">
        <f t="shared" si="36"/>
        <v/>
      </c>
      <c r="Z74" s="10" t="str">
        <f t="shared" si="20"/>
        <v/>
      </c>
      <c r="AA74" s="71"/>
      <c r="AB74" s="10" t="str">
        <f t="shared" si="4"/>
        <v/>
      </c>
      <c r="AC74" s="10" t="str">
        <f t="shared" si="21"/>
        <v/>
      </c>
      <c r="AD74" s="71"/>
      <c r="AE74" s="10" t="str">
        <f t="shared" si="37"/>
        <v/>
      </c>
      <c r="AF74" s="10" t="str">
        <f t="shared" si="22"/>
        <v/>
      </c>
      <c r="AG74" s="71"/>
      <c r="AH74" s="10" t="str">
        <f t="shared" si="38"/>
        <v/>
      </c>
      <c r="AI74" s="10" t="str">
        <f t="shared" si="23"/>
        <v/>
      </c>
      <c r="AJ74" s="71"/>
      <c r="AK74" s="10" t="str">
        <f t="shared" si="39"/>
        <v/>
      </c>
      <c r="AL74" s="10" t="str">
        <f t="shared" si="24"/>
        <v/>
      </c>
      <c r="AM74" s="71"/>
      <c r="AN74" s="10" t="str">
        <f t="shared" si="40"/>
        <v/>
      </c>
      <c r="AO74" s="10" t="str">
        <f t="shared" si="25"/>
        <v/>
      </c>
      <c r="AP74" s="71"/>
      <c r="AQ74" s="10" t="str">
        <f t="shared" si="41"/>
        <v/>
      </c>
      <c r="AR74" s="10" t="str">
        <f t="shared" si="26"/>
        <v/>
      </c>
      <c r="AS74" s="71"/>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U74" s="71"/>
      <c r="AV74" s="10" t="str">
        <f t="shared" si="42"/>
        <v/>
      </c>
      <c r="AW74" s="10" t="str">
        <f t="shared" si="11"/>
        <v/>
      </c>
      <c r="AX74" s="71"/>
      <c r="AY74" s="7" t="str">
        <f>IF(ISERROR(IF($K74&lt;=$F$15,VLOOKUP($I74,'表4）CO2価格'!$A$7:$E$67,VLOOKUP($F$48,'表4）CO2価格'!$H$10:$I$12,2,0),0)*$F$8/1000,"")),0,IF($K74&lt;=$F$15,VLOOKUP($I74,'表4）CO2価格'!$A$7:$E$67,VLOOKUP($F$48,'表4）CO2価格'!$H$10:$I$12,2,0),0)*$F$8/1000,""))</f>
        <v/>
      </c>
      <c r="AZ74" s="71"/>
      <c r="BA74" s="11" t="str">
        <f t="shared" si="43"/>
        <v/>
      </c>
      <c r="BB74" s="10" t="str">
        <f t="shared" si="27"/>
        <v/>
      </c>
      <c r="BC74" s="71"/>
      <c r="BD74" s="10" t="str">
        <f t="shared" si="44"/>
        <v/>
      </c>
      <c r="BE74" s="10" t="str">
        <f t="shared" si="28"/>
        <v/>
      </c>
      <c r="BF74" s="71"/>
      <c r="BG74" s="11" t="str">
        <f t="shared" si="45"/>
        <v/>
      </c>
      <c r="BH74" s="10" t="str">
        <f t="shared" si="29"/>
        <v/>
      </c>
      <c r="BJ74" s="7"/>
      <c r="BK74" s="158"/>
      <c r="BL74" s="158"/>
      <c r="BM74" s="10"/>
      <c r="BN74" s="10" t="str">
        <f>IF(AND(ISNUMBER($F$16),$K74&lt;=$F$16),BQ74*('バイオマス（木質専焼）（2030年）'!$O$15+'バイオマス（木質専焼）（2030年）'!$BK$116)/'バイオマス（木質専焼）（2030年）'!$BL$116,"")</f>
        <v/>
      </c>
      <c r="BO74" s="10" t="str">
        <f t="shared" si="30"/>
        <v/>
      </c>
      <c r="BQ74" s="10" t="str">
        <f t="shared" si="46"/>
        <v/>
      </c>
      <c r="BR74" s="10" t="str">
        <f t="shared" si="31"/>
        <v/>
      </c>
    </row>
    <row r="75" spans="2:70" x14ac:dyDescent="0.15">
      <c r="F75" s="487"/>
      <c r="I75" s="38">
        <f t="shared" si="32"/>
        <v>2090</v>
      </c>
      <c r="J75" s="39"/>
      <c r="K75" s="39">
        <f t="shared" si="33"/>
        <v>61</v>
      </c>
      <c r="L75" s="39"/>
      <c r="M75" s="40">
        <f t="shared" si="0"/>
        <v>0.16478940778292983</v>
      </c>
      <c r="N75" s="39"/>
      <c r="O75" s="72" t="str">
        <f t="shared" si="16"/>
        <v/>
      </c>
      <c r="P75" s="41" t="str">
        <f t="shared" si="34"/>
        <v/>
      </c>
      <c r="Q75" s="39"/>
      <c r="R75" s="72" t="str">
        <f t="shared" si="47"/>
        <v/>
      </c>
      <c r="S75" s="39"/>
      <c r="T75" s="72" t="str">
        <f t="shared" si="18"/>
        <v/>
      </c>
      <c r="U75" s="39"/>
      <c r="V75" s="72" t="str">
        <f t="shared" si="35"/>
        <v/>
      </c>
      <c r="W75" s="72" t="str">
        <f t="shared" si="19"/>
        <v/>
      </c>
      <c r="X75" s="39"/>
      <c r="Y75" s="72" t="str">
        <f t="shared" si="36"/>
        <v/>
      </c>
      <c r="Z75" s="72" t="str">
        <f t="shared" si="20"/>
        <v/>
      </c>
      <c r="AA75" s="39"/>
      <c r="AB75" s="72" t="str">
        <f t="shared" si="4"/>
        <v/>
      </c>
      <c r="AC75" s="72" t="str">
        <f t="shared" si="21"/>
        <v/>
      </c>
      <c r="AD75" s="39"/>
      <c r="AE75" s="72" t="str">
        <f t="shared" si="37"/>
        <v/>
      </c>
      <c r="AF75" s="72" t="str">
        <f t="shared" si="22"/>
        <v/>
      </c>
      <c r="AG75" s="39"/>
      <c r="AH75" s="72" t="str">
        <f t="shared" si="38"/>
        <v/>
      </c>
      <c r="AI75" s="72" t="str">
        <f t="shared" si="23"/>
        <v/>
      </c>
      <c r="AJ75" s="39"/>
      <c r="AK75" s="72" t="str">
        <f t="shared" si="39"/>
        <v/>
      </c>
      <c r="AL75" s="72" t="str">
        <f t="shared" si="24"/>
        <v/>
      </c>
      <c r="AM75" s="39"/>
      <c r="AN75" s="72" t="str">
        <f t="shared" si="40"/>
        <v/>
      </c>
      <c r="AO75" s="72" t="str">
        <f t="shared" si="25"/>
        <v/>
      </c>
      <c r="AP75" s="39"/>
      <c r="AQ75" s="72" t="str">
        <f t="shared" si="41"/>
        <v/>
      </c>
      <c r="AR75" s="72" t="str">
        <f t="shared" si="26"/>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42"/>
        <v/>
      </c>
      <c r="AW75" s="72" t="str">
        <f t="shared" si="11"/>
        <v/>
      </c>
      <c r="AX75" s="39"/>
      <c r="AY75" s="40" t="str">
        <f>IF(ISERROR(IF($K75&lt;=$F$15,VLOOKUP($I75,'表4）CO2価格'!$A$7:$E$67,VLOOKUP($F$48,'表4）CO2価格'!$H$10:$I$12,2,0),0)*$F$8/1000,"")),0,IF($K75&lt;=$F$15,VLOOKUP($I75,'表4）CO2価格'!$A$7:$E$67,VLOOKUP($F$48,'表4）CO2価格'!$H$10:$I$12,2,0),0)*$F$8/1000,""))</f>
        <v/>
      </c>
      <c r="AZ75" s="39"/>
      <c r="BA75" s="42" t="str">
        <f t="shared" si="43"/>
        <v/>
      </c>
      <c r="BB75" s="72" t="str">
        <f t="shared" si="27"/>
        <v/>
      </c>
      <c r="BC75" s="39"/>
      <c r="BD75" s="72" t="str">
        <f t="shared" si="44"/>
        <v/>
      </c>
      <c r="BE75" s="72" t="str">
        <f t="shared" si="28"/>
        <v/>
      </c>
      <c r="BF75" s="39"/>
      <c r="BG75" s="42" t="str">
        <f t="shared" si="45"/>
        <v/>
      </c>
      <c r="BH75" s="72" t="str">
        <f t="shared" si="29"/>
        <v/>
      </c>
      <c r="BI75" s="39"/>
      <c r="BJ75" s="40"/>
      <c r="BK75" s="157"/>
      <c r="BL75" s="157"/>
      <c r="BM75" s="72"/>
      <c r="BN75" s="72" t="str">
        <f>IF(AND(ISNUMBER($F$16),$K75&lt;=$F$16),BQ75*('バイオマス（木質専焼）（2030年）'!$O$15+'バイオマス（木質専焼）（2030年）'!$BK$116)/'バイオマス（木質専焼）（2030年）'!$BL$116,"")</f>
        <v/>
      </c>
      <c r="BO75" s="72" t="str">
        <f t="shared" si="30"/>
        <v/>
      </c>
      <c r="BP75" s="39"/>
      <c r="BQ75" s="72" t="str">
        <f t="shared" si="46"/>
        <v/>
      </c>
      <c r="BR75" s="72" t="str">
        <f t="shared" si="31"/>
        <v/>
      </c>
    </row>
    <row r="76" spans="2:70" x14ac:dyDescent="0.15">
      <c r="D76" s="100" t="s">
        <v>592</v>
      </c>
      <c r="E76" s="100"/>
      <c r="F76" s="486"/>
      <c r="G76" s="100"/>
      <c r="I76" s="457">
        <f t="shared" si="32"/>
        <v>2091</v>
      </c>
      <c r="J76" s="71"/>
      <c r="K76" s="71">
        <f t="shared" si="33"/>
        <v>62</v>
      </c>
      <c r="L76" s="71"/>
      <c r="M76" s="7">
        <f t="shared" si="0"/>
        <v>0.15998971629410663</v>
      </c>
      <c r="N76" s="71"/>
      <c r="O76" s="10" t="str">
        <f t="shared" si="16"/>
        <v/>
      </c>
      <c r="P76" s="29" t="str">
        <f t="shared" si="34"/>
        <v/>
      </c>
      <c r="Q76" s="71"/>
      <c r="R76" s="10" t="str">
        <f t="shared" si="47"/>
        <v/>
      </c>
      <c r="S76" s="71"/>
      <c r="T76" s="10" t="str">
        <f t="shared" si="18"/>
        <v/>
      </c>
      <c r="U76" s="71"/>
      <c r="V76" s="10" t="str">
        <f t="shared" si="35"/>
        <v/>
      </c>
      <c r="W76" s="10" t="str">
        <f t="shared" si="19"/>
        <v/>
      </c>
      <c r="X76" s="71"/>
      <c r="Y76" s="10" t="str">
        <f t="shared" si="36"/>
        <v/>
      </c>
      <c r="Z76" s="10" t="str">
        <f t="shared" si="20"/>
        <v/>
      </c>
      <c r="AA76" s="71"/>
      <c r="AB76" s="10" t="str">
        <f t="shared" si="4"/>
        <v/>
      </c>
      <c r="AC76" s="10" t="str">
        <f t="shared" si="21"/>
        <v/>
      </c>
      <c r="AD76" s="71"/>
      <c r="AE76" s="10" t="str">
        <f t="shared" si="37"/>
        <v/>
      </c>
      <c r="AF76" s="10" t="str">
        <f t="shared" si="22"/>
        <v/>
      </c>
      <c r="AG76" s="71"/>
      <c r="AH76" s="10" t="str">
        <f t="shared" si="38"/>
        <v/>
      </c>
      <c r="AI76" s="10" t="str">
        <f t="shared" si="23"/>
        <v/>
      </c>
      <c r="AJ76" s="71"/>
      <c r="AK76" s="10" t="str">
        <f t="shared" si="39"/>
        <v/>
      </c>
      <c r="AL76" s="10" t="str">
        <f t="shared" si="24"/>
        <v/>
      </c>
      <c r="AM76" s="71"/>
      <c r="AN76" s="10" t="str">
        <f t="shared" si="40"/>
        <v/>
      </c>
      <c r="AO76" s="10" t="str">
        <f t="shared" si="25"/>
        <v/>
      </c>
      <c r="AP76" s="71"/>
      <c r="AQ76" s="10" t="str">
        <f t="shared" si="41"/>
        <v/>
      </c>
      <c r="AR76" s="10" t="str">
        <f t="shared" si="26"/>
        <v/>
      </c>
      <c r="AS76" s="71"/>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U76" s="71"/>
      <c r="AV76" s="10" t="str">
        <f t="shared" si="42"/>
        <v/>
      </c>
      <c r="AW76" s="10" t="str">
        <f t="shared" si="11"/>
        <v/>
      </c>
      <c r="AX76" s="71"/>
      <c r="AY76" s="7" t="str">
        <f>IF(ISERROR(IF($K76&lt;=$F$15,VLOOKUP($I76,'表4）CO2価格'!$A$7:$E$67,VLOOKUP($F$48,'表4）CO2価格'!$H$10:$I$12,2,0),0)*$F$8/1000,"")),0,IF($K76&lt;=$F$15,VLOOKUP($I76,'表4）CO2価格'!$A$7:$E$67,VLOOKUP($F$48,'表4）CO2価格'!$H$10:$I$12,2,0),0)*$F$8/1000,""))</f>
        <v/>
      </c>
      <c r="AZ76" s="71"/>
      <c r="BA76" s="11" t="str">
        <f t="shared" si="43"/>
        <v/>
      </c>
      <c r="BB76" s="10" t="str">
        <f t="shared" si="27"/>
        <v/>
      </c>
      <c r="BC76" s="71"/>
      <c r="BD76" s="10" t="str">
        <f t="shared" si="44"/>
        <v/>
      </c>
      <c r="BE76" s="10" t="str">
        <f t="shared" si="28"/>
        <v/>
      </c>
      <c r="BF76" s="71"/>
      <c r="BG76" s="11" t="str">
        <f t="shared" si="45"/>
        <v/>
      </c>
      <c r="BH76" s="10" t="str">
        <f t="shared" si="29"/>
        <v/>
      </c>
      <c r="BJ76" s="7"/>
      <c r="BK76" s="158"/>
      <c r="BL76" s="158"/>
      <c r="BM76" s="10"/>
      <c r="BN76" s="10" t="str">
        <f>IF(AND(ISNUMBER($F$16),$K76&lt;=$F$16),BQ76*('バイオマス（木質専焼）（2030年）'!$O$15+'バイオマス（木質専焼）（2030年）'!$BK$116)/'バイオマス（木質専焼）（2030年）'!$BL$116,"")</f>
        <v/>
      </c>
      <c r="BO76" s="10" t="str">
        <f t="shared" si="30"/>
        <v/>
      </c>
      <c r="BQ76" s="10" t="str">
        <f t="shared" si="46"/>
        <v/>
      </c>
      <c r="BR76" s="10" t="str">
        <f t="shared" si="31"/>
        <v/>
      </c>
    </row>
    <row r="77" spans="2:70" x14ac:dyDescent="0.15">
      <c r="F77" s="487"/>
      <c r="I77" s="38">
        <f t="shared" si="32"/>
        <v>2092</v>
      </c>
      <c r="J77" s="39"/>
      <c r="K77" s="39">
        <f t="shared" si="33"/>
        <v>63</v>
      </c>
      <c r="L77" s="39"/>
      <c r="M77" s="40">
        <f t="shared" si="0"/>
        <v>0.15532982164476369</v>
      </c>
      <c r="N77" s="39"/>
      <c r="O77" s="72" t="str">
        <f t="shared" si="16"/>
        <v/>
      </c>
      <c r="P77" s="41" t="str">
        <f t="shared" si="34"/>
        <v/>
      </c>
      <c r="Q77" s="39"/>
      <c r="R77" s="72" t="str">
        <f t="shared" si="47"/>
        <v/>
      </c>
      <c r="S77" s="39"/>
      <c r="T77" s="72" t="str">
        <f t="shared" si="18"/>
        <v/>
      </c>
      <c r="U77" s="39"/>
      <c r="V77" s="72" t="str">
        <f t="shared" si="35"/>
        <v/>
      </c>
      <c r="W77" s="72" t="str">
        <f t="shared" si="19"/>
        <v/>
      </c>
      <c r="X77" s="39"/>
      <c r="Y77" s="72" t="str">
        <f t="shared" si="36"/>
        <v/>
      </c>
      <c r="Z77" s="72" t="str">
        <f t="shared" si="20"/>
        <v/>
      </c>
      <c r="AA77" s="39"/>
      <c r="AB77" s="72" t="str">
        <f t="shared" si="4"/>
        <v/>
      </c>
      <c r="AC77" s="72" t="str">
        <f t="shared" si="21"/>
        <v/>
      </c>
      <c r="AD77" s="39"/>
      <c r="AE77" s="72" t="str">
        <f t="shared" si="37"/>
        <v/>
      </c>
      <c r="AF77" s="72" t="str">
        <f t="shared" si="22"/>
        <v/>
      </c>
      <c r="AG77" s="39"/>
      <c r="AH77" s="72" t="str">
        <f t="shared" si="38"/>
        <v/>
      </c>
      <c r="AI77" s="72" t="str">
        <f t="shared" si="23"/>
        <v/>
      </c>
      <c r="AJ77" s="39"/>
      <c r="AK77" s="72" t="str">
        <f t="shared" si="39"/>
        <v/>
      </c>
      <c r="AL77" s="72" t="str">
        <f t="shared" si="24"/>
        <v/>
      </c>
      <c r="AM77" s="39"/>
      <c r="AN77" s="72" t="str">
        <f t="shared" si="40"/>
        <v/>
      </c>
      <c r="AO77" s="72" t="str">
        <f t="shared" si="25"/>
        <v/>
      </c>
      <c r="AP77" s="39"/>
      <c r="AQ77" s="72" t="str">
        <f t="shared" si="41"/>
        <v/>
      </c>
      <c r="AR77" s="72" t="str">
        <f t="shared" si="26"/>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42"/>
        <v/>
      </c>
      <c r="AW77" s="72" t="str">
        <f t="shared" si="11"/>
        <v/>
      </c>
      <c r="AX77" s="39"/>
      <c r="AY77" s="40" t="str">
        <f>IF(ISERROR(IF($K77&lt;=$F$15,VLOOKUP($I77,'表4）CO2価格'!$A$7:$E$67,VLOOKUP($F$48,'表4）CO2価格'!$H$10:$I$12,2,0),0)*$F$8/1000,"")),0,IF($K77&lt;=$F$15,VLOOKUP($I77,'表4）CO2価格'!$A$7:$E$67,VLOOKUP($F$48,'表4）CO2価格'!$H$10:$I$12,2,0),0)*$F$8/1000,""))</f>
        <v/>
      </c>
      <c r="AZ77" s="39"/>
      <c r="BA77" s="42" t="str">
        <f t="shared" si="43"/>
        <v/>
      </c>
      <c r="BB77" s="72" t="str">
        <f t="shared" si="27"/>
        <v/>
      </c>
      <c r="BC77" s="39"/>
      <c r="BD77" s="72" t="str">
        <f t="shared" si="44"/>
        <v/>
      </c>
      <c r="BE77" s="72" t="str">
        <f t="shared" si="28"/>
        <v/>
      </c>
      <c r="BF77" s="39"/>
      <c r="BG77" s="42" t="str">
        <f t="shared" si="45"/>
        <v/>
      </c>
      <c r="BH77" s="72" t="str">
        <f t="shared" si="29"/>
        <v/>
      </c>
      <c r="BI77" s="39"/>
      <c r="BJ77" s="40"/>
      <c r="BK77" s="157"/>
      <c r="BL77" s="157"/>
      <c r="BM77" s="72"/>
      <c r="BN77" s="72" t="str">
        <f>IF(AND(ISNUMBER($F$16),$K77&lt;=$F$16),BQ77*('バイオマス（木質専焼）（2030年）'!$O$15+'バイオマス（木質専焼）（2030年）'!$BK$116)/'バイオマス（木質専焼）（2030年）'!$BL$116,"")</f>
        <v/>
      </c>
      <c r="BO77" s="72" t="str">
        <f t="shared" si="30"/>
        <v/>
      </c>
      <c r="BP77" s="39"/>
      <c r="BQ77" s="72" t="str">
        <f t="shared" si="46"/>
        <v/>
      </c>
      <c r="BR77" s="72" t="str">
        <f t="shared" si="31"/>
        <v/>
      </c>
    </row>
    <row r="78" spans="2:70" x14ac:dyDescent="0.15">
      <c r="E78" s="70" t="s">
        <v>138</v>
      </c>
      <c r="F78" s="488">
        <f>R15/$BR$116</f>
        <v>1.9037793519757626</v>
      </c>
      <c r="G78" s="84" t="s">
        <v>590</v>
      </c>
      <c r="I78" s="457">
        <f t="shared" si="32"/>
        <v>2093</v>
      </c>
      <c r="J78" s="71"/>
      <c r="K78" s="71">
        <f t="shared" si="33"/>
        <v>64</v>
      </c>
      <c r="L78" s="71"/>
      <c r="M78" s="7">
        <f t="shared" si="0"/>
        <v>0.15080565208229488</v>
      </c>
      <c r="N78" s="71"/>
      <c r="O78" s="10" t="str">
        <f t="shared" si="16"/>
        <v/>
      </c>
      <c r="P78" s="29" t="str">
        <f t="shared" si="34"/>
        <v/>
      </c>
      <c r="Q78" s="71"/>
      <c r="R78" s="10" t="str">
        <f t="shared" si="47"/>
        <v/>
      </c>
      <c r="S78" s="71"/>
      <c r="T78" s="10" t="str">
        <f t="shared" si="18"/>
        <v/>
      </c>
      <c r="U78" s="71"/>
      <c r="V78" s="10" t="str">
        <f t="shared" si="35"/>
        <v/>
      </c>
      <c r="W78" s="10" t="str">
        <f t="shared" si="19"/>
        <v/>
      </c>
      <c r="X78" s="71"/>
      <c r="Y78" s="10" t="str">
        <f t="shared" si="36"/>
        <v/>
      </c>
      <c r="Z78" s="10" t="str">
        <f t="shared" si="20"/>
        <v/>
      </c>
      <c r="AA78" s="71"/>
      <c r="AB78" s="10" t="str">
        <f t="shared" si="4"/>
        <v/>
      </c>
      <c r="AC78" s="10" t="str">
        <f t="shared" si="21"/>
        <v/>
      </c>
      <c r="AD78" s="71"/>
      <c r="AE78" s="10" t="str">
        <f t="shared" si="37"/>
        <v/>
      </c>
      <c r="AF78" s="10" t="str">
        <f t="shared" si="22"/>
        <v/>
      </c>
      <c r="AG78" s="71"/>
      <c r="AH78" s="10" t="str">
        <f t="shared" si="38"/>
        <v/>
      </c>
      <c r="AI78" s="10" t="str">
        <f t="shared" si="23"/>
        <v/>
      </c>
      <c r="AJ78" s="71"/>
      <c r="AK78" s="10" t="str">
        <f t="shared" si="39"/>
        <v/>
      </c>
      <c r="AL78" s="10" t="str">
        <f t="shared" si="24"/>
        <v/>
      </c>
      <c r="AM78" s="71"/>
      <c r="AN78" s="10" t="str">
        <f t="shared" si="40"/>
        <v/>
      </c>
      <c r="AO78" s="10" t="str">
        <f t="shared" si="25"/>
        <v/>
      </c>
      <c r="AP78" s="71"/>
      <c r="AQ78" s="10" t="str">
        <f t="shared" si="41"/>
        <v/>
      </c>
      <c r="AR78" s="10" t="str">
        <f t="shared" si="26"/>
        <v/>
      </c>
      <c r="AS78" s="71"/>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U78" s="71"/>
      <c r="AV78" s="10" t="str">
        <f t="shared" si="42"/>
        <v/>
      </c>
      <c r="AW78" s="10" t="str">
        <f t="shared" si="11"/>
        <v/>
      </c>
      <c r="AX78" s="71"/>
      <c r="AY78" s="7" t="str">
        <f>IF(ISERROR(IF($K78&lt;=$F$15,VLOOKUP($I78,'表4）CO2価格'!$A$7:$E$67,VLOOKUP($F$48,'表4）CO2価格'!$H$10:$I$12,2,0),0)*$F$8/1000,"")),0,IF($K78&lt;=$F$15,VLOOKUP($I78,'表4）CO2価格'!$A$7:$E$67,VLOOKUP($F$48,'表4）CO2価格'!$H$10:$I$12,2,0),0)*$F$8/1000,""))</f>
        <v/>
      </c>
      <c r="AZ78" s="71"/>
      <c r="BA78" s="11" t="str">
        <f t="shared" si="43"/>
        <v/>
      </c>
      <c r="BB78" s="10" t="str">
        <f t="shared" si="27"/>
        <v/>
      </c>
      <c r="BC78" s="71"/>
      <c r="BD78" s="10" t="str">
        <f t="shared" si="44"/>
        <v/>
      </c>
      <c r="BE78" s="10" t="str">
        <f t="shared" si="28"/>
        <v/>
      </c>
      <c r="BF78" s="71"/>
      <c r="BG78" s="11" t="str">
        <f t="shared" si="45"/>
        <v/>
      </c>
      <c r="BH78" s="10" t="str">
        <f t="shared" si="29"/>
        <v/>
      </c>
      <c r="BJ78" s="7"/>
      <c r="BK78" s="158"/>
      <c r="BL78" s="158"/>
      <c r="BM78" s="10"/>
      <c r="BN78" s="10" t="str">
        <f>IF(AND(ISNUMBER($F$16),$K78&lt;=$F$16),BQ78*('バイオマス（木質専焼）（2030年）'!$O$15+'バイオマス（木質専焼）（2030年）'!$BK$116)/'バイオマス（木質専焼）（2030年）'!$BL$116,"")</f>
        <v/>
      </c>
      <c r="BO78" s="10" t="str">
        <f t="shared" si="30"/>
        <v/>
      </c>
      <c r="BQ78" s="10" t="str">
        <f t="shared" si="46"/>
        <v/>
      </c>
      <c r="BR78" s="10" t="str">
        <f t="shared" si="31"/>
        <v/>
      </c>
    </row>
    <row r="79" spans="2:70" x14ac:dyDescent="0.15">
      <c r="E79" s="84" t="s">
        <v>139</v>
      </c>
      <c r="F79" s="488">
        <f>Z116/$BR$116</f>
        <v>0.16168737348059203</v>
      </c>
      <c r="G79" s="84" t="s">
        <v>590</v>
      </c>
      <c r="I79" s="38">
        <f t="shared" si="32"/>
        <v>2094</v>
      </c>
      <c r="J79" s="39"/>
      <c r="K79" s="39">
        <f t="shared" si="33"/>
        <v>65</v>
      </c>
      <c r="L79" s="39"/>
      <c r="M79" s="40">
        <f t="shared" ref="M79:M114" si="48">1/(1+($F$9/100))^K79</f>
        <v>0.14641325444882999</v>
      </c>
      <c r="N79" s="39"/>
      <c r="O79" s="72" t="str">
        <f t="shared" si="16"/>
        <v/>
      </c>
      <c r="P79" s="41" t="str">
        <f t="shared" ref="P79:P110" si="49">IF(K79&lt;=$F$15,IF(OR(P78=$F$124,P78="-"),"-",IF(O79*$F$123&gt;$F$127,$F$123,$F$124)),"")</f>
        <v/>
      </c>
      <c r="Q79" s="39"/>
      <c r="R79" s="72" t="str">
        <f t="shared" si="47"/>
        <v/>
      </c>
      <c r="S79" s="39"/>
      <c r="T79" s="72" t="str">
        <f t="shared" si="18"/>
        <v/>
      </c>
      <c r="U79" s="39"/>
      <c r="V79" s="72" t="str">
        <f t="shared" ref="V79:V114" si="50">IF(K79&lt;=$F$15,IF(K79&lt;$F$119,IF(P79="-",V78,O79*P79),IF(K79=$F$119,MIN(IF(P79="-",V78,O79*P79),O79),0)),"")</f>
        <v/>
      </c>
      <c r="W79" s="72" t="str">
        <f t="shared" si="19"/>
        <v/>
      </c>
      <c r="X79" s="39"/>
      <c r="Y79" s="72" t="str">
        <f t="shared" ref="Y79:Y114" si="51">IF($K79&lt;=$F$15,ROUNDDOWN(T79*$F$25/100,-2),"")</f>
        <v/>
      </c>
      <c r="Z79" s="72" t="str">
        <f t="shared" si="20"/>
        <v/>
      </c>
      <c r="AA79" s="39"/>
      <c r="AB79" s="72" t="str">
        <f t="shared" ref="AB79:AB114" si="52">IF($K79&lt;=$F$15,0,IF(AND($K79&gt;$F$15,$K79&lt;=$F$15+$F$28),$F$27*10^8/$F$28,""))</f>
        <v/>
      </c>
      <c r="AC79" s="72" t="str">
        <f t="shared" si="21"/>
        <v/>
      </c>
      <c r="AD79" s="39"/>
      <c r="AE79" s="72" t="str">
        <f t="shared" ref="AE79:AE114" si="53">IF($K79&lt;=$F$15,$F$26,"")</f>
        <v/>
      </c>
      <c r="AF79" s="72" t="str">
        <f t="shared" si="22"/>
        <v/>
      </c>
      <c r="AG79" s="39"/>
      <c r="AH79" s="72" t="str">
        <f t="shared" ref="AH79:AH114" si="54">IF($K79&lt;=$F$15,$F$33*10^8,"")</f>
        <v/>
      </c>
      <c r="AI79" s="72" t="str">
        <f t="shared" si="23"/>
        <v/>
      </c>
      <c r="AJ79" s="39"/>
      <c r="AK79" s="72" t="str">
        <f t="shared" ref="AK79:AK114" si="55">IF($K79&lt;=$F$15,$F$117*$F$34/100,"")</f>
        <v/>
      </c>
      <c r="AL79" s="72" t="str">
        <f t="shared" si="24"/>
        <v/>
      </c>
      <c r="AM79" s="39"/>
      <c r="AN79" s="72" t="str">
        <f t="shared" ref="AN79:AN114" si="56">IF($K79&lt;=$F$15,$F$117*$F$35/100,"")</f>
        <v/>
      </c>
      <c r="AO79" s="72" t="str">
        <f t="shared" si="25"/>
        <v/>
      </c>
      <c r="AP79" s="39"/>
      <c r="AQ79" s="72" t="str">
        <f t="shared" ref="AQ79:AQ114" si="57">IF($K79&lt;=$F$15,SUM(AH79,AK79,AN79)*($F$36/100),"")</f>
        <v/>
      </c>
      <c r="AR79" s="72" t="str">
        <f t="shared" si="26"/>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58">IF($K79&lt;=$F$15,($AT79+$F$142)*$F$137,"")</f>
        <v/>
      </c>
      <c r="AW79" s="72" t="str">
        <f t="shared" ref="AW79:AW114" si="59">IF(ISNUMBER(AV79),AV79*$M79,"")</f>
        <v/>
      </c>
      <c r="AX79" s="39"/>
      <c r="AY79" s="40" t="str">
        <f>IF(ISERROR(IF($K79&lt;=$F$15,VLOOKUP($I79,'表4）CO2価格'!$A$7:$E$67,VLOOKUP($F$48,'表4）CO2価格'!$H$10:$I$12,2,0),0)*$F$8/1000,"")),0,IF($K79&lt;=$F$15,VLOOKUP($I79,'表4）CO2価格'!$A$7:$E$67,VLOOKUP($F$48,'表4）CO2価格'!$H$10:$I$12,2,0),0)*$F$8/1000,""))</f>
        <v/>
      </c>
      <c r="AZ79" s="39"/>
      <c r="BA79" s="42" t="str">
        <f t="shared" ref="BA79:BA114" si="60">IF($K79&lt;=$F$15,$F$145*AY79,"")</f>
        <v/>
      </c>
      <c r="BB79" s="72" t="str">
        <f t="shared" si="27"/>
        <v/>
      </c>
      <c r="BC79" s="39"/>
      <c r="BD79" s="72" t="str">
        <f t="shared" ref="BD79:BD114" si="61">IF($K79&lt;=$F$15,($AT79+$F$152)*$F$151,"")</f>
        <v/>
      </c>
      <c r="BE79" s="72" t="str">
        <f t="shared" si="28"/>
        <v/>
      </c>
      <c r="BF79" s="39"/>
      <c r="BG79" s="42" t="str">
        <f t="shared" ref="BG79:BG114" si="62">IF($K79&lt;=$F$15,$F$153*AY79,"")</f>
        <v/>
      </c>
      <c r="BH79" s="72" t="str">
        <f t="shared" si="29"/>
        <v/>
      </c>
      <c r="BI79" s="39"/>
      <c r="BJ79" s="40"/>
      <c r="BK79" s="157"/>
      <c r="BL79" s="157"/>
      <c r="BM79" s="72"/>
      <c r="BN79" s="72" t="str">
        <f>IF(AND(ISNUMBER($F$16),$K79&lt;=$F$16),BQ79*('バイオマス（木質専焼）（2030年）'!$O$15+'バイオマス（木質専焼）（2030年）'!$BK$116)/'バイオマス（木質専焼）（2030年）'!$BL$116,"")</f>
        <v/>
      </c>
      <c r="BO79" s="72" t="str">
        <f t="shared" si="30"/>
        <v/>
      </c>
      <c r="BP79" s="39"/>
      <c r="BQ79" s="72" t="str">
        <f t="shared" ref="BQ79:BQ114" si="63">IF($K79&lt;=$F$15,$F$134,"")</f>
        <v/>
      </c>
      <c r="BR79" s="72" t="str">
        <f t="shared" si="31"/>
        <v/>
      </c>
    </row>
    <row r="80" spans="2:70" x14ac:dyDescent="0.15">
      <c r="E80" s="84" t="s">
        <v>115</v>
      </c>
      <c r="F80" s="488">
        <f>AF116/$BR$116</f>
        <v>0</v>
      </c>
      <c r="G80" s="84" t="s">
        <v>590</v>
      </c>
      <c r="I80" s="457">
        <f t="shared" si="32"/>
        <v>2095</v>
      </c>
      <c r="J80" s="71"/>
      <c r="K80" s="71">
        <f t="shared" si="33"/>
        <v>66</v>
      </c>
      <c r="L80" s="71"/>
      <c r="M80" s="7">
        <f t="shared" si="48"/>
        <v>0.14214879072701941</v>
      </c>
      <c r="N80" s="71"/>
      <c r="O80" s="10" t="str">
        <f t="shared" ref="O80:O114" si="64">IF(K80&lt;=$F$15,O79-V79,"")</f>
        <v/>
      </c>
      <c r="P80" s="29" t="str">
        <f t="shared" si="49"/>
        <v/>
      </c>
      <c r="Q80" s="71"/>
      <c r="R80" s="10" t="str">
        <f t="shared" ref="R80:R114" si="65">IF($K80&lt;=$F$15,MAX($F$117*5%,R79*$F$129),"")</f>
        <v/>
      </c>
      <c r="S80" s="71"/>
      <c r="T80" s="10" t="str">
        <f t="shared" ref="T80:T114" si="66">IF(ISNUMBER(R80),ROUNDDOWN(R80,-3),"")</f>
        <v/>
      </c>
      <c r="U80" s="71"/>
      <c r="V80" s="10" t="str">
        <f t="shared" si="50"/>
        <v/>
      </c>
      <c r="W80" s="10" t="str">
        <f t="shared" ref="W80:W114" si="67">IF(ISNUMBER(V80),V80*$M80,"")</f>
        <v/>
      </c>
      <c r="X80" s="71"/>
      <c r="Y80" s="10" t="str">
        <f t="shared" si="51"/>
        <v/>
      </c>
      <c r="Z80" s="10" t="str">
        <f t="shared" ref="Z80:Z114" si="68">IF(ISNUMBER(Y80),Y80*$M80,"")</f>
        <v/>
      </c>
      <c r="AA80" s="71"/>
      <c r="AB80" s="10" t="str">
        <f t="shared" si="52"/>
        <v/>
      </c>
      <c r="AC80" s="10" t="str">
        <f t="shared" ref="AC80:AC114" si="69">IF(ISNUMBER(AB80),AB80*$M80,"")</f>
        <v/>
      </c>
      <c r="AD80" s="71"/>
      <c r="AE80" s="10" t="str">
        <f t="shared" si="53"/>
        <v/>
      </c>
      <c r="AF80" s="10" t="str">
        <f t="shared" ref="AF80:AF114" si="70">IF(ISNUMBER(AE80),AE80*$M80,"")</f>
        <v/>
      </c>
      <c r="AG80" s="71"/>
      <c r="AH80" s="10" t="str">
        <f t="shared" si="54"/>
        <v/>
      </c>
      <c r="AI80" s="10" t="str">
        <f t="shared" ref="AI80:AI114" si="71">IF(ISNUMBER(AH80),AH80*$M80,"")</f>
        <v/>
      </c>
      <c r="AJ80" s="71"/>
      <c r="AK80" s="10" t="str">
        <f t="shared" si="55"/>
        <v/>
      </c>
      <c r="AL80" s="10" t="str">
        <f t="shared" ref="AL80:AL114" si="72">IF(ISNUMBER(AK80),AK80*$M80,"")</f>
        <v/>
      </c>
      <c r="AM80" s="71"/>
      <c r="AN80" s="10" t="str">
        <f t="shared" si="56"/>
        <v/>
      </c>
      <c r="AO80" s="10" t="str">
        <f t="shared" ref="AO80:AO114" si="73">IF(ISNUMBER(AN80),AN80*$M80,"")</f>
        <v/>
      </c>
      <c r="AP80" s="71"/>
      <c r="AQ80" s="10" t="str">
        <f t="shared" si="57"/>
        <v/>
      </c>
      <c r="AR80" s="10" t="str">
        <f t="shared" ref="AR80:AR114" si="74">IF(ISNUMBER(AQ80),AQ80*$M80,"")</f>
        <v/>
      </c>
      <c r="AS80" s="71"/>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U80" s="71"/>
      <c r="AV80" s="10" t="str">
        <f t="shared" si="58"/>
        <v/>
      </c>
      <c r="AW80" s="10" t="str">
        <f t="shared" si="59"/>
        <v/>
      </c>
      <c r="AX80" s="71"/>
      <c r="AY80" s="7" t="str">
        <f>IF(ISERROR(IF($K80&lt;=$F$15,VLOOKUP($I80,'表4）CO2価格'!$A$7:$E$67,VLOOKUP($F$48,'表4）CO2価格'!$H$10:$I$12,2,0),0)*$F$8/1000,"")),0,IF($K80&lt;=$F$15,VLOOKUP($I80,'表4）CO2価格'!$A$7:$E$67,VLOOKUP($F$48,'表4）CO2価格'!$H$10:$I$12,2,0),0)*$F$8/1000,""))</f>
        <v/>
      </c>
      <c r="AZ80" s="71"/>
      <c r="BA80" s="11" t="str">
        <f t="shared" si="60"/>
        <v/>
      </c>
      <c r="BB80" s="10" t="str">
        <f t="shared" ref="BB80:BB114" si="75">IF(ISNUMBER(BA80),BA80*$M80,"")</f>
        <v/>
      </c>
      <c r="BC80" s="71"/>
      <c r="BD80" s="10" t="str">
        <f t="shared" si="61"/>
        <v/>
      </c>
      <c r="BE80" s="10" t="str">
        <f t="shared" ref="BE80:BE114" si="76">IF(ISNUMBER(BD80),BD80*$M80,"")</f>
        <v/>
      </c>
      <c r="BF80" s="71"/>
      <c r="BG80" s="11" t="str">
        <f t="shared" si="62"/>
        <v/>
      </c>
      <c r="BH80" s="10" t="str">
        <f t="shared" ref="BH80:BH114" si="77">IF(ISNUMBER(BG80),BG80*$M80,"")</f>
        <v/>
      </c>
      <c r="BJ80" s="7"/>
      <c r="BK80" s="158"/>
      <c r="BL80" s="158"/>
      <c r="BM80" s="10"/>
      <c r="BN80" s="10" t="str">
        <f>IF(AND(ISNUMBER($F$16),$K80&lt;=$F$16),BQ80*('バイオマス（木質専焼）（2030年）'!$O$15+'バイオマス（木質専焼）（2030年）'!$BK$116)/'バイオマス（木質専焼）（2030年）'!$BL$116,"")</f>
        <v/>
      </c>
      <c r="BO80" s="10" t="str">
        <f t="shared" ref="BO80:BO114" si="78">IF(ISNUMBER(BN80),BN80*$M80,"")</f>
        <v/>
      </c>
      <c r="BQ80" s="10" t="str">
        <f t="shared" si="63"/>
        <v/>
      </c>
      <c r="BR80" s="10" t="str">
        <f t="shared" ref="BR80:BR114" si="79">IF(ISNUMBER(BQ80),BQ80*$M80,"")</f>
        <v/>
      </c>
    </row>
    <row r="81" spans="4:70" x14ac:dyDescent="0.15">
      <c r="E81" s="160" t="s">
        <v>86</v>
      </c>
      <c r="F81" s="488">
        <f>AC116/$BR$116</f>
        <v>2.8330902120004615E-2</v>
      </c>
      <c r="G81" s="84" t="s">
        <v>590</v>
      </c>
      <c r="I81" s="38">
        <f t="shared" ref="I81:I114" si="80">I80+1</f>
        <v>2096</v>
      </c>
      <c r="J81" s="39"/>
      <c r="K81" s="39">
        <f t="shared" ref="K81:K114" si="81">IF(I81&lt;&gt;"",K80+1,"")</f>
        <v>67</v>
      </c>
      <c r="L81" s="39"/>
      <c r="M81" s="40">
        <f t="shared" si="48"/>
        <v>0.1380085346864266</v>
      </c>
      <c r="N81" s="39"/>
      <c r="O81" s="72" t="str">
        <f t="shared" si="64"/>
        <v/>
      </c>
      <c r="P81" s="41" t="str">
        <f t="shared" si="49"/>
        <v/>
      </c>
      <c r="Q81" s="39"/>
      <c r="R81" s="72" t="str">
        <f t="shared" si="65"/>
        <v/>
      </c>
      <c r="S81" s="39"/>
      <c r="T81" s="72" t="str">
        <f t="shared" si="66"/>
        <v/>
      </c>
      <c r="U81" s="39"/>
      <c r="V81" s="72" t="str">
        <f t="shared" si="50"/>
        <v/>
      </c>
      <c r="W81" s="72" t="str">
        <f t="shared" si="67"/>
        <v/>
      </c>
      <c r="X81" s="39"/>
      <c r="Y81" s="72" t="str">
        <f t="shared" si="51"/>
        <v/>
      </c>
      <c r="Z81" s="72" t="str">
        <f t="shared" si="68"/>
        <v/>
      </c>
      <c r="AA81" s="39"/>
      <c r="AB81" s="72" t="str">
        <f t="shared" si="52"/>
        <v/>
      </c>
      <c r="AC81" s="72" t="str">
        <f t="shared" si="69"/>
        <v/>
      </c>
      <c r="AD81" s="39"/>
      <c r="AE81" s="72" t="str">
        <f t="shared" si="53"/>
        <v/>
      </c>
      <c r="AF81" s="72" t="str">
        <f t="shared" si="70"/>
        <v/>
      </c>
      <c r="AG81" s="39"/>
      <c r="AH81" s="72" t="str">
        <f t="shared" si="54"/>
        <v/>
      </c>
      <c r="AI81" s="72" t="str">
        <f t="shared" si="71"/>
        <v/>
      </c>
      <c r="AJ81" s="39"/>
      <c r="AK81" s="72" t="str">
        <f t="shared" si="55"/>
        <v/>
      </c>
      <c r="AL81" s="72" t="str">
        <f t="shared" si="72"/>
        <v/>
      </c>
      <c r="AM81" s="39"/>
      <c r="AN81" s="72" t="str">
        <f t="shared" si="56"/>
        <v/>
      </c>
      <c r="AO81" s="72" t="str">
        <f t="shared" si="73"/>
        <v/>
      </c>
      <c r="AP81" s="39"/>
      <c r="AQ81" s="72" t="str">
        <f t="shared" si="57"/>
        <v/>
      </c>
      <c r="AR81" s="72" t="str">
        <f t="shared" si="74"/>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58"/>
        <v/>
      </c>
      <c r="AW81" s="72" t="str">
        <f t="shared" si="59"/>
        <v/>
      </c>
      <c r="AX81" s="39"/>
      <c r="AY81" s="40" t="str">
        <f>IF(ISERROR(IF($K81&lt;=$F$15,VLOOKUP($I81,'表4）CO2価格'!$A$7:$E$67,VLOOKUP($F$48,'表4）CO2価格'!$H$10:$I$12,2,0),0)*$F$8/1000,"")),0,IF($K81&lt;=$F$15,VLOOKUP($I81,'表4）CO2価格'!$A$7:$E$67,VLOOKUP($F$48,'表4）CO2価格'!$H$10:$I$12,2,0),0)*$F$8/1000,""))</f>
        <v/>
      </c>
      <c r="AZ81" s="39"/>
      <c r="BA81" s="42" t="str">
        <f t="shared" si="60"/>
        <v/>
      </c>
      <c r="BB81" s="72" t="str">
        <f t="shared" si="75"/>
        <v/>
      </c>
      <c r="BC81" s="39"/>
      <c r="BD81" s="72" t="str">
        <f t="shared" si="61"/>
        <v/>
      </c>
      <c r="BE81" s="72" t="str">
        <f t="shared" si="76"/>
        <v/>
      </c>
      <c r="BF81" s="39"/>
      <c r="BG81" s="42" t="str">
        <f t="shared" si="62"/>
        <v/>
      </c>
      <c r="BH81" s="72" t="str">
        <f t="shared" si="77"/>
        <v/>
      </c>
      <c r="BI81" s="39"/>
      <c r="BJ81" s="40"/>
      <c r="BK81" s="157"/>
      <c r="BL81" s="157"/>
      <c r="BM81" s="72"/>
      <c r="BN81" s="72" t="str">
        <f>IF(AND(ISNUMBER($F$16),$K81&lt;=$F$16),BQ81*('バイオマス（木質専焼）（2030年）'!$O$15+'バイオマス（木質専焼）（2030年）'!$BK$116)/'バイオマス（木質専焼）（2030年）'!$BL$116,"")</f>
        <v/>
      </c>
      <c r="BO81" s="72" t="str">
        <f t="shared" si="78"/>
        <v/>
      </c>
      <c r="BP81" s="39"/>
      <c r="BQ81" s="72" t="str">
        <f t="shared" si="63"/>
        <v/>
      </c>
      <c r="BR81" s="72" t="str">
        <f t="shared" si="79"/>
        <v/>
      </c>
    </row>
    <row r="82" spans="4:70" x14ac:dyDescent="0.15">
      <c r="F82" s="487"/>
      <c r="I82" s="457">
        <f t="shared" si="80"/>
        <v>2097</v>
      </c>
      <c r="J82" s="71"/>
      <c r="K82" s="71">
        <f t="shared" si="81"/>
        <v>68</v>
      </c>
      <c r="L82" s="71"/>
      <c r="M82" s="7">
        <f t="shared" si="48"/>
        <v>0.13398886862759865</v>
      </c>
      <c r="N82" s="71"/>
      <c r="O82" s="10" t="str">
        <f t="shared" si="64"/>
        <v/>
      </c>
      <c r="P82" s="29" t="str">
        <f t="shared" si="49"/>
        <v/>
      </c>
      <c r="Q82" s="71"/>
      <c r="R82" s="10" t="str">
        <f t="shared" si="65"/>
        <v/>
      </c>
      <c r="S82" s="71"/>
      <c r="T82" s="10" t="str">
        <f t="shared" si="66"/>
        <v/>
      </c>
      <c r="U82" s="71"/>
      <c r="V82" s="10" t="str">
        <f t="shared" si="50"/>
        <v/>
      </c>
      <c r="W82" s="10" t="str">
        <f t="shared" si="67"/>
        <v/>
      </c>
      <c r="X82" s="71"/>
      <c r="Y82" s="10" t="str">
        <f t="shared" si="51"/>
        <v/>
      </c>
      <c r="Z82" s="10" t="str">
        <f t="shared" si="68"/>
        <v/>
      </c>
      <c r="AA82" s="71"/>
      <c r="AB82" s="10" t="str">
        <f t="shared" si="52"/>
        <v/>
      </c>
      <c r="AC82" s="10" t="str">
        <f t="shared" si="69"/>
        <v/>
      </c>
      <c r="AD82" s="71"/>
      <c r="AE82" s="10" t="str">
        <f t="shared" si="53"/>
        <v/>
      </c>
      <c r="AF82" s="10" t="str">
        <f t="shared" si="70"/>
        <v/>
      </c>
      <c r="AG82" s="71"/>
      <c r="AH82" s="10" t="str">
        <f t="shared" si="54"/>
        <v/>
      </c>
      <c r="AI82" s="10" t="str">
        <f t="shared" si="71"/>
        <v/>
      </c>
      <c r="AJ82" s="71"/>
      <c r="AK82" s="10" t="str">
        <f t="shared" si="55"/>
        <v/>
      </c>
      <c r="AL82" s="10" t="str">
        <f t="shared" si="72"/>
        <v/>
      </c>
      <c r="AM82" s="71"/>
      <c r="AN82" s="10" t="str">
        <f t="shared" si="56"/>
        <v/>
      </c>
      <c r="AO82" s="10" t="str">
        <f t="shared" si="73"/>
        <v/>
      </c>
      <c r="AP82" s="71"/>
      <c r="AQ82" s="10" t="str">
        <f t="shared" si="57"/>
        <v/>
      </c>
      <c r="AR82" s="10" t="str">
        <f t="shared" si="74"/>
        <v/>
      </c>
      <c r="AS82" s="71"/>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U82" s="71"/>
      <c r="AV82" s="10" t="str">
        <f t="shared" si="58"/>
        <v/>
      </c>
      <c r="AW82" s="10" t="str">
        <f t="shared" si="59"/>
        <v/>
      </c>
      <c r="AX82" s="71"/>
      <c r="AY82" s="7" t="str">
        <f>IF(ISERROR(IF($K82&lt;=$F$15,VLOOKUP($I82,'表4）CO2価格'!$A$7:$E$67,VLOOKUP($F$48,'表4）CO2価格'!$H$10:$I$12,2,0),0)*$F$8/1000,"")),0,IF($K82&lt;=$F$15,VLOOKUP($I82,'表4）CO2価格'!$A$7:$E$67,VLOOKUP($F$48,'表4）CO2価格'!$H$10:$I$12,2,0),0)*$F$8/1000,""))</f>
        <v/>
      </c>
      <c r="AZ82" s="71"/>
      <c r="BA82" s="11" t="str">
        <f t="shared" si="60"/>
        <v/>
      </c>
      <c r="BB82" s="10" t="str">
        <f t="shared" si="75"/>
        <v/>
      </c>
      <c r="BC82" s="71"/>
      <c r="BD82" s="10" t="str">
        <f t="shared" si="61"/>
        <v/>
      </c>
      <c r="BE82" s="10" t="str">
        <f t="shared" si="76"/>
        <v/>
      </c>
      <c r="BF82" s="71"/>
      <c r="BG82" s="11" t="str">
        <f t="shared" si="62"/>
        <v/>
      </c>
      <c r="BH82" s="10" t="str">
        <f t="shared" si="77"/>
        <v/>
      </c>
      <c r="BJ82" s="7"/>
      <c r="BK82" s="158"/>
      <c r="BL82" s="158"/>
      <c r="BM82" s="10"/>
      <c r="BN82" s="10" t="str">
        <f>IF(AND(ISNUMBER($F$16),$K82&lt;=$F$16),BQ82*('バイオマス（木質専焼）（2030年）'!$O$15+'バイオマス（木質専焼）（2030年）'!$BK$116)/'バイオマス（木質専焼）（2030年）'!$BL$116,"")</f>
        <v/>
      </c>
      <c r="BO82" s="10" t="str">
        <f t="shared" si="78"/>
        <v/>
      </c>
      <c r="BQ82" s="10" t="str">
        <f t="shared" si="63"/>
        <v/>
      </c>
      <c r="BR82" s="10" t="str">
        <f t="shared" si="79"/>
        <v/>
      </c>
    </row>
    <row r="83" spans="4:70" ht="15" x14ac:dyDescent="0.15">
      <c r="D83" s="103" t="s">
        <v>593</v>
      </c>
      <c r="F83" s="484">
        <f>SUBTOTAL(9,F87:F90)</f>
        <v>2.3929144608484845</v>
      </c>
      <c r="G83" s="84" t="s">
        <v>590</v>
      </c>
      <c r="I83" s="38">
        <f>I82+1</f>
        <v>2098</v>
      </c>
      <c r="J83" s="39"/>
      <c r="K83" s="39">
        <f>IF(I83&lt;&gt;"",K82+1,"")</f>
        <v>69</v>
      </c>
      <c r="L83" s="39"/>
      <c r="M83" s="40">
        <f t="shared" si="48"/>
        <v>0.13008628022096957</v>
      </c>
      <c r="N83" s="39"/>
      <c r="O83" s="72" t="str">
        <f t="shared" si="64"/>
        <v/>
      </c>
      <c r="P83" s="41" t="str">
        <f t="shared" si="49"/>
        <v/>
      </c>
      <c r="Q83" s="39"/>
      <c r="R83" s="72" t="str">
        <f t="shared" si="65"/>
        <v/>
      </c>
      <c r="S83" s="39"/>
      <c r="T83" s="72" t="str">
        <f t="shared" si="66"/>
        <v/>
      </c>
      <c r="U83" s="39"/>
      <c r="V83" s="72" t="str">
        <f t="shared" si="50"/>
        <v/>
      </c>
      <c r="W83" s="72" t="str">
        <f t="shared" si="67"/>
        <v/>
      </c>
      <c r="X83" s="39"/>
      <c r="Y83" s="72" t="str">
        <f t="shared" si="51"/>
        <v/>
      </c>
      <c r="Z83" s="72" t="str">
        <f t="shared" si="68"/>
        <v/>
      </c>
      <c r="AA83" s="39"/>
      <c r="AB83" s="72" t="str">
        <f t="shared" si="52"/>
        <v/>
      </c>
      <c r="AC83" s="72" t="str">
        <f t="shared" si="69"/>
        <v/>
      </c>
      <c r="AD83" s="39"/>
      <c r="AE83" s="72" t="str">
        <f t="shared" si="53"/>
        <v/>
      </c>
      <c r="AF83" s="72" t="str">
        <f t="shared" si="70"/>
        <v/>
      </c>
      <c r="AG83" s="39"/>
      <c r="AH83" s="72" t="str">
        <f t="shared" si="54"/>
        <v/>
      </c>
      <c r="AI83" s="72" t="str">
        <f t="shared" si="71"/>
        <v/>
      </c>
      <c r="AJ83" s="39"/>
      <c r="AK83" s="72" t="str">
        <f t="shared" si="55"/>
        <v/>
      </c>
      <c r="AL83" s="72" t="str">
        <f t="shared" si="72"/>
        <v/>
      </c>
      <c r="AM83" s="39"/>
      <c r="AN83" s="72" t="str">
        <f t="shared" si="56"/>
        <v/>
      </c>
      <c r="AO83" s="72" t="str">
        <f t="shared" si="73"/>
        <v/>
      </c>
      <c r="AP83" s="39"/>
      <c r="AQ83" s="72" t="str">
        <f t="shared" si="57"/>
        <v/>
      </c>
      <c r="AR83" s="72" t="str">
        <f t="shared" si="74"/>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58"/>
        <v/>
      </c>
      <c r="AW83" s="72" t="str">
        <f t="shared" si="59"/>
        <v/>
      </c>
      <c r="AX83" s="39"/>
      <c r="AY83" s="40" t="str">
        <f>IF(ISERROR(IF($K83&lt;=$F$15,VLOOKUP($I83,'表4）CO2価格'!$A$7:$E$67,VLOOKUP($F$48,'表4）CO2価格'!$H$10:$I$12,2,0),0)*$F$8/1000,"")),0,IF($K83&lt;=$F$15,VLOOKUP($I83,'表4）CO2価格'!$A$7:$E$67,VLOOKUP($F$48,'表4）CO2価格'!$H$10:$I$12,2,0),0)*$F$8/1000,""))</f>
        <v/>
      </c>
      <c r="AZ83" s="39"/>
      <c r="BA83" s="42" t="str">
        <f t="shared" si="60"/>
        <v/>
      </c>
      <c r="BB83" s="72" t="str">
        <f t="shared" si="75"/>
        <v/>
      </c>
      <c r="BC83" s="39"/>
      <c r="BD83" s="72" t="str">
        <f t="shared" si="61"/>
        <v/>
      </c>
      <c r="BE83" s="72" t="str">
        <f t="shared" si="76"/>
        <v/>
      </c>
      <c r="BF83" s="39"/>
      <c r="BG83" s="42" t="str">
        <f t="shared" si="62"/>
        <v/>
      </c>
      <c r="BH83" s="72" t="str">
        <f t="shared" si="77"/>
        <v/>
      </c>
      <c r="BI83" s="39"/>
      <c r="BJ83" s="40"/>
      <c r="BK83" s="157"/>
      <c r="BL83" s="157"/>
      <c r="BM83" s="72"/>
      <c r="BN83" s="72" t="str">
        <f>IF(AND(ISNUMBER($F$16),$K83&lt;=$F$16),BQ83*('バイオマス（木質専焼）（2030年）'!$O$15+'バイオマス（木質専焼）（2030年）'!$BK$116)/'バイオマス（木質専焼）（2030年）'!$BL$116,"")</f>
        <v/>
      </c>
      <c r="BO83" s="72" t="str">
        <f t="shared" si="78"/>
        <v/>
      </c>
      <c r="BP83" s="39"/>
      <c r="BQ83" s="72" t="str">
        <f t="shared" si="63"/>
        <v/>
      </c>
      <c r="BR83" s="72" t="str">
        <f t="shared" si="79"/>
        <v/>
      </c>
    </row>
    <row r="84" spans="4:70" x14ac:dyDescent="0.15">
      <c r="F84" s="487"/>
      <c r="I84" s="457">
        <f t="shared" si="80"/>
        <v>2099</v>
      </c>
      <c r="J84" s="71"/>
      <c r="K84" s="71">
        <f t="shared" si="81"/>
        <v>70</v>
      </c>
      <c r="L84" s="71"/>
      <c r="M84" s="7">
        <f t="shared" si="48"/>
        <v>0.12629735943783454</v>
      </c>
      <c r="N84" s="71"/>
      <c r="O84" s="10" t="str">
        <f t="shared" si="64"/>
        <v/>
      </c>
      <c r="P84" s="29" t="str">
        <f t="shared" si="49"/>
        <v/>
      </c>
      <c r="Q84" s="71"/>
      <c r="R84" s="10" t="str">
        <f t="shared" si="65"/>
        <v/>
      </c>
      <c r="S84" s="71"/>
      <c r="T84" s="10" t="str">
        <f t="shared" si="66"/>
        <v/>
      </c>
      <c r="U84" s="71"/>
      <c r="V84" s="10" t="str">
        <f t="shared" si="50"/>
        <v/>
      </c>
      <c r="W84" s="10" t="str">
        <f t="shared" si="67"/>
        <v/>
      </c>
      <c r="X84" s="71"/>
      <c r="Y84" s="10" t="str">
        <f t="shared" si="51"/>
        <v/>
      </c>
      <c r="Z84" s="10" t="str">
        <f t="shared" si="68"/>
        <v/>
      </c>
      <c r="AA84" s="71"/>
      <c r="AB84" s="10" t="str">
        <f t="shared" si="52"/>
        <v/>
      </c>
      <c r="AC84" s="10" t="str">
        <f t="shared" si="69"/>
        <v/>
      </c>
      <c r="AD84" s="71"/>
      <c r="AE84" s="10" t="str">
        <f t="shared" si="53"/>
        <v/>
      </c>
      <c r="AF84" s="10" t="str">
        <f t="shared" si="70"/>
        <v/>
      </c>
      <c r="AG84" s="71"/>
      <c r="AH84" s="10" t="str">
        <f t="shared" si="54"/>
        <v/>
      </c>
      <c r="AI84" s="10" t="str">
        <f t="shared" si="71"/>
        <v/>
      </c>
      <c r="AJ84" s="71"/>
      <c r="AK84" s="10" t="str">
        <f t="shared" si="55"/>
        <v/>
      </c>
      <c r="AL84" s="10" t="str">
        <f t="shared" si="72"/>
        <v/>
      </c>
      <c r="AM84" s="71"/>
      <c r="AN84" s="10" t="str">
        <f t="shared" si="56"/>
        <v/>
      </c>
      <c r="AO84" s="10" t="str">
        <f t="shared" si="73"/>
        <v/>
      </c>
      <c r="AP84" s="71"/>
      <c r="AQ84" s="10" t="str">
        <f t="shared" si="57"/>
        <v/>
      </c>
      <c r="AR84" s="10" t="str">
        <f t="shared" si="74"/>
        <v/>
      </c>
      <c r="AS84" s="71"/>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U84" s="71"/>
      <c r="AV84" s="10" t="str">
        <f t="shared" si="58"/>
        <v/>
      </c>
      <c r="AW84" s="10" t="str">
        <f t="shared" si="59"/>
        <v/>
      </c>
      <c r="AX84" s="71"/>
      <c r="AY84" s="7" t="str">
        <f>IF(ISERROR(IF($K84&lt;=$F$15,VLOOKUP($I84,'表4）CO2価格'!$A$7:$E$67,VLOOKUP($F$48,'表4）CO2価格'!$H$10:$I$12,2,0),0)*$F$8/1000,"")),0,IF($K84&lt;=$F$15,VLOOKUP($I84,'表4）CO2価格'!$A$7:$E$67,VLOOKUP($F$48,'表4）CO2価格'!$H$10:$I$12,2,0),0)*$F$8/1000,""))</f>
        <v/>
      </c>
      <c r="AZ84" s="71"/>
      <c r="BA84" s="11" t="str">
        <f t="shared" si="60"/>
        <v/>
      </c>
      <c r="BB84" s="10" t="str">
        <f t="shared" si="75"/>
        <v/>
      </c>
      <c r="BC84" s="71"/>
      <c r="BD84" s="10" t="str">
        <f t="shared" si="61"/>
        <v/>
      </c>
      <c r="BE84" s="10" t="str">
        <f t="shared" si="76"/>
        <v/>
      </c>
      <c r="BF84" s="71"/>
      <c r="BG84" s="11" t="str">
        <f t="shared" si="62"/>
        <v/>
      </c>
      <c r="BH84" s="10" t="str">
        <f t="shared" si="77"/>
        <v/>
      </c>
      <c r="BJ84" s="7"/>
      <c r="BK84" s="158"/>
      <c r="BL84" s="158"/>
      <c r="BM84" s="10"/>
      <c r="BN84" s="10" t="str">
        <f>IF(AND(ISNUMBER($F$16),$K84&lt;=$F$16),BQ84*('バイオマス（木質専焼）（2030年）'!$O$15+'バイオマス（木質専焼）（2030年）'!$BK$116)/'バイオマス（木質専焼）（2030年）'!$BL$116,"")</f>
        <v/>
      </c>
      <c r="BO84" s="10" t="str">
        <f t="shared" si="78"/>
        <v/>
      </c>
      <c r="BQ84" s="10" t="str">
        <f t="shared" si="63"/>
        <v/>
      </c>
      <c r="BR84" s="10" t="str">
        <f t="shared" si="79"/>
        <v/>
      </c>
    </row>
    <row r="85" spans="4:70" x14ac:dyDescent="0.15">
      <c r="D85" s="100" t="s">
        <v>594</v>
      </c>
      <c r="E85" s="489"/>
      <c r="F85" s="486"/>
      <c r="G85" s="100"/>
      <c r="I85" s="38">
        <f t="shared" si="80"/>
        <v>2100</v>
      </c>
      <c r="J85" s="39"/>
      <c r="K85" s="39">
        <f t="shared" si="81"/>
        <v>71</v>
      </c>
      <c r="L85" s="39"/>
      <c r="M85" s="40">
        <f t="shared" si="48"/>
        <v>0.12261879557071313</v>
      </c>
      <c r="N85" s="39"/>
      <c r="O85" s="72" t="str">
        <f t="shared" si="64"/>
        <v/>
      </c>
      <c r="P85" s="41" t="str">
        <f t="shared" si="49"/>
        <v/>
      </c>
      <c r="Q85" s="39"/>
      <c r="R85" s="72" t="str">
        <f t="shared" si="65"/>
        <v/>
      </c>
      <c r="S85" s="39"/>
      <c r="T85" s="72" t="str">
        <f t="shared" si="66"/>
        <v/>
      </c>
      <c r="U85" s="39"/>
      <c r="V85" s="72" t="str">
        <f t="shared" si="50"/>
        <v/>
      </c>
      <c r="W85" s="72" t="str">
        <f t="shared" si="67"/>
        <v/>
      </c>
      <c r="X85" s="39"/>
      <c r="Y85" s="72" t="str">
        <f t="shared" si="51"/>
        <v/>
      </c>
      <c r="Z85" s="72" t="str">
        <f t="shared" si="68"/>
        <v/>
      </c>
      <c r="AA85" s="39"/>
      <c r="AB85" s="72" t="str">
        <f t="shared" si="52"/>
        <v/>
      </c>
      <c r="AC85" s="72" t="str">
        <f t="shared" si="69"/>
        <v/>
      </c>
      <c r="AD85" s="39"/>
      <c r="AE85" s="72" t="str">
        <f t="shared" si="53"/>
        <v/>
      </c>
      <c r="AF85" s="72" t="str">
        <f t="shared" si="70"/>
        <v/>
      </c>
      <c r="AG85" s="39"/>
      <c r="AH85" s="72" t="str">
        <f t="shared" si="54"/>
        <v/>
      </c>
      <c r="AI85" s="72" t="str">
        <f t="shared" si="71"/>
        <v/>
      </c>
      <c r="AJ85" s="39"/>
      <c r="AK85" s="72" t="str">
        <f t="shared" si="55"/>
        <v/>
      </c>
      <c r="AL85" s="72" t="str">
        <f t="shared" si="72"/>
        <v/>
      </c>
      <c r="AM85" s="39"/>
      <c r="AN85" s="72" t="str">
        <f t="shared" si="56"/>
        <v/>
      </c>
      <c r="AO85" s="72" t="str">
        <f t="shared" si="73"/>
        <v/>
      </c>
      <c r="AP85" s="39"/>
      <c r="AQ85" s="72" t="str">
        <f t="shared" si="57"/>
        <v/>
      </c>
      <c r="AR85" s="72" t="str">
        <f t="shared" si="74"/>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58"/>
        <v/>
      </c>
      <c r="AW85" s="72" t="str">
        <f t="shared" si="59"/>
        <v/>
      </c>
      <c r="AX85" s="39"/>
      <c r="AY85" s="40" t="str">
        <f>IF(ISERROR(IF($K85&lt;=$F$15,VLOOKUP($I85,'表4）CO2価格'!$A$7:$E$67,VLOOKUP($F$48,'表4）CO2価格'!$H$10:$I$12,2,0),0)*$F$8/1000,"")),0,IF($K85&lt;=$F$15,VLOOKUP($I85,'表4）CO2価格'!$A$7:$E$67,VLOOKUP($F$48,'表4）CO2価格'!$H$10:$I$12,2,0),0)*$F$8/1000,""))</f>
        <v/>
      </c>
      <c r="AZ85" s="39"/>
      <c r="BA85" s="42" t="str">
        <f t="shared" si="60"/>
        <v/>
      </c>
      <c r="BB85" s="72" t="str">
        <f t="shared" si="75"/>
        <v/>
      </c>
      <c r="BC85" s="39"/>
      <c r="BD85" s="72" t="str">
        <f t="shared" si="61"/>
        <v/>
      </c>
      <c r="BE85" s="72" t="str">
        <f t="shared" si="76"/>
        <v/>
      </c>
      <c r="BF85" s="39"/>
      <c r="BG85" s="42" t="str">
        <f t="shared" si="62"/>
        <v/>
      </c>
      <c r="BH85" s="72" t="str">
        <f t="shared" si="77"/>
        <v/>
      </c>
      <c r="BI85" s="39"/>
      <c r="BJ85" s="40"/>
      <c r="BK85" s="157"/>
      <c r="BL85" s="157"/>
      <c r="BM85" s="72"/>
      <c r="BN85" s="72" t="str">
        <f>IF(AND(ISNUMBER($F$16),$K85&lt;=$F$16),BQ85*('バイオマス（木質専焼）（2030年）'!$O$15+'バイオマス（木質専焼）（2030年）'!$BK$116)/'バイオマス（木質専焼）（2030年）'!$BL$116,"")</f>
        <v/>
      </c>
      <c r="BO85" s="72" t="str">
        <f t="shared" si="78"/>
        <v/>
      </c>
      <c r="BP85" s="39"/>
      <c r="BQ85" s="72" t="str">
        <f t="shared" si="63"/>
        <v/>
      </c>
      <c r="BR85" s="72" t="str">
        <f t="shared" si="79"/>
        <v/>
      </c>
    </row>
    <row r="86" spans="4:70" x14ac:dyDescent="0.15">
      <c r="F86" s="487"/>
      <c r="I86" s="457">
        <f t="shared" si="80"/>
        <v>2101</v>
      </c>
      <c r="J86" s="71"/>
      <c r="K86" s="71">
        <f t="shared" si="81"/>
        <v>72</v>
      </c>
      <c r="L86" s="71"/>
      <c r="M86" s="7">
        <f t="shared" si="48"/>
        <v>0.1190473743404982</v>
      </c>
      <c r="N86" s="71"/>
      <c r="O86" s="10" t="str">
        <f t="shared" si="64"/>
        <v/>
      </c>
      <c r="P86" s="29" t="str">
        <f t="shared" si="49"/>
        <v/>
      </c>
      <c r="Q86" s="71"/>
      <c r="R86" s="10" t="str">
        <f t="shared" si="65"/>
        <v/>
      </c>
      <c r="S86" s="71"/>
      <c r="T86" s="10" t="str">
        <f t="shared" si="66"/>
        <v/>
      </c>
      <c r="U86" s="71"/>
      <c r="V86" s="10" t="str">
        <f t="shared" si="50"/>
        <v/>
      </c>
      <c r="W86" s="10" t="str">
        <f t="shared" si="67"/>
        <v/>
      </c>
      <c r="X86" s="71"/>
      <c r="Y86" s="10" t="str">
        <f t="shared" si="51"/>
        <v/>
      </c>
      <c r="Z86" s="10" t="str">
        <f t="shared" si="68"/>
        <v/>
      </c>
      <c r="AA86" s="71"/>
      <c r="AB86" s="10" t="str">
        <f t="shared" si="52"/>
        <v/>
      </c>
      <c r="AC86" s="10" t="str">
        <f t="shared" si="69"/>
        <v/>
      </c>
      <c r="AD86" s="71"/>
      <c r="AE86" s="10" t="str">
        <f t="shared" si="53"/>
        <v/>
      </c>
      <c r="AF86" s="10" t="str">
        <f t="shared" si="70"/>
        <v/>
      </c>
      <c r="AG86" s="71"/>
      <c r="AH86" s="10" t="str">
        <f t="shared" si="54"/>
        <v/>
      </c>
      <c r="AI86" s="10" t="str">
        <f t="shared" si="71"/>
        <v/>
      </c>
      <c r="AJ86" s="71"/>
      <c r="AK86" s="10" t="str">
        <f t="shared" si="55"/>
        <v/>
      </c>
      <c r="AL86" s="10" t="str">
        <f t="shared" si="72"/>
        <v/>
      </c>
      <c r="AM86" s="71"/>
      <c r="AN86" s="10" t="str">
        <f t="shared" si="56"/>
        <v/>
      </c>
      <c r="AO86" s="10" t="str">
        <f t="shared" si="73"/>
        <v/>
      </c>
      <c r="AP86" s="71"/>
      <c r="AQ86" s="10" t="str">
        <f t="shared" si="57"/>
        <v/>
      </c>
      <c r="AR86" s="10" t="str">
        <f t="shared" si="74"/>
        <v/>
      </c>
      <c r="AS86" s="71"/>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U86" s="71"/>
      <c r="AV86" s="10" t="str">
        <f t="shared" si="58"/>
        <v/>
      </c>
      <c r="AW86" s="10" t="str">
        <f t="shared" si="59"/>
        <v/>
      </c>
      <c r="AX86" s="71"/>
      <c r="AY86" s="7" t="str">
        <f>IF(ISERROR(IF($K86&lt;=$F$15,VLOOKUP($I86,'表4）CO2価格'!$A$7:$E$67,VLOOKUP($F$48,'表4）CO2価格'!$H$10:$I$12,2,0),0)*$F$8/1000,"")),0,IF($K86&lt;=$F$15,VLOOKUP($I86,'表4）CO2価格'!$A$7:$E$67,VLOOKUP($F$48,'表4）CO2価格'!$H$10:$I$12,2,0),0)*$F$8/1000,""))</f>
        <v/>
      </c>
      <c r="AZ86" s="71"/>
      <c r="BA86" s="11" t="str">
        <f t="shared" si="60"/>
        <v/>
      </c>
      <c r="BB86" s="10" t="str">
        <f t="shared" si="75"/>
        <v/>
      </c>
      <c r="BC86" s="71"/>
      <c r="BD86" s="10" t="str">
        <f t="shared" si="61"/>
        <v/>
      </c>
      <c r="BE86" s="10" t="str">
        <f t="shared" si="76"/>
        <v/>
      </c>
      <c r="BF86" s="71"/>
      <c r="BG86" s="11" t="str">
        <f t="shared" si="62"/>
        <v/>
      </c>
      <c r="BH86" s="10" t="str">
        <f t="shared" si="77"/>
        <v/>
      </c>
      <c r="BJ86" s="7"/>
      <c r="BK86" s="158"/>
      <c r="BL86" s="158"/>
      <c r="BM86" s="10"/>
      <c r="BN86" s="10" t="str">
        <f>IF(AND(ISNUMBER($F$16),$K86&lt;=$F$16),BQ86*('バイオマス（木質専焼）（2030年）'!$O$15+'バイオマス（木質専焼）（2030年）'!$BK$116)/'バイオマス（木質専焼）（2030年）'!$BL$116,"")</f>
        <v/>
      </c>
      <c r="BO86" s="10" t="str">
        <f t="shared" si="78"/>
        <v/>
      </c>
      <c r="BQ86" s="10" t="str">
        <f t="shared" si="63"/>
        <v/>
      </c>
      <c r="BR86" s="10" t="str">
        <f t="shared" si="79"/>
        <v/>
      </c>
    </row>
    <row r="87" spans="4:70" x14ac:dyDescent="0.15">
      <c r="E87" s="84" t="s">
        <v>141</v>
      </c>
      <c r="F87" s="488">
        <f>AI116/$BR$116</f>
        <v>0.10847275780646391</v>
      </c>
      <c r="G87" s="84" t="s">
        <v>590</v>
      </c>
      <c r="I87" s="38">
        <f t="shared" si="80"/>
        <v>2102</v>
      </c>
      <c r="J87" s="39"/>
      <c r="K87" s="39">
        <f t="shared" si="81"/>
        <v>73</v>
      </c>
      <c r="L87" s="39"/>
      <c r="M87" s="40">
        <f t="shared" si="48"/>
        <v>0.11557997508786232</v>
      </c>
      <c r="N87" s="39"/>
      <c r="O87" s="72" t="str">
        <f t="shared" si="64"/>
        <v/>
      </c>
      <c r="P87" s="41" t="str">
        <f t="shared" si="49"/>
        <v/>
      </c>
      <c r="Q87" s="39"/>
      <c r="R87" s="72" t="str">
        <f t="shared" si="65"/>
        <v/>
      </c>
      <c r="S87" s="39"/>
      <c r="T87" s="72" t="str">
        <f t="shared" si="66"/>
        <v/>
      </c>
      <c r="U87" s="39"/>
      <c r="V87" s="72" t="str">
        <f t="shared" si="50"/>
        <v/>
      </c>
      <c r="W87" s="72" t="str">
        <f t="shared" si="67"/>
        <v/>
      </c>
      <c r="X87" s="39"/>
      <c r="Y87" s="72" t="str">
        <f t="shared" si="51"/>
        <v/>
      </c>
      <c r="Z87" s="72" t="str">
        <f t="shared" si="68"/>
        <v/>
      </c>
      <c r="AA87" s="39"/>
      <c r="AB87" s="72" t="str">
        <f t="shared" si="52"/>
        <v/>
      </c>
      <c r="AC87" s="72" t="str">
        <f t="shared" si="69"/>
        <v/>
      </c>
      <c r="AD87" s="39"/>
      <c r="AE87" s="72" t="str">
        <f t="shared" si="53"/>
        <v/>
      </c>
      <c r="AF87" s="72" t="str">
        <f t="shared" si="70"/>
        <v/>
      </c>
      <c r="AG87" s="39"/>
      <c r="AH87" s="72" t="str">
        <f t="shared" si="54"/>
        <v/>
      </c>
      <c r="AI87" s="72" t="str">
        <f t="shared" si="71"/>
        <v/>
      </c>
      <c r="AJ87" s="39"/>
      <c r="AK87" s="72" t="str">
        <f t="shared" si="55"/>
        <v/>
      </c>
      <c r="AL87" s="72" t="str">
        <f t="shared" si="72"/>
        <v/>
      </c>
      <c r="AM87" s="39"/>
      <c r="AN87" s="72" t="str">
        <f t="shared" si="56"/>
        <v/>
      </c>
      <c r="AO87" s="72" t="str">
        <f t="shared" si="73"/>
        <v/>
      </c>
      <c r="AP87" s="39"/>
      <c r="AQ87" s="72" t="str">
        <f t="shared" si="57"/>
        <v/>
      </c>
      <c r="AR87" s="72" t="str">
        <f t="shared" si="74"/>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58"/>
        <v/>
      </c>
      <c r="AW87" s="72" t="str">
        <f t="shared" si="59"/>
        <v/>
      </c>
      <c r="AX87" s="39"/>
      <c r="AY87" s="40" t="str">
        <f>IF(ISERROR(IF($K87&lt;=$F$15,VLOOKUP($I87,'表4）CO2価格'!$A$7:$E$67,VLOOKUP($F$48,'表4）CO2価格'!$H$10:$I$12,2,0),0)*$F$8/1000,"")),0,IF($K87&lt;=$F$15,VLOOKUP($I87,'表4）CO2価格'!$A$7:$E$67,VLOOKUP($F$48,'表4）CO2価格'!$H$10:$I$12,2,0),0)*$F$8/1000,""))</f>
        <v/>
      </c>
      <c r="AZ87" s="39"/>
      <c r="BA87" s="42" t="str">
        <f t="shared" si="60"/>
        <v/>
      </c>
      <c r="BB87" s="72" t="str">
        <f t="shared" si="75"/>
        <v/>
      </c>
      <c r="BC87" s="39"/>
      <c r="BD87" s="72" t="str">
        <f t="shared" si="61"/>
        <v/>
      </c>
      <c r="BE87" s="72" t="str">
        <f t="shared" si="76"/>
        <v/>
      </c>
      <c r="BF87" s="39"/>
      <c r="BG87" s="42" t="str">
        <f t="shared" si="62"/>
        <v/>
      </c>
      <c r="BH87" s="72" t="str">
        <f t="shared" si="77"/>
        <v/>
      </c>
      <c r="BI87" s="39"/>
      <c r="BJ87" s="40"/>
      <c r="BK87" s="157"/>
      <c r="BL87" s="157"/>
      <c r="BM87" s="72"/>
      <c r="BN87" s="72" t="str">
        <f>IF(AND(ISNUMBER($F$16),$K87&lt;=$F$16),BQ87*('バイオマス（木質専焼）（2030年）'!$O$15+'バイオマス（木質専焼）（2030年）'!$BK$116)/'バイオマス（木質専焼）（2030年）'!$BL$116,"")</f>
        <v/>
      </c>
      <c r="BO87" s="72" t="str">
        <f t="shared" si="78"/>
        <v/>
      </c>
      <c r="BP87" s="39"/>
      <c r="BQ87" s="72" t="str">
        <f t="shared" si="63"/>
        <v/>
      </c>
      <c r="BR87" s="72" t="str">
        <f t="shared" si="79"/>
        <v/>
      </c>
    </row>
    <row r="88" spans="4:70" x14ac:dyDescent="0.15">
      <c r="E88" s="84" t="s">
        <v>120</v>
      </c>
      <c r="F88" s="488">
        <f>AL116/$BR$116</f>
        <v>1.056130214642935</v>
      </c>
      <c r="G88" s="84" t="s">
        <v>590</v>
      </c>
      <c r="I88" s="457">
        <f t="shared" si="80"/>
        <v>2103</v>
      </c>
      <c r="J88" s="71"/>
      <c r="K88" s="71">
        <f t="shared" si="81"/>
        <v>74</v>
      </c>
      <c r="L88" s="71"/>
      <c r="M88" s="7">
        <f t="shared" si="48"/>
        <v>0.11221356804646829</v>
      </c>
      <c r="N88" s="71"/>
      <c r="O88" s="10" t="str">
        <f t="shared" si="64"/>
        <v/>
      </c>
      <c r="P88" s="29" t="str">
        <f t="shared" si="49"/>
        <v/>
      </c>
      <c r="Q88" s="71"/>
      <c r="R88" s="10" t="str">
        <f t="shared" si="65"/>
        <v/>
      </c>
      <c r="S88" s="71"/>
      <c r="T88" s="10" t="str">
        <f t="shared" si="66"/>
        <v/>
      </c>
      <c r="U88" s="71"/>
      <c r="V88" s="10" t="str">
        <f t="shared" si="50"/>
        <v/>
      </c>
      <c r="W88" s="10" t="str">
        <f t="shared" si="67"/>
        <v/>
      </c>
      <c r="X88" s="71"/>
      <c r="Y88" s="10" t="str">
        <f t="shared" si="51"/>
        <v/>
      </c>
      <c r="Z88" s="10" t="str">
        <f t="shared" si="68"/>
        <v/>
      </c>
      <c r="AA88" s="71"/>
      <c r="AB88" s="10" t="str">
        <f t="shared" si="52"/>
        <v/>
      </c>
      <c r="AC88" s="10" t="str">
        <f t="shared" si="69"/>
        <v/>
      </c>
      <c r="AD88" s="71"/>
      <c r="AE88" s="10" t="str">
        <f t="shared" si="53"/>
        <v/>
      </c>
      <c r="AF88" s="10" t="str">
        <f t="shared" si="70"/>
        <v/>
      </c>
      <c r="AG88" s="71"/>
      <c r="AH88" s="10" t="str">
        <f t="shared" si="54"/>
        <v/>
      </c>
      <c r="AI88" s="10" t="str">
        <f t="shared" si="71"/>
        <v/>
      </c>
      <c r="AJ88" s="71"/>
      <c r="AK88" s="10" t="str">
        <f t="shared" si="55"/>
        <v/>
      </c>
      <c r="AL88" s="10" t="str">
        <f t="shared" si="72"/>
        <v/>
      </c>
      <c r="AM88" s="71"/>
      <c r="AN88" s="10" t="str">
        <f t="shared" si="56"/>
        <v/>
      </c>
      <c r="AO88" s="10" t="str">
        <f t="shared" si="73"/>
        <v/>
      </c>
      <c r="AP88" s="71"/>
      <c r="AQ88" s="10" t="str">
        <f t="shared" si="57"/>
        <v/>
      </c>
      <c r="AR88" s="10" t="str">
        <f t="shared" si="74"/>
        <v/>
      </c>
      <c r="AS88" s="71"/>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U88" s="71"/>
      <c r="AV88" s="10" t="str">
        <f t="shared" si="58"/>
        <v/>
      </c>
      <c r="AW88" s="10" t="str">
        <f t="shared" si="59"/>
        <v/>
      </c>
      <c r="AX88" s="71"/>
      <c r="AY88" s="7" t="str">
        <f>IF(ISERROR(IF($K88&lt;=$F$15,VLOOKUP($I88,'表4）CO2価格'!$A$7:$E$67,VLOOKUP($F$48,'表4）CO2価格'!$H$10:$I$12,2,0),0)*$F$8/1000,"")),0,IF($K88&lt;=$F$15,VLOOKUP($I88,'表4）CO2価格'!$A$7:$E$67,VLOOKUP($F$48,'表4）CO2価格'!$H$10:$I$12,2,0),0)*$F$8/1000,""))</f>
        <v/>
      </c>
      <c r="AZ88" s="71"/>
      <c r="BA88" s="11" t="str">
        <f t="shared" si="60"/>
        <v/>
      </c>
      <c r="BB88" s="10" t="str">
        <f t="shared" si="75"/>
        <v/>
      </c>
      <c r="BC88" s="71"/>
      <c r="BD88" s="10" t="str">
        <f t="shared" si="61"/>
        <v/>
      </c>
      <c r="BE88" s="10" t="str">
        <f t="shared" si="76"/>
        <v/>
      </c>
      <c r="BF88" s="71"/>
      <c r="BG88" s="11" t="str">
        <f t="shared" si="62"/>
        <v/>
      </c>
      <c r="BH88" s="10" t="str">
        <f t="shared" si="77"/>
        <v/>
      </c>
      <c r="BJ88" s="7"/>
      <c r="BK88" s="158"/>
      <c r="BL88" s="158"/>
      <c r="BM88" s="10"/>
      <c r="BN88" s="10" t="str">
        <f>IF(AND(ISNUMBER($F$16),$K88&lt;=$F$16),BQ88*('バイオマス（木質専焼）（2030年）'!$O$15+'バイオマス（木質専焼）（2030年）'!$BK$116)/'バイオマス（木質専焼）（2030年）'!$BL$116,"")</f>
        <v/>
      </c>
      <c r="BO88" s="10" t="str">
        <f t="shared" si="78"/>
        <v/>
      </c>
      <c r="BQ88" s="10" t="str">
        <f t="shared" si="63"/>
        <v/>
      </c>
      <c r="BR88" s="10" t="str">
        <f t="shared" si="79"/>
        <v/>
      </c>
    </row>
    <row r="89" spans="4:70" x14ac:dyDescent="0.15">
      <c r="E89" s="84" t="s">
        <v>122</v>
      </c>
      <c r="F89" s="488">
        <f>AO116/$BR$116</f>
        <v>0.96811936342269034</v>
      </c>
      <c r="G89" s="84" t="s">
        <v>590</v>
      </c>
      <c r="I89" s="38">
        <f t="shared" si="80"/>
        <v>2104</v>
      </c>
      <c r="J89" s="39"/>
      <c r="K89" s="39">
        <f t="shared" si="81"/>
        <v>75</v>
      </c>
      <c r="L89" s="39"/>
      <c r="M89" s="40">
        <f t="shared" si="48"/>
        <v>0.10894521169560026</v>
      </c>
      <c r="N89" s="39"/>
      <c r="O89" s="72" t="str">
        <f t="shared" si="64"/>
        <v/>
      </c>
      <c r="P89" s="41" t="str">
        <f t="shared" si="49"/>
        <v/>
      </c>
      <c r="Q89" s="39"/>
      <c r="R89" s="72" t="str">
        <f t="shared" si="65"/>
        <v/>
      </c>
      <c r="S89" s="39"/>
      <c r="T89" s="72" t="str">
        <f t="shared" si="66"/>
        <v/>
      </c>
      <c r="U89" s="39"/>
      <c r="V89" s="72" t="str">
        <f t="shared" si="50"/>
        <v/>
      </c>
      <c r="W89" s="72" t="str">
        <f t="shared" si="67"/>
        <v/>
      </c>
      <c r="X89" s="39"/>
      <c r="Y89" s="72" t="str">
        <f t="shared" si="51"/>
        <v/>
      </c>
      <c r="Z89" s="72" t="str">
        <f t="shared" si="68"/>
        <v/>
      </c>
      <c r="AA89" s="39"/>
      <c r="AB89" s="72" t="str">
        <f t="shared" si="52"/>
        <v/>
      </c>
      <c r="AC89" s="72" t="str">
        <f t="shared" si="69"/>
        <v/>
      </c>
      <c r="AD89" s="39"/>
      <c r="AE89" s="72" t="str">
        <f t="shared" si="53"/>
        <v/>
      </c>
      <c r="AF89" s="72" t="str">
        <f t="shared" si="70"/>
        <v/>
      </c>
      <c r="AG89" s="39"/>
      <c r="AH89" s="72" t="str">
        <f t="shared" si="54"/>
        <v/>
      </c>
      <c r="AI89" s="72" t="str">
        <f t="shared" si="71"/>
        <v/>
      </c>
      <c r="AJ89" s="39"/>
      <c r="AK89" s="72" t="str">
        <f t="shared" si="55"/>
        <v/>
      </c>
      <c r="AL89" s="72" t="str">
        <f t="shared" si="72"/>
        <v/>
      </c>
      <c r="AM89" s="39"/>
      <c r="AN89" s="72" t="str">
        <f t="shared" si="56"/>
        <v/>
      </c>
      <c r="AO89" s="72" t="str">
        <f t="shared" si="73"/>
        <v/>
      </c>
      <c r="AP89" s="39"/>
      <c r="AQ89" s="72" t="str">
        <f t="shared" si="57"/>
        <v/>
      </c>
      <c r="AR89" s="72" t="str">
        <f t="shared" si="74"/>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58"/>
        <v/>
      </c>
      <c r="AW89" s="72" t="str">
        <f t="shared" si="59"/>
        <v/>
      </c>
      <c r="AX89" s="39"/>
      <c r="AY89" s="40" t="str">
        <f>IF(ISERROR(IF($K89&lt;=$F$15,VLOOKUP($I89,'表4）CO2価格'!$A$7:$E$67,VLOOKUP($F$48,'表4）CO2価格'!$H$10:$I$12,2,0),0)*$F$8/1000,"")),0,IF($K89&lt;=$F$15,VLOOKUP($I89,'表4）CO2価格'!$A$7:$E$67,VLOOKUP($F$48,'表4）CO2価格'!$H$10:$I$12,2,0),0)*$F$8/1000,""))</f>
        <v/>
      </c>
      <c r="AZ89" s="39"/>
      <c r="BA89" s="42" t="str">
        <f t="shared" si="60"/>
        <v/>
      </c>
      <c r="BB89" s="72" t="str">
        <f t="shared" si="75"/>
        <v/>
      </c>
      <c r="BC89" s="39"/>
      <c r="BD89" s="72" t="str">
        <f t="shared" si="61"/>
        <v/>
      </c>
      <c r="BE89" s="72" t="str">
        <f t="shared" si="76"/>
        <v/>
      </c>
      <c r="BF89" s="39"/>
      <c r="BG89" s="42" t="str">
        <f t="shared" si="62"/>
        <v/>
      </c>
      <c r="BH89" s="72" t="str">
        <f t="shared" si="77"/>
        <v/>
      </c>
      <c r="BI89" s="39"/>
      <c r="BJ89" s="40"/>
      <c r="BK89" s="157"/>
      <c r="BL89" s="157"/>
      <c r="BM89" s="72"/>
      <c r="BN89" s="72" t="str">
        <f>IF(AND(ISNUMBER($F$16),$K89&lt;=$F$16),BQ89*('バイオマス（木質専焼）（2030年）'!$O$15+'バイオマス（木質専焼）（2030年）'!$BK$116)/'バイオマス（木質専焼）（2030年）'!$BL$116,"")</f>
        <v/>
      </c>
      <c r="BO89" s="72" t="str">
        <f t="shared" si="78"/>
        <v/>
      </c>
      <c r="BP89" s="39"/>
      <c r="BQ89" s="72" t="str">
        <f t="shared" si="63"/>
        <v/>
      </c>
      <c r="BR89" s="72" t="str">
        <f t="shared" si="79"/>
        <v/>
      </c>
    </row>
    <row r="90" spans="4:70" x14ac:dyDescent="0.15">
      <c r="E90" s="84" t="s">
        <v>142</v>
      </c>
      <c r="F90" s="488">
        <f>AR116/$BR$116</f>
        <v>0.26019212497639488</v>
      </c>
      <c r="G90" s="84" t="s">
        <v>590</v>
      </c>
      <c r="I90" s="457">
        <f t="shared" si="80"/>
        <v>2105</v>
      </c>
      <c r="J90" s="71"/>
      <c r="K90" s="71">
        <f t="shared" si="81"/>
        <v>76</v>
      </c>
      <c r="L90" s="71"/>
      <c r="M90" s="7">
        <f t="shared" si="48"/>
        <v>0.10577205018990318</v>
      </c>
      <c r="N90" s="71"/>
      <c r="O90" s="10" t="str">
        <f t="shared" si="64"/>
        <v/>
      </c>
      <c r="P90" s="29" t="str">
        <f t="shared" si="49"/>
        <v/>
      </c>
      <c r="Q90" s="71"/>
      <c r="R90" s="10" t="str">
        <f t="shared" si="65"/>
        <v/>
      </c>
      <c r="S90" s="71"/>
      <c r="T90" s="10" t="str">
        <f t="shared" si="66"/>
        <v/>
      </c>
      <c r="U90" s="71"/>
      <c r="V90" s="10" t="str">
        <f t="shared" si="50"/>
        <v/>
      </c>
      <c r="W90" s="10" t="str">
        <f t="shared" si="67"/>
        <v/>
      </c>
      <c r="X90" s="71"/>
      <c r="Y90" s="10" t="str">
        <f t="shared" si="51"/>
        <v/>
      </c>
      <c r="Z90" s="10" t="str">
        <f t="shared" si="68"/>
        <v/>
      </c>
      <c r="AA90" s="71"/>
      <c r="AB90" s="10" t="str">
        <f t="shared" si="52"/>
        <v/>
      </c>
      <c r="AC90" s="10" t="str">
        <f t="shared" si="69"/>
        <v/>
      </c>
      <c r="AD90" s="71"/>
      <c r="AE90" s="10" t="str">
        <f t="shared" si="53"/>
        <v/>
      </c>
      <c r="AF90" s="10" t="str">
        <f t="shared" si="70"/>
        <v/>
      </c>
      <c r="AG90" s="71"/>
      <c r="AH90" s="10" t="str">
        <f t="shared" si="54"/>
        <v/>
      </c>
      <c r="AI90" s="10" t="str">
        <f t="shared" si="71"/>
        <v/>
      </c>
      <c r="AJ90" s="71"/>
      <c r="AK90" s="10" t="str">
        <f t="shared" si="55"/>
        <v/>
      </c>
      <c r="AL90" s="10" t="str">
        <f t="shared" si="72"/>
        <v/>
      </c>
      <c r="AM90" s="71"/>
      <c r="AN90" s="10" t="str">
        <f t="shared" si="56"/>
        <v/>
      </c>
      <c r="AO90" s="10" t="str">
        <f t="shared" si="73"/>
        <v/>
      </c>
      <c r="AP90" s="71"/>
      <c r="AQ90" s="10" t="str">
        <f t="shared" si="57"/>
        <v/>
      </c>
      <c r="AR90" s="10" t="str">
        <f t="shared" si="74"/>
        <v/>
      </c>
      <c r="AS90" s="71"/>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U90" s="71"/>
      <c r="AV90" s="10" t="str">
        <f t="shared" si="58"/>
        <v/>
      </c>
      <c r="AW90" s="10" t="str">
        <f t="shared" si="59"/>
        <v/>
      </c>
      <c r="AX90" s="71"/>
      <c r="AY90" s="7" t="str">
        <f>IF(ISERROR(IF($K90&lt;=$F$15,VLOOKUP($I90,'表4）CO2価格'!$A$7:$E$67,VLOOKUP($F$48,'表4）CO2価格'!$H$10:$I$12,2,0),0)*$F$8/1000,"")),0,IF($K90&lt;=$F$15,VLOOKUP($I90,'表4）CO2価格'!$A$7:$E$67,VLOOKUP($F$48,'表4）CO2価格'!$H$10:$I$12,2,0),0)*$F$8/1000,""))</f>
        <v/>
      </c>
      <c r="AZ90" s="71"/>
      <c r="BA90" s="11" t="str">
        <f t="shared" si="60"/>
        <v/>
      </c>
      <c r="BB90" s="10" t="str">
        <f t="shared" si="75"/>
        <v/>
      </c>
      <c r="BC90" s="71"/>
      <c r="BD90" s="10" t="str">
        <f t="shared" si="61"/>
        <v/>
      </c>
      <c r="BE90" s="10" t="str">
        <f t="shared" si="76"/>
        <v/>
      </c>
      <c r="BF90" s="71"/>
      <c r="BG90" s="11" t="str">
        <f t="shared" si="62"/>
        <v/>
      </c>
      <c r="BH90" s="10" t="str">
        <f t="shared" si="77"/>
        <v/>
      </c>
      <c r="BJ90" s="7"/>
      <c r="BK90" s="158"/>
      <c r="BL90" s="158"/>
      <c r="BM90" s="10"/>
      <c r="BN90" s="10" t="str">
        <f>IF(AND(ISNUMBER($F$16),$K90&lt;=$F$16),BQ90*('バイオマス（木質専焼）（2030年）'!$O$15+'バイオマス（木質専焼）（2030年）'!$BK$116)/'バイオマス（木質専焼）（2030年）'!$BL$116,"")</f>
        <v/>
      </c>
      <c r="BO90" s="10" t="str">
        <f t="shared" si="78"/>
        <v/>
      </c>
      <c r="BQ90" s="10" t="str">
        <f t="shared" si="63"/>
        <v/>
      </c>
      <c r="BR90" s="10" t="str">
        <f t="shared" si="79"/>
        <v/>
      </c>
    </row>
    <row r="91" spans="4:70" x14ac:dyDescent="0.15">
      <c r="F91" s="487"/>
      <c r="I91" s="38">
        <f t="shared" si="80"/>
        <v>2106</v>
      </c>
      <c r="J91" s="39"/>
      <c r="K91" s="39">
        <f t="shared" si="81"/>
        <v>77</v>
      </c>
      <c r="L91" s="39"/>
      <c r="M91" s="40">
        <f t="shared" si="48"/>
        <v>0.10269131086398368</v>
      </c>
      <c r="N91" s="39"/>
      <c r="O91" s="72" t="str">
        <f t="shared" si="64"/>
        <v/>
      </c>
      <c r="P91" s="41" t="str">
        <f t="shared" si="49"/>
        <v/>
      </c>
      <c r="Q91" s="39"/>
      <c r="R91" s="72" t="str">
        <f t="shared" si="65"/>
        <v/>
      </c>
      <c r="S91" s="39"/>
      <c r="T91" s="72" t="str">
        <f t="shared" si="66"/>
        <v/>
      </c>
      <c r="U91" s="39"/>
      <c r="V91" s="72" t="str">
        <f t="shared" si="50"/>
        <v/>
      </c>
      <c r="W91" s="72" t="str">
        <f t="shared" si="67"/>
        <v/>
      </c>
      <c r="X91" s="39"/>
      <c r="Y91" s="72" t="str">
        <f t="shared" si="51"/>
        <v/>
      </c>
      <c r="Z91" s="72" t="str">
        <f t="shared" si="68"/>
        <v/>
      </c>
      <c r="AA91" s="39"/>
      <c r="AB91" s="72" t="str">
        <f t="shared" si="52"/>
        <v/>
      </c>
      <c r="AC91" s="72" t="str">
        <f t="shared" si="69"/>
        <v/>
      </c>
      <c r="AD91" s="39"/>
      <c r="AE91" s="72" t="str">
        <f t="shared" si="53"/>
        <v/>
      </c>
      <c r="AF91" s="72" t="str">
        <f t="shared" si="70"/>
        <v/>
      </c>
      <c r="AG91" s="39"/>
      <c r="AH91" s="72" t="str">
        <f t="shared" si="54"/>
        <v/>
      </c>
      <c r="AI91" s="72" t="str">
        <f t="shared" si="71"/>
        <v/>
      </c>
      <c r="AJ91" s="39"/>
      <c r="AK91" s="72" t="str">
        <f t="shared" si="55"/>
        <v/>
      </c>
      <c r="AL91" s="72" t="str">
        <f t="shared" si="72"/>
        <v/>
      </c>
      <c r="AM91" s="39"/>
      <c r="AN91" s="72" t="str">
        <f t="shared" si="56"/>
        <v/>
      </c>
      <c r="AO91" s="72" t="str">
        <f t="shared" si="73"/>
        <v/>
      </c>
      <c r="AP91" s="39"/>
      <c r="AQ91" s="72" t="str">
        <f t="shared" si="57"/>
        <v/>
      </c>
      <c r="AR91" s="72" t="str">
        <f t="shared" si="74"/>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58"/>
        <v/>
      </c>
      <c r="AW91" s="72" t="str">
        <f t="shared" si="59"/>
        <v/>
      </c>
      <c r="AX91" s="39"/>
      <c r="AY91" s="40" t="str">
        <f>IF(ISERROR(IF($K91&lt;=$F$15,VLOOKUP($I91,'表4）CO2価格'!$A$7:$E$67,VLOOKUP($F$48,'表4）CO2価格'!$H$10:$I$12,2,0),0)*$F$8/1000,"")),0,IF($K91&lt;=$F$15,VLOOKUP($I91,'表4）CO2価格'!$A$7:$E$67,VLOOKUP($F$48,'表4）CO2価格'!$H$10:$I$12,2,0),0)*$F$8/1000,""))</f>
        <v/>
      </c>
      <c r="AZ91" s="39"/>
      <c r="BA91" s="42" t="str">
        <f t="shared" si="60"/>
        <v/>
      </c>
      <c r="BB91" s="72" t="str">
        <f t="shared" si="75"/>
        <v/>
      </c>
      <c r="BC91" s="39"/>
      <c r="BD91" s="72" t="str">
        <f t="shared" si="61"/>
        <v/>
      </c>
      <c r="BE91" s="72" t="str">
        <f t="shared" si="76"/>
        <v/>
      </c>
      <c r="BF91" s="39"/>
      <c r="BG91" s="42" t="str">
        <f t="shared" si="62"/>
        <v/>
      </c>
      <c r="BH91" s="72" t="str">
        <f t="shared" si="77"/>
        <v/>
      </c>
      <c r="BI91" s="39"/>
      <c r="BJ91" s="40"/>
      <c r="BK91" s="157"/>
      <c r="BL91" s="157"/>
      <c r="BM91" s="72"/>
      <c r="BN91" s="72" t="str">
        <f>IF(AND(ISNUMBER($F$16),$K91&lt;=$F$16),BQ91*('バイオマス（木質専焼）（2030年）'!$O$15+'バイオマス（木質専焼）（2030年）'!$BK$116)/'バイオマス（木質専焼）（2030年）'!$BL$116,"")</f>
        <v/>
      </c>
      <c r="BO91" s="72" t="str">
        <f t="shared" si="78"/>
        <v/>
      </c>
      <c r="BP91" s="39"/>
      <c r="BQ91" s="72" t="str">
        <f t="shared" si="63"/>
        <v/>
      </c>
      <c r="BR91" s="72" t="str">
        <f t="shared" si="79"/>
        <v/>
      </c>
    </row>
    <row r="92" spans="4:70" ht="15" x14ac:dyDescent="0.15">
      <c r="D92" s="103" t="s">
        <v>595</v>
      </c>
      <c r="F92" s="484">
        <f>SUBTOTAL(9,F96:F97)</f>
        <v>4.3950962769632689</v>
      </c>
      <c r="I92" s="457">
        <f t="shared" si="80"/>
        <v>2107</v>
      </c>
      <c r="J92" s="71"/>
      <c r="K92" s="71">
        <f t="shared" si="81"/>
        <v>78</v>
      </c>
      <c r="L92" s="71"/>
      <c r="M92" s="7">
        <f t="shared" si="48"/>
        <v>9.9700301809692873E-2</v>
      </c>
      <c r="N92" s="71"/>
      <c r="O92" s="10" t="str">
        <f t="shared" si="64"/>
        <v/>
      </c>
      <c r="P92" s="29" t="str">
        <f t="shared" si="49"/>
        <v/>
      </c>
      <c r="Q92" s="71"/>
      <c r="R92" s="10" t="str">
        <f t="shared" si="65"/>
        <v/>
      </c>
      <c r="S92" s="71"/>
      <c r="T92" s="10" t="str">
        <f t="shared" si="66"/>
        <v/>
      </c>
      <c r="U92" s="71"/>
      <c r="V92" s="10" t="str">
        <f t="shared" si="50"/>
        <v/>
      </c>
      <c r="W92" s="10" t="str">
        <f t="shared" si="67"/>
        <v/>
      </c>
      <c r="X92" s="71"/>
      <c r="Y92" s="10" t="str">
        <f t="shared" si="51"/>
        <v/>
      </c>
      <c r="Z92" s="10" t="str">
        <f t="shared" si="68"/>
        <v/>
      </c>
      <c r="AA92" s="71"/>
      <c r="AB92" s="10" t="str">
        <f t="shared" si="52"/>
        <v/>
      </c>
      <c r="AC92" s="10" t="str">
        <f t="shared" si="69"/>
        <v/>
      </c>
      <c r="AD92" s="71"/>
      <c r="AE92" s="10" t="str">
        <f t="shared" si="53"/>
        <v/>
      </c>
      <c r="AF92" s="10" t="str">
        <f t="shared" si="70"/>
        <v/>
      </c>
      <c r="AG92" s="71"/>
      <c r="AH92" s="10" t="str">
        <f t="shared" si="54"/>
        <v/>
      </c>
      <c r="AI92" s="10" t="str">
        <f t="shared" si="71"/>
        <v/>
      </c>
      <c r="AJ92" s="71"/>
      <c r="AK92" s="10" t="str">
        <f t="shared" si="55"/>
        <v/>
      </c>
      <c r="AL92" s="10" t="str">
        <f t="shared" si="72"/>
        <v/>
      </c>
      <c r="AM92" s="71"/>
      <c r="AN92" s="10" t="str">
        <f t="shared" si="56"/>
        <v/>
      </c>
      <c r="AO92" s="10" t="str">
        <f t="shared" si="73"/>
        <v/>
      </c>
      <c r="AP92" s="71"/>
      <c r="AQ92" s="10" t="str">
        <f t="shared" si="57"/>
        <v/>
      </c>
      <c r="AR92" s="10" t="str">
        <f t="shared" si="74"/>
        <v/>
      </c>
      <c r="AS92" s="71"/>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U92" s="71"/>
      <c r="AV92" s="10" t="str">
        <f t="shared" si="58"/>
        <v/>
      </c>
      <c r="AW92" s="10" t="str">
        <f t="shared" si="59"/>
        <v/>
      </c>
      <c r="AX92" s="71"/>
      <c r="AY92" s="7" t="str">
        <f>IF(ISERROR(IF($K92&lt;=$F$15,VLOOKUP($I92,'表4）CO2価格'!$A$7:$E$67,VLOOKUP($F$48,'表4）CO2価格'!$H$10:$I$12,2,0),0)*$F$8/1000,"")),0,IF($K92&lt;=$F$15,VLOOKUP($I92,'表4）CO2価格'!$A$7:$E$67,VLOOKUP($F$48,'表4）CO2価格'!$H$10:$I$12,2,0),0)*$F$8/1000,""))</f>
        <v/>
      </c>
      <c r="AZ92" s="71"/>
      <c r="BA92" s="11" t="str">
        <f t="shared" si="60"/>
        <v/>
      </c>
      <c r="BB92" s="10" t="str">
        <f t="shared" si="75"/>
        <v/>
      </c>
      <c r="BC92" s="71"/>
      <c r="BD92" s="10" t="str">
        <f t="shared" si="61"/>
        <v/>
      </c>
      <c r="BE92" s="10" t="str">
        <f t="shared" si="76"/>
        <v/>
      </c>
      <c r="BF92" s="71"/>
      <c r="BG92" s="11" t="str">
        <f t="shared" si="62"/>
        <v/>
      </c>
      <c r="BH92" s="10" t="str">
        <f t="shared" si="77"/>
        <v/>
      </c>
      <c r="BJ92" s="7"/>
      <c r="BK92" s="158"/>
      <c r="BL92" s="158"/>
      <c r="BM92" s="10"/>
      <c r="BN92" s="10" t="str">
        <f>IF(AND(ISNUMBER($F$16),$K92&lt;=$F$16),BQ92*('バイオマス（木質専焼）（2030年）'!$O$15+'バイオマス（木質専焼）（2030年）'!$BK$116)/'バイオマス（木質専焼）（2030年）'!$BL$116,"")</f>
        <v/>
      </c>
      <c r="BO92" s="10" t="str">
        <f t="shared" si="78"/>
        <v/>
      </c>
      <c r="BQ92" s="10" t="str">
        <f t="shared" si="63"/>
        <v/>
      </c>
      <c r="BR92" s="10" t="str">
        <f t="shared" si="79"/>
        <v/>
      </c>
    </row>
    <row r="93" spans="4:70" ht="15" x14ac:dyDescent="0.15">
      <c r="D93" s="103"/>
      <c r="F93" s="487"/>
      <c r="I93" s="38">
        <f t="shared" si="80"/>
        <v>2108</v>
      </c>
      <c r="J93" s="39"/>
      <c r="K93" s="39">
        <f t="shared" si="81"/>
        <v>79</v>
      </c>
      <c r="L93" s="39"/>
      <c r="M93" s="40">
        <f t="shared" si="48"/>
        <v>9.679640952397367E-2</v>
      </c>
      <c r="N93" s="39"/>
      <c r="O93" s="72" t="str">
        <f t="shared" si="64"/>
        <v/>
      </c>
      <c r="P93" s="41" t="str">
        <f t="shared" si="49"/>
        <v/>
      </c>
      <c r="Q93" s="39"/>
      <c r="R93" s="72" t="str">
        <f t="shared" si="65"/>
        <v/>
      </c>
      <c r="S93" s="39"/>
      <c r="T93" s="72" t="str">
        <f t="shared" si="66"/>
        <v/>
      </c>
      <c r="U93" s="39"/>
      <c r="V93" s="72" t="str">
        <f t="shared" si="50"/>
        <v/>
      </c>
      <c r="W93" s="72" t="str">
        <f t="shared" si="67"/>
        <v/>
      </c>
      <c r="X93" s="39"/>
      <c r="Y93" s="72" t="str">
        <f t="shared" si="51"/>
        <v/>
      </c>
      <c r="Z93" s="72" t="str">
        <f t="shared" si="68"/>
        <v/>
      </c>
      <c r="AA93" s="39"/>
      <c r="AB93" s="72" t="str">
        <f t="shared" si="52"/>
        <v/>
      </c>
      <c r="AC93" s="72" t="str">
        <f t="shared" si="69"/>
        <v/>
      </c>
      <c r="AD93" s="39"/>
      <c r="AE93" s="72" t="str">
        <f t="shared" si="53"/>
        <v/>
      </c>
      <c r="AF93" s="72" t="str">
        <f t="shared" si="70"/>
        <v/>
      </c>
      <c r="AG93" s="39"/>
      <c r="AH93" s="72" t="str">
        <f t="shared" si="54"/>
        <v/>
      </c>
      <c r="AI93" s="72" t="str">
        <f t="shared" si="71"/>
        <v/>
      </c>
      <c r="AJ93" s="39"/>
      <c r="AK93" s="72" t="str">
        <f t="shared" si="55"/>
        <v/>
      </c>
      <c r="AL93" s="72" t="str">
        <f t="shared" si="72"/>
        <v/>
      </c>
      <c r="AM93" s="39"/>
      <c r="AN93" s="72" t="str">
        <f t="shared" si="56"/>
        <v/>
      </c>
      <c r="AO93" s="72" t="str">
        <f t="shared" si="73"/>
        <v/>
      </c>
      <c r="AP93" s="39"/>
      <c r="AQ93" s="72" t="str">
        <f t="shared" si="57"/>
        <v/>
      </c>
      <c r="AR93" s="72" t="str">
        <f t="shared" si="74"/>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58"/>
        <v/>
      </c>
      <c r="AW93" s="72" t="str">
        <f t="shared" si="59"/>
        <v/>
      </c>
      <c r="AX93" s="39"/>
      <c r="AY93" s="40" t="str">
        <f>IF(ISERROR(IF($K93&lt;=$F$15,VLOOKUP($I93,'表4）CO2価格'!$A$7:$E$67,VLOOKUP($F$48,'表4）CO2価格'!$H$10:$I$12,2,0),0)*$F$8/1000,"")),0,IF($K93&lt;=$F$15,VLOOKUP($I93,'表4）CO2価格'!$A$7:$E$67,VLOOKUP($F$48,'表4）CO2価格'!$H$10:$I$12,2,0),0)*$F$8/1000,""))</f>
        <v/>
      </c>
      <c r="AZ93" s="39"/>
      <c r="BA93" s="42" t="str">
        <f t="shared" si="60"/>
        <v/>
      </c>
      <c r="BB93" s="72" t="str">
        <f t="shared" si="75"/>
        <v/>
      </c>
      <c r="BC93" s="39"/>
      <c r="BD93" s="72" t="str">
        <f t="shared" si="61"/>
        <v/>
      </c>
      <c r="BE93" s="72" t="str">
        <f t="shared" si="76"/>
        <v/>
      </c>
      <c r="BF93" s="39"/>
      <c r="BG93" s="42" t="str">
        <f t="shared" si="62"/>
        <v/>
      </c>
      <c r="BH93" s="72" t="str">
        <f t="shared" si="77"/>
        <v/>
      </c>
      <c r="BI93" s="39"/>
      <c r="BJ93" s="40"/>
      <c r="BK93" s="157"/>
      <c r="BL93" s="157"/>
      <c r="BM93" s="72"/>
      <c r="BN93" s="72" t="str">
        <f>IF(AND(ISNUMBER($F$16),$K93&lt;=$F$16),BQ93*('バイオマス（木質専焼）（2030年）'!$O$15+'バイオマス（木質専焼）（2030年）'!$BK$116)/'バイオマス（木質専焼）（2030年）'!$BL$116,"")</f>
        <v/>
      </c>
      <c r="BO93" s="72" t="str">
        <f t="shared" si="78"/>
        <v/>
      </c>
      <c r="BP93" s="39"/>
      <c r="BQ93" s="72" t="str">
        <f t="shared" si="63"/>
        <v/>
      </c>
      <c r="BR93" s="72" t="str">
        <f t="shared" si="79"/>
        <v/>
      </c>
    </row>
    <row r="94" spans="4:70" x14ac:dyDescent="0.15">
      <c r="D94" s="100" t="s">
        <v>596</v>
      </c>
      <c r="E94" s="100"/>
      <c r="F94" s="486"/>
      <c r="G94" s="100"/>
      <c r="I94" s="457">
        <f t="shared" si="80"/>
        <v>2109</v>
      </c>
      <c r="J94" s="71"/>
      <c r="K94" s="71">
        <f t="shared" si="81"/>
        <v>80</v>
      </c>
      <c r="L94" s="71"/>
      <c r="M94" s="7">
        <f t="shared" si="48"/>
        <v>9.3977096625217166E-2</v>
      </c>
      <c r="N94" s="71"/>
      <c r="O94" s="10" t="str">
        <f t="shared" si="64"/>
        <v/>
      </c>
      <c r="P94" s="29" t="str">
        <f t="shared" si="49"/>
        <v/>
      </c>
      <c r="Q94" s="71"/>
      <c r="R94" s="10" t="str">
        <f t="shared" si="65"/>
        <v/>
      </c>
      <c r="S94" s="71"/>
      <c r="T94" s="10" t="str">
        <f t="shared" si="66"/>
        <v/>
      </c>
      <c r="U94" s="71"/>
      <c r="V94" s="10" t="str">
        <f t="shared" si="50"/>
        <v/>
      </c>
      <c r="W94" s="10" t="str">
        <f t="shared" si="67"/>
        <v/>
      </c>
      <c r="X94" s="71"/>
      <c r="Y94" s="10" t="str">
        <f t="shared" si="51"/>
        <v/>
      </c>
      <c r="Z94" s="10" t="str">
        <f t="shared" si="68"/>
        <v/>
      </c>
      <c r="AA94" s="71"/>
      <c r="AB94" s="10" t="str">
        <f t="shared" si="52"/>
        <v/>
      </c>
      <c r="AC94" s="10" t="str">
        <f t="shared" si="69"/>
        <v/>
      </c>
      <c r="AD94" s="71"/>
      <c r="AE94" s="10" t="str">
        <f t="shared" si="53"/>
        <v/>
      </c>
      <c r="AF94" s="10" t="str">
        <f t="shared" si="70"/>
        <v/>
      </c>
      <c r="AG94" s="71"/>
      <c r="AH94" s="10" t="str">
        <f t="shared" si="54"/>
        <v/>
      </c>
      <c r="AI94" s="10" t="str">
        <f t="shared" si="71"/>
        <v/>
      </c>
      <c r="AJ94" s="71"/>
      <c r="AK94" s="10" t="str">
        <f t="shared" si="55"/>
        <v/>
      </c>
      <c r="AL94" s="10" t="str">
        <f t="shared" si="72"/>
        <v/>
      </c>
      <c r="AM94" s="71"/>
      <c r="AN94" s="10" t="str">
        <f t="shared" si="56"/>
        <v/>
      </c>
      <c r="AO94" s="10" t="str">
        <f t="shared" si="73"/>
        <v/>
      </c>
      <c r="AP94" s="71"/>
      <c r="AQ94" s="10" t="str">
        <f t="shared" si="57"/>
        <v/>
      </c>
      <c r="AR94" s="10" t="str">
        <f t="shared" si="74"/>
        <v/>
      </c>
      <c r="AS94" s="71"/>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U94" s="71"/>
      <c r="AV94" s="10" t="str">
        <f t="shared" si="58"/>
        <v/>
      </c>
      <c r="AW94" s="10" t="str">
        <f t="shared" si="59"/>
        <v/>
      </c>
      <c r="AX94" s="71"/>
      <c r="AY94" s="7" t="str">
        <f>IF(ISERROR(IF($K94&lt;=$F$15,VLOOKUP($I94,'表4）CO2価格'!$A$7:$E$67,VLOOKUP($F$48,'表4）CO2価格'!$H$10:$I$12,2,0),0)*$F$8/1000,"")),0,IF($K94&lt;=$F$15,VLOOKUP($I94,'表4）CO2価格'!$A$7:$E$67,VLOOKUP($F$48,'表4）CO2価格'!$H$10:$I$12,2,0),0)*$F$8/1000,""))</f>
        <v/>
      </c>
      <c r="AZ94" s="71"/>
      <c r="BA94" s="11" t="str">
        <f t="shared" si="60"/>
        <v/>
      </c>
      <c r="BB94" s="10" t="str">
        <f t="shared" si="75"/>
        <v/>
      </c>
      <c r="BC94" s="71"/>
      <c r="BD94" s="10" t="str">
        <f t="shared" si="61"/>
        <v/>
      </c>
      <c r="BE94" s="10" t="str">
        <f t="shared" si="76"/>
        <v/>
      </c>
      <c r="BF94" s="71"/>
      <c r="BG94" s="11" t="str">
        <f t="shared" si="62"/>
        <v/>
      </c>
      <c r="BH94" s="10" t="str">
        <f t="shared" si="77"/>
        <v/>
      </c>
      <c r="BJ94" s="7"/>
      <c r="BK94" s="158"/>
      <c r="BL94" s="158"/>
      <c r="BM94" s="10"/>
      <c r="BN94" s="10" t="str">
        <f>IF(AND(ISNUMBER($F$16),$K94&lt;=$F$16),BQ94*('バイオマス（木質専焼）（2030年）'!$O$15+'バイオマス（木質専焼）（2030年）'!$BK$116)/'バイオマス（木質専焼）（2030年）'!$BL$116,"")</f>
        <v/>
      </c>
      <c r="BO94" s="10" t="str">
        <f t="shared" si="78"/>
        <v/>
      </c>
      <c r="BQ94" s="10" t="str">
        <f t="shared" si="63"/>
        <v/>
      </c>
      <c r="BR94" s="10" t="str">
        <f t="shared" si="79"/>
        <v/>
      </c>
    </row>
    <row r="95" spans="4:70" ht="15" x14ac:dyDescent="0.15">
      <c r="D95" s="103"/>
      <c r="F95" s="487"/>
      <c r="I95" s="38">
        <f t="shared" si="80"/>
        <v>2110</v>
      </c>
      <c r="J95" s="39"/>
      <c r="K95" s="39">
        <f t="shared" si="81"/>
        <v>81</v>
      </c>
      <c r="L95" s="39"/>
      <c r="M95" s="40">
        <f t="shared" si="48"/>
        <v>9.1239899636133173E-2</v>
      </c>
      <c r="N95" s="39"/>
      <c r="O95" s="72" t="str">
        <f t="shared" si="64"/>
        <v/>
      </c>
      <c r="P95" s="41" t="str">
        <f t="shared" si="49"/>
        <v/>
      </c>
      <c r="Q95" s="39"/>
      <c r="R95" s="72" t="str">
        <f t="shared" si="65"/>
        <v/>
      </c>
      <c r="S95" s="39"/>
      <c r="T95" s="72" t="str">
        <f t="shared" si="66"/>
        <v/>
      </c>
      <c r="U95" s="39"/>
      <c r="V95" s="72" t="str">
        <f t="shared" si="50"/>
        <v/>
      </c>
      <c r="W95" s="72" t="str">
        <f t="shared" si="67"/>
        <v/>
      </c>
      <c r="X95" s="39"/>
      <c r="Y95" s="72" t="str">
        <f t="shared" si="51"/>
        <v/>
      </c>
      <c r="Z95" s="72" t="str">
        <f t="shared" si="68"/>
        <v/>
      </c>
      <c r="AA95" s="39"/>
      <c r="AB95" s="72" t="str">
        <f t="shared" si="52"/>
        <v/>
      </c>
      <c r="AC95" s="72" t="str">
        <f t="shared" si="69"/>
        <v/>
      </c>
      <c r="AD95" s="39"/>
      <c r="AE95" s="72" t="str">
        <f t="shared" si="53"/>
        <v/>
      </c>
      <c r="AF95" s="72" t="str">
        <f t="shared" si="70"/>
        <v/>
      </c>
      <c r="AG95" s="39"/>
      <c r="AH95" s="72" t="str">
        <f t="shared" si="54"/>
        <v/>
      </c>
      <c r="AI95" s="72" t="str">
        <f t="shared" si="71"/>
        <v/>
      </c>
      <c r="AJ95" s="39"/>
      <c r="AK95" s="72" t="str">
        <f t="shared" si="55"/>
        <v/>
      </c>
      <c r="AL95" s="72" t="str">
        <f t="shared" si="72"/>
        <v/>
      </c>
      <c r="AM95" s="39"/>
      <c r="AN95" s="72" t="str">
        <f t="shared" si="56"/>
        <v/>
      </c>
      <c r="AO95" s="72" t="str">
        <f t="shared" si="73"/>
        <v/>
      </c>
      <c r="AP95" s="39"/>
      <c r="AQ95" s="72" t="str">
        <f t="shared" si="57"/>
        <v/>
      </c>
      <c r="AR95" s="72" t="str">
        <f t="shared" si="74"/>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58"/>
        <v/>
      </c>
      <c r="AW95" s="72" t="str">
        <f t="shared" si="59"/>
        <v/>
      </c>
      <c r="AX95" s="39"/>
      <c r="AY95" s="40" t="str">
        <f>IF(ISERROR(IF($K95&lt;=$F$15,VLOOKUP($I95,'表4）CO2価格'!$A$7:$E$67,VLOOKUP($F$48,'表4）CO2価格'!$H$10:$I$12,2,0),0)*$F$8/1000,"")),0,IF($K95&lt;=$F$15,VLOOKUP($I95,'表4）CO2価格'!$A$7:$E$67,VLOOKUP($F$48,'表4）CO2価格'!$H$10:$I$12,2,0),0)*$F$8/1000,""))</f>
        <v/>
      </c>
      <c r="AZ95" s="39"/>
      <c r="BA95" s="42" t="str">
        <f t="shared" si="60"/>
        <v/>
      </c>
      <c r="BB95" s="72" t="str">
        <f t="shared" si="75"/>
        <v/>
      </c>
      <c r="BC95" s="39"/>
      <c r="BD95" s="72" t="str">
        <f t="shared" si="61"/>
        <v/>
      </c>
      <c r="BE95" s="72" t="str">
        <f t="shared" si="76"/>
        <v/>
      </c>
      <c r="BF95" s="39"/>
      <c r="BG95" s="42" t="str">
        <f t="shared" si="62"/>
        <v/>
      </c>
      <c r="BH95" s="72" t="str">
        <f t="shared" si="77"/>
        <v/>
      </c>
      <c r="BI95" s="39"/>
      <c r="BJ95" s="40"/>
      <c r="BK95" s="157"/>
      <c r="BL95" s="157"/>
      <c r="BM95" s="72"/>
      <c r="BN95" s="72" t="str">
        <f>IF(AND(ISNUMBER($F$16),$K95&lt;=$F$16),BQ95*('バイオマス（木質専焼）（2030年）'!$O$15+'バイオマス（木質専焼）（2030年）'!$BK$116)/'バイオマス（木質専焼）（2030年）'!$BL$116,"")</f>
        <v/>
      </c>
      <c r="BO95" s="72" t="str">
        <f t="shared" si="78"/>
        <v/>
      </c>
      <c r="BP95" s="39"/>
      <c r="BQ95" s="72" t="str">
        <f t="shared" si="63"/>
        <v/>
      </c>
      <c r="BR95" s="72" t="str">
        <f t="shared" si="79"/>
        <v/>
      </c>
    </row>
    <row r="96" spans="4:70" ht="15" x14ac:dyDescent="0.15">
      <c r="D96" s="103"/>
      <c r="E96" s="84" t="s">
        <v>597</v>
      </c>
      <c r="F96" s="488">
        <f>IF(F3&lt;&gt;"原子力",AW116/$BR$116,0)</f>
        <v>4.3950962769632689</v>
      </c>
      <c r="G96" s="84" t="s">
        <v>590</v>
      </c>
      <c r="I96" s="457">
        <f t="shared" si="80"/>
        <v>2111</v>
      </c>
      <c r="J96" s="71"/>
      <c r="K96" s="71">
        <f t="shared" si="81"/>
        <v>82</v>
      </c>
      <c r="L96" s="71"/>
      <c r="M96" s="7">
        <f t="shared" si="48"/>
        <v>8.8582426831197242E-2</v>
      </c>
      <c r="N96" s="71"/>
      <c r="O96" s="10" t="str">
        <f t="shared" si="64"/>
        <v/>
      </c>
      <c r="P96" s="29" t="str">
        <f t="shared" si="49"/>
        <v/>
      </c>
      <c r="Q96" s="71"/>
      <c r="R96" s="10" t="str">
        <f t="shared" si="65"/>
        <v/>
      </c>
      <c r="S96" s="71"/>
      <c r="T96" s="10" t="str">
        <f t="shared" si="66"/>
        <v/>
      </c>
      <c r="U96" s="71"/>
      <c r="V96" s="10" t="str">
        <f t="shared" si="50"/>
        <v/>
      </c>
      <c r="W96" s="10" t="str">
        <f t="shared" si="67"/>
        <v/>
      </c>
      <c r="X96" s="71"/>
      <c r="Y96" s="10" t="str">
        <f t="shared" si="51"/>
        <v/>
      </c>
      <c r="Z96" s="10" t="str">
        <f t="shared" si="68"/>
        <v/>
      </c>
      <c r="AA96" s="71"/>
      <c r="AB96" s="10" t="str">
        <f t="shared" si="52"/>
        <v/>
      </c>
      <c r="AC96" s="10" t="str">
        <f t="shared" si="69"/>
        <v/>
      </c>
      <c r="AD96" s="71"/>
      <c r="AE96" s="10" t="str">
        <f t="shared" si="53"/>
        <v/>
      </c>
      <c r="AF96" s="10" t="str">
        <f t="shared" si="70"/>
        <v/>
      </c>
      <c r="AG96" s="71"/>
      <c r="AH96" s="10" t="str">
        <f t="shared" si="54"/>
        <v/>
      </c>
      <c r="AI96" s="10" t="str">
        <f t="shared" si="71"/>
        <v/>
      </c>
      <c r="AJ96" s="71"/>
      <c r="AK96" s="10" t="str">
        <f t="shared" si="55"/>
        <v/>
      </c>
      <c r="AL96" s="10" t="str">
        <f t="shared" si="72"/>
        <v/>
      </c>
      <c r="AM96" s="71"/>
      <c r="AN96" s="10" t="str">
        <f t="shared" si="56"/>
        <v/>
      </c>
      <c r="AO96" s="10" t="str">
        <f t="shared" si="73"/>
        <v/>
      </c>
      <c r="AP96" s="71"/>
      <c r="AQ96" s="10" t="str">
        <f t="shared" si="57"/>
        <v/>
      </c>
      <c r="AR96" s="10" t="str">
        <f t="shared" si="74"/>
        <v/>
      </c>
      <c r="AS96" s="71"/>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U96" s="71"/>
      <c r="AV96" s="10" t="str">
        <f t="shared" si="58"/>
        <v/>
      </c>
      <c r="AW96" s="10" t="str">
        <f t="shared" si="59"/>
        <v/>
      </c>
      <c r="AX96" s="71"/>
      <c r="AY96" s="7" t="str">
        <f>IF(ISERROR(IF($K96&lt;=$F$15,VLOOKUP($I96,'表4）CO2価格'!$A$7:$E$67,VLOOKUP($F$48,'表4）CO2価格'!$H$10:$I$12,2,0),0)*$F$8/1000,"")),0,IF($K96&lt;=$F$15,VLOOKUP($I96,'表4）CO2価格'!$A$7:$E$67,VLOOKUP($F$48,'表4）CO2価格'!$H$10:$I$12,2,0),0)*$F$8/1000,""))</f>
        <v/>
      </c>
      <c r="AZ96" s="71"/>
      <c r="BA96" s="11" t="str">
        <f t="shared" si="60"/>
        <v/>
      </c>
      <c r="BB96" s="10" t="str">
        <f t="shared" si="75"/>
        <v/>
      </c>
      <c r="BC96" s="71"/>
      <c r="BD96" s="10" t="str">
        <f t="shared" si="61"/>
        <v/>
      </c>
      <c r="BE96" s="10" t="str">
        <f t="shared" si="76"/>
        <v/>
      </c>
      <c r="BF96" s="71"/>
      <c r="BG96" s="11" t="str">
        <f t="shared" si="62"/>
        <v/>
      </c>
      <c r="BH96" s="10" t="str">
        <f t="shared" si="77"/>
        <v/>
      </c>
      <c r="BJ96" s="7"/>
      <c r="BK96" s="158"/>
      <c r="BL96" s="158"/>
      <c r="BM96" s="10"/>
      <c r="BN96" s="10" t="str">
        <f>IF(AND(ISNUMBER($F$16),$K96&lt;=$F$16),BQ96*('バイオマス（木質専焼）（2030年）'!$O$15+'バイオマス（木質専焼）（2030年）'!$BK$116)/'バイオマス（木質専焼）（2030年）'!$BL$116,"")</f>
        <v/>
      </c>
      <c r="BO96" s="10" t="str">
        <f t="shared" si="78"/>
        <v/>
      </c>
      <c r="BQ96" s="10" t="str">
        <f t="shared" si="63"/>
        <v/>
      </c>
      <c r="BR96" s="10" t="str">
        <f t="shared" si="79"/>
        <v/>
      </c>
    </row>
    <row r="97" spans="4:70" ht="15" x14ac:dyDescent="0.15">
      <c r="D97" s="103"/>
      <c r="E97" s="84" t="s">
        <v>598</v>
      </c>
      <c r="F97" s="488">
        <f>IF(F3="原子力",#REF!,0)</f>
        <v>0</v>
      </c>
      <c r="G97" s="84" t="s">
        <v>590</v>
      </c>
      <c r="I97" s="38">
        <f t="shared" si="80"/>
        <v>2112</v>
      </c>
      <c r="J97" s="39"/>
      <c r="K97" s="39">
        <f t="shared" si="81"/>
        <v>83</v>
      </c>
      <c r="L97" s="39"/>
      <c r="M97" s="40">
        <f t="shared" si="48"/>
        <v>8.6002356146793454E-2</v>
      </c>
      <c r="N97" s="39"/>
      <c r="O97" s="72" t="str">
        <f t="shared" si="64"/>
        <v/>
      </c>
      <c r="P97" s="41" t="str">
        <f t="shared" si="49"/>
        <v/>
      </c>
      <c r="Q97" s="39"/>
      <c r="R97" s="72" t="str">
        <f t="shared" si="65"/>
        <v/>
      </c>
      <c r="S97" s="39"/>
      <c r="T97" s="72" t="str">
        <f t="shared" si="66"/>
        <v/>
      </c>
      <c r="U97" s="39"/>
      <c r="V97" s="72" t="str">
        <f t="shared" si="50"/>
        <v/>
      </c>
      <c r="W97" s="72" t="str">
        <f t="shared" si="67"/>
        <v/>
      </c>
      <c r="X97" s="39"/>
      <c r="Y97" s="72" t="str">
        <f t="shared" si="51"/>
        <v/>
      </c>
      <c r="Z97" s="72" t="str">
        <f t="shared" si="68"/>
        <v/>
      </c>
      <c r="AA97" s="39"/>
      <c r="AB97" s="72" t="str">
        <f t="shared" si="52"/>
        <v/>
      </c>
      <c r="AC97" s="72" t="str">
        <f t="shared" si="69"/>
        <v/>
      </c>
      <c r="AD97" s="39"/>
      <c r="AE97" s="72" t="str">
        <f t="shared" si="53"/>
        <v/>
      </c>
      <c r="AF97" s="72" t="str">
        <f t="shared" si="70"/>
        <v/>
      </c>
      <c r="AG97" s="39"/>
      <c r="AH97" s="72" t="str">
        <f t="shared" si="54"/>
        <v/>
      </c>
      <c r="AI97" s="72" t="str">
        <f t="shared" si="71"/>
        <v/>
      </c>
      <c r="AJ97" s="39"/>
      <c r="AK97" s="72" t="str">
        <f t="shared" si="55"/>
        <v/>
      </c>
      <c r="AL97" s="72" t="str">
        <f t="shared" si="72"/>
        <v/>
      </c>
      <c r="AM97" s="39"/>
      <c r="AN97" s="72" t="str">
        <f t="shared" si="56"/>
        <v/>
      </c>
      <c r="AO97" s="72" t="str">
        <f t="shared" si="73"/>
        <v/>
      </c>
      <c r="AP97" s="39"/>
      <c r="AQ97" s="72" t="str">
        <f t="shared" si="57"/>
        <v/>
      </c>
      <c r="AR97" s="72" t="str">
        <f t="shared" si="74"/>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58"/>
        <v/>
      </c>
      <c r="AW97" s="72" t="str">
        <f t="shared" si="59"/>
        <v/>
      </c>
      <c r="AX97" s="39"/>
      <c r="AY97" s="40" t="str">
        <f>IF(ISERROR(IF($K97&lt;=$F$15,VLOOKUP($I97,'表4）CO2価格'!$A$7:$E$67,VLOOKUP($F$48,'表4）CO2価格'!$H$10:$I$12,2,0),0)*$F$8/1000,"")),0,IF($K97&lt;=$F$15,VLOOKUP($I97,'表4）CO2価格'!$A$7:$E$67,VLOOKUP($F$48,'表4）CO2価格'!$H$10:$I$12,2,0),0)*$F$8/1000,""))</f>
        <v/>
      </c>
      <c r="AZ97" s="39"/>
      <c r="BA97" s="42" t="str">
        <f t="shared" si="60"/>
        <v/>
      </c>
      <c r="BB97" s="72" t="str">
        <f t="shared" si="75"/>
        <v/>
      </c>
      <c r="BC97" s="39"/>
      <c r="BD97" s="72" t="str">
        <f t="shared" si="61"/>
        <v/>
      </c>
      <c r="BE97" s="72" t="str">
        <f t="shared" si="76"/>
        <v/>
      </c>
      <c r="BF97" s="39"/>
      <c r="BG97" s="42" t="str">
        <f t="shared" si="62"/>
        <v/>
      </c>
      <c r="BH97" s="72" t="str">
        <f t="shared" si="77"/>
        <v/>
      </c>
      <c r="BI97" s="39"/>
      <c r="BJ97" s="40"/>
      <c r="BK97" s="157"/>
      <c r="BL97" s="157"/>
      <c r="BM97" s="72"/>
      <c r="BN97" s="72" t="str">
        <f>IF(AND(ISNUMBER($F$16),$K97&lt;=$F$16),BQ97*('バイオマス（木質専焼）（2030年）'!$O$15+'バイオマス（木質専焼）（2030年）'!$BK$116)/'バイオマス（木質専焼）（2030年）'!$BL$116,"")</f>
        <v/>
      </c>
      <c r="BO97" s="72" t="str">
        <f t="shared" si="78"/>
        <v/>
      </c>
      <c r="BP97" s="39"/>
      <c r="BQ97" s="72" t="str">
        <f t="shared" si="63"/>
        <v/>
      </c>
      <c r="BR97" s="72" t="str">
        <f t="shared" si="79"/>
        <v/>
      </c>
    </row>
    <row r="98" spans="4:70" x14ac:dyDescent="0.15">
      <c r="F98" s="487"/>
      <c r="I98" s="457">
        <f t="shared" si="80"/>
        <v>2113</v>
      </c>
      <c r="J98" s="71"/>
      <c r="K98" s="71">
        <f t="shared" si="81"/>
        <v>84</v>
      </c>
      <c r="L98" s="71"/>
      <c r="M98" s="7">
        <f t="shared" si="48"/>
        <v>8.3497433152226644E-2</v>
      </c>
      <c r="N98" s="71"/>
      <c r="O98" s="10" t="str">
        <f t="shared" si="64"/>
        <v/>
      </c>
      <c r="P98" s="29" t="str">
        <f t="shared" si="49"/>
        <v/>
      </c>
      <c r="Q98" s="71"/>
      <c r="R98" s="10" t="str">
        <f t="shared" si="65"/>
        <v/>
      </c>
      <c r="S98" s="71"/>
      <c r="T98" s="10" t="str">
        <f t="shared" si="66"/>
        <v/>
      </c>
      <c r="U98" s="71"/>
      <c r="V98" s="10" t="str">
        <f t="shared" si="50"/>
        <v/>
      </c>
      <c r="W98" s="10" t="str">
        <f t="shared" si="67"/>
        <v/>
      </c>
      <c r="X98" s="71"/>
      <c r="Y98" s="10" t="str">
        <f t="shared" si="51"/>
        <v/>
      </c>
      <c r="Z98" s="10" t="str">
        <f t="shared" si="68"/>
        <v/>
      </c>
      <c r="AA98" s="71"/>
      <c r="AB98" s="10" t="str">
        <f t="shared" si="52"/>
        <v/>
      </c>
      <c r="AC98" s="10" t="str">
        <f t="shared" si="69"/>
        <v/>
      </c>
      <c r="AD98" s="71"/>
      <c r="AE98" s="10" t="str">
        <f t="shared" si="53"/>
        <v/>
      </c>
      <c r="AF98" s="10" t="str">
        <f t="shared" si="70"/>
        <v/>
      </c>
      <c r="AG98" s="71"/>
      <c r="AH98" s="10" t="str">
        <f t="shared" si="54"/>
        <v/>
      </c>
      <c r="AI98" s="10" t="str">
        <f t="shared" si="71"/>
        <v/>
      </c>
      <c r="AJ98" s="71"/>
      <c r="AK98" s="10" t="str">
        <f t="shared" si="55"/>
        <v/>
      </c>
      <c r="AL98" s="10" t="str">
        <f t="shared" si="72"/>
        <v/>
      </c>
      <c r="AM98" s="71"/>
      <c r="AN98" s="10" t="str">
        <f t="shared" si="56"/>
        <v/>
      </c>
      <c r="AO98" s="10" t="str">
        <f t="shared" si="73"/>
        <v/>
      </c>
      <c r="AP98" s="71"/>
      <c r="AQ98" s="10" t="str">
        <f t="shared" si="57"/>
        <v/>
      </c>
      <c r="AR98" s="10" t="str">
        <f t="shared" si="74"/>
        <v/>
      </c>
      <c r="AS98" s="71"/>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U98" s="71"/>
      <c r="AV98" s="10" t="str">
        <f t="shared" si="58"/>
        <v/>
      </c>
      <c r="AW98" s="10" t="str">
        <f t="shared" si="59"/>
        <v/>
      </c>
      <c r="AX98" s="71"/>
      <c r="AY98" s="7" t="str">
        <f>IF(ISERROR(IF($K98&lt;=$F$15,VLOOKUP($I98,'表4）CO2価格'!$A$7:$E$67,VLOOKUP($F$48,'表4）CO2価格'!$H$10:$I$12,2,0),0)*$F$8/1000,"")),0,IF($K98&lt;=$F$15,VLOOKUP($I98,'表4）CO2価格'!$A$7:$E$67,VLOOKUP($F$48,'表4）CO2価格'!$H$10:$I$12,2,0),0)*$F$8/1000,""))</f>
        <v/>
      </c>
      <c r="AZ98" s="71"/>
      <c r="BA98" s="11" t="str">
        <f t="shared" si="60"/>
        <v/>
      </c>
      <c r="BB98" s="10" t="str">
        <f t="shared" si="75"/>
        <v/>
      </c>
      <c r="BC98" s="71"/>
      <c r="BD98" s="10" t="str">
        <f t="shared" si="61"/>
        <v/>
      </c>
      <c r="BE98" s="10" t="str">
        <f t="shared" si="76"/>
        <v/>
      </c>
      <c r="BF98" s="71"/>
      <c r="BG98" s="11" t="str">
        <f t="shared" si="62"/>
        <v/>
      </c>
      <c r="BH98" s="10" t="str">
        <f t="shared" si="77"/>
        <v/>
      </c>
      <c r="BJ98" s="7"/>
      <c r="BK98" s="158"/>
      <c r="BL98" s="158"/>
      <c r="BM98" s="10"/>
      <c r="BN98" s="10" t="str">
        <f>IF(AND(ISNUMBER($F$16),$K98&lt;=$F$16),BQ98*('バイオマス（木質専焼）（2030年）'!$O$15+'バイオマス（木質専焼）（2030年）'!$BK$116)/'バイオマス（木質専焼）（2030年）'!$BL$116,"")</f>
        <v/>
      </c>
      <c r="BO98" s="10" t="str">
        <f t="shared" si="78"/>
        <v/>
      </c>
      <c r="BQ98" s="10" t="str">
        <f t="shared" si="63"/>
        <v/>
      </c>
      <c r="BR98" s="10" t="str">
        <f t="shared" si="79"/>
        <v/>
      </c>
    </row>
    <row r="99" spans="4:70" ht="15" x14ac:dyDescent="0.15">
      <c r="D99" s="103" t="s">
        <v>599</v>
      </c>
      <c r="F99" s="484">
        <f>SUBTOTAL(9,F103:F105)</f>
        <v>5.0251792165186115</v>
      </c>
      <c r="G99" s="84" t="s">
        <v>590</v>
      </c>
      <c r="I99" s="38">
        <f t="shared" si="80"/>
        <v>2114</v>
      </c>
      <c r="J99" s="39"/>
      <c r="K99" s="39">
        <f t="shared" si="81"/>
        <v>85</v>
      </c>
      <c r="L99" s="39"/>
      <c r="M99" s="40">
        <f t="shared" si="48"/>
        <v>8.1065469079831712E-2</v>
      </c>
      <c r="N99" s="39"/>
      <c r="O99" s="72" t="str">
        <f t="shared" si="64"/>
        <v/>
      </c>
      <c r="P99" s="41" t="str">
        <f t="shared" si="49"/>
        <v/>
      </c>
      <c r="Q99" s="39"/>
      <c r="R99" s="72" t="str">
        <f t="shared" si="65"/>
        <v/>
      </c>
      <c r="S99" s="39"/>
      <c r="T99" s="72" t="str">
        <f t="shared" si="66"/>
        <v/>
      </c>
      <c r="U99" s="39"/>
      <c r="V99" s="72" t="str">
        <f t="shared" si="50"/>
        <v/>
      </c>
      <c r="W99" s="72" t="str">
        <f t="shared" si="67"/>
        <v/>
      </c>
      <c r="X99" s="39"/>
      <c r="Y99" s="72" t="str">
        <f t="shared" si="51"/>
        <v/>
      </c>
      <c r="Z99" s="72" t="str">
        <f t="shared" si="68"/>
        <v/>
      </c>
      <c r="AA99" s="39"/>
      <c r="AB99" s="72" t="str">
        <f t="shared" si="52"/>
        <v/>
      </c>
      <c r="AC99" s="72" t="str">
        <f t="shared" si="69"/>
        <v/>
      </c>
      <c r="AD99" s="39"/>
      <c r="AE99" s="72" t="str">
        <f t="shared" si="53"/>
        <v/>
      </c>
      <c r="AF99" s="72" t="str">
        <f t="shared" si="70"/>
        <v/>
      </c>
      <c r="AG99" s="39"/>
      <c r="AH99" s="72" t="str">
        <f t="shared" si="54"/>
        <v/>
      </c>
      <c r="AI99" s="72" t="str">
        <f t="shared" si="71"/>
        <v/>
      </c>
      <c r="AJ99" s="39"/>
      <c r="AK99" s="72" t="str">
        <f t="shared" si="55"/>
        <v/>
      </c>
      <c r="AL99" s="72" t="str">
        <f t="shared" si="72"/>
        <v/>
      </c>
      <c r="AM99" s="39"/>
      <c r="AN99" s="72" t="str">
        <f t="shared" si="56"/>
        <v/>
      </c>
      <c r="AO99" s="72" t="str">
        <f t="shared" si="73"/>
        <v/>
      </c>
      <c r="AP99" s="39"/>
      <c r="AQ99" s="72" t="str">
        <f t="shared" si="57"/>
        <v/>
      </c>
      <c r="AR99" s="72" t="str">
        <f t="shared" si="74"/>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58"/>
        <v/>
      </c>
      <c r="AW99" s="72" t="str">
        <f t="shared" si="59"/>
        <v/>
      </c>
      <c r="AX99" s="39"/>
      <c r="AY99" s="40" t="str">
        <f>IF(ISERROR(IF($K99&lt;=$F$15,VLOOKUP($I99,'表4）CO2価格'!$A$7:$E$67,VLOOKUP($F$48,'表4）CO2価格'!$H$10:$I$12,2,0),0)*$F$8/1000,"")),0,IF($K99&lt;=$F$15,VLOOKUP($I99,'表4）CO2価格'!$A$7:$E$67,VLOOKUP($F$48,'表4）CO2価格'!$H$10:$I$12,2,0),0)*$F$8/1000,""))</f>
        <v/>
      </c>
      <c r="AZ99" s="39"/>
      <c r="BA99" s="42" t="str">
        <f t="shared" si="60"/>
        <v/>
      </c>
      <c r="BB99" s="72" t="str">
        <f t="shared" si="75"/>
        <v/>
      </c>
      <c r="BC99" s="39"/>
      <c r="BD99" s="72" t="str">
        <f t="shared" si="61"/>
        <v/>
      </c>
      <c r="BE99" s="72" t="str">
        <f t="shared" si="76"/>
        <v/>
      </c>
      <c r="BF99" s="39"/>
      <c r="BG99" s="42" t="str">
        <f t="shared" si="62"/>
        <v/>
      </c>
      <c r="BH99" s="72" t="str">
        <f t="shared" si="77"/>
        <v/>
      </c>
      <c r="BI99" s="39"/>
      <c r="BJ99" s="40"/>
      <c r="BK99" s="157"/>
      <c r="BL99" s="157"/>
      <c r="BM99" s="72"/>
      <c r="BN99" s="72" t="str">
        <f>IF(AND(ISNUMBER($F$16),$K99&lt;=$F$16),BQ99*('バイオマス（木質専焼）（2030年）'!$O$15+'バイオマス（木質専焼）（2030年）'!$BK$116)/'バイオマス（木質専焼）（2030年）'!$BL$116,"")</f>
        <v/>
      </c>
      <c r="BO99" s="72" t="str">
        <f t="shared" si="78"/>
        <v/>
      </c>
      <c r="BP99" s="39"/>
      <c r="BQ99" s="72" t="str">
        <f t="shared" si="63"/>
        <v/>
      </c>
      <c r="BR99" s="72" t="str">
        <f t="shared" si="79"/>
        <v/>
      </c>
    </row>
    <row r="100" spans="4:70" x14ac:dyDescent="0.15">
      <c r="F100" s="487"/>
      <c r="I100" s="457">
        <f t="shared" si="80"/>
        <v>2115</v>
      </c>
      <c r="J100" s="71"/>
      <c r="K100" s="71">
        <f t="shared" si="81"/>
        <v>86</v>
      </c>
      <c r="L100" s="71"/>
      <c r="M100" s="7">
        <f t="shared" si="48"/>
        <v>7.8704338912457969E-2</v>
      </c>
      <c r="N100" s="71"/>
      <c r="O100" s="10" t="str">
        <f t="shared" si="64"/>
        <v/>
      </c>
      <c r="P100" s="29" t="str">
        <f t="shared" si="49"/>
        <v/>
      </c>
      <c r="Q100" s="71"/>
      <c r="R100" s="10" t="str">
        <f t="shared" si="65"/>
        <v/>
      </c>
      <c r="S100" s="71"/>
      <c r="T100" s="10" t="str">
        <f t="shared" si="66"/>
        <v/>
      </c>
      <c r="U100" s="71"/>
      <c r="V100" s="10" t="str">
        <f t="shared" si="50"/>
        <v/>
      </c>
      <c r="W100" s="10" t="str">
        <f t="shared" si="67"/>
        <v/>
      </c>
      <c r="X100" s="71"/>
      <c r="Y100" s="10" t="str">
        <f t="shared" si="51"/>
        <v/>
      </c>
      <c r="Z100" s="10" t="str">
        <f t="shared" si="68"/>
        <v/>
      </c>
      <c r="AA100" s="71"/>
      <c r="AB100" s="10" t="str">
        <f t="shared" si="52"/>
        <v/>
      </c>
      <c r="AC100" s="10" t="str">
        <f t="shared" si="69"/>
        <v/>
      </c>
      <c r="AD100" s="71"/>
      <c r="AE100" s="10" t="str">
        <f t="shared" si="53"/>
        <v/>
      </c>
      <c r="AF100" s="10" t="str">
        <f t="shared" si="70"/>
        <v/>
      </c>
      <c r="AG100" s="71"/>
      <c r="AH100" s="10" t="str">
        <f t="shared" si="54"/>
        <v/>
      </c>
      <c r="AI100" s="10" t="str">
        <f t="shared" si="71"/>
        <v/>
      </c>
      <c r="AJ100" s="71"/>
      <c r="AK100" s="10" t="str">
        <f t="shared" si="55"/>
        <v/>
      </c>
      <c r="AL100" s="10" t="str">
        <f t="shared" si="72"/>
        <v/>
      </c>
      <c r="AM100" s="71"/>
      <c r="AN100" s="10" t="str">
        <f t="shared" si="56"/>
        <v/>
      </c>
      <c r="AO100" s="10" t="str">
        <f t="shared" si="73"/>
        <v/>
      </c>
      <c r="AP100" s="71"/>
      <c r="AQ100" s="10" t="str">
        <f t="shared" si="57"/>
        <v/>
      </c>
      <c r="AR100" s="10" t="str">
        <f t="shared" si="74"/>
        <v/>
      </c>
      <c r="AS100" s="71"/>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U100" s="71"/>
      <c r="AV100" s="10" t="str">
        <f t="shared" si="58"/>
        <v/>
      </c>
      <c r="AW100" s="10" t="str">
        <f t="shared" si="59"/>
        <v/>
      </c>
      <c r="AX100" s="71"/>
      <c r="AY100" s="7" t="str">
        <f>IF(ISERROR(IF($K100&lt;=$F$15,VLOOKUP($I100,'表4）CO2価格'!$A$7:$E$67,VLOOKUP($F$48,'表4）CO2価格'!$H$10:$I$12,2,0),0)*$F$8/1000,"")),0,IF($K100&lt;=$F$15,VLOOKUP($I100,'表4）CO2価格'!$A$7:$E$67,VLOOKUP($F$48,'表4）CO2価格'!$H$10:$I$12,2,0),0)*$F$8/1000,""))</f>
        <v/>
      </c>
      <c r="AZ100" s="71"/>
      <c r="BA100" s="11" t="str">
        <f t="shared" si="60"/>
        <v/>
      </c>
      <c r="BB100" s="10" t="str">
        <f t="shared" si="75"/>
        <v/>
      </c>
      <c r="BC100" s="71"/>
      <c r="BD100" s="10" t="str">
        <f t="shared" si="61"/>
        <v/>
      </c>
      <c r="BE100" s="10" t="str">
        <f t="shared" si="76"/>
        <v/>
      </c>
      <c r="BF100" s="71"/>
      <c r="BG100" s="11" t="str">
        <f t="shared" si="62"/>
        <v/>
      </c>
      <c r="BH100" s="10" t="str">
        <f t="shared" si="77"/>
        <v/>
      </c>
      <c r="BJ100" s="7"/>
      <c r="BK100" s="158"/>
      <c r="BL100" s="158"/>
      <c r="BM100" s="10"/>
      <c r="BN100" s="10" t="str">
        <f>IF(AND(ISNUMBER($F$16),$K100&lt;=$F$16),BQ100*('バイオマス（木質専焼）（2030年）'!$O$15+'バイオマス（木質専焼）（2030年）'!$BK$116)/'バイオマス（木質専焼）（2030年）'!$BL$116,"")</f>
        <v/>
      </c>
      <c r="BO100" s="10" t="str">
        <f t="shared" si="78"/>
        <v/>
      </c>
      <c r="BQ100" s="10" t="str">
        <f t="shared" si="63"/>
        <v/>
      </c>
      <c r="BR100" s="10" t="str">
        <f t="shared" si="79"/>
        <v/>
      </c>
    </row>
    <row r="101" spans="4:70" x14ac:dyDescent="0.15">
      <c r="D101" s="100" t="s">
        <v>600</v>
      </c>
      <c r="E101" s="100"/>
      <c r="F101" s="486"/>
      <c r="G101" s="100"/>
      <c r="I101" s="38">
        <f t="shared" si="80"/>
        <v>2116</v>
      </c>
      <c r="J101" s="39"/>
      <c r="K101" s="39">
        <f t="shared" si="81"/>
        <v>87</v>
      </c>
      <c r="L101" s="39"/>
      <c r="M101" s="40">
        <f t="shared" si="48"/>
        <v>7.6411979526658208E-2</v>
      </c>
      <c r="N101" s="39"/>
      <c r="O101" s="72" t="str">
        <f t="shared" si="64"/>
        <v/>
      </c>
      <c r="P101" s="41" t="str">
        <f t="shared" si="49"/>
        <v/>
      </c>
      <c r="Q101" s="39"/>
      <c r="R101" s="72" t="str">
        <f t="shared" si="65"/>
        <v/>
      </c>
      <c r="S101" s="39"/>
      <c r="T101" s="72" t="str">
        <f t="shared" si="66"/>
        <v/>
      </c>
      <c r="U101" s="39"/>
      <c r="V101" s="72" t="str">
        <f t="shared" si="50"/>
        <v/>
      </c>
      <c r="W101" s="72" t="str">
        <f t="shared" si="67"/>
        <v/>
      </c>
      <c r="X101" s="39"/>
      <c r="Y101" s="72" t="str">
        <f t="shared" si="51"/>
        <v/>
      </c>
      <c r="Z101" s="72" t="str">
        <f t="shared" si="68"/>
        <v/>
      </c>
      <c r="AA101" s="39"/>
      <c r="AB101" s="72" t="str">
        <f t="shared" si="52"/>
        <v/>
      </c>
      <c r="AC101" s="72" t="str">
        <f t="shared" si="69"/>
        <v/>
      </c>
      <c r="AD101" s="39"/>
      <c r="AE101" s="72" t="str">
        <f t="shared" si="53"/>
        <v/>
      </c>
      <c r="AF101" s="72" t="str">
        <f t="shared" si="70"/>
        <v/>
      </c>
      <c r="AG101" s="39"/>
      <c r="AH101" s="72" t="str">
        <f t="shared" si="54"/>
        <v/>
      </c>
      <c r="AI101" s="72" t="str">
        <f t="shared" si="71"/>
        <v/>
      </c>
      <c r="AJ101" s="39"/>
      <c r="AK101" s="72" t="str">
        <f t="shared" si="55"/>
        <v/>
      </c>
      <c r="AL101" s="72" t="str">
        <f t="shared" si="72"/>
        <v/>
      </c>
      <c r="AM101" s="39"/>
      <c r="AN101" s="72" t="str">
        <f t="shared" si="56"/>
        <v/>
      </c>
      <c r="AO101" s="72" t="str">
        <f t="shared" si="73"/>
        <v/>
      </c>
      <c r="AP101" s="39"/>
      <c r="AQ101" s="72" t="str">
        <f t="shared" si="57"/>
        <v/>
      </c>
      <c r="AR101" s="72" t="str">
        <f t="shared" si="74"/>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58"/>
        <v/>
      </c>
      <c r="AW101" s="72" t="str">
        <f t="shared" si="59"/>
        <v/>
      </c>
      <c r="AX101" s="39"/>
      <c r="AY101" s="40" t="str">
        <f>IF(ISERROR(IF($K101&lt;=$F$15,VLOOKUP($I101,'表4）CO2価格'!$A$7:$E$67,VLOOKUP($F$48,'表4）CO2価格'!$H$10:$I$12,2,0),0)*$F$8/1000,"")),0,IF($K101&lt;=$F$15,VLOOKUP($I101,'表4）CO2価格'!$A$7:$E$67,VLOOKUP($F$48,'表4）CO2価格'!$H$10:$I$12,2,0),0)*$F$8/1000,""))</f>
        <v/>
      </c>
      <c r="AZ101" s="39"/>
      <c r="BA101" s="42" t="str">
        <f t="shared" si="60"/>
        <v/>
      </c>
      <c r="BB101" s="72" t="str">
        <f t="shared" si="75"/>
        <v/>
      </c>
      <c r="BC101" s="39"/>
      <c r="BD101" s="72" t="str">
        <f t="shared" si="61"/>
        <v/>
      </c>
      <c r="BE101" s="72" t="str">
        <f t="shared" si="76"/>
        <v/>
      </c>
      <c r="BF101" s="39"/>
      <c r="BG101" s="42" t="str">
        <f t="shared" si="62"/>
        <v/>
      </c>
      <c r="BH101" s="72" t="str">
        <f t="shared" si="77"/>
        <v/>
      </c>
      <c r="BI101" s="39"/>
      <c r="BJ101" s="40"/>
      <c r="BK101" s="157"/>
      <c r="BL101" s="157"/>
      <c r="BM101" s="72"/>
      <c r="BN101" s="72" t="str">
        <f>IF(AND(ISNUMBER($F$16),$K101&lt;=$F$16),BQ101*('バイオマス（木質専焼）（2030年）'!$O$15+'バイオマス（木質専焼）（2030年）'!$BK$116)/'バイオマス（木質専焼）（2030年）'!$BL$116,"")</f>
        <v/>
      </c>
      <c r="BO101" s="72" t="str">
        <f t="shared" si="78"/>
        <v/>
      </c>
      <c r="BP101" s="39"/>
      <c r="BQ101" s="72" t="str">
        <f t="shared" si="63"/>
        <v/>
      </c>
      <c r="BR101" s="72" t="str">
        <f t="shared" si="79"/>
        <v/>
      </c>
    </row>
    <row r="102" spans="4:70" x14ac:dyDescent="0.15">
      <c r="F102" s="487"/>
      <c r="I102" s="457">
        <f t="shared" si="80"/>
        <v>2117</v>
      </c>
      <c r="J102" s="71"/>
      <c r="K102" s="71">
        <f t="shared" si="81"/>
        <v>88</v>
      </c>
      <c r="L102" s="71"/>
      <c r="M102" s="7">
        <f t="shared" si="48"/>
        <v>7.4186387889959446E-2</v>
      </c>
      <c r="N102" s="71"/>
      <c r="O102" s="10" t="str">
        <f t="shared" si="64"/>
        <v/>
      </c>
      <c r="P102" s="29" t="str">
        <f t="shared" si="49"/>
        <v/>
      </c>
      <c r="Q102" s="71"/>
      <c r="R102" s="10" t="str">
        <f t="shared" si="65"/>
        <v/>
      </c>
      <c r="S102" s="71"/>
      <c r="T102" s="10" t="str">
        <f t="shared" si="66"/>
        <v/>
      </c>
      <c r="U102" s="71"/>
      <c r="V102" s="10" t="str">
        <f t="shared" si="50"/>
        <v/>
      </c>
      <c r="W102" s="10" t="str">
        <f t="shared" si="67"/>
        <v/>
      </c>
      <c r="X102" s="71"/>
      <c r="Y102" s="10" t="str">
        <f t="shared" si="51"/>
        <v/>
      </c>
      <c r="Z102" s="10" t="str">
        <f t="shared" si="68"/>
        <v/>
      </c>
      <c r="AA102" s="71"/>
      <c r="AB102" s="10" t="str">
        <f t="shared" si="52"/>
        <v/>
      </c>
      <c r="AC102" s="10" t="str">
        <f t="shared" si="69"/>
        <v/>
      </c>
      <c r="AD102" s="71"/>
      <c r="AE102" s="10" t="str">
        <f t="shared" si="53"/>
        <v/>
      </c>
      <c r="AF102" s="10" t="str">
        <f t="shared" si="70"/>
        <v/>
      </c>
      <c r="AG102" s="71"/>
      <c r="AH102" s="10" t="str">
        <f t="shared" si="54"/>
        <v/>
      </c>
      <c r="AI102" s="10" t="str">
        <f t="shared" si="71"/>
        <v/>
      </c>
      <c r="AJ102" s="71"/>
      <c r="AK102" s="10" t="str">
        <f t="shared" si="55"/>
        <v/>
      </c>
      <c r="AL102" s="10" t="str">
        <f t="shared" si="72"/>
        <v/>
      </c>
      <c r="AM102" s="71"/>
      <c r="AN102" s="10" t="str">
        <f t="shared" si="56"/>
        <v/>
      </c>
      <c r="AO102" s="10" t="str">
        <f t="shared" si="73"/>
        <v/>
      </c>
      <c r="AP102" s="71"/>
      <c r="AQ102" s="10" t="str">
        <f t="shared" si="57"/>
        <v/>
      </c>
      <c r="AR102" s="10" t="str">
        <f t="shared" si="74"/>
        <v/>
      </c>
      <c r="AS102" s="71"/>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U102" s="71"/>
      <c r="AV102" s="10" t="str">
        <f t="shared" si="58"/>
        <v/>
      </c>
      <c r="AW102" s="10" t="str">
        <f t="shared" si="59"/>
        <v/>
      </c>
      <c r="AX102" s="71"/>
      <c r="AY102" s="7" t="str">
        <f>IF(ISERROR(IF($K102&lt;=$F$15,VLOOKUP($I102,'表4）CO2価格'!$A$7:$E$67,VLOOKUP($F$48,'表4）CO2価格'!$H$10:$I$12,2,0),0)*$F$8/1000,"")),0,IF($K102&lt;=$F$15,VLOOKUP($I102,'表4）CO2価格'!$A$7:$E$67,VLOOKUP($F$48,'表4）CO2価格'!$H$10:$I$12,2,0),0)*$F$8/1000,""))</f>
        <v/>
      </c>
      <c r="AZ102" s="71"/>
      <c r="BA102" s="11" t="str">
        <f t="shared" si="60"/>
        <v/>
      </c>
      <c r="BB102" s="10" t="str">
        <f t="shared" si="75"/>
        <v/>
      </c>
      <c r="BC102" s="71"/>
      <c r="BD102" s="10" t="str">
        <f t="shared" si="61"/>
        <v/>
      </c>
      <c r="BE102" s="10" t="str">
        <f t="shared" si="76"/>
        <v/>
      </c>
      <c r="BF102" s="71"/>
      <c r="BG102" s="11" t="str">
        <f t="shared" si="62"/>
        <v/>
      </c>
      <c r="BH102" s="10" t="str">
        <f t="shared" si="77"/>
        <v/>
      </c>
      <c r="BJ102" s="7"/>
      <c r="BK102" s="158"/>
      <c r="BL102" s="158"/>
      <c r="BM102" s="10"/>
      <c r="BN102" s="10" t="str">
        <f>IF(AND(ISNUMBER($F$16),$K102&lt;=$F$16),BQ102*('バイオマス（木質専焼）（2030年）'!$O$15+'バイオマス（木質専焼）（2030年）'!$BK$116)/'バイオマス（木質専焼）（2030年）'!$BL$116,"")</f>
        <v/>
      </c>
      <c r="BO102" s="10" t="str">
        <f t="shared" si="78"/>
        <v/>
      </c>
      <c r="BQ102" s="10" t="str">
        <f t="shared" si="63"/>
        <v/>
      </c>
      <c r="BR102" s="10" t="str">
        <f t="shared" si="79"/>
        <v/>
      </c>
    </row>
    <row r="103" spans="4:70" x14ac:dyDescent="0.15">
      <c r="E103" s="84" t="s">
        <v>601</v>
      </c>
      <c r="F103" s="488">
        <f>BB116/$BR$116</f>
        <v>4.794620796336627</v>
      </c>
      <c r="G103" s="84" t="s">
        <v>590</v>
      </c>
      <c r="I103" s="38">
        <f t="shared" si="80"/>
        <v>2118</v>
      </c>
      <c r="J103" s="39"/>
      <c r="K103" s="39">
        <f t="shared" si="81"/>
        <v>89</v>
      </c>
      <c r="L103" s="39"/>
      <c r="M103" s="40">
        <f t="shared" si="48"/>
        <v>7.2025619310640235E-2</v>
      </c>
      <c r="N103" s="39"/>
      <c r="O103" s="72" t="str">
        <f t="shared" si="64"/>
        <v/>
      </c>
      <c r="P103" s="41" t="str">
        <f t="shared" si="49"/>
        <v/>
      </c>
      <c r="Q103" s="39"/>
      <c r="R103" s="72" t="str">
        <f t="shared" si="65"/>
        <v/>
      </c>
      <c r="S103" s="39"/>
      <c r="T103" s="72" t="str">
        <f t="shared" si="66"/>
        <v/>
      </c>
      <c r="U103" s="39"/>
      <c r="V103" s="72" t="str">
        <f t="shared" si="50"/>
        <v/>
      </c>
      <c r="W103" s="72" t="str">
        <f t="shared" si="67"/>
        <v/>
      </c>
      <c r="X103" s="39"/>
      <c r="Y103" s="72" t="str">
        <f t="shared" si="51"/>
        <v/>
      </c>
      <c r="Z103" s="72" t="str">
        <f t="shared" si="68"/>
        <v/>
      </c>
      <c r="AA103" s="39"/>
      <c r="AB103" s="72" t="str">
        <f t="shared" si="52"/>
        <v/>
      </c>
      <c r="AC103" s="72" t="str">
        <f t="shared" si="69"/>
        <v/>
      </c>
      <c r="AD103" s="39"/>
      <c r="AE103" s="72" t="str">
        <f t="shared" si="53"/>
        <v/>
      </c>
      <c r="AF103" s="72" t="str">
        <f t="shared" si="70"/>
        <v/>
      </c>
      <c r="AG103" s="39"/>
      <c r="AH103" s="72" t="str">
        <f t="shared" si="54"/>
        <v/>
      </c>
      <c r="AI103" s="72" t="str">
        <f t="shared" si="71"/>
        <v/>
      </c>
      <c r="AJ103" s="39"/>
      <c r="AK103" s="72" t="str">
        <f t="shared" si="55"/>
        <v/>
      </c>
      <c r="AL103" s="72" t="str">
        <f t="shared" si="72"/>
        <v/>
      </c>
      <c r="AM103" s="39"/>
      <c r="AN103" s="72" t="str">
        <f t="shared" si="56"/>
        <v/>
      </c>
      <c r="AO103" s="72" t="str">
        <f t="shared" si="73"/>
        <v/>
      </c>
      <c r="AP103" s="39"/>
      <c r="AQ103" s="72" t="str">
        <f t="shared" si="57"/>
        <v/>
      </c>
      <c r="AR103" s="72" t="str">
        <f t="shared" si="74"/>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58"/>
        <v/>
      </c>
      <c r="AW103" s="72" t="str">
        <f t="shared" si="59"/>
        <v/>
      </c>
      <c r="AX103" s="39"/>
      <c r="AY103" s="40" t="str">
        <f>IF(ISERROR(IF($K103&lt;=$F$15,VLOOKUP($I103,'表4）CO2価格'!$A$7:$E$67,VLOOKUP($F$48,'表4）CO2価格'!$H$10:$I$12,2,0),0)*$F$8/1000,"")),0,IF($K103&lt;=$F$15,VLOOKUP($I103,'表4）CO2価格'!$A$7:$E$67,VLOOKUP($F$48,'表4）CO2価格'!$H$10:$I$12,2,0),0)*$F$8/1000,""))</f>
        <v/>
      </c>
      <c r="AZ103" s="39"/>
      <c r="BA103" s="42" t="str">
        <f t="shared" si="60"/>
        <v/>
      </c>
      <c r="BB103" s="72" t="str">
        <f t="shared" si="75"/>
        <v/>
      </c>
      <c r="BC103" s="39"/>
      <c r="BD103" s="72" t="str">
        <f t="shared" si="61"/>
        <v/>
      </c>
      <c r="BE103" s="72" t="str">
        <f t="shared" si="76"/>
        <v/>
      </c>
      <c r="BF103" s="39"/>
      <c r="BG103" s="42" t="str">
        <f t="shared" si="62"/>
        <v/>
      </c>
      <c r="BH103" s="72" t="str">
        <f t="shared" si="77"/>
        <v/>
      </c>
      <c r="BI103" s="39"/>
      <c r="BJ103" s="40"/>
      <c r="BK103" s="157"/>
      <c r="BL103" s="157"/>
      <c r="BM103" s="72"/>
      <c r="BN103" s="72" t="str">
        <f>IF(AND(ISNUMBER($F$16),$K103&lt;=$F$16),BQ103*('バイオマス（木質専焼）（2030年）'!$O$15+'バイオマス（木質専焼）（2030年）'!$BK$116)/'バイオマス（木質専焼）（2030年）'!$BL$116,"")</f>
        <v/>
      </c>
      <c r="BO103" s="72" t="str">
        <f t="shared" si="78"/>
        <v/>
      </c>
      <c r="BP103" s="39"/>
      <c r="BQ103" s="72" t="str">
        <f t="shared" si="63"/>
        <v/>
      </c>
      <c r="BR103" s="72" t="str">
        <f t="shared" si="79"/>
        <v/>
      </c>
    </row>
    <row r="104" spans="4:70" x14ac:dyDescent="0.15">
      <c r="E104" s="84" t="s">
        <v>602</v>
      </c>
      <c r="F104" s="488">
        <f>IF(ISERROR(F60*(1/F61)/F62),0,F60*(1/F61)/F62)</f>
        <v>0</v>
      </c>
      <c r="G104" s="84" t="s">
        <v>590</v>
      </c>
      <c r="I104" s="457">
        <f t="shared" si="80"/>
        <v>2119</v>
      </c>
      <c r="J104" s="71"/>
      <c r="K104" s="71">
        <f t="shared" si="81"/>
        <v>90</v>
      </c>
      <c r="L104" s="71"/>
      <c r="M104" s="7">
        <f t="shared" si="48"/>
        <v>6.9927785738485654E-2</v>
      </c>
      <c r="N104" s="71"/>
      <c r="O104" s="10" t="str">
        <f t="shared" si="64"/>
        <v/>
      </c>
      <c r="P104" s="29" t="str">
        <f t="shared" si="49"/>
        <v/>
      </c>
      <c r="Q104" s="71"/>
      <c r="R104" s="10" t="str">
        <f t="shared" si="65"/>
        <v/>
      </c>
      <c r="S104" s="71"/>
      <c r="T104" s="10" t="str">
        <f t="shared" si="66"/>
        <v/>
      </c>
      <c r="U104" s="71"/>
      <c r="V104" s="10" t="str">
        <f t="shared" si="50"/>
        <v/>
      </c>
      <c r="W104" s="10" t="str">
        <f t="shared" si="67"/>
        <v/>
      </c>
      <c r="X104" s="71"/>
      <c r="Y104" s="10" t="str">
        <f t="shared" si="51"/>
        <v/>
      </c>
      <c r="Z104" s="10" t="str">
        <f t="shared" si="68"/>
        <v/>
      </c>
      <c r="AA104" s="71"/>
      <c r="AB104" s="10" t="str">
        <f t="shared" si="52"/>
        <v/>
      </c>
      <c r="AC104" s="10" t="str">
        <f t="shared" si="69"/>
        <v/>
      </c>
      <c r="AD104" s="71"/>
      <c r="AE104" s="10" t="str">
        <f t="shared" si="53"/>
        <v/>
      </c>
      <c r="AF104" s="10" t="str">
        <f t="shared" si="70"/>
        <v/>
      </c>
      <c r="AG104" s="71"/>
      <c r="AH104" s="10" t="str">
        <f t="shared" si="54"/>
        <v/>
      </c>
      <c r="AI104" s="10" t="str">
        <f t="shared" si="71"/>
        <v/>
      </c>
      <c r="AJ104" s="71"/>
      <c r="AK104" s="10" t="str">
        <f t="shared" si="55"/>
        <v/>
      </c>
      <c r="AL104" s="10" t="str">
        <f t="shared" si="72"/>
        <v/>
      </c>
      <c r="AM104" s="71"/>
      <c r="AN104" s="10" t="str">
        <f t="shared" si="56"/>
        <v/>
      </c>
      <c r="AO104" s="10" t="str">
        <f t="shared" si="73"/>
        <v/>
      </c>
      <c r="AP104" s="71"/>
      <c r="AQ104" s="10" t="str">
        <f t="shared" si="57"/>
        <v/>
      </c>
      <c r="AR104" s="10" t="str">
        <f t="shared" si="74"/>
        <v/>
      </c>
      <c r="AS104" s="71"/>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U104" s="71"/>
      <c r="AV104" s="10" t="str">
        <f t="shared" si="58"/>
        <v/>
      </c>
      <c r="AW104" s="10" t="str">
        <f t="shared" si="59"/>
        <v/>
      </c>
      <c r="AX104" s="71"/>
      <c r="AY104" s="7" t="str">
        <f>IF(ISERROR(IF($K104&lt;=$F$15,VLOOKUP($I104,'表4）CO2価格'!$A$7:$E$67,VLOOKUP($F$48,'表4）CO2価格'!$H$10:$I$12,2,0),0)*$F$8/1000,"")),0,IF($K104&lt;=$F$15,VLOOKUP($I104,'表4）CO2価格'!$A$7:$E$67,VLOOKUP($F$48,'表4）CO2価格'!$H$10:$I$12,2,0),0)*$F$8/1000,""))</f>
        <v/>
      </c>
      <c r="AZ104" s="71"/>
      <c r="BA104" s="11" t="str">
        <f t="shared" si="60"/>
        <v/>
      </c>
      <c r="BB104" s="10" t="str">
        <f t="shared" si="75"/>
        <v/>
      </c>
      <c r="BC104" s="71"/>
      <c r="BD104" s="10" t="str">
        <f t="shared" si="61"/>
        <v/>
      </c>
      <c r="BE104" s="10" t="str">
        <f t="shared" si="76"/>
        <v/>
      </c>
      <c r="BF104" s="71"/>
      <c r="BG104" s="11" t="str">
        <f t="shared" si="62"/>
        <v/>
      </c>
      <c r="BH104" s="10" t="str">
        <f t="shared" si="77"/>
        <v/>
      </c>
      <c r="BJ104" s="7"/>
      <c r="BK104" s="158"/>
      <c r="BL104" s="158"/>
      <c r="BM104" s="10"/>
      <c r="BN104" s="10" t="str">
        <f>IF(AND(ISNUMBER($F$16),$K104&lt;=$F$16),BQ104*('バイオマス（木質専焼）（2030年）'!$O$15+'バイオマス（木質専焼）（2030年）'!$BK$116)/'バイオマス（木質専焼）（2030年）'!$BL$116,"")</f>
        <v/>
      </c>
      <c r="BO104" s="10" t="str">
        <f t="shared" si="78"/>
        <v/>
      </c>
      <c r="BQ104" s="10" t="str">
        <f t="shared" si="63"/>
        <v/>
      </c>
      <c r="BR104" s="10" t="str">
        <f t="shared" si="79"/>
        <v/>
      </c>
    </row>
    <row r="105" spans="4:70" x14ac:dyDescent="0.15">
      <c r="E105" s="71" t="s">
        <v>603</v>
      </c>
      <c r="F105" s="488">
        <f>F64</f>
        <v>0.23055842018198416</v>
      </c>
      <c r="G105" s="84" t="s">
        <v>590</v>
      </c>
      <c r="I105" s="38">
        <f t="shared" si="80"/>
        <v>2120</v>
      </c>
      <c r="J105" s="39"/>
      <c r="K105" s="39">
        <f t="shared" si="81"/>
        <v>91</v>
      </c>
      <c r="L105" s="39"/>
      <c r="M105" s="40">
        <f t="shared" si="48"/>
        <v>6.7891054115034627E-2</v>
      </c>
      <c r="N105" s="39"/>
      <c r="O105" s="72" t="str">
        <f t="shared" si="64"/>
        <v/>
      </c>
      <c r="P105" s="41" t="str">
        <f t="shared" si="49"/>
        <v/>
      </c>
      <c r="Q105" s="39"/>
      <c r="R105" s="72" t="str">
        <f t="shared" si="65"/>
        <v/>
      </c>
      <c r="S105" s="39"/>
      <c r="T105" s="72" t="str">
        <f t="shared" si="66"/>
        <v/>
      </c>
      <c r="U105" s="39"/>
      <c r="V105" s="72" t="str">
        <f t="shared" si="50"/>
        <v/>
      </c>
      <c r="W105" s="72" t="str">
        <f t="shared" si="67"/>
        <v/>
      </c>
      <c r="X105" s="39"/>
      <c r="Y105" s="72" t="str">
        <f t="shared" si="51"/>
        <v/>
      </c>
      <c r="Z105" s="72" t="str">
        <f t="shared" si="68"/>
        <v/>
      </c>
      <c r="AA105" s="39"/>
      <c r="AB105" s="72" t="str">
        <f t="shared" si="52"/>
        <v/>
      </c>
      <c r="AC105" s="72" t="str">
        <f t="shared" si="69"/>
        <v/>
      </c>
      <c r="AD105" s="39"/>
      <c r="AE105" s="72" t="str">
        <f t="shared" si="53"/>
        <v/>
      </c>
      <c r="AF105" s="72" t="str">
        <f t="shared" si="70"/>
        <v/>
      </c>
      <c r="AG105" s="39"/>
      <c r="AH105" s="72" t="str">
        <f t="shared" si="54"/>
        <v/>
      </c>
      <c r="AI105" s="72" t="str">
        <f t="shared" si="71"/>
        <v/>
      </c>
      <c r="AJ105" s="39"/>
      <c r="AK105" s="72" t="str">
        <f t="shared" si="55"/>
        <v/>
      </c>
      <c r="AL105" s="72" t="str">
        <f t="shared" si="72"/>
        <v/>
      </c>
      <c r="AM105" s="39"/>
      <c r="AN105" s="72" t="str">
        <f t="shared" si="56"/>
        <v/>
      </c>
      <c r="AO105" s="72" t="str">
        <f t="shared" si="73"/>
        <v/>
      </c>
      <c r="AP105" s="39"/>
      <c r="AQ105" s="72" t="str">
        <f t="shared" si="57"/>
        <v/>
      </c>
      <c r="AR105" s="72" t="str">
        <f t="shared" si="74"/>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58"/>
        <v/>
      </c>
      <c r="AW105" s="72" t="str">
        <f t="shared" si="59"/>
        <v/>
      </c>
      <c r="AX105" s="39"/>
      <c r="AY105" s="40" t="str">
        <f>IF(ISERROR(IF($K105&lt;=$F$15,VLOOKUP($I105,'表4）CO2価格'!$A$7:$E$67,VLOOKUP($F$48,'表4）CO2価格'!$H$10:$I$12,2,0),0)*$F$8/1000,"")),0,IF($K105&lt;=$F$15,VLOOKUP($I105,'表4）CO2価格'!$A$7:$E$67,VLOOKUP($F$48,'表4）CO2価格'!$H$10:$I$12,2,0),0)*$F$8/1000,""))</f>
        <v/>
      </c>
      <c r="AZ105" s="39"/>
      <c r="BA105" s="42" t="str">
        <f t="shared" si="60"/>
        <v/>
      </c>
      <c r="BB105" s="72" t="str">
        <f t="shared" si="75"/>
        <v/>
      </c>
      <c r="BC105" s="39"/>
      <c r="BD105" s="72" t="str">
        <f t="shared" si="61"/>
        <v/>
      </c>
      <c r="BE105" s="72" t="str">
        <f t="shared" si="76"/>
        <v/>
      </c>
      <c r="BF105" s="39"/>
      <c r="BG105" s="42" t="str">
        <f t="shared" si="62"/>
        <v/>
      </c>
      <c r="BH105" s="72" t="str">
        <f t="shared" si="77"/>
        <v/>
      </c>
      <c r="BI105" s="39"/>
      <c r="BJ105" s="40"/>
      <c r="BK105" s="157"/>
      <c r="BL105" s="157"/>
      <c r="BM105" s="72"/>
      <c r="BN105" s="72" t="str">
        <f>IF(AND(ISNUMBER($F$16),$K105&lt;=$F$16),BQ105*('バイオマス（木質専焼）（2030年）'!$O$15+'バイオマス（木質専焼）（2030年）'!$BK$116)/'バイオマス（木質専焼）（2030年）'!$BL$116,"")</f>
        <v/>
      </c>
      <c r="BO105" s="72" t="str">
        <f t="shared" si="78"/>
        <v/>
      </c>
      <c r="BP105" s="39"/>
      <c r="BQ105" s="72" t="str">
        <f t="shared" si="63"/>
        <v/>
      </c>
      <c r="BR105" s="72" t="str">
        <f t="shared" si="79"/>
        <v/>
      </c>
    </row>
    <row r="106" spans="4:70" x14ac:dyDescent="0.15">
      <c r="F106" s="487"/>
      <c r="I106" s="457">
        <f t="shared" si="80"/>
        <v>2121</v>
      </c>
      <c r="J106" s="71"/>
      <c r="K106" s="71">
        <f t="shared" si="81"/>
        <v>92</v>
      </c>
      <c r="L106" s="71"/>
      <c r="M106" s="7">
        <f t="shared" si="48"/>
        <v>6.5913644771878277E-2</v>
      </c>
      <c r="N106" s="71"/>
      <c r="O106" s="10" t="str">
        <f t="shared" si="64"/>
        <v/>
      </c>
      <c r="P106" s="29" t="str">
        <f t="shared" si="49"/>
        <v/>
      </c>
      <c r="Q106" s="71"/>
      <c r="R106" s="10" t="str">
        <f t="shared" si="65"/>
        <v/>
      </c>
      <c r="S106" s="71"/>
      <c r="T106" s="10" t="str">
        <f t="shared" si="66"/>
        <v/>
      </c>
      <c r="U106" s="71"/>
      <c r="V106" s="10" t="str">
        <f t="shared" si="50"/>
        <v/>
      </c>
      <c r="W106" s="10" t="str">
        <f t="shared" si="67"/>
        <v/>
      </c>
      <c r="X106" s="71"/>
      <c r="Y106" s="10" t="str">
        <f t="shared" si="51"/>
        <v/>
      </c>
      <c r="Z106" s="10" t="str">
        <f t="shared" si="68"/>
        <v/>
      </c>
      <c r="AA106" s="71"/>
      <c r="AB106" s="10" t="str">
        <f t="shared" si="52"/>
        <v/>
      </c>
      <c r="AC106" s="10" t="str">
        <f t="shared" si="69"/>
        <v/>
      </c>
      <c r="AD106" s="71"/>
      <c r="AE106" s="10" t="str">
        <f t="shared" si="53"/>
        <v/>
      </c>
      <c r="AF106" s="10" t="str">
        <f t="shared" si="70"/>
        <v/>
      </c>
      <c r="AG106" s="71"/>
      <c r="AH106" s="10" t="str">
        <f t="shared" si="54"/>
        <v/>
      </c>
      <c r="AI106" s="10" t="str">
        <f t="shared" si="71"/>
        <v/>
      </c>
      <c r="AJ106" s="71"/>
      <c r="AK106" s="10" t="str">
        <f t="shared" si="55"/>
        <v/>
      </c>
      <c r="AL106" s="10" t="str">
        <f t="shared" si="72"/>
        <v/>
      </c>
      <c r="AM106" s="71"/>
      <c r="AN106" s="10" t="str">
        <f t="shared" si="56"/>
        <v/>
      </c>
      <c r="AO106" s="10" t="str">
        <f t="shared" si="73"/>
        <v/>
      </c>
      <c r="AP106" s="71"/>
      <c r="AQ106" s="10" t="str">
        <f t="shared" si="57"/>
        <v/>
      </c>
      <c r="AR106" s="10" t="str">
        <f t="shared" si="74"/>
        <v/>
      </c>
      <c r="AS106" s="71"/>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U106" s="71"/>
      <c r="AV106" s="10" t="str">
        <f t="shared" si="58"/>
        <v/>
      </c>
      <c r="AW106" s="10" t="str">
        <f t="shared" si="59"/>
        <v/>
      </c>
      <c r="AX106" s="71"/>
      <c r="AY106" s="7" t="str">
        <f>IF(ISERROR(IF($K106&lt;=$F$15,VLOOKUP($I106,'表4）CO2価格'!$A$7:$E$67,VLOOKUP($F$48,'表4）CO2価格'!$H$10:$I$12,2,0),0)*$F$8/1000,"")),0,IF($K106&lt;=$F$15,VLOOKUP($I106,'表4）CO2価格'!$A$7:$E$67,VLOOKUP($F$48,'表4）CO2価格'!$H$10:$I$12,2,0),0)*$F$8/1000,""))</f>
        <v/>
      </c>
      <c r="AZ106" s="71"/>
      <c r="BA106" s="11" t="str">
        <f t="shared" si="60"/>
        <v/>
      </c>
      <c r="BB106" s="10" t="str">
        <f t="shared" si="75"/>
        <v/>
      </c>
      <c r="BC106" s="71"/>
      <c r="BD106" s="10" t="str">
        <f t="shared" si="61"/>
        <v/>
      </c>
      <c r="BE106" s="10" t="str">
        <f t="shared" si="76"/>
        <v/>
      </c>
      <c r="BF106" s="71"/>
      <c r="BG106" s="11" t="str">
        <f t="shared" si="62"/>
        <v/>
      </c>
      <c r="BH106" s="10" t="str">
        <f t="shared" si="77"/>
        <v/>
      </c>
      <c r="BJ106" s="7"/>
      <c r="BK106" s="158"/>
      <c r="BL106" s="158"/>
      <c r="BM106" s="10"/>
      <c r="BN106" s="10" t="str">
        <f>IF(AND(ISNUMBER($F$16),$K106&lt;=$F$16),BQ106*('バイオマス（木質専焼）（2030年）'!$O$15+'バイオマス（木質専焼）（2030年）'!$BK$116)/'バイオマス（木質専焼）（2030年）'!$BL$116,"")</f>
        <v/>
      </c>
      <c r="BO106" s="10" t="str">
        <f t="shared" si="78"/>
        <v/>
      </c>
      <c r="BQ106" s="10" t="str">
        <f t="shared" si="63"/>
        <v/>
      </c>
      <c r="BR106" s="10" t="str">
        <f t="shared" si="79"/>
        <v/>
      </c>
    </row>
    <row r="107" spans="4:70" ht="15" x14ac:dyDescent="0.15">
      <c r="D107" s="103" t="s">
        <v>604</v>
      </c>
      <c r="F107" s="484">
        <f>SUBTOTAL(9,F111:F112)</f>
        <v>0</v>
      </c>
      <c r="G107" s="84" t="s">
        <v>590</v>
      </c>
      <c r="I107" s="38">
        <f t="shared" si="80"/>
        <v>2122</v>
      </c>
      <c r="J107" s="39"/>
      <c r="K107" s="39">
        <f t="shared" si="81"/>
        <v>93</v>
      </c>
      <c r="L107" s="39"/>
      <c r="M107" s="40">
        <f t="shared" si="48"/>
        <v>6.3993829875609989E-2</v>
      </c>
      <c r="N107" s="39"/>
      <c r="O107" s="72" t="str">
        <f t="shared" si="64"/>
        <v/>
      </c>
      <c r="P107" s="41" t="str">
        <f t="shared" si="49"/>
        <v/>
      </c>
      <c r="Q107" s="39"/>
      <c r="R107" s="72" t="str">
        <f t="shared" si="65"/>
        <v/>
      </c>
      <c r="S107" s="39"/>
      <c r="T107" s="72" t="str">
        <f t="shared" si="66"/>
        <v/>
      </c>
      <c r="U107" s="39"/>
      <c r="V107" s="72" t="str">
        <f t="shared" si="50"/>
        <v/>
      </c>
      <c r="W107" s="72" t="str">
        <f t="shared" si="67"/>
        <v/>
      </c>
      <c r="X107" s="39"/>
      <c r="Y107" s="72" t="str">
        <f t="shared" si="51"/>
        <v/>
      </c>
      <c r="Z107" s="72" t="str">
        <f t="shared" si="68"/>
        <v/>
      </c>
      <c r="AA107" s="39"/>
      <c r="AB107" s="72" t="str">
        <f t="shared" si="52"/>
        <v/>
      </c>
      <c r="AC107" s="72" t="str">
        <f t="shared" si="69"/>
        <v/>
      </c>
      <c r="AD107" s="39"/>
      <c r="AE107" s="72" t="str">
        <f t="shared" si="53"/>
        <v/>
      </c>
      <c r="AF107" s="72" t="str">
        <f t="shared" si="70"/>
        <v/>
      </c>
      <c r="AG107" s="39"/>
      <c r="AH107" s="72" t="str">
        <f t="shared" si="54"/>
        <v/>
      </c>
      <c r="AI107" s="72" t="str">
        <f t="shared" si="71"/>
        <v/>
      </c>
      <c r="AJ107" s="39"/>
      <c r="AK107" s="72" t="str">
        <f t="shared" si="55"/>
        <v/>
      </c>
      <c r="AL107" s="72" t="str">
        <f t="shared" si="72"/>
        <v/>
      </c>
      <c r="AM107" s="39"/>
      <c r="AN107" s="72" t="str">
        <f t="shared" si="56"/>
        <v/>
      </c>
      <c r="AO107" s="72" t="str">
        <f t="shared" si="73"/>
        <v/>
      </c>
      <c r="AP107" s="39"/>
      <c r="AQ107" s="72" t="str">
        <f t="shared" si="57"/>
        <v/>
      </c>
      <c r="AR107" s="72" t="str">
        <f t="shared" si="74"/>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58"/>
        <v/>
      </c>
      <c r="AW107" s="72" t="str">
        <f t="shared" si="59"/>
        <v/>
      </c>
      <c r="AX107" s="39"/>
      <c r="AY107" s="40" t="str">
        <f>IF(ISERROR(IF($K107&lt;=$F$15,VLOOKUP($I107,'表4）CO2価格'!$A$7:$E$67,VLOOKUP($F$48,'表4）CO2価格'!$H$10:$I$12,2,0),0)*$F$8/1000,"")),0,IF($K107&lt;=$F$15,VLOOKUP($I107,'表4）CO2価格'!$A$7:$E$67,VLOOKUP($F$48,'表4）CO2価格'!$H$10:$I$12,2,0),0)*$F$8/1000,""))</f>
        <v/>
      </c>
      <c r="AZ107" s="39"/>
      <c r="BA107" s="42" t="str">
        <f t="shared" si="60"/>
        <v/>
      </c>
      <c r="BB107" s="72" t="str">
        <f t="shared" si="75"/>
        <v/>
      </c>
      <c r="BC107" s="39"/>
      <c r="BD107" s="72" t="str">
        <f t="shared" si="61"/>
        <v/>
      </c>
      <c r="BE107" s="72" t="str">
        <f t="shared" si="76"/>
        <v/>
      </c>
      <c r="BF107" s="39"/>
      <c r="BG107" s="42" t="str">
        <f t="shared" si="62"/>
        <v/>
      </c>
      <c r="BH107" s="72" t="str">
        <f t="shared" si="77"/>
        <v/>
      </c>
      <c r="BI107" s="39"/>
      <c r="BJ107" s="40"/>
      <c r="BK107" s="157"/>
      <c r="BL107" s="157"/>
      <c r="BM107" s="72"/>
      <c r="BN107" s="72" t="str">
        <f>IF(AND(ISNUMBER($F$16),$K107&lt;=$F$16),BQ107*('バイオマス（木質専焼）（2030年）'!$O$15+'バイオマス（木質専焼）（2030年）'!$BK$116)/'バイオマス（木質専焼）（2030年）'!$BL$116,"")</f>
        <v/>
      </c>
      <c r="BO107" s="72" t="str">
        <f t="shared" si="78"/>
        <v/>
      </c>
      <c r="BP107" s="39"/>
      <c r="BQ107" s="72" t="str">
        <f t="shared" si="63"/>
        <v/>
      </c>
      <c r="BR107" s="72" t="str">
        <f t="shared" si="79"/>
        <v/>
      </c>
    </row>
    <row r="108" spans="4:70" ht="15" x14ac:dyDescent="0.15">
      <c r="D108" s="103"/>
      <c r="F108" s="487"/>
      <c r="I108" s="457">
        <f t="shared" si="80"/>
        <v>2123</v>
      </c>
      <c r="J108" s="71"/>
      <c r="K108" s="71">
        <f t="shared" si="81"/>
        <v>94</v>
      </c>
      <c r="L108" s="71"/>
      <c r="M108" s="7">
        <f t="shared" si="48"/>
        <v>6.212993191806794E-2</v>
      </c>
      <c r="N108" s="71"/>
      <c r="O108" s="10" t="str">
        <f t="shared" si="64"/>
        <v/>
      </c>
      <c r="P108" s="29" t="str">
        <f t="shared" si="49"/>
        <v/>
      </c>
      <c r="Q108" s="71"/>
      <c r="R108" s="10" t="str">
        <f t="shared" si="65"/>
        <v/>
      </c>
      <c r="S108" s="71"/>
      <c r="T108" s="10" t="str">
        <f t="shared" si="66"/>
        <v/>
      </c>
      <c r="U108" s="71"/>
      <c r="V108" s="10" t="str">
        <f t="shared" si="50"/>
        <v/>
      </c>
      <c r="W108" s="10" t="str">
        <f t="shared" si="67"/>
        <v/>
      </c>
      <c r="X108" s="71"/>
      <c r="Y108" s="10" t="str">
        <f t="shared" si="51"/>
        <v/>
      </c>
      <c r="Z108" s="10" t="str">
        <f t="shared" si="68"/>
        <v/>
      </c>
      <c r="AA108" s="71"/>
      <c r="AB108" s="10" t="str">
        <f t="shared" si="52"/>
        <v/>
      </c>
      <c r="AC108" s="10" t="str">
        <f t="shared" si="69"/>
        <v/>
      </c>
      <c r="AD108" s="71"/>
      <c r="AE108" s="10" t="str">
        <f t="shared" si="53"/>
        <v/>
      </c>
      <c r="AF108" s="10" t="str">
        <f t="shared" si="70"/>
        <v/>
      </c>
      <c r="AG108" s="71"/>
      <c r="AH108" s="10" t="str">
        <f t="shared" si="54"/>
        <v/>
      </c>
      <c r="AI108" s="10" t="str">
        <f t="shared" si="71"/>
        <v/>
      </c>
      <c r="AJ108" s="71"/>
      <c r="AK108" s="10" t="str">
        <f t="shared" si="55"/>
        <v/>
      </c>
      <c r="AL108" s="10" t="str">
        <f t="shared" si="72"/>
        <v/>
      </c>
      <c r="AM108" s="71"/>
      <c r="AN108" s="10" t="str">
        <f t="shared" si="56"/>
        <v/>
      </c>
      <c r="AO108" s="10" t="str">
        <f t="shared" si="73"/>
        <v/>
      </c>
      <c r="AP108" s="71"/>
      <c r="AQ108" s="10" t="str">
        <f t="shared" si="57"/>
        <v/>
      </c>
      <c r="AR108" s="10" t="str">
        <f t="shared" si="74"/>
        <v/>
      </c>
      <c r="AS108" s="71"/>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U108" s="71"/>
      <c r="AV108" s="10" t="str">
        <f t="shared" si="58"/>
        <v/>
      </c>
      <c r="AW108" s="10" t="str">
        <f t="shared" si="59"/>
        <v/>
      </c>
      <c r="AX108" s="71"/>
      <c r="AY108" s="7" t="str">
        <f>IF(ISERROR(IF($K108&lt;=$F$15,VLOOKUP($I108,'表4）CO2価格'!$A$7:$E$67,VLOOKUP($F$48,'表4）CO2価格'!$H$10:$I$12,2,0),0)*$F$8/1000,"")),0,IF($K108&lt;=$F$15,VLOOKUP($I108,'表4）CO2価格'!$A$7:$E$67,VLOOKUP($F$48,'表4）CO2価格'!$H$10:$I$12,2,0),0)*$F$8/1000,""))</f>
        <v/>
      </c>
      <c r="AZ108" s="71"/>
      <c r="BA108" s="11" t="str">
        <f t="shared" si="60"/>
        <v/>
      </c>
      <c r="BB108" s="10" t="str">
        <f t="shared" si="75"/>
        <v/>
      </c>
      <c r="BC108" s="71"/>
      <c r="BD108" s="10" t="str">
        <f t="shared" si="61"/>
        <v/>
      </c>
      <c r="BE108" s="10" t="str">
        <f t="shared" si="76"/>
        <v/>
      </c>
      <c r="BF108" s="71"/>
      <c r="BG108" s="11" t="str">
        <f t="shared" si="62"/>
        <v/>
      </c>
      <c r="BH108" s="10" t="str">
        <f t="shared" si="77"/>
        <v/>
      </c>
      <c r="BJ108" s="7"/>
      <c r="BK108" s="158"/>
      <c r="BL108" s="158"/>
      <c r="BM108" s="10"/>
      <c r="BN108" s="10" t="str">
        <f>IF(AND(ISNUMBER($F$16),$K108&lt;=$F$16),BQ108*('バイオマス（木質専焼）（2030年）'!$O$15+'バイオマス（木質専焼）（2030年）'!$BK$116)/'バイオマス（木質専焼）（2030年）'!$BL$116,"")</f>
        <v/>
      </c>
      <c r="BO108" s="10" t="str">
        <f t="shared" si="78"/>
        <v/>
      </c>
      <c r="BQ108" s="10" t="str">
        <f t="shared" si="63"/>
        <v/>
      </c>
      <c r="BR108" s="10" t="str">
        <f t="shared" si="79"/>
        <v/>
      </c>
    </row>
    <row r="109" spans="4:70" x14ac:dyDescent="0.15">
      <c r="D109" s="100" t="s">
        <v>605</v>
      </c>
      <c r="E109" s="100"/>
      <c r="F109" s="486"/>
      <c r="G109" s="100"/>
      <c r="I109" s="38">
        <f t="shared" si="80"/>
        <v>2124</v>
      </c>
      <c r="J109" s="39"/>
      <c r="K109" s="39">
        <f t="shared" si="81"/>
        <v>95</v>
      </c>
      <c r="L109" s="39"/>
      <c r="M109" s="40">
        <f t="shared" si="48"/>
        <v>6.0320322250551395E-2</v>
      </c>
      <c r="N109" s="39"/>
      <c r="O109" s="72" t="str">
        <f t="shared" si="64"/>
        <v/>
      </c>
      <c r="P109" s="41" t="str">
        <f t="shared" si="49"/>
        <v/>
      </c>
      <c r="Q109" s="39"/>
      <c r="R109" s="72" t="str">
        <f t="shared" si="65"/>
        <v/>
      </c>
      <c r="S109" s="39"/>
      <c r="T109" s="72" t="str">
        <f t="shared" si="66"/>
        <v/>
      </c>
      <c r="U109" s="39"/>
      <c r="V109" s="72" t="str">
        <f t="shared" si="50"/>
        <v/>
      </c>
      <c r="W109" s="72" t="str">
        <f t="shared" si="67"/>
        <v/>
      </c>
      <c r="X109" s="39"/>
      <c r="Y109" s="72" t="str">
        <f t="shared" si="51"/>
        <v/>
      </c>
      <c r="Z109" s="72" t="str">
        <f t="shared" si="68"/>
        <v/>
      </c>
      <c r="AA109" s="39"/>
      <c r="AB109" s="72" t="str">
        <f t="shared" si="52"/>
        <v/>
      </c>
      <c r="AC109" s="72" t="str">
        <f t="shared" si="69"/>
        <v/>
      </c>
      <c r="AD109" s="39"/>
      <c r="AE109" s="72" t="str">
        <f t="shared" si="53"/>
        <v/>
      </c>
      <c r="AF109" s="72" t="str">
        <f t="shared" si="70"/>
        <v/>
      </c>
      <c r="AG109" s="39"/>
      <c r="AH109" s="72" t="str">
        <f t="shared" si="54"/>
        <v/>
      </c>
      <c r="AI109" s="72" t="str">
        <f t="shared" si="71"/>
        <v/>
      </c>
      <c r="AJ109" s="39"/>
      <c r="AK109" s="72" t="str">
        <f t="shared" si="55"/>
        <v/>
      </c>
      <c r="AL109" s="72" t="str">
        <f t="shared" si="72"/>
        <v/>
      </c>
      <c r="AM109" s="39"/>
      <c r="AN109" s="72" t="str">
        <f t="shared" si="56"/>
        <v/>
      </c>
      <c r="AO109" s="72" t="str">
        <f t="shared" si="73"/>
        <v/>
      </c>
      <c r="AP109" s="39"/>
      <c r="AQ109" s="72" t="str">
        <f t="shared" si="57"/>
        <v/>
      </c>
      <c r="AR109" s="72" t="str">
        <f t="shared" si="74"/>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58"/>
        <v/>
      </c>
      <c r="AW109" s="72" t="str">
        <f t="shared" si="59"/>
        <v/>
      </c>
      <c r="AX109" s="39"/>
      <c r="AY109" s="40" t="str">
        <f>IF(ISERROR(IF($K109&lt;=$F$15,VLOOKUP($I109,'表4）CO2価格'!$A$7:$E$67,VLOOKUP($F$48,'表4）CO2価格'!$H$10:$I$12,2,0),0)*$F$8/1000,"")),0,IF($K109&lt;=$F$15,VLOOKUP($I109,'表4）CO2価格'!$A$7:$E$67,VLOOKUP($F$48,'表4）CO2価格'!$H$10:$I$12,2,0),0)*$F$8/1000,""))</f>
        <v/>
      </c>
      <c r="AZ109" s="39"/>
      <c r="BA109" s="42" t="str">
        <f t="shared" si="60"/>
        <v/>
      </c>
      <c r="BB109" s="72" t="str">
        <f t="shared" si="75"/>
        <v/>
      </c>
      <c r="BC109" s="39"/>
      <c r="BD109" s="72" t="str">
        <f t="shared" si="61"/>
        <v/>
      </c>
      <c r="BE109" s="72" t="str">
        <f t="shared" si="76"/>
        <v/>
      </c>
      <c r="BF109" s="39"/>
      <c r="BG109" s="42" t="str">
        <f t="shared" si="62"/>
        <v/>
      </c>
      <c r="BH109" s="72" t="str">
        <f t="shared" si="77"/>
        <v/>
      </c>
      <c r="BI109" s="39"/>
      <c r="BJ109" s="40"/>
      <c r="BK109" s="157"/>
      <c r="BL109" s="157"/>
      <c r="BM109" s="72"/>
      <c r="BN109" s="72" t="str">
        <f>IF(AND(ISNUMBER($F$16),$K109&lt;=$F$16),BQ109*('バイオマス（木質専焼）（2030年）'!$O$15+'バイオマス（木質専焼）（2030年）'!$BK$116)/'バイオマス（木質専焼）（2030年）'!$BL$116,"")</f>
        <v/>
      </c>
      <c r="BO109" s="72" t="str">
        <f t="shared" si="78"/>
        <v/>
      </c>
      <c r="BP109" s="39"/>
      <c r="BQ109" s="72" t="str">
        <f t="shared" si="63"/>
        <v/>
      </c>
      <c r="BR109" s="72" t="str">
        <f t="shared" si="79"/>
        <v/>
      </c>
    </row>
    <row r="110" spans="4:70" ht="15" x14ac:dyDescent="0.15">
      <c r="D110" s="103"/>
      <c r="F110" s="487"/>
      <c r="I110" s="457">
        <f t="shared" si="80"/>
        <v>2125</v>
      </c>
      <c r="J110" s="71"/>
      <c r="K110" s="71">
        <f t="shared" si="81"/>
        <v>96</v>
      </c>
      <c r="L110" s="71"/>
      <c r="M110" s="7">
        <f t="shared" si="48"/>
        <v>5.8563419660729518E-2</v>
      </c>
      <c r="N110" s="71"/>
      <c r="O110" s="10" t="str">
        <f t="shared" si="64"/>
        <v/>
      </c>
      <c r="P110" s="29" t="str">
        <f t="shared" si="49"/>
        <v/>
      </c>
      <c r="Q110" s="71"/>
      <c r="R110" s="10" t="str">
        <f t="shared" si="65"/>
        <v/>
      </c>
      <c r="S110" s="71"/>
      <c r="T110" s="10" t="str">
        <f t="shared" si="66"/>
        <v/>
      </c>
      <c r="U110" s="71"/>
      <c r="V110" s="10" t="str">
        <f t="shared" si="50"/>
        <v/>
      </c>
      <c r="W110" s="10" t="str">
        <f t="shared" si="67"/>
        <v/>
      </c>
      <c r="X110" s="71"/>
      <c r="Y110" s="10" t="str">
        <f t="shared" si="51"/>
        <v/>
      </c>
      <c r="Z110" s="10" t="str">
        <f t="shared" si="68"/>
        <v/>
      </c>
      <c r="AA110" s="71"/>
      <c r="AB110" s="10" t="str">
        <f t="shared" si="52"/>
        <v/>
      </c>
      <c r="AC110" s="10" t="str">
        <f t="shared" si="69"/>
        <v/>
      </c>
      <c r="AD110" s="71"/>
      <c r="AE110" s="10" t="str">
        <f t="shared" si="53"/>
        <v/>
      </c>
      <c r="AF110" s="10" t="str">
        <f t="shared" si="70"/>
        <v/>
      </c>
      <c r="AG110" s="71"/>
      <c r="AH110" s="10" t="str">
        <f t="shared" si="54"/>
        <v/>
      </c>
      <c r="AI110" s="10" t="str">
        <f t="shared" si="71"/>
        <v/>
      </c>
      <c r="AJ110" s="71"/>
      <c r="AK110" s="10" t="str">
        <f t="shared" si="55"/>
        <v/>
      </c>
      <c r="AL110" s="10" t="str">
        <f t="shared" si="72"/>
        <v/>
      </c>
      <c r="AM110" s="71"/>
      <c r="AN110" s="10" t="str">
        <f t="shared" si="56"/>
        <v/>
      </c>
      <c r="AO110" s="10" t="str">
        <f t="shared" si="73"/>
        <v/>
      </c>
      <c r="AP110" s="71"/>
      <c r="AQ110" s="10" t="str">
        <f t="shared" si="57"/>
        <v/>
      </c>
      <c r="AR110" s="10" t="str">
        <f t="shared" si="74"/>
        <v/>
      </c>
      <c r="AS110" s="71"/>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U110" s="71"/>
      <c r="AV110" s="10" t="str">
        <f t="shared" si="58"/>
        <v/>
      </c>
      <c r="AW110" s="10" t="str">
        <f t="shared" si="59"/>
        <v/>
      </c>
      <c r="AX110" s="71"/>
      <c r="AY110" s="7" t="str">
        <f>IF(ISERROR(IF($K110&lt;=$F$15,VLOOKUP($I110,'表4）CO2価格'!$A$7:$E$67,VLOOKUP($F$48,'表4）CO2価格'!$H$10:$I$12,2,0),0)*$F$8/1000,"")),0,IF($K110&lt;=$F$15,VLOOKUP($I110,'表4）CO2価格'!$A$7:$E$67,VLOOKUP($F$48,'表4）CO2価格'!$H$10:$I$12,2,0),0)*$F$8/1000,""))</f>
        <v/>
      </c>
      <c r="AZ110" s="71"/>
      <c r="BA110" s="11" t="str">
        <f t="shared" si="60"/>
        <v/>
      </c>
      <c r="BB110" s="10" t="str">
        <f t="shared" si="75"/>
        <v/>
      </c>
      <c r="BC110" s="71"/>
      <c r="BD110" s="10" t="str">
        <f t="shared" si="61"/>
        <v/>
      </c>
      <c r="BE110" s="10" t="str">
        <f t="shared" si="76"/>
        <v/>
      </c>
      <c r="BF110" s="71"/>
      <c r="BG110" s="11" t="str">
        <f t="shared" si="62"/>
        <v/>
      </c>
      <c r="BH110" s="10" t="str">
        <f t="shared" si="77"/>
        <v/>
      </c>
      <c r="BJ110" s="7"/>
      <c r="BK110" s="158"/>
      <c r="BL110" s="158"/>
      <c r="BM110" s="10"/>
      <c r="BN110" s="10" t="str">
        <f>IF(AND(ISNUMBER($F$16),$K110&lt;=$F$16),BQ110*('バイオマス（木質専焼）（2030年）'!$O$15+'バイオマス（木質専焼）（2030年）'!$BK$116)/'バイオマス（木質専焼）（2030年）'!$BL$116,"")</f>
        <v/>
      </c>
      <c r="BO110" s="10" t="str">
        <f t="shared" si="78"/>
        <v/>
      </c>
      <c r="BQ110" s="10" t="str">
        <f t="shared" si="63"/>
        <v/>
      </c>
      <c r="BR110" s="10" t="str">
        <f t="shared" si="79"/>
        <v/>
      </c>
    </row>
    <row r="111" spans="4:70" ht="15" x14ac:dyDescent="0.15">
      <c r="D111" s="103"/>
      <c r="E111" s="84" t="s">
        <v>606</v>
      </c>
      <c r="F111" s="488">
        <f>-BE116/BR116</f>
        <v>0</v>
      </c>
      <c r="G111" s="84" t="s">
        <v>590</v>
      </c>
      <c r="I111" s="38">
        <f t="shared" si="80"/>
        <v>2126</v>
      </c>
      <c r="J111" s="39"/>
      <c r="K111" s="39">
        <f t="shared" si="81"/>
        <v>97</v>
      </c>
      <c r="L111" s="39"/>
      <c r="M111" s="40">
        <f t="shared" si="48"/>
        <v>5.6857688990999529E-2</v>
      </c>
      <c r="N111" s="39"/>
      <c r="O111" s="72" t="str">
        <f t="shared" si="64"/>
        <v/>
      </c>
      <c r="P111" s="41" t="str">
        <f>IF(K111&lt;=$F$15,IF(OR(P110=$F$124,P110="-"),"-",IF(O111*$F$123&gt;$F$127,$F$123,$F$124)),"")</f>
        <v/>
      </c>
      <c r="Q111" s="39"/>
      <c r="R111" s="72" t="str">
        <f t="shared" si="65"/>
        <v/>
      </c>
      <c r="S111" s="39"/>
      <c r="T111" s="72" t="str">
        <f t="shared" si="66"/>
        <v/>
      </c>
      <c r="U111" s="39"/>
      <c r="V111" s="72" t="str">
        <f t="shared" si="50"/>
        <v/>
      </c>
      <c r="W111" s="72" t="str">
        <f t="shared" si="67"/>
        <v/>
      </c>
      <c r="X111" s="39"/>
      <c r="Y111" s="72" t="str">
        <f t="shared" si="51"/>
        <v/>
      </c>
      <c r="Z111" s="72" t="str">
        <f t="shared" si="68"/>
        <v/>
      </c>
      <c r="AA111" s="39"/>
      <c r="AB111" s="72" t="str">
        <f t="shared" si="52"/>
        <v/>
      </c>
      <c r="AC111" s="72" t="str">
        <f t="shared" si="69"/>
        <v/>
      </c>
      <c r="AD111" s="39"/>
      <c r="AE111" s="72" t="str">
        <f t="shared" si="53"/>
        <v/>
      </c>
      <c r="AF111" s="72" t="str">
        <f t="shared" si="70"/>
        <v/>
      </c>
      <c r="AG111" s="39"/>
      <c r="AH111" s="72" t="str">
        <f t="shared" si="54"/>
        <v/>
      </c>
      <c r="AI111" s="72" t="str">
        <f t="shared" si="71"/>
        <v/>
      </c>
      <c r="AJ111" s="39"/>
      <c r="AK111" s="72" t="str">
        <f t="shared" si="55"/>
        <v/>
      </c>
      <c r="AL111" s="72" t="str">
        <f t="shared" si="72"/>
        <v/>
      </c>
      <c r="AM111" s="39"/>
      <c r="AN111" s="72" t="str">
        <f t="shared" si="56"/>
        <v/>
      </c>
      <c r="AO111" s="72" t="str">
        <f t="shared" si="73"/>
        <v/>
      </c>
      <c r="AP111" s="39"/>
      <c r="AQ111" s="72" t="str">
        <f t="shared" si="57"/>
        <v/>
      </c>
      <c r="AR111" s="72" t="str">
        <f t="shared" si="74"/>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58"/>
        <v/>
      </c>
      <c r="AW111" s="72" t="str">
        <f t="shared" si="59"/>
        <v/>
      </c>
      <c r="AX111" s="39"/>
      <c r="AY111" s="40" t="str">
        <f>IF(ISERROR(IF($K111&lt;=$F$15,VLOOKUP($I111,'表4）CO2価格'!$A$7:$E$67,VLOOKUP($F$48,'表4）CO2価格'!$H$10:$I$12,2,0),0)*$F$8/1000,"")),0,IF($K111&lt;=$F$15,VLOOKUP($I111,'表4）CO2価格'!$A$7:$E$67,VLOOKUP($F$48,'表4）CO2価格'!$H$10:$I$12,2,0),0)*$F$8/1000,""))</f>
        <v/>
      </c>
      <c r="AZ111" s="39"/>
      <c r="BA111" s="42" t="str">
        <f t="shared" si="60"/>
        <v/>
      </c>
      <c r="BB111" s="72" t="str">
        <f t="shared" si="75"/>
        <v/>
      </c>
      <c r="BC111" s="39"/>
      <c r="BD111" s="72" t="str">
        <f t="shared" si="61"/>
        <v/>
      </c>
      <c r="BE111" s="72" t="str">
        <f t="shared" si="76"/>
        <v/>
      </c>
      <c r="BF111" s="39"/>
      <c r="BG111" s="42" t="str">
        <f t="shared" si="62"/>
        <v/>
      </c>
      <c r="BH111" s="72" t="str">
        <f t="shared" si="77"/>
        <v/>
      </c>
      <c r="BI111" s="39"/>
      <c r="BJ111" s="40"/>
      <c r="BK111" s="157"/>
      <c r="BL111" s="157"/>
      <c r="BM111" s="72"/>
      <c r="BN111" s="72" t="str">
        <f>IF(AND(ISNUMBER($F$16),$K111&lt;=$F$16),BQ111*('バイオマス（木質専焼）（2030年）'!$O$15+'バイオマス（木質専焼）（2030年）'!$BK$116)/'バイオマス（木質専焼）（2030年）'!$BL$116,"")</f>
        <v/>
      </c>
      <c r="BO111" s="72" t="str">
        <f t="shared" si="78"/>
        <v/>
      </c>
      <c r="BP111" s="39"/>
      <c r="BQ111" s="72" t="str">
        <f t="shared" si="63"/>
        <v/>
      </c>
      <c r="BR111" s="72" t="str">
        <f t="shared" si="79"/>
        <v/>
      </c>
    </row>
    <row r="112" spans="4:70" ht="15" x14ac:dyDescent="0.15">
      <c r="D112" s="103"/>
      <c r="E112" s="84" t="s">
        <v>607</v>
      </c>
      <c r="F112" s="488">
        <f>-BH116/BR116</f>
        <v>0</v>
      </c>
      <c r="G112" s="84" t="s">
        <v>590</v>
      </c>
      <c r="I112" s="457">
        <f t="shared" si="80"/>
        <v>2127</v>
      </c>
      <c r="J112" s="71"/>
      <c r="K112" s="71">
        <f t="shared" si="81"/>
        <v>98</v>
      </c>
      <c r="L112" s="71"/>
      <c r="M112" s="7">
        <f t="shared" si="48"/>
        <v>5.5201639797086935E-2</v>
      </c>
      <c r="N112" s="71"/>
      <c r="O112" s="10" t="str">
        <f t="shared" si="64"/>
        <v/>
      </c>
      <c r="P112" s="29" t="str">
        <f>IF(K112&lt;=$F$15,IF(OR(P111=$F$124,P111="-"),"-",IF(O112*$F$123&gt;$F$127,$F$123,$F$124)),"")</f>
        <v/>
      </c>
      <c r="Q112" s="71"/>
      <c r="R112" s="10" t="str">
        <f t="shared" si="65"/>
        <v/>
      </c>
      <c r="S112" s="71"/>
      <c r="T112" s="10" t="str">
        <f t="shared" si="66"/>
        <v/>
      </c>
      <c r="U112" s="71"/>
      <c r="V112" s="10" t="str">
        <f t="shared" si="50"/>
        <v/>
      </c>
      <c r="W112" s="10" t="str">
        <f t="shared" si="67"/>
        <v/>
      </c>
      <c r="X112" s="71"/>
      <c r="Y112" s="10" t="str">
        <f t="shared" si="51"/>
        <v/>
      </c>
      <c r="Z112" s="10" t="str">
        <f t="shared" si="68"/>
        <v/>
      </c>
      <c r="AA112" s="71"/>
      <c r="AB112" s="10" t="str">
        <f t="shared" si="52"/>
        <v/>
      </c>
      <c r="AC112" s="10" t="str">
        <f t="shared" si="69"/>
        <v/>
      </c>
      <c r="AD112" s="71"/>
      <c r="AE112" s="10" t="str">
        <f t="shared" si="53"/>
        <v/>
      </c>
      <c r="AF112" s="10" t="str">
        <f t="shared" si="70"/>
        <v/>
      </c>
      <c r="AG112" s="71"/>
      <c r="AH112" s="10" t="str">
        <f t="shared" si="54"/>
        <v/>
      </c>
      <c r="AI112" s="10" t="str">
        <f t="shared" si="71"/>
        <v/>
      </c>
      <c r="AJ112" s="71"/>
      <c r="AK112" s="10" t="str">
        <f t="shared" si="55"/>
        <v/>
      </c>
      <c r="AL112" s="10" t="str">
        <f t="shared" si="72"/>
        <v/>
      </c>
      <c r="AM112" s="71"/>
      <c r="AN112" s="10" t="str">
        <f t="shared" si="56"/>
        <v/>
      </c>
      <c r="AO112" s="10" t="str">
        <f t="shared" si="73"/>
        <v/>
      </c>
      <c r="AP112" s="71"/>
      <c r="AQ112" s="10" t="str">
        <f t="shared" si="57"/>
        <v/>
      </c>
      <c r="AR112" s="10" t="str">
        <f t="shared" si="74"/>
        <v/>
      </c>
      <c r="AS112" s="71"/>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U112" s="71"/>
      <c r="AV112" s="10" t="str">
        <f t="shared" si="58"/>
        <v/>
      </c>
      <c r="AW112" s="10" t="str">
        <f t="shared" si="59"/>
        <v/>
      </c>
      <c r="AX112" s="71"/>
      <c r="AY112" s="7" t="str">
        <f>IF(ISERROR(IF($K112&lt;=$F$15,VLOOKUP($I112,'表4）CO2価格'!$A$7:$E$67,VLOOKUP($F$48,'表4）CO2価格'!$H$10:$I$12,2,0),0)*$F$8/1000,"")),0,IF($K112&lt;=$F$15,VLOOKUP($I112,'表4）CO2価格'!$A$7:$E$67,VLOOKUP($F$48,'表4）CO2価格'!$H$10:$I$12,2,0),0)*$F$8/1000,""))</f>
        <v/>
      </c>
      <c r="AZ112" s="71"/>
      <c r="BA112" s="11" t="str">
        <f t="shared" si="60"/>
        <v/>
      </c>
      <c r="BB112" s="10" t="str">
        <f t="shared" si="75"/>
        <v/>
      </c>
      <c r="BC112" s="71"/>
      <c r="BD112" s="10" t="str">
        <f t="shared" si="61"/>
        <v/>
      </c>
      <c r="BE112" s="10" t="str">
        <f t="shared" si="76"/>
        <v/>
      </c>
      <c r="BF112" s="71"/>
      <c r="BG112" s="11" t="str">
        <f t="shared" si="62"/>
        <v/>
      </c>
      <c r="BH112" s="10" t="str">
        <f t="shared" si="77"/>
        <v/>
      </c>
      <c r="BJ112" s="7"/>
      <c r="BK112" s="158"/>
      <c r="BL112" s="158"/>
      <c r="BM112" s="10"/>
      <c r="BN112" s="10" t="str">
        <f>IF(AND(ISNUMBER($F$16),$K112&lt;=$F$16),BQ112*('バイオマス（木質専焼）（2030年）'!$O$15+'バイオマス（木質専焼）（2030年）'!$BK$116)/'バイオマス（木質専焼）（2030年）'!$BL$116,"")</f>
        <v/>
      </c>
      <c r="BO112" s="10" t="str">
        <f t="shared" si="78"/>
        <v/>
      </c>
      <c r="BQ112" s="10" t="str">
        <f t="shared" si="63"/>
        <v/>
      </c>
      <c r="BR112" s="10" t="str">
        <f t="shared" si="79"/>
        <v/>
      </c>
    </row>
    <row r="113" spans="2:70" x14ac:dyDescent="0.15">
      <c r="I113" s="38">
        <f t="shared" si="80"/>
        <v>2128</v>
      </c>
      <c r="J113" s="39"/>
      <c r="K113" s="39">
        <f t="shared" si="81"/>
        <v>99</v>
      </c>
      <c r="L113" s="39"/>
      <c r="M113" s="40">
        <f t="shared" si="48"/>
        <v>5.3593825045715457E-2</v>
      </c>
      <c r="N113" s="39"/>
      <c r="O113" s="72" t="str">
        <f t="shared" si="64"/>
        <v/>
      </c>
      <c r="P113" s="41" t="str">
        <f>IF(K113&lt;=$F$15,IF(OR(P112=$F$124,P112="-"),"-",IF(O113*$F$123&gt;$F$127,$F$123,$F$124)),"")</f>
        <v/>
      </c>
      <c r="Q113" s="39"/>
      <c r="R113" s="72" t="str">
        <f t="shared" si="65"/>
        <v/>
      </c>
      <c r="S113" s="39"/>
      <c r="T113" s="72" t="str">
        <f t="shared" si="66"/>
        <v/>
      </c>
      <c r="U113" s="39"/>
      <c r="V113" s="72" t="str">
        <f t="shared" si="50"/>
        <v/>
      </c>
      <c r="W113" s="72" t="str">
        <f t="shared" si="67"/>
        <v/>
      </c>
      <c r="X113" s="39"/>
      <c r="Y113" s="72" t="str">
        <f t="shared" si="51"/>
        <v/>
      </c>
      <c r="Z113" s="72" t="str">
        <f t="shared" si="68"/>
        <v/>
      </c>
      <c r="AA113" s="39"/>
      <c r="AB113" s="72" t="str">
        <f t="shared" si="52"/>
        <v/>
      </c>
      <c r="AC113" s="72" t="str">
        <f t="shared" si="69"/>
        <v/>
      </c>
      <c r="AD113" s="39"/>
      <c r="AE113" s="72" t="str">
        <f t="shared" si="53"/>
        <v/>
      </c>
      <c r="AF113" s="72" t="str">
        <f t="shared" si="70"/>
        <v/>
      </c>
      <c r="AG113" s="39"/>
      <c r="AH113" s="72" t="str">
        <f t="shared" si="54"/>
        <v/>
      </c>
      <c r="AI113" s="72" t="str">
        <f t="shared" si="71"/>
        <v/>
      </c>
      <c r="AJ113" s="39"/>
      <c r="AK113" s="72" t="str">
        <f t="shared" si="55"/>
        <v/>
      </c>
      <c r="AL113" s="72" t="str">
        <f t="shared" si="72"/>
        <v/>
      </c>
      <c r="AM113" s="39"/>
      <c r="AN113" s="72" t="str">
        <f t="shared" si="56"/>
        <v/>
      </c>
      <c r="AO113" s="72" t="str">
        <f t="shared" si="73"/>
        <v/>
      </c>
      <c r="AP113" s="39"/>
      <c r="AQ113" s="72" t="str">
        <f t="shared" si="57"/>
        <v/>
      </c>
      <c r="AR113" s="72" t="str">
        <f t="shared" si="74"/>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58"/>
        <v/>
      </c>
      <c r="AW113" s="72" t="str">
        <f t="shared" si="59"/>
        <v/>
      </c>
      <c r="AX113" s="39"/>
      <c r="AY113" s="40" t="str">
        <f>IF(ISERROR(IF($K113&lt;=$F$15,VLOOKUP($I113,'表4）CO2価格'!$A$7:$E$67,VLOOKUP($F$48,'表4）CO2価格'!$H$10:$I$12,2,0),0)*$F$8/1000,"")),0,IF($K113&lt;=$F$15,VLOOKUP($I113,'表4）CO2価格'!$A$7:$E$67,VLOOKUP($F$48,'表4）CO2価格'!$H$10:$I$12,2,0),0)*$F$8/1000,""))</f>
        <v/>
      </c>
      <c r="AZ113" s="39"/>
      <c r="BA113" s="42" t="str">
        <f t="shared" si="60"/>
        <v/>
      </c>
      <c r="BB113" s="72" t="str">
        <f t="shared" si="75"/>
        <v/>
      </c>
      <c r="BC113" s="39"/>
      <c r="BD113" s="72" t="str">
        <f t="shared" si="61"/>
        <v/>
      </c>
      <c r="BE113" s="72" t="str">
        <f t="shared" si="76"/>
        <v/>
      </c>
      <c r="BF113" s="39"/>
      <c r="BG113" s="42" t="str">
        <f t="shared" si="62"/>
        <v/>
      </c>
      <c r="BH113" s="72" t="str">
        <f t="shared" si="77"/>
        <v/>
      </c>
      <c r="BI113" s="39"/>
      <c r="BJ113" s="40"/>
      <c r="BK113" s="157"/>
      <c r="BL113" s="157"/>
      <c r="BM113" s="72"/>
      <c r="BN113" s="72" t="str">
        <f>IF(AND(ISNUMBER($F$16),$K113&lt;=$F$16),BQ113*('バイオマス（木質専焼）（2030年）'!$O$15+'バイオマス（木質専焼）（2030年）'!$BK$116)/'バイオマス（木質専焼）（2030年）'!$BL$116,"")</f>
        <v/>
      </c>
      <c r="BO113" s="72" t="str">
        <f t="shared" si="78"/>
        <v/>
      </c>
      <c r="BP113" s="39"/>
      <c r="BQ113" s="72" t="str">
        <f t="shared" si="63"/>
        <v/>
      </c>
      <c r="BR113" s="72" t="str">
        <f t="shared" si="79"/>
        <v/>
      </c>
    </row>
    <row r="114" spans="2:70" x14ac:dyDescent="0.15">
      <c r="I114" s="457">
        <f t="shared" si="80"/>
        <v>2129</v>
      </c>
      <c r="J114" s="71"/>
      <c r="K114" s="71">
        <f t="shared" si="81"/>
        <v>100</v>
      </c>
      <c r="L114" s="71"/>
      <c r="M114" s="7">
        <f t="shared" si="48"/>
        <v>5.2032839850209185E-2</v>
      </c>
      <c r="N114" s="71"/>
      <c r="O114" s="10" t="str">
        <f t="shared" si="64"/>
        <v/>
      </c>
      <c r="P114" s="29" t="str">
        <f>IF(K114&lt;=$F$15,IF(OR(P113=$F$124,P113="-"),"-",IF(O114*$F$123&gt;$F$127,$F$123,$F$124)),"")</f>
        <v/>
      </c>
      <c r="Q114" s="71"/>
      <c r="R114" s="10" t="str">
        <f t="shared" si="65"/>
        <v/>
      </c>
      <c r="S114" s="71"/>
      <c r="T114" s="10" t="str">
        <f t="shared" si="66"/>
        <v/>
      </c>
      <c r="U114" s="71"/>
      <c r="V114" s="10" t="str">
        <f t="shared" si="50"/>
        <v/>
      </c>
      <c r="W114" s="10" t="str">
        <f t="shared" si="67"/>
        <v/>
      </c>
      <c r="X114" s="71"/>
      <c r="Y114" s="10" t="str">
        <f t="shared" si="51"/>
        <v/>
      </c>
      <c r="Z114" s="10" t="str">
        <f t="shared" si="68"/>
        <v/>
      </c>
      <c r="AA114" s="71"/>
      <c r="AB114" s="10" t="str">
        <f t="shared" si="52"/>
        <v/>
      </c>
      <c r="AC114" s="10" t="str">
        <f t="shared" si="69"/>
        <v/>
      </c>
      <c r="AD114" s="71"/>
      <c r="AE114" s="10" t="str">
        <f t="shared" si="53"/>
        <v/>
      </c>
      <c r="AF114" s="10" t="str">
        <f t="shared" si="70"/>
        <v/>
      </c>
      <c r="AG114" s="71"/>
      <c r="AH114" s="10" t="str">
        <f t="shared" si="54"/>
        <v/>
      </c>
      <c r="AI114" s="10" t="str">
        <f t="shared" si="71"/>
        <v/>
      </c>
      <c r="AJ114" s="71"/>
      <c r="AK114" s="10" t="str">
        <f t="shared" si="55"/>
        <v/>
      </c>
      <c r="AL114" s="10" t="str">
        <f t="shared" si="72"/>
        <v/>
      </c>
      <c r="AM114" s="71"/>
      <c r="AN114" s="10" t="str">
        <f t="shared" si="56"/>
        <v/>
      </c>
      <c r="AO114" s="10" t="str">
        <f t="shared" si="73"/>
        <v/>
      </c>
      <c r="AP114" s="71"/>
      <c r="AQ114" s="10" t="str">
        <f t="shared" si="57"/>
        <v/>
      </c>
      <c r="AR114" s="10" t="str">
        <f t="shared" si="74"/>
        <v/>
      </c>
      <c r="AS114" s="71"/>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U114" s="71"/>
      <c r="AV114" s="10" t="str">
        <f t="shared" si="58"/>
        <v/>
      </c>
      <c r="AW114" s="10" t="str">
        <f t="shared" si="59"/>
        <v/>
      </c>
      <c r="AX114" s="71"/>
      <c r="AY114" s="7" t="str">
        <f>IF(ISERROR(IF($K114&lt;=$F$15,VLOOKUP($I114,'表4）CO2価格'!$A$7:$E$67,VLOOKUP($F$48,'表4）CO2価格'!$H$10:$I$12,2,0),0)*$F$8/1000,"")),0,IF($K114&lt;=$F$15,VLOOKUP($I114,'表4）CO2価格'!$A$7:$E$67,VLOOKUP($F$48,'表4）CO2価格'!$H$10:$I$12,2,0),0)*$F$8/1000,""))</f>
        <v/>
      </c>
      <c r="AZ114" s="71"/>
      <c r="BA114" s="11" t="str">
        <f t="shared" si="60"/>
        <v/>
      </c>
      <c r="BB114" s="10" t="str">
        <f t="shared" si="75"/>
        <v/>
      </c>
      <c r="BC114" s="71"/>
      <c r="BD114" s="10" t="str">
        <f t="shared" si="61"/>
        <v/>
      </c>
      <c r="BE114" s="10" t="str">
        <f t="shared" si="76"/>
        <v/>
      </c>
      <c r="BF114" s="71"/>
      <c r="BG114" s="11" t="str">
        <f t="shared" si="62"/>
        <v/>
      </c>
      <c r="BH114" s="10" t="str">
        <f t="shared" si="77"/>
        <v/>
      </c>
      <c r="BJ114" s="7"/>
      <c r="BK114" s="158"/>
      <c r="BL114" s="158"/>
      <c r="BM114" s="10"/>
      <c r="BN114" s="10" t="str">
        <f>IF(AND(ISNUMBER($F$16),$K114&lt;=$F$16),BQ114*('バイオマス（木質専焼）（2030年）'!$O$15+'バイオマス（木質専焼）（2030年）'!$BK$116)/'バイオマス（木質専焼）（2030年）'!$BL$116,"")</f>
        <v/>
      </c>
      <c r="BO114" s="10" t="str">
        <f t="shared" si="78"/>
        <v/>
      </c>
      <c r="BQ114" s="10" t="str">
        <f t="shared" si="63"/>
        <v/>
      </c>
      <c r="BR114" s="10" t="str">
        <f t="shared" si="79"/>
        <v/>
      </c>
    </row>
    <row r="115" spans="2:70" ht="15.75" thickBot="1" x14ac:dyDescent="0.2">
      <c r="B115" s="5" t="s">
        <v>608</v>
      </c>
      <c r="C115" s="3"/>
      <c r="D115" s="102"/>
      <c r="E115" s="102"/>
      <c r="F115" s="3"/>
      <c r="G115" s="102"/>
      <c r="I115" s="456"/>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71" t="s">
        <v>609</v>
      </c>
      <c r="J116" s="71"/>
      <c r="K116" s="71"/>
      <c r="L116" s="71"/>
      <c r="M116" s="71"/>
      <c r="N116" s="71"/>
      <c r="O116" s="71"/>
      <c r="P116" s="71"/>
      <c r="Q116" s="71"/>
      <c r="R116" s="71"/>
      <c r="S116" s="71"/>
      <c r="T116" s="71"/>
      <c r="U116" s="71"/>
      <c r="V116" s="71"/>
      <c r="W116" s="11"/>
      <c r="X116" s="71"/>
      <c r="Y116" s="71"/>
      <c r="Z116" s="11">
        <f>SUM(Z15:Z114)</f>
        <v>15159948098.151825</v>
      </c>
      <c r="AA116" s="71"/>
      <c r="AB116" s="71"/>
      <c r="AC116" s="11">
        <f>SUM(AC15:AC114)</f>
        <v>2656329906.7050738</v>
      </c>
      <c r="AD116" s="71"/>
      <c r="AE116" s="71"/>
      <c r="AF116" s="11">
        <f>SUM(AF15:AF114)</f>
        <v>0</v>
      </c>
      <c r="AG116" s="71"/>
      <c r="AH116" s="71"/>
      <c r="AI116" s="11">
        <f>SUM(AI15:AI114)</f>
        <v>10170499668.650841</v>
      </c>
      <c r="AJ116" s="71"/>
      <c r="AK116" s="71"/>
      <c r="AL116" s="11">
        <f>SUM(AL15:AL114)</f>
        <v>99023683137.500458</v>
      </c>
      <c r="AM116" s="71"/>
      <c r="AN116" s="71"/>
      <c r="AO116" s="11">
        <f>SUM(AO15:AO114)</f>
        <v>90771709542.708755</v>
      </c>
      <c r="AP116" s="71"/>
      <c r="AQ116" s="71"/>
      <c r="AR116" s="11">
        <f>SUM(AR15:AR114)</f>
        <v>24395838866.560928</v>
      </c>
      <c r="AS116" s="71"/>
      <c r="AT116" s="71"/>
      <c r="AU116" s="71"/>
      <c r="AV116" s="71"/>
      <c r="AW116" s="11">
        <f>SUM(AW15:AW114)</f>
        <v>412088031432.71582</v>
      </c>
      <c r="AX116" s="71"/>
      <c r="AY116" s="71"/>
      <c r="AZ116" s="71"/>
      <c r="BA116" s="71"/>
      <c r="BB116" s="11">
        <f>SUM(BB15:BB114)</f>
        <v>449547796207.52173</v>
      </c>
      <c r="BC116" s="71"/>
      <c r="BD116" s="71"/>
      <c r="BE116" s="11">
        <f>SUM(BE15:BE114)</f>
        <v>0</v>
      </c>
      <c r="BF116" s="71"/>
      <c r="BG116" s="71"/>
      <c r="BH116" s="11">
        <f>SUM(BH15:BH114)</f>
        <v>0</v>
      </c>
      <c r="BK116" s="11">
        <f>SUM(BK15:BK114)</f>
        <v>0</v>
      </c>
      <c r="BL116" s="11">
        <f>SUM(BL15:BL114)</f>
        <v>0</v>
      </c>
      <c r="BO116" s="11">
        <f>SUM(BO15:BO114)</f>
        <v>1929142517515.1743</v>
      </c>
      <c r="BQ116" s="71"/>
      <c r="BR116" s="11">
        <f>SUM(BR15:BR114)</f>
        <v>93760865624.869171</v>
      </c>
    </row>
    <row r="117" spans="2:70" x14ac:dyDescent="0.15">
      <c r="C117" s="71" t="s">
        <v>610</v>
      </c>
      <c r="F117" s="490">
        <f>F21*10^4*F13*10^4+F29*10^8</f>
        <v>178500000000</v>
      </c>
      <c r="G117" s="84" t="s">
        <v>611</v>
      </c>
      <c r="I117" s="184" t="s">
        <v>145</v>
      </c>
      <c r="J117" s="71"/>
      <c r="K117" s="71"/>
      <c r="L117" s="71"/>
      <c r="M117" s="71"/>
      <c r="N117" s="71"/>
      <c r="O117" s="71"/>
      <c r="P117" s="71"/>
      <c r="Q117" s="71"/>
      <c r="R117" s="71"/>
      <c r="S117" s="71"/>
      <c r="T117" s="71"/>
      <c r="U117" s="71"/>
      <c r="V117" s="71"/>
      <c r="W117" s="11"/>
      <c r="X117" s="71"/>
      <c r="Y117" s="71"/>
      <c r="Z117" s="11">
        <f ca="1">IF(ISNUMBER($F$16),SUM(INDIRECT(ADDRESS($F$16+15,COLUMN())):INDIRECT(ADDRESS(114,COLUMN()))),"")</f>
        <v>1029250274.3631803</v>
      </c>
      <c r="AA117" s="71"/>
      <c r="AB117" s="71"/>
      <c r="AC117" s="11">
        <f ca="1">IF(ISNUMBER($F$16),SUM(INDIRECT(ADDRESS($F$16+15,COLUMN())):INDIRECT(ADDRESS(114,COLUMN()))),"")</f>
        <v>2656329906.7050738</v>
      </c>
      <c r="AD117" s="71"/>
      <c r="AE117" s="71"/>
      <c r="AF117" s="11">
        <f ca="1">IF(ISNUMBER($F$16),SUM(INDIRECT(ADDRESS($F$16+15,COLUMN())):INDIRECT(ADDRESS(114,COLUMN()))),"")</f>
        <v>0</v>
      </c>
      <c r="AG117" s="71"/>
      <c r="AH117" s="71"/>
      <c r="AI117" s="11">
        <f ca="1">IF(ISNUMBER($F$16),SUM(INDIRECT(ADDRESS($F$16+15,COLUMN())):INDIRECT(ADDRESS(114,COLUMN()))),"")</f>
        <v>3624410730.0504155</v>
      </c>
      <c r="AJ117" s="71"/>
      <c r="AK117" s="71"/>
      <c r="AL117" s="11">
        <f ca="1">IF(ISNUMBER($F$16),SUM(INDIRECT(ADDRESS($F$16+15,COLUMN())):INDIRECT(ADDRESS(114,COLUMN()))),"")</f>
        <v>35288580835.309036</v>
      </c>
      <c r="AM117" s="71"/>
      <c r="AN117" s="71"/>
      <c r="AO117" s="11">
        <f ca="1">IF(ISNUMBER($F$16),SUM(INDIRECT(ADDRESS($F$16+15,COLUMN())):INDIRECT(ADDRESS(114,COLUMN()))),"")</f>
        <v>32347865765.699955</v>
      </c>
      <c r="AP117" s="71"/>
      <c r="AQ117" s="71"/>
      <c r="AR117" s="11">
        <f ca="1">IF(ISNUMBER($F$16),SUM(INDIRECT(ADDRESS($F$16+15,COLUMN())):INDIRECT(ADDRESS(114,COLUMN()))),"")</f>
        <v>8693824594.3892479</v>
      </c>
      <c r="AS117" s="71"/>
      <c r="AT117" s="71"/>
      <c r="AU117" s="71"/>
      <c r="AV117" s="71"/>
      <c r="AW117" s="11">
        <f ca="1">IF(ISNUMBER($F$16),SUM(INDIRECT(ADDRESS($F$16+15,COLUMN())):INDIRECT(ADDRESS(114,COLUMN()))),"")</f>
        <v>145384127802.74603</v>
      </c>
      <c r="AX117" s="71"/>
      <c r="AY117" s="71"/>
      <c r="AZ117" s="71"/>
      <c r="BA117" s="71"/>
      <c r="BB117" s="11">
        <f ca="1">IF(ISNUMBER($F$16),SUM(INDIRECT(ADDRESS($F$16+15,COLUMN())):INDIRECT(ADDRESS(114,COLUMN()))),"")</f>
        <v>203148077260.93225</v>
      </c>
      <c r="BC117" s="71"/>
      <c r="BD117" s="71"/>
      <c r="BE117" s="11">
        <f ca="1">IF(ISNUMBER($F$16),SUM(INDIRECT(ADDRESS($F$16+15,COLUMN())):INDIRECT(ADDRESS(114,COLUMN()))),"")</f>
        <v>0</v>
      </c>
      <c r="BF117" s="71"/>
      <c r="BG117" s="71"/>
      <c r="BH117" s="11">
        <f ca="1">IF(ISNUMBER($F$16),SUM(INDIRECT(ADDRESS($F$16+15,COLUMN())):INDIRECT(ADDRESS(114,COLUMN()))),"")</f>
        <v>0</v>
      </c>
      <c r="BK117" s="11">
        <f ca="1">IF(ISNUMBER($F$16),SUM(INDIRECT(ADDRESS($F$16+15,COLUMN())):INDIRECT(ADDRESS(114,COLUMN()))),"")</f>
        <v>0</v>
      </c>
      <c r="BL117" s="11">
        <f ca="1">IF(ISNUMBER($F$16),SUM(INDIRECT(ADDRESS($F$16+15,COLUMN())):INDIRECT(ADDRESS(114,COLUMN()))),"")</f>
        <v>0</v>
      </c>
      <c r="BO117" s="11">
        <f ca="1">IF(ISNUMBER($F$16),SUM(INDIRECT(ADDRESS($F$16+15,COLUMN())):INDIRECT(ADDRESS(114,COLUMN()))),"")</f>
        <v>0</v>
      </c>
      <c r="BQ117" s="71"/>
      <c r="BR117" s="11">
        <f ca="1">IF(ISNUMBER($F$16),SUM(INDIRECT(ADDRESS($F$16+15,COLUMN())):INDIRECT(ADDRESS(114,COLUMN()))),"")</f>
        <v>33413096553.855991</v>
      </c>
    </row>
    <row r="119" spans="2:70" x14ac:dyDescent="0.15">
      <c r="C119" s="71" t="s">
        <v>612</v>
      </c>
      <c r="F119" s="490">
        <f>VLOOKUP(F3,'表2）法定耐用年数'!$A$2:$B$24,2,0)</f>
        <v>15</v>
      </c>
      <c r="G119" s="84" t="s">
        <v>556</v>
      </c>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Q119" s="71"/>
      <c r="BR119" s="71"/>
    </row>
    <row r="121" spans="2:70" x14ac:dyDescent="0.15">
      <c r="C121" s="4" t="s">
        <v>613</v>
      </c>
      <c r="D121" s="100"/>
      <c r="E121" s="100"/>
      <c r="F121" s="4"/>
      <c r="G121" s="100"/>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Q121" s="71"/>
      <c r="BR121" s="71"/>
    </row>
    <row r="123" spans="2:70" x14ac:dyDescent="0.15">
      <c r="D123" s="84" t="s">
        <v>614</v>
      </c>
      <c r="F123" s="491">
        <f>VLOOKUP($F$119,'表1）減価償却率表'!$A$9:$E$107,3,0)</f>
        <v>0.16700000000000001</v>
      </c>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Q123" s="71"/>
      <c r="BR123" s="71"/>
    </row>
    <row r="124" spans="2:70" x14ac:dyDescent="0.15">
      <c r="D124" s="84" t="s">
        <v>615</v>
      </c>
      <c r="F124" s="491">
        <f>VLOOKUP($F$119,'表1）減価償却率表'!$A$9:$E$107,4,0)</f>
        <v>0.2</v>
      </c>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Q124" s="71"/>
      <c r="BR124" s="71"/>
    </row>
    <row r="125" spans="2:70" x14ac:dyDescent="0.15">
      <c r="D125" s="84" t="s">
        <v>616</v>
      </c>
      <c r="F125" s="474">
        <f>VLOOKUP($F$119,'表1）減価償却率表'!$A$9:$E$107,5,0)</f>
        <v>3.2169999999999997E-2</v>
      </c>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Q125" s="71"/>
      <c r="BR125" s="71"/>
    </row>
    <row r="126" spans="2:70" x14ac:dyDescent="0.15">
      <c r="F126" s="492"/>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Q126" s="71"/>
      <c r="BR126" s="71"/>
    </row>
    <row r="127" spans="2:70" x14ac:dyDescent="0.15">
      <c r="C127" s="8" t="s">
        <v>617</v>
      </c>
      <c r="D127" s="493"/>
      <c r="E127" s="494"/>
      <c r="F127" s="490">
        <f>F117*F125</f>
        <v>5742344999.999999</v>
      </c>
      <c r="G127" s="84" t="s">
        <v>611</v>
      </c>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Q127" s="71"/>
      <c r="BR127" s="71"/>
    </row>
    <row r="129" spans="3:7" x14ac:dyDescent="0.15">
      <c r="C129" s="8" t="s">
        <v>152</v>
      </c>
      <c r="D129" s="493"/>
      <c r="E129" s="493"/>
      <c r="F129" s="491">
        <f>0.1^(1/F119)</f>
        <v>0.85769589859089412</v>
      </c>
      <c r="G129" s="493"/>
    </row>
    <row r="131" spans="3:7" x14ac:dyDescent="0.15">
      <c r="C131" s="4" t="s">
        <v>618</v>
      </c>
      <c r="D131" s="100"/>
      <c r="E131" s="100"/>
      <c r="F131" s="4"/>
      <c r="G131" s="100"/>
    </row>
    <row r="133" spans="3:7" x14ac:dyDescent="0.15">
      <c r="D133" s="84" t="s">
        <v>619</v>
      </c>
      <c r="F133" s="490">
        <f>F13*10000*24*365*F14/100</f>
        <v>4292400000</v>
      </c>
      <c r="G133" s="84" t="s">
        <v>620</v>
      </c>
    </row>
    <row r="134" spans="3:7" x14ac:dyDescent="0.15">
      <c r="D134" s="84" t="s">
        <v>621</v>
      </c>
      <c r="F134" s="490">
        <f>F133*(1-F24/100)</f>
        <v>4056318000</v>
      </c>
      <c r="G134" s="84" t="s">
        <v>620</v>
      </c>
    </row>
    <row r="135" spans="3:7" x14ac:dyDescent="0.15">
      <c r="F135" s="495"/>
    </row>
    <row r="137" spans="3:7" ht="16.5" x14ac:dyDescent="0.15">
      <c r="C137" s="71" t="s">
        <v>622</v>
      </c>
      <c r="F137" s="490">
        <f>IF(ISERROR(F133*3.6/(F23/100)/F22),0,F133*3.6/(F23/100)/F22)</f>
        <v>1396548673.9460063</v>
      </c>
      <c r="G137" s="71" t="s">
        <v>623</v>
      </c>
    </row>
    <row r="139" spans="3:7" x14ac:dyDescent="0.15">
      <c r="C139" s="4" t="s">
        <v>624</v>
      </c>
      <c r="D139" s="100"/>
      <c r="E139" s="100"/>
      <c r="F139" s="4"/>
      <c r="G139" s="100"/>
    </row>
    <row r="141" spans="3:7" x14ac:dyDescent="0.15">
      <c r="D141" s="84" t="s">
        <v>625</v>
      </c>
      <c r="F141" s="496">
        <f>IF(OR(F3="石炭火力",F3= "LNG火力", F3="ガスコジェネ",F3="バイオマス（石炭混焼）",F3="バイオマス（木質専焼）",F3="燃料電池"),IF($F$43="需要地価格","",1000),IF(OR(F3="石油火力",F3="石油コジェネ"),IF($F$43="需要地価格","",158.987294928),""))</f>
        <v>1000</v>
      </c>
      <c r="G141" s="84" t="s">
        <v>626</v>
      </c>
    </row>
    <row r="142" spans="3:7" x14ac:dyDescent="0.15">
      <c r="D142" s="84" t="s">
        <v>573</v>
      </c>
      <c r="F142" s="488">
        <f>IF(ISERROR(F42/1000),0,F42/1000)</f>
        <v>1.9375</v>
      </c>
      <c r="G142" s="84" t="s">
        <v>627</v>
      </c>
    </row>
    <row r="145" spans="3:7" x14ac:dyDescent="0.15">
      <c r="C145" s="71" t="s">
        <v>628</v>
      </c>
      <c r="F145" s="496">
        <f>IF(ISERROR(F133*(F47*3.6/(F23/100)/1000*(44/12))),0,F133*(F47*3.6/(F23/100)/1000*(44/12)))</f>
        <v>3081670594.8626361</v>
      </c>
      <c r="G145" s="84" t="s">
        <v>629</v>
      </c>
    </row>
    <row r="147" spans="3:7" x14ac:dyDescent="0.15">
      <c r="C147" s="4" t="s">
        <v>630</v>
      </c>
      <c r="D147" s="100"/>
      <c r="E147" s="100"/>
      <c r="F147" s="4"/>
      <c r="G147" s="100"/>
    </row>
    <row r="149" spans="3:7" x14ac:dyDescent="0.15">
      <c r="D149" s="84" t="s">
        <v>219</v>
      </c>
      <c r="F149" s="496">
        <f>IF(ISERROR(F52/F23),0,F52/F23)</f>
        <v>0</v>
      </c>
    </row>
    <row r="150" spans="3:7" x14ac:dyDescent="0.15">
      <c r="D150" s="84" t="s">
        <v>631</v>
      </c>
      <c r="F150" s="496">
        <f>F133*F149*(F53/100)*3.6</f>
        <v>0</v>
      </c>
      <c r="G150" s="84" t="s">
        <v>632</v>
      </c>
    </row>
    <row r="151" spans="3:7" ht="16.5" x14ac:dyDescent="0.15">
      <c r="D151" s="84" t="s">
        <v>633</v>
      </c>
      <c r="F151" s="490">
        <f>IF(ISERROR(F150/(F54/100)/F55),0,F150/(F54/100)/F55)</f>
        <v>0</v>
      </c>
      <c r="G151" s="71" t="s">
        <v>623</v>
      </c>
    </row>
    <row r="152" spans="3:7" x14ac:dyDescent="0.15">
      <c r="D152" s="84" t="s">
        <v>634</v>
      </c>
      <c r="F152" s="497">
        <f>IF(ISERROR(F56/1000),0,F56/1000)</f>
        <v>0</v>
      </c>
      <c r="G152" s="84" t="s">
        <v>627</v>
      </c>
    </row>
    <row r="153" spans="3:7" x14ac:dyDescent="0.15">
      <c r="D153" s="84" t="s">
        <v>635</v>
      </c>
      <c r="F153" s="496">
        <f>IF(ISERROR(F150*F47/1000*(44/12)/(F54/100)),0,F150*F47/1000*(44/12)/(F54/100))</f>
        <v>0</v>
      </c>
      <c r="G153" s="84" t="s">
        <v>629</v>
      </c>
    </row>
  </sheetData>
  <mergeCells count="48">
    <mergeCell ref="BR12:BR13"/>
    <mergeCell ref="AI12:AI13"/>
    <mergeCell ref="AL12:AL13"/>
    <mergeCell ref="AO12:AO13"/>
    <mergeCell ref="AR12:AR13"/>
    <mergeCell ref="AW12:AW13"/>
    <mergeCell ref="BB12:BB13"/>
    <mergeCell ref="BL12:BL13"/>
    <mergeCell ref="BK12:BK13"/>
    <mergeCell ref="BO12:BO13"/>
    <mergeCell ref="BJ12:BJ13"/>
    <mergeCell ref="BA9:BB10"/>
    <mergeCell ref="AE9:AF10"/>
    <mergeCell ref="V9:W10"/>
    <mergeCell ref="BE12:BE13"/>
    <mergeCell ref="BH12:BH13"/>
    <mergeCell ref="P12:P13"/>
    <mergeCell ref="W12:W13"/>
    <mergeCell ref="Z12:Z13"/>
    <mergeCell ref="AC12:AC13"/>
    <mergeCell ref="AF12:AF13"/>
    <mergeCell ref="BQ7:BR7"/>
    <mergeCell ref="BJ7:BO7"/>
    <mergeCell ref="I9:I10"/>
    <mergeCell ref="K9:K10"/>
    <mergeCell ref="M9:M10"/>
    <mergeCell ref="O9:P10"/>
    <mergeCell ref="R9:R10"/>
    <mergeCell ref="AN9:AO10"/>
    <mergeCell ref="AQ9:AR10"/>
    <mergeCell ref="AY7:BB7"/>
    <mergeCell ref="AY9:AY10"/>
    <mergeCell ref="BD7:BH7"/>
    <mergeCell ref="BJ9:BL10"/>
    <mergeCell ref="BN9:BO10"/>
    <mergeCell ref="BD9:BE10"/>
    <mergeCell ref="BG9:BH10"/>
    <mergeCell ref="F3:G3"/>
    <mergeCell ref="V7:AF7"/>
    <mergeCell ref="AH7:AR7"/>
    <mergeCell ref="AT7:AW7"/>
    <mergeCell ref="AK9:AL10"/>
    <mergeCell ref="T9:T10"/>
    <mergeCell ref="AV9:AW10"/>
    <mergeCell ref="AT9:AT10"/>
    <mergeCell ref="AH9:AI10"/>
    <mergeCell ref="AB9:AC10"/>
    <mergeCell ref="Y9:Z10"/>
  </mergeCells>
  <phoneticPr fontId="17"/>
  <dataValidations count="4">
    <dataValidation type="list" allowBlank="1" showDropDown="1" showInputMessage="1" showErrorMessage="1" sqref="F48 F41" xr:uid="{00000000-0002-0000-2000-000000000000}">
      <formula1>"現行政策シナリオ, 新政策シナリオ"</formula1>
    </dataValidation>
    <dataValidation type="whole" allowBlank="1" showInputMessage="1" showErrorMessage="1" sqref="F7" xr:uid="{00000000-0002-0000-2000-000001000000}">
      <formula1>2010</formula1>
      <formula2>2030</formula2>
    </dataValidation>
    <dataValidation type="list" allowBlank="1" showDropDown="1" showInputMessage="1" showErrorMessage="1" sqref="F43" xr:uid="{00000000-0002-0000-2000-000002000000}">
      <formula1>"CIF価格, 需要地価格"</formula1>
    </dataValidation>
    <dataValidation type="list" allowBlank="1" showDropDown="1" showInputMessage="1" showErrorMessage="1" sqref="F3:G3" xr:uid="{00000000-0002-0000-2000-000003000000}">
      <formula1>"原子力,石炭火力,LNG火力,石油火力,一般水力,太陽光（メガソーラー）,太陽光（住宅）,風力（陸上）,風力（洋上）,小水力,地熱,バイオマス（石炭混焼）,バイオマス（木質専焼）,ガスコジェネ,石油コジェネ,燃料電池"</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BR153"/>
  <sheetViews>
    <sheetView showGridLines="0" zoomScale="85" zoomScaleNormal="85" workbookViewId="0">
      <pane xSplit="10" ySplit="14" topLeftCell="BF15" activePane="bottomRight" state="frozen"/>
      <selection pane="topRight" activeCell="AF12" sqref="AF12:AF13"/>
      <selection pane="bottomLeft" activeCell="AF12" sqref="AF12:AF13"/>
      <selection pane="bottomRight" sqref="A1:H1048576"/>
    </sheetView>
  </sheetViews>
  <sheetFormatPr defaultColWidth="9" defaultRowHeight="14.25" outlineLevelCol="1" x14ac:dyDescent="0.15"/>
  <cols>
    <col min="1" max="3" width="6.25" style="71" customWidth="1"/>
    <col min="4" max="4" width="6.25" style="84" customWidth="1"/>
    <col min="5" max="5" width="24.375" style="84" customWidth="1"/>
    <col min="6" max="6" width="18.75" style="71" customWidth="1"/>
    <col min="7" max="7" width="24.375" style="84" bestFit="1" customWidth="1"/>
    <col min="8" max="8" width="9" style="71"/>
    <col min="9" max="9" width="6.25" style="71" customWidth="1"/>
    <col min="10" max="10" width="3" style="71" customWidth="1"/>
    <col min="11" max="11" width="6.25" style="71" customWidth="1"/>
    <col min="12" max="12" width="3" style="71" customWidth="1"/>
    <col min="13" max="13" width="6.25" style="71" customWidth="1"/>
    <col min="14" max="14" width="3" style="71" customWidth="1"/>
    <col min="15" max="15" width="17.375" style="71" bestFit="1" customWidth="1"/>
    <col min="16" max="16" width="8.625" style="71" customWidth="1"/>
    <col min="17" max="17" width="3" style="71" customWidth="1"/>
    <col min="18" max="18" width="17.375" style="71" bestFit="1" customWidth="1"/>
    <col min="19" max="19" width="3" style="71" customWidth="1"/>
    <col min="20" max="20" width="17.375" style="71" bestFit="1" customWidth="1"/>
    <col min="21" max="21" width="3" style="71" customWidth="1"/>
    <col min="22" max="22" width="15" style="71" customWidth="1" outlineLevel="1"/>
    <col min="23" max="23" width="17.375" style="71" bestFit="1" customWidth="1"/>
    <col min="24" max="24" width="3" style="71" customWidth="1"/>
    <col min="25" max="25" width="15" style="71" customWidth="1" outlineLevel="1"/>
    <col min="26" max="26" width="15" style="71" customWidth="1"/>
    <col min="27" max="27" width="3" style="71" customWidth="1"/>
    <col min="28" max="28" width="15" style="71" customWidth="1" outlineLevel="1"/>
    <col min="29" max="29" width="15" style="71" customWidth="1"/>
    <col min="30" max="30" width="3" style="71" customWidth="1"/>
    <col min="31" max="31" width="15" style="71" customWidth="1" outlineLevel="1"/>
    <col min="32" max="32" width="15" style="71" customWidth="1"/>
    <col min="33" max="33" width="3" style="71" customWidth="1"/>
    <col min="34" max="34" width="14.875" style="71" customWidth="1" outlineLevel="1"/>
    <col min="35" max="35" width="15" style="71" customWidth="1"/>
    <col min="36" max="36" width="3" style="71" customWidth="1"/>
    <col min="37" max="37" width="15" style="71" customWidth="1" outlineLevel="1"/>
    <col min="38" max="38" width="15" style="71" customWidth="1"/>
    <col min="39" max="39" width="3" style="71" customWidth="1"/>
    <col min="40" max="40" width="15" style="71" customWidth="1" outlineLevel="1"/>
    <col min="41" max="41" width="15" style="71" customWidth="1"/>
    <col min="42" max="42" width="3" style="71" customWidth="1"/>
    <col min="43" max="43" width="15" style="71" customWidth="1" outlineLevel="1"/>
    <col min="44" max="44" width="15" style="71" customWidth="1"/>
    <col min="45" max="45" width="3" style="71" customWidth="1"/>
    <col min="46" max="46" width="10.75" style="71" bestFit="1" customWidth="1"/>
    <col min="47" max="47" width="3" style="71" customWidth="1"/>
    <col min="48" max="48" width="15" style="71" customWidth="1" outlineLevel="1"/>
    <col min="49" max="49" width="17.375" style="71" bestFit="1" customWidth="1"/>
    <col min="50" max="50" width="3" style="71" customWidth="1"/>
    <col min="51" max="51" width="9.625" style="71" bestFit="1" customWidth="1"/>
    <col min="52" max="52" width="3" style="71" customWidth="1"/>
    <col min="53" max="53" width="15" style="71" customWidth="1" outlineLevel="1"/>
    <col min="54" max="54" width="17.375" style="71" bestFit="1" customWidth="1"/>
    <col min="55" max="55" width="3" style="71" customWidth="1"/>
    <col min="56" max="56" width="19.25" style="71" customWidth="1" outlineLevel="1"/>
    <col min="57" max="57" width="19.25" style="71" bestFit="1" customWidth="1"/>
    <col min="58" max="58" width="3" style="71" customWidth="1"/>
    <col min="59" max="59" width="19.25" style="71" customWidth="1" outlineLevel="1"/>
    <col min="60" max="60" width="19.25" style="71"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71" customWidth="1" outlineLevel="1"/>
    <col min="70" max="70" width="17.375" style="71" bestFit="1" customWidth="1"/>
    <col min="71" max="16384" width="9" style="71"/>
  </cols>
  <sheetData>
    <row r="1" spans="1:70" ht="18.75" x14ac:dyDescent="0.15">
      <c r="A1" s="6" t="s">
        <v>60</v>
      </c>
    </row>
    <row r="3" spans="1:70" ht="23.25" x14ac:dyDescent="0.15">
      <c r="B3" s="1" t="s">
        <v>542</v>
      </c>
      <c r="F3" s="718" t="s">
        <v>644</v>
      </c>
      <c r="G3" s="719"/>
    </row>
    <row r="4" spans="1:70" x14ac:dyDescent="0.15">
      <c r="G4" s="500"/>
    </row>
    <row r="5" spans="1:70" ht="15.75" thickBot="1" x14ac:dyDescent="0.2">
      <c r="B5" s="5" t="s">
        <v>543</v>
      </c>
      <c r="C5" s="3"/>
      <c r="D5" s="102"/>
      <c r="E5" s="102"/>
      <c r="F5" s="3"/>
      <c r="G5" s="102"/>
      <c r="I5" s="5" t="s">
        <v>64</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71" t="s">
        <v>545</v>
      </c>
      <c r="F7" s="473">
        <v>2020</v>
      </c>
      <c r="I7" s="8"/>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71" t="s">
        <v>546</v>
      </c>
      <c r="F8" s="474">
        <f>まとめ!B3</f>
        <v>107</v>
      </c>
      <c r="G8" s="84" t="s">
        <v>547</v>
      </c>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71" t="s">
        <v>548</v>
      </c>
      <c r="F9" s="474">
        <f>まとめ!B2</f>
        <v>3</v>
      </c>
      <c r="G9" s="84" t="s">
        <v>549</v>
      </c>
      <c r="I9" s="720" t="s">
        <v>78</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09" t="s">
        <v>232</v>
      </c>
      <c r="AI9" s="707"/>
      <c r="AJ9" s="8"/>
      <c r="AK9" s="707"/>
      <c r="AL9" s="707"/>
      <c r="AM9" s="8"/>
      <c r="AN9" s="707"/>
      <c r="AO9" s="707"/>
      <c r="AP9" s="8"/>
      <c r="AQ9" s="707"/>
      <c r="AR9" s="707"/>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I10" s="708"/>
      <c r="K10" s="708"/>
      <c r="M10" s="708"/>
      <c r="O10" s="717"/>
      <c r="P10" s="717"/>
      <c r="R10" s="708"/>
      <c r="T10" s="708"/>
      <c r="V10" s="717"/>
      <c r="W10" s="717"/>
      <c r="Y10" s="717"/>
      <c r="Z10" s="717"/>
      <c r="AB10" s="723"/>
      <c r="AC10" s="723"/>
      <c r="AD10" s="81"/>
      <c r="AE10" s="723"/>
      <c r="AF10" s="723"/>
      <c r="AH10" s="717"/>
      <c r="AI10" s="717"/>
      <c r="AK10" s="717"/>
      <c r="AL10" s="717"/>
      <c r="AN10" s="717"/>
      <c r="AO10" s="717"/>
      <c r="AQ10" s="717"/>
      <c r="AR10" s="717"/>
      <c r="AT10" s="717"/>
      <c r="AV10" s="717"/>
      <c r="AW10" s="717"/>
      <c r="AX10" s="322"/>
      <c r="AY10" s="708"/>
      <c r="BA10" s="708"/>
      <c r="BB10" s="708"/>
      <c r="BD10" s="717"/>
      <c r="BE10" s="717"/>
      <c r="BG10" s="717"/>
      <c r="BH10" s="717"/>
      <c r="BJ10" s="708"/>
      <c r="BK10" s="708"/>
      <c r="BL10" s="708"/>
      <c r="BM10" s="322"/>
      <c r="BN10" s="717"/>
      <c r="BO10" s="717"/>
      <c r="BQ10" s="322"/>
      <c r="BR10" s="322"/>
    </row>
    <row r="11" spans="1:70" ht="15.75" customHeight="1" thickBot="1" x14ac:dyDescent="0.2">
      <c r="B11" s="5" t="s">
        <v>95</v>
      </c>
      <c r="C11" s="3"/>
      <c r="D11" s="102"/>
      <c r="E11" s="102"/>
      <c r="F11" s="3"/>
      <c r="G11" s="102"/>
      <c r="O11" s="322" t="s">
        <v>96</v>
      </c>
      <c r="P11" s="322"/>
      <c r="Q11" s="322"/>
      <c r="R11" s="322" t="s">
        <v>96</v>
      </c>
      <c r="S11" s="322"/>
      <c r="T11" s="322"/>
      <c r="V11" s="322"/>
      <c r="W11" s="322"/>
      <c r="Y11" s="322"/>
      <c r="Z11" s="322"/>
      <c r="AB11" s="322"/>
      <c r="AC11" s="322"/>
      <c r="AE11" s="322"/>
      <c r="AF11" s="322"/>
      <c r="AH11" s="322"/>
      <c r="AI11" s="322"/>
      <c r="AK11" s="322"/>
      <c r="AL11" s="322"/>
      <c r="AN11" s="322"/>
      <c r="AO11" s="322"/>
      <c r="AQ11" s="322"/>
      <c r="AR11" s="322"/>
      <c r="AT11" s="322"/>
      <c r="AV11" s="322"/>
      <c r="AW11" s="322"/>
      <c r="AX11" s="322"/>
      <c r="BB11" s="322"/>
      <c r="BD11" s="322"/>
      <c r="BE11" s="322"/>
      <c r="BG11" s="322"/>
      <c r="BH11" s="322"/>
      <c r="BJ11" s="156"/>
      <c r="BM11" s="322"/>
      <c r="BN11" s="322"/>
      <c r="BO11" s="322"/>
      <c r="BQ11" s="322"/>
      <c r="BR11" s="322"/>
    </row>
    <row r="12" spans="1:70" ht="14.25" customHeight="1" x14ac:dyDescent="0.15">
      <c r="O12" s="322"/>
      <c r="P12" s="707" t="s">
        <v>97</v>
      </c>
      <c r="W12" s="707" t="s">
        <v>98</v>
      </c>
      <c r="Z12" s="707" t="s">
        <v>98</v>
      </c>
      <c r="AC12" s="707" t="s">
        <v>98</v>
      </c>
      <c r="AF12" s="707" t="s">
        <v>98</v>
      </c>
      <c r="AI12" s="707" t="s">
        <v>98</v>
      </c>
      <c r="AL12" s="707" t="s">
        <v>98</v>
      </c>
      <c r="AO12" s="707" t="s">
        <v>98</v>
      </c>
      <c r="AR12" s="707" t="s">
        <v>98</v>
      </c>
      <c r="AW12" s="707" t="s">
        <v>98</v>
      </c>
      <c r="BB12" s="707" t="s">
        <v>98</v>
      </c>
      <c r="BE12" s="707" t="s">
        <v>98</v>
      </c>
      <c r="BH12" s="707" t="s">
        <v>98</v>
      </c>
      <c r="BJ12" s="709" t="s">
        <v>99</v>
      </c>
      <c r="BK12" s="709" t="s">
        <v>100</v>
      </c>
      <c r="BL12" s="709" t="s">
        <v>101</v>
      </c>
      <c r="BO12" s="709" t="s">
        <v>102</v>
      </c>
      <c r="BR12" s="707" t="s">
        <v>103</v>
      </c>
    </row>
    <row r="13" spans="1:70" ht="14.25" customHeight="1" x14ac:dyDescent="0.15">
      <c r="C13" s="71" t="s">
        <v>552</v>
      </c>
      <c r="F13" s="475">
        <v>0.56999999999999995</v>
      </c>
      <c r="G13" s="84" t="s">
        <v>553</v>
      </c>
      <c r="O13" s="322"/>
      <c r="P13" s="708"/>
      <c r="Q13" s="322"/>
      <c r="R13" s="322"/>
      <c r="S13" s="322"/>
      <c r="T13" s="322"/>
      <c r="V13" s="322"/>
      <c r="W13" s="708"/>
      <c r="Y13" s="322"/>
      <c r="Z13" s="708"/>
      <c r="AB13" s="322"/>
      <c r="AC13" s="708"/>
      <c r="AE13" s="322"/>
      <c r="AF13" s="708"/>
      <c r="AH13" s="322"/>
      <c r="AI13" s="708"/>
      <c r="AK13" s="322"/>
      <c r="AL13" s="708"/>
      <c r="AN13" s="322"/>
      <c r="AO13" s="708"/>
      <c r="AQ13" s="322"/>
      <c r="AR13" s="708"/>
      <c r="AT13" s="322"/>
      <c r="AV13" s="322"/>
      <c r="AW13" s="708"/>
      <c r="BB13" s="708"/>
      <c r="BD13" s="322"/>
      <c r="BE13" s="708"/>
      <c r="BG13" s="322"/>
      <c r="BH13" s="708"/>
      <c r="BJ13" s="712"/>
      <c r="BK13" s="710"/>
      <c r="BL13" s="708"/>
      <c r="BM13" s="322"/>
      <c r="BO13" s="708"/>
      <c r="BQ13" s="322"/>
      <c r="BR13" s="708"/>
    </row>
    <row r="14" spans="1:70" ht="16.5" x14ac:dyDescent="0.15">
      <c r="C14" s="71" t="s">
        <v>554</v>
      </c>
      <c r="F14" s="474">
        <f>VLOOKUP(F3&amp;IF(G4&lt;&gt;"","_"&amp;G4,""),まとめ!$A$12:$G$34,IF(F7=2030,4,IF(F7=2020,3,IF(F7=2014,2,"-"))),0)</f>
        <v>87</v>
      </c>
      <c r="G14" s="84" t="s">
        <v>549</v>
      </c>
      <c r="O14" s="322"/>
      <c r="P14" s="322"/>
      <c r="Q14" s="322"/>
      <c r="R14" s="322"/>
      <c r="S14" s="322"/>
      <c r="T14" s="322"/>
      <c r="AT14" s="50" t="s">
        <v>104</v>
      </c>
      <c r="AY14" s="71" t="s">
        <v>105</v>
      </c>
    </row>
    <row r="15" spans="1:70" x14ac:dyDescent="0.15">
      <c r="C15" s="71" t="s">
        <v>555</v>
      </c>
      <c r="F15" s="474">
        <f>VLOOKUP(F3&amp;IF(G4&lt;&gt;"","_"&amp;G4,""),まとめ!$A$12:$G$34,IF(F7=2030,7,IF(F7=2020,6,IF(F7=2014,5,"-"))),0)</f>
        <v>40</v>
      </c>
      <c r="G15" s="84" t="s">
        <v>556</v>
      </c>
      <c r="I15" s="38">
        <f>F7</f>
        <v>2020</v>
      </c>
      <c r="J15" s="39"/>
      <c r="K15" s="39">
        <f>IF(I15&lt;&gt;"",1,"")</f>
        <v>1</v>
      </c>
      <c r="L15" s="39"/>
      <c r="M15" s="40">
        <f t="shared" ref="M15:M78" si="0">1/(1+($F$9/100))^K15</f>
        <v>0.970873786407767</v>
      </c>
      <c r="N15" s="39"/>
      <c r="O15" s="72">
        <f>F117</f>
        <v>2267000000</v>
      </c>
      <c r="P15" s="41">
        <f t="shared" ref="P15:P46" si="1">IF(K15&lt;=$F$15,IF(OR(P14=$F$124,P14="-"),"-",IF(O15*$F$123&gt;$F$127,$F$123,$F$124)),"")</f>
        <v>0.16700000000000001</v>
      </c>
      <c r="Q15" s="39"/>
      <c r="R15" s="72">
        <f>F117</f>
        <v>2267000000</v>
      </c>
      <c r="S15" s="39"/>
      <c r="T15" s="72">
        <f>IF(ISNUMBER(R15),ROUNDDOWN(R15,-3),"")</f>
        <v>2267000000</v>
      </c>
      <c r="U15" s="39"/>
      <c r="V15" s="72">
        <f t="shared" ref="V15:V46" si="2">IF(K15&lt;=$F$15,IF(K15&lt;$F$119,IF(P15="-",V14,O15*P15),IF(K15=$F$119,MIN(IF(P15="-",V14,O15*P15),O15),0)),"")</f>
        <v>378589000</v>
      </c>
      <c r="W15" s="72">
        <f>IF(ISNUMBER(V15),V15*$M15,"")</f>
        <v>367562135.92233008</v>
      </c>
      <c r="X15" s="39"/>
      <c r="Y15" s="72">
        <f t="shared" ref="Y15:Y46" si="3">IF($K15&lt;=$F$15,ROUNDDOWN(T15*$F$25/100,-2),"")</f>
        <v>31738000</v>
      </c>
      <c r="Z15" s="72">
        <f>IF(ISNUMBER(Y15),Y15*$M15,"")</f>
        <v>30813592.233009711</v>
      </c>
      <c r="AA15" s="39"/>
      <c r="AB15" s="72">
        <f t="shared" ref="AB15:AB78" si="4">IF($K15&lt;=$F$15,0,IF(AND($K15&gt;$F$15,$K15&lt;=$F$15+$F$28),$F$27*10^8/$F$28,""))</f>
        <v>0</v>
      </c>
      <c r="AC15" s="72">
        <f>IF(ISNUMBER(AB15),AB15*$M15,"")</f>
        <v>0</v>
      </c>
      <c r="AD15" s="39"/>
      <c r="AE15" s="72">
        <f t="shared" ref="AE15:AE46" si="5">IF($K15&lt;=$F$15,$F$26,"")</f>
        <v>0</v>
      </c>
      <c r="AF15" s="72">
        <f>IF(ISNUMBER(AE15),AE15*$M15,"")</f>
        <v>0</v>
      </c>
      <c r="AG15" s="39"/>
      <c r="AH15" s="72">
        <f>IF($K15&lt;=$F$15,$F$33*10^4*$F$13*10^4,"")</f>
        <v>153899999.99999997</v>
      </c>
      <c r="AI15" s="72">
        <f>IF(ISNUMBER(AH15),AH15*$M15,"")</f>
        <v>149417475.72815531</v>
      </c>
      <c r="AJ15" s="39"/>
      <c r="AK15" s="72"/>
      <c r="AL15" s="72"/>
      <c r="AM15" s="39"/>
      <c r="AN15" s="72"/>
      <c r="AO15" s="72"/>
      <c r="AP15" s="39"/>
      <c r="AQ15" s="72"/>
      <c r="AR15" s="72"/>
      <c r="AS15" s="39"/>
      <c r="AT15" s="40">
        <f>IF($K15&lt;=$F$15,IF($F$40&lt;&gt;"",$F$40/1000,IF(ISERROR(VLOOKUP($F$3&amp;IF($G$4&lt;&gt;"",$G$4,"")&amp;IF($F$43&lt;&gt;"","_"&amp;$F$43,""),'表3）燃料価格'!$AF$9:$AG$25,2,0)),0,VLOOKUP($I15,'表3）燃料価格'!$A$6:$U$66,VLOOKUP($F$3&amp;IF($G$4&lt;&gt;"",$G$4,"")&amp;IF($F$43&lt;&gt;"","_"&amp;$F$43,""),'表3）燃料価格'!$AF$9:$AG$25,2,0)+VLOOKUP($F$41,'表3）燃料価格'!$AF$28:$AG$29,2,0),0)*IF($F$43="需要地価格",1,$F$8/$F$141))),"")</f>
        <v>12</v>
      </c>
      <c r="AU15" s="39"/>
      <c r="AV15" s="72">
        <f t="shared" ref="AV15:AV46" si="6">IF($K15&lt;=$F$15,($AT15+$F$142)*$F$137,"")</f>
        <v>764999999.99999988</v>
      </c>
      <c r="AW15" s="72">
        <f t="shared" ref="AW15:AW78" si="7">IF(ISNUMBER(AV15),AV15*$M15,"")</f>
        <v>742718446.60194159</v>
      </c>
      <c r="AX15" s="39"/>
      <c r="AY15" s="40">
        <f>IF(ISERROR(IF($K15&lt;=$F$15,VLOOKUP($I15,'表4）CO2価格'!$A$7:$E$67,VLOOKUP($F$48,'表4）CO2価格'!$H$10:$I$12,2,0),0)*$F$8/1000,"")),0,IF($K15&lt;=$F$15,VLOOKUP($I15,'表4）CO2価格'!$A$7:$E$67,VLOOKUP($F$48,'表4）CO2価格'!$H$10:$I$12,2,0),0)*$F$8/1000,""))</f>
        <v>0</v>
      </c>
      <c r="AZ15" s="39"/>
      <c r="BA15" s="42">
        <f t="shared" ref="BA15:BA46" si="8">IF($K15&lt;=$F$15,$F$145*AY15,"")</f>
        <v>0</v>
      </c>
      <c r="BB15" s="72">
        <f>IF(ISNUMBER(BA15),BA15*$M15,"")</f>
        <v>0</v>
      </c>
      <c r="BC15" s="39"/>
      <c r="BD15" s="72">
        <f t="shared" ref="BD15:BD46" si="9">IF($K15&lt;=$F$15,($AT15+$F$152)*$F$151,"")</f>
        <v>0</v>
      </c>
      <c r="BE15" s="72">
        <f>IF(ISNUMBER(BD15),BD15*$M15,"")</f>
        <v>0</v>
      </c>
      <c r="BF15" s="39"/>
      <c r="BG15" s="42">
        <f t="shared" ref="BG15:BG46" si="10">IF($K15&lt;=$F$15,$F$153*AY15,"")</f>
        <v>0</v>
      </c>
      <c r="BH15" s="72">
        <f>IF(ISNUMBER(BG15),BG15*$M15,"")</f>
        <v>0</v>
      </c>
      <c r="BI15" s="39"/>
      <c r="BJ15" s="40">
        <f>IF(ISNUMBER($F$16),IF($K15&lt;=$F$16+$F$28,1/(1+($F$17/100))^K15,""),"")</f>
        <v>0.92592592592592582</v>
      </c>
      <c r="BK15" s="157">
        <f>IF(ISNUMBER($F$16),IF($K15&lt;=$F$16+$F$28,IF($K15&lt;=$F$16,SUM(Y15,AB15,AE15,AH15,AK15,AN15,AQ15,BA15,BD15,BG15)+AV15/$F$14*87,$F$27/$F$28*10^8)*BJ15,""),"")</f>
        <v>880220370.37037015</v>
      </c>
      <c r="BL15" s="157">
        <f>IF(AND(ISNUMBER(BJ15),$K15&lt;=$F$16),BQ15/$F$14*87*BJ15,"")</f>
        <v>33787319.999999993</v>
      </c>
      <c r="BM15" s="72"/>
      <c r="BN15" s="72">
        <f>IF(AND(ISNUMBER($F$16),$K15&lt;=$F$16),BQ15*($O$15+$BK$116)/$BL$116,"")</f>
        <v>1166488854.4139216</v>
      </c>
      <c r="BO15" s="72">
        <f>IF(ISNUMBER(BN15),BN15*$M15,"")</f>
        <v>1132513450.8873026</v>
      </c>
      <c r="BP15" s="39"/>
      <c r="BQ15" s="72">
        <f t="shared" ref="BQ15:BQ46" si="11">IF($K15&lt;=$F$15,$F$134,"")</f>
        <v>36490305.599999994</v>
      </c>
      <c r="BR15" s="72">
        <f>IF(ISNUMBER(BQ15),BQ15*$M15,"")</f>
        <v>35427481.16504854</v>
      </c>
    </row>
    <row r="16" spans="1:70" x14ac:dyDescent="0.15">
      <c r="C16" s="184" t="s">
        <v>107</v>
      </c>
      <c r="F16" s="474">
        <f>IF(ISERROR(VLOOKUP(F3&amp;IF(G4&lt;&gt;"","_"&amp;G4,""),'表7）買取期間・IRR'!$A$3:$A$10,1,0)),"",VLOOKUP(F3&amp;IF(G4&lt;&gt;"","_"&amp;G4,""),'表7）買取期間・IRR'!$A$3:$C$10,IF(F7=2030,3,IF(F7=2020,3,IF(F7=2014,2,"-"))),0))</f>
        <v>20</v>
      </c>
      <c r="G16" s="84" t="s">
        <v>556</v>
      </c>
      <c r="I16" s="322">
        <f>I15+1</f>
        <v>2021</v>
      </c>
      <c r="K16" s="71">
        <f>IF(I16&lt;&gt;"",K15+1,"")</f>
        <v>2</v>
      </c>
      <c r="M16" s="7">
        <f t="shared" si="0"/>
        <v>0.94259590913375435</v>
      </c>
      <c r="O16" s="10">
        <f t="shared" ref="O16:O79" si="12">IF(K16&lt;=$F$15,O15-V15,"")</f>
        <v>1888411000</v>
      </c>
      <c r="P16" s="29">
        <f t="shared" si="1"/>
        <v>0.16700000000000001</v>
      </c>
      <c r="R16" s="10">
        <f t="shared" ref="R16:R47" si="13">IF($K16&lt;=$F$15,MAX($F$117*5%,R15*$F$129),"")</f>
        <v>1944396602.105557</v>
      </c>
      <c r="T16" s="10">
        <f t="shared" ref="T16:T79" si="14">IF(ISNUMBER(R16),ROUNDDOWN(R16,-3),"")</f>
        <v>1944396000</v>
      </c>
      <c r="V16" s="10">
        <f t="shared" si="2"/>
        <v>315364637</v>
      </c>
      <c r="W16" s="10">
        <f t="shared" ref="W16:W79" si="15">IF(ISNUMBER(V16),V16*$M16,"")</f>
        <v>297261416.72165143</v>
      </c>
      <c r="Y16" s="10">
        <f t="shared" si="3"/>
        <v>27221500</v>
      </c>
      <c r="Z16" s="10">
        <f t="shared" ref="Z16:Z79" si="16">IF(ISNUMBER(Y16),Y16*$M16,"")</f>
        <v>25658874.540484495</v>
      </c>
      <c r="AB16" s="10">
        <f t="shared" si="4"/>
        <v>0</v>
      </c>
      <c r="AC16" s="10">
        <f t="shared" ref="AC16:AC79" si="17">IF(ISNUMBER(AB16),AB16*$M16,"")</f>
        <v>0</v>
      </c>
      <c r="AE16" s="10">
        <f t="shared" si="5"/>
        <v>0</v>
      </c>
      <c r="AF16" s="10">
        <f t="shared" ref="AF16:AF79" si="18">IF(ISNUMBER(AE16),AE16*$M16,"")</f>
        <v>0</v>
      </c>
      <c r="AH16" s="72">
        <f>IF($K16&lt;=$F$15,$F$33*10^4*$F$13*10^4,"")</f>
        <v>153899999.99999997</v>
      </c>
      <c r="AI16" s="10">
        <f t="shared" ref="AI16:AI79" si="19">IF(ISNUMBER(AH16),AH16*$M16,"")</f>
        <v>145065510.41568476</v>
      </c>
      <c r="AK16" s="10"/>
      <c r="AL16" s="10"/>
      <c r="AN16" s="10"/>
      <c r="AO16" s="10"/>
      <c r="AQ16" s="10"/>
      <c r="AR16" s="10"/>
      <c r="AT16" s="7">
        <f>IF($K16&lt;=$F$15,IF($F$40&lt;&gt;"",$F$40/1000,IF(ISERROR(VLOOKUP($F$3&amp;IF($G$4&lt;&gt;"",$G$4,"")&amp;IF($F$43&lt;&gt;"","_"&amp;$F$43,""),'表3）燃料価格'!$AF$9:$AG$25,2,0)),0,VLOOKUP($I16,'表3）燃料価格'!$A$6:$U$66,VLOOKUP($F$3&amp;IF($G$4&lt;&gt;"",$G$4,"")&amp;IF($F$43&lt;&gt;"","_"&amp;$F$43,""),'表3）燃料価格'!$AF$9:$AG$25,2,0)+VLOOKUP($F$41,'表3）燃料価格'!$AF$28:$AG$29,2,0),0)*IF($F$43="需要地価格",1,$F$8/$F$141))),"")</f>
        <v>12</v>
      </c>
      <c r="AV16" s="10">
        <f t="shared" si="6"/>
        <v>764999999.99999988</v>
      </c>
      <c r="AW16" s="10">
        <f t="shared" si="7"/>
        <v>721085870.48732197</v>
      </c>
      <c r="AY16" s="7">
        <f>IF(ISERROR(IF($K16&lt;=$F$15,VLOOKUP($I16,'表4）CO2価格'!$A$7:$E$67,VLOOKUP($F$48,'表4）CO2価格'!$H$10:$I$12,2,0),0)*$F$8/1000,"")),0,IF($K16&lt;=$F$15,VLOOKUP($I16,'表4）CO2価格'!$A$7:$E$67,VLOOKUP($F$48,'表4）CO2価格'!$H$10:$I$12,2,0),0)*$F$8/1000,""))</f>
        <v>0</v>
      </c>
      <c r="BA16" s="11">
        <f t="shared" si="8"/>
        <v>0</v>
      </c>
      <c r="BB16" s="10">
        <f t="shared" ref="BB16:BB79" si="20">IF(ISNUMBER(BA16),BA16*$M16,"")</f>
        <v>0</v>
      </c>
      <c r="BD16" s="10">
        <f t="shared" si="9"/>
        <v>0</v>
      </c>
      <c r="BE16" s="10">
        <f t="shared" ref="BE16:BE79" si="21">IF(ISNUMBER(BD16),BD16*$M16,"")</f>
        <v>0</v>
      </c>
      <c r="BG16" s="11">
        <f t="shared" si="10"/>
        <v>0</v>
      </c>
      <c r="BH16" s="10">
        <f t="shared" ref="BH16:BH79" si="22">IF(ISNUMBER(BG16),BG16*$M16,"")</f>
        <v>0</v>
      </c>
      <c r="BJ16" s="7">
        <f t="shared" ref="BJ16:BJ79" si="23">IF(ISNUMBER($F$16),IF($K16&lt;=$F$16+$F$28,1/(1+($F$17/100))^K16,""),"")</f>
        <v>0.85733882030178321</v>
      </c>
      <c r="BK16" s="158">
        <f t="shared" ref="BK16:BK79" si="24">IF(ISNUMBER($F$16),IF($K16&lt;=$F$16+$F$28,IF($K16&lt;=$F$16,SUM(Y16,AB16,AE16,AH16,AK16,AN16,AQ16,BA16,BD16,BG16)+AV16/$F$14*87,$F$27/$F$28*10^8)*BJ16,""),"")</f>
        <v>811146690.67215347</v>
      </c>
      <c r="BL16" s="158">
        <f t="shared" ref="BL16:BL79" si="25">IF(AND(ISNUMBER(BJ16),$K16&lt;=$F$16),BQ16/$F$14*87*BJ16,"")</f>
        <v>31284555.555555549</v>
      </c>
      <c r="BM16" s="10"/>
      <c r="BN16" s="10">
        <f t="shared" ref="BN16:BN79" si="26">IF(AND(ISNUMBER($F$16),$K16&lt;=$F$16),BQ16*($O$15+$BK$116)/$BL$116,"")</f>
        <v>1166488854.4139216</v>
      </c>
      <c r="BO16" s="10">
        <f t="shared" ref="BO16:BO79" si="27">IF(ISNUMBER(BN16),BN16*$M16,"")</f>
        <v>1099527622.2206821</v>
      </c>
      <c r="BQ16" s="10">
        <f t="shared" si="11"/>
        <v>36490305.599999994</v>
      </c>
      <c r="BR16" s="10">
        <f t="shared" ref="BR16:BR79" si="28">IF(ISNUMBER(BQ16),BQ16*$M16,"")</f>
        <v>34395612.78160052</v>
      </c>
    </row>
    <row r="17" spans="3:70" x14ac:dyDescent="0.15">
      <c r="C17" s="71" t="s">
        <v>109</v>
      </c>
      <c r="F17" s="476">
        <f>IF(ISERROR(VLOOKUP(F3&amp;IF(G4&lt;&gt;"","_"&amp;G4,""),'表7）買取期間・IRR'!$A$14:$C$21,1,0)),"",VLOOKUP(F3&amp;IF(G4&lt;&gt;"","_"&amp;G4,""),'表7）買取期間・IRR'!$A$14:$C$21,IF(F7=2030,3,IF(F7=2020,2,"-")),0))</f>
        <v>8</v>
      </c>
      <c r="G17" s="84" t="s">
        <v>549</v>
      </c>
      <c r="I17" s="38">
        <f t="shared" ref="I17:I80" si="29">I16+1</f>
        <v>2022</v>
      </c>
      <c r="J17" s="39"/>
      <c r="K17" s="39">
        <f t="shared" ref="K17:K80" si="30">IF(I17&lt;&gt;"",K16+1,"")</f>
        <v>3</v>
      </c>
      <c r="L17" s="39"/>
      <c r="M17" s="40">
        <f t="shared" si="0"/>
        <v>0.91514165935315961</v>
      </c>
      <c r="N17" s="39"/>
      <c r="O17" s="72">
        <f t="shared" si="12"/>
        <v>1573046363</v>
      </c>
      <c r="P17" s="41">
        <f t="shared" si="1"/>
        <v>0.16700000000000001</v>
      </c>
      <c r="Q17" s="39"/>
      <c r="R17" s="72">
        <f t="shared" si="13"/>
        <v>1667700990.8600068</v>
      </c>
      <c r="S17" s="39"/>
      <c r="T17" s="72">
        <f t="shared" si="14"/>
        <v>1667700000</v>
      </c>
      <c r="U17" s="39"/>
      <c r="V17" s="72">
        <f t="shared" si="2"/>
        <v>262698742.62100002</v>
      </c>
      <c r="W17" s="72">
        <f t="shared" si="15"/>
        <v>240406563.23217055</v>
      </c>
      <c r="X17" s="39"/>
      <c r="Y17" s="72">
        <f t="shared" si="3"/>
        <v>23347800</v>
      </c>
      <c r="Z17" s="72">
        <f t="shared" si="16"/>
        <v>21366544.434245698</v>
      </c>
      <c r="AA17" s="39"/>
      <c r="AB17" s="72">
        <f t="shared" si="4"/>
        <v>0</v>
      </c>
      <c r="AC17" s="72">
        <f t="shared" si="17"/>
        <v>0</v>
      </c>
      <c r="AD17" s="39"/>
      <c r="AE17" s="72">
        <f t="shared" si="5"/>
        <v>0</v>
      </c>
      <c r="AF17" s="72">
        <f t="shared" si="18"/>
        <v>0</v>
      </c>
      <c r="AG17" s="39"/>
      <c r="AH17" s="72">
        <f t="shared" ref="AH17:AH54" si="31">IF($K17&lt;=$F$15,$F$33*10^4*$F$13*10^4,"")</f>
        <v>153899999.99999997</v>
      </c>
      <c r="AI17" s="72">
        <f t="shared" si="19"/>
        <v>140840301.37445125</v>
      </c>
      <c r="AJ17" s="39"/>
      <c r="AK17" s="72"/>
      <c r="AL17" s="72"/>
      <c r="AM17" s="39"/>
      <c r="AN17" s="72"/>
      <c r="AO17" s="72"/>
      <c r="AP17" s="39"/>
      <c r="AQ17" s="72"/>
      <c r="AR17" s="72"/>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12</v>
      </c>
      <c r="AU17" s="39"/>
      <c r="AV17" s="72">
        <f t="shared" si="6"/>
        <v>764999999.99999988</v>
      </c>
      <c r="AW17" s="72">
        <f t="shared" si="7"/>
        <v>700083369.40516698</v>
      </c>
      <c r="AX17" s="39"/>
      <c r="AY17" s="40">
        <f>IF(ISERROR(IF($K17&lt;=$F$15,VLOOKUP($I17,'表4）CO2価格'!$A$7:$E$67,VLOOKUP($F$48,'表4）CO2価格'!$H$10:$I$12,2,0),0)*$F$8/1000,"")),0,IF($K17&lt;=$F$15,VLOOKUP($I17,'表4）CO2価格'!$A$7:$E$67,VLOOKUP($F$48,'表4）CO2価格'!$H$10:$I$12,2,0),0)*$F$8/1000,""))</f>
        <v>0</v>
      </c>
      <c r="AZ17" s="39"/>
      <c r="BA17" s="42">
        <f t="shared" si="8"/>
        <v>0</v>
      </c>
      <c r="BB17" s="72">
        <f t="shared" si="20"/>
        <v>0</v>
      </c>
      <c r="BC17" s="39"/>
      <c r="BD17" s="72">
        <f t="shared" si="9"/>
        <v>0</v>
      </c>
      <c r="BE17" s="72">
        <f t="shared" si="21"/>
        <v>0</v>
      </c>
      <c r="BF17" s="39"/>
      <c r="BG17" s="42">
        <f t="shared" si="10"/>
        <v>0</v>
      </c>
      <c r="BH17" s="72">
        <f t="shared" si="22"/>
        <v>0</v>
      </c>
      <c r="BI17" s="39"/>
      <c r="BJ17" s="40">
        <f t="shared" si="23"/>
        <v>0.79383224102016958</v>
      </c>
      <c r="BK17" s="157">
        <f t="shared" si="24"/>
        <v>747986682.67032444</v>
      </c>
      <c r="BL17" s="157">
        <f t="shared" si="25"/>
        <v>28967181.06995884</v>
      </c>
      <c r="BM17" s="72"/>
      <c r="BN17" s="72">
        <f t="shared" si="26"/>
        <v>1166488854.4139216</v>
      </c>
      <c r="BO17" s="72">
        <f t="shared" si="27"/>
        <v>1067502545.8453224</v>
      </c>
      <c r="BP17" s="39"/>
      <c r="BQ17" s="72">
        <f t="shared" si="11"/>
        <v>36490305.599999994</v>
      </c>
      <c r="BR17" s="72">
        <f t="shared" si="28"/>
        <v>33393798.817087889</v>
      </c>
    </row>
    <row r="18" spans="3:70" x14ac:dyDescent="0.15">
      <c r="I18" s="322">
        <f t="shared" si="29"/>
        <v>2023</v>
      </c>
      <c r="K18" s="71">
        <f t="shared" si="30"/>
        <v>4</v>
      </c>
      <c r="M18" s="7">
        <f t="shared" si="0"/>
        <v>0.888487047915689</v>
      </c>
      <c r="O18" s="10">
        <f t="shared" si="12"/>
        <v>1310347620.3789999</v>
      </c>
      <c r="P18" s="29">
        <f t="shared" si="1"/>
        <v>0.16700000000000001</v>
      </c>
      <c r="R18" s="10">
        <f t="shared" si="13"/>
        <v>1430380299.9365981</v>
      </c>
      <c r="T18" s="10">
        <f t="shared" si="14"/>
        <v>1430380000</v>
      </c>
      <c r="V18" s="10">
        <f t="shared" si="2"/>
        <v>218828052.603293</v>
      </c>
      <c r="W18" s="10">
        <f t="shared" si="15"/>
        <v>194425890.45863891</v>
      </c>
      <c r="Y18" s="10">
        <f t="shared" si="3"/>
        <v>20025300</v>
      </c>
      <c r="Z18" s="10">
        <f t="shared" si="16"/>
        <v>17792219.680626046</v>
      </c>
      <c r="AB18" s="10">
        <f t="shared" si="4"/>
        <v>0</v>
      </c>
      <c r="AC18" s="10">
        <f t="shared" si="17"/>
        <v>0</v>
      </c>
      <c r="AE18" s="10">
        <f t="shared" si="5"/>
        <v>0</v>
      </c>
      <c r="AF18" s="10">
        <f t="shared" si="18"/>
        <v>0</v>
      </c>
      <c r="AH18" s="72">
        <f t="shared" si="31"/>
        <v>153899999.99999997</v>
      </c>
      <c r="AI18" s="10">
        <f t="shared" si="19"/>
        <v>136738156.6742245</v>
      </c>
      <c r="AK18" s="10"/>
      <c r="AL18" s="10"/>
      <c r="AN18" s="10"/>
      <c r="AO18" s="10"/>
      <c r="AQ18" s="10"/>
      <c r="AR18" s="10"/>
      <c r="AT18" s="7">
        <f>IF($K18&lt;=$F$15,IF($F$40&lt;&gt;"",$F$40/1000,IF(ISERROR(VLOOKUP($F$3&amp;IF($G$4&lt;&gt;"",$G$4,"")&amp;IF($F$43&lt;&gt;"","_"&amp;$F$43,""),'表3）燃料価格'!$AF$9:$AG$25,2,0)),0,VLOOKUP($I18,'表3）燃料価格'!$A$6:$U$66,VLOOKUP($F$3&amp;IF($G$4&lt;&gt;"",$G$4,"")&amp;IF($F$43&lt;&gt;"","_"&amp;$F$43,""),'表3）燃料価格'!$AF$9:$AG$25,2,0)+VLOOKUP($F$41,'表3）燃料価格'!$AF$28:$AG$29,2,0),0)*IF($F$43="需要地価格",1,$F$8/$F$141))),"")</f>
        <v>12</v>
      </c>
      <c r="AV18" s="10">
        <f t="shared" si="6"/>
        <v>764999999.99999988</v>
      </c>
      <c r="AW18" s="10">
        <f t="shared" si="7"/>
        <v>679692591.65550196</v>
      </c>
      <c r="AY18" s="7">
        <f>IF(ISERROR(IF($K18&lt;=$F$15,VLOOKUP($I18,'表4）CO2価格'!$A$7:$E$67,VLOOKUP($F$48,'表4）CO2価格'!$H$10:$I$12,2,0),0)*$F$8/1000,"")),0,IF($K18&lt;=$F$15,VLOOKUP($I18,'表4）CO2価格'!$A$7:$E$67,VLOOKUP($F$48,'表4）CO2価格'!$H$10:$I$12,2,0),0)*$F$8/1000,""))</f>
        <v>0</v>
      </c>
      <c r="BA18" s="11">
        <f t="shared" si="8"/>
        <v>0</v>
      </c>
      <c r="BB18" s="10">
        <f t="shared" si="20"/>
        <v>0</v>
      </c>
      <c r="BD18" s="10">
        <f t="shared" si="9"/>
        <v>0</v>
      </c>
      <c r="BE18" s="10">
        <f t="shared" si="21"/>
        <v>0</v>
      </c>
      <c r="BG18" s="11">
        <f t="shared" si="10"/>
        <v>0</v>
      </c>
      <c r="BH18" s="10">
        <f t="shared" si="22"/>
        <v>0</v>
      </c>
      <c r="BJ18" s="7">
        <f t="shared" si="23"/>
        <v>0.73502985279645328</v>
      </c>
      <c r="BK18" s="158">
        <f t="shared" si="24"/>
        <v>690138125.04586565</v>
      </c>
      <c r="BL18" s="158">
        <f t="shared" si="25"/>
        <v>26821463.953665592</v>
      </c>
      <c r="BM18" s="10"/>
      <c r="BN18" s="10">
        <f t="shared" si="26"/>
        <v>1166488854.4139216</v>
      </c>
      <c r="BO18" s="10">
        <f t="shared" si="27"/>
        <v>1036410238.6847792</v>
      </c>
      <c r="BQ18" s="10">
        <f t="shared" si="11"/>
        <v>36490305.599999994</v>
      </c>
      <c r="BR18" s="10">
        <f t="shared" si="28"/>
        <v>32421163.90008533</v>
      </c>
    </row>
    <row r="19" spans="3:70" x14ac:dyDescent="0.15">
      <c r="C19" s="4" t="s">
        <v>557</v>
      </c>
      <c r="D19" s="100"/>
      <c r="E19" s="100"/>
      <c r="F19" s="4"/>
      <c r="G19" s="100"/>
      <c r="I19" s="38">
        <f t="shared" si="29"/>
        <v>2024</v>
      </c>
      <c r="J19" s="39"/>
      <c r="K19" s="39">
        <f t="shared" si="30"/>
        <v>5</v>
      </c>
      <c r="L19" s="39"/>
      <c r="M19" s="40">
        <f t="shared" si="0"/>
        <v>0.86260878438416411</v>
      </c>
      <c r="N19" s="39"/>
      <c r="O19" s="72">
        <f t="shared" si="12"/>
        <v>1091519567.775707</v>
      </c>
      <c r="P19" s="41">
        <f t="shared" si="1"/>
        <v>0.16700000000000001</v>
      </c>
      <c r="Q19" s="39"/>
      <c r="R19" s="72">
        <f t="shared" si="13"/>
        <v>1226831316.6808331</v>
      </c>
      <c r="S19" s="39"/>
      <c r="T19" s="72">
        <f t="shared" si="14"/>
        <v>1226831000</v>
      </c>
      <c r="U19" s="39"/>
      <c r="V19" s="72">
        <f t="shared" si="2"/>
        <v>182283767.81854308</v>
      </c>
      <c r="W19" s="72">
        <f t="shared" si="15"/>
        <v>157239579.37091866</v>
      </c>
      <c r="X19" s="39"/>
      <c r="Y19" s="72">
        <f t="shared" si="3"/>
        <v>17175600</v>
      </c>
      <c r="Z19" s="72">
        <f t="shared" si="16"/>
        <v>14815823.437068649</v>
      </c>
      <c r="AA19" s="39"/>
      <c r="AB19" s="72">
        <f t="shared" si="4"/>
        <v>0</v>
      </c>
      <c r="AC19" s="72">
        <f t="shared" si="17"/>
        <v>0</v>
      </c>
      <c r="AD19" s="39"/>
      <c r="AE19" s="72">
        <f t="shared" si="5"/>
        <v>0</v>
      </c>
      <c r="AF19" s="72">
        <f t="shared" si="18"/>
        <v>0</v>
      </c>
      <c r="AG19" s="39"/>
      <c r="AH19" s="72">
        <f t="shared" si="31"/>
        <v>153899999.99999997</v>
      </c>
      <c r="AI19" s="72">
        <f t="shared" si="19"/>
        <v>132755491.91672283</v>
      </c>
      <c r="AJ19" s="39"/>
      <c r="AK19" s="72"/>
      <c r="AL19" s="72"/>
      <c r="AM19" s="39"/>
      <c r="AN19" s="72"/>
      <c r="AO19" s="72"/>
      <c r="AP19" s="39"/>
      <c r="AQ19" s="72"/>
      <c r="AR19" s="72"/>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12</v>
      </c>
      <c r="AU19" s="39"/>
      <c r="AV19" s="72">
        <f t="shared" si="6"/>
        <v>764999999.99999988</v>
      </c>
      <c r="AW19" s="72">
        <f t="shared" si="7"/>
        <v>659895720.05388546</v>
      </c>
      <c r="AX19" s="39"/>
      <c r="AY19" s="40">
        <f>IF(ISERROR(IF($K19&lt;=$F$15,VLOOKUP($I19,'表4）CO2価格'!$A$7:$E$67,VLOOKUP($F$48,'表4）CO2価格'!$H$10:$I$12,2,0),0)*$F$8/1000,"")),0,IF($K19&lt;=$F$15,VLOOKUP($I19,'表4）CO2価格'!$A$7:$E$67,VLOOKUP($F$48,'表4）CO2価格'!$H$10:$I$12,2,0),0)*$F$8/1000,""))</f>
        <v>0</v>
      </c>
      <c r="AZ19" s="39"/>
      <c r="BA19" s="42">
        <f t="shared" si="8"/>
        <v>0</v>
      </c>
      <c r="BB19" s="72">
        <f t="shared" si="20"/>
        <v>0</v>
      </c>
      <c r="BC19" s="39"/>
      <c r="BD19" s="72">
        <f t="shared" si="9"/>
        <v>0</v>
      </c>
      <c r="BE19" s="72">
        <f t="shared" si="21"/>
        <v>0</v>
      </c>
      <c r="BF19" s="39"/>
      <c r="BG19" s="42">
        <f t="shared" si="10"/>
        <v>0</v>
      </c>
      <c r="BH19" s="72">
        <f t="shared" si="22"/>
        <v>0</v>
      </c>
      <c r="BI19" s="39"/>
      <c r="BJ19" s="40">
        <f t="shared" si="23"/>
        <v>0.68058319703375303</v>
      </c>
      <c r="BK19" s="157">
        <f t="shared" si="24"/>
        <v>637077324.5132885</v>
      </c>
      <c r="BL19" s="157">
        <f t="shared" si="25"/>
        <v>24834688.845986657</v>
      </c>
      <c r="BM19" s="72"/>
      <c r="BN19" s="72">
        <f t="shared" si="26"/>
        <v>1166488854.4139216</v>
      </c>
      <c r="BO19" s="72">
        <f t="shared" si="27"/>
        <v>1006223532.7036691</v>
      </c>
      <c r="BP19" s="39"/>
      <c r="BQ19" s="72">
        <f t="shared" si="11"/>
        <v>36490305.599999994</v>
      </c>
      <c r="BR19" s="72">
        <f t="shared" si="28"/>
        <v>31476858.15542265</v>
      </c>
    </row>
    <row r="20" spans="3:70" x14ac:dyDescent="0.15">
      <c r="I20" s="322">
        <f t="shared" si="29"/>
        <v>2025</v>
      </c>
      <c r="K20" s="71">
        <f t="shared" si="30"/>
        <v>6</v>
      </c>
      <c r="M20" s="7">
        <f t="shared" si="0"/>
        <v>0.83748425668365445</v>
      </c>
      <c r="O20" s="10">
        <f t="shared" si="12"/>
        <v>909235799.95716393</v>
      </c>
      <c r="P20" s="29">
        <f t="shared" si="1"/>
        <v>0.16700000000000001</v>
      </c>
      <c r="R20" s="10">
        <f t="shared" si="13"/>
        <v>1052248188.580017</v>
      </c>
      <c r="T20" s="10">
        <f t="shared" si="14"/>
        <v>1052248000</v>
      </c>
      <c r="V20" s="10">
        <f t="shared" si="2"/>
        <v>151842378.59284639</v>
      </c>
      <c r="W20" s="10">
        <f t="shared" si="15"/>
        <v>127165601.56890801</v>
      </c>
      <c r="Y20" s="10">
        <f t="shared" si="3"/>
        <v>14731400</v>
      </c>
      <c r="Z20" s="10">
        <f t="shared" si="16"/>
        <v>12337315.578909587</v>
      </c>
      <c r="AB20" s="10">
        <f t="shared" si="4"/>
        <v>0</v>
      </c>
      <c r="AC20" s="10">
        <f t="shared" si="17"/>
        <v>0</v>
      </c>
      <c r="AE20" s="10">
        <f t="shared" si="5"/>
        <v>0</v>
      </c>
      <c r="AF20" s="10">
        <f t="shared" si="18"/>
        <v>0</v>
      </c>
      <c r="AH20" s="72">
        <f t="shared" si="31"/>
        <v>153899999.99999997</v>
      </c>
      <c r="AI20" s="10">
        <f t="shared" si="19"/>
        <v>128888827.10361439</v>
      </c>
      <c r="AK20" s="10"/>
      <c r="AL20" s="10"/>
      <c r="AN20" s="10"/>
      <c r="AO20" s="10"/>
      <c r="AQ20" s="10"/>
      <c r="AR20" s="10"/>
      <c r="AT20" s="7">
        <f>IF($K20&lt;=$F$15,IF($F$40&lt;&gt;"",$F$40/1000,IF(ISERROR(VLOOKUP($F$3&amp;IF($G$4&lt;&gt;"",$G$4,"")&amp;IF($F$43&lt;&gt;"","_"&amp;$F$43,""),'表3）燃料価格'!$AF$9:$AG$25,2,0)),0,VLOOKUP($I20,'表3）燃料価格'!$A$6:$U$66,VLOOKUP($F$3&amp;IF($G$4&lt;&gt;"",$G$4,"")&amp;IF($F$43&lt;&gt;"","_"&amp;$F$43,""),'表3）燃料価格'!$AF$9:$AG$25,2,0)+VLOOKUP($F$41,'表3）燃料価格'!$AF$28:$AG$29,2,0),0)*IF($F$43="需要地価格",1,$F$8/$F$141))),"")</f>
        <v>12</v>
      </c>
      <c r="AV20" s="10">
        <f t="shared" si="6"/>
        <v>764999999.99999988</v>
      </c>
      <c r="AW20" s="10">
        <f t="shared" si="7"/>
        <v>640675456.36299551</v>
      </c>
      <c r="AY20" s="7">
        <f>IF(ISERROR(IF($K20&lt;=$F$15,VLOOKUP($I20,'表4）CO2価格'!$A$7:$E$67,VLOOKUP($F$48,'表4）CO2価格'!$H$10:$I$12,2,0),0)*$F$8/1000,"")),0,IF($K20&lt;=$F$15,VLOOKUP($I20,'表4）CO2価格'!$A$7:$E$67,VLOOKUP($F$48,'表4）CO2価格'!$H$10:$I$12,2,0),0)*$F$8/1000,""))</f>
        <v>0</v>
      </c>
      <c r="BA20" s="11">
        <f t="shared" si="8"/>
        <v>0</v>
      </c>
      <c r="BB20" s="10">
        <f t="shared" si="20"/>
        <v>0</v>
      </c>
      <c r="BD20" s="10">
        <f t="shared" si="9"/>
        <v>0</v>
      </c>
      <c r="BE20" s="10">
        <f t="shared" si="21"/>
        <v>0</v>
      </c>
      <c r="BG20" s="11">
        <f t="shared" si="10"/>
        <v>0</v>
      </c>
      <c r="BH20" s="10">
        <f t="shared" si="22"/>
        <v>0</v>
      </c>
      <c r="BJ20" s="7">
        <f t="shared" si="23"/>
        <v>0.63016962688310452</v>
      </c>
      <c r="BK20" s="158">
        <f t="shared" si="24"/>
        <v>588346150.98435044</v>
      </c>
      <c r="BL20" s="158">
        <f t="shared" si="25"/>
        <v>22995082.264802456</v>
      </c>
      <c r="BM20" s="10"/>
      <c r="BN20" s="10">
        <f t="shared" si="26"/>
        <v>1166488854.4139216</v>
      </c>
      <c r="BO20" s="10">
        <f t="shared" si="27"/>
        <v>976916051.16861069</v>
      </c>
      <c r="BQ20" s="10">
        <f t="shared" si="11"/>
        <v>36490305.599999994</v>
      </c>
      <c r="BR20" s="10">
        <f t="shared" si="28"/>
        <v>30560056.461575389</v>
      </c>
    </row>
    <row r="21" spans="3:70" x14ac:dyDescent="0.15">
      <c r="D21" s="84" t="s">
        <v>558</v>
      </c>
      <c r="F21" s="477">
        <f>41-7000/5700</f>
        <v>39.771929824561404</v>
      </c>
      <c r="G21" s="84" t="s">
        <v>559</v>
      </c>
      <c r="I21" s="38">
        <f t="shared" si="29"/>
        <v>2026</v>
      </c>
      <c r="J21" s="39"/>
      <c r="K21" s="39">
        <f t="shared" si="30"/>
        <v>7</v>
      </c>
      <c r="L21" s="39"/>
      <c r="M21" s="40">
        <f t="shared" si="0"/>
        <v>0.81309151134335378</v>
      </c>
      <c r="N21" s="39"/>
      <c r="O21" s="72">
        <f t="shared" si="12"/>
        <v>757393421.36431754</v>
      </c>
      <c r="P21" s="41">
        <f t="shared" si="1"/>
        <v>0.16700000000000001</v>
      </c>
      <c r="Q21" s="39"/>
      <c r="R21" s="72">
        <f t="shared" si="13"/>
        <v>902508955.64477825</v>
      </c>
      <c r="S21" s="39"/>
      <c r="T21" s="72">
        <f t="shared" si="14"/>
        <v>902508000</v>
      </c>
      <c r="U21" s="39"/>
      <c r="V21" s="72">
        <f t="shared" si="2"/>
        <v>126484701.36784104</v>
      </c>
      <c r="W21" s="72">
        <f t="shared" si="15"/>
        <v>102843636.99699064</v>
      </c>
      <c r="X21" s="39"/>
      <c r="Y21" s="72">
        <f t="shared" si="3"/>
        <v>12635100</v>
      </c>
      <c r="Z21" s="72">
        <f t="shared" si="16"/>
        <v>10273492.554974409</v>
      </c>
      <c r="AA21" s="39"/>
      <c r="AB21" s="72">
        <f t="shared" si="4"/>
        <v>0</v>
      </c>
      <c r="AC21" s="72">
        <f t="shared" si="17"/>
        <v>0</v>
      </c>
      <c r="AD21" s="39"/>
      <c r="AE21" s="72">
        <f t="shared" si="5"/>
        <v>0</v>
      </c>
      <c r="AF21" s="72">
        <f t="shared" si="18"/>
        <v>0</v>
      </c>
      <c r="AG21" s="39"/>
      <c r="AH21" s="72">
        <f t="shared" si="31"/>
        <v>153899999.99999997</v>
      </c>
      <c r="AI21" s="72">
        <f t="shared" si="19"/>
        <v>125134783.59574212</v>
      </c>
      <c r="AJ21" s="39"/>
      <c r="AK21" s="72"/>
      <c r="AL21" s="72"/>
      <c r="AM21" s="39"/>
      <c r="AN21" s="72"/>
      <c r="AO21" s="72"/>
      <c r="AP21" s="39"/>
      <c r="AQ21" s="72"/>
      <c r="AR21" s="72"/>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12</v>
      </c>
      <c r="AU21" s="39"/>
      <c r="AV21" s="72">
        <f t="shared" si="6"/>
        <v>764999999.99999988</v>
      </c>
      <c r="AW21" s="72">
        <f t="shared" si="7"/>
        <v>622015006.17766559</v>
      </c>
      <c r="AX21" s="39"/>
      <c r="AY21" s="40">
        <f>IF(ISERROR(IF($K21&lt;=$F$15,VLOOKUP($I21,'表4）CO2価格'!$A$7:$E$67,VLOOKUP($F$48,'表4）CO2価格'!$H$10:$I$12,2,0),0)*$F$8/1000,"")),0,IF($K21&lt;=$F$15,VLOOKUP($I21,'表4）CO2価格'!$A$7:$E$67,VLOOKUP($F$48,'表4）CO2価格'!$H$10:$I$12,2,0),0)*$F$8/1000,""))</f>
        <v>0</v>
      </c>
      <c r="AZ21" s="39"/>
      <c r="BA21" s="42">
        <f t="shared" si="8"/>
        <v>0</v>
      </c>
      <c r="BB21" s="72">
        <f t="shared" si="20"/>
        <v>0</v>
      </c>
      <c r="BC21" s="39"/>
      <c r="BD21" s="72">
        <f t="shared" si="9"/>
        <v>0</v>
      </c>
      <c r="BE21" s="72">
        <f t="shared" si="21"/>
        <v>0</v>
      </c>
      <c r="BF21" s="39"/>
      <c r="BG21" s="42">
        <f t="shared" si="10"/>
        <v>0</v>
      </c>
      <c r="BH21" s="72">
        <f t="shared" si="22"/>
        <v>0</v>
      </c>
      <c r="BI21" s="39"/>
      <c r="BJ21" s="40">
        <f t="shared" si="23"/>
        <v>0.58349039526213387</v>
      </c>
      <c r="BK21" s="157">
        <f t="shared" si="24"/>
        <v>543541783.69955134</v>
      </c>
      <c r="BL21" s="157">
        <f t="shared" si="25"/>
        <v>21291742.837780055</v>
      </c>
      <c r="BM21" s="72"/>
      <c r="BN21" s="72">
        <f t="shared" si="26"/>
        <v>1166488854.4139216</v>
      </c>
      <c r="BO21" s="72">
        <f t="shared" si="27"/>
        <v>948462185.60059285</v>
      </c>
      <c r="BP21" s="39"/>
      <c r="BQ21" s="72">
        <f t="shared" si="11"/>
        <v>36490305.599999994</v>
      </c>
      <c r="BR21" s="72">
        <f t="shared" si="28"/>
        <v>29669957.729684841</v>
      </c>
    </row>
    <row r="22" spans="3:70" ht="16.5" x14ac:dyDescent="0.15">
      <c r="D22" s="160" t="s">
        <v>250</v>
      </c>
      <c r="F22" s="501">
        <v>60000</v>
      </c>
      <c r="G22" s="71" t="s">
        <v>645</v>
      </c>
      <c r="I22" s="322">
        <f t="shared" si="29"/>
        <v>2027</v>
      </c>
      <c r="K22" s="71">
        <f t="shared" si="30"/>
        <v>8</v>
      </c>
      <c r="M22" s="7">
        <f t="shared" si="0"/>
        <v>0.78940923431393573</v>
      </c>
      <c r="O22" s="10">
        <f t="shared" si="12"/>
        <v>630908719.99647653</v>
      </c>
      <c r="P22" s="29">
        <f t="shared" si="1"/>
        <v>0.16700000000000001</v>
      </c>
      <c r="R22" s="10">
        <f t="shared" si="13"/>
        <v>774078229.69807744</v>
      </c>
      <c r="T22" s="10">
        <f t="shared" si="14"/>
        <v>774078000</v>
      </c>
      <c r="V22" s="10">
        <f t="shared" si="2"/>
        <v>105361756.23941159</v>
      </c>
      <c r="W22" s="10">
        <f t="shared" si="15"/>
        <v>83173543.31892544</v>
      </c>
      <c r="Y22" s="10">
        <f t="shared" si="3"/>
        <v>10837000</v>
      </c>
      <c r="Z22" s="10">
        <f t="shared" si="16"/>
        <v>8554827.8722601216</v>
      </c>
      <c r="AB22" s="10">
        <f t="shared" si="4"/>
        <v>0</v>
      </c>
      <c r="AC22" s="10">
        <f t="shared" si="17"/>
        <v>0</v>
      </c>
      <c r="AE22" s="10">
        <f t="shared" si="5"/>
        <v>0</v>
      </c>
      <c r="AF22" s="10">
        <f t="shared" si="18"/>
        <v>0</v>
      </c>
      <c r="AH22" s="72">
        <f t="shared" si="31"/>
        <v>153899999.99999997</v>
      </c>
      <c r="AI22" s="10">
        <f t="shared" si="19"/>
        <v>121490081.16091469</v>
      </c>
      <c r="AK22" s="10"/>
      <c r="AL22" s="10"/>
      <c r="AN22" s="10"/>
      <c r="AO22" s="10"/>
      <c r="AQ22" s="10"/>
      <c r="AR22" s="10"/>
      <c r="AT22" s="7">
        <f>IF($K22&lt;=$F$15,IF($F$40&lt;&gt;"",$F$40/1000,IF(ISERROR(VLOOKUP($F$3&amp;IF($G$4&lt;&gt;"",$G$4,"")&amp;IF($F$43&lt;&gt;"","_"&amp;$F$43,""),'表3）燃料価格'!$AF$9:$AG$25,2,0)),0,VLOOKUP($I22,'表3）燃料価格'!$A$6:$U$66,VLOOKUP($F$3&amp;IF($G$4&lt;&gt;"",$G$4,"")&amp;IF($F$43&lt;&gt;"","_"&amp;$F$43,""),'表3）燃料価格'!$AF$9:$AG$25,2,0)+VLOOKUP($F$41,'表3）燃料価格'!$AF$28:$AG$29,2,0),0)*IF($F$43="需要地価格",1,$F$8/$F$141))),"")</f>
        <v>12</v>
      </c>
      <c r="AV22" s="10">
        <f t="shared" si="6"/>
        <v>764999999.99999988</v>
      </c>
      <c r="AW22" s="10">
        <f t="shared" si="7"/>
        <v>603898064.25016069</v>
      </c>
      <c r="AY22" s="7">
        <f>IF(ISERROR(IF($K22&lt;=$F$15,VLOOKUP($I22,'表4）CO2価格'!$A$7:$E$67,VLOOKUP($F$48,'表4）CO2価格'!$H$10:$I$12,2,0),0)*$F$8/1000,"")),0,IF($K22&lt;=$F$15,VLOOKUP($I22,'表4）CO2価格'!$A$7:$E$67,VLOOKUP($F$48,'表4）CO2価格'!$H$10:$I$12,2,0),0)*$F$8/1000,""))</f>
        <v>0</v>
      </c>
      <c r="BA22" s="11">
        <f t="shared" si="8"/>
        <v>0</v>
      </c>
      <c r="BB22" s="10">
        <f t="shared" si="20"/>
        <v>0</v>
      </c>
      <c r="BD22" s="10">
        <f t="shared" si="9"/>
        <v>0</v>
      </c>
      <c r="BE22" s="10">
        <f t="shared" si="21"/>
        <v>0</v>
      </c>
      <c r="BG22" s="11">
        <f t="shared" si="10"/>
        <v>0</v>
      </c>
      <c r="BH22" s="10">
        <f t="shared" si="22"/>
        <v>0</v>
      </c>
      <c r="BJ22" s="7">
        <f t="shared" si="23"/>
        <v>0.54026888450197574</v>
      </c>
      <c r="BK22" s="158">
        <f t="shared" si="24"/>
        <v>502307971.87021333</v>
      </c>
      <c r="BL22" s="158">
        <f t="shared" si="25"/>
        <v>19714576.701648194</v>
      </c>
      <c r="BM22" s="10"/>
      <c r="BN22" s="10">
        <f t="shared" si="26"/>
        <v>1166488854.4139216</v>
      </c>
      <c r="BO22" s="10">
        <f t="shared" si="27"/>
        <v>920837073.39863384</v>
      </c>
      <c r="BQ22" s="10">
        <f t="shared" si="11"/>
        <v>36490305.599999994</v>
      </c>
      <c r="BR22" s="10">
        <f t="shared" si="28"/>
        <v>28805784.203577515</v>
      </c>
    </row>
    <row r="23" spans="3:70" x14ac:dyDescent="0.15">
      <c r="D23" s="84" t="s">
        <v>562</v>
      </c>
      <c r="F23" s="479"/>
      <c r="G23" s="84" t="s">
        <v>549</v>
      </c>
      <c r="I23" s="38">
        <f t="shared" si="29"/>
        <v>2028</v>
      </c>
      <c r="J23" s="39"/>
      <c r="K23" s="39">
        <f t="shared" si="30"/>
        <v>9</v>
      </c>
      <c r="L23" s="39"/>
      <c r="M23" s="40">
        <f t="shared" si="0"/>
        <v>0.76641673234362695</v>
      </c>
      <c r="N23" s="39"/>
      <c r="O23" s="72">
        <f t="shared" si="12"/>
        <v>525546963.75706494</v>
      </c>
      <c r="P23" s="41">
        <f t="shared" si="1"/>
        <v>0.16700000000000001</v>
      </c>
      <c r="Q23" s="39"/>
      <c r="R23" s="72">
        <f t="shared" si="13"/>
        <v>663923722.80054104</v>
      </c>
      <c r="S23" s="39"/>
      <c r="T23" s="72">
        <f t="shared" si="14"/>
        <v>663923000</v>
      </c>
      <c r="U23" s="39"/>
      <c r="V23" s="72">
        <f t="shared" si="2"/>
        <v>87766342.947429851</v>
      </c>
      <c r="W23" s="72">
        <f t="shared" si="15"/>
        <v>67265593.771519318</v>
      </c>
      <c r="X23" s="39"/>
      <c r="Y23" s="72">
        <f t="shared" si="3"/>
        <v>9294900</v>
      </c>
      <c r="Z23" s="72">
        <f t="shared" si="16"/>
        <v>7123766.8854607781</v>
      </c>
      <c r="AA23" s="39"/>
      <c r="AB23" s="72">
        <f t="shared" si="4"/>
        <v>0</v>
      </c>
      <c r="AC23" s="72">
        <f t="shared" si="17"/>
        <v>0</v>
      </c>
      <c r="AD23" s="39"/>
      <c r="AE23" s="72">
        <f t="shared" si="5"/>
        <v>0</v>
      </c>
      <c r="AF23" s="72">
        <f t="shared" si="18"/>
        <v>0</v>
      </c>
      <c r="AG23" s="39"/>
      <c r="AH23" s="72">
        <f t="shared" si="31"/>
        <v>153899999.99999997</v>
      </c>
      <c r="AI23" s="72">
        <f t="shared" si="19"/>
        <v>117951535.10768417</v>
      </c>
      <c r="AJ23" s="39"/>
      <c r="AK23" s="72"/>
      <c r="AL23" s="72"/>
      <c r="AM23" s="39"/>
      <c r="AN23" s="72"/>
      <c r="AO23" s="72"/>
      <c r="AP23" s="39"/>
      <c r="AQ23" s="72"/>
      <c r="AR23" s="72"/>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12</v>
      </c>
      <c r="AU23" s="39"/>
      <c r="AV23" s="72">
        <f t="shared" si="6"/>
        <v>764999999.99999988</v>
      </c>
      <c r="AW23" s="72">
        <f t="shared" si="7"/>
        <v>586308800.2428745</v>
      </c>
      <c r="AX23" s="39"/>
      <c r="AY23" s="40">
        <f>IF(ISERROR(IF($K23&lt;=$F$15,VLOOKUP($I23,'表4）CO2価格'!$A$7:$E$67,VLOOKUP($F$48,'表4）CO2価格'!$H$10:$I$12,2,0),0)*$F$8/1000,"")),0,IF($K23&lt;=$F$15,VLOOKUP($I23,'表4）CO2価格'!$A$7:$E$67,VLOOKUP($F$48,'表4）CO2価格'!$H$10:$I$12,2,0),0)*$F$8/1000,""))</f>
        <v>0</v>
      </c>
      <c r="AZ23" s="39"/>
      <c r="BA23" s="42">
        <f t="shared" si="8"/>
        <v>0</v>
      </c>
      <c r="BB23" s="72">
        <f t="shared" si="20"/>
        <v>0</v>
      </c>
      <c r="BC23" s="39"/>
      <c r="BD23" s="72">
        <f t="shared" si="9"/>
        <v>0</v>
      </c>
      <c r="BE23" s="72">
        <f t="shared" si="21"/>
        <v>0</v>
      </c>
      <c r="BF23" s="39"/>
      <c r="BG23" s="42">
        <f t="shared" si="10"/>
        <v>0</v>
      </c>
      <c r="BH23" s="72">
        <f t="shared" si="22"/>
        <v>0</v>
      </c>
      <c r="BI23" s="39"/>
      <c r="BJ23" s="40">
        <f t="shared" si="23"/>
        <v>0.50024896713145905</v>
      </c>
      <c r="BK23" s="157">
        <f t="shared" si="24"/>
        <v>464328540.02168787</v>
      </c>
      <c r="BL23" s="157">
        <f t="shared" si="25"/>
        <v>18254237.686711293</v>
      </c>
      <c r="BM23" s="72"/>
      <c r="BN23" s="72">
        <f t="shared" si="26"/>
        <v>1166488854.4139216</v>
      </c>
      <c r="BO23" s="72">
        <f t="shared" si="27"/>
        <v>894016576.11517859</v>
      </c>
      <c r="BP23" s="39"/>
      <c r="BQ23" s="72">
        <f t="shared" si="11"/>
        <v>36490305.599999994</v>
      </c>
      <c r="BR23" s="72">
        <f t="shared" si="28"/>
        <v>27966780.780172348</v>
      </c>
    </row>
    <row r="24" spans="3:70" x14ac:dyDescent="0.15">
      <c r="D24" s="84" t="s">
        <v>563</v>
      </c>
      <c r="F24" s="480">
        <v>16</v>
      </c>
      <c r="G24" s="84" t="s">
        <v>549</v>
      </c>
      <c r="I24" s="322">
        <f t="shared" si="29"/>
        <v>2029</v>
      </c>
      <c r="K24" s="71">
        <f t="shared" si="30"/>
        <v>10</v>
      </c>
      <c r="M24" s="7">
        <f t="shared" si="0"/>
        <v>0.74409391489672516</v>
      </c>
      <c r="O24" s="10">
        <f t="shared" si="12"/>
        <v>437780620.8096351</v>
      </c>
      <c r="P24" s="29">
        <f t="shared" si="1"/>
        <v>0.16700000000000001</v>
      </c>
      <c r="R24" s="10">
        <f t="shared" si="13"/>
        <v>569444654.02322173</v>
      </c>
      <c r="T24" s="10">
        <f t="shared" si="14"/>
        <v>569444000</v>
      </c>
      <c r="V24" s="10">
        <f t="shared" si="2"/>
        <v>73109363.67520906</v>
      </c>
      <c r="W24" s="10">
        <f t="shared" si="15"/>
        <v>54400232.632694744</v>
      </c>
      <c r="Y24" s="10">
        <f t="shared" si="3"/>
        <v>7972200</v>
      </c>
      <c r="Z24" s="10">
        <f t="shared" si="16"/>
        <v>5932065.5083396723</v>
      </c>
      <c r="AB24" s="10">
        <f t="shared" si="4"/>
        <v>0</v>
      </c>
      <c r="AC24" s="10">
        <f t="shared" si="17"/>
        <v>0</v>
      </c>
      <c r="AE24" s="10">
        <f t="shared" si="5"/>
        <v>0</v>
      </c>
      <c r="AF24" s="10">
        <f t="shared" si="18"/>
        <v>0</v>
      </c>
      <c r="AH24" s="72">
        <f t="shared" si="31"/>
        <v>153899999.99999997</v>
      </c>
      <c r="AI24" s="10">
        <f t="shared" si="19"/>
        <v>114516053.50260597</v>
      </c>
      <c r="AK24" s="10"/>
      <c r="AL24" s="10"/>
      <c r="AN24" s="10"/>
      <c r="AO24" s="10"/>
      <c r="AQ24" s="10"/>
      <c r="AR24" s="10"/>
      <c r="AT24" s="7">
        <f>IF($K24&lt;=$F$15,IF($F$40&lt;&gt;"",$F$40/1000,IF(ISERROR(VLOOKUP($F$3&amp;IF($G$4&lt;&gt;"",$G$4,"")&amp;IF($F$43&lt;&gt;"","_"&amp;$F$43,""),'表3）燃料価格'!$AF$9:$AG$25,2,0)),0,VLOOKUP($I24,'表3）燃料価格'!$A$6:$U$66,VLOOKUP($F$3&amp;IF($G$4&lt;&gt;"",$G$4,"")&amp;IF($F$43&lt;&gt;"","_"&amp;$F$43,""),'表3）燃料価格'!$AF$9:$AG$25,2,0)+VLOOKUP($F$41,'表3）燃料価格'!$AF$28:$AG$29,2,0),0)*IF($F$43="需要地価格",1,$F$8/$F$141))),"")</f>
        <v>12</v>
      </c>
      <c r="AV24" s="10">
        <f t="shared" si="6"/>
        <v>764999999.99999988</v>
      </c>
      <c r="AW24" s="10">
        <f t="shared" si="7"/>
        <v>569231844.89599466</v>
      </c>
      <c r="AY24" s="7">
        <f>IF(ISERROR(IF($K24&lt;=$F$15,VLOOKUP($I24,'表4）CO2価格'!$A$7:$E$67,VLOOKUP($F$48,'表4）CO2価格'!$H$10:$I$12,2,0),0)*$F$8/1000,"")),0,IF($K24&lt;=$F$15,VLOOKUP($I24,'表4）CO2価格'!$A$7:$E$67,VLOOKUP($F$48,'表4）CO2価格'!$H$10:$I$12,2,0),0)*$F$8/1000,""))</f>
        <v>0</v>
      </c>
      <c r="BA24" s="11">
        <f t="shared" si="8"/>
        <v>0</v>
      </c>
      <c r="BB24" s="10">
        <f t="shared" si="20"/>
        <v>0</v>
      </c>
      <c r="BD24" s="10">
        <f t="shared" si="9"/>
        <v>0</v>
      </c>
      <c r="BE24" s="10">
        <f t="shared" si="21"/>
        <v>0</v>
      </c>
      <c r="BG24" s="11">
        <f t="shared" si="10"/>
        <v>0</v>
      </c>
      <c r="BH24" s="10">
        <f t="shared" si="22"/>
        <v>0</v>
      </c>
      <c r="BJ24" s="7">
        <f t="shared" si="23"/>
        <v>0.46319348808468425</v>
      </c>
      <c r="BK24" s="158">
        <f t="shared" si="24"/>
        <v>429321167.32672501</v>
      </c>
      <c r="BL24" s="158">
        <f t="shared" si="25"/>
        <v>16902071.932140086</v>
      </c>
      <c r="BM24" s="10"/>
      <c r="BN24" s="10">
        <f t="shared" si="26"/>
        <v>1166488854.4139216</v>
      </c>
      <c r="BO24" s="10">
        <f t="shared" si="27"/>
        <v>867977258.36425102</v>
      </c>
      <c r="BQ24" s="10">
        <f t="shared" si="11"/>
        <v>36490305.599999994</v>
      </c>
      <c r="BR24" s="10">
        <f t="shared" si="28"/>
        <v>27152214.349681888</v>
      </c>
    </row>
    <row r="25" spans="3:70" x14ac:dyDescent="0.15">
      <c r="D25" s="84" t="s">
        <v>564</v>
      </c>
      <c r="F25" s="475">
        <v>1.4</v>
      </c>
      <c r="G25" s="84" t="s">
        <v>549</v>
      </c>
      <c r="I25" s="38">
        <f t="shared" si="29"/>
        <v>2030</v>
      </c>
      <c r="J25" s="39"/>
      <c r="K25" s="39">
        <f t="shared" si="30"/>
        <v>11</v>
      </c>
      <c r="L25" s="39"/>
      <c r="M25" s="40">
        <f t="shared" si="0"/>
        <v>0.72242127659876232</v>
      </c>
      <c r="N25" s="39"/>
      <c r="O25" s="72">
        <f t="shared" si="12"/>
        <v>364671257.13442606</v>
      </c>
      <c r="P25" s="41">
        <f t="shared" si="1"/>
        <v>0.2</v>
      </c>
      <c r="Q25" s="39"/>
      <c r="R25" s="72">
        <f t="shared" si="13"/>
        <v>488410344.23022795</v>
      </c>
      <c r="S25" s="39"/>
      <c r="T25" s="72">
        <f t="shared" si="14"/>
        <v>488410000</v>
      </c>
      <c r="U25" s="39"/>
      <c r="V25" s="72">
        <f t="shared" si="2"/>
        <v>72934251.426885217</v>
      </c>
      <c r="W25" s="72">
        <f t="shared" si="15"/>
        <v>52689255.023585521</v>
      </c>
      <c r="X25" s="39"/>
      <c r="Y25" s="72">
        <f t="shared" si="3"/>
        <v>6837700</v>
      </c>
      <c r="Z25" s="72">
        <f t="shared" si="16"/>
        <v>4939699.9629993569</v>
      </c>
      <c r="AA25" s="39"/>
      <c r="AB25" s="72">
        <f t="shared" si="4"/>
        <v>0</v>
      </c>
      <c r="AC25" s="72">
        <f t="shared" si="17"/>
        <v>0</v>
      </c>
      <c r="AD25" s="39"/>
      <c r="AE25" s="72">
        <f t="shared" si="5"/>
        <v>0</v>
      </c>
      <c r="AF25" s="72">
        <f t="shared" si="18"/>
        <v>0</v>
      </c>
      <c r="AG25" s="39"/>
      <c r="AH25" s="72">
        <f t="shared" si="31"/>
        <v>153899999.99999997</v>
      </c>
      <c r="AI25" s="72">
        <f t="shared" si="19"/>
        <v>111180634.4685495</v>
      </c>
      <c r="AJ25" s="39"/>
      <c r="AK25" s="72"/>
      <c r="AL25" s="72"/>
      <c r="AM25" s="39"/>
      <c r="AN25" s="72"/>
      <c r="AO25" s="72"/>
      <c r="AP25" s="39"/>
      <c r="AQ25" s="72"/>
      <c r="AR25" s="72"/>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12</v>
      </c>
      <c r="AU25" s="39"/>
      <c r="AV25" s="72">
        <f t="shared" si="6"/>
        <v>764999999.99999988</v>
      </c>
      <c r="AW25" s="72">
        <f t="shared" si="7"/>
        <v>552652276.5980531</v>
      </c>
      <c r="AX25" s="39"/>
      <c r="AY25" s="40">
        <f>IF(ISERROR(IF($K25&lt;=$F$15,VLOOKUP($I25,'表4）CO2価格'!$A$7:$E$67,VLOOKUP($F$48,'表4）CO2価格'!$H$10:$I$12,2,0),0)*$F$8/1000,"")),0,IF($K25&lt;=$F$15,VLOOKUP($I25,'表4）CO2価格'!$A$7:$E$67,VLOOKUP($F$48,'表4）CO2価格'!$H$10:$I$12,2,0),0)*$F$8/1000,""))</f>
        <v>0</v>
      </c>
      <c r="AZ25" s="39"/>
      <c r="BA25" s="42">
        <f t="shared" si="8"/>
        <v>0</v>
      </c>
      <c r="BB25" s="72">
        <f t="shared" si="20"/>
        <v>0</v>
      </c>
      <c r="BC25" s="39"/>
      <c r="BD25" s="72">
        <f t="shared" si="9"/>
        <v>0</v>
      </c>
      <c r="BE25" s="72">
        <f t="shared" si="21"/>
        <v>0</v>
      </c>
      <c r="BF25" s="39"/>
      <c r="BG25" s="42">
        <f t="shared" si="10"/>
        <v>0</v>
      </c>
      <c r="BH25" s="72">
        <f t="shared" si="22"/>
        <v>0</v>
      </c>
      <c r="BI25" s="39"/>
      <c r="BJ25" s="40">
        <f t="shared" si="23"/>
        <v>0.42888285933767062</v>
      </c>
      <c r="BK25" s="157">
        <f t="shared" si="24"/>
        <v>397033031.77267867</v>
      </c>
      <c r="BL25" s="157">
        <f t="shared" si="25"/>
        <v>15650066.603833413</v>
      </c>
      <c r="BM25" s="72"/>
      <c r="BN25" s="72">
        <f t="shared" si="26"/>
        <v>1166488854.4139216</v>
      </c>
      <c r="BO25" s="72">
        <f t="shared" si="27"/>
        <v>842696367.34393299</v>
      </c>
      <c r="BP25" s="39"/>
      <c r="BQ25" s="72">
        <f t="shared" si="11"/>
        <v>36490305.599999994</v>
      </c>
      <c r="BR25" s="72">
        <f t="shared" si="28"/>
        <v>26361373.155030962</v>
      </c>
    </row>
    <row r="26" spans="3:70" x14ac:dyDescent="0.15">
      <c r="D26" s="84" t="s">
        <v>115</v>
      </c>
      <c r="F26" s="481"/>
      <c r="G26" s="84" t="s">
        <v>565</v>
      </c>
      <c r="I26" s="322">
        <f t="shared" si="29"/>
        <v>2031</v>
      </c>
      <c r="K26" s="71">
        <f t="shared" si="30"/>
        <v>12</v>
      </c>
      <c r="M26" s="7">
        <f t="shared" si="0"/>
        <v>0.70137988019297326</v>
      </c>
      <c r="O26" s="10">
        <f t="shared" si="12"/>
        <v>291737005.70754087</v>
      </c>
      <c r="P26" s="29" t="str">
        <f t="shared" si="1"/>
        <v>-</v>
      </c>
      <c r="R26" s="10">
        <f t="shared" si="13"/>
        <v>418907549.07563329</v>
      </c>
      <c r="T26" s="10">
        <f t="shared" si="14"/>
        <v>418907000</v>
      </c>
      <c r="V26" s="10">
        <f t="shared" si="2"/>
        <v>72934251.426885217</v>
      </c>
      <c r="W26" s="10">
        <f t="shared" si="15"/>
        <v>51154616.527752943</v>
      </c>
      <c r="Y26" s="10">
        <f t="shared" si="3"/>
        <v>5864600</v>
      </c>
      <c r="Z26" s="10">
        <f t="shared" si="16"/>
        <v>4113312.4453797108</v>
      </c>
      <c r="AB26" s="10">
        <f t="shared" si="4"/>
        <v>0</v>
      </c>
      <c r="AC26" s="10">
        <f t="shared" si="17"/>
        <v>0</v>
      </c>
      <c r="AE26" s="10">
        <f t="shared" si="5"/>
        <v>0</v>
      </c>
      <c r="AF26" s="10">
        <f t="shared" si="18"/>
        <v>0</v>
      </c>
      <c r="AH26" s="72">
        <f t="shared" si="31"/>
        <v>153899999.99999997</v>
      </c>
      <c r="AI26" s="10">
        <f t="shared" si="19"/>
        <v>107942363.56169857</v>
      </c>
      <c r="AK26" s="10"/>
      <c r="AL26" s="10"/>
      <c r="AN26" s="10"/>
      <c r="AO26" s="10"/>
      <c r="AQ26" s="10"/>
      <c r="AR26" s="10"/>
      <c r="AT26" s="7">
        <f>IF($K26&lt;=$F$15,IF($F$40&lt;&gt;"",$F$40/1000,IF(ISERROR(VLOOKUP($F$3&amp;IF($G$4&lt;&gt;"",$G$4,"")&amp;IF($F$43&lt;&gt;"","_"&amp;$F$43,""),'表3）燃料価格'!$AF$9:$AG$25,2,0)),0,VLOOKUP($I26,'表3）燃料価格'!$A$6:$U$66,VLOOKUP($F$3&amp;IF($G$4&lt;&gt;"",$G$4,"")&amp;IF($F$43&lt;&gt;"","_"&amp;$F$43,""),'表3）燃料価格'!$AF$9:$AG$25,2,0)+VLOOKUP($F$41,'表3）燃料価格'!$AF$28:$AG$29,2,0),0)*IF($F$43="需要地価格",1,$F$8/$F$141))),"")</f>
        <v>12</v>
      </c>
      <c r="AV26" s="10">
        <f t="shared" si="6"/>
        <v>764999999.99999988</v>
      </c>
      <c r="AW26" s="10">
        <f t="shared" si="7"/>
        <v>536555608.34762448</v>
      </c>
      <c r="AY26" s="7">
        <f>IF(ISERROR(IF($K26&lt;=$F$15,VLOOKUP($I26,'表4）CO2価格'!$A$7:$E$67,VLOOKUP($F$48,'表4）CO2価格'!$H$10:$I$12,2,0),0)*$F$8/1000,"")),0,IF($K26&lt;=$F$15,VLOOKUP($I26,'表4）CO2価格'!$A$7:$E$67,VLOOKUP($F$48,'表4）CO2価格'!$H$10:$I$12,2,0),0)*$F$8/1000,""))</f>
        <v>0</v>
      </c>
      <c r="BA26" s="11">
        <f t="shared" si="8"/>
        <v>0</v>
      </c>
      <c r="BB26" s="10">
        <f t="shared" si="20"/>
        <v>0</v>
      </c>
      <c r="BD26" s="10">
        <f t="shared" si="9"/>
        <v>0</v>
      </c>
      <c r="BE26" s="10">
        <f t="shared" si="21"/>
        <v>0</v>
      </c>
      <c r="BG26" s="11">
        <f t="shared" si="10"/>
        <v>0</v>
      </c>
      <c r="BH26" s="10">
        <f t="shared" si="22"/>
        <v>0</v>
      </c>
      <c r="BJ26" s="7">
        <f t="shared" si="23"/>
        <v>0.39711375864599124</v>
      </c>
      <c r="BK26" s="158">
        <f t="shared" si="24"/>
        <v>367236746.1687566</v>
      </c>
      <c r="BL26" s="158">
        <f t="shared" si="25"/>
        <v>14490802.41095686</v>
      </c>
      <c r="BM26" s="10"/>
      <c r="BN26" s="10">
        <f t="shared" si="26"/>
        <v>1166488854.4139216</v>
      </c>
      <c r="BO26" s="10">
        <f t="shared" si="27"/>
        <v>818151812.95527494</v>
      </c>
      <c r="BQ26" s="10">
        <f t="shared" si="11"/>
        <v>36490305.599999994</v>
      </c>
      <c r="BR26" s="10">
        <f t="shared" si="28"/>
        <v>25593566.169932976</v>
      </c>
    </row>
    <row r="27" spans="3:70" x14ac:dyDescent="0.15">
      <c r="D27" s="160" t="s">
        <v>86</v>
      </c>
      <c r="F27" s="481">
        <f>F117*5%/10^8</f>
        <v>1.1335</v>
      </c>
      <c r="G27" s="84" t="s">
        <v>566</v>
      </c>
      <c r="I27" s="38">
        <f t="shared" si="29"/>
        <v>2032</v>
      </c>
      <c r="J27" s="39"/>
      <c r="K27" s="39">
        <f t="shared" si="30"/>
        <v>13</v>
      </c>
      <c r="L27" s="39"/>
      <c r="M27" s="40">
        <f t="shared" si="0"/>
        <v>0.68095133999317792</v>
      </c>
      <c r="N27" s="39"/>
      <c r="O27" s="72">
        <f t="shared" si="12"/>
        <v>218802754.28065565</v>
      </c>
      <c r="P27" s="41" t="str">
        <f t="shared" si="1"/>
        <v>-</v>
      </c>
      <c r="Q27" s="39"/>
      <c r="R27" s="72">
        <f t="shared" si="13"/>
        <v>359295286.73093438</v>
      </c>
      <c r="S27" s="39"/>
      <c r="T27" s="72">
        <f t="shared" si="14"/>
        <v>359295000</v>
      </c>
      <c r="U27" s="39"/>
      <c r="V27" s="72">
        <f t="shared" si="2"/>
        <v>72934251.426885217</v>
      </c>
      <c r="W27" s="72">
        <f t="shared" si="15"/>
        <v>49664676.240536839</v>
      </c>
      <c r="X27" s="39"/>
      <c r="Y27" s="72">
        <f t="shared" si="3"/>
        <v>5030100</v>
      </c>
      <c r="Z27" s="72">
        <f t="shared" si="16"/>
        <v>3425253.3352996842</v>
      </c>
      <c r="AA27" s="39"/>
      <c r="AB27" s="72">
        <f t="shared" si="4"/>
        <v>0</v>
      </c>
      <c r="AC27" s="72">
        <f t="shared" si="17"/>
        <v>0</v>
      </c>
      <c r="AD27" s="39"/>
      <c r="AE27" s="72">
        <f t="shared" si="5"/>
        <v>0</v>
      </c>
      <c r="AF27" s="72">
        <f t="shared" si="18"/>
        <v>0</v>
      </c>
      <c r="AG27" s="39"/>
      <c r="AH27" s="72">
        <f t="shared" si="31"/>
        <v>153899999.99999997</v>
      </c>
      <c r="AI27" s="72">
        <f t="shared" si="19"/>
        <v>104798411.22495006</v>
      </c>
      <c r="AJ27" s="39"/>
      <c r="AK27" s="72"/>
      <c r="AL27" s="72"/>
      <c r="AM27" s="39"/>
      <c r="AN27" s="72"/>
      <c r="AO27" s="72"/>
      <c r="AP27" s="39"/>
      <c r="AQ27" s="72"/>
      <c r="AR27" s="72"/>
      <c r="AS27" s="39"/>
      <c r="AT27" s="40">
        <f>IF($K27&lt;=$F$15,IF($F$40&lt;&gt;"",$F$40/1000,IF(ISERROR(VLOOKUP($F$3&amp;IF($G$4&lt;&gt;"",$G$4,"")&amp;IF($F$43&lt;&gt;"","_"&amp;$F$43,""),'表3）燃料価格'!$AF$9:$AG$25,2,0)),0,VLOOKUP($I27,'表3）燃料価格'!$A$6:$U$66,VLOOKUP($F$3&amp;IF($G$4&lt;&gt;"",$G$4,"")&amp;IF($F$43&lt;&gt;"","_"&amp;$F$43,""),'表3）燃料価格'!$AF$9:$AG$25,2,0)+VLOOKUP($F$41,'表3）燃料価格'!$AF$28:$AG$29,2,0),0)*IF($F$43="需要地価格",1,$F$8/$F$141))),"")</f>
        <v>12</v>
      </c>
      <c r="AU27" s="39"/>
      <c r="AV27" s="72">
        <f t="shared" si="6"/>
        <v>764999999.99999988</v>
      </c>
      <c r="AW27" s="72">
        <f t="shared" si="7"/>
        <v>520927775.09478104</v>
      </c>
      <c r="AX27" s="39"/>
      <c r="AY27" s="40">
        <f>IF(ISERROR(IF($K27&lt;=$F$15,VLOOKUP($I27,'表4）CO2価格'!$A$7:$E$67,VLOOKUP($F$48,'表4）CO2価格'!$H$10:$I$12,2,0),0)*$F$8/1000,"")),0,IF($K27&lt;=$F$15,VLOOKUP($I27,'表4）CO2価格'!$A$7:$E$67,VLOOKUP($F$48,'表4）CO2価格'!$H$10:$I$12,2,0),0)*$F$8/1000,""))</f>
        <v>0</v>
      </c>
      <c r="AZ27" s="39"/>
      <c r="BA27" s="42">
        <f t="shared" si="8"/>
        <v>0</v>
      </c>
      <c r="BB27" s="72">
        <f t="shared" si="20"/>
        <v>0</v>
      </c>
      <c r="BC27" s="39"/>
      <c r="BD27" s="72">
        <f t="shared" si="9"/>
        <v>0</v>
      </c>
      <c r="BE27" s="72">
        <f t="shared" si="21"/>
        <v>0</v>
      </c>
      <c r="BF27" s="39"/>
      <c r="BG27" s="42">
        <f t="shared" si="10"/>
        <v>0</v>
      </c>
      <c r="BH27" s="72">
        <f t="shared" si="22"/>
        <v>0</v>
      </c>
      <c r="BI27" s="39"/>
      <c r="BJ27" s="40">
        <f t="shared" si="23"/>
        <v>0.36769792467221413</v>
      </c>
      <c r="BK27" s="157">
        <f t="shared" si="24"/>
        <v>339727180.31219125</v>
      </c>
      <c r="BL27" s="157">
        <f t="shared" si="25"/>
        <v>13417409.639774872</v>
      </c>
      <c r="BM27" s="72"/>
      <c r="BN27" s="72">
        <f t="shared" si="26"/>
        <v>1166488854.4139216</v>
      </c>
      <c r="BO27" s="72">
        <f t="shared" si="27"/>
        <v>794322148.50026691</v>
      </c>
      <c r="BP27" s="39"/>
      <c r="BQ27" s="72">
        <f t="shared" si="11"/>
        <v>36490305.599999994</v>
      </c>
      <c r="BR27" s="72">
        <f t="shared" si="28"/>
        <v>24848122.49508056</v>
      </c>
    </row>
    <row r="28" spans="3:70" x14ac:dyDescent="0.15">
      <c r="D28" s="84" t="s">
        <v>116</v>
      </c>
      <c r="F28" s="481">
        <v>1</v>
      </c>
      <c r="G28" s="84" t="s">
        <v>556</v>
      </c>
      <c r="I28" s="322">
        <f t="shared" si="29"/>
        <v>2033</v>
      </c>
      <c r="K28" s="71">
        <f t="shared" si="30"/>
        <v>14</v>
      </c>
      <c r="M28" s="7">
        <f t="shared" si="0"/>
        <v>0.66111780581861923</v>
      </c>
      <c r="O28" s="10">
        <f t="shared" si="12"/>
        <v>145868502.85377043</v>
      </c>
      <c r="P28" s="29" t="str">
        <f t="shared" si="1"/>
        <v>-</v>
      </c>
      <c r="R28" s="10">
        <f t="shared" si="13"/>
        <v>308166093.81216174</v>
      </c>
      <c r="T28" s="10">
        <f t="shared" si="14"/>
        <v>308166000</v>
      </c>
      <c r="V28" s="10">
        <f t="shared" si="2"/>
        <v>72934251.426885217</v>
      </c>
      <c r="W28" s="10">
        <f t="shared" si="15"/>
        <v>48218132.272365853</v>
      </c>
      <c r="Y28" s="10">
        <f t="shared" si="3"/>
        <v>4314300</v>
      </c>
      <c r="Z28" s="10">
        <f t="shared" si="16"/>
        <v>2852260.5496432688</v>
      </c>
      <c r="AB28" s="10">
        <f t="shared" si="4"/>
        <v>0</v>
      </c>
      <c r="AC28" s="10">
        <f t="shared" si="17"/>
        <v>0</v>
      </c>
      <c r="AE28" s="10">
        <f t="shared" si="5"/>
        <v>0</v>
      </c>
      <c r="AF28" s="10">
        <f t="shared" si="18"/>
        <v>0</v>
      </c>
      <c r="AH28" s="72">
        <f t="shared" si="31"/>
        <v>153899999.99999997</v>
      </c>
      <c r="AI28" s="10">
        <f t="shared" si="19"/>
        <v>101746030.31548548</v>
      </c>
      <c r="AK28" s="10"/>
      <c r="AL28" s="10"/>
      <c r="AN28" s="10"/>
      <c r="AO28" s="10"/>
      <c r="AQ28" s="10"/>
      <c r="AR28" s="10"/>
      <c r="AT28" s="7">
        <f>IF($K28&lt;=$F$15,IF($F$40&lt;&gt;"",$F$40/1000,IF(ISERROR(VLOOKUP($F$3&amp;IF($G$4&lt;&gt;"",$G$4,"")&amp;IF($F$43&lt;&gt;"","_"&amp;$F$43,""),'表3）燃料価格'!$AF$9:$AG$25,2,0)),0,VLOOKUP($I28,'表3）燃料価格'!$A$6:$U$66,VLOOKUP($F$3&amp;IF($G$4&lt;&gt;"",$G$4,"")&amp;IF($F$43&lt;&gt;"","_"&amp;$F$43,""),'表3）燃料価格'!$AF$9:$AG$25,2,0)+VLOOKUP($F$41,'表3）燃料価格'!$AF$28:$AG$29,2,0),0)*IF($F$43="需要地価格",1,$F$8/$F$141))),"")</f>
        <v>12</v>
      </c>
      <c r="AV28" s="10">
        <f t="shared" si="6"/>
        <v>764999999.99999988</v>
      </c>
      <c r="AW28" s="10">
        <f t="shared" si="7"/>
        <v>505755121.45124364</v>
      </c>
      <c r="AY28" s="7">
        <f>IF(ISERROR(IF($K28&lt;=$F$15,VLOOKUP($I28,'表4）CO2価格'!$A$7:$E$67,VLOOKUP($F$48,'表4）CO2価格'!$H$10:$I$12,2,0),0)*$F$8/1000,"")),0,IF($K28&lt;=$F$15,VLOOKUP($I28,'表4）CO2価格'!$A$7:$E$67,VLOOKUP($F$48,'表4）CO2価格'!$H$10:$I$12,2,0),0)*$F$8/1000,""))</f>
        <v>0</v>
      </c>
      <c r="BA28" s="11">
        <f t="shared" si="8"/>
        <v>0</v>
      </c>
      <c r="BB28" s="10">
        <f t="shared" si="20"/>
        <v>0</v>
      </c>
      <c r="BD28" s="10">
        <f t="shared" si="9"/>
        <v>0</v>
      </c>
      <c r="BE28" s="10">
        <f t="shared" si="21"/>
        <v>0</v>
      </c>
      <c r="BG28" s="11">
        <f t="shared" si="10"/>
        <v>0</v>
      </c>
      <c r="BH28" s="10">
        <f t="shared" si="22"/>
        <v>0</v>
      </c>
      <c r="BJ28" s="7">
        <f t="shared" si="23"/>
        <v>0.34046104136316119</v>
      </c>
      <c r="BK28" s="158">
        <f t="shared" si="24"/>
        <v>314318501.97936183</v>
      </c>
      <c r="BL28" s="158">
        <f t="shared" si="25"/>
        <v>12423527.44423599</v>
      </c>
      <c r="BM28" s="10"/>
      <c r="BN28" s="10">
        <f t="shared" si="26"/>
        <v>1166488854.4139216</v>
      </c>
      <c r="BO28" s="10">
        <f t="shared" si="27"/>
        <v>771186551.94200659</v>
      </c>
      <c r="BQ28" s="10">
        <f t="shared" si="11"/>
        <v>36490305.599999994</v>
      </c>
      <c r="BR28" s="10">
        <f t="shared" si="28"/>
        <v>24124390.771922871</v>
      </c>
    </row>
    <row r="29" spans="3:70" x14ac:dyDescent="0.15">
      <c r="D29" s="84" t="s">
        <v>567</v>
      </c>
      <c r="F29" s="481"/>
      <c r="G29" s="84" t="s">
        <v>566</v>
      </c>
      <c r="I29" s="38">
        <f t="shared" si="29"/>
        <v>2034</v>
      </c>
      <c r="J29" s="39"/>
      <c r="K29" s="39">
        <f t="shared" si="30"/>
        <v>15</v>
      </c>
      <c r="L29" s="39"/>
      <c r="M29" s="40">
        <f t="shared" si="0"/>
        <v>0.64186194739671765</v>
      </c>
      <c r="N29" s="39"/>
      <c r="O29" s="72">
        <f t="shared" si="12"/>
        <v>72934251.426885217</v>
      </c>
      <c r="P29" s="41" t="str">
        <f t="shared" si="1"/>
        <v>-</v>
      </c>
      <c r="Q29" s="39"/>
      <c r="R29" s="72">
        <f t="shared" si="13"/>
        <v>264312794.74746785</v>
      </c>
      <c r="S29" s="39"/>
      <c r="T29" s="72">
        <f t="shared" si="14"/>
        <v>264312000</v>
      </c>
      <c r="U29" s="39"/>
      <c r="V29" s="72">
        <f t="shared" si="2"/>
        <v>72934251.426885217</v>
      </c>
      <c r="W29" s="72">
        <f t="shared" si="15"/>
        <v>46813720.652782381</v>
      </c>
      <c r="X29" s="39"/>
      <c r="Y29" s="72">
        <f t="shared" si="3"/>
        <v>3700300</v>
      </c>
      <c r="Z29" s="72">
        <f t="shared" si="16"/>
        <v>2375081.7639520741</v>
      </c>
      <c r="AA29" s="39"/>
      <c r="AB29" s="72">
        <f t="shared" si="4"/>
        <v>0</v>
      </c>
      <c r="AC29" s="72">
        <f t="shared" si="17"/>
        <v>0</v>
      </c>
      <c r="AD29" s="39"/>
      <c r="AE29" s="72">
        <f t="shared" si="5"/>
        <v>0</v>
      </c>
      <c r="AF29" s="72">
        <f t="shared" si="18"/>
        <v>0</v>
      </c>
      <c r="AG29" s="39"/>
      <c r="AH29" s="72">
        <f t="shared" si="31"/>
        <v>153899999.99999997</v>
      </c>
      <c r="AI29" s="72">
        <f t="shared" si="19"/>
        <v>98782553.704354823</v>
      </c>
      <c r="AJ29" s="39"/>
      <c r="AK29" s="72"/>
      <c r="AL29" s="72"/>
      <c r="AM29" s="39"/>
      <c r="AN29" s="72"/>
      <c r="AO29" s="72"/>
      <c r="AP29" s="39"/>
      <c r="AQ29" s="72"/>
      <c r="AR29" s="72"/>
      <c r="AS29" s="39"/>
      <c r="AT29" s="40">
        <f>IF($K29&lt;=$F$15,IF($F$40&lt;&gt;"",$F$40/1000,IF(ISERROR(VLOOKUP($F$3&amp;IF($G$4&lt;&gt;"",$G$4,"")&amp;IF($F$43&lt;&gt;"","_"&amp;$F$43,""),'表3）燃料価格'!$AF$9:$AG$25,2,0)),0,VLOOKUP($I29,'表3）燃料価格'!$A$6:$U$66,VLOOKUP($F$3&amp;IF($G$4&lt;&gt;"",$G$4,"")&amp;IF($F$43&lt;&gt;"","_"&amp;$F$43,""),'表3）燃料価格'!$AF$9:$AG$25,2,0)+VLOOKUP($F$41,'表3）燃料価格'!$AF$28:$AG$29,2,0),0)*IF($F$43="需要地価格",1,$F$8/$F$141))),"")</f>
        <v>12</v>
      </c>
      <c r="AU29" s="39"/>
      <c r="AV29" s="72">
        <f t="shared" si="6"/>
        <v>764999999.99999988</v>
      </c>
      <c r="AW29" s="72">
        <f t="shared" si="7"/>
        <v>491024389.75848895</v>
      </c>
      <c r="AX29" s="39"/>
      <c r="AY29" s="40">
        <f>IF(ISERROR(IF($K29&lt;=$F$15,VLOOKUP($I29,'表4）CO2価格'!$A$7:$E$67,VLOOKUP($F$48,'表4）CO2価格'!$H$10:$I$12,2,0),0)*$F$8/1000,"")),0,IF($K29&lt;=$F$15,VLOOKUP($I29,'表4）CO2価格'!$A$7:$E$67,VLOOKUP($F$48,'表4）CO2価格'!$H$10:$I$12,2,0),0)*$F$8/1000,""))</f>
        <v>0</v>
      </c>
      <c r="AZ29" s="39"/>
      <c r="BA29" s="42">
        <f t="shared" si="8"/>
        <v>0</v>
      </c>
      <c r="BB29" s="72">
        <f t="shared" si="20"/>
        <v>0</v>
      </c>
      <c r="BC29" s="39"/>
      <c r="BD29" s="72">
        <f t="shared" si="9"/>
        <v>0</v>
      </c>
      <c r="BE29" s="72">
        <f t="shared" si="21"/>
        <v>0</v>
      </c>
      <c r="BF29" s="39"/>
      <c r="BG29" s="42">
        <f t="shared" si="10"/>
        <v>0</v>
      </c>
      <c r="BH29" s="72">
        <f t="shared" si="22"/>
        <v>0</v>
      </c>
      <c r="BI29" s="39"/>
      <c r="BJ29" s="40">
        <f t="shared" si="23"/>
        <v>0.31524170496588994</v>
      </c>
      <c r="BK29" s="157">
        <f t="shared" si="24"/>
        <v>290842091.57404149</v>
      </c>
      <c r="BL29" s="157">
        <f t="shared" si="25"/>
        <v>11503266.15207036</v>
      </c>
      <c r="BM29" s="72"/>
      <c r="BN29" s="72">
        <f t="shared" si="26"/>
        <v>1166488854.4139216</v>
      </c>
      <c r="BO29" s="72">
        <f t="shared" si="27"/>
        <v>748724807.71068597</v>
      </c>
      <c r="BP29" s="39"/>
      <c r="BQ29" s="72">
        <f t="shared" si="11"/>
        <v>36490305.599999994</v>
      </c>
      <c r="BR29" s="72">
        <f t="shared" si="28"/>
        <v>23421738.613517348</v>
      </c>
    </row>
    <row r="30" spans="3:70" x14ac:dyDescent="0.15">
      <c r="I30" s="322">
        <f t="shared" si="29"/>
        <v>2035</v>
      </c>
      <c r="K30" s="71">
        <f t="shared" si="30"/>
        <v>16</v>
      </c>
      <c r="M30" s="7">
        <f t="shared" si="0"/>
        <v>0.62316693922011435</v>
      </c>
      <c r="O30" s="10">
        <f t="shared" si="12"/>
        <v>0</v>
      </c>
      <c r="P30" s="29" t="str">
        <f t="shared" si="1"/>
        <v>-</v>
      </c>
      <c r="R30" s="10">
        <f t="shared" si="13"/>
        <v>226700000</v>
      </c>
      <c r="T30" s="10">
        <f t="shared" si="14"/>
        <v>226700000</v>
      </c>
      <c r="V30" s="10">
        <f t="shared" si="2"/>
        <v>0</v>
      </c>
      <c r="W30" s="10">
        <f t="shared" si="15"/>
        <v>0</v>
      </c>
      <c r="Y30" s="10">
        <f t="shared" si="3"/>
        <v>3173800</v>
      </c>
      <c r="Z30" s="10">
        <f t="shared" si="16"/>
        <v>1977807.2316967989</v>
      </c>
      <c r="AB30" s="10">
        <f t="shared" si="4"/>
        <v>0</v>
      </c>
      <c r="AC30" s="10">
        <f t="shared" si="17"/>
        <v>0</v>
      </c>
      <c r="AE30" s="10">
        <f t="shared" si="5"/>
        <v>0</v>
      </c>
      <c r="AF30" s="10">
        <f t="shared" si="18"/>
        <v>0</v>
      </c>
      <c r="AH30" s="72">
        <f t="shared" si="31"/>
        <v>153899999.99999997</v>
      </c>
      <c r="AI30" s="10">
        <f t="shared" si="19"/>
        <v>95905391.945975587</v>
      </c>
      <c r="AK30" s="10"/>
      <c r="AL30" s="10"/>
      <c r="AN30" s="10"/>
      <c r="AO30" s="10"/>
      <c r="AQ30" s="10"/>
      <c r="AR30" s="10"/>
      <c r="AT30" s="7">
        <f>IF($K30&lt;=$F$15,IF($F$40&lt;&gt;"",$F$40/1000,IF(ISERROR(VLOOKUP($F$3&amp;IF($G$4&lt;&gt;"",$G$4,"")&amp;IF($F$43&lt;&gt;"","_"&amp;$F$43,""),'表3）燃料価格'!$AF$9:$AG$25,2,0)),0,VLOOKUP($I30,'表3）燃料価格'!$A$6:$U$66,VLOOKUP($F$3&amp;IF($G$4&lt;&gt;"",$G$4,"")&amp;IF($F$43&lt;&gt;"","_"&amp;$F$43,""),'表3）燃料価格'!$AF$9:$AG$25,2,0)+VLOOKUP($F$41,'表3）燃料価格'!$AF$28:$AG$29,2,0),0)*IF($F$43="需要地価格",1,$F$8/$F$141))),"")</f>
        <v>12</v>
      </c>
      <c r="AV30" s="10">
        <f t="shared" si="6"/>
        <v>764999999.99999988</v>
      </c>
      <c r="AW30" s="10">
        <f t="shared" si="7"/>
        <v>476722708.50338739</v>
      </c>
      <c r="AY30" s="7">
        <f>IF(ISERROR(IF($K30&lt;=$F$15,VLOOKUP($I30,'表4）CO2価格'!$A$7:$E$67,VLOOKUP($F$48,'表4）CO2価格'!$H$10:$I$12,2,0),0)*$F$8/1000,"")),0,IF($K30&lt;=$F$15,VLOOKUP($I30,'表4）CO2価格'!$A$7:$E$67,VLOOKUP($F$48,'表4）CO2価格'!$H$10:$I$12,2,0),0)*$F$8/1000,""))</f>
        <v>0</v>
      </c>
      <c r="BA30" s="11">
        <f t="shared" si="8"/>
        <v>0</v>
      </c>
      <c r="BB30" s="10">
        <f t="shared" si="20"/>
        <v>0</v>
      </c>
      <c r="BD30" s="10">
        <f t="shared" si="9"/>
        <v>0</v>
      </c>
      <c r="BE30" s="10">
        <f t="shared" si="21"/>
        <v>0</v>
      </c>
      <c r="BG30" s="11">
        <f t="shared" si="10"/>
        <v>0</v>
      </c>
      <c r="BH30" s="10">
        <f t="shared" si="22"/>
        <v>0</v>
      </c>
      <c r="BJ30" s="7">
        <f t="shared" si="23"/>
        <v>0.29189046756100923</v>
      </c>
      <c r="BK30" s="158">
        <f t="shared" si="24"/>
        <v>269144552.6077565</v>
      </c>
      <c r="BL30" s="158">
        <f t="shared" si="25"/>
        <v>10651172.363028111</v>
      </c>
      <c r="BM30" s="10"/>
      <c r="BN30" s="10">
        <f t="shared" si="26"/>
        <v>1166488854.4139216</v>
      </c>
      <c r="BO30" s="10">
        <f t="shared" si="27"/>
        <v>726917289.03950107</v>
      </c>
      <c r="BQ30" s="10">
        <f t="shared" si="11"/>
        <v>36490305.599999994</v>
      </c>
      <c r="BR30" s="10">
        <f t="shared" si="28"/>
        <v>22739552.051958594</v>
      </c>
    </row>
    <row r="31" spans="3:70" x14ac:dyDescent="0.15">
      <c r="C31" s="4" t="s">
        <v>568</v>
      </c>
      <c r="D31" s="100"/>
      <c r="E31" s="100"/>
      <c r="F31" s="4"/>
      <c r="G31" s="100"/>
      <c r="I31" s="38">
        <f t="shared" si="29"/>
        <v>2036</v>
      </c>
      <c r="J31" s="39"/>
      <c r="K31" s="39">
        <f t="shared" si="30"/>
        <v>17</v>
      </c>
      <c r="L31" s="39"/>
      <c r="M31" s="40">
        <f t="shared" si="0"/>
        <v>0.60501644584477121</v>
      </c>
      <c r="N31" s="39"/>
      <c r="O31" s="72">
        <f t="shared" si="12"/>
        <v>0</v>
      </c>
      <c r="P31" s="41" t="str">
        <f t="shared" si="1"/>
        <v>-</v>
      </c>
      <c r="Q31" s="39"/>
      <c r="R31" s="72">
        <f t="shared" si="13"/>
        <v>194439660.2105557</v>
      </c>
      <c r="S31" s="39"/>
      <c r="T31" s="72">
        <f t="shared" si="14"/>
        <v>194439000</v>
      </c>
      <c r="U31" s="39"/>
      <c r="V31" s="72">
        <f t="shared" si="2"/>
        <v>0</v>
      </c>
      <c r="W31" s="72">
        <f t="shared" si="15"/>
        <v>0</v>
      </c>
      <c r="X31" s="39"/>
      <c r="Y31" s="72">
        <f t="shared" si="3"/>
        <v>2722100</v>
      </c>
      <c r="Z31" s="72">
        <f t="shared" si="16"/>
        <v>1646915.2672340516</v>
      </c>
      <c r="AA31" s="39"/>
      <c r="AB31" s="72">
        <f t="shared" si="4"/>
        <v>0</v>
      </c>
      <c r="AC31" s="72">
        <f t="shared" si="17"/>
        <v>0</v>
      </c>
      <c r="AD31" s="39"/>
      <c r="AE31" s="72">
        <f t="shared" si="5"/>
        <v>0</v>
      </c>
      <c r="AF31" s="72">
        <f t="shared" si="18"/>
        <v>0</v>
      </c>
      <c r="AG31" s="39"/>
      <c r="AH31" s="72">
        <f t="shared" si="31"/>
        <v>153899999.99999997</v>
      </c>
      <c r="AI31" s="72">
        <f t="shared" si="19"/>
        <v>93112031.015510276</v>
      </c>
      <c r="AJ31" s="39"/>
      <c r="AK31" s="72"/>
      <c r="AL31" s="72"/>
      <c r="AM31" s="39"/>
      <c r="AN31" s="72"/>
      <c r="AO31" s="72"/>
      <c r="AP31" s="39"/>
      <c r="AQ31" s="72"/>
      <c r="AR31" s="72"/>
      <c r="AS31" s="39"/>
      <c r="AT31" s="40">
        <f>IF($K31&lt;=$F$15,IF($F$40&lt;&gt;"",$F$40/1000,IF(ISERROR(VLOOKUP($F$3&amp;IF($G$4&lt;&gt;"",$G$4,"")&amp;IF($F$43&lt;&gt;"","_"&amp;$F$43,""),'表3）燃料価格'!$AF$9:$AG$25,2,0)),0,VLOOKUP($I31,'表3）燃料価格'!$A$6:$U$66,VLOOKUP($F$3&amp;IF($G$4&lt;&gt;"",$G$4,"")&amp;IF($F$43&lt;&gt;"","_"&amp;$F$43,""),'表3）燃料価格'!$AF$9:$AG$25,2,0)+VLOOKUP($F$41,'表3）燃料価格'!$AF$28:$AG$29,2,0),0)*IF($F$43="需要地価格",1,$F$8/$F$141))),"")</f>
        <v>12</v>
      </c>
      <c r="AU31" s="39"/>
      <c r="AV31" s="72">
        <f t="shared" si="6"/>
        <v>764999999.99999988</v>
      </c>
      <c r="AW31" s="72">
        <f t="shared" si="7"/>
        <v>462837581.0712499</v>
      </c>
      <c r="AX31" s="39"/>
      <c r="AY31" s="40">
        <f>IF(ISERROR(IF($K31&lt;=$F$15,VLOOKUP($I31,'表4）CO2価格'!$A$7:$E$67,VLOOKUP($F$48,'表4）CO2価格'!$H$10:$I$12,2,0),0)*$F$8/1000,"")),0,IF($K31&lt;=$F$15,VLOOKUP($I31,'表4）CO2価格'!$A$7:$E$67,VLOOKUP($F$48,'表4）CO2価格'!$H$10:$I$12,2,0),0)*$F$8/1000,""))</f>
        <v>0</v>
      </c>
      <c r="AZ31" s="39"/>
      <c r="BA31" s="42">
        <f t="shared" si="8"/>
        <v>0</v>
      </c>
      <c r="BB31" s="72">
        <f t="shared" si="20"/>
        <v>0</v>
      </c>
      <c r="BC31" s="39"/>
      <c r="BD31" s="72">
        <f t="shared" si="9"/>
        <v>0</v>
      </c>
      <c r="BE31" s="72">
        <f t="shared" si="21"/>
        <v>0</v>
      </c>
      <c r="BF31" s="39"/>
      <c r="BG31" s="42">
        <f t="shared" si="10"/>
        <v>0</v>
      </c>
      <c r="BH31" s="72">
        <f t="shared" si="22"/>
        <v>0</v>
      </c>
      <c r="BI31" s="39"/>
      <c r="BJ31" s="40">
        <f t="shared" si="23"/>
        <v>0.27026895144537894</v>
      </c>
      <c r="BK31" s="157">
        <f t="shared" si="24"/>
        <v>249085838.59588814</v>
      </c>
      <c r="BL31" s="157">
        <f t="shared" si="25"/>
        <v>9862196.6324334368</v>
      </c>
      <c r="BM31" s="72"/>
      <c r="BN31" s="72">
        <f t="shared" si="26"/>
        <v>1166488854.4139216</v>
      </c>
      <c r="BO31" s="72">
        <f t="shared" si="27"/>
        <v>705744940.81504965</v>
      </c>
      <c r="BP31" s="39"/>
      <c r="BQ31" s="72">
        <f t="shared" si="11"/>
        <v>36490305.599999994</v>
      </c>
      <c r="BR31" s="72">
        <f t="shared" si="28"/>
        <v>22077235.001901548</v>
      </c>
    </row>
    <row r="32" spans="3:70" x14ac:dyDescent="0.15">
      <c r="I32" s="322">
        <f t="shared" si="29"/>
        <v>2037</v>
      </c>
      <c r="K32" s="71">
        <f t="shared" si="30"/>
        <v>18</v>
      </c>
      <c r="M32" s="7">
        <f t="shared" si="0"/>
        <v>0.5873946076162827</v>
      </c>
      <c r="O32" s="10">
        <f t="shared" si="12"/>
        <v>0</v>
      </c>
      <c r="P32" s="29" t="str">
        <f t="shared" si="1"/>
        <v>-</v>
      </c>
      <c r="R32" s="10">
        <f t="shared" si="13"/>
        <v>166770099.08600068</v>
      </c>
      <c r="T32" s="10">
        <f t="shared" si="14"/>
        <v>166770000</v>
      </c>
      <c r="V32" s="10">
        <f t="shared" si="2"/>
        <v>0</v>
      </c>
      <c r="W32" s="10">
        <f t="shared" si="15"/>
        <v>0</v>
      </c>
      <c r="Y32" s="10">
        <f t="shared" si="3"/>
        <v>2334700</v>
      </c>
      <c r="Z32" s="10">
        <f t="shared" si="16"/>
        <v>1371390.1904017352</v>
      </c>
      <c r="AB32" s="10">
        <f t="shared" si="4"/>
        <v>0</v>
      </c>
      <c r="AC32" s="10">
        <f t="shared" si="17"/>
        <v>0</v>
      </c>
      <c r="AE32" s="10">
        <f t="shared" si="5"/>
        <v>0</v>
      </c>
      <c r="AF32" s="10">
        <f t="shared" si="18"/>
        <v>0</v>
      </c>
      <c r="AH32" s="72">
        <f t="shared" si="31"/>
        <v>153899999.99999997</v>
      </c>
      <c r="AI32" s="10">
        <f t="shared" si="19"/>
        <v>90400030.112145886</v>
      </c>
      <c r="AK32" s="10"/>
      <c r="AL32" s="10"/>
      <c r="AN32" s="10"/>
      <c r="AO32" s="10"/>
      <c r="AQ32" s="10"/>
      <c r="AR32" s="10"/>
      <c r="AT32" s="7">
        <f>IF($K32&lt;=$F$15,IF($F$40&lt;&gt;"",$F$40/1000,IF(ISERROR(VLOOKUP($F$3&amp;IF($G$4&lt;&gt;"",$G$4,"")&amp;IF($F$43&lt;&gt;"","_"&amp;$F$43,""),'表3）燃料価格'!$AF$9:$AG$25,2,0)),0,VLOOKUP($I32,'表3）燃料価格'!$A$6:$U$66,VLOOKUP($F$3&amp;IF($G$4&lt;&gt;"",$G$4,"")&amp;IF($F$43&lt;&gt;"","_"&amp;$F$43,""),'表3）燃料価格'!$AF$9:$AG$25,2,0)+VLOOKUP($F$41,'表3）燃料価格'!$AF$28:$AG$29,2,0),0)*IF($F$43="需要地価格",1,$F$8/$F$141))),"")</f>
        <v>12</v>
      </c>
      <c r="AV32" s="10">
        <f t="shared" si="6"/>
        <v>764999999.99999988</v>
      </c>
      <c r="AW32" s="10">
        <f t="shared" si="7"/>
        <v>449356874.82645619</v>
      </c>
      <c r="AY32" s="7">
        <f>IF(ISERROR(IF($K32&lt;=$F$15,VLOOKUP($I32,'表4）CO2価格'!$A$7:$E$67,VLOOKUP($F$48,'表4）CO2価格'!$H$10:$I$12,2,0),0)*$F$8/1000,"")),0,IF($K32&lt;=$F$15,VLOOKUP($I32,'表4）CO2価格'!$A$7:$E$67,VLOOKUP($F$48,'表4）CO2価格'!$H$10:$I$12,2,0),0)*$F$8/1000,""))</f>
        <v>0</v>
      </c>
      <c r="BA32" s="11">
        <f t="shared" si="8"/>
        <v>0</v>
      </c>
      <c r="BB32" s="10">
        <f t="shared" si="20"/>
        <v>0</v>
      </c>
      <c r="BD32" s="10">
        <f t="shared" si="9"/>
        <v>0</v>
      </c>
      <c r="BE32" s="10">
        <f t="shared" si="21"/>
        <v>0</v>
      </c>
      <c r="BG32" s="11">
        <f t="shared" si="10"/>
        <v>0</v>
      </c>
      <c r="BH32" s="10">
        <f t="shared" si="22"/>
        <v>0</v>
      </c>
      <c r="BJ32" s="7">
        <f t="shared" si="23"/>
        <v>0.25024902911609154</v>
      </c>
      <c r="BK32" s="158">
        <f t="shared" si="24"/>
        <v>230538089.26305383</v>
      </c>
      <c r="BL32" s="158">
        <f t="shared" si="25"/>
        <v>9131663.548549477</v>
      </c>
      <c r="BM32" s="10"/>
      <c r="BN32" s="10">
        <f t="shared" si="26"/>
        <v>1166488854.4139216</v>
      </c>
      <c r="BO32" s="10">
        <f t="shared" si="27"/>
        <v>685189262.92723262</v>
      </c>
      <c r="BQ32" s="10">
        <f t="shared" si="11"/>
        <v>36490305.599999994</v>
      </c>
      <c r="BR32" s="10">
        <f t="shared" si="28"/>
        <v>21434208.739710242</v>
      </c>
    </row>
    <row r="33" spans="3:70" x14ac:dyDescent="0.15">
      <c r="D33" s="160" t="s">
        <v>232</v>
      </c>
      <c r="F33" s="475">
        <v>2.7</v>
      </c>
      <c r="G33" s="160" t="s">
        <v>241</v>
      </c>
      <c r="I33" s="38">
        <f t="shared" si="29"/>
        <v>2038</v>
      </c>
      <c r="J33" s="39"/>
      <c r="K33" s="39">
        <f t="shared" si="30"/>
        <v>19</v>
      </c>
      <c r="L33" s="39"/>
      <c r="M33" s="40">
        <f t="shared" si="0"/>
        <v>0.57028602681192497</v>
      </c>
      <c r="N33" s="39"/>
      <c r="O33" s="72">
        <f t="shared" si="12"/>
        <v>0</v>
      </c>
      <c r="P33" s="41" t="str">
        <f t="shared" si="1"/>
        <v>-</v>
      </c>
      <c r="Q33" s="39"/>
      <c r="R33" s="72">
        <f t="shared" si="13"/>
        <v>143038029.99365979</v>
      </c>
      <c r="S33" s="39"/>
      <c r="T33" s="72">
        <f t="shared" si="14"/>
        <v>143038000</v>
      </c>
      <c r="U33" s="39"/>
      <c r="V33" s="72">
        <f t="shared" si="2"/>
        <v>0</v>
      </c>
      <c r="W33" s="72">
        <f t="shared" si="15"/>
        <v>0</v>
      </c>
      <c r="X33" s="39"/>
      <c r="Y33" s="72">
        <f t="shared" si="3"/>
        <v>2002500</v>
      </c>
      <c r="Z33" s="72">
        <f t="shared" si="16"/>
        <v>1141997.7686908797</v>
      </c>
      <c r="AA33" s="39"/>
      <c r="AB33" s="72">
        <f t="shared" si="4"/>
        <v>0</v>
      </c>
      <c r="AC33" s="72">
        <f t="shared" si="17"/>
        <v>0</v>
      </c>
      <c r="AD33" s="39"/>
      <c r="AE33" s="72">
        <f t="shared" si="5"/>
        <v>0</v>
      </c>
      <c r="AF33" s="72">
        <f t="shared" si="18"/>
        <v>0</v>
      </c>
      <c r="AG33" s="39"/>
      <c r="AH33" s="72">
        <f t="shared" si="31"/>
        <v>153899999.99999997</v>
      </c>
      <c r="AI33" s="72">
        <f t="shared" si="19"/>
        <v>87767019.526355237</v>
      </c>
      <c r="AJ33" s="39"/>
      <c r="AK33" s="72"/>
      <c r="AL33" s="72"/>
      <c r="AM33" s="39"/>
      <c r="AN33" s="72"/>
      <c r="AO33" s="72"/>
      <c r="AP33" s="39"/>
      <c r="AQ33" s="72"/>
      <c r="AR33" s="72"/>
      <c r="AS33" s="39"/>
      <c r="AT33" s="40">
        <f>IF($K33&lt;=$F$15,IF($F$40&lt;&gt;"",$F$40/1000,IF(ISERROR(VLOOKUP($F$3&amp;IF($G$4&lt;&gt;"",$G$4,"")&amp;IF($F$43&lt;&gt;"","_"&amp;$F$43,""),'表3）燃料価格'!$AF$9:$AG$25,2,0)),0,VLOOKUP($I33,'表3）燃料価格'!$A$6:$U$66,VLOOKUP($F$3&amp;IF($G$4&lt;&gt;"",$G$4,"")&amp;IF($F$43&lt;&gt;"","_"&amp;$F$43,""),'表3）燃料価格'!$AF$9:$AG$25,2,0)+VLOOKUP($F$41,'表3）燃料価格'!$AF$28:$AG$29,2,0),0)*IF($F$43="需要地価格",1,$F$8/$F$141))),"")</f>
        <v>12</v>
      </c>
      <c r="AU33" s="39"/>
      <c r="AV33" s="72">
        <f t="shared" si="6"/>
        <v>764999999.99999988</v>
      </c>
      <c r="AW33" s="72">
        <f t="shared" si="7"/>
        <v>436268810.51112252</v>
      </c>
      <c r="AX33" s="39"/>
      <c r="AY33" s="40">
        <f>IF(ISERROR(IF($K33&lt;=$F$15,VLOOKUP($I33,'表4）CO2価格'!$A$7:$E$67,VLOOKUP($F$48,'表4）CO2価格'!$H$10:$I$12,2,0),0)*$F$8/1000,"")),0,IF($K33&lt;=$F$15,VLOOKUP($I33,'表4）CO2価格'!$A$7:$E$67,VLOOKUP($F$48,'表4）CO2価格'!$H$10:$I$12,2,0),0)*$F$8/1000,""))</f>
        <v>0</v>
      </c>
      <c r="AZ33" s="39"/>
      <c r="BA33" s="42">
        <f t="shared" si="8"/>
        <v>0</v>
      </c>
      <c r="BB33" s="72">
        <f t="shared" si="20"/>
        <v>0</v>
      </c>
      <c r="BC33" s="39"/>
      <c r="BD33" s="72">
        <f t="shared" si="9"/>
        <v>0</v>
      </c>
      <c r="BE33" s="72">
        <f t="shared" si="21"/>
        <v>0</v>
      </c>
      <c r="BF33" s="39"/>
      <c r="BG33" s="42">
        <f t="shared" si="10"/>
        <v>0</v>
      </c>
      <c r="BH33" s="72">
        <f t="shared" si="22"/>
        <v>0</v>
      </c>
      <c r="BI33" s="39"/>
      <c r="BJ33" s="40">
        <f t="shared" si="23"/>
        <v>0.23171206399638106</v>
      </c>
      <c r="BK33" s="157">
        <f t="shared" si="24"/>
        <v>213384219.01442727</v>
      </c>
      <c r="BL33" s="157">
        <f t="shared" si="25"/>
        <v>8455244.0264347009</v>
      </c>
      <c r="BM33" s="72"/>
      <c r="BN33" s="72">
        <f t="shared" si="26"/>
        <v>1166488854.4139216</v>
      </c>
      <c r="BO33" s="72">
        <f t="shared" si="27"/>
        <v>665232294.10410929</v>
      </c>
      <c r="BP33" s="39"/>
      <c r="BQ33" s="72">
        <f t="shared" si="11"/>
        <v>36490305.599999994</v>
      </c>
      <c r="BR33" s="72">
        <f t="shared" si="28"/>
        <v>20809911.397776932</v>
      </c>
    </row>
    <row r="34" spans="3:70" x14ac:dyDescent="0.15">
      <c r="F34" s="475"/>
      <c r="I34" s="322">
        <f t="shared" si="29"/>
        <v>2039</v>
      </c>
      <c r="K34" s="71">
        <f t="shared" si="30"/>
        <v>20</v>
      </c>
      <c r="M34" s="7">
        <f t="shared" si="0"/>
        <v>0.55367575418633497</v>
      </c>
      <c r="O34" s="10">
        <f t="shared" si="12"/>
        <v>0</v>
      </c>
      <c r="P34" s="29" t="str">
        <f t="shared" si="1"/>
        <v>-</v>
      </c>
      <c r="R34" s="10">
        <f t="shared" si="13"/>
        <v>122683131.66808331</v>
      </c>
      <c r="T34" s="10">
        <f t="shared" si="14"/>
        <v>122683000</v>
      </c>
      <c r="V34" s="10">
        <f t="shared" si="2"/>
        <v>0</v>
      </c>
      <c r="W34" s="10">
        <f t="shared" si="15"/>
        <v>0</v>
      </c>
      <c r="Y34" s="10">
        <f t="shared" si="3"/>
        <v>1717500</v>
      </c>
      <c r="Z34" s="10">
        <f t="shared" si="16"/>
        <v>950938.10781503026</v>
      </c>
      <c r="AB34" s="10">
        <f t="shared" si="4"/>
        <v>0</v>
      </c>
      <c r="AC34" s="10">
        <f t="shared" si="17"/>
        <v>0</v>
      </c>
      <c r="AE34" s="10">
        <f t="shared" si="5"/>
        <v>0</v>
      </c>
      <c r="AF34" s="10">
        <f t="shared" si="18"/>
        <v>0</v>
      </c>
      <c r="AH34" s="72">
        <f t="shared" si="31"/>
        <v>153899999.99999997</v>
      </c>
      <c r="AI34" s="10">
        <f t="shared" si="19"/>
        <v>85210698.569276929</v>
      </c>
      <c r="AK34" s="10"/>
      <c r="AL34" s="10"/>
      <c r="AN34" s="10"/>
      <c r="AO34" s="10"/>
      <c r="AQ34" s="10"/>
      <c r="AR34" s="10"/>
      <c r="AT34" s="7">
        <f>IF($K34&lt;=$F$15,IF($F$40&lt;&gt;"",$F$40/1000,IF(ISERROR(VLOOKUP($F$3&amp;IF($G$4&lt;&gt;"",$G$4,"")&amp;IF($F$43&lt;&gt;"","_"&amp;$F$43,""),'表3）燃料価格'!$AF$9:$AG$25,2,0)),0,VLOOKUP($I34,'表3）燃料価格'!$A$6:$U$66,VLOOKUP($F$3&amp;IF($G$4&lt;&gt;"",$G$4,"")&amp;IF($F$43&lt;&gt;"","_"&amp;$F$43,""),'表3）燃料価格'!$AF$9:$AG$25,2,0)+VLOOKUP($F$41,'表3）燃料価格'!$AF$28:$AG$29,2,0),0)*IF($F$43="需要地価格",1,$F$8/$F$141))),"")</f>
        <v>12</v>
      </c>
      <c r="AV34" s="10">
        <f t="shared" si="6"/>
        <v>764999999.99999988</v>
      </c>
      <c r="AW34" s="10">
        <f t="shared" si="7"/>
        <v>423561951.95254618</v>
      </c>
      <c r="AY34" s="7">
        <f>IF(ISERROR(IF($K34&lt;=$F$15,VLOOKUP($I34,'表4）CO2価格'!$A$7:$E$67,VLOOKUP($F$48,'表4）CO2価格'!$H$10:$I$12,2,0),0)*$F$8/1000,"")),0,IF($K34&lt;=$F$15,VLOOKUP($I34,'表4）CO2価格'!$A$7:$E$67,VLOOKUP($F$48,'表4）CO2価格'!$H$10:$I$12,2,0),0)*$F$8/1000,""))</f>
        <v>0</v>
      </c>
      <c r="BA34" s="11">
        <f t="shared" si="8"/>
        <v>0</v>
      </c>
      <c r="BB34" s="10">
        <f t="shared" si="20"/>
        <v>0</v>
      </c>
      <c r="BD34" s="10">
        <f t="shared" si="9"/>
        <v>0</v>
      </c>
      <c r="BE34" s="10">
        <f t="shared" si="21"/>
        <v>0</v>
      </c>
      <c r="BG34" s="11">
        <f t="shared" si="10"/>
        <v>0</v>
      </c>
      <c r="BH34" s="10">
        <f t="shared" si="22"/>
        <v>0</v>
      </c>
      <c r="BJ34" s="7">
        <f t="shared" si="23"/>
        <v>0.21454820740405653</v>
      </c>
      <c r="BK34" s="158">
        <f t="shared" si="24"/>
        <v>197516834.32980397</v>
      </c>
      <c r="BL34" s="158">
        <f t="shared" si="25"/>
        <v>7828929.6541062044</v>
      </c>
      <c r="BM34" s="10"/>
      <c r="BN34" s="10">
        <f t="shared" si="26"/>
        <v>1166488854.4139216</v>
      </c>
      <c r="BO34" s="10">
        <f t="shared" si="27"/>
        <v>645856596.21758199</v>
      </c>
      <c r="BQ34" s="10">
        <f t="shared" si="11"/>
        <v>36490305.599999994</v>
      </c>
      <c r="BR34" s="10">
        <f t="shared" si="28"/>
        <v>20203797.47356984</v>
      </c>
    </row>
    <row r="35" spans="3:70" x14ac:dyDescent="0.15">
      <c r="F35" s="475"/>
      <c r="I35" s="38">
        <f t="shared" si="29"/>
        <v>2040</v>
      </c>
      <c r="J35" s="39"/>
      <c r="K35" s="39">
        <f t="shared" si="30"/>
        <v>21</v>
      </c>
      <c r="L35" s="39"/>
      <c r="M35" s="40">
        <f t="shared" si="0"/>
        <v>0.5375492759090631</v>
      </c>
      <c r="N35" s="39"/>
      <c r="O35" s="72">
        <f t="shared" si="12"/>
        <v>0</v>
      </c>
      <c r="P35" s="41" t="str">
        <f t="shared" si="1"/>
        <v>-</v>
      </c>
      <c r="Q35" s="39"/>
      <c r="R35" s="72">
        <f t="shared" si="13"/>
        <v>113350000</v>
      </c>
      <c r="S35" s="39"/>
      <c r="T35" s="72">
        <f t="shared" si="14"/>
        <v>113350000</v>
      </c>
      <c r="U35" s="39"/>
      <c r="V35" s="72">
        <f t="shared" si="2"/>
        <v>0</v>
      </c>
      <c r="W35" s="72">
        <f t="shared" si="15"/>
        <v>0</v>
      </c>
      <c r="X35" s="39"/>
      <c r="Y35" s="72">
        <f t="shared" si="3"/>
        <v>1586900</v>
      </c>
      <c r="Z35" s="72">
        <f t="shared" si="16"/>
        <v>853036.94594009221</v>
      </c>
      <c r="AA35" s="39"/>
      <c r="AB35" s="72">
        <f t="shared" si="4"/>
        <v>0</v>
      </c>
      <c r="AC35" s="72">
        <f t="shared" si="17"/>
        <v>0</v>
      </c>
      <c r="AD35" s="39"/>
      <c r="AE35" s="72">
        <f t="shared" si="5"/>
        <v>0</v>
      </c>
      <c r="AF35" s="72">
        <f t="shared" si="18"/>
        <v>0</v>
      </c>
      <c r="AG35" s="39"/>
      <c r="AH35" s="72">
        <f t="shared" si="31"/>
        <v>153899999.99999997</v>
      </c>
      <c r="AI35" s="72">
        <f t="shared" si="19"/>
        <v>82728833.562404796</v>
      </c>
      <c r="AJ35" s="39"/>
      <c r="AK35" s="72"/>
      <c r="AL35" s="72"/>
      <c r="AM35" s="39"/>
      <c r="AN35" s="72"/>
      <c r="AO35" s="72"/>
      <c r="AP35" s="39"/>
      <c r="AQ35" s="72"/>
      <c r="AR35" s="72"/>
      <c r="AS35" s="39"/>
      <c r="AT35" s="40">
        <f>IF($K35&lt;=$F$15,IF($F$40&lt;&gt;"",$F$40/1000,IF(ISERROR(VLOOKUP($F$3&amp;IF($G$4&lt;&gt;"",$G$4,"")&amp;IF($F$43&lt;&gt;"","_"&amp;$F$43,""),'表3）燃料価格'!$AF$9:$AG$25,2,0)),0,VLOOKUP($I35,'表3）燃料価格'!$A$6:$U$66,VLOOKUP($F$3&amp;IF($G$4&lt;&gt;"",$G$4,"")&amp;IF($F$43&lt;&gt;"","_"&amp;$F$43,""),'表3）燃料価格'!$AF$9:$AG$25,2,0)+VLOOKUP($F$41,'表3）燃料価格'!$AF$28:$AG$29,2,0),0)*IF($F$43="需要地価格",1,$F$8/$F$141))),"")</f>
        <v>12</v>
      </c>
      <c r="AU35" s="39"/>
      <c r="AV35" s="72">
        <f t="shared" si="6"/>
        <v>764999999.99999988</v>
      </c>
      <c r="AW35" s="72">
        <f t="shared" si="7"/>
        <v>411225196.0704332</v>
      </c>
      <c r="AX35" s="39"/>
      <c r="AY35" s="40">
        <f>IF(ISERROR(IF($K35&lt;=$F$15,VLOOKUP($I35,'表4）CO2価格'!$A$7:$E$67,VLOOKUP($F$48,'表4）CO2価格'!$H$10:$I$12,2,0),0)*$F$8/1000,"")),0,IF($K35&lt;=$F$15,VLOOKUP($I35,'表4）CO2価格'!$A$7:$E$67,VLOOKUP($F$48,'表4）CO2価格'!$H$10:$I$12,2,0),0)*$F$8/1000,""))</f>
        <v>0</v>
      </c>
      <c r="AZ35" s="39"/>
      <c r="BA35" s="42">
        <f t="shared" si="8"/>
        <v>0</v>
      </c>
      <c r="BB35" s="72">
        <f t="shared" si="20"/>
        <v>0</v>
      </c>
      <c r="BC35" s="39"/>
      <c r="BD35" s="72">
        <f t="shared" si="9"/>
        <v>0</v>
      </c>
      <c r="BE35" s="72">
        <f t="shared" si="21"/>
        <v>0</v>
      </c>
      <c r="BF35" s="39"/>
      <c r="BG35" s="42">
        <f t="shared" si="10"/>
        <v>0</v>
      </c>
      <c r="BH35" s="72">
        <f t="shared" si="22"/>
        <v>0</v>
      </c>
      <c r="BI35" s="39"/>
      <c r="BJ35" s="40">
        <f t="shared" si="23"/>
        <v>0.19865574759634863</v>
      </c>
      <c r="BK35" s="157">
        <f t="shared" si="24"/>
        <v>22517628.990046117</v>
      </c>
      <c r="BL35" s="157" t="str">
        <f t="shared" si="25"/>
        <v/>
      </c>
      <c r="BM35" s="72"/>
      <c r="BN35" s="72" t="str">
        <f t="shared" si="26"/>
        <v/>
      </c>
      <c r="BO35" s="72" t="str">
        <f t="shared" si="27"/>
        <v/>
      </c>
      <c r="BP35" s="39"/>
      <c r="BQ35" s="72">
        <f t="shared" si="11"/>
        <v>36490305.599999994</v>
      </c>
      <c r="BR35" s="72">
        <f t="shared" si="28"/>
        <v>19615337.352980427</v>
      </c>
    </row>
    <row r="36" spans="3:70" x14ac:dyDescent="0.15">
      <c r="F36" s="502"/>
      <c r="I36" s="322">
        <f t="shared" si="29"/>
        <v>2041</v>
      </c>
      <c r="K36" s="71">
        <f t="shared" si="30"/>
        <v>22</v>
      </c>
      <c r="M36" s="7">
        <f t="shared" si="0"/>
        <v>0.52189250088258554</v>
      </c>
      <c r="O36" s="10">
        <f t="shared" si="12"/>
        <v>0</v>
      </c>
      <c r="P36" s="29" t="str">
        <f t="shared" si="1"/>
        <v>-</v>
      </c>
      <c r="R36" s="10">
        <f t="shared" si="13"/>
        <v>113350000</v>
      </c>
      <c r="T36" s="10">
        <f t="shared" si="14"/>
        <v>113350000</v>
      </c>
      <c r="V36" s="10">
        <f t="shared" si="2"/>
        <v>0</v>
      </c>
      <c r="W36" s="10">
        <f t="shared" si="15"/>
        <v>0</v>
      </c>
      <c r="Y36" s="10">
        <f t="shared" si="3"/>
        <v>1586900</v>
      </c>
      <c r="Z36" s="10">
        <f t="shared" si="16"/>
        <v>828191.20965057495</v>
      </c>
      <c r="AB36" s="10">
        <f t="shared" si="4"/>
        <v>0</v>
      </c>
      <c r="AC36" s="10">
        <f t="shared" si="17"/>
        <v>0</v>
      </c>
      <c r="AE36" s="10">
        <f t="shared" si="5"/>
        <v>0</v>
      </c>
      <c r="AF36" s="10">
        <f t="shared" si="18"/>
        <v>0</v>
      </c>
      <c r="AH36" s="72">
        <f t="shared" si="31"/>
        <v>153899999.99999997</v>
      </c>
      <c r="AI36" s="10">
        <f t="shared" si="19"/>
        <v>80319255.885829896</v>
      </c>
      <c r="AK36" s="10"/>
      <c r="AL36" s="10"/>
      <c r="AN36" s="10"/>
      <c r="AO36" s="10"/>
      <c r="AQ36" s="10"/>
      <c r="AR36" s="10"/>
      <c r="AT36" s="7">
        <f>IF($K36&lt;=$F$15,IF($F$40&lt;&gt;"",$F$40/1000,IF(ISERROR(VLOOKUP($F$3&amp;IF($G$4&lt;&gt;"",$G$4,"")&amp;IF($F$43&lt;&gt;"","_"&amp;$F$43,""),'表3）燃料価格'!$AF$9:$AG$25,2,0)),0,VLOOKUP($I36,'表3）燃料価格'!$A$6:$U$66,VLOOKUP($F$3&amp;IF($G$4&lt;&gt;"",$G$4,"")&amp;IF($F$43&lt;&gt;"","_"&amp;$F$43,""),'表3）燃料価格'!$AF$9:$AG$25,2,0)+VLOOKUP($F$41,'表3）燃料価格'!$AF$28:$AG$29,2,0),0)*IF($F$43="需要地価格",1,$F$8/$F$141))),"")</f>
        <v>12</v>
      </c>
      <c r="AV36" s="10">
        <f t="shared" si="6"/>
        <v>764999999.99999988</v>
      </c>
      <c r="AW36" s="10">
        <f t="shared" si="7"/>
        <v>399247763.17517787</v>
      </c>
      <c r="AY36" s="7">
        <f>IF(ISERROR(IF($K36&lt;=$F$15,VLOOKUP($I36,'表4）CO2価格'!$A$7:$E$67,VLOOKUP($F$48,'表4）CO2価格'!$H$10:$I$12,2,0),0)*$F$8/1000,"")),0,IF($K36&lt;=$F$15,VLOOKUP($I36,'表4）CO2価格'!$A$7:$E$67,VLOOKUP($F$48,'表4）CO2価格'!$H$10:$I$12,2,0),0)*$F$8/1000,""))</f>
        <v>0</v>
      </c>
      <c r="BA36" s="11">
        <f t="shared" si="8"/>
        <v>0</v>
      </c>
      <c r="BB36" s="10">
        <f t="shared" si="20"/>
        <v>0</v>
      </c>
      <c r="BD36" s="10">
        <f t="shared" si="9"/>
        <v>0</v>
      </c>
      <c r="BE36" s="10">
        <f t="shared" si="21"/>
        <v>0</v>
      </c>
      <c r="BG36" s="11">
        <f t="shared" si="10"/>
        <v>0</v>
      </c>
      <c r="BH36" s="10">
        <f t="shared" si="22"/>
        <v>0</v>
      </c>
      <c r="BJ36" s="7" t="str">
        <f t="shared" si="23"/>
        <v/>
      </c>
      <c r="BK36" s="158" t="str">
        <f t="shared" si="24"/>
        <v/>
      </c>
      <c r="BL36" s="158" t="str">
        <f t="shared" si="25"/>
        <v/>
      </c>
      <c r="BM36" s="10"/>
      <c r="BN36" s="10" t="str">
        <f t="shared" si="26"/>
        <v/>
      </c>
      <c r="BO36" s="10" t="str">
        <f t="shared" si="27"/>
        <v/>
      </c>
      <c r="BQ36" s="10">
        <f t="shared" si="11"/>
        <v>36490305.599999994</v>
      </c>
      <c r="BR36" s="10">
        <f t="shared" si="28"/>
        <v>19044016.847553812</v>
      </c>
    </row>
    <row r="37" spans="3:70" x14ac:dyDescent="0.15">
      <c r="I37" s="38">
        <f t="shared" si="29"/>
        <v>2042</v>
      </c>
      <c r="J37" s="39"/>
      <c r="K37" s="39">
        <f t="shared" si="30"/>
        <v>23</v>
      </c>
      <c r="L37" s="39"/>
      <c r="M37" s="40">
        <f t="shared" si="0"/>
        <v>0.50669174842969467</v>
      </c>
      <c r="N37" s="39"/>
      <c r="O37" s="72">
        <f t="shared" si="12"/>
        <v>0</v>
      </c>
      <c r="P37" s="41" t="str">
        <f t="shared" si="1"/>
        <v>-</v>
      </c>
      <c r="Q37" s="39"/>
      <c r="R37" s="72">
        <f t="shared" si="13"/>
        <v>113350000</v>
      </c>
      <c r="S37" s="39"/>
      <c r="T37" s="72">
        <f t="shared" si="14"/>
        <v>113350000</v>
      </c>
      <c r="U37" s="39"/>
      <c r="V37" s="72">
        <f t="shared" si="2"/>
        <v>0</v>
      </c>
      <c r="W37" s="72">
        <f t="shared" si="15"/>
        <v>0</v>
      </c>
      <c r="X37" s="39"/>
      <c r="Y37" s="72">
        <f t="shared" si="3"/>
        <v>1586900</v>
      </c>
      <c r="Z37" s="72">
        <f t="shared" si="16"/>
        <v>804069.13558308245</v>
      </c>
      <c r="AA37" s="39"/>
      <c r="AB37" s="72">
        <f t="shared" si="4"/>
        <v>0</v>
      </c>
      <c r="AC37" s="72">
        <f t="shared" si="17"/>
        <v>0</v>
      </c>
      <c r="AD37" s="39"/>
      <c r="AE37" s="72">
        <f t="shared" si="5"/>
        <v>0</v>
      </c>
      <c r="AF37" s="72">
        <f t="shared" si="18"/>
        <v>0</v>
      </c>
      <c r="AG37" s="39"/>
      <c r="AH37" s="72">
        <f t="shared" si="31"/>
        <v>153899999.99999997</v>
      </c>
      <c r="AI37" s="72">
        <f t="shared" si="19"/>
        <v>77979860.083329991</v>
      </c>
      <c r="AJ37" s="39"/>
      <c r="AK37" s="72"/>
      <c r="AL37" s="72"/>
      <c r="AM37" s="39"/>
      <c r="AN37" s="72"/>
      <c r="AO37" s="72"/>
      <c r="AP37" s="39"/>
      <c r="AQ37" s="72"/>
      <c r="AR37" s="72"/>
      <c r="AS37" s="39"/>
      <c r="AT37" s="40">
        <f>IF($K37&lt;=$F$15,IF($F$40&lt;&gt;"",$F$40/1000,IF(ISERROR(VLOOKUP($F$3&amp;IF($G$4&lt;&gt;"",$G$4,"")&amp;IF($F$43&lt;&gt;"","_"&amp;$F$43,""),'表3）燃料価格'!$AF$9:$AG$25,2,0)),0,VLOOKUP($I37,'表3）燃料価格'!$A$6:$U$66,VLOOKUP($F$3&amp;IF($G$4&lt;&gt;"",$G$4,"")&amp;IF($F$43&lt;&gt;"","_"&amp;$F$43,""),'表3）燃料価格'!$AF$9:$AG$25,2,0)+VLOOKUP($F$41,'表3）燃料価格'!$AF$28:$AG$29,2,0),0)*IF($F$43="需要地価格",1,$F$8/$F$141))),"")</f>
        <v>12</v>
      </c>
      <c r="AU37" s="39"/>
      <c r="AV37" s="72">
        <f t="shared" si="6"/>
        <v>764999999.99999988</v>
      </c>
      <c r="AW37" s="72">
        <f t="shared" si="7"/>
        <v>387619187.54871637</v>
      </c>
      <c r="AX37" s="39"/>
      <c r="AY37" s="40">
        <f>IF(ISERROR(IF($K37&lt;=$F$15,VLOOKUP($I37,'表4）CO2価格'!$A$7:$E$67,VLOOKUP($F$48,'表4）CO2価格'!$H$10:$I$12,2,0),0)*$F$8/1000,"")),0,IF($K37&lt;=$F$15,VLOOKUP($I37,'表4）CO2価格'!$A$7:$E$67,VLOOKUP($F$48,'表4）CO2価格'!$H$10:$I$12,2,0),0)*$F$8/1000,""))</f>
        <v>0</v>
      </c>
      <c r="AZ37" s="39"/>
      <c r="BA37" s="42">
        <f t="shared" si="8"/>
        <v>0</v>
      </c>
      <c r="BB37" s="72">
        <f t="shared" si="20"/>
        <v>0</v>
      </c>
      <c r="BC37" s="39"/>
      <c r="BD37" s="72">
        <f t="shared" si="9"/>
        <v>0</v>
      </c>
      <c r="BE37" s="72">
        <f t="shared" si="21"/>
        <v>0</v>
      </c>
      <c r="BF37" s="39"/>
      <c r="BG37" s="42">
        <f t="shared" si="10"/>
        <v>0</v>
      </c>
      <c r="BH37" s="72">
        <f t="shared" si="22"/>
        <v>0</v>
      </c>
      <c r="BI37" s="39"/>
      <c r="BJ37" s="40" t="str">
        <f t="shared" si="23"/>
        <v/>
      </c>
      <c r="BK37" s="157" t="str">
        <f t="shared" si="24"/>
        <v/>
      </c>
      <c r="BL37" s="157" t="str">
        <f t="shared" si="25"/>
        <v/>
      </c>
      <c r="BM37" s="72"/>
      <c r="BN37" s="72" t="str">
        <f t="shared" si="26"/>
        <v/>
      </c>
      <c r="BO37" s="72" t="str">
        <f t="shared" si="27"/>
        <v/>
      </c>
      <c r="BP37" s="39"/>
      <c r="BQ37" s="72">
        <f t="shared" si="11"/>
        <v>36490305.599999994</v>
      </c>
      <c r="BR37" s="72">
        <f t="shared" si="28"/>
        <v>18489336.745197877</v>
      </c>
    </row>
    <row r="38" spans="3:70" x14ac:dyDescent="0.15">
      <c r="C38" s="4" t="s">
        <v>570</v>
      </c>
      <c r="D38" s="100"/>
      <c r="E38" s="100"/>
      <c r="F38" s="4"/>
      <c r="G38" s="100"/>
      <c r="I38" s="322">
        <f t="shared" si="29"/>
        <v>2043</v>
      </c>
      <c r="K38" s="71">
        <f t="shared" si="30"/>
        <v>24</v>
      </c>
      <c r="M38" s="7">
        <f t="shared" si="0"/>
        <v>0.49193373633950943</v>
      </c>
      <c r="O38" s="10">
        <f t="shared" si="12"/>
        <v>0</v>
      </c>
      <c r="P38" s="29" t="str">
        <f t="shared" si="1"/>
        <v>-</v>
      </c>
      <c r="R38" s="10">
        <f t="shared" si="13"/>
        <v>113350000</v>
      </c>
      <c r="T38" s="10">
        <f t="shared" si="14"/>
        <v>113350000</v>
      </c>
      <c r="V38" s="10">
        <f t="shared" si="2"/>
        <v>0</v>
      </c>
      <c r="W38" s="10">
        <f t="shared" si="15"/>
        <v>0</v>
      </c>
      <c r="Y38" s="10">
        <f t="shared" si="3"/>
        <v>1586900</v>
      </c>
      <c r="Z38" s="10">
        <f t="shared" si="16"/>
        <v>780649.64619716746</v>
      </c>
      <c r="AB38" s="10">
        <f t="shared" si="4"/>
        <v>0</v>
      </c>
      <c r="AC38" s="10">
        <f t="shared" si="17"/>
        <v>0</v>
      </c>
      <c r="AE38" s="10">
        <f t="shared" si="5"/>
        <v>0</v>
      </c>
      <c r="AF38" s="10">
        <f t="shared" si="18"/>
        <v>0</v>
      </c>
      <c r="AH38" s="72">
        <f t="shared" si="31"/>
        <v>153899999.99999997</v>
      </c>
      <c r="AI38" s="10">
        <f t="shared" si="19"/>
        <v>75708602.02265048</v>
      </c>
      <c r="AK38" s="10"/>
      <c r="AL38" s="10"/>
      <c r="AN38" s="10"/>
      <c r="AO38" s="10"/>
      <c r="AQ38" s="10"/>
      <c r="AR38" s="10"/>
      <c r="AT38" s="7">
        <f>IF($K38&lt;=$F$15,IF($F$40&lt;&gt;"",$F$40/1000,IF(ISERROR(VLOOKUP($F$3&amp;IF($G$4&lt;&gt;"",$G$4,"")&amp;IF($F$43&lt;&gt;"","_"&amp;$F$43,""),'表3）燃料価格'!$AF$9:$AG$25,2,0)),0,VLOOKUP($I38,'表3）燃料価格'!$A$6:$U$66,VLOOKUP($F$3&amp;IF($G$4&lt;&gt;"",$G$4,"")&amp;IF($F$43&lt;&gt;"","_"&amp;$F$43,""),'表3）燃料価格'!$AF$9:$AG$25,2,0)+VLOOKUP($F$41,'表3）燃料価格'!$AF$28:$AG$29,2,0),0)*IF($F$43="需要地価格",1,$F$8/$F$141))),"")</f>
        <v>12</v>
      </c>
      <c r="AV38" s="10">
        <f t="shared" si="6"/>
        <v>764999999.99999988</v>
      </c>
      <c r="AW38" s="10">
        <f t="shared" si="7"/>
        <v>376329308.29972464</v>
      </c>
      <c r="AY38" s="7">
        <f>IF(ISERROR(IF($K38&lt;=$F$15,VLOOKUP($I38,'表4）CO2価格'!$A$7:$E$67,VLOOKUP($F$48,'表4）CO2価格'!$H$10:$I$12,2,0),0)*$F$8/1000,"")),0,IF($K38&lt;=$F$15,VLOOKUP($I38,'表4）CO2価格'!$A$7:$E$67,VLOOKUP($F$48,'表4）CO2価格'!$H$10:$I$12,2,0),0)*$F$8/1000,""))</f>
        <v>0</v>
      </c>
      <c r="BA38" s="11">
        <f t="shared" si="8"/>
        <v>0</v>
      </c>
      <c r="BB38" s="10">
        <f t="shared" si="20"/>
        <v>0</v>
      </c>
      <c r="BD38" s="10">
        <f t="shared" si="9"/>
        <v>0</v>
      </c>
      <c r="BE38" s="10">
        <f t="shared" si="21"/>
        <v>0</v>
      </c>
      <c r="BG38" s="11">
        <f t="shared" si="10"/>
        <v>0</v>
      </c>
      <c r="BH38" s="10">
        <f t="shared" si="22"/>
        <v>0</v>
      </c>
      <c r="BJ38" s="7" t="str">
        <f t="shared" si="23"/>
        <v/>
      </c>
      <c r="BK38" s="158" t="str">
        <f t="shared" si="24"/>
        <v/>
      </c>
      <c r="BL38" s="158" t="str">
        <f t="shared" si="25"/>
        <v/>
      </c>
      <c r="BM38" s="10"/>
      <c r="BN38" s="10" t="str">
        <f t="shared" si="26"/>
        <v/>
      </c>
      <c r="BO38" s="10" t="str">
        <f t="shared" si="27"/>
        <v/>
      </c>
      <c r="BQ38" s="10">
        <f t="shared" si="11"/>
        <v>36490305.599999994</v>
      </c>
      <c r="BR38" s="10">
        <f t="shared" si="28"/>
        <v>17950812.373978522</v>
      </c>
    </row>
    <row r="39" spans="3:70" x14ac:dyDescent="0.15">
      <c r="I39" s="38">
        <f t="shared" si="29"/>
        <v>2044</v>
      </c>
      <c r="J39" s="39"/>
      <c r="K39" s="39">
        <f t="shared" si="30"/>
        <v>25</v>
      </c>
      <c r="L39" s="39"/>
      <c r="M39" s="40">
        <f t="shared" si="0"/>
        <v>0.47760556926165965</v>
      </c>
      <c r="N39" s="39"/>
      <c r="O39" s="72">
        <f t="shared" si="12"/>
        <v>0</v>
      </c>
      <c r="P39" s="41" t="str">
        <f t="shared" si="1"/>
        <v>-</v>
      </c>
      <c r="Q39" s="39"/>
      <c r="R39" s="72">
        <f t="shared" si="13"/>
        <v>113350000</v>
      </c>
      <c r="S39" s="39"/>
      <c r="T39" s="72">
        <f t="shared" si="14"/>
        <v>113350000</v>
      </c>
      <c r="U39" s="39"/>
      <c r="V39" s="72">
        <f t="shared" si="2"/>
        <v>0</v>
      </c>
      <c r="W39" s="72">
        <f t="shared" si="15"/>
        <v>0</v>
      </c>
      <c r="X39" s="39"/>
      <c r="Y39" s="72">
        <f t="shared" si="3"/>
        <v>1586900</v>
      </c>
      <c r="Z39" s="72">
        <f t="shared" si="16"/>
        <v>757912.27786132775</v>
      </c>
      <c r="AA39" s="39"/>
      <c r="AB39" s="72">
        <f t="shared" si="4"/>
        <v>0</v>
      </c>
      <c r="AC39" s="72">
        <f t="shared" si="17"/>
        <v>0</v>
      </c>
      <c r="AD39" s="39"/>
      <c r="AE39" s="72">
        <f t="shared" si="5"/>
        <v>0</v>
      </c>
      <c r="AF39" s="72">
        <f t="shared" si="18"/>
        <v>0</v>
      </c>
      <c r="AG39" s="39"/>
      <c r="AH39" s="72">
        <f t="shared" si="31"/>
        <v>153899999.99999997</v>
      </c>
      <c r="AI39" s="72">
        <f t="shared" si="19"/>
        <v>73503497.109369412</v>
      </c>
      <c r="AJ39" s="39"/>
      <c r="AK39" s="72"/>
      <c r="AL39" s="72"/>
      <c r="AM39" s="39"/>
      <c r="AN39" s="72"/>
      <c r="AO39" s="72"/>
      <c r="AP39" s="39"/>
      <c r="AQ39" s="72"/>
      <c r="AR39" s="72"/>
      <c r="AS39" s="39"/>
      <c r="AT39" s="40">
        <f>IF($K39&lt;=$F$15,IF($F$40&lt;&gt;"",$F$40/1000,IF(ISERROR(VLOOKUP($F$3&amp;IF($G$4&lt;&gt;"",$G$4,"")&amp;IF($F$43&lt;&gt;"","_"&amp;$F$43,""),'表3）燃料価格'!$AF$9:$AG$25,2,0)),0,VLOOKUP($I39,'表3）燃料価格'!$A$6:$U$66,VLOOKUP($F$3&amp;IF($G$4&lt;&gt;"",$G$4,"")&amp;IF($F$43&lt;&gt;"","_"&amp;$F$43,""),'表3）燃料価格'!$AF$9:$AG$25,2,0)+VLOOKUP($F$41,'表3）燃料価格'!$AF$28:$AG$29,2,0),0)*IF($F$43="需要地価格",1,$F$8/$F$141))),"")</f>
        <v>12</v>
      </c>
      <c r="AU39" s="39"/>
      <c r="AV39" s="72">
        <f t="shared" si="6"/>
        <v>764999999.99999988</v>
      </c>
      <c r="AW39" s="72">
        <f t="shared" si="7"/>
        <v>365368260.48516959</v>
      </c>
      <c r="AX39" s="39"/>
      <c r="AY39" s="40">
        <f>IF(ISERROR(IF($K39&lt;=$F$15,VLOOKUP($I39,'表4）CO2価格'!$A$7:$E$67,VLOOKUP($F$48,'表4）CO2価格'!$H$10:$I$12,2,0),0)*$F$8/1000,"")),0,IF($K39&lt;=$F$15,VLOOKUP($I39,'表4）CO2価格'!$A$7:$E$67,VLOOKUP($F$48,'表4）CO2価格'!$H$10:$I$12,2,0),0)*$F$8/1000,""))</f>
        <v>0</v>
      </c>
      <c r="AZ39" s="39"/>
      <c r="BA39" s="42">
        <f t="shared" si="8"/>
        <v>0</v>
      </c>
      <c r="BB39" s="72">
        <f t="shared" si="20"/>
        <v>0</v>
      </c>
      <c r="BC39" s="39"/>
      <c r="BD39" s="72">
        <f t="shared" si="9"/>
        <v>0</v>
      </c>
      <c r="BE39" s="72">
        <f t="shared" si="21"/>
        <v>0</v>
      </c>
      <c r="BF39" s="39"/>
      <c r="BG39" s="42">
        <f t="shared" si="10"/>
        <v>0</v>
      </c>
      <c r="BH39" s="72">
        <f t="shared" si="22"/>
        <v>0</v>
      </c>
      <c r="BI39" s="39"/>
      <c r="BJ39" s="40" t="str">
        <f t="shared" si="23"/>
        <v/>
      </c>
      <c r="BK39" s="157" t="str">
        <f t="shared" si="24"/>
        <v/>
      </c>
      <c r="BL39" s="157" t="str">
        <f t="shared" si="25"/>
        <v/>
      </c>
      <c r="BM39" s="72"/>
      <c r="BN39" s="72" t="str">
        <f t="shared" si="26"/>
        <v/>
      </c>
      <c r="BO39" s="72" t="str">
        <f t="shared" si="27"/>
        <v/>
      </c>
      <c r="BP39" s="39"/>
      <c r="BQ39" s="72">
        <f t="shared" si="11"/>
        <v>36490305.599999994</v>
      </c>
      <c r="BR39" s="72">
        <f t="shared" si="28"/>
        <v>17427973.178619925</v>
      </c>
    </row>
    <row r="40" spans="3:70" x14ac:dyDescent="0.15">
      <c r="D40" s="84" t="s">
        <v>124</v>
      </c>
      <c r="F40" s="482">
        <v>12000</v>
      </c>
      <c r="G40" s="160" t="s">
        <v>571</v>
      </c>
      <c r="I40" s="322">
        <f t="shared" si="29"/>
        <v>2045</v>
      </c>
      <c r="K40" s="71">
        <f t="shared" si="30"/>
        <v>26</v>
      </c>
      <c r="M40" s="7">
        <f t="shared" si="0"/>
        <v>0.46369472743850448</v>
      </c>
      <c r="O40" s="10">
        <f t="shared" si="12"/>
        <v>0</v>
      </c>
      <c r="P40" s="29" t="str">
        <f t="shared" si="1"/>
        <v>-</v>
      </c>
      <c r="R40" s="10">
        <f t="shared" si="13"/>
        <v>113350000</v>
      </c>
      <c r="T40" s="10">
        <f t="shared" si="14"/>
        <v>113350000</v>
      </c>
      <c r="V40" s="10">
        <f t="shared" si="2"/>
        <v>0</v>
      </c>
      <c r="W40" s="10">
        <f t="shared" si="15"/>
        <v>0</v>
      </c>
      <c r="Y40" s="10">
        <f t="shared" si="3"/>
        <v>1586900</v>
      </c>
      <c r="Z40" s="10">
        <f t="shared" si="16"/>
        <v>735837.16297216271</v>
      </c>
      <c r="AB40" s="10">
        <f t="shared" si="4"/>
        <v>0</v>
      </c>
      <c r="AC40" s="10">
        <f t="shared" si="17"/>
        <v>0</v>
      </c>
      <c r="AE40" s="10">
        <f t="shared" si="5"/>
        <v>0</v>
      </c>
      <c r="AF40" s="10">
        <f t="shared" si="18"/>
        <v>0</v>
      </c>
      <c r="AH40" s="72">
        <f t="shared" si="31"/>
        <v>153899999.99999997</v>
      </c>
      <c r="AI40" s="10">
        <f t="shared" si="19"/>
        <v>71362618.552785829</v>
      </c>
      <c r="AK40" s="10"/>
      <c r="AL40" s="10"/>
      <c r="AN40" s="10"/>
      <c r="AO40" s="10"/>
      <c r="AQ40" s="10"/>
      <c r="AR40" s="10"/>
      <c r="AT40" s="7">
        <f>IF($K40&lt;=$F$15,IF($F$40&lt;&gt;"",$F$40/1000,IF(ISERROR(VLOOKUP($F$3&amp;IF($G$4&lt;&gt;"",$G$4,"")&amp;IF($F$43&lt;&gt;"","_"&amp;$F$43,""),'表3）燃料価格'!$AF$9:$AG$25,2,0)),0,VLOOKUP($I40,'表3）燃料価格'!$A$6:$U$66,VLOOKUP($F$3&amp;IF($G$4&lt;&gt;"",$G$4,"")&amp;IF($F$43&lt;&gt;"","_"&amp;$F$43,""),'表3）燃料価格'!$AF$9:$AG$25,2,0)+VLOOKUP($F$41,'表3）燃料価格'!$AF$28:$AG$29,2,0),0)*IF($F$43="需要地価格",1,$F$8/$F$141))),"")</f>
        <v>12</v>
      </c>
      <c r="AV40" s="10">
        <f t="shared" si="6"/>
        <v>764999999.99999988</v>
      </c>
      <c r="AW40" s="10">
        <f t="shared" si="7"/>
        <v>354726466.49045587</v>
      </c>
      <c r="AY40" s="7">
        <f>IF(ISERROR(IF($K40&lt;=$F$15,VLOOKUP($I40,'表4）CO2価格'!$A$7:$E$67,VLOOKUP($F$48,'表4）CO2価格'!$H$10:$I$12,2,0),0)*$F$8/1000,"")),0,IF($K40&lt;=$F$15,VLOOKUP($I40,'表4）CO2価格'!$A$7:$E$67,VLOOKUP($F$48,'表4）CO2価格'!$H$10:$I$12,2,0),0)*$F$8/1000,""))</f>
        <v>0</v>
      </c>
      <c r="BA40" s="11">
        <f t="shared" si="8"/>
        <v>0</v>
      </c>
      <c r="BB40" s="10">
        <f t="shared" si="20"/>
        <v>0</v>
      </c>
      <c r="BD40" s="10">
        <f t="shared" si="9"/>
        <v>0</v>
      </c>
      <c r="BE40" s="10">
        <f t="shared" si="21"/>
        <v>0</v>
      </c>
      <c r="BG40" s="11">
        <f t="shared" si="10"/>
        <v>0</v>
      </c>
      <c r="BH40" s="10">
        <f t="shared" si="22"/>
        <v>0</v>
      </c>
      <c r="BJ40" s="7" t="str">
        <f t="shared" si="23"/>
        <v/>
      </c>
      <c r="BK40" s="158" t="str">
        <f t="shared" si="24"/>
        <v/>
      </c>
      <c r="BL40" s="158" t="str">
        <f t="shared" si="25"/>
        <v/>
      </c>
      <c r="BM40" s="10"/>
      <c r="BN40" s="10" t="str">
        <f t="shared" si="26"/>
        <v/>
      </c>
      <c r="BO40" s="10" t="str">
        <f t="shared" si="27"/>
        <v/>
      </c>
      <c r="BQ40" s="10">
        <f t="shared" si="11"/>
        <v>36490305.599999994</v>
      </c>
      <c r="BR40" s="10">
        <f t="shared" si="28"/>
        <v>16920362.309339732</v>
      </c>
    </row>
    <row r="41" spans="3:70" x14ac:dyDescent="0.15">
      <c r="D41" s="84" t="s">
        <v>572</v>
      </c>
      <c r="F41" s="474"/>
      <c r="I41" s="38">
        <f t="shared" si="29"/>
        <v>2046</v>
      </c>
      <c r="J41" s="39"/>
      <c r="K41" s="39">
        <f t="shared" si="30"/>
        <v>27</v>
      </c>
      <c r="L41" s="39"/>
      <c r="M41" s="40">
        <f t="shared" si="0"/>
        <v>0.45018905576553836</v>
      </c>
      <c r="N41" s="39"/>
      <c r="O41" s="72">
        <f t="shared" si="12"/>
        <v>0</v>
      </c>
      <c r="P41" s="41" t="str">
        <f t="shared" si="1"/>
        <v>-</v>
      </c>
      <c r="Q41" s="39"/>
      <c r="R41" s="72">
        <f t="shared" si="13"/>
        <v>113350000</v>
      </c>
      <c r="S41" s="39"/>
      <c r="T41" s="72">
        <f t="shared" si="14"/>
        <v>113350000</v>
      </c>
      <c r="U41" s="39"/>
      <c r="V41" s="72">
        <f t="shared" si="2"/>
        <v>0</v>
      </c>
      <c r="W41" s="72">
        <f t="shared" si="15"/>
        <v>0</v>
      </c>
      <c r="X41" s="39"/>
      <c r="Y41" s="72">
        <f t="shared" si="3"/>
        <v>1586900</v>
      </c>
      <c r="Z41" s="72">
        <f t="shared" si="16"/>
        <v>714405.0125943328</v>
      </c>
      <c r="AA41" s="39"/>
      <c r="AB41" s="72">
        <f t="shared" si="4"/>
        <v>0</v>
      </c>
      <c r="AC41" s="72">
        <f t="shared" si="17"/>
        <v>0</v>
      </c>
      <c r="AD41" s="39"/>
      <c r="AE41" s="72">
        <f t="shared" si="5"/>
        <v>0</v>
      </c>
      <c r="AF41" s="72">
        <f t="shared" si="18"/>
        <v>0</v>
      </c>
      <c r="AG41" s="39"/>
      <c r="AH41" s="72">
        <f t="shared" si="31"/>
        <v>153899999.99999997</v>
      </c>
      <c r="AI41" s="72">
        <f t="shared" si="19"/>
        <v>69284095.682316333</v>
      </c>
      <c r="AJ41" s="39"/>
      <c r="AK41" s="72"/>
      <c r="AL41" s="72"/>
      <c r="AM41" s="39"/>
      <c r="AN41" s="72"/>
      <c r="AO41" s="72"/>
      <c r="AP41" s="39"/>
      <c r="AQ41" s="72"/>
      <c r="AR41" s="72"/>
      <c r="AS41" s="39"/>
      <c r="AT41" s="40">
        <f>IF($K41&lt;=$F$15,IF($F$40&lt;&gt;"",$F$40/1000,IF(ISERROR(VLOOKUP($F$3&amp;IF($G$4&lt;&gt;"",$G$4,"")&amp;IF($F$43&lt;&gt;"","_"&amp;$F$43,""),'表3）燃料価格'!$AF$9:$AG$25,2,0)),0,VLOOKUP($I41,'表3）燃料価格'!$A$6:$U$66,VLOOKUP($F$3&amp;IF($G$4&lt;&gt;"",$G$4,"")&amp;IF($F$43&lt;&gt;"","_"&amp;$F$43,""),'表3）燃料価格'!$AF$9:$AG$25,2,0)+VLOOKUP($F$41,'表3）燃料価格'!$AF$28:$AG$29,2,0),0)*IF($F$43="需要地価格",1,$F$8/$F$141))),"")</f>
        <v>12</v>
      </c>
      <c r="AU41" s="39"/>
      <c r="AV41" s="72">
        <f t="shared" si="6"/>
        <v>764999999.99999988</v>
      </c>
      <c r="AW41" s="72">
        <f t="shared" si="7"/>
        <v>344394627.66063678</v>
      </c>
      <c r="AX41" s="39"/>
      <c r="AY41" s="40">
        <f>IF(ISERROR(IF($K41&lt;=$F$15,VLOOKUP($I41,'表4）CO2価格'!$A$7:$E$67,VLOOKUP($F$48,'表4）CO2価格'!$H$10:$I$12,2,0),0)*$F$8/1000,"")),0,IF($K41&lt;=$F$15,VLOOKUP($I41,'表4）CO2価格'!$A$7:$E$67,VLOOKUP($F$48,'表4）CO2価格'!$H$10:$I$12,2,0),0)*$F$8/1000,""))</f>
        <v>0</v>
      </c>
      <c r="AZ41" s="39"/>
      <c r="BA41" s="42">
        <f t="shared" si="8"/>
        <v>0</v>
      </c>
      <c r="BB41" s="72">
        <f t="shared" si="20"/>
        <v>0</v>
      </c>
      <c r="BC41" s="39"/>
      <c r="BD41" s="72">
        <f t="shared" si="9"/>
        <v>0</v>
      </c>
      <c r="BE41" s="72">
        <f t="shared" si="21"/>
        <v>0</v>
      </c>
      <c r="BF41" s="39"/>
      <c r="BG41" s="42">
        <f t="shared" si="10"/>
        <v>0</v>
      </c>
      <c r="BH41" s="72">
        <f t="shared" si="22"/>
        <v>0</v>
      </c>
      <c r="BI41" s="39"/>
      <c r="BJ41" s="40" t="str">
        <f t="shared" si="23"/>
        <v/>
      </c>
      <c r="BK41" s="157" t="str">
        <f t="shared" si="24"/>
        <v/>
      </c>
      <c r="BL41" s="157" t="str">
        <f t="shared" si="25"/>
        <v/>
      </c>
      <c r="BM41" s="72"/>
      <c r="BN41" s="72" t="str">
        <f t="shared" si="26"/>
        <v/>
      </c>
      <c r="BO41" s="72" t="str">
        <f t="shared" si="27"/>
        <v/>
      </c>
      <c r="BP41" s="39"/>
      <c r="BQ41" s="72">
        <f t="shared" si="11"/>
        <v>36490305.599999994</v>
      </c>
      <c r="BR41" s="72">
        <f t="shared" si="28"/>
        <v>16427536.222659934</v>
      </c>
    </row>
    <row r="42" spans="3:70" x14ac:dyDescent="0.15">
      <c r="D42" s="84" t="s">
        <v>573</v>
      </c>
      <c r="F42" s="481">
        <v>750</v>
      </c>
      <c r="G42" s="84" t="s">
        <v>646</v>
      </c>
      <c r="I42" s="322">
        <f t="shared" si="29"/>
        <v>2047</v>
      </c>
      <c r="K42" s="71">
        <f t="shared" si="30"/>
        <v>28</v>
      </c>
      <c r="M42" s="7">
        <f t="shared" si="0"/>
        <v>0.4370767531704256</v>
      </c>
      <c r="O42" s="10">
        <f t="shared" si="12"/>
        <v>0</v>
      </c>
      <c r="P42" s="29" t="str">
        <f t="shared" si="1"/>
        <v>-</v>
      </c>
      <c r="R42" s="10">
        <f t="shared" si="13"/>
        <v>113350000</v>
      </c>
      <c r="T42" s="10">
        <f t="shared" si="14"/>
        <v>113350000</v>
      </c>
      <c r="V42" s="10">
        <f t="shared" si="2"/>
        <v>0</v>
      </c>
      <c r="W42" s="10">
        <f t="shared" si="15"/>
        <v>0</v>
      </c>
      <c r="Y42" s="10">
        <f t="shared" si="3"/>
        <v>1586900</v>
      </c>
      <c r="Z42" s="10">
        <f t="shared" si="16"/>
        <v>693597.09960614843</v>
      </c>
      <c r="AB42" s="10">
        <f t="shared" si="4"/>
        <v>0</v>
      </c>
      <c r="AC42" s="10">
        <f t="shared" si="17"/>
        <v>0</v>
      </c>
      <c r="AE42" s="10">
        <f t="shared" si="5"/>
        <v>0</v>
      </c>
      <c r="AF42" s="10">
        <f t="shared" si="18"/>
        <v>0</v>
      </c>
      <c r="AH42" s="72">
        <f t="shared" si="31"/>
        <v>153899999.99999997</v>
      </c>
      <c r="AI42" s="10">
        <f t="shared" si="19"/>
        <v>67266112.312928483</v>
      </c>
      <c r="AK42" s="10"/>
      <c r="AL42" s="10"/>
      <c r="AN42" s="10"/>
      <c r="AO42" s="10"/>
      <c r="AQ42" s="10"/>
      <c r="AR42" s="10"/>
      <c r="AT42" s="7">
        <f>IF($K42&lt;=$F$15,IF($F$40&lt;&gt;"",$F$40/1000,IF(ISERROR(VLOOKUP($F$3&amp;IF($G$4&lt;&gt;"",$G$4,"")&amp;IF($F$43&lt;&gt;"","_"&amp;$F$43,""),'表3）燃料価格'!$AF$9:$AG$25,2,0)),0,VLOOKUP($I42,'表3）燃料価格'!$A$6:$U$66,VLOOKUP($F$3&amp;IF($G$4&lt;&gt;"",$G$4,"")&amp;IF($F$43&lt;&gt;"","_"&amp;$F$43,""),'表3）燃料価格'!$AF$9:$AG$25,2,0)+VLOOKUP($F$41,'表3）燃料価格'!$AF$28:$AG$29,2,0),0)*IF($F$43="需要地価格",1,$F$8/$F$141))),"")</f>
        <v>12</v>
      </c>
      <c r="AV42" s="10">
        <f t="shared" si="6"/>
        <v>764999999.99999988</v>
      </c>
      <c r="AW42" s="10">
        <f t="shared" si="7"/>
        <v>334363716.17537552</v>
      </c>
      <c r="AY42" s="7">
        <f>IF(ISERROR(IF($K42&lt;=$F$15,VLOOKUP($I42,'表4）CO2価格'!$A$7:$E$67,VLOOKUP($F$48,'表4）CO2価格'!$H$10:$I$12,2,0),0)*$F$8/1000,"")),0,IF($K42&lt;=$F$15,VLOOKUP($I42,'表4）CO2価格'!$A$7:$E$67,VLOOKUP($F$48,'表4）CO2価格'!$H$10:$I$12,2,0),0)*$F$8/1000,""))</f>
        <v>0</v>
      </c>
      <c r="BA42" s="11">
        <f t="shared" si="8"/>
        <v>0</v>
      </c>
      <c r="BB42" s="10">
        <f t="shared" si="20"/>
        <v>0</v>
      </c>
      <c r="BD42" s="10">
        <f t="shared" si="9"/>
        <v>0</v>
      </c>
      <c r="BE42" s="10">
        <f t="shared" si="21"/>
        <v>0</v>
      </c>
      <c r="BG42" s="11">
        <f t="shared" si="10"/>
        <v>0</v>
      </c>
      <c r="BH42" s="10">
        <f t="shared" si="22"/>
        <v>0</v>
      </c>
      <c r="BJ42" s="7" t="str">
        <f t="shared" si="23"/>
        <v/>
      </c>
      <c r="BK42" s="158" t="str">
        <f t="shared" si="24"/>
        <v/>
      </c>
      <c r="BL42" s="158" t="str">
        <f t="shared" si="25"/>
        <v/>
      </c>
      <c r="BM42" s="10"/>
      <c r="BN42" s="10" t="str">
        <f t="shared" si="26"/>
        <v/>
      </c>
      <c r="BO42" s="10" t="str">
        <f t="shared" si="27"/>
        <v/>
      </c>
      <c r="BQ42" s="10">
        <f t="shared" si="11"/>
        <v>36490305.599999994</v>
      </c>
      <c r="BR42" s="10">
        <f t="shared" si="28"/>
        <v>15949064.293844597</v>
      </c>
    </row>
    <row r="43" spans="3:70" x14ac:dyDescent="0.15">
      <c r="D43" s="160" t="s">
        <v>126</v>
      </c>
      <c r="F43" s="474"/>
      <c r="I43" s="38">
        <f t="shared" si="29"/>
        <v>2048</v>
      </c>
      <c r="J43" s="39"/>
      <c r="K43" s="39">
        <f t="shared" si="30"/>
        <v>29</v>
      </c>
      <c r="L43" s="39"/>
      <c r="M43" s="40">
        <f t="shared" si="0"/>
        <v>0.42434636230138412</v>
      </c>
      <c r="N43" s="39"/>
      <c r="O43" s="72">
        <f t="shared" si="12"/>
        <v>0</v>
      </c>
      <c r="P43" s="41" t="str">
        <f t="shared" si="1"/>
        <v>-</v>
      </c>
      <c r="Q43" s="39"/>
      <c r="R43" s="72">
        <f t="shared" si="13"/>
        <v>113350000</v>
      </c>
      <c r="S43" s="39"/>
      <c r="T43" s="72">
        <f t="shared" si="14"/>
        <v>113350000</v>
      </c>
      <c r="U43" s="39"/>
      <c r="V43" s="72">
        <f t="shared" si="2"/>
        <v>0</v>
      </c>
      <c r="W43" s="72">
        <f t="shared" si="15"/>
        <v>0</v>
      </c>
      <c r="X43" s="39"/>
      <c r="Y43" s="72">
        <f t="shared" si="3"/>
        <v>1586900</v>
      </c>
      <c r="Z43" s="72">
        <f t="shared" si="16"/>
        <v>673395.24233606644</v>
      </c>
      <c r="AA43" s="39"/>
      <c r="AB43" s="72">
        <f t="shared" si="4"/>
        <v>0</v>
      </c>
      <c r="AC43" s="72">
        <f t="shared" si="17"/>
        <v>0</v>
      </c>
      <c r="AD43" s="39"/>
      <c r="AE43" s="72">
        <f t="shared" si="5"/>
        <v>0</v>
      </c>
      <c r="AF43" s="72">
        <f t="shared" si="18"/>
        <v>0</v>
      </c>
      <c r="AG43" s="39"/>
      <c r="AH43" s="72">
        <f t="shared" si="31"/>
        <v>153899999.99999997</v>
      </c>
      <c r="AI43" s="72">
        <f t="shared" si="19"/>
        <v>65306905.158183001</v>
      </c>
      <c r="AJ43" s="39"/>
      <c r="AK43" s="72"/>
      <c r="AL43" s="72"/>
      <c r="AM43" s="39"/>
      <c r="AN43" s="72"/>
      <c r="AO43" s="72"/>
      <c r="AP43" s="39"/>
      <c r="AQ43" s="72"/>
      <c r="AR43" s="72"/>
      <c r="AS43" s="39"/>
      <c r="AT43" s="40">
        <f>IF($K43&lt;=$F$15,IF($F$40&lt;&gt;"",$F$40/1000,IF(ISERROR(VLOOKUP($F$3&amp;IF($G$4&lt;&gt;"",$G$4,"")&amp;IF($F$43&lt;&gt;"","_"&amp;$F$43,""),'表3）燃料価格'!$AF$9:$AG$25,2,0)),0,VLOOKUP($I43,'表3）燃料価格'!$A$6:$U$66,VLOOKUP($F$3&amp;IF($G$4&lt;&gt;"",$G$4,"")&amp;IF($F$43&lt;&gt;"","_"&amp;$F$43,""),'表3）燃料価格'!$AF$9:$AG$25,2,0)+VLOOKUP($F$41,'表3）燃料価格'!$AF$28:$AG$29,2,0),0)*IF($F$43="需要地価格",1,$F$8/$F$141))),"")</f>
        <v>12</v>
      </c>
      <c r="AU43" s="39"/>
      <c r="AV43" s="72">
        <f t="shared" si="6"/>
        <v>764999999.99999988</v>
      </c>
      <c r="AW43" s="72">
        <f t="shared" si="7"/>
        <v>324624967.16055882</v>
      </c>
      <c r="AX43" s="39"/>
      <c r="AY43" s="40">
        <f>IF(ISERROR(IF($K43&lt;=$F$15,VLOOKUP($I43,'表4）CO2価格'!$A$7:$E$67,VLOOKUP($F$48,'表4）CO2価格'!$H$10:$I$12,2,0),0)*$F$8/1000,"")),0,IF($K43&lt;=$F$15,VLOOKUP($I43,'表4）CO2価格'!$A$7:$E$67,VLOOKUP($F$48,'表4）CO2価格'!$H$10:$I$12,2,0),0)*$F$8/1000,""))</f>
        <v>0</v>
      </c>
      <c r="AZ43" s="39"/>
      <c r="BA43" s="42">
        <f t="shared" si="8"/>
        <v>0</v>
      </c>
      <c r="BB43" s="72">
        <f t="shared" si="20"/>
        <v>0</v>
      </c>
      <c r="BC43" s="39"/>
      <c r="BD43" s="72">
        <f t="shared" si="9"/>
        <v>0</v>
      </c>
      <c r="BE43" s="72">
        <f t="shared" si="21"/>
        <v>0</v>
      </c>
      <c r="BF43" s="39"/>
      <c r="BG43" s="42">
        <f t="shared" si="10"/>
        <v>0</v>
      </c>
      <c r="BH43" s="72">
        <f t="shared" si="22"/>
        <v>0</v>
      </c>
      <c r="BI43" s="39"/>
      <c r="BJ43" s="40" t="str">
        <f t="shared" si="23"/>
        <v/>
      </c>
      <c r="BK43" s="157" t="str">
        <f t="shared" si="24"/>
        <v/>
      </c>
      <c r="BL43" s="157" t="str">
        <f t="shared" si="25"/>
        <v/>
      </c>
      <c r="BM43" s="72"/>
      <c r="BN43" s="72" t="str">
        <f t="shared" si="26"/>
        <v/>
      </c>
      <c r="BO43" s="72" t="str">
        <f t="shared" si="27"/>
        <v/>
      </c>
      <c r="BP43" s="39"/>
      <c r="BQ43" s="72">
        <f t="shared" si="11"/>
        <v>36490305.599999994</v>
      </c>
      <c r="BR43" s="72">
        <f t="shared" si="28"/>
        <v>15484528.440625824</v>
      </c>
    </row>
    <row r="44" spans="3:70" x14ac:dyDescent="0.15">
      <c r="I44" s="322">
        <f t="shared" si="29"/>
        <v>2049</v>
      </c>
      <c r="K44" s="71">
        <f t="shared" si="30"/>
        <v>30</v>
      </c>
      <c r="M44" s="7">
        <f t="shared" si="0"/>
        <v>0.41198675951590691</v>
      </c>
      <c r="O44" s="10">
        <f t="shared" si="12"/>
        <v>0</v>
      </c>
      <c r="P44" s="29" t="str">
        <f t="shared" si="1"/>
        <v>-</v>
      </c>
      <c r="R44" s="10">
        <f t="shared" si="13"/>
        <v>113350000</v>
      </c>
      <c r="T44" s="10">
        <f t="shared" si="14"/>
        <v>113350000</v>
      </c>
      <c r="V44" s="10">
        <f t="shared" si="2"/>
        <v>0</v>
      </c>
      <c r="W44" s="10">
        <f t="shared" si="15"/>
        <v>0</v>
      </c>
      <c r="Y44" s="10">
        <f t="shared" si="3"/>
        <v>1586900</v>
      </c>
      <c r="Z44" s="10">
        <f t="shared" si="16"/>
        <v>653781.78867579263</v>
      </c>
      <c r="AB44" s="10">
        <f t="shared" si="4"/>
        <v>0</v>
      </c>
      <c r="AC44" s="10">
        <f t="shared" si="17"/>
        <v>0</v>
      </c>
      <c r="AE44" s="10">
        <f t="shared" si="5"/>
        <v>0</v>
      </c>
      <c r="AF44" s="10">
        <f t="shared" si="18"/>
        <v>0</v>
      </c>
      <c r="AH44" s="72">
        <f t="shared" si="31"/>
        <v>153899999.99999997</v>
      </c>
      <c r="AI44" s="10">
        <f t="shared" si="19"/>
        <v>63404762.289498061</v>
      </c>
      <c r="AK44" s="10"/>
      <c r="AL44" s="10"/>
      <c r="AN44" s="10"/>
      <c r="AO44" s="10"/>
      <c r="AQ44" s="10"/>
      <c r="AR44" s="10"/>
      <c r="AT44" s="7">
        <f>IF($K44&lt;=$F$15,IF($F$40&lt;&gt;"",$F$40/1000,IF(ISERROR(VLOOKUP($F$3&amp;IF($G$4&lt;&gt;"",$G$4,"")&amp;IF($F$43&lt;&gt;"","_"&amp;$F$43,""),'表3）燃料価格'!$AF$9:$AG$25,2,0)),0,VLOOKUP($I44,'表3）燃料価格'!$A$6:$U$66,VLOOKUP($F$3&amp;IF($G$4&lt;&gt;"",$G$4,"")&amp;IF($F$43&lt;&gt;"","_"&amp;$F$43,""),'表3）燃料価格'!$AF$9:$AG$25,2,0)+VLOOKUP($F$41,'表3）燃料価格'!$AF$28:$AG$29,2,0),0)*IF($F$43="需要地価格",1,$F$8/$F$141))),"")</f>
        <v>12</v>
      </c>
      <c r="AV44" s="10">
        <f t="shared" si="6"/>
        <v>764999999.99999988</v>
      </c>
      <c r="AW44" s="10">
        <f t="shared" si="7"/>
        <v>315169871.02966875</v>
      </c>
      <c r="AY44" s="7">
        <f>IF(ISERROR(IF($K44&lt;=$F$15,VLOOKUP($I44,'表4）CO2価格'!$A$7:$E$67,VLOOKUP($F$48,'表4）CO2価格'!$H$10:$I$12,2,0),0)*$F$8/1000,"")),0,IF($K44&lt;=$F$15,VLOOKUP($I44,'表4）CO2価格'!$A$7:$E$67,VLOOKUP($F$48,'表4）CO2価格'!$H$10:$I$12,2,0),0)*$F$8/1000,""))</f>
        <v>0</v>
      </c>
      <c r="BA44" s="11">
        <f t="shared" si="8"/>
        <v>0</v>
      </c>
      <c r="BB44" s="10">
        <f t="shared" si="20"/>
        <v>0</v>
      </c>
      <c r="BD44" s="10">
        <f t="shared" si="9"/>
        <v>0</v>
      </c>
      <c r="BE44" s="10">
        <f t="shared" si="21"/>
        <v>0</v>
      </c>
      <c r="BG44" s="11">
        <f t="shared" si="10"/>
        <v>0</v>
      </c>
      <c r="BH44" s="10">
        <f t="shared" si="22"/>
        <v>0</v>
      </c>
      <c r="BJ44" s="7" t="str">
        <f t="shared" si="23"/>
        <v/>
      </c>
      <c r="BK44" s="158" t="str">
        <f t="shared" si="24"/>
        <v/>
      </c>
      <c r="BL44" s="158" t="str">
        <f t="shared" si="25"/>
        <v/>
      </c>
      <c r="BM44" s="10"/>
      <c r="BN44" s="10" t="str">
        <f t="shared" si="26"/>
        <v/>
      </c>
      <c r="BO44" s="10" t="str">
        <f t="shared" si="27"/>
        <v/>
      </c>
      <c r="BQ44" s="10">
        <f t="shared" si="11"/>
        <v>36490305.599999994</v>
      </c>
      <c r="BR44" s="10">
        <f t="shared" si="28"/>
        <v>15033522.757889148</v>
      </c>
    </row>
    <row r="45" spans="3:70" x14ac:dyDescent="0.15">
      <c r="C45" s="4" t="s">
        <v>575</v>
      </c>
      <c r="D45" s="100"/>
      <c r="E45" s="100"/>
      <c r="F45" s="4"/>
      <c r="G45" s="100"/>
      <c r="I45" s="38">
        <f t="shared" si="29"/>
        <v>2050</v>
      </c>
      <c r="J45" s="39"/>
      <c r="K45" s="39">
        <f t="shared" si="30"/>
        <v>31</v>
      </c>
      <c r="L45" s="39"/>
      <c r="M45" s="40">
        <f t="shared" si="0"/>
        <v>0.39998714516107459</v>
      </c>
      <c r="N45" s="39"/>
      <c r="O45" s="72">
        <f t="shared" si="12"/>
        <v>0</v>
      </c>
      <c r="P45" s="41" t="str">
        <f t="shared" si="1"/>
        <v>-</v>
      </c>
      <c r="Q45" s="39"/>
      <c r="R45" s="72">
        <f t="shared" si="13"/>
        <v>113350000</v>
      </c>
      <c r="S45" s="39"/>
      <c r="T45" s="72">
        <f t="shared" si="14"/>
        <v>113350000</v>
      </c>
      <c r="U45" s="39"/>
      <c r="V45" s="72">
        <f t="shared" si="2"/>
        <v>0</v>
      </c>
      <c r="W45" s="72">
        <f t="shared" si="15"/>
        <v>0</v>
      </c>
      <c r="X45" s="39"/>
      <c r="Y45" s="72">
        <f t="shared" si="3"/>
        <v>1586900</v>
      </c>
      <c r="Z45" s="72">
        <f t="shared" si="16"/>
        <v>634739.60065610928</v>
      </c>
      <c r="AA45" s="39"/>
      <c r="AB45" s="72">
        <f t="shared" si="4"/>
        <v>0</v>
      </c>
      <c r="AC45" s="72">
        <f t="shared" si="17"/>
        <v>0</v>
      </c>
      <c r="AD45" s="39"/>
      <c r="AE45" s="72">
        <f t="shared" si="5"/>
        <v>0</v>
      </c>
      <c r="AF45" s="72">
        <f t="shared" si="18"/>
        <v>0</v>
      </c>
      <c r="AG45" s="39"/>
      <c r="AH45" s="72">
        <f t="shared" si="31"/>
        <v>153899999.99999997</v>
      </c>
      <c r="AI45" s="72">
        <f t="shared" si="19"/>
        <v>61558021.640289366</v>
      </c>
      <c r="AJ45" s="39"/>
      <c r="AK45" s="72"/>
      <c r="AL45" s="72"/>
      <c r="AM45" s="39"/>
      <c r="AN45" s="72"/>
      <c r="AO45" s="72"/>
      <c r="AP45" s="39"/>
      <c r="AQ45" s="72"/>
      <c r="AR45" s="72"/>
      <c r="AS45" s="39"/>
      <c r="AT45" s="40">
        <f>IF($K45&lt;=$F$15,IF($F$40&lt;&gt;"",$F$40/1000,IF(ISERROR(VLOOKUP($F$3&amp;IF($G$4&lt;&gt;"",$G$4,"")&amp;IF($F$43&lt;&gt;"","_"&amp;$F$43,""),'表3）燃料価格'!$AF$9:$AG$25,2,0)),0,VLOOKUP($I45,'表3）燃料価格'!$A$6:$U$66,VLOOKUP($F$3&amp;IF($G$4&lt;&gt;"",$G$4,"")&amp;IF($F$43&lt;&gt;"","_"&amp;$F$43,""),'表3）燃料価格'!$AF$9:$AG$25,2,0)+VLOOKUP($F$41,'表3）燃料価格'!$AF$28:$AG$29,2,0),0)*IF($F$43="需要地価格",1,$F$8/$F$141))),"")</f>
        <v>12</v>
      </c>
      <c r="AU45" s="39"/>
      <c r="AV45" s="72">
        <f t="shared" si="6"/>
        <v>764999999.99999988</v>
      </c>
      <c r="AW45" s="72">
        <f t="shared" si="7"/>
        <v>305990166.04822201</v>
      </c>
      <c r="AX45" s="39"/>
      <c r="AY45" s="40">
        <f>IF(ISERROR(IF($K45&lt;=$F$15,VLOOKUP($I45,'表4）CO2価格'!$A$7:$E$67,VLOOKUP($F$48,'表4）CO2価格'!$H$10:$I$12,2,0),0)*$F$8/1000,"")),0,IF($K45&lt;=$F$15,VLOOKUP($I45,'表4）CO2価格'!$A$7:$E$67,VLOOKUP($F$48,'表4）CO2価格'!$H$10:$I$12,2,0),0)*$F$8/1000,""))</f>
        <v>0</v>
      </c>
      <c r="AZ45" s="39"/>
      <c r="BA45" s="42">
        <f t="shared" si="8"/>
        <v>0</v>
      </c>
      <c r="BB45" s="72">
        <f t="shared" si="20"/>
        <v>0</v>
      </c>
      <c r="BC45" s="39"/>
      <c r="BD45" s="72">
        <f t="shared" si="9"/>
        <v>0</v>
      </c>
      <c r="BE45" s="72">
        <f t="shared" si="21"/>
        <v>0</v>
      </c>
      <c r="BF45" s="39"/>
      <c r="BG45" s="42">
        <f t="shared" si="10"/>
        <v>0</v>
      </c>
      <c r="BH45" s="72">
        <f t="shared" si="22"/>
        <v>0</v>
      </c>
      <c r="BI45" s="39"/>
      <c r="BJ45" s="40" t="str">
        <f t="shared" si="23"/>
        <v/>
      </c>
      <c r="BK45" s="157" t="str">
        <f t="shared" si="24"/>
        <v/>
      </c>
      <c r="BL45" s="157" t="str">
        <f t="shared" si="25"/>
        <v/>
      </c>
      <c r="BM45" s="72"/>
      <c r="BN45" s="72" t="str">
        <f t="shared" si="26"/>
        <v/>
      </c>
      <c r="BO45" s="72" t="str">
        <f t="shared" si="27"/>
        <v/>
      </c>
      <c r="BP45" s="39"/>
      <c r="BQ45" s="72">
        <f t="shared" si="11"/>
        <v>36490305.599999994</v>
      </c>
      <c r="BR45" s="72">
        <f t="shared" si="28"/>
        <v>14595653.16299917</v>
      </c>
    </row>
    <row r="46" spans="3:70" x14ac:dyDescent="0.15">
      <c r="I46" s="322">
        <f t="shared" si="29"/>
        <v>2051</v>
      </c>
      <c r="K46" s="71">
        <f t="shared" si="30"/>
        <v>32</v>
      </c>
      <c r="M46" s="7">
        <f t="shared" si="0"/>
        <v>0.38833703413696569</v>
      </c>
      <c r="O46" s="10">
        <f t="shared" si="12"/>
        <v>0</v>
      </c>
      <c r="P46" s="29" t="str">
        <f t="shared" si="1"/>
        <v>-</v>
      </c>
      <c r="R46" s="10">
        <f t="shared" si="13"/>
        <v>113350000</v>
      </c>
      <c r="T46" s="10">
        <f t="shared" si="14"/>
        <v>113350000</v>
      </c>
      <c r="V46" s="10">
        <f t="shared" si="2"/>
        <v>0</v>
      </c>
      <c r="W46" s="10">
        <f t="shared" si="15"/>
        <v>0</v>
      </c>
      <c r="Y46" s="10">
        <f t="shared" si="3"/>
        <v>1586900</v>
      </c>
      <c r="Z46" s="10">
        <f t="shared" si="16"/>
        <v>616252.03947195085</v>
      </c>
      <c r="AB46" s="10">
        <f t="shared" si="4"/>
        <v>0</v>
      </c>
      <c r="AC46" s="10">
        <f t="shared" si="17"/>
        <v>0</v>
      </c>
      <c r="AE46" s="10">
        <f t="shared" si="5"/>
        <v>0</v>
      </c>
      <c r="AF46" s="10">
        <f t="shared" si="18"/>
        <v>0</v>
      </c>
      <c r="AH46" s="72">
        <f t="shared" si="31"/>
        <v>153899999.99999997</v>
      </c>
      <c r="AI46" s="10">
        <f t="shared" si="19"/>
        <v>59765069.553679004</v>
      </c>
      <c r="AK46" s="10"/>
      <c r="AL46" s="10"/>
      <c r="AN46" s="10"/>
      <c r="AO46" s="10"/>
      <c r="AQ46" s="10"/>
      <c r="AR46" s="10"/>
      <c r="AT46" s="7">
        <f>IF($K46&lt;=$F$15,IF($F$40&lt;&gt;"",$F$40/1000,IF(ISERROR(VLOOKUP($F$3&amp;IF($G$4&lt;&gt;"",$G$4,"")&amp;IF($F$43&lt;&gt;"","_"&amp;$F$43,""),'表3）燃料価格'!$AF$9:$AG$25,2,0)),0,VLOOKUP($I46,'表3）燃料価格'!$A$6:$U$66,VLOOKUP($F$3&amp;IF($G$4&lt;&gt;"",$G$4,"")&amp;IF($F$43&lt;&gt;"","_"&amp;$F$43,""),'表3）燃料価格'!$AF$9:$AG$25,2,0)+VLOOKUP($F$41,'表3）燃料価格'!$AF$28:$AG$29,2,0),0)*IF($F$43="需要地価格",1,$F$8/$F$141))),"")</f>
        <v>12</v>
      </c>
      <c r="AV46" s="10">
        <f t="shared" si="6"/>
        <v>764999999.99999988</v>
      </c>
      <c r="AW46" s="10">
        <f t="shared" si="7"/>
        <v>297077831.1147787</v>
      </c>
      <c r="AY46" s="7">
        <f>IF(ISERROR(IF($K46&lt;=$F$15,VLOOKUP($I46,'表4）CO2価格'!$A$7:$E$67,VLOOKUP($F$48,'表4）CO2価格'!$H$10:$I$12,2,0),0)*$F$8/1000,"")),0,IF($K46&lt;=$F$15,VLOOKUP($I46,'表4）CO2価格'!$A$7:$E$67,VLOOKUP($F$48,'表4）CO2価格'!$H$10:$I$12,2,0),0)*$F$8/1000,""))</f>
        <v>0</v>
      </c>
      <c r="BA46" s="11">
        <f t="shared" si="8"/>
        <v>0</v>
      </c>
      <c r="BB46" s="10">
        <f t="shared" si="20"/>
        <v>0</v>
      </c>
      <c r="BD46" s="10">
        <f t="shared" si="9"/>
        <v>0</v>
      </c>
      <c r="BE46" s="10">
        <f t="shared" si="21"/>
        <v>0</v>
      </c>
      <c r="BG46" s="11">
        <f t="shared" si="10"/>
        <v>0</v>
      </c>
      <c r="BH46" s="10">
        <f t="shared" si="22"/>
        <v>0</v>
      </c>
      <c r="BJ46" s="7" t="str">
        <f t="shared" si="23"/>
        <v/>
      </c>
      <c r="BK46" s="158" t="str">
        <f t="shared" si="24"/>
        <v/>
      </c>
      <c r="BL46" s="158" t="str">
        <f t="shared" si="25"/>
        <v/>
      </c>
      <c r="BM46" s="10"/>
      <c r="BN46" s="10" t="str">
        <f t="shared" si="26"/>
        <v/>
      </c>
      <c r="BO46" s="10" t="str">
        <f t="shared" si="27"/>
        <v/>
      </c>
      <c r="BQ46" s="10">
        <f t="shared" si="11"/>
        <v>36490305.599999994</v>
      </c>
      <c r="BR46" s="10">
        <f t="shared" si="28"/>
        <v>14170537.051455507</v>
      </c>
    </row>
    <row r="47" spans="3:70" x14ac:dyDescent="0.15">
      <c r="D47" s="84" t="s">
        <v>576</v>
      </c>
      <c r="F47" s="475"/>
      <c r="G47" s="84" t="s">
        <v>577</v>
      </c>
      <c r="I47" s="38">
        <f t="shared" si="29"/>
        <v>2052</v>
      </c>
      <c r="J47" s="39"/>
      <c r="K47" s="39">
        <f t="shared" si="30"/>
        <v>33</v>
      </c>
      <c r="L47" s="39"/>
      <c r="M47" s="40">
        <f t="shared" si="0"/>
        <v>0.37702624673491814</v>
      </c>
      <c r="N47" s="39"/>
      <c r="O47" s="72">
        <f t="shared" si="12"/>
        <v>0</v>
      </c>
      <c r="P47" s="41" t="str">
        <f t="shared" ref="P47:P78" si="32">IF(K47&lt;=$F$15,IF(OR(P46=$F$124,P46="-"),"-",IF(O47*$F$123&gt;$F$127,$F$123,$F$124)),"")</f>
        <v>-</v>
      </c>
      <c r="Q47" s="39"/>
      <c r="R47" s="72">
        <f t="shared" si="13"/>
        <v>113350000</v>
      </c>
      <c r="S47" s="39"/>
      <c r="T47" s="72">
        <f t="shared" si="14"/>
        <v>113350000</v>
      </c>
      <c r="U47" s="39"/>
      <c r="V47" s="72">
        <f t="shared" ref="V47:V78" si="33">IF(K47&lt;=$F$15,IF(K47&lt;$F$119,IF(P47="-",V46,O47*P47),IF(K47=$F$119,MIN(IF(P47="-",V46,O47*P47),O47),0)),"")</f>
        <v>0</v>
      </c>
      <c r="W47" s="72">
        <f t="shared" si="15"/>
        <v>0</v>
      </c>
      <c r="X47" s="39"/>
      <c r="Y47" s="72">
        <f t="shared" ref="Y47:Y78" si="34">IF($K47&lt;=$F$15,ROUNDDOWN(T47*$F$25/100,-2),"")</f>
        <v>1586900</v>
      </c>
      <c r="Z47" s="72">
        <f t="shared" si="16"/>
        <v>598302.9509436416</v>
      </c>
      <c r="AA47" s="39"/>
      <c r="AB47" s="72">
        <f t="shared" si="4"/>
        <v>0</v>
      </c>
      <c r="AC47" s="72">
        <f t="shared" si="17"/>
        <v>0</v>
      </c>
      <c r="AD47" s="39"/>
      <c r="AE47" s="72">
        <f t="shared" ref="AE47:AE78" si="35">IF($K47&lt;=$F$15,$F$26,"")</f>
        <v>0</v>
      </c>
      <c r="AF47" s="72">
        <f t="shared" si="18"/>
        <v>0</v>
      </c>
      <c r="AG47" s="39"/>
      <c r="AH47" s="72">
        <f t="shared" si="31"/>
        <v>153899999.99999997</v>
      </c>
      <c r="AI47" s="72">
        <f t="shared" si="19"/>
        <v>58024339.372503892</v>
      </c>
      <c r="AJ47" s="39"/>
      <c r="AK47" s="72"/>
      <c r="AL47" s="72"/>
      <c r="AM47" s="39"/>
      <c r="AN47" s="72"/>
      <c r="AO47" s="72"/>
      <c r="AP47" s="39"/>
      <c r="AQ47" s="72"/>
      <c r="AR47" s="72"/>
      <c r="AS47" s="39"/>
      <c r="AT47" s="40">
        <f>IF($K47&lt;=$F$15,IF($F$40&lt;&gt;"",$F$40/1000,IF(ISERROR(VLOOKUP($F$3&amp;IF($G$4&lt;&gt;"",$G$4,"")&amp;IF($F$43&lt;&gt;"","_"&amp;$F$43,""),'表3）燃料価格'!$AF$9:$AG$25,2,0)),0,VLOOKUP($I47,'表3）燃料価格'!$A$6:$U$66,VLOOKUP($F$3&amp;IF($G$4&lt;&gt;"",$G$4,"")&amp;IF($F$43&lt;&gt;"","_"&amp;$F$43,""),'表3）燃料価格'!$AF$9:$AG$25,2,0)+VLOOKUP($F$41,'表3）燃料価格'!$AF$28:$AG$29,2,0),0)*IF($F$43="需要地価格",1,$F$8/$F$141))),"")</f>
        <v>12</v>
      </c>
      <c r="AU47" s="39"/>
      <c r="AV47" s="72">
        <f t="shared" ref="AV47:AV78" si="36">IF($K47&lt;=$F$15,($AT47+$F$142)*$F$137,"")</f>
        <v>764999999.99999988</v>
      </c>
      <c r="AW47" s="72">
        <f t="shared" si="7"/>
        <v>288425078.75221235</v>
      </c>
      <c r="AX47" s="39"/>
      <c r="AY47" s="40">
        <f>IF(ISERROR(IF($K47&lt;=$F$15,VLOOKUP($I47,'表4）CO2価格'!$A$7:$E$67,VLOOKUP($F$48,'表4）CO2価格'!$H$10:$I$12,2,0),0)*$F$8/1000,"")),0,IF($K47&lt;=$F$15,VLOOKUP($I47,'表4）CO2価格'!$A$7:$E$67,VLOOKUP($F$48,'表4）CO2価格'!$H$10:$I$12,2,0),0)*$F$8/1000,""))</f>
        <v>0</v>
      </c>
      <c r="AZ47" s="39"/>
      <c r="BA47" s="42">
        <f t="shared" ref="BA47:BA78" si="37">IF($K47&lt;=$F$15,$F$145*AY47,"")</f>
        <v>0</v>
      </c>
      <c r="BB47" s="72">
        <f t="shared" si="20"/>
        <v>0</v>
      </c>
      <c r="BC47" s="39"/>
      <c r="BD47" s="72">
        <f t="shared" ref="BD47:BD78" si="38">IF($K47&lt;=$F$15,($AT47+$F$152)*$F$151,"")</f>
        <v>0</v>
      </c>
      <c r="BE47" s="72">
        <f t="shared" si="21"/>
        <v>0</v>
      </c>
      <c r="BF47" s="39"/>
      <c r="BG47" s="42">
        <f t="shared" ref="BG47:BG78" si="39">IF($K47&lt;=$F$15,$F$153*AY47,"")</f>
        <v>0</v>
      </c>
      <c r="BH47" s="72">
        <f t="shared" si="22"/>
        <v>0</v>
      </c>
      <c r="BI47" s="39"/>
      <c r="BJ47" s="40" t="str">
        <f t="shared" si="23"/>
        <v/>
      </c>
      <c r="BK47" s="157" t="str">
        <f t="shared" si="24"/>
        <v/>
      </c>
      <c r="BL47" s="157" t="str">
        <f t="shared" si="25"/>
        <v/>
      </c>
      <c r="BM47" s="72"/>
      <c r="BN47" s="72" t="str">
        <f t="shared" si="26"/>
        <v/>
      </c>
      <c r="BO47" s="72" t="str">
        <f t="shared" si="27"/>
        <v/>
      </c>
      <c r="BP47" s="39"/>
      <c r="BQ47" s="72">
        <f t="shared" ref="BQ47:BQ78" si="40">IF($K47&lt;=$F$15,$F$134,"")</f>
        <v>36490305.599999994</v>
      </c>
      <c r="BR47" s="72">
        <f t="shared" si="28"/>
        <v>13757802.962578163</v>
      </c>
    </row>
    <row r="48" spans="3:70" x14ac:dyDescent="0.15">
      <c r="D48" s="84" t="s">
        <v>578</v>
      </c>
      <c r="F48" s="474"/>
      <c r="I48" s="322">
        <f t="shared" si="29"/>
        <v>2053</v>
      </c>
      <c r="K48" s="71">
        <f t="shared" si="30"/>
        <v>34</v>
      </c>
      <c r="M48" s="7">
        <f t="shared" si="0"/>
        <v>0.36604489974263904</v>
      </c>
      <c r="O48" s="10">
        <f t="shared" si="12"/>
        <v>0</v>
      </c>
      <c r="P48" s="29" t="str">
        <f t="shared" si="32"/>
        <v>-</v>
      </c>
      <c r="R48" s="10">
        <f t="shared" ref="R48:R79" si="41">IF($K48&lt;=$F$15,MAX($F$117*5%,R47*$F$129),"")</f>
        <v>113350000</v>
      </c>
      <c r="T48" s="10">
        <f t="shared" si="14"/>
        <v>113350000</v>
      </c>
      <c r="V48" s="10">
        <f t="shared" si="33"/>
        <v>0</v>
      </c>
      <c r="W48" s="10">
        <f t="shared" si="15"/>
        <v>0</v>
      </c>
      <c r="Y48" s="10">
        <f t="shared" si="34"/>
        <v>1586900</v>
      </c>
      <c r="Z48" s="10">
        <f t="shared" si="16"/>
        <v>580876.65140159393</v>
      </c>
      <c r="AB48" s="10">
        <f t="shared" si="4"/>
        <v>0</v>
      </c>
      <c r="AC48" s="10">
        <f t="shared" si="17"/>
        <v>0</v>
      </c>
      <c r="AE48" s="10">
        <f t="shared" si="35"/>
        <v>0</v>
      </c>
      <c r="AF48" s="10">
        <f t="shared" si="18"/>
        <v>0</v>
      </c>
      <c r="AH48" s="72">
        <f t="shared" si="31"/>
        <v>153899999.99999997</v>
      </c>
      <c r="AI48" s="10">
        <f t="shared" si="19"/>
        <v>56334310.070392139</v>
      </c>
      <c r="AK48" s="10"/>
      <c r="AL48" s="10"/>
      <c r="AN48" s="10"/>
      <c r="AO48" s="10"/>
      <c r="AQ48" s="10"/>
      <c r="AR48" s="10"/>
      <c r="AT48" s="7">
        <f>IF($K48&lt;=$F$15,IF($F$40&lt;&gt;"",$F$40/1000,IF(ISERROR(VLOOKUP($F$3&amp;IF($G$4&lt;&gt;"",$G$4,"")&amp;IF($F$43&lt;&gt;"","_"&amp;$F$43,""),'表3）燃料価格'!$AF$9:$AG$25,2,0)),0,VLOOKUP($I48,'表3）燃料価格'!$A$6:$U$66,VLOOKUP($F$3&amp;IF($G$4&lt;&gt;"",$G$4,"")&amp;IF($F$43&lt;&gt;"","_"&amp;$F$43,""),'表3）燃料価格'!$AF$9:$AG$25,2,0)+VLOOKUP($F$41,'表3）燃料価格'!$AF$28:$AG$29,2,0),0)*IF($F$43="需要地価格",1,$F$8/$F$141))),"")</f>
        <v>12</v>
      </c>
      <c r="AV48" s="10">
        <f t="shared" si="36"/>
        <v>764999999.99999988</v>
      </c>
      <c r="AW48" s="10">
        <f t="shared" si="7"/>
        <v>280024348.30311882</v>
      </c>
      <c r="AY48" s="7">
        <f>IF(ISERROR(IF($K48&lt;=$F$15,VLOOKUP($I48,'表4）CO2価格'!$A$7:$E$67,VLOOKUP($F$48,'表4）CO2価格'!$H$10:$I$12,2,0),0)*$F$8/1000,"")),0,IF($K48&lt;=$F$15,VLOOKUP($I48,'表4）CO2価格'!$A$7:$E$67,VLOOKUP($F$48,'表4）CO2価格'!$H$10:$I$12,2,0),0)*$F$8/1000,""))</f>
        <v>0</v>
      </c>
      <c r="BA48" s="11">
        <f t="shared" si="37"/>
        <v>0</v>
      </c>
      <c r="BB48" s="10">
        <f t="shared" si="20"/>
        <v>0</v>
      </c>
      <c r="BD48" s="10">
        <f t="shared" si="38"/>
        <v>0</v>
      </c>
      <c r="BE48" s="10">
        <f t="shared" si="21"/>
        <v>0</v>
      </c>
      <c r="BG48" s="11">
        <f t="shared" si="39"/>
        <v>0</v>
      </c>
      <c r="BH48" s="10">
        <f t="shared" si="22"/>
        <v>0</v>
      </c>
      <c r="BJ48" s="7" t="str">
        <f t="shared" si="23"/>
        <v/>
      </c>
      <c r="BK48" s="158" t="str">
        <f t="shared" si="24"/>
        <v/>
      </c>
      <c r="BL48" s="158" t="str">
        <f t="shared" si="25"/>
        <v/>
      </c>
      <c r="BM48" s="10"/>
      <c r="BN48" s="10" t="str">
        <f t="shared" si="26"/>
        <v/>
      </c>
      <c r="BO48" s="10" t="str">
        <f t="shared" si="27"/>
        <v/>
      </c>
      <c r="BQ48" s="10">
        <f t="shared" si="40"/>
        <v>36490305.599999994</v>
      </c>
      <c r="BR48" s="10">
        <f t="shared" si="28"/>
        <v>13357090.254930258</v>
      </c>
    </row>
    <row r="49" spans="3:70" x14ac:dyDescent="0.15">
      <c r="I49" s="38">
        <f t="shared" si="29"/>
        <v>2054</v>
      </c>
      <c r="J49" s="39"/>
      <c r="K49" s="39">
        <f t="shared" si="30"/>
        <v>35</v>
      </c>
      <c r="L49" s="39"/>
      <c r="M49" s="40">
        <f t="shared" si="0"/>
        <v>0.35538339780838735</v>
      </c>
      <c r="N49" s="39"/>
      <c r="O49" s="72">
        <f t="shared" si="12"/>
        <v>0</v>
      </c>
      <c r="P49" s="41" t="str">
        <f t="shared" si="32"/>
        <v>-</v>
      </c>
      <c r="Q49" s="39"/>
      <c r="R49" s="72">
        <f t="shared" si="41"/>
        <v>113350000</v>
      </c>
      <c r="S49" s="39"/>
      <c r="T49" s="72">
        <f t="shared" si="14"/>
        <v>113350000</v>
      </c>
      <c r="U49" s="39"/>
      <c r="V49" s="72">
        <f t="shared" si="33"/>
        <v>0</v>
      </c>
      <c r="W49" s="72">
        <f t="shared" si="15"/>
        <v>0</v>
      </c>
      <c r="X49" s="39"/>
      <c r="Y49" s="72">
        <f t="shared" si="34"/>
        <v>1586900</v>
      </c>
      <c r="Z49" s="72">
        <f t="shared" si="16"/>
        <v>563957.91398212989</v>
      </c>
      <c r="AA49" s="39"/>
      <c r="AB49" s="72">
        <f t="shared" si="4"/>
        <v>0</v>
      </c>
      <c r="AC49" s="72">
        <f t="shared" si="17"/>
        <v>0</v>
      </c>
      <c r="AD49" s="39"/>
      <c r="AE49" s="72">
        <f t="shared" si="35"/>
        <v>0</v>
      </c>
      <c r="AF49" s="72">
        <f t="shared" si="18"/>
        <v>0</v>
      </c>
      <c r="AG49" s="39"/>
      <c r="AH49" s="72">
        <f t="shared" si="31"/>
        <v>153899999.99999997</v>
      </c>
      <c r="AI49" s="72">
        <f t="shared" si="19"/>
        <v>54693504.922710799</v>
      </c>
      <c r="AJ49" s="39"/>
      <c r="AK49" s="72"/>
      <c r="AL49" s="72"/>
      <c r="AM49" s="39"/>
      <c r="AN49" s="72"/>
      <c r="AO49" s="72"/>
      <c r="AP49" s="39"/>
      <c r="AQ49" s="72"/>
      <c r="AR49" s="72"/>
      <c r="AS49" s="39"/>
      <c r="AT49" s="40">
        <f>IF($K49&lt;=$F$15,IF($F$40&lt;&gt;"",$F$40/1000,IF(ISERROR(VLOOKUP($F$3&amp;IF($G$4&lt;&gt;"",$G$4,"")&amp;IF($F$43&lt;&gt;"","_"&amp;$F$43,""),'表3）燃料価格'!$AF$9:$AG$25,2,0)),0,VLOOKUP($I49,'表3）燃料価格'!$A$6:$U$66,VLOOKUP($F$3&amp;IF($G$4&lt;&gt;"",$G$4,"")&amp;IF($F$43&lt;&gt;"","_"&amp;$F$43,""),'表3）燃料価格'!$AF$9:$AG$25,2,0)+VLOOKUP($F$41,'表3）燃料価格'!$AF$28:$AG$29,2,0),0)*IF($F$43="需要地価格",1,$F$8/$F$141))),"")</f>
        <v>12</v>
      </c>
      <c r="AU49" s="39"/>
      <c r="AV49" s="72">
        <f t="shared" si="36"/>
        <v>764999999.99999988</v>
      </c>
      <c r="AW49" s="72">
        <f t="shared" si="7"/>
        <v>271868299.32341629</v>
      </c>
      <c r="AX49" s="39"/>
      <c r="AY49" s="40">
        <f>IF(ISERROR(IF($K49&lt;=$F$15,VLOOKUP($I49,'表4）CO2価格'!$A$7:$E$67,VLOOKUP($F$48,'表4）CO2価格'!$H$10:$I$12,2,0),0)*$F$8/1000,"")),0,IF($K49&lt;=$F$15,VLOOKUP($I49,'表4）CO2価格'!$A$7:$E$67,VLOOKUP($F$48,'表4）CO2価格'!$H$10:$I$12,2,0),0)*$F$8/1000,""))</f>
        <v>0</v>
      </c>
      <c r="AZ49" s="39"/>
      <c r="BA49" s="42">
        <f t="shared" si="37"/>
        <v>0</v>
      </c>
      <c r="BB49" s="72">
        <f t="shared" si="20"/>
        <v>0</v>
      </c>
      <c r="BC49" s="39"/>
      <c r="BD49" s="72">
        <f t="shared" si="38"/>
        <v>0</v>
      </c>
      <c r="BE49" s="72">
        <f t="shared" si="21"/>
        <v>0</v>
      </c>
      <c r="BF49" s="39"/>
      <c r="BG49" s="42">
        <f t="shared" si="39"/>
        <v>0</v>
      </c>
      <c r="BH49" s="72">
        <f t="shared" si="22"/>
        <v>0</v>
      </c>
      <c r="BI49" s="39"/>
      <c r="BJ49" s="40" t="str">
        <f t="shared" si="23"/>
        <v/>
      </c>
      <c r="BK49" s="157" t="str">
        <f t="shared" si="24"/>
        <v/>
      </c>
      <c r="BL49" s="157" t="str">
        <f t="shared" si="25"/>
        <v/>
      </c>
      <c r="BM49" s="72"/>
      <c r="BN49" s="72" t="str">
        <f t="shared" si="26"/>
        <v/>
      </c>
      <c r="BO49" s="72" t="str">
        <f t="shared" si="27"/>
        <v/>
      </c>
      <c r="BP49" s="39"/>
      <c r="BQ49" s="72">
        <f t="shared" si="40"/>
        <v>36490305.599999994</v>
      </c>
      <c r="BR49" s="72">
        <f t="shared" si="28"/>
        <v>12968048.791194422</v>
      </c>
    </row>
    <row r="50" spans="3:70" x14ac:dyDescent="0.15">
      <c r="C50" s="4" t="s">
        <v>579</v>
      </c>
      <c r="D50" s="100"/>
      <c r="E50" s="100"/>
      <c r="F50" s="4"/>
      <c r="G50" s="100"/>
      <c r="I50" s="322">
        <f t="shared" si="29"/>
        <v>2055</v>
      </c>
      <c r="K50" s="71">
        <f t="shared" si="30"/>
        <v>36</v>
      </c>
      <c r="M50" s="7">
        <f t="shared" si="0"/>
        <v>0.34503242505668674</v>
      </c>
      <c r="O50" s="10">
        <f t="shared" si="12"/>
        <v>0</v>
      </c>
      <c r="P50" s="29" t="str">
        <f t="shared" si="32"/>
        <v>-</v>
      </c>
      <c r="R50" s="10">
        <f t="shared" si="41"/>
        <v>113350000</v>
      </c>
      <c r="T50" s="10">
        <f t="shared" si="14"/>
        <v>113350000</v>
      </c>
      <c r="V50" s="10">
        <f t="shared" si="33"/>
        <v>0</v>
      </c>
      <c r="W50" s="10">
        <f t="shared" si="15"/>
        <v>0</v>
      </c>
      <c r="Y50" s="10">
        <f t="shared" si="34"/>
        <v>1586900</v>
      </c>
      <c r="Z50" s="10">
        <f t="shared" si="16"/>
        <v>547531.9553224562</v>
      </c>
      <c r="AB50" s="10">
        <f t="shared" si="4"/>
        <v>0</v>
      </c>
      <c r="AC50" s="10">
        <f t="shared" si="17"/>
        <v>0</v>
      </c>
      <c r="AE50" s="10">
        <f t="shared" si="35"/>
        <v>0</v>
      </c>
      <c r="AF50" s="10">
        <f t="shared" si="18"/>
        <v>0</v>
      </c>
      <c r="AH50" s="72">
        <f t="shared" si="31"/>
        <v>153899999.99999997</v>
      </c>
      <c r="AI50" s="10">
        <f t="shared" si="19"/>
        <v>53100490.216224082</v>
      </c>
      <c r="AK50" s="10"/>
      <c r="AL50" s="10"/>
      <c r="AN50" s="10"/>
      <c r="AO50" s="10"/>
      <c r="AQ50" s="10"/>
      <c r="AR50" s="10"/>
      <c r="AT50" s="7">
        <f>IF($K50&lt;=$F$15,IF($F$40&lt;&gt;"",$F$40/1000,IF(ISERROR(VLOOKUP($F$3&amp;IF($G$4&lt;&gt;"",$G$4,"")&amp;IF($F$43&lt;&gt;"","_"&amp;$F$43,""),'表3）燃料価格'!$AF$9:$AG$25,2,0)),0,VLOOKUP($I50,'表3）燃料価格'!$A$6:$U$66,VLOOKUP($F$3&amp;IF($G$4&lt;&gt;"",$G$4,"")&amp;IF($F$43&lt;&gt;"","_"&amp;$F$43,""),'表3）燃料価格'!$AF$9:$AG$25,2,0)+VLOOKUP($F$41,'表3）燃料価格'!$AF$28:$AG$29,2,0),0)*IF($F$43="需要地価格",1,$F$8/$F$141))),"")</f>
        <v>12</v>
      </c>
      <c r="AV50" s="10">
        <f t="shared" si="36"/>
        <v>764999999.99999988</v>
      </c>
      <c r="AW50" s="10">
        <f t="shared" si="7"/>
        <v>263949805.16836533</v>
      </c>
      <c r="AY50" s="7">
        <f>IF(ISERROR(IF($K50&lt;=$F$15,VLOOKUP($I50,'表4）CO2価格'!$A$7:$E$67,VLOOKUP($F$48,'表4）CO2価格'!$H$10:$I$12,2,0),0)*$F$8/1000,"")),0,IF($K50&lt;=$F$15,VLOOKUP($I50,'表4）CO2価格'!$A$7:$E$67,VLOOKUP($F$48,'表4）CO2価格'!$H$10:$I$12,2,0),0)*$F$8/1000,""))</f>
        <v>0</v>
      </c>
      <c r="BA50" s="11">
        <f t="shared" si="37"/>
        <v>0</v>
      </c>
      <c r="BB50" s="10">
        <f t="shared" si="20"/>
        <v>0</v>
      </c>
      <c r="BD50" s="10">
        <f t="shared" si="38"/>
        <v>0</v>
      </c>
      <c r="BE50" s="10">
        <f t="shared" si="21"/>
        <v>0</v>
      </c>
      <c r="BG50" s="11">
        <f t="shared" si="39"/>
        <v>0</v>
      </c>
      <c r="BH50" s="10">
        <f t="shared" si="22"/>
        <v>0</v>
      </c>
      <c r="BJ50" s="7" t="str">
        <f t="shared" si="23"/>
        <v/>
      </c>
      <c r="BK50" s="158" t="str">
        <f t="shared" si="24"/>
        <v/>
      </c>
      <c r="BL50" s="158" t="str">
        <f t="shared" si="25"/>
        <v/>
      </c>
      <c r="BM50" s="10"/>
      <c r="BN50" s="10" t="str">
        <f t="shared" si="26"/>
        <v/>
      </c>
      <c r="BO50" s="10" t="str">
        <f t="shared" si="27"/>
        <v/>
      </c>
      <c r="BQ50" s="10">
        <f t="shared" si="40"/>
        <v>36490305.599999994</v>
      </c>
      <c r="BR50" s="10">
        <f t="shared" si="28"/>
        <v>12590338.632227594</v>
      </c>
    </row>
    <row r="51" spans="3:70" x14ac:dyDescent="0.15">
      <c r="I51" s="38">
        <f t="shared" si="29"/>
        <v>2056</v>
      </c>
      <c r="J51" s="39"/>
      <c r="K51" s="39">
        <f t="shared" si="30"/>
        <v>37</v>
      </c>
      <c r="L51" s="39"/>
      <c r="M51" s="40">
        <f t="shared" si="0"/>
        <v>0.33498293694823961</v>
      </c>
      <c r="N51" s="39"/>
      <c r="O51" s="72">
        <f t="shared" si="12"/>
        <v>0</v>
      </c>
      <c r="P51" s="41" t="str">
        <f t="shared" si="32"/>
        <v>-</v>
      </c>
      <c r="Q51" s="39"/>
      <c r="R51" s="72">
        <f t="shared" si="41"/>
        <v>113350000</v>
      </c>
      <c r="S51" s="39"/>
      <c r="T51" s="72">
        <f t="shared" si="14"/>
        <v>113350000</v>
      </c>
      <c r="U51" s="39"/>
      <c r="V51" s="72">
        <f t="shared" si="33"/>
        <v>0</v>
      </c>
      <c r="W51" s="72">
        <f t="shared" si="15"/>
        <v>0</v>
      </c>
      <c r="X51" s="39"/>
      <c r="Y51" s="72">
        <f t="shared" si="34"/>
        <v>1586900</v>
      </c>
      <c r="Z51" s="72">
        <f t="shared" si="16"/>
        <v>531584.42264316138</v>
      </c>
      <c r="AA51" s="39"/>
      <c r="AB51" s="72">
        <f t="shared" si="4"/>
        <v>0</v>
      </c>
      <c r="AC51" s="72">
        <f t="shared" si="17"/>
        <v>0</v>
      </c>
      <c r="AD51" s="39"/>
      <c r="AE51" s="72">
        <f t="shared" si="35"/>
        <v>0</v>
      </c>
      <c r="AF51" s="72">
        <f t="shared" si="18"/>
        <v>0</v>
      </c>
      <c r="AG51" s="39"/>
      <c r="AH51" s="72">
        <f t="shared" si="31"/>
        <v>153899999.99999997</v>
      </c>
      <c r="AI51" s="72">
        <f t="shared" si="19"/>
        <v>51553873.996334068</v>
      </c>
      <c r="AJ51" s="39"/>
      <c r="AK51" s="72"/>
      <c r="AL51" s="72"/>
      <c r="AM51" s="39"/>
      <c r="AN51" s="72"/>
      <c r="AO51" s="72"/>
      <c r="AP51" s="39"/>
      <c r="AQ51" s="72"/>
      <c r="AR51" s="72"/>
      <c r="AS51" s="39"/>
      <c r="AT51" s="40">
        <f>IF($K51&lt;=$F$15,IF($F$40&lt;&gt;"",$F$40/1000,IF(ISERROR(VLOOKUP($F$3&amp;IF($G$4&lt;&gt;"",$G$4,"")&amp;IF($F$43&lt;&gt;"","_"&amp;$F$43,""),'表3）燃料価格'!$AF$9:$AG$25,2,0)),0,VLOOKUP($I51,'表3）燃料価格'!$A$6:$U$66,VLOOKUP($F$3&amp;IF($G$4&lt;&gt;"",$G$4,"")&amp;IF($F$43&lt;&gt;"","_"&amp;$F$43,""),'表3）燃料価格'!$AF$9:$AG$25,2,0)+VLOOKUP($F$41,'表3）燃料価格'!$AF$28:$AG$29,2,0),0)*IF($F$43="需要地価格",1,$F$8/$F$141))),"")</f>
        <v>12</v>
      </c>
      <c r="AU51" s="39"/>
      <c r="AV51" s="72">
        <f t="shared" si="36"/>
        <v>764999999.99999988</v>
      </c>
      <c r="AW51" s="72">
        <f t="shared" si="7"/>
        <v>256261946.76540327</v>
      </c>
      <c r="AX51" s="39"/>
      <c r="AY51" s="40">
        <f>IF(ISERROR(IF($K51&lt;=$F$15,VLOOKUP($I51,'表4）CO2価格'!$A$7:$E$67,VLOOKUP($F$48,'表4）CO2価格'!$H$10:$I$12,2,0),0)*$F$8/1000,"")),0,IF($K51&lt;=$F$15,VLOOKUP($I51,'表4）CO2価格'!$A$7:$E$67,VLOOKUP($F$48,'表4）CO2価格'!$H$10:$I$12,2,0),0)*$F$8/1000,""))</f>
        <v>0</v>
      </c>
      <c r="AZ51" s="39"/>
      <c r="BA51" s="42">
        <f t="shared" si="37"/>
        <v>0</v>
      </c>
      <c r="BB51" s="72">
        <f t="shared" si="20"/>
        <v>0</v>
      </c>
      <c r="BC51" s="39"/>
      <c r="BD51" s="72">
        <f t="shared" si="38"/>
        <v>0</v>
      </c>
      <c r="BE51" s="72">
        <f t="shared" si="21"/>
        <v>0</v>
      </c>
      <c r="BF51" s="39"/>
      <c r="BG51" s="42">
        <f t="shared" si="39"/>
        <v>0</v>
      </c>
      <c r="BH51" s="72">
        <f t="shared" si="22"/>
        <v>0</v>
      </c>
      <c r="BI51" s="39"/>
      <c r="BJ51" s="40" t="str">
        <f t="shared" si="23"/>
        <v/>
      </c>
      <c r="BK51" s="157" t="str">
        <f t="shared" si="24"/>
        <v/>
      </c>
      <c r="BL51" s="157" t="str">
        <f t="shared" si="25"/>
        <v/>
      </c>
      <c r="BM51" s="72"/>
      <c r="BN51" s="72" t="str">
        <f t="shared" si="26"/>
        <v/>
      </c>
      <c r="BO51" s="72" t="str">
        <f t="shared" si="27"/>
        <v/>
      </c>
      <c r="BP51" s="39"/>
      <c r="BQ51" s="72">
        <f t="shared" si="40"/>
        <v>36490305.599999994</v>
      </c>
      <c r="BR51" s="72">
        <f t="shared" si="28"/>
        <v>12223629.740026793</v>
      </c>
    </row>
    <row r="52" spans="3:70" x14ac:dyDescent="0.15">
      <c r="D52" s="84" t="s">
        <v>185</v>
      </c>
      <c r="F52" s="478"/>
      <c r="G52" s="84" t="s">
        <v>549</v>
      </c>
      <c r="I52" s="322">
        <f t="shared" si="29"/>
        <v>2057</v>
      </c>
      <c r="K52" s="71">
        <f t="shared" si="30"/>
        <v>38</v>
      </c>
      <c r="M52" s="7">
        <f t="shared" si="0"/>
        <v>0.3252261523769317</v>
      </c>
      <c r="O52" s="10">
        <f t="shared" si="12"/>
        <v>0</v>
      </c>
      <c r="P52" s="29" t="str">
        <f t="shared" si="32"/>
        <v>-</v>
      </c>
      <c r="R52" s="10">
        <f t="shared" si="41"/>
        <v>113350000</v>
      </c>
      <c r="T52" s="10">
        <f t="shared" si="14"/>
        <v>113350000</v>
      </c>
      <c r="V52" s="10">
        <f t="shared" si="33"/>
        <v>0</v>
      </c>
      <c r="W52" s="10">
        <f t="shared" si="15"/>
        <v>0</v>
      </c>
      <c r="Y52" s="10">
        <f t="shared" si="34"/>
        <v>1586900</v>
      </c>
      <c r="Z52" s="10">
        <f t="shared" si="16"/>
        <v>516101.38120695291</v>
      </c>
      <c r="AB52" s="10">
        <f t="shared" si="4"/>
        <v>0</v>
      </c>
      <c r="AC52" s="10">
        <f t="shared" si="17"/>
        <v>0</v>
      </c>
      <c r="AE52" s="10">
        <f t="shared" si="35"/>
        <v>0</v>
      </c>
      <c r="AF52" s="10">
        <f t="shared" si="18"/>
        <v>0</v>
      </c>
      <c r="AH52" s="72">
        <f t="shared" si="31"/>
        <v>153899999.99999997</v>
      </c>
      <c r="AI52" s="10">
        <f t="shared" si="19"/>
        <v>50052304.850809775</v>
      </c>
      <c r="AK52" s="10"/>
      <c r="AL52" s="10"/>
      <c r="AN52" s="10"/>
      <c r="AO52" s="10"/>
      <c r="AQ52" s="10"/>
      <c r="AR52" s="10"/>
      <c r="AT52" s="7">
        <f>IF($K52&lt;=$F$15,IF($F$40&lt;&gt;"",$F$40/1000,IF(ISERROR(VLOOKUP($F$3&amp;IF($G$4&lt;&gt;"",$G$4,"")&amp;IF($F$43&lt;&gt;"","_"&amp;$F$43,""),'表3）燃料価格'!$AF$9:$AG$25,2,0)),0,VLOOKUP($I52,'表3）燃料価格'!$A$6:$U$66,VLOOKUP($F$3&amp;IF($G$4&lt;&gt;"",$G$4,"")&amp;IF($F$43&lt;&gt;"","_"&amp;$F$43,""),'表3）燃料価格'!$AF$9:$AG$25,2,0)+VLOOKUP($F$41,'表3）燃料価格'!$AF$28:$AG$29,2,0),0)*IF($F$43="需要地価格",1,$F$8/$F$141))),"")</f>
        <v>12</v>
      </c>
      <c r="AV52" s="10">
        <f t="shared" si="36"/>
        <v>764999999.99999988</v>
      </c>
      <c r="AW52" s="10">
        <f t="shared" si="7"/>
        <v>248798006.5683527</v>
      </c>
      <c r="AY52" s="7">
        <f>IF(ISERROR(IF($K52&lt;=$F$15,VLOOKUP($I52,'表4）CO2価格'!$A$7:$E$67,VLOOKUP($F$48,'表4）CO2価格'!$H$10:$I$12,2,0),0)*$F$8/1000,"")),0,IF($K52&lt;=$F$15,VLOOKUP($I52,'表4）CO2価格'!$A$7:$E$67,VLOOKUP($F$48,'表4）CO2価格'!$H$10:$I$12,2,0),0)*$F$8/1000,""))</f>
        <v>0</v>
      </c>
      <c r="BA52" s="11">
        <f t="shared" si="37"/>
        <v>0</v>
      </c>
      <c r="BB52" s="10">
        <f t="shared" si="20"/>
        <v>0</v>
      </c>
      <c r="BD52" s="10">
        <f t="shared" si="38"/>
        <v>0</v>
      </c>
      <c r="BE52" s="10">
        <f t="shared" si="21"/>
        <v>0</v>
      </c>
      <c r="BG52" s="11">
        <f t="shared" si="39"/>
        <v>0</v>
      </c>
      <c r="BH52" s="10">
        <f t="shared" si="22"/>
        <v>0</v>
      </c>
      <c r="BJ52" s="7" t="str">
        <f t="shared" si="23"/>
        <v/>
      </c>
      <c r="BK52" s="158" t="str">
        <f t="shared" si="24"/>
        <v/>
      </c>
      <c r="BL52" s="158" t="str">
        <f t="shared" si="25"/>
        <v/>
      </c>
      <c r="BM52" s="10"/>
      <c r="BN52" s="10" t="str">
        <f t="shared" si="26"/>
        <v/>
      </c>
      <c r="BO52" s="10" t="str">
        <f t="shared" si="27"/>
        <v/>
      </c>
      <c r="BQ52" s="10">
        <f t="shared" si="40"/>
        <v>36490305.599999994</v>
      </c>
      <c r="BR52" s="10">
        <f t="shared" si="28"/>
        <v>11867601.689346403</v>
      </c>
    </row>
    <row r="53" spans="3:70" x14ac:dyDescent="0.15">
      <c r="D53" s="84" t="s">
        <v>580</v>
      </c>
      <c r="F53" s="475"/>
      <c r="G53" s="84" t="s">
        <v>549</v>
      </c>
      <c r="I53" s="38">
        <f t="shared" si="29"/>
        <v>2058</v>
      </c>
      <c r="J53" s="39"/>
      <c r="K53" s="39">
        <f t="shared" si="30"/>
        <v>39</v>
      </c>
      <c r="L53" s="39"/>
      <c r="M53" s="40">
        <f t="shared" si="0"/>
        <v>0.31575354599702099</v>
      </c>
      <c r="N53" s="39"/>
      <c r="O53" s="72">
        <f t="shared" si="12"/>
        <v>0</v>
      </c>
      <c r="P53" s="41" t="str">
        <f t="shared" si="32"/>
        <v>-</v>
      </c>
      <c r="Q53" s="39"/>
      <c r="R53" s="72">
        <f t="shared" si="41"/>
        <v>113350000</v>
      </c>
      <c r="S53" s="39"/>
      <c r="T53" s="72">
        <f t="shared" si="14"/>
        <v>113350000</v>
      </c>
      <c r="U53" s="39"/>
      <c r="V53" s="72">
        <f t="shared" si="33"/>
        <v>0</v>
      </c>
      <c r="W53" s="72">
        <f t="shared" si="15"/>
        <v>0</v>
      </c>
      <c r="X53" s="39"/>
      <c r="Y53" s="72">
        <f t="shared" si="34"/>
        <v>1586900</v>
      </c>
      <c r="Z53" s="72">
        <f t="shared" si="16"/>
        <v>501069.30214267259</v>
      </c>
      <c r="AA53" s="39"/>
      <c r="AB53" s="72">
        <f t="shared" si="4"/>
        <v>0</v>
      </c>
      <c r="AC53" s="72">
        <f t="shared" si="17"/>
        <v>0</v>
      </c>
      <c r="AD53" s="39"/>
      <c r="AE53" s="72">
        <f t="shared" si="35"/>
        <v>0</v>
      </c>
      <c r="AF53" s="72">
        <f t="shared" si="18"/>
        <v>0</v>
      </c>
      <c r="AG53" s="39"/>
      <c r="AH53" s="72">
        <f t="shared" si="31"/>
        <v>153899999.99999997</v>
      </c>
      <c r="AI53" s="72">
        <f t="shared" si="19"/>
        <v>48594470.728941523</v>
      </c>
      <c r="AJ53" s="39"/>
      <c r="AK53" s="72"/>
      <c r="AL53" s="72"/>
      <c r="AM53" s="39"/>
      <c r="AN53" s="72"/>
      <c r="AO53" s="72"/>
      <c r="AP53" s="39"/>
      <c r="AQ53" s="72"/>
      <c r="AR53" s="72"/>
      <c r="AS53" s="39"/>
      <c r="AT53" s="40">
        <f>IF($K53&lt;=$F$15,IF($F$40&lt;&gt;"",$F$40/1000,IF(ISERROR(VLOOKUP($F$3&amp;IF($G$4&lt;&gt;"",$G$4,"")&amp;IF($F$43&lt;&gt;"","_"&amp;$F$43,""),'表3）燃料価格'!$AF$9:$AG$25,2,0)),0,VLOOKUP($I53,'表3）燃料価格'!$A$6:$U$66,VLOOKUP($F$3&amp;IF($G$4&lt;&gt;"",$G$4,"")&amp;IF($F$43&lt;&gt;"","_"&amp;$F$43,""),'表3）燃料価格'!$AF$9:$AG$25,2,0)+VLOOKUP($F$41,'表3）燃料価格'!$AF$28:$AG$29,2,0),0)*IF($F$43="需要地価格",1,$F$8/$F$141))),"")</f>
        <v>12</v>
      </c>
      <c r="AU53" s="39"/>
      <c r="AV53" s="72">
        <f t="shared" si="36"/>
        <v>764999999.99999988</v>
      </c>
      <c r="AW53" s="72">
        <f t="shared" si="7"/>
        <v>241551462.68772101</v>
      </c>
      <c r="AX53" s="39"/>
      <c r="AY53" s="40">
        <f>IF(ISERROR(IF($K53&lt;=$F$15,VLOOKUP($I53,'表4）CO2価格'!$A$7:$E$67,VLOOKUP($F$48,'表4）CO2価格'!$H$10:$I$12,2,0),0)*$F$8/1000,"")),0,IF($K53&lt;=$F$15,VLOOKUP($I53,'表4）CO2価格'!$A$7:$E$67,VLOOKUP($F$48,'表4）CO2価格'!$H$10:$I$12,2,0),0)*$F$8/1000,""))</f>
        <v>0</v>
      </c>
      <c r="AZ53" s="39"/>
      <c r="BA53" s="42">
        <f t="shared" si="37"/>
        <v>0</v>
      </c>
      <c r="BB53" s="72">
        <f t="shared" si="20"/>
        <v>0</v>
      </c>
      <c r="BC53" s="39"/>
      <c r="BD53" s="72">
        <f t="shared" si="38"/>
        <v>0</v>
      </c>
      <c r="BE53" s="72">
        <f t="shared" si="21"/>
        <v>0</v>
      </c>
      <c r="BF53" s="39"/>
      <c r="BG53" s="42">
        <f t="shared" si="39"/>
        <v>0</v>
      </c>
      <c r="BH53" s="72">
        <f t="shared" si="22"/>
        <v>0</v>
      </c>
      <c r="BI53" s="39"/>
      <c r="BJ53" s="40" t="str">
        <f t="shared" si="23"/>
        <v/>
      </c>
      <c r="BK53" s="157" t="str">
        <f t="shared" si="24"/>
        <v/>
      </c>
      <c r="BL53" s="157" t="str">
        <f t="shared" si="25"/>
        <v/>
      </c>
      <c r="BM53" s="72"/>
      <c r="BN53" s="72" t="str">
        <f t="shared" si="26"/>
        <v/>
      </c>
      <c r="BO53" s="72" t="str">
        <f t="shared" si="27"/>
        <v/>
      </c>
      <c r="BP53" s="39"/>
      <c r="BQ53" s="72">
        <f t="shared" si="40"/>
        <v>36490305.599999994</v>
      </c>
      <c r="BR53" s="72">
        <f t="shared" si="28"/>
        <v>11521943.38771495</v>
      </c>
    </row>
    <row r="54" spans="3:70" x14ac:dyDescent="0.15">
      <c r="D54" s="84" t="s">
        <v>581</v>
      </c>
      <c r="F54" s="475"/>
      <c r="G54" s="84" t="s">
        <v>549</v>
      </c>
      <c r="I54" s="322">
        <f t="shared" si="29"/>
        <v>2059</v>
      </c>
      <c r="K54" s="71">
        <f t="shared" si="30"/>
        <v>40</v>
      </c>
      <c r="M54" s="7">
        <f t="shared" si="0"/>
        <v>0.30655684077380685</v>
      </c>
      <c r="O54" s="10">
        <f t="shared" si="12"/>
        <v>0</v>
      </c>
      <c r="P54" s="29" t="str">
        <f t="shared" si="32"/>
        <v>-</v>
      </c>
      <c r="R54" s="10">
        <f t="shared" si="41"/>
        <v>113350000</v>
      </c>
      <c r="T54" s="10">
        <f t="shared" si="14"/>
        <v>113350000</v>
      </c>
      <c r="V54" s="10">
        <f t="shared" si="33"/>
        <v>0</v>
      </c>
      <c r="W54" s="10">
        <f t="shared" si="15"/>
        <v>0</v>
      </c>
      <c r="Y54" s="10">
        <f t="shared" si="34"/>
        <v>1586900</v>
      </c>
      <c r="Z54" s="10">
        <f t="shared" si="16"/>
        <v>486475.0506239541</v>
      </c>
      <c r="AB54" s="10">
        <f t="shared" si="4"/>
        <v>0</v>
      </c>
      <c r="AC54" s="10">
        <f t="shared" si="17"/>
        <v>0</v>
      </c>
      <c r="AE54" s="10">
        <f t="shared" si="35"/>
        <v>0</v>
      </c>
      <c r="AF54" s="10">
        <f t="shared" si="18"/>
        <v>0</v>
      </c>
      <c r="AH54" s="72">
        <f t="shared" si="31"/>
        <v>153899999.99999997</v>
      </c>
      <c r="AI54" s="10">
        <f t="shared" si="19"/>
        <v>47179097.795088865</v>
      </c>
      <c r="AK54" s="10"/>
      <c r="AL54" s="10"/>
      <c r="AN54" s="10"/>
      <c r="AO54" s="10"/>
      <c r="AQ54" s="10"/>
      <c r="AR54" s="10"/>
      <c r="AT54" s="7">
        <f>IF($K54&lt;=$F$15,IF($F$40&lt;&gt;"",$F$40/1000,IF(ISERROR(VLOOKUP($F$3&amp;IF($G$4&lt;&gt;"",$G$4,"")&amp;IF($F$43&lt;&gt;"","_"&amp;$F$43,""),'表3）燃料価格'!$AF$9:$AG$25,2,0)),0,VLOOKUP($I54,'表3）燃料価格'!$A$6:$U$66,VLOOKUP($F$3&amp;IF($G$4&lt;&gt;"",$G$4,"")&amp;IF($F$43&lt;&gt;"","_"&amp;$F$43,""),'表3）燃料価格'!$AF$9:$AG$25,2,0)+VLOOKUP($F$41,'表3）燃料価格'!$AF$28:$AG$29,2,0),0)*IF($F$43="需要地価格",1,$F$8/$F$141))),"")</f>
        <v>12</v>
      </c>
      <c r="AV54" s="10">
        <f t="shared" si="36"/>
        <v>764999999.99999988</v>
      </c>
      <c r="AW54" s="10">
        <f t="shared" si="7"/>
        <v>234515983.19196221</v>
      </c>
      <c r="AY54" s="7">
        <f>IF(ISERROR(IF($K54&lt;=$F$15,VLOOKUP($I54,'表4）CO2価格'!$A$7:$E$67,VLOOKUP($F$48,'表4）CO2価格'!$H$10:$I$12,2,0),0)*$F$8/1000,"")),0,IF($K54&lt;=$F$15,VLOOKUP($I54,'表4）CO2価格'!$A$7:$E$67,VLOOKUP($F$48,'表4）CO2価格'!$H$10:$I$12,2,0),0)*$F$8/1000,""))</f>
        <v>0</v>
      </c>
      <c r="BA54" s="11">
        <f t="shared" si="37"/>
        <v>0</v>
      </c>
      <c r="BB54" s="10">
        <f t="shared" si="20"/>
        <v>0</v>
      </c>
      <c r="BD54" s="10">
        <f t="shared" si="38"/>
        <v>0</v>
      </c>
      <c r="BE54" s="10">
        <f t="shared" si="21"/>
        <v>0</v>
      </c>
      <c r="BG54" s="11">
        <f t="shared" si="39"/>
        <v>0</v>
      </c>
      <c r="BH54" s="10">
        <f t="shared" si="22"/>
        <v>0</v>
      </c>
      <c r="BJ54" s="7" t="str">
        <f t="shared" si="23"/>
        <v/>
      </c>
      <c r="BK54" s="158" t="str">
        <f t="shared" si="24"/>
        <v/>
      </c>
      <c r="BL54" s="158" t="str">
        <f t="shared" si="25"/>
        <v/>
      </c>
      <c r="BM54" s="10"/>
      <c r="BN54" s="10" t="str">
        <f t="shared" si="26"/>
        <v/>
      </c>
      <c r="BO54" s="10" t="str">
        <f t="shared" si="27"/>
        <v/>
      </c>
      <c r="BQ54" s="10">
        <f t="shared" si="40"/>
        <v>36490305.599999994</v>
      </c>
      <c r="BR54" s="10">
        <f t="shared" si="28"/>
        <v>11186352.80360675</v>
      </c>
    </row>
    <row r="55" spans="3:70" ht="16.5" x14ac:dyDescent="0.15">
      <c r="D55" s="84" t="s">
        <v>582</v>
      </c>
      <c r="F55" s="475"/>
      <c r="G55" s="71" t="s">
        <v>561</v>
      </c>
      <c r="I55" s="38">
        <f>I54+1</f>
        <v>2060</v>
      </c>
      <c r="J55" s="39"/>
      <c r="K55" s="39">
        <f>IF(I55&lt;&gt;"",K54+1,"")</f>
        <v>41</v>
      </c>
      <c r="L55" s="39"/>
      <c r="M55" s="40">
        <f t="shared" si="0"/>
        <v>0.29762800075126877</v>
      </c>
      <c r="N55" s="39"/>
      <c r="O55" s="72" t="str">
        <f t="shared" si="12"/>
        <v/>
      </c>
      <c r="P55" s="41" t="str">
        <f t="shared" si="32"/>
        <v/>
      </c>
      <c r="Q55" s="39"/>
      <c r="R55" s="72" t="str">
        <f t="shared" si="41"/>
        <v/>
      </c>
      <c r="S55" s="39"/>
      <c r="T55" s="72" t="str">
        <f t="shared" si="14"/>
        <v/>
      </c>
      <c r="U55" s="39"/>
      <c r="V55" s="72" t="str">
        <f t="shared" si="33"/>
        <v/>
      </c>
      <c r="W55" s="72" t="str">
        <f t="shared" si="15"/>
        <v/>
      </c>
      <c r="X55" s="39"/>
      <c r="Y55" s="72" t="str">
        <f t="shared" si="34"/>
        <v/>
      </c>
      <c r="Z55" s="72" t="str">
        <f t="shared" si="16"/>
        <v/>
      </c>
      <c r="AA55" s="39"/>
      <c r="AB55" s="72">
        <f t="shared" si="4"/>
        <v>113350000</v>
      </c>
      <c r="AC55" s="72">
        <f t="shared" si="17"/>
        <v>33736133.885156319</v>
      </c>
      <c r="AD55" s="39"/>
      <c r="AE55" s="72" t="str">
        <f t="shared" si="35"/>
        <v/>
      </c>
      <c r="AF55" s="72" t="str">
        <f t="shared" si="18"/>
        <v/>
      </c>
      <c r="AG55" s="39"/>
      <c r="AH55" s="72" t="str">
        <f t="shared" ref="AH55:AH78" si="42">IF($K55&lt;=$F$15,$F$33*10^8,"")</f>
        <v/>
      </c>
      <c r="AI55" s="72" t="str">
        <f t="shared" si="19"/>
        <v/>
      </c>
      <c r="AJ55" s="39"/>
      <c r="AK55" s="72" t="str">
        <f t="shared" ref="AK55:AK78" si="43">IF($K55&lt;=$F$15,$F$34*10^8,"")</f>
        <v/>
      </c>
      <c r="AL55" s="72" t="str">
        <f t="shared" ref="AL55:AL79" si="44">IF(ISNUMBER(AK55),AK55*$M55,"")</f>
        <v/>
      </c>
      <c r="AM55" s="39"/>
      <c r="AN55" s="72" t="str">
        <f t="shared" ref="AN55:AN78" si="45">IF($K55&lt;=$F$15,$F$117*$F$35/100,"")</f>
        <v/>
      </c>
      <c r="AO55" s="72" t="str">
        <f t="shared" ref="AO55:AO79" si="46">IF(ISNUMBER(AN55),AN55*$M55,"")</f>
        <v/>
      </c>
      <c r="AP55" s="39"/>
      <c r="AQ55" s="72" t="str">
        <f t="shared" ref="AQ55:AQ78" si="47">IF($K55&lt;=$F$15,SUM(AH55,AK55,AN55)*($F$36/100),"")</f>
        <v/>
      </c>
      <c r="AR55" s="72" t="str">
        <f t="shared" ref="AR55:AR79" si="48">IF(ISNUMBER(AQ55),AQ55*$M55,"")</f>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36"/>
        <v/>
      </c>
      <c r="AW55" s="72" t="str">
        <f t="shared" si="7"/>
        <v/>
      </c>
      <c r="AX55" s="39"/>
      <c r="AY55" s="40" t="str">
        <f>IF(ISERROR(IF($K55&lt;=$F$15,VLOOKUP($I55,'表4）CO2価格'!$A$7:$E$67,VLOOKUP($F$48,'表4）CO2価格'!$H$10:$I$12,2,0),0)*$F$8/1000,"")),0,IF($K55&lt;=$F$15,VLOOKUP($I55,'表4）CO2価格'!$A$7:$E$67,VLOOKUP($F$48,'表4）CO2価格'!$H$10:$I$12,2,0),0)*$F$8/1000,""))</f>
        <v/>
      </c>
      <c r="AZ55" s="39"/>
      <c r="BA55" s="42" t="str">
        <f t="shared" si="37"/>
        <v/>
      </c>
      <c r="BB55" s="72" t="str">
        <f t="shared" si="20"/>
        <v/>
      </c>
      <c r="BC55" s="39"/>
      <c r="BD55" s="72" t="str">
        <f t="shared" si="38"/>
        <v/>
      </c>
      <c r="BE55" s="72" t="str">
        <f t="shared" si="21"/>
        <v/>
      </c>
      <c r="BF55" s="39"/>
      <c r="BG55" s="42" t="str">
        <f t="shared" si="39"/>
        <v/>
      </c>
      <c r="BH55" s="72" t="str">
        <f t="shared" si="22"/>
        <v/>
      </c>
      <c r="BI55" s="39"/>
      <c r="BJ55" s="40" t="str">
        <f t="shared" si="23"/>
        <v/>
      </c>
      <c r="BK55" s="157" t="str">
        <f t="shared" si="24"/>
        <v/>
      </c>
      <c r="BL55" s="157" t="str">
        <f t="shared" si="25"/>
        <v/>
      </c>
      <c r="BM55" s="72"/>
      <c r="BN55" s="72" t="str">
        <f t="shared" si="26"/>
        <v/>
      </c>
      <c r="BO55" s="72" t="str">
        <f t="shared" si="27"/>
        <v/>
      </c>
      <c r="BP55" s="39"/>
      <c r="BQ55" s="72" t="str">
        <f t="shared" si="40"/>
        <v/>
      </c>
      <c r="BR55" s="72" t="str">
        <f t="shared" si="28"/>
        <v/>
      </c>
    </row>
    <row r="56" spans="3:70" x14ac:dyDescent="0.15">
      <c r="D56" s="84" t="s">
        <v>583</v>
      </c>
      <c r="F56" s="481"/>
      <c r="G56" s="84" t="s">
        <v>574</v>
      </c>
      <c r="I56" s="322">
        <f t="shared" si="29"/>
        <v>2061</v>
      </c>
      <c r="K56" s="71">
        <f t="shared" si="30"/>
        <v>42</v>
      </c>
      <c r="M56" s="7">
        <f t="shared" si="0"/>
        <v>0.28895922403035801</v>
      </c>
      <c r="O56" s="10" t="str">
        <f t="shared" si="12"/>
        <v/>
      </c>
      <c r="P56" s="29" t="str">
        <f t="shared" si="32"/>
        <v/>
      </c>
      <c r="R56" s="10" t="str">
        <f t="shared" si="41"/>
        <v/>
      </c>
      <c r="T56" s="10" t="str">
        <f t="shared" si="14"/>
        <v/>
      </c>
      <c r="V56" s="10" t="str">
        <f t="shared" si="33"/>
        <v/>
      </c>
      <c r="W56" s="10" t="str">
        <f t="shared" si="15"/>
        <v/>
      </c>
      <c r="Y56" s="10" t="str">
        <f t="shared" si="34"/>
        <v/>
      </c>
      <c r="Z56" s="10" t="str">
        <f t="shared" si="16"/>
        <v/>
      </c>
      <c r="AB56" s="10" t="str">
        <f t="shared" si="4"/>
        <v/>
      </c>
      <c r="AC56" s="10" t="str">
        <f t="shared" si="17"/>
        <v/>
      </c>
      <c r="AE56" s="10" t="str">
        <f t="shared" si="35"/>
        <v/>
      </c>
      <c r="AF56" s="10" t="str">
        <f t="shared" si="18"/>
        <v/>
      </c>
      <c r="AH56" s="10" t="str">
        <f t="shared" si="42"/>
        <v/>
      </c>
      <c r="AI56" s="10" t="str">
        <f t="shared" si="19"/>
        <v/>
      </c>
      <c r="AK56" s="10" t="str">
        <f t="shared" si="43"/>
        <v/>
      </c>
      <c r="AL56" s="10" t="str">
        <f t="shared" si="44"/>
        <v/>
      </c>
      <c r="AN56" s="10" t="str">
        <f t="shared" si="45"/>
        <v/>
      </c>
      <c r="AO56" s="10" t="str">
        <f t="shared" si="46"/>
        <v/>
      </c>
      <c r="AQ56" s="10" t="str">
        <f t="shared" si="47"/>
        <v/>
      </c>
      <c r="AR56" s="10" t="str">
        <f t="shared" si="48"/>
        <v/>
      </c>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V56" s="10" t="str">
        <f t="shared" si="36"/>
        <v/>
      </c>
      <c r="AW56" s="10" t="str">
        <f t="shared" si="7"/>
        <v/>
      </c>
      <c r="AY56" s="7" t="str">
        <f>IF(ISERROR(IF($K56&lt;=$F$15,VLOOKUP($I56,'表4）CO2価格'!$A$7:$E$67,VLOOKUP($F$48,'表4）CO2価格'!$H$10:$I$12,2,0),0)*$F$8/1000,"")),0,IF($K56&lt;=$F$15,VLOOKUP($I56,'表4）CO2価格'!$A$7:$E$67,VLOOKUP($F$48,'表4）CO2価格'!$H$10:$I$12,2,0),0)*$F$8/1000,""))</f>
        <v/>
      </c>
      <c r="BA56" s="11" t="str">
        <f t="shared" si="37"/>
        <v/>
      </c>
      <c r="BB56" s="10" t="str">
        <f t="shared" si="20"/>
        <v/>
      </c>
      <c r="BD56" s="10" t="str">
        <f t="shared" si="38"/>
        <v/>
      </c>
      <c r="BE56" s="10" t="str">
        <f t="shared" si="21"/>
        <v/>
      </c>
      <c r="BG56" s="11" t="str">
        <f t="shared" si="39"/>
        <v/>
      </c>
      <c r="BH56" s="10" t="str">
        <f t="shared" si="22"/>
        <v/>
      </c>
      <c r="BJ56" s="7" t="str">
        <f t="shared" si="23"/>
        <v/>
      </c>
      <c r="BK56" s="158" t="str">
        <f t="shared" si="24"/>
        <v/>
      </c>
      <c r="BL56" s="158" t="str">
        <f t="shared" si="25"/>
        <v/>
      </c>
      <c r="BM56" s="10"/>
      <c r="BN56" s="10" t="str">
        <f t="shared" si="26"/>
        <v/>
      </c>
      <c r="BO56" s="10" t="str">
        <f t="shared" si="27"/>
        <v/>
      </c>
      <c r="BQ56" s="10" t="str">
        <f t="shared" si="40"/>
        <v/>
      </c>
      <c r="BR56" s="10" t="str">
        <f t="shared" si="28"/>
        <v/>
      </c>
    </row>
    <row r="57" spans="3:70" x14ac:dyDescent="0.15">
      <c r="I57" s="38">
        <f t="shared" si="29"/>
        <v>2062</v>
      </c>
      <c r="J57" s="39"/>
      <c r="K57" s="39">
        <f t="shared" si="30"/>
        <v>43</v>
      </c>
      <c r="L57" s="39"/>
      <c r="M57" s="40">
        <f t="shared" si="0"/>
        <v>0.28054293595180391</v>
      </c>
      <c r="N57" s="39"/>
      <c r="O57" s="72" t="str">
        <f t="shared" si="12"/>
        <v/>
      </c>
      <c r="P57" s="41" t="str">
        <f t="shared" si="32"/>
        <v/>
      </c>
      <c r="Q57" s="39"/>
      <c r="R57" s="72" t="str">
        <f t="shared" si="41"/>
        <v/>
      </c>
      <c r="S57" s="39"/>
      <c r="T57" s="72" t="str">
        <f t="shared" si="14"/>
        <v/>
      </c>
      <c r="U57" s="39"/>
      <c r="V57" s="72" t="str">
        <f t="shared" si="33"/>
        <v/>
      </c>
      <c r="W57" s="72" t="str">
        <f t="shared" si="15"/>
        <v/>
      </c>
      <c r="X57" s="39"/>
      <c r="Y57" s="72" t="str">
        <f t="shared" si="34"/>
        <v/>
      </c>
      <c r="Z57" s="72" t="str">
        <f t="shared" si="16"/>
        <v/>
      </c>
      <c r="AA57" s="39"/>
      <c r="AB57" s="72" t="str">
        <f t="shared" si="4"/>
        <v/>
      </c>
      <c r="AC57" s="72" t="str">
        <f t="shared" si="17"/>
        <v/>
      </c>
      <c r="AD57" s="39"/>
      <c r="AE57" s="72" t="str">
        <f t="shared" si="35"/>
        <v/>
      </c>
      <c r="AF57" s="72" t="str">
        <f t="shared" si="18"/>
        <v/>
      </c>
      <c r="AG57" s="39"/>
      <c r="AH57" s="72" t="str">
        <f t="shared" si="42"/>
        <v/>
      </c>
      <c r="AI57" s="72" t="str">
        <f t="shared" si="19"/>
        <v/>
      </c>
      <c r="AJ57" s="39"/>
      <c r="AK57" s="72" t="str">
        <f t="shared" si="43"/>
        <v/>
      </c>
      <c r="AL57" s="72" t="str">
        <f t="shared" si="44"/>
        <v/>
      </c>
      <c r="AM57" s="39"/>
      <c r="AN57" s="72" t="str">
        <f t="shared" si="45"/>
        <v/>
      </c>
      <c r="AO57" s="72" t="str">
        <f t="shared" si="46"/>
        <v/>
      </c>
      <c r="AP57" s="39"/>
      <c r="AQ57" s="72" t="str">
        <f t="shared" si="47"/>
        <v/>
      </c>
      <c r="AR57" s="72" t="str">
        <f t="shared" si="48"/>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36"/>
        <v/>
      </c>
      <c r="AW57" s="72" t="str">
        <f t="shared" si="7"/>
        <v/>
      </c>
      <c r="AX57" s="39"/>
      <c r="AY57" s="40" t="str">
        <f>IF(ISERROR(IF($K57&lt;=$F$15,VLOOKUP($I57,'表4）CO2価格'!$A$7:$E$67,VLOOKUP($F$48,'表4）CO2価格'!$H$10:$I$12,2,0),0)*$F$8/1000,"")),0,IF($K57&lt;=$F$15,VLOOKUP($I57,'表4）CO2価格'!$A$7:$E$67,VLOOKUP($F$48,'表4）CO2価格'!$H$10:$I$12,2,0),0)*$F$8/1000,""))</f>
        <v/>
      </c>
      <c r="AZ57" s="39"/>
      <c r="BA57" s="42" t="str">
        <f t="shared" si="37"/>
        <v/>
      </c>
      <c r="BB57" s="72" t="str">
        <f t="shared" si="20"/>
        <v/>
      </c>
      <c r="BC57" s="39"/>
      <c r="BD57" s="72" t="str">
        <f t="shared" si="38"/>
        <v/>
      </c>
      <c r="BE57" s="72" t="str">
        <f t="shared" si="21"/>
        <v/>
      </c>
      <c r="BF57" s="39"/>
      <c r="BG57" s="42" t="str">
        <f t="shared" si="39"/>
        <v/>
      </c>
      <c r="BH57" s="72" t="str">
        <f t="shared" si="22"/>
        <v/>
      </c>
      <c r="BI57" s="39"/>
      <c r="BJ57" s="40" t="str">
        <f t="shared" si="23"/>
        <v/>
      </c>
      <c r="BK57" s="157" t="str">
        <f t="shared" si="24"/>
        <v/>
      </c>
      <c r="BL57" s="157" t="str">
        <f t="shared" si="25"/>
        <v/>
      </c>
      <c r="BM57" s="72"/>
      <c r="BN57" s="72" t="str">
        <f t="shared" si="26"/>
        <v/>
      </c>
      <c r="BO57" s="72" t="str">
        <f t="shared" si="27"/>
        <v/>
      </c>
      <c r="BP57" s="39"/>
      <c r="BQ57" s="72" t="str">
        <f t="shared" si="40"/>
        <v/>
      </c>
      <c r="BR57" s="72" t="str">
        <f t="shared" si="28"/>
        <v/>
      </c>
    </row>
    <row r="58" spans="3:70" x14ac:dyDescent="0.15">
      <c r="C58" s="4" t="s">
        <v>584</v>
      </c>
      <c r="D58" s="100"/>
      <c r="E58" s="100"/>
      <c r="F58" s="4"/>
      <c r="G58" s="100"/>
      <c r="I58" s="322">
        <f t="shared" si="29"/>
        <v>2063</v>
      </c>
      <c r="K58" s="71">
        <f t="shared" si="30"/>
        <v>44</v>
      </c>
      <c r="M58" s="7">
        <f t="shared" si="0"/>
        <v>0.27237178247747956</v>
      </c>
      <c r="O58" s="10" t="str">
        <f t="shared" si="12"/>
        <v/>
      </c>
      <c r="P58" s="29" t="str">
        <f t="shared" si="32"/>
        <v/>
      </c>
      <c r="R58" s="10" t="str">
        <f t="shared" si="41"/>
        <v/>
      </c>
      <c r="T58" s="10" t="str">
        <f t="shared" si="14"/>
        <v/>
      </c>
      <c r="V58" s="10" t="str">
        <f t="shared" si="33"/>
        <v/>
      </c>
      <c r="W58" s="10" t="str">
        <f t="shared" si="15"/>
        <v/>
      </c>
      <c r="Y58" s="10" t="str">
        <f t="shared" si="34"/>
        <v/>
      </c>
      <c r="Z58" s="10" t="str">
        <f t="shared" si="16"/>
        <v/>
      </c>
      <c r="AB58" s="10" t="str">
        <f t="shared" si="4"/>
        <v/>
      </c>
      <c r="AC58" s="10" t="str">
        <f t="shared" si="17"/>
        <v/>
      </c>
      <c r="AE58" s="10" t="str">
        <f t="shared" si="35"/>
        <v/>
      </c>
      <c r="AF58" s="10" t="str">
        <f t="shared" si="18"/>
        <v/>
      </c>
      <c r="AH58" s="10" t="str">
        <f t="shared" si="42"/>
        <v/>
      </c>
      <c r="AI58" s="10" t="str">
        <f t="shared" si="19"/>
        <v/>
      </c>
      <c r="AK58" s="10" t="str">
        <f t="shared" si="43"/>
        <v/>
      </c>
      <c r="AL58" s="10" t="str">
        <f t="shared" si="44"/>
        <v/>
      </c>
      <c r="AN58" s="10" t="str">
        <f t="shared" si="45"/>
        <v/>
      </c>
      <c r="AO58" s="10" t="str">
        <f t="shared" si="46"/>
        <v/>
      </c>
      <c r="AQ58" s="10" t="str">
        <f t="shared" si="47"/>
        <v/>
      </c>
      <c r="AR58" s="10" t="str">
        <f t="shared" si="48"/>
        <v/>
      </c>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V58" s="10" t="str">
        <f t="shared" si="36"/>
        <v/>
      </c>
      <c r="AW58" s="10" t="str">
        <f t="shared" si="7"/>
        <v/>
      </c>
      <c r="AY58" s="7" t="str">
        <f>IF(ISERROR(IF($K58&lt;=$F$15,VLOOKUP($I58,'表4）CO2価格'!$A$7:$E$67,VLOOKUP($F$48,'表4）CO2価格'!$H$10:$I$12,2,0),0)*$F$8/1000,"")),0,IF($K58&lt;=$F$15,VLOOKUP($I58,'表4）CO2価格'!$A$7:$E$67,VLOOKUP($F$48,'表4）CO2価格'!$H$10:$I$12,2,0),0)*$F$8/1000,""))</f>
        <v/>
      </c>
      <c r="BA58" s="11" t="str">
        <f t="shared" si="37"/>
        <v/>
      </c>
      <c r="BB58" s="10" t="str">
        <f t="shared" si="20"/>
        <v/>
      </c>
      <c r="BD58" s="10" t="str">
        <f t="shared" si="38"/>
        <v/>
      </c>
      <c r="BE58" s="10" t="str">
        <f t="shared" si="21"/>
        <v/>
      </c>
      <c r="BG58" s="11" t="str">
        <f t="shared" si="39"/>
        <v/>
      </c>
      <c r="BH58" s="10" t="str">
        <f t="shared" si="22"/>
        <v/>
      </c>
      <c r="BJ58" s="7" t="str">
        <f t="shared" si="23"/>
        <v/>
      </c>
      <c r="BK58" s="158" t="str">
        <f t="shared" si="24"/>
        <v/>
      </c>
      <c r="BL58" s="158" t="str">
        <f t="shared" si="25"/>
        <v/>
      </c>
      <c r="BM58" s="10"/>
      <c r="BN58" s="10" t="str">
        <f t="shared" si="26"/>
        <v/>
      </c>
      <c r="BO58" s="10" t="str">
        <f t="shared" si="27"/>
        <v/>
      </c>
      <c r="BQ58" s="10" t="str">
        <f t="shared" si="40"/>
        <v/>
      </c>
      <c r="BR58" s="10" t="str">
        <f t="shared" si="28"/>
        <v/>
      </c>
    </row>
    <row r="59" spans="3:70" x14ac:dyDescent="0.15">
      <c r="I59" s="38">
        <f t="shared" si="29"/>
        <v>2064</v>
      </c>
      <c r="J59" s="39"/>
      <c r="K59" s="39">
        <f t="shared" si="30"/>
        <v>45</v>
      </c>
      <c r="L59" s="39"/>
      <c r="M59" s="40">
        <f t="shared" si="0"/>
        <v>0.26443862376454325</v>
      </c>
      <c r="N59" s="39"/>
      <c r="O59" s="72" t="str">
        <f t="shared" si="12"/>
        <v/>
      </c>
      <c r="P59" s="41" t="str">
        <f t="shared" si="32"/>
        <v/>
      </c>
      <c r="Q59" s="39"/>
      <c r="R59" s="72" t="str">
        <f t="shared" si="41"/>
        <v/>
      </c>
      <c r="S59" s="39"/>
      <c r="T59" s="72" t="str">
        <f t="shared" si="14"/>
        <v/>
      </c>
      <c r="U59" s="39"/>
      <c r="V59" s="72" t="str">
        <f t="shared" si="33"/>
        <v/>
      </c>
      <c r="W59" s="72" t="str">
        <f t="shared" si="15"/>
        <v/>
      </c>
      <c r="X59" s="39"/>
      <c r="Y59" s="72" t="str">
        <f t="shared" si="34"/>
        <v/>
      </c>
      <c r="Z59" s="72" t="str">
        <f t="shared" si="16"/>
        <v/>
      </c>
      <c r="AA59" s="39"/>
      <c r="AB59" s="72" t="str">
        <f t="shared" si="4"/>
        <v/>
      </c>
      <c r="AC59" s="72" t="str">
        <f t="shared" si="17"/>
        <v/>
      </c>
      <c r="AD59" s="39"/>
      <c r="AE59" s="72" t="str">
        <f t="shared" si="35"/>
        <v/>
      </c>
      <c r="AF59" s="72" t="str">
        <f t="shared" si="18"/>
        <v/>
      </c>
      <c r="AG59" s="39"/>
      <c r="AH59" s="72" t="str">
        <f t="shared" si="42"/>
        <v/>
      </c>
      <c r="AI59" s="72" t="str">
        <f t="shared" si="19"/>
        <v/>
      </c>
      <c r="AJ59" s="39"/>
      <c r="AK59" s="72" t="str">
        <f t="shared" si="43"/>
        <v/>
      </c>
      <c r="AL59" s="72" t="str">
        <f t="shared" si="44"/>
        <v/>
      </c>
      <c r="AM59" s="39"/>
      <c r="AN59" s="72" t="str">
        <f t="shared" si="45"/>
        <v/>
      </c>
      <c r="AO59" s="72" t="str">
        <f t="shared" si="46"/>
        <v/>
      </c>
      <c r="AP59" s="39"/>
      <c r="AQ59" s="72" t="str">
        <f t="shared" si="47"/>
        <v/>
      </c>
      <c r="AR59" s="72" t="str">
        <f t="shared" si="48"/>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36"/>
        <v/>
      </c>
      <c r="AW59" s="72" t="str">
        <f t="shared" si="7"/>
        <v/>
      </c>
      <c r="AX59" s="39"/>
      <c r="AY59" s="40" t="str">
        <f>IF(ISERROR(IF($K59&lt;=$F$15,VLOOKUP($I59,'表4）CO2価格'!$A$7:$E$67,VLOOKUP($F$48,'表4）CO2価格'!$H$10:$I$12,2,0),0)*$F$8/1000,"")),0,IF($K59&lt;=$F$15,VLOOKUP($I59,'表4）CO2価格'!$A$7:$E$67,VLOOKUP($F$48,'表4）CO2価格'!$H$10:$I$12,2,0),0)*$F$8/1000,""))</f>
        <v/>
      </c>
      <c r="AZ59" s="39"/>
      <c r="BA59" s="42" t="str">
        <f t="shared" si="37"/>
        <v/>
      </c>
      <c r="BB59" s="72" t="str">
        <f t="shared" si="20"/>
        <v/>
      </c>
      <c r="BC59" s="39"/>
      <c r="BD59" s="72" t="str">
        <f t="shared" si="38"/>
        <v/>
      </c>
      <c r="BE59" s="72" t="str">
        <f t="shared" si="21"/>
        <v/>
      </c>
      <c r="BF59" s="39"/>
      <c r="BG59" s="42" t="str">
        <f t="shared" si="39"/>
        <v/>
      </c>
      <c r="BH59" s="72" t="str">
        <f t="shared" si="22"/>
        <v/>
      </c>
      <c r="BI59" s="39"/>
      <c r="BJ59" s="40" t="str">
        <f t="shared" si="23"/>
        <v/>
      </c>
      <c r="BK59" s="157" t="str">
        <f t="shared" si="24"/>
        <v/>
      </c>
      <c r="BL59" s="157" t="str">
        <f t="shared" si="25"/>
        <v/>
      </c>
      <c r="BM59" s="72"/>
      <c r="BN59" s="72" t="str">
        <f t="shared" si="26"/>
        <v/>
      </c>
      <c r="BO59" s="72" t="str">
        <f t="shared" si="27"/>
        <v/>
      </c>
      <c r="BP59" s="39"/>
      <c r="BQ59" s="72" t="str">
        <f t="shared" si="40"/>
        <v/>
      </c>
      <c r="BR59" s="72" t="str">
        <f t="shared" si="28"/>
        <v/>
      </c>
    </row>
    <row r="60" spans="3:70" x14ac:dyDescent="0.15">
      <c r="D60" s="84" t="s">
        <v>585</v>
      </c>
      <c r="F60" s="481"/>
      <c r="G60" s="84" t="s">
        <v>566</v>
      </c>
      <c r="I60" s="322">
        <f t="shared" si="29"/>
        <v>2065</v>
      </c>
      <c r="K60" s="71">
        <f t="shared" si="30"/>
        <v>46</v>
      </c>
      <c r="M60" s="7">
        <f t="shared" si="0"/>
        <v>0.25673652792674101</v>
      </c>
      <c r="O60" s="10" t="str">
        <f t="shared" si="12"/>
        <v/>
      </c>
      <c r="P60" s="29" t="str">
        <f t="shared" si="32"/>
        <v/>
      </c>
      <c r="R60" s="10" t="str">
        <f t="shared" si="41"/>
        <v/>
      </c>
      <c r="T60" s="10" t="str">
        <f t="shared" si="14"/>
        <v/>
      </c>
      <c r="V60" s="10" t="str">
        <f t="shared" si="33"/>
        <v/>
      </c>
      <c r="W60" s="10" t="str">
        <f t="shared" si="15"/>
        <v/>
      </c>
      <c r="Y60" s="10" t="str">
        <f t="shared" si="34"/>
        <v/>
      </c>
      <c r="Z60" s="10" t="str">
        <f t="shared" si="16"/>
        <v/>
      </c>
      <c r="AB60" s="10" t="str">
        <f t="shared" si="4"/>
        <v/>
      </c>
      <c r="AC60" s="10" t="str">
        <f t="shared" si="17"/>
        <v/>
      </c>
      <c r="AE60" s="10" t="str">
        <f t="shared" si="35"/>
        <v/>
      </c>
      <c r="AF60" s="10" t="str">
        <f t="shared" si="18"/>
        <v/>
      </c>
      <c r="AH60" s="10" t="str">
        <f t="shared" si="42"/>
        <v/>
      </c>
      <c r="AI60" s="10" t="str">
        <f t="shared" si="19"/>
        <v/>
      </c>
      <c r="AK60" s="10" t="str">
        <f t="shared" si="43"/>
        <v/>
      </c>
      <c r="AL60" s="10" t="str">
        <f t="shared" si="44"/>
        <v/>
      </c>
      <c r="AN60" s="10" t="str">
        <f t="shared" si="45"/>
        <v/>
      </c>
      <c r="AO60" s="10" t="str">
        <f t="shared" si="46"/>
        <v/>
      </c>
      <c r="AQ60" s="10" t="str">
        <f t="shared" si="47"/>
        <v/>
      </c>
      <c r="AR60" s="10" t="str">
        <f t="shared" si="48"/>
        <v/>
      </c>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V60" s="10" t="str">
        <f t="shared" si="36"/>
        <v/>
      </c>
      <c r="AW60" s="10" t="str">
        <f t="shared" si="7"/>
        <v/>
      </c>
      <c r="AY60" s="7" t="str">
        <f>IF(ISERROR(IF($K60&lt;=$F$15,VLOOKUP($I60,'表4）CO2価格'!$A$7:$E$67,VLOOKUP($F$48,'表4）CO2価格'!$H$10:$I$12,2,0),0)*$F$8/1000,"")),0,IF($K60&lt;=$F$15,VLOOKUP($I60,'表4）CO2価格'!$A$7:$E$67,VLOOKUP($F$48,'表4）CO2価格'!$H$10:$I$12,2,0),0)*$F$8/1000,""))</f>
        <v/>
      </c>
      <c r="BA60" s="11" t="str">
        <f t="shared" si="37"/>
        <v/>
      </c>
      <c r="BB60" s="10" t="str">
        <f t="shared" si="20"/>
        <v/>
      </c>
      <c r="BD60" s="10" t="str">
        <f t="shared" si="38"/>
        <v/>
      </c>
      <c r="BE60" s="10" t="str">
        <f t="shared" si="21"/>
        <v/>
      </c>
      <c r="BG60" s="11" t="str">
        <f t="shared" si="39"/>
        <v/>
      </c>
      <c r="BH60" s="10" t="str">
        <f t="shared" si="22"/>
        <v/>
      </c>
      <c r="BJ60" s="7" t="str">
        <f t="shared" si="23"/>
        <v/>
      </c>
      <c r="BK60" s="158" t="str">
        <f t="shared" si="24"/>
        <v/>
      </c>
      <c r="BL60" s="158" t="str">
        <f t="shared" si="25"/>
        <v/>
      </c>
      <c r="BM60" s="10"/>
      <c r="BN60" s="10" t="str">
        <f t="shared" si="26"/>
        <v/>
      </c>
      <c r="BO60" s="10" t="str">
        <f t="shared" si="27"/>
        <v/>
      </c>
      <c r="BQ60" s="10" t="str">
        <f t="shared" si="40"/>
        <v/>
      </c>
      <c r="BR60" s="10" t="str">
        <f t="shared" si="28"/>
        <v/>
      </c>
    </row>
    <row r="61" spans="3:70" x14ac:dyDescent="0.15">
      <c r="D61" s="84" t="s">
        <v>586</v>
      </c>
      <c r="F61" s="475"/>
      <c r="G61" s="84" t="s">
        <v>556</v>
      </c>
      <c r="I61" s="38">
        <f t="shared" si="29"/>
        <v>2066</v>
      </c>
      <c r="J61" s="39"/>
      <c r="K61" s="39">
        <f t="shared" si="30"/>
        <v>47</v>
      </c>
      <c r="L61" s="39"/>
      <c r="M61" s="40">
        <f t="shared" si="0"/>
        <v>0.24925876497741845</v>
      </c>
      <c r="N61" s="39"/>
      <c r="O61" s="72" t="str">
        <f t="shared" si="12"/>
        <v/>
      </c>
      <c r="P61" s="41" t="str">
        <f t="shared" si="32"/>
        <v/>
      </c>
      <c r="Q61" s="39"/>
      <c r="R61" s="72" t="str">
        <f t="shared" si="41"/>
        <v/>
      </c>
      <c r="S61" s="39"/>
      <c r="T61" s="72" t="str">
        <f t="shared" si="14"/>
        <v/>
      </c>
      <c r="U61" s="39"/>
      <c r="V61" s="72" t="str">
        <f t="shared" si="33"/>
        <v/>
      </c>
      <c r="W61" s="72" t="str">
        <f t="shared" si="15"/>
        <v/>
      </c>
      <c r="X61" s="39"/>
      <c r="Y61" s="72" t="str">
        <f t="shared" si="34"/>
        <v/>
      </c>
      <c r="Z61" s="72" t="str">
        <f t="shared" si="16"/>
        <v/>
      </c>
      <c r="AA61" s="39"/>
      <c r="AB61" s="72" t="str">
        <f t="shared" si="4"/>
        <v/>
      </c>
      <c r="AC61" s="72" t="str">
        <f t="shared" si="17"/>
        <v/>
      </c>
      <c r="AD61" s="39"/>
      <c r="AE61" s="72" t="str">
        <f t="shared" si="35"/>
        <v/>
      </c>
      <c r="AF61" s="72" t="str">
        <f t="shared" si="18"/>
        <v/>
      </c>
      <c r="AG61" s="39"/>
      <c r="AH61" s="72" t="str">
        <f t="shared" si="42"/>
        <v/>
      </c>
      <c r="AI61" s="72" t="str">
        <f t="shared" si="19"/>
        <v/>
      </c>
      <c r="AJ61" s="39"/>
      <c r="AK61" s="72" t="str">
        <f t="shared" si="43"/>
        <v/>
      </c>
      <c r="AL61" s="72" t="str">
        <f t="shared" si="44"/>
        <v/>
      </c>
      <c r="AM61" s="39"/>
      <c r="AN61" s="72" t="str">
        <f t="shared" si="45"/>
        <v/>
      </c>
      <c r="AO61" s="72" t="str">
        <f t="shared" si="46"/>
        <v/>
      </c>
      <c r="AP61" s="39"/>
      <c r="AQ61" s="72" t="str">
        <f t="shared" si="47"/>
        <v/>
      </c>
      <c r="AR61" s="72" t="str">
        <f t="shared" si="48"/>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36"/>
        <v/>
      </c>
      <c r="AW61" s="72" t="str">
        <f t="shared" si="7"/>
        <v/>
      </c>
      <c r="AX61" s="39"/>
      <c r="AY61" s="40" t="str">
        <f>IF(ISERROR(IF($K61&lt;=$F$15,VLOOKUP($I61,'表4）CO2価格'!$A$7:$E$67,VLOOKUP($F$48,'表4）CO2価格'!$H$10:$I$12,2,0),0)*$F$8/1000,"")),0,IF($K61&lt;=$F$15,VLOOKUP($I61,'表4）CO2価格'!$A$7:$E$67,VLOOKUP($F$48,'表4）CO2価格'!$H$10:$I$12,2,0),0)*$F$8/1000,""))</f>
        <v/>
      </c>
      <c r="AZ61" s="39"/>
      <c r="BA61" s="42" t="str">
        <f t="shared" si="37"/>
        <v/>
      </c>
      <c r="BB61" s="72" t="str">
        <f t="shared" si="20"/>
        <v/>
      </c>
      <c r="BC61" s="39"/>
      <c r="BD61" s="72" t="str">
        <f t="shared" si="38"/>
        <v/>
      </c>
      <c r="BE61" s="72" t="str">
        <f t="shared" si="21"/>
        <v/>
      </c>
      <c r="BF61" s="39"/>
      <c r="BG61" s="42" t="str">
        <f t="shared" si="39"/>
        <v/>
      </c>
      <c r="BH61" s="72" t="str">
        <f t="shared" si="22"/>
        <v/>
      </c>
      <c r="BI61" s="39"/>
      <c r="BJ61" s="40" t="str">
        <f t="shared" si="23"/>
        <v/>
      </c>
      <c r="BK61" s="157" t="str">
        <f t="shared" si="24"/>
        <v/>
      </c>
      <c r="BL61" s="157" t="str">
        <f t="shared" si="25"/>
        <v/>
      </c>
      <c r="BM61" s="72"/>
      <c r="BN61" s="72" t="str">
        <f t="shared" si="26"/>
        <v/>
      </c>
      <c r="BO61" s="72" t="str">
        <f t="shared" si="27"/>
        <v/>
      </c>
      <c r="BP61" s="39"/>
      <c r="BQ61" s="72" t="str">
        <f t="shared" si="40"/>
        <v/>
      </c>
      <c r="BR61" s="72" t="str">
        <f t="shared" si="28"/>
        <v/>
      </c>
    </row>
    <row r="62" spans="3:70" x14ac:dyDescent="0.15">
      <c r="D62" s="84" t="s">
        <v>587</v>
      </c>
      <c r="F62" s="481"/>
      <c r="G62" s="84" t="s">
        <v>588</v>
      </c>
      <c r="I62" s="322">
        <f t="shared" si="29"/>
        <v>2067</v>
      </c>
      <c r="K62" s="71">
        <f t="shared" si="30"/>
        <v>48</v>
      </c>
      <c r="M62" s="7">
        <f t="shared" si="0"/>
        <v>0.24199880094894996</v>
      </c>
      <c r="O62" s="10" t="str">
        <f t="shared" si="12"/>
        <v/>
      </c>
      <c r="P62" s="29" t="str">
        <f t="shared" si="32"/>
        <v/>
      </c>
      <c r="R62" s="10" t="str">
        <f t="shared" si="41"/>
        <v/>
      </c>
      <c r="T62" s="10" t="str">
        <f t="shared" si="14"/>
        <v/>
      </c>
      <c r="V62" s="10" t="str">
        <f t="shared" si="33"/>
        <v/>
      </c>
      <c r="W62" s="10" t="str">
        <f t="shared" si="15"/>
        <v/>
      </c>
      <c r="Y62" s="10" t="str">
        <f t="shared" si="34"/>
        <v/>
      </c>
      <c r="Z62" s="10" t="str">
        <f t="shared" si="16"/>
        <v/>
      </c>
      <c r="AB62" s="10" t="str">
        <f t="shared" si="4"/>
        <v/>
      </c>
      <c r="AC62" s="10" t="str">
        <f t="shared" si="17"/>
        <v/>
      </c>
      <c r="AE62" s="10" t="str">
        <f t="shared" si="35"/>
        <v/>
      </c>
      <c r="AF62" s="10" t="str">
        <f t="shared" si="18"/>
        <v/>
      </c>
      <c r="AH62" s="10" t="str">
        <f t="shared" si="42"/>
        <v/>
      </c>
      <c r="AI62" s="10" t="str">
        <f t="shared" si="19"/>
        <v/>
      </c>
      <c r="AK62" s="10" t="str">
        <f t="shared" si="43"/>
        <v/>
      </c>
      <c r="AL62" s="10" t="str">
        <f t="shared" si="44"/>
        <v/>
      </c>
      <c r="AN62" s="10" t="str">
        <f t="shared" si="45"/>
        <v/>
      </c>
      <c r="AO62" s="10" t="str">
        <f t="shared" si="46"/>
        <v/>
      </c>
      <c r="AQ62" s="10" t="str">
        <f t="shared" si="47"/>
        <v/>
      </c>
      <c r="AR62" s="10" t="str">
        <f t="shared" si="48"/>
        <v/>
      </c>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V62" s="10" t="str">
        <f t="shared" si="36"/>
        <v/>
      </c>
      <c r="AW62" s="10" t="str">
        <f t="shared" si="7"/>
        <v/>
      </c>
      <c r="AY62" s="7" t="str">
        <f>IF(ISERROR(IF($K62&lt;=$F$15,VLOOKUP($I62,'表4）CO2価格'!$A$7:$E$67,VLOOKUP($F$48,'表4）CO2価格'!$H$10:$I$12,2,0),0)*$F$8/1000,"")),0,IF($K62&lt;=$F$15,VLOOKUP($I62,'表4）CO2価格'!$A$7:$E$67,VLOOKUP($F$48,'表4）CO2価格'!$H$10:$I$12,2,0),0)*$F$8/1000,""))</f>
        <v/>
      </c>
      <c r="BA62" s="11" t="str">
        <f t="shared" si="37"/>
        <v/>
      </c>
      <c r="BB62" s="10" t="str">
        <f t="shared" si="20"/>
        <v/>
      </c>
      <c r="BD62" s="10" t="str">
        <f t="shared" si="38"/>
        <v/>
      </c>
      <c r="BE62" s="10" t="str">
        <f t="shared" si="21"/>
        <v/>
      </c>
      <c r="BG62" s="11" t="str">
        <f t="shared" si="39"/>
        <v/>
      </c>
      <c r="BH62" s="10" t="str">
        <f t="shared" si="22"/>
        <v/>
      </c>
      <c r="BJ62" s="7" t="str">
        <f t="shared" si="23"/>
        <v/>
      </c>
      <c r="BK62" s="158" t="str">
        <f t="shared" si="24"/>
        <v/>
      </c>
      <c r="BL62" s="158" t="str">
        <f t="shared" si="25"/>
        <v/>
      </c>
      <c r="BM62" s="10"/>
      <c r="BN62" s="10" t="str">
        <f t="shared" si="26"/>
        <v/>
      </c>
      <c r="BO62" s="10" t="str">
        <f t="shared" si="27"/>
        <v/>
      </c>
      <c r="BQ62" s="10" t="str">
        <f t="shared" si="40"/>
        <v/>
      </c>
      <c r="BR62" s="10" t="str">
        <f t="shared" si="28"/>
        <v/>
      </c>
    </row>
    <row r="63" spans="3:70" x14ac:dyDescent="0.15">
      <c r="I63" s="38">
        <f t="shared" si="29"/>
        <v>2068</v>
      </c>
      <c r="J63" s="39"/>
      <c r="K63" s="39">
        <f t="shared" si="30"/>
        <v>49</v>
      </c>
      <c r="L63" s="39"/>
      <c r="M63" s="40">
        <f t="shared" si="0"/>
        <v>0.2349502921834466</v>
      </c>
      <c r="N63" s="39"/>
      <c r="O63" s="72" t="str">
        <f t="shared" si="12"/>
        <v/>
      </c>
      <c r="P63" s="41" t="str">
        <f t="shared" si="32"/>
        <v/>
      </c>
      <c r="Q63" s="39"/>
      <c r="R63" s="72" t="str">
        <f t="shared" si="41"/>
        <v/>
      </c>
      <c r="S63" s="39"/>
      <c r="T63" s="72" t="str">
        <f t="shared" si="14"/>
        <v/>
      </c>
      <c r="U63" s="39"/>
      <c r="V63" s="72" t="str">
        <f t="shared" si="33"/>
        <v/>
      </c>
      <c r="W63" s="72" t="str">
        <f t="shared" si="15"/>
        <v/>
      </c>
      <c r="X63" s="39"/>
      <c r="Y63" s="72" t="str">
        <f t="shared" si="34"/>
        <v/>
      </c>
      <c r="Z63" s="72" t="str">
        <f t="shared" si="16"/>
        <v/>
      </c>
      <c r="AA63" s="39"/>
      <c r="AB63" s="72" t="str">
        <f t="shared" si="4"/>
        <v/>
      </c>
      <c r="AC63" s="72" t="str">
        <f t="shared" si="17"/>
        <v/>
      </c>
      <c r="AD63" s="39"/>
      <c r="AE63" s="72" t="str">
        <f t="shared" si="35"/>
        <v/>
      </c>
      <c r="AF63" s="72" t="str">
        <f t="shared" si="18"/>
        <v/>
      </c>
      <c r="AG63" s="39"/>
      <c r="AH63" s="72" t="str">
        <f t="shared" si="42"/>
        <v/>
      </c>
      <c r="AI63" s="72" t="str">
        <f t="shared" si="19"/>
        <v/>
      </c>
      <c r="AJ63" s="39"/>
      <c r="AK63" s="72" t="str">
        <f t="shared" si="43"/>
        <v/>
      </c>
      <c r="AL63" s="72" t="str">
        <f t="shared" si="44"/>
        <v/>
      </c>
      <c r="AM63" s="39"/>
      <c r="AN63" s="72" t="str">
        <f t="shared" si="45"/>
        <v/>
      </c>
      <c r="AO63" s="72" t="str">
        <f t="shared" si="46"/>
        <v/>
      </c>
      <c r="AP63" s="39"/>
      <c r="AQ63" s="72" t="str">
        <f t="shared" si="47"/>
        <v/>
      </c>
      <c r="AR63" s="72" t="str">
        <f t="shared" si="48"/>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36"/>
        <v/>
      </c>
      <c r="AW63" s="72" t="str">
        <f t="shared" si="7"/>
        <v/>
      </c>
      <c r="AX63" s="39"/>
      <c r="AY63" s="40" t="str">
        <f>IF(ISERROR(IF($K63&lt;=$F$15,VLOOKUP($I63,'表4）CO2価格'!$A$7:$E$67,VLOOKUP($F$48,'表4）CO2価格'!$H$10:$I$12,2,0),0)*$F$8/1000,"")),0,IF($K63&lt;=$F$15,VLOOKUP($I63,'表4）CO2価格'!$A$7:$E$67,VLOOKUP($F$48,'表4）CO2価格'!$H$10:$I$12,2,0),0)*$F$8/1000,""))</f>
        <v/>
      </c>
      <c r="AZ63" s="39"/>
      <c r="BA63" s="42" t="str">
        <f t="shared" si="37"/>
        <v/>
      </c>
      <c r="BB63" s="72" t="str">
        <f t="shared" si="20"/>
        <v/>
      </c>
      <c r="BC63" s="39"/>
      <c r="BD63" s="72" t="str">
        <f t="shared" si="38"/>
        <v/>
      </c>
      <c r="BE63" s="72" t="str">
        <f t="shared" si="21"/>
        <v/>
      </c>
      <c r="BF63" s="39"/>
      <c r="BG63" s="42" t="str">
        <f t="shared" si="39"/>
        <v/>
      </c>
      <c r="BH63" s="72" t="str">
        <f t="shared" si="22"/>
        <v/>
      </c>
      <c r="BI63" s="39"/>
      <c r="BJ63" s="40" t="str">
        <f t="shared" si="23"/>
        <v/>
      </c>
      <c r="BK63" s="157" t="str">
        <f t="shared" si="24"/>
        <v/>
      </c>
      <c r="BL63" s="157" t="str">
        <f t="shared" si="25"/>
        <v/>
      </c>
      <c r="BM63" s="72"/>
      <c r="BN63" s="72" t="str">
        <f t="shared" si="26"/>
        <v/>
      </c>
      <c r="BO63" s="72" t="str">
        <f t="shared" si="27"/>
        <v/>
      </c>
      <c r="BP63" s="39"/>
      <c r="BQ63" s="72" t="str">
        <f t="shared" si="40"/>
        <v/>
      </c>
      <c r="BR63" s="72" t="str">
        <f t="shared" si="28"/>
        <v/>
      </c>
    </row>
    <row r="64" spans="3:70" x14ac:dyDescent="0.15">
      <c r="C64" s="71" t="s">
        <v>589</v>
      </c>
      <c r="F64" s="477">
        <v>0.26822400000000002</v>
      </c>
      <c r="G64" s="84" t="s">
        <v>590</v>
      </c>
      <c r="I64" s="322">
        <f t="shared" si="29"/>
        <v>2069</v>
      </c>
      <c r="K64" s="71">
        <f t="shared" si="30"/>
        <v>50</v>
      </c>
      <c r="M64" s="7">
        <f t="shared" si="0"/>
        <v>0.22810707978975397</v>
      </c>
      <c r="O64" s="10" t="str">
        <f t="shared" si="12"/>
        <v/>
      </c>
      <c r="P64" s="29" t="str">
        <f t="shared" si="32"/>
        <v/>
      </c>
      <c r="R64" s="10" t="str">
        <f t="shared" si="41"/>
        <v/>
      </c>
      <c r="T64" s="10" t="str">
        <f t="shared" si="14"/>
        <v/>
      </c>
      <c r="V64" s="10" t="str">
        <f t="shared" si="33"/>
        <v/>
      </c>
      <c r="W64" s="10" t="str">
        <f t="shared" si="15"/>
        <v/>
      </c>
      <c r="Y64" s="10" t="str">
        <f t="shared" si="34"/>
        <v/>
      </c>
      <c r="Z64" s="10" t="str">
        <f t="shared" si="16"/>
        <v/>
      </c>
      <c r="AB64" s="10" t="str">
        <f t="shared" si="4"/>
        <v/>
      </c>
      <c r="AC64" s="10" t="str">
        <f t="shared" si="17"/>
        <v/>
      </c>
      <c r="AE64" s="10" t="str">
        <f t="shared" si="35"/>
        <v/>
      </c>
      <c r="AF64" s="10" t="str">
        <f t="shared" si="18"/>
        <v/>
      </c>
      <c r="AH64" s="10" t="str">
        <f t="shared" si="42"/>
        <v/>
      </c>
      <c r="AI64" s="10" t="str">
        <f t="shared" si="19"/>
        <v/>
      </c>
      <c r="AK64" s="10" t="str">
        <f t="shared" si="43"/>
        <v/>
      </c>
      <c r="AL64" s="10" t="str">
        <f t="shared" si="44"/>
        <v/>
      </c>
      <c r="AN64" s="10" t="str">
        <f t="shared" si="45"/>
        <v/>
      </c>
      <c r="AO64" s="10" t="str">
        <f t="shared" si="46"/>
        <v/>
      </c>
      <c r="AQ64" s="10" t="str">
        <f t="shared" si="47"/>
        <v/>
      </c>
      <c r="AR64" s="10" t="str">
        <f t="shared" si="48"/>
        <v/>
      </c>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V64" s="10" t="str">
        <f t="shared" si="36"/>
        <v/>
      </c>
      <c r="AW64" s="10" t="str">
        <f t="shared" si="7"/>
        <v/>
      </c>
      <c r="AY64" s="7" t="str">
        <f>IF(ISERROR(IF($K64&lt;=$F$15,VLOOKUP($I64,'表4）CO2価格'!$A$7:$E$67,VLOOKUP($F$48,'表4）CO2価格'!$H$10:$I$12,2,0),0)*$F$8/1000,"")),0,IF($K64&lt;=$F$15,VLOOKUP($I64,'表4）CO2価格'!$A$7:$E$67,VLOOKUP($F$48,'表4）CO2価格'!$H$10:$I$12,2,0),0)*$F$8/1000,""))</f>
        <v/>
      </c>
      <c r="BA64" s="11" t="str">
        <f t="shared" si="37"/>
        <v/>
      </c>
      <c r="BB64" s="10" t="str">
        <f t="shared" si="20"/>
        <v/>
      </c>
      <c r="BD64" s="10" t="str">
        <f t="shared" si="38"/>
        <v/>
      </c>
      <c r="BE64" s="10" t="str">
        <f t="shared" si="21"/>
        <v/>
      </c>
      <c r="BG64" s="11" t="str">
        <f t="shared" si="39"/>
        <v/>
      </c>
      <c r="BH64" s="10" t="str">
        <f t="shared" si="22"/>
        <v/>
      </c>
      <c r="BJ64" s="7" t="str">
        <f t="shared" si="23"/>
        <v/>
      </c>
      <c r="BK64" s="158" t="str">
        <f t="shared" si="24"/>
        <v/>
      </c>
      <c r="BL64" s="158" t="str">
        <f t="shared" si="25"/>
        <v/>
      </c>
      <c r="BM64" s="10"/>
      <c r="BN64" s="10" t="str">
        <f t="shared" si="26"/>
        <v/>
      </c>
      <c r="BO64" s="10" t="str">
        <f t="shared" si="27"/>
        <v/>
      </c>
      <c r="BQ64" s="10" t="str">
        <f t="shared" si="40"/>
        <v/>
      </c>
      <c r="BR64" s="10" t="str">
        <f t="shared" si="28"/>
        <v/>
      </c>
    </row>
    <row r="65" spans="2:70" x14ac:dyDescent="0.15">
      <c r="I65" s="38">
        <f t="shared" si="29"/>
        <v>2070</v>
      </c>
      <c r="J65" s="39"/>
      <c r="K65" s="39">
        <f t="shared" si="30"/>
        <v>51</v>
      </c>
      <c r="L65" s="39"/>
      <c r="M65" s="40">
        <f t="shared" si="0"/>
        <v>0.22146318426189707</v>
      </c>
      <c r="N65" s="39"/>
      <c r="O65" s="72" t="str">
        <f t="shared" si="12"/>
        <v/>
      </c>
      <c r="P65" s="41" t="str">
        <f t="shared" si="32"/>
        <v/>
      </c>
      <c r="Q65" s="39"/>
      <c r="R65" s="72" t="str">
        <f t="shared" si="41"/>
        <v/>
      </c>
      <c r="S65" s="39"/>
      <c r="T65" s="72" t="str">
        <f t="shared" si="14"/>
        <v/>
      </c>
      <c r="U65" s="39"/>
      <c r="V65" s="72" t="str">
        <f t="shared" si="33"/>
        <v/>
      </c>
      <c r="W65" s="72" t="str">
        <f t="shared" si="15"/>
        <v/>
      </c>
      <c r="X65" s="39"/>
      <c r="Y65" s="72" t="str">
        <f t="shared" si="34"/>
        <v/>
      </c>
      <c r="Z65" s="72" t="str">
        <f t="shared" si="16"/>
        <v/>
      </c>
      <c r="AA65" s="39"/>
      <c r="AB65" s="72" t="str">
        <f t="shared" si="4"/>
        <v/>
      </c>
      <c r="AC65" s="72" t="str">
        <f t="shared" si="17"/>
        <v/>
      </c>
      <c r="AD65" s="39"/>
      <c r="AE65" s="72" t="str">
        <f t="shared" si="35"/>
        <v/>
      </c>
      <c r="AF65" s="72" t="str">
        <f t="shared" si="18"/>
        <v/>
      </c>
      <c r="AG65" s="39"/>
      <c r="AH65" s="72" t="str">
        <f t="shared" si="42"/>
        <v/>
      </c>
      <c r="AI65" s="72" t="str">
        <f t="shared" si="19"/>
        <v/>
      </c>
      <c r="AJ65" s="39"/>
      <c r="AK65" s="72" t="str">
        <f t="shared" si="43"/>
        <v/>
      </c>
      <c r="AL65" s="72" t="str">
        <f t="shared" si="44"/>
        <v/>
      </c>
      <c r="AM65" s="39"/>
      <c r="AN65" s="72" t="str">
        <f t="shared" si="45"/>
        <v/>
      </c>
      <c r="AO65" s="72" t="str">
        <f t="shared" si="46"/>
        <v/>
      </c>
      <c r="AP65" s="39"/>
      <c r="AQ65" s="72" t="str">
        <f t="shared" si="47"/>
        <v/>
      </c>
      <c r="AR65" s="72" t="str">
        <f t="shared" si="48"/>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36"/>
        <v/>
      </c>
      <c r="AW65" s="72" t="str">
        <f t="shared" si="7"/>
        <v/>
      </c>
      <c r="AX65" s="39"/>
      <c r="AY65" s="40" t="str">
        <f>IF(ISERROR(IF($K65&lt;=$F$15,VLOOKUP($I65,'表4）CO2価格'!$A$7:$E$67,VLOOKUP($F$48,'表4）CO2価格'!$H$10:$I$12,2,0),0)*$F$8/1000,"")),0,IF($K65&lt;=$F$15,VLOOKUP($I65,'表4）CO2価格'!$A$7:$E$67,VLOOKUP($F$48,'表4）CO2価格'!$H$10:$I$12,2,0),0)*$F$8/1000,""))</f>
        <v/>
      </c>
      <c r="AZ65" s="39"/>
      <c r="BA65" s="42" t="str">
        <f t="shared" si="37"/>
        <v/>
      </c>
      <c r="BB65" s="72" t="str">
        <f t="shared" si="20"/>
        <v/>
      </c>
      <c r="BC65" s="39"/>
      <c r="BD65" s="72" t="str">
        <f t="shared" si="38"/>
        <v/>
      </c>
      <c r="BE65" s="72" t="str">
        <f t="shared" si="21"/>
        <v/>
      </c>
      <c r="BF65" s="39"/>
      <c r="BG65" s="42" t="str">
        <f t="shared" si="39"/>
        <v/>
      </c>
      <c r="BH65" s="72" t="str">
        <f t="shared" si="22"/>
        <v/>
      </c>
      <c r="BI65" s="39"/>
      <c r="BJ65" s="40" t="str">
        <f t="shared" si="23"/>
        <v/>
      </c>
      <c r="BK65" s="157" t="str">
        <f t="shared" si="24"/>
        <v/>
      </c>
      <c r="BL65" s="157" t="str">
        <f t="shared" si="25"/>
        <v/>
      </c>
      <c r="BM65" s="72"/>
      <c r="BN65" s="72" t="str">
        <f t="shared" si="26"/>
        <v/>
      </c>
      <c r="BO65" s="72" t="str">
        <f t="shared" si="27"/>
        <v/>
      </c>
      <c r="BP65" s="39"/>
      <c r="BQ65" s="72" t="str">
        <f t="shared" si="40"/>
        <v/>
      </c>
      <c r="BR65" s="72" t="str">
        <f t="shared" si="28"/>
        <v/>
      </c>
    </row>
    <row r="66" spans="2:70" x14ac:dyDescent="0.15">
      <c r="I66" s="322">
        <f t="shared" si="29"/>
        <v>2071</v>
      </c>
      <c r="K66" s="71">
        <f t="shared" si="30"/>
        <v>52</v>
      </c>
      <c r="M66" s="7">
        <f t="shared" si="0"/>
        <v>0.215012800254269</v>
      </c>
      <c r="O66" s="10" t="str">
        <f t="shared" si="12"/>
        <v/>
      </c>
      <c r="P66" s="29" t="str">
        <f t="shared" si="32"/>
        <v/>
      </c>
      <c r="R66" s="10" t="str">
        <f t="shared" si="41"/>
        <v/>
      </c>
      <c r="T66" s="10" t="str">
        <f t="shared" si="14"/>
        <v/>
      </c>
      <c r="V66" s="10" t="str">
        <f t="shared" si="33"/>
        <v/>
      </c>
      <c r="W66" s="10" t="str">
        <f t="shared" si="15"/>
        <v/>
      </c>
      <c r="Y66" s="10" t="str">
        <f t="shared" si="34"/>
        <v/>
      </c>
      <c r="Z66" s="10" t="str">
        <f t="shared" si="16"/>
        <v/>
      </c>
      <c r="AB66" s="10" t="str">
        <f t="shared" si="4"/>
        <v/>
      </c>
      <c r="AC66" s="10" t="str">
        <f t="shared" si="17"/>
        <v/>
      </c>
      <c r="AE66" s="10" t="str">
        <f t="shared" si="35"/>
        <v/>
      </c>
      <c r="AF66" s="10" t="str">
        <f t="shared" si="18"/>
        <v/>
      </c>
      <c r="AH66" s="10" t="str">
        <f t="shared" si="42"/>
        <v/>
      </c>
      <c r="AI66" s="10" t="str">
        <f t="shared" si="19"/>
        <v/>
      </c>
      <c r="AK66" s="10" t="str">
        <f t="shared" si="43"/>
        <v/>
      </c>
      <c r="AL66" s="10" t="str">
        <f t="shared" si="44"/>
        <v/>
      </c>
      <c r="AN66" s="10" t="str">
        <f t="shared" si="45"/>
        <v/>
      </c>
      <c r="AO66" s="10" t="str">
        <f t="shared" si="46"/>
        <v/>
      </c>
      <c r="AQ66" s="10" t="str">
        <f t="shared" si="47"/>
        <v/>
      </c>
      <c r="AR66" s="10" t="str">
        <f t="shared" si="48"/>
        <v/>
      </c>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V66" s="10" t="str">
        <f t="shared" si="36"/>
        <v/>
      </c>
      <c r="AW66" s="10" t="str">
        <f t="shared" si="7"/>
        <v/>
      </c>
      <c r="AY66" s="7" t="str">
        <f>IF(ISERROR(IF($K66&lt;=$F$15,VLOOKUP($I66,'表4）CO2価格'!$A$7:$E$67,VLOOKUP($F$48,'表4）CO2価格'!$H$10:$I$12,2,0),0)*$F$8/1000,"")),0,IF($K66&lt;=$F$15,VLOOKUP($I66,'表4）CO2価格'!$A$7:$E$67,VLOOKUP($F$48,'表4）CO2価格'!$H$10:$I$12,2,0),0)*$F$8/1000,""))</f>
        <v/>
      </c>
      <c r="BA66" s="11" t="str">
        <f t="shared" si="37"/>
        <v/>
      </c>
      <c r="BB66" s="10" t="str">
        <f t="shared" si="20"/>
        <v/>
      </c>
      <c r="BD66" s="10" t="str">
        <f t="shared" si="38"/>
        <v/>
      </c>
      <c r="BE66" s="10" t="str">
        <f t="shared" si="21"/>
        <v/>
      </c>
      <c r="BG66" s="11" t="str">
        <f t="shared" si="39"/>
        <v/>
      </c>
      <c r="BH66" s="10" t="str">
        <f t="shared" si="22"/>
        <v/>
      </c>
      <c r="BJ66" s="7" t="str">
        <f t="shared" si="23"/>
        <v/>
      </c>
      <c r="BK66" s="158" t="str">
        <f t="shared" si="24"/>
        <v/>
      </c>
      <c r="BL66" s="158" t="str">
        <f t="shared" si="25"/>
        <v/>
      </c>
      <c r="BM66" s="10"/>
      <c r="BN66" s="10" t="str">
        <f t="shared" si="26"/>
        <v/>
      </c>
      <c r="BO66" s="10" t="str">
        <f t="shared" si="27"/>
        <v/>
      </c>
      <c r="BQ66" s="10" t="str">
        <f t="shared" si="40"/>
        <v/>
      </c>
      <c r="BR66" s="10" t="str">
        <f t="shared" si="28"/>
        <v/>
      </c>
    </row>
    <row r="67" spans="2:70" ht="15.75" thickBot="1" x14ac:dyDescent="0.2">
      <c r="B67" s="5" t="s">
        <v>133</v>
      </c>
      <c r="C67" s="3"/>
      <c r="D67" s="102"/>
      <c r="E67" s="102"/>
      <c r="F67" s="3"/>
      <c r="G67" s="102"/>
      <c r="I67" s="38">
        <f t="shared" si="29"/>
        <v>2072</v>
      </c>
      <c r="J67" s="39"/>
      <c r="K67" s="39">
        <f t="shared" si="30"/>
        <v>53</v>
      </c>
      <c r="L67" s="39"/>
      <c r="M67" s="40">
        <f t="shared" si="0"/>
        <v>0.20875029150899907</v>
      </c>
      <c r="N67" s="39"/>
      <c r="O67" s="72" t="str">
        <f t="shared" si="12"/>
        <v/>
      </c>
      <c r="P67" s="41" t="str">
        <f t="shared" si="32"/>
        <v/>
      </c>
      <c r="Q67" s="39"/>
      <c r="R67" s="72" t="str">
        <f t="shared" si="41"/>
        <v/>
      </c>
      <c r="S67" s="39"/>
      <c r="T67" s="72" t="str">
        <f t="shared" si="14"/>
        <v/>
      </c>
      <c r="U67" s="39"/>
      <c r="V67" s="72" t="str">
        <f t="shared" si="33"/>
        <v/>
      </c>
      <c r="W67" s="72" t="str">
        <f t="shared" si="15"/>
        <v/>
      </c>
      <c r="X67" s="39"/>
      <c r="Y67" s="72" t="str">
        <f t="shared" si="34"/>
        <v/>
      </c>
      <c r="Z67" s="72" t="str">
        <f t="shared" si="16"/>
        <v/>
      </c>
      <c r="AA67" s="39"/>
      <c r="AB67" s="72" t="str">
        <f t="shared" si="4"/>
        <v/>
      </c>
      <c r="AC67" s="72" t="str">
        <f t="shared" si="17"/>
        <v/>
      </c>
      <c r="AD67" s="39"/>
      <c r="AE67" s="72" t="str">
        <f t="shared" si="35"/>
        <v/>
      </c>
      <c r="AF67" s="72" t="str">
        <f t="shared" si="18"/>
        <v/>
      </c>
      <c r="AG67" s="39"/>
      <c r="AH67" s="72" t="str">
        <f t="shared" si="42"/>
        <v/>
      </c>
      <c r="AI67" s="72" t="str">
        <f t="shared" si="19"/>
        <v/>
      </c>
      <c r="AJ67" s="39"/>
      <c r="AK67" s="72" t="str">
        <f t="shared" si="43"/>
        <v/>
      </c>
      <c r="AL67" s="72" t="str">
        <f t="shared" si="44"/>
        <v/>
      </c>
      <c r="AM67" s="39"/>
      <c r="AN67" s="72" t="str">
        <f t="shared" si="45"/>
        <v/>
      </c>
      <c r="AO67" s="72" t="str">
        <f t="shared" si="46"/>
        <v/>
      </c>
      <c r="AP67" s="39"/>
      <c r="AQ67" s="72" t="str">
        <f t="shared" si="47"/>
        <v/>
      </c>
      <c r="AR67" s="72" t="str">
        <f t="shared" si="48"/>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36"/>
        <v/>
      </c>
      <c r="AW67" s="72" t="str">
        <f t="shared" si="7"/>
        <v/>
      </c>
      <c r="AX67" s="39"/>
      <c r="AY67" s="40" t="str">
        <f>IF(ISERROR(IF($K67&lt;=$F$15,VLOOKUP($I67,'表4）CO2価格'!$A$7:$E$67,VLOOKUP($F$48,'表4）CO2価格'!$H$10:$I$12,2,0),0)*$F$8/1000,"")),0,IF($K67&lt;=$F$15,VLOOKUP($I67,'表4）CO2価格'!$A$7:$E$67,VLOOKUP($F$48,'表4）CO2価格'!$H$10:$I$12,2,0),0)*$F$8/1000,""))</f>
        <v/>
      </c>
      <c r="AZ67" s="39"/>
      <c r="BA67" s="42" t="str">
        <f t="shared" si="37"/>
        <v/>
      </c>
      <c r="BB67" s="72" t="str">
        <f t="shared" si="20"/>
        <v/>
      </c>
      <c r="BC67" s="39"/>
      <c r="BD67" s="72" t="str">
        <f t="shared" si="38"/>
        <v/>
      </c>
      <c r="BE67" s="72" t="str">
        <f t="shared" si="21"/>
        <v/>
      </c>
      <c r="BF67" s="39"/>
      <c r="BG67" s="42" t="str">
        <f t="shared" si="39"/>
        <v/>
      </c>
      <c r="BH67" s="72" t="str">
        <f t="shared" si="22"/>
        <v/>
      </c>
      <c r="BI67" s="39"/>
      <c r="BJ67" s="40" t="str">
        <f t="shared" si="23"/>
        <v/>
      </c>
      <c r="BK67" s="157" t="str">
        <f t="shared" si="24"/>
        <v/>
      </c>
      <c r="BL67" s="157" t="str">
        <f t="shared" si="25"/>
        <v/>
      </c>
      <c r="BM67" s="72"/>
      <c r="BN67" s="72" t="str">
        <f t="shared" si="26"/>
        <v/>
      </c>
      <c r="BO67" s="72" t="str">
        <f t="shared" si="27"/>
        <v/>
      </c>
      <c r="BP67" s="39"/>
      <c r="BQ67" s="72" t="str">
        <f t="shared" si="40"/>
        <v/>
      </c>
      <c r="BR67" s="72" t="str">
        <f t="shared" si="28"/>
        <v/>
      </c>
    </row>
    <row r="68" spans="2:70" x14ac:dyDescent="0.15">
      <c r="I68" s="322">
        <f t="shared" si="29"/>
        <v>2073</v>
      </c>
      <c r="K68" s="71">
        <f t="shared" si="30"/>
        <v>54</v>
      </c>
      <c r="M68" s="7">
        <f t="shared" si="0"/>
        <v>0.20267018593106703</v>
      </c>
      <c r="O68" s="10" t="str">
        <f t="shared" si="12"/>
        <v/>
      </c>
      <c r="P68" s="29" t="str">
        <f t="shared" si="32"/>
        <v/>
      </c>
      <c r="R68" s="10" t="str">
        <f t="shared" si="41"/>
        <v/>
      </c>
      <c r="T68" s="10" t="str">
        <f t="shared" si="14"/>
        <v/>
      </c>
      <c r="V68" s="10" t="str">
        <f t="shared" si="33"/>
        <v/>
      </c>
      <c r="W68" s="10" t="str">
        <f t="shared" si="15"/>
        <v/>
      </c>
      <c r="Y68" s="10" t="str">
        <f t="shared" si="34"/>
        <v/>
      </c>
      <c r="Z68" s="10" t="str">
        <f t="shared" si="16"/>
        <v/>
      </c>
      <c r="AB68" s="10" t="str">
        <f t="shared" si="4"/>
        <v/>
      </c>
      <c r="AC68" s="10" t="str">
        <f t="shared" si="17"/>
        <v/>
      </c>
      <c r="AE68" s="10" t="str">
        <f t="shared" si="35"/>
        <v/>
      </c>
      <c r="AF68" s="10" t="str">
        <f t="shared" si="18"/>
        <v/>
      </c>
      <c r="AH68" s="10" t="str">
        <f t="shared" si="42"/>
        <v/>
      </c>
      <c r="AI68" s="10" t="str">
        <f t="shared" si="19"/>
        <v/>
      </c>
      <c r="AK68" s="10" t="str">
        <f t="shared" si="43"/>
        <v/>
      </c>
      <c r="AL68" s="10" t="str">
        <f t="shared" si="44"/>
        <v/>
      </c>
      <c r="AN68" s="10" t="str">
        <f t="shared" si="45"/>
        <v/>
      </c>
      <c r="AO68" s="10" t="str">
        <f t="shared" si="46"/>
        <v/>
      </c>
      <c r="AQ68" s="10" t="str">
        <f t="shared" si="47"/>
        <v/>
      </c>
      <c r="AR68" s="10" t="str">
        <f t="shared" si="48"/>
        <v/>
      </c>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V68" s="10" t="str">
        <f t="shared" si="36"/>
        <v/>
      </c>
      <c r="AW68" s="10" t="str">
        <f t="shared" si="7"/>
        <v/>
      </c>
      <c r="AY68" s="7" t="str">
        <f>IF(ISERROR(IF($K68&lt;=$F$15,VLOOKUP($I68,'表4）CO2価格'!$A$7:$E$67,VLOOKUP($F$48,'表4）CO2価格'!$H$10:$I$12,2,0),0)*$F$8/1000,"")),0,IF($K68&lt;=$F$15,VLOOKUP($I68,'表4）CO2価格'!$A$7:$E$67,VLOOKUP($F$48,'表4）CO2価格'!$H$10:$I$12,2,0),0)*$F$8/1000,""))</f>
        <v/>
      </c>
      <c r="BA68" s="11" t="str">
        <f t="shared" si="37"/>
        <v/>
      </c>
      <c r="BB68" s="10" t="str">
        <f t="shared" si="20"/>
        <v/>
      </c>
      <c r="BD68" s="10" t="str">
        <f t="shared" si="38"/>
        <v/>
      </c>
      <c r="BE68" s="10" t="str">
        <f t="shared" si="21"/>
        <v/>
      </c>
      <c r="BG68" s="11" t="str">
        <f t="shared" si="39"/>
        <v/>
      </c>
      <c r="BH68" s="10" t="str">
        <f t="shared" si="22"/>
        <v/>
      </c>
      <c r="BJ68" s="7" t="str">
        <f t="shared" si="23"/>
        <v/>
      </c>
      <c r="BK68" s="158" t="str">
        <f t="shared" si="24"/>
        <v/>
      </c>
      <c r="BL68" s="158" t="str">
        <f t="shared" si="25"/>
        <v/>
      </c>
      <c r="BM68" s="10"/>
      <c r="BN68" s="10" t="str">
        <f t="shared" si="26"/>
        <v/>
      </c>
      <c r="BO68" s="10" t="str">
        <f t="shared" si="27"/>
        <v/>
      </c>
      <c r="BQ68" s="10" t="str">
        <f t="shared" si="40"/>
        <v/>
      </c>
      <c r="BR68" s="10" t="str">
        <f t="shared" si="28"/>
        <v/>
      </c>
    </row>
    <row r="69" spans="2:70" x14ac:dyDescent="0.15">
      <c r="C69" s="483" t="s">
        <v>134</v>
      </c>
      <c r="D69" s="71"/>
      <c r="E69" s="71"/>
      <c r="F69" s="484">
        <f>SUBTOTAL(9,F74:F112)-F105</f>
        <v>28.138016899681357</v>
      </c>
      <c r="G69" s="71" t="s">
        <v>590</v>
      </c>
      <c r="I69" s="38">
        <f t="shared" si="29"/>
        <v>2074</v>
      </c>
      <c r="J69" s="39"/>
      <c r="K69" s="39">
        <f t="shared" si="30"/>
        <v>55</v>
      </c>
      <c r="L69" s="39"/>
      <c r="M69" s="40">
        <f t="shared" si="0"/>
        <v>0.19676717080686118</v>
      </c>
      <c r="N69" s="39"/>
      <c r="O69" s="72" t="str">
        <f t="shared" si="12"/>
        <v/>
      </c>
      <c r="P69" s="41" t="str">
        <f t="shared" si="32"/>
        <v/>
      </c>
      <c r="Q69" s="39"/>
      <c r="R69" s="72" t="str">
        <f t="shared" si="41"/>
        <v/>
      </c>
      <c r="S69" s="39"/>
      <c r="T69" s="72" t="str">
        <f t="shared" si="14"/>
        <v/>
      </c>
      <c r="U69" s="39"/>
      <c r="V69" s="72" t="str">
        <f t="shared" si="33"/>
        <v/>
      </c>
      <c r="W69" s="72" t="str">
        <f t="shared" si="15"/>
        <v/>
      </c>
      <c r="X69" s="39"/>
      <c r="Y69" s="72" t="str">
        <f t="shared" si="34"/>
        <v/>
      </c>
      <c r="Z69" s="72" t="str">
        <f t="shared" si="16"/>
        <v/>
      </c>
      <c r="AA69" s="39"/>
      <c r="AB69" s="72" t="str">
        <f t="shared" si="4"/>
        <v/>
      </c>
      <c r="AC69" s="72" t="str">
        <f t="shared" si="17"/>
        <v/>
      </c>
      <c r="AD69" s="39"/>
      <c r="AE69" s="72" t="str">
        <f t="shared" si="35"/>
        <v/>
      </c>
      <c r="AF69" s="72" t="str">
        <f t="shared" si="18"/>
        <v/>
      </c>
      <c r="AG69" s="39"/>
      <c r="AH69" s="72" t="str">
        <f t="shared" si="42"/>
        <v/>
      </c>
      <c r="AI69" s="72" t="str">
        <f t="shared" si="19"/>
        <v/>
      </c>
      <c r="AJ69" s="39"/>
      <c r="AK69" s="72" t="str">
        <f t="shared" si="43"/>
        <v/>
      </c>
      <c r="AL69" s="72" t="str">
        <f t="shared" si="44"/>
        <v/>
      </c>
      <c r="AM69" s="39"/>
      <c r="AN69" s="72" t="str">
        <f t="shared" si="45"/>
        <v/>
      </c>
      <c r="AO69" s="72" t="str">
        <f t="shared" si="46"/>
        <v/>
      </c>
      <c r="AP69" s="39"/>
      <c r="AQ69" s="72" t="str">
        <f t="shared" si="47"/>
        <v/>
      </c>
      <c r="AR69" s="72" t="str">
        <f t="shared" si="48"/>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36"/>
        <v/>
      </c>
      <c r="AW69" s="72" t="str">
        <f t="shared" si="7"/>
        <v/>
      </c>
      <c r="AX69" s="39"/>
      <c r="AY69" s="40" t="str">
        <f>IF(ISERROR(IF($K69&lt;=$F$15,VLOOKUP($I69,'表4）CO2価格'!$A$7:$E$67,VLOOKUP($F$48,'表4）CO2価格'!$H$10:$I$12,2,0),0)*$F$8/1000,"")),0,IF($K69&lt;=$F$15,VLOOKUP($I69,'表4）CO2価格'!$A$7:$E$67,VLOOKUP($F$48,'表4）CO2価格'!$H$10:$I$12,2,0),0)*$F$8/1000,""))</f>
        <v/>
      </c>
      <c r="AZ69" s="39"/>
      <c r="BA69" s="42" t="str">
        <f t="shared" si="37"/>
        <v/>
      </c>
      <c r="BB69" s="72" t="str">
        <f t="shared" si="20"/>
        <v/>
      </c>
      <c r="BC69" s="39"/>
      <c r="BD69" s="72" t="str">
        <f t="shared" si="38"/>
        <v/>
      </c>
      <c r="BE69" s="72" t="str">
        <f t="shared" si="21"/>
        <v/>
      </c>
      <c r="BF69" s="39"/>
      <c r="BG69" s="42" t="str">
        <f t="shared" si="39"/>
        <v/>
      </c>
      <c r="BH69" s="72" t="str">
        <f t="shared" si="22"/>
        <v/>
      </c>
      <c r="BI69" s="39"/>
      <c r="BJ69" s="40" t="str">
        <f t="shared" si="23"/>
        <v/>
      </c>
      <c r="BK69" s="157" t="str">
        <f t="shared" si="24"/>
        <v/>
      </c>
      <c r="BL69" s="157" t="str">
        <f t="shared" si="25"/>
        <v/>
      </c>
      <c r="BM69" s="72"/>
      <c r="BN69" s="72" t="str">
        <f t="shared" si="26"/>
        <v/>
      </c>
      <c r="BO69" s="72" t="str">
        <f t="shared" si="27"/>
        <v/>
      </c>
      <c r="BP69" s="39"/>
      <c r="BQ69" s="72" t="str">
        <f t="shared" si="40"/>
        <v/>
      </c>
      <c r="BR69" s="72" t="str">
        <f t="shared" si="28"/>
        <v/>
      </c>
    </row>
    <row r="70" spans="2:70" x14ac:dyDescent="0.15">
      <c r="C70" s="483" t="s">
        <v>135</v>
      </c>
      <c r="D70" s="71"/>
      <c r="E70" s="71"/>
      <c r="F70" s="484">
        <f ca="1">MAX(SUM($Z$117,$AF$117,$AI$117,$AL$117,$AO$117,$AR$117,$AW$117,$BB$117,$BE$117,$BH$117,$BO$116)/$BR$116+$F$105,SUBTOTAL(9,F74:F112))</f>
        <v>29.83285316107867</v>
      </c>
      <c r="G70" s="71" t="s">
        <v>590</v>
      </c>
      <c r="I70" s="322">
        <f t="shared" si="29"/>
        <v>2075</v>
      </c>
      <c r="K70" s="71">
        <f t="shared" si="30"/>
        <v>56</v>
      </c>
      <c r="M70" s="7">
        <f t="shared" si="0"/>
        <v>0.19103608816200118</v>
      </c>
      <c r="O70" s="10" t="str">
        <f t="shared" si="12"/>
        <v/>
      </c>
      <c r="P70" s="29" t="str">
        <f t="shared" si="32"/>
        <v/>
      </c>
      <c r="R70" s="10" t="str">
        <f t="shared" si="41"/>
        <v/>
      </c>
      <c r="T70" s="10" t="str">
        <f t="shared" si="14"/>
        <v/>
      </c>
      <c r="V70" s="10" t="str">
        <f t="shared" si="33"/>
        <v/>
      </c>
      <c r="W70" s="10" t="str">
        <f t="shared" si="15"/>
        <v/>
      </c>
      <c r="Y70" s="10" t="str">
        <f t="shared" si="34"/>
        <v/>
      </c>
      <c r="Z70" s="10" t="str">
        <f t="shared" si="16"/>
        <v/>
      </c>
      <c r="AB70" s="10" t="str">
        <f t="shared" si="4"/>
        <v/>
      </c>
      <c r="AC70" s="10" t="str">
        <f t="shared" si="17"/>
        <v/>
      </c>
      <c r="AE70" s="10" t="str">
        <f t="shared" si="35"/>
        <v/>
      </c>
      <c r="AF70" s="10" t="str">
        <f t="shared" si="18"/>
        <v/>
      </c>
      <c r="AH70" s="10" t="str">
        <f t="shared" si="42"/>
        <v/>
      </c>
      <c r="AI70" s="10" t="str">
        <f t="shared" si="19"/>
        <v/>
      </c>
      <c r="AK70" s="10" t="str">
        <f t="shared" si="43"/>
        <v/>
      </c>
      <c r="AL70" s="10" t="str">
        <f t="shared" si="44"/>
        <v/>
      </c>
      <c r="AN70" s="10" t="str">
        <f t="shared" si="45"/>
        <v/>
      </c>
      <c r="AO70" s="10" t="str">
        <f t="shared" si="46"/>
        <v/>
      </c>
      <c r="AQ70" s="10" t="str">
        <f t="shared" si="47"/>
        <v/>
      </c>
      <c r="AR70" s="10" t="str">
        <f t="shared" si="48"/>
        <v/>
      </c>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V70" s="10" t="str">
        <f t="shared" si="36"/>
        <v/>
      </c>
      <c r="AW70" s="10" t="str">
        <f t="shared" si="7"/>
        <v/>
      </c>
      <c r="AY70" s="7" t="str">
        <f>IF(ISERROR(IF($K70&lt;=$F$15,VLOOKUP($I70,'表4）CO2価格'!$A$7:$E$67,VLOOKUP($F$48,'表4）CO2価格'!$H$10:$I$12,2,0),0)*$F$8/1000,"")),0,IF($K70&lt;=$F$15,VLOOKUP($I70,'表4）CO2価格'!$A$7:$E$67,VLOOKUP($F$48,'表4）CO2価格'!$H$10:$I$12,2,0),0)*$F$8/1000,""))</f>
        <v/>
      </c>
      <c r="BA70" s="11" t="str">
        <f t="shared" si="37"/>
        <v/>
      </c>
      <c r="BB70" s="10" t="str">
        <f t="shared" si="20"/>
        <v/>
      </c>
      <c r="BD70" s="10" t="str">
        <f t="shared" si="38"/>
        <v/>
      </c>
      <c r="BE70" s="10" t="str">
        <f t="shared" si="21"/>
        <v/>
      </c>
      <c r="BG70" s="11" t="str">
        <f t="shared" si="39"/>
        <v/>
      </c>
      <c r="BH70" s="10" t="str">
        <f t="shared" si="22"/>
        <v/>
      </c>
      <c r="BJ70" s="7" t="str">
        <f t="shared" si="23"/>
        <v/>
      </c>
      <c r="BK70" s="158" t="str">
        <f t="shared" si="24"/>
        <v/>
      </c>
      <c r="BL70" s="158" t="str">
        <f t="shared" si="25"/>
        <v/>
      </c>
      <c r="BM70" s="10"/>
      <c r="BN70" s="10" t="str">
        <f t="shared" si="26"/>
        <v/>
      </c>
      <c r="BO70" s="10" t="str">
        <f t="shared" si="27"/>
        <v/>
      </c>
      <c r="BQ70" s="10" t="str">
        <f t="shared" si="40"/>
        <v/>
      </c>
      <c r="BR70" s="10" t="str">
        <f t="shared" si="28"/>
        <v/>
      </c>
    </row>
    <row r="71" spans="2:70" x14ac:dyDescent="0.15">
      <c r="F71" s="485"/>
      <c r="I71" s="38">
        <f t="shared" si="29"/>
        <v>2076</v>
      </c>
      <c r="J71" s="39"/>
      <c r="K71" s="39">
        <f t="shared" si="30"/>
        <v>57</v>
      </c>
      <c r="L71" s="39"/>
      <c r="M71" s="40">
        <f t="shared" si="0"/>
        <v>0.18547193025437006</v>
      </c>
      <c r="N71" s="39"/>
      <c r="O71" s="72" t="str">
        <f t="shared" si="12"/>
        <v/>
      </c>
      <c r="P71" s="41" t="str">
        <f t="shared" si="32"/>
        <v/>
      </c>
      <c r="Q71" s="39"/>
      <c r="R71" s="72" t="str">
        <f t="shared" si="41"/>
        <v/>
      </c>
      <c r="S71" s="39"/>
      <c r="T71" s="72" t="str">
        <f t="shared" si="14"/>
        <v/>
      </c>
      <c r="U71" s="39"/>
      <c r="V71" s="72" t="str">
        <f t="shared" si="33"/>
        <v/>
      </c>
      <c r="W71" s="72" t="str">
        <f t="shared" si="15"/>
        <v/>
      </c>
      <c r="X71" s="39"/>
      <c r="Y71" s="72" t="str">
        <f t="shared" si="34"/>
        <v/>
      </c>
      <c r="Z71" s="72" t="str">
        <f t="shared" si="16"/>
        <v/>
      </c>
      <c r="AA71" s="39"/>
      <c r="AB71" s="72" t="str">
        <f t="shared" si="4"/>
        <v/>
      </c>
      <c r="AC71" s="72" t="str">
        <f t="shared" si="17"/>
        <v/>
      </c>
      <c r="AD71" s="39"/>
      <c r="AE71" s="72" t="str">
        <f t="shared" si="35"/>
        <v/>
      </c>
      <c r="AF71" s="72" t="str">
        <f t="shared" si="18"/>
        <v/>
      </c>
      <c r="AG71" s="39"/>
      <c r="AH71" s="72" t="str">
        <f t="shared" si="42"/>
        <v/>
      </c>
      <c r="AI71" s="72" t="str">
        <f t="shared" si="19"/>
        <v/>
      </c>
      <c r="AJ71" s="39"/>
      <c r="AK71" s="72" t="str">
        <f t="shared" si="43"/>
        <v/>
      </c>
      <c r="AL71" s="72" t="str">
        <f t="shared" si="44"/>
        <v/>
      </c>
      <c r="AM71" s="39"/>
      <c r="AN71" s="72" t="str">
        <f t="shared" si="45"/>
        <v/>
      </c>
      <c r="AO71" s="72" t="str">
        <f t="shared" si="46"/>
        <v/>
      </c>
      <c r="AP71" s="39"/>
      <c r="AQ71" s="72" t="str">
        <f t="shared" si="47"/>
        <v/>
      </c>
      <c r="AR71" s="72" t="str">
        <f t="shared" si="48"/>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36"/>
        <v/>
      </c>
      <c r="AW71" s="72" t="str">
        <f t="shared" si="7"/>
        <v/>
      </c>
      <c r="AX71" s="39"/>
      <c r="AY71" s="40" t="str">
        <f>IF(ISERROR(IF($K71&lt;=$F$15,VLOOKUP($I71,'表4）CO2価格'!$A$7:$E$67,VLOOKUP($F$48,'表4）CO2価格'!$H$10:$I$12,2,0),0)*$F$8/1000,"")),0,IF($K71&lt;=$F$15,VLOOKUP($I71,'表4）CO2価格'!$A$7:$E$67,VLOOKUP($F$48,'表4）CO2価格'!$H$10:$I$12,2,0),0)*$F$8/1000,""))</f>
        <v/>
      </c>
      <c r="AZ71" s="39"/>
      <c r="BA71" s="42" t="str">
        <f t="shared" si="37"/>
        <v/>
      </c>
      <c r="BB71" s="72" t="str">
        <f t="shared" si="20"/>
        <v/>
      </c>
      <c r="BC71" s="39"/>
      <c r="BD71" s="72" t="str">
        <f t="shared" si="38"/>
        <v/>
      </c>
      <c r="BE71" s="72" t="str">
        <f t="shared" si="21"/>
        <v/>
      </c>
      <c r="BF71" s="39"/>
      <c r="BG71" s="42" t="str">
        <f t="shared" si="39"/>
        <v/>
      </c>
      <c r="BH71" s="72" t="str">
        <f t="shared" si="22"/>
        <v/>
      </c>
      <c r="BI71" s="39"/>
      <c r="BJ71" s="40" t="str">
        <f t="shared" si="23"/>
        <v/>
      </c>
      <c r="BK71" s="157" t="str">
        <f t="shared" si="24"/>
        <v/>
      </c>
      <c r="BL71" s="157" t="str">
        <f t="shared" si="25"/>
        <v/>
      </c>
      <c r="BM71" s="72"/>
      <c r="BN71" s="72" t="str">
        <f t="shared" si="26"/>
        <v/>
      </c>
      <c r="BO71" s="72" t="str">
        <f t="shared" si="27"/>
        <v/>
      </c>
      <c r="BP71" s="39"/>
      <c r="BQ71" s="72" t="str">
        <f t="shared" si="40"/>
        <v/>
      </c>
      <c r="BR71" s="72" t="str">
        <f t="shared" si="28"/>
        <v/>
      </c>
    </row>
    <row r="72" spans="2:70" x14ac:dyDescent="0.15">
      <c r="C72" s="4" t="s">
        <v>136</v>
      </c>
      <c r="D72" s="100"/>
      <c r="E72" s="100"/>
      <c r="F72" s="486"/>
      <c r="G72" s="100"/>
      <c r="I72" s="322">
        <f t="shared" si="29"/>
        <v>2077</v>
      </c>
      <c r="K72" s="71">
        <f t="shared" si="30"/>
        <v>58</v>
      </c>
      <c r="M72" s="7">
        <f t="shared" si="0"/>
        <v>0.18006983519841754</v>
      </c>
      <c r="O72" s="10" t="str">
        <f t="shared" si="12"/>
        <v/>
      </c>
      <c r="P72" s="29" t="str">
        <f t="shared" si="32"/>
        <v/>
      </c>
      <c r="R72" s="10" t="str">
        <f t="shared" si="41"/>
        <v/>
      </c>
      <c r="T72" s="10" t="str">
        <f t="shared" si="14"/>
        <v/>
      </c>
      <c r="V72" s="10" t="str">
        <f t="shared" si="33"/>
        <v/>
      </c>
      <c r="W72" s="10" t="str">
        <f t="shared" si="15"/>
        <v/>
      </c>
      <c r="Y72" s="10" t="str">
        <f t="shared" si="34"/>
        <v/>
      </c>
      <c r="Z72" s="10" t="str">
        <f t="shared" si="16"/>
        <v/>
      </c>
      <c r="AB72" s="10" t="str">
        <f t="shared" si="4"/>
        <v/>
      </c>
      <c r="AC72" s="10" t="str">
        <f t="shared" si="17"/>
        <v/>
      </c>
      <c r="AE72" s="10" t="str">
        <f t="shared" si="35"/>
        <v/>
      </c>
      <c r="AF72" s="10" t="str">
        <f t="shared" si="18"/>
        <v/>
      </c>
      <c r="AH72" s="10" t="str">
        <f t="shared" si="42"/>
        <v/>
      </c>
      <c r="AI72" s="10" t="str">
        <f t="shared" si="19"/>
        <v/>
      </c>
      <c r="AK72" s="10" t="str">
        <f t="shared" si="43"/>
        <v/>
      </c>
      <c r="AL72" s="10" t="str">
        <f t="shared" si="44"/>
        <v/>
      </c>
      <c r="AN72" s="10" t="str">
        <f t="shared" si="45"/>
        <v/>
      </c>
      <c r="AO72" s="10" t="str">
        <f t="shared" si="46"/>
        <v/>
      </c>
      <c r="AQ72" s="10" t="str">
        <f t="shared" si="47"/>
        <v/>
      </c>
      <c r="AR72" s="10" t="str">
        <f t="shared" si="48"/>
        <v/>
      </c>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V72" s="10" t="str">
        <f t="shared" si="36"/>
        <v/>
      </c>
      <c r="AW72" s="10" t="str">
        <f t="shared" si="7"/>
        <v/>
      </c>
      <c r="AY72" s="7" t="str">
        <f>IF(ISERROR(IF($K72&lt;=$F$15,VLOOKUP($I72,'表4）CO2価格'!$A$7:$E$67,VLOOKUP($F$48,'表4）CO2価格'!$H$10:$I$12,2,0),0)*$F$8/1000,"")),0,IF($K72&lt;=$F$15,VLOOKUP($I72,'表4）CO2価格'!$A$7:$E$67,VLOOKUP($F$48,'表4）CO2価格'!$H$10:$I$12,2,0),0)*$F$8/1000,""))</f>
        <v/>
      </c>
      <c r="BA72" s="11" t="str">
        <f t="shared" si="37"/>
        <v/>
      </c>
      <c r="BB72" s="10" t="str">
        <f t="shared" si="20"/>
        <v/>
      </c>
      <c r="BD72" s="10" t="str">
        <f t="shared" si="38"/>
        <v/>
      </c>
      <c r="BE72" s="10" t="str">
        <f t="shared" si="21"/>
        <v/>
      </c>
      <c r="BG72" s="11" t="str">
        <f t="shared" si="39"/>
        <v/>
      </c>
      <c r="BH72" s="10" t="str">
        <f t="shared" si="22"/>
        <v/>
      </c>
      <c r="BJ72" s="7" t="str">
        <f t="shared" si="23"/>
        <v/>
      </c>
      <c r="BK72" s="158" t="str">
        <f t="shared" si="24"/>
        <v/>
      </c>
      <c r="BL72" s="158" t="str">
        <f t="shared" si="25"/>
        <v/>
      </c>
      <c r="BM72" s="10"/>
      <c r="BN72" s="10" t="str">
        <f t="shared" si="26"/>
        <v/>
      </c>
      <c r="BO72" s="10" t="str">
        <f t="shared" si="27"/>
        <v/>
      </c>
      <c r="BQ72" s="10" t="str">
        <f t="shared" si="40"/>
        <v/>
      </c>
      <c r="BR72" s="10" t="str">
        <f t="shared" si="28"/>
        <v/>
      </c>
    </row>
    <row r="73" spans="2:70" x14ac:dyDescent="0.15">
      <c r="F73" s="487"/>
      <c r="I73" s="38">
        <f t="shared" si="29"/>
        <v>2078</v>
      </c>
      <c r="J73" s="39"/>
      <c r="K73" s="39">
        <f t="shared" si="30"/>
        <v>59</v>
      </c>
      <c r="L73" s="39"/>
      <c r="M73" s="40">
        <f t="shared" si="0"/>
        <v>0.17482508271691022</v>
      </c>
      <c r="N73" s="39"/>
      <c r="O73" s="72" t="str">
        <f t="shared" si="12"/>
        <v/>
      </c>
      <c r="P73" s="41" t="str">
        <f t="shared" si="32"/>
        <v/>
      </c>
      <c r="Q73" s="39"/>
      <c r="R73" s="72" t="str">
        <f t="shared" si="41"/>
        <v/>
      </c>
      <c r="S73" s="39"/>
      <c r="T73" s="72" t="str">
        <f t="shared" si="14"/>
        <v/>
      </c>
      <c r="U73" s="39"/>
      <c r="V73" s="72" t="str">
        <f t="shared" si="33"/>
        <v/>
      </c>
      <c r="W73" s="72" t="str">
        <f t="shared" si="15"/>
        <v/>
      </c>
      <c r="X73" s="39"/>
      <c r="Y73" s="72" t="str">
        <f t="shared" si="34"/>
        <v/>
      </c>
      <c r="Z73" s="72" t="str">
        <f t="shared" si="16"/>
        <v/>
      </c>
      <c r="AA73" s="39"/>
      <c r="AB73" s="72" t="str">
        <f t="shared" si="4"/>
        <v/>
      </c>
      <c r="AC73" s="72" t="str">
        <f t="shared" si="17"/>
        <v/>
      </c>
      <c r="AD73" s="39"/>
      <c r="AE73" s="72" t="str">
        <f t="shared" si="35"/>
        <v/>
      </c>
      <c r="AF73" s="72" t="str">
        <f t="shared" si="18"/>
        <v/>
      </c>
      <c r="AG73" s="39"/>
      <c r="AH73" s="72" t="str">
        <f t="shared" si="42"/>
        <v/>
      </c>
      <c r="AI73" s="72" t="str">
        <f t="shared" si="19"/>
        <v/>
      </c>
      <c r="AJ73" s="39"/>
      <c r="AK73" s="72" t="str">
        <f t="shared" si="43"/>
        <v/>
      </c>
      <c r="AL73" s="72" t="str">
        <f t="shared" si="44"/>
        <v/>
      </c>
      <c r="AM73" s="39"/>
      <c r="AN73" s="72" t="str">
        <f t="shared" si="45"/>
        <v/>
      </c>
      <c r="AO73" s="72" t="str">
        <f t="shared" si="46"/>
        <v/>
      </c>
      <c r="AP73" s="39"/>
      <c r="AQ73" s="72" t="str">
        <f t="shared" si="47"/>
        <v/>
      </c>
      <c r="AR73" s="72" t="str">
        <f t="shared" si="48"/>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36"/>
        <v/>
      </c>
      <c r="AW73" s="72" t="str">
        <f t="shared" si="7"/>
        <v/>
      </c>
      <c r="AX73" s="39"/>
      <c r="AY73" s="40" t="str">
        <f>IF(ISERROR(IF($K73&lt;=$F$15,VLOOKUP($I73,'表4）CO2価格'!$A$7:$E$67,VLOOKUP($F$48,'表4）CO2価格'!$H$10:$I$12,2,0),0)*$F$8/1000,"")),0,IF($K73&lt;=$F$15,VLOOKUP($I73,'表4）CO2価格'!$A$7:$E$67,VLOOKUP($F$48,'表4）CO2価格'!$H$10:$I$12,2,0),0)*$F$8/1000,""))</f>
        <v/>
      </c>
      <c r="AZ73" s="39"/>
      <c r="BA73" s="42" t="str">
        <f t="shared" si="37"/>
        <v/>
      </c>
      <c r="BB73" s="72" t="str">
        <f t="shared" si="20"/>
        <v/>
      </c>
      <c r="BC73" s="39"/>
      <c r="BD73" s="72" t="str">
        <f t="shared" si="38"/>
        <v/>
      </c>
      <c r="BE73" s="72" t="str">
        <f t="shared" si="21"/>
        <v/>
      </c>
      <c r="BF73" s="39"/>
      <c r="BG73" s="42" t="str">
        <f t="shared" si="39"/>
        <v/>
      </c>
      <c r="BH73" s="72" t="str">
        <f t="shared" si="22"/>
        <v/>
      </c>
      <c r="BI73" s="39"/>
      <c r="BJ73" s="40" t="str">
        <f t="shared" si="23"/>
        <v/>
      </c>
      <c r="BK73" s="157" t="str">
        <f t="shared" si="24"/>
        <v/>
      </c>
      <c r="BL73" s="157" t="str">
        <f t="shared" si="25"/>
        <v/>
      </c>
      <c r="BM73" s="72"/>
      <c r="BN73" s="72" t="str">
        <f t="shared" si="26"/>
        <v/>
      </c>
      <c r="BO73" s="72" t="str">
        <f t="shared" si="27"/>
        <v/>
      </c>
      <c r="BP73" s="39"/>
      <c r="BQ73" s="72" t="str">
        <f t="shared" si="40"/>
        <v/>
      </c>
      <c r="BR73" s="72" t="str">
        <f t="shared" si="28"/>
        <v/>
      </c>
    </row>
    <row r="74" spans="2:70" ht="15" x14ac:dyDescent="0.15">
      <c r="D74" s="103" t="s">
        <v>591</v>
      </c>
      <c r="F74" s="484">
        <f>SUBTOTAL(9,F78:F81)</f>
        <v>2.9559860865439669</v>
      </c>
      <c r="G74" s="84" t="s">
        <v>590</v>
      </c>
      <c r="I74" s="322">
        <f t="shared" si="29"/>
        <v>2079</v>
      </c>
      <c r="K74" s="71">
        <f t="shared" si="30"/>
        <v>60</v>
      </c>
      <c r="M74" s="7">
        <f t="shared" si="0"/>
        <v>0.1697330900164177</v>
      </c>
      <c r="O74" s="10" t="str">
        <f t="shared" si="12"/>
        <v/>
      </c>
      <c r="P74" s="29" t="str">
        <f t="shared" si="32"/>
        <v/>
      </c>
      <c r="R74" s="10" t="str">
        <f t="shared" si="41"/>
        <v/>
      </c>
      <c r="T74" s="10" t="str">
        <f t="shared" si="14"/>
        <v/>
      </c>
      <c r="V74" s="10" t="str">
        <f t="shared" si="33"/>
        <v/>
      </c>
      <c r="W74" s="10" t="str">
        <f t="shared" si="15"/>
        <v/>
      </c>
      <c r="Y74" s="10" t="str">
        <f t="shared" si="34"/>
        <v/>
      </c>
      <c r="Z74" s="10" t="str">
        <f t="shared" si="16"/>
        <v/>
      </c>
      <c r="AB74" s="10" t="str">
        <f t="shared" si="4"/>
        <v/>
      </c>
      <c r="AC74" s="10" t="str">
        <f t="shared" si="17"/>
        <v/>
      </c>
      <c r="AE74" s="10" t="str">
        <f t="shared" si="35"/>
        <v/>
      </c>
      <c r="AF74" s="10" t="str">
        <f t="shared" si="18"/>
        <v/>
      </c>
      <c r="AH74" s="10" t="str">
        <f t="shared" si="42"/>
        <v/>
      </c>
      <c r="AI74" s="10" t="str">
        <f t="shared" si="19"/>
        <v/>
      </c>
      <c r="AK74" s="10" t="str">
        <f t="shared" si="43"/>
        <v/>
      </c>
      <c r="AL74" s="10" t="str">
        <f t="shared" si="44"/>
        <v/>
      </c>
      <c r="AN74" s="10" t="str">
        <f t="shared" si="45"/>
        <v/>
      </c>
      <c r="AO74" s="10" t="str">
        <f t="shared" si="46"/>
        <v/>
      </c>
      <c r="AQ74" s="10" t="str">
        <f t="shared" si="47"/>
        <v/>
      </c>
      <c r="AR74" s="10" t="str">
        <f t="shared" si="48"/>
        <v/>
      </c>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V74" s="10" t="str">
        <f t="shared" si="36"/>
        <v/>
      </c>
      <c r="AW74" s="10" t="str">
        <f t="shared" si="7"/>
        <v/>
      </c>
      <c r="AY74" s="7" t="str">
        <f>IF(ISERROR(IF($K74&lt;=$F$15,VLOOKUP($I74,'表4）CO2価格'!$A$7:$E$67,VLOOKUP($F$48,'表4）CO2価格'!$H$10:$I$12,2,0),0)*$F$8/1000,"")),0,IF($K74&lt;=$F$15,VLOOKUP($I74,'表4）CO2価格'!$A$7:$E$67,VLOOKUP($F$48,'表4）CO2価格'!$H$10:$I$12,2,0),0)*$F$8/1000,""))</f>
        <v/>
      </c>
      <c r="BA74" s="11" t="str">
        <f t="shared" si="37"/>
        <v/>
      </c>
      <c r="BB74" s="10" t="str">
        <f t="shared" si="20"/>
        <v/>
      </c>
      <c r="BD74" s="10" t="str">
        <f t="shared" si="38"/>
        <v/>
      </c>
      <c r="BE74" s="10" t="str">
        <f t="shared" si="21"/>
        <v/>
      </c>
      <c r="BG74" s="11" t="str">
        <f t="shared" si="39"/>
        <v/>
      </c>
      <c r="BH74" s="10" t="str">
        <f t="shared" si="22"/>
        <v/>
      </c>
      <c r="BJ74" s="7" t="str">
        <f t="shared" si="23"/>
        <v/>
      </c>
      <c r="BK74" s="158" t="str">
        <f t="shared" si="24"/>
        <v/>
      </c>
      <c r="BL74" s="158" t="str">
        <f t="shared" si="25"/>
        <v/>
      </c>
      <c r="BM74" s="10"/>
      <c r="BN74" s="10" t="str">
        <f t="shared" si="26"/>
        <v/>
      </c>
      <c r="BO74" s="10" t="str">
        <f t="shared" si="27"/>
        <v/>
      </c>
      <c r="BQ74" s="10" t="str">
        <f t="shared" si="40"/>
        <v/>
      </c>
      <c r="BR74" s="10" t="str">
        <f t="shared" si="28"/>
        <v/>
      </c>
    </row>
    <row r="75" spans="2:70" x14ac:dyDescent="0.15">
      <c r="F75" s="487"/>
      <c r="I75" s="38">
        <f t="shared" si="29"/>
        <v>2080</v>
      </c>
      <c r="J75" s="39"/>
      <c r="K75" s="39">
        <f t="shared" si="30"/>
        <v>61</v>
      </c>
      <c r="L75" s="39"/>
      <c r="M75" s="40">
        <f t="shared" si="0"/>
        <v>0.16478940778292983</v>
      </c>
      <c r="N75" s="39"/>
      <c r="O75" s="72" t="str">
        <f t="shared" si="12"/>
        <v/>
      </c>
      <c r="P75" s="41" t="str">
        <f t="shared" si="32"/>
        <v/>
      </c>
      <c r="Q75" s="39"/>
      <c r="R75" s="72" t="str">
        <f t="shared" si="41"/>
        <v/>
      </c>
      <c r="S75" s="39"/>
      <c r="T75" s="72" t="str">
        <f t="shared" si="14"/>
        <v/>
      </c>
      <c r="U75" s="39"/>
      <c r="V75" s="72" t="str">
        <f t="shared" si="33"/>
        <v/>
      </c>
      <c r="W75" s="72" t="str">
        <f t="shared" si="15"/>
        <v/>
      </c>
      <c r="X75" s="39"/>
      <c r="Y75" s="72" t="str">
        <f t="shared" si="34"/>
        <v/>
      </c>
      <c r="Z75" s="72" t="str">
        <f t="shared" si="16"/>
        <v/>
      </c>
      <c r="AA75" s="39"/>
      <c r="AB75" s="72" t="str">
        <f t="shared" si="4"/>
        <v/>
      </c>
      <c r="AC75" s="72" t="str">
        <f t="shared" si="17"/>
        <v/>
      </c>
      <c r="AD75" s="39"/>
      <c r="AE75" s="72" t="str">
        <f t="shared" si="35"/>
        <v/>
      </c>
      <c r="AF75" s="72" t="str">
        <f t="shared" si="18"/>
        <v/>
      </c>
      <c r="AG75" s="39"/>
      <c r="AH75" s="72" t="str">
        <f t="shared" si="42"/>
        <v/>
      </c>
      <c r="AI75" s="72" t="str">
        <f t="shared" si="19"/>
        <v/>
      </c>
      <c r="AJ75" s="39"/>
      <c r="AK75" s="72" t="str">
        <f t="shared" si="43"/>
        <v/>
      </c>
      <c r="AL75" s="72" t="str">
        <f t="shared" si="44"/>
        <v/>
      </c>
      <c r="AM75" s="39"/>
      <c r="AN75" s="72" t="str">
        <f t="shared" si="45"/>
        <v/>
      </c>
      <c r="AO75" s="72" t="str">
        <f t="shared" si="46"/>
        <v/>
      </c>
      <c r="AP75" s="39"/>
      <c r="AQ75" s="72" t="str">
        <f t="shared" si="47"/>
        <v/>
      </c>
      <c r="AR75" s="72" t="str">
        <f t="shared" si="48"/>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36"/>
        <v/>
      </c>
      <c r="AW75" s="72" t="str">
        <f t="shared" si="7"/>
        <v/>
      </c>
      <c r="AX75" s="39"/>
      <c r="AY75" s="40" t="str">
        <f>IF(ISERROR(IF($K75&lt;=$F$15,VLOOKUP($I75,'表4）CO2価格'!$A$7:$E$67,VLOOKUP($F$48,'表4）CO2価格'!$H$10:$I$12,2,0),0)*$F$8/1000,"")),0,IF($K75&lt;=$F$15,VLOOKUP($I75,'表4）CO2価格'!$A$7:$E$67,VLOOKUP($F$48,'表4）CO2価格'!$H$10:$I$12,2,0),0)*$F$8/1000,""))</f>
        <v/>
      </c>
      <c r="AZ75" s="39"/>
      <c r="BA75" s="42" t="str">
        <f t="shared" si="37"/>
        <v/>
      </c>
      <c r="BB75" s="72" t="str">
        <f t="shared" si="20"/>
        <v/>
      </c>
      <c r="BC75" s="39"/>
      <c r="BD75" s="72" t="str">
        <f t="shared" si="38"/>
        <v/>
      </c>
      <c r="BE75" s="72" t="str">
        <f t="shared" si="21"/>
        <v/>
      </c>
      <c r="BF75" s="39"/>
      <c r="BG75" s="42" t="str">
        <f t="shared" si="39"/>
        <v/>
      </c>
      <c r="BH75" s="72" t="str">
        <f t="shared" si="22"/>
        <v/>
      </c>
      <c r="BI75" s="39"/>
      <c r="BJ75" s="40" t="str">
        <f t="shared" si="23"/>
        <v/>
      </c>
      <c r="BK75" s="157" t="str">
        <f t="shared" si="24"/>
        <v/>
      </c>
      <c r="BL75" s="157" t="str">
        <f t="shared" si="25"/>
        <v/>
      </c>
      <c r="BM75" s="72"/>
      <c r="BN75" s="72" t="str">
        <f t="shared" si="26"/>
        <v/>
      </c>
      <c r="BO75" s="72" t="str">
        <f t="shared" si="27"/>
        <v/>
      </c>
      <c r="BP75" s="39"/>
      <c r="BQ75" s="72" t="str">
        <f t="shared" si="40"/>
        <v/>
      </c>
      <c r="BR75" s="72" t="str">
        <f t="shared" si="28"/>
        <v/>
      </c>
    </row>
    <row r="76" spans="2:70" x14ac:dyDescent="0.15">
      <c r="D76" s="100" t="s">
        <v>592</v>
      </c>
      <c r="E76" s="100"/>
      <c r="F76" s="486"/>
      <c r="G76" s="100"/>
      <c r="I76" s="322">
        <f t="shared" si="29"/>
        <v>2081</v>
      </c>
      <c r="K76" s="71">
        <f t="shared" si="30"/>
        <v>62</v>
      </c>
      <c r="M76" s="7">
        <f t="shared" si="0"/>
        <v>0.15998971629410663</v>
      </c>
      <c r="O76" s="10" t="str">
        <f t="shared" si="12"/>
        <v/>
      </c>
      <c r="P76" s="29" t="str">
        <f t="shared" si="32"/>
        <v/>
      </c>
      <c r="R76" s="10" t="str">
        <f t="shared" si="41"/>
        <v/>
      </c>
      <c r="T76" s="10" t="str">
        <f t="shared" si="14"/>
        <v/>
      </c>
      <c r="V76" s="10" t="str">
        <f t="shared" si="33"/>
        <v/>
      </c>
      <c r="W76" s="10" t="str">
        <f t="shared" si="15"/>
        <v/>
      </c>
      <c r="Y76" s="10" t="str">
        <f t="shared" si="34"/>
        <v/>
      </c>
      <c r="Z76" s="10" t="str">
        <f t="shared" si="16"/>
        <v/>
      </c>
      <c r="AB76" s="10" t="str">
        <f t="shared" si="4"/>
        <v/>
      </c>
      <c r="AC76" s="10" t="str">
        <f t="shared" si="17"/>
        <v/>
      </c>
      <c r="AE76" s="10" t="str">
        <f t="shared" si="35"/>
        <v/>
      </c>
      <c r="AF76" s="10" t="str">
        <f t="shared" si="18"/>
        <v/>
      </c>
      <c r="AH76" s="10" t="str">
        <f t="shared" si="42"/>
        <v/>
      </c>
      <c r="AI76" s="10" t="str">
        <f t="shared" si="19"/>
        <v/>
      </c>
      <c r="AK76" s="10" t="str">
        <f t="shared" si="43"/>
        <v/>
      </c>
      <c r="AL76" s="10" t="str">
        <f t="shared" si="44"/>
        <v/>
      </c>
      <c r="AN76" s="10" t="str">
        <f t="shared" si="45"/>
        <v/>
      </c>
      <c r="AO76" s="10" t="str">
        <f t="shared" si="46"/>
        <v/>
      </c>
      <c r="AQ76" s="10" t="str">
        <f t="shared" si="47"/>
        <v/>
      </c>
      <c r="AR76" s="10" t="str">
        <f t="shared" si="48"/>
        <v/>
      </c>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V76" s="10" t="str">
        <f t="shared" si="36"/>
        <v/>
      </c>
      <c r="AW76" s="10" t="str">
        <f t="shared" si="7"/>
        <v/>
      </c>
      <c r="AY76" s="7" t="str">
        <f>IF(ISERROR(IF($K76&lt;=$F$15,VLOOKUP($I76,'表4）CO2価格'!$A$7:$E$67,VLOOKUP($F$48,'表4）CO2価格'!$H$10:$I$12,2,0),0)*$F$8/1000,"")),0,IF($K76&lt;=$F$15,VLOOKUP($I76,'表4）CO2価格'!$A$7:$E$67,VLOOKUP($F$48,'表4）CO2価格'!$H$10:$I$12,2,0),0)*$F$8/1000,""))</f>
        <v/>
      </c>
      <c r="BA76" s="11" t="str">
        <f t="shared" si="37"/>
        <v/>
      </c>
      <c r="BB76" s="10" t="str">
        <f t="shared" si="20"/>
        <v/>
      </c>
      <c r="BD76" s="10" t="str">
        <f t="shared" si="38"/>
        <v/>
      </c>
      <c r="BE76" s="10" t="str">
        <f t="shared" si="21"/>
        <v/>
      </c>
      <c r="BG76" s="11" t="str">
        <f t="shared" si="39"/>
        <v/>
      </c>
      <c r="BH76" s="10" t="str">
        <f t="shared" si="22"/>
        <v/>
      </c>
      <c r="BJ76" s="7" t="str">
        <f t="shared" si="23"/>
        <v/>
      </c>
      <c r="BK76" s="158" t="str">
        <f t="shared" si="24"/>
        <v/>
      </c>
      <c r="BL76" s="158" t="str">
        <f t="shared" si="25"/>
        <v/>
      </c>
      <c r="BM76" s="10"/>
      <c r="BN76" s="10" t="str">
        <f t="shared" si="26"/>
        <v/>
      </c>
      <c r="BO76" s="10" t="str">
        <f t="shared" si="27"/>
        <v/>
      </c>
      <c r="BQ76" s="10" t="str">
        <f t="shared" si="40"/>
        <v/>
      </c>
      <c r="BR76" s="10" t="str">
        <f t="shared" si="28"/>
        <v/>
      </c>
    </row>
    <row r="77" spans="2:70" x14ac:dyDescent="0.15">
      <c r="F77" s="487"/>
      <c r="I77" s="38">
        <f t="shared" si="29"/>
        <v>2082</v>
      </c>
      <c r="J77" s="39"/>
      <c r="K77" s="39">
        <f t="shared" si="30"/>
        <v>63</v>
      </c>
      <c r="L77" s="39"/>
      <c r="M77" s="40">
        <f t="shared" si="0"/>
        <v>0.15532982164476369</v>
      </c>
      <c r="N77" s="39"/>
      <c r="O77" s="72" t="str">
        <f t="shared" si="12"/>
        <v/>
      </c>
      <c r="P77" s="41" t="str">
        <f t="shared" si="32"/>
        <v/>
      </c>
      <c r="Q77" s="39"/>
      <c r="R77" s="72" t="str">
        <f t="shared" si="41"/>
        <v/>
      </c>
      <c r="S77" s="39"/>
      <c r="T77" s="72" t="str">
        <f t="shared" si="14"/>
        <v/>
      </c>
      <c r="U77" s="39"/>
      <c r="V77" s="72" t="str">
        <f t="shared" si="33"/>
        <v/>
      </c>
      <c r="W77" s="72" t="str">
        <f t="shared" si="15"/>
        <v/>
      </c>
      <c r="X77" s="39"/>
      <c r="Y77" s="72" t="str">
        <f t="shared" si="34"/>
        <v/>
      </c>
      <c r="Z77" s="72" t="str">
        <f t="shared" si="16"/>
        <v/>
      </c>
      <c r="AA77" s="39"/>
      <c r="AB77" s="72" t="str">
        <f t="shared" si="4"/>
        <v/>
      </c>
      <c r="AC77" s="72" t="str">
        <f t="shared" si="17"/>
        <v/>
      </c>
      <c r="AD77" s="39"/>
      <c r="AE77" s="72" t="str">
        <f t="shared" si="35"/>
        <v/>
      </c>
      <c r="AF77" s="72" t="str">
        <f t="shared" si="18"/>
        <v/>
      </c>
      <c r="AG77" s="39"/>
      <c r="AH77" s="72" t="str">
        <f t="shared" si="42"/>
        <v/>
      </c>
      <c r="AI77" s="72" t="str">
        <f t="shared" si="19"/>
        <v/>
      </c>
      <c r="AJ77" s="39"/>
      <c r="AK77" s="72" t="str">
        <f t="shared" si="43"/>
        <v/>
      </c>
      <c r="AL77" s="72" t="str">
        <f t="shared" si="44"/>
        <v/>
      </c>
      <c r="AM77" s="39"/>
      <c r="AN77" s="72" t="str">
        <f t="shared" si="45"/>
        <v/>
      </c>
      <c r="AO77" s="72" t="str">
        <f t="shared" si="46"/>
        <v/>
      </c>
      <c r="AP77" s="39"/>
      <c r="AQ77" s="72" t="str">
        <f t="shared" si="47"/>
        <v/>
      </c>
      <c r="AR77" s="72" t="str">
        <f t="shared" si="48"/>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36"/>
        <v/>
      </c>
      <c r="AW77" s="72" t="str">
        <f t="shared" si="7"/>
        <v/>
      </c>
      <c r="AX77" s="39"/>
      <c r="AY77" s="40" t="str">
        <f>IF(ISERROR(IF($K77&lt;=$F$15,VLOOKUP($I77,'表4）CO2価格'!$A$7:$E$67,VLOOKUP($F$48,'表4）CO2価格'!$H$10:$I$12,2,0),0)*$F$8/1000,"")),0,IF($K77&lt;=$F$15,VLOOKUP($I77,'表4）CO2価格'!$A$7:$E$67,VLOOKUP($F$48,'表4）CO2価格'!$H$10:$I$12,2,0),0)*$F$8/1000,""))</f>
        <v/>
      </c>
      <c r="AZ77" s="39"/>
      <c r="BA77" s="42" t="str">
        <f t="shared" si="37"/>
        <v/>
      </c>
      <c r="BB77" s="72" t="str">
        <f t="shared" si="20"/>
        <v/>
      </c>
      <c r="BC77" s="39"/>
      <c r="BD77" s="72" t="str">
        <f t="shared" si="38"/>
        <v/>
      </c>
      <c r="BE77" s="72" t="str">
        <f t="shared" si="21"/>
        <v/>
      </c>
      <c r="BF77" s="39"/>
      <c r="BG77" s="42" t="str">
        <f t="shared" si="39"/>
        <v/>
      </c>
      <c r="BH77" s="72" t="str">
        <f t="shared" si="22"/>
        <v/>
      </c>
      <c r="BI77" s="39"/>
      <c r="BJ77" s="40" t="str">
        <f t="shared" si="23"/>
        <v/>
      </c>
      <c r="BK77" s="157" t="str">
        <f t="shared" si="24"/>
        <v/>
      </c>
      <c r="BL77" s="157" t="str">
        <f t="shared" si="25"/>
        <v/>
      </c>
      <c r="BM77" s="72"/>
      <c r="BN77" s="72" t="str">
        <f t="shared" si="26"/>
        <v/>
      </c>
      <c r="BO77" s="72" t="str">
        <f t="shared" si="27"/>
        <v/>
      </c>
      <c r="BP77" s="39"/>
      <c r="BQ77" s="72" t="str">
        <f t="shared" si="40"/>
        <v/>
      </c>
      <c r="BR77" s="72" t="str">
        <f t="shared" si="28"/>
        <v/>
      </c>
    </row>
    <row r="78" spans="2:70" x14ac:dyDescent="0.15">
      <c r="E78" s="70" t="s">
        <v>138</v>
      </c>
      <c r="F78" s="488">
        <f>R15/$BR$116</f>
        <v>2.6877223707789208</v>
      </c>
      <c r="G78" s="84" t="s">
        <v>590</v>
      </c>
      <c r="I78" s="322">
        <f t="shared" si="29"/>
        <v>2083</v>
      </c>
      <c r="K78" s="71">
        <f t="shared" si="30"/>
        <v>64</v>
      </c>
      <c r="M78" s="7">
        <f t="shared" si="0"/>
        <v>0.15080565208229488</v>
      </c>
      <c r="O78" s="10" t="str">
        <f t="shared" si="12"/>
        <v/>
      </c>
      <c r="P78" s="29" t="str">
        <f t="shared" si="32"/>
        <v/>
      </c>
      <c r="R78" s="10" t="str">
        <f t="shared" si="41"/>
        <v/>
      </c>
      <c r="T78" s="10" t="str">
        <f t="shared" si="14"/>
        <v/>
      </c>
      <c r="V78" s="10" t="str">
        <f t="shared" si="33"/>
        <v/>
      </c>
      <c r="W78" s="10" t="str">
        <f t="shared" si="15"/>
        <v/>
      </c>
      <c r="Y78" s="10" t="str">
        <f t="shared" si="34"/>
        <v/>
      </c>
      <c r="Z78" s="10" t="str">
        <f t="shared" si="16"/>
        <v/>
      </c>
      <c r="AB78" s="10" t="str">
        <f t="shared" si="4"/>
        <v/>
      </c>
      <c r="AC78" s="10" t="str">
        <f t="shared" si="17"/>
        <v/>
      </c>
      <c r="AE78" s="10" t="str">
        <f t="shared" si="35"/>
        <v/>
      </c>
      <c r="AF78" s="10" t="str">
        <f t="shared" si="18"/>
        <v/>
      </c>
      <c r="AH78" s="10" t="str">
        <f t="shared" si="42"/>
        <v/>
      </c>
      <c r="AI78" s="10" t="str">
        <f t="shared" si="19"/>
        <v/>
      </c>
      <c r="AK78" s="10" t="str">
        <f t="shared" si="43"/>
        <v/>
      </c>
      <c r="AL78" s="10" t="str">
        <f t="shared" si="44"/>
        <v/>
      </c>
      <c r="AN78" s="10" t="str">
        <f t="shared" si="45"/>
        <v/>
      </c>
      <c r="AO78" s="10" t="str">
        <f t="shared" si="46"/>
        <v/>
      </c>
      <c r="AQ78" s="10" t="str">
        <f t="shared" si="47"/>
        <v/>
      </c>
      <c r="AR78" s="10" t="str">
        <f t="shared" si="48"/>
        <v/>
      </c>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V78" s="10" t="str">
        <f t="shared" si="36"/>
        <v/>
      </c>
      <c r="AW78" s="10" t="str">
        <f t="shared" si="7"/>
        <v/>
      </c>
      <c r="AY78" s="7" t="str">
        <f>IF(ISERROR(IF($K78&lt;=$F$15,VLOOKUP($I78,'表4）CO2価格'!$A$7:$E$67,VLOOKUP($F$48,'表4）CO2価格'!$H$10:$I$12,2,0),0)*$F$8/1000,"")),0,IF($K78&lt;=$F$15,VLOOKUP($I78,'表4）CO2価格'!$A$7:$E$67,VLOOKUP($F$48,'表4）CO2価格'!$H$10:$I$12,2,0),0)*$F$8/1000,""))</f>
        <v/>
      </c>
      <c r="BA78" s="11" t="str">
        <f t="shared" si="37"/>
        <v/>
      </c>
      <c r="BB78" s="10" t="str">
        <f t="shared" si="20"/>
        <v/>
      </c>
      <c r="BD78" s="10" t="str">
        <f t="shared" si="38"/>
        <v/>
      </c>
      <c r="BE78" s="10" t="str">
        <f t="shared" si="21"/>
        <v/>
      </c>
      <c r="BG78" s="11" t="str">
        <f t="shared" si="39"/>
        <v/>
      </c>
      <c r="BH78" s="10" t="str">
        <f t="shared" si="22"/>
        <v/>
      </c>
      <c r="BJ78" s="7" t="str">
        <f t="shared" si="23"/>
        <v/>
      </c>
      <c r="BK78" s="158" t="str">
        <f t="shared" si="24"/>
        <v/>
      </c>
      <c r="BL78" s="158" t="str">
        <f t="shared" si="25"/>
        <v/>
      </c>
      <c r="BM78" s="10"/>
      <c r="BN78" s="10" t="str">
        <f t="shared" si="26"/>
        <v/>
      </c>
      <c r="BO78" s="10" t="str">
        <f t="shared" si="27"/>
        <v/>
      </c>
      <c r="BQ78" s="10" t="str">
        <f t="shared" si="40"/>
        <v/>
      </c>
      <c r="BR78" s="10" t="str">
        <f t="shared" si="28"/>
        <v/>
      </c>
    </row>
    <row r="79" spans="2:70" x14ac:dyDescent="0.15">
      <c r="E79" s="84" t="s">
        <v>139</v>
      </c>
      <c r="F79" s="488">
        <f>Z116/$BR$116</f>
        <v>0.22826664397557642</v>
      </c>
      <c r="G79" s="84" t="s">
        <v>590</v>
      </c>
      <c r="I79" s="38">
        <f t="shared" si="29"/>
        <v>2084</v>
      </c>
      <c r="J79" s="39"/>
      <c r="K79" s="39">
        <f t="shared" si="30"/>
        <v>65</v>
      </c>
      <c r="L79" s="39"/>
      <c r="M79" s="40">
        <f t="shared" ref="M79:M114" si="49">1/(1+($F$9/100))^K79</f>
        <v>0.14641325444882999</v>
      </c>
      <c r="N79" s="39"/>
      <c r="O79" s="72" t="str">
        <f t="shared" si="12"/>
        <v/>
      </c>
      <c r="P79" s="41" t="str">
        <f t="shared" ref="P79:P110" si="50">IF(K79&lt;=$F$15,IF(OR(P78=$F$124,P78="-"),"-",IF(O79*$F$123&gt;$F$127,$F$123,$F$124)),"")</f>
        <v/>
      </c>
      <c r="Q79" s="39"/>
      <c r="R79" s="72" t="str">
        <f t="shared" si="41"/>
        <v/>
      </c>
      <c r="S79" s="39"/>
      <c r="T79" s="72" t="str">
        <f t="shared" si="14"/>
        <v/>
      </c>
      <c r="U79" s="39"/>
      <c r="V79" s="72" t="str">
        <f t="shared" ref="V79:V114" si="51">IF(K79&lt;=$F$15,IF(K79&lt;$F$119,IF(P79="-",V78,O79*P79),IF(K79=$F$119,MIN(IF(P79="-",V78,O79*P79),O79),0)),"")</f>
        <v/>
      </c>
      <c r="W79" s="72" t="str">
        <f t="shared" si="15"/>
        <v/>
      </c>
      <c r="X79" s="39"/>
      <c r="Y79" s="72" t="str">
        <f t="shared" ref="Y79:Y114" si="52">IF($K79&lt;=$F$15,ROUNDDOWN(T79*$F$25/100,-2),"")</f>
        <v/>
      </c>
      <c r="Z79" s="72" t="str">
        <f t="shared" si="16"/>
        <v/>
      </c>
      <c r="AA79" s="39"/>
      <c r="AB79" s="72" t="str">
        <f t="shared" ref="AB79:AB114" si="53">IF($K79&lt;=$F$15,0,IF(AND($K79&gt;$F$15,$K79&lt;=$F$15+$F$28),$F$27*10^8/$F$28,""))</f>
        <v/>
      </c>
      <c r="AC79" s="72" t="str">
        <f t="shared" si="17"/>
        <v/>
      </c>
      <c r="AD79" s="39"/>
      <c r="AE79" s="72" t="str">
        <f t="shared" ref="AE79:AE114" si="54">IF($K79&lt;=$F$15,$F$26,"")</f>
        <v/>
      </c>
      <c r="AF79" s="72" t="str">
        <f t="shared" si="18"/>
        <v/>
      </c>
      <c r="AG79" s="39"/>
      <c r="AH79" s="72" t="str">
        <f t="shared" ref="AH79:AH114" si="55">IF($K79&lt;=$F$15,$F$33*10^8,"")</f>
        <v/>
      </c>
      <c r="AI79" s="72" t="str">
        <f t="shared" si="19"/>
        <v/>
      </c>
      <c r="AJ79" s="39"/>
      <c r="AK79" s="72" t="str">
        <f t="shared" ref="AK79:AK114" si="56">IF($K79&lt;=$F$15,$F$34*10^8,"")</f>
        <v/>
      </c>
      <c r="AL79" s="72" t="str">
        <f t="shared" si="44"/>
        <v/>
      </c>
      <c r="AM79" s="39"/>
      <c r="AN79" s="72" t="str">
        <f t="shared" ref="AN79:AN114" si="57">IF($K79&lt;=$F$15,$F$117*$F$35/100,"")</f>
        <v/>
      </c>
      <c r="AO79" s="72" t="str">
        <f t="shared" si="46"/>
        <v/>
      </c>
      <c r="AP79" s="39"/>
      <c r="AQ79" s="72" t="str">
        <f t="shared" ref="AQ79:AQ114" si="58">IF($K79&lt;=$F$15,SUM(AH79,AK79,AN79)*($F$36/100),"")</f>
        <v/>
      </c>
      <c r="AR79" s="72" t="str">
        <f t="shared" si="48"/>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59">IF($K79&lt;=$F$15,($AT79+$F$142)*$F$137,"")</f>
        <v/>
      </c>
      <c r="AW79" s="72" t="str">
        <f t="shared" ref="AW79:AW114" si="60">IF(ISNUMBER(AV79),AV79*$M79,"")</f>
        <v/>
      </c>
      <c r="AX79" s="39"/>
      <c r="AY79" s="40" t="str">
        <f>IF(ISERROR(IF($K79&lt;=$F$15,VLOOKUP($I79,'表4）CO2価格'!$A$7:$E$67,VLOOKUP($F$48,'表4）CO2価格'!$H$10:$I$12,2,0),0)*$F$8/1000,"")),0,IF($K79&lt;=$F$15,VLOOKUP($I79,'表4）CO2価格'!$A$7:$E$67,VLOOKUP($F$48,'表4）CO2価格'!$H$10:$I$12,2,0),0)*$F$8/1000,""))</f>
        <v/>
      </c>
      <c r="AZ79" s="39"/>
      <c r="BA79" s="42" t="str">
        <f t="shared" ref="BA79:BA114" si="61">IF($K79&lt;=$F$15,$F$145*AY79,"")</f>
        <v/>
      </c>
      <c r="BB79" s="72" t="str">
        <f t="shared" si="20"/>
        <v/>
      </c>
      <c r="BC79" s="39"/>
      <c r="BD79" s="72" t="str">
        <f t="shared" ref="BD79:BD114" si="62">IF($K79&lt;=$F$15,($AT79+$F$152)*$F$151,"")</f>
        <v/>
      </c>
      <c r="BE79" s="72" t="str">
        <f t="shared" si="21"/>
        <v/>
      </c>
      <c r="BF79" s="39"/>
      <c r="BG79" s="42" t="str">
        <f t="shared" ref="BG79:BG114" si="63">IF($K79&lt;=$F$15,$F$153*AY79,"")</f>
        <v/>
      </c>
      <c r="BH79" s="72" t="str">
        <f t="shared" si="22"/>
        <v/>
      </c>
      <c r="BI79" s="39"/>
      <c r="BJ79" s="40" t="str">
        <f t="shared" si="23"/>
        <v/>
      </c>
      <c r="BK79" s="157" t="str">
        <f t="shared" si="24"/>
        <v/>
      </c>
      <c r="BL79" s="157" t="str">
        <f t="shared" si="25"/>
        <v/>
      </c>
      <c r="BM79" s="72"/>
      <c r="BN79" s="72" t="str">
        <f t="shared" si="26"/>
        <v/>
      </c>
      <c r="BO79" s="72" t="str">
        <f t="shared" si="27"/>
        <v/>
      </c>
      <c r="BP79" s="39"/>
      <c r="BQ79" s="72" t="str">
        <f t="shared" ref="BQ79:BQ114" si="64">IF($K79&lt;=$F$15,$F$134,"")</f>
        <v/>
      </c>
      <c r="BR79" s="72" t="str">
        <f t="shared" si="28"/>
        <v/>
      </c>
    </row>
    <row r="80" spans="2:70" x14ac:dyDescent="0.15">
      <c r="E80" s="84" t="s">
        <v>115</v>
      </c>
      <c r="F80" s="488">
        <f>AF116/$BR$116</f>
        <v>0</v>
      </c>
      <c r="G80" s="84" t="s">
        <v>590</v>
      </c>
      <c r="I80" s="322">
        <f t="shared" si="29"/>
        <v>2085</v>
      </c>
      <c r="K80" s="71">
        <f t="shared" si="30"/>
        <v>66</v>
      </c>
      <c r="M80" s="7">
        <f t="shared" si="49"/>
        <v>0.14214879072701941</v>
      </c>
      <c r="O80" s="10" t="str">
        <f t="shared" ref="O80:O114" si="65">IF(K80&lt;=$F$15,O79-V79,"")</f>
        <v/>
      </c>
      <c r="P80" s="29" t="str">
        <f t="shared" si="50"/>
        <v/>
      </c>
      <c r="R80" s="10" t="str">
        <f t="shared" ref="R80:R114" si="66">IF($K80&lt;=$F$15,MAX($F$117*5%,R79*$F$129),"")</f>
        <v/>
      </c>
      <c r="T80" s="10" t="str">
        <f t="shared" ref="T80:T114" si="67">IF(ISNUMBER(R80),ROUNDDOWN(R80,-3),"")</f>
        <v/>
      </c>
      <c r="V80" s="10" t="str">
        <f t="shared" si="51"/>
        <v/>
      </c>
      <c r="W80" s="10" t="str">
        <f t="shared" ref="W80:W114" si="68">IF(ISNUMBER(V80),V80*$M80,"")</f>
        <v/>
      </c>
      <c r="Y80" s="10" t="str">
        <f t="shared" si="52"/>
        <v/>
      </c>
      <c r="Z80" s="10" t="str">
        <f t="shared" ref="Z80:Z114" si="69">IF(ISNUMBER(Y80),Y80*$M80,"")</f>
        <v/>
      </c>
      <c r="AB80" s="10" t="str">
        <f t="shared" si="53"/>
        <v/>
      </c>
      <c r="AC80" s="10" t="str">
        <f t="shared" ref="AC80:AC114" si="70">IF(ISNUMBER(AB80),AB80*$M80,"")</f>
        <v/>
      </c>
      <c r="AE80" s="10" t="str">
        <f t="shared" si="54"/>
        <v/>
      </c>
      <c r="AF80" s="10" t="str">
        <f t="shared" ref="AF80:AF114" si="71">IF(ISNUMBER(AE80),AE80*$M80,"")</f>
        <v/>
      </c>
      <c r="AH80" s="10" t="str">
        <f t="shared" si="55"/>
        <v/>
      </c>
      <c r="AI80" s="10" t="str">
        <f t="shared" ref="AI80:AI114" si="72">IF(ISNUMBER(AH80),AH80*$M80,"")</f>
        <v/>
      </c>
      <c r="AK80" s="10" t="str">
        <f t="shared" si="56"/>
        <v/>
      </c>
      <c r="AL80" s="10" t="str">
        <f t="shared" ref="AL80:AL114" si="73">IF(ISNUMBER(AK80),AK80*$M80,"")</f>
        <v/>
      </c>
      <c r="AN80" s="10" t="str">
        <f t="shared" si="57"/>
        <v/>
      </c>
      <c r="AO80" s="10" t="str">
        <f t="shared" ref="AO80:AO114" si="74">IF(ISNUMBER(AN80),AN80*$M80,"")</f>
        <v/>
      </c>
      <c r="AQ80" s="10" t="str">
        <f t="shared" si="58"/>
        <v/>
      </c>
      <c r="AR80" s="10" t="str">
        <f t="shared" ref="AR80:AR114" si="75">IF(ISNUMBER(AQ80),AQ80*$M80,"")</f>
        <v/>
      </c>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V80" s="10" t="str">
        <f t="shared" si="59"/>
        <v/>
      </c>
      <c r="AW80" s="10" t="str">
        <f t="shared" si="60"/>
        <v/>
      </c>
      <c r="AY80" s="7" t="str">
        <f>IF(ISERROR(IF($K80&lt;=$F$15,VLOOKUP($I80,'表4）CO2価格'!$A$7:$E$67,VLOOKUP($F$48,'表4）CO2価格'!$H$10:$I$12,2,0),0)*$F$8/1000,"")),0,IF($K80&lt;=$F$15,VLOOKUP($I80,'表4）CO2価格'!$A$7:$E$67,VLOOKUP($F$48,'表4）CO2価格'!$H$10:$I$12,2,0),0)*$F$8/1000,""))</f>
        <v/>
      </c>
      <c r="BA80" s="11" t="str">
        <f t="shared" si="61"/>
        <v/>
      </c>
      <c r="BB80" s="10" t="str">
        <f t="shared" ref="BB80:BB114" si="76">IF(ISNUMBER(BA80),BA80*$M80,"")</f>
        <v/>
      </c>
      <c r="BD80" s="10" t="str">
        <f t="shared" si="62"/>
        <v/>
      </c>
      <c r="BE80" s="10" t="str">
        <f t="shared" ref="BE80:BE114" si="77">IF(ISNUMBER(BD80),BD80*$M80,"")</f>
        <v/>
      </c>
      <c r="BG80" s="11" t="str">
        <f t="shared" si="63"/>
        <v/>
      </c>
      <c r="BH80" s="10" t="str">
        <f t="shared" ref="BH80:BH114" si="78">IF(ISNUMBER(BG80),BG80*$M80,"")</f>
        <v/>
      </c>
      <c r="BJ80" s="7" t="str">
        <f t="shared" ref="BJ80:BJ114" si="79">IF(ISNUMBER($F$16),IF($K80&lt;=$F$16+$F$28,1/(1+($F$17/100))^K80,""),"")</f>
        <v/>
      </c>
      <c r="BK80" s="158" t="str">
        <f t="shared" ref="BK80:BK114" si="80">IF(ISNUMBER($F$16),IF($K80&lt;=$F$16+$F$28,IF($K80&lt;=$F$16,SUM(Y80,AB80,AE80,AH80,AK80,AN80,AQ80,BA80,BD80,BG80)+AV80/$F$14*87,$F$27/$F$28*10^8)*BJ80,""),"")</f>
        <v/>
      </c>
      <c r="BL80" s="158" t="str">
        <f t="shared" ref="BL80:BL114" si="81">IF(AND(ISNUMBER(BJ80),$K80&lt;=$F$16),BQ80/$F$14*87*BJ80,"")</f>
        <v/>
      </c>
      <c r="BM80" s="10"/>
      <c r="BN80" s="10" t="str">
        <f t="shared" ref="BN80:BN114" si="82">IF(AND(ISNUMBER($F$16),$K80&lt;=$F$16),BQ80*($O$15+$BK$116)/$BL$116,"")</f>
        <v/>
      </c>
      <c r="BO80" s="10" t="str">
        <f t="shared" ref="BO80:BO114" si="83">IF(ISNUMBER(BN80),BN80*$M80,"")</f>
        <v/>
      </c>
      <c r="BQ80" s="10" t="str">
        <f t="shared" si="64"/>
        <v/>
      </c>
      <c r="BR80" s="10" t="str">
        <f t="shared" ref="BR80:BR114" si="84">IF(ISNUMBER(BQ80),BQ80*$M80,"")</f>
        <v/>
      </c>
    </row>
    <row r="81" spans="4:70" x14ac:dyDescent="0.15">
      <c r="E81" s="160" t="s">
        <v>86</v>
      </c>
      <c r="F81" s="488">
        <f>AC116/$BR$116</f>
        <v>3.9997071789469527E-2</v>
      </c>
      <c r="G81" s="84" t="s">
        <v>590</v>
      </c>
      <c r="I81" s="38">
        <f t="shared" ref="I81:I114" si="85">I80+1</f>
        <v>2086</v>
      </c>
      <c r="J81" s="39"/>
      <c r="K81" s="39">
        <f t="shared" ref="K81:K114" si="86">IF(I81&lt;&gt;"",K80+1,"")</f>
        <v>67</v>
      </c>
      <c r="L81" s="39"/>
      <c r="M81" s="40">
        <f t="shared" si="49"/>
        <v>0.1380085346864266</v>
      </c>
      <c r="N81" s="39"/>
      <c r="O81" s="72" t="str">
        <f t="shared" si="65"/>
        <v/>
      </c>
      <c r="P81" s="41" t="str">
        <f t="shared" si="50"/>
        <v/>
      </c>
      <c r="Q81" s="39"/>
      <c r="R81" s="72" t="str">
        <f t="shared" si="66"/>
        <v/>
      </c>
      <c r="S81" s="39"/>
      <c r="T81" s="72" t="str">
        <f t="shared" si="67"/>
        <v/>
      </c>
      <c r="U81" s="39"/>
      <c r="V81" s="72" t="str">
        <f t="shared" si="51"/>
        <v/>
      </c>
      <c r="W81" s="72" t="str">
        <f t="shared" si="68"/>
        <v/>
      </c>
      <c r="X81" s="39"/>
      <c r="Y81" s="72" t="str">
        <f t="shared" si="52"/>
        <v/>
      </c>
      <c r="Z81" s="72" t="str">
        <f t="shared" si="69"/>
        <v/>
      </c>
      <c r="AA81" s="39"/>
      <c r="AB81" s="72" t="str">
        <f t="shared" si="53"/>
        <v/>
      </c>
      <c r="AC81" s="72" t="str">
        <f t="shared" si="70"/>
        <v/>
      </c>
      <c r="AD81" s="39"/>
      <c r="AE81" s="72" t="str">
        <f t="shared" si="54"/>
        <v/>
      </c>
      <c r="AF81" s="72" t="str">
        <f t="shared" si="71"/>
        <v/>
      </c>
      <c r="AG81" s="39"/>
      <c r="AH81" s="72" t="str">
        <f t="shared" si="55"/>
        <v/>
      </c>
      <c r="AI81" s="72" t="str">
        <f t="shared" si="72"/>
        <v/>
      </c>
      <c r="AJ81" s="39"/>
      <c r="AK81" s="72" t="str">
        <f t="shared" si="56"/>
        <v/>
      </c>
      <c r="AL81" s="72" t="str">
        <f t="shared" si="73"/>
        <v/>
      </c>
      <c r="AM81" s="39"/>
      <c r="AN81" s="72" t="str">
        <f t="shared" si="57"/>
        <v/>
      </c>
      <c r="AO81" s="72" t="str">
        <f t="shared" si="74"/>
        <v/>
      </c>
      <c r="AP81" s="39"/>
      <c r="AQ81" s="72" t="str">
        <f t="shared" si="58"/>
        <v/>
      </c>
      <c r="AR81" s="72" t="str">
        <f t="shared" si="75"/>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59"/>
        <v/>
      </c>
      <c r="AW81" s="72" t="str">
        <f t="shared" si="60"/>
        <v/>
      </c>
      <c r="AX81" s="39"/>
      <c r="AY81" s="40" t="str">
        <f>IF(ISERROR(IF($K81&lt;=$F$15,VLOOKUP($I81,'表4）CO2価格'!$A$7:$E$67,VLOOKUP($F$48,'表4）CO2価格'!$H$10:$I$12,2,0),0)*$F$8/1000,"")),0,IF($K81&lt;=$F$15,VLOOKUP($I81,'表4）CO2価格'!$A$7:$E$67,VLOOKUP($F$48,'表4）CO2価格'!$H$10:$I$12,2,0),0)*$F$8/1000,""))</f>
        <v/>
      </c>
      <c r="AZ81" s="39"/>
      <c r="BA81" s="42" t="str">
        <f t="shared" si="61"/>
        <v/>
      </c>
      <c r="BB81" s="72" t="str">
        <f t="shared" si="76"/>
        <v/>
      </c>
      <c r="BC81" s="39"/>
      <c r="BD81" s="72" t="str">
        <f t="shared" si="62"/>
        <v/>
      </c>
      <c r="BE81" s="72" t="str">
        <f t="shared" si="77"/>
        <v/>
      </c>
      <c r="BF81" s="39"/>
      <c r="BG81" s="42" t="str">
        <f t="shared" si="63"/>
        <v/>
      </c>
      <c r="BH81" s="72" t="str">
        <f t="shared" si="78"/>
        <v/>
      </c>
      <c r="BI81" s="39"/>
      <c r="BJ81" s="40" t="str">
        <f t="shared" si="79"/>
        <v/>
      </c>
      <c r="BK81" s="157" t="str">
        <f t="shared" si="80"/>
        <v/>
      </c>
      <c r="BL81" s="157" t="str">
        <f t="shared" si="81"/>
        <v/>
      </c>
      <c r="BM81" s="72"/>
      <c r="BN81" s="72" t="str">
        <f t="shared" si="82"/>
        <v/>
      </c>
      <c r="BO81" s="72" t="str">
        <f t="shared" si="83"/>
        <v/>
      </c>
      <c r="BP81" s="39"/>
      <c r="BQ81" s="72" t="str">
        <f t="shared" si="64"/>
        <v/>
      </c>
      <c r="BR81" s="72" t="str">
        <f t="shared" si="84"/>
        <v/>
      </c>
    </row>
    <row r="82" spans="4:70" x14ac:dyDescent="0.15">
      <c r="F82" s="487"/>
      <c r="I82" s="322">
        <f t="shared" si="85"/>
        <v>2087</v>
      </c>
      <c r="K82" s="71">
        <f t="shared" si="86"/>
        <v>68</v>
      </c>
      <c r="M82" s="7">
        <f t="shared" si="49"/>
        <v>0.13398886862759865</v>
      </c>
      <c r="O82" s="10" t="str">
        <f t="shared" si="65"/>
        <v/>
      </c>
      <c r="P82" s="29" t="str">
        <f t="shared" si="50"/>
        <v/>
      </c>
      <c r="R82" s="10" t="str">
        <f t="shared" si="66"/>
        <v/>
      </c>
      <c r="T82" s="10" t="str">
        <f t="shared" si="67"/>
        <v/>
      </c>
      <c r="V82" s="10" t="str">
        <f t="shared" si="51"/>
        <v/>
      </c>
      <c r="W82" s="10" t="str">
        <f t="shared" si="68"/>
        <v/>
      </c>
      <c r="Y82" s="10" t="str">
        <f t="shared" si="52"/>
        <v/>
      </c>
      <c r="Z82" s="10" t="str">
        <f t="shared" si="69"/>
        <v/>
      </c>
      <c r="AB82" s="10" t="str">
        <f t="shared" si="53"/>
        <v/>
      </c>
      <c r="AC82" s="10" t="str">
        <f t="shared" si="70"/>
        <v/>
      </c>
      <c r="AE82" s="10" t="str">
        <f t="shared" si="54"/>
        <v/>
      </c>
      <c r="AF82" s="10" t="str">
        <f t="shared" si="71"/>
        <v/>
      </c>
      <c r="AH82" s="10" t="str">
        <f t="shared" si="55"/>
        <v/>
      </c>
      <c r="AI82" s="10" t="str">
        <f t="shared" si="72"/>
        <v/>
      </c>
      <c r="AK82" s="10" t="str">
        <f t="shared" si="56"/>
        <v/>
      </c>
      <c r="AL82" s="10" t="str">
        <f t="shared" si="73"/>
        <v/>
      </c>
      <c r="AN82" s="10" t="str">
        <f t="shared" si="57"/>
        <v/>
      </c>
      <c r="AO82" s="10" t="str">
        <f t="shared" si="74"/>
        <v/>
      </c>
      <c r="AQ82" s="10" t="str">
        <f t="shared" si="58"/>
        <v/>
      </c>
      <c r="AR82" s="10" t="str">
        <f t="shared" si="75"/>
        <v/>
      </c>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V82" s="10" t="str">
        <f t="shared" si="59"/>
        <v/>
      </c>
      <c r="AW82" s="10" t="str">
        <f t="shared" si="60"/>
        <v/>
      </c>
      <c r="AY82" s="7" t="str">
        <f>IF(ISERROR(IF($K82&lt;=$F$15,VLOOKUP($I82,'表4）CO2価格'!$A$7:$E$67,VLOOKUP($F$48,'表4）CO2価格'!$H$10:$I$12,2,0),0)*$F$8/1000,"")),0,IF($K82&lt;=$F$15,VLOOKUP($I82,'表4）CO2価格'!$A$7:$E$67,VLOOKUP($F$48,'表4）CO2価格'!$H$10:$I$12,2,0),0)*$F$8/1000,""))</f>
        <v/>
      </c>
      <c r="BA82" s="11" t="str">
        <f t="shared" si="61"/>
        <v/>
      </c>
      <c r="BB82" s="10" t="str">
        <f t="shared" si="76"/>
        <v/>
      </c>
      <c r="BD82" s="10" t="str">
        <f t="shared" si="62"/>
        <v/>
      </c>
      <c r="BE82" s="10" t="str">
        <f t="shared" si="77"/>
        <v/>
      </c>
      <c r="BG82" s="11" t="str">
        <f t="shared" si="63"/>
        <v/>
      </c>
      <c r="BH82" s="10" t="str">
        <f t="shared" si="78"/>
        <v/>
      </c>
      <c r="BJ82" s="7" t="str">
        <f t="shared" si="79"/>
        <v/>
      </c>
      <c r="BK82" s="158" t="str">
        <f t="shared" si="80"/>
        <v/>
      </c>
      <c r="BL82" s="158" t="str">
        <f t="shared" si="81"/>
        <v/>
      </c>
      <c r="BM82" s="10"/>
      <c r="BN82" s="10" t="str">
        <f t="shared" si="82"/>
        <v/>
      </c>
      <c r="BO82" s="10" t="str">
        <f t="shared" si="83"/>
        <v/>
      </c>
      <c r="BQ82" s="10" t="str">
        <f t="shared" si="64"/>
        <v/>
      </c>
      <c r="BR82" s="10" t="str">
        <f t="shared" si="84"/>
        <v/>
      </c>
    </row>
    <row r="83" spans="4:70" ht="15" x14ac:dyDescent="0.15">
      <c r="D83" s="103" t="s">
        <v>593</v>
      </c>
      <c r="F83" s="484">
        <f>SUBTOTAL(9,F87:F90)</f>
        <v>4.2175585397125301</v>
      </c>
      <c r="G83" s="84" t="s">
        <v>590</v>
      </c>
      <c r="I83" s="38">
        <f>I82+1</f>
        <v>2088</v>
      </c>
      <c r="J83" s="39"/>
      <c r="K83" s="39">
        <f>IF(I83&lt;&gt;"",K82+1,"")</f>
        <v>69</v>
      </c>
      <c r="L83" s="39"/>
      <c r="M83" s="40">
        <f t="shared" si="49"/>
        <v>0.13008628022096957</v>
      </c>
      <c r="N83" s="39"/>
      <c r="O83" s="72" t="str">
        <f t="shared" si="65"/>
        <v/>
      </c>
      <c r="P83" s="41" t="str">
        <f t="shared" si="50"/>
        <v/>
      </c>
      <c r="Q83" s="39"/>
      <c r="R83" s="72" t="str">
        <f t="shared" si="66"/>
        <v/>
      </c>
      <c r="S83" s="39"/>
      <c r="T83" s="72" t="str">
        <f t="shared" si="67"/>
        <v/>
      </c>
      <c r="U83" s="39"/>
      <c r="V83" s="72" t="str">
        <f t="shared" si="51"/>
        <v/>
      </c>
      <c r="W83" s="72" t="str">
        <f t="shared" si="68"/>
        <v/>
      </c>
      <c r="X83" s="39"/>
      <c r="Y83" s="72" t="str">
        <f t="shared" si="52"/>
        <v/>
      </c>
      <c r="Z83" s="72" t="str">
        <f t="shared" si="69"/>
        <v/>
      </c>
      <c r="AA83" s="39"/>
      <c r="AB83" s="72" t="str">
        <f t="shared" si="53"/>
        <v/>
      </c>
      <c r="AC83" s="72" t="str">
        <f t="shared" si="70"/>
        <v/>
      </c>
      <c r="AD83" s="39"/>
      <c r="AE83" s="72" t="str">
        <f t="shared" si="54"/>
        <v/>
      </c>
      <c r="AF83" s="72" t="str">
        <f t="shared" si="71"/>
        <v/>
      </c>
      <c r="AG83" s="39"/>
      <c r="AH83" s="72" t="str">
        <f t="shared" si="55"/>
        <v/>
      </c>
      <c r="AI83" s="72" t="str">
        <f t="shared" si="72"/>
        <v/>
      </c>
      <c r="AJ83" s="39"/>
      <c r="AK83" s="72" t="str">
        <f t="shared" si="56"/>
        <v/>
      </c>
      <c r="AL83" s="72" t="str">
        <f t="shared" si="73"/>
        <v/>
      </c>
      <c r="AM83" s="39"/>
      <c r="AN83" s="72" t="str">
        <f t="shared" si="57"/>
        <v/>
      </c>
      <c r="AO83" s="72" t="str">
        <f t="shared" si="74"/>
        <v/>
      </c>
      <c r="AP83" s="39"/>
      <c r="AQ83" s="72" t="str">
        <f t="shared" si="58"/>
        <v/>
      </c>
      <c r="AR83" s="72" t="str">
        <f t="shared" si="75"/>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59"/>
        <v/>
      </c>
      <c r="AW83" s="72" t="str">
        <f t="shared" si="60"/>
        <v/>
      </c>
      <c r="AX83" s="39"/>
      <c r="AY83" s="40" t="str">
        <f>IF(ISERROR(IF($K83&lt;=$F$15,VLOOKUP($I83,'表4）CO2価格'!$A$7:$E$67,VLOOKUP($F$48,'表4）CO2価格'!$H$10:$I$12,2,0),0)*$F$8/1000,"")),0,IF($K83&lt;=$F$15,VLOOKUP($I83,'表4）CO2価格'!$A$7:$E$67,VLOOKUP($F$48,'表4）CO2価格'!$H$10:$I$12,2,0),0)*$F$8/1000,""))</f>
        <v/>
      </c>
      <c r="AZ83" s="39"/>
      <c r="BA83" s="42" t="str">
        <f t="shared" si="61"/>
        <v/>
      </c>
      <c r="BB83" s="72" t="str">
        <f t="shared" si="76"/>
        <v/>
      </c>
      <c r="BC83" s="39"/>
      <c r="BD83" s="72" t="str">
        <f t="shared" si="62"/>
        <v/>
      </c>
      <c r="BE83" s="72" t="str">
        <f t="shared" si="77"/>
        <v/>
      </c>
      <c r="BF83" s="39"/>
      <c r="BG83" s="42" t="str">
        <f t="shared" si="63"/>
        <v/>
      </c>
      <c r="BH83" s="72" t="str">
        <f t="shared" si="78"/>
        <v/>
      </c>
      <c r="BI83" s="39"/>
      <c r="BJ83" s="40" t="str">
        <f t="shared" si="79"/>
        <v/>
      </c>
      <c r="BK83" s="157" t="str">
        <f t="shared" si="80"/>
        <v/>
      </c>
      <c r="BL83" s="157" t="str">
        <f t="shared" si="81"/>
        <v/>
      </c>
      <c r="BM83" s="72"/>
      <c r="BN83" s="72" t="str">
        <f t="shared" si="82"/>
        <v/>
      </c>
      <c r="BO83" s="72" t="str">
        <f t="shared" si="83"/>
        <v/>
      </c>
      <c r="BP83" s="39"/>
      <c r="BQ83" s="72" t="str">
        <f t="shared" si="64"/>
        <v/>
      </c>
      <c r="BR83" s="72" t="str">
        <f t="shared" si="84"/>
        <v/>
      </c>
    </row>
    <row r="84" spans="4:70" x14ac:dyDescent="0.15">
      <c r="F84" s="487"/>
      <c r="I84" s="322">
        <f t="shared" si="85"/>
        <v>2089</v>
      </c>
      <c r="K84" s="71">
        <f t="shared" si="86"/>
        <v>70</v>
      </c>
      <c r="M84" s="7">
        <f t="shared" si="49"/>
        <v>0.12629735943783454</v>
      </c>
      <c r="O84" s="10" t="str">
        <f t="shared" si="65"/>
        <v/>
      </c>
      <c r="P84" s="29" t="str">
        <f t="shared" si="50"/>
        <v/>
      </c>
      <c r="R84" s="10" t="str">
        <f t="shared" si="66"/>
        <v/>
      </c>
      <c r="T84" s="10" t="str">
        <f t="shared" si="67"/>
        <v/>
      </c>
      <c r="V84" s="10" t="str">
        <f t="shared" si="51"/>
        <v/>
      </c>
      <c r="W84" s="10" t="str">
        <f t="shared" si="68"/>
        <v/>
      </c>
      <c r="Y84" s="10" t="str">
        <f t="shared" si="52"/>
        <v/>
      </c>
      <c r="Z84" s="10" t="str">
        <f t="shared" si="69"/>
        <v/>
      </c>
      <c r="AB84" s="10" t="str">
        <f t="shared" si="53"/>
        <v/>
      </c>
      <c r="AC84" s="10" t="str">
        <f t="shared" si="70"/>
        <v/>
      </c>
      <c r="AE84" s="10" t="str">
        <f t="shared" si="54"/>
        <v/>
      </c>
      <c r="AF84" s="10" t="str">
        <f t="shared" si="71"/>
        <v/>
      </c>
      <c r="AH84" s="10" t="str">
        <f t="shared" si="55"/>
        <v/>
      </c>
      <c r="AI84" s="10" t="str">
        <f t="shared" si="72"/>
        <v/>
      </c>
      <c r="AK84" s="10" t="str">
        <f t="shared" si="56"/>
        <v/>
      </c>
      <c r="AL84" s="10" t="str">
        <f t="shared" si="73"/>
        <v/>
      </c>
      <c r="AN84" s="10" t="str">
        <f t="shared" si="57"/>
        <v/>
      </c>
      <c r="AO84" s="10" t="str">
        <f t="shared" si="74"/>
        <v/>
      </c>
      <c r="AQ84" s="10" t="str">
        <f t="shared" si="58"/>
        <v/>
      </c>
      <c r="AR84" s="10" t="str">
        <f t="shared" si="75"/>
        <v/>
      </c>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V84" s="10" t="str">
        <f t="shared" si="59"/>
        <v/>
      </c>
      <c r="AW84" s="10" t="str">
        <f t="shared" si="60"/>
        <v/>
      </c>
      <c r="AY84" s="7" t="str">
        <f>IF(ISERROR(IF($K84&lt;=$F$15,VLOOKUP($I84,'表4）CO2価格'!$A$7:$E$67,VLOOKUP($F$48,'表4）CO2価格'!$H$10:$I$12,2,0),0)*$F$8/1000,"")),0,IF($K84&lt;=$F$15,VLOOKUP($I84,'表4）CO2価格'!$A$7:$E$67,VLOOKUP($F$48,'表4）CO2価格'!$H$10:$I$12,2,0),0)*$F$8/1000,""))</f>
        <v/>
      </c>
      <c r="BA84" s="11" t="str">
        <f t="shared" si="61"/>
        <v/>
      </c>
      <c r="BB84" s="10" t="str">
        <f t="shared" si="76"/>
        <v/>
      </c>
      <c r="BD84" s="10" t="str">
        <f t="shared" si="62"/>
        <v/>
      </c>
      <c r="BE84" s="10" t="str">
        <f t="shared" si="77"/>
        <v/>
      </c>
      <c r="BG84" s="11" t="str">
        <f t="shared" si="63"/>
        <v/>
      </c>
      <c r="BH84" s="10" t="str">
        <f t="shared" si="78"/>
        <v/>
      </c>
      <c r="BJ84" s="7" t="str">
        <f t="shared" si="79"/>
        <v/>
      </c>
      <c r="BK84" s="158" t="str">
        <f t="shared" si="80"/>
        <v/>
      </c>
      <c r="BL84" s="158" t="str">
        <f t="shared" si="81"/>
        <v/>
      </c>
      <c r="BM84" s="10"/>
      <c r="BN84" s="10" t="str">
        <f t="shared" si="82"/>
        <v/>
      </c>
      <c r="BO84" s="10" t="str">
        <f t="shared" si="83"/>
        <v/>
      </c>
      <c r="BQ84" s="10" t="str">
        <f t="shared" si="64"/>
        <v/>
      </c>
      <c r="BR84" s="10" t="str">
        <f t="shared" si="84"/>
        <v/>
      </c>
    </row>
    <row r="85" spans="4:70" x14ac:dyDescent="0.15">
      <c r="D85" s="100" t="s">
        <v>594</v>
      </c>
      <c r="E85" s="489"/>
      <c r="F85" s="486"/>
      <c r="G85" s="100"/>
      <c r="I85" s="38">
        <f t="shared" si="85"/>
        <v>2090</v>
      </c>
      <c r="J85" s="39"/>
      <c r="K85" s="39">
        <f t="shared" si="86"/>
        <v>71</v>
      </c>
      <c r="L85" s="39"/>
      <c r="M85" s="40">
        <f t="shared" si="49"/>
        <v>0.12261879557071313</v>
      </c>
      <c r="N85" s="39"/>
      <c r="O85" s="72" t="str">
        <f t="shared" si="65"/>
        <v/>
      </c>
      <c r="P85" s="41" t="str">
        <f t="shared" si="50"/>
        <v/>
      </c>
      <c r="Q85" s="39"/>
      <c r="R85" s="72" t="str">
        <f t="shared" si="66"/>
        <v/>
      </c>
      <c r="S85" s="39"/>
      <c r="T85" s="72" t="str">
        <f t="shared" si="67"/>
        <v/>
      </c>
      <c r="U85" s="39"/>
      <c r="V85" s="72" t="str">
        <f t="shared" si="51"/>
        <v/>
      </c>
      <c r="W85" s="72" t="str">
        <f t="shared" si="68"/>
        <v/>
      </c>
      <c r="X85" s="39"/>
      <c r="Y85" s="72" t="str">
        <f t="shared" si="52"/>
        <v/>
      </c>
      <c r="Z85" s="72" t="str">
        <f t="shared" si="69"/>
        <v/>
      </c>
      <c r="AA85" s="39"/>
      <c r="AB85" s="72" t="str">
        <f t="shared" si="53"/>
        <v/>
      </c>
      <c r="AC85" s="72" t="str">
        <f t="shared" si="70"/>
        <v/>
      </c>
      <c r="AD85" s="39"/>
      <c r="AE85" s="72" t="str">
        <f t="shared" si="54"/>
        <v/>
      </c>
      <c r="AF85" s="72" t="str">
        <f t="shared" si="71"/>
        <v/>
      </c>
      <c r="AG85" s="39"/>
      <c r="AH85" s="72" t="str">
        <f t="shared" si="55"/>
        <v/>
      </c>
      <c r="AI85" s="72" t="str">
        <f t="shared" si="72"/>
        <v/>
      </c>
      <c r="AJ85" s="39"/>
      <c r="AK85" s="72" t="str">
        <f t="shared" si="56"/>
        <v/>
      </c>
      <c r="AL85" s="72" t="str">
        <f t="shared" si="73"/>
        <v/>
      </c>
      <c r="AM85" s="39"/>
      <c r="AN85" s="72" t="str">
        <f t="shared" si="57"/>
        <v/>
      </c>
      <c r="AO85" s="72" t="str">
        <f t="shared" si="74"/>
        <v/>
      </c>
      <c r="AP85" s="39"/>
      <c r="AQ85" s="72" t="str">
        <f t="shared" si="58"/>
        <v/>
      </c>
      <c r="AR85" s="72" t="str">
        <f t="shared" si="75"/>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59"/>
        <v/>
      </c>
      <c r="AW85" s="72" t="str">
        <f t="shared" si="60"/>
        <v/>
      </c>
      <c r="AX85" s="39"/>
      <c r="AY85" s="40" t="str">
        <f>IF(ISERROR(IF($K85&lt;=$F$15,VLOOKUP($I85,'表4）CO2価格'!$A$7:$E$67,VLOOKUP($F$48,'表4）CO2価格'!$H$10:$I$12,2,0),0)*$F$8/1000,"")),0,IF($K85&lt;=$F$15,VLOOKUP($I85,'表4）CO2価格'!$A$7:$E$67,VLOOKUP($F$48,'表4）CO2価格'!$H$10:$I$12,2,0),0)*$F$8/1000,""))</f>
        <v/>
      </c>
      <c r="AZ85" s="39"/>
      <c r="BA85" s="42" t="str">
        <f t="shared" si="61"/>
        <v/>
      </c>
      <c r="BB85" s="72" t="str">
        <f t="shared" si="76"/>
        <v/>
      </c>
      <c r="BC85" s="39"/>
      <c r="BD85" s="72" t="str">
        <f t="shared" si="62"/>
        <v/>
      </c>
      <c r="BE85" s="72" t="str">
        <f t="shared" si="77"/>
        <v/>
      </c>
      <c r="BF85" s="39"/>
      <c r="BG85" s="42" t="str">
        <f t="shared" si="63"/>
        <v/>
      </c>
      <c r="BH85" s="72" t="str">
        <f t="shared" si="78"/>
        <v/>
      </c>
      <c r="BI85" s="39"/>
      <c r="BJ85" s="40" t="str">
        <f t="shared" si="79"/>
        <v/>
      </c>
      <c r="BK85" s="157" t="str">
        <f t="shared" si="80"/>
        <v/>
      </c>
      <c r="BL85" s="157" t="str">
        <f t="shared" si="81"/>
        <v/>
      </c>
      <c r="BM85" s="72"/>
      <c r="BN85" s="72" t="str">
        <f t="shared" si="82"/>
        <v/>
      </c>
      <c r="BO85" s="72" t="str">
        <f t="shared" si="83"/>
        <v/>
      </c>
      <c r="BP85" s="39"/>
      <c r="BQ85" s="72" t="str">
        <f t="shared" si="64"/>
        <v/>
      </c>
      <c r="BR85" s="72" t="str">
        <f t="shared" si="84"/>
        <v/>
      </c>
    </row>
    <row r="86" spans="4:70" x14ac:dyDescent="0.15">
      <c r="F86" s="487"/>
      <c r="I86" s="322">
        <f t="shared" si="85"/>
        <v>2091</v>
      </c>
      <c r="K86" s="71">
        <f t="shared" si="86"/>
        <v>72</v>
      </c>
      <c r="M86" s="7">
        <f t="shared" si="49"/>
        <v>0.1190473743404982</v>
      </c>
      <c r="O86" s="10" t="str">
        <f t="shared" si="65"/>
        <v/>
      </c>
      <c r="P86" s="29" t="str">
        <f t="shared" si="50"/>
        <v/>
      </c>
      <c r="R86" s="10" t="str">
        <f t="shared" si="66"/>
        <v/>
      </c>
      <c r="T86" s="10" t="str">
        <f t="shared" si="67"/>
        <v/>
      </c>
      <c r="V86" s="10" t="str">
        <f t="shared" si="51"/>
        <v/>
      </c>
      <c r="W86" s="10" t="str">
        <f t="shared" si="68"/>
        <v/>
      </c>
      <c r="Y86" s="10" t="str">
        <f t="shared" si="52"/>
        <v/>
      </c>
      <c r="Z86" s="10" t="str">
        <f t="shared" si="69"/>
        <v/>
      </c>
      <c r="AB86" s="10" t="str">
        <f t="shared" si="53"/>
        <v/>
      </c>
      <c r="AC86" s="10" t="str">
        <f t="shared" si="70"/>
        <v/>
      </c>
      <c r="AE86" s="10" t="str">
        <f t="shared" si="54"/>
        <v/>
      </c>
      <c r="AF86" s="10" t="str">
        <f t="shared" si="71"/>
        <v/>
      </c>
      <c r="AH86" s="10" t="str">
        <f t="shared" si="55"/>
        <v/>
      </c>
      <c r="AI86" s="10" t="str">
        <f t="shared" si="72"/>
        <v/>
      </c>
      <c r="AK86" s="10" t="str">
        <f t="shared" si="56"/>
        <v/>
      </c>
      <c r="AL86" s="10" t="str">
        <f t="shared" si="73"/>
        <v/>
      </c>
      <c r="AN86" s="10" t="str">
        <f t="shared" si="57"/>
        <v/>
      </c>
      <c r="AO86" s="10" t="str">
        <f t="shared" si="74"/>
        <v/>
      </c>
      <c r="AQ86" s="10" t="str">
        <f t="shared" si="58"/>
        <v/>
      </c>
      <c r="AR86" s="10" t="str">
        <f t="shared" si="75"/>
        <v/>
      </c>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V86" s="10" t="str">
        <f t="shared" si="59"/>
        <v/>
      </c>
      <c r="AW86" s="10" t="str">
        <f t="shared" si="60"/>
        <v/>
      </c>
      <c r="AY86" s="7" t="str">
        <f>IF(ISERROR(IF($K86&lt;=$F$15,VLOOKUP($I86,'表4）CO2価格'!$A$7:$E$67,VLOOKUP($F$48,'表4）CO2価格'!$H$10:$I$12,2,0),0)*$F$8/1000,"")),0,IF($K86&lt;=$F$15,VLOOKUP($I86,'表4）CO2価格'!$A$7:$E$67,VLOOKUP($F$48,'表4）CO2価格'!$H$10:$I$12,2,0),0)*$F$8/1000,""))</f>
        <v/>
      </c>
      <c r="BA86" s="11" t="str">
        <f t="shared" si="61"/>
        <v/>
      </c>
      <c r="BB86" s="10" t="str">
        <f t="shared" si="76"/>
        <v/>
      </c>
      <c r="BD86" s="10" t="str">
        <f t="shared" si="62"/>
        <v/>
      </c>
      <c r="BE86" s="10" t="str">
        <f t="shared" si="77"/>
        <v/>
      </c>
      <c r="BG86" s="11" t="str">
        <f t="shared" si="63"/>
        <v/>
      </c>
      <c r="BH86" s="10" t="str">
        <f t="shared" si="78"/>
        <v/>
      </c>
      <c r="BJ86" s="7" t="str">
        <f t="shared" si="79"/>
        <v/>
      </c>
      <c r="BK86" s="158" t="str">
        <f t="shared" si="80"/>
        <v/>
      </c>
      <c r="BL86" s="158" t="str">
        <f t="shared" si="81"/>
        <v/>
      </c>
      <c r="BM86" s="10"/>
      <c r="BN86" s="10" t="str">
        <f t="shared" si="82"/>
        <v/>
      </c>
      <c r="BO86" s="10" t="str">
        <f t="shared" si="83"/>
        <v/>
      </c>
      <c r="BQ86" s="10" t="str">
        <f t="shared" si="64"/>
        <v/>
      </c>
      <c r="BR86" s="10" t="str">
        <f t="shared" si="84"/>
        <v/>
      </c>
    </row>
    <row r="87" spans="4:70" x14ac:dyDescent="0.15">
      <c r="E87" s="160" t="s">
        <v>251</v>
      </c>
      <c r="F87" s="488">
        <f>AI116/$BR$116</f>
        <v>4.2175585397125301</v>
      </c>
      <c r="G87" s="84" t="s">
        <v>590</v>
      </c>
      <c r="I87" s="38">
        <f t="shared" si="85"/>
        <v>2092</v>
      </c>
      <c r="J87" s="39"/>
      <c r="K87" s="39">
        <f t="shared" si="86"/>
        <v>73</v>
      </c>
      <c r="L87" s="39"/>
      <c r="M87" s="40">
        <f t="shared" si="49"/>
        <v>0.11557997508786232</v>
      </c>
      <c r="N87" s="39"/>
      <c r="O87" s="72" t="str">
        <f t="shared" si="65"/>
        <v/>
      </c>
      <c r="P87" s="41" t="str">
        <f t="shared" si="50"/>
        <v/>
      </c>
      <c r="Q87" s="39"/>
      <c r="R87" s="72" t="str">
        <f t="shared" si="66"/>
        <v/>
      </c>
      <c r="S87" s="39"/>
      <c r="T87" s="72" t="str">
        <f t="shared" si="67"/>
        <v/>
      </c>
      <c r="U87" s="39"/>
      <c r="V87" s="72" t="str">
        <f t="shared" si="51"/>
        <v/>
      </c>
      <c r="W87" s="72" t="str">
        <f t="shared" si="68"/>
        <v/>
      </c>
      <c r="X87" s="39"/>
      <c r="Y87" s="72" t="str">
        <f t="shared" si="52"/>
        <v/>
      </c>
      <c r="Z87" s="72" t="str">
        <f t="shared" si="69"/>
        <v/>
      </c>
      <c r="AA87" s="39"/>
      <c r="AB87" s="72" t="str">
        <f t="shared" si="53"/>
        <v/>
      </c>
      <c r="AC87" s="72" t="str">
        <f t="shared" si="70"/>
        <v/>
      </c>
      <c r="AD87" s="39"/>
      <c r="AE87" s="72" t="str">
        <f t="shared" si="54"/>
        <v/>
      </c>
      <c r="AF87" s="72" t="str">
        <f t="shared" si="71"/>
        <v/>
      </c>
      <c r="AG87" s="39"/>
      <c r="AH87" s="72" t="str">
        <f t="shared" si="55"/>
        <v/>
      </c>
      <c r="AI87" s="72" t="str">
        <f t="shared" si="72"/>
        <v/>
      </c>
      <c r="AJ87" s="39"/>
      <c r="AK87" s="72" t="str">
        <f t="shared" si="56"/>
        <v/>
      </c>
      <c r="AL87" s="72" t="str">
        <f t="shared" si="73"/>
        <v/>
      </c>
      <c r="AM87" s="39"/>
      <c r="AN87" s="72" t="str">
        <f t="shared" si="57"/>
        <v/>
      </c>
      <c r="AO87" s="72" t="str">
        <f t="shared" si="74"/>
        <v/>
      </c>
      <c r="AP87" s="39"/>
      <c r="AQ87" s="72" t="str">
        <f t="shared" si="58"/>
        <v/>
      </c>
      <c r="AR87" s="72" t="str">
        <f t="shared" si="75"/>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59"/>
        <v/>
      </c>
      <c r="AW87" s="72" t="str">
        <f t="shared" si="60"/>
        <v/>
      </c>
      <c r="AX87" s="39"/>
      <c r="AY87" s="40" t="str">
        <f>IF(ISERROR(IF($K87&lt;=$F$15,VLOOKUP($I87,'表4）CO2価格'!$A$7:$E$67,VLOOKUP($F$48,'表4）CO2価格'!$H$10:$I$12,2,0),0)*$F$8/1000,"")),0,IF($K87&lt;=$F$15,VLOOKUP($I87,'表4）CO2価格'!$A$7:$E$67,VLOOKUP($F$48,'表4）CO2価格'!$H$10:$I$12,2,0),0)*$F$8/1000,""))</f>
        <v/>
      </c>
      <c r="AZ87" s="39"/>
      <c r="BA87" s="42" t="str">
        <f t="shared" si="61"/>
        <v/>
      </c>
      <c r="BB87" s="72" t="str">
        <f t="shared" si="76"/>
        <v/>
      </c>
      <c r="BC87" s="39"/>
      <c r="BD87" s="72" t="str">
        <f t="shared" si="62"/>
        <v/>
      </c>
      <c r="BE87" s="72" t="str">
        <f t="shared" si="77"/>
        <v/>
      </c>
      <c r="BF87" s="39"/>
      <c r="BG87" s="42" t="str">
        <f t="shared" si="63"/>
        <v/>
      </c>
      <c r="BH87" s="72" t="str">
        <f t="shared" si="78"/>
        <v/>
      </c>
      <c r="BI87" s="39"/>
      <c r="BJ87" s="40" t="str">
        <f t="shared" si="79"/>
        <v/>
      </c>
      <c r="BK87" s="157" t="str">
        <f t="shared" si="80"/>
        <v/>
      </c>
      <c r="BL87" s="157" t="str">
        <f t="shared" si="81"/>
        <v/>
      </c>
      <c r="BM87" s="72"/>
      <c r="BN87" s="72" t="str">
        <f t="shared" si="82"/>
        <v/>
      </c>
      <c r="BO87" s="72" t="str">
        <f t="shared" si="83"/>
        <v/>
      </c>
      <c r="BP87" s="39"/>
      <c r="BQ87" s="72" t="str">
        <f t="shared" si="64"/>
        <v/>
      </c>
      <c r="BR87" s="72" t="str">
        <f t="shared" si="84"/>
        <v/>
      </c>
    </row>
    <row r="88" spans="4:70" x14ac:dyDescent="0.15">
      <c r="F88" s="488"/>
      <c r="I88" s="322">
        <f t="shared" si="85"/>
        <v>2093</v>
      </c>
      <c r="K88" s="71">
        <f t="shared" si="86"/>
        <v>74</v>
      </c>
      <c r="M88" s="7">
        <f t="shared" si="49"/>
        <v>0.11221356804646829</v>
      </c>
      <c r="O88" s="10" t="str">
        <f t="shared" si="65"/>
        <v/>
      </c>
      <c r="P88" s="29" t="str">
        <f t="shared" si="50"/>
        <v/>
      </c>
      <c r="R88" s="10" t="str">
        <f t="shared" si="66"/>
        <v/>
      </c>
      <c r="T88" s="10" t="str">
        <f t="shared" si="67"/>
        <v/>
      </c>
      <c r="V88" s="10" t="str">
        <f t="shared" si="51"/>
        <v/>
      </c>
      <c r="W88" s="10" t="str">
        <f t="shared" si="68"/>
        <v/>
      </c>
      <c r="Y88" s="10" t="str">
        <f t="shared" si="52"/>
        <v/>
      </c>
      <c r="Z88" s="10" t="str">
        <f t="shared" si="69"/>
        <v/>
      </c>
      <c r="AB88" s="10" t="str">
        <f t="shared" si="53"/>
        <v/>
      </c>
      <c r="AC88" s="10" t="str">
        <f t="shared" si="70"/>
        <v/>
      </c>
      <c r="AE88" s="10" t="str">
        <f t="shared" si="54"/>
        <v/>
      </c>
      <c r="AF88" s="10" t="str">
        <f t="shared" si="71"/>
        <v/>
      </c>
      <c r="AH88" s="10" t="str">
        <f t="shared" si="55"/>
        <v/>
      </c>
      <c r="AI88" s="10" t="str">
        <f t="shared" si="72"/>
        <v/>
      </c>
      <c r="AK88" s="10" t="str">
        <f t="shared" si="56"/>
        <v/>
      </c>
      <c r="AL88" s="10" t="str">
        <f t="shared" si="73"/>
        <v/>
      </c>
      <c r="AN88" s="10" t="str">
        <f t="shared" si="57"/>
        <v/>
      </c>
      <c r="AO88" s="10" t="str">
        <f t="shared" si="74"/>
        <v/>
      </c>
      <c r="AQ88" s="10" t="str">
        <f t="shared" si="58"/>
        <v/>
      </c>
      <c r="AR88" s="10" t="str">
        <f t="shared" si="75"/>
        <v/>
      </c>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V88" s="10" t="str">
        <f t="shared" si="59"/>
        <v/>
      </c>
      <c r="AW88" s="10" t="str">
        <f t="shared" si="60"/>
        <v/>
      </c>
      <c r="AY88" s="7" t="str">
        <f>IF(ISERROR(IF($K88&lt;=$F$15,VLOOKUP($I88,'表4）CO2価格'!$A$7:$E$67,VLOOKUP($F$48,'表4）CO2価格'!$H$10:$I$12,2,0),0)*$F$8/1000,"")),0,IF($K88&lt;=$F$15,VLOOKUP($I88,'表4）CO2価格'!$A$7:$E$67,VLOOKUP($F$48,'表4）CO2価格'!$H$10:$I$12,2,0),0)*$F$8/1000,""))</f>
        <v/>
      </c>
      <c r="BA88" s="11" t="str">
        <f t="shared" si="61"/>
        <v/>
      </c>
      <c r="BB88" s="10" t="str">
        <f t="shared" si="76"/>
        <v/>
      </c>
      <c r="BD88" s="10" t="str">
        <f t="shared" si="62"/>
        <v/>
      </c>
      <c r="BE88" s="10" t="str">
        <f t="shared" si="77"/>
        <v/>
      </c>
      <c r="BG88" s="11" t="str">
        <f t="shared" si="63"/>
        <v/>
      </c>
      <c r="BH88" s="10" t="str">
        <f t="shared" si="78"/>
        <v/>
      </c>
      <c r="BJ88" s="7" t="str">
        <f t="shared" si="79"/>
        <v/>
      </c>
      <c r="BK88" s="158" t="str">
        <f t="shared" si="80"/>
        <v/>
      </c>
      <c r="BL88" s="158" t="str">
        <f t="shared" si="81"/>
        <v/>
      </c>
      <c r="BM88" s="10"/>
      <c r="BN88" s="10" t="str">
        <f t="shared" si="82"/>
        <v/>
      </c>
      <c r="BO88" s="10" t="str">
        <f t="shared" si="83"/>
        <v/>
      </c>
      <c r="BQ88" s="10" t="str">
        <f t="shared" si="64"/>
        <v/>
      </c>
      <c r="BR88" s="10" t="str">
        <f t="shared" si="84"/>
        <v/>
      </c>
    </row>
    <row r="89" spans="4:70" x14ac:dyDescent="0.15">
      <c r="F89" s="488"/>
      <c r="I89" s="38">
        <f t="shared" si="85"/>
        <v>2094</v>
      </c>
      <c r="J89" s="39"/>
      <c r="K89" s="39">
        <f t="shared" si="86"/>
        <v>75</v>
      </c>
      <c r="L89" s="39"/>
      <c r="M89" s="40">
        <f t="shared" si="49"/>
        <v>0.10894521169560026</v>
      </c>
      <c r="N89" s="39"/>
      <c r="O89" s="72" t="str">
        <f t="shared" si="65"/>
        <v/>
      </c>
      <c r="P89" s="41" t="str">
        <f t="shared" si="50"/>
        <v/>
      </c>
      <c r="Q89" s="39"/>
      <c r="R89" s="72" t="str">
        <f t="shared" si="66"/>
        <v/>
      </c>
      <c r="S89" s="39"/>
      <c r="T89" s="72" t="str">
        <f t="shared" si="67"/>
        <v/>
      </c>
      <c r="U89" s="39"/>
      <c r="V89" s="72" t="str">
        <f t="shared" si="51"/>
        <v/>
      </c>
      <c r="W89" s="72" t="str">
        <f t="shared" si="68"/>
        <v/>
      </c>
      <c r="X89" s="39"/>
      <c r="Y89" s="72" t="str">
        <f t="shared" si="52"/>
        <v/>
      </c>
      <c r="Z89" s="72" t="str">
        <f t="shared" si="69"/>
        <v/>
      </c>
      <c r="AA89" s="39"/>
      <c r="AB89" s="72" t="str">
        <f t="shared" si="53"/>
        <v/>
      </c>
      <c r="AC89" s="72" t="str">
        <f t="shared" si="70"/>
        <v/>
      </c>
      <c r="AD89" s="39"/>
      <c r="AE89" s="72" t="str">
        <f t="shared" si="54"/>
        <v/>
      </c>
      <c r="AF89" s="72" t="str">
        <f t="shared" si="71"/>
        <v/>
      </c>
      <c r="AG89" s="39"/>
      <c r="AH89" s="72" t="str">
        <f t="shared" si="55"/>
        <v/>
      </c>
      <c r="AI89" s="72" t="str">
        <f t="shared" si="72"/>
        <v/>
      </c>
      <c r="AJ89" s="39"/>
      <c r="AK89" s="72" t="str">
        <f t="shared" si="56"/>
        <v/>
      </c>
      <c r="AL89" s="72" t="str">
        <f t="shared" si="73"/>
        <v/>
      </c>
      <c r="AM89" s="39"/>
      <c r="AN89" s="72" t="str">
        <f t="shared" si="57"/>
        <v/>
      </c>
      <c r="AO89" s="72" t="str">
        <f t="shared" si="74"/>
        <v/>
      </c>
      <c r="AP89" s="39"/>
      <c r="AQ89" s="72" t="str">
        <f t="shared" si="58"/>
        <v/>
      </c>
      <c r="AR89" s="72" t="str">
        <f t="shared" si="75"/>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59"/>
        <v/>
      </c>
      <c r="AW89" s="72" t="str">
        <f t="shared" si="60"/>
        <v/>
      </c>
      <c r="AX89" s="39"/>
      <c r="AY89" s="40" t="str">
        <f>IF(ISERROR(IF($K89&lt;=$F$15,VLOOKUP($I89,'表4）CO2価格'!$A$7:$E$67,VLOOKUP($F$48,'表4）CO2価格'!$H$10:$I$12,2,0),0)*$F$8/1000,"")),0,IF($K89&lt;=$F$15,VLOOKUP($I89,'表4）CO2価格'!$A$7:$E$67,VLOOKUP($F$48,'表4）CO2価格'!$H$10:$I$12,2,0),0)*$F$8/1000,""))</f>
        <v/>
      </c>
      <c r="AZ89" s="39"/>
      <c r="BA89" s="42" t="str">
        <f t="shared" si="61"/>
        <v/>
      </c>
      <c r="BB89" s="72" t="str">
        <f t="shared" si="76"/>
        <v/>
      </c>
      <c r="BC89" s="39"/>
      <c r="BD89" s="72" t="str">
        <f t="shared" si="62"/>
        <v/>
      </c>
      <c r="BE89" s="72" t="str">
        <f t="shared" si="77"/>
        <v/>
      </c>
      <c r="BF89" s="39"/>
      <c r="BG89" s="42" t="str">
        <f t="shared" si="63"/>
        <v/>
      </c>
      <c r="BH89" s="72" t="str">
        <f t="shared" si="78"/>
        <v/>
      </c>
      <c r="BI89" s="39"/>
      <c r="BJ89" s="40" t="str">
        <f t="shared" si="79"/>
        <v/>
      </c>
      <c r="BK89" s="157" t="str">
        <f t="shared" si="80"/>
        <v/>
      </c>
      <c r="BL89" s="157" t="str">
        <f t="shared" si="81"/>
        <v/>
      </c>
      <c r="BM89" s="72"/>
      <c r="BN89" s="72" t="str">
        <f t="shared" si="82"/>
        <v/>
      </c>
      <c r="BO89" s="72" t="str">
        <f t="shared" si="83"/>
        <v/>
      </c>
      <c r="BP89" s="39"/>
      <c r="BQ89" s="72" t="str">
        <f t="shared" si="64"/>
        <v/>
      </c>
      <c r="BR89" s="72" t="str">
        <f t="shared" si="84"/>
        <v/>
      </c>
    </row>
    <row r="90" spans="4:70" x14ac:dyDescent="0.15">
      <c r="F90" s="488"/>
      <c r="I90" s="322">
        <f t="shared" si="85"/>
        <v>2095</v>
      </c>
      <c r="K90" s="71">
        <f t="shared" si="86"/>
        <v>76</v>
      </c>
      <c r="M90" s="7">
        <f t="shared" si="49"/>
        <v>0.10577205018990318</v>
      </c>
      <c r="O90" s="10" t="str">
        <f t="shared" si="65"/>
        <v/>
      </c>
      <c r="P90" s="29" t="str">
        <f t="shared" si="50"/>
        <v/>
      </c>
      <c r="R90" s="10" t="str">
        <f t="shared" si="66"/>
        <v/>
      </c>
      <c r="T90" s="10" t="str">
        <f t="shared" si="67"/>
        <v/>
      </c>
      <c r="V90" s="10" t="str">
        <f t="shared" si="51"/>
        <v/>
      </c>
      <c r="W90" s="10" t="str">
        <f t="shared" si="68"/>
        <v/>
      </c>
      <c r="Y90" s="10" t="str">
        <f t="shared" si="52"/>
        <v/>
      </c>
      <c r="Z90" s="10" t="str">
        <f t="shared" si="69"/>
        <v/>
      </c>
      <c r="AB90" s="10" t="str">
        <f t="shared" si="53"/>
        <v/>
      </c>
      <c r="AC90" s="10" t="str">
        <f t="shared" si="70"/>
        <v/>
      </c>
      <c r="AE90" s="10" t="str">
        <f t="shared" si="54"/>
        <v/>
      </c>
      <c r="AF90" s="10" t="str">
        <f t="shared" si="71"/>
        <v/>
      </c>
      <c r="AH90" s="10" t="str">
        <f t="shared" si="55"/>
        <v/>
      </c>
      <c r="AI90" s="10" t="str">
        <f t="shared" si="72"/>
        <v/>
      </c>
      <c r="AK90" s="10" t="str">
        <f t="shared" si="56"/>
        <v/>
      </c>
      <c r="AL90" s="10" t="str">
        <f t="shared" si="73"/>
        <v/>
      </c>
      <c r="AN90" s="10" t="str">
        <f t="shared" si="57"/>
        <v/>
      </c>
      <c r="AO90" s="10" t="str">
        <f t="shared" si="74"/>
        <v/>
      </c>
      <c r="AQ90" s="10" t="str">
        <f t="shared" si="58"/>
        <v/>
      </c>
      <c r="AR90" s="10" t="str">
        <f t="shared" si="75"/>
        <v/>
      </c>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V90" s="10" t="str">
        <f t="shared" si="59"/>
        <v/>
      </c>
      <c r="AW90" s="10" t="str">
        <f t="shared" si="60"/>
        <v/>
      </c>
      <c r="AY90" s="7" t="str">
        <f>IF(ISERROR(IF($K90&lt;=$F$15,VLOOKUP($I90,'表4）CO2価格'!$A$7:$E$67,VLOOKUP($F$48,'表4）CO2価格'!$H$10:$I$12,2,0),0)*$F$8/1000,"")),0,IF($K90&lt;=$F$15,VLOOKUP($I90,'表4）CO2価格'!$A$7:$E$67,VLOOKUP($F$48,'表4）CO2価格'!$H$10:$I$12,2,0),0)*$F$8/1000,""))</f>
        <v/>
      </c>
      <c r="BA90" s="11" t="str">
        <f t="shared" si="61"/>
        <v/>
      </c>
      <c r="BB90" s="10" t="str">
        <f t="shared" si="76"/>
        <v/>
      </c>
      <c r="BD90" s="10" t="str">
        <f t="shared" si="62"/>
        <v/>
      </c>
      <c r="BE90" s="10" t="str">
        <f t="shared" si="77"/>
        <v/>
      </c>
      <c r="BG90" s="11" t="str">
        <f t="shared" si="63"/>
        <v/>
      </c>
      <c r="BH90" s="10" t="str">
        <f t="shared" si="78"/>
        <v/>
      </c>
      <c r="BJ90" s="7" t="str">
        <f t="shared" si="79"/>
        <v/>
      </c>
      <c r="BK90" s="158" t="str">
        <f t="shared" si="80"/>
        <v/>
      </c>
      <c r="BL90" s="158" t="str">
        <f t="shared" si="81"/>
        <v/>
      </c>
      <c r="BM90" s="10"/>
      <c r="BN90" s="10" t="str">
        <f t="shared" si="82"/>
        <v/>
      </c>
      <c r="BO90" s="10" t="str">
        <f t="shared" si="83"/>
        <v/>
      </c>
      <c r="BQ90" s="10" t="str">
        <f t="shared" si="64"/>
        <v/>
      </c>
      <c r="BR90" s="10" t="str">
        <f t="shared" si="84"/>
        <v/>
      </c>
    </row>
    <row r="91" spans="4:70" x14ac:dyDescent="0.15">
      <c r="F91" s="487"/>
      <c r="I91" s="38">
        <f t="shared" si="85"/>
        <v>2096</v>
      </c>
      <c r="J91" s="39"/>
      <c r="K91" s="39">
        <f t="shared" si="86"/>
        <v>77</v>
      </c>
      <c r="L91" s="39"/>
      <c r="M91" s="40">
        <f t="shared" si="49"/>
        <v>0.10269131086398368</v>
      </c>
      <c r="N91" s="39"/>
      <c r="O91" s="72" t="str">
        <f t="shared" si="65"/>
        <v/>
      </c>
      <c r="P91" s="41" t="str">
        <f t="shared" si="50"/>
        <v/>
      </c>
      <c r="Q91" s="39"/>
      <c r="R91" s="72" t="str">
        <f t="shared" si="66"/>
        <v/>
      </c>
      <c r="S91" s="39"/>
      <c r="T91" s="72" t="str">
        <f t="shared" si="67"/>
        <v/>
      </c>
      <c r="U91" s="39"/>
      <c r="V91" s="72" t="str">
        <f t="shared" si="51"/>
        <v/>
      </c>
      <c r="W91" s="72" t="str">
        <f t="shared" si="68"/>
        <v/>
      </c>
      <c r="X91" s="39"/>
      <c r="Y91" s="72" t="str">
        <f t="shared" si="52"/>
        <v/>
      </c>
      <c r="Z91" s="72" t="str">
        <f t="shared" si="69"/>
        <v/>
      </c>
      <c r="AA91" s="39"/>
      <c r="AB91" s="72" t="str">
        <f t="shared" si="53"/>
        <v/>
      </c>
      <c r="AC91" s="72" t="str">
        <f t="shared" si="70"/>
        <v/>
      </c>
      <c r="AD91" s="39"/>
      <c r="AE91" s="72" t="str">
        <f t="shared" si="54"/>
        <v/>
      </c>
      <c r="AF91" s="72" t="str">
        <f t="shared" si="71"/>
        <v/>
      </c>
      <c r="AG91" s="39"/>
      <c r="AH91" s="72" t="str">
        <f t="shared" si="55"/>
        <v/>
      </c>
      <c r="AI91" s="72" t="str">
        <f t="shared" si="72"/>
        <v/>
      </c>
      <c r="AJ91" s="39"/>
      <c r="AK91" s="72" t="str">
        <f t="shared" si="56"/>
        <v/>
      </c>
      <c r="AL91" s="72" t="str">
        <f t="shared" si="73"/>
        <v/>
      </c>
      <c r="AM91" s="39"/>
      <c r="AN91" s="72" t="str">
        <f t="shared" si="57"/>
        <v/>
      </c>
      <c r="AO91" s="72" t="str">
        <f t="shared" si="74"/>
        <v/>
      </c>
      <c r="AP91" s="39"/>
      <c r="AQ91" s="72" t="str">
        <f t="shared" si="58"/>
        <v/>
      </c>
      <c r="AR91" s="72" t="str">
        <f t="shared" si="75"/>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59"/>
        <v/>
      </c>
      <c r="AW91" s="72" t="str">
        <f t="shared" si="60"/>
        <v/>
      </c>
      <c r="AX91" s="39"/>
      <c r="AY91" s="40" t="str">
        <f>IF(ISERROR(IF($K91&lt;=$F$15,VLOOKUP($I91,'表4）CO2価格'!$A$7:$E$67,VLOOKUP($F$48,'表4）CO2価格'!$H$10:$I$12,2,0),0)*$F$8/1000,"")),0,IF($K91&lt;=$F$15,VLOOKUP($I91,'表4）CO2価格'!$A$7:$E$67,VLOOKUP($F$48,'表4）CO2価格'!$H$10:$I$12,2,0),0)*$F$8/1000,""))</f>
        <v/>
      </c>
      <c r="AZ91" s="39"/>
      <c r="BA91" s="42" t="str">
        <f t="shared" si="61"/>
        <v/>
      </c>
      <c r="BB91" s="72" t="str">
        <f t="shared" si="76"/>
        <v/>
      </c>
      <c r="BC91" s="39"/>
      <c r="BD91" s="72" t="str">
        <f t="shared" si="62"/>
        <v/>
      </c>
      <c r="BE91" s="72" t="str">
        <f t="shared" si="77"/>
        <v/>
      </c>
      <c r="BF91" s="39"/>
      <c r="BG91" s="42" t="str">
        <f t="shared" si="63"/>
        <v/>
      </c>
      <c r="BH91" s="72" t="str">
        <f t="shared" si="78"/>
        <v/>
      </c>
      <c r="BI91" s="39"/>
      <c r="BJ91" s="40" t="str">
        <f t="shared" si="79"/>
        <v/>
      </c>
      <c r="BK91" s="157" t="str">
        <f t="shared" si="80"/>
        <v/>
      </c>
      <c r="BL91" s="157" t="str">
        <f t="shared" si="81"/>
        <v/>
      </c>
      <c r="BM91" s="72"/>
      <c r="BN91" s="72" t="str">
        <f t="shared" si="82"/>
        <v/>
      </c>
      <c r="BO91" s="72" t="str">
        <f t="shared" si="83"/>
        <v/>
      </c>
      <c r="BP91" s="39"/>
      <c r="BQ91" s="72" t="str">
        <f t="shared" si="64"/>
        <v/>
      </c>
      <c r="BR91" s="72" t="str">
        <f t="shared" si="84"/>
        <v/>
      </c>
    </row>
    <row r="92" spans="4:70" ht="15" x14ac:dyDescent="0.15">
      <c r="D92" s="103" t="s">
        <v>595</v>
      </c>
      <c r="F92" s="484">
        <f>SUBTOTAL(9,F96:F97)</f>
        <v>20.96447227342486</v>
      </c>
      <c r="I92" s="322">
        <f t="shared" si="85"/>
        <v>2097</v>
      </c>
      <c r="K92" s="71">
        <f t="shared" si="86"/>
        <v>78</v>
      </c>
      <c r="M92" s="7">
        <f t="shared" si="49"/>
        <v>9.9700301809692873E-2</v>
      </c>
      <c r="O92" s="10" t="str">
        <f t="shared" si="65"/>
        <v/>
      </c>
      <c r="P92" s="29" t="str">
        <f t="shared" si="50"/>
        <v/>
      </c>
      <c r="R92" s="10" t="str">
        <f t="shared" si="66"/>
        <v/>
      </c>
      <c r="T92" s="10" t="str">
        <f t="shared" si="67"/>
        <v/>
      </c>
      <c r="V92" s="10" t="str">
        <f t="shared" si="51"/>
        <v/>
      </c>
      <c r="W92" s="10" t="str">
        <f t="shared" si="68"/>
        <v/>
      </c>
      <c r="Y92" s="10" t="str">
        <f t="shared" si="52"/>
        <v/>
      </c>
      <c r="Z92" s="10" t="str">
        <f t="shared" si="69"/>
        <v/>
      </c>
      <c r="AB92" s="10" t="str">
        <f t="shared" si="53"/>
        <v/>
      </c>
      <c r="AC92" s="10" t="str">
        <f t="shared" si="70"/>
        <v/>
      </c>
      <c r="AE92" s="10" t="str">
        <f t="shared" si="54"/>
        <v/>
      </c>
      <c r="AF92" s="10" t="str">
        <f t="shared" si="71"/>
        <v/>
      </c>
      <c r="AH92" s="10" t="str">
        <f t="shared" si="55"/>
        <v/>
      </c>
      <c r="AI92" s="10" t="str">
        <f t="shared" si="72"/>
        <v/>
      </c>
      <c r="AK92" s="10" t="str">
        <f t="shared" si="56"/>
        <v/>
      </c>
      <c r="AL92" s="10" t="str">
        <f t="shared" si="73"/>
        <v/>
      </c>
      <c r="AN92" s="10" t="str">
        <f t="shared" si="57"/>
        <v/>
      </c>
      <c r="AO92" s="10" t="str">
        <f t="shared" si="74"/>
        <v/>
      </c>
      <c r="AQ92" s="10" t="str">
        <f t="shared" si="58"/>
        <v/>
      </c>
      <c r="AR92" s="10" t="str">
        <f t="shared" si="75"/>
        <v/>
      </c>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V92" s="10" t="str">
        <f t="shared" si="59"/>
        <v/>
      </c>
      <c r="AW92" s="10" t="str">
        <f t="shared" si="60"/>
        <v/>
      </c>
      <c r="AY92" s="7" t="str">
        <f>IF(ISERROR(IF($K92&lt;=$F$15,VLOOKUP($I92,'表4）CO2価格'!$A$7:$E$67,VLOOKUP($F$48,'表4）CO2価格'!$H$10:$I$12,2,0),0)*$F$8/1000,"")),0,IF($K92&lt;=$F$15,VLOOKUP($I92,'表4）CO2価格'!$A$7:$E$67,VLOOKUP($F$48,'表4）CO2価格'!$H$10:$I$12,2,0),0)*$F$8/1000,""))</f>
        <v/>
      </c>
      <c r="BA92" s="11" t="str">
        <f t="shared" si="61"/>
        <v/>
      </c>
      <c r="BB92" s="10" t="str">
        <f t="shared" si="76"/>
        <v/>
      </c>
      <c r="BD92" s="10" t="str">
        <f t="shared" si="62"/>
        <v/>
      </c>
      <c r="BE92" s="10" t="str">
        <f t="shared" si="77"/>
        <v/>
      </c>
      <c r="BG92" s="11" t="str">
        <f t="shared" si="63"/>
        <v/>
      </c>
      <c r="BH92" s="10" t="str">
        <f t="shared" si="78"/>
        <v/>
      </c>
      <c r="BJ92" s="7" t="str">
        <f t="shared" si="79"/>
        <v/>
      </c>
      <c r="BK92" s="158" t="str">
        <f t="shared" si="80"/>
        <v/>
      </c>
      <c r="BL92" s="158" t="str">
        <f t="shared" si="81"/>
        <v/>
      </c>
      <c r="BM92" s="10"/>
      <c r="BN92" s="10" t="str">
        <f t="shared" si="82"/>
        <v/>
      </c>
      <c r="BO92" s="10" t="str">
        <f t="shared" si="83"/>
        <v/>
      </c>
      <c r="BQ92" s="10" t="str">
        <f t="shared" si="64"/>
        <v/>
      </c>
      <c r="BR92" s="10" t="str">
        <f t="shared" si="84"/>
        <v/>
      </c>
    </row>
    <row r="93" spans="4:70" ht="15" x14ac:dyDescent="0.15">
      <c r="D93" s="103"/>
      <c r="F93" s="487"/>
      <c r="I93" s="38">
        <f t="shared" si="85"/>
        <v>2098</v>
      </c>
      <c r="J93" s="39"/>
      <c r="K93" s="39">
        <f t="shared" si="86"/>
        <v>79</v>
      </c>
      <c r="L93" s="39"/>
      <c r="M93" s="40">
        <f t="shared" si="49"/>
        <v>9.679640952397367E-2</v>
      </c>
      <c r="N93" s="39"/>
      <c r="O93" s="72" t="str">
        <f t="shared" si="65"/>
        <v/>
      </c>
      <c r="P93" s="41" t="str">
        <f t="shared" si="50"/>
        <v/>
      </c>
      <c r="Q93" s="39"/>
      <c r="R93" s="72" t="str">
        <f t="shared" si="66"/>
        <v/>
      </c>
      <c r="S93" s="39"/>
      <c r="T93" s="72" t="str">
        <f t="shared" si="67"/>
        <v/>
      </c>
      <c r="U93" s="39"/>
      <c r="V93" s="72" t="str">
        <f t="shared" si="51"/>
        <v/>
      </c>
      <c r="W93" s="72" t="str">
        <f t="shared" si="68"/>
        <v/>
      </c>
      <c r="X93" s="39"/>
      <c r="Y93" s="72" t="str">
        <f t="shared" si="52"/>
        <v/>
      </c>
      <c r="Z93" s="72" t="str">
        <f t="shared" si="69"/>
        <v/>
      </c>
      <c r="AA93" s="39"/>
      <c r="AB93" s="72" t="str">
        <f t="shared" si="53"/>
        <v/>
      </c>
      <c r="AC93" s="72" t="str">
        <f t="shared" si="70"/>
        <v/>
      </c>
      <c r="AD93" s="39"/>
      <c r="AE93" s="72" t="str">
        <f t="shared" si="54"/>
        <v/>
      </c>
      <c r="AF93" s="72" t="str">
        <f t="shared" si="71"/>
        <v/>
      </c>
      <c r="AG93" s="39"/>
      <c r="AH93" s="72" t="str">
        <f t="shared" si="55"/>
        <v/>
      </c>
      <c r="AI93" s="72" t="str">
        <f t="shared" si="72"/>
        <v/>
      </c>
      <c r="AJ93" s="39"/>
      <c r="AK93" s="72" t="str">
        <f t="shared" si="56"/>
        <v/>
      </c>
      <c r="AL93" s="72" t="str">
        <f t="shared" si="73"/>
        <v/>
      </c>
      <c r="AM93" s="39"/>
      <c r="AN93" s="72" t="str">
        <f t="shared" si="57"/>
        <v/>
      </c>
      <c r="AO93" s="72" t="str">
        <f t="shared" si="74"/>
        <v/>
      </c>
      <c r="AP93" s="39"/>
      <c r="AQ93" s="72" t="str">
        <f t="shared" si="58"/>
        <v/>
      </c>
      <c r="AR93" s="72" t="str">
        <f t="shared" si="75"/>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59"/>
        <v/>
      </c>
      <c r="AW93" s="72" t="str">
        <f t="shared" si="60"/>
        <v/>
      </c>
      <c r="AX93" s="39"/>
      <c r="AY93" s="40" t="str">
        <f>IF(ISERROR(IF($K93&lt;=$F$15,VLOOKUP($I93,'表4）CO2価格'!$A$7:$E$67,VLOOKUP($F$48,'表4）CO2価格'!$H$10:$I$12,2,0),0)*$F$8/1000,"")),0,IF($K93&lt;=$F$15,VLOOKUP($I93,'表4）CO2価格'!$A$7:$E$67,VLOOKUP($F$48,'表4）CO2価格'!$H$10:$I$12,2,0),0)*$F$8/1000,""))</f>
        <v/>
      </c>
      <c r="AZ93" s="39"/>
      <c r="BA93" s="42" t="str">
        <f t="shared" si="61"/>
        <v/>
      </c>
      <c r="BB93" s="72" t="str">
        <f t="shared" si="76"/>
        <v/>
      </c>
      <c r="BC93" s="39"/>
      <c r="BD93" s="72" t="str">
        <f t="shared" si="62"/>
        <v/>
      </c>
      <c r="BE93" s="72" t="str">
        <f t="shared" si="77"/>
        <v/>
      </c>
      <c r="BF93" s="39"/>
      <c r="BG93" s="42" t="str">
        <f t="shared" si="63"/>
        <v/>
      </c>
      <c r="BH93" s="72" t="str">
        <f t="shared" si="78"/>
        <v/>
      </c>
      <c r="BI93" s="39"/>
      <c r="BJ93" s="40" t="str">
        <f t="shared" si="79"/>
        <v/>
      </c>
      <c r="BK93" s="157" t="str">
        <f t="shared" si="80"/>
        <v/>
      </c>
      <c r="BL93" s="157" t="str">
        <f t="shared" si="81"/>
        <v/>
      </c>
      <c r="BM93" s="72"/>
      <c r="BN93" s="72" t="str">
        <f t="shared" si="82"/>
        <v/>
      </c>
      <c r="BO93" s="72" t="str">
        <f t="shared" si="83"/>
        <v/>
      </c>
      <c r="BP93" s="39"/>
      <c r="BQ93" s="72" t="str">
        <f t="shared" si="64"/>
        <v/>
      </c>
      <c r="BR93" s="72" t="str">
        <f t="shared" si="84"/>
        <v/>
      </c>
    </row>
    <row r="94" spans="4:70" x14ac:dyDescent="0.15">
      <c r="D94" s="100" t="s">
        <v>596</v>
      </c>
      <c r="E94" s="100"/>
      <c r="F94" s="486"/>
      <c r="G94" s="100"/>
      <c r="I94" s="322">
        <f t="shared" si="85"/>
        <v>2099</v>
      </c>
      <c r="K94" s="71">
        <f t="shared" si="86"/>
        <v>80</v>
      </c>
      <c r="M94" s="7">
        <f t="shared" si="49"/>
        <v>9.3977096625217166E-2</v>
      </c>
      <c r="O94" s="10" t="str">
        <f t="shared" si="65"/>
        <v/>
      </c>
      <c r="P94" s="29" t="str">
        <f t="shared" si="50"/>
        <v/>
      </c>
      <c r="R94" s="10" t="str">
        <f t="shared" si="66"/>
        <v/>
      </c>
      <c r="T94" s="10" t="str">
        <f t="shared" si="67"/>
        <v/>
      </c>
      <c r="V94" s="10" t="str">
        <f t="shared" si="51"/>
        <v/>
      </c>
      <c r="W94" s="10" t="str">
        <f t="shared" si="68"/>
        <v/>
      </c>
      <c r="Y94" s="10" t="str">
        <f t="shared" si="52"/>
        <v/>
      </c>
      <c r="Z94" s="10" t="str">
        <f t="shared" si="69"/>
        <v/>
      </c>
      <c r="AB94" s="10" t="str">
        <f t="shared" si="53"/>
        <v/>
      </c>
      <c r="AC94" s="10" t="str">
        <f t="shared" si="70"/>
        <v/>
      </c>
      <c r="AE94" s="10" t="str">
        <f t="shared" si="54"/>
        <v/>
      </c>
      <c r="AF94" s="10" t="str">
        <f t="shared" si="71"/>
        <v/>
      </c>
      <c r="AH94" s="10" t="str">
        <f t="shared" si="55"/>
        <v/>
      </c>
      <c r="AI94" s="10" t="str">
        <f t="shared" si="72"/>
        <v/>
      </c>
      <c r="AK94" s="10" t="str">
        <f t="shared" si="56"/>
        <v/>
      </c>
      <c r="AL94" s="10" t="str">
        <f t="shared" si="73"/>
        <v/>
      </c>
      <c r="AN94" s="10" t="str">
        <f t="shared" si="57"/>
        <v/>
      </c>
      <c r="AO94" s="10" t="str">
        <f t="shared" si="74"/>
        <v/>
      </c>
      <c r="AQ94" s="10" t="str">
        <f t="shared" si="58"/>
        <v/>
      </c>
      <c r="AR94" s="10" t="str">
        <f t="shared" si="75"/>
        <v/>
      </c>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V94" s="10" t="str">
        <f t="shared" si="59"/>
        <v/>
      </c>
      <c r="AW94" s="10" t="str">
        <f t="shared" si="60"/>
        <v/>
      </c>
      <c r="AY94" s="7" t="str">
        <f>IF(ISERROR(IF($K94&lt;=$F$15,VLOOKUP($I94,'表4）CO2価格'!$A$7:$E$67,VLOOKUP($F$48,'表4）CO2価格'!$H$10:$I$12,2,0),0)*$F$8/1000,"")),0,IF($K94&lt;=$F$15,VLOOKUP($I94,'表4）CO2価格'!$A$7:$E$67,VLOOKUP($F$48,'表4）CO2価格'!$H$10:$I$12,2,0),0)*$F$8/1000,""))</f>
        <v/>
      </c>
      <c r="BA94" s="11" t="str">
        <f t="shared" si="61"/>
        <v/>
      </c>
      <c r="BB94" s="10" t="str">
        <f t="shared" si="76"/>
        <v/>
      </c>
      <c r="BD94" s="10" t="str">
        <f t="shared" si="62"/>
        <v/>
      </c>
      <c r="BE94" s="10" t="str">
        <f t="shared" si="77"/>
        <v/>
      </c>
      <c r="BG94" s="11" t="str">
        <f t="shared" si="63"/>
        <v/>
      </c>
      <c r="BH94" s="10" t="str">
        <f t="shared" si="78"/>
        <v/>
      </c>
      <c r="BJ94" s="7" t="str">
        <f t="shared" si="79"/>
        <v/>
      </c>
      <c r="BK94" s="158" t="str">
        <f t="shared" si="80"/>
        <v/>
      </c>
      <c r="BL94" s="158" t="str">
        <f t="shared" si="81"/>
        <v/>
      </c>
      <c r="BM94" s="10"/>
      <c r="BN94" s="10" t="str">
        <f t="shared" si="82"/>
        <v/>
      </c>
      <c r="BO94" s="10" t="str">
        <f t="shared" si="83"/>
        <v/>
      </c>
      <c r="BQ94" s="10" t="str">
        <f t="shared" si="64"/>
        <v/>
      </c>
      <c r="BR94" s="10" t="str">
        <f t="shared" si="84"/>
        <v/>
      </c>
    </row>
    <row r="95" spans="4:70" ht="15" x14ac:dyDescent="0.15">
      <c r="D95" s="103"/>
      <c r="F95" s="487"/>
      <c r="I95" s="38">
        <f t="shared" si="85"/>
        <v>2100</v>
      </c>
      <c r="J95" s="39"/>
      <c r="K95" s="39">
        <f t="shared" si="86"/>
        <v>81</v>
      </c>
      <c r="L95" s="39"/>
      <c r="M95" s="40">
        <f t="shared" si="49"/>
        <v>9.1239899636133173E-2</v>
      </c>
      <c r="N95" s="39"/>
      <c r="O95" s="72" t="str">
        <f t="shared" si="65"/>
        <v/>
      </c>
      <c r="P95" s="41" t="str">
        <f t="shared" si="50"/>
        <v/>
      </c>
      <c r="Q95" s="39"/>
      <c r="R95" s="72" t="str">
        <f t="shared" si="66"/>
        <v/>
      </c>
      <c r="S95" s="39"/>
      <c r="T95" s="72" t="str">
        <f t="shared" si="67"/>
        <v/>
      </c>
      <c r="U95" s="39"/>
      <c r="V95" s="72" t="str">
        <f t="shared" si="51"/>
        <v/>
      </c>
      <c r="W95" s="72" t="str">
        <f t="shared" si="68"/>
        <v/>
      </c>
      <c r="X95" s="39"/>
      <c r="Y95" s="72" t="str">
        <f t="shared" si="52"/>
        <v/>
      </c>
      <c r="Z95" s="72" t="str">
        <f t="shared" si="69"/>
        <v/>
      </c>
      <c r="AA95" s="39"/>
      <c r="AB95" s="72" t="str">
        <f t="shared" si="53"/>
        <v/>
      </c>
      <c r="AC95" s="72" t="str">
        <f t="shared" si="70"/>
        <v/>
      </c>
      <c r="AD95" s="39"/>
      <c r="AE95" s="72" t="str">
        <f t="shared" si="54"/>
        <v/>
      </c>
      <c r="AF95" s="72" t="str">
        <f t="shared" si="71"/>
        <v/>
      </c>
      <c r="AG95" s="39"/>
      <c r="AH95" s="72" t="str">
        <f t="shared" si="55"/>
        <v/>
      </c>
      <c r="AI95" s="72" t="str">
        <f t="shared" si="72"/>
        <v/>
      </c>
      <c r="AJ95" s="39"/>
      <c r="AK95" s="72" t="str">
        <f t="shared" si="56"/>
        <v/>
      </c>
      <c r="AL95" s="72" t="str">
        <f t="shared" si="73"/>
        <v/>
      </c>
      <c r="AM95" s="39"/>
      <c r="AN95" s="72" t="str">
        <f t="shared" si="57"/>
        <v/>
      </c>
      <c r="AO95" s="72" t="str">
        <f t="shared" si="74"/>
        <v/>
      </c>
      <c r="AP95" s="39"/>
      <c r="AQ95" s="72" t="str">
        <f t="shared" si="58"/>
        <v/>
      </c>
      <c r="AR95" s="72" t="str">
        <f t="shared" si="75"/>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59"/>
        <v/>
      </c>
      <c r="AW95" s="72" t="str">
        <f t="shared" si="60"/>
        <v/>
      </c>
      <c r="AX95" s="39"/>
      <c r="AY95" s="40" t="str">
        <f>IF(ISERROR(IF($K95&lt;=$F$15,VLOOKUP($I95,'表4）CO2価格'!$A$7:$E$67,VLOOKUP($F$48,'表4）CO2価格'!$H$10:$I$12,2,0),0)*$F$8/1000,"")),0,IF($K95&lt;=$F$15,VLOOKUP($I95,'表4）CO2価格'!$A$7:$E$67,VLOOKUP($F$48,'表4）CO2価格'!$H$10:$I$12,2,0),0)*$F$8/1000,""))</f>
        <v/>
      </c>
      <c r="AZ95" s="39"/>
      <c r="BA95" s="42" t="str">
        <f t="shared" si="61"/>
        <v/>
      </c>
      <c r="BB95" s="72" t="str">
        <f t="shared" si="76"/>
        <v/>
      </c>
      <c r="BC95" s="39"/>
      <c r="BD95" s="72" t="str">
        <f t="shared" si="62"/>
        <v/>
      </c>
      <c r="BE95" s="72" t="str">
        <f t="shared" si="77"/>
        <v/>
      </c>
      <c r="BF95" s="39"/>
      <c r="BG95" s="42" t="str">
        <f t="shared" si="63"/>
        <v/>
      </c>
      <c r="BH95" s="72" t="str">
        <f t="shared" si="78"/>
        <v/>
      </c>
      <c r="BI95" s="39"/>
      <c r="BJ95" s="40" t="str">
        <f t="shared" si="79"/>
        <v/>
      </c>
      <c r="BK95" s="157" t="str">
        <f t="shared" si="80"/>
        <v/>
      </c>
      <c r="BL95" s="157" t="str">
        <f t="shared" si="81"/>
        <v/>
      </c>
      <c r="BM95" s="72"/>
      <c r="BN95" s="72" t="str">
        <f t="shared" si="82"/>
        <v/>
      </c>
      <c r="BO95" s="72" t="str">
        <f t="shared" si="83"/>
        <v/>
      </c>
      <c r="BP95" s="39"/>
      <c r="BQ95" s="72" t="str">
        <f t="shared" si="64"/>
        <v/>
      </c>
      <c r="BR95" s="72" t="str">
        <f t="shared" si="84"/>
        <v/>
      </c>
    </row>
    <row r="96" spans="4:70" ht="15" x14ac:dyDescent="0.15">
      <c r="D96" s="103"/>
      <c r="E96" s="84" t="s">
        <v>597</v>
      </c>
      <c r="F96" s="488">
        <f>IF(F3&lt;&gt;"原子力",AW116/$BR$116,0)</f>
        <v>20.96447227342486</v>
      </c>
      <c r="G96" s="84" t="s">
        <v>590</v>
      </c>
      <c r="I96" s="322">
        <f t="shared" si="85"/>
        <v>2101</v>
      </c>
      <c r="K96" s="71">
        <f t="shared" si="86"/>
        <v>82</v>
      </c>
      <c r="M96" s="7">
        <f t="shared" si="49"/>
        <v>8.8582426831197242E-2</v>
      </c>
      <c r="O96" s="10" t="str">
        <f t="shared" si="65"/>
        <v/>
      </c>
      <c r="P96" s="29" t="str">
        <f t="shared" si="50"/>
        <v/>
      </c>
      <c r="R96" s="10" t="str">
        <f t="shared" si="66"/>
        <v/>
      </c>
      <c r="T96" s="10" t="str">
        <f t="shared" si="67"/>
        <v/>
      </c>
      <c r="V96" s="10" t="str">
        <f t="shared" si="51"/>
        <v/>
      </c>
      <c r="W96" s="10" t="str">
        <f t="shared" si="68"/>
        <v/>
      </c>
      <c r="Y96" s="10" t="str">
        <f t="shared" si="52"/>
        <v/>
      </c>
      <c r="Z96" s="10" t="str">
        <f t="shared" si="69"/>
        <v/>
      </c>
      <c r="AB96" s="10" t="str">
        <f t="shared" si="53"/>
        <v/>
      </c>
      <c r="AC96" s="10" t="str">
        <f t="shared" si="70"/>
        <v/>
      </c>
      <c r="AE96" s="10" t="str">
        <f t="shared" si="54"/>
        <v/>
      </c>
      <c r="AF96" s="10" t="str">
        <f t="shared" si="71"/>
        <v/>
      </c>
      <c r="AH96" s="10" t="str">
        <f t="shared" si="55"/>
        <v/>
      </c>
      <c r="AI96" s="10" t="str">
        <f t="shared" si="72"/>
        <v/>
      </c>
      <c r="AK96" s="10" t="str">
        <f t="shared" si="56"/>
        <v/>
      </c>
      <c r="AL96" s="10" t="str">
        <f t="shared" si="73"/>
        <v/>
      </c>
      <c r="AN96" s="10" t="str">
        <f t="shared" si="57"/>
        <v/>
      </c>
      <c r="AO96" s="10" t="str">
        <f t="shared" si="74"/>
        <v/>
      </c>
      <c r="AQ96" s="10" t="str">
        <f t="shared" si="58"/>
        <v/>
      </c>
      <c r="AR96" s="10" t="str">
        <f t="shared" si="75"/>
        <v/>
      </c>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V96" s="10" t="str">
        <f t="shared" si="59"/>
        <v/>
      </c>
      <c r="AW96" s="10" t="str">
        <f t="shared" si="60"/>
        <v/>
      </c>
      <c r="AY96" s="7" t="str">
        <f>IF(ISERROR(IF($K96&lt;=$F$15,VLOOKUP($I96,'表4）CO2価格'!$A$7:$E$67,VLOOKUP($F$48,'表4）CO2価格'!$H$10:$I$12,2,0),0)*$F$8/1000,"")),0,IF($K96&lt;=$F$15,VLOOKUP($I96,'表4）CO2価格'!$A$7:$E$67,VLOOKUP($F$48,'表4）CO2価格'!$H$10:$I$12,2,0),0)*$F$8/1000,""))</f>
        <v/>
      </c>
      <c r="BA96" s="11" t="str">
        <f t="shared" si="61"/>
        <v/>
      </c>
      <c r="BB96" s="10" t="str">
        <f t="shared" si="76"/>
        <v/>
      </c>
      <c r="BD96" s="10" t="str">
        <f t="shared" si="62"/>
        <v/>
      </c>
      <c r="BE96" s="10" t="str">
        <f t="shared" si="77"/>
        <v/>
      </c>
      <c r="BG96" s="11" t="str">
        <f t="shared" si="63"/>
        <v/>
      </c>
      <c r="BH96" s="10" t="str">
        <f t="shared" si="78"/>
        <v/>
      </c>
      <c r="BJ96" s="7" t="str">
        <f t="shared" si="79"/>
        <v/>
      </c>
      <c r="BK96" s="158" t="str">
        <f t="shared" si="80"/>
        <v/>
      </c>
      <c r="BL96" s="158" t="str">
        <f t="shared" si="81"/>
        <v/>
      </c>
      <c r="BM96" s="10"/>
      <c r="BN96" s="10" t="str">
        <f t="shared" si="82"/>
        <v/>
      </c>
      <c r="BO96" s="10" t="str">
        <f t="shared" si="83"/>
        <v/>
      </c>
      <c r="BQ96" s="10" t="str">
        <f t="shared" si="64"/>
        <v/>
      </c>
      <c r="BR96" s="10" t="str">
        <f t="shared" si="84"/>
        <v/>
      </c>
    </row>
    <row r="97" spans="4:70" ht="15" x14ac:dyDescent="0.15">
      <c r="D97" s="103"/>
      <c r="E97" s="84" t="s">
        <v>598</v>
      </c>
      <c r="F97" s="488">
        <f>IF(F3="原子力",#REF!,0)</f>
        <v>0</v>
      </c>
      <c r="G97" s="84" t="s">
        <v>590</v>
      </c>
      <c r="I97" s="38">
        <f t="shared" si="85"/>
        <v>2102</v>
      </c>
      <c r="J97" s="39"/>
      <c r="K97" s="39">
        <f t="shared" si="86"/>
        <v>83</v>
      </c>
      <c r="L97" s="39"/>
      <c r="M97" s="40">
        <f t="shared" si="49"/>
        <v>8.6002356146793454E-2</v>
      </c>
      <c r="N97" s="39"/>
      <c r="O97" s="72" t="str">
        <f t="shared" si="65"/>
        <v/>
      </c>
      <c r="P97" s="41" t="str">
        <f t="shared" si="50"/>
        <v/>
      </c>
      <c r="Q97" s="39"/>
      <c r="R97" s="72" t="str">
        <f t="shared" si="66"/>
        <v/>
      </c>
      <c r="S97" s="39"/>
      <c r="T97" s="72" t="str">
        <f t="shared" si="67"/>
        <v/>
      </c>
      <c r="U97" s="39"/>
      <c r="V97" s="72" t="str">
        <f t="shared" si="51"/>
        <v/>
      </c>
      <c r="W97" s="72" t="str">
        <f t="shared" si="68"/>
        <v/>
      </c>
      <c r="X97" s="39"/>
      <c r="Y97" s="72" t="str">
        <f t="shared" si="52"/>
        <v/>
      </c>
      <c r="Z97" s="72" t="str">
        <f t="shared" si="69"/>
        <v/>
      </c>
      <c r="AA97" s="39"/>
      <c r="AB97" s="72" t="str">
        <f t="shared" si="53"/>
        <v/>
      </c>
      <c r="AC97" s="72" t="str">
        <f t="shared" si="70"/>
        <v/>
      </c>
      <c r="AD97" s="39"/>
      <c r="AE97" s="72" t="str">
        <f t="shared" si="54"/>
        <v/>
      </c>
      <c r="AF97" s="72" t="str">
        <f t="shared" si="71"/>
        <v/>
      </c>
      <c r="AG97" s="39"/>
      <c r="AH97" s="72" t="str">
        <f t="shared" si="55"/>
        <v/>
      </c>
      <c r="AI97" s="72" t="str">
        <f t="shared" si="72"/>
        <v/>
      </c>
      <c r="AJ97" s="39"/>
      <c r="AK97" s="72" t="str">
        <f t="shared" si="56"/>
        <v/>
      </c>
      <c r="AL97" s="72" t="str">
        <f t="shared" si="73"/>
        <v/>
      </c>
      <c r="AM97" s="39"/>
      <c r="AN97" s="72" t="str">
        <f t="shared" si="57"/>
        <v/>
      </c>
      <c r="AO97" s="72" t="str">
        <f t="shared" si="74"/>
        <v/>
      </c>
      <c r="AP97" s="39"/>
      <c r="AQ97" s="72" t="str">
        <f t="shared" si="58"/>
        <v/>
      </c>
      <c r="AR97" s="72" t="str">
        <f t="shared" si="75"/>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59"/>
        <v/>
      </c>
      <c r="AW97" s="72" t="str">
        <f t="shared" si="60"/>
        <v/>
      </c>
      <c r="AX97" s="39"/>
      <c r="AY97" s="40" t="str">
        <f>IF(ISERROR(IF($K97&lt;=$F$15,VLOOKUP($I97,'表4）CO2価格'!$A$7:$E$67,VLOOKUP($F$48,'表4）CO2価格'!$H$10:$I$12,2,0),0)*$F$8/1000,"")),0,IF($K97&lt;=$F$15,VLOOKUP($I97,'表4）CO2価格'!$A$7:$E$67,VLOOKUP($F$48,'表4）CO2価格'!$H$10:$I$12,2,0),0)*$F$8/1000,""))</f>
        <v/>
      </c>
      <c r="AZ97" s="39"/>
      <c r="BA97" s="42" t="str">
        <f t="shared" si="61"/>
        <v/>
      </c>
      <c r="BB97" s="72" t="str">
        <f t="shared" si="76"/>
        <v/>
      </c>
      <c r="BC97" s="39"/>
      <c r="BD97" s="72" t="str">
        <f t="shared" si="62"/>
        <v/>
      </c>
      <c r="BE97" s="72" t="str">
        <f t="shared" si="77"/>
        <v/>
      </c>
      <c r="BF97" s="39"/>
      <c r="BG97" s="42" t="str">
        <f t="shared" si="63"/>
        <v/>
      </c>
      <c r="BH97" s="72" t="str">
        <f t="shared" si="78"/>
        <v/>
      </c>
      <c r="BI97" s="39"/>
      <c r="BJ97" s="40" t="str">
        <f t="shared" si="79"/>
        <v/>
      </c>
      <c r="BK97" s="157" t="str">
        <f t="shared" si="80"/>
        <v/>
      </c>
      <c r="BL97" s="157" t="str">
        <f t="shared" si="81"/>
        <v/>
      </c>
      <c r="BM97" s="72"/>
      <c r="BN97" s="72" t="str">
        <f t="shared" si="82"/>
        <v/>
      </c>
      <c r="BO97" s="72" t="str">
        <f t="shared" si="83"/>
        <v/>
      </c>
      <c r="BP97" s="39"/>
      <c r="BQ97" s="72" t="str">
        <f t="shared" si="64"/>
        <v/>
      </c>
      <c r="BR97" s="72" t="str">
        <f t="shared" si="84"/>
        <v/>
      </c>
    </row>
    <row r="98" spans="4:70" x14ac:dyDescent="0.15">
      <c r="F98" s="487"/>
      <c r="I98" s="322">
        <f t="shared" si="85"/>
        <v>2103</v>
      </c>
      <c r="K98" s="71">
        <f t="shared" si="86"/>
        <v>84</v>
      </c>
      <c r="M98" s="7">
        <f t="shared" si="49"/>
        <v>8.3497433152226644E-2</v>
      </c>
      <c r="O98" s="10" t="str">
        <f t="shared" si="65"/>
        <v/>
      </c>
      <c r="P98" s="29" t="str">
        <f t="shared" si="50"/>
        <v/>
      </c>
      <c r="R98" s="10" t="str">
        <f t="shared" si="66"/>
        <v/>
      </c>
      <c r="T98" s="10" t="str">
        <f t="shared" si="67"/>
        <v/>
      </c>
      <c r="V98" s="10" t="str">
        <f t="shared" si="51"/>
        <v/>
      </c>
      <c r="W98" s="10" t="str">
        <f t="shared" si="68"/>
        <v/>
      </c>
      <c r="Y98" s="10" t="str">
        <f t="shared" si="52"/>
        <v/>
      </c>
      <c r="Z98" s="10" t="str">
        <f t="shared" si="69"/>
        <v/>
      </c>
      <c r="AB98" s="10" t="str">
        <f t="shared" si="53"/>
        <v/>
      </c>
      <c r="AC98" s="10" t="str">
        <f t="shared" si="70"/>
        <v/>
      </c>
      <c r="AE98" s="10" t="str">
        <f t="shared" si="54"/>
        <v/>
      </c>
      <c r="AF98" s="10" t="str">
        <f t="shared" si="71"/>
        <v/>
      </c>
      <c r="AH98" s="10" t="str">
        <f t="shared" si="55"/>
        <v/>
      </c>
      <c r="AI98" s="10" t="str">
        <f t="shared" si="72"/>
        <v/>
      </c>
      <c r="AK98" s="10" t="str">
        <f t="shared" si="56"/>
        <v/>
      </c>
      <c r="AL98" s="10" t="str">
        <f t="shared" si="73"/>
        <v/>
      </c>
      <c r="AN98" s="10" t="str">
        <f t="shared" si="57"/>
        <v/>
      </c>
      <c r="AO98" s="10" t="str">
        <f t="shared" si="74"/>
        <v/>
      </c>
      <c r="AQ98" s="10" t="str">
        <f t="shared" si="58"/>
        <v/>
      </c>
      <c r="AR98" s="10" t="str">
        <f t="shared" si="75"/>
        <v/>
      </c>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V98" s="10" t="str">
        <f t="shared" si="59"/>
        <v/>
      </c>
      <c r="AW98" s="10" t="str">
        <f t="shared" si="60"/>
        <v/>
      </c>
      <c r="AY98" s="7" t="str">
        <f>IF(ISERROR(IF($K98&lt;=$F$15,VLOOKUP($I98,'表4）CO2価格'!$A$7:$E$67,VLOOKUP($F$48,'表4）CO2価格'!$H$10:$I$12,2,0),0)*$F$8/1000,"")),0,IF($K98&lt;=$F$15,VLOOKUP($I98,'表4）CO2価格'!$A$7:$E$67,VLOOKUP($F$48,'表4）CO2価格'!$H$10:$I$12,2,0),0)*$F$8/1000,""))</f>
        <v/>
      </c>
      <c r="BA98" s="11" t="str">
        <f t="shared" si="61"/>
        <v/>
      </c>
      <c r="BB98" s="10" t="str">
        <f t="shared" si="76"/>
        <v/>
      </c>
      <c r="BD98" s="10" t="str">
        <f t="shared" si="62"/>
        <v/>
      </c>
      <c r="BE98" s="10" t="str">
        <f t="shared" si="77"/>
        <v/>
      </c>
      <c r="BG98" s="11" t="str">
        <f t="shared" si="63"/>
        <v/>
      </c>
      <c r="BH98" s="10" t="str">
        <f t="shared" si="78"/>
        <v/>
      </c>
      <c r="BJ98" s="7" t="str">
        <f t="shared" si="79"/>
        <v/>
      </c>
      <c r="BK98" s="158" t="str">
        <f t="shared" si="80"/>
        <v/>
      </c>
      <c r="BL98" s="158" t="str">
        <f t="shared" si="81"/>
        <v/>
      </c>
      <c r="BM98" s="10"/>
      <c r="BN98" s="10" t="str">
        <f t="shared" si="82"/>
        <v/>
      </c>
      <c r="BO98" s="10" t="str">
        <f t="shared" si="83"/>
        <v/>
      </c>
      <c r="BQ98" s="10" t="str">
        <f t="shared" si="64"/>
        <v/>
      </c>
      <c r="BR98" s="10" t="str">
        <f t="shared" si="84"/>
        <v/>
      </c>
    </row>
    <row r="99" spans="4:70" ht="15" x14ac:dyDescent="0.15">
      <c r="D99" s="103" t="s">
        <v>599</v>
      </c>
      <c r="F99" s="484">
        <f>SUBTOTAL(9,F103:F105)</f>
        <v>0.26822400000000002</v>
      </c>
      <c r="G99" s="84" t="s">
        <v>590</v>
      </c>
      <c r="I99" s="38">
        <f t="shared" si="85"/>
        <v>2104</v>
      </c>
      <c r="J99" s="39"/>
      <c r="K99" s="39">
        <f t="shared" si="86"/>
        <v>85</v>
      </c>
      <c r="L99" s="39"/>
      <c r="M99" s="40">
        <f t="shared" si="49"/>
        <v>8.1065469079831712E-2</v>
      </c>
      <c r="N99" s="39"/>
      <c r="O99" s="72" t="str">
        <f t="shared" si="65"/>
        <v/>
      </c>
      <c r="P99" s="41" t="str">
        <f t="shared" si="50"/>
        <v/>
      </c>
      <c r="Q99" s="39"/>
      <c r="R99" s="72" t="str">
        <f t="shared" si="66"/>
        <v/>
      </c>
      <c r="S99" s="39"/>
      <c r="T99" s="72" t="str">
        <f t="shared" si="67"/>
        <v/>
      </c>
      <c r="U99" s="39"/>
      <c r="V99" s="72" t="str">
        <f t="shared" si="51"/>
        <v/>
      </c>
      <c r="W99" s="72" t="str">
        <f t="shared" si="68"/>
        <v/>
      </c>
      <c r="X99" s="39"/>
      <c r="Y99" s="72" t="str">
        <f t="shared" si="52"/>
        <v/>
      </c>
      <c r="Z99" s="72" t="str">
        <f t="shared" si="69"/>
        <v/>
      </c>
      <c r="AA99" s="39"/>
      <c r="AB99" s="72" t="str">
        <f t="shared" si="53"/>
        <v/>
      </c>
      <c r="AC99" s="72" t="str">
        <f t="shared" si="70"/>
        <v/>
      </c>
      <c r="AD99" s="39"/>
      <c r="AE99" s="72" t="str">
        <f t="shared" si="54"/>
        <v/>
      </c>
      <c r="AF99" s="72" t="str">
        <f t="shared" si="71"/>
        <v/>
      </c>
      <c r="AG99" s="39"/>
      <c r="AH99" s="72" t="str">
        <f t="shared" si="55"/>
        <v/>
      </c>
      <c r="AI99" s="72" t="str">
        <f t="shared" si="72"/>
        <v/>
      </c>
      <c r="AJ99" s="39"/>
      <c r="AK99" s="72" t="str">
        <f t="shared" si="56"/>
        <v/>
      </c>
      <c r="AL99" s="72" t="str">
        <f t="shared" si="73"/>
        <v/>
      </c>
      <c r="AM99" s="39"/>
      <c r="AN99" s="72" t="str">
        <f t="shared" si="57"/>
        <v/>
      </c>
      <c r="AO99" s="72" t="str">
        <f t="shared" si="74"/>
        <v/>
      </c>
      <c r="AP99" s="39"/>
      <c r="AQ99" s="72" t="str">
        <f t="shared" si="58"/>
        <v/>
      </c>
      <c r="AR99" s="72" t="str">
        <f t="shared" si="75"/>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59"/>
        <v/>
      </c>
      <c r="AW99" s="72" t="str">
        <f t="shared" si="60"/>
        <v/>
      </c>
      <c r="AX99" s="39"/>
      <c r="AY99" s="40" t="str">
        <f>IF(ISERROR(IF($K99&lt;=$F$15,VLOOKUP($I99,'表4）CO2価格'!$A$7:$E$67,VLOOKUP($F$48,'表4）CO2価格'!$H$10:$I$12,2,0),0)*$F$8/1000,"")),0,IF($K99&lt;=$F$15,VLOOKUP($I99,'表4）CO2価格'!$A$7:$E$67,VLOOKUP($F$48,'表4）CO2価格'!$H$10:$I$12,2,0),0)*$F$8/1000,""))</f>
        <v/>
      </c>
      <c r="AZ99" s="39"/>
      <c r="BA99" s="42" t="str">
        <f t="shared" si="61"/>
        <v/>
      </c>
      <c r="BB99" s="72" t="str">
        <f t="shared" si="76"/>
        <v/>
      </c>
      <c r="BC99" s="39"/>
      <c r="BD99" s="72" t="str">
        <f t="shared" si="62"/>
        <v/>
      </c>
      <c r="BE99" s="72" t="str">
        <f t="shared" si="77"/>
        <v/>
      </c>
      <c r="BF99" s="39"/>
      <c r="BG99" s="42" t="str">
        <f t="shared" si="63"/>
        <v/>
      </c>
      <c r="BH99" s="72" t="str">
        <f t="shared" si="78"/>
        <v/>
      </c>
      <c r="BI99" s="39"/>
      <c r="BJ99" s="40" t="str">
        <f t="shared" si="79"/>
        <v/>
      </c>
      <c r="BK99" s="157" t="str">
        <f t="shared" si="80"/>
        <v/>
      </c>
      <c r="BL99" s="157" t="str">
        <f t="shared" si="81"/>
        <v/>
      </c>
      <c r="BM99" s="72"/>
      <c r="BN99" s="72" t="str">
        <f t="shared" si="82"/>
        <v/>
      </c>
      <c r="BO99" s="72" t="str">
        <f t="shared" si="83"/>
        <v/>
      </c>
      <c r="BP99" s="39"/>
      <c r="BQ99" s="72" t="str">
        <f t="shared" si="64"/>
        <v/>
      </c>
      <c r="BR99" s="72" t="str">
        <f t="shared" si="84"/>
        <v/>
      </c>
    </row>
    <row r="100" spans="4:70" x14ac:dyDescent="0.15">
      <c r="F100" s="487"/>
      <c r="I100" s="322">
        <f t="shared" si="85"/>
        <v>2105</v>
      </c>
      <c r="K100" s="71">
        <f t="shared" si="86"/>
        <v>86</v>
      </c>
      <c r="M100" s="7">
        <f t="shared" si="49"/>
        <v>7.8704338912457969E-2</v>
      </c>
      <c r="O100" s="10" t="str">
        <f t="shared" si="65"/>
        <v/>
      </c>
      <c r="P100" s="29" t="str">
        <f t="shared" si="50"/>
        <v/>
      </c>
      <c r="R100" s="10" t="str">
        <f t="shared" si="66"/>
        <v/>
      </c>
      <c r="T100" s="10" t="str">
        <f t="shared" si="67"/>
        <v/>
      </c>
      <c r="V100" s="10" t="str">
        <f t="shared" si="51"/>
        <v/>
      </c>
      <c r="W100" s="10" t="str">
        <f t="shared" si="68"/>
        <v/>
      </c>
      <c r="Y100" s="10" t="str">
        <f t="shared" si="52"/>
        <v/>
      </c>
      <c r="Z100" s="10" t="str">
        <f t="shared" si="69"/>
        <v/>
      </c>
      <c r="AB100" s="10" t="str">
        <f t="shared" si="53"/>
        <v/>
      </c>
      <c r="AC100" s="10" t="str">
        <f t="shared" si="70"/>
        <v/>
      </c>
      <c r="AE100" s="10" t="str">
        <f t="shared" si="54"/>
        <v/>
      </c>
      <c r="AF100" s="10" t="str">
        <f t="shared" si="71"/>
        <v/>
      </c>
      <c r="AH100" s="10" t="str">
        <f t="shared" si="55"/>
        <v/>
      </c>
      <c r="AI100" s="10" t="str">
        <f t="shared" si="72"/>
        <v/>
      </c>
      <c r="AK100" s="10" t="str">
        <f t="shared" si="56"/>
        <v/>
      </c>
      <c r="AL100" s="10" t="str">
        <f t="shared" si="73"/>
        <v/>
      </c>
      <c r="AN100" s="10" t="str">
        <f t="shared" si="57"/>
        <v/>
      </c>
      <c r="AO100" s="10" t="str">
        <f t="shared" si="74"/>
        <v/>
      </c>
      <c r="AQ100" s="10" t="str">
        <f t="shared" si="58"/>
        <v/>
      </c>
      <c r="AR100" s="10" t="str">
        <f t="shared" si="75"/>
        <v/>
      </c>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V100" s="10" t="str">
        <f t="shared" si="59"/>
        <v/>
      </c>
      <c r="AW100" s="10" t="str">
        <f t="shared" si="60"/>
        <v/>
      </c>
      <c r="AY100" s="7" t="str">
        <f>IF(ISERROR(IF($K100&lt;=$F$15,VLOOKUP($I100,'表4）CO2価格'!$A$7:$E$67,VLOOKUP($F$48,'表4）CO2価格'!$H$10:$I$12,2,0),0)*$F$8/1000,"")),0,IF($K100&lt;=$F$15,VLOOKUP($I100,'表4）CO2価格'!$A$7:$E$67,VLOOKUP($F$48,'表4）CO2価格'!$H$10:$I$12,2,0),0)*$F$8/1000,""))</f>
        <v/>
      </c>
      <c r="BA100" s="11" t="str">
        <f t="shared" si="61"/>
        <v/>
      </c>
      <c r="BB100" s="10" t="str">
        <f t="shared" si="76"/>
        <v/>
      </c>
      <c r="BD100" s="10" t="str">
        <f t="shared" si="62"/>
        <v/>
      </c>
      <c r="BE100" s="10" t="str">
        <f t="shared" si="77"/>
        <v/>
      </c>
      <c r="BG100" s="11" t="str">
        <f t="shared" si="63"/>
        <v/>
      </c>
      <c r="BH100" s="10" t="str">
        <f t="shared" si="78"/>
        <v/>
      </c>
      <c r="BJ100" s="7" t="str">
        <f t="shared" si="79"/>
        <v/>
      </c>
      <c r="BK100" s="158" t="str">
        <f t="shared" si="80"/>
        <v/>
      </c>
      <c r="BL100" s="158" t="str">
        <f t="shared" si="81"/>
        <v/>
      </c>
      <c r="BM100" s="10"/>
      <c r="BN100" s="10" t="str">
        <f t="shared" si="82"/>
        <v/>
      </c>
      <c r="BO100" s="10" t="str">
        <f t="shared" si="83"/>
        <v/>
      </c>
      <c r="BQ100" s="10" t="str">
        <f t="shared" si="64"/>
        <v/>
      </c>
      <c r="BR100" s="10" t="str">
        <f t="shared" si="84"/>
        <v/>
      </c>
    </row>
    <row r="101" spans="4:70" x14ac:dyDescent="0.15">
      <c r="D101" s="100" t="s">
        <v>600</v>
      </c>
      <c r="E101" s="100"/>
      <c r="F101" s="486"/>
      <c r="G101" s="100"/>
      <c r="I101" s="38">
        <f t="shared" si="85"/>
        <v>2106</v>
      </c>
      <c r="J101" s="39"/>
      <c r="K101" s="39">
        <f t="shared" si="86"/>
        <v>87</v>
      </c>
      <c r="L101" s="39"/>
      <c r="M101" s="40">
        <f t="shared" si="49"/>
        <v>7.6411979526658208E-2</v>
      </c>
      <c r="N101" s="39"/>
      <c r="O101" s="72" t="str">
        <f t="shared" si="65"/>
        <v/>
      </c>
      <c r="P101" s="41" t="str">
        <f t="shared" si="50"/>
        <v/>
      </c>
      <c r="Q101" s="39"/>
      <c r="R101" s="72" t="str">
        <f t="shared" si="66"/>
        <v/>
      </c>
      <c r="S101" s="39"/>
      <c r="T101" s="72" t="str">
        <f t="shared" si="67"/>
        <v/>
      </c>
      <c r="U101" s="39"/>
      <c r="V101" s="72" t="str">
        <f t="shared" si="51"/>
        <v/>
      </c>
      <c r="W101" s="72" t="str">
        <f t="shared" si="68"/>
        <v/>
      </c>
      <c r="X101" s="39"/>
      <c r="Y101" s="72" t="str">
        <f t="shared" si="52"/>
        <v/>
      </c>
      <c r="Z101" s="72" t="str">
        <f t="shared" si="69"/>
        <v/>
      </c>
      <c r="AA101" s="39"/>
      <c r="AB101" s="72" t="str">
        <f t="shared" si="53"/>
        <v/>
      </c>
      <c r="AC101" s="72" t="str">
        <f t="shared" si="70"/>
        <v/>
      </c>
      <c r="AD101" s="39"/>
      <c r="AE101" s="72" t="str">
        <f t="shared" si="54"/>
        <v/>
      </c>
      <c r="AF101" s="72" t="str">
        <f t="shared" si="71"/>
        <v/>
      </c>
      <c r="AG101" s="39"/>
      <c r="AH101" s="72" t="str">
        <f t="shared" si="55"/>
        <v/>
      </c>
      <c r="AI101" s="72" t="str">
        <f t="shared" si="72"/>
        <v/>
      </c>
      <c r="AJ101" s="39"/>
      <c r="AK101" s="72" t="str">
        <f t="shared" si="56"/>
        <v/>
      </c>
      <c r="AL101" s="72" t="str">
        <f t="shared" si="73"/>
        <v/>
      </c>
      <c r="AM101" s="39"/>
      <c r="AN101" s="72" t="str">
        <f t="shared" si="57"/>
        <v/>
      </c>
      <c r="AO101" s="72" t="str">
        <f t="shared" si="74"/>
        <v/>
      </c>
      <c r="AP101" s="39"/>
      <c r="AQ101" s="72" t="str">
        <f t="shared" si="58"/>
        <v/>
      </c>
      <c r="AR101" s="72" t="str">
        <f t="shared" si="75"/>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59"/>
        <v/>
      </c>
      <c r="AW101" s="72" t="str">
        <f t="shared" si="60"/>
        <v/>
      </c>
      <c r="AX101" s="39"/>
      <c r="AY101" s="40" t="str">
        <f>IF(ISERROR(IF($K101&lt;=$F$15,VLOOKUP($I101,'表4）CO2価格'!$A$7:$E$67,VLOOKUP($F$48,'表4）CO2価格'!$H$10:$I$12,2,0),0)*$F$8/1000,"")),0,IF($K101&lt;=$F$15,VLOOKUP($I101,'表4）CO2価格'!$A$7:$E$67,VLOOKUP($F$48,'表4）CO2価格'!$H$10:$I$12,2,0),0)*$F$8/1000,""))</f>
        <v/>
      </c>
      <c r="AZ101" s="39"/>
      <c r="BA101" s="42" t="str">
        <f t="shared" si="61"/>
        <v/>
      </c>
      <c r="BB101" s="72" t="str">
        <f t="shared" si="76"/>
        <v/>
      </c>
      <c r="BC101" s="39"/>
      <c r="BD101" s="72" t="str">
        <f t="shared" si="62"/>
        <v/>
      </c>
      <c r="BE101" s="72" t="str">
        <f t="shared" si="77"/>
        <v/>
      </c>
      <c r="BF101" s="39"/>
      <c r="BG101" s="42" t="str">
        <f t="shared" si="63"/>
        <v/>
      </c>
      <c r="BH101" s="72" t="str">
        <f t="shared" si="78"/>
        <v/>
      </c>
      <c r="BI101" s="39"/>
      <c r="BJ101" s="40" t="str">
        <f t="shared" si="79"/>
        <v/>
      </c>
      <c r="BK101" s="157" t="str">
        <f t="shared" si="80"/>
        <v/>
      </c>
      <c r="BL101" s="157" t="str">
        <f t="shared" si="81"/>
        <v/>
      </c>
      <c r="BM101" s="72"/>
      <c r="BN101" s="72" t="str">
        <f t="shared" si="82"/>
        <v/>
      </c>
      <c r="BO101" s="72" t="str">
        <f t="shared" si="83"/>
        <v/>
      </c>
      <c r="BP101" s="39"/>
      <c r="BQ101" s="72" t="str">
        <f t="shared" si="64"/>
        <v/>
      </c>
      <c r="BR101" s="72" t="str">
        <f t="shared" si="84"/>
        <v/>
      </c>
    </row>
    <row r="102" spans="4:70" x14ac:dyDescent="0.15">
      <c r="F102" s="487"/>
      <c r="I102" s="322">
        <f t="shared" si="85"/>
        <v>2107</v>
      </c>
      <c r="K102" s="71">
        <f t="shared" si="86"/>
        <v>88</v>
      </c>
      <c r="M102" s="7">
        <f t="shared" si="49"/>
        <v>7.4186387889959446E-2</v>
      </c>
      <c r="O102" s="10" t="str">
        <f t="shared" si="65"/>
        <v/>
      </c>
      <c r="P102" s="29" t="str">
        <f t="shared" si="50"/>
        <v/>
      </c>
      <c r="R102" s="10" t="str">
        <f t="shared" si="66"/>
        <v/>
      </c>
      <c r="T102" s="10" t="str">
        <f t="shared" si="67"/>
        <v/>
      </c>
      <c r="V102" s="10" t="str">
        <f t="shared" si="51"/>
        <v/>
      </c>
      <c r="W102" s="10" t="str">
        <f t="shared" si="68"/>
        <v/>
      </c>
      <c r="Y102" s="10" t="str">
        <f t="shared" si="52"/>
        <v/>
      </c>
      <c r="Z102" s="10" t="str">
        <f t="shared" si="69"/>
        <v/>
      </c>
      <c r="AB102" s="10" t="str">
        <f t="shared" si="53"/>
        <v/>
      </c>
      <c r="AC102" s="10" t="str">
        <f t="shared" si="70"/>
        <v/>
      </c>
      <c r="AE102" s="10" t="str">
        <f t="shared" si="54"/>
        <v/>
      </c>
      <c r="AF102" s="10" t="str">
        <f t="shared" si="71"/>
        <v/>
      </c>
      <c r="AH102" s="10" t="str">
        <f t="shared" si="55"/>
        <v/>
      </c>
      <c r="AI102" s="10" t="str">
        <f t="shared" si="72"/>
        <v/>
      </c>
      <c r="AK102" s="10" t="str">
        <f t="shared" si="56"/>
        <v/>
      </c>
      <c r="AL102" s="10" t="str">
        <f t="shared" si="73"/>
        <v/>
      </c>
      <c r="AN102" s="10" t="str">
        <f t="shared" si="57"/>
        <v/>
      </c>
      <c r="AO102" s="10" t="str">
        <f t="shared" si="74"/>
        <v/>
      </c>
      <c r="AQ102" s="10" t="str">
        <f t="shared" si="58"/>
        <v/>
      </c>
      <c r="AR102" s="10" t="str">
        <f t="shared" si="75"/>
        <v/>
      </c>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V102" s="10" t="str">
        <f t="shared" si="59"/>
        <v/>
      </c>
      <c r="AW102" s="10" t="str">
        <f t="shared" si="60"/>
        <v/>
      </c>
      <c r="AY102" s="7" t="str">
        <f>IF(ISERROR(IF($K102&lt;=$F$15,VLOOKUP($I102,'表4）CO2価格'!$A$7:$E$67,VLOOKUP($F$48,'表4）CO2価格'!$H$10:$I$12,2,0),0)*$F$8/1000,"")),0,IF($K102&lt;=$F$15,VLOOKUP($I102,'表4）CO2価格'!$A$7:$E$67,VLOOKUP($F$48,'表4）CO2価格'!$H$10:$I$12,2,0),0)*$F$8/1000,""))</f>
        <v/>
      </c>
      <c r="BA102" s="11" t="str">
        <f t="shared" si="61"/>
        <v/>
      </c>
      <c r="BB102" s="10" t="str">
        <f t="shared" si="76"/>
        <v/>
      </c>
      <c r="BD102" s="10" t="str">
        <f t="shared" si="62"/>
        <v/>
      </c>
      <c r="BE102" s="10" t="str">
        <f t="shared" si="77"/>
        <v/>
      </c>
      <c r="BG102" s="11" t="str">
        <f t="shared" si="63"/>
        <v/>
      </c>
      <c r="BH102" s="10" t="str">
        <f t="shared" si="78"/>
        <v/>
      </c>
      <c r="BJ102" s="7" t="str">
        <f t="shared" si="79"/>
        <v/>
      </c>
      <c r="BK102" s="158" t="str">
        <f t="shared" si="80"/>
        <v/>
      </c>
      <c r="BL102" s="158" t="str">
        <f t="shared" si="81"/>
        <v/>
      </c>
      <c r="BM102" s="10"/>
      <c r="BN102" s="10" t="str">
        <f t="shared" si="82"/>
        <v/>
      </c>
      <c r="BO102" s="10" t="str">
        <f t="shared" si="83"/>
        <v/>
      </c>
      <c r="BQ102" s="10" t="str">
        <f t="shared" si="64"/>
        <v/>
      </c>
      <c r="BR102" s="10" t="str">
        <f t="shared" si="84"/>
        <v/>
      </c>
    </row>
    <row r="103" spans="4:70" x14ac:dyDescent="0.15">
      <c r="E103" s="84" t="s">
        <v>601</v>
      </c>
      <c r="F103" s="488">
        <f>BB116/$BR$116</f>
        <v>0</v>
      </c>
      <c r="G103" s="84" t="s">
        <v>590</v>
      </c>
      <c r="I103" s="38">
        <f t="shared" si="85"/>
        <v>2108</v>
      </c>
      <c r="J103" s="39"/>
      <c r="K103" s="39">
        <f t="shared" si="86"/>
        <v>89</v>
      </c>
      <c r="L103" s="39"/>
      <c r="M103" s="40">
        <f t="shared" si="49"/>
        <v>7.2025619310640235E-2</v>
      </c>
      <c r="N103" s="39"/>
      <c r="O103" s="72" t="str">
        <f t="shared" si="65"/>
        <v/>
      </c>
      <c r="P103" s="41" t="str">
        <f t="shared" si="50"/>
        <v/>
      </c>
      <c r="Q103" s="39"/>
      <c r="R103" s="72" t="str">
        <f t="shared" si="66"/>
        <v/>
      </c>
      <c r="S103" s="39"/>
      <c r="T103" s="72" t="str">
        <f t="shared" si="67"/>
        <v/>
      </c>
      <c r="U103" s="39"/>
      <c r="V103" s="72" t="str">
        <f t="shared" si="51"/>
        <v/>
      </c>
      <c r="W103" s="72" t="str">
        <f t="shared" si="68"/>
        <v/>
      </c>
      <c r="X103" s="39"/>
      <c r="Y103" s="72" t="str">
        <f t="shared" si="52"/>
        <v/>
      </c>
      <c r="Z103" s="72" t="str">
        <f t="shared" si="69"/>
        <v/>
      </c>
      <c r="AA103" s="39"/>
      <c r="AB103" s="72" t="str">
        <f t="shared" si="53"/>
        <v/>
      </c>
      <c r="AC103" s="72" t="str">
        <f t="shared" si="70"/>
        <v/>
      </c>
      <c r="AD103" s="39"/>
      <c r="AE103" s="72" t="str">
        <f t="shared" si="54"/>
        <v/>
      </c>
      <c r="AF103" s="72" t="str">
        <f t="shared" si="71"/>
        <v/>
      </c>
      <c r="AG103" s="39"/>
      <c r="AH103" s="72" t="str">
        <f t="shared" si="55"/>
        <v/>
      </c>
      <c r="AI103" s="72" t="str">
        <f t="shared" si="72"/>
        <v/>
      </c>
      <c r="AJ103" s="39"/>
      <c r="AK103" s="72" t="str">
        <f t="shared" si="56"/>
        <v/>
      </c>
      <c r="AL103" s="72" t="str">
        <f t="shared" si="73"/>
        <v/>
      </c>
      <c r="AM103" s="39"/>
      <c r="AN103" s="72" t="str">
        <f t="shared" si="57"/>
        <v/>
      </c>
      <c r="AO103" s="72" t="str">
        <f t="shared" si="74"/>
        <v/>
      </c>
      <c r="AP103" s="39"/>
      <c r="AQ103" s="72" t="str">
        <f t="shared" si="58"/>
        <v/>
      </c>
      <c r="AR103" s="72" t="str">
        <f t="shared" si="75"/>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59"/>
        <v/>
      </c>
      <c r="AW103" s="72" t="str">
        <f t="shared" si="60"/>
        <v/>
      </c>
      <c r="AX103" s="39"/>
      <c r="AY103" s="40" t="str">
        <f>IF(ISERROR(IF($K103&lt;=$F$15,VLOOKUP($I103,'表4）CO2価格'!$A$7:$E$67,VLOOKUP($F$48,'表4）CO2価格'!$H$10:$I$12,2,0),0)*$F$8/1000,"")),0,IF($K103&lt;=$F$15,VLOOKUP($I103,'表4）CO2価格'!$A$7:$E$67,VLOOKUP($F$48,'表4）CO2価格'!$H$10:$I$12,2,0),0)*$F$8/1000,""))</f>
        <v/>
      </c>
      <c r="AZ103" s="39"/>
      <c r="BA103" s="42" t="str">
        <f t="shared" si="61"/>
        <v/>
      </c>
      <c r="BB103" s="72" t="str">
        <f t="shared" si="76"/>
        <v/>
      </c>
      <c r="BC103" s="39"/>
      <c r="BD103" s="72" t="str">
        <f t="shared" si="62"/>
        <v/>
      </c>
      <c r="BE103" s="72" t="str">
        <f t="shared" si="77"/>
        <v/>
      </c>
      <c r="BF103" s="39"/>
      <c r="BG103" s="42" t="str">
        <f t="shared" si="63"/>
        <v/>
      </c>
      <c r="BH103" s="72" t="str">
        <f t="shared" si="78"/>
        <v/>
      </c>
      <c r="BI103" s="39"/>
      <c r="BJ103" s="40" t="str">
        <f t="shared" si="79"/>
        <v/>
      </c>
      <c r="BK103" s="157" t="str">
        <f t="shared" si="80"/>
        <v/>
      </c>
      <c r="BL103" s="157" t="str">
        <f t="shared" si="81"/>
        <v/>
      </c>
      <c r="BM103" s="72"/>
      <c r="BN103" s="72" t="str">
        <f t="shared" si="82"/>
        <v/>
      </c>
      <c r="BO103" s="72" t="str">
        <f t="shared" si="83"/>
        <v/>
      </c>
      <c r="BP103" s="39"/>
      <c r="BQ103" s="72" t="str">
        <f t="shared" si="64"/>
        <v/>
      </c>
      <c r="BR103" s="72" t="str">
        <f t="shared" si="84"/>
        <v/>
      </c>
    </row>
    <row r="104" spans="4:70" x14ac:dyDescent="0.15">
      <c r="E104" s="84" t="s">
        <v>602</v>
      </c>
      <c r="F104" s="488">
        <f>IF(ISERROR(F60*(1/F61)/F62),0,F60*(1/F61)/F62)</f>
        <v>0</v>
      </c>
      <c r="G104" s="84" t="s">
        <v>590</v>
      </c>
      <c r="I104" s="322">
        <f t="shared" si="85"/>
        <v>2109</v>
      </c>
      <c r="K104" s="71">
        <f t="shared" si="86"/>
        <v>90</v>
      </c>
      <c r="M104" s="7">
        <f t="shared" si="49"/>
        <v>6.9927785738485654E-2</v>
      </c>
      <c r="O104" s="10" t="str">
        <f t="shared" si="65"/>
        <v/>
      </c>
      <c r="P104" s="29" t="str">
        <f t="shared" si="50"/>
        <v/>
      </c>
      <c r="R104" s="10" t="str">
        <f t="shared" si="66"/>
        <v/>
      </c>
      <c r="T104" s="10" t="str">
        <f t="shared" si="67"/>
        <v/>
      </c>
      <c r="V104" s="10" t="str">
        <f t="shared" si="51"/>
        <v/>
      </c>
      <c r="W104" s="10" t="str">
        <f t="shared" si="68"/>
        <v/>
      </c>
      <c r="Y104" s="10" t="str">
        <f t="shared" si="52"/>
        <v/>
      </c>
      <c r="Z104" s="10" t="str">
        <f t="shared" si="69"/>
        <v/>
      </c>
      <c r="AB104" s="10" t="str">
        <f t="shared" si="53"/>
        <v/>
      </c>
      <c r="AC104" s="10" t="str">
        <f t="shared" si="70"/>
        <v/>
      </c>
      <c r="AE104" s="10" t="str">
        <f t="shared" si="54"/>
        <v/>
      </c>
      <c r="AF104" s="10" t="str">
        <f t="shared" si="71"/>
        <v/>
      </c>
      <c r="AH104" s="10" t="str">
        <f t="shared" si="55"/>
        <v/>
      </c>
      <c r="AI104" s="10" t="str">
        <f t="shared" si="72"/>
        <v/>
      </c>
      <c r="AK104" s="10" t="str">
        <f t="shared" si="56"/>
        <v/>
      </c>
      <c r="AL104" s="10" t="str">
        <f t="shared" si="73"/>
        <v/>
      </c>
      <c r="AN104" s="10" t="str">
        <f t="shared" si="57"/>
        <v/>
      </c>
      <c r="AO104" s="10" t="str">
        <f t="shared" si="74"/>
        <v/>
      </c>
      <c r="AQ104" s="10" t="str">
        <f t="shared" si="58"/>
        <v/>
      </c>
      <c r="AR104" s="10" t="str">
        <f t="shared" si="75"/>
        <v/>
      </c>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V104" s="10" t="str">
        <f t="shared" si="59"/>
        <v/>
      </c>
      <c r="AW104" s="10" t="str">
        <f t="shared" si="60"/>
        <v/>
      </c>
      <c r="AY104" s="7" t="str">
        <f>IF(ISERROR(IF($K104&lt;=$F$15,VLOOKUP($I104,'表4）CO2価格'!$A$7:$E$67,VLOOKUP($F$48,'表4）CO2価格'!$H$10:$I$12,2,0),0)*$F$8/1000,"")),0,IF($K104&lt;=$F$15,VLOOKUP($I104,'表4）CO2価格'!$A$7:$E$67,VLOOKUP($F$48,'表4）CO2価格'!$H$10:$I$12,2,0),0)*$F$8/1000,""))</f>
        <v/>
      </c>
      <c r="BA104" s="11" t="str">
        <f t="shared" si="61"/>
        <v/>
      </c>
      <c r="BB104" s="10" t="str">
        <f t="shared" si="76"/>
        <v/>
      </c>
      <c r="BD104" s="10" t="str">
        <f t="shared" si="62"/>
        <v/>
      </c>
      <c r="BE104" s="10" t="str">
        <f t="shared" si="77"/>
        <v/>
      </c>
      <c r="BG104" s="11" t="str">
        <f t="shared" si="63"/>
        <v/>
      </c>
      <c r="BH104" s="10" t="str">
        <f t="shared" si="78"/>
        <v/>
      </c>
      <c r="BJ104" s="7" t="str">
        <f t="shared" si="79"/>
        <v/>
      </c>
      <c r="BK104" s="158" t="str">
        <f t="shared" si="80"/>
        <v/>
      </c>
      <c r="BL104" s="158" t="str">
        <f t="shared" si="81"/>
        <v/>
      </c>
      <c r="BM104" s="10"/>
      <c r="BN104" s="10" t="str">
        <f t="shared" si="82"/>
        <v/>
      </c>
      <c r="BO104" s="10" t="str">
        <f t="shared" si="83"/>
        <v/>
      </c>
      <c r="BQ104" s="10" t="str">
        <f t="shared" si="64"/>
        <v/>
      </c>
      <c r="BR104" s="10" t="str">
        <f t="shared" si="84"/>
        <v/>
      </c>
    </row>
    <row r="105" spans="4:70" x14ac:dyDescent="0.15">
      <c r="E105" s="71" t="s">
        <v>603</v>
      </c>
      <c r="F105" s="488">
        <f>F64</f>
        <v>0.26822400000000002</v>
      </c>
      <c r="G105" s="84" t="s">
        <v>590</v>
      </c>
      <c r="I105" s="38">
        <f t="shared" si="85"/>
        <v>2110</v>
      </c>
      <c r="J105" s="39"/>
      <c r="K105" s="39">
        <f t="shared" si="86"/>
        <v>91</v>
      </c>
      <c r="L105" s="39"/>
      <c r="M105" s="40">
        <f t="shared" si="49"/>
        <v>6.7891054115034627E-2</v>
      </c>
      <c r="N105" s="39"/>
      <c r="O105" s="72" t="str">
        <f t="shared" si="65"/>
        <v/>
      </c>
      <c r="P105" s="41" t="str">
        <f t="shared" si="50"/>
        <v/>
      </c>
      <c r="Q105" s="39"/>
      <c r="R105" s="72" t="str">
        <f t="shared" si="66"/>
        <v/>
      </c>
      <c r="S105" s="39"/>
      <c r="T105" s="72" t="str">
        <f t="shared" si="67"/>
        <v/>
      </c>
      <c r="U105" s="39"/>
      <c r="V105" s="72" t="str">
        <f t="shared" si="51"/>
        <v/>
      </c>
      <c r="W105" s="72" t="str">
        <f t="shared" si="68"/>
        <v/>
      </c>
      <c r="X105" s="39"/>
      <c r="Y105" s="72" t="str">
        <f t="shared" si="52"/>
        <v/>
      </c>
      <c r="Z105" s="72" t="str">
        <f t="shared" si="69"/>
        <v/>
      </c>
      <c r="AA105" s="39"/>
      <c r="AB105" s="72" t="str">
        <f t="shared" si="53"/>
        <v/>
      </c>
      <c r="AC105" s="72" t="str">
        <f t="shared" si="70"/>
        <v/>
      </c>
      <c r="AD105" s="39"/>
      <c r="AE105" s="72" t="str">
        <f t="shared" si="54"/>
        <v/>
      </c>
      <c r="AF105" s="72" t="str">
        <f t="shared" si="71"/>
        <v/>
      </c>
      <c r="AG105" s="39"/>
      <c r="AH105" s="72" t="str">
        <f t="shared" si="55"/>
        <v/>
      </c>
      <c r="AI105" s="72" t="str">
        <f t="shared" si="72"/>
        <v/>
      </c>
      <c r="AJ105" s="39"/>
      <c r="AK105" s="72" t="str">
        <f t="shared" si="56"/>
        <v/>
      </c>
      <c r="AL105" s="72" t="str">
        <f t="shared" si="73"/>
        <v/>
      </c>
      <c r="AM105" s="39"/>
      <c r="AN105" s="72" t="str">
        <f t="shared" si="57"/>
        <v/>
      </c>
      <c r="AO105" s="72" t="str">
        <f t="shared" si="74"/>
        <v/>
      </c>
      <c r="AP105" s="39"/>
      <c r="AQ105" s="72" t="str">
        <f t="shared" si="58"/>
        <v/>
      </c>
      <c r="AR105" s="72" t="str">
        <f t="shared" si="75"/>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59"/>
        <v/>
      </c>
      <c r="AW105" s="72" t="str">
        <f t="shared" si="60"/>
        <v/>
      </c>
      <c r="AX105" s="39"/>
      <c r="AY105" s="40" t="str">
        <f>IF(ISERROR(IF($K105&lt;=$F$15,VLOOKUP($I105,'表4）CO2価格'!$A$7:$E$67,VLOOKUP($F$48,'表4）CO2価格'!$H$10:$I$12,2,0),0)*$F$8/1000,"")),0,IF($K105&lt;=$F$15,VLOOKUP($I105,'表4）CO2価格'!$A$7:$E$67,VLOOKUP($F$48,'表4）CO2価格'!$H$10:$I$12,2,0),0)*$F$8/1000,""))</f>
        <v/>
      </c>
      <c r="AZ105" s="39"/>
      <c r="BA105" s="42" t="str">
        <f t="shared" si="61"/>
        <v/>
      </c>
      <c r="BB105" s="72" t="str">
        <f t="shared" si="76"/>
        <v/>
      </c>
      <c r="BC105" s="39"/>
      <c r="BD105" s="72" t="str">
        <f t="shared" si="62"/>
        <v/>
      </c>
      <c r="BE105" s="72" t="str">
        <f t="shared" si="77"/>
        <v/>
      </c>
      <c r="BF105" s="39"/>
      <c r="BG105" s="42" t="str">
        <f t="shared" si="63"/>
        <v/>
      </c>
      <c r="BH105" s="72" t="str">
        <f t="shared" si="78"/>
        <v/>
      </c>
      <c r="BI105" s="39"/>
      <c r="BJ105" s="40" t="str">
        <f t="shared" si="79"/>
        <v/>
      </c>
      <c r="BK105" s="157" t="str">
        <f t="shared" si="80"/>
        <v/>
      </c>
      <c r="BL105" s="157" t="str">
        <f t="shared" si="81"/>
        <v/>
      </c>
      <c r="BM105" s="72"/>
      <c r="BN105" s="72" t="str">
        <f t="shared" si="82"/>
        <v/>
      </c>
      <c r="BO105" s="72" t="str">
        <f t="shared" si="83"/>
        <v/>
      </c>
      <c r="BP105" s="39"/>
      <c r="BQ105" s="72" t="str">
        <f t="shared" si="64"/>
        <v/>
      </c>
      <c r="BR105" s="72" t="str">
        <f t="shared" si="84"/>
        <v/>
      </c>
    </row>
    <row r="106" spans="4:70" x14ac:dyDescent="0.15">
      <c r="F106" s="487"/>
      <c r="I106" s="322">
        <f t="shared" si="85"/>
        <v>2111</v>
      </c>
      <c r="K106" s="71">
        <f t="shared" si="86"/>
        <v>92</v>
      </c>
      <c r="M106" s="7">
        <f t="shared" si="49"/>
        <v>6.5913644771878277E-2</v>
      </c>
      <c r="O106" s="10" t="str">
        <f t="shared" si="65"/>
        <v/>
      </c>
      <c r="P106" s="29" t="str">
        <f t="shared" si="50"/>
        <v/>
      </c>
      <c r="R106" s="10" t="str">
        <f t="shared" si="66"/>
        <v/>
      </c>
      <c r="T106" s="10" t="str">
        <f t="shared" si="67"/>
        <v/>
      </c>
      <c r="V106" s="10" t="str">
        <f t="shared" si="51"/>
        <v/>
      </c>
      <c r="W106" s="10" t="str">
        <f t="shared" si="68"/>
        <v/>
      </c>
      <c r="Y106" s="10" t="str">
        <f t="shared" si="52"/>
        <v/>
      </c>
      <c r="Z106" s="10" t="str">
        <f t="shared" si="69"/>
        <v/>
      </c>
      <c r="AB106" s="10" t="str">
        <f t="shared" si="53"/>
        <v/>
      </c>
      <c r="AC106" s="10" t="str">
        <f t="shared" si="70"/>
        <v/>
      </c>
      <c r="AE106" s="10" t="str">
        <f t="shared" si="54"/>
        <v/>
      </c>
      <c r="AF106" s="10" t="str">
        <f t="shared" si="71"/>
        <v/>
      </c>
      <c r="AH106" s="10" t="str">
        <f t="shared" si="55"/>
        <v/>
      </c>
      <c r="AI106" s="10" t="str">
        <f t="shared" si="72"/>
        <v/>
      </c>
      <c r="AK106" s="10" t="str">
        <f t="shared" si="56"/>
        <v/>
      </c>
      <c r="AL106" s="10" t="str">
        <f t="shared" si="73"/>
        <v/>
      </c>
      <c r="AN106" s="10" t="str">
        <f t="shared" si="57"/>
        <v/>
      </c>
      <c r="AO106" s="10" t="str">
        <f t="shared" si="74"/>
        <v/>
      </c>
      <c r="AQ106" s="10" t="str">
        <f t="shared" si="58"/>
        <v/>
      </c>
      <c r="AR106" s="10" t="str">
        <f t="shared" si="75"/>
        <v/>
      </c>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V106" s="10" t="str">
        <f t="shared" si="59"/>
        <v/>
      </c>
      <c r="AW106" s="10" t="str">
        <f t="shared" si="60"/>
        <v/>
      </c>
      <c r="AY106" s="7" t="str">
        <f>IF(ISERROR(IF($K106&lt;=$F$15,VLOOKUP($I106,'表4）CO2価格'!$A$7:$E$67,VLOOKUP($F$48,'表4）CO2価格'!$H$10:$I$12,2,0),0)*$F$8/1000,"")),0,IF($K106&lt;=$F$15,VLOOKUP($I106,'表4）CO2価格'!$A$7:$E$67,VLOOKUP($F$48,'表4）CO2価格'!$H$10:$I$12,2,0),0)*$F$8/1000,""))</f>
        <v/>
      </c>
      <c r="BA106" s="11" t="str">
        <f t="shared" si="61"/>
        <v/>
      </c>
      <c r="BB106" s="10" t="str">
        <f t="shared" si="76"/>
        <v/>
      </c>
      <c r="BD106" s="10" t="str">
        <f t="shared" si="62"/>
        <v/>
      </c>
      <c r="BE106" s="10" t="str">
        <f t="shared" si="77"/>
        <v/>
      </c>
      <c r="BG106" s="11" t="str">
        <f t="shared" si="63"/>
        <v/>
      </c>
      <c r="BH106" s="10" t="str">
        <f t="shared" si="78"/>
        <v/>
      </c>
      <c r="BJ106" s="7" t="str">
        <f t="shared" si="79"/>
        <v/>
      </c>
      <c r="BK106" s="158" t="str">
        <f t="shared" si="80"/>
        <v/>
      </c>
      <c r="BL106" s="158" t="str">
        <f t="shared" si="81"/>
        <v/>
      </c>
      <c r="BM106" s="10"/>
      <c r="BN106" s="10" t="str">
        <f t="shared" si="82"/>
        <v/>
      </c>
      <c r="BO106" s="10" t="str">
        <f t="shared" si="83"/>
        <v/>
      </c>
      <c r="BQ106" s="10" t="str">
        <f t="shared" si="64"/>
        <v/>
      </c>
      <c r="BR106" s="10" t="str">
        <f t="shared" si="84"/>
        <v/>
      </c>
    </row>
    <row r="107" spans="4:70" ht="15" x14ac:dyDescent="0.15">
      <c r="D107" s="103" t="s">
        <v>604</v>
      </c>
      <c r="F107" s="484">
        <f>SUBTOTAL(9,F111:F112)</f>
        <v>0</v>
      </c>
      <c r="G107" s="84" t="s">
        <v>590</v>
      </c>
      <c r="I107" s="38">
        <f t="shared" si="85"/>
        <v>2112</v>
      </c>
      <c r="J107" s="39"/>
      <c r="K107" s="39">
        <f t="shared" si="86"/>
        <v>93</v>
      </c>
      <c r="L107" s="39"/>
      <c r="M107" s="40">
        <f t="shared" si="49"/>
        <v>6.3993829875609989E-2</v>
      </c>
      <c r="N107" s="39"/>
      <c r="O107" s="72" t="str">
        <f t="shared" si="65"/>
        <v/>
      </c>
      <c r="P107" s="41" t="str">
        <f t="shared" si="50"/>
        <v/>
      </c>
      <c r="Q107" s="39"/>
      <c r="R107" s="72" t="str">
        <f t="shared" si="66"/>
        <v/>
      </c>
      <c r="S107" s="39"/>
      <c r="T107" s="72" t="str">
        <f t="shared" si="67"/>
        <v/>
      </c>
      <c r="U107" s="39"/>
      <c r="V107" s="72" t="str">
        <f t="shared" si="51"/>
        <v/>
      </c>
      <c r="W107" s="72" t="str">
        <f t="shared" si="68"/>
        <v/>
      </c>
      <c r="X107" s="39"/>
      <c r="Y107" s="72" t="str">
        <f t="shared" si="52"/>
        <v/>
      </c>
      <c r="Z107" s="72" t="str">
        <f t="shared" si="69"/>
        <v/>
      </c>
      <c r="AA107" s="39"/>
      <c r="AB107" s="72" t="str">
        <f t="shared" si="53"/>
        <v/>
      </c>
      <c r="AC107" s="72" t="str">
        <f t="shared" si="70"/>
        <v/>
      </c>
      <c r="AD107" s="39"/>
      <c r="AE107" s="72" t="str">
        <f t="shared" si="54"/>
        <v/>
      </c>
      <c r="AF107" s="72" t="str">
        <f t="shared" si="71"/>
        <v/>
      </c>
      <c r="AG107" s="39"/>
      <c r="AH107" s="72" t="str">
        <f t="shared" si="55"/>
        <v/>
      </c>
      <c r="AI107" s="72" t="str">
        <f t="shared" si="72"/>
        <v/>
      </c>
      <c r="AJ107" s="39"/>
      <c r="AK107" s="72" t="str">
        <f t="shared" si="56"/>
        <v/>
      </c>
      <c r="AL107" s="72" t="str">
        <f t="shared" si="73"/>
        <v/>
      </c>
      <c r="AM107" s="39"/>
      <c r="AN107" s="72" t="str">
        <f t="shared" si="57"/>
        <v/>
      </c>
      <c r="AO107" s="72" t="str">
        <f t="shared" si="74"/>
        <v/>
      </c>
      <c r="AP107" s="39"/>
      <c r="AQ107" s="72" t="str">
        <f t="shared" si="58"/>
        <v/>
      </c>
      <c r="AR107" s="72" t="str">
        <f t="shared" si="75"/>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59"/>
        <v/>
      </c>
      <c r="AW107" s="72" t="str">
        <f t="shared" si="60"/>
        <v/>
      </c>
      <c r="AX107" s="39"/>
      <c r="AY107" s="40" t="str">
        <f>IF(ISERROR(IF($K107&lt;=$F$15,VLOOKUP($I107,'表4）CO2価格'!$A$7:$E$67,VLOOKUP($F$48,'表4）CO2価格'!$H$10:$I$12,2,0),0)*$F$8/1000,"")),0,IF($K107&lt;=$F$15,VLOOKUP($I107,'表4）CO2価格'!$A$7:$E$67,VLOOKUP($F$48,'表4）CO2価格'!$H$10:$I$12,2,0),0)*$F$8/1000,""))</f>
        <v/>
      </c>
      <c r="AZ107" s="39"/>
      <c r="BA107" s="42" t="str">
        <f t="shared" si="61"/>
        <v/>
      </c>
      <c r="BB107" s="72" t="str">
        <f t="shared" si="76"/>
        <v/>
      </c>
      <c r="BC107" s="39"/>
      <c r="BD107" s="72" t="str">
        <f t="shared" si="62"/>
        <v/>
      </c>
      <c r="BE107" s="72" t="str">
        <f t="shared" si="77"/>
        <v/>
      </c>
      <c r="BF107" s="39"/>
      <c r="BG107" s="42" t="str">
        <f t="shared" si="63"/>
        <v/>
      </c>
      <c r="BH107" s="72" t="str">
        <f t="shared" si="78"/>
        <v/>
      </c>
      <c r="BI107" s="39"/>
      <c r="BJ107" s="40" t="str">
        <f t="shared" si="79"/>
        <v/>
      </c>
      <c r="BK107" s="157" t="str">
        <f t="shared" si="80"/>
        <v/>
      </c>
      <c r="BL107" s="157" t="str">
        <f t="shared" si="81"/>
        <v/>
      </c>
      <c r="BM107" s="72"/>
      <c r="BN107" s="72" t="str">
        <f t="shared" si="82"/>
        <v/>
      </c>
      <c r="BO107" s="72" t="str">
        <f t="shared" si="83"/>
        <v/>
      </c>
      <c r="BP107" s="39"/>
      <c r="BQ107" s="72" t="str">
        <f t="shared" si="64"/>
        <v/>
      </c>
      <c r="BR107" s="72" t="str">
        <f t="shared" si="84"/>
        <v/>
      </c>
    </row>
    <row r="108" spans="4:70" ht="15" x14ac:dyDescent="0.15">
      <c r="D108" s="103"/>
      <c r="F108" s="487"/>
      <c r="I108" s="322">
        <f t="shared" si="85"/>
        <v>2113</v>
      </c>
      <c r="K108" s="71">
        <f t="shared" si="86"/>
        <v>94</v>
      </c>
      <c r="M108" s="7">
        <f t="shared" si="49"/>
        <v>6.212993191806794E-2</v>
      </c>
      <c r="O108" s="10" t="str">
        <f t="shared" si="65"/>
        <v/>
      </c>
      <c r="P108" s="29" t="str">
        <f t="shared" si="50"/>
        <v/>
      </c>
      <c r="R108" s="10" t="str">
        <f t="shared" si="66"/>
        <v/>
      </c>
      <c r="T108" s="10" t="str">
        <f t="shared" si="67"/>
        <v/>
      </c>
      <c r="V108" s="10" t="str">
        <f t="shared" si="51"/>
        <v/>
      </c>
      <c r="W108" s="10" t="str">
        <f t="shared" si="68"/>
        <v/>
      </c>
      <c r="Y108" s="10" t="str">
        <f t="shared" si="52"/>
        <v/>
      </c>
      <c r="Z108" s="10" t="str">
        <f t="shared" si="69"/>
        <v/>
      </c>
      <c r="AB108" s="10" t="str">
        <f t="shared" si="53"/>
        <v/>
      </c>
      <c r="AC108" s="10" t="str">
        <f t="shared" si="70"/>
        <v/>
      </c>
      <c r="AE108" s="10" t="str">
        <f t="shared" si="54"/>
        <v/>
      </c>
      <c r="AF108" s="10" t="str">
        <f t="shared" si="71"/>
        <v/>
      </c>
      <c r="AH108" s="10" t="str">
        <f t="shared" si="55"/>
        <v/>
      </c>
      <c r="AI108" s="10" t="str">
        <f t="shared" si="72"/>
        <v/>
      </c>
      <c r="AK108" s="10" t="str">
        <f t="shared" si="56"/>
        <v/>
      </c>
      <c r="AL108" s="10" t="str">
        <f t="shared" si="73"/>
        <v/>
      </c>
      <c r="AN108" s="10" t="str">
        <f t="shared" si="57"/>
        <v/>
      </c>
      <c r="AO108" s="10" t="str">
        <f t="shared" si="74"/>
        <v/>
      </c>
      <c r="AQ108" s="10" t="str">
        <f t="shared" si="58"/>
        <v/>
      </c>
      <c r="AR108" s="10" t="str">
        <f t="shared" si="75"/>
        <v/>
      </c>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V108" s="10" t="str">
        <f t="shared" si="59"/>
        <v/>
      </c>
      <c r="AW108" s="10" t="str">
        <f t="shared" si="60"/>
        <v/>
      </c>
      <c r="AY108" s="7" t="str">
        <f>IF(ISERROR(IF($K108&lt;=$F$15,VLOOKUP($I108,'表4）CO2価格'!$A$7:$E$67,VLOOKUP($F$48,'表4）CO2価格'!$H$10:$I$12,2,0),0)*$F$8/1000,"")),0,IF($K108&lt;=$F$15,VLOOKUP($I108,'表4）CO2価格'!$A$7:$E$67,VLOOKUP($F$48,'表4）CO2価格'!$H$10:$I$12,2,0),0)*$F$8/1000,""))</f>
        <v/>
      </c>
      <c r="BA108" s="11" t="str">
        <f t="shared" si="61"/>
        <v/>
      </c>
      <c r="BB108" s="10" t="str">
        <f t="shared" si="76"/>
        <v/>
      </c>
      <c r="BD108" s="10" t="str">
        <f t="shared" si="62"/>
        <v/>
      </c>
      <c r="BE108" s="10" t="str">
        <f t="shared" si="77"/>
        <v/>
      </c>
      <c r="BG108" s="11" t="str">
        <f t="shared" si="63"/>
        <v/>
      </c>
      <c r="BH108" s="10" t="str">
        <f t="shared" si="78"/>
        <v/>
      </c>
      <c r="BJ108" s="7" t="str">
        <f t="shared" si="79"/>
        <v/>
      </c>
      <c r="BK108" s="158" t="str">
        <f t="shared" si="80"/>
        <v/>
      </c>
      <c r="BL108" s="158" t="str">
        <f t="shared" si="81"/>
        <v/>
      </c>
      <c r="BM108" s="10"/>
      <c r="BN108" s="10" t="str">
        <f t="shared" si="82"/>
        <v/>
      </c>
      <c r="BO108" s="10" t="str">
        <f t="shared" si="83"/>
        <v/>
      </c>
      <c r="BQ108" s="10" t="str">
        <f t="shared" si="64"/>
        <v/>
      </c>
      <c r="BR108" s="10" t="str">
        <f t="shared" si="84"/>
        <v/>
      </c>
    </row>
    <row r="109" spans="4:70" x14ac:dyDescent="0.15">
      <c r="D109" s="100" t="s">
        <v>605</v>
      </c>
      <c r="E109" s="100"/>
      <c r="F109" s="486"/>
      <c r="G109" s="100"/>
      <c r="I109" s="38">
        <f t="shared" si="85"/>
        <v>2114</v>
      </c>
      <c r="J109" s="39"/>
      <c r="K109" s="39">
        <f t="shared" si="86"/>
        <v>95</v>
      </c>
      <c r="L109" s="39"/>
      <c r="M109" s="40">
        <f t="shared" si="49"/>
        <v>6.0320322250551395E-2</v>
      </c>
      <c r="N109" s="39"/>
      <c r="O109" s="72" t="str">
        <f t="shared" si="65"/>
        <v/>
      </c>
      <c r="P109" s="41" t="str">
        <f t="shared" si="50"/>
        <v/>
      </c>
      <c r="Q109" s="39"/>
      <c r="R109" s="72" t="str">
        <f t="shared" si="66"/>
        <v/>
      </c>
      <c r="S109" s="39"/>
      <c r="T109" s="72" t="str">
        <f t="shared" si="67"/>
        <v/>
      </c>
      <c r="U109" s="39"/>
      <c r="V109" s="72" t="str">
        <f t="shared" si="51"/>
        <v/>
      </c>
      <c r="W109" s="72" t="str">
        <f t="shared" si="68"/>
        <v/>
      </c>
      <c r="X109" s="39"/>
      <c r="Y109" s="72" t="str">
        <f t="shared" si="52"/>
        <v/>
      </c>
      <c r="Z109" s="72" t="str">
        <f t="shared" si="69"/>
        <v/>
      </c>
      <c r="AA109" s="39"/>
      <c r="AB109" s="72" t="str">
        <f t="shared" si="53"/>
        <v/>
      </c>
      <c r="AC109" s="72" t="str">
        <f t="shared" si="70"/>
        <v/>
      </c>
      <c r="AD109" s="39"/>
      <c r="AE109" s="72" t="str">
        <f t="shared" si="54"/>
        <v/>
      </c>
      <c r="AF109" s="72" t="str">
        <f t="shared" si="71"/>
        <v/>
      </c>
      <c r="AG109" s="39"/>
      <c r="AH109" s="72" t="str">
        <f t="shared" si="55"/>
        <v/>
      </c>
      <c r="AI109" s="72" t="str">
        <f t="shared" si="72"/>
        <v/>
      </c>
      <c r="AJ109" s="39"/>
      <c r="AK109" s="72" t="str">
        <f t="shared" si="56"/>
        <v/>
      </c>
      <c r="AL109" s="72" t="str">
        <f t="shared" si="73"/>
        <v/>
      </c>
      <c r="AM109" s="39"/>
      <c r="AN109" s="72" t="str">
        <f t="shared" si="57"/>
        <v/>
      </c>
      <c r="AO109" s="72" t="str">
        <f t="shared" si="74"/>
        <v/>
      </c>
      <c r="AP109" s="39"/>
      <c r="AQ109" s="72" t="str">
        <f t="shared" si="58"/>
        <v/>
      </c>
      <c r="AR109" s="72" t="str">
        <f t="shared" si="75"/>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59"/>
        <v/>
      </c>
      <c r="AW109" s="72" t="str">
        <f t="shared" si="60"/>
        <v/>
      </c>
      <c r="AX109" s="39"/>
      <c r="AY109" s="40" t="str">
        <f>IF(ISERROR(IF($K109&lt;=$F$15,VLOOKUP($I109,'表4）CO2価格'!$A$7:$E$67,VLOOKUP($F$48,'表4）CO2価格'!$H$10:$I$12,2,0),0)*$F$8/1000,"")),0,IF($K109&lt;=$F$15,VLOOKUP($I109,'表4）CO2価格'!$A$7:$E$67,VLOOKUP($F$48,'表4）CO2価格'!$H$10:$I$12,2,0),0)*$F$8/1000,""))</f>
        <v/>
      </c>
      <c r="AZ109" s="39"/>
      <c r="BA109" s="42" t="str">
        <f t="shared" si="61"/>
        <v/>
      </c>
      <c r="BB109" s="72" t="str">
        <f t="shared" si="76"/>
        <v/>
      </c>
      <c r="BC109" s="39"/>
      <c r="BD109" s="72" t="str">
        <f t="shared" si="62"/>
        <v/>
      </c>
      <c r="BE109" s="72" t="str">
        <f t="shared" si="77"/>
        <v/>
      </c>
      <c r="BF109" s="39"/>
      <c r="BG109" s="42" t="str">
        <f t="shared" si="63"/>
        <v/>
      </c>
      <c r="BH109" s="72" t="str">
        <f t="shared" si="78"/>
        <v/>
      </c>
      <c r="BI109" s="39"/>
      <c r="BJ109" s="40" t="str">
        <f t="shared" si="79"/>
        <v/>
      </c>
      <c r="BK109" s="157" t="str">
        <f t="shared" si="80"/>
        <v/>
      </c>
      <c r="BL109" s="157" t="str">
        <f t="shared" si="81"/>
        <v/>
      </c>
      <c r="BM109" s="72"/>
      <c r="BN109" s="72" t="str">
        <f t="shared" si="82"/>
        <v/>
      </c>
      <c r="BO109" s="72" t="str">
        <f t="shared" si="83"/>
        <v/>
      </c>
      <c r="BP109" s="39"/>
      <c r="BQ109" s="72" t="str">
        <f t="shared" si="64"/>
        <v/>
      </c>
      <c r="BR109" s="72" t="str">
        <f t="shared" si="84"/>
        <v/>
      </c>
    </row>
    <row r="110" spans="4:70" ht="15" x14ac:dyDescent="0.15">
      <c r="D110" s="103"/>
      <c r="F110" s="487"/>
      <c r="I110" s="322">
        <f t="shared" si="85"/>
        <v>2115</v>
      </c>
      <c r="K110" s="71">
        <f t="shared" si="86"/>
        <v>96</v>
      </c>
      <c r="M110" s="7">
        <f t="shared" si="49"/>
        <v>5.8563419660729518E-2</v>
      </c>
      <c r="O110" s="10" t="str">
        <f t="shared" si="65"/>
        <v/>
      </c>
      <c r="P110" s="29" t="str">
        <f t="shared" si="50"/>
        <v/>
      </c>
      <c r="R110" s="10" t="str">
        <f t="shared" si="66"/>
        <v/>
      </c>
      <c r="T110" s="10" t="str">
        <f t="shared" si="67"/>
        <v/>
      </c>
      <c r="V110" s="10" t="str">
        <f t="shared" si="51"/>
        <v/>
      </c>
      <c r="W110" s="10" t="str">
        <f t="shared" si="68"/>
        <v/>
      </c>
      <c r="Y110" s="10" t="str">
        <f t="shared" si="52"/>
        <v/>
      </c>
      <c r="Z110" s="10" t="str">
        <f t="shared" si="69"/>
        <v/>
      </c>
      <c r="AB110" s="10" t="str">
        <f t="shared" si="53"/>
        <v/>
      </c>
      <c r="AC110" s="10" t="str">
        <f t="shared" si="70"/>
        <v/>
      </c>
      <c r="AE110" s="10" t="str">
        <f t="shared" si="54"/>
        <v/>
      </c>
      <c r="AF110" s="10" t="str">
        <f t="shared" si="71"/>
        <v/>
      </c>
      <c r="AH110" s="10" t="str">
        <f t="shared" si="55"/>
        <v/>
      </c>
      <c r="AI110" s="10" t="str">
        <f t="shared" si="72"/>
        <v/>
      </c>
      <c r="AK110" s="10" t="str">
        <f t="shared" si="56"/>
        <v/>
      </c>
      <c r="AL110" s="10" t="str">
        <f t="shared" si="73"/>
        <v/>
      </c>
      <c r="AN110" s="10" t="str">
        <f t="shared" si="57"/>
        <v/>
      </c>
      <c r="AO110" s="10" t="str">
        <f t="shared" si="74"/>
        <v/>
      </c>
      <c r="AQ110" s="10" t="str">
        <f t="shared" si="58"/>
        <v/>
      </c>
      <c r="AR110" s="10" t="str">
        <f t="shared" si="75"/>
        <v/>
      </c>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V110" s="10" t="str">
        <f t="shared" si="59"/>
        <v/>
      </c>
      <c r="AW110" s="10" t="str">
        <f t="shared" si="60"/>
        <v/>
      </c>
      <c r="AY110" s="7" t="str">
        <f>IF(ISERROR(IF($K110&lt;=$F$15,VLOOKUP($I110,'表4）CO2価格'!$A$7:$E$67,VLOOKUP($F$48,'表4）CO2価格'!$H$10:$I$12,2,0),0)*$F$8/1000,"")),0,IF($K110&lt;=$F$15,VLOOKUP($I110,'表4）CO2価格'!$A$7:$E$67,VLOOKUP($F$48,'表4）CO2価格'!$H$10:$I$12,2,0),0)*$F$8/1000,""))</f>
        <v/>
      </c>
      <c r="BA110" s="11" t="str">
        <f t="shared" si="61"/>
        <v/>
      </c>
      <c r="BB110" s="10" t="str">
        <f t="shared" si="76"/>
        <v/>
      </c>
      <c r="BD110" s="10" t="str">
        <f t="shared" si="62"/>
        <v/>
      </c>
      <c r="BE110" s="10" t="str">
        <f t="shared" si="77"/>
        <v/>
      </c>
      <c r="BG110" s="11" t="str">
        <f t="shared" si="63"/>
        <v/>
      </c>
      <c r="BH110" s="10" t="str">
        <f t="shared" si="78"/>
        <v/>
      </c>
      <c r="BJ110" s="7" t="str">
        <f t="shared" si="79"/>
        <v/>
      </c>
      <c r="BK110" s="158" t="str">
        <f t="shared" si="80"/>
        <v/>
      </c>
      <c r="BL110" s="158" t="str">
        <f t="shared" si="81"/>
        <v/>
      </c>
      <c r="BM110" s="10"/>
      <c r="BN110" s="10" t="str">
        <f t="shared" si="82"/>
        <v/>
      </c>
      <c r="BO110" s="10" t="str">
        <f t="shared" si="83"/>
        <v/>
      </c>
      <c r="BQ110" s="10" t="str">
        <f t="shared" si="64"/>
        <v/>
      </c>
      <c r="BR110" s="10" t="str">
        <f t="shared" si="84"/>
        <v/>
      </c>
    </row>
    <row r="111" spans="4:70" ht="15" x14ac:dyDescent="0.15">
      <c r="D111" s="103"/>
      <c r="E111" s="84" t="s">
        <v>606</v>
      </c>
      <c r="F111" s="488">
        <f>-BE116/BR116</f>
        <v>0</v>
      </c>
      <c r="G111" s="84" t="s">
        <v>590</v>
      </c>
      <c r="I111" s="38">
        <f t="shared" si="85"/>
        <v>2116</v>
      </c>
      <c r="J111" s="39"/>
      <c r="K111" s="39">
        <f t="shared" si="86"/>
        <v>97</v>
      </c>
      <c r="L111" s="39"/>
      <c r="M111" s="40">
        <f t="shared" si="49"/>
        <v>5.6857688990999529E-2</v>
      </c>
      <c r="N111" s="39"/>
      <c r="O111" s="72" t="str">
        <f t="shared" si="65"/>
        <v/>
      </c>
      <c r="P111" s="41" t="str">
        <f>IF(K111&lt;=$F$15,IF(OR(P110=$F$124,P110="-"),"-",IF(O111*$F$123&gt;$F$127,$F$123,$F$124)),"")</f>
        <v/>
      </c>
      <c r="Q111" s="39"/>
      <c r="R111" s="72" t="str">
        <f t="shared" si="66"/>
        <v/>
      </c>
      <c r="S111" s="39"/>
      <c r="T111" s="72" t="str">
        <f t="shared" si="67"/>
        <v/>
      </c>
      <c r="U111" s="39"/>
      <c r="V111" s="72" t="str">
        <f t="shared" si="51"/>
        <v/>
      </c>
      <c r="W111" s="72" t="str">
        <f t="shared" si="68"/>
        <v/>
      </c>
      <c r="X111" s="39"/>
      <c r="Y111" s="72" t="str">
        <f t="shared" si="52"/>
        <v/>
      </c>
      <c r="Z111" s="72" t="str">
        <f t="shared" si="69"/>
        <v/>
      </c>
      <c r="AA111" s="39"/>
      <c r="AB111" s="72" t="str">
        <f t="shared" si="53"/>
        <v/>
      </c>
      <c r="AC111" s="72" t="str">
        <f t="shared" si="70"/>
        <v/>
      </c>
      <c r="AD111" s="39"/>
      <c r="AE111" s="72" t="str">
        <f t="shared" si="54"/>
        <v/>
      </c>
      <c r="AF111" s="72" t="str">
        <f t="shared" si="71"/>
        <v/>
      </c>
      <c r="AG111" s="39"/>
      <c r="AH111" s="72" t="str">
        <f t="shared" si="55"/>
        <v/>
      </c>
      <c r="AI111" s="72" t="str">
        <f t="shared" si="72"/>
        <v/>
      </c>
      <c r="AJ111" s="39"/>
      <c r="AK111" s="72" t="str">
        <f t="shared" si="56"/>
        <v/>
      </c>
      <c r="AL111" s="72" t="str">
        <f t="shared" si="73"/>
        <v/>
      </c>
      <c r="AM111" s="39"/>
      <c r="AN111" s="72" t="str">
        <f t="shared" si="57"/>
        <v/>
      </c>
      <c r="AO111" s="72" t="str">
        <f t="shared" si="74"/>
        <v/>
      </c>
      <c r="AP111" s="39"/>
      <c r="AQ111" s="72" t="str">
        <f t="shared" si="58"/>
        <v/>
      </c>
      <c r="AR111" s="72" t="str">
        <f t="shared" si="75"/>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59"/>
        <v/>
      </c>
      <c r="AW111" s="72" t="str">
        <f t="shared" si="60"/>
        <v/>
      </c>
      <c r="AX111" s="39"/>
      <c r="AY111" s="40" t="str">
        <f>IF(ISERROR(IF($K111&lt;=$F$15,VLOOKUP($I111,'表4）CO2価格'!$A$7:$E$67,VLOOKUP($F$48,'表4）CO2価格'!$H$10:$I$12,2,0),0)*$F$8/1000,"")),0,IF($K111&lt;=$F$15,VLOOKUP($I111,'表4）CO2価格'!$A$7:$E$67,VLOOKUP($F$48,'表4）CO2価格'!$H$10:$I$12,2,0),0)*$F$8/1000,""))</f>
        <v/>
      </c>
      <c r="AZ111" s="39"/>
      <c r="BA111" s="42" t="str">
        <f t="shared" si="61"/>
        <v/>
      </c>
      <c r="BB111" s="72" t="str">
        <f t="shared" si="76"/>
        <v/>
      </c>
      <c r="BC111" s="39"/>
      <c r="BD111" s="72" t="str">
        <f t="shared" si="62"/>
        <v/>
      </c>
      <c r="BE111" s="72" t="str">
        <f t="shared" si="77"/>
        <v/>
      </c>
      <c r="BF111" s="39"/>
      <c r="BG111" s="42" t="str">
        <f t="shared" si="63"/>
        <v/>
      </c>
      <c r="BH111" s="72" t="str">
        <f t="shared" si="78"/>
        <v/>
      </c>
      <c r="BI111" s="39"/>
      <c r="BJ111" s="40" t="str">
        <f t="shared" si="79"/>
        <v/>
      </c>
      <c r="BK111" s="157" t="str">
        <f t="shared" si="80"/>
        <v/>
      </c>
      <c r="BL111" s="157" t="str">
        <f t="shared" si="81"/>
        <v/>
      </c>
      <c r="BM111" s="72"/>
      <c r="BN111" s="72" t="str">
        <f t="shared" si="82"/>
        <v/>
      </c>
      <c r="BO111" s="72" t="str">
        <f t="shared" si="83"/>
        <v/>
      </c>
      <c r="BP111" s="39"/>
      <c r="BQ111" s="72" t="str">
        <f t="shared" si="64"/>
        <v/>
      </c>
      <c r="BR111" s="72" t="str">
        <f t="shared" si="84"/>
        <v/>
      </c>
    </row>
    <row r="112" spans="4:70" ht="15" x14ac:dyDescent="0.15">
      <c r="D112" s="103"/>
      <c r="E112" s="84" t="s">
        <v>607</v>
      </c>
      <c r="F112" s="488">
        <f>-BH116/BR116</f>
        <v>0</v>
      </c>
      <c r="G112" s="84" t="s">
        <v>590</v>
      </c>
      <c r="I112" s="322">
        <f t="shared" si="85"/>
        <v>2117</v>
      </c>
      <c r="K112" s="71">
        <f t="shared" si="86"/>
        <v>98</v>
      </c>
      <c r="M112" s="7">
        <f t="shared" si="49"/>
        <v>5.5201639797086935E-2</v>
      </c>
      <c r="O112" s="10" t="str">
        <f t="shared" si="65"/>
        <v/>
      </c>
      <c r="P112" s="29" t="str">
        <f>IF(K112&lt;=$F$15,IF(OR(P111=$F$124,P111="-"),"-",IF(O112*$F$123&gt;$F$127,$F$123,$F$124)),"")</f>
        <v/>
      </c>
      <c r="R112" s="10" t="str">
        <f t="shared" si="66"/>
        <v/>
      </c>
      <c r="T112" s="10" t="str">
        <f t="shared" si="67"/>
        <v/>
      </c>
      <c r="V112" s="10" t="str">
        <f t="shared" si="51"/>
        <v/>
      </c>
      <c r="W112" s="10" t="str">
        <f t="shared" si="68"/>
        <v/>
      </c>
      <c r="Y112" s="10" t="str">
        <f t="shared" si="52"/>
        <v/>
      </c>
      <c r="Z112" s="10" t="str">
        <f t="shared" si="69"/>
        <v/>
      </c>
      <c r="AB112" s="10" t="str">
        <f t="shared" si="53"/>
        <v/>
      </c>
      <c r="AC112" s="10" t="str">
        <f t="shared" si="70"/>
        <v/>
      </c>
      <c r="AE112" s="10" t="str">
        <f t="shared" si="54"/>
        <v/>
      </c>
      <c r="AF112" s="10" t="str">
        <f t="shared" si="71"/>
        <v/>
      </c>
      <c r="AH112" s="10" t="str">
        <f t="shared" si="55"/>
        <v/>
      </c>
      <c r="AI112" s="10" t="str">
        <f t="shared" si="72"/>
        <v/>
      </c>
      <c r="AK112" s="10" t="str">
        <f t="shared" si="56"/>
        <v/>
      </c>
      <c r="AL112" s="10" t="str">
        <f t="shared" si="73"/>
        <v/>
      </c>
      <c r="AN112" s="10" t="str">
        <f t="shared" si="57"/>
        <v/>
      </c>
      <c r="AO112" s="10" t="str">
        <f t="shared" si="74"/>
        <v/>
      </c>
      <c r="AQ112" s="10" t="str">
        <f t="shared" si="58"/>
        <v/>
      </c>
      <c r="AR112" s="10" t="str">
        <f t="shared" si="75"/>
        <v/>
      </c>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V112" s="10" t="str">
        <f t="shared" si="59"/>
        <v/>
      </c>
      <c r="AW112" s="10" t="str">
        <f t="shared" si="60"/>
        <v/>
      </c>
      <c r="AY112" s="7" t="str">
        <f>IF(ISERROR(IF($K112&lt;=$F$15,VLOOKUP($I112,'表4）CO2価格'!$A$7:$E$67,VLOOKUP($F$48,'表4）CO2価格'!$H$10:$I$12,2,0),0)*$F$8/1000,"")),0,IF($K112&lt;=$F$15,VLOOKUP($I112,'表4）CO2価格'!$A$7:$E$67,VLOOKUP($F$48,'表4）CO2価格'!$H$10:$I$12,2,0),0)*$F$8/1000,""))</f>
        <v/>
      </c>
      <c r="BA112" s="11" t="str">
        <f t="shared" si="61"/>
        <v/>
      </c>
      <c r="BB112" s="10" t="str">
        <f t="shared" si="76"/>
        <v/>
      </c>
      <c r="BD112" s="10" t="str">
        <f t="shared" si="62"/>
        <v/>
      </c>
      <c r="BE112" s="10" t="str">
        <f t="shared" si="77"/>
        <v/>
      </c>
      <c r="BG112" s="11" t="str">
        <f t="shared" si="63"/>
        <v/>
      </c>
      <c r="BH112" s="10" t="str">
        <f t="shared" si="78"/>
        <v/>
      </c>
      <c r="BJ112" s="7" t="str">
        <f t="shared" si="79"/>
        <v/>
      </c>
      <c r="BK112" s="158" t="str">
        <f t="shared" si="80"/>
        <v/>
      </c>
      <c r="BL112" s="158" t="str">
        <f t="shared" si="81"/>
        <v/>
      </c>
      <c r="BM112" s="10"/>
      <c r="BN112" s="10" t="str">
        <f t="shared" si="82"/>
        <v/>
      </c>
      <c r="BO112" s="10" t="str">
        <f t="shared" si="83"/>
        <v/>
      </c>
      <c r="BQ112" s="10" t="str">
        <f t="shared" si="64"/>
        <v/>
      </c>
      <c r="BR112" s="10" t="str">
        <f t="shared" si="84"/>
        <v/>
      </c>
    </row>
    <row r="113" spans="2:70" x14ac:dyDescent="0.15">
      <c r="I113" s="38">
        <f t="shared" si="85"/>
        <v>2118</v>
      </c>
      <c r="J113" s="39"/>
      <c r="K113" s="39">
        <f t="shared" si="86"/>
        <v>99</v>
      </c>
      <c r="L113" s="39"/>
      <c r="M113" s="40">
        <f t="shared" si="49"/>
        <v>5.3593825045715457E-2</v>
      </c>
      <c r="N113" s="39"/>
      <c r="O113" s="72" t="str">
        <f t="shared" si="65"/>
        <v/>
      </c>
      <c r="P113" s="41" t="str">
        <f>IF(K113&lt;=$F$15,IF(OR(P112=$F$124,P112="-"),"-",IF(O113*$F$123&gt;$F$127,$F$123,$F$124)),"")</f>
        <v/>
      </c>
      <c r="Q113" s="39"/>
      <c r="R113" s="72" t="str">
        <f t="shared" si="66"/>
        <v/>
      </c>
      <c r="S113" s="39"/>
      <c r="T113" s="72" t="str">
        <f t="shared" si="67"/>
        <v/>
      </c>
      <c r="U113" s="39"/>
      <c r="V113" s="72" t="str">
        <f t="shared" si="51"/>
        <v/>
      </c>
      <c r="W113" s="72" t="str">
        <f t="shared" si="68"/>
        <v/>
      </c>
      <c r="X113" s="39"/>
      <c r="Y113" s="72" t="str">
        <f t="shared" si="52"/>
        <v/>
      </c>
      <c r="Z113" s="72" t="str">
        <f t="shared" si="69"/>
        <v/>
      </c>
      <c r="AA113" s="39"/>
      <c r="AB113" s="72" t="str">
        <f t="shared" si="53"/>
        <v/>
      </c>
      <c r="AC113" s="72" t="str">
        <f t="shared" si="70"/>
        <v/>
      </c>
      <c r="AD113" s="39"/>
      <c r="AE113" s="72" t="str">
        <f t="shared" si="54"/>
        <v/>
      </c>
      <c r="AF113" s="72" t="str">
        <f t="shared" si="71"/>
        <v/>
      </c>
      <c r="AG113" s="39"/>
      <c r="AH113" s="72" t="str">
        <f t="shared" si="55"/>
        <v/>
      </c>
      <c r="AI113" s="72" t="str">
        <f t="shared" si="72"/>
        <v/>
      </c>
      <c r="AJ113" s="39"/>
      <c r="AK113" s="72" t="str">
        <f t="shared" si="56"/>
        <v/>
      </c>
      <c r="AL113" s="72" t="str">
        <f t="shared" si="73"/>
        <v/>
      </c>
      <c r="AM113" s="39"/>
      <c r="AN113" s="72" t="str">
        <f t="shared" si="57"/>
        <v/>
      </c>
      <c r="AO113" s="72" t="str">
        <f t="shared" si="74"/>
        <v/>
      </c>
      <c r="AP113" s="39"/>
      <c r="AQ113" s="72" t="str">
        <f t="shared" si="58"/>
        <v/>
      </c>
      <c r="AR113" s="72" t="str">
        <f t="shared" si="75"/>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59"/>
        <v/>
      </c>
      <c r="AW113" s="72" t="str">
        <f t="shared" si="60"/>
        <v/>
      </c>
      <c r="AX113" s="39"/>
      <c r="AY113" s="40" t="str">
        <f>IF(ISERROR(IF($K113&lt;=$F$15,VLOOKUP($I113,'表4）CO2価格'!$A$7:$E$67,VLOOKUP($F$48,'表4）CO2価格'!$H$10:$I$12,2,0),0)*$F$8/1000,"")),0,IF($K113&lt;=$F$15,VLOOKUP($I113,'表4）CO2価格'!$A$7:$E$67,VLOOKUP($F$48,'表4）CO2価格'!$H$10:$I$12,2,0),0)*$F$8/1000,""))</f>
        <v/>
      </c>
      <c r="AZ113" s="39"/>
      <c r="BA113" s="42" t="str">
        <f t="shared" si="61"/>
        <v/>
      </c>
      <c r="BB113" s="72" t="str">
        <f t="shared" si="76"/>
        <v/>
      </c>
      <c r="BC113" s="39"/>
      <c r="BD113" s="72" t="str">
        <f t="shared" si="62"/>
        <v/>
      </c>
      <c r="BE113" s="72" t="str">
        <f t="shared" si="77"/>
        <v/>
      </c>
      <c r="BF113" s="39"/>
      <c r="BG113" s="42" t="str">
        <f t="shared" si="63"/>
        <v/>
      </c>
      <c r="BH113" s="72" t="str">
        <f t="shared" si="78"/>
        <v/>
      </c>
      <c r="BI113" s="39"/>
      <c r="BJ113" s="40" t="str">
        <f t="shared" si="79"/>
        <v/>
      </c>
      <c r="BK113" s="157" t="str">
        <f t="shared" si="80"/>
        <v/>
      </c>
      <c r="BL113" s="157" t="str">
        <f t="shared" si="81"/>
        <v/>
      </c>
      <c r="BM113" s="72"/>
      <c r="BN113" s="72" t="str">
        <f t="shared" si="82"/>
        <v/>
      </c>
      <c r="BO113" s="72" t="str">
        <f t="shared" si="83"/>
        <v/>
      </c>
      <c r="BP113" s="39"/>
      <c r="BQ113" s="72" t="str">
        <f t="shared" si="64"/>
        <v/>
      </c>
      <c r="BR113" s="72" t="str">
        <f t="shared" si="84"/>
        <v/>
      </c>
    </row>
    <row r="114" spans="2:70" x14ac:dyDescent="0.15">
      <c r="I114" s="322">
        <f t="shared" si="85"/>
        <v>2119</v>
      </c>
      <c r="K114" s="71">
        <f t="shared" si="86"/>
        <v>100</v>
      </c>
      <c r="M114" s="7">
        <f t="shared" si="49"/>
        <v>5.2032839850209185E-2</v>
      </c>
      <c r="O114" s="10" t="str">
        <f t="shared" si="65"/>
        <v/>
      </c>
      <c r="P114" s="29" t="str">
        <f>IF(K114&lt;=$F$15,IF(OR(P113=$F$124,P113="-"),"-",IF(O114*$F$123&gt;$F$127,$F$123,$F$124)),"")</f>
        <v/>
      </c>
      <c r="R114" s="10" t="str">
        <f t="shared" si="66"/>
        <v/>
      </c>
      <c r="T114" s="10" t="str">
        <f t="shared" si="67"/>
        <v/>
      </c>
      <c r="V114" s="10" t="str">
        <f t="shared" si="51"/>
        <v/>
      </c>
      <c r="W114" s="10" t="str">
        <f t="shared" si="68"/>
        <v/>
      </c>
      <c r="Y114" s="10" t="str">
        <f t="shared" si="52"/>
        <v/>
      </c>
      <c r="Z114" s="10" t="str">
        <f t="shared" si="69"/>
        <v/>
      </c>
      <c r="AB114" s="10" t="str">
        <f t="shared" si="53"/>
        <v/>
      </c>
      <c r="AC114" s="10" t="str">
        <f t="shared" si="70"/>
        <v/>
      </c>
      <c r="AE114" s="10" t="str">
        <f t="shared" si="54"/>
        <v/>
      </c>
      <c r="AF114" s="10" t="str">
        <f t="shared" si="71"/>
        <v/>
      </c>
      <c r="AH114" s="10" t="str">
        <f t="shared" si="55"/>
        <v/>
      </c>
      <c r="AI114" s="10" t="str">
        <f t="shared" si="72"/>
        <v/>
      </c>
      <c r="AK114" s="10" t="str">
        <f t="shared" si="56"/>
        <v/>
      </c>
      <c r="AL114" s="10" t="str">
        <f t="shared" si="73"/>
        <v/>
      </c>
      <c r="AN114" s="10" t="str">
        <f t="shared" si="57"/>
        <v/>
      </c>
      <c r="AO114" s="10" t="str">
        <f t="shared" si="74"/>
        <v/>
      </c>
      <c r="AQ114" s="10" t="str">
        <f t="shared" si="58"/>
        <v/>
      </c>
      <c r="AR114" s="10" t="str">
        <f t="shared" si="75"/>
        <v/>
      </c>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V114" s="10" t="str">
        <f t="shared" si="59"/>
        <v/>
      </c>
      <c r="AW114" s="10" t="str">
        <f t="shared" si="60"/>
        <v/>
      </c>
      <c r="AY114" s="7" t="str">
        <f>IF(ISERROR(IF($K114&lt;=$F$15,VLOOKUP($I114,'表4）CO2価格'!$A$7:$E$67,VLOOKUP($F$48,'表4）CO2価格'!$H$10:$I$12,2,0),0)*$F$8/1000,"")),0,IF($K114&lt;=$F$15,VLOOKUP($I114,'表4）CO2価格'!$A$7:$E$67,VLOOKUP($F$48,'表4）CO2価格'!$H$10:$I$12,2,0),0)*$F$8/1000,""))</f>
        <v/>
      </c>
      <c r="BA114" s="11" t="str">
        <f t="shared" si="61"/>
        <v/>
      </c>
      <c r="BB114" s="10" t="str">
        <f t="shared" si="76"/>
        <v/>
      </c>
      <c r="BD114" s="10" t="str">
        <f t="shared" si="62"/>
        <v/>
      </c>
      <c r="BE114" s="10" t="str">
        <f t="shared" si="77"/>
        <v/>
      </c>
      <c r="BG114" s="11" t="str">
        <f t="shared" si="63"/>
        <v/>
      </c>
      <c r="BH114" s="10" t="str">
        <f t="shared" si="78"/>
        <v/>
      </c>
      <c r="BJ114" s="7" t="str">
        <f t="shared" si="79"/>
        <v/>
      </c>
      <c r="BK114" s="158" t="str">
        <f t="shared" si="80"/>
        <v/>
      </c>
      <c r="BL114" s="158" t="str">
        <f t="shared" si="81"/>
        <v/>
      </c>
      <c r="BM114" s="10"/>
      <c r="BN114" s="10" t="str">
        <f t="shared" si="82"/>
        <v/>
      </c>
      <c r="BO114" s="10" t="str">
        <f t="shared" si="83"/>
        <v/>
      </c>
      <c r="BQ114" s="10" t="str">
        <f t="shared" si="64"/>
        <v/>
      </c>
      <c r="BR114" s="10" t="str">
        <f t="shared" si="84"/>
        <v/>
      </c>
    </row>
    <row r="115" spans="2:70" ht="15.75" thickBot="1" x14ac:dyDescent="0.2">
      <c r="B115" s="5" t="s">
        <v>608</v>
      </c>
      <c r="C115" s="3"/>
      <c r="D115" s="102"/>
      <c r="E115" s="102"/>
      <c r="F115" s="3"/>
      <c r="G115" s="102"/>
      <c r="I115" s="321"/>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71" t="s">
        <v>143</v>
      </c>
      <c r="W116" s="11"/>
      <c r="Z116" s="11">
        <f>SUM(Z15:Z114)</f>
        <v>192534946.13830307</v>
      </c>
      <c r="AC116" s="11">
        <f>SUM(AC15:AC114)</f>
        <v>33736133.885156319</v>
      </c>
      <c r="AF116" s="11">
        <f>SUM(AF15:AF114)</f>
        <v>0</v>
      </c>
      <c r="AI116" s="11">
        <f>SUM(AI15:AI114)</f>
        <v>3557363406.8303719</v>
      </c>
      <c r="AL116" s="11">
        <f>SUM(AL15:AL114)</f>
        <v>0</v>
      </c>
      <c r="AO116" s="11">
        <f>SUM(AO15:AO114)</f>
        <v>0</v>
      </c>
      <c r="AR116" s="11">
        <f>SUM(AR15:AR114)</f>
        <v>0</v>
      </c>
      <c r="AW116" s="11">
        <f>SUM(AW15:AW114)</f>
        <v>17682800560.267933</v>
      </c>
      <c r="BB116" s="11">
        <f>SUM(BB15:BB114)</f>
        <v>0</v>
      </c>
      <c r="BE116" s="11">
        <f>SUM(BE15:BE114)</f>
        <v>0</v>
      </c>
      <c r="BH116" s="11">
        <f>SUM(BH15:BH114)</f>
        <v>0</v>
      </c>
      <c r="BK116" s="11">
        <f>SUM(BK15:BK114)</f>
        <v>9185759521.7825336</v>
      </c>
      <c r="BL116" s="11">
        <f>SUM(BL15:BL114)</f>
        <v>358267199.32367212</v>
      </c>
      <c r="BO116" s="11">
        <f>SUM(BO15:BO114)</f>
        <v>17354408606.544662</v>
      </c>
      <c r="BR116" s="11">
        <f>SUM(BR15:BR114)</f>
        <v>843465093.21310878</v>
      </c>
    </row>
    <row r="117" spans="2:70" x14ac:dyDescent="0.15">
      <c r="C117" s="71" t="s">
        <v>610</v>
      </c>
      <c r="F117" s="490">
        <f>F21*10^4*F13*10^4+F29*10^8</f>
        <v>2267000000</v>
      </c>
      <c r="G117" s="84" t="s">
        <v>611</v>
      </c>
      <c r="I117" s="48" t="s">
        <v>145</v>
      </c>
      <c r="W117" s="11"/>
      <c r="Z117" s="11">
        <f ca="1">IF(ISNUMBER($F$16),SUM(INDIRECT(ADDRESS($F$16+15,COLUMN())):INDIRECT(ADDRESS(114,COLUMN()))),"")</f>
        <v>13071766.789811369</v>
      </c>
      <c r="AC117" s="11">
        <f ca="1">IF(ISNUMBER($F$16),SUM(INDIRECT(ADDRESS($F$16+15,COLUMN())):INDIRECT(ADDRESS(114,COLUMN()))),"")</f>
        <v>33736133.885156319</v>
      </c>
      <c r="AF117" s="11">
        <f ca="1">IF(ISNUMBER($F$16),SUM(INDIRECT(ADDRESS($F$16+15,COLUMN())):INDIRECT(ADDRESS(114,COLUMN()))),"")</f>
        <v>0</v>
      </c>
      <c r="AI117" s="11">
        <f ca="1">IF(ISNUMBER($F$16),SUM(INDIRECT(ADDRESS($F$16+15,COLUMN())):INDIRECT(ADDRESS(114,COLUMN()))),"")</f>
        <v>1267720025.8062694</v>
      </c>
      <c r="AL117" s="11">
        <f ca="1">IF(ISNUMBER($F$16),SUM(INDIRECT(ADDRESS($F$16+15,COLUMN())):INDIRECT(ADDRESS(114,COLUMN()))),"")</f>
        <v>0</v>
      </c>
      <c r="AO117" s="11">
        <f ca="1">IF(ISNUMBER($F$16),SUM(INDIRECT(ADDRESS($F$16+15,COLUMN())):INDIRECT(ADDRESS(114,COLUMN()))),"")</f>
        <v>0</v>
      </c>
      <c r="AR117" s="11">
        <f ca="1">IF(ISNUMBER($F$16),SUM(INDIRECT(ADDRESS($F$16+15,COLUMN())):INDIRECT(ADDRESS(114,COLUMN()))),"")</f>
        <v>0</v>
      </c>
      <c r="AW117" s="11">
        <f ca="1">IF(ISNUMBER($F$16),SUM(INDIRECT(ADDRESS($F$16+15,COLUMN())):INDIRECT(ADDRESS(114,COLUMN()))),"")</f>
        <v>6301532292.0194702</v>
      </c>
      <c r="BB117" s="11">
        <f ca="1">IF(ISNUMBER($F$16),SUM(INDIRECT(ADDRESS($F$16+15,COLUMN())):INDIRECT(ADDRESS(114,COLUMN()))),"")</f>
        <v>0</v>
      </c>
      <c r="BE117" s="11">
        <f ca="1">IF(ISNUMBER($F$16),SUM(INDIRECT(ADDRESS($F$16+15,COLUMN())):INDIRECT(ADDRESS(114,COLUMN()))),"")</f>
        <v>0</v>
      </c>
      <c r="BH117" s="11">
        <f ca="1">IF(ISNUMBER($F$16),SUM(INDIRECT(ADDRESS($F$16+15,COLUMN())):INDIRECT(ADDRESS(114,COLUMN()))),"")</f>
        <v>0</v>
      </c>
      <c r="BK117" s="11">
        <f ca="1">IF(ISNUMBER($F$16),SUM(INDIRECT(ADDRESS($F$16+15,COLUMN())):INDIRECT(ADDRESS(114,COLUMN()))),"")</f>
        <v>22517628.990046117</v>
      </c>
      <c r="BL117" s="11">
        <f ca="1">IF(ISNUMBER($F$16),SUM(INDIRECT(ADDRESS($F$16+15,COLUMN())):INDIRECT(ADDRESS(114,COLUMN()))),"")</f>
        <v>0</v>
      </c>
      <c r="BO117" s="11">
        <f ca="1">IF(ISNUMBER($F$16),SUM(INDIRECT(ADDRESS($F$16+15,COLUMN())):INDIRECT(ADDRESS(114,COLUMN()))),"")</f>
        <v>0</v>
      </c>
      <c r="BR117" s="11">
        <f ca="1">IF(ISNUMBER($F$16),SUM(INDIRECT(ADDRESS($F$16+15,COLUMN())):INDIRECT(ADDRESS(114,COLUMN()))),"")</f>
        <v>300581488.99876982</v>
      </c>
    </row>
    <row r="119" spans="2:70" x14ac:dyDescent="0.15">
      <c r="C119" s="71" t="s">
        <v>612</v>
      </c>
      <c r="F119" s="490">
        <f>VLOOKUP(F3,'表2）法定耐用年数'!$A$2:$B$17,2,0)</f>
        <v>15</v>
      </c>
      <c r="G119" s="84" t="s">
        <v>556</v>
      </c>
    </row>
    <row r="121" spans="2:70" x14ac:dyDescent="0.15">
      <c r="C121" s="4" t="s">
        <v>613</v>
      </c>
      <c r="D121" s="100"/>
      <c r="E121" s="100"/>
      <c r="F121" s="4"/>
      <c r="G121" s="100"/>
    </row>
    <row r="123" spans="2:70" x14ac:dyDescent="0.15">
      <c r="D123" s="84" t="s">
        <v>614</v>
      </c>
      <c r="F123" s="491">
        <f>VLOOKUP($F$119,'表1）減価償却率表'!$A$9:$E$107,3,0)</f>
        <v>0.16700000000000001</v>
      </c>
    </row>
    <row r="124" spans="2:70" x14ac:dyDescent="0.15">
      <c r="D124" s="84" t="s">
        <v>615</v>
      </c>
      <c r="F124" s="491">
        <f>VLOOKUP($F$119,'表1）減価償却率表'!$A$9:$E$107,4,0)</f>
        <v>0.2</v>
      </c>
    </row>
    <row r="125" spans="2:70" x14ac:dyDescent="0.15">
      <c r="D125" s="84" t="s">
        <v>616</v>
      </c>
      <c r="F125" s="474">
        <f>VLOOKUP($F$119,'表1）減価償却率表'!$A$9:$E$107,5,0)</f>
        <v>3.2169999999999997E-2</v>
      </c>
    </row>
    <row r="126" spans="2:70" x14ac:dyDescent="0.15">
      <c r="F126" s="492"/>
    </row>
    <row r="127" spans="2:70" x14ac:dyDescent="0.15">
      <c r="C127" s="8" t="s">
        <v>617</v>
      </c>
      <c r="D127" s="493"/>
      <c r="E127" s="494"/>
      <c r="F127" s="490">
        <f>F117*F125</f>
        <v>72929390</v>
      </c>
      <c r="G127" s="84" t="s">
        <v>611</v>
      </c>
    </row>
    <row r="129" spans="3:7" x14ac:dyDescent="0.15">
      <c r="C129" s="8" t="s">
        <v>152</v>
      </c>
      <c r="D129" s="493"/>
      <c r="E129" s="493"/>
      <c r="F129" s="491">
        <f>0.1^(1/F119)</f>
        <v>0.85769589859089412</v>
      </c>
      <c r="G129" s="493"/>
    </row>
    <row r="131" spans="3:7" x14ac:dyDescent="0.15">
      <c r="C131" s="4" t="s">
        <v>618</v>
      </c>
      <c r="D131" s="100"/>
      <c r="E131" s="100"/>
      <c r="F131" s="4"/>
      <c r="G131" s="100"/>
    </row>
    <row r="133" spans="3:7" x14ac:dyDescent="0.15">
      <c r="D133" s="84" t="s">
        <v>619</v>
      </c>
      <c r="F133" s="490">
        <f>F13*10000*24*365*F14/100</f>
        <v>43440839.999999993</v>
      </c>
      <c r="G133" s="84" t="s">
        <v>620</v>
      </c>
    </row>
    <row r="134" spans="3:7" x14ac:dyDescent="0.15">
      <c r="D134" s="84" t="s">
        <v>621</v>
      </c>
      <c r="F134" s="490">
        <f>F133*(1-F24/100)</f>
        <v>36490305.599999994</v>
      </c>
      <c r="G134" s="84" t="s">
        <v>620</v>
      </c>
    </row>
    <row r="135" spans="3:7" x14ac:dyDescent="0.15">
      <c r="F135" s="495"/>
    </row>
    <row r="137" spans="3:7" ht="16.5" x14ac:dyDescent="0.15">
      <c r="C137" s="71" t="s">
        <v>622</v>
      </c>
      <c r="F137" s="490">
        <f>F22*10^3/43440840*F133</f>
        <v>59999999.999999993</v>
      </c>
      <c r="G137" s="71" t="s">
        <v>623</v>
      </c>
    </row>
    <row r="139" spans="3:7" x14ac:dyDescent="0.15">
      <c r="C139" s="4" t="s">
        <v>624</v>
      </c>
      <c r="D139" s="100"/>
      <c r="E139" s="100"/>
      <c r="F139" s="4"/>
      <c r="G139" s="100"/>
    </row>
    <row r="141" spans="3:7" x14ac:dyDescent="0.15">
      <c r="D141" s="84" t="s">
        <v>625</v>
      </c>
      <c r="F141" s="496">
        <f>IF(OR(F3="石炭火力",F3= "LNG火力", F3="ガスコジェネ",F3="バイオマス（石炭混焼）",F3="バイオマス（木質専焼）",F3="燃料電池"),IF($F$43="需要地価格","",1000),IF(OR(F3="石油火力",F3="石油コジェネ"),IF($F$43="需要地価格","",158.987294928),""))</f>
        <v>1000</v>
      </c>
      <c r="G141" s="84" t="s">
        <v>626</v>
      </c>
    </row>
    <row r="142" spans="3:7" x14ac:dyDescent="0.15">
      <c r="D142" s="84" t="s">
        <v>573</v>
      </c>
      <c r="F142" s="488">
        <f>IF(ISERROR(F42/1000),0,F42/1000)</f>
        <v>0.75</v>
      </c>
      <c r="G142" s="84" t="s">
        <v>627</v>
      </c>
    </row>
    <row r="145" spans="3:7" x14ac:dyDescent="0.15">
      <c r="C145" s="71" t="s">
        <v>628</v>
      </c>
      <c r="F145" s="496">
        <f>IF(ISERROR(F133*(F47*3.6/(F23/100)/1000*(44/12))),0,F133*(F47*3.6/(F23/100)/1000*(44/12)))</f>
        <v>0</v>
      </c>
      <c r="G145" s="84" t="s">
        <v>629</v>
      </c>
    </row>
    <row r="147" spans="3:7" x14ac:dyDescent="0.15">
      <c r="C147" s="4" t="s">
        <v>630</v>
      </c>
      <c r="D147" s="100"/>
      <c r="E147" s="100"/>
      <c r="F147" s="4"/>
      <c r="G147" s="100"/>
    </row>
    <row r="149" spans="3:7" x14ac:dyDescent="0.15">
      <c r="D149" s="84" t="s">
        <v>219</v>
      </c>
      <c r="F149" s="496">
        <f>IF(ISERROR(F52/F23),0,F52/F23)</f>
        <v>0</v>
      </c>
    </row>
    <row r="150" spans="3:7" x14ac:dyDescent="0.15">
      <c r="D150" s="84" t="s">
        <v>631</v>
      </c>
      <c r="F150" s="496">
        <f>F133*F149*(F53/100)*3.6</f>
        <v>0</v>
      </c>
      <c r="G150" s="84" t="s">
        <v>632</v>
      </c>
    </row>
    <row r="151" spans="3:7" ht="16.5" x14ac:dyDescent="0.15">
      <c r="D151" s="84" t="s">
        <v>633</v>
      </c>
      <c r="F151" s="490">
        <f>IF(ISERROR(F150/(F54/100)/F55),0,F150/(F54/100)/F55)</f>
        <v>0</v>
      </c>
      <c r="G151" s="71" t="s">
        <v>623</v>
      </c>
    </row>
    <row r="152" spans="3:7" x14ac:dyDescent="0.15">
      <c r="D152" s="84" t="s">
        <v>634</v>
      </c>
      <c r="F152" s="497">
        <f>IF(ISERROR(F56/1000),0,F56/1000)</f>
        <v>0</v>
      </c>
      <c r="G152" s="84" t="s">
        <v>627</v>
      </c>
    </row>
    <row r="153" spans="3:7" x14ac:dyDescent="0.15">
      <c r="D153" s="84" t="s">
        <v>635</v>
      </c>
      <c r="F153" s="496">
        <f>IF(ISERROR(F150*F47/1000*(44/12)/(F54/100)),0,F150*F47/1000*(44/12)/(F54/100))</f>
        <v>0</v>
      </c>
      <c r="G153" s="84" t="s">
        <v>629</v>
      </c>
    </row>
  </sheetData>
  <mergeCells count="48">
    <mergeCell ref="BR12:BR13"/>
    <mergeCell ref="AI12:AI13"/>
    <mergeCell ref="AL12:AL13"/>
    <mergeCell ref="AO12:AO13"/>
    <mergeCell ref="AR12:AR13"/>
    <mergeCell ref="AW12:AW13"/>
    <mergeCell ref="BB12:BB13"/>
    <mergeCell ref="BL12:BL13"/>
    <mergeCell ref="BK12:BK13"/>
    <mergeCell ref="BO12:BO13"/>
    <mergeCell ref="BJ12:BJ13"/>
    <mergeCell ref="BA9:BB10"/>
    <mergeCell ref="AE9:AF10"/>
    <mergeCell ref="V9:W10"/>
    <mergeCell ref="BE12:BE13"/>
    <mergeCell ref="BH12:BH13"/>
    <mergeCell ref="P12:P13"/>
    <mergeCell ref="W12:W13"/>
    <mergeCell ref="Z12:Z13"/>
    <mergeCell ref="AC12:AC13"/>
    <mergeCell ref="AF12:AF13"/>
    <mergeCell ref="BQ7:BR7"/>
    <mergeCell ref="BJ7:BO7"/>
    <mergeCell ref="I9:I10"/>
    <mergeCell ref="K9:K10"/>
    <mergeCell ref="M9:M10"/>
    <mergeCell ref="O9:P10"/>
    <mergeCell ref="R9:R10"/>
    <mergeCell ref="AN9:AO10"/>
    <mergeCell ref="AQ9:AR10"/>
    <mergeCell ref="AY7:BB7"/>
    <mergeCell ref="AY9:AY10"/>
    <mergeCell ref="BD7:BH7"/>
    <mergeCell ref="BJ9:BL10"/>
    <mergeCell ref="BN9:BO10"/>
    <mergeCell ref="BD9:BE10"/>
    <mergeCell ref="BG9:BH10"/>
    <mergeCell ref="F3:G3"/>
    <mergeCell ref="V7:AF7"/>
    <mergeCell ref="AH7:AR7"/>
    <mergeCell ref="AT7:AW7"/>
    <mergeCell ref="AK9:AL10"/>
    <mergeCell ref="T9:T10"/>
    <mergeCell ref="AV9:AW10"/>
    <mergeCell ref="AT9:AT10"/>
    <mergeCell ref="AH9:AI10"/>
    <mergeCell ref="AB9:AC10"/>
    <mergeCell ref="Y9:Z10"/>
  </mergeCells>
  <phoneticPr fontId="17"/>
  <dataValidations count="4">
    <dataValidation type="list" allowBlank="1" showDropDown="1" showInputMessage="1" showErrorMessage="1" sqref="F48 F41" xr:uid="{00000000-0002-0000-2100-000000000000}">
      <formula1>"現行政策シナリオ, 新政策シナリオ"</formula1>
    </dataValidation>
    <dataValidation type="whole" allowBlank="1" showInputMessage="1" showErrorMessage="1" sqref="F7" xr:uid="{00000000-0002-0000-2100-000001000000}">
      <formula1>2010</formula1>
      <formula2>2030</formula2>
    </dataValidation>
    <dataValidation type="list" allowBlank="1" showDropDown="1" showInputMessage="1" showErrorMessage="1" sqref="F43" xr:uid="{00000000-0002-0000-2100-000002000000}">
      <formula1>"CIF価格, 需要地価格"</formula1>
    </dataValidation>
    <dataValidation type="list" allowBlank="1" showDropDown="1" showInputMessage="1" showErrorMessage="1" sqref="F3:G3" xr:uid="{00000000-0002-0000-2100-000003000000}">
      <formula1>"原子力,石炭火力,LNG火力,石油火力,一般水力,太陽光（メガソーラー）,太陽光（住宅）,風力（陸上）,風力（洋上）,小水力,地熱,バイオマス（石炭混焼）,バイオマス（木質専焼）,ガスコジェネ,石油コジェネ,燃料電池"</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BR153"/>
  <sheetViews>
    <sheetView showGridLines="0" zoomScale="85" zoomScaleNormal="85" workbookViewId="0">
      <pane xSplit="10" ySplit="14" topLeftCell="K15" activePane="bottomRight" state="frozen"/>
      <selection pane="topRight" activeCell="AF12" sqref="AF12:AF13"/>
      <selection pane="bottomLeft" activeCell="AF12" sqref="AF12:AF13"/>
      <selection pane="bottomRight" sqref="A1:K1048576"/>
    </sheetView>
  </sheetViews>
  <sheetFormatPr defaultColWidth="9" defaultRowHeight="14.25" outlineLevelCol="1" x14ac:dyDescent="0.15"/>
  <cols>
    <col min="1" max="3" width="6.25" style="71" customWidth="1"/>
    <col min="4" max="4" width="6.25" style="84" customWidth="1"/>
    <col min="5" max="5" width="24.375" style="84" customWidth="1"/>
    <col min="6" max="6" width="18.75" style="71" customWidth="1"/>
    <col min="7" max="7" width="24.375" style="84" bestFit="1" customWidth="1"/>
    <col min="8" max="8" width="9" style="71"/>
    <col min="9" max="9" width="6.25" style="71" customWidth="1"/>
    <col min="10" max="10" width="3" style="71" customWidth="1"/>
    <col min="11" max="11" width="6.25" style="71" customWidth="1"/>
    <col min="12" max="12" width="3" style="71" customWidth="1"/>
    <col min="13" max="13" width="6.25" style="71" customWidth="1"/>
    <col min="14" max="14" width="3" style="71" customWidth="1"/>
    <col min="15" max="15" width="17.375" style="71" bestFit="1" customWidth="1"/>
    <col min="16" max="16" width="8.625" style="71" customWidth="1"/>
    <col min="17" max="17" width="3" style="71" customWidth="1"/>
    <col min="18" max="18" width="17.375" style="71" bestFit="1" customWidth="1"/>
    <col min="19" max="19" width="3" style="71" customWidth="1"/>
    <col min="20" max="20" width="17.375" style="71" bestFit="1" customWidth="1"/>
    <col min="21" max="21" width="3" style="71" customWidth="1"/>
    <col min="22" max="22" width="15" style="71" customWidth="1" outlineLevel="1"/>
    <col min="23" max="23" width="17.375" style="71" bestFit="1" customWidth="1"/>
    <col min="24" max="24" width="3" style="71" customWidth="1"/>
    <col min="25" max="25" width="15" style="71" customWidth="1" outlineLevel="1"/>
    <col min="26" max="26" width="15" style="71" customWidth="1"/>
    <col min="27" max="27" width="3" style="71" customWidth="1"/>
    <col min="28" max="28" width="15" style="71" customWidth="1" outlineLevel="1"/>
    <col min="29" max="29" width="15" style="71" customWidth="1"/>
    <col min="30" max="30" width="3" style="71" customWidth="1"/>
    <col min="31" max="31" width="15" style="71" customWidth="1" outlineLevel="1"/>
    <col min="32" max="32" width="15" style="71" customWidth="1"/>
    <col min="33" max="33" width="3" style="71" customWidth="1"/>
    <col min="34" max="34" width="14.875" style="71" customWidth="1" outlineLevel="1"/>
    <col min="35" max="35" width="15" style="71" customWidth="1"/>
    <col min="36" max="36" width="3" style="71" customWidth="1"/>
    <col min="37" max="37" width="15" style="71" customWidth="1" outlineLevel="1"/>
    <col min="38" max="38" width="15" style="71" customWidth="1"/>
    <col min="39" max="39" width="3" style="71" customWidth="1"/>
    <col min="40" max="40" width="15" style="71" customWidth="1" outlineLevel="1"/>
    <col min="41" max="41" width="15" style="71" customWidth="1"/>
    <col min="42" max="42" width="3" style="71" customWidth="1"/>
    <col min="43" max="43" width="15" style="71" customWidth="1" outlineLevel="1"/>
    <col min="44" max="44" width="15" style="71" customWidth="1"/>
    <col min="45" max="45" width="3" style="71" customWidth="1"/>
    <col min="46" max="46" width="10.75" style="71" bestFit="1" customWidth="1"/>
    <col min="47" max="47" width="3" style="71" customWidth="1"/>
    <col min="48" max="48" width="15" style="71" customWidth="1" outlineLevel="1"/>
    <col min="49" max="49" width="17.375" style="71" bestFit="1" customWidth="1"/>
    <col min="50" max="50" width="3" style="71" customWidth="1"/>
    <col min="51" max="51" width="9.625" style="71" bestFit="1" customWidth="1"/>
    <col min="52" max="52" width="3" style="71" customWidth="1"/>
    <col min="53" max="53" width="15" style="71" customWidth="1" outlineLevel="1"/>
    <col min="54" max="54" width="17.375" style="71" bestFit="1" customWidth="1"/>
    <col min="55" max="55" width="3" style="71" customWidth="1"/>
    <col min="56" max="56" width="19.25" style="71" customWidth="1" outlineLevel="1"/>
    <col min="57" max="57" width="19.25" style="71" bestFit="1" customWidth="1"/>
    <col min="58" max="58" width="3" style="71" customWidth="1"/>
    <col min="59" max="59" width="19.25" style="71" customWidth="1" outlineLevel="1"/>
    <col min="60" max="60" width="19.25" style="71"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71" customWidth="1" outlineLevel="1"/>
    <col min="70" max="70" width="17.375" style="71" bestFit="1" customWidth="1"/>
    <col min="71" max="16384" width="9" style="71"/>
  </cols>
  <sheetData>
    <row r="1" spans="1:70" ht="18.75" x14ac:dyDescent="0.15">
      <c r="A1" s="6" t="s">
        <v>60</v>
      </c>
    </row>
    <row r="3" spans="1:70" ht="23.25" x14ac:dyDescent="0.15">
      <c r="B3" s="1" t="s">
        <v>542</v>
      </c>
      <c r="F3" s="718" t="s">
        <v>644</v>
      </c>
      <c r="G3" s="719"/>
    </row>
    <row r="4" spans="1:70" x14ac:dyDescent="0.15">
      <c r="G4" s="500"/>
    </row>
    <row r="5" spans="1:70" ht="15.75" thickBot="1" x14ac:dyDescent="0.2">
      <c r="B5" s="5" t="s">
        <v>543</v>
      </c>
      <c r="C5" s="3"/>
      <c r="D5" s="102"/>
      <c r="E5" s="102"/>
      <c r="F5" s="3"/>
      <c r="G5" s="102"/>
      <c r="I5" s="5" t="s">
        <v>544</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71" t="s">
        <v>545</v>
      </c>
      <c r="F7" s="473">
        <v>2030</v>
      </c>
      <c r="I7" s="8"/>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71" t="s">
        <v>546</v>
      </c>
      <c r="F8" s="474">
        <f>まとめ!B3</f>
        <v>107</v>
      </c>
      <c r="G8" s="84" t="s">
        <v>547</v>
      </c>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71" t="s">
        <v>548</v>
      </c>
      <c r="F9" s="474">
        <f>まとめ!B2</f>
        <v>3</v>
      </c>
      <c r="G9" s="84" t="s">
        <v>549</v>
      </c>
      <c r="I9" s="720" t="s">
        <v>550</v>
      </c>
      <c r="J9" s="8"/>
      <c r="K9" s="707" t="s">
        <v>551</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09" t="s">
        <v>232</v>
      </c>
      <c r="AI9" s="707"/>
      <c r="AJ9" s="8"/>
      <c r="AK9" s="707"/>
      <c r="AL9" s="707"/>
      <c r="AM9" s="8"/>
      <c r="AN9" s="707"/>
      <c r="AO9" s="707"/>
      <c r="AP9" s="8"/>
      <c r="AQ9" s="707"/>
      <c r="AR9" s="707"/>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I10" s="708"/>
      <c r="K10" s="708"/>
      <c r="M10" s="708"/>
      <c r="O10" s="717"/>
      <c r="P10" s="717"/>
      <c r="R10" s="708"/>
      <c r="T10" s="708"/>
      <c r="V10" s="717"/>
      <c r="W10" s="717"/>
      <c r="Y10" s="717"/>
      <c r="Z10" s="717"/>
      <c r="AB10" s="723"/>
      <c r="AC10" s="723"/>
      <c r="AD10" s="81"/>
      <c r="AE10" s="723"/>
      <c r="AF10" s="723"/>
      <c r="AH10" s="717"/>
      <c r="AI10" s="717"/>
      <c r="AK10" s="717"/>
      <c r="AL10" s="717"/>
      <c r="AN10" s="717"/>
      <c r="AO10" s="717"/>
      <c r="AQ10" s="717"/>
      <c r="AR10" s="717"/>
      <c r="AT10" s="717"/>
      <c r="AV10" s="717"/>
      <c r="AW10" s="717"/>
      <c r="AX10" s="322"/>
      <c r="AY10" s="708"/>
      <c r="BA10" s="708"/>
      <c r="BB10" s="708"/>
      <c r="BD10" s="717"/>
      <c r="BE10" s="717"/>
      <c r="BG10" s="717"/>
      <c r="BH10" s="717"/>
      <c r="BJ10" s="708"/>
      <c r="BK10" s="708"/>
      <c r="BL10" s="708"/>
      <c r="BM10" s="322"/>
      <c r="BN10" s="717"/>
      <c r="BO10" s="717"/>
      <c r="BQ10" s="322"/>
      <c r="BR10" s="322"/>
    </row>
    <row r="11" spans="1:70" ht="15.75" customHeight="1" thickBot="1" x14ac:dyDescent="0.2">
      <c r="B11" s="5" t="s">
        <v>95</v>
      </c>
      <c r="C11" s="3"/>
      <c r="D11" s="102"/>
      <c r="E11" s="102"/>
      <c r="F11" s="3"/>
      <c r="G11" s="102"/>
      <c r="O11" s="322" t="s">
        <v>96</v>
      </c>
      <c r="P11" s="322"/>
      <c r="Q11" s="322"/>
      <c r="R11" s="322" t="s">
        <v>96</v>
      </c>
      <c r="S11" s="322"/>
      <c r="T11" s="322"/>
      <c r="V11" s="322"/>
      <c r="W11" s="322"/>
      <c r="Y11" s="322"/>
      <c r="Z11" s="322"/>
      <c r="AB11" s="322"/>
      <c r="AC11" s="322"/>
      <c r="AE11" s="322"/>
      <c r="AF11" s="322"/>
      <c r="AH11" s="322"/>
      <c r="AI11" s="322"/>
      <c r="AK11" s="322"/>
      <c r="AL11" s="322"/>
      <c r="AN11" s="322"/>
      <c r="AO11" s="322"/>
      <c r="AQ11" s="322"/>
      <c r="AR11" s="322"/>
      <c r="AT11" s="322"/>
      <c r="AV11" s="322"/>
      <c r="AW11" s="322"/>
      <c r="AX11" s="322"/>
      <c r="BB11" s="322"/>
      <c r="BD11" s="322"/>
      <c r="BE11" s="322"/>
      <c r="BG11" s="322"/>
      <c r="BH11" s="322"/>
      <c r="BJ11" s="156"/>
      <c r="BM11" s="322"/>
      <c r="BN11" s="322"/>
      <c r="BO11" s="322"/>
      <c r="BQ11" s="322"/>
      <c r="BR11" s="322"/>
    </row>
    <row r="12" spans="1:70" ht="14.25" customHeight="1" x14ac:dyDescent="0.15">
      <c r="O12" s="322"/>
      <c r="P12" s="707" t="s">
        <v>97</v>
      </c>
      <c r="W12" s="707" t="s">
        <v>98</v>
      </c>
      <c r="Z12" s="707" t="s">
        <v>98</v>
      </c>
      <c r="AC12" s="707" t="s">
        <v>98</v>
      </c>
      <c r="AF12" s="707" t="s">
        <v>98</v>
      </c>
      <c r="AI12" s="707" t="s">
        <v>98</v>
      </c>
      <c r="AL12" s="707" t="s">
        <v>98</v>
      </c>
      <c r="AO12" s="707" t="s">
        <v>98</v>
      </c>
      <c r="AR12" s="707" t="s">
        <v>98</v>
      </c>
      <c r="AW12" s="707" t="s">
        <v>98</v>
      </c>
      <c r="BB12" s="707" t="s">
        <v>98</v>
      </c>
      <c r="BE12" s="707" t="s">
        <v>98</v>
      </c>
      <c r="BH12" s="707" t="s">
        <v>98</v>
      </c>
      <c r="BJ12" s="709" t="s">
        <v>99</v>
      </c>
      <c r="BK12" s="709" t="s">
        <v>100</v>
      </c>
      <c r="BL12" s="709" t="s">
        <v>101</v>
      </c>
      <c r="BO12" s="709" t="s">
        <v>102</v>
      </c>
      <c r="BR12" s="707" t="s">
        <v>103</v>
      </c>
    </row>
    <row r="13" spans="1:70" ht="14.25" customHeight="1" x14ac:dyDescent="0.15">
      <c r="C13" s="71" t="s">
        <v>552</v>
      </c>
      <c r="F13" s="475">
        <v>0.56999999999999995</v>
      </c>
      <c r="G13" s="84" t="s">
        <v>553</v>
      </c>
      <c r="O13" s="322"/>
      <c r="P13" s="708"/>
      <c r="Q13" s="322"/>
      <c r="R13" s="322"/>
      <c r="S13" s="322"/>
      <c r="T13" s="322"/>
      <c r="V13" s="322"/>
      <c r="W13" s="708"/>
      <c r="Y13" s="322"/>
      <c r="Z13" s="708"/>
      <c r="AB13" s="322"/>
      <c r="AC13" s="708"/>
      <c r="AE13" s="322"/>
      <c r="AF13" s="708"/>
      <c r="AH13" s="322"/>
      <c r="AI13" s="708"/>
      <c r="AK13" s="322"/>
      <c r="AL13" s="708"/>
      <c r="AN13" s="322"/>
      <c r="AO13" s="708"/>
      <c r="AQ13" s="322"/>
      <c r="AR13" s="708"/>
      <c r="AT13" s="322"/>
      <c r="AV13" s="322"/>
      <c r="AW13" s="708"/>
      <c r="BB13" s="708"/>
      <c r="BD13" s="322"/>
      <c r="BE13" s="708"/>
      <c r="BG13" s="322"/>
      <c r="BH13" s="708"/>
      <c r="BJ13" s="712"/>
      <c r="BK13" s="710"/>
      <c r="BL13" s="708"/>
      <c r="BM13" s="322"/>
      <c r="BO13" s="708"/>
      <c r="BQ13" s="322"/>
      <c r="BR13" s="708"/>
    </row>
    <row r="14" spans="1:70" ht="16.5" x14ac:dyDescent="0.15">
      <c r="C14" s="71" t="s">
        <v>554</v>
      </c>
      <c r="F14" s="474">
        <f>VLOOKUP(F3&amp;IF(G4&lt;&gt;"","_"&amp;G4,""),まとめ!$A$12:$G$34,IF(F7=2030,4,IF(F7=2020,3,IF(F7=2014,2,"-"))),0)</f>
        <v>87</v>
      </c>
      <c r="G14" s="84" t="s">
        <v>549</v>
      </c>
      <c r="O14" s="322"/>
      <c r="P14" s="322"/>
      <c r="Q14" s="322"/>
      <c r="R14" s="322"/>
      <c r="S14" s="322"/>
      <c r="T14" s="322"/>
      <c r="AT14" s="50" t="s">
        <v>104</v>
      </c>
      <c r="AY14" s="71" t="s">
        <v>105</v>
      </c>
    </row>
    <row r="15" spans="1:70" x14ac:dyDescent="0.15">
      <c r="C15" s="71" t="s">
        <v>555</v>
      </c>
      <c r="F15" s="474">
        <f>VLOOKUP(F3&amp;IF(G4&lt;&gt;"","_"&amp;G4,""),まとめ!$A$12:$G$34,IF(F7=2030,7,IF(F7=2020,6,IF(F7=2014,5,"-"))),0)</f>
        <v>40</v>
      </c>
      <c r="G15" s="84" t="s">
        <v>556</v>
      </c>
      <c r="I15" s="38">
        <f>F7</f>
        <v>2030</v>
      </c>
      <c r="J15" s="39"/>
      <c r="K15" s="39">
        <f>IF(I15&lt;&gt;"",1,"")</f>
        <v>1</v>
      </c>
      <c r="L15" s="39"/>
      <c r="M15" s="40">
        <f t="shared" ref="M15:M78" si="0">1/(1+($F$9/100))^K15</f>
        <v>0.970873786407767</v>
      </c>
      <c r="N15" s="39"/>
      <c r="O15" s="72">
        <f>F117</f>
        <v>2267000000</v>
      </c>
      <c r="P15" s="41">
        <f t="shared" ref="P15:P46" si="1">IF(K15&lt;=$F$15,IF(OR(P14=$F$124,P14="-"),"-",IF(O15*$F$123&gt;$F$127,$F$123,$F$124)),"")</f>
        <v>0.16700000000000001</v>
      </c>
      <c r="Q15" s="39"/>
      <c r="R15" s="72">
        <f>F117</f>
        <v>2267000000</v>
      </c>
      <c r="S15" s="39"/>
      <c r="T15" s="72">
        <f>IF(ISNUMBER(R15),ROUNDDOWN(R15,-3),"")</f>
        <v>2267000000</v>
      </c>
      <c r="U15" s="39"/>
      <c r="V15" s="72">
        <f t="shared" ref="V15:V46" si="2">IF(K15&lt;=$F$15,IF(K15&lt;$F$119,IF(P15="-",V14,O15*P15),IF(K15=$F$119,MIN(IF(P15="-",V14,O15*P15),O15),0)),"")</f>
        <v>378589000</v>
      </c>
      <c r="W15" s="72">
        <f>IF(ISNUMBER(V15),V15*$M15,"")</f>
        <v>367562135.92233008</v>
      </c>
      <c r="X15" s="39"/>
      <c r="Y15" s="72">
        <f t="shared" ref="Y15:Y46" si="3">IF($K15&lt;=$F$15,ROUNDDOWN(T15*$F$25/100,-2),"")</f>
        <v>31738000</v>
      </c>
      <c r="Z15" s="72">
        <f>IF(ISNUMBER(Y15),Y15*$M15,"")</f>
        <v>30813592.233009711</v>
      </c>
      <c r="AA15" s="39"/>
      <c r="AB15" s="72">
        <f t="shared" ref="AB15:AB78" si="4">IF($K15&lt;=$F$15,0,IF(AND($K15&gt;$F$15,$K15&lt;=$F$15+$F$28),$F$27*10^8/$F$28,""))</f>
        <v>0</v>
      </c>
      <c r="AC15" s="72">
        <f>IF(ISNUMBER(AB15),AB15*$M15,"")</f>
        <v>0</v>
      </c>
      <c r="AD15" s="39"/>
      <c r="AE15" s="72">
        <f t="shared" ref="AE15:AE46" si="5">IF($K15&lt;=$F$15,$F$26,"")</f>
        <v>0</v>
      </c>
      <c r="AF15" s="72">
        <f>IF(ISNUMBER(AE15),AE15*$M15,"")</f>
        <v>0</v>
      </c>
      <c r="AG15" s="39"/>
      <c r="AH15" s="10">
        <f t="shared" ref="AH15:AH17" si="6">IF($K12&lt;=$F$15,$F$33*10^4*$F$13*10^4,"")</f>
        <v>153899999.99999997</v>
      </c>
      <c r="AI15" s="72">
        <f>IF(ISNUMBER(AH15),AH15*$M15,"")</f>
        <v>149417475.72815531</v>
      </c>
      <c r="AJ15" s="39"/>
      <c r="AK15" s="72">
        <f t="shared" ref="AK15:AK46" si="7">IF($K15&lt;=$F$15,$F$34*10^8,"")</f>
        <v>0</v>
      </c>
      <c r="AL15" s="72">
        <f>IF(ISNUMBER(AK15),AK15*$M15,"")</f>
        <v>0</v>
      </c>
      <c r="AM15" s="39"/>
      <c r="AN15" s="72">
        <f t="shared" ref="AN15:AN46" si="8">IF($K15&lt;=$F$15,$F$117*$F$35/100,"")</f>
        <v>0</v>
      </c>
      <c r="AO15" s="72">
        <f>IF(ISNUMBER(AN15),AN15*$M15,"")</f>
        <v>0</v>
      </c>
      <c r="AP15" s="39"/>
      <c r="AQ15" s="72">
        <f t="shared" ref="AQ15:AQ46" si="9">IF($K15&lt;=$F$15,SUM(AH15,AK15,AN15)*($F$36/100),"")</f>
        <v>0</v>
      </c>
      <c r="AR15" s="72">
        <f>IF(ISNUMBER(AQ15),AQ15*$M15,"")</f>
        <v>0</v>
      </c>
      <c r="AS15" s="39"/>
      <c r="AT15" s="40">
        <f>IF($K15&lt;=$F$15,IF($F$40&lt;&gt;"",$F$40/1000,IF(ISERROR(VLOOKUP($F$3&amp;IF($G$4&lt;&gt;"",$G$4,"")&amp;IF($F$43&lt;&gt;"","_"&amp;$F$43,""),'表3）燃料価格'!$AF$9:$AG$25,2,0)),0,VLOOKUP($I15,'表3）燃料価格'!$A$6:$U$66,VLOOKUP($F$3&amp;IF($G$4&lt;&gt;"",$G$4,"")&amp;IF($F$43&lt;&gt;"","_"&amp;$F$43,""),'表3）燃料価格'!$AF$9:$AG$25,2,0)+VLOOKUP($F$41,'表3）燃料価格'!$AF$28:$AG$29,2,0),0)*IF($F$43="需要地価格",1,$F$8/$F$141))),"")</f>
        <v>12</v>
      </c>
      <c r="AU15" s="39"/>
      <c r="AV15" s="72">
        <f t="shared" ref="AV15:AV46" si="10">IF($K15&lt;=$F$15,($AT15+$F$142)*$F$137,"")</f>
        <v>764999999.99999988</v>
      </c>
      <c r="AW15" s="72">
        <f t="shared" ref="AW15:AW78" si="11">IF(ISNUMBER(AV15),AV15*$M15,"")</f>
        <v>742718446.60194159</v>
      </c>
      <c r="AX15" s="39"/>
      <c r="AY15" s="40">
        <f>IF(ISERROR(IF($K15&lt;=$F$15,VLOOKUP($I15,'表4）CO2価格'!$A$7:$E$67,VLOOKUP($F$48,'表4）CO2価格'!$H$10:$I$12,2,0),0)*$F$8/1000,"")),0,IF($K15&lt;=$F$15,VLOOKUP($I15,'表4）CO2価格'!$A$7:$E$67,VLOOKUP($F$48,'表4）CO2価格'!$H$10:$I$12,2,0),0)*$F$8/1000,""))</f>
        <v>0</v>
      </c>
      <c r="AZ15" s="39"/>
      <c r="BA15" s="42">
        <f t="shared" ref="BA15:BA46" si="12">IF($K15&lt;=$F$15,$F$145*AY15,"")</f>
        <v>0</v>
      </c>
      <c r="BB15" s="72">
        <f>IF(ISNUMBER(BA15),BA15*$M15,"")</f>
        <v>0</v>
      </c>
      <c r="BC15" s="39"/>
      <c r="BD15" s="72">
        <f t="shared" ref="BD15:BD46" si="13">IF($K15&lt;=$F$15,($AT15+$F$152)*$F$151,"")</f>
        <v>0</v>
      </c>
      <c r="BE15" s="72">
        <f>IF(ISNUMBER(BD15),BD15*$M15,"")</f>
        <v>0</v>
      </c>
      <c r="BF15" s="39"/>
      <c r="BG15" s="42">
        <f t="shared" ref="BG15:BG46" si="14">IF($K15&lt;=$F$15,$F$153*AY15,"")</f>
        <v>0</v>
      </c>
      <c r="BH15" s="72">
        <f>IF(ISNUMBER(BG15),BG15*$M15,"")</f>
        <v>0</v>
      </c>
      <c r="BI15" s="39"/>
      <c r="BJ15" s="40">
        <f>IF(ISNUMBER($F$16),IF($K15&lt;=$F$16+$F$28,1/(1+($F$17/100))^K15,""),"")</f>
        <v>0.92592592592592582</v>
      </c>
      <c r="BK15" s="157">
        <f>IF(ISNUMBER($F$16),IF($K15&lt;=$F$16+$F$28,IF($K15&lt;=$F$16,SUM(Y15,AB15,AE15,AH15,AK15,AN15,AQ15,BA15,BD15,BG15)+AV15/$F$14*87,$F$27/$F$28*10^8)*BJ15,""),"")</f>
        <v>880220370.37037015</v>
      </c>
      <c r="BL15" s="157">
        <f>IF(AND(ISNUMBER(BJ15),$K15&lt;=$F$16),BQ15/$F$14*87*BJ15,"")</f>
        <v>33787319.999999993</v>
      </c>
      <c r="BM15" s="72"/>
      <c r="BN15" s="72">
        <f>IF(AND(ISNUMBER($F$16),$K15&lt;=$F$16),BQ15*($O$15+$BK$116)/$BL$116,"")</f>
        <v>1166488854.4139216</v>
      </c>
      <c r="BO15" s="72">
        <f>IF(ISNUMBER(BN15),BN15*$M15,"")</f>
        <v>1132513450.8873026</v>
      </c>
      <c r="BP15" s="39"/>
      <c r="BQ15" s="72">
        <f t="shared" ref="BQ15:BQ46" si="15">IF($K15&lt;=$F$15,$F$134,"")</f>
        <v>36490305.599999994</v>
      </c>
      <c r="BR15" s="72">
        <f>IF(ISNUMBER(BQ15),BQ15*$M15,"")</f>
        <v>35427481.16504854</v>
      </c>
    </row>
    <row r="16" spans="1:70" x14ac:dyDescent="0.15">
      <c r="C16" s="184" t="s">
        <v>107</v>
      </c>
      <c r="F16" s="474">
        <f>IF(ISERROR(VLOOKUP(F3&amp;IF(G4&lt;&gt;"","_"&amp;G4,""),'表7）買取期間・IRR'!$A$3:$A$10,1,0)),"",VLOOKUP(F3&amp;IF(G4&lt;&gt;"","_"&amp;G4,""),'表7）買取期間・IRR'!$A$3:$C$10,IF(F7=2030,3,IF(F7=2020,3,IF(F7=2014,2,"-"))),0))</f>
        <v>20</v>
      </c>
      <c r="G16" s="84" t="s">
        <v>556</v>
      </c>
      <c r="I16" s="457">
        <f>I15+1</f>
        <v>2031</v>
      </c>
      <c r="K16" s="71">
        <f>IF(I16&lt;&gt;"",K15+1,"")</f>
        <v>2</v>
      </c>
      <c r="M16" s="7">
        <f t="shared" si="0"/>
        <v>0.94259590913375435</v>
      </c>
      <c r="O16" s="10">
        <f t="shared" ref="O16:O79" si="16">IF(K16&lt;=$F$15,O15-V15,"")</f>
        <v>1888411000</v>
      </c>
      <c r="P16" s="29">
        <f t="shared" si="1"/>
        <v>0.16700000000000001</v>
      </c>
      <c r="R16" s="10">
        <f t="shared" ref="R16:R47" si="17">IF($K16&lt;=$F$15,MAX($F$117*5%,R15*$F$129),"")</f>
        <v>1944396602.105557</v>
      </c>
      <c r="T16" s="10">
        <f t="shared" ref="T16:T79" si="18">IF(ISNUMBER(R16),ROUNDDOWN(R16,-3),"")</f>
        <v>1944396000</v>
      </c>
      <c r="V16" s="10">
        <f t="shared" si="2"/>
        <v>315364637</v>
      </c>
      <c r="W16" s="10">
        <f t="shared" ref="W16:W79" si="19">IF(ISNUMBER(V16),V16*$M16,"")</f>
        <v>297261416.72165143</v>
      </c>
      <c r="Y16" s="10">
        <f t="shared" si="3"/>
        <v>27221500</v>
      </c>
      <c r="Z16" s="10">
        <f t="shared" ref="Z16:Z79" si="20">IF(ISNUMBER(Y16),Y16*$M16,"")</f>
        <v>25658874.540484495</v>
      </c>
      <c r="AB16" s="10">
        <f t="shared" si="4"/>
        <v>0</v>
      </c>
      <c r="AC16" s="10">
        <f t="shared" ref="AC16:AC79" si="21">IF(ISNUMBER(AB16),AB16*$M16,"")</f>
        <v>0</v>
      </c>
      <c r="AE16" s="10">
        <f t="shared" si="5"/>
        <v>0</v>
      </c>
      <c r="AF16" s="10">
        <f t="shared" ref="AF16:AF79" si="22">IF(ISNUMBER(AE16),AE16*$M16,"")</f>
        <v>0</v>
      </c>
      <c r="AH16" s="10">
        <f t="shared" si="6"/>
        <v>153899999.99999997</v>
      </c>
      <c r="AI16" s="10">
        <f t="shared" ref="AI16:AI79" si="23">IF(ISNUMBER(AH16),AH16*$M16,"")</f>
        <v>145065510.41568476</v>
      </c>
      <c r="AK16" s="10">
        <f t="shared" si="7"/>
        <v>0</v>
      </c>
      <c r="AL16" s="10">
        <f t="shared" ref="AL16:AL79" si="24">IF(ISNUMBER(AK16),AK16*$M16,"")</f>
        <v>0</v>
      </c>
      <c r="AN16" s="10">
        <f t="shared" si="8"/>
        <v>0</v>
      </c>
      <c r="AO16" s="10">
        <f t="shared" ref="AO16:AO79" si="25">IF(ISNUMBER(AN16),AN16*$M16,"")</f>
        <v>0</v>
      </c>
      <c r="AQ16" s="10">
        <f t="shared" si="9"/>
        <v>0</v>
      </c>
      <c r="AR16" s="10">
        <f t="shared" ref="AR16:AR79" si="26">IF(ISNUMBER(AQ16),AQ16*$M16,"")</f>
        <v>0</v>
      </c>
      <c r="AT16" s="7">
        <f>IF($K16&lt;=$F$15,IF($F$40&lt;&gt;"",$F$40/1000,IF(ISERROR(VLOOKUP($F$3&amp;IF($G$4&lt;&gt;"",$G$4,"")&amp;IF($F$43&lt;&gt;"","_"&amp;$F$43,""),'表3）燃料価格'!$AF$9:$AG$25,2,0)),0,VLOOKUP($I16,'表3）燃料価格'!$A$6:$U$66,VLOOKUP($F$3&amp;IF($G$4&lt;&gt;"",$G$4,"")&amp;IF($F$43&lt;&gt;"","_"&amp;$F$43,""),'表3）燃料価格'!$AF$9:$AG$25,2,0)+VLOOKUP($F$41,'表3）燃料価格'!$AF$28:$AG$29,2,0),0)*IF($F$43="需要地価格",1,$F$8/$F$141))),"")</f>
        <v>12</v>
      </c>
      <c r="AV16" s="10">
        <f t="shared" si="10"/>
        <v>764999999.99999988</v>
      </c>
      <c r="AW16" s="10">
        <f t="shared" si="11"/>
        <v>721085870.48732197</v>
      </c>
      <c r="AY16" s="7">
        <f>IF(ISERROR(IF($K16&lt;=$F$15,VLOOKUP($I16,'表4）CO2価格'!$A$7:$E$67,VLOOKUP($F$48,'表4）CO2価格'!$H$10:$I$12,2,0),0)*$F$8/1000,"")),0,IF($K16&lt;=$F$15,VLOOKUP($I16,'表4）CO2価格'!$A$7:$E$67,VLOOKUP($F$48,'表4）CO2価格'!$H$10:$I$12,2,0),0)*$F$8/1000,""))</f>
        <v>0</v>
      </c>
      <c r="BA16" s="11">
        <f t="shared" si="12"/>
        <v>0</v>
      </c>
      <c r="BB16" s="10">
        <f t="shared" ref="BB16:BB79" si="27">IF(ISNUMBER(BA16),BA16*$M16,"")</f>
        <v>0</v>
      </c>
      <c r="BD16" s="10">
        <f t="shared" si="13"/>
        <v>0</v>
      </c>
      <c r="BE16" s="10">
        <f t="shared" ref="BE16:BE79" si="28">IF(ISNUMBER(BD16),BD16*$M16,"")</f>
        <v>0</v>
      </c>
      <c r="BG16" s="11">
        <f t="shared" si="14"/>
        <v>0</v>
      </c>
      <c r="BH16" s="10">
        <f t="shared" ref="BH16:BH79" si="29">IF(ISNUMBER(BG16),BG16*$M16,"")</f>
        <v>0</v>
      </c>
      <c r="BJ16" s="7">
        <f t="shared" ref="BJ16:BJ79" si="30">IF(ISNUMBER($F$16),IF($K16&lt;=$F$16+$F$28,1/(1+($F$17/100))^K16,""),"")</f>
        <v>0.85733882030178321</v>
      </c>
      <c r="BK16" s="158">
        <f t="shared" ref="BK16:BK79" si="31">IF(ISNUMBER($F$16),IF($K16&lt;=$F$16+$F$28,IF($K16&lt;=$F$16,SUM(Y16,AB16,AE16,AH16,AK16,AN16,AQ16,BA16,BD16,BG16)+AV16/$F$14*87,$F$27/$F$28*10^8)*BJ16,""),"")</f>
        <v>811146690.67215347</v>
      </c>
      <c r="BL16" s="158">
        <f t="shared" ref="BL16:BL79" si="32">IF(AND(ISNUMBER(BJ16),$K16&lt;=$F$16),BQ16/$F$14*87*BJ16,"")</f>
        <v>31284555.555555549</v>
      </c>
      <c r="BM16" s="10"/>
      <c r="BN16" s="10">
        <f t="shared" ref="BN16:BN79" si="33">IF(AND(ISNUMBER($F$16),$K16&lt;=$F$16),BQ16*($O$15+$BK$116)/$BL$116,"")</f>
        <v>1166488854.4139216</v>
      </c>
      <c r="BO16" s="10">
        <f t="shared" ref="BO16:BO79" si="34">IF(ISNUMBER(BN16),BN16*$M16,"")</f>
        <v>1099527622.2206821</v>
      </c>
      <c r="BQ16" s="10">
        <f t="shared" si="15"/>
        <v>36490305.599999994</v>
      </c>
      <c r="BR16" s="10">
        <f t="shared" ref="BR16:BR79" si="35">IF(ISNUMBER(BQ16),BQ16*$M16,"")</f>
        <v>34395612.78160052</v>
      </c>
    </row>
    <row r="17" spans="3:70" x14ac:dyDescent="0.15">
      <c r="C17" s="71" t="s">
        <v>109</v>
      </c>
      <c r="F17" s="476">
        <f>IF(ISERROR(VLOOKUP(F3&amp;IF(G4&lt;&gt;"","_"&amp;G4,""),'表7）買取期間・IRR'!$A$14:$C$21,1,0)),"",VLOOKUP(F3&amp;IF(G4&lt;&gt;"","_"&amp;G4,""),'表7）買取期間・IRR'!$A$14:$C$21,IF(F7=2030,3,IF(F7=2020,2,"-")),0))</f>
        <v>8</v>
      </c>
      <c r="G17" s="84" t="s">
        <v>549</v>
      </c>
      <c r="I17" s="38">
        <f t="shared" ref="I17:I80" si="36">I16+1</f>
        <v>2032</v>
      </c>
      <c r="J17" s="39"/>
      <c r="K17" s="39">
        <f t="shared" ref="K17:K80" si="37">IF(I17&lt;&gt;"",K16+1,"")</f>
        <v>3</v>
      </c>
      <c r="L17" s="39"/>
      <c r="M17" s="40">
        <f t="shared" si="0"/>
        <v>0.91514165935315961</v>
      </c>
      <c r="N17" s="39"/>
      <c r="O17" s="72">
        <f t="shared" si="16"/>
        <v>1573046363</v>
      </c>
      <c r="P17" s="41">
        <f t="shared" si="1"/>
        <v>0.16700000000000001</v>
      </c>
      <c r="Q17" s="39"/>
      <c r="R17" s="72">
        <f t="shared" si="17"/>
        <v>1667700990.8600068</v>
      </c>
      <c r="S17" s="39"/>
      <c r="T17" s="72">
        <f t="shared" si="18"/>
        <v>1667700000</v>
      </c>
      <c r="U17" s="39"/>
      <c r="V17" s="72">
        <f t="shared" si="2"/>
        <v>262698742.62100002</v>
      </c>
      <c r="W17" s="72">
        <f t="shared" si="19"/>
        <v>240406563.23217055</v>
      </c>
      <c r="X17" s="39"/>
      <c r="Y17" s="72">
        <f t="shared" si="3"/>
        <v>23347800</v>
      </c>
      <c r="Z17" s="72">
        <f t="shared" si="20"/>
        <v>21366544.434245698</v>
      </c>
      <c r="AA17" s="39"/>
      <c r="AB17" s="72">
        <f t="shared" si="4"/>
        <v>0</v>
      </c>
      <c r="AC17" s="72">
        <f t="shared" si="21"/>
        <v>0</v>
      </c>
      <c r="AD17" s="39"/>
      <c r="AE17" s="72">
        <f t="shared" si="5"/>
        <v>0</v>
      </c>
      <c r="AF17" s="72">
        <f t="shared" si="22"/>
        <v>0</v>
      </c>
      <c r="AG17" s="39"/>
      <c r="AH17" s="10">
        <f t="shared" si="6"/>
        <v>153899999.99999997</v>
      </c>
      <c r="AI17" s="72">
        <f t="shared" si="23"/>
        <v>140840301.37445125</v>
      </c>
      <c r="AJ17" s="39"/>
      <c r="AK17" s="72">
        <f t="shared" si="7"/>
        <v>0</v>
      </c>
      <c r="AL17" s="72">
        <f t="shared" si="24"/>
        <v>0</v>
      </c>
      <c r="AM17" s="39"/>
      <c r="AN17" s="72">
        <f t="shared" si="8"/>
        <v>0</v>
      </c>
      <c r="AO17" s="72">
        <f t="shared" si="25"/>
        <v>0</v>
      </c>
      <c r="AP17" s="39"/>
      <c r="AQ17" s="72">
        <f t="shared" si="9"/>
        <v>0</v>
      </c>
      <c r="AR17" s="72">
        <f t="shared" si="26"/>
        <v>0</v>
      </c>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12</v>
      </c>
      <c r="AU17" s="39"/>
      <c r="AV17" s="72">
        <f t="shared" si="10"/>
        <v>764999999.99999988</v>
      </c>
      <c r="AW17" s="72">
        <f t="shared" si="11"/>
        <v>700083369.40516698</v>
      </c>
      <c r="AX17" s="39"/>
      <c r="AY17" s="40">
        <f>IF(ISERROR(IF($K17&lt;=$F$15,VLOOKUP($I17,'表4）CO2価格'!$A$7:$E$67,VLOOKUP($F$48,'表4）CO2価格'!$H$10:$I$12,2,0),0)*$F$8/1000,"")),0,IF($K17&lt;=$F$15,VLOOKUP($I17,'表4）CO2価格'!$A$7:$E$67,VLOOKUP($F$48,'表4）CO2価格'!$H$10:$I$12,2,0),0)*$F$8/1000,""))</f>
        <v>0</v>
      </c>
      <c r="AZ17" s="39"/>
      <c r="BA17" s="42">
        <f t="shared" si="12"/>
        <v>0</v>
      </c>
      <c r="BB17" s="72">
        <f t="shared" si="27"/>
        <v>0</v>
      </c>
      <c r="BC17" s="39"/>
      <c r="BD17" s="72">
        <f t="shared" si="13"/>
        <v>0</v>
      </c>
      <c r="BE17" s="72">
        <f t="shared" si="28"/>
        <v>0</v>
      </c>
      <c r="BF17" s="39"/>
      <c r="BG17" s="42">
        <f t="shared" si="14"/>
        <v>0</v>
      </c>
      <c r="BH17" s="72">
        <f t="shared" si="29"/>
        <v>0</v>
      </c>
      <c r="BI17" s="39"/>
      <c r="BJ17" s="40">
        <f t="shared" si="30"/>
        <v>0.79383224102016958</v>
      </c>
      <c r="BK17" s="157">
        <f t="shared" si="31"/>
        <v>747986682.67032444</v>
      </c>
      <c r="BL17" s="157">
        <f t="shared" si="32"/>
        <v>28967181.06995884</v>
      </c>
      <c r="BM17" s="72"/>
      <c r="BN17" s="72">
        <f t="shared" si="33"/>
        <v>1166488854.4139216</v>
      </c>
      <c r="BO17" s="72">
        <f t="shared" si="34"/>
        <v>1067502545.8453224</v>
      </c>
      <c r="BP17" s="39"/>
      <c r="BQ17" s="72">
        <f t="shared" si="15"/>
        <v>36490305.599999994</v>
      </c>
      <c r="BR17" s="72">
        <f t="shared" si="35"/>
        <v>33393798.817087889</v>
      </c>
    </row>
    <row r="18" spans="3:70" x14ac:dyDescent="0.15">
      <c r="I18" s="457">
        <f t="shared" si="36"/>
        <v>2033</v>
      </c>
      <c r="K18" s="71">
        <f t="shared" si="37"/>
        <v>4</v>
      </c>
      <c r="M18" s="7">
        <f t="shared" si="0"/>
        <v>0.888487047915689</v>
      </c>
      <c r="O18" s="10">
        <f t="shared" si="16"/>
        <v>1310347620.3789999</v>
      </c>
      <c r="P18" s="29">
        <f t="shared" si="1"/>
        <v>0.16700000000000001</v>
      </c>
      <c r="R18" s="10">
        <f t="shared" si="17"/>
        <v>1430380299.9365981</v>
      </c>
      <c r="T18" s="10">
        <f t="shared" si="18"/>
        <v>1430380000</v>
      </c>
      <c r="V18" s="10">
        <f t="shared" si="2"/>
        <v>218828052.603293</v>
      </c>
      <c r="W18" s="10">
        <f t="shared" si="19"/>
        <v>194425890.45863891</v>
      </c>
      <c r="Y18" s="10">
        <f t="shared" si="3"/>
        <v>20025300</v>
      </c>
      <c r="Z18" s="10">
        <f t="shared" si="20"/>
        <v>17792219.680626046</v>
      </c>
      <c r="AB18" s="10">
        <f t="shared" si="4"/>
        <v>0</v>
      </c>
      <c r="AC18" s="10">
        <f t="shared" si="21"/>
        <v>0</v>
      </c>
      <c r="AE18" s="10">
        <f t="shared" si="5"/>
        <v>0</v>
      </c>
      <c r="AF18" s="10">
        <f t="shared" si="22"/>
        <v>0</v>
      </c>
      <c r="AH18" s="10">
        <f>IF($K15&lt;=$F$15,$F$33*10^4*$F$13*10^4,"")</f>
        <v>153899999.99999997</v>
      </c>
      <c r="AI18" s="10">
        <f t="shared" si="23"/>
        <v>136738156.6742245</v>
      </c>
      <c r="AK18" s="10">
        <f t="shared" si="7"/>
        <v>0</v>
      </c>
      <c r="AL18" s="10">
        <f t="shared" si="24"/>
        <v>0</v>
      </c>
      <c r="AN18" s="10">
        <f t="shared" si="8"/>
        <v>0</v>
      </c>
      <c r="AO18" s="10">
        <f t="shared" si="25"/>
        <v>0</v>
      </c>
      <c r="AQ18" s="10">
        <f t="shared" si="9"/>
        <v>0</v>
      </c>
      <c r="AR18" s="10">
        <f t="shared" si="26"/>
        <v>0</v>
      </c>
      <c r="AT18" s="7">
        <f>IF($K18&lt;=$F$15,IF($F$40&lt;&gt;"",$F$40/1000,IF(ISERROR(VLOOKUP($F$3&amp;IF($G$4&lt;&gt;"",$G$4,"")&amp;IF($F$43&lt;&gt;"","_"&amp;$F$43,""),'表3）燃料価格'!$AF$9:$AG$25,2,0)),0,VLOOKUP($I18,'表3）燃料価格'!$A$6:$U$66,VLOOKUP($F$3&amp;IF($G$4&lt;&gt;"",$G$4,"")&amp;IF($F$43&lt;&gt;"","_"&amp;$F$43,""),'表3）燃料価格'!$AF$9:$AG$25,2,0)+VLOOKUP($F$41,'表3）燃料価格'!$AF$28:$AG$29,2,0),0)*IF($F$43="需要地価格",1,$F$8/$F$141))),"")</f>
        <v>12</v>
      </c>
      <c r="AV18" s="10">
        <f t="shared" si="10"/>
        <v>764999999.99999988</v>
      </c>
      <c r="AW18" s="10">
        <f t="shared" si="11"/>
        <v>679692591.65550196</v>
      </c>
      <c r="AY18" s="7">
        <f>IF(ISERROR(IF($K18&lt;=$F$15,VLOOKUP($I18,'表4）CO2価格'!$A$7:$E$67,VLOOKUP($F$48,'表4）CO2価格'!$H$10:$I$12,2,0),0)*$F$8/1000,"")),0,IF($K18&lt;=$F$15,VLOOKUP($I18,'表4）CO2価格'!$A$7:$E$67,VLOOKUP($F$48,'表4）CO2価格'!$H$10:$I$12,2,0),0)*$F$8/1000,""))</f>
        <v>0</v>
      </c>
      <c r="BA18" s="11">
        <f t="shared" si="12"/>
        <v>0</v>
      </c>
      <c r="BB18" s="10">
        <f t="shared" si="27"/>
        <v>0</v>
      </c>
      <c r="BD18" s="10">
        <f t="shared" si="13"/>
        <v>0</v>
      </c>
      <c r="BE18" s="10">
        <f t="shared" si="28"/>
        <v>0</v>
      </c>
      <c r="BG18" s="11">
        <f t="shared" si="14"/>
        <v>0</v>
      </c>
      <c r="BH18" s="10">
        <f t="shared" si="29"/>
        <v>0</v>
      </c>
      <c r="BJ18" s="7">
        <f t="shared" si="30"/>
        <v>0.73502985279645328</v>
      </c>
      <c r="BK18" s="158">
        <f t="shared" si="31"/>
        <v>690138125.04586565</v>
      </c>
      <c r="BL18" s="158">
        <f t="shared" si="32"/>
        <v>26821463.953665592</v>
      </c>
      <c r="BM18" s="10"/>
      <c r="BN18" s="10">
        <f t="shared" si="33"/>
        <v>1166488854.4139216</v>
      </c>
      <c r="BO18" s="10">
        <f t="shared" si="34"/>
        <v>1036410238.6847792</v>
      </c>
      <c r="BQ18" s="10">
        <f t="shared" si="15"/>
        <v>36490305.599999994</v>
      </c>
      <c r="BR18" s="10">
        <f t="shared" si="35"/>
        <v>32421163.90008533</v>
      </c>
    </row>
    <row r="19" spans="3:70" x14ac:dyDescent="0.15">
      <c r="C19" s="4" t="s">
        <v>557</v>
      </c>
      <c r="D19" s="100"/>
      <c r="E19" s="100"/>
      <c r="F19" s="4"/>
      <c r="G19" s="100"/>
      <c r="I19" s="38">
        <f t="shared" si="36"/>
        <v>2034</v>
      </c>
      <c r="J19" s="39"/>
      <c r="K19" s="39">
        <f t="shared" si="37"/>
        <v>5</v>
      </c>
      <c r="L19" s="39"/>
      <c r="M19" s="40">
        <f t="shared" si="0"/>
        <v>0.86260878438416411</v>
      </c>
      <c r="N19" s="39"/>
      <c r="O19" s="72">
        <f t="shared" si="16"/>
        <v>1091519567.775707</v>
      </c>
      <c r="P19" s="41">
        <f t="shared" si="1"/>
        <v>0.16700000000000001</v>
      </c>
      <c r="Q19" s="39"/>
      <c r="R19" s="72">
        <f t="shared" si="17"/>
        <v>1226831316.6808331</v>
      </c>
      <c r="S19" s="39"/>
      <c r="T19" s="72">
        <f t="shared" si="18"/>
        <v>1226831000</v>
      </c>
      <c r="U19" s="39"/>
      <c r="V19" s="72">
        <f t="shared" si="2"/>
        <v>182283767.81854308</v>
      </c>
      <c r="W19" s="72">
        <f t="shared" si="19"/>
        <v>157239579.37091866</v>
      </c>
      <c r="X19" s="39"/>
      <c r="Y19" s="72">
        <f t="shared" si="3"/>
        <v>17175600</v>
      </c>
      <c r="Z19" s="72">
        <f t="shared" si="20"/>
        <v>14815823.437068649</v>
      </c>
      <c r="AA19" s="39"/>
      <c r="AB19" s="72">
        <f t="shared" si="4"/>
        <v>0</v>
      </c>
      <c r="AC19" s="72">
        <f t="shared" si="21"/>
        <v>0</v>
      </c>
      <c r="AD19" s="39"/>
      <c r="AE19" s="72">
        <f t="shared" si="5"/>
        <v>0</v>
      </c>
      <c r="AF19" s="72">
        <f t="shared" si="22"/>
        <v>0</v>
      </c>
      <c r="AG19" s="39"/>
      <c r="AH19" s="10">
        <f t="shared" ref="AH19:AH54" si="38">IF($K16&lt;=$F$15,$F$33*10^4*$F$13*10^4,"")</f>
        <v>153899999.99999997</v>
      </c>
      <c r="AI19" s="72">
        <f t="shared" si="23"/>
        <v>132755491.91672283</v>
      </c>
      <c r="AJ19" s="39"/>
      <c r="AK19" s="72">
        <f t="shared" si="7"/>
        <v>0</v>
      </c>
      <c r="AL19" s="72">
        <f t="shared" si="24"/>
        <v>0</v>
      </c>
      <c r="AM19" s="39"/>
      <c r="AN19" s="72">
        <f t="shared" si="8"/>
        <v>0</v>
      </c>
      <c r="AO19" s="72">
        <f t="shared" si="25"/>
        <v>0</v>
      </c>
      <c r="AP19" s="39"/>
      <c r="AQ19" s="72">
        <f t="shared" si="9"/>
        <v>0</v>
      </c>
      <c r="AR19" s="72">
        <f t="shared" si="26"/>
        <v>0</v>
      </c>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12</v>
      </c>
      <c r="AU19" s="39"/>
      <c r="AV19" s="72">
        <f t="shared" si="10"/>
        <v>764999999.99999988</v>
      </c>
      <c r="AW19" s="72">
        <f t="shared" si="11"/>
        <v>659895720.05388546</v>
      </c>
      <c r="AX19" s="39"/>
      <c r="AY19" s="40">
        <f>IF(ISERROR(IF($K19&lt;=$F$15,VLOOKUP($I19,'表4）CO2価格'!$A$7:$E$67,VLOOKUP($F$48,'表4）CO2価格'!$H$10:$I$12,2,0),0)*$F$8/1000,"")),0,IF($K19&lt;=$F$15,VLOOKUP($I19,'表4）CO2価格'!$A$7:$E$67,VLOOKUP($F$48,'表4）CO2価格'!$H$10:$I$12,2,0),0)*$F$8/1000,""))</f>
        <v>0</v>
      </c>
      <c r="AZ19" s="39"/>
      <c r="BA19" s="42">
        <f t="shared" si="12"/>
        <v>0</v>
      </c>
      <c r="BB19" s="72">
        <f t="shared" si="27"/>
        <v>0</v>
      </c>
      <c r="BC19" s="39"/>
      <c r="BD19" s="72">
        <f t="shared" si="13"/>
        <v>0</v>
      </c>
      <c r="BE19" s="72">
        <f t="shared" si="28"/>
        <v>0</v>
      </c>
      <c r="BF19" s="39"/>
      <c r="BG19" s="42">
        <f t="shared" si="14"/>
        <v>0</v>
      </c>
      <c r="BH19" s="72">
        <f t="shared" si="29"/>
        <v>0</v>
      </c>
      <c r="BI19" s="39"/>
      <c r="BJ19" s="40">
        <f t="shared" si="30"/>
        <v>0.68058319703375303</v>
      </c>
      <c r="BK19" s="157">
        <f t="shared" si="31"/>
        <v>637077324.5132885</v>
      </c>
      <c r="BL19" s="157">
        <f t="shared" si="32"/>
        <v>24834688.845986657</v>
      </c>
      <c r="BM19" s="72"/>
      <c r="BN19" s="72">
        <f t="shared" si="33"/>
        <v>1166488854.4139216</v>
      </c>
      <c r="BO19" s="72">
        <f t="shared" si="34"/>
        <v>1006223532.7036691</v>
      </c>
      <c r="BP19" s="39"/>
      <c r="BQ19" s="72">
        <f t="shared" si="15"/>
        <v>36490305.599999994</v>
      </c>
      <c r="BR19" s="72">
        <f t="shared" si="35"/>
        <v>31476858.15542265</v>
      </c>
    </row>
    <row r="20" spans="3:70" x14ac:dyDescent="0.15">
      <c r="I20" s="457">
        <f t="shared" si="36"/>
        <v>2035</v>
      </c>
      <c r="K20" s="71">
        <f t="shared" si="37"/>
        <v>6</v>
      </c>
      <c r="M20" s="7">
        <f t="shared" si="0"/>
        <v>0.83748425668365445</v>
      </c>
      <c r="O20" s="10">
        <f t="shared" si="16"/>
        <v>909235799.95716393</v>
      </c>
      <c r="P20" s="29">
        <f t="shared" si="1"/>
        <v>0.16700000000000001</v>
      </c>
      <c r="R20" s="10">
        <f t="shared" si="17"/>
        <v>1052248188.580017</v>
      </c>
      <c r="T20" s="10">
        <f t="shared" si="18"/>
        <v>1052248000</v>
      </c>
      <c r="V20" s="10">
        <f t="shared" si="2"/>
        <v>151842378.59284639</v>
      </c>
      <c r="W20" s="10">
        <f t="shared" si="19"/>
        <v>127165601.56890801</v>
      </c>
      <c r="Y20" s="10">
        <f t="shared" si="3"/>
        <v>14731400</v>
      </c>
      <c r="Z20" s="10">
        <f t="shared" si="20"/>
        <v>12337315.578909587</v>
      </c>
      <c r="AB20" s="10">
        <f t="shared" si="4"/>
        <v>0</v>
      </c>
      <c r="AC20" s="10">
        <f t="shared" si="21"/>
        <v>0</v>
      </c>
      <c r="AE20" s="10">
        <f t="shared" si="5"/>
        <v>0</v>
      </c>
      <c r="AF20" s="10">
        <f t="shared" si="22"/>
        <v>0</v>
      </c>
      <c r="AH20" s="10">
        <f t="shared" si="38"/>
        <v>153899999.99999997</v>
      </c>
      <c r="AI20" s="10">
        <f t="shared" si="23"/>
        <v>128888827.10361439</v>
      </c>
      <c r="AK20" s="10">
        <f t="shared" si="7"/>
        <v>0</v>
      </c>
      <c r="AL20" s="10">
        <f t="shared" si="24"/>
        <v>0</v>
      </c>
      <c r="AN20" s="10">
        <f t="shared" si="8"/>
        <v>0</v>
      </c>
      <c r="AO20" s="10">
        <f t="shared" si="25"/>
        <v>0</v>
      </c>
      <c r="AQ20" s="10">
        <f t="shared" si="9"/>
        <v>0</v>
      </c>
      <c r="AR20" s="10">
        <f t="shared" si="26"/>
        <v>0</v>
      </c>
      <c r="AT20" s="7">
        <f>IF($K20&lt;=$F$15,IF($F$40&lt;&gt;"",$F$40/1000,IF(ISERROR(VLOOKUP($F$3&amp;IF($G$4&lt;&gt;"",$G$4,"")&amp;IF($F$43&lt;&gt;"","_"&amp;$F$43,""),'表3）燃料価格'!$AF$9:$AG$25,2,0)),0,VLOOKUP($I20,'表3）燃料価格'!$A$6:$U$66,VLOOKUP($F$3&amp;IF($G$4&lt;&gt;"",$G$4,"")&amp;IF($F$43&lt;&gt;"","_"&amp;$F$43,""),'表3）燃料価格'!$AF$9:$AG$25,2,0)+VLOOKUP($F$41,'表3）燃料価格'!$AF$28:$AG$29,2,0),0)*IF($F$43="需要地価格",1,$F$8/$F$141))),"")</f>
        <v>12</v>
      </c>
      <c r="AV20" s="10">
        <f t="shared" si="10"/>
        <v>764999999.99999988</v>
      </c>
      <c r="AW20" s="10">
        <f t="shared" si="11"/>
        <v>640675456.36299551</v>
      </c>
      <c r="AY20" s="7">
        <f>IF(ISERROR(IF($K20&lt;=$F$15,VLOOKUP($I20,'表4）CO2価格'!$A$7:$E$67,VLOOKUP($F$48,'表4）CO2価格'!$H$10:$I$12,2,0),0)*$F$8/1000,"")),0,IF($K20&lt;=$F$15,VLOOKUP($I20,'表4）CO2価格'!$A$7:$E$67,VLOOKUP($F$48,'表4）CO2価格'!$H$10:$I$12,2,0),0)*$F$8/1000,""))</f>
        <v>0</v>
      </c>
      <c r="BA20" s="11">
        <f t="shared" si="12"/>
        <v>0</v>
      </c>
      <c r="BB20" s="10">
        <f t="shared" si="27"/>
        <v>0</v>
      </c>
      <c r="BD20" s="10">
        <f t="shared" si="13"/>
        <v>0</v>
      </c>
      <c r="BE20" s="10">
        <f t="shared" si="28"/>
        <v>0</v>
      </c>
      <c r="BG20" s="11">
        <f t="shared" si="14"/>
        <v>0</v>
      </c>
      <c r="BH20" s="10">
        <f t="shared" si="29"/>
        <v>0</v>
      </c>
      <c r="BJ20" s="7">
        <f t="shared" si="30"/>
        <v>0.63016962688310452</v>
      </c>
      <c r="BK20" s="158">
        <f t="shared" si="31"/>
        <v>588346150.98435044</v>
      </c>
      <c r="BL20" s="158">
        <f t="shared" si="32"/>
        <v>22995082.264802456</v>
      </c>
      <c r="BM20" s="10"/>
      <c r="BN20" s="10">
        <f t="shared" si="33"/>
        <v>1166488854.4139216</v>
      </c>
      <c r="BO20" s="10">
        <f t="shared" si="34"/>
        <v>976916051.16861069</v>
      </c>
      <c r="BQ20" s="10">
        <f t="shared" si="15"/>
        <v>36490305.599999994</v>
      </c>
      <c r="BR20" s="10">
        <f t="shared" si="35"/>
        <v>30560056.461575389</v>
      </c>
    </row>
    <row r="21" spans="3:70" x14ac:dyDescent="0.15">
      <c r="D21" s="84" t="s">
        <v>558</v>
      </c>
      <c r="F21" s="477">
        <f>41-7000/5700</f>
        <v>39.771929824561404</v>
      </c>
      <c r="G21" s="84" t="s">
        <v>559</v>
      </c>
      <c r="I21" s="38">
        <f t="shared" si="36"/>
        <v>2036</v>
      </c>
      <c r="J21" s="39"/>
      <c r="K21" s="39">
        <f t="shared" si="37"/>
        <v>7</v>
      </c>
      <c r="L21" s="39"/>
      <c r="M21" s="40">
        <f t="shared" si="0"/>
        <v>0.81309151134335378</v>
      </c>
      <c r="N21" s="39"/>
      <c r="O21" s="72">
        <f t="shared" si="16"/>
        <v>757393421.36431754</v>
      </c>
      <c r="P21" s="41">
        <f t="shared" si="1"/>
        <v>0.16700000000000001</v>
      </c>
      <c r="Q21" s="39"/>
      <c r="R21" s="72">
        <f t="shared" si="17"/>
        <v>902508955.64477825</v>
      </c>
      <c r="S21" s="39"/>
      <c r="T21" s="72">
        <f t="shared" si="18"/>
        <v>902508000</v>
      </c>
      <c r="U21" s="39"/>
      <c r="V21" s="72">
        <f t="shared" si="2"/>
        <v>126484701.36784104</v>
      </c>
      <c r="W21" s="72">
        <f t="shared" si="19"/>
        <v>102843636.99699064</v>
      </c>
      <c r="X21" s="39"/>
      <c r="Y21" s="72">
        <f t="shared" si="3"/>
        <v>12635100</v>
      </c>
      <c r="Z21" s="72">
        <f t="shared" si="20"/>
        <v>10273492.554974409</v>
      </c>
      <c r="AA21" s="39"/>
      <c r="AB21" s="72">
        <f t="shared" si="4"/>
        <v>0</v>
      </c>
      <c r="AC21" s="72">
        <f t="shared" si="21"/>
        <v>0</v>
      </c>
      <c r="AD21" s="39"/>
      <c r="AE21" s="72">
        <f t="shared" si="5"/>
        <v>0</v>
      </c>
      <c r="AF21" s="72">
        <f t="shared" si="22"/>
        <v>0</v>
      </c>
      <c r="AG21" s="39"/>
      <c r="AH21" s="10">
        <f t="shared" si="38"/>
        <v>153899999.99999997</v>
      </c>
      <c r="AI21" s="72">
        <f t="shared" si="23"/>
        <v>125134783.59574212</v>
      </c>
      <c r="AJ21" s="39"/>
      <c r="AK21" s="72">
        <f t="shared" si="7"/>
        <v>0</v>
      </c>
      <c r="AL21" s="72">
        <f t="shared" si="24"/>
        <v>0</v>
      </c>
      <c r="AM21" s="39"/>
      <c r="AN21" s="72">
        <f t="shared" si="8"/>
        <v>0</v>
      </c>
      <c r="AO21" s="72">
        <f t="shared" si="25"/>
        <v>0</v>
      </c>
      <c r="AP21" s="39"/>
      <c r="AQ21" s="72">
        <f t="shared" si="9"/>
        <v>0</v>
      </c>
      <c r="AR21" s="72">
        <f t="shared" si="26"/>
        <v>0</v>
      </c>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12</v>
      </c>
      <c r="AU21" s="39"/>
      <c r="AV21" s="72">
        <f t="shared" si="10"/>
        <v>764999999.99999988</v>
      </c>
      <c r="AW21" s="72">
        <f t="shared" si="11"/>
        <v>622015006.17766559</v>
      </c>
      <c r="AX21" s="39"/>
      <c r="AY21" s="40">
        <f>IF(ISERROR(IF($K21&lt;=$F$15,VLOOKUP($I21,'表4）CO2価格'!$A$7:$E$67,VLOOKUP($F$48,'表4）CO2価格'!$H$10:$I$12,2,0),0)*$F$8/1000,"")),0,IF($K21&lt;=$F$15,VLOOKUP($I21,'表4）CO2価格'!$A$7:$E$67,VLOOKUP($F$48,'表4）CO2価格'!$H$10:$I$12,2,0),0)*$F$8/1000,""))</f>
        <v>0</v>
      </c>
      <c r="AZ21" s="39"/>
      <c r="BA21" s="42">
        <f t="shared" si="12"/>
        <v>0</v>
      </c>
      <c r="BB21" s="72">
        <f t="shared" si="27"/>
        <v>0</v>
      </c>
      <c r="BC21" s="39"/>
      <c r="BD21" s="72">
        <f t="shared" si="13"/>
        <v>0</v>
      </c>
      <c r="BE21" s="72">
        <f t="shared" si="28"/>
        <v>0</v>
      </c>
      <c r="BF21" s="39"/>
      <c r="BG21" s="42">
        <f t="shared" si="14"/>
        <v>0</v>
      </c>
      <c r="BH21" s="72">
        <f t="shared" si="29"/>
        <v>0</v>
      </c>
      <c r="BI21" s="39"/>
      <c r="BJ21" s="40">
        <f t="shared" si="30"/>
        <v>0.58349039526213387</v>
      </c>
      <c r="BK21" s="157">
        <f t="shared" si="31"/>
        <v>543541783.69955134</v>
      </c>
      <c r="BL21" s="157">
        <f t="shared" si="32"/>
        <v>21291742.837780055</v>
      </c>
      <c r="BM21" s="72"/>
      <c r="BN21" s="72">
        <f t="shared" si="33"/>
        <v>1166488854.4139216</v>
      </c>
      <c r="BO21" s="72">
        <f t="shared" si="34"/>
        <v>948462185.60059285</v>
      </c>
      <c r="BP21" s="39"/>
      <c r="BQ21" s="72">
        <f t="shared" si="15"/>
        <v>36490305.599999994</v>
      </c>
      <c r="BR21" s="72">
        <f t="shared" si="35"/>
        <v>29669957.729684841</v>
      </c>
    </row>
    <row r="22" spans="3:70" ht="16.5" x14ac:dyDescent="0.15">
      <c r="D22" s="160" t="s">
        <v>250</v>
      </c>
      <c r="F22" s="501">
        <v>60000</v>
      </c>
      <c r="G22" s="71" t="s">
        <v>645</v>
      </c>
      <c r="I22" s="457">
        <f t="shared" si="36"/>
        <v>2037</v>
      </c>
      <c r="K22" s="71">
        <f t="shared" si="37"/>
        <v>8</v>
      </c>
      <c r="M22" s="7">
        <f t="shared" si="0"/>
        <v>0.78940923431393573</v>
      </c>
      <c r="O22" s="10">
        <f t="shared" si="16"/>
        <v>630908719.99647653</v>
      </c>
      <c r="P22" s="29">
        <f t="shared" si="1"/>
        <v>0.16700000000000001</v>
      </c>
      <c r="R22" s="10">
        <f t="shared" si="17"/>
        <v>774078229.69807744</v>
      </c>
      <c r="T22" s="10">
        <f t="shared" si="18"/>
        <v>774078000</v>
      </c>
      <c r="V22" s="10">
        <f t="shared" si="2"/>
        <v>105361756.23941159</v>
      </c>
      <c r="W22" s="10">
        <f t="shared" si="19"/>
        <v>83173543.31892544</v>
      </c>
      <c r="Y22" s="10">
        <f t="shared" si="3"/>
        <v>10837000</v>
      </c>
      <c r="Z22" s="10">
        <f t="shared" si="20"/>
        <v>8554827.8722601216</v>
      </c>
      <c r="AB22" s="10">
        <f t="shared" si="4"/>
        <v>0</v>
      </c>
      <c r="AC22" s="10">
        <f t="shared" si="21"/>
        <v>0</v>
      </c>
      <c r="AE22" s="10">
        <f t="shared" si="5"/>
        <v>0</v>
      </c>
      <c r="AF22" s="10">
        <f t="shared" si="22"/>
        <v>0</v>
      </c>
      <c r="AH22" s="10">
        <f t="shared" si="38"/>
        <v>153899999.99999997</v>
      </c>
      <c r="AI22" s="10">
        <f t="shared" si="23"/>
        <v>121490081.16091469</v>
      </c>
      <c r="AK22" s="10">
        <f t="shared" si="7"/>
        <v>0</v>
      </c>
      <c r="AL22" s="10">
        <f t="shared" si="24"/>
        <v>0</v>
      </c>
      <c r="AN22" s="10">
        <f t="shared" si="8"/>
        <v>0</v>
      </c>
      <c r="AO22" s="10">
        <f t="shared" si="25"/>
        <v>0</v>
      </c>
      <c r="AQ22" s="10">
        <f t="shared" si="9"/>
        <v>0</v>
      </c>
      <c r="AR22" s="10">
        <f t="shared" si="26"/>
        <v>0</v>
      </c>
      <c r="AT22" s="7">
        <f>IF($K22&lt;=$F$15,IF($F$40&lt;&gt;"",$F$40/1000,IF(ISERROR(VLOOKUP($F$3&amp;IF($G$4&lt;&gt;"",$G$4,"")&amp;IF($F$43&lt;&gt;"","_"&amp;$F$43,""),'表3）燃料価格'!$AF$9:$AG$25,2,0)),0,VLOOKUP($I22,'表3）燃料価格'!$A$6:$U$66,VLOOKUP($F$3&amp;IF($G$4&lt;&gt;"",$G$4,"")&amp;IF($F$43&lt;&gt;"","_"&amp;$F$43,""),'表3）燃料価格'!$AF$9:$AG$25,2,0)+VLOOKUP($F$41,'表3）燃料価格'!$AF$28:$AG$29,2,0),0)*IF($F$43="需要地価格",1,$F$8/$F$141))),"")</f>
        <v>12</v>
      </c>
      <c r="AV22" s="10">
        <f t="shared" si="10"/>
        <v>764999999.99999988</v>
      </c>
      <c r="AW22" s="10">
        <f t="shared" si="11"/>
        <v>603898064.25016069</v>
      </c>
      <c r="AY22" s="7">
        <f>IF(ISERROR(IF($K22&lt;=$F$15,VLOOKUP($I22,'表4）CO2価格'!$A$7:$E$67,VLOOKUP($F$48,'表4）CO2価格'!$H$10:$I$12,2,0),0)*$F$8/1000,"")),0,IF($K22&lt;=$F$15,VLOOKUP($I22,'表4）CO2価格'!$A$7:$E$67,VLOOKUP($F$48,'表4）CO2価格'!$H$10:$I$12,2,0),0)*$F$8/1000,""))</f>
        <v>0</v>
      </c>
      <c r="BA22" s="11">
        <f t="shared" si="12"/>
        <v>0</v>
      </c>
      <c r="BB22" s="10">
        <f t="shared" si="27"/>
        <v>0</v>
      </c>
      <c r="BD22" s="10">
        <f t="shared" si="13"/>
        <v>0</v>
      </c>
      <c r="BE22" s="10">
        <f t="shared" si="28"/>
        <v>0</v>
      </c>
      <c r="BG22" s="11">
        <f t="shared" si="14"/>
        <v>0</v>
      </c>
      <c r="BH22" s="10">
        <f t="shared" si="29"/>
        <v>0</v>
      </c>
      <c r="BJ22" s="7">
        <f t="shared" si="30"/>
        <v>0.54026888450197574</v>
      </c>
      <c r="BK22" s="158">
        <f t="shared" si="31"/>
        <v>502307971.87021333</v>
      </c>
      <c r="BL22" s="158">
        <f t="shared" si="32"/>
        <v>19714576.701648194</v>
      </c>
      <c r="BM22" s="10"/>
      <c r="BN22" s="10">
        <f t="shared" si="33"/>
        <v>1166488854.4139216</v>
      </c>
      <c r="BO22" s="10">
        <f t="shared" si="34"/>
        <v>920837073.39863384</v>
      </c>
      <c r="BQ22" s="10">
        <f t="shared" si="15"/>
        <v>36490305.599999994</v>
      </c>
      <c r="BR22" s="10">
        <f t="shared" si="35"/>
        <v>28805784.203577515</v>
      </c>
    </row>
    <row r="23" spans="3:70" x14ac:dyDescent="0.15">
      <c r="D23" s="84" t="s">
        <v>562</v>
      </c>
      <c r="F23" s="479"/>
      <c r="G23" s="84" t="s">
        <v>549</v>
      </c>
      <c r="I23" s="38">
        <f t="shared" si="36"/>
        <v>2038</v>
      </c>
      <c r="J23" s="39"/>
      <c r="K23" s="39">
        <f t="shared" si="37"/>
        <v>9</v>
      </c>
      <c r="L23" s="39"/>
      <c r="M23" s="40">
        <f t="shared" si="0"/>
        <v>0.76641673234362695</v>
      </c>
      <c r="N23" s="39"/>
      <c r="O23" s="72">
        <f t="shared" si="16"/>
        <v>525546963.75706494</v>
      </c>
      <c r="P23" s="41">
        <f t="shared" si="1"/>
        <v>0.16700000000000001</v>
      </c>
      <c r="Q23" s="39"/>
      <c r="R23" s="72">
        <f t="shared" si="17"/>
        <v>663923722.80054104</v>
      </c>
      <c r="S23" s="39"/>
      <c r="T23" s="72">
        <f t="shared" si="18"/>
        <v>663923000</v>
      </c>
      <c r="U23" s="39"/>
      <c r="V23" s="72">
        <f t="shared" si="2"/>
        <v>87766342.947429851</v>
      </c>
      <c r="W23" s="72">
        <f t="shared" si="19"/>
        <v>67265593.771519318</v>
      </c>
      <c r="X23" s="39"/>
      <c r="Y23" s="72">
        <f t="shared" si="3"/>
        <v>9294900</v>
      </c>
      <c r="Z23" s="72">
        <f t="shared" si="20"/>
        <v>7123766.8854607781</v>
      </c>
      <c r="AA23" s="39"/>
      <c r="AB23" s="72">
        <f t="shared" si="4"/>
        <v>0</v>
      </c>
      <c r="AC23" s="72">
        <f t="shared" si="21"/>
        <v>0</v>
      </c>
      <c r="AD23" s="39"/>
      <c r="AE23" s="72">
        <f t="shared" si="5"/>
        <v>0</v>
      </c>
      <c r="AF23" s="72">
        <f t="shared" si="22"/>
        <v>0</v>
      </c>
      <c r="AG23" s="39"/>
      <c r="AH23" s="10">
        <f t="shared" si="38"/>
        <v>153899999.99999997</v>
      </c>
      <c r="AI23" s="72">
        <f t="shared" si="23"/>
        <v>117951535.10768417</v>
      </c>
      <c r="AJ23" s="39"/>
      <c r="AK23" s="72">
        <f t="shared" si="7"/>
        <v>0</v>
      </c>
      <c r="AL23" s="72">
        <f t="shared" si="24"/>
        <v>0</v>
      </c>
      <c r="AM23" s="39"/>
      <c r="AN23" s="72">
        <f t="shared" si="8"/>
        <v>0</v>
      </c>
      <c r="AO23" s="72">
        <f t="shared" si="25"/>
        <v>0</v>
      </c>
      <c r="AP23" s="39"/>
      <c r="AQ23" s="72">
        <f t="shared" si="9"/>
        <v>0</v>
      </c>
      <c r="AR23" s="72">
        <f t="shared" si="26"/>
        <v>0</v>
      </c>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12</v>
      </c>
      <c r="AU23" s="39"/>
      <c r="AV23" s="72">
        <f t="shared" si="10"/>
        <v>764999999.99999988</v>
      </c>
      <c r="AW23" s="72">
        <f t="shared" si="11"/>
        <v>586308800.2428745</v>
      </c>
      <c r="AX23" s="39"/>
      <c r="AY23" s="40">
        <f>IF(ISERROR(IF($K23&lt;=$F$15,VLOOKUP($I23,'表4）CO2価格'!$A$7:$E$67,VLOOKUP($F$48,'表4）CO2価格'!$H$10:$I$12,2,0),0)*$F$8/1000,"")),0,IF($K23&lt;=$F$15,VLOOKUP($I23,'表4）CO2価格'!$A$7:$E$67,VLOOKUP($F$48,'表4）CO2価格'!$H$10:$I$12,2,0),0)*$F$8/1000,""))</f>
        <v>0</v>
      </c>
      <c r="AZ23" s="39"/>
      <c r="BA23" s="42">
        <f t="shared" si="12"/>
        <v>0</v>
      </c>
      <c r="BB23" s="72">
        <f t="shared" si="27"/>
        <v>0</v>
      </c>
      <c r="BC23" s="39"/>
      <c r="BD23" s="72">
        <f t="shared" si="13"/>
        <v>0</v>
      </c>
      <c r="BE23" s="72">
        <f t="shared" si="28"/>
        <v>0</v>
      </c>
      <c r="BF23" s="39"/>
      <c r="BG23" s="42">
        <f t="shared" si="14"/>
        <v>0</v>
      </c>
      <c r="BH23" s="72">
        <f t="shared" si="29"/>
        <v>0</v>
      </c>
      <c r="BI23" s="39"/>
      <c r="BJ23" s="40">
        <f t="shared" si="30"/>
        <v>0.50024896713145905</v>
      </c>
      <c r="BK23" s="157">
        <f t="shared" si="31"/>
        <v>464328540.02168787</v>
      </c>
      <c r="BL23" s="157">
        <f t="shared" si="32"/>
        <v>18254237.686711293</v>
      </c>
      <c r="BM23" s="72"/>
      <c r="BN23" s="72">
        <f t="shared" si="33"/>
        <v>1166488854.4139216</v>
      </c>
      <c r="BO23" s="72">
        <f t="shared" si="34"/>
        <v>894016576.11517859</v>
      </c>
      <c r="BP23" s="39"/>
      <c r="BQ23" s="72">
        <f t="shared" si="15"/>
        <v>36490305.599999994</v>
      </c>
      <c r="BR23" s="72">
        <f t="shared" si="35"/>
        <v>27966780.780172348</v>
      </c>
    </row>
    <row r="24" spans="3:70" x14ac:dyDescent="0.15">
      <c r="D24" s="84" t="s">
        <v>563</v>
      </c>
      <c r="F24" s="480">
        <v>16</v>
      </c>
      <c r="G24" s="84" t="s">
        <v>549</v>
      </c>
      <c r="I24" s="457">
        <f t="shared" si="36"/>
        <v>2039</v>
      </c>
      <c r="K24" s="71">
        <f t="shared" si="37"/>
        <v>10</v>
      </c>
      <c r="M24" s="7">
        <f t="shared" si="0"/>
        <v>0.74409391489672516</v>
      </c>
      <c r="O24" s="10">
        <f t="shared" si="16"/>
        <v>437780620.8096351</v>
      </c>
      <c r="P24" s="29">
        <f t="shared" si="1"/>
        <v>0.16700000000000001</v>
      </c>
      <c r="R24" s="10">
        <f t="shared" si="17"/>
        <v>569444654.02322173</v>
      </c>
      <c r="T24" s="10">
        <f t="shared" si="18"/>
        <v>569444000</v>
      </c>
      <c r="V24" s="10">
        <f t="shared" si="2"/>
        <v>73109363.67520906</v>
      </c>
      <c r="W24" s="10">
        <f t="shared" si="19"/>
        <v>54400232.632694744</v>
      </c>
      <c r="Y24" s="10">
        <f t="shared" si="3"/>
        <v>7972200</v>
      </c>
      <c r="Z24" s="10">
        <f t="shared" si="20"/>
        <v>5932065.5083396723</v>
      </c>
      <c r="AB24" s="10">
        <f t="shared" si="4"/>
        <v>0</v>
      </c>
      <c r="AC24" s="10">
        <f t="shared" si="21"/>
        <v>0</v>
      </c>
      <c r="AE24" s="10">
        <f t="shared" si="5"/>
        <v>0</v>
      </c>
      <c r="AF24" s="10">
        <f t="shared" si="22"/>
        <v>0</v>
      </c>
      <c r="AH24" s="10">
        <f t="shared" si="38"/>
        <v>153899999.99999997</v>
      </c>
      <c r="AI24" s="10">
        <f t="shared" si="23"/>
        <v>114516053.50260597</v>
      </c>
      <c r="AK24" s="10">
        <f t="shared" si="7"/>
        <v>0</v>
      </c>
      <c r="AL24" s="10">
        <f t="shared" si="24"/>
        <v>0</v>
      </c>
      <c r="AN24" s="10">
        <f t="shared" si="8"/>
        <v>0</v>
      </c>
      <c r="AO24" s="10">
        <f t="shared" si="25"/>
        <v>0</v>
      </c>
      <c r="AQ24" s="10">
        <f t="shared" si="9"/>
        <v>0</v>
      </c>
      <c r="AR24" s="10">
        <f t="shared" si="26"/>
        <v>0</v>
      </c>
      <c r="AT24" s="7">
        <f>IF($K24&lt;=$F$15,IF($F$40&lt;&gt;"",$F$40/1000,IF(ISERROR(VLOOKUP($F$3&amp;IF($G$4&lt;&gt;"",$G$4,"")&amp;IF($F$43&lt;&gt;"","_"&amp;$F$43,""),'表3）燃料価格'!$AF$9:$AG$25,2,0)),0,VLOOKUP($I24,'表3）燃料価格'!$A$6:$U$66,VLOOKUP($F$3&amp;IF($G$4&lt;&gt;"",$G$4,"")&amp;IF($F$43&lt;&gt;"","_"&amp;$F$43,""),'表3）燃料価格'!$AF$9:$AG$25,2,0)+VLOOKUP($F$41,'表3）燃料価格'!$AF$28:$AG$29,2,0),0)*IF($F$43="需要地価格",1,$F$8/$F$141))),"")</f>
        <v>12</v>
      </c>
      <c r="AV24" s="10">
        <f t="shared" si="10"/>
        <v>764999999.99999988</v>
      </c>
      <c r="AW24" s="10">
        <f t="shared" si="11"/>
        <v>569231844.89599466</v>
      </c>
      <c r="AY24" s="7">
        <f>IF(ISERROR(IF($K24&lt;=$F$15,VLOOKUP($I24,'表4）CO2価格'!$A$7:$E$67,VLOOKUP($F$48,'表4）CO2価格'!$H$10:$I$12,2,0),0)*$F$8/1000,"")),0,IF($K24&lt;=$F$15,VLOOKUP($I24,'表4）CO2価格'!$A$7:$E$67,VLOOKUP($F$48,'表4）CO2価格'!$H$10:$I$12,2,0),0)*$F$8/1000,""))</f>
        <v>0</v>
      </c>
      <c r="BA24" s="11">
        <f t="shared" si="12"/>
        <v>0</v>
      </c>
      <c r="BB24" s="10">
        <f t="shared" si="27"/>
        <v>0</v>
      </c>
      <c r="BD24" s="10">
        <f t="shared" si="13"/>
        <v>0</v>
      </c>
      <c r="BE24" s="10">
        <f t="shared" si="28"/>
        <v>0</v>
      </c>
      <c r="BG24" s="11">
        <f t="shared" si="14"/>
        <v>0</v>
      </c>
      <c r="BH24" s="10">
        <f t="shared" si="29"/>
        <v>0</v>
      </c>
      <c r="BJ24" s="7">
        <f t="shared" si="30"/>
        <v>0.46319348808468425</v>
      </c>
      <c r="BK24" s="158">
        <f t="shared" si="31"/>
        <v>429321167.32672501</v>
      </c>
      <c r="BL24" s="158">
        <f t="shared" si="32"/>
        <v>16902071.932140086</v>
      </c>
      <c r="BM24" s="10"/>
      <c r="BN24" s="10">
        <f t="shared" si="33"/>
        <v>1166488854.4139216</v>
      </c>
      <c r="BO24" s="10">
        <f t="shared" si="34"/>
        <v>867977258.36425102</v>
      </c>
      <c r="BQ24" s="10">
        <f t="shared" si="15"/>
        <v>36490305.599999994</v>
      </c>
      <c r="BR24" s="10">
        <f t="shared" si="35"/>
        <v>27152214.349681888</v>
      </c>
    </row>
    <row r="25" spans="3:70" x14ac:dyDescent="0.15">
      <c r="D25" s="84" t="s">
        <v>564</v>
      </c>
      <c r="F25" s="475">
        <v>1.4</v>
      </c>
      <c r="G25" s="84" t="s">
        <v>549</v>
      </c>
      <c r="I25" s="38">
        <f t="shared" si="36"/>
        <v>2040</v>
      </c>
      <c r="J25" s="39"/>
      <c r="K25" s="39">
        <f t="shared" si="37"/>
        <v>11</v>
      </c>
      <c r="L25" s="39"/>
      <c r="M25" s="40">
        <f t="shared" si="0"/>
        <v>0.72242127659876232</v>
      </c>
      <c r="N25" s="39"/>
      <c r="O25" s="72">
        <f t="shared" si="16"/>
        <v>364671257.13442606</v>
      </c>
      <c r="P25" s="41">
        <f t="shared" si="1"/>
        <v>0.2</v>
      </c>
      <c r="Q25" s="39"/>
      <c r="R25" s="72">
        <f t="shared" si="17"/>
        <v>488410344.23022795</v>
      </c>
      <c r="S25" s="39"/>
      <c r="T25" s="72">
        <f t="shared" si="18"/>
        <v>488410000</v>
      </c>
      <c r="U25" s="39"/>
      <c r="V25" s="72">
        <f t="shared" si="2"/>
        <v>72934251.426885217</v>
      </c>
      <c r="W25" s="72">
        <f t="shared" si="19"/>
        <v>52689255.023585521</v>
      </c>
      <c r="X25" s="39"/>
      <c r="Y25" s="72">
        <f t="shared" si="3"/>
        <v>6837700</v>
      </c>
      <c r="Z25" s="72">
        <f t="shared" si="20"/>
        <v>4939699.9629993569</v>
      </c>
      <c r="AA25" s="39"/>
      <c r="AB25" s="72">
        <f t="shared" si="4"/>
        <v>0</v>
      </c>
      <c r="AC25" s="72">
        <f t="shared" si="21"/>
        <v>0</v>
      </c>
      <c r="AD25" s="39"/>
      <c r="AE25" s="72">
        <f t="shared" si="5"/>
        <v>0</v>
      </c>
      <c r="AF25" s="72">
        <f t="shared" si="22"/>
        <v>0</v>
      </c>
      <c r="AG25" s="39"/>
      <c r="AH25" s="10">
        <f t="shared" si="38"/>
        <v>153899999.99999997</v>
      </c>
      <c r="AI25" s="72">
        <f t="shared" si="23"/>
        <v>111180634.4685495</v>
      </c>
      <c r="AJ25" s="39"/>
      <c r="AK25" s="72">
        <f t="shared" si="7"/>
        <v>0</v>
      </c>
      <c r="AL25" s="72">
        <f t="shared" si="24"/>
        <v>0</v>
      </c>
      <c r="AM25" s="39"/>
      <c r="AN25" s="72">
        <f t="shared" si="8"/>
        <v>0</v>
      </c>
      <c r="AO25" s="72">
        <f t="shared" si="25"/>
        <v>0</v>
      </c>
      <c r="AP25" s="39"/>
      <c r="AQ25" s="72">
        <f t="shared" si="9"/>
        <v>0</v>
      </c>
      <c r="AR25" s="72">
        <f t="shared" si="26"/>
        <v>0</v>
      </c>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12</v>
      </c>
      <c r="AU25" s="39"/>
      <c r="AV25" s="72">
        <f t="shared" si="10"/>
        <v>764999999.99999988</v>
      </c>
      <c r="AW25" s="72">
        <f t="shared" si="11"/>
        <v>552652276.5980531</v>
      </c>
      <c r="AX25" s="39"/>
      <c r="AY25" s="40">
        <f>IF(ISERROR(IF($K25&lt;=$F$15,VLOOKUP($I25,'表4）CO2価格'!$A$7:$E$67,VLOOKUP($F$48,'表4）CO2価格'!$H$10:$I$12,2,0),0)*$F$8/1000,"")),0,IF($K25&lt;=$F$15,VLOOKUP($I25,'表4）CO2価格'!$A$7:$E$67,VLOOKUP($F$48,'表4）CO2価格'!$H$10:$I$12,2,0),0)*$F$8/1000,""))</f>
        <v>0</v>
      </c>
      <c r="AZ25" s="39"/>
      <c r="BA25" s="42">
        <f t="shared" si="12"/>
        <v>0</v>
      </c>
      <c r="BB25" s="72">
        <f t="shared" si="27"/>
        <v>0</v>
      </c>
      <c r="BC25" s="39"/>
      <c r="BD25" s="72">
        <f t="shared" si="13"/>
        <v>0</v>
      </c>
      <c r="BE25" s="72">
        <f t="shared" si="28"/>
        <v>0</v>
      </c>
      <c r="BF25" s="39"/>
      <c r="BG25" s="42">
        <f t="shared" si="14"/>
        <v>0</v>
      </c>
      <c r="BH25" s="72">
        <f t="shared" si="29"/>
        <v>0</v>
      </c>
      <c r="BI25" s="39"/>
      <c r="BJ25" s="40">
        <f t="shared" si="30"/>
        <v>0.42888285933767062</v>
      </c>
      <c r="BK25" s="157">
        <f t="shared" si="31"/>
        <v>397033031.77267867</v>
      </c>
      <c r="BL25" s="157">
        <f t="shared" si="32"/>
        <v>15650066.603833413</v>
      </c>
      <c r="BM25" s="72"/>
      <c r="BN25" s="72">
        <f t="shared" si="33"/>
        <v>1166488854.4139216</v>
      </c>
      <c r="BO25" s="72">
        <f t="shared" si="34"/>
        <v>842696367.34393299</v>
      </c>
      <c r="BP25" s="39"/>
      <c r="BQ25" s="72">
        <f t="shared" si="15"/>
        <v>36490305.599999994</v>
      </c>
      <c r="BR25" s="72">
        <f t="shared" si="35"/>
        <v>26361373.155030962</v>
      </c>
    </row>
    <row r="26" spans="3:70" x14ac:dyDescent="0.15">
      <c r="D26" s="84" t="s">
        <v>115</v>
      </c>
      <c r="F26" s="481"/>
      <c r="G26" s="84" t="s">
        <v>565</v>
      </c>
      <c r="I26" s="457">
        <f t="shared" si="36"/>
        <v>2041</v>
      </c>
      <c r="K26" s="71">
        <f t="shared" si="37"/>
        <v>12</v>
      </c>
      <c r="M26" s="7">
        <f t="shared" si="0"/>
        <v>0.70137988019297326</v>
      </c>
      <c r="O26" s="10">
        <f t="shared" si="16"/>
        <v>291737005.70754087</v>
      </c>
      <c r="P26" s="29" t="str">
        <f t="shared" si="1"/>
        <v>-</v>
      </c>
      <c r="R26" s="10">
        <f t="shared" si="17"/>
        <v>418907549.07563329</v>
      </c>
      <c r="T26" s="10">
        <f t="shared" si="18"/>
        <v>418907000</v>
      </c>
      <c r="V26" s="10">
        <f t="shared" si="2"/>
        <v>72934251.426885217</v>
      </c>
      <c r="W26" s="10">
        <f t="shared" si="19"/>
        <v>51154616.527752943</v>
      </c>
      <c r="Y26" s="10">
        <f t="shared" si="3"/>
        <v>5864600</v>
      </c>
      <c r="Z26" s="10">
        <f t="shared" si="20"/>
        <v>4113312.4453797108</v>
      </c>
      <c r="AB26" s="10">
        <f t="shared" si="4"/>
        <v>0</v>
      </c>
      <c r="AC26" s="10">
        <f t="shared" si="21"/>
        <v>0</v>
      </c>
      <c r="AE26" s="10">
        <f t="shared" si="5"/>
        <v>0</v>
      </c>
      <c r="AF26" s="10">
        <f t="shared" si="22"/>
        <v>0</v>
      </c>
      <c r="AH26" s="10">
        <f t="shared" si="38"/>
        <v>153899999.99999997</v>
      </c>
      <c r="AI26" s="10">
        <f t="shared" si="23"/>
        <v>107942363.56169857</v>
      </c>
      <c r="AK26" s="10">
        <f t="shared" si="7"/>
        <v>0</v>
      </c>
      <c r="AL26" s="10">
        <f t="shared" si="24"/>
        <v>0</v>
      </c>
      <c r="AN26" s="10">
        <f t="shared" si="8"/>
        <v>0</v>
      </c>
      <c r="AO26" s="10">
        <f t="shared" si="25"/>
        <v>0</v>
      </c>
      <c r="AQ26" s="10">
        <f t="shared" si="9"/>
        <v>0</v>
      </c>
      <c r="AR26" s="10">
        <f t="shared" si="26"/>
        <v>0</v>
      </c>
      <c r="AT26" s="7">
        <f>IF($K26&lt;=$F$15,IF($F$40&lt;&gt;"",$F$40/1000,IF(ISERROR(VLOOKUP($F$3&amp;IF($G$4&lt;&gt;"",$G$4,"")&amp;IF($F$43&lt;&gt;"","_"&amp;$F$43,""),'表3）燃料価格'!$AF$9:$AG$25,2,0)),0,VLOOKUP($I26,'表3）燃料価格'!$A$6:$U$66,VLOOKUP($F$3&amp;IF($G$4&lt;&gt;"",$G$4,"")&amp;IF($F$43&lt;&gt;"","_"&amp;$F$43,""),'表3）燃料価格'!$AF$9:$AG$25,2,0)+VLOOKUP($F$41,'表3）燃料価格'!$AF$28:$AG$29,2,0),0)*IF($F$43="需要地価格",1,$F$8/$F$141))),"")</f>
        <v>12</v>
      </c>
      <c r="AV26" s="10">
        <f t="shared" si="10"/>
        <v>764999999.99999988</v>
      </c>
      <c r="AW26" s="10">
        <f t="shared" si="11"/>
        <v>536555608.34762448</v>
      </c>
      <c r="AY26" s="7">
        <f>IF(ISERROR(IF($K26&lt;=$F$15,VLOOKUP($I26,'表4）CO2価格'!$A$7:$E$67,VLOOKUP($F$48,'表4）CO2価格'!$H$10:$I$12,2,0),0)*$F$8/1000,"")),0,IF($K26&lt;=$F$15,VLOOKUP($I26,'表4）CO2価格'!$A$7:$E$67,VLOOKUP($F$48,'表4）CO2価格'!$H$10:$I$12,2,0),0)*$F$8/1000,""))</f>
        <v>0</v>
      </c>
      <c r="BA26" s="11">
        <f t="shared" si="12"/>
        <v>0</v>
      </c>
      <c r="BB26" s="10">
        <f t="shared" si="27"/>
        <v>0</v>
      </c>
      <c r="BD26" s="10">
        <f t="shared" si="13"/>
        <v>0</v>
      </c>
      <c r="BE26" s="10">
        <f t="shared" si="28"/>
        <v>0</v>
      </c>
      <c r="BG26" s="11">
        <f t="shared" si="14"/>
        <v>0</v>
      </c>
      <c r="BH26" s="10">
        <f t="shared" si="29"/>
        <v>0</v>
      </c>
      <c r="BJ26" s="7">
        <f t="shared" si="30"/>
        <v>0.39711375864599124</v>
      </c>
      <c r="BK26" s="158">
        <f t="shared" si="31"/>
        <v>367236746.1687566</v>
      </c>
      <c r="BL26" s="158">
        <f t="shared" si="32"/>
        <v>14490802.41095686</v>
      </c>
      <c r="BM26" s="10"/>
      <c r="BN26" s="10">
        <f t="shared" si="33"/>
        <v>1166488854.4139216</v>
      </c>
      <c r="BO26" s="10">
        <f t="shared" si="34"/>
        <v>818151812.95527494</v>
      </c>
      <c r="BQ26" s="10">
        <f t="shared" si="15"/>
        <v>36490305.599999994</v>
      </c>
      <c r="BR26" s="10">
        <f t="shared" si="35"/>
        <v>25593566.169932976</v>
      </c>
    </row>
    <row r="27" spans="3:70" x14ac:dyDescent="0.15">
      <c r="D27" s="160" t="s">
        <v>86</v>
      </c>
      <c r="F27" s="481">
        <f>F117*5%/10^8</f>
        <v>1.1335</v>
      </c>
      <c r="G27" s="84" t="s">
        <v>566</v>
      </c>
      <c r="I27" s="38">
        <f t="shared" si="36"/>
        <v>2042</v>
      </c>
      <c r="J27" s="39"/>
      <c r="K27" s="39">
        <f t="shared" si="37"/>
        <v>13</v>
      </c>
      <c r="L27" s="39"/>
      <c r="M27" s="40">
        <f t="shared" si="0"/>
        <v>0.68095133999317792</v>
      </c>
      <c r="N27" s="39"/>
      <c r="O27" s="72">
        <f t="shared" si="16"/>
        <v>218802754.28065565</v>
      </c>
      <c r="P27" s="41" t="str">
        <f t="shared" si="1"/>
        <v>-</v>
      </c>
      <c r="Q27" s="39"/>
      <c r="R27" s="72">
        <f t="shared" si="17"/>
        <v>359295286.73093438</v>
      </c>
      <c r="S27" s="39"/>
      <c r="T27" s="72">
        <f t="shared" si="18"/>
        <v>359295000</v>
      </c>
      <c r="U27" s="39"/>
      <c r="V27" s="72">
        <f t="shared" si="2"/>
        <v>72934251.426885217</v>
      </c>
      <c r="W27" s="72">
        <f t="shared" si="19"/>
        <v>49664676.240536839</v>
      </c>
      <c r="X27" s="39"/>
      <c r="Y27" s="72">
        <f t="shared" si="3"/>
        <v>5030100</v>
      </c>
      <c r="Z27" s="72">
        <f t="shared" si="20"/>
        <v>3425253.3352996842</v>
      </c>
      <c r="AA27" s="39"/>
      <c r="AB27" s="72">
        <f t="shared" si="4"/>
        <v>0</v>
      </c>
      <c r="AC27" s="72">
        <f t="shared" si="21"/>
        <v>0</v>
      </c>
      <c r="AD27" s="39"/>
      <c r="AE27" s="72">
        <f t="shared" si="5"/>
        <v>0</v>
      </c>
      <c r="AF27" s="72">
        <f t="shared" si="22"/>
        <v>0</v>
      </c>
      <c r="AG27" s="39"/>
      <c r="AH27" s="10">
        <f t="shared" si="38"/>
        <v>153899999.99999997</v>
      </c>
      <c r="AI27" s="72">
        <f t="shared" si="23"/>
        <v>104798411.22495006</v>
      </c>
      <c r="AJ27" s="39"/>
      <c r="AK27" s="72">
        <f t="shared" si="7"/>
        <v>0</v>
      </c>
      <c r="AL27" s="72">
        <f t="shared" si="24"/>
        <v>0</v>
      </c>
      <c r="AM27" s="39"/>
      <c r="AN27" s="72">
        <f t="shared" si="8"/>
        <v>0</v>
      </c>
      <c r="AO27" s="72">
        <f t="shared" si="25"/>
        <v>0</v>
      </c>
      <c r="AP27" s="39"/>
      <c r="AQ27" s="72">
        <f t="shared" si="9"/>
        <v>0</v>
      </c>
      <c r="AR27" s="72">
        <f t="shared" si="26"/>
        <v>0</v>
      </c>
      <c r="AS27" s="39"/>
      <c r="AT27" s="40">
        <f>IF($K27&lt;=$F$15,IF($F$40&lt;&gt;"",$F$40/1000,IF(ISERROR(VLOOKUP($F$3&amp;IF($G$4&lt;&gt;"",$G$4,"")&amp;IF($F$43&lt;&gt;"","_"&amp;$F$43,""),'表3）燃料価格'!$AF$9:$AG$25,2,0)),0,VLOOKUP($I27,'表3）燃料価格'!$A$6:$U$66,VLOOKUP($F$3&amp;IF($G$4&lt;&gt;"",$G$4,"")&amp;IF($F$43&lt;&gt;"","_"&amp;$F$43,""),'表3）燃料価格'!$AF$9:$AG$25,2,0)+VLOOKUP($F$41,'表3）燃料価格'!$AF$28:$AG$29,2,0),0)*IF($F$43="需要地価格",1,$F$8/$F$141))),"")</f>
        <v>12</v>
      </c>
      <c r="AU27" s="39"/>
      <c r="AV27" s="72">
        <f t="shared" si="10"/>
        <v>764999999.99999988</v>
      </c>
      <c r="AW27" s="72">
        <f t="shared" si="11"/>
        <v>520927775.09478104</v>
      </c>
      <c r="AX27" s="39"/>
      <c r="AY27" s="40">
        <f>IF(ISERROR(IF($K27&lt;=$F$15,VLOOKUP($I27,'表4）CO2価格'!$A$7:$E$67,VLOOKUP($F$48,'表4）CO2価格'!$H$10:$I$12,2,0),0)*$F$8/1000,"")),0,IF($K27&lt;=$F$15,VLOOKUP($I27,'表4）CO2価格'!$A$7:$E$67,VLOOKUP($F$48,'表4）CO2価格'!$H$10:$I$12,2,0),0)*$F$8/1000,""))</f>
        <v>0</v>
      </c>
      <c r="AZ27" s="39"/>
      <c r="BA27" s="42">
        <f t="shared" si="12"/>
        <v>0</v>
      </c>
      <c r="BB27" s="72">
        <f t="shared" si="27"/>
        <v>0</v>
      </c>
      <c r="BC27" s="39"/>
      <c r="BD27" s="72">
        <f t="shared" si="13"/>
        <v>0</v>
      </c>
      <c r="BE27" s="72">
        <f t="shared" si="28"/>
        <v>0</v>
      </c>
      <c r="BF27" s="39"/>
      <c r="BG27" s="42">
        <f t="shared" si="14"/>
        <v>0</v>
      </c>
      <c r="BH27" s="72">
        <f t="shared" si="29"/>
        <v>0</v>
      </c>
      <c r="BI27" s="39"/>
      <c r="BJ27" s="40">
        <f t="shared" si="30"/>
        <v>0.36769792467221413</v>
      </c>
      <c r="BK27" s="157">
        <f t="shared" si="31"/>
        <v>339727180.31219125</v>
      </c>
      <c r="BL27" s="157">
        <f t="shared" si="32"/>
        <v>13417409.639774872</v>
      </c>
      <c r="BM27" s="72"/>
      <c r="BN27" s="72">
        <f t="shared" si="33"/>
        <v>1166488854.4139216</v>
      </c>
      <c r="BO27" s="72">
        <f t="shared" si="34"/>
        <v>794322148.50026691</v>
      </c>
      <c r="BP27" s="39"/>
      <c r="BQ27" s="72">
        <f t="shared" si="15"/>
        <v>36490305.599999994</v>
      </c>
      <c r="BR27" s="72">
        <f t="shared" si="35"/>
        <v>24848122.49508056</v>
      </c>
    </row>
    <row r="28" spans="3:70" x14ac:dyDescent="0.15">
      <c r="D28" s="84" t="s">
        <v>116</v>
      </c>
      <c r="F28" s="481">
        <v>1</v>
      </c>
      <c r="G28" s="84" t="s">
        <v>556</v>
      </c>
      <c r="I28" s="457">
        <f t="shared" si="36"/>
        <v>2043</v>
      </c>
      <c r="K28" s="71">
        <f t="shared" si="37"/>
        <v>14</v>
      </c>
      <c r="M28" s="7">
        <f t="shared" si="0"/>
        <v>0.66111780581861923</v>
      </c>
      <c r="O28" s="10">
        <f t="shared" si="16"/>
        <v>145868502.85377043</v>
      </c>
      <c r="P28" s="29" t="str">
        <f t="shared" si="1"/>
        <v>-</v>
      </c>
      <c r="R28" s="10">
        <f t="shared" si="17"/>
        <v>308166093.81216174</v>
      </c>
      <c r="T28" s="10">
        <f t="shared" si="18"/>
        <v>308166000</v>
      </c>
      <c r="V28" s="10">
        <f t="shared" si="2"/>
        <v>72934251.426885217</v>
      </c>
      <c r="W28" s="10">
        <f t="shared" si="19"/>
        <v>48218132.272365853</v>
      </c>
      <c r="Y28" s="10">
        <f t="shared" si="3"/>
        <v>4314300</v>
      </c>
      <c r="Z28" s="10">
        <f t="shared" si="20"/>
        <v>2852260.5496432688</v>
      </c>
      <c r="AB28" s="10">
        <f t="shared" si="4"/>
        <v>0</v>
      </c>
      <c r="AC28" s="10">
        <f t="shared" si="21"/>
        <v>0</v>
      </c>
      <c r="AE28" s="10">
        <f t="shared" si="5"/>
        <v>0</v>
      </c>
      <c r="AF28" s="10">
        <f t="shared" si="22"/>
        <v>0</v>
      </c>
      <c r="AH28" s="10">
        <f t="shared" si="38"/>
        <v>153899999.99999997</v>
      </c>
      <c r="AI28" s="10">
        <f t="shared" si="23"/>
        <v>101746030.31548548</v>
      </c>
      <c r="AK28" s="10">
        <f t="shared" si="7"/>
        <v>0</v>
      </c>
      <c r="AL28" s="10">
        <f t="shared" si="24"/>
        <v>0</v>
      </c>
      <c r="AN28" s="10">
        <f t="shared" si="8"/>
        <v>0</v>
      </c>
      <c r="AO28" s="10">
        <f t="shared" si="25"/>
        <v>0</v>
      </c>
      <c r="AQ28" s="10">
        <f t="shared" si="9"/>
        <v>0</v>
      </c>
      <c r="AR28" s="10">
        <f t="shared" si="26"/>
        <v>0</v>
      </c>
      <c r="AT28" s="7">
        <f>IF($K28&lt;=$F$15,IF($F$40&lt;&gt;"",$F$40/1000,IF(ISERROR(VLOOKUP($F$3&amp;IF($G$4&lt;&gt;"",$G$4,"")&amp;IF($F$43&lt;&gt;"","_"&amp;$F$43,""),'表3）燃料価格'!$AF$9:$AG$25,2,0)),0,VLOOKUP($I28,'表3）燃料価格'!$A$6:$U$66,VLOOKUP($F$3&amp;IF($G$4&lt;&gt;"",$G$4,"")&amp;IF($F$43&lt;&gt;"","_"&amp;$F$43,""),'表3）燃料価格'!$AF$9:$AG$25,2,0)+VLOOKUP($F$41,'表3）燃料価格'!$AF$28:$AG$29,2,0),0)*IF($F$43="需要地価格",1,$F$8/$F$141))),"")</f>
        <v>12</v>
      </c>
      <c r="AV28" s="10">
        <f t="shared" si="10"/>
        <v>764999999.99999988</v>
      </c>
      <c r="AW28" s="10">
        <f t="shared" si="11"/>
        <v>505755121.45124364</v>
      </c>
      <c r="AY28" s="7">
        <f>IF(ISERROR(IF($K28&lt;=$F$15,VLOOKUP($I28,'表4）CO2価格'!$A$7:$E$67,VLOOKUP($F$48,'表4）CO2価格'!$H$10:$I$12,2,0),0)*$F$8/1000,"")),0,IF($K28&lt;=$F$15,VLOOKUP($I28,'表4）CO2価格'!$A$7:$E$67,VLOOKUP($F$48,'表4）CO2価格'!$H$10:$I$12,2,0),0)*$F$8/1000,""))</f>
        <v>0</v>
      </c>
      <c r="BA28" s="11">
        <f t="shared" si="12"/>
        <v>0</v>
      </c>
      <c r="BB28" s="10">
        <f t="shared" si="27"/>
        <v>0</v>
      </c>
      <c r="BD28" s="10">
        <f t="shared" si="13"/>
        <v>0</v>
      </c>
      <c r="BE28" s="10">
        <f t="shared" si="28"/>
        <v>0</v>
      </c>
      <c r="BG28" s="11">
        <f t="shared" si="14"/>
        <v>0</v>
      </c>
      <c r="BH28" s="10">
        <f t="shared" si="29"/>
        <v>0</v>
      </c>
      <c r="BJ28" s="7">
        <f t="shared" si="30"/>
        <v>0.34046104136316119</v>
      </c>
      <c r="BK28" s="158">
        <f t="shared" si="31"/>
        <v>314318501.97936183</v>
      </c>
      <c r="BL28" s="158">
        <f t="shared" si="32"/>
        <v>12423527.44423599</v>
      </c>
      <c r="BM28" s="10"/>
      <c r="BN28" s="10">
        <f t="shared" si="33"/>
        <v>1166488854.4139216</v>
      </c>
      <c r="BO28" s="10">
        <f t="shared" si="34"/>
        <v>771186551.94200659</v>
      </c>
      <c r="BQ28" s="10">
        <f t="shared" si="15"/>
        <v>36490305.599999994</v>
      </c>
      <c r="BR28" s="10">
        <f t="shared" si="35"/>
        <v>24124390.771922871</v>
      </c>
    </row>
    <row r="29" spans="3:70" x14ac:dyDescent="0.15">
      <c r="D29" s="84" t="s">
        <v>567</v>
      </c>
      <c r="F29" s="481"/>
      <c r="G29" s="84" t="s">
        <v>566</v>
      </c>
      <c r="I29" s="38">
        <f t="shared" si="36"/>
        <v>2044</v>
      </c>
      <c r="J29" s="39"/>
      <c r="K29" s="39">
        <f t="shared" si="37"/>
        <v>15</v>
      </c>
      <c r="L29" s="39"/>
      <c r="M29" s="40">
        <f t="shared" si="0"/>
        <v>0.64186194739671765</v>
      </c>
      <c r="N29" s="39"/>
      <c r="O29" s="72">
        <f t="shared" si="16"/>
        <v>72934251.426885217</v>
      </c>
      <c r="P29" s="41" t="str">
        <f t="shared" si="1"/>
        <v>-</v>
      </c>
      <c r="Q29" s="39"/>
      <c r="R29" s="72">
        <f t="shared" si="17"/>
        <v>264312794.74746785</v>
      </c>
      <c r="S29" s="39"/>
      <c r="T29" s="72">
        <f t="shared" si="18"/>
        <v>264312000</v>
      </c>
      <c r="U29" s="39"/>
      <c r="V29" s="72">
        <f t="shared" si="2"/>
        <v>72934251.426885217</v>
      </c>
      <c r="W29" s="72">
        <f t="shared" si="19"/>
        <v>46813720.652782381</v>
      </c>
      <c r="X29" s="39"/>
      <c r="Y29" s="72">
        <f t="shared" si="3"/>
        <v>3700300</v>
      </c>
      <c r="Z29" s="72">
        <f t="shared" si="20"/>
        <v>2375081.7639520741</v>
      </c>
      <c r="AA29" s="39"/>
      <c r="AB29" s="72">
        <f t="shared" si="4"/>
        <v>0</v>
      </c>
      <c r="AC29" s="72">
        <f t="shared" si="21"/>
        <v>0</v>
      </c>
      <c r="AD29" s="39"/>
      <c r="AE29" s="72">
        <f t="shared" si="5"/>
        <v>0</v>
      </c>
      <c r="AF29" s="72">
        <f t="shared" si="22"/>
        <v>0</v>
      </c>
      <c r="AG29" s="39"/>
      <c r="AH29" s="10">
        <f t="shared" si="38"/>
        <v>153899999.99999997</v>
      </c>
      <c r="AI29" s="72">
        <f t="shared" si="23"/>
        <v>98782553.704354823</v>
      </c>
      <c r="AJ29" s="39"/>
      <c r="AK29" s="72">
        <f t="shared" si="7"/>
        <v>0</v>
      </c>
      <c r="AL29" s="72">
        <f t="shared" si="24"/>
        <v>0</v>
      </c>
      <c r="AM29" s="39"/>
      <c r="AN29" s="72">
        <f t="shared" si="8"/>
        <v>0</v>
      </c>
      <c r="AO29" s="72">
        <f t="shared" si="25"/>
        <v>0</v>
      </c>
      <c r="AP29" s="39"/>
      <c r="AQ29" s="72">
        <f t="shared" si="9"/>
        <v>0</v>
      </c>
      <c r="AR29" s="72">
        <f t="shared" si="26"/>
        <v>0</v>
      </c>
      <c r="AS29" s="39"/>
      <c r="AT29" s="40">
        <f>IF($K29&lt;=$F$15,IF($F$40&lt;&gt;"",$F$40/1000,IF(ISERROR(VLOOKUP($F$3&amp;IF($G$4&lt;&gt;"",$G$4,"")&amp;IF($F$43&lt;&gt;"","_"&amp;$F$43,""),'表3）燃料価格'!$AF$9:$AG$25,2,0)),0,VLOOKUP($I29,'表3）燃料価格'!$A$6:$U$66,VLOOKUP($F$3&amp;IF($G$4&lt;&gt;"",$G$4,"")&amp;IF($F$43&lt;&gt;"","_"&amp;$F$43,""),'表3）燃料価格'!$AF$9:$AG$25,2,0)+VLOOKUP($F$41,'表3）燃料価格'!$AF$28:$AG$29,2,0),0)*IF($F$43="需要地価格",1,$F$8/$F$141))),"")</f>
        <v>12</v>
      </c>
      <c r="AU29" s="39"/>
      <c r="AV29" s="72">
        <f t="shared" si="10"/>
        <v>764999999.99999988</v>
      </c>
      <c r="AW29" s="72">
        <f t="shared" si="11"/>
        <v>491024389.75848895</v>
      </c>
      <c r="AX29" s="39"/>
      <c r="AY29" s="40">
        <f>IF(ISERROR(IF($K29&lt;=$F$15,VLOOKUP($I29,'表4）CO2価格'!$A$7:$E$67,VLOOKUP($F$48,'表4）CO2価格'!$H$10:$I$12,2,0),0)*$F$8/1000,"")),0,IF($K29&lt;=$F$15,VLOOKUP($I29,'表4）CO2価格'!$A$7:$E$67,VLOOKUP($F$48,'表4）CO2価格'!$H$10:$I$12,2,0),0)*$F$8/1000,""))</f>
        <v>0</v>
      </c>
      <c r="AZ29" s="39"/>
      <c r="BA29" s="42">
        <f t="shared" si="12"/>
        <v>0</v>
      </c>
      <c r="BB29" s="72">
        <f t="shared" si="27"/>
        <v>0</v>
      </c>
      <c r="BC29" s="39"/>
      <c r="BD29" s="72">
        <f t="shared" si="13"/>
        <v>0</v>
      </c>
      <c r="BE29" s="72">
        <f t="shared" si="28"/>
        <v>0</v>
      </c>
      <c r="BF29" s="39"/>
      <c r="BG29" s="42">
        <f t="shared" si="14"/>
        <v>0</v>
      </c>
      <c r="BH29" s="72">
        <f t="shared" si="29"/>
        <v>0</v>
      </c>
      <c r="BI29" s="39"/>
      <c r="BJ29" s="40">
        <f t="shared" si="30"/>
        <v>0.31524170496588994</v>
      </c>
      <c r="BK29" s="157">
        <f t="shared" si="31"/>
        <v>290842091.57404149</v>
      </c>
      <c r="BL29" s="157">
        <f t="shared" si="32"/>
        <v>11503266.15207036</v>
      </c>
      <c r="BM29" s="72"/>
      <c r="BN29" s="72">
        <f t="shared" si="33"/>
        <v>1166488854.4139216</v>
      </c>
      <c r="BO29" s="72">
        <f t="shared" si="34"/>
        <v>748724807.71068597</v>
      </c>
      <c r="BP29" s="39"/>
      <c r="BQ29" s="72">
        <f t="shared" si="15"/>
        <v>36490305.599999994</v>
      </c>
      <c r="BR29" s="72">
        <f t="shared" si="35"/>
        <v>23421738.613517348</v>
      </c>
    </row>
    <row r="30" spans="3:70" x14ac:dyDescent="0.15">
      <c r="I30" s="457">
        <f t="shared" si="36"/>
        <v>2045</v>
      </c>
      <c r="K30" s="71">
        <f t="shared" si="37"/>
        <v>16</v>
      </c>
      <c r="M30" s="7">
        <f t="shared" si="0"/>
        <v>0.62316693922011435</v>
      </c>
      <c r="O30" s="10">
        <f t="shared" si="16"/>
        <v>0</v>
      </c>
      <c r="P30" s="29" t="str">
        <f t="shared" si="1"/>
        <v>-</v>
      </c>
      <c r="R30" s="10">
        <f t="shared" si="17"/>
        <v>226700000</v>
      </c>
      <c r="T30" s="10">
        <f t="shared" si="18"/>
        <v>226700000</v>
      </c>
      <c r="V30" s="10">
        <f t="shared" si="2"/>
        <v>0</v>
      </c>
      <c r="W30" s="10">
        <f t="shared" si="19"/>
        <v>0</v>
      </c>
      <c r="Y30" s="10">
        <f t="shared" si="3"/>
        <v>3173800</v>
      </c>
      <c r="Z30" s="10">
        <f t="shared" si="20"/>
        <v>1977807.2316967989</v>
      </c>
      <c r="AB30" s="10">
        <f t="shared" si="4"/>
        <v>0</v>
      </c>
      <c r="AC30" s="10">
        <f t="shared" si="21"/>
        <v>0</v>
      </c>
      <c r="AE30" s="10">
        <f t="shared" si="5"/>
        <v>0</v>
      </c>
      <c r="AF30" s="10">
        <f t="shared" si="22"/>
        <v>0</v>
      </c>
      <c r="AH30" s="10">
        <f t="shared" si="38"/>
        <v>153899999.99999997</v>
      </c>
      <c r="AI30" s="10">
        <f t="shared" si="23"/>
        <v>95905391.945975587</v>
      </c>
      <c r="AK30" s="10">
        <f t="shared" si="7"/>
        <v>0</v>
      </c>
      <c r="AL30" s="10">
        <f t="shared" si="24"/>
        <v>0</v>
      </c>
      <c r="AN30" s="10">
        <f t="shared" si="8"/>
        <v>0</v>
      </c>
      <c r="AO30" s="10">
        <f t="shared" si="25"/>
        <v>0</v>
      </c>
      <c r="AQ30" s="10">
        <f t="shared" si="9"/>
        <v>0</v>
      </c>
      <c r="AR30" s="10">
        <f t="shared" si="26"/>
        <v>0</v>
      </c>
      <c r="AT30" s="7">
        <f>IF($K30&lt;=$F$15,IF($F$40&lt;&gt;"",$F$40/1000,IF(ISERROR(VLOOKUP($F$3&amp;IF($G$4&lt;&gt;"",$G$4,"")&amp;IF($F$43&lt;&gt;"","_"&amp;$F$43,""),'表3）燃料価格'!$AF$9:$AG$25,2,0)),0,VLOOKUP($I30,'表3）燃料価格'!$A$6:$U$66,VLOOKUP($F$3&amp;IF($G$4&lt;&gt;"",$G$4,"")&amp;IF($F$43&lt;&gt;"","_"&amp;$F$43,""),'表3）燃料価格'!$AF$9:$AG$25,2,0)+VLOOKUP($F$41,'表3）燃料価格'!$AF$28:$AG$29,2,0),0)*IF($F$43="需要地価格",1,$F$8/$F$141))),"")</f>
        <v>12</v>
      </c>
      <c r="AV30" s="10">
        <f t="shared" si="10"/>
        <v>764999999.99999988</v>
      </c>
      <c r="AW30" s="10">
        <f t="shared" si="11"/>
        <v>476722708.50338739</v>
      </c>
      <c r="AY30" s="7">
        <f>IF(ISERROR(IF($K30&lt;=$F$15,VLOOKUP($I30,'表4）CO2価格'!$A$7:$E$67,VLOOKUP($F$48,'表4）CO2価格'!$H$10:$I$12,2,0),0)*$F$8/1000,"")),0,IF($K30&lt;=$F$15,VLOOKUP($I30,'表4）CO2価格'!$A$7:$E$67,VLOOKUP($F$48,'表4）CO2価格'!$H$10:$I$12,2,0),0)*$F$8/1000,""))</f>
        <v>0</v>
      </c>
      <c r="BA30" s="11">
        <f t="shared" si="12"/>
        <v>0</v>
      </c>
      <c r="BB30" s="10">
        <f t="shared" si="27"/>
        <v>0</v>
      </c>
      <c r="BD30" s="10">
        <f t="shared" si="13"/>
        <v>0</v>
      </c>
      <c r="BE30" s="10">
        <f t="shared" si="28"/>
        <v>0</v>
      </c>
      <c r="BG30" s="11">
        <f t="shared" si="14"/>
        <v>0</v>
      </c>
      <c r="BH30" s="10">
        <f t="shared" si="29"/>
        <v>0</v>
      </c>
      <c r="BJ30" s="7">
        <f t="shared" si="30"/>
        <v>0.29189046756100923</v>
      </c>
      <c r="BK30" s="158">
        <f t="shared" si="31"/>
        <v>269144552.6077565</v>
      </c>
      <c r="BL30" s="158">
        <f t="shared" si="32"/>
        <v>10651172.363028111</v>
      </c>
      <c r="BM30" s="10"/>
      <c r="BN30" s="10">
        <f t="shared" si="33"/>
        <v>1166488854.4139216</v>
      </c>
      <c r="BO30" s="10">
        <f t="shared" si="34"/>
        <v>726917289.03950107</v>
      </c>
      <c r="BQ30" s="10">
        <f t="shared" si="15"/>
        <v>36490305.599999994</v>
      </c>
      <c r="BR30" s="10">
        <f t="shared" si="35"/>
        <v>22739552.051958594</v>
      </c>
    </row>
    <row r="31" spans="3:70" x14ac:dyDescent="0.15">
      <c r="C31" s="4" t="s">
        <v>568</v>
      </c>
      <c r="D31" s="100"/>
      <c r="E31" s="100"/>
      <c r="F31" s="4"/>
      <c r="G31" s="100"/>
      <c r="I31" s="38">
        <f t="shared" si="36"/>
        <v>2046</v>
      </c>
      <c r="J31" s="39"/>
      <c r="K31" s="39">
        <f t="shared" si="37"/>
        <v>17</v>
      </c>
      <c r="L31" s="39"/>
      <c r="M31" s="40">
        <f t="shared" si="0"/>
        <v>0.60501644584477121</v>
      </c>
      <c r="N31" s="39"/>
      <c r="O31" s="72">
        <f t="shared" si="16"/>
        <v>0</v>
      </c>
      <c r="P31" s="41" t="str">
        <f t="shared" si="1"/>
        <v>-</v>
      </c>
      <c r="Q31" s="39"/>
      <c r="R31" s="72">
        <f t="shared" si="17"/>
        <v>194439660.2105557</v>
      </c>
      <c r="S31" s="39"/>
      <c r="T31" s="72">
        <f t="shared" si="18"/>
        <v>194439000</v>
      </c>
      <c r="U31" s="39"/>
      <c r="V31" s="72">
        <f t="shared" si="2"/>
        <v>0</v>
      </c>
      <c r="W31" s="72">
        <f t="shared" si="19"/>
        <v>0</v>
      </c>
      <c r="X31" s="39"/>
      <c r="Y31" s="72">
        <f t="shared" si="3"/>
        <v>2722100</v>
      </c>
      <c r="Z31" s="72">
        <f t="shared" si="20"/>
        <v>1646915.2672340516</v>
      </c>
      <c r="AA31" s="39"/>
      <c r="AB31" s="72">
        <f t="shared" si="4"/>
        <v>0</v>
      </c>
      <c r="AC31" s="72">
        <f t="shared" si="21"/>
        <v>0</v>
      </c>
      <c r="AD31" s="39"/>
      <c r="AE31" s="72">
        <f t="shared" si="5"/>
        <v>0</v>
      </c>
      <c r="AF31" s="72">
        <f t="shared" si="22"/>
        <v>0</v>
      </c>
      <c r="AG31" s="39"/>
      <c r="AH31" s="10">
        <f t="shared" si="38"/>
        <v>153899999.99999997</v>
      </c>
      <c r="AI31" s="72">
        <f t="shared" si="23"/>
        <v>93112031.015510276</v>
      </c>
      <c r="AJ31" s="39"/>
      <c r="AK31" s="72">
        <f t="shared" si="7"/>
        <v>0</v>
      </c>
      <c r="AL31" s="72">
        <f t="shared" si="24"/>
        <v>0</v>
      </c>
      <c r="AM31" s="39"/>
      <c r="AN31" s="72">
        <f t="shared" si="8"/>
        <v>0</v>
      </c>
      <c r="AO31" s="72">
        <f t="shared" si="25"/>
        <v>0</v>
      </c>
      <c r="AP31" s="39"/>
      <c r="AQ31" s="72">
        <f t="shared" si="9"/>
        <v>0</v>
      </c>
      <c r="AR31" s="72">
        <f t="shared" si="26"/>
        <v>0</v>
      </c>
      <c r="AS31" s="39"/>
      <c r="AT31" s="40">
        <f>IF($K31&lt;=$F$15,IF($F$40&lt;&gt;"",$F$40/1000,IF(ISERROR(VLOOKUP($F$3&amp;IF($G$4&lt;&gt;"",$G$4,"")&amp;IF($F$43&lt;&gt;"","_"&amp;$F$43,""),'表3）燃料価格'!$AF$9:$AG$25,2,0)),0,VLOOKUP($I31,'表3）燃料価格'!$A$6:$U$66,VLOOKUP($F$3&amp;IF($G$4&lt;&gt;"",$G$4,"")&amp;IF($F$43&lt;&gt;"","_"&amp;$F$43,""),'表3）燃料価格'!$AF$9:$AG$25,2,0)+VLOOKUP($F$41,'表3）燃料価格'!$AF$28:$AG$29,2,0),0)*IF($F$43="需要地価格",1,$F$8/$F$141))),"")</f>
        <v>12</v>
      </c>
      <c r="AU31" s="39"/>
      <c r="AV31" s="72">
        <f t="shared" si="10"/>
        <v>764999999.99999988</v>
      </c>
      <c r="AW31" s="72">
        <f t="shared" si="11"/>
        <v>462837581.0712499</v>
      </c>
      <c r="AX31" s="39"/>
      <c r="AY31" s="40">
        <f>IF(ISERROR(IF($K31&lt;=$F$15,VLOOKUP($I31,'表4）CO2価格'!$A$7:$E$67,VLOOKUP($F$48,'表4）CO2価格'!$H$10:$I$12,2,0),0)*$F$8/1000,"")),0,IF($K31&lt;=$F$15,VLOOKUP($I31,'表4）CO2価格'!$A$7:$E$67,VLOOKUP($F$48,'表4）CO2価格'!$H$10:$I$12,2,0),0)*$F$8/1000,""))</f>
        <v>0</v>
      </c>
      <c r="AZ31" s="39"/>
      <c r="BA31" s="42">
        <f t="shared" si="12"/>
        <v>0</v>
      </c>
      <c r="BB31" s="72">
        <f t="shared" si="27"/>
        <v>0</v>
      </c>
      <c r="BC31" s="39"/>
      <c r="BD31" s="72">
        <f t="shared" si="13"/>
        <v>0</v>
      </c>
      <c r="BE31" s="72">
        <f t="shared" si="28"/>
        <v>0</v>
      </c>
      <c r="BF31" s="39"/>
      <c r="BG31" s="42">
        <f t="shared" si="14"/>
        <v>0</v>
      </c>
      <c r="BH31" s="72">
        <f t="shared" si="29"/>
        <v>0</v>
      </c>
      <c r="BI31" s="39"/>
      <c r="BJ31" s="40">
        <f t="shared" si="30"/>
        <v>0.27026895144537894</v>
      </c>
      <c r="BK31" s="157">
        <f t="shared" si="31"/>
        <v>249085838.59588814</v>
      </c>
      <c r="BL31" s="157">
        <f t="shared" si="32"/>
        <v>9862196.6324334368</v>
      </c>
      <c r="BM31" s="72"/>
      <c r="BN31" s="72">
        <f t="shared" si="33"/>
        <v>1166488854.4139216</v>
      </c>
      <c r="BO31" s="72">
        <f t="shared" si="34"/>
        <v>705744940.81504965</v>
      </c>
      <c r="BP31" s="39"/>
      <c r="BQ31" s="72">
        <f t="shared" si="15"/>
        <v>36490305.599999994</v>
      </c>
      <c r="BR31" s="72">
        <f t="shared" si="35"/>
        <v>22077235.001901548</v>
      </c>
    </row>
    <row r="32" spans="3:70" x14ac:dyDescent="0.15">
      <c r="I32" s="457">
        <f t="shared" si="36"/>
        <v>2047</v>
      </c>
      <c r="K32" s="71">
        <f t="shared" si="37"/>
        <v>18</v>
      </c>
      <c r="M32" s="7">
        <f t="shared" si="0"/>
        <v>0.5873946076162827</v>
      </c>
      <c r="O32" s="10">
        <f t="shared" si="16"/>
        <v>0</v>
      </c>
      <c r="P32" s="29" t="str">
        <f t="shared" si="1"/>
        <v>-</v>
      </c>
      <c r="R32" s="10">
        <f t="shared" si="17"/>
        <v>166770099.08600068</v>
      </c>
      <c r="T32" s="10">
        <f t="shared" si="18"/>
        <v>166770000</v>
      </c>
      <c r="V32" s="10">
        <f t="shared" si="2"/>
        <v>0</v>
      </c>
      <c r="W32" s="10">
        <f t="shared" si="19"/>
        <v>0</v>
      </c>
      <c r="Y32" s="10">
        <f t="shared" si="3"/>
        <v>2334700</v>
      </c>
      <c r="Z32" s="10">
        <f t="shared" si="20"/>
        <v>1371390.1904017352</v>
      </c>
      <c r="AB32" s="10">
        <f t="shared" si="4"/>
        <v>0</v>
      </c>
      <c r="AC32" s="10">
        <f t="shared" si="21"/>
        <v>0</v>
      </c>
      <c r="AE32" s="10">
        <f t="shared" si="5"/>
        <v>0</v>
      </c>
      <c r="AF32" s="10">
        <f t="shared" si="22"/>
        <v>0</v>
      </c>
      <c r="AH32" s="10">
        <f t="shared" si="38"/>
        <v>153899999.99999997</v>
      </c>
      <c r="AI32" s="10">
        <f t="shared" si="23"/>
        <v>90400030.112145886</v>
      </c>
      <c r="AK32" s="10">
        <f t="shared" si="7"/>
        <v>0</v>
      </c>
      <c r="AL32" s="10">
        <f t="shared" si="24"/>
        <v>0</v>
      </c>
      <c r="AN32" s="10">
        <f t="shared" si="8"/>
        <v>0</v>
      </c>
      <c r="AO32" s="10">
        <f t="shared" si="25"/>
        <v>0</v>
      </c>
      <c r="AQ32" s="10">
        <f t="shared" si="9"/>
        <v>0</v>
      </c>
      <c r="AR32" s="10">
        <f t="shared" si="26"/>
        <v>0</v>
      </c>
      <c r="AT32" s="7">
        <f>IF($K32&lt;=$F$15,IF($F$40&lt;&gt;"",$F$40/1000,IF(ISERROR(VLOOKUP($F$3&amp;IF($G$4&lt;&gt;"",$G$4,"")&amp;IF($F$43&lt;&gt;"","_"&amp;$F$43,""),'表3）燃料価格'!$AF$9:$AG$25,2,0)),0,VLOOKUP($I32,'表3）燃料価格'!$A$6:$U$66,VLOOKUP($F$3&amp;IF($G$4&lt;&gt;"",$G$4,"")&amp;IF($F$43&lt;&gt;"","_"&amp;$F$43,""),'表3）燃料価格'!$AF$9:$AG$25,2,0)+VLOOKUP($F$41,'表3）燃料価格'!$AF$28:$AG$29,2,0),0)*IF($F$43="需要地価格",1,$F$8/$F$141))),"")</f>
        <v>12</v>
      </c>
      <c r="AV32" s="10">
        <f t="shared" si="10"/>
        <v>764999999.99999988</v>
      </c>
      <c r="AW32" s="10">
        <f t="shared" si="11"/>
        <v>449356874.82645619</v>
      </c>
      <c r="AY32" s="7">
        <f>IF(ISERROR(IF($K32&lt;=$F$15,VLOOKUP($I32,'表4）CO2価格'!$A$7:$E$67,VLOOKUP($F$48,'表4）CO2価格'!$H$10:$I$12,2,0),0)*$F$8/1000,"")),0,IF($K32&lt;=$F$15,VLOOKUP($I32,'表4）CO2価格'!$A$7:$E$67,VLOOKUP($F$48,'表4）CO2価格'!$H$10:$I$12,2,0),0)*$F$8/1000,""))</f>
        <v>0</v>
      </c>
      <c r="BA32" s="11">
        <f t="shared" si="12"/>
        <v>0</v>
      </c>
      <c r="BB32" s="10">
        <f t="shared" si="27"/>
        <v>0</v>
      </c>
      <c r="BD32" s="10">
        <f t="shared" si="13"/>
        <v>0</v>
      </c>
      <c r="BE32" s="10">
        <f t="shared" si="28"/>
        <v>0</v>
      </c>
      <c r="BG32" s="11">
        <f t="shared" si="14"/>
        <v>0</v>
      </c>
      <c r="BH32" s="10">
        <f t="shared" si="29"/>
        <v>0</v>
      </c>
      <c r="BJ32" s="7">
        <f t="shared" si="30"/>
        <v>0.25024902911609154</v>
      </c>
      <c r="BK32" s="158">
        <f t="shared" si="31"/>
        <v>230538089.26305383</v>
      </c>
      <c r="BL32" s="158">
        <f t="shared" si="32"/>
        <v>9131663.548549477</v>
      </c>
      <c r="BM32" s="10"/>
      <c r="BN32" s="10">
        <f t="shared" si="33"/>
        <v>1166488854.4139216</v>
      </c>
      <c r="BO32" s="10">
        <f t="shared" si="34"/>
        <v>685189262.92723262</v>
      </c>
      <c r="BQ32" s="10">
        <f t="shared" si="15"/>
        <v>36490305.599999994</v>
      </c>
      <c r="BR32" s="10">
        <f t="shared" si="35"/>
        <v>21434208.739710242</v>
      </c>
    </row>
    <row r="33" spans="3:70" x14ac:dyDescent="0.15">
      <c r="D33" s="160" t="s">
        <v>232</v>
      </c>
      <c r="F33" s="475">
        <v>2.7</v>
      </c>
      <c r="G33" s="160" t="s">
        <v>241</v>
      </c>
      <c r="I33" s="38">
        <f t="shared" si="36"/>
        <v>2048</v>
      </c>
      <c r="J33" s="39"/>
      <c r="K33" s="39">
        <f t="shared" si="37"/>
        <v>19</v>
      </c>
      <c r="L33" s="39"/>
      <c r="M33" s="40">
        <f t="shared" si="0"/>
        <v>0.57028602681192497</v>
      </c>
      <c r="N33" s="39"/>
      <c r="O33" s="72">
        <f t="shared" si="16"/>
        <v>0</v>
      </c>
      <c r="P33" s="41" t="str">
        <f t="shared" si="1"/>
        <v>-</v>
      </c>
      <c r="Q33" s="39"/>
      <c r="R33" s="72">
        <f t="shared" si="17"/>
        <v>143038029.99365979</v>
      </c>
      <c r="S33" s="39"/>
      <c r="T33" s="72">
        <f t="shared" si="18"/>
        <v>143038000</v>
      </c>
      <c r="U33" s="39"/>
      <c r="V33" s="72">
        <f t="shared" si="2"/>
        <v>0</v>
      </c>
      <c r="W33" s="72">
        <f t="shared" si="19"/>
        <v>0</v>
      </c>
      <c r="X33" s="39"/>
      <c r="Y33" s="72">
        <f t="shared" si="3"/>
        <v>2002500</v>
      </c>
      <c r="Z33" s="72">
        <f t="shared" si="20"/>
        <v>1141997.7686908797</v>
      </c>
      <c r="AA33" s="39"/>
      <c r="AB33" s="72">
        <f t="shared" si="4"/>
        <v>0</v>
      </c>
      <c r="AC33" s="72">
        <f t="shared" si="21"/>
        <v>0</v>
      </c>
      <c r="AD33" s="39"/>
      <c r="AE33" s="72">
        <f t="shared" si="5"/>
        <v>0</v>
      </c>
      <c r="AF33" s="72">
        <f t="shared" si="22"/>
        <v>0</v>
      </c>
      <c r="AG33" s="39"/>
      <c r="AH33" s="10">
        <f t="shared" si="38"/>
        <v>153899999.99999997</v>
      </c>
      <c r="AI33" s="72">
        <f t="shared" si="23"/>
        <v>87767019.526355237</v>
      </c>
      <c r="AJ33" s="39"/>
      <c r="AK33" s="72">
        <f t="shared" si="7"/>
        <v>0</v>
      </c>
      <c r="AL33" s="72">
        <f t="shared" si="24"/>
        <v>0</v>
      </c>
      <c r="AM33" s="39"/>
      <c r="AN33" s="72">
        <f t="shared" si="8"/>
        <v>0</v>
      </c>
      <c r="AO33" s="72">
        <f t="shared" si="25"/>
        <v>0</v>
      </c>
      <c r="AP33" s="39"/>
      <c r="AQ33" s="72">
        <f t="shared" si="9"/>
        <v>0</v>
      </c>
      <c r="AR33" s="72">
        <f t="shared" si="26"/>
        <v>0</v>
      </c>
      <c r="AS33" s="39"/>
      <c r="AT33" s="40">
        <f>IF($K33&lt;=$F$15,IF($F$40&lt;&gt;"",$F$40/1000,IF(ISERROR(VLOOKUP($F$3&amp;IF($G$4&lt;&gt;"",$G$4,"")&amp;IF($F$43&lt;&gt;"","_"&amp;$F$43,""),'表3）燃料価格'!$AF$9:$AG$25,2,0)),0,VLOOKUP($I33,'表3）燃料価格'!$A$6:$U$66,VLOOKUP($F$3&amp;IF($G$4&lt;&gt;"",$G$4,"")&amp;IF($F$43&lt;&gt;"","_"&amp;$F$43,""),'表3）燃料価格'!$AF$9:$AG$25,2,0)+VLOOKUP($F$41,'表3）燃料価格'!$AF$28:$AG$29,2,0),0)*IF($F$43="需要地価格",1,$F$8/$F$141))),"")</f>
        <v>12</v>
      </c>
      <c r="AU33" s="39"/>
      <c r="AV33" s="72">
        <f t="shared" si="10"/>
        <v>764999999.99999988</v>
      </c>
      <c r="AW33" s="72">
        <f t="shared" si="11"/>
        <v>436268810.51112252</v>
      </c>
      <c r="AX33" s="39"/>
      <c r="AY33" s="40">
        <f>IF(ISERROR(IF($K33&lt;=$F$15,VLOOKUP($I33,'表4）CO2価格'!$A$7:$E$67,VLOOKUP($F$48,'表4）CO2価格'!$H$10:$I$12,2,0),0)*$F$8/1000,"")),0,IF($K33&lt;=$F$15,VLOOKUP($I33,'表4）CO2価格'!$A$7:$E$67,VLOOKUP($F$48,'表4）CO2価格'!$H$10:$I$12,2,0),0)*$F$8/1000,""))</f>
        <v>0</v>
      </c>
      <c r="AZ33" s="39"/>
      <c r="BA33" s="42">
        <f t="shared" si="12"/>
        <v>0</v>
      </c>
      <c r="BB33" s="72">
        <f t="shared" si="27"/>
        <v>0</v>
      </c>
      <c r="BC33" s="39"/>
      <c r="BD33" s="72">
        <f t="shared" si="13"/>
        <v>0</v>
      </c>
      <c r="BE33" s="72">
        <f t="shared" si="28"/>
        <v>0</v>
      </c>
      <c r="BF33" s="39"/>
      <c r="BG33" s="42">
        <f t="shared" si="14"/>
        <v>0</v>
      </c>
      <c r="BH33" s="72">
        <f t="shared" si="29"/>
        <v>0</v>
      </c>
      <c r="BI33" s="39"/>
      <c r="BJ33" s="40">
        <f t="shared" si="30"/>
        <v>0.23171206399638106</v>
      </c>
      <c r="BK33" s="157">
        <f t="shared" si="31"/>
        <v>213384219.01442727</v>
      </c>
      <c r="BL33" s="157">
        <f t="shared" si="32"/>
        <v>8455244.0264347009</v>
      </c>
      <c r="BM33" s="72"/>
      <c r="BN33" s="72">
        <f t="shared" si="33"/>
        <v>1166488854.4139216</v>
      </c>
      <c r="BO33" s="72">
        <f t="shared" si="34"/>
        <v>665232294.10410929</v>
      </c>
      <c r="BP33" s="39"/>
      <c r="BQ33" s="72">
        <f t="shared" si="15"/>
        <v>36490305.599999994</v>
      </c>
      <c r="BR33" s="72">
        <f t="shared" si="35"/>
        <v>20809911.397776932</v>
      </c>
    </row>
    <row r="34" spans="3:70" x14ac:dyDescent="0.15">
      <c r="F34" s="475"/>
      <c r="I34" s="457">
        <f t="shared" si="36"/>
        <v>2049</v>
      </c>
      <c r="K34" s="71">
        <f t="shared" si="37"/>
        <v>20</v>
      </c>
      <c r="M34" s="7">
        <f t="shared" si="0"/>
        <v>0.55367575418633497</v>
      </c>
      <c r="O34" s="10">
        <f t="shared" si="16"/>
        <v>0</v>
      </c>
      <c r="P34" s="29" t="str">
        <f t="shared" si="1"/>
        <v>-</v>
      </c>
      <c r="R34" s="10">
        <f t="shared" si="17"/>
        <v>122683131.66808331</v>
      </c>
      <c r="T34" s="10">
        <f t="shared" si="18"/>
        <v>122683000</v>
      </c>
      <c r="V34" s="10">
        <f t="shared" si="2"/>
        <v>0</v>
      </c>
      <c r="W34" s="10">
        <f t="shared" si="19"/>
        <v>0</v>
      </c>
      <c r="Y34" s="10">
        <f t="shared" si="3"/>
        <v>1717500</v>
      </c>
      <c r="Z34" s="10">
        <f t="shared" si="20"/>
        <v>950938.10781503026</v>
      </c>
      <c r="AB34" s="10">
        <f t="shared" si="4"/>
        <v>0</v>
      </c>
      <c r="AC34" s="10">
        <f t="shared" si="21"/>
        <v>0</v>
      </c>
      <c r="AE34" s="10">
        <f t="shared" si="5"/>
        <v>0</v>
      </c>
      <c r="AF34" s="10">
        <f t="shared" si="22"/>
        <v>0</v>
      </c>
      <c r="AH34" s="10">
        <f t="shared" si="38"/>
        <v>153899999.99999997</v>
      </c>
      <c r="AI34" s="10">
        <f t="shared" si="23"/>
        <v>85210698.569276929</v>
      </c>
      <c r="AK34" s="10">
        <f t="shared" si="7"/>
        <v>0</v>
      </c>
      <c r="AL34" s="10">
        <f t="shared" si="24"/>
        <v>0</v>
      </c>
      <c r="AN34" s="10">
        <f t="shared" si="8"/>
        <v>0</v>
      </c>
      <c r="AO34" s="10">
        <f t="shared" si="25"/>
        <v>0</v>
      </c>
      <c r="AQ34" s="10">
        <f t="shared" si="9"/>
        <v>0</v>
      </c>
      <c r="AR34" s="10">
        <f t="shared" si="26"/>
        <v>0</v>
      </c>
      <c r="AT34" s="7">
        <f>IF($K34&lt;=$F$15,IF($F$40&lt;&gt;"",$F$40/1000,IF(ISERROR(VLOOKUP($F$3&amp;IF($G$4&lt;&gt;"",$G$4,"")&amp;IF($F$43&lt;&gt;"","_"&amp;$F$43,""),'表3）燃料価格'!$AF$9:$AG$25,2,0)),0,VLOOKUP($I34,'表3）燃料価格'!$A$6:$U$66,VLOOKUP($F$3&amp;IF($G$4&lt;&gt;"",$G$4,"")&amp;IF($F$43&lt;&gt;"","_"&amp;$F$43,""),'表3）燃料価格'!$AF$9:$AG$25,2,0)+VLOOKUP($F$41,'表3）燃料価格'!$AF$28:$AG$29,2,0),0)*IF($F$43="需要地価格",1,$F$8/$F$141))),"")</f>
        <v>12</v>
      </c>
      <c r="AV34" s="10">
        <f t="shared" si="10"/>
        <v>764999999.99999988</v>
      </c>
      <c r="AW34" s="10">
        <f t="shared" si="11"/>
        <v>423561951.95254618</v>
      </c>
      <c r="AY34" s="7">
        <f>IF(ISERROR(IF($K34&lt;=$F$15,VLOOKUP($I34,'表4）CO2価格'!$A$7:$E$67,VLOOKUP($F$48,'表4）CO2価格'!$H$10:$I$12,2,0),0)*$F$8/1000,"")),0,IF($K34&lt;=$F$15,VLOOKUP($I34,'表4）CO2価格'!$A$7:$E$67,VLOOKUP($F$48,'表4）CO2価格'!$H$10:$I$12,2,0),0)*$F$8/1000,""))</f>
        <v>0</v>
      </c>
      <c r="BA34" s="11">
        <f t="shared" si="12"/>
        <v>0</v>
      </c>
      <c r="BB34" s="10">
        <f t="shared" si="27"/>
        <v>0</v>
      </c>
      <c r="BD34" s="10">
        <f t="shared" si="13"/>
        <v>0</v>
      </c>
      <c r="BE34" s="10">
        <f t="shared" si="28"/>
        <v>0</v>
      </c>
      <c r="BG34" s="11">
        <f t="shared" si="14"/>
        <v>0</v>
      </c>
      <c r="BH34" s="10">
        <f t="shared" si="29"/>
        <v>0</v>
      </c>
      <c r="BJ34" s="7">
        <f t="shared" si="30"/>
        <v>0.21454820740405653</v>
      </c>
      <c r="BK34" s="158">
        <f t="shared" si="31"/>
        <v>197516834.32980397</v>
      </c>
      <c r="BL34" s="158">
        <f t="shared" si="32"/>
        <v>7828929.6541062044</v>
      </c>
      <c r="BM34" s="10"/>
      <c r="BN34" s="10">
        <f t="shared" si="33"/>
        <v>1166488854.4139216</v>
      </c>
      <c r="BO34" s="10">
        <f t="shared" si="34"/>
        <v>645856596.21758199</v>
      </c>
      <c r="BQ34" s="10">
        <f t="shared" si="15"/>
        <v>36490305.599999994</v>
      </c>
      <c r="BR34" s="10">
        <f t="shared" si="35"/>
        <v>20203797.47356984</v>
      </c>
    </row>
    <row r="35" spans="3:70" x14ac:dyDescent="0.15">
      <c r="F35" s="475"/>
      <c r="I35" s="38">
        <f t="shared" si="36"/>
        <v>2050</v>
      </c>
      <c r="J35" s="39"/>
      <c r="K35" s="39">
        <f t="shared" si="37"/>
        <v>21</v>
      </c>
      <c r="L35" s="39"/>
      <c r="M35" s="40">
        <f t="shared" si="0"/>
        <v>0.5375492759090631</v>
      </c>
      <c r="N35" s="39"/>
      <c r="O35" s="72">
        <f t="shared" si="16"/>
        <v>0</v>
      </c>
      <c r="P35" s="41" t="str">
        <f t="shared" si="1"/>
        <v>-</v>
      </c>
      <c r="Q35" s="39"/>
      <c r="R35" s="72">
        <f t="shared" si="17"/>
        <v>113350000</v>
      </c>
      <c r="S35" s="39"/>
      <c r="T35" s="72">
        <f t="shared" si="18"/>
        <v>113350000</v>
      </c>
      <c r="U35" s="39"/>
      <c r="V35" s="72">
        <f t="shared" si="2"/>
        <v>0</v>
      </c>
      <c r="W35" s="72">
        <f t="shared" si="19"/>
        <v>0</v>
      </c>
      <c r="X35" s="39"/>
      <c r="Y35" s="72">
        <f t="shared" si="3"/>
        <v>1586900</v>
      </c>
      <c r="Z35" s="72">
        <f t="shared" si="20"/>
        <v>853036.94594009221</v>
      </c>
      <c r="AA35" s="39"/>
      <c r="AB35" s="72">
        <f t="shared" si="4"/>
        <v>0</v>
      </c>
      <c r="AC35" s="72">
        <f t="shared" si="21"/>
        <v>0</v>
      </c>
      <c r="AD35" s="39"/>
      <c r="AE35" s="72">
        <f t="shared" si="5"/>
        <v>0</v>
      </c>
      <c r="AF35" s="72">
        <f t="shared" si="22"/>
        <v>0</v>
      </c>
      <c r="AG35" s="39"/>
      <c r="AH35" s="10">
        <f t="shared" si="38"/>
        <v>153899999.99999997</v>
      </c>
      <c r="AI35" s="72">
        <f t="shared" si="23"/>
        <v>82728833.562404796</v>
      </c>
      <c r="AJ35" s="39"/>
      <c r="AK35" s="72">
        <f t="shared" si="7"/>
        <v>0</v>
      </c>
      <c r="AL35" s="72">
        <f t="shared" si="24"/>
        <v>0</v>
      </c>
      <c r="AM35" s="39"/>
      <c r="AN35" s="72">
        <f t="shared" si="8"/>
        <v>0</v>
      </c>
      <c r="AO35" s="72">
        <f t="shared" si="25"/>
        <v>0</v>
      </c>
      <c r="AP35" s="39"/>
      <c r="AQ35" s="72">
        <f t="shared" si="9"/>
        <v>0</v>
      </c>
      <c r="AR35" s="72">
        <f t="shared" si="26"/>
        <v>0</v>
      </c>
      <c r="AS35" s="39"/>
      <c r="AT35" s="40">
        <f>IF($K35&lt;=$F$15,IF($F$40&lt;&gt;"",$F$40/1000,IF(ISERROR(VLOOKUP($F$3&amp;IF($G$4&lt;&gt;"",$G$4,"")&amp;IF($F$43&lt;&gt;"","_"&amp;$F$43,""),'表3）燃料価格'!$AF$9:$AG$25,2,0)),0,VLOOKUP($I35,'表3）燃料価格'!$A$6:$U$66,VLOOKUP($F$3&amp;IF($G$4&lt;&gt;"",$G$4,"")&amp;IF($F$43&lt;&gt;"","_"&amp;$F$43,""),'表3）燃料価格'!$AF$9:$AG$25,2,0)+VLOOKUP($F$41,'表3）燃料価格'!$AF$28:$AG$29,2,0),0)*IF($F$43="需要地価格",1,$F$8/$F$141))),"")</f>
        <v>12</v>
      </c>
      <c r="AU35" s="39"/>
      <c r="AV35" s="72">
        <f t="shared" si="10"/>
        <v>764999999.99999988</v>
      </c>
      <c r="AW35" s="72">
        <f t="shared" si="11"/>
        <v>411225196.0704332</v>
      </c>
      <c r="AX35" s="39"/>
      <c r="AY35" s="40">
        <f>IF(ISERROR(IF($K35&lt;=$F$15,VLOOKUP($I35,'表4）CO2価格'!$A$7:$E$67,VLOOKUP($F$48,'表4）CO2価格'!$H$10:$I$12,2,0),0)*$F$8/1000,"")),0,IF($K35&lt;=$F$15,VLOOKUP($I35,'表4）CO2価格'!$A$7:$E$67,VLOOKUP($F$48,'表4）CO2価格'!$H$10:$I$12,2,0),0)*$F$8/1000,""))</f>
        <v>0</v>
      </c>
      <c r="AZ35" s="39"/>
      <c r="BA35" s="42">
        <f t="shared" si="12"/>
        <v>0</v>
      </c>
      <c r="BB35" s="72">
        <f t="shared" si="27"/>
        <v>0</v>
      </c>
      <c r="BC35" s="39"/>
      <c r="BD35" s="72">
        <f t="shared" si="13"/>
        <v>0</v>
      </c>
      <c r="BE35" s="72">
        <f t="shared" si="28"/>
        <v>0</v>
      </c>
      <c r="BF35" s="39"/>
      <c r="BG35" s="42">
        <f t="shared" si="14"/>
        <v>0</v>
      </c>
      <c r="BH35" s="72">
        <f t="shared" si="29"/>
        <v>0</v>
      </c>
      <c r="BI35" s="39"/>
      <c r="BJ35" s="40">
        <f t="shared" si="30"/>
        <v>0.19865574759634863</v>
      </c>
      <c r="BK35" s="157">
        <f t="shared" si="31"/>
        <v>22517628.990046117</v>
      </c>
      <c r="BL35" s="157" t="str">
        <f t="shared" si="32"/>
        <v/>
      </c>
      <c r="BM35" s="72"/>
      <c r="BN35" s="72" t="str">
        <f t="shared" si="33"/>
        <v/>
      </c>
      <c r="BO35" s="72" t="str">
        <f t="shared" si="34"/>
        <v/>
      </c>
      <c r="BP35" s="39"/>
      <c r="BQ35" s="72">
        <f t="shared" si="15"/>
        <v>36490305.599999994</v>
      </c>
      <c r="BR35" s="72">
        <f t="shared" si="35"/>
        <v>19615337.352980427</v>
      </c>
    </row>
    <row r="36" spans="3:70" x14ac:dyDescent="0.15">
      <c r="F36" s="502"/>
      <c r="I36" s="457">
        <f t="shared" si="36"/>
        <v>2051</v>
      </c>
      <c r="K36" s="71">
        <f t="shared" si="37"/>
        <v>22</v>
      </c>
      <c r="M36" s="7">
        <f t="shared" si="0"/>
        <v>0.52189250088258554</v>
      </c>
      <c r="O36" s="10">
        <f t="shared" si="16"/>
        <v>0</v>
      </c>
      <c r="P36" s="29" t="str">
        <f t="shared" si="1"/>
        <v>-</v>
      </c>
      <c r="R36" s="10">
        <f t="shared" si="17"/>
        <v>113350000</v>
      </c>
      <c r="T36" s="10">
        <f t="shared" si="18"/>
        <v>113350000</v>
      </c>
      <c r="V36" s="10">
        <f t="shared" si="2"/>
        <v>0</v>
      </c>
      <c r="W36" s="10">
        <f t="shared" si="19"/>
        <v>0</v>
      </c>
      <c r="Y36" s="10">
        <f t="shared" si="3"/>
        <v>1586900</v>
      </c>
      <c r="Z36" s="10">
        <f t="shared" si="20"/>
        <v>828191.20965057495</v>
      </c>
      <c r="AB36" s="10">
        <f t="shared" si="4"/>
        <v>0</v>
      </c>
      <c r="AC36" s="10">
        <f t="shared" si="21"/>
        <v>0</v>
      </c>
      <c r="AE36" s="10">
        <f t="shared" si="5"/>
        <v>0</v>
      </c>
      <c r="AF36" s="10">
        <f t="shared" si="22"/>
        <v>0</v>
      </c>
      <c r="AH36" s="10">
        <f t="shared" si="38"/>
        <v>153899999.99999997</v>
      </c>
      <c r="AI36" s="10">
        <f t="shared" si="23"/>
        <v>80319255.885829896</v>
      </c>
      <c r="AK36" s="10">
        <f t="shared" si="7"/>
        <v>0</v>
      </c>
      <c r="AL36" s="10">
        <f t="shared" si="24"/>
        <v>0</v>
      </c>
      <c r="AN36" s="10">
        <f t="shared" si="8"/>
        <v>0</v>
      </c>
      <c r="AO36" s="10">
        <f t="shared" si="25"/>
        <v>0</v>
      </c>
      <c r="AQ36" s="10">
        <f t="shared" si="9"/>
        <v>0</v>
      </c>
      <c r="AR36" s="10">
        <f t="shared" si="26"/>
        <v>0</v>
      </c>
      <c r="AT36" s="7">
        <f>IF($K36&lt;=$F$15,IF($F$40&lt;&gt;"",$F$40/1000,IF(ISERROR(VLOOKUP($F$3&amp;IF($G$4&lt;&gt;"",$G$4,"")&amp;IF($F$43&lt;&gt;"","_"&amp;$F$43,""),'表3）燃料価格'!$AF$9:$AG$25,2,0)),0,VLOOKUP($I36,'表3）燃料価格'!$A$6:$U$66,VLOOKUP($F$3&amp;IF($G$4&lt;&gt;"",$G$4,"")&amp;IF($F$43&lt;&gt;"","_"&amp;$F$43,""),'表3）燃料価格'!$AF$9:$AG$25,2,0)+VLOOKUP($F$41,'表3）燃料価格'!$AF$28:$AG$29,2,0),0)*IF($F$43="需要地価格",1,$F$8/$F$141))),"")</f>
        <v>12</v>
      </c>
      <c r="AV36" s="10">
        <f t="shared" si="10"/>
        <v>764999999.99999988</v>
      </c>
      <c r="AW36" s="10">
        <f t="shared" si="11"/>
        <v>399247763.17517787</v>
      </c>
      <c r="AY36" s="7">
        <f>IF(ISERROR(IF($K36&lt;=$F$15,VLOOKUP($I36,'表4）CO2価格'!$A$7:$E$67,VLOOKUP($F$48,'表4）CO2価格'!$H$10:$I$12,2,0),0)*$F$8/1000,"")),0,IF($K36&lt;=$F$15,VLOOKUP($I36,'表4）CO2価格'!$A$7:$E$67,VLOOKUP($F$48,'表4）CO2価格'!$H$10:$I$12,2,0),0)*$F$8/1000,""))</f>
        <v>0</v>
      </c>
      <c r="BA36" s="11">
        <f t="shared" si="12"/>
        <v>0</v>
      </c>
      <c r="BB36" s="10">
        <f t="shared" si="27"/>
        <v>0</v>
      </c>
      <c r="BD36" s="10">
        <f t="shared" si="13"/>
        <v>0</v>
      </c>
      <c r="BE36" s="10">
        <f t="shared" si="28"/>
        <v>0</v>
      </c>
      <c r="BG36" s="11">
        <f t="shared" si="14"/>
        <v>0</v>
      </c>
      <c r="BH36" s="10">
        <f t="shared" si="29"/>
        <v>0</v>
      </c>
      <c r="BJ36" s="7" t="str">
        <f t="shared" si="30"/>
        <v/>
      </c>
      <c r="BK36" s="158" t="str">
        <f t="shared" si="31"/>
        <v/>
      </c>
      <c r="BL36" s="158" t="str">
        <f t="shared" si="32"/>
        <v/>
      </c>
      <c r="BM36" s="10"/>
      <c r="BN36" s="10" t="str">
        <f t="shared" si="33"/>
        <v/>
      </c>
      <c r="BO36" s="10" t="str">
        <f t="shared" si="34"/>
        <v/>
      </c>
      <c r="BQ36" s="10">
        <f t="shared" si="15"/>
        <v>36490305.599999994</v>
      </c>
      <c r="BR36" s="10">
        <f t="shared" si="35"/>
        <v>19044016.847553812</v>
      </c>
    </row>
    <row r="37" spans="3:70" x14ac:dyDescent="0.15">
      <c r="I37" s="38">
        <f t="shared" si="36"/>
        <v>2052</v>
      </c>
      <c r="J37" s="39"/>
      <c r="K37" s="39">
        <f t="shared" si="37"/>
        <v>23</v>
      </c>
      <c r="L37" s="39"/>
      <c r="M37" s="40">
        <f t="shared" si="0"/>
        <v>0.50669174842969467</v>
      </c>
      <c r="N37" s="39"/>
      <c r="O37" s="72">
        <f t="shared" si="16"/>
        <v>0</v>
      </c>
      <c r="P37" s="41" t="str">
        <f t="shared" si="1"/>
        <v>-</v>
      </c>
      <c r="Q37" s="39"/>
      <c r="R37" s="72">
        <f t="shared" si="17"/>
        <v>113350000</v>
      </c>
      <c r="S37" s="39"/>
      <c r="T37" s="72">
        <f t="shared" si="18"/>
        <v>113350000</v>
      </c>
      <c r="U37" s="39"/>
      <c r="V37" s="72">
        <f t="shared" si="2"/>
        <v>0</v>
      </c>
      <c r="W37" s="72">
        <f t="shared" si="19"/>
        <v>0</v>
      </c>
      <c r="X37" s="39"/>
      <c r="Y37" s="72">
        <f t="shared" si="3"/>
        <v>1586900</v>
      </c>
      <c r="Z37" s="72">
        <f t="shared" si="20"/>
        <v>804069.13558308245</v>
      </c>
      <c r="AA37" s="39"/>
      <c r="AB37" s="72">
        <f t="shared" si="4"/>
        <v>0</v>
      </c>
      <c r="AC37" s="72">
        <f t="shared" si="21"/>
        <v>0</v>
      </c>
      <c r="AD37" s="39"/>
      <c r="AE37" s="72">
        <f t="shared" si="5"/>
        <v>0</v>
      </c>
      <c r="AF37" s="72">
        <f t="shared" si="22"/>
        <v>0</v>
      </c>
      <c r="AG37" s="39"/>
      <c r="AH37" s="10">
        <f t="shared" si="38"/>
        <v>153899999.99999997</v>
      </c>
      <c r="AI37" s="72">
        <f t="shared" si="23"/>
        <v>77979860.083329991</v>
      </c>
      <c r="AJ37" s="39"/>
      <c r="AK37" s="72">
        <f t="shared" si="7"/>
        <v>0</v>
      </c>
      <c r="AL37" s="72">
        <f t="shared" si="24"/>
        <v>0</v>
      </c>
      <c r="AM37" s="39"/>
      <c r="AN37" s="72">
        <f t="shared" si="8"/>
        <v>0</v>
      </c>
      <c r="AO37" s="72">
        <f t="shared" si="25"/>
        <v>0</v>
      </c>
      <c r="AP37" s="39"/>
      <c r="AQ37" s="72">
        <f t="shared" si="9"/>
        <v>0</v>
      </c>
      <c r="AR37" s="72">
        <f t="shared" si="26"/>
        <v>0</v>
      </c>
      <c r="AS37" s="39"/>
      <c r="AT37" s="40">
        <f>IF($K37&lt;=$F$15,IF($F$40&lt;&gt;"",$F$40/1000,IF(ISERROR(VLOOKUP($F$3&amp;IF($G$4&lt;&gt;"",$G$4,"")&amp;IF($F$43&lt;&gt;"","_"&amp;$F$43,""),'表3）燃料価格'!$AF$9:$AG$25,2,0)),0,VLOOKUP($I37,'表3）燃料価格'!$A$6:$U$66,VLOOKUP($F$3&amp;IF($G$4&lt;&gt;"",$G$4,"")&amp;IF($F$43&lt;&gt;"","_"&amp;$F$43,""),'表3）燃料価格'!$AF$9:$AG$25,2,0)+VLOOKUP($F$41,'表3）燃料価格'!$AF$28:$AG$29,2,0),0)*IF($F$43="需要地価格",1,$F$8/$F$141))),"")</f>
        <v>12</v>
      </c>
      <c r="AU37" s="39"/>
      <c r="AV37" s="72">
        <f t="shared" si="10"/>
        <v>764999999.99999988</v>
      </c>
      <c r="AW37" s="72">
        <f t="shared" si="11"/>
        <v>387619187.54871637</v>
      </c>
      <c r="AX37" s="39"/>
      <c r="AY37" s="40">
        <f>IF(ISERROR(IF($K37&lt;=$F$15,VLOOKUP($I37,'表4）CO2価格'!$A$7:$E$67,VLOOKUP($F$48,'表4）CO2価格'!$H$10:$I$12,2,0),0)*$F$8/1000,"")),0,IF($K37&lt;=$F$15,VLOOKUP($I37,'表4）CO2価格'!$A$7:$E$67,VLOOKUP($F$48,'表4）CO2価格'!$H$10:$I$12,2,0),0)*$F$8/1000,""))</f>
        <v>0</v>
      </c>
      <c r="AZ37" s="39"/>
      <c r="BA37" s="42">
        <f t="shared" si="12"/>
        <v>0</v>
      </c>
      <c r="BB37" s="72">
        <f t="shared" si="27"/>
        <v>0</v>
      </c>
      <c r="BC37" s="39"/>
      <c r="BD37" s="72">
        <f t="shared" si="13"/>
        <v>0</v>
      </c>
      <c r="BE37" s="72">
        <f t="shared" si="28"/>
        <v>0</v>
      </c>
      <c r="BF37" s="39"/>
      <c r="BG37" s="42">
        <f t="shared" si="14"/>
        <v>0</v>
      </c>
      <c r="BH37" s="72">
        <f t="shared" si="29"/>
        <v>0</v>
      </c>
      <c r="BI37" s="39"/>
      <c r="BJ37" s="40" t="str">
        <f t="shared" si="30"/>
        <v/>
      </c>
      <c r="BK37" s="157" t="str">
        <f t="shared" si="31"/>
        <v/>
      </c>
      <c r="BL37" s="157" t="str">
        <f t="shared" si="32"/>
        <v/>
      </c>
      <c r="BM37" s="72"/>
      <c r="BN37" s="72" t="str">
        <f t="shared" si="33"/>
        <v/>
      </c>
      <c r="BO37" s="72" t="str">
        <f t="shared" si="34"/>
        <v/>
      </c>
      <c r="BP37" s="39"/>
      <c r="BQ37" s="72">
        <f t="shared" si="15"/>
        <v>36490305.599999994</v>
      </c>
      <c r="BR37" s="72">
        <f t="shared" si="35"/>
        <v>18489336.745197877</v>
      </c>
    </row>
    <row r="38" spans="3:70" x14ac:dyDescent="0.15">
      <c r="C38" s="4" t="s">
        <v>570</v>
      </c>
      <c r="D38" s="100"/>
      <c r="E38" s="100"/>
      <c r="F38" s="4"/>
      <c r="G38" s="100"/>
      <c r="I38" s="457">
        <f t="shared" si="36"/>
        <v>2053</v>
      </c>
      <c r="K38" s="71">
        <f t="shared" si="37"/>
        <v>24</v>
      </c>
      <c r="M38" s="7">
        <f t="shared" si="0"/>
        <v>0.49193373633950943</v>
      </c>
      <c r="O38" s="10">
        <f t="shared" si="16"/>
        <v>0</v>
      </c>
      <c r="P38" s="29" t="str">
        <f t="shared" si="1"/>
        <v>-</v>
      </c>
      <c r="R38" s="10">
        <f t="shared" si="17"/>
        <v>113350000</v>
      </c>
      <c r="T38" s="10">
        <f t="shared" si="18"/>
        <v>113350000</v>
      </c>
      <c r="V38" s="10">
        <f t="shared" si="2"/>
        <v>0</v>
      </c>
      <c r="W38" s="10">
        <f t="shared" si="19"/>
        <v>0</v>
      </c>
      <c r="Y38" s="10">
        <f t="shared" si="3"/>
        <v>1586900</v>
      </c>
      <c r="Z38" s="10">
        <f t="shared" si="20"/>
        <v>780649.64619716746</v>
      </c>
      <c r="AB38" s="10">
        <f t="shared" si="4"/>
        <v>0</v>
      </c>
      <c r="AC38" s="10">
        <f t="shared" si="21"/>
        <v>0</v>
      </c>
      <c r="AE38" s="10">
        <f t="shared" si="5"/>
        <v>0</v>
      </c>
      <c r="AF38" s="10">
        <f t="shared" si="22"/>
        <v>0</v>
      </c>
      <c r="AH38" s="10">
        <f t="shared" si="38"/>
        <v>153899999.99999997</v>
      </c>
      <c r="AI38" s="10">
        <f t="shared" si="23"/>
        <v>75708602.02265048</v>
      </c>
      <c r="AK38" s="10">
        <f t="shared" si="7"/>
        <v>0</v>
      </c>
      <c r="AL38" s="10">
        <f t="shared" si="24"/>
        <v>0</v>
      </c>
      <c r="AN38" s="10">
        <f t="shared" si="8"/>
        <v>0</v>
      </c>
      <c r="AO38" s="10">
        <f t="shared" si="25"/>
        <v>0</v>
      </c>
      <c r="AQ38" s="10">
        <f t="shared" si="9"/>
        <v>0</v>
      </c>
      <c r="AR38" s="10">
        <f t="shared" si="26"/>
        <v>0</v>
      </c>
      <c r="AT38" s="7">
        <f>IF($K38&lt;=$F$15,IF($F$40&lt;&gt;"",$F$40/1000,IF(ISERROR(VLOOKUP($F$3&amp;IF($G$4&lt;&gt;"",$G$4,"")&amp;IF($F$43&lt;&gt;"","_"&amp;$F$43,""),'表3）燃料価格'!$AF$9:$AG$25,2,0)),0,VLOOKUP($I38,'表3）燃料価格'!$A$6:$U$66,VLOOKUP($F$3&amp;IF($G$4&lt;&gt;"",$G$4,"")&amp;IF($F$43&lt;&gt;"","_"&amp;$F$43,""),'表3）燃料価格'!$AF$9:$AG$25,2,0)+VLOOKUP($F$41,'表3）燃料価格'!$AF$28:$AG$29,2,0),0)*IF($F$43="需要地価格",1,$F$8/$F$141))),"")</f>
        <v>12</v>
      </c>
      <c r="AV38" s="10">
        <f t="shared" si="10"/>
        <v>764999999.99999988</v>
      </c>
      <c r="AW38" s="10">
        <f t="shared" si="11"/>
        <v>376329308.29972464</v>
      </c>
      <c r="AY38" s="7">
        <f>IF(ISERROR(IF($K38&lt;=$F$15,VLOOKUP($I38,'表4）CO2価格'!$A$7:$E$67,VLOOKUP($F$48,'表4）CO2価格'!$H$10:$I$12,2,0),0)*$F$8/1000,"")),0,IF($K38&lt;=$F$15,VLOOKUP($I38,'表4）CO2価格'!$A$7:$E$67,VLOOKUP($F$48,'表4）CO2価格'!$H$10:$I$12,2,0),0)*$F$8/1000,""))</f>
        <v>0</v>
      </c>
      <c r="BA38" s="11">
        <f t="shared" si="12"/>
        <v>0</v>
      </c>
      <c r="BB38" s="10">
        <f t="shared" si="27"/>
        <v>0</v>
      </c>
      <c r="BD38" s="10">
        <f t="shared" si="13"/>
        <v>0</v>
      </c>
      <c r="BE38" s="10">
        <f t="shared" si="28"/>
        <v>0</v>
      </c>
      <c r="BG38" s="11">
        <f t="shared" si="14"/>
        <v>0</v>
      </c>
      <c r="BH38" s="10">
        <f t="shared" si="29"/>
        <v>0</v>
      </c>
      <c r="BJ38" s="7" t="str">
        <f t="shared" si="30"/>
        <v/>
      </c>
      <c r="BK38" s="158" t="str">
        <f t="shared" si="31"/>
        <v/>
      </c>
      <c r="BL38" s="158" t="str">
        <f t="shared" si="32"/>
        <v/>
      </c>
      <c r="BM38" s="10"/>
      <c r="BN38" s="10" t="str">
        <f t="shared" si="33"/>
        <v/>
      </c>
      <c r="BO38" s="10" t="str">
        <f t="shared" si="34"/>
        <v/>
      </c>
      <c r="BQ38" s="10">
        <f t="shared" si="15"/>
        <v>36490305.599999994</v>
      </c>
      <c r="BR38" s="10">
        <f t="shared" si="35"/>
        <v>17950812.373978522</v>
      </c>
    </row>
    <row r="39" spans="3:70" x14ac:dyDescent="0.15">
      <c r="I39" s="38">
        <f t="shared" si="36"/>
        <v>2054</v>
      </c>
      <c r="J39" s="39"/>
      <c r="K39" s="39">
        <f t="shared" si="37"/>
        <v>25</v>
      </c>
      <c r="L39" s="39"/>
      <c r="M39" s="40">
        <f t="shared" si="0"/>
        <v>0.47760556926165965</v>
      </c>
      <c r="N39" s="39"/>
      <c r="O39" s="72">
        <f t="shared" si="16"/>
        <v>0</v>
      </c>
      <c r="P39" s="41" t="str">
        <f t="shared" si="1"/>
        <v>-</v>
      </c>
      <c r="Q39" s="39"/>
      <c r="R39" s="72">
        <f t="shared" si="17"/>
        <v>113350000</v>
      </c>
      <c r="S39" s="39"/>
      <c r="T39" s="72">
        <f t="shared" si="18"/>
        <v>113350000</v>
      </c>
      <c r="U39" s="39"/>
      <c r="V39" s="72">
        <f t="shared" si="2"/>
        <v>0</v>
      </c>
      <c r="W39" s="72">
        <f t="shared" si="19"/>
        <v>0</v>
      </c>
      <c r="X39" s="39"/>
      <c r="Y39" s="72">
        <f t="shared" si="3"/>
        <v>1586900</v>
      </c>
      <c r="Z39" s="72">
        <f t="shared" si="20"/>
        <v>757912.27786132775</v>
      </c>
      <c r="AA39" s="39"/>
      <c r="AB39" s="72">
        <f t="shared" si="4"/>
        <v>0</v>
      </c>
      <c r="AC39" s="72">
        <f t="shared" si="21"/>
        <v>0</v>
      </c>
      <c r="AD39" s="39"/>
      <c r="AE39" s="72">
        <f t="shared" si="5"/>
        <v>0</v>
      </c>
      <c r="AF39" s="72">
        <f t="shared" si="22"/>
        <v>0</v>
      </c>
      <c r="AG39" s="39"/>
      <c r="AH39" s="10">
        <f t="shared" si="38"/>
        <v>153899999.99999997</v>
      </c>
      <c r="AI39" s="72">
        <f t="shared" si="23"/>
        <v>73503497.109369412</v>
      </c>
      <c r="AJ39" s="39"/>
      <c r="AK39" s="72">
        <f t="shared" si="7"/>
        <v>0</v>
      </c>
      <c r="AL39" s="72">
        <f t="shared" si="24"/>
        <v>0</v>
      </c>
      <c r="AM39" s="39"/>
      <c r="AN39" s="72">
        <f t="shared" si="8"/>
        <v>0</v>
      </c>
      <c r="AO39" s="72">
        <f t="shared" si="25"/>
        <v>0</v>
      </c>
      <c r="AP39" s="39"/>
      <c r="AQ39" s="72">
        <f t="shared" si="9"/>
        <v>0</v>
      </c>
      <c r="AR39" s="72">
        <f t="shared" si="26"/>
        <v>0</v>
      </c>
      <c r="AS39" s="39"/>
      <c r="AT39" s="40">
        <f>IF($K39&lt;=$F$15,IF($F$40&lt;&gt;"",$F$40/1000,IF(ISERROR(VLOOKUP($F$3&amp;IF($G$4&lt;&gt;"",$G$4,"")&amp;IF($F$43&lt;&gt;"","_"&amp;$F$43,""),'表3）燃料価格'!$AF$9:$AG$25,2,0)),0,VLOOKUP($I39,'表3）燃料価格'!$A$6:$U$66,VLOOKUP($F$3&amp;IF($G$4&lt;&gt;"",$G$4,"")&amp;IF($F$43&lt;&gt;"","_"&amp;$F$43,""),'表3）燃料価格'!$AF$9:$AG$25,2,0)+VLOOKUP($F$41,'表3）燃料価格'!$AF$28:$AG$29,2,0),0)*IF($F$43="需要地価格",1,$F$8/$F$141))),"")</f>
        <v>12</v>
      </c>
      <c r="AU39" s="39"/>
      <c r="AV39" s="72">
        <f t="shared" si="10"/>
        <v>764999999.99999988</v>
      </c>
      <c r="AW39" s="72">
        <f t="shared" si="11"/>
        <v>365368260.48516959</v>
      </c>
      <c r="AX39" s="39"/>
      <c r="AY39" s="40">
        <f>IF(ISERROR(IF($K39&lt;=$F$15,VLOOKUP($I39,'表4）CO2価格'!$A$7:$E$67,VLOOKUP($F$48,'表4）CO2価格'!$H$10:$I$12,2,0),0)*$F$8/1000,"")),0,IF($K39&lt;=$F$15,VLOOKUP($I39,'表4）CO2価格'!$A$7:$E$67,VLOOKUP($F$48,'表4）CO2価格'!$H$10:$I$12,2,0),0)*$F$8/1000,""))</f>
        <v>0</v>
      </c>
      <c r="AZ39" s="39"/>
      <c r="BA39" s="42">
        <f t="shared" si="12"/>
        <v>0</v>
      </c>
      <c r="BB39" s="72">
        <f t="shared" si="27"/>
        <v>0</v>
      </c>
      <c r="BC39" s="39"/>
      <c r="BD39" s="72">
        <f t="shared" si="13"/>
        <v>0</v>
      </c>
      <c r="BE39" s="72">
        <f t="shared" si="28"/>
        <v>0</v>
      </c>
      <c r="BF39" s="39"/>
      <c r="BG39" s="42">
        <f t="shared" si="14"/>
        <v>0</v>
      </c>
      <c r="BH39" s="72">
        <f t="shared" si="29"/>
        <v>0</v>
      </c>
      <c r="BI39" s="39"/>
      <c r="BJ39" s="40" t="str">
        <f t="shared" si="30"/>
        <v/>
      </c>
      <c r="BK39" s="157" t="str">
        <f t="shared" si="31"/>
        <v/>
      </c>
      <c r="BL39" s="157" t="str">
        <f t="shared" si="32"/>
        <v/>
      </c>
      <c r="BM39" s="72"/>
      <c r="BN39" s="72" t="str">
        <f t="shared" si="33"/>
        <v/>
      </c>
      <c r="BO39" s="72" t="str">
        <f t="shared" si="34"/>
        <v/>
      </c>
      <c r="BP39" s="39"/>
      <c r="BQ39" s="72">
        <f t="shared" si="15"/>
        <v>36490305.599999994</v>
      </c>
      <c r="BR39" s="72">
        <f t="shared" si="35"/>
        <v>17427973.178619925</v>
      </c>
    </row>
    <row r="40" spans="3:70" x14ac:dyDescent="0.15">
      <c r="D40" s="84" t="s">
        <v>124</v>
      </c>
      <c r="F40" s="482">
        <v>12000</v>
      </c>
      <c r="G40" s="160" t="s">
        <v>571</v>
      </c>
      <c r="I40" s="457">
        <f t="shared" si="36"/>
        <v>2055</v>
      </c>
      <c r="K40" s="71">
        <f t="shared" si="37"/>
        <v>26</v>
      </c>
      <c r="M40" s="7">
        <f t="shared" si="0"/>
        <v>0.46369472743850448</v>
      </c>
      <c r="O40" s="10">
        <f t="shared" si="16"/>
        <v>0</v>
      </c>
      <c r="P40" s="29" t="str">
        <f t="shared" si="1"/>
        <v>-</v>
      </c>
      <c r="R40" s="10">
        <f t="shared" si="17"/>
        <v>113350000</v>
      </c>
      <c r="T40" s="10">
        <f t="shared" si="18"/>
        <v>113350000</v>
      </c>
      <c r="V40" s="10">
        <f t="shared" si="2"/>
        <v>0</v>
      </c>
      <c r="W40" s="10">
        <f t="shared" si="19"/>
        <v>0</v>
      </c>
      <c r="Y40" s="10">
        <f t="shared" si="3"/>
        <v>1586900</v>
      </c>
      <c r="Z40" s="10">
        <f t="shared" si="20"/>
        <v>735837.16297216271</v>
      </c>
      <c r="AB40" s="10">
        <f t="shared" si="4"/>
        <v>0</v>
      </c>
      <c r="AC40" s="10">
        <f t="shared" si="21"/>
        <v>0</v>
      </c>
      <c r="AE40" s="10">
        <f t="shared" si="5"/>
        <v>0</v>
      </c>
      <c r="AF40" s="10">
        <f t="shared" si="22"/>
        <v>0</v>
      </c>
      <c r="AH40" s="10">
        <f t="shared" si="38"/>
        <v>153899999.99999997</v>
      </c>
      <c r="AI40" s="10">
        <f t="shared" si="23"/>
        <v>71362618.552785829</v>
      </c>
      <c r="AK40" s="10">
        <f t="shared" si="7"/>
        <v>0</v>
      </c>
      <c r="AL40" s="10">
        <f t="shared" si="24"/>
        <v>0</v>
      </c>
      <c r="AN40" s="10">
        <f t="shared" si="8"/>
        <v>0</v>
      </c>
      <c r="AO40" s="10">
        <f t="shared" si="25"/>
        <v>0</v>
      </c>
      <c r="AQ40" s="10">
        <f t="shared" si="9"/>
        <v>0</v>
      </c>
      <c r="AR40" s="10">
        <f t="shared" si="26"/>
        <v>0</v>
      </c>
      <c r="AT40" s="7">
        <f>IF($K40&lt;=$F$15,IF($F$40&lt;&gt;"",$F$40/1000,IF(ISERROR(VLOOKUP($F$3&amp;IF($G$4&lt;&gt;"",$G$4,"")&amp;IF($F$43&lt;&gt;"","_"&amp;$F$43,""),'表3）燃料価格'!$AF$9:$AG$25,2,0)),0,VLOOKUP($I40,'表3）燃料価格'!$A$6:$U$66,VLOOKUP($F$3&amp;IF($G$4&lt;&gt;"",$G$4,"")&amp;IF($F$43&lt;&gt;"","_"&amp;$F$43,""),'表3）燃料価格'!$AF$9:$AG$25,2,0)+VLOOKUP($F$41,'表3）燃料価格'!$AF$28:$AG$29,2,0),0)*IF($F$43="需要地価格",1,$F$8/$F$141))),"")</f>
        <v>12</v>
      </c>
      <c r="AV40" s="10">
        <f t="shared" si="10"/>
        <v>764999999.99999988</v>
      </c>
      <c r="AW40" s="10">
        <f t="shared" si="11"/>
        <v>354726466.49045587</v>
      </c>
      <c r="AY40" s="7">
        <f>IF(ISERROR(IF($K40&lt;=$F$15,VLOOKUP($I40,'表4）CO2価格'!$A$7:$E$67,VLOOKUP($F$48,'表4）CO2価格'!$H$10:$I$12,2,0),0)*$F$8/1000,"")),0,IF($K40&lt;=$F$15,VLOOKUP($I40,'表4）CO2価格'!$A$7:$E$67,VLOOKUP($F$48,'表4）CO2価格'!$H$10:$I$12,2,0),0)*$F$8/1000,""))</f>
        <v>0</v>
      </c>
      <c r="BA40" s="11">
        <f t="shared" si="12"/>
        <v>0</v>
      </c>
      <c r="BB40" s="10">
        <f t="shared" si="27"/>
        <v>0</v>
      </c>
      <c r="BD40" s="10">
        <f t="shared" si="13"/>
        <v>0</v>
      </c>
      <c r="BE40" s="10">
        <f t="shared" si="28"/>
        <v>0</v>
      </c>
      <c r="BG40" s="11">
        <f t="shared" si="14"/>
        <v>0</v>
      </c>
      <c r="BH40" s="10">
        <f t="shared" si="29"/>
        <v>0</v>
      </c>
      <c r="BJ40" s="7" t="str">
        <f t="shared" si="30"/>
        <v/>
      </c>
      <c r="BK40" s="158" t="str">
        <f t="shared" si="31"/>
        <v/>
      </c>
      <c r="BL40" s="158" t="str">
        <f t="shared" si="32"/>
        <v/>
      </c>
      <c r="BM40" s="10"/>
      <c r="BN40" s="10" t="str">
        <f t="shared" si="33"/>
        <v/>
      </c>
      <c r="BO40" s="10" t="str">
        <f t="shared" si="34"/>
        <v/>
      </c>
      <c r="BQ40" s="10">
        <f t="shared" si="15"/>
        <v>36490305.599999994</v>
      </c>
      <c r="BR40" s="10">
        <f t="shared" si="35"/>
        <v>16920362.309339732</v>
      </c>
    </row>
    <row r="41" spans="3:70" x14ac:dyDescent="0.15">
      <c r="D41" s="84" t="s">
        <v>572</v>
      </c>
      <c r="F41" s="474"/>
      <c r="I41" s="38">
        <f t="shared" si="36"/>
        <v>2056</v>
      </c>
      <c r="J41" s="39"/>
      <c r="K41" s="39">
        <f t="shared" si="37"/>
        <v>27</v>
      </c>
      <c r="L41" s="39"/>
      <c r="M41" s="40">
        <f t="shared" si="0"/>
        <v>0.45018905576553836</v>
      </c>
      <c r="N41" s="39"/>
      <c r="O41" s="72">
        <f t="shared" si="16"/>
        <v>0</v>
      </c>
      <c r="P41" s="41" t="str">
        <f t="shared" si="1"/>
        <v>-</v>
      </c>
      <c r="Q41" s="39"/>
      <c r="R41" s="72">
        <f t="shared" si="17"/>
        <v>113350000</v>
      </c>
      <c r="S41" s="39"/>
      <c r="T41" s="72">
        <f t="shared" si="18"/>
        <v>113350000</v>
      </c>
      <c r="U41" s="39"/>
      <c r="V41" s="72">
        <f t="shared" si="2"/>
        <v>0</v>
      </c>
      <c r="W41" s="72">
        <f t="shared" si="19"/>
        <v>0</v>
      </c>
      <c r="X41" s="39"/>
      <c r="Y41" s="72">
        <f t="shared" si="3"/>
        <v>1586900</v>
      </c>
      <c r="Z41" s="72">
        <f t="shared" si="20"/>
        <v>714405.0125943328</v>
      </c>
      <c r="AA41" s="39"/>
      <c r="AB41" s="72">
        <f t="shared" si="4"/>
        <v>0</v>
      </c>
      <c r="AC41" s="72">
        <f t="shared" si="21"/>
        <v>0</v>
      </c>
      <c r="AD41" s="39"/>
      <c r="AE41" s="72">
        <f t="shared" si="5"/>
        <v>0</v>
      </c>
      <c r="AF41" s="72">
        <f t="shared" si="22"/>
        <v>0</v>
      </c>
      <c r="AG41" s="39"/>
      <c r="AH41" s="10">
        <f t="shared" si="38"/>
        <v>153899999.99999997</v>
      </c>
      <c r="AI41" s="72">
        <f t="shared" si="23"/>
        <v>69284095.682316333</v>
      </c>
      <c r="AJ41" s="39"/>
      <c r="AK41" s="72">
        <f t="shared" si="7"/>
        <v>0</v>
      </c>
      <c r="AL41" s="72">
        <f t="shared" si="24"/>
        <v>0</v>
      </c>
      <c r="AM41" s="39"/>
      <c r="AN41" s="72">
        <f t="shared" si="8"/>
        <v>0</v>
      </c>
      <c r="AO41" s="72">
        <f t="shared" si="25"/>
        <v>0</v>
      </c>
      <c r="AP41" s="39"/>
      <c r="AQ41" s="72">
        <f t="shared" si="9"/>
        <v>0</v>
      </c>
      <c r="AR41" s="72">
        <f t="shared" si="26"/>
        <v>0</v>
      </c>
      <c r="AS41" s="39"/>
      <c r="AT41" s="40">
        <f>IF($K41&lt;=$F$15,IF($F$40&lt;&gt;"",$F$40/1000,IF(ISERROR(VLOOKUP($F$3&amp;IF($G$4&lt;&gt;"",$G$4,"")&amp;IF($F$43&lt;&gt;"","_"&amp;$F$43,""),'表3）燃料価格'!$AF$9:$AG$25,2,0)),0,VLOOKUP($I41,'表3）燃料価格'!$A$6:$U$66,VLOOKUP($F$3&amp;IF($G$4&lt;&gt;"",$G$4,"")&amp;IF($F$43&lt;&gt;"","_"&amp;$F$43,""),'表3）燃料価格'!$AF$9:$AG$25,2,0)+VLOOKUP($F$41,'表3）燃料価格'!$AF$28:$AG$29,2,0),0)*IF($F$43="需要地価格",1,$F$8/$F$141))),"")</f>
        <v>12</v>
      </c>
      <c r="AU41" s="39"/>
      <c r="AV41" s="72">
        <f t="shared" si="10"/>
        <v>764999999.99999988</v>
      </c>
      <c r="AW41" s="72">
        <f t="shared" si="11"/>
        <v>344394627.66063678</v>
      </c>
      <c r="AX41" s="39"/>
      <c r="AY41" s="40">
        <f>IF(ISERROR(IF($K41&lt;=$F$15,VLOOKUP($I41,'表4）CO2価格'!$A$7:$E$67,VLOOKUP($F$48,'表4）CO2価格'!$H$10:$I$12,2,0),0)*$F$8/1000,"")),0,IF($K41&lt;=$F$15,VLOOKUP($I41,'表4）CO2価格'!$A$7:$E$67,VLOOKUP($F$48,'表4）CO2価格'!$H$10:$I$12,2,0),0)*$F$8/1000,""))</f>
        <v>0</v>
      </c>
      <c r="AZ41" s="39"/>
      <c r="BA41" s="42">
        <f t="shared" si="12"/>
        <v>0</v>
      </c>
      <c r="BB41" s="72">
        <f t="shared" si="27"/>
        <v>0</v>
      </c>
      <c r="BC41" s="39"/>
      <c r="BD41" s="72">
        <f t="shared" si="13"/>
        <v>0</v>
      </c>
      <c r="BE41" s="72">
        <f t="shared" si="28"/>
        <v>0</v>
      </c>
      <c r="BF41" s="39"/>
      <c r="BG41" s="42">
        <f t="shared" si="14"/>
        <v>0</v>
      </c>
      <c r="BH41" s="72">
        <f t="shared" si="29"/>
        <v>0</v>
      </c>
      <c r="BI41" s="39"/>
      <c r="BJ41" s="40" t="str">
        <f t="shared" si="30"/>
        <v/>
      </c>
      <c r="BK41" s="157" t="str">
        <f t="shared" si="31"/>
        <v/>
      </c>
      <c r="BL41" s="157" t="str">
        <f t="shared" si="32"/>
        <v/>
      </c>
      <c r="BM41" s="72"/>
      <c r="BN41" s="72" t="str">
        <f t="shared" si="33"/>
        <v/>
      </c>
      <c r="BO41" s="72" t="str">
        <f t="shared" si="34"/>
        <v/>
      </c>
      <c r="BP41" s="39"/>
      <c r="BQ41" s="72">
        <f t="shared" si="15"/>
        <v>36490305.599999994</v>
      </c>
      <c r="BR41" s="72">
        <f t="shared" si="35"/>
        <v>16427536.222659934</v>
      </c>
    </row>
    <row r="42" spans="3:70" x14ac:dyDescent="0.15">
      <c r="D42" s="84" t="s">
        <v>573</v>
      </c>
      <c r="F42" s="481">
        <v>750</v>
      </c>
      <c r="G42" s="84" t="s">
        <v>646</v>
      </c>
      <c r="I42" s="457">
        <f t="shared" si="36"/>
        <v>2057</v>
      </c>
      <c r="K42" s="71">
        <f t="shared" si="37"/>
        <v>28</v>
      </c>
      <c r="M42" s="7">
        <f t="shared" si="0"/>
        <v>0.4370767531704256</v>
      </c>
      <c r="O42" s="10">
        <f t="shared" si="16"/>
        <v>0</v>
      </c>
      <c r="P42" s="29" t="str">
        <f t="shared" si="1"/>
        <v>-</v>
      </c>
      <c r="R42" s="10">
        <f t="shared" si="17"/>
        <v>113350000</v>
      </c>
      <c r="T42" s="10">
        <f t="shared" si="18"/>
        <v>113350000</v>
      </c>
      <c r="V42" s="10">
        <f t="shared" si="2"/>
        <v>0</v>
      </c>
      <c r="W42" s="10">
        <f t="shared" si="19"/>
        <v>0</v>
      </c>
      <c r="Y42" s="10">
        <f t="shared" si="3"/>
        <v>1586900</v>
      </c>
      <c r="Z42" s="10">
        <f t="shared" si="20"/>
        <v>693597.09960614843</v>
      </c>
      <c r="AB42" s="10">
        <f t="shared" si="4"/>
        <v>0</v>
      </c>
      <c r="AC42" s="10">
        <f t="shared" si="21"/>
        <v>0</v>
      </c>
      <c r="AE42" s="10">
        <f t="shared" si="5"/>
        <v>0</v>
      </c>
      <c r="AF42" s="10">
        <f t="shared" si="22"/>
        <v>0</v>
      </c>
      <c r="AH42" s="10">
        <f t="shared" si="38"/>
        <v>153899999.99999997</v>
      </c>
      <c r="AI42" s="10">
        <f t="shared" si="23"/>
        <v>67266112.312928483</v>
      </c>
      <c r="AK42" s="10">
        <f t="shared" si="7"/>
        <v>0</v>
      </c>
      <c r="AL42" s="10">
        <f t="shared" si="24"/>
        <v>0</v>
      </c>
      <c r="AN42" s="10">
        <f t="shared" si="8"/>
        <v>0</v>
      </c>
      <c r="AO42" s="10">
        <f t="shared" si="25"/>
        <v>0</v>
      </c>
      <c r="AQ42" s="10">
        <f t="shared" si="9"/>
        <v>0</v>
      </c>
      <c r="AR42" s="10">
        <f t="shared" si="26"/>
        <v>0</v>
      </c>
      <c r="AT42" s="7">
        <f>IF($K42&lt;=$F$15,IF($F$40&lt;&gt;"",$F$40/1000,IF(ISERROR(VLOOKUP($F$3&amp;IF($G$4&lt;&gt;"",$G$4,"")&amp;IF($F$43&lt;&gt;"","_"&amp;$F$43,""),'表3）燃料価格'!$AF$9:$AG$25,2,0)),0,VLOOKUP($I42,'表3）燃料価格'!$A$6:$U$66,VLOOKUP($F$3&amp;IF($G$4&lt;&gt;"",$G$4,"")&amp;IF($F$43&lt;&gt;"","_"&amp;$F$43,""),'表3）燃料価格'!$AF$9:$AG$25,2,0)+VLOOKUP($F$41,'表3）燃料価格'!$AF$28:$AG$29,2,0),0)*IF($F$43="需要地価格",1,$F$8/$F$141))),"")</f>
        <v>12</v>
      </c>
      <c r="AV42" s="10">
        <f t="shared" si="10"/>
        <v>764999999.99999988</v>
      </c>
      <c r="AW42" s="10">
        <f t="shared" si="11"/>
        <v>334363716.17537552</v>
      </c>
      <c r="AY42" s="7">
        <f>IF(ISERROR(IF($K42&lt;=$F$15,VLOOKUP($I42,'表4）CO2価格'!$A$7:$E$67,VLOOKUP($F$48,'表4）CO2価格'!$H$10:$I$12,2,0),0)*$F$8/1000,"")),0,IF($K42&lt;=$F$15,VLOOKUP($I42,'表4）CO2価格'!$A$7:$E$67,VLOOKUP($F$48,'表4）CO2価格'!$H$10:$I$12,2,0),0)*$F$8/1000,""))</f>
        <v>0</v>
      </c>
      <c r="BA42" s="11">
        <f t="shared" si="12"/>
        <v>0</v>
      </c>
      <c r="BB42" s="10">
        <f t="shared" si="27"/>
        <v>0</v>
      </c>
      <c r="BD42" s="10">
        <f t="shared" si="13"/>
        <v>0</v>
      </c>
      <c r="BE42" s="10">
        <f t="shared" si="28"/>
        <v>0</v>
      </c>
      <c r="BG42" s="11">
        <f t="shared" si="14"/>
        <v>0</v>
      </c>
      <c r="BH42" s="10">
        <f t="shared" si="29"/>
        <v>0</v>
      </c>
      <c r="BJ42" s="7" t="str">
        <f t="shared" si="30"/>
        <v/>
      </c>
      <c r="BK42" s="158" t="str">
        <f t="shared" si="31"/>
        <v/>
      </c>
      <c r="BL42" s="158" t="str">
        <f t="shared" si="32"/>
        <v/>
      </c>
      <c r="BM42" s="10"/>
      <c r="BN42" s="10" t="str">
        <f t="shared" si="33"/>
        <v/>
      </c>
      <c r="BO42" s="10" t="str">
        <f t="shared" si="34"/>
        <v/>
      </c>
      <c r="BQ42" s="10">
        <f t="shared" si="15"/>
        <v>36490305.599999994</v>
      </c>
      <c r="BR42" s="10">
        <f t="shared" si="35"/>
        <v>15949064.293844597</v>
      </c>
    </row>
    <row r="43" spans="3:70" x14ac:dyDescent="0.15">
      <c r="D43" s="160" t="s">
        <v>126</v>
      </c>
      <c r="F43" s="474"/>
      <c r="I43" s="38">
        <f t="shared" si="36"/>
        <v>2058</v>
      </c>
      <c r="J43" s="39"/>
      <c r="K43" s="39">
        <f t="shared" si="37"/>
        <v>29</v>
      </c>
      <c r="L43" s="39"/>
      <c r="M43" s="40">
        <f t="shared" si="0"/>
        <v>0.42434636230138412</v>
      </c>
      <c r="N43" s="39"/>
      <c r="O43" s="72">
        <f t="shared" si="16"/>
        <v>0</v>
      </c>
      <c r="P43" s="41" t="str">
        <f t="shared" si="1"/>
        <v>-</v>
      </c>
      <c r="Q43" s="39"/>
      <c r="R43" s="72">
        <f t="shared" si="17"/>
        <v>113350000</v>
      </c>
      <c r="S43" s="39"/>
      <c r="T43" s="72">
        <f t="shared" si="18"/>
        <v>113350000</v>
      </c>
      <c r="U43" s="39"/>
      <c r="V43" s="72">
        <f t="shared" si="2"/>
        <v>0</v>
      </c>
      <c r="W43" s="72">
        <f t="shared" si="19"/>
        <v>0</v>
      </c>
      <c r="X43" s="39"/>
      <c r="Y43" s="72">
        <f t="shared" si="3"/>
        <v>1586900</v>
      </c>
      <c r="Z43" s="72">
        <f t="shared" si="20"/>
        <v>673395.24233606644</v>
      </c>
      <c r="AA43" s="39"/>
      <c r="AB43" s="72">
        <f t="shared" si="4"/>
        <v>0</v>
      </c>
      <c r="AC43" s="72">
        <f t="shared" si="21"/>
        <v>0</v>
      </c>
      <c r="AD43" s="39"/>
      <c r="AE43" s="72">
        <f t="shared" si="5"/>
        <v>0</v>
      </c>
      <c r="AF43" s="72">
        <f t="shared" si="22"/>
        <v>0</v>
      </c>
      <c r="AG43" s="39"/>
      <c r="AH43" s="10">
        <f t="shared" si="38"/>
        <v>153899999.99999997</v>
      </c>
      <c r="AI43" s="72">
        <f t="shared" si="23"/>
        <v>65306905.158183001</v>
      </c>
      <c r="AJ43" s="39"/>
      <c r="AK43" s="72">
        <f t="shared" si="7"/>
        <v>0</v>
      </c>
      <c r="AL43" s="72">
        <f t="shared" si="24"/>
        <v>0</v>
      </c>
      <c r="AM43" s="39"/>
      <c r="AN43" s="72">
        <f t="shared" si="8"/>
        <v>0</v>
      </c>
      <c r="AO43" s="72">
        <f t="shared" si="25"/>
        <v>0</v>
      </c>
      <c r="AP43" s="39"/>
      <c r="AQ43" s="72">
        <f t="shared" si="9"/>
        <v>0</v>
      </c>
      <c r="AR43" s="72">
        <f t="shared" si="26"/>
        <v>0</v>
      </c>
      <c r="AS43" s="39"/>
      <c r="AT43" s="40">
        <f>IF($K43&lt;=$F$15,IF($F$40&lt;&gt;"",$F$40/1000,IF(ISERROR(VLOOKUP($F$3&amp;IF($G$4&lt;&gt;"",$G$4,"")&amp;IF($F$43&lt;&gt;"","_"&amp;$F$43,""),'表3）燃料価格'!$AF$9:$AG$25,2,0)),0,VLOOKUP($I43,'表3）燃料価格'!$A$6:$U$66,VLOOKUP($F$3&amp;IF($G$4&lt;&gt;"",$G$4,"")&amp;IF($F$43&lt;&gt;"","_"&amp;$F$43,""),'表3）燃料価格'!$AF$9:$AG$25,2,0)+VLOOKUP($F$41,'表3）燃料価格'!$AF$28:$AG$29,2,0),0)*IF($F$43="需要地価格",1,$F$8/$F$141))),"")</f>
        <v>12</v>
      </c>
      <c r="AU43" s="39"/>
      <c r="AV43" s="72">
        <f t="shared" si="10"/>
        <v>764999999.99999988</v>
      </c>
      <c r="AW43" s="72">
        <f t="shared" si="11"/>
        <v>324624967.16055882</v>
      </c>
      <c r="AX43" s="39"/>
      <c r="AY43" s="40">
        <f>IF(ISERROR(IF($K43&lt;=$F$15,VLOOKUP($I43,'表4）CO2価格'!$A$7:$E$67,VLOOKUP($F$48,'表4）CO2価格'!$H$10:$I$12,2,0),0)*$F$8/1000,"")),0,IF($K43&lt;=$F$15,VLOOKUP($I43,'表4）CO2価格'!$A$7:$E$67,VLOOKUP($F$48,'表4）CO2価格'!$H$10:$I$12,2,0),0)*$F$8/1000,""))</f>
        <v>0</v>
      </c>
      <c r="AZ43" s="39"/>
      <c r="BA43" s="42">
        <f t="shared" si="12"/>
        <v>0</v>
      </c>
      <c r="BB43" s="72">
        <f t="shared" si="27"/>
        <v>0</v>
      </c>
      <c r="BC43" s="39"/>
      <c r="BD43" s="72">
        <f t="shared" si="13"/>
        <v>0</v>
      </c>
      <c r="BE43" s="72">
        <f t="shared" si="28"/>
        <v>0</v>
      </c>
      <c r="BF43" s="39"/>
      <c r="BG43" s="42">
        <f t="shared" si="14"/>
        <v>0</v>
      </c>
      <c r="BH43" s="72">
        <f t="shared" si="29"/>
        <v>0</v>
      </c>
      <c r="BI43" s="39"/>
      <c r="BJ43" s="40" t="str">
        <f t="shared" si="30"/>
        <v/>
      </c>
      <c r="BK43" s="157" t="str">
        <f t="shared" si="31"/>
        <v/>
      </c>
      <c r="BL43" s="157" t="str">
        <f t="shared" si="32"/>
        <v/>
      </c>
      <c r="BM43" s="72"/>
      <c r="BN43" s="72" t="str">
        <f t="shared" si="33"/>
        <v/>
      </c>
      <c r="BO43" s="72" t="str">
        <f t="shared" si="34"/>
        <v/>
      </c>
      <c r="BP43" s="39"/>
      <c r="BQ43" s="72">
        <f t="shared" si="15"/>
        <v>36490305.599999994</v>
      </c>
      <c r="BR43" s="72">
        <f t="shared" si="35"/>
        <v>15484528.440625824</v>
      </c>
    </row>
    <row r="44" spans="3:70" x14ac:dyDescent="0.15">
      <c r="I44" s="457">
        <f t="shared" si="36"/>
        <v>2059</v>
      </c>
      <c r="K44" s="71">
        <f t="shared" si="37"/>
        <v>30</v>
      </c>
      <c r="M44" s="7">
        <f t="shared" si="0"/>
        <v>0.41198675951590691</v>
      </c>
      <c r="O44" s="10">
        <f t="shared" si="16"/>
        <v>0</v>
      </c>
      <c r="P44" s="29" t="str">
        <f t="shared" si="1"/>
        <v>-</v>
      </c>
      <c r="R44" s="10">
        <f t="shared" si="17"/>
        <v>113350000</v>
      </c>
      <c r="T44" s="10">
        <f t="shared" si="18"/>
        <v>113350000</v>
      </c>
      <c r="V44" s="10">
        <f t="shared" si="2"/>
        <v>0</v>
      </c>
      <c r="W44" s="10">
        <f t="shared" si="19"/>
        <v>0</v>
      </c>
      <c r="Y44" s="10">
        <f t="shared" si="3"/>
        <v>1586900</v>
      </c>
      <c r="Z44" s="10">
        <f t="shared" si="20"/>
        <v>653781.78867579263</v>
      </c>
      <c r="AB44" s="10">
        <f t="shared" si="4"/>
        <v>0</v>
      </c>
      <c r="AC44" s="10">
        <f t="shared" si="21"/>
        <v>0</v>
      </c>
      <c r="AE44" s="10">
        <f t="shared" si="5"/>
        <v>0</v>
      </c>
      <c r="AF44" s="10">
        <f t="shared" si="22"/>
        <v>0</v>
      </c>
      <c r="AH44" s="10">
        <f t="shared" si="38"/>
        <v>153899999.99999997</v>
      </c>
      <c r="AI44" s="10">
        <f t="shared" si="23"/>
        <v>63404762.289498061</v>
      </c>
      <c r="AK44" s="10">
        <f t="shared" si="7"/>
        <v>0</v>
      </c>
      <c r="AL44" s="10">
        <f t="shared" si="24"/>
        <v>0</v>
      </c>
      <c r="AN44" s="10">
        <f t="shared" si="8"/>
        <v>0</v>
      </c>
      <c r="AO44" s="10">
        <f t="shared" si="25"/>
        <v>0</v>
      </c>
      <c r="AQ44" s="10">
        <f t="shared" si="9"/>
        <v>0</v>
      </c>
      <c r="AR44" s="10">
        <f t="shared" si="26"/>
        <v>0</v>
      </c>
      <c r="AT44" s="7">
        <f>IF($K44&lt;=$F$15,IF($F$40&lt;&gt;"",$F$40/1000,IF(ISERROR(VLOOKUP($F$3&amp;IF($G$4&lt;&gt;"",$G$4,"")&amp;IF($F$43&lt;&gt;"","_"&amp;$F$43,""),'表3）燃料価格'!$AF$9:$AG$25,2,0)),0,VLOOKUP($I44,'表3）燃料価格'!$A$6:$U$66,VLOOKUP($F$3&amp;IF($G$4&lt;&gt;"",$G$4,"")&amp;IF($F$43&lt;&gt;"","_"&amp;$F$43,""),'表3）燃料価格'!$AF$9:$AG$25,2,0)+VLOOKUP($F$41,'表3）燃料価格'!$AF$28:$AG$29,2,0),0)*IF($F$43="需要地価格",1,$F$8/$F$141))),"")</f>
        <v>12</v>
      </c>
      <c r="AV44" s="10">
        <f t="shared" si="10"/>
        <v>764999999.99999988</v>
      </c>
      <c r="AW44" s="10">
        <f t="shared" si="11"/>
        <v>315169871.02966875</v>
      </c>
      <c r="AY44" s="7">
        <f>IF(ISERROR(IF($K44&lt;=$F$15,VLOOKUP($I44,'表4）CO2価格'!$A$7:$E$67,VLOOKUP($F$48,'表4）CO2価格'!$H$10:$I$12,2,0),0)*$F$8/1000,"")),0,IF($K44&lt;=$F$15,VLOOKUP($I44,'表4）CO2価格'!$A$7:$E$67,VLOOKUP($F$48,'表4）CO2価格'!$H$10:$I$12,2,0),0)*$F$8/1000,""))</f>
        <v>0</v>
      </c>
      <c r="BA44" s="11">
        <f t="shared" si="12"/>
        <v>0</v>
      </c>
      <c r="BB44" s="10">
        <f t="shared" si="27"/>
        <v>0</v>
      </c>
      <c r="BD44" s="10">
        <f t="shared" si="13"/>
        <v>0</v>
      </c>
      <c r="BE44" s="10">
        <f t="shared" si="28"/>
        <v>0</v>
      </c>
      <c r="BG44" s="11">
        <f t="shared" si="14"/>
        <v>0</v>
      </c>
      <c r="BH44" s="10">
        <f t="shared" si="29"/>
        <v>0</v>
      </c>
      <c r="BJ44" s="7" t="str">
        <f t="shared" si="30"/>
        <v/>
      </c>
      <c r="BK44" s="158" t="str">
        <f t="shared" si="31"/>
        <v/>
      </c>
      <c r="BL44" s="158" t="str">
        <f t="shared" si="32"/>
        <v/>
      </c>
      <c r="BM44" s="10"/>
      <c r="BN44" s="10" t="str">
        <f t="shared" si="33"/>
        <v/>
      </c>
      <c r="BO44" s="10" t="str">
        <f t="shared" si="34"/>
        <v/>
      </c>
      <c r="BQ44" s="10">
        <f t="shared" si="15"/>
        <v>36490305.599999994</v>
      </c>
      <c r="BR44" s="10">
        <f t="shared" si="35"/>
        <v>15033522.757889148</v>
      </c>
    </row>
    <row r="45" spans="3:70" x14ac:dyDescent="0.15">
      <c r="C45" s="4" t="s">
        <v>575</v>
      </c>
      <c r="D45" s="100"/>
      <c r="E45" s="100"/>
      <c r="F45" s="4"/>
      <c r="G45" s="100"/>
      <c r="I45" s="38">
        <f t="shared" si="36"/>
        <v>2060</v>
      </c>
      <c r="J45" s="39"/>
      <c r="K45" s="39">
        <f t="shared" si="37"/>
        <v>31</v>
      </c>
      <c r="L45" s="39"/>
      <c r="M45" s="40">
        <f t="shared" si="0"/>
        <v>0.39998714516107459</v>
      </c>
      <c r="N45" s="39"/>
      <c r="O45" s="72">
        <f t="shared" si="16"/>
        <v>0</v>
      </c>
      <c r="P45" s="41" t="str">
        <f t="shared" si="1"/>
        <v>-</v>
      </c>
      <c r="Q45" s="39"/>
      <c r="R45" s="72">
        <f t="shared" si="17"/>
        <v>113350000</v>
      </c>
      <c r="S45" s="39"/>
      <c r="T45" s="72">
        <f t="shared" si="18"/>
        <v>113350000</v>
      </c>
      <c r="U45" s="39"/>
      <c r="V45" s="72">
        <f t="shared" si="2"/>
        <v>0</v>
      </c>
      <c r="W45" s="72">
        <f t="shared" si="19"/>
        <v>0</v>
      </c>
      <c r="X45" s="39"/>
      <c r="Y45" s="72">
        <f t="shared" si="3"/>
        <v>1586900</v>
      </c>
      <c r="Z45" s="72">
        <f t="shared" si="20"/>
        <v>634739.60065610928</v>
      </c>
      <c r="AA45" s="39"/>
      <c r="AB45" s="72">
        <f t="shared" si="4"/>
        <v>0</v>
      </c>
      <c r="AC45" s="72">
        <f t="shared" si="21"/>
        <v>0</v>
      </c>
      <c r="AD45" s="39"/>
      <c r="AE45" s="72">
        <f t="shared" si="5"/>
        <v>0</v>
      </c>
      <c r="AF45" s="72">
        <f t="shared" si="22"/>
        <v>0</v>
      </c>
      <c r="AG45" s="39"/>
      <c r="AH45" s="10">
        <f t="shared" si="38"/>
        <v>153899999.99999997</v>
      </c>
      <c r="AI45" s="72">
        <f t="shared" si="23"/>
        <v>61558021.640289366</v>
      </c>
      <c r="AJ45" s="39"/>
      <c r="AK45" s="72">
        <f t="shared" si="7"/>
        <v>0</v>
      </c>
      <c r="AL45" s="72">
        <f t="shared" si="24"/>
        <v>0</v>
      </c>
      <c r="AM45" s="39"/>
      <c r="AN45" s="72">
        <f t="shared" si="8"/>
        <v>0</v>
      </c>
      <c r="AO45" s="72">
        <f t="shared" si="25"/>
        <v>0</v>
      </c>
      <c r="AP45" s="39"/>
      <c r="AQ45" s="72">
        <f t="shared" si="9"/>
        <v>0</v>
      </c>
      <c r="AR45" s="72">
        <f t="shared" si="26"/>
        <v>0</v>
      </c>
      <c r="AS45" s="39"/>
      <c r="AT45" s="40">
        <f>IF($K45&lt;=$F$15,IF($F$40&lt;&gt;"",$F$40/1000,IF(ISERROR(VLOOKUP($F$3&amp;IF($G$4&lt;&gt;"",$G$4,"")&amp;IF($F$43&lt;&gt;"","_"&amp;$F$43,""),'表3）燃料価格'!$AF$9:$AG$25,2,0)),0,VLOOKUP($I45,'表3）燃料価格'!$A$6:$U$66,VLOOKUP($F$3&amp;IF($G$4&lt;&gt;"",$G$4,"")&amp;IF($F$43&lt;&gt;"","_"&amp;$F$43,""),'表3）燃料価格'!$AF$9:$AG$25,2,0)+VLOOKUP($F$41,'表3）燃料価格'!$AF$28:$AG$29,2,0),0)*IF($F$43="需要地価格",1,$F$8/$F$141))),"")</f>
        <v>12</v>
      </c>
      <c r="AU45" s="39"/>
      <c r="AV45" s="72">
        <f t="shared" si="10"/>
        <v>764999999.99999988</v>
      </c>
      <c r="AW45" s="72">
        <f t="shared" si="11"/>
        <v>305990166.04822201</v>
      </c>
      <c r="AX45" s="39"/>
      <c r="AY45" s="40">
        <f>IF(ISERROR(IF($K45&lt;=$F$15,VLOOKUP($I45,'表4）CO2価格'!$A$7:$E$67,VLOOKUP($F$48,'表4）CO2価格'!$H$10:$I$12,2,0),0)*$F$8/1000,"")),0,IF($K45&lt;=$F$15,VLOOKUP($I45,'表4）CO2価格'!$A$7:$E$67,VLOOKUP($F$48,'表4）CO2価格'!$H$10:$I$12,2,0),0)*$F$8/1000,""))</f>
        <v>0</v>
      </c>
      <c r="AZ45" s="39"/>
      <c r="BA45" s="42">
        <f t="shared" si="12"/>
        <v>0</v>
      </c>
      <c r="BB45" s="72">
        <f t="shared" si="27"/>
        <v>0</v>
      </c>
      <c r="BC45" s="39"/>
      <c r="BD45" s="72">
        <f t="shared" si="13"/>
        <v>0</v>
      </c>
      <c r="BE45" s="72">
        <f t="shared" si="28"/>
        <v>0</v>
      </c>
      <c r="BF45" s="39"/>
      <c r="BG45" s="42">
        <f t="shared" si="14"/>
        <v>0</v>
      </c>
      <c r="BH45" s="72">
        <f t="shared" si="29"/>
        <v>0</v>
      </c>
      <c r="BI45" s="39"/>
      <c r="BJ45" s="40" t="str">
        <f t="shared" si="30"/>
        <v/>
      </c>
      <c r="BK45" s="157" t="str">
        <f t="shared" si="31"/>
        <v/>
      </c>
      <c r="BL45" s="157" t="str">
        <f t="shared" si="32"/>
        <v/>
      </c>
      <c r="BM45" s="72"/>
      <c r="BN45" s="72" t="str">
        <f t="shared" si="33"/>
        <v/>
      </c>
      <c r="BO45" s="72" t="str">
        <f t="shared" si="34"/>
        <v/>
      </c>
      <c r="BP45" s="39"/>
      <c r="BQ45" s="72">
        <f t="shared" si="15"/>
        <v>36490305.599999994</v>
      </c>
      <c r="BR45" s="72">
        <f t="shared" si="35"/>
        <v>14595653.16299917</v>
      </c>
    </row>
    <row r="46" spans="3:70" x14ac:dyDescent="0.15">
      <c r="I46" s="457">
        <f t="shared" si="36"/>
        <v>2061</v>
      </c>
      <c r="K46" s="71">
        <f t="shared" si="37"/>
        <v>32</v>
      </c>
      <c r="M46" s="7">
        <f t="shared" si="0"/>
        <v>0.38833703413696569</v>
      </c>
      <c r="O46" s="10">
        <f t="shared" si="16"/>
        <v>0</v>
      </c>
      <c r="P46" s="29" t="str">
        <f t="shared" si="1"/>
        <v>-</v>
      </c>
      <c r="R46" s="10">
        <f t="shared" si="17"/>
        <v>113350000</v>
      </c>
      <c r="T46" s="10">
        <f t="shared" si="18"/>
        <v>113350000</v>
      </c>
      <c r="V46" s="10">
        <f t="shared" si="2"/>
        <v>0</v>
      </c>
      <c r="W46" s="10">
        <f t="shared" si="19"/>
        <v>0</v>
      </c>
      <c r="Y46" s="10">
        <f t="shared" si="3"/>
        <v>1586900</v>
      </c>
      <c r="Z46" s="10">
        <f t="shared" si="20"/>
        <v>616252.03947195085</v>
      </c>
      <c r="AB46" s="10">
        <f t="shared" si="4"/>
        <v>0</v>
      </c>
      <c r="AC46" s="10">
        <f t="shared" si="21"/>
        <v>0</v>
      </c>
      <c r="AE46" s="10">
        <f t="shared" si="5"/>
        <v>0</v>
      </c>
      <c r="AF46" s="10">
        <f t="shared" si="22"/>
        <v>0</v>
      </c>
      <c r="AH46" s="10">
        <f t="shared" si="38"/>
        <v>153899999.99999997</v>
      </c>
      <c r="AI46" s="10">
        <f t="shared" si="23"/>
        <v>59765069.553679004</v>
      </c>
      <c r="AK46" s="10">
        <f t="shared" si="7"/>
        <v>0</v>
      </c>
      <c r="AL46" s="10">
        <f t="shared" si="24"/>
        <v>0</v>
      </c>
      <c r="AN46" s="10">
        <f t="shared" si="8"/>
        <v>0</v>
      </c>
      <c r="AO46" s="10">
        <f t="shared" si="25"/>
        <v>0</v>
      </c>
      <c r="AQ46" s="10">
        <f t="shared" si="9"/>
        <v>0</v>
      </c>
      <c r="AR46" s="10">
        <f t="shared" si="26"/>
        <v>0</v>
      </c>
      <c r="AT46" s="7">
        <f>IF($K46&lt;=$F$15,IF($F$40&lt;&gt;"",$F$40/1000,IF(ISERROR(VLOOKUP($F$3&amp;IF($G$4&lt;&gt;"",$G$4,"")&amp;IF($F$43&lt;&gt;"","_"&amp;$F$43,""),'表3）燃料価格'!$AF$9:$AG$25,2,0)),0,VLOOKUP($I46,'表3）燃料価格'!$A$6:$U$66,VLOOKUP($F$3&amp;IF($G$4&lt;&gt;"",$G$4,"")&amp;IF($F$43&lt;&gt;"","_"&amp;$F$43,""),'表3）燃料価格'!$AF$9:$AG$25,2,0)+VLOOKUP($F$41,'表3）燃料価格'!$AF$28:$AG$29,2,0),0)*IF($F$43="需要地価格",1,$F$8/$F$141))),"")</f>
        <v>12</v>
      </c>
      <c r="AV46" s="10">
        <f t="shared" si="10"/>
        <v>764999999.99999988</v>
      </c>
      <c r="AW46" s="10">
        <f t="shared" si="11"/>
        <v>297077831.1147787</v>
      </c>
      <c r="AY46" s="7">
        <f>IF(ISERROR(IF($K46&lt;=$F$15,VLOOKUP($I46,'表4）CO2価格'!$A$7:$E$67,VLOOKUP($F$48,'表4）CO2価格'!$H$10:$I$12,2,0),0)*$F$8/1000,"")),0,IF($K46&lt;=$F$15,VLOOKUP($I46,'表4）CO2価格'!$A$7:$E$67,VLOOKUP($F$48,'表4）CO2価格'!$H$10:$I$12,2,0),0)*$F$8/1000,""))</f>
        <v>0</v>
      </c>
      <c r="BA46" s="11">
        <f t="shared" si="12"/>
        <v>0</v>
      </c>
      <c r="BB46" s="10">
        <f t="shared" si="27"/>
        <v>0</v>
      </c>
      <c r="BD46" s="10">
        <f t="shared" si="13"/>
        <v>0</v>
      </c>
      <c r="BE46" s="10">
        <f t="shared" si="28"/>
        <v>0</v>
      </c>
      <c r="BG46" s="11">
        <f t="shared" si="14"/>
        <v>0</v>
      </c>
      <c r="BH46" s="10">
        <f t="shared" si="29"/>
        <v>0</v>
      </c>
      <c r="BJ46" s="7" t="str">
        <f t="shared" si="30"/>
        <v/>
      </c>
      <c r="BK46" s="158" t="str">
        <f t="shared" si="31"/>
        <v/>
      </c>
      <c r="BL46" s="158" t="str">
        <f t="shared" si="32"/>
        <v/>
      </c>
      <c r="BM46" s="10"/>
      <c r="BN46" s="10" t="str">
        <f t="shared" si="33"/>
        <v/>
      </c>
      <c r="BO46" s="10" t="str">
        <f t="shared" si="34"/>
        <v/>
      </c>
      <c r="BQ46" s="10">
        <f t="shared" si="15"/>
        <v>36490305.599999994</v>
      </c>
      <c r="BR46" s="10">
        <f t="shared" si="35"/>
        <v>14170537.051455507</v>
      </c>
    </row>
    <row r="47" spans="3:70" x14ac:dyDescent="0.15">
      <c r="D47" s="84" t="s">
        <v>576</v>
      </c>
      <c r="F47" s="475"/>
      <c r="G47" s="84" t="s">
        <v>577</v>
      </c>
      <c r="I47" s="38">
        <f t="shared" si="36"/>
        <v>2062</v>
      </c>
      <c r="J47" s="39"/>
      <c r="K47" s="39">
        <f t="shared" si="37"/>
        <v>33</v>
      </c>
      <c r="L47" s="39"/>
      <c r="M47" s="40">
        <f t="shared" si="0"/>
        <v>0.37702624673491814</v>
      </c>
      <c r="N47" s="39"/>
      <c r="O47" s="72">
        <f t="shared" si="16"/>
        <v>0</v>
      </c>
      <c r="P47" s="41" t="str">
        <f t="shared" ref="P47:P78" si="39">IF(K47&lt;=$F$15,IF(OR(P46=$F$124,P46="-"),"-",IF(O47*$F$123&gt;$F$127,$F$123,$F$124)),"")</f>
        <v>-</v>
      </c>
      <c r="Q47" s="39"/>
      <c r="R47" s="72">
        <f t="shared" si="17"/>
        <v>113350000</v>
      </c>
      <c r="S47" s="39"/>
      <c r="T47" s="72">
        <f t="shared" si="18"/>
        <v>113350000</v>
      </c>
      <c r="U47" s="39"/>
      <c r="V47" s="72">
        <f t="shared" ref="V47:V78" si="40">IF(K47&lt;=$F$15,IF(K47&lt;$F$119,IF(P47="-",V46,O47*P47),IF(K47=$F$119,MIN(IF(P47="-",V46,O47*P47),O47),0)),"")</f>
        <v>0</v>
      </c>
      <c r="W47" s="72">
        <f t="shared" si="19"/>
        <v>0</v>
      </c>
      <c r="X47" s="39"/>
      <c r="Y47" s="72">
        <f t="shared" ref="Y47:Y78" si="41">IF($K47&lt;=$F$15,ROUNDDOWN(T47*$F$25/100,-2),"")</f>
        <v>1586900</v>
      </c>
      <c r="Z47" s="72">
        <f t="shared" si="20"/>
        <v>598302.9509436416</v>
      </c>
      <c r="AA47" s="39"/>
      <c r="AB47" s="72">
        <f t="shared" si="4"/>
        <v>0</v>
      </c>
      <c r="AC47" s="72">
        <f t="shared" si="21"/>
        <v>0</v>
      </c>
      <c r="AD47" s="39"/>
      <c r="AE47" s="72">
        <f t="shared" ref="AE47:AE78" si="42">IF($K47&lt;=$F$15,$F$26,"")</f>
        <v>0</v>
      </c>
      <c r="AF47" s="72">
        <f t="shared" si="22"/>
        <v>0</v>
      </c>
      <c r="AG47" s="39"/>
      <c r="AH47" s="10">
        <f t="shared" si="38"/>
        <v>153899999.99999997</v>
      </c>
      <c r="AI47" s="72">
        <f t="shared" si="23"/>
        <v>58024339.372503892</v>
      </c>
      <c r="AJ47" s="39"/>
      <c r="AK47" s="72">
        <f t="shared" ref="AK47:AK78" si="43">IF($K47&lt;=$F$15,$F$34*10^8,"")</f>
        <v>0</v>
      </c>
      <c r="AL47" s="72">
        <f t="shared" si="24"/>
        <v>0</v>
      </c>
      <c r="AM47" s="39"/>
      <c r="AN47" s="72">
        <f t="shared" ref="AN47:AN78" si="44">IF($K47&lt;=$F$15,$F$117*$F$35/100,"")</f>
        <v>0</v>
      </c>
      <c r="AO47" s="72">
        <f t="shared" si="25"/>
        <v>0</v>
      </c>
      <c r="AP47" s="39"/>
      <c r="AQ47" s="72">
        <f t="shared" ref="AQ47:AQ78" si="45">IF($K47&lt;=$F$15,SUM(AH47,AK47,AN47)*($F$36/100),"")</f>
        <v>0</v>
      </c>
      <c r="AR47" s="72">
        <f t="shared" si="26"/>
        <v>0</v>
      </c>
      <c r="AS47" s="39"/>
      <c r="AT47" s="40">
        <f>IF($K47&lt;=$F$15,IF($F$40&lt;&gt;"",$F$40/1000,IF(ISERROR(VLOOKUP($F$3&amp;IF($G$4&lt;&gt;"",$G$4,"")&amp;IF($F$43&lt;&gt;"","_"&amp;$F$43,""),'表3）燃料価格'!$AF$9:$AG$25,2,0)),0,VLOOKUP($I47,'表3）燃料価格'!$A$6:$U$66,VLOOKUP($F$3&amp;IF($G$4&lt;&gt;"",$G$4,"")&amp;IF($F$43&lt;&gt;"","_"&amp;$F$43,""),'表3）燃料価格'!$AF$9:$AG$25,2,0)+VLOOKUP($F$41,'表3）燃料価格'!$AF$28:$AG$29,2,0),0)*IF($F$43="需要地価格",1,$F$8/$F$141))),"")</f>
        <v>12</v>
      </c>
      <c r="AU47" s="39"/>
      <c r="AV47" s="72">
        <f t="shared" ref="AV47:AV78" si="46">IF($K47&lt;=$F$15,($AT47+$F$142)*$F$137,"")</f>
        <v>764999999.99999988</v>
      </c>
      <c r="AW47" s="72">
        <f t="shared" si="11"/>
        <v>288425078.75221235</v>
      </c>
      <c r="AX47" s="39"/>
      <c r="AY47" s="40">
        <f>IF(ISERROR(IF($K47&lt;=$F$15,VLOOKUP($I47,'表4）CO2価格'!$A$7:$E$67,VLOOKUP($F$48,'表4）CO2価格'!$H$10:$I$12,2,0),0)*$F$8/1000,"")),0,IF($K47&lt;=$F$15,VLOOKUP($I47,'表4）CO2価格'!$A$7:$E$67,VLOOKUP($F$48,'表4）CO2価格'!$H$10:$I$12,2,0),0)*$F$8/1000,""))</f>
        <v>0</v>
      </c>
      <c r="AZ47" s="39"/>
      <c r="BA47" s="42">
        <f t="shared" ref="BA47:BA78" si="47">IF($K47&lt;=$F$15,$F$145*AY47,"")</f>
        <v>0</v>
      </c>
      <c r="BB47" s="72">
        <f t="shared" si="27"/>
        <v>0</v>
      </c>
      <c r="BC47" s="39"/>
      <c r="BD47" s="72">
        <f t="shared" ref="BD47:BD78" si="48">IF($K47&lt;=$F$15,($AT47+$F$152)*$F$151,"")</f>
        <v>0</v>
      </c>
      <c r="BE47" s="72">
        <f t="shared" si="28"/>
        <v>0</v>
      </c>
      <c r="BF47" s="39"/>
      <c r="BG47" s="42">
        <f t="shared" ref="BG47:BG78" si="49">IF($K47&lt;=$F$15,$F$153*AY47,"")</f>
        <v>0</v>
      </c>
      <c r="BH47" s="72">
        <f t="shared" si="29"/>
        <v>0</v>
      </c>
      <c r="BI47" s="39"/>
      <c r="BJ47" s="40" t="str">
        <f t="shared" si="30"/>
        <v/>
      </c>
      <c r="BK47" s="157" t="str">
        <f t="shared" si="31"/>
        <v/>
      </c>
      <c r="BL47" s="157" t="str">
        <f t="shared" si="32"/>
        <v/>
      </c>
      <c r="BM47" s="72"/>
      <c r="BN47" s="72" t="str">
        <f t="shared" si="33"/>
        <v/>
      </c>
      <c r="BO47" s="72" t="str">
        <f t="shared" si="34"/>
        <v/>
      </c>
      <c r="BP47" s="39"/>
      <c r="BQ47" s="72">
        <f t="shared" ref="BQ47:BQ78" si="50">IF($K47&lt;=$F$15,$F$134,"")</f>
        <v>36490305.599999994</v>
      </c>
      <c r="BR47" s="72">
        <f t="shared" si="35"/>
        <v>13757802.962578163</v>
      </c>
    </row>
    <row r="48" spans="3:70" x14ac:dyDescent="0.15">
      <c r="D48" s="84" t="s">
        <v>578</v>
      </c>
      <c r="F48" s="474"/>
      <c r="I48" s="457">
        <f t="shared" si="36"/>
        <v>2063</v>
      </c>
      <c r="K48" s="71">
        <f t="shared" si="37"/>
        <v>34</v>
      </c>
      <c r="M48" s="7">
        <f t="shared" si="0"/>
        <v>0.36604489974263904</v>
      </c>
      <c r="O48" s="10">
        <f t="shared" si="16"/>
        <v>0</v>
      </c>
      <c r="P48" s="29" t="str">
        <f t="shared" si="39"/>
        <v>-</v>
      </c>
      <c r="R48" s="10">
        <f t="shared" ref="R48:R79" si="51">IF($K48&lt;=$F$15,MAX($F$117*5%,R47*$F$129),"")</f>
        <v>113350000</v>
      </c>
      <c r="T48" s="10">
        <f t="shared" si="18"/>
        <v>113350000</v>
      </c>
      <c r="V48" s="10">
        <f t="shared" si="40"/>
        <v>0</v>
      </c>
      <c r="W48" s="10">
        <f t="shared" si="19"/>
        <v>0</v>
      </c>
      <c r="Y48" s="10">
        <f t="shared" si="41"/>
        <v>1586900</v>
      </c>
      <c r="Z48" s="10">
        <f t="shared" si="20"/>
        <v>580876.65140159393</v>
      </c>
      <c r="AB48" s="10">
        <f t="shared" si="4"/>
        <v>0</v>
      </c>
      <c r="AC48" s="10">
        <f t="shared" si="21"/>
        <v>0</v>
      </c>
      <c r="AE48" s="10">
        <f t="shared" si="42"/>
        <v>0</v>
      </c>
      <c r="AF48" s="10">
        <f t="shared" si="22"/>
        <v>0</v>
      </c>
      <c r="AH48" s="10">
        <f t="shared" si="38"/>
        <v>153899999.99999997</v>
      </c>
      <c r="AI48" s="10">
        <f t="shared" si="23"/>
        <v>56334310.070392139</v>
      </c>
      <c r="AK48" s="10">
        <f t="shared" si="43"/>
        <v>0</v>
      </c>
      <c r="AL48" s="10">
        <f t="shared" si="24"/>
        <v>0</v>
      </c>
      <c r="AN48" s="10">
        <f t="shared" si="44"/>
        <v>0</v>
      </c>
      <c r="AO48" s="10">
        <f t="shared" si="25"/>
        <v>0</v>
      </c>
      <c r="AQ48" s="10">
        <f t="shared" si="45"/>
        <v>0</v>
      </c>
      <c r="AR48" s="10">
        <f t="shared" si="26"/>
        <v>0</v>
      </c>
      <c r="AT48" s="7">
        <f>IF($K48&lt;=$F$15,IF($F$40&lt;&gt;"",$F$40/1000,IF(ISERROR(VLOOKUP($F$3&amp;IF($G$4&lt;&gt;"",$G$4,"")&amp;IF($F$43&lt;&gt;"","_"&amp;$F$43,""),'表3）燃料価格'!$AF$9:$AG$25,2,0)),0,VLOOKUP($I48,'表3）燃料価格'!$A$6:$U$66,VLOOKUP($F$3&amp;IF($G$4&lt;&gt;"",$G$4,"")&amp;IF($F$43&lt;&gt;"","_"&amp;$F$43,""),'表3）燃料価格'!$AF$9:$AG$25,2,0)+VLOOKUP($F$41,'表3）燃料価格'!$AF$28:$AG$29,2,0),0)*IF($F$43="需要地価格",1,$F$8/$F$141))),"")</f>
        <v>12</v>
      </c>
      <c r="AV48" s="10">
        <f t="shared" si="46"/>
        <v>764999999.99999988</v>
      </c>
      <c r="AW48" s="10">
        <f t="shared" si="11"/>
        <v>280024348.30311882</v>
      </c>
      <c r="AY48" s="7">
        <f>IF(ISERROR(IF($K48&lt;=$F$15,VLOOKUP($I48,'表4）CO2価格'!$A$7:$E$67,VLOOKUP($F$48,'表4）CO2価格'!$H$10:$I$12,2,0),0)*$F$8/1000,"")),0,IF($K48&lt;=$F$15,VLOOKUP($I48,'表4）CO2価格'!$A$7:$E$67,VLOOKUP($F$48,'表4）CO2価格'!$H$10:$I$12,2,0),0)*$F$8/1000,""))</f>
        <v>0</v>
      </c>
      <c r="BA48" s="11">
        <f t="shared" si="47"/>
        <v>0</v>
      </c>
      <c r="BB48" s="10">
        <f t="shared" si="27"/>
        <v>0</v>
      </c>
      <c r="BD48" s="10">
        <f t="shared" si="48"/>
        <v>0</v>
      </c>
      <c r="BE48" s="10">
        <f t="shared" si="28"/>
        <v>0</v>
      </c>
      <c r="BG48" s="11">
        <f t="shared" si="49"/>
        <v>0</v>
      </c>
      <c r="BH48" s="10">
        <f t="shared" si="29"/>
        <v>0</v>
      </c>
      <c r="BJ48" s="7" t="str">
        <f t="shared" si="30"/>
        <v/>
      </c>
      <c r="BK48" s="158" t="str">
        <f t="shared" si="31"/>
        <v/>
      </c>
      <c r="BL48" s="158" t="str">
        <f t="shared" si="32"/>
        <v/>
      </c>
      <c r="BM48" s="10"/>
      <c r="BN48" s="10" t="str">
        <f t="shared" si="33"/>
        <v/>
      </c>
      <c r="BO48" s="10" t="str">
        <f t="shared" si="34"/>
        <v/>
      </c>
      <c r="BQ48" s="10">
        <f t="shared" si="50"/>
        <v>36490305.599999994</v>
      </c>
      <c r="BR48" s="10">
        <f t="shared" si="35"/>
        <v>13357090.254930258</v>
      </c>
    </row>
    <row r="49" spans="3:70" x14ac:dyDescent="0.15">
      <c r="I49" s="38">
        <f t="shared" si="36"/>
        <v>2064</v>
      </c>
      <c r="J49" s="39"/>
      <c r="K49" s="39">
        <f t="shared" si="37"/>
        <v>35</v>
      </c>
      <c r="L49" s="39"/>
      <c r="M49" s="40">
        <f t="shared" si="0"/>
        <v>0.35538339780838735</v>
      </c>
      <c r="N49" s="39"/>
      <c r="O49" s="72">
        <f t="shared" si="16"/>
        <v>0</v>
      </c>
      <c r="P49" s="41" t="str">
        <f t="shared" si="39"/>
        <v>-</v>
      </c>
      <c r="Q49" s="39"/>
      <c r="R49" s="72">
        <f t="shared" si="51"/>
        <v>113350000</v>
      </c>
      <c r="S49" s="39"/>
      <c r="T49" s="72">
        <f t="shared" si="18"/>
        <v>113350000</v>
      </c>
      <c r="U49" s="39"/>
      <c r="V49" s="72">
        <f t="shared" si="40"/>
        <v>0</v>
      </c>
      <c r="W49" s="72">
        <f t="shared" si="19"/>
        <v>0</v>
      </c>
      <c r="X49" s="39"/>
      <c r="Y49" s="72">
        <f t="shared" si="41"/>
        <v>1586900</v>
      </c>
      <c r="Z49" s="72">
        <f t="shared" si="20"/>
        <v>563957.91398212989</v>
      </c>
      <c r="AA49" s="39"/>
      <c r="AB49" s="72">
        <f t="shared" si="4"/>
        <v>0</v>
      </c>
      <c r="AC49" s="72">
        <f t="shared" si="21"/>
        <v>0</v>
      </c>
      <c r="AD49" s="39"/>
      <c r="AE49" s="72">
        <f t="shared" si="42"/>
        <v>0</v>
      </c>
      <c r="AF49" s="72">
        <f t="shared" si="22"/>
        <v>0</v>
      </c>
      <c r="AG49" s="39"/>
      <c r="AH49" s="10">
        <f t="shared" si="38"/>
        <v>153899999.99999997</v>
      </c>
      <c r="AI49" s="72">
        <f t="shared" si="23"/>
        <v>54693504.922710799</v>
      </c>
      <c r="AJ49" s="39"/>
      <c r="AK49" s="72">
        <f t="shared" si="43"/>
        <v>0</v>
      </c>
      <c r="AL49" s="72">
        <f t="shared" si="24"/>
        <v>0</v>
      </c>
      <c r="AM49" s="39"/>
      <c r="AN49" s="72">
        <f t="shared" si="44"/>
        <v>0</v>
      </c>
      <c r="AO49" s="72">
        <f t="shared" si="25"/>
        <v>0</v>
      </c>
      <c r="AP49" s="39"/>
      <c r="AQ49" s="72">
        <f t="shared" si="45"/>
        <v>0</v>
      </c>
      <c r="AR49" s="72">
        <f t="shared" si="26"/>
        <v>0</v>
      </c>
      <c r="AS49" s="39"/>
      <c r="AT49" s="40">
        <f>IF($K49&lt;=$F$15,IF($F$40&lt;&gt;"",$F$40/1000,IF(ISERROR(VLOOKUP($F$3&amp;IF($G$4&lt;&gt;"",$G$4,"")&amp;IF($F$43&lt;&gt;"","_"&amp;$F$43,""),'表3）燃料価格'!$AF$9:$AG$25,2,0)),0,VLOOKUP($I49,'表3）燃料価格'!$A$6:$U$66,VLOOKUP($F$3&amp;IF($G$4&lt;&gt;"",$G$4,"")&amp;IF($F$43&lt;&gt;"","_"&amp;$F$43,""),'表3）燃料価格'!$AF$9:$AG$25,2,0)+VLOOKUP($F$41,'表3）燃料価格'!$AF$28:$AG$29,2,0),0)*IF($F$43="需要地価格",1,$F$8/$F$141))),"")</f>
        <v>12</v>
      </c>
      <c r="AU49" s="39"/>
      <c r="AV49" s="72">
        <f t="shared" si="46"/>
        <v>764999999.99999988</v>
      </c>
      <c r="AW49" s="72">
        <f t="shared" si="11"/>
        <v>271868299.32341629</v>
      </c>
      <c r="AX49" s="39"/>
      <c r="AY49" s="40">
        <f>IF(ISERROR(IF($K49&lt;=$F$15,VLOOKUP($I49,'表4）CO2価格'!$A$7:$E$67,VLOOKUP($F$48,'表4）CO2価格'!$H$10:$I$12,2,0),0)*$F$8/1000,"")),0,IF($K49&lt;=$F$15,VLOOKUP($I49,'表4）CO2価格'!$A$7:$E$67,VLOOKUP($F$48,'表4）CO2価格'!$H$10:$I$12,2,0),0)*$F$8/1000,""))</f>
        <v>0</v>
      </c>
      <c r="AZ49" s="39"/>
      <c r="BA49" s="42">
        <f t="shared" si="47"/>
        <v>0</v>
      </c>
      <c r="BB49" s="72">
        <f t="shared" si="27"/>
        <v>0</v>
      </c>
      <c r="BC49" s="39"/>
      <c r="BD49" s="72">
        <f t="shared" si="48"/>
        <v>0</v>
      </c>
      <c r="BE49" s="72">
        <f t="shared" si="28"/>
        <v>0</v>
      </c>
      <c r="BF49" s="39"/>
      <c r="BG49" s="42">
        <f t="shared" si="49"/>
        <v>0</v>
      </c>
      <c r="BH49" s="72">
        <f t="shared" si="29"/>
        <v>0</v>
      </c>
      <c r="BI49" s="39"/>
      <c r="BJ49" s="40" t="str">
        <f t="shared" si="30"/>
        <v/>
      </c>
      <c r="BK49" s="157" t="str">
        <f t="shared" si="31"/>
        <v/>
      </c>
      <c r="BL49" s="157" t="str">
        <f t="shared" si="32"/>
        <v/>
      </c>
      <c r="BM49" s="72"/>
      <c r="BN49" s="72" t="str">
        <f t="shared" si="33"/>
        <v/>
      </c>
      <c r="BO49" s="72" t="str">
        <f t="shared" si="34"/>
        <v/>
      </c>
      <c r="BP49" s="39"/>
      <c r="BQ49" s="72">
        <f t="shared" si="50"/>
        <v>36490305.599999994</v>
      </c>
      <c r="BR49" s="72">
        <f t="shared" si="35"/>
        <v>12968048.791194422</v>
      </c>
    </row>
    <row r="50" spans="3:70" x14ac:dyDescent="0.15">
      <c r="C50" s="4" t="s">
        <v>579</v>
      </c>
      <c r="D50" s="100"/>
      <c r="E50" s="100"/>
      <c r="F50" s="4"/>
      <c r="G50" s="100"/>
      <c r="I50" s="457">
        <f t="shared" si="36"/>
        <v>2065</v>
      </c>
      <c r="K50" s="71">
        <f t="shared" si="37"/>
        <v>36</v>
      </c>
      <c r="M50" s="7">
        <f t="shared" si="0"/>
        <v>0.34503242505668674</v>
      </c>
      <c r="O50" s="10">
        <f t="shared" si="16"/>
        <v>0</v>
      </c>
      <c r="P50" s="29" t="str">
        <f t="shared" si="39"/>
        <v>-</v>
      </c>
      <c r="R50" s="10">
        <f t="shared" si="51"/>
        <v>113350000</v>
      </c>
      <c r="T50" s="10">
        <f t="shared" si="18"/>
        <v>113350000</v>
      </c>
      <c r="V50" s="10">
        <f t="shared" si="40"/>
        <v>0</v>
      </c>
      <c r="W50" s="10">
        <f t="shared" si="19"/>
        <v>0</v>
      </c>
      <c r="Y50" s="10">
        <f t="shared" si="41"/>
        <v>1586900</v>
      </c>
      <c r="Z50" s="10">
        <f t="shared" si="20"/>
        <v>547531.9553224562</v>
      </c>
      <c r="AB50" s="10">
        <f t="shared" si="4"/>
        <v>0</v>
      </c>
      <c r="AC50" s="10">
        <f t="shared" si="21"/>
        <v>0</v>
      </c>
      <c r="AE50" s="10">
        <f t="shared" si="42"/>
        <v>0</v>
      </c>
      <c r="AF50" s="10">
        <f t="shared" si="22"/>
        <v>0</v>
      </c>
      <c r="AH50" s="10">
        <f t="shared" si="38"/>
        <v>153899999.99999997</v>
      </c>
      <c r="AI50" s="10">
        <f t="shared" si="23"/>
        <v>53100490.216224082</v>
      </c>
      <c r="AK50" s="10">
        <f t="shared" si="43"/>
        <v>0</v>
      </c>
      <c r="AL50" s="10">
        <f t="shared" si="24"/>
        <v>0</v>
      </c>
      <c r="AN50" s="10">
        <f t="shared" si="44"/>
        <v>0</v>
      </c>
      <c r="AO50" s="10">
        <f t="shared" si="25"/>
        <v>0</v>
      </c>
      <c r="AQ50" s="10">
        <f t="shared" si="45"/>
        <v>0</v>
      </c>
      <c r="AR50" s="10">
        <f t="shared" si="26"/>
        <v>0</v>
      </c>
      <c r="AT50" s="7">
        <f>IF($K50&lt;=$F$15,IF($F$40&lt;&gt;"",$F$40/1000,IF(ISERROR(VLOOKUP($F$3&amp;IF($G$4&lt;&gt;"",$G$4,"")&amp;IF($F$43&lt;&gt;"","_"&amp;$F$43,""),'表3）燃料価格'!$AF$9:$AG$25,2,0)),0,VLOOKUP($I50,'表3）燃料価格'!$A$6:$U$66,VLOOKUP($F$3&amp;IF($G$4&lt;&gt;"",$G$4,"")&amp;IF($F$43&lt;&gt;"","_"&amp;$F$43,""),'表3）燃料価格'!$AF$9:$AG$25,2,0)+VLOOKUP($F$41,'表3）燃料価格'!$AF$28:$AG$29,2,0),0)*IF($F$43="需要地価格",1,$F$8/$F$141))),"")</f>
        <v>12</v>
      </c>
      <c r="AV50" s="10">
        <f t="shared" si="46"/>
        <v>764999999.99999988</v>
      </c>
      <c r="AW50" s="10">
        <f t="shared" si="11"/>
        <v>263949805.16836533</v>
      </c>
      <c r="AY50" s="7">
        <f>IF(ISERROR(IF($K50&lt;=$F$15,VLOOKUP($I50,'表4）CO2価格'!$A$7:$E$67,VLOOKUP($F$48,'表4）CO2価格'!$H$10:$I$12,2,0),0)*$F$8/1000,"")),0,IF($K50&lt;=$F$15,VLOOKUP($I50,'表4）CO2価格'!$A$7:$E$67,VLOOKUP($F$48,'表4）CO2価格'!$H$10:$I$12,2,0),0)*$F$8/1000,""))</f>
        <v>0</v>
      </c>
      <c r="BA50" s="11">
        <f t="shared" si="47"/>
        <v>0</v>
      </c>
      <c r="BB50" s="10">
        <f t="shared" si="27"/>
        <v>0</v>
      </c>
      <c r="BD50" s="10">
        <f t="shared" si="48"/>
        <v>0</v>
      </c>
      <c r="BE50" s="10">
        <f t="shared" si="28"/>
        <v>0</v>
      </c>
      <c r="BG50" s="11">
        <f t="shared" si="49"/>
        <v>0</v>
      </c>
      <c r="BH50" s="10">
        <f t="shared" si="29"/>
        <v>0</v>
      </c>
      <c r="BJ50" s="7" t="str">
        <f t="shared" si="30"/>
        <v/>
      </c>
      <c r="BK50" s="158" t="str">
        <f t="shared" si="31"/>
        <v/>
      </c>
      <c r="BL50" s="158" t="str">
        <f t="shared" si="32"/>
        <v/>
      </c>
      <c r="BM50" s="10"/>
      <c r="BN50" s="10" t="str">
        <f t="shared" si="33"/>
        <v/>
      </c>
      <c r="BO50" s="10" t="str">
        <f t="shared" si="34"/>
        <v/>
      </c>
      <c r="BQ50" s="10">
        <f t="shared" si="50"/>
        <v>36490305.599999994</v>
      </c>
      <c r="BR50" s="10">
        <f t="shared" si="35"/>
        <v>12590338.632227594</v>
      </c>
    </row>
    <row r="51" spans="3:70" x14ac:dyDescent="0.15">
      <c r="I51" s="38">
        <f t="shared" si="36"/>
        <v>2066</v>
      </c>
      <c r="J51" s="39"/>
      <c r="K51" s="39">
        <f t="shared" si="37"/>
        <v>37</v>
      </c>
      <c r="L51" s="39"/>
      <c r="M51" s="40">
        <f t="shared" si="0"/>
        <v>0.33498293694823961</v>
      </c>
      <c r="N51" s="39"/>
      <c r="O51" s="72">
        <f t="shared" si="16"/>
        <v>0</v>
      </c>
      <c r="P51" s="41" t="str">
        <f t="shared" si="39"/>
        <v>-</v>
      </c>
      <c r="Q51" s="39"/>
      <c r="R51" s="72">
        <f t="shared" si="51"/>
        <v>113350000</v>
      </c>
      <c r="S51" s="39"/>
      <c r="T51" s="72">
        <f t="shared" si="18"/>
        <v>113350000</v>
      </c>
      <c r="U51" s="39"/>
      <c r="V51" s="72">
        <f t="shared" si="40"/>
        <v>0</v>
      </c>
      <c r="W51" s="72">
        <f t="shared" si="19"/>
        <v>0</v>
      </c>
      <c r="X51" s="39"/>
      <c r="Y51" s="72">
        <f t="shared" si="41"/>
        <v>1586900</v>
      </c>
      <c r="Z51" s="72">
        <f t="shared" si="20"/>
        <v>531584.42264316138</v>
      </c>
      <c r="AA51" s="39"/>
      <c r="AB51" s="72">
        <f t="shared" si="4"/>
        <v>0</v>
      </c>
      <c r="AC51" s="72">
        <f t="shared" si="21"/>
        <v>0</v>
      </c>
      <c r="AD51" s="39"/>
      <c r="AE51" s="72">
        <f t="shared" si="42"/>
        <v>0</v>
      </c>
      <c r="AF51" s="72">
        <f t="shared" si="22"/>
        <v>0</v>
      </c>
      <c r="AG51" s="39"/>
      <c r="AH51" s="10">
        <f t="shared" si="38"/>
        <v>153899999.99999997</v>
      </c>
      <c r="AI51" s="72">
        <f t="shared" si="23"/>
        <v>51553873.996334068</v>
      </c>
      <c r="AJ51" s="39"/>
      <c r="AK51" s="72">
        <f t="shared" si="43"/>
        <v>0</v>
      </c>
      <c r="AL51" s="72">
        <f t="shared" si="24"/>
        <v>0</v>
      </c>
      <c r="AM51" s="39"/>
      <c r="AN51" s="72">
        <f t="shared" si="44"/>
        <v>0</v>
      </c>
      <c r="AO51" s="72">
        <f t="shared" si="25"/>
        <v>0</v>
      </c>
      <c r="AP51" s="39"/>
      <c r="AQ51" s="72">
        <f t="shared" si="45"/>
        <v>0</v>
      </c>
      <c r="AR51" s="72">
        <f t="shared" si="26"/>
        <v>0</v>
      </c>
      <c r="AS51" s="39"/>
      <c r="AT51" s="40">
        <f>IF($K51&lt;=$F$15,IF($F$40&lt;&gt;"",$F$40/1000,IF(ISERROR(VLOOKUP($F$3&amp;IF($G$4&lt;&gt;"",$G$4,"")&amp;IF($F$43&lt;&gt;"","_"&amp;$F$43,""),'表3）燃料価格'!$AF$9:$AG$25,2,0)),0,VLOOKUP($I51,'表3）燃料価格'!$A$6:$U$66,VLOOKUP($F$3&amp;IF($G$4&lt;&gt;"",$G$4,"")&amp;IF($F$43&lt;&gt;"","_"&amp;$F$43,""),'表3）燃料価格'!$AF$9:$AG$25,2,0)+VLOOKUP($F$41,'表3）燃料価格'!$AF$28:$AG$29,2,0),0)*IF($F$43="需要地価格",1,$F$8/$F$141))),"")</f>
        <v>12</v>
      </c>
      <c r="AU51" s="39"/>
      <c r="AV51" s="72">
        <f t="shared" si="46"/>
        <v>764999999.99999988</v>
      </c>
      <c r="AW51" s="72">
        <f t="shared" si="11"/>
        <v>256261946.76540327</v>
      </c>
      <c r="AX51" s="39"/>
      <c r="AY51" s="40">
        <f>IF(ISERROR(IF($K51&lt;=$F$15,VLOOKUP($I51,'表4）CO2価格'!$A$7:$E$67,VLOOKUP($F$48,'表4）CO2価格'!$H$10:$I$12,2,0),0)*$F$8/1000,"")),0,IF($K51&lt;=$F$15,VLOOKUP($I51,'表4）CO2価格'!$A$7:$E$67,VLOOKUP($F$48,'表4）CO2価格'!$H$10:$I$12,2,0),0)*$F$8/1000,""))</f>
        <v>0</v>
      </c>
      <c r="AZ51" s="39"/>
      <c r="BA51" s="42">
        <f t="shared" si="47"/>
        <v>0</v>
      </c>
      <c r="BB51" s="72">
        <f t="shared" si="27"/>
        <v>0</v>
      </c>
      <c r="BC51" s="39"/>
      <c r="BD51" s="72">
        <f t="shared" si="48"/>
        <v>0</v>
      </c>
      <c r="BE51" s="72">
        <f t="shared" si="28"/>
        <v>0</v>
      </c>
      <c r="BF51" s="39"/>
      <c r="BG51" s="42">
        <f t="shared" si="49"/>
        <v>0</v>
      </c>
      <c r="BH51" s="72">
        <f t="shared" si="29"/>
        <v>0</v>
      </c>
      <c r="BI51" s="39"/>
      <c r="BJ51" s="40" t="str">
        <f t="shared" si="30"/>
        <v/>
      </c>
      <c r="BK51" s="157" t="str">
        <f t="shared" si="31"/>
        <v/>
      </c>
      <c r="BL51" s="157" t="str">
        <f t="shared" si="32"/>
        <v/>
      </c>
      <c r="BM51" s="72"/>
      <c r="BN51" s="72" t="str">
        <f t="shared" si="33"/>
        <v/>
      </c>
      <c r="BO51" s="72" t="str">
        <f t="shared" si="34"/>
        <v/>
      </c>
      <c r="BP51" s="39"/>
      <c r="BQ51" s="72">
        <f t="shared" si="50"/>
        <v>36490305.599999994</v>
      </c>
      <c r="BR51" s="72">
        <f t="shared" si="35"/>
        <v>12223629.740026793</v>
      </c>
    </row>
    <row r="52" spans="3:70" x14ac:dyDescent="0.15">
      <c r="D52" s="84" t="s">
        <v>185</v>
      </c>
      <c r="F52" s="478"/>
      <c r="G52" s="84" t="s">
        <v>549</v>
      </c>
      <c r="I52" s="457">
        <f t="shared" si="36"/>
        <v>2067</v>
      </c>
      <c r="K52" s="71">
        <f t="shared" si="37"/>
        <v>38</v>
      </c>
      <c r="M52" s="7">
        <f t="shared" si="0"/>
        <v>0.3252261523769317</v>
      </c>
      <c r="O52" s="10">
        <f t="shared" si="16"/>
        <v>0</v>
      </c>
      <c r="P52" s="29" t="str">
        <f t="shared" si="39"/>
        <v>-</v>
      </c>
      <c r="R52" s="10">
        <f t="shared" si="51"/>
        <v>113350000</v>
      </c>
      <c r="T52" s="10">
        <f t="shared" si="18"/>
        <v>113350000</v>
      </c>
      <c r="V52" s="10">
        <f t="shared" si="40"/>
        <v>0</v>
      </c>
      <c r="W52" s="10">
        <f t="shared" si="19"/>
        <v>0</v>
      </c>
      <c r="Y52" s="10">
        <f t="shared" si="41"/>
        <v>1586900</v>
      </c>
      <c r="Z52" s="10">
        <f t="shared" si="20"/>
        <v>516101.38120695291</v>
      </c>
      <c r="AB52" s="10">
        <f t="shared" si="4"/>
        <v>0</v>
      </c>
      <c r="AC52" s="10">
        <f t="shared" si="21"/>
        <v>0</v>
      </c>
      <c r="AE52" s="10">
        <f t="shared" si="42"/>
        <v>0</v>
      </c>
      <c r="AF52" s="10">
        <f t="shared" si="22"/>
        <v>0</v>
      </c>
      <c r="AH52" s="10">
        <f t="shared" si="38"/>
        <v>153899999.99999997</v>
      </c>
      <c r="AI52" s="10">
        <f t="shared" si="23"/>
        <v>50052304.850809775</v>
      </c>
      <c r="AK52" s="10">
        <f t="shared" si="43"/>
        <v>0</v>
      </c>
      <c r="AL52" s="10">
        <f t="shared" si="24"/>
        <v>0</v>
      </c>
      <c r="AN52" s="10">
        <f t="shared" si="44"/>
        <v>0</v>
      </c>
      <c r="AO52" s="10">
        <f t="shared" si="25"/>
        <v>0</v>
      </c>
      <c r="AQ52" s="10">
        <f t="shared" si="45"/>
        <v>0</v>
      </c>
      <c r="AR52" s="10">
        <f t="shared" si="26"/>
        <v>0</v>
      </c>
      <c r="AT52" s="7">
        <f>IF($K52&lt;=$F$15,IF($F$40&lt;&gt;"",$F$40/1000,IF(ISERROR(VLOOKUP($F$3&amp;IF($G$4&lt;&gt;"",$G$4,"")&amp;IF($F$43&lt;&gt;"","_"&amp;$F$43,""),'表3）燃料価格'!$AF$9:$AG$25,2,0)),0,VLOOKUP($I52,'表3）燃料価格'!$A$6:$U$66,VLOOKUP($F$3&amp;IF($G$4&lt;&gt;"",$G$4,"")&amp;IF($F$43&lt;&gt;"","_"&amp;$F$43,""),'表3）燃料価格'!$AF$9:$AG$25,2,0)+VLOOKUP($F$41,'表3）燃料価格'!$AF$28:$AG$29,2,0),0)*IF($F$43="需要地価格",1,$F$8/$F$141))),"")</f>
        <v>12</v>
      </c>
      <c r="AV52" s="10">
        <f t="shared" si="46"/>
        <v>764999999.99999988</v>
      </c>
      <c r="AW52" s="10">
        <f t="shared" si="11"/>
        <v>248798006.5683527</v>
      </c>
      <c r="AY52" s="7">
        <f>IF(ISERROR(IF($K52&lt;=$F$15,VLOOKUP($I52,'表4）CO2価格'!$A$7:$E$67,VLOOKUP($F$48,'表4）CO2価格'!$H$10:$I$12,2,0),0)*$F$8/1000,"")),0,IF($K52&lt;=$F$15,VLOOKUP($I52,'表4）CO2価格'!$A$7:$E$67,VLOOKUP($F$48,'表4）CO2価格'!$H$10:$I$12,2,0),0)*$F$8/1000,""))</f>
        <v>0</v>
      </c>
      <c r="BA52" s="11">
        <f t="shared" si="47"/>
        <v>0</v>
      </c>
      <c r="BB52" s="10">
        <f t="shared" si="27"/>
        <v>0</v>
      </c>
      <c r="BD52" s="10">
        <f t="shared" si="48"/>
        <v>0</v>
      </c>
      <c r="BE52" s="10">
        <f t="shared" si="28"/>
        <v>0</v>
      </c>
      <c r="BG52" s="11">
        <f t="shared" si="49"/>
        <v>0</v>
      </c>
      <c r="BH52" s="10">
        <f t="shared" si="29"/>
        <v>0</v>
      </c>
      <c r="BJ52" s="7" t="str">
        <f t="shared" si="30"/>
        <v/>
      </c>
      <c r="BK52" s="158" t="str">
        <f t="shared" si="31"/>
        <v/>
      </c>
      <c r="BL52" s="158" t="str">
        <f t="shared" si="32"/>
        <v/>
      </c>
      <c r="BM52" s="10"/>
      <c r="BN52" s="10" t="str">
        <f t="shared" si="33"/>
        <v/>
      </c>
      <c r="BO52" s="10" t="str">
        <f t="shared" si="34"/>
        <v/>
      </c>
      <c r="BQ52" s="10">
        <f t="shared" si="50"/>
        <v>36490305.599999994</v>
      </c>
      <c r="BR52" s="10">
        <f t="shared" si="35"/>
        <v>11867601.689346403</v>
      </c>
    </row>
    <row r="53" spans="3:70" x14ac:dyDescent="0.15">
      <c r="D53" s="84" t="s">
        <v>580</v>
      </c>
      <c r="F53" s="475"/>
      <c r="G53" s="84" t="s">
        <v>549</v>
      </c>
      <c r="I53" s="38">
        <f t="shared" si="36"/>
        <v>2068</v>
      </c>
      <c r="J53" s="39"/>
      <c r="K53" s="39">
        <f t="shared" si="37"/>
        <v>39</v>
      </c>
      <c r="L53" s="39"/>
      <c r="M53" s="40">
        <f t="shared" si="0"/>
        <v>0.31575354599702099</v>
      </c>
      <c r="N53" s="39"/>
      <c r="O53" s="72">
        <f t="shared" si="16"/>
        <v>0</v>
      </c>
      <c r="P53" s="41" t="str">
        <f t="shared" si="39"/>
        <v>-</v>
      </c>
      <c r="Q53" s="39"/>
      <c r="R53" s="72">
        <f t="shared" si="51"/>
        <v>113350000</v>
      </c>
      <c r="S53" s="39"/>
      <c r="T53" s="72">
        <f t="shared" si="18"/>
        <v>113350000</v>
      </c>
      <c r="U53" s="39"/>
      <c r="V53" s="72">
        <f t="shared" si="40"/>
        <v>0</v>
      </c>
      <c r="W53" s="72">
        <f t="shared" si="19"/>
        <v>0</v>
      </c>
      <c r="X53" s="39"/>
      <c r="Y53" s="72">
        <f t="shared" si="41"/>
        <v>1586900</v>
      </c>
      <c r="Z53" s="72">
        <f t="shared" si="20"/>
        <v>501069.30214267259</v>
      </c>
      <c r="AA53" s="39"/>
      <c r="AB53" s="72">
        <f t="shared" si="4"/>
        <v>0</v>
      </c>
      <c r="AC53" s="72">
        <f t="shared" si="21"/>
        <v>0</v>
      </c>
      <c r="AD53" s="39"/>
      <c r="AE53" s="72">
        <f t="shared" si="42"/>
        <v>0</v>
      </c>
      <c r="AF53" s="72">
        <f t="shared" si="22"/>
        <v>0</v>
      </c>
      <c r="AG53" s="39"/>
      <c r="AH53" s="10">
        <f t="shared" si="38"/>
        <v>153899999.99999997</v>
      </c>
      <c r="AI53" s="72">
        <f t="shared" si="23"/>
        <v>48594470.728941523</v>
      </c>
      <c r="AJ53" s="39"/>
      <c r="AK53" s="72">
        <f t="shared" si="43"/>
        <v>0</v>
      </c>
      <c r="AL53" s="72">
        <f t="shared" si="24"/>
        <v>0</v>
      </c>
      <c r="AM53" s="39"/>
      <c r="AN53" s="72">
        <f t="shared" si="44"/>
        <v>0</v>
      </c>
      <c r="AO53" s="72">
        <f t="shared" si="25"/>
        <v>0</v>
      </c>
      <c r="AP53" s="39"/>
      <c r="AQ53" s="72">
        <f t="shared" si="45"/>
        <v>0</v>
      </c>
      <c r="AR53" s="72">
        <f t="shared" si="26"/>
        <v>0</v>
      </c>
      <c r="AS53" s="39"/>
      <c r="AT53" s="40">
        <f>IF($K53&lt;=$F$15,IF($F$40&lt;&gt;"",$F$40/1000,IF(ISERROR(VLOOKUP($F$3&amp;IF($G$4&lt;&gt;"",$G$4,"")&amp;IF($F$43&lt;&gt;"","_"&amp;$F$43,""),'表3）燃料価格'!$AF$9:$AG$25,2,0)),0,VLOOKUP($I53,'表3）燃料価格'!$A$6:$U$66,VLOOKUP($F$3&amp;IF($G$4&lt;&gt;"",$G$4,"")&amp;IF($F$43&lt;&gt;"","_"&amp;$F$43,""),'表3）燃料価格'!$AF$9:$AG$25,2,0)+VLOOKUP($F$41,'表3）燃料価格'!$AF$28:$AG$29,2,0),0)*IF($F$43="需要地価格",1,$F$8/$F$141))),"")</f>
        <v>12</v>
      </c>
      <c r="AU53" s="39"/>
      <c r="AV53" s="72">
        <f t="shared" si="46"/>
        <v>764999999.99999988</v>
      </c>
      <c r="AW53" s="72">
        <f t="shared" si="11"/>
        <v>241551462.68772101</v>
      </c>
      <c r="AX53" s="39"/>
      <c r="AY53" s="40">
        <f>IF(ISERROR(IF($K53&lt;=$F$15,VLOOKUP($I53,'表4）CO2価格'!$A$7:$E$67,VLOOKUP($F$48,'表4）CO2価格'!$H$10:$I$12,2,0),0)*$F$8/1000,"")),0,IF($K53&lt;=$F$15,VLOOKUP($I53,'表4）CO2価格'!$A$7:$E$67,VLOOKUP($F$48,'表4）CO2価格'!$H$10:$I$12,2,0),0)*$F$8/1000,""))</f>
        <v>0</v>
      </c>
      <c r="AZ53" s="39"/>
      <c r="BA53" s="42">
        <f t="shared" si="47"/>
        <v>0</v>
      </c>
      <c r="BB53" s="72">
        <f t="shared" si="27"/>
        <v>0</v>
      </c>
      <c r="BC53" s="39"/>
      <c r="BD53" s="72">
        <f t="shared" si="48"/>
        <v>0</v>
      </c>
      <c r="BE53" s="72">
        <f t="shared" si="28"/>
        <v>0</v>
      </c>
      <c r="BF53" s="39"/>
      <c r="BG53" s="42">
        <f t="shared" si="49"/>
        <v>0</v>
      </c>
      <c r="BH53" s="72">
        <f t="shared" si="29"/>
        <v>0</v>
      </c>
      <c r="BI53" s="39"/>
      <c r="BJ53" s="40" t="str">
        <f t="shared" si="30"/>
        <v/>
      </c>
      <c r="BK53" s="157" t="str">
        <f t="shared" si="31"/>
        <v/>
      </c>
      <c r="BL53" s="157" t="str">
        <f t="shared" si="32"/>
        <v/>
      </c>
      <c r="BM53" s="72"/>
      <c r="BN53" s="72" t="str">
        <f t="shared" si="33"/>
        <v/>
      </c>
      <c r="BO53" s="72" t="str">
        <f t="shared" si="34"/>
        <v/>
      </c>
      <c r="BP53" s="39"/>
      <c r="BQ53" s="72">
        <f t="shared" si="50"/>
        <v>36490305.599999994</v>
      </c>
      <c r="BR53" s="72">
        <f t="shared" si="35"/>
        <v>11521943.38771495</v>
      </c>
    </row>
    <row r="54" spans="3:70" x14ac:dyDescent="0.15">
      <c r="D54" s="84" t="s">
        <v>581</v>
      </c>
      <c r="F54" s="475"/>
      <c r="G54" s="84" t="s">
        <v>549</v>
      </c>
      <c r="I54" s="457">
        <f t="shared" si="36"/>
        <v>2069</v>
      </c>
      <c r="K54" s="71">
        <f t="shared" si="37"/>
        <v>40</v>
      </c>
      <c r="M54" s="7">
        <f t="shared" si="0"/>
        <v>0.30655684077380685</v>
      </c>
      <c r="O54" s="10">
        <f t="shared" si="16"/>
        <v>0</v>
      </c>
      <c r="P54" s="29" t="str">
        <f t="shared" si="39"/>
        <v>-</v>
      </c>
      <c r="R54" s="10">
        <f t="shared" si="51"/>
        <v>113350000</v>
      </c>
      <c r="T54" s="10">
        <f t="shared" si="18"/>
        <v>113350000</v>
      </c>
      <c r="V54" s="10">
        <f t="shared" si="40"/>
        <v>0</v>
      </c>
      <c r="W54" s="10">
        <f t="shared" si="19"/>
        <v>0</v>
      </c>
      <c r="Y54" s="10">
        <f t="shared" si="41"/>
        <v>1586900</v>
      </c>
      <c r="Z54" s="10">
        <f t="shared" si="20"/>
        <v>486475.0506239541</v>
      </c>
      <c r="AB54" s="10">
        <f t="shared" si="4"/>
        <v>0</v>
      </c>
      <c r="AC54" s="10">
        <f t="shared" si="21"/>
        <v>0</v>
      </c>
      <c r="AE54" s="10">
        <f t="shared" si="42"/>
        <v>0</v>
      </c>
      <c r="AF54" s="10">
        <f t="shared" si="22"/>
        <v>0</v>
      </c>
      <c r="AH54" s="10">
        <f t="shared" si="38"/>
        <v>153899999.99999997</v>
      </c>
      <c r="AI54" s="10">
        <f t="shared" si="23"/>
        <v>47179097.795088865</v>
      </c>
      <c r="AK54" s="10">
        <f t="shared" si="43"/>
        <v>0</v>
      </c>
      <c r="AL54" s="10">
        <f t="shared" si="24"/>
        <v>0</v>
      </c>
      <c r="AN54" s="10">
        <f t="shared" si="44"/>
        <v>0</v>
      </c>
      <c r="AO54" s="10">
        <f t="shared" si="25"/>
        <v>0</v>
      </c>
      <c r="AQ54" s="10">
        <f t="shared" si="45"/>
        <v>0</v>
      </c>
      <c r="AR54" s="10">
        <f t="shared" si="26"/>
        <v>0</v>
      </c>
      <c r="AT54" s="7">
        <f>IF($K54&lt;=$F$15,IF($F$40&lt;&gt;"",$F$40/1000,IF(ISERROR(VLOOKUP($F$3&amp;IF($G$4&lt;&gt;"",$G$4,"")&amp;IF($F$43&lt;&gt;"","_"&amp;$F$43,""),'表3）燃料価格'!$AF$9:$AG$25,2,0)),0,VLOOKUP($I54,'表3）燃料価格'!$A$6:$U$66,VLOOKUP($F$3&amp;IF($G$4&lt;&gt;"",$G$4,"")&amp;IF($F$43&lt;&gt;"","_"&amp;$F$43,""),'表3）燃料価格'!$AF$9:$AG$25,2,0)+VLOOKUP($F$41,'表3）燃料価格'!$AF$28:$AG$29,2,0),0)*IF($F$43="需要地価格",1,$F$8/$F$141))),"")</f>
        <v>12</v>
      </c>
      <c r="AV54" s="10">
        <f t="shared" si="46"/>
        <v>764999999.99999988</v>
      </c>
      <c r="AW54" s="10">
        <f t="shared" si="11"/>
        <v>234515983.19196221</v>
      </c>
      <c r="AY54" s="7">
        <f>IF(ISERROR(IF($K54&lt;=$F$15,VLOOKUP($I54,'表4）CO2価格'!$A$7:$E$67,VLOOKUP($F$48,'表4）CO2価格'!$H$10:$I$12,2,0),0)*$F$8/1000,"")),0,IF($K54&lt;=$F$15,VLOOKUP($I54,'表4）CO2価格'!$A$7:$E$67,VLOOKUP($F$48,'表4）CO2価格'!$H$10:$I$12,2,0),0)*$F$8/1000,""))</f>
        <v>0</v>
      </c>
      <c r="BA54" s="11">
        <f t="shared" si="47"/>
        <v>0</v>
      </c>
      <c r="BB54" s="10">
        <f t="shared" si="27"/>
        <v>0</v>
      </c>
      <c r="BD54" s="10">
        <f t="shared" si="48"/>
        <v>0</v>
      </c>
      <c r="BE54" s="10">
        <f t="shared" si="28"/>
        <v>0</v>
      </c>
      <c r="BG54" s="11">
        <f t="shared" si="49"/>
        <v>0</v>
      </c>
      <c r="BH54" s="10">
        <f t="shared" si="29"/>
        <v>0</v>
      </c>
      <c r="BJ54" s="7" t="str">
        <f t="shared" si="30"/>
        <v/>
      </c>
      <c r="BK54" s="158" t="str">
        <f t="shared" si="31"/>
        <v/>
      </c>
      <c r="BL54" s="158" t="str">
        <f t="shared" si="32"/>
        <v/>
      </c>
      <c r="BM54" s="10"/>
      <c r="BN54" s="10" t="str">
        <f t="shared" si="33"/>
        <v/>
      </c>
      <c r="BO54" s="10" t="str">
        <f t="shared" si="34"/>
        <v/>
      </c>
      <c r="BQ54" s="10">
        <f t="shared" si="50"/>
        <v>36490305.599999994</v>
      </c>
      <c r="BR54" s="10">
        <f t="shared" si="35"/>
        <v>11186352.80360675</v>
      </c>
    </row>
    <row r="55" spans="3:70" ht="16.5" x14ac:dyDescent="0.15">
      <c r="D55" s="84" t="s">
        <v>582</v>
      </c>
      <c r="F55" s="475"/>
      <c r="G55" s="71" t="s">
        <v>561</v>
      </c>
      <c r="I55" s="38">
        <f>I54+1</f>
        <v>2070</v>
      </c>
      <c r="J55" s="39"/>
      <c r="K55" s="39">
        <f>IF(I55&lt;&gt;"",K54+1,"")</f>
        <v>41</v>
      </c>
      <c r="L55" s="39"/>
      <c r="M55" s="40">
        <f t="shared" si="0"/>
        <v>0.29762800075126877</v>
      </c>
      <c r="N55" s="39"/>
      <c r="O55" s="72" t="str">
        <f t="shared" si="16"/>
        <v/>
      </c>
      <c r="P55" s="41" t="str">
        <f t="shared" si="39"/>
        <v/>
      </c>
      <c r="Q55" s="39"/>
      <c r="R55" s="72" t="str">
        <f t="shared" si="51"/>
        <v/>
      </c>
      <c r="S55" s="39"/>
      <c r="T55" s="72" t="str">
        <f t="shared" si="18"/>
        <v/>
      </c>
      <c r="U55" s="39"/>
      <c r="V55" s="72" t="str">
        <f t="shared" si="40"/>
        <v/>
      </c>
      <c r="W55" s="72" t="str">
        <f t="shared" si="19"/>
        <v/>
      </c>
      <c r="X55" s="39"/>
      <c r="Y55" s="72" t="str">
        <f t="shared" si="41"/>
        <v/>
      </c>
      <c r="Z55" s="72" t="str">
        <f t="shared" si="20"/>
        <v/>
      </c>
      <c r="AA55" s="39"/>
      <c r="AB55" s="72">
        <f t="shared" si="4"/>
        <v>113350000</v>
      </c>
      <c r="AC55" s="72">
        <f t="shared" si="21"/>
        <v>33736133.885156319</v>
      </c>
      <c r="AD55" s="39"/>
      <c r="AE55" s="72" t="str">
        <f t="shared" si="42"/>
        <v/>
      </c>
      <c r="AF55" s="72" t="str">
        <f t="shared" si="22"/>
        <v/>
      </c>
      <c r="AG55" s="39"/>
      <c r="AH55" s="72" t="str">
        <f t="shared" ref="AH55:AH78" si="52">IF($K55&lt;=$F$15,$F$33*10^8,"")</f>
        <v/>
      </c>
      <c r="AI55" s="72" t="str">
        <f t="shared" si="23"/>
        <v/>
      </c>
      <c r="AJ55" s="39"/>
      <c r="AK55" s="72" t="str">
        <f t="shared" si="43"/>
        <v/>
      </c>
      <c r="AL55" s="72" t="str">
        <f t="shared" si="24"/>
        <v/>
      </c>
      <c r="AM55" s="39"/>
      <c r="AN55" s="72" t="str">
        <f t="shared" si="44"/>
        <v/>
      </c>
      <c r="AO55" s="72" t="str">
        <f t="shared" si="25"/>
        <v/>
      </c>
      <c r="AP55" s="39"/>
      <c r="AQ55" s="72" t="str">
        <f t="shared" si="45"/>
        <v/>
      </c>
      <c r="AR55" s="72" t="str">
        <f t="shared" si="26"/>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46"/>
        <v/>
      </c>
      <c r="AW55" s="72" t="str">
        <f t="shared" si="11"/>
        <v/>
      </c>
      <c r="AX55" s="39"/>
      <c r="AY55" s="40" t="str">
        <f>IF(ISERROR(IF($K55&lt;=$F$15,VLOOKUP($I55,'表4）CO2価格'!$A$7:$E$67,VLOOKUP($F$48,'表4）CO2価格'!$H$10:$I$12,2,0),0)*$F$8/1000,"")),0,IF($K55&lt;=$F$15,VLOOKUP($I55,'表4）CO2価格'!$A$7:$E$67,VLOOKUP($F$48,'表4）CO2価格'!$H$10:$I$12,2,0),0)*$F$8/1000,""))</f>
        <v/>
      </c>
      <c r="AZ55" s="39"/>
      <c r="BA55" s="42" t="str">
        <f t="shared" si="47"/>
        <v/>
      </c>
      <c r="BB55" s="72" t="str">
        <f t="shared" si="27"/>
        <v/>
      </c>
      <c r="BC55" s="39"/>
      <c r="BD55" s="72" t="str">
        <f t="shared" si="48"/>
        <v/>
      </c>
      <c r="BE55" s="72" t="str">
        <f t="shared" si="28"/>
        <v/>
      </c>
      <c r="BF55" s="39"/>
      <c r="BG55" s="42" t="str">
        <f t="shared" si="49"/>
        <v/>
      </c>
      <c r="BH55" s="72" t="str">
        <f t="shared" si="29"/>
        <v/>
      </c>
      <c r="BI55" s="39"/>
      <c r="BJ55" s="40" t="str">
        <f t="shared" si="30"/>
        <v/>
      </c>
      <c r="BK55" s="157" t="str">
        <f t="shared" si="31"/>
        <v/>
      </c>
      <c r="BL55" s="157" t="str">
        <f t="shared" si="32"/>
        <v/>
      </c>
      <c r="BM55" s="72"/>
      <c r="BN55" s="72" t="str">
        <f t="shared" si="33"/>
        <v/>
      </c>
      <c r="BO55" s="72" t="str">
        <f t="shared" si="34"/>
        <v/>
      </c>
      <c r="BP55" s="39"/>
      <c r="BQ55" s="72" t="str">
        <f t="shared" si="50"/>
        <v/>
      </c>
      <c r="BR55" s="72" t="str">
        <f t="shared" si="35"/>
        <v/>
      </c>
    </row>
    <row r="56" spans="3:70" x14ac:dyDescent="0.15">
      <c r="D56" s="84" t="s">
        <v>583</v>
      </c>
      <c r="F56" s="481"/>
      <c r="G56" s="84" t="s">
        <v>574</v>
      </c>
      <c r="I56" s="457">
        <f t="shared" si="36"/>
        <v>2071</v>
      </c>
      <c r="K56" s="71">
        <f t="shared" si="37"/>
        <v>42</v>
      </c>
      <c r="M56" s="7">
        <f t="shared" si="0"/>
        <v>0.28895922403035801</v>
      </c>
      <c r="O56" s="10" t="str">
        <f t="shared" si="16"/>
        <v/>
      </c>
      <c r="P56" s="29" t="str">
        <f t="shared" si="39"/>
        <v/>
      </c>
      <c r="R56" s="10" t="str">
        <f t="shared" si="51"/>
        <v/>
      </c>
      <c r="T56" s="10" t="str">
        <f t="shared" si="18"/>
        <v/>
      </c>
      <c r="V56" s="10" t="str">
        <f t="shared" si="40"/>
        <v/>
      </c>
      <c r="W56" s="10" t="str">
        <f t="shared" si="19"/>
        <v/>
      </c>
      <c r="Y56" s="10" t="str">
        <f t="shared" si="41"/>
        <v/>
      </c>
      <c r="Z56" s="10" t="str">
        <f t="shared" si="20"/>
        <v/>
      </c>
      <c r="AB56" s="10" t="str">
        <f t="shared" si="4"/>
        <v/>
      </c>
      <c r="AC56" s="10" t="str">
        <f t="shared" si="21"/>
        <v/>
      </c>
      <c r="AE56" s="10" t="str">
        <f t="shared" si="42"/>
        <v/>
      </c>
      <c r="AF56" s="10" t="str">
        <f t="shared" si="22"/>
        <v/>
      </c>
      <c r="AH56" s="10" t="str">
        <f t="shared" si="52"/>
        <v/>
      </c>
      <c r="AI56" s="10" t="str">
        <f t="shared" si="23"/>
        <v/>
      </c>
      <c r="AK56" s="10" t="str">
        <f t="shared" si="43"/>
        <v/>
      </c>
      <c r="AL56" s="10" t="str">
        <f t="shared" si="24"/>
        <v/>
      </c>
      <c r="AN56" s="10" t="str">
        <f t="shared" si="44"/>
        <v/>
      </c>
      <c r="AO56" s="10" t="str">
        <f t="shared" si="25"/>
        <v/>
      </c>
      <c r="AQ56" s="10" t="str">
        <f t="shared" si="45"/>
        <v/>
      </c>
      <c r="AR56" s="10" t="str">
        <f t="shared" si="26"/>
        <v/>
      </c>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V56" s="10" t="str">
        <f t="shared" si="46"/>
        <v/>
      </c>
      <c r="AW56" s="10" t="str">
        <f t="shared" si="11"/>
        <v/>
      </c>
      <c r="AY56" s="7" t="str">
        <f>IF(ISERROR(IF($K56&lt;=$F$15,VLOOKUP($I56,'表4）CO2価格'!$A$7:$E$67,VLOOKUP($F$48,'表4）CO2価格'!$H$10:$I$12,2,0),0)*$F$8/1000,"")),0,IF($K56&lt;=$F$15,VLOOKUP($I56,'表4）CO2価格'!$A$7:$E$67,VLOOKUP($F$48,'表4）CO2価格'!$H$10:$I$12,2,0),0)*$F$8/1000,""))</f>
        <v/>
      </c>
      <c r="BA56" s="11" t="str">
        <f t="shared" si="47"/>
        <v/>
      </c>
      <c r="BB56" s="10" t="str">
        <f t="shared" si="27"/>
        <v/>
      </c>
      <c r="BD56" s="10" t="str">
        <f t="shared" si="48"/>
        <v/>
      </c>
      <c r="BE56" s="10" t="str">
        <f t="shared" si="28"/>
        <v/>
      </c>
      <c r="BG56" s="11" t="str">
        <f t="shared" si="49"/>
        <v/>
      </c>
      <c r="BH56" s="10" t="str">
        <f t="shared" si="29"/>
        <v/>
      </c>
      <c r="BJ56" s="7" t="str">
        <f t="shared" si="30"/>
        <v/>
      </c>
      <c r="BK56" s="158" t="str">
        <f t="shared" si="31"/>
        <v/>
      </c>
      <c r="BL56" s="158" t="str">
        <f t="shared" si="32"/>
        <v/>
      </c>
      <c r="BM56" s="10"/>
      <c r="BN56" s="10" t="str">
        <f t="shared" si="33"/>
        <v/>
      </c>
      <c r="BO56" s="10" t="str">
        <f t="shared" si="34"/>
        <v/>
      </c>
      <c r="BQ56" s="10" t="str">
        <f t="shared" si="50"/>
        <v/>
      </c>
      <c r="BR56" s="10" t="str">
        <f t="shared" si="35"/>
        <v/>
      </c>
    </row>
    <row r="57" spans="3:70" x14ac:dyDescent="0.15">
      <c r="I57" s="38">
        <f t="shared" si="36"/>
        <v>2072</v>
      </c>
      <c r="J57" s="39"/>
      <c r="K57" s="39">
        <f t="shared" si="37"/>
        <v>43</v>
      </c>
      <c r="L57" s="39"/>
      <c r="M57" s="40">
        <f t="shared" si="0"/>
        <v>0.28054293595180391</v>
      </c>
      <c r="N57" s="39"/>
      <c r="O57" s="72" t="str">
        <f t="shared" si="16"/>
        <v/>
      </c>
      <c r="P57" s="41" t="str">
        <f t="shared" si="39"/>
        <v/>
      </c>
      <c r="Q57" s="39"/>
      <c r="R57" s="72" t="str">
        <f t="shared" si="51"/>
        <v/>
      </c>
      <c r="S57" s="39"/>
      <c r="T57" s="72" t="str">
        <f t="shared" si="18"/>
        <v/>
      </c>
      <c r="U57" s="39"/>
      <c r="V57" s="72" t="str">
        <f t="shared" si="40"/>
        <v/>
      </c>
      <c r="W57" s="72" t="str">
        <f t="shared" si="19"/>
        <v/>
      </c>
      <c r="X57" s="39"/>
      <c r="Y57" s="72" t="str">
        <f t="shared" si="41"/>
        <v/>
      </c>
      <c r="Z57" s="72" t="str">
        <f t="shared" si="20"/>
        <v/>
      </c>
      <c r="AA57" s="39"/>
      <c r="AB57" s="72" t="str">
        <f t="shared" si="4"/>
        <v/>
      </c>
      <c r="AC57" s="72" t="str">
        <f t="shared" si="21"/>
        <v/>
      </c>
      <c r="AD57" s="39"/>
      <c r="AE57" s="72" t="str">
        <f t="shared" si="42"/>
        <v/>
      </c>
      <c r="AF57" s="72" t="str">
        <f t="shared" si="22"/>
        <v/>
      </c>
      <c r="AG57" s="39"/>
      <c r="AH57" s="72" t="str">
        <f t="shared" si="52"/>
        <v/>
      </c>
      <c r="AI57" s="72" t="str">
        <f t="shared" si="23"/>
        <v/>
      </c>
      <c r="AJ57" s="39"/>
      <c r="AK57" s="72" t="str">
        <f t="shared" si="43"/>
        <v/>
      </c>
      <c r="AL57" s="72" t="str">
        <f t="shared" si="24"/>
        <v/>
      </c>
      <c r="AM57" s="39"/>
      <c r="AN57" s="72" t="str">
        <f t="shared" si="44"/>
        <v/>
      </c>
      <c r="AO57" s="72" t="str">
        <f t="shared" si="25"/>
        <v/>
      </c>
      <c r="AP57" s="39"/>
      <c r="AQ57" s="72" t="str">
        <f t="shared" si="45"/>
        <v/>
      </c>
      <c r="AR57" s="72" t="str">
        <f t="shared" si="26"/>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46"/>
        <v/>
      </c>
      <c r="AW57" s="72" t="str">
        <f t="shared" si="11"/>
        <v/>
      </c>
      <c r="AX57" s="39"/>
      <c r="AY57" s="40" t="str">
        <f>IF(ISERROR(IF($K57&lt;=$F$15,VLOOKUP($I57,'表4）CO2価格'!$A$7:$E$67,VLOOKUP($F$48,'表4）CO2価格'!$H$10:$I$12,2,0),0)*$F$8/1000,"")),0,IF($K57&lt;=$F$15,VLOOKUP($I57,'表4）CO2価格'!$A$7:$E$67,VLOOKUP($F$48,'表4）CO2価格'!$H$10:$I$12,2,0),0)*$F$8/1000,""))</f>
        <v/>
      </c>
      <c r="AZ57" s="39"/>
      <c r="BA57" s="42" t="str">
        <f t="shared" si="47"/>
        <v/>
      </c>
      <c r="BB57" s="72" t="str">
        <f t="shared" si="27"/>
        <v/>
      </c>
      <c r="BC57" s="39"/>
      <c r="BD57" s="72" t="str">
        <f t="shared" si="48"/>
        <v/>
      </c>
      <c r="BE57" s="72" t="str">
        <f t="shared" si="28"/>
        <v/>
      </c>
      <c r="BF57" s="39"/>
      <c r="BG57" s="42" t="str">
        <f t="shared" si="49"/>
        <v/>
      </c>
      <c r="BH57" s="72" t="str">
        <f t="shared" si="29"/>
        <v/>
      </c>
      <c r="BI57" s="39"/>
      <c r="BJ57" s="40" t="str">
        <f t="shared" si="30"/>
        <v/>
      </c>
      <c r="BK57" s="157" t="str">
        <f t="shared" si="31"/>
        <v/>
      </c>
      <c r="BL57" s="157" t="str">
        <f t="shared" si="32"/>
        <v/>
      </c>
      <c r="BM57" s="72"/>
      <c r="BN57" s="72" t="str">
        <f t="shared" si="33"/>
        <v/>
      </c>
      <c r="BO57" s="72" t="str">
        <f t="shared" si="34"/>
        <v/>
      </c>
      <c r="BP57" s="39"/>
      <c r="BQ57" s="72" t="str">
        <f t="shared" si="50"/>
        <v/>
      </c>
      <c r="BR57" s="72" t="str">
        <f t="shared" si="35"/>
        <v/>
      </c>
    </row>
    <row r="58" spans="3:70" x14ac:dyDescent="0.15">
      <c r="C58" s="4" t="s">
        <v>584</v>
      </c>
      <c r="D58" s="100"/>
      <c r="E58" s="100"/>
      <c r="F58" s="4"/>
      <c r="G58" s="100"/>
      <c r="I58" s="457">
        <f t="shared" si="36"/>
        <v>2073</v>
      </c>
      <c r="K58" s="71">
        <f t="shared" si="37"/>
        <v>44</v>
      </c>
      <c r="M58" s="7">
        <f t="shared" si="0"/>
        <v>0.27237178247747956</v>
      </c>
      <c r="O58" s="10" t="str">
        <f t="shared" si="16"/>
        <v/>
      </c>
      <c r="P58" s="29" t="str">
        <f t="shared" si="39"/>
        <v/>
      </c>
      <c r="R58" s="10" t="str">
        <f t="shared" si="51"/>
        <v/>
      </c>
      <c r="T58" s="10" t="str">
        <f t="shared" si="18"/>
        <v/>
      </c>
      <c r="V58" s="10" t="str">
        <f t="shared" si="40"/>
        <v/>
      </c>
      <c r="W58" s="10" t="str">
        <f t="shared" si="19"/>
        <v/>
      </c>
      <c r="Y58" s="10" t="str">
        <f t="shared" si="41"/>
        <v/>
      </c>
      <c r="Z58" s="10" t="str">
        <f t="shared" si="20"/>
        <v/>
      </c>
      <c r="AB58" s="10" t="str">
        <f t="shared" si="4"/>
        <v/>
      </c>
      <c r="AC58" s="10" t="str">
        <f t="shared" si="21"/>
        <v/>
      </c>
      <c r="AE58" s="10" t="str">
        <f t="shared" si="42"/>
        <v/>
      </c>
      <c r="AF58" s="10" t="str">
        <f t="shared" si="22"/>
        <v/>
      </c>
      <c r="AH58" s="10" t="str">
        <f t="shared" si="52"/>
        <v/>
      </c>
      <c r="AI58" s="10" t="str">
        <f t="shared" si="23"/>
        <v/>
      </c>
      <c r="AK58" s="10" t="str">
        <f t="shared" si="43"/>
        <v/>
      </c>
      <c r="AL58" s="10" t="str">
        <f t="shared" si="24"/>
        <v/>
      </c>
      <c r="AN58" s="10" t="str">
        <f t="shared" si="44"/>
        <v/>
      </c>
      <c r="AO58" s="10" t="str">
        <f t="shared" si="25"/>
        <v/>
      </c>
      <c r="AQ58" s="10" t="str">
        <f t="shared" si="45"/>
        <v/>
      </c>
      <c r="AR58" s="10" t="str">
        <f t="shared" si="26"/>
        <v/>
      </c>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V58" s="10" t="str">
        <f t="shared" si="46"/>
        <v/>
      </c>
      <c r="AW58" s="10" t="str">
        <f t="shared" si="11"/>
        <v/>
      </c>
      <c r="AY58" s="7" t="str">
        <f>IF(ISERROR(IF($K58&lt;=$F$15,VLOOKUP($I58,'表4）CO2価格'!$A$7:$E$67,VLOOKUP($F$48,'表4）CO2価格'!$H$10:$I$12,2,0),0)*$F$8/1000,"")),0,IF($K58&lt;=$F$15,VLOOKUP($I58,'表4）CO2価格'!$A$7:$E$67,VLOOKUP($F$48,'表4）CO2価格'!$H$10:$I$12,2,0),0)*$F$8/1000,""))</f>
        <v/>
      </c>
      <c r="BA58" s="11" t="str">
        <f t="shared" si="47"/>
        <v/>
      </c>
      <c r="BB58" s="10" t="str">
        <f t="shared" si="27"/>
        <v/>
      </c>
      <c r="BD58" s="10" t="str">
        <f t="shared" si="48"/>
        <v/>
      </c>
      <c r="BE58" s="10" t="str">
        <f t="shared" si="28"/>
        <v/>
      </c>
      <c r="BG58" s="11" t="str">
        <f t="shared" si="49"/>
        <v/>
      </c>
      <c r="BH58" s="10" t="str">
        <f t="shared" si="29"/>
        <v/>
      </c>
      <c r="BJ58" s="7" t="str">
        <f t="shared" si="30"/>
        <v/>
      </c>
      <c r="BK58" s="158" t="str">
        <f t="shared" si="31"/>
        <v/>
      </c>
      <c r="BL58" s="158" t="str">
        <f t="shared" si="32"/>
        <v/>
      </c>
      <c r="BM58" s="10"/>
      <c r="BN58" s="10" t="str">
        <f t="shared" si="33"/>
        <v/>
      </c>
      <c r="BO58" s="10" t="str">
        <f t="shared" si="34"/>
        <v/>
      </c>
      <c r="BQ58" s="10" t="str">
        <f t="shared" si="50"/>
        <v/>
      </c>
      <c r="BR58" s="10" t="str">
        <f t="shared" si="35"/>
        <v/>
      </c>
    </row>
    <row r="59" spans="3:70" x14ac:dyDescent="0.15">
      <c r="I59" s="38">
        <f t="shared" si="36"/>
        <v>2074</v>
      </c>
      <c r="J59" s="39"/>
      <c r="K59" s="39">
        <f t="shared" si="37"/>
        <v>45</v>
      </c>
      <c r="L59" s="39"/>
      <c r="M59" s="40">
        <f t="shared" si="0"/>
        <v>0.26443862376454325</v>
      </c>
      <c r="N59" s="39"/>
      <c r="O59" s="72" t="str">
        <f t="shared" si="16"/>
        <v/>
      </c>
      <c r="P59" s="41" t="str">
        <f t="shared" si="39"/>
        <v/>
      </c>
      <c r="Q59" s="39"/>
      <c r="R59" s="72" t="str">
        <f t="shared" si="51"/>
        <v/>
      </c>
      <c r="S59" s="39"/>
      <c r="T59" s="72" t="str">
        <f t="shared" si="18"/>
        <v/>
      </c>
      <c r="U59" s="39"/>
      <c r="V59" s="72" t="str">
        <f t="shared" si="40"/>
        <v/>
      </c>
      <c r="W59" s="72" t="str">
        <f t="shared" si="19"/>
        <v/>
      </c>
      <c r="X59" s="39"/>
      <c r="Y59" s="72" t="str">
        <f t="shared" si="41"/>
        <v/>
      </c>
      <c r="Z59" s="72" t="str">
        <f t="shared" si="20"/>
        <v/>
      </c>
      <c r="AA59" s="39"/>
      <c r="AB59" s="72" t="str">
        <f t="shared" si="4"/>
        <v/>
      </c>
      <c r="AC59" s="72" t="str">
        <f t="shared" si="21"/>
        <v/>
      </c>
      <c r="AD59" s="39"/>
      <c r="AE59" s="72" t="str">
        <f t="shared" si="42"/>
        <v/>
      </c>
      <c r="AF59" s="72" t="str">
        <f t="shared" si="22"/>
        <v/>
      </c>
      <c r="AG59" s="39"/>
      <c r="AH59" s="72" t="str">
        <f t="shared" si="52"/>
        <v/>
      </c>
      <c r="AI59" s="72" t="str">
        <f t="shared" si="23"/>
        <v/>
      </c>
      <c r="AJ59" s="39"/>
      <c r="AK59" s="72" t="str">
        <f t="shared" si="43"/>
        <v/>
      </c>
      <c r="AL59" s="72" t="str">
        <f t="shared" si="24"/>
        <v/>
      </c>
      <c r="AM59" s="39"/>
      <c r="AN59" s="72" t="str">
        <f t="shared" si="44"/>
        <v/>
      </c>
      <c r="AO59" s="72" t="str">
        <f t="shared" si="25"/>
        <v/>
      </c>
      <c r="AP59" s="39"/>
      <c r="AQ59" s="72" t="str">
        <f t="shared" si="45"/>
        <v/>
      </c>
      <c r="AR59" s="72" t="str">
        <f t="shared" si="26"/>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46"/>
        <v/>
      </c>
      <c r="AW59" s="72" t="str">
        <f t="shared" si="11"/>
        <v/>
      </c>
      <c r="AX59" s="39"/>
      <c r="AY59" s="40" t="str">
        <f>IF(ISERROR(IF($K59&lt;=$F$15,VLOOKUP($I59,'表4）CO2価格'!$A$7:$E$67,VLOOKUP($F$48,'表4）CO2価格'!$H$10:$I$12,2,0),0)*$F$8/1000,"")),0,IF($K59&lt;=$F$15,VLOOKUP($I59,'表4）CO2価格'!$A$7:$E$67,VLOOKUP($F$48,'表4）CO2価格'!$H$10:$I$12,2,0),0)*$F$8/1000,""))</f>
        <v/>
      </c>
      <c r="AZ59" s="39"/>
      <c r="BA59" s="42" t="str">
        <f t="shared" si="47"/>
        <v/>
      </c>
      <c r="BB59" s="72" t="str">
        <f t="shared" si="27"/>
        <v/>
      </c>
      <c r="BC59" s="39"/>
      <c r="BD59" s="72" t="str">
        <f t="shared" si="48"/>
        <v/>
      </c>
      <c r="BE59" s="72" t="str">
        <f t="shared" si="28"/>
        <v/>
      </c>
      <c r="BF59" s="39"/>
      <c r="BG59" s="42" t="str">
        <f t="shared" si="49"/>
        <v/>
      </c>
      <c r="BH59" s="72" t="str">
        <f t="shared" si="29"/>
        <v/>
      </c>
      <c r="BI59" s="39"/>
      <c r="BJ59" s="40" t="str">
        <f t="shared" si="30"/>
        <v/>
      </c>
      <c r="BK59" s="157" t="str">
        <f t="shared" si="31"/>
        <v/>
      </c>
      <c r="BL59" s="157" t="str">
        <f t="shared" si="32"/>
        <v/>
      </c>
      <c r="BM59" s="72"/>
      <c r="BN59" s="72" t="str">
        <f t="shared" si="33"/>
        <v/>
      </c>
      <c r="BO59" s="72" t="str">
        <f t="shared" si="34"/>
        <v/>
      </c>
      <c r="BP59" s="39"/>
      <c r="BQ59" s="72" t="str">
        <f t="shared" si="50"/>
        <v/>
      </c>
      <c r="BR59" s="72" t="str">
        <f t="shared" si="35"/>
        <v/>
      </c>
    </row>
    <row r="60" spans="3:70" x14ac:dyDescent="0.15">
      <c r="D60" s="84" t="s">
        <v>585</v>
      </c>
      <c r="F60" s="481"/>
      <c r="G60" s="84" t="s">
        <v>566</v>
      </c>
      <c r="I60" s="457">
        <f t="shared" si="36"/>
        <v>2075</v>
      </c>
      <c r="K60" s="71">
        <f t="shared" si="37"/>
        <v>46</v>
      </c>
      <c r="M60" s="7">
        <f t="shared" si="0"/>
        <v>0.25673652792674101</v>
      </c>
      <c r="O60" s="10" t="str">
        <f t="shared" si="16"/>
        <v/>
      </c>
      <c r="P60" s="29" t="str">
        <f t="shared" si="39"/>
        <v/>
      </c>
      <c r="R60" s="10" t="str">
        <f t="shared" si="51"/>
        <v/>
      </c>
      <c r="T60" s="10" t="str">
        <f t="shared" si="18"/>
        <v/>
      </c>
      <c r="V60" s="10" t="str">
        <f t="shared" si="40"/>
        <v/>
      </c>
      <c r="W60" s="10" t="str">
        <f t="shared" si="19"/>
        <v/>
      </c>
      <c r="Y60" s="10" t="str">
        <f t="shared" si="41"/>
        <v/>
      </c>
      <c r="Z60" s="10" t="str">
        <f t="shared" si="20"/>
        <v/>
      </c>
      <c r="AB60" s="10" t="str">
        <f t="shared" si="4"/>
        <v/>
      </c>
      <c r="AC60" s="10" t="str">
        <f t="shared" si="21"/>
        <v/>
      </c>
      <c r="AE60" s="10" t="str">
        <f t="shared" si="42"/>
        <v/>
      </c>
      <c r="AF60" s="10" t="str">
        <f t="shared" si="22"/>
        <v/>
      </c>
      <c r="AH60" s="10" t="str">
        <f t="shared" si="52"/>
        <v/>
      </c>
      <c r="AI60" s="10" t="str">
        <f t="shared" si="23"/>
        <v/>
      </c>
      <c r="AK60" s="10" t="str">
        <f t="shared" si="43"/>
        <v/>
      </c>
      <c r="AL60" s="10" t="str">
        <f t="shared" si="24"/>
        <v/>
      </c>
      <c r="AN60" s="10" t="str">
        <f t="shared" si="44"/>
        <v/>
      </c>
      <c r="AO60" s="10" t="str">
        <f t="shared" si="25"/>
        <v/>
      </c>
      <c r="AQ60" s="10" t="str">
        <f t="shared" si="45"/>
        <v/>
      </c>
      <c r="AR60" s="10" t="str">
        <f t="shared" si="26"/>
        <v/>
      </c>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V60" s="10" t="str">
        <f t="shared" si="46"/>
        <v/>
      </c>
      <c r="AW60" s="10" t="str">
        <f t="shared" si="11"/>
        <v/>
      </c>
      <c r="AY60" s="7" t="str">
        <f>IF(ISERROR(IF($K60&lt;=$F$15,VLOOKUP($I60,'表4）CO2価格'!$A$7:$E$67,VLOOKUP($F$48,'表4）CO2価格'!$H$10:$I$12,2,0),0)*$F$8/1000,"")),0,IF($K60&lt;=$F$15,VLOOKUP($I60,'表4）CO2価格'!$A$7:$E$67,VLOOKUP($F$48,'表4）CO2価格'!$H$10:$I$12,2,0),0)*$F$8/1000,""))</f>
        <v/>
      </c>
      <c r="BA60" s="11" t="str">
        <f t="shared" si="47"/>
        <v/>
      </c>
      <c r="BB60" s="10" t="str">
        <f t="shared" si="27"/>
        <v/>
      </c>
      <c r="BD60" s="10" t="str">
        <f t="shared" si="48"/>
        <v/>
      </c>
      <c r="BE60" s="10" t="str">
        <f t="shared" si="28"/>
        <v/>
      </c>
      <c r="BG60" s="11" t="str">
        <f t="shared" si="49"/>
        <v/>
      </c>
      <c r="BH60" s="10" t="str">
        <f t="shared" si="29"/>
        <v/>
      </c>
      <c r="BJ60" s="7" t="str">
        <f t="shared" si="30"/>
        <v/>
      </c>
      <c r="BK60" s="158" t="str">
        <f t="shared" si="31"/>
        <v/>
      </c>
      <c r="BL60" s="158" t="str">
        <f t="shared" si="32"/>
        <v/>
      </c>
      <c r="BM60" s="10"/>
      <c r="BN60" s="10" t="str">
        <f t="shared" si="33"/>
        <v/>
      </c>
      <c r="BO60" s="10" t="str">
        <f t="shared" si="34"/>
        <v/>
      </c>
      <c r="BQ60" s="10" t="str">
        <f t="shared" si="50"/>
        <v/>
      </c>
      <c r="BR60" s="10" t="str">
        <f t="shared" si="35"/>
        <v/>
      </c>
    </row>
    <row r="61" spans="3:70" x14ac:dyDescent="0.15">
      <c r="D61" s="84" t="s">
        <v>586</v>
      </c>
      <c r="F61" s="475"/>
      <c r="G61" s="84" t="s">
        <v>556</v>
      </c>
      <c r="I61" s="38">
        <f t="shared" si="36"/>
        <v>2076</v>
      </c>
      <c r="J61" s="39"/>
      <c r="K61" s="39">
        <f t="shared" si="37"/>
        <v>47</v>
      </c>
      <c r="L61" s="39"/>
      <c r="M61" s="40">
        <f t="shared" si="0"/>
        <v>0.24925876497741845</v>
      </c>
      <c r="N61" s="39"/>
      <c r="O61" s="72" t="str">
        <f t="shared" si="16"/>
        <v/>
      </c>
      <c r="P61" s="41" t="str">
        <f t="shared" si="39"/>
        <v/>
      </c>
      <c r="Q61" s="39"/>
      <c r="R61" s="72" t="str">
        <f t="shared" si="51"/>
        <v/>
      </c>
      <c r="S61" s="39"/>
      <c r="T61" s="72" t="str">
        <f t="shared" si="18"/>
        <v/>
      </c>
      <c r="U61" s="39"/>
      <c r="V61" s="72" t="str">
        <f t="shared" si="40"/>
        <v/>
      </c>
      <c r="W61" s="72" t="str">
        <f t="shared" si="19"/>
        <v/>
      </c>
      <c r="X61" s="39"/>
      <c r="Y61" s="72" t="str">
        <f t="shared" si="41"/>
        <v/>
      </c>
      <c r="Z61" s="72" t="str">
        <f t="shared" si="20"/>
        <v/>
      </c>
      <c r="AA61" s="39"/>
      <c r="AB61" s="72" t="str">
        <f t="shared" si="4"/>
        <v/>
      </c>
      <c r="AC61" s="72" t="str">
        <f t="shared" si="21"/>
        <v/>
      </c>
      <c r="AD61" s="39"/>
      <c r="AE61" s="72" t="str">
        <f t="shared" si="42"/>
        <v/>
      </c>
      <c r="AF61" s="72" t="str">
        <f t="shared" si="22"/>
        <v/>
      </c>
      <c r="AG61" s="39"/>
      <c r="AH61" s="72" t="str">
        <f t="shared" si="52"/>
        <v/>
      </c>
      <c r="AI61" s="72" t="str">
        <f t="shared" si="23"/>
        <v/>
      </c>
      <c r="AJ61" s="39"/>
      <c r="AK61" s="72" t="str">
        <f t="shared" si="43"/>
        <v/>
      </c>
      <c r="AL61" s="72" t="str">
        <f t="shared" si="24"/>
        <v/>
      </c>
      <c r="AM61" s="39"/>
      <c r="AN61" s="72" t="str">
        <f t="shared" si="44"/>
        <v/>
      </c>
      <c r="AO61" s="72" t="str">
        <f t="shared" si="25"/>
        <v/>
      </c>
      <c r="AP61" s="39"/>
      <c r="AQ61" s="72" t="str">
        <f t="shared" si="45"/>
        <v/>
      </c>
      <c r="AR61" s="72" t="str">
        <f t="shared" si="26"/>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46"/>
        <v/>
      </c>
      <c r="AW61" s="72" t="str">
        <f t="shared" si="11"/>
        <v/>
      </c>
      <c r="AX61" s="39"/>
      <c r="AY61" s="40" t="str">
        <f>IF(ISERROR(IF($K61&lt;=$F$15,VLOOKUP($I61,'表4）CO2価格'!$A$7:$E$67,VLOOKUP($F$48,'表4）CO2価格'!$H$10:$I$12,2,0),0)*$F$8/1000,"")),0,IF($K61&lt;=$F$15,VLOOKUP($I61,'表4）CO2価格'!$A$7:$E$67,VLOOKUP($F$48,'表4）CO2価格'!$H$10:$I$12,2,0),0)*$F$8/1000,""))</f>
        <v/>
      </c>
      <c r="AZ61" s="39"/>
      <c r="BA61" s="42" t="str">
        <f t="shared" si="47"/>
        <v/>
      </c>
      <c r="BB61" s="72" t="str">
        <f t="shared" si="27"/>
        <v/>
      </c>
      <c r="BC61" s="39"/>
      <c r="BD61" s="72" t="str">
        <f t="shared" si="48"/>
        <v/>
      </c>
      <c r="BE61" s="72" t="str">
        <f t="shared" si="28"/>
        <v/>
      </c>
      <c r="BF61" s="39"/>
      <c r="BG61" s="42" t="str">
        <f t="shared" si="49"/>
        <v/>
      </c>
      <c r="BH61" s="72" t="str">
        <f t="shared" si="29"/>
        <v/>
      </c>
      <c r="BI61" s="39"/>
      <c r="BJ61" s="40" t="str">
        <f t="shared" si="30"/>
        <v/>
      </c>
      <c r="BK61" s="157" t="str">
        <f t="shared" si="31"/>
        <v/>
      </c>
      <c r="BL61" s="157" t="str">
        <f t="shared" si="32"/>
        <v/>
      </c>
      <c r="BM61" s="72"/>
      <c r="BN61" s="72" t="str">
        <f t="shared" si="33"/>
        <v/>
      </c>
      <c r="BO61" s="72" t="str">
        <f t="shared" si="34"/>
        <v/>
      </c>
      <c r="BP61" s="39"/>
      <c r="BQ61" s="72" t="str">
        <f t="shared" si="50"/>
        <v/>
      </c>
      <c r="BR61" s="72" t="str">
        <f t="shared" si="35"/>
        <v/>
      </c>
    </row>
    <row r="62" spans="3:70" x14ac:dyDescent="0.15">
      <c r="D62" s="84" t="s">
        <v>587</v>
      </c>
      <c r="F62" s="481"/>
      <c r="G62" s="84" t="s">
        <v>588</v>
      </c>
      <c r="I62" s="457">
        <f t="shared" si="36"/>
        <v>2077</v>
      </c>
      <c r="K62" s="71">
        <f t="shared" si="37"/>
        <v>48</v>
      </c>
      <c r="M62" s="7">
        <f t="shared" si="0"/>
        <v>0.24199880094894996</v>
      </c>
      <c r="O62" s="10" t="str">
        <f t="shared" si="16"/>
        <v/>
      </c>
      <c r="P62" s="29" t="str">
        <f t="shared" si="39"/>
        <v/>
      </c>
      <c r="R62" s="10" t="str">
        <f t="shared" si="51"/>
        <v/>
      </c>
      <c r="T62" s="10" t="str">
        <f t="shared" si="18"/>
        <v/>
      </c>
      <c r="V62" s="10" t="str">
        <f t="shared" si="40"/>
        <v/>
      </c>
      <c r="W62" s="10" t="str">
        <f t="shared" si="19"/>
        <v/>
      </c>
      <c r="Y62" s="10" t="str">
        <f t="shared" si="41"/>
        <v/>
      </c>
      <c r="Z62" s="10" t="str">
        <f t="shared" si="20"/>
        <v/>
      </c>
      <c r="AB62" s="10" t="str">
        <f t="shared" si="4"/>
        <v/>
      </c>
      <c r="AC62" s="10" t="str">
        <f t="shared" si="21"/>
        <v/>
      </c>
      <c r="AE62" s="10" t="str">
        <f t="shared" si="42"/>
        <v/>
      </c>
      <c r="AF62" s="10" t="str">
        <f t="shared" si="22"/>
        <v/>
      </c>
      <c r="AH62" s="10" t="str">
        <f t="shared" si="52"/>
        <v/>
      </c>
      <c r="AI62" s="10" t="str">
        <f t="shared" si="23"/>
        <v/>
      </c>
      <c r="AK62" s="10" t="str">
        <f t="shared" si="43"/>
        <v/>
      </c>
      <c r="AL62" s="10" t="str">
        <f t="shared" si="24"/>
        <v/>
      </c>
      <c r="AN62" s="10" t="str">
        <f t="shared" si="44"/>
        <v/>
      </c>
      <c r="AO62" s="10" t="str">
        <f t="shared" si="25"/>
        <v/>
      </c>
      <c r="AQ62" s="10" t="str">
        <f t="shared" si="45"/>
        <v/>
      </c>
      <c r="AR62" s="10" t="str">
        <f t="shared" si="26"/>
        <v/>
      </c>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V62" s="10" t="str">
        <f t="shared" si="46"/>
        <v/>
      </c>
      <c r="AW62" s="10" t="str">
        <f t="shared" si="11"/>
        <v/>
      </c>
      <c r="AY62" s="7" t="str">
        <f>IF(ISERROR(IF($K62&lt;=$F$15,VLOOKUP($I62,'表4）CO2価格'!$A$7:$E$67,VLOOKUP($F$48,'表4）CO2価格'!$H$10:$I$12,2,0),0)*$F$8/1000,"")),0,IF($K62&lt;=$F$15,VLOOKUP($I62,'表4）CO2価格'!$A$7:$E$67,VLOOKUP($F$48,'表4）CO2価格'!$H$10:$I$12,2,0),0)*$F$8/1000,""))</f>
        <v/>
      </c>
      <c r="BA62" s="11" t="str">
        <f t="shared" si="47"/>
        <v/>
      </c>
      <c r="BB62" s="10" t="str">
        <f t="shared" si="27"/>
        <v/>
      </c>
      <c r="BD62" s="10" t="str">
        <f t="shared" si="48"/>
        <v/>
      </c>
      <c r="BE62" s="10" t="str">
        <f t="shared" si="28"/>
        <v/>
      </c>
      <c r="BG62" s="11" t="str">
        <f t="shared" si="49"/>
        <v/>
      </c>
      <c r="BH62" s="10" t="str">
        <f t="shared" si="29"/>
        <v/>
      </c>
      <c r="BJ62" s="7" t="str">
        <f t="shared" si="30"/>
        <v/>
      </c>
      <c r="BK62" s="158" t="str">
        <f t="shared" si="31"/>
        <v/>
      </c>
      <c r="BL62" s="158" t="str">
        <f t="shared" si="32"/>
        <v/>
      </c>
      <c r="BM62" s="10"/>
      <c r="BN62" s="10" t="str">
        <f t="shared" si="33"/>
        <v/>
      </c>
      <c r="BO62" s="10" t="str">
        <f t="shared" si="34"/>
        <v/>
      </c>
      <c r="BQ62" s="10" t="str">
        <f t="shared" si="50"/>
        <v/>
      </c>
      <c r="BR62" s="10" t="str">
        <f t="shared" si="35"/>
        <v/>
      </c>
    </row>
    <row r="63" spans="3:70" x14ac:dyDescent="0.15">
      <c r="I63" s="38">
        <f t="shared" si="36"/>
        <v>2078</v>
      </c>
      <c r="J63" s="39"/>
      <c r="K63" s="39">
        <f t="shared" si="37"/>
        <v>49</v>
      </c>
      <c r="L63" s="39"/>
      <c r="M63" s="40">
        <f t="shared" si="0"/>
        <v>0.2349502921834466</v>
      </c>
      <c r="N63" s="39"/>
      <c r="O63" s="72" t="str">
        <f t="shared" si="16"/>
        <v/>
      </c>
      <c r="P63" s="41" t="str">
        <f t="shared" si="39"/>
        <v/>
      </c>
      <c r="Q63" s="39"/>
      <c r="R63" s="72" t="str">
        <f t="shared" si="51"/>
        <v/>
      </c>
      <c r="S63" s="39"/>
      <c r="T63" s="72" t="str">
        <f t="shared" si="18"/>
        <v/>
      </c>
      <c r="U63" s="39"/>
      <c r="V63" s="72" t="str">
        <f t="shared" si="40"/>
        <v/>
      </c>
      <c r="W63" s="72" t="str">
        <f t="shared" si="19"/>
        <v/>
      </c>
      <c r="X63" s="39"/>
      <c r="Y63" s="72" t="str">
        <f t="shared" si="41"/>
        <v/>
      </c>
      <c r="Z63" s="72" t="str">
        <f t="shared" si="20"/>
        <v/>
      </c>
      <c r="AA63" s="39"/>
      <c r="AB63" s="72" t="str">
        <f t="shared" si="4"/>
        <v/>
      </c>
      <c r="AC63" s="72" t="str">
        <f t="shared" si="21"/>
        <v/>
      </c>
      <c r="AD63" s="39"/>
      <c r="AE63" s="72" t="str">
        <f t="shared" si="42"/>
        <v/>
      </c>
      <c r="AF63" s="72" t="str">
        <f t="shared" si="22"/>
        <v/>
      </c>
      <c r="AG63" s="39"/>
      <c r="AH63" s="72" t="str">
        <f t="shared" si="52"/>
        <v/>
      </c>
      <c r="AI63" s="72" t="str">
        <f t="shared" si="23"/>
        <v/>
      </c>
      <c r="AJ63" s="39"/>
      <c r="AK63" s="72" t="str">
        <f t="shared" si="43"/>
        <v/>
      </c>
      <c r="AL63" s="72" t="str">
        <f t="shared" si="24"/>
        <v/>
      </c>
      <c r="AM63" s="39"/>
      <c r="AN63" s="72" t="str">
        <f t="shared" si="44"/>
        <v/>
      </c>
      <c r="AO63" s="72" t="str">
        <f t="shared" si="25"/>
        <v/>
      </c>
      <c r="AP63" s="39"/>
      <c r="AQ63" s="72" t="str">
        <f t="shared" si="45"/>
        <v/>
      </c>
      <c r="AR63" s="72" t="str">
        <f t="shared" si="26"/>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46"/>
        <v/>
      </c>
      <c r="AW63" s="72" t="str">
        <f t="shared" si="11"/>
        <v/>
      </c>
      <c r="AX63" s="39"/>
      <c r="AY63" s="40" t="str">
        <f>IF(ISERROR(IF($K63&lt;=$F$15,VLOOKUP($I63,'表4）CO2価格'!$A$7:$E$67,VLOOKUP($F$48,'表4）CO2価格'!$H$10:$I$12,2,0),0)*$F$8/1000,"")),0,IF($K63&lt;=$F$15,VLOOKUP($I63,'表4）CO2価格'!$A$7:$E$67,VLOOKUP($F$48,'表4）CO2価格'!$H$10:$I$12,2,0),0)*$F$8/1000,""))</f>
        <v/>
      </c>
      <c r="AZ63" s="39"/>
      <c r="BA63" s="42" t="str">
        <f t="shared" si="47"/>
        <v/>
      </c>
      <c r="BB63" s="72" t="str">
        <f t="shared" si="27"/>
        <v/>
      </c>
      <c r="BC63" s="39"/>
      <c r="BD63" s="72" t="str">
        <f t="shared" si="48"/>
        <v/>
      </c>
      <c r="BE63" s="72" t="str">
        <f t="shared" si="28"/>
        <v/>
      </c>
      <c r="BF63" s="39"/>
      <c r="BG63" s="42" t="str">
        <f t="shared" si="49"/>
        <v/>
      </c>
      <c r="BH63" s="72" t="str">
        <f t="shared" si="29"/>
        <v/>
      </c>
      <c r="BI63" s="39"/>
      <c r="BJ63" s="40" t="str">
        <f t="shared" si="30"/>
        <v/>
      </c>
      <c r="BK63" s="157" t="str">
        <f t="shared" si="31"/>
        <v/>
      </c>
      <c r="BL63" s="157" t="str">
        <f t="shared" si="32"/>
        <v/>
      </c>
      <c r="BM63" s="72"/>
      <c r="BN63" s="72" t="str">
        <f t="shared" si="33"/>
        <v/>
      </c>
      <c r="BO63" s="72" t="str">
        <f t="shared" si="34"/>
        <v/>
      </c>
      <c r="BP63" s="39"/>
      <c r="BQ63" s="72" t="str">
        <f t="shared" si="50"/>
        <v/>
      </c>
      <c r="BR63" s="72" t="str">
        <f t="shared" si="35"/>
        <v/>
      </c>
    </row>
    <row r="64" spans="3:70" x14ac:dyDescent="0.15">
      <c r="C64" s="71" t="s">
        <v>589</v>
      </c>
      <c r="F64" s="477">
        <v>0.23</v>
      </c>
      <c r="G64" s="84" t="s">
        <v>590</v>
      </c>
      <c r="I64" s="457">
        <f t="shared" si="36"/>
        <v>2079</v>
      </c>
      <c r="K64" s="71">
        <f t="shared" si="37"/>
        <v>50</v>
      </c>
      <c r="M64" s="7">
        <f t="shared" si="0"/>
        <v>0.22810707978975397</v>
      </c>
      <c r="O64" s="10" t="str">
        <f t="shared" si="16"/>
        <v/>
      </c>
      <c r="P64" s="29" t="str">
        <f t="shared" si="39"/>
        <v/>
      </c>
      <c r="R64" s="10" t="str">
        <f t="shared" si="51"/>
        <v/>
      </c>
      <c r="T64" s="10" t="str">
        <f t="shared" si="18"/>
        <v/>
      </c>
      <c r="V64" s="10" t="str">
        <f t="shared" si="40"/>
        <v/>
      </c>
      <c r="W64" s="10" t="str">
        <f t="shared" si="19"/>
        <v/>
      </c>
      <c r="Y64" s="10" t="str">
        <f t="shared" si="41"/>
        <v/>
      </c>
      <c r="Z64" s="10" t="str">
        <f t="shared" si="20"/>
        <v/>
      </c>
      <c r="AB64" s="10" t="str">
        <f t="shared" si="4"/>
        <v/>
      </c>
      <c r="AC64" s="10" t="str">
        <f t="shared" si="21"/>
        <v/>
      </c>
      <c r="AE64" s="10" t="str">
        <f t="shared" si="42"/>
        <v/>
      </c>
      <c r="AF64" s="10" t="str">
        <f t="shared" si="22"/>
        <v/>
      </c>
      <c r="AH64" s="10" t="str">
        <f t="shared" si="52"/>
        <v/>
      </c>
      <c r="AI64" s="10" t="str">
        <f t="shared" si="23"/>
        <v/>
      </c>
      <c r="AK64" s="10" t="str">
        <f t="shared" si="43"/>
        <v/>
      </c>
      <c r="AL64" s="10" t="str">
        <f t="shared" si="24"/>
        <v/>
      </c>
      <c r="AN64" s="10" t="str">
        <f t="shared" si="44"/>
        <v/>
      </c>
      <c r="AO64" s="10" t="str">
        <f t="shared" si="25"/>
        <v/>
      </c>
      <c r="AQ64" s="10" t="str">
        <f t="shared" si="45"/>
        <v/>
      </c>
      <c r="AR64" s="10" t="str">
        <f t="shared" si="26"/>
        <v/>
      </c>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V64" s="10" t="str">
        <f t="shared" si="46"/>
        <v/>
      </c>
      <c r="AW64" s="10" t="str">
        <f t="shared" si="11"/>
        <v/>
      </c>
      <c r="AY64" s="7" t="str">
        <f>IF(ISERROR(IF($K64&lt;=$F$15,VLOOKUP($I64,'表4）CO2価格'!$A$7:$E$67,VLOOKUP($F$48,'表4）CO2価格'!$H$10:$I$12,2,0),0)*$F$8/1000,"")),0,IF($K64&lt;=$F$15,VLOOKUP($I64,'表4）CO2価格'!$A$7:$E$67,VLOOKUP($F$48,'表4）CO2価格'!$H$10:$I$12,2,0),0)*$F$8/1000,""))</f>
        <v/>
      </c>
      <c r="BA64" s="11" t="str">
        <f t="shared" si="47"/>
        <v/>
      </c>
      <c r="BB64" s="10" t="str">
        <f t="shared" si="27"/>
        <v/>
      </c>
      <c r="BD64" s="10" t="str">
        <f t="shared" si="48"/>
        <v/>
      </c>
      <c r="BE64" s="10" t="str">
        <f t="shared" si="28"/>
        <v/>
      </c>
      <c r="BG64" s="11" t="str">
        <f t="shared" si="49"/>
        <v/>
      </c>
      <c r="BH64" s="10" t="str">
        <f t="shared" si="29"/>
        <v/>
      </c>
      <c r="BJ64" s="7" t="str">
        <f t="shared" si="30"/>
        <v/>
      </c>
      <c r="BK64" s="158" t="str">
        <f t="shared" si="31"/>
        <v/>
      </c>
      <c r="BL64" s="158" t="str">
        <f t="shared" si="32"/>
        <v/>
      </c>
      <c r="BM64" s="10"/>
      <c r="BN64" s="10" t="str">
        <f t="shared" si="33"/>
        <v/>
      </c>
      <c r="BO64" s="10" t="str">
        <f t="shared" si="34"/>
        <v/>
      </c>
      <c r="BQ64" s="10" t="str">
        <f t="shared" si="50"/>
        <v/>
      </c>
      <c r="BR64" s="10" t="str">
        <f t="shared" si="35"/>
        <v/>
      </c>
    </row>
    <row r="65" spans="2:70" x14ac:dyDescent="0.15">
      <c r="I65" s="38">
        <f t="shared" si="36"/>
        <v>2080</v>
      </c>
      <c r="J65" s="39"/>
      <c r="K65" s="39">
        <f t="shared" si="37"/>
        <v>51</v>
      </c>
      <c r="L65" s="39"/>
      <c r="M65" s="40">
        <f t="shared" si="0"/>
        <v>0.22146318426189707</v>
      </c>
      <c r="N65" s="39"/>
      <c r="O65" s="72" t="str">
        <f t="shared" si="16"/>
        <v/>
      </c>
      <c r="P65" s="41" t="str">
        <f t="shared" si="39"/>
        <v/>
      </c>
      <c r="Q65" s="39"/>
      <c r="R65" s="72" t="str">
        <f t="shared" si="51"/>
        <v/>
      </c>
      <c r="S65" s="39"/>
      <c r="T65" s="72" t="str">
        <f t="shared" si="18"/>
        <v/>
      </c>
      <c r="U65" s="39"/>
      <c r="V65" s="72" t="str">
        <f t="shared" si="40"/>
        <v/>
      </c>
      <c r="W65" s="72" t="str">
        <f t="shared" si="19"/>
        <v/>
      </c>
      <c r="X65" s="39"/>
      <c r="Y65" s="72" t="str">
        <f t="shared" si="41"/>
        <v/>
      </c>
      <c r="Z65" s="72" t="str">
        <f t="shared" si="20"/>
        <v/>
      </c>
      <c r="AA65" s="39"/>
      <c r="AB65" s="72" t="str">
        <f t="shared" si="4"/>
        <v/>
      </c>
      <c r="AC65" s="72" t="str">
        <f t="shared" si="21"/>
        <v/>
      </c>
      <c r="AD65" s="39"/>
      <c r="AE65" s="72" t="str">
        <f t="shared" si="42"/>
        <v/>
      </c>
      <c r="AF65" s="72" t="str">
        <f t="shared" si="22"/>
        <v/>
      </c>
      <c r="AG65" s="39"/>
      <c r="AH65" s="72" t="str">
        <f t="shared" si="52"/>
        <v/>
      </c>
      <c r="AI65" s="72" t="str">
        <f t="shared" si="23"/>
        <v/>
      </c>
      <c r="AJ65" s="39"/>
      <c r="AK65" s="72" t="str">
        <f t="shared" si="43"/>
        <v/>
      </c>
      <c r="AL65" s="72" t="str">
        <f t="shared" si="24"/>
        <v/>
      </c>
      <c r="AM65" s="39"/>
      <c r="AN65" s="72" t="str">
        <f t="shared" si="44"/>
        <v/>
      </c>
      <c r="AO65" s="72" t="str">
        <f t="shared" si="25"/>
        <v/>
      </c>
      <c r="AP65" s="39"/>
      <c r="AQ65" s="72" t="str">
        <f t="shared" si="45"/>
        <v/>
      </c>
      <c r="AR65" s="72" t="str">
        <f t="shared" si="26"/>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46"/>
        <v/>
      </c>
      <c r="AW65" s="72" t="str">
        <f t="shared" si="11"/>
        <v/>
      </c>
      <c r="AX65" s="39"/>
      <c r="AY65" s="40" t="str">
        <f>IF(ISERROR(IF($K65&lt;=$F$15,VLOOKUP($I65,'表4）CO2価格'!$A$7:$E$67,VLOOKUP($F$48,'表4）CO2価格'!$H$10:$I$12,2,0),0)*$F$8/1000,"")),0,IF($K65&lt;=$F$15,VLOOKUP($I65,'表4）CO2価格'!$A$7:$E$67,VLOOKUP($F$48,'表4）CO2価格'!$H$10:$I$12,2,0),0)*$F$8/1000,""))</f>
        <v/>
      </c>
      <c r="AZ65" s="39"/>
      <c r="BA65" s="42" t="str">
        <f t="shared" si="47"/>
        <v/>
      </c>
      <c r="BB65" s="72" t="str">
        <f t="shared" si="27"/>
        <v/>
      </c>
      <c r="BC65" s="39"/>
      <c r="BD65" s="72" t="str">
        <f t="shared" si="48"/>
        <v/>
      </c>
      <c r="BE65" s="72" t="str">
        <f t="shared" si="28"/>
        <v/>
      </c>
      <c r="BF65" s="39"/>
      <c r="BG65" s="42" t="str">
        <f t="shared" si="49"/>
        <v/>
      </c>
      <c r="BH65" s="72" t="str">
        <f t="shared" si="29"/>
        <v/>
      </c>
      <c r="BI65" s="39"/>
      <c r="BJ65" s="40" t="str">
        <f t="shared" si="30"/>
        <v/>
      </c>
      <c r="BK65" s="157" t="str">
        <f t="shared" si="31"/>
        <v/>
      </c>
      <c r="BL65" s="157" t="str">
        <f t="shared" si="32"/>
        <v/>
      </c>
      <c r="BM65" s="72"/>
      <c r="BN65" s="72" t="str">
        <f t="shared" si="33"/>
        <v/>
      </c>
      <c r="BO65" s="72" t="str">
        <f t="shared" si="34"/>
        <v/>
      </c>
      <c r="BP65" s="39"/>
      <c r="BQ65" s="72" t="str">
        <f t="shared" si="50"/>
        <v/>
      </c>
      <c r="BR65" s="72" t="str">
        <f t="shared" si="35"/>
        <v/>
      </c>
    </row>
    <row r="66" spans="2:70" x14ac:dyDescent="0.15">
      <c r="I66" s="457">
        <f t="shared" si="36"/>
        <v>2081</v>
      </c>
      <c r="K66" s="71">
        <f t="shared" si="37"/>
        <v>52</v>
      </c>
      <c r="M66" s="7">
        <f t="shared" si="0"/>
        <v>0.215012800254269</v>
      </c>
      <c r="O66" s="10" t="str">
        <f t="shared" si="16"/>
        <v/>
      </c>
      <c r="P66" s="29" t="str">
        <f t="shared" si="39"/>
        <v/>
      </c>
      <c r="R66" s="10" t="str">
        <f t="shared" si="51"/>
        <v/>
      </c>
      <c r="T66" s="10" t="str">
        <f t="shared" si="18"/>
        <v/>
      </c>
      <c r="V66" s="10" t="str">
        <f t="shared" si="40"/>
        <v/>
      </c>
      <c r="W66" s="10" t="str">
        <f t="shared" si="19"/>
        <v/>
      </c>
      <c r="Y66" s="10" t="str">
        <f t="shared" si="41"/>
        <v/>
      </c>
      <c r="Z66" s="10" t="str">
        <f t="shared" si="20"/>
        <v/>
      </c>
      <c r="AB66" s="10" t="str">
        <f t="shared" si="4"/>
        <v/>
      </c>
      <c r="AC66" s="10" t="str">
        <f t="shared" si="21"/>
        <v/>
      </c>
      <c r="AE66" s="10" t="str">
        <f t="shared" si="42"/>
        <v/>
      </c>
      <c r="AF66" s="10" t="str">
        <f t="shared" si="22"/>
        <v/>
      </c>
      <c r="AH66" s="10" t="str">
        <f t="shared" si="52"/>
        <v/>
      </c>
      <c r="AI66" s="10" t="str">
        <f t="shared" si="23"/>
        <v/>
      </c>
      <c r="AK66" s="10" t="str">
        <f t="shared" si="43"/>
        <v/>
      </c>
      <c r="AL66" s="10" t="str">
        <f t="shared" si="24"/>
        <v/>
      </c>
      <c r="AN66" s="10" t="str">
        <f t="shared" si="44"/>
        <v/>
      </c>
      <c r="AO66" s="10" t="str">
        <f t="shared" si="25"/>
        <v/>
      </c>
      <c r="AQ66" s="10" t="str">
        <f t="shared" si="45"/>
        <v/>
      </c>
      <c r="AR66" s="10" t="str">
        <f t="shared" si="26"/>
        <v/>
      </c>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V66" s="10" t="str">
        <f t="shared" si="46"/>
        <v/>
      </c>
      <c r="AW66" s="10" t="str">
        <f t="shared" si="11"/>
        <v/>
      </c>
      <c r="AY66" s="7" t="str">
        <f>IF(ISERROR(IF($K66&lt;=$F$15,VLOOKUP($I66,'表4）CO2価格'!$A$7:$E$67,VLOOKUP($F$48,'表4）CO2価格'!$H$10:$I$12,2,0),0)*$F$8/1000,"")),0,IF($K66&lt;=$F$15,VLOOKUP($I66,'表4）CO2価格'!$A$7:$E$67,VLOOKUP($F$48,'表4）CO2価格'!$H$10:$I$12,2,0),0)*$F$8/1000,""))</f>
        <v/>
      </c>
      <c r="BA66" s="11" t="str">
        <f t="shared" si="47"/>
        <v/>
      </c>
      <c r="BB66" s="10" t="str">
        <f t="shared" si="27"/>
        <v/>
      </c>
      <c r="BD66" s="10" t="str">
        <f t="shared" si="48"/>
        <v/>
      </c>
      <c r="BE66" s="10" t="str">
        <f t="shared" si="28"/>
        <v/>
      </c>
      <c r="BG66" s="11" t="str">
        <f t="shared" si="49"/>
        <v/>
      </c>
      <c r="BH66" s="10" t="str">
        <f t="shared" si="29"/>
        <v/>
      </c>
      <c r="BJ66" s="7" t="str">
        <f t="shared" si="30"/>
        <v/>
      </c>
      <c r="BK66" s="158" t="str">
        <f t="shared" si="31"/>
        <v/>
      </c>
      <c r="BL66" s="158" t="str">
        <f t="shared" si="32"/>
        <v/>
      </c>
      <c r="BM66" s="10"/>
      <c r="BN66" s="10" t="str">
        <f t="shared" si="33"/>
        <v/>
      </c>
      <c r="BO66" s="10" t="str">
        <f t="shared" si="34"/>
        <v/>
      </c>
      <c r="BQ66" s="10" t="str">
        <f t="shared" si="50"/>
        <v/>
      </c>
      <c r="BR66" s="10" t="str">
        <f t="shared" si="35"/>
        <v/>
      </c>
    </row>
    <row r="67" spans="2:70" ht="15.75" thickBot="1" x14ac:dyDescent="0.2">
      <c r="B67" s="5" t="s">
        <v>133</v>
      </c>
      <c r="C67" s="3"/>
      <c r="D67" s="102"/>
      <c r="E67" s="102"/>
      <c r="F67" s="3"/>
      <c r="G67" s="102"/>
      <c r="I67" s="38">
        <f t="shared" si="36"/>
        <v>2082</v>
      </c>
      <c r="J67" s="39"/>
      <c r="K67" s="39">
        <f t="shared" si="37"/>
        <v>53</v>
      </c>
      <c r="L67" s="39"/>
      <c r="M67" s="40">
        <f t="shared" si="0"/>
        <v>0.20875029150899907</v>
      </c>
      <c r="N67" s="39"/>
      <c r="O67" s="72" t="str">
        <f t="shared" si="16"/>
        <v/>
      </c>
      <c r="P67" s="41" t="str">
        <f t="shared" si="39"/>
        <v/>
      </c>
      <c r="Q67" s="39"/>
      <c r="R67" s="72" t="str">
        <f t="shared" si="51"/>
        <v/>
      </c>
      <c r="S67" s="39"/>
      <c r="T67" s="72" t="str">
        <f t="shared" si="18"/>
        <v/>
      </c>
      <c r="U67" s="39"/>
      <c r="V67" s="72" t="str">
        <f t="shared" si="40"/>
        <v/>
      </c>
      <c r="W67" s="72" t="str">
        <f t="shared" si="19"/>
        <v/>
      </c>
      <c r="X67" s="39"/>
      <c r="Y67" s="72" t="str">
        <f t="shared" si="41"/>
        <v/>
      </c>
      <c r="Z67" s="72" t="str">
        <f t="shared" si="20"/>
        <v/>
      </c>
      <c r="AA67" s="39"/>
      <c r="AB67" s="72" t="str">
        <f t="shared" si="4"/>
        <v/>
      </c>
      <c r="AC67" s="72" t="str">
        <f t="shared" si="21"/>
        <v/>
      </c>
      <c r="AD67" s="39"/>
      <c r="AE67" s="72" t="str">
        <f t="shared" si="42"/>
        <v/>
      </c>
      <c r="AF67" s="72" t="str">
        <f t="shared" si="22"/>
        <v/>
      </c>
      <c r="AG67" s="39"/>
      <c r="AH67" s="72" t="str">
        <f t="shared" si="52"/>
        <v/>
      </c>
      <c r="AI67" s="72" t="str">
        <f t="shared" si="23"/>
        <v/>
      </c>
      <c r="AJ67" s="39"/>
      <c r="AK67" s="72" t="str">
        <f t="shared" si="43"/>
        <v/>
      </c>
      <c r="AL67" s="72" t="str">
        <f t="shared" si="24"/>
        <v/>
      </c>
      <c r="AM67" s="39"/>
      <c r="AN67" s="72" t="str">
        <f t="shared" si="44"/>
        <v/>
      </c>
      <c r="AO67" s="72" t="str">
        <f t="shared" si="25"/>
        <v/>
      </c>
      <c r="AP67" s="39"/>
      <c r="AQ67" s="72" t="str">
        <f t="shared" si="45"/>
        <v/>
      </c>
      <c r="AR67" s="72" t="str">
        <f t="shared" si="26"/>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46"/>
        <v/>
      </c>
      <c r="AW67" s="72" t="str">
        <f t="shared" si="11"/>
        <v/>
      </c>
      <c r="AX67" s="39"/>
      <c r="AY67" s="40" t="str">
        <f>IF(ISERROR(IF($K67&lt;=$F$15,VLOOKUP($I67,'表4）CO2価格'!$A$7:$E$67,VLOOKUP($F$48,'表4）CO2価格'!$H$10:$I$12,2,0),0)*$F$8/1000,"")),0,IF($K67&lt;=$F$15,VLOOKUP($I67,'表4）CO2価格'!$A$7:$E$67,VLOOKUP($F$48,'表4）CO2価格'!$H$10:$I$12,2,0),0)*$F$8/1000,""))</f>
        <v/>
      </c>
      <c r="AZ67" s="39"/>
      <c r="BA67" s="42" t="str">
        <f t="shared" si="47"/>
        <v/>
      </c>
      <c r="BB67" s="72" t="str">
        <f t="shared" si="27"/>
        <v/>
      </c>
      <c r="BC67" s="39"/>
      <c r="BD67" s="72" t="str">
        <f t="shared" si="48"/>
        <v/>
      </c>
      <c r="BE67" s="72" t="str">
        <f t="shared" si="28"/>
        <v/>
      </c>
      <c r="BF67" s="39"/>
      <c r="BG67" s="42" t="str">
        <f t="shared" si="49"/>
        <v/>
      </c>
      <c r="BH67" s="72" t="str">
        <f t="shared" si="29"/>
        <v/>
      </c>
      <c r="BI67" s="39"/>
      <c r="BJ67" s="40" t="str">
        <f t="shared" si="30"/>
        <v/>
      </c>
      <c r="BK67" s="157" t="str">
        <f t="shared" si="31"/>
        <v/>
      </c>
      <c r="BL67" s="157" t="str">
        <f t="shared" si="32"/>
        <v/>
      </c>
      <c r="BM67" s="72"/>
      <c r="BN67" s="72" t="str">
        <f t="shared" si="33"/>
        <v/>
      </c>
      <c r="BO67" s="72" t="str">
        <f t="shared" si="34"/>
        <v/>
      </c>
      <c r="BP67" s="39"/>
      <c r="BQ67" s="72" t="str">
        <f t="shared" si="50"/>
        <v/>
      </c>
      <c r="BR67" s="72" t="str">
        <f t="shared" si="35"/>
        <v/>
      </c>
    </row>
    <row r="68" spans="2:70" x14ac:dyDescent="0.15">
      <c r="I68" s="457">
        <f t="shared" si="36"/>
        <v>2083</v>
      </c>
      <c r="K68" s="71">
        <f t="shared" si="37"/>
        <v>54</v>
      </c>
      <c r="M68" s="7">
        <f t="shared" si="0"/>
        <v>0.20267018593106703</v>
      </c>
      <c r="O68" s="10" t="str">
        <f t="shared" si="16"/>
        <v/>
      </c>
      <c r="P68" s="29" t="str">
        <f t="shared" si="39"/>
        <v/>
      </c>
      <c r="R68" s="10" t="str">
        <f t="shared" si="51"/>
        <v/>
      </c>
      <c r="T68" s="10" t="str">
        <f t="shared" si="18"/>
        <v/>
      </c>
      <c r="V68" s="10" t="str">
        <f t="shared" si="40"/>
        <v/>
      </c>
      <c r="W68" s="10" t="str">
        <f t="shared" si="19"/>
        <v/>
      </c>
      <c r="Y68" s="10" t="str">
        <f t="shared" si="41"/>
        <v/>
      </c>
      <c r="Z68" s="10" t="str">
        <f t="shared" si="20"/>
        <v/>
      </c>
      <c r="AB68" s="10" t="str">
        <f t="shared" si="4"/>
        <v/>
      </c>
      <c r="AC68" s="10" t="str">
        <f t="shared" si="21"/>
        <v/>
      </c>
      <c r="AE68" s="10" t="str">
        <f t="shared" si="42"/>
        <v/>
      </c>
      <c r="AF68" s="10" t="str">
        <f t="shared" si="22"/>
        <v/>
      </c>
      <c r="AH68" s="10" t="str">
        <f t="shared" si="52"/>
        <v/>
      </c>
      <c r="AI68" s="10" t="str">
        <f t="shared" si="23"/>
        <v/>
      </c>
      <c r="AK68" s="10" t="str">
        <f t="shared" si="43"/>
        <v/>
      </c>
      <c r="AL68" s="10" t="str">
        <f t="shared" si="24"/>
        <v/>
      </c>
      <c r="AN68" s="10" t="str">
        <f t="shared" si="44"/>
        <v/>
      </c>
      <c r="AO68" s="10" t="str">
        <f t="shared" si="25"/>
        <v/>
      </c>
      <c r="AQ68" s="10" t="str">
        <f t="shared" si="45"/>
        <v/>
      </c>
      <c r="AR68" s="10" t="str">
        <f t="shared" si="26"/>
        <v/>
      </c>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V68" s="10" t="str">
        <f t="shared" si="46"/>
        <v/>
      </c>
      <c r="AW68" s="10" t="str">
        <f t="shared" si="11"/>
        <v/>
      </c>
      <c r="AY68" s="7" t="str">
        <f>IF(ISERROR(IF($K68&lt;=$F$15,VLOOKUP($I68,'表4）CO2価格'!$A$7:$E$67,VLOOKUP($F$48,'表4）CO2価格'!$H$10:$I$12,2,0),0)*$F$8/1000,"")),0,IF($K68&lt;=$F$15,VLOOKUP($I68,'表4）CO2価格'!$A$7:$E$67,VLOOKUP($F$48,'表4）CO2価格'!$H$10:$I$12,2,0),0)*$F$8/1000,""))</f>
        <v/>
      </c>
      <c r="BA68" s="11" t="str">
        <f t="shared" si="47"/>
        <v/>
      </c>
      <c r="BB68" s="10" t="str">
        <f t="shared" si="27"/>
        <v/>
      </c>
      <c r="BD68" s="10" t="str">
        <f t="shared" si="48"/>
        <v/>
      </c>
      <c r="BE68" s="10" t="str">
        <f t="shared" si="28"/>
        <v/>
      </c>
      <c r="BG68" s="11" t="str">
        <f t="shared" si="49"/>
        <v/>
      </c>
      <c r="BH68" s="10" t="str">
        <f t="shared" si="29"/>
        <v/>
      </c>
      <c r="BJ68" s="7" t="str">
        <f t="shared" si="30"/>
        <v/>
      </c>
      <c r="BK68" s="158" t="str">
        <f t="shared" si="31"/>
        <v/>
      </c>
      <c r="BL68" s="158" t="str">
        <f t="shared" si="32"/>
        <v/>
      </c>
      <c r="BM68" s="10"/>
      <c r="BN68" s="10" t="str">
        <f t="shared" si="33"/>
        <v/>
      </c>
      <c r="BO68" s="10" t="str">
        <f t="shared" si="34"/>
        <v/>
      </c>
      <c r="BQ68" s="10" t="str">
        <f t="shared" si="50"/>
        <v/>
      </c>
      <c r="BR68" s="10" t="str">
        <f t="shared" si="35"/>
        <v/>
      </c>
    </row>
    <row r="69" spans="2:70" x14ac:dyDescent="0.15">
      <c r="C69" s="483" t="s">
        <v>134</v>
      </c>
      <c r="D69" s="71"/>
      <c r="E69" s="71"/>
      <c r="F69" s="484">
        <f>SUBTOTAL(9,F74:F112)-F105</f>
        <v>28.138016899681357</v>
      </c>
      <c r="G69" s="71" t="s">
        <v>590</v>
      </c>
      <c r="I69" s="38">
        <f t="shared" si="36"/>
        <v>2084</v>
      </c>
      <c r="J69" s="39"/>
      <c r="K69" s="39">
        <f t="shared" si="37"/>
        <v>55</v>
      </c>
      <c r="L69" s="39"/>
      <c r="M69" s="40">
        <f t="shared" si="0"/>
        <v>0.19676717080686118</v>
      </c>
      <c r="N69" s="39"/>
      <c r="O69" s="72" t="str">
        <f t="shared" si="16"/>
        <v/>
      </c>
      <c r="P69" s="41" t="str">
        <f t="shared" si="39"/>
        <v/>
      </c>
      <c r="Q69" s="39"/>
      <c r="R69" s="72" t="str">
        <f t="shared" si="51"/>
        <v/>
      </c>
      <c r="S69" s="39"/>
      <c r="T69" s="72" t="str">
        <f t="shared" si="18"/>
        <v/>
      </c>
      <c r="U69" s="39"/>
      <c r="V69" s="72" t="str">
        <f t="shared" si="40"/>
        <v/>
      </c>
      <c r="W69" s="72" t="str">
        <f t="shared" si="19"/>
        <v/>
      </c>
      <c r="X69" s="39"/>
      <c r="Y69" s="72" t="str">
        <f t="shared" si="41"/>
        <v/>
      </c>
      <c r="Z69" s="72" t="str">
        <f t="shared" si="20"/>
        <v/>
      </c>
      <c r="AA69" s="39"/>
      <c r="AB69" s="72" t="str">
        <f t="shared" si="4"/>
        <v/>
      </c>
      <c r="AC69" s="72" t="str">
        <f t="shared" si="21"/>
        <v/>
      </c>
      <c r="AD69" s="39"/>
      <c r="AE69" s="72" t="str">
        <f t="shared" si="42"/>
        <v/>
      </c>
      <c r="AF69" s="72" t="str">
        <f t="shared" si="22"/>
        <v/>
      </c>
      <c r="AG69" s="39"/>
      <c r="AH69" s="72" t="str">
        <f t="shared" si="52"/>
        <v/>
      </c>
      <c r="AI69" s="72" t="str">
        <f t="shared" si="23"/>
        <v/>
      </c>
      <c r="AJ69" s="39"/>
      <c r="AK69" s="72" t="str">
        <f t="shared" si="43"/>
        <v/>
      </c>
      <c r="AL69" s="72" t="str">
        <f t="shared" si="24"/>
        <v/>
      </c>
      <c r="AM69" s="39"/>
      <c r="AN69" s="72" t="str">
        <f t="shared" si="44"/>
        <v/>
      </c>
      <c r="AO69" s="72" t="str">
        <f t="shared" si="25"/>
        <v/>
      </c>
      <c r="AP69" s="39"/>
      <c r="AQ69" s="72" t="str">
        <f t="shared" si="45"/>
        <v/>
      </c>
      <c r="AR69" s="72" t="str">
        <f t="shared" si="26"/>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46"/>
        <v/>
      </c>
      <c r="AW69" s="72" t="str">
        <f t="shared" si="11"/>
        <v/>
      </c>
      <c r="AX69" s="39"/>
      <c r="AY69" s="40" t="str">
        <f>IF(ISERROR(IF($K69&lt;=$F$15,VLOOKUP($I69,'表4）CO2価格'!$A$7:$E$67,VLOOKUP($F$48,'表4）CO2価格'!$H$10:$I$12,2,0),0)*$F$8/1000,"")),0,IF($K69&lt;=$F$15,VLOOKUP($I69,'表4）CO2価格'!$A$7:$E$67,VLOOKUP($F$48,'表4）CO2価格'!$H$10:$I$12,2,0),0)*$F$8/1000,""))</f>
        <v/>
      </c>
      <c r="AZ69" s="39"/>
      <c r="BA69" s="42" t="str">
        <f t="shared" si="47"/>
        <v/>
      </c>
      <c r="BB69" s="72" t="str">
        <f t="shared" si="27"/>
        <v/>
      </c>
      <c r="BC69" s="39"/>
      <c r="BD69" s="72" t="str">
        <f t="shared" si="48"/>
        <v/>
      </c>
      <c r="BE69" s="72" t="str">
        <f t="shared" si="28"/>
        <v/>
      </c>
      <c r="BF69" s="39"/>
      <c r="BG69" s="42" t="str">
        <f t="shared" si="49"/>
        <v/>
      </c>
      <c r="BH69" s="72" t="str">
        <f t="shared" si="29"/>
        <v/>
      </c>
      <c r="BI69" s="39"/>
      <c r="BJ69" s="40" t="str">
        <f t="shared" si="30"/>
        <v/>
      </c>
      <c r="BK69" s="157" t="str">
        <f t="shared" si="31"/>
        <v/>
      </c>
      <c r="BL69" s="157" t="str">
        <f t="shared" si="32"/>
        <v/>
      </c>
      <c r="BM69" s="72"/>
      <c r="BN69" s="72" t="str">
        <f t="shared" si="33"/>
        <v/>
      </c>
      <c r="BO69" s="72" t="str">
        <f t="shared" si="34"/>
        <v/>
      </c>
      <c r="BP69" s="39"/>
      <c r="BQ69" s="72" t="str">
        <f t="shared" si="50"/>
        <v/>
      </c>
      <c r="BR69" s="72" t="str">
        <f t="shared" si="35"/>
        <v/>
      </c>
    </row>
    <row r="70" spans="2:70" x14ac:dyDescent="0.15">
      <c r="C70" s="483" t="s">
        <v>135</v>
      </c>
      <c r="D70" s="71"/>
      <c r="E70" s="71"/>
      <c r="F70" s="484">
        <f ca="1">MAX(SUM($Z$117,$AF$117,$AI$117,$AL$117,$AO$117,$AR$117,$AW$117,$BB$117,$BE$117,$BH$117,$BO$116)/$BR$116+$F$105,SUBTOTAL(9,F74:F112))</f>
        <v>29.794629161078671</v>
      </c>
      <c r="G70" s="71" t="s">
        <v>590</v>
      </c>
      <c r="I70" s="457">
        <f t="shared" si="36"/>
        <v>2085</v>
      </c>
      <c r="K70" s="71">
        <f t="shared" si="37"/>
        <v>56</v>
      </c>
      <c r="M70" s="7">
        <f t="shared" si="0"/>
        <v>0.19103608816200118</v>
      </c>
      <c r="O70" s="10" t="str">
        <f t="shared" si="16"/>
        <v/>
      </c>
      <c r="P70" s="29" t="str">
        <f t="shared" si="39"/>
        <v/>
      </c>
      <c r="R70" s="10" t="str">
        <f t="shared" si="51"/>
        <v/>
      </c>
      <c r="T70" s="10" t="str">
        <f t="shared" si="18"/>
        <v/>
      </c>
      <c r="V70" s="10" t="str">
        <f t="shared" si="40"/>
        <v/>
      </c>
      <c r="W70" s="10" t="str">
        <f t="shared" si="19"/>
        <v/>
      </c>
      <c r="Y70" s="10" t="str">
        <f t="shared" si="41"/>
        <v/>
      </c>
      <c r="Z70" s="10" t="str">
        <f t="shared" si="20"/>
        <v/>
      </c>
      <c r="AB70" s="10" t="str">
        <f t="shared" si="4"/>
        <v/>
      </c>
      <c r="AC70" s="10" t="str">
        <f t="shared" si="21"/>
        <v/>
      </c>
      <c r="AE70" s="10" t="str">
        <f t="shared" si="42"/>
        <v/>
      </c>
      <c r="AF70" s="10" t="str">
        <f t="shared" si="22"/>
        <v/>
      </c>
      <c r="AH70" s="10" t="str">
        <f t="shared" si="52"/>
        <v/>
      </c>
      <c r="AI70" s="10" t="str">
        <f t="shared" si="23"/>
        <v/>
      </c>
      <c r="AK70" s="10" t="str">
        <f t="shared" si="43"/>
        <v/>
      </c>
      <c r="AL70" s="10" t="str">
        <f t="shared" si="24"/>
        <v/>
      </c>
      <c r="AN70" s="10" t="str">
        <f t="shared" si="44"/>
        <v/>
      </c>
      <c r="AO70" s="10" t="str">
        <f t="shared" si="25"/>
        <v/>
      </c>
      <c r="AQ70" s="10" t="str">
        <f t="shared" si="45"/>
        <v/>
      </c>
      <c r="AR70" s="10" t="str">
        <f t="shared" si="26"/>
        <v/>
      </c>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V70" s="10" t="str">
        <f t="shared" si="46"/>
        <v/>
      </c>
      <c r="AW70" s="10" t="str">
        <f t="shared" si="11"/>
        <v/>
      </c>
      <c r="AY70" s="7" t="str">
        <f>IF(ISERROR(IF($K70&lt;=$F$15,VLOOKUP($I70,'表4）CO2価格'!$A$7:$E$67,VLOOKUP($F$48,'表4）CO2価格'!$H$10:$I$12,2,0),0)*$F$8/1000,"")),0,IF($K70&lt;=$F$15,VLOOKUP($I70,'表4）CO2価格'!$A$7:$E$67,VLOOKUP($F$48,'表4）CO2価格'!$H$10:$I$12,2,0),0)*$F$8/1000,""))</f>
        <v/>
      </c>
      <c r="BA70" s="11" t="str">
        <f t="shared" si="47"/>
        <v/>
      </c>
      <c r="BB70" s="10" t="str">
        <f t="shared" si="27"/>
        <v/>
      </c>
      <c r="BD70" s="10" t="str">
        <f t="shared" si="48"/>
        <v/>
      </c>
      <c r="BE70" s="10" t="str">
        <f t="shared" si="28"/>
        <v/>
      </c>
      <c r="BG70" s="11" t="str">
        <f t="shared" si="49"/>
        <v/>
      </c>
      <c r="BH70" s="10" t="str">
        <f t="shared" si="29"/>
        <v/>
      </c>
      <c r="BJ70" s="7" t="str">
        <f t="shared" si="30"/>
        <v/>
      </c>
      <c r="BK70" s="158" t="str">
        <f t="shared" si="31"/>
        <v/>
      </c>
      <c r="BL70" s="158" t="str">
        <f t="shared" si="32"/>
        <v/>
      </c>
      <c r="BM70" s="10"/>
      <c r="BN70" s="10" t="str">
        <f t="shared" si="33"/>
        <v/>
      </c>
      <c r="BO70" s="10" t="str">
        <f t="shared" si="34"/>
        <v/>
      </c>
      <c r="BQ70" s="10" t="str">
        <f t="shared" si="50"/>
        <v/>
      </c>
      <c r="BR70" s="10" t="str">
        <f t="shared" si="35"/>
        <v/>
      </c>
    </row>
    <row r="71" spans="2:70" x14ac:dyDescent="0.15">
      <c r="F71" s="485"/>
      <c r="I71" s="38">
        <f t="shared" si="36"/>
        <v>2086</v>
      </c>
      <c r="J71" s="39"/>
      <c r="K71" s="39">
        <f t="shared" si="37"/>
        <v>57</v>
      </c>
      <c r="L71" s="39"/>
      <c r="M71" s="40">
        <f t="shared" si="0"/>
        <v>0.18547193025437006</v>
      </c>
      <c r="N71" s="39"/>
      <c r="O71" s="72" t="str">
        <f t="shared" si="16"/>
        <v/>
      </c>
      <c r="P71" s="41" t="str">
        <f t="shared" si="39"/>
        <v/>
      </c>
      <c r="Q71" s="39"/>
      <c r="R71" s="72" t="str">
        <f t="shared" si="51"/>
        <v/>
      </c>
      <c r="S71" s="39"/>
      <c r="T71" s="72" t="str">
        <f t="shared" si="18"/>
        <v/>
      </c>
      <c r="U71" s="39"/>
      <c r="V71" s="72" t="str">
        <f t="shared" si="40"/>
        <v/>
      </c>
      <c r="W71" s="72" t="str">
        <f t="shared" si="19"/>
        <v/>
      </c>
      <c r="X71" s="39"/>
      <c r="Y71" s="72" t="str">
        <f t="shared" si="41"/>
        <v/>
      </c>
      <c r="Z71" s="72" t="str">
        <f t="shared" si="20"/>
        <v/>
      </c>
      <c r="AA71" s="39"/>
      <c r="AB71" s="72" t="str">
        <f t="shared" si="4"/>
        <v/>
      </c>
      <c r="AC71" s="72" t="str">
        <f t="shared" si="21"/>
        <v/>
      </c>
      <c r="AD71" s="39"/>
      <c r="AE71" s="72" t="str">
        <f t="shared" si="42"/>
        <v/>
      </c>
      <c r="AF71" s="72" t="str">
        <f t="shared" si="22"/>
        <v/>
      </c>
      <c r="AG71" s="39"/>
      <c r="AH71" s="72" t="str">
        <f t="shared" si="52"/>
        <v/>
      </c>
      <c r="AI71" s="72" t="str">
        <f t="shared" si="23"/>
        <v/>
      </c>
      <c r="AJ71" s="39"/>
      <c r="AK71" s="72" t="str">
        <f t="shared" si="43"/>
        <v/>
      </c>
      <c r="AL71" s="72" t="str">
        <f t="shared" si="24"/>
        <v/>
      </c>
      <c r="AM71" s="39"/>
      <c r="AN71" s="72" t="str">
        <f t="shared" si="44"/>
        <v/>
      </c>
      <c r="AO71" s="72" t="str">
        <f t="shared" si="25"/>
        <v/>
      </c>
      <c r="AP71" s="39"/>
      <c r="AQ71" s="72" t="str">
        <f t="shared" si="45"/>
        <v/>
      </c>
      <c r="AR71" s="72" t="str">
        <f t="shared" si="26"/>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46"/>
        <v/>
      </c>
      <c r="AW71" s="72" t="str">
        <f t="shared" si="11"/>
        <v/>
      </c>
      <c r="AX71" s="39"/>
      <c r="AY71" s="40" t="str">
        <f>IF(ISERROR(IF($K71&lt;=$F$15,VLOOKUP($I71,'表4）CO2価格'!$A$7:$E$67,VLOOKUP($F$48,'表4）CO2価格'!$H$10:$I$12,2,0),0)*$F$8/1000,"")),0,IF($K71&lt;=$F$15,VLOOKUP($I71,'表4）CO2価格'!$A$7:$E$67,VLOOKUP($F$48,'表4）CO2価格'!$H$10:$I$12,2,0),0)*$F$8/1000,""))</f>
        <v/>
      </c>
      <c r="AZ71" s="39"/>
      <c r="BA71" s="42" t="str">
        <f t="shared" si="47"/>
        <v/>
      </c>
      <c r="BB71" s="72" t="str">
        <f t="shared" si="27"/>
        <v/>
      </c>
      <c r="BC71" s="39"/>
      <c r="BD71" s="72" t="str">
        <f t="shared" si="48"/>
        <v/>
      </c>
      <c r="BE71" s="72" t="str">
        <f t="shared" si="28"/>
        <v/>
      </c>
      <c r="BF71" s="39"/>
      <c r="BG71" s="42" t="str">
        <f t="shared" si="49"/>
        <v/>
      </c>
      <c r="BH71" s="72" t="str">
        <f t="shared" si="29"/>
        <v/>
      </c>
      <c r="BI71" s="39"/>
      <c r="BJ71" s="40" t="str">
        <f t="shared" si="30"/>
        <v/>
      </c>
      <c r="BK71" s="157" t="str">
        <f t="shared" si="31"/>
        <v/>
      </c>
      <c r="BL71" s="157" t="str">
        <f t="shared" si="32"/>
        <v/>
      </c>
      <c r="BM71" s="72"/>
      <c r="BN71" s="72" t="str">
        <f t="shared" si="33"/>
        <v/>
      </c>
      <c r="BO71" s="72" t="str">
        <f t="shared" si="34"/>
        <v/>
      </c>
      <c r="BP71" s="39"/>
      <c r="BQ71" s="72" t="str">
        <f t="shared" si="50"/>
        <v/>
      </c>
      <c r="BR71" s="72" t="str">
        <f t="shared" si="35"/>
        <v/>
      </c>
    </row>
    <row r="72" spans="2:70" x14ac:dyDescent="0.15">
      <c r="C72" s="4" t="s">
        <v>136</v>
      </c>
      <c r="D72" s="100"/>
      <c r="E72" s="100"/>
      <c r="F72" s="486"/>
      <c r="G72" s="100"/>
      <c r="I72" s="457">
        <f t="shared" si="36"/>
        <v>2087</v>
      </c>
      <c r="K72" s="71">
        <f t="shared" si="37"/>
        <v>58</v>
      </c>
      <c r="M72" s="7">
        <f t="shared" si="0"/>
        <v>0.18006983519841754</v>
      </c>
      <c r="O72" s="10" t="str">
        <f t="shared" si="16"/>
        <v/>
      </c>
      <c r="P72" s="29" t="str">
        <f t="shared" si="39"/>
        <v/>
      </c>
      <c r="R72" s="10" t="str">
        <f t="shared" si="51"/>
        <v/>
      </c>
      <c r="T72" s="10" t="str">
        <f t="shared" si="18"/>
        <v/>
      </c>
      <c r="V72" s="10" t="str">
        <f t="shared" si="40"/>
        <v/>
      </c>
      <c r="W72" s="10" t="str">
        <f t="shared" si="19"/>
        <v/>
      </c>
      <c r="Y72" s="10" t="str">
        <f t="shared" si="41"/>
        <v/>
      </c>
      <c r="Z72" s="10" t="str">
        <f t="shared" si="20"/>
        <v/>
      </c>
      <c r="AB72" s="10" t="str">
        <f t="shared" si="4"/>
        <v/>
      </c>
      <c r="AC72" s="10" t="str">
        <f t="shared" si="21"/>
        <v/>
      </c>
      <c r="AE72" s="10" t="str">
        <f t="shared" si="42"/>
        <v/>
      </c>
      <c r="AF72" s="10" t="str">
        <f t="shared" si="22"/>
        <v/>
      </c>
      <c r="AH72" s="10" t="str">
        <f t="shared" si="52"/>
        <v/>
      </c>
      <c r="AI72" s="10" t="str">
        <f t="shared" si="23"/>
        <v/>
      </c>
      <c r="AK72" s="10" t="str">
        <f t="shared" si="43"/>
        <v/>
      </c>
      <c r="AL72" s="10" t="str">
        <f t="shared" si="24"/>
        <v/>
      </c>
      <c r="AN72" s="10" t="str">
        <f t="shared" si="44"/>
        <v/>
      </c>
      <c r="AO72" s="10" t="str">
        <f t="shared" si="25"/>
        <v/>
      </c>
      <c r="AQ72" s="10" t="str">
        <f t="shared" si="45"/>
        <v/>
      </c>
      <c r="AR72" s="10" t="str">
        <f t="shared" si="26"/>
        <v/>
      </c>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V72" s="10" t="str">
        <f t="shared" si="46"/>
        <v/>
      </c>
      <c r="AW72" s="10" t="str">
        <f t="shared" si="11"/>
        <v/>
      </c>
      <c r="AY72" s="7" t="str">
        <f>IF(ISERROR(IF($K72&lt;=$F$15,VLOOKUP($I72,'表4）CO2価格'!$A$7:$E$67,VLOOKUP($F$48,'表4）CO2価格'!$H$10:$I$12,2,0),0)*$F$8/1000,"")),0,IF($K72&lt;=$F$15,VLOOKUP($I72,'表4）CO2価格'!$A$7:$E$67,VLOOKUP($F$48,'表4）CO2価格'!$H$10:$I$12,2,0),0)*$F$8/1000,""))</f>
        <v/>
      </c>
      <c r="BA72" s="11" t="str">
        <f t="shared" si="47"/>
        <v/>
      </c>
      <c r="BB72" s="10" t="str">
        <f t="shared" si="27"/>
        <v/>
      </c>
      <c r="BD72" s="10" t="str">
        <f t="shared" si="48"/>
        <v/>
      </c>
      <c r="BE72" s="10" t="str">
        <f t="shared" si="28"/>
        <v/>
      </c>
      <c r="BG72" s="11" t="str">
        <f t="shared" si="49"/>
        <v/>
      </c>
      <c r="BH72" s="10" t="str">
        <f t="shared" si="29"/>
        <v/>
      </c>
      <c r="BJ72" s="7" t="str">
        <f t="shared" si="30"/>
        <v/>
      </c>
      <c r="BK72" s="158" t="str">
        <f t="shared" si="31"/>
        <v/>
      </c>
      <c r="BL72" s="158" t="str">
        <f t="shared" si="32"/>
        <v/>
      </c>
      <c r="BM72" s="10"/>
      <c r="BN72" s="10" t="str">
        <f t="shared" si="33"/>
        <v/>
      </c>
      <c r="BO72" s="10" t="str">
        <f t="shared" si="34"/>
        <v/>
      </c>
      <c r="BQ72" s="10" t="str">
        <f t="shared" si="50"/>
        <v/>
      </c>
      <c r="BR72" s="10" t="str">
        <f t="shared" si="35"/>
        <v/>
      </c>
    </row>
    <row r="73" spans="2:70" x14ac:dyDescent="0.15">
      <c r="F73" s="487"/>
      <c r="I73" s="38">
        <f t="shared" si="36"/>
        <v>2088</v>
      </c>
      <c r="J73" s="39"/>
      <c r="K73" s="39">
        <f t="shared" si="37"/>
        <v>59</v>
      </c>
      <c r="L73" s="39"/>
      <c r="M73" s="40">
        <f t="shared" si="0"/>
        <v>0.17482508271691022</v>
      </c>
      <c r="N73" s="39"/>
      <c r="O73" s="72" t="str">
        <f t="shared" si="16"/>
        <v/>
      </c>
      <c r="P73" s="41" t="str">
        <f t="shared" si="39"/>
        <v/>
      </c>
      <c r="Q73" s="39"/>
      <c r="R73" s="72" t="str">
        <f t="shared" si="51"/>
        <v/>
      </c>
      <c r="S73" s="39"/>
      <c r="T73" s="72" t="str">
        <f t="shared" si="18"/>
        <v/>
      </c>
      <c r="U73" s="39"/>
      <c r="V73" s="72" t="str">
        <f t="shared" si="40"/>
        <v/>
      </c>
      <c r="W73" s="72" t="str">
        <f t="shared" si="19"/>
        <v/>
      </c>
      <c r="X73" s="39"/>
      <c r="Y73" s="72" t="str">
        <f t="shared" si="41"/>
        <v/>
      </c>
      <c r="Z73" s="72" t="str">
        <f t="shared" si="20"/>
        <v/>
      </c>
      <c r="AA73" s="39"/>
      <c r="AB73" s="72" t="str">
        <f t="shared" si="4"/>
        <v/>
      </c>
      <c r="AC73" s="72" t="str">
        <f t="shared" si="21"/>
        <v/>
      </c>
      <c r="AD73" s="39"/>
      <c r="AE73" s="72" t="str">
        <f t="shared" si="42"/>
        <v/>
      </c>
      <c r="AF73" s="72" t="str">
        <f t="shared" si="22"/>
        <v/>
      </c>
      <c r="AG73" s="39"/>
      <c r="AH73" s="72" t="str">
        <f t="shared" si="52"/>
        <v/>
      </c>
      <c r="AI73" s="72" t="str">
        <f t="shared" si="23"/>
        <v/>
      </c>
      <c r="AJ73" s="39"/>
      <c r="AK73" s="72" t="str">
        <f t="shared" si="43"/>
        <v/>
      </c>
      <c r="AL73" s="72" t="str">
        <f t="shared" si="24"/>
        <v/>
      </c>
      <c r="AM73" s="39"/>
      <c r="AN73" s="72" t="str">
        <f t="shared" si="44"/>
        <v/>
      </c>
      <c r="AO73" s="72" t="str">
        <f t="shared" si="25"/>
        <v/>
      </c>
      <c r="AP73" s="39"/>
      <c r="AQ73" s="72" t="str">
        <f t="shared" si="45"/>
        <v/>
      </c>
      <c r="AR73" s="72" t="str">
        <f t="shared" si="26"/>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46"/>
        <v/>
      </c>
      <c r="AW73" s="72" t="str">
        <f t="shared" si="11"/>
        <v/>
      </c>
      <c r="AX73" s="39"/>
      <c r="AY73" s="40" t="str">
        <f>IF(ISERROR(IF($K73&lt;=$F$15,VLOOKUP($I73,'表4）CO2価格'!$A$7:$E$67,VLOOKUP($F$48,'表4）CO2価格'!$H$10:$I$12,2,0),0)*$F$8/1000,"")),0,IF($K73&lt;=$F$15,VLOOKUP($I73,'表4）CO2価格'!$A$7:$E$67,VLOOKUP($F$48,'表4）CO2価格'!$H$10:$I$12,2,0),0)*$F$8/1000,""))</f>
        <v/>
      </c>
      <c r="AZ73" s="39"/>
      <c r="BA73" s="42" t="str">
        <f t="shared" si="47"/>
        <v/>
      </c>
      <c r="BB73" s="72" t="str">
        <f t="shared" si="27"/>
        <v/>
      </c>
      <c r="BC73" s="39"/>
      <c r="BD73" s="72" t="str">
        <f t="shared" si="48"/>
        <v/>
      </c>
      <c r="BE73" s="72" t="str">
        <f t="shared" si="28"/>
        <v/>
      </c>
      <c r="BF73" s="39"/>
      <c r="BG73" s="42" t="str">
        <f t="shared" si="49"/>
        <v/>
      </c>
      <c r="BH73" s="72" t="str">
        <f t="shared" si="29"/>
        <v/>
      </c>
      <c r="BI73" s="39"/>
      <c r="BJ73" s="40" t="str">
        <f t="shared" si="30"/>
        <v/>
      </c>
      <c r="BK73" s="157" t="str">
        <f t="shared" si="31"/>
        <v/>
      </c>
      <c r="BL73" s="157" t="str">
        <f t="shared" si="32"/>
        <v/>
      </c>
      <c r="BM73" s="72"/>
      <c r="BN73" s="72" t="str">
        <f t="shared" si="33"/>
        <v/>
      </c>
      <c r="BO73" s="72" t="str">
        <f t="shared" si="34"/>
        <v/>
      </c>
      <c r="BP73" s="39"/>
      <c r="BQ73" s="72" t="str">
        <f t="shared" si="50"/>
        <v/>
      </c>
      <c r="BR73" s="72" t="str">
        <f t="shared" si="35"/>
        <v/>
      </c>
    </row>
    <row r="74" spans="2:70" ht="15" x14ac:dyDescent="0.15">
      <c r="D74" s="103" t="s">
        <v>591</v>
      </c>
      <c r="F74" s="484">
        <f>SUBTOTAL(9,F78:F81)</f>
        <v>2.9559860865439669</v>
      </c>
      <c r="G74" s="84" t="s">
        <v>590</v>
      </c>
      <c r="I74" s="457">
        <f t="shared" si="36"/>
        <v>2089</v>
      </c>
      <c r="K74" s="71">
        <f t="shared" si="37"/>
        <v>60</v>
      </c>
      <c r="M74" s="7">
        <f t="shared" si="0"/>
        <v>0.1697330900164177</v>
      </c>
      <c r="O74" s="10" t="str">
        <f t="shared" si="16"/>
        <v/>
      </c>
      <c r="P74" s="29" t="str">
        <f t="shared" si="39"/>
        <v/>
      </c>
      <c r="R74" s="10" t="str">
        <f t="shared" si="51"/>
        <v/>
      </c>
      <c r="T74" s="10" t="str">
        <f t="shared" si="18"/>
        <v/>
      </c>
      <c r="V74" s="10" t="str">
        <f t="shared" si="40"/>
        <v/>
      </c>
      <c r="W74" s="10" t="str">
        <f t="shared" si="19"/>
        <v/>
      </c>
      <c r="Y74" s="10" t="str">
        <f t="shared" si="41"/>
        <v/>
      </c>
      <c r="Z74" s="10" t="str">
        <f t="shared" si="20"/>
        <v/>
      </c>
      <c r="AB74" s="10" t="str">
        <f t="shared" si="4"/>
        <v/>
      </c>
      <c r="AC74" s="10" t="str">
        <f t="shared" si="21"/>
        <v/>
      </c>
      <c r="AE74" s="10" t="str">
        <f t="shared" si="42"/>
        <v/>
      </c>
      <c r="AF74" s="10" t="str">
        <f t="shared" si="22"/>
        <v/>
      </c>
      <c r="AH74" s="10" t="str">
        <f t="shared" si="52"/>
        <v/>
      </c>
      <c r="AI74" s="10" t="str">
        <f t="shared" si="23"/>
        <v/>
      </c>
      <c r="AK74" s="10" t="str">
        <f t="shared" si="43"/>
        <v/>
      </c>
      <c r="AL74" s="10" t="str">
        <f t="shared" si="24"/>
        <v/>
      </c>
      <c r="AN74" s="10" t="str">
        <f t="shared" si="44"/>
        <v/>
      </c>
      <c r="AO74" s="10" t="str">
        <f t="shared" si="25"/>
        <v/>
      </c>
      <c r="AQ74" s="10" t="str">
        <f t="shared" si="45"/>
        <v/>
      </c>
      <c r="AR74" s="10" t="str">
        <f t="shared" si="26"/>
        <v/>
      </c>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V74" s="10" t="str">
        <f t="shared" si="46"/>
        <v/>
      </c>
      <c r="AW74" s="10" t="str">
        <f t="shared" si="11"/>
        <v/>
      </c>
      <c r="AY74" s="7" t="str">
        <f>IF(ISERROR(IF($K74&lt;=$F$15,VLOOKUP($I74,'表4）CO2価格'!$A$7:$E$67,VLOOKUP($F$48,'表4）CO2価格'!$H$10:$I$12,2,0),0)*$F$8/1000,"")),0,IF($K74&lt;=$F$15,VLOOKUP($I74,'表4）CO2価格'!$A$7:$E$67,VLOOKUP($F$48,'表4）CO2価格'!$H$10:$I$12,2,0),0)*$F$8/1000,""))</f>
        <v/>
      </c>
      <c r="BA74" s="11" t="str">
        <f t="shared" si="47"/>
        <v/>
      </c>
      <c r="BB74" s="10" t="str">
        <f t="shared" si="27"/>
        <v/>
      </c>
      <c r="BD74" s="10" t="str">
        <f t="shared" si="48"/>
        <v/>
      </c>
      <c r="BE74" s="10" t="str">
        <f t="shared" si="28"/>
        <v/>
      </c>
      <c r="BG74" s="11" t="str">
        <f t="shared" si="49"/>
        <v/>
      </c>
      <c r="BH74" s="10" t="str">
        <f t="shared" si="29"/>
        <v/>
      </c>
      <c r="BJ74" s="7" t="str">
        <f t="shared" si="30"/>
        <v/>
      </c>
      <c r="BK74" s="158" t="str">
        <f t="shared" si="31"/>
        <v/>
      </c>
      <c r="BL74" s="158" t="str">
        <f t="shared" si="32"/>
        <v/>
      </c>
      <c r="BM74" s="10"/>
      <c r="BN74" s="10" t="str">
        <f t="shared" si="33"/>
        <v/>
      </c>
      <c r="BO74" s="10" t="str">
        <f t="shared" si="34"/>
        <v/>
      </c>
      <c r="BQ74" s="10" t="str">
        <f t="shared" si="50"/>
        <v/>
      </c>
      <c r="BR74" s="10" t="str">
        <f t="shared" si="35"/>
        <v/>
      </c>
    </row>
    <row r="75" spans="2:70" x14ac:dyDescent="0.15">
      <c r="F75" s="487"/>
      <c r="I75" s="38">
        <f t="shared" si="36"/>
        <v>2090</v>
      </c>
      <c r="J75" s="39"/>
      <c r="K75" s="39">
        <f t="shared" si="37"/>
        <v>61</v>
      </c>
      <c r="L75" s="39"/>
      <c r="M75" s="40">
        <f t="shared" si="0"/>
        <v>0.16478940778292983</v>
      </c>
      <c r="N75" s="39"/>
      <c r="O75" s="72" t="str">
        <f t="shared" si="16"/>
        <v/>
      </c>
      <c r="P75" s="41" t="str">
        <f t="shared" si="39"/>
        <v/>
      </c>
      <c r="Q75" s="39"/>
      <c r="R75" s="72" t="str">
        <f t="shared" si="51"/>
        <v/>
      </c>
      <c r="S75" s="39"/>
      <c r="T75" s="72" t="str">
        <f t="shared" si="18"/>
        <v/>
      </c>
      <c r="U75" s="39"/>
      <c r="V75" s="72" t="str">
        <f t="shared" si="40"/>
        <v/>
      </c>
      <c r="W75" s="72" t="str">
        <f t="shared" si="19"/>
        <v/>
      </c>
      <c r="X75" s="39"/>
      <c r="Y75" s="72" t="str">
        <f t="shared" si="41"/>
        <v/>
      </c>
      <c r="Z75" s="72" t="str">
        <f t="shared" si="20"/>
        <v/>
      </c>
      <c r="AA75" s="39"/>
      <c r="AB75" s="72" t="str">
        <f t="shared" si="4"/>
        <v/>
      </c>
      <c r="AC75" s="72" t="str">
        <f t="shared" si="21"/>
        <v/>
      </c>
      <c r="AD75" s="39"/>
      <c r="AE75" s="72" t="str">
        <f t="shared" si="42"/>
        <v/>
      </c>
      <c r="AF75" s="72" t="str">
        <f t="shared" si="22"/>
        <v/>
      </c>
      <c r="AG75" s="39"/>
      <c r="AH75" s="72" t="str">
        <f t="shared" si="52"/>
        <v/>
      </c>
      <c r="AI75" s="72" t="str">
        <f t="shared" si="23"/>
        <v/>
      </c>
      <c r="AJ75" s="39"/>
      <c r="AK75" s="72" t="str">
        <f t="shared" si="43"/>
        <v/>
      </c>
      <c r="AL75" s="72" t="str">
        <f t="shared" si="24"/>
        <v/>
      </c>
      <c r="AM75" s="39"/>
      <c r="AN75" s="72" t="str">
        <f t="shared" si="44"/>
        <v/>
      </c>
      <c r="AO75" s="72" t="str">
        <f t="shared" si="25"/>
        <v/>
      </c>
      <c r="AP75" s="39"/>
      <c r="AQ75" s="72" t="str">
        <f t="shared" si="45"/>
        <v/>
      </c>
      <c r="AR75" s="72" t="str">
        <f t="shared" si="26"/>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46"/>
        <v/>
      </c>
      <c r="AW75" s="72" t="str">
        <f t="shared" si="11"/>
        <v/>
      </c>
      <c r="AX75" s="39"/>
      <c r="AY75" s="40" t="str">
        <f>IF(ISERROR(IF($K75&lt;=$F$15,VLOOKUP($I75,'表4）CO2価格'!$A$7:$E$67,VLOOKUP($F$48,'表4）CO2価格'!$H$10:$I$12,2,0),0)*$F$8/1000,"")),0,IF($K75&lt;=$F$15,VLOOKUP($I75,'表4）CO2価格'!$A$7:$E$67,VLOOKUP($F$48,'表4）CO2価格'!$H$10:$I$12,2,0),0)*$F$8/1000,""))</f>
        <v/>
      </c>
      <c r="AZ75" s="39"/>
      <c r="BA75" s="42" t="str">
        <f t="shared" si="47"/>
        <v/>
      </c>
      <c r="BB75" s="72" t="str">
        <f t="shared" si="27"/>
        <v/>
      </c>
      <c r="BC75" s="39"/>
      <c r="BD75" s="72" t="str">
        <f t="shared" si="48"/>
        <v/>
      </c>
      <c r="BE75" s="72" t="str">
        <f t="shared" si="28"/>
        <v/>
      </c>
      <c r="BF75" s="39"/>
      <c r="BG75" s="42" t="str">
        <f t="shared" si="49"/>
        <v/>
      </c>
      <c r="BH75" s="72" t="str">
        <f t="shared" si="29"/>
        <v/>
      </c>
      <c r="BI75" s="39"/>
      <c r="BJ75" s="40" t="str">
        <f t="shared" si="30"/>
        <v/>
      </c>
      <c r="BK75" s="157" t="str">
        <f t="shared" si="31"/>
        <v/>
      </c>
      <c r="BL75" s="157" t="str">
        <f t="shared" si="32"/>
        <v/>
      </c>
      <c r="BM75" s="72"/>
      <c r="BN75" s="72" t="str">
        <f t="shared" si="33"/>
        <v/>
      </c>
      <c r="BO75" s="72" t="str">
        <f t="shared" si="34"/>
        <v/>
      </c>
      <c r="BP75" s="39"/>
      <c r="BQ75" s="72" t="str">
        <f t="shared" si="50"/>
        <v/>
      </c>
      <c r="BR75" s="72" t="str">
        <f t="shared" si="35"/>
        <v/>
      </c>
    </row>
    <row r="76" spans="2:70" x14ac:dyDescent="0.15">
      <c r="D76" s="100" t="s">
        <v>592</v>
      </c>
      <c r="E76" s="100"/>
      <c r="F76" s="486"/>
      <c r="G76" s="100"/>
      <c r="I76" s="457">
        <f t="shared" si="36"/>
        <v>2091</v>
      </c>
      <c r="K76" s="71">
        <f t="shared" si="37"/>
        <v>62</v>
      </c>
      <c r="M76" s="7">
        <f t="shared" si="0"/>
        <v>0.15998971629410663</v>
      </c>
      <c r="O76" s="10" t="str">
        <f t="shared" si="16"/>
        <v/>
      </c>
      <c r="P76" s="29" t="str">
        <f t="shared" si="39"/>
        <v/>
      </c>
      <c r="R76" s="10" t="str">
        <f t="shared" si="51"/>
        <v/>
      </c>
      <c r="T76" s="10" t="str">
        <f t="shared" si="18"/>
        <v/>
      </c>
      <c r="V76" s="10" t="str">
        <f t="shared" si="40"/>
        <v/>
      </c>
      <c r="W76" s="10" t="str">
        <f t="shared" si="19"/>
        <v/>
      </c>
      <c r="Y76" s="10" t="str">
        <f t="shared" si="41"/>
        <v/>
      </c>
      <c r="Z76" s="10" t="str">
        <f t="shared" si="20"/>
        <v/>
      </c>
      <c r="AB76" s="10" t="str">
        <f t="shared" si="4"/>
        <v/>
      </c>
      <c r="AC76" s="10" t="str">
        <f t="shared" si="21"/>
        <v/>
      </c>
      <c r="AE76" s="10" t="str">
        <f t="shared" si="42"/>
        <v/>
      </c>
      <c r="AF76" s="10" t="str">
        <f t="shared" si="22"/>
        <v/>
      </c>
      <c r="AH76" s="10" t="str">
        <f t="shared" si="52"/>
        <v/>
      </c>
      <c r="AI76" s="10" t="str">
        <f t="shared" si="23"/>
        <v/>
      </c>
      <c r="AK76" s="10" t="str">
        <f t="shared" si="43"/>
        <v/>
      </c>
      <c r="AL76" s="10" t="str">
        <f t="shared" si="24"/>
        <v/>
      </c>
      <c r="AN76" s="10" t="str">
        <f t="shared" si="44"/>
        <v/>
      </c>
      <c r="AO76" s="10" t="str">
        <f t="shared" si="25"/>
        <v/>
      </c>
      <c r="AQ76" s="10" t="str">
        <f t="shared" si="45"/>
        <v/>
      </c>
      <c r="AR76" s="10" t="str">
        <f t="shared" si="26"/>
        <v/>
      </c>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V76" s="10" t="str">
        <f t="shared" si="46"/>
        <v/>
      </c>
      <c r="AW76" s="10" t="str">
        <f t="shared" si="11"/>
        <v/>
      </c>
      <c r="AY76" s="7" t="str">
        <f>IF(ISERROR(IF($K76&lt;=$F$15,VLOOKUP($I76,'表4）CO2価格'!$A$7:$E$67,VLOOKUP($F$48,'表4）CO2価格'!$H$10:$I$12,2,0),0)*$F$8/1000,"")),0,IF($K76&lt;=$F$15,VLOOKUP($I76,'表4）CO2価格'!$A$7:$E$67,VLOOKUP($F$48,'表4）CO2価格'!$H$10:$I$12,2,0),0)*$F$8/1000,""))</f>
        <v/>
      </c>
      <c r="BA76" s="11" t="str">
        <f t="shared" si="47"/>
        <v/>
      </c>
      <c r="BB76" s="10" t="str">
        <f t="shared" si="27"/>
        <v/>
      </c>
      <c r="BD76" s="10" t="str">
        <f t="shared" si="48"/>
        <v/>
      </c>
      <c r="BE76" s="10" t="str">
        <f t="shared" si="28"/>
        <v/>
      </c>
      <c r="BG76" s="11" t="str">
        <f t="shared" si="49"/>
        <v/>
      </c>
      <c r="BH76" s="10" t="str">
        <f t="shared" si="29"/>
        <v/>
      </c>
      <c r="BJ76" s="7" t="str">
        <f t="shared" si="30"/>
        <v/>
      </c>
      <c r="BK76" s="158" t="str">
        <f t="shared" si="31"/>
        <v/>
      </c>
      <c r="BL76" s="158" t="str">
        <f t="shared" si="32"/>
        <v/>
      </c>
      <c r="BM76" s="10"/>
      <c r="BN76" s="10" t="str">
        <f t="shared" si="33"/>
        <v/>
      </c>
      <c r="BO76" s="10" t="str">
        <f t="shared" si="34"/>
        <v/>
      </c>
      <c r="BQ76" s="10" t="str">
        <f t="shared" si="50"/>
        <v/>
      </c>
      <c r="BR76" s="10" t="str">
        <f t="shared" si="35"/>
        <v/>
      </c>
    </row>
    <row r="77" spans="2:70" x14ac:dyDescent="0.15">
      <c r="F77" s="487"/>
      <c r="I77" s="38">
        <f t="shared" si="36"/>
        <v>2092</v>
      </c>
      <c r="J77" s="39"/>
      <c r="K77" s="39">
        <f t="shared" si="37"/>
        <v>63</v>
      </c>
      <c r="L77" s="39"/>
      <c r="M77" s="40">
        <f t="shared" si="0"/>
        <v>0.15532982164476369</v>
      </c>
      <c r="N77" s="39"/>
      <c r="O77" s="72" t="str">
        <f t="shared" si="16"/>
        <v/>
      </c>
      <c r="P77" s="41" t="str">
        <f t="shared" si="39"/>
        <v/>
      </c>
      <c r="Q77" s="39"/>
      <c r="R77" s="72" t="str">
        <f t="shared" si="51"/>
        <v/>
      </c>
      <c r="S77" s="39"/>
      <c r="T77" s="72" t="str">
        <f t="shared" si="18"/>
        <v/>
      </c>
      <c r="U77" s="39"/>
      <c r="V77" s="72" t="str">
        <f t="shared" si="40"/>
        <v/>
      </c>
      <c r="W77" s="72" t="str">
        <f t="shared" si="19"/>
        <v/>
      </c>
      <c r="X77" s="39"/>
      <c r="Y77" s="72" t="str">
        <f t="shared" si="41"/>
        <v/>
      </c>
      <c r="Z77" s="72" t="str">
        <f t="shared" si="20"/>
        <v/>
      </c>
      <c r="AA77" s="39"/>
      <c r="AB77" s="72" t="str">
        <f t="shared" si="4"/>
        <v/>
      </c>
      <c r="AC77" s="72" t="str">
        <f t="shared" si="21"/>
        <v/>
      </c>
      <c r="AD77" s="39"/>
      <c r="AE77" s="72" t="str">
        <f t="shared" si="42"/>
        <v/>
      </c>
      <c r="AF77" s="72" t="str">
        <f t="shared" si="22"/>
        <v/>
      </c>
      <c r="AG77" s="39"/>
      <c r="AH77" s="72" t="str">
        <f t="shared" si="52"/>
        <v/>
      </c>
      <c r="AI77" s="72" t="str">
        <f t="shared" si="23"/>
        <v/>
      </c>
      <c r="AJ77" s="39"/>
      <c r="AK77" s="72" t="str">
        <f t="shared" si="43"/>
        <v/>
      </c>
      <c r="AL77" s="72" t="str">
        <f t="shared" si="24"/>
        <v/>
      </c>
      <c r="AM77" s="39"/>
      <c r="AN77" s="72" t="str">
        <f t="shared" si="44"/>
        <v/>
      </c>
      <c r="AO77" s="72" t="str">
        <f t="shared" si="25"/>
        <v/>
      </c>
      <c r="AP77" s="39"/>
      <c r="AQ77" s="72" t="str">
        <f t="shared" si="45"/>
        <v/>
      </c>
      <c r="AR77" s="72" t="str">
        <f t="shared" si="26"/>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46"/>
        <v/>
      </c>
      <c r="AW77" s="72" t="str">
        <f t="shared" si="11"/>
        <v/>
      </c>
      <c r="AX77" s="39"/>
      <c r="AY77" s="40" t="str">
        <f>IF(ISERROR(IF($K77&lt;=$F$15,VLOOKUP($I77,'表4）CO2価格'!$A$7:$E$67,VLOOKUP($F$48,'表4）CO2価格'!$H$10:$I$12,2,0),0)*$F$8/1000,"")),0,IF($K77&lt;=$F$15,VLOOKUP($I77,'表4）CO2価格'!$A$7:$E$67,VLOOKUP($F$48,'表4）CO2価格'!$H$10:$I$12,2,0),0)*$F$8/1000,""))</f>
        <v/>
      </c>
      <c r="AZ77" s="39"/>
      <c r="BA77" s="42" t="str">
        <f t="shared" si="47"/>
        <v/>
      </c>
      <c r="BB77" s="72" t="str">
        <f t="shared" si="27"/>
        <v/>
      </c>
      <c r="BC77" s="39"/>
      <c r="BD77" s="72" t="str">
        <f t="shared" si="48"/>
        <v/>
      </c>
      <c r="BE77" s="72" t="str">
        <f t="shared" si="28"/>
        <v/>
      </c>
      <c r="BF77" s="39"/>
      <c r="BG77" s="42" t="str">
        <f t="shared" si="49"/>
        <v/>
      </c>
      <c r="BH77" s="72" t="str">
        <f t="shared" si="29"/>
        <v/>
      </c>
      <c r="BI77" s="39"/>
      <c r="BJ77" s="40" t="str">
        <f t="shared" si="30"/>
        <v/>
      </c>
      <c r="BK77" s="157" t="str">
        <f t="shared" si="31"/>
        <v/>
      </c>
      <c r="BL77" s="157" t="str">
        <f t="shared" si="32"/>
        <v/>
      </c>
      <c r="BM77" s="72"/>
      <c r="BN77" s="72" t="str">
        <f t="shared" si="33"/>
        <v/>
      </c>
      <c r="BO77" s="72" t="str">
        <f t="shared" si="34"/>
        <v/>
      </c>
      <c r="BP77" s="39"/>
      <c r="BQ77" s="72" t="str">
        <f t="shared" si="50"/>
        <v/>
      </c>
      <c r="BR77" s="72" t="str">
        <f t="shared" si="35"/>
        <v/>
      </c>
    </row>
    <row r="78" spans="2:70" x14ac:dyDescent="0.15">
      <c r="E78" s="70" t="s">
        <v>138</v>
      </c>
      <c r="F78" s="488">
        <f>R15/$BR$116</f>
        <v>2.6877223707789208</v>
      </c>
      <c r="G78" s="84" t="s">
        <v>590</v>
      </c>
      <c r="I78" s="457">
        <f t="shared" si="36"/>
        <v>2093</v>
      </c>
      <c r="K78" s="71">
        <f t="shared" si="37"/>
        <v>64</v>
      </c>
      <c r="M78" s="7">
        <f t="shared" si="0"/>
        <v>0.15080565208229488</v>
      </c>
      <c r="O78" s="10" t="str">
        <f t="shared" si="16"/>
        <v/>
      </c>
      <c r="P78" s="29" t="str">
        <f t="shared" si="39"/>
        <v/>
      </c>
      <c r="R78" s="10" t="str">
        <f t="shared" si="51"/>
        <v/>
      </c>
      <c r="T78" s="10" t="str">
        <f t="shared" si="18"/>
        <v/>
      </c>
      <c r="V78" s="10" t="str">
        <f t="shared" si="40"/>
        <v/>
      </c>
      <c r="W78" s="10" t="str">
        <f t="shared" si="19"/>
        <v/>
      </c>
      <c r="Y78" s="10" t="str">
        <f t="shared" si="41"/>
        <v/>
      </c>
      <c r="Z78" s="10" t="str">
        <f t="shared" si="20"/>
        <v/>
      </c>
      <c r="AB78" s="10" t="str">
        <f t="shared" si="4"/>
        <v/>
      </c>
      <c r="AC78" s="10" t="str">
        <f t="shared" si="21"/>
        <v/>
      </c>
      <c r="AE78" s="10" t="str">
        <f t="shared" si="42"/>
        <v/>
      </c>
      <c r="AF78" s="10" t="str">
        <f t="shared" si="22"/>
        <v/>
      </c>
      <c r="AH78" s="10" t="str">
        <f t="shared" si="52"/>
        <v/>
      </c>
      <c r="AI78" s="10" t="str">
        <f t="shared" si="23"/>
        <v/>
      </c>
      <c r="AK78" s="10" t="str">
        <f t="shared" si="43"/>
        <v/>
      </c>
      <c r="AL78" s="10" t="str">
        <f t="shared" si="24"/>
        <v/>
      </c>
      <c r="AN78" s="10" t="str">
        <f t="shared" si="44"/>
        <v/>
      </c>
      <c r="AO78" s="10" t="str">
        <f t="shared" si="25"/>
        <v/>
      </c>
      <c r="AQ78" s="10" t="str">
        <f t="shared" si="45"/>
        <v/>
      </c>
      <c r="AR78" s="10" t="str">
        <f t="shared" si="26"/>
        <v/>
      </c>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V78" s="10" t="str">
        <f t="shared" si="46"/>
        <v/>
      </c>
      <c r="AW78" s="10" t="str">
        <f t="shared" si="11"/>
        <v/>
      </c>
      <c r="AY78" s="7" t="str">
        <f>IF(ISERROR(IF($K78&lt;=$F$15,VLOOKUP($I78,'表4）CO2価格'!$A$7:$E$67,VLOOKUP($F$48,'表4）CO2価格'!$H$10:$I$12,2,0),0)*$F$8/1000,"")),0,IF($K78&lt;=$F$15,VLOOKUP($I78,'表4）CO2価格'!$A$7:$E$67,VLOOKUP($F$48,'表4）CO2価格'!$H$10:$I$12,2,0),0)*$F$8/1000,""))</f>
        <v/>
      </c>
      <c r="BA78" s="11" t="str">
        <f t="shared" si="47"/>
        <v/>
      </c>
      <c r="BB78" s="10" t="str">
        <f t="shared" si="27"/>
        <v/>
      </c>
      <c r="BD78" s="10" t="str">
        <f t="shared" si="48"/>
        <v/>
      </c>
      <c r="BE78" s="10" t="str">
        <f t="shared" si="28"/>
        <v/>
      </c>
      <c r="BG78" s="11" t="str">
        <f t="shared" si="49"/>
        <v/>
      </c>
      <c r="BH78" s="10" t="str">
        <f t="shared" si="29"/>
        <v/>
      </c>
      <c r="BJ78" s="7" t="str">
        <f t="shared" si="30"/>
        <v/>
      </c>
      <c r="BK78" s="158" t="str">
        <f t="shared" si="31"/>
        <v/>
      </c>
      <c r="BL78" s="158" t="str">
        <f t="shared" si="32"/>
        <v/>
      </c>
      <c r="BM78" s="10"/>
      <c r="BN78" s="10" t="str">
        <f t="shared" si="33"/>
        <v/>
      </c>
      <c r="BO78" s="10" t="str">
        <f t="shared" si="34"/>
        <v/>
      </c>
      <c r="BQ78" s="10" t="str">
        <f t="shared" si="50"/>
        <v/>
      </c>
      <c r="BR78" s="10" t="str">
        <f t="shared" si="35"/>
        <v/>
      </c>
    </row>
    <row r="79" spans="2:70" x14ac:dyDescent="0.15">
      <c r="E79" s="84" t="s">
        <v>139</v>
      </c>
      <c r="F79" s="488">
        <f>Z116/$BR$116</f>
        <v>0.22826664397557642</v>
      </c>
      <c r="G79" s="84" t="s">
        <v>590</v>
      </c>
      <c r="I79" s="38">
        <f t="shared" si="36"/>
        <v>2094</v>
      </c>
      <c r="J79" s="39"/>
      <c r="K79" s="39">
        <f t="shared" si="37"/>
        <v>65</v>
      </c>
      <c r="L79" s="39"/>
      <c r="M79" s="40">
        <f t="shared" ref="M79:M114" si="53">1/(1+($F$9/100))^K79</f>
        <v>0.14641325444882999</v>
      </c>
      <c r="N79" s="39"/>
      <c r="O79" s="72" t="str">
        <f t="shared" si="16"/>
        <v/>
      </c>
      <c r="P79" s="41" t="str">
        <f t="shared" ref="P79:P110" si="54">IF(K79&lt;=$F$15,IF(OR(P78=$F$124,P78="-"),"-",IF(O79*$F$123&gt;$F$127,$F$123,$F$124)),"")</f>
        <v/>
      </c>
      <c r="Q79" s="39"/>
      <c r="R79" s="72" t="str">
        <f t="shared" si="51"/>
        <v/>
      </c>
      <c r="S79" s="39"/>
      <c r="T79" s="72" t="str">
        <f t="shared" si="18"/>
        <v/>
      </c>
      <c r="U79" s="39"/>
      <c r="V79" s="72" t="str">
        <f t="shared" ref="V79:V114" si="55">IF(K79&lt;=$F$15,IF(K79&lt;$F$119,IF(P79="-",V78,O79*P79),IF(K79=$F$119,MIN(IF(P79="-",V78,O79*P79),O79),0)),"")</f>
        <v/>
      </c>
      <c r="W79" s="72" t="str">
        <f t="shared" si="19"/>
        <v/>
      </c>
      <c r="X79" s="39"/>
      <c r="Y79" s="72" t="str">
        <f t="shared" ref="Y79:Y114" si="56">IF($K79&lt;=$F$15,ROUNDDOWN(T79*$F$25/100,-2),"")</f>
        <v/>
      </c>
      <c r="Z79" s="72" t="str">
        <f t="shared" si="20"/>
        <v/>
      </c>
      <c r="AA79" s="39"/>
      <c r="AB79" s="72" t="str">
        <f t="shared" ref="AB79:AB114" si="57">IF($K79&lt;=$F$15,0,IF(AND($K79&gt;$F$15,$K79&lt;=$F$15+$F$28),$F$27*10^8/$F$28,""))</f>
        <v/>
      </c>
      <c r="AC79" s="72" t="str">
        <f t="shared" si="21"/>
        <v/>
      </c>
      <c r="AD79" s="39"/>
      <c r="AE79" s="72" t="str">
        <f t="shared" ref="AE79:AE114" si="58">IF($K79&lt;=$F$15,$F$26,"")</f>
        <v/>
      </c>
      <c r="AF79" s="72" t="str">
        <f t="shared" si="22"/>
        <v/>
      </c>
      <c r="AG79" s="39"/>
      <c r="AH79" s="72" t="str">
        <f t="shared" ref="AH79:AH114" si="59">IF($K79&lt;=$F$15,$F$33*10^8,"")</f>
        <v/>
      </c>
      <c r="AI79" s="72" t="str">
        <f t="shared" si="23"/>
        <v/>
      </c>
      <c r="AJ79" s="39"/>
      <c r="AK79" s="72" t="str">
        <f t="shared" ref="AK79:AK114" si="60">IF($K79&lt;=$F$15,$F$34*10^8,"")</f>
        <v/>
      </c>
      <c r="AL79" s="72" t="str">
        <f t="shared" si="24"/>
        <v/>
      </c>
      <c r="AM79" s="39"/>
      <c r="AN79" s="72" t="str">
        <f t="shared" ref="AN79:AN114" si="61">IF($K79&lt;=$F$15,$F$117*$F$35/100,"")</f>
        <v/>
      </c>
      <c r="AO79" s="72" t="str">
        <f t="shared" si="25"/>
        <v/>
      </c>
      <c r="AP79" s="39"/>
      <c r="AQ79" s="72" t="str">
        <f t="shared" ref="AQ79:AQ114" si="62">IF($K79&lt;=$F$15,SUM(AH79,AK79,AN79)*($F$36/100),"")</f>
        <v/>
      </c>
      <c r="AR79" s="72" t="str">
        <f t="shared" si="26"/>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63">IF($K79&lt;=$F$15,($AT79+$F$142)*$F$137,"")</f>
        <v/>
      </c>
      <c r="AW79" s="72" t="str">
        <f t="shared" ref="AW79:AW114" si="64">IF(ISNUMBER(AV79),AV79*$M79,"")</f>
        <v/>
      </c>
      <c r="AX79" s="39"/>
      <c r="AY79" s="40" t="str">
        <f>IF(ISERROR(IF($K79&lt;=$F$15,VLOOKUP($I79,'表4）CO2価格'!$A$7:$E$67,VLOOKUP($F$48,'表4）CO2価格'!$H$10:$I$12,2,0),0)*$F$8/1000,"")),0,IF($K79&lt;=$F$15,VLOOKUP($I79,'表4）CO2価格'!$A$7:$E$67,VLOOKUP($F$48,'表4）CO2価格'!$H$10:$I$12,2,0),0)*$F$8/1000,""))</f>
        <v/>
      </c>
      <c r="AZ79" s="39"/>
      <c r="BA79" s="42" t="str">
        <f t="shared" ref="BA79:BA114" si="65">IF($K79&lt;=$F$15,$F$145*AY79,"")</f>
        <v/>
      </c>
      <c r="BB79" s="72" t="str">
        <f t="shared" si="27"/>
        <v/>
      </c>
      <c r="BC79" s="39"/>
      <c r="BD79" s="72" t="str">
        <f t="shared" ref="BD79:BD114" si="66">IF($K79&lt;=$F$15,($AT79+$F$152)*$F$151,"")</f>
        <v/>
      </c>
      <c r="BE79" s="72" t="str">
        <f t="shared" si="28"/>
        <v/>
      </c>
      <c r="BF79" s="39"/>
      <c r="BG79" s="42" t="str">
        <f t="shared" ref="BG79:BG114" si="67">IF($K79&lt;=$F$15,$F$153*AY79,"")</f>
        <v/>
      </c>
      <c r="BH79" s="72" t="str">
        <f t="shared" si="29"/>
        <v/>
      </c>
      <c r="BI79" s="39"/>
      <c r="BJ79" s="40" t="str">
        <f t="shared" si="30"/>
        <v/>
      </c>
      <c r="BK79" s="157" t="str">
        <f t="shared" si="31"/>
        <v/>
      </c>
      <c r="BL79" s="157" t="str">
        <f t="shared" si="32"/>
        <v/>
      </c>
      <c r="BM79" s="72"/>
      <c r="BN79" s="72" t="str">
        <f t="shared" si="33"/>
        <v/>
      </c>
      <c r="BO79" s="72" t="str">
        <f t="shared" si="34"/>
        <v/>
      </c>
      <c r="BP79" s="39"/>
      <c r="BQ79" s="72" t="str">
        <f t="shared" ref="BQ79:BQ114" si="68">IF($K79&lt;=$F$15,$F$134,"")</f>
        <v/>
      </c>
      <c r="BR79" s="72" t="str">
        <f t="shared" si="35"/>
        <v/>
      </c>
    </row>
    <row r="80" spans="2:70" x14ac:dyDescent="0.15">
      <c r="E80" s="84" t="s">
        <v>115</v>
      </c>
      <c r="F80" s="488">
        <f>AF116/$BR$116</f>
        <v>0</v>
      </c>
      <c r="G80" s="84" t="s">
        <v>590</v>
      </c>
      <c r="I80" s="457">
        <f t="shared" si="36"/>
        <v>2095</v>
      </c>
      <c r="K80" s="71">
        <f t="shared" si="37"/>
        <v>66</v>
      </c>
      <c r="M80" s="7">
        <f t="shared" si="53"/>
        <v>0.14214879072701941</v>
      </c>
      <c r="O80" s="10" t="str">
        <f t="shared" ref="O80:O114" si="69">IF(K80&lt;=$F$15,O79-V79,"")</f>
        <v/>
      </c>
      <c r="P80" s="29" t="str">
        <f t="shared" si="54"/>
        <v/>
      </c>
      <c r="R80" s="10" t="str">
        <f t="shared" ref="R80:R114" si="70">IF($K80&lt;=$F$15,MAX($F$117*5%,R79*$F$129),"")</f>
        <v/>
      </c>
      <c r="T80" s="10" t="str">
        <f t="shared" ref="T80:T114" si="71">IF(ISNUMBER(R80),ROUNDDOWN(R80,-3),"")</f>
        <v/>
      </c>
      <c r="V80" s="10" t="str">
        <f t="shared" si="55"/>
        <v/>
      </c>
      <c r="W80" s="10" t="str">
        <f t="shared" ref="W80:W114" si="72">IF(ISNUMBER(V80),V80*$M80,"")</f>
        <v/>
      </c>
      <c r="Y80" s="10" t="str">
        <f t="shared" si="56"/>
        <v/>
      </c>
      <c r="Z80" s="10" t="str">
        <f t="shared" ref="Z80:Z114" si="73">IF(ISNUMBER(Y80),Y80*$M80,"")</f>
        <v/>
      </c>
      <c r="AB80" s="10" t="str">
        <f t="shared" si="57"/>
        <v/>
      </c>
      <c r="AC80" s="10" t="str">
        <f t="shared" ref="AC80:AC114" si="74">IF(ISNUMBER(AB80),AB80*$M80,"")</f>
        <v/>
      </c>
      <c r="AE80" s="10" t="str">
        <f t="shared" si="58"/>
        <v/>
      </c>
      <c r="AF80" s="10" t="str">
        <f t="shared" ref="AF80:AF114" si="75">IF(ISNUMBER(AE80),AE80*$M80,"")</f>
        <v/>
      </c>
      <c r="AH80" s="10" t="str">
        <f t="shared" si="59"/>
        <v/>
      </c>
      <c r="AI80" s="10" t="str">
        <f t="shared" ref="AI80:AI114" si="76">IF(ISNUMBER(AH80),AH80*$M80,"")</f>
        <v/>
      </c>
      <c r="AK80" s="10" t="str">
        <f t="shared" si="60"/>
        <v/>
      </c>
      <c r="AL80" s="10" t="str">
        <f t="shared" ref="AL80:AL114" si="77">IF(ISNUMBER(AK80),AK80*$M80,"")</f>
        <v/>
      </c>
      <c r="AN80" s="10" t="str">
        <f t="shared" si="61"/>
        <v/>
      </c>
      <c r="AO80" s="10" t="str">
        <f t="shared" ref="AO80:AO114" si="78">IF(ISNUMBER(AN80),AN80*$M80,"")</f>
        <v/>
      </c>
      <c r="AQ80" s="10" t="str">
        <f t="shared" si="62"/>
        <v/>
      </c>
      <c r="AR80" s="10" t="str">
        <f t="shared" ref="AR80:AR114" si="79">IF(ISNUMBER(AQ80),AQ80*$M80,"")</f>
        <v/>
      </c>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V80" s="10" t="str">
        <f t="shared" si="63"/>
        <v/>
      </c>
      <c r="AW80" s="10" t="str">
        <f t="shared" si="64"/>
        <v/>
      </c>
      <c r="AY80" s="7" t="str">
        <f>IF(ISERROR(IF($K80&lt;=$F$15,VLOOKUP($I80,'表4）CO2価格'!$A$7:$E$67,VLOOKUP($F$48,'表4）CO2価格'!$H$10:$I$12,2,0),0)*$F$8/1000,"")),0,IF($K80&lt;=$F$15,VLOOKUP($I80,'表4）CO2価格'!$A$7:$E$67,VLOOKUP($F$48,'表4）CO2価格'!$H$10:$I$12,2,0),0)*$F$8/1000,""))</f>
        <v/>
      </c>
      <c r="BA80" s="11" t="str">
        <f t="shared" si="65"/>
        <v/>
      </c>
      <c r="BB80" s="10" t="str">
        <f t="shared" ref="BB80:BB114" si="80">IF(ISNUMBER(BA80),BA80*$M80,"")</f>
        <v/>
      </c>
      <c r="BD80" s="10" t="str">
        <f t="shared" si="66"/>
        <v/>
      </c>
      <c r="BE80" s="10" t="str">
        <f t="shared" ref="BE80:BE114" si="81">IF(ISNUMBER(BD80),BD80*$M80,"")</f>
        <v/>
      </c>
      <c r="BG80" s="11" t="str">
        <f t="shared" si="67"/>
        <v/>
      </c>
      <c r="BH80" s="10" t="str">
        <f t="shared" ref="BH80:BH114" si="82">IF(ISNUMBER(BG80),BG80*$M80,"")</f>
        <v/>
      </c>
      <c r="BJ80" s="7" t="str">
        <f t="shared" ref="BJ80:BJ114" si="83">IF(ISNUMBER($F$16),IF($K80&lt;=$F$16+$F$28,1/(1+($F$17/100))^K80,""),"")</f>
        <v/>
      </c>
      <c r="BK80" s="158" t="str">
        <f t="shared" ref="BK80:BK114" si="84">IF(ISNUMBER($F$16),IF($K80&lt;=$F$16+$F$28,IF($K80&lt;=$F$16,SUM(Y80,AB80,AE80,AH80,AK80,AN80,AQ80,BA80,BD80,BG80)+AV80/$F$14*87,$F$27/$F$28*10^8)*BJ80,""),"")</f>
        <v/>
      </c>
      <c r="BL80" s="158" t="str">
        <f t="shared" ref="BL80:BL114" si="85">IF(AND(ISNUMBER(BJ80),$K80&lt;=$F$16),BQ80/$F$14*87*BJ80,"")</f>
        <v/>
      </c>
      <c r="BM80" s="10"/>
      <c r="BN80" s="10" t="str">
        <f t="shared" ref="BN80:BN114" si="86">IF(AND(ISNUMBER($F$16),$K80&lt;=$F$16),BQ80*($O$15+$BK$116)/$BL$116,"")</f>
        <v/>
      </c>
      <c r="BO80" s="10" t="str">
        <f t="shared" ref="BO80:BO114" si="87">IF(ISNUMBER(BN80),BN80*$M80,"")</f>
        <v/>
      </c>
      <c r="BQ80" s="10" t="str">
        <f t="shared" si="68"/>
        <v/>
      </c>
      <c r="BR80" s="10" t="str">
        <f t="shared" ref="BR80:BR114" si="88">IF(ISNUMBER(BQ80),BQ80*$M80,"")</f>
        <v/>
      </c>
    </row>
    <row r="81" spans="4:70" x14ac:dyDescent="0.15">
      <c r="E81" s="160" t="s">
        <v>86</v>
      </c>
      <c r="F81" s="488">
        <f>AC116/$BR$116</f>
        <v>3.9997071789469527E-2</v>
      </c>
      <c r="G81" s="84" t="s">
        <v>590</v>
      </c>
      <c r="I81" s="38">
        <f t="shared" ref="I81:I114" si="89">I80+1</f>
        <v>2096</v>
      </c>
      <c r="J81" s="39"/>
      <c r="K81" s="39">
        <f t="shared" ref="K81:K114" si="90">IF(I81&lt;&gt;"",K80+1,"")</f>
        <v>67</v>
      </c>
      <c r="L81" s="39"/>
      <c r="M81" s="40">
        <f t="shared" si="53"/>
        <v>0.1380085346864266</v>
      </c>
      <c r="N81" s="39"/>
      <c r="O81" s="72" t="str">
        <f t="shared" si="69"/>
        <v/>
      </c>
      <c r="P81" s="41" t="str">
        <f t="shared" si="54"/>
        <v/>
      </c>
      <c r="Q81" s="39"/>
      <c r="R81" s="72" t="str">
        <f t="shared" si="70"/>
        <v/>
      </c>
      <c r="S81" s="39"/>
      <c r="T81" s="72" t="str">
        <f t="shared" si="71"/>
        <v/>
      </c>
      <c r="U81" s="39"/>
      <c r="V81" s="72" t="str">
        <f t="shared" si="55"/>
        <v/>
      </c>
      <c r="W81" s="72" t="str">
        <f t="shared" si="72"/>
        <v/>
      </c>
      <c r="X81" s="39"/>
      <c r="Y81" s="72" t="str">
        <f t="shared" si="56"/>
        <v/>
      </c>
      <c r="Z81" s="72" t="str">
        <f t="shared" si="73"/>
        <v/>
      </c>
      <c r="AA81" s="39"/>
      <c r="AB81" s="72" t="str">
        <f t="shared" si="57"/>
        <v/>
      </c>
      <c r="AC81" s="72" t="str">
        <f t="shared" si="74"/>
        <v/>
      </c>
      <c r="AD81" s="39"/>
      <c r="AE81" s="72" t="str">
        <f t="shared" si="58"/>
        <v/>
      </c>
      <c r="AF81" s="72" t="str">
        <f t="shared" si="75"/>
        <v/>
      </c>
      <c r="AG81" s="39"/>
      <c r="AH81" s="72" t="str">
        <f t="shared" si="59"/>
        <v/>
      </c>
      <c r="AI81" s="72" t="str">
        <f t="shared" si="76"/>
        <v/>
      </c>
      <c r="AJ81" s="39"/>
      <c r="AK81" s="72" t="str">
        <f t="shared" si="60"/>
        <v/>
      </c>
      <c r="AL81" s="72" t="str">
        <f t="shared" si="77"/>
        <v/>
      </c>
      <c r="AM81" s="39"/>
      <c r="AN81" s="72" t="str">
        <f t="shared" si="61"/>
        <v/>
      </c>
      <c r="AO81" s="72" t="str">
        <f t="shared" si="78"/>
        <v/>
      </c>
      <c r="AP81" s="39"/>
      <c r="AQ81" s="72" t="str">
        <f t="shared" si="62"/>
        <v/>
      </c>
      <c r="AR81" s="72" t="str">
        <f t="shared" si="79"/>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63"/>
        <v/>
      </c>
      <c r="AW81" s="72" t="str">
        <f t="shared" si="64"/>
        <v/>
      </c>
      <c r="AX81" s="39"/>
      <c r="AY81" s="40" t="str">
        <f>IF(ISERROR(IF($K81&lt;=$F$15,VLOOKUP($I81,'表4）CO2価格'!$A$7:$E$67,VLOOKUP($F$48,'表4）CO2価格'!$H$10:$I$12,2,0),0)*$F$8/1000,"")),0,IF($K81&lt;=$F$15,VLOOKUP($I81,'表4）CO2価格'!$A$7:$E$67,VLOOKUP($F$48,'表4）CO2価格'!$H$10:$I$12,2,0),0)*$F$8/1000,""))</f>
        <v/>
      </c>
      <c r="AZ81" s="39"/>
      <c r="BA81" s="42" t="str">
        <f t="shared" si="65"/>
        <v/>
      </c>
      <c r="BB81" s="72" t="str">
        <f t="shared" si="80"/>
        <v/>
      </c>
      <c r="BC81" s="39"/>
      <c r="BD81" s="72" t="str">
        <f t="shared" si="66"/>
        <v/>
      </c>
      <c r="BE81" s="72" t="str">
        <f t="shared" si="81"/>
        <v/>
      </c>
      <c r="BF81" s="39"/>
      <c r="BG81" s="42" t="str">
        <f t="shared" si="67"/>
        <v/>
      </c>
      <c r="BH81" s="72" t="str">
        <f t="shared" si="82"/>
        <v/>
      </c>
      <c r="BI81" s="39"/>
      <c r="BJ81" s="40" t="str">
        <f t="shared" si="83"/>
        <v/>
      </c>
      <c r="BK81" s="157" t="str">
        <f t="shared" si="84"/>
        <v/>
      </c>
      <c r="BL81" s="157" t="str">
        <f t="shared" si="85"/>
        <v/>
      </c>
      <c r="BM81" s="72"/>
      <c r="BN81" s="72" t="str">
        <f t="shared" si="86"/>
        <v/>
      </c>
      <c r="BO81" s="72" t="str">
        <f t="shared" si="87"/>
        <v/>
      </c>
      <c r="BP81" s="39"/>
      <c r="BQ81" s="72" t="str">
        <f t="shared" si="68"/>
        <v/>
      </c>
      <c r="BR81" s="72" t="str">
        <f t="shared" si="88"/>
        <v/>
      </c>
    </row>
    <row r="82" spans="4:70" x14ac:dyDescent="0.15">
      <c r="F82" s="487"/>
      <c r="I82" s="457">
        <f t="shared" si="89"/>
        <v>2097</v>
      </c>
      <c r="K82" s="71">
        <f t="shared" si="90"/>
        <v>68</v>
      </c>
      <c r="M82" s="7">
        <f t="shared" si="53"/>
        <v>0.13398886862759865</v>
      </c>
      <c r="O82" s="10" t="str">
        <f t="shared" si="69"/>
        <v/>
      </c>
      <c r="P82" s="29" t="str">
        <f t="shared" si="54"/>
        <v/>
      </c>
      <c r="R82" s="10" t="str">
        <f t="shared" si="70"/>
        <v/>
      </c>
      <c r="T82" s="10" t="str">
        <f t="shared" si="71"/>
        <v/>
      </c>
      <c r="V82" s="10" t="str">
        <f t="shared" si="55"/>
        <v/>
      </c>
      <c r="W82" s="10" t="str">
        <f t="shared" si="72"/>
        <v/>
      </c>
      <c r="Y82" s="10" t="str">
        <f t="shared" si="56"/>
        <v/>
      </c>
      <c r="Z82" s="10" t="str">
        <f t="shared" si="73"/>
        <v/>
      </c>
      <c r="AB82" s="10" t="str">
        <f t="shared" si="57"/>
        <v/>
      </c>
      <c r="AC82" s="10" t="str">
        <f t="shared" si="74"/>
        <v/>
      </c>
      <c r="AE82" s="10" t="str">
        <f t="shared" si="58"/>
        <v/>
      </c>
      <c r="AF82" s="10" t="str">
        <f t="shared" si="75"/>
        <v/>
      </c>
      <c r="AH82" s="10" t="str">
        <f t="shared" si="59"/>
        <v/>
      </c>
      <c r="AI82" s="10" t="str">
        <f t="shared" si="76"/>
        <v/>
      </c>
      <c r="AK82" s="10" t="str">
        <f t="shared" si="60"/>
        <v/>
      </c>
      <c r="AL82" s="10" t="str">
        <f t="shared" si="77"/>
        <v/>
      </c>
      <c r="AN82" s="10" t="str">
        <f t="shared" si="61"/>
        <v/>
      </c>
      <c r="AO82" s="10" t="str">
        <f t="shared" si="78"/>
        <v/>
      </c>
      <c r="AQ82" s="10" t="str">
        <f t="shared" si="62"/>
        <v/>
      </c>
      <c r="AR82" s="10" t="str">
        <f t="shared" si="79"/>
        <v/>
      </c>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V82" s="10" t="str">
        <f t="shared" si="63"/>
        <v/>
      </c>
      <c r="AW82" s="10" t="str">
        <f t="shared" si="64"/>
        <v/>
      </c>
      <c r="AY82" s="7" t="str">
        <f>IF(ISERROR(IF($K82&lt;=$F$15,VLOOKUP($I82,'表4）CO2価格'!$A$7:$E$67,VLOOKUP($F$48,'表4）CO2価格'!$H$10:$I$12,2,0),0)*$F$8/1000,"")),0,IF($K82&lt;=$F$15,VLOOKUP($I82,'表4）CO2価格'!$A$7:$E$67,VLOOKUP($F$48,'表4）CO2価格'!$H$10:$I$12,2,0),0)*$F$8/1000,""))</f>
        <v/>
      </c>
      <c r="BA82" s="11" t="str">
        <f t="shared" si="65"/>
        <v/>
      </c>
      <c r="BB82" s="10" t="str">
        <f t="shared" si="80"/>
        <v/>
      </c>
      <c r="BD82" s="10" t="str">
        <f t="shared" si="66"/>
        <v/>
      </c>
      <c r="BE82" s="10" t="str">
        <f t="shared" si="81"/>
        <v/>
      </c>
      <c r="BG82" s="11" t="str">
        <f t="shared" si="67"/>
        <v/>
      </c>
      <c r="BH82" s="10" t="str">
        <f t="shared" si="82"/>
        <v/>
      </c>
      <c r="BJ82" s="7" t="str">
        <f t="shared" si="83"/>
        <v/>
      </c>
      <c r="BK82" s="158" t="str">
        <f t="shared" si="84"/>
        <v/>
      </c>
      <c r="BL82" s="158" t="str">
        <f t="shared" si="85"/>
        <v/>
      </c>
      <c r="BM82" s="10"/>
      <c r="BN82" s="10" t="str">
        <f t="shared" si="86"/>
        <v/>
      </c>
      <c r="BO82" s="10" t="str">
        <f t="shared" si="87"/>
        <v/>
      </c>
      <c r="BQ82" s="10" t="str">
        <f t="shared" si="68"/>
        <v/>
      </c>
      <c r="BR82" s="10" t="str">
        <f t="shared" si="88"/>
        <v/>
      </c>
    </row>
    <row r="83" spans="4:70" ht="15" x14ac:dyDescent="0.15">
      <c r="D83" s="103" t="s">
        <v>593</v>
      </c>
      <c r="F83" s="484">
        <f>SUBTOTAL(9,F87:F90)</f>
        <v>4.2175585397125301</v>
      </c>
      <c r="G83" s="84" t="s">
        <v>590</v>
      </c>
      <c r="I83" s="38">
        <f>I82+1</f>
        <v>2098</v>
      </c>
      <c r="J83" s="39"/>
      <c r="K83" s="39">
        <f>IF(I83&lt;&gt;"",K82+1,"")</f>
        <v>69</v>
      </c>
      <c r="L83" s="39"/>
      <c r="M83" s="40">
        <f t="shared" si="53"/>
        <v>0.13008628022096957</v>
      </c>
      <c r="N83" s="39"/>
      <c r="O83" s="72" t="str">
        <f t="shared" si="69"/>
        <v/>
      </c>
      <c r="P83" s="41" t="str">
        <f t="shared" si="54"/>
        <v/>
      </c>
      <c r="Q83" s="39"/>
      <c r="R83" s="72" t="str">
        <f t="shared" si="70"/>
        <v/>
      </c>
      <c r="S83" s="39"/>
      <c r="T83" s="72" t="str">
        <f t="shared" si="71"/>
        <v/>
      </c>
      <c r="U83" s="39"/>
      <c r="V83" s="72" t="str">
        <f t="shared" si="55"/>
        <v/>
      </c>
      <c r="W83" s="72" t="str">
        <f t="shared" si="72"/>
        <v/>
      </c>
      <c r="X83" s="39"/>
      <c r="Y83" s="72" t="str">
        <f t="shared" si="56"/>
        <v/>
      </c>
      <c r="Z83" s="72" t="str">
        <f t="shared" si="73"/>
        <v/>
      </c>
      <c r="AA83" s="39"/>
      <c r="AB83" s="72" t="str">
        <f t="shared" si="57"/>
        <v/>
      </c>
      <c r="AC83" s="72" t="str">
        <f t="shared" si="74"/>
        <v/>
      </c>
      <c r="AD83" s="39"/>
      <c r="AE83" s="72" t="str">
        <f t="shared" si="58"/>
        <v/>
      </c>
      <c r="AF83" s="72" t="str">
        <f t="shared" si="75"/>
        <v/>
      </c>
      <c r="AG83" s="39"/>
      <c r="AH83" s="72" t="str">
        <f t="shared" si="59"/>
        <v/>
      </c>
      <c r="AI83" s="72" t="str">
        <f t="shared" si="76"/>
        <v/>
      </c>
      <c r="AJ83" s="39"/>
      <c r="AK83" s="72" t="str">
        <f t="shared" si="60"/>
        <v/>
      </c>
      <c r="AL83" s="72" t="str">
        <f t="shared" si="77"/>
        <v/>
      </c>
      <c r="AM83" s="39"/>
      <c r="AN83" s="72" t="str">
        <f t="shared" si="61"/>
        <v/>
      </c>
      <c r="AO83" s="72" t="str">
        <f t="shared" si="78"/>
        <v/>
      </c>
      <c r="AP83" s="39"/>
      <c r="AQ83" s="72" t="str">
        <f t="shared" si="62"/>
        <v/>
      </c>
      <c r="AR83" s="72" t="str">
        <f t="shared" si="79"/>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63"/>
        <v/>
      </c>
      <c r="AW83" s="72" t="str">
        <f t="shared" si="64"/>
        <v/>
      </c>
      <c r="AX83" s="39"/>
      <c r="AY83" s="40" t="str">
        <f>IF(ISERROR(IF($K83&lt;=$F$15,VLOOKUP($I83,'表4）CO2価格'!$A$7:$E$67,VLOOKUP($F$48,'表4）CO2価格'!$H$10:$I$12,2,0),0)*$F$8/1000,"")),0,IF($K83&lt;=$F$15,VLOOKUP($I83,'表4）CO2価格'!$A$7:$E$67,VLOOKUP($F$48,'表4）CO2価格'!$H$10:$I$12,2,0),0)*$F$8/1000,""))</f>
        <v/>
      </c>
      <c r="AZ83" s="39"/>
      <c r="BA83" s="42" t="str">
        <f t="shared" si="65"/>
        <v/>
      </c>
      <c r="BB83" s="72" t="str">
        <f t="shared" si="80"/>
        <v/>
      </c>
      <c r="BC83" s="39"/>
      <c r="BD83" s="72" t="str">
        <f t="shared" si="66"/>
        <v/>
      </c>
      <c r="BE83" s="72" t="str">
        <f t="shared" si="81"/>
        <v/>
      </c>
      <c r="BF83" s="39"/>
      <c r="BG83" s="42" t="str">
        <f t="shared" si="67"/>
        <v/>
      </c>
      <c r="BH83" s="72" t="str">
        <f t="shared" si="82"/>
        <v/>
      </c>
      <c r="BI83" s="39"/>
      <c r="BJ83" s="40" t="str">
        <f t="shared" si="83"/>
        <v/>
      </c>
      <c r="BK83" s="157" t="str">
        <f t="shared" si="84"/>
        <v/>
      </c>
      <c r="BL83" s="157" t="str">
        <f t="shared" si="85"/>
        <v/>
      </c>
      <c r="BM83" s="72"/>
      <c r="BN83" s="72" t="str">
        <f t="shared" si="86"/>
        <v/>
      </c>
      <c r="BO83" s="72" t="str">
        <f t="shared" si="87"/>
        <v/>
      </c>
      <c r="BP83" s="39"/>
      <c r="BQ83" s="72" t="str">
        <f t="shared" si="68"/>
        <v/>
      </c>
      <c r="BR83" s="72" t="str">
        <f t="shared" si="88"/>
        <v/>
      </c>
    </row>
    <row r="84" spans="4:70" x14ac:dyDescent="0.15">
      <c r="F84" s="487"/>
      <c r="I84" s="457">
        <f t="shared" si="89"/>
        <v>2099</v>
      </c>
      <c r="K84" s="71">
        <f t="shared" si="90"/>
        <v>70</v>
      </c>
      <c r="M84" s="7">
        <f t="shared" si="53"/>
        <v>0.12629735943783454</v>
      </c>
      <c r="O84" s="10" t="str">
        <f t="shared" si="69"/>
        <v/>
      </c>
      <c r="P84" s="29" t="str">
        <f t="shared" si="54"/>
        <v/>
      </c>
      <c r="R84" s="10" t="str">
        <f t="shared" si="70"/>
        <v/>
      </c>
      <c r="T84" s="10" t="str">
        <f t="shared" si="71"/>
        <v/>
      </c>
      <c r="V84" s="10" t="str">
        <f t="shared" si="55"/>
        <v/>
      </c>
      <c r="W84" s="10" t="str">
        <f t="shared" si="72"/>
        <v/>
      </c>
      <c r="Y84" s="10" t="str">
        <f t="shared" si="56"/>
        <v/>
      </c>
      <c r="Z84" s="10" t="str">
        <f t="shared" si="73"/>
        <v/>
      </c>
      <c r="AB84" s="10" t="str">
        <f t="shared" si="57"/>
        <v/>
      </c>
      <c r="AC84" s="10" t="str">
        <f t="shared" si="74"/>
        <v/>
      </c>
      <c r="AE84" s="10" t="str">
        <f t="shared" si="58"/>
        <v/>
      </c>
      <c r="AF84" s="10" t="str">
        <f t="shared" si="75"/>
        <v/>
      </c>
      <c r="AH84" s="10" t="str">
        <f t="shared" si="59"/>
        <v/>
      </c>
      <c r="AI84" s="10" t="str">
        <f t="shared" si="76"/>
        <v/>
      </c>
      <c r="AK84" s="10" t="str">
        <f t="shared" si="60"/>
        <v/>
      </c>
      <c r="AL84" s="10" t="str">
        <f t="shared" si="77"/>
        <v/>
      </c>
      <c r="AN84" s="10" t="str">
        <f t="shared" si="61"/>
        <v/>
      </c>
      <c r="AO84" s="10" t="str">
        <f t="shared" si="78"/>
        <v/>
      </c>
      <c r="AQ84" s="10" t="str">
        <f t="shared" si="62"/>
        <v/>
      </c>
      <c r="AR84" s="10" t="str">
        <f t="shared" si="79"/>
        <v/>
      </c>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V84" s="10" t="str">
        <f t="shared" si="63"/>
        <v/>
      </c>
      <c r="AW84" s="10" t="str">
        <f t="shared" si="64"/>
        <v/>
      </c>
      <c r="AY84" s="7" t="str">
        <f>IF(ISERROR(IF($K84&lt;=$F$15,VLOOKUP($I84,'表4）CO2価格'!$A$7:$E$67,VLOOKUP($F$48,'表4）CO2価格'!$H$10:$I$12,2,0),0)*$F$8/1000,"")),0,IF($K84&lt;=$F$15,VLOOKUP($I84,'表4）CO2価格'!$A$7:$E$67,VLOOKUP($F$48,'表4）CO2価格'!$H$10:$I$12,2,0),0)*$F$8/1000,""))</f>
        <v/>
      </c>
      <c r="BA84" s="11" t="str">
        <f t="shared" si="65"/>
        <v/>
      </c>
      <c r="BB84" s="10" t="str">
        <f t="shared" si="80"/>
        <v/>
      </c>
      <c r="BD84" s="10" t="str">
        <f t="shared" si="66"/>
        <v/>
      </c>
      <c r="BE84" s="10" t="str">
        <f t="shared" si="81"/>
        <v/>
      </c>
      <c r="BG84" s="11" t="str">
        <f t="shared" si="67"/>
        <v/>
      </c>
      <c r="BH84" s="10" t="str">
        <f t="shared" si="82"/>
        <v/>
      </c>
      <c r="BJ84" s="7" t="str">
        <f t="shared" si="83"/>
        <v/>
      </c>
      <c r="BK84" s="158" t="str">
        <f t="shared" si="84"/>
        <v/>
      </c>
      <c r="BL84" s="158" t="str">
        <f t="shared" si="85"/>
        <v/>
      </c>
      <c r="BM84" s="10"/>
      <c r="BN84" s="10" t="str">
        <f t="shared" si="86"/>
        <v/>
      </c>
      <c r="BO84" s="10" t="str">
        <f t="shared" si="87"/>
        <v/>
      </c>
      <c r="BQ84" s="10" t="str">
        <f t="shared" si="68"/>
        <v/>
      </c>
      <c r="BR84" s="10" t="str">
        <f t="shared" si="88"/>
        <v/>
      </c>
    </row>
    <row r="85" spans="4:70" x14ac:dyDescent="0.15">
      <c r="D85" s="100" t="s">
        <v>594</v>
      </c>
      <c r="E85" s="489"/>
      <c r="F85" s="486"/>
      <c r="G85" s="100"/>
      <c r="I85" s="38">
        <f t="shared" si="89"/>
        <v>2100</v>
      </c>
      <c r="J85" s="39"/>
      <c r="K85" s="39">
        <f t="shared" si="90"/>
        <v>71</v>
      </c>
      <c r="L85" s="39"/>
      <c r="M85" s="40">
        <f t="shared" si="53"/>
        <v>0.12261879557071313</v>
      </c>
      <c r="N85" s="39"/>
      <c r="O85" s="72" t="str">
        <f t="shared" si="69"/>
        <v/>
      </c>
      <c r="P85" s="41" t="str">
        <f t="shared" si="54"/>
        <v/>
      </c>
      <c r="Q85" s="39"/>
      <c r="R85" s="72" t="str">
        <f t="shared" si="70"/>
        <v/>
      </c>
      <c r="S85" s="39"/>
      <c r="T85" s="72" t="str">
        <f t="shared" si="71"/>
        <v/>
      </c>
      <c r="U85" s="39"/>
      <c r="V85" s="72" t="str">
        <f t="shared" si="55"/>
        <v/>
      </c>
      <c r="W85" s="72" t="str">
        <f t="shared" si="72"/>
        <v/>
      </c>
      <c r="X85" s="39"/>
      <c r="Y85" s="72" t="str">
        <f t="shared" si="56"/>
        <v/>
      </c>
      <c r="Z85" s="72" t="str">
        <f t="shared" si="73"/>
        <v/>
      </c>
      <c r="AA85" s="39"/>
      <c r="AB85" s="72" t="str">
        <f t="shared" si="57"/>
        <v/>
      </c>
      <c r="AC85" s="72" t="str">
        <f t="shared" si="74"/>
        <v/>
      </c>
      <c r="AD85" s="39"/>
      <c r="AE85" s="72" t="str">
        <f t="shared" si="58"/>
        <v/>
      </c>
      <c r="AF85" s="72" t="str">
        <f t="shared" si="75"/>
        <v/>
      </c>
      <c r="AG85" s="39"/>
      <c r="AH85" s="72" t="str">
        <f t="shared" si="59"/>
        <v/>
      </c>
      <c r="AI85" s="72" t="str">
        <f t="shared" si="76"/>
        <v/>
      </c>
      <c r="AJ85" s="39"/>
      <c r="AK85" s="72" t="str">
        <f t="shared" si="60"/>
        <v/>
      </c>
      <c r="AL85" s="72" t="str">
        <f t="shared" si="77"/>
        <v/>
      </c>
      <c r="AM85" s="39"/>
      <c r="AN85" s="72" t="str">
        <f t="shared" si="61"/>
        <v/>
      </c>
      <c r="AO85" s="72" t="str">
        <f t="shared" si="78"/>
        <v/>
      </c>
      <c r="AP85" s="39"/>
      <c r="AQ85" s="72" t="str">
        <f t="shared" si="62"/>
        <v/>
      </c>
      <c r="AR85" s="72" t="str">
        <f t="shared" si="79"/>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63"/>
        <v/>
      </c>
      <c r="AW85" s="72" t="str">
        <f t="shared" si="64"/>
        <v/>
      </c>
      <c r="AX85" s="39"/>
      <c r="AY85" s="40" t="str">
        <f>IF(ISERROR(IF($K85&lt;=$F$15,VLOOKUP($I85,'表4）CO2価格'!$A$7:$E$67,VLOOKUP($F$48,'表4）CO2価格'!$H$10:$I$12,2,0),0)*$F$8/1000,"")),0,IF($K85&lt;=$F$15,VLOOKUP($I85,'表4）CO2価格'!$A$7:$E$67,VLOOKUP($F$48,'表4）CO2価格'!$H$10:$I$12,2,0),0)*$F$8/1000,""))</f>
        <v/>
      </c>
      <c r="AZ85" s="39"/>
      <c r="BA85" s="42" t="str">
        <f t="shared" si="65"/>
        <v/>
      </c>
      <c r="BB85" s="72" t="str">
        <f t="shared" si="80"/>
        <v/>
      </c>
      <c r="BC85" s="39"/>
      <c r="BD85" s="72" t="str">
        <f t="shared" si="66"/>
        <v/>
      </c>
      <c r="BE85" s="72" t="str">
        <f t="shared" si="81"/>
        <v/>
      </c>
      <c r="BF85" s="39"/>
      <c r="BG85" s="42" t="str">
        <f t="shared" si="67"/>
        <v/>
      </c>
      <c r="BH85" s="72" t="str">
        <f t="shared" si="82"/>
        <v/>
      </c>
      <c r="BI85" s="39"/>
      <c r="BJ85" s="40" t="str">
        <f t="shared" si="83"/>
        <v/>
      </c>
      <c r="BK85" s="157" t="str">
        <f t="shared" si="84"/>
        <v/>
      </c>
      <c r="BL85" s="157" t="str">
        <f t="shared" si="85"/>
        <v/>
      </c>
      <c r="BM85" s="72"/>
      <c r="BN85" s="72" t="str">
        <f t="shared" si="86"/>
        <v/>
      </c>
      <c r="BO85" s="72" t="str">
        <f t="shared" si="87"/>
        <v/>
      </c>
      <c r="BP85" s="39"/>
      <c r="BQ85" s="72" t="str">
        <f t="shared" si="68"/>
        <v/>
      </c>
      <c r="BR85" s="72" t="str">
        <f t="shared" si="88"/>
        <v/>
      </c>
    </row>
    <row r="86" spans="4:70" x14ac:dyDescent="0.15">
      <c r="F86" s="487"/>
      <c r="I86" s="457">
        <f t="shared" si="89"/>
        <v>2101</v>
      </c>
      <c r="K86" s="71">
        <f t="shared" si="90"/>
        <v>72</v>
      </c>
      <c r="M86" s="7">
        <f t="shared" si="53"/>
        <v>0.1190473743404982</v>
      </c>
      <c r="O86" s="10" t="str">
        <f t="shared" si="69"/>
        <v/>
      </c>
      <c r="P86" s="29" t="str">
        <f t="shared" si="54"/>
        <v/>
      </c>
      <c r="R86" s="10" t="str">
        <f t="shared" si="70"/>
        <v/>
      </c>
      <c r="T86" s="10" t="str">
        <f t="shared" si="71"/>
        <v/>
      </c>
      <c r="V86" s="10" t="str">
        <f t="shared" si="55"/>
        <v/>
      </c>
      <c r="W86" s="10" t="str">
        <f t="shared" si="72"/>
        <v/>
      </c>
      <c r="Y86" s="10" t="str">
        <f t="shared" si="56"/>
        <v/>
      </c>
      <c r="Z86" s="10" t="str">
        <f t="shared" si="73"/>
        <v/>
      </c>
      <c r="AB86" s="10" t="str">
        <f t="shared" si="57"/>
        <v/>
      </c>
      <c r="AC86" s="10" t="str">
        <f t="shared" si="74"/>
        <v/>
      </c>
      <c r="AE86" s="10" t="str">
        <f t="shared" si="58"/>
        <v/>
      </c>
      <c r="AF86" s="10" t="str">
        <f t="shared" si="75"/>
        <v/>
      </c>
      <c r="AH86" s="10" t="str">
        <f t="shared" si="59"/>
        <v/>
      </c>
      <c r="AI86" s="10" t="str">
        <f t="shared" si="76"/>
        <v/>
      </c>
      <c r="AK86" s="10" t="str">
        <f t="shared" si="60"/>
        <v/>
      </c>
      <c r="AL86" s="10" t="str">
        <f t="shared" si="77"/>
        <v/>
      </c>
      <c r="AN86" s="10" t="str">
        <f t="shared" si="61"/>
        <v/>
      </c>
      <c r="AO86" s="10" t="str">
        <f t="shared" si="78"/>
        <v/>
      </c>
      <c r="AQ86" s="10" t="str">
        <f t="shared" si="62"/>
        <v/>
      </c>
      <c r="AR86" s="10" t="str">
        <f t="shared" si="79"/>
        <v/>
      </c>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V86" s="10" t="str">
        <f t="shared" si="63"/>
        <v/>
      </c>
      <c r="AW86" s="10" t="str">
        <f t="shared" si="64"/>
        <v/>
      </c>
      <c r="AY86" s="7" t="str">
        <f>IF(ISERROR(IF($K86&lt;=$F$15,VLOOKUP($I86,'表4）CO2価格'!$A$7:$E$67,VLOOKUP($F$48,'表4）CO2価格'!$H$10:$I$12,2,0),0)*$F$8/1000,"")),0,IF($K86&lt;=$F$15,VLOOKUP($I86,'表4）CO2価格'!$A$7:$E$67,VLOOKUP($F$48,'表4）CO2価格'!$H$10:$I$12,2,0),0)*$F$8/1000,""))</f>
        <v/>
      </c>
      <c r="BA86" s="11" t="str">
        <f t="shared" si="65"/>
        <v/>
      </c>
      <c r="BB86" s="10" t="str">
        <f t="shared" si="80"/>
        <v/>
      </c>
      <c r="BD86" s="10" t="str">
        <f t="shared" si="66"/>
        <v/>
      </c>
      <c r="BE86" s="10" t="str">
        <f t="shared" si="81"/>
        <v/>
      </c>
      <c r="BG86" s="11" t="str">
        <f t="shared" si="67"/>
        <v/>
      </c>
      <c r="BH86" s="10" t="str">
        <f t="shared" si="82"/>
        <v/>
      </c>
      <c r="BJ86" s="7" t="str">
        <f t="shared" si="83"/>
        <v/>
      </c>
      <c r="BK86" s="158" t="str">
        <f t="shared" si="84"/>
        <v/>
      </c>
      <c r="BL86" s="158" t="str">
        <f t="shared" si="85"/>
        <v/>
      </c>
      <c r="BM86" s="10"/>
      <c r="BN86" s="10" t="str">
        <f t="shared" si="86"/>
        <v/>
      </c>
      <c r="BO86" s="10" t="str">
        <f t="shared" si="87"/>
        <v/>
      </c>
      <c r="BQ86" s="10" t="str">
        <f t="shared" si="68"/>
        <v/>
      </c>
      <c r="BR86" s="10" t="str">
        <f t="shared" si="88"/>
        <v/>
      </c>
    </row>
    <row r="87" spans="4:70" x14ac:dyDescent="0.15">
      <c r="E87" s="160" t="s">
        <v>251</v>
      </c>
      <c r="F87" s="488">
        <f>AI116/$BR$116</f>
        <v>4.2175585397125301</v>
      </c>
      <c r="G87" s="84" t="s">
        <v>590</v>
      </c>
      <c r="I87" s="38">
        <f t="shared" si="89"/>
        <v>2102</v>
      </c>
      <c r="J87" s="39"/>
      <c r="K87" s="39">
        <f t="shared" si="90"/>
        <v>73</v>
      </c>
      <c r="L87" s="39"/>
      <c r="M87" s="40">
        <f t="shared" si="53"/>
        <v>0.11557997508786232</v>
      </c>
      <c r="N87" s="39"/>
      <c r="O87" s="72" t="str">
        <f t="shared" si="69"/>
        <v/>
      </c>
      <c r="P87" s="41" t="str">
        <f t="shared" si="54"/>
        <v/>
      </c>
      <c r="Q87" s="39"/>
      <c r="R87" s="72" t="str">
        <f t="shared" si="70"/>
        <v/>
      </c>
      <c r="S87" s="39"/>
      <c r="T87" s="72" t="str">
        <f t="shared" si="71"/>
        <v/>
      </c>
      <c r="U87" s="39"/>
      <c r="V87" s="72" t="str">
        <f t="shared" si="55"/>
        <v/>
      </c>
      <c r="W87" s="72" t="str">
        <f t="shared" si="72"/>
        <v/>
      </c>
      <c r="X87" s="39"/>
      <c r="Y87" s="72" t="str">
        <f t="shared" si="56"/>
        <v/>
      </c>
      <c r="Z87" s="72" t="str">
        <f t="shared" si="73"/>
        <v/>
      </c>
      <c r="AA87" s="39"/>
      <c r="AB87" s="72" t="str">
        <f t="shared" si="57"/>
        <v/>
      </c>
      <c r="AC87" s="72" t="str">
        <f t="shared" si="74"/>
        <v/>
      </c>
      <c r="AD87" s="39"/>
      <c r="AE87" s="72" t="str">
        <f t="shared" si="58"/>
        <v/>
      </c>
      <c r="AF87" s="72" t="str">
        <f t="shared" si="75"/>
        <v/>
      </c>
      <c r="AG87" s="39"/>
      <c r="AH87" s="72" t="str">
        <f t="shared" si="59"/>
        <v/>
      </c>
      <c r="AI87" s="72" t="str">
        <f t="shared" si="76"/>
        <v/>
      </c>
      <c r="AJ87" s="39"/>
      <c r="AK87" s="72" t="str">
        <f t="shared" si="60"/>
        <v/>
      </c>
      <c r="AL87" s="72" t="str">
        <f t="shared" si="77"/>
        <v/>
      </c>
      <c r="AM87" s="39"/>
      <c r="AN87" s="72" t="str">
        <f t="shared" si="61"/>
        <v/>
      </c>
      <c r="AO87" s="72" t="str">
        <f t="shared" si="78"/>
        <v/>
      </c>
      <c r="AP87" s="39"/>
      <c r="AQ87" s="72" t="str">
        <f t="shared" si="62"/>
        <v/>
      </c>
      <c r="AR87" s="72" t="str">
        <f t="shared" si="79"/>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63"/>
        <v/>
      </c>
      <c r="AW87" s="72" t="str">
        <f t="shared" si="64"/>
        <v/>
      </c>
      <c r="AX87" s="39"/>
      <c r="AY87" s="40" t="str">
        <f>IF(ISERROR(IF($K87&lt;=$F$15,VLOOKUP($I87,'表4）CO2価格'!$A$7:$E$67,VLOOKUP($F$48,'表4）CO2価格'!$H$10:$I$12,2,0),0)*$F$8/1000,"")),0,IF($K87&lt;=$F$15,VLOOKUP($I87,'表4）CO2価格'!$A$7:$E$67,VLOOKUP($F$48,'表4）CO2価格'!$H$10:$I$12,2,0),0)*$F$8/1000,""))</f>
        <v/>
      </c>
      <c r="AZ87" s="39"/>
      <c r="BA87" s="42" t="str">
        <f t="shared" si="65"/>
        <v/>
      </c>
      <c r="BB87" s="72" t="str">
        <f t="shared" si="80"/>
        <v/>
      </c>
      <c r="BC87" s="39"/>
      <c r="BD87" s="72" t="str">
        <f t="shared" si="66"/>
        <v/>
      </c>
      <c r="BE87" s="72" t="str">
        <f t="shared" si="81"/>
        <v/>
      </c>
      <c r="BF87" s="39"/>
      <c r="BG87" s="42" t="str">
        <f t="shared" si="67"/>
        <v/>
      </c>
      <c r="BH87" s="72" t="str">
        <f t="shared" si="82"/>
        <v/>
      </c>
      <c r="BI87" s="39"/>
      <c r="BJ87" s="40" t="str">
        <f t="shared" si="83"/>
        <v/>
      </c>
      <c r="BK87" s="157" t="str">
        <f t="shared" si="84"/>
        <v/>
      </c>
      <c r="BL87" s="157" t="str">
        <f t="shared" si="85"/>
        <v/>
      </c>
      <c r="BM87" s="72"/>
      <c r="BN87" s="72" t="str">
        <f t="shared" si="86"/>
        <v/>
      </c>
      <c r="BO87" s="72" t="str">
        <f t="shared" si="87"/>
        <v/>
      </c>
      <c r="BP87" s="39"/>
      <c r="BQ87" s="72" t="str">
        <f t="shared" si="68"/>
        <v/>
      </c>
      <c r="BR87" s="72" t="str">
        <f t="shared" si="88"/>
        <v/>
      </c>
    </row>
    <row r="88" spans="4:70" x14ac:dyDescent="0.15">
      <c r="F88" s="503"/>
      <c r="I88" s="457">
        <f t="shared" si="89"/>
        <v>2103</v>
      </c>
      <c r="K88" s="71">
        <f t="shared" si="90"/>
        <v>74</v>
      </c>
      <c r="M88" s="7">
        <f t="shared" si="53"/>
        <v>0.11221356804646829</v>
      </c>
      <c r="O88" s="10" t="str">
        <f t="shared" si="69"/>
        <v/>
      </c>
      <c r="P88" s="29" t="str">
        <f t="shared" si="54"/>
        <v/>
      </c>
      <c r="R88" s="10" t="str">
        <f t="shared" si="70"/>
        <v/>
      </c>
      <c r="T88" s="10" t="str">
        <f t="shared" si="71"/>
        <v/>
      </c>
      <c r="V88" s="10" t="str">
        <f t="shared" si="55"/>
        <v/>
      </c>
      <c r="W88" s="10" t="str">
        <f t="shared" si="72"/>
        <v/>
      </c>
      <c r="Y88" s="10" t="str">
        <f t="shared" si="56"/>
        <v/>
      </c>
      <c r="Z88" s="10" t="str">
        <f t="shared" si="73"/>
        <v/>
      </c>
      <c r="AB88" s="10" t="str">
        <f t="shared" si="57"/>
        <v/>
      </c>
      <c r="AC88" s="10" t="str">
        <f t="shared" si="74"/>
        <v/>
      </c>
      <c r="AE88" s="10" t="str">
        <f t="shared" si="58"/>
        <v/>
      </c>
      <c r="AF88" s="10" t="str">
        <f t="shared" si="75"/>
        <v/>
      </c>
      <c r="AH88" s="10" t="str">
        <f t="shared" si="59"/>
        <v/>
      </c>
      <c r="AI88" s="10" t="str">
        <f t="shared" si="76"/>
        <v/>
      </c>
      <c r="AK88" s="10" t="str">
        <f t="shared" si="60"/>
        <v/>
      </c>
      <c r="AL88" s="10" t="str">
        <f t="shared" si="77"/>
        <v/>
      </c>
      <c r="AN88" s="10" t="str">
        <f t="shared" si="61"/>
        <v/>
      </c>
      <c r="AO88" s="10" t="str">
        <f t="shared" si="78"/>
        <v/>
      </c>
      <c r="AQ88" s="10" t="str">
        <f t="shared" si="62"/>
        <v/>
      </c>
      <c r="AR88" s="10" t="str">
        <f t="shared" si="79"/>
        <v/>
      </c>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V88" s="10" t="str">
        <f t="shared" si="63"/>
        <v/>
      </c>
      <c r="AW88" s="10" t="str">
        <f t="shared" si="64"/>
        <v/>
      </c>
      <c r="AY88" s="7" t="str">
        <f>IF(ISERROR(IF($K88&lt;=$F$15,VLOOKUP($I88,'表4）CO2価格'!$A$7:$E$67,VLOOKUP($F$48,'表4）CO2価格'!$H$10:$I$12,2,0),0)*$F$8/1000,"")),0,IF($K88&lt;=$F$15,VLOOKUP($I88,'表4）CO2価格'!$A$7:$E$67,VLOOKUP($F$48,'表4）CO2価格'!$H$10:$I$12,2,0),0)*$F$8/1000,""))</f>
        <v/>
      </c>
      <c r="BA88" s="11" t="str">
        <f t="shared" si="65"/>
        <v/>
      </c>
      <c r="BB88" s="10" t="str">
        <f t="shared" si="80"/>
        <v/>
      </c>
      <c r="BD88" s="10" t="str">
        <f t="shared" si="66"/>
        <v/>
      </c>
      <c r="BE88" s="10" t="str">
        <f t="shared" si="81"/>
        <v/>
      </c>
      <c r="BG88" s="11" t="str">
        <f t="shared" si="67"/>
        <v/>
      </c>
      <c r="BH88" s="10" t="str">
        <f t="shared" si="82"/>
        <v/>
      </c>
      <c r="BJ88" s="7" t="str">
        <f t="shared" si="83"/>
        <v/>
      </c>
      <c r="BK88" s="158" t="str">
        <f t="shared" si="84"/>
        <v/>
      </c>
      <c r="BL88" s="158" t="str">
        <f t="shared" si="85"/>
        <v/>
      </c>
      <c r="BM88" s="10"/>
      <c r="BN88" s="10" t="str">
        <f t="shared" si="86"/>
        <v/>
      </c>
      <c r="BO88" s="10" t="str">
        <f t="shared" si="87"/>
        <v/>
      </c>
      <c r="BQ88" s="10" t="str">
        <f t="shared" si="68"/>
        <v/>
      </c>
      <c r="BR88" s="10" t="str">
        <f t="shared" si="88"/>
        <v/>
      </c>
    </row>
    <row r="89" spans="4:70" x14ac:dyDescent="0.15">
      <c r="F89" s="503"/>
      <c r="I89" s="38">
        <f t="shared" si="89"/>
        <v>2104</v>
      </c>
      <c r="J89" s="39"/>
      <c r="K89" s="39">
        <f t="shared" si="90"/>
        <v>75</v>
      </c>
      <c r="L89" s="39"/>
      <c r="M89" s="40">
        <f t="shared" si="53"/>
        <v>0.10894521169560026</v>
      </c>
      <c r="N89" s="39"/>
      <c r="O89" s="72" t="str">
        <f t="shared" si="69"/>
        <v/>
      </c>
      <c r="P89" s="41" t="str">
        <f t="shared" si="54"/>
        <v/>
      </c>
      <c r="Q89" s="39"/>
      <c r="R89" s="72" t="str">
        <f t="shared" si="70"/>
        <v/>
      </c>
      <c r="S89" s="39"/>
      <c r="T89" s="72" t="str">
        <f t="shared" si="71"/>
        <v/>
      </c>
      <c r="U89" s="39"/>
      <c r="V89" s="72" t="str">
        <f t="shared" si="55"/>
        <v/>
      </c>
      <c r="W89" s="72" t="str">
        <f t="shared" si="72"/>
        <v/>
      </c>
      <c r="X89" s="39"/>
      <c r="Y89" s="72" t="str">
        <f t="shared" si="56"/>
        <v/>
      </c>
      <c r="Z89" s="72" t="str">
        <f t="shared" si="73"/>
        <v/>
      </c>
      <c r="AA89" s="39"/>
      <c r="AB89" s="72" t="str">
        <f t="shared" si="57"/>
        <v/>
      </c>
      <c r="AC89" s="72" t="str">
        <f t="shared" si="74"/>
        <v/>
      </c>
      <c r="AD89" s="39"/>
      <c r="AE89" s="72" t="str">
        <f t="shared" si="58"/>
        <v/>
      </c>
      <c r="AF89" s="72" t="str">
        <f t="shared" si="75"/>
        <v/>
      </c>
      <c r="AG89" s="39"/>
      <c r="AH89" s="72" t="str">
        <f t="shared" si="59"/>
        <v/>
      </c>
      <c r="AI89" s="72" t="str">
        <f t="shared" si="76"/>
        <v/>
      </c>
      <c r="AJ89" s="39"/>
      <c r="AK89" s="72" t="str">
        <f t="shared" si="60"/>
        <v/>
      </c>
      <c r="AL89" s="72" t="str">
        <f t="shared" si="77"/>
        <v/>
      </c>
      <c r="AM89" s="39"/>
      <c r="AN89" s="72" t="str">
        <f t="shared" si="61"/>
        <v/>
      </c>
      <c r="AO89" s="72" t="str">
        <f t="shared" si="78"/>
        <v/>
      </c>
      <c r="AP89" s="39"/>
      <c r="AQ89" s="72" t="str">
        <f t="shared" si="62"/>
        <v/>
      </c>
      <c r="AR89" s="72" t="str">
        <f t="shared" si="79"/>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63"/>
        <v/>
      </c>
      <c r="AW89" s="72" t="str">
        <f t="shared" si="64"/>
        <v/>
      </c>
      <c r="AX89" s="39"/>
      <c r="AY89" s="40" t="str">
        <f>IF(ISERROR(IF($K89&lt;=$F$15,VLOOKUP($I89,'表4）CO2価格'!$A$7:$E$67,VLOOKUP($F$48,'表4）CO2価格'!$H$10:$I$12,2,0),0)*$F$8/1000,"")),0,IF($K89&lt;=$F$15,VLOOKUP($I89,'表4）CO2価格'!$A$7:$E$67,VLOOKUP($F$48,'表4）CO2価格'!$H$10:$I$12,2,0),0)*$F$8/1000,""))</f>
        <v/>
      </c>
      <c r="AZ89" s="39"/>
      <c r="BA89" s="42" t="str">
        <f t="shared" si="65"/>
        <v/>
      </c>
      <c r="BB89" s="72" t="str">
        <f t="shared" si="80"/>
        <v/>
      </c>
      <c r="BC89" s="39"/>
      <c r="BD89" s="72" t="str">
        <f t="shared" si="66"/>
        <v/>
      </c>
      <c r="BE89" s="72" t="str">
        <f t="shared" si="81"/>
        <v/>
      </c>
      <c r="BF89" s="39"/>
      <c r="BG89" s="42" t="str">
        <f t="shared" si="67"/>
        <v/>
      </c>
      <c r="BH89" s="72" t="str">
        <f t="shared" si="82"/>
        <v/>
      </c>
      <c r="BI89" s="39"/>
      <c r="BJ89" s="40" t="str">
        <f t="shared" si="83"/>
        <v/>
      </c>
      <c r="BK89" s="157" t="str">
        <f t="shared" si="84"/>
        <v/>
      </c>
      <c r="BL89" s="157" t="str">
        <f t="shared" si="85"/>
        <v/>
      </c>
      <c r="BM89" s="72"/>
      <c r="BN89" s="72" t="str">
        <f t="shared" si="86"/>
        <v/>
      </c>
      <c r="BO89" s="72" t="str">
        <f t="shared" si="87"/>
        <v/>
      </c>
      <c r="BP89" s="39"/>
      <c r="BQ89" s="72" t="str">
        <f t="shared" si="68"/>
        <v/>
      </c>
      <c r="BR89" s="72" t="str">
        <f t="shared" si="88"/>
        <v/>
      </c>
    </row>
    <row r="90" spans="4:70" x14ac:dyDescent="0.15">
      <c r="F90" s="503"/>
      <c r="I90" s="457">
        <f t="shared" si="89"/>
        <v>2105</v>
      </c>
      <c r="K90" s="71">
        <f t="shared" si="90"/>
        <v>76</v>
      </c>
      <c r="M90" s="7">
        <f t="shared" si="53"/>
        <v>0.10577205018990318</v>
      </c>
      <c r="O90" s="10" t="str">
        <f t="shared" si="69"/>
        <v/>
      </c>
      <c r="P90" s="29" t="str">
        <f t="shared" si="54"/>
        <v/>
      </c>
      <c r="R90" s="10" t="str">
        <f t="shared" si="70"/>
        <v/>
      </c>
      <c r="T90" s="10" t="str">
        <f t="shared" si="71"/>
        <v/>
      </c>
      <c r="V90" s="10" t="str">
        <f t="shared" si="55"/>
        <v/>
      </c>
      <c r="W90" s="10" t="str">
        <f t="shared" si="72"/>
        <v/>
      </c>
      <c r="Y90" s="10" t="str">
        <f t="shared" si="56"/>
        <v/>
      </c>
      <c r="Z90" s="10" t="str">
        <f t="shared" si="73"/>
        <v/>
      </c>
      <c r="AB90" s="10" t="str">
        <f t="shared" si="57"/>
        <v/>
      </c>
      <c r="AC90" s="10" t="str">
        <f t="shared" si="74"/>
        <v/>
      </c>
      <c r="AE90" s="10" t="str">
        <f t="shared" si="58"/>
        <v/>
      </c>
      <c r="AF90" s="10" t="str">
        <f t="shared" si="75"/>
        <v/>
      </c>
      <c r="AH90" s="10" t="str">
        <f t="shared" si="59"/>
        <v/>
      </c>
      <c r="AI90" s="10" t="str">
        <f t="shared" si="76"/>
        <v/>
      </c>
      <c r="AK90" s="10" t="str">
        <f t="shared" si="60"/>
        <v/>
      </c>
      <c r="AL90" s="10" t="str">
        <f t="shared" si="77"/>
        <v/>
      </c>
      <c r="AN90" s="10" t="str">
        <f t="shared" si="61"/>
        <v/>
      </c>
      <c r="AO90" s="10" t="str">
        <f t="shared" si="78"/>
        <v/>
      </c>
      <c r="AQ90" s="10" t="str">
        <f t="shared" si="62"/>
        <v/>
      </c>
      <c r="AR90" s="10" t="str">
        <f t="shared" si="79"/>
        <v/>
      </c>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V90" s="10" t="str">
        <f t="shared" si="63"/>
        <v/>
      </c>
      <c r="AW90" s="10" t="str">
        <f t="shared" si="64"/>
        <v/>
      </c>
      <c r="AY90" s="7" t="str">
        <f>IF(ISERROR(IF($K90&lt;=$F$15,VLOOKUP($I90,'表4）CO2価格'!$A$7:$E$67,VLOOKUP($F$48,'表4）CO2価格'!$H$10:$I$12,2,0),0)*$F$8/1000,"")),0,IF($K90&lt;=$F$15,VLOOKUP($I90,'表4）CO2価格'!$A$7:$E$67,VLOOKUP($F$48,'表4）CO2価格'!$H$10:$I$12,2,0),0)*$F$8/1000,""))</f>
        <v/>
      </c>
      <c r="BA90" s="11" t="str">
        <f t="shared" si="65"/>
        <v/>
      </c>
      <c r="BB90" s="10" t="str">
        <f t="shared" si="80"/>
        <v/>
      </c>
      <c r="BD90" s="10" t="str">
        <f t="shared" si="66"/>
        <v/>
      </c>
      <c r="BE90" s="10" t="str">
        <f t="shared" si="81"/>
        <v/>
      </c>
      <c r="BG90" s="11" t="str">
        <f t="shared" si="67"/>
        <v/>
      </c>
      <c r="BH90" s="10" t="str">
        <f t="shared" si="82"/>
        <v/>
      </c>
      <c r="BJ90" s="7" t="str">
        <f t="shared" si="83"/>
        <v/>
      </c>
      <c r="BK90" s="158" t="str">
        <f t="shared" si="84"/>
        <v/>
      </c>
      <c r="BL90" s="158" t="str">
        <f t="shared" si="85"/>
        <v/>
      </c>
      <c r="BM90" s="10"/>
      <c r="BN90" s="10" t="str">
        <f t="shared" si="86"/>
        <v/>
      </c>
      <c r="BO90" s="10" t="str">
        <f t="shared" si="87"/>
        <v/>
      </c>
      <c r="BQ90" s="10" t="str">
        <f t="shared" si="68"/>
        <v/>
      </c>
      <c r="BR90" s="10" t="str">
        <f t="shared" si="88"/>
        <v/>
      </c>
    </row>
    <row r="91" spans="4:70" x14ac:dyDescent="0.15">
      <c r="F91" s="487"/>
      <c r="I91" s="38">
        <f t="shared" si="89"/>
        <v>2106</v>
      </c>
      <c r="J91" s="39"/>
      <c r="K91" s="39">
        <f t="shared" si="90"/>
        <v>77</v>
      </c>
      <c r="L91" s="39"/>
      <c r="M91" s="40">
        <f t="shared" si="53"/>
        <v>0.10269131086398368</v>
      </c>
      <c r="N91" s="39"/>
      <c r="O91" s="72" t="str">
        <f t="shared" si="69"/>
        <v/>
      </c>
      <c r="P91" s="41" t="str">
        <f t="shared" si="54"/>
        <v/>
      </c>
      <c r="Q91" s="39"/>
      <c r="R91" s="72" t="str">
        <f t="shared" si="70"/>
        <v/>
      </c>
      <c r="S91" s="39"/>
      <c r="T91" s="72" t="str">
        <f t="shared" si="71"/>
        <v/>
      </c>
      <c r="U91" s="39"/>
      <c r="V91" s="72" t="str">
        <f t="shared" si="55"/>
        <v/>
      </c>
      <c r="W91" s="72" t="str">
        <f t="shared" si="72"/>
        <v/>
      </c>
      <c r="X91" s="39"/>
      <c r="Y91" s="72" t="str">
        <f t="shared" si="56"/>
        <v/>
      </c>
      <c r="Z91" s="72" t="str">
        <f t="shared" si="73"/>
        <v/>
      </c>
      <c r="AA91" s="39"/>
      <c r="AB91" s="72" t="str">
        <f t="shared" si="57"/>
        <v/>
      </c>
      <c r="AC91" s="72" t="str">
        <f t="shared" si="74"/>
        <v/>
      </c>
      <c r="AD91" s="39"/>
      <c r="AE91" s="72" t="str">
        <f t="shared" si="58"/>
        <v/>
      </c>
      <c r="AF91" s="72" t="str">
        <f t="shared" si="75"/>
        <v/>
      </c>
      <c r="AG91" s="39"/>
      <c r="AH91" s="72" t="str">
        <f t="shared" si="59"/>
        <v/>
      </c>
      <c r="AI91" s="72" t="str">
        <f t="shared" si="76"/>
        <v/>
      </c>
      <c r="AJ91" s="39"/>
      <c r="AK91" s="72" t="str">
        <f t="shared" si="60"/>
        <v/>
      </c>
      <c r="AL91" s="72" t="str">
        <f t="shared" si="77"/>
        <v/>
      </c>
      <c r="AM91" s="39"/>
      <c r="AN91" s="72" t="str">
        <f t="shared" si="61"/>
        <v/>
      </c>
      <c r="AO91" s="72" t="str">
        <f t="shared" si="78"/>
        <v/>
      </c>
      <c r="AP91" s="39"/>
      <c r="AQ91" s="72" t="str">
        <f t="shared" si="62"/>
        <v/>
      </c>
      <c r="AR91" s="72" t="str">
        <f t="shared" si="79"/>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63"/>
        <v/>
      </c>
      <c r="AW91" s="72" t="str">
        <f t="shared" si="64"/>
        <v/>
      </c>
      <c r="AX91" s="39"/>
      <c r="AY91" s="40" t="str">
        <f>IF(ISERROR(IF($K91&lt;=$F$15,VLOOKUP($I91,'表4）CO2価格'!$A$7:$E$67,VLOOKUP($F$48,'表4）CO2価格'!$H$10:$I$12,2,0),0)*$F$8/1000,"")),0,IF($K91&lt;=$F$15,VLOOKUP($I91,'表4）CO2価格'!$A$7:$E$67,VLOOKUP($F$48,'表4）CO2価格'!$H$10:$I$12,2,0),0)*$F$8/1000,""))</f>
        <v/>
      </c>
      <c r="AZ91" s="39"/>
      <c r="BA91" s="42" t="str">
        <f t="shared" si="65"/>
        <v/>
      </c>
      <c r="BB91" s="72" t="str">
        <f t="shared" si="80"/>
        <v/>
      </c>
      <c r="BC91" s="39"/>
      <c r="BD91" s="72" t="str">
        <f t="shared" si="66"/>
        <v/>
      </c>
      <c r="BE91" s="72" t="str">
        <f t="shared" si="81"/>
        <v/>
      </c>
      <c r="BF91" s="39"/>
      <c r="BG91" s="42" t="str">
        <f t="shared" si="67"/>
        <v/>
      </c>
      <c r="BH91" s="72" t="str">
        <f t="shared" si="82"/>
        <v/>
      </c>
      <c r="BI91" s="39"/>
      <c r="BJ91" s="40" t="str">
        <f t="shared" si="83"/>
        <v/>
      </c>
      <c r="BK91" s="157" t="str">
        <f t="shared" si="84"/>
        <v/>
      </c>
      <c r="BL91" s="157" t="str">
        <f t="shared" si="85"/>
        <v/>
      </c>
      <c r="BM91" s="72"/>
      <c r="BN91" s="72" t="str">
        <f t="shared" si="86"/>
        <v/>
      </c>
      <c r="BO91" s="72" t="str">
        <f t="shared" si="87"/>
        <v/>
      </c>
      <c r="BP91" s="39"/>
      <c r="BQ91" s="72" t="str">
        <f t="shared" si="68"/>
        <v/>
      </c>
      <c r="BR91" s="72" t="str">
        <f t="shared" si="88"/>
        <v/>
      </c>
    </row>
    <row r="92" spans="4:70" ht="15" x14ac:dyDescent="0.15">
      <c r="D92" s="103" t="s">
        <v>595</v>
      </c>
      <c r="F92" s="484">
        <f>SUBTOTAL(9,F96:F97)</f>
        <v>20.96447227342486</v>
      </c>
      <c r="I92" s="457">
        <f t="shared" si="89"/>
        <v>2107</v>
      </c>
      <c r="K92" s="71">
        <f t="shared" si="90"/>
        <v>78</v>
      </c>
      <c r="M92" s="7">
        <f t="shared" si="53"/>
        <v>9.9700301809692873E-2</v>
      </c>
      <c r="O92" s="10" t="str">
        <f t="shared" si="69"/>
        <v/>
      </c>
      <c r="P92" s="29" t="str">
        <f t="shared" si="54"/>
        <v/>
      </c>
      <c r="R92" s="10" t="str">
        <f t="shared" si="70"/>
        <v/>
      </c>
      <c r="T92" s="10" t="str">
        <f t="shared" si="71"/>
        <v/>
      </c>
      <c r="V92" s="10" t="str">
        <f t="shared" si="55"/>
        <v/>
      </c>
      <c r="W92" s="10" t="str">
        <f t="shared" si="72"/>
        <v/>
      </c>
      <c r="Y92" s="10" t="str">
        <f t="shared" si="56"/>
        <v/>
      </c>
      <c r="Z92" s="10" t="str">
        <f t="shared" si="73"/>
        <v/>
      </c>
      <c r="AB92" s="10" t="str">
        <f t="shared" si="57"/>
        <v/>
      </c>
      <c r="AC92" s="10" t="str">
        <f t="shared" si="74"/>
        <v/>
      </c>
      <c r="AE92" s="10" t="str">
        <f t="shared" si="58"/>
        <v/>
      </c>
      <c r="AF92" s="10" t="str">
        <f t="shared" si="75"/>
        <v/>
      </c>
      <c r="AH92" s="10" t="str">
        <f t="shared" si="59"/>
        <v/>
      </c>
      <c r="AI92" s="10" t="str">
        <f t="shared" si="76"/>
        <v/>
      </c>
      <c r="AK92" s="10" t="str">
        <f t="shared" si="60"/>
        <v/>
      </c>
      <c r="AL92" s="10" t="str">
        <f t="shared" si="77"/>
        <v/>
      </c>
      <c r="AN92" s="10" t="str">
        <f t="shared" si="61"/>
        <v/>
      </c>
      <c r="AO92" s="10" t="str">
        <f t="shared" si="78"/>
        <v/>
      </c>
      <c r="AQ92" s="10" t="str">
        <f t="shared" si="62"/>
        <v/>
      </c>
      <c r="AR92" s="10" t="str">
        <f t="shared" si="79"/>
        <v/>
      </c>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V92" s="10" t="str">
        <f t="shared" si="63"/>
        <v/>
      </c>
      <c r="AW92" s="10" t="str">
        <f t="shared" si="64"/>
        <v/>
      </c>
      <c r="AY92" s="7" t="str">
        <f>IF(ISERROR(IF($K92&lt;=$F$15,VLOOKUP($I92,'表4）CO2価格'!$A$7:$E$67,VLOOKUP($F$48,'表4）CO2価格'!$H$10:$I$12,2,0),0)*$F$8/1000,"")),0,IF($K92&lt;=$F$15,VLOOKUP($I92,'表4）CO2価格'!$A$7:$E$67,VLOOKUP($F$48,'表4）CO2価格'!$H$10:$I$12,2,0),0)*$F$8/1000,""))</f>
        <v/>
      </c>
      <c r="BA92" s="11" t="str">
        <f t="shared" si="65"/>
        <v/>
      </c>
      <c r="BB92" s="10" t="str">
        <f t="shared" si="80"/>
        <v/>
      </c>
      <c r="BD92" s="10" t="str">
        <f t="shared" si="66"/>
        <v/>
      </c>
      <c r="BE92" s="10" t="str">
        <f t="shared" si="81"/>
        <v/>
      </c>
      <c r="BG92" s="11" t="str">
        <f t="shared" si="67"/>
        <v/>
      </c>
      <c r="BH92" s="10" t="str">
        <f t="shared" si="82"/>
        <v/>
      </c>
      <c r="BJ92" s="7" t="str">
        <f t="shared" si="83"/>
        <v/>
      </c>
      <c r="BK92" s="158" t="str">
        <f t="shared" si="84"/>
        <v/>
      </c>
      <c r="BL92" s="158" t="str">
        <f t="shared" si="85"/>
        <v/>
      </c>
      <c r="BM92" s="10"/>
      <c r="BN92" s="10" t="str">
        <f t="shared" si="86"/>
        <v/>
      </c>
      <c r="BO92" s="10" t="str">
        <f t="shared" si="87"/>
        <v/>
      </c>
      <c r="BQ92" s="10" t="str">
        <f t="shared" si="68"/>
        <v/>
      </c>
      <c r="BR92" s="10" t="str">
        <f t="shared" si="88"/>
        <v/>
      </c>
    </row>
    <row r="93" spans="4:70" ht="15" x14ac:dyDescent="0.15">
      <c r="D93" s="103"/>
      <c r="F93" s="487"/>
      <c r="I93" s="38">
        <f t="shared" si="89"/>
        <v>2108</v>
      </c>
      <c r="J93" s="39"/>
      <c r="K93" s="39">
        <f t="shared" si="90"/>
        <v>79</v>
      </c>
      <c r="L93" s="39"/>
      <c r="M93" s="40">
        <f t="shared" si="53"/>
        <v>9.679640952397367E-2</v>
      </c>
      <c r="N93" s="39"/>
      <c r="O93" s="72" t="str">
        <f t="shared" si="69"/>
        <v/>
      </c>
      <c r="P93" s="41" t="str">
        <f t="shared" si="54"/>
        <v/>
      </c>
      <c r="Q93" s="39"/>
      <c r="R93" s="72" t="str">
        <f t="shared" si="70"/>
        <v/>
      </c>
      <c r="S93" s="39"/>
      <c r="T93" s="72" t="str">
        <f t="shared" si="71"/>
        <v/>
      </c>
      <c r="U93" s="39"/>
      <c r="V93" s="72" t="str">
        <f t="shared" si="55"/>
        <v/>
      </c>
      <c r="W93" s="72" t="str">
        <f t="shared" si="72"/>
        <v/>
      </c>
      <c r="X93" s="39"/>
      <c r="Y93" s="72" t="str">
        <f t="shared" si="56"/>
        <v/>
      </c>
      <c r="Z93" s="72" t="str">
        <f t="shared" si="73"/>
        <v/>
      </c>
      <c r="AA93" s="39"/>
      <c r="AB93" s="72" t="str">
        <f t="shared" si="57"/>
        <v/>
      </c>
      <c r="AC93" s="72" t="str">
        <f t="shared" si="74"/>
        <v/>
      </c>
      <c r="AD93" s="39"/>
      <c r="AE93" s="72" t="str">
        <f t="shared" si="58"/>
        <v/>
      </c>
      <c r="AF93" s="72" t="str">
        <f t="shared" si="75"/>
        <v/>
      </c>
      <c r="AG93" s="39"/>
      <c r="AH93" s="72" t="str">
        <f t="shared" si="59"/>
        <v/>
      </c>
      <c r="AI93" s="72" t="str">
        <f t="shared" si="76"/>
        <v/>
      </c>
      <c r="AJ93" s="39"/>
      <c r="AK93" s="72" t="str">
        <f t="shared" si="60"/>
        <v/>
      </c>
      <c r="AL93" s="72" t="str">
        <f t="shared" si="77"/>
        <v/>
      </c>
      <c r="AM93" s="39"/>
      <c r="AN93" s="72" t="str">
        <f t="shared" si="61"/>
        <v/>
      </c>
      <c r="AO93" s="72" t="str">
        <f t="shared" si="78"/>
        <v/>
      </c>
      <c r="AP93" s="39"/>
      <c r="AQ93" s="72" t="str">
        <f t="shared" si="62"/>
        <v/>
      </c>
      <c r="AR93" s="72" t="str">
        <f t="shared" si="79"/>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63"/>
        <v/>
      </c>
      <c r="AW93" s="72" t="str">
        <f t="shared" si="64"/>
        <v/>
      </c>
      <c r="AX93" s="39"/>
      <c r="AY93" s="40" t="str">
        <f>IF(ISERROR(IF($K93&lt;=$F$15,VLOOKUP($I93,'表4）CO2価格'!$A$7:$E$67,VLOOKUP($F$48,'表4）CO2価格'!$H$10:$I$12,2,0),0)*$F$8/1000,"")),0,IF($K93&lt;=$F$15,VLOOKUP($I93,'表4）CO2価格'!$A$7:$E$67,VLOOKUP($F$48,'表4）CO2価格'!$H$10:$I$12,2,0),0)*$F$8/1000,""))</f>
        <v/>
      </c>
      <c r="AZ93" s="39"/>
      <c r="BA93" s="42" t="str">
        <f t="shared" si="65"/>
        <v/>
      </c>
      <c r="BB93" s="72" t="str">
        <f t="shared" si="80"/>
        <v/>
      </c>
      <c r="BC93" s="39"/>
      <c r="BD93" s="72" t="str">
        <f t="shared" si="66"/>
        <v/>
      </c>
      <c r="BE93" s="72" t="str">
        <f t="shared" si="81"/>
        <v/>
      </c>
      <c r="BF93" s="39"/>
      <c r="BG93" s="42" t="str">
        <f t="shared" si="67"/>
        <v/>
      </c>
      <c r="BH93" s="72" t="str">
        <f t="shared" si="82"/>
        <v/>
      </c>
      <c r="BI93" s="39"/>
      <c r="BJ93" s="40" t="str">
        <f t="shared" si="83"/>
        <v/>
      </c>
      <c r="BK93" s="157" t="str">
        <f t="shared" si="84"/>
        <v/>
      </c>
      <c r="BL93" s="157" t="str">
        <f t="shared" si="85"/>
        <v/>
      </c>
      <c r="BM93" s="72"/>
      <c r="BN93" s="72" t="str">
        <f t="shared" si="86"/>
        <v/>
      </c>
      <c r="BO93" s="72" t="str">
        <f t="shared" si="87"/>
        <v/>
      </c>
      <c r="BP93" s="39"/>
      <c r="BQ93" s="72" t="str">
        <f t="shared" si="68"/>
        <v/>
      </c>
      <c r="BR93" s="72" t="str">
        <f t="shared" si="88"/>
        <v/>
      </c>
    </row>
    <row r="94" spans="4:70" x14ac:dyDescent="0.15">
      <c r="D94" s="100" t="s">
        <v>596</v>
      </c>
      <c r="E94" s="100"/>
      <c r="F94" s="486"/>
      <c r="G94" s="100"/>
      <c r="I94" s="457">
        <f t="shared" si="89"/>
        <v>2109</v>
      </c>
      <c r="K94" s="71">
        <f t="shared" si="90"/>
        <v>80</v>
      </c>
      <c r="M94" s="7">
        <f t="shared" si="53"/>
        <v>9.3977096625217166E-2</v>
      </c>
      <c r="O94" s="10" t="str">
        <f t="shared" si="69"/>
        <v/>
      </c>
      <c r="P94" s="29" t="str">
        <f t="shared" si="54"/>
        <v/>
      </c>
      <c r="R94" s="10" t="str">
        <f t="shared" si="70"/>
        <v/>
      </c>
      <c r="T94" s="10" t="str">
        <f t="shared" si="71"/>
        <v/>
      </c>
      <c r="V94" s="10" t="str">
        <f t="shared" si="55"/>
        <v/>
      </c>
      <c r="W94" s="10" t="str">
        <f t="shared" si="72"/>
        <v/>
      </c>
      <c r="Y94" s="10" t="str">
        <f t="shared" si="56"/>
        <v/>
      </c>
      <c r="Z94" s="10" t="str">
        <f t="shared" si="73"/>
        <v/>
      </c>
      <c r="AB94" s="10" t="str">
        <f t="shared" si="57"/>
        <v/>
      </c>
      <c r="AC94" s="10" t="str">
        <f t="shared" si="74"/>
        <v/>
      </c>
      <c r="AE94" s="10" t="str">
        <f t="shared" si="58"/>
        <v/>
      </c>
      <c r="AF94" s="10" t="str">
        <f t="shared" si="75"/>
        <v/>
      </c>
      <c r="AH94" s="10" t="str">
        <f t="shared" si="59"/>
        <v/>
      </c>
      <c r="AI94" s="10" t="str">
        <f t="shared" si="76"/>
        <v/>
      </c>
      <c r="AK94" s="10" t="str">
        <f t="shared" si="60"/>
        <v/>
      </c>
      <c r="AL94" s="10" t="str">
        <f t="shared" si="77"/>
        <v/>
      </c>
      <c r="AN94" s="10" t="str">
        <f t="shared" si="61"/>
        <v/>
      </c>
      <c r="AO94" s="10" t="str">
        <f t="shared" si="78"/>
        <v/>
      </c>
      <c r="AQ94" s="10" t="str">
        <f t="shared" si="62"/>
        <v/>
      </c>
      <c r="AR94" s="10" t="str">
        <f t="shared" si="79"/>
        <v/>
      </c>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V94" s="10" t="str">
        <f t="shared" si="63"/>
        <v/>
      </c>
      <c r="AW94" s="10" t="str">
        <f t="shared" si="64"/>
        <v/>
      </c>
      <c r="AY94" s="7" t="str">
        <f>IF(ISERROR(IF($K94&lt;=$F$15,VLOOKUP($I94,'表4）CO2価格'!$A$7:$E$67,VLOOKUP($F$48,'表4）CO2価格'!$H$10:$I$12,2,0),0)*$F$8/1000,"")),0,IF($K94&lt;=$F$15,VLOOKUP($I94,'表4）CO2価格'!$A$7:$E$67,VLOOKUP($F$48,'表4）CO2価格'!$H$10:$I$12,2,0),0)*$F$8/1000,""))</f>
        <v/>
      </c>
      <c r="BA94" s="11" t="str">
        <f t="shared" si="65"/>
        <v/>
      </c>
      <c r="BB94" s="10" t="str">
        <f t="shared" si="80"/>
        <v/>
      </c>
      <c r="BD94" s="10" t="str">
        <f t="shared" si="66"/>
        <v/>
      </c>
      <c r="BE94" s="10" t="str">
        <f t="shared" si="81"/>
        <v/>
      </c>
      <c r="BG94" s="11" t="str">
        <f t="shared" si="67"/>
        <v/>
      </c>
      <c r="BH94" s="10" t="str">
        <f t="shared" si="82"/>
        <v/>
      </c>
      <c r="BJ94" s="7" t="str">
        <f t="shared" si="83"/>
        <v/>
      </c>
      <c r="BK94" s="158" t="str">
        <f t="shared" si="84"/>
        <v/>
      </c>
      <c r="BL94" s="158" t="str">
        <f t="shared" si="85"/>
        <v/>
      </c>
      <c r="BM94" s="10"/>
      <c r="BN94" s="10" t="str">
        <f t="shared" si="86"/>
        <v/>
      </c>
      <c r="BO94" s="10" t="str">
        <f t="shared" si="87"/>
        <v/>
      </c>
      <c r="BQ94" s="10" t="str">
        <f t="shared" si="68"/>
        <v/>
      </c>
      <c r="BR94" s="10" t="str">
        <f t="shared" si="88"/>
        <v/>
      </c>
    </row>
    <row r="95" spans="4:70" ht="15" x14ac:dyDescent="0.15">
      <c r="D95" s="103"/>
      <c r="F95" s="487"/>
      <c r="I95" s="38">
        <f t="shared" si="89"/>
        <v>2110</v>
      </c>
      <c r="J95" s="39"/>
      <c r="K95" s="39">
        <f t="shared" si="90"/>
        <v>81</v>
      </c>
      <c r="L95" s="39"/>
      <c r="M95" s="40">
        <f t="shared" si="53"/>
        <v>9.1239899636133173E-2</v>
      </c>
      <c r="N95" s="39"/>
      <c r="O95" s="72" t="str">
        <f t="shared" si="69"/>
        <v/>
      </c>
      <c r="P95" s="41" t="str">
        <f t="shared" si="54"/>
        <v/>
      </c>
      <c r="Q95" s="39"/>
      <c r="R95" s="72" t="str">
        <f t="shared" si="70"/>
        <v/>
      </c>
      <c r="S95" s="39"/>
      <c r="T95" s="72" t="str">
        <f t="shared" si="71"/>
        <v/>
      </c>
      <c r="U95" s="39"/>
      <c r="V95" s="72" t="str">
        <f t="shared" si="55"/>
        <v/>
      </c>
      <c r="W95" s="72" t="str">
        <f t="shared" si="72"/>
        <v/>
      </c>
      <c r="X95" s="39"/>
      <c r="Y95" s="72" t="str">
        <f t="shared" si="56"/>
        <v/>
      </c>
      <c r="Z95" s="72" t="str">
        <f t="shared" si="73"/>
        <v/>
      </c>
      <c r="AA95" s="39"/>
      <c r="AB95" s="72" t="str">
        <f t="shared" si="57"/>
        <v/>
      </c>
      <c r="AC95" s="72" t="str">
        <f t="shared" si="74"/>
        <v/>
      </c>
      <c r="AD95" s="39"/>
      <c r="AE95" s="72" t="str">
        <f t="shared" si="58"/>
        <v/>
      </c>
      <c r="AF95" s="72" t="str">
        <f t="shared" si="75"/>
        <v/>
      </c>
      <c r="AG95" s="39"/>
      <c r="AH95" s="72" t="str">
        <f t="shared" si="59"/>
        <v/>
      </c>
      <c r="AI95" s="72" t="str">
        <f t="shared" si="76"/>
        <v/>
      </c>
      <c r="AJ95" s="39"/>
      <c r="AK95" s="72" t="str">
        <f t="shared" si="60"/>
        <v/>
      </c>
      <c r="AL95" s="72" t="str">
        <f t="shared" si="77"/>
        <v/>
      </c>
      <c r="AM95" s="39"/>
      <c r="AN95" s="72" t="str">
        <f t="shared" si="61"/>
        <v/>
      </c>
      <c r="AO95" s="72" t="str">
        <f t="shared" si="78"/>
        <v/>
      </c>
      <c r="AP95" s="39"/>
      <c r="AQ95" s="72" t="str">
        <f t="shared" si="62"/>
        <v/>
      </c>
      <c r="AR95" s="72" t="str">
        <f t="shared" si="79"/>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63"/>
        <v/>
      </c>
      <c r="AW95" s="72" t="str">
        <f t="shared" si="64"/>
        <v/>
      </c>
      <c r="AX95" s="39"/>
      <c r="AY95" s="40" t="str">
        <f>IF(ISERROR(IF($K95&lt;=$F$15,VLOOKUP($I95,'表4）CO2価格'!$A$7:$E$67,VLOOKUP($F$48,'表4）CO2価格'!$H$10:$I$12,2,0),0)*$F$8/1000,"")),0,IF($K95&lt;=$F$15,VLOOKUP($I95,'表4）CO2価格'!$A$7:$E$67,VLOOKUP($F$48,'表4）CO2価格'!$H$10:$I$12,2,0),0)*$F$8/1000,""))</f>
        <v/>
      </c>
      <c r="AZ95" s="39"/>
      <c r="BA95" s="42" t="str">
        <f t="shared" si="65"/>
        <v/>
      </c>
      <c r="BB95" s="72" t="str">
        <f t="shared" si="80"/>
        <v/>
      </c>
      <c r="BC95" s="39"/>
      <c r="BD95" s="72" t="str">
        <f t="shared" si="66"/>
        <v/>
      </c>
      <c r="BE95" s="72" t="str">
        <f t="shared" si="81"/>
        <v/>
      </c>
      <c r="BF95" s="39"/>
      <c r="BG95" s="42" t="str">
        <f t="shared" si="67"/>
        <v/>
      </c>
      <c r="BH95" s="72" t="str">
        <f t="shared" si="82"/>
        <v/>
      </c>
      <c r="BI95" s="39"/>
      <c r="BJ95" s="40" t="str">
        <f t="shared" si="83"/>
        <v/>
      </c>
      <c r="BK95" s="157" t="str">
        <f t="shared" si="84"/>
        <v/>
      </c>
      <c r="BL95" s="157" t="str">
        <f t="shared" si="85"/>
        <v/>
      </c>
      <c r="BM95" s="72"/>
      <c r="BN95" s="72" t="str">
        <f t="shared" si="86"/>
        <v/>
      </c>
      <c r="BO95" s="72" t="str">
        <f t="shared" si="87"/>
        <v/>
      </c>
      <c r="BP95" s="39"/>
      <c r="BQ95" s="72" t="str">
        <f t="shared" si="68"/>
        <v/>
      </c>
      <c r="BR95" s="72" t="str">
        <f t="shared" si="88"/>
        <v/>
      </c>
    </row>
    <row r="96" spans="4:70" ht="15" x14ac:dyDescent="0.15">
      <c r="D96" s="103"/>
      <c r="E96" s="84" t="s">
        <v>597</v>
      </c>
      <c r="F96" s="488">
        <f>IF(F3&lt;&gt;"原子力",AW116/$BR$116,0)</f>
        <v>20.96447227342486</v>
      </c>
      <c r="G96" s="84" t="s">
        <v>590</v>
      </c>
      <c r="I96" s="457">
        <f t="shared" si="89"/>
        <v>2111</v>
      </c>
      <c r="K96" s="71">
        <f t="shared" si="90"/>
        <v>82</v>
      </c>
      <c r="M96" s="7">
        <f t="shared" si="53"/>
        <v>8.8582426831197242E-2</v>
      </c>
      <c r="O96" s="10" t="str">
        <f t="shared" si="69"/>
        <v/>
      </c>
      <c r="P96" s="29" t="str">
        <f t="shared" si="54"/>
        <v/>
      </c>
      <c r="R96" s="10" t="str">
        <f t="shared" si="70"/>
        <v/>
      </c>
      <c r="T96" s="10" t="str">
        <f t="shared" si="71"/>
        <v/>
      </c>
      <c r="V96" s="10" t="str">
        <f t="shared" si="55"/>
        <v/>
      </c>
      <c r="W96" s="10" t="str">
        <f t="shared" si="72"/>
        <v/>
      </c>
      <c r="Y96" s="10" t="str">
        <f t="shared" si="56"/>
        <v/>
      </c>
      <c r="Z96" s="10" t="str">
        <f t="shared" si="73"/>
        <v/>
      </c>
      <c r="AB96" s="10" t="str">
        <f t="shared" si="57"/>
        <v/>
      </c>
      <c r="AC96" s="10" t="str">
        <f t="shared" si="74"/>
        <v/>
      </c>
      <c r="AE96" s="10" t="str">
        <f t="shared" si="58"/>
        <v/>
      </c>
      <c r="AF96" s="10" t="str">
        <f t="shared" si="75"/>
        <v/>
      </c>
      <c r="AH96" s="10" t="str">
        <f t="shared" si="59"/>
        <v/>
      </c>
      <c r="AI96" s="10" t="str">
        <f t="shared" si="76"/>
        <v/>
      </c>
      <c r="AK96" s="10" t="str">
        <f t="shared" si="60"/>
        <v/>
      </c>
      <c r="AL96" s="10" t="str">
        <f t="shared" si="77"/>
        <v/>
      </c>
      <c r="AN96" s="10" t="str">
        <f t="shared" si="61"/>
        <v/>
      </c>
      <c r="AO96" s="10" t="str">
        <f t="shared" si="78"/>
        <v/>
      </c>
      <c r="AQ96" s="10" t="str">
        <f t="shared" si="62"/>
        <v/>
      </c>
      <c r="AR96" s="10" t="str">
        <f t="shared" si="79"/>
        <v/>
      </c>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V96" s="10" t="str">
        <f t="shared" si="63"/>
        <v/>
      </c>
      <c r="AW96" s="10" t="str">
        <f t="shared" si="64"/>
        <v/>
      </c>
      <c r="AY96" s="7" t="str">
        <f>IF(ISERROR(IF($K96&lt;=$F$15,VLOOKUP($I96,'表4）CO2価格'!$A$7:$E$67,VLOOKUP($F$48,'表4）CO2価格'!$H$10:$I$12,2,0),0)*$F$8/1000,"")),0,IF($K96&lt;=$F$15,VLOOKUP($I96,'表4）CO2価格'!$A$7:$E$67,VLOOKUP($F$48,'表4）CO2価格'!$H$10:$I$12,2,0),0)*$F$8/1000,""))</f>
        <v/>
      </c>
      <c r="BA96" s="11" t="str">
        <f t="shared" si="65"/>
        <v/>
      </c>
      <c r="BB96" s="10" t="str">
        <f t="shared" si="80"/>
        <v/>
      </c>
      <c r="BD96" s="10" t="str">
        <f t="shared" si="66"/>
        <v/>
      </c>
      <c r="BE96" s="10" t="str">
        <f t="shared" si="81"/>
        <v/>
      </c>
      <c r="BG96" s="11" t="str">
        <f t="shared" si="67"/>
        <v/>
      </c>
      <c r="BH96" s="10" t="str">
        <f t="shared" si="82"/>
        <v/>
      </c>
      <c r="BJ96" s="7" t="str">
        <f t="shared" si="83"/>
        <v/>
      </c>
      <c r="BK96" s="158" t="str">
        <f t="shared" si="84"/>
        <v/>
      </c>
      <c r="BL96" s="158" t="str">
        <f t="shared" si="85"/>
        <v/>
      </c>
      <c r="BM96" s="10"/>
      <c r="BN96" s="10" t="str">
        <f t="shared" si="86"/>
        <v/>
      </c>
      <c r="BO96" s="10" t="str">
        <f t="shared" si="87"/>
        <v/>
      </c>
      <c r="BQ96" s="10" t="str">
        <f t="shared" si="68"/>
        <v/>
      </c>
      <c r="BR96" s="10" t="str">
        <f t="shared" si="88"/>
        <v/>
      </c>
    </row>
    <row r="97" spans="4:70" ht="15" x14ac:dyDescent="0.15">
      <c r="D97" s="103"/>
      <c r="E97" s="84" t="s">
        <v>598</v>
      </c>
      <c r="F97" s="488">
        <f>IF(F3="原子力",#REF!,0)</f>
        <v>0</v>
      </c>
      <c r="G97" s="84" t="s">
        <v>590</v>
      </c>
      <c r="I97" s="38">
        <f t="shared" si="89"/>
        <v>2112</v>
      </c>
      <c r="J97" s="39"/>
      <c r="K97" s="39">
        <f t="shared" si="90"/>
        <v>83</v>
      </c>
      <c r="L97" s="39"/>
      <c r="M97" s="40">
        <f t="shared" si="53"/>
        <v>8.6002356146793454E-2</v>
      </c>
      <c r="N97" s="39"/>
      <c r="O97" s="72" t="str">
        <f t="shared" si="69"/>
        <v/>
      </c>
      <c r="P97" s="41" t="str">
        <f t="shared" si="54"/>
        <v/>
      </c>
      <c r="Q97" s="39"/>
      <c r="R97" s="72" t="str">
        <f t="shared" si="70"/>
        <v/>
      </c>
      <c r="S97" s="39"/>
      <c r="T97" s="72" t="str">
        <f t="shared" si="71"/>
        <v/>
      </c>
      <c r="U97" s="39"/>
      <c r="V97" s="72" t="str">
        <f t="shared" si="55"/>
        <v/>
      </c>
      <c r="W97" s="72" t="str">
        <f t="shared" si="72"/>
        <v/>
      </c>
      <c r="X97" s="39"/>
      <c r="Y97" s="72" t="str">
        <f t="shared" si="56"/>
        <v/>
      </c>
      <c r="Z97" s="72" t="str">
        <f t="shared" si="73"/>
        <v/>
      </c>
      <c r="AA97" s="39"/>
      <c r="AB97" s="72" t="str">
        <f t="shared" si="57"/>
        <v/>
      </c>
      <c r="AC97" s="72" t="str">
        <f t="shared" si="74"/>
        <v/>
      </c>
      <c r="AD97" s="39"/>
      <c r="AE97" s="72" t="str">
        <f t="shared" si="58"/>
        <v/>
      </c>
      <c r="AF97" s="72" t="str">
        <f t="shared" si="75"/>
        <v/>
      </c>
      <c r="AG97" s="39"/>
      <c r="AH97" s="72" t="str">
        <f t="shared" si="59"/>
        <v/>
      </c>
      <c r="AI97" s="72" t="str">
        <f t="shared" si="76"/>
        <v/>
      </c>
      <c r="AJ97" s="39"/>
      <c r="AK97" s="72" t="str">
        <f t="shared" si="60"/>
        <v/>
      </c>
      <c r="AL97" s="72" t="str">
        <f t="shared" si="77"/>
        <v/>
      </c>
      <c r="AM97" s="39"/>
      <c r="AN97" s="72" t="str">
        <f t="shared" si="61"/>
        <v/>
      </c>
      <c r="AO97" s="72" t="str">
        <f t="shared" si="78"/>
        <v/>
      </c>
      <c r="AP97" s="39"/>
      <c r="AQ97" s="72" t="str">
        <f t="shared" si="62"/>
        <v/>
      </c>
      <c r="AR97" s="72" t="str">
        <f t="shared" si="79"/>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63"/>
        <v/>
      </c>
      <c r="AW97" s="72" t="str">
        <f t="shared" si="64"/>
        <v/>
      </c>
      <c r="AX97" s="39"/>
      <c r="AY97" s="40" t="str">
        <f>IF(ISERROR(IF($K97&lt;=$F$15,VLOOKUP($I97,'表4）CO2価格'!$A$7:$E$67,VLOOKUP($F$48,'表4）CO2価格'!$H$10:$I$12,2,0),0)*$F$8/1000,"")),0,IF($K97&lt;=$F$15,VLOOKUP($I97,'表4）CO2価格'!$A$7:$E$67,VLOOKUP($F$48,'表4）CO2価格'!$H$10:$I$12,2,0),0)*$F$8/1000,""))</f>
        <v/>
      </c>
      <c r="AZ97" s="39"/>
      <c r="BA97" s="42" t="str">
        <f t="shared" si="65"/>
        <v/>
      </c>
      <c r="BB97" s="72" t="str">
        <f t="shared" si="80"/>
        <v/>
      </c>
      <c r="BC97" s="39"/>
      <c r="BD97" s="72" t="str">
        <f t="shared" si="66"/>
        <v/>
      </c>
      <c r="BE97" s="72" t="str">
        <f t="shared" si="81"/>
        <v/>
      </c>
      <c r="BF97" s="39"/>
      <c r="BG97" s="42" t="str">
        <f t="shared" si="67"/>
        <v/>
      </c>
      <c r="BH97" s="72" t="str">
        <f t="shared" si="82"/>
        <v/>
      </c>
      <c r="BI97" s="39"/>
      <c r="BJ97" s="40" t="str">
        <f t="shared" si="83"/>
        <v/>
      </c>
      <c r="BK97" s="157" t="str">
        <f t="shared" si="84"/>
        <v/>
      </c>
      <c r="BL97" s="157" t="str">
        <f t="shared" si="85"/>
        <v/>
      </c>
      <c r="BM97" s="72"/>
      <c r="BN97" s="72" t="str">
        <f t="shared" si="86"/>
        <v/>
      </c>
      <c r="BO97" s="72" t="str">
        <f t="shared" si="87"/>
        <v/>
      </c>
      <c r="BP97" s="39"/>
      <c r="BQ97" s="72" t="str">
        <f t="shared" si="68"/>
        <v/>
      </c>
      <c r="BR97" s="72" t="str">
        <f t="shared" si="88"/>
        <v/>
      </c>
    </row>
    <row r="98" spans="4:70" x14ac:dyDescent="0.15">
      <c r="F98" s="487"/>
      <c r="I98" s="457">
        <f t="shared" si="89"/>
        <v>2113</v>
      </c>
      <c r="K98" s="71">
        <f t="shared" si="90"/>
        <v>84</v>
      </c>
      <c r="M98" s="7">
        <f t="shared" si="53"/>
        <v>8.3497433152226644E-2</v>
      </c>
      <c r="O98" s="10" t="str">
        <f t="shared" si="69"/>
        <v/>
      </c>
      <c r="P98" s="29" t="str">
        <f t="shared" si="54"/>
        <v/>
      </c>
      <c r="R98" s="10" t="str">
        <f t="shared" si="70"/>
        <v/>
      </c>
      <c r="T98" s="10" t="str">
        <f t="shared" si="71"/>
        <v/>
      </c>
      <c r="V98" s="10" t="str">
        <f t="shared" si="55"/>
        <v/>
      </c>
      <c r="W98" s="10" t="str">
        <f t="shared" si="72"/>
        <v/>
      </c>
      <c r="Y98" s="10" t="str">
        <f t="shared" si="56"/>
        <v/>
      </c>
      <c r="Z98" s="10" t="str">
        <f t="shared" si="73"/>
        <v/>
      </c>
      <c r="AB98" s="10" t="str">
        <f t="shared" si="57"/>
        <v/>
      </c>
      <c r="AC98" s="10" t="str">
        <f t="shared" si="74"/>
        <v/>
      </c>
      <c r="AE98" s="10" t="str">
        <f t="shared" si="58"/>
        <v/>
      </c>
      <c r="AF98" s="10" t="str">
        <f t="shared" si="75"/>
        <v/>
      </c>
      <c r="AH98" s="10" t="str">
        <f t="shared" si="59"/>
        <v/>
      </c>
      <c r="AI98" s="10" t="str">
        <f t="shared" si="76"/>
        <v/>
      </c>
      <c r="AK98" s="10" t="str">
        <f t="shared" si="60"/>
        <v/>
      </c>
      <c r="AL98" s="10" t="str">
        <f t="shared" si="77"/>
        <v/>
      </c>
      <c r="AN98" s="10" t="str">
        <f t="shared" si="61"/>
        <v/>
      </c>
      <c r="AO98" s="10" t="str">
        <f t="shared" si="78"/>
        <v/>
      </c>
      <c r="AQ98" s="10" t="str">
        <f t="shared" si="62"/>
        <v/>
      </c>
      <c r="AR98" s="10" t="str">
        <f t="shared" si="79"/>
        <v/>
      </c>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V98" s="10" t="str">
        <f t="shared" si="63"/>
        <v/>
      </c>
      <c r="AW98" s="10" t="str">
        <f t="shared" si="64"/>
        <v/>
      </c>
      <c r="AY98" s="7" t="str">
        <f>IF(ISERROR(IF($K98&lt;=$F$15,VLOOKUP($I98,'表4）CO2価格'!$A$7:$E$67,VLOOKUP($F$48,'表4）CO2価格'!$H$10:$I$12,2,0),0)*$F$8/1000,"")),0,IF($K98&lt;=$F$15,VLOOKUP($I98,'表4）CO2価格'!$A$7:$E$67,VLOOKUP($F$48,'表4）CO2価格'!$H$10:$I$12,2,0),0)*$F$8/1000,""))</f>
        <v/>
      </c>
      <c r="BA98" s="11" t="str">
        <f t="shared" si="65"/>
        <v/>
      </c>
      <c r="BB98" s="10" t="str">
        <f t="shared" si="80"/>
        <v/>
      </c>
      <c r="BD98" s="10" t="str">
        <f t="shared" si="66"/>
        <v/>
      </c>
      <c r="BE98" s="10" t="str">
        <f t="shared" si="81"/>
        <v/>
      </c>
      <c r="BG98" s="11" t="str">
        <f t="shared" si="67"/>
        <v/>
      </c>
      <c r="BH98" s="10" t="str">
        <f t="shared" si="82"/>
        <v/>
      </c>
      <c r="BJ98" s="7" t="str">
        <f t="shared" si="83"/>
        <v/>
      </c>
      <c r="BK98" s="158" t="str">
        <f t="shared" si="84"/>
        <v/>
      </c>
      <c r="BL98" s="158" t="str">
        <f t="shared" si="85"/>
        <v/>
      </c>
      <c r="BM98" s="10"/>
      <c r="BN98" s="10" t="str">
        <f t="shared" si="86"/>
        <v/>
      </c>
      <c r="BO98" s="10" t="str">
        <f t="shared" si="87"/>
        <v/>
      </c>
      <c r="BQ98" s="10" t="str">
        <f t="shared" si="68"/>
        <v/>
      </c>
      <c r="BR98" s="10" t="str">
        <f t="shared" si="88"/>
        <v/>
      </c>
    </row>
    <row r="99" spans="4:70" ht="15" x14ac:dyDescent="0.15">
      <c r="D99" s="103" t="s">
        <v>599</v>
      </c>
      <c r="F99" s="484">
        <f>SUBTOTAL(9,F103:F105)</f>
        <v>0.23</v>
      </c>
      <c r="G99" s="84" t="s">
        <v>590</v>
      </c>
      <c r="I99" s="38">
        <f t="shared" si="89"/>
        <v>2114</v>
      </c>
      <c r="J99" s="39"/>
      <c r="K99" s="39">
        <f t="shared" si="90"/>
        <v>85</v>
      </c>
      <c r="L99" s="39"/>
      <c r="M99" s="40">
        <f t="shared" si="53"/>
        <v>8.1065469079831712E-2</v>
      </c>
      <c r="N99" s="39"/>
      <c r="O99" s="72" t="str">
        <f t="shared" si="69"/>
        <v/>
      </c>
      <c r="P99" s="41" t="str">
        <f t="shared" si="54"/>
        <v/>
      </c>
      <c r="Q99" s="39"/>
      <c r="R99" s="72" t="str">
        <f t="shared" si="70"/>
        <v/>
      </c>
      <c r="S99" s="39"/>
      <c r="T99" s="72" t="str">
        <f t="shared" si="71"/>
        <v/>
      </c>
      <c r="U99" s="39"/>
      <c r="V99" s="72" t="str">
        <f t="shared" si="55"/>
        <v/>
      </c>
      <c r="W99" s="72" t="str">
        <f t="shared" si="72"/>
        <v/>
      </c>
      <c r="X99" s="39"/>
      <c r="Y99" s="72" t="str">
        <f t="shared" si="56"/>
        <v/>
      </c>
      <c r="Z99" s="72" t="str">
        <f t="shared" si="73"/>
        <v/>
      </c>
      <c r="AA99" s="39"/>
      <c r="AB99" s="72" t="str">
        <f t="shared" si="57"/>
        <v/>
      </c>
      <c r="AC99" s="72" t="str">
        <f t="shared" si="74"/>
        <v/>
      </c>
      <c r="AD99" s="39"/>
      <c r="AE99" s="72" t="str">
        <f t="shared" si="58"/>
        <v/>
      </c>
      <c r="AF99" s="72" t="str">
        <f t="shared" si="75"/>
        <v/>
      </c>
      <c r="AG99" s="39"/>
      <c r="AH99" s="72" t="str">
        <f t="shared" si="59"/>
        <v/>
      </c>
      <c r="AI99" s="72" t="str">
        <f t="shared" si="76"/>
        <v/>
      </c>
      <c r="AJ99" s="39"/>
      <c r="AK99" s="72" t="str">
        <f t="shared" si="60"/>
        <v/>
      </c>
      <c r="AL99" s="72" t="str">
        <f t="shared" si="77"/>
        <v/>
      </c>
      <c r="AM99" s="39"/>
      <c r="AN99" s="72" t="str">
        <f t="shared" si="61"/>
        <v/>
      </c>
      <c r="AO99" s="72" t="str">
        <f t="shared" si="78"/>
        <v/>
      </c>
      <c r="AP99" s="39"/>
      <c r="AQ99" s="72" t="str">
        <f t="shared" si="62"/>
        <v/>
      </c>
      <c r="AR99" s="72" t="str">
        <f t="shared" si="79"/>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63"/>
        <v/>
      </c>
      <c r="AW99" s="72" t="str">
        <f t="shared" si="64"/>
        <v/>
      </c>
      <c r="AX99" s="39"/>
      <c r="AY99" s="40" t="str">
        <f>IF(ISERROR(IF($K99&lt;=$F$15,VLOOKUP($I99,'表4）CO2価格'!$A$7:$E$67,VLOOKUP($F$48,'表4）CO2価格'!$H$10:$I$12,2,0),0)*$F$8/1000,"")),0,IF($K99&lt;=$F$15,VLOOKUP($I99,'表4）CO2価格'!$A$7:$E$67,VLOOKUP($F$48,'表4）CO2価格'!$H$10:$I$12,2,0),0)*$F$8/1000,""))</f>
        <v/>
      </c>
      <c r="AZ99" s="39"/>
      <c r="BA99" s="42" t="str">
        <f t="shared" si="65"/>
        <v/>
      </c>
      <c r="BB99" s="72" t="str">
        <f t="shared" si="80"/>
        <v/>
      </c>
      <c r="BC99" s="39"/>
      <c r="BD99" s="72" t="str">
        <f t="shared" si="66"/>
        <v/>
      </c>
      <c r="BE99" s="72" t="str">
        <f t="shared" si="81"/>
        <v/>
      </c>
      <c r="BF99" s="39"/>
      <c r="BG99" s="42" t="str">
        <f t="shared" si="67"/>
        <v/>
      </c>
      <c r="BH99" s="72" t="str">
        <f t="shared" si="82"/>
        <v/>
      </c>
      <c r="BI99" s="39"/>
      <c r="BJ99" s="40" t="str">
        <f t="shared" si="83"/>
        <v/>
      </c>
      <c r="BK99" s="157" t="str">
        <f t="shared" si="84"/>
        <v/>
      </c>
      <c r="BL99" s="157" t="str">
        <f t="shared" si="85"/>
        <v/>
      </c>
      <c r="BM99" s="72"/>
      <c r="BN99" s="72" t="str">
        <f t="shared" si="86"/>
        <v/>
      </c>
      <c r="BO99" s="72" t="str">
        <f t="shared" si="87"/>
        <v/>
      </c>
      <c r="BP99" s="39"/>
      <c r="BQ99" s="72" t="str">
        <f t="shared" si="68"/>
        <v/>
      </c>
      <c r="BR99" s="72" t="str">
        <f t="shared" si="88"/>
        <v/>
      </c>
    </row>
    <row r="100" spans="4:70" x14ac:dyDescent="0.15">
      <c r="F100" s="487"/>
      <c r="I100" s="457">
        <f t="shared" si="89"/>
        <v>2115</v>
      </c>
      <c r="K100" s="71">
        <f t="shared" si="90"/>
        <v>86</v>
      </c>
      <c r="M100" s="7">
        <f t="shared" si="53"/>
        <v>7.8704338912457969E-2</v>
      </c>
      <c r="O100" s="10" t="str">
        <f t="shared" si="69"/>
        <v/>
      </c>
      <c r="P100" s="29" t="str">
        <f t="shared" si="54"/>
        <v/>
      </c>
      <c r="R100" s="10" t="str">
        <f t="shared" si="70"/>
        <v/>
      </c>
      <c r="T100" s="10" t="str">
        <f t="shared" si="71"/>
        <v/>
      </c>
      <c r="V100" s="10" t="str">
        <f t="shared" si="55"/>
        <v/>
      </c>
      <c r="W100" s="10" t="str">
        <f t="shared" si="72"/>
        <v/>
      </c>
      <c r="Y100" s="10" t="str">
        <f t="shared" si="56"/>
        <v/>
      </c>
      <c r="Z100" s="10" t="str">
        <f t="shared" si="73"/>
        <v/>
      </c>
      <c r="AB100" s="10" t="str">
        <f t="shared" si="57"/>
        <v/>
      </c>
      <c r="AC100" s="10" t="str">
        <f t="shared" si="74"/>
        <v/>
      </c>
      <c r="AE100" s="10" t="str">
        <f t="shared" si="58"/>
        <v/>
      </c>
      <c r="AF100" s="10" t="str">
        <f t="shared" si="75"/>
        <v/>
      </c>
      <c r="AH100" s="10" t="str">
        <f t="shared" si="59"/>
        <v/>
      </c>
      <c r="AI100" s="10" t="str">
        <f t="shared" si="76"/>
        <v/>
      </c>
      <c r="AK100" s="10" t="str">
        <f t="shared" si="60"/>
        <v/>
      </c>
      <c r="AL100" s="10" t="str">
        <f t="shared" si="77"/>
        <v/>
      </c>
      <c r="AN100" s="10" t="str">
        <f t="shared" si="61"/>
        <v/>
      </c>
      <c r="AO100" s="10" t="str">
        <f t="shared" si="78"/>
        <v/>
      </c>
      <c r="AQ100" s="10" t="str">
        <f t="shared" si="62"/>
        <v/>
      </c>
      <c r="AR100" s="10" t="str">
        <f t="shared" si="79"/>
        <v/>
      </c>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V100" s="10" t="str">
        <f t="shared" si="63"/>
        <v/>
      </c>
      <c r="AW100" s="10" t="str">
        <f t="shared" si="64"/>
        <v/>
      </c>
      <c r="AY100" s="7" t="str">
        <f>IF(ISERROR(IF($K100&lt;=$F$15,VLOOKUP($I100,'表4）CO2価格'!$A$7:$E$67,VLOOKUP($F$48,'表4）CO2価格'!$H$10:$I$12,2,0),0)*$F$8/1000,"")),0,IF($K100&lt;=$F$15,VLOOKUP($I100,'表4）CO2価格'!$A$7:$E$67,VLOOKUP($F$48,'表4）CO2価格'!$H$10:$I$12,2,0),0)*$F$8/1000,""))</f>
        <v/>
      </c>
      <c r="BA100" s="11" t="str">
        <f t="shared" si="65"/>
        <v/>
      </c>
      <c r="BB100" s="10" t="str">
        <f t="shared" si="80"/>
        <v/>
      </c>
      <c r="BD100" s="10" t="str">
        <f t="shared" si="66"/>
        <v/>
      </c>
      <c r="BE100" s="10" t="str">
        <f t="shared" si="81"/>
        <v/>
      </c>
      <c r="BG100" s="11" t="str">
        <f t="shared" si="67"/>
        <v/>
      </c>
      <c r="BH100" s="10" t="str">
        <f t="shared" si="82"/>
        <v/>
      </c>
      <c r="BJ100" s="7" t="str">
        <f t="shared" si="83"/>
        <v/>
      </c>
      <c r="BK100" s="158" t="str">
        <f t="shared" si="84"/>
        <v/>
      </c>
      <c r="BL100" s="158" t="str">
        <f t="shared" si="85"/>
        <v/>
      </c>
      <c r="BM100" s="10"/>
      <c r="BN100" s="10" t="str">
        <f t="shared" si="86"/>
        <v/>
      </c>
      <c r="BO100" s="10" t="str">
        <f t="shared" si="87"/>
        <v/>
      </c>
      <c r="BQ100" s="10" t="str">
        <f t="shared" si="68"/>
        <v/>
      </c>
      <c r="BR100" s="10" t="str">
        <f t="shared" si="88"/>
        <v/>
      </c>
    </row>
    <row r="101" spans="4:70" x14ac:dyDescent="0.15">
      <c r="D101" s="100" t="s">
        <v>600</v>
      </c>
      <c r="E101" s="100"/>
      <c r="F101" s="486"/>
      <c r="G101" s="100"/>
      <c r="I101" s="38">
        <f t="shared" si="89"/>
        <v>2116</v>
      </c>
      <c r="J101" s="39"/>
      <c r="K101" s="39">
        <f t="shared" si="90"/>
        <v>87</v>
      </c>
      <c r="L101" s="39"/>
      <c r="M101" s="40">
        <f t="shared" si="53"/>
        <v>7.6411979526658208E-2</v>
      </c>
      <c r="N101" s="39"/>
      <c r="O101" s="72" t="str">
        <f t="shared" si="69"/>
        <v/>
      </c>
      <c r="P101" s="41" t="str">
        <f t="shared" si="54"/>
        <v/>
      </c>
      <c r="Q101" s="39"/>
      <c r="R101" s="72" t="str">
        <f t="shared" si="70"/>
        <v/>
      </c>
      <c r="S101" s="39"/>
      <c r="T101" s="72" t="str">
        <f t="shared" si="71"/>
        <v/>
      </c>
      <c r="U101" s="39"/>
      <c r="V101" s="72" t="str">
        <f t="shared" si="55"/>
        <v/>
      </c>
      <c r="W101" s="72" t="str">
        <f t="shared" si="72"/>
        <v/>
      </c>
      <c r="X101" s="39"/>
      <c r="Y101" s="72" t="str">
        <f t="shared" si="56"/>
        <v/>
      </c>
      <c r="Z101" s="72" t="str">
        <f t="shared" si="73"/>
        <v/>
      </c>
      <c r="AA101" s="39"/>
      <c r="AB101" s="72" t="str">
        <f t="shared" si="57"/>
        <v/>
      </c>
      <c r="AC101" s="72" t="str">
        <f t="shared" si="74"/>
        <v/>
      </c>
      <c r="AD101" s="39"/>
      <c r="AE101" s="72" t="str">
        <f t="shared" si="58"/>
        <v/>
      </c>
      <c r="AF101" s="72" t="str">
        <f t="shared" si="75"/>
        <v/>
      </c>
      <c r="AG101" s="39"/>
      <c r="AH101" s="72" t="str">
        <f t="shared" si="59"/>
        <v/>
      </c>
      <c r="AI101" s="72" t="str">
        <f t="shared" si="76"/>
        <v/>
      </c>
      <c r="AJ101" s="39"/>
      <c r="AK101" s="72" t="str">
        <f t="shared" si="60"/>
        <v/>
      </c>
      <c r="AL101" s="72" t="str">
        <f t="shared" si="77"/>
        <v/>
      </c>
      <c r="AM101" s="39"/>
      <c r="AN101" s="72" t="str">
        <f t="shared" si="61"/>
        <v/>
      </c>
      <c r="AO101" s="72" t="str">
        <f t="shared" si="78"/>
        <v/>
      </c>
      <c r="AP101" s="39"/>
      <c r="AQ101" s="72" t="str">
        <f t="shared" si="62"/>
        <v/>
      </c>
      <c r="AR101" s="72" t="str">
        <f t="shared" si="79"/>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63"/>
        <v/>
      </c>
      <c r="AW101" s="72" t="str">
        <f t="shared" si="64"/>
        <v/>
      </c>
      <c r="AX101" s="39"/>
      <c r="AY101" s="40" t="str">
        <f>IF(ISERROR(IF($K101&lt;=$F$15,VLOOKUP($I101,'表4）CO2価格'!$A$7:$E$67,VLOOKUP($F$48,'表4）CO2価格'!$H$10:$I$12,2,0),0)*$F$8/1000,"")),0,IF($K101&lt;=$F$15,VLOOKUP($I101,'表4）CO2価格'!$A$7:$E$67,VLOOKUP($F$48,'表4）CO2価格'!$H$10:$I$12,2,0),0)*$F$8/1000,""))</f>
        <v/>
      </c>
      <c r="AZ101" s="39"/>
      <c r="BA101" s="42" t="str">
        <f t="shared" si="65"/>
        <v/>
      </c>
      <c r="BB101" s="72" t="str">
        <f t="shared" si="80"/>
        <v/>
      </c>
      <c r="BC101" s="39"/>
      <c r="BD101" s="72" t="str">
        <f t="shared" si="66"/>
        <v/>
      </c>
      <c r="BE101" s="72" t="str">
        <f t="shared" si="81"/>
        <v/>
      </c>
      <c r="BF101" s="39"/>
      <c r="BG101" s="42" t="str">
        <f t="shared" si="67"/>
        <v/>
      </c>
      <c r="BH101" s="72" t="str">
        <f t="shared" si="82"/>
        <v/>
      </c>
      <c r="BI101" s="39"/>
      <c r="BJ101" s="40" t="str">
        <f t="shared" si="83"/>
        <v/>
      </c>
      <c r="BK101" s="157" t="str">
        <f t="shared" si="84"/>
        <v/>
      </c>
      <c r="BL101" s="157" t="str">
        <f t="shared" si="85"/>
        <v/>
      </c>
      <c r="BM101" s="72"/>
      <c r="BN101" s="72" t="str">
        <f t="shared" si="86"/>
        <v/>
      </c>
      <c r="BO101" s="72" t="str">
        <f t="shared" si="87"/>
        <v/>
      </c>
      <c r="BP101" s="39"/>
      <c r="BQ101" s="72" t="str">
        <f t="shared" si="68"/>
        <v/>
      </c>
      <c r="BR101" s="72" t="str">
        <f t="shared" si="88"/>
        <v/>
      </c>
    </row>
    <row r="102" spans="4:70" x14ac:dyDescent="0.15">
      <c r="F102" s="487"/>
      <c r="I102" s="457">
        <f t="shared" si="89"/>
        <v>2117</v>
      </c>
      <c r="K102" s="71">
        <f t="shared" si="90"/>
        <v>88</v>
      </c>
      <c r="M102" s="7">
        <f t="shared" si="53"/>
        <v>7.4186387889959446E-2</v>
      </c>
      <c r="O102" s="10" t="str">
        <f t="shared" si="69"/>
        <v/>
      </c>
      <c r="P102" s="29" t="str">
        <f t="shared" si="54"/>
        <v/>
      </c>
      <c r="R102" s="10" t="str">
        <f t="shared" si="70"/>
        <v/>
      </c>
      <c r="T102" s="10" t="str">
        <f t="shared" si="71"/>
        <v/>
      </c>
      <c r="V102" s="10" t="str">
        <f t="shared" si="55"/>
        <v/>
      </c>
      <c r="W102" s="10" t="str">
        <f t="shared" si="72"/>
        <v/>
      </c>
      <c r="Y102" s="10" t="str">
        <f t="shared" si="56"/>
        <v/>
      </c>
      <c r="Z102" s="10" t="str">
        <f t="shared" si="73"/>
        <v/>
      </c>
      <c r="AB102" s="10" t="str">
        <f t="shared" si="57"/>
        <v/>
      </c>
      <c r="AC102" s="10" t="str">
        <f t="shared" si="74"/>
        <v/>
      </c>
      <c r="AE102" s="10" t="str">
        <f t="shared" si="58"/>
        <v/>
      </c>
      <c r="AF102" s="10" t="str">
        <f t="shared" si="75"/>
        <v/>
      </c>
      <c r="AH102" s="10" t="str">
        <f t="shared" si="59"/>
        <v/>
      </c>
      <c r="AI102" s="10" t="str">
        <f t="shared" si="76"/>
        <v/>
      </c>
      <c r="AK102" s="10" t="str">
        <f t="shared" si="60"/>
        <v/>
      </c>
      <c r="AL102" s="10" t="str">
        <f t="shared" si="77"/>
        <v/>
      </c>
      <c r="AN102" s="10" t="str">
        <f t="shared" si="61"/>
        <v/>
      </c>
      <c r="AO102" s="10" t="str">
        <f t="shared" si="78"/>
        <v/>
      </c>
      <c r="AQ102" s="10" t="str">
        <f t="shared" si="62"/>
        <v/>
      </c>
      <c r="AR102" s="10" t="str">
        <f t="shared" si="79"/>
        <v/>
      </c>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V102" s="10" t="str">
        <f t="shared" si="63"/>
        <v/>
      </c>
      <c r="AW102" s="10" t="str">
        <f t="shared" si="64"/>
        <v/>
      </c>
      <c r="AY102" s="7" t="str">
        <f>IF(ISERROR(IF($K102&lt;=$F$15,VLOOKUP($I102,'表4）CO2価格'!$A$7:$E$67,VLOOKUP($F$48,'表4）CO2価格'!$H$10:$I$12,2,0),0)*$F$8/1000,"")),0,IF($K102&lt;=$F$15,VLOOKUP($I102,'表4）CO2価格'!$A$7:$E$67,VLOOKUP($F$48,'表4）CO2価格'!$H$10:$I$12,2,0),0)*$F$8/1000,""))</f>
        <v/>
      </c>
      <c r="BA102" s="11" t="str">
        <f t="shared" si="65"/>
        <v/>
      </c>
      <c r="BB102" s="10" t="str">
        <f t="shared" si="80"/>
        <v/>
      </c>
      <c r="BD102" s="10" t="str">
        <f t="shared" si="66"/>
        <v/>
      </c>
      <c r="BE102" s="10" t="str">
        <f t="shared" si="81"/>
        <v/>
      </c>
      <c r="BG102" s="11" t="str">
        <f t="shared" si="67"/>
        <v/>
      </c>
      <c r="BH102" s="10" t="str">
        <f t="shared" si="82"/>
        <v/>
      </c>
      <c r="BJ102" s="7" t="str">
        <f t="shared" si="83"/>
        <v/>
      </c>
      <c r="BK102" s="158" t="str">
        <f t="shared" si="84"/>
        <v/>
      </c>
      <c r="BL102" s="158" t="str">
        <f t="shared" si="85"/>
        <v/>
      </c>
      <c r="BM102" s="10"/>
      <c r="BN102" s="10" t="str">
        <f t="shared" si="86"/>
        <v/>
      </c>
      <c r="BO102" s="10" t="str">
        <f t="shared" si="87"/>
        <v/>
      </c>
      <c r="BQ102" s="10" t="str">
        <f t="shared" si="68"/>
        <v/>
      </c>
      <c r="BR102" s="10" t="str">
        <f t="shared" si="88"/>
        <v/>
      </c>
    </row>
    <row r="103" spans="4:70" x14ac:dyDescent="0.15">
      <c r="E103" s="84" t="s">
        <v>601</v>
      </c>
      <c r="F103" s="488">
        <f>BB116/$BR$116</f>
        <v>0</v>
      </c>
      <c r="G103" s="84" t="s">
        <v>590</v>
      </c>
      <c r="I103" s="38">
        <f t="shared" si="89"/>
        <v>2118</v>
      </c>
      <c r="J103" s="39"/>
      <c r="K103" s="39">
        <f t="shared" si="90"/>
        <v>89</v>
      </c>
      <c r="L103" s="39"/>
      <c r="M103" s="40">
        <f t="shared" si="53"/>
        <v>7.2025619310640235E-2</v>
      </c>
      <c r="N103" s="39"/>
      <c r="O103" s="72" t="str">
        <f t="shared" si="69"/>
        <v/>
      </c>
      <c r="P103" s="41" t="str">
        <f t="shared" si="54"/>
        <v/>
      </c>
      <c r="Q103" s="39"/>
      <c r="R103" s="72" t="str">
        <f t="shared" si="70"/>
        <v/>
      </c>
      <c r="S103" s="39"/>
      <c r="T103" s="72" t="str">
        <f t="shared" si="71"/>
        <v/>
      </c>
      <c r="U103" s="39"/>
      <c r="V103" s="72" t="str">
        <f t="shared" si="55"/>
        <v/>
      </c>
      <c r="W103" s="72" t="str">
        <f t="shared" si="72"/>
        <v/>
      </c>
      <c r="X103" s="39"/>
      <c r="Y103" s="72" t="str">
        <f t="shared" si="56"/>
        <v/>
      </c>
      <c r="Z103" s="72" t="str">
        <f t="shared" si="73"/>
        <v/>
      </c>
      <c r="AA103" s="39"/>
      <c r="AB103" s="72" t="str">
        <f t="shared" si="57"/>
        <v/>
      </c>
      <c r="AC103" s="72" t="str">
        <f t="shared" si="74"/>
        <v/>
      </c>
      <c r="AD103" s="39"/>
      <c r="AE103" s="72" t="str">
        <f t="shared" si="58"/>
        <v/>
      </c>
      <c r="AF103" s="72" t="str">
        <f t="shared" si="75"/>
        <v/>
      </c>
      <c r="AG103" s="39"/>
      <c r="AH103" s="72" t="str">
        <f t="shared" si="59"/>
        <v/>
      </c>
      <c r="AI103" s="72" t="str">
        <f t="shared" si="76"/>
        <v/>
      </c>
      <c r="AJ103" s="39"/>
      <c r="AK103" s="72" t="str">
        <f t="shared" si="60"/>
        <v/>
      </c>
      <c r="AL103" s="72" t="str">
        <f t="shared" si="77"/>
        <v/>
      </c>
      <c r="AM103" s="39"/>
      <c r="AN103" s="72" t="str">
        <f t="shared" si="61"/>
        <v/>
      </c>
      <c r="AO103" s="72" t="str">
        <f t="shared" si="78"/>
        <v/>
      </c>
      <c r="AP103" s="39"/>
      <c r="AQ103" s="72" t="str">
        <f t="shared" si="62"/>
        <v/>
      </c>
      <c r="AR103" s="72" t="str">
        <f t="shared" si="79"/>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63"/>
        <v/>
      </c>
      <c r="AW103" s="72" t="str">
        <f t="shared" si="64"/>
        <v/>
      </c>
      <c r="AX103" s="39"/>
      <c r="AY103" s="40" t="str">
        <f>IF(ISERROR(IF($K103&lt;=$F$15,VLOOKUP($I103,'表4）CO2価格'!$A$7:$E$67,VLOOKUP($F$48,'表4）CO2価格'!$H$10:$I$12,2,0),0)*$F$8/1000,"")),0,IF($K103&lt;=$F$15,VLOOKUP($I103,'表4）CO2価格'!$A$7:$E$67,VLOOKUP($F$48,'表4）CO2価格'!$H$10:$I$12,2,0),0)*$F$8/1000,""))</f>
        <v/>
      </c>
      <c r="AZ103" s="39"/>
      <c r="BA103" s="42" t="str">
        <f t="shared" si="65"/>
        <v/>
      </c>
      <c r="BB103" s="72" t="str">
        <f t="shared" si="80"/>
        <v/>
      </c>
      <c r="BC103" s="39"/>
      <c r="BD103" s="72" t="str">
        <f t="shared" si="66"/>
        <v/>
      </c>
      <c r="BE103" s="72" t="str">
        <f t="shared" si="81"/>
        <v/>
      </c>
      <c r="BF103" s="39"/>
      <c r="BG103" s="42" t="str">
        <f t="shared" si="67"/>
        <v/>
      </c>
      <c r="BH103" s="72" t="str">
        <f t="shared" si="82"/>
        <v/>
      </c>
      <c r="BI103" s="39"/>
      <c r="BJ103" s="40" t="str">
        <f t="shared" si="83"/>
        <v/>
      </c>
      <c r="BK103" s="157" t="str">
        <f t="shared" si="84"/>
        <v/>
      </c>
      <c r="BL103" s="157" t="str">
        <f t="shared" si="85"/>
        <v/>
      </c>
      <c r="BM103" s="72"/>
      <c r="BN103" s="72" t="str">
        <f t="shared" si="86"/>
        <v/>
      </c>
      <c r="BO103" s="72" t="str">
        <f t="shared" si="87"/>
        <v/>
      </c>
      <c r="BP103" s="39"/>
      <c r="BQ103" s="72" t="str">
        <f t="shared" si="68"/>
        <v/>
      </c>
      <c r="BR103" s="72" t="str">
        <f t="shared" si="88"/>
        <v/>
      </c>
    </row>
    <row r="104" spans="4:70" x14ac:dyDescent="0.15">
      <c r="E104" s="84" t="s">
        <v>602</v>
      </c>
      <c r="F104" s="488">
        <f>IF(ISERROR(F60*(1/F61)/F62),0,F60*(1/F61)/F62)</f>
        <v>0</v>
      </c>
      <c r="G104" s="84" t="s">
        <v>590</v>
      </c>
      <c r="I104" s="457">
        <f t="shared" si="89"/>
        <v>2119</v>
      </c>
      <c r="K104" s="71">
        <f t="shared" si="90"/>
        <v>90</v>
      </c>
      <c r="M104" s="7">
        <f t="shared" si="53"/>
        <v>6.9927785738485654E-2</v>
      </c>
      <c r="O104" s="10" t="str">
        <f t="shared" si="69"/>
        <v/>
      </c>
      <c r="P104" s="29" t="str">
        <f t="shared" si="54"/>
        <v/>
      </c>
      <c r="R104" s="10" t="str">
        <f t="shared" si="70"/>
        <v/>
      </c>
      <c r="T104" s="10" t="str">
        <f t="shared" si="71"/>
        <v/>
      </c>
      <c r="V104" s="10" t="str">
        <f t="shared" si="55"/>
        <v/>
      </c>
      <c r="W104" s="10" t="str">
        <f t="shared" si="72"/>
        <v/>
      </c>
      <c r="Y104" s="10" t="str">
        <f t="shared" si="56"/>
        <v/>
      </c>
      <c r="Z104" s="10" t="str">
        <f t="shared" si="73"/>
        <v/>
      </c>
      <c r="AB104" s="10" t="str">
        <f t="shared" si="57"/>
        <v/>
      </c>
      <c r="AC104" s="10" t="str">
        <f t="shared" si="74"/>
        <v/>
      </c>
      <c r="AE104" s="10" t="str">
        <f t="shared" si="58"/>
        <v/>
      </c>
      <c r="AF104" s="10" t="str">
        <f t="shared" si="75"/>
        <v/>
      </c>
      <c r="AH104" s="10" t="str">
        <f t="shared" si="59"/>
        <v/>
      </c>
      <c r="AI104" s="10" t="str">
        <f t="shared" si="76"/>
        <v/>
      </c>
      <c r="AK104" s="10" t="str">
        <f t="shared" si="60"/>
        <v/>
      </c>
      <c r="AL104" s="10" t="str">
        <f t="shared" si="77"/>
        <v/>
      </c>
      <c r="AN104" s="10" t="str">
        <f t="shared" si="61"/>
        <v/>
      </c>
      <c r="AO104" s="10" t="str">
        <f t="shared" si="78"/>
        <v/>
      </c>
      <c r="AQ104" s="10" t="str">
        <f t="shared" si="62"/>
        <v/>
      </c>
      <c r="AR104" s="10" t="str">
        <f t="shared" si="79"/>
        <v/>
      </c>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V104" s="10" t="str">
        <f t="shared" si="63"/>
        <v/>
      </c>
      <c r="AW104" s="10" t="str">
        <f t="shared" si="64"/>
        <v/>
      </c>
      <c r="AY104" s="7" t="str">
        <f>IF(ISERROR(IF($K104&lt;=$F$15,VLOOKUP($I104,'表4）CO2価格'!$A$7:$E$67,VLOOKUP($F$48,'表4）CO2価格'!$H$10:$I$12,2,0),0)*$F$8/1000,"")),0,IF($K104&lt;=$F$15,VLOOKUP($I104,'表4）CO2価格'!$A$7:$E$67,VLOOKUP($F$48,'表4）CO2価格'!$H$10:$I$12,2,0),0)*$F$8/1000,""))</f>
        <v/>
      </c>
      <c r="BA104" s="11" t="str">
        <f t="shared" si="65"/>
        <v/>
      </c>
      <c r="BB104" s="10" t="str">
        <f t="shared" si="80"/>
        <v/>
      </c>
      <c r="BD104" s="10" t="str">
        <f t="shared" si="66"/>
        <v/>
      </c>
      <c r="BE104" s="10" t="str">
        <f t="shared" si="81"/>
        <v/>
      </c>
      <c r="BG104" s="11" t="str">
        <f t="shared" si="67"/>
        <v/>
      </c>
      <c r="BH104" s="10" t="str">
        <f t="shared" si="82"/>
        <v/>
      </c>
      <c r="BJ104" s="7" t="str">
        <f t="shared" si="83"/>
        <v/>
      </c>
      <c r="BK104" s="158" t="str">
        <f t="shared" si="84"/>
        <v/>
      </c>
      <c r="BL104" s="158" t="str">
        <f t="shared" si="85"/>
        <v/>
      </c>
      <c r="BM104" s="10"/>
      <c r="BN104" s="10" t="str">
        <f t="shared" si="86"/>
        <v/>
      </c>
      <c r="BO104" s="10" t="str">
        <f t="shared" si="87"/>
        <v/>
      </c>
      <c r="BQ104" s="10" t="str">
        <f t="shared" si="68"/>
        <v/>
      </c>
      <c r="BR104" s="10" t="str">
        <f t="shared" si="88"/>
        <v/>
      </c>
    </row>
    <row r="105" spans="4:70" x14ac:dyDescent="0.15">
      <c r="E105" s="71" t="s">
        <v>603</v>
      </c>
      <c r="F105" s="488">
        <f>F64</f>
        <v>0.23</v>
      </c>
      <c r="G105" s="84" t="s">
        <v>590</v>
      </c>
      <c r="I105" s="38">
        <f t="shared" si="89"/>
        <v>2120</v>
      </c>
      <c r="J105" s="39"/>
      <c r="K105" s="39">
        <f t="shared" si="90"/>
        <v>91</v>
      </c>
      <c r="L105" s="39"/>
      <c r="M105" s="40">
        <f t="shared" si="53"/>
        <v>6.7891054115034627E-2</v>
      </c>
      <c r="N105" s="39"/>
      <c r="O105" s="72" t="str">
        <f t="shared" si="69"/>
        <v/>
      </c>
      <c r="P105" s="41" t="str">
        <f t="shared" si="54"/>
        <v/>
      </c>
      <c r="Q105" s="39"/>
      <c r="R105" s="72" t="str">
        <f t="shared" si="70"/>
        <v/>
      </c>
      <c r="S105" s="39"/>
      <c r="T105" s="72" t="str">
        <f t="shared" si="71"/>
        <v/>
      </c>
      <c r="U105" s="39"/>
      <c r="V105" s="72" t="str">
        <f t="shared" si="55"/>
        <v/>
      </c>
      <c r="W105" s="72" t="str">
        <f t="shared" si="72"/>
        <v/>
      </c>
      <c r="X105" s="39"/>
      <c r="Y105" s="72" t="str">
        <f t="shared" si="56"/>
        <v/>
      </c>
      <c r="Z105" s="72" t="str">
        <f t="shared" si="73"/>
        <v/>
      </c>
      <c r="AA105" s="39"/>
      <c r="AB105" s="72" t="str">
        <f t="shared" si="57"/>
        <v/>
      </c>
      <c r="AC105" s="72" t="str">
        <f t="shared" si="74"/>
        <v/>
      </c>
      <c r="AD105" s="39"/>
      <c r="AE105" s="72" t="str">
        <f t="shared" si="58"/>
        <v/>
      </c>
      <c r="AF105" s="72" t="str">
        <f t="shared" si="75"/>
        <v/>
      </c>
      <c r="AG105" s="39"/>
      <c r="AH105" s="72" t="str">
        <f t="shared" si="59"/>
        <v/>
      </c>
      <c r="AI105" s="72" t="str">
        <f t="shared" si="76"/>
        <v/>
      </c>
      <c r="AJ105" s="39"/>
      <c r="AK105" s="72" t="str">
        <f t="shared" si="60"/>
        <v/>
      </c>
      <c r="AL105" s="72" t="str">
        <f t="shared" si="77"/>
        <v/>
      </c>
      <c r="AM105" s="39"/>
      <c r="AN105" s="72" t="str">
        <f t="shared" si="61"/>
        <v/>
      </c>
      <c r="AO105" s="72" t="str">
        <f t="shared" si="78"/>
        <v/>
      </c>
      <c r="AP105" s="39"/>
      <c r="AQ105" s="72" t="str">
        <f t="shared" si="62"/>
        <v/>
      </c>
      <c r="AR105" s="72" t="str">
        <f t="shared" si="79"/>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63"/>
        <v/>
      </c>
      <c r="AW105" s="72" t="str">
        <f t="shared" si="64"/>
        <v/>
      </c>
      <c r="AX105" s="39"/>
      <c r="AY105" s="40" t="str">
        <f>IF(ISERROR(IF($K105&lt;=$F$15,VLOOKUP($I105,'表4）CO2価格'!$A$7:$E$67,VLOOKUP($F$48,'表4）CO2価格'!$H$10:$I$12,2,0),0)*$F$8/1000,"")),0,IF($K105&lt;=$F$15,VLOOKUP($I105,'表4）CO2価格'!$A$7:$E$67,VLOOKUP($F$48,'表4）CO2価格'!$H$10:$I$12,2,0),0)*$F$8/1000,""))</f>
        <v/>
      </c>
      <c r="AZ105" s="39"/>
      <c r="BA105" s="42" t="str">
        <f t="shared" si="65"/>
        <v/>
      </c>
      <c r="BB105" s="72" t="str">
        <f t="shared" si="80"/>
        <v/>
      </c>
      <c r="BC105" s="39"/>
      <c r="BD105" s="72" t="str">
        <f t="shared" si="66"/>
        <v/>
      </c>
      <c r="BE105" s="72" t="str">
        <f t="shared" si="81"/>
        <v/>
      </c>
      <c r="BF105" s="39"/>
      <c r="BG105" s="42" t="str">
        <f t="shared" si="67"/>
        <v/>
      </c>
      <c r="BH105" s="72" t="str">
        <f t="shared" si="82"/>
        <v/>
      </c>
      <c r="BI105" s="39"/>
      <c r="BJ105" s="40" t="str">
        <f t="shared" si="83"/>
        <v/>
      </c>
      <c r="BK105" s="157" t="str">
        <f t="shared" si="84"/>
        <v/>
      </c>
      <c r="BL105" s="157" t="str">
        <f t="shared" si="85"/>
        <v/>
      </c>
      <c r="BM105" s="72"/>
      <c r="BN105" s="72" t="str">
        <f t="shared" si="86"/>
        <v/>
      </c>
      <c r="BO105" s="72" t="str">
        <f t="shared" si="87"/>
        <v/>
      </c>
      <c r="BP105" s="39"/>
      <c r="BQ105" s="72" t="str">
        <f t="shared" si="68"/>
        <v/>
      </c>
      <c r="BR105" s="72" t="str">
        <f t="shared" si="88"/>
        <v/>
      </c>
    </row>
    <row r="106" spans="4:70" x14ac:dyDescent="0.15">
      <c r="F106" s="487"/>
      <c r="I106" s="457">
        <f t="shared" si="89"/>
        <v>2121</v>
      </c>
      <c r="K106" s="71">
        <f t="shared" si="90"/>
        <v>92</v>
      </c>
      <c r="M106" s="7">
        <f t="shared" si="53"/>
        <v>6.5913644771878277E-2</v>
      </c>
      <c r="O106" s="10" t="str">
        <f t="shared" si="69"/>
        <v/>
      </c>
      <c r="P106" s="29" t="str">
        <f t="shared" si="54"/>
        <v/>
      </c>
      <c r="R106" s="10" t="str">
        <f t="shared" si="70"/>
        <v/>
      </c>
      <c r="T106" s="10" t="str">
        <f t="shared" si="71"/>
        <v/>
      </c>
      <c r="V106" s="10" t="str">
        <f t="shared" si="55"/>
        <v/>
      </c>
      <c r="W106" s="10" t="str">
        <f t="shared" si="72"/>
        <v/>
      </c>
      <c r="Y106" s="10" t="str">
        <f t="shared" si="56"/>
        <v/>
      </c>
      <c r="Z106" s="10" t="str">
        <f t="shared" si="73"/>
        <v/>
      </c>
      <c r="AB106" s="10" t="str">
        <f t="shared" si="57"/>
        <v/>
      </c>
      <c r="AC106" s="10" t="str">
        <f t="shared" si="74"/>
        <v/>
      </c>
      <c r="AE106" s="10" t="str">
        <f t="shared" si="58"/>
        <v/>
      </c>
      <c r="AF106" s="10" t="str">
        <f t="shared" si="75"/>
        <v/>
      </c>
      <c r="AH106" s="10" t="str">
        <f t="shared" si="59"/>
        <v/>
      </c>
      <c r="AI106" s="10" t="str">
        <f t="shared" si="76"/>
        <v/>
      </c>
      <c r="AK106" s="10" t="str">
        <f t="shared" si="60"/>
        <v/>
      </c>
      <c r="AL106" s="10" t="str">
        <f t="shared" si="77"/>
        <v/>
      </c>
      <c r="AN106" s="10" t="str">
        <f t="shared" si="61"/>
        <v/>
      </c>
      <c r="AO106" s="10" t="str">
        <f t="shared" si="78"/>
        <v/>
      </c>
      <c r="AQ106" s="10" t="str">
        <f t="shared" si="62"/>
        <v/>
      </c>
      <c r="AR106" s="10" t="str">
        <f t="shared" si="79"/>
        <v/>
      </c>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V106" s="10" t="str">
        <f t="shared" si="63"/>
        <v/>
      </c>
      <c r="AW106" s="10" t="str">
        <f t="shared" si="64"/>
        <v/>
      </c>
      <c r="AY106" s="7" t="str">
        <f>IF(ISERROR(IF($K106&lt;=$F$15,VLOOKUP($I106,'表4）CO2価格'!$A$7:$E$67,VLOOKUP($F$48,'表4）CO2価格'!$H$10:$I$12,2,0),0)*$F$8/1000,"")),0,IF($K106&lt;=$F$15,VLOOKUP($I106,'表4）CO2価格'!$A$7:$E$67,VLOOKUP($F$48,'表4）CO2価格'!$H$10:$I$12,2,0),0)*$F$8/1000,""))</f>
        <v/>
      </c>
      <c r="BA106" s="11" t="str">
        <f t="shared" si="65"/>
        <v/>
      </c>
      <c r="BB106" s="10" t="str">
        <f t="shared" si="80"/>
        <v/>
      </c>
      <c r="BD106" s="10" t="str">
        <f t="shared" si="66"/>
        <v/>
      </c>
      <c r="BE106" s="10" t="str">
        <f t="shared" si="81"/>
        <v/>
      </c>
      <c r="BG106" s="11" t="str">
        <f t="shared" si="67"/>
        <v/>
      </c>
      <c r="BH106" s="10" t="str">
        <f t="shared" si="82"/>
        <v/>
      </c>
      <c r="BJ106" s="7" t="str">
        <f t="shared" si="83"/>
        <v/>
      </c>
      <c r="BK106" s="158" t="str">
        <f t="shared" si="84"/>
        <v/>
      </c>
      <c r="BL106" s="158" t="str">
        <f t="shared" si="85"/>
        <v/>
      </c>
      <c r="BM106" s="10"/>
      <c r="BN106" s="10" t="str">
        <f t="shared" si="86"/>
        <v/>
      </c>
      <c r="BO106" s="10" t="str">
        <f t="shared" si="87"/>
        <v/>
      </c>
      <c r="BQ106" s="10" t="str">
        <f t="shared" si="68"/>
        <v/>
      </c>
      <c r="BR106" s="10" t="str">
        <f t="shared" si="88"/>
        <v/>
      </c>
    </row>
    <row r="107" spans="4:70" ht="15" x14ac:dyDescent="0.15">
      <c r="D107" s="103" t="s">
        <v>604</v>
      </c>
      <c r="F107" s="484">
        <f>SUBTOTAL(9,F111:F112)</f>
        <v>0</v>
      </c>
      <c r="G107" s="84" t="s">
        <v>590</v>
      </c>
      <c r="I107" s="38">
        <f t="shared" si="89"/>
        <v>2122</v>
      </c>
      <c r="J107" s="39"/>
      <c r="K107" s="39">
        <f t="shared" si="90"/>
        <v>93</v>
      </c>
      <c r="L107" s="39"/>
      <c r="M107" s="40">
        <f t="shared" si="53"/>
        <v>6.3993829875609989E-2</v>
      </c>
      <c r="N107" s="39"/>
      <c r="O107" s="72" t="str">
        <f t="shared" si="69"/>
        <v/>
      </c>
      <c r="P107" s="41" t="str">
        <f t="shared" si="54"/>
        <v/>
      </c>
      <c r="Q107" s="39"/>
      <c r="R107" s="72" t="str">
        <f t="shared" si="70"/>
        <v/>
      </c>
      <c r="S107" s="39"/>
      <c r="T107" s="72" t="str">
        <f t="shared" si="71"/>
        <v/>
      </c>
      <c r="U107" s="39"/>
      <c r="V107" s="72" t="str">
        <f t="shared" si="55"/>
        <v/>
      </c>
      <c r="W107" s="72" t="str">
        <f t="shared" si="72"/>
        <v/>
      </c>
      <c r="X107" s="39"/>
      <c r="Y107" s="72" t="str">
        <f t="shared" si="56"/>
        <v/>
      </c>
      <c r="Z107" s="72" t="str">
        <f t="shared" si="73"/>
        <v/>
      </c>
      <c r="AA107" s="39"/>
      <c r="AB107" s="72" t="str">
        <f t="shared" si="57"/>
        <v/>
      </c>
      <c r="AC107" s="72" t="str">
        <f t="shared" si="74"/>
        <v/>
      </c>
      <c r="AD107" s="39"/>
      <c r="AE107" s="72" t="str">
        <f t="shared" si="58"/>
        <v/>
      </c>
      <c r="AF107" s="72" t="str">
        <f t="shared" si="75"/>
        <v/>
      </c>
      <c r="AG107" s="39"/>
      <c r="AH107" s="72" t="str">
        <f t="shared" si="59"/>
        <v/>
      </c>
      <c r="AI107" s="72" t="str">
        <f t="shared" si="76"/>
        <v/>
      </c>
      <c r="AJ107" s="39"/>
      <c r="AK107" s="72" t="str">
        <f t="shared" si="60"/>
        <v/>
      </c>
      <c r="AL107" s="72" t="str">
        <f t="shared" si="77"/>
        <v/>
      </c>
      <c r="AM107" s="39"/>
      <c r="AN107" s="72" t="str">
        <f t="shared" si="61"/>
        <v/>
      </c>
      <c r="AO107" s="72" t="str">
        <f t="shared" si="78"/>
        <v/>
      </c>
      <c r="AP107" s="39"/>
      <c r="AQ107" s="72" t="str">
        <f t="shared" si="62"/>
        <v/>
      </c>
      <c r="AR107" s="72" t="str">
        <f t="shared" si="79"/>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63"/>
        <v/>
      </c>
      <c r="AW107" s="72" t="str">
        <f t="shared" si="64"/>
        <v/>
      </c>
      <c r="AX107" s="39"/>
      <c r="AY107" s="40" t="str">
        <f>IF(ISERROR(IF($K107&lt;=$F$15,VLOOKUP($I107,'表4）CO2価格'!$A$7:$E$67,VLOOKUP($F$48,'表4）CO2価格'!$H$10:$I$12,2,0),0)*$F$8/1000,"")),0,IF($K107&lt;=$F$15,VLOOKUP($I107,'表4）CO2価格'!$A$7:$E$67,VLOOKUP($F$48,'表4）CO2価格'!$H$10:$I$12,2,0),0)*$F$8/1000,""))</f>
        <v/>
      </c>
      <c r="AZ107" s="39"/>
      <c r="BA107" s="42" t="str">
        <f t="shared" si="65"/>
        <v/>
      </c>
      <c r="BB107" s="72" t="str">
        <f t="shared" si="80"/>
        <v/>
      </c>
      <c r="BC107" s="39"/>
      <c r="BD107" s="72" t="str">
        <f t="shared" si="66"/>
        <v/>
      </c>
      <c r="BE107" s="72" t="str">
        <f t="shared" si="81"/>
        <v/>
      </c>
      <c r="BF107" s="39"/>
      <c r="BG107" s="42" t="str">
        <f t="shared" si="67"/>
        <v/>
      </c>
      <c r="BH107" s="72" t="str">
        <f t="shared" si="82"/>
        <v/>
      </c>
      <c r="BI107" s="39"/>
      <c r="BJ107" s="40" t="str">
        <f t="shared" si="83"/>
        <v/>
      </c>
      <c r="BK107" s="157" t="str">
        <f t="shared" si="84"/>
        <v/>
      </c>
      <c r="BL107" s="157" t="str">
        <f t="shared" si="85"/>
        <v/>
      </c>
      <c r="BM107" s="72"/>
      <c r="BN107" s="72" t="str">
        <f t="shared" si="86"/>
        <v/>
      </c>
      <c r="BO107" s="72" t="str">
        <f t="shared" si="87"/>
        <v/>
      </c>
      <c r="BP107" s="39"/>
      <c r="BQ107" s="72" t="str">
        <f t="shared" si="68"/>
        <v/>
      </c>
      <c r="BR107" s="72" t="str">
        <f t="shared" si="88"/>
        <v/>
      </c>
    </row>
    <row r="108" spans="4:70" ht="15" x14ac:dyDescent="0.15">
      <c r="D108" s="103"/>
      <c r="F108" s="487"/>
      <c r="I108" s="457">
        <f t="shared" si="89"/>
        <v>2123</v>
      </c>
      <c r="K108" s="71">
        <f t="shared" si="90"/>
        <v>94</v>
      </c>
      <c r="M108" s="7">
        <f t="shared" si="53"/>
        <v>6.212993191806794E-2</v>
      </c>
      <c r="O108" s="10" t="str">
        <f t="shared" si="69"/>
        <v/>
      </c>
      <c r="P108" s="29" t="str">
        <f t="shared" si="54"/>
        <v/>
      </c>
      <c r="R108" s="10" t="str">
        <f t="shared" si="70"/>
        <v/>
      </c>
      <c r="T108" s="10" t="str">
        <f t="shared" si="71"/>
        <v/>
      </c>
      <c r="V108" s="10" t="str">
        <f t="shared" si="55"/>
        <v/>
      </c>
      <c r="W108" s="10" t="str">
        <f t="shared" si="72"/>
        <v/>
      </c>
      <c r="Y108" s="10" t="str">
        <f t="shared" si="56"/>
        <v/>
      </c>
      <c r="Z108" s="10" t="str">
        <f t="shared" si="73"/>
        <v/>
      </c>
      <c r="AB108" s="10" t="str">
        <f t="shared" si="57"/>
        <v/>
      </c>
      <c r="AC108" s="10" t="str">
        <f t="shared" si="74"/>
        <v/>
      </c>
      <c r="AE108" s="10" t="str">
        <f t="shared" si="58"/>
        <v/>
      </c>
      <c r="AF108" s="10" t="str">
        <f t="shared" si="75"/>
        <v/>
      </c>
      <c r="AH108" s="10" t="str">
        <f t="shared" si="59"/>
        <v/>
      </c>
      <c r="AI108" s="10" t="str">
        <f t="shared" si="76"/>
        <v/>
      </c>
      <c r="AK108" s="10" t="str">
        <f t="shared" si="60"/>
        <v/>
      </c>
      <c r="AL108" s="10" t="str">
        <f t="shared" si="77"/>
        <v/>
      </c>
      <c r="AN108" s="10" t="str">
        <f t="shared" si="61"/>
        <v/>
      </c>
      <c r="AO108" s="10" t="str">
        <f t="shared" si="78"/>
        <v/>
      </c>
      <c r="AQ108" s="10" t="str">
        <f t="shared" si="62"/>
        <v/>
      </c>
      <c r="AR108" s="10" t="str">
        <f t="shared" si="79"/>
        <v/>
      </c>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V108" s="10" t="str">
        <f t="shared" si="63"/>
        <v/>
      </c>
      <c r="AW108" s="10" t="str">
        <f t="shared" si="64"/>
        <v/>
      </c>
      <c r="AY108" s="7" t="str">
        <f>IF(ISERROR(IF($K108&lt;=$F$15,VLOOKUP($I108,'表4）CO2価格'!$A$7:$E$67,VLOOKUP($F$48,'表4）CO2価格'!$H$10:$I$12,2,0),0)*$F$8/1000,"")),0,IF($K108&lt;=$F$15,VLOOKUP($I108,'表4）CO2価格'!$A$7:$E$67,VLOOKUP($F$48,'表4）CO2価格'!$H$10:$I$12,2,0),0)*$F$8/1000,""))</f>
        <v/>
      </c>
      <c r="BA108" s="11" t="str">
        <f t="shared" si="65"/>
        <v/>
      </c>
      <c r="BB108" s="10" t="str">
        <f t="shared" si="80"/>
        <v/>
      </c>
      <c r="BD108" s="10" t="str">
        <f t="shared" si="66"/>
        <v/>
      </c>
      <c r="BE108" s="10" t="str">
        <f t="shared" si="81"/>
        <v/>
      </c>
      <c r="BG108" s="11" t="str">
        <f t="shared" si="67"/>
        <v/>
      </c>
      <c r="BH108" s="10" t="str">
        <f t="shared" si="82"/>
        <v/>
      </c>
      <c r="BJ108" s="7" t="str">
        <f t="shared" si="83"/>
        <v/>
      </c>
      <c r="BK108" s="158" t="str">
        <f t="shared" si="84"/>
        <v/>
      </c>
      <c r="BL108" s="158" t="str">
        <f t="shared" si="85"/>
        <v/>
      </c>
      <c r="BM108" s="10"/>
      <c r="BN108" s="10" t="str">
        <f t="shared" si="86"/>
        <v/>
      </c>
      <c r="BO108" s="10" t="str">
        <f t="shared" si="87"/>
        <v/>
      </c>
      <c r="BQ108" s="10" t="str">
        <f t="shared" si="68"/>
        <v/>
      </c>
      <c r="BR108" s="10" t="str">
        <f t="shared" si="88"/>
        <v/>
      </c>
    </row>
    <row r="109" spans="4:70" x14ac:dyDescent="0.15">
      <c r="D109" s="100" t="s">
        <v>605</v>
      </c>
      <c r="E109" s="100"/>
      <c r="F109" s="486"/>
      <c r="G109" s="100"/>
      <c r="I109" s="38">
        <f t="shared" si="89"/>
        <v>2124</v>
      </c>
      <c r="J109" s="39"/>
      <c r="K109" s="39">
        <f t="shared" si="90"/>
        <v>95</v>
      </c>
      <c r="L109" s="39"/>
      <c r="M109" s="40">
        <f t="shared" si="53"/>
        <v>6.0320322250551395E-2</v>
      </c>
      <c r="N109" s="39"/>
      <c r="O109" s="72" t="str">
        <f t="shared" si="69"/>
        <v/>
      </c>
      <c r="P109" s="41" t="str">
        <f t="shared" si="54"/>
        <v/>
      </c>
      <c r="Q109" s="39"/>
      <c r="R109" s="72" t="str">
        <f t="shared" si="70"/>
        <v/>
      </c>
      <c r="S109" s="39"/>
      <c r="T109" s="72" t="str">
        <f t="shared" si="71"/>
        <v/>
      </c>
      <c r="U109" s="39"/>
      <c r="V109" s="72" t="str">
        <f t="shared" si="55"/>
        <v/>
      </c>
      <c r="W109" s="72" t="str">
        <f t="shared" si="72"/>
        <v/>
      </c>
      <c r="X109" s="39"/>
      <c r="Y109" s="72" t="str">
        <f t="shared" si="56"/>
        <v/>
      </c>
      <c r="Z109" s="72" t="str">
        <f t="shared" si="73"/>
        <v/>
      </c>
      <c r="AA109" s="39"/>
      <c r="AB109" s="72" t="str">
        <f t="shared" si="57"/>
        <v/>
      </c>
      <c r="AC109" s="72" t="str">
        <f t="shared" si="74"/>
        <v/>
      </c>
      <c r="AD109" s="39"/>
      <c r="AE109" s="72" t="str">
        <f t="shared" si="58"/>
        <v/>
      </c>
      <c r="AF109" s="72" t="str">
        <f t="shared" si="75"/>
        <v/>
      </c>
      <c r="AG109" s="39"/>
      <c r="AH109" s="72" t="str">
        <f t="shared" si="59"/>
        <v/>
      </c>
      <c r="AI109" s="72" t="str">
        <f t="shared" si="76"/>
        <v/>
      </c>
      <c r="AJ109" s="39"/>
      <c r="AK109" s="72" t="str">
        <f t="shared" si="60"/>
        <v/>
      </c>
      <c r="AL109" s="72" t="str">
        <f t="shared" si="77"/>
        <v/>
      </c>
      <c r="AM109" s="39"/>
      <c r="AN109" s="72" t="str">
        <f t="shared" si="61"/>
        <v/>
      </c>
      <c r="AO109" s="72" t="str">
        <f t="shared" si="78"/>
        <v/>
      </c>
      <c r="AP109" s="39"/>
      <c r="AQ109" s="72" t="str">
        <f t="shared" si="62"/>
        <v/>
      </c>
      <c r="AR109" s="72" t="str">
        <f t="shared" si="79"/>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63"/>
        <v/>
      </c>
      <c r="AW109" s="72" t="str">
        <f t="shared" si="64"/>
        <v/>
      </c>
      <c r="AX109" s="39"/>
      <c r="AY109" s="40" t="str">
        <f>IF(ISERROR(IF($K109&lt;=$F$15,VLOOKUP($I109,'表4）CO2価格'!$A$7:$E$67,VLOOKUP($F$48,'表4）CO2価格'!$H$10:$I$12,2,0),0)*$F$8/1000,"")),0,IF($K109&lt;=$F$15,VLOOKUP($I109,'表4）CO2価格'!$A$7:$E$67,VLOOKUP($F$48,'表4）CO2価格'!$H$10:$I$12,2,0),0)*$F$8/1000,""))</f>
        <v/>
      </c>
      <c r="AZ109" s="39"/>
      <c r="BA109" s="42" t="str">
        <f t="shared" si="65"/>
        <v/>
      </c>
      <c r="BB109" s="72" t="str">
        <f t="shared" si="80"/>
        <v/>
      </c>
      <c r="BC109" s="39"/>
      <c r="BD109" s="72" t="str">
        <f t="shared" si="66"/>
        <v/>
      </c>
      <c r="BE109" s="72" t="str">
        <f t="shared" si="81"/>
        <v/>
      </c>
      <c r="BF109" s="39"/>
      <c r="BG109" s="42" t="str">
        <f t="shared" si="67"/>
        <v/>
      </c>
      <c r="BH109" s="72" t="str">
        <f t="shared" si="82"/>
        <v/>
      </c>
      <c r="BI109" s="39"/>
      <c r="BJ109" s="40" t="str">
        <f t="shared" si="83"/>
        <v/>
      </c>
      <c r="BK109" s="157" t="str">
        <f t="shared" si="84"/>
        <v/>
      </c>
      <c r="BL109" s="157" t="str">
        <f t="shared" si="85"/>
        <v/>
      </c>
      <c r="BM109" s="72"/>
      <c r="BN109" s="72" t="str">
        <f t="shared" si="86"/>
        <v/>
      </c>
      <c r="BO109" s="72" t="str">
        <f t="shared" si="87"/>
        <v/>
      </c>
      <c r="BP109" s="39"/>
      <c r="BQ109" s="72" t="str">
        <f t="shared" si="68"/>
        <v/>
      </c>
      <c r="BR109" s="72" t="str">
        <f t="shared" si="88"/>
        <v/>
      </c>
    </row>
    <row r="110" spans="4:70" ht="15" x14ac:dyDescent="0.15">
      <c r="D110" s="103"/>
      <c r="F110" s="487"/>
      <c r="I110" s="457">
        <f t="shared" si="89"/>
        <v>2125</v>
      </c>
      <c r="K110" s="71">
        <f t="shared" si="90"/>
        <v>96</v>
      </c>
      <c r="M110" s="7">
        <f t="shared" si="53"/>
        <v>5.8563419660729518E-2</v>
      </c>
      <c r="O110" s="10" t="str">
        <f t="shared" si="69"/>
        <v/>
      </c>
      <c r="P110" s="29" t="str">
        <f t="shared" si="54"/>
        <v/>
      </c>
      <c r="R110" s="10" t="str">
        <f t="shared" si="70"/>
        <v/>
      </c>
      <c r="T110" s="10" t="str">
        <f t="shared" si="71"/>
        <v/>
      </c>
      <c r="V110" s="10" t="str">
        <f t="shared" si="55"/>
        <v/>
      </c>
      <c r="W110" s="10" t="str">
        <f t="shared" si="72"/>
        <v/>
      </c>
      <c r="Y110" s="10" t="str">
        <f t="shared" si="56"/>
        <v/>
      </c>
      <c r="Z110" s="10" t="str">
        <f t="shared" si="73"/>
        <v/>
      </c>
      <c r="AB110" s="10" t="str">
        <f t="shared" si="57"/>
        <v/>
      </c>
      <c r="AC110" s="10" t="str">
        <f t="shared" si="74"/>
        <v/>
      </c>
      <c r="AE110" s="10" t="str">
        <f t="shared" si="58"/>
        <v/>
      </c>
      <c r="AF110" s="10" t="str">
        <f t="shared" si="75"/>
        <v/>
      </c>
      <c r="AH110" s="10" t="str">
        <f t="shared" si="59"/>
        <v/>
      </c>
      <c r="AI110" s="10" t="str">
        <f t="shared" si="76"/>
        <v/>
      </c>
      <c r="AK110" s="10" t="str">
        <f t="shared" si="60"/>
        <v/>
      </c>
      <c r="AL110" s="10" t="str">
        <f t="shared" si="77"/>
        <v/>
      </c>
      <c r="AN110" s="10" t="str">
        <f t="shared" si="61"/>
        <v/>
      </c>
      <c r="AO110" s="10" t="str">
        <f t="shared" si="78"/>
        <v/>
      </c>
      <c r="AQ110" s="10" t="str">
        <f t="shared" si="62"/>
        <v/>
      </c>
      <c r="AR110" s="10" t="str">
        <f t="shared" si="79"/>
        <v/>
      </c>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V110" s="10" t="str">
        <f t="shared" si="63"/>
        <v/>
      </c>
      <c r="AW110" s="10" t="str">
        <f t="shared" si="64"/>
        <v/>
      </c>
      <c r="AY110" s="7" t="str">
        <f>IF(ISERROR(IF($K110&lt;=$F$15,VLOOKUP($I110,'表4）CO2価格'!$A$7:$E$67,VLOOKUP($F$48,'表4）CO2価格'!$H$10:$I$12,2,0),0)*$F$8/1000,"")),0,IF($K110&lt;=$F$15,VLOOKUP($I110,'表4）CO2価格'!$A$7:$E$67,VLOOKUP($F$48,'表4）CO2価格'!$H$10:$I$12,2,0),0)*$F$8/1000,""))</f>
        <v/>
      </c>
      <c r="BA110" s="11" t="str">
        <f t="shared" si="65"/>
        <v/>
      </c>
      <c r="BB110" s="10" t="str">
        <f t="shared" si="80"/>
        <v/>
      </c>
      <c r="BD110" s="10" t="str">
        <f t="shared" si="66"/>
        <v/>
      </c>
      <c r="BE110" s="10" t="str">
        <f t="shared" si="81"/>
        <v/>
      </c>
      <c r="BG110" s="11" t="str">
        <f t="shared" si="67"/>
        <v/>
      </c>
      <c r="BH110" s="10" t="str">
        <f t="shared" si="82"/>
        <v/>
      </c>
      <c r="BJ110" s="7" t="str">
        <f t="shared" si="83"/>
        <v/>
      </c>
      <c r="BK110" s="158" t="str">
        <f t="shared" si="84"/>
        <v/>
      </c>
      <c r="BL110" s="158" t="str">
        <f t="shared" si="85"/>
        <v/>
      </c>
      <c r="BM110" s="10"/>
      <c r="BN110" s="10" t="str">
        <f t="shared" si="86"/>
        <v/>
      </c>
      <c r="BO110" s="10" t="str">
        <f t="shared" si="87"/>
        <v/>
      </c>
      <c r="BQ110" s="10" t="str">
        <f t="shared" si="68"/>
        <v/>
      </c>
      <c r="BR110" s="10" t="str">
        <f t="shared" si="88"/>
        <v/>
      </c>
    </row>
    <row r="111" spans="4:70" ht="15" x14ac:dyDescent="0.15">
      <c r="D111" s="103"/>
      <c r="E111" s="84" t="s">
        <v>606</v>
      </c>
      <c r="F111" s="488">
        <f>-BE116/BR116</f>
        <v>0</v>
      </c>
      <c r="G111" s="84" t="s">
        <v>590</v>
      </c>
      <c r="I111" s="38">
        <f t="shared" si="89"/>
        <v>2126</v>
      </c>
      <c r="J111" s="39"/>
      <c r="K111" s="39">
        <f t="shared" si="90"/>
        <v>97</v>
      </c>
      <c r="L111" s="39"/>
      <c r="M111" s="40">
        <f t="shared" si="53"/>
        <v>5.6857688990999529E-2</v>
      </c>
      <c r="N111" s="39"/>
      <c r="O111" s="72" t="str">
        <f t="shared" si="69"/>
        <v/>
      </c>
      <c r="P111" s="41" t="str">
        <f>IF(K111&lt;=$F$15,IF(OR(P110=$F$124,P110="-"),"-",IF(O111*$F$123&gt;$F$127,$F$123,$F$124)),"")</f>
        <v/>
      </c>
      <c r="Q111" s="39"/>
      <c r="R111" s="72" t="str">
        <f t="shared" si="70"/>
        <v/>
      </c>
      <c r="S111" s="39"/>
      <c r="T111" s="72" t="str">
        <f t="shared" si="71"/>
        <v/>
      </c>
      <c r="U111" s="39"/>
      <c r="V111" s="72" t="str">
        <f t="shared" si="55"/>
        <v/>
      </c>
      <c r="W111" s="72" t="str">
        <f t="shared" si="72"/>
        <v/>
      </c>
      <c r="X111" s="39"/>
      <c r="Y111" s="72" t="str">
        <f t="shared" si="56"/>
        <v/>
      </c>
      <c r="Z111" s="72" t="str">
        <f t="shared" si="73"/>
        <v/>
      </c>
      <c r="AA111" s="39"/>
      <c r="AB111" s="72" t="str">
        <f t="shared" si="57"/>
        <v/>
      </c>
      <c r="AC111" s="72" t="str">
        <f t="shared" si="74"/>
        <v/>
      </c>
      <c r="AD111" s="39"/>
      <c r="AE111" s="72" t="str">
        <f t="shared" si="58"/>
        <v/>
      </c>
      <c r="AF111" s="72" t="str">
        <f t="shared" si="75"/>
        <v/>
      </c>
      <c r="AG111" s="39"/>
      <c r="AH111" s="72" t="str">
        <f t="shared" si="59"/>
        <v/>
      </c>
      <c r="AI111" s="72" t="str">
        <f t="shared" si="76"/>
        <v/>
      </c>
      <c r="AJ111" s="39"/>
      <c r="AK111" s="72" t="str">
        <f t="shared" si="60"/>
        <v/>
      </c>
      <c r="AL111" s="72" t="str">
        <f t="shared" si="77"/>
        <v/>
      </c>
      <c r="AM111" s="39"/>
      <c r="AN111" s="72" t="str">
        <f t="shared" si="61"/>
        <v/>
      </c>
      <c r="AO111" s="72" t="str">
        <f t="shared" si="78"/>
        <v/>
      </c>
      <c r="AP111" s="39"/>
      <c r="AQ111" s="72" t="str">
        <f t="shared" si="62"/>
        <v/>
      </c>
      <c r="AR111" s="72" t="str">
        <f t="shared" si="79"/>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63"/>
        <v/>
      </c>
      <c r="AW111" s="72" t="str">
        <f t="shared" si="64"/>
        <v/>
      </c>
      <c r="AX111" s="39"/>
      <c r="AY111" s="40" t="str">
        <f>IF(ISERROR(IF($K111&lt;=$F$15,VLOOKUP($I111,'表4）CO2価格'!$A$7:$E$67,VLOOKUP($F$48,'表4）CO2価格'!$H$10:$I$12,2,0),0)*$F$8/1000,"")),0,IF($K111&lt;=$F$15,VLOOKUP($I111,'表4）CO2価格'!$A$7:$E$67,VLOOKUP($F$48,'表4）CO2価格'!$H$10:$I$12,2,0),0)*$F$8/1000,""))</f>
        <v/>
      </c>
      <c r="AZ111" s="39"/>
      <c r="BA111" s="42" t="str">
        <f t="shared" si="65"/>
        <v/>
      </c>
      <c r="BB111" s="72" t="str">
        <f t="shared" si="80"/>
        <v/>
      </c>
      <c r="BC111" s="39"/>
      <c r="BD111" s="72" t="str">
        <f t="shared" si="66"/>
        <v/>
      </c>
      <c r="BE111" s="72" t="str">
        <f t="shared" si="81"/>
        <v/>
      </c>
      <c r="BF111" s="39"/>
      <c r="BG111" s="42" t="str">
        <f t="shared" si="67"/>
        <v/>
      </c>
      <c r="BH111" s="72" t="str">
        <f t="shared" si="82"/>
        <v/>
      </c>
      <c r="BI111" s="39"/>
      <c r="BJ111" s="40" t="str">
        <f t="shared" si="83"/>
        <v/>
      </c>
      <c r="BK111" s="157" t="str">
        <f t="shared" si="84"/>
        <v/>
      </c>
      <c r="BL111" s="157" t="str">
        <f t="shared" si="85"/>
        <v/>
      </c>
      <c r="BM111" s="72"/>
      <c r="BN111" s="72" t="str">
        <f t="shared" si="86"/>
        <v/>
      </c>
      <c r="BO111" s="72" t="str">
        <f t="shared" si="87"/>
        <v/>
      </c>
      <c r="BP111" s="39"/>
      <c r="BQ111" s="72" t="str">
        <f t="shared" si="68"/>
        <v/>
      </c>
      <c r="BR111" s="72" t="str">
        <f t="shared" si="88"/>
        <v/>
      </c>
    </row>
    <row r="112" spans="4:70" ht="15" x14ac:dyDescent="0.15">
      <c r="D112" s="103"/>
      <c r="E112" s="84" t="s">
        <v>607</v>
      </c>
      <c r="F112" s="488">
        <f>-BH116/BR116</f>
        <v>0</v>
      </c>
      <c r="G112" s="84" t="s">
        <v>590</v>
      </c>
      <c r="I112" s="457">
        <f t="shared" si="89"/>
        <v>2127</v>
      </c>
      <c r="K112" s="71">
        <f t="shared" si="90"/>
        <v>98</v>
      </c>
      <c r="M112" s="7">
        <f t="shared" si="53"/>
        <v>5.5201639797086935E-2</v>
      </c>
      <c r="O112" s="10" t="str">
        <f t="shared" si="69"/>
        <v/>
      </c>
      <c r="P112" s="29" t="str">
        <f>IF(K112&lt;=$F$15,IF(OR(P111=$F$124,P111="-"),"-",IF(O112*$F$123&gt;$F$127,$F$123,$F$124)),"")</f>
        <v/>
      </c>
      <c r="R112" s="10" t="str">
        <f t="shared" si="70"/>
        <v/>
      </c>
      <c r="T112" s="10" t="str">
        <f t="shared" si="71"/>
        <v/>
      </c>
      <c r="V112" s="10" t="str">
        <f t="shared" si="55"/>
        <v/>
      </c>
      <c r="W112" s="10" t="str">
        <f t="shared" si="72"/>
        <v/>
      </c>
      <c r="Y112" s="10" t="str">
        <f t="shared" si="56"/>
        <v/>
      </c>
      <c r="Z112" s="10" t="str">
        <f t="shared" si="73"/>
        <v/>
      </c>
      <c r="AB112" s="10" t="str">
        <f t="shared" si="57"/>
        <v/>
      </c>
      <c r="AC112" s="10" t="str">
        <f t="shared" si="74"/>
        <v/>
      </c>
      <c r="AE112" s="10" t="str">
        <f t="shared" si="58"/>
        <v/>
      </c>
      <c r="AF112" s="10" t="str">
        <f t="shared" si="75"/>
        <v/>
      </c>
      <c r="AH112" s="10" t="str">
        <f t="shared" si="59"/>
        <v/>
      </c>
      <c r="AI112" s="10" t="str">
        <f t="shared" si="76"/>
        <v/>
      </c>
      <c r="AK112" s="10" t="str">
        <f t="shared" si="60"/>
        <v/>
      </c>
      <c r="AL112" s="10" t="str">
        <f t="shared" si="77"/>
        <v/>
      </c>
      <c r="AN112" s="10" t="str">
        <f t="shared" si="61"/>
        <v/>
      </c>
      <c r="AO112" s="10" t="str">
        <f t="shared" si="78"/>
        <v/>
      </c>
      <c r="AQ112" s="10" t="str">
        <f t="shared" si="62"/>
        <v/>
      </c>
      <c r="AR112" s="10" t="str">
        <f t="shared" si="79"/>
        <v/>
      </c>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V112" s="10" t="str">
        <f t="shared" si="63"/>
        <v/>
      </c>
      <c r="AW112" s="10" t="str">
        <f t="shared" si="64"/>
        <v/>
      </c>
      <c r="AY112" s="7" t="str">
        <f>IF(ISERROR(IF($K112&lt;=$F$15,VLOOKUP($I112,'表4）CO2価格'!$A$7:$E$67,VLOOKUP($F$48,'表4）CO2価格'!$H$10:$I$12,2,0),0)*$F$8/1000,"")),0,IF($K112&lt;=$F$15,VLOOKUP($I112,'表4）CO2価格'!$A$7:$E$67,VLOOKUP($F$48,'表4）CO2価格'!$H$10:$I$12,2,0),0)*$F$8/1000,""))</f>
        <v/>
      </c>
      <c r="BA112" s="11" t="str">
        <f t="shared" si="65"/>
        <v/>
      </c>
      <c r="BB112" s="10" t="str">
        <f t="shared" si="80"/>
        <v/>
      </c>
      <c r="BD112" s="10" t="str">
        <f t="shared" si="66"/>
        <v/>
      </c>
      <c r="BE112" s="10" t="str">
        <f t="shared" si="81"/>
        <v/>
      </c>
      <c r="BG112" s="11" t="str">
        <f t="shared" si="67"/>
        <v/>
      </c>
      <c r="BH112" s="10" t="str">
        <f t="shared" si="82"/>
        <v/>
      </c>
      <c r="BJ112" s="7" t="str">
        <f t="shared" si="83"/>
        <v/>
      </c>
      <c r="BK112" s="158" t="str">
        <f t="shared" si="84"/>
        <v/>
      </c>
      <c r="BL112" s="158" t="str">
        <f t="shared" si="85"/>
        <v/>
      </c>
      <c r="BM112" s="10"/>
      <c r="BN112" s="10" t="str">
        <f t="shared" si="86"/>
        <v/>
      </c>
      <c r="BO112" s="10" t="str">
        <f t="shared" si="87"/>
        <v/>
      </c>
      <c r="BQ112" s="10" t="str">
        <f t="shared" si="68"/>
        <v/>
      </c>
      <c r="BR112" s="10" t="str">
        <f t="shared" si="88"/>
        <v/>
      </c>
    </row>
    <row r="113" spans="2:70" x14ac:dyDescent="0.15">
      <c r="I113" s="38">
        <f t="shared" si="89"/>
        <v>2128</v>
      </c>
      <c r="J113" s="39"/>
      <c r="K113" s="39">
        <f t="shared" si="90"/>
        <v>99</v>
      </c>
      <c r="L113" s="39"/>
      <c r="M113" s="40">
        <f t="shared" si="53"/>
        <v>5.3593825045715457E-2</v>
      </c>
      <c r="N113" s="39"/>
      <c r="O113" s="72" t="str">
        <f t="shared" si="69"/>
        <v/>
      </c>
      <c r="P113" s="41" t="str">
        <f>IF(K113&lt;=$F$15,IF(OR(P112=$F$124,P112="-"),"-",IF(O113*$F$123&gt;$F$127,$F$123,$F$124)),"")</f>
        <v/>
      </c>
      <c r="Q113" s="39"/>
      <c r="R113" s="72" t="str">
        <f t="shared" si="70"/>
        <v/>
      </c>
      <c r="S113" s="39"/>
      <c r="T113" s="72" t="str">
        <f t="shared" si="71"/>
        <v/>
      </c>
      <c r="U113" s="39"/>
      <c r="V113" s="72" t="str">
        <f t="shared" si="55"/>
        <v/>
      </c>
      <c r="W113" s="72" t="str">
        <f t="shared" si="72"/>
        <v/>
      </c>
      <c r="X113" s="39"/>
      <c r="Y113" s="72" t="str">
        <f t="shared" si="56"/>
        <v/>
      </c>
      <c r="Z113" s="72" t="str">
        <f t="shared" si="73"/>
        <v/>
      </c>
      <c r="AA113" s="39"/>
      <c r="AB113" s="72" t="str">
        <f t="shared" si="57"/>
        <v/>
      </c>
      <c r="AC113" s="72" t="str">
        <f t="shared" si="74"/>
        <v/>
      </c>
      <c r="AD113" s="39"/>
      <c r="AE113" s="72" t="str">
        <f t="shared" si="58"/>
        <v/>
      </c>
      <c r="AF113" s="72" t="str">
        <f t="shared" si="75"/>
        <v/>
      </c>
      <c r="AG113" s="39"/>
      <c r="AH113" s="72" t="str">
        <f t="shared" si="59"/>
        <v/>
      </c>
      <c r="AI113" s="72" t="str">
        <f t="shared" si="76"/>
        <v/>
      </c>
      <c r="AJ113" s="39"/>
      <c r="AK113" s="72" t="str">
        <f t="shared" si="60"/>
        <v/>
      </c>
      <c r="AL113" s="72" t="str">
        <f t="shared" si="77"/>
        <v/>
      </c>
      <c r="AM113" s="39"/>
      <c r="AN113" s="72" t="str">
        <f t="shared" si="61"/>
        <v/>
      </c>
      <c r="AO113" s="72" t="str">
        <f t="shared" si="78"/>
        <v/>
      </c>
      <c r="AP113" s="39"/>
      <c r="AQ113" s="72" t="str">
        <f t="shared" si="62"/>
        <v/>
      </c>
      <c r="AR113" s="72" t="str">
        <f t="shared" si="79"/>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63"/>
        <v/>
      </c>
      <c r="AW113" s="72" t="str">
        <f t="shared" si="64"/>
        <v/>
      </c>
      <c r="AX113" s="39"/>
      <c r="AY113" s="40" t="str">
        <f>IF(ISERROR(IF($K113&lt;=$F$15,VLOOKUP($I113,'表4）CO2価格'!$A$7:$E$67,VLOOKUP($F$48,'表4）CO2価格'!$H$10:$I$12,2,0),0)*$F$8/1000,"")),0,IF($K113&lt;=$F$15,VLOOKUP($I113,'表4）CO2価格'!$A$7:$E$67,VLOOKUP($F$48,'表4）CO2価格'!$H$10:$I$12,2,0),0)*$F$8/1000,""))</f>
        <v/>
      </c>
      <c r="AZ113" s="39"/>
      <c r="BA113" s="42" t="str">
        <f t="shared" si="65"/>
        <v/>
      </c>
      <c r="BB113" s="72" t="str">
        <f t="shared" si="80"/>
        <v/>
      </c>
      <c r="BC113" s="39"/>
      <c r="BD113" s="72" t="str">
        <f t="shared" si="66"/>
        <v/>
      </c>
      <c r="BE113" s="72" t="str">
        <f t="shared" si="81"/>
        <v/>
      </c>
      <c r="BF113" s="39"/>
      <c r="BG113" s="42" t="str">
        <f t="shared" si="67"/>
        <v/>
      </c>
      <c r="BH113" s="72" t="str">
        <f t="shared" si="82"/>
        <v/>
      </c>
      <c r="BI113" s="39"/>
      <c r="BJ113" s="40" t="str">
        <f t="shared" si="83"/>
        <v/>
      </c>
      <c r="BK113" s="157" t="str">
        <f t="shared" si="84"/>
        <v/>
      </c>
      <c r="BL113" s="157" t="str">
        <f t="shared" si="85"/>
        <v/>
      </c>
      <c r="BM113" s="72"/>
      <c r="BN113" s="72" t="str">
        <f t="shared" si="86"/>
        <v/>
      </c>
      <c r="BO113" s="72" t="str">
        <f t="shared" si="87"/>
        <v/>
      </c>
      <c r="BP113" s="39"/>
      <c r="BQ113" s="72" t="str">
        <f t="shared" si="68"/>
        <v/>
      </c>
      <c r="BR113" s="72" t="str">
        <f t="shared" si="88"/>
        <v/>
      </c>
    </row>
    <row r="114" spans="2:70" x14ac:dyDescent="0.15">
      <c r="I114" s="457">
        <f t="shared" si="89"/>
        <v>2129</v>
      </c>
      <c r="K114" s="71">
        <f t="shared" si="90"/>
        <v>100</v>
      </c>
      <c r="M114" s="7">
        <f t="shared" si="53"/>
        <v>5.2032839850209185E-2</v>
      </c>
      <c r="O114" s="10" t="str">
        <f t="shared" si="69"/>
        <v/>
      </c>
      <c r="P114" s="29" t="str">
        <f>IF(K114&lt;=$F$15,IF(OR(P113=$F$124,P113="-"),"-",IF(O114*$F$123&gt;$F$127,$F$123,$F$124)),"")</f>
        <v/>
      </c>
      <c r="R114" s="10" t="str">
        <f t="shared" si="70"/>
        <v/>
      </c>
      <c r="T114" s="10" t="str">
        <f t="shared" si="71"/>
        <v/>
      </c>
      <c r="V114" s="10" t="str">
        <f t="shared" si="55"/>
        <v/>
      </c>
      <c r="W114" s="10" t="str">
        <f t="shared" si="72"/>
        <v/>
      </c>
      <c r="Y114" s="10" t="str">
        <f t="shared" si="56"/>
        <v/>
      </c>
      <c r="Z114" s="10" t="str">
        <f t="shared" si="73"/>
        <v/>
      </c>
      <c r="AB114" s="10" t="str">
        <f t="shared" si="57"/>
        <v/>
      </c>
      <c r="AC114" s="10" t="str">
        <f t="shared" si="74"/>
        <v/>
      </c>
      <c r="AE114" s="10" t="str">
        <f t="shared" si="58"/>
        <v/>
      </c>
      <c r="AF114" s="10" t="str">
        <f t="shared" si="75"/>
        <v/>
      </c>
      <c r="AH114" s="10" t="str">
        <f t="shared" si="59"/>
        <v/>
      </c>
      <c r="AI114" s="10" t="str">
        <f t="shared" si="76"/>
        <v/>
      </c>
      <c r="AK114" s="10" t="str">
        <f t="shared" si="60"/>
        <v/>
      </c>
      <c r="AL114" s="10" t="str">
        <f t="shared" si="77"/>
        <v/>
      </c>
      <c r="AN114" s="10" t="str">
        <f t="shared" si="61"/>
        <v/>
      </c>
      <c r="AO114" s="10" t="str">
        <f t="shared" si="78"/>
        <v/>
      </c>
      <c r="AQ114" s="10" t="str">
        <f t="shared" si="62"/>
        <v/>
      </c>
      <c r="AR114" s="10" t="str">
        <f t="shared" si="79"/>
        <v/>
      </c>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V114" s="10" t="str">
        <f t="shared" si="63"/>
        <v/>
      </c>
      <c r="AW114" s="10" t="str">
        <f t="shared" si="64"/>
        <v/>
      </c>
      <c r="AY114" s="7" t="str">
        <f>IF(ISERROR(IF($K114&lt;=$F$15,VLOOKUP($I114,'表4）CO2価格'!$A$7:$E$67,VLOOKUP($F$48,'表4）CO2価格'!$H$10:$I$12,2,0),0)*$F$8/1000,"")),0,IF($K114&lt;=$F$15,VLOOKUP($I114,'表4）CO2価格'!$A$7:$E$67,VLOOKUP($F$48,'表4）CO2価格'!$H$10:$I$12,2,0),0)*$F$8/1000,""))</f>
        <v/>
      </c>
      <c r="BA114" s="11" t="str">
        <f t="shared" si="65"/>
        <v/>
      </c>
      <c r="BB114" s="10" t="str">
        <f t="shared" si="80"/>
        <v/>
      </c>
      <c r="BD114" s="10" t="str">
        <f t="shared" si="66"/>
        <v/>
      </c>
      <c r="BE114" s="10" t="str">
        <f t="shared" si="81"/>
        <v/>
      </c>
      <c r="BG114" s="11" t="str">
        <f t="shared" si="67"/>
        <v/>
      </c>
      <c r="BH114" s="10" t="str">
        <f t="shared" si="82"/>
        <v/>
      </c>
      <c r="BJ114" s="7" t="str">
        <f t="shared" si="83"/>
        <v/>
      </c>
      <c r="BK114" s="158" t="str">
        <f t="shared" si="84"/>
        <v/>
      </c>
      <c r="BL114" s="158" t="str">
        <f t="shared" si="85"/>
        <v/>
      </c>
      <c r="BM114" s="10"/>
      <c r="BN114" s="10" t="str">
        <f t="shared" si="86"/>
        <v/>
      </c>
      <c r="BO114" s="10" t="str">
        <f t="shared" si="87"/>
        <v/>
      </c>
      <c r="BQ114" s="10" t="str">
        <f t="shared" si="68"/>
        <v/>
      </c>
      <c r="BR114" s="10" t="str">
        <f t="shared" si="88"/>
        <v/>
      </c>
    </row>
    <row r="115" spans="2:70" ht="15.75" thickBot="1" x14ac:dyDescent="0.2">
      <c r="B115" s="5" t="s">
        <v>608</v>
      </c>
      <c r="C115" s="3"/>
      <c r="D115" s="102"/>
      <c r="E115" s="102"/>
      <c r="F115" s="3"/>
      <c r="G115" s="102"/>
      <c r="I115" s="456"/>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71" t="s">
        <v>609</v>
      </c>
      <c r="W116" s="11"/>
      <c r="Z116" s="11">
        <f>SUM(Z15:Z114)</f>
        <v>192534946.13830307</v>
      </c>
      <c r="AC116" s="11">
        <f>SUM(AC15:AC114)</f>
        <v>33736133.885156319</v>
      </c>
      <c r="AF116" s="11">
        <f>SUM(AF15:AF114)</f>
        <v>0</v>
      </c>
      <c r="AI116" s="11">
        <f>SUM(AI15:AI114)</f>
        <v>3557363406.8303719</v>
      </c>
      <c r="AL116" s="11">
        <f>SUM(AL15:AL114)</f>
        <v>0</v>
      </c>
      <c r="AO116" s="11">
        <f>SUM(AO15:AO114)</f>
        <v>0</v>
      </c>
      <c r="AR116" s="11">
        <f>SUM(AR15:AR114)</f>
        <v>0</v>
      </c>
      <c r="AW116" s="11">
        <f>SUM(AW15:AW114)</f>
        <v>17682800560.267933</v>
      </c>
      <c r="BB116" s="11">
        <f>SUM(BB15:BB114)</f>
        <v>0</v>
      </c>
      <c r="BE116" s="11">
        <f>SUM(BE15:BE114)</f>
        <v>0</v>
      </c>
      <c r="BH116" s="11">
        <f>SUM(BH15:BH114)</f>
        <v>0</v>
      </c>
      <c r="BK116" s="11">
        <f>SUM(BK15:BK114)</f>
        <v>9185759521.7825336</v>
      </c>
      <c r="BL116" s="11">
        <f>SUM(BL15:BL114)</f>
        <v>358267199.32367212</v>
      </c>
      <c r="BO116" s="11">
        <f>SUM(BO15:BO114)</f>
        <v>17354408606.544662</v>
      </c>
      <c r="BR116" s="11">
        <f>SUM(BR15:BR114)</f>
        <v>843465093.21310878</v>
      </c>
    </row>
    <row r="117" spans="2:70" x14ac:dyDescent="0.15">
      <c r="C117" s="71" t="s">
        <v>610</v>
      </c>
      <c r="F117" s="490">
        <f>F21*10^4*F13*10^4+F29*10^8</f>
        <v>2267000000</v>
      </c>
      <c r="G117" s="84" t="s">
        <v>611</v>
      </c>
      <c r="I117" s="184" t="s">
        <v>145</v>
      </c>
      <c r="W117" s="11"/>
      <c r="Z117" s="11">
        <f ca="1">IF(ISNUMBER($F$16),SUM(INDIRECT(ADDRESS($F$16+15,COLUMN())):INDIRECT(ADDRESS(114,COLUMN()))),"")</f>
        <v>13071766.789811369</v>
      </c>
      <c r="AC117" s="11">
        <f ca="1">IF(ISNUMBER($F$16),SUM(INDIRECT(ADDRESS($F$16+15,COLUMN())):INDIRECT(ADDRESS(114,COLUMN()))),"")</f>
        <v>33736133.885156319</v>
      </c>
      <c r="AF117" s="11">
        <f ca="1">IF(ISNUMBER($F$16),SUM(INDIRECT(ADDRESS($F$16+15,COLUMN())):INDIRECT(ADDRESS(114,COLUMN()))),"")</f>
        <v>0</v>
      </c>
      <c r="AI117" s="11">
        <f ca="1">IF(ISNUMBER($F$16),SUM(INDIRECT(ADDRESS($F$16+15,COLUMN())):INDIRECT(ADDRESS(114,COLUMN()))),"")</f>
        <v>1267720025.8062694</v>
      </c>
      <c r="AL117" s="11">
        <f ca="1">IF(ISNUMBER($F$16),SUM(INDIRECT(ADDRESS($F$16+15,COLUMN())):INDIRECT(ADDRESS(114,COLUMN()))),"")</f>
        <v>0</v>
      </c>
      <c r="AO117" s="11">
        <f ca="1">IF(ISNUMBER($F$16),SUM(INDIRECT(ADDRESS($F$16+15,COLUMN())):INDIRECT(ADDRESS(114,COLUMN()))),"")</f>
        <v>0</v>
      </c>
      <c r="AR117" s="11">
        <f ca="1">IF(ISNUMBER($F$16),SUM(INDIRECT(ADDRESS($F$16+15,COLUMN())):INDIRECT(ADDRESS(114,COLUMN()))),"")</f>
        <v>0</v>
      </c>
      <c r="AW117" s="11">
        <f ca="1">IF(ISNUMBER($F$16),SUM(INDIRECT(ADDRESS($F$16+15,COLUMN())):INDIRECT(ADDRESS(114,COLUMN()))),"")</f>
        <v>6301532292.0194702</v>
      </c>
      <c r="BB117" s="11">
        <f ca="1">IF(ISNUMBER($F$16),SUM(INDIRECT(ADDRESS($F$16+15,COLUMN())):INDIRECT(ADDRESS(114,COLUMN()))),"")</f>
        <v>0</v>
      </c>
      <c r="BE117" s="11">
        <f ca="1">IF(ISNUMBER($F$16),SUM(INDIRECT(ADDRESS($F$16+15,COLUMN())):INDIRECT(ADDRESS(114,COLUMN()))),"")</f>
        <v>0</v>
      </c>
      <c r="BH117" s="11">
        <f ca="1">IF(ISNUMBER($F$16),SUM(INDIRECT(ADDRESS($F$16+15,COLUMN())):INDIRECT(ADDRESS(114,COLUMN()))),"")</f>
        <v>0</v>
      </c>
      <c r="BK117" s="11">
        <f ca="1">IF(ISNUMBER($F$16),SUM(INDIRECT(ADDRESS($F$16+15,COLUMN())):INDIRECT(ADDRESS(114,COLUMN()))),"")</f>
        <v>22517628.990046117</v>
      </c>
      <c r="BL117" s="11">
        <f ca="1">IF(ISNUMBER($F$16),SUM(INDIRECT(ADDRESS($F$16+15,COLUMN())):INDIRECT(ADDRESS(114,COLUMN()))),"")</f>
        <v>0</v>
      </c>
      <c r="BO117" s="11">
        <f ca="1">IF(ISNUMBER($F$16),SUM(INDIRECT(ADDRESS($F$16+15,COLUMN())):INDIRECT(ADDRESS(114,COLUMN()))),"")</f>
        <v>0</v>
      </c>
      <c r="BR117" s="11">
        <f ca="1">IF(ISNUMBER($F$16),SUM(INDIRECT(ADDRESS($F$16+15,COLUMN())):INDIRECT(ADDRESS(114,COLUMN()))),"")</f>
        <v>300581488.99876982</v>
      </c>
    </row>
    <row r="119" spans="2:70" x14ac:dyDescent="0.15">
      <c r="C119" s="71" t="s">
        <v>612</v>
      </c>
      <c r="F119" s="490">
        <f>VLOOKUP(F3,'表2）法定耐用年数'!$A$2:$B$17,2,0)</f>
        <v>15</v>
      </c>
      <c r="G119" s="84" t="s">
        <v>556</v>
      </c>
    </row>
    <row r="121" spans="2:70" x14ac:dyDescent="0.15">
      <c r="C121" s="4" t="s">
        <v>613</v>
      </c>
      <c r="D121" s="100"/>
      <c r="E121" s="100"/>
      <c r="F121" s="4"/>
      <c r="G121" s="100"/>
    </row>
    <row r="123" spans="2:70" x14ac:dyDescent="0.15">
      <c r="D123" s="84" t="s">
        <v>614</v>
      </c>
      <c r="F123" s="491">
        <f>VLOOKUP($F$119,'表1）減価償却率表'!$A$9:$E$107,3,0)</f>
        <v>0.16700000000000001</v>
      </c>
    </row>
    <row r="124" spans="2:70" x14ac:dyDescent="0.15">
      <c r="D124" s="84" t="s">
        <v>615</v>
      </c>
      <c r="F124" s="491">
        <f>VLOOKUP($F$119,'表1）減価償却率表'!$A$9:$E$107,4,0)</f>
        <v>0.2</v>
      </c>
    </row>
    <row r="125" spans="2:70" x14ac:dyDescent="0.15">
      <c r="D125" s="84" t="s">
        <v>616</v>
      </c>
      <c r="F125" s="474">
        <f>VLOOKUP($F$119,'表1）減価償却率表'!$A$9:$E$107,5,0)</f>
        <v>3.2169999999999997E-2</v>
      </c>
    </row>
    <row r="126" spans="2:70" x14ac:dyDescent="0.15">
      <c r="F126" s="492"/>
    </row>
    <row r="127" spans="2:70" x14ac:dyDescent="0.15">
      <c r="C127" s="8" t="s">
        <v>617</v>
      </c>
      <c r="D127" s="493"/>
      <c r="E127" s="494"/>
      <c r="F127" s="490">
        <f>F117*F125</f>
        <v>72929390</v>
      </c>
      <c r="G127" s="84" t="s">
        <v>611</v>
      </c>
    </row>
    <row r="129" spans="3:7" x14ac:dyDescent="0.15">
      <c r="C129" s="8" t="s">
        <v>152</v>
      </c>
      <c r="D129" s="493"/>
      <c r="E129" s="493"/>
      <c r="F129" s="491">
        <f>0.1^(1/F119)</f>
        <v>0.85769589859089412</v>
      </c>
      <c r="G129" s="493"/>
    </row>
    <row r="131" spans="3:7" x14ac:dyDescent="0.15">
      <c r="C131" s="4" t="s">
        <v>618</v>
      </c>
      <c r="D131" s="100"/>
      <c r="E131" s="100"/>
      <c r="F131" s="4"/>
      <c r="G131" s="100"/>
    </row>
    <row r="133" spans="3:7" x14ac:dyDescent="0.15">
      <c r="D133" s="84" t="s">
        <v>619</v>
      </c>
      <c r="F133" s="490">
        <f>F13*10000*24*365*F14/100</f>
        <v>43440839.999999993</v>
      </c>
      <c r="G133" s="84" t="s">
        <v>620</v>
      </c>
    </row>
    <row r="134" spans="3:7" x14ac:dyDescent="0.15">
      <c r="D134" s="84" t="s">
        <v>621</v>
      </c>
      <c r="F134" s="490">
        <f>F133*(1-F24/100)</f>
        <v>36490305.599999994</v>
      </c>
      <c r="G134" s="84" t="s">
        <v>620</v>
      </c>
    </row>
    <row r="135" spans="3:7" x14ac:dyDescent="0.15">
      <c r="F135" s="495"/>
    </row>
    <row r="137" spans="3:7" ht="16.5" x14ac:dyDescent="0.15">
      <c r="C137" s="71" t="s">
        <v>622</v>
      </c>
      <c r="F137" s="490">
        <f>F22*10^3/43440840*F133</f>
        <v>59999999.999999993</v>
      </c>
      <c r="G137" s="71" t="s">
        <v>623</v>
      </c>
    </row>
    <row r="139" spans="3:7" x14ac:dyDescent="0.15">
      <c r="C139" s="4" t="s">
        <v>624</v>
      </c>
      <c r="D139" s="100"/>
      <c r="E139" s="100"/>
      <c r="F139" s="4"/>
      <c r="G139" s="100"/>
    </row>
    <row r="141" spans="3:7" x14ac:dyDescent="0.15">
      <c r="D141" s="84" t="s">
        <v>625</v>
      </c>
      <c r="F141" s="496">
        <f>IF(OR(F3="石炭火力",F3= "LNG火力", F3="ガスコジェネ",F3="バイオマス（石炭混焼）",F3="バイオマス（木質専焼）",F3="燃料電池"),IF($F$43="需要地価格","",1000),IF(OR(F3="石油火力",F3="石油コジェネ"),IF($F$43="需要地価格","",158.987294928),""))</f>
        <v>1000</v>
      </c>
      <c r="G141" s="84" t="s">
        <v>626</v>
      </c>
    </row>
    <row r="142" spans="3:7" x14ac:dyDescent="0.15">
      <c r="D142" s="84" t="s">
        <v>573</v>
      </c>
      <c r="F142" s="488">
        <f>IF(ISERROR(F42/1000),0,F42/1000)</f>
        <v>0.75</v>
      </c>
      <c r="G142" s="84" t="s">
        <v>627</v>
      </c>
    </row>
    <row r="145" spans="3:7" x14ac:dyDescent="0.15">
      <c r="C145" s="71" t="s">
        <v>628</v>
      </c>
      <c r="F145" s="496">
        <f>IF(ISERROR(F133*(F47*3.6/(F23/100)/1000*(44/12))),0,F133*(F47*3.6/(F23/100)/1000*(44/12)))</f>
        <v>0</v>
      </c>
      <c r="G145" s="84" t="s">
        <v>629</v>
      </c>
    </row>
    <row r="147" spans="3:7" x14ac:dyDescent="0.15">
      <c r="C147" s="4" t="s">
        <v>630</v>
      </c>
      <c r="D147" s="100"/>
      <c r="E147" s="100"/>
      <c r="F147" s="4"/>
      <c r="G147" s="100"/>
    </row>
    <row r="149" spans="3:7" x14ac:dyDescent="0.15">
      <c r="D149" s="84" t="s">
        <v>219</v>
      </c>
      <c r="F149" s="496">
        <f>IF(ISERROR(F52/F23),0,F52/F23)</f>
        <v>0</v>
      </c>
    </row>
    <row r="150" spans="3:7" x14ac:dyDescent="0.15">
      <c r="D150" s="84" t="s">
        <v>631</v>
      </c>
      <c r="F150" s="496">
        <f>F133*F149*(F53/100)*3.6</f>
        <v>0</v>
      </c>
      <c r="G150" s="84" t="s">
        <v>632</v>
      </c>
    </row>
    <row r="151" spans="3:7" ht="16.5" x14ac:dyDescent="0.15">
      <c r="D151" s="84" t="s">
        <v>633</v>
      </c>
      <c r="F151" s="490">
        <f>IF(ISERROR(F150/(F54/100)/F55),0,F150/(F54/100)/F55)</f>
        <v>0</v>
      </c>
      <c r="G151" s="71" t="s">
        <v>623</v>
      </c>
    </row>
    <row r="152" spans="3:7" x14ac:dyDescent="0.15">
      <c r="D152" s="84" t="s">
        <v>634</v>
      </c>
      <c r="F152" s="497">
        <f>IF(ISERROR(F56/1000),0,F56/1000)</f>
        <v>0</v>
      </c>
      <c r="G152" s="84" t="s">
        <v>627</v>
      </c>
    </row>
    <row r="153" spans="3:7" x14ac:dyDescent="0.15">
      <c r="D153" s="84" t="s">
        <v>635</v>
      </c>
      <c r="F153" s="496">
        <f>IF(ISERROR(F150*F47/1000*(44/12)/(F54/100)),0,F150*F47/1000*(44/12)/(F54/100))</f>
        <v>0</v>
      </c>
      <c r="G153" s="84" t="s">
        <v>629</v>
      </c>
    </row>
  </sheetData>
  <mergeCells count="48">
    <mergeCell ref="BR12:BR13"/>
    <mergeCell ref="AI12:AI13"/>
    <mergeCell ref="AL12:AL13"/>
    <mergeCell ref="AO12:AO13"/>
    <mergeCell ref="AR12:AR13"/>
    <mergeCell ref="AW12:AW13"/>
    <mergeCell ref="BB12:BB13"/>
    <mergeCell ref="BL12:BL13"/>
    <mergeCell ref="BK12:BK13"/>
    <mergeCell ref="BO12:BO13"/>
    <mergeCell ref="BJ12:BJ13"/>
    <mergeCell ref="BA9:BB10"/>
    <mergeCell ref="AE9:AF10"/>
    <mergeCell ref="V9:W10"/>
    <mergeCell ref="BE12:BE13"/>
    <mergeCell ref="BH12:BH13"/>
    <mergeCell ref="P12:P13"/>
    <mergeCell ref="W12:W13"/>
    <mergeCell ref="Z12:Z13"/>
    <mergeCell ref="AC12:AC13"/>
    <mergeCell ref="AF12:AF13"/>
    <mergeCell ref="BQ7:BR7"/>
    <mergeCell ref="BJ7:BO7"/>
    <mergeCell ref="I9:I10"/>
    <mergeCell ref="K9:K10"/>
    <mergeCell ref="M9:M10"/>
    <mergeCell ref="O9:P10"/>
    <mergeCell ref="R9:R10"/>
    <mergeCell ref="AN9:AO10"/>
    <mergeCell ref="AQ9:AR10"/>
    <mergeCell ref="AY7:BB7"/>
    <mergeCell ref="AY9:AY10"/>
    <mergeCell ref="BD7:BH7"/>
    <mergeCell ref="BJ9:BL10"/>
    <mergeCell ref="BN9:BO10"/>
    <mergeCell ref="BD9:BE10"/>
    <mergeCell ref="BG9:BH10"/>
    <mergeCell ref="F3:G3"/>
    <mergeCell ref="V7:AF7"/>
    <mergeCell ref="AH7:AR7"/>
    <mergeCell ref="AT7:AW7"/>
    <mergeCell ref="AK9:AL10"/>
    <mergeCell ref="T9:T10"/>
    <mergeCell ref="AV9:AW10"/>
    <mergeCell ref="AT9:AT10"/>
    <mergeCell ref="AH9:AI10"/>
    <mergeCell ref="AB9:AC10"/>
    <mergeCell ref="Y9:Z10"/>
  </mergeCells>
  <phoneticPr fontId="17"/>
  <dataValidations disablePrompts="1" count="4">
    <dataValidation type="list" allowBlank="1" showDropDown="1" showInputMessage="1" showErrorMessage="1" sqref="F48 F41" xr:uid="{00000000-0002-0000-2200-000000000000}">
      <formula1>"現行政策シナリオ, 新政策シナリオ"</formula1>
    </dataValidation>
    <dataValidation type="whole" allowBlank="1" showInputMessage="1" showErrorMessage="1" sqref="F7" xr:uid="{00000000-0002-0000-2200-000001000000}">
      <formula1>2010</formula1>
      <formula2>2030</formula2>
    </dataValidation>
    <dataValidation type="list" allowBlank="1" showDropDown="1" showInputMessage="1" showErrorMessage="1" sqref="F43" xr:uid="{00000000-0002-0000-2200-000002000000}">
      <formula1>"CIF価格, 需要地価格"</formula1>
    </dataValidation>
    <dataValidation type="list" allowBlank="1" showDropDown="1" showInputMessage="1" showErrorMessage="1" sqref="F3:G3" xr:uid="{00000000-0002-0000-2200-000003000000}">
      <formula1>"原子力,石炭火力,LNG火力,石油火力,一般水力,太陽光（メガソーラー）,太陽光（住宅）,風力（陸上）,風力（洋上）,小水力,地熱,バイオマス（石炭混焼）,バイオマス（木質専焼）,ガスコジェネ,石油コジェネ,燃料電池"</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BS155"/>
  <sheetViews>
    <sheetView showGridLines="0" zoomScale="85" zoomScaleNormal="85" workbookViewId="0">
      <pane xSplit="10" ySplit="14" topLeftCell="BH100" activePane="bottomRight" state="frozen"/>
      <selection pane="topRight" activeCell="G43" sqref="G43"/>
      <selection pane="bottomLeft" activeCell="G43" sqref="G43"/>
      <selection pane="bottomRight" activeCell="BS117" sqref="BS117"/>
    </sheetView>
  </sheetViews>
  <sheetFormatPr defaultColWidth="9" defaultRowHeight="14.25" outlineLevelCol="1" x14ac:dyDescent="0.15"/>
  <cols>
    <col min="1" max="3" width="6.25" style="71" customWidth="1"/>
    <col min="4" max="4" width="6.25" style="84" customWidth="1"/>
    <col min="5" max="5" width="24.375" style="84" customWidth="1"/>
    <col min="6" max="6" width="18.75" style="71" customWidth="1"/>
    <col min="7" max="7" width="24.375" style="84" bestFit="1" customWidth="1"/>
    <col min="8" max="8" width="14.375" style="71" bestFit="1" customWidth="1"/>
    <col min="9" max="9" width="6.25" style="71" customWidth="1"/>
    <col min="10" max="10" width="3" style="71" customWidth="1"/>
    <col min="11" max="11" width="6.25" style="71" customWidth="1"/>
    <col min="12" max="12" width="3" style="71" customWidth="1"/>
    <col min="13" max="13" width="6.25" style="71" customWidth="1"/>
    <col min="14" max="14" width="3" style="71" customWidth="1"/>
    <col min="15" max="15" width="17.375" style="71" bestFit="1" customWidth="1"/>
    <col min="16" max="16" width="8.625" style="71" customWidth="1"/>
    <col min="17" max="17" width="3" style="71" customWidth="1"/>
    <col min="18" max="18" width="17.375" style="71" bestFit="1" customWidth="1"/>
    <col min="19" max="19" width="3" style="71" customWidth="1"/>
    <col min="20" max="20" width="17.375" style="71" bestFit="1" customWidth="1"/>
    <col min="21" max="21" width="3" style="71" customWidth="1"/>
    <col min="22" max="22" width="15" style="71" customWidth="1" outlineLevel="1"/>
    <col min="23" max="23" width="17.375" style="71" bestFit="1" customWidth="1"/>
    <col min="24" max="24" width="3" style="71" customWidth="1"/>
    <col min="25" max="25" width="15" style="71" customWidth="1" outlineLevel="1"/>
    <col min="26" max="26" width="15" style="71" customWidth="1"/>
    <col min="27" max="27" width="3" style="71" customWidth="1"/>
    <col min="28" max="28" width="15" style="71" customWidth="1" outlineLevel="1"/>
    <col min="29" max="29" width="15" style="71" customWidth="1"/>
    <col min="30" max="30" width="3" style="71" customWidth="1"/>
    <col min="31" max="31" width="15" style="71" customWidth="1" outlineLevel="1"/>
    <col min="32" max="32" width="15" style="71" customWidth="1"/>
    <col min="33" max="33" width="3" style="71" customWidth="1"/>
    <col min="34" max="34" width="14.875" style="71" customWidth="1" outlineLevel="1"/>
    <col min="35" max="35" width="15" style="71" customWidth="1"/>
    <col min="36" max="36" width="3" style="71" customWidth="1"/>
    <col min="37" max="37" width="15" style="71" customWidth="1" outlineLevel="1"/>
    <col min="38" max="38" width="15" style="71" customWidth="1"/>
    <col min="39" max="39" width="3" style="71" customWidth="1"/>
    <col min="40" max="40" width="15" style="71" customWidth="1" outlineLevel="1"/>
    <col min="41" max="41" width="15" style="71" customWidth="1"/>
    <col min="42" max="42" width="3" style="71" customWidth="1"/>
    <col min="43" max="43" width="15" style="71" customWidth="1" outlineLevel="1"/>
    <col min="44" max="44" width="15" style="71" customWidth="1"/>
    <col min="45" max="45" width="3" style="71" customWidth="1"/>
    <col min="46" max="46" width="10.75" style="71" bestFit="1" customWidth="1"/>
    <col min="47" max="47" width="3" style="71" customWidth="1"/>
    <col min="48" max="48" width="15" style="71" customWidth="1" outlineLevel="1"/>
    <col min="49" max="49" width="17.375" style="71" bestFit="1" customWidth="1"/>
    <col min="50" max="50" width="3" style="71" customWidth="1"/>
    <col min="51" max="51" width="9.625" style="71" bestFit="1" customWidth="1"/>
    <col min="52" max="52" width="3" style="71" customWidth="1"/>
    <col min="53" max="53" width="15" style="71" customWidth="1" outlineLevel="1"/>
    <col min="54" max="54" width="17.375" style="71" bestFit="1" customWidth="1"/>
    <col min="55" max="55" width="3" style="71" customWidth="1"/>
    <col min="56" max="56" width="19.25" style="71" customWidth="1" outlineLevel="1"/>
    <col min="57" max="57" width="19.25" style="71" bestFit="1" customWidth="1"/>
    <col min="58" max="58" width="3" style="71" customWidth="1"/>
    <col min="59" max="59" width="19.25" style="71" customWidth="1" outlineLevel="1"/>
    <col min="60" max="60" width="19.25" style="71"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71" customWidth="1" outlineLevel="1"/>
    <col min="70" max="70" width="17.375" style="71" bestFit="1" customWidth="1"/>
    <col min="71" max="71" width="16.875" style="71" bestFit="1" customWidth="1"/>
    <col min="72" max="16384" width="9" style="71"/>
  </cols>
  <sheetData>
    <row r="1" spans="1:70" ht="18.75" x14ac:dyDescent="0.15">
      <c r="A1" s="6" t="s">
        <v>60</v>
      </c>
    </row>
    <row r="3" spans="1:70" ht="23.25" x14ac:dyDescent="0.15">
      <c r="B3" s="1" t="s">
        <v>542</v>
      </c>
      <c r="F3" s="732" t="s">
        <v>55</v>
      </c>
      <c r="G3" s="719"/>
    </row>
    <row r="4" spans="1:70" x14ac:dyDescent="0.15">
      <c r="G4" s="472"/>
    </row>
    <row r="5" spans="1:70" ht="15.75" thickBot="1" x14ac:dyDescent="0.2">
      <c r="B5" s="5" t="s">
        <v>543</v>
      </c>
      <c r="C5" s="3"/>
      <c r="D5" s="102"/>
      <c r="E5" s="102"/>
      <c r="F5" s="3"/>
      <c r="G5" s="102"/>
      <c r="I5" s="5" t="s">
        <v>64</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71" t="s">
        <v>545</v>
      </c>
      <c r="F7" s="473">
        <v>2030</v>
      </c>
      <c r="I7" s="8"/>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71" t="s">
        <v>546</v>
      </c>
      <c r="F8" s="474">
        <f>まとめ!B3</f>
        <v>107</v>
      </c>
      <c r="G8" s="84" t="s">
        <v>547</v>
      </c>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71" t="s">
        <v>548</v>
      </c>
      <c r="F9" s="474">
        <f>まとめ!B2</f>
        <v>3</v>
      </c>
      <c r="G9" s="84" t="s">
        <v>549</v>
      </c>
      <c r="I9" s="720" t="s">
        <v>78</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07" t="s">
        <v>118</v>
      </c>
      <c r="AI9" s="707"/>
      <c r="AJ9" s="8"/>
      <c r="AK9" s="707" t="s">
        <v>89</v>
      </c>
      <c r="AL9" s="707"/>
      <c r="AM9" s="8"/>
      <c r="AN9" s="707" t="s">
        <v>90</v>
      </c>
      <c r="AO9" s="707"/>
      <c r="AP9" s="8"/>
      <c r="AQ9" s="707" t="s">
        <v>91</v>
      </c>
      <c r="AR9" s="707"/>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I10" s="708"/>
      <c r="K10" s="708"/>
      <c r="M10" s="708"/>
      <c r="O10" s="717"/>
      <c r="P10" s="717"/>
      <c r="R10" s="708"/>
      <c r="T10" s="708"/>
      <c r="V10" s="717"/>
      <c r="W10" s="717"/>
      <c r="Y10" s="717"/>
      <c r="Z10" s="717"/>
      <c r="AB10" s="723"/>
      <c r="AC10" s="723"/>
      <c r="AD10" s="81"/>
      <c r="AE10" s="723"/>
      <c r="AF10" s="723"/>
      <c r="AH10" s="717"/>
      <c r="AI10" s="717"/>
      <c r="AK10" s="717"/>
      <c r="AL10" s="717"/>
      <c r="AN10" s="717"/>
      <c r="AO10" s="717"/>
      <c r="AQ10" s="717"/>
      <c r="AR10" s="717"/>
      <c r="AT10" s="717"/>
      <c r="AV10" s="717"/>
      <c r="AW10" s="717"/>
      <c r="AX10" s="322"/>
      <c r="AY10" s="708"/>
      <c r="BA10" s="708"/>
      <c r="BB10" s="708"/>
      <c r="BD10" s="717"/>
      <c r="BE10" s="717"/>
      <c r="BG10" s="717"/>
      <c r="BH10" s="717"/>
      <c r="BJ10" s="708"/>
      <c r="BK10" s="708"/>
      <c r="BL10" s="708"/>
      <c r="BM10" s="322"/>
      <c r="BN10" s="717"/>
      <c r="BO10" s="717"/>
      <c r="BQ10" s="322"/>
      <c r="BR10" s="322"/>
    </row>
    <row r="11" spans="1:70" ht="15.75" customHeight="1" thickBot="1" x14ac:dyDescent="0.2">
      <c r="B11" s="5" t="s">
        <v>95</v>
      </c>
      <c r="C11" s="3"/>
      <c r="D11" s="102"/>
      <c r="E11" s="102"/>
      <c r="F11" s="3"/>
      <c r="G11" s="102"/>
      <c r="O11" s="322" t="s">
        <v>96</v>
      </c>
      <c r="P11" s="322"/>
      <c r="Q11" s="322"/>
      <c r="R11" s="322" t="s">
        <v>96</v>
      </c>
      <c r="S11" s="322"/>
      <c r="T11" s="322"/>
      <c r="V11" s="322"/>
      <c r="W11" s="322"/>
      <c r="Y11" s="322"/>
      <c r="Z11" s="322"/>
      <c r="AB11" s="322"/>
      <c r="AC11" s="322"/>
      <c r="AE11" s="322"/>
      <c r="AF11" s="322"/>
      <c r="AH11" s="322"/>
      <c r="AI11" s="322"/>
      <c r="AK11" s="322"/>
      <c r="AL11" s="322"/>
      <c r="AN11" s="322"/>
      <c r="AO11" s="322"/>
      <c r="AQ11" s="322"/>
      <c r="AR11" s="322"/>
      <c r="AT11" s="322"/>
      <c r="AV11" s="322"/>
      <c r="AW11" s="322"/>
      <c r="AX11" s="322"/>
      <c r="BB11" s="322"/>
      <c r="BD11" s="322"/>
      <c r="BE11" s="322"/>
      <c r="BG11" s="322"/>
      <c r="BH11" s="322"/>
      <c r="BJ11" s="156"/>
      <c r="BM11" s="322"/>
      <c r="BN11" s="322"/>
      <c r="BO11" s="322"/>
      <c r="BQ11" s="322"/>
      <c r="BR11" s="322"/>
    </row>
    <row r="12" spans="1:70" ht="14.25" customHeight="1" x14ac:dyDescent="0.15">
      <c r="O12" s="322"/>
      <c r="P12" s="707" t="s">
        <v>97</v>
      </c>
      <c r="W12" s="707" t="s">
        <v>98</v>
      </c>
      <c r="Z12" s="707" t="s">
        <v>98</v>
      </c>
      <c r="AC12" s="707" t="s">
        <v>98</v>
      </c>
      <c r="AF12" s="707" t="s">
        <v>98</v>
      </c>
      <c r="AI12" s="707" t="s">
        <v>98</v>
      </c>
      <c r="AL12" s="707" t="s">
        <v>98</v>
      </c>
      <c r="AO12" s="707" t="s">
        <v>98</v>
      </c>
      <c r="AR12" s="707" t="s">
        <v>98</v>
      </c>
      <c r="AW12" s="707" t="s">
        <v>98</v>
      </c>
      <c r="BB12" s="707" t="s">
        <v>98</v>
      </c>
      <c r="BE12" s="707" t="s">
        <v>98</v>
      </c>
      <c r="BH12" s="707" t="s">
        <v>98</v>
      </c>
      <c r="BJ12" s="709" t="s">
        <v>99</v>
      </c>
      <c r="BK12" s="709" t="s">
        <v>100</v>
      </c>
      <c r="BL12" s="709" t="s">
        <v>101</v>
      </c>
      <c r="BO12" s="709" t="s">
        <v>102</v>
      </c>
      <c r="BR12" s="707" t="s">
        <v>103</v>
      </c>
    </row>
    <row r="13" spans="1:70" ht="14.25" customHeight="1" x14ac:dyDescent="0.15">
      <c r="C13" s="71" t="s">
        <v>552</v>
      </c>
      <c r="F13" s="475">
        <v>85</v>
      </c>
      <c r="G13" s="84" t="s">
        <v>553</v>
      </c>
      <c r="H13" s="370"/>
      <c r="O13" s="322"/>
      <c r="P13" s="708"/>
      <c r="Q13" s="322"/>
      <c r="R13" s="322"/>
      <c r="S13" s="322"/>
      <c r="T13" s="322"/>
      <c r="V13" s="322"/>
      <c r="W13" s="708"/>
      <c r="Y13" s="322"/>
      <c r="Z13" s="708"/>
      <c r="AB13" s="322"/>
      <c r="AC13" s="708"/>
      <c r="AE13" s="322"/>
      <c r="AF13" s="708"/>
      <c r="AH13" s="322"/>
      <c r="AI13" s="708"/>
      <c r="AK13" s="322"/>
      <c r="AL13" s="708"/>
      <c r="AN13" s="322"/>
      <c r="AO13" s="708"/>
      <c r="AQ13" s="322"/>
      <c r="AR13" s="708"/>
      <c r="AT13" s="322"/>
      <c r="AV13" s="322"/>
      <c r="AW13" s="708"/>
      <c r="BB13" s="708"/>
      <c r="BD13" s="322"/>
      <c r="BE13" s="708"/>
      <c r="BG13" s="322"/>
      <c r="BH13" s="708"/>
      <c r="BJ13" s="712"/>
      <c r="BK13" s="710"/>
      <c r="BL13" s="708"/>
      <c r="BM13" s="322"/>
      <c r="BO13" s="708"/>
      <c r="BQ13" s="322"/>
      <c r="BR13" s="708"/>
    </row>
    <row r="14" spans="1:70" ht="16.5" x14ac:dyDescent="0.15">
      <c r="C14" s="71" t="s">
        <v>554</v>
      </c>
      <c r="F14" s="474">
        <f>VLOOKUP(F3&amp;IF(G4&lt;&gt;"","_"&amp;G4,""),まとめ!$A$12:$G$34,IF(F7=2030,4,IF(F7=2020,3,IF(F7=2014,2,"-"))),0)</f>
        <v>70</v>
      </c>
      <c r="G14" s="84" t="s">
        <v>549</v>
      </c>
      <c r="H14" s="370"/>
      <c r="O14" s="322"/>
      <c r="P14" s="322"/>
      <c r="Q14" s="322"/>
      <c r="R14" s="322"/>
      <c r="S14" s="322"/>
      <c r="T14" s="322"/>
      <c r="AT14" s="50" t="s">
        <v>104</v>
      </c>
      <c r="AY14" s="71" t="s">
        <v>105</v>
      </c>
    </row>
    <row r="15" spans="1:70" x14ac:dyDescent="0.15">
      <c r="C15" s="71" t="s">
        <v>555</v>
      </c>
      <c r="F15" s="474">
        <f>VLOOKUP(F3&amp;IF(G4&lt;&gt;"","_"&amp;G4,""),まとめ!$A$12:$G$34,IF(F7=2030,7,IF(F7=2020,6,IF(F7=2014,5,"-"))),0)</f>
        <v>40</v>
      </c>
      <c r="G15" s="84" t="s">
        <v>556</v>
      </c>
      <c r="H15" s="370"/>
      <c r="I15" s="38">
        <f>F7</f>
        <v>2030</v>
      </c>
      <c r="J15" s="39"/>
      <c r="K15" s="39">
        <f>IF(I15&lt;&gt;"",1,"")</f>
        <v>1</v>
      </c>
      <c r="L15" s="39"/>
      <c r="M15" s="40">
        <f t="shared" ref="M15:M78" si="0">1/(1+($F$9/100))^K15</f>
        <v>0.970873786407767</v>
      </c>
      <c r="N15" s="39"/>
      <c r="O15" s="72">
        <f>F117</f>
        <v>138550000000</v>
      </c>
      <c r="P15" s="41">
        <f t="shared" ref="P15:P78" si="1">IF(K15&lt;=$F$15,IF(OR(P14=$F$124,P14="-"),"-",IF(O15*$F$123&gt;$F$127,$F$123,$F$124)),"")</f>
        <v>0.16700000000000001</v>
      </c>
      <c r="Q15" s="39"/>
      <c r="R15" s="72">
        <f>F117</f>
        <v>138550000000</v>
      </c>
      <c r="S15" s="39"/>
      <c r="T15" s="72">
        <f>IF(ISNUMBER(R15),ROUNDDOWN(R15,-3),"")</f>
        <v>138550000000</v>
      </c>
      <c r="U15" s="39"/>
      <c r="V15" s="72">
        <f t="shared" ref="V15:V78" si="2">IF(K15&lt;=$F$15,IF(K15&lt;$F$119,IF(P15="-",V14,O15*P15),IF(K15=$F$119,MIN(IF(P15="-",V14,O15*P15),O15),0)),"")</f>
        <v>23137850000</v>
      </c>
      <c r="W15" s="72">
        <f>IF(ISNUMBER(V15),V15*$M15,"")</f>
        <v>22463932038.834953</v>
      </c>
      <c r="X15" s="39"/>
      <c r="Y15" s="72">
        <f t="shared" ref="Y15:Y78" si="3">IF($K15&lt;=$F$15,ROUNDDOWN(T15*$F$25/100,-2),"")</f>
        <v>1939700000</v>
      </c>
      <c r="Z15" s="72">
        <f>IF(ISNUMBER(Y15),Y15*$M15,"")</f>
        <v>1883203883.4951456</v>
      </c>
      <c r="AA15" s="39"/>
      <c r="AB15" s="72">
        <f t="shared" ref="AB15:AB78" si="4">IF($K15&lt;=$F$15,0,IF(AND($K15&gt;$F$15,$K15&lt;=$F$15+$F$28),$F$27*10^8/$F$28,""))</f>
        <v>0</v>
      </c>
      <c r="AC15" s="72">
        <f>IF(ISNUMBER(AB15),AB15*$M15,"")</f>
        <v>0</v>
      </c>
      <c r="AD15" s="39"/>
      <c r="AE15" s="72">
        <f t="shared" ref="AE15:AE78" si="5">IF($K15&lt;=$F$15,$F$26,"")</f>
        <v>0</v>
      </c>
      <c r="AF15" s="72">
        <f>IF(ISNUMBER(AE15),AE15*$M15,"")</f>
        <v>0</v>
      </c>
      <c r="AG15" s="39"/>
      <c r="AH15" s="72">
        <f t="shared" ref="AH15:AH78" si="6">IF($K15&lt;=$F$15,$F$33*10^8,"")</f>
        <v>620000000</v>
      </c>
      <c r="AI15" s="72">
        <f>IF(ISNUMBER(AH15),AH15*$M15,"")</f>
        <v>601941747.57281554</v>
      </c>
      <c r="AJ15" s="39"/>
      <c r="AK15" s="72">
        <f t="shared" ref="AK15:AK78" si="7">IF($K15&lt;=$F$15,$F$117*$F$34/100,"")</f>
        <v>3325200000</v>
      </c>
      <c r="AL15" s="72">
        <f>IF(ISNUMBER(AK15),AK15*$M15,"")</f>
        <v>3228349514.563107</v>
      </c>
      <c r="AM15" s="39"/>
      <c r="AN15" s="72">
        <f t="shared" ref="AN15:AN78" si="8">IF($K15&lt;=$F$15,$F$117*$F$35/100,"")</f>
        <v>1524050000</v>
      </c>
      <c r="AO15" s="72">
        <f>IF(ISNUMBER(AN15),AN15*$M15,"")</f>
        <v>1479660194.1747572</v>
      </c>
      <c r="AP15" s="39"/>
      <c r="AQ15" s="72">
        <f t="shared" ref="AQ15:AQ78" si="9">IF($K15&lt;=$F$15,SUM(AH15,AK15,AN15)*($F$36/100),"")</f>
        <v>656310000</v>
      </c>
      <c r="AR15" s="72">
        <f>IF(ISNUMBER(AQ15),AQ15*$M15,"")</f>
        <v>637194174.75728154</v>
      </c>
      <c r="AS15" s="39"/>
      <c r="AT15" s="40">
        <f>IF($K15&lt;=$F$15,IF($F$40&lt;&gt;"",$F$40/1000,IF(ISERROR(VLOOKUP($F$3&amp;IF($G$4&lt;&gt;"",$G$4,"")&amp;IF($F$43&lt;&gt;"","_"&amp;$F$43,""),'表3）燃料価格'!$AF$9:$AG$25,2,0)),0,VLOOKUP($I15,'表3）燃料価格'!$A$6:$AC$66,VLOOKUP($F$3&amp;IF($G$4&lt;&gt;"",$G$4,"")&amp;IF($F$43&lt;&gt;"","_"&amp;$F$43,""),'表3）燃料価格'!$AF$9:$AG$25,2,0)+VLOOKUP($F$41,'表3）燃料価格'!$AF$28:$AG$29,2,0),0)*IF($F$43="需要地価格",1,$F$8/$F$141))),"")</f>
        <v>64.461513633801061</v>
      </c>
      <c r="AU15" s="39"/>
      <c r="AV15" s="72">
        <f t="shared" ref="AV15:AV78" si="10">IF($K15&lt;=$F$15,($AT15+$F$142)*$F$137,"")</f>
        <v>37927405059.246605</v>
      </c>
      <c r="AW15" s="72">
        <f>IF(ISNUMBER(AV15),AV15*$M15,"")</f>
        <v>36822723358.491852</v>
      </c>
      <c r="AX15" s="39"/>
      <c r="AY15" s="40">
        <f>IF(ISERROR(IF($K15&lt;=$F$15,VLOOKUP($I15,'表4）CO2価格'!$A$7:$E$67,VLOOKUP($F$48,'表4）CO2価格'!$H$10:$I$12,2,0),0)*$F$8/1000,"")),0,IF($K15&lt;=$F$15,VLOOKUP($I15,'表4）CO2価格'!$A$7:$E$67,VLOOKUP($F$48,'表4）CO2価格'!$H$10:$I$12,2,0),0)*$F$8/1000,""))</f>
        <v>4.28</v>
      </c>
      <c r="AZ15" s="39"/>
      <c r="BA15" s="42">
        <f t="shared" ref="BA15:BA78" si="11">IF($K15&lt;=$F$15,$F$145*AY15,"")</f>
        <v>6448859081.2799997</v>
      </c>
      <c r="BB15" s="72">
        <f>IF(ISNUMBER(BA15),BA15*$M15,"")</f>
        <v>6261028234.2524271</v>
      </c>
      <c r="BC15" s="39"/>
      <c r="BD15" s="72">
        <f t="shared" ref="BD15:BD78" si="12">IF($K15&lt;=$F$15,($AT15+$F$152)*$F$151,"")</f>
        <v>0</v>
      </c>
      <c r="BE15" s="72">
        <f>IF(ISNUMBER(BD15),BD15*$M15,"")</f>
        <v>0</v>
      </c>
      <c r="BF15" s="39"/>
      <c r="BG15" s="42">
        <f t="shared" ref="BG15:BG78" si="13">IF($K15&lt;=$F$15,$F$153*AY15,"")</f>
        <v>0</v>
      </c>
      <c r="BH15" s="72">
        <f>IF(ISNUMBER(BG15),BG15*$M15,"")</f>
        <v>0</v>
      </c>
      <c r="BI15" s="39"/>
      <c r="BJ15" s="40" t="str">
        <f>IF(ISNUMBER($F$16),IF($K15&lt;=$F$16+$F$28,1/(1+($F$17/100))^K15,""),"")</f>
        <v/>
      </c>
      <c r="BK15" s="157" t="str">
        <f>IF(ISNUMBER($F$16),IF($K15&lt;=$F$16+$F$28,IF($K15&lt;=$F$16,SUM(Y15,AB15,AE15,AH15,AK15,AN15,AQ15,AV15,BA15,BD15,BG15),$F$27/$F$28*10^8)*BJ15,""),"")</f>
        <v/>
      </c>
      <c r="BL15" s="157" t="str">
        <f t="shared" ref="BL15:BL78" si="14">IF(AND(ISNUMBER(BJ15),$K15&lt;=$F$16),BQ15*BJ15,"")</f>
        <v/>
      </c>
      <c r="BM15" s="72"/>
      <c r="BN15" s="72" t="str">
        <f>IF(AND(ISNUMBER($F$16),$K15&lt;=$F$16),BQ15*($O$15+$BK$116)/$BL$116,"")</f>
        <v/>
      </c>
      <c r="BO15" s="72" t="str">
        <f>IF(ISNUMBER(BN15),BN15*$M15,"")</f>
        <v/>
      </c>
      <c r="BP15" s="39"/>
      <c r="BQ15" s="72">
        <f t="shared" ref="BQ15:BQ78" si="15">IF($K15&lt;=$F$15,$F$134,"")</f>
        <v>5092319400</v>
      </c>
      <c r="BR15" s="72">
        <f>IF(ISNUMBER(BQ15),BQ15*$M15,"")</f>
        <v>4943999417.475728</v>
      </c>
    </row>
    <row r="16" spans="1:70" x14ac:dyDescent="0.15">
      <c r="C16" s="184" t="s">
        <v>107</v>
      </c>
      <c r="F16" s="474" t="str">
        <f>IF(ISERROR(VLOOKUP(F3&amp;IF(G4&lt;&gt;"","_"&amp;G4,""),'表7）買取期間・IRR'!$A$3:$A$10,1,0)),"",VLOOKUP(F3&amp;IF(G4&lt;&gt;"","_"&amp;G4,""),'表7）買取期間・IRR'!$A$3:$C$10,IF(F7=2030,4,IF(F7=2020,3,IF(F7=2014,2,"-"))),0))</f>
        <v/>
      </c>
      <c r="G16" s="84" t="s">
        <v>556</v>
      </c>
      <c r="H16" s="370"/>
      <c r="I16" s="322">
        <f>I15+1</f>
        <v>2031</v>
      </c>
      <c r="K16" s="71">
        <f>IF(I16&lt;&gt;"",K15+1,"")</f>
        <v>2</v>
      </c>
      <c r="M16" s="7">
        <f t="shared" si="0"/>
        <v>0.94259590913375435</v>
      </c>
      <c r="O16" s="10">
        <f t="shared" ref="O16:O79" si="16">IF(K16&lt;=$F$15,O15-V15,"")</f>
        <v>115412150000</v>
      </c>
      <c r="P16" s="29">
        <f t="shared" si="1"/>
        <v>0.16700000000000001</v>
      </c>
      <c r="R16" s="10">
        <f t="shared" ref="R16:R79" si="17">IF($K16&lt;=$F$15,MAX($F$117*5%,R15*$F$129),"")</f>
        <v>118833766749.76839</v>
      </c>
      <c r="T16" s="10">
        <f t="shared" ref="T16:T79" si="18">IF(ISNUMBER(R16),ROUNDDOWN(R16,-3),"")</f>
        <v>118833766000</v>
      </c>
      <c r="V16" s="10">
        <f t="shared" si="2"/>
        <v>19273829050</v>
      </c>
      <c r="W16" s="10">
        <f t="shared" ref="W16:W79" si="19">IF(ISNUMBER(V16),V16*$M16,"")</f>
        <v>18167432415.873314</v>
      </c>
      <c r="Y16" s="10">
        <f t="shared" si="3"/>
        <v>1663672700</v>
      </c>
      <c r="Z16" s="10">
        <f t="shared" ref="Z16:Z79" si="20">IF(ISNUMBER(Y16),Y16*$M16,"")</f>
        <v>1568171081.1575077</v>
      </c>
      <c r="AB16" s="10">
        <f t="shared" si="4"/>
        <v>0</v>
      </c>
      <c r="AC16" s="10">
        <f t="shared" ref="AC16:AC79" si="21">IF(ISNUMBER(AB16),AB16*$M16,"")</f>
        <v>0</v>
      </c>
      <c r="AE16" s="10">
        <f t="shared" si="5"/>
        <v>0</v>
      </c>
      <c r="AF16" s="10">
        <f t="shared" ref="AF16:AF79" si="22">IF(ISNUMBER(AE16),AE16*$M16,"")</f>
        <v>0</v>
      </c>
      <c r="AH16" s="10">
        <f t="shared" si="6"/>
        <v>620000000</v>
      </c>
      <c r="AI16" s="10">
        <f t="shared" ref="AI16:AI79" si="23">IF(ISNUMBER(AH16),AH16*$M16,"")</f>
        <v>584409463.66292775</v>
      </c>
      <c r="AK16" s="10">
        <f t="shared" si="7"/>
        <v>3325200000</v>
      </c>
      <c r="AL16" s="10">
        <f t="shared" ref="AL16:AL79" si="24">IF(ISNUMBER(AK16),AK16*$M16,"")</f>
        <v>3134319917.0515599</v>
      </c>
      <c r="AN16" s="10">
        <f t="shared" si="8"/>
        <v>1524050000</v>
      </c>
      <c r="AO16" s="10">
        <f t="shared" ref="AO16:AO79" si="25">IF(ISNUMBER(AN16),AN16*$M16,"")</f>
        <v>1436563295.3152983</v>
      </c>
      <c r="AQ16" s="10">
        <f t="shared" si="9"/>
        <v>656310000</v>
      </c>
      <c r="AR16" s="10">
        <f t="shared" ref="AR16:AR79" si="26">IF(ISNUMBER(AQ16),AQ16*$M16,"")</f>
        <v>618635121.12357438</v>
      </c>
      <c r="AT16" s="330">
        <f>IF($K16&lt;=$F$15,IF($F$40&lt;&gt;"",$F$40/1000,IF(ISERROR(VLOOKUP($F$3&amp;IF($G$4&lt;&gt;"",$G$4,"")&amp;IF($F$43&lt;&gt;"","_"&amp;$F$43,""),'表3）燃料価格'!$AF$9:$AG$25,2,0)),0,VLOOKUP($I16,'表3）燃料価格'!A7:AC57,VLOOKUP($F$3,'表3）燃料価格'!$AF$9:$AG$25,2,0)+VLOOKUP($F$41,'表3）燃料価格'!$AF$28:$AG$29,2,0),0)*IF($F$43="需要地価格",1,$F$8/$F$141))),"")</f>
        <v>64.390181188956319</v>
      </c>
      <c r="AU16" s="73"/>
      <c r="AV16" s="188">
        <f t="shared" si="10"/>
        <v>37887113295.093178</v>
      </c>
      <c r="AW16" s="188">
        <f t="shared" ref="AW16:AW79" si="27">IF(ISNUMBER(AV16),AV16*$M16,"")</f>
        <v>35712238000.841904</v>
      </c>
      <c r="AX16" s="73"/>
      <c r="AY16" s="40">
        <f>IF(ISERROR(IF($K16&lt;=$F$15,VLOOKUP($I16,'表4）CO2価格'!$A$7:$E$67,VLOOKUP($F$48,'表4）CO2価格'!$H$10:$I$12,2,0),0)*$F$8/1000,"")),0,IF($K16&lt;=$F$15,VLOOKUP($I16,'表4）CO2価格'!$A$7:$E$67,VLOOKUP($F$48,'表4）CO2価格'!$H$10:$I$12,2,0),0)*$F$8/1000,""))</f>
        <v>4.4083999999999808</v>
      </c>
      <c r="AZ16" s="73"/>
      <c r="BA16" s="11">
        <f t="shared" si="11"/>
        <v>6642324853.7183704</v>
      </c>
      <c r="BB16" s="10">
        <f t="shared" ref="BB16:BB79" si="28">IF(ISNUMBER(BA16),BA16*$M16,"")</f>
        <v>6261028234.2523994</v>
      </c>
      <c r="BD16" s="10">
        <f t="shared" si="12"/>
        <v>0</v>
      </c>
      <c r="BE16" s="10">
        <f t="shared" ref="BE16:BE79" si="29">IF(ISNUMBER(BD16),BD16*$M16,"")</f>
        <v>0</v>
      </c>
      <c r="BG16" s="11">
        <f t="shared" si="13"/>
        <v>0</v>
      </c>
      <c r="BH16" s="10">
        <f t="shared" ref="BH16:BH79" si="30">IF(ISNUMBER(BG16),BG16*$M16,"")</f>
        <v>0</v>
      </c>
      <c r="BJ16" s="7" t="str">
        <f t="shared" ref="BJ16:BJ79" si="31">IF(ISNUMBER($F$16),IF($K16&lt;=$F$16+$F$28,1/(1+($F$17/100))^K16,""),"")</f>
        <v/>
      </c>
      <c r="BK16" s="158" t="str">
        <f t="shared" ref="BK16:BK79" si="32">IF(ISNUMBER($F$16),IF($K16&lt;=$F$16+$F$28,IF($K16&lt;=$F$16,SUM(Y16,AB16,AE16,AH16,AK16,AN16,AQ16,AV16,BA16,BD16,BG16),$F$27/$F$28*10^8)*BJ16,""),"")</f>
        <v/>
      </c>
      <c r="BL16" s="158" t="str">
        <f t="shared" si="14"/>
        <v/>
      </c>
      <c r="BM16" s="10"/>
      <c r="BN16" s="10" t="str">
        <f t="shared" ref="BN16:BN79" si="33">IF(AND(ISNUMBER($F$16),$K16&lt;=$F$16),BQ16*($O$15+$BK$116)/$BL$116,"")</f>
        <v/>
      </c>
      <c r="BO16" s="10" t="str">
        <f t="shared" ref="BO16:BO79" si="34">IF(ISNUMBER(BN16),BN16*$M16,"")</f>
        <v/>
      </c>
      <c r="BQ16" s="10">
        <f t="shared" si="15"/>
        <v>5092319400</v>
      </c>
      <c r="BR16" s="10">
        <f t="shared" ref="BR16:BR79" si="35">IF(ISNUMBER(BQ16),BQ16*$M16,"")</f>
        <v>4799999434.4424543</v>
      </c>
    </row>
    <row r="17" spans="3:70" x14ac:dyDescent="0.15">
      <c r="C17" s="71" t="s">
        <v>109</v>
      </c>
      <c r="F17" s="476" t="str">
        <f>IF(ISERROR(VLOOKUP(F3&amp;IF(G4&lt;&gt;"","_"&amp;G4,""),'表7）買取期間・IRR'!$A$14:$C$21,1,0)),"",VLOOKUP(F3&amp;IF(G4&lt;&gt;"","_"&amp;G4,""),'表7）買取期間・IRR'!$A$14:$C$21,IF(F7=2030,3,IF(F7=2020,2,"-")),0))</f>
        <v/>
      </c>
      <c r="G17" s="84" t="s">
        <v>549</v>
      </c>
      <c r="H17" s="370"/>
      <c r="I17" s="38">
        <f t="shared" ref="I17:I80" si="36">I16+1</f>
        <v>2032</v>
      </c>
      <c r="J17" s="39"/>
      <c r="K17" s="39">
        <f t="shared" ref="K17:K80" si="37">IF(I17&lt;&gt;"",K16+1,"")</f>
        <v>3</v>
      </c>
      <c r="L17" s="39"/>
      <c r="M17" s="40">
        <f t="shared" si="0"/>
        <v>0.91514165935315961</v>
      </c>
      <c r="N17" s="39"/>
      <c r="O17" s="72">
        <f t="shared" si="16"/>
        <v>96138320950</v>
      </c>
      <c r="P17" s="41">
        <f t="shared" si="1"/>
        <v>0.16700000000000001</v>
      </c>
      <c r="Q17" s="39"/>
      <c r="R17" s="72">
        <f t="shared" si="17"/>
        <v>101923234355.38332</v>
      </c>
      <c r="S17" s="39"/>
      <c r="T17" s="72">
        <f t="shared" si="18"/>
        <v>101923234000</v>
      </c>
      <c r="U17" s="39"/>
      <c r="V17" s="72">
        <f t="shared" si="2"/>
        <v>16055099598.650002</v>
      </c>
      <c r="W17" s="72">
        <f t="shared" si="19"/>
        <v>14692690487.788809</v>
      </c>
      <c r="X17" s="39"/>
      <c r="Y17" s="72">
        <f t="shared" si="3"/>
        <v>1426925200</v>
      </c>
      <c r="Z17" s="72">
        <f t="shared" si="20"/>
        <v>1305838695.3008392</v>
      </c>
      <c r="AA17" s="39"/>
      <c r="AB17" s="72">
        <f t="shared" si="4"/>
        <v>0</v>
      </c>
      <c r="AC17" s="72">
        <f t="shared" si="21"/>
        <v>0</v>
      </c>
      <c r="AD17" s="39"/>
      <c r="AE17" s="72">
        <f t="shared" si="5"/>
        <v>0</v>
      </c>
      <c r="AF17" s="72">
        <f t="shared" si="22"/>
        <v>0</v>
      </c>
      <c r="AG17" s="39"/>
      <c r="AH17" s="72">
        <f t="shared" si="6"/>
        <v>620000000</v>
      </c>
      <c r="AI17" s="72">
        <f t="shared" si="23"/>
        <v>567387828.79895902</v>
      </c>
      <c r="AJ17" s="39"/>
      <c r="AK17" s="72">
        <f t="shared" si="7"/>
        <v>3325200000</v>
      </c>
      <c r="AL17" s="72">
        <f t="shared" si="24"/>
        <v>3043029045.6811261</v>
      </c>
      <c r="AM17" s="39"/>
      <c r="AN17" s="72">
        <f t="shared" si="8"/>
        <v>1524050000</v>
      </c>
      <c r="AO17" s="72">
        <f t="shared" si="25"/>
        <v>1394721645.9371829</v>
      </c>
      <c r="AP17" s="39"/>
      <c r="AQ17" s="72">
        <f t="shared" si="9"/>
        <v>656310000</v>
      </c>
      <c r="AR17" s="72">
        <f t="shared" si="26"/>
        <v>600616622.45007217</v>
      </c>
      <c r="AS17" s="39"/>
      <c r="AT17" s="40">
        <f>IF($K17&lt;=$F$15,IF($F$40&lt;&gt;"",$F$40/1000,IF(ISERROR(VLOOKUP($F$3&amp;IF($G$4&lt;&gt;"",$G$4,"")&amp;IF($F$43&lt;&gt;"","_"&amp;$F$43,""),'表3）燃料価格'!$AF$9:$AG$25,2,0)),0,VLOOKUP($I17,'表3）燃料価格'!A8:AC58,VLOOKUP($F$3,'表3）燃料価格'!$AF$9:$AG$25,2,0)+VLOOKUP($F$41,'表3）燃料価格'!$AF$28:$AG$29,2,0),0)*IF($F$43="需要地価格",1,$F$8/$F$141))),"")</f>
        <v>67.225645871535107</v>
      </c>
      <c r="AU17" s="39"/>
      <c r="AV17" s="72">
        <f t="shared" si="10"/>
        <v>39488710920.192024</v>
      </c>
      <c r="AW17" s="72">
        <f t="shared" si="27"/>
        <v>36137764437.221764</v>
      </c>
      <c r="AX17" s="39"/>
      <c r="AY17" s="40">
        <f>IF(ISERROR(IF($K17&lt;=$F$15,VLOOKUP($I17,'表4）CO2価格'!$A$7:$E$67,VLOOKUP($F$48,'表4）CO2価格'!$H$10:$I$12,2,0),0)*$F$8/1000,"")),0,IF($K17&lt;=$F$15,VLOOKUP($I17,'表4）CO2価格'!$A$7:$E$67,VLOOKUP($F$48,'表4）CO2価格'!$H$10:$I$12,2,0),0)*$F$8/1000,""))</f>
        <v>4.5368000000000102</v>
      </c>
      <c r="AZ17" s="39"/>
      <c r="BA17" s="42">
        <f t="shared" si="11"/>
        <v>6835790626.1568146</v>
      </c>
      <c r="BB17" s="72">
        <f t="shared" si="28"/>
        <v>6255716776.6119213</v>
      </c>
      <c r="BC17" s="39"/>
      <c r="BD17" s="72">
        <f t="shared" si="12"/>
        <v>0</v>
      </c>
      <c r="BE17" s="72">
        <f t="shared" si="29"/>
        <v>0</v>
      </c>
      <c r="BF17" s="39"/>
      <c r="BG17" s="42">
        <f t="shared" si="13"/>
        <v>0</v>
      </c>
      <c r="BH17" s="72">
        <f t="shared" si="30"/>
        <v>0</v>
      </c>
      <c r="BI17" s="39"/>
      <c r="BJ17" s="40" t="str">
        <f t="shared" si="31"/>
        <v/>
      </c>
      <c r="BK17" s="157" t="str">
        <f t="shared" si="32"/>
        <v/>
      </c>
      <c r="BL17" s="157" t="str">
        <f t="shared" si="14"/>
        <v/>
      </c>
      <c r="BM17" s="72"/>
      <c r="BN17" s="72" t="str">
        <f t="shared" si="33"/>
        <v/>
      </c>
      <c r="BO17" s="72" t="str">
        <f t="shared" si="34"/>
        <v/>
      </c>
      <c r="BP17" s="39"/>
      <c r="BQ17" s="72">
        <f t="shared" si="15"/>
        <v>5092319400</v>
      </c>
      <c r="BR17" s="72">
        <f t="shared" si="35"/>
        <v>4660193625.672286</v>
      </c>
    </row>
    <row r="18" spans="3:70" x14ac:dyDescent="0.15">
      <c r="H18" s="370"/>
      <c r="I18" s="322">
        <f t="shared" si="36"/>
        <v>2033</v>
      </c>
      <c r="K18" s="71">
        <f t="shared" si="37"/>
        <v>4</v>
      </c>
      <c r="M18" s="7">
        <f t="shared" si="0"/>
        <v>0.888487047915689</v>
      </c>
      <c r="O18" s="10">
        <f t="shared" si="16"/>
        <v>80083221351.350006</v>
      </c>
      <c r="P18" s="29">
        <f t="shared" si="1"/>
        <v>0.16700000000000001</v>
      </c>
      <c r="R18" s="10">
        <f t="shared" si="17"/>
        <v>87419140077.730789</v>
      </c>
      <c r="T18" s="10">
        <f t="shared" si="18"/>
        <v>87419140000</v>
      </c>
      <c r="V18" s="10">
        <f t="shared" si="2"/>
        <v>13373897965.675451</v>
      </c>
      <c r="W18" s="10">
        <f t="shared" si="19"/>
        <v>11882535122.648621</v>
      </c>
      <c r="Y18" s="10">
        <f t="shared" si="3"/>
        <v>1223867900</v>
      </c>
      <c r="Z18" s="10">
        <f t="shared" si="20"/>
        <v>1087390777.5097737</v>
      </c>
      <c r="AB18" s="10">
        <f t="shared" si="4"/>
        <v>0</v>
      </c>
      <c r="AC18" s="10">
        <f t="shared" si="21"/>
        <v>0</v>
      </c>
      <c r="AE18" s="10">
        <f t="shared" si="5"/>
        <v>0</v>
      </c>
      <c r="AF18" s="10">
        <f t="shared" si="22"/>
        <v>0</v>
      </c>
      <c r="AH18" s="10">
        <f t="shared" si="6"/>
        <v>620000000</v>
      </c>
      <c r="AI18" s="10">
        <f t="shared" si="23"/>
        <v>550861969.70772719</v>
      </c>
      <c r="AK18" s="10">
        <f t="shared" si="7"/>
        <v>3325200000</v>
      </c>
      <c r="AL18" s="10">
        <f t="shared" si="24"/>
        <v>2954397131.729249</v>
      </c>
      <c r="AN18" s="10">
        <f t="shared" si="8"/>
        <v>1524050000</v>
      </c>
      <c r="AO18" s="10">
        <f t="shared" si="25"/>
        <v>1354098685.3759058</v>
      </c>
      <c r="AQ18" s="10">
        <f t="shared" si="9"/>
        <v>656310000</v>
      </c>
      <c r="AR18" s="10">
        <f t="shared" si="26"/>
        <v>583122934.4175458</v>
      </c>
      <c r="AS18" s="73"/>
      <c r="AT18" s="330">
        <f>IF($K18&lt;=$F$15,IF($F$40&lt;&gt;"",$F$40/1000,IF(ISERROR(VLOOKUP($F$3&amp;IF($G$4&lt;&gt;"",$G$4,"")&amp;IF($F$43&lt;&gt;"","_"&amp;$F$43,""),'表3）燃料価格'!$AF$9:$AG$25,2,0)),0,VLOOKUP($I18,'表3）燃料価格'!A9:AC59,VLOOKUP($F$3,'表3）燃料価格'!$AF$9:$AG$25,2,0)+VLOOKUP($F$41,'表3）燃料価格'!$AF$28:$AG$29,2,0),0)*IF($F$43="需要地価格",1,$F$8/$F$141))),"")</f>
        <v>64.24751629926682</v>
      </c>
      <c r="AU18" s="73"/>
      <c r="AV18" s="188">
        <f t="shared" si="10"/>
        <v>37806529766.786316</v>
      </c>
      <c r="AW18" s="188">
        <f t="shared" si="27"/>
        <v>33590612024.428596</v>
      </c>
      <c r="AX18" s="73"/>
      <c r="AY18" s="40">
        <f>IF(ISERROR(IF($K18&lt;=$F$15,VLOOKUP($I18,'表4）CO2価格'!$A$7:$E$67,VLOOKUP($F$48,'表4）CO2価格'!$H$10:$I$12,2,0),0)*$F$8/1000,"")),0,IF($K18&lt;=$F$15,VLOOKUP($I18,'表4）CO2価格'!$A$7:$E$67,VLOOKUP($F$48,'表4）CO2価格'!$H$10:$I$12,2,0),0)*$F$8/1000,""))</f>
        <v>4.6651999999999898</v>
      </c>
      <c r="AZ18" s="73"/>
      <c r="BA18" s="331">
        <f t="shared" si="11"/>
        <v>7029256398.5951834</v>
      </c>
      <c r="BB18" s="10">
        <f t="shared" si="28"/>
        <v>6245403266.6303024</v>
      </c>
      <c r="BD18" s="10">
        <f t="shared" si="12"/>
        <v>0</v>
      </c>
      <c r="BE18" s="10">
        <f t="shared" si="29"/>
        <v>0</v>
      </c>
      <c r="BG18" s="11">
        <f t="shared" si="13"/>
        <v>0</v>
      </c>
      <c r="BH18" s="10">
        <f t="shared" si="30"/>
        <v>0</v>
      </c>
      <c r="BJ18" s="7" t="str">
        <f t="shared" si="31"/>
        <v/>
      </c>
      <c r="BK18" s="158" t="str">
        <f t="shared" si="32"/>
        <v/>
      </c>
      <c r="BL18" s="158" t="str">
        <f t="shared" si="14"/>
        <v/>
      </c>
      <c r="BM18" s="10"/>
      <c r="BN18" s="10" t="str">
        <f t="shared" si="33"/>
        <v/>
      </c>
      <c r="BO18" s="10" t="str">
        <f t="shared" si="34"/>
        <v/>
      </c>
      <c r="BQ18" s="10">
        <f t="shared" si="15"/>
        <v>5092319400</v>
      </c>
      <c r="BR18" s="10">
        <f t="shared" si="35"/>
        <v>4524459830.7497931</v>
      </c>
    </row>
    <row r="19" spans="3:70" x14ac:dyDescent="0.15">
      <c r="C19" s="4" t="s">
        <v>557</v>
      </c>
      <c r="D19" s="100"/>
      <c r="E19" s="100"/>
      <c r="F19" s="4"/>
      <c r="G19" s="100"/>
      <c r="H19" s="370"/>
      <c r="I19" s="38">
        <f t="shared" si="36"/>
        <v>2034</v>
      </c>
      <c r="J19" s="39"/>
      <c r="K19" s="39">
        <f t="shared" si="37"/>
        <v>5</v>
      </c>
      <c r="L19" s="39"/>
      <c r="M19" s="40">
        <f t="shared" si="0"/>
        <v>0.86260878438416411</v>
      </c>
      <c r="N19" s="39"/>
      <c r="O19" s="72">
        <f t="shared" si="16"/>
        <v>66709323385.674553</v>
      </c>
      <c r="P19" s="41">
        <f t="shared" si="1"/>
        <v>0.16700000000000001</v>
      </c>
      <c r="Q19" s="39"/>
      <c r="R19" s="72">
        <f t="shared" si="17"/>
        <v>74979037903.012558</v>
      </c>
      <c r="S19" s="39"/>
      <c r="T19" s="72">
        <f t="shared" si="18"/>
        <v>74979037000</v>
      </c>
      <c r="U19" s="39"/>
      <c r="V19" s="72">
        <f t="shared" si="2"/>
        <v>11140457005.407652</v>
      </c>
      <c r="W19" s="72">
        <f t="shared" si="19"/>
        <v>9609856074.9187393</v>
      </c>
      <c r="X19" s="39"/>
      <c r="Y19" s="72">
        <f t="shared" si="3"/>
        <v>1049706500</v>
      </c>
      <c r="Z19" s="72">
        <f t="shared" si="20"/>
        <v>905486047.92515552</v>
      </c>
      <c r="AA19" s="39"/>
      <c r="AB19" s="72">
        <f t="shared" si="4"/>
        <v>0</v>
      </c>
      <c r="AC19" s="72">
        <f t="shared" si="21"/>
        <v>0</v>
      </c>
      <c r="AD19" s="39"/>
      <c r="AE19" s="72">
        <f t="shared" si="5"/>
        <v>0</v>
      </c>
      <c r="AF19" s="72">
        <f t="shared" si="22"/>
        <v>0</v>
      </c>
      <c r="AG19" s="39"/>
      <c r="AH19" s="72">
        <f t="shared" si="6"/>
        <v>620000000</v>
      </c>
      <c r="AI19" s="72">
        <f t="shared" si="23"/>
        <v>534817446.31818175</v>
      </c>
      <c r="AJ19" s="39"/>
      <c r="AK19" s="72">
        <f t="shared" si="7"/>
        <v>3325200000</v>
      </c>
      <c r="AL19" s="72">
        <f t="shared" si="24"/>
        <v>2868346729.8342223</v>
      </c>
      <c r="AM19" s="39"/>
      <c r="AN19" s="72">
        <f t="shared" si="8"/>
        <v>1524050000</v>
      </c>
      <c r="AO19" s="72">
        <f t="shared" si="25"/>
        <v>1314658917.8406854</v>
      </c>
      <c r="AP19" s="39"/>
      <c r="AQ19" s="72">
        <f t="shared" si="9"/>
        <v>656310000</v>
      </c>
      <c r="AR19" s="72">
        <f t="shared" si="26"/>
        <v>566138771.27917075</v>
      </c>
      <c r="AS19" s="39"/>
      <c r="AT19" s="40">
        <f>IF($K19&lt;=$F$15,IF($F$40&lt;&gt;"",$F$40/1000,IF(ISERROR(VLOOKUP($F$3&amp;IF($G$4&lt;&gt;"",$G$4,"")&amp;IF($F$43&lt;&gt;"","_"&amp;$F$43,""),'表3）燃料価格'!$AF$9:$AG$25,2,0)),0,VLOOKUP($I19,'表3）燃料価格'!A10:AC60,VLOOKUP($F$3,'表3）燃料価格'!$AF$9:$AG$25,2,0)+VLOOKUP($F$41,'表3）燃料価格'!$AF$28:$AG$29,2,0),0)*IF($F$43="需要地価格",1,$F$8/$F$141))),"")</f>
        <v>64.176183854422064</v>
      </c>
      <c r="AU19" s="39"/>
      <c r="AV19" s="72">
        <f t="shared" si="10"/>
        <v>37766238002.632881</v>
      </c>
      <c r="AW19" s="72">
        <f t="shared" si="27"/>
        <v>32577488654.214172</v>
      </c>
      <c r="AX19" s="39"/>
      <c r="AY19" s="40">
        <f>IF(ISERROR(IF($K19&lt;=$F$15,VLOOKUP($I19,'表4）CO2価格'!$A$7:$E$67,VLOOKUP($F$48,'表4）CO2価格'!$H$10:$I$12,2,0),0)*$F$8/1000,"")),0,IF($K19&lt;=$F$15,VLOOKUP($I19,'表4）CO2価格'!$A$7:$E$67,VLOOKUP($F$48,'表4）CO2価格'!$H$10:$I$12,2,0),0)*$F$8/1000,""))</f>
        <v>4.7935999999999712</v>
      </c>
      <c r="AZ19" s="39"/>
      <c r="BA19" s="42">
        <f t="shared" si="11"/>
        <v>7222722171.033555</v>
      </c>
      <c r="BB19" s="72">
        <f t="shared" si="28"/>
        <v>6230383591.8998051</v>
      </c>
      <c r="BC19" s="39"/>
      <c r="BD19" s="72">
        <f t="shared" si="12"/>
        <v>0</v>
      </c>
      <c r="BE19" s="72">
        <f t="shared" si="29"/>
        <v>0</v>
      </c>
      <c r="BF19" s="39"/>
      <c r="BG19" s="42">
        <f t="shared" si="13"/>
        <v>0</v>
      </c>
      <c r="BH19" s="72">
        <f t="shared" si="30"/>
        <v>0</v>
      </c>
      <c r="BI19" s="39"/>
      <c r="BJ19" s="40" t="str">
        <f t="shared" si="31"/>
        <v/>
      </c>
      <c r="BK19" s="157" t="str">
        <f t="shared" si="32"/>
        <v/>
      </c>
      <c r="BL19" s="157" t="str">
        <f t="shared" si="14"/>
        <v/>
      </c>
      <c r="BM19" s="72"/>
      <c r="BN19" s="72" t="str">
        <f t="shared" si="33"/>
        <v/>
      </c>
      <c r="BO19" s="72" t="str">
        <f t="shared" si="34"/>
        <v/>
      </c>
      <c r="BP19" s="39"/>
      <c r="BQ19" s="72">
        <f t="shared" si="15"/>
        <v>5092319400</v>
      </c>
      <c r="BR19" s="72">
        <f t="shared" si="35"/>
        <v>4392679447.329896</v>
      </c>
    </row>
    <row r="20" spans="3:70" x14ac:dyDescent="0.15">
      <c r="H20" s="370"/>
      <c r="I20" s="322">
        <f t="shared" si="36"/>
        <v>2035</v>
      </c>
      <c r="K20" s="71">
        <f t="shared" si="37"/>
        <v>6</v>
      </c>
      <c r="M20" s="7">
        <f t="shared" si="0"/>
        <v>0.83748425668365445</v>
      </c>
      <c r="O20" s="10">
        <f t="shared" si="16"/>
        <v>55568866380.266899</v>
      </c>
      <c r="P20" s="29">
        <f t="shared" si="1"/>
        <v>0.16700000000000001</v>
      </c>
      <c r="R20" s="10">
        <f t="shared" si="17"/>
        <v>64309213289.705063</v>
      </c>
      <c r="T20" s="10">
        <f t="shared" si="18"/>
        <v>64309213000</v>
      </c>
      <c r="V20" s="10">
        <f t="shared" si="2"/>
        <v>9280000685.5045719</v>
      </c>
      <c r="W20" s="10">
        <f t="shared" si="19"/>
        <v>7771854476.1236</v>
      </c>
      <c r="Y20" s="10">
        <f t="shared" si="3"/>
        <v>900328900</v>
      </c>
      <c r="Z20" s="10">
        <f t="shared" si="20"/>
        <v>754011279.58731222</v>
      </c>
      <c r="AB20" s="10">
        <f t="shared" si="4"/>
        <v>0</v>
      </c>
      <c r="AC20" s="10">
        <f t="shared" si="21"/>
        <v>0</v>
      </c>
      <c r="AE20" s="10">
        <f t="shared" si="5"/>
        <v>0</v>
      </c>
      <c r="AF20" s="10">
        <f t="shared" si="22"/>
        <v>0</v>
      </c>
      <c r="AH20" s="10">
        <f t="shared" si="6"/>
        <v>620000000</v>
      </c>
      <c r="AI20" s="10">
        <f t="shared" si="23"/>
        <v>519240239.14386576</v>
      </c>
      <c r="AK20" s="10">
        <f t="shared" si="7"/>
        <v>3325200000</v>
      </c>
      <c r="AL20" s="10">
        <f t="shared" si="24"/>
        <v>2784802650.3244877</v>
      </c>
      <c r="AN20" s="10">
        <f t="shared" si="8"/>
        <v>1524050000</v>
      </c>
      <c r="AO20" s="10">
        <f t="shared" si="25"/>
        <v>1276367881.3987236</v>
      </c>
      <c r="AQ20" s="10">
        <f t="shared" si="9"/>
        <v>656310000</v>
      </c>
      <c r="AR20" s="10">
        <f t="shared" si="26"/>
        <v>549649292.5040493</v>
      </c>
      <c r="AT20" s="330">
        <f>IF($K20&lt;=$F$15,IF($F$40&lt;&gt;"",$F$40/1000,IF(ISERROR(VLOOKUP($F$3&amp;IF($G$4&lt;&gt;"",$G$4,"")&amp;IF($F$43&lt;&gt;"","_"&amp;$F$43,""),'表3）燃料価格'!$AF$9:$AG$25,2,0)),0,VLOOKUP($I20,'表3）燃料価格'!A11:AC61,VLOOKUP($F$3,'表3）燃料価格'!$AF$9:$AG$25,2,0)+VLOOKUP($F$41,'表3）燃料価格'!$AF$28:$AG$29,2,0),0)*IF($F$43="需要地価格",1,$F$8/$F$141))),"")</f>
        <v>64.104851409577307</v>
      </c>
      <c r="AU20" s="73"/>
      <c r="AV20" s="188">
        <f t="shared" si="10"/>
        <v>37725946238.479446</v>
      </c>
      <c r="AW20" s="188">
        <f t="shared" si="27"/>
        <v>31594886043.22047</v>
      </c>
      <c r="AX20" s="73"/>
      <c r="AY20" s="40">
        <f>IF(ISERROR(IF($K20&lt;=$F$15,VLOOKUP($I20,'表4）CO2価格'!$A$7:$E$67,VLOOKUP($F$48,'表4）CO2価格'!$H$10:$I$12,2,0),0)*$F$8/1000,"")),0,IF($K20&lt;=$F$15,VLOOKUP($I20,'表4）CO2価格'!$A$7:$E$67,VLOOKUP($F$48,'表4）CO2価格'!$H$10:$I$12,2,0),0)*$F$8/1000,""))</f>
        <v>4.9219999999999997</v>
      </c>
      <c r="AZ20" s="73"/>
      <c r="BA20" s="11">
        <f t="shared" si="11"/>
        <v>7416187943.4719982</v>
      </c>
      <c r="BB20" s="10">
        <f t="shared" si="28"/>
        <v>6210940647.264926</v>
      </c>
      <c r="BD20" s="10">
        <f t="shared" si="12"/>
        <v>0</v>
      </c>
      <c r="BE20" s="10">
        <f t="shared" si="29"/>
        <v>0</v>
      </c>
      <c r="BG20" s="11">
        <f t="shared" si="13"/>
        <v>0</v>
      </c>
      <c r="BH20" s="10">
        <f t="shared" si="30"/>
        <v>0</v>
      </c>
      <c r="BJ20" s="7" t="str">
        <f t="shared" si="31"/>
        <v/>
      </c>
      <c r="BK20" s="158" t="str">
        <f t="shared" si="32"/>
        <v/>
      </c>
      <c r="BL20" s="158" t="str">
        <f t="shared" si="14"/>
        <v/>
      </c>
      <c r="BM20" s="10"/>
      <c r="BN20" s="10" t="str">
        <f t="shared" si="33"/>
        <v/>
      </c>
      <c r="BO20" s="10" t="str">
        <f t="shared" si="34"/>
        <v/>
      </c>
      <c r="BQ20" s="10">
        <f t="shared" si="15"/>
        <v>5092319400</v>
      </c>
      <c r="BR20" s="10">
        <f t="shared" si="35"/>
        <v>4264737327.5047531</v>
      </c>
    </row>
    <row r="21" spans="3:70" x14ac:dyDescent="0.15">
      <c r="D21" s="84" t="s">
        <v>558</v>
      </c>
      <c r="F21" s="479">
        <v>16.3</v>
      </c>
      <c r="G21" s="84" t="s">
        <v>559</v>
      </c>
      <c r="H21" s="370"/>
      <c r="I21" s="38">
        <f t="shared" si="36"/>
        <v>2036</v>
      </c>
      <c r="J21" s="39"/>
      <c r="K21" s="39">
        <f t="shared" si="37"/>
        <v>7</v>
      </c>
      <c r="L21" s="39"/>
      <c r="M21" s="40">
        <f t="shared" si="0"/>
        <v>0.81309151134335378</v>
      </c>
      <c r="N21" s="39"/>
      <c r="O21" s="72">
        <f t="shared" si="16"/>
        <v>46288865694.762329</v>
      </c>
      <c r="P21" s="41">
        <f t="shared" si="1"/>
        <v>0.16700000000000001</v>
      </c>
      <c r="Q21" s="39"/>
      <c r="R21" s="72">
        <f t="shared" si="17"/>
        <v>55157748480.187057</v>
      </c>
      <c r="S21" s="39"/>
      <c r="T21" s="72">
        <f t="shared" si="18"/>
        <v>55157748000</v>
      </c>
      <c r="U21" s="39"/>
      <c r="V21" s="72">
        <f t="shared" si="2"/>
        <v>7730240571.0253096</v>
      </c>
      <c r="W21" s="72">
        <f t="shared" si="19"/>
        <v>6285392988.9426794</v>
      </c>
      <c r="X21" s="39"/>
      <c r="Y21" s="72">
        <f t="shared" si="3"/>
        <v>772208400</v>
      </c>
      <c r="Z21" s="72">
        <f t="shared" si="20"/>
        <v>627876095.02803302</v>
      </c>
      <c r="AA21" s="39"/>
      <c r="AB21" s="72">
        <f t="shared" si="4"/>
        <v>0</v>
      </c>
      <c r="AC21" s="72">
        <f t="shared" si="21"/>
        <v>0</v>
      </c>
      <c r="AD21" s="39"/>
      <c r="AE21" s="72">
        <f t="shared" si="5"/>
        <v>0</v>
      </c>
      <c r="AF21" s="72">
        <f t="shared" si="22"/>
        <v>0</v>
      </c>
      <c r="AG21" s="39"/>
      <c r="AH21" s="72">
        <f t="shared" si="6"/>
        <v>620000000</v>
      </c>
      <c r="AI21" s="72">
        <f t="shared" si="23"/>
        <v>504116737.03287935</v>
      </c>
      <c r="AJ21" s="39"/>
      <c r="AK21" s="72">
        <f t="shared" si="7"/>
        <v>3325200000</v>
      </c>
      <c r="AL21" s="72">
        <f t="shared" si="24"/>
        <v>2703691893.5189199</v>
      </c>
      <c r="AM21" s="39"/>
      <c r="AN21" s="72">
        <f t="shared" si="8"/>
        <v>1524050000</v>
      </c>
      <c r="AO21" s="72">
        <f t="shared" si="25"/>
        <v>1239192117.8628383</v>
      </c>
      <c r="AP21" s="39"/>
      <c r="AQ21" s="72">
        <f t="shared" si="9"/>
        <v>656310000</v>
      </c>
      <c r="AR21" s="72">
        <f t="shared" si="26"/>
        <v>533640089.80975652</v>
      </c>
      <c r="AS21" s="39"/>
      <c r="AT21" s="40">
        <f>IF($K21&lt;=$F$15,IF($F$40&lt;&gt;"",$F$40/1000,IF(ISERROR(VLOOKUP($F$3&amp;IF($G$4&lt;&gt;"",$G$4,"")&amp;IF($F$43&lt;&gt;"","_"&amp;$F$43,""),'表3）燃料価格'!$AF$9:$AG$25,2,0)),0,VLOOKUP($I21,'表3）燃料価格'!A12:AC62,VLOOKUP($F$3,'表3）燃料価格'!$AF$9:$AG$25,2,0)+VLOOKUP($F$41,'表3）燃料価格'!$AF$28:$AG$29,2,0),0)*IF($F$43="需要地価格",1,$F$8/$F$141))),"")</f>
        <v>64.033518964732551</v>
      </c>
      <c r="AU21" s="39"/>
      <c r="AV21" s="72">
        <f t="shared" si="10"/>
        <v>37685654474.326012</v>
      </c>
      <c r="AW21" s="72">
        <f t="shared" si="27"/>
        <v>30641885752.49316</v>
      </c>
      <c r="AX21" s="39"/>
      <c r="AY21" s="40">
        <f>IF(ISERROR(IF($K21&lt;=$F$15,VLOOKUP($I21,'表4）CO2価格'!$A$7:$E$67,VLOOKUP($F$48,'表4）CO2価格'!$H$10:$I$12,2,0),0)*$F$8/1000,"")),0,IF($K21&lt;=$F$15,VLOOKUP($I21,'表4）CO2価格'!$A$7:$E$67,VLOOKUP($F$48,'表4）CO2価格'!$H$10:$I$12,2,0),0)*$F$8/1000,""))</f>
        <v>5.0503999999999802</v>
      </c>
      <c r="AZ21" s="39"/>
      <c r="BA21" s="42">
        <f t="shared" si="11"/>
        <v>7609653715.9103689</v>
      </c>
      <c r="BB21" s="72">
        <f t="shared" si="28"/>
        <v>6187344840.6691303</v>
      </c>
      <c r="BC21" s="39"/>
      <c r="BD21" s="72">
        <f t="shared" si="12"/>
        <v>0</v>
      </c>
      <c r="BE21" s="72">
        <f t="shared" si="29"/>
        <v>0</v>
      </c>
      <c r="BF21" s="39"/>
      <c r="BG21" s="42">
        <f t="shared" si="13"/>
        <v>0</v>
      </c>
      <c r="BH21" s="72">
        <f t="shared" si="30"/>
        <v>0</v>
      </c>
      <c r="BI21" s="39"/>
      <c r="BJ21" s="40" t="str">
        <f t="shared" si="31"/>
        <v/>
      </c>
      <c r="BK21" s="157" t="str">
        <f t="shared" si="32"/>
        <v/>
      </c>
      <c r="BL21" s="157" t="str">
        <f t="shared" si="14"/>
        <v/>
      </c>
      <c r="BM21" s="72"/>
      <c r="BN21" s="72" t="str">
        <f t="shared" si="33"/>
        <v/>
      </c>
      <c r="BO21" s="72" t="str">
        <f t="shared" si="34"/>
        <v/>
      </c>
      <c r="BP21" s="39"/>
      <c r="BQ21" s="72">
        <f t="shared" si="15"/>
        <v>5092319400</v>
      </c>
      <c r="BR21" s="72">
        <f t="shared" si="35"/>
        <v>4140521677.1890807</v>
      </c>
    </row>
    <row r="22" spans="3:70" ht="16.5" x14ac:dyDescent="0.15">
      <c r="D22" s="84" t="s">
        <v>560</v>
      </c>
      <c r="F22" s="478">
        <v>58.28</v>
      </c>
      <c r="G22" s="71" t="s">
        <v>561</v>
      </c>
      <c r="H22" s="370"/>
      <c r="I22" s="322">
        <f t="shared" si="36"/>
        <v>2037</v>
      </c>
      <c r="K22" s="71">
        <f t="shared" si="37"/>
        <v>8</v>
      </c>
      <c r="M22" s="7">
        <f t="shared" si="0"/>
        <v>0.78940923431393573</v>
      </c>
      <c r="O22" s="10">
        <f t="shared" si="16"/>
        <v>38558625123.737022</v>
      </c>
      <c r="P22" s="29">
        <f t="shared" si="1"/>
        <v>0.16700000000000001</v>
      </c>
      <c r="R22" s="10">
        <f t="shared" si="17"/>
        <v>47308574646.964561</v>
      </c>
      <c r="T22" s="10">
        <f t="shared" si="18"/>
        <v>47308574000</v>
      </c>
      <c r="V22" s="10">
        <f t="shared" si="2"/>
        <v>6439290395.6640835</v>
      </c>
      <c r="W22" s="10">
        <f t="shared" si="19"/>
        <v>5083235300.766264</v>
      </c>
      <c r="Y22" s="10">
        <f t="shared" si="3"/>
        <v>662320000</v>
      </c>
      <c r="Z22" s="10">
        <f t="shared" si="20"/>
        <v>522841524.07080591</v>
      </c>
      <c r="AB22" s="10">
        <f t="shared" si="4"/>
        <v>0</v>
      </c>
      <c r="AC22" s="10">
        <f t="shared" si="21"/>
        <v>0</v>
      </c>
      <c r="AE22" s="10">
        <f t="shared" si="5"/>
        <v>0</v>
      </c>
      <c r="AF22" s="10">
        <f t="shared" si="22"/>
        <v>0</v>
      </c>
      <c r="AH22" s="10">
        <f t="shared" si="6"/>
        <v>620000000</v>
      </c>
      <c r="AI22" s="10">
        <f t="shared" si="23"/>
        <v>489433725.27464014</v>
      </c>
      <c r="AK22" s="10">
        <f t="shared" si="7"/>
        <v>3325200000</v>
      </c>
      <c r="AL22" s="10">
        <f t="shared" si="24"/>
        <v>2624943585.9406991</v>
      </c>
      <c r="AN22" s="10">
        <f t="shared" si="8"/>
        <v>1524050000</v>
      </c>
      <c r="AO22" s="10">
        <f t="shared" si="25"/>
        <v>1203099143.5561538</v>
      </c>
      <c r="AQ22" s="10">
        <f t="shared" si="9"/>
        <v>656310000</v>
      </c>
      <c r="AR22" s="188">
        <f t="shared" si="26"/>
        <v>518097174.57257915</v>
      </c>
      <c r="AS22" s="73"/>
      <c r="AT22" s="330">
        <f>IF($K22&lt;=$F$15,IF($F$40&lt;&gt;"",$F$40/1000,IF(ISERROR(VLOOKUP($F$3&amp;IF($G$4&lt;&gt;"",$G$4,"")&amp;IF($F$43&lt;&gt;"","_"&amp;$F$43,""),'表3）燃料価格'!$AF$9:$AG$25,2,0)),0,VLOOKUP($I22,'表3）燃料価格'!A13:AC63,VLOOKUP($F$3,'表3）燃料価格'!$AF$9:$AG$25,2,0)+VLOOKUP($F$41,'表3）燃料価格'!$AF$28:$AG$29,2,0),0)*IF($F$43="需要地価格",1,$F$8/$F$141))),"")</f>
        <v>63.962186519887815</v>
      </c>
      <c r="AU22" s="73"/>
      <c r="AV22" s="188">
        <f t="shared" si="10"/>
        <v>37645362710.172592</v>
      </c>
      <c r="AW22" s="188">
        <f t="shared" si="27"/>
        <v>29717596952.507732</v>
      </c>
      <c r="AX22" s="73"/>
      <c r="AY22" s="40">
        <f>IF(ISERROR(IF($K22&lt;=$F$15,VLOOKUP($I22,'表4）CO2価格'!$A$7:$E$67,VLOOKUP($F$48,'表4）CO2価格'!$H$10:$I$12,2,0),0)*$F$8/1000,"")),0,IF($K22&lt;=$F$15,VLOOKUP($I22,'表4）CO2価格'!$A$7:$E$67,VLOOKUP($F$48,'表4）CO2価格'!$H$10:$I$12,2,0),0)*$F$8/1000,""))</f>
        <v>5.1788000000000105</v>
      </c>
      <c r="AZ22" s="73"/>
      <c r="BA22" s="331">
        <f t="shared" si="11"/>
        <v>7803119488.348815</v>
      </c>
      <c r="BB22" s="10">
        <f t="shared" si="28"/>
        <v>6159854580.5575876</v>
      </c>
      <c r="BD22" s="10">
        <f t="shared" si="12"/>
        <v>0</v>
      </c>
      <c r="BE22" s="10">
        <f t="shared" si="29"/>
        <v>0</v>
      </c>
      <c r="BG22" s="11">
        <f t="shared" si="13"/>
        <v>0</v>
      </c>
      <c r="BH22" s="10">
        <f t="shared" si="30"/>
        <v>0</v>
      </c>
      <c r="BJ22" s="7" t="str">
        <f t="shared" si="31"/>
        <v/>
      </c>
      <c r="BK22" s="158" t="str">
        <f t="shared" si="32"/>
        <v/>
      </c>
      <c r="BL22" s="158" t="str">
        <f t="shared" si="14"/>
        <v/>
      </c>
      <c r="BM22" s="10"/>
      <c r="BN22" s="10" t="str">
        <f t="shared" si="33"/>
        <v/>
      </c>
      <c r="BO22" s="10" t="str">
        <f t="shared" si="34"/>
        <v/>
      </c>
      <c r="BQ22" s="10">
        <f t="shared" si="15"/>
        <v>5092319400</v>
      </c>
      <c r="BR22" s="10">
        <f t="shared" si="35"/>
        <v>4019923958.4360008</v>
      </c>
    </row>
    <row r="23" spans="3:70" x14ac:dyDescent="0.15">
      <c r="D23" s="84" t="s">
        <v>562</v>
      </c>
      <c r="F23" s="477">
        <v>57</v>
      </c>
      <c r="G23" s="84" t="s">
        <v>549</v>
      </c>
      <c r="H23" s="370"/>
      <c r="I23" s="38">
        <f t="shared" si="36"/>
        <v>2038</v>
      </c>
      <c r="J23" s="39"/>
      <c r="K23" s="39">
        <f t="shared" si="37"/>
        <v>9</v>
      </c>
      <c r="L23" s="39"/>
      <c r="M23" s="40">
        <f t="shared" si="0"/>
        <v>0.76641673234362695</v>
      </c>
      <c r="N23" s="39"/>
      <c r="O23" s="72">
        <f t="shared" si="16"/>
        <v>32119334728.072937</v>
      </c>
      <c r="P23" s="41">
        <f t="shared" si="1"/>
        <v>0.16700000000000001</v>
      </c>
      <c r="Q23" s="39"/>
      <c r="R23" s="72">
        <f t="shared" si="17"/>
        <v>40576370442.88266</v>
      </c>
      <c r="S23" s="39"/>
      <c r="T23" s="72">
        <f t="shared" si="18"/>
        <v>40576370000</v>
      </c>
      <c r="U23" s="39"/>
      <c r="V23" s="72">
        <f t="shared" si="2"/>
        <v>5363928899.5881805</v>
      </c>
      <c r="W23" s="72">
        <f t="shared" si="19"/>
        <v>4111004859.7459202</v>
      </c>
      <c r="X23" s="39"/>
      <c r="Y23" s="72">
        <f t="shared" si="3"/>
        <v>568069100</v>
      </c>
      <c r="Z23" s="72">
        <f t="shared" si="20"/>
        <v>435377663.36738503</v>
      </c>
      <c r="AA23" s="39"/>
      <c r="AB23" s="72">
        <f t="shared" si="4"/>
        <v>0</v>
      </c>
      <c r="AC23" s="72">
        <f t="shared" si="21"/>
        <v>0</v>
      </c>
      <c r="AD23" s="39"/>
      <c r="AE23" s="72">
        <f t="shared" si="5"/>
        <v>0</v>
      </c>
      <c r="AF23" s="72">
        <f t="shared" si="22"/>
        <v>0</v>
      </c>
      <c r="AG23" s="39"/>
      <c r="AH23" s="72">
        <f t="shared" si="6"/>
        <v>620000000</v>
      </c>
      <c r="AI23" s="72">
        <f t="shared" si="23"/>
        <v>475178374.05304873</v>
      </c>
      <c r="AJ23" s="39"/>
      <c r="AK23" s="72">
        <f t="shared" si="7"/>
        <v>3325200000</v>
      </c>
      <c r="AL23" s="72">
        <f t="shared" si="24"/>
        <v>2548488918.3890285</v>
      </c>
      <c r="AM23" s="39"/>
      <c r="AN23" s="72">
        <f t="shared" si="8"/>
        <v>1524050000</v>
      </c>
      <c r="AO23" s="72">
        <f t="shared" si="25"/>
        <v>1168057420.9283047</v>
      </c>
      <c r="AP23" s="39"/>
      <c r="AQ23" s="72">
        <f t="shared" si="9"/>
        <v>656310000</v>
      </c>
      <c r="AR23" s="72">
        <f t="shared" si="26"/>
        <v>503006965.60444582</v>
      </c>
      <c r="AS23" s="39"/>
      <c r="AT23" s="40">
        <f>IF($K23&lt;=$F$15,IF($F$40&lt;&gt;"",$F$40/1000,IF(ISERROR(VLOOKUP($F$3&amp;IF($G$4&lt;&gt;"",$G$4,"")&amp;IF($F$43&lt;&gt;"","_"&amp;$F$43,""),'表3）燃料価格'!$AF$9:$AG$25,2,0)),0,VLOOKUP($I23,'表3）燃料価格'!A14:AC64,VLOOKUP($F$3,'表3）燃料価格'!$AF$9:$AG$25,2,0)+VLOOKUP($F$41,'表3）燃料価格'!$AF$28:$AG$29,2,0),0)*IF($F$43="需要地価格",1,$F$8/$F$141))),"")</f>
        <v>63.890854075043066</v>
      </c>
      <c r="AU23" s="39"/>
      <c r="AV23" s="72">
        <f t="shared" si="10"/>
        <v>37605070946.019157</v>
      </c>
      <c r="AW23" s="72">
        <f t="shared" si="27"/>
        <v>28821155593.998268</v>
      </c>
      <c r="AX23" s="39"/>
      <c r="AY23" s="40">
        <f>IF(ISERROR(IF($K23&lt;=$F$15,VLOOKUP($I23,'表4）CO2価格'!$A$7:$E$67,VLOOKUP($F$48,'表4）CO2価格'!$H$10:$I$12,2,0),0)*$F$8/1000,"")),0,IF($K23&lt;=$F$15,VLOOKUP($I23,'表4）CO2価格'!$A$7:$E$67,VLOOKUP($F$48,'表4）CO2価格'!$H$10:$I$12,2,0),0)*$F$8/1000,""))</f>
        <v>5.3071999999999901</v>
      </c>
      <c r="AZ23" s="39"/>
      <c r="BA23" s="42">
        <f t="shared" si="11"/>
        <v>7996585260.7871838</v>
      </c>
      <c r="BB23" s="72">
        <f t="shared" si="28"/>
        <v>6128716745.479723</v>
      </c>
      <c r="BC23" s="39"/>
      <c r="BD23" s="72">
        <f t="shared" si="12"/>
        <v>0</v>
      </c>
      <c r="BE23" s="72">
        <f t="shared" si="29"/>
        <v>0</v>
      </c>
      <c r="BF23" s="39"/>
      <c r="BG23" s="42">
        <f t="shared" si="13"/>
        <v>0</v>
      </c>
      <c r="BH23" s="72">
        <f t="shared" si="30"/>
        <v>0</v>
      </c>
      <c r="BI23" s="39"/>
      <c r="BJ23" s="40" t="str">
        <f t="shared" si="31"/>
        <v/>
      </c>
      <c r="BK23" s="157" t="str">
        <f t="shared" si="32"/>
        <v/>
      </c>
      <c r="BL23" s="157" t="str">
        <f t="shared" si="14"/>
        <v/>
      </c>
      <c r="BM23" s="72"/>
      <c r="BN23" s="72" t="str">
        <f t="shared" si="33"/>
        <v/>
      </c>
      <c r="BO23" s="72" t="str">
        <f t="shared" si="34"/>
        <v/>
      </c>
      <c r="BP23" s="39"/>
      <c r="BQ23" s="72">
        <f t="shared" si="15"/>
        <v>5092319400</v>
      </c>
      <c r="BR23" s="72">
        <f t="shared" si="35"/>
        <v>3902838794.5980592</v>
      </c>
    </row>
    <row r="24" spans="3:70" x14ac:dyDescent="0.15">
      <c r="D24" s="84" t="s">
        <v>563</v>
      </c>
      <c r="F24" s="480">
        <v>2.2999999999999998</v>
      </c>
      <c r="G24" s="84" t="s">
        <v>549</v>
      </c>
      <c r="H24" s="370"/>
      <c r="I24" s="322">
        <f t="shared" si="36"/>
        <v>2039</v>
      </c>
      <c r="K24" s="71">
        <f t="shared" si="37"/>
        <v>10</v>
      </c>
      <c r="M24" s="7">
        <f t="shared" si="0"/>
        <v>0.74409391489672516</v>
      </c>
      <c r="O24" s="10">
        <f t="shared" si="16"/>
        <v>26755405828.484756</v>
      </c>
      <c r="P24" s="29">
        <f t="shared" si="1"/>
        <v>0.16700000000000001</v>
      </c>
      <c r="R24" s="10">
        <f t="shared" si="17"/>
        <v>34802186508.565239</v>
      </c>
      <c r="T24" s="10">
        <f t="shared" si="18"/>
        <v>34802186000</v>
      </c>
      <c r="V24" s="10">
        <f t="shared" si="2"/>
        <v>4468152773.3569546</v>
      </c>
      <c r="W24" s="10">
        <f t="shared" si="19"/>
        <v>3324725289.4838362</v>
      </c>
      <c r="Y24" s="10">
        <f t="shared" si="3"/>
        <v>487230600</v>
      </c>
      <c r="Z24" s="10">
        <f t="shared" si="20"/>
        <v>362545324.61148036</v>
      </c>
      <c r="AB24" s="10">
        <f t="shared" si="4"/>
        <v>0</v>
      </c>
      <c r="AC24" s="10">
        <f t="shared" si="21"/>
        <v>0</v>
      </c>
      <c r="AE24" s="10">
        <f t="shared" si="5"/>
        <v>0</v>
      </c>
      <c r="AF24" s="10">
        <f t="shared" si="22"/>
        <v>0</v>
      </c>
      <c r="AH24" s="10">
        <f t="shared" si="6"/>
        <v>620000000</v>
      </c>
      <c r="AI24" s="10">
        <f t="shared" si="23"/>
        <v>461338227.2359696</v>
      </c>
      <c r="AK24" s="10">
        <f t="shared" si="7"/>
        <v>3325200000</v>
      </c>
      <c r="AL24" s="10">
        <f t="shared" si="24"/>
        <v>2474261085.8145905</v>
      </c>
      <c r="AN24" s="10">
        <f t="shared" si="8"/>
        <v>1524050000</v>
      </c>
      <c r="AO24" s="10">
        <f t="shared" si="25"/>
        <v>1134036330.998354</v>
      </c>
      <c r="AQ24" s="10">
        <f t="shared" si="9"/>
        <v>656310000</v>
      </c>
      <c r="AR24" s="188">
        <f t="shared" si="26"/>
        <v>488356277.28586972</v>
      </c>
      <c r="AS24" s="73"/>
      <c r="AT24" s="330">
        <f>IF($K24&lt;=$F$15,IF($F$40&lt;&gt;"",$F$40/1000,IF(ISERROR(VLOOKUP($F$3&amp;IF($G$4&lt;&gt;"",$G$4,"")&amp;IF($F$43&lt;&gt;"","_"&amp;$F$43,""),'表3）燃料価格'!$AF$9:$AG$25,2,0)),0,VLOOKUP($I24,'表3）燃料価格'!A15:AC65,VLOOKUP($F$3,'表3）燃料価格'!$AF$9:$AG$25,2,0)+VLOOKUP($F$41,'表3）燃料価格'!$AF$28:$AG$29,2,0),0)*IF($F$43="需要地価格",1,$F$8/$F$141))),"")</f>
        <v>63.819521630198317</v>
      </c>
      <c r="AU24" s="73"/>
      <c r="AV24" s="188">
        <f t="shared" si="10"/>
        <v>37564779181.86573</v>
      </c>
      <c r="AW24" s="188">
        <f t="shared" si="27"/>
        <v>27951723603.66547</v>
      </c>
      <c r="AX24" s="73"/>
      <c r="AY24" s="40">
        <f>IF(ISERROR(IF($K24&lt;=$F$15,VLOOKUP($I24,'表4）CO2価格'!$A$7:$E$67,VLOOKUP($F$48,'表4）CO2価格'!$H$10:$I$12,2,0),0)*$F$8/1000,"")),0,IF($K24&lt;=$F$15,VLOOKUP($I24,'表4）CO2価格'!$A$7:$E$67,VLOOKUP($F$48,'表4）CO2価格'!$H$10:$I$12,2,0),0)*$F$8/1000,""))</f>
        <v>5.4355999999999716</v>
      </c>
      <c r="AZ24" s="73"/>
      <c r="BA24" s="11">
        <f t="shared" si="11"/>
        <v>8190051033.2255554</v>
      </c>
      <c r="BB24" s="10">
        <f t="shared" si="28"/>
        <v>6094167136.5167723</v>
      </c>
      <c r="BD24" s="10">
        <f t="shared" si="12"/>
        <v>0</v>
      </c>
      <c r="BE24" s="10">
        <f t="shared" si="29"/>
        <v>0</v>
      </c>
      <c r="BG24" s="11">
        <f t="shared" si="13"/>
        <v>0</v>
      </c>
      <c r="BH24" s="10">
        <f t="shared" si="30"/>
        <v>0</v>
      </c>
      <c r="BJ24" s="7" t="str">
        <f t="shared" si="31"/>
        <v/>
      </c>
      <c r="BK24" s="158" t="str">
        <f t="shared" si="32"/>
        <v/>
      </c>
      <c r="BL24" s="158" t="str">
        <f t="shared" si="14"/>
        <v/>
      </c>
      <c r="BM24" s="10"/>
      <c r="BN24" s="10" t="str">
        <f t="shared" si="33"/>
        <v/>
      </c>
      <c r="BO24" s="10" t="str">
        <f t="shared" si="34"/>
        <v/>
      </c>
      <c r="BQ24" s="10">
        <f t="shared" si="15"/>
        <v>5092319400</v>
      </c>
      <c r="BR24" s="10">
        <f t="shared" si="35"/>
        <v>3789163878.2505426</v>
      </c>
    </row>
    <row r="25" spans="3:70" x14ac:dyDescent="0.15">
      <c r="D25" s="84" t="s">
        <v>564</v>
      </c>
      <c r="F25" s="475">
        <v>1.4</v>
      </c>
      <c r="G25" s="84" t="s">
        <v>549</v>
      </c>
      <c r="H25" s="370"/>
      <c r="I25" s="38">
        <f t="shared" si="36"/>
        <v>2040</v>
      </c>
      <c r="J25" s="39"/>
      <c r="K25" s="39">
        <f t="shared" si="37"/>
        <v>11</v>
      </c>
      <c r="L25" s="39"/>
      <c r="M25" s="40">
        <f t="shared" si="0"/>
        <v>0.72242127659876232</v>
      </c>
      <c r="N25" s="39"/>
      <c r="O25" s="72">
        <f t="shared" si="16"/>
        <v>22287253055.1278</v>
      </c>
      <c r="P25" s="41">
        <f t="shared" si="1"/>
        <v>0.2</v>
      </c>
      <c r="Q25" s="39"/>
      <c r="R25" s="72">
        <f t="shared" si="17"/>
        <v>29849692630.391754</v>
      </c>
      <c r="S25" s="39"/>
      <c r="T25" s="72">
        <f t="shared" si="18"/>
        <v>29849692000</v>
      </c>
      <c r="U25" s="39"/>
      <c r="V25" s="72">
        <f t="shared" si="2"/>
        <v>4457450611.0255604</v>
      </c>
      <c r="W25" s="72">
        <f t="shared" si="19"/>
        <v>3220157160.7930183</v>
      </c>
      <c r="X25" s="39"/>
      <c r="Y25" s="72">
        <f t="shared" si="3"/>
        <v>417895600</v>
      </c>
      <c r="Z25" s="72">
        <f t="shared" si="20"/>
        <v>301896672.83700573</v>
      </c>
      <c r="AA25" s="39"/>
      <c r="AB25" s="72">
        <f t="shared" si="4"/>
        <v>0</v>
      </c>
      <c r="AC25" s="72">
        <f t="shared" si="21"/>
        <v>0</v>
      </c>
      <c r="AD25" s="39"/>
      <c r="AE25" s="72">
        <f t="shared" si="5"/>
        <v>0</v>
      </c>
      <c r="AF25" s="72">
        <f t="shared" si="22"/>
        <v>0</v>
      </c>
      <c r="AG25" s="39"/>
      <c r="AH25" s="72">
        <f t="shared" si="6"/>
        <v>620000000</v>
      </c>
      <c r="AI25" s="72">
        <f t="shared" si="23"/>
        <v>447901191.49123263</v>
      </c>
      <c r="AJ25" s="39"/>
      <c r="AK25" s="72">
        <f t="shared" si="7"/>
        <v>3325200000</v>
      </c>
      <c r="AL25" s="72">
        <f t="shared" si="24"/>
        <v>2402195228.9462047</v>
      </c>
      <c r="AM25" s="39"/>
      <c r="AN25" s="72">
        <f t="shared" si="8"/>
        <v>1524050000</v>
      </c>
      <c r="AO25" s="72">
        <f t="shared" si="25"/>
        <v>1101006146.6003437</v>
      </c>
      <c r="AP25" s="39"/>
      <c r="AQ25" s="72">
        <f t="shared" si="9"/>
        <v>656310000</v>
      </c>
      <c r="AR25" s="72">
        <f t="shared" si="26"/>
        <v>474132308.04453367</v>
      </c>
      <c r="AS25" s="39"/>
      <c r="AT25" s="40">
        <f>IF($K25&lt;=$F$15,IF($F$40&lt;&gt;"",$F$40/1000,IF(ISERROR(VLOOKUP($F$3&amp;IF($G$4&lt;&gt;"",$G$4,"")&amp;IF($F$43&lt;&gt;"","_"&amp;$F$43,""),'表3）燃料価格'!$AF$9:$AG$25,2,0)),0,VLOOKUP($I25,'表3）燃料価格'!A16:AC66,VLOOKUP($F$3,'表3）燃料価格'!$AF$9:$AG$25,2,0)+VLOOKUP($F$41,'表3）燃料価格'!$AF$28:$AG$29,2,0),0)*IF($F$43="需要地価格",1,$F$8/$F$141))),"")</f>
        <v>63.748189185353574</v>
      </c>
      <c r="AU25" s="39"/>
      <c r="AV25" s="72">
        <f t="shared" si="10"/>
        <v>37524487417.712311</v>
      </c>
      <c r="AW25" s="72">
        <f t="shared" si="27"/>
        <v>27108488104.017921</v>
      </c>
      <c r="AX25" s="39"/>
      <c r="AY25" s="40">
        <f>IF(ISERROR(IF($K25&lt;=$F$15,VLOOKUP($I25,'表4）CO2価格'!$A$7:$E$67,VLOOKUP($F$48,'表4）CO2価格'!$H$10:$I$12,2,0),0)*$F$8/1000,"")),0,IF($K25&lt;=$F$15,VLOOKUP($I25,'表4）CO2価格'!$A$7:$E$67,VLOOKUP($F$48,'表4）CO2価格'!$H$10:$I$12,2,0),0)*$F$8/1000,""))</f>
        <v>5.5640000000000001</v>
      </c>
      <c r="AZ25" s="39"/>
      <c r="BA25" s="42">
        <f t="shared" si="11"/>
        <v>8383516805.6639986</v>
      </c>
      <c r="BB25" s="72">
        <f t="shared" si="28"/>
        <v>6056430913.134964</v>
      </c>
      <c r="BC25" s="39"/>
      <c r="BD25" s="72">
        <f t="shared" si="12"/>
        <v>0</v>
      </c>
      <c r="BE25" s="72">
        <f t="shared" si="29"/>
        <v>0</v>
      </c>
      <c r="BF25" s="39"/>
      <c r="BG25" s="42">
        <f t="shared" si="13"/>
        <v>0</v>
      </c>
      <c r="BH25" s="72">
        <f t="shared" si="30"/>
        <v>0</v>
      </c>
      <c r="BI25" s="39"/>
      <c r="BJ25" s="40" t="str">
        <f t="shared" si="31"/>
        <v/>
      </c>
      <c r="BK25" s="157" t="str">
        <f t="shared" si="32"/>
        <v/>
      </c>
      <c r="BL25" s="157" t="str">
        <f t="shared" si="14"/>
        <v/>
      </c>
      <c r="BM25" s="72"/>
      <c r="BN25" s="72" t="str">
        <f t="shared" si="33"/>
        <v/>
      </c>
      <c r="BO25" s="72" t="str">
        <f t="shared" si="34"/>
        <v/>
      </c>
      <c r="BP25" s="39"/>
      <c r="BQ25" s="72">
        <f t="shared" si="15"/>
        <v>5092319400</v>
      </c>
      <c r="BR25" s="72">
        <f t="shared" si="35"/>
        <v>3678799881.7966433</v>
      </c>
    </row>
    <row r="26" spans="3:70" x14ac:dyDescent="0.15">
      <c r="D26" s="84" t="s">
        <v>115</v>
      </c>
      <c r="F26" s="481"/>
      <c r="G26" s="84" t="s">
        <v>565</v>
      </c>
      <c r="H26" s="370"/>
      <c r="I26" s="322">
        <f t="shared" si="36"/>
        <v>2041</v>
      </c>
      <c r="K26" s="71">
        <f t="shared" si="37"/>
        <v>12</v>
      </c>
      <c r="M26" s="7">
        <f t="shared" si="0"/>
        <v>0.70137988019297326</v>
      </c>
      <c r="O26" s="10">
        <f t="shared" si="16"/>
        <v>17829802444.102242</v>
      </c>
      <c r="P26" s="29" t="str">
        <f t="shared" si="1"/>
        <v>-</v>
      </c>
      <c r="R26" s="10">
        <f t="shared" si="17"/>
        <v>25601958943.285847</v>
      </c>
      <c r="T26" s="10">
        <f t="shared" si="18"/>
        <v>25601958000</v>
      </c>
      <c r="V26" s="10">
        <f t="shared" si="2"/>
        <v>4457450611.0255604</v>
      </c>
      <c r="W26" s="10">
        <f t="shared" si="19"/>
        <v>3126366175.5272031</v>
      </c>
      <c r="Y26" s="10">
        <f t="shared" si="3"/>
        <v>358427400</v>
      </c>
      <c r="Z26" s="10">
        <f t="shared" si="20"/>
        <v>251393766.86987892</v>
      </c>
      <c r="AB26" s="10">
        <f t="shared" si="4"/>
        <v>0</v>
      </c>
      <c r="AC26" s="10">
        <f t="shared" si="21"/>
        <v>0</v>
      </c>
      <c r="AE26" s="10">
        <f t="shared" si="5"/>
        <v>0</v>
      </c>
      <c r="AF26" s="10">
        <f t="shared" si="22"/>
        <v>0</v>
      </c>
      <c r="AH26" s="10">
        <f t="shared" si="6"/>
        <v>620000000</v>
      </c>
      <c r="AI26" s="10">
        <f t="shared" si="23"/>
        <v>434855525.71964341</v>
      </c>
      <c r="AK26" s="10">
        <f t="shared" si="7"/>
        <v>3325200000</v>
      </c>
      <c r="AL26" s="10">
        <f t="shared" si="24"/>
        <v>2332228377.6176748</v>
      </c>
      <c r="AN26" s="10">
        <f t="shared" si="8"/>
        <v>1524050000</v>
      </c>
      <c r="AO26" s="10">
        <f t="shared" si="25"/>
        <v>1068938006.4081008</v>
      </c>
      <c r="AQ26" s="10">
        <f t="shared" si="9"/>
        <v>656310000</v>
      </c>
      <c r="AR26" s="10">
        <f t="shared" si="26"/>
        <v>460322629.16945028</v>
      </c>
      <c r="AS26" s="73"/>
      <c r="AT26" s="330">
        <f>IF($K26&lt;=$F$15,IF($F$40&lt;&gt;"",$F$40/1000,IF(ISERROR(VLOOKUP($F$3&amp;IF($G$4&lt;&gt;"",$G$4,"")&amp;IF($F$43&lt;&gt;"","_"&amp;$F$43,""),'表3）燃料価格'!$AF$9:$AG$25,2,0)),0,VLOOKUP($I26,'表3）燃料価格'!A17:AC67,VLOOKUP($F$3,'表3）燃料価格'!$AF$9:$AG$25,2,0)+VLOOKUP($F$41,'表3）燃料価格'!$AF$28:$AG$29,2,0),0)*IF($F$43="需要地価格",1,$F$8/$F$141))),"")</f>
        <v>63.602815252683556</v>
      </c>
      <c r="AU26" s="73"/>
      <c r="AV26" s="188">
        <f t="shared" si="10"/>
        <v>37442373700.427757</v>
      </c>
      <c r="AW26" s="188">
        <f t="shared" si="27"/>
        <v>26261327580.146553</v>
      </c>
      <c r="AX26" s="73"/>
      <c r="AY26" s="40">
        <f>IF(ISERROR(IF($K26&lt;=$F$15,VLOOKUP($I26,'表4）CO2価格'!$A$7:$E$67,VLOOKUP($F$48,'表4）CO2価格'!$H$10:$I$12,2,0),0)*$F$8/1000,"")),0,IF($K26&lt;=$F$15,VLOOKUP($I26,'表4）CO2価格'!$A$7:$E$67,VLOOKUP($F$48,'表4）CO2価格'!$H$10:$I$12,2,0),0)*$F$8/1000,""))</f>
        <v>5.6923999999999806</v>
      </c>
      <c r="AZ26" s="73"/>
      <c r="BA26" s="11">
        <f t="shared" si="11"/>
        <v>8576982578.1023693</v>
      </c>
      <c r="BB26" s="10">
        <f t="shared" si="28"/>
        <v>6015723013.0466585</v>
      </c>
      <c r="BD26" s="10">
        <f t="shared" si="12"/>
        <v>0</v>
      </c>
      <c r="BE26" s="10">
        <f t="shared" si="29"/>
        <v>0</v>
      </c>
      <c r="BG26" s="11">
        <f t="shared" si="13"/>
        <v>0</v>
      </c>
      <c r="BH26" s="10">
        <f t="shared" si="30"/>
        <v>0</v>
      </c>
      <c r="BJ26" s="7" t="str">
        <f t="shared" si="31"/>
        <v/>
      </c>
      <c r="BK26" s="158" t="str">
        <f t="shared" si="32"/>
        <v/>
      </c>
      <c r="BL26" s="158" t="str">
        <f t="shared" si="14"/>
        <v/>
      </c>
      <c r="BM26" s="10"/>
      <c r="BN26" s="10" t="str">
        <f t="shared" si="33"/>
        <v/>
      </c>
      <c r="BO26" s="10" t="str">
        <f t="shared" si="34"/>
        <v/>
      </c>
      <c r="BQ26" s="10">
        <f t="shared" si="15"/>
        <v>5092319400</v>
      </c>
      <c r="BR26" s="10">
        <f t="shared" si="35"/>
        <v>3571650370.6763535</v>
      </c>
    </row>
    <row r="27" spans="3:70" x14ac:dyDescent="0.15">
      <c r="D27" s="160" t="s">
        <v>86</v>
      </c>
      <c r="F27" s="481">
        <f>F117*5%/10^8</f>
        <v>69.275000000000006</v>
      </c>
      <c r="G27" s="84" t="s">
        <v>566</v>
      </c>
      <c r="H27" s="370"/>
      <c r="I27" s="38">
        <f t="shared" si="36"/>
        <v>2042</v>
      </c>
      <c r="J27" s="39"/>
      <c r="K27" s="39">
        <f t="shared" si="37"/>
        <v>13</v>
      </c>
      <c r="L27" s="39"/>
      <c r="M27" s="40">
        <f t="shared" si="0"/>
        <v>0.68095133999317792</v>
      </c>
      <c r="N27" s="39"/>
      <c r="O27" s="72">
        <f t="shared" si="16"/>
        <v>13372351833.076681</v>
      </c>
      <c r="P27" s="41" t="str">
        <f t="shared" si="1"/>
        <v>-</v>
      </c>
      <c r="Q27" s="39"/>
      <c r="R27" s="72">
        <f t="shared" si="17"/>
        <v>21958695181.548733</v>
      </c>
      <c r="S27" s="39"/>
      <c r="T27" s="72">
        <f t="shared" si="18"/>
        <v>21958695000</v>
      </c>
      <c r="U27" s="39"/>
      <c r="V27" s="72">
        <f t="shared" si="2"/>
        <v>4457450611.0255604</v>
      </c>
      <c r="W27" s="72">
        <f t="shared" si="19"/>
        <v>3035306966.5312648</v>
      </c>
      <c r="X27" s="39"/>
      <c r="Y27" s="72">
        <f t="shared" si="3"/>
        <v>307421700</v>
      </c>
      <c r="Z27" s="72">
        <f t="shared" si="20"/>
        <v>209339218.55798075</v>
      </c>
      <c r="AA27" s="39"/>
      <c r="AB27" s="72">
        <f t="shared" si="4"/>
        <v>0</v>
      </c>
      <c r="AC27" s="72">
        <f t="shared" si="21"/>
        <v>0</v>
      </c>
      <c r="AD27" s="39"/>
      <c r="AE27" s="72">
        <f t="shared" si="5"/>
        <v>0</v>
      </c>
      <c r="AF27" s="72">
        <f t="shared" si="22"/>
        <v>0</v>
      </c>
      <c r="AG27" s="39"/>
      <c r="AH27" s="72">
        <f t="shared" si="6"/>
        <v>620000000</v>
      </c>
      <c r="AI27" s="72">
        <f t="shared" si="23"/>
        <v>422189830.79577029</v>
      </c>
      <c r="AJ27" s="39"/>
      <c r="AK27" s="72">
        <f t="shared" si="7"/>
        <v>3325200000</v>
      </c>
      <c r="AL27" s="72">
        <f t="shared" si="24"/>
        <v>2264299395.7453151</v>
      </c>
      <c r="AM27" s="39"/>
      <c r="AN27" s="72">
        <f t="shared" si="8"/>
        <v>1524050000</v>
      </c>
      <c r="AO27" s="72">
        <f t="shared" si="25"/>
        <v>1037803889.7166028</v>
      </c>
      <c r="AP27" s="39"/>
      <c r="AQ27" s="72">
        <f t="shared" si="9"/>
        <v>656310000</v>
      </c>
      <c r="AR27" s="72">
        <f t="shared" si="26"/>
        <v>446915173.95092261</v>
      </c>
      <c r="AS27" s="39"/>
      <c r="AT27" s="40">
        <f>IF($K27&lt;=$F$15,IF($F$40&lt;&gt;"",$F$40/1000,IF(ISERROR(VLOOKUP($F$3&amp;IF($G$4&lt;&gt;"",$G$4,"")&amp;IF($F$43&lt;&gt;"","_"&amp;$F$43,""),'表3）燃料価格'!$AF$9:$AG$25,2,0)),0,VLOOKUP($I27,'表3）燃料価格'!A18:AC68,VLOOKUP($F$3,'表3）燃料価格'!$AF$9:$AG$25,2,0)+VLOOKUP($F$41,'表3）燃料価格'!$AF$28:$AG$29,2,0),0)*IF($F$43="需要地価格",1,$F$8/$F$141))),"")</f>
        <v>63.462728832198145</v>
      </c>
      <c r="AU27" s="39"/>
      <c r="AV27" s="72">
        <f t="shared" si="10"/>
        <v>37363246607.17334</v>
      </c>
      <c r="AW27" s="72">
        <f t="shared" si="27"/>
        <v>25442552843.650246</v>
      </c>
      <c r="AX27" s="39"/>
      <c r="AY27" s="40">
        <f>IF(ISERROR(IF($K27&lt;=$F$15,VLOOKUP($I27,'表4）CO2価格'!$A$7:$E$67,VLOOKUP($F$48,'表4）CO2価格'!$H$10:$I$12,2,0),0)*$F$8/1000,"")),0,IF($K27&lt;=$F$15,VLOOKUP($I27,'表4）CO2価格'!$A$7:$E$67,VLOOKUP($F$48,'表4）CO2価格'!$H$10:$I$12,2,0),0)*$F$8/1000,""))</f>
        <v>5.82080000000001</v>
      </c>
      <c r="AZ27" s="39"/>
      <c r="BA27" s="42">
        <f t="shared" si="11"/>
        <v>8770448350.5408134</v>
      </c>
      <c r="BB27" s="72">
        <f t="shared" si="28"/>
        <v>5972248556.6417236</v>
      </c>
      <c r="BC27" s="39"/>
      <c r="BD27" s="72">
        <f t="shared" si="12"/>
        <v>0</v>
      </c>
      <c r="BE27" s="72">
        <f t="shared" si="29"/>
        <v>0</v>
      </c>
      <c r="BF27" s="39"/>
      <c r="BG27" s="42">
        <f t="shared" si="13"/>
        <v>0</v>
      </c>
      <c r="BH27" s="72">
        <f t="shared" si="30"/>
        <v>0</v>
      </c>
      <c r="BI27" s="39"/>
      <c r="BJ27" s="40" t="str">
        <f t="shared" si="31"/>
        <v/>
      </c>
      <c r="BK27" s="157" t="str">
        <f t="shared" si="32"/>
        <v/>
      </c>
      <c r="BL27" s="157" t="str">
        <f t="shared" si="14"/>
        <v/>
      </c>
      <c r="BM27" s="72"/>
      <c r="BN27" s="72" t="str">
        <f t="shared" si="33"/>
        <v/>
      </c>
      <c r="BO27" s="72" t="str">
        <f t="shared" si="34"/>
        <v/>
      </c>
      <c r="BP27" s="39"/>
      <c r="BQ27" s="72">
        <f t="shared" si="15"/>
        <v>5092319400</v>
      </c>
      <c r="BR27" s="72">
        <f t="shared" si="35"/>
        <v>3467621719.1032557</v>
      </c>
    </row>
    <row r="28" spans="3:70" x14ac:dyDescent="0.15">
      <c r="D28" s="84" t="s">
        <v>116</v>
      </c>
      <c r="F28" s="481">
        <v>1</v>
      </c>
      <c r="G28" s="84" t="s">
        <v>556</v>
      </c>
      <c r="H28" s="370"/>
      <c r="I28" s="322">
        <f t="shared" si="36"/>
        <v>2043</v>
      </c>
      <c r="K28" s="71">
        <f t="shared" si="37"/>
        <v>14</v>
      </c>
      <c r="M28" s="7">
        <f t="shared" si="0"/>
        <v>0.66111780581861923</v>
      </c>
      <c r="O28" s="10">
        <f t="shared" si="16"/>
        <v>8914901222.0511208</v>
      </c>
      <c r="P28" s="29" t="str">
        <f t="shared" si="1"/>
        <v>-</v>
      </c>
      <c r="R28" s="10">
        <f t="shared" si="17"/>
        <v>18833882795.621979</v>
      </c>
      <c r="T28" s="10">
        <f t="shared" si="18"/>
        <v>18833882000</v>
      </c>
      <c r="V28" s="10">
        <f t="shared" si="2"/>
        <v>4457450611.0255604</v>
      </c>
      <c r="W28" s="10">
        <f t="shared" si="19"/>
        <v>2946899967.5060821</v>
      </c>
      <c r="Y28" s="10">
        <f t="shared" si="3"/>
        <v>263674300</v>
      </c>
      <c r="Z28" s="10">
        <f t="shared" si="20"/>
        <v>174319774.66676036</v>
      </c>
      <c r="AB28" s="10">
        <f t="shared" si="4"/>
        <v>0</v>
      </c>
      <c r="AC28" s="10">
        <f t="shared" si="21"/>
        <v>0</v>
      </c>
      <c r="AE28" s="10">
        <f t="shared" si="5"/>
        <v>0</v>
      </c>
      <c r="AF28" s="10">
        <f t="shared" si="22"/>
        <v>0</v>
      </c>
      <c r="AH28" s="10">
        <f t="shared" si="6"/>
        <v>620000000</v>
      </c>
      <c r="AI28" s="10">
        <f t="shared" si="23"/>
        <v>409893039.60754395</v>
      </c>
      <c r="AK28" s="10">
        <f t="shared" si="7"/>
        <v>3325200000</v>
      </c>
      <c r="AL28" s="10">
        <f t="shared" si="24"/>
        <v>2198348927.9080725</v>
      </c>
      <c r="AN28" s="10">
        <f t="shared" si="8"/>
        <v>1524050000</v>
      </c>
      <c r="AO28" s="10">
        <f t="shared" si="25"/>
        <v>1007576591.9578667</v>
      </c>
      <c r="AQ28" s="10">
        <f t="shared" si="9"/>
        <v>656310000</v>
      </c>
      <c r="AR28" s="188">
        <f t="shared" si="26"/>
        <v>433898227.13681799</v>
      </c>
      <c r="AS28" s="73"/>
      <c r="AT28" s="330">
        <f>IF($K28&lt;=$F$15,IF($F$40&lt;&gt;"",$F$40/1000,IF(ISERROR(VLOOKUP($F$3&amp;IF($G$4&lt;&gt;"",$G$4,"")&amp;IF($F$43&lt;&gt;"","_"&amp;$F$43,""),'表3）燃料価格'!$AF$9:$AG$25,2,0)),0,VLOOKUP($I28,'表3）燃料価格'!A19:AC69,VLOOKUP($F$3,'表3）燃料価格'!$AF$9:$AG$25,2,0)+VLOOKUP($F$41,'表3）燃料価格'!$AF$28:$AG$29,2,0),0)*IF($F$43="需要地価格",1,$F$8/$F$141))),"")</f>
        <v>63.327558751909919</v>
      </c>
      <c r="AU28" s="73"/>
      <c r="AV28" s="188">
        <f t="shared" si="10"/>
        <v>37286896483.363243</v>
      </c>
      <c r="AW28" s="188">
        <f t="shared" si="27"/>
        <v>24651031188.867096</v>
      </c>
      <c r="AX28" s="73"/>
      <c r="AY28" s="40">
        <f>IF(ISERROR(IF($K28&lt;=$F$15,VLOOKUP($I28,'表4）CO2価格'!$A$7:$E$67,VLOOKUP($F$48,'表4）CO2価格'!$H$10:$I$12,2,0),0)*$F$8/1000,"")),0,IF($K28&lt;=$F$15,VLOOKUP($I28,'表4）CO2価格'!$A$7:$E$67,VLOOKUP($F$48,'表4）CO2価格'!$H$10:$I$12,2,0),0)*$F$8/1000,""))</f>
        <v>5.9491999999999896</v>
      </c>
      <c r="AZ28" s="73"/>
      <c r="BA28" s="11">
        <f t="shared" si="11"/>
        <v>8963914122.9791832</v>
      </c>
      <c r="BB28" s="10">
        <f t="shared" si="28"/>
        <v>5926203236.53053</v>
      </c>
      <c r="BD28" s="10">
        <f t="shared" si="12"/>
        <v>0</v>
      </c>
      <c r="BE28" s="10">
        <f t="shared" si="29"/>
        <v>0</v>
      </c>
      <c r="BG28" s="11">
        <f t="shared" si="13"/>
        <v>0</v>
      </c>
      <c r="BH28" s="10">
        <f t="shared" si="30"/>
        <v>0</v>
      </c>
      <c r="BJ28" s="7" t="str">
        <f t="shared" si="31"/>
        <v/>
      </c>
      <c r="BK28" s="158" t="str">
        <f t="shared" si="32"/>
        <v/>
      </c>
      <c r="BL28" s="158" t="str">
        <f t="shared" si="14"/>
        <v/>
      </c>
      <c r="BM28" s="10"/>
      <c r="BN28" s="10" t="str">
        <f t="shared" si="33"/>
        <v/>
      </c>
      <c r="BO28" s="10" t="str">
        <f t="shared" si="34"/>
        <v/>
      </c>
      <c r="BQ28" s="10">
        <f t="shared" si="15"/>
        <v>5092319400</v>
      </c>
      <c r="BR28" s="10">
        <f t="shared" si="35"/>
        <v>3366623028.2555876</v>
      </c>
    </row>
    <row r="29" spans="3:70" x14ac:dyDescent="0.15">
      <c r="D29" s="84" t="s">
        <v>567</v>
      </c>
      <c r="F29" s="481"/>
      <c r="G29" s="84" t="s">
        <v>566</v>
      </c>
      <c r="H29" s="370"/>
      <c r="I29" s="38">
        <f t="shared" si="36"/>
        <v>2044</v>
      </c>
      <c r="J29" s="39"/>
      <c r="K29" s="39">
        <f t="shared" si="37"/>
        <v>15</v>
      </c>
      <c r="L29" s="39"/>
      <c r="M29" s="40">
        <f t="shared" si="0"/>
        <v>0.64186194739671765</v>
      </c>
      <c r="N29" s="39"/>
      <c r="O29" s="72">
        <f t="shared" si="16"/>
        <v>4457450611.0255604</v>
      </c>
      <c r="P29" s="41" t="str">
        <f t="shared" si="1"/>
        <v>-</v>
      </c>
      <c r="Q29" s="39"/>
      <c r="R29" s="72">
        <f t="shared" si="17"/>
        <v>16153744028.346575</v>
      </c>
      <c r="S29" s="39"/>
      <c r="T29" s="72">
        <f t="shared" si="18"/>
        <v>16153744000</v>
      </c>
      <c r="U29" s="39"/>
      <c r="V29" s="72">
        <f t="shared" si="2"/>
        <v>4457450611.0255604</v>
      </c>
      <c r="W29" s="72">
        <f t="shared" si="19"/>
        <v>2861067929.6175551</v>
      </c>
      <c r="X29" s="39"/>
      <c r="Y29" s="72">
        <f t="shared" si="3"/>
        <v>226152400</v>
      </c>
      <c r="Z29" s="72">
        <f t="shared" si="20"/>
        <v>145158619.87244144</v>
      </c>
      <c r="AA29" s="39"/>
      <c r="AB29" s="72">
        <f t="shared" si="4"/>
        <v>0</v>
      </c>
      <c r="AC29" s="72">
        <f t="shared" si="21"/>
        <v>0</v>
      </c>
      <c r="AD29" s="39"/>
      <c r="AE29" s="72">
        <f t="shared" si="5"/>
        <v>0</v>
      </c>
      <c r="AF29" s="72">
        <f t="shared" si="22"/>
        <v>0</v>
      </c>
      <c r="AG29" s="39"/>
      <c r="AH29" s="72">
        <f t="shared" si="6"/>
        <v>620000000</v>
      </c>
      <c r="AI29" s="72">
        <f t="shared" si="23"/>
        <v>397954407.38596493</v>
      </c>
      <c r="AJ29" s="39"/>
      <c r="AK29" s="72">
        <f t="shared" si="7"/>
        <v>3325200000</v>
      </c>
      <c r="AL29" s="72">
        <f t="shared" si="24"/>
        <v>2134319347.4835656</v>
      </c>
      <c r="AM29" s="39"/>
      <c r="AN29" s="72">
        <f t="shared" si="8"/>
        <v>1524050000</v>
      </c>
      <c r="AO29" s="72">
        <f t="shared" si="25"/>
        <v>978229700.92996752</v>
      </c>
      <c r="AP29" s="39"/>
      <c r="AQ29" s="72">
        <f t="shared" si="9"/>
        <v>656310000</v>
      </c>
      <c r="AR29" s="72">
        <f t="shared" si="26"/>
        <v>421260414.69593978</v>
      </c>
      <c r="AS29" s="39"/>
      <c r="AT29" s="40">
        <f>IF($K29&lt;=$F$15,IF($F$40&lt;&gt;"",$F$40/1000,IF(ISERROR(VLOOKUP($F$3&amp;IF($G$4&lt;&gt;"",$G$4,"")&amp;IF($F$43&lt;&gt;"","_"&amp;$F$43,""),'表3）燃料価格'!$AF$9:$AG$25,2,0)),0,VLOOKUP($I29,'表3）燃料価格'!A20:AC70,VLOOKUP($F$3,'表3）燃料価格'!$AF$9:$AG$25,2,0)+VLOOKUP($F$41,'表3）燃料価格'!$AF$28:$AG$29,2,0),0)*IF($F$43="需要地価格",1,$F$8/$F$141))),"")</f>
        <v>63.196971601396868</v>
      </c>
      <c r="AU29" s="39"/>
      <c r="AV29" s="72">
        <f t="shared" si="10"/>
        <v>37213135003.837456</v>
      </c>
      <c r="AW29" s="72">
        <f t="shared" si="27"/>
        <v>23885695302.300068</v>
      </c>
      <c r="AX29" s="39"/>
      <c r="AY29" s="40">
        <f>IF(ISERROR(IF($K29&lt;=$F$15,VLOOKUP($I29,'表4）CO2価格'!$A$7:$E$67,VLOOKUP($F$48,'表4）CO2価格'!$H$10:$I$12,2,0),0)*$F$8/1000,"")),0,IF($K29&lt;=$F$15,VLOOKUP($I29,'表4）CO2価格'!$A$7:$E$67,VLOOKUP($F$48,'表4）CO2価格'!$H$10:$I$12,2,0),0)*$F$8/1000,""))</f>
        <v>6.077599999999971</v>
      </c>
      <c r="AZ29" s="39"/>
      <c r="BA29" s="42">
        <f t="shared" si="11"/>
        <v>9157379895.4175549</v>
      </c>
      <c r="BB29" s="72">
        <f t="shared" si="28"/>
        <v>5877773692.7242622</v>
      </c>
      <c r="BC29" s="39"/>
      <c r="BD29" s="72">
        <f t="shared" si="12"/>
        <v>0</v>
      </c>
      <c r="BE29" s="72">
        <f t="shared" si="29"/>
        <v>0</v>
      </c>
      <c r="BF29" s="39"/>
      <c r="BG29" s="42">
        <f t="shared" si="13"/>
        <v>0</v>
      </c>
      <c r="BH29" s="72">
        <f t="shared" si="30"/>
        <v>0</v>
      </c>
      <c r="BI29" s="39"/>
      <c r="BJ29" s="40" t="str">
        <f t="shared" si="31"/>
        <v/>
      </c>
      <c r="BK29" s="157" t="str">
        <f t="shared" si="32"/>
        <v/>
      </c>
      <c r="BL29" s="157" t="str">
        <f t="shared" si="14"/>
        <v/>
      </c>
      <c r="BM29" s="72"/>
      <c r="BN29" s="72" t="str">
        <f t="shared" si="33"/>
        <v/>
      </c>
      <c r="BO29" s="72" t="str">
        <f t="shared" si="34"/>
        <v/>
      </c>
      <c r="BP29" s="39"/>
      <c r="BQ29" s="72">
        <f t="shared" si="15"/>
        <v>5092319400</v>
      </c>
      <c r="BR29" s="72">
        <f t="shared" si="35"/>
        <v>3268566046.8500848</v>
      </c>
    </row>
    <row r="30" spans="3:70" x14ac:dyDescent="0.15">
      <c r="H30" s="370"/>
      <c r="I30" s="322">
        <f t="shared" si="36"/>
        <v>2045</v>
      </c>
      <c r="K30" s="71">
        <f t="shared" si="37"/>
        <v>16</v>
      </c>
      <c r="M30" s="7">
        <f t="shared" si="0"/>
        <v>0.62316693922011435</v>
      </c>
      <c r="O30" s="10">
        <f t="shared" si="16"/>
        <v>0</v>
      </c>
      <c r="P30" s="29" t="str">
        <f t="shared" si="1"/>
        <v>-</v>
      </c>
      <c r="R30" s="10">
        <f t="shared" si="17"/>
        <v>13855000000.000006</v>
      </c>
      <c r="T30" s="10">
        <f t="shared" si="18"/>
        <v>13855000000</v>
      </c>
      <c r="V30" s="10">
        <f t="shared" si="2"/>
        <v>0</v>
      </c>
      <c r="W30" s="10">
        <f t="shared" si="19"/>
        <v>0</v>
      </c>
      <c r="Y30" s="10">
        <f t="shared" si="3"/>
        <v>193970000</v>
      </c>
      <c r="Z30" s="10">
        <f t="shared" si="20"/>
        <v>120875691.20052558</v>
      </c>
      <c r="AB30" s="10">
        <f t="shared" si="4"/>
        <v>0</v>
      </c>
      <c r="AC30" s="10">
        <f t="shared" si="21"/>
        <v>0</v>
      </c>
      <c r="AE30" s="10">
        <f t="shared" si="5"/>
        <v>0</v>
      </c>
      <c r="AF30" s="10">
        <f t="shared" si="22"/>
        <v>0</v>
      </c>
      <c r="AH30" s="10">
        <f t="shared" si="6"/>
        <v>620000000</v>
      </c>
      <c r="AI30" s="10">
        <f t="shared" si="23"/>
        <v>386363502.31647092</v>
      </c>
      <c r="AK30" s="10">
        <f t="shared" si="7"/>
        <v>3325200000</v>
      </c>
      <c r="AL30" s="10">
        <f t="shared" si="24"/>
        <v>2072154706.2947242</v>
      </c>
      <c r="AN30" s="10">
        <f t="shared" si="8"/>
        <v>1524050000</v>
      </c>
      <c r="AO30" s="10">
        <f t="shared" si="25"/>
        <v>949737573.71841526</v>
      </c>
      <c r="AQ30" s="10">
        <f t="shared" si="9"/>
        <v>656310000</v>
      </c>
      <c r="AR30" s="10">
        <f t="shared" si="26"/>
        <v>408990693.87955326</v>
      </c>
      <c r="AS30" s="73"/>
      <c r="AT30" s="330">
        <f>IF($K30&lt;=$F$15,IF($F$40&lt;&gt;"",$F$40/1000,IF(ISERROR(VLOOKUP($F$3&amp;IF($G$4&lt;&gt;"",$G$4,"")&amp;IF($F$43&lt;&gt;"","_"&amp;$F$43,""),'表3）燃料価格'!$AF$9:$AG$25,2,0)),0,VLOOKUP($I30,'表3）燃料価格'!A21:AC71,VLOOKUP($F$3,'表3）燃料価格'!$AF$9:$AG$25,2,0)+VLOOKUP($F$41,'表3）燃料価格'!$AF$28:$AG$29,2,0),0)*IF($F$43="需要地価格",1,$F$8/$F$141))),"")</f>
        <v>63.070666777085407</v>
      </c>
      <c r="AU30" s="73"/>
      <c r="AV30" s="188">
        <f t="shared" si="10"/>
        <v>37141792374.215355</v>
      </c>
      <c r="AW30" s="188">
        <f t="shared" si="27"/>
        <v>23145537070.988766</v>
      </c>
      <c r="AX30" s="73"/>
      <c r="AY30" s="40">
        <f>IF(ISERROR(IF($K30&lt;=$F$15,VLOOKUP($I30,'表4）CO2価格'!$A$7:$E$67,VLOOKUP($F$48,'表4）CO2価格'!$H$10:$I$12,2,0),0)*$F$8/1000,"")),0,IF($K30&lt;=$F$15,VLOOKUP($I30,'表4）CO2価格'!$A$7:$E$67,VLOOKUP($F$48,'表4）CO2価格'!$H$10:$I$12,2,0),0)*$F$8/1000,""))</f>
        <v>6.2060000000000004</v>
      </c>
      <c r="AZ30" s="73"/>
      <c r="BA30" s="11">
        <f t="shared" si="11"/>
        <v>9350845667.855999</v>
      </c>
      <c r="BB30" s="10">
        <f t="shared" si="28"/>
        <v>5827137873.957489</v>
      </c>
      <c r="BD30" s="10">
        <f t="shared" si="12"/>
        <v>0</v>
      </c>
      <c r="BE30" s="10">
        <f t="shared" si="29"/>
        <v>0</v>
      </c>
      <c r="BG30" s="11">
        <f t="shared" si="13"/>
        <v>0</v>
      </c>
      <c r="BH30" s="10">
        <f t="shared" si="30"/>
        <v>0</v>
      </c>
      <c r="BJ30" s="7" t="str">
        <f t="shared" si="31"/>
        <v/>
      </c>
      <c r="BK30" s="158" t="str">
        <f t="shared" si="32"/>
        <v/>
      </c>
      <c r="BL30" s="158" t="str">
        <f t="shared" si="14"/>
        <v/>
      </c>
      <c r="BM30" s="10"/>
      <c r="BN30" s="10" t="str">
        <f t="shared" si="33"/>
        <v/>
      </c>
      <c r="BO30" s="10" t="str">
        <f t="shared" si="34"/>
        <v/>
      </c>
      <c r="BQ30" s="10">
        <f t="shared" si="15"/>
        <v>5092319400</v>
      </c>
      <c r="BR30" s="10">
        <f t="shared" si="35"/>
        <v>3173365094.0292091</v>
      </c>
    </row>
    <row r="31" spans="3:70" x14ac:dyDescent="0.15">
      <c r="C31" s="4" t="s">
        <v>568</v>
      </c>
      <c r="D31" s="100"/>
      <c r="E31" s="100"/>
      <c r="F31" s="4"/>
      <c r="G31" s="100"/>
      <c r="H31" s="370"/>
      <c r="I31" s="38">
        <f t="shared" si="36"/>
        <v>2046</v>
      </c>
      <c r="J31" s="39"/>
      <c r="K31" s="39">
        <f t="shared" si="37"/>
        <v>17</v>
      </c>
      <c r="L31" s="39"/>
      <c r="M31" s="40">
        <f t="shared" si="0"/>
        <v>0.60501644584477121</v>
      </c>
      <c r="N31" s="39"/>
      <c r="O31" s="72">
        <f t="shared" si="16"/>
        <v>0</v>
      </c>
      <c r="P31" s="41" t="str">
        <f t="shared" si="1"/>
        <v>-</v>
      </c>
      <c r="Q31" s="39"/>
      <c r="R31" s="72">
        <f t="shared" si="17"/>
        <v>11883376674.976843</v>
      </c>
      <c r="S31" s="39"/>
      <c r="T31" s="72">
        <f t="shared" si="18"/>
        <v>11883376000</v>
      </c>
      <c r="U31" s="39"/>
      <c r="V31" s="72">
        <f t="shared" si="2"/>
        <v>0</v>
      </c>
      <c r="W31" s="72">
        <f t="shared" si="19"/>
        <v>0</v>
      </c>
      <c r="X31" s="39"/>
      <c r="Y31" s="72">
        <f t="shared" si="3"/>
        <v>166367200</v>
      </c>
      <c r="Z31" s="72">
        <f t="shared" si="20"/>
        <v>100654892.04914622</v>
      </c>
      <c r="AA31" s="39"/>
      <c r="AB31" s="72">
        <f t="shared" si="4"/>
        <v>0</v>
      </c>
      <c r="AC31" s="72">
        <f t="shared" si="21"/>
        <v>0</v>
      </c>
      <c r="AD31" s="39"/>
      <c r="AE31" s="72">
        <f t="shared" si="5"/>
        <v>0</v>
      </c>
      <c r="AF31" s="72">
        <f t="shared" si="22"/>
        <v>0</v>
      </c>
      <c r="AG31" s="39"/>
      <c r="AH31" s="72">
        <f t="shared" si="6"/>
        <v>620000000</v>
      </c>
      <c r="AI31" s="72">
        <f t="shared" si="23"/>
        <v>375110196.42375815</v>
      </c>
      <c r="AJ31" s="39"/>
      <c r="AK31" s="72">
        <f t="shared" si="7"/>
        <v>3325200000</v>
      </c>
      <c r="AL31" s="72">
        <f t="shared" si="24"/>
        <v>2011800685.7230332</v>
      </c>
      <c r="AM31" s="39"/>
      <c r="AN31" s="72">
        <f t="shared" si="8"/>
        <v>1524050000</v>
      </c>
      <c r="AO31" s="72">
        <f t="shared" si="25"/>
        <v>922075314.28972352</v>
      </c>
      <c r="AP31" s="39"/>
      <c r="AQ31" s="72">
        <f t="shared" si="9"/>
        <v>656310000</v>
      </c>
      <c r="AR31" s="72">
        <f t="shared" si="26"/>
        <v>397078343.57238179</v>
      </c>
      <c r="AS31" s="39"/>
      <c r="AT31" s="40">
        <f>IF($K31&lt;=$F$15,IF($F$40&lt;&gt;"",$F$40/1000,IF(ISERROR(VLOOKUP($F$3&amp;IF($G$4&lt;&gt;"",$G$4,"")&amp;IF($F$43&lt;&gt;"","_"&amp;$F$43,""),'表3）燃料価格'!$AF$9:$AG$25,2,0)),0,VLOOKUP($I31,'表3）燃料価格'!A22:AC72,VLOOKUP($F$3,'表3）燃料価格'!$AF$9:$AG$25,2,0)+VLOOKUP($F$41,'表3）燃料価格'!$AF$28:$AG$29,2,0),0)*IF($F$43="需要地価格",1,$F$8/$F$141))),"")</f>
        <v>62.948372314428852</v>
      </c>
      <c r="AU31" s="39"/>
      <c r="AV31" s="72">
        <f t="shared" si="10"/>
        <v>37072714976.723198</v>
      </c>
      <c r="AW31" s="72">
        <f t="shared" si="27"/>
        <v>22429602253.033291</v>
      </c>
      <c r="AX31" s="39"/>
      <c r="AY31" s="40">
        <f>IF(ISERROR(IF($K31&lt;=$F$15,VLOOKUP($I31,'表4）CO2価格'!$A$7:$E$67,VLOOKUP($F$48,'表4）CO2価格'!$H$10:$I$12,2,0),0)*$F$8/1000,"")),0,IF($K31&lt;=$F$15,VLOOKUP($I31,'表4）CO2価格'!$A$7:$E$67,VLOOKUP($F$48,'表4）CO2価格'!$H$10:$I$12,2,0),0)*$F$8/1000,""))</f>
        <v>6.3343999999999809</v>
      </c>
      <c r="AZ31" s="39"/>
      <c r="BA31" s="42">
        <f t="shared" si="11"/>
        <v>9544311440.2943707</v>
      </c>
      <c r="BB31" s="72">
        <f t="shared" si="28"/>
        <v>5774465385.6424894</v>
      </c>
      <c r="BC31" s="39"/>
      <c r="BD31" s="72">
        <f t="shared" si="12"/>
        <v>0</v>
      </c>
      <c r="BE31" s="72">
        <f t="shared" si="29"/>
        <v>0</v>
      </c>
      <c r="BF31" s="39"/>
      <c r="BG31" s="42">
        <f t="shared" si="13"/>
        <v>0</v>
      </c>
      <c r="BH31" s="72">
        <f t="shared" si="30"/>
        <v>0</v>
      </c>
      <c r="BI31" s="39"/>
      <c r="BJ31" s="40" t="str">
        <f t="shared" si="31"/>
        <v/>
      </c>
      <c r="BK31" s="157" t="str">
        <f t="shared" si="32"/>
        <v/>
      </c>
      <c r="BL31" s="157" t="str">
        <f t="shared" si="14"/>
        <v/>
      </c>
      <c r="BM31" s="72"/>
      <c r="BN31" s="72" t="str">
        <f t="shared" si="33"/>
        <v/>
      </c>
      <c r="BO31" s="72" t="str">
        <f t="shared" si="34"/>
        <v/>
      </c>
      <c r="BP31" s="39"/>
      <c r="BQ31" s="72">
        <f t="shared" si="15"/>
        <v>5092319400</v>
      </c>
      <c r="BR31" s="72">
        <f t="shared" si="35"/>
        <v>3080936984.4943776</v>
      </c>
    </row>
    <row r="32" spans="3:70" x14ac:dyDescent="0.15">
      <c r="H32" s="370"/>
      <c r="I32" s="322">
        <f t="shared" si="36"/>
        <v>2047</v>
      </c>
      <c r="K32" s="71">
        <f t="shared" si="37"/>
        <v>18</v>
      </c>
      <c r="M32" s="7">
        <f t="shared" si="0"/>
        <v>0.5873946076162827</v>
      </c>
      <c r="O32" s="10">
        <f t="shared" si="16"/>
        <v>0</v>
      </c>
      <c r="P32" s="29" t="str">
        <f t="shared" si="1"/>
        <v>-</v>
      </c>
      <c r="R32" s="10">
        <f t="shared" si="17"/>
        <v>10192323435.538334</v>
      </c>
      <c r="T32" s="10">
        <f t="shared" si="18"/>
        <v>10192323000</v>
      </c>
      <c r="V32" s="10">
        <f t="shared" si="2"/>
        <v>0</v>
      </c>
      <c r="W32" s="10">
        <f t="shared" si="19"/>
        <v>0</v>
      </c>
      <c r="Y32" s="10">
        <f t="shared" si="3"/>
        <v>142692500</v>
      </c>
      <c r="Z32" s="10">
        <f t="shared" si="20"/>
        <v>83816805.047286421</v>
      </c>
      <c r="AB32" s="10">
        <f t="shared" si="4"/>
        <v>0</v>
      </c>
      <c r="AC32" s="10">
        <f t="shared" si="21"/>
        <v>0</v>
      </c>
      <c r="AE32" s="10">
        <f t="shared" si="5"/>
        <v>0</v>
      </c>
      <c r="AF32" s="10">
        <f t="shared" si="22"/>
        <v>0</v>
      </c>
      <c r="AH32" s="10">
        <f t="shared" si="6"/>
        <v>620000000</v>
      </c>
      <c r="AI32" s="10">
        <f t="shared" si="23"/>
        <v>364184656.72209525</v>
      </c>
      <c r="AK32" s="10">
        <f t="shared" si="7"/>
        <v>3325200000</v>
      </c>
      <c r="AL32" s="10">
        <f t="shared" si="24"/>
        <v>1953204549.2456632</v>
      </c>
      <c r="AN32" s="10">
        <f t="shared" si="8"/>
        <v>1524050000</v>
      </c>
      <c r="AO32" s="10">
        <f t="shared" si="25"/>
        <v>895218751.73759568</v>
      </c>
      <c r="AQ32" s="10">
        <f t="shared" si="9"/>
        <v>656310000</v>
      </c>
      <c r="AR32" s="10">
        <f t="shared" si="26"/>
        <v>385512954.9246425</v>
      </c>
      <c r="AT32" s="330">
        <f>IF($K32&lt;=$F$15,IF($F$40&lt;&gt;"",$F$40/1000,IF(ISERROR(VLOOKUP($F$3&amp;IF($G$4&lt;&gt;"",$G$4,"")&amp;IF($F$43&lt;&gt;"","_"&amp;$F$43,""),'表3）燃料価格'!$AF$9:$AG$25,2,0)),0,VLOOKUP($I32,'表3）燃料価格'!A23:AC73,VLOOKUP($F$3,'表3）燃料価格'!$AF$9:$AG$25,2,0)+VLOOKUP($F$41,'表3）燃料価格'!$AF$28:$AG$29,2,0),0)*IF($F$43="需要地価格",1,$F$8/$F$141))),"")</f>
        <v>62.829841361618932</v>
      </c>
      <c r="AU32" s="73"/>
      <c r="AV32" s="188">
        <f t="shared" si="10"/>
        <v>37005763378.388199</v>
      </c>
      <c r="AW32" s="188">
        <f t="shared" si="27"/>
        <v>21736985859.189339</v>
      </c>
      <c r="AX32" s="73"/>
      <c r="AY32" s="40">
        <f>IF(ISERROR(IF($K32&lt;=$F$15,VLOOKUP($I32,'表4）CO2価格'!$A$7:$E$67,VLOOKUP($F$48,'表4）CO2価格'!$H$10:$I$12,2,0),0)*$F$8/1000,"")),0,IF($K32&lt;=$F$15,VLOOKUP($I32,'表4）CO2価格'!$A$7:$E$67,VLOOKUP($F$48,'表4）CO2価格'!$H$10:$I$12,2,0),0)*$F$8/1000,""))</f>
        <v>6.4628000000000103</v>
      </c>
      <c r="BA32" s="11">
        <f t="shared" si="11"/>
        <v>9737777212.7328148</v>
      </c>
      <c r="BB32" s="10">
        <f t="shared" si="28"/>
        <v>5719917824.9279709</v>
      </c>
      <c r="BD32" s="10">
        <f t="shared" si="12"/>
        <v>0</v>
      </c>
      <c r="BE32" s="10">
        <f t="shared" si="29"/>
        <v>0</v>
      </c>
      <c r="BG32" s="11">
        <f t="shared" si="13"/>
        <v>0</v>
      </c>
      <c r="BH32" s="10">
        <f t="shared" si="30"/>
        <v>0</v>
      </c>
      <c r="BJ32" s="7" t="str">
        <f t="shared" si="31"/>
        <v/>
      </c>
      <c r="BK32" s="158" t="str">
        <f t="shared" si="32"/>
        <v/>
      </c>
      <c r="BL32" s="158" t="str">
        <f t="shared" si="14"/>
        <v/>
      </c>
      <c r="BM32" s="10"/>
      <c r="BN32" s="10" t="str">
        <f t="shared" si="33"/>
        <v/>
      </c>
      <c r="BO32" s="10" t="str">
        <f t="shared" si="34"/>
        <v/>
      </c>
      <c r="BQ32" s="10">
        <f t="shared" si="15"/>
        <v>5092319400</v>
      </c>
      <c r="BR32" s="10">
        <f t="shared" si="35"/>
        <v>2991200955.8197842</v>
      </c>
    </row>
    <row r="33" spans="3:70" x14ac:dyDescent="0.15">
      <c r="D33" s="84" t="s">
        <v>636</v>
      </c>
      <c r="F33" s="475">
        <v>6.2</v>
      </c>
      <c r="G33" s="84" t="s">
        <v>637</v>
      </c>
      <c r="H33" s="370"/>
      <c r="I33" s="38">
        <f t="shared" si="36"/>
        <v>2048</v>
      </c>
      <c r="J33" s="39"/>
      <c r="K33" s="39">
        <f t="shared" si="37"/>
        <v>19</v>
      </c>
      <c r="L33" s="39"/>
      <c r="M33" s="40">
        <f t="shared" si="0"/>
        <v>0.57028602681192497</v>
      </c>
      <c r="N33" s="39"/>
      <c r="O33" s="72">
        <f t="shared" si="16"/>
        <v>0</v>
      </c>
      <c r="P33" s="41" t="str">
        <f t="shared" si="1"/>
        <v>-</v>
      </c>
      <c r="Q33" s="39"/>
      <c r="R33" s="72">
        <f t="shared" si="17"/>
        <v>8741914007.7730808</v>
      </c>
      <c r="S33" s="39"/>
      <c r="T33" s="72">
        <f t="shared" si="18"/>
        <v>8741914000</v>
      </c>
      <c r="U33" s="39"/>
      <c r="V33" s="72">
        <f t="shared" si="2"/>
        <v>0</v>
      </c>
      <c r="W33" s="72">
        <f t="shared" si="19"/>
        <v>0</v>
      </c>
      <c r="X33" s="39"/>
      <c r="Y33" s="72">
        <f t="shared" si="3"/>
        <v>122386700</v>
      </c>
      <c r="Z33" s="72">
        <f t="shared" si="20"/>
        <v>69795424.877623022</v>
      </c>
      <c r="AA33" s="39"/>
      <c r="AB33" s="72">
        <f t="shared" si="4"/>
        <v>0</v>
      </c>
      <c r="AC33" s="72">
        <f t="shared" si="21"/>
        <v>0</v>
      </c>
      <c r="AD33" s="39"/>
      <c r="AE33" s="72">
        <f t="shared" si="5"/>
        <v>0</v>
      </c>
      <c r="AF33" s="72">
        <f t="shared" si="22"/>
        <v>0</v>
      </c>
      <c r="AG33" s="39"/>
      <c r="AH33" s="72">
        <f t="shared" si="6"/>
        <v>620000000</v>
      </c>
      <c r="AI33" s="72">
        <f t="shared" si="23"/>
        <v>353577336.62339348</v>
      </c>
      <c r="AJ33" s="39"/>
      <c r="AK33" s="72">
        <f t="shared" si="7"/>
        <v>3325200000</v>
      </c>
      <c r="AL33" s="72">
        <f t="shared" si="24"/>
        <v>1896315096.3550129</v>
      </c>
      <c r="AM33" s="39"/>
      <c r="AN33" s="72">
        <f t="shared" si="8"/>
        <v>1524050000</v>
      </c>
      <c r="AO33" s="72">
        <f t="shared" si="25"/>
        <v>869144419.16271424</v>
      </c>
      <c r="AP33" s="39"/>
      <c r="AQ33" s="72">
        <f t="shared" si="9"/>
        <v>656310000</v>
      </c>
      <c r="AR33" s="72">
        <f t="shared" si="26"/>
        <v>374284422.25693446</v>
      </c>
      <c r="AS33" s="39"/>
      <c r="AT33" s="40">
        <f>IF($K33&lt;=$F$15,IF($F$40&lt;&gt;"",$F$40/1000,IF(ISERROR(VLOOKUP($F$3&amp;IF($G$4&lt;&gt;"",$G$4,"")&amp;IF($F$43&lt;&gt;"","_"&amp;$F$43,""),'表3）燃料価格'!$AF$9:$AG$25,2,0)),0,VLOOKUP($I33,'表3）燃料価格'!A24:AC74,VLOOKUP($F$3,'表3）燃料価格'!$AF$9:$AG$25,2,0)+VLOOKUP($F$41,'表3）燃料価格'!$AF$28:$AG$29,2,0),0)*IF($F$43="需要地価格",1,$F$8/$F$141))),"")</f>
        <v>62.714849179863279</v>
      </c>
      <c r="AU33" s="39"/>
      <c r="AV33" s="72">
        <f t="shared" si="10"/>
        <v>36940810636.660774</v>
      </c>
      <c r="AW33" s="72">
        <f t="shared" si="27"/>
        <v>21066828125.19297</v>
      </c>
      <c r="AX33" s="39"/>
      <c r="AY33" s="40">
        <f>IF(ISERROR(IF($K33&lt;=$F$15,VLOOKUP($I33,'表4）CO2価格'!$A$7:$E$67,VLOOKUP($F$48,'表4）CO2価格'!$H$10:$I$12,2,0),0)*$F$8/1000,"")),0,IF($K33&lt;=$F$15,VLOOKUP($I33,'表4）CO2価格'!$A$7:$E$67,VLOOKUP($F$48,'表4）CO2価格'!$H$10:$I$12,2,0),0)*$F$8/1000,""))</f>
        <v>6.59119999999999</v>
      </c>
      <c r="AZ33" s="39"/>
      <c r="BA33" s="42">
        <f t="shared" si="11"/>
        <v>9931242985.1711826</v>
      </c>
      <c r="BB33" s="72">
        <f t="shared" si="28"/>
        <v>5663649103.3170748</v>
      </c>
      <c r="BC33" s="39"/>
      <c r="BD33" s="72">
        <f t="shared" si="12"/>
        <v>0</v>
      </c>
      <c r="BE33" s="72">
        <f t="shared" si="29"/>
        <v>0</v>
      </c>
      <c r="BF33" s="39"/>
      <c r="BG33" s="42">
        <f t="shared" si="13"/>
        <v>0</v>
      </c>
      <c r="BH33" s="72">
        <f t="shared" si="30"/>
        <v>0</v>
      </c>
      <c r="BI33" s="39"/>
      <c r="BJ33" s="40" t="str">
        <f t="shared" si="31"/>
        <v/>
      </c>
      <c r="BK33" s="157" t="str">
        <f t="shared" si="32"/>
        <v/>
      </c>
      <c r="BL33" s="157" t="str">
        <f t="shared" si="14"/>
        <v/>
      </c>
      <c r="BM33" s="72"/>
      <c r="BN33" s="72" t="str">
        <f t="shared" si="33"/>
        <v/>
      </c>
      <c r="BO33" s="72" t="str">
        <f t="shared" si="34"/>
        <v/>
      </c>
      <c r="BP33" s="39"/>
      <c r="BQ33" s="72">
        <f t="shared" si="15"/>
        <v>5092319400</v>
      </c>
      <c r="BR33" s="72">
        <f t="shared" si="35"/>
        <v>2904078597.8832855</v>
      </c>
    </row>
    <row r="34" spans="3:70" x14ac:dyDescent="0.15">
      <c r="D34" s="84" t="s">
        <v>120</v>
      </c>
      <c r="F34" s="475">
        <v>2.4</v>
      </c>
      <c r="G34" s="84" t="s">
        <v>638</v>
      </c>
      <c r="H34" s="370"/>
      <c r="I34" s="322">
        <f t="shared" si="36"/>
        <v>2049</v>
      </c>
      <c r="K34" s="71">
        <f t="shared" si="37"/>
        <v>20</v>
      </c>
      <c r="M34" s="7">
        <f t="shared" si="0"/>
        <v>0.55367575418633497</v>
      </c>
      <c r="O34" s="10">
        <f t="shared" si="16"/>
        <v>0</v>
      </c>
      <c r="P34" s="29" t="str">
        <f t="shared" si="1"/>
        <v>-</v>
      </c>
      <c r="R34" s="10">
        <f t="shared" si="17"/>
        <v>7497903790.3012571</v>
      </c>
      <c r="T34" s="10">
        <f t="shared" si="18"/>
        <v>7497903000</v>
      </c>
      <c r="V34" s="10">
        <f t="shared" si="2"/>
        <v>0</v>
      </c>
      <c r="W34" s="10">
        <f t="shared" si="19"/>
        <v>0</v>
      </c>
      <c r="Y34" s="10">
        <f t="shared" si="3"/>
        <v>104970600</v>
      </c>
      <c r="Z34" s="10">
        <f t="shared" si="20"/>
        <v>58119676.122392096</v>
      </c>
      <c r="AB34" s="10">
        <f t="shared" si="4"/>
        <v>0</v>
      </c>
      <c r="AC34" s="10">
        <f t="shared" si="21"/>
        <v>0</v>
      </c>
      <c r="AE34" s="10">
        <f t="shared" si="5"/>
        <v>0</v>
      </c>
      <c r="AF34" s="10">
        <f t="shared" si="22"/>
        <v>0</v>
      </c>
      <c r="AH34" s="10">
        <f t="shared" si="6"/>
        <v>620000000</v>
      </c>
      <c r="AI34" s="10">
        <f t="shared" si="23"/>
        <v>343278967.59552771</v>
      </c>
      <c r="AK34" s="10">
        <f t="shared" si="7"/>
        <v>3325200000</v>
      </c>
      <c r="AL34" s="10">
        <f t="shared" si="24"/>
        <v>1841082617.820401</v>
      </c>
      <c r="AN34" s="10">
        <f t="shared" si="8"/>
        <v>1524050000</v>
      </c>
      <c r="AO34" s="10">
        <f t="shared" si="25"/>
        <v>843829533.16768384</v>
      </c>
      <c r="AQ34" s="10">
        <f t="shared" si="9"/>
        <v>656310000</v>
      </c>
      <c r="AR34" s="10">
        <f t="shared" si="26"/>
        <v>363382934.23003352</v>
      </c>
      <c r="AT34" s="330">
        <f>IF($K34&lt;=$F$15,IF($F$40&lt;&gt;"",$F$40/1000,IF(ISERROR(VLOOKUP($F$3&amp;IF($G$4&lt;&gt;"",$G$4,"")&amp;IF($F$43&lt;&gt;"","_"&amp;$F$43,""),'表3）燃料価格'!$AF$9:$AG$25,2,0)),0,VLOOKUP($I34,'表3）燃料価格'!A25:AC75,VLOOKUP($F$3,'表3）燃料価格'!$AF$9:$AG$25,2,0)+VLOOKUP($F$41,'表3）燃料価格'!$AF$28:$AG$29,2,0),0)*IF($F$43="需要地価格",1,$F$8/$F$141))),"")</f>
        <v>62.603190578602685</v>
      </c>
      <c r="AU34" s="73"/>
      <c r="AV34" s="188">
        <f t="shared" si="10"/>
        <v>36877740850.710144</v>
      </c>
      <c r="AW34" s="188">
        <f t="shared" si="27"/>
        <v>20418310978.205154</v>
      </c>
      <c r="AX34" s="73"/>
      <c r="AY34" s="40">
        <f>IF(ISERROR(IF($K34&lt;=$F$15,VLOOKUP($I34,'表4）CO2価格'!$A$7:$E$67,VLOOKUP($F$48,'表4）CO2価格'!$H$10:$I$12,2,0),0)*$F$8/1000,"")),0,IF($K34&lt;=$F$15,VLOOKUP($I34,'表4）CO2価格'!$A$7:$E$67,VLOOKUP($F$48,'表4）CO2価格'!$H$10:$I$12,2,0),0)*$F$8/1000,""))</f>
        <v>6.7195999999999714</v>
      </c>
      <c r="AZ34" s="73"/>
      <c r="BA34" s="11">
        <f t="shared" si="11"/>
        <v>10124708757.609556</v>
      </c>
      <c r="BB34" s="10">
        <f t="shared" si="28"/>
        <v>5605805757.2864618</v>
      </c>
      <c r="BD34" s="10">
        <f t="shared" si="12"/>
        <v>0</v>
      </c>
      <c r="BE34" s="10">
        <f t="shared" si="29"/>
        <v>0</v>
      </c>
      <c r="BG34" s="11">
        <f t="shared" si="13"/>
        <v>0</v>
      </c>
      <c r="BH34" s="10">
        <f t="shared" si="30"/>
        <v>0</v>
      </c>
      <c r="BJ34" s="7" t="str">
        <f t="shared" si="31"/>
        <v/>
      </c>
      <c r="BK34" s="158" t="str">
        <f t="shared" si="32"/>
        <v/>
      </c>
      <c r="BL34" s="158" t="str">
        <f t="shared" si="14"/>
        <v/>
      </c>
      <c r="BM34" s="10"/>
      <c r="BN34" s="10" t="str">
        <f t="shared" si="33"/>
        <v/>
      </c>
      <c r="BO34" s="10" t="str">
        <f t="shared" si="34"/>
        <v/>
      </c>
      <c r="BQ34" s="10">
        <f t="shared" si="15"/>
        <v>5092319400</v>
      </c>
      <c r="BR34" s="10">
        <f t="shared" si="35"/>
        <v>2819493784.352705</v>
      </c>
    </row>
    <row r="35" spans="3:70" x14ac:dyDescent="0.15">
      <c r="D35" s="84" t="s">
        <v>122</v>
      </c>
      <c r="F35" s="475">
        <v>1.1000000000000001</v>
      </c>
      <c r="G35" s="84" t="s">
        <v>638</v>
      </c>
      <c r="H35" s="370"/>
      <c r="I35" s="38">
        <f t="shared" si="36"/>
        <v>2050</v>
      </c>
      <c r="J35" s="39"/>
      <c r="K35" s="39">
        <f t="shared" si="37"/>
        <v>21</v>
      </c>
      <c r="L35" s="39"/>
      <c r="M35" s="40">
        <f t="shared" si="0"/>
        <v>0.5375492759090631</v>
      </c>
      <c r="N35" s="39"/>
      <c r="O35" s="72">
        <f t="shared" si="16"/>
        <v>0</v>
      </c>
      <c r="P35" s="41" t="str">
        <f t="shared" si="1"/>
        <v>-</v>
      </c>
      <c r="Q35" s="39"/>
      <c r="R35" s="72">
        <f t="shared" si="17"/>
        <v>6927500000</v>
      </c>
      <c r="S35" s="39"/>
      <c r="T35" s="72">
        <f t="shared" si="18"/>
        <v>6927500000</v>
      </c>
      <c r="U35" s="39"/>
      <c r="V35" s="72">
        <f t="shared" si="2"/>
        <v>0</v>
      </c>
      <c r="W35" s="72">
        <f t="shared" si="19"/>
        <v>0</v>
      </c>
      <c r="X35" s="39"/>
      <c r="Y35" s="72">
        <f t="shared" si="3"/>
        <v>96985000</v>
      </c>
      <c r="Z35" s="72">
        <f t="shared" si="20"/>
        <v>52134216.524040483</v>
      </c>
      <c r="AA35" s="39"/>
      <c r="AB35" s="72">
        <f t="shared" si="4"/>
        <v>0</v>
      </c>
      <c r="AC35" s="72">
        <f t="shared" si="21"/>
        <v>0</v>
      </c>
      <c r="AD35" s="39"/>
      <c r="AE35" s="72">
        <f t="shared" si="5"/>
        <v>0</v>
      </c>
      <c r="AF35" s="72">
        <f t="shared" si="22"/>
        <v>0</v>
      </c>
      <c r="AG35" s="39"/>
      <c r="AH35" s="72">
        <f t="shared" si="6"/>
        <v>620000000</v>
      </c>
      <c r="AI35" s="72">
        <f t="shared" si="23"/>
        <v>333280551.06361914</v>
      </c>
      <c r="AJ35" s="39"/>
      <c r="AK35" s="72">
        <f t="shared" si="7"/>
        <v>3325200000</v>
      </c>
      <c r="AL35" s="72">
        <f t="shared" si="24"/>
        <v>1787458852.2528167</v>
      </c>
      <c r="AM35" s="39"/>
      <c r="AN35" s="72">
        <f t="shared" si="8"/>
        <v>1524050000</v>
      </c>
      <c r="AO35" s="72">
        <f t="shared" si="25"/>
        <v>819251973.94920766</v>
      </c>
      <c r="AP35" s="39"/>
      <c r="AQ35" s="72">
        <f t="shared" si="9"/>
        <v>656310000</v>
      </c>
      <c r="AR35" s="72">
        <f t="shared" si="26"/>
        <v>352798965.27187723</v>
      </c>
      <c r="AS35" s="39"/>
      <c r="AT35" s="40">
        <f>IF($K35&lt;=$F$15,IF($F$40&lt;&gt;"",$F$40/1000,IF(ISERROR(VLOOKUP($F$3&amp;IF($G$4&lt;&gt;"",$G$4,"")&amp;IF($F$43&lt;&gt;"","_"&amp;$F$43,""),'表3）燃料価格'!$AF$9:$AG$25,2,0)),0,VLOOKUP($I35,'表3）燃料価格'!A26:AC76,VLOOKUP($F$3,'表3）燃料価格'!$AF$9:$AG$25,2,0)+VLOOKUP($F$41,'表3）燃料価格'!$AF$28:$AG$29,2,0),0)*IF($F$43="需要地価格",1,$F$8/$F$141))),"")</f>
        <v>62.494677712120115</v>
      </c>
      <c r="AU35" s="39"/>
      <c r="AV35" s="72">
        <f t="shared" si="10"/>
        <v>36816447916.850327</v>
      </c>
      <c r="AW35" s="72">
        <f t="shared" si="27"/>
        <v>19790654919.246628</v>
      </c>
      <c r="AX35" s="39"/>
      <c r="AY35" s="40">
        <f>IF(ISERROR(IF($K35&lt;=$F$15,VLOOKUP($I35,'表4）CO2価格'!$A$7:$E$67,VLOOKUP($F$48,'表4）CO2価格'!$H$10:$I$12,2,0),0)*$F$8/1000,"")),0,IF($K35&lt;=$F$15,VLOOKUP($I35,'表4）CO2価格'!$A$7:$E$67,VLOOKUP($F$48,'表4）CO2価格'!$H$10:$I$12,2,0),0)*$F$8/1000,""))</f>
        <v>6.8479999999999999</v>
      </c>
      <c r="AZ35" s="39"/>
      <c r="BA35" s="42">
        <f t="shared" si="11"/>
        <v>10318174530.047998</v>
      </c>
      <c r="BB35" s="72">
        <f t="shared" si="28"/>
        <v>5546527247.3306389</v>
      </c>
      <c r="BC35" s="39"/>
      <c r="BD35" s="72">
        <f t="shared" si="12"/>
        <v>0</v>
      </c>
      <c r="BE35" s="72">
        <f t="shared" si="29"/>
        <v>0</v>
      </c>
      <c r="BF35" s="39"/>
      <c r="BG35" s="42">
        <f t="shared" si="13"/>
        <v>0</v>
      </c>
      <c r="BH35" s="72">
        <f t="shared" si="30"/>
        <v>0</v>
      </c>
      <c r="BI35" s="39"/>
      <c r="BJ35" s="40" t="str">
        <f t="shared" si="31"/>
        <v/>
      </c>
      <c r="BK35" s="157" t="str">
        <f t="shared" si="32"/>
        <v/>
      </c>
      <c r="BL35" s="157" t="str">
        <f t="shared" si="14"/>
        <v/>
      </c>
      <c r="BM35" s="72"/>
      <c r="BN35" s="72" t="str">
        <f t="shared" si="33"/>
        <v/>
      </c>
      <c r="BO35" s="72" t="str">
        <f t="shared" si="34"/>
        <v/>
      </c>
      <c r="BP35" s="39"/>
      <c r="BQ35" s="72">
        <f t="shared" si="15"/>
        <v>5092319400</v>
      </c>
      <c r="BR35" s="72">
        <f t="shared" si="35"/>
        <v>2737372606.1676745</v>
      </c>
    </row>
    <row r="36" spans="3:70" x14ac:dyDescent="0.15">
      <c r="D36" s="84" t="s">
        <v>639</v>
      </c>
      <c r="F36" s="480">
        <v>12</v>
      </c>
      <c r="G36" s="84" t="s">
        <v>640</v>
      </c>
      <c r="H36" s="370"/>
      <c r="I36" s="322">
        <f t="shared" si="36"/>
        <v>2051</v>
      </c>
      <c r="K36" s="71">
        <f t="shared" si="37"/>
        <v>22</v>
      </c>
      <c r="M36" s="7">
        <f t="shared" si="0"/>
        <v>0.52189250088258554</v>
      </c>
      <c r="O36" s="10">
        <f t="shared" si="16"/>
        <v>0</v>
      </c>
      <c r="P36" s="29" t="str">
        <f t="shared" si="1"/>
        <v>-</v>
      </c>
      <c r="R36" s="10">
        <f t="shared" si="17"/>
        <v>6927500000</v>
      </c>
      <c r="T36" s="10">
        <f t="shared" si="18"/>
        <v>6927500000</v>
      </c>
      <c r="V36" s="10">
        <f t="shared" si="2"/>
        <v>0</v>
      </c>
      <c r="W36" s="10">
        <f t="shared" si="19"/>
        <v>0</v>
      </c>
      <c r="Y36" s="10">
        <f t="shared" si="3"/>
        <v>96985000</v>
      </c>
      <c r="Z36" s="10">
        <f t="shared" si="20"/>
        <v>50615744.198097557</v>
      </c>
      <c r="AB36" s="10">
        <f t="shared" si="4"/>
        <v>0</v>
      </c>
      <c r="AC36" s="10">
        <f t="shared" si="21"/>
        <v>0</v>
      </c>
      <c r="AE36" s="10">
        <f t="shared" si="5"/>
        <v>0</v>
      </c>
      <c r="AF36" s="10">
        <f t="shared" si="22"/>
        <v>0</v>
      </c>
      <c r="AH36" s="10">
        <f t="shared" si="6"/>
        <v>620000000</v>
      </c>
      <c r="AI36" s="10">
        <f t="shared" si="23"/>
        <v>323573350.54720306</v>
      </c>
      <c r="AK36" s="10">
        <f t="shared" si="7"/>
        <v>3325200000</v>
      </c>
      <c r="AL36" s="10">
        <f t="shared" si="24"/>
        <v>1735396943.9347734</v>
      </c>
      <c r="AN36" s="10">
        <f t="shared" si="8"/>
        <v>1524050000</v>
      </c>
      <c r="AO36" s="10">
        <f t="shared" si="25"/>
        <v>795390265.97010446</v>
      </c>
      <c r="AQ36" s="10">
        <f t="shared" si="9"/>
        <v>656310000</v>
      </c>
      <c r="AR36" s="10">
        <f t="shared" si="26"/>
        <v>342523267.25424969</v>
      </c>
      <c r="AT36" s="330">
        <f>IF($K36&lt;=$F$15,IF($F$40&lt;&gt;"",$F$40/1000,IF(ISERROR(VLOOKUP($F$3&amp;IF($G$4&lt;&gt;"",$G$4,"")&amp;IF($F$43&lt;&gt;"","_"&amp;$F$43,""),'表3）燃料価格'!$AF$9:$AG$25,2,0)),0,VLOOKUP($I36,'表3）燃料価格'!A27:AC77,VLOOKUP($F$3,'表3）燃料価格'!$AF$9:$AG$25,2,0)+VLOOKUP($F$41,'表3）燃料価格'!$AF$28:$AG$29,2,0),0)*IF($F$43="需要地価格",1,$F$8/$F$141))),"")</f>
        <v>62.389138178106002</v>
      </c>
      <c r="AU36" s="73"/>
      <c r="AV36" s="188">
        <f t="shared" si="10"/>
        <v>36756834454.524529</v>
      </c>
      <c r="AW36" s="188">
        <f t="shared" si="27"/>
        <v>19183116257.998993</v>
      </c>
      <c r="AX36" s="73"/>
      <c r="AY36" s="40">
        <f>IF(ISERROR(IF($K36&lt;=$F$15,VLOOKUP($I36,'表4）CO2価格'!$A$7:$E$67,VLOOKUP($F$48,'表4）CO2価格'!$H$10:$I$12,2,0),0)*$F$8/1000,"")),0,IF($K36&lt;=$F$15,VLOOKUP($I36,'表4）CO2価格'!$A$7:$E$67,VLOOKUP($F$48,'表4）CO2価格'!$H$10:$I$12,2,0),0)*$F$8/1000,""))</f>
        <v>7.0184806169104448</v>
      </c>
      <c r="BA36" s="11">
        <f t="shared" si="11"/>
        <v>10575044968.025835</v>
      </c>
      <c r="BB36" s="10">
        <f t="shared" si="28"/>
        <v>5519036665.3088045</v>
      </c>
      <c r="BD36" s="10">
        <f t="shared" si="12"/>
        <v>0</v>
      </c>
      <c r="BE36" s="10">
        <f t="shared" si="29"/>
        <v>0</v>
      </c>
      <c r="BG36" s="11">
        <f t="shared" si="13"/>
        <v>0</v>
      </c>
      <c r="BH36" s="10">
        <f t="shared" si="30"/>
        <v>0</v>
      </c>
      <c r="BJ36" s="7" t="str">
        <f t="shared" si="31"/>
        <v/>
      </c>
      <c r="BK36" s="158" t="str">
        <f t="shared" si="32"/>
        <v/>
      </c>
      <c r="BL36" s="158" t="str">
        <f t="shared" si="14"/>
        <v/>
      </c>
      <c r="BM36" s="10"/>
      <c r="BN36" s="10" t="str">
        <f t="shared" si="33"/>
        <v/>
      </c>
      <c r="BO36" s="10" t="str">
        <f t="shared" si="34"/>
        <v/>
      </c>
      <c r="BQ36" s="10">
        <f t="shared" si="15"/>
        <v>5092319400</v>
      </c>
      <c r="BR36" s="10">
        <f t="shared" si="35"/>
        <v>2657643306.9589076</v>
      </c>
    </row>
    <row r="37" spans="3:70" x14ac:dyDescent="0.15">
      <c r="H37" s="370"/>
      <c r="I37" s="38">
        <f t="shared" si="36"/>
        <v>2052</v>
      </c>
      <c r="J37" s="39"/>
      <c r="K37" s="39">
        <f t="shared" si="37"/>
        <v>23</v>
      </c>
      <c r="L37" s="39"/>
      <c r="M37" s="40">
        <f t="shared" si="0"/>
        <v>0.50669174842969467</v>
      </c>
      <c r="N37" s="39"/>
      <c r="O37" s="72">
        <f t="shared" si="16"/>
        <v>0</v>
      </c>
      <c r="P37" s="41" t="str">
        <f t="shared" si="1"/>
        <v>-</v>
      </c>
      <c r="Q37" s="39"/>
      <c r="R37" s="72">
        <f t="shared" si="17"/>
        <v>6927500000</v>
      </c>
      <c r="S37" s="39"/>
      <c r="T37" s="72">
        <f t="shared" si="18"/>
        <v>6927500000</v>
      </c>
      <c r="U37" s="39"/>
      <c r="V37" s="72">
        <f t="shared" si="2"/>
        <v>0</v>
      </c>
      <c r="W37" s="72">
        <f t="shared" si="19"/>
        <v>0</v>
      </c>
      <c r="X37" s="39"/>
      <c r="Y37" s="72">
        <f t="shared" si="3"/>
        <v>96985000</v>
      </c>
      <c r="Z37" s="72">
        <f t="shared" si="20"/>
        <v>49141499.221453935</v>
      </c>
      <c r="AA37" s="39"/>
      <c r="AB37" s="72">
        <f t="shared" si="4"/>
        <v>0</v>
      </c>
      <c r="AC37" s="72">
        <f t="shared" si="21"/>
        <v>0</v>
      </c>
      <c r="AD37" s="39"/>
      <c r="AE37" s="72">
        <f t="shared" si="5"/>
        <v>0</v>
      </c>
      <c r="AF37" s="72">
        <f t="shared" si="22"/>
        <v>0</v>
      </c>
      <c r="AG37" s="39"/>
      <c r="AH37" s="72">
        <f t="shared" si="6"/>
        <v>620000000</v>
      </c>
      <c r="AI37" s="72">
        <f t="shared" si="23"/>
        <v>314148884.0264107</v>
      </c>
      <c r="AJ37" s="39"/>
      <c r="AK37" s="72">
        <f t="shared" si="7"/>
        <v>3325200000</v>
      </c>
      <c r="AL37" s="72">
        <f t="shared" si="24"/>
        <v>1684851401.8784206</v>
      </c>
      <c r="AM37" s="39"/>
      <c r="AN37" s="72">
        <f t="shared" si="8"/>
        <v>1524050000</v>
      </c>
      <c r="AO37" s="72">
        <f t="shared" si="25"/>
        <v>772223559.19427621</v>
      </c>
      <c r="AP37" s="39"/>
      <c r="AQ37" s="72">
        <f t="shared" si="9"/>
        <v>656310000</v>
      </c>
      <c r="AR37" s="72">
        <f t="shared" si="26"/>
        <v>332546861.41189289</v>
      </c>
      <c r="AS37" s="39"/>
      <c r="AT37" s="40">
        <f>IF($K37&lt;=$F$15,IF($F$40&lt;&gt;"",$F$40/1000,IF(ISERROR(VLOOKUP($F$3&amp;IF($G$4&lt;&gt;"",$G$4,"")&amp;IF($F$43&lt;&gt;"","_"&amp;$F$43,""),'表3）燃料価格'!$AF$9:$AG$25,2,0)),0,VLOOKUP($I37,'表3）燃料価格'!A28:AC78,VLOOKUP($F$3,'表3）燃料価格'!$AF$9:$AG$25,2,0)+VLOOKUP($F$41,'表3）燃料価格'!$AF$28:$AG$29,2,0),0)*IF($F$43="需要地価格",1,$F$8/$F$141))),"")</f>
        <v>62.286413369844887</v>
      </c>
      <c r="AU37" s="39"/>
      <c r="AV37" s="72">
        <f t="shared" si="10"/>
        <v>36698810875.546242</v>
      </c>
      <c r="AW37" s="72">
        <f t="shared" si="27"/>
        <v>18594984647.82122</v>
      </c>
      <c r="AX37" s="39"/>
      <c r="AY37" s="40">
        <f>IF(ISERROR(IF($K37&lt;=$F$15,VLOOKUP($I37,'表4）CO2価格'!$A$7:$E$67,VLOOKUP($F$48,'表4）CO2価格'!$H$10:$I$12,2,0),0)*$F$8/1000,"")),0,IF($K37&lt;=$F$15,VLOOKUP($I37,'表4）CO2価格'!$A$7:$E$67,VLOOKUP($F$48,'表4）CO2価格'!$H$10:$I$12,2,0),0)*$F$8/1000,""))</f>
        <v>7.1500080975609199</v>
      </c>
      <c r="AZ37" s="39"/>
      <c r="BA37" s="42">
        <f t="shared" si="11"/>
        <v>10773223049.341417</v>
      </c>
      <c r="BB37" s="72">
        <f t="shared" si="28"/>
        <v>5458703223.0938892</v>
      </c>
      <c r="BC37" s="39"/>
      <c r="BD37" s="72">
        <f t="shared" si="12"/>
        <v>0</v>
      </c>
      <c r="BE37" s="72">
        <f t="shared" si="29"/>
        <v>0</v>
      </c>
      <c r="BF37" s="39"/>
      <c r="BG37" s="42">
        <f t="shared" si="13"/>
        <v>0</v>
      </c>
      <c r="BH37" s="72">
        <f t="shared" si="30"/>
        <v>0</v>
      </c>
      <c r="BI37" s="39"/>
      <c r="BJ37" s="40" t="str">
        <f t="shared" si="31"/>
        <v/>
      </c>
      <c r="BK37" s="157" t="str">
        <f t="shared" si="32"/>
        <v/>
      </c>
      <c r="BL37" s="157" t="str">
        <f t="shared" si="14"/>
        <v/>
      </c>
      <c r="BM37" s="72"/>
      <c r="BN37" s="72" t="str">
        <f t="shared" si="33"/>
        <v/>
      </c>
      <c r="BO37" s="72" t="str">
        <f t="shared" si="34"/>
        <v/>
      </c>
      <c r="BP37" s="39"/>
      <c r="BQ37" s="72">
        <f t="shared" si="15"/>
        <v>5092319400</v>
      </c>
      <c r="BR37" s="72">
        <f t="shared" si="35"/>
        <v>2580236220.3484535</v>
      </c>
    </row>
    <row r="38" spans="3:70" x14ac:dyDescent="0.15">
      <c r="C38" s="4" t="s">
        <v>570</v>
      </c>
      <c r="D38" s="100"/>
      <c r="E38" s="100"/>
      <c r="F38" s="4"/>
      <c r="G38" s="100"/>
      <c r="H38" s="370"/>
      <c r="I38" s="322">
        <f t="shared" si="36"/>
        <v>2053</v>
      </c>
      <c r="K38" s="71">
        <f t="shared" si="37"/>
        <v>24</v>
      </c>
      <c r="M38" s="7">
        <f t="shared" si="0"/>
        <v>0.49193373633950943</v>
      </c>
      <c r="O38" s="10">
        <f t="shared" si="16"/>
        <v>0</v>
      </c>
      <c r="P38" s="29" t="str">
        <f t="shared" si="1"/>
        <v>-</v>
      </c>
      <c r="R38" s="10">
        <f t="shared" si="17"/>
        <v>6927500000</v>
      </c>
      <c r="T38" s="10">
        <f t="shared" si="18"/>
        <v>6927500000</v>
      </c>
      <c r="V38" s="10">
        <f t="shared" si="2"/>
        <v>0</v>
      </c>
      <c r="W38" s="10">
        <f t="shared" si="19"/>
        <v>0</v>
      </c>
      <c r="Y38" s="10">
        <f t="shared" si="3"/>
        <v>96985000</v>
      </c>
      <c r="Z38" s="10">
        <f t="shared" si="20"/>
        <v>47710193.418887325</v>
      </c>
      <c r="AB38" s="10">
        <f t="shared" si="4"/>
        <v>0</v>
      </c>
      <c r="AC38" s="10">
        <f t="shared" si="21"/>
        <v>0</v>
      </c>
      <c r="AE38" s="10">
        <f t="shared" si="5"/>
        <v>0</v>
      </c>
      <c r="AF38" s="10">
        <f t="shared" si="22"/>
        <v>0</v>
      </c>
      <c r="AH38" s="10">
        <f t="shared" si="6"/>
        <v>620000000</v>
      </c>
      <c r="AI38" s="10">
        <f t="shared" si="23"/>
        <v>304998916.53049582</v>
      </c>
      <c r="AK38" s="10">
        <f t="shared" si="7"/>
        <v>3325200000</v>
      </c>
      <c r="AL38" s="10">
        <f t="shared" si="24"/>
        <v>1635778060.0761368</v>
      </c>
      <c r="AN38" s="10">
        <f t="shared" si="8"/>
        <v>1524050000</v>
      </c>
      <c r="AO38" s="10">
        <f t="shared" si="25"/>
        <v>749731610.86822939</v>
      </c>
      <c r="AQ38" s="10">
        <f t="shared" si="9"/>
        <v>656310000</v>
      </c>
      <c r="AR38" s="10">
        <f t="shared" si="26"/>
        <v>322861030.49698341</v>
      </c>
      <c r="AT38" s="330">
        <f>IF($K38&lt;=$F$15,IF($F$40&lt;&gt;"",$F$40/1000,IF(ISERROR(VLOOKUP($F$3&amp;IF($G$4&lt;&gt;"",$G$4,"")&amp;IF($F$43&lt;&gt;"","_"&amp;$F$43,""),'表3）燃料価格'!$AF$9:$AG$25,2,0)),0,VLOOKUP($I38,'表3）燃料価格'!A29:AC79,VLOOKUP($F$3,'表3）燃料価格'!$AF$9:$AG$25,2,0)+VLOOKUP($F$41,'表3）燃料価格'!$AF$28:$AG$29,2,0),0)*IF($F$43="需要地価格",1,$F$8/$F$141))),"")</f>
        <v>62.186357042481383</v>
      </c>
      <c r="AU38" s="73"/>
      <c r="AV38" s="188">
        <f t="shared" si="10"/>
        <v>36642294574.261986</v>
      </c>
      <c r="AW38" s="188">
        <f t="shared" si="27"/>
        <v>18025580877.969631</v>
      </c>
      <c r="AX38" s="73"/>
      <c r="AY38" s="40">
        <f>IF(ISERROR(IF($K38&lt;=$F$15,VLOOKUP($I38,'表4）CO2価格'!$A$7:$E$67,VLOOKUP($F$48,'表4）CO2価格'!$H$10:$I$12,2,0),0)*$F$8/1000,"")),0,IF($K38&lt;=$F$15,VLOOKUP($I38,'表4）CO2価格'!$A$7:$E$67,VLOOKUP($F$48,'表4）CO2価格'!$H$10:$I$12,2,0),0)*$F$8/1000,""))</f>
        <v>7.2814714966103056</v>
      </c>
      <c r="BA38" s="11">
        <f t="shared" si="11"/>
        <v>10971304576.167484</v>
      </c>
      <c r="BB38" s="10">
        <f t="shared" si="28"/>
        <v>5397154852.6728287</v>
      </c>
      <c r="BD38" s="10">
        <f t="shared" si="12"/>
        <v>0</v>
      </c>
      <c r="BE38" s="10">
        <f t="shared" si="29"/>
        <v>0</v>
      </c>
      <c r="BG38" s="11">
        <f t="shared" si="13"/>
        <v>0</v>
      </c>
      <c r="BH38" s="10">
        <f t="shared" si="30"/>
        <v>0</v>
      </c>
      <c r="BJ38" s="7" t="str">
        <f t="shared" si="31"/>
        <v/>
      </c>
      <c r="BK38" s="158" t="str">
        <f t="shared" si="32"/>
        <v/>
      </c>
      <c r="BL38" s="158" t="str">
        <f t="shared" si="14"/>
        <v/>
      </c>
      <c r="BM38" s="10"/>
      <c r="BN38" s="10" t="str">
        <f t="shared" si="33"/>
        <v/>
      </c>
      <c r="BO38" s="10" t="str">
        <f t="shared" si="34"/>
        <v/>
      </c>
      <c r="BQ38" s="10">
        <f t="shared" si="15"/>
        <v>5092319400</v>
      </c>
      <c r="BR38" s="10">
        <f t="shared" si="35"/>
        <v>2505083709.076169</v>
      </c>
    </row>
    <row r="39" spans="3:70" x14ac:dyDescent="0.15">
      <c r="H39" s="370"/>
      <c r="I39" s="38">
        <f t="shared" si="36"/>
        <v>2054</v>
      </c>
      <c r="J39" s="39"/>
      <c r="K39" s="39">
        <f t="shared" si="37"/>
        <v>25</v>
      </c>
      <c r="L39" s="39"/>
      <c r="M39" s="40">
        <f t="shared" si="0"/>
        <v>0.47760556926165965</v>
      </c>
      <c r="N39" s="39"/>
      <c r="O39" s="72">
        <f t="shared" si="16"/>
        <v>0</v>
      </c>
      <c r="P39" s="41" t="str">
        <f t="shared" si="1"/>
        <v>-</v>
      </c>
      <c r="Q39" s="39"/>
      <c r="R39" s="72">
        <f t="shared" si="17"/>
        <v>6927500000</v>
      </c>
      <c r="S39" s="39"/>
      <c r="T39" s="72">
        <f t="shared" si="18"/>
        <v>6927500000</v>
      </c>
      <c r="U39" s="39"/>
      <c r="V39" s="72">
        <f t="shared" si="2"/>
        <v>0</v>
      </c>
      <c r="W39" s="72">
        <f t="shared" si="19"/>
        <v>0</v>
      </c>
      <c r="X39" s="39"/>
      <c r="Y39" s="72">
        <f t="shared" si="3"/>
        <v>96985000</v>
      </c>
      <c r="Z39" s="72">
        <f t="shared" si="20"/>
        <v>46320576.134842061</v>
      </c>
      <c r="AA39" s="39"/>
      <c r="AB39" s="72">
        <f t="shared" si="4"/>
        <v>0</v>
      </c>
      <c r="AC39" s="72">
        <f t="shared" si="21"/>
        <v>0</v>
      </c>
      <c r="AD39" s="39"/>
      <c r="AE39" s="72">
        <f t="shared" si="5"/>
        <v>0</v>
      </c>
      <c r="AF39" s="72">
        <f t="shared" si="22"/>
        <v>0</v>
      </c>
      <c r="AG39" s="39"/>
      <c r="AH39" s="72">
        <f t="shared" si="6"/>
        <v>620000000</v>
      </c>
      <c r="AI39" s="72">
        <f t="shared" si="23"/>
        <v>296115452.94222897</v>
      </c>
      <c r="AJ39" s="39"/>
      <c r="AK39" s="72">
        <f t="shared" si="7"/>
        <v>3325200000</v>
      </c>
      <c r="AL39" s="72">
        <f t="shared" si="24"/>
        <v>1588134038.9088707</v>
      </c>
      <c r="AM39" s="39"/>
      <c r="AN39" s="72">
        <f t="shared" si="8"/>
        <v>1524050000</v>
      </c>
      <c r="AO39" s="72">
        <f t="shared" si="25"/>
        <v>727894767.8332324</v>
      </c>
      <c r="AP39" s="39"/>
      <c r="AQ39" s="72">
        <f t="shared" si="9"/>
        <v>656310000</v>
      </c>
      <c r="AR39" s="72">
        <f t="shared" si="26"/>
        <v>313457311.16211987</v>
      </c>
      <c r="AS39" s="39"/>
      <c r="AT39" s="40">
        <f>IF($K39&lt;=$F$15,IF($F$40&lt;&gt;"",$F$40/1000,IF(ISERROR(VLOOKUP($F$3&amp;IF($G$4&lt;&gt;"",$G$4,"")&amp;IF($F$43&lt;&gt;"","_"&amp;$F$43,""),'表3）燃料価格'!$AF$9:$AG$25,2,0)),0,VLOOKUP($I39,'表3）燃料価格'!A30:AC80,VLOOKUP($F$3,'表3）燃料価格'!$AF$9:$AG$25,2,0)+VLOOKUP($F$41,'表3）燃料価格'!$AF$28:$AG$29,2,0),0)*IF($F$43="需要地価格",1,$F$8/$F$141))),"")</f>
        <v>62.08883406083342</v>
      </c>
      <c r="AU39" s="39"/>
      <c r="AV39" s="72">
        <f t="shared" si="10"/>
        <v>36587209220.26001</v>
      </c>
      <c r="AW39" s="72">
        <f t="shared" si="27"/>
        <v>17474254887.337723</v>
      </c>
      <c r="AX39" s="39"/>
      <c r="AY39" s="40">
        <f>IF(ISERROR(IF($K39&lt;=$F$15,VLOOKUP($I39,'表4）CO2価格'!$A$7:$E$67,VLOOKUP($F$48,'表4）CO2価格'!$H$10:$I$12,2,0),0)*$F$8/1000,"")),0,IF($K39&lt;=$F$15,VLOOKUP($I39,'表4）CO2価格'!$A$7:$E$67,VLOOKUP($F$48,'表4）CO2価格'!$H$10:$I$12,2,0),0)*$F$8/1000,""))</f>
        <v>7.4128708764708131</v>
      </c>
      <c r="AZ39" s="39"/>
      <c r="BA39" s="42">
        <f t="shared" si="11"/>
        <v>11169289642.543184</v>
      </c>
      <c r="BB39" s="72">
        <f t="shared" si="28"/>
        <v>5334514937.9751968</v>
      </c>
      <c r="BC39" s="39"/>
      <c r="BD39" s="72">
        <f t="shared" si="12"/>
        <v>0</v>
      </c>
      <c r="BE39" s="72">
        <f t="shared" si="29"/>
        <v>0</v>
      </c>
      <c r="BF39" s="39"/>
      <c r="BG39" s="42">
        <f t="shared" si="13"/>
        <v>0</v>
      </c>
      <c r="BH39" s="72">
        <f t="shared" si="30"/>
        <v>0</v>
      </c>
      <c r="BI39" s="39"/>
      <c r="BJ39" s="40" t="str">
        <f t="shared" si="31"/>
        <v/>
      </c>
      <c r="BK39" s="157" t="str">
        <f t="shared" si="32"/>
        <v/>
      </c>
      <c r="BL39" s="157" t="str">
        <f t="shared" si="14"/>
        <v/>
      </c>
      <c r="BM39" s="72"/>
      <c r="BN39" s="72" t="str">
        <f t="shared" si="33"/>
        <v/>
      </c>
      <c r="BO39" s="72" t="str">
        <f t="shared" si="34"/>
        <v/>
      </c>
      <c r="BP39" s="39"/>
      <c r="BQ39" s="72">
        <f t="shared" si="15"/>
        <v>5092319400</v>
      </c>
      <c r="BR39" s="72">
        <f t="shared" si="35"/>
        <v>2432120105.8991933</v>
      </c>
    </row>
    <row r="40" spans="3:70" x14ac:dyDescent="0.15">
      <c r="D40" s="84" t="s">
        <v>124</v>
      </c>
      <c r="F40" s="482"/>
      <c r="G40" s="160" t="s">
        <v>571</v>
      </c>
      <c r="H40" s="370"/>
      <c r="I40" s="322">
        <f t="shared" si="36"/>
        <v>2055</v>
      </c>
      <c r="K40" s="71">
        <f t="shared" si="37"/>
        <v>26</v>
      </c>
      <c r="M40" s="7">
        <f t="shared" si="0"/>
        <v>0.46369472743850448</v>
      </c>
      <c r="O40" s="10">
        <f t="shared" si="16"/>
        <v>0</v>
      </c>
      <c r="P40" s="29" t="str">
        <f t="shared" si="1"/>
        <v>-</v>
      </c>
      <c r="R40" s="10">
        <f t="shared" si="17"/>
        <v>6927500000</v>
      </c>
      <c r="T40" s="10">
        <f t="shared" si="18"/>
        <v>6927500000</v>
      </c>
      <c r="V40" s="10">
        <f t="shared" si="2"/>
        <v>0</v>
      </c>
      <c r="W40" s="10">
        <f t="shared" si="19"/>
        <v>0</v>
      </c>
      <c r="Y40" s="10">
        <f t="shared" si="3"/>
        <v>96985000</v>
      </c>
      <c r="Z40" s="10">
        <f t="shared" si="20"/>
        <v>44971433.140623361</v>
      </c>
      <c r="AB40" s="10">
        <f t="shared" si="4"/>
        <v>0</v>
      </c>
      <c r="AC40" s="10">
        <f t="shared" si="21"/>
        <v>0</v>
      </c>
      <c r="AE40" s="10">
        <f t="shared" si="5"/>
        <v>0</v>
      </c>
      <c r="AF40" s="10">
        <f t="shared" si="22"/>
        <v>0</v>
      </c>
      <c r="AH40" s="10">
        <f t="shared" si="6"/>
        <v>620000000</v>
      </c>
      <c r="AI40" s="10">
        <f t="shared" si="23"/>
        <v>287490731.01187277</v>
      </c>
      <c r="AK40" s="10">
        <f t="shared" si="7"/>
        <v>3325200000</v>
      </c>
      <c r="AL40" s="10">
        <f t="shared" si="24"/>
        <v>1541877707.6785152</v>
      </c>
      <c r="AN40" s="10">
        <f t="shared" si="8"/>
        <v>1524050000</v>
      </c>
      <c r="AO40" s="10">
        <f t="shared" si="25"/>
        <v>706693949.35265279</v>
      </c>
      <c r="AQ40" s="10">
        <f t="shared" si="9"/>
        <v>656310000</v>
      </c>
      <c r="AR40" s="10">
        <f t="shared" si="26"/>
        <v>304327486.56516486</v>
      </c>
      <c r="AT40" s="330">
        <f>IF($K40&lt;=$F$15,IF($F$40&lt;&gt;"",$F$40/1000,IF(ISERROR(VLOOKUP($F$3&amp;IF($G$4&lt;&gt;"",$G$4,"")&amp;IF($F$43&lt;&gt;"","_"&amp;$F$43,""),'表3）燃料価格'!$AF$9:$AG$25,2,0)),0,VLOOKUP($I40,'表3）燃料価格'!A31:AC81,VLOOKUP($F$3,'表3）燃料価格'!$AF$9:$AG$25,2,0)+VLOOKUP($F$41,'表3）燃料価格'!$AF$28:$AG$29,2,0),0)*IF($F$43="需要地価格",1,$F$8/$F$141))),"")</f>
        <v>61.993719301846909</v>
      </c>
      <c r="AU40" s="73"/>
      <c r="AV40" s="188">
        <f t="shared" si="10"/>
        <v>36533484138.427536</v>
      </c>
      <c r="AW40" s="188">
        <f t="shared" si="27"/>
        <v>16940383969.947083</v>
      </c>
      <c r="AX40" s="73"/>
      <c r="AY40" s="40">
        <f>IF(ISERROR(IF($K40&lt;=$F$15,VLOOKUP($I40,'表4）CO2価格'!$A$7:$E$67,VLOOKUP($F$48,'表4）CO2価格'!$H$10:$I$12,2,0),0)*$F$8/1000,"")),0,IF($K40&lt;=$F$15,VLOOKUP($I40,'表4）CO2価格'!$A$7:$E$67,VLOOKUP($F$48,'表4）CO2価格'!$H$10:$I$12,2,0),0)*$F$8/1000,""))</f>
        <v>7.5442062994635668</v>
      </c>
      <c r="BA40" s="11">
        <f t="shared" si="11"/>
        <v>11367178342.37042</v>
      </c>
      <c r="BB40" s="10">
        <f t="shared" si="28"/>
        <v>5270900663.2103233</v>
      </c>
      <c r="BD40" s="10">
        <f t="shared" si="12"/>
        <v>0</v>
      </c>
      <c r="BE40" s="10">
        <f t="shared" si="29"/>
        <v>0</v>
      </c>
      <c r="BG40" s="11">
        <f t="shared" si="13"/>
        <v>0</v>
      </c>
      <c r="BH40" s="10">
        <f t="shared" si="30"/>
        <v>0</v>
      </c>
      <c r="BJ40" s="7" t="str">
        <f t="shared" si="31"/>
        <v/>
      </c>
      <c r="BK40" s="158" t="str">
        <f t="shared" si="32"/>
        <v/>
      </c>
      <c r="BL40" s="158" t="str">
        <f t="shared" si="14"/>
        <v/>
      </c>
      <c r="BM40" s="10"/>
      <c r="BN40" s="10" t="str">
        <f t="shared" si="33"/>
        <v/>
      </c>
      <c r="BO40" s="10" t="str">
        <f t="shared" si="34"/>
        <v/>
      </c>
      <c r="BQ40" s="10">
        <f t="shared" si="15"/>
        <v>5092319400</v>
      </c>
      <c r="BR40" s="10">
        <f t="shared" si="35"/>
        <v>2361281656.2128086</v>
      </c>
    </row>
    <row r="41" spans="3:70" x14ac:dyDescent="0.15">
      <c r="D41" s="84" t="s">
        <v>572</v>
      </c>
      <c r="F41" s="474" t="str">
        <f>まとめ!B4</f>
        <v>WEO2020　STEPS</v>
      </c>
      <c r="H41" s="370"/>
      <c r="I41" s="38">
        <f t="shared" si="36"/>
        <v>2056</v>
      </c>
      <c r="J41" s="39"/>
      <c r="K41" s="39">
        <f t="shared" si="37"/>
        <v>27</v>
      </c>
      <c r="L41" s="39"/>
      <c r="M41" s="40">
        <f t="shared" si="0"/>
        <v>0.45018905576553836</v>
      </c>
      <c r="N41" s="39"/>
      <c r="O41" s="72">
        <f t="shared" si="16"/>
        <v>0</v>
      </c>
      <c r="P41" s="41" t="str">
        <f t="shared" si="1"/>
        <v>-</v>
      </c>
      <c r="Q41" s="39"/>
      <c r="R41" s="72">
        <f t="shared" si="17"/>
        <v>6927500000</v>
      </c>
      <c r="S41" s="39"/>
      <c r="T41" s="72">
        <f t="shared" si="18"/>
        <v>6927500000</v>
      </c>
      <c r="U41" s="39"/>
      <c r="V41" s="72">
        <f t="shared" si="2"/>
        <v>0</v>
      </c>
      <c r="W41" s="72">
        <f t="shared" si="19"/>
        <v>0</v>
      </c>
      <c r="X41" s="39"/>
      <c r="Y41" s="72">
        <f t="shared" si="3"/>
        <v>96985000</v>
      </c>
      <c r="Z41" s="72">
        <f t="shared" si="20"/>
        <v>43661585.573420741</v>
      </c>
      <c r="AA41" s="39"/>
      <c r="AB41" s="72">
        <f t="shared" si="4"/>
        <v>0</v>
      </c>
      <c r="AC41" s="72">
        <f t="shared" si="21"/>
        <v>0</v>
      </c>
      <c r="AD41" s="39"/>
      <c r="AE41" s="72">
        <f t="shared" si="5"/>
        <v>0</v>
      </c>
      <c r="AF41" s="72">
        <f t="shared" si="22"/>
        <v>0</v>
      </c>
      <c r="AG41" s="39"/>
      <c r="AH41" s="72">
        <f t="shared" si="6"/>
        <v>620000000</v>
      </c>
      <c r="AI41" s="72">
        <f t="shared" si="23"/>
        <v>279117214.57463378</v>
      </c>
      <c r="AJ41" s="39"/>
      <c r="AK41" s="72">
        <f t="shared" si="7"/>
        <v>3325200000</v>
      </c>
      <c r="AL41" s="72">
        <f t="shared" si="24"/>
        <v>1496968648.2315681</v>
      </c>
      <c r="AM41" s="39"/>
      <c r="AN41" s="72">
        <f t="shared" si="8"/>
        <v>1524050000</v>
      </c>
      <c r="AO41" s="72">
        <f t="shared" si="25"/>
        <v>686110630.43946874</v>
      </c>
      <c r="AP41" s="39"/>
      <c r="AQ41" s="72">
        <f t="shared" si="9"/>
        <v>656310000</v>
      </c>
      <c r="AR41" s="72">
        <f t="shared" si="26"/>
        <v>295463579.18948048</v>
      </c>
      <c r="AS41" s="39"/>
      <c r="AT41" s="40">
        <f>IF($K41&lt;=$F$15,IF($F$40&lt;&gt;"",$F$40/1000,IF(ISERROR(VLOOKUP($F$3&amp;IF($G$4&lt;&gt;"",$G$4,"")&amp;IF($F$43&lt;&gt;"","_"&amp;$F$43,""),'表3）燃料価格'!$AF$9:$AG$25,2,0)),0,VLOOKUP($I41,'表3）燃料価格'!A32:AC82,VLOOKUP($F$3,'表3）燃料価格'!$AF$9:$AG$25,2,0)+VLOOKUP($F$41,'表3）燃料価格'!$AF$28:$AG$29,2,0),0)*IF($F$43="需要地価格",1,$F$8/$F$141))),"")</f>
        <v>61.900896689325975</v>
      </c>
      <c r="AU41" s="39"/>
      <c r="AV41" s="72">
        <f t="shared" si="10"/>
        <v>36481053763.72303</v>
      </c>
      <c r="AW41" s="72">
        <f t="shared" si="27"/>
        <v>16423371147.222311</v>
      </c>
      <c r="AX41" s="39"/>
      <c r="AY41" s="40">
        <f>IF(ISERROR(IF($K41&lt;=$F$15,VLOOKUP($I41,'表4）CO2価格'!$A$7:$E$67,VLOOKUP($F$48,'表4）CO2価格'!$H$10:$I$12,2,0),0)*$F$8/1000,"")),0,IF($K41&lt;=$F$15,VLOOKUP($I41,'表4）CO2価格'!$A$7:$E$67,VLOOKUP($F$48,'表4）CO2価格'!$H$10:$I$12,2,0),0)*$F$8/1000,""))</f>
        <v>7.675477827818213</v>
      </c>
      <c r="AZ41" s="39"/>
      <c r="BA41" s="42">
        <f t="shared" si="11"/>
        <v>11564970769.413263</v>
      </c>
      <c r="BB41" s="72">
        <f t="shared" si="28"/>
        <v>5206423270.6382084</v>
      </c>
      <c r="BC41" s="39"/>
      <c r="BD41" s="72">
        <f t="shared" si="12"/>
        <v>0</v>
      </c>
      <c r="BE41" s="72">
        <f t="shared" si="29"/>
        <v>0</v>
      </c>
      <c r="BF41" s="39"/>
      <c r="BG41" s="42">
        <f t="shared" si="13"/>
        <v>0</v>
      </c>
      <c r="BH41" s="72">
        <f t="shared" si="30"/>
        <v>0</v>
      </c>
      <c r="BI41" s="39"/>
      <c r="BJ41" s="40" t="str">
        <f t="shared" si="31"/>
        <v/>
      </c>
      <c r="BK41" s="157" t="str">
        <f t="shared" si="32"/>
        <v/>
      </c>
      <c r="BL41" s="157" t="str">
        <f t="shared" si="14"/>
        <v/>
      </c>
      <c r="BM41" s="72"/>
      <c r="BN41" s="72" t="str">
        <f t="shared" si="33"/>
        <v/>
      </c>
      <c r="BO41" s="72" t="str">
        <f t="shared" si="34"/>
        <v/>
      </c>
      <c r="BP41" s="39"/>
      <c r="BQ41" s="72">
        <f t="shared" si="15"/>
        <v>5092319400</v>
      </c>
      <c r="BR41" s="72">
        <f t="shared" si="35"/>
        <v>2292506462.3425326</v>
      </c>
    </row>
    <row r="42" spans="3:70" x14ac:dyDescent="0.15">
      <c r="D42" s="84" t="s">
        <v>573</v>
      </c>
      <c r="F42" s="481">
        <f>('LNG火力（2030年）'!F42*(1-'表3）燃料価格'!AG54)/'表3）燃料価格'!AG55+'水素専焼火力（2030年）'!F42*'表3）燃料価格'!AG54/'表3）燃料価格'!AG56)*'表3）燃料価格'!AG57</f>
        <v>2685.0754108201395</v>
      </c>
      <c r="G42" s="84" t="s">
        <v>574</v>
      </c>
      <c r="H42" s="504"/>
      <c r="I42" s="322">
        <f t="shared" si="36"/>
        <v>2057</v>
      </c>
      <c r="K42" s="71">
        <f t="shared" si="37"/>
        <v>28</v>
      </c>
      <c r="M42" s="7">
        <f t="shared" si="0"/>
        <v>0.4370767531704256</v>
      </c>
      <c r="O42" s="10">
        <f t="shared" si="16"/>
        <v>0</v>
      </c>
      <c r="P42" s="29" t="str">
        <f t="shared" si="1"/>
        <v>-</v>
      </c>
      <c r="R42" s="10">
        <f t="shared" si="17"/>
        <v>6927500000</v>
      </c>
      <c r="T42" s="10">
        <f t="shared" si="18"/>
        <v>6927500000</v>
      </c>
      <c r="V42" s="10">
        <f t="shared" si="2"/>
        <v>0</v>
      </c>
      <c r="W42" s="10">
        <f t="shared" si="19"/>
        <v>0</v>
      </c>
      <c r="Y42" s="10">
        <f t="shared" si="3"/>
        <v>96985000</v>
      </c>
      <c r="Z42" s="10">
        <f t="shared" si="20"/>
        <v>42389888.906233728</v>
      </c>
      <c r="AB42" s="10">
        <f t="shared" si="4"/>
        <v>0</v>
      </c>
      <c r="AC42" s="10">
        <f t="shared" si="21"/>
        <v>0</v>
      </c>
      <c r="AE42" s="10">
        <f t="shared" si="5"/>
        <v>0</v>
      </c>
      <c r="AF42" s="10">
        <f t="shared" si="22"/>
        <v>0</v>
      </c>
      <c r="AH42" s="10">
        <f t="shared" si="6"/>
        <v>620000000</v>
      </c>
      <c r="AI42" s="10">
        <f t="shared" si="23"/>
        <v>270987586.96566385</v>
      </c>
      <c r="AK42" s="10">
        <f t="shared" si="7"/>
        <v>3325200000</v>
      </c>
      <c r="AL42" s="10">
        <f t="shared" si="24"/>
        <v>1453367619.6422992</v>
      </c>
      <c r="AN42" s="10">
        <f t="shared" si="8"/>
        <v>1524050000</v>
      </c>
      <c r="AO42" s="10">
        <f t="shared" si="25"/>
        <v>666126825.6693871</v>
      </c>
      <c r="AQ42" s="10">
        <f t="shared" si="9"/>
        <v>656310000</v>
      </c>
      <c r="AR42" s="10">
        <f t="shared" si="26"/>
        <v>286857843.87328202</v>
      </c>
      <c r="AT42" s="330">
        <f>IF($K42&lt;=$F$15,IF($F$40&lt;&gt;"",$F$40/1000,IF(ISERROR(VLOOKUP($F$3&amp;IF($G$4&lt;&gt;"",$G$4,"")&amp;IF($F$43&lt;&gt;"","_"&amp;$F$43,""),'表3）燃料価格'!$AF$9:$AG$25,2,0)),0,VLOOKUP($I42,'表3）燃料価格'!A33:AC83,VLOOKUP($F$3,'表3）燃料価格'!$AF$9:$AG$25,2,0)+VLOOKUP($F$41,'表3）燃料価格'!$AF$28:$AG$29,2,0),0)*IF($F$43="需要地価格",1,$F$8/$F$141))),"")</f>
        <v>61.810258342257114</v>
      </c>
      <c r="AU42" s="73"/>
      <c r="AV42" s="188">
        <f t="shared" si="10"/>
        <v>36429857160.111534</v>
      </c>
      <c r="AW42" s="188">
        <f t="shared" si="27"/>
        <v>15922643686.003931</v>
      </c>
      <c r="AX42" s="73"/>
      <c r="AY42" s="40">
        <f>IF(ISERROR(IF($K42&lt;=$F$15,VLOOKUP($I42,'表4）CO2価格'!$A$7:$E$67,VLOOKUP($F$48,'表4）CO2価格'!$H$10:$I$12,2,0),0)*$F$8/1000,"")),0,IF($K42&lt;=$F$15,VLOOKUP($I42,'表4）CO2価格'!$A$7:$E$67,VLOOKUP($F$48,'表4）CO2価格'!$H$10:$I$12,2,0),0)*$F$8/1000,""))</f>
        <v>7.8066855236744779</v>
      </c>
      <c r="BA42" s="11">
        <f t="shared" si="11"/>
        <v>11762667017.300295</v>
      </c>
      <c r="BB42" s="10">
        <f t="shared" si="28"/>
        <v>5141188308.5464678</v>
      </c>
      <c r="BD42" s="10">
        <f t="shared" si="12"/>
        <v>0</v>
      </c>
      <c r="BE42" s="10">
        <f t="shared" si="29"/>
        <v>0</v>
      </c>
      <c r="BG42" s="11">
        <f t="shared" si="13"/>
        <v>0</v>
      </c>
      <c r="BH42" s="10">
        <f t="shared" si="30"/>
        <v>0</v>
      </c>
      <c r="BJ42" s="7" t="str">
        <f t="shared" si="31"/>
        <v/>
      </c>
      <c r="BK42" s="158" t="str">
        <f t="shared" si="32"/>
        <v/>
      </c>
      <c r="BL42" s="158" t="str">
        <f t="shared" si="14"/>
        <v/>
      </c>
      <c r="BM42" s="10"/>
      <c r="BN42" s="10" t="str">
        <f t="shared" si="33"/>
        <v/>
      </c>
      <c r="BO42" s="10" t="str">
        <f t="shared" si="34"/>
        <v/>
      </c>
      <c r="BQ42" s="10">
        <f t="shared" si="15"/>
        <v>5092319400</v>
      </c>
      <c r="BR42" s="10">
        <f t="shared" si="35"/>
        <v>2225734429.4587698</v>
      </c>
    </row>
    <row r="43" spans="3:70" x14ac:dyDescent="0.15">
      <c r="D43" s="160" t="s">
        <v>126</v>
      </c>
      <c r="F43" s="474"/>
      <c r="H43" s="504"/>
      <c r="I43" s="38">
        <f t="shared" si="36"/>
        <v>2058</v>
      </c>
      <c r="J43" s="39"/>
      <c r="K43" s="39">
        <f t="shared" si="37"/>
        <v>29</v>
      </c>
      <c r="L43" s="39"/>
      <c r="M43" s="40">
        <f t="shared" si="0"/>
        <v>0.42434636230138412</v>
      </c>
      <c r="N43" s="39"/>
      <c r="O43" s="72">
        <f t="shared" si="16"/>
        <v>0</v>
      </c>
      <c r="P43" s="41" t="str">
        <f t="shared" si="1"/>
        <v>-</v>
      </c>
      <c r="Q43" s="39"/>
      <c r="R43" s="72">
        <f t="shared" si="17"/>
        <v>6927500000</v>
      </c>
      <c r="S43" s="39"/>
      <c r="T43" s="72">
        <f t="shared" si="18"/>
        <v>6927500000</v>
      </c>
      <c r="U43" s="39"/>
      <c r="V43" s="72">
        <f t="shared" si="2"/>
        <v>0</v>
      </c>
      <c r="W43" s="72">
        <f t="shared" si="19"/>
        <v>0</v>
      </c>
      <c r="X43" s="39"/>
      <c r="Y43" s="72">
        <f t="shared" si="3"/>
        <v>96985000</v>
      </c>
      <c r="Z43" s="72">
        <f t="shared" si="20"/>
        <v>41155231.947799742</v>
      </c>
      <c r="AA43" s="39"/>
      <c r="AB43" s="72">
        <f t="shared" si="4"/>
        <v>0</v>
      </c>
      <c r="AC43" s="72">
        <f t="shared" si="21"/>
        <v>0</v>
      </c>
      <c r="AD43" s="39"/>
      <c r="AE43" s="72">
        <f t="shared" si="5"/>
        <v>0</v>
      </c>
      <c r="AF43" s="72">
        <f t="shared" si="22"/>
        <v>0</v>
      </c>
      <c r="AG43" s="39"/>
      <c r="AH43" s="72">
        <f t="shared" si="6"/>
        <v>620000000</v>
      </c>
      <c r="AI43" s="72">
        <f t="shared" si="23"/>
        <v>263094744.62685814</v>
      </c>
      <c r="AJ43" s="39"/>
      <c r="AK43" s="72">
        <f t="shared" si="7"/>
        <v>3325200000</v>
      </c>
      <c r="AL43" s="72">
        <f t="shared" si="24"/>
        <v>1411036523.9245625</v>
      </c>
      <c r="AM43" s="39"/>
      <c r="AN43" s="72">
        <f t="shared" si="8"/>
        <v>1524050000</v>
      </c>
      <c r="AO43" s="72">
        <f t="shared" si="25"/>
        <v>646725073.46542442</v>
      </c>
      <c r="AP43" s="39"/>
      <c r="AQ43" s="72">
        <f t="shared" si="9"/>
        <v>656310000</v>
      </c>
      <c r="AR43" s="72">
        <f t="shared" si="26"/>
        <v>278502761.04202139</v>
      </c>
      <c r="AS43" s="39"/>
      <c r="AT43" s="40">
        <f>IF($K43&lt;=$F$15,IF($F$40&lt;&gt;"",$F$40/1000,IF(ISERROR(VLOOKUP($F$3&amp;IF($G$4&lt;&gt;"",$G$4,"")&amp;IF($F$43&lt;&gt;"","_"&amp;$F$43,""),'表3）燃料価格'!$AF$9:$AG$25,2,0)),0,VLOOKUP($I43,'表3）燃料価格'!A34:AC84,VLOOKUP($F$3,'表3）燃料価格'!$AF$9:$AG$25,2,0)+VLOOKUP($F$41,'表3）燃料価格'!$AF$28:$AG$29,2,0),0)*IF($F$43="需要地価格",1,$F$8/$F$141))),"")</f>
        <v>61.721703821055506</v>
      </c>
      <c r="AU43" s="39"/>
      <c r="AV43" s="72">
        <f t="shared" si="10"/>
        <v>36379837594.810776</v>
      </c>
      <c r="AW43" s="72">
        <f t="shared" si="27"/>
        <v>15437651744.473087</v>
      </c>
      <c r="AX43" s="39"/>
      <c r="AY43" s="40">
        <f>IF(ISERROR(IF($K43&lt;=$F$15,VLOOKUP($I43,'表4）CO2価格'!$A$7:$E$67,VLOOKUP($F$48,'表4）CO2価格'!$H$10:$I$12,2,0),0)*$F$8/1000,"")),0,IF($K43&lt;=$F$15,VLOOKUP($I43,'表4）CO2価格'!$A$7:$E$67,VLOOKUP($F$48,'表4）CO2価格'!$H$10:$I$12,2,0),0)*$F$8/1000,""))</f>
        <v>7.9378294490802217</v>
      </c>
      <c r="AZ43" s="39"/>
      <c r="BA43" s="42">
        <f t="shared" si="11"/>
        <v>11960267179.521683</v>
      </c>
      <c r="BB43" s="72">
        <f t="shared" si="28"/>
        <v>5075295869.7826614</v>
      </c>
      <c r="BC43" s="39"/>
      <c r="BD43" s="72">
        <f t="shared" si="12"/>
        <v>0</v>
      </c>
      <c r="BE43" s="72">
        <f t="shared" si="29"/>
        <v>0</v>
      </c>
      <c r="BF43" s="39"/>
      <c r="BG43" s="42">
        <f t="shared" si="13"/>
        <v>0</v>
      </c>
      <c r="BH43" s="72">
        <f t="shared" si="30"/>
        <v>0</v>
      </c>
      <c r="BI43" s="39"/>
      <c r="BJ43" s="40" t="str">
        <f t="shared" si="31"/>
        <v/>
      </c>
      <c r="BK43" s="157" t="str">
        <f t="shared" si="32"/>
        <v/>
      </c>
      <c r="BL43" s="157" t="str">
        <f t="shared" si="14"/>
        <v/>
      </c>
      <c r="BM43" s="72"/>
      <c r="BN43" s="72" t="str">
        <f t="shared" si="33"/>
        <v/>
      </c>
      <c r="BO43" s="72" t="str">
        <f t="shared" si="34"/>
        <v/>
      </c>
      <c r="BP43" s="39"/>
      <c r="BQ43" s="72">
        <f t="shared" si="15"/>
        <v>5092319400</v>
      </c>
      <c r="BR43" s="72">
        <f t="shared" si="35"/>
        <v>2160907213.0667672</v>
      </c>
    </row>
    <row r="44" spans="3:70" x14ac:dyDescent="0.15">
      <c r="H44" s="504"/>
      <c r="I44" s="322">
        <f t="shared" si="36"/>
        <v>2059</v>
      </c>
      <c r="K44" s="71">
        <f t="shared" si="37"/>
        <v>30</v>
      </c>
      <c r="M44" s="7">
        <f t="shared" si="0"/>
        <v>0.41198675951590691</v>
      </c>
      <c r="O44" s="10">
        <f t="shared" si="16"/>
        <v>0</v>
      </c>
      <c r="P44" s="29" t="str">
        <f t="shared" si="1"/>
        <v>-</v>
      </c>
      <c r="R44" s="10">
        <f t="shared" si="17"/>
        <v>6927500000</v>
      </c>
      <c r="T44" s="10">
        <f t="shared" si="18"/>
        <v>6927500000</v>
      </c>
      <c r="V44" s="10">
        <f t="shared" si="2"/>
        <v>0</v>
      </c>
      <c r="W44" s="10">
        <f t="shared" si="19"/>
        <v>0</v>
      </c>
      <c r="Y44" s="10">
        <f t="shared" si="3"/>
        <v>96985000</v>
      </c>
      <c r="Z44" s="10">
        <f t="shared" si="20"/>
        <v>39956535.871650234</v>
      </c>
      <c r="AB44" s="10">
        <f t="shared" si="4"/>
        <v>0</v>
      </c>
      <c r="AC44" s="10">
        <f t="shared" si="21"/>
        <v>0</v>
      </c>
      <c r="AE44" s="10">
        <f t="shared" si="5"/>
        <v>0</v>
      </c>
      <c r="AF44" s="10">
        <f t="shared" si="22"/>
        <v>0</v>
      </c>
      <c r="AH44" s="10">
        <f t="shared" si="6"/>
        <v>620000000</v>
      </c>
      <c r="AI44" s="10">
        <f t="shared" si="23"/>
        <v>255431790.89986229</v>
      </c>
      <c r="AK44" s="10">
        <f t="shared" si="7"/>
        <v>3325200000</v>
      </c>
      <c r="AL44" s="10">
        <f t="shared" si="24"/>
        <v>1369938372.7422936</v>
      </c>
      <c r="AN44" s="10">
        <f t="shared" si="8"/>
        <v>1524050000</v>
      </c>
      <c r="AO44" s="10">
        <f t="shared" si="25"/>
        <v>627888420.84021795</v>
      </c>
      <c r="AQ44" s="10">
        <f t="shared" si="9"/>
        <v>656310000</v>
      </c>
      <c r="AR44" s="10">
        <f t="shared" si="26"/>
        <v>270391030.13788486</v>
      </c>
      <c r="AT44" s="330">
        <f>IF($K44&lt;=$F$15,IF($F$40&lt;&gt;"",$F$40/1000,IF(ISERROR(VLOOKUP($F$3&amp;IF($G$4&lt;&gt;"",$G$4,"")&amp;IF($F$43&lt;&gt;"","_"&amp;$F$43,""),'表3）燃料価格'!$AF$9:$AG$25,2,0)),0,VLOOKUP($I44,'表3）燃料価格'!A35:AC85,VLOOKUP($F$3,'表3）燃料価格'!$AF$9:$AG$25,2,0)+VLOOKUP($F$41,'表3）燃料価格'!$AF$28:$AG$29,2,0),0)*IF($F$43="需要地価格",1,$F$8/$F$141))),"")</f>
        <v>61.635139458524669</v>
      </c>
      <c r="AU44" s="73"/>
      <c r="AV44" s="188">
        <f t="shared" si="10"/>
        <v>36330942160.387131</v>
      </c>
      <c r="AW44" s="188">
        <f t="shared" si="27"/>
        <v>14967867130.817736</v>
      </c>
      <c r="AX44" s="73"/>
      <c r="AY44" s="40">
        <f>IF(ISERROR(IF($K44&lt;=$F$15,VLOOKUP($I44,'表4）CO2価格'!$A$7:$E$67,VLOOKUP($F$48,'表4）CO2価格'!$H$10:$I$12,2,0),0)*$F$8/1000,"")),0,IF($K44&lt;=$F$15,VLOOKUP($I44,'表4）CO2価格'!$A$7:$E$67,VLOOKUP($F$48,'表4）CO2価格'!$H$10:$I$12,2,0),0)*$F$8/1000,""))</f>
        <v>8.0689096659945534</v>
      </c>
      <c r="AZ44" s="73"/>
      <c r="BA44" s="11">
        <f t="shared" si="11"/>
        <v>12157771349.433865</v>
      </c>
      <c r="BB44" s="10">
        <f t="shared" si="28"/>
        <v>5008840821.1885929</v>
      </c>
      <c r="BD44" s="10">
        <f t="shared" si="12"/>
        <v>0</v>
      </c>
      <c r="BE44" s="10">
        <f t="shared" si="29"/>
        <v>0</v>
      </c>
      <c r="BG44" s="11">
        <f t="shared" si="13"/>
        <v>0</v>
      </c>
      <c r="BH44" s="10">
        <f t="shared" si="30"/>
        <v>0</v>
      </c>
      <c r="BJ44" s="7" t="str">
        <f t="shared" si="31"/>
        <v/>
      </c>
      <c r="BK44" s="158" t="str">
        <f t="shared" si="32"/>
        <v/>
      </c>
      <c r="BL44" s="158" t="str">
        <f t="shared" si="14"/>
        <v/>
      </c>
      <c r="BM44" s="10"/>
      <c r="BN44" s="10" t="str">
        <f t="shared" si="33"/>
        <v/>
      </c>
      <c r="BO44" s="10" t="str">
        <f t="shared" si="34"/>
        <v/>
      </c>
      <c r="BQ44" s="10">
        <f t="shared" si="15"/>
        <v>5092319400</v>
      </c>
      <c r="BR44" s="10">
        <f t="shared" si="35"/>
        <v>2097968168.0259874</v>
      </c>
    </row>
    <row r="45" spans="3:70" x14ac:dyDescent="0.15">
      <c r="C45" s="4" t="s">
        <v>575</v>
      </c>
      <c r="D45" s="100"/>
      <c r="E45" s="100"/>
      <c r="F45" s="4"/>
      <c r="G45" s="100"/>
      <c r="H45" s="504"/>
      <c r="I45" s="38">
        <f t="shared" si="36"/>
        <v>2060</v>
      </c>
      <c r="J45" s="39"/>
      <c r="K45" s="39">
        <f t="shared" si="37"/>
        <v>31</v>
      </c>
      <c r="L45" s="39"/>
      <c r="M45" s="40">
        <f t="shared" si="0"/>
        <v>0.39998714516107459</v>
      </c>
      <c r="N45" s="39"/>
      <c r="O45" s="72">
        <f t="shared" si="16"/>
        <v>0</v>
      </c>
      <c r="P45" s="41" t="str">
        <f t="shared" si="1"/>
        <v>-</v>
      </c>
      <c r="Q45" s="39"/>
      <c r="R45" s="72">
        <f t="shared" si="17"/>
        <v>6927500000</v>
      </c>
      <c r="S45" s="39"/>
      <c r="T45" s="72">
        <f t="shared" si="18"/>
        <v>6927500000</v>
      </c>
      <c r="U45" s="39"/>
      <c r="V45" s="72">
        <f t="shared" si="2"/>
        <v>0</v>
      </c>
      <c r="W45" s="72">
        <f t="shared" si="19"/>
        <v>0</v>
      </c>
      <c r="X45" s="39"/>
      <c r="Y45" s="72">
        <f t="shared" si="3"/>
        <v>96985000</v>
      </c>
      <c r="Z45" s="72">
        <f t="shared" si="20"/>
        <v>38792753.273446821</v>
      </c>
      <c r="AA45" s="39"/>
      <c r="AB45" s="72">
        <f t="shared" si="4"/>
        <v>0</v>
      </c>
      <c r="AC45" s="72">
        <f t="shared" si="21"/>
        <v>0</v>
      </c>
      <c r="AD45" s="39"/>
      <c r="AE45" s="72">
        <f t="shared" si="5"/>
        <v>0</v>
      </c>
      <c r="AF45" s="72">
        <f t="shared" si="22"/>
        <v>0</v>
      </c>
      <c r="AG45" s="39"/>
      <c r="AH45" s="72">
        <f t="shared" si="6"/>
        <v>620000000</v>
      </c>
      <c r="AI45" s="72">
        <f t="shared" si="23"/>
        <v>247992029.99986625</v>
      </c>
      <c r="AJ45" s="39"/>
      <c r="AK45" s="72">
        <f t="shared" si="7"/>
        <v>3325200000</v>
      </c>
      <c r="AL45" s="72">
        <f t="shared" si="24"/>
        <v>1330037255.0896053</v>
      </c>
      <c r="AM45" s="39"/>
      <c r="AN45" s="72">
        <f t="shared" si="8"/>
        <v>1524050000</v>
      </c>
      <c r="AO45" s="72">
        <f t="shared" si="25"/>
        <v>609600408.58273578</v>
      </c>
      <c r="AP45" s="39"/>
      <c r="AQ45" s="72">
        <f t="shared" si="9"/>
        <v>656310000</v>
      </c>
      <c r="AR45" s="72">
        <f t="shared" si="26"/>
        <v>262515563.24066487</v>
      </c>
      <c r="AS45" s="39"/>
      <c r="AT45" s="40">
        <f>IF($K45&lt;=$F$15,IF($F$40&lt;&gt;"",$F$40/1000,IF(ISERROR(VLOOKUP($F$3&amp;IF($G$4&lt;&gt;"",$G$4,"")&amp;IF($F$43&lt;&gt;"","_"&amp;$F$43,""),'表3）燃料価格'!$AF$9:$AG$25,2,0)),0,VLOOKUP($I45,'表3）燃料価格'!A36:AC86,VLOOKUP($F$3,'表3）燃料価格'!$AF$9:$AG$25,2,0)+VLOOKUP($F$41,'表3）燃料価格'!$AF$28:$AG$29,2,0),0)*IF($F$43="需要地価格",1,$F$8/$F$141))),"")</f>
        <v>61.550477764356366</v>
      </c>
      <c r="AU45" s="39"/>
      <c r="AV45" s="72">
        <f t="shared" si="10"/>
        <v>36283121438.390526</v>
      </c>
      <c r="AW45" s="72">
        <f t="shared" si="27"/>
        <v>14512782161.674408</v>
      </c>
      <c r="AX45" s="39"/>
      <c r="AY45" s="40">
        <f>IF(ISERROR(IF($K45&lt;=$F$15,VLOOKUP($I45,'表4）CO2価格'!$A$7:$E$67,VLOOKUP($F$48,'表4）CO2価格'!$H$10:$I$12,2,0),0)*$F$8/1000,"")),0,IF($K45&lt;=$F$15,VLOOKUP($I45,'表4）CO2価格'!$A$7:$E$67,VLOOKUP($F$48,'表4）CO2価格'!$H$10:$I$12,2,0),0)*$F$8/1000,""))</f>
        <v>8.1999262362847141</v>
      </c>
      <c r="AZ45" s="39"/>
      <c r="BA45" s="42">
        <f t="shared" si="11"/>
        <v>12355179620.25486</v>
      </c>
      <c r="BB45" s="72">
        <f t="shared" si="28"/>
        <v>4941913024.2580309</v>
      </c>
      <c r="BC45" s="39"/>
      <c r="BD45" s="72">
        <f t="shared" si="12"/>
        <v>0</v>
      </c>
      <c r="BE45" s="72">
        <f t="shared" si="29"/>
        <v>0</v>
      </c>
      <c r="BF45" s="39"/>
      <c r="BG45" s="42">
        <f t="shared" si="13"/>
        <v>0</v>
      </c>
      <c r="BH45" s="72">
        <f t="shared" si="30"/>
        <v>0</v>
      </c>
      <c r="BI45" s="39"/>
      <c r="BJ45" s="40" t="str">
        <f t="shared" si="31"/>
        <v/>
      </c>
      <c r="BK45" s="157" t="str">
        <f t="shared" si="32"/>
        <v/>
      </c>
      <c r="BL45" s="157" t="str">
        <f t="shared" si="14"/>
        <v/>
      </c>
      <c r="BM45" s="72"/>
      <c r="BN45" s="72" t="str">
        <f t="shared" si="33"/>
        <v/>
      </c>
      <c r="BO45" s="72" t="str">
        <f t="shared" si="34"/>
        <v/>
      </c>
      <c r="BP45" s="39"/>
      <c r="BQ45" s="72">
        <f t="shared" si="15"/>
        <v>5092319400</v>
      </c>
      <c r="BR45" s="72">
        <f t="shared" si="35"/>
        <v>2036862299.0543563</v>
      </c>
    </row>
    <row r="46" spans="3:70" x14ac:dyDescent="0.15">
      <c r="H46" s="504"/>
      <c r="I46" s="322">
        <f t="shared" si="36"/>
        <v>2061</v>
      </c>
      <c r="K46" s="71">
        <f t="shared" si="37"/>
        <v>32</v>
      </c>
      <c r="M46" s="7">
        <f t="shared" si="0"/>
        <v>0.38833703413696569</v>
      </c>
      <c r="O46" s="10">
        <f t="shared" si="16"/>
        <v>0</v>
      </c>
      <c r="P46" s="29" t="str">
        <f t="shared" si="1"/>
        <v>-</v>
      </c>
      <c r="R46" s="10">
        <f t="shared" si="17"/>
        <v>6927500000</v>
      </c>
      <c r="T46" s="10">
        <f t="shared" si="18"/>
        <v>6927500000</v>
      </c>
      <c r="V46" s="10">
        <f t="shared" si="2"/>
        <v>0</v>
      </c>
      <c r="W46" s="10">
        <f t="shared" si="19"/>
        <v>0</v>
      </c>
      <c r="Y46" s="10">
        <f t="shared" si="3"/>
        <v>96985000</v>
      </c>
      <c r="Z46" s="10">
        <f t="shared" si="20"/>
        <v>37662867.255773619</v>
      </c>
      <c r="AB46" s="10">
        <f t="shared" si="4"/>
        <v>0</v>
      </c>
      <c r="AC46" s="10">
        <f t="shared" si="21"/>
        <v>0</v>
      </c>
      <c r="AE46" s="10">
        <f t="shared" si="5"/>
        <v>0</v>
      </c>
      <c r="AF46" s="10">
        <f t="shared" si="22"/>
        <v>0</v>
      </c>
      <c r="AH46" s="10">
        <f t="shared" si="6"/>
        <v>620000000</v>
      </c>
      <c r="AI46" s="10">
        <f t="shared" si="23"/>
        <v>240768961.16491872</v>
      </c>
      <c r="AK46" s="10">
        <f t="shared" si="7"/>
        <v>3325200000</v>
      </c>
      <c r="AL46" s="10">
        <f t="shared" si="24"/>
        <v>1291298305.9122384</v>
      </c>
      <c r="AN46" s="10">
        <f t="shared" si="8"/>
        <v>1524050000</v>
      </c>
      <c r="AO46" s="10">
        <f t="shared" si="25"/>
        <v>591845056.87644255</v>
      </c>
      <c r="AQ46" s="10">
        <f t="shared" si="9"/>
        <v>656310000</v>
      </c>
      <c r="AR46" s="10">
        <f t="shared" si="26"/>
        <v>254869478.87443194</v>
      </c>
      <c r="AT46" s="330">
        <f>IF($K46&lt;=$F$15,IF($F$40&lt;&gt;"",$F$40/1000,IF(ISERROR(VLOOKUP($F$3&amp;IF($G$4&lt;&gt;"",$G$4,"")&amp;IF($F$43&lt;&gt;"","_"&amp;$F$43,""),'表3）燃料価格'!$AF$9:$AG$25,2,0)),0,VLOOKUP($I46,'表3）燃料価格'!A37:AC87,VLOOKUP($F$3,'表3）燃料価格'!$AF$9:$AG$25,2,0)+VLOOKUP($F$41,'表3）燃料価格'!$AF$28:$AG$29,2,0),0)*IF($F$43="需要地価格",1,$F$8/$F$141))),"")</f>
        <v>61.467636893678176</v>
      </c>
      <c r="AU46" s="73"/>
      <c r="AV46" s="188">
        <f t="shared" si="10"/>
        <v>36236329199.166206</v>
      </c>
      <c r="AW46" s="188">
        <f t="shared" si="27"/>
        <v>14071908609.214933</v>
      </c>
      <c r="AX46" s="73"/>
      <c r="AY46" s="40">
        <f>IF(ISERROR(IF($K46&lt;=$F$15,VLOOKUP($I46,'表4）CO2価格'!$A$7:$E$67,VLOOKUP($F$48,'表4）CO2価格'!$H$10:$I$12,2,0),0)*$F$8/1000,"")),0,IF($K46&lt;=$F$15,VLOOKUP($I46,'表4）CO2価格'!$A$7:$E$67,VLOOKUP($F$48,'表4）CO2価格'!$H$10:$I$12,2,0),0)*$F$8/1000,""))</f>
        <v>8.3308792217288072</v>
      </c>
      <c r="BA46" s="11">
        <f t="shared" si="11"/>
        <v>12552492085.06838</v>
      </c>
      <c r="BB46" s="10">
        <f t="shared" si="28"/>
        <v>4874597547.3431911</v>
      </c>
      <c r="BD46" s="10">
        <f t="shared" si="12"/>
        <v>0</v>
      </c>
      <c r="BE46" s="10">
        <f t="shared" si="29"/>
        <v>0</v>
      </c>
      <c r="BG46" s="11">
        <f t="shared" si="13"/>
        <v>0</v>
      </c>
      <c r="BH46" s="10">
        <f t="shared" si="30"/>
        <v>0</v>
      </c>
      <c r="BJ46" s="7" t="str">
        <f t="shared" si="31"/>
        <v/>
      </c>
      <c r="BK46" s="158" t="str">
        <f t="shared" si="32"/>
        <v/>
      </c>
      <c r="BL46" s="158" t="str">
        <f t="shared" si="14"/>
        <v/>
      </c>
      <c r="BM46" s="10"/>
      <c r="BN46" s="10" t="str">
        <f t="shared" si="33"/>
        <v/>
      </c>
      <c r="BO46" s="10" t="str">
        <f t="shared" si="34"/>
        <v/>
      </c>
      <c r="BQ46" s="10">
        <f t="shared" si="15"/>
        <v>5092319400</v>
      </c>
      <c r="BR46" s="10">
        <f t="shared" si="35"/>
        <v>1977536212.6741326</v>
      </c>
    </row>
    <row r="47" spans="3:70" x14ac:dyDescent="0.15">
      <c r="D47" s="84" t="s">
        <v>576</v>
      </c>
      <c r="F47" s="498">
        <f>'LNG火力（2030年）'!F47*(1-'表3）燃料価格'!AG54)</f>
        <v>12.482999999999999</v>
      </c>
      <c r="G47" s="84" t="s">
        <v>647</v>
      </c>
      <c r="H47" s="504"/>
      <c r="I47" s="38">
        <f t="shared" si="36"/>
        <v>2062</v>
      </c>
      <c r="J47" s="39"/>
      <c r="K47" s="39">
        <f t="shared" si="37"/>
        <v>33</v>
      </c>
      <c r="L47" s="39"/>
      <c r="M47" s="40">
        <f t="shared" si="0"/>
        <v>0.37702624673491814</v>
      </c>
      <c r="N47" s="39"/>
      <c r="O47" s="72">
        <f t="shared" si="16"/>
        <v>0</v>
      </c>
      <c r="P47" s="41" t="str">
        <f t="shared" si="1"/>
        <v>-</v>
      </c>
      <c r="Q47" s="39"/>
      <c r="R47" s="72">
        <f t="shared" si="17"/>
        <v>6927500000</v>
      </c>
      <c r="S47" s="39"/>
      <c r="T47" s="72">
        <f t="shared" si="18"/>
        <v>6927500000</v>
      </c>
      <c r="U47" s="39"/>
      <c r="V47" s="72">
        <f t="shared" si="2"/>
        <v>0</v>
      </c>
      <c r="W47" s="72">
        <f t="shared" si="19"/>
        <v>0</v>
      </c>
      <c r="X47" s="39"/>
      <c r="Y47" s="72">
        <f t="shared" si="3"/>
        <v>96985000</v>
      </c>
      <c r="Z47" s="72">
        <f t="shared" si="20"/>
        <v>36565890.539586037</v>
      </c>
      <c r="AA47" s="39"/>
      <c r="AB47" s="72">
        <f t="shared" si="4"/>
        <v>0</v>
      </c>
      <c r="AC47" s="72">
        <f t="shared" si="21"/>
        <v>0</v>
      </c>
      <c r="AD47" s="39"/>
      <c r="AE47" s="72">
        <f t="shared" si="5"/>
        <v>0</v>
      </c>
      <c r="AF47" s="72">
        <f t="shared" si="22"/>
        <v>0</v>
      </c>
      <c r="AG47" s="39"/>
      <c r="AH47" s="72">
        <f t="shared" si="6"/>
        <v>620000000</v>
      </c>
      <c r="AI47" s="72">
        <f t="shared" si="23"/>
        <v>233756272.97564924</v>
      </c>
      <c r="AJ47" s="39"/>
      <c r="AK47" s="72">
        <f t="shared" si="7"/>
        <v>3325200000</v>
      </c>
      <c r="AL47" s="72">
        <f t="shared" si="24"/>
        <v>1253687675.6429498</v>
      </c>
      <c r="AM47" s="39"/>
      <c r="AN47" s="72">
        <f t="shared" si="8"/>
        <v>1524050000</v>
      </c>
      <c r="AO47" s="72">
        <f t="shared" si="25"/>
        <v>574606851.33635199</v>
      </c>
      <c r="AP47" s="39"/>
      <c r="AQ47" s="72">
        <f t="shared" si="9"/>
        <v>656310000</v>
      </c>
      <c r="AR47" s="72">
        <f t="shared" si="26"/>
        <v>247446095.99459413</v>
      </c>
      <c r="AS47" s="39"/>
      <c r="AT47" s="40">
        <f>IF($K47&lt;=$F$15,IF($F$40&lt;&gt;"",$F$40/1000,IF(ISERROR(VLOOKUP($F$3&amp;IF($G$4&lt;&gt;"",$G$4,"")&amp;IF($F$43&lt;&gt;"","_"&amp;$F$43,""),'表3）燃料価格'!$AF$9:$AG$25,2,0)),0,VLOOKUP($I47,'表3）燃料価格'!A38:AC88,VLOOKUP($F$3,'表3）燃料価格'!$AF$9:$AG$25,2,0)+VLOOKUP($F$41,'表3）燃料価格'!$AF$28:$AG$29,2,0),0)*IF($F$43="需要地価格",1,$F$8/$F$141))),"")</f>
        <v>61.386540171556661</v>
      </c>
      <c r="AU47" s="39"/>
      <c r="AV47" s="72">
        <f t="shared" si="10"/>
        <v>36190522133.272873</v>
      </c>
      <c r="AW47" s="72">
        <f t="shared" si="27"/>
        <v>13644776727.284855</v>
      </c>
      <c r="AX47" s="39"/>
      <c r="AY47" s="40">
        <f>IF(ISERROR(IF($K47&lt;=$F$15,VLOOKUP($I47,'表4）CO2価格'!$A$7:$E$67,VLOOKUP($F$48,'表4）CO2価格'!$H$10:$I$12,2,0),0)*$F$8/1000,"")),0,IF($K47&lt;=$F$15,VLOOKUP($I47,'表4）CO2価格'!$A$7:$E$67,VLOOKUP($F$48,'表4）CO2価格'!$H$10:$I$12,2,0),0)*$F$8/1000,""))</f>
        <v>8.4617686840146202</v>
      </c>
      <c r="AZ47" s="39"/>
      <c r="BA47" s="42">
        <f t="shared" si="11"/>
        <v>12749708836.822054</v>
      </c>
      <c r="BB47" s="72">
        <f t="shared" si="28"/>
        <v>4806974869.7100382</v>
      </c>
      <c r="BC47" s="39"/>
      <c r="BD47" s="72">
        <f t="shared" si="12"/>
        <v>0</v>
      </c>
      <c r="BE47" s="72">
        <f t="shared" si="29"/>
        <v>0</v>
      </c>
      <c r="BF47" s="39"/>
      <c r="BG47" s="42">
        <f t="shared" si="13"/>
        <v>0</v>
      </c>
      <c r="BH47" s="72">
        <f t="shared" si="30"/>
        <v>0</v>
      </c>
      <c r="BI47" s="39"/>
      <c r="BJ47" s="40" t="str">
        <f t="shared" si="31"/>
        <v/>
      </c>
      <c r="BK47" s="157" t="str">
        <f t="shared" si="32"/>
        <v/>
      </c>
      <c r="BL47" s="157" t="str">
        <f t="shared" si="14"/>
        <v/>
      </c>
      <c r="BM47" s="72"/>
      <c r="BN47" s="72" t="str">
        <f t="shared" si="33"/>
        <v/>
      </c>
      <c r="BO47" s="72" t="str">
        <f t="shared" si="34"/>
        <v/>
      </c>
      <c r="BP47" s="39"/>
      <c r="BQ47" s="72">
        <f t="shared" si="15"/>
        <v>5092319400</v>
      </c>
      <c r="BR47" s="72">
        <f t="shared" si="35"/>
        <v>1919938070.5574102</v>
      </c>
    </row>
    <row r="48" spans="3:70" x14ac:dyDescent="0.15">
      <c r="D48" s="84" t="s">
        <v>578</v>
      </c>
      <c r="F48" s="474" t="str">
        <f>まとめ!B5</f>
        <v>WEO2020　STEPS</v>
      </c>
      <c r="H48" s="370"/>
      <c r="I48" s="322">
        <f t="shared" si="36"/>
        <v>2063</v>
      </c>
      <c r="K48" s="71">
        <f t="shared" si="37"/>
        <v>34</v>
      </c>
      <c r="M48" s="7">
        <f t="shared" si="0"/>
        <v>0.36604489974263904</v>
      </c>
      <c r="O48" s="10">
        <f t="shared" si="16"/>
        <v>0</v>
      </c>
      <c r="P48" s="29" t="str">
        <f t="shared" si="1"/>
        <v>-</v>
      </c>
      <c r="R48" s="10">
        <f t="shared" si="17"/>
        <v>6927500000</v>
      </c>
      <c r="T48" s="10">
        <f t="shared" si="18"/>
        <v>6927500000</v>
      </c>
      <c r="V48" s="10">
        <f t="shared" si="2"/>
        <v>0</v>
      </c>
      <c r="W48" s="10">
        <f t="shared" si="19"/>
        <v>0</v>
      </c>
      <c r="Y48" s="10">
        <f t="shared" si="3"/>
        <v>96985000</v>
      </c>
      <c r="Z48" s="10">
        <f t="shared" si="20"/>
        <v>35500864.60153985</v>
      </c>
      <c r="AB48" s="10">
        <f t="shared" si="4"/>
        <v>0</v>
      </c>
      <c r="AC48" s="10">
        <f t="shared" si="21"/>
        <v>0</v>
      </c>
      <c r="AE48" s="10">
        <f t="shared" si="5"/>
        <v>0</v>
      </c>
      <c r="AF48" s="10">
        <f t="shared" si="22"/>
        <v>0</v>
      </c>
      <c r="AH48" s="10">
        <f t="shared" si="6"/>
        <v>620000000</v>
      </c>
      <c r="AI48" s="10">
        <f t="shared" si="23"/>
        <v>226947837.84043619</v>
      </c>
      <c r="AK48" s="10">
        <f t="shared" si="7"/>
        <v>3325200000</v>
      </c>
      <c r="AL48" s="10">
        <f t="shared" si="24"/>
        <v>1217172500.6242232</v>
      </c>
      <c r="AN48" s="10">
        <f t="shared" si="8"/>
        <v>1524050000</v>
      </c>
      <c r="AO48" s="10">
        <f t="shared" si="25"/>
        <v>557870729.45276904</v>
      </c>
      <c r="AQ48" s="10">
        <f t="shared" si="9"/>
        <v>656310000</v>
      </c>
      <c r="AR48" s="10">
        <f t="shared" si="26"/>
        <v>240238928.15009144</v>
      </c>
      <c r="AT48" s="330">
        <f>IF($K48&lt;=$F$15,IF($F$40&lt;&gt;"",$F$40/1000,IF(ISERROR(VLOOKUP($F$3&amp;IF($G$4&lt;&gt;"",$G$4,"")&amp;IF($F$43&lt;&gt;"","_"&amp;$F$43,""),'表3）燃料価格'!$AF$9:$AG$25,2,0)),0,VLOOKUP($I48,'表3）燃料価格'!A39:AC89,VLOOKUP($F$3,'表3）燃料価格'!$AF$9:$AG$25,2,0)+VLOOKUP($F$41,'表3）燃料価格'!$AF$28:$AG$29,2,0),0)*IF($F$43="需要地価格",1,$F$8/$F$141))),"")</f>
        <v>61.3071156665318</v>
      </c>
      <c r="AU48" s="73"/>
      <c r="AV48" s="188">
        <f t="shared" si="10"/>
        <v>36145659610.595718</v>
      </c>
      <c r="AW48" s="188">
        <f t="shared" si="27"/>
        <v>13230934348.292067</v>
      </c>
      <c r="AX48" s="73"/>
      <c r="AY48" s="40">
        <f>IF(ISERROR(IF($K48&lt;=$F$15,VLOOKUP($I48,'表4）CO2価格'!$A$7:$E$67,VLOOKUP($F$48,'表4）CO2価格'!$H$10:$I$12,2,0),0)*$F$8/1000,"")),0,IF($K48&lt;=$F$15,VLOOKUP($I48,'表4）CO2価格'!$A$7:$E$67,VLOOKUP($F$48,'表4）CO2価格'!$H$10:$I$12,2,0),0)*$F$8/1000,""))</f>
        <v>8.5925946847404155</v>
      </c>
      <c r="BA48" s="11">
        <f t="shared" si="11"/>
        <v>12946829968.328617</v>
      </c>
      <c r="BB48" s="10">
        <f t="shared" si="28"/>
        <v>4739121077.7418432</v>
      </c>
      <c r="BD48" s="10">
        <f t="shared" si="12"/>
        <v>0</v>
      </c>
      <c r="BE48" s="10">
        <f t="shared" si="29"/>
        <v>0</v>
      </c>
      <c r="BG48" s="11">
        <f t="shared" si="13"/>
        <v>0</v>
      </c>
      <c r="BH48" s="10">
        <f t="shared" si="30"/>
        <v>0</v>
      </c>
      <c r="BJ48" s="7" t="str">
        <f t="shared" si="31"/>
        <v/>
      </c>
      <c r="BK48" s="158" t="str">
        <f t="shared" si="32"/>
        <v/>
      </c>
      <c r="BL48" s="158" t="str">
        <f t="shared" si="14"/>
        <v/>
      </c>
      <c r="BM48" s="10"/>
      <c r="BN48" s="10" t="str">
        <f t="shared" si="33"/>
        <v/>
      </c>
      <c r="BO48" s="10" t="str">
        <f t="shared" si="34"/>
        <v/>
      </c>
      <c r="BQ48" s="10">
        <f t="shared" si="15"/>
        <v>5092319400</v>
      </c>
      <c r="BR48" s="10">
        <f t="shared" si="35"/>
        <v>1864017544.2304957</v>
      </c>
    </row>
    <row r="49" spans="3:70" x14ac:dyDescent="0.15">
      <c r="H49" s="370"/>
      <c r="I49" s="38">
        <f t="shared" si="36"/>
        <v>2064</v>
      </c>
      <c r="J49" s="39"/>
      <c r="K49" s="39">
        <f t="shared" si="37"/>
        <v>35</v>
      </c>
      <c r="L49" s="39"/>
      <c r="M49" s="40">
        <f t="shared" si="0"/>
        <v>0.35538339780838735</v>
      </c>
      <c r="N49" s="39"/>
      <c r="O49" s="72">
        <f t="shared" si="16"/>
        <v>0</v>
      </c>
      <c r="P49" s="41" t="str">
        <f t="shared" si="1"/>
        <v>-</v>
      </c>
      <c r="Q49" s="39"/>
      <c r="R49" s="72">
        <f t="shared" si="17"/>
        <v>6927500000</v>
      </c>
      <c r="S49" s="39"/>
      <c r="T49" s="72">
        <f t="shared" si="18"/>
        <v>6927500000</v>
      </c>
      <c r="U49" s="39"/>
      <c r="V49" s="72">
        <f t="shared" si="2"/>
        <v>0</v>
      </c>
      <c r="W49" s="72">
        <f t="shared" si="19"/>
        <v>0</v>
      </c>
      <c r="X49" s="39"/>
      <c r="Y49" s="72">
        <f t="shared" si="3"/>
        <v>96985000</v>
      </c>
      <c r="Z49" s="72">
        <f t="shared" si="20"/>
        <v>34466858.836446449</v>
      </c>
      <c r="AA49" s="39"/>
      <c r="AB49" s="72">
        <f t="shared" si="4"/>
        <v>0</v>
      </c>
      <c r="AC49" s="72">
        <f t="shared" si="21"/>
        <v>0</v>
      </c>
      <c r="AD49" s="39"/>
      <c r="AE49" s="72">
        <f t="shared" si="5"/>
        <v>0</v>
      </c>
      <c r="AF49" s="72">
        <f t="shared" si="22"/>
        <v>0</v>
      </c>
      <c r="AG49" s="39"/>
      <c r="AH49" s="72">
        <f t="shared" si="6"/>
        <v>620000000</v>
      </c>
      <c r="AI49" s="72">
        <f t="shared" si="23"/>
        <v>220337706.64120016</v>
      </c>
      <c r="AJ49" s="39"/>
      <c r="AK49" s="72">
        <f t="shared" si="7"/>
        <v>3325200000</v>
      </c>
      <c r="AL49" s="72">
        <f t="shared" si="24"/>
        <v>1181720874.3924496</v>
      </c>
      <c r="AM49" s="39"/>
      <c r="AN49" s="72">
        <f t="shared" si="8"/>
        <v>1524050000</v>
      </c>
      <c r="AO49" s="72">
        <f t="shared" si="25"/>
        <v>541622067.42987275</v>
      </c>
      <c r="AP49" s="39"/>
      <c r="AQ49" s="72">
        <f t="shared" si="9"/>
        <v>656310000</v>
      </c>
      <c r="AR49" s="72">
        <f t="shared" si="26"/>
        <v>233241677.81562269</v>
      </c>
      <c r="AS49" s="39"/>
      <c r="AT49" s="40">
        <f>IF($K49&lt;=$F$15,IF($F$40&lt;&gt;"",$F$40/1000,IF(ISERROR(VLOOKUP($F$3&amp;IF($G$4&lt;&gt;"",$G$4,"")&amp;IF($F$43&lt;&gt;"","_"&amp;$F$43,""),'表3）燃料価格'!$AF$9:$AG$25,2,0)),0,VLOOKUP($I49,'表3）燃料価格'!A40:AC90,VLOOKUP($F$3,'表3）燃料価格'!$AF$9:$AG$25,2,0)+VLOOKUP($F$41,'表3）燃料価格'!$AF$28:$AG$29,2,0),0)*IF($F$43="需要地価格",1,$F$8/$F$141))),"")</f>
        <v>61.229295807237932</v>
      </c>
      <c r="AU49" s="39"/>
      <c r="AV49" s="72">
        <f t="shared" si="10"/>
        <v>36101703463.796799</v>
      </c>
      <c r="AW49" s="72">
        <f t="shared" si="27"/>
        <v>12829946043.634933</v>
      </c>
      <c r="AX49" s="39"/>
      <c r="AY49" s="40">
        <f>IF(ISERROR(IF($K49&lt;=$F$15,VLOOKUP($I49,'表4）CO2価格'!$A$7:$E$67,VLOOKUP($F$48,'表4）CO2価格'!$H$10:$I$12,2,0),0)*$F$8/1000,"")),0,IF($K49&lt;=$F$15,VLOOKUP($I49,'表4）CO2価格'!$A$7:$E$67,VLOOKUP($F$48,'表4）CO2価格'!$H$10:$I$12,2,0),0)*$F$8/1000,""))</f>
        <v>8.7233572854149237</v>
      </c>
      <c r="AZ49" s="39"/>
      <c r="BA49" s="42">
        <f t="shared" si="11"/>
        <v>13143855572.265903</v>
      </c>
      <c r="BB49" s="72">
        <f t="shared" si="28"/>
        <v>4671108053.5745621</v>
      </c>
      <c r="BC49" s="39"/>
      <c r="BD49" s="72">
        <f t="shared" si="12"/>
        <v>0</v>
      </c>
      <c r="BE49" s="72">
        <f t="shared" si="29"/>
        <v>0</v>
      </c>
      <c r="BF49" s="39"/>
      <c r="BG49" s="42">
        <f t="shared" si="13"/>
        <v>0</v>
      </c>
      <c r="BH49" s="72">
        <f t="shared" si="30"/>
        <v>0</v>
      </c>
      <c r="BI49" s="39"/>
      <c r="BJ49" s="40" t="str">
        <f t="shared" si="31"/>
        <v/>
      </c>
      <c r="BK49" s="157" t="str">
        <f t="shared" si="32"/>
        <v/>
      </c>
      <c r="BL49" s="157" t="str">
        <f t="shared" si="14"/>
        <v/>
      </c>
      <c r="BM49" s="72"/>
      <c r="BN49" s="72" t="str">
        <f t="shared" si="33"/>
        <v/>
      </c>
      <c r="BO49" s="72" t="str">
        <f t="shared" si="34"/>
        <v/>
      </c>
      <c r="BP49" s="39"/>
      <c r="BQ49" s="72">
        <f t="shared" si="15"/>
        <v>5092319400</v>
      </c>
      <c r="BR49" s="72">
        <f t="shared" si="35"/>
        <v>1809725771.0975683</v>
      </c>
    </row>
    <row r="50" spans="3:70" x14ac:dyDescent="0.15">
      <c r="C50" s="4" t="s">
        <v>579</v>
      </c>
      <c r="D50" s="100"/>
      <c r="E50" s="100"/>
      <c r="F50" s="4"/>
      <c r="G50" s="100"/>
      <c r="H50" s="370"/>
      <c r="I50" s="322">
        <f t="shared" si="36"/>
        <v>2065</v>
      </c>
      <c r="K50" s="71">
        <f t="shared" si="37"/>
        <v>36</v>
      </c>
      <c r="M50" s="7">
        <f t="shared" si="0"/>
        <v>0.34503242505668674</v>
      </c>
      <c r="O50" s="10">
        <f t="shared" si="16"/>
        <v>0</v>
      </c>
      <c r="P50" s="29" t="str">
        <f t="shared" si="1"/>
        <v>-</v>
      </c>
      <c r="R50" s="10">
        <f t="shared" si="17"/>
        <v>6927500000</v>
      </c>
      <c r="T50" s="10">
        <f t="shared" si="18"/>
        <v>6927500000</v>
      </c>
      <c r="V50" s="10">
        <f t="shared" si="2"/>
        <v>0</v>
      </c>
      <c r="W50" s="10">
        <f t="shared" si="19"/>
        <v>0</v>
      </c>
      <c r="Y50" s="10">
        <f t="shared" si="3"/>
        <v>96985000</v>
      </c>
      <c r="Z50" s="10">
        <f t="shared" si="20"/>
        <v>33462969.744122762</v>
      </c>
      <c r="AB50" s="10">
        <f t="shared" si="4"/>
        <v>0</v>
      </c>
      <c r="AC50" s="10">
        <f t="shared" si="21"/>
        <v>0</v>
      </c>
      <c r="AE50" s="10">
        <f t="shared" si="5"/>
        <v>0</v>
      </c>
      <c r="AF50" s="10">
        <f t="shared" si="22"/>
        <v>0</v>
      </c>
      <c r="AH50" s="10">
        <f t="shared" si="6"/>
        <v>620000000</v>
      </c>
      <c r="AI50" s="10">
        <f t="shared" si="23"/>
        <v>213920103.53514579</v>
      </c>
      <c r="AK50" s="10">
        <f t="shared" si="7"/>
        <v>3325200000</v>
      </c>
      <c r="AL50" s="10">
        <f t="shared" si="24"/>
        <v>1147301819.7984948</v>
      </c>
      <c r="AN50" s="10">
        <f t="shared" si="8"/>
        <v>1524050000</v>
      </c>
      <c r="AO50" s="10">
        <f t="shared" si="25"/>
        <v>525846667.40764344</v>
      </c>
      <c r="AQ50" s="10">
        <f t="shared" si="9"/>
        <v>656310000</v>
      </c>
      <c r="AR50" s="10">
        <f t="shared" si="26"/>
        <v>226448230.88895407</v>
      </c>
      <c r="AT50" s="330">
        <f>IF($K50&lt;=$F$15,IF($F$40&lt;&gt;"",$F$40/1000,IF(ISERROR(VLOOKUP($F$3&amp;IF($G$4&lt;&gt;"",$G$4,"")&amp;IF($F$43&lt;&gt;"","_"&amp;$F$43,""),'表3）燃料価格'!$AF$9:$AG$25,2,0)),0,VLOOKUP($I50,'表3）燃料価格'!A41:AC91,VLOOKUP($F$3,'表3）燃料価格'!$AF$9:$AG$25,2,0)+VLOOKUP($F$41,'表3）燃料価格'!$AF$28:$AG$29,2,0),0)*IF($F$43="需要地価格",1,$F$8/$F$141))),"")</f>
        <v>61.153017036991109</v>
      </c>
      <c r="AU50" s="73"/>
      <c r="AV50" s="188">
        <f t="shared" si="10"/>
        <v>36058617793.210464</v>
      </c>
      <c r="AW50" s="188">
        <f t="shared" si="27"/>
        <v>12441392341.3836</v>
      </c>
      <c r="AX50" s="73"/>
      <c r="AY50" s="40">
        <f>IF(ISERROR(IF($K50&lt;=$F$15,VLOOKUP($I50,'表4）CO2価格'!$A$7:$E$67,VLOOKUP($F$48,'表4）CO2価格'!$H$10:$I$12,2,0),0)*$F$8/1000,"")),0,IF($K50&lt;=$F$15,VLOOKUP($I50,'表4）CO2価格'!$A$7:$E$67,VLOOKUP($F$48,'表4）CO2価格'!$H$10:$I$12,2,0),0)*$F$8/1000,""))</f>
        <v>8.8540565474573452</v>
      </c>
      <c r="BA50" s="11">
        <f t="shared" si="11"/>
        <v>13340785741.176853</v>
      </c>
      <c r="BB50" s="10">
        <f t="shared" si="28"/>
        <v>4603003656.4399176</v>
      </c>
      <c r="BD50" s="10">
        <f t="shared" si="12"/>
        <v>0</v>
      </c>
      <c r="BE50" s="10">
        <f t="shared" si="29"/>
        <v>0</v>
      </c>
      <c r="BG50" s="11">
        <f t="shared" si="13"/>
        <v>0</v>
      </c>
      <c r="BH50" s="10">
        <f t="shared" si="30"/>
        <v>0</v>
      </c>
      <c r="BJ50" s="7" t="str">
        <f t="shared" si="31"/>
        <v/>
      </c>
      <c r="BK50" s="158" t="str">
        <f t="shared" si="32"/>
        <v/>
      </c>
      <c r="BL50" s="158" t="str">
        <f t="shared" si="14"/>
        <v/>
      </c>
      <c r="BM50" s="10"/>
      <c r="BN50" s="10" t="str">
        <f t="shared" si="33"/>
        <v/>
      </c>
      <c r="BO50" s="10" t="str">
        <f t="shared" si="34"/>
        <v/>
      </c>
      <c r="BQ50" s="10">
        <f t="shared" si="15"/>
        <v>5092319400</v>
      </c>
      <c r="BR50" s="10">
        <f t="shared" si="35"/>
        <v>1757015311.7452121</v>
      </c>
    </row>
    <row r="51" spans="3:70" x14ac:dyDescent="0.15">
      <c r="H51" s="370"/>
      <c r="I51" s="38">
        <f t="shared" si="36"/>
        <v>2066</v>
      </c>
      <c r="J51" s="39"/>
      <c r="K51" s="39">
        <f t="shared" si="37"/>
        <v>37</v>
      </c>
      <c r="L51" s="39"/>
      <c r="M51" s="40">
        <f t="shared" si="0"/>
        <v>0.33498293694823961</v>
      </c>
      <c r="N51" s="39"/>
      <c r="O51" s="72">
        <f t="shared" si="16"/>
        <v>0</v>
      </c>
      <c r="P51" s="41" t="str">
        <f t="shared" si="1"/>
        <v>-</v>
      </c>
      <c r="Q51" s="39"/>
      <c r="R51" s="72">
        <f t="shared" si="17"/>
        <v>6927500000</v>
      </c>
      <c r="S51" s="39"/>
      <c r="T51" s="72">
        <f t="shared" si="18"/>
        <v>6927500000</v>
      </c>
      <c r="U51" s="39"/>
      <c r="V51" s="72">
        <f t="shared" si="2"/>
        <v>0</v>
      </c>
      <c r="W51" s="72">
        <f t="shared" si="19"/>
        <v>0</v>
      </c>
      <c r="X51" s="39"/>
      <c r="Y51" s="72">
        <f t="shared" si="3"/>
        <v>96985000</v>
      </c>
      <c r="Z51" s="72">
        <f t="shared" si="20"/>
        <v>32488320.139925018</v>
      </c>
      <c r="AA51" s="39"/>
      <c r="AB51" s="72">
        <f t="shared" si="4"/>
        <v>0</v>
      </c>
      <c r="AC51" s="72">
        <f t="shared" si="21"/>
        <v>0</v>
      </c>
      <c r="AD51" s="39"/>
      <c r="AE51" s="72">
        <f t="shared" si="5"/>
        <v>0</v>
      </c>
      <c r="AF51" s="72">
        <f t="shared" si="22"/>
        <v>0</v>
      </c>
      <c r="AG51" s="39"/>
      <c r="AH51" s="72">
        <f t="shared" si="6"/>
        <v>620000000</v>
      </c>
      <c r="AI51" s="72">
        <f t="shared" si="23"/>
        <v>207689420.90790856</v>
      </c>
      <c r="AJ51" s="39"/>
      <c r="AK51" s="72">
        <f t="shared" si="7"/>
        <v>3325200000</v>
      </c>
      <c r="AL51" s="72">
        <f t="shared" si="24"/>
        <v>1113885261.9402864</v>
      </c>
      <c r="AM51" s="39"/>
      <c r="AN51" s="72">
        <f t="shared" si="8"/>
        <v>1524050000</v>
      </c>
      <c r="AO51" s="72">
        <f t="shared" si="25"/>
        <v>510530745.05596459</v>
      </c>
      <c r="AP51" s="39"/>
      <c r="AQ51" s="72">
        <f t="shared" si="9"/>
        <v>656310000</v>
      </c>
      <c r="AR51" s="72">
        <f t="shared" si="26"/>
        <v>219852651.34849915</v>
      </c>
      <c r="AS51" s="39"/>
      <c r="AT51" s="40">
        <f>IF($K51&lt;=$F$15,IF($F$40&lt;&gt;"",$F$40/1000,IF(ISERROR(VLOOKUP($F$3&amp;IF($G$4&lt;&gt;"",$G$4,"")&amp;IF($F$43&lt;&gt;"","_"&amp;$F$43,""),'表3）燃料価格'!$AF$9:$AG$25,2,0)),0,VLOOKUP($I51,'表3）燃料価格'!A42:AC92,VLOOKUP($F$3,'表3）燃料価格'!$AF$9:$AG$25,2,0)+VLOOKUP($F$41,'表3）燃料価格'!$AF$28:$AG$29,2,0),0)*IF($F$43="需要地価格",1,$F$8/$F$141))),"")</f>
        <v>61.078219501917928</v>
      </c>
      <c r="AU51" s="39"/>
      <c r="AV51" s="72">
        <f t="shared" si="10"/>
        <v>36016368790.684532</v>
      </c>
      <c r="AW51" s="72">
        <f t="shared" si="27"/>
        <v>12064868995.714422</v>
      </c>
      <c r="AX51" s="39"/>
      <c r="AY51" s="40">
        <f>IF(ISERROR(IF($K51&lt;=$F$15,VLOOKUP($I51,'表4）CO2価格'!$A$7:$E$67,VLOOKUP($F$48,'表4）CO2価格'!$H$10:$I$12,2,0),0)*$F$8/1000,"")),0,IF($K51&lt;=$F$15,VLOOKUP($I51,'表4）CO2価格'!$A$7:$E$67,VLOOKUP($F$48,'表4）CO2価格'!$H$10:$I$12,2,0),0)*$F$8/1000,""))</f>
        <v>8.9846925321981246</v>
      </c>
      <c r="AZ51" s="39"/>
      <c r="BA51" s="42">
        <f t="shared" si="11"/>
        <v>13537620567.470669</v>
      </c>
      <c r="BB51" s="72">
        <f t="shared" si="28"/>
        <v>4534871896.9822187</v>
      </c>
      <c r="BC51" s="39"/>
      <c r="BD51" s="72">
        <f t="shared" si="12"/>
        <v>0</v>
      </c>
      <c r="BE51" s="72">
        <f t="shared" si="29"/>
        <v>0</v>
      </c>
      <c r="BF51" s="39"/>
      <c r="BG51" s="42">
        <f t="shared" si="13"/>
        <v>0</v>
      </c>
      <c r="BH51" s="72">
        <f t="shared" si="30"/>
        <v>0</v>
      </c>
      <c r="BI51" s="39"/>
      <c r="BJ51" s="40" t="str">
        <f t="shared" si="31"/>
        <v/>
      </c>
      <c r="BK51" s="157" t="str">
        <f t="shared" si="32"/>
        <v/>
      </c>
      <c r="BL51" s="157" t="str">
        <f t="shared" si="14"/>
        <v/>
      </c>
      <c r="BM51" s="72"/>
      <c r="BN51" s="72" t="str">
        <f t="shared" si="33"/>
        <v/>
      </c>
      <c r="BO51" s="72" t="str">
        <f t="shared" si="34"/>
        <v/>
      </c>
      <c r="BP51" s="39"/>
      <c r="BQ51" s="72">
        <f t="shared" si="15"/>
        <v>5092319400</v>
      </c>
      <c r="BR51" s="72">
        <f t="shared" si="35"/>
        <v>1705840108.4904974</v>
      </c>
    </row>
    <row r="52" spans="3:70" x14ac:dyDescent="0.15">
      <c r="D52" s="84" t="s">
        <v>185</v>
      </c>
      <c r="F52" s="478"/>
      <c r="G52" s="84" t="s">
        <v>549</v>
      </c>
      <c r="H52" s="370"/>
      <c r="I52" s="322">
        <f t="shared" si="36"/>
        <v>2067</v>
      </c>
      <c r="K52" s="71">
        <f t="shared" si="37"/>
        <v>38</v>
      </c>
      <c r="M52" s="7">
        <f t="shared" si="0"/>
        <v>0.3252261523769317</v>
      </c>
      <c r="O52" s="10">
        <f t="shared" si="16"/>
        <v>0</v>
      </c>
      <c r="P52" s="29" t="str">
        <f t="shared" si="1"/>
        <v>-</v>
      </c>
      <c r="R52" s="10">
        <f t="shared" si="17"/>
        <v>6927500000</v>
      </c>
      <c r="T52" s="10">
        <f t="shared" si="18"/>
        <v>6927500000</v>
      </c>
      <c r="V52" s="10">
        <f t="shared" si="2"/>
        <v>0</v>
      </c>
      <c r="W52" s="10">
        <f t="shared" si="19"/>
        <v>0</v>
      </c>
      <c r="Y52" s="10">
        <f t="shared" si="3"/>
        <v>96985000</v>
      </c>
      <c r="Z52" s="10">
        <f t="shared" si="20"/>
        <v>31542058.388276722</v>
      </c>
      <c r="AB52" s="10">
        <f t="shared" si="4"/>
        <v>0</v>
      </c>
      <c r="AC52" s="10">
        <f t="shared" si="21"/>
        <v>0</v>
      </c>
      <c r="AE52" s="10">
        <f t="shared" si="5"/>
        <v>0</v>
      </c>
      <c r="AF52" s="10">
        <f t="shared" si="22"/>
        <v>0</v>
      </c>
      <c r="AH52" s="10">
        <f t="shared" si="6"/>
        <v>620000000</v>
      </c>
      <c r="AI52" s="10">
        <f t="shared" si="23"/>
        <v>201640214.47369766</v>
      </c>
      <c r="AK52" s="10">
        <f t="shared" si="7"/>
        <v>3325200000</v>
      </c>
      <c r="AL52" s="10">
        <f t="shared" si="24"/>
        <v>1081442001.8837733</v>
      </c>
      <c r="AN52" s="10">
        <f t="shared" si="8"/>
        <v>1524050000</v>
      </c>
      <c r="AO52" s="10">
        <f t="shared" si="25"/>
        <v>495660917.53006274</v>
      </c>
      <c r="AQ52" s="10">
        <f t="shared" si="9"/>
        <v>656310000</v>
      </c>
      <c r="AR52" s="10">
        <f t="shared" si="26"/>
        <v>213449176.06650403</v>
      </c>
      <c r="AT52" s="330">
        <f>IF($K52&lt;=$F$15,IF($F$40&lt;&gt;"",$F$40/1000,IF(ISERROR(VLOOKUP($F$3&amp;IF($G$4&lt;&gt;"",$G$4,"")&amp;IF($F$43&lt;&gt;"","_"&amp;$F$43,""),'表3）燃料価格'!$AF$9:$AG$25,2,0)),0,VLOOKUP($I52,'表3）燃料価格'!A43:AC93,VLOOKUP($F$3,'表3）燃料価格'!$AF$9:$AG$25,2,0)+VLOOKUP($F$41,'表3）燃料価格'!$AF$28:$AG$29,2,0),0)*IF($F$43="需要地価格",1,$F$8/$F$141))),"")</f>
        <v>61.004846768792412</v>
      </c>
      <c r="AU52" s="73"/>
      <c r="AV52" s="188">
        <f t="shared" si="10"/>
        <v>35974924580.201912</v>
      </c>
      <c r="AW52" s="188">
        <f t="shared" si="27"/>
        <v>11699986303.269373</v>
      </c>
      <c r="AX52" s="73"/>
      <c r="AY52" s="40">
        <f>IF(ISERROR(IF($K52&lt;=$F$15,VLOOKUP($I52,'表4）CO2価格'!$A$7:$E$67,VLOOKUP($F$48,'表4）CO2価格'!$H$10:$I$12,2,0),0)*$F$8/1000,"")),0,IF($K52&lt;=$F$15,VLOOKUP($I52,'表4）CO2価格'!$A$7:$E$67,VLOOKUP($F$48,'表4）CO2価格'!$H$10:$I$12,2,0),0)*$F$8/1000,""))</f>
        <v>9.1152653008777929</v>
      </c>
      <c r="AZ52" s="73"/>
      <c r="BA52" s="11">
        <f t="shared" si="11"/>
        <v>13734360143.421078</v>
      </c>
      <c r="BB52" s="10">
        <f t="shared" si="28"/>
        <v>4466773104.8039207</v>
      </c>
      <c r="BD52" s="10">
        <f t="shared" si="12"/>
        <v>0</v>
      </c>
      <c r="BE52" s="10">
        <f t="shared" si="29"/>
        <v>0</v>
      </c>
      <c r="BG52" s="11">
        <f t="shared" si="13"/>
        <v>0</v>
      </c>
      <c r="BH52" s="10">
        <f t="shared" si="30"/>
        <v>0</v>
      </c>
      <c r="BJ52" s="7" t="str">
        <f t="shared" si="31"/>
        <v/>
      </c>
      <c r="BK52" s="158" t="str">
        <f t="shared" si="32"/>
        <v/>
      </c>
      <c r="BL52" s="158" t="str">
        <f t="shared" si="14"/>
        <v/>
      </c>
      <c r="BM52" s="10"/>
      <c r="BN52" s="10" t="str">
        <f t="shared" si="33"/>
        <v/>
      </c>
      <c r="BO52" s="10" t="str">
        <f t="shared" si="34"/>
        <v/>
      </c>
      <c r="BQ52" s="10">
        <f t="shared" si="15"/>
        <v>5092319400</v>
      </c>
      <c r="BR52" s="10">
        <f t="shared" si="35"/>
        <v>1656155445.1364055</v>
      </c>
    </row>
    <row r="53" spans="3:70" x14ac:dyDescent="0.15">
      <c r="D53" s="84" t="s">
        <v>580</v>
      </c>
      <c r="F53" s="475"/>
      <c r="G53" s="84" t="s">
        <v>549</v>
      </c>
      <c r="H53" s="370"/>
      <c r="I53" s="38">
        <f t="shared" si="36"/>
        <v>2068</v>
      </c>
      <c r="J53" s="39"/>
      <c r="K53" s="39">
        <f t="shared" si="37"/>
        <v>39</v>
      </c>
      <c r="L53" s="39"/>
      <c r="M53" s="40">
        <f t="shared" si="0"/>
        <v>0.31575354599702099</v>
      </c>
      <c r="N53" s="39"/>
      <c r="O53" s="72">
        <f t="shared" si="16"/>
        <v>0</v>
      </c>
      <c r="P53" s="41" t="str">
        <f t="shared" si="1"/>
        <v>-</v>
      </c>
      <c r="Q53" s="39"/>
      <c r="R53" s="72">
        <f t="shared" si="17"/>
        <v>6927500000</v>
      </c>
      <c r="S53" s="39"/>
      <c r="T53" s="72">
        <f t="shared" si="18"/>
        <v>6927500000</v>
      </c>
      <c r="U53" s="39"/>
      <c r="V53" s="72">
        <f t="shared" si="2"/>
        <v>0</v>
      </c>
      <c r="W53" s="72">
        <f t="shared" si="19"/>
        <v>0</v>
      </c>
      <c r="X53" s="39"/>
      <c r="Y53" s="72">
        <f t="shared" si="3"/>
        <v>96985000</v>
      </c>
      <c r="Z53" s="72">
        <f t="shared" si="20"/>
        <v>30623357.658521082</v>
      </c>
      <c r="AA53" s="39"/>
      <c r="AB53" s="72">
        <f t="shared" si="4"/>
        <v>0</v>
      </c>
      <c r="AC53" s="72">
        <f t="shared" si="21"/>
        <v>0</v>
      </c>
      <c r="AD53" s="39"/>
      <c r="AE53" s="72">
        <f t="shared" si="5"/>
        <v>0</v>
      </c>
      <c r="AF53" s="72">
        <f t="shared" si="22"/>
        <v>0</v>
      </c>
      <c r="AG53" s="39"/>
      <c r="AH53" s="72">
        <f t="shared" si="6"/>
        <v>620000000</v>
      </c>
      <c r="AI53" s="72">
        <f t="shared" si="23"/>
        <v>195767198.51815301</v>
      </c>
      <c r="AJ53" s="39"/>
      <c r="AK53" s="72">
        <f t="shared" si="7"/>
        <v>3325200000</v>
      </c>
      <c r="AL53" s="72">
        <f t="shared" si="24"/>
        <v>1049943691.1492941</v>
      </c>
      <c r="AM53" s="39"/>
      <c r="AN53" s="72">
        <f t="shared" si="8"/>
        <v>1524050000</v>
      </c>
      <c r="AO53" s="72">
        <f t="shared" si="25"/>
        <v>481224191.77675986</v>
      </c>
      <c r="AP53" s="39"/>
      <c r="AQ53" s="72">
        <f t="shared" si="9"/>
        <v>656310000</v>
      </c>
      <c r="AR53" s="72">
        <f t="shared" si="26"/>
        <v>207232209.77330485</v>
      </c>
      <c r="AS53" s="39"/>
      <c r="AT53" s="40">
        <f>IF($K53&lt;=$F$15,IF($F$40&lt;&gt;"",$F$40/1000,IF(ISERROR(VLOOKUP($F$3&amp;IF($G$4&lt;&gt;"",$G$4,"")&amp;IF($F$43&lt;&gt;"","_"&amp;$F$43,""),'表3）燃料価格'!$AF$9:$AG$25,2,0)),0,VLOOKUP($I53,'表3）燃料価格'!A44:AC94,VLOOKUP($F$3,'表3）燃料価格'!$AF$9:$AG$25,2,0)+VLOOKUP($F$41,'表3）燃料価格'!$AF$28:$AG$29,2,0),0)*IF($F$43="需要地価格",1,$F$8/$F$141))),"")</f>
        <v>60.932845569247938</v>
      </c>
      <c r="AU53" s="39"/>
      <c r="AV53" s="72">
        <f t="shared" si="10"/>
        <v>35934255073.400009</v>
      </c>
      <c r="AW53" s="72">
        <f t="shared" si="27"/>
        <v>11346368462.187494</v>
      </c>
      <c r="AX53" s="39"/>
      <c r="AY53" s="40">
        <f>IF(ISERROR(IF($K53&lt;=$F$15,VLOOKUP($I53,'表4）CO2価格'!$A$7:$E$67,VLOOKUP($F$48,'表4）CO2価格'!$H$10:$I$12,2,0),0)*$F$8/1000,"")),0,IF($K53&lt;=$F$15,VLOOKUP($I53,'表4）CO2価格'!$A$7:$E$67,VLOOKUP($F$48,'表4）CO2価格'!$H$10:$I$12,2,0),0)*$F$8/1000,""))</f>
        <v>9.2457749146488997</v>
      </c>
      <c r="AZ53" s="39"/>
      <c r="BA53" s="42">
        <f t="shared" si="11"/>
        <v>13931004561.169245</v>
      </c>
      <c r="BB53" s="72">
        <f t="shared" si="28"/>
        <v>4398764089.4898624</v>
      </c>
      <c r="BC53" s="39"/>
      <c r="BD53" s="72">
        <f t="shared" si="12"/>
        <v>0</v>
      </c>
      <c r="BE53" s="72">
        <f t="shared" si="29"/>
        <v>0</v>
      </c>
      <c r="BF53" s="39"/>
      <c r="BG53" s="42">
        <f t="shared" si="13"/>
        <v>0</v>
      </c>
      <c r="BH53" s="72">
        <f t="shared" si="30"/>
        <v>0</v>
      </c>
      <c r="BI53" s="39"/>
      <c r="BJ53" s="40" t="str">
        <f t="shared" si="31"/>
        <v/>
      </c>
      <c r="BK53" s="157" t="str">
        <f t="shared" si="32"/>
        <v/>
      </c>
      <c r="BL53" s="157" t="str">
        <f t="shared" si="14"/>
        <v/>
      </c>
      <c r="BM53" s="72"/>
      <c r="BN53" s="72" t="str">
        <f t="shared" si="33"/>
        <v/>
      </c>
      <c r="BO53" s="72" t="str">
        <f t="shared" si="34"/>
        <v/>
      </c>
      <c r="BP53" s="39"/>
      <c r="BQ53" s="72">
        <f t="shared" si="15"/>
        <v>5092319400</v>
      </c>
      <c r="BR53" s="72">
        <f t="shared" si="35"/>
        <v>1607917907.8994224</v>
      </c>
    </row>
    <row r="54" spans="3:70" x14ac:dyDescent="0.15">
      <c r="D54" s="84" t="s">
        <v>581</v>
      </c>
      <c r="F54" s="475"/>
      <c r="G54" s="84" t="s">
        <v>549</v>
      </c>
      <c r="H54" s="370"/>
      <c r="I54" s="322">
        <f t="shared" si="36"/>
        <v>2069</v>
      </c>
      <c r="K54" s="71">
        <f t="shared" si="37"/>
        <v>40</v>
      </c>
      <c r="M54" s="7">
        <f t="shared" si="0"/>
        <v>0.30655684077380685</v>
      </c>
      <c r="O54" s="10">
        <f t="shared" si="16"/>
        <v>0</v>
      </c>
      <c r="P54" s="29" t="str">
        <f t="shared" si="1"/>
        <v>-</v>
      </c>
      <c r="R54" s="10">
        <f t="shared" si="17"/>
        <v>6927500000</v>
      </c>
      <c r="T54" s="10">
        <f t="shared" si="18"/>
        <v>6927500000</v>
      </c>
      <c r="V54" s="10">
        <f t="shared" si="2"/>
        <v>0</v>
      </c>
      <c r="W54" s="10">
        <f t="shared" si="19"/>
        <v>0</v>
      </c>
      <c r="Y54" s="10">
        <f t="shared" si="3"/>
        <v>96985000</v>
      </c>
      <c r="Z54" s="10">
        <f t="shared" si="20"/>
        <v>29731415.202447657</v>
      </c>
      <c r="AB54" s="10">
        <f t="shared" si="4"/>
        <v>0</v>
      </c>
      <c r="AC54" s="10">
        <f t="shared" si="21"/>
        <v>0</v>
      </c>
      <c r="AE54" s="10">
        <f t="shared" si="5"/>
        <v>0</v>
      </c>
      <c r="AF54" s="10">
        <f t="shared" si="22"/>
        <v>0</v>
      </c>
      <c r="AH54" s="10">
        <f t="shared" si="6"/>
        <v>620000000</v>
      </c>
      <c r="AI54" s="10">
        <f t="shared" si="23"/>
        <v>190065241.27976024</v>
      </c>
      <c r="AK54" s="10">
        <f t="shared" si="7"/>
        <v>3325200000</v>
      </c>
      <c r="AL54" s="10">
        <f t="shared" si="24"/>
        <v>1019362806.9410626</v>
      </c>
      <c r="AN54" s="10">
        <f t="shared" si="8"/>
        <v>1524050000</v>
      </c>
      <c r="AO54" s="10">
        <f t="shared" si="25"/>
        <v>467207953.18132031</v>
      </c>
      <c r="AQ54" s="10">
        <f t="shared" si="9"/>
        <v>656310000</v>
      </c>
      <c r="AR54" s="10">
        <f t="shared" si="26"/>
        <v>201196320.16825718</v>
      </c>
      <c r="AT54" s="330">
        <f>IF($K54&lt;=$F$15,IF($F$40&lt;&gt;"",$F$40/1000,IF(ISERROR(VLOOKUP($F$3&amp;IF($G$4&lt;&gt;"",$G$4,"")&amp;IF($F$43&lt;&gt;"","_"&amp;$F$43,""),'表3）燃料価格'!$AF$9:$AG$25,2,0)),0,VLOOKUP($I54,'表3）燃料価格'!A45:AC95,VLOOKUP($F$3,'表3）燃料価格'!$AF$9:$AG$25,2,0)+VLOOKUP($F$41,'表3）燃料価格'!$AF$28:$AG$29,2,0),0)*IF($F$43="需要地価格",1,$F$8/$F$141))),"")</f>
        <v>60.86216556746006</v>
      </c>
      <c r="AU54" s="73"/>
      <c r="AV54" s="188">
        <f t="shared" si="10"/>
        <v>35894331838.34758</v>
      </c>
      <c r="AW54" s="188">
        <f t="shared" si="27"/>
        <v>11003652970.050505</v>
      </c>
      <c r="AX54" s="73"/>
      <c r="AY54" s="40">
        <f>IF(ISERROR(IF($K54&lt;=$F$15,VLOOKUP($I54,'表4）CO2価格'!$A$7:$E$67,VLOOKUP($F$48,'表4）CO2価格'!$H$10:$I$12,2,0),0)*$F$8/1000,"")),0,IF($K54&lt;=$F$15,VLOOKUP($I54,'表4）CO2価格'!$A$7:$E$67,VLOOKUP($F$48,'表4）CO2価格'!$H$10:$I$12,2,0),0)*$F$8/1000,""))</f>
        <v>9.3762214345748625</v>
      </c>
      <c r="BA54" s="11">
        <f t="shared" si="11"/>
        <v>14127553912.722029</v>
      </c>
      <c r="BB54" s="10">
        <f t="shared" si="28"/>
        <v>4330898295.3456993</v>
      </c>
      <c r="BD54" s="10">
        <f t="shared" si="12"/>
        <v>0</v>
      </c>
      <c r="BE54" s="10">
        <f t="shared" si="29"/>
        <v>0</v>
      </c>
      <c r="BG54" s="11">
        <f t="shared" si="13"/>
        <v>0</v>
      </c>
      <c r="BH54" s="10">
        <f t="shared" si="30"/>
        <v>0</v>
      </c>
      <c r="BJ54" s="7" t="str">
        <f t="shared" si="31"/>
        <v/>
      </c>
      <c r="BK54" s="158" t="str">
        <f t="shared" si="32"/>
        <v/>
      </c>
      <c r="BL54" s="158" t="str">
        <f t="shared" si="14"/>
        <v/>
      </c>
      <c r="BM54" s="10"/>
      <c r="BN54" s="10" t="str">
        <f t="shared" si="33"/>
        <v/>
      </c>
      <c r="BO54" s="10" t="str">
        <f t="shared" si="34"/>
        <v/>
      </c>
      <c r="BQ54" s="10">
        <f t="shared" si="15"/>
        <v>5092319400</v>
      </c>
      <c r="BR54" s="10">
        <f t="shared" si="35"/>
        <v>1561085347.4751675</v>
      </c>
    </row>
    <row r="55" spans="3:70" ht="16.5" x14ac:dyDescent="0.15">
      <c r="D55" s="84" t="s">
        <v>582</v>
      </c>
      <c r="F55" s="475"/>
      <c r="G55" s="71" t="s">
        <v>561</v>
      </c>
      <c r="H55" s="370"/>
      <c r="I55" s="38">
        <f>I54+1</f>
        <v>2070</v>
      </c>
      <c r="J55" s="39"/>
      <c r="K55" s="39">
        <f>IF(I55&lt;&gt;"",K54+1,"")</f>
        <v>41</v>
      </c>
      <c r="L55" s="39"/>
      <c r="M55" s="40">
        <f t="shared" si="0"/>
        <v>0.29762800075126877</v>
      </c>
      <c r="N55" s="39"/>
      <c r="O55" s="72" t="str">
        <f t="shared" si="16"/>
        <v/>
      </c>
      <c r="P55" s="41" t="str">
        <f t="shared" si="1"/>
        <v/>
      </c>
      <c r="Q55" s="39"/>
      <c r="R55" s="72" t="str">
        <f t="shared" si="17"/>
        <v/>
      </c>
      <c r="S55" s="39"/>
      <c r="T55" s="72" t="str">
        <f t="shared" si="18"/>
        <v/>
      </c>
      <c r="U55" s="39"/>
      <c r="V55" s="72" t="str">
        <f t="shared" si="2"/>
        <v/>
      </c>
      <c r="W55" s="72" t="str">
        <f t="shared" si="19"/>
        <v/>
      </c>
      <c r="X55" s="39"/>
      <c r="Y55" s="72" t="str">
        <f t="shared" si="3"/>
        <v/>
      </c>
      <c r="Z55" s="72" t="str">
        <f t="shared" si="20"/>
        <v/>
      </c>
      <c r="AA55" s="39"/>
      <c r="AB55" s="72">
        <f t="shared" si="4"/>
        <v>6927500000.000001</v>
      </c>
      <c r="AC55" s="72">
        <f t="shared" si="21"/>
        <v>2061817975.2044146</v>
      </c>
      <c r="AD55" s="39"/>
      <c r="AE55" s="72" t="str">
        <f t="shared" si="5"/>
        <v/>
      </c>
      <c r="AF55" s="72" t="str">
        <f t="shared" si="22"/>
        <v/>
      </c>
      <c r="AG55" s="39"/>
      <c r="AH55" s="72" t="str">
        <f t="shared" si="6"/>
        <v/>
      </c>
      <c r="AI55" s="72" t="str">
        <f t="shared" si="23"/>
        <v/>
      </c>
      <c r="AJ55" s="39"/>
      <c r="AK55" s="72" t="str">
        <f t="shared" si="7"/>
        <v/>
      </c>
      <c r="AL55" s="72" t="str">
        <f t="shared" si="24"/>
        <v/>
      </c>
      <c r="AM55" s="39"/>
      <c r="AN55" s="72" t="str">
        <f t="shared" si="8"/>
        <v/>
      </c>
      <c r="AO55" s="72" t="str">
        <f t="shared" si="25"/>
        <v/>
      </c>
      <c r="AP55" s="39"/>
      <c r="AQ55" s="72" t="str">
        <f t="shared" si="9"/>
        <v/>
      </c>
      <c r="AR55" s="72" t="str">
        <f t="shared" si="26"/>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10"/>
        <v/>
      </c>
      <c r="AW55" s="72" t="str">
        <f t="shared" si="27"/>
        <v/>
      </c>
      <c r="AX55" s="39"/>
      <c r="AY55" s="40" t="str">
        <f>IF(ISERROR(IF($K55&lt;=$F$15,VLOOKUP($I55,'表4）CO2価格'!$A$7:$E$67,VLOOKUP($F$48,'表4）CO2価格'!$H$10:$I$12,2,0),0)*$F$8/1000,"")),0,IF($K55&lt;=$F$15,VLOOKUP($I55,'表4）CO2価格'!$A$7:$E$67,VLOOKUP($F$48,'表4）CO2価格'!$H$10:$I$12,2,0),0)*$F$8/1000,""))</f>
        <v/>
      </c>
      <c r="AZ55" s="39"/>
      <c r="BA55" s="42" t="str">
        <f t="shared" si="11"/>
        <v/>
      </c>
      <c r="BB55" s="72" t="str">
        <f t="shared" si="28"/>
        <v/>
      </c>
      <c r="BC55" s="39"/>
      <c r="BD55" s="72" t="str">
        <f t="shared" si="12"/>
        <v/>
      </c>
      <c r="BE55" s="72" t="str">
        <f t="shared" si="29"/>
        <v/>
      </c>
      <c r="BF55" s="39"/>
      <c r="BG55" s="42" t="str">
        <f t="shared" si="13"/>
        <v/>
      </c>
      <c r="BH55" s="72" t="str">
        <f t="shared" si="30"/>
        <v/>
      </c>
      <c r="BI55" s="39"/>
      <c r="BJ55" s="40" t="str">
        <f t="shared" si="31"/>
        <v/>
      </c>
      <c r="BK55" s="157" t="str">
        <f t="shared" si="32"/>
        <v/>
      </c>
      <c r="BL55" s="157" t="str">
        <f t="shared" si="14"/>
        <v/>
      </c>
      <c r="BM55" s="72"/>
      <c r="BN55" s="72" t="str">
        <f t="shared" si="33"/>
        <v/>
      </c>
      <c r="BO55" s="72" t="str">
        <f t="shared" si="34"/>
        <v/>
      </c>
      <c r="BP55" s="39"/>
      <c r="BQ55" s="72" t="str">
        <f t="shared" si="15"/>
        <v/>
      </c>
      <c r="BR55" s="72" t="str">
        <f t="shared" si="35"/>
        <v/>
      </c>
    </row>
    <row r="56" spans="3:70" x14ac:dyDescent="0.15">
      <c r="D56" s="84" t="s">
        <v>583</v>
      </c>
      <c r="F56" s="481"/>
      <c r="G56" s="84" t="s">
        <v>574</v>
      </c>
      <c r="H56" s="370"/>
      <c r="I56" s="322">
        <f t="shared" si="36"/>
        <v>2071</v>
      </c>
      <c r="K56" s="71">
        <f t="shared" si="37"/>
        <v>42</v>
      </c>
      <c r="M56" s="7">
        <f t="shared" si="0"/>
        <v>0.28895922403035801</v>
      </c>
      <c r="O56" s="10" t="str">
        <f t="shared" si="16"/>
        <v/>
      </c>
      <c r="P56" s="29" t="str">
        <f t="shared" si="1"/>
        <v/>
      </c>
      <c r="R56" s="10" t="str">
        <f t="shared" si="17"/>
        <v/>
      </c>
      <c r="T56" s="10" t="str">
        <f t="shared" si="18"/>
        <v/>
      </c>
      <c r="V56" s="10" t="str">
        <f t="shared" si="2"/>
        <v/>
      </c>
      <c r="W56" s="10" t="str">
        <f t="shared" si="19"/>
        <v/>
      </c>
      <c r="Y56" s="10" t="str">
        <f t="shared" si="3"/>
        <v/>
      </c>
      <c r="Z56" s="10" t="str">
        <f t="shared" si="20"/>
        <v/>
      </c>
      <c r="AB56" s="10" t="str">
        <f t="shared" si="4"/>
        <v/>
      </c>
      <c r="AC56" s="10" t="str">
        <f t="shared" si="21"/>
        <v/>
      </c>
      <c r="AE56" s="10" t="str">
        <f t="shared" si="5"/>
        <v/>
      </c>
      <c r="AF56" s="10" t="str">
        <f t="shared" si="22"/>
        <v/>
      </c>
      <c r="AH56" s="10" t="str">
        <f t="shared" si="6"/>
        <v/>
      </c>
      <c r="AI56" s="10" t="str">
        <f t="shared" si="23"/>
        <v/>
      </c>
      <c r="AK56" s="10" t="str">
        <f t="shared" si="7"/>
        <v/>
      </c>
      <c r="AL56" s="10" t="str">
        <f t="shared" si="24"/>
        <v/>
      </c>
      <c r="AN56" s="10" t="str">
        <f t="shared" si="8"/>
        <v/>
      </c>
      <c r="AO56" s="10" t="str">
        <f t="shared" si="25"/>
        <v/>
      </c>
      <c r="AQ56" s="10" t="str">
        <f t="shared" si="9"/>
        <v/>
      </c>
      <c r="AR56" s="10" t="str">
        <f t="shared" si="26"/>
        <v/>
      </c>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V56" s="10" t="str">
        <f t="shared" si="10"/>
        <v/>
      </c>
      <c r="AW56" s="10" t="str">
        <f t="shared" si="27"/>
        <v/>
      </c>
      <c r="AY56" s="7" t="str">
        <f>IF(ISERROR(IF($K56&lt;=$F$15,VLOOKUP($I56,'表4）CO2価格'!$A$7:$E$67,VLOOKUP($F$48,'表4）CO2価格'!$H$10:$I$12,2,0),0)*$F$8/1000,"")),0,IF($K56&lt;=$F$15,VLOOKUP($I56,'表4）CO2価格'!$A$7:$E$67,VLOOKUP($F$48,'表4）CO2価格'!$H$10:$I$12,2,0),0)*$F$8/1000,""))</f>
        <v/>
      </c>
      <c r="BA56" s="11" t="str">
        <f t="shared" si="11"/>
        <v/>
      </c>
      <c r="BB56" s="10" t="str">
        <f t="shared" si="28"/>
        <v/>
      </c>
      <c r="BD56" s="10" t="str">
        <f t="shared" si="12"/>
        <v/>
      </c>
      <c r="BE56" s="10" t="str">
        <f t="shared" si="29"/>
        <v/>
      </c>
      <c r="BG56" s="11" t="str">
        <f t="shared" si="13"/>
        <v/>
      </c>
      <c r="BH56" s="10" t="str">
        <f t="shared" si="30"/>
        <v/>
      </c>
      <c r="BJ56" s="7" t="str">
        <f t="shared" si="31"/>
        <v/>
      </c>
      <c r="BK56" s="158" t="str">
        <f t="shared" si="32"/>
        <v/>
      </c>
      <c r="BL56" s="158" t="str">
        <f t="shared" si="14"/>
        <v/>
      </c>
      <c r="BM56" s="10"/>
      <c r="BN56" s="10" t="str">
        <f t="shared" si="33"/>
        <v/>
      </c>
      <c r="BO56" s="10" t="str">
        <f t="shared" si="34"/>
        <v/>
      </c>
      <c r="BQ56" s="10" t="str">
        <f t="shared" si="15"/>
        <v/>
      </c>
      <c r="BR56" s="10" t="str">
        <f t="shared" si="35"/>
        <v/>
      </c>
    </row>
    <row r="57" spans="3:70" x14ac:dyDescent="0.15">
      <c r="H57" s="370"/>
      <c r="I57" s="38">
        <f t="shared" si="36"/>
        <v>2072</v>
      </c>
      <c r="J57" s="39"/>
      <c r="K57" s="39">
        <f t="shared" si="37"/>
        <v>43</v>
      </c>
      <c r="L57" s="39"/>
      <c r="M57" s="40">
        <f t="shared" si="0"/>
        <v>0.28054293595180391</v>
      </c>
      <c r="N57" s="39"/>
      <c r="O57" s="72" t="str">
        <f t="shared" si="16"/>
        <v/>
      </c>
      <c r="P57" s="41" t="str">
        <f t="shared" si="1"/>
        <v/>
      </c>
      <c r="Q57" s="39"/>
      <c r="R57" s="72" t="str">
        <f t="shared" si="17"/>
        <v/>
      </c>
      <c r="S57" s="39"/>
      <c r="T57" s="72" t="str">
        <f t="shared" si="18"/>
        <v/>
      </c>
      <c r="U57" s="39"/>
      <c r="V57" s="72" t="str">
        <f t="shared" si="2"/>
        <v/>
      </c>
      <c r="W57" s="72" t="str">
        <f t="shared" si="19"/>
        <v/>
      </c>
      <c r="X57" s="39"/>
      <c r="Y57" s="72" t="str">
        <f t="shared" si="3"/>
        <v/>
      </c>
      <c r="Z57" s="72" t="str">
        <f t="shared" si="20"/>
        <v/>
      </c>
      <c r="AA57" s="39"/>
      <c r="AB57" s="72" t="str">
        <f t="shared" si="4"/>
        <v/>
      </c>
      <c r="AC57" s="72" t="str">
        <f t="shared" si="21"/>
        <v/>
      </c>
      <c r="AD57" s="39"/>
      <c r="AE57" s="72" t="str">
        <f t="shared" si="5"/>
        <v/>
      </c>
      <c r="AF57" s="72" t="str">
        <f t="shared" si="22"/>
        <v/>
      </c>
      <c r="AG57" s="39"/>
      <c r="AH57" s="72" t="str">
        <f t="shared" si="6"/>
        <v/>
      </c>
      <c r="AI57" s="72" t="str">
        <f t="shared" si="23"/>
        <v/>
      </c>
      <c r="AJ57" s="39"/>
      <c r="AK57" s="72" t="str">
        <f t="shared" si="7"/>
        <v/>
      </c>
      <c r="AL57" s="72" t="str">
        <f t="shared" si="24"/>
        <v/>
      </c>
      <c r="AM57" s="39"/>
      <c r="AN57" s="72" t="str">
        <f t="shared" si="8"/>
        <v/>
      </c>
      <c r="AO57" s="72" t="str">
        <f t="shared" si="25"/>
        <v/>
      </c>
      <c r="AP57" s="39"/>
      <c r="AQ57" s="72" t="str">
        <f t="shared" si="9"/>
        <v/>
      </c>
      <c r="AR57" s="72" t="str">
        <f t="shared" si="26"/>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10"/>
        <v/>
      </c>
      <c r="AW57" s="72" t="str">
        <f t="shared" si="27"/>
        <v/>
      </c>
      <c r="AX57" s="39"/>
      <c r="AY57" s="40" t="str">
        <f>IF(ISERROR(IF($K57&lt;=$F$15,VLOOKUP($I57,'表4）CO2価格'!$A$7:$E$67,VLOOKUP($F$48,'表4）CO2価格'!$H$10:$I$12,2,0),0)*$F$8/1000,"")),0,IF($K57&lt;=$F$15,VLOOKUP($I57,'表4）CO2価格'!$A$7:$E$67,VLOOKUP($F$48,'表4）CO2価格'!$H$10:$I$12,2,0),0)*$F$8/1000,""))</f>
        <v/>
      </c>
      <c r="AZ57" s="39"/>
      <c r="BA57" s="42" t="str">
        <f t="shared" si="11"/>
        <v/>
      </c>
      <c r="BB57" s="72" t="str">
        <f t="shared" si="28"/>
        <v/>
      </c>
      <c r="BC57" s="39"/>
      <c r="BD57" s="72" t="str">
        <f t="shared" si="12"/>
        <v/>
      </c>
      <c r="BE57" s="72" t="str">
        <f t="shared" si="29"/>
        <v/>
      </c>
      <c r="BF57" s="39"/>
      <c r="BG57" s="42" t="str">
        <f t="shared" si="13"/>
        <v/>
      </c>
      <c r="BH57" s="72" t="str">
        <f t="shared" si="30"/>
        <v/>
      </c>
      <c r="BI57" s="39"/>
      <c r="BJ57" s="40" t="str">
        <f t="shared" si="31"/>
        <v/>
      </c>
      <c r="BK57" s="157" t="str">
        <f t="shared" si="32"/>
        <v/>
      </c>
      <c r="BL57" s="157" t="str">
        <f t="shared" si="14"/>
        <v/>
      </c>
      <c r="BM57" s="72"/>
      <c r="BN57" s="72" t="str">
        <f t="shared" si="33"/>
        <v/>
      </c>
      <c r="BO57" s="72" t="str">
        <f t="shared" si="34"/>
        <v/>
      </c>
      <c r="BP57" s="39"/>
      <c r="BQ57" s="72" t="str">
        <f t="shared" si="15"/>
        <v/>
      </c>
      <c r="BR57" s="72" t="str">
        <f t="shared" si="35"/>
        <v/>
      </c>
    </row>
    <row r="58" spans="3:70" x14ac:dyDescent="0.15">
      <c r="C58" s="4" t="s">
        <v>584</v>
      </c>
      <c r="D58" s="100"/>
      <c r="E58" s="100"/>
      <c r="F58" s="4"/>
      <c r="G58" s="100"/>
      <c r="H58" s="370"/>
      <c r="I58" s="322">
        <f t="shared" si="36"/>
        <v>2073</v>
      </c>
      <c r="K58" s="71">
        <f t="shared" si="37"/>
        <v>44</v>
      </c>
      <c r="M58" s="7">
        <f t="shared" si="0"/>
        <v>0.27237178247747956</v>
      </c>
      <c r="O58" s="10" t="str">
        <f t="shared" si="16"/>
        <v/>
      </c>
      <c r="P58" s="29" t="str">
        <f t="shared" si="1"/>
        <v/>
      </c>
      <c r="R58" s="10" t="str">
        <f t="shared" si="17"/>
        <v/>
      </c>
      <c r="T58" s="10" t="str">
        <f t="shared" si="18"/>
        <v/>
      </c>
      <c r="V58" s="10" t="str">
        <f t="shared" si="2"/>
        <v/>
      </c>
      <c r="W58" s="10" t="str">
        <f t="shared" si="19"/>
        <v/>
      </c>
      <c r="Y58" s="10" t="str">
        <f t="shared" si="3"/>
        <v/>
      </c>
      <c r="Z58" s="10" t="str">
        <f t="shared" si="20"/>
        <v/>
      </c>
      <c r="AB58" s="10" t="str">
        <f t="shared" si="4"/>
        <v/>
      </c>
      <c r="AC58" s="10" t="str">
        <f t="shared" si="21"/>
        <v/>
      </c>
      <c r="AE58" s="10" t="str">
        <f t="shared" si="5"/>
        <v/>
      </c>
      <c r="AF58" s="10" t="str">
        <f t="shared" si="22"/>
        <v/>
      </c>
      <c r="AH58" s="10" t="str">
        <f t="shared" si="6"/>
        <v/>
      </c>
      <c r="AI58" s="10" t="str">
        <f t="shared" si="23"/>
        <v/>
      </c>
      <c r="AK58" s="10" t="str">
        <f t="shared" si="7"/>
        <v/>
      </c>
      <c r="AL58" s="10" t="str">
        <f t="shared" si="24"/>
        <v/>
      </c>
      <c r="AN58" s="10" t="str">
        <f t="shared" si="8"/>
        <v/>
      </c>
      <c r="AO58" s="10" t="str">
        <f t="shared" si="25"/>
        <v/>
      </c>
      <c r="AQ58" s="10" t="str">
        <f t="shared" si="9"/>
        <v/>
      </c>
      <c r="AR58" s="10" t="str">
        <f t="shared" si="26"/>
        <v/>
      </c>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V58" s="10" t="str">
        <f t="shared" si="10"/>
        <v/>
      </c>
      <c r="AW58" s="10" t="str">
        <f t="shared" si="27"/>
        <v/>
      </c>
      <c r="AY58" s="7" t="str">
        <f>IF(ISERROR(IF($K58&lt;=$F$15,VLOOKUP($I58,'表4）CO2価格'!$A$7:$E$67,VLOOKUP($F$48,'表4）CO2価格'!$H$10:$I$12,2,0),0)*$F$8/1000,"")),0,IF($K58&lt;=$F$15,VLOOKUP($I58,'表4）CO2価格'!$A$7:$E$67,VLOOKUP($F$48,'表4）CO2価格'!$H$10:$I$12,2,0),0)*$F$8/1000,""))</f>
        <v/>
      </c>
      <c r="BA58" s="11" t="str">
        <f t="shared" si="11"/>
        <v/>
      </c>
      <c r="BB58" s="10" t="str">
        <f t="shared" si="28"/>
        <v/>
      </c>
      <c r="BD58" s="10" t="str">
        <f t="shared" si="12"/>
        <v/>
      </c>
      <c r="BE58" s="10" t="str">
        <f t="shared" si="29"/>
        <v/>
      </c>
      <c r="BG58" s="11" t="str">
        <f t="shared" si="13"/>
        <v/>
      </c>
      <c r="BH58" s="10" t="str">
        <f t="shared" si="30"/>
        <v/>
      </c>
      <c r="BJ58" s="7" t="str">
        <f t="shared" si="31"/>
        <v/>
      </c>
      <c r="BK58" s="158" t="str">
        <f t="shared" si="32"/>
        <v/>
      </c>
      <c r="BL58" s="158" t="str">
        <f t="shared" si="14"/>
        <v/>
      </c>
      <c r="BM58" s="10"/>
      <c r="BN58" s="10" t="str">
        <f t="shared" si="33"/>
        <v/>
      </c>
      <c r="BO58" s="10" t="str">
        <f t="shared" si="34"/>
        <v/>
      </c>
      <c r="BQ58" s="10" t="str">
        <f t="shared" si="15"/>
        <v/>
      </c>
      <c r="BR58" s="10" t="str">
        <f t="shared" si="35"/>
        <v/>
      </c>
    </row>
    <row r="59" spans="3:70" x14ac:dyDescent="0.15">
      <c r="H59" s="370"/>
      <c r="I59" s="38">
        <f t="shared" si="36"/>
        <v>2074</v>
      </c>
      <c r="J59" s="39"/>
      <c r="K59" s="39">
        <f t="shared" si="37"/>
        <v>45</v>
      </c>
      <c r="L59" s="39"/>
      <c r="M59" s="40">
        <f t="shared" si="0"/>
        <v>0.26443862376454325</v>
      </c>
      <c r="N59" s="39"/>
      <c r="O59" s="72" t="str">
        <f t="shared" si="16"/>
        <v/>
      </c>
      <c r="P59" s="41" t="str">
        <f t="shared" si="1"/>
        <v/>
      </c>
      <c r="Q59" s="39"/>
      <c r="R59" s="72" t="str">
        <f t="shared" si="17"/>
        <v/>
      </c>
      <c r="S59" s="39"/>
      <c r="T59" s="72" t="str">
        <f t="shared" si="18"/>
        <v/>
      </c>
      <c r="U59" s="39"/>
      <c r="V59" s="72" t="str">
        <f t="shared" si="2"/>
        <v/>
      </c>
      <c r="W59" s="72" t="str">
        <f t="shared" si="19"/>
        <v/>
      </c>
      <c r="X59" s="39"/>
      <c r="Y59" s="72" t="str">
        <f t="shared" si="3"/>
        <v/>
      </c>
      <c r="Z59" s="72" t="str">
        <f t="shared" si="20"/>
        <v/>
      </c>
      <c r="AA59" s="39"/>
      <c r="AB59" s="72" t="str">
        <f t="shared" si="4"/>
        <v/>
      </c>
      <c r="AC59" s="72" t="str">
        <f t="shared" si="21"/>
        <v/>
      </c>
      <c r="AD59" s="39"/>
      <c r="AE59" s="72" t="str">
        <f t="shared" si="5"/>
        <v/>
      </c>
      <c r="AF59" s="72" t="str">
        <f t="shared" si="22"/>
        <v/>
      </c>
      <c r="AG59" s="39"/>
      <c r="AH59" s="72" t="str">
        <f t="shared" si="6"/>
        <v/>
      </c>
      <c r="AI59" s="72" t="str">
        <f t="shared" si="23"/>
        <v/>
      </c>
      <c r="AJ59" s="39"/>
      <c r="AK59" s="72" t="str">
        <f t="shared" si="7"/>
        <v/>
      </c>
      <c r="AL59" s="72" t="str">
        <f t="shared" si="24"/>
        <v/>
      </c>
      <c r="AM59" s="39"/>
      <c r="AN59" s="72" t="str">
        <f t="shared" si="8"/>
        <v/>
      </c>
      <c r="AO59" s="72" t="str">
        <f t="shared" si="25"/>
        <v/>
      </c>
      <c r="AP59" s="39"/>
      <c r="AQ59" s="72" t="str">
        <f t="shared" si="9"/>
        <v/>
      </c>
      <c r="AR59" s="72" t="str">
        <f t="shared" si="26"/>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10"/>
        <v/>
      </c>
      <c r="AW59" s="72" t="str">
        <f t="shared" si="27"/>
        <v/>
      </c>
      <c r="AX59" s="39"/>
      <c r="AY59" s="40" t="str">
        <f>IF(ISERROR(IF($K59&lt;=$F$15,VLOOKUP($I59,'表4）CO2価格'!$A$7:$E$67,VLOOKUP($F$48,'表4）CO2価格'!$H$10:$I$12,2,0),0)*$F$8/1000,"")),0,IF($K59&lt;=$F$15,VLOOKUP($I59,'表4）CO2価格'!$A$7:$E$67,VLOOKUP($F$48,'表4）CO2価格'!$H$10:$I$12,2,0),0)*$F$8/1000,""))</f>
        <v/>
      </c>
      <c r="AZ59" s="39"/>
      <c r="BA59" s="42" t="str">
        <f t="shared" si="11"/>
        <v/>
      </c>
      <c r="BB59" s="72" t="str">
        <f t="shared" si="28"/>
        <v/>
      </c>
      <c r="BC59" s="39"/>
      <c r="BD59" s="72" t="str">
        <f t="shared" si="12"/>
        <v/>
      </c>
      <c r="BE59" s="72" t="str">
        <f t="shared" si="29"/>
        <v/>
      </c>
      <c r="BF59" s="39"/>
      <c r="BG59" s="42" t="str">
        <f t="shared" si="13"/>
        <v/>
      </c>
      <c r="BH59" s="72" t="str">
        <f t="shared" si="30"/>
        <v/>
      </c>
      <c r="BI59" s="39"/>
      <c r="BJ59" s="40" t="str">
        <f t="shared" si="31"/>
        <v/>
      </c>
      <c r="BK59" s="157" t="str">
        <f t="shared" si="32"/>
        <v/>
      </c>
      <c r="BL59" s="157" t="str">
        <f t="shared" si="14"/>
        <v/>
      </c>
      <c r="BM59" s="72"/>
      <c r="BN59" s="72" t="str">
        <f t="shared" si="33"/>
        <v/>
      </c>
      <c r="BO59" s="72" t="str">
        <f t="shared" si="34"/>
        <v/>
      </c>
      <c r="BP59" s="39"/>
      <c r="BQ59" s="72" t="str">
        <f t="shared" si="15"/>
        <v/>
      </c>
      <c r="BR59" s="72" t="str">
        <f t="shared" si="35"/>
        <v/>
      </c>
    </row>
    <row r="60" spans="3:70" x14ac:dyDescent="0.15">
      <c r="D60" s="84" t="s">
        <v>585</v>
      </c>
      <c r="F60" s="481"/>
      <c r="G60" s="84" t="s">
        <v>566</v>
      </c>
      <c r="H60" s="370"/>
      <c r="I60" s="322">
        <f t="shared" si="36"/>
        <v>2075</v>
      </c>
      <c r="K60" s="71">
        <f t="shared" si="37"/>
        <v>46</v>
      </c>
      <c r="M60" s="7">
        <f t="shared" si="0"/>
        <v>0.25673652792674101</v>
      </c>
      <c r="O60" s="10" t="str">
        <f t="shared" si="16"/>
        <v/>
      </c>
      <c r="P60" s="29" t="str">
        <f t="shared" si="1"/>
        <v/>
      </c>
      <c r="R60" s="10" t="str">
        <f t="shared" si="17"/>
        <v/>
      </c>
      <c r="T60" s="10" t="str">
        <f t="shared" si="18"/>
        <v/>
      </c>
      <c r="V60" s="10" t="str">
        <f t="shared" si="2"/>
        <v/>
      </c>
      <c r="W60" s="10" t="str">
        <f t="shared" si="19"/>
        <v/>
      </c>
      <c r="Y60" s="10" t="str">
        <f t="shared" si="3"/>
        <v/>
      </c>
      <c r="Z60" s="10" t="str">
        <f t="shared" si="20"/>
        <v/>
      </c>
      <c r="AB60" s="10" t="str">
        <f t="shared" si="4"/>
        <v/>
      </c>
      <c r="AC60" s="10" t="str">
        <f t="shared" si="21"/>
        <v/>
      </c>
      <c r="AE60" s="10" t="str">
        <f t="shared" si="5"/>
        <v/>
      </c>
      <c r="AF60" s="10" t="str">
        <f t="shared" si="22"/>
        <v/>
      </c>
      <c r="AH60" s="10" t="str">
        <f t="shared" si="6"/>
        <v/>
      </c>
      <c r="AI60" s="10" t="str">
        <f t="shared" si="23"/>
        <v/>
      </c>
      <c r="AK60" s="10" t="str">
        <f t="shared" si="7"/>
        <v/>
      </c>
      <c r="AL60" s="10" t="str">
        <f t="shared" si="24"/>
        <v/>
      </c>
      <c r="AN60" s="10" t="str">
        <f t="shared" si="8"/>
        <v/>
      </c>
      <c r="AO60" s="10" t="str">
        <f t="shared" si="25"/>
        <v/>
      </c>
      <c r="AQ60" s="10" t="str">
        <f t="shared" si="9"/>
        <v/>
      </c>
      <c r="AR60" s="10" t="str">
        <f t="shared" si="26"/>
        <v/>
      </c>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V60" s="10" t="str">
        <f t="shared" si="10"/>
        <v/>
      </c>
      <c r="AW60" s="10" t="str">
        <f t="shared" si="27"/>
        <v/>
      </c>
      <c r="AY60" s="7" t="str">
        <f>IF(ISERROR(IF($K60&lt;=$F$15,VLOOKUP($I60,'表4）CO2価格'!$A$7:$E$67,VLOOKUP($F$48,'表4）CO2価格'!$H$10:$I$12,2,0),0)*$F$8/1000,"")),0,IF($K60&lt;=$F$15,VLOOKUP($I60,'表4）CO2価格'!$A$7:$E$67,VLOOKUP($F$48,'表4）CO2価格'!$H$10:$I$12,2,0),0)*$F$8/1000,""))</f>
        <v/>
      </c>
      <c r="BA60" s="11" t="str">
        <f t="shared" si="11"/>
        <v/>
      </c>
      <c r="BB60" s="10" t="str">
        <f t="shared" si="28"/>
        <v/>
      </c>
      <c r="BD60" s="10" t="str">
        <f t="shared" si="12"/>
        <v/>
      </c>
      <c r="BE60" s="10" t="str">
        <f t="shared" si="29"/>
        <v/>
      </c>
      <c r="BG60" s="11" t="str">
        <f t="shared" si="13"/>
        <v/>
      </c>
      <c r="BH60" s="10" t="str">
        <f t="shared" si="30"/>
        <v/>
      </c>
      <c r="BJ60" s="7" t="str">
        <f t="shared" si="31"/>
        <v/>
      </c>
      <c r="BK60" s="158" t="str">
        <f t="shared" si="32"/>
        <v/>
      </c>
      <c r="BL60" s="158" t="str">
        <f t="shared" si="14"/>
        <v/>
      </c>
      <c r="BM60" s="10"/>
      <c r="BN60" s="10" t="str">
        <f t="shared" si="33"/>
        <v/>
      </c>
      <c r="BO60" s="10" t="str">
        <f t="shared" si="34"/>
        <v/>
      </c>
      <c r="BQ60" s="10" t="str">
        <f t="shared" si="15"/>
        <v/>
      </c>
      <c r="BR60" s="10" t="str">
        <f t="shared" si="35"/>
        <v/>
      </c>
    </row>
    <row r="61" spans="3:70" x14ac:dyDescent="0.15">
      <c r="D61" s="84" t="s">
        <v>586</v>
      </c>
      <c r="F61" s="475"/>
      <c r="G61" s="84" t="s">
        <v>556</v>
      </c>
      <c r="H61" s="370"/>
      <c r="I61" s="38">
        <f t="shared" si="36"/>
        <v>2076</v>
      </c>
      <c r="J61" s="39"/>
      <c r="K61" s="39">
        <f t="shared" si="37"/>
        <v>47</v>
      </c>
      <c r="L61" s="39"/>
      <c r="M61" s="40">
        <f t="shared" si="0"/>
        <v>0.24925876497741845</v>
      </c>
      <c r="N61" s="39"/>
      <c r="O61" s="72" t="str">
        <f t="shared" si="16"/>
        <v/>
      </c>
      <c r="P61" s="41" t="str">
        <f t="shared" si="1"/>
        <v/>
      </c>
      <c r="Q61" s="39"/>
      <c r="R61" s="72" t="str">
        <f t="shared" si="17"/>
        <v/>
      </c>
      <c r="S61" s="39"/>
      <c r="T61" s="72" t="str">
        <f t="shared" si="18"/>
        <v/>
      </c>
      <c r="U61" s="39"/>
      <c r="V61" s="72" t="str">
        <f t="shared" si="2"/>
        <v/>
      </c>
      <c r="W61" s="72" t="str">
        <f t="shared" si="19"/>
        <v/>
      </c>
      <c r="X61" s="39"/>
      <c r="Y61" s="72" t="str">
        <f t="shared" si="3"/>
        <v/>
      </c>
      <c r="Z61" s="72" t="str">
        <f t="shared" si="20"/>
        <v/>
      </c>
      <c r="AA61" s="39"/>
      <c r="AB61" s="72" t="str">
        <f t="shared" si="4"/>
        <v/>
      </c>
      <c r="AC61" s="72" t="str">
        <f t="shared" si="21"/>
        <v/>
      </c>
      <c r="AD61" s="39"/>
      <c r="AE61" s="72" t="str">
        <f t="shared" si="5"/>
        <v/>
      </c>
      <c r="AF61" s="72" t="str">
        <f t="shared" si="22"/>
        <v/>
      </c>
      <c r="AG61" s="39"/>
      <c r="AH61" s="72" t="str">
        <f t="shared" si="6"/>
        <v/>
      </c>
      <c r="AI61" s="72" t="str">
        <f t="shared" si="23"/>
        <v/>
      </c>
      <c r="AJ61" s="39"/>
      <c r="AK61" s="72" t="str">
        <f t="shared" si="7"/>
        <v/>
      </c>
      <c r="AL61" s="72" t="str">
        <f t="shared" si="24"/>
        <v/>
      </c>
      <c r="AM61" s="39"/>
      <c r="AN61" s="72" t="str">
        <f t="shared" si="8"/>
        <v/>
      </c>
      <c r="AO61" s="72" t="str">
        <f t="shared" si="25"/>
        <v/>
      </c>
      <c r="AP61" s="39"/>
      <c r="AQ61" s="72" t="str">
        <f t="shared" si="9"/>
        <v/>
      </c>
      <c r="AR61" s="72" t="str">
        <f t="shared" si="26"/>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10"/>
        <v/>
      </c>
      <c r="AW61" s="72" t="str">
        <f t="shared" si="27"/>
        <v/>
      </c>
      <c r="AX61" s="39"/>
      <c r="AY61" s="40" t="str">
        <f>IF(ISERROR(IF($K61&lt;=$F$15,VLOOKUP($I61,'表4）CO2価格'!$A$7:$E$67,VLOOKUP($F$48,'表4）CO2価格'!$H$10:$I$12,2,0),0)*$F$8/1000,"")),0,IF($K61&lt;=$F$15,VLOOKUP($I61,'表4）CO2価格'!$A$7:$E$67,VLOOKUP($F$48,'表4）CO2価格'!$H$10:$I$12,2,0),0)*$F$8/1000,""))</f>
        <v/>
      </c>
      <c r="AZ61" s="39"/>
      <c r="BA61" s="42" t="str">
        <f t="shared" si="11"/>
        <v/>
      </c>
      <c r="BB61" s="72" t="str">
        <f t="shared" si="28"/>
        <v/>
      </c>
      <c r="BC61" s="39"/>
      <c r="BD61" s="72" t="str">
        <f t="shared" si="12"/>
        <v/>
      </c>
      <c r="BE61" s="72" t="str">
        <f t="shared" si="29"/>
        <v/>
      </c>
      <c r="BF61" s="39"/>
      <c r="BG61" s="42" t="str">
        <f t="shared" si="13"/>
        <v/>
      </c>
      <c r="BH61" s="72" t="str">
        <f t="shared" si="30"/>
        <v/>
      </c>
      <c r="BI61" s="39"/>
      <c r="BJ61" s="40" t="str">
        <f t="shared" si="31"/>
        <v/>
      </c>
      <c r="BK61" s="157" t="str">
        <f t="shared" si="32"/>
        <v/>
      </c>
      <c r="BL61" s="157" t="str">
        <f t="shared" si="14"/>
        <v/>
      </c>
      <c r="BM61" s="72"/>
      <c r="BN61" s="72" t="str">
        <f t="shared" si="33"/>
        <v/>
      </c>
      <c r="BO61" s="72" t="str">
        <f t="shared" si="34"/>
        <v/>
      </c>
      <c r="BP61" s="39"/>
      <c r="BQ61" s="72" t="str">
        <f t="shared" si="15"/>
        <v/>
      </c>
      <c r="BR61" s="72" t="str">
        <f t="shared" si="35"/>
        <v/>
      </c>
    </row>
    <row r="62" spans="3:70" x14ac:dyDescent="0.15">
      <c r="D62" s="84" t="s">
        <v>587</v>
      </c>
      <c r="F62" s="481"/>
      <c r="G62" s="84" t="s">
        <v>588</v>
      </c>
      <c r="H62" s="370"/>
      <c r="I62" s="322">
        <f t="shared" si="36"/>
        <v>2077</v>
      </c>
      <c r="K62" s="71">
        <f t="shared" si="37"/>
        <v>48</v>
      </c>
      <c r="M62" s="7">
        <f t="shared" si="0"/>
        <v>0.24199880094894996</v>
      </c>
      <c r="O62" s="10" t="str">
        <f t="shared" si="16"/>
        <v/>
      </c>
      <c r="P62" s="29" t="str">
        <f t="shared" si="1"/>
        <v/>
      </c>
      <c r="R62" s="10" t="str">
        <f t="shared" si="17"/>
        <v/>
      </c>
      <c r="T62" s="10" t="str">
        <f t="shared" si="18"/>
        <v/>
      </c>
      <c r="V62" s="10" t="str">
        <f t="shared" si="2"/>
        <v/>
      </c>
      <c r="W62" s="10" t="str">
        <f t="shared" si="19"/>
        <v/>
      </c>
      <c r="Y62" s="10" t="str">
        <f t="shared" si="3"/>
        <v/>
      </c>
      <c r="Z62" s="10" t="str">
        <f t="shared" si="20"/>
        <v/>
      </c>
      <c r="AB62" s="10" t="str">
        <f t="shared" si="4"/>
        <v/>
      </c>
      <c r="AC62" s="10" t="str">
        <f t="shared" si="21"/>
        <v/>
      </c>
      <c r="AE62" s="10" t="str">
        <f t="shared" si="5"/>
        <v/>
      </c>
      <c r="AF62" s="10" t="str">
        <f t="shared" si="22"/>
        <v/>
      </c>
      <c r="AH62" s="10" t="str">
        <f t="shared" si="6"/>
        <v/>
      </c>
      <c r="AI62" s="10" t="str">
        <f t="shared" si="23"/>
        <v/>
      </c>
      <c r="AK62" s="10" t="str">
        <f t="shared" si="7"/>
        <v/>
      </c>
      <c r="AL62" s="10" t="str">
        <f t="shared" si="24"/>
        <v/>
      </c>
      <c r="AN62" s="10" t="str">
        <f t="shared" si="8"/>
        <v/>
      </c>
      <c r="AO62" s="10" t="str">
        <f t="shared" si="25"/>
        <v/>
      </c>
      <c r="AQ62" s="10" t="str">
        <f t="shared" si="9"/>
        <v/>
      </c>
      <c r="AR62" s="10" t="str">
        <f t="shared" si="26"/>
        <v/>
      </c>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V62" s="10" t="str">
        <f t="shared" si="10"/>
        <v/>
      </c>
      <c r="AW62" s="10" t="str">
        <f t="shared" si="27"/>
        <v/>
      </c>
      <c r="AY62" s="7" t="str">
        <f>IF(ISERROR(IF($K62&lt;=$F$15,VLOOKUP($I62,'表4）CO2価格'!$A$7:$E$67,VLOOKUP($F$48,'表4）CO2価格'!$H$10:$I$12,2,0),0)*$F$8/1000,"")),0,IF($K62&lt;=$F$15,VLOOKUP($I62,'表4）CO2価格'!$A$7:$E$67,VLOOKUP($F$48,'表4）CO2価格'!$H$10:$I$12,2,0),0)*$F$8/1000,""))</f>
        <v/>
      </c>
      <c r="BA62" s="11" t="str">
        <f t="shared" si="11"/>
        <v/>
      </c>
      <c r="BB62" s="10" t="str">
        <f t="shared" si="28"/>
        <v/>
      </c>
      <c r="BD62" s="10" t="str">
        <f t="shared" si="12"/>
        <v/>
      </c>
      <c r="BE62" s="10" t="str">
        <f t="shared" si="29"/>
        <v/>
      </c>
      <c r="BG62" s="11" t="str">
        <f t="shared" si="13"/>
        <v/>
      </c>
      <c r="BH62" s="10" t="str">
        <f t="shared" si="30"/>
        <v/>
      </c>
      <c r="BJ62" s="7" t="str">
        <f t="shared" si="31"/>
        <v/>
      </c>
      <c r="BK62" s="158" t="str">
        <f t="shared" si="32"/>
        <v/>
      </c>
      <c r="BL62" s="158" t="str">
        <f t="shared" si="14"/>
        <v/>
      </c>
      <c r="BM62" s="10"/>
      <c r="BN62" s="10" t="str">
        <f t="shared" si="33"/>
        <v/>
      </c>
      <c r="BO62" s="10" t="str">
        <f t="shared" si="34"/>
        <v/>
      </c>
      <c r="BQ62" s="10" t="str">
        <f t="shared" si="15"/>
        <v/>
      </c>
      <c r="BR62" s="10" t="str">
        <f t="shared" si="35"/>
        <v/>
      </c>
    </row>
    <row r="63" spans="3:70" x14ac:dyDescent="0.15">
      <c r="H63" s="370"/>
      <c r="I63" s="38">
        <f t="shared" si="36"/>
        <v>2078</v>
      </c>
      <c r="J63" s="39"/>
      <c r="K63" s="39">
        <f t="shared" si="37"/>
        <v>49</v>
      </c>
      <c r="L63" s="39"/>
      <c r="M63" s="40">
        <f t="shared" si="0"/>
        <v>0.2349502921834466</v>
      </c>
      <c r="N63" s="39"/>
      <c r="O63" s="72" t="str">
        <f t="shared" si="16"/>
        <v/>
      </c>
      <c r="P63" s="41" t="str">
        <f t="shared" si="1"/>
        <v/>
      </c>
      <c r="Q63" s="39"/>
      <c r="R63" s="72" t="str">
        <f t="shared" si="17"/>
        <v/>
      </c>
      <c r="S63" s="39"/>
      <c r="T63" s="72" t="str">
        <f t="shared" si="18"/>
        <v/>
      </c>
      <c r="U63" s="39"/>
      <c r="V63" s="72" t="str">
        <f t="shared" si="2"/>
        <v/>
      </c>
      <c r="W63" s="72" t="str">
        <f t="shared" si="19"/>
        <v/>
      </c>
      <c r="X63" s="39"/>
      <c r="Y63" s="72" t="str">
        <f t="shared" si="3"/>
        <v/>
      </c>
      <c r="Z63" s="72" t="str">
        <f t="shared" si="20"/>
        <v/>
      </c>
      <c r="AA63" s="39"/>
      <c r="AB63" s="72" t="str">
        <f t="shared" si="4"/>
        <v/>
      </c>
      <c r="AC63" s="72" t="str">
        <f t="shared" si="21"/>
        <v/>
      </c>
      <c r="AD63" s="39"/>
      <c r="AE63" s="72" t="str">
        <f t="shared" si="5"/>
        <v/>
      </c>
      <c r="AF63" s="72" t="str">
        <f t="shared" si="22"/>
        <v/>
      </c>
      <c r="AG63" s="39"/>
      <c r="AH63" s="72" t="str">
        <f t="shared" si="6"/>
        <v/>
      </c>
      <c r="AI63" s="72" t="str">
        <f t="shared" si="23"/>
        <v/>
      </c>
      <c r="AJ63" s="39"/>
      <c r="AK63" s="72" t="str">
        <f t="shared" si="7"/>
        <v/>
      </c>
      <c r="AL63" s="72" t="str">
        <f t="shared" si="24"/>
        <v/>
      </c>
      <c r="AM63" s="39"/>
      <c r="AN63" s="72" t="str">
        <f t="shared" si="8"/>
        <v/>
      </c>
      <c r="AO63" s="72" t="str">
        <f t="shared" si="25"/>
        <v/>
      </c>
      <c r="AP63" s="39"/>
      <c r="AQ63" s="72" t="str">
        <f t="shared" si="9"/>
        <v/>
      </c>
      <c r="AR63" s="72" t="str">
        <f t="shared" si="26"/>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10"/>
        <v/>
      </c>
      <c r="AW63" s="72" t="str">
        <f t="shared" si="27"/>
        <v/>
      </c>
      <c r="AX63" s="39"/>
      <c r="AY63" s="40" t="str">
        <f>IF(ISERROR(IF($K63&lt;=$F$15,VLOOKUP($I63,'表4）CO2価格'!$A$7:$E$67,VLOOKUP($F$48,'表4）CO2価格'!$H$10:$I$12,2,0),0)*$F$8/1000,"")),0,IF($K63&lt;=$F$15,VLOOKUP($I63,'表4）CO2価格'!$A$7:$E$67,VLOOKUP($F$48,'表4）CO2価格'!$H$10:$I$12,2,0),0)*$F$8/1000,""))</f>
        <v/>
      </c>
      <c r="AZ63" s="39"/>
      <c r="BA63" s="42" t="str">
        <f t="shared" si="11"/>
        <v/>
      </c>
      <c r="BB63" s="72" t="str">
        <f t="shared" si="28"/>
        <v/>
      </c>
      <c r="BC63" s="39"/>
      <c r="BD63" s="72" t="str">
        <f t="shared" si="12"/>
        <v/>
      </c>
      <c r="BE63" s="72" t="str">
        <f t="shared" si="29"/>
        <v/>
      </c>
      <c r="BF63" s="39"/>
      <c r="BG63" s="42" t="str">
        <f t="shared" si="13"/>
        <v/>
      </c>
      <c r="BH63" s="72" t="str">
        <f t="shared" si="30"/>
        <v/>
      </c>
      <c r="BI63" s="39"/>
      <c r="BJ63" s="40" t="str">
        <f t="shared" si="31"/>
        <v/>
      </c>
      <c r="BK63" s="157" t="str">
        <f t="shared" si="32"/>
        <v/>
      </c>
      <c r="BL63" s="157" t="str">
        <f t="shared" si="14"/>
        <v/>
      </c>
      <c r="BM63" s="72"/>
      <c r="BN63" s="72" t="str">
        <f t="shared" si="33"/>
        <v/>
      </c>
      <c r="BO63" s="72" t="str">
        <f t="shared" si="34"/>
        <v/>
      </c>
      <c r="BP63" s="39"/>
      <c r="BQ63" s="72" t="str">
        <f t="shared" si="15"/>
        <v/>
      </c>
      <c r="BR63" s="72" t="str">
        <f t="shared" si="35"/>
        <v/>
      </c>
    </row>
    <row r="64" spans="3:70" x14ac:dyDescent="0.15">
      <c r="C64" s="71" t="s">
        <v>589</v>
      </c>
      <c r="F64" s="478">
        <v>0.13</v>
      </c>
      <c r="G64" s="84" t="s">
        <v>590</v>
      </c>
      <c r="H64" s="370"/>
      <c r="I64" s="322">
        <f t="shared" si="36"/>
        <v>2079</v>
      </c>
      <c r="K64" s="71">
        <f t="shared" si="37"/>
        <v>50</v>
      </c>
      <c r="M64" s="7">
        <f t="shared" si="0"/>
        <v>0.22810707978975397</v>
      </c>
      <c r="O64" s="10" t="str">
        <f t="shared" si="16"/>
        <v/>
      </c>
      <c r="P64" s="29" t="str">
        <f t="shared" si="1"/>
        <v/>
      </c>
      <c r="R64" s="10" t="str">
        <f t="shared" si="17"/>
        <v/>
      </c>
      <c r="T64" s="10" t="str">
        <f t="shared" si="18"/>
        <v/>
      </c>
      <c r="V64" s="10" t="str">
        <f t="shared" si="2"/>
        <v/>
      </c>
      <c r="W64" s="10" t="str">
        <f t="shared" si="19"/>
        <v/>
      </c>
      <c r="Y64" s="10" t="str">
        <f t="shared" si="3"/>
        <v/>
      </c>
      <c r="Z64" s="10" t="str">
        <f t="shared" si="20"/>
        <v/>
      </c>
      <c r="AB64" s="10" t="str">
        <f t="shared" si="4"/>
        <v/>
      </c>
      <c r="AC64" s="10" t="str">
        <f t="shared" si="21"/>
        <v/>
      </c>
      <c r="AE64" s="10" t="str">
        <f t="shared" si="5"/>
        <v/>
      </c>
      <c r="AF64" s="10" t="str">
        <f t="shared" si="22"/>
        <v/>
      </c>
      <c r="AH64" s="10" t="str">
        <f t="shared" si="6"/>
        <v/>
      </c>
      <c r="AI64" s="10" t="str">
        <f t="shared" si="23"/>
        <v/>
      </c>
      <c r="AK64" s="10" t="str">
        <f t="shared" si="7"/>
        <v/>
      </c>
      <c r="AL64" s="10" t="str">
        <f t="shared" si="24"/>
        <v/>
      </c>
      <c r="AN64" s="10" t="str">
        <f t="shared" si="8"/>
        <v/>
      </c>
      <c r="AO64" s="10" t="str">
        <f t="shared" si="25"/>
        <v/>
      </c>
      <c r="AQ64" s="10" t="str">
        <f t="shared" si="9"/>
        <v/>
      </c>
      <c r="AR64" s="10" t="str">
        <f t="shared" si="26"/>
        <v/>
      </c>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V64" s="10" t="str">
        <f t="shared" si="10"/>
        <v/>
      </c>
      <c r="AW64" s="10" t="str">
        <f t="shared" si="27"/>
        <v/>
      </c>
      <c r="AY64" s="7" t="str">
        <f>IF(ISERROR(IF($K64&lt;=$F$15,VLOOKUP($I64,'表4）CO2価格'!$A$7:$E$67,VLOOKUP($F$48,'表4）CO2価格'!$H$10:$I$12,2,0),0)*$F$8/1000,"")),0,IF($K64&lt;=$F$15,VLOOKUP($I64,'表4）CO2価格'!$A$7:$E$67,VLOOKUP($F$48,'表4）CO2価格'!$H$10:$I$12,2,0),0)*$F$8/1000,""))</f>
        <v/>
      </c>
      <c r="BA64" s="11" t="str">
        <f t="shared" si="11"/>
        <v/>
      </c>
      <c r="BB64" s="10" t="str">
        <f t="shared" si="28"/>
        <v/>
      </c>
      <c r="BD64" s="10" t="str">
        <f t="shared" si="12"/>
        <v/>
      </c>
      <c r="BE64" s="10" t="str">
        <f t="shared" si="29"/>
        <v/>
      </c>
      <c r="BG64" s="11" t="str">
        <f t="shared" si="13"/>
        <v/>
      </c>
      <c r="BH64" s="10" t="str">
        <f t="shared" si="30"/>
        <v/>
      </c>
      <c r="BJ64" s="7" t="str">
        <f t="shared" si="31"/>
        <v/>
      </c>
      <c r="BK64" s="158" t="str">
        <f t="shared" si="32"/>
        <v/>
      </c>
      <c r="BL64" s="158" t="str">
        <f t="shared" si="14"/>
        <v/>
      </c>
      <c r="BM64" s="10"/>
      <c r="BN64" s="10" t="str">
        <f t="shared" si="33"/>
        <v/>
      </c>
      <c r="BO64" s="10" t="str">
        <f t="shared" si="34"/>
        <v/>
      </c>
      <c r="BQ64" s="10" t="str">
        <f t="shared" si="15"/>
        <v/>
      </c>
      <c r="BR64" s="10" t="str">
        <f t="shared" si="35"/>
        <v/>
      </c>
    </row>
    <row r="65" spans="2:70" x14ac:dyDescent="0.15">
      <c r="H65" s="370"/>
      <c r="I65" s="38">
        <f t="shared" si="36"/>
        <v>2080</v>
      </c>
      <c r="J65" s="39"/>
      <c r="K65" s="39">
        <f t="shared" si="37"/>
        <v>51</v>
      </c>
      <c r="L65" s="39"/>
      <c r="M65" s="40">
        <f t="shared" si="0"/>
        <v>0.22146318426189707</v>
      </c>
      <c r="N65" s="39"/>
      <c r="O65" s="72" t="str">
        <f t="shared" si="16"/>
        <v/>
      </c>
      <c r="P65" s="41" t="str">
        <f t="shared" si="1"/>
        <v/>
      </c>
      <c r="Q65" s="39"/>
      <c r="R65" s="72" t="str">
        <f t="shared" si="17"/>
        <v/>
      </c>
      <c r="S65" s="39"/>
      <c r="T65" s="72" t="str">
        <f t="shared" si="18"/>
        <v/>
      </c>
      <c r="U65" s="39"/>
      <c r="V65" s="72" t="str">
        <f t="shared" si="2"/>
        <v/>
      </c>
      <c r="W65" s="72" t="str">
        <f t="shared" si="19"/>
        <v/>
      </c>
      <c r="X65" s="39"/>
      <c r="Y65" s="72" t="str">
        <f t="shared" si="3"/>
        <v/>
      </c>
      <c r="Z65" s="72" t="str">
        <f t="shared" si="20"/>
        <v/>
      </c>
      <c r="AA65" s="39"/>
      <c r="AB65" s="72" t="str">
        <f t="shared" si="4"/>
        <v/>
      </c>
      <c r="AC65" s="72" t="str">
        <f t="shared" si="21"/>
        <v/>
      </c>
      <c r="AD65" s="39"/>
      <c r="AE65" s="72" t="str">
        <f t="shared" si="5"/>
        <v/>
      </c>
      <c r="AF65" s="72" t="str">
        <f t="shared" si="22"/>
        <v/>
      </c>
      <c r="AG65" s="39"/>
      <c r="AH65" s="72" t="str">
        <f t="shared" si="6"/>
        <v/>
      </c>
      <c r="AI65" s="72" t="str">
        <f t="shared" si="23"/>
        <v/>
      </c>
      <c r="AJ65" s="39"/>
      <c r="AK65" s="72" t="str">
        <f t="shared" si="7"/>
        <v/>
      </c>
      <c r="AL65" s="72" t="str">
        <f t="shared" si="24"/>
        <v/>
      </c>
      <c r="AM65" s="39"/>
      <c r="AN65" s="72" t="str">
        <f t="shared" si="8"/>
        <v/>
      </c>
      <c r="AO65" s="72" t="str">
        <f t="shared" si="25"/>
        <v/>
      </c>
      <c r="AP65" s="39"/>
      <c r="AQ65" s="72" t="str">
        <f t="shared" si="9"/>
        <v/>
      </c>
      <c r="AR65" s="72" t="str">
        <f t="shared" si="26"/>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10"/>
        <v/>
      </c>
      <c r="AW65" s="72" t="str">
        <f t="shared" si="27"/>
        <v/>
      </c>
      <c r="AX65" s="39"/>
      <c r="AY65" s="40" t="str">
        <f>IF(ISERROR(IF($K65&lt;=$F$15,VLOOKUP($I65,'表4）CO2価格'!$A$7:$E$67,VLOOKUP($F$48,'表4）CO2価格'!$H$10:$I$12,2,0),0)*$F$8/1000,"")),0,IF($K65&lt;=$F$15,VLOOKUP($I65,'表4）CO2価格'!$A$7:$E$67,VLOOKUP($F$48,'表4）CO2価格'!$H$10:$I$12,2,0),0)*$F$8/1000,""))</f>
        <v/>
      </c>
      <c r="AZ65" s="39"/>
      <c r="BA65" s="42" t="str">
        <f t="shared" si="11"/>
        <v/>
      </c>
      <c r="BB65" s="72" t="str">
        <f t="shared" si="28"/>
        <v/>
      </c>
      <c r="BC65" s="39"/>
      <c r="BD65" s="72" t="str">
        <f t="shared" si="12"/>
        <v/>
      </c>
      <c r="BE65" s="72" t="str">
        <f t="shared" si="29"/>
        <v/>
      </c>
      <c r="BF65" s="39"/>
      <c r="BG65" s="42" t="str">
        <f t="shared" si="13"/>
        <v/>
      </c>
      <c r="BH65" s="72" t="str">
        <f t="shared" si="30"/>
        <v/>
      </c>
      <c r="BI65" s="39"/>
      <c r="BJ65" s="40" t="str">
        <f t="shared" si="31"/>
        <v/>
      </c>
      <c r="BK65" s="157" t="str">
        <f t="shared" si="32"/>
        <v/>
      </c>
      <c r="BL65" s="157" t="str">
        <f t="shared" si="14"/>
        <v/>
      </c>
      <c r="BM65" s="72"/>
      <c r="BN65" s="72" t="str">
        <f t="shared" si="33"/>
        <v/>
      </c>
      <c r="BO65" s="72" t="str">
        <f t="shared" si="34"/>
        <v/>
      </c>
      <c r="BP65" s="39"/>
      <c r="BQ65" s="72" t="str">
        <f t="shared" si="15"/>
        <v/>
      </c>
      <c r="BR65" s="72" t="str">
        <f t="shared" si="35"/>
        <v/>
      </c>
    </row>
    <row r="66" spans="2:70" x14ac:dyDescent="0.15">
      <c r="H66" s="370"/>
      <c r="I66" s="322">
        <f t="shared" si="36"/>
        <v>2081</v>
      </c>
      <c r="K66" s="71">
        <f t="shared" si="37"/>
        <v>52</v>
      </c>
      <c r="M66" s="7">
        <f t="shared" si="0"/>
        <v>0.215012800254269</v>
      </c>
      <c r="O66" s="10" t="str">
        <f t="shared" si="16"/>
        <v/>
      </c>
      <c r="P66" s="29" t="str">
        <f t="shared" si="1"/>
        <v/>
      </c>
      <c r="R66" s="10" t="str">
        <f t="shared" si="17"/>
        <v/>
      </c>
      <c r="T66" s="10" t="str">
        <f t="shared" si="18"/>
        <v/>
      </c>
      <c r="V66" s="10" t="str">
        <f t="shared" si="2"/>
        <v/>
      </c>
      <c r="W66" s="10" t="str">
        <f t="shared" si="19"/>
        <v/>
      </c>
      <c r="Y66" s="10" t="str">
        <f t="shared" si="3"/>
        <v/>
      </c>
      <c r="Z66" s="10" t="str">
        <f t="shared" si="20"/>
        <v/>
      </c>
      <c r="AB66" s="10" t="str">
        <f t="shared" si="4"/>
        <v/>
      </c>
      <c r="AC66" s="10" t="str">
        <f t="shared" si="21"/>
        <v/>
      </c>
      <c r="AE66" s="10" t="str">
        <f t="shared" si="5"/>
        <v/>
      </c>
      <c r="AF66" s="10" t="str">
        <f t="shared" si="22"/>
        <v/>
      </c>
      <c r="AH66" s="10" t="str">
        <f t="shared" si="6"/>
        <v/>
      </c>
      <c r="AI66" s="10" t="str">
        <f t="shared" si="23"/>
        <v/>
      </c>
      <c r="AK66" s="10" t="str">
        <f t="shared" si="7"/>
        <v/>
      </c>
      <c r="AL66" s="10" t="str">
        <f t="shared" si="24"/>
        <v/>
      </c>
      <c r="AN66" s="10" t="str">
        <f t="shared" si="8"/>
        <v/>
      </c>
      <c r="AO66" s="10" t="str">
        <f t="shared" si="25"/>
        <v/>
      </c>
      <c r="AQ66" s="10" t="str">
        <f t="shared" si="9"/>
        <v/>
      </c>
      <c r="AR66" s="10" t="str">
        <f t="shared" si="26"/>
        <v/>
      </c>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V66" s="10" t="str">
        <f t="shared" si="10"/>
        <v/>
      </c>
      <c r="AW66" s="10" t="str">
        <f t="shared" si="27"/>
        <v/>
      </c>
      <c r="AY66" s="7" t="str">
        <f>IF(ISERROR(IF($K66&lt;=$F$15,VLOOKUP($I66,'表4）CO2価格'!$A$7:$E$67,VLOOKUP($F$48,'表4）CO2価格'!$H$10:$I$12,2,0),0)*$F$8/1000,"")),0,IF($K66&lt;=$F$15,VLOOKUP($I66,'表4）CO2価格'!$A$7:$E$67,VLOOKUP($F$48,'表4）CO2価格'!$H$10:$I$12,2,0),0)*$F$8/1000,""))</f>
        <v/>
      </c>
      <c r="BA66" s="11" t="str">
        <f t="shared" si="11"/>
        <v/>
      </c>
      <c r="BB66" s="10" t="str">
        <f t="shared" si="28"/>
        <v/>
      </c>
      <c r="BD66" s="10" t="str">
        <f t="shared" si="12"/>
        <v/>
      </c>
      <c r="BE66" s="10" t="str">
        <f t="shared" si="29"/>
        <v/>
      </c>
      <c r="BG66" s="11" t="str">
        <f t="shared" si="13"/>
        <v/>
      </c>
      <c r="BH66" s="10" t="str">
        <f t="shared" si="30"/>
        <v/>
      </c>
      <c r="BJ66" s="7" t="str">
        <f t="shared" si="31"/>
        <v/>
      </c>
      <c r="BK66" s="158" t="str">
        <f t="shared" si="32"/>
        <v/>
      </c>
      <c r="BL66" s="158" t="str">
        <f t="shared" si="14"/>
        <v/>
      </c>
      <c r="BM66" s="10"/>
      <c r="BN66" s="10" t="str">
        <f t="shared" si="33"/>
        <v/>
      </c>
      <c r="BO66" s="10" t="str">
        <f t="shared" si="34"/>
        <v/>
      </c>
      <c r="BQ66" s="10" t="str">
        <f t="shared" si="15"/>
        <v/>
      </c>
      <c r="BR66" s="10" t="str">
        <f t="shared" si="35"/>
        <v/>
      </c>
    </row>
    <row r="67" spans="2:70" ht="15.75" thickBot="1" x14ac:dyDescent="0.2">
      <c r="B67" s="5" t="s">
        <v>133</v>
      </c>
      <c r="C67" s="3"/>
      <c r="D67" s="102"/>
      <c r="E67" s="102"/>
      <c r="F67" s="3"/>
      <c r="G67" s="102"/>
      <c r="H67" s="370"/>
      <c r="I67" s="38">
        <f t="shared" si="36"/>
        <v>2082</v>
      </c>
      <c r="J67" s="39"/>
      <c r="K67" s="39">
        <f t="shared" si="37"/>
        <v>53</v>
      </c>
      <c r="L67" s="39"/>
      <c r="M67" s="40">
        <f t="shared" si="0"/>
        <v>0.20875029150899907</v>
      </c>
      <c r="N67" s="39"/>
      <c r="O67" s="72" t="str">
        <f t="shared" si="16"/>
        <v/>
      </c>
      <c r="P67" s="41" t="str">
        <f t="shared" si="1"/>
        <v/>
      </c>
      <c r="Q67" s="39"/>
      <c r="R67" s="72" t="str">
        <f t="shared" si="17"/>
        <v/>
      </c>
      <c r="S67" s="39"/>
      <c r="T67" s="72" t="str">
        <f t="shared" si="18"/>
        <v/>
      </c>
      <c r="U67" s="39"/>
      <c r="V67" s="72" t="str">
        <f t="shared" si="2"/>
        <v/>
      </c>
      <c r="W67" s="72" t="str">
        <f t="shared" si="19"/>
        <v/>
      </c>
      <c r="X67" s="39"/>
      <c r="Y67" s="72" t="str">
        <f t="shared" si="3"/>
        <v/>
      </c>
      <c r="Z67" s="72" t="str">
        <f t="shared" si="20"/>
        <v/>
      </c>
      <c r="AA67" s="39"/>
      <c r="AB67" s="72" t="str">
        <f t="shared" si="4"/>
        <v/>
      </c>
      <c r="AC67" s="72" t="str">
        <f t="shared" si="21"/>
        <v/>
      </c>
      <c r="AD67" s="39"/>
      <c r="AE67" s="72" t="str">
        <f t="shared" si="5"/>
        <v/>
      </c>
      <c r="AF67" s="72" t="str">
        <f t="shared" si="22"/>
        <v/>
      </c>
      <c r="AG67" s="39"/>
      <c r="AH67" s="72" t="str">
        <f t="shared" si="6"/>
        <v/>
      </c>
      <c r="AI67" s="72" t="str">
        <f t="shared" si="23"/>
        <v/>
      </c>
      <c r="AJ67" s="39"/>
      <c r="AK67" s="72" t="str">
        <f t="shared" si="7"/>
        <v/>
      </c>
      <c r="AL67" s="72" t="str">
        <f t="shared" si="24"/>
        <v/>
      </c>
      <c r="AM67" s="39"/>
      <c r="AN67" s="72" t="str">
        <f t="shared" si="8"/>
        <v/>
      </c>
      <c r="AO67" s="72" t="str">
        <f t="shared" si="25"/>
        <v/>
      </c>
      <c r="AP67" s="39"/>
      <c r="AQ67" s="72" t="str">
        <f t="shared" si="9"/>
        <v/>
      </c>
      <c r="AR67" s="72" t="str">
        <f t="shared" si="26"/>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10"/>
        <v/>
      </c>
      <c r="AW67" s="72" t="str">
        <f t="shared" si="27"/>
        <v/>
      </c>
      <c r="AX67" s="39"/>
      <c r="AY67" s="40" t="str">
        <f>IF(ISERROR(IF($K67&lt;=$F$15,VLOOKUP($I67,'表4）CO2価格'!$A$7:$E$67,VLOOKUP($F$48,'表4）CO2価格'!$H$10:$I$12,2,0),0)*$F$8/1000,"")),0,IF($K67&lt;=$F$15,VLOOKUP($I67,'表4）CO2価格'!$A$7:$E$67,VLOOKUP($F$48,'表4）CO2価格'!$H$10:$I$12,2,0),0)*$F$8/1000,""))</f>
        <v/>
      </c>
      <c r="AZ67" s="39"/>
      <c r="BA67" s="42" t="str">
        <f t="shared" si="11"/>
        <v/>
      </c>
      <c r="BB67" s="72" t="str">
        <f t="shared" si="28"/>
        <v/>
      </c>
      <c r="BC67" s="39"/>
      <c r="BD67" s="72" t="str">
        <f t="shared" si="12"/>
        <v/>
      </c>
      <c r="BE67" s="72" t="str">
        <f t="shared" si="29"/>
        <v/>
      </c>
      <c r="BF67" s="39"/>
      <c r="BG67" s="42" t="str">
        <f t="shared" si="13"/>
        <v/>
      </c>
      <c r="BH67" s="72" t="str">
        <f t="shared" si="30"/>
        <v/>
      </c>
      <c r="BI67" s="39"/>
      <c r="BJ67" s="40" t="str">
        <f t="shared" si="31"/>
        <v/>
      </c>
      <c r="BK67" s="157" t="str">
        <f t="shared" si="32"/>
        <v/>
      </c>
      <c r="BL67" s="157" t="str">
        <f t="shared" si="14"/>
        <v/>
      </c>
      <c r="BM67" s="72"/>
      <c r="BN67" s="72" t="str">
        <f t="shared" si="33"/>
        <v/>
      </c>
      <c r="BO67" s="72" t="str">
        <f t="shared" si="34"/>
        <v/>
      </c>
      <c r="BP67" s="39"/>
      <c r="BQ67" s="72" t="str">
        <f t="shared" si="15"/>
        <v/>
      </c>
      <c r="BR67" s="72" t="str">
        <f t="shared" si="35"/>
        <v/>
      </c>
    </row>
    <row r="68" spans="2:70" x14ac:dyDescent="0.15">
      <c r="H68" s="370"/>
      <c r="I68" s="322">
        <f t="shared" si="36"/>
        <v>2083</v>
      </c>
      <c r="K68" s="71">
        <f t="shared" si="37"/>
        <v>54</v>
      </c>
      <c r="M68" s="7">
        <f t="shared" si="0"/>
        <v>0.20267018593106703</v>
      </c>
      <c r="O68" s="10" t="str">
        <f t="shared" si="16"/>
        <v/>
      </c>
      <c r="P68" s="29" t="str">
        <f t="shared" si="1"/>
        <v/>
      </c>
      <c r="R68" s="10" t="str">
        <f t="shared" si="17"/>
        <v/>
      </c>
      <c r="T68" s="10" t="str">
        <f t="shared" si="18"/>
        <v/>
      </c>
      <c r="V68" s="10" t="str">
        <f t="shared" si="2"/>
        <v/>
      </c>
      <c r="W68" s="10" t="str">
        <f t="shared" si="19"/>
        <v/>
      </c>
      <c r="Y68" s="10" t="str">
        <f t="shared" si="3"/>
        <v/>
      </c>
      <c r="Z68" s="10" t="str">
        <f t="shared" si="20"/>
        <v/>
      </c>
      <c r="AB68" s="10" t="str">
        <f t="shared" si="4"/>
        <v/>
      </c>
      <c r="AC68" s="10" t="str">
        <f t="shared" si="21"/>
        <v/>
      </c>
      <c r="AE68" s="10" t="str">
        <f t="shared" si="5"/>
        <v/>
      </c>
      <c r="AF68" s="10" t="str">
        <f t="shared" si="22"/>
        <v/>
      </c>
      <c r="AH68" s="10" t="str">
        <f t="shared" si="6"/>
        <v/>
      </c>
      <c r="AI68" s="10" t="str">
        <f t="shared" si="23"/>
        <v/>
      </c>
      <c r="AK68" s="10" t="str">
        <f t="shared" si="7"/>
        <v/>
      </c>
      <c r="AL68" s="10" t="str">
        <f t="shared" si="24"/>
        <v/>
      </c>
      <c r="AN68" s="10" t="str">
        <f t="shared" si="8"/>
        <v/>
      </c>
      <c r="AO68" s="10" t="str">
        <f t="shared" si="25"/>
        <v/>
      </c>
      <c r="AQ68" s="10" t="str">
        <f t="shared" si="9"/>
        <v/>
      </c>
      <c r="AR68" s="10" t="str">
        <f t="shared" si="26"/>
        <v/>
      </c>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V68" s="10" t="str">
        <f t="shared" si="10"/>
        <v/>
      </c>
      <c r="AW68" s="10" t="str">
        <f t="shared" si="27"/>
        <v/>
      </c>
      <c r="AY68" s="7" t="str">
        <f>IF(ISERROR(IF($K68&lt;=$F$15,VLOOKUP($I68,'表4）CO2価格'!$A$7:$E$67,VLOOKUP($F$48,'表4）CO2価格'!$H$10:$I$12,2,0),0)*$F$8/1000,"")),0,IF($K68&lt;=$F$15,VLOOKUP($I68,'表4）CO2価格'!$A$7:$E$67,VLOOKUP($F$48,'表4）CO2価格'!$H$10:$I$12,2,0),0)*$F$8/1000,""))</f>
        <v/>
      </c>
      <c r="BA68" s="11" t="str">
        <f t="shared" si="11"/>
        <v/>
      </c>
      <c r="BB68" s="10" t="str">
        <f t="shared" si="28"/>
        <v/>
      </c>
      <c r="BD68" s="10" t="str">
        <f t="shared" si="12"/>
        <v/>
      </c>
      <c r="BE68" s="10" t="str">
        <f t="shared" si="29"/>
        <v/>
      </c>
      <c r="BG68" s="11" t="str">
        <f t="shared" si="13"/>
        <v/>
      </c>
      <c r="BH68" s="10" t="str">
        <f t="shared" si="30"/>
        <v/>
      </c>
      <c r="BJ68" s="7" t="str">
        <f t="shared" si="31"/>
        <v/>
      </c>
      <c r="BK68" s="158" t="str">
        <f t="shared" si="32"/>
        <v/>
      </c>
      <c r="BL68" s="158" t="str">
        <f t="shared" si="14"/>
        <v/>
      </c>
      <c r="BM68" s="10"/>
      <c r="BN68" s="10" t="str">
        <f t="shared" si="33"/>
        <v/>
      </c>
      <c r="BO68" s="10" t="str">
        <f t="shared" si="34"/>
        <v/>
      </c>
      <c r="BQ68" s="10" t="str">
        <f t="shared" si="15"/>
        <v/>
      </c>
      <c r="BR68" s="10" t="str">
        <f t="shared" si="35"/>
        <v/>
      </c>
    </row>
    <row r="69" spans="2:70" x14ac:dyDescent="0.15">
      <c r="C69" s="483" t="s">
        <v>134</v>
      </c>
      <c r="D69" s="71"/>
      <c r="E69" s="71"/>
      <c r="F69" s="484">
        <f>SUBTOTAL(9,F74:F112)-F105</f>
        <v>11.665257851946937</v>
      </c>
      <c r="G69" s="71" t="s">
        <v>590</v>
      </c>
      <c r="H69" s="370"/>
      <c r="I69" s="38">
        <f t="shared" si="36"/>
        <v>2084</v>
      </c>
      <c r="J69" s="39"/>
      <c r="K69" s="39">
        <f t="shared" si="37"/>
        <v>55</v>
      </c>
      <c r="L69" s="39"/>
      <c r="M69" s="40">
        <f t="shared" si="0"/>
        <v>0.19676717080686118</v>
      </c>
      <c r="N69" s="39"/>
      <c r="O69" s="72" t="str">
        <f t="shared" si="16"/>
        <v/>
      </c>
      <c r="P69" s="41" t="str">
        <f t="shared" si="1"/>
        <v/>
      </c>
      <c r="Q69" s="39"/>
      <c r="R69" s="72" t="str">
        <f t="shared" si="17"/>
        <v/>
      </c>
      <c r="S69" s="39"/>
      <c r="T69" s="72" t="str">
        <f t="shared" si="18"/>
        <v/>
      </c>
      <c r="U69" s="39"/>
      <c r="V69" s="72" t="str">
        <f t="shared" si="2"/>
        <v/>
      </c>
      <c r="W69" s="72" t="str">
        <f t="shared" si="19"/>
        <v/>
      </c>
      <c r="X69" s="39"/>
      <c r="Y69" s="72" t="str">
        <f t="shared" si="3"/>
        <v/>
      </c>
      <c r="Z69" s="72" t="str">
        <f t="shared" si="20"/>
        <v/>
      </c>
      <c r="AA69" s="39"/>
      <c r="AB69" s="72" t="str">
        <f t="shared" si="4"/>
        <v/>
      </c>
      <c r="AC69" s="72" t="str">
        <f t="shared" si="21"/>
        <v/>
      </c>
      <c r="AD69" s="39"/>
      <c r="AE69" s="72" t="str">
        <f t="shared" si="5"/>
        <v/>
      </c>
      <c r="AF69" s="72" t="str">
        <f t="shared" si="22"/>
        <v/>
      </c>
      <c r="AG69" s="39"/>
      <c r="AH69" s="72" t="str">
        <f t="shared" si="6"/>
        <v/>
      </c>
      <c r="AI69" s="72" t="str">
        <f t="shared" si="23"/>
        <v/>
      </c>
      <c r="AJ69" s="39"/>
      <c r="AK69" s="72" t="str">
        <f t="shared" si="7"/>
        <v/>
      </c>
      <c r="AL69" s="72" t="str">
        <f t="shared" si="24"/>
        <v/>
      </c>
      <c r="AM69" s="39"/>
      <c r="AN69" s="72" t="str">
        <f t="shared" si="8"/>
        <v/>
      </c>
      <c r="AO69" s="72" t="str">
        <f t="shared" si="25"/>
        <v/>
      </c>
      <c r="AP69" s="39"/>
      <c r="AQ69" s="72" t="str">
        <f t="shared" si="9"/>
        <v/>
      </c>
      <c r="AR69" s="72" t="str">
        <f t="shared" si="26"/>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10"/>
        <v/>
      </c>
      <c r="AW69" s="72" t="str">
        <f t="shared" si="27"/>
        <v/>
      </c>
      <c r="AX69" s="39"/>
      <c r="AY69" s="40" t="str">
        <f>IF(ISERROR(IF($K69&lt;=$F$15,VLOOKUP($I69,'表4）CO2価格'!$A$7:$E$67,VLOOKUP($F$48,'表4）CO2価格'!$H$10:$I$12,2,0),0)*$F$8/1000,"")),0,IF($K69&lt;=$F$15,VLOOKUP($I69,'表4）CO2価格'!$A$7:$E$67,VLOOKUP($F$48,'表4）CO2価格'!$H$10:$I$12,2,0),0)*$F$8/1000,""))</f>
        <v/>
      </c>
      <c r="AZ69" s="39"/>
      <c r="BA69" s="42" t="str">
        <f t="shared" si="11"/>
        <v/>
      </c>
      <c r="BB69" s="72" t="str">
        <f t="shared" si="28"/>
        <v/>
      </c>
      <c r="BC69" s="39"/>
      <c r="BD69" s="72" t="str">
        <f t="shared" si="12"/>
        <v/>
      </c>
      <c r="BE69" s="72" t="str">
        <f t="shared" si="29"/>
        <v/>
      </c>
      <c r="BF69" s="39"/>
      <c r="BG69" s="42" t="str">
        <f t="shared" si="13"/>
        <v/>
      </c>
      <c r="BH69" s="72" t="str">
        <f t="shared" si="30"/>
        <v/>
      </c>
      <c r="BI69" s="39"/>
      <c r="BJ69" s="40" t="str">
        <f t="shared" si="31"/>
        <v/>
      </c>
      <c r="BK69" s="157" t="str">
        <f t="shared" si="32"/>
        <v/>
      </c>
      <c r="BL69" s="157" t="str">
        <f t="shared" si="14"/>
        <v/>
      </c>
      <c r="BM69" s="72"/>
      <c r="BN69" s="72" t="str">
        <f t="shared" si="33"/>
        <v/>
      </c>
      <c r="BO69" s="72" t="str">
        <f t="shared" si="34"/>
        <v/>
      </c>
      <c r="BP69" s="39"/>
      <c r="BQ69" s="72" t="str">
        <f t="shared" si="15"/>
        <v/>
      </c>
      <c r="BR69" s="72" t="str">
        <f t="shared" si="35"/>
        <v/>
      </c>
    </row>
    <row r="70" spans="2:70" x14ac:dyDescent="0.15">
      <c r="C70" s="483" t="s">
        <v>135</v>
      </c>
      <c r="D70" s="71"/>
      <c r="E70" s="71"/>
      <c r="F70" s="484">
        <f>SUBTOTAL(9,F74:F112)</f>
        <v>11.795257851946937</v>
      </c>
      <c r="G70" s="71" t="s">
        <v>590</v>
      </c>
      <c r="H70" s="370"/>
      <c r="I70" s="322">
        <f t="shared" si="36"/>
        <v>2085</v>
      </c>
      <c r="K70" s="71">
        <f t="shared" si="37"/>
        <v>56</v>
      </c>
      <c r="M70" s="7">
        <f t="shared" si="0"/>
        <v>0.19103608816200118</v>
      </c>
      <c r="O70" s="10" t="str">
        <f t="shared" si="16"/>
        <v/>
      </c>
      <c r="P70" s="29" t="str">
        <f t="shared" si="1"/>
        <v/>
      </c>
      <c r="R70" s="10" t="str">
        <f t="shared" si="17"/>
        <v/>
      </c>
      <c r="T70" s="10" t="str">
        <f t="shared" si="18"/>
        <v/>
      </c>
      <c r="V70" s="10" t="str">
        <f t="shared" si="2"/>
        <v/>
      </c>
      <c r="W70" s="10" t="str">
        <f t="shared" si="19"/>
        <v/>
      </c>
      <c r="Y70" s="10" t="str">
        <f t="shared" si="3"/>
        <v/>
      </c>
      <c r="Z70" s="10" t="str">
        <f t="shared" si="20"/>
        <v/>
      </c>
      <c r="AB70" s="10" t="str">
        <f t="shared" si="4"/>
        <v/>
      </c>
      <c r="AC70" s="10" t="str">
        <f t="shared" si="21"/>
        <v/>
      </c>
      <c r="AE70" s="10" t="str">
        <f t="shared" si="5"/>
        <v/>
      </c>
      <c r="AF70" s="10" t="str">
        <f t="shared" si="22"/>
        <v/>
      </c>
      <c r="AH70" s="10" t="str">
        <f t="shared" si="6"/>
        <v/>
      </c>
      <c r="AI70" s="10" t="str">
        <f t="shared" si="23"/>
        <v/>
      </c>
      <c r="AK70" s="10" t="str">
        <f t="shared" si="7"/>
        <v/>
      </c>
      <c r="AL70" s="10" t="str">
        <f t="shared" si="24"/>
        <v/>
      </c>
      <c r="AN70" s="10" t="str">
        <f t="shared" si="8"/>
        <v/>
      </c>
      <c r="AO70" s="10" t="str">
        <f t="shared" si="25"/>
        <v/>
      </c>
      <c r="AQ70" s="10" t="str">
        <f t="shared" si="9"/>
        <v/>
      </c>
      <c r="AR70" s="10" t="str">
        <f t="shared" si="26"/>
        <v/>
      </c>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V70" s="10" t="str">
        <f t="shared" si="10"/>
        <v/>
      </c>
      <c r="AW70" s="10" t="str">
        <f t="shared" si="27"/>
        <v/>
      </c>
      <c r="AY70" s="7" t="str">
        <f>IF(ISERROR(IF($K70&lt;=$F$15,VLOOKUP($I70,'表4）CO2価格'!$A$7:$E$67,VLOOKUP($F$48,'表4）CO2価格'!$H$10:$I$12,2,0),0)*$F$8/1000,"")),0,IF($K70&lt;=$F$15,VLOOKUP($I70,'表4）CO2価格'!$A$7:$E$67,VLOOKUP($F$48,'表4）CO2価格'!$H$10:$I$12,2,0),0)*$F$8/1000,""))</f>
        <v/>
      </c>
      <c r="BA70" s="11" t="str">
        <f t="shared" si="11"/>
        <v/>
      </c>
      <c r="BB70" s="10" t="str">
        <f t="shared" si="28"/>
        <v/>
      </c>
      <c r="BD70" s="10" t="str">
        <f t="shared" si="12"/>
        <v/>
      </c>
      <c r="BE70" s="10" t="str">
        <f t="shared" si="29"/>
        <v/>
      </c>
      <c r="BG70" s="11" t="str">
        <f t="shared" si="13"/>
        <v/>
      </c>
      <c r="BH70" s="10" t="str">
        <f t="shared" si="30"/>
        <v/>
      </c>
      <c r="BJ70" s="7" t="str">
        <f t="shared" si="31"/>
        <v/>
      </c>
      <c r="BK70" s="158" t="str">
        <f t="shared" si="32"/>
        <v/>
      </c>
      <c r="BL70" s="158" t="str">
        <f t="shared" si="14"/>
        <v/>
      </c>
      <c r="BM70" s="10"/>
      <c r="BN70" s="10" t="str">
        <f t="shared" si="33"/>
        <v/>
      </c>
      <c r="BO70" s="10" t="str">
        <f t="shared" si="34"/>
        <v/>
      </c>
      <c r="BQ70" s="10" t="str">
        <f t="shared" si="15"/>
        <v/>
      </c>
      <c r="BR70" s="10" t="str">
        <f t="shared" si="35"/>
        <v/>
      </c>
    </row>
    <row r="71" spans="2:70" x14ac:dyDescent="0.15">
      <c r="F71" s="485"/>
      <c r="H71" s="370"/>
      <c r="I71" s="38">
        <f t="shared" si="36"/>
        <v>2086</v>
      </c>
      <c r="J71" s="39"/>
      <c r="K71" s="39">
        <f t="shared" si="37"/>
        <v>57</v>
      </c>
      <c r="L71" s="39"/>
      <c r="M71" s="40">
        <f t="shared" si="0"/>
        <v>0.18547193025437006</v>
      </c>
      <c r="N71" s="39"/>
      <c r="O71" s="72" t="str">
        <f t="shared" si="16"/>
        <v/>
      </c>
      <c r="P71" s="41" t="str">
        <f t="shared" si="1"/>
        <v/>
      </c>
      <c r="Q71" s="39"/>
      <c r="R71" s="72" t="str">
        <f t="shared" si="17"/>
        <v/>
      </c>
      <c r="S71" s="39"/>
      <c r="T71" s="72" t="str">
        <f t="shared" si="18"/>
        <v/>
      </c>
      <c r="U71" s="39"/>
      <c r="V71" s="72" t="str">
        <f t="shared" si="2"/>
        <v/>
      </c>
      <c r="W71" s="72" t="str">
        <f t="shared" si="19"/>
        <v/>
      </c>
      <c r="X71" s="39"/>
      <c r="Y71" s="72" t="str">
        <f t="shared" si="3"/>
        <v/>
      </c>
      <c r="Z71" s="72" t="str">
        <f t="shared" si="20"/>
        <v/>
      </c>
      <c r="AA71" s="39"/>
      <c r="AB71" s="72" t="str">
        <f t="shared" si="4"/>
        <v/>
      </c>
      <c r="AC71" s="72" t="str">
        <f t="shared" si="21"/>
        <v/>
      </c>
      <c r="AD71" s="39"/>
      <c r="AE71" s="72" t="str">
        <f t="shared" si="5"/>
        <v/>
      </c>
      <c r="AF71" s="72" t="str">
        <f t="shared" si="22"/>
        <v/>
      </c>
      <c r="AG71" s="39"/>
      <c r="AH71" s="72" t="str">
        <f t="shared" si="6"/>
        <v/>
      </c>
      <c r="AI71" s="72" t="str">
        <f t="shared" si="23"/>
        <v/>
      </c>
      <c r="AJ71" s="39"/>
      <c r="AK71" s="72" t="str">
        <f t="shared" si="7"/>
        <v/>
      </c>
      <c r="AL71" s="72" t="str">
        <f t="shared" si="24"/>
        <v/>
      </c>
      <c r="AM71" s="39"/>
      <c r="AN71" s="72" t="str">
        <f t="shared" si="8"/>
        <v/>
      </c>
      <c r="AO71" s="72" t="str">
        <f t="shared" si="25"/>
        <v/>
      </c>
      <c r="AP71" s="39"/>
      <c r="AQ71" s="72" t="str">
        <f t="shared" si="9"/>
        <v/>
      </c>
      <c r="AR71" s="72" t="str">
        <f t="shared" si="26"/>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10"/>
        <v/>
      </c>
      <c r="AW71" s="72" t="str">
        <f t="shared" si="27"/>
        <v/>
      </c>
      <c r="AX71" s="39"/>
      <c r="AY71" s="40" t="str">
        <f>IF(ISERROR(IF($K71&lt;=$F$15,VLOOKUP($I71,'表4）CO2価格'!$A$7:$E$67,VLOOKUP($F$48,'表4）CO2価格'!$H$10:$I$12,2,0),0)*$F$8/1000,"")),0,IF($K71&lt;=$F$15,VLOOKUP($I71,'表4）CO2価格'!$A$7:$E$67,VLOOKUP($F$48,'表4）CO2価格'!$H$10:$I$12,2,0),0)*$F$8/1000,""))</f>
        <v/>
      </c>
      <c r="AZ71" s="39"/>
      <c r="BA71" s="42" t="str">
        <f t="shared" si="11"/>
        <v/>
      </c>
      <c r="BB71" s="72" t="str">
        <f t="shared" si="28"/>
        <v/>
      </c>
      <c r="BC71" s="39"/>
      <c r="BD71" s="72" t="str">
        <f t="shared" si="12"/>
        <v/>
      </c>
      <c r="BE71" s="72" t="str">
        <f t="shared" si="29"/>
        <v/>
      </c>
      <c r="BF71" s="39"/>
      <c r="BG71" s="42" t="str">
        <f t="shared" si="13"/>
        <v/>
      </c>
      <c r="BH71" s="72" t="str">
        <f t="shared" si="30"/>
        <v/>
      </c>
      <c r="BI71" s="39"/>
      <c r="BJ71" s="40" t="str">
        <f t="shared" si="31"/>
        <v/>
      </c>
      <c r="BK71" s="157" t="str">
        <f t="shared" si="32"/>
        <v/>
      </c>
      <c r="BL71" s="157" t="str">
        <f t="shared" si="14"/>
        <v/>
      </c>
      <c r="BM71" s="72"/>
      <c r="BN71" s="72" t="str">
        <f t="shared" si="33"/>
        <v/>
      </c>
      <c r="BO71" s="72" t="str">
        <f t="shared" si="34"/>
        <v/>
      </c>
      <c r="BP71" s="39"/>
      <c r="BQ71" s="72" t="str">
        <f t="shared" si="15"/>
        <v/>
      </c>
      <c r="BR71" s="72" t="str">
        <f t="shared" si="35"/>
        <v/>
      </c>
    </row>
    <row r="72" spans="2:70" x14ac:dyDescent="0.15">
      <c r="C72" s="4" t="s">
        <v>136</v>
      </c>
      <c r="D72" s="100"/>
      <c r="E72" s="100"/>
      <c r="F72" s="486"/>
      <c r="G72" s="100"/>
      <c r="H72" s="370"/>
      <c r="I72" s="322">
        <f t="shared" si="36"/>
        <v>2087</v>
      </c>
      <c r="K72" s="71">
        <f t="shared" si="37"/>
        <v>58</v>
      </c>
      <c r="M72" s="7">
        <f t="shared" si="0"/>
        <v>0.18006983519841754</v>
      </c>
      <c r="O72" s="10" t="str">
        <f t="shared" si="16"/>
        <v/>
      </c>
      <c r="P72" s="29" t="str">
        <f t="shared" si="1"/>
        <v/>
      </c>
      <c r="R72" s="10" t="str">
        <f t="shared" si="17"/>
        <v/>
      </c>
      <c r="T72" s="10" t="str">
        <f t="shared" si="18"/>
        <v/>
      </c>
      <c r="V72" s="10" t="str">
        <f t="shared" si="2"/>
        <v/>
      </c>
      <c r="W72" s="10" t="str">
        <f t="shared" si="19"/>
        <v/>
      </c>
      <c r="Y72" s="10" t="str">
        <f t="shared" si="3"/>
        <v/>
      </c>
      <c r="Z72" s="10" t="str">
        <f t="shared" si="20"/>
        <v/>
      </c>
      <c r="AB72" s="10" t="str">
        <f t="shared" si="4"/>
        <v/>
      </c>
      <c r="AC72" s="10" t="str">
        <f t="shared" si="21"/>
        <v/>
      </c>
      <c r="AE72" s="10" t="str">
        <f t="shared" si="5"/>
        <v/>
      </c>
      <c r="AF72" s="10" t="str">
        <f t="shared" si="22"/>
        <v/>
      </c>
      <c r="AH72" s="10" t="str">
        <f t="shared" si="6"/>
        <v/>
      </c>
      <c r="AI72" s="10" t="str">
        <f t="shared" si="23"/>
        <v/>
      </c>
      <c r="AK72" s="10" t="str">
        <f t="shared" si="7"/>
        <v/>
      </c>
      <c r="AL72" s="10" t="str">
        <f t="shared" si="24"/>
        <v/>
      </c>
      <c r="AN72" s="10" t="str">
        <f t="shared" si="8"/>
        <v/>
      </c>
      <c r="AO72" s="10" t="str">
        <f t="shared" si="25"/>
        <v/>
      </c>
      <c r="AQ72" s="10" t="str">
        <f t="shared" si="9"/>
        <v/>
      </c>
      <c r="AR72" s="10" t="str">
        <f t="shared" si="26"/>
        <v/>
      </c>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V72" s="10" t="str">
        <f t="shared" si="10"/>
        <v/>
      </c>
      <c r="AW72" s="10" t="str">
        <f t="shared" si="27"/>
        <v/>
      </c>
      <c r="AY72" s="7" t="str">
        <f>IF(ISERROR(IF($K72&lt;=$F$15,VLOOKUP($I72,'表4）CO2価格'!$A$7:$E$67,VLOOKUP($F$48,'表4）CO2価格'!$H$10:$I$12,2,0),0)*$F$8/1000,"")),0,IF($K72&lt;=$F$15,VLOOKUP($I72,'表4）CO2価格'!$A$7:$E$67,VLOOKUP($F$48,'表4）CO2価格'!$H$10:$I$12,2,0),0)*$F$8/1000,""))</f>
        <v/>
      </c>
      <c r="BA72" s="11" t="str">
        <f t="shared" si="11"/>
        <v/>
      </c>
      <c r="BB72" s="10" t="str">
        <f t="shared" si="28"/>
        <v/>
      </c>
      <c r="BD72" s="10" t="str">
        <f t="shared" si="12"/>
        <v/>
      </c>
      <c r="BE72" s="10" t="str">
        <f t="shared" si="29"/>
        <v/>
      </c>
      <c r="BG72" s="11" t="str">
        <f t="shared" si="13"/>
        <v/>
      </c>
      <c r="BH72" s="10" t="str">
        <f t="shared" si="30"/>
        <v/>
      </c>
      <c r="BJ72" s="7" t="str">
        <f t="shared" si="31"/>
        <v/>
      </c>
      <c r="BK72" s="158" t="str">
        <f t="shared" si="32"/>
        <v/>
      </c>
      <c r="BL72" s="158" t="str">
        <f t="shared" si="14"/>
        <v/>
      </c>
      <c r="BM72" s="10"/>
      <c r="BN72" s="10" t="str">
        <f t="shared" si="33"/>
        <v/>
      </c>
      <c r="BO72" s="10" t="str">
        <f t="shared" si="34"/>
        <v/>
      </c>
      <c r="BQ72" s="10" t="str">
        <f t="shared" si="15"/>
        <v/>
      </c>
      <c r="BR72" s="10" t="str">
        <f t="shared" si="35"/>
        <v/>
      </c>
    </row>
    <row r="73" spans="2:70" x14ac:dyDescent="0.15">
      <c r="F73" s="487"/>
      <c r="H73" s="370"/>
      <c r="I73" s="38">
        <f t="shared" si="36"/>
        <v>2088</v>
      </c>
      <c r="J73" s="39"/>
      <c r="K73" s="39">
        <f t="shared" si="37"/>
        <v>59</v>
      </c>
      <c r="L73" s="39"/>
      <c r="M73" s="40">
        <f t="shared" si="0"/>
        <v>0.17482508271691022</v>
      </c>
      <c r="N73" s="39"/>
      <c r="O73" s="72" t="str">
        <f t="shared" si="16"/>
        <v/>
      </c>
      <c r="P73" s="41" t="str">
        <f t="shared" si="1"/>
        <v/>
      </c>
      <c r="Q73" s="39"/>
      <c r="R73" s="72" t="str">
        <f t="shared" si="17"/>
        <v/>
      </c>
      <c r="S73" s="39"/>
      <c r="T73" s="72" t="str">
        <f t="shared" si="18"/>
        <v/>
      </c>
      <c r="U73" s="39"/>
      <c r="V73" s="72" t="str">
        <f t="shared" si="2"/>
        <v/>
      </c>
      <c r="W73" s="72" t="str">
        <f t="shared" si="19"/>
        <v/>
      </c>
      <c r="X73" s="39"/>
      <c r="Y73" s="72" t="str">
        <f t="shared" si="3"/>
        <v/>
      </c>
      <c r="Z73" s="72" t="str">
        <f t="shared" si="20"/>
        <v/>
      </c>
      <c r="AA73" s="39"/>
      <c r="AB73" s="72" t="str">
        <f t="shared" si="4"/>
        <v/>
      </c>
      <c r="AC73" s="72" t="str">
        <f t="shared" si="21"/>
        <v/>
      </c>
      <c r="AD73" s="39"/>
      <c r="AE73" s="72" t="str">
        <f t="shared" si="5"/>
        <v/>
      </c>
      <c r="AF73" s="72" t="str">
        <f t="shared" si="22"/>
        <v/>
      </c>
      <c r="AG73" s="39"/>
      <c r="AH73" s="72" t="str">
        <f t="shared" si="6"/>
        <v/>
      </c>
      <c r="AI73" s="72" t="str">
        <f t="shared" si="23"/>
        <v/>
      </c>
      <c r="AJ73" s="39"/>
      <c r="AK73" s="72" t="str">
        <f t="shared" si="7"/>
        <v/>
      </c>
      <c r="AL73" s="72" t="str">
        <f t="shared" si="24"/>
        <v/>
      </c>
      <c r="AM73" s="39"/>
      <c r="AN73" s="72" t="str">
        <f t="shared" si="8"/>
        <v/>
      </c>
      <c r="AO73" s="72" t="str">
        <f t="shared" si="25"/>
        <v/>
      </c>
      <c r="AP73" s="39"/>
      <c r="AQ73" s="72" t="str">
        <f t="shared" si="9"/>
        <v/>
      </c>
      <c r="AR73" s="72" t="str">
        <f t="shared" si="26"/>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10"/>
        <v/>
      </c>
      <c r="AW73" s="72" t="str">
        <f t="shared" si="27"/>
        <v/>
      </c>
      <c r="AX73" s="39"/>
      <c r="AY73" s="40" t="str">
        <f>IF(ISERROR(IF($K73&lt;=$F$15,VLOOKUP($I73,'表4）CO2価格'!$A$7:$E$67,VLOOKUP($F$48,'表4）CO2価格'!$H$10:$I$12,2,0),0)*$F$8/1000,"")),0,IF($K73&lt;=$F$15,VLOOKUP($I73,'表4）CO2価格'!$A$7:$E$67,VLOOKUP($F$48,'表4）CO2価格'!$H$10:$I$12,2,0),0)*$F$8/1000,""))</f>
        <v/>
      </c>
      <c r="AZ73" s="39"/>
      <c r="BA73" s="42" t="str">
        <f t="shared" si="11"/>
        <v/>
      </c>
      <c r="BB73" s="72" t="str">
        <f t="shared" si="28"/>
        <v/>
      </c>
      <c r="BC73" s="39"/>
      <c r="BD73" s="72" t="str">
        <f t="shared" si="12"/>
        <v/>
      </c>
      <c r="BE73" s="72" t="str">
        <f t="shared" si="29"/>
        <v/>
      </c>
      <c r="BF73" s="39"/>
      <c r="BG73" s="42" t="str">
        <f t="shared" si="13"/>
        <v/>
      </c>
      <c r="BH73" s="72" t="str">
        <f t="shared" si="30"/>
        <v/>
      </c>
      <c r="BI73" s="39"/>
      <c r="BJ73" s="40" t="str">
        <f t="shared" si="31"/>
        <v/>
      </c>
      <c r="BK73" s="157" t="str">
        <f t="shared" si="32"/>
        <v/>
      </c>
      <c r="BL73" s="157" t="str">
        <f t="shared" si="14"/>
        <v/>
      </c>
      <c r="BM73" s="72"/>
      <c r="BN73" s="72" t="str">
        <f t="shared" si="33"/>
        <v/>
      </c>
      <c r="BO73" s="72" t="str">
        <f t="shared" si="34"/>
        <v/>
      </c>
      <c r="BP73" s="39"/>
      <c r="BQ73" s="72" t="str">
        <f t="shared" si="15"/>
        <v/>
      </c>
      <c r="BR73" s="72" t="str">
        <f t="shared" si="35"/>
        <v/>
      </c>
    </row>
    <row r="74" spans="2:70" ht="15" x14ac:dyDescent="0.15">
      <c r="D74" s="103" t="s">
        <v>591</v>
      </c>
      <c r="F74" s="484">
        <f>SUBTOTAL(9,F78:F81)</f>
        <v>1.2945516175087721</v>
      </c>
      <c r="G74" s="84" t="s">
        <v>590</v>
      </c>
      <c r="H74" s="370"/>
      <c r="I74" s="322">
        <f t="shared" si="36"/>
        <v>2089</v>
      </c>
      <c r="K74" s="71">
        <f t="shared" si="37"/>
        <v>60</v>
      </c>
      <c r="M74" s="7">
        <f t="shared" si="0"/>
        <v>0.1697330900164177</v>
      </c>
      <c r="O74" s="10" t="str">
        <f t="shared" si="16"/>
        <v/>
      </c>
      <c r="P74" s="29" t="str">
        <f t="shared" si="1"/>
        <v/>
      </c>
      <c r="R74" s="10" t="str">
        <f t="shared" si="17"/>
        <v/>
      </c>
      <c r="T74" s="10" t="str">
        <f t="shared" si="18"/>
        <v/>
      </c>
      <c r="V74" s="10" t="str">
        <f t="shared" si="2"/>
        <v/>
      </c>
      <c r="W74" s="10" t="str">
        <f t="shared" si="19"/>
        <v/>
      </c>
      <c r="Y74" s="10" t="str">
        <f t="shared" si="3"/>
        <v/>
      </c>
      <c r="Z74" s="10" t="str">
        <f t="shared" si="20"/>
        <v/>
      </c>
      <c r="AB74" s="10" t="str">
        <f t="shared" si="4"/>
        <v/>
      </c>
      <c r="AC74" s="10" t="str">
        <f t="shared" si="21"/>
        <v/>
      </c>
      <c r="AE74" s="10" t="str">
        <f t="shared" si="5"/>
        <v/>
      </c>
      <c r="AF74" s="10" t="str">
        <f t="shared" si="22"/>
        <v/>
      </c>
      <c r="AH74" s="10" t="str">
        <f t="shared" si="6"/>
        <v/>
      </c>
      <c r="AI74" s="10" t="str">
        <f t="shared" si="23"/>
        <v/>
      </c>
      <c r="AK74" s="10" t="str">
        <f t="shared" si="7"/>
        <v/>
      </c>
      <c r="AL74" s="10" t="str">
        <f t="shared" si="24"/>
        <v/>
      </c>
      <c r="AN74" s="10" t="str">
        <f t="shared" si="8"/>
        <v/>
      </c>
      <c r="AO74" s="10" t="str">
        <f t="shared" si="25"/>
        <v/>
      </c>
      <c r="AQ74" s="10" t="str">
        <f t="shared" si="9"/>
        <v/>
      </c>
      <c r="AR74" s="10" t="str">
        <f t="shared" si="26"/>
        <v/>
      </c>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V74" s="10" t="str">
        <f t="shared" si="10"/>
        <v/>
      </c>
      <c r="AW74" s="10" t="str">
        <f t="shared" si="27"/>
        <v/>
      </c>
      <c r="AY74" s="7" t="str">
        <f>IF(ISERROR(IF($K74&lt;=$F$15,VLOOKUP($I74,'表4）CO2価格'!$A$7:$E$67,VLOOKUP($F$48,'表4）CO2価格'!$H$10:$I$12,2,0),0)*$F$8/1000,"")),0,IF($K74&lt;=$F$15,VLOOKUP($I74,'表4）CO2価格'!$A$7:$E$67,VLOOKUP($F$48,'表4）CO2価格'!$H$10:$I$12,2,0),0)*$F$8/1000,""))</f>
        <v/>
      </c>
      <c r="BA74" s="11" t="str">
        <f t="shared" si="11"/>
        <v/>
      </c>
      <c r="BB74" s="10" t="str">
        <f t="shared" si="28"/>
        <v/>
      </c>
      <c r="BD74" s="10" t="str">
        <f t="shared" si="12"/>
        <v/>
      </c>
      <c r="BE74" s="10" t="str">
        <f t="shared" si="29"/>
        <v/>
      </c>
      <c r="BG74" s="11" t="str">
        <f t="shared" si="13"/>
        <v/>
      </c>
      <c r="BH74" s="10" t="str">
        <f t="shared" si="30"/>
        <v/>
      </c>
      <c r="BJ74" s="7" t="str">
        <f t="shared" si="31"/>
        <v/>
      </c>
      <c r="BK74" s="158" t="str">
        <f t="shared" si="32"/>
        <v/>
      </c>
      <c r="BL74" s="158" t="str">
        <f t="shared" si="14"/>
        <v/>
      </c>
      <c r="BM74" s="10"/>
      <c r="BN74" s="10" t="str">
        <f t="shared" si="33"/>
        <v/>
      </c>
      <c r="BO74" s="10" t="str">
        <f t="shared" si="34"/>
        <v/>
      </c>
      <c r="BQ74" s="10" t="str">
        <f t="shared" si="15"/>
        <v/>
      </c>
      <c r="BR74" s="10" t="str">
        <f t="shared" si="35"/>
        <v/>
      </c>
    </row>
    <row r="75" spans="2:70" x14ac:dyDescent="0.15">
      <c r="F75" s="487"/>
      <c r="H75" s="370"/>
      <c r="I75" s="38">
        <f t="shared" si="36"/>
        <v>2090</v>
      </c>
      <c r="J75" s="39"/>
      <c r="K75" s="39">
        <f t="shared" si="37"/>
        <v>61</v>
      </c>
      <c r="L75" s="39"/>
      <c r="M75" s="40">
        <f t="shared" si="0"/>
        <v>0.16478940778292983</v>
      </c>
      <c r="N75" s="39"/>
      <c r="O75" s="72" t="str">
        <f t="shared" si="16"/>
        <v/>
      </c>
      <c r="P75" s="41" t="str">
        <f t="shared" si="1"/>
        <v/>
      </c>
      <c r="Q75" s="39"/>
      <c r="R75" s="72" t="str">
        <f t="shared" si="17"/>
        <v/>
      </c>
      <c r="S75" s="39"/>
      <c r="T75" s="72" t="str">
        <f t="shared" si="18"/>
        <v/>
      </c>
      <c r="U75" s="39"/>
      <c r="V75" s="72" t="str">
        <f t="shared" si="2"/>
        <v/>
      </c>
      <c r="W75" s="72" t="str">
        <f t="shared" si="19"/>
        <v/>
      </c>
      <c r="X75" s="39"/>
      <c r="Y75" s="72" t="str">
        <f t="shared" si="3"/>
        <v/>
      </c>
      <c r="Z75" s="72" t="str">
        <f t="shared" si="20"/>
        <v/>
      </c>
      <c r="AA75" s="39"/>
      <c r="AB75" s="72" t="str">
        <f t="shared" si="4"/>
        <v/>
      </c>
      <c r="AC75" s="72" t="str">
        <f t="shared" si="21"/>
        <v/>
      </c>
      <c r="AD75" s="39"/>
      <c r="AE75" s="72" t="str">
        <f t="shared" si="5"/>
        <v/>
      </c>
      <c r="AF75" s="72" t="str">
        <f t="shared" si="22"/>
        <v/>
      </c>
      <c r="AG75" s="39"/>
      <c r="AH75" s="72" t="str">
        <f t="shared" si="6"/>
        <v/>
      </c>
      <c r="AI75" s="72" t="str">
        <f t="shared" si="23"/>
        <v/>
      </c>
      <c r="AJ75" s="39"/>
      <c r="AK75" s="72" t="str">
        <f t="shared" si="7"/>
        <v/>
      </c>
      <c r="AL75" s="72" t="str">
        <f t="shared" si="24"/>
        <v/>
      </c>
      <c r="AM75" s="39"/>
      <c r="AN75" s="72" t="str">
        <f t="shared" si="8"/>
        <v/>
      </c>
      <c r="AO75" s="72" t="str">
        <f t="shared" si="25"/>
        <v/>
      </c>
      <c r="AP75" s="39"/>
      <c r="AQ75" s="72" t="str">
        <f t="shared" si="9"/>
        <v/>
      </c>
      <c r="AR75" s="72" t="str">
        <f t="shared" si="26"/>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10"/>
        <v/>
      </c>
      <c r="AW75" s="72" t="str">
        <f t="shared" si="27"/>
        <v/>
      </c>
      <c r="AX75" s="39"/>
      <c r="AY75" s="40" t="str">
        <f>IF(ISERROR(IF($K75&lt;=$F$15,VLOOKUP($I75,'表4）CO2価格'!$A$7:$E$67,VLOOKUP($F$48,'表4）CO2価格'!$H$10:$I$12,2,0),0)*$F$8/1000,"")),0,IF($K75&lt;=$F$15,VLOOKUP($I75,'表4）CO2価格'!$A$7:$E$67,VLOOKUP($F$48,'表4）CO2価格'!$H$10:$I$12,2,0),0)*$F$8/1000,""))</f>
        <v/>
      </c>
      <c r="AZ75" s="39"/>
      <c r="BA75" s="42" t="str">
        <f t="shared" si="11"/>
        <v/>
      </c>
      <c r="BB75" s="72" t="str">
        <f t="shared" si="28"/>
        <v/>
      </c>
      <c r="BC75" s="39"/>
      <c r="BD75" s="72" t="str">
        <f t="shared" si="12"/>
        <v/>
      </c>
      <c r="BE75" s="72" t="str">
        <f t="shared" si="29"/>
        <v/>
      </c>
      <c r="BF75" s="39"/>
      <c r="BG75" s="42" t="str">
        <f t="shared" si="13"/>
        <v/>
      </c>
      <c r="BH75" s="72" t="str">
        <f t="shared" si="30"/>
        <v/>
      </c>
      <c r="BI75" s="39"/>
      <c r="BJ75" s="40" t="str">
        <f t="shared" si="31"/>
        <v/>
      </c>
      <c r="BK75" s="157" t="str">
        <f t="shared" si="32"/>
        <v/>
      </c>
      <c r="BL75" s="157" t="str">
        <f t="shared" si="14"/>
        <v/>
      </c>
      <c r="BM75" s="72"/>
      <c r="BN75" s="72" t="str">
        <f t="shared" si="33"/>
        <v/>
      </c>
      <c r="BO75" s="72" t="str">
        <f t="shared" si="34"/>
        <v/>
      </c>
      <c r="BP75" s="39"/>
      <c r="BQ75" s="72" t="str">
        <f t="shared" si="15"/>
        <v/>
      </c>
      <c r="BR75" s="72" t="str">
        <f t="shared" si="35"/>
        <v/>
      </c>
    </row>
    <row r="76" spans="2:70" x14ac:dyDescent="0.15">
      <c r="D76" s="100" t="s">
        <v>592</v>
      </c>
      <c r="E76" s="100"/>
      <c r="F76" s="486"/>
      <c r="G76" s="100"/>
      <c r="H76" s="370"/>
      <c r="I76" s="322">
        <f t="shared" si="36"/>
        <v>2091</v>
      </c>
      <c r="K76" s="71">
        <f t="shared" si="37"/>
        <v>62</v>
      </c>
      <c r="M76" s="7">
        <f t="shared" si="0"/>
        <v>0.15998971629410663</v>
      </c>
      <c r="O76" s="10" t="str">
        <f t="shared" si="16"/>
        <v/>
      </c>
      <c r="P76" s="29" t="str">
        <f t="shared" si="1"/>
        <v/>
      </c>
      <c r="R76" s="10" t="str">
        <f t="shared" si="17"/>
        <v/>
      </c>
      <c r="T76" s="10" t="str">
        <f t="shared" si="18"/>
        <v/>
      </c>
      <c r="V76" s="10" t="str">
        <f t="shared" si="2"/>
        <v/>
      </c>
      <c r="W76" s="10" t="str">
        <f t="shared" si="19"/>
        <v/>
      </c>
      <c r="Y76" s="10" t="str">
        <f t="shared" si="3"/>
        <v/>
      </c>
      <c r="Z76" s="10" t="str">
        <f t="shared" si="20"/>
        <v/>
      </c>
      <c r="AB76" s="10" t="str">
        <f t="shared" si="4"/>
        <v/>
      </c>
      <c r="AC76" s="10" t="str">
        <f t="shared" si="21"/>
        <v/>
      </c>
      <c r="AE76" s="10" t="str">
        <f t="shared" si="5"/>
        <v/>
      </c>
      <c r="AF76" s="10" t="str">
        <f t="shared" si="22"/>
        <v/>
      </c>
      <c r="AH76" s="10" t="str">
        <f t="shared" si="6"/>
        <v/>
      </c>
      <c r="AI76" s="10" t="str">
        <f t="shared" si="23"/>
        <v/>
      </c>
      <c r="AK76" s="10" t="str">
        <f t="shared" si="7"/>
        <v/>
      </c>
      <c r="AL76" s="10" t="str">
        <f t="shared" si="24"/>
        <v/>
      </c>
      <c r="AN76" s="10" t="str">
        <f t="shared" si="8"/>
        <v/>
      </c>
      <c r="AO76" s="10" t="str">
        <f t="shared" si="25"/>
        <v/>
      </c>
      <c r="AQ76" s="10" t="str">
        <f t="shared" si="9"/>
        <v/>
      </c>
      <c r="AR76" s="10" t="str">
        <f t="shared" si="26"/>
        <v/>
      </c>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V76" s="10" t="str">
        <f t="shared" si="10"/>
        <v/>
      </c>
      <c r="AW76" s="10" t="str">
        <f t="shared" si="27"/>
        <v/>
      </c>
      <c r="AY76" s="7" t="str">
        <f>IF(ISERROR(IF($K76&lt;=$F$15,VLOOKUP($I76,'表4）CO2価格'!$A$7:$E$67,VLOOKUP($F$48,'表4）CO2価格'!$H$10:$I$12,2,0),0)*$F$8/1000,"")),0,IF($K76&lt;=$F$15,VLOOKUP($I76,'表4）CO2価格'!$A$7:$E$67,VLOOKUP($F$48,'表4）CO2価格'!$H$10:$I$12,2,0),0)*$F$8/1000,""))</f>
        <v/>
      </c>
      <c r="BA76" s="11" t="str">
        <f t="shared" si="11"/>
        <v/>
      </c>
      <c r="BB76" s="10" t="str">
        <f t="shared" si="28"/>
        <v/>
      </c>
      <c r="BD76" s="10" t="str">
        <f t="shared" si="12"/>
        <v/>
      </c>
      <c r="BE76" s="10" t="str">
        <f t="shared" si="29"/>
        <v/>
      </c>
      <c r="BG76" s="11" t="str">
        <f t="shared" si="13"/>
        <v/>
      </c>
      <c r="BH76" s="10" t="str">
        <f t="shared" si="30"/>
        <v/>
      </c>
      <c r="BJ76" s="7" t="str">
        <f t="shared" si="31"/>
        <v/>
      </c>
      <c r="BK76" s="158" t="str">
        <f t="shared" si="32"/>
        <v/>
      </c>
      <c r="BL76" s="158" t="str">
        <f t="shared" si="14"/>
        <v/>
      </c>
      <c r="BM76" s="10"/>
      <c r="BN76" s="10" t="str">
        <f t="shared" si="33"/>
        <v/>
      </c>
      <c r="BO76" s="10" t="str">
        <f t="shared" si="34"/>
        <v/>
      </c>
      <c r="BQ76" s="10" t="str">
        <f t="shared" si="15"/>
        <v/>
      </c>
      <c r="BR76" s="10" t="str">
        <f t="shared" si="35"/>
        <v/>
      </c>
    </row>
    <row r="77" spans="2:70" x14ac:dyDescent="0.15">
      <c r="F77" s="487"/>
      <c r="H77" s="370"/>
      <c r="I77" s="38">
        <f t="shared" si="36"/>
        <v>2092</v>
      </c>
      <c r="J77" s="39"/>
      <c r="K77" s="39">
        <f t="shared" si="37"/>
        <v>63</v>
      </c>
      <c r="L77" s="39"/>
      <c r="M77" s="40">
        <f t="shared" si="0"/>
        <v>0.15532982164476369</v>
      </c>
      <c r="N77" s="39"/>
      <c r="O77" s="72" t="str">
        <f t="shared" si="16"/>
        <v/>
      </c>
      <c r="P77" s="41" t="str">
        <f t="shared" si="1"/>
        <v/>
      </c>
      <c r="Q77" s="39"/>
      <c r="R77" s="72" t="str">
        <f t="shared" si="17"/>
        <v/>
      </c>
      <c r="S77" s="39"/>
      <c r="T77" s="72" t="str">
        <f t="shared" si="18"/>
        <v/>
      </c>
      <c r="U77" s="39"/>
      <c r="V77" s="72" t="str">
        <f t="shared" si="2"/>
        <v/>
      </c>
      <c r="W77" s="72" t="str">
        <f t="shared" si="19"/>
        <v/>
      </c>
      <c r="X77" s="39"/>
      <c r="Y77" s="72" t="str">
        <f t="shared" si="3"/>
        <v/>
      </c>
      <c r="Z77" s="72" t="str">
        <f t="shared" si="20"/>
        <v/>
      </c>
      <c r="AA77" s="39"/>
      <c r="AB77" s="72" t="str">
        <f t="shared" si="4"/>
        <v/>
      </c>
      <c r="AC77" s="72" t="str">
        <f t="shared" si="21"/>
        <v/>
      </c>
      <c r="AD77" s="39"/>
      <c r="AE77" s="72" t="str">
        <f t="shared" si="5"/>
        <v/>
      </c>
      <c r="AF77" s="72" t="str">
        <f t="shared" si="22"/>
        <v/>
      </c>
      <c r="AG77" s="39"/>
      <c r="AH77" s="72" t="str">
        <f t="shared" si="6"/>
        <v/>
      </c>
      <c r="AI77" s="72" t="str">
        <f t="shared" si="23"/>
        <v/>
      </c>
      <c r="AJ77" s="39"/>
      <c r="AK77" s="72" t="str">
        <f t="shared" si="7"/>
        <v/>
      </c>
      <c r="AL77" s="72" t="str">
        <f t="shared" si="24"/>
        <v/>
      </c>
      <c r="AM77" s="39"/>
      <c r="AN77" s="72" t="str">
        <f t="shared" si="8"/>
        <v/>
      </c>
      <c r="AO77" s="72" t="str">
        <f t="shared" si="25"/>
        <v/>
      </c>
      <c r="AP77" s="39"/>
      <c r="AQ77" s="72" t="str">
        <f t="shared" si="9"/>
        <v/>
      </c>
      <c r="AR77" s="72" t="str">
        <f t="shared" si="26"/>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10"/>
        <v/>
      </c>
      <c r="AW77" s="72" t="str">
        <f t="shared" si="27"/>
        <v/>
      </c>
      <c r="AX77" s="39"/>
      <c r="AY77" s="40" t="str">
        <f>IF(ISERROR(IF($K77&lt;=$F$15,VLOOKUP($I77,'表4）CO2価格'!$A$7:$E$67,VLOOKUP($F$48,'表4）CO2価格'!$H$10:$I$12,2,0),0)*$F$8/1000,"")),0,IF($K77&lt;=$F$15,VLOOKUP($I77,'表4）CO2価格'!$A$7:$E$67,VLOOKUP($F$48,'表4）CO2価格'!$H$10:$I$12,2,0),0)*$F$8/1000,""))</f>
        <v/>
      </c>
      <c r="AZ77" s="39"/>
      <c r="BA77" s="42" t="str">
        <f t="shared" si="11"/>
        <v/>
      </c>
      <c r="BB77" s="72" t="str">
        <f t="shared" si="28"/>
        <v/>
      </c>
      <c r="BC77" s="39"/>
      <c r="BD77" s="72" t="str">
        <f t="shared" si="12"/>
        <v/>
      </c>
      <c r="BE77" s="72" t="str">
        <f t="shared" si="29"/>
        <v/>
      </c>
      <c r="BF77" s="39"/>
      <c r="BG77" s="42" t="str">
        <f t="shared" si="13"/>
        <v/>
      </c>
      <c r="BH77" s="72" t="str">
        <f t="shared" si="30"/>
        <v/>
      </c>
      <c r="BI77" s="39"/>
      <c r="BJ77" s="40" t="str">
        <f t="shared" si="31"/>
        <v/>
      </c>
      <c r="BK77" s="157" t="str">
        <f t="shared" si="32"/>
        <v/>
      </c>
      <c r="BL77" s="157" t="str">
        <f t="shared" si="14"/>
        <v/>
      </c>
      <c r="BM77" s="72"/>
      <c r="BN77" s="72" t="str">
        <f t="shared" si="33"/>
        <v/>
      </c>
      <c r="BO77" s="72" t="str">
        <f t="shared" si="34"/>
        <v/>
      </c>
      <c r="BP77" s="39"/>
      <c r="BQ77" s="72" t="str">
        <f t="shared" si="15"/>
        <v/>
      </c>
      <c r="BR77" s="72" t="str">
        <f t="shared" si="35"/>
        <v/>
      </c>
    </row>
    <row r="78" spans="2:70" x14ac:dyDescent="0.15">
      <c r="E78" s="70" t="s">
        <v>138</v>
      </c>
      <c r="F78" s="488">
        <f>R15/$BR$116</f>
        <v>1.1770672626551333</v>
      </c>
      <c r="G78" s="84" t="s">
        <v>590</v>
      </c>
      <c r="H78" s="370"/>
      <c r="I78" s="322">
        <f t="shared" si="36"/>
        <v>2093</v>
      </c>
      <c r="K78" s="71">
        <f t="shared" si="37"/>
        <v>64</v>
      </c>
      <c r="M78" s="7">
        <f t="shared" si="0"/>
        <v>0.15080565208229488</v>
      </c>
      <c r="O78" s="10" t="str">
        <f t="shared" si="16"/>
        <v/>
      </c>
      <c r="P78" s="29" t="str">
        <f t="shared" si="1"/>
        <v/>
      </c>
      <c r="R78" s="10" t="str">
        <f t="shared" si="17"/>
        <v/>
      </c>
      <c r="T78" s="10" t="str">
        <f t="shared" si="18"/>
        <v/>
      </c>
      <c r="V78" s="10" t="str">
        <f t="shared" si="2"/>
        <v/>
      </c>
      <c r="W78" s="10" t="str">
        <f t="shared" si="19"/>
        <v/>
      </c>
      <c r="Y78" s="10" t="str">
        <f t="shared" si="3"/>
        <v/>
      </c>
      <c r="Z78" s="10" t="str">
        <f t="shared" si="20"/>
        <v/>
      </c>
      <c r="AB78" s="10" t="str">
        <f t="shared" si="4"/>
        <v/>
      </c>
      <c r="AC78" s="10" t="str">
        <f t="shared" si="21"/>
        <v/>
      </c>
      <c r="AE78" s="10" t="str">
        <f t="shared" si="5"/>
        <v/>
      </c>
      <c r="AF78" s="10" t="str">
        <f t="shared" si="22"/>
        <v/>
      </c>
      <c r="AH78" s="10" t="str">
        <f t="shared" si="6"/>
        <v/>
      </c>
      <c r="AI78" s="10" t="str">
        <f t="shared" si="23"/>
        <v/>
      </c>
      <c r="AK78" s="10" t="str">
        <f t="shared" si="7"/>
        <v/>
      </c>
      <c r="AL78" s="10" t="str">
        <f t="shared" si="24"/>
        <v/>
      </c>
      <c r="AN78" s="10" t="str">
        <f t="shared" si="8"/>
        <v/>
      </c>
      <c r="AO78" s="10" t="str">
        <f t="shared" si="25"/>
        <v/>
      </c>
      <c r="AQ78" s="10" t="str">
        <f t="shared" si="9"/>
        <v/>
      </c>
      <c r="AR78" s="10" t="str">
        <f t="shared" si="26"/>
        <v/>
      </c>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V78" s="10" t="str">
        <f t="shared" si="10"/>
        <v/>
      </c>
      <c r="AW78" s="10" t="str">
        <f t="shared" si="27"/>
        <v/>
      </c>
      <c r="AY78" s="7" t="str">
        <f>IF(ISERROR(IF($K78&lt;=$F$15,VLOOKUP($I78,'表4）CO2価格'!$A$7:$E$67,VLOOKUP($F$48,'表4）CO2価格'!$H$10:$I$12,2,0),0)*$F$8/1000,"")),0,IF($K78&lt;=$F$15,VLOOKUP($I78,'表4）CO2価格'!$A$7:$E$67,VLOOKUP($F$48,'表4）CO2価格'!$H$10:$I$12,2,0),0)*$F$8/1000,""))</f>
        <v/>
      </c>
      <c r="BA78" s="11" t="str">
        <f t="shared" si="11"/>
        <v/>
      </c>
      <c r="BB78" s="10" t="str">
        <f t="shared" si="28"/>
        <v/>
      </c>
      <c r="BD78" s="10" t="str">
        <f t="shared" si="12"/>
        <v/>
      </c>
      <c r="BE78" s="10" t="str">
        <f t="shared" si="29"/>
        <v/>
      </c>
      <c r="BG78" s="11" t="str">
        <f t="shared" si="13"/>
        <v/>
      </c>
      <c r="BH78" s="10" t="str">
        <f t="shared" si="30"/>
        <v/>
      </c>
      <c r="BJ78" s="7" t="str">
        <f t="shared" si="31"/>
        <v/>
      </c>
      <c r="BK78" s="158" t="str">
        <f t="shared" si="32"/>
        <v/>
      </c>
      <c r="BL78" s="158" t="str">
        <f t="shared" si="14"/>
        <v/>
      </c>
      <c r="BM78" s="10"/>
      <c r="BN78" s="10" t="str">
        <f t="shared" si="33"/>
        <v/>
      </c>
      <c r="BO78" s="10" t="str">
        <f t="shared" si="34"/>
        <v/>
      </c>
      <c r="BQ78" s="10" t="str">
        <f t="shared" si="15"/>
        <v/>
      </c>
      <c r="BR78" s="10" t="str">
        <f t="shared" si="35"/>
        <v/>
      </c>
    </row>
    <row r="79" spans="2:70" x14ac:dyDescent="0.15">
      <c r="E79" s="84" t="s">
        <v>139</v>
      </c>
      <c r="F79" s="488">
        <f>Z116/$BR$116</f>
        <v>9.99679460469481E-2</v>
      </c>
      <c r="G79" s="84" t="s">
        <v>590</v>
      </c>
      <c r="H79" s="370"/>
      <c r="I79" s="38">
        <f t="shared" si="36"/>
        <v>2094</v>
      </c>
      <c r="J79" s="39"/>
      <c r="K79" s="39">
        <f t="shared" si="37"/>
        <v>65</v>
      </c>
      <c r="L79" s="39"/>
      <c r="M79" s="40">
        <f t="shared" ref="M79:M114" si="38">1/(1+($F$9/100))^K79</f>
        <v>0.14641325444882999</v>
      </c>
      <c r="N79" s="39"/>
      <c r="O79" s="72" t="str">
        <f t="shared" si="16"/>
        <v/>
      </c>
      <c r="P79" s="41" t="str">
        <f t="shared" ref="P79:P110" si="39">IF(K79&lt;=$F$15,IF(OR(P78=$F$124,P78="-"),"-",IF(O79*$F$123&gt;$F$127,$F$123,$F$124)),"")</f>
        <v/>
      </c>
      <c r="Q79" s="39"/>
      <c r="R79" s="72" t="str">
        <f t="shared" si="17"/>
        <v/>
      </c>
      <c r="S79" s="39"/>
      <c r="T79" s="72" t="str">
        <f t="shared" si="18"/>
        <v/>
      </c>
      <c r="U79" s="39"/>
      <c r="V79" s="72" t="str">
        <f t="shared" ref="V79:V114" si="40">IF(K79&lt;=$F$15,IF(K79&lt;$F$119,IF(P79="-",V78,O79*P79),IF(K79=$F$119,MIN(IF(P79="-",V78,O79*P79),O79),0)),"")</f>
        <v/>
      </c>
      <c r="W79" s="72" t="str">
        <f t="shared" si="19"/>
        <v/>
      </c>
      <c r="X79" s="39"/>
      <c r="Y79" s="72" t="str">
        <f t="shared" ref="Y79:Y114" si="41">IF($K79&lt;=$F$15,ROUNDDOWN(T79*$F$25/100,-2),"")</f>
        <v/>
      </c>
      <c r="Z79" s="72" t="str">
        <f t="shared" si="20"/>
        <v/>
      </c>
      <c r="AA79" s="39"/>
      <c r="AB79" s="72" t="str">
        <f t="shared" ref="AB79:AB114" si="42">IF($K79&lt;=$F$15,0,IF(AND($K79&gt;$F$15,$K79&lt;=$F$15+$F$28),$F$27*10^8/$F$28,""))</f>
        <v/>
      </c>
      <c r="AC79" s="72" t="str">
        <f t="shared" si="21"/>
        <v/>
      </c>
      <c r="AD79" s="39"/>
      <c r="AE79" s="72" t="str">
        <f t="shared" ref="AE79:AE114" si="43">IF($K79&lt;=$F$15,$F$26,"")</f>
        <v/>
      </c>
      <c r="AF79" s="72" t="str">
        <f t="shared" si="22"/>
        <v/>
      </c>
      <c r="AG79" s="39"/>
      <c r="AH79" s="72" t="str">
        <f t="shared" ref="AH79:AH114" si="44">IF($K79&lt;=$F$15,$F$33*10^8,"")</f>
        <v/>
      </c>
      <c r="AI79" s="72" t="str">
        <f t="shared" si="23"/>
        <v/>
      </c>
      <c r="AJ79" s="39"/>
      <c r="AK79" s="72" t="str">
        <f t="shared" ref="AK79:AK114" si="45">IF($K79&lt;=$F$15,$F$117*$F$34/100,"")</f>
        <v/>
      </c>
      <c r="AL79" s="72" t="str">
        <f t="shared" si="24"/>
        <v/>
      </c>
      <c r="AM79" s="39"/>
      <c r="AN79" s="72" t="str">
        <f t="shared" ref="AN79:AN114" si="46">IF($K79&lt;=$F$15,$F$117*$F$35/100,"")</f>
        <v/>
      </c>
      <c r="AO79" s="72" t="str">
        <f t="shared" si="25"/>
        <v/>
      </c>
      <c r="AP79" s="39"/>
      <c r="AQ79" s="72" t="str">
        <f t="shared" ref="AQ79:AQ114" si="47">IF($K79&lt;=$F$15,SUM(AH79,AK79,AN79)*($F$36/100),"")</f>
        <v/>
      </c>
      <c r="AR79" s="72" t="str">
        <f t="shared" si="26"/>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48">IF($K79&lt;=$F$15,($AT79+$F$142)*$F$137,"")</f>
        <v/>
      </c>
      <c r="AW79" s="72" t="str">
        <f t="shared" si="27"/>
        <v/>
      </c>
      <c r="AX79" s="39"/>
      <c r="AY79" s="40" t="str">
        <f>IF(ISERROR(IF($K79&lt;=$F$15,VLOOKUP($I79,'表4）CO2価格'!$A$7:$E$67,VLOOKUP($F$48,'表4）CO2価格'!$H$10:$I$12,2,0),0)*$F$8/1000,"")),0,IF($K79&lt;=$F$15,VLOOKUP($I79,'表4）CO2価格'!$A$7:$E$67,VLOOKUP($F$48,'表4）CO2価格'!$H$10:$I$12,2,0),0)*$F$8/1000,""))</f>
        <v/>
      </c>
      <c r="AZ79" s="39"/>
      <c r="BA79" s="42" t="str">
        <f t="shared" ref="BA79:BA114" si="49">IF($K79&lt;=$F$15,$F$145*AY79,"")</f>
        <v/>
      </c>
      <c r="BB79" s="72" t="str">
        <f t="shared" si="28"/>
        <v/>
      </c>
      <c r="BC79" s="39"/>
      <c r="BD79" s="72" t="str">
        <f t="shared" ref="BD79:BD114" si="50">IF($K79&lt;=$F$15,($AT79+$F$152)*$F$151,"")</f>
        <v/>
      </c>
      <c r="BE79" s="72" t="str">
        <f t="shared" si="29"/>
        <v/>
      </c>
      <c r="BF79" s="39"/>
      <c r="BG79" s="42" t="str">
        <f t="shared" ref="BG79:BG114" si="51">IF($K79&lt;=$F$15,$F$153*AY79,"")</f>
        <v/>
      </c>
      <c r="BH79" s="72" t="str">
        <f t="shared" si="30"/>
        <v/>
      </c>
      <c r="BI79" s="39"/>
      <c r="BJ79" s="40" t="str">
        <f t="shared" si="31"/>
        <v/>
      </c>
      <c r="BK79" s="157" t="str">
        <f t="shared" si="32"/>
        <v/>
      </c>
      <c r="BL79" s="157" t="str">
        <f t="shared" ref="BL79:BL114" si="52">IF(AND(ISNUMBER(BJ79),$K79&lt;=$F$16),BQ79*BJ79,"")</f>
        <v/>
      </c>
      <c r="BM79" s="72"/>
      <c r="BN79" s="72" t="str">
        <f t="shared" si="33"/>
        <v/>
      </c>
      <c r="BO79" s="72" t="str">
        <f t="shared" si="34"/>
        <v/>
      </c>
      <c r="BP79" s="39"/>
      <c r="BQ79" s="72" t="str">
        <f t="shared" ref="BQ79:BQ114" si="53">IF($K79&lt;=$F$15,$F$134,"")</f>
        <v/>
      </c>
      <c r="BR79" s="72" t="str">
        <f t="shared" si="35"/>
        <v/>
      </c>
    </row>
    <row r="80" spans="2:70" x14ac:dyDescent="0.15">
      <c r="E80" s="84" t="s">
        <v>115</v>
      </c>
      <c r="F80" s="488">
        <f>AF116/$BR$116</f>
        <v>0</v>
      </c>
      <c r="G80" s="84" t="s">
        <v>590</v>
      </c>
      <c r="H80" s="370"/>
      <c r="I80" s="322">
        <f t="shared" si="36"/>
        <v>2095</v>
      </c>
      <c r="K80" s="71">
        <f t="shared" si="37"/>
        <v>66</v>
      </c>
      <c r="M80" s="7">
        <f t="shared" si="38"/>
        <v>0.14214879072701941</v>
      </c>
      <c r="O80" s="10" t="str">
        <f t="shared" ref="O80:O114" si="54">IF(K80&lt;=$F$15,O79-V79,"")</f>
        <v/>
      </c>
      <c r="P80" s="29" t="str">
        <f t="shared" si="39"/>
        <v/>
      </c>
      <c r="R80" s="10" t="str">
        <f t="shared" ref="R80:R114" si="55">IF($K80&lt;=$F$15,MAX($F$117*5%,R79*$F$129),"")</f>
        <v/>
      </c>
      <c r="T80" s="10" t="str">
        <f t="shared" ref="T80:T114" si="56">IF(ISNUMBER(R80),ROUNDDOWN(R80,-3),"")</f>
        <v/>
      </c>
      <c r="V80" s="10" t="str">
        <f t="shared" si="40"/>
        <v/>
      </c>
      <c r="W80" s="10" t="str">
        <f t="shared" ref="W80:W114" si="57">IF(ISNUMBER(V80),V80*$M80,"")</f>
        <v/>
      </c>
      <c r="Y80" s="10" t="str">
        <f t="shared" si="41"/>
        <v/>
      </c>
      <c r="Z80" s="10" t="str">
        <f t="shared" ref="Z80:Z114" si="58">IF(ISNUMBER(Y80),Y80*$M80,"")</f>
        <v/>
      </c>
      <c r="AB80" s="10" t="str">
        <f t="shared" si="42"/>
        <v/>
      </c>
      <c r="AC80" s="10" t="str">
        <f t="shared" ref="AC80:AC114" si="59">IF(ISNUMBER(AB80),AB80*$M80,"")</f>
        <v/>
      </c>
      <c r="AE80" s="10" t="str">
        <f t="shared" si="43"/>
        <v/>
      </c>
      <c r="AF80" s="10" t="str">
        <f t="shared" ref="AF80:AF114" si="60">IF(ISNUMBER(AE80),AE80*$M80,"")</f>
        <v/>
      </c>
      <c r="AH80" s="10" t="str">
        <f t="shared" si="44"/>
        <v/>
      </c>
      <c r="AI80" s="10" t="str">
        <f t="shared" ref="AI80:AI114" si="61">IF(ISNUMBER(AH80),AH80*$M80,"")</f>
        <v/>
      </c>
      <c r="AK80" s="10" t="str">
        <f t="shared" si="45"/>
        <v/>
      </c>
      <c r="AL80" s="10" t="str">
        <f t="shared" ref="AL80:AL114" si="62">IF(ISNUMBER(AK80),AK80*$M80,"")</f>
        <v/>
      </c>
      <c r="AN80" s="10" t="str">
        <f t="shared" si="46"/>
        <v/>
      </c>
      <c r="AO80" s="10" t="str">
        <f t="shared" ref="AO80:AO114" si="63">IF(ISNUMBER(AN80),AN80*$M80,"")</f>
        <v/>
      </c>
      <c r="AQ80" s="10" t="str">
        <f t="shared" si="47"/>
        <v/>
      </c>
      <c r="AR80" s="10" t="str">
        <f t="shared" ref="AR80:AR114" si="64">IF(ISNUMBER(AQ80),AQ80*$M80,"")</f>
        <v/>
      </c>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V80" s="10" t="str">
        <f t="shared" si="48"/>
        <v/>
      </c>
      <c r="AW80" s="10" t="str">
        <f t="shared" ref="AW80:AW114" si="65">IF(ISNUMBER(AV80),AV80*$M80,"")</f>
        <v/>
      </c>
      <c r="AY80" s="7" t="str">
        <f>IF(ISERROR(IF($K80&lt;=$F$15,VLOOKUP($I80,'表4）CO2価格'!$A$7:$E$67,VLOOKUP($F$48,'表4）CO2価格'!$H$10:$I$12,2,0),0)*$F$8/1000,"")),0,IF($K80&lt;=$F$15,VLOOKUP($I80,'表4）CO2価格'!$A$7:$E$67,VLOOKUP($F$48,'表4）CO2価格'!$H$10:$I$12,2,0),0)*$F$8/1000,""))</f>
        <v/>
      </c>
      <c r="BA80" s="11" t="str">
        <f t="shared" si="49"/>
        <v/>
      </c>
      <c r="BB80" s="10" t="str">
        <f t="shared" ref="BB80:BB114" si="66">IF(ISNUMBER(BA80),BA80*$M80,"")</f>
        <v/>
      </c>
      <c r="BD80" s="10" t="str">
        <f t="shared" si="50"/>
        <v/>
      </c>
      <c r="BE80" s="10" t="str">
        <f t="shared" ref="BE80:BE114" si="67">IF(ISNUMBER(BD80),BD80*$M80,"")</f>
        <v/>
      </c>
      <c r="BG80" s="11" t="str">
        <f t="shared" si="51"/>
        <v/>
      </c>
      <c r="BH80" s="10" t="str">
        <f t="shared" ref="BH80:BH114" si="68">IF(ISNUMBER(BG80),BG80*$M80,"")</f>
        <v/>
      </c>
      <c r="BJ80" s="7" t="str">
        <f t="shared" ref="BJ80:BJ114" si="69">IF(ISNUMBER($F$16),IF($K80&lt;=$F$16+$F$28,1/(1+($F$17/100))^K80,""),"")</f>
        <v/>
      </c>
      <c r="BK80" s="158" t="str">
        <f t="shared" ref="BK80:BK114" si="70">IF(ISNUMBER($F$16),IF($K80&lt;=$F$16+$F$28,IF($K80&lt;=$F$16,SUM(Y80,AB80,AE80,AH80,AK80,AN80,AQ80,AV80,BA80,BD80,BG80),$F$27/$F$28*10^8)*BJ80,""),"")</f>
        <v/>
      </c>
      <c r="BL80" s="158" t="str">
        <f t="shared" si="52"/>
        <v/>
      </c>
      <c r="BM80" s="10"/>
      <c r="BN80" s="10" t="str">
        <f t="shared" ref="BN80:BN114" si="71">IF(AND(ISNUMBER($F$16),$K80&lt;=$F$16),BQ80*($O$15+$BK$116)/$BL$116,"")</f>
        <v/>
      </c>
      <c r="BO80" s="10" t="str">
        <f t="shared" ref="BO80:BO114" si="72">IF(ISNUMBER(BN80),BN80*$M80,"")</f>
        <v/>
      </c>
      <c r="BQ80" s="10" t="str">
        <f t="shared" si="53"/>
        <v/>
      </c>
      <c r="BR80" s="10" t="str">
        <f t="shared" ref="BR80:BR114" si="73">IF(ISNUMBER(BQ80),BQ80*$M80,"")</f>
        <v/>
      </c>
    </row>
    <row r="81" spans="4:70" x14ac:dyDescent="0.15">
      <c r="E81" s="160" t="s">
        <v>86</v>
      </c>
      <c r="F81" s="488">
        <f>AC116/$BR$116</f>
        <v>1.7516408806690795E-2</v>
      </c>
      <c r="G81" s="84" t="s">
        <v>590</v>
      </c>
      <c r="H81" s="370"/>
      <c r="I81" s="38">
        <f t="shared" ref="I81:I114" si="74">I80+1</f>
        <v>2096</v>
      </c>
      <c r="J81" s="39"/>
      <c r="K81" s="39">
        <f t="shared" ref="K81:K114" si="75">IF(I81&lt;&gt;"",K80+1,"")</f>
        <v>67</v>
      </c>
      <c r="L81" s="39"/>
      <c r="M81" s="40">
        <f t="shared" si="38"/>
        <v>0.1380085346864266</v>
      </c>
      <c r="N81" s="39"/>
      <c r="O81" s="72" t="str">
        <f t="shared" si="54"/>
        <v/>
      </c>
      <c r="P81" s="41" t="str">
        <f t="shared" si="39"/>
        <v/>
      </c>
      <c r="Q81" s="39"/>
      <c r="R81" s="72" t="str">
        <f t="shared" si="55"/>
        <v/>
      </c>
      <c r="S81" s="39"/>
      <c r="T81" s="72" t="str">
        <f t="shared" si="56"/>
        <v/>
      </c>
      <c r="U81" s="39"/>
      <c r="V81" s="72" t="str">
        <f t="shared" si="40"/>
        <v/>
      </c>
      <c r="W81" s="72" t="str">
        <f t="shared" si="57"/>
        <v/>
      </c>
      <c r="X81" s="39"/>
      <c r="Y81" s="72" t="str">
        <f t="shared" si="41"/>
        <v/>
      </c>
      <c r="Z81" s="72" t="str">
        <f t="shared" si="58"/>
        <v/>
      </c>
      <c r="AA81" s="39"/>
      <c r="AB81" s="72" t="str">
        <f t="shared" si="42"/>
        <v/>
      </c>
      <c r="AC81" s="72" t="str">
        <f t="shared" si="59"/>
        <v/>
      </c>
      <c r="AD81" s="39"/>
      <c r="AE81" s="72" t="str">
        <f t="shared" si="43"/>
        <v/>
      </c>
      <c r="AF81" s="72" t="str">
        <f t="shared" si="60"/>
        <v/>
      </c>
      <c r="AG81" s="39"/>
      <c r="AH81" s="72" t="str">
        <f t="shared" si="44"/>
        <v/>
      </c>
      <c r="AI81" s="72" t="str">
        <f t="shared" si="61"/>
        <v/>
      </c>
      <c r="AJ81" s="39"/>
      <c r="AK81" s="72" t="str">
        <f t="shared" si="45"/>
        <v/>
      </c>
      <c r="AL81" s="72" t="str">
        <f t="shared" si="62"/>
        <v/>
      </c>
      <c r="AM81" s="39"/>
      <c r="AN81" s="72" t="str">
        <f t="shared" si="46"/>
        <v/>
      </c>
      <c r="AO81" s="72" t="str">
        <f t="shared" si="63"/>
        <v/>
      </c>
      <c r="AP81" s="39"/>
      <c r="AQ81" s="72" t="str">
        <f t="shared" si="47"/>
        <v/>
      </c>
      <c r="AR81" s="72" t="str">
        <f t="shared" si="64"/>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48"/>
        <v/>
      </c>
      <c r="AW81" s="72" t="str">
        <f t="shared" si="65"/>
        <v/>
      </c>
      <c r="AX81" s="39"/>
      <c r="AY81" s="40" t="str">
        <f>IF(ISERROR(IF($K81&lt;=$F$15,VLOOKUP($I81,'表4）CO2価格'!$A$7:$E$67,VLOOKUP($F$48,'表4）CO2価格'!$H$10:$I$12,2,0),0)*$F$8/1000,"")),0,IF($K81&lt;=$F$15,VLOOKUP($I81,'表4）CO2価格'!$A$7:$E$67,VLOOKUP($F$48,'表4）CO2価格'!$H$10:$I$12,2,0),0)*$F$8/1000,""))</f>
        <v/>
      </c>
      <c r="AZ81" s="39"/>
      <c r="BA81" s="42" t="str">
        <f t="shared" si="49"/>
        <v/>
      </c>
      <c r="BB81" s="72" t="str">
        <f t="shared" si="66"/>
        <v/>
      </c>
      <c r="BC81" s="39"/>
      <c r="BD81" s="72" t="str">
        <f t="shared" si="50"/>
        <v/>
      </c>
      <c r="BE81" s="72" t="str">
        <f t="shared" si="67"/>
        <v/>
      </c>
      <c r="BF81" s="39"/>
      <c r="BG81" s="42" t="str">
        <f t="shared" si="51"/>
        <v/>
      </c>
      <c r="BH81" s="72" t="str">
        <f t="shared" si="68"/>
        <v/>
      </c>
      <c r="BI81" s="39"/>
      <c r="BJ81" s="40" t="str">
        <f t="shared" si="69"/>
        <v/>
      </c>
      <c r="BK81" s="157" t="str">
        <f t="shared" si="70"/>
        <v/>
      </c>
      <c r="BL81" s="157" t="str">
        <f t="shared" si="52"/>
        <v/>
      </c>
      <c r="BM81" s="72"/>
      <c r="BN81" s="72" t="str">
        <f t="shared" si="71"/>
        <v/>
      </c>
      <c r="BO81" s="72" t="str">
        <f t="shared" si="72"/>
        <v/>
      </c>
      <c r="BP81" s="39"/>
      <c r="BQ81" s="72" t="str">
        <f t="shared" si="53"/>
        <v/>
      </c>
      <c r="BR81" s="72" t="str">
        <f t="shared" si="73"/>
        <v/>
      </c>
    </row>
    <row r="82" spans="4:70" x14ac:dyDescent="0.15">
      <c r="F82" s="487"/>
      <c r="H82" s="370"/>
      <c r="I82" s="322">
        <f t="shared" si="74"/>
        <v>2097</v>
      </c>
      <c r="K82" s="71">
        <f t="shared" si="75"/>
        <v>68</v>
      </c>
      <c r="M82" s="7">
        <f t="shared" si="38"/>
        <v>0.13398886862759865</v>
      </c>
      <c r="O82" s="10" t="str">
        <f t="shared" si="54"/>
        <v/>
      </c>
      <c r="P82" s="29" t="str">
        <f t="shared" si="39"/>
        <v/>
      </c>
      <c r="R82" s="10" t="str">
        <f t="shared" si="55"/>
        <v/>
      </c>
      <c r="T82" s="10" t="str">
        <f t="shared" si="56"/>
        <v/>
      </c>
      <c r="V82" s="10" t="str">
        <f t="shared" si="40"/>
        <v/>
      </c>
      <c r="W82" s="10" t="str">
        <f t="shared" si="57"/>
        <v/>
      </c>
      <c r="Y82" s="10" t="str">
        <f t="shared" si="41"/>
        <v/>
      </c>
      <c r="Z82" s="10" t="str">
        <f t="shared" si="58"/>
        <v/>
      </c>
      <c r="AB82" s="10" t="str">
        <f t="shared" si="42"/>
        <v/>
      </c>
      <c r="AC82" s="10" t="str">
        <f t="shared" si="59"/>
        <v/>
      </c>
      <c r="AE82" s="10" t="str">
        <f t="shared" si="43"/>
        <v/>
      </c>
      <c r="AF82" s="10" t="str">
        <f t="shared" si="60"/>
        <v/>
      </c>
      <c r="AH82" s="10" t="str">
        <f t="shared" si="44"/>
        <v/>
      </c>
      <c r="AI82" s="10" t="str">
        <f t="shared" si="61"/>
        <v/>
      </c>
      <c r="AK82" s="10" t="str">
        <f t="shared" si="45"/>
        <v/>
      </c>
      <c r="AL82" s="10" t="str">
        <f t="shared" si="62"/>
        <v/>
      </c>
      <c r="AN82" s="10" t="str">
        <f t="shared" si="46"/>
        <v/>
      </c>
      <c r="AO82" s="10" t="str">
        <f t="shared" si="63"/>
        <v/>
      </c>
      <c r="AQ82" s="10" t="str">
        <f t="shared" si="47"/>
        <v/>
      </c>
      <c r="AR82" s="10" t="str">
        <f t="shared" si="64"/>
        <v/>
      </c>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V82" s="10" t="str">
        <f t="shared" si="48"/>
        <v/>
      </c>
      <c r="AW82" s="10" t="str">
        <f t="shared" si="65"/>
        <v/>
      </c>
      <c r="AY82" s="7" t="str">
        <f>IF(ISERROR(IF($K82&lt;=$F$15,VLOOKUP($I82,'表4）CO2価格'!$A$7:$E$67,VLOOKUP($F$48,'表4）CO2価格'!$H$10:$I$12,2,0),0)*$F$8/1000,"")),0,IF($K82&lt;=$F$15,VLOOKUP($I82,'表4）CO2価格'!$A$7:$E$67,VLOOKUP($F$48,'表4）CO2価格'!$H$10:$I$12,2,0),0)*$F$8/1000,""))</f>
        <v/>
      </c>
      <c r="BA82" s="11" t="str">
        <f t="shared" si="49"/>
        <v/>
      </c>
      <c r="BB82" s="10" t="str">
        <f t="shared" si="66"/>
        <v/>
      </c>
      <c r="BD82" s="10" t="str">
        <f t="shared" si="50"/>
        <v/>
      </c>
      <c r="BE82" s="10" t="str">
        <f t="shared" si="67"/>
        <v/>
      </c>
      <c r="BG82" s="11" t="str">
        <f t="shared" si="51"/>
        <v/>
      </c>
      <c r="BH82" s="10" t="str">
        <f t="shared" si="68"/>
        <v/>
      </c>
      <c r="BJ82" s="7" t="str">
        <f t="shared" si="69"/>
        <v/>
      </c>
      <c r="BK82" s="158" t="str">
        <f t="shared" si="70"/>
        <v/>
      </c>
      <c r="BL82" s="158" t="str">
        <f t="shared" si="52"/>
        <v/>
      </c>
      <c r="BM82" s="10"/>
      <c r="BN82" s="10" t="str">
        <f t="shared" si="71"/>
        <v/>
      </c>
      <c r="BO82" s="10" t="str">
        <f t="shared" si="72"/>
        <v/>
      </c>
      <c r="BQ82" s="10" t="str">
        <f t="shared" si="53"/>
        <v/>
      </c>
      <c r="BR82" s="10" t="str">
        <f t="shared" si="73"/>
        <v/>
      </c>
    </row>
    <row r="83" spans="4:70" ht="15" x14ac:dyDescent="0.15">
      <c r="D83" s="103" t="s">
        <v>593</v>
      </c>
      <c r="F83" s="484">
        <f>SUBTOTAL(9,F87:F90)</f>
        <v>1.2029017661382355</v>
      </c>
      <c r="G83" s="84" t="s">
        <v>590</v>
      </c>
      <c r="H83" s="370"/>
      <c r="I83" s="38">
        <f>I82+1</f>
        <v>2098</v>
      </c>
      <c r="J83" s="39"/>
      <c r="K83" s="39">
        <f>IF(I83&lt;&gt;"",K82+1,"")</f>
        <v>69</v>
      </c>
      <c r="L83" s="39"/>
      <c r="M83" s="40">
        <f t="shared" si="38"/>
        <v>0.13008628022096957</v>
      </c>
      <c r="N83" s="39"/>
      <c r="O83" s="72" t="str">
        <f t="shared" si="54"/>
        <v/>
      </c>
      <c r="P83" s="41" t="str">
        <f t="shared" si="39"/>
        <v/>
      </c>
      <c r="Q83" s="39"/>
      <c r="R83" s="72" t="str">
        <f t="shared" si="55"/>
        <v/>
      </c>
      <c r="S83" s="39"/>
      <c r="T83" s="72" t="str">
        <f t="shared" si="56"/>
        <v/>
      </c>
      <c r="U83" s="39"/>
      <c r="V83" s="72" t="str">
        <f t="shared" si="40"/>
        <v/>
      </c>
      <c r="W83" s="72" t="str">
        <f t="shared" si="57"/>
        <v/>
      </c>
      <c r="X83" s="39"/>
      <c r="Y83" s="72" t="str">
        <f t="shared" si="41"/>
        <v/>
      </c>
      <c r="Z83" s="72" t="str">
        <f t="shared" si="58"/>
        <v/>
      </c>
      <c r="AA83" s="39"/>
      <c r="AB83" s="72" t="str">
        <f t="shared" si="42"/>
        <v/>
      </c>
      <c r="AC83" s="72" t="str">
        <f t="shared" si="59"/>
        <v/>
      </c>
      <c r="AD83" s="39"/>
      <c r="AE83" s="72" t="str">
        <f t="shared" si="43"/>
        <v/>
      </c>
      <c r="AF83" s="72" t="str">
        <f t="shared" si="60"/>
        <v/>
      </c>
      <c r="AG83" s="39"/>
      <c r="AH83" s="72" t="str">
        <f t="shared" si="44"/>
        <v/>
      </c>
      <c r="AI83" s="72" t="str">
        <f t="shared" si="61"/>
        <v/>
      </c>
      <c r="AJ83" s="39"/>
      <c r="AK83" s="72" t="str">
        <f t="shared" si="45"/>
        <v/>
      </c>
      <c r="AL83" s="72" t="str">
        <f t="shared" si="62"/>
        <v/>
      </c>
      <c r="AM83" s="39"/>
      <c r="AN83" s="72" t="str">
        <f t="shared" si="46"/>
        <v/>
      </c>
      <c r="AO83" s="72" t="str">
        <f t="shared" si="63"/>
        <v/>
      </c>
      <c r="AP83" s="39"/>
      <c r="AQ83" s="72" t="str">
        <f t="shared" si="47"/>
        <v/>
      </c>
      <c r="AR83" s="72" t="str">
        <f t="shared" si="64"/>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48"/>
        <v/>
      </c>
      <c r="AW83" s="72" t="str">
        <f t="shared" si="65"/>
        <v/>
      </c>
      <c r="AX83" s="39"/>
      <c r="AY83" s="40" t="str">
        <f>IF(ISERROR(IF($K83&lt;=$F$15,VLOOKUP($I83,'表4）CO2価格'!$A$7:$E$67,VLOOKUP($F$48,'表4）CO2価格'!$H$10:$I$12,2,0),0)*$F$8/1000,"")),0,IF($K83&lt;=$F$15,VLOOKUP($I83,'表4）CO2価格'!$A$7:$E$67,VLOOKUP($F$48,'表4）CO2価格'!$H$10:$I$12,2,0),0)*$F$8/1000,""))</f>
        <v/>
      </c>
      <c r="AZ83" s="39"/>
      <c r="BA83" s="42" t="str">
        <f t="shared" si="49"/>
        <v/>
      </c>
      <c r="BB83" s="72" t="str">
        <f t="shared" si="66"/>
        <v/>
      </c>
      <c r="BC83" s="39"/>
      <c r="BD83" s="72" t="str">
        <f t="shared" si="50"/>
        <v/>
      </c>
      <c r="BE83" s="72" t="str">
        <f t="shared" si="67"/>
        <v/>
      </c>
      <c r="BF83" s="39"/>
      <c r="BG83" s="42" t="str">
        <f t="shared" si="51"/>
        <v/>
      </c>
      <c r="BH83" s="72" t="str">
        <f t="shared" si="68"/>
        <v/>
      </c>
      <c r="BI83" s="39"/>
      <c r="BJ83" s="40" t="str">
        <f t="shared" si="69"/>
        <v/>
      </c>
      <c r="BK83" s="157" t="str">
        <f t="shared" si="70"/>
        <v/>
      </c>
      <c r="BL83" s="157" t="str">
        <f t="shared" si="52"/>
        <v/>
      </c>
      <c r="BM83" s="72"/>
      <c r="BN83" s="72" t="str">
        <f t="shared" si="71"/>
        <v/>
      </c>
      <c r="BO83" s="72" t="str">
        <f t="shared" si="72"/>
        <v/>
      </c>
      <c r="BP83" s="39"/>
      <c r="BQ83" s="72" t="str">
        <f t="shared" si="53"/>
        <v/>
      </c>
      <c r="BR83" s="72" t="str">
        <f t="shared" si="73"/>
        <v/>
      </c>
    </row>
    <row r="84" spans="4:70" x14ac:dyDescent="0.15">
      <c r="F84" s="487"/>
      <c r="H84" s="370"/>
      <c r="I84" s="322">
        <f t="shared" si="74"/>
        <v>2099</v>
      </c>
      <c r="K84" s="71">
        <f t="shared" si="75"/>
        <v>70</v>
      </c>
      <c r="M84" s="7">
        <f t="shared" si="38"/>
        <v>0.12629735943783454</v>
      </c>
      <c r="O84" s="10" t="str">
        <f t="shared" si="54"/>
        <v/>
      </c>
      <c r="P84" s="29" t="str">
        <f t="shared" si="39"/>
        <v/>
      </c>
      <c r="R84" s="10" t="str">
        <f t="shared" si="55"/>
        <v/>
      </c>
      <c r="T84" s="10" t="str">
        <f t="shared" si="56"/>
        <v/>
      </c>
      <c r="V84" s="10" t="str">
        <f t="shared" si="40"/>
        <v/>
      </c>
      <c r="W84" s="10" t="str">
        <f t="shared" si="57"/>
        <v/>
      </c>
      <c r="Y84" s="10" t="str">
        <f t="shared" si="41"/>
        <v/>
      </c>
      <c r="Z84" s="10" t="str">
        <f t="shared" si="58"/>
        <v/>
      </c>
      <c r="AB84" s="10" t="str">
        <f t="shared" si="42"/>
        <v/>
      </c>
      <c r="AC84" s="10" t="str">
        <f t="shared" si="59"/>
        <v/>
      </c>
      <c r="AE84" s="10" t="str">
        <f t="shared" si="43"/>
        <v/>
      </c>
      <c r="AF84" s="10" t="str">
        <f t="shared" si="60"/>
        <v/>
      </c>
      <c r="AH84" s="10" t="str">
        <f t="shared" si="44"/>
        <v/>
      </c>
      <c r="AI84" s="10" t="str">
        <f t="shared" si="61"/>
        <v/>
      </c>
      <c r="AK84" s="10" t="str">
        <f t="shared" si="45"/>
        <v/>
      </c>
      <c r="AL84" s="10" t="str">
        <f t="shared" si="62"/>
        <v/>
      </c>
      <c r="AN84" s="10" t="str">
        <f t="shared" si="46"/>
        <v/>
      </c>
      <c r="AO84" s="10" t="str">
        <f t="shared" si="63"/>
        <v/>
      </c>
      <c r="AQ84" s="10" t="str">
        <f t="shared" si="47"/>
        <v/>
      </c>
      <c r="AR84" s="10" t="str">
        <f t="shared" si="64"/>
        <v/>
      </c>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V84" s="10" t="str">
        <f t="shared" si="48"/>
        <v/>
      </c>
      <c r="AW84" s="10" t="str">
        <f t="shared" si="65"/>
        <v/>
      </c>
      <c r="AY84" s="7" t="str">
        <f>IF(ISERROR(IF($K84&lt;=$F$15,VLOOKUP($I84,'表4）CO2価格'!$A$7:$E$67,VLOOKUP($F$48,'表4）CO2価格'!$H$10:$I$12,2,0),0)*$F$8/1000,"")),0,IF($K84&lt;=$F$15,VLOOKUP($I84,'表4）CO2価格'!$A$7:$E$67,VLOOKUP($F$48,'表4）CO2価格'!$H$10:$I$12,2,0),0)*$F$8/1000,""))</f>
        <v/>
      </c>
      <c r="BA84" s="11" t="str">
        <f t="shared" si="49"/>
        <v/>
      </c>
      <c r="BB84" s="10" t="str">
        <f t="shared" si="66"/>
        <v/>
      </c>
      <c r="BD84" s="10" t="str">
        <f t="shared" si="50"/>
        <v/>
      </c>
      <c r="BE84" s="10" t="str">
        <f t="shared" si="67"/>
        <v/>
      </c>
      <c r="BG84" s="11" t="str">
        <f t="shared" si="51"/>
        <v/>
      </c>
      <c r="BH84" s="10" t="str">
        <f t="shared" si="68"/>
        <v/>
      </c>
      <c r="BJ84" s="7" t="str">
        <f t="shared" si="69"/>
        <v/>
      </c>
      <c r="BK84" s="158" t="str">
        <f t="shared" si="70"/>
        <v/>
      </c>
      <c r="BL84" s="158" t="str">
        <f t="shared" si="52"/>
        <v/>
      </c>
      <c r="BM84" s="10"/>
      <c r="BN84" s="10" t="str">
        <f t="shared" si="71"/>
        <v/>
      </c>
      <c r="BO84" s="10" t="str">
        <f t="shared" si="72"/>
        <v/>
      </c>
      <c r="BQ84" s="10" t="str">
        <f t="shared" si="53"/>
        <v/>
      </c>
      <c r="BR84" s="10" t="str">
        <f t="shared" si="73"/>
        <v/>
      </c>
    </row>
    <row r="85" spans="4:70" x14ac:dyDescent="0.15">
      <c r="D85" s="100" t="s">
        <v>594</v>
      </c>
      <c r="E85" s="489"/>
      <c r="F85" s="486"/>
      <c r="G85" s="100"/>
      <c r="H85" s="370"/>
      <c r="I85" s="38">
        <f t="shared" si="74"/>
        <v>2100</v>
      </c>
      <c r="J85" s="39"/>
      <c r="K85" s="39">
        <f t="shared" si="75"/>
        <v>71</v>
      </c>
      <c r="L85" s="39"/>
      <c r="M85" s="40">
        <f t="shared" si="38"/>
        <v>0.12261879557071313</v>
      </c>
      <c r="N85" s="39"/>
      <c r="O85" s="72" t="str">
        <f t="shared" si="54"/>
        <v/>
      </c>
      <c r="P85" s="41" t="str">
        <f t="shared" si="39"/>
        <v/>
      </c>
      <c r="Q85" s="39"/>
      <c r="R85" s="72" t="str">
        <f t="shared" si="55"/>
        <v/>
      </c>
      <c r="S85" s="39"/>
      <c r="T85" s="72" t="str">
        <f t="shared" si="56"/>
        <v/>
      </c>
      <c r="U85" s="39"/>
      <c r="V85" s="72" t="str">
        <f t="shared" si="40"/>
        <v/>
      </c>
      <c r="W85" s="72" t="str">
        <f t="shared" si="57"/>
        <v/>
      </c>
      <c r="X85" s="39"/>
      <c r="Y85" s="72" t="str">
        <f t="shared" si="41"/>
        <v/>
      </c>
      <c r="Z85" s="72" t="str">
        <f t="shared" si="58"/>
        <v/>
      </c>
      <c r="AA85" s="39"/>
      <c r="AB85" s="72" t="str">
        <f t="shared" si="42"/>
        <v/>
      </c>
      <c r="AC85" s="72" t="str">
        <f t="shared" si="59"/>
        <v/>
      </c>
      <c r="AD85" s="39"/>
      <c r="AE85" s="72" t="str">
        <f t="shared" si="43"/>
        <v/>
      </c>
      <c r="AF85" s="72" t="str">
        <f t="shared" si="60"/>
        <v/>
      </c>
      <c r="AG85" s="39"/>
      <c r="AH85" s="72" t="str">
        <f t="shared" si="44"/>
        <v/>
      </c>
      <c r="AI85" s="72" t="str">
        <f t="shared" si="61"/>
        <v/>
      </c>
      <c r="AJ85" s="39"/>
      <c r="AK85" s="72" t="str">
        <f t="shared" si="45"/>
        <v/>
      </c>
      <c r="AL85" s="72" t="str">
        <f t="shared" si="62"/>
        <v/>
      </c>
      <c r="AM85" s="39"/>
      <c r="AN85" s="72" t="str">
        <f t="shared" si="46"/>
        <v/>
      </c>
      <c r="AO85" s="72" t="str">
        <f t="shared" si="63"/>
        <v/>
      </c>
      <c r="AP85" s="39"/>
      <c r="AQ85" s="72" t="str">
        <f t="shared" si="47"/>
        <v/>
      </c>
      <c r="AR85" s="72" t="str">
        <f t="shared" si="64"/>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48"/>
        <v/>
      </c>
      <c r="AW85" s="72" t="str">
        <f t="shared" si="65"/>
        <v/>
      </c>
      <c r="AX85" s="39"/>
      <c r="AY85" s="40" t="str">
        <f>IF(ISERROR(IF($K85&lt;=$F$15,VLOOKUP($I85,'表4）CO2価格'!$A$7:$E$67,VLOOKUP($F$48,'表4）CO2価格'!$H$10:$I$12,2,0),0)*$F$8/1000,"")),0,IF($K85&lt;=$F$15,VLOOKUP($I85,'表4）CO2価格'!$A$7:$E$67,VLOOKUP($F$48,'表4）CO2価格'!$H$10:$I$12,2,0),0)*$F$8/1000,""))</f>
        <v/>
      </c>
      <c r="AZ85" s="39"/>
      <c r="BA85" s="42" t="str">
        <f t="shared" si="49"/>
        <v/>
      </c>
      <c r="BB85" s="72" t="str">
        <f t="shared" si="66"/>
        <v/>
      </c>
      <c r="BC85" s="39"/>
      <c r="BD85" s="72" t="str">
        <f t="shared" si="50"/>
        <v/>
      </c>
      <c r="BE85" s="72" t="str">
        <f t="shared" si="67"/>
        <v/>
      </c>
      <c r="BF85" s="39"/>
      <c r="BG85" s="42" t="str">
        <f t="shared" si="51"/>
        <v/>
      </c>
      <c r="BH85" s="72" t="str">
        <f t="shared" si="68"/>
        <v/>
      </c>
      <c r="BI85" s="39"/>
      <c r="BJ85" s="40" t="str">
        <f t="shared" si="69"/>
        <v/>
      </c>
      <c r="BK85" s="157" t="str">
        <f t="shared" si="70"/>
        <v/>
      </c>
      <c r="BL85" s="157" t="str">
        <f t="shared" si="52"/>
        <v/>
      </c>
      <c r="BM85" s="72"/>
      <c r="BN85" s="72" t="str">
        <f t="shared" si="71"/>
        <v/>
      </c>
      <c r="BO85" s="72" t="str">
        <f t="shared" si="72"/>
        <v/>
      </c>
      <c r="BP85" s="39"/>
      <c r="BQ85" s="72" t="str">
        <f t="shared" si="53"/>
        <v/>
      </c>
      <c r="BR85" s="72" t="str">
        <f t="shared" si="73"/>
        <v/>
      </c>
    </row>
    <row r="86" spans="4:70" x14ac:dyDescent="0.15">
      <c r="F86" s="487"/>
      <c r="H86" s="370"/>
      <c r="I86" s="322">
        <f t="shared" si="74"/>
        <v>2101</v>
      </c>
      <c r="K86" s="71">
        <f t="shared" si="75"/>
        <v>72</v>
      </c>
      <c r="M86" s="7">
        <f t="shared" si="38"/>
        <v>0.1190473743404982</v>
      </c>
      <c r="O86" s="10" t="str">
        <f t="shared" si="54"/>
        <v/>
      </c>
      <c r="P86" s="29" t="str">
        <f t="shared" si="39"/>
        <v/>
      </c>
      <c r="R86" s="10" t="str">
        <f t="shared" si="55"/>
        <v/>
      </c>
      <c r="T86" s="10" t="str">
        <f t="shared" si="56"/>
        <v/>
      </c>
      <c r="V86" s="10" t="str">
        <f t="shared" si="40"/>
        <v/>
      </c>
      <c r="W86" s="10" t="str">
        <f t="shared" si="57"/>
        <v/>
      </c>
      <c r="Y86" s="10" t="str">
        <f t="shared" si="41"/>
        <v/>
      </c>
      <c r="Z86" s="10" t="str">
        <f t="shared" si="58"/>
        <v/>
      </c>
      <c r="AB86" s="10" t="str">
        <f t="shared" si="42"/>
        <v/>
      </c>
      <c r="AC86" s="10" t="str">
        <f t="shared" si="59"/>
        <v/>
      </c>
      <c r="AE86" s="10" t="str">
        <f t="shared" si="43"/>
        <v/>
      </c>
      <c r="AF86" s="10" t="str">
        <f t="shared" si="60"/>
        <v/>
      </c>
      <c r="AH86" s="10" t="str">
        <f t="shared" si="44"/>
        <v/>
      </c>
      <c r="AI86" s="10" t="str">
        <f t="shared" si="61"/>
        <v/>
      </c>
      <c r="AK86" s="10" t="str">
        <f t="shared" si="45"/>
        <v/>
      </c>
      <c r="AL86" s="10" t="str">
        <f t="shared" si="62"/>
        <v/>
      </c>
      <c r="AN86" s="10" t="str">
        <f t="shared" si="46"/>
        <v/>
      </c>
      <c r="AO86" s="10" t="str">
        <f t="shared" si="63"/>
        <v/>
      </c>
      <c r="AQ86" s="10" t="str">
        <f t="shared" si="47"/>
        <v/>
      </c>
      <c r="AR86" s="10" t="str">
        <f t="shared" si="64"/>
        <v/>
      </c>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V86" s="10" t="str">
        <f t="shared" si="48"/>
        <v/>
      </c>
      <c r="AW86" s="10" t="str">
        <f t="shared" si="65"/>
        <v/>
      </c>
      <c r="AY86" s="7" t="str">
        <f>IF(ISERROR(IF($K86&lt;=$F$15,VLOOKUP($I86,'表4）CO2価格'!$A$7:$E$67,VLOOKUP($F$48,'表4）CO2価格'!$H$10:$I$12,2,0),0)*$F$8/1000,"")),0,IF($K86&lt;=$F$15,VLOOKUP($I86,'表4）CO2価格'!$A$7:$E$67,VLOOKUP($F$48,'表4）CO2価格'!$H$10:$I$12,2,0),0)*$F$8/1000,""))</f>
        <v/>
      </c>
      <c r="BA86" s="11" t="str">
        <f t="shared" si="49"/>
        <v/>
      </c>
      <c r="BB86" s="10" t="str">
        <f t="shared" si="66"/>
        <v/>
      </c>
      <c r="BD86" s="10" t="str">
        <f t="shared" si="50"/>
        <v/>
      </c>
      <c r="BE86" s="10" t="str">
        <f t="shared" si="67"/>
        <v/>
      </c>
      <c r="BG86" s="11" t="str">
        <f t="shared" si="51"/>
        <v/>
      </c>
      <c r="BH86" s="10" t="str">
        <f t="shared" si="68"/>
        <v/>
      </c>
      <c r="BJ86" s="7" t="str">
        <f t="shared" si="69"/>
        <v/>
      </c>
      <c r="BK86" s="158" t="str">
        <f t="shared" si="70"/>
        <v/>
      </c>
      <c r="BL86" s="158" t="str">
        <f t="shared" si="52"/>
        <v/>
      </c>
      <c r="BM86" s="10"/>
      <c r="BN86" s="10" t="str">
        <f t="shared" si="71"/>
        <v/>
      </c>
      <c r="BO86" s="10" t="str">
        <f t="shared" si="72"/>
        <v/>
      </c>
      <c r="BQ86" s="10" t="str">
        <f t="shared" si="53"/>
        <v/>
      </c>
      <c r="BR86" s="10" t="str">
        <f t="shared" si="73"/>
        <v/>
      </c>
    </row>
    <row r="87" spans="4:70" x14ac:dyDescent="0.15">
      <c r="E87" s="84" t="s">
        <v>141</v>
      </c>
      <c r="F87" s="488">
        <f>AI116/$BR$116</f>
        <v>0.1217519859418088</v>
      </c>
      <c r="G87" s="84" t="s">
        <v>590</v>
      </c>
      <c r="H87" s="370"/>
      <c r="I87" s="38">
        <f t="shared" si="74"/>
        <v>2102</v>
      </c>
      <c r="J87" s="39"/>
      <c r="K87" s="39">
        <f t="shared" si="75"/>
        <v>73</v>
      </c>
      <c r="L87" s="39"/>
      <c r="M87" s="40">
        <f t="shared" si="38"/>
        <v>0.11557997508786232</v>
      </c>
      <c r="N87" s="39"/>
      <c r="O87" s="72" t="str">
        <f t="shared" si="54"/>
        <v/>
      </c>
      <c r="P87" s="41" t="str">
        <f t="shared" si="39"/>
        <v/>
      </c>
      <c r="Q87" s="39"/>
      <c r="R87" s="72" t="str">
        <f t="shared" si="55"/>
        <v/>
      </c>
      <c r="S87" s="39"/>
      <c r="T87" s="72" t="str">
        <f t="shared" si="56"/>
        <v/>
      </c>
      <c r="U87" s="39"/>
      <c r="V87" s="72" t="str">
        <f t="shared" si="40"/>
        <v/>
      </c>
      <c r="W87" s="72" t="str">
        <f t="shared" si="57"/>
        <v/>
      </c>
      <c r="X87" s="39"/>
      <c r="Y87" s="72" t="str">
        <f t="shared" si="41"/>
        <v/>
      </c>
      <c r="Z87" s="72" t="str">
        <f t="shared" si="58"/>
        <v/>
      </c>
      <c r="AA87" s="39"/>
      <c r="AB87" s="72" t="str">
        <f t="shared" si="42"/>
        <v/>
      </c>
      <c r="AC87" s="72" t="str">
        <f t="shared" si="59"/>
        <v/>
      </c>
      <c r="AD87" s="39"/>
      <c r="AE87" s="72" t="str">
        <f t="shared" si="43"/>
        <v/>
      </c>
      <c r="AF87" s="72" t="str">
        <f t="shared" si="60"/>
        <v/>
      </c>
      <c r="AG87" s="39"/>
      <c r="AH87" s="72" t="str">
        <f t="shared" si="44"/>
        <v/>
      </c>
      <c r="AI87" s="72" t="str">
        <f t="shared" si="61"/>
        <v/>
      </c>
      <c r="AJ87" s="39"/>
      <c r="AK87" s="72" t="str">
        <f t="shared" si="45"/>
        <v/>
      </c>
      <c r="AL87" s="72" t="str">
        <f t="shared" si="62"/>
        <v/>
      </c>
      <c r="AM87" s="39"/>
      <c r="AN87" s="72" t="str">
        <f t="shared" si="46"/>
        <v/>
      </c>
      <c r="AO87" s="72" t="str">
        <f t="shared" si="63"/>
        <v/>
      </c>
      <c r="AP87" s="39"/>
      <c r="AQ87" s="72" t="str">
        <f t="shared" si="47"/>
        <v/>
      </c>
      <c r="AR87" s="72" t="str">
        <f t="shared" si="64"/>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48"/>
        <v/>
      </c>
      <c r="AW87" s="72" t="str">
        <f t="shared" si="65"/>
        <v/>
      </c>
      <c r="AX87" s="39"/>
      <c r="AY87" s="40" t="str">
        <f>IF(ISERROR(IF($K87&lt;=$F$15,VLOOKUP($I87,'表4）CO2価格'!$A$7:$E$67,VLOOKUP($F$48,'表4）CO2価格'!$H$10:$I$12,2,0),0)*$F$8/1000,"")),0,IF($K87&lt;=$F$15,VLOOKUP($I87,'表4）CO2価格'!$A$7:$E$67,VLOOKUP($F$48,'表4）CO2価格'!$H$10:$I$12,2,0),0)*$F$8/1000,""))</f>
        <v/>
      </c>
      <c r="AZ87" s="39"/>
      <c r="BA87" s="42" t="str">
        <f t="shared" si="49"/>
        <v/>
      </c>
      <c r="BB87" s="72" t="str">
        <f t="shared" si="66"/>
        <v/>
      </c>
      <c r="BC87" s="39"/>
      <c r="BD87" s="72" t="str">
        <f t="shared" si="50"/>
        <v/>
      </c>
      <c r="BE87" s="72" t="str">
        <f t="shared" si="67"/>
        <v/>
      </c>
      <c r="BF87" s="39"/>
      <c r="BG87" s="42" t="str">
        <f t="shared" si="51"/>
        <v/>
      </c>
      <c r="BH87" s="72" t="str">
        <f t="shared" si="68"/>
        <v/>
      </c>
      <c r="BI87" s="39"/>
      <c r="BJ87" s="40" t="str">
        <f t="shared" si="69"/>
        <v/>
      </c>
      <c r="BK87" s="157" t="str">
        <f t="shared" si="70"/>
        <v/>
      </c>
      <c r="BL87" s="157" t="str">
        <f t="shared" si="52"/>
        <v/>
      </c>
      <c r="BM87" s="72"/>
      <c r="BN87" s="72" t="str">
        <f t="shared" si="71"/>
        <v/>
      </c>
      <c r="BO87" s="72" t="str">
        <f t="shared" si="72"/>
        <v/>
      </c>
      <c r="BP87" s="39"/>
      <c r="BQ87" s="72" t="str">
        <f t="shared" si="53"/>
        <v/>
      </c>
      <c r="BR87" s="72" t="str">
        <f t="shared" si="73"/>
        <v/>
      </c>
    </row>
    <row r="88" spans="4:70" x14ac:dyDescent="0.15">
      <c r="E88" s="84" t="s">
        <v>120</v>
      </c>
      <c r="F88" s="488">
        <f>AL116/$BR$116</f>
        <v>0.65298339298984265</v>
      </c>
      <c r="G88" s="84" t="s">
        <v>590</v>
      </c>
      <c r="H88" s="370"/>
      <c r="I88" s="322">
        <f t="shared" si="74"/>
        <v>2103</v>
      </c>
      <c r="K88" s="71">
        <f t="shared" si="75"/>
        <v>74</v>
      </c>
      <c r="M88" s="7">
        <f t="shared" si="38"/>
        <v>0.11221356804646829</v>
      </c>
      <c r="O88" s="10" t="str">
        <f t="shared" si="54"/>
        <v/>
      </c>
      <c r="P88" s="29" t="str">
        <f t="shared" si="39"/>
        <v/>
      </c>
      <c r="R88" s="10" t="str">
        <f t="shared" si="55"/>
        <v/>
      </c>
      <c r="T88" s="10" t="str">
        <f t="shared" si="56"/>
        <v/>
      </c>
      <c r="V88" s="10" t="str">
        <f t="shared" si="40"/>
        <v/>
      </c>
      <c r="W88" s="10" t="str">
        <f t="shared" si="57"/>
        <v/>
      </c>
      <c r="Y88" s="10" t="str">
        <f t="shared" si="41"/>
        <v/>
      </c>
      <c r="Z88" s="10" t="str">
        <f t="shared" si="58"/>
        <v/>
      </c>
      <c r="AB88" s="10" t="str">
        <f t="shared" si="42"/>
        <v/>
      </c>
      <c r="AC88" s="10" t="str">
        <f t="shared" si="59"/>
        <v/>
      </c>
      <c r="AE88" s="10" t="str">
        <f t="shared" si="43"/>
        <v/>
      </c>
      <c r="AF88" s="10" t="str">
        <f t="shared" si="60"/>
        <v/>
      </c>
      <c r="AH88" s="10" t="str">
        <f t="shared" si="44"/>
        <v/>
      </c>
      <c r="AI88" s="10" t="str">
        <f t="shared" si="61"/>
        <v/>
      </c>
      <c r="AK88" s="10" t="str">
        <f t="shared" si="45"/>
        <v/>
      </c>
      <c r="AL88" s="10" t="str">
        <f t="shared" si="62"/>
        <v/>
      </c>
      <c r="AN88" s="10" t="str">
        <f t="shared" si="46"/>
        <v/>
      </c>
      <c r="AO88" s="10" t="str">
        <f t="shared" si="63"/>
        <v/>
      </c>
      <c r="AQ88" s="10" t="str">
        <f t="shared" si="47"/>
        <v/>
      </c>
      <c r="AR88" s="10" t="str">
        <f t="shared" si="64"/>
        <v/>
      </c>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V88" s="10" t="str">
        <f t="shared" si="48"/>
        <v/>
      </c>
      <c r="AW88" s="10" t="str">
        <f t="shared" si="65"/>
        <v/>
      </c>
      <c r="AY88" s="7" t="str">
        <f>IF(ISERROR(IF($K88&lt;=$F$15,VLOOKUP($I88,'表4）CO2価格'!$A$7:$E$67,VLOOKUP($F$48,'表4）CO2価格'!$H$10:$I$12,2,0),0)*$F$8/1000,"")),0,IF($K88&lt;=$F$15,VLOOKUP($I88,'表4）CO2価格'!$A$7:$E$67,VLOOKUP($F$48,'表4）CO2価格'!$H$10:$I$12,2,0),0)*$F$8/1000,""))</f>
        <v/>
      </c>
      <c r="BA88" s="11" t="str">
        <f t="shared" si="49"/>
        <v/>
      </c>
      <c r="BB88" s="10" t="str">
        <f t="shared" si="66"/>
        <v/>
      </c>
      <c r="BD88" s="10" t="str">
        <f t="shared" si="50"/>
        <v/>
      </c>
      <c r="BE88" s="10" t="str">
        <f t="shared" si="67"/>
        <v/>
      </c>
      <c r="BG88" s="11" t="str">
        <f t="shared" si="51"/>
        <v/>
      </c>
      <c r="BH88" s="10" t="str">
        <f t="shared" si="68"/>
        <v/>
      </c>
      <c r="BJ88" s="7" t="str">
        <f t="shared" si="69"/>
        <v/>
      </c>
      <c r="BK88" s="158" t="str">
        <f t="shared" si="70"/>
        <v/>
      </c>
      <c r="BL88" s="158" t="str">
        <f t="shared" si="52"/>
        <v/>
      </c>
      <c r="BM88" s="10"/>
      <c r="BN88" s="10" t="str">
        <f t="shared" si="71"/>
        <v/>
      </c>
      <c r="BO88" s="10" t="str">
        <f t="shared" si="72"/>
        <v/>
      </c>
      <c r="BQ88" s="10" t="str">
        <f t="shared" si="53"/>
        <v/>
      </c>
      <c r="BR88" s="10" t="str">
        <f t="shared" si="73"/>
        <v/>
      </c>
    </row>
    <row r="89" spans="4:70" x14ac:dyDescent="0.15">
      <c r="E89" s="84" t="s">
        <v>122</v>
      </c>
      <c r="F89" s="488">
        <f>AO116/$BR$116</f>
        <v>0.29928405512034451</v>
      </c>
      <c r="G89" s="84" t="s">
        <v>590</v>
      </c>
      <c r="H89" s="370"/>
      <c r="I89" s="38">
        <f t="shared" si="74"/>
        <v>2104</v>
      </c>
      <c r="J89" s="39"/>
      <c r="K89" s="39">
        <f t="shared" si="75"/>
        <v>75</v>
      </c>
      <c r="L89" s="39"/>
      <c r="M89" s="40">
        <f t="shared" si="38"/>
        <v>0.10894521169560026</v>
      </c>
      <c r="N89" s="39"/>
      <c r="O89" s="72" t="str">
        <f t="shared" si="54"/>
        <v/>
      </c>
      <c r="P89" s="41" t="str">
        <f t="shared" si="39"/>
        <v/>
      </c>
      <c r="Q89" s="39"/>
      <c r="R89" s="72" t="str">
        <f t="shared" si="55"/>
        <v/>
      </c>
      <c r="S89" s="39"/>
      <c r="T89" s="72" t="str">
        <f t="shared" si="56"/>
        <v/>
      </c>
      <c r="U89" s="39"/>
      <c r="V89" s="72" t="str">
        <f t="shared" si="40"/>
        <v/>
      </c>
      <c r="W89" s="72" t="str">
        <f t="shared" si="57"/>
        <v/>
      </c>
      <c r="X89" s="39"/>
      <c r="Y89" s="72" t="str">
        <f t="shared" si="41"/>
        <v/>
      </c>
      <c r="Z89" s="72" t="str">
        <f t="shared" si="58"/>
        <v/>
      </c>
      <c r="AA89" s="39"/>
      <c r="AB89" s="72" t="str">
        <f t="shared" si="42"/>
        <v/>
      </c>
      <c r="AC89" s="72" t="str">
        <f t="shared" si="59"/>
        <v/>
      </c>
      <c r="AD89" s="39"/>
      <c r="AE89" s="72" t="str">
        <f t="shared" si="43"/>
        <v/>
      </c>
      <c r="AF89" s="72" t="str">
        <f t="shared" si="60"/>
        <v/>
      </c>
      <c r="AG89" s="39"/>
      <c r="AH89" s="72" t="str">
        <f t="shared" si="44"/>
        <v/>
      </c>
      <c r="AI89" s="72" t="str">
        <f t="shared" si="61"/>
        <v/>
      </c>
      <c r="AJ89" s="39"/>
      <c r="AK89" s="72" t="str">
        <f t="shared" si="45"/>
        <v/>
      </c>
      <c r="AL89" s="72" t="str">
        <f t="shared" si="62"/>
        <v/>
      </c>
      <c r="AM89" s="39"/>
      <c r="AN89" s="72" t="str">
        <f t="shared" si="46"/>
        <v/>
      </c>
      <c r="AO89" s="72" t="str">
        <f t="shared" si="63"/>
        <v/>
      </c>
      <c r="AP89" s="39"/>
      <c r="AQ89" s="72" t="str">
        <f t="shared" si="47"/>
        <v/>
      </c>
      <c r="AR89" s="72" t="str">
        <f t="shared" si="64"/>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48"/>
        <v/>
      </c>
      <c r="AW89" s="72" t="str">
        <f t="shared" si="65"/>
        <v/>
      </c>
      <c r="AX89" s="39"/>
      <c r="AY89" s="40" t="str">
        <f>IF(ISERROR(IF($K89&lt;=$F$15,VLOOKUP($I89,'表4）CO2価格'!$A$7:$E$67,VLOOKUP($F$48,'表4）CO2価格'!$H$10:$I$12,2,0),0)*$F$8/1000,"")),0,IF($K89&lt;=$F$15,VLOOKUP($I89,'表4）CO2価格'!$A$7:$E$67,VLOOKUP($F$48,'表4）CO2価格'!$H$10:$I$12,2,0),0)*$F$8/1000,""))</f>
        <v/>
      </c>
      <c r="AZ89" s="39"/>
      <c r="BA89" s="42" t="str">
        <f t="shared" si="49"/>
        <v/>
      </c>
      <c r="BB89" s="72" t="str">
        <f t="shared" si="66"/>
        <v/>
      </c>
      <c r="BC89" s="39"/>
      <c r="BD89" s="72" t="str">
        <f t="shared" si="50"/>
        <v/>
      </c>
      <c r="BE89" s="72" t="str">
        <f t="shared" si="67"/>
        <v/>
      </c>
      <c r="BF89" s="39"/>
      <c r="BG89" s="42" t="str">
        <f t="shared" si="51"/>
        <v/>
      </c>
      <c r="BH89" s="72" t="str">
        <f t="shared" si="68"/>
        <v/>
      </c>
      <c r="BI89" s="39"/>
      <c r="BJ89" s="40" t="str">
        <f t="shared" si="69"/>
        <v/>
      </c>
      <c r="BK89" s="157" t="str">
        <f t="shared" si="70"/>
        <v/>
      </c>
      <c r="BL89" s="157" t="str">
        <f t="shared" si="52"/>
        <v/>
      </c>
      <c r="BM89" s="72"/>
      <c r="BN89" s="72" t="str">
        <f t="shared" si="71"/>
        <v/>
      </c>
      <c r="BO89" s="72" t="str">
        <f t="shared" si="72"/>
        <v/>
      </c>
      <c r="BP89" s="39"/>
      <c r="BQ89" s="72" t="str">
        <f t="shared" si="53"/>
        <v/>
      </c>
      <c r="BR89" s="72" t="str">
        <f t="shared" si="73"/>
        <v/>
      </c>
    </row>
    <row r="90" spans="4:70" x14ac:dyDescent="0.15">
      <c r="E90" s="84" t="s">
        <v>142</v>
      </c>
      <c r="F90" s="488">
        <f>AR116/$BR$116</f>
        <v>0.1288823320862395</v>
      </c>
      <c r="G90" s="84" t="s">
        <v>590</v>
      </c>
      <c r="H90" s="370"/>
      <c r="I90" s="322">
        <f t="shared" si="74"/>
        <v>2105</v>
      </c>
      <c r="K90" s="71">
        <f t="shared" si="75"/>
        <v>76</v>
      </c>
      <c r="M90" s="7">
        <f t="shared" si="38"/>
        <v>0.10577205018990318</v>
      </c>
      <c r="O90" s="10" t="str">
        <f t="shared" si="54"/>
        <v/>
      </c>
      <c r="P90" s="29" t="str">
        <f t="shared" si="39"/>
        <v/>
      </c>
      <c r="R90" s="10" t="str">
        <f t="shared" si="55"/>
        <v/>
      </c>
      <c r="T90" s="10" t="str">
        <f t="shared" si="56"/>
        <v/>
      </c>
      <c r="V90" s="10" t="str">
        <f t="shared" si="40"/>
        <v/>
      </c>
      <c r="W90" s="10" t="str">
        <f t="shared" si="57"/>
        <v/>
      </c>
      <c r="Y90" s="10" t="str">
        <f t="shared" si="41"/>
        <v/>
      </c>
      <c r="Z90" s="10" t="str">
        <f t="shared" si="58"/>
        <v/>
      </c>
      <c r="AB90" s="10" t="str">
        <f t="shared" si="42"/>
        <v/>
      </c>
      <c r="AC90" s="10" t="str">
        <f t="shared" si="59"/>
        <v/>
      </c>
      <c r="AE90" s="10" t="str">
        <f t="shared" si="43"/>
        <v/>
      </c>
      <c r="AF90" s="10" t="str">
        <f t="shared" si="60"/>
        <v/>
      </c>
      <c r="AH90" s="10" t="str">
        <f t="shared" si="44"/>
        <v/>
      </c>
      <c r="AI90" s="10" t="str">
        <f t="shared" si="61"/>
        <v/>
      </c>
      <c r="AK90" s="10" t="str">
        <f t="shared" si="45"/>
        <v/>
      </c>
      <c r="AL90" s="10" t="str">
        <f t="shared" si="62"/>
        <v/>
      </c>
      <c r="AN90" s="10" t="str">
        <f t="shared" si="46"/>
        <v/>
      </c>
      <c r="AO90" s="10" t="str">
        <f t="shared" si="63"/>
        <v/>
      </c>
      <c r="AQ90" s="10" t="str">
        <f t="shared" si="47"/>
        <v/>
      </c>
      <c r="AR90" s="10" t="str">
        <f t="shared" si="64"/>
        <v/>
      </c>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V90" s="10" t="str">
        <f t="shared" si="48"/>
        <v/>
      </c>
      <c r="AW90" s="10" t="str">
        <f t="shared" si="65"/>
        <v/>
      </c>
      <c r="AY90" s="7" t="str">
        <f>IF(ISERROR(IF($K90&lt;=$F$15,VLOOKUP($I90,'表4）CO2価格'!$A$7:$E$67,VLOOKUP($F$48,'表4）CO2価格'!$H$10:$I$12,2,0),0)*$F$8/1000,"")),0,IF($K90&lt;=$F$15,VLOOKUP($I90,'表4）CO2価格'!$A$7:$E$67,VLOOKUP($F$48,'表4）CO2価格'!$H$10:$I$12,2,0),0)*$F$8/1000,""))</f>
        <v/>
      </c>
      <c r="BA90" s="11" t="str">
        <f t="shared" si="49"/>
        <v/>
      </c>
      <c r="BB90" s="10" t="str">
        <f t="shared" si="66"/>
        <v/>
      </c>
      <c r="BD90" s="10" t="str">
        <f t="shared" si="50"/>
        <v/>
      </c>
      <c r="BE90" s="10" t="str">
        <f t="shared" si="67"/>
        <v/>
      </c>
      <c r="BG90" s="11" t="str">
        <f t="shared" si="51"/>
        <v/>
      </c>
      <c r="BH90" s="10" t="str">
        <f t="shared" si="68"/>
        <v/>
      </c>
      <c r="BJ90" s="7" t="str">
        <f t="shared" si="69"/>
        <v/>
      </c>
      <c r="BK90" s="158" t="str">
        <f t="shared" si="70"/>
        <v/>
      </c>
      <c r="BL90" s="158" t="str">
        <f t="shared" si="52"/>
        <v/>
      </c>
      <c r="BM90" s="10"/>
      <c r="BN90" s="10" t="str">
        <f t="shared" si="71"/>
        <v/>
      </c>
      <c r="BO90" s="10" t="str">
        <f t="shared" si="72"/>
        <v/>
      </c>
      <c r="BQ90" s="10" t="str">
        <f t="shared" si="53"/>
        <v/>
      </c>
      <c r="BR90" s="10" t="str">
        <f t="shared" si="73"/>
        <v/>
      </c>
    </row>
    <row r="91" spans="4:70" x14ac:dyDescent="0.15">
      <c r="F91" s="487"/>
      <c r="H91" s="370"/>
      <c r="I91" s="38">
        <f t="shared" si="74"/>
        <v>2106</v>
      </c>
      <c r="J91" s="39"/>
      <c r="K91" s="39">
        <f t="shared" si="75"/>
        <v>77</v>
      </c>
      <c r="L91" s="39"/>
      <c r="M91" s="40">
        <f t="shared" si="38"/>
        <v>0.10269131086398368</v>
      </c>
      <c r="N91" s="39"/>
      <c r="O91" s="72" t="str">
        <f t="shared" si="54"/>
        <v/>
      </c>
      <c r="P91" s="41" t="str">
        <f t="shared" si="39"/>
        <v/>
      </c>
      <c r="Q91" s="39"/>
      <c r="R91" s="72" t="str">
        <f t="shared" si="55"/>
        <v/>
      </c>
      <c r="S91" s="39"/>
      <c r="T91" s="72" t="str">
        <f t="shared" si="56"/>
        <v/>
      </c>
      <c r="U91" s="39"/>
      <c r="V91" s="72" t="str">
        <f t="shared" si="40"/>
        <v/>
      </c>
      <c r="W91" s="72" t="str">
        <f t="shared" si="57"/>
        <v/>
      </c>
      <c r="X91" s="39"/>
      <c r="Y91" s="72" t="str">
        <f t="shared" si="41"/>
        <v/>
      </c>
      <c r="Z91" s="72" t="str">
        <f t="shared" si="58"/>
        <v/>
      </c>
      <c r="AA91" s="39"/>
      <c r="AB91" s="72" t="str">
        <f t="shared" si="42"/>
        <v/>
      </c>
      <c r="AC91" s="72" t="str">
        <f t="shared" si="59"/>
        <v/>
      </c>
      <c r="AD91" s="39"/>
      <c r="AE91" s="72" t="str">
        <f t="shared" si="43"/>
        <v/>
      </c>
      <c r="AF91" s="72" t="str">
        <f t="shared" si="60"/>
        <v/>
      </c>
      <c r="AG91" s="39"/>
      <c r="AH91" s="72" t="str">
        <f t="shared" si="44"/>
        <v/>
      </c>
      <c r="AI91" s="72" t="str">
        <f t="shared" si="61"/>
        <v/>
      </c>
      <c r="AJ91" s="39"/>
      <c r="AK91" s="72" t="str">
        <f t="shared" si="45"/>
        <v/>
      </c>
      <c r="AL91" s="72" t="str">
        <f t="shared" si="62"/>
        <v/>
      </c>
      <c r="AM91" s="39"/>
      <c r="AN91" s="72" t="str">
        <f t="shared" si="46"/>
        <v/>
      </c>
      <c r="AO91" s="72" t="str">
        <f t="shared" si="63"/>
        <v/>
      </c>
      <c r="AP91" s="39"/>
      <c r="AQ91" s="72" t="str">
        <f t="shared" si="47"/>
        <v/>
      </c>
      <c r="AR91" s="72" t="str">
        <f t="shared" si="64"/>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48"/>
        <v/>
      </c>
      <c r="AW91" s="72" t="str">
        <f t="shared" si="65"/>
        <v/>
      </c>
      <c r="AX91" s="39"/>
      <c r="AY91" s="40" t="str">
        <f>IF(ISERROR(IF($K91&lt;=$F$15,VLOOKUP($I91,'表4）CO2価格'!$A$7:$E$67,VLOOKUP($F$48,'表4）CO2価格'!$H$10:$I$12,2,0),0)*$F$8/1000,"")),0,IF($K91&lt;=$F$15,VLOOKUP($I91,'表4）CO2価格'!$A$7:$E$67,VLOOKUP($F$48,'表4）CO2価格'!$H$10:$I$12,2,0),0)*$F$8/1000,""))</f>
        <v/>
      </c>
      <c r="AZ91" s="39"/>
      <c r="BA91" s="42" t="str">
        <f t="shared" si="49"/>
        <v/>
      </c>
      <c r="BB91" s="72" t="str">
        <f t="shared" si="66"/>
        <v/>
      </c>
      <c r="BC91" s="39"/>
      <c r="BD91" s="72" t="str">
        <f t="shared" si="50"/>
        <v/>
      </c>
      <c r="BE91" s="72" t="str">
        <f t="shared" si="67"/>
        <v/>
      </c>
      <c r="BF91" s="39"/>
      <c r="BG91" s="42" t="str">
        <f t="shared" si="51"/>
        <v/>
      </c>
      <c r="BH91" s="72" t="str">
        <f t="shared" si="68"/>
        <v/>
      </c>
      <c r="BI91" s="39"/>
      <c r="BJ91" s="40" t="str">
        <f t="shared" si="69"/>
        <v/>
      </c>
      <c r="BK91" s="157" t="str">
        <f t="shared" si="70"/>
        <v/>
      </c>
      <c r="BL91" s="157" t="str">
        <f t="shared" si="52"/>
        <v/>
      </c>
      <c r="BM91" s="72"/>
      <c r="BN91" s="72" t="str">
        <f t="shared" si="71"/>
        <v/>
      </c>
      <c r="BO91" s="72" t="str">
        <f t="shared" si="72"/>
        <v/>
      </c>
      <c r="BP91" s="39"/>
      <c r="BQ91" s="72" t="str">
        <f t="shared" si="53"/>
        <v/>
      </c>
      <c r="BR91" s="72" t="str">
        <f t="shared" si="73"/>
        <v/>
      </c>
    </row>
    <row r="92" spans="4:70" ht="15" x14ac:dyDescent="0.15">
      <c r="D92" s="103" t="s">
        <v>595</v>
      </c>
      <c r="F92" s="484">
        <f>SUBTOTAL(9,F96:F97)</f>
        <v>7.3004639214764415</v>
      </c>
      <c r="H92" s="370"/>
      <c r="I92" s="322">
        <f t="shared" si="74"/>
        <v>2107</v>
      </c>
      <c r="K92" s="71">
        <f t="shared" si="75"/>
        <v>78</v>
      </c>
      <c r="M92" s="7">
        <f t="shared" si="38"/>
        <v>9.9700301809692873E-2</v>
      </c>
      <c r="O92" s="10" t="str">
        <f t="shared" si="54"/>
        <v/>
      </c>
      <c r="P92" s="29" t="str">
        <f t="shared" si="39"/>
        <v/>
      </c>
      <c r="R92" s="10" t="str">
        <f t="shared" si="55"/>
        <v/>
      </c>
      <c r="T92" s="10" t="str">
        <f t="shared" si="56"/>
        <v/>
      </c>
      <c r="V92" s="10" t="str">
        <f t="shared" si="40"/>
        <v/>
      </c>
      <c r="W92" s="10" t="str">
        <f t="shared" si="57"/>
        <v/>
      </c>
      <c r="Y92" s="10" t="str">
        <f t="shared" si="41"/>
        <v/>
      </c>
      <c r="Z92" s="10" t="str">
        <f t="shared" si="58"/>
        <v/>
      </c>
      <c r="AB92" s="10" t="str">
        <f t="shared" si="42"/>
        <v/>
      </c>
      <c r="AC92" s="10" t="str">
        <f t="shared" si="59"/>
        <v/>
      </c>
      <c r="AE92" s="10" t="str">
        <f t="shared" si="43"/>
        <v/>
      </c>
      <c r="AF92" s="10" t="str">
        <f t="shared" si="60"/>
        <v/>
      </c>
      <c r="AH92" s="10" t="str">
        <f t="shared" si="44"/>
        <v/>
      </c>
      <c r="AI92" s="10" t="str">
        <f t="shared" si="61"/>
        <v/>
      </c>
      <c r="AK92" s="10" t="str">
        <f t="shared" si="45"/>
        <v/>
      </c>
      <c r="AL92" s="10" t="str">
        <f t="shared" si="62"/>
        <v/>
      </c>
      <c r="AN92" s="10" t="str">
        <f t="shared" si="46"/>
        <v/>
      </c>
      <c r="AO92" s="10" t="str">
        <f t="shared" si="63"/>
        <v/>
      </c>
      <c r="AQ92" s="10" t="str">
        <f t="shared" si="47"/>
        <v/>
      </c>
      <c r="AR92" s="10" t="str">
        <f t="shared" si="64"/>
        <v/>
      </c>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V92" s="10" t="str">
        <f t="shared" si="48"/>
        <v/>
      </c>
      <c r="AW92" s="10" t="str">
        <f t="shared" si="65"/>
        <v/>
      </c>
      <c r="AY92" s="7" t="str">
        <f>IF(ISERROR(IF($K92&lt;=$F$15,VLOOKUP($I92,'表4）CO2価格'!$A$7:$E$67,VLOOKUP($F$48,'表4）CO2価格'!$H$10:$I$12,2,0),0)*$F$8/1000,"")),0,IF($K92&lt;=$F$15,VLOOKUP($I92,'表4）CO2価格'!$A$7:$E$67,VLOOKUP($F$48,'表4）CO2価格'!$H$10:$I$12,2,0),0)*$F$8/1000,""))</f>
        <v/>
      </c>
      <c r="BA92" s="11" t="str">
        <f t="shared" si="49"/>
        <v/>
      </c>
      <c r="BB92" s="10" t="str">
        <f t="shared" si="66"/>
        <v/>
      </c>
      <c r="BD92" s="10" t="str">
        <f t="shared" si="50"/>
        <v/>
      </c>
      <c r="BE92" s="10" t="str">
        <f t="shared" si="67"/>
        <v/>
      </c>
      <c r="BG92" s="11" t="str">
        <f t="shared" si="51"/>
        <v/>
      </c>
      <c r="BH92" s="10" t="str">
        <f t="shared" si="68"/>
        <v/>
      </c>
      <c r="BJ92" s="7" t="str">
        <f t="shared" si="69"/>
        <v/>
      </c>
      <c r="BK92" s="158" t="str">
        <f t="shared" si="70"/>
        <v/>
      </c>
      <c r="BL92" s="158" t="str">
        <f t="shared" si="52"/>
        <v/>
      </c>
      <c r="BM92" s="10"/>
      <c r="BN92" s="10" t="str">
        <f t="shared" si="71"/>
        <v/>
      </c>
      <c r="BO92" s="10" t="str">
        <f t="shared" si="72"/>
        <v/>
      </c>
      <c r="BQ92" s="10" t="str">
        <f t="shared" si="53"/>
        <v/>
      </c>
      <c r="BR92" s="10" t="str">
        <f t="shared" si="73"/>
        <v/>
      </c>
    </row>
    <row r="93" spans="4:70" ht="15" x14ac:dyDescent="0.15">
      <c r="D93" s="103"/>
      <c r="F93" s="487"/>
      <c r="H93" s="370"/>
      <c r="I93" s="38">
        <f t="shared" si="74"/>
        <v>2108</v>
      </c>
      <c r="J93" s="39"/>
      <c r="K93" s="39">
        <f t="shared" si="75"/>
        <v>79</v>
      </c>
      <c r="L93" s="39"/>
      <c r="M93" s="40">
        <f t="shared" si="38"/>
        <v>9.679640952397367E-2</v>
      </c>
      <c r="N93" s="39"/>
      <c r="O93" s="72" t="str">
        <f t="shared" si="54"/>
        <v/>
      </c>
      <c r="P93" s="41" t="str">
        <f t="shared" si="39"/>
        <v/>
      </c>
      <c r="Q93" s="39"/>
      <c r="R93" s="72" t="str">
        <f t="shared" si="55"/>
        <v/>
      </c>
      <c r="S93" s="39"/>
      <c r="T93" s="72" t="str">
        <f t="shared" si="56"/>
        <v/>
      </c>
      <c r="U93" s="39"/>
      <c r="V93" s="72" t="str">
        <f t="shared" si="40"/>
        <v/>
      </c>
      <c r="W93" s="72" t="str">
        <f t="shared" si="57"/>
        <v/>
      </c>
      <c r="X93" s="39"/>
      <c r="Y93" s="72" t="str">
        <f t="shared" si="41"/>
        <v/>
      </c>
      <c r="Z93" s="72" t="str">
        <f t="shared" si="58"/>
        <v/>
      </c>
      <c r="AA93" s="39"/>
      <c r="AB93" s="72" t="str">
        <f t="shared" si="42"/>
        <v/>
      </c>
      <c r="AC93" s="72" t="str">
        <f t="shared" si="59"/>
        <v/>
      </c>
      <c r="AD93" s="39"/>
      <c r="AE93" s="72" t="str">
        <f t="shared" si="43"/>
        <v/>
      </c>
      <c r="AF93" s="72" t="str">
        <f t="shared" si="60"/>
        <v/>
      </c>
      <c r="AG93" s="39"/>
      <c r="AH93" s="72" t="str">
        <f t="shared" si="44"/>
        <v/>
      </c>
      <c r="AI93" s="72" t="str">
        <f t="shared" si="61"/>
        <v/>
      </c>
      <c r="AJ93" s="39"/>
      <c r="AK93" s="72" t="str">
        <f t="shared" si="45"/>
        <v/>
      </c>
      <c r="AL93" s="72" t="str">
        <f t="shared" si="62"/>
        <v/>
      </c>
      <c r="AM93" s="39"/>
      <c r="AN93" s="72" t="str">
        <f t="shared" si="46"/>
        <v/>
      </c>
      <c r="AO93" s="72" t="str">
        <f t="shared" si="63"/>
        <v/>
      </c>
      <c r="AP93" s="39"/>
      <c r="AQ93" s="72" t="str">
        <f t="shared" si="47"/>
        <v/>
      </c>
      <c r="AR93" s="72" t="str">
        <f t="shared" si="64"/>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48"/>
        <v/>
      </c>
      <c r="AW93" s="72" t="str">
        <f t="shared" si="65"/>
        <v/>
      </c>
      <c r="AX93" s="39"/>
      <c r="AY93" s="40" t="str">
        <f>IF(ISERROR(IF($K93&lt;=$F$15,VLOOKUP($I93,'表4）CO2価格'!$A$7:$E$67,VLOOKUP($F$48,'表4）CO2価格'!$H$10:$I$12,2,0),0)*$F$8/1000,"")),0,IF($K93&lt;=$F$15,VLOOKUP($I93,'表4）CO2価格'!$A$7:$E$67,VLOOKUP($F$48,'表4）CO2価格'!$H$10:$I$12,2,0),0)*$F$8/1000,""))</f>
        <v/>
      </c>
      <c r="AZ93" s="39"/>
      <c r="BA93" s="42" t="str">
        <f t="shared" si="49"/>
        <v/>
      </c>
      <c r="BB93" s="72" t="str">
        <f t="shared" si="66"/>
        <v/>
      </c>
      <c r="BC93" s="39"/>
      <c r="BD93" s="72" t="str">
        <f t="shared" si="50"/>
        <v/>
      </c>
      <c r="BE93" s="72" t="str">
        <f t="shared" si="67"/>
        <v/>
      </c>
      <c r="BF93" s="39"/>
      <c r="BG93" s="42" t="str">
        <f t="shared" si="51"/>
        <v/>
      </c>
      <c r="BH93" s="72" t="str">
        <f t="shared" si="68"/>
        <v/>
      </c>
      <c r="BI93" s="39"/>
      <c r="BJ93" s="40" t="str">
        <f t="shared" si="69"/>
        <v/>
      </c>
      <c r="BK93" s="157" t="str">
        <f t="shared" si="70"/>
        <v/>
      </c>
      <c r="BL93" s="157" t="str">
        <f t="shared" si="52"/>
        <v/>
      </c>
      <c r="BM93" s="72"/>
      <c r="BN93" s="72" t="str">
        <f t="shared" si="71"/>
        <v/>
      </c>
      <c r="BO93" s="72" t="str">
        <f t="shared" si="72"/>
        <v/>
      </c>
      <c r="BP93" s="39"/>
      <c r="BQ93" s="72" t="str">
        <f t="shared" si="53"/>
        <v/>
      </c>
      <c r="BR93" s="72" t="str">
        <f t="shared" si="73"/>
        <v/>
      </c>
    </row>
    <row r="94" spans="4:70" x14ac:dyDescent="0.15">
      <c r="D94" s="100" t="s">
        <v>596</v>
      </c>
      <c r="E94" s="100"/>
      <c r="F94" s="486"/>
      <c r="G94" s="100"/>
      <c r="H94" s="370"/>
      <c r="I94" s="322">
        <f t="shared" si="74"/>
        <v>2109</v>
      </c>
      <c r="K94" s="71">
        <f t="shared" si="75"/>
        <v>80</v>
      </c>
      <c r="M94" s="7">
        <f t="shared" si="38"/>
        <v>9.3977096625217166E-2</v>
      </c>
      <c r="O94" s="10" t="str">
        <f t="shared" si="54"/>
        <v/>
      </c>
      <c r="P94" s="29" t="str">
        <f t="shared" si="39"/>
        <v/>
      </c>
      <c r="R94" s="10" t="str">
        <f t="shared" si="55"/>
        <v/>
      </c>
      <c r="T94" s="10" t="str">
        <f t="shared" si="56"/>
        <v/>
      </c>
      <c r="V94" s="10" t="str">
        <f t="shared" si="40"/>
        <v/>
      </c>
      <c r="W94" s="10" t="str">
        <f t="shared" si="57"/>
        <v/>
      </c>
      <c r="Y94" s="10" t="str">
        <f t="shared" si="41"/>
        <v/>
      </c>
      <c r="Z94" s="10" t="str">
        <f t="shared" si="58"/>
        <v/>
      </c>
      <c r="AB94" s="10" t="str">
        <f t="shared" si="42"/>
        <v/>
      </c>
      <c r="AC94" s="10" t="str">
        <f t="shared" si="59"/>
        <v/>
      </c>
      <c r="AE94" s="10" t="str">
        <f t="shared" si="43"/>
        <v/>
      </c>
      <c r="AF94" s="10" t="str">
        <f t="shared" si="60"/>
        <v/>
      </c>
      <c r="AH94" s="10" t="str">
        <f t="shared" si="44"/>
        <v/>
      </c>
      <c r="AI94" s="10" t="str">
        <f t="shared" si="61"/>
        <v/>
      </c>
      <c r="AK94" s="10" t="str">
        <f t="shared" si="45"/>
        <v/>
      </c>
      <c r="AL94" s="10" t="str">
        <f t="shared" si="62"/>
        <v/>
      </c>
      <c r="AN94" s="10" t="str">
        <f t="shared" si="46"/>
        <v/>
      </c>
      <c r="AO94" s="10" t="str">
        <f t="shared" si="63"/>
        <v/>
      </c>
      <c r="AQ94" s="10" t="str">
        <f t="shared" si="47"/>
        <v/>
      </c>
      <c r="AR94" s="10" t="str">
        <f t="shared" si="64"/>
        <v/>
      </c>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V94" s="10" t="str">
        <f t="shared" si="48"/>
        <v/>
      </c>
      <c r="AW94" s="10" t="str">
        <f t="shared" si="65"/>
        <v/>
      </c>
      <c r="AY94" s="7" t="str">
        <f>IF(ISERROR(IF($K94&lt;=$F$15,VLOOKUP($I94,'表4）CO2価格'!$A$7:$E$67,VLOOKUP($F$48,'表4）CO2価格'!$H$10:$I$12,2,0),0)*$F$8/1000,"")),0,IF($K94&lt;=$F$15,VLOOKUP($I94,'表4）CO2価格'!$A$7:$E$67,VLOOKUP($F$48,'表4）CO2価格'!$H$10:$I$12,2,0),0)*$F$8/1000,""))</f>
        <v/>
      </c>
      <c r="BA94" s="11" t="str">
        <f t="shared" si="49"/>
        <v/>
      </c>
      <c r="BB94" s="10" t="str">
        <f t="shared" si="66"/>
        <v/>
      </c>
      <c r="BD94" s="10" t="str">
        <f t="shared" si="50"/>
        <v/>
      </c>
      <c r="BE94" s="10" t="str">
        <f t="shared" si="67"/>
        <v/>
      </c>
      <c r="BG94" s="11" t="str">
        <f t="shared" si="51"/>
        <v/>
      </c>
      <c r="BH94" s="10" t="str">
        <f t="shared" si="68"/>
        <v/>
      </c>
      <c r="BJ94" s="7" t="str">
        <f t="shared" si="69"/>
        <v/>
      </c>
      <c r="BK94" s="158" t="str">
        <f t="shared" si="70"/>
        <v/>
      </c>
      <c r="BL94" s="158" t="str">
        <f t="shared" si="52"/>
        <v/>
      </c>
      <c r="BM94" s="10"/>
      <c r="BN94" s="10" t="str">
        <f t="shared" si="71"/>
        <v/>
      </c>
      <c r="BO94" s="10" t="str">
        <f t="shared" si="72"/>
        <v/>
      </c>
      <c r="BQ94" s="10" t="str">
        <f t="shared" si="53"/>
        <v/>
      </c>
      <c r="BR94" s="10" t="str">
        <f t="shared" si="73"/>
        <v/>
      </c>
    </row>
    <row r="95" spans="4:70" ht="15" x14ac:dyDescent="0.15">
      <c r="D95" s="103"/>
      <c r="F95" s="487"/>
      <c r="H95" s="370"/>
      <c r="I95" s="38">
        <f t="shared" si="74"/>
        <v>2110</v>
      </c>
      <c r="J95" s="39"/>
      <c r="K95" s="39">
        <f t="shared" si="75"/>
        <v>81</v>
      </c>
      <c r="L95" s="39"/>
      <c r="M95" s="40">
        <f t="shared" si="38"/>
        <v>9.1239899636133173E-2</v>
      </c>
      <c r="N95" s="39"/>
      <c r="O95" s="72" t="str">
        <f t="shared" si="54"/>
        <v/>
      </c>
      <c r="P95" s="41" t="str">
        <f t="shared" si="39"/>
        <v/>
      </c>
      <c r="Q95" s="39"/>
      <c r="R95" s="72" t="str">
        <f t="shared" si="55"/>
        <v/>
      </c>
      <c r="S95" s="39"/>
      <c r="T95" s="72" t="str">
        <f t="shared" si="56"/>
        <v/>
      </c>
      <c r="U95" s="39"/>
      <c r="V95" s="72" t="str">
        <f t="shared" si="40"/>
        <v/>
      </c>
      <c r="W95" s="72" t="str">
        <f t="shared" si="57"/>
        <v/>
      </c>
      <c r="X95" s="39"/>
      <c r="Y95" s="72" t="str">
        <f t="shared" si="41"/>
        <v/>
      </c>
      <c r="Z95" s="72" t="str">
        <f t="shared" si="58"/>
        <v/>
      </c>
      <c r="AA95" s="39"/>
      <c r="AB95" s="72" t="str">
        <f t="shared" si="42"/>
        <v/>
      </c>
      <c r="AC95" s="72" t="str">
        <f t="shared" si="59"/>
        <v/>
      </c>
      <c r="AD95" s="39"/>
      <c r="AE95" s="72" t="str">
        <f t="shared" si="43"/>
        <v/>
      </c>
      <c r="AF95" s="72" t="str">
        <f t="shared" si="60"/>
        <v/>
      </c>
      <c r="AG95" s="39"/>
      <c r="AH95" s="72" t="str">
        <f t="shared" si="44"/>
        <v/>
      </c>
      <c r="AI95" s="72" t="str">
        <f t="shared" si="61"/>
        <v/>
      </c>
      <c r="AJ95" s="39"/>
      <c r="AK95" s="72" t="str">
        <f t="shared" si="45"/>
        <v/>
      </c>
      <c r="AL95" s="72" t="str">
        <f t="shared" si="62"/>
        <v/>
      </c>
      <c r="AM95" s="39"/>
      <c r="AN95" s="72" t="str">
        <f t="shared" si="46"/>
        <v/>
      </c>
      <c r="AO95" s="72" t="str">
        <f t="shared" si="63"/>
        <v/>
      </c>
      <c r="AP95" s="39"/>
      <c r="AQ95" s="72" t="str">
        <f t="shared" si="47"/>
        <v/>
      </c>
      <c r="AR95" s="72" t="str">
        <f t="shared" si="64"/>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48"/>
        <v/>
      </c>
      <c r="AW95" s="72" t="str">
        <f t="shared" si="65"/>
        <v/>
      </c>
      <c r="AX95" s="39"/>
      <c r="AY95" s="40" t="str">
        <f>IF(ISERROR(IF($K95&lt;=$F$15,VLOOKUP($I95,'表4）CO2価格'!$A$7:$E$67,VLOOKUP($F$48,'表4）CO2価格'!$H$10:$I$12,2,0),0)*$F$8/1000,"")),0,IF($K95&lt;=$F$15,VLOOKUP($I95,'表4）CO2価格'!$A$7:$E$67,VLOOKUP($F$48,'表4）CO2価格'!$H$10:$I$12,2,0),0)*$F$8/1000,""))</f>
        <v/>
      </c>
      <c r="AZ95" s="39"/>
      <c r="BA95" s="42" t="str">
        <f t="shared" si="49"/>
        <v/>
      </c>
      <c r="BB95" s="72" t="str">
        <f t="shared" si="66"/>
        <v/>
      </c>
      <c r="BC95" s="39"/>
      <c r="BD95" s="72" t="str">
        <f t="shared" si="50"/>
        <v/>
      </c>
      <c r="BE95" s="72" t="str">
        <f t="shared" si="67"/>
        <v/>
      </c>
      <c r="BF95" s="39"/>
      <c r="BG95" s="42" t="str">
        <f t="shared" si="51"/>
        <v/>
      </c>
      <c r="BH95" s="72" t="str">
        <f t="shared" si="68"/>
        <v/>
      </c>
      <c r="BI95" s="39"/>
      <c r="BJ95" s="40" t="str">
        <f t="shared" si="69"/>
        <v/>
      </c>
      <c r="BK95" s="157" t="str">
        <f t="shared" si="70"/>
        <v/>
      </c>
      <c r="BL95" s="157" t="str">
        <f t="shared" si="52"/>
        <v/>
      </c>
      <c r="BM95" s="72"/>
      <c r="BN95" s="72" t="str">
        <f t="shared" si="71"/>
        <v/>
      </c>
      <c r="BO95" s="72" t="str">
        <f t="shared" si="72"/>
        <v/>
      </c>
      <c r="BP95" s="39"/>
      <c r="BQ95" s="72" t="str">
        <f t="shared" si="53"/>
        <v/>
      </c>
      <c r="BR95" s="72" t="str">
        <f t="shared" si="73"/>
        <v/>
      </c>
    </row>
    <row r="96" spans="4:70" ht="15" x14ac:dyDescent="0.15">
      <c r="D96" s="103"/>
      <c r="E96" s="160" t="s">
        <v>252</v>
      </c>
      <c r="F96" s="488">
        <f>IF(F3&lt;&gt;"原子力",AW116/$BR$116,0)</f>
        <v>7.3004639214764415</v>
      </c>
      <c r="G96" s="84" t="s">
        <v>590</v>
      </c>
      <c r="H96" s="370"/>
      <c r="I96" s="322">
        <f t="shared" si="74"/>
        <v>2111</v>
      </c>
      <c r="K96" s="71">
        <f t="shared" si="75"/>
        <v>82</v>
      </c>
      <c r="M96" s="7">
        <f t="shared" si="38"/>
        <v>8.8582426831197242E-2</v>
      </c>
      <c r="O96" s="10" t="str">
        <f t="shared" si="54"/>
        <v/>
      </c>
      <c r="P96" s="29" t="str">
        <f t="shared" si="39"/>
        <v/>
      </c>
      <c r="R96" s="10" t="str">
        <f t="shared" si="55"/>
        <v/>
      </c>
      <c r="T96" s="10" t="str">
        <f t="shared" si="56"/>
        <v/>
      </c>
      <c r="V96" s="10" t="str">
        <f t="shared" si="40"/>
        <v/>
      </c>
      <c r="W96" s="10" t="str">
        <f t="shared" si="57"/>
        <v/>
      </c>
      <c r="Y96" s="10" t="str">
        <f t="shared" si="41"/>
        <v/>
      </c>
      <c r="Z96" s="10" t="str">
        <f t="shared" si="58"/>
        <v/>
      </c>
      <c r="AB96" s="10" t="str">
        <f t="shared" si="42"/>
        <v/>
      </c>
      <c r="AC96" s="10" t="str">
        <f t="shared" si="59"/>
        <v/>
      </c>
      <c r="AE96" s="10" t="str">
        <f t="shared" si="43"/>
        <v/>
      </c>
      <c r="AF96" s="10" t="str">
        <f t="shared" si="60"/>
        <v/>
      </c>
      <c r="AH96" s="10" t="str">
        <f t="shared" si="44"/>
        <v/>
      </c>
      <c r="AI96" s="10" t="str">
        <f t="shared" si="61"/>
        <v/>
      </c>
      <c r="AK96" s="10" t="str">
        <f t="shared" si="45"/>
        <v/>
      </c>
      <c r="AL96" s="10" t="str">
        <f t="shared" si="62"/>
        <v/>
      </c>
      <c r="AN96" s="10" t="str">
        <f t="shared" si="46"/>
        <v/>
      </c>
      <c r="AO96" s="10" t="str">
        <f t="shared" si="63"/>
        <v/>
      </c>
      <c r="AQ96" s="10" t="str">
        <f t="shared" si="47"/>
        <v/>
      </c>
      <c r="AR96" s="10" t="str">
        <f t="shared" si="64"/>
        <v/>
      </c>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V96" s="10" t="str">
        <f t="shared" si="48"/>
        <v/>
      </c>
      <c r="AW96" s="10" t="str">
        <f t="shared" si="65"/>
        <v/>
      </c>
      <c r="AY96" s="7" t="str">
        <f>IF(ISERROR(IF($K96&lt;=$F$15,VLOOKUP($I96,'表4）CO2価格'!$A$7:$E$67,VLOOKUP($F$48,'表4）CO2価格'!$H$10:$I$12,2,0),0)*$F$8/1000,"")),0,IF($K96&lt;=$F$15,VLOOKUP($I96,'表4）CO2価格'!$A$7:$E$67,VLOOKUP($F$48,'表4）CO2価格'!$H$10:$I$12,2,0),0)*$F$8/1000,""))</f>
        <v/>
      </c>
      <c r="BA96" s="11" t="str">
        <f t="shared" si="49"/>
        <v/>
      </c>
      <c r="BB96" s="10" t="str">
        <f t="shared" si="66"/>
        <v/>
      </c>
      <c r="BD96" s="10" t="str">
        <f t="shared" si="50"/>
        <v/>
      </c>
      <c r="BE96" s="10" t="str">
        <f t="shared" si="67"/>
        <v/>
      </c>
      <c r="BG96" s="11" t="str">
        <f t="shared" si="51"/>
        <v/>
      </c>
      <c r="BH96" s="10" t="str">
        <f t="shared" si="68"/>
        <v/>
      </c>
      <c r="BJ96" s="7" t="str">
        <f t="shared" si="69"/>
        <v/>
      </c>
      <c r="BK96" s="158" t="str">
        <f t="shared" si="70"/>
        <v/>
      </c>
      <c r="BL96" s="158" t="str">
        <f t="shared" si="52"/>
        <v/>
      </c>
      <c r="BM96" s="10"/>
      <c r="BN96" s="10" t="str">
        <f t="shared" si="71"/>
        <v/>
      </c>
      <c r="BO96" s="10" t="str">
        <f t="shared" si="72"/>
        <v/>
      </c>
      <c r="BQ96" s="10" t="str">
        <f t="shared" si="53"/>
        <v/>
      </c>
      <c r="BR96" s="10" t="str">
        <f t="shared" si="73"/>
        <v/>
      </c>
    </row>
    <row r="97" spans="4:70" ht="15" x14ac:dyDescent="0.15">
      <c r="D97" s="103"/>
      <c r="E97" s="84" t="s">
        <v>598</v>
      </c>
      <c r="F97" s="488">
        <f>IF(F3="原子力",#REF!,0)</f>
        <v>0</v>
      </c>
      <c r="G97" s="84" t="s">
        <v>590</v>
      </c>
      <c r="H97" s="370"/>
      <c r="I97" s="38">
        <f t="shared" si="74"/>
        <v>2112</v>
      </c>
      <c r="J97" s="39"/>
      <c r="K97" s="39">
        <f t="shared" si="75"/>
        <v>83</v>
      </c>
      <c r="L97" s="39"/>
      <c r="M97" s="40">
        <f t="shared" si="38"/>
        <v>8.6002356146793454E-2</v>
      </c>
      <c r="N97" s="39"/>
      <c r="O97" s="72" t="str">
        <f t="shared" si="54"/>
        <v/>
      </c>
      <c r="P97" s="41" t="str">
        <f t="shared" si="39"/>
        <v/>
      </c>
      <c r="Q97" s="39"/>
      <c r="R97" s="72" t="str">
        <f t="shared" si="55"/>
        <v/>
      </c>
      <c r="S97" s="39"/>
      <c r="T97" s="72" t="str">
        <f t="shared" si="56"/>
        <v/>
      </c>
      <c r="U97" s="39"/>
      <c r="V97" s="72" t="str">
        <f t="shared" si="40"/>
        <v/>
      </c>
      <c r="W97" s="72" t="str">
        <f t="shared" si="57"/>
        <v/>
      </c>
      <c r="X97" s="39"/>
      <c r="Y97" s="72" t="str">
        <f t="shared" si="41"/>
        <v/>
      </c>
      <c r="Z97" s="72" t="str">
        <f t="shared" si="58"/>
        <v/>
      </c>
      <c r="AA97" s="39"/>
      <c r="AB97" s="72" t="str">
        <f t="shared" si="42"/>
        <v/>
      </c>
      <c r="AC97" s="72" t="str">
        <f t="shared" si="59"/>
        <v/>
      </c>
      <c r="AD97" s="39"/>
      <c r="AE97" s="72" t="str">
        <f t="shared" si="43"/>
        <v/>
      </c>
      <c r="AF97" s="72" t="str">
        <f t="shared" si="60"/>
        <v/>
      </c>
      <c r="AG97" s="39"/>
      <c r="AH97" s="72" t="str">
        <f t="shared" si="44"/>
        <v/>
      </c>
      <c r="AI97" s="72" t="str">
        <f t="shared" si="61"/>
        <v/>
      </c>
      <c r="AJ97" s="39"/>
      <c r="AK97" s="72" t="str">
        <f t="shared" si="45"/>
        <v/>
      </c>
      <c r="AL97" s="72" t="str">
        <f t="shared" si="62"/>
        <v/>
      </c>
      <c r="AM97" s="39"/>
      <c r="AN97" s="72" t="str">
        <f t="shared" si="46"/>
        <v/>
      </c>
      <c r="AO97" s="72" t="str">
        <f t="shared" si="63"/>
        <v/>
      </c>
      <c r="AP97" s="39"/>
      <c r="AQ97" s="72" t="str">
        <f t="shared" si="47"/>
        <v/>
      </c>
      <c r="AR97" s="72" t="str">
        <f t="shared" si="64"/>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48"/>
        <v/>
      </c>
      <c r="AW97" s="72" t="str">
        <f t="shared" si="65"/>
        <v/>
      </c>
      <c r="AX97" s="39"/>
      <c r="AY97" s="40" t="str">
        <f>IF(ISERROR(IF($K97&lt;=$F$15,VLOOKUP($I97,'表4）CO2価格'!$A$7:$E$67,VLOOKUP($F$48,'表4）CO2価格'!$H$10:$I$12,2,0),0)*$F$8/1000,"")),0,IF($K97&lt;=$F$15,VLOOKUP($I97,'表4）CO2価格'!$A$7:$E$67,VLOOKUP($F$48,'表4）CO2価格'!$H$10:$I$12,2,0),0)*$F$8/1000,""))</f>
        <v/>
      </c>
      <c r="AZ97" s="39"/>
      <c r="BA97" s="42" t="str">
        <f t="shared" si="49"/>
        <v/>
      </c>
      <c r="BB97" s="72" t="str">
        <f t="shared" si="66"/>
        <v/>
      </c>
      <c r="BC97" s="39"/>
      <c r="BD97" s="72" t="str">
        <f t="shared" si="50"/>
        <v/>
      </c>
      <c r="BE97" s="72" t="str">
        <f t="shared" si="67"/>
        <v/>
      </c>
      <c r="BF97" s="39"/>
      <c r="BG97" s="42" t="str">
        <f t="shared" si="51"/>
        <v/>
      </c>
      <c r="BH97" s="72" t="str">
        <f t="shared" si="68"/>
        <v/>
      </c>
      <c r="BI97" s="39"/>
      <c r="BJ97" s="40" t="str">
        <f t="shared" si="69"/>
        <v/>
      </c>
      <c r="BK97" s="157" t="str">
        <f t="shared" si="70"/>
        <v/>
      </c>
      <c r="BL97" s="157" t="str">
        <f t="shared" si="52"/>
        <v/>
      </c>
      <c r="BM97" s="72"/>
      <c r="BN97" s="72" t="str">
        <f t="shared" si="71"/>
        <v/>
      </c>
      <c r="BO97" s="72" t="str">
        <f t="shared" si="72"/>
        <v/>
      </c>
      <c r="BP97" s="39"/>
      <c r="BQ97" s="72" t="str">
        <f t="shared" si="53"/>
        <v/>
      </c>
      <c r="BR97" s="72" t="str">
        <f t="shared" si="73"/>
        <v/>
      </c>
    </row>
    <row r="98" spans="4:70" x14ac:dyDescent="0.15">
      <c r="F98" s="487"/>
      <c r="H98" s="370"/>
      <c r="I98" s="322">
        <f t="shared" si="74"/>
        <v>2113</v>
      </c>
      <c r="K98" s="71">
        <f t="shared" si="75"/>
        <v>84</v>
      </c>
      <c r="M98" s="7">
        <f t="shared" si="38"/>
        <v>8.3497433152226644E-2</v>
      </c>
      <c r="O98" s="10" t="str">
        <f t="shared" si="54"/>
        <v/>
      </c>
      <c r="P98" s="29" t="str">
        <f t="shared" si="39"/>
        <v/>
      </c>
      <c r="R98" s="10" t="str">
        <f t="shared" si="55"/>
        <v/>
      </c>
      <c r="T98" s="10" t="str">
        <f t="shared" si="56"/>
        <v/>
      </c>
      <c r="V98" s="10" t="str">
        <f t="shared" si="40"/>
        <v/>
      </c>
      <c r="W98" s="10" t="str">
        <f t="shared" si="57"/>
        <v/>
      </c>
      <c r="Y98" s="10" t="str">
        <f t="shared" si="41"/>
        <v/>
      </c>
      <c r="Z98" s="10" t="str">
        <f t="shared" si="58"/>
        <v/>
      </c>
      <c r="AB98" s="10" t="str">
        <f t="shared" si="42"/>
        <v/>
      </c>
      <c r="AC98" s="10" t="str">
        <f t="shared" si="59"/>
        <v/>
      </c>
      <c r="AE98" s="10" t="str">
        <f t="shared" si="43"/>
        <v/>
      </c>
      <c r="AF98" s="10" t="str">
        <f t="shared" si="60"/>
        <v/>
      </c>
      <c r="AH98" s="10" t="str">
        <f t="shared" si="44"/>
        <v/>
      </c>
      <c r="AI98" s="10" t="str">
        <f t="shared" si="61"/>
        <v/>
      </c>
      <c r="AK98" s="10" t="str">
        <f t="shared" si="45"/>
        <v/>
      </c>
      <c r="AL98" s="10" t="str">
        <f t="shared" si="62"/>
        <v/>
      </c>
      <c r="AN98" s="10" t="str">
        <f t="shared" si="46"/>
        <v/>
      </c>
      <c r="AO98" s="10" t="str">
        <f t="shared" si="63"/>
        <v/>
      </c>
      <c r="AQ98" s="10" t="str">
        <f t="shared" si="47"/>
        <v/>
      </c>
      <c r="AR98" s="10" t="str">
        <f t="shared" si="64"/>
        <v/>
      </c>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V98" s="10" t="str">
        <f t="shared" si="48"/>
        <v/>
      </c>
      <c r="AW98" s="10" t="str">
        <f t="shared" si="65"/>
        <v/>
      </c>
      <c r="AY98" s="7" t="str">
        <f>IF(ISERROR(IF($K98&lt;=$F$15,VLOOKUP($I98,'表4）CO2価格'!$A$7:$E$67,VLOOKUP($F$48,'表4）CO2価格'!$H$10:$I$12,2,0),0)*$F$8/1000,"")),0,IF($K98&lt;=$F$15,VLOOKUP($I98,'表4）CO2価格'!$A$7:$E$67,VLOOKUP($F$48,'表4）CO2価格'!$H$10:$I$12,2,0),0)*$F$8/1000,""))</f>
        <v/>
      </c>
      <c r="BA98" s="11" t="str">
        <f t="shared" si="49"/>
        <v/>
      </c>
      <c r="BB98" s="10" t="str">
        <f t="shared" si="66"/>
        <v/>
      </c>
      <c r="BD98" s="10" t="str">
        <f t="shared" si="50"/>
        <v/>
      </c>
      <c r="BE98" s="10" t="str">
        <f t="shared" si="67"/>
        <v/>
      </c>
      <c r="BG98" s="11" t="str">
        <f t="shared" si="51"/>
        <v/>
      </c>
      <c r="BH98" s="10" t="str">
        <f t="shared" si="68"/>
        <v/>
      </c>
      <c r="BJ98" s="7" t="str">
        <f t="shared" si="69"/>
        <v/>
      </c>
      <c r="BK98" s="158" t="str">
        <f t="shared" si="70"/>
        <v/>
      </c>
      <c r="BL98" s="158" t="str">
        <f t="shared" si="52"/>
        <v/>
      </c>
      <c r="BM98" s="10"/>
      <c r="BN98" s="10" t="str">
        <f t="shared" si="71"/>
        <v/>
      </c>
      <c r="BO98" s="10" t="str">
        <f t="shared" si="72"/>
        <v/>
      </c>
      <c r="BQ98" s="10" t="str">
        <f t="shared" si="53"/>
        <v/>
      </c>
      <c r="BR98" s="10" t="str">
        <f t="shared" si="73"/>
        <v/>
      </c>
    </row>
    <row r="99" spans="4:70" ht="15" x14ac:dyDescent="0.15">
      <c r="D99" s="103" t="s">
        <v>599</v>
      </c>
      <c r="F99" s="484">
        <f>SUBTOTAL(9,F103:F105)</f>
        <v>1.9973405468234877</v>
      </c>
      <c r="G99" s="84" t="s">
        <v>590</v>
      </c>
      <c r="H99" s="370"/>
      <c r="I99" s="38">
        <f t="shared" si="74"/>
        <v>2114</v>
      </c>
      <c r="J99" s="39"/>
      <c r="K99" s="39">
        <f t="shared" si="75"/>
        <v>85</v>
      </c>
      <c r="L99" s="39"/>
      <c r="M99" s="40">
        <f t="shared" si="38"/>
        <v>8.1065469079831712E-2</v>
      </c>
      <c r="N99" s="39"/>
      <c r="O99" s="72" t="str">
        <f t="shared" si="54"/>
        <v/>
      </c>
      <c r="P99" s="41" t="str">
        <f t="shared" si="39"/>
        <v/>
      </c>
      <c r="Q99" s="39"/>
      <c r="R99" s="72" t="str">
        <f t="shared" si="55"/>
        <v/>
      </c>
      <c r="S99" s="39"/>
      <c r="T99" s="72" t="str">
        <f t="shared" si="56"/>
        <v/>
      </c>
      <c r="U99" s="39"/>
      <c r="V99" s="72" t="str">
        <f t="shared" si="40"/>
        <v/>
      </c>
      <c r="W99" s="72" t="str">
        <f t="shared" si="57"/>
        <v/>
      </c>
      <c r="X99" s="39"/>
      <c r="Y99" s="72" t="str">
        <f t="shared" si="41"/>
        <v/>
      </c>
      <c r="Z99" s="72" t="str">
        <f t="shared" si="58"/>
        <v/>
      </c>
      <c r="AA99" s="39"/>
      <c r="AB99" s="72" t="str">
        <f t="shared" si="42"/>
        <v/>
      </c>
      <c r="AC99" s="72" t="str">
        <f t="shared" si="59"/>
        <v/>
      </c>
      <c r="AD99" s="39"/>
      <c r="AE99" s="72" t="str">
        <f t="shared" si="43"/>
        <v/>
      </c>
      <c r="AF99" s="72" t="str">
        <f t="shared" si="60"/>
        <v/>
      </c>
      <c r="AG99" s="39"/>
      <c r="AH99" s="72" t="str">
        <f t="shared" si="44"/>
        <v/>
      </c>
      <c r="AI99" s="72" t="str">
        <f t="shared" si="61"/>
        <v/>
      </c>
      <c r="AJ99" s="39"/>
      <c r="AK99" s="72" t="str">
        <f t="shared" si="45"/>
        <v/>
      </c>
      <c r="AL99" s="72" t="str">
        <f t="shared" si="62"/>
        <v/>
      </c>
      <c r="AM99" s="39"/>
      <c r="AN99" s="72" t="str">
        <f t="shared" si="46"/>
        <v/>
      </c>
      <c r="AO99" s="72" t="str">
        <f t="shared" si="63"/>
        <v/>
      </c>
      <c r="AP99" s="39"/>
      <c r="AQ99" s="72" t="str">
        <f t="shared" si="47"/>
        <v/>
      </c>
      <c r="AR99" s="72" t="str">
        <f t="shared" si="64"/>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48"/>
        <v/>
      </c>
      <c r="AW99" s="72" t="str">
        <f t="shared" si="65"/>
        <v/>
      </c>
      <c r="AX99" s="39"/>
      <c r="AY99" s="40" t="str">
        <f>IF(ISERROR(IF($K99&lt;=$F$15,VLOOKUP($I99,'表4）CO2価格'!$A$7:$E$67,VLOOKUP($F$48,'表4）CO2価格'!$H$10:$I$12,2,0),0)*$F$8/1000,"")),0,IF($K99&lt;=$F$15,VLOOKUP($I99,'表4）CO2価格'!$A$7:$E$67,VLOOKUP($F$48,'表4）CO2価格'!$H$10:$I$12,2,0),0)*$F$8/1000,""))</f>
        <v/>
      </c>
      <c r="AZ99" s="39"/>
      <c r="BA99" s="42" t="str">
        <f t="shared" si="49"/>
        <v/>
      </c>
      <c r="BB99" s="72" t="str">
        <f t="shared" si="66"/>
        <v/>
      </c>
      <c r="BC99" s="39"/>
      <c r="BD99" s="72" t="str">
        <f t="shared" si="50"/>
        <v/>
      </c>
      <c r="BE99" s="72" t="str">
        <f t="shared" si="67"/>
        <v/>
      </c>
      <c r="BF99" s="39"/>
      <c r="BG99" s="42" t="str">
        <f t="shared" si="51"/>
        <v/>
      </c>
      <c r="BH99" s="72" t="str">
        <f t="shared" si="68"/>
        <v/>
      </c>
      <c r="BI99" s="39"/>
      <c r="BJ99" s="40" t="str">
        <f t="shared" si="69"/>
        <v/>
      </c>
      <c r="BK99" s="157" t="str">
        <f t="shared" si="70"/>
        <v/>
      </c>
      <c r="BL99" s="157" t="str">
        <f t="shared" si="52"/>
        <v/>
      </c>
      <c r="BM99" s="72"/>
      <c r="BN99" s="72" t="str">
        <f t="shared" si="71"/>
        <v/>
      </c>
      <c r="BO99" s="72" t="str">
        <f t="shared" si="72"/>
        <v/>
      </c>
      <c r="BP99" s="39"/>
      <c r="BQ99" s="72" t="str">
        <f t="shared" si="53"/>
        <v/>
      </c>
      <c r="BR99" s="72" t="str">
        <f t="shared" si="73"/>
        <v/>
      </c>
    </row>
    <row r="100" spans="4:70" x14ac:dyDescent="0.15">
      <c r="F100" s="487"/>
      <c r="H100" s="370"/>
      <c r="I100" s="322">
        <f t="shared" si="74"/>
        <v>2115</v>
      </c>
      <c r="K100" s="71">
        <f t="shared" si="75"/>
        <v>86</v>
      </c>
      <c r="M100" s="7">
        <f t="shared" si="38"/>
        <v>7.8704338912457969E-2</v>
      </c>
      <c r="O100" s="10" t="str">
        <f t="shared" si="54"/>
        <v/>
      </c>
      <c r="P100" s="29" t="str">
        <f t="shared" si="39"/>
        <v/>
      </c>
      <c r="R100" s="10" t="str">
        <f t="shared" si="55"/>
        <v/>
      </c>
      <c r="T100" s="10" t="str">
        <f t="shared" si="56"/>
        <v/>
      </c>
      <c r="V100" s="10" t="str">
        <f t="shared" si="40"/>
        <v/>
      </c>
      <c r="W100" s="10" t="str">
        <f t="shared" si="57"/>
        <v/>
      </c>
      <c r="Y100" s="10" t="str">
        <f t="shared" si="41"/>
        <v/>
      </c>
      <c r="Z100" s="10" t="str">
        <f t="shared" si="58"/>
        <v/>
      </c>
      <c r="AB100" s="10" t="str">
        <f t="shared" si="42"/>
        <v/>
      </c>
      <c r="AC100" s="10" t="str">
        <f t="shared" si="59"/>
        <v/>
      </c>
      <c r="AE100" s="10" t="str">
        <f t="shared" si="43"/>
        <v/>
      </c>
      <c r="AF100" s="10" t="str">
        <f t="shared" si="60"/>
        <v/>
      </c>
      <c r="AH100" s="10" t="str">
        <f t="shared" si="44"/>
        <v/>
      </c>
      <c r="AI100" s="10" t="str">
        <f t="shared" si="61"/>
        <v/>
      </c>
      <c r="AK100" s="10" t="str">
        <f t="shared" si="45"/>
        <v/>
      </c>
      <c r="AL100" s="10" t="str">
        <f t="shared" si="62"/>
        <v/>
      </c>
      <c r="AN100" s="10" t="str">
        <f t="shared" si="46"/>
        <v/>
      </c>
      <c r="AO100" s="10" t="str">
        <f t="shared" si="63"/>
        <v/>
      </c>
      <c r="AQ100" s="10" t="str">
        <f t="shared" si="47"/>
        <v/>
      </c>
      <c r="AR100" s="10" t="str">
        <f t="shared" si="64"/>
        <v/>
      </c>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V100" s="10" t="str">
        <f t="shared" si="48"/>
        <v/>
      </c>
      <c r="AW100" s="10" t="str">
        <f t="shared" si="65"/>
        <v/>
      </c>
      <c r="AY100" s="7" t="str">
        <f>IF(ISERROR(IF($K100&lt;=$F$15,VLOOKUP($I100,'表4）CO2価格'!$A$7:$E$67,VLOOKUP($F$48,'表4）CO2価格'!$H$10:$I$12,2,0),0)*$F$8/1000,"")),0,IF($K100&lt;=$F$15,VLOOKUP($I100,'表4）CO2価格'!$A$7:$E$67,VLOOKUP($F$48,'表4）CO2価格'!$H$10:$I$12,2,0),0)*$F$8/1000,""))</f>
        <v/>
      </c>
      <c r="BA100" s="11" t="str">
        <f t="shared" si="49"/>
        <v/>
      </c>
      <c r="BB100" s="10" t="str">
        <f t="shared" si="66"/>
        <v/>
      </c>
      <c r="BD100" s="10" t="str">
        <f t="shared" si="50"/>
        <v/>
      </c>
      <c r="BE100" s="10" t="str">
        <f t="shared" si="67"/>
        <v/>
      </c>
      <c r="BG100" s="11" t="str">
        <f t="shared" si="51"/>
        <v/>
      </c>
      <c r="BH100" s="10" t="str">
        <f t="shared" si="68"/>
        <v/>
      </c>
      <c r="BJ100" s="7" t="str">
        <f t="shared" si="69"/>
        <v/>
      </c>
      <c r="BK100" s="158" t="str">
        <f t="shared" si="70"/>
        <v/>
      </c>
      <c r="BL100" s="158" t="str">
        <f t="shared" si="52"/>
        <v/>
      </c>
      <c r="BM100" s="10"/>
      <c r="BN100" s="10" t="str">
        <f t="shared" si="71"/>
        <v/>
      </c>
      <c r="BO100" s="10" t="str">
        <f t="shared" si="72"/>
        <v/>
      </c>
      <c r="BQ100" s="10" t="str">
        <f t="shared" si="53"/>
        <v/>
      </c>
      <c r="BR100" s="10" t="str">
        <f t="shared" si="73"/>
        <v/>
      </c>
    </row>
    <row r="101" spans="4:70" x14ac:dyDescent="0.15">
      <c r="D101" s="100" t="s">
        <v>600</v>
      </c>
      <c r="E101" s="100"/>
      <c r="F101" s="486"/>
      <c r="G101" s="100"/>
      <c r="H101" s="370"/>
      <c r="I101" s="38">
        <f t="shared" si="74"/>
        <v>2116</v>
      </c>
      <c r="J101" s="39"/>
      <c r="K101" s="39">
        <f t="shared" si="75"/>
        <v>87</v>
      </c>
      <c r="L101" s="39"/>
      <c r="M101" s="40">
        <f t="shared" si="38"/>
        <v>7.6411979526658208E-2</v>
      </c>
      <c r="N101" s="39"/>
      <c r="O101" s="72" t="str">
        <f t="shared" si="54"/>
        <v/>
      </c>
      <c r="P101" s="41" t="str">
        <f t="shared" si="39"/>
        <v/>
      </c>
      <c r="Q101" s="39"/>
      <c r="R101" s="72" t="str">
        <f t="shared" si="55"/>
        <v/>
      </c>
      <c r="S101" s="39"/>
      <c r="T101" s="72" t="str">
        <f t="shared" si="56"/>
        <v/>
      </c>
      <c r="U101" s="39"/>
      <c r="V101" s="72" t="str">
        <f t="shared" si="40"/>
        <v/>
      </c>
      <c r="W101" s="72" t="str">
        <f t="shared" si="57"/>
        <v/>
      </c>
      <c r="X101" s="39"/>
      <c r="Y101" s="72" t="str">
        <f t="shared" si="41"/>
        <v/>
      </c>
      <c r="Z101" s="72" t="str">
        <f t="shared" si="58"/>
        <v/>
      </c>
      <c r="AA101" s="39"/>
      <c r="AB101" s="72" t="str">
        <f t="shared" si="42"/>
        <v/>
      </c>
      <c r="AC101" s="72" t="str">
        <f t="shared" si="59"/>
        <v/>
      </c>
      <c r="AD101" s="39"/>
      <c r="AE101" s="72" t="str">
        <f t="shared" si="43"/>
        <v/>
      </c>
      <c r="AF101" s="72" t="str">
        <f t="shared" si="60"/>
        <v/>
      </c>
      <c r="AG101" s="39"/>
      <c r="AH101" s="72" t="str">
        <f t="shared" si="44"/>
        <v/>
      </c>
      <c r="AI101" s="72" t="str">
        <f t="shared" si="61"/>
        <v/>
      </c>
      <c r="AJ101" s="39"/>
      <c r="AK101" s="72" t="str">
        <f t="shared" si="45"/>
        <v/>
      </c>
      <c r="AL101" s="72" t="str">
        <f t="shared" si="62"/>
        <v/>
      </c>
      <c r="AM101" s="39"/>
      <c r="AN101" s="72" t="str">
        <f t="shared" si="46"/>
        <v/>
      </c>
      <c r="AO101" s="72" t="str">
        <f t="shared" si="63"/>
        <v/>
      </c>
      <c r="AP101" s="39"/>
      <c r="AQ101" s="72" t="str">
        <f t="shared" si="47"/>
        <v/>
      </c>
      <c r="AR101" s="72" t="str">
        <f t="shared" si="64"/>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48"/>
        <v/>
      </c>
      <c r="AW101" s="72" t="str">
        <f t="shared" si="65"/>
        <v/>
      </c>
      <c r="AX101" s="39"/>
      <c r="AY101" s="40" t="str">
        <f>IF(ISERROR(IF($K101&lt;=$F$15,VLOOKUP($I101,'表4）CO2価格'!$A$7:$E$67,VLOOKUP($F$48,'表4）CO2価格'!$H$10:$I$12,2,0),0)*$F$8/1000,"")),0,IF($K101&lt;=$F$15,VLOOKUP($I101,'表4）CO2価格'!$A$7:$E$67,VLOOKUP($F$48,'表4）CO2価格'!$H$10:$I$12,2,0),0)*$F$8/1000,""))</f>
        <v/>
      </c>
      <c r="AZ101" s="39"/>
      <c r="BA101" s="42" t="str">
        <f t="shared" si="49"/>
        <v/>
      </c>
      <c r="BB101" s="72" t="str">
        <f t="shared" si="66"/>
        <v/>
      </c>
      <c r="BC101" s="39"/>
      <c r="BD101" s="72" t="str">
        <f t="shared" si="50"/>
        <v/>
      </c>
      <c r="BE101" s="72" t="str">
        <f t="shared" si="67"/>
        <v/>
      </c>
      <c r="BF101" s="39"/>
      <c r="BG101" s="42" t="str">
        <f t="shared" si="51"/>
        <v/>
      </c>
      <c r="BH101" s="72" t="str">
        <f t="shared" si="68"/>
        <v/>
      </c>
      <c r="BI101" s="39"/>
      <c r="BJ101" s="40" t="str">
        <f t="shared" si="69"/>
        <v/>
      </c>
      <c r="BK101" s="157" t="str">
        <f t="shared" si="70"/>
        <v/>
      </c>
      <c r="BL101" s="157" t="str">
        <f t="shared" si="52"/>
        <v/>
      </c>
      <c r="BM101" s="72"/>
      <c r="BN101" s="72" t="str">
        <f t="shared" si="71"/>
        <v/>
      </c>
      <c r="BO101" s="72" t="str">
        <f t="shared" si="72"/>
        <v/>
      </c>
      <c r="BP101" s="39"/>
      <c r="BQ101" s="72" t="str">
        <f t="shared" si="53"/>
        <v/>
      </c>
      <c r="BR101" s="72" t="str">
        <f t="shared" si="73"/>
        <v/>
      </c>
    </row>
    <row r="102" spans="4:70" x14ac:dyDescent="0.15">
      <c r="F102" s="487"/>
      <c r="H102" s="370"/>
      <c r="I102" s="322">
        <f t="shared" si="74"/>
        <v>2117</v>
      </c>
      <c r="K102" s="71">
        <f t="shared" si="75"/>
        <v>88</v>
      </c>
      <c r="M102" s="7">
        <f t="shared" si="38"/>
        <v>7.4186387889959446E-2</v>
      </c>
      <c r="O102" s="10" t="str">
        <f t="shared" si="54"/>
        <v/>
      </c>
      <c r="P102" s="29" t="str">
        <f t="shared" si="39"/>
        <v/>
      </c>
      <c r="R102" s="10" t="str">
        <f t="shared" si="55"/>
        <v/>
      </c>
      <c r="T102" s="10" t="str">
        <f t="shared" si="56"/>
        <v/>
      </c>
      <c r="V102" s="10" t="str">
        <f t="shared" si="40"/>
        <v/>
      </c>
      <c r="W102" s="10" t="str">
        <f t="shared" si="57"/>
        <v/>
      </c>
      <c r="Y102" s="10" t="str">
        <f t="shared" si="41"/>
        <v/>
      </c>
      <c r="Z102" s="10" t="str">
        <f t="shared" si="58"/>
        <v/>
      </c>
      <c r="AB102" s="10" t="str">
        <f t="shared" si="42"/>
        <v/>
      </c>
      <c r="AC102" s="10" t="str">
        <f t="shared" si="59"/>
        <v/>
      </c>
      <c r="AE102" s="10" t="str">
        <f t="shared" si="43"/>
        <v/>
      </c>
      <c r="AF102" s="10" t="str">
        <f t="shared" si="60"/>
        <v/>
      </c>
      <c r="AH102" s="10" t="str">
        <f t="shared" si="44"/>
        <v/>
      </c>
      <c r="AI102" s="10" t="str">
        <f t="shared" si="61"/>
        <v/>
      </c>
      <c r="AK102" s="10" t="str">
        <f t="shared" si="45"/>
        <v/>
      </c>
      <c r="AL102" s="10" t="str">
        <f t="shared" si="62"/>
        <v/>
      </c>
      <c r="AN102" s="10" t="str">
        <f t="shared" si="46"/>
        <v/>
      </c>
      <c r="AO102" s="10" t="str">
        <f t="shared" si="63"/>
        <v/>
      </c>
      <c r="AQ102" s="10" t="str">
        <f t="shared" si="47"/>
        <v/>
      </c>
      <c r="AR102" s="10" t="str">
        <f t="shared" si="64"/>
        <v/>
      </c>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V102" s="10" t="str">
        <f t="shared" si="48"/>
        <v/>
      </c>
      <c r="AW102" s="10" t="str">
        <f t="shared" si="65"/>
        <v/>
      </c>
      <c r="AY102" s="7" t="str">
        <f>IF(ISERROR(IF($K102&lt;=$F$15,VLOOKUP($I102,'表4）CO2価格'!$A$7:$E$67,VLOOKUP($F$48,'表4）CO2価格'!$H$10:$I$12,2,0),0)*$F$8/1000,"")),0,IF($K102&lt;=$F$15,VLOOKUP($I102,'表4）CO2価格'!$A$7:$E$67,VLOOKUP($F$48,'表4）CO2価格'!$H$10:$I$12,2,0),0)*$F$8/1000,""))</f>
        <v/>
      </c>
      <c r="BA102" s="11" t="str">
        <f t="shared" si="49"/>
        <v/>
      </c>
      <c r="BB102" s="10" t="str">
        <f t="shared" si="66"/>
        <v/>
      </c>
      <c r="BD102" s="10" t="str">
        <f t="shared" si="50"/>
        <v/>
      </c>
      <c r="BE102" s="10" t="str">
        <f t="shared" si="67"/>
        <v/>
      </c>
      <c r="BG102" s="11" t="str">
        <f t="shared" si="51"/>
        <v/>
      </c>
      <c r="BH102" s="10" t="str">
        <f t="shared" si="68"/>
        <v/>
      </c>
      <c r="BJ102" s="7" t="str">
        <f t="shared" si="69"/>
        <v/>
      </c>
      <c r="BK102" s="158" t="str">
        <f t="shared" si="70"/>
        <v/>
      </c>
      <c r="BL102" s="158" t="str">
        <f t="shared" si="52"/>
        <v/>
      </c>
      <c r="BM102" s="10"/>
      <c r="BN102" s="10" t="str">
        <f t="shared" si="71"/>
        <v/>
      </c>
      <c r="BO102" s="10" t="str">
        <f t="shared" si="72"/>
        <v/>
      </c>
      <c r="BQ102" s="10" t="str">
        <f t="shared" si="53"/>
        <v/>
      </c>
      <c r="BR102" s="10" t="str">
        <f t="shared" si="73"/>
        <v/>
      </c>
    </row>
    <row r="103" spans="4:70" x14ac:dyDescent="0.15">
      <c r="E103" s="84" t="s">
        <v>601</v>
      </c>
      <c r="F103" s="488">
        <f>BB116/$BR$116</f>
        <v>1.8673405468234878</v>
      </c>
      <c r="G103" s="84" t="s">
        <v>590</v>
      </c>
      <c r="H103" s="370"/>
      <c r="I103" s="38">
        <f t="shared" si="74"/>
        <v>2118</v>
      </c>
      <c r="J103" s="39"/>
      <c r="K103" s="39">
        <f t="shared" si="75"/>
        <v>89</v>
      </c>
      <c r="L103" s="39"/>
      <c r="M103" s="40">
        <f t="shared" si="38"/>
        <v>7.2025619310640235E-2</v>
      </c>
      <c r="N103" s="39"/>
      <c r="O103" s="72" t="str">
        <f t="shared" si="54"/>
        <v/>
      </c>
      <c r="P103" s="41" t="str">
        <f t="shared" si="39"/>
        <v/>
      </c>
      <c r="Q103" s="39"/>
      <c r="R103" s="72" t="str">
        <f t="shared" si="55"/>
        <v/>
      </c>
      <c r="S103" s="39"/>
      <c r="T103" s="72" t="str">
        <f t="shared" si="56"/>
        <v/>
      </c>
      <c r="U103" s="39"/>
      <c r="V103" s="72" t="str">
        <f t="shared" si="40"/>
        <v/>
      </c>
      <c r="W103" s="72" t="str">
        <f t="shared" si="57"/>
        <v/>
      </c>
      <c r="X103" s="39"/>
      <c r="Y103" s="72" t="str">
        <f t="shared" si="41"/>
        <v/>
      </c>
      <c r="Z103" s="72" t="str">
        <f t="shared" si="58"/>
        <v/>
      </c>
      <c r="AA103" s="39"/>
      <c r="AB103" s="72" t="str">
        <f t="shared" si="42"/>
        <v/>
      </c>
      <c r="AC103" s="72" t="str">
        <f t="shared" si="59"/>
        <v/>
      </c>
      <c r="AD103" s="39"/>
      <c r="AE103" s="72" t="str">
        <f t="shared" si="43"/>
        <v/>
      </c>
      <c r="AF103" s="72" t="str">
        <f t="shared" si="60"/>
        <v/>
      </c>
      <c r="AG103" s="39"/>
      <c r="AH103" s="72" t="str">
        <f t="shared" si="44"/>
        <v/>
      </c>
      <c r="AI103" s="72" t="str">
        <f t="shared" si="61"/>
        <v/>
      </c>
      <c r="AJ103" s="39"/>
      <c r="AK103" s="72" t="str">
        <f t="shared" si="45"/>
        <v/>
      </c>
      <c r="AL103" s="72" t="str">
        <f t="shared" si="62"/>
        <v/>
      </c>
      <c r="AM103" s="39"/>
      <c r="AN103" s="72" t="str">
        <f t="shared" si="46"/>
        <v/>
      </c>
      <c r="AO103" s="72" t="str">
        <f t="shared" si="63"/>
        <v/>
      </c>
      <c r="AP103" s="39"/>
      <c r="AQ103" s="72" t="str">
        <f t="shared" si="47"/>
        <v/>
      </c>
      <c r="AR103" s="72" t="str">
        <f t="shared" si="64"/>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48"/>
        <v/>
      </c>
      <c r="AW103" s="72" t="str">
        <f t="shared" si="65"/>
        <v/>
      </c>
      <c r="AX103" s="39"/>
      <c r="AY103" s="40" t="str">
        <f>IF(ISERROR(IF($K103&lt;=$F$15,VLOOKUP($I103,'表4）CO2価格'!$A$7:$E$67,VLOOKUP($F$48,'表4）CO2価格'!$H$10:$I$12,2,0),0)*$F$8/1000,"")),0,IF($K103&lt;=$F$15,VLOOKUP($I103,'表4）CO2価格'!$A$7:$E$67,VLOOKUP($F$48,'表4）CO2価格'!$H$10:$I$12,2,0),0)*$F$8/1000,""))</f>
        <v/>
      </c>
      <c r="AZ103" s="39"/>
      <c r="BA103" s="42" t="str">
        <f t="shared" si="49"/>
        <v/>
      </c>
      <c r="BB103" s="72" t="str">
        <f t="shared" si="66"/>
        <v/>
      </c>
      <c r="BC103" s="39"/>
      <c r="BD103" s="72" t="str">
        <f t="shared" si="50"/>
        <v/>
      </c>
      <c r="BE103" s="72" t="str">
        <f t="shared" si="67"/>
        <v/>
      </c>
      <c r="BF103" s="39"/>
      <c r="BG103" s="42" t="str">
        <f t="shared" si="51"/>
        <v/>
      </c>
      <c r="BH103" s="72" t="str">
        <f t="shared" si="68"/>
        <v/>
      </c>
      <c r="BI103" s="39"/>
      <c r="BJ103" s="40" t="str">
        <f t="shared" si="69"/>
        <v/>
      </c>
      <c r="BK103" s="157" t="str">
        <f t="shared" si="70"/>
        <v/>
      </c>
      <c r="BL103" s="157" t="str">
        <f t="shared" si="52"/>
        <v/>
      </c>
      <c r="BM103" s="72"/>
      <c r="BN103" s="72" t="str">
        <f t="shared" si="71"/>
        <v/>
      </c>
      <c r="BO103" s="72" t="str">
        <f t="shared" si="72"/>
        <v/>
      </c>
      <c r="BP103" s="39"/>
      <c r="BQ103" s="72" t="str">
        <f t="shared" si="53"/>
        <v/>
      </c>
      <c r="BR103" s="72" t="str">
        <f t="shared" si="73"/>
        <v/>
      </c>
    </row>
    <row r="104" spans="4:70" x14ac:dyDescent="0.15">
      <c r="E104" s="84" t="s">
        <v>602</v>
      </c>
      <c r="F104" s="488">
        <f>IF(ISERROR(F60*(1/F61)/F62),0,F60*(1/F61)/F62)</f>
        <v>0</v>
      </c>
      <c r="G104" s="84" t="s">
        <v>590</v>
      </c>
      <c r="H104" s="370"/>
      <c r="I104" s="322">
        <f t="shared" si="74"/>
        <v>2119</v>
      </c>
      <c r="K104" s="71">
        <f t="shared" si="75"/>
        <v>90</v>
      </c>
      <c r="M104" s="7">
        <f t="shared" si="38"/>
        <v>6.9927785738485654E-2</v>
      </c>
      <c r="O104" s="10" t="str">
        <f t="shared" si="54"/>
        <v/>
      </c>
      <c r="P104" s="29" t="str">
        <f t="shared" si="39"/>
        <v/>
      </c>
      <c r="R104" s="10" t="str">
        <f t="shared" si="55"/>
        <v/>
      </c>
      <c r="T104" s="10" t="str">
        <f t="shared" si="56"/>
        <v/>
      </c>
      <c r="V104" s="10" t="str">
        <f t="shared" si="40"/>
        <v/>
      </c>
      <c r="W104" s="10" t="str">
        <f t="shared" si="57"/>
        <v/>
      </c>
      <c r="Y104" s="10" t="str">
        <f t="shared" si="41"/>
        <v/>
      </c>
      <c r="Z104" s="10" t="str">
        <f t="shared" si="58"/>
        <v/>
      </c>
      <c r="AB104" s="10" t="str">
        <f t="shared" si="42"/>
        <v/>
      </c>
      <c r="AC104" s="10" t="str">
        <f t="shared" si="59"/>
        <v/>
      </c>
      <c r="AE104" s="10" t="str">
        <f t="shared" si="43"/>
        <v/>
      </c>
      <c r="AF104" s="10" t="str">
        <f t="shared" si="60"/>
        <v/>
      </c>
      <c r="AH104" s="10" t="str">
        <f t="shared" si="44"/>
        <v/>
      </c>
      <c r="AI104" s="10" t="str">
        <f t="shared" si="61"/>
        <v/>
      </c>
      <c r="AK104" s="10" t="str">
        <f t="shared" si="45"/>
        <v/>
      </c>
      <c r="AL104" s="10" t="str">
        <f t="shared" si="62"/>
        <v/>
      </c>
      <c r="AN104" s="10" t="str">
        <f t="shared" si="46"/>
        <v/>
      </c>
      <c r="AO104" s="10" t="str">
        <f t="shared" si="63"/>
        <v/>
      </c>
      <c r="AQ104" s="10" t="str">
        <f t="shared" si="47"/>
        <v/>
      </c>
      <c r="AR104" s="10" t="str">
        <f t="shared" si="64"/>
        <v/>
      </c>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V104" s="10" t="str">
        <f t="shared" si="48"/>
        <v/>
      </c>
      <c r="AW104" s="10" t="str">
        <f t="shared" si="65"/>
        <v/>
      </c>
      <c r="AY104" s="7" t="str">
        <f>IF(ISERROR(IF($K104&lt;=$F$15,VLOOKUP($I104,'表4）CO2価格'!$A$7:$E$67,VLOOKUP($F$48,'表4）CO2価格'!$H$10:$I$12,2,0),0)*$F$8/1000,"")),0,IF($K104&lt;=$F$15,VLOOKUP($I104,'表4）CO2価格'!$A$7:$E$67,VLOOKUP($F$48,'表4）CO2価格'!$H$10:$I$12,2,0),0)*$F$8/1000,""))</f>
        <v/>
      </c>
      <c r="BA104" s="11" t="str">
        <f t="shared" si="49"/>
        <v/>
      </c>
      <c r="BB104" s="10" t="str">
        <f t="shared" si="66"/>
        <v/>
      </c>
      <c r="BD104" s="10" t="str">
        <f t="shared" si="50"/>
        <v/>
      </c>
      <c r="BE104" s="10" t="str">
        <f t="shared" si="67"/>
        <v/>
      </c>
      <c r="BG104" s="11" t="str">
        <f t="shared" si="51"/>
        <v/>
      </c>
      <c r="BH104" s="10" t="str">
        <f t="shared" si="68"/>
        <v/>
      </c>
      <c r="BJ104" s="7" t="str">
        <f t="shared" si="69"/>
        <v/>
      </c>
      <c r="BK104" s="158" t="str">
        <f t="shared" si="70"/>
        <v/>
      </c>
      <c r="BL104" s="158" t="str">
        <f t="shared" si="52"/>
        <v/>
      </c>
      <c r="BM104" s="10"/>
      <c r="BN104" s="10" t="str">
        <f t="shared" si="71"/>
        <v/>
      </c>
      <c r="BO104" s="10" t="str">
        <f t="shared" si="72"/>
        <v/>
      </c>
      <c r="BQ104" s="10" t="str">
        <f t="shared" si="53"/>
        <v/>
      </c>
      <c r="BR104" s="10" t="str">
        <f t="shared" si="73"/>
        <v/>
      </c>
    </row>
    <row r="105" spans="4:70" x14ac:dyDescent="0.15">
      <c r="E105" s="71" t="s">
        <v>603</v>
      </c>
      <c r="F105" s="488">
        <f>F64</f>
        <v>0.13</v>
      </c>
      <c r="G105" s="84" t="s">
        <v>590</v>
      </c>
      <c r="H105" s="370"/>
      <c r="I105" s="38">
        <f t="shared" si="74"/>
        <v>2120</v>
      </c>
      <c r="J105" s="39"/>
      <c r="K105" s="39">
        <f t="shared" si="75"/>
        <v>91</v>
      </c>
      <c r="L105" s="39"/>
      <c r="M105" s="40">
        <f t="shared" si="38"/>
        <v>6.7891054115034627E-2</v>
      </c>
      <c r="N105" s="39"/>
      <c r="O105" s="72" t="str">
        <f t="shared" si="54"/>
        <v/>
      </c>
      <c r="P105" s="41" t="str">
        <f t="shared" si="39"/>
        <v/>
      </c>
      <c r="Q105" s="39"/>
      <c r="R105" s="72" t="str">
        <f t="shared" si="55"/>
        <v/>
      </c>
      <c r="S105" s="39"/>
      <c r="T105" s="72" t="str">
        <f t="shared" si="56"/>
        <v/>
      </c>
      <c r="U105" s="39"/>
      <c r="V105" s="72" t="str">
        <f t="shared" si="40"/>
        <v/>
      </c>
      <c r="W105" s="72" t="str">
        <f t="shared" si="57"/>
        <v/>
      </c>
      <c r="X105" s="39"/>
      <c r="Y105" s="72" t="str">
        <f t="shared" si="41"/>
        <v/>
      </c>
      <c r="Z105" s="72" t="str">
        <f t="shared" si="58"/>
        <v/>
      </c>
      <c r="AA105" s="39"/>
      <c r="AB105" s="72" t="str">
        <f t="shared" si="42"/>
        <v/>
      </c>
      <c r="AC105" s="72" t="str">
        <f t="shared" si="59"/>
        <v/>
      </c>
      <c r="AD105" s="39"/>
      <c r="AE105" s="72" t="str">
        <f t="shared" si="43"/>
        <v/>
      </c>
      <c r="AF105" s="72" t="str">
        <f t="shared" si="60"/>
        <v/>
      </c>
      <c r="AG105" s="39"/>
      <c r="AH105" s="72" t="str">
        <f t="shared" si="44"/>
        <v/>
      </c>
      <c r="AI105" s="72" t="str">
        <f t="shared" si="61"/>
        <v/>
      </c>
      <c r="AJ105" s="39"/>
      <c r="AK105" s="72" t="str">
        <f t="shared" si="45"/>
        <v/>
      </c>
      <c r="AL105" s="72" t="str">
        <f t="shared" si="62"/>
        <v/>
      </c>
      <c r="AM105" s="39"/>
      <c r="AN105" s="72" t="str">
        <f t="shared" si="46"/>
        <v/>
      </c>
      <c r="AO105" s="72" t="str">
        <f t="shared" si="63"/>
        <v/>
      </c>
      <c r="AP105" s="39"/>
      <c r="AQ105" s="72" t="str">
        <f t="shared" si="47"/>
        <v/>
      </c>
      <c r="AR105" s="72" t="str">
        <f t="shared" si="64"/>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48"/>
        <v/>
      </c>
      <c r="AW105" s="72" t="str">
        <f t="shared" si="65"/>
        <v/>
      </c>
      <c r="AX105" s="39"/>
      <c r="AY105" s="40" t="str">
        <f>IF(ISERROR(IF($K105&lt;=$F$15,VLOOKUP($I105,'表4）CO2価格'!$A$7:$E$67,VLOOKUP($F$48,'表4）CO2価格'!$H$10:$I$12,2,0),0)*$F$8/1000,"")),0,IF($K105&lt;=$F$15,VLOOKUP($I105,'表4）CO2価格'!$A$7:$E$67,VLOOKUP($F$48,'表4）CO2価格'!$H$10:$I$12,2,0),0)*$F$8/1000,""))</f>
        <v/>
      </c>
      <c r="AZ105" s="39"/>
      <c r="BA105" s="42" t="str">
        <f t="shared" si="49"/>
        <v/>
      </c>
      <c r="BB105" s="72" t="str">
        <f t="shared" si="66"/>
        <v/>
      </c>
      <c r="BC105" s="39"/>
      <c r="BD105" s="72" t="str">
        <f t="shared" si="50"/>
        <v/>
      </c>
      <c r="BE105" s="72" t="str">
        <f t="shared" si="67"/>
        <v/>
      </c>
      <c r="BF105" s="39"/>
      <c r="BG105" s="42" t="str">
        <f t="shared" si="51"/>
        <v/>
      </c>
      <c r="BH105" s="72" t="str">
        <f t="shared" si="68"/>
        <v/>
      </c>
      <c r="BI105" s="39"/>
      <c r="BJ105" s="40" t="str">
        <f t="shared" si="69"/>
        <v/>
      </c>
      <c r="BK105" s="157" t="str">
        <f t="shared" si="70"/>
        <v/>
      </c>
      <c r="BL105" s="157" t="str">
        <f t="shared" si="52"/>
        <v/>
      </c>
      <c r="BM105" s="72"/>
      <c r="BN105" s="72" t="str">
        <f t="shared" si="71"/>
        <v/>
      </c>
      <c r="BO105" s="72" t="str">
        <f t="shared" si="72"/>
        <v/>
      </c>
      <c r="BP105" s="39"/>
      <c r="BQ105" s="72" t="str">
        <f t="shared" si="53"/>
        <v/>
      </c>
      <c r="BR105" s="72" t="str">
        <f t="shared" si="73"/>
        <v/>
      </c>
    </row>
    <row r="106" spans="4:70" x14ac:dyDescent="0.15">
      <c r="F106" s="487"/>
      <c r="H106" s="370"/>
      <c r="I106" s="322">
        <f t="shared" si="74"/>
        <v>2121</v>
      </c>
      <c r="K106" s="71">
        <f t="shared" si="75"/>
        <v>92</v>
      </c>
      <c r="M106" s="7">
        <f t="shared" si="38"/>
        <v>6.5913644771878277E-2</v>
      </c>
      <c r="O106" s="10" t="str">
        <f t="shared" si="54"/>
        <v/>
      </c>
      <c r="P106" s="29" t="str">
        <f t="shared" si="39"/>
        <v/>
      </c>
      <c r="R106" s="10" t="str">
        <f t="shared" si="55"/>
        <v/>
      </c>
      <c r="T106" s="10" t="str">
        <f t="shared" si="56"/>
        <v/>
      </c>
      <c r="V106" s="10" t="str">
        <f t="shared" si="40"/>
        <v/>
      </c>
      <c r="W106" s="10" t="str">
        <f t="shared" si="57"/>
        <v/>
      </c>
      <c r="Y106" s="10" t="str">
        <f t="shared" si="41"/>
        <v/>
      </c>
      <c r="Z106" s="10" t="str">
        <f t="shared" si="58"/>
        <v/>
      </c>
      <c r="AB106" s="10" t="str">
        <f t="shared" si="42"/>
        <v/>
      </c>
      <c r="AC106" s="10" t="str">
        <f t="shared" si="59"/>
        <v/>
      </c>
      <c r="AE106" s="10" t="str">
        <f t="shared" si="43"/>
        <v/>
      </c>
      <c r="AF106" s="10" t="str">
        <f t="shared" si="60"/>
        <v/>
      </c>
      <c r="AH106" s="10" t="str">
        <f t="shared" si="44"/>
        <v/>
      </c>
      <c r="AI106" s="10" t="str">
        <f t="shared" si="61"/>
        <v/>
      </c>
      <c r="AK106" s="10" t="str">
        <f t="shared" si="45"/>
        <v/>
      </c>
      <c r="AL106" s="10" t="str">
        <f t="shared" si="62"/>
        <v/>
      </c>
      <c r="AN106" s="10" t="str">
        <f t="shared" si="46"/>
        <v/>
      </c>
      <c r="AO106" s="10" t="str">
        <f t="shared" si="63"/>
        <v/>
      </c>
      <c r="AQ106" s="10" t="str">
        <f t="shared" si="47"/>
        <v/>
      </c>
      <c r="AR106" s="10" t="str">
        <f t="shared" si="64"/>
        <v/>
      </c>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V106" s="10" t="str">
        <f t="shared" si="48"/>
        <v/>
      </c>
      <c r="AW106" s="10" t="str">
        <f t="shared" si="65"/>
        <v/>
      </c>
      <c r="AY106" s="7" t="str">
        <f>IF(ISERROR(IF($K106&lt;=$F$15,VLOOKUP($I106,'表4）CO2価格'!$A$7:$E$67,VLOOKUP($F$48,'表4）CO2価格'!$H$10:$I$12,2,0),0)*$F$8/1000,"")),0,IF($K106&lt;=$F$15,VLOOKUP($I106,'表4）CO2価格'!$A$7:$E$67,VLOOKUP($F$48,'表4）CO2価格'!$H$10:$I$12,2,0),0)*$F$8/1000,""))</f>
        <v/>
      </c>
      <c r="BA106" s="11" t="str">
        <f t="shared" si="49"/>
        <v/>
      </c>
      <c r="BB106" s="10" t="str">
        <f t="shared" si="66"/>
        <v/>
      </c>
      <c r="BD106" s="10" t="str">
        <f t="shared" si="50"/>
        <v/>
      </c>
      <c r="BE106" s="10" t="str">
        <f t="shared" si="67"/>
        <v/>
      </c>
      <c r="BG106" s="11" t="str">
        <f t="shared" si="51"/>
        <v/>
      </c>
      <c r="BH106" s="10" t="str">
        <f t="shared" si="68"/>
        <v/>
      </c>
      <c r="BJ106" s="7" t="str">
        <f t="shared" si="69"/>
        <v/>
      </c>
      <c r="BK106" s="158" t="str">
        <f t="shared" si="70"/>
        <v/>
      </c>
      <c r="BL106" s="158" t="str">
        <f t="shared" si="52"/>
        <v/>
      </c>
      <c r="BM106" s="10"/>
      <c r="BN106" s="10" t="str">
        <f t="shared" si="71"/>
        <v/>
      </c>
      <c r="BO106" s="10" t="str">
        <f t="shared" si="72"/>
        <v/>
      </c>
      <c r="BQ106" s="10" t="str">
        <f t="shared" si="53"/>
        <v/>
      </c>
      <c r="BR106" s="10" t="str">
        <f t="shared" si="73"/>
        <v/>
      </c>
    </row>
    <row r="107" spans="4:70" ht="15" x14ac:dyDescent="0.15">
      <c r="D107" s="103" t="s">
        <v>604</v>
      </c>
      <c r="F107" s="484">
        <f>SUBTOTAL(9,F111:F112)</f>
        <v>0</v>
      </c>
      <c r="G107" s="84" t="s">
        <v>590</v>
      </c>
      <c r="H107" s="370"/>
      <c r="I107" s="38">
        <f t="shared" si="74"/>
        <v>2122</v>
      </c>
      <c r="J107" s="39"/>
      <c r="K107" s="39">
        <f t="shared" si="75"/>
        <v>93</v>
      </c>
      <c r="L107" s="39"/>
      <c r="M107" s="40">
        <f t="shared" si="38"/>
        <v>6.3993829875609989E-2</v>
      </c>
      <c r="N107" s="39"/>
      <c r="O107" s="72" t="str">
        <f t="shared" si="54"/>
        <v/>
      </c>
      <c r="P107" s="41" t="str">
        <f t="shared" si="39"/>
        <v/>
      </c>
      <c r="Q107" s="39"/>
      <c r="R107" s="72" t="str">
        <f t="shared" si="55"/>
        <v/>
      </c>
      <c r="S107" s="39"/>
      <c r="T107" s="72" t="str">
        <f t="shared" si="56"/>
        <v/>
      </c>
      <c r="U107" s="39"/>
      <c r="V107" s="72" t="str">
        <f t="shared" si="40"/>
        <v/>
      </c>
      <c r="W107" s="72" t="str">
        <f t="shared" si="57"/>
        <v/>
      </c>
      <c r="X107" s="39"/>
      <c r="Y107" s="72" t="str">
        <f t="shared" si="41"/>
        <v/>
      </c>
      <c r="Z107" s="72" t="str">
        <f t="shared" si="58"/>
        <v/>
      </c>
      <c r="AA107" s="39"/>
      <c r="AB107" s="72" t="str">
        <f t="shared" si="42"/>
        <v/>
      </c>
      <c r="AC107" s="72" t="str">
        <f t="shared" si="59"/>
        <v/>
      </c>
      <c r="AD107" s="39"/>
      <c r="AE107" s="72" t="str">
        <f t="shared" si="43"/>
        <v/>
      </c>
      <c r="AF107" s="72" t="str">
        <f t="shared" si="60"/>
        <v/>
      </c>
      <c r="AG107" s="39"/>
      <c r="AH107" s="72" t="str">
        <f t="shared" si="44"/>
        <v/>
      </c>
      <c r="AI107" s="72" t="str">
        <f t="shared" si="61"/>
        <v/>
      </c>
      <c r="AJ107" s="39"/>
      <c r="AK107" s="72" t="str">
        <f t="shared" si="45"/>
        <v/>
      </c>
      <c r="AL107" s="72" t="str">
        <f t="shared" si="62"/>
        <v/>
      </c>
      <c r="AM107" s="39"/>
      <c r="AN107" s="72" t="str">
        <f t="shared" si="46"/>
        <v/>
      </c>
      <c r="AO107" s="72" t="str">
        <f t="shared" si="63"/>
        <v/>
      </c>
      <c r="AP107" s="39"/>
      <c r="AQ107" s="72" t="str">
        <f t="shared" si="47"/>
        <v/>
      </c>
      <c r="AR107" s="72" t="str">
        <f t="shared" si="64"/>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48"/>
        <v/>
      </c>
      <c r="AW107" s="72" t="str">
        <f t="shared" si="65"/>
        <v/>
      </c>
      <c r="AX107" s="39"/>
      <c r="AY107" s="40" t="str">
        <f>IF(ISERROR(IF($K107&lt;=$F$15,VLOOKUP($I107,'表4）CO2価格'!$A$7:$E$67,VLOOKUP($F$48,'表4）CO2価格'!$H$10:$I$12,2,0),0)*$F$8/1000,"")),0,IF($K107&lt;=$F$15,VLOOKUP($I107,'表4）CO2価格'!$A$7:$E$67,VLOOKUP($F$48,'表4）CO2価格'!$H$10:$I$12,2,0),0)*$F$8/1000,""))</f>
        <v/>
      </c>
      <c r="AZ107" s="39"/>
      <c r="BA107" s="42" t="str">
        <f t="shared" si="49"/>
        <v/>
      </c>
      <c r="BB107" s="72" t="str">
        <f t="shared" si="66"/>
        <v/>
      </c>
      <c r="BC107" s="39"/>
      <c r="BD107" s="72" t="str">
        <f t="shared" si="50"/>
        <v/>
      </c>
      <c r="BE107" s="72" t="str">
        <f t="shared" si="67"/>
        <v/>
      </c>
      <c r="BF107" s="39"/>
      <c r="BG107" s="42" t="str">
        <f t="shared" si="51"/>
        <v/>
      </c>
      <c r="BH107" s="72" t="str">
        <f t="shared" si="68"/>
        <v/>
      </c>
      <c r="BI107" s="39"/>
      <c r="BJ107" s="40" t="str">
        <f t="shared" si="69"/>
        <v/>
      </c>
      <c r="BK107" s="157" t="str">
        <f t="shared" si="70"/>
        <v/>
      </c>
      <c r="BL107" s="157" t="str">
        <f t="shared" si="52"/>
        <v/>
      </c>
      <c r="BM107" s="72"/>
      <c r="BN107" s="72" t="str">
        <f t="shared" si="71"/>
        <v/>
      </c>
      <c r="BO107" s="72" t="str">
        <f t="shared" si="72"/>
        <v/>
      </c>
      <c r="BP107" s="39"/>
      <c r="BQ107" s="72" t="str">
        <f t="shared" si="53"/>
        <v/>
      </c>
      <c r="BR107" s="72" t="str">
        <f t="shared" si="73"/>
        <v/>
      </c>
    </row>
    <row r="108" spans="4:70" ht="15" x14ac:dyDescent="0.15">
      <c r="D108" s="103"/>
      <c r="F108" s="487"/>
      <c r="H108" s="370"/>
      <c r="I108" s="322">
        <f t="shared" si="74"/>
        <v>2123</v>
      </c>
      <c r="K108" s="71">
        <f t="shared" si="75"/>
        <v>94</v>
      </c>
      <c r="M108" s="7">
        <f t="shared" si="38"/>
        <v>6.212993191806794E-2</v>
      </c>
      <c r="O108" s="10" t="str">
        <f t="shared" si="54"/>
        <v/>
      </c>
      <c r="P108" s="29" t="str">
        <f t="shared" si="39"/>
        <v/>
      </c>
      <c r="R108" s="10" t="str">
        <f t="shared" si="55"/>
        <v/>
      </c>
      <c r="T108" s="10" t="str">
        <f t="shared" si="56"/>
        <v/>
      </c>
      <c r="V108" s="10" t="str">
        <f t="shared" si="40"/>
        <v/>
      </c>
      <c r="W108" s="10" t="str">
        <f t="shared" si="57"/>
        <v/>
      </c>
      <c r="Y108" s="10" t="str">
        <f t="shared" si="41"/>
        <v/>
      </c>
      <c r="Z108" s="10" t="str">
        <f t="shared" si="58"/>
        <v/>
      </c>
      <c r="AB108" s="10" t="str">
        <f t="shared" si="42"/>
        <v/>
      </c>
      <c r="AC108" s="10" t="str">
        <f t="shared" si="59"/>
        <v/>
      </c>
      <c r="AE108" s="10" t="str">
        <f t="shared" si="43"/>
        <v/>
      </c>
      <c r="AF108" s="10" t="str">
        <f t="shared" si="60"/>
        <v/>
      </c>
      <c r="AH108" s="10" t="str">
        <f t="shared" si="44"/>
        <v/>
      </c>
      <c r="AI108" s="10" t="str">
        <f t="shared" si="61"/>
        <v/>
      </c>
      <c r="AK108" s="10" t="str">
        <f t="shared" si="45"/>
        <v/>
      </c>
      <c r="AL108" s="10" t="str">
        <f t="shared" si="62"/>
        <v/>
      </c>
      <c r="AN108" s="10" t="str">
        <f t="shared" si="46"/>
        <v/>
      </c>
      <c r="AO108" s="10" t="str">
        <f t="shared" si="63"/>
        <v/>
      </c>
      <c r="AQ108" s="10" t="str">
        <f t="shared" si="47"/>
        <v/>
      </c>
      <c r="AR108" s="10" t="str">
        <f t="shared" si="64"/>
        <v/>
      </c>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V108" s="10" t="str">
        <f t="shared" si="48"/>
        <v/>
      </c>
      <c r="AW108" s="10" t="str">
        <f t="shared" si="65"/>
        <v/>
      </c>
      <c r="AY108" s="7" t="str">
        <f>IF(ISERROR(IF($K108&lt;=$F$15,VLOOKUP($I108,'表4）CO2価格'!$A$7:$E$67,VLOOKUP($F$48,'表4）CO2価格'!$H$10:$I$12,2,0),0)*$F$8/1000,"")),0,IF($K108&lt;=$F$15,VLOOKUP($I108,'表4）CO2価格'!$A$7:$E$67,VLOOKUP($F$48,'表4）CO2価格'!$H$10:$I$12,2,0),0)*$F$8/1000,""))</f>
        <v/>
      </c>
      <c r="BA108" s="11" t="str">
        <f t="shared" si="49"/>
        <v/>
      </c>
      <c r="BB108" s="10" t="str">
        <f t="shared" si="66"/>
        <v/>
      </c>
      <c r="BD108" s="10" t="str">
        <f t="shared" si="50"/>
        <v/>
      </c>
      <c r="BE108" s="10" t="str">
        <f t="shared" si="67"/>
        <v/>
      </c>
      <c r="BG108" s="11" t="str">
        <f t="shared" si="51"/>
        <v/>
      </c>
      <c r="BH108" s="10" t="str">
        <f t="shared" si="68"/>
        <v/>
      </c>
      <c r="BJ108" s="7" t="str">
        <f t="shared" si="69"/>
        <v/>
      </c>
      <c r="BK108" s="158" t="str">
        <f t="shared" si="70"/>
        <v/>
      </c>
      <c r="BL108" s="158" t="str">
        <f t="shared" si="52"/>
        <v/>
      </c>
      <c r="BM108" s="10"/>
      <c r="BN108" s="10" t="str">
        <f t="shared" si="71"/>
        <v/>
      </c>
      <c r="BO108" s="10" t="str">
        <f t="shared" si="72"/>
        <v/>
      </c>
      <c r="BQ108" s="10" t="str">
        <f t="shared" si="53"/>
        <v/>
      </c>
      <c r="BR108" s="10" t="str">
        <f t="shared" si="73"/>
        <v/>
      </c>
    </row>
    <row r="109" spans="4:70" x14ac:dyDescent="0.15">
      <c r="D109" s="100" t="s">
        <v>605</v>
      </c>
      <c r="E109" s="100"/>
      <c r="F109" s="486"/>
      <c r="G109" s="100"/>
      <c r="H109" s="370"/>
      <c r="I109" s="38">
        <f t="shared" si="74"/>
        <v>2124</v>
      </c>
      <c r="J109" s="39"/>
      <c r="K109" s="39">
        <f t="shared" si="75"/>
        <v>95</v>
      </c>
      <c r="L109" s="39"/>
      <c r="M109" s="40">
        <f t="shared" si="38"/>
        <v>6.0320322250551395E-2</v>
      </c>
      <c r="N109" s="39"/>
      <c r="O109" s="72" t="str">
        <f t="shared" si="54"/>
        <v/>
      </c>
      <c r="P109" s="41" t="str">
        <f t="shared" si="39"/>
        <v/>
      </c>
      <c r="Q109" s="39"/>
      <c r="R109" s="72" t="str">
        <f t="shared" si="55"/>
        <v/>
      </c>
      <c r="S109" s="39"/>
      <c r="T109" s="72" t="str">
        <f t="shared" si="56"/>
        <v/>
      </c>
      <c r="U109" s="39"/>
      <c r="V109" s="72" t="str">
        <f t="shared" si="40"/>
        <v/>
      </c>
      <c r="W109" s="72" t="str">
        <f t="shared" si="57"/>
        <v/>
      </c>
      <c r="X109" s="39"/>
      <c r="Y109" s="72" t="str">
        <f t="shared" si="41"/>
        <v/>
      </c>
      <c r="Z109" s="72" t="str">
        <f t="shared" si="58"/>
        <v/>
      </c>
      <c r="AA109" s="39"/>
      <c r="AB109" s="72" t="str">
        <f t="shared" si="42"/>
        <v/>
      </c>
      <c r="AC109" s="72" t="str">
        <f t="shared" si="59"/>
        <v/>
      </c>
      <c r="AD109" s="39"/>
      <c r="AE109" s="72" t="str">
        <f t="shared" si="43"/>
        <v/>
      </c>
      <c r="AF109" s="72" t="str">
        <f t="shared" si="60"/>
        <v/>
      </c>
      <c r="AG109" s="39"/>
      <c r="AH109" s="72" t="str">
        <f t="shared" si="44"/>
        <v/>
      </c>
      <c r="AI109" s="72" t="str">
        <f t="shared" si="61"/>
        <v/>
      </c>
      <c r="AJ109" s="39"/>
      <c r="AK109" s="72" t="str">
        <f t="shared" si="45"/>
        <v/>
      </c>
      <c r="AL109" s="72" t="str">
        <f t="shared" si="62"/>
        <v/>
      </c>
      <c r="AM109" s="39"/>
      <c r="AN109" s="72" t="str">
        <f t="shared" si="46"/>
        <v/>
      </c>
      <c r="AO109" s="72" t="str">
        <f t="shared" si="63"/>
        <v/>
      </c>
      <c r="AP109" s="39"/>
      <c r="AQ109" s="72" t="str">
        <f t="shared" si="47"/>
        <v/>
      </c>
      <c r="AR109" s="72" t="str">
        <f t="shared" si="64"/>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48"/>
        <v/>
      </c>
      <c r="AW109" s="72" t="str">
        <f t="shared" si="65"/>
        <v/>
      </c>
      <c r="AX109" s="39"/>
      <c r="AY109" s="40" t="str">
        <f>IF(ISERROR(IF($K109&lt;=$F$15,VLOOKUP($I109,'表4）CO2価格'!$A$7:$E$67,VLOOKUP($F$48,'表4）CO2価格'!$H$10:$I$12,2,0),0)*$F$8/1000,"")),0,IF($K109&lt;=$F$15,VLOOKUP($I109,'表4）CO2価格'!$A$7:$E$67,VLOOKUP($F$48,'表4）CO2価格'!$H$10:$I$12,2,0),0)*$F$8/1000,""))</f>
        <v/>
      </c>
      <c r="AZ109" s="39"/>
      <c r="BA109" s="42" t="str">
        <f t="shared" si="49"/>
        <v/>
      </c>
      <c r="BB109" s="72" t="str">
        <f t="shared" si="66"/>
        <v/>
      </c>
      <c r="BC109" s="39"/>
      <c r="BD109" s="72" t="str">
        <f t="shared" si="50"/>
        <v/>
      </c>
      <c r="BE109" s="72" t="str">
        <f t="shared" si="67"/>
        <v/>
      </c>
      <c r="BF109" s="39"/>
      <c r="BG109" s="42" t="str">
        <f t="shared" si="51"/>
        <v/>
      </c>
      <c r="BH109" s="72" t="str">
        <f t="shared" si="68"/>
        <v/>
      </c>
      <c r="BI109" s="39"/>
      <c r="BJ109" s="40" t="str">
        <f t="shared" si="69"/>
        <v/>
      </c>
      <c r="BK109" s="157" t="str">
        <f t="shared" si="70"/>
        <v/>
      </c>
      <c r="BL109" s="157" t="str">
        <f t="shared" si="52"/>
        <v/>
      </c>
      <c r="BM109" s="72"/>
      <c r="BN109" s="72" t="str">
        <f t="shared" si="71"/>
        <v/>
      </c>
      <c r="BO109" s="72" t="str">
        <f t="shared" si="72"/>
        <v/>
      </c>
      <c r="BP109" s="39"/>
      <c r="BQ109" s="72" t="str">
        <f t="shared" si="53"/>
        <v/>
      </c>
      <c r="BR109" s="72" t="str">
        <f t="shared" si="73"/>
        <v/>
      </c>
    </row>
    <row r="110" spans="4:70" ht="15" x14ac:dyDescent="0.15">
      <c r="D110" s="103"/>
      <c r="F110" s="487"/>
      <c r="H110" s="370"/>
      <c r="I110" s="322">
        <f t="shared" si="74"/>
        <v>2125</v>
      </c>
      <c r="K110" s="71">
        <f t="shared" si="75"/>
        <v>96</v>
      </c>
      <c r="M110" s="7">
        <f t="shared" si="38"/>
        <v>5.8563419660729518E-2</v>
      </c>
      <c r="O110" s="10" t="str">
        <f t="shared" si="54"/>
        <v/>
      </c>
      <c r="P110" s="29" t="str">
        <f t="shared" si="39"/>
        <v/>
      </c>
      <c r="R110" s="10" t="str">
        <f t="shared" si="55"/>
        <v/>
      </c>
      <c r="T110" s="10" t="str">
        <f t="shared" si="56"/>
        <v/>
      </c>
      <c r="V110" s="10" t="str">
        <f t="shared" si="40"/>
        <v/>
      </c>
      <c r="W110" s="10" t="str">
        <f t="shared" si="57"/>
        <v/>
      </c>
      <c r="Y110" s="10" t="str">
        <f t="shared" si="41"/>
        <v/>
      </c>
      <c r="Z110" s="10" t="str">
        <f t="shared" si="58"/>
        <v/>
      </c>
      <c r="AB110" s="10" t="str">
        <f t="shared" si="42"/>
        <v/>
      </c>
      <c r="AC110" s="10" t="str">
        <f t="shared" si="59"/>
        <v/>
      </c>
      <c r="AE110" s="10" t="str">
        <f t="shared" si="43"/>
        <v/>
      </c>
      <c r="AF110" s="10" t="str">
        <f t="shared" si="60"/>
        <v/>
      </c>
      <c r="AH110" s="10" t="str">
        <f t="shared" si="44"/>
        <v/>
      </c>
      <c r="AI110" s="10" t="str">
        <f t="shared" si="61"/>
        <v/>
      </c>
      <c r="AK110" s="10" t="str">
        <f t="shared" si="45"/>
        <v/>
      </c>
      <c r="AL110" s="10" t="str">
        <f t="shared" si="62"/>
        <v/>
      </c>
      <c r="AN110" s="10" t="str">
        <f t="shared" si="46"/>
        <v/>
      </c>
      <c r="AO110" s="10" t="str">
        <f t="shared" si="63"/>
        <v/>
      </c>
      <c r="AQ110" s="10" t="str">
        <f t="shared" si="47"/>
        <v/>
      </c>
      <c r="AR110" s="10" t="str">
        <f t="shared" si="64"/>
        <v/>
      </c>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V110" s="10" t="str">
        <f t="shared" si="48"/>
        <v/>
      </c>
      <c r="AW110" s="10" t="str">
        <f t="shared" si="65"/>
        <v/>
      </c>
      <c r="AY110" s="7" t="str">
        <f>IF(ISERROR(IF($K110&lt;=$F$15,VLOOKUP($I110,'表4）CO2価格'!$A$7:$E$67,VLOOKUP($F$48,'表4）CO2価格'!$H$10:$I$12,2,0),0)*$F$8/1000,"")),0,IF($K110&lt;=$F$15,VLOOKUP($I110,'表4）CO2価格'!$A$7:$E$67,VLOOKUP($F$48,'表4）CO2価格'!$H$10:$I$12,2,0),0)*$F$8/1000,""))</f>
        <v/>
      </c>
      <c r="BA110" s="11" t="str">
        <f t="shared" si="49"/>
        <v/>
      </c>
      <c r="BB110" s="10" t="str">
        <f t="shared" si="66"/>
        <v/>
      </c>
      <c r="BD110" s="10" t="str">
        <f t="shared" si="50"/>
        <v/>
      </c>
      <c r="BE110" s="10" t="str">
        <f t="shared" si="67"/>
        <v/>
      </c>
      <c r="BG110" s="11" t="str">
        <f t="shared" si="51"/>
        <v/>
      </c>
      <c r="BH110" s="10" t="str">
        <f t="shared" si="68"/>
        <v/>
      </c>
      <c r="BJ110" s="7" t="str">
        <f t="shared" si="69"/>
        <v/>
      </c>
      <c r="BK110" s="158" t="str">
        <f t="shared" si="70"/>
        <v/>
      </c>
      <c r="BL110" s="158" t="str">
        <f t="shared" si="52"/>
        <v/>
      </c>
      <c r="BM110" s="10"/>
      <c r="BN110" s="10" t="str">
        <f t="shared" si="71"/>
        <v/>
      </c>
      <c r="BO110" s="10" t="str">
        <f t="shared" si="72"/>
        <v/>
      </c>
      <c r="BQ110" s="10" t="str">
        <f t="shared" si="53"/>
        <v/>
      </c>
      <c r="BR110" s="10" t="str">
        <f t="shared" si="73"/>
        <v/>
      </c>
    </row>
    <row r="111" spans="4:70" ht="15" x14ac:dyDescent="0.15">
      <c r="D111" s="103"/>
      <c r="E111" s="84" t="s">
        <v>606</v>
      </c>
      <c r="F111" s="488">
        <f>-BE116/BR116</f>
        <v>0</v>
      </c>
      <c r="G111" s="84" t="s">
        <v>590</v>
      </c>
      <c r="H111" s="370"/>
      <c r="I111" s="38">
        <f t="shared" si="74"/>
        <v>2126</v>
      </c>
      <c r="J111" s="39"/>
      <c r="K111" s="39">
        <f t="shared" si="75"/>
        <v>97</v>
      </c>
      <c r="L111" s="39"/>
      <c r="M111" s="40">
        <f t="shared" si="38"/>
        <v>5.6857688990999529E-2</v>
      </c>
      <c r="N111" s="39"/>
      <c r="O111" s="72" t="str">
        <f t="shared" si="54"/>
        <v/>
      </c>
      <c r="P111" s="41" t="str">
        <f>IF(K111&lt;=$F$15,IF(OR(P110=$F$124,P110="-"),"-",IF(O111*$F$123&gt;$F$127,$F$123,$F$124)),"")</f>
        <v/>
      </c>
      <c r="Q111" s="39"/>
      <c r="R111" s="72" t="str">
        <f t="shared" si="55"/>
        <v/>
      </c>
      <c r="S111" s="39"/>
      <c r="T111" s="72" t="str">
        <f t="shared" si="56"/>
        <v/>
      </c>
      <c r="U111" s="39"/>
      <c r="V111" s="72" t="str">
        <f t="shared" si="40"/>
        <v/>
      </c>
      <c r="W111" s="72" t="str">
        <f t="shared" si="57"/>
        <v/>
      </c>
      <c r="X111" s="39"/>
      <c r="Y111" s="72" t="str">
        <f t="shared" si="41"/>
        <v/>
      </c>
      <c r="Z111" s="72" t="str">
        <f t="shared" si="58"/>
        <v/>
      </c>
      <c r="AA111" s="39"/>
      <c r="AB111" s="72" t="str">
        <f t="shared" si="42"/>
        <v/>
      </c>
      <c r="AC111" s="72" t="str">
        <f t="shared" si="59"/>
        <v/>
      </c>
      <c r="AD111" s="39"/>
      <c r="AE111" s="72" t="str">
        <f t="shared" si="43"/>
        <v/>
      </c>
      <c r="AF111" s="72" t="str">
        <f t="shared" si="60"/>
        <v/>
      </c>
      <c r="AG111" s="39"/>
      <c r="AH111" s="72" t="str">
        <f t="shared" si="44"/>
        <v/>
      </c>
      <c r="AI111" s="72" t="str">
        <f t="shared" si="61"/>
        <v/>
      </c>
      <c r="AJ111" s="39"/>
      <c r="AK111" s="72" t="str">
        <f t="shared" si="45"/>
        <v/>
      </c>
      <c r="AL111" s="72" t="str">
        <f t="shared" si="62"/>
        <v/>
      </c>
      <c r="AM111" s="39"/>
      <c r="AN111" s="72" t="str">
        <f t="shared" si="46"/>
        <v/>
      </c>
      <c r="AO111" s="72" t="str">
        <f t="shared" si="63"/>
        <v/>
      </c>
      <c r="AP111" s="39"/>
      <c r="AQ111" s="72" t="str">
        <f t="shared" si="47"/>
        <v/>
      </c>
      <c r="AR111" s="72" t="str">
        <f t="shared" si="64"/>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48"/>
        <v/>
      </c>
      <c r="AW111" s="72" t="str">
        <f t="shared" si="65"/>
        <v/>
      </c>
      <c r="AX111" s="39"/>
      <c r="AY111" s="40" t="str">
        <f>IF(ISERROR(IF($K111&lt;=$F$15,VLOOKUP($I111,'表4）CO2価格'!$A$7:$E$67,VLOOKUP($F$48,'表4）CO2価格'!$H$10:$I$12,2,0),0)*$F$8/1000,"")),0,IF($K111&lt;=$F$15,VLOOKUP($I111,'表4）CO2価格'!$A$7:$E$67,VLOOKUP($F$48,'表4）CO2価格'!$H$10:$I$12,2,0),0)*$F$8/1000,""))</f>
        <v/>
      </c>
      <c r="AZ111" s="39"/>
      <c r="BA111" s="42" t="str">
        <f t="shared" si="49"/>
        <v/>
      </c>
      <c r="BB111" s="72" t="str">
        <f t="shared" si="66"/>
        <v/>
      </c>
      <c r="BC111" s="39"/>
      <c r="BD111" s="72" t="str">
        <f t="shared" si="50"/>
        <v/>
      </c>
      <c r="BE111" s="72" t="str">
        <f t="shared" si="67"/>
        <v/>
      </c>
      <c r="BF111" s="39"/>
      <c r="BG111" s="42" t="str">
        <f t="shared" si="51"/>
        <v/>
      </c>
      <c r="BH111" s="72" t="str">
        <f t="shared" si="68"/>
        <v/>
      </c>
      <c r="BI111" s="39"/>
      <c r="BJ111" s="40" t="str">
        <f t="shared" si="69"/>
        <v/>
      </c>
      <c r="BK111" s="157" t="str">
        <f t="shared" si="70"/>
        <v/>
      </c>
      <c r="BL111" s="157" t="str">
        <f t="shared" si="52"/>
        <v/>
      </c>
      <c r="BM111" s="72"/>
      <c r="BN111" s="72" t="str">
        <f t="shared" si="71"/>
        <v/>
      </c>
      <c r="BO111" s="72" t="str">
        <f t="shared" si="72"/>
        <v/>
      </c>
      <c r="BP111" s="39"/>
      <c r="BQ111" s="72" t="str">
        <f t="shared" si="53"/>
        <v/>
      </c>
      <c r="BR111" s="72" t="str">
        <f t="shared" si="73"/>
        <v/>
      </c>
    </row>
    <row r="112" spans="4:70" ht="15" x14ac:dyDescent="0.15">
      <c r="D112" s="103"/>
      <c r="E112" s="84" t="s">
        <v>607</v>
      </c>
      <c r="F112" s="488">
        <f>-BH116/BR116</f>
        <v>0</v>
      </c>
      <c r="G112" s="84" t="s">
        <v>590</v>
      </c>
      <c r="H112" s="370"/>
      <c r="I112" s="322">
        <f t="shared" si="74"/>
        <v>2127</v>
      </c>
      <c r="K112" s="71">
        <f t="shared" si="75"/>
        <v>98</v>
      </c>
      <c r="M112" s="7">
        <f t="shared" si="38"/>
        <v>5.5201639797086935E-2</v>
      </c>
      <c r="O112" s="10" t="str">
        <f t="shared" si="54"/>
        <v/>
      </c>
      <c r="P112" s="29" t="str">
        <f>IF(K112&lt;=$F$15,IF(OR(P111=$F$124,P111="-"),"-",IF(O112*$F$123&gt;$F$127,$F$123,$F$124)),"")</f>
        <v/>
      </c>
      <c r="R112" s="10" t="str">
        <f t="shared" si="55"/>
        <v/>
      </c>
      <c r="T112" s="10" t="str">
        <f t="shared" si="56"/>
        <v/>
      </c>
      <c r="V112" s="10" t="str">
        <f t="shared" si="40"/>
        <v/>
      </c>
      <c r="W112" s="10" t="str">
        <f t="shared" si="57"/>
        <v/>
      </c>
      <c r="Y112" s="10" t="str">
        <f t="shared" si="41"/>
        <v/>
      </c>
      <c r="Z112" s="10" t="str">
        <f t="shared" si="58"/>
        <v/>
      </c>
      <c r="AB112" s="10" t="str">
        <f t="shared" si="42"/>
        <v/>
      </c>
      <c r="AC112" s="10" t="str">
        <f t="shared" si="59"/>
        <v/>
      </c>
      <c r="AE112" s="10" t="str">
        <f t="shared" si="43"/>
        <v/>
      </c>
      <c r="AF112" s="10" t="str">
        <f t="shared" si="60"/>
        <v/>
      </c>
      <c r="AH112" s="10" t="str">
        <f t="shared" si="44"/>
        <v/>
      </c>
      <c r="AI112" s="10" t="str">
        <f t="shared" si="61"/>
        <v/>
      </c>
      <c r="AK112" s="10" t="str">
        <f t="shared" si="45"/>
        <v/>
      </c>
      <c r="AL112" s="10" t="str">
        <f t="shared" si="62"/>
        <v/>
      </c>
      <c r="AN112" s="10" t="str">
        <f t="shared" si="46"/>
        <v/>
      </c>
      <c r="AO112" s="10" t="str">
        <f t="shared" si="63"/>
        <v/>
      </c>
      <c r="AQ112" s="10" t="str">
        <f t="shared" si="47"/>
        <v/>
      </c>
      <c r="AR112" s="10" t="str">
        <f t="shared" si="64"/>
        <v/>
      </c>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V112" s="10" t="str">
        <f t="shared" si="48"/>
        <v/>
      </c>
      <c r="AW112" s="10" t="str">
        <f t="shared" si="65"/>
        <v/>
      </c>
      <c r="AY112" s="7" t="str">
        <f>IF(ISERROR(IF($K112&lt;=$F$15,VLOOKUP($I112,'表4）CO2価格'!$A$7:$E$67,VLOOKUP($F$48,'表4）CO2価格'!$H$10:$I$12,2,0),0)*$F$8/1000,"")),0,IF($K112&lt;=$F$15,VLOOKUP($I112,'表4）CO2価格'!$A$7:$E$67,VLOOKUP($F$48,'表4）CO2価格'!$H$10:$I$12,2,0),0)*$F$8/1000,""))</f>
        <v/>
      </c>
      <c r="BA112" s="11" t="str">
        <f t="shared" si="49"/>
        <v/>
      </c>
      <c r="BB112" s="10" t="str">
        <f t="shared" si="66"/>
        <v/>
      </c>
      <c r="BD112" s="10" t="str">
        <f t="shared" si="50"/>
        <v/>
      </c>
      <c r="BE112" s="10" t="str">
        <f t="shared" si="67"/>
        <v/>
      </c>
      <c r="BG112" s="11" t="str">
        <f t="shared" si="51"/>
        <v/>
      </c>
      <c r="BH112" s="10" t="str">
        <f t="shared" si="68"/>
        <v/>
      </c>
      <c r="BJ112" s="7" t="str">
        <f t="shared" si="69"/>
        <v/>
      </c>
      <c r="BK112" s="158" t="str">
        <f t="shared" si="70"/>
        <v/>
      </c>
      <c r="BL112" s="158" t="str">
        <f t="shared" si="52"/>
        <v/>
      </c>
      <c r="BM112" s="10"/>
      <c r="BN112" s="10" t="str">
        <f t="shared" si="71"/>
        <v/>
      </c>
      <c r="BO112" s="10" t="str">
        <f t="shared" si="72"/>
        <v/>
      </c>
      <c r="BQ112" s="10" t="str">
        <f t="shared" si="53"/>
        <v/>
      </c>
      <c r="BR112" s="10" t="str">
        <f t="shared" si="73"/>
        <v/>
      </c>
    </row>
    <row r="113" spans="2:71" x14ac:dyDescent="0.15">
      <c r="H113" s="370"/>
      <c r="I113" s="38">
        <f t="shared" si="74"/>
        <v>2128</v>
      </c>
      <c r="J113" s="39"/>
      <c r="K113" s="39">
        <f t="shared" si="75"/>
        <v>99</v>
      </c>
      <c r="L113" s="39"/>
      <c r="M113" s="40">
        <f t="shared" si="38"/>
        <v>5.3593825045715457E-2</v>
      </c>
      <c r="N113" s="39"/>
      <c r="O113" s="72" t="str">
        <f t="shared" si="54"/>
        <v/>
      </c>
      <c r="P113" s="41" t="str">
        <f>IF(K113&lt;=$F$15,IF(OR(P112=$F$124,P112="-"),"-",IF(O113*$F$123&gt;$F$127,$F$123,$F$124)),"")</f>
        <v/>
      </c>
      <c r="Q113" s="39"/>
      <c r="R113" s="72" t="str">
        <f t="shared" si="55"/>
        <v/>
      </c>
      <c r="S113" s="39"/>
      <c r="T113" s="72" t="str">
        <f t="shared" si="56"/>
        <v/>
      </c>
      <c r="U113" s="39"/>
      <c r="V113" s="72" t="str">
        <f t="shared" si="40"/>
        <v/>
      </c>
      <c r="W113" s="72" t="str">
        <f t="shared" si="57"/>
        <v/>
      </c>
      <c r="X113" s="39"/>
      <c r="Y113" s="72" t="str">
        <f t="shared" si="41"/>
        <v/>
      </c>
      <c r="Z113" s="72" t="str">
        <f t="shared" si="58"/>
        <v/>
      </c>
      <c r="AA113" s="39"/>
      <c r="AB113" s="72" t="str">
        <f t="shared" si="42"/>
        <v/>
      </c>
      <c r="AC113" s="72" t="str">
        <f t="shared" si="59"/>
        <v/>
      </c>
      <c r="AD113" s="39"/>
      <c r="AE113" s="72" t="str">
        <f t="shared" si="43"/>
        <v/>
      </c>
      <c r="AF113" s="72" t="str">
        <f t="shared" si="60"/>
        <v/>
      </c>
      <c r="AG113" s="39"/>
      <c r="AH113" s="72" t="str">
        <f t="shared" si="44"/>
        <v/>
      </c>
      <c r="AI113" s="72" t="str">
        <f t="shared" si="61"/>
        <v/>
      </c>
      <c r="AJ113" s="39"/>
      <c r="AK113" s="72" t="str">
        <f t="shared" si="45"/>
        <v/>
      </c>
      <c r="AL113" s="72" t="str">
        <f t="shared" si="62"/>
        <v/>
      </c>
      <c r="AM113" s="39"/>
      <c r="AN113" s="72" t="str">
        <f t="shared" si="46"/>
        <v/>
      </c>
      <c r="AO113" s="72" t="str">
        <f t="shared" si="63"/>
        <v/>
      </c>
      <c r="AP113" s="39"/>
      <c r="AQ113" s="72" t="str">
        <f t="shared" si="47"/>
        <v/>
      </c>
      <c r="AR113" s="72" t="str">
        <f t="shared" si="64"/>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48"/>
        <v/>
      </c>
      <c r="AW113" s="72" t="str">
        <f t="shared" si="65"/>
        <v/>
      </c>
      <c r="AX113" s="39"/>
      <c r="AY113" s="40" t="str">
        <f>IF(ISERROR(IF($K113&lt;=$F$15,VLOOKUP($I113,'表4）CO2価格'!$A$7:$E$67,VLOOKUP($F$48,'表4）CO2価格'!$H$10:$I$12,2,0),0)*$F$8/1000,"")),0,IF($K113&lt;=$F$15,VLOOKUP($I113,'表4）CO2価格'!$A$7:$E$67,VLOOKUP($F$48,'表4）CO2価格'!$H$10:$I$12,2,0),0)*$F$8/1000,""))</f>
        <v/>
      </c>
      <c r="AZ113" s="39"/>
      <c r="BA113" s="42" t="str">
        <f t="shared" si="49"/>
        <v/>
      </c>
      <c r="BB113" s="72" t="str">
        <f t="shared" si="66"/>
        <v/>
      </c>
      <c r="BC113" s="39"/>
      <c r="BD113" s="72" t="str">
        <f t="shared" si="50"/>
        <v/>
      </c>
      <c r="BE113" s="72" t="str">
        <f t="shared" si="67"/>
        <v/>
      </c>
      <c r="BF113" s="39"/>
      <c r="BG113" s="42" t="str">
        <f t="shared" si="51"/>
        <v/>
      </c>
      <c r="BH113" s="72" t="str">
        <f t="shared" si="68"/>
        <v/>
      </c>
      <c r="BI113" s="39"/>
      <c r="BJ113" s="40" t="str">
        <f t="shared" si="69"/>
        <v/>
      </c>
      <c r="BK113" s="157" t="str">
        <f t="shared" si="70"/>
        <v/>
      </c>
      <c r="BL113" s="157" t="str">
        <f t="shared" si="52"/>
        <v/>
      </c>
      <c r="BM113" s="72"/>
      <c r="BN113" s="72" t="str">
        <f t="shared" si="71"/>
        <v/>
      </c>
      <c r="BO113" s="72" t="str">
        <f t="shared" si="72"/>
        <v/>
      </c>
      <c r="BP113" s="39"/>
      <c r="BQ113" s="72" t="str">
        <f t="shared" si="53"/>
        <v/>
      </c>
      <c r="BR113" s="72" t="str">
        <f t="shared" si="73"/>
        <v/>
      </c>
    </row>
    <row r="114" spans="2:71" x14ac:dyDescent="0.15">
      <c r="H114" s="370"/>
      <c r="I114" s="322">
        <f t="shared" si="74"/>
        <v>2129</v>
      </c>
      <c r="K114" s="71">
        <f t="shared" si="75"/>
        <v>100</v>
      </c>
      <c r="M114" s="7">
        <f t="shared" si="38"/>
        <v>5.2032839850209185E-2</v>
      </c>
      <c r="O114" s="10" t="str">
        <f t="shared" si="54"/>
        <v/>
      </c>
      <c r="P114" s="29" t="str">
        <f>IF(K114&lt;=$F$15,IF(OR(P113=$F$124,P113="-"),"-",IF(O114*$F$123&gt;$F$127,$F$123,$F$124)),"")</f>
        <v/>
      </c>
      <c r="R114" s="10" t="str">
        <f t="shared" si="55"/>
        <v/>
      </c>
      <c r="T114" s="10" t="str">
        <f t="shared" si="56"/>
        <v/>
      </c>
      <c r="V114" s="10" t="str">
        <f t="shared" si="40"/>
        <v/>
      </c>
      <c r="W114" s="10" t="str">
        <f t="shared" si="57"/>
        <v/>
      </c>
      <c r="Y114" s="10" t="str">
        <f t="shared" si="41"/>
        <v/>
      </c>
      <c r="Z114" s="10" t="str">
        <f t="shared" si="58"/>
        <v/>
      </c>
      <c r="AB114" s="10" t="str">
        <f t="shared" si="42"/>
        <v/>
      </c>
      <c r="AC114" s="10" t="str">
        <f t="shared" si="59"/>
        <v/>
      </c>
      <c r="AE114" s="10" t="str">
        <f t="shared" si="43"/>
        <v/>
      </c>
      <c r="AF114" s="10" t="str">
        <f t="shared" si="60"/>
        <v/>
      </c>
      <c r="AH114" s="10" t="str">
        <f t="shared" si="44"/>
        <v/>
      </c>
      <c r="AI114" s="10" t="str">
        <f t="shared" si="61"/>
        <v/>
      </c>
      <c r="AK114" s="10" t="str">
        <f t="shared" si="45"/>
        <v/>
      </c>
      <c r="AL114" s="10" t="str">
        <f t="shared" si="62"/>
        <v/>
      </c>
      <c r="AN114" s="10" t="str">
        <f t="shared" si="46"/>
        <v/>
      </c>
      <c r="AO114" s="10" t="str">
        <f t="shared" si="63"/>
        <v/>
      </c>
      <c r="AQ114" s="10" t="str">
        <f t="shared" si="47"/>
        <v/>
      </c>
      <c r="AR114" s="10" t="str">
        <f t="shared" si="64"/>
        <v/>
      </c>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V114" s="10" t="str">
        <f t="shared" si="48"/>
        <v/>
      </c>
      <c r="AW114" s="10" t="str">
        <f t="shared" si="65"/>
        <v/>
      </c>
      <c r="AY114" s="7" t="str">
        <f>IF(ISERROR(IF($K114&lt;=$F$15,VLOOKUP($I114,'表4）CO2価格'!$A$7:$E$67,VLOOKUP($F$48,'表4）CO2価格'!$H$10:$I$12,2,0),0)*$F$8/1000,"")),0,IF($K114&lt;=$F$15,VLOOKUP($I114,'表4）CO2価格'!$A$7:$E$67,VLOOKUP($F$48,'表4）CO2価格'!$H$10:$I$12,2,0),0)*$F$8/1000,""))</f>
        <v/>
      </c>
      <c r="BA114" s="11" t="str">
        <f t="shared" si="49"/>
        <v/>
      </c>
      <c r="BB114" s="10" t="str">
        <f t="shared" si="66"/>
        <v/>
      </c>
      <c r="BD114" s="10" t="str">
        <f t="shared" si="50"/>
        <v/>
      </c>
      <c r="BE114" s="10" t="str">
        <f t="shared" si="67"/>
        <v/>
      </c>
      <c r="BG114" s="11" t="str">
        <f t="shared" si="51"/>
        <v/>
      </c>
      <c r="BH114" s="10" t="str">
        <f t="shared" si="68"/>
        <v/>
      </c>
      <c r="BJ114" s="7" t="str">
        <f t="shared" si="69"/>
        <v/>
      </c>
      <c r="BK114" s="158" t="str">
        <f t="shared" si="70"/>
        <v/>
      </c>
      <c r="BL114" s="158" t="str">
        <f t="shared" si="52"/>
        <v/>
      </c>
      <c r="BM114" s="10"/>
      <c r="BN114" s="10" t="str">
        <f t="shared" si="71"/>
        <v/>
      </c>
      <c r="BO114" s="10" t="str">
        <f t="shared" si="72"/>
        <v/>
      </c>
      <c r="BQ114" s="10" t="str">
        <f t="shared" si="53"/>
        <v/>
      </c>
      <c r="BR114" s="10" t="str">
        <f t="shared" si="73"/>
        <v/>
      </c>
    </row>
    <row r="115" spans="2:71" ht="15.75" thickBot="1" x14ac:dyDescent="0.2">
      <c r="B115" s="5" t="s">
        <v>608</v>
      </c>
      <c r="C115" s="3"/>
      <c r="D115" s="102"/>
      <c r="E115" s="102"/>
      <c r="F115" s="3"/>
      <c r="G115" s="102"/>
      <c r="H115" s="370"/>
      <c r="I115" s="321"/>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1" x14ac:dyDescent="0.15">
      <c r="H116" s="370"/>
      <c r="I116" s="71" t="s">
        <v>143</v>
      </c>
      <c r="W116" s="11"/>
      <c r="Z116" s="11">
        <f>SUM(Z15:Z114)</f>
        <v>11767007174.731619</v>
      </c>
      <c r="AC116" s="11">
        <f>SUM(AC15:AC114)</f>
        <v>2061817975.2044146</v>
      </c>
      <c r="AF116" s="11">
        <f>SUM(AF15:AF114)</f>
        <v>0</v>
      </c>
      <c r="AI116" s="11">
        <f>SUM(AI15:AI114)</f>
        <v>14331158624.008007</v>
      </c>
      <c r="AL116" s="11">
        <f>SUM(AL15:AL114)</f>
        <v>76861239768.631287</v>
      </c>
      <c r="AO116" s="11">
        <f>SUM(AO15:AO114)</f>
        <v>35228068227.289337</v>
      </c>
      <c r="AR116" s="11">
        <f>SUM(AR15:AR114)</f>
        <v>15170455994.391434</v>
      </c>
      <c r="AW116" s="11">
        <f>SUM(AW15:AW114)</f>
        <v>859321559958.21997</v>
      </c>
      <c r="BB116" s="11">
        <f>SUM(BB15:BB114)</f>
        <v>219800550886.78152</v>
      </c>
      <c r="BE116" s="11">
        <f>SUM(BE15:BE114)</f>
        <v>0</v>
      </c>
      <c r="BH116" s="11">
        <f>SUM(BH15:BH114)</f>
        <v>0</v>
      </c>
      <c r="BK116" s="11">
        <f>SUM(BK15:BK114)</f>
        <v>0</v>
      </c>
      <c r="BL116" s="11">
        <f>SUM(BL15:BL114)</f>
        <v>0</v>
      </c>
      <c r="BO116" s="11">
        <f>SUM(BO15:BO114)</f>
        <v>0</v>
      </c>
      <c r="BR116" s="11">
        <f>SUM(BR15:BR114)</f>
        <v>117707801750.82782</v>
      </c>
      <c r="BS116" s="680">
        <f ca="1">BR116*まとめ!V33</f>
        <v>219800550886.78152</v>
      </c>
    </row>
    <row r="117" spans="2:71" x14ac:dyDescent="0.15">
      <c r="C117" s="71" t="s">
        <v>610</v>
      </c>
      <c r="F117" s="490">
        <f>F21*10^4*F13*10^4+F29*10^8</f>
        <v>138550000000</v>
      </c>
      <c r="G117" s="84" t="s">
        <v>611</v>
      </c>
      <c r="H117" s="370"/>
      <c r="I117" s="48" t="s">
        <v>145</v>
      </c>
      <c r="W117" s="11"/>
      <c r="Z117" s="11" t="str">
        <f ca="1">IF(ISNUMBER($F$16),SUM(INDIRECT(ADDRESS($F$16+15,COLUMN())):INDIRECT(ADDRESS(114,COLUMN()))),"")</f>
        <v/>
      </c>
      <c r="AC117" s="11" t="str">
        <f ca="1">IF(ISNUMBER($F$16),SUM(INDIRECT(ADDRESS($F$16+15,COLUMN())):INDIRECT(ADDRESS(114,COLUMN()))),"")</f>
        <v/>
      </c>
      <c r="AF117" s="11" t="str">
        <f ca="1">IF(ISNUMBER($F$16),SUM(INDIRECT(ADDRESS($F$16+15,COLUMN())):INDIRECT(ADDRESS(114,COLUMN()))),"")</f>
        <v/>
      </c>
      <c r="AI117" s="11" t="str">
        <f ca="1">IF(ISNUMBER($F$16),SUM(INDIRECT(ADDRESS($F$16+15,COLUMN())):INDIRECT(ADDRESS(114,COLUMN()))),"")</f>
        <v/>
      </c>
      <c r="AL117" s="11" t="str">
        <f ca="1">IF(ISNUMBER($F$16),SUM(INDIRECT(ADDRESS($F$16+15,COLUMN())):INDIRECT(ADDRESS(114,COLUMN()))),"")</f>
        <v/>
      </c>
      <c r="AO117" s="11" t="str">
        <f ca="1">IF(ISNUMBER($F$16),SUM(INDIRECT(ADDRESS($F$16+15,COLUMN())):INDIRECT(ADDRESS(114,COLUMN()))),"")</f>
        <v/>
      </c>
      <c r="AR117" s="11" t="str">
        <f ca="1">IF(ISNUMBER($F$16),SUM(INDIRECT(ADDRESS($F$16+15,COLUMN())):INDIRECT(ADDRESS(114,COLUMN()))),"")</f>
        <v/>
      </c>
      <c r="AW117" s="11" t="str">
        <f ca="1">IF(ISNUMBER($F$16),SUM(INDIRECT(ADDRESS($F$16+15,COLUMN())):INDIRECT(ADDRESS(114,COLUMN()))),"")</f>
        <v/>
      </c>
      <c r="BB117" s="11" t="str">
        <f ca="1">IF(ISNUMBER($F$16),SUM(INDIRECT(ADDRESS($F$16+15,COLUMN())):INDIRECT(ADDRESS(114,COLUMN()))),"")</f>
        <v/>
      </c>
      <c r="BE117" s="11" t="str">
        <f ca="1">IF(ISNUMBER($F$16),SUM(INDIRECT(ADDRESS($F$16+15,COLUMN())):INDIRECT(ADDRESS(114,COLUMN()))),"")</f>
        <v/>
      </c>
      <c r="BH117" s="11" t="str">
        <f ca="1">IF(ISNUMBER($F$16),SUM(INDIRECT(ADDRESS($F$16+15,COLUMN())):INDIRECT(ADDRESS(114,COLUMN()))),"")</f>
        <v/>
      </c>
      <c r="BK117" s="11" t="str">
        <f ca="1">IF(ISNUMBER($F$16),SUM(INDIRECT(ADDRESS($F$16+15,COLUMN())):INDIRECT(ADDRESS(114,COLUMN()))),"")</f>
        <v/>
      </c>
      <c r="BL117" s="11" t="str">
        <f ca="1">IF(ISNUMBER($F$16),SUM(INDIRECT(ADDRESS($F$16+15,COLUMN())):INDIRECT(ADDRESS(114,COLUMN()))),"")</f>
        <v/>
      </c>
      <c r="BO117" s="11" t="str">
        <f ca="1">IF(ISNUMBER($F$16),SUM(INDIRECT(ADDRESS($F$16+15,COLUMN())):INDIRECT(ADDRESS(114,COLUMN()))),"")</f>
        <v/>
      </c>
      <c r="BR117" s="11" t="str">
        <f ca="1">IF(ISNUMBER($F$16),SUM(INDIRECT(ADDRESS($F$16+15,COLUMN())):INDIRECT(ADDRESS(114,COLUMN()))),"")</f>
        <v/>
      </c>
    </row>
    <row r="118" spans="2:71" x14ac:dyDescent="0.15">
      <c r="H118" s="370"/>
    </row>
    <row r="119" spans="2:71" x14ac:dyDescent="0.15">
      <c r="C119" s="71" t="s">
        <v>612</v>
      </c>
      <c r="F119" s="490">
        <f>VLOOKUP(F3,'表2）法定耐用年数'!$A$2:$B$24,2,0)</f>
        <v>15</v>
      </c>
      <c r="G119" s="84" t="s">
        <v>556</v>
      </c>
      <c r="H119" s="370"/>
    </row>
    <row r="120" spans="2:71" x14ac:dyDescent="0.15">
      <c r="H120" s="370"/>
    </row>
    <row r="121" spans="2:71" x14ac:dyDescent="0.15">
      <c r="C121" s="4" t="s">
        <v>613</v>
      </c>
      <c r="D121" s="100"/>
      <c r="E121" s="100"/>
      <c r="F121" s="4"/>
      <c r="G121" s="100"/>
      <c r="H121" s="370"/>
    </row>
    <row r="122" spans="2:71" x14ac:dyDescent="0.15">
      <c r="H122" s="370"/>
    </row>
    <row r="123" spans="2:71" x14ac:dyDescent="0.15">
      <c r="D123" s="84" t="s">
        <v>614</v>
      </c>
      <c r="F123" s="491">
        <f>VLOOKUP($F$119,'表1）減価償却率表'!$A$9:$E$107,3,0)</f>
        <v>0.16700000000000001</v>
      </c>
      <c r="H123" s="370"/>
    </row>
    <row r="124" spans="2:71" x14ac:dyDescent="0.15">
      <c r="D124" s="84" t="s">
        <v>615</v>
      </c>
      <c r="F124" s="491">
        <f>VLOOKUP($F$119,'表1）減価償却率表'!$A$9:$E$107,4,0)</f>
        <v>0.2</v>
      </c>
      <c r="H124" s="370"/>
    </row>
    <row r="125" spans="2:71" x14ac:dyDescent="0.15">
      <c r="D125" s="84" t="s">
        <v>616</v>
      </c>
      <c r="F125" s="474">
        <f>VLOOKUP($F$119,'表1）減価償却率表'!$A$9:$E$107,5,0)</f>
        <v>3.2169999999999997E-2</v>
      </c>
      <c r="H125" s="370"/>
    </row>
    <row r="126" spans="2:71" x14ac:dyDescent="0.15">
      <c r="F126" s="492"/>
      <c r="H126" s="370"/>
    </row>
    <row r="127" spans="2:71" x14ac:dyDescent="0.15">
      <c r="C127" s="8" t="s">
        <v>617</v>
      </c>
      <c r="D127" s="493"/>
      <c r="E127" s="494"/>
      <c r="F127" s="490">
        <f>F117*F125</f>
        <v>4457153500</v>
      </c>
      <c r="G127" s="84" t="s">
        <v>611</v>
      </c>
      <c r="H127" s="370"/>
    </row>
    <row r="128" spans="2:71" x14ac:dyDescent="0.15">
      <c r="H128" s="370"/>
    </row>
    <row r="129" spans="3:8" x14ac:dyDescent="0.15">
      <c r="C129" s="8" t="s">
        <v>152</v>
      </c>
      <c r="D129" s="493"/>
      <c r="E129" s="493"/>
      <c r="F129" s="491">
        <f>0.1^(1/F119)</f>
        <v>0.85769589859089412</v>
      </c>
      <c r="G129" s="493"/>
      <c r="H129" s="370"/>
    </row>
    <row r="130" spans="3:8" x14ac:dyDescent="0.15">
      <c r="H130" s="370"/>
    </row>
    <row r="131" spans="3:8" x14ac:dyDescent="0.15">
      <c r="C131" s="4" t="s">
        <v>618</v>
      </c>
      <c r="D131" s="100"/>
      <c r="E131" s="100"/>
      <c r="F131" s="4"/>
      <c r="G131" s="100"/>
      <c r="H131" s="370"/>
    </row>
    <row r="132" spans="3:8" x14ac:dyDescent="0.15">
      <c r="H132" s="370"/>
    </row>
    <row r="133" spans="3:8" x14ac:dyDescent="0.15">
      <c r="D133" s="84" t="s">
        <v>619</v>
      </c>
      <c r="F133" s="490">
        <f>F13*10000*24*365*F14/100</f>
        <v>5212200000</v>
      </c>
      <c r="G133" s="84" t="s">
        <v>620</v>
      </c>
      <c r="H133" s="370"/>
    </row>
    <row r="134" spans="3:8" x14ac:dyDescent="0.15">
      <c r="D134" s="84" t="s">
        <v>621</v>
      </c>
      <c r="F134" s="490">
        <f>F133*(1-F24/100)</f>
        <v>5092319400</v>
      </c>
      <c r="G134" s="84" t="s">
        <v>620</v>
      </c>
      <c r="H134" s="370"/>
    </row>
    <row r="135" spans="3:8" x14ac:dyDescent="0.15">
      <c r="F135" s="495"/>
      <c r="H135" s="370"/>
    </row>
    <row r="136" spans="3:8" x14ac:dyDescent="0.15">
      <c r="H136" s="370"/>
    </row>
    <row r="137" spans="3:8" ht="16.5" x14ac:dyDescent="0.15">
      <c r="C137" s="71" t="s">
        <v>622</v>
      </c>
      <c r="F137" s="490">
        <f>IF(ISERROR(F133*3.6/(F23/100)/F22),0,F133*3.6/(F23/100)/F22)</f>
        <v>564844850.63035071</v>
      </c>
      <c r="G137" s="71" t="s">
        <v>623</v>
      </c>
      <c r="H137" s="370"/>
    </row>
    <row r="138" spans="3:8" x14ac:dyDescent="0.15">
      <c r="H138" s="370"/>
    </row>
    <row r="139" spans="3:8" x14ac:dyDescent="0.15">
      <c r="C139" s="4" t="s">
        <v>624</v>
      </c>
      <c r="D139" s="100"/>
      <c r="E139" s="100"/>
      <c r="F139" s="4"/>
      <c r="G139" s="100"/>
      <c r="H139" s="370"/>
    </row>
    <row r="140" spans="3:8" x14ac:dyDescent="0.15">
      <c r="H140" s="370"/>
    </row>
    <row r="141" spans="3:8" x14ac:dyDescent="0.15">
      <c r="D141" s="84" t="s">
        <v>625</v>
      </c>
      <c r="F141" s="496">
        <v>1000</v>
      </c>
      <c r="G141" s="84" t="s">
        <v>626</v>
      </c>
      <c r="H141" s="370"/>
    </row>
    <row r="142" spans="3:8" x14ac:dyDescent="0.15">
      <c r="D142" s="84" t="s">
        <v>573</v>
      </c>
      <c r="F142" s="488">
        <f>IF(ISERROR(F42/1000),0,F42/1000)</f>
        <v>2.6850754108201396</v>
      </c>
      <c r="G142" s="84" t="s">
        <v>627</v>
      </c>
      <c r="H142" s="370"/>
    </row>
    <row r="143" spans="3:8" x14ac:dyDescent="0.15">
      <c r="H143" s="370"/>
    </row>
    <row r="144" spans="3:8" x14ac:dyDescent="0.15">
      <c r="H144" s="370"/>
    </row>
    <row r="145" spans="3:8" x14ac:dyDescent="0.15">
      <c r="C145" s="71" t="s">
        <v>628</v>
      </c>
      <c r="F145" s="496">
        <f>IF(ISERROR(F133*(F47*3.6/(F23/100)/1000*(44/12))),0,F133*(F47*3.6/(F23/100)/1000*(44/12)))</f>
        <v>1506742775.9999998</v>
      </c>
      <c r="G145" s="84" t="s">
        <v>629</v>
      </c>
      <c r="H145" s="370"/>
    </row>
    <row r="146" spans="3:8" x14ac:dyDescent="0.15">
      <c r="H146" s="370"/>
    </row>
    <row r="147" spans="3:8" x14ac:dyDescent="0.15">
      <c r="C147" s="4" t="s">
        <v>630</v>
      </c>
      <c r="D147" s="100"/>
      <c r="E147" s="100"/>
      <c r="F147" s="4"/>
      <c r="G147" s="100"/>
      <c r="H147" s="370"/>
    </row>
    <row r="148" spans="3:8" x14ac:dyDescent="0.15">
      <c r="H148" s="370"/>
    </row>
    <row r="149" spans="3:8" x14ac:dyDescent="0.15">
      <c r="D149" s="84" t="s">
        <v>219</v>
      </c>
      <c r="F149" s="496">
        <f>IF(ISERROR(F52/F23),0,F52/F23)</f>
        <v>0</v>
      </c>
      <c r="H149" s="370"/>
    </row>
    <row r="150" spans="3:8" x14ac:dyDescent="0.15">
      <c r="D150" s="84" t="s">
        <v>631</v>
      </c>
      <c r="F150" s="496">
        <f>F133*F149*(F53/100)*3.6</f>
        <v>0</v>
      </c>
      <c r="G150" s="84" t="s">
        <v>632</v>
      </c>
      <c r="H150" s="370"/>
    </row>
    <row r="151" spans="3:8" ht="16.5" x14ac:dyDescent="0.15">
      <c r="D151" s="84" t="s">
        <v>633</v>
      </c>
      <c r="F151" s="490">
        <f>IF(ISERROR(F150/(F54/100)/F55),0,F150/(F54/100)/F55)</f>
        <v>0</v>
      </c>
      <c r="G151" s="71" t="s">
        <v>623</v>
      </c>
      <c r="H151" s="370"/>
    </row>
    <row r="152" spans="3:8" x14ac:dyDescent="0.15">
      <c r="D152" s="84" t="s">
        <v>634</v>
      </c>
      <c r="F152" s="497">
        <f>IF(ISERROR(F56/1000),0,F56/1000)</f>
        <v>0</v>
      </c>
      <c r="G152" s="84" t="s">
        <v>627</v>
      </c>
      <c r="H152" s="370"/>
    </row>
    <row r="153" spans="3:8" x14ac:dyDescent="0.15">
      <c r="D153" s="84" t="s">
        <v>635</v>
      </c>
      <c r="F153" s="496">
        <f>IF(ISERROR(F150*F47/1000*(44/12)/(F54/100)),0,F150*F47/1000*(44/12)/(F54/100))</f>
        <v>0</v>
      </c>
      <c r="G153" s="84" t="s">
        <v>629</v>
      </c>
      <c r="H153" s="370"/>
    </row>
    <row r="154" spans="3:8" x14ac:dyDescent="0.15">
      <c r="H154" s="370"/>
    </row>
    <row r="155" spans="3:8" x14ac:dyDescent="0.15">
      <c r="H155" s="370"/>
    </row>
  </sheetData>
  <mergeCells count="48">
    <mergeCell ref="F3:G3"/>
    <mergeCell ref="V7:AF7"/>
    <mergeCell ref="AH7:AR7"/>
    <mergeCell ref="AT7:AW7"/>
    <mergeCell ref="AY7:BB7"/>
    <mergeCell ref="AQ9:AR10"/>
    <mergeCell ref="BJ7:BO7"/>
    <mergeCell ref="BQ7:BR7"/>
    <mergeCell ref="I9:I10"/>
    <mergeCell ref="K9:K10"/>
    <mergeCell ref="M9:M10"/>
    <mergeCell ref="O9:P10"/>
    <mergeCell ref="R9:R10"/>
    <mergeCell ref="T9:T10"/>
    <mergeCell ref="V9:W10"/>
    <mergeCell ref="Y9:Z10"/>
    <mergeCell ref="BD7:BH7"/>
    <mergeCell ref="AB9:AC10"/>
    <mergeCell ref="AE9:AF10"/>
    <mergeCell ref="AH9:AI10"/>
    <mergeCell ref="AK9:AL10"/>
    <mergeCell ref="AN9:AO10"/>
    <mergeCell ref="BJ9:BL10"/>
    <mergeCell ref="BN9:BO10"/>
    <mergeCell ref="P12:P13"/>
    <mergeCell ref="W12:W13"/>
    <mergeCell ref="Z12:Z13"/>
    <mergeCell ref="AC12:AC13"/>
    <mergeCell ref="AF12:AF13"/>
    <mergeCell ref="AI12:AI13"/>
    <mergeCell ref="AL12:AL13"/>
    <mergeCell ref="AO12:AO13"/>
    <mergeCell ref="AT9:AT10"/>
    <mergeCell ref="AV9:AW10"/>
    <mergeCell ref="AY9:AY10"/>
    <mergeCell ref="BA9:BB10"/>
    <mergeCell ref="BD9:BE10"/>
    <mergeCell ref="BG9:BH10"/>
    <mergeCell ref="BK12:BK13"/>
    <mergeCell ref="BL12:BL13"/>
    <mergeCell ref="BO12:BO13"/>
    <mergeCell ref="BR12:BR13"/>
    <mergeCell ref="BJ12:BJ13"/>
    <mergeCell ref="AR12:AR13"/>
    <mergeCell ref="AW12:AW13"/>
    <mergeCell ref="BB12:BB13"/>
    <mergeCell ref="BE12:BE13"/>
    <mergeCell ref="BH12:BH13"/>
  </mergeCells>
  <phoneticPr fontId="56"/>
  <dataValidations count="4">
    <dataValidation type="list" allowBlank="1" showDropDown="1" showInputMessage="1" showErrorMessage="1" sqref="F48 F41" xr:uid="{00000000-0002-0000-2300-000000000000}">
      <formula1>"現行政策シナリオ, 新政策シナリオ"</formula1>
    </dataValidation>
    <dataValidation type="whole" allowBlank="1" showInputMessage="1" showErrorMessage="1" sqref="F7" xr:uid="{00000000-0002-0000-2300-000001000000}">
      <formula1>2010</formula1>
      <formula2>2030</formula2>
    </dataValidation>
    <dataValidation type="list" allowBlank="1" showDropDown="1" showInputMessage="1" showErrorMessage="1" sqref="F43" xr:uid="{00000000-0002-0000-2300-000002000000}">
      <formula1>"CIF価格, 需要地価格"</formula1>
    </dataValidation>
    <dataValidation type="list" allowBlank="1" showDropDown="1" showInputMessage="1" showErrorMessage="1" sqref="F3:G3" xr:uid="{00000000-0002-0000-2300-000003000000}">
      <formula1>"原子力,石炭火力,LNG火力,石油火力,一般水力,太陽光（メガソーラー）,太陽光（住宅）,風力（陸上）,風力（洋上）,小水力,地熱,バイオマス（石炭混焼）,バイオマス（木質専焼）,ガスコジェネ,石油コジェネ,燃料電池,水素混焼火力"</formula1>
    </dataValidation>
  </dataValidations>
  <pageMargins left="0.59055118110236227" right="0.59055118110236227" top="0.59055118110236227" bottom="0.59055118110236227" header="0.31496062992125984" footer="0.31496062992125984"/>
  <pageSetup paperSize="8" scale="2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BR153"/>
  <sheetViews>
    <sheetView showGridLines="0" zoomScale="85" zoomScaleNormal="85" workbookViewId="0">
      <pane xSplit="10" ySplit="14" topLeftCell="K63" activePane="bottomRight" state="frozen"/>
      <selection pane="topRight" activeCell="G43" sqref="G43"/>
      <selection pane="bottomLeft" activeCell="G43" sqref="G43"/>
      <selection pane="bottomRight" sqref="A1:H1048576"/>
    </sheetView>
  </sheetViews>
  <sheetFormatPr defaultColWidth="9" defaultRowHeight="14.25" outlineLevelCol="1" x14ac:dyDescent="0.15"/>
  <cols>
    <col min="1" max="3" width="6.25" style="71" customWidth="1"/>
    <col min="4" max="4" width="6.25" style="84" customWidth="1"/>
    <col min="5" max="5" width="24.375" style="84" customWidth="1"/>
    <col min="6" max="6" width="18.75" style="71" customWidth="1"/>
    <col min="7" max="7" width="24.375" style="84" bestFit="1" customWidth="1"/>
    <col min="8" max="8" width="9" style="71"/>
    <col min="9" max="9" width="6.25" style="71" customWidth="1"/>
    <col min="10" max="10" width="3" style="71" customWidth="1"/>
    <col min="11" max="11" width="6.25" style="71" customWidth="1"/>
    <col min="12" max="12" width="3" style="71" customWidth="1"/>
    <col min="13" max="13" width="6.25" style="71" customWidth="1"/>
    <col min="14" max="14" width="3" style="71" customWidth="1"/>
    <col min="15" max="15" width="17.375" style="71" bestFit="1" customWidth="1"/>
    <col min="16" max="16" width="8.625" style="71" customWidth="1"/>
    <col min="17" max="17" width="3" style="71" customWidth="1"/>
    <col min="18" max="18" width="17.375" style="71" bestFit="1" customWidth="1"/>
    <col min="19" max="19" width="3" style="71" customWidth="1"/>
    <col min="20" max="20" width="17.375" style="71" bestFit="1" customWidth="1"/>
    <col min="21" max="21" width="3" style="71" customWidth="1"/>
    <col min="22" max="22" width="15" style="71" customWidth="1" outlineLevel="1"/>
    <col min="23" max="23" width="17.375" style="71" bestFit="1" customWidth="1"/>
    <col min="24" max="24" width="3" style="71" customWidth="1"/>
    <col min="25" max="25" width="15" style="71" customWidth="1" outlineLevel="1"/>
    <col min="26" max="26" width="15" style="71" customWidth="1"/>
    <col min="27" max="27" width="3" style="71" customWidth="1"/>
    <col min="28" max="28" width="15" style="71" customWidth="1" outlineLevel="1"/>
    <col min="29" max="29" width="15" style="71" customWidth="1"/>
    <col min="30" max="30" width="3" style="71" customWidth="1"/>
    <col min="31" max="31" width="15" style="71" customWidth="1" outlineLevel="1"/>
    <col min="32" max="32" width="15" style="71" customWidth="1"/>
    <col min="33" max="33" width="3" style="71" customWidth="1"/>
    <col min="34" max="34" width="14.875" style="71" customWidth="1" outlineLevel="1"/>
    <col min="35" max="35" width="15" style="71" customWidth="1"/>
    <col min="36" max="36" width="3" style="71" customWidth="1"/>
    <col min="37" max="37" width="15" style="71" customWidth="1" outlineLevel="1"/>
    <col min="38" max="38" width="15" style="71" customWidth="1"/>
    <col min="39" max="39" width="3" style="71" customWidth="1"/>
    <col min="40" max="40" width="15" style="71" customWidth="1" outlineLevel="1"/>
    <col min="41" max="41" width="15" style="71" customWidth="1"/>
    <col min="42" max="42" width="3" style="71" customWidth="1"/>
    <col min="43" max="43" width="15" style="71" customWidth="1" outlineLevel="1"/>
    <col min="44" max="44" width="15" style="71" customWidth="1"/>
    <col min="45" max="45" width="3" style="71" customWidth="1"/>
    <col min="46" max="46" width="10.75" style="71" bestFit="1" customWidth="1"/>
    <col min="47" max="47" width="3" style="71" customWidth="1"/>
    <col min="48" max="48" width="15" style="71" customWidth="1" outlineLevel="1"/>
    <col min="49" max="49" width="17.375" style="71" bestFit="1" customWidth="1"/>
    <col min="50" max="50" width="3" style="71" customWidth="1"/>
    <col min="51" max="51" width="9.625" style="71" bestFit="1" customWidth="1"/>
    <col min="52" max="52" width="3" style="71" customWidth="1"/>
    <col min="53" max="53" width="15" style="71" customWidth="1" outlineLevel="1"/>
    <col min="54" max="54" width="17.375" style="71" bestFit="1" customWidth="1"/>
    <col min="55" max="55" width="3" style="71" customWidth="1"/>
    <col min="56" max="56" width="19.25" style="71" customWidth="1" outlineLevel="1"/>
    <col min="57" max="57" width="19.25" style="71" bestFit="1" customWidth="1"/>
    <col min="58" max="58" width="3" style="71" customWidth="1"/>
    <col min="59" max="59" width="19.25" style="71" customWidth="1" outlineLevel="1"/>
    <col min="60" max="60" width="19.25" style="71"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71" customWidth="1" outlineLevel="1"/>
    <col min="70" max="70" width="17.375" style="71" bestFit="1" customWidth="1"/>
    <col min="71" max="16384" width="9" style="71"/>
  </cols>
  <sheetData>
    <row r="1" spans="1:70" ht="18.75" x14ac:dyDescent="0.15">
      <c r="A1" s="6" t="s">
        <v>60</v>
      </c>
    </row>
    <row r="3" spans="1:70" ht="23.25" x14ac:dyDescent="0.15">
      <c r="B3" s="1" t="s">
        <v>542</v>
      </c>
      <c r="F3" s="732" t="s">
        <v>54</v>
      </c>
      <c r="G3" s="719"/>
    </row>
    <row r="4" spans="1:70" x14ac:dyDescent="0.15">
      <c r="G4" s="500"/>
    </row>
    <row r="5" spans="1:70" ht="15.75" thickBot="1" x14ac:dyDescent="0.2">
      <c r="B5" s="5" t="s">
        <v>543</v>
      </c>
      <c r="C5" s="3"/>
      <c r="D5" s="102"/>
      <c r="E5" s="102"/>
      <c r="F5" s="3"/>
      <c r="G5" s="102"/>
      <c r="I5" s="5" t="s">
        <v>64</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71" t="s">
        <v>545</v>
      </c>
      <c r="F7" s="473">
        <v>2030</v>
      </c>
      <c r="I7" s="8"/>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71" t="s">
        <v>546</v>
      </c>
      <c r="F8" s="474">
        <f>まとめ!B3</f>
        <v>107</v>
      </c>
      <c r="G8" s="84" t="s">
        <v>547</v>
      </c>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71" t="s">
        <v>548</v>
      </c>
      <c r="F9" s="474">
        <f>まとめ!B2</f>
        <v>3</v>
      </c>
      <c r="G9" s="84" t="s">
        <v>549</v>
      </c>
      <c r="I9" s="720" t="s">
        <v>78</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07" t="s">
        <v>118</v>
      </c>
      <c r="AI9" s="707"/>
      <c r="AJ9" s="8"/>
      <c r="AK9" s="707" t="s">
        <v>89</v>
      </c>
      <c r="AL9" s="707"/>
      <c r="AM9" s="8"/>
      <c r="AN9" s="707" t="s">
        <v>90</v>
      </c>
      <c r="AO9" s="707"/>
      <c r="AP9" s="8"/>
      <c r="AQ9" s="707" t="s">
        <v>91</v>
      </c>
      <c r="AR9" s="707"/>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I10" s="708"/>
      <c r="K10" s="708"/>
      <c r="M10" s="708"/>
      <c r="O10" s="717"/>
      <c r="P10" s="717"/>
      <c r="R10" s="708"/>
      <c r="T10" s="708"/>
      <c r="V10" s="717"/>
      <c r="W10" s="717"/>
      <c r="Y10" s="717"/>
      <c r="Z10" s="717"/>
      <c r="AB10" s="723"/>
      <c r="AC10" s="723"/>
      <c r="AD10" s="81"/>
      <c r="AE10" s="723"/>
      <c r="AF10" s="723"/>
      <c r="AH10" s="717"/>
      <c r="AI10" s="717"/>
      <c r="AK10" s="717"/>
      <c r="AL10" s="717"/>
      <c r="AN10" s="717"/>
      <c r="AO10" s="717"/>
      <c r="AQ10" s="717"/>
      <c r="AR10" s="717"/>
      <c r="AT10" s="717"/>
      <c r="AV10" s="717"/>
      <c r="AW10" s="717"/>
      <c r="AX10" s="322"/>
      <c r="AY10" s="708"/>
      <c r="BA10" s="708"/>
      <c r="BB10" s="708"/>
      <c r="BD10" s="717"/>
      <c r="BE10" s="717"/>
      <c r="BG10" s="717"/>
      <c r="BH10" s="717"/>
      <c r="BJ10" s="708"/>
      <c r="BK10" s="708"/>
      <c r="BL10" s="708"/>
      <c r="BM10" s="322"/>
      <c r="BN10" s="717"/>
      <c r="BO10" s="717"/>
      <c r="BQ10" s="322"/>
      <c r="BR10" s="322"/>
    </row>
    <row r="11" spans="1:70" ht="15.75" customHeight="1" thickBot="1" x14ac:dyDescent="0.2">
      <c r="B11" s="5" t="s">
        <v>95</v>
      </c>
      <c r="C11" s="3"/>
      <c r="D11" s="102"/>
      <c r="E11" s="102"/>
      <c r="F11" s="3"/>
      <c r="G11" s="102"/>
      <c r="O11" s="322" t="s">
        <v>96</v>
      </c>
      <c r="P11" s="322"/>
      <c r="Q11" s="322"/>
      <c r="R11" s="322" t="s">
        <v>96</v>
      </c>
      <c r="S11" s="322"/>
      <c r="T11" s="322"/>
      <c r="V11" s="322"/>
      <c r="W11" s="322"/>
      <c r="Y11" s="322"/>
      <c r="Z11" s="322"/>
      <c r="AB11" s="322"/>
      <c r="AC11" s="322"/>
      <c r="AE11" s="322"/>
      <c r="AF11" s="322"/>
      <c r="AH11" s="322"/>
      <c r="AI11" s="322"/>
      <c r="AK11" s="322"/>
      <c r="AL11" s="322"/>
      <c r="AN11" s="322"/>
      <c r="AO11" s="322"/>
      <c r="AQ11" s="322"/>
      <c r="AR11" s="322"/>
      <c r="AT11" s="322"/>
      <c r="AV11" s="322"/>
      <c r="AW11" s="322"/>
      <c r="AX11" s="322"/>
      <c r="BB11" s="322"/>
      <c r="BD11" s="322"/>
      <c r="BE11" s="322"/>
      <c r="BG11" s="322"/>
      <c r="BH11" s="322"/>
      <c r="BJ11" s="156"/>
      <c r="BM11" s="322"/>
      <c r="BN11" s="322"/>
      <c r="BO11" s="322"/>
      <c r="BQ11" s="322"/>
      <c r="BR11" s="322"/>
    </row>
    <row r="12" spans="1:70" ht="14.25" customHeight="1" x14ac:dyDescent="0.15">
      <c r="O12" s="322"/>
      <c r="P12" s="707" t="s">
        <v>97</v>
      </c>
      <c r="W12" s="707" t="s">
        <v>98</v>
      </c>
      <c r="Z12" s="707" t="s">
        <v>98</v>
      </c>
      <c r="AC12" s="707" t="s">
        <v>98</v>
      </c>
      <c r="AF12" s="707" t="s">
        <v>98</v>
      </c>
      <c r="AI12" s="707" t="s">
        <v>98</v>
      </c>
      <c r="AL12" s="707" t="s">
        <v>98</v>
      </c>
      <c r="AO12" s="707" t="s">
        <v>98</v>
      </c>
      <c r="AR12" s="707" t="s">
        <v>98</v>
      </c>
      <c r="AW12" s="707" t="s">
        <v>98</v>
      </c>
      <c r="BB12" s="707" t="s">
        <v>98</v>
      </c>
      <c r="BE12" s="707" t="s">
        <v>98</v>
      </c>
      <c r="BH12" s="707" t="s">
        <v>98</v>
      </c>
      <c r="BJ12" s="709" t="s">
        <v>99</v>
      </c>
      <c r="BK12" s="709" t="s">
        <v>100</v>
      </c>
      <c r="BL12" s="709" t="s">
        <v>101</v>
      </c>
      <c r="BO12" s="709" t="s">
        <v>102</v>
      </c>
      <c r="BR12" s="707" t="s">
        <v>103</v>
      </c>
    </row>
    <row r="13" spans="1:70" ht="14.25" customHeight="1" x14ac:dyDescent="0.15">
      <c r="C13" s="71" t="s">
        <v>552</v>
      </c>
      <c r="F13" s="475">
        <v>85</v>
      </c>
      <c r="G13" s="84" t="s">
        <v>553</v>
      </c>
      <c r="O13" s="322"/>
      <c r="P13" s="708"/>
      <c r="Q13" s="322"/>
      <c r="R13" s="322"/>
      <c r="S13" s="322"/>
      <c r="T13" s="322"/>
      <c r="V13" s="322"/>
      <c r="W13" s="708"/>
      <c r="Y13" s="322"/>
      <c r="Z13" s="708"/>
      <c r="AB13" s="322"/>
      <c r="AC13" s="708"/>
      <c r="AE13" s="322"/>
      <c r="AF13" s="708"/>
      <c r="AH13" s="322"/>
      <c r="AI13" s="708"/>
      <c r="AK13" s="322"/>
      <c r="AL13" s="708"/>
      <c r="AN13" s="322"/>
      <c r="AO13" s="708"/>
      <c r="AQ13" s="322"/>
      <c r="AR13" s="708"/>
      <c r="AT13" s="322"/>
      <c r="AV13" s="322"/>
      <c r="AW13" s="708"/>
      <c r="BB13" s="708"/>
      <c r="BD13" s="322"/>
      <c r="BE13" s="708"/>
      <c r="BG13" s="322"/>
      <c r="BH13" s="708"/>
      <c r="BJ13" s="712"/>
      <c r="BK13" s="710"/>
      <c r="BL13" s="708"/>
      <c r="BM13" s="322"/>
      <c r="BO13" s="708"/>
      <c r="BQ13" s="322"/>
      <c r="BR13" s="708"/>
    </row>
    <row r="14" spans="1:70" ht="16.5" x14ac:dyDescent="0.15">
      <c r="C14" s="71" t="s">
        <v>554</v>
      </c>
      <c r="F14" s="474">
        <f>VLOOKUP(F3&amp;IF(G4&lt;&gt;"","_"&amp;G4,""),まとめ!$A$12:$G$34,IF(F7=2030,4,IF(F7=2020,3,IF(F7=2014,2,"-"))),0)</f>
        <v>70</v>
      </c>
      <c r="G14" s="84" t="s">
        <v>549</v>
      </c>
      <c r="O14" s="322"/>
      <c r="P14" s="322"/>
      <c r="Q14" s="322"/>
      <c r="R14" s="322"/>
      <c r="S14" s="322"/>
      <c r="T14" s="322"/>
      <c r="AT14" s="50" t="s">
        <v>104</v>
      </c>
      <c r="AY14" s="71" t="s">
        <v>105</v>
      </c>
    </row>
    <row r="15" spans="1:70" x14ac:dyDescent="0.15">
      <c r="C15" s="71" t="s">
        <v>555</v>
      </c>
      <c r="F15" s="474">
        <f>VLOOKUP(F3&amp;IF(G4&lt;&gt;"","_"&amp;G4,""),まとめ!$A$12:$G$34,IF(F7=2030,7,IF(F7=2020,6,IF(F7=2014,5,"-"))),0)</f>
        <v>40</v>
      </c>
      <c r="G15" s="84" t="s">
        <v>556</v>
      </c>
      <c r="I15" s="38">
        <f>F7</f>
        <v>2030</v>
      </c>
      <c r="J15" s="39"/>
      <c r="K15" s="39">
        <f>IF(I15&lt;&gt;"",1,"")</f>
        <v>1</v>
      </c>
      <c r="L15" s="39"/>
      <c r="M15" s="40">
        <f t="shared" ref="M15:M78" si="0">1/(1+($F$9/100))^K15</f>
        <v>0.970873786407767</v>
      </c>
      <c r="N15" s="39"/>
      <c r="O15" s="72">
        <f>F117</f>
        <v>138550000000</v>
      </c>
      <c r="P15" s="41">
        <f t="shared" ref="P15:P78" si="1">IF(K15&lt;=$F$15,IF(OR(P14=$F$124,P14="-"),"-",IF(O15*$F$123&gt;$F$127,$F$123,$F$124)),"")</f>
        <v>0.16700000000000001</v>
      </c>
      <c r="Q15" s="39"/>
      <c r="R15" s="72">
        <f>F117</f>
        <v>138550000000</v>
      </c>
      <c r="S15" s="39"/>
      <c r="T15" s="72">
        <f>IF(ISNUMBER(R15),ROUNDDOWN(R15,-3),"")</f>
        <v>138550000000</v>
      </c>
      <c r="U15" s="39"/>
      <c r="V15" s="72">
        <f t="shared" ref="V15:V78" si="2">IF(K15&lt;=$F$15,IF(K15&lt;$F$119,IF(P15="-",V14,O15*P15),IF(K15=$F$119,MIN(IF(P15="-",V14,O15*P15),O15),0)),"")</f>
        <v>23137850000</v>
      </c>
      <c r="W15" s="72">
        <f>IF(ISNUMBER(V15),V15*$M15,"")</f>
        <v>22463932038.834953</v>
      </c>
      <c r="X15" s="39"/>
      <c r="Y15" s="72">
        <f t="shared" ref="Y15:Y78" si="3">IF($K15&lt;=$F$15,ROUNDDOWN(T15*$F$25/100,-2),"")</f>
        <v>1939700000</v>
      </c>
      <c r="Z15" s="72">
        <f>IF(ISNUMBER(Y15),Y15*$M15,"")</f>
        <v>1883203883.4951456</v>
      </c>
      <c r="AA15" s="39"/>
      <c r="AB15" s="72">
        <f t="shared" ref="AB15:AB78" si="4">IF($K15&lt;=$F$15,0,IF(AND($K15&gt;$F$15,$K15&lt;=$F$15+$F$28),$F$27*10^8/$F$28,""))</f>
        <v>0</v>
      </c>
      <c r="AC15" s="72">
        <f>IF(ISNUMBER(AB15),AB15*$M15,"")</f>
        <v>0</v>
      </c>
      <c r="AD15" s="39"/>
      <c r="AE15" s="72">
        <f t="shared" ref="AE15:AE78" si="5">IF($K15&lt;=$F$15,$F$26,"")</f>
        <v>0</v>
      </c>
      <c r="AF15" s="72">
        <f>IF(ISNUMBER(AE15),AE15*$M15,"")</f>
        <v>0</v>
      </c>
      <c r="AG15" s="39"/>
      <c r="AH15" s="72">
        <f t="shared" ref="AH15:AH78" si="6">IF($K15&lt;=$F$15,$F$33*10^8,"")</f>
        <v>620000000</v>
      </c>
      <c r="AI15" s="72">
        <f>IF(ISNUMBER(AH15),AH15*$M15,"")</f>
        <v>601941747.57281554</v>
      </c>
      <c r="AJ15" s="39"/>
      <c r="AK15" s="72">
        <f t="shared" ref="AK15:AK78" si="7">IF($K15&lt;=$F$15,$F$117*$F$34/100,"")</f>
        <v>3325200000</v>
      </c>
      <c r="AL15" s="72">
        <f>IF(ISNUMBER(AK15),AK15*$M15,"")</f>
        <v>3228349514.563107</v>
      </c>
      <c r="AM15" s="39"/>
      <c r="AN15" s="72">
        <f t="shared" ref="AN15:AN78" si="8">IF($K15&lt;=$F$15,$F$117*$F$35/100,"")</f>
        <v>1524050000</v>
      </c>
      <c r="AO15" s="72">
        <f>IF(ISNUMBER(AN15),AN15*$M15,"")</f>
        <v>1479660194.1747572</v>
      </c>
      <c r="AP15" s="39"/>
      <c r="AQ15" s="72">
        <f t="shared" ref="AQ15:AQ78" si="9">IF($K15&lt;=$F$15,SUM(AH15,AK15,AN15)*($F$36/100),"")</f>
        <v>656310000</v>
      </c>
      <c r="AR15" s="72">
        <f>IF(ISNUMBER(AQ15),AQ15*$M15,"")</f>
        <v>637194174.75728154</v>
      </c>
      <c r="AS15" s="39"/>
      <c r="AT15" s="40">
        <f>IF($K15&lt;=$F$15,IF($F$40&lt;&gt;"",$F$40/1000,IF(ISERROR(VLOOKUP($F$3&amp;IF($G$4&lt;&gt;"",$G$4,"")&amp;IF($F$43&lt;&gt;"","_"&amp;$F$43,""),'表3）燃料価格'!$AF$9:$AG$25,2,0)),0,VLOOKUP($I15,'表3）燃料価格'!A6:AC56,VLOOKUP($F$3,'表3）燃料価格'!$AF$9:$AG$25,2,0)+VLOOKUP($F$41,'表3）燃料価格'!$AF$28:$AG$29,2,0),0)*IF($F$43="需要地価格",1,$F$8/$F$141))),"")</f>
        <v>414.09</v>
      </c>
      <c r="AU15" s="39"/>
      <c r="AV15" s="72">
        <f>IF($K15&lt;=$F$15,($AT15+$F$142)*$F$137,"")</f>
        <v>95996437272.053375</v>
      </c>
      <c r="AW15" s="72">
        <f>IF(ISNUMBER(AV15),AV15*$M15,"")</f>
        <v>93200424535.974152</v>
      </c>
      <c r="AX15" s="39"/>
      <c r="AY15" s="40">
        <f>IF(ISERROR(IF($K15&lt;=$F$15,VLOOKUP($I15,'表4）CO2価格'!$A$7:$E$67,VLOOKUP($F$48,'表4）CO2価格'!$H$10:$I$12,2,0),0)*$F$8/1000,"")),0,IF($K15&lt;=$F$15,VLOOKUP($I15,'表4）CO2価格'!$A$7:$E$67,VLOOKUP($F$48,'表4）CO2価格'!$H$10:$I$12,2,0),0)*$F$8/1000,""))</f>
        <v>4.28</v>
      </c>
      <c r="AZ15" s="39"/>
      <c r="BA15" s="42">
        <f t="shared" ref="BA15:BA78" si="10">IF($K15&lt;=$F$15,$F$145*AY15,"")</f>
        <v>0</v>
      </c>
      <c r="BB15" s="72">
        <f>IF(ISNUMBER(BA15),BA15*$M15,"")</f>
        <v>0</v>
      </c>
      <c r="BC15" s="39"/>
      <c r="BD15" s="72">
        <f t="shared" ref="BD15:BD78" si="11">IF($K15&lt;=$F$15,($AT15+$F$152)*$F$151,"")</f>
        <v>0</v>
      </c>
      <c r="BE15" s="72">
        <f>IF(ISNUMBER(BD15),BD15*$M15,"")</f>
        <v>0</v>
      </c>
      <c r="BF15" s="39"/>
      <c r="BG15" s="42">
        <f t="shared" ref="BG15:BG78" si="12">IF($K15&lt;=$F$15,$F$153*AY15,"")</f>
        <v>0</v>
      </c>
      <c r="BH15" s="72">
        <f>IF(ISNUMBER(BG15),BG15*$M15,"")</f>
        <v>0</v>
      </c>
      <c r="BI15" s="39"/>
      <c r="BJ15" s="40" t="str">
        <f>IF(ISNUMBER($F$16),IF($K15&lt;=$F$16+$F$28,1/(1+($F$17/100))^K15,""),"")</f>
        <v/>
      </c>
      <c r="BK15" s="157" t="str">
        <f>IF(ISNUMBER($F$16),IF($K15&lt;=$F$16+$F$28,IF($K15&lt;=$F$16,SUM(Y15,AB15,AE15,AH15,AK15,AN15,AQ15,AV15,BA15,BD15,BG15),$F$27/$F$28*10^8)*BJ15,""),"")</f>
        <v/>
      </c>
      <c r="BL15" s="157" t="str">
        <f t="shared" ref="BL15:BL78" si="13">IF(AND(ISNUMBER(BJ15),$K15&lt;=$F$16),BQ15*BJ15,"")</f>
        <v/>
      </c>
      <c r="BM15" s="72"/>
      <c r="BN15" s="72" t="str">
        <f>IF(AND(ISNUMBER($F$16),$K15&lt;=$F$16),BQ15*($O$15+$BK$116)/$BL$116,"")</f>
        <v/>
      </c>
      <c r="BO15" s="72" t="str">
        <f>IF(ISNUMBER(BN15),BN15*$M15,"")</f>
        <v/>
      </c>
      <c r="BP15" s="39"/>
      <c r="BQ15" s="72">
        <f t="shared" ref="BQ15:BQ78" si="14">IF($K15&lt;=$F$15,$F$134,"")</f>
        <v>5092319400</v>
      </c>
      <c r="BR15" s="72">
        <f>IF(ISNUMBER(BQ15),BQ15*$M15,"")</f>
        <v>4943999417.475728</v>
      </c>
    </row>
    <row r="16" spans="1:70" x14ac:dyDescent="0.15">
      <c r="C16" s="184" t="s">
        <v>107</v>
      </c>
      <c r="F16" s="474" t="str">
        <f>IF(ISERROR(VLOOKUP(F3&amp;IF(G4&lt;&gt;"","_"&amp;G4,""),'表7）買取期間・IRR'!$A$3:$A$10,1,0)),"",VLOOKUP(F3&amp;IF(G4&lt;&gt;"","_"&amp;G4,""),'表7）買取期間・IRR'!$A$3:$C$10,IF(F7=2030,4,IF(F7=2020,3,IF(F7=2014,2,"-"))),0))</f>
        <v/>
      </c>
      <c r="G16" s="84" t="s">
        <v>556</v>
      </c>
      <c r="I16" s="322">
        <f>I15+1</f>
        <v>2031</v>
      </c>
      <c r="K16" s="71">
        <f>IF(I16&lt;&gt;"",K15+1,"")</f>
        <v>2</v>
      </c>
      <c r="M16" s="7">
        <f t="shared" si="0"/>
        <v>0.94259590913375435</v>
      </c>
      <c r="O16" s="10">
        <f t="shared" ref="O16:O79" si="15">IF(K16&lt;=$F$15,O15-V15,"")</f>
        <v>115412150000</v>
      </c>
      <c r="P16" s="29">
        <f t="shared" si="1"/>
        <v>0.16700000000000001</v>
      </c>
      <c r="R16" s="10">
        <f t="shared" ref="R16:R79" si="16">IF($K16&lt;=$F$15,MAX($F$117*5%,R15*$F$129),"")</f>
        <v>118833766749.76839</v>
      </c>
      <c r="T16" s="10">
        <f t="shared" ref="T16:T79" si="17">IF(ISNUMBER(R16),ROUNDDOWN(R16,-3),"")</f>
        <v>118833766000</v>
      </c>
      <c r="V16" s="10">
        <f t="shared" si="2"/>
        <v>19273829050</v>
      </c>
      <c r="W16" s="10">
        <f t="shared" ref="W16:W79" si="18">IF(ISNUMBER(V16),V16*$M16,"")</f>
        <v>18167432415.873314</v>
      </c>
      <c r="Y16" s="10">
        <f t="shared" si="3"/>
        <v>1663672700</v>
      </c>
      <c r="Z16" s="10">
        <f t="shared" ref="Z16:Z79" si="19">IF(ISNUMBER(Y16),Y16*$M16,"")</f>
        <v>1568171081.1575077</v>
      </c>
      <c r="AB16" s="10">
        <f t="shared" si="4"/>
        <v>0</v>
      </c>
      <c r="AC16" s="10">
        <f t="shared" ref="AC16:AC79" si="20">IF(ISNUMBER(AB16),AB16*$M16,"")</f>
        <v>0</v>
      </c>
      <c r="AE16" s="10">
        <f t="shared" si="5"/>
        <v>0</v>
      </c>
      <c r="AF16" s="10">
        <f t="shared" ref="AF16:AF79" si="21">IF(ISNUMBER(AE16),AE16*$M16,"")</f>
        <v>0</v>
      </c>
      <c r="AH16" s="10">
        <f t="shared" si="6"/>
        <v>620000000</v>
      </c>
      <c r="AI16" s="10">
        <f t="shared" ref="AI16:AI79" si="22">IF(ISNUMBER(AH16),AH16*$M16,"")</f>
        <v>584409463.66292775</v>
      </c>
      <c r="AK16" s="10">
        <f t="shared" si="7"/>
        <v>3325200000</v>
      </c>
      <c r="AL16" s="10">
        <f t="shared" ref="AL16:AL79" si="23">IF(ISNUMBER(AK16),AK16*$M16,"")</f>
        <v>3134319917.0515599</v>
      </c>
      <c r="AN16" s="10">
        <f t="shared" si="8"/>
        <v>1524050000</v>
      </c>
      <c r="AO16" s="10">
        <f t="shared" ref="AO16:AO79" si="24">IF(ISNUMBER(AN16),AN16*$M16,"")</f>
        <v>1436563295.3152983</v>
      </c>
      <c r="AQ16" s="10">
        <f t="shared" si="9"/>
        <v>656310000</v>
      </c>
      <c r="AR16" s="10">
        <f t="shared" ref="AR16:AR79" si="25">IF(ISNUMBER(AQ16),AQ16*$M16,"")</f>
        <v>618635121.12357438</v>
      </c>
      <c r="AT16" s="40">
        <f>IF($K16&lt;=$F$15,IF($F$40&lt;&gt;"",$F$40/1000,IF(ISERROR(VLOOKUP($F$3&amp;IF($G$4&lt;&gt;"",$G$4,"")&amp;IF($F$43&lt;&gt;"","_"&amp;$F$43,""),'表3）燃料価格'!$AF$9:$AG$25,2,0)),0,VLOOKUP($I16,'表3）燃料価格'!A7:AC57,VLOOKUP($F$3,'表3）燃料価格'!$AF$9:$AG$25,2,0)+VLOOKUP($F$41,'表3）燃料価格'!$AF$28:$AG$29,2,0),0)*IF($F$43="需要地価格",1,$F$8/$F$141))),"")</f>
        <v>414.09</v>
      </c>
      <c r="AV16" s="72">
        <f t="shared" ref="AV16:AV54" si="26">IF($K16&lt;=$F$15,($AT16+$F$142)*$F$137,"")</f>
        <v>95996437272.053375</v>
      </c>
      <c r="AW16" s="72">
        <f t="shared" ref="AW16:AW54" si="27">IF(ISNUMBER(AV16),AV16*$M16,"")</f>
        <v>90485849064.052567</v>
      </c>
      <c r="AY16" s="7">
        <f>IF(ISERROR(IF($K16&lt;=$F$15,VLOOKUP($I16,'表4）CO2価格'!$A$7:$E$67,VLOOKUP($F$48,'表4）CO2価格'!$H$10:$I$12,2,0),0)*$F$8/1000,"")),0,IF($K16&lt;=$F$15,VLOOKUP($I16,'表4）CO2価格'!$A$7:$E$67,VLOOKUP($F$48,'表4）CO2価格'!$H$10:$I$12,2,0),0)*$F$8/1000,""))</f>
        <v>4.4083999999999808</v>
      </c>
      <c r="BA16" s="11">
        <f t="shared" si="10"/>
        <v>0</v>
      </c>
      <c r="BB16" s="10">
        <f t="shared" ref="BB16:BB79" si="28">IF(ISNUMBER(BA16),BA16*$M16,"")</f>
        <v>0</v>
      </c>
      <c r="BD16" s="10">
        <f t="shared" si="11"/>
        <v>0</v>
      </c>
      <c r="BE16" s="10">
        <f t="shared" ref="BE16:BE79" si="29">IF(ISNUMBER(BD16),BD16*$M16,"")</f>
        <v>0</v>
      </c>
      <c r="BG16" s="11">
        <f t="shared" si="12"/>
        <v>0</v>
      </c>
      <c r="BH16" s="10">
        <f t="shared" ref="BH16:BH79" si="30">IF(ISNUMBER(BG16),BG16*$M16,"")</f>
        <v>0</v>
      </c>
      <c r="BJ16" s="7" t="str">
        <f t="shared" ref="BJ16:BJ79" si="31">IF(ISNUMBER($F$16),IF($K16&lt;=$F$16+$F$28,1/(1+($F$17/100))^K16,""),"")</f>
        <v/>
      </c>
      <c r="BK16" s="158" t="str">
        <f t="shared" ref="BK16:BK79" si="32">IF(ISNUMBER($F$16),IF($K16&lt;=$F$16+$F$28,IF($K16&lt;=$F$16,SUM(Y16,AB16,AE16,AH16,AK16,AN16,AQ16,AV16,BA16,BD16,BG16),$F$27/$F$28*10^8)*BJ16,""),"")</f>
        <v/>
      </c>
      <c r="BL16" s="158" t="str">
        <f t="shared" si="13"/>
        <v/>
      </c>
      <c r="BM16" s="10"/>
      <c r="BN16" s="10" t="str">
        <f t="shared" ref="BN16:BN79" si="33">IF(AND(ISNUMBER($F$16),$K16&lt;=$F$16),BQ16*($O$15+$BK$116)/$BL$116,"")</f>
        <v/>
      </c>
      <c r="BO16" s="10" t="str">
        <f t="shared" ref="BO16:BO79" si="34">IF(ISNUMBER(BN16),BN16*$M16,"")</f>
        <v/>
      </c>
      <c r="BQ16" s="10">
        <f t="shared" si="14"/>
        <v>5092319400</v>
      </c>
      <c r="BR16" s="10">
        <f t="shared" ref="BR16:BR79" si="35">IF(ISNUMBER(BQ16),BQ16*$M16,"")</f>
        <v>4799999434.4424543</v>
      </c>
    </row>
    <row r="17" spans="3:70" x14ac:dyDescent="0.15">
      <c r="C17" s="71" t="s">
        <v>109</v>
      </c>
      <c r="F17" s="476" t="str">
        <f>IF(ISERROR(VLOOKUP(F3&amp;IF(G4&lt;&gt;"","_"&amp;G4,""),'表7）買取期間・IRR'!$A$14:$A$21,1,0)),"",VLOOKUP(F3&amp;IF(G4&lt;&gt;"","_"&amp;G4,""),'表7）買取期間・IRR'!$A$14:$C$21,IF(F7=2030,4,IF(F7=2020,3,IF(F7=2014,2,"-"))),0))</f>
        <v/>
      </c>
      <c r="G17" s="84" t="s">
        <v>549</v>
      </c>
      <c r="I17" s="38">
        <f t="shared" ref="I17:I80" si="36">I16+1</f>
        <v>2032</v>
      </c>
      <c r="J17" s="39"/>
      <c r="K17" s="39">
        <f t="shared" ref="K17:K80" si="37">IF(I17&lt;&gt;"",K16+1,"")</f>
        <v>3</v>
      </c>
      <c r="L17" s="39"/>
      <c r="M17" s="40">
        <f t="shared" si="0"/>
        <v>0.91514165935315961</v>
      </c>
      <c r="N17" s="39"/>
      <c r="O17" s="72">
        <f t="shared" si="15"/>
        <v>96138320950</v>
      </c>
      <c r="P17" s="41">
        <f t="shared" si="1"/>
        <v>0.16700000000000001</v>
      </c>
      <c r="Q17" s="39"/>
      <c r="R17" s="72">
        <f t="shared" si="16"/>
        <v>101923234355.38332</v>
      </c>
      <c r="S17" s="39"/>
      <c r="T17" s="72">
        <f t="shared" si="17"/>
        <v>101923234000</v>
      </c>
      <c r="U17" s="39"/>
      <c r="V17" s="72">
        <f t="shared" si="2"/>
        <v>16055099598.650002</v>
      </c>
      <c r="W17" s="72">
        <f t="shared" si="18"/>
        <v>14692690487.788809</v>
      </c>
      <c r="X17" s="39"/>
      <c r="Y17" s="72">
        <f t="shared" si="3"/>
        <v>1426925200</v>
      </c>
      <c r="Z17" s="72">
        <f t="shared" si="19"/>
        <v>1305838695.3008392</v>
      </c>
      <c r="AA17" s="39"/>
      <c r="AB17" s="72">
        <f t="shared" si="4"/>
        <v>0</v>
      </c>
      <c r="AC17" s="72">
        <f t="shared" si="20"/>
        <v>0</v>
      </c>
      <c r="AD17" s="39"/>
      <c r="AE17" s="72">
        <f t="shared" si="5"/>
        <v>0</v>
      </c>
      <c r="AF17" s="72">
        <f t="shared" si="21"/>
        <v>0</v>
      </c>
      <c r="AG17" s="39"/>
      <c r="AH17" s="72">
        <f t="shared" si="6"/>
        <v>620000000</v>
      </c>
      <c r="AI17" s="72">
        <f t="shared" si="22"/>
        <v>567387828.79895902</v>
      </c>
      <c r="AJ17" s="39"/>
      <c r="AK17" s="72">
        <f t="shared" si="7"/>
        <v>3325200000</v>
      </c>
      <c r="AL17" s="72">
        <f t="shared" si="23"/>
        <v>3043029045.6811261</v>
      </c>
      <c r="AM17" s="39"/>
      <c r="AN17" s="72">
        <f t="shared" si="8"/>
        <v>1524050000</v>
      </c>
      <c r="AO17" s="72">
        <f t="shared" si="24"/>
        <v>1394721645.9371829</v>
      </c>
      <c r="AP17" s="39"/>
      <c r="AQ17" s="72">
        <f t="shared" si="9"/>
        <v>656310000</v>
      </c>
      <c r="AR17" s="72">
        <f t="shared" si="25"/>
        <v>600616622.45007217</v>
      </c>
      <c r="AS17" s="39"/>
      <c r="AT17" s="40">
        <f>IF($K17&lt;=$F$15,IF($F$40&lt;&gt;"",$F$40/1000,IF(ISERROR(VLOOKUP($F$3&amp;IF($G$4&lt;&gt;"",$G$4,"")&amp;IF($F$43&lt;&gt;"","_"&amp;$F$43,""),'表3）燃料価格'!$AF$9:$AG$25,2,0)),0,VLOOKUP($I17,'表3）燃料価格'!A8:AC58,VLOOKUP($F$3,'表3）燃料価格'!$AF$9:$AG$25,2,0)+VLOOKUP($F$41,'表3）燃料価格'!$AF$28:$AG$29,2,0),0)*IF($F$43="需要地価格",1,$F$8/$F$141))),"")</f>
        <v>414.09</v>
      </c>
      <c r="AU17" s="39"/>
      <c r="AV17" s="72">
        <f t="shared" si="26"/>
        <v>95996437272.053375</v>
      </c>
      <c r="AW17" s="72">
        <f t="shared" si="27"/>
        <v>87850338897.138428</v>
      </c>
      <c r="AX17" s="39"/>
      <c r="AY17" s="40">
        <f>IF(ISERROR(IF($K17&lt;=$F$15,VLOOKUP($I17,'表4）CO2価格'!$A$7:$E$67,VLOOKUP($F$48,'表4）CO2価格'!$H$10:$I$12,2,0),0)*$F$8/1000,"")),0,IF($K17&lt;=$F$15,VLOOKUP($I17,'表4）CO2価格'!$A$7:$E$67,VLOOKUP($F$48,'表4）CO2価格'!$H$10:$I$12,2,0),0)*$F$8/1000,""))</f>
        <v>4.5368000000000102</v>
      </c>
      <c r="AZ17" s="39"/>
      <c r="BA17" s="42">
        <f t="shared" si="10"/>
        <v>0</v>
      </c>
      <c r="BB17" s="72">
        <f t="shared" si="28"/>
        <v>0</v>
      </c>
      <c r="BC17" s="39"/>
      <c r="BD17" s="72">
        <f t="shared" si="11"/>
        <v>0</v>
      </c>
      <c r="BE17" s="72">
        <f t="shared" si="29"/>
        <v>0</v>
      </c>
      <c r="BF17" s="39"/>
      <c r="BG17" s="42">
        <f t="shared" si="12"/>
        <v>0</v>
      </c>
      <c r="BH17" s="72">
        <f t="shared" si="30"/>
        <v>0</v>
      </c>
      <c r="BI17" s="39"/>
      <c r="BJ17" s="40" t="str">
        <f t="shared" si="31"/>
        <v/>
      </c>
      <c r="BK17" s="157" t="str">
        <f t="shared" si="32"/>
        <v/>
      </c>
      <c r="BL17" s="157" t="str">
        <f t="shared" si="13"/>
        <v/>
      </c>
      <c r="BM17" s="72"/>
      <c r="BN17" s="72" t="str">
        <f t="shared" si="33"/>
        <v/>
      </c>
      <c r="BO17" s="72" t="str">
        <f t="shared" si="34"/>
        <v/>
      </c>
      <c r="BP17" s="39"/>
      <c r="BQ17" s="72">
        <f t="shared" si="14"/>
        <v>5092319400</v>
      </c>
      <c r="BR17" s="72">
        <f t="shared" si="35"/>
        <v>4660193625.672286</v>
      </c>
    </row>
    <row r="18" spans="3:70" x14ac:dyDescent="0.15">
      <c r="I18" s="322">
        <f t="shared" si="36"/>
        <v>2033</v>
      </c>
      <c r="K18" s="71">
        <f t="shared" si="37"/>
        <v>4</v>
      </c>
      <c r="M18" s="7">
        <f t="shared" si="0"/>
        <v>0.888487047915689</v>
      </c>
      <c r="O18" s="10">
        <f t="shared" si="15"/>
        <v>80083221351.350006</v>
      </c>
      <c r="P18" s="29">
        <f t="shared" si="1"/>
        <v>0.16700000000000001</v>
      </c>
      <c r="R18" s="10">
        <f t="shared" si="16"/>
        <v>87419140077.730789</v>
      </c>
      <c r="T18" s="10">
        <f t="shared" si="17"/>
        <v>87419140000</v>
      </c>
      <c r="V18" s="10">
        <f t="shared" si="2"/>
        <v>13373897965.675451</v>
      </c>
      <c r="W18" s="10">
        <f t="shared" si="18"/>
        <v>11882535122.648621</v>
      </c>
      <c r="Y18" s="10">
        <f t="shared" si="3"/>
        <v>1223867900</v>
      </c>
      <c r="Z18" s="10">
        <f t="shared" si="19"/>
        <v>1087390777.5097737</v>
      </c>
      <c r="AB18" s="10">
        <f t="shared" si="4"/>
        <v>0</v>
      </c>
      <c r="AC18" s="10">
        <f t="shared" si="20"/>
        <v>0</v>
      </c>
      <c r="AE18" s="10">
        <f t="shared" si="5"/>
        <v>0</v>
      </c>
      <c r="AF18" s="10">
        <f t="shared" si="21"/>
        <v>0</v>
      </c>
      <c r="AH18" s="10">
        <f t="shared" si="6"/>
        <v>620000000</v>
      </c>
      <c r="AI18" s="10">
        <f t="shared" si="22"/>
        <v>550861969.70772719</v>
      </c>
      <c r="AK18" s="10">
        <f t="shared" si="7"/>
        <v>3325200000</v>
      </c>
      <c r="AL18" s="10">
        <f t="shared" si="23"/>
        <v>2954397131.729249</v>
      </c>
      <c r="AN18" s="10">
        <f t="shared" si="8"/>
        <v>1524050000</v>
      </c>
      <c r="AO18" s="10">
        <f t="shared" si="24"/>
        <v>1354098685.3759058</v>
      </c>
      <c r="AQ18" s="10">
        <f t="shared" si="9"/>
        <v>656310000</v>
      </c>
      <c r="AR18" s="10">
        <f t="shared" si="25"/>
        <v>583122934.4175458</v>
      </c>
      <c r="AT18" s="40">
        <f>IF($K18&lt;=$F$15,IF($F$40&lt;&gt;"",$F$40/1000,IF(ISERROR(VLOOKUP($F$3&amp;IF($G$4&lt;&gt;"",$G$4,"")&amp;IF($F$43&lt;&gt;"","_"&amp;$F$43,""),'表3）燃料価格'!$AF$9:$AG$25,2,0)),0,VLOOKUP($I18,'表3）燃料価格'!A9:AC59,VLOOKUP($F$3,'表3）燃料価格'!$AF$9:$AG$25,2,0)+VLOOKUP($F$41,'表3）燃料価格'!$AF$28:$AG$29,2,0),0)*IF($F$43="需要地価格",1,$F$8/$F$141))),"")</f>
        <v>414.09</v>
      </c>
      <c r="AV18" s="72">
        <f t="shared" si="26"/>
        <v>95996437272.053375</v>
      </c>
      <c r="AW18" s="72">
        <f t="shared" si="27"/>
        <v>85291591162.270325</v>
      </c>
      <c r="AY18" s="7">
        <f>IF(ISERROR(IF($K18&lt;=$F$15,VLOOKUP($I18,'表4）CO2価格'!$A$7:$E$67,VLOOKUP($F$48,'表4）CO2価格'!$H$10:$I$12,2,0),0)*$F$8/1000,"")),0,IF($K18&lt;=$F$15,VLOOKUP($I18,'表4）CO2価格'!$A$7:$E$67,VLOOKUP($F$48,'表4）CO2価格'!$H$10:$I$12,2,0),0)*$F$8/1000,""))</f>
        <v>4.6651999999999898</v>
      </c>
      <c r="BA18" s="11">
        <f t="shared" si="10"/>
        <v>0</v>
      </c>
      <c r="BB18" s="10">
        <f t="shared" si="28"/>
        <v>0</v>
      </c>
      <c r="BD18" s="10">
        <f t="shared" si="11"/>
        <v>0</v>
      </c>
      <c r="BE18" s="10">
        <f t="shared" si="29"/>
        <v>0</v>
      </c>
      <c r="BG18" s="11">
        <f t="shared" si="12"/>
        <v>0</v>
      </c>
      <c r="BH18" s="10">
        <f t="shared" si="30"/>
        <v>0</v>
      </c>
      <c r="BJ18" s="7" t="str">
        <f t="shared" si="31"/>
        <v/>
      </c>
      <c r="BK18" s="158" t="str">
        <f t="shared" si="32"/>
        <v/>
      </c>
      <c r="BL18" s="158" t="str">
        <f t="shared" si="13"/>
        <v/>
      </c>
      <c r="BM18" s="10"/>
      <c r="BN18" s="10" t="str">
        <f t="shared" si="33"/>
        <v/>
      </c>
      <c r="BO18" s="10" t="str">
        <f t="shared" si="34"/>
        <v/>
      </c>
      <c r="BQ18" s="10">
        <f t="shared" si="14"/>
        <v>5092319400</v>
      </c>
      <c r="BR18" s="10">
        <f t="shared" si="35"/>
        <v>4524459830.7497931</v>
      </c>
    </row>
    <row r="19" spans="3:70" x14ac:dyDescent="0.15">
      <c r="C19" s="4" t="s">
        <v>557</v>
      </c>
      <c r="D19" s="100"/>
      <c r="E19" s="100"/>
      <c r="F19" s="4"/>
      <c r="G19" s="100"/>
      <c r="I19" s="38">
        <f t="shared" si="36"/>
        <v>2034</v>
      </c>
      <c r="J19" s="39"/>
      <c r="K19" s="39">
        <f t="shared" si="37"/>
        <v>5</v>
      </c>
      <c r="L19" s="39"/>
      <c r="M19" s="40">
        <f t="shared" si="0"/>
        <v>0.86260878438416411</v>
      </c>
      <c r="N19" s="39"/>
      <c r="O19" s="72">
        <f t="shared" si="15"/>
        <v>66709323385.674553</v>
      </c>
      <c r="P19" s="41">
        <f t="shared" si="1"/>
        <v>0.16700000000000001</v>
      </c>
      <c r="Q19" s="39"/>
      <c r="R19" s="72">
        <f t="shared" si="16"/>
        <v>74979037903.012558</v>
      </c>
      <c r="S19" s="39"/>
      <c r="T19" s="72">
        <f t="shared" si="17"/>
        <v>74979037000</v>
      </c>
      <c r="U19" s="39"/>
      <c r="V19" s="72">
        <f t="shared" si="2"/>
        <v>11140457005.407652</v>
      </c>
      <c r="W19" s="72">
        <f t="shared" si="18"/>
        <v>9609856074.9187393</v>
      </c>
      <c r="X19" s="39"/>
      <c r="Y19" s="72">
        <f t="shared" si="3"/>
        <v>1049706500</v>
      </c>
      <c r="Z19" s="72">
        <f t="shared" si="19"/>
        <v>905486047.92515552</v>
      </c>
      <c r="AA19" s="39"/>
      <c r="AB19" s="72">
        <f t="shared" si="4"/>
        <v>0</v>
      </c>
      <c r="AC19" s="72">
        <f t="shared" si="20"/>
        <v>0</v>
      </c>
      <c r="AD19" s="39"/>
      <c r="AE19" s="72">
        <f t="shared" si="5"/>
        <v>0</v>
      </c>
      <c r="AF19" s="72">
        <f t="shared" si="21"/>
        <v>0</v>
      </c>
      <c r="AG19" s="39"/>
      <c r="AH19" s="72">
        <f t="shared" si="6"/>
        <v>620000000</v>
      </c>
      <c r="AI19" s="72">
        <f t="shared" si="22"/>
        <v>534817446.31818175</v>
      </c>
      <c r="AJ19" s="39"/>
      <c r="AK19" s="72">
        <f t="shared" si="7"/>
        <v>3325200000</v>
      </c>
      <c r="AL19" s="72">
        <f t="shared" si="23"/>
        <v>2868346729.8342223</v>
      </c>
      <c r="AM19" s="39"/>
      <c r="AN19" s="72">
        <f t="shared" si="8"/>
        <v>1524050000</v>
      </c>
      <c r="AO19" s="72">
        <f t="shared" si="24"/>
        <v>1314658917.8406854</v>
      </c>
      <c r="AP19" s="39"/>
      <c r="AQ19" s="72">
        <f t="shared" si="9"/>
        <v>656310000</v>
      </c>
      <c r="AR19" s="72">
        <f t="shared" si="25"/>
        <v>566138771.27917075</v>
      </c>
      <c r="AS19" s="39"/>
      <c r="AT19" s="40">
        <f>IF($K19&lt;=$F$15,IF($F$40&lt;&gt;"",$F$40/1000,IF(ISERROR(VLOOKUP($F$3&amp;IF($G$4&lt;&gt;"",$G$4,"")&amp;IF($F$43&lt;&gt;"","_"&amp;$F$43,""),'表3）燃料価格'!$AF$9:$AG$25,2,0)),0,VLOOKUP($I19,'表3）燃料価格'!A10:AC60,VLOOKUP($F$3,'表3）燃料価格'!$AF$9:$AG$25,2,0)+VLOOKUP($F$41,'表3）燃料価格'!$AF$28:$AG$29,2,0),0)*IF($F$43="需要地価格",1,$F$8/$F$141))),"")</f>
        <v>414.09</v>
      </c>
      <c r="AU19" s="39"/>
      <c r="AV19" s="72">
        <f t="shared" si="26"/>
        <v>95996437272.053375</v>
      </c>
      <c r="AW19" s="72">
        <f t="shared" si="27"/>
        <v>82807370060.456619</v>
      </c>
      <c r="AX19" s="39"/>
      <c r="AY19" s="40">
        <f>IF(ISERROR(IF($K19&lt;=$F$15,VLOOKUP($I19,'表4）CO2価格'!$A$7:$E$67,VLOOKUP($F$48,'表4）CO2価格'!$H$10:$I$12,2,0),0)*$F$8/1000,"")),0,IF($K19&lt;=$F$15,VLOOKUP($I19,'表4）CO2価格'!$A$7:$E$67,VLOOKUP($F$48,'表4）CO2価格'!$H$10:$I$12,2,0),0)*$F$8/1000,""))</f>
        <v>4.7935999999999712</v>
      </c>
      <c r="AZ19" s="39"/>
      <c r="BA19" s="42">
        <f t="shared" si="10"/>
        <v>0</v>
      </c>
      <c r="BB19" s="72">
        <f t="shared" si="28"/>
        <v>0</v>
      </c>
      <c r="BC19" s="39"/>
      <c r="BD19" s="72">
        <f t="shared" si="11"/>
        <v>0</v>
      </c>
      <c r="BE19" s="72">
        <f t="shared" si="29"/>
        <v>0</v>
      </c>
      <c r="BF19" s="39"/>
      <c r="BG19" s="42">
        <f t="shared" si="12"/>
        <v>0</v>
      </c>
      <c r="BH19" s="72">
        <f t="shared" si="30"/>
        <v>0</v>
      </c>
      <c r="BI19" s="39"/>
      <c r="BJ19" s="40" t="str">
        <f t="shared" si="31"/>
        <v/>
      </c>
      <c r="BK19" s="157" t="str">
        <f t="shared" si="32"/>
        <v/>
      </c>
      <c r="BL19" s="157" t="str">
        <f t="shared" si="13"/>
        <v/>
      </c>
      <c r="BM19" s="72"/>
      <c r="BN19" s="72" t="str">
        <f t="shared" si="33"/>
        <v/>
      </c>
      <c r="BO19" s="72" t="str">
        <f t="shared" si="34"/>
        <v/>
      </c>
      <c r="BP19" s="39"/>
      <c r="BQ19" s="72">
        <f t="shared" si="14"/>
        <v>5092319400</v>
      </c>
      <c r="BR19" s="72">
        <f t="shared" si="35"/>
        <v>4392679447.329896</v>
      </c>
    </row>
    <row r="20" spans="3:70" x14ac:dyDescent="0.15">
      <c r="I20" s="322">
        <f t="shared" si="36"/>
        <v>2035</v>
      </c>
      <c r="K20" s="71">
        <f t="shared" si="37"/>
        <v>6</v>
      </c>
      <c r="M20" s="7">
        <f t="shared" si="0"/>
        <v>0.83748425668365445</v>
      </c>
      <c r="O20" s="10">
        <f t="shared" si="15"/>
        <v>55568866380.266899</v>
      </c>
      <c r="P20" s="29">
        <f t="shared" si="1"/>
        <v>0.16700000000000001</v>
      </c>
      <c r="R20" s="10">
        <f t="shared" si="16"/>
        <v>64309213289.705063</v>
      </c>
      <c r="T20" s="10">
        <f t="shared" si="17"/>
        <v>64309213000</v>
      </c>
      <c r="V20" s="10">
        <f t="shared" si="2"/>
        <v>9280000685.5045719</v>
      </c>
      <c r="W20" s="10">
        <f t="shared" si="18"/>
        <v>7771854476.1236</v>
      </c>
      <c r="Y20" s="10">
        <f t="shared" si="3"/>
        <v>900328900</v>
      </c>
      <c r="Z20" s="10">
        <f t="shared" si="19"/>
        <v>754011279.58731222</v>
      </c>
      <c r="AB20" s="10">
        <f t="shared" si="4"/>
        <v>0</v>
      </c>
      <c r="AC20" s="10">
        <f t="shared" si="20"/>
        <v>0</v>
      </c>
      <c r="AE20" s="10">
        <f t="shared" si="5"/>
        <v>0</v>
      </c>
      <c r="AF20" s="10">
        <f t="shared" si="21"/>
        <v>0</v>
      </c>
      <c r="AH20" s="10">
        <f t="shared" si="6"/>
        <v>620000000</v>
      </c>
      <c r="AI20" s="10">
        <f t="shared" si="22"/>
        <v>519240239.14386576</v>
      </c>
      <c r="AK20" s="10">
        <f t="shared" si="7"/>
        <v>3325200000</v>
      </c>
      <c r="AL20" s="10">
        <f t="shared" si="23"/>
        <v>2784802650.3244877</v>
      </c>
      <c r="AN20" s="10">
        <f t="shared" si="8"/>
        <v>1524050000</v>
      </c>
      <c r="AO20" s="10">
        <f t="shared" si="24"/>
        <v>1276367881.3987236</v>
      </c>
      <c r="AQ20" s="10">
        <f t="shared" si="9"/>
        <v>656310000</v>
      </c>
      <c r="AR20" s="10">
        <f t="shared" si="25"/>
        <v>549649292.5040493</v>
      </c>
      <c r="AT20" s="40">
        <f>IF($K20&lt;=$F$15,IF($F$40&lt;&gt;"",$F$40/1000,IF(ISERROR(VLOOKUP($F$3&amp;IF($G$4&lt;&gt;"",$G$4,"")&amp;IF($F$43&lt;&gt;"","_"&amp;$F$43,""),'表3）燃料価格'!$AF$9:$AG$25,2,0)),0,VLOOKUP($I20,'表3）燃料価格'!A11:AC61,VLOOKUP($F$3,'表3）燃料価格'!$AF$9:$AG$25,2,0)+VLOOKUP($F$41,'表3）燃料価格'!$AF$28:$AG$29,2,0),0)*IF($F$43="需要地価格",1,$F$8/$F$141))),"")</f>
        <v>414.09</v>
      </c>
      <c r="AV20" s="72">
        <f t="shared" si="26"/>
        <v>95996437272.053375</v>
      </c>
      <c r="AW20" s="72">
        <f t="shared" si="27"/>
        <v>80395504913.064682</v>
      </c>
      <c r="AY20" s="7">
        <f>IF(ISERROR(IF($K20&lt;=$F$15,VLOOKUP($I20,'表4）CO2価格'!$A$7:$E$67,VLOOKUP($F$48,'表4）CO2価格'!$H$10:$I$12,2,0),0)*$F$8/1000,"")),0,IF($K20&lt;=$F$15,VLOOKUP($I20,'表4）CO2価格'!$A$7:$E$67,VLOOKUP($F$48,'表4）CO2価格'!$H$10:$I$12,2,0),0)*$F$8/1000,""))</f>
        <v>4.9219999999999997</v>
      </c>
      <c r="BA20" s="11">
        <f t="shared" si="10"/>
        <v>0</v>
      </c>
      <c r="BB20" s="10">
        <f t="shared" si="28"/>
        <v>0</v>
      </c>
      <c r="BD20" s="10">
        <f t="shared" si="11"/>
        <v>0</v>
      </c>
      <c r="BE20" s="10">
        <f t="shared" si="29"/>
        <v>0</v>
      </c>
      <c r="BG20" s="11">
        <f t="shared" si="12"/>
        <v>0</v>
      </c>
      <c r="BH20" s="10">
        <f t="shared" si="30"/>
        <v>0</v>
      </c>
      <c r="BJ20" s="7" t="str">
        <f t="shared" si="31"/>
        <v/>
      </c>
      <c r="BK20" s="158" t="str">
        <f t="shared" si="32"/>
        <v/>
      </c>
      <c r="BL20" s="158" t="str">
        <f t="shared" si="13"/>
        <v/>
      </c>
      <c r="BM20" s="10"/>
      <c r="BN20" s="10" t="str">
        <f t="shared" si="33"/>
        <v/>
      </c>
      <c r="BO20" s="10" t="str">
        <f t="shared" si="34"/>
        <v/>
      </c>
      <c r="BQ20" s="10">
        <f t="shared" si="14"/>
        <v>5092319400</v>
      </c>
      <c r="BR20" s="10">
        <f t="shared" si="35"/>
        <v>4264737327.5047531</v>
      </c>
    </row>
    <row r="21" spans="3:70" x14ac:dyDescent="0.15">
      <c r="D21" s="84" t="s">
        <v>558</v>
      </c>
      <c r="F21" s="479">
        <v>16.3</v>
      </c>
      <c r="G21" s="84" t="s">
        <v>559</v>
      </c>
      <c r="I21" s="38">
        <f t="shared" si="36"/>
        <v>2036</v>
      </c>
      <c r="J21" s="39"/>
      <c r="K21" s="39">
        <f t="shared" si="37"/>
        <v>7</v>
      </c>
      <c r="L21" s="39"/>
      <c r="M21" s="40">
        <f t="shared" si="0"/>
        <v>0.81309151134335378</v>
      </c>
      <c r="N21" s="39"/>
      <c r="O21" s="72">
        <f t="shared" si="15"/>
        <v>46288865694.762329</v>
      </c>
      <c r="P21" s="41">
        <f t="shared" si="1"/>
        <v>0.16700000000000001</v>
      </c>
      <c r="Q21" s="39"/>
      <c r="R21" s="72">
        <f t="shared" si="16"/>
        <v>55157748480.187057</v>
      </c>
      <c r="S21" s="39"/>
      <c r="T21" s="72">
        <f t="shared" si="17"/>
        <v>55157748000</v>
      </c>
      <c r="U21" s="39"/>
      <c r="V21" s="72">
        <f t="shared" si="2"/>
        <v>7730240571.0253096</v>
      </c>
      <c r="W21" s="72">
        <f t="shared" si="18"/>
        <v>6285392988.9426794</v>
      </c>
      <c r="X21" s="39"/>
      <c r="Y21" s="72">
        <f t="shared" si="3"/>
        <v>772208400</v>
      </c>
      <c r="Z21" s="72">
        <f t="shared" si="19"/>
        <v>627876095.02803302</v>
      </c>
      <c r="AA21" s="39"/>
      <c r="AB21" s="72">
        <f t="shared" si="4"/>
        <v>0</v>
      </c>
      <c r="AC21" s="72">
        <f t="shared" si="20"/>
        <v>0</v>
      </c>
      <c r="AD21" s="39"/>
      <c r="AE21" s="72">
        <f t="shared" si="5"/>
        <v>0</v>
      </c>
      <c r="AF21" s="72">
        <f t="shared" si="21"/>
        <v>0</v>
      </c>
      <c r="AG21" s="39"/>
      <c r="AH21" s="72">
        <f t="shared" si="6"/>
        <v>620000000</v>
      </c>
      <c r="AI21" s="72">
        <f t="shared" si="22"/>
        <v>504116737.03287935</v>
      </c>
      <c r="AJ21" s="39"/>
      <c r="AK21" s="72">
        <f t="shared" si="7"/>
        <v>3325200000</v>
      </c>
      <c r="AL21" s="72">
        <f t="shared" si="23"/>
        <v>2703691893.5189199</v>
      </c>
      <c r="AM21" s="39"/>
      <c r="AN21" s="72">
        <f t="shared" si="8"/>
        <v>1524050000</v>
      </c>
      <c r="AO21" s="72">
        <f t="shared" si="24"/>
        <v>1239192117.8628383</v>
      </c>
      <c r="AP21" s="39"/>
      <c r="AQ21" s="72">
        <f t="shared" si="9"/>
        <v>656310000</v>
      </c>
      <c r="AR21" s="72">
        <f t="shared" si="25"/>
        <v>533640089.80975652</v>
      </c>
      <c r="AS21" s="39"/>
      <c r="AT21" s="40">
        <f>IF($K21&lt;=$F$15,IF($F$40&lt;&gt;"",$F$40/1000,IF(ISERROR(VLOOKUP($F$3&amp;IF($G$4&lt;&gt;"",$G$4,"")&amp;IF($F$43&lt;&gt;"","_"&amp;$F$43,""),'表3）燃料価格'!$AF$9:$AG$25,2,0)),0,VLOOKUP($I21,'表3）燃料価格'!A12:AC62,VLOOKUP($F$3,'表3）燃料価格'!$AF$9:$AG$25,2,0)+VLOOKUP($F$41,'表3）燃料価格'!$AF$28:$AG$29,2,0),0)*IF($F$43="需要地価格",1,$F$8/$F$141))),"")</f>
        <v>414.09</v>
      </c>
      <c r="AU21" s="39"/>
      <c r="AV21" s="72">
        <f t="shared" si="26"/>
        <v>95996437272.053375</v>
      </c>
      <c r="AW21" s="72">
        <f t="shared" si="27"/>
        <v>78053888265.111343</v>
      </c>
      <c r="AX21" s="39"/>
      <c r="AY21" s="40">
        <f>IF(ISERROR(IF($K21&lt;=$F$15,VLOOKUP($I21,'表4）CO2価格'!$A$7:$E$67,VLOOKUP($F$48,'表4）CO2価格'!$H$10:$I$12,2,0),0)*$F$8/1000,"")),0,IF($K21&lt;=$F$15,VLOOKUP($I21,'表4）CO2価格'!$A$7:$E$67,VLOOKUP($F$48,'表4）CO2価格'!$H$10:$I$12,2,0),0)*$F$8/1000,""))</f>
        <v>5.0503999999999802</v>
      </c>
      <c r="AZ21" s="39"/>
      <c r="BA21" s="42">
        <f t="shared" si="10"/>
        <v>0</v>
      </c>
      <c r="BB21" s="72">
        <f t="shared" si="28"/>
        <v>0</v>
      </c>
      <c r="BC21" s="39"/>
      <c r="BD21" s="72">
        <f t="shared" si="11"/>
        <v>0</v>
      </c>
      <c r="BE21" s="72">
        <f t="shared" si="29"/>
        <v>0</v>
      </c>
      <c r="BF21" s="39"/>
      <c r="BG21" s="42">
        <f t="shared" si="12"/>
        <v>0</v>
      </c>
      <c r="BH21" s="72">
        <f t="shared" si="30"/>
        <v>0</v>
      </c>
      <c r="BI21" s="39"/>
      <c r="BJ21" s="40" t="str">
        <f t="shared" si="31"/>
        <v/>
      </c>
      <c r="BK21" s="157" t="str">
        <f t="shared" si="32"/>
        <v/>
      </c>
      <c r="BL21" s="157" t="str">
        <f t="shared" si="13"/>
        <v/>
      </c>
      <c r="BM21" s="72"/>
      <c r="BN21" s="72" t="str">
        <f t="shared" si="33"/>
        <v/>
      </c>
      <c r="BO21" s="72" t="str">
        <f t="shared" si="34"/>
        <v/>
      </c>
      <c r="BP21" s="39"/>
      <c r="BQ21" s="72">
        <f t="shared" si="14"/>
        <v>5092319400</v>
      </c>
      <c r="BR21" s="72">
        <f t="shared" si="35"/>
        <v>4140521677.1890807</v>
      </c>
    </row>
    <row r="22" spans="3:70" ht="16.5" x14ac:dyDescent="0.15">
      <c r="D22" s="84" t="s">
        <v>560</v>
      </c>
      <c r="F22" s="478">
        <v>142</v>
      </c>
      <c r="G22" s="71" t="s">
        <v>561</v>
      </c>
      <c r="I22" s="322">
        <f t="shared" si="36"/>
        <v>2037</v>
      </c>
      <c r="K22" s="71">
        <f t="shared" si="37"/>
        <v>8</v>
      </c>
      <c r="M22" s="7">
        <f t="shared" si="0"/>
        <v>0.78940923431393573</v>
      </c>
      <c r="O22" s="10">
        <f t="shared" si="15"/>
        <v>38558625123.737022</v>
      </c>
      <c r="P22" s="29">
        <f t="shared" si="1"/>
        <v>0.16700000000000001</v>
      </c>
      <c r="R22" s="10">
        <f t="shared" si="16"/>
        <v>47308574646.964561</v>
      </c>
      <c r="T22" s="10">
        <f t="shared" si="17"/>
        <v>47308574000</v>
      </c>
      <c r="V22" s="10">
        <f t="shared" si="2"/>
        <v>6439290395.6640835</v>
      </c>
      <c r="W22" s="10">
        <f t="shared" si="18"/>
        <v>5083235300.766264</v>
      </c>
      <c r="Y22" s="10">
        <f t="shared" si="3"/>
        <v>662320000</v>
      </c>
      <c r="Z22" s="10">
        <f t="shared" si="19"/>
        <v>522841524.07080591</v>
      </c>
      <c r="AB22" s="10">
        <f t="shared" si="4"/>
        <v>0</v>
      </c>
      <c r="AC22" s="10">
        <f t="shared" si="20"/>
        <v>0</v>
      </c>
      <c r="AE22" s="10">
        <f t="shared" si="5"/>
        <v>0</v>
      </c>
      <c r="AF22" s="10">
        <f t="shared" si="21"/>
        <v>0</v>
      </c>
      <c r="AH22" s="10">
        <f t="shared" si="6"/>
        <v>620000000</v>
      </c>
      <c r="AI22" s="10">
        <f t="shared" si="22"/>
        <v>489433725.27464014</v>
      </c>
      <c r="AK22" s="10">
        <f t="shared" si="7"/>
        <v>3325200000</v>
      </c>
      <c r="AL22" s="10">
        <f t="shared" si="23"/>
        <v>2624943585.9406991</v>
      </c>
      <c r="AN22" s="10">
        <f t="shared" si="8"/>
        <v>1524050000</v>
      </c>
      <c r="AO22" s="10">
        <f t="shared" si="24"/>
        <v>1203099143.5561538</v>
      </c>
      <c r="AQ22" s="10">
        <f t="shared" si="9"/>
        <v>656310000</v>
      </c>
      <c r="AR22" s="10">
        <f t="shared" si="25"/>
        <v>518097174.57257915</v>
      </c>
      <c r="AT22" s="40">
        <f>IF($K22&lt;=$F$15,IF($F$40&lt;&gt;"",$F$40/1000,IF(ISERROR(VLOOKUP($F$3&amp;IF($G$4&lt;&gt;"",$G$4,"")&amp;IF($F$43&lt;&gt;"","_"&amp;$F$43,""),'表3）燃料価格'!$AF$9:$AG$25,2,0)),0,VLOOKUP($I22,'表3）燃料価格'!A13:AC63,VLOOKUP($F$3,'表3）燃料価格'!$AF$9:$AG$25,2,0)+VLOOKUP($F$41,'表3）燃料価格'!$AF$28:$AG$29,2,0),0)*IF($F$43="需要地価格",1,$F$8/$F$141))),"")</f>
        <v>414.09</v>
      </c>
      <c r="AV22" s="72">
        <f t="shared" si="26"/>
        <v>95996437272.053375</v>
      </c>
      <c r="AW22" s="72">
        <f t="shared" si="27"/>
        <v>75780474043.797409</v>
      </c>
      <c r="AY22" s="7">
        <f>IF(ISERROR(IF($K22&lt;=$F$15,VLOOKUP($I22,'表4）CO2価格'!$A$7:$E$67,VLOOKUP($F$48,'表4）CO2価格'!$H$10:$I$12,2,0),0)*$F$8/1000,"")),0,IF($K22&lt;=$F$15,VLOOKUP($I22,'表4）CO2価格'!$A$7:$E$67,VLOOKUP($F$48,'表4）CO2価格'!$H$10:$I$12,2,0),0)*$F$8/1000,""))</f>
        <v>5.1788000000000105</v>
      </c>
      <c r="BA22" s="11">
        <f t="shared" si="10"/>
        <v>0</v>
      </c>
      <c r="BB22" s="10">
        <f t="shared" si="28"/>
        <v>0</v>
      </c>
      <c r="BD22" s="10">
        <f t="shared" si="11"/>
        <v>0</v>
      </c>
      <c r="BE22" s="10">
        <f t="shared" si="29"/>
        <v>0</v>
      </c>
      <c r="BG22" s="11">
        <f t="shared" si="12"/>
        <v>0</v>
      </c>
      <c r="BH22" s="10">
        <f t="shared" si="30"/>
        <v>0</v>
      </c>
      <c r="BJ22" s="7" t="str">
        <f t="shared" si="31"/>
        <v/>
      </c>
      <c r="BK22" s="158" t="str">
        <f t="shared" si="32"/>
        <v/>
      </c>
      <c r="BL22" s="158" t="str">
        <f t="shared" si="13"/>
        <v/>
      </c>
      <c r="BM22" s="10"/>
      <c r="BN22" s="10" t="str">
        <f t="shared" si="33"/>
        <v/>
      </c>
      <c r="BO22" s="10" t="str">
        <f t="shared" si="34"/>
        <v/>
      </c>
      <c r="BQ22" s="10">
        <f t="shared" si="14"/>
        <v>5092319400</v>
      </c>
      <c r="BR22" s="10">
        <f t="shared" si="35"/>
        <v>4019923958.4360008</v>
      </c>
    </row>
    <row r="23" spans="3:70" x14ac:dyDescent="0.15">
      <c r="D23" s="84" t="s">
        <v>562</v>
      </c>
      <c r="F23" s="477">
        <v>57</v>
      </c>
      <c r="G23" s="84" t="s">
        <v>549</v>
      </c>
      <c r="I23" s="38">
        <f t="shared" si="36"/>
        <v>2038</v>
      </c>
      <c r="J23" s="39"/>
      <c r="K23" s="39">
        <f t="shared" si="37"/>
        <v>9</v>
      </c>
      <c r="L23" s="39"/>
      <c r="M23" s="40">
        <f t="shared" si="0"/>
        <v>0.76641673234362695</v>
      </c>
      <c r="N23" s="39"/>
      <c r="O23" s="72">
        <f t="shared" si="15"/>
        <v>32119334728.072937</v>
      </c>
      <c r="P23" s="41">
        <f t="shared" si="1"/>
        <v>0.16700000000000001</v>
      </c>
      <c r="Q23" s="39"/>
      <c r="R23" s="72">
        <f t="shared" si="16"/>
        <v>40576370442.88266</v>
      </c>
      <c r="S23" s="39"/>
      <c r="T23" s="72">
        <f t="shared" si="17"/>
        <v>40576370000</v>
      </c>
      <c r="U23" s="39"/>
      <c r="V23" s="72">
        <f t="shared" si="2"/>
        <v>5363928899.5881805</v>
      </c>
      <c r="W23" s="72">
        <f t="shared" si="18"/>
        <v>4111004859.7459202</v>
      </c>
      <c r="X23" s="39"/>
      <c r="Y23" s="72">
        <f t="shared" si="3"/>
        <v>568069100</v>
      </c>
      <c r="Z23" s="72">
        <f t="shared" si="19"/>
        <v>435377663.36738503</v>
      </c>
      <c r="AA23" s="39"/>
      <c r="AB23" s="72">
        <f t="shared" si="4"/>
        <v>0</v>
      </c>
      <c r="AC23" s="72">
        <f t="shared" si="20"/>
        <v>0</v>
      </c>
      <c r="AD23" s="39"/>
      <c r="AE23" s="72">
        <f t="shared" si="5"/>
        <v>0</v>
      </c>
      <c r="AF23" s="72">
        <f t="shared" si="21"/>
        <v>0</v>
      </c>
      <c r="AG23" s="39"/>
      <c r="AH23" s="72">
        <f t="shared" si="6"/>
        <v>620000000</v>
      </c>
      <c r="AI23" s="72">
        <f t="shared" si="22"/>
        <v>475178374.05304873</v>
      </c>
      <c r="AJ23" s="39"/>
      <c r="AK23" s="72">
        <f t="shared" si="7"/>
        <v>3325200000</v>
      </c>
      <c r="AL23" s="72">
        <f t="shared" si="23"/>
        <v>2548488918.3890285</v>
      </c>
      <c r="AM23" s="39"/>
      <c r="AN23" s="72">
        <f t="shared" si="8"/>
        <v>1524050000</v>
      </c>
      <c r="AO23" s="72">
        <f t="shared" si="24"/>
        <v>1168057420.9283047</v>
      </c>
      <c r="AP23" s="39"/>
      <c r="AQ23" s="72">
        <f t="shared" si="9"/>
        <v>656310000</v>
      </c>
      <c r="AR23" s="72">
        <f t="shared" si="25"/>
        <v>503006965.60444582</v>
      </c>
      <c r="AS23" s="39"/>
      <c r="AT23" s="40">
        <f>IF($K23&lt;=$F$15,IF($F$40&lt;&gt;"",$F$40/1000,IF(ISERROR(VLOOKUP($F$3&amp;IF($G$4&lt;&gt;"",$G$4,"")&amp;IF($F$43&lt;&gt;"","_"&amp;$F$43,""),'表3）燃料価格'!$AF$9:$AG$25,2,0)),0,VLOOKUP($I23,'表3）燃料価格'!A14:AC64,VLOOKUP($F$3,'表3）燃料価格'!$AF$9:$AG$25,2,0)+VLOOKUP($F$41,'表3）燃料価格'!$AF$28:$AG$29,2,0),0)*IF($F$43="需要地価格",1,$F$8/$F$141))),"")</f>
        <v>414.09</v>
      </c>
      <c r="AU23" s="39"/>
      <c r="AV23" s="72">
        <f t="shared" si="26"/>
        <v>95996437272.053375</v>
      </c>
      <c r="AW23" s="72">
        <f t="shared" si="27"/>
        <v>73573275770.677109</v>
      </c>
      <c r="AX23" s="39"/>
      <c r="AY23" s="40">
        <f>IF(ISERROR(IF($K23&lt;=$F$15,VLOOKUP($I23,'表4）CO2価格'!$A$7:$E$67,VLOOKUP($F$48,'表4）CO2価格'!$H$10:$I$12,2,0),0)*$F$8/1000,"")),0,IF($K23&lt;=$F$15,VLOOKUP($I23,'表4）CO2価格'!$A$7:$E$67,VLOOKUP($F$48,'表4）CO2価格'!$H$10:$I$12,2,0),0)*$F$8/1000,""))</f>
        <v>5.3071999999999901</v>
      </c>
      <c r="AZ23" s="39"/>
      <c r="BA23" s="42">
        <f t="shared" si="10"/>
        <v>0</v>
      </c>
      <c r="BB23" s="72">
        <f t="shared" si="28"/>
        <v>0</v>
      </c>
      <c r="BC23" s="39"/>
      <c r="BD23" s="72">
        <f t="shared" si="11"/>
        <v>0</v>
      </c>
      <c r="BE23" s="72">
        <f t="shared" si="29"/>
        <v>0</v>
      </c>
      <c r="BF23" s="39"/>
      <c r="BG23" s="42">
        <f t="shared" si="12"/>
        <v>0</v>
      </c>
      <c r="BH23" s="72">
        <f t="shared" si="30"/>
        <v>0</v>
      </c>
      <c r="BI23" s="39"/>
      <c r="BJ23" s="40" t="str">
        <f t="shared" si="31"/>
        <v/>
      </c>
      <c r="BK23" s="157" t="str">
        <f t="shared" si="32"/>
        <v/>
      </c>
      <c r="BL23" s="157" t="str">
        <f t="shared" si="13"/>
        <v/>
      </c>
      <c r="BM23" s="72"/>
      <c r="BN23" s="72" t="str">
        <f t="shared" si="33"/>
        <v/>
      </c>
      <c r="BO23" s="72" t="str">
        <f t="shared" si="34"/>
        <v/>
      </c>
      <c r="BP23" s="39"/>
      <c r="BQ23" s="72">
        <f t="shared" si="14"/>
        <v>5092319400</v>
      </c>
      <c r="BR23" s="72">
        <f t="shared" si="35"/>
        <v>3902838794.5980592</v>
      </c>
    </row>
    <row r="24" spans="3:70" x14ac:dyDescent="0.15">
      <c r="D24" s="84" t="s">
        <v>563</v>
      </c>
      <c r="F24" s="480">
        <v>2.2999999999999998</v>
      </c>
      <c r="G24" s="84" t="s">
        <v>549</v>
      </c>
      <c r="I24" s="322">
        <f t="shared" si="36"/>
        <v>2039</v>
      </c>
      <c r="K24" s="71">
        <f t="shared" si="37"/>
        <v>10</v>
      </c>
      <c r="M24" s="7">
        <f t="shared" si="0"/>
        <v>0.74409391489672516</v>
      </c>
      <c r="O24" s="10">
        <f t="shared" si="15"/>
        <v>26755405828.484756</v>
      </c>
      <c r="P24" s="29">
        <f t="shared" si="1"/>
        <v>0.16700000000000001</v>
      </c>
      <c r="R24" s="10">
        <f t="shared" si="16"/>
        <v>34802186508.565239</v>
      </c>
      <c r="T24" s="10">
        <f t="shared" si="17"/>
        <v>34802186000</v>
      </c>
      <c r="V24" s="10">
        <f t="shared" si="2"/>
        <v>4468152773.3569546</v>
      </c>
      <c r="W24" s="10">
        <f t="shared" si="18"/>
        <v>3324725289.4838362</v>
      </c>
      <c r="Y24" s="10">
        <f t="shared" si="3"/>
        <v>487230600</v>
      </c>
      <c r="Z24" s="10">
        <f t="shared" si="19"/>
        <v>362545324.61148036</v>
      </c>
      <c r="AB24" s="10">
        <f t="shared" si="4"/>
        <v>0</v>
      </c>
      <c r="AC24" s="10">
        <f t="shared" si="20"/>
        <v>0</v>
      </c>
      <c r="AE24" s="10">
        <f t="shared" si="5"/>
        <v>0</v>
      </c>
      <c r="AF24" s="10">
        <f t="shared" si="21"/>
        <v>0</v>
      </c>
      <c r="AH24" s="10">
        <f t="shared" si="6"/>
        <v>620000000</v>
      </c>
      <c r="AI24" s="10">
        <f t="shared" si="22"/>
        <v>461338227.2359696</v>
      </c>
      <c r="AK24" s="10">
        <f t="shared" si="7"/>
        <v>3325200000</v>
      </c>
      <c r="AL24" s="10">
        <f t="shared" si="23"/>
        <v>2474261085.8145905</v>
      </c>
      <c r="AN24" s="10">
        <f t="shared" si="8"/>
        <v>1524050000</v>
      </c>
      <c r="AO24" s="10">
        <f t="shared" si="24"/>
        <v>1134036330.998354</v>
      </c>
      <c r="AQ24" s="10">
        <f t="shared" si="9"/>
        <v>656310000</v>
      </c>
      <c r="AR24" s="10">
        <f t="shared" si="25"/>
        <v>488356277.28586972</v>
      </c>
      <c r="AT24" s="40">
        <f>IF($K24&lt;=$F$15,IF($F$40&lt;&gt;"",$F$40/1000,IF(ISERROR(VLOOKUP($F$3&amp;IF($G$4&lt;&gt;"",$G$4,"")&amp;IF($F$43&lt;&gt;"","_"&amp;$F$43,""),'表3）燃料価格'!$AF$9:$AG$25,2,0)),0,VLOOKUP($I24,'表3）燃料価格'!A15:AC65,VLOOKUP($F$3,'表3）燃料価格'!$AF$9:$AG$25,2,0)+VLOOKUP($F$41,'表3）燃料価格'!$AF$28:$AG$29,2,0),0)*IF($F$43="需要地価格",1,$F$8/$F$141))),"")</f>
        <v>414.09</v>
      </c>
      <c r="AV24" s="72">
        <f t="shared" si="26"/>
        <v>95996437272.053375</v>
      </c>
      <c r="AW24" s="72">
        <f t="shared" si="27"/>
        <v>71430364825.900101</v>
      </c>
      <c r="AY24" s="7">
        <f>IF(ISERROR(IF($K24&lt;=$F$15,VLOOKUP($I24,'表4）CO2価格'!$A$7:$E$67,VLOOKUP($F$48,'表4）CO2価格'!$H$10:$I$12,2,0),0)*$F$8/1000,"")),0,IF($K24&lt;=$F$15,VLOOKUP($I24,'表4）CO2価格'!$A$7:$E$67,VLOOKUP($F$48,'表4）CO2価格'!$H$10:$I$12,2,0),0)*$F$8/1000,""))</f>
        <v>5.4355999999999716</v>
      </c>
      <c r="BA24" s="11">
        <f t="shared" si="10"/>
        <v>0</v>
      </c>
      <c r="BB24" s="10">
        <f t="shared" si="28"/>
        <v>0</v>
      </c>
      <c r="BD24" s="10">
        <f t="shared" si="11"/>
        <v>0</v>
      </c>
      <c r="BE24" s="10">
        <f t="shared" si="29"/>
        <v>0</v>
      </c>
      <c r="BG24" s="11">
        <f t="shared" si="12"/>
        <v>0</v>
      </c>
      <c r="BH24" s="10">
        <f t="shared" si="30"/>
        <v>0</v>
      </c>
      <c r="BJ24" s="7" t="str">
        <f t="shared" si="31"/>
        <v/>
      </c>
      <c r="BK24" s="158" t="str">
        <f t="shared" si="32"/>
        <v/>
      </c>
      <c r="BL24" s="158" t="str">
        <f t="shared" si="13"/>
        <v/>
      </c>
      <c r="BM24" s="10"/>
      <c r="BN24" s="10" t="str">
        <f t="shared" si="33"/>
        <v/>
      </c>
      <c r="BO24" s="10" t="str">
        <f t="shared" si="34"/>
        <v/>
      </c>
      <c r="BQ24" s="10">
        <f t="shared" si="14"/>
        <v>5092319400</v>
      </c>
      <c r="BR24" s="10">
        <f t="shared" si="35"/>
        <v>3789163878.2505426</v>
      </c>
    </row>
    <row r="25" spans="3:70" x14ac:dyDescent="0.15">
      <c r="D25" s="84" t="s">
        <v>564</v>
      </c>
      <c r="F25" s="475">
        <v>1.4</v>
      </c>
      <c r="G25" s="84" t="s">
        <v>549</v>
      </c>
      <c r="I25" s="38">
        <f t="shared" si="36"/>
        <v>2040</v>
      </c>
      <c r="J25" s="39"/>
      <c r="K25" s="39">
        <f t="shared" si="37"/>
        <v>11</v>
      </c>
      <c r="L25" s="39"/>
      <c r="M25" s="40">
        <f t="shared" si="0"/>
        <v>0.72242127659876232</v>
      </c>
      <c r="N25" s="39"/>
      <c r="O25" s="72">
        <f t="shared" si="15"/>
        <v>22287253055.1278</v>
      </c>
      <c r="P25" s="41">
        <f t="shared" si="1"/>
        <v>0.2</v>
      </c>
      <c r="Q25" s="39"/>
      <c r="R25" s="72">
        <f t="shared" si="16"/>
        <v>29849692630.391754</v>
      </c>
      <c r="S25" s="39"/>
      <c r="T25" s="72">
        <f t="shared" si="17"/>
        <v>29849692000</v>
      </c>
      <c r="U25" s="39"/>
      <c r="V25" s="72">
        <f t="shared" si="2"/>
        <v>4457450611.0255604</v>
      </c>
      <c r="W25" s="72">
        <f t="shared" si="18"/>
        <v>3220157160.7930183</v>
      </c>
      <c r="X25" s="39"/>
      <c r="Y25" s="72">
        <f t="shared" si="3"/>
        <v>417895600</v>
      </c>
      <c r="Z25" s="72">
        <f t="shared" si="19"/>
        <v>301896672.83700573</v>
      </c>
      <c r="AA25" s="39"/>
      <c r="AB25" s="72">
        <f t="shared" si="4"/>
        <v>0</v>
      </c>
      <c r="AC25" s="72">
        <f t="shared" si="20"/>
        <v>0</v>
      </c>
      <c r="AD25" s="39"/>
      <c r="AE25" s="72">
        <f t="shared" si="5"/>
        <v>0</v>
      </c>
      <c r="AF25" s="72">
        <f t="shared" si="21"/>
        <v>0</v>
      </c>
      <c r="AG25" s="39"/>
      <c r="AH25" s="72">
        <f t="shared" si="6"/>
        <v>620000000</v>
      </c>
      <c r="AI25" s="72">
        <f t="shared" si="22"/>
        <v>447901191.49123263</v>
      </c>
      <c r="AJ25" s="39"/>
      <c r="AK25" s="72">
        <f t="shared" si="7"/>
        <v>3325200000</v>
      </c>
      <c r="AL25" s="72">
        <f t="shared" si="23"/>
        <v>2402195228.9462047</v>
      </c>
      <c r="AM25" s="39"/>
      <c r="AN25" s="72">
        <f t="shared" si="8"/>
        <v>1524050000</v>
      </c>
      <c r="AO25" s="72">
        <f t="shared" si="24"/>
        <v>1101006146.6003437</v>
      </c>
      <c r="AP25" s="39"/>
      <c r="AQ25" s="72">
        <f t="shared" si="9"/>
        <v>656310000</v>
      </c>
      <c r="AR25" s="72">
        <f t="shared" si="25"/>
        <v>474132308.04453367</v>
      </c>
      <c r="AS25" s="39"/>
      <c r="AT25" s="40">
        <f>IF($K25&lt;=$F$15,IF($F$40&lt;&gt;"",$F$40/1000,IF(ISERROR(VLOOKUP($F$3&amp;IF($G$4&lt;&gt;"",$G$4,"")&amp;IF($F$43&lt;&gt;"","_"&amp;$F$43,""),'表3）燃料価格'!$AF$9:$AG$25,2,0)),0,VLOOKUP($I25,'表3）燃料価格'!A16:AC66,VLOOKUP($F$3,'表3）燃料価格'!$AF$9:$AG$25,2,0)+VLOOKUP($F$41,'表3）燃料価格'!$AF$28:$AG$29,2,0),0)*IF($F$43="需要地価格",1,$F$8/$F$141))),"")</f>
        <v>414.09</v>
      </c>
      <c r="AU25" s="39"/>
      <c r="AV25" s="72">
        <f t="shared" si="26"/>
        <v>95996437272.053375</v>
      </c>
      <c r="AW25" s="72">
        <f t="shared" si="27"/>
        <v>69349868763.009811</v>
      </c>
      <c r="AX25" s="39"/>
      <c r="AY25" s="40">
        <f>IF(ISERROR(IF($K25&lt;=$F$15,VLOOKUP($I25,'表4）CO2価格'!$A$7:$E$67,VLOOKUP($F$48,'表4）CO2価格'!$H$10:$I$12,2,0),0)*$F$8/1000,"")),0,IF($K25&lt;=$F$15,VLOOKUP($I25,'表4）CO2価格'!$A$7:$E$67,VLOOKUP($F$48,'表4）CO2価格'!$H$10:$I$12,2,0),0)*$F$8/1000,""))</f>
        <v>5.5640000000000001</v>
      </c>
      <c r="AZ25" s="39"/>
      <c r="BA25" s="42">
        <f t="shared" si="10"/>
        <v>0</v>
      </c>
      <c r="BB25" s="72">
        <f t="shared" si="28"/>
        <v>0</v>
      </c>
      <c r="BC25" s="39"/>
      <c r="BD25" s="72">
        <f t="shared" si="11"/>
        <v>0</v>
      </c>
      <c r="BE25" s="72">
        <f t="shared" si="29"/>
        <v>0</v>
      </c>
      <c r="BF25" s="39"/>
      <c r="BG25" s="42">
        <f t="shared" si="12"/>
        <v>0</v>
      </c>
      <c r="BH25" s="72">
        <f t="shared" si="30"/>
        <v>0</v>
      </c>
      <c r="BI25" s="39"/>
      <c r="BJ25" s="40" t="str">
        <f t="shared" si="31"/>
        <v/>
      </c>
      <c r="BK25" s="157" t="str">
        <f t="shared" si="32"/>
        <v/>
      </c>
      <c r="BL25" s="157" t="str">
        <f t="shared" si="13"/>
        <v/>
      </c>
      <c r="BM25" s="72"/>
      <c r="BN25" s="72" t="str">
        <f t="shared" si="33"/>
        <v/>
      </c>
      <c r="BO25" s="72" t="str">
        <f t="shared" si="34"/>
        <v/>
      </c>
      <c r="BP25" s="39"/>
      <c r="BQ25" s="72">
        <f t="shared" si="14"/>
        <v>5092319400</v>
      </c>
      <c r="BR25" s="72">
        <f t="shared" si="35"/>
        <v>3678799881.7966433</v>
      </c>
    </row>
    <row r="26" spans="3:70" x14ac:dyDescent="0.15">
      <c r="D26" s="84" t="s">
        <v>115</v>
      </c>
      <c r="F26" s="481"/>
      <c r="G26" s="84" t="s">
        <v>565</v>
      </c>
      <c r="I26" s="322">
        <f t="shared" si="36"/>
        <v>2041</v>
      </c>
      <c r="K26" s="71">
        <f t="shared" si="37"/>
        <v>12</v>
      </c>
      <c r="M26" s="7">
        <f t="shared" si="0"/>
        <v>0.70137988019297326</v>
      </c>
      <c r="O26" s="10">
        <f t="shared" si="15"/>
        <v>17829802444.102242</v>
      </c>
      <c r="P26" s="29" t="str">
        <f t="shared" si="1"/>
        <v>-</v>
      </c>
      <c r="R26" s="10">
        <f t="shared" si="16"/>
        <v>25601958943.285847</v>
      </c>
      <c r="T26" s="10">
        <f t="shared" si="17"/>
        <v>25601958000</v>
      </c>
      <c r="V26" s="10">
        <f t="shared" si="2"/>
        <v>4457450611.0255604</v>
      </c>
      <c r="W26" s="10">
        <f t="shared" si="18"/>
        <v>3126366175.5272031</v>
      </c>
      <c r="Y26" s="10">
        <f t="shared" si="3"/>
        <v>358427400</v>
      </c>
      <c r="Z26" s="10">
        <f t="shared" si="19"/>
        <v>251393766.86987892</v>
      </c>
      <c r="AB26" s="10">
        <f t="shared" si="4"/>
        <v>0</v>
      </c>
      <c r="AC26" s="10">
        <f t="shared" si="20"/>
        <v>0</v>
      </c>
      <c r="AE26" s="10">
        <f t="shared" si="5"/>
        <v>0</v>
      </c>
      <c r="AF26" s="10">
        <f t="shared" si="21"/>
        <v>0</v>
      </c>
      <c r="AH26" s="10">
        <f t="shared" si="6"/>
        <v>620000000</v>
      </c>
      <c r="AI26" s="10">
        <f t="shared" si="22"/>
        <v>434855525.71964341</v>
      </c>
      <c r="AK26" s="10">
        <f t="shared" si="7"/>
        <v>3325200000</v>
      </c>
      <c r="AL26" s="10">
        <f t="shared" si="23"/>
        <v>2332228377.6176748</v>
      </c>
      <c r="AN26" s="10">
        <f t="shared" si="8"/>
        <v>1524050000</v>
      </c>
      <c r="AO26" s="10">
        <f t="shared" si="24"/>
        <v>1068938006.4081008</v>
      </c>
      <c r="AQ26" s="10">
        <f t="shared" si="9"/>
        <v>656310000</v>
      </c>
      <c r="AR26" s="10">
        <f t="shared" si="25"/>
        <v>460322629.16945028</v>
      </c>
      <c r="AT26" s="40">
        <f>IF($K26&lt;=$F$15,IF($F$40&lt;&gt;"",$F$40/1000,IF(ISERROR(VLOOKUP($F$3&amp;IF($G$4&lt;&gt;"",$G$4,"")&amp;IF($F$43&lt;&gt;"","_"&amp;$F$43,""),'表3）燃料価格'!$AF$9:$AG$25,2,0)),0,VLOOKUP($I26,'表3）燃料価格'!A17:AC67,VLOOKUP($F$3,'表3）燃料価格'!$AF$9:$AG$25,2,0)+VLOOKUP($F$41,'表3）燃料価格'!$AF$28:$AG$29,2,0),0)*IF($F$43="需要地価格",1,$F$8/$F$141))),"")</f>
        <v>414.09</v>
      </c>
      <c r="AV26" s="72">
        <f t="shared" si="26"/>
        <v>95996437272.053375</v>
      </c>
      <c r="AW26" s="72">
        <f t="shared" si="27"/>
        <v>67329969672.825066</v>
      </c>
      <c r="AY26" s="7">
        <f>IF(ISERROR(IF($K26&lt;=$F$15,VLOOKUP($I26,'表4）CO2価格'!$A$7:$E$67,VLOOKUP($F$48,'表4）CO2価格'!$H$10:$I$12,2,0),0)*$F$8/1000,"")),0,IF($K26&lt;=$F$15,VLOOKUP($I26,'表4）CO2価格'!$A$7:$E$67,VLOOKUP($F$48,'表4）CO2価格'!$H$10:$I$12,2,0),0)*$F$8/1000,""))</f>
        <v>5.6923999999999806</v>
      </c>
      <c r="BA26" s="11">
        <f t="shared" si="10"/>
        <v>0</v>
      </c>
      <c r="BB26" s="10">
        <f t="shared" si="28"/>
        <v>0</v>
      </c>
      <c r="BD26" s="10">
        <f t="shared" si="11"/>
        <v>0</v>
      </c>
      <c r="BE26" s="10">
        <f t="shared" si="29"/>
        <v>0</v>
      </c>
      <c r="BG26" s="11">
        <f t="shared" si="12"/>
        <v>0</v>
      </c>
      <c r="BH26" s="10">
        <f t="shared" si="30"/>
        <v>0</v>
      </c>
      <c r="BJ26" s="7" t="str">
        <f t="shared" si="31"/>
        <v/>
      </c>
      <c r="BK26" s="158" t="str">
        <f t="shared" si="32"/>
        <v/>
      </c>
      <c r="BL26" s="158" t="str">
        <f t="shared" si="13"/>
        <v/>
      </c>
      <c r="BM26" s="10"/>
      <c r="BN26" s="10" t="str">
        <f t="shared" si="33"/>
        <v/>
      </c>
      <c r="BO26" s="10" t="str">
        <f t="shared" si="34"/>
        <v/>
      </c>
      <c r="BQ26" s="10">
        <f t="shared" si="14"/>
        <v>5092319400</v>
      </c>
      <c r="BR26" s="10">
        <f t="shared" si="35"/>
        <v>3571650370.6763535</v>
      </c>
    </row>
    <row r="27" spans="3:70" x14ac:dyDescent="0.15">
      <c r="D27" s="160" t="s">
        <v>86</v>
      </c>
      <c r="F27" s="481">
        <f>F117*5%/10^8</f>
        <v>69.275000000000006</v>
      </c>
      <c r="G27" s="84" t="s">
        <v>566</v>
      </c>
      <c r="I27" s="38">
        <f t="shared" si="36"/>
        <v>2042</v>
      </c>
      <c r="J27" s="39"/>
      <c r="K27" s="39">
        <f t="shared" si="37"/>
        <v>13</v>
      </c>
      <c r="L27" s="39"/>
      <c r="M27" s="40">
        <f t="shared" si="0"/>
        <v>0.68095133999317792</v>
      </c>
      <c r="N27" s="39"/>
      <c r="O27" s="72">
        <f t="shared" si="15"/>
        <v>13372351833.076681</v>
      </c>
      <c r="P27" s="41" t="str">
        <f t="shared" si="1"/>
        <v>-</v>
      </c>
      <c r="Q27" s="39"/>
      <c r="R27" s="72">
        <f t="shared" si="16"/>
        <v>21958695181.548733</v>
      </c>
      <c r="S27" s="39"/>
      <c r="T27" s="72">
        <f t="shared" si="17"/>
        <v>21958695000</v>
      </c>
      <c r="U27" s="39"/>
      <c r="V27" s="72">
        <f t="shared" si="2"/>
        <v>4457450611.0255604</v>
      </c>
      <c r="W27" s="72">
        <f t="shared" si="18"/>
        <v>3035306966.5312648</v>
      </c>
      <c r="X27" s="39"/>
      <c r="Y27" s="72">
        <f t="shared" si="3"/>
        <v>307421700</v>
      </c>
      <c r="Z27" s="72">
        <f t="shared" si="19"/>
        <v>209339218.55798075</v>
      </c>
      <c r="AA27" s="39"/>
      <c r="AB27" s="72">
        <f t="shared" si="4"/>
        <v>0</v>
      </c>
      <c r="AC27" s="72">
        <f t="shared" si="20"/>
        <v>0</v>
      </c>
      <c r="AD27" s="39"/>
      <c r="AE27" s="72">
        <f t="shared" si="5"/>
        <v>0</v>
      </c>
      <c r="AF27" s="72">
        <f t="shared" si="21"/>
        <v>0</v>
      </c>
      <c r="AG27" s="39"/>
      <c r="AH27" s="72">
        <f t="shared" si="6"/>
        <v>620000000</v>
      </c>
      <c r="AI27" s="72">
        <f t="shared" si="22"/>
        <v>422189830.79577029</v>
      </c>
      <c r="AJ27" s="39"/>
      <c r="AK27" s="72">
        <f t="shared" si="7"/>
        <v>3325200000</v>
      </c>
      <c r="AL27" s="72">
        <f t="shared" si="23"/>
        <v>2264299395.7453151</v>
      </c>
      <c r="AM27" s="39"/>
      <c r="AN27" s="72">
        <f t="shared" si="8"/>
        <v>1524050000</v>
      </c>
      <c r="AO27" s="72">
        <f t="shared" si="24"/>
        <v>1037803889.7166028</v>
      </c>
      <c r="AP27" s="39"/>
      <c r="AQ27" s="72">
        <f t="shared" si="9"/>
        <v>656310000</v>
      </c>
      <c r="AR27" s="72">
        <f t="shared" si="25"/>
        <v>446915173.95092261</v>
      </c>
      <c r="AS27" s="39"/>
      <c r="AT27" s="40">
        <f>IF($K27&lt;=$F$15,IF($F$40&lt;&gt;"",$F$40/1000,IF(ISERROR(VLOOKUP($F$3&amp;IF($G$4&lt;&gt;"",$G$4,"")&amp;IF($F$43&lt;&gt;"","_"&amp;$F$43,""),'表3）燃料価格'!$AF$9:$AG$25,2,0)),0,VLOOKUP($I27,'表3）燃料価格'!A18:AC68,VLOOKUP($F$3,'表3）燃料価格'!$AF$9:$AG$25,2,0)+VLOOKUP($F$41,'表3）燃料価格'!$AF$28:$AG$29,2,0),0)*IF($F$43="需要地価格",1,$F$8/$F$141))),"")</f>
        <v>414.09</v>
      </c>
      <c r="AU27" s="39"/>
      <c r="AV27" s="72">
        <f t="shared" si="26"/>
        <v>95996437272.053375</v>
      </c>
      <c r="AW27" s="72">
        <f t="shared" si="27"/>
        <v>65368902594.975792</v>
      </c>
      <c r="AX27" s="39"/>
      <c r="AY27" s="40">
        <f>IF(ISERROR(IF($K27&lt;=$F$15,VLOOKUP($I27,'表4）CO2価格'!$A$7:$E$67,VLOOKUP($F$48,'表4）CO2価格'!$H$10:$I$12,2,0),0)*$F$8/1000,"")),0,IF($K27&lt;=$F$15,VLOOKUP($I27,'表4）CO2価格'!$A$7:$E$67,VLOOKUP($F$48,'表4）CO2価格'!$H$10:$I$12,2,0),0)*$F$8/1000,""))</f>
        <v>5.82080000000001</v>
      </c>
      <c r="AZ27" s="39"/>
      <c r="BA27" s="42">
        <f t="shared" si="10"/>
        <v>0</v>
      </c>
      <c r="BB27" s="72">
        <f t="shared" si="28"/>
        <v>0</v>
      </c>
      <c r="BC27" s="39"/>
      <c r="BD27" s="72">
        <f t="shared" si="11"/>
        <v>0</v>
      </c>
      <c r="BE27" s="72">
        <f t="shared" si="29"/>
        <v>0</v>
      </c>
      <c r="BF27" s="39"/>
      <c r="BG27" s="42">
        <f t="shared" si="12"/>
        <v>0</v>
      </c>
      <c r="BH27" s="72">
        <f t="shared" si="30"/>
        <v>0</v>
      </c>
      <c r="BI27" s="39"/>
      <c r="BJ27" s="40" t="str">
        <f t="shared" si="31"/>
        <v/>
      </c>
      <c r="BK27" s="157" t="str">
        <f t="shared" si="32"/>
        <v/>
      </c>
      <c r="BL27" s="157" t="str">
        <f t="shared" si="13"/>
        <v/>
      </c>
      <c r="BM27" s="72"/>
      <c r="BN27" s="72" t="str">
        <f t="shared" si="33"/>
        <v/>
      </c>
      <c r="BO27" s="72" t="str">
        <f t="shared" si="34"/>
        <v/>
      </c>
      <c r="BP27" s="39"/>
      <c r="BQ27" s="72">
        <f t="shared" si="14"/>
        <v>5092319400</v>
      </c>
      <c r="BR27" s="72">
        <f t="shared" si="35"/>
        <v>3467621719.1032557</v>
      </c>
    </row>
    <row r="28" spans="3:70" x14ac:dyDescent="0.15">
      <c r="D28" s="84" t="s">
        <v>116</v>
      </c>
      <c r="F28" s="481">
        <v>1</v>
      </c>
      <c r="G28" s="84" t="s">
        <v>556</v>
      </c>
      <c r="I28" s="322">
        <f t="shared" si="36"/>
        <v>2043</v>
      </c>
      <c r="K28" s="71">
        <f t="shared" si="37"/>
        <v>14</v>
      </c>
      <c r="M28" s="7">
        <f t="shared" si="0"/>
        <v>0.66111780581861923</v>
      </c>
      <c r="O28" s="10">
        <f t="shared" si="15"/>
        <v>8914901222.0511208</v>
      </c>
      <c r="P28" s="29" t="str">
        <f t="shared" si="1"/>
        <v>-</v>
      </c>
      <c r="R28" s="10">
        <f t="shared" si="16"/>
        <v>18833882795.621979</v>
      </c>
      <c r="T28" s="10">
        <f t="shared" si="17"/>
        <v>18833882000</v>
      </c>
      <c r="V28" s="10">
        <f t="shared" si="2"/>
        <v>4457450611.0255604</v>
      </c>
      <c r="W28" s="10">
        <f t="shared" si="18"/>
        <v>2946899967.5060821</v>
      </c>
      <c r="Y28" s="10">
        <f t="shared" si="3"/>
        <v>263674300</v>
      </c>
      <c r="Z28" s="10">
        <f t="shared" si="19"/>
        <v>174319774.66676036</v>
      </c>
      <c r="AB28" s="10">
        <f t="shared" si="4"/>
        <v>0</v>
      </c>
      <c r="AC28" s="10">
        <f t="shared" si="20"/>
        <v>0</v>
      </c>
      <c r="AE28" s="10">
        <f t="shared" si="5"/>
        <v>0</v>
      </c>
      <c r="AF28" s="10">
        <f t="shared" si="21"/>
        <v>0</v>
      </c>
      <c r="AH28" s="10">
        <f t="shared" si="6"/>
        <v>620000000</v>
      </c>
      <c r="AI28" s="10">
        <f t="shared" si="22"/>
        <v>409893039.60754395</v>
      </c>
      <c r="AK28" s="10">
        <f t="shared" si="7"/>
        <v>3325200000</v>
      </c>
      <c r="AL28" s="10">
        <f t="shared" si="23"/>
        <v>2198348927.9080725</v>
      </c>
      <c r="AN28" s="10">
        <f t="shared" si="8"/>
        <v>1524050000</v>
      </c>
      <c r="AO28" s="10">
        <f t="shared" si="24"/>
        <v>1007576591.9578667</v>
      </c>
      <c r="AQ28" s="10">
        <f t="shared" si="9"/>
        <v>656310000</v>
      </c>
      <c r="AR28" s="10">
        <f t="shared" si="25"/>
        <v>433898227.13681799</v>
      </c>
      <c r="AT28" s="40">
        <f>IF($K28&lt;=$F$15,IF($F$40&lt;&gt;"",$F$40/1000,IF(ISERROR(VLOOKUP($F$3&amp;IF($G$4&lt;&gt;"",$G$4,"")&amp;IF($F$43&lt;&gt;"","_"&amp;$F$43,""),'表3）燃料価格'!$AF$9:$AG$25,2,0)),0,VLOOKUP($I28,'表3）燃料価格'!A19:AC69,VLOOKUP($F$3,'表3）燃料価格'!$AF$9:$AG$25,2,0)+VLOOKUP($F$41,'表3）燃料価格'!$AF$28:$AG$29,2,0),0)*IF($F$43="需要地価格",1,$F$8/$F$141))),"")</f>
        <v>414.09</v>
      </c>
      <c r="AV28" s="72">
        <f t="shared" si="26"/>
        <v>95996437272.053375</v>
      </c>
      <c r="AW28" s="72">
        <f t="shared" si="27"/>
        <v>63464953975.704643</v>
      </c>
      <c r="AY28" s="7">
        <f>IF(ISERROR(IF($K28&lt;=$F$15,VLOOKUP($I28,'表4）CO2価格'!$A$7:$E$67,VLOOKUP($F$48,'表4）CO2価格'!$H$10:$I$12,2,0),0)*$F$8/1000,"")),0,IF($K28&lt;=$F$15,VLOOKUP($I28,'表4）CO2価格'!$A$7:$E$67,VLOOKUP($F$48,'表4）CO2価格'!$H$10:$I$12,2,0),0)*$F$8/1000,""))</f>
        <v>5.9491999999999896</v>
      </c>
      <c r="BA28" s="11">
        <f t="shared" si="10"/>
        <v>0</v>
      </c>
      <c r="BB28" s="10">
        <f t="shared" si="28"/>
        <v>0</v>
      </c>
      <c r="BD28" s="10">
        <f t="shared" si="11"/>
        <v>0</v>
      </c>
      <c r="BE28" s="10">
        <f t="shared" si="29"/>
        <v>0</v>
      </c>
      <c r="BG28" s="11">
        <f t="shared" si="12"/>
        <v>0</v>
      </c>
      <c r="BH28" s="10">
        <f t="shared" si="30"/>
        <v>0</v>
      </c>
      <c r="BJ28" s="7" t="str">
        <f t="shared" si="31"/>
        <v/>
      </c>
      <c r="BK28" s="158" t="str">
        <f t="shared" si="32"/>
        <v/>
      </c>
      <c r="BL28" s="158" t="str">
        <f t="shared" si="13"/>
        <v/>
      </c>
      <c r="BM28" s="10"/>
      <c r="BN28" s="10" t="str">
        <f t="shared" si="33"/>
        <v/>
      </c>
      <c r="BO28" s="10" t="str">
        <f t="shared" si="34"/>
        <v/>
      </c>
      <c r="BQ28" s="10">
        <f t="shared" si="14"/>
        <v>5092319400</v>
      </c>
      <c r="BR28" s="10">
        <f t="shared" si="35"/>
        <v>3366623028.2555876</v>
      </c>
    </row>
    <row r="29" spans="3:70" x14ac:dyDescent="0.15">
      <c r="D29" s="84" t="s">
        <v>567</v>
      </c>
      <c r="F29" s="481"/>
      <c r="G29" s="84" t="s">
        <v>566</v>
      </c>
      <c r="I29" s="38">
        <f t="shared" si="36"/>
        <v>2044</v>
      </c>
      <c r="J29" s="39"/>
      <c r="K29" s="39">
        <f t="shared" si="37"/>
        <v>15</v>
      </c>
      <c r="L29" s="39"/>
      <c r="M29" s="40">
        <f t="shared" si="0"/>
        <v>0.64186194739671765</v>
      </c>
      <c r="N29" s="39"/>
      <c r="O29" s="72">
        <f t="shared" si="15"/>
        <v>4457450611.0255604</v>
      </c>
      <c r="P29" s="41" t="str">
        <f t="shared" si="1"/>
        <v>-</v>
      </c>
      <c r="Q29" s="39"/>
      <c r="R29" s="72">
        <f t="shared" si="16"/>
        <v>16153744028.346575</v>
      </c>
      <c r="S29" s="39"/>
      <c r="T29" s="72">
        <f t="shared" si="17"/>
        <v>16153744000</v>
      </c>
      <c r="U29" s="39"/>
      <c r="V29" s="72">
        <f t="shared" si="2"/>
        <v>4457450611.0255604</v>
      </c>
      <c r="W29" s="72">
        <f t="shared" si="18"/>
        <v>2861067929.6175551</v>
      </c>
      <c r="X29" s="39"/>
      <c r="Y29" s="72">
        <f t="shared" si="3"/>
        <v>226152400</v>
      </c>
      <c r="Z29" s="72">
        <f t="shared" si="19"/>
        <v>145158619.87244144</v>
      </c>
      <c r="AA29" s="39"/>
      <c r="AB29" s="72">
        <f t="shared" si="4"/>
        <v>0</v>
      </c>
      <c r="AC29" s="72">
        <f t="shared" si="20"/>
        <v>0</v>
      </c>
      <c r="AD29" s="39"/>
      <c r="AE29" s="72">
        <f t="shared" si="5"/>
        <v>0</v>
      </c>
      <c r="AF29" s="72">
        <f t="shared" si="21"/>
        <v>0</v>
      </c>
      <c r="AG29" s="39"/>
      <c r="AH29" s="72">
        <f t="shared" si="6"/>
        <v>620000000</v>
      </c>
      <c r="AI29" s="72">
        <f t="shared" si="22"/>
        <v>397954407.38596493</v>
      </c>
      <c r="AJ29" s="39"/>
      <c r="AK29" s="72">
        <f t="shared" si="7"/>
        <v>3325200000</v>
      </c>
      <c r="AL29" s="72">
        <f t="shared" si="23"/>
        <v>2134319347.4835656</v>
      </c>
      <c r="AM29" s="39"/>
      <c r="AN29" s="72">
        <f t="shared" si="8"/>
        <v>1524050000</v>
      </c>
      <c r="AO29" s="72">
        <f t="shared" si="24"/>
        <v>978229700.92996752</v>
      </c>
      <c r="AP29" s="39"/>
      <c r="AQ29" s="72">
        <f t="shared" si="9"/>
        <v>656310000</v>
      </c>
      <c r="AR29" s="72">
        <f t="shared" si="25"/>
        <v>421260414.69593978</v>
      </c>
      <c r="AS29" s="39"/>
      <c r="AT29" s="40">
        <f>IF($K29&lt;=$F$15,IF($F$40&lt;&gt;"",$F$40/1000,IF(ISERROR(VLOOKUP($F$3&amp;IF($G$4&lt;&gt;"",$G$4,"")&amp;IF($F$43&lt;&gt;"","_"&amp;$F$43,""),'表3）燃料価格'!$AF$9:$AG$25,2,0)),0,VLOOKUP($I29,'表3）燃料価格'!A20:AC70,VLOOKUP($F$3,'表3）燃料価格'!$AF$9:$AG$25,2,0)+VLOOKUP($F$41,'表3）燃料価格'!$AF$28:$AG$29,2,0),0)*IF($F$43="需要地価格",1,$F$8/$F$141))),"")</f>
        <v>414.09</v>
      </c>
      <c r="AU29" s="39"/>
      <c r="AV29" s="72">
        <f t="shared" si="26"/>
        <v>95996437272.053375</v>
      </c>
      <c r="AW29" s="72">
        <f t="shared" si="27"/>
        <v>61616460170.587029</v>
      </c>
      <c r="AX29" s="39"/>
      <c r="AY29" s="40">
        <f>IF(ISERROR(IF($K29&lt;=$F$15,VLOOKUP($I29,'表4）CO2価格'!$A$7:$E$67,VLOOKUP($F$48,'表4）CO2価格'!$H$10:$I$12,2,0),0)*$F$8/1000,"")),0,IF($K29&lt;=$F$15,VLOOKUP($I29,'表4）CO2価格'!$A$7:$E$67,VLOOKUP($F$48,'表4）CO2価格'!$H$10:$I$12,2,0),0)*$F$8/1000,""))</f>
        <v>6.077599999999971</v>
      </c>
      <c r="AZ29" s="39"/>
      <c r="BA29" s="42">
        <f t="shared" si="10"/>
        <v>0</v>
      </c>
      <c r="BB29" s="72">
        <f t="shared" si="28"/>
        <v>0</v>
      </c>
      <c r="BC29" s="39"/>
      <c r="BD29" s="72">
        <f t="shared" si="11"/>
        <v>0</v>
      </c>
      <c r="BE29" s="72">
        <f t="shared" si="29"/>
        <v>0</v>
      </c>
      <c r="BF29" s="39"/>
      <c r="BG29" s="42">
        <f t="shared" si="12"/>
        <v>0</v>
      </c>
      <c r="BH29" s="72">
        <f t="shared" si="30"/>
        <v>0</v>
      </c>
      <c r="BI29" s="39"/>
      <c r="BJ29" s="40" t="str">
        <f t="shared" si="31"/>
        <v/>
      </c>
      <c r="BK29" s="157" t="str">
        <f t="shared" si="32"/>
        <v/>
      </c>
      <c r="BL29" s="157" t="str">
        <f t="shared" si="13"/>
        <v/>
      </c>
      <c r="BM29" s="72"/>
      <c r="BN29" s="72" t="str">
        <f t="shared" si="33"/>
        <v/>
      </c>
      <c r="BO29" s="72" t="str">
        <f t="shared" si="34"/>
        <v/>
      </c>
      <c r="BP29" s="39"/>
      <c r="BQ29" s="72">
        <f t="shared" si="14"/>
        <v>5092319400</v>
      </c>
      <c r="BR29" s="72">
        <f t="shared" si="35"/>
        <v>3268566046.8500848</v>
      </c>
    </row>
    <row r="30" spans="3:70" x14ac:dyDescent="0.15">
      <c r="I30" s="322">
        <f t="shared" si="36"/>
        <v>2045</v>
      </c>
      <c r="K30" s="71">
        <f t="shared" si="37"/>
        <v>16</v>
      </c>
      <c r="M30" s="7">
        <f t="shared" si="0"/>
        <v>0.62316693922011435</v>
      </c>
      <c r="O30" s="10">
        <f>IF(K30&lt;=$F$15,O29-V29,"")</f>
        <v>0</v>
      </c>
      <c r="P30" s="29" t="str">
        <f t="shared" si="1"/>
        <v>-</v>
      </c>
      <c r="R30" s="10">
        <f t="shared" si="16"/>
        <v>13855000000.000006</v>
      </c>
      <c r="T30" s="10">
        <f t="shared" si="17"/>
        <v>13855000000</v>
      </c>
      <c r="V30" s="10">
        <f t="shared" si="2"/>
        <v>0</v>
      </c>
      <c r="W30" s="10">
        <f t="shared" si="18"/>
        <v>0</v>
      </c>
      <c r="Y30" s="10">
        <f t="shared" si="3"/>
        <v>193970000</v>
      </c>
      <c r="Z30" s="10">
        <f t="shared" si="19"/>
        <v>120875691.20052558</v>
      </c>
      <c r="AB30" s="10">
        <f t="shared" si="4"/>
        <v>0</v>
      </c>
      <c r="AC30" s="10">
        <f t="shared" si="20"/>
        <v>0</v>
      </c>
      <c r="AE30" s="10">
        <f t="shared" si="5"/>
        <v>0</v>
      </c>
      <c r="AF30" s="10">
        <f t="shared" si="21"/>
        <v>0</v>
      </c>
      <c r="AH30" s="10">
        <f t="shared" si="6"/>
        <v>620000000</v>
      </c>
      <c r="AI30" s="10">
        <f t="shared" si="22"/>
        <v>386363502.31647092</v>
      </c>
      <c r="AK30" s="10">
        <f t="shared" si="7"/>
        <v>3325200000</v>
      </c>
      <c r="AL30" s="10">
        <f t="shared" si="23"/>
        <v>2072154706.2947242</v>
      </c>
      <c r="AN30" s="10">
        <f t="shared" si="8"/>
        <v>1524050000</v>
      </c>
      <c r="AO30" s="10">
        <f t="shared" si="24"/>
        <v>949737573.71841526</v>
      </c>
      <c r="AQ30" s="10">
        <f t="shared" si="9"/>
        <v>656310000</v>
      </c>
      <c r="AR30" s="10">
        <f t="shared" si="25"/>
        <v>408990693.87955326</v>
      </c>
      <c r="AT30" s="40">
        <f>IF($K30&lt;=$F$15,IF($F$40&lt;&gt;"",$F$40/1000,IF(ISERROR(VLOOKUP($F$3&amp;IF($G$4&lt;&gt;"",$G$4,"")&amp;IF($F$43&lt;&gt;"","_"&amp;$F$43,""),'表3）燃料価格'!$AF$9:$AG$25,2,0)),0,VLOOKUP($I30,'表3）燃料価格'!A21:AC71,VLOOKUP($F$3,'表3）燃料価格'!$AF$9:$AG$25,2,0)+VLOOKUP($F$41,'表3）燃料価格'!$AF$28:$AG$29,2,0),0)*IF($F$43="需要地価格",1,$F$8/$F$141))),"")</f>
        <v>414.09</v>
      </c>
      <c r="AV30" s="72">
        <f t="shared" si="26"/>
        <v>95996437272.053375</v>
      </c>
      <c r="AW30" s="72">
        <f t="shared" si="27"/>
        <v>59821805990.861206</v>
      </c>
      <c r="AY30" s="7">
        <f>IF(ISERROR(IF($K30&lt;=$F$15,VLOOKUP($I30,'表4）CO2価格'!$A$7:$E$67,VLOOKUP($F$48,'表4）CO2価格'!$H$10:$I$12,2,0),0)*$F$8/1000,"")),0,IF($K30&lt;=$F$15,VLOOKUP($I30,'表4）CO2価格'!$A$7:$E$67,VLOOKUP($F$48,'表4）CO2価格'!$H$10:$I$12,2,0),0)*$F$8/1000,""))</f>
        <v>6.2060000000000004</v>
      </c>
      <c r="BA30" s="11">
        <f t="shared" si="10"/>
        <v>0</v>
      </c>
      <c r="BB30" s="10">
        <f t="shared" si="28"/>
        <v>0</v>
      </c>
      <c r="BD30" s="10">
        <f t="shared" si="11"/>
        <v>0</v>
      </c>
      <c r="BE30" s="10">
        <f t="shared" si="29"/>
        <v>0</v>
      </c>
      <c r="BG30" s="11">
        <f t="shared" si="12"/>
        <v>0</v>
      </c>
      <c r="BH30" s="10">
        <f t="shared" si="30"/>
        <v>0</v>
      </c>
      <c r="BJ30" s="7" t="str">
        <f t="shared" si="31"/>
        <v/>
      </c>
      <c r="BK30" s="158" t="str">
        <f t="shared" si="32"/>
        <v/>
      </c>
      <c r="BL30" s="158" t="str">
        <f t="shared" si="13"/>
        <v/>
      </c>
      <c r="BM30" s="10"/>
      <c r="BN30" s="10" t="str">
        <f t="shared" si="33"/>
        <v/>
      </c>
      <c r="BO30" s="10" t="str">
        <f t="shared" si="34"/>
        <v/>
      </c>
      <c r="BQ30" s="10">
        <f t="shared" si="14"/>
        <v>5092319400</v>
      </c>
      <c r="BR30" s="10">
        <f t="shared" si="35"/>
        <v>3173365094.0292091</v>
      </c>
    </row>
    <row r="31" spans="3:70" x14ac:dyDescent="0.15">
      <c r="C31" s="4" t="s">
        <v>568</v>
      </c>
      <c r="D31" s="100"/>
      <c r="E31" s="100"/>
      <c r="F31" s="4"/>
      <c r="G31" s="100"/>
      <c r="I31" s="38">
        <f t="shared" si="36"/>
        <v>2046</v>
      </c>
      <c r="J31" s="39"/>
      <c r="K31" s="39">
        <f t="shared" si="37"/>
        <v>17</v>
      </c>
      <c r="L31" s="39"/>
      <c r="M31" s="40">
        <f t="shared" si="0"/>
        <v>0.60501644584477121</v>
      </c>
      <c r="N31" s="39"/>
      <c r="O31" s="72">
        <f t="shared" si="15"/>
        <v>0</v>
      </c>
      <c r="P31" s="41" t="str">
        <f t="shared" si="1"/>
        <v>-</v>
      </c>
      <c r="Q31" s="39"/>
      <c r="R31" s="72">
        <f t="shared" si="16"/>
        <v>11883376674.976843</v>
      </c>
      <c r="S31" s="39"/>
      <c r="T31" s="72">
        <f t="shared" si="17"/>
        <v>11883376000</v>
      </c>
      <c r="U31" s="39"/>
      <c r="V31" s="72">
        <f t="shared" si="2"/>
        <v>0</v>
      </c>
      <c r="W31" s="72">
        <f t="shared" si="18"/>
        <v>0</v>
      </c>
      <c r="X31" s="39"/>
      <c r="Y31" s="72">
        <f t="shared" si="3"/>
        <v>166367200</v>
      </c>
      <c r="Z31" s="72">
        <f t="shared" si="19"/>
        <v>100654892.04914622</v>
      </c>
      <c r="AA31" s="39"/>
      <c r="AB31" s="72">
        <f t="shared" si="4"/>
        <v>0</v>
      </c>
      <c r="AC31" s="72">
        <f t="shared" si="20"/>
        <v>0</v>
      </c>
      <c r="AD31" s="39"/>
      <c r="AE31" s="72">
        <f t="shared" si="5"/>
        <v>0</v>
      </c>
      <c r="AF31" s="72">
        <f t="shared" si="21"/>
        <v>0</v>
      </c>
      <c r="AG31" s="39"/>
      <c r="AH31" s="72">
        <f t="shared" si="6"/>
        <v>620000000</v>
      </c>
      <c r="AI31" s="72">
        <f t="shared" si="22"/>
        <v>375110196.42375815</v>
      </c>
      <c r="AJ31" s="39"/>
      <c r="AK31" s="72">
        <f t="shared" si="7"/>
        <v>3325200000</v>
      </c>
      <c r="AL31" s="72">
        <f t="shared" si="23"/>
        <v>2011800685.7230332</v>
      </c>
      <c r="AM31" s="39"/>
      <c r="AN31" s="72">
        <f t="shared" si="8"/>
        <v>1524050000</v>
      </c>
      <c r="AO31" s="72">
        <f t="shared" si="24"/>
        <v>922075314.28972352</v>
      </c>
      <c r="AP31" s="39"/>
      <c r="AQ31" s="72">
        <f t="shared" si="9"/>
        <v>656310000</v>
      </c>
      <c r="AR31" s="72">
        <f t="shared" si="25"/>
        <v>397078343.57238179</v>
      </c>
      <c r="AS31" s="39"/>
      <c r="AT31" s="40">
        <f>IF($K31&lt;=$F$15,IF($F$40&lt;&gt;"",$F$40/1000,IF(ISERROR(VLOOKUP($F$3&amp;IF($G$4&lt;&gt;"",$G$4,"")&amp;IF($F$43&lt;&gt;"","_"&amp;$F$43,""),'表3）燃料価格'!$AF$9:$AG$25,2,0)),0,VLOOKUP($I31,'表3）燃料価格'!A22:AC72,VLOOKUP($F$3,'表3）燃料価格'!$AF$9:$AG$25,2,0)+VLOOKUP($F$41,'表3）燃料価格'!$AF$28:$AG$29,2,0),0)*IF($F$43="需要地価格",1,$F$8/$F$141))),"")</f>
        <v>414.09</v>
      </c>
      <c r="AU31" s="39"/>
      <c r="AV31" s="72">
        <f t="shared" si="26"/>
        <v>95996437272.053375</v>
      </c>
      <c r="AW31" s="72">
        <f t="shared" si="27"/>
        <v>58079423292.098259</v>
      </c>
      <c r="AX31" s="39"/>
      <c r="AY31" s="40">
        <f>IF(ISERROR(IF($K31&lt;=$F$15,VLOOKUP($I31,'表4）CO2価格'!$A$7:$E$67,VLOOKUP($F$48,'表4）CO2価格'!$H$10:$I$12,2,0),0)*$F$8/1000,"")),0,IF($K31&lt;=$F$15,VLOOKUP($I31,'表4）CO2価格'!$A$7:$E$67,VLOOKUP($F$48,'表4）CO2価格'!$H$10:$I$12,2,0),0)*$F$8/1000,""))</f>
        <v>6.3343999999999809</v>
      </c>
      <c r="AZ31" s="39"/>
      <c r="BA31" s="42">
        <f t="shared" si="10"/>
        <v>0</v>
      </c>
      <c r="BB31" s="72">
        <f t="shared" si="28"/>
        <v>0</v>
      </c>
      <c r="BC31" s="39"/>
      <c r="BD31" s="72">
        <f t="shared" si="11"/>
        <v>0</v>
      </c>
      <c r="BE31" s="72">
        <f t="shared" si="29"/>
        <v>0</v>
      </c>
      <c r="BF31" s="39"/>
      <c r="BG31" s="42">
        <f t="shared" si="12"/>
        <v>0</v>
      </c>
      <c r="BH31" s="72">
        <f t="shared" si="30"/>
        <v>0</v>
      </c>
      <c r="BI31" s="39"/>
      <c r="BJ31" s="40" t="str">
        <f t="shared" si="31"/>
        <v/>
      </c>
      <c r="BK31" s="157" t="str">
        <f t="shared" si="32"/>
        <v/>
      </c>
      <c r="BL31" s="157" t="str">
        <f t="shared" si="13"/>
        <v/>
      </c>
      <c r="BM31" s="72"/>
      <c r="BN31" s="72" t="str">
        <f t="shared" si="33"/>
        <v/>
      </c>
      <c r="BO31" s="72" t="str">
        <f t="shared" si="34"/>
        <v/>
      </c>
      <c r="BP31" s="39"/>
      <c r="BQ31" s="72">
        <f t="shared" si="14"/>
        <v>5092319400</v>
      </c>
      <c r="BR31" s="72">
        <f t="shared" si="35"/>
        <v>3080936984.4943776</v>
      </c>
    </row>
    <row r="32" spans="3:70" x14ac:dyDescent="0.15">
      <c r="I32" s="322">
        <f t="shared" si="36"/>
        <v>2047</v>
      </c>
      <c r="K32" s="71">
        <f t="shared" si="37"/>
        <v>18</v>
      </c>
      <c r="M32" s="7">
        <f t="shared" si="0"/>
        <v>0.5873946076162827</v>
      </c>
      <c r="O32" s="10">
        <f t="shared" si="15"/>
        <v>0</v>
      </c>
      <c r="P32" s="29" t="str">
        <f t="shared" si="1"/>
        <v>-</v>
      </c>
      <c r="R32" s="10">
        <f t="shared" si="16"/>
        <v>10192323435.538334</v>
      </c>
      <c r="T32" s="10">
        <f t="shared" si="17"/>
        <v>10192323000</v>
      </c>
      <c r="V32" s="10">
        <f t="shared" si="2"/>
        <v>0</v>
      </c>
      <c r="W32" s="10">
        <f t="shared" si="18"/>
        <v>0</v>
      </c>
      <c r="Y32" s="10">
        <f t="shared" si="3"/>
        <v>142692500</v>
      </c>
      <c r="Z32" s="10">
        <f t="shared" si="19"/>
        <v>83816805.047286421</v>
      </c>
      <c r="AB32" s="10">
        <f t="shared" si="4"/>
        <v>0</v>
      </c>
      <c r="AC32" s="10">
        <f t="shared" si="20"/>
        <v>0</v>
      </c>
      <c r="AE32" s="10">
        <f t="shared" si="5"/>
        <v>0</v>
      </c>
      <c r="AF32" s="10">
        <f t="shared" si="21"/>
        <v>0</v>
      </c>
      <c r="AH32" s="10">
        <f t="shared" si="6"/>
        <v>620000000</v>
      </c>
      <c r="AI32" s="10">
        <f t="shared" si="22"/>
        <v>364184656.72209525</v>
      </c>
      <c r="AK32" s="10">
        <f t="shared" si="7"/>
        <v>3325200000</v>
      </c>
      <c r="AL32" s="10">
        <f t="shared" si="23"/>
        <v>1953204549.2456632</v>
      </c>
      <c r="AN32" s="10">
        <f t="shared" si="8"/>
        <v>1524050000</v>
      </c>
      <c r="AO32" s="10">
        <f t="shared" si="24"/>
        <v>895218751.73759568</v>
      </c>
      <c r="AQ32" s="10">
        <f t="shared" si="9"/>
        <v>656310000</v>
      </c>
      <c r="AR32" s="10">
        <f t="shared" si="25"/>
        <v>385512954.9246425</v>
      </c>
      <c r="AT32" s="40">
        <f>IF($K32&lt;=$F$15,IF($F$40&lt;&gt;"",$F$40/1000,IF(ISERROR(VLOOKUP($F$3&amp;IF($G$4&lt;&gt;"",$G$4,"")&amp;IF($F$43&lt;&gt;"","_"&amp;$F$43,""),'表3）燃料価格'!$AF$9:$AG$25,2,0)),0,VLOOKUP($I32,'表3）燃料価格'!A23:AC73,VLOOKUP($F$3,'表3）燃料価格'!$AF$9:$AG$25,2,0)+VLOOKUP($F$41,'表3）燃料価格'!$AF$28:$AG$29,2,0),0)*IF($F$43="需要地価格",1,$F$8/$F$141))),"")</f>
        <v>414.09</v>
      </c>
      <c r="AV32" s="72">
        <f t="shared" si="26"/>
        <v>95996437272.053375</v>
      </c>
      <c r="AW32" s="72">
        <f t="shared" si="27"/>
        <v>56387789603.978889</v>
      </c>
      <c r="AY32" s="7">
        <f>IF(ISERROR(IF($K32&lt;=$F$15,VLOOKUP($I32,'表4）CO2価格'!$A$7:$E$67,VLOOKUP($F$48,'表4）CO2価格'!$H$10:$I$12,2,0),0)*$F$8/1000,"")),0,IF($K32&lt;=$F$15,VLOOKUP($I32,'表4）CO2価格'!$A$7:$E$67,VLOOKUP($F$48,'表4）CO2価格'!$H$10:$I$12,2,0),0)*$F$8/1000,""))</f>
        <v>6.4628000000000103</v>
      </c>
      <c r="BA32" s="11">
        <f t="shared" si="10"/>
        <v>0</v>
      </c>
      <c r="BB32" s="10">
        <f t="shared" si="28"/>
        <v>0</v>
      </c>
      <c r="BD32" s="10">
        <f t="shared" si="11"/>
        <v>0</v>
      </c>
      <c r="BE32" s="10">
        <f t="shared" si="29"/>
        <v>0</v>
      </c>
      <c r="BG32" s="11">
        <f t="shared" si="12"/>
        <v>0</v>
      </c>
      <c r="BH32" s="10">
        <f t="shared" si="30"/>
        <v>0</v>
      </c>
      <c r="BJ32" s="7" t="str">
        <f t="shared" si="31"/>
        <v/>
      </c>
      <c r="BK32" s="158" t="str">
        <f t="shared" si="32"/>
        <v/>
      </c>
      <c r="BL32" s="158" t="str">
        <f t="shared" si="13"/>
        <v/>
      </c>
      <c r="BM32" s="10"/>
      <c r="BN32" s="10" t="str">
        <f t="shared" si="33"/>
        <v/>
      </c>
      <c r="BO32" s="10" t="str">
        <f t="shared" si="34"/>
        <v/>
      </c>
      <c r="BQ32" s="10">
        <f t="shared" si="14"/>
        <v>5092319400</v>
      </c>
      <c r="BR32" s="10">
        <f t="shared" si="35"/>
        <v>2991200955.8197842</v>
      </c>
    </row>
    <row r="33" spans="3:70" x14ac:dyDescent="0.15">
      <c r="D33" s="84" t="s">
        <v>636</v>
      </c>
      <c r="F33" s="475">
        <v>6.2</v>
      </c>
      <c r="G33" s="84" t="s">
        <v>637</v>
      </c>
      <c r="I33" s="38">
        <f t="shared" si="36"/>
        <v>2048</v>
      </c>
      <c r="J33" s="39"/>
      <c r="K33" s="39">
        <f t="shared" si="37"/>
        <v>19</v>
      </c>
      <c r="L33" s="39"/>
      <c r="M33" s="40">
        <f t="shared" si="0"/>
        <v>0.57028602681192497</v>
      </c>
      <c r="N33" s="39"/>
      <c r="O33" s="72">
        <f t="shared" si="15"/>
        <v>0</v>
      </c>
      <c r="P33" s="41" t="str">
        <f t="shared" si="1"/>
        <v>-</v>
      </c>
      <c r="Q33" s="39"/>
      <c r="R33" s="72">
        <f t="shared" si="16"/>
        <v>8741914007.7730808</v>
      </c>
      <c r="S33" s="39"/>
      <c r="T33" s="72">
        <f t="shared" si="17"/>
        <v>8741914000</v>
      </c>
      <c r="U33" s="39"/>
      <c r="V33" s="72">
        <f t="shared" si="2"/>
        <v>0</v>
      </c>
      <c r="W33" s="72">
        <f t="shared" si="18"/>
        <v>0</v>
      </c>
      <c r="X33" s="39"/>
      <c r="Y33" s="72">
        <f t="shared" si="3"/>
        <v>122386700</v>
      </c>
      <c r="Z33" s="72">
        <f t="shared" si="19"/>
        <v>69795424.877623022</v>
      </c>
      <c r="AA33" s="39"/>
      <c r="AB33" s="72">
        <f t="shared" si="4"/>
        <v>0</v>
      </c>
      <c r="AC33" s="72">
        <f t="shared" si="20"/>
        <v>0</v>
      </c>
      <c r="AD33" s="39"/>
      <c r="AE33" s="72">
        <f t="shared" si="5"/>
        <v>0</v>
      </c>
      <c r="AF33" s="72">
        <f t="shared" si="21"/>
        <v>0</v>
      </c>
      <c r="AG33" s="39"/>
      <c r="AH33" s="72">
        <f t="shared" si="6"/>
        <v>620000000</v>
      </c>
      <c r="AI33" s="72">
        <f t="shared" si="22"/>
        <v>353577336.62339348</v>
      </c>
      <c r="AJ33" s="39"/>
      <c r="AK33" s="72">
        <f t="shared" si="7"/>
        <v>3325200000</v>
      </c>
      <c r="AL33" s="72">
        <f t="shared" si="23"/>
        <v>1896315096.3550129</v>
      </c>
      <c r="AM33" s="39"/>
      <c r="AN33" s="72">
        <f t="shared" si="8"/>
        <v>1524050000</v>
      </c>
      <c r="AO33" s="72">
        <f t="shared" si="24"/>
        <v>869144419.16271424</v>
      </c>
      <c r="AP33" s="39"/>
      <c r="AQ33" s="72">
        <f t="shared" si="9"/>
        <v>656310000</v>
      </c>
      <c r="AR33" s="72">
        <f t="shared" si="25"/>
        <v>374284422.25693446</v>
      </c>
      <c r="AS33" s="39"/>
      <c r="AT33" s="40">
        <f>IF($K33&lt;=$F$15,IF($F$40&lt;&gt;"",$F$40/1000,IF(ISERROR(VLOOKUP($F$3&amp;IF($G$4&lt;&gt;"",$G$4,"")&amp;IF($F$43&lt;&gt;"","_"&amp;$F$43,""),'表3）燃料価格'!$AF$9:$AG$25,2,0)),0,VLOOKUP($I33,'表3）燃料価格'!A24:AC74,VLOOKUP($F$3,'表3）燃料価格'!$AF$9:$AG$25,2,0)+VLOOKUP($F$41,'表3）燃料価格'!$AF$28:$AG$29,2,0),0)*IF($F$43="需要地価格",1,$F$8/$F$141))),"")</f>
        <v>414.09</v>
      </c>
      <c r="AU33" s="39"/>
      <c r="AV33" s="72">
        <f t="shared" si="26"/>
        <v>95996437272.053375</v>
      </c>
      <c r="AW33" s="72">
        <f t="shared" si="27"/>
        <v>54745426799.979507</v>
      </c>
      <c r="AX33" s="39"/>
      <c r="AY33" s="40">
        <f>IF(ISERROR(IF($K33&lt;=$F$15,VLOOKUP($I33,'表4）CO2価格'!$A$7:$E$67,VLOOKUP($F$48,'表4）CO2価格'!$H$10:$I$12,2,0),0)*$F$8/1000,"")),0,IF($K33&lt;=$F$15,VLOOKUP($I33,'表4）CO2価格'!$A$7:$E$67,VLOOKUP($F$48,'表4）CO2価格'!$H$10:$I$12,2,0),0)*$F$8/1000,""))</f>
        <v>6.59119999999999</v>
      </c>
      <c r="AZ33" s="39"/>
      <c r="BA33" s="42">
        <f t="shared" si="10"/>
        <v>0</v>
      </c>
      <c r="BB33" s="72">
        <f t="shared" si="28"/>
        <v>0</v>
      </c>
      <c r="BC33" s="39"/>
      <c r="BD33" s="72">
        <f t="shared" si="11"/>
        <v>0</v>
      </c>
      <c r="BE33" s="72">
        <f t="shared" si="29"/>
        <v>0</v>
      </c>
      <c r="BF33" s="39"/>
      <c r="BG33" s="42">
        <f t="shared" si="12"/>
        <v>0</v>
      </c>
      <c r="BH33" s="72">
        <f t="shared" si="30"/>
        <v>0</v>
      </c>
      <c r="BI33" s="39"/>
      <c r="BJ33" s="40" t="str">
        <f t="shared" si="31"/>
        <v/>
      </c>
      <c r="BK33" s="157" t="str">
        <f t="shared" si="32"/>
        <v/>
      </c>
      <c r="BL33" s="157" t="str">
        <f t="shared" si="13"/>
        <v/>
      </c>
      <c r="BM33" s="72"/>
      <c r="BN33" s="72" t="str">
        <f t="shared" si="33"/>
        <v/>
      </c>
      <c r="BO33" s="72" t="str">
        <f t="shared" si="34"/>
        <v/>
      </c>
      <c r="BP33" s="39"/>
      <c r="BQ33" s="72">
        <f t="shared" si="14"/>
        <v>5092319400</v>
      </c>
      <c r="BR33" s="72">
        <f t="shared" si="35"/>
        <v>2904078597.8832855</v>
      </c>
    </row>
    <row r="34" spans="3:70" x14ac:dyDescent="0.15">
      <c r="D34" s="84" t="s">
        <v>120</v>
      </c>
      <c r="F34" s="475">
        <v>2.4</v>
      </c>
      <c r="G34" s="84" t="s">
        <v>638</v>
      </c>
      <c r="I34" s="322">
        <f t="shared" si="36"/>
        <v>2049</v>
      </c>
      <c r="K34" s="71">
        <f t="shared" si="37"/>
        <v>20</v>
      </c>
      <c r="M34" s="7">
        <f t="shared" si="0"/>
        <v>0.55367575418633497</v>
      </c>
      <c r="O34" s="10">
        <f t="shared" si="15"/>
        <v>0</v>
      </c>
      <c r="P34" s="29" t="str">
        <f t="shared" si="1"/>
        <v>-</v>
      </c>
      <c r="R34" s="10">
        <f t="shared" si="16"/>
        <v>7497903790.3012571</v>
      </c>
      <c r="T34" s="10">
        <f t="shared" si="17"/>
        <v>7497903000</v>
      </c>
      <c r="V34" s="10">
        <f t="shared" si="2"/>
        <v>0</v>
      </c>
      <c r="W34" s="10">
        <f t="shared" si="18"/>
        <v>0</v>
      </c>
      <c r="Y34" s="10">
        <f t="shared" si="3"/>
        <v>104970600</v>
      </c>
      <c r="Z34" s="10">
        <f t="shared" si="19"/>
        <v>58119676.122392096</v>
      </c>
      <c r="AB34" s="10">
        <f t="shared" si="4"/>
        <v>0</v>
      </c>
      <c r="AC34" s="10">
        <f t="shared" si="20"/>
        <v>0</v>
      </c>
      <c r="AE34" s="10">
        <f t="shared" si="5"/>
        <v>0</v>
      </c>
      <c r="AF34" s="10">
        <f t="shared" si="21"/>
        <v>0</v>
      </c>
      <c r="AH34" s="10">
        <f t="shared" si="6"/>
        <v>620000000</v>
      </c>
      <c r="AI34" s="10">
        <f t="shared" si="22"/>
        <v>343278967.59552771</v>
      </c>
      <c r="AK34" s="10">
        <f t="shared" si="7"/>
        <v>3325200000</v>
      </c>
      <c r="AL34" s="10">
        <f t="shared" si="23"/>
        <v>1841082617.820401</v>
      </c>
      <c r="AN34" s="10">
        <f t="shared" si="8"/>
        <v>1524050000</v>
      </c>
      <c r="AO34" s="10">
        <f t="shared" si="24"/>
        <v>843829533.16768384</v>
      </c>
      <c r="AQ34" s="10">
        <f t="shared" si="9"/>
        <v>656310000</v>
      </c>
      <c r="AR34" s="10">
        <f t="shared" si="25"/>
        <v>363382934.23003352</v>
      </c>
      <c r="AT34" s="40">
        <f>IF($K34&lt;=$F$15,IF($F$40&lt;&gt;"",$F$40/1000,IF(ISERROR(VLOOKUP($F$3&amp;IF($G$4&lt;&gt;"",$G$4,"")&amp;IF($F$43&lt;&gt;"","_"&amp;$F$43,""),'表3）燃料価格'!$AF$9:$AG$25,2,0)),0,VLOOKUP($I34,'表3）燃料価格'!A25:AC75,VLOOKUP($F$3,'表3）燃料価格'!$AF$9:$AG$25,2,0)+VLOOKUP($F$41,'表3）燃料価格'!$AF$28:$AG$29,2,0),0)*IF($F$43="需要地価格",1,$F$8/$F$141))),"")</f>
        <v>414.09</v>
      </c>
      <c r="AV34" s="72">
        <f t="shared" si="26"/>
        <v>95996437272.053375</v>
      </c>
      <c r="AW34" s="72">
        <f t="shared" si="27"/>
        <v>53150899805.805351</v>
      </c>
      <c r="AY34" s="7">
        <f>IF(ISERROR(IF($K34&lt;=$F$15,VLOOKUP($I34,'表4）CO2価格'!$A$7:$E$67,VLOOKUP($F$48,'表4）CO2価格'!$H$10:$I$12,2,0),0)*$F$8/1000,"")),0,IF($K34&lt;=$F$15,VLOOKUP($I34,'表4）CO2価格'!$A$7:$E$67,VLOOKUP($F$48,'表4）CO2価格'!$H$10:$I$12,2,0),0)*$F$8/1000,""))</f>
        <v>6.7195999999999714</v>
      </c>
      <c r="BA34" s="11">
        <f t="shared" si="10"/>
        <v>0</v>
      </c>
      <c r="BB34" s="10">
        <f t="shared" si="28"/>
        <v>0</v>
      </c>
      <c r="BD34" s="10">
        <f t="shared" si="11"/>
        <v>0</v>
      </c>
      <c r="BE34" s="10">
        <f t="shared" si="29"/>
        <v>0</v>
      </c>
      <c r="BG34" s="11">
        <f t="shared" si="12"/>
        <v>0</v>
      </c>
      <c r="BH34" s="10">
        <f t="shared" si="30"/>
        <v>0</v>
      </c>
      <c r="BJ34" s="7" t="str">
        <f t="shared" si="31"/>
        <v/>
      </c>
      <c r="BK34" s="158" t="str">
        <f t="shared" si="32"/>
        <v/>
      </c>
      <c r="BL34" s="158" t="str">
        <f t="shared" si="13"/>
        <v/>
      </c>
      <c r="BM34" s="10"/>
      <c r="BN34" s="10" t="str">
        <f t="shared" si="33"/>
        <v/>
      </c>
      <c r="BO34" s="10" t="str">
        <f t="shared" si="34"/>
        <v/>
      </c>
      <c r="BQ34" s="10">
        <f t="shared" si="14"/>
        <v>5092319400</v>
      </c>
      <c r="BR34" s="10">
        <f t="shared" si="35"/>
        <v>2819493784.352705</v>
      </c>
    </row>
    <row r="35" spans="3:70" x14ac:dyDescent="0.15">
      <c r="D35" s="84" t="s">
        <v>122</v>
      </c>
      <c r="F35" s="475">
        <v>1.1000000000000001</v>
      </c>
      <c r="G35" s="84" t="s">
        <v>638</v>
      </c>
      <c r="I35" s="38">
        <f t="shared" si="36"/>
        <v>2050</v>
      </c>
      <c r="J35" s="39"/>
      <c r="K35" s="39">
        <f t="shared" si="37"/>
        <v>21</v>
      </c>
      <c r="L35" s="39"/>
      <c r="M35" s="40">
        <f t="shared" si="0"/>
        <v>0.5375492759090631</v>
      </c>
      <c r="N35" s="39"/>
      <c r="O35" s="72">
        <f t="shared" si="15"/>
        <v>0</v>
      </c>
      <c r="P35" s="41" t="str">
        <f t="shared" si="1"/>
        <v>-</v>
      </c>
      <c r="Q35" s="39"/>
      <c r="R35" s="72">
        <f t="shared" si="16"/>
        <v>6927500000</v>
      </c>
      <c r="S35" s="39"/>
      <c r="T35" s="72">
        <f t="shared" si="17"/>
        <v>6927500000</v>
      </c>
      <c r="U35" s="39"/>
      <c r="V35" s="72">
        <f t="shared" si="2"/>
        <v>0</v>
      </c>
      <c r="W35" s="72">
        <f t="shared" si="18"/>
        <v>0</v>
      </c>
      <c r="X35" s="39"/>
      <c r="Y35" s="72">
        <f t="shared" si="3"/>
        <v>96985000</v>
      </c>
      <c r="Z35" s="72">
        <f t="shared" si="19"/>
        <v>52134216.524040483</v>
      </c>
      <c r="AA35" s="39"/>
      <c r="AB35" s="72">
        <f t="shared" si="4"/>
        <v>0</v>
      </c>
      <c r="AC35" s="72">
        <f t="shared" si="20"/>
        <v>0</v>
      </c>
      <c r="AD35" s="39"/>
      <c r="AE35" s="72">
        <f t="shared" si="5"/>
        <v>0</v>
      </c>
      <c r="AF35" s="72">
        <f t="shared" si="21"/>
        <v>0</v>
      </c>
      <c r="AG35" s="39"/>
      <c r="AH35" s="72">
        <f t="shared" si="6"/>
        <v>620000000</v>
      </c>
      <c r="AI35" s="72">
        <f t="shared" si="22"/>
        <v>333280551.06361914</v>
      </c>
      <c r="AJ35" s="39"/>
      <c r="AK35" s="72">
        <f t="shared" si="7"/>
        <v>3325200000</v>
      </c>
      <c r="AL35" s="72">
        <f t="shared" si="23"/>
        <v>1787458852.2528167</v>
      </c>
      <c r="AM35" s="39"/>
      <c r="AN35" s="72">
        <f t="shared" si="8"/>
        <v>1524050000</v>
      </c>
      <c r="AO35" s="72">
        <f t="shared" si="24"/>
        <v>819251973.94920766</v>
      </c>
      <c r="AP35" s="39"/>
      <c r="AQ35" s="72">
        <f t="shared" si="9"/>
        <v>656310000</v>
      </c>
      <c r="AR35" s="72">
        <f t="shared" si="25"/>
        <v>352798965.27187723</v>
      </c>
      <c r="AS35" s="39"/>
      <c r="AT35" s="40">
        <f>IF($K35&lt;=$F$15,IF($F$40&lt;&gt;"",$F$40/1000,IF(ISERROR(VLOOKUP($F$3&amp;IF($G$4&lt;&gt;"",$G$4,"")&amp;IF($F$43&lt;&gt;"","_"&amp;$F$43,""),'表3）燃料価格'!$AF$9:$AG$25,2,0)),0,VLOOKUP($I35,'表3）燃料価格'!A26:AC76,VLOOKUP($F$3,'表3）燃料価格'!$AF$9:$AG$25,2,0)+VLOOKUP($F$41,'表3）燃料価格'!$AF$28:$AG$29,2,0),0)*IF($F$43="需要地価格",1,$F$8/$F$141))),"")</f>
        <v>414.09</v>
      </c>
      <c r="AU35" s="39"/>
      <c r="AV35" s="72">
        <f t="shared" si="26"/>
        <v>95996437272.053375</v>
      </c>
      <c r="AW35" s="72">
        <f t="shared" si="27"/>
        <v>51602815345.442085</v>
      </c>
      <c r="AX35" s="39"/>
      <c r="AY35" s="40">
        <f>IF(ISERROR(IF($K35&lt;=$F$15,VLOOKUP($I35,'表4）CO2価格'!$A$7:$E$67,VLOOKUP($F$48,'表4）CO2価格'!$H$10:$I$12,2,0),0)*$F$8/1000,"")),0,IF($K35&lt;=$F$15,VLOOKUP($I35,'表4）CO2価格'!$A$7:$E$67,VLOOKUP($F$48,'表4）CO2価格'!$H$10:$I$12,2,0),0)*$F$8/1000,""))</f>
        <v>6.8479999999999999</v>
      </c>
      <c r="AZ35" s="39"/>
      <c r="BA35" s="42">
        <f t="shared" si="10"/>
        <v>0</v>
      </c>
      <c r="BB35" s="72">
        <f t="shared" si="28"/>
        <v>0</v>
      </c>
      <c r="BC35" s="39"/>
      <c r="BD35" s="72">
        <f t="shared" si="11"/>
        <v>0</v>
      </c>
      <c r="BE35" s="72">
        <f t="shared" si="29"/>
        <v>0</v>
      </c>
      <c r="BF35" s="39"/>
      <c r="BG35" s="42">
        <f t="shared" si="12"/>
        <v>0</v>
      </c>
      <c r="BH35" s="72">
        <f t="shared" si="30"/>
        <v>0</v>
      </c>
      <c r="BI35" s="39"/>
      <c r="BJ35" s="40" t="str">
        <f t="shared" si="31"/>
        <v/>
      </c>
      <c r="BK35" s="157" t="str">
        <f t="shared" si="32"/>
        <v/>
      </c>
      <c r="BL35" s="157" t="str">
        <f t="shared" si="13"/>
        <v/>
      </c>
      <c r="BM35" s="72"/>
      <c r="BN35" s="72" t="str">
        <f t="shared" si="33"/>
        <v/>
      </c>
      <c r="BO35" s="72" t="str">
        <f t="shared" si="34"/>
        <v/>
      </c>
      <c r="BP35" s="39"/>
      <c r="BQ35" s="72">
        <f t="shared" si="14"/>
        <v>5092319400</v>
      </c>
      <c r="BR35" s="72">
        <f t="shared" si="35"/>
        <v>2737372606.1676745</v>
      </c>
    </row>
    <row r="36" spans="3:70" x14ac:dyDescent="0.15">
      <c r="D36" s="84" t="s">
        <v>639</v>
      </c>
      <c r="F36" s="480">
        <v>12</v>
      </c>
      <c r="G36" s="84" t="s">
        <v>640</v>
      </c>
      <c r="I36" s="322">
        <f t="shared" si="36"/>
        <v>2051</v>
      </c>
      <c r="K36" s="71">
        <f t="shared" si="37"/>
        <v>22</v>
      </c>
      <c r="M36" s="7">
        <f t="shared" si="0"/>
        <v>0.52189250088258554</v>
      </c>
      <c r="O36" s="10">
        <f t="shared" si="15"/>
        <v>0</v>
      </c>
      <c r="P36" s="29" t="str">
        <f t="shared" si="1"/>
        <v>-</v>
      </c>
      <c r="R36" s="10">
        <f t="shared" si="16"/>
        <v>6927500000</v>
      </c>
      <c r="T36" s="10">
        <f t="shared" si="17"/>
        <v>6927500000</v>
      </c>
      <c r="V36" s="10">
        <f t="shared" si="2"/>
        <v>0</v>
      </c>
      <c r="W36" s="10">
        <f t="shared" si="18"/>
        <v>0</v>
      </c>
      <c r="Y36" s="10">
        <f t="shared" si="3"/>
        <v>96985000</v>
      </c>
      <c r="Z36" s="10">
        <f t="shared" si="19"/>
        <v>50615744.198097557</v>
      </c>
      <c r="AB36" s="10">
        <f t="shared" si="4"/>
        <v>0</v>
      </c>
      <c r="AC36" s="10">
        <f t="shared" si="20"/>
        <v>0</v>
      </c>
      <c r="AE36" s="10">
        <f t="shared" si="5"/>
        <v>0</v>
      </c>
      <c r="AF36" s="10">
        <f t="shared" si="21"/>
        <v>0</v>
      </c>
      <c r="AH36" s="10">
        <f t="shared" si="6"/>
        <v>620000000</v>
      </c>
      <c r="AI36" s="10">
        <f t="shared" si="22"/>
        <v>323573350.54720306</v>
      </c>
      <c r="AK36" s="10">
        <f t="shared" si="7"/>
        <v>3325200000</v>
      </c>
      <c r="AL36" s="10">
        <f t="shared" si="23"/>
        <v>1735396943.9347734</v>
      </c>
      <c r="AN36" s="10">
        <f t="shared" si="8"/>
        <v>1524050000</v>
      </c>
      <c r="AO36" s="10">
        <f t="shared" si="24"/>
        <v>795390265.97010446</v>
      </c>
      <c r="AQ36" s="10">
        <f t="shared" si="9"/>
        <v>656310000</v>
      </c>
      <c r="AR36" s="10">
        <f t="shared" si="25"/>
        <v>342523267.25424969</v>
      </c>
      <c r="AT36" s="40">
        <f>IF($K36&lt;=$F$15,IF($F$40&lt;&gt;"",$F$40/1000,IF(ISERROR(VLOOKUP($F$3&amp;IF($G$4&lt;&gt;"",$G$4,"")&amp;IF($F$43&lt;&gt;"","_"&amp;$F$43,""),'表3）燃料価格'!$AF$9:$AG$25,2,0)),0,VLOOKUP($I36,'表3）燃料価格'!A27:AC77,VLOOKUP($F$3,'表3）燃料価格'!$AF$9:$AG$25,2,0)+VLOOKUP($F$41,'表3）燃料価格'!$AF$28:$AG$29,2,0),0)*IF($F$43="需要地価格",1,$F$8/$F$141))),"")</f>
        <v>414.09</v>
      </c>
      <c r="AV36" s="72">
        <f t="shared" si="26"/>
        <v>95996437272.053375</v>
      </c>
      <c r="AW36" s="72">
        <f t="shared" si="27"/>
        <v>50099820723.730186</v>
      </c>
      <c r="AY36" s="7">
        <f>IF(ISERROR(IF($K36&lt;=$F$15,VLOOKUP($I36,'表4）CO2価格'!$A$7:$E$67,VLOOKUP($F$48,'表4）CO2価格'!$H$10:$I$12,2,0),0)*$F$8/1000,"")),0,IF($K36&lt;=$F$15,VLOOKUP($I36,'表4）CO2価格'!$A$7:$E$67,VLOOKUP($F$48,'表4）CO2価格'!$H$10:$I$12,2,0),0)*$F$8/1000,""))</f>
        <v>7.0184806169104448</v>
      </c>
      <c r="BA36" s="11">
        <f t="shared" si="10"/>
        <v>0</v>
      </c>
      <c r="BB36" s="10">
        <f t="shared" si="28"/>
        <v>0</v>
      </c>
      <c r="BD36" s="10">
        <f t="shared" si="11"/>
        <v>0</v>
      </c>
      <c r="BE36" s="10">
        <f t="shared" si="29"/>
        <v>0</v>
      </c>
      <c r="BG36" s="11">
        <f t="shared" si="12"/>
        <v>0</v>
      </c>
      <c r="BH36" s="10">
        <f t="shared" si="30"/>
        <v>0</v>
      </c>
      <c r="BJ36" s="7" t="str">
        <f t="shared" si="31"/>
        <v/>
      </c>
      <c r="BK36" s="158" t="str">
        <f t="shared" si="32"/>
        <v/>
      </c>
      <c r="BL36" s="158" t="str">
        <f t="shared" si="13"/>
        <v/>
      </c>
      <c r="BM36" s="10"/>
      <c r="BN36" s="10" t="str">
        <f t="shared" si="33"/>
        <v/>
      </c>
      <c r="BO36" s="10" t="str">
        <f t="shared" si="34"/>
        <v/>
      </c>
      <c r="BQ36" s="10">
        <f t="shared" si="14"/>
        <v>5092319400</v>
      </c>
      <c r="BR36" s="10">
        <f t="shared" si="35"/>
        <v>2657643306.9589076</v>
      </c>
    </row>
    <row r="37" spans="3:70" x14ac:dyDescent="0.15">
      <c r="I37" s="38">
        <f t="shared" si="36"/>
        <v>2052</v>
      </c>
      <c r="J37" s="39"/>
      <c r="K37" s="39">
        <f t="shared" si="37"/>
        <v>23</v>
      </c>
      <c r="L37" s="39"/>
      <c r="M37" s="40">
        <f t="shared" si="0"/>
        <v>0.50669174842969467</v>
      </c>
      <c r="N37" s="39"/>
      <c r="O37" s="72">
        <f t="shared" si="15"/>
        <v>0</v>
      </c>
      <c r="P37" s="41" t="str">
        <f t="shared" si="1"/>
        <v>-</v>
      </c>
      <c r="Q37" s="39"/>
      <c r="R37" s="72">
        <f t="shared" si="16"/>
        <v>6927500000</v>
      </c>
      <c r="S37" s="39"/>
      <c r="T37" s="72">
        <f t="shared" si="17"/>
        <v>6927500000</v>
      </c>
      <c r="U37" s="39"/>
      <c r="V37" s="72">
        <f t="shared" si="2"/>
        <v>0</v>
      </c>
      <c r="W37" s="72">
        <f t="shared" si="18"/>
        <v>0</v>
      </c>
      <c r="X37" s="39"/>
      <c r="Y37" s="72">
        <f t="shared" si="3"/>
        <v>96985000</v>
      </c>
      <c r="Z37" s="72">
        <f t="shared" si="19"/>
        <v>49141499.221453935</v>
      </c>
      <c r="AA37" s="39"/>
      <c r="AB37" s="72">
        <f t="shared" si="4"/>
        <v>0</v>
      </c>
      <c r="AC37" s="72">
        <f t="shared" si="20"/>
        <v>0</v>
      </c>
      <c r="AD37" s="39"/>
      <c r="AE37" s="72">
        <f t="shared" si="5"/>
        <v>0</v>
      </c>
      <c r="AF37" s="72">
        <f t="shared" si="21"/>
        <v>0</v>
      </c>
      <c r="AG37" s="39"/>
      <c r="AH37" s="72">
        <f t="shared" si="6"/>
        <v>620000000</v>
      </c>
      <c r="AI37" s="72">
        <f t="shared" si="22"/>
        <v>314148884.0264107</v>
      </c>
      <c r="AJ37" s="39"/>
      <c r="AK37" s="72">
        <f t="shared" si="7"/>
        <v>3325200000</v>
      </c>
      <c r="AL37" s="72">
        <f t="shared" si="23"/>
        <v>1684851401.8784206</v>
      </c>
      <c r="AM37" s="39"/>
      <c r="AN37" s="72">
        <f t="shared" si="8"/>
        <v>1524050000</v>
      </c>
      <c r="AO37" s="72">
        <f t="shared" si="24"/>
        <v>772223559.19427621</v>
      </c>
      <c r="AP37" s="39"/>
      <c r="AQ37" s="72">
        <f t="shared" si="9"/>
        <v>656310000</v>
      </c>
      <c r="AR37" s="72">
        <f t="shared" si="25"/>
        <v>332546861.41189289</v>
      </c>
      <c r="AS37" s="39"/>
      <c r="AT37" s="40">
        <f>IF($K37&lt;=$F$15,IF($F$40&lt;&gt;"",$F$40/1000,IF(ISERROR(VLOOKUP($F$3&amp;IF($G$4&lt;&gt;"",$G$4,"")&amp;IF($F$43&lt;&gt;"","_"&amp;$F$43,""),'表3）燃料価格'!$AF$9:$AG$25,2,0)),0,VLOOKUP($I37,'表3）燃料価格'!A28:AC78,VLOOKUP($F$3,'表3）燃料価格'!$AF$9:$AG$25,2,0)+VLOOKUP($F$41,'表3）燃料価格'!$AF$28:$AG$29,2,0),0)*IF($F$43="需要地価格",1,$F$8/$F$141))),"")</f>
        <v>414.09</v>
      </c>
      <c r="AU37" s="39"/>
      <c r="AV37" s="72">
        <f t="shared" si="26"/>
        <v>95996437272.053375</v>
      </c>
      <c r="AW37" s="72">
        <f t="shared" si="27"/>
        <v>48640602644.398232</v>
      </c>
      <c r="AX37" s="39"/>
      <c r="AY37" s="40">
        <f>IF(ISERROR(IF($K37&lt;=$F$15,VLOOKUP($I37,'表4）CO2価格'!$A$7:$E$67,VLOOKUP($F$48,'表4）CO2価格'!$H$10:$I$12,2,0),0)*$F$8/1000,"")),0,IF($K37&lt;=$F$15,VLOOKUP($I37,'表4）CO2価格'!$A$7:$E$67,VLOOKUP($F$48,'表4）CO2価格'!$H$10:$I$12,2,0),0)*$F$8/1000,""))</f>
        <v>7.1500080975609199</v>
      </c>
      <c r="AZ37" s="39"/>
      <c r="BA37" s="42">
        <f t="shared" si="10"/>
        <v>0</v>
      </c>
      <c r="BB37" s="72">
        <f t="shared" si="28"/>
        <v>0</v>
      </c>
      <c r="BC37" s="39"/>
      <c r="BD37" s="72">
        <f t="shared" si="11"/>
        <v>0</v>
      </c>
      <c r="BE37" s="72">
        <f t="shared" si="29"/>
        <v>0</v>
      </c>
      <c r="BF37" s="39"/>
      <c r="BG37" s="42">
        <f t="shared" si="12"/>
        <v>0</v>
      </c>
      <c r="BH37" s="72">
        <f t="shared" si="30"/>
        <v>0</v>
      </c>
      <c r="BI37" s="39"/>
      <c r="BJ37" s="40" t="str">
        <f t="shared" si="31"/>
        <v/>
      </c>
      <c r="BK37" s="157" t="str">
        <f t="shared" si="32"/>
        <v/>
      </c>
      <c r="BL37" s="157" t="str">
        <f t="shared" si="13"/>
        <v/>
      </c>
      <c r="BM37" s="72"/>
      <c r="BN37" s="72" t="str">
        <f t="shared" si="33"/>
        <v/>
      </c>
      <c r="BO37" s="72" t="str">
        <f t="shared" si="34"/>
        <v/>
      </c>
      <c r="BP37" s="39"/>
      <c r="BQ37" s="72">
        <f t="shared" si="14"/>
        <v>5092319400</v>
      </c>
      <c r="BR37" s="72">
        <f t="shared" si="35"/>
        <v>2580236220.3484535</v>
      </c>
    </row>
    <row r="38" spans="3:70" x14ac:dyDescent="0.15">
      <c r="C38" s="4" t="s">
        <v>570</v>
      </c>
      <c r="D38" s="100"/>
      <c r="E38" s="100"/>
      <c r="F38" s="4"/>
      <c r="G38" s="100"/>
      <c r="I38" s="322">
        <f t="shared" si="36"/>
        <v>2053</v>
      </c>
      <c r="K38" s="71">
        <f t="shared" si="37"/>
        <v>24</v>
      </c>
      <c r="M38" s="7">
        <f t="shared" si="0"/>
        <v>0.49193373633950943</v>
      </c>
      <c r="O38" s="10">
        <f t="shared" si="15"/>
        <v>0</v>
      </c>
      <c r="P38" s="29" t="str">
        <f t="shared" si="1"/>
        <v>-</v>
      </c>
      <c r="R38" s="10">
        <f t="shared" si="16"/>
        <v>6927500000</v>
      </c>
      <c r="T38" s="10">
        <f t="shared" si="17"/>
        <v>6927500000</v>
      </c>
      <c r="V38" s="10">
        <f t="shared" si="2"/>
        <v>0</v>
      </c>
      <c r="W38" s="10">
        <f t="shared" si="18"/>
        <v>0</v>
      </c>
      <c r="Y38" s="10">
        <f t="shared" si="3"/>
        <v>96985000</v>
      </c>
      <c r="Z38" s="10">
        <f t="shared" si="19"/>
        <v>47710193.418887325</v>
      </c>
      <c r="AB38" s="10">
        <f t="shared" si="4"/>
        <v>0</v>
      </c>
      <c r="AC38" s="10">
        <f t="shared" si="20"/>
        <v>0</v>
      </c>
      <c r="AE38" s="10">
        <f t="shared" si="5"/>
        <v>0</v>
      </c>
      <c r="AF38" s="10">
        <f t="shared" si="21"/>
        <v>0</v>
      </c>
      <c r="AH38" s="10">
        <f t="shared" si="6"/>
        <v>620000000</v>
      </c>
      <c r="AI38" s="10">
        <f t="shared" si="22"/>
        <v>304998916.53049582</v>
      </c>
      <c r="AK38" s="10">
        <f t="shared" si="7"/>
        <v>3325200000</v>
      </c>
      <c r="AL38" s="10">
        <f t="shared" si="23"/>
        <v>1635778060.0761368</v>
      </c>
      <c r="AN38" s="10">
        <f t="shared" si="8"/>
        <v>1524050000</v>
      </c>
      <c r="AO38" s="10">
        <f t="shared" si="24"/>
        <v>749731610.86822939</v>
      </c>
      <c r="AQ38" s="10">
        <f t="shared" si="9"/>
        <v>656310000</v>
      </c>
      <c r="AR38" s="10">
        <f t="shared" si="25"/>
        <v>322861030.49698341</v>
      </c>
      <c r="AT38" s="40">
        <f>IF($K38&lt;=$F$15,IF($F$40&lt;&gt;"",$F$40/1000,IF(ISERROR(VLOOKUP($F$3&amp;IF($G$4&lt;&gt;"",$G$4,"")&amp;IF($F$43&lt;&gt;"","_"&amp;$F$43,""),'表3）燃料価格'!$AF$9:$AG$25,2,0)),0,VLOOKUP($I38,'表3）燃料価格'!A29:AC79,VLOOKUP($F$3,'表3）燃料価格'!$AF$9:$AG$25,2,0)+VLOOKUP($F$41,'表3）燃料価格'!$AF$28:$AG$29,2,0),0)*IF($F$43="需要地価格",1,$F$8/$F$141))),"")</f>
        <v>414.09</v>
      </c>
      <c r="AV38" s="72">
        <f t="shared" si="26"/>
        <v>95996437272.053375</v>
      </c>
      <c r="AW38" s="72">
        <f t="shared" si="27"/>
        <v>47223886062.52256</v>
      </c>
      <c r="AY38" s="7">
        <f>IF(ISERROR(IF($K38&lt;=$F$15,VLOOKUP($I38,'表4）CO2価格'!$A$7:$E$67,VLOOKUP($F$48,'表4）CO2価格'!$H$10:$I$12,2,0),0)*$F$8/1000,"")),0,IF($K38&lt;=$F$15,VLOOKUP($I38,'表4）CO2価格'!$A$7:$E$67,VLOOKUP($F$48,'表4）CO2価格'!$H$10:$I$12,2,0),0)*$F$8/1000,""))</f>
        <v>7.2814714966103056</v>
      </c>
      <c r="BA38" s="11">
        <f t="shared" si="10"/>
        <v>0</v>
      </c>
      <c r="BB38" s="10">
        <f t="shared" si="28"/>
        <v>0</v>
      </c>
      <c r="BD38" s="10">
        <f t="shared" si="11"/>
        <v>0</v>
      </c>
      <c r="BE38" s="10">
        <f t="shared" si="29"/>
        <v>0</v>
      </c>
      <c r="BG38" s="11">
        <f t="shared" si="12"/>
        <v>0</v>
      </c>
      <c r="BH38" s="10">
        <f t="shared" si="30"/>
        <v>0</v>
      </c>
      <c r="BJ38" s="7" t="str">
        <f t="shared" si="31"/>
        <v/>
      </c>
      <c r="BK38" s="158" t="str">
        <f t="shared" si="32"/>
        <v/>
      </c>
      <c r="BL38" s="158" t="str">
        <f t="shared" si="13"/>
        <v/>
      </c>
      <c r="BM38" s="10"/>
      <c r="BN38" s="10" t="str">
        <f t="shared" si="33"/>
        <v/>
      </c>
      <c r="BO38" s="10" t="str">
        <f t="shared" si="34"/>
        <v/>
      </c>
      <c r="BQ38" s="10">
        <f t="shared" si="14"/>
        <v>5092319400</v>
      </c>
      <c r="BR38" s="10">
        <f t="shared" si="35"/>
        <v>2505083709.076169</v>
      </c>
    </row>
    <row r="39" spans="3:70" x14ac:dyDescent="0.15">
      <c r="I39" s="38">
        <f t="shared" si="36"/>
        <v>2054</v>
      </c>
      <c r="J39" s="39"/>
      <c r="K39" s="39">
        <f t="shared" si="37"/>
        <v>25</v>
      </c>
      <c r="L39" s="39"/>
      <c r="M39" s="40">
        <f t="shared" si="0"/>
        <v>0.47760556926165965</v>
      </c>
      <c r="N39" s="39"/>
      <c r="O39" s="72">
        <f t="shared" si="15"/>
        <v>0</v>
      </c>
      <c r="P39" s="41" t="str">
        <f t="shared" si="1"/>
        <v>-</v>
      </c>
      <c r="Q39" s="39"/>
      <c r="R39" s="72">
        <f t="shared" si="16"/>
        <v>6927500000</v>
      </c>
      <c r="S39" s="39"/>
      <c r="T39" s="72">
        <f t="shared" si="17"/>
        <v>6927500000</v>
      </c>
      <c r="U39" s="39"/>
      <c r="V39" s="72">
        <f t="shared" si="2"/>
        <v>0</v>
      </c>
      <c r="W39" s="72">
        <f t="shared" si="18"/>
        <v>0</v>
      </c>
      <c r="X39" s="39"/>
      <c r="Y39" s="72">
        <f t="shared" si="3"/>
        <v>96985000</v>
      </c>
      <c r="Z39" s="72">
        <f t="shared" si="19"/>
        <v>46320576.134842061</v>
      </c>
      <c r="AA39" s="39"/>
      <c r="AB39" s="72">
        <f t="shared" si="4"/>
        <v>0</v>
      </c>
      <c r="AC39" s="72">
        <f t="shared" si="20"/>
        <v>0</v>
      </c>
      <c r="AD39" s="39"/>
      <c r="AE39" s="72">
        <f t="shared" si="5"/>
        <v>0</v>
      </c>
      <c r="AF39" s="72">
        <f t="shared" si="21"/>
        <v>0</v>
      </c>
      <c r="AG39" s="39"/>
      <c r="AH39" s="72">
        <f t="shared" si="6"/>
        <v>620000000</v>
      </c>
      <c r="AI39" s="72">
        <f t="shared" si="22"/>
        <v>296115452.94222897</v>
      </c>
      <c r="AJ39" s="39"/>
      <c r="AK39" s="72">
        <f t="shared" si="7"/>
        <v>3325200000</v>
      </c>
      <c r="AL39" s="72">
        <f t="shared" si="23"/>
        <v>1588134038.9088707</v>
      </c>
      <c r="AM39" s="39"/>
      <c r="AN39" s="72">
        <f t="shared" si="8"/>
        <v>1524050000</v>
      </c>
      <c r="AO39" s="72">
        <f t="shared" si="24"/>
        <v>727894767.8332324</v>
      </c>
      <c r="AP39" s="39"/>
      <c r="AQ39" s="72">
        <f t="shared" si="9"/>
        <v>656310000</v>
      </c>
      <c r="AR39" s="72">
        <f t="shared" si="25"/>
        <v>313457311.16211987</v>
      </c>
      <c r="AS39" s="39"/>
      <c r="AT39" s="40">
        <f>IF($K39&lt;=$F$15,IF($F$40&lt;&gt;"",$F$40/1000,IF(ISERROR(VLOOKUP($F$3&amp;IF($G$4&lt;&gt;"",$G$4,"")&amp;IF($F$43&lt;&gt;"","_"&amp;$F$43,""),'表3）燃料価格'!$AF$9:$AG$25,2,0)),0,VLOOKUP($I39,'表3）燃料価格'!A30:AC80,VLOOKUP($F$3,'表3）燃料価格'!$AF$9:$AG$25,2,0)+VLOOKUP($F$41,'表3）燃料価格'!$AF$28:$AG$29,2,0),0)*IF($F$43="需要地価格",1,$F$8/$F$141))),"")</f>
        <v>414.09</v>
      </c>
      <c r="AU39" s="39"/>
      <c r="AV39" s="72">
        <f t="shared" si="26"/>
        <v>95996437272.053375</v>
      </c>
      <c r="AW39" s="72">
        <f t="shared" si="27"/>
        <v>45848433070.410255</v>
      </c>
      <c r="AX39" s="39"/>
      <c r="AY39" s="40">
        <f>IF(ISERROR(IF($K39&lt;=$F$15,VLOOKUP($I39,'表4）CO2価格'!$A$7:$E$67,VLOOKUP($F$48,'表4）CO2価格'!$H$10:$I$12,2,0),0)*$F$8/1000,"")),0,IF($K39&lt;=$F$15,VLOOKUP($I39,'表4）CO2価格'!$A$7:$E$67,VLOOKUP($F$48,'表4）CO2価格'!$H$10:$I$12,2,0),0)*$F$8/1000,""))</f>
        <v>7.4128708764708131</v>
      </c>
      <c r="AZ39" s="39"/>
      <c r="BA39" s="42">
        <f t="shared" si="10"/>
        <v>0</v>
      </c>
      <c r="BB39" s="72">
        <f t="shared" si="28"/>
        <v>0</v>
      </c>
      <c r="BC39" s="39"/>
      <c r="BD39" s="72">
        <f t="shared" si="11"/>
        <v>0</v>
      </c>
      <c r="BE39" s="72">
        <f t="shared" si="29"/>
        <v>0</v>
      </c>
      <c r="BF39" s="39"/>
      <c r="BG39" s="42">
        <f t="shared" si="12"/>
        <v>0</v>
      </c>
      <c r="BH39" s="72">
        <f t="shared" si="30"/>
        <v>0</v>
      </c>
      <c r="BI39" s="39"/>
      <c r="BJ39" s="40" t="str">
        <f t="shared" si="31"/>
        <v/>
      </c>
      <c r="BK39" s="157" t="str">
        <f t="shared" si="32"/>
        <v/>
      </c>
      <c r="BL39" s="157" t="str">
        <f t="shared" si="13"/>
        <v/>
      </c>
      <c r="BM39" s="72"/>
      <c r="BN39" s="72" t="str">
        <f t="shared" si="33"/>
        <v/>
      </c>
      <c r="BO39" s="72" t="str">
        <f t="shared" si="34"/>
        <v/>
      </c>
      <c r="BP39" s="39"/>
      <c r="BQ39" s="72">
        <f t="shared" si="14"/>
        <v>5092319400</v>
      </c>
      <c r="BR39" s="72">
        <f t="shared" si="35"/>
        <v>2432120105.8991933</v>
      </c>
    </row>
    <row r="40" spans="3:70" x14ac:dyDescent="0.15">
      <c r="D40" s="84" t="s">
        <v>124</v>
      </c>
      <c r="F40" s="482"/>
      <c r="G40" s="160" t="s">
        <v>571</v>
      </c>
      <c r="I40" s="322">
        <f t="shared" si="36"/>
        <v>2055</v>
      </c>
      <c r="K40" s="71">
        <f t="shared" si="37"/>
        <v>26</v>
      </c>
      <c r="M40" s="7">
        <f t="shared" si="0"/>
        <v>0.46369472743850448</v>
      </c>
      <c r="O40" s="10">
        <f t="shared" si="15"/>
        <v>0</v>
      </c>
      <c r="P40" s="29" t="str">
        <f t="shared" si="1"/>
        <v>-</v>
      </c>
      <c r="R40" s="10">
        <f t="shared" si="16"/>
        <v>6927500000</v>
      </c>
      <c r="T40" s="10">
        <f t="shared" si="17"/>
        <v>6927500000</v>
      </c>
      <c r="V40" s="10">
        <f t="shared" si="2"/>
        <v>0</v>
      </c>
      <c r="W40" s="10">
        <f t="shared" si="18"/>
        <v>0</v>
      </c>
      <c r="Y40" s="10">
        <f t="shared" si="3"/>
        <v>96985000</v>
      </c>
      <c r="Z40" s="10">
        <f t="shared" si="19"/>
        <v>44971433.140623361</v>
      </c>
      <c r="AB40" s="10">
        <f t="shared" si="4"/>
        <v>0</v>
      </c>
      <c r="AC40" s="10">
        <f t="shared" si="20"/>
        <v>0</v>
      </c>
      <c r="AE40" s="10">
        <f t="shared" si="5"/>
        <v>0</v>
      </c>
      <c r="AF40" s="10">
        <f t="shared" si="21"/>
        <v>0</v>
      </c>
      <c r="AH40" s="10">
        <f t="shared" si="6"/>
        <v>620000000</v>
      </c>
      <c r="AI40" s="10">
        <f t="shared" si="22"/>
        <v>287490731.01187277</v>
      </c>
      <c r="AK40" s="10">
        <f t="shared" si="7"/>
        <v>3325200000</v>
      </c>
      <c r="AL40" s="10">
        <f t="shared" si="23"/>
        <v>1541877707.6785152</v>
      </c>
      <c r="AN40" s="10">
        <f t="shared" si="8"/>
        <v>1524050000</v>
      </c>
      <c r="AO40" s="10">
        <f t="shared" si="24"/>
        <v>706693949.35265279</v>
      </c>
      <c r="AQ40" s="10">
        <f t="shared" si="9"/>
        <v>656310000</v>
      </c>
      <c r="AR40" s="10">
        <f t="shared" si="25"/>
        <v>304327486.56516486</v>
      </c>
      <c r="AT40" s="40">
        <f>IF($K40&lt;=$F$15,IF($F$40&lt;&gt;"",$F$40/1000,IF(ISERROR(VLOOKUP($F$3&amp;IF($G$4&lt;&gt;"",$G$4,"")&amp;IF($F$43&lt;&gt;"","_"&amp;$F$43,""),'表3）燃料価格'!$AF$9:$AG$25,2,0)),0,VLOOKUP($I40,'表3）燃料価格'!A31:AC81,VLOOKUP($F$3,'表3）燃料価格'!$AF$9:$AG$25,2,0)+VLOOKUP($F$41,'表3）燃料価格'!$AF$28:$AG$29,2,0),0)*IF($F$43="需要地価格",1,$F$8/$F$141))),"")</f>
        <v>414.09</v>
      </c>
      <c r="AV40" s="72">
        <f t="shared" si="26"/>
        <v>95996437272.053375</v>
      </c>
      <c r="AW40" s="72">
        <f t="shared" si="27"/>
        <v>44513041815.932281</v>
      </c>
      <c r="AY40" s="7">
        <f>IF(ISERROR(IF($K40&lt;=$F$15,VLOOKUP($I40,'表4）CO2価格'!$A$7:$E$67,VLOOKUP($F$48,'表4）CO2価格'!$H$10:$I$12,2,0),0)*$F$8/1000,"")),0,IF($K40&lt;=$F$15,VLOOKUP($I40,'表4）CO2価格'!$A$7:$E$67,VLOOKUP($F$48,'表4）CO2価格'!$H$10:$I$12,2,0),0)*$F$8/1000,""))</f>
        <v>7.5442062994635668</v>
      </c>
      <c r="BA40" s="11">
        <f t="shared" si="10"/>
        <v>0</v>
      </c>
      <c r="BB40" s="10">
        <f t="shared" si="28"/>
        <v>0</v>
      </c>
      <c r="BD40" s="10">
        <f t="shared" si="11"/>
        <v>0</v>
      </c>
      <c r="BE40" s="10">
        <f t="shared" si="29"/>
        <v>0</v>
      </c>
      <c r="BG40" s="11">
        <f t="shared" si="12"/>
        <v>0</v>
      </c>
      <c r="BH40" s="10">
        <f t="shared" si="30"/>
        <v>0</v>
      </c>
      <c r="BJ40" s="7" t="str">
        <f t="shared" si="31"/>
        <v/>
      </c>
      <c r="BK40" s="158" t="str">
        <f t="shared" si="32"/>
        <v/>
      </c>
      <c r="BL40" s="158" t="str">
        <f t="shared" si="13"/>
        <v/>
      </c>
      <c r="BM40" s="10"/>
      <c r="BN40" s="10" t="str">
        <f t="shared" si="33"/>
        <v/>
      </c>
      <c r="BO40" s="10" t="str">
        <f t="shared" si="34"/>
        <v/>
      </c>
      <c r="BQ40" s="10">
        <f t="shared" si="14"/>
        <v>5092319400</v>
      </c>
      <c r="BR40" s="10">
        <f t="shared" si="35"/>
        <v>2361281656.2128086</v>
      </c>
    </row>
    <row r="41" spans="3:70" x14ac:dyDescent="0.15">
      <c r="D41" s="84" t="s">
        <v>572</v>
      </c>
      <c r="F41" s="474" t="str">
        <f>まとめ!B4</f>
        <v>WEO2020　STEPS</v>
      </c>
      <c r="I41" s="38">
        <f t="shared" si="36"/>
        <v>2056</v>
      </c>
      <c r="J41" s="39"/>
      <c r="K41" s="39">
        <f t="shared" si="37"/>
        <v>27</v>
      </c>
      <c r="L41" s="39"/>
      <c r="M41" s="40">
        <f t="shared" si="0"/>
        <v>0.45018905576553836</v>
      </c>
      <c r="N41" s="39"/>
      <c r="O41" s="72">
        <f t="shared" si="15"/>
        <v>0</v>
      </c>
      <c r="P41" s="41" t="str">
        <f t="shared" si="1"/>
        <v>-</v>
      </c>
      <c r="Q41" s="39"/>
      <c r="R41" s="72">
        <f t="shared" si="16"/>
        <v>6927500000</v>
      </c>
      <c r="S41" s="39"/>
      <c r="T41" s="72">
        <f t="shared" si="17"/>
        <v>6927500000</v>
      </c>
      <c r="U41" s="39"/>
      <c r="V41" s="72">
        <f t="shared" si="2"/>
        <v>0</v>
      </c>
      <c r="W41" s="72">
        <f t="shared" si="18"/>
        <v>0</v>
      </c>
      <c r="X41" s="39"/>
      <c r="Y41" s="72">
        <f t="shared" si="3"/>
        <v>96985000</v>
      </c>
      <c r="Z41" s="72">
        <f t="shared" si="19"/>
        <v>43661585.573420741</v>
      </c>
      <c r="AA41" s="39"/>
      <c r="AB41" s="72">
        <f t="shared" si="4"/>
        <v>0</v>
      </c>
      <c r="AC41" s="72">
        <f t="shared" si="20"/>
        <v>0</v>
      </c>
      <c r="AD41" s="39"/>
      <c r="AE41" s="72">
        <f t="shared" si="5"/>
        <v>0</v>
      </c>
      <c r="AF41" s="72">
        <f t="shared" si="21"/>
        <v>0</v>
      </c>
      <c r="AG41" s="39"/>
      <c r="AH41" s="72">
        <f t="shared" si="6"/>
        <v>620000000</v>
      </c>
      <c r="AI41" s="72">
        <f t="shared" si="22"/>
        <v>279117214.57463378</v>
      </c>
      <c r="AJ41" s="39"/>
      <c r="AK41" s="72">
        <f t="shared" si="7"/>
        <v>3325200000</v>
      </c>
      <c r="AL41" s="72">
        <f t="shared" si="23"/>
        <v>1496968648.2315681</v>
      </c>
      <c r="AM41" s="39"/>
      <c r="AN41" s="72">
        <f t="shared" si="8"/>
        <v>1524050000</v>
      </c>
      <c r="AO41" s="72">
        <f t="shared" si="24"/>
        <v>686110630.43946874</v>
      </c>
      <c r="AP41" s="39"/>
      <c r="AQ41" s="72">
        <f t="shared" si="9"/>
        <v>656310000</v>
      </c>
      <c r="AR41" s="72">
        <f t="shared" si="25"/>
        <v>295463579.18948048</v>
      </c>
      <c r="AS41" s="39"/>
      <c r="AT41" s="40">
        <f>IF($K41&lt;=$F$15,IF($F$40&lt;&gt;"",$F$40/1000,IF(ISERROR(VLOOKUP($F$3&amp;IF($G$4&lt;&gt;"",$G$4,"")&amp;IF($F$43&lt;&gt;"","_"&amp;$F$43,""),'表3）燃料価格'!$AF$9:$AG$25,2,0)),0,VLOOKUP($I41,'表3）燃料価格'!A32:AC82,VLOOKUP($F$3,'表3）燃料価格'!$AF$9:$AG$25,2,0)+VLOOKUP($F$41,'表3）燃料価格'!$AF$28:$AG$29,2,0),0)*IF($F$43="需要地価格",1,$F$8/$F$141))),"")</f>
        <v>414.09</v>
      </c>
      <c r="AU41" s="39"/>
      <c r="AV41" s="72">
        <f t="shared" si="26"/>
        <v>95996437272.053375</v>
      </c>
      <c r="AW41" s="72">
        <f t="shared" si="27"/>
        <v>43216545452.361443</v>
      </c>
      <c r="AX41" s="39"/>
      <c r="AY41" s="40">
        <f>IF(ISERROR(IF($K41&lt;=$F$15,VLOOKUP($I41,'表4）CO2価格'!$A$7:$E$67,VLOOKUP($F$48,'表4）CO2価格'!$H$10:$I$12,2,0),0)*$F$8/1000,"")),0,IF($K41&lt;=$F$15,VLOOKUP($I41,'表4）CO2価格'!$A$7:$E$67,VLOOKUP($F$48,'表4）CO2価格'!$H$10:$I$12,2,0),0)*$F$8/1000,""))</f>
        <v>7.675477827818213</v>
      </c>
      <c r="AZ41" s="39"/>
      <c r="BA41" s="42">
        <f t="shared" si="10"/>
        <v>0</v>
      </c>
      <c r="BB41" s="72">
        <f t="shared" si="28"/>
        <v>0</v>
      </c>
      <c r="BC41" s="39"/>
      <c r="BD41" s="72">
        <f t="shared" si="11"/>
        <v>0</v>
      </c>
      <c r="BE41" s="72">
        <f t="shared" si="29"/>
        <v>0</v>
      </c>
      <c r="BF41" s="39"/>
      <c r="BG41" s="42">
        <f t="shared" si="12"/>
        <v>0</v>
      </c>
      <c r="BH41" s="72">
        <f t="shared" si="30"/>
        <v>0</v>
      </c>
      <c r="BI41" s="39"/>
      <c r="BJ41" s="40" t="str">
        <f t="shared" si="31"/>
        <v/>
      </c>
      <c r="BK41" s="157" t="str">
        <f t="shared" si="32"/>
        <v/>
      </c>
      <c r="BL41" s="157" t="str">
        <f t="shared" si="13"/>
        <v/>
      </c>
      <c r="BM41" s="72"/>
      <c r="BN41" s="72" t="str">
        <f t="shared" si="33"/>
        <v/>
      </c>
      <c r="BO41" s="72" t="str">
        <f t="shared" si="34"/>
        <v/>
      </c>
      <c r="BP41" s="39"/>
      <c r="BQ41" s="72">
        <f t="shared" si="14"/>
        <v>5092319400</v>
      </c>
      <c r="BR41" s="72">
        <f t="shared" si="35"/>
        <v>2292506462.3425326</v>
      </c>
    </row>
    <row r="42" spans="3:70" x14ac:dyDescent="0.15">
      <c r="D42" s="84" t="s">
        <v>573</v>
      </c>
      <c r="F42" s="481"/>
      <c r="G42" s="84" t="s">
        <v>574</v>
      </c>
      <c r="I42" s="322">
        <f t="shared" si="36"/>
        <v>2057</v>
      </c>
      <c r="K42" s="71">
        <f t="shared" si="37"/>
        <v>28</v>
      </c>
      <c r="M42" s="7">
        <f t="shared" si="0"/>
        <v>0.4370767531704256</v>
      </c>
      <c r="O42" s="10">
        <f t="shared" si="15"/>
        <v>0</v>
      </c>
      <c r="P42" s="29" t="str">
        <f t="shared" si="1"/>
        <v>-</v>
      </c>
      <c r="R42" s="10">
        <f t="shared" si="16"/>
        <v>6927500000</v>
      </c>
      <c r="T42" s="10">
        <f t="shared" si="17"/>
        <v>6927500000</v>
      </c>
      <c r="V42" s="10">
        <f t="shared" si="2"/>
        <v>0</v>
      </c>
      <c r="W42" s="10">
        <f t="shared" si="18"/>
        <v>0</v>
      </c>
      <c r="Y42" s="10">
        <f t="shared" si="3"/>
        <v>96985000</v>
      </c>
      <c r="Z42" s="10">
        <f t="shared" si="19"/>
        <v>42389888.906233728</v>
      </c>
      <c r="AB42" s="10">
        <f t="shared" si="4"/>
        <v>0</v>
      </c>
      <c r="AC42" s="10">
        <f t="shared" si="20"/>
        <v>0</v>
      </c>
      <c r="AE42" s="10">
        <f t="shared" si="5"/>
        <v>0</v>
      </c>
      <c r="AF42" s="10">
        <f t="shared" si="21"/>
        <v>0</v>
      </c>
      <c r="AH42" s="10">
        <f t="shared" si="6"/>
        <v>620000000</v>
      </c>
      <c r="AI42" s="10">
        <f t="shared" si="22"/>
        <v>270987586.96566385</v>
      </c>
      <c r="AK42" s="10">
        <f t="shared" si="7"/>
        <v>3325200000</v>
      </c>
      <c r="AL42" s="10">
        <f t="shared" si="23"/>
        <v>1453367619.6422992</v>
      </c>
      <c r="AN42" s="10">
        <f t="shared" si="8"/>
        <v>1524050000</v>
      </c>
      <c r="AO42" s="10">
        <f t="shared" si="24"/>
        <v>666126825.6693871</v>
      </c>
      <c r="AQ42" s="10">
        <f t="shared" si="9"/>
        <v>656310000</v>
      </c>
      <c r="AR42" s="10">
        <f t="shared" si="25"/>
        <v>286857843.87328202</v>
      </c>
      <c r="AT42" s="40">
        <f>IF($K42&lt;=$F$15,IF($F$40&lt;&gt;"",$F$40/1000,IF(ISERROR(VLOOKUP($F$3&amp;IF($G$4&lt;&gt;"",$G$4,"")&amp;IF($F$43&lt;&gt;"","_"&amp;$F$43,""),'表3）燃料価格'!$AF$9:$AG$25,2,0)),0,VLOOKUP($I42,'表3）燃料価格'!A33:AC83,VLOOKUP($F$3,'表3）燃料価格'!$AF$9:$AG$25,2,0)+VLOOKUP($F$41,'表3）燃料価格'!$AF$28:$AG$29,2,0),0)*IF($F$43="需要地価格",1,$F$8/$F$141))),"")</f>
        <v>414.09</v>
      </c>
      <c r="AV42" s="72">
        <f t="shared" si="26"/>
        <v>95996437272.053375</v>
      </c>
      <c r="AW42" s="72">
        <f t="shared" si="27"/>
        <v>41957811118.797516</v>
      </c>
      <c r="AY42" s="7">
        <f>IF(ISERROR(IF($K42&lt;=$F$15,VLOOKUP($I42,'表4）CO2価格'!$A$7:$E$67,VLOOKUP($F$48,'表4）CO2価格'!$H$10:$I$12,2,0),0)*$F$8/1000,"")),0,IF($K42&lt;=$F$15,VLOOKUP($I42,'表4）CO2価格'!$A$7:$E$67,VLOOKUP($F$48,'表4）CO2価格'!$H$10:$I$12,2,0),0)*$F$8/1000,""))</f>
        <v>7.8066855236744779</v>
      </c>
      <c r="BA42" s="11">
        <f t="shared" si="10"/>
        <v>0</v>
      </c>
      <c r="BB42" s="10">
        <f t="shared" si="28"/>
        <v>0</v>
      </c>
      <c r="BD42" s="10">
        <f t="shared" si="11"/>
        <v>0</v>
      </c>
      <c r="BE42" s="10">
        <f t="shared" si="29"/>
        <v>0</v>
      </c>
      <c r="BG42" s="11">
        <f t="shared" si="12"/>
        <v>0</v>
      </c>
      <c r="BH42" s="10">
        <f t="shared" si="30"/>
        <v>0</v>
      </c>
      <c r="BJ42" s="7" t="str">
        <f t="shared" si="31"/>
        <v/>
      </c>
      <c r="BK42" s="158" t="str">
        <f t="shared" si="32"/>
        <v/>
      </c>
      <c r="BL42" s="158" t="str">
        <f t="shared" si="13"/>
        <v/>
      </c>
      <c r="BM42" s="10"/>
      <c r="BN42" s="10" t="str">
        <f t="shared" si="33"/>
        <v/>
      </c>
      <c r="BO42" s="10" t="str">
        <f t="shared" si="34"/>
        <v/>
      </c>
      <c r="BQ42" s="10">
        <f t="shared" si="14"/>
        <v>5092319400</v>
      </c>
      <c r="BR42" s="10">
        <f t="shared" si="35"/>
        <v>2225734429.4587698</v>
      </c>
    </row>
    <row r="43" spans="3:70" x14ac:dyDescent="0.15">
      <c r="D43" s="160" t="s">
        <v>126</v>
      </c>
      <c r="F43" s="474"/>
      <c r="I43" s="38">
        <f t="shared" si="36"/>
        <v>2058</v>
      </c>
      <c r="J43" s="39"/>
      <c r="K43" s="39">
        <f t="shared" si="37"/>
        <v>29</v>
      </c>
      <c r="L43" s="39"/>
      <c r="M43" s="40">
        <f t="shared" si="0"/>
        <v>0.42434636230138412</v>
      </c>
      <c r="N43" s="39"/>
      <c r="O43" s="72">
        <f t="shared" si="15"/>
        <v>0</v>
      </c>
      <c r="P43" s="41" t="str">
        <f t="shared" si="1"/>
        <v>-</v>
      </c>
      <c r="Q43" s="39"/>
      <c r="R43" s="72">
        <f t="shared" si="16"/>
        <v>6927500000</v>
      </c>
      <c r="S43" s="39"/>
      <c r="T43" s="72">
        <f t="shared" si="17"/>
        <v>6927500000</v>
      </c>
      <c r="U43" s="39"/>
      <c r="V43" s="72">
        <f t="shared" si="2"/>
        <v>0</v>
      </c>
      <c r="W43" s="72">
        <f t="shared" si="18"/>
        <v>0</v>
      </c>
      <c r="X43" s="39"/>
      <c r="Y43" s="72">
        <f t="shared" si="3"/>
        <v>96985000</v>
      </c>
      <c r="Z43" s="72">
        <f t="shared" si="19"/>
        <v>41155231.947799742</v>
      </c>
      <c r="AA43" s="39"/>
      <c r="AB43" s="72">
        <f t="shared" si="4"/>
        <v>0</v>
      </c>
      <c r="AC43" s="72">
        <f t="shared" si="20"/>
        <v>0</v>
      </c>
      <c r="AD43" s="39"/>
      <c r="AE43" s="72">
        <f t="shared" si="5"/>
        <v>0</v>
      </c>
      <c r="AF43" s="72">
        <f t="shared" si="21"/>
        <v>0</v>
      </c>
      <c r="AG43" s="39"/>
      <c r="AH43" s="72">
        <f t="shared" si="6"/>
        <v>620000000</v>
      </c>
      <c r="AI43" s="72">
        <f t="shared" si="22"/>
        <v>263094744.62685814</v>
      </c>
      <c r="AJ43" s="39"/>
      <c r="AK43" s="72">
        <f t="shared" si="7"/>
        <v>3325200000</v>
      </c>
      <c r="AL43" s="72">
        <f t="shared" si="23"/>
        <v>1411036523.9245625</v>
      </c>
      <c r="AM43" s="39"/>
      <c r="AN43" s="72">
        <f t="shared" si="8"/>
        <v>1524050000</v>
      </c>
      <c r="AO43" s="72">
        <f t="shared" si="24"/>
        <v>646725073.46542442</v>
      </c>
      <c r="AP43" s="39"/>
      <c r="AQ43" s="72">
        <f t="shared" si="9"/>
        <v>656310000</v>
      </c>
      <c r="AR43" s="72">
        <f t="shared" si="25"/>
        <v>278502761.04202139</v>
      </c>
      <c r="AS43" s="39"/>
      <c r="AT43" s="40">
        <f>IF($K43&lt;=$F$15,IF($F$40&lt;&gt;"",$F$40/1000,IF(ISERROR(VLOOKUP($F$3&amp;IF($G$4&lt;&gt;"",$G$4,"")&amp;IF($F$43&lt;&gt;"","_"&amp;$F$43,""),'表3）燃料価格'!$AF$9:$AG$25,2,0)),0,VLOOKUP($I43,'表3）燃料価格'!A34:AC84,VLOOKUP($F$3,'表3）燃料価格'!$AF$9:$AG$25,2,0)+VLOOKUP($F$41,'表3）燃料価格'!$AF$28:$AG$29,2,0),0)*IF($F$43="需要地価格",1,$F$8/$F$141))),"")</f>
        <v>414.09</v>
      </c>
      <c r="AU43" s="39"/>
      <c r="AV43" s="72">
        <f t="shared" si="26"/>
        <v>95996437272.053375</v>
      </c>
      <c r="AW43" s="72">
        <f t="shared" si="27"/>
        <v>40735738950.288857</v>
      </c>
      <c r="AX43" s="39"/>
      <c r="AY43" s="40">
        <f>IF(ISERROR(IF($K43&lt;=$F$15,VLOOKUP($I43,'表4）CO2価格'!$A$7:$E$67,VLOOKUP($F$48,'表4）CO2価格'!$H$10:$I$12,2,0),0)*$F$8/1000,"")),0,IF($K43&lt;=$F$15,VLOOKUP($I43,'表4）CO2価格'!$A$7:$E$67,VLOOKUP($F$48,'表4）CO2価格'!$H$10:$I$12,2,0),0)*$F$8/1000,""))</f>
        <v>7.9378294490802217</v>
      </c>
      <c r="AZ43" s="39"/>
      <c r="BA43" s="42">
        <f t="shared" si="10"/>
        <v>0</v>
      </c>
      <c r="BB43" s="72">
        <f t="shared" si="28"/>
        <v>0</v>
      </c>
      <c r="BC43" s="39"/>
      <c r="BD43" s="72">
        <f t="shared" si="11"/>
        <v>0</v>
      </c>
      <c r="BE43" s="72">
        <f t="shared" si="29"/>
        <v>0</v>
      </c>
      <c r="BF43" s="39"/>
      <c r="BG43" s="42">
        <f t="shared" si="12"/>
        <v>0</v>
      </c>
      <c r="BH43" s="72">
        <f t="shared" si="30"/>
        <v>0</v>
      </c>
      <c r="BI43" s="39"/>
      <c r="BJ43" s="40" t="str">
        <f t="shared" si="31"/>
        <v/>
      </c>
      <c r="BK43" s="157" t="str">
        <f t="shared" si="32"/>
        <v/>
      </c>
      <c r="BL43" s="157" t="str">
        <f t="shared" si="13"/>
        <v/>
      </c>
      <c r="BM43" s="72"/>
      <c r="BN43" s="72" t="str">
        <f t="shared" si="33"/>
        <v/>
      </c>
      <c r="BO43" s="72" t="str">
        <f t="shared" si="34"/>
        <v/>
      </c>
      <c r="BP43" s="39"/>
      <c r="BQ43" s="72">
        <f t="shared" si="14"/>
        <v>5092319400</v>
      </c>
      <c r="BR43" s="72">
        <f t="shared" si="35"/>
        <v>2160907213.0667672</v>
      </c>
    </row>
    <row r="44" spans="3:70" x14ac:dyDescent="0.15">
      <c r="I44" s="322">
        <f t="shared" si="36"/>
        <v>2059</v>
      </c>
      <c r="K44" s="71">
        <f t="shared" si="37"/>
        <v>30</v>
      </c>
      <c r="M44" s="7">
        <f t="shared" si="0"/>
        <v>0.41198675951590691</v>
      </c>
      <c r="O44" s="10">
        <f t="shared" si="15"/>
        <v>0</v>
      </c>
      <c r="P44" s="29" t="str">
        <f t="shared" si="1"/>
        <v>-</v>
      </c>
      <c r="R44" s="10">
        <f t="shared" si="16"/>
        <v>6927500000</v>
      </c>
      <c r="T44" s="10">
        <f t="shared" si="17"/>
        <v>6927500000</v>
      </c>
      <c r="V44" s="10">
        <f t="shared" si="2"/>
        <v>0</v>
      </c>
      <c r="W44" s="10">
        <f t="shared" si="18"/>
        <v>0</v>
      </c>
      <c r="Y44" s="10">
        <f t="shared" si="3"/>
        <v>96985000</v>
      </c>
      <c r="Z44" s="10">
        <f t="shared" si="19"/>
        <v>39956535.871650234</v>
      </c>
      <c r="AB44" s="10">
        <f t="shared" si="4"/>
        <v>0</v>
      </c>
      <c r="AC44" s="10">
        <f t="shared" si="20"/>
        <v>0</v>
      </c>
      <c r="AE44" s="10">
        <f t="shared" si="5"/>
        <v>0</v>
      </c>
      <c r="AF44" s="10">
        <f t="shared" si="21"/>
        <v>0</v>
      </c>
      <c r="AH44" s="10">
        <f t="shared" si="6"/>
        <v>620000000</v>
      </c>
      <c r="AI44" s="10">
        <f t="shared" si="22"/>
        <v>255431790.89986229</v>
      </c>
      <c r="AK44" s="10">
        <f t="shared" si="7"/>
        <v>3325200000</v>
      </c>
      <c r="AL44" s="10">
        <f t="shared" si="23"/>
        <v>1369938372.7422936</v>
      </c>
      <c r="AN44" s="10">
        <f t="shared" si="8"/>
        <v>1524050000</v>
      </c>
      <c r="AO44" s="10">
        <f t="shared" si="24"/>
        <v>627888420.84021795</v>
      </c>
      <c r="AQ44" s="10">
        <f t="shared" si="9"/>
        <v>656310000</v>
      </c>
      <c r="AR44" s="10">
        <f t="shared" si="25"/>
        <v>270391030.13788486</v>
      </c>
      <c r="AT44" s="40">
        <f>IF($K44&lt;=$F$15,IF($F$40&lt;&gt;"",$F$40/1000,IF(ISERROR(VLOOKUP($F$3&amp;IF($G$4&lt;&gt;"",$G$4,"")&amp;IF($F$43&lt;&gt;"","_"&amp;$F$43,""),'表3）燃料価格'!$AF$9:$AG$25,2,0)),0,VLOOKUP($I44,'表3）燃料価格'!A35:AC85,VLOOKUP($F$3,'表3）燃料価格'!$AF$9:$AG$25,2,0)+VLOOKUP($F$41,'表3）燃料価格'!$AF$28:$AG$29,2,0),0)*IF($F$43="需要地価格",1,$F$8/$F$141))),"")</f>
        <v>414.09</v>
      </c>
      <c r="AV44" s="72">
        <f t="shared" si="26"/>
        <v>95996437272.053375</v>
      </c>
      <c r="AW44" s="72">
        <f t="shared" si="27"/>
        <v>39549261116.785294</v>
      </c>
      <c r="AY44" s="7">
        <f>IF(ISERROR(IF($K44&lt;=$F$15,VLOOKUP($I44,'表4）CO2価格'!$A$7:$E$67,VLOOKUP($F$48,'表4）CO2価格'!$H$10:$I$12,2,0),0)*$F$8/1000,"")),0,IF($K44&lt;=$F$15,VLOOKUP($I44,'表4）CO2価格'!$A$7:$E$67,VLOOKUP($F$48,'表4）CO2価格'!$H$10:$I$12,2,0),0)*$F$8/1000,""))</f>
        <v>8.0689096659945534</v>
      </c>
      <c r="BA44" s="11">
        <f t="shared" si="10"/>
        <v>0</v>
      </c>
      <c r="BB44" s="10">
        <f t="shared" si="28"/>
        <v>0</v>
      </c>
      <c r="BD44" s="10">
        <f t="shared" si="11"/>
        <v>0</v>
      </c>
      <c r="BE44" s="10">
        <f t="shared" si="29"/>
        <v>0</v>
      </c>
      <c r="BG44" s="11">
        <f t="shared" si="12"/>
        <v>0</v>
      </c>
      <c r="BH44" s="10">
        <f t="shared" si="30"/>
        <v>0</v>
      </c>
      <c r="BJ44" s="7" t="str">
        <f t="shared" si="31"/>
        <v/>
      </c>
      <c r="BK44" s="158" t="str">
        <f t="shared" si="32"/>
        <v/>
      </c>
      <c r="BL44" s="158" t="str">
        <f t="shared" si="13"/>
        <v/>
      </c>
      <c r="BM44" s="10"/>
      <c r="BN44" s="10" t="str">
        <f t="shared" si="33"/>
        <v/>
      </c>
      <c r="BO44" s="10" t="str">
        <f t="shared" si="34"/>
        <v/>
      </c>
      <c r="BQ44" s="10">
        <f t="shared" si="14"/>
        <v>5092319400</v>
      </c>
      <c r="BR44" s="10">
        <f t="shared" si="35"/>
        <v>2097968168.0259874</v>
      </c>
    </row>
    <row r="45" spans="3:70" x14ac:dyDescent="0.15">
      <c r="C45" s="4" t="s">
        <v>575</v>
      </c>
      <c r="D45" s="100"/>
      <c r="E45" s="100"/>
      <c r="F45" s="4"/>
      <c r="G45" s="100"/>
      <c r="I45" s="38">
        <f t="shared" si="36"/>
        <v>2060</v>
      </c>
      <c r="J45" s="39"/>
      <c r="K45" s="39">
        <f t="shared" si="37"/>
        <v>31</v>
      </c>
      <c r="L45" s="39"/>
      <c r="M45" s="40">
        <f t="shared" si="0"/>
        <v>0.39998714516107459</v>
      </c>
      <c r="N45" s="39"/>
      <c r="O45" s="72">
        <f t="shared" si="15"/>
        <v>0</v>
      </c>
      <c r="P45" s="41" t="str">
        <f t="shared" si="1"/>
        <v>-</v>
      </c>
      <c r="Q45" s="39"/>
      <c r="R45" s="72">
        <f t="shared" si="16"/>
        <v>6927500000</v>
      </c>
      <c r="S45" s="39"/>
      <c r="T45" s="72">
        <f t="shared" si="17"/>
        <v>6927500000</v>
      </c>
      <c r="U45" s="39"/>
      <c r="V45" s="72">
        <f t="shared" si="2"/>
        <v>0</v>
      </c>
      <c r="W45" s="72">
        <f t="shared" si="18"/>
        <v>0</v>
      </c>
      <c r="X45" s="39"/>
      <c r="Y45" s="72">
        <f t="shared" si="3"/>
        <v>96985000</v>
      </c>
      <c r="Z45" s="72">
        <f t="shared" si="19"/>
        <v>38792753.273446821</v>
      </c>
      <c r="AA45" s="39"/>
      <c r="AB45" s="72">
        <f t="shared" si="4"/>
        <v>0</v>
      </c>
      <c r="AC45" s="72">
        <f t="shared" si="20"/>
        <v>0</v>
      </c>
      <c r="AD45" s="39"/>
      <c r="AE45" s="72">
        <f t="shared" si="5"/>
        <v>0</v>
      </c>
      <c r="AF45" s="72">
        <f t="shared" si="21"/>
        <v>0</v>
      </c>
      <c r="AG45" s="39"/>
      <c r="AH45" s="72">
        <f t="shared" si="6"/>
        <v>620000000</v>
      </c>
      <c r="AI45" s="72">
        <f t="shared" si="22"/>
        <v>247992029.99986625</v>
      </c>
      <c r="AJ45" s="39"/>
      <c r="AK45" s="72">
        <f t="shared" si="7"/>
        <v>3325200000</v>
      </c>
      <c r="AL45" s="72">
        <f t="shared" si="23"/>
        <v>1330037255.0896053</v>
      </c>
      <c r="AM45" s="39"/>
      <c r="AN45" s="72">
        <f t="shared" si="8"/>
        <v>1524050000</v>
      </c>
      <c r="AO45" s="72">
        <f t="shared" si="24"/>
        <v>609600408.58273578</v>
      </c>
      <c r="AP45" s="39"/>
      <c r="AQ45" s="72">
        <f t="shared" si="9"/>
        <v>656310000</v>
      </c>
      <c r="AR45" s="72">
        <f t="shared" si="25"/>
        <v>262515563.24066487</v>
      </c>
      <c r="AS45" s="39"/>
      <c r="AT45" s="40">
        <f>IF($K45&lt;=$F$15,IF($F$40&lt;&gt;"",$F$40/1000,IF(ISERROR(VLOOKUP($F$3&amp;IF($G$4&lt;&gt;"",$G$4,"")&amp;IF($F$43&lt;&gt;"","_"&amp;$F$43,""),'表3）燃料価格'!$AF$9:$AG$25,2,0)),0,VLOOKUP($I45,'表3）燃料価格'!A36:AC86,VLOOKUP($F$3,'表3）燃料価格'!$AF$9:$AG$25,2,0)+VLOOKUP($F$41,'表3）燃料価格'!$AF$28:$AG$29,2,0),0)*IF($F$43="需要地価格",1,$F$8/$F$141))),"")</f>
        <v>414.09</v>
      </c>
      <c r="AU45" s="39"/>
      <c r="AV45" s="72">
        <f t="shared" si="26"/>
        <v>95996437272.053375</v>
      </c>
      <c r="AW45" s="72">
        <f t="shared" si="27"/>
        <v>38397340890.082802</v>
      </c>
      <c r="AX45" s="39"/>
      <c r="AY45" s="40">
        <f>IF(ISERROR(IF($K45&lt;=$F$15,VLOOKUP($I45,'表4）CO2価格'!$A$7:$E$67,VLOOKUP($F$48,'表4）CO2価格'!$H$10:$I$12,2,0),0)*$F$8/1000,"")),0,IF($K45&lt;=$F$15,VLOOKUP($I45,'表4）CO2価格'!$A$7:$E$67,VLOOKUP($F$48,'表4）CO2価格'!$H$10:$I$12,2,0),0)*$F$8/1000,""))</f>
        <v>8.1999262362847141</v>
      </c>
      <c r="AZ45" s="39"/>
      <c r="BA45" s="42">
        <f t="shared" si="10"/>
        <v>0</v>
      </c>
      <c r="BB45" s="72">
        <f t="shared" si="28"/>
        <v>0</v>
      </c>
      <c r="BC45" s="39"/>
      <c r="BD45" s="72">
        <f t="shared" si="11"/>
        <v>0</v>
      </c>
      <c r="BE45" s="72">
        <f t="shared" si="29"/>
        <v>0</v>
      </c>
      <c r="BF45" s="39"/>
      <c r="BG45" s="42">
        <f t="shared" si="12"/>
        <v>0</v>
      </c>
      <c r="BH45" s="72">
        <f t="shared" si="30"/>
        <v>0</v>
      </c>
      <c r="BI45" s="39"/>
      <c r="BJ45" s="40" t="str">
        <f t="shared" si="31"/>
        <v/>
      </c>
      <c r="BK45" s="157" t="str">
        <f t="shared" si="32"/>
        <v/>
      </c>
      <c r="BL45" s="157" t="str">
        <f t="shared" si="13"/>
        <v/>
      </c>
      <c r="BM45" s="72"/>
      <c r="BN45" s="72" t="str">
        <f t="shared" si="33"/>
        <v/>
      </c>
      <c r="BO45" s="72" t="str">
        <f t="shared" si="34"/>
        <v/>
      </c>
      <c r="BP45" s="39"/>
      <c r="BQ45" s="72">
        <f t="shared" si="14"/>
        <v>5092319400</v>
      </c>
      <c r="BR45" s="72">
        <f t="shared" si="35"/>
        <v>2036862299.0543563</v>
      </c>
    </row>
    <row r="46" spans="3:70" x14ac:dyDescent="0.15">
      <c r="I46" s="322">
        <f t="shared" si="36"/>
        <v>2061</v>
      </c>
      <c r="K46" s="71">
        <f t="shared" si="37"/>
        <v>32</v>
      </c>
      <c r="M46" s="7">
        <f t="shared" si="0"/>
        <v>0.38833703413696569</v>
      </c>
      <c r="O46" s="10">
        <f t="shared" si="15"/>
        <v>0</v>
      </c>
      <c r="P46" s="29" t="str">
        <f t="shared" si="1"/>
        <v>-</v>
      </c>
      <c r="R46" s="10">
        <f t="shared" si="16"/>
        <v>6927500000</v>
      </c>
      <c r="T46" s="10">
        <f t="shared" si="17"/>
        <v>6927500000</v>
      </c>
      <c r="V46" s="10">
        <f t="shared" si="2"/>
        <v>0</v>
      </c>
      <c r="W46" s="10">
        <f t="shared" si="18"/>
        <v>0</v>
      </c>
      <c r="Y46" s="10">
        <f t="shared" si="3"/>
        <v>96985000</v>
      </c>
      <c r="Z46" s="10">
        <f t="shared" si="19"/>
        <v>37662867.255773619</v>
      </c>
      <c r="AB46" s="10">
        <f t="shared" si="4"/>
        <v>0</v>
      </c>
      <c r="AC46" s="10">
        <f t="shared" si="20"/>
        <v>0</v>
      </c>
      <c r="AE46" s="10">
        <f t="shared" si="5"/>
        <v>0</v>
      </c>
      <c r="AF46" s="10">
        <f t="shared" si="21"/>
        <v>0</v>
      </c>
      <c r="AH46" s="10">
        <f t="shared" si="6"/>
        <v>620000000</v>
      </c>
      <c r="AI46" s="10">
        <f t="shared" si="22"/>
        <v>240768961.16491872</v>
      </c>
      <c r="AK46" s="10">
        <f t="shared" si="7"/>
        <v>3325200000</v>
      </c>
      <c r="AL46" s="10">
        <f t="shared" si="23"/>
        <v>1291298305.9122384</v>
      </c>
      <c r="AN46" s="10">
        <f t="shared" si="8"/>
        <v>1524050000</v>
      </c>
      <c r="AO46" s="10">
        <f t="shared" si="24"/>
        <v>591845056.87644255</v>
      </c>
      <c r="AQ46" s="10">
        <f t="shared" si="9"/>
        <v>656310000</v>
      </c>
      <c r="AR46" s="10">
        <f t="shared" si="25"/>
        <v>254869478.87443194</v>
      </c>
      <c r="AT46" s="40">
        <f>IF($K46&lt;=$F$15,IF($F$40&lt;&gt;"",$F$40/1000,IF(ISERROR(VLOOKUP($F$3&amp;IF($G$4&lt;&gt;"",$G$4,"")&amp;IF($F$43&lt;&gt;"","_"&amp;$F$43,""),'表3）燃料価格'!$AF$9:$AG$25,2,0)),0,VLOOKUP($I46,'表3）燃料価格'!A37:AC87,VLOOKUP($F$3,'表3）燃料価格'!$AF$9:$AG$25,2,0)+VLOOKUP($F$41,'表3）燃料価格'!$AF$28:$AG$29,2,0),0)*IF($F$43="需要地価格",1,$F$8/$F$141))),"")</f>
        <v>414.09</v>
      </c>
      <c r="AV46" s="72">
        <f t="shared" si="26"/>
        <v>95996437272.053375</v>
      </c>
      <c r="AW46" s="72">
        <f t="shared" si="27"/>
        <v>37278971737.944473</v>
      </c>
      <c r="AY46" s="7">
        <f>IF(ISERROR(IF($K46&lt;=$F$15,VLOOKUP($I46,'表4）CO2価格'!$A$7:$E$67,VLOOKUP($F$48,'表4）CO2価格'!$H$10:$I$12,2,0),0)*$F$8/1000,"")),0,IF($K46&lt;=$F$15,VLOOKUP($I46,'表4）CO2価格'!$A$7:$E$67,VLOOKUP($F$48,'表4）CO2価格'!$H$10:$I$12,2,0),0)*$F$8/1000,""))</f>
        <v>8.3308792217288072</v>
      </c>
      <c r="BA46" s="11">
        <f t="shared" si="10"/>
        <v>0</v>
      </c>
      <c r="BB46" s="10">
        <f t="shared" si="28"/>
        <v>0</v>
      </c>
      <c r="BD46" s="10">
        <f t="shared" si="11"/>
        <v>0</v>
      </c>
      <c r="BE46" s="10">
        <f t="shared" si="29"/>
        <v>0</v>
      </c>
      <c r="BG46" s="11">
        <f t="shared" si="12"/>
        <v>0</v>
      </c>
      <c r="BH46" s="10">
        <f t="shared" si="30"/>
        <v>0</v>
      </c>
      <c r="BJ46" s="7" t="str">
        <f t="shared" si="31"/>
        <v/>
      </c>
      <c r="BK46" s="158" t="str">
        <f t="shared" si="32"/>
        <v/>
      </c>
      <c r="BL46" s="158" t="str">
        <f t="shared" si="13"/>
        <v/>
      </c>
      <c r="BM46" s="10"/>
      <c r="BN46" s="10" t="str">
        <f t="shared" si="33"/>
        <v/>
      </c>
      <c r="BO46" s="10" t="str">
        <f t="shared" si="34"/>
        <v/>
      </c>
      <c r="BQ46" s="10">
        <f t="shared" si="14"/>
        <v>5092319400</v>
      </c>
      <c r="BR46" s="10">
        <f t="shared" si="35"/>
        <v>1977536212.6741326</v>
      </c>
    </row>
    <row r="47" spans="3:70" x14ac:dyDescent="0.15">
      <c r="D47" s="84" t="s">
        <v>576</v>
      </c>
      <c r="F47" s="498"/>
      <c r="G47" s="84" t="s">
        <v>647</v>
      </c>
      <c r="I47" s="38">
        <f t="shared" si="36"/>
        <v>2062</v>
      </c>
      <c r="J47" s="39"/>
      <c r="K47" s="39">
        <f t="shared" si="37"/>
        <v>33</v>
      </c>
      <c r="L47" s="39"/>
      <c r="M47" s="40">
        <f t="shared" si="0"/>
        <v>0.37702624673491814</v>
      </c>
      <c r="N47" s="39"/>
      <c r="O47" s="72">
        <f t="shared" si="15"/>
        <v>0</v>
      </c>
      <c r="P47" s="41" t="str">
        <f t="shared" si="1"/>
        <v>-</v>
      </c>
      <c r="Q47" s="39"/>
      <c r="R47" s="72">
        <f t="shared" si="16"/>
        <v>6927500000</v>
      </c>
      <c r="S47" s="39"/>
      <c r="T47" s="72">
        <f t="shared" si="17"/>
        <v>6927500000</v>
      </c>
      <c r="U47" s="39"/>
      <c r="V47" s="72">
        <f t="shared" si="2"/>
        <v>0</v>
      </c>
      <c r="W47" s="72">
        <f t="shared" si="18"/>
        <v>0</v>
      </c>
      <c r="X47" s="39"/>
      <c r="Y47" s="72">
        <f t="shared" si="3"/>
        <v>96985000</v>
      </c>
      <c r="Z47" s="72">
        <f t="shared" si="19"/>
        <v>36565890.539586037</v>
      </c>
      <c r="AA47" s="39"/>
      <c r="AB47" s="72">
        <f t="shared" si="4"/>
        <v>0</v>
      </c>
      <c r="AC47" s="72">
        <f t="shared" si="20"/>
        <v>0</v>
      </c>
      <c r="AD47" s="39"/>
      <c r="AE47" s="72">
        <f t="shared" si="5"/>
        <v>0</v>
      </c>
      <c r="AF47" s="72">
        <f t="shared" si="21"/>
        <v>0</v>
      </c>
      <c r="AG47" s="39"/>
      <c r="AH47" s="72">
        <f t="shared" si="6"/>
        <v>620000000</v>
      </c>
      <c r="AI47" s="72">
        <f t="shared" si="22"/>
        <v>233756272.97564924</v>
      </c>
      <c r="AJ47" s="39"/>
      <c r="AK47" s="72">
        <f t="shared" si="7"/>
        <v>3325200000</v>
      </c>
      <c r="AL47" s="72">
        <f t="shared" si="23"/>
        <v>1253687675.6429498</v>
      </c>
      <c r="AM47" s="39"/>
      <c r="AN47" s="72">
        <f t="shared" si="8"/>
        <v>1524050000</v>
      </c>
      <c r="AO47" s="72">
        <f t="shared" si="24"/>
        <v>574606851.33635199</v>
      </c>
      <c r="AP47" s="39"/>
      <c r="AQ47" s="72">
        <f t="shared" si="9"/>
        <v>656310000</v>
      </c>
      <c r="AR47" s="72">
        <f t="shared" si="25"/>
        <v>247446095.99459413</v>
      </c>
      <c r="AS47" s="39"/>
      <c r="AT47" s="40">
        <f>IF($K47&lt;=$F$15,IF($F$40&lt;&gt;"",$F$40/1000,IF(ISERROR(VLOOKUP($F$3&amp;IF($G$4&lt;&gt;"",$G$4,"")&amp;IF($F$43&lt;&gt;"","_"&amp;$F$43,""),'表3）燃料価格'!$AF$9:$AG$25,2,0)),0,VLOOKUP($I47,'表3）燃料価格'!A38:AC88,VLOOKUP($F$3,'表3）燃料価格'!$AF$9:$AG$25,2,0)+VLOOKUP($F$41,'表3）燃料価格'!$AF$28:$AG$29,2,0),0)*IF($F$43="需要地価格",1,$F$8/$F$141))),"")</f>
        <v>414.09</v>
      </c>
      <c r="AU47" s="39"/>
      <c r="AV47" s="72">
        <f t="shared" si="26"/>
        <v>95996437272.053375</v>
      </c>
      <c r="AW47" s="72">
        <f t="shared" si="27"/>
        <v>36193176444.606285</v>
      </c>
      <c r="AX47" s="39"/>
      <c r="AY47" s="40">
        <f>IF(ISERROR(IF($K47&lt;=$F$15,VLOOKUP($I47,'表4）CO2価格'!$A$7:$E$67,VLOOKUP($F$48,'表4）CO2価格'!$H$10:$I$12,2,0),0)*$F$8/1000,"")),0,IF($K47&lt;=$F$15,VLOOKUP($I47,'表4）CO2価格'!$A$7:$E$67,VLOOKUP($F$48,'表4）CO2価格'!$H$10:$I$12,2,0),0)*$F$8/1000,""))</f>
        <v>8.4617686840146202</v>
      </c>
      <c r="AZ47" s="39"/>
      <c r="BA47" s="42">
        <f t="shared" si="10"/>
        <v>0</v>
      </c>
      <c r="BB47" s="72">
        <f t="shared" si="28"/>
        <v>0</v>
      </c>
      <c r="BC47" s="39"/>
      <c r="BD47" s="72">
        <f t="shared" si="11"/>
        <v>0</v>
      </c>
      <c r="BE47" s="72">
        <f t="shared" si="29"/>
        <v>0</v>
      </c>
      <c r="BF47" s="39"/>
      <c r="BG47" s="42">
        <f t="shared" si="12"/>
        <v>0</v>
      </c>
      <c r="BH47" s="72">
        <f t="shared" si="30"/>
        <v>0</v>
      </c>
      <c r="BI47" s="39"/>
      <c r="BJ47" s="40" t="str">
        <f t="shared" si="31"/>
        <v/>
      </c>
      <c r="BK47" s="157" t="str">
        <f t="shared" si="32"/>
        <v/>
      </c>
      <c r="BL47" s="157" t="str">
        <f t="shared" si="13"/>
        <v/>
      </c>
      <c r="BM47" s="72"/>
      <c r="BN47" s="72" t="str">
        <f t="shared" si="33"/>
        <v/>
      </c>
      <c r="BO47" s="72" t="str">
        <f t="shared" si="34"/>
        <v/>
      </c>
      <c r="BP47" s="39"/>
      <c r="BQ47" s="72">
        <f t="shared" si="14"/>
        <v>5092319400</v>
      </c>
      <c r="BR47" s="72">
        <f t="shared" si="35"/>
        <v>1919938070.5574102</v>
      </c>
    </row>
    <row r="48" spans="3:70" x14ac:dyDescent="0.15">
      <c r="D48" s="84" t="s">
        <v>578</v>
      </c>
      <c r="F48" s="474" t="str">
        <f>まとめ!B5</f>
        <v>WEO2020　STEPS</v>
      </c>
      <c r="I48" s="322">
        <f t="shared" si="36"/>
        <v>2063</v>
      </c>
      <c r="K48" s="71">
        <f t="shared" si="37"/>
        <v>34</v>
      </c>
      <c r="M48" s="7">
        <f t="shared" si="0"/>
        <v>0.36604489974263904</v>
      </c>
      <c r="O48" s="10">
        <f t="shared" si="15"/>
        <v>0</v>
      </c>
      <c r="P48" s="29" t="str">
        <f t="shared" si="1"/>
        <v>-</v>
      </c>
      <c r="R48" s="10">
        <f t="shared" si="16"/>
        <v>6927500000</v>
      </c>
      <c r="T48" s="10">
        <f t="shared" si="17"/>
        <v>6927500000</v>
      </c>
      <c r="V48" s="10">
        <f t="shared" si="2"/>
        <v>0</v>
      </c>
      <c r="W48" s="10">
        <f t="shared" si="18"/>
        <v>0</v>
      </c>
      <c r="Y48" s="10">
        <f t="shared" si="3"/>
        <v>96985000</v>
      </c>
      <c r="Z48" s="10">
        <f t="shared" si="19"/>
        <v>35500864.60153985</v>
      </c>
      <c r="AB48" s="10">
        <f t="shared" si="4"/>
        <v>0</v>
      </c>
      <c r="AC48" s="10">
        <f t="shared" si="20"/>
        <v>0</v>
      </c>
      <c r="AE48" s="10">
        <f t="shared" si="5"/>
        <v>0</v>
      </c>
      <c r="AF48" s="10">
        <f t="shared" si="21"/>
        <v>0</v>
      </c>
      <c r="AH48" s="10">
        <f t="shared" si="6"/>
        <v>620000000</v>
      </c>
      <c r="AI48" s="10">
        <f t="shared" si="22"/>
        <v>226947837.84043619</v>
      </c>
      <c r="AK48" s="10">
        <f t="shared" si="7"/>
        <v>3325200000</v>
      </c>
      <c r="AL48" s="10">
        <f t="shared" si="23"/>
        <v>1217172500.6242232</v>
      </c>
      <c r="AN48" s="10">
        <f t="shared" si="8"/>
        <v>1524050000</v>
      </c>
      <c r="AO48" s="10">
        <f t="shared" si="24"/>
        <v>557870729.45276904</v>
      </c>
      <c r="AQ48" s="10">
        <f t="shared" si="9"/>
        <v>656310000</v>
      </c>
      <c r="AR48" s="10">
        <f t="shared" si="25"/>
        <v>240238928.15009144</v>
      </c>
      <c r="AT48" s="40">
        <f>IF($K48&lt;=$F$15,IF($F$40&lt;&gt;"",$F$40/1000,IF(ISERROR(VLOOKUP($F$3&amp;IF($G$4&lt;&gt;"",$G$4,"")&amp;IF($F$43&lt;&gt;"","_"&amp;$F$43,""),'表3）燃料価格'!$AF$9:$AG$25,2,0)),0,VLOOKUP($I48,'表3）燃料価格'!A39:AC89,VLOOKUP($F$3,'表3）燃料価格'!$AF$9:$AG$25,2,0)+VLOOKUP($F$41,'表3）燃料価格'!$AF$28:$AG$29,2,0),0)*IF($F$43="需要地価格",1,$F$8/$F$141))),"")</f>
        <v>414.09</v>
      </c>
      <c r="AV48" s="72">
        <f t="shared" si="26"/>
        <v>95996437272.053375</v>
      </c>
      <c r="AW48" s="72">
        <f t="shared" si="27"/>
        <v>35139006256.899315</v>
      </c>
      <c r="AY48" s="7">
        <f>IF(ISERROR(IF($K48&lt;=$F$15,VLOOKUP($I48,'表4）CO2価格'!$A$7:$E$67,VLOOKUP($F$48,'表4）CO2価格'!$H$10:$I$12,2,0),0)*$F$8/1000,"")),0,IF($K48&lt;=$F$15,VLOOKUP($I48,'表4）CO2価格'!$A$7:$E$67,VLOOKUP($F$48,'表4）CO2価格'!$H$10:$I$12,2,0),0)*$F$8/1000,""))</f>
        <v>8.5925946847404155</v>
      </c>
      <c r="BA48" s="11">
        <f t="shared" si="10"/>
        <v>0</v>
      </c>
      <c r="BB48" s="10">
        <f t="shared" si="28"/>
        <v>0</v>
      </c>
      <c r="BD48" s="10">
        <f t="shared" si="11"/>
        <v>0</v>
      </c>
      <c r="BE48" s="10">
        <f t="shared" si="29"/>
        <v>0</v>
      </c>
      <c r="BG48" s="11">
        <f t="shared" si="12"/>
        <v>0</v>
      </c>
      <c r="BH48" s="10">
        <f t="shared" si="30"/>
        <v>0</v>
      </c>
      <c r="BJ48" s="7" t="str">
        <f t="shared" si="31"/>
        <v/>
      </c>
      <c r="BK48" s="158" t="str">
        <f t="shared" si="32"/>
        <v/>
      </c>
      <c r="BL48" s="158" t="str">
        <f t="shared" si="13"/>
        <v/>
      </c>
      <c r="BM48" s="10"/>
      <c r="BN48" s="10" t="str">
        <f t="shared" si="33"/>
        <v/>
      </c>
      <c r="BO48" s="10" t="str">
        <f t="shared" si="34"/>
        <v/>
      </c>
      <c r="BQ48" s="10">
        <f t="shared" si="14"/>
        <v>5092319400</v>
      </c>
      <c r="BR48" s="10">
        <f t="shared" si="35"/>
        <v>1864017544.2304957</v>
      </c>
    </row>
    <row r="49" spans="3:70" x14ac:dyDescent="0.15">
      <c r="I49" s="38">
        <f t="shared" si="36"/>
        <v>2064</v>
      </c>
      <c r="J49" s="39"/>
      <c r="K49" s="39">
        <f t="shared" si="37"/>
        <v>35</v>
      </c>
      <c r="L49" s="39"/>
      <c r="M49" s="40">
        <f t="shared" si="0"/>
        <v>0.35538339780838735</v>
      </c>
      <c r="N49" s="39"/>
      <c r="O49" s="72">
        <f t="shared" si="15"/>
        <v>0</v>
      </c>
      <c r="P49" s="41" t="str">
        <f t="shared" si="1"/>
        <v>-</v>
      </c>
      <c r="Q49" s="39"/>
      <c r="R49" s="72">
        <f t="shared" si="16"/>
        <v>6927500000</v>
      </c>
      <c r="S49" s="39"/>
      <c r="T49" s="72">
        <f t="shared" si="17"/>
        <v>6927500000</v>
      </c>
      <c r="U49" s="39"/>
      <c r="V49" s="72">
        <f t="shared" si="2"/>
        <v>0</v>
      </c>
      <c r="W49" s="72">
        <f t="shared" si="18"/>
        <v>0</v>
      </c>
      <c r="X49" s="39"/>
      <c r="Y49" s="72">
        <f t="shared" si="3"/>
        <v>96985000</v>
      </c>
      <c r="Z49" s="72">
        <f t="shared" si="19"/>
        <v>34466858.836446449</v>
      </c>
      <c r="AA49" s="39"/>
      <c r="AB49" s="72">
        <f t="shared" si="4"/>
        <v>0</v>
      </c>
      <c r="AC49" s="72">
        <f t="shared" si="20"/>
        <v>0</v>
      </c>
      <c r="AD49" s="39"/>
      <c r="AE49" s="72">
        <f t="shared" si="5"/>
        <v>0</v>
      </c>
      <c r="AF49" s="72">
        <f t="shared" si="21"/>
        <v>0</v>
      </c>
      <c r="AG49" s="39"/>
      <c r="AH49" s="72">
        <f t="shared" si="6"/>
        <v>620000000</v>
      </c>
      <c r="AI49" s="72">
        <f t="shared" si="22"/>
        <v>220337706.64120016</v>
      </c>
      <c r="AJ49" s="39"/>
      <c r="AK49" s="72">
        <f t="shared" si="7"/>
        <v>3325200000</v>
      </c>
      <c r="AL49" s="72">
        <f t="shared" si="23"/>
        <v>1181720874.3924496</v>
      </c>
      <c r="AM49" s="39"/>
      <c r="AN49" s="72">
        <f t="shared" si="8"/>
        <v>1524050000</v>
      </c>
      <c r="AO49" s="72">
        <f t="shared" si="24"/>
        <v>541622067.42987275</v>
      </c>
      <c r="AP49" s="39"/>
      <c r="AQ49" s="72">
        <f t="shared" si="9"/>
        <v>656310000</v>
      </c>
      <c r="AR49" s="72">
        <f t="shared" si="25"/>
        <v>233241677.81562269</v>
      </c>
      <c r="AS49" s="39"/>
      <c r="AT49" s="40">
        <f>IF($K49&lt;=$F$15,IF($F$40&lt;&gt;"",$F$40/1000,IF(ISERROR(VLOOKUP($F$3&amp;IF($G$4&lt;&gt;"",$G$4,"")&amp;IF($F$43&lt;&gt;"","_"&amp;$F$43,""),'表3）燃料価格'!$AF$9:$AG$25,2,0)),0,VLOOKUP($I49,'表3）燃料価格'!A40:AC90,VLOOKUP($F$3,'表3）燃料価格'!$AF$9:$AG$25,2,0)+VLOOKUP($F$41,'表3）燃料価格'!$AF$28:$AG$29,2,0),0)*IF($F$43="需要地価格",1,$F$8/$F$141))),"")</f>
        <v>414.09</v>
      </c>
      <c r="AU49" s="39"/>
      <c r="AV49" s="72">
        <f t="shared" si="26"/>
        <v>95996437272.053375</v>
      </c>
      <c r="AW49" s="72">
        <f t="shared" si="27"/>
        <v>34115540055.242046</v>
      </c>
      <c r="AX49" s="39"/>
      <c r="AY49" s="40">
        <f>IF(ISERROR(IF($K49&lt;=$F$15,VLOOKUP($I49,'表4）CO2価格'!$A$7:$E$67,VLOOKUP($F$48,'表4）CO2価格'!$H$10:$I$12,2,0),0)*$F$8/1000,"")),0,IF($K49&lt;=$F$15,VLOOKUP($I49,'表4）CO2価格'!$A$7:$E$67,VLOOKUP($F$48,'表4）CO2価格'!$H$10:$I$12,2,0),0)*$F$8/1000,""))</f>
        <v>8.7233572854149237</v>
      </c>
      <c r="AZ49" s="39"/>
      <c r="BA49" s="42">
        <f t="shared" si="10"/>
        <v>0</v>
      </c>
      <c r="BB49" s="72">
        <f t="shared" si="28"/>
        <v>0</v>
      </c>
      <c r="BC49" s="39"/>
      <c r="BD49" s="72">
        <f t="shared" si="11"/>
        <v>0</v>
      </c>
      <c r="BE49" s="72">
        <f t="shared" si="29"/>
        <v>0</v>
      </c>
      <c r="BF49" s="39"/>
      <c r="BG49" s="42">
        <f t="shared" si="12"/>
        <v>0</v>
      </c>
      <c r="BH49" s="72">
        <f t="shared" si="30"/>
        <v>0</v>
      </c>
      <c r="BI49" s="39"/>
      <c r="BJ49" s="40" t="str">
        <f t="shared" si="31"/>
        <v/>
      </c>
      <c r="BK49" s="157" t="str">
        <f t="shared" si="32"/>
        <v/>
      </c>
      <c r="BL49" s="157" t="str">
        <f t="shared" si="13"/>
        <v/>
      </c>
      <c r="BM49" s="72"/>
      <c r="BN49" s="72" t="str">
        <f t="shared" si="33"/>
        <v/>
      </c>
      <c r="BO49" s="72" t="str">
        <f t="shared" si="34"/>
        <v/>
      </c>
      <c r="BP49" s="39"/>
      <c r="BQ49" s="72">
        <f t="shared" si="14"/>
        <v>5092319400</v>
      </c>
      <c r="BR49" s="72">
        <f t="shared" si="35"/>
        <v>1809725771.0975683</v>
      </c>
    </row>
    <row r="50" spans="3:70" x14ac:dyDescent="0.15">
      <c r="C50" s="4" t="s">
        <v>579</v>
      </c>
      <c r="D50" s="100"/>
      <c r="E50" s="100"/>
      <c r="F50" s="4"/>
      <c r="G50" s="100"/>
      <c r="I50" s="322">
        <f t="shared" si="36"/>
        <v>2065</v>
      </c>
      <c r="K50" s="71">
        <f t="shared" si="37"/>
        <v>36</v>
      </c>
      <c r="M50" s="7">
        <f t="shared" si="0"/>
        <v>0.34503242505668674</v>
      </c>
      <c r="O50" s="10">
        <f t="shared" si="15"/>
        <v>0</v>
      </c>
      <c r="P50" s="29" t="str">
        <f t="shared" si="1"/>
        <v>-</v>
      </c>
      <c r="R50" s="10">
        <f t="shared" si="16"/>
        <v>6927500000</v>
      </c>
      <c r="T50" s="10">
        <f t="shared" si="17"/>
        <v>6927500000</v>
      </c>
      <c r="V50" s="10">
        <f t="shared" si="2"/>
        <v>0</v>
      </c>
      <c r="W50" s="10">
        <f t="shared" si="18"/>
        <v>0</v>
      </c>
      <c r="Y50" s="10">
        <f t="shared" si="3"/>
        <v>96985000</v>
      </c>
      <c r="Z50" s="10">
        <f t="shared" si="19"/>
        <v>33462969.744122762</v>
      </c>
      <c r="AB50" s="10">
        <f t="shared" si="4"/>
        <v>0</v>
      </c>
      <c r="AC50" s="10">
        <f t="shared" si="20"/>
        <v>0</v>
      </c>
      <c r="AE50" s="10">
        <f t="shared" si="5"/>
        <v>0</v>
      </c>
      <c r="AF50" s="10">
        <f t="shared" si="21"/>
        <v>0</v>
      </c>
      <c r="AH50" s="10">
        <f t="shared" si="6"/>
        <v>620000000</v>
      </c>
      <c r="AI50" s="10">
        <f t="shared" si="22"/>
        <v>213920103.53514579</v>
      </c>
      <c r="AK50" s="10">
        <f t="shared" si="7"/>
        <v>3325200000</v>
      </c>
      <c r="AL50" s="10">
        <f t="shared" si="23"/>
        <v>1147301819.7984948</v>
      </c>
      <c r="AN50" s="10">
        <f t="shared" si="8"/>
        <v>1524050000</v>
      </c>
      <c r="AO50" s="10">
        <f t="shared" si="24"/>
        <v>525846667.40764344</v>
      </c>
      <c r="AQ50" s="10">
        <f t="shared" si="9"/>
        <v>656310000</v>
      </c>
      <c r="AR50" s="10">
        <f t="shared" si="25"/>
        <v>226448230.88895407</v>
      </c>
      <c r="AT50" s="40">
        <f>IF($K50&lt;=$F$15,IF($F$40&lt;&gt;"",$F$40/1000,IF(ISERROR(VLOOKUP($F$3&amp;IF($G$4&lt;&gt;"",$G$4,"")&amp;IF($F$43&lt;&gt;"","_"&amp;$F$43,""),'表3）燃料価格'!$AF$9:$AG$25,2,0)),0,VLOOKUP($I50,'表3）燃料価格'!A41:AC91,VLOOKUP($F$3,'表3）燃料価格'!$AF$9:$AG$25,2,0)+VLOOKUP($F$41,'表3）燃料価格'!$AF$28:$AG$29,2,0),0)*IF($F$43="需要地価格",1,$F$8/$F$141))),"")</f>
        <v>414.09</v>
      </c>
      <c r="AV50" s="72">
        <f t="shared" si="26"/>
        <v>95996437272.053375</v>
      </c>
      <c r="AW50" s="72">
        <f t="shared" si="27"/>
        <v>33121883548.778687</v>
      </c>
      <c r="AY50" s="7">
        <f>IF(ISERROR(IF($K50&lt;=$F$15,VLOOKUP($I50,'表4）CO2価格'!$A$7:$E$67,VLOOKUP($F$48,'表4）CO2価格'!$H$10:$I$12,2,0),0)*$F$8/1000,"")),0,IF($K50&lt;=$F$15,VLOOKUP($I50,'表4）CO2価格'!$A$7:$E$67,VLOOKUP($F$48,'表4）CO2価格'!$H$10:$I$12,2,0),0)*$F$8/1000,""))</f>
        <v>8.8540565474573452</v>
      </c>
      <c r="BA50" s="11">
        <f t="shared" si="10"/>
        <v>0</v>
      </c>
      <c r="BB50" s="10">
        <f t="shared" si="28"/>
        <v>0</v>
      </c>
      <c r="BD50" s="10">
        <f t="shared" si="11"/>
        <v>0</v>
      </c>
      <c r="BE50" s="10">
        <f t="shared" si="29"/>
        <v>0</v>
      </c>
      <c r="BG50" s="11">
        <f t="shared" si="12"/>
        <v>0</v>
      </c>
      <c r="BH50" s="10">
        <f t="shared" si="30"/>
        <v>0</v>
      </c>
      <c r="BJ50" s="7" t="str">
        <f t="shared" si="31"/>
        <v/>
      </c>
      <c r="BK50" s="158" t="str">
        <f t="shared" si="32"/>
        <v/>
      </c>
      <c r="BL50" s="158" t="str">
        <f t="shared" si="13"/>
        <v/>
      </c>
      <c r="BM50" s="10"/>
      <c r="BN50" s="10" t="str">
        <f t="shared" si="33"/>
        <v/>
      </c>
      <c r="BO50" s="10" t="str">
        <f t="shared" si="34"/>
        <v/>
      </c>
      <c r="BQ50" s="10">
        <f t="shared" si="14"/>
        <v>5092319400</v>
      </c>
      <c r="BR50" s="10">
        <f t="shared" si="35"/>
        <v>1757015311.7452121</v>
      </c>
    </row>
    <row r="51" spans="3:70" x14ac:dyDescent="0.15">
      <c r="I51" s="38">
        <f t="shared" si="36"/>
        <v>2066</v>
      </c>
      <c r="J51" s="39"/>
      <c r="K51" s="39">
        <f t="shared" si="37"/>
        <v>37</v>
      </c>
      <c r="L51" s="39"/>
      <c r="M51" s="40">
        <f t="shared" si="0"/>
        <v>0.33498293694823961</v>
      </c>
      <c r="N51" s="39"/>
      <c r="O51" s="72">
        <f t="shared" si="15"/>
        <v>0</v>
      </c>
      <c r="P51" s="41" t="str">
        <f t="shared" si="1"/>
        <v>-</v>
      </c>
      <c r="Q51" s="39"/>
      <c r="R51" s="72">
        <f t="shared" si="16"/>
        <v>6927500000</v>
      </c>
      <c r="S51" s="39"/>
      <c r="T51" s="72">
        <f t="shared" si="17"/>
        <v>6927500000</v>
      </c>
      <c r="U51" s="39"/>
      <c r="V51" s="72">
        <f t="shared" si="2"/>
        <v>0</v>
      </c>
      <c r="W51" s="72">
        <f t="shared" si="18"/>
        <v>0</v>
      </c>
      <c r="X51" s="39"/>
      <c r="Y51" s="72">
        <f t="shared" si="3"/>
        <v>96985000</v>
      </c>
      <c r="Z51" s="72">
        <f t="shared" si="19"/>
        <v>32488320.139925018</v>
      </c>
      <c r="AA51" s="39"/>
      <c r="AB51" s="72">
        <f t="shared" si="4"/>
        <v>0</v>
      </c>
      <c r="AC51" s="72">
        <f t="shared" si="20"/>
        <v>0</v>
      </c>
      <c r="AD51" s="39"/>
      <c r="AE51" s="72">
        <f t="shared" si="5"/>
        <v>0</v>
      </c>
      <c r="AF51" s="72">
        <f t="shared" si="21"/>
        <v>0</v>
      </c>
      <c r="AG51" s="39"/>
      <c r="AH51" s="72">
        <f t="shared" si="6"/>
        <v>620000000</v>
      </c>
      <c r="AI51" s="72">
        <f t="shared" si="22"/>
        <v>207689420.90790856</v>
      </c>
      <c r="AJ51" s="39"/>
      <c r="AK51" s="72">
        <f t="shared" si="7"/>
        <v>3325200000</v>
      </c>
      <c r="AL51" s="72">
        <f t="shared" si="23"/>
        <v>1113885261.9402864</v>
      </c>
      <c r="AM51" s="39"/>
      <c r="AN51" s="72">
        <f t="shared" si="8"/>
        <v>1524050000</v>
      </c>
      <c r="AO51" s="72">
        <f t="shared" si="24"/>
        <v>510530745.05596459</v>
      </c>
      <c r="AP51" s="39"/>
      <c r="AQ51" s="72">
        <f t="shared" si="9"/>
        <v>656310000</v>
      </c>
      <c r="AR51" s="72">
        <f t="shared" si="25"/>
        <v>219852651.34849915</v>
      </c>
      <c r="AS51" s="39"/>
      <c r="AT51" s="40">
        <f>IF($K51&lt;=$F$15,IF($F$40&lt;&gt;"",$F$40/1000,IF(ISERROR(VLOOKUP($F$3&amp;IF($G$4&lt;&gt;"",$G$4,"")&amp;IF($F$43&lt;&gt;"","_"&amp;$F$43,""),'表3）燃料価格'!$AF$9:$AG$25,2,0)),0,VLOOKUP($I51,'表3）燃料価格'!A42:AC92,VLOOKUP($F$3,'表3）燃料価格'!$AF$9:$AG$25,2,0)+VLOOKUP($F$41,'表3）燃料価格'!$AF$28:$AG$29,2,0),0)*IF($F$43="需要地価格",1,$F$8/$F$141))),"")</f>
        <v>414.09</v>
      </c>
      <c r="AU51" s="39"/>
      <c r="AV51" s="72">
        <f t="shared" si="26"/>
        <v>95996437272.053375</v>
      </c>
      <c r="AW51" s="72">
        <f t="shared" si="27"/>
        <v>32157168493.959896</v>
      </c>
      <c r="AX51" s="39"/>
      <c r="AY51" s="40">
        <f>IF(ISERROR(IF($K51&lt;=$F$15,VLOOKUP($I51,'表4）CO2価格'!$A$7:$E$67,VLOOKUP($F$48,'表4）CO2価格'!$H$10:$I$12,2,0),0)*$F$8/1000,"")),0,IF($K51&lt;=$F$15,VLOOKUP($I51,'表4）CO2価格'!$A$7:$E$67,VLOOKUP($F$48,'表4）CO2価格'!$H$10:$I$12,2,0),0)*$F$8/1000,""))</f>
        <v>8.9846925321981246</v>
      </c>
      <c r="AZ51" s="39"/>
      <c r="BA51" s="42">
        <f t="shared" si="10"/>
        <v>0</v>
      </c>
      <c r="BB51" s="72">
        <f t="shared" si="28"/>
        <v>0</v>
      </c>
      <c r="BC51" s="39"/>
      <c r="BD51" s="72">
        <f t="shared" si="11"/>
        <v>0</v>
      </c>
      <c r="BE51" s="72">
        <f t="shared" si="29"/>
        <v>0</v>
      </c>
      <c r="BF51" s="39"/>
      <c r="BG51" s="42">
        <f t="shared" si="12"/>
        <v>0</v>
      </c>
      <c r="BH51" s="72">
        <f t="shared" si="30"/>
        <v>0</v>
      </c>
      <c r="BI51" s="39"/>
      <c r="BJ51" s="40" t="str">
        <f t="shared" si="31"/>
        <v/>
      </c>
      <c r="BK51" s="157" t="str">
        <f t="shared" si="32"/>
        <v/>
      </c>
      <c r="BL51" s="157" t="str">
        <f t="shared" si="13"/>
        <v/>
      </c>
      <c r="BM51" s="72"/>
      <c r="BN51" s="72" t="str">
        <f t="shared" si="33"/>
        <v/>
      </c>
      <c r="BO51" s="72" t="str">
        <f t="shared" si="34"/>
        <v/>
      </c>
      <c r="BP51" s="39"/>
      <c r="BQ51" s="72">
        <f t="shared" si="14"/>
        <v>5092319400</v>
      </c>
      <c r="BR51" s="72">
        <f t="shared" si="35"/>
        <v>1705840108.4904974</v>
      </c>
    </row>
    <row r="52" spans="3:70" x14ac:dyDescent="0.15">
      <c r="D52" s="84" t="s">
        <v>185</v>
      </c>
      <c r="F52" s="478"/>
      <c r="G52" s="84" t="s">
        <v>549</v>
      </c>
      <c r="I52" s="322">
        <f t="shared" si="36"/>
        <v>2067</v>
      </c>
      <c r="K52" s="71">
        <f t="shared" si="37"/>
        <v>38</v>
      </c>
      <c r="M52" s="7">
        <f t="shared" si="0"/>
        <v>0.3252261523769317</v>
      </c>
      <c r="O52" s="10">
        <f t="shared" si="15"/>
        <v>0</v>
      </c>
      <c r="P52" s="29" t="str">
        <f t="shared" si="1"/>
        <v>-</v>
      </c>
      <c r="R52" s="10">
        <f t="shared" si="16"/>
        <v>6927500000</v>
      </c>
      <c r="T52" s="10">
        <f t="shared" si="17"/>
        <v>6927500000</v>
      </c>
      <c r="V52" s="10">
        <f t="shared" si="2"/>
        <v>0</v>
      </c>
      <c r="W52" s="10">
        <f t="shared" si="18"/>
        <v>0</v>
      </c>
      <c r="Y52" s="10">
        <f t="shared" si="3"/>
        <v>96985000</v>
      </c>
      <c r="Z52" s="10">
        <f t="shared" si="19"/>
        <v>31542058.388276722</v>
      </c>
      <c r="AB52" s="10">
        <f t="shared" si="4"/>
        <v>0</v>
      </c>
      <c r="AC52" s="10">
        <f t="shared" si="20"/>
        <v>0</v>
      </c>
      <c r="AE52" s="10">
        <f t="shared" si="5"/>
        <v>0</v>
      </c>
      <c r="AF52" s="10">
        <f t="shared" si="21"/>
        <v>0</v>
      </c>
      <c r="AH52" s="10">
        <f t="shared" si="6"/>
        <v>620000000</v>
      </c>
      <c r="AI52" s="10">
        <f t="shared" si="22"/>
        <v>201640214.47369766</v>
      </c>
      <c r="AK52" s="10">
        <f t="shared" si="7"/>
        <v>3325200000</v>
      </c>
      <c r="AL52" s="10">
        <f t="shared" si="23"/>
        <v>1081442001.8837733</v>
      </c>
      <c r="AN52" s="10">
        <f t="shared" si="8"/>
        <v>1524050000</v>
      </c>
      <c r="AO52" s="10">
        <f t="shared" si="24"/>
        <v>495660917.53006274</v>
      </c>
      <c r="AQ52" s="10">
        <f t="shared" si="9"/>
        <v>656310000</v>
      </c>
      <c r="AR52" s="10">
        <f t="shared" si="25"/>
        <v>213449176.06650403</v>
      </c>
      <c r="AT52" s="40">
        <f>IF($K52&lt;=$F$15,IF($F$40&lt;&gt;"",$F$40/1000,IF(ISERROR(VLOOKUP($F$3&amp;IF($G$4&lt;&gt;"",$G$4,"")&amp;IF($F$43&lt;&gt;"","_"&amp;$F$43,""),'表3）燃料価格'!$AF$9:$AG$25,2,0)),0,VLOOKUP($I52,'表3）燃料価格'!A43:AC93,VLOOKUP($F$3,'表3）燃料価格'!$AF$9:$AG$25,2,0)+VLOOKUP($F$41,'表3）燃料価格'!$AF$28:$AG$29,2,0),0)*IF($F$43="需要地価格",1,$F$8/$F$141))),"")</f>
        <v>414.09</v>
      </c>
      <c r="AV52" s="72">
        <f t="shared" si="26"/>
        <v>95996437272.053375</v>
      </c>
      <c r="AW52" s="72">
        <f t="shared" si="27"/>
        <v>31220551935.883396</v>
      </c>
      <c r="AY52" s="7">
        <f>IF(ISERROR(IF($K52&lt;=$F$15,VLOOKUP($I52,'表4）CO2価格'!$A$7:$E$67,VLOOKUP($F$48,'表4）CO2価格'!$H$10:$I$12,2,0),0)*$F$8/1000,"")),0,IF($K52&lt;=$F$15,VLOOKUP($I52,'表4）CO2価格'!$A$7:$E$67,VLOOKUP($F$48,'表4）CO2価格'!$H$10:$I$12,2,0),0)*$F$8/1000,""))</f>
        <v>9.1152653008777929</v>
      </c>
      <c r="BA52" s="11">
        <f t="shared" si="10"/>
        <v>0</v>
      </c>
      <c r="BB52" s="10">
        <f t="shared" si="28"/>
        <v>0</v>
      </c>
      <c r="BD52" s="10">
        <f t="shared" si="11"/>
        <v>0</v>
      </c>
      <c r="BE52" s="10">
        <f t="shared" si="29"/>
        <v>0</v>
      </c>
      <c r="BG52" s="11">
        <f t="shared" si="12"/>
        <v>0</v>
      </c>
      <c r="BH52" s="10">
        <f t="shared" si="30"/>
        <v>0</v>
      </c>
      <c r="BJ52" s="7" t="str">
        <f t="shared" si="31"/>
        <v/>
      </c>
      <c r="BK52" s="158" t="str">
        <f t="shared" si="32"/>
        <v/>
      </c>
      <c r="BL52" s="158" t="str">
        <f t="shared" si="13"/>
        <v/>
      </c>
      <c r="BM52" s="10"/>
      <c r="BN52" s="10" t="str">
        <f t="shared" si="33"/>
        <v/>
      </c>
      <c r="BO52" s="10" t="str">
        <f t="shared" si="34"/>
        <v/>
      </c>
      <c r="BQ52" s="10">
        <f t="shared" si="14"/>
        <v>5092319400</v>
      </c>
      <c r="BR52" s="10">
        <f t="shared" si="35"/>
        <v>1656155445.1364055</v>
      </c>
    </row>
    <row r="53" spans="3:70" x14ac:dyDescent="0.15">
      <c r="D53" s="84" t="s">
        <v>580</v>
      </c>
      <c r="F53" s="475"/>
      <c r="G53" s="84" t="s">
        <v>549</v>
      </c>
      <c r="I53" s="38">
        <f t="shared" si="36"/>
        <v>2068</v>
      </c>
      <c r="J53" s="39"/>
      <c r="K53" s="39">
        <f t="shared" si="37"/>
        <v>39</v>
      </c>
      <c r="L53" s="39"/>
      <c r="M53" s="40">
        <f t="shared" si="0"/>
        <v>0.31575354599702099</v>
      </c>
      <c r="N53" s="39"/>
      <c r="O53" s="72">
        <f t="shared" si="15"/>
        <v>0</v>
      </c>
      <c r="P53" s="41" t="str">
        <f t="shared" si="1"/>
        <v>-</v>
      </c>
      <c r="Q53" s="39"/>
      <c r="R53" s="72">
        <f t="shared" si="16"/>
        <v>6927500000</v>
      </c>
      <c r="S53" s="39"/>
      <c r="T53" s="72">
        <f t="shared" si="17"/>
        <v>6927500000</v>
      </c>
      <c r="U53" s="39"/>
      <c r="V53" s="72">
        <f t="shared" si="2"/>
        <v>0</v>
      </c>
      <c r="W53" s="72">
        <f t="shared" si="18"/>
        <v>0</v>
      </c>
      <c r="X53" s="39"/>
      <c r="Y53" s="72">
        <f t="shared" si="3"/>
        <v>96985000</v>
      </c>
      <c r="Z53" s="72">
        <f t="shared" si="19"/>
        <v>30623357.658521082</v>
      </c>
      <c r="AA53" s="39"/>
      <c r="AB53" s="72">
        <f t="shared" si="4"/>
        <v>0</v>
      </c>
      <c r="AC53" s="72">
        <f t="shared" si="20"/>
        <v>0</v>
      </c>
      <c r="AD53" s="39"/>
      <c r="AE53" s="72">
        <f t="shared" si="5"/>
        <v>0</v>
      </c>
      <c r="AF53" s="72">
        <f t="shared" si="21"/>
        <v>0</v>
      </c>
      <c r="AG53" s="39"/>
      <c r="AH53" s="72">
        <f t="shared" si="6"/>
        <v>620000000</v>
      </c>
      <c r="AI53" s="72">
        <f t="shared" si="22"/>
        <v>195767198.51815301</v>
      </c>
      <c r="AJ53" s="39"/>
      <c r="AK53" s="72">
        <f t="shared" si="7"/>
        <v>3325200000</v>
      </c>
      <c r="AL53" s="72">
        <f t="shared" si="23"/>
        <v>1049943691.1492941</v>
      </c>
      <c r="AM53" s="39"/>
      <c r="AN53" s="72">
        <f t="shared" si="8"/>
        <v>1524050000</v>
      </c>
      <c r="AO53" s="72">
        <f t="shared" si="24"/>
        <v>481224191.77675986</v>
      </c>
      <c r="AP53" s="39"/>
      <c r="AQ53" s="72">
        <f t="shared" si="9"/>
        <v>656310000</v>
      </c>
      <c r="AR53" s="72">
        <f t="shared" si="25"/>
        <v>207232209.77330485</v>
      </c>
      <c r="AS53" s="39"/>
      <c r="AT53" s="40">
        <f>IF($K53&lt;=$F$15,IF($F$40&lt;&gt;"",$F$40/1000,IF(ISERROR(VLOOKUP($F$3&amp;IF($G$4&lt;&gt;"",$G$4,"")&amp;IF($F$43&lt;&gt;"","_"&amp;$F$43,""),'表3）燃料価格'!$AF$9:$AG$25,2,0)),0,VLOOKUP($I53,'表3）燃料価格'!A44:AC94,VLOOKUP($F$3,'表3）燃料価格'!$AF$9:$AG$25,2,0)+VLOOKUP($F$41,'表3）燃料価格'!$AF$28:$AG$29,2,0),0)*IF($F$43="需要地価格",1,$F$8/$F$141))),"")</f>
        <v>414.09</v>
      </c>
      <c r="AU53" s="39"/>
      <c r="AV53" s="72">
        <f t="shared" si="26"/>
        <v>95996437272.053375</v>
      </c>
      <c r="AW53" s="72">
        <f t="shared" si="27"/>
        <v>30311215471.731445</v>
      </c>
      <c r="AX53" s="39"/>
      <c r="AY53" s="40">
        <f>IF(ISERROR(IF($K53&lt;=$F$15,VLOOKUP($I53,'表4）CO2価格'!$A$7:$E$67,VLOOKUP($F$48,'表4）CO2価格'!$H$10:$I$12,2,0),0)*$F$8/1000,"")),0,IF($K53&lt;=$F$15,VLOOKUP($I53,'表4）CO2価格'!$A$7:$E$67,VLOOKUP($F$48,'表4）CO2価格'!$H$10:$I$12,2,0),0)*$F$8/1000,""))</f>
        <v>9.2457749146488997</v>
      </c>
      <c r="AZ53" s="39"/>
      <c r="BA53" s="42">
        <f t="shared" si="10"/>
        <v>0</v>
      </c>
      <c r="BB53" s="72">
        <f t="shared" si="28"/>
        <v>0</v>
      </c>
      <c r="BC53" s="39"/>
      <c r="BD53" s="72">
        <f t="shared" si="11"/>
        <v>0</v>
      </c>
      <c r="BE53" s="72">
        <f t="shared" si="29"/>
        <v>0</v>
      </c>
      <c r="BF53" s="39"/>
      <c r="BG53" s="42">
        <f t="shared" si="12"/>
        <v>0</v>
      </c>
      <c r="BH53" s="72">
        <f t="shared" si="30"/>
        <v>0</v>
      </c>
      <c r="BI53" s="39"/>
      <c r="BJ53" s="40" t="str">
        <f t="shared" si="31"/>
        <v/>
      </c>
      <c r="BK53" s="157" t="str">
        <f t="shared" si="32"/>
        <v/>
      </c>
      <c r="BL53" s="157" t="str">
        <f t="shared" si="13"/>
        <v/>
      </c>
      <c r="BM53" s="72"/>
      <c r="BN53" s="72" t="str">
        <f t="shared" si="33"/>
        <v/>
      </c>
      <c r="BO53" s="72" t="str">
        <f t="shared" si="34"/>
        <v/>
      </c>
      <c r="BP53" s="39"/>
      <c r="BQ53" s="72">
        <f t="shared" si="14"/>
        <v>5092319400</v>
      </c>
      <c r="BR53" s="72">
        <f t="shared" si="35"/>
        <v>1607917907.8994224</v>
      </c>
    </row>
    <row r="54" spans="3:70" x14ac:dyDescent="0.15">
      <c r="D54" s="84" t="s">
        <v>581</v>
      </c>
      <c r="F54" s="475"/>
      <c r="G54" s="84" t="s">
        <v>549</v>
      </c>
      <c r="I54" s="322">
        <f t="shared" si="36"/>
        <v>2069</v>
      </c>
      <c r="K54" s="71">
        <f t="shared" si="37"/>
        <v>40</v>
      </c>
      <c r="M54" s="7">
        <f t="shared" si="0"/>
        <v>0.30655684077380685</v>
      </c>
      <c r="O54" s="10">
        <f t="shared" si="15"/>
        <v>0</v>
      </c>
      <c r="P54" s="29" t="str">
        <f t="shared" si="1"/>
        <v>-</v>
      </c>
      <c r="R54" s="10">
        <f t="shared" si="16"/>
        <v>6927500000</v>
      </c>
      <c r="T54" s="10">
        <f t="shared" si="17"/>
        <v>6927500000</v>
      </c>
      <c r="V54" s="10">
        <f t="shared" si="2"/>
        <v>0</v>
      </c>
      <c r="W54" s="10">
        <f t="shared" si="18"/>
        <v>0</v>
      </c>
      <c r="Y54" s="10">
        <f t="shared" si="3"/>
        <v>96985000</v>
      </c>
      <c r="Z54" s="10">
        <f t="shared" si="19"/>
        <v>29731415.202447657</v>
      </c>
      <c r="AB54" s="10">
        <f t="shared" si="4"/>
        <v>0</v>
      </c>
      <c r="AC54" s="10">
        <f t="shared" si="20"/>
        <v>0</v>
      </c>
      <c r="AE54" s="10">
        <f t="shared" si="5"/>
        <v>0</v>
      </c>
      <c r="AF54" s="10">
        <f t="shared" si="21"/>
        <v>0</v>
      </c>
      <c r="AH54" s="10">
        <f t="shared" si="6"/>
        <v>620000000</v>
      </c>
      <c r="AI54" s="10">
        <f t="shared" si="22"/>
        <v>190065241.27976024</v>
      </c>
      <c r="AK54" s="10">
        <f t="shared" si="7"/>
        <v>3325200000</v>
      </c>
      <c r="AL54" s="10">
        <f t="shared" si="23"/>
        <v>1019362806.9410626</v>
      </c>
      <c r="AN54" s="10">
        <f t="shared" si="8"/>
        <v>1524050000</v>
      </c>
      <c r="AO54" s="10">
        <f t="shared" si="24"/>
        <v>467207953.18132031</v>
      </c>
      <c r="AQ54" s="10">
        <f t="shared" si="9"/>
        <v>656310000</v>
      </c>
      <c r="AR54" s="10">
        <f t="shared" si="25"/>
        <v>201196320.16825718</v>
      </c>
      <c r="AT54" s="40">
        <f>IF($K54&lt;=$F$15,IF($F$40&lt;&gt;"",$F$40/1000,IF(ISERROR(VLOOKUP($F$3&amp;IF($G$4&lt;&gt;"",$G$4,"")&amp;IF($F$43&lt;&gt;"","_"&amp;$F$43,""),'表3）燃料価格'!$AF$9:$AG$25,2,0)),0,VLOOKUP($I54,'表3）燃料価格'!A45:AC95,VLOOKUP($F$3,'表3）燃料価格'!$AF$9:$AG$25,2,0)+VLOOKUP($F$41,'表3）燃料価格'!$AF$28:$AG$29,2,0),0)*IF($F$43="需要地価格",1,$F$8/$F$141))),"")</f>
        <v>414.09</v>
      </c>
      <c r="AV54" s="72">
        <f t="shared" si="26"/>
        <v>95996437272.053375</v>
      </c>
      <c r="AW54" s="72">
        <f t="shared" si="27"/>
        <v>29428364535.661602</v>
      </c>
      <c r="AY54" s="7">
        <f>IF(ISERROR(IF($K54&lt;=$F$15,VLOOKUP($I54,'表4）CO2価格'!$A$7:$E$67,VLOOKUP($F$48,'表4）CO2価格'!$H$10:$I$12,2,0),0)*$F$8/1000,"")),0,IF($K54&lt;=$F$15,VLOOKUP($I54,'表4）CO2価格'!$A$7:$E$67,VLOOKUP($F$48,'表4）CO2価格'!$H$10:$I$12,2,0),0)*$F$8/1000,""))</f>
        <v>9.3762214345748625</v>
      </c>
      <c r="BA54" s="11">
        <f t="shared" si="10"/>
        <v>0</v>
      </c>
      <c r="BB54" s="10">
        <f t="shared" si="28"/>
        <v>0</v>
      </c>
      <c r="BD54" s="10">
        <f t="shared" si="11"/>
        <v>0</v>
      </c>
      <c r="BE54" s="10">
        <f t="shared" si="29"/>
        <v>0</v>
      </c>
      <c r="BG54" s="11">
        <f t="shared" si="12"/>
        <v>0</v>
      </c>
      <c r="BH54" s="10">
        <f t="shared" si="30"/>
        <v>0</v>
      </c>
      <c r="BJ54" s="7" t="str">
        <f t="shared" si="31"/>
        <v/>
      </c>
      <c r="BK54" s="158" t="str">
        <f t="shared" si="32"/>
        <v/>
      </c>
      <c r="BL54" s="158" t="str">
        <f t="shared" si="13"/>
        <v/>
      </c>
      <c r="BM54" s="10"/>
      <c r="BN54" s="10" t="str">
        <f t="shared" si="33"/>
        <v/>
      </c>
      <c r="BO54" s="10" t="str">
        <f t="shared" si="34"/>
        <v/>
      </c>
      <c r="BQ54" s="10">
        <f t="shared" si="14"/>
        <v>5092319400</v>
      </c>
      <c r="BR54" s="10">
        <f t="shared" si="35"/>
        <v>1561085347.4751675</v>
      </c>
    </row>
    <row r="55" spans="3:70" ht="16.5" x14ac:dyDescent="0.15">
      <c r="D55" s="84" t="s">
        <v>582</v>
      </c>
      <c r="F55" s="475"/>
      <c r="G55" s="71" t="s">
        <v>561</v>
      </c>
      <c r="I55" s="38">
        <f>I54+1</f>
        <v>2070</v>
      </c>
      <c r="J55" s="39"/>
      <c r="K55" s="39">
        <f>IF(I55&lt;&gt;"",K54+1,"")</f>
        <v>41</v>
      </c>
      <c r="L55" s="39"/>
      <c r="M55" s="40">
        <f t="shared" si="0"/>
        <v>0.29762800075126877</v>
      </c>
      <c r="N55" s="39"/>
      <c r="O55" s="72" t="str">
        <f t="shared" si="15"/>
        <v/>
      </c>
      <c r="P55" s="41" t="str">
        <f t="shared" si="1"/>
        <v/>
      </c>
      <c r="Q55" s="39"/>
      <c r="R55" s="72" t="str">
        <f t="shared" si="16"/>
        <v/>
      </c>
      <c r="S55" s="39"/>
      <c r="T55" s="72" t="str">
        <f t="shared" si="17"/>
        <v/>
      </c>
      <c r="U55" s="39"/>
      <c r="V55" s="72" t="str">
        <f t="shared" si="2"/>
        <v/>
      </c>
      <c r="W55" s="72" t="str">
        <f t="shared" si="18"/>
        <v/>
      </c>
      <c r="X55" s="39"/>
      <c r="Y55" s="72" t="str">
        <f t="shared" si="3"/>
        <v/>
      </c>
      <c r="Z55" s="72" t="str">
        <f t="shared" si="19"/>
        <v/>
      </c>
      <c r="AA55" s="39"/>
      <c r="AB55" s="72">
        <f t="shared" si="4"/>
        <v>6927500000.000001</v>
      </c>
      <c r="AC55" s="72">
        <f t="shared" si="20"/>
        <v>2061817975.2044146</v>
      </c>
      <c r="AD55" s="39"/>
      <c r="AE55" s="72" t="str">
        <f t="shared" si="5"/>
        <v/>
      </c>
      <c r="AF55" s="72" t="str">
        <f t="shared" si="21"/>
        <v/>
      </c>
      <c r="AG55" s="39"/>
      <c r="AH55" s="72" t="str">
        <f t="shared" si="6"/>
        <v/>
      </c>
      <c r="AI55" s="72" t="str">
        <f t="shared" si="22"/>
        <v/>
      </c>
      <c r="AJ55" s="39"/>
      <c r="AK55" s="72" t="str">
        <f t="shared" si="7"/>
        <v/>
      </c>
      <c r="AL55" s="72" t="str">
        <f t="shared" si="23"/>
        <v/>
      </c>
      <c r="AM55" s="39"/>
      <c r="AN55" s="72" t="str">
        <f t="shared" si="8"/>
        <v/>
      </c>
      <c r="AO55" s="72" t="str">
        <f t="shared" si="24"/>
        <v/>
      </c>
      <c r="AP55" s="39"/>
      <c r="AQ55" s="72" t="str">
        <f t="shared" si="9"/>
        <v/>
      </c>
      <c r="AR55" s="72" t="str">
        <f t="shared" si="25"/>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ref="AV55:AV78" si="38">IF($K55&lt;=$F$15,($AT55+$F$142)*$F$137,"")</f>
        <v/>
      </c>
      <c r="AW55" s="72" t="str">
        <f t="shared" ref="AW55:AW79" si="39">IF(ISNUMBER(AV55),AV55*$M55,"")</f>
        <v/>
      </c>
      <c r="AX55" s="39"/>
      <c r="AY55" s="40" t="str">
        <f>IF(ISERROR(IF($K55&lt;=$F$15,VLOOKUP($I55,'表4）CO2価格'!$A$7:$E$67,VLOOKUP($F$48,'表4）CO2価格'!$H$10:$I$12,2,0),0)*$F$8/1000,"")),0,IF($K55&lt;=$F$15,VLOOKUP($I55,'表4）CO2価格'!$A$7:$E$67,VLOOKUP($F$48,'表4）CO2価格'!$H$10:$I$12,2,0),0)*$F$8/1000,""))</f>
        <v/>
      </c>
      <c r="AZ55" s="39"/>
      <c r="BA55" s="42" t="str">
        <f t="shared" si="10"/>
        <v/>
      </c>
      <c r="BB55" s="72" t="str">
        <f t="shared" si="28"/>
        <v/>
      </c>
      <c r="BC55" s="39"/>
      <c r="BD55" s="72" t="str">
        <f t="shared" si="11"/>
        <v/>
      </c>
      <c r="BE55" s="72" t="str">
        <f t="shared" si="29"/>
        <v/>
      </c>
      <c r="BF55" s="39"/>
      <c r="BG55" s="42" t="str">
        <f t="shared" si="12"/>
        <v/>
      </c>
      <c r="BH55" s="72" t="str">
        <f t="shared" si="30"/>
        <v/>
      </c>
      <c r="BI55" s="39"/>
      <c r="BJ55" s="40" t="str">
        <f t="shared" si="31"/>
        <v/>
      </c>
      <c r="BK55" s="157" t="str">
        <f t="shared" si="32"/>
        <v/>
      </c>
      <c r="BL55" s="157" t="str">
        <f t="shared" si="13"/>
        <v/>
      </c>
      <c r="BM55" s="72"/>
      <c r="BN55" s="72" t="str">
        <f t="shared" si="33"/>
        <v/>
      </c>
      <c r="BO55" s="72" t="str">
        <f t="shared" si="34"/>
        <v/>
      </c>
      <c r="BP55" s="39"/>
      <c r="BQ55" s="72" t="str">
        <f t="shared" si="14"/>
        <v/>
      </c>
      <c r="BR55" s="72" t="str">
        <f t="shared" si="35"/>
        <v/>
      </c>
    </row>
    <row r="56" spans="3:70" x14ac:dyDescent="0.15">
      <c r="D56" s="84" t="s">
        <v>583</v>
      </c>
      <c r="F56" s="481"/>
      <c r="G56" s="84" t="s">
        <v>574</v>
      </c>
      <c r="I56" s="322">
        <f t="shared" si="36"/>
        <v>2071</v>
      </c>
      <c r="K56" s="71">
        <f t="shared" si="37"/>
        <v>42</v>
      </c>
      <c r="M56" s="7">
        <f t="shared" si="0"/>
        <v>0.28895922403035801</v>
      </c>
      <c r="O56" s="10" t="str">
        <f t="shared" si="15"/>
        <v/>
      </c>
      <c r="P56" s="29" t="str">
        <f t="shared" si="1"/>
        <v/>
      </c>
      <c r="R56" s="10" t="str">
        <f t="shared" si="16"/>
        <v/>
      </c>
      <c r="T56" s="10" t="str">
        <f t="shared" si="17"/>
        <v/>
      </c>
      <c r="V56" s="10" t="str">
        <f t="shared" si="2"/>
        <v/>
      </c>
      <c r="W56" s="10" t="str">
        <f t="shared" si="18"/>
        <v/>
      </c>
      <c r="Y56" s="10" t="str">
        <f t="shared" si="3"/>
        <v/>
      </c>
      <c r="Z56" s="10" t="str">
        <f t="shared" si="19"/>
        <v/>
      </c>
      <c r="AB56" s="10" t="str">
        <f t="shared" si="4"/>
        <v/>
      </c>
      <c r="AC56" s="10" t="str">
        <f t="shared" si="20"/>
        <v/>
      </c>
      <c r="AE56" s="10" t="str">
        <f t="shared" si="5"/>
        <v/>
      </c>
      <c r="AF56" s="10" t="str">
        <f t="shared" si="21"/>
        <v/>
      </c>
      <c r="AH56" s="10" t="str">
        <f t="shared" si="6"/>
        <v/>
      </c>
      <c r="AI56" s="10" t="str">
        <f t="shared" si="22"/>
        <v/>
      </c>
      <c r="AK56" s="10" t="str">
        <f t="shared" si="7"/>
        <v/>
      </c>
      <c r="AL56" s="10" t="str">
        <f t="shared" si="23"/>
        <v/>
      </c>
      <c r="AN56" s="10" t="str">
        <f t="shared" si="8"/>
        <v/>
      </c>
      <c r="AO56" s="10" t="str">
        <f t="shared" si="24"/>
        <v/>
      </c>
      <c r="AQ56" s="10" t="str">
        <f t="shared" si="9"/>
        <v/>
      </c>
      <c r="AR56" s="10" t="str">
        <f t="shared" si="25"/>
        <v/>
      </c>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V56" s="10" t="str">
        <f t="shared" si="38"/>
        <v/>
      </c>
      <c r="AW56" s="10" t="str">
        <f t="shared" si="39"/>
        <v/>
      </c>
      <c r="AY56" s="7" t="str">
        <f>IF(ISERROR(IF($K56&lt;=$F$15,VLOOKUP($I56,'表4）CO2価格'!$A$7:$E$67,VLOOKUP($F$48,'表4）CO2価格'!$H$10:$I$12,2,0),0)*$F$8/1000,"")),0,IF($K56&lt;=$F$15,VLOOKUP($I56,'表4）CO2価格'!$A$7:$E$67,VLOOKUP($F$48,'表4）CO2価格'!$H$10:$I$12,2,0),0)*$F$8/1000,""))</f>
        <v/>
      </c>
      <c r="BA56" s="11" t="str">
        <f t="shared" si="10"/>
        <v/>
      </c>
      <c r="BB56" s="10" t="str">
        <f t="shared" si="28"/>
        <v/>
      </c>
      <c r="BD56" s="10" t="str">
        <f t="shared" si="11"/>
        <v/>
      </c>
      <c r="BE56" s="10" t="str">
        <f t="shared" si="29"/>
        <v/>
      </c>
      <c r="BG56" s="11" t="str">
        <f t="shared" si="12"/>
        <v/>
      </c>
      <c r="BH56" s="10" t="str">
        <f t="shared" si="30"/>
        <v/>
      </c>
      <c r="BJ56" s="7" t="str">
        <f t="shared" si="31"/>
        <v/>
      </c>
      <c r="BK56" s="158" t="str">
        <f t="shared" si="32"/>
        <v/>
      </c>
      <c r="BL56" s="158" t="str">
        <f t="shared" si="13"/>
        <v/>
      </c>
      <c r="BM56" s="10"/>
      <c r="BN56" s="10" t="str">
        <f t="shared" si="33"/>
        <v/>
      </c>
      <c r="BO56" s="10" t="str">
        <f t="shared" si="34"/>
        <v/>
      </c>
      <c r="BQ56" s="10" t="str">
        <f t="shared" si="14"/>
        <v/>
      </c>
      <c r="BR56" s="10" t="str">
        <f t="shared" si="35"/>
        <v/>
      </c>
    </row>
    <row r="57" spans="3:70" x14ac:dyDescent="0.15">
      <c r="I57" s="38">
        <f t="shared" si="36"/>
        <v>2072</v>
      </c>
      <c r="J57" s="39"/>
      <c r="K57" s="39">
        <f t="shared" si="37"/>
        <v>43</v>
      </c>
      <c r="L57" s="39"/>
      <c r="M57" s="40">
        <f t="shared" si="0"/>
        <v>0.28054293595180391</v>
      </c>
      <c r="N57" s="39"/>
      <c r="O57" s="72" t="str">
        <f t="shared" si="15"/>
        <v/>
      </c>
      <c r="P57" s="41" t="str">
        <f t="shared" si="1"/>
        <v/>
      </c>
      <c r="Q57" s="39"/>
      <c r="R57" s="72" t="str">
        <f t="shared" si="16"/>
        <v/>
      </c>
      <c r="S57" s="39"/>
      <c r="T57" s="72" t="str">
        <f t="shared" si="17"/>
        <v/>
      </c>
      <c r="U57" s="39"/>
      <c r="V57" s="72" t="str">
        <f t="shared" si="2"/>
        <v/>
      </c>
      <c r="W57" s="72" t="str">
        <f t="shared" si="18"/>
        <v/>
      </c>
      <c r="X57" s="39"/>
      <c r="Y57" s="72" t="str">
        <f t="shared" si="3"/>
        <v/>
      </c>
      <c r="Z57" s="72" t="str">
        <f t="shared" si="19"/>
        <v/>
      </c>
      <c r="AA57" s="39"/>
      <c r="AB57" s="72" t="str">
        <f t="shared" si="4"/>
        <v/>
      </c>
      <c r="AC57" s="72" t="str">
        <f t="shared" si="20"/>
        <v/>
      </c>
      <c r="AD57" s="39"/>
      <c r="AE57" s="72" t="str">
        <f t="shared" si="5"/>
        <v/>
      </c>
      <c r="AF57" s="72" t="str">
        <f t="shared" si="21"/>
        <v/>
      </c>
      <c r="AG57" s="39"/>
      <c r="AH57" s="72" t="str">
        <f t="shared" si="6"/>
        <v/>
      </c>
      <c r="AI57" s="72" t="str">
        <f t="shared" si="22"/>
        <v/>
      </c>
      <c r="AJ57" s="39"/>
      <c r="AK57" s="72" t="str">
        <f t="shared" si="7"/>
        <v/>
      </c>
      <c r="AL57" s="72" t="str">
        <f t="shared" si="23"/>
        <v/>
      </c>
      <c r="AM57" s="39"/>
      <c r="AN57" s="72" t="str">
        <f t="shared" si="8"/>
        <v/>
      </c>
      <c r="AO57" s="72" t="str">
        <f t="shared" si="24"/>
        <v/>
      </c>
      <c r="AP57" s="39"/>
      <c r="AQ57" s="72" t="str">
        <f t="shared" si="9"/>
        <v/>
      </c>
      <c r="AR57" s="72" t="str">
        <f t="shared" si="25"/>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38"/>
        <v/>
      </c>
      <c r="AW57" s="72" t="str">
        <f t="shared" si="39"/>
        <v/>
      </c>
      <c r="AX57" s="39"/>
      <c r="AY57" s="40" t="str">
        <f>IF(ISERROR(IF($K57&lt;=$F$15,VLOOKUP($I57,'表4）CO2価格'!$A$7:$E$67,VLOOKUP($F$48,'表4）CO2価格'!$H$10:$I$12,2,0),0)*$F$8/1000,"")),0,IF($K57&lt;=$F$15,VLOOKUP($I57,'表4）CO2価格'!$A$7:$E$67,VLOOKUP($F$48,'表4）CO2価格'!$H$10:$I$12,2,0),0)*$F$8/1000,""))</f>
        <v/>
      </c>
      <c r="AZ57" s="39"/>
      <c r="BA57" s="42" t="str">
        <f t="shared" si="10"/>
        <v/>
      </c>
      <c r="BB57" s="72" t="str">
        <f t="shared" si="28"/>
        <v/>
      </c>
      <c r="BC57" s="39"/>
      <c r="BD57" s="72" t="str">
        <f t="shared" si="11"/>
        <v/>
      </c>
      <c r="BE57" s="72" t="str">
        <f t="shared" si="29"/>
        <v/>
      </c>
      <c r="BF57" s="39"/>
      <c r="BG57" s="42" t="str">
        <f t="shared" si="12"/>
        <v/>
      </c>
      <c r="BH57" s="72" t="str">
        <f t="shared" si="30"/>
        <v/>
      </c>
      <c r="BI57" s="39"/>
      <c r="BJ57" s="40" t="str">
        <f t="shared" si="31"/>
        <v/>
      </c>
      <c r="BK57" s="157" t="str">
        <f t="shared" si="32"/>
        <v/>
      </c>
      <c r="BL57" s="157" t="str">
        <f t="shared" si="13"/>
        <v/>
      </c>
      <c r="BM57" s="72"/>
      <c r="BN57" s="72" t="str">
        <f t="shared" si="33"/>
        <v/>
      </c>
      <c r="BO57" s="72" t="str">
        <f t="shared" si="34"/>
        <v/>
      </c>
      <c r="BP57" s="39"/>
      <c r="BQ57" s="72" t="str">
        <f t="shared" si="14"/>
        <v/>
      </c>
      <c r="BR57" s="72" t="str">
        <f t="shared" si="35"/>
        <v/>
      </c>
    </row>
    <row r="58" spans="3:70" x14ac:dyDescent="0.15">
      <c r="C58" s="4" t="s">
        <v>584</v>
      </c>
      <c r="D58" s="100"/>
      <c r="E58" s="100"/>
      <c r="F58" s="4"/>
      <c r="G58" s="100"/>
      <c r="I58" s="322">
        <f t="shared" si="36"/>
        <v>2073</v>
      </c>
      <c r="K58" s="71">
        <f t="shared" si="37"/>
        <v>44</v>
      </c>
      <c r="M58" s="7">
        <f t="shared" si="0"/>
        <v>0.27237178247747956</v>
      </c>
      <c r="O58" s="10" t="str">
        <f t="shared" si="15"/>
        <v/>
      </c>
      <c r="P58" s="29" t="str">
        <f t="shared" si="1"/>
        <v/>
      </c>
      <c r="R58" s="10" t="str">
        <f t="shared" si="16"/>
        <v/>
      </c>
      <c r="T58" s="10" t="str">
        <f t="shared" si="17"/>
        <v/>
      </c>
      <c r="V58" s="10" t="str">
        <f t="shared" si="2"/>
        <v/>
      </c>
      <c r="W58" s="10" t="str">
        <f t="shared" si="18"/>
        <v/>
      </c>
      <c r="Y58" s="10" t="str">
        <f t="shared" si="3"/>
        <v/>
      </c>
      <c r="Z58" s="10" t="str">
        <f t="shared" si="19"/>
        <v/>
      </c>
      <c r="AB58" s="10" t="str">
        <f t="shared" si="4"/>
        <v/>
      </c>
      <c r="AC58" s="10" t="str">
        <f t="shared" si="20"/>
        <v/>
      </c>
      <c r="AE58" s="10" t="str">
        <f t="shared" si="5"/>
        <v/>
      </c>
      <c r="AF58" s="10" t="str">
        <f t="shared" si="21"/>
        <v/>
      </c>
      <c r="AH58" s="10" t="str">
        <f t="shared" si="6"/>
        <v/>
      </c>
      <c r="AI58" s="10" t="str">
        <f t="shared" si="22"/>
        <v/>
      </c>
      <c r="AK58" s="10" t="str">
        <f t="shared" si="7"/>
        <v/>
      </c>
      <c r="AL58" s="10" t="str">
        <f t="shared" si="23"/>
        <v/>
      </c>
      <c r="AN58" s="10" t="str">
        <f t="shared" si="8"/>
        <v/>
      </c>
      <c r="AO58" s="10" t="str">
        <f t="shared" si="24"/>
        <v/>
      </c>
      <c r="AQ58" s="10" t="str">
        <f t="shared" si="9"/>
        <v/>
      </c>
      <c r="AR58" s="10" t="str">
        <f t="shared" si="25"/>
        <v/>
      </c>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V58" s="10" t="str">
        <f t="shared" si="38"/>
        <v/>
      </c>
      <c r="AW58" s="10" t="str">
        <f t="shared" si="39"/>
        <v/>
      </c>
      <c r="AY58" s="7" t="str">
        <f>IF(ISERROR(IF($K58&lt;=$F$15,VLOOKUP($I58,'表4）CO2価格'!$A$7:$E$67,VLOOKUP($F$48,'表4）CO2価格'!$H$10:$I$12,2,0),0)*$F$8/1000,"")),0,IF($K58&lt;=$F$15,VLOOKUP($I58,'表4）CO2価格'!$A$7:$E$67,VLOOKUP($F$48,'表4）CO2価格'!$H$10:$I$12,2,0),0)*$F$8/1000,""))</f>
        <v/>
      </c>
      <c r="BA58" s="11" t="str">
        <f t="shared" si="10"/>
        <v/>
      </c>
      <c r="BB58" s="10" t="str">
        <f t="shared" si="28"/>
        <v/>
      </c>
      <c r="BD58" s="10" t="str">
        <f t="shared" si="11"/>
        <v/>
      </c>
      <c r="BE58" s="10" t="str">
        <f t="shared" si="29"/>
        <v/>
      </c>
      <c r="BG58" s="11" t="str">
        <f t="shared" si="12"/>
        <v/>
      </c>
      <c r="BH58" s="10" t="str">
        <f t="shared" si="30"/>
        <v/>
      </c>
      <c r="BJ58" s="7" t="str">
        <f t="shared" si="31"/>
        <v/>
      </c>
      <c r="BK58" s="158" t="str">
        <f t="shared" si="32"/>
        <v/>
      </c>
      <c r="BL58" s="158" t="str">
        <f t="shared" si="13"/>
        <v/>
      </c>
      <c r="BM58" s="10"/>
      <c r="BN58" s="10" t="str">
        <f t="shared" si="33"/>
        <v/>
      </c>
      <c r="BO58" s="10" t="str">
        <f t="shared" si="34"/>
        <v/>
      </c>
      <c r="BQ58" s="10" t="str">
        <f t="shared" si="14"/>
        <v/>
      </c>
      <c r="BR58" s="10" t="str">
        <f t="shared" si="35"/>
        <v/>
      </c>
    </row>
    <row r="59" spans="3:70" x14ac:dyDescent="0.15">
      <c r="I59" s="38">
        <f t="shared" si="36"/>
        <v>2074</v>
      </c>
      <c r="J59" s="39"/>
      <c r="K59" s="39">
        <f t="shared" si="37"/>
        <v>45</v>
      </c>
      <c r="L59" s="39"/>
      <c r="M59" s="40">
        <f t="shared" si="0"/>
        <v>0.26443862376454325</v>
      </c>
      <c r="N59" s="39"/>
      <c r="O59" s="72" t="str">
        <f t="shared" si="15"/>
        <v/>
      </c>
      <c r="P59" s="41" t="str">
        <f t="shared" si="1"/>
        <v/>
      </c>
      <c r="Q59" s="39"/>
      <c r="R59" s="72" t="str">
        <f t="shared" si="16"/>
        <v/>
      </c>
      <c r="S59" s="39"/>
      <c r="T59" s="72" t="str">
        <f t="shared" si="17"/>
        <v/>
      </c>
      <c r="U59" s="39"/>
      <c r="V59" s="72" t="str">
        <f t="shared" si="2"/>
        <v/>
      </c>
      <c r="W59" s="72" t="str">
        <f t="shared" si="18"/>
        <v/>
      </c>
      <c r="X59" s="39"/>
      <c r="Y59" s="72" t="str">
        <f t="shared" si="3"/>
        <v/>
      </c>
      <c r="Z59" s="72" t="str">
        <f t="shared" si="19"/>
        <v/>
      </c>
      <c r="AA59" s="39"/>
      <c r="AB59" s="72" t="str">
        <f t="shared" si="4"/>
        <v/>
      </c>
      <c r="AC59" s="72" t="str">
        <f t="shared" si="20"/>
        <v/>
      </c>
      <c r="AD59" s="39"/>
      <c r="AE59" s="72" t="str">
        <f t="shared" si="5"/>
        <v/>
      </c>
      <c r="AF59" s="72" t="str">
        <f t="shared" si="21"/>
        <v/>
      </c>
      <c r="AG59" s="39"/>
      <c r="AH59" s="72" t="str">
        <f t="shared" si="6"/>
        <v/>
      </c>
      <c r="AI59" s="72" t="str">
        <f t="shared" si="22"/>
        <v/>
      </c>
      <c r="AJ59" s="39"/>
      <c r="AK59" s="72" t="str">
        <f t="shared" si="7"/>
        <v/>
      </c>
      <c r="AL59" s="72" t="str">
        <f t="shared" si="23"/>
        <v/>
      </c>
      <c r="AM59" s="39"/>
      <c r="AN59" s="72" t="str">
        <f t="shared" si="8"/>
        <v/>
      </c>
      <c r="AO59" s="72" t="str">
        <f t="shared" si="24"/>
        <v/>
      </c>
      <c r="AP59" s="39"/>
      <c r="AQ59" s="72" t="str">
        <f t="shared" si="9"/>
        <v/>
      </c>
      <c r="AR59" s="72" t="str">
        <f t="shared" si="25"/>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38"/>
        <v/>
      </c>
      <c r="AW59" s="72" t="str">
        <f t="shared" si="39"/>
        <v/>
      </c>
      <c r="AX59" s="39"/>
      <c r="AY59" s="40" t="str">
        <f>IF(ISERROR(IF($K59&lt;=$F$15,VLOOKUP($I59,'表4）CO2価格'!$A$7:$E$67,VLOOKUP($F$48,'表4）CO2価格'!$H$10:$I$12,2,0),0)*$F$8/1000,"")),0,IF($K59&lt;=$F$15,VLOOKUP($I59,'表4）CO2価格'!$A$7:$E$67,VLOOKUP($F$48,'表4）CO2価格'!$H$10:$I$12,2,0),0)*$F$8/1000,""))</f>
        <v/>
      </c>
      <c r="AZ59" s="39"/>
      <c r="BA59" s="42" t="str">
        <f t="shared" si="10"/>
        <v/>
      </c>
      <c r="BB59" s="72" t="str">
        <f t="shared" si="28"/>
        <v/>
      </c>
      <c r="BC59" s="39"/>
      <c r="BD59" s="72" t="str">
        <f t="shared" si="11"/>
        <v/>
      </c>
      <c r="BE59" s="72" t="str">
        <f t="shared" si="29"/>
        <v/>
      </c>
      <c r="BF59" s="39"/>
      <c r="BG59" s="42" t="str">
        <f t="shared" si="12"/>
        <v/>
      </c>
      <c r="BH59" s="72" t="str">
        <f t="shared" si="30"/>
        <v/>
      </c>
      <c r="BI59" s="39"/>
      <c r="BJ59" s="40" t="str">
        <f t="shared" si="31"/>
        <v/>
      </c>
      <c r="BK59" s="157" t="str">
        <f t="shared" si="32"/>
        <v/>
      </c>
      <c r="BL59" s="157" t="str">
        <f t="shared" si="13"/>
        <v/>
      </c>
      <c r="BM59" s="72"/>
      <c r="BN59" s="72" t="str">
        <f t="shared" si="33"/>
        <v/>
      </c>
      <c r="BO59" s="72" t="str">
        <f t="shared" si="34"/>
        <v/>
      </c>
      <c r="BP59" s="39"/>
      <c r="BQ59" s="72" t="str">
        <f t="shared" si="14"/>
        <v/>
      </c>
      <c r="BR59" s="72" t="str">
        <f t="shared" si="35"/>
        <v/>
      </c>
    </row>
    <row r="60" spans="3:70" x14ac:dyDescent="0.15">
      <c r="D60" s="84" t="s">
        <v>585</v>
      </c>
      <c r="F60" s="481"/>
      <c r="G60" s="84" t="s">
        <v>566</v>
      </c>
      <c r="I60" s="322">
        <f t="shared" si="36"/>
        <v>2075</v>
      </c>
      <c r="K60" s="71">
        <f t="shared" si="37"/>
        <v>46</v>
      </c>
      <c r="M60" s="7">
        <f t="shared" si="0"/>
        <v>0.25673652792674101</v>
      </c>
      <c r="O60" s="10" t="str">
        <f t="shared" si="15"/>
        <v/>
      </c>
      <c r="P60" s="29" t="str">
        <f t="shared" si="1"/>
        <v/>
      </c>
      <c r="R60" s="10" t="str">
        <f t="shared" si="16"/>
        <v/>
      </c>
      <c r="T60" s="10" t="str">
        <f t="shared" si="17"/>
        <v/>
      </c>
      <c r="V60" s="10" t="str">
        <f t="shared" si="2"/>
        <v/>
      </c>
      <c r="W60" s="10" t="str">
        <f t="shared" si="18"/>
        <v/>
      </c>
      <c r="Y60" s="10" t="str">
        <f t="shared" si="3"/>
        <v/>
      </c>
      <c r="Z60" s="10" t="str">
        <f t="shared" si="19"/>
        <v/>
      </c>
      <c r="AB60" s="10" t="str">
        <f t="shared" si="4"/>
        <v/>
      </c>
      <c r="AC60" s="10" t="str">
        <f t="shared" si="20"/>
        <v/>
      </c>
      <c r="AE60" s="10" t="str">
        <f t="shared" si="5"/>
        <v/>
      </c>
      <c r="AF60" s="10" t="str">
        <f t="shared" si="21"/>
        <v/>
      </c>
      <c r="AH60" s="10" t="str">
        <f t="shared" si="6"/>
        <v/>
      </c>
      <c r="AI60" s="10" t="str">
        <f t="shared" si="22"/>
        <v/>
      </c>
      <c r="AK60" s="10" t="str">
        <f t="shared" si="7"/>
        <v/>
      </c>
      <c r="AL60" s="10" t="str">
        <f t="shared" si="23"/>
        <v/>
      </c>
      <c r="AN60" s="10" t="str">
        <f t="shared" si="8"/>
        <v/>
      </c>
      <c r="AO60" s="10" t="str">
        <f t="shared" si="24"/>
        <v/>
      </c>
      <c r="AQ60" s="10" t="str">
        <f t="shared" si="9"/>
        <v/>
      </c>
      <c r="AR60" s="10" t="str">
        <f t="shared" si="25"/>
        <v/>
      </c>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V60" s="10" t="str">
        <f t="shared" si="38"/>
        <v/>
      </c>
      <c r="AW60" s="10" t="str">
        <f t="shared" si="39"/>
        <v/>
      </c>
      <c r="AY60" s="7" t="str">
        <f>IF(ISERROR(IF($K60&lt;=$F$15,VLOOKUP($I60,'表4）CO2価格'!$A$7:$E$67,VLOOKUP($F$48,'表4）CO2価格'!$H$10:$I$12,2,0),0)*$F$8/1000,"")),0,IF($K60&lt;=$F$15,VLOOKUP($I60,'表4）CO2価格'!$A$7:$E$67,VLOOKUP($F$48,'表4）CO2価格'!$H$10:$I$12,2,0),0)*$F$8/1000,""))</f>
        <v/>
      </c>
      <c r="BA60" s="11" t="str">
        <f t="shared" si="10"/>
        <v/>
      </c>
      <c r="BB60" s="10" t="str">
        <f t="shared" si="28"/>
        <v/>
      </c>
      <c r="BD60" s="10" t="str">
        <f t="shared" si="11"/>
        <v/>
      </c>
      <c r="BE60" s="10" t="str">
        <f t="shared" si="29"/>
        <v/>
      </c>
      <c r="BG60" s="11" t="str">
        <f t="shared" si="12"/>
        <v/>
      </c>
      <c r="BH60" s="10" t="str">
        <f t="shared" si="30"/>
        <v/>
      </c>
      <c r="BJ60" s="7" t="str">
        <f t="shared" si="31"/>
        <v/>
      </c>
      <c r="BK60" s="158" t="str">
        <f t="shared" si="32"/>
        <v/>
      </c>
      <c r="BL60" s="158" t="str">
        <f t="shared" si="13"/>
        <v/>
      </c>
      <c r="BM60" s="10"/>
      <c r="BN60" s="10" t="str">
        <f t="shared" si="33"/>
        <v/>
      </c>
      <c r="BO60" s="10" t="str">
        <f t="shared" si="34"/>
        <v/>
      </c>
      <c r="BQ60" s="10" t="str">
        <f t="shared" si="14"/>
        <v/>
      </c>
      <c r="BR60" s="10" t="str">
        <f t="shared" si="35"/>
        <v/>
      </c>
    </row>
    <row r="61" spans="3:70" x14ac:dyDescent="0.15">
      <c r="D61" s="84" t="s">
        <v>586</v>
      </c>
      <c r="F61" s="475"/>
      <c r="G61" s="84" t="s">
        <v>556</v>
      </c>
      <c r="I61" s="38">
        <f t="shared" si="36"/>
        <v>2076</v>
      </c>
      <c r="J61" s="39"/>
      <c r="K61" s="39">
        <f t="shared" si="37"/>
        <v>47</v>
      </c>
      <c r="L61" s="39"/>
      <c r="M61" s="40">
        <f t="shared" si="0"/>
        <v>0.24925876497741845</v>
      </c>
      <c r="N61" s="39"/>
      <c r="O61" s="72" t="str">
        <f t="shared" si="15"/>
        <v/>
      </c>
      <c r="P61" s="41" t="str">
        <f t="shared" si="1"/>
        <v/>
      </c>
      <c r="Q61" s="39"/>
      <c r="R61" s="72" t="str">
        <f t="shared" si="16"/>
        <v/>
      </c>
      <c r="S61" s="39"/>
      <c r="T61" s="72" t="str">
        <f t="shared" si="17"/>
        <v/>
      </c>
      <c r="U61" s="39"/>
      <c r="V61" s="72" t="str">
        <f t="shared" si="2"/>
        <v/>
      </c>
      <c r="W61" s="72" t="str">
        <f t="shared" si="18"/>
        <v/>
      </c>
      <c r="X61" s="39"/>
      <c r="Y61" s="72" t="str">
        <f t="shared" si="3"/>
        <v/>
      </c>
      <c r="Z61" s="72" t="str">
        <f t="shared" si="19"/>
        <v/>
      </c>
      <c r="AA61" s="39"/>
      <c r="AB61" s="72" t="str">
        <f t="shared" si="4"/>
        <v/>
      </c>
      <c r="AC61" s="72" t="str">
        <f t="shared" si="20"/>
        <v/>
      </c>
      <c r="AD61" s="39"/>
      <c r="AE61" s="72" t="str">
        <f t="shared" si="5"/>
        <v/>
      </c>
      <c r="AF61" s="72" t="str">
        <f t="shared" si="21"/>
        <v/>
      </c>
      <c r="AG61" s="39"/>
      <c r="AH61" s="72" t="str">
        <f t="shared" si="6"/>
        <v/>
      </c>
      <c r="AI61" s="72" t="str">
        <f t="shared" si="22"/>
        <v/>
      </c>
      <c r="AJ61" s="39"/>
      <c r="AK61" s="72" t="str">
        <f t="shared" si="7"/>
        <v/>
      </c>
      <c r="AL61" s="72" t="str">
        <f t="shared" si="23"/>
        <v/>
      </c>
      <c r="AM61" s="39"/>
      <c r="AN61" s="72" t="str">
        <f t="shared" si="8"/>
        <v/>
      </c>
      <c r="AO61" s="72" t="str">
        <f t="shared" si="24"/>
        <v/>
      </c>
      <c r="AP61" s="39"/>
      <c r="AQ61" s="72" t="str">
        <f t="shared" si="9"/>
        <v/>
      </c>
      <c r="AR61" s="72" t="str">
        <f t="shared" si="25"/>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38"/>
        <v/>
      </c>
      <c r="AW61" s="72" t="str">
        <f t="shared" si="39"/>
        <v/>
      </c>
      <c r="AX61" s="39"/>
      <c r="AY61" s="40" t="str">
        <f>IF(ISERROR(IF($K61&lt;=$F$15,VLOOKUP($I61,'表4）CO2価格'!$A$7:$E$67,VLOOKUP($F$48,'表4）CO2価格'!$H$10:$I$12,2,0),0)*$F$8/1000,"")),0,IF($K61&lt;=$F$15,VLOOKUP($I61,'表4）CO2価格'!$A$7:$E$67,VLOOKUP($F$48,'表4）CO2価格'!$H$10:$I$12,2,0),0)*$F$8/1000,""))</f>
        <v/>
      </c>
      <c r="AZ61" s="39"/>
      <c r="BA61" s="42" t="str">
        <f t="shared" si="10"/>
        <v/>
      </c>
      <c r="BB61" s="72" t="str">
        <f t="shared" si="28"/>
        <v/>
      </c>
      <c r="BC61" s="39"/>
      <c r="BD61" s="72" t="str">
        <f t="shared" si="11"/>
        <v/>
      </c>
      <c r="BE61" s="72" t="str">
        <f t="shared" si="29"/>
        <v/>
      </c>
      <c r="BF61" s="39"/>
      <c r="BG61" s="42" t="str">
        <f t="shared" si="12"/>
        <v/>
      </c>
      <c r="BH61" s="72" t="str">
        <f t="shared" si="30"/>
        <v/>
      </c>
      <c r="BI61" s="39"/>
      <c r="BJ61" s="40" t="str">
        <f t="shared" si="31"/>
        <v/>
      </c>
      <c r="BK61" s="157" t="str">
        <f t="shared" si="32"/>
        <v/>
      </c>
      <c r="BL61" s="157" t="str">
        <f t="shared" si="13"/>
        <v/>
      </c>
      <c r="BM61" s="72"/>
      <c r="BN61" s="72" t="str">
        <f t="shared" si="33"/>
        <v/>
      </c>
      <c r="BO61" s="72" t="str">
        <f t="shared" si="34"/>
        <v/>
      </c>
      <c r="BP61" s="39"/>
      <c r="BQ61" s="72" t="str">
        <f t="shared" si="14"/>
        <v/>
      </c>
      <c r="BR61" s="72" t="str">
        <f t="shared" si="35"/>
        <v/>
      </c>
    </row>
    <row r="62" spans="3:70" x14ac:dyDescent="0.15">
      <c r="D62" s="84" t="s">
        <v>587</v>
      </c>
      <c r="F62" s="481"/>
      <c r="G62" s="84" t="s">
        <v>588</v>
      </c>
      <c r="I62" s="322">
        <f t="shared" si="36"/>
        <v>2077</v>
      </c>
      <c r="K62" s="71">
        <f t="shared" si="37"/>
        <v>48</v>
      </c>
      <c r="M62" s="7">
        <f t="shared" si="0"/>
        <v>0.24199880094894996</v>
      </c>
      <c r="O62" s="10" t="str">
        <f t="shared" si="15"/>
        <v/>
      </c>
      <c r="P62" s="29" t="str">
        <f t="shared" si="1"/>
        <v/>
      </c>
      <c r="R62" s="10" t="str">
        <f t="shared" si="16"/>
        <v/>
      </c>
      <c r="T62" s="10" t="str">
        <f t="shared" si="17"/>
        <v/>
      </c>
      <c r="V62" s="10" t="str">
        <f t="shared" si="2"/>
        <v/>
      </c>
      <c r="W62" s="10" t="str">
        <f t="shared" si="18"/>
        <v/>
      </c>
      <c r="Y62" s="10" t="str">
        <f t="shared" si="3"/>
        <v/>
      </c>
      <c r="Z62" s="10" t="str">
        <f t="shared" si="19"/>
        <v/>
      </c>
      <c r="AB62" s="10" t="str">
        <f t="shared" si="4"/>
        <v/>
      </c>
      <c r="AC62" s="10" t="str">
        <f t="shared" si="20"/>
        <v/>
      </c>
      <c r="AE62" s="10" t="str">
        <f t="shared" si="5"/>
        <v/>
      </c>
      <c r="AF62" s="10" t="str">
        <f t="shared" si="21"/>
        <v/>
      </c>
      <c r="AH62" s="10" t="str">
        <f t="shared" si="6"/>
        <v/>
      </c>
      <c r="AI62" s="10" t="str">
        <f t="shared" si="22"/>
        <v/>
      </c>
      <c r="AK62" s="10" t="str">
        <f t="shared" si="7"/>
        <v/>
      </c>
      <c r="AL62" s="10" t="str">
        <f t="shared" si="23"/>
        <v/>
      </c>
      <c r="AN62" s="10" t="str">
        <f t="shared" si="8"/>
        <v/>
      </c>
      <c r="AO62" s="10" t="str">
        <f t="shared" si="24"/>
        <v/>
      </c>
      <c r="AQ62" s="10" t="str">
        <f t="shared" si="9"/>
        <v/>
      </c>
      <c r="AR62" s="10" t="str">
        <f t="shared" si="25"/>
        <v/>
      </c>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V62" s="10" t="str">
        <f t="shared" si="38"/>
        <v/>
      </c>
      <c r="AW62" s="10" t="str">
        <f t="shared" si="39"/>
        <v/>
      </c>
      <c r="AY62" s="7" t="str">
        <f>IF(ISERROR(IF($K62&lt;=$F$15,VLOOKUP($I62,'表4）CO2価格'!$A$7:$E$67,VLOOKUP($F$48,'表4）CO2価格'!$H$10:$I$12,2,0),0)*$F$8/1000,"")),0,IF($K62&lt;=$F$15,VLOOKUP($I62,'表4）CO2価格'!$A$7:$E$67,VLOOKUP($F$48,'表4）CO2価格'!$H$10:$I$12,2,0),0)*$F$8/1000,""))</f>
        <v/>
      </c>
      <c r="BA62" s="11" t="str">
        <f t="shared" si="10"/>
        <v/>
      </c>
      <c r="BB62" s="10" t="str">
        <f t="shared" si="28"/>
        <v/>
      </c>
      <c r="BD62" s="10" t="str">
        <f t="shared" si="11"/>
        <v/>
      </c>
      <c r="BE62" s="10" t="str">
        <f t="shared" si="29"/>
        <v/>
      </c>
      <c r="BG62" s="11" t="str">
        <f t="shared" si="12"/>
        <v/>
      </c>
      <c r="BH62" s="10" t="str">
        <f t="shared" si="30"/>
        <v/>
      </c>
      <c r="BJ62" s="7" t="str">
        <f t="shared" si="31"/>
        <v/>
      </c>
      <c r="BK62" s="158" t="str">
        <f t="shared" si="32"/>
        <v/>
      </c>
      <c r="BL62" s="158" t="str">
        <f t="shared" si="13"/>
        <v/>
      </c>
      <c r="BM62" s="10"/>
      <c r="BN62" s="10" t="str">
        <f t="shared" si="33"/>
        <v/>
      </c>
      <c r="BO62" s="10" t="str">
        <f t="shared" si="34"/>
        <v/>
      </c>
      <c r="BQ62" s="10" t="str">
        <f t="shared" si="14"/>
        <v/>
      </c>
      <c r="BR62" s="10" t="str">
        <f t="shared" si="35"/>
        <v/>
      </c>
    </row>
    <row r="63" spans="3:70" x14ac:dyDescent="0.15">
      <c r="I63" s="38">
        <f t="shared" si="36"/>
        <v>2078</v>
      </c>
      <c r="J63" s="39"/>
      <c r="K63" s="39">
        <f t="shared" si="37"/>
        <v>49</v>
      </c>
      <c r="L63" s="39"/>
      <c r="M63" s="40">
        <f t="shared" si="0"/>
        <v>0.2349502921834466</v>
      </c>
      <c r="N63" s="39"/>
      <c r="O63" s="72" t="str">
        <f t="shared" si="15"/>
        <v/>
      </c>
      <c r="P63" s="41" t="str">
        <f t="shared" si="1"/>
        <v/>
      </c>
      <c r="Q63" s="39"/>
      <c r="R63" s="72" t="str">
        <f t="shared" si="16"/>
        <v/>
      </c>
      <c r="S63" s="39"/>
      <c r="T63" s="72" t="str">
        <f t="shared" si="17"/>
        <v/>
      </c>
      <c r="U63" s="39"/>
      <c r="V63" s="72" t="str">
        <f t="shared" si="2"/>
        <v/>
      </c>
      <c r="W63" s="72" t="str">
        <f t="shared" si="18"/>
        <v/>
      </c>
      <c r="X63" s="39"/>
      <c r="Y63" s="72" t="str">
        <f t="shared" si="3"/>
        <v/>
      </c>
      <c r="Z63" s="72" t="str">
        <f t="shared" si="19"/>
        <v/>
      </c>
      <c r="AA63" s="39"/>
      <c r="AB63" s="72" t="str">
        <f t="shared" si="4"/>
        <v/>
      </c>
      <c r="AC63" s="72" t="str">
        <f t="shared" si="20"/>
        <v/>
      </c>
      <c r="AD63" s="39"/>
      <c r="AE63" s="72" t="str">
        <f t="shared" si="5"/>
        <v/>
      </c>
      <c r="AF63" s="72" t="str">
        <f t="shared" si="21"/>
        <v/>
      </c>
      <c r="AG63" s="39"/>
      <c r="AH63" s="72" t="str">
        <f t="shared" si="6"/>
        <v/>
      </c>
      <c r="AI63" s="72" t="str">
        <f t="shared" si="22"/>
        <v/>
      </c>
      <c r="AJ63" s="39"/>
      <c r="AK63" s="72" t="str">
        <f t="shared" si="7"/>
        <v/>
      </c>
      <c r="AL63" s="72" t="str">
        <f t="shared" si="23"/>
        <v/>
      </c>
      <c r="AM63" s="39"/>
      <c r="AN63" s="72" t="str">
        <f t="shared" si="8"/>
        <v/>
      </c>
      <c r="AO63" s="72" t="str">
        <f t="shared" si="24"/>
        <v/>
      </c>
      <c r="AP63" s="39"/>
      <c r="AQ63" s="72" t="str">
        <f t="shared" si="9"/>
        <v/>
      </c>
      <c r="AR63" s="72" t="str">
        <f t="shared" si="25"/>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38"/>
        <v/>
      </c>
      <c r="AW63" s="72" t="str">
        <f t="shared" si="39"/>
        <v/>
      </c>
      <c r="AX63" s="39"/>
      <c r="AY63" s="40" t="str">
        <f>IF(ISERROR(IF($K63&lt;=$F$15,VLOOKUP($I63,'表4）CO2価格'!$A$7:$E$67,VLOOKUP($F$48,'表4）CO2価格'!$H$10:$I$12,2,0),0)*$F$8/1000,"")),0,IF($K63&lt;=$F$15,VLOOKUP($I63,'表4）CO2価格'!$A$7:$E$67,VLOOKUP($F$48,'表4）CO2価格'!$H$10:$I$12,2,0),0)*$F$8/1000,""))</f>
        <v/>
      </c>
      <c r="AZ63" s="39"/>
      <c r="BA63" s="42" t="str">
        <f t="shared" si="10"/>
        <v/>
      </c>
      <c r="BB63" s="72" t="str">
        <f t="shared" si="28"/>
        <v/>
      </c>
      <c r="BC63" s="39"/>
      <c r="BD63" s="72" t="str">
        <f t="shared" si="11"/>
        <v/>
      </c>
      <c r="BE63" s="72" t="str">
        <f t="shared" si="29"/>
        <v/>
      </c>
      <c r="BF63" s="39"/>
      <c r="BG63" s="42" t="str">
        <f t="shared" si="12"/>
        <v/>
      </c>
      <c r="BH63" s="72" t="str">
        <f t="shared" si="30"/>
        <v/>
      </c>
      <c r="BI63" s="39"/>
      <c r="BJ63" s="40" t="str">
        <f t="shared" si="31"/>
        <v/>
      </c>
      <c r="BK63" s="157" t="str">
        <f t="shared" si="32"/>
        <v/>
      </c>
      <c r="BL63" s="157" t="str">
        <f t="shared" si="13"/>
        <v/>
      </c>
      <c r="BM63" s="72"/>
      <c r="BN63" s="72" t="str">
        <f t="shared" si="33"/>
        <v/>
      </c>
      <c r="BO63" s="72" t="str">
        <f t="shared" si="34"/>
        <v/>
      </c>
      <c r="BP63" s="39"/>
      <c r="BQ63" s="72" t="str">
        <f t="shared" si="14"/>
        <v/>
      </c>
      <c r="BR63" s="72" t="str">
        <f t="shared" si="35"/>
        <v/>
      </c>
    </row>
    <row r="64" spans="3:70" x14ac:dyDescent="0.15">
      <c r="C64" s="71" t="s">
        <v>589</v>
      </c>
      <c r="F64" s="478">
        <v>0.03</v>
      </c>
      <c r="G64" s="84" t="s">
        <v>590</v>
      </c>
      <c r="I64" s="322">
        <f t="shared" si="36"/>
        <v>2079</v>
      </c>
      <c r="K64" s="71">
        <f t="shared" si="37"/>
        <v>50</v>
      </c>
      <c r="M64" s="7">
        <f t="shared" si="0"/>
        <v>0.22810707978975397</v>
      </c>
      <c r="O64" s="10" t="str">
        <f t="shared" si="15"/>
        <v/>
      </c>
      <c r="P64" s="29" t="str">
        <f t="shared" si="1"/>
        <v/>
      </c>
      <c r="R64" s="10" t="str">
        <f t="shared" si="16"/>
        <v/>
      </c>
      <c r="T64" s="10" t="str">
        <f t="shared" si="17"/>
        <v/>
      </c>
      <c r="V64" s="10" t="str">
        <f t="shared" si="2"/>
        <v/>
      </c>
      <c r="W64" s="10" t="str">
        <f t="shared" si="18"/>
        <v/>
      </c>
      <c r="Y64" s="10" t="str">
        <f t="shared" si="3"/>
        <v/>
      </c>
      <c r="Z64" s="10" t="str">
        <f t="shared" si="19"/>
        <v/>
      </c>
      <c r="AB64" s="10" t="str">
        <f t="shared" si="4"/>
        <v/>
      </c>
      <c r="AC64" s="10" t="str">
        <f t="shared" si="20"/>
        <v/>
      </c>
      <c r="AE64" s="10" t="str">
        <f t="shared" si="5"/>
        <v/>
      </c>
      <c r="AF64" s="10" t="str">
        <f t="shared" si="21"/>
        <v/>
      </c>
      <c r="AH64" s="10" t="str">
        <f t="shared" si="6"/>
        <v/>
      </c>
      <c r="AI64" s="10" t="str">
        <f t="shared" si="22"/>
        <v/>
      </c>
      <c r="AK64" s="10" t="str">
        <f t="shared" si="7"/>
        <v/>
      </c>
      <c r="AL64" s="10" t="str">
        <f t="shared" si="23"/>
        <v/>
      </c>
      <c r="AN64" s="10" t="str">
        <f t="shared" si="8"/>
        <v/>
      </c>
      <c r="AO64" s="10" t="str">
        <f t="shared" si="24"/>
        <v/>
      </c>
      <c r="AQ64" s="10" t="str">
        <f t="shared" si="9"/>
        <v/>
      </c>
      <c r="AR64" s="10" t="str">
        <f t="shared" si="25"/>
        <v/>
      </c>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V64" s="10" t="str">
        <f t="shared" si="38"/>
        <v/>
      </c>
      <c r="AW64" s="10" t="str">
        <f t="shared" si="39"/>
        <v/>
      </c>
      <c r="AY64" s="7" t="str">
        <f>IF(ISERROR(IF($K64&lt;=$F$15,VLOOKUP($I64,'表4）CO2価格'!$A$7:$E$67,VLOOKUP($F$48,'表4）CO2価格'!$H$10:$I$12,2,0),0)*$F$8/1000,"")),0,IF($K64&lt;=$F$15,VLOOKUP($I64,'表4）CO2価格'!$A$7:$E$67,VLOOKUP($F$48,'表4）CO2価格'!$H$10:$I$12,2,0),0)*$F$8/1000,""))</f>
        <v/>
      </c>
      <c r="BA64" s="11" t="str">
        <f t="shared" si="10"/>
        <v/>
      </c>
      <c r="BB64" s="10" t="str">
        <f t="shared" si="28"/>
        <v/>
      </c>
      <c r="BD64" s="10" t="str">
        <f t="shared" si="11"/>
        <v/>
      </c>
      <c r="BE64" s="10" t="str">
        <f t="shared" si="29"/>
        <v/>
      </c>
      <c r="BG64" s="11" t="str">
        <f t="shared" si="12"/>
        <v/>
      </c>
      <c r="BH64" s="10" t="str">
        <f t="shared" si="30"/>
        <v/>
      </c>
      <c r="BJ64" s="7" t="str">
        <f t="shared" si="31"/>
        <v/>
      </c>
      <c r="BK64" s="158" t="str">
        <f t="shared" si="32"/>
        <v/>
      </c>
      <c r="BL64" s="158" t="str">
        <f t="shared" si="13"/>
        <v/>
      </c>
      <c r="BM64" s="10"/>
      <c r="BN64" s="10" t="str">
        <f t="shared" si="33"/>
        <v/>
      </c>
      <c r="BO64" s="10" t="str">
        <f t="shared" si="34"/>
        <v/>
      </c>
      <c r="BQ64" s="10" t="str">
        <f t="shared" si="14"/>
        <v/>
      </c>
      <c r="BR64" s="10" t="str">
        <f t="shared" si="35"/>
        <v/>
      </c>
    </row>
    <row r="65" spans="2:70" x14ac:dyDescent="0.15">
      <c r="I65" s="38">
        <f t="shared" si="36"/>
        <v>2080</v>
      </c>
      <c r="J65" s="39"/>
      <c r="K65" s="39">
        <f t="shared" si="37"/>
        <v>51</v>
      </c>
      <c r="L65" s="39"/>
      <c r="M65" s="40">
        <f t="shared" si="0"/>
        <v>0.22146318426189707</v>
      </c>
      <c r="N65" s="39"/>
      <c r="O65" s="72" t="str">
        <f t="shared" si="15"/>
        <v/>
      </c>
      <c r="P65" s="41" t="str">
        <f t="shared" si="1"/>
        <v/>
      </c>
      <c r="Q65" s="39"/>
      <c r="R65" s="72" t="str">
        <f t="shared" si="16"/>
        <v/>
      </c>
      <c r="S65" s="39"/>
      <c r="T65" s="72" t="str">
        <f t="shared" si="17"/>
        <v/>
      </c>
      <c r="U65" s="39"/>
      <c r="V65" s="72" t="str">
        <f t="shared" si="2"/>
        <v/>
      </c>
      <c r="W65" s="72" t="str">
        <f t="shared" si="18"/>
        <v/>
      </c>
      <c r="X65" s="39"/>
      <c r="Y65" s="72" t="str">
        <f t="shared" si="3"/>
        <v/>
      </c>
      <c r="Z65" s="72" t="str">
        <f t="shared" si="19"/>
        <v/>
      </c>
      <c r="AA65" s="39"/>
      <c r="AB65" s="72" t="str">
        <f t="shared" si="4"/>
        <v/>
      </c>
      <c r="AC65" s="72" t="str">
        <f t="shared" si="20"/>
        <v/>
      </c>
      <c r="AD65" s="39"/>
      <c r="AE65" s="72" t="str">
        <f t="shared" si="5"/>
        <v/>
      </c>
      <c r="AF65" s="72" t="str">
        <f t="shared" si="21"/>
        <v/>
      </c>
      <c r="AG65" s="39"/>
      <c r="AH65" s="72" t="str">
        <f t="shared" si="6"/>
        <v/>
      </c>
      <c r="AI65" s="72" t="str">
        <f t="shared" si="22"/>
        <v/>
      </c>
      <c r="AJ65" s="39"/>
      <c r="AK65" s="72" t="str">
        <f t="shared" si="7"/>
        <v/>
      </c>
      <c r="AL65" s="72" t="str">
        <f t="shared" si="23"/>
        <v/>
      </c>
      <c r="AM65" s="39"/>
      <c r="AN65" s="72" t="str">
        <f t="shared" si="8"/>
        <v/>
      </c>
      <c r="AO65" s="72" t="str">
        <f t="shared" si="24"/>
        <v/>
      </c>
      <c r="AP65" s="39"/>
      <c r="AQ65" s="72" t="str">
        <f t="shared" si="9"/>
        <v/>
      </c>
      <c r="AR65" s="72" t="str">
        <f t="shared" si="25"/>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38"/>
        <v/>
      </c>
      <c r="AW65" s="72" t="str">
        <f t="shared" si="39"/>
        <v/>
      </c>
      <c r="AX65" s="39"/>
      <c r="AY65" s="40" t="str">
        <f>IF(ISERROR(IF($K65&lt;=$F$15,VLOOKUP($I65,'表4）CO2価格'!$A$7:$E$67,VLOOKUP($F$48,'表4）CO2価格'!$H$10:$I$12,2,0),0)*$F$8/1000,"")),0,IF($K65&lt;=$F$15,VLOOKUP($I65,'表4）CO2価格'!$A$7:$E$67,VLOOKUP($F$48,'表4）CO2価格'!$H$10:$I$12,2,0),0)*$F$8/1000,""))</f>
        <v/>
      </c>
      <c r="AZ65" s="39"/>
      <c r="BA65" s="42" t="str">
        <f t="shared" si="10"/>
        <v/>
      </c>
      <c r="BB65" s="72" t="str">
        <f t="shared" si="28"/>
        <v/>
      </c>
      <c r="BC65" s="39"/>
      <c r="BD65" s="72" t="str">
        <f t="shared" si="11"/>
        <v/>
      </c>
      <c r="BE65" s="72" t="str">
        <f t="shared" si="29"/>
        <v/>
      </c>
      <c r="BF65" s="39"/>
      <c r="BG65" s="42" t="str">
        <f t="shared" si="12"/>
        <v/>
      </c>
      <c r="BH65" s="72" t="str">
        <f t="shared" si="30"/>
        <v/>
      </c>
      <c r="BI65" s="39"/>
      <c r="BJ65" s="40" t="str">
        <f t="shared" si="31"/>
        <v/>
      </c>
      <c r="BK65" s="157" t="str">
        <f t="shared" si="32"/>
        <v/>
      </c>
      <c r="BL65" s="157" t="str">
        <f t="shared" si="13"/>
        <v/>
      </c>
      <c r="BM65" s="72"/>
      <c r="BN65" s="72" t="str">
        <f t="shared" si="33"/>
        <v/>
      </c>
      <c r="BO65" s="72" t="str">
        <f t="shared" si="34"/>
        <v/>
      </c>
      <c r="BP65" s="39"/>
      <c r="BQ65" s="72" t="str">
        <f t="shared" si="14"/>
        <v/>
      </c>
      <c r="BR65" s="72" t="str">
        <f t="shared" si="35"/>
        <v/>
      </c>
    </row>
    <row r="66" spans="2:70" x14ac:dyDescent="0.15">
      <c r="I66" s="322">
        <f t="shared" si="36"/>
        <v>2081</v>
      </c>
      <c r="K66" s="71">
        <f t="shared" si="37"/>
        <v>52</v>
      </c>
      <c r="M66" s="7">
        <f t="shared" si="0"/>
        <v>0.215012800254269</v>
      </c>
      <c r="O66" s="10" t="str">
        <f t="shared" si="15"/>
        <v/>
      </c>
      <c r="P66" s="29" t="str">
        <f t="shared" si="1"/>
        <v/>
      </c>
      <c r="R66" s="10" t="str">
        <f t="shared" si="16"/>
        <v/>
      </c>
      <c r="T66" s="10" t="str">
        <f t="shared" si="17"/>
        <v/>
      </c>
      <c r="V66" s="10" t="str">
        <f t="shared" si="2"/>
        <v/>
      </c>
      <c r="W66" s="10" t="str">
        <f t="shared" si="18"/>
        <v/>
      </c>
      <c r="Y66" s="10" t="str">
        <f t="shared" si="3"/>
        <v/>
      </c>
      <c r="Z66" s="10" t="str">
        <f t="shared" si="19"/>
        <v/>
      </c>
      <c r="AB66" s="10" t="str">
        <f t="shared" si="4"/>
        <v/>
      </c>
      <c r="AC66" s="10" t="str">
        <f t="shared" si="20"/>
        <v/>
      </c>
      <c r="AE66" s="10" t="str">
        <f t="shared" si="5"/>
        <v/>
      </c>
      <c r="AF66" s="10" t="str">
        <f t="shared" si="21"/>
        <v/>
      </c>
      <c r="AH66" s="10" t="str">
        <f t="shared" si="6"/>
        <v/>
      </c>
      <c r="AI66" s="10" t="str">
        <f t="shared" si="22"/>
        <v/>
      </c>
      <c r="AK66" s="10" t="str">
        <f t="shared" si="7"/>
        <v/>
      </c>
      <c r="AL66" s="10" t="str">
        <f t="shared" si="23"/>
        <v/>
      </c>
      <c r="AN66" s="10" t="str">
        <f t="shared" si="8"/>
        <v/>
      </c>
      <c r="AO66" s="10" t="str">
        <f t="shared" si="24"/>
        <v/>
      </c>
      <c r="AQ66" s="10" t="str">
        <f t="shared" si="9"/>
        <v/>
      </c>
      <c r="AR66" s="10" t="str">
        <f t="shared" si="25"/>
        <v/>
      </c>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V66" s="10" t="str">
        <f t="shared" si="38"/>
        <v/>
      </c>
      <c r="AW66" s="10" t="str">
        <f t="shared" si="39"/>
        <v/>
      </c>
      <c r="AY66" s="7" t="str">
        <f>IF(ISERROR(IF($K66&lt;=$F$15,VLOOKUP($I66,'表4）CO2価格'!$A$7:$E$67,VLOOKUP($F$48,'表4）CO2価格'!$H$10:$I$12,2,0),0)*$F$8/1000,"")),0,IF($K66&lt;=$F$15,VLOOKUP($I66,'表4）CO2価格'!$A$7:$E$67,VLOOKUP($F$48,'表4）CO2価格'!$H$10:$I$12,2,0),0)*$F$8/1000,""))</f>
        <v/>
      </c>
      <c r="BA66" s="11" t="str">
        <f t="shared" si="10"/>
        <v/>
      </c>
      <c r="BB66" s="10" t="str">
        <f t="shared" si="28"/>
        <v/>
      </c>
      <c r="BD66" s="10" t="str">
        <f t="shared" si="11"/>
        <v/>
      </c>
      <c r="BE66" s="10" t="str">
        <f t="shared" si="29"/>
        <v/>
      </c>
      <c r="BG66" s="11" t="str">
        <f t="shared" si="12"/>
        <v/>
      </c>
      <c r="BH66" s="10" t="str">
        <f t="shared" si="30"/>
        <v/>
      </c>
      <c r="BJ66" s="7" t="str">
        <f t="shared" si="31"/>
        <v/>
      </c>
      <c r="BK66" s="158" t="str">
        <f t="shared" si="32"/>
        <v/>
      </c>
      <c r="BL66" s="158" t="str">
        <f t="shared" si="13"/>
        <v/>
      </c>
      <c r="BM66" s="10"/>
      <c r="BN66" s="10" t="str">
        <f t="shared" si="33"/>
        <v/>
      </c>
      <c r="BO66" s="10" t="str">
        <f t="shared" si="34"/>
        <v/>
      </c>
      <c r="BQ66" s="10" t="str">
        <f t="shared" si="14"/>
        <v/>
      </c>
      <c r="BR66" s="10" t="str">
        <f t="shared" si="35"/>
        <v/>
      </c>
    </row>
    <row r="67" spans="2:70" ht="15.75" thickBot="1" x14ac:dyDescent="0.2">
      <c r="B67" s="5" t="s">
        <v>133</v>
      </c>
      <c r="C67" s="3"/>
      <c r="D67" s="102"/>
      <c r="E67" s="102"/>
      <c r="F67" s="3"/>
      <c r="G67" s="102"/>
      <c r="I67" s="38">
        <f t="shared" si="36"/>
        <v>2082</v>
      </c>
      <c r="J67" s="39"/>
      <c r="K67" s="39">
        <f t="shared" si="37"/>
        <v>53</v>
      </c>
      <c r="L67" s="39"/>
      <c r="M67" s="40">
        <f t="shared" si="0"/>
        <v>0.20875029150899907</v>
      </c>
      <c r="N67" s="39"/>
      <c r="O67" s="72" t="str">
        <f t="shared" si="15"/>
        <v/>
      </c>
      <c r="P67" s="41" t="str">
        <f t="shared" si="1"/>
        <v/>
      </c>
      <c r="Q67" s="39"/>
      <c r="R67" s="72" t="str">
        <f t="shared" si="16"/>
        <v/>
      </c>
      <c r="S67" s="39"/>
      <c r="T67" s="72" t="str">
        <f t="shared" si="17"/>
        <v/>
      </c>
      <c r="U67" s="39"/>
      <c r="V67" s="72" t="str">
        <f t="shared" si="2"/>
        <v/>
      </c>
      <c r="W67" s="72" t="str">
        <f t="shared" si="18"/>
        <v/>
      </c>
      <c r="X67" s="39"/>
      <c r="Y67" s="72" t="str">
        <f t="shared" si="3"/>
        <v/>
      </c>
      <c r="Z67" s="72" t="str">
        <f t="shared" si="19"/>
        <v/>
      </c>
      <c r="AA67" s="39"/>
      <c r="AB67" s="72" t="str">
        <f t="shared" si="4"/>
        <v/>
      </c>
      <c r="AC67" s="72" t="str">
        <f t="shared" si="20"/>
        <v/>
      </c>
      <c r="AD67" s="39"/>
      <c r="AE67" s="72" t="str">
        <f t="shared" si="5"/>
        <v/>
      </c>
      <c r="AF67" s="72" t="str">
        <f t="shared" si="21"/>
        <v/>
      </c>
      <c r="AG67" s="39"/>
      <c r="AH67" s="72" t="str">
        <f t="shared" si="6"/>
        <v/>
      </c>
      <c r="AI67" s="72" t="str">
        <f t="shared" si="22"/>
        <v/>
      </c>
      <c r="AJ67" s="39"/>
      <c r="AK67" s="72" t="str">
        <f t="shared" si="7"/>
        <v/>
      </c>
      <c r="AL67" s="72" t="str">
        <f t="shared" si="23"/>
        <v/>
      </c>
      <c r="AM67" s="39"/>
      <c r="AN67" s="72" t="str">
        <f t="shared" si="8"/>
        <v/>
      </c>
      <c r="AO67" s="72" t="str">
        <f t="shared" si="24"/>
        <v/>
      </c>
      <c r="AP67" s="39"/>
      <c r="AQ67" s="72" t="str">
        <f t="shared" si="9"/>
        <v/>
      </c>
      <c r="AR67" s="72" t="str">
        <f t="shared" si="25"/>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38"/>
        <v/>
      </c>
      <c r="AW67" s="72" t="str">
        <f t="shared" si="39"/>
        <v/>
      </c>
      <c r="AX67" s="39"/>
      <c r="AY67" s="40" t="str">
        <f>IF(ISERROR(IF($K67&lt;=$F$15,VLOOKUP($I67,'表4）CO2価格'!$A$7:$E$67,VLOOKUP($F$48,'表4）CO2価格'!$H$10:$I$12,2,0),0)*$F$8/1000,"")),0,IF($K67&lt;=$F$15,VLOOKUP($I67,'表4）CO2価格'!$A$7:$E$67,VLOOKUP($F$48,'表4）CO2価格'!$H$10:$I$12,2,0),0)*$F$8/1000,""))</f>
        <v/>
      </c>
      <c r="AZ67" s="39"/>
      <c r="BA67" s="42" t="str">
        <f t="shared" si="10"/>
        <v/>
      </c>
      <c r="BB67" s="72" t="str">
        <f t="shared" si="28"/>
        <v/>
      </c>
      <c r="BC67" s="39"/>
      <c r="BD67" s="72" t="str">
        <f t="shared" si="11"/>
        <v/>
      </c>
      <c r="BE67" s="72" t="str">
        <f t="shared" si="29"/>
        <v/>
      </c>
      <c r="BF67" s="39"/>
      <c r="BG67" s="42" t="str">
        <f t="shared" si="12"/>
        <v/>
      </c>
      <c r="BH67" s="72" t="str">
        <f t="shared" si="30"/>
        <v/>
      </c>
      <c r="BI67" s="39"/>
      <c r="BJ67" s="40" t="str">
        <f t="shared" si="31"/>
        <v/>
      </c>
      <c r="BK67" s="157" t="str">
        <f t="shared" si="32"/>
        <v/>
      </c>
      <c r="BL67" s="157" t="str">
        <f t="shared" si="13"/>
        <v/>
      </c>
      <c r="BM67" s="72"/>
      <c r="BN67" s="72" t="str">
        <f t="shared" si="33"/>
        <v/>
      </c>
      <c r="BO67" s="72" t="str">
        <f t="shared" si="34"/>
        <v/>
      </c>
      <c r="BP67" s="39"/>
      <c r="BQ67" s="72" t="str">
        <f t="shared" si="14"/>
        <v/>
      </c>
      <c r="BR67" s="72" t="str">
        <f t="shared" si="35"/>
        <v/>
      </c>
    </row>
    <row r="68" spans="2:70" x14ac:dyDescent="0.15">
      <c r="I68" s="322">
        <f t="shared" si="36"/>
        <v>2083</v>
      </c>
      <c r="K68" s="71">
        <f t="shared" si="37"/>
        <v>54</v>
      </c>
      <c r="M68" s="7">
        <f t="shared" si="0"/>
        <v>0.20267018593106703</v>
      </c>
      <c r="O68" s="10" t="str">
        <f t="shared" si="15"/>
        <v/>
      </c>
      <c r="P68" s="29" t="str">
        <f t="shared" si="1"/>
        <v/>
      </c>
      <c r="R68" s="10" t="str">
        <f t="shared" si="16"/>
        <v/>
      </c>
      <c r="T68" s="10" t="str">
        <f t="shared" si="17"/>
        <v/>
      </c>
      <c r="V68" s="10" t="str">
        <f t="shared" si="2"/>
        <v/>
      </c>
      <c r="W68" s="10" t="str">
        <f t="shared" si="18"/>
        <v/>
      </c>
      <c r="Y68" s="10" t="str">
        <f t="shared" si="3"/>
        <v/>
      </c>
      <c r="Z68" s="10" t="str">
        <f t="shared" si="19"/>
        <v/>
      </c>
      <c r="AB68" s="10" t="str">
        <f t="shared" si="4"/>
        <v/>
      </c>
      <c r="AC68" s="10" t="str">
        <f t="shared" si="20"/>
        <v/>
      </c>
      <c r="AE68" s="10" t="str">
        <f t="shared" si="5"/>
        <v/>
      </c>
      <c r="AF68" s="10" t="str">
        <f t="shared" si="21"/>
        <v/>
      </c>
      <c r="AH68" s="10" t="str">
        <f t="shared" si="6"/>
        <v/>
      </c>
      <c r="AI68" s="10" t="str">
        <f t="shared" si="22"/>
        <v/>
      </c>
      <c r="AK68" s="10" t="str">
        <f t="shared" si="7"/>
        <v/>
      </c>
      <c r="AL68" s="10" t="str">
        <f t="shared" si="23"/>
        <v/>
      </c>
      <c r="AN68" s="10" t="str">
        <f t="shared" si="8"/>
        <v/>
      </c>
      <c r="AO68" s="10" t="str">
        <f t="shared" si="24"/>
        <v/>
      </c>
      <c r="AQ68" s="10" t="str">
        <f t="shared" si="9"/>
        <v/>
      </c>
      <c r="AR68" s="10" t="str">
        <f t="shared" si="25"/>
        <v/>
      </c>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V68" s="10" t="str">
        <f t="shared" si="38"/>
        <v/>
      </c>
      <c r="AW68" s="10" t="str">
        <f t="shared" si="39"/>
        <v/>
      </c>
      <c r="AY68" s="7" t="str">
        <f>IF(ISERROR(IF($K68&lt;=$F$15,VLOOKUP($I68,'表4）CO2価格'!$A$7:$E$67,VLOOKUP($F$48,'表4）CO2価格'!$H$10:$I$12,2,0),0)*$F$8/1000,"")),0,IF($K68&lt;=$F$15,VLOOKUP($I68,'表4）CO2価格'!$A$7:$E$67,VLOOKUP($F$48,'表4）CO2価格'!$H$10:$I$12,2,0),0)*$F$8/1000,""))</f>
        <v/>
      </c>
      <c r="BA68" s="11" t="str">
        <f t="shared" si="10"/>
        <v/>
      </c>
      <c r="BB68" s="10" t="str">
        <f t="shared" si="28"/>
        <v/>
      </c>
      <c r="BD68" s="10" t="str">
        <f t="shared" si="11"/>
        <v/>
      </c>
      <c r="BE68" s="10" t="str">
        <f t="shared" si="29"/>
        <v/>
      </c>
      <c r="BG68" s="11" t="str">
        <f t="shared" si="12"/>
        <v/>
      </c>
      <c r="BH68" s="10" t="str">
        <f t="shared" si="30"/>
        <v/>
      </c>
      <c r="BJ68" s="7" t="str">
        <f t="shared" si="31"/>
        <v/>
      </c>
      <c r="BK68" s="158" t="str">
        <f t="shared" si="32"/>
        <v/>
      </c>
      <c r="BL68" s="158" t="str">
        <f t="shared" si="13"/>
        <v/>
      </c>
      <c r="BM68" s="10"/>
      <c r="BN68" s="10" t="str">
        <f t="shared" si="33"/>
        <v/>
      </c>
      <c r="BO68" s="10" t="str">
        <f t="shared" si="34"/>
        <v/>
      </c>
      <c r="BQ68" s="10" t="str">
        <f t="shared" si="14"/>
        <v/>
      </c>
      <c r="BR68" s="10" t="str">
        <f t="shared" si="35"/>
        <v/>
      </c>
    </row>
    <row r="69" spans="2:70" x14ac:dyDescent="0.15">
      <c r="C69" s="483" t="s">
        <v>134</v>
      </c>
      <c r="D69" s="71"/>
      <c r="E69" s="71"/>
      <c r="F69" s="484">
        <f>SUBTOTAL(9,F74:F112)-F105</f>
        <v>21.348674159793408</v>
      </c>
      <c r="G69" s="71" t="s">
        <v>590</v>
      </c>
      <c r="I69" s="38">
        <f t="shared" si="36"/>
        <v>2084</v>
      </c>
      <c r="J69" s="39"/>
      <c r="K69" s="39">
        <f t="shared" si="37"/>
        <v>55</v>
      </c>
      <c r="L69" s="39"/>
      <c r="M69" s="40">
        <f t="shared" si="0"/>
        <v>0.19676717080686118</v>
      </c>
      <c r="N69" s="39"/>
      <c r="O69" s="72" t="str">
        <f t="shared" si="15"/>
        <v/>
      </c>
      <c r="P69" s="41" t="str">
        <f t="shared" si="1"/>
        <v/>
      </c>
      <c r="Q69" s="39"/>
      <c r="R69" s="72" t="str">
        <f t="shared" si="16"/>
        <v/>
      </c>
      <c r="S69" s="39"/>
      <c r="T69" s="72" t="str">
        <f t="shared" si="17"/>
        <v/>
      </c>
      <c r="U69" s="39"/>
      <c r="V69" s="72" t="str">
        <f t="shared" si="2"/>
        <v/>
      </c>
      <c r="W69" s="72" t="str">
        <f t="shared" si="18"/>
        <v/>
      </c>
      <c r="X69" s="39"/>
      <c r="Y69" s="72" t="str">
        <f t="shared" si="3"/>
        <v/>
      </c>
      <c r="Z69" s="72" t="str">
        <f t="shared" si="19"/>
        <v/>
      </c>
      <c r="AA69" s="39"/>
      <c r="AB69" s="72" t="str">
        <f t="shared" si="4"/>
        <v/>
      </c>
      <c r="AC69" s="72" t="str">
        <f t="shared" si="20"/>
        <v/>
      </c>
      <c r="AD69" s="39"/>
      <c r="AE69" s="72" t="str">
        <f t="shared" si="5"/>
        <v/>
      </c>
      <c r="AF69" s="72" t="str">
        <f t="shared" si="21"/>
        <v/>
      </c>
      <c r="AG69" s="39"/>
      <c r="AH69" s="72" t="str">
        <f t="shared" si="6"/>
        <v/>
      </c>
      <c r="AI69" s="72" t="str">
        <f t="shared" si="22"/>
        <v/>
      </c>
      <c r="AJ69" s="39"/>
      <c r="AK69" s="72" t="str">
        <f t="shared" si="7"/>
        <v/>
      </c>
      <c r="AL69" s="72" t="str">
        <f t="shared" si="23"/>
        <v/>
      </c>
      <c r="AM69" s="39"/>
      <c r="AN69" s="72" t="str">
        <f t="shared" si="8"/>
        <v/>
      </c>
      <c r="AO69" s="72" t="str">
        <f t="shared" si="24"/>
        <v/>
      </c>
      <c r="AP69" s="39"/>
      <c r="AQ69" s="72" t="str">
        <f t="shared" si="9"/>
        <v/>
      </c>
      <c r="AR69" s="72" t="str">
        <f t="shared" si="25"/>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38"/>
        <v/>
      </c>
      <c r="AW69" s="72" t="str">
        <f t="shared" si="39"/>
        <v/>
      </c>
      <c r="AX69" s="39"/>
      <c r="AY69" s="40" t="str">
        <f>IF(ISERROR(IF($K69&lt;=$F$15,VLOOKUP($I69,'表4）CO2価格'!$A$7:$E$67,VLOOKUP($F$48,'表4）CO2価格'!$H$10:$I$12,2,0),0)*$F$8/1000,"")),0,IF($K69&lt;=$F$15,VLOOKUP($I69,'表4）CO2価格'!$A$7:$E$67,VLOOKUP($F$48,'表4）CO2価格'!$H$10:$I$12,2,0),0)*$F$8/1000,""))</f>
        <v/>
      </c>
      <c r="AZ69" s="39"/>
      <c r="BA69" s="42" t="str">
        <f t="shared" si="10"/>
        <v/>
      </c>
      <c r="BB69" s="72" t="str">
        <f t="shared" si="28"/>
        <v/>
      </c>
      <c r="BC69" s="39"/>
      <c r="BD69" s="72" t="str">
        <f t="shared" si="11"/>
        <v/>
      </c>
      <c r="BE69" s="72" t="str">
        <f t="shared" si="29"/>
        <v/>
      </c>
      <c r="BF69" s="39"/>
      <c r="BG69" s="42" t="str">
        <f t="shared" si="12"/>
        <v/>
      </c>
      <c r="BH69" s="72" t="str">
        <f t="shared" si="30"/>
        <v/>
      </c>
      <c r="BI69" s="39"/>
      <c r="BJ69" s="40" t="str">
        <f t="shared" si="31"/>
        <v/>
      </c>
      <c r="BK69" s="157" t="str">
        <f t="shared" si="32"/>
        <v/>
      </c>
      <c r="BL69" s="157" t="str">
        <f t="shared" si="13"/>
        <v/>
      </c>
      <c r="BM69" s="72"/>
      <c r="BN69" s="72" t="str">
        <f t="shared" si="33"/>
        <v/>
      </c>
      <c r="BO69" s="72" t="str">
        <f t="shared" si="34"/>
        <v/>
      </c>
      <c r="BP69" s="39"/>
      <c r="BQ69" s="72" t="str">
        <f t="shared" si="14"/>
        <v/>
      </c>
      <c r="BR69" s="72" t="str">
        <f t="shared" si="35"/>
        <v/>
      </c>
    </row>
    <row r="70" spans="2:70" x14ac:dyDescent="0.15">
      <c r="C70" s="483" t="s">
        <v>135</v>
      </c>
      <c r="D70" s="71"/>
      <c r="E70" s="71"/>
      <c r="F70" s="484">
        <f>SUBTOTAL(9,F74:F112)</f>
        <v>21.378674159793409</v>
      </c>
      <c r="G70" s="71" t="s">
        <v>590</v>
      </c>
      <c r="I70" s="322">
        <f t="shared" si="36"/>
        <v>2085</v>
      </c>
      <c r="K70" s="71">
        <f t="shared" si="37"/>
        <v>56</v>
      </c>
      <c r="M70" s="7">
        <f t="shared" si="0"/>
        <v>0.19103608816200118</v>
      </c>
      <c r="O70" s="10" t="str">
        <f t="shared" si="15"/>
        <v/>
      </c>
      <c r="P70" s="29" t="str">
        <f t="shared" si="1"/>
        <v/>
      </c>
      <c r="R70" s="10" t="str">
        <f t="shared" si="16"/>
        <v/>
      </c>
      <c r="T70" s="10" t="str">
        <f t="shared" si="17"/>
        <v/>
      </c>
      <c r="V70" s="10" t="str">
        <f t="shared" si="2"/>
        <v/>
      </c>
      <c r="W70" s="10" t="str">
        <f t="shared" si="18"/>
        <v/>
      </c>
      <c r="Y70" s="10" t="str">
        <f t="shared" si="3"/>
        <v/>
      </c>
      <c r="Z70" s="10" t="str">
        <f t="shared" si="19"/>
        <v/>
      </c>
      <c r="AB70" s="10" t="str">
        <f t="shared" si="4"/>
        <v/>
      </c>
      <c r="AC70" s="10" t="str">
        <f t="shared" si="20"/>
        <v/>
      </c>
      <c r="AE70" s="10" t="str">
        <f t="shared" si="5"/>
        <v/>
      </c>
      <c r="AF70" s="10" t="str">
        <f t="shared" si="21"/>
        <v/>
      </c>
      <c r="AH70" s="10" t="str">
        <f t="shared" si="6"/>
        <v/>
      </c>
      <c r="AI70" s="10" t="str">
        <f t="shared" si="22"/>
        <v/>
      </c>
      <c r="AK70" s="10" t="str">
        <f t="shared" si="7"/>
        <v/>
      </c>
      <c r="AL70" s="10" t="str">
        <f t="shared" si="23"/>
        <v/>
      </c>
      <c r="AN70" s="10" t="str">
        <f t="shared" si="8"/>
        <v/>
      </c>
      <c r="AO70" s="10" t="str">
        <f t="shared" si="24"/>
        <v/>
      </c>
      <c r="AQ70" s="10" t="str">
        <f t="shared" si="9"/>
        <v/>
      </c>
      <c r="AR70" s="10" t="str">
        <f t="shared" si="25"/>
        <v/>
      </c>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V70" s="10" t="str">
        <f t="shared" si="38"/>
        <v/>
      </c>
      <c r="AW70" s="10" t="str">
        <f t="shared" si="39"/>
        <v/>
      </c>
      <c r="AY70" s="7" t="str">
        <f>IF(ISERROR(IF($K70&lt;=$F$15,VLOOKUP($I70,'表4）CO2価格'!$A$7:$E$67,VLOOKUP($F$48,'表4）CO2価格'!$H$10:$I$12,2,0),0)*$F$8/1000,"")),0,IF($K70&lt;=$F$15,VLOOKUP($I70,'表4）CO2価格'!$A$7:$E$67,VLOOKUP($F$48,'表4）CO2価格'!$H$10:$I$12,2,0),0)*$F$8/1000,""))</f>
        <v/>
      </c>
      <c r="BA70" s="11" t="str">
        <f t="shared" si="10"/>
        <v/>
      </c>
      <c r="BB70" s="10" t="str">
        <f t="shared" si="28"/>
        <v/>
      </c>
      <c r="BD70" s="10" t="str">
        <f t="shared" si="11"/>
        <v/>
      </c>
      <c r="BE70" s="10" t="str">
        <f t="shared" si="29"/>
        <v/>
      </c>
      <c r="BG70" s="11" t="str">
        <f t="shared" si="12"/>
        <v/>
      </c>
      <c r="BH70" s="10" t="str">
        <f t="shared" si="30"/>
        <v/>
      </c>
      <c r="BJ70" s="7" t="str">
        <f t="shared" si="31"/>
        <v/>
      </c>
      <c r="BK70" s="158" t="str">
        <f t="shared" si="32"/>
        <v/>
      </c>
      <c r="BL70" s="158" t="str">
        <f t="shared" si="13"/>
        <v/>
      </c>
      <c r="BM70" s="10"/>
      <c r="BN70" s="10" t="str">
        <f t="shared" si="33"/>
        <v/>
      </c>
      <c r="BO70" s="10" t="str">
        <f t="shared" si="34"/>
        <v/>
      </c>
      <c r="BQ70" s="10" t="str">
        <f t="shared" si="14"/>
        <v/>
      </c>
      <c r="BR70" s="10" t="str">
        <f t="shared" si="35"/>
        <v/>
      </c>
    </row>
    <row r="71" spans="2:70" x14ac:dyDescent="0.15">
      <c r="F71" s="485"/>
      <c r="I71" s="38">
        <f t="shared" si="36"/>
        <v>2086</v>
      </c>
      <c r="J71" s="39"/>
      <c r="K71" s="39">
        <f t="shared" si="37"/>
        <v>57</v>
      </c>
      <c r="L71" s="39"/>
      <c r="M71" s="40">
        <f t="shared" si="0"/>
        <v>0.18547193025437006</v>
      </c>
      <c r="N71" s="39"/>
      <c r="O71" s="72" t="str">
        <f t="shared" si="15"/>
        <v/>
      </c>
      <c r="P71" s="41" t="str">
        <f t="shared" si="1"/>
        <v/>
      </c>
      <c r="Q71" s="39"/>
      <c r="R71" s="72" t="str">
        <f t="shared" si="16"/>
        <v/>
      </c>
      <c r="S71" s="39"/>
      <c r="T71" s="72" t="str">
        <f t="shared" si="17"/>
        <v/>
      </c>
      <c r="U71" s="39"/>
      <c r="V71" s="72" t="str">
        <f t="shared" si="2"/>
        <v/>
      </c>
      <c r="W71" s="72" t="str">
        <f t="shared" si="18"/>
        <v/>
      </c>
      <c r="X71" s="39"/>
      <c r="Y71" s="72" t="str">
        <f t="shared" si="3"/>
        <v/>
      </c>
      <c r="Z71" s="72" t="str">
        <f t="shared" si="19"/>
        <v/>
      </c>
      <c r="AA71" s="39"/>
      <c r="AB71" s="72" t="str">
        <f t="shared" si="4"/>
        <v/>
      </c>
      <c r="AC71" s="72" t="str">
        <f t="shared" si="20"/>
        <v/>
      </c>
      <c r="AD71" s="39"/>
      <c r="AE71" s="72" t="str">
        <f t="shared" si="5"/>
        <v/>
      </c>
      <c r="AF71" s="72" t="str">
        <f t="shared" si="21"/>
        <v/>
      </c>
      <c r="AG71" s="39"/>
      <c r="AH71" s="72" t="str">
        <f t="shared" si="6"/>
        <v/>
      </c>
      <c r="AI71" s="72" t="str">
        <f t="shared" si="22"/>
        <v/>
      </c>
      <c r="AJ71" s="39"/>
      <c r="AK71" s="72" t="str">
        <f t="shared" si="7"/>
        <v/>
      </c>
      <c r="AL71" s="72" t="str">
        <f t="shared" si="23"/>
        <v/>
      </c>
      <c r="AM71" s="39"/>
      <c r="AN71" s="72" t="str">
        <f t="shared" si="8"/>
        <v/>
      </c>
      <c r="AO71" s="72" t="str">
        <f t="shared" si="24"/>
        <v/>
      </c>
      <c r="AP71" s="39"/>
      <c r="AQ71" s="72" t="str">
        <f t="shared" si="9"/>
        <v/>
      </c>
      <c r="AR71" s="72" t="str">
        <f t="shared" si="25"/>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38"/>
        <v/>
      </c>
      <c r="AW71" s="72" t="str">
        <f t="shared" si="39"/>
        <v/>
      </c>
      <c r="AX71" s="39"/>
      <c r="AY71" s="40" t="str">
        <f>IF(ISERROR(IF($K71&lt;=$F$15,VLOOKUP($I71,'表4）CO2価格'!$A$7:$E$67,VLOOKUP($F$48,'表4）CO2価格'!$H$10:$I$12,2,0),0)*$F$8/1000,"")),0,IF($K71&lt;=$F$15,VLOOKUP($I71,'表4）CO2価格'!$A$7:$E$67,VLOOKUP($F$48,'表4）CO2価格'!$H$10:$I$12,2,0),0)*$F$8/1000,""))</f>
        <v/>
      </c>
      <c r="AZ71" s="39"/>
      <c r="BA71" s="42" t="str">
        <f t="shared" si="10"/>
        <v/>
      </c>
      <c r="BB71" s="72" t="str">
        <f t="shared" si="28"/>
        <v/>
      </c>
      <c r="BC71" s="39"/>
      <c r="BD71" s="72" t="str">
        <f t="shared" si="11"/>
        <v/>
      </c>
      <c r="BE71" s="72" t="str">
        <f t="shared" si="29"/>
        <v/>
      </c>
      <c r="BF71" s="39"/>
      <c r="BG71" s="42" t="str">
        <f t="shared" si="12"/>
        <v/>
      </c>
      <c r="BH71" s="72" t="str">
        <f t="shared" si="30"/>
        <v/>
      </c>
      <c r="BI71" s="39"/>
      <c r="BJ71" s="40" t="str">
        <f t="shared" si="31"/>
        <v/>
      </c>
      <c r="BK71" s="157" t="str">
        <f t="shared" si="32"/>
        <v/>
      </c>
      <c r="BL71" s="157" t="str">
        <f t="shared" si="13"/>
        <v/>
      </c>
      <c r="BM71" s="72"/>
      <c r="BN71" s="72" t="str">
        <f t="shared" si="33"/>
        <v/>
      </c>
      <c r="BO71" s="72" t="str">
        <f t="shared" si="34"/>
        <v/>
      </c>
      <c r="BP71" s="39"/>
      <c r="BQ71" s="72" t="str">
        <f t="shared" si="14"/>
        <v/>
      </c>
      <c r="BR71" s="72" t="str">
        <f t="shared" si="35"/>
        <v/>
      </c>
    </row>
    <row r="72" spans="2:70" x14ac:dyDescent="0.15">
      <c r="C72" s="4" t="s">
        <v>136</v>
      </c>
      <c r="D72" s="100"/>
      <c r="E72" s="100"/>
      <c r="F72" s="486"/>
      <c r="G72" s="100"/>
      <c r="I72" s="322">
        <f t="shared" si="36"/>
        <v>2087</v>
      </c>
      <c r="K72" s="71">
        <f t="shared" si="37"/>
        <v>58</v>
      </c>
      <c r="M72" s="7">
        <f t="shared" si="0"/>
        <v>0.18006983519841754</v>
      </c>
      <c r="O72" s="10" t="str">
        <f t="shared" si="15"/>
        <v/>
      </c>
      <c r="P72" s="29" t="str">
        <f t="shared" si="1"/>
        <v/>
      </c>
      <c r="R72" s="10" t="str">
        <f t="shared" si="16"/>
        <v/>
      </c>
      <c r="T72" s="10" t="str">
        <f t="shared" si="17"/>
        <v/>
      </c>
      <c r="V72" s="10" t="str">
        <f t="shared" si="2"/>
        <v/>
      </c>
      <c r="W72" s="10" t="str">
        <f t="shared" si="18"/>
        <v/>
      </c>
      <c r="Y72" s="10" t="str">
        <f t="shared" si="3"/>
        <v/>
      </c>
      <c r="Z72" s="10" t="str">
        <f t="shared" si="19"/>
        <v/>
      </c>
      <c r="AB72" s="10" t="str">
        <f t="shared" si="4"/>
        <v/>
      </c>
      <c r="AC72" s="10" t="str">
        <f t="shared" si="20"/>
        <v/>
      </c>
      <c r="AE72" s="10" t="str">
        <f t="shared" si="5"/>
        <v/>
      </c>
      <c r="AF72" s="10" t="str">
        <f t="shared" si="21"/>
        <v/>
      </c>
      <c r="AH72" s="10" t="str">
        <f t="shared" si="6"/>
        <v/>
      </c>
      <c r="AI72" s="10" t="str">
        <f t="shared" si="22"/>
        <v/>
      </c>
      <c r="AK72" s="10" t="str">
        <f t="shared" si="7"/>
        <v/>
      </c>
      <c r="AL72" s="10" t="str">
        <f t="shared" si="23"/>
        <v/>
      </c>
      <c r="AN72" s="10" t="str">
        <f t="shared" si="8"/>
        <v/>
      </c>
      <c r="AO72" s="10" t="str">
        <f t="shared" si="24"/>
        <v/>
      </c>
      <c r="AQ72" s="10" t="str">
        <f t="shared" si="9"/>
        <v/>
      </c>
      <c r="AR72" s="10" t="str">
        <f t="shared" si="25"/>
        <v/>
      </c>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V72" s="10" t="str">
        <f t="shared" si="38"/>
        <v/>
      </c>
      <c r="AW72" s="10" t="str">
        <f t="shared" si="39"/>
        <v/>
      </c>
      <c r="AY72" s="7" t="str">
        <f>IF(ISERROR(IF($K72&lt;=$F$15,VLOOKUP($I72,'表4）CO2価格'!$A$7:$E$67,VLOOKUP($F$48,'表4）CO2価格'!$H$10:$I$12,2,0),0)*$F$8/1000,"")),0,IF($K72&lt;=$F$15,VLOOKUP($I72,'表4）CO2価格'!$A$7:$E$67,VLOOKUP($F$48,'表4）CO2価格'!$H$10:$I$12,2,0),0)*$F$8/1000,""))</f>
        <v/>
      </c>
      <c r="BA72" s="11" t="str">
        <f t="shared" si="10"/>
        <v/>
      </c>
      <c r="BB72" s="10" t="str">
        <f t="shared" si="28"/>
        <v/>
      </c>
      <c r="BD72" s="10" t="str">
        <f t="shared" si="11"/>
        <v/>
      </c>
      <c r="BE72" s="10" t="str">
        <f t="shared" si="29"/>
        <v/>
      </c>
      <c r="BG72" s="11" t="str">
        <f t="shared" si="12"/>
        <v/>
      </c>
      <c r="BH72" s="10" t="str">
        <f t="shared" si="30"/>
        <v/>
      </c>
      <c r="BJ72" s="7" t="str">
        <f t="shared" si="31"/>
        <v/>
      </c>
      <c r="BK72" s="158" t="str">
        <f t="shared" si="32"/>
        <v/>
      </c>
      <c r="BL72" s="158" t="str">
        <f t="shared" si="13"/>
        <v/>
      </c>
      <c r="BM72" s="10"/>
      <c r="BN72" s="10" t="str">
        <f t="shared" si="33"/>
        <v/>
      </c>
      <c r="BO72" s="10" t="str">
        <f t="shared" si="34"/>
        <v/>
      </c>
      <c r="BQ72" s="10" t="str">
        <f t="shared" si="14"/>
        <v/>
      </c>
      <c r="BR72" s="10" t="str">
        <f t="shared" si="35"/>
        <v/>
      </c>
    </row>
    <row r="73" spans="2:70" x14ac:dyDescent="0.15">
      <c r="F73" s="487"/>
      <c r="I73" s="38">
        <f t="shared" si="36"/>
        <v>2088</v>
      </c>
      <c r="J73" s="39"/>
      <c r="K73" s="39">
        <f t="shared" si="37"/>
        <v>59</v>
      </c>
      <c r="L73" s="39"/>
      <c r="M73" s="40">
        <f t="shared" si="0"/>
        <v>0.17482508271691022</v>
      </c>
      <c r="N73" s="39"/>
      <c r="O73" s="72" t="str">
        <f t="shared" si="15"/>
        <v/>
      </c>
      <c r="P73" s="41" t="str">
        <f t="shared" si="1"/>
        <v/>
      </c>
      <c r="Q73" s="39"/>
      <c r="R73" s="72" t="str">
        <f t="shared" si="16"/>
        <v/>
      </c>
      <c r="S73" s="39"/>
      <c r="T73" s="72" t="str">
        <f t="shared" si="17"/>
        <v/>
      </c>
      <c r="U73" s="39"/>
      <c r="V73" s="72" t="str">
        <f t="shared" si="2"/>
        <v/>
      </c>
      <c r="W73" s="72" t="str">
        <f t="shared" si="18"/>
        <v/>
      </c>
      <c r="X73" s="39"/>
      <c r="Y73" s="72" t="str">
        <f t="shared" si="3"/>
        <v/>
      </c>
      <c r="Z73" s="72" t="str">
        <f t="shared" si="19"/>
        <v/>
      </c>
      <c r="AA73" s="39"/>
      <c r="AB73" s="72" t="str">
        <f t="shared" si="4"/>
        <v/>
      </c>
      <c r="AC73" s="72" t="str">
        <f t="shared" si="20"/>
        <v/>
      </c>
      <c r="AD73" s="39"/>
      <c r="AE73" s="72" t="str">
        <f t="shared" si="5"/>
        <v/>
      </c>
      <c r="AF73" s="72" t="str">
        <f t="shared" si="21"/>
        <v/>
      </c>
      <c r="AG73" s="39"/>
      <c r="AH73" s="72" t="str">
        <f t="shared" si="6"/>
        <v/>
      </c>
      <c r="AI73" s="72" t="str">
        <f t="shared" si="22"/>
        <v/>
      </c>
      <c r="AJ73" s="39"/>
      <c r="AK73" s="72" t="str">
        <f t="shared" si="7"/>
        <v/>
      </c>
      <c r="AL73" s="72" t="str">
        <f t="shared" si="23"/>
        <v/>
      </c>
      <c r="AM73" s="39"/>
      <c r="AN73" s="72" t="str">
        <f t="shared" si="8"/>
        <v/>
      </c>
      <c r="AO73" s="72" t="str">
        <f t="shared" si="24"/>
        <v/>
      </c>
      <c r="AP73" s="39"/>
      <c r="AQ73" s="72" t="str">
        <f t="shared" si="9"/>
        <v/>
      </c>
      <c r="AR73" s="72" t="str">
        <f t="shared" si="25"/>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38"/>
        <v/>
      </c>
      <c r="AW73" s="72" t="str">
        <f t="shared" si="39"/>
        <v/>
      </c>
      <c r="AX73" s="39"/>
      <c r="AY73" s="40" t="str">
        <f>IF(ISERROR(IF($K73&lt;=$F$15,VLOOKUP($I73,'表4）CO2価格'!$A$7:$E$67,VLOOKUP($F$48,'表4）CO2価格'!$H$10:$I$12,2,0),0)*$F$8/1000,"")),0,IF($K73&lt;=$F$15,VLOOKUP($I73,'表4）CO2価格'!$A$7:$E$67,VLOOKUP($F$48,'表4）CO2価格'!$H$10:$I$12,2,0),0)*$F$8/1000,""))</f>
        <v/>
      </c>
      <c r="AZ73" s="39"/>
      <c r="BA73" s="42" t="str">
        <f t="shared" si="10"/>
        <v/>
      </c>
      <c r="BB73" s="72" t="str">
        <f t="shared" si="28"/>
        <v/>
      </c>
      <c r="BC73" s="39"/>
      <c r="BD73" s="72" t="str">
        <f t="shared" si="11"/>
        <v/>
      </c>
      <c r="BE73" s="72" t="str">
        <f t="shared" si="29"/>
        <v/>
      </c>
      <c r="BF73" s="39"/>
      <c r="BG73" s="42" t="str">
        <f t="shared" si="12"/>
        <v/>
      </c>
      <c r="BH73" s="72" t="str">
        <f t="shared" si="30"/>
        <v/>
      </c>
      <c r="BI73" s="39"/>
      <c r="BJ73" s="40" t="str">
        <f t="shared" si="31"/>
        <v/>
      </c>
      <c r="BK73" s="157" t="str">
        <f t="shared" si="32"/>
        <v/>
      </c>
      <c r="BL73" s="157" t="str">
        <f t="shared" si="13"/>
        <v/>
      </c>
      <c r="BM73" s="72"/>
      <c r="BN73" s="72" t="str">
        <f t="shared" si="33"/>
        <v/>
      </c>
      <c r="BO73" s="72" t="str">
        <f t="shared" si="34"/>
        <v/>
      </c>
      <c r="BP73" s="39"/>
      <c r="BQ73" s="72" t="str">
        <f t="shared" si="14"/>
        <v/>
      </c>
      <c r="BR73" s="72" t="str">
        <f t="shared" si="35"/>
        <v/>
      </c>
    </row>
    <row r="74" spans="2:70" ht="15" x14ac:dyDescent="0.15">
      <c r="D74" s="103" t="s">
        <v>591</v>
      </c>
      <c r="F74" s="484">
        <f>SUBTOTAL(9,F78:F81)</f>
        <v>1.2945516175087721</v>
      </c>
      <c r="G74" s="84" t="s">
        <v>590</v>
      </c>
      <c r="I74" s="322">
        <f t="shared" si="36"/>
        <v>2089</v>
      </c>
      <c r="K74" s="71">
        <f t="shared" si="37"/>
        <v>60</v>
      </c>
      <c r="M74" s="7">
        <f t="shared" si="0"/>
        <v>0.1697330900164177</v>
      </c>
      <c r="O74" s="10" t="str">
        <f t="shared" si="15"/>
        <v/>
      </c>
      <c r="P74" s="29" t="str">
        <f t="shared" si="1"/>
        <v/>
      </c>
      <c r="R74" s="10" t="str">
        <f t="shared" si="16"/>
        <v/>
      </c>
      <c r="T74" s="10" t="str">
        <f t="shared" si="17"/>
        <v/>
      </c>
      <c r="V74" s="10" t="str">
        <f t="shared" si="2"/>
        <v/>
      </c>
      <c r="W74" s="10" t="str">
        <f t="shared" si="18"/>
        <v/>
      </c>
      <c r="Y74" s="10" t="str">
        <f t="shared" si="3"/>
        <v/>
      </c>
      <c r="Z74" s="10" t="str">
        <f t="shared" si="19"/>
        <v/>
      </c>
      <c r="AB74" s="10" t="str">
        <f t="shared" si="4"/>
        <v/>
      </c>
      <c r="AC74" s="10" t="str">
        <f t="shared" si="20"/>
        <v/>
      </c>
      <c r="AE74" s="10" t="str">
        <f t="shared" si="5"/>
        <v/>
      </c>
      <c r="AF74" s="10" t="str">
        <f t="shared" si="21"/>
        <v/>
      </c>
      <c r="AH74" s="10" t="str">
        <f t="shared" si="6"/>
        <v/>
      </c>
      <c r="AI74" s="10" t="str">
        <f t="shared" si="22"/>
        <v/>
      </c>
      <c r="AK74" s="10" t="str">
        <f t="shared" si="7"/>
        <v/>
      </c>
      <c r="AL74" s="10" t="str">
        <f t="shared" si="23"/>
        <v/>
      </c>
      <c r="AN74" s="10" t="str">
        <f t="shared" si="8"/>
        <v/>
      </c>
      <c r="AO74" s="10" t="str">
        <f t="shared" si="24"/>
        <v/>
      </c>
      <c r="AQ74" s="10" t="str">
        <f t="shared" si="9"/>
        <v/>
      </c>
      <c r="AR74" s="10" t="str">
        <f t="shared" si="25"/>
        <v/>
      </c>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V74" s="10" t="str">
        <f t="shared" si="38"/>
        <v/>
      </c>
      <c r="AW74" s="10" t="str">
        <f t="shared" si="39"/>
        <v/>
      </c>
      <c r="AY74" s="7" t="str">
        <f>IF(ISERROR(IF($K74&lt;=$F$15,VLOOKUP($I74,'表4）CO2価格'!$A$7:$E$67,VLOOKUP($F$48,'表4）CO2価格'!$H$10:$I$12,2,0),0)*$F$8/1000,"")),0,IF($K74&lt;=$F$15,VLOOKUP($I74,'表4）CO2価格'!$A$7:$E$67,VLOOKUP($F$48,'表4）CO2価格'!$H$10:$I$12,2,0),0)*$F$8/1000,""))</f>
        <v/>
      </c>
      <c r="BA74" s="11" t="str">
        <f t="shared" si="10"/>
        <v/>
      </c>
      <c r="BB74" s="10" t="str">
        <f t="shared" si="28"/>
        <v/>
      </c>
      <c r="BD74" s="10" t="str">
        <f t="shared" si="11"/>
        <v/>
      </c>
      <c r="BE74" s="10" t="str">
        <f t="shared" si="29"/>
        <v/>
      </c>
      <c r="BG74" s="11" t="str">
        <f t="shared" si="12"/>
        <v/>
      </c>
      <c r="BH74" s="10" t="str">
        <f t="shared" si="30"/>
        <v/>
      </c>
      <c r="BJ74" s="7" t="str">
        <f t="shared" si="31"/>
        <v/>
      </c>
      <c r="BK74" s="158" t="str">
        <f t="shared" si="32"/>
        <v/>
      </c>
      <c r="BL74" s="158" t="str">
        <f t="shared" si="13"/>
        <v/>
      </c>
      <c r="BM74" s="10"/>
      <c r="BN74" s="10" t="str">
        <f t="shared" si="33"/>
        <v/>
      </c>
      <c r="BO74" s="10" t="str">
        <f t="shared" si="34"/>
        <v/>
      </c>
      <c r="BQ74" s="10" t="str">
        <f t="shared" si="14"/>
        <v/>
      </c>
      <c r="BR74" s="10" t="str">
        <f t="shared" si="35"/>
        <v/>
      </c>
    </row>
    <row r="75" spans="2:70" x14ac:dyDescent="0.15">
      <c r="F75" s="487"/>
      <c r="I75" s="38">
        <f t="shared" si="36"/>
        <v>2090</v>
      </c>
      <c r="J75" s="39"/>
      <c r="K75" s="39">
        <f t="shared" si="37"/>
        <v>61</v>
      </c>
      <c r="L75" s="39"/>
      <c r="M75" s="40">
        <f t="shared" si="0"/>
        <v>0.16478940778292983</v>
      </c>
      <c r="N75" s="39"/>
      <c r="O75" s="72" t="str">
        <f t="shared" si="15"/>
        <v/>
      </c>
      <c r="P75" s="41" t="str">
        <f t="shared" si="1"/>
        <v/>
      </c>
      <c r="Q75" s="39"/>
      <c r="R75" s="72" t="str">
        <f t="shared" si="16"/>
        <v/>
      </c>
      <c r="S75" s="39"/>
      <c r="T75" s="72" t="str">
        <f t="shared" si="17"/>
        <v/>
      </c>
      <c r="U75" s="39"/>
      <c r="V75" s="72" t="str">
        <f t="shared" si="2"/>
        <v/>
      </c>
      <c r="W75" s="72" t="str">
        <f t="shared" si="18"/>
        <v/>
      </c>
      <c r="X75" s="39"/>
      <c r="Y75" s="72" t="str">
        <f t="shared" si="3"/>
        <v/>
      </c>
      <c r="Z75" s="72" t="str">
        <f t="shared" si="19"/>
        <v/>
      </c>
      <c r="AA75" s="39"/>
      <c r="AB75" s="72" t="str">
        <f t="shared" si="4"/>
        <v/>
      </c>
      <c r="AC75" s="72" t="str">
        <f t="shared" si="20"/>
        <v/>
      </c>
      <c r="AD75" s="39"/>
      <c r="AE75" s="72" t="str">
        <f t="shared" si="5"/>
        <v/>
      </c>
      <c r="AF75" s="72" t="str">
        <f t="shared" si="21"/>
        <v/>
      </c>
      <c r="AG75" s="39"/>
      <c r="AH75" s="72" t="str">
        <f t="shared" si="6"/>
        <v/>
      </c>
      <c r="AI75" s="72" t="str">
        <f t="shared" si="22"/>
        <v/>
      </c>
      <c r="AJ75" s="39"/>
      <c r="AK75" s="72" t="str">
        <f t="shared" si="7"/>
        <v/>
      </c>
      <c r="AL75" s="72" t="str">
        <f t="shared" si="23"/>
        <v/>
      </c>
      <c r="AM75" s="39"/>
      <c r="AN75" s="72" t="str">
        <f t="shared" si="8"/>
        <v/>
      </c>
      <c r="AO75" s="72" t="str">
        <f t="shared" si="24"/>
        <v/>
      </c>
      <c r="AP75" s="39"/>
      <c r="AQ75" s="72" t="str">
        <f t="shared" si="9"/>
        <v/>
      </c>
      <c r="AR75" s="72" t="str">
        <f t="shared" si="25"/>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38"/>
        <v/>
      </c>
      <c r="AW75" s="72" t="str">
        <f t="shared" si="39"/>
        <v/>
      </c>
      <c r="AX75" s="39"/>
      <c r="AY75" s="40" t="str">
        <f>IF(ISERROR(IF($K75&lt;=$F$15,VLOOKUP($I75,'表4）CO2価格'!$A$7:$E$67,VLOOKUP($F$48,'表4）CO2価格'!$H$10:$I$12,2,0),0)*$F$8/1000,"")),0,IF($K75&lt;=$F$15,VLOOKUP($I75,'表4）CO2価格'!$A$7:$E$67,VLOOKUP($F$48,'表4）CO2価格'!$H$10:$I$12,2,0),0)*$F$8/1000,""))</f>
        <v/>
      </c>
      <c r="AZ75" s="39"/>
      <c r="BA75" s="42" t="str">
        <f t="shared" si="10"/>
        <v/>
      </c>
      <c r="BB75" s="72" t="str">
        <f t="shared" si="28"/>
        <v/>
      </c>
      <c r="BC75" s="39"/>
      <c r="BD75" s="72" t="str">
        <f t="shared" si="11"/>
        <v/>
      </c>
      <c r="BE75" s="72" t="str">
        <f t="shared" si="29"/>
        <v/>
      </c>
      <c r="BF75" s="39"/>
      <c r="BG75" s="42" t="str">
        <f t="shared" si="12"/>
        <v/>
      </c>
      <c r="BH75" s="72" t="str">
        <f t="shared" si="30"/>
        <v/>
      </c>
      <c r="BI75" s="39"/>
      <c r="BJ75" s="40" t="str">
        <f t="shared" si="31"/>
        <v/>
      </c>
      <c r="BK75" s="157" t="str">
        <f t="shared" si="32"/>
        <v/>
      </c>
      <c r="BL75" s="157" t="str">
        <f t="shared" si="13"/>
        <v/>
      </c>
      <c r="BM75" s="72"/>
      <c r="BN75" s="72" t="str">
        <f t="shared" si="33"/>
        <v/>
      </c>
      <c r="BO75" s="72" t="str">
        <f t="shared" si="34"/>
        <v/>
      </c>
      <c r="BP75" s="39"/>
      <c r="BQ75" s="72" t="str">
        <f t="shared" si="14"/>
        <v/>
      </c>
      <c r="BR75" s="72" t="str">
        <f t="shared" si="35"/>
        <v/>
      </c>
    </row>
    <row r="76" spans="2:70" x14ac:dyDescent="0.15">
      <c r="D76" s="100" t="s">
        <v>592</v>
      </c>
      <c r="E76" s="100"/>
      <c r="F76" s="486"/>
      <c r="G76" s="100"/>
      <c r="I76" s="322">
        <f t="shared" si="36"/>
        <v>2091</v>
      </c>
      <c r="K76" s="71">
        <f t="shared" si="37"/>
        <v>62</v>
      </c>
      <c r="M76" s="7">
        <f t="shared" si="0"/>
        <v>0.15998971629410663</v>
      </c>
      <c r="O76" s="10" t="str">
        <f t="shared" si="15"/>
        <v/>
      </c>
      <c r="P76" s="29" t="str">
        <f t="shared" si="1"/>
        <v/>
      </c>
      <c r="R76" s="10" t="str">
        <f t="shared" si="16"/>
        <v/>
      </c>
      <c r="T76" s="10" t="str">
        <f t="shared" si="17"/>
        <v/>
      </c>
      <c r="V76" s="10" t="str">
        <f t="shared" si="2"/>
        <v/>
      </c>
      <c r="W76" s="10" t="str">
        <f t="shared" si="18"/>
        <v/>
      </c>
      <c r="Y76" s="10" t="str">
        <f t="shared" si="3"/>
        <v/>
      </c>
      <c r="Z76" s="10" t="str">
        <f t="shared" si="19"/>
        <v/>
      </c>
      <c r="AB76" s="10" t="str">
        <f t="shared" si="4"/>
        <v/>
      </c>
      <c r="AC76" s="10" t="str">
        <f t="shared" si="20"/>
        <v/>
      </c>
      <c r="AE76" s="10" t="str">
        <f t="shared" si="5"/>
        <v/>
      </c>
      <c r="AF76" s="10" t="str">
        <f t="shared" si="21"/>
        <v/>
      </c>
      <c r="AH76" s="10" t="str">
        <f t="shared" si="6"/>
        <v/>
      </c>
      <c r="AI76" s="10" t="str">
        <f t="shared" si="22"/>
        <v/>
      </c>
      <c r="AK76" s="10" t="str">
        <f t="shared" si="7"/>
        <v/>
      </c>
      <c r="AL76" s="10" t="str">
        <f t="shared" si="23"/>
        <v/>
      </c>
      <c r="AN76" s="10" t="str">
        <f t="shared" si="8"/>
        <v/>
      </c>
      <c r="AO76" s="10" t="str">
        <f t="shared" si="24"/>
        <v/>
      </c>
      <c r="AQ76" s="10" t="str">
        <f t="shared" si="9"/>
        <v/>
      </c>
      <c r="AR76" s="10" t="str">
        <f t="shared" si="25"/>
        <v/>
      </c>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V76" s="10" t="str">
        <f t="shared" si="38"/>
        <v/>
      </c>
      <c r="AW76" s="10" t="str">
        <f t="shared" si="39"/>
        <v/>
      </c>
      <c r="AY76" s="7" t="str">
        <f>IF(ISERROR(IF($K76&lt;=$F$15,VLOOKUP($I76,'表4）CO2価格'!$A$7:$E$67,VLOOKUP($F$48,'表4）CO2価格'!$H$10:$I$12,2,0),0)*$F$8/1000,"")),0,IF($K76&lt;=$F$15,VLOOKUP($I76,'表4）CO2価格'!$A$7:$E$67,VLOOKUP($F$48,'表4）CO2価格'!$H$10:$I$12,2,0),0)*$F$8/1000,""))</f>
        <v/>
      </c>
      <c r="BA76" s="11" t="str">
        <f t="shared" si="10"/>
        <v/>
      </c>
      <c r="BB76" s="10" t="str">
        <f t="shared" si="28"/>
        <v/>
      </c>
      <c r="BD76" s="10" t="str">
        <f t="shared" si="11"/>
        <v/>
      </c>
      <c r="BE76" s="10" t="str">
        <f t="shared" si="29"/>
        <v/>
      </c>
      <c r="BG76" s="11" t="str">
        <f t="shared" si="12"/>
        <v/>
      </c>
      <c r="BH76" s="10" t="str">
        <f t="shared" si="30"/>
        <v/>
      </c>
      <c r="BJ76" s="7" t="str">
        <f t="shared" si="31"/>
        <v/>
      </c>
      <c r="BK76" s="158" t="str">
        <f t="shared" si="32"/>
        <v/>
      </c>
      <c r="BL76" s="158" t="str">
        <f t="shared" si="13"/>
        <v/>
      </c>
      <c r="BM76" s="10"/>
      <c r="BN76" s="10" t="str">
        <f t="shared" si="33"/>
        <v/>
      </c>
      <c r="BO76" s="10" t="str">
        <f t="shared" si="34"/>
        <v/>
      </c>
      <c r="BQ76" s="10" t="str">
        <f t="shared" si="14"/>
        <v/>
      </c>
      <c r="BR76" s="10" t="str">
        <f t="shared" si="35"/>
        <v/>
      </c>
    </row>
    <row r="77" spans="2:70" x14ac:dyDescent="0.15">
      <c r="F77" s="487"/>
      <c r="I77" s="38">
        <f t="shared" si="36"/>
        <v>2092</v>
      </c>
      <c r="J77" s="39"/>
      <c r="K77" s="39">
        <f t="shared" si="37"/>
        <v>63</v>
      </c>
      <c r="L77" s="39"/>
      <c r="M77" s="40">
        <f t="shared" si="0"/>
        <v>0.15532982164476369</v>
      </c>
      <c r="N77" s="39"/>
      <c r="O77" s="72" t="str">
        <f t="shared" si="15"/>
        <v/>
      </c>
      <c r="P77" s="41" t="str">
        <f t="shared" si="1"/>
        <v/>
      </c>
      <c r="Q77" s="39"/>
      <c r="R77" s="72" t="str">
        <f t="shared" si="16"/>
        <v/>
      </c>
      <c r="S77" s="39"/>
      <c r="T77" s="72" t="str">
        <f t="shared" si="17"/>
        <v/>
      </c>
      <c r="U77" s="39"/>
      <c r="V77" s="72" t="str">
        <f t="shared" si="2"/>
        <v/>
      </c>
      <c r="W77" s="72" t="str">
        <f t="shared" si="18"/>
        <v/>
      </c>
      <c r="X77" s="39"/>
      <c r="Y77" s="72" t="str">
        <f t="shared" si="3"/>
        <v/>
      </c>
      <c r="Z77" s="72" t="str">
        <f t="shared" si="19"/>
        <v/>
      </c>
      <c r="AA77" s="39"/>
      <c r="AB77" s="72" t="str">
        <f t="shared" si="4"/>
        <v/>
      </c>
      <c r="AC77" s="72" t="str">
        <f t="shared" si="20"/>
        <v/>
      </c>
      <c r="AD77" s="39"/>
      <c r="AE77" s="72" t="str">
        <f t="shared" si="5"/>
        <v/>
      </c>
      <c r="AF77" s="72" t="str">
        <f t="shared" si="21"/>
        <v/>
      </c>
      <c r="AG77" s="39"/>
      <c r="AH77" s="72" t="str">
        <f t="shared" si="6"/>
        <v/>
      </c>
      <c r="AI77" s="72" t="str">
        <f t="shared" si="22"/>
        <v/>
      </c>
      <c r="AJ77" s="39"/>
      <c r="AK77" s="72" t="str">
        <f t="shared" si="7"/>
        <v/>
      </c>
      <c r="AL77" s="72" t="str">
        <f t="shared" si="23"/>
        <v/>
      </c>
      <c r="AM77" s="39"/>
      <c r="AN77" s="72" t="str">
        <f t="shared" si="8"/>
        <v/>
      </c>
      <c r="AO77" s="72" t="str">
        <f t="shared" si="24"/>
        <v/>
      </c>
      <c r="AP77" s="39"/>
      <c r="AQ77" s="72" t="str">
        <f t="shared" si="9"/>
        <v/>
      </c>
      <c r="AR77" s="72" t="str">
        <f t="shared" si="25"/>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38"/>
        <v/>
      </c>
      <c r="AW77" s="72" t="str">
        <f t="shared" si="39"/>
        <v/>
      </c>
      <c r="AX77" s="39"/>
      <c r="AY77" s="40" t="str">
        <f>IF(ISERROR(IF($K77&lt;=$F$15,VLOOKUP($I77,'表4）CO2価格'!$A$7:$E$67,VLOOKUP($F$48,'表4）CO2価格'!$H$10:$I$12,2,0),0)*$F$8/1000,"")),0,IF($K77&lt;=$F$15,VLOOKUP($I77,'表4）CO2価格'!$A$7:$E$67,VLOOKUP($F$48,'表4）CO2価格'!$H$10:$I$12,2,0),0)*$F$8/1000,""))</f>
        <v/>
      </c>
      <c r="AZ77" s="39"/>
      <c r="BA77" s="42" t="str">
        <f t="shared" si="10"/>
        <v/>
      </c>
      <c r="BB77" s="72" t="str">
        <f t="shared" si="28"/>
        <v/>
      </c>
      <c r="BC77" s="39"/>
      <c r="BD77" s="72" t="str">
        <f t="shared" si="11"/>
        <v/>
      </c>
      <c r="BE77" s="72" t="str">
        <f t="shared" si="29"/>
        <v/>
      </c>
      <c r="BF77" s="39"/>
      <c r="BG77" s="42" t="str">
        <f t="shared" si="12"/>
        <v/>
      </c>
      <c r="BH77" s="72" t="str">
        <f t="shared" si="30"/>
        <v/>
      </c>
      <c r="BI77" s="39"/>
      <c r="BJ77" s="40" t="str">
        <f t="shared" si="31"/>
        <v/>
      </c>
      <c r="BK77" s="157" t="str">
        <f t="shared" si="32"/>
        <v/>
      </c>
      <c r="BL77" s="157" t="str">
        <f t="shared" si="13"/>
        <v/>
      </c>
      <c r="BM77" s="72"/>
      <c r="BN77" s="72" t="str">
        <f t="shared" si="33"/>
        <v/>
      </c>
      <c r="BO77" s="72" t="str">
        <f t="shared" si="34"/>
        <v/>
      </c>
      <c r="BP77" s="39"/>
      <c r="BQ77" s="72" t="str">
        <f t="shared" si="14"/>
        <v/>
      </c>
      <c r="BR77" s="72" t="str">
        <f t="shared" si="35"/>
        <v/>
      </c>
    </row>
    <row r="78" spans="2:70" x14ac:dyDescent="0.15">
      <c r="E78" s="70" t="s">
        <v>138</v>
      </c>
      <c r="F78" s="488">
        <f>R15/$BR$116</f>
        <v>1.1770672626551333</v>
      </c>
      <c r="G78" s="84" t="s">
        <v>590</v>
      </c>
      <c r="I78" s="322">
        <f t="shared" si="36"/>
        <v>2093</v>
      </c>
      <c r="K78" s="71">
        <f t="shared" si="37"/>
        <v>64</v>
      </c>
      <c r="M78" s="7">
        <f t="shared" si="0"/>
        <v>0.15080565208229488</v>
      </c>
      <c r="O78" s="10" t="str">
        <f t="shared" si="15"/>
        <v/>
      </c>
      <c r="P78" s="29" t="str">
        <f t="shared" si="1"/>
        <v/>
      </c>
      <c r="R78" s="10" t="str">
        <f t="shared" si="16"/>
        <v/>
      </c>
      <c r="T78" s="10" t="str">
        <f t="shared" si="17"/>
        <v/>
      </c>
      <c r="V78" s="10" t="str">
        <f t="shared" si="2"/>
        <v/>
      </c>
      <c r="W78" s="10" t="str">
        <f t="shared" si="18"/>
        <v/>
      </c>
      <c r="Y78" s="10" t="str">
        <f t="shared" si="3"/>
        <v/>
      </c>
      <c r="Z78" s="10" t="str">
        <f t="shared" si="19"/>
        <v/>
      </c>
      <c r="AB78" s="10" t="str">
        <f t="shared" si="4"/>
        <v/>
      </c>
      <c r="AC78" s="10" t="str">
        <f t="shared" si="20"/>
        <v/>
      </c>
      <c r="AE78" s="10" t="str">
        <f t="shared" si="5"/>
        <v/>
      </c>
      <c r="AF78" s="10" t="str">
        <f t="shared" si="21"/>
        <v/>
      </c>
      <c r="AH78" s="10" t="str">
        <f t="shared" si="6"/>
        <v/>
      </c>
      <c r="AI78" s="10" t="str">
        <f t="shared" si="22"/>
        <v/>
      </c>
      <c r="AK78" s="10" t="str">
        <f t="shared" si="7"/>
        <v/>
      </c>
      <c r="AL78" s="10" t="str">
        <f t="shared" si="23"/>
        <v/>
      </c>
      <c r="AN78" s="10" t="str">
        <f t="shared" si="8"/>
        <v/>
      </c>
      <c r="AO78" s="10" t="str">
        <f t="shared" si="24"/>
        <v/>
      </c>
      <c r="AQ78" s="10" t="str">
        <f t="shared" si="9"/>
        <v/>
      </c>
      <c r="AR78" s="10" t="str">
        <f t="shared" si="25"/>
        <v/>
      </c>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V78" s="10" t="str">
        <f t="shared" si="38"/>
        <v/>
      </c>
      <c r="AW78" s="10" t="str">
        <f t="shared" si="39"/>
        <v/>
      </c>
      <c r="AY78" s="7" t="str">
        <f>IF(ISERROR(IF($K78&lt;=$F$15,VLOOKUP($I78,'表4）CO2価格'!$A$7:$E$67,VLOOKUP($F$48,'表4）CO2価格'!$H$10:$I$12,2,0),0)*$F$8/1000,"")),0,IF($K78&lt;=$F$15,VLOOKUP($I78,'表4）CO2価格'!$A$7:$E$67,VLOOKUP($F$48,'表4）CO2価格'!$H$10:$I$12,2,0),0)*$F$8/1000,""))</f>
        <v/>
      </c>
      <c r="BA78" s="11" t="str">
        <f t="shared" si="10"/>
        <v/>
      </c>
      <c r="BB78" s="10" t="str">
        <f t="shared" si="28"/>
        <v/>
      </c>
      <c r="BD78" s="10" t="str">
        <f t="shared" si="11"/>
        <v/>
      </c>
      <c r="BE78" s="10" t="str">
        <f t="shared" si="29"/>
        <v/>
      </c>
      <c r="BG78" s="11" t="str">
        <f t="shared" si="12"/>
        <v/>
      </c>
      <c r="BH78" s="10" t="str">
        <f t="shared" si="30"/>
        <v/>
      </c>
      <c r="BJ78" s="7" t="str">
        <f t="shared" si="31"/>
        <v/>
      </c>
      <c r="BK78" s="158" t="str">
        <f t="shared" si="32"/>
        <v/>
      </c>
      <c r="BL78" s="158" t="str">
        <f t="shared" si="13"/>
        <v/>
      </c>
      <c r="BM78" s="10"/>
      <c r="BN78" s="10" t="str">
        <f t="shared" si="33"/>
        <v/>
      </c>
      <c r="BO78" s="10" t="str">
        <f t="shared" si="34"/>
        <v/>
      </c>
      <c r="BQ78" s="10" t="str">
        <f t="shared" si="14"/>
        <v/>
      </c>
      <c r="BR78" s="10" t="str">
        <f t="shared" si="35"/>
        <v/>
      </c>
    </row>
    <row r="79" spans="2:70" x14ac:dyDescent="0.15">
      <c r="E79" s="84" t="s">
        <v>139</v>
      </c>
      <c r="F79" s="488">
        <f>Z116/$BR$116</f>
        <v>9.99679460469481E-2</v>
      </c>
      <c r="G79" s="84" t="s">
        <v>590</v>
      </c>
      <c r="I79" s="38">
        <f t="shared" si="36"/>
        <v>2094</v>
      </c>
      <c r="J79" s="39"/>
      <c r="K79" s="39">
        <f t="shared" si="37"/>
        <v>65</v>
      </c>
      <c r="L79" s="39"/>
      <c r="M79" s="40">
        <f t="shared" ref="M79:M114" si="40">1/(1+($F$9/100))^K79</f>
        <v>0.14641325444882999</v>
      </c>
      <c r="N79" s="39"/>
      <c r="O79" s="72" t="str">
        <f t="shared" si="15"/>
        <v/>
      </c>
      <c r="P79" s="41" t="str">
        <f t="shared" ref="P79:P110" si="41">IF(K79&lt;=$F$15,IF(OR(P78=$F$124,P78="-"),"-",IF(O79*$F$123&gt;$F$127,$F$123,$F$124)),"")</f>
        <v/>
      </c>
      <c r="Q79" s="39"/>
      <c r="R79" s="72" t="str">
        <f t="shared" si="16"/>
        <v/>
      </c>
      <c r="S79" s="39"/>
      <c r="T79" s="72" t="str">
        <f t="shared" si="17"/>
        <v/>
      </c>
      <c r="U79" s="39"/>
      <c r="V79" s="72" t="str">
        <f t="shared" ref="V79:V114" si="42">IF(K79&lt;=$F$15,IF(K79&lt;$F$119,IF(P79="-",V78,O79*P79),IF(K79=$F$119,MIN(IF(P79="-",V78,O79*P79),O79),0)),"")</f>
        <v/>
      </c>
      <c r="W79" s="72" t="str">
        <f t="shared" si="18"/>
        <v/>
      </c>
      <c r="X79" s="39"/>
      <c r="Y79" s="72" t="str">
        <f t="shared" ref="Y79:Y114" si="43">IF($K79&lt;=$F$15,ROUNDDOWN(T79*$F$25/100,-2),"")</f>
        <v/>
      </c>
      <c r="Z79" s="72" t="str">
        <f t="shared" si="19"/>
        <v/>
      </c>
      <c r="AA79" s="39"/>
      <c r="AB79" s="72" t="str">
        <f t="shared" ref="AB79:AB114" si="44">IF($K79&lt;=$F$15,0,IF(AND($K79&gt;$F$15,$K79&lt;=$F$15+$F$28),$F$27*10^8/$F$28,""))</f>
        <v/>
      </c>
      <c r="AC79" s="72" t="str">
        <f t="shared" si="20"/>
        <v/>
      </c>
      <c r="AD79" s="39"/>
      <c r="AE79" s="72" t="str">
        <f t="shared" ref="AE79:AE114" si="45">IF($K79&lt;=$F$15,$F$26,"")</f>
        <v/>
      </c>
      <c r="AF79" s="72" t="str">
        <f t="shared" si="21"/>
        <v/>
      </c>
      <c r="AG79" s="39"/>
      <c r="AH79" s="72" t="str">
        <f t="shared" ref="AH79:AH114" si="46">IF($K79&lt;=$F$15,$F$33*10^8,"")</f>
        <v/>
      </c>
      <c r="AI79" s="72" t="str">
        <f t="shared" si="22"/>
        <v/>
      </c>
      <c r="AJ79" s="39"/>
      <c r="AK79" s="72" t="str">
        <f t="shared" ref="AK79:AK114" si="47">IF($K79&lt;=$F$15,$F$117*$F$34/100,"")</f>
        <v/>
      </c>
      <c r="AL79" s="72" t="str">
        <f t="shared" si="23"/>
        <v/>
      </c>
      <c r="AM79" s="39"/>
      <c r="AN79" s="72" t="str">
        <f t="shared" ref="AN79:AN114" si="48">IF($K79&lt;=$F$15,$F$117*$F$35/100,"")</f>
        <v/>
      </c>
      <c r="AO79" s="72" t="str">
        <f t="shared" si="24"/>
        <v/>
      </c>
      <c r="AP79" s="39"/>
      <c r="AQ79" s="72" t="str">
        <f t="shared" ref="AQ79:AQ114" si="49">IF($K79&lt;=$F$15,SUM(AH79,AK79,AN79)*($F$36/100),"")</f>
        <v/>
      </c>
      <c r="AR79" s="72" t="str">
        <f t="shared" si="25"/>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50">IF($K79&lt;=$F$15,($AT79+$F$142)*$F$137,"")</f>
        <v/>
      </c>
      <c r="AW79" s="72" t="str">
        <f t="shared" si="39"/>
        <v/>
      </c>
      <c r="AX79" s="39"/>
      <c r="AY79" s="40" t="str">
        <f>IF(ISERROR(IF($K79&lt;=$F$15,VLOOKUP($I79,'表4）CO2価格'!$A$7:$E$67,VLOOKUP($F$48,'表4）CO2価格'!$H$10:$I$12,2,0),0)*$F$8/1000,"")),0,IF($K79&lt;=$F$15,VLOOKUP($I79,'表4）CO2価格'!$A$7:$E$67,VLOOKUP($F$48,'表4）CO2価格'!$H$10:$I$12,2,0),0)*$F$8/1000,""))</f>
        <v/>
      </c>
      <c r="AZ79" s="39"/>
      <c r="BA79" s="42" t="str">
        <f t="shared" ref="BA79:BA114" si="51">IF($K79&lt;=$F$15,$F$145*AY79,"")</f>
        <v/>
      </c>
      <c r="BB79" s="72" t="str">
        <f t="shared" si="28"/>
        <v/>
      </c>
      <c r="BC79" s="39"/>
      <c r="BD79" s="72" t="str">
        <f t="shared" ref="BD79:BD114" si="52">IF($K79&lt;=$F$15,($AT79+$F$152)*$F$151,"")</f>
        <v/>
      </c>
      <c r="BE79" s="72" t="str">
        <f t="shared" si="29"/>
        <v/>
      </c>
      <c r="BF79" s="39"/>
      <c r="BG79" s="42" t="str">
        <f t="shared" ref="BG79:BG114" si="53">IF($K79&lt;=$F$15,$F$153*AY79,"")</f>
        <v/>
      </c>
      <c r="BH79" s="72" t="str">
        <f t="shared" si="30"/>
        <v/>
      </c>
      <c r="BI79" s="39"/>
      <c r="BJ79" s="40" t="str">
        <f t="shared" si="31"/>
        <v/>
      </c>
      <c r="BK79" s="157" t="str">
        <f t="shared" si="32"/>
        <v/>
      </c>
      <c r="BL79" s="157" t="str">
        <f t="shared" ref="BL79:BL114" si="54">IF(AND(ISNUMBER(BJ79),$K79&lt;=$F$16),BQ79*BJ79,"")</f>
        <v/>
      </c>
      <c r="BM79" s="72"/>
      <c r="BN79" s="72" t="str">
        <f t="shared" si="33"/>
        <v/>
      </c>
      <c r="BO79" s="72" t="str">
        <f t="shared" si="34"/>
        <v/>
      </c>
      <c r="BP79" s="39"/>
      <c r="BQ79" s="72" t="str">
        <f t="shared" ref="BQ79:BQ114" si="55">IF($K79&lt;=$F$15,$F$134,"")</f>
        <v/>
      </c>
      <c r="BR79" s="72" t="str">
        <f t="shared" si="35"/>
        <v/>
      </c>
    </row>
    <row r="80" spans="2:70" x14ac:dyDescent="0.15">
      <c r="E80" s="84" t="s">
        <v>115</v>
      </c>
      <c r="F80" s="488">
        <f>AF116/$BR$116</f>
        <v>0</v>
      </c>
      <c r="G80" s="84" t="s">
        <v>590</v>
      </c>
      <c r="I80" s="322">
        <f t="shared" si="36"/>
        <v>2095</v>
      </c>
      <c r="K80" s="71">
        <f t="shared" si="37"/>
        <v>66</v>
      </c>
      <c r="M80" s="7">
        <f t="shared" si="40"/>
        <v>0.14214879072701941</v>
      </c>
      <c r="O80" s="10" t="str">
        <f t="shared" ref="O80:O114" si="56">IF(K80&lt;=$F$15,O79-V79,"")</f>
        <v/>
      </c>
      <c r="P80" s="29" t="str">
        <f t="shared" si="41"/>
        <v/>
      </c>
      <c r="R80" s="10" t="str">
        <f t="shared" ref="R80:R114" si="57">IF($K80&lt;=$F$15,MAX($F$117*5%,R79*$F$129),"")</f>
        <v/>
      </c>
      <c r="T80" s="10" t="str">
        <f t="shared" ref="T80:T114" si="58">IF(ISNUMBER(R80),ROUNDDOWN(R80,-3),"")</f>
        <v/>
      </c>
      <c r="V80" s="10" t="str">
        <f t="shared" si="42"/>
        <v/>
      </c>
      <c r="W80" s="10" t="str">
        <f t="shared" ref="W80:W114" si="59">IF(ISNUMBER(V80),V80*$M80,"")</f>
        <v/>
      </c>
      <c r="Y80" s="10" t="str">
        <f t="shared" si="43"/>
        <v/>
      </c>
      <c r="Z80" s="10" t="str">
        <f t="shared" ref="Z80:Z114" si="60">IF(ISNUMBER(Y80),Y80*$M80,"")</f>
        <v/>
      </c>
      <c r="AB80" s="10" t="str">
        <f t="shared" si="44"/>
        <v/>
      </c>
      <c r="AC80" s="10" t="str">
        <f t="shared" ref="AC80:AC114" si="61">IF(ISNUMBER(AB80),AB80*$M80,"")</f>
        <v/>
      </c>
      <c r="AE80" s="10" t="str">
        <f t="shared" si="45"/>
        <v/>
      </c>
      <c r="AF80" s="10" t="str">
        <f t="shared" ref="AF80:AF114" si="62">IF(ISNUMBER(AE80),AE80*$M80,"")</f>
        <v/>
      </c>
      <c r="AH80" s="10" t="str">
        <f t="shared" si="46"/>
        <v/>
      </c>
      <c r="AI80" s="10" t="str">
        <f t="shared" ref="AI80:AI114" si="63">IF(ISNUMBER(AH80),AH80*$M80,"")</f>
        <v/>
      </c>
      <c r="AK80" s="10" t="str">
        <f t="shared" si="47"/>
        <v/>
      </c>
      <c r="AL80" s="10" t="str">
        <f t="shared" ref="AL80:AL114" si="64">IF(ISNUMBER(AK80),AK80*$M80,"")</f>
        <v/>
      </c>
      <c r="AN80" s="10" t="str">
        <f t="shared" si="48"/>
        <v/>
      </c>
      <c r="AO80" s="10" t="str">
        <f t="shared" ref="AO80:AO114" si="65">IF(ISNUMBER(AN80),AN80*$M80,"")</f>
        <v/>
      </c>
      <c r="AQ80" s="10" t="str">
        <f t="shared" si="49"/>
        <v/>
      </c>
      <c r="AR80" s="10" t="str">
        <f t="shared" ref="AR80:AR114" si="66">IF(ISNUMBER(AQ80),AQ80*$M80,"")</f>
        <v/>
      </c>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V80" s="10" t="str">
        <f t="shared" si="50"/>
        <v/>
      </c>
      <c r="AW80" s="10" t="str">
        <f t="shared" ref="AW80:AW114" si="67">IF(ISNUMBER(AV80),AV80*$M80,"")</f>
        <v/>
      </c>
      <c r="AY80" s="7" t="str">
        <f>IF(ISERROR(IF($K80&lt;=$F$15,VLOOKUP($I80,'表4）CO2価格'!$A$7:$E$67,VLOOKUP($F$48,'表4）CO2価格'!$H$10:$I$12,2,0),0)*$F$8/1000,"")),0,IF($K80&lt;=$F$15,VLOOKUP($I80,'表4）CO2価格'!$A$7:$E$67,VLOOKUP($F$48,'表4）CO2価格'!$H$10:$I$12,2,0),0)*$F$8/1000,""))</f>
        <v/>
      </c>
      <c r="BA80" s="11" t="str">
        <f t="shared" si="51"/>
        <v/>
      </c>
      <c r="BB80" s="10" t="str">
        <f t="shared" ref="BB80:BB114" si="68">IF(ISNUMBER(BA80),BA80*$M80,"")</f>
        <v/>
      </c>
      <c r="BD80" s="10" t="str">
        <f t="shared" si="52"/>
        <v/>
      </c>
      <c r="BE80" s="10" t="str">
        <f t="shared" ref="BE80:BE114" si="69">IF(ISNUMBER(BD80),BD80*$M80,"")</f>
        <v/>
      </c>
      <c r="BG80" s="11" t="str">
        <f t="shared" si="53"/>
        <v/>
      </c>
      <c r="BH80" s="10" t="str">
        <f t="shared" ref="BH80:BH114" si="70">IF(ISNUMBER(BG80),BG80*$M80,"")</f>
        <v/>
      </c>
      <c r="BJ80" s="7" t="str">
        <f t="shared" ref="BJ80:BJ114" si="71">IF(ISNUMBER($F$16),IF($K80&lt;=$F$16+$F$28,1/(1+($F$17/100))^K80,""),"")</f>
        <v/>
      </c>
      <c r="BK80" s="158" t="str">
        <f t="shared" ref="BK80:BK114" si="72">IF(ISNUMBER($F$16),IF($K80&lt;=$F$16+$F$28,IF($K80&lt;=$F$16,SUM(Y80,AB80,AE80,AH80,AK80,AN80,AQ80,AV80,BA80,BD80,BG80),$F$27/$F$28*10^8)*BJ80,""),"")</f>
        <v/>
      </c>
      <c r="BL80" s="158" t="str">
        <f t="shared" si="54"/>
        <v/>
      </c>
      <c r="BM80" s="10"/>
      <c r="BN80" s="10" t="str">
        <f t="shared" ref="BN80:BN114" si="73">IF(AND(ISNUMBER($F$16),$K80&lt;=$F$16),BQ80*($O$15+$BK$116)/$BL$116,"")</f>
        <v/>
      </c>
      <c r="BO80" s="10" t="str">
        <f t="shared" ref="BO80:BO114" si="74">IF(ISNUMBER(BN80),BN80*$M80,"")</f>
        <v/>
      </c>
      <c r="BQ80" s="10" t="str">
        <f t="shared" si="55"/>
        <v/>
      </c>
      <c r="BR80" s="10" t="str">
        <f t="shared" ref="BR80:BR114" si="75">IF(ISNUMBER(BQ80),BQ80*$M80,"")</f>
        <v/>
      </c>
    </row>
    <row r="81" spans="4:70" x14ac:dyDescent="0.15">
      <c r="E81" s="160" t="s">
        <v>86</v>
      </c>
      <c r="F81" s="488">
        <f>AC116/$BR$116</f>
        <v>1.7516408806690795E-2</v>
      </c>
      <c r="G81" s="84" t="s">
        <v>590</v>
      </c>
      <c r="I81" s="38">
        <f t="shared" ref="I81:I114" si="76">I80+1</f>
        <v>2096</v>
      </c>
      <c r="J81" s="39"/>
      <c r="K81" s="39">
        <f t="shared" ref="K81:K114" si="77">IF(I81&lt;&gt;"",K80+1,"")</f>
        <v>67</v>
      </c>
      <c r="L81" s="39"/>
      <c r="M81" s="40">
        <f t="shared" si="40"/>
        <v>0.1380085346864266</v>
      </c>
      <c r="N81" s="39"/>
      <c r="O81" s="72" t="str">
        <f t="shared" si="56"/>
        <v/>
      </c>
      <c r="P81" s="41" t="str">
        <f t="shared" si="41"/>
        <v/>
      </c>
      <c r="Q81" s="39"/>
      <c r="R81" s="72" t="str">
        <f t="shared" si="57"/>
        <v/>
      </c>
      <c r="S81" s="39"/>
      <c r="T81" s="72" t="str">
        <f t="shared" si="58"/>
        <v/>
      </c>
      <c r="U81" s="39"/>
      <c r="V81" s="72" t="str">
        <f t="shared" si="42"/>
        <v/>
      </c>
      <c r="W81" s="72" t="str">
        <f t="shared" si="59"/>
        <v/>
      </c>
      <c r="X81" s="39"/>
      <c r="Y81" s="72" t="str">
        <f t="shared" si="43"/>
        <v/>
      </c>
      <c r="Z81" s="72" t="str">
        <f t="shared" si="60"/>
        <v/>
      </c>
      <c r="AA81" s="39"/>
      <c r="AB81" s="72" t="str">
        <f t="shared" si="44"/>
        <v/>
      </c>
      <c r="AC81" s="72" t="str">
        <f t="shared" si="61"/>
        <v/>
      </c>
      <c r="AD81" s="39"/>
      <c r="AE81" s="72" t="str">
        <f t="shared" si="45"/>
        <v/>
      </c>
      <c r="AF81" s="72" t="str">
        <f t="shared" si="62"/>
        <v/>
      </c>
      <c r="AG81" s="39"/>
      <c r="AH81" s="72" t="str">
        <f t="shared" si="46"/>
        <v/>
      </c>
      <c r="AI81" s="72" t="str">
        <f t="shared" si="63"/>
        <v/>
      </c>
      <c r="AJ81" s="39"/>
      <c r="AK81" s="72" t="str">
        <f t="shared" si="47"/>
        <v/>
      </c>
      <c r="AL81" s="72" t="str">
        <f t="shared" si="64"/>
        <v/>
      </c>
      <c r="AM81" s="39"/>
      <c r="AN81" s="72" t="str">
        <f t="shared" si="48"/>
        <v/>
      </c>
      <c r="AO81" s="72" t="str">
        <f t="shared" si="65"/>
        <v/>
      </c>
      <c r="AP81" s="39"/>
      <c r="AQ81" s="72" t="str">
        <f t="shared" si="49"/>
        <v/>
      </c>
      <c r="AR81" s="72" t="str">
        <f t="shared" si="66"/>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50"/>
        <v/>
      </c>
      <c r="AW81" s="72" t="str">
        <f t="shared" si="67"/>
        <v/>
      </c>
      <c r="AX81" s="39"/>
      <c r="AY81" s="40" t="str">
        <f>IF(ISERROR(IF($K81&lt;=$F$15,VLOOKUP($I81,'表4）CO2価格'!$A$7:$E$67,VLOOKUP($F$48,'表4）CO2価格'!$H$10:$I$12,2,0),0)*$F$8/1000,"")),0,IF($K81&lt;=$F$15,VLOOKUP($I81,'表4）CO2価格'!$A$7:$E$67,VLOOKUP($F$48,'表4）CO2価格'!$H$10:$I$12,2,0),0)*$F$8/1000,""))</f>
        <v/>
      </c>
      <c r="AZ81" s="39"/>
      <c r="BA81" s="42" t="str">
        <f t="shared" si="51"/>
        <v/>
      </c>
      <c r="BB81" s="72" t="str">
        <f t="shared" si="68"/>
        <v/>
      </c>
      <c r="BC81" s="39"/>
      <c r="BD81" s="72" t="str">
        <f t="shared" si="52"/>
        <v/>
      </c>
      <c r="BE81" s="72" t="str">
        <f t="shared" si="69"/>
        <v/>
      </c>
      <c r="BF81" s="39"/>
      <c r="BG81" s="42" t="str">
        <f t="shared" si="53"/>
        <v/>
      </c>
      <c r="BH81" s="72" t="str">
        <f t="shared" si="70"/>
        <v/>
      </c>
      <c r="BI81" s="39"/>
      <c r="BJ81" s="40" t="str">
        <f t="shared" si="71"/>
        <v/>
      </c>
      <c r="BK81" s="157" t="str">
        <f t="shared" si="72"/>
        <v/>
      </c>
      <c r="BL81" s="157" t="str">
        <f t="shared" si="54"/>
        <v/>
      </c>
      <c r="BM81" s="72"/>
      <c r="BN81" s="72" t="str">
        <f t="shared" si="73"/>
        <v/>
      </c>
      <c r="BO81" s="72" t="str">
        <f t="shared" si="74"/>
        <v/>
      </c>
      <c r="BP81" s="39"/>
      <c r="BQ81" s="72" t="str">
        <f t="shared" si="55"/>
        <v/>
      </c>
      <c r="BR81" s="72" t="str">
        <f t="shared" si="75"/>
        <v/>
      </c>
    </row>
    <row r="82" spans="4:70" x14ac:dyDescent="0.15">
      <c r="F82" s="487"/>
      <c r="I82" s="322">
        <f t="shared" si="76"/>
        <v>2097</v>
      </c>
      <c r="K82" s="71">
        <f t="shared" si="77"/>
        <v>68</v>
      </c>
      <c r="M82" s="7">
        <f t="shared" si="40"/>
        <v>0.13398886862759865</v>
      </c>
      <c r="O82" s="10" t="str">
        <f t="shared" si="56"/>
        <v/>
      </c>
      <c r="P82" s="29" t="str">
        <f t="shared" si="41"/>
        <v/>
      </c>
      <c r="R82" s="10" t="str">
        <f t="shared" si="57"/>
        <v/>
      </c>
      <c r="T82" s="10" t="str">
        <f t="shared" si="58"/>
        <v/>
      </c>
      <c r="V82" s="10" t="str">
        <f t="shared" si="42"/>
        <v/>
      </c>
      <c r="W82" s="10" t="str">
        <f t="shared" si="59"/>
        <v/>
      </c>
      <c r="Y82" s="10" t="str">
        <f t="shared" si="43"/>
        <v/>
      </c>
      <c r="Z82" s="10" t="str">
        <f t="shared" si="60"/>
        <v/>
      </c>
      <c r="AB82" s="10" t="str">
        <f t="shared" si="44"/>
        <v/>
      </c>
      <c r="AC82" s="10" t="str">
        <f t="shared" si="61"/>
        <v/>
      </c>
      <c r="AE82" s="10" t="str">
        <f t="shared" si="45"/>
        <v/>
      </c>
      <c r="AF82" s="10" t="str">
        <f t="shared" si="62"/>
        <v/>
      </c>
      <c r="AH82" s="10" t="str">
        <f t="shared" si="46"/>
        <v/>
      </c>
      <c r="AI82" s="10" t="str">
        <f t="shared" si="63"/>
        <v/>
      </c>
      <c r="AK82" s="10" t="str">
        <f t="shared" si="47"/>
        <v/>
      </c>
      <c r="AL82" s="10" t="str">
        <f t="shared" si="64"/>
        <v/>
      </c>
      <c r="AN82" s="10" t="str">
        <f t="shared" si="48"/>
        <v/>
      </c>
      <c r="AO82" s="10" t="str">
        <f t="shared" si="65"/>
        <v/>
      </c>
      <c r="AQ82" s="10" t="str">
        <f t="shared" si="49"/>
        <v/>
      </c>
      <c r="AR82" s="10" t="str">
        <f t="shared" si="66"/>
        <v/>
      </c>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V82" s="10" t="str">
        <f t="shared" si="50"/>
        <v/>
      </c>
      <c r="AW82" s="10" t="str">
        <f t="shared" si="67"/>
        <v/>
      </c>
      <c r="AY82" s="7" t="str">
        <f>IF(ISERROR(IF($K82&lt;=$F$15,VLOOKUP($I82,'表4）CO2価格'!$A$7:$E$67,VLOOKUP($F$48,'表4）CO2価格'!$H$10:$I$12,2,0),0)*$F$8/1000,"")),0,IF($K82&lt;=$F$15,VLOOKUP($I82,'表4）CO2価格'!$A$7:$E$67,VLOOKUP($F$48,'表4）CO2価格'!$H$10:$I$12,2,0),0)*$F$8/1000,""))</f>
        <v/>
      </c>
      <c r="BA82" s="11" t="str">
        <f t="shared" si="51"/>
        <v/>
      </c>
      <c r="BB82" s="10" t="str">
        <f t="shared" si="68"/>
        <v/>
      </c>
      <c r="BD82" s="10" t="str">
        <f t="shared" si="52"/>
        <v/>
      </c>
      <c r="BE82" s="10" t="str">
        <f t="shared" si="69"/>
        <v/>
      </c>
      <c r="BG82" s="11" t="str">
        <f t="shared" si="53"/>
        <v/>
      </c>
      <c r="BH82" s="10" t="str">
        <f t="shared" si="70"/>
        <v/>
      </c>
      <c r="BJ82" s="7" t="str">
        <f t="shared" si="71"/>
        <v/>
      </c>
      <c r="BK82" s="158" t="str">
        <f t="shared" si="72"/>
        <v/>
      </c>
      <c r="BL82" s="158" t="str">
        <f t="shared" si="54"/>
        <v/>
      </c>
      <c r="BM82" s="10"/>
      <c r="BN82" s="10" t="str">
        <f t="shared" si="73"/>
        <v/>
      </c>
      <c r="BO82" s="10" t="str">
        <f t="shared" si="74"/>
        <v/>
      </c>
      <c r="BQ82" s="10" t="str">
        <f t="shared" si="55"/>
        <v/>
      </c>
      <c r="BR82" s="10" t="str">
        <f t="shared" si="75"/>
        <v/>
      </c>
    </row>
    <row r="83" spans="4:70" ht="15" x14ac:dyDescent="0.15">
      <c r="D83" s="103" t="s">
        <v>593</v>
      </c>
      <c r="F83" s="484">
        <f>SUBTOTAL(9,F87:F90)</f>
        <v>1.2029017661382355</v>
      </c>
      <c r="G83" s="84" t="s">
        <v>590</v>
      </c>
      <c r="I83" s="38">
        <f>I82+1</f>
        <v>2098</v>
      </c>
      <c r="J83" s="39"/>
      <c r="K83" s="39">
        <f>IF(I83&lt;&gt;"",K82+1,"")</f>
        <v>69</v>
      </c>
      <c r="L83" s="39"/>
      <c r="M83" s="40">
        <f t="shared" si="40"/>
        <v>0.13008628022096957</v>
      </c>
      <c r="N83" s="39"/>
      <c r="O83" s="72" t="str">
        <f t="shared" si="56"/>
        <v/>
      </c>
      <c r="P83" s="41" t="str">
        <f t="shared" si="41"/>
        <v/>
      </c>
      <c r="Q83" s="39"/>
      <c r="R83" s="72" t="str">
        <f t="shared" si="57"/>
        <v/>
      </c>
      <c r="S83" s="39"/>
      <c r="T83" s="72" t="str">
        <f t="shared" si="58"/>
        <v/>
      </c>
      <c r="U83" s="39"/>
      <c r="V83" s="72" t="str">
        <f t="shared" si="42"/>
        <v/>
      </c>
      <c r="W83" s="72" t="str">
        <f t="shared" si="59"/>
        <v/>
      </c>
      <c r="X83" s="39"/>
      <c r="Y83" s="72" t="str">
        <f t="shared" si="43"/>
        <v/>
      </c>
      <c r="Z83" s="72" t="str">
        <f t="shared" si="60"/>
        <v/>
      </c>
      <c r="AA83" s="39"/>
      <c r="AB83" s="72" t="str">
        <f t="shared" si="44"/>
        <v/>
      </c>
      <c r="AC83" s="72" t="str">
        <f t="shared" si="61"/>
        <v/>
      </c>
      <c r="AD83" s="39"/>
      <c r="AE83" s="72" t="str">
        <f t="shared" si="45"/>
        <v/>
      </c>
      <c r="AF83" s="72" t="str">
        <f t="shared" si="62"/>
        <v/>
      </c>
      <c r="AG83" s="39"/>
      <c r="AH83" s="72" t="str">
        <f t="shared" si="46"/>
        <v/>
      </c>
      <c r="AI83" s="72" t="str">
        <f t="shared" si="63"/>
        <v/>
      </c>
      <c r="AJ83" s="39"/>
      <c r="AK83" s="72" t="str">
        <f t="shared" si="47"/>
        <v/>
      </c>
      <c r="AL83" s="72" t="str">
        <f t="shared" si="64"/>
        <v/>
      </c>
      <c r="AM83" s="39"/>
      <c r="AN83" s="72" t="str">
        <f t="shared" si="48"/>
        <v/>
      </c>
      <c r="AO83" s="72" t="str">
        <f t="shared" si="65"/>
        <v/>
      </c>
      <c r="AP83" s="39"/>
      <c r="AQ83" s="72" t="str">
        <f t="shared" si="49"/>
        <v/>
      </c>
      <c r="AR83" s="72" t="str">
        <f t="shared" si="66"/>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50"/>
        <v/>
      </c>
      <c r="AW83" s="72" t="str">
        <f t="shared" si="67"/>
        <v/>
      </c>
      <c r="AX83" s="39"/>
      <c r="AY83" s="40" t="str">
        <f>IF(ISERROR(IF($K83&lt;=$F$15,VLOOKUP($I83,'表4）CO2価格'!$A$7:$E$67,VLOOKUP($F$48,'表4）CO2価格'!$H$10:$I$12,2,0),0)*$F$8/1000,"")),0,IF($K83&lt;=$F$15,VLOOKUP($I83,'表4）CO2価格'!$A$7:$E$67,VLOOKUP($F$48,'表4）CO2価格'!$H$10:$I$12,2,0),0)*$F$8/1000,""))</f>
        <v/>
      </c>
      <c r="AZ83" s="39"/>
      <c r="BA83" s="42" t="str">
        <f t="shared" si="51"/>
        <v/>
      </c>
      <c r="BB83" s="72" t="str">
        <f t="shared" si="68"/>
        <v/>
      </c>
      <c r="BC83" s="39"/>
      <c r="BD83" s="72" t="str">
        <f t="shared" si="52"/>
        <v/>
      </c>
      <c r="BE83" s="72" t="str">
        <f t="shared" si="69"/>
        <v/>
      </c>
      <c r="BF83" s="39"/>
      <c r="BG83" s="42" t="str">
        <f t="shared" si="53"/>
        <v/>
      </c>
      <c r="BH83" s="72" t="str">
        <f t="shared" si="70"/>
        <v/>
      </c>
      <c r="BI83" s="39"/>
      <c r="BJ83" s="40" t="str">
        <f t="shared" si="71"/>
        <v/>
      </c>
      <c r="BK83" s="157" t="str">
        <f t="shared" si="72"/>
        <v/>
      </c>
      <c r="BL83" s="157" t="str">
        <f t="shared" si="54"/>
        <v/>
      </c>
      <c r="BM83" s="72"/>
      <c r="BN83" s="72" t="str">
        <f t="shared" si="73"/>
        <v/>
      </c>
      <c r="BO83" s="72" t="str">
        <f t="shared" si="74"/>
        <v/>
      </c>
      <c r="BP83" s="39"/>
      <c r="BQ83" s="72" t="str">
        <f t="shared" si="55"/>
        <v/>
      </c>
      <c r="BR83" s="72" t="str">
        <f t="shared" si="75"/>
        <v/>
      </c>
    </row>
    <row r="84" spans="4:70" x14ac:dyDescent="0.15">
      <c r="F84" s="487"/>
      <c r="I84" s="322">
        <f t="shared" si="76"/>
        <v>2099</v>
      </c>
      <c r="K84" s="71">
        <f t="shared" si="77"/>
        <v>70</v>
      </c>
      <c r="M84" s="7">
        <f t="shared" si="40"/>
        <v>0.12629735943783454</v>
      </c>
      <c r="O84" s="10" t="str">
        <f t="shared" si="56"/>
        <v/>
      </c>
      <c r="P84" s="29" t="str">
        <f t="shared" si="41"/>
        <v/>
      </c>
      <c r="R84" s="10" t="str">
        <f t="shared" si="57"/>
        <v/>
      </c>
      <c r="T84" s="10" t="str">
        <f t="shared" si="58"/>
        <v/>
      </c>
      <c r="V84" s="10" t="str">
        <f t="shared" si="42"/>
        <v/>
      </c>
      <c r="W84" s="10" t="str">
        <f t="shared" si="59"/>
        <v/>
      </c>
      <c r="Y84" s="10" t="str">
        <f t="shared" si="43"/>
        <v/>
      </c>
      <c r="Z84" s="10" t="str">
        <f t="shared" si="60"/>
        <v/>
      </c>
      <c r="AB84" s="10" t="str">
        <f t="shared" si="44"/>
        <v/>
      </c>
      <c r="AC84" s="10" t="str">
        <f t="shared" si="61"/>
        <v/>
      </c>
      <c r="AE84" s="10" t="str">
        <f t="shared" si="45"/>
        <v/>
      </c>
      <c r="AF84" s="10" t="str">
        <f t="shared" si="62"/>
        <v/>
      </c>
      <c r="AH84" s="10" t="str">
        <f t="shared" si="46"/>
        <v/>
      </c>
      <c r="AI84" s="10" t="str">
        <f t="shared" si="63"/>
        <v/>
      </c>
      <c r="AK84" s="10" t="str">
        <f t="shared" si="47"/>
        <v/>
      </c>
      <c r="AL84" s="10" t="str">
        <f t="shared" si="64"/>
        <v/>
      </c>
      <c r="AN84" s="10" t="str">
        <f t="shared" si="48"/>
        <v/>
      </c>
      <c r="AO84" s="10" t="str">
        <f t="shared" si="65"/>
        <v/>
      </c>
      <c r="AQ84" s="10" t="str">
        <f t="shared" si="49"/>
        <v/>
      </c>
      <c r="AR84" s="10" t="str">
        <f t="shared" si="66"/>
        <v/>
      </c>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V84" s="10" t="str">
        <f t="shared" si="50"/>
        <v/>
      </c>
      <c r="AW84" s="10" t="str">
        <f t="shared" si="67"/>
        <v/>
      </c>
      <c r="AY84" s="7" t="str">
        <f>IF(ISERROR(IF($K84&lt;=$F$15,VLOOKUP($I84,'表4）CO2価格'!$A$7:$E$67,VLOOKUP($F$48,'表4）CO2価格'!$H$10:$I$12,2,0),0)*$F$8/1000,"")),0,IF($K84&lt;=$F$15,VLOOKUP($I84,'表4）CO2価格'!$A$7:$E$67,VLOOKUP($F$48,'表4）CO2価格'!$H$10:$I$12,2,0),0)*$F$8/1000,""))</f>
        <v/>
      </c>
      <c r="BA84" s="11" t="str">
        <f t="shared" si="51"/>
        <v/>
      </c>
      <c r="BB84" s="10" t="str">
        <f t="shared" si="68"/>
        <v/>
      </c>
      <c r="BD84" s="10" t="str">
        <f t="shared" si="52"/>
        <v/>
      </c>
      <c r="BE84" s="10" t="str">
        <f t="shared" si="69"/>
        <v/>
      </c>
      <c r="BG84" s="11" t="str">
        <f t="shared" si="53"/>
        <v/>
      </c>
      <c r="BH84" s="10" t="str">
        <f t="shared" si="70"/>
        <v/>
      </c>
      <c r="BJ84" s="7" t="str">
        <f t="shared" si="71"/>
        <v/>
      </c>
      <c r="BK84" s="158" t="str">
        <f t="shared" si="72"/>
        <v/>
      </c>
      <c r="BL84" s="158" t="str">
        <f t="shared" si="54"/>
        <v/>
      </c>
      <c r="BM84" s="10"/>
      <c r="BN84" s="10" t="str">
        <f t="shared" si="73"/>
        <v/>
      </c>
      <c r="BO84" s="10" t="str">
        <f t="shared" si="74"/>
        <v/>
      </c>
      <c r="BQ84" s="10" t="str">
        <f t="shared" si="55"/>
        <v/>
      </c>
      <c r="BR84" s="10" t="str">
        <f t="shared" si="75"/>
        <v/>
      </c>
    </row>
    <row r="85" spans="4:70" x14ac:dyDescent="0.15">
      <c r="D85" s="100" t="s">
        <v>594</v>
      </c>
      <c r="E85" s="489"/>
      <c r="F85" s="486"/>
      <c r="G85" s="100"/>
      <c r="I85" s="38">
        <f t="shared" si="76"/>
        <v>2100</v>
      </c>
      <c r="J85" s="39"/>
      <c r="K85" s="39">
        <f t="shared" si="77"/>
        <v>71</v>
      </c>
      <c r="L85" s="39"/>
      <c r="M85" s="40">
        <f t="shared" si="40"/>
        <v>0.12261879557071313</v>
      </c>
      <c r="N85" s="39"/>
      <c r="O85" s="72" t="str">
        <f t="shared" si="56"/>
        <v/>
      </c>
      <c r="P85" s="41" t="str">
        <f t="shared" si="41"/>
        <v/>
      </c>
      <c r="Q85" s="39"/>
      <c r="R85" s="72" t="str">
        <f t="shared" si="57"/>
        <v/>
      </c>
      <c r="S85" s="39"/>
      <c r="T85" s="72" t="str">
        <f t="shared" si="58"/>
        <v/>
      </c>
      <c r="U85" s="39"/>
      <c r="V85" s="72" t="str">
        <f t="shared" si="42"/>
        <v/>
      </c>
      <c r="W85" s="72" t="str">
        <f t="shared" si="59"/>
        <v/>
      </c>
      <c r="X85" s="39"/>
      <c r="Y85" s="72" t="str">
        <f t="shared" si="43"/>
        <v/>
      </c>
      <c r="Z85" s="72" t="str">
        <f t="shared" si="60"/>
        <v/>
      </c>
      <c r="AA85" s="39"/>
      <c r="AB85" s="72" t="str">
        <f t="shared" si="44"/>
        <v/>
      </c>
      <c r="AC85" s="72" t="str">
        <f t="shared" si="61"/>
        <v/>
      </c>
      <c r="AD85" s="39"/>
      <c r="AE85" s="72" t="str">
        <f t="shared" si="45"/>
        <v/>
      </c>
      <c r="AF85" s="72" t="str">
        <f t="shared" si="62"/>
        <v/>
      </c>
      <c r="AG85" s="39"/>
      <c r="AH85" s="72" t="str">
        <f t="shared" si="46"/>
        <v/>
      </c>
      <c r="AI85" s="72" t="str">
        <f t="shared" si="63"/>
        <v/>
      </c>
      <c r="AJ85" s="39"/>
      <c r="AK85" s="72" t="str">
        <f t="shared" si="47"/>
        <v/>
      </c>
      <c r="AL85" s="72" t="str">
        <f t="shared" si="64"/>
        <v/>
      </c>
      <c r="AM85" s="39"/>
      <c r="AN85" s="72" t="str">
        <f t="shared" si="48"/>
        <v/>
      </c>
      <c r="AO85" s="72" t="str">
        <f t="shared" si="65"/>
        <v/>
      </c>
      <c r="AP85" s="39"/>
      <c r="AQ85" s="72" t="str">
        <f t="shared" si="49"/>
        <v/>
      </c>
      <c r="AR85" s="72" t="str">
        <f t="shared" si="66"/>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50"/>
        <v/>
      </c>
      <c r="AW85" s="72" t="str">
        <f t="shared" si="67"/>
        <v/>
      </c>
      <c r="AX85" s="39"/>
      <c r="AY85" s="40" t="str">
        <f>IF(ISERROR(IF($K85&lt;=$F$15,VLOOKUP($I85,'表4）CO2価格'!$A$7:$E$67,VLOOKUP($F$48,'表4）CO2価格'!$H$10:$I$12,2,0),0)*$F$8/1000,"")),0,IF($K85&lt;=$F$15,VLOOKUP($I85,'表4）CO2価格'!$A$7:$E$67,VLOOKUP($F$48,'表4）CO2価格'!$H$10:$I$12,2,0),0)*$F$8/1000,""))</f>
        <v/>
      </c>
      <c r="AZ85" s="39"/>
      <c r="BA85" s="42" t="str">
        <f t="shared" si="51"/>
        <v/>
      </c>
      <c r="BB85" s="72" t="str">
        <f t="shared" si="68"/>
        <v/>
      </c>
      <c r="BC85" s="39"/>
      <c r="BD85" s="72" t="str">
        <f t="shared" si="52"/>
        <v/>
      </c>
      <c r="BE85" s="72" t="str">
        <f t="shared" si="69"/>
        <v/>
      </c>
      <c r="BF85" s="39"/>
      <c r="BG85" s="42" t="str">
        <f t="shared" si="53"/>
        <v/>
      </c>
      <c r="BH85" s="72" t="str">
        <f t="shared" si="70"/>
        <v/>
      </c>
      <c r="BI85" s="39"/>
      <c r="BJ85" s="40" t="str">
        <f t="shared" si="71"/>
        <v/>
      </c>
      <c r="BK85" s="157" t="str">
        <f t="shared" si="72"/>
        <v/>
      </c>
      <c r="BL85" s="157" t="str">
        <f t="shared" si="54"/>
        <v/>
      </c>
      <c r="BM85" s="72"/>
      <c r="BN85" s="72" t="str">
        <f t="shared" si="73"/>
        <v/>
      </c>
      <c r="BO85" s="72" t="str">
        <f t="shared" si="74"/>
        <v/>
      </c>
      <c r="BP85" s="39"/>
      <c r="BQ85" s="72" t="str">
        <f t="shared" si="55"/>
        <v/>
      </c>
      <c r="BR85" s="72" t="str">
        <f t="shared" si="75"/>
        <v/>
      </c>
    </row>
    <row r="86" spans="4:70" x14ac:dyDescent="0.15">
      <c r="F86" s="487"/>
      <c r="I86" s="322">
        <f t="shared" si="76"/>
        <v>2101</v>
      </c>
      <c r="K86" s="71">
        <f t="shared" si="77"/>
        <v>72</v>
      </c>
      <c r="M86" s="7">
        <f t="shared" si="40"/>
        <v>0.1190473743404982</v>
      </c>
      <c r="O86" s="10" t="str">
        <f t="shared" si="56"/>
        <v/>
      </c>
      <c r="P86" s="29" t="str">
        <f t="shared" si="41"/>
        <v/>
      </c>
      <c r="R86" s="10" t="str">
        <f t="shared" si="57"/>
        <v/>
      </c>
      <c r="T86" s="10" t="str">
        <f t="shared" si="58"/>
        <v/>
      </c>
      <c r="V86" s="10" t="str">
        <f t="shared" si="42"/>
        <v/>
      </c>
      <c r="W86" s="10" t="str">
        <f t="shared" si="59"/>
        <v/>
      </c>
      <c r="Y86" s="10" t="str">
        <f t="shared" si="43"/>
        <v/>
      </c>
      <c r="Z86" s="10" t="str">
        <f t="shared" si="60"/>
        <v/>
      </c>
      <c r="AB86" s="10" t="str">
        <f t="shared" si="44"/>
        <v/>
      </c>
      <c r="AC86" s="10" t="str">
        <f t="shared" si="61"/>
        <v/>
      </c>
      <c r="AE86" s="10" t="str">
        <f t="shared" si="45"/>
        <v/>
      </c>
      <c r="AF86" s="10" t="str">
        <f t="shared" si="62"/>
        <v/>
      </c>
      <c r="AH86" s="10" t="str">
        <f t="shared" si="46"/>
        <v/>
      </c>
      <c r="AI86" s="10" t="str">
        <f t="shared" si="63"/>
        <v/>
      </c>
      <c r="AK86" s="10" t="str">
        <f t="shared" si="47"/>
        <v/>
      </c>
      <c r="AL86" s="10" t="str">
        <f t="shared" si="64"/>
        <v/>
      </c>
      <c r="AN86" s="10" t="str">
        <f t="shared" si="48"/>
        <v/>
      </c>
      <c r="AO86" s="10" t="str">
        <f t="shared" si="65"/>
        <v/>
      </c>
      <c r="AQ86" s="10" t="str">
        <f t="shared" si="49"/>
        <v/>
      </c>
      <c r="AR86" s="10" t="str">
        <f t="shared" si="66"/>
        <v/>
      </c>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V86" s="10" t="str">
        <f t="shared" si="50"/>
        <v/>
      </c>
      <c r="AW86" s="10" t="str">
        <f t="shared" si="67"/>
        <v/>
      </c>
      <c r="AY86" s="7" t="str">
        <f>IF(ISERROR(IF($K86&lt;=$F$15,VLOOKUP($I86,'表4）CO2価格'!$A$7:$E$67,VLOOKUP($F$48,'表4）CO2価格'!$H$10:$I$12,2,0),0)*$F$8/1000,"")),0,IF($K86&lt;=$F$15,VLOOKUP($I86,'表4）CO2価格'!$A$7:$E$67,VLOOKUP($F$48,'表4）CO2価格'!$H$10:$I$12,2,0),0)*$F$8/1000,""))</f>
        <v/>
      </c>
      <c r="BA86" s="11" t="str">
        <f t="shared" si="51"/>
        <v/>
      </c>
      <c r="BB86" s="10" t="str">
        <f t="shared" si="68"/>
        <v/>
      </c>
      <c r="BD86" s="10" t="str">
        <f t="shared" si="52"/>
        <v/>
      </c>
      <c r="BE86" s="10" t="str">
        <f t="shared" si="69"/>
        <v/>
      </c>
      <c r="BG86" s="11" t="str">
        <f t="shared" si="53"/>
        <v/>
      </c>
      <c r="BH86" s="10" t="str">
        <f t="shared" si="70"/>
        <v/>
      </c>
      <c r="BJ86" s="7" t="str">
        <f t="shared" si="71"/>
        <v/>
      </c>
      <c r="BK86" s="158" t="str">
        <f t="shared" si="72"/>
        <v/>
      </c>
      <c r="BL86" s="158" t="str">
        <f t="shared" si="54"/>
        <v/>
      </c>
      <c r="BM86" s="10"/>
      <c r="BN86" s="10" t="str">
        <f t="shared" si="73"/>
        <v/>
      </c>
      <c r="BO86" s="10" t="str">
        <f t="shared" si="74"/>
        <v/>
      </c>
      <c r="BQ86" s="10" t="str">
        <f t="shared" si="55"/>
        <v/>
      </c>
      <c r="BR86" s="10" t="str">
        <f t="shared" si="75"/>
        <v/>
      </c>
    </row>
    <row r="87" spans="4:70" x14ac:dyDescent="0.15">
      <c r="E87" s="84" t="s">
        <v>141</v>
      </c>
      <c r="F87" s="488">
        <f>AI116/$BR$116</f>
        <v>0.1217519859418088</v>
      </c>
      <c r="G87" s="84" t="s">
        <v>590</v>
      </c>
      <c r="I87" s="38">
        <f t="shared" si="76"/>
        <v>2102</v>
      </c>
      <c r="J87" s="39"/>
      <c r="K87" s="39">
        <f t="shared" si="77"/>
        <v>73</v>
      </c>
      <c r="L87" s="39"/>
      <c r="M87" s="40">
        <f t="shared" si="40"/>
        <v>0.11557997508786232</v>
      </c>
      <c r="N87" s="39"/>
      <c r="O87" s="72" t="str">
        <f t="shared" si="56"/>
        <v/>
      </c>
      <c r="P87" s="41" t="str">
        <f t="shared" si="41"/>
        <v/>
      </c>
      <c r="Q87" s="39"/>
      <c r="R87" s="72" t="str">
        <f t="shared" si="57"/>
        <v/>
      </c>
      <c r="S87" s="39"/>
      <c r="T87" s="72" t="str">
        <f t="shared" si="58"/>
        <v/>
      </c>
      <c r="U87" s="39"/>
      <c r="V87" s="72" t="str">
        <f t="shared" si="42"/>
        <v/>
      </c>
      <c r="W87" s="72" t="str">
        <f t="shared" si="59"/>
        <v/>
      </c>
      <c r="X87" s="39"/>
      <c r="Y87" s="72" t="str">
        <f t="shared" si="43"/>
        <v/>
      </c>
      <c r="Z87" s="72" t="str">
        <f t="shared" si="60"/>
        <v/>
      </c>
      <c r="AA87" s="39"/>
      <c r="AB87" s="72" t="str">
        <f t="shared" si="44"/>
        <v/>
      </c>
      <c r="AC87" s="72" t="str">
        <f t="shared" si="61"/>
        <v/>
      </c>
      <c r="AD87" s="39"/>
      <c r="AE87" s="72" t="str">
        <f t="shared" si="45"/>
        <v/>
      </c>
      <c r="AF87" s="72" t="str">
        <f t="shared" si="62"/>
        <v/>
      </c>
      <c r="AG87" s="39"/>
      <c r="AH87" s="72" t="str">
        <f t="shared" si="46"/>
        <v/>
      </c>
      <c r="AI87" s="72" t="str">
        <f t="shared" si="63"/>
        <v/>
      </c>
      <c r="AJ87" s="39"/>
      <c r="AK87" s="72" t="str">
        <f t="shared" si="47"/>
        <v/>
      </c>
      <c r="AL87" s="72" t="str">
        <f t="shared" si="64"/>
        <v/>
      </c>
      <c r="AM87" s="39"/>
      <c r="AN87" s="72" t="str">
        <f t="shared" si="48"/>
        <v/>
      </c>
      <c r="AO87" s="72" t="str">
        <f t="shared" si="65"/>
        <v/>
      </c>
      <c r="AP87" s="39"/>
      <c r="AQ87" s="72" t="str">
        <f t="shared" si="49"/>
        <v/>
      </c>
      <c r="AR87" s="72" t="str">
        <f t="shared" si="66"/>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50"/>
        <v/>
      </c>
      <c r="AW87" s="72" t="str">
        <f t="shared" si="67"/>
        <v/>
      </c>
      <c r="AX87" s="39"/>
      <c r="AY87" s="40" t="str">
        <f>IF(ISERROR(IF($K87&lt;=$F$15,VLOOKUP($I87,'表4）CO2価格'!$A$7:$E$67,VLOOKUP($F$48,'表4）CO2価格'!$H$10:$I$12,2,0),0)*$F$8/1000,"")),0,IF($K87&lt;=$F$15,VLOOKUP($I87,'表4）CO2価格'!$A$7:$E$67,VLOOKUP($F$48,'表4）CO2価格'!$H$10:$I$12,2,0),0)*$F$8/1000,""))</f>
        <v/>
      </c>
      <c r="AZ87" s="39"/>
      <c r="BA87" s="42" t="str">
        <f t="shared" si="51"/>
        <v/>
      </c>
      <c r="BB87" s="72" t="str">
        <f t="shared" si="68"/>
        <v/>
      </c>
      <c r="BC87" s="39"/>
      <c r="BD87" s="72" t="str">
        <f t="shared" si="52"/>
        <v/>
      </c>
      <c r="BE87" s="72" t="str">
        <f t="shared" si="69"/>
        <v/>
      </c>
      <c r="BF87" s="39"/>
      <c r="BG87" s="42" t="str">
        <f t="shared" si="53"/>
        <v/>
      </c>
      <c r="BH87" s="72" t="str">
        <f t="shared" si="70"/>
        <v/>
      </c>
      <c r="BI87" s="39"/>
      <c r="BJ87" s="40" t="str">
        <f t="shared" si="71"/>
        <v/>
      </c>
      <c r="BK87" s="157" t="str">
        <f t="shared" si="72"/>
        <v/>
      </c>
      <c r="BL87" s="157" t="str">
        <f t="shared" si="54"/>
        <v/>
      </c>
      <c r="BM87" s="72"/>
      <c r="BN87" s="72" t="str">
        <f t="shared" si="73"/>
        <v/>
      </c>
      <c r="BO87" s="72" t="str">
        <f t="shared" si="74"/>
        <v/>
      </c>
      <c r="BP87" s="39"/>
      <c r="BQ87" s="72" t="str">
        <f t="shared" si="55"/>
        <v/>
      </c>
      <c r="BR87" s="72" t="str">
        <f t="shared" si="75"/>
        <v/>
      </c>
    </row>
    <row r="88" spans="4:70" x14ac:dyDescent="0.15">
      <c r="E88" s="84" t="s">
        <v>120</v>
      </c>
      <c r="F88" s="488">
        <f>AL116/$BR$116</f>
        <v>0.65298339298984265</v>
      </c>
      <c r="G88" s="84" t="s">
        <v>590</v>
      </c>
      <c r="I88" s="322">
        <f t="shared" si="76"/>
        <v>2103</v>
      </c>
      <c r="K88" s="71">
        <f t="shared" si="77"/>
        <v>74</v>
      </c>
      <c r="M88" s="7">
        <f t="shared" si="40"/>
        <v>0.11221356804646829</v>
      </c>
      <c r="O88" s="10" t="str">
        <f t="shared" si="56"/>
        <v/>
      </c>
      <c r="P88" s="29" t="str">
        <f t="shared" si="41"/>
        <v/>
      </c>
      <c r="R88" s="10" t="str">
        <f t="shared" si="57"/>
        <v/>
      </c>
      <c r="T88" s="10" t="str">
        <f t="shared" si="58"/>
        <v/>
      </c>
      <c r="V88" s="10" t="str">
        <f t="shared" si="42"/>
        <v/>
      </c>
      <c r="W88" s="10" t="str">
        <f t="shared" si="59"/>
        <v/>
      </c>
      <c r="Y88" s="10" t="str">
        <f t="shared" si="43"/>
        <v/>
      </c>
      <c r="Z88" s="10" t="str">
        <f t="shared" si="60"/>
        <v/>
      </c>
      <c r="AB88" s="10" t="str">
        <f t="shared" si="44"/>
        <v/>
      </c>
      <c r="AC88" s="10" t="str">
        <f t="shared" si="61"/>
        <v/>
      </c>
      <c r="AE88" s="10" t="str">
        <f t="shared" si="45"/>
        <v/>
      </c>
      <c r="AF88" s="10" t="str">
        <f t="shared" si="62"/>
        <v/>
      </c>
      <c r="AH88" s="10" t="str">
        <f t="shared" si="46"/>
        <v/>
      </c>
      <c r="AI88" s="10" t="str">
        <f t="shared" si="63"/>
        <v/>
      </c>
      <c r="AK88" s="10" t="str">
        <f t="shared" si="47"/>
        <v/>
      </c>
      <c r="AL88" s="10" t="str">
        <f t="shared" si="64"/>
        <v/>
      </c>
      <c r="AN88" s="10" t="str">
        <f t="shared" si="48"/>
        <v/>
      </c>
      <c r="AO88" s="10" t="str">
        <f t="shared" si="65"/>
        <v/>
      </c>
      <c r="AQ88" s="10" t="str">
        <f t="shared" si="49"/>
        <v/>
      </c>
      <c r="AR88" s="10" t="str">
        <f t="shared" si="66"/>
        <v/>
      </c>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V88" s="10" t="str">
        <f t="shared" si="50"/>
        <v/>
      </c>
      <c r="AW88" s="10" t="str">
        <f t="shared" si="67"/>
        <v/>
      </c>
      <c r="AY88" s="7" t="str">
        <f>IF(ISERROR(IF($K88&lt;=$F$15,VLOOKUP($I88,'表4）CO2価格'!$A$7:$E$67,VLOOKUP($F$48,'表4）CO2価格'!$H$10:$I$12,2,0),0)*$F$8/1000,"")),0,IF($K88&lt;=$F$15,VLOOKUP($I88,'表4）CO2価格'!$A$7:$E$67,VLOOKUP($F$48,'表4）CO2価格'!$H$10:$I$12,2,0),0)*$F$8/1000,""))</f>
        <v/>
      </c>
      <c r="BA88" s="11" t="str">
        <f t="shared" si="51"/>
        <v/>
      </c>
      <c r="BB88" s="10" t="str">
        <f t="shared" si="68"/>
        <v/>
      </c>
      <c r="BD88" s="10" t="str">
        <f t="shared" si="52"/>
        <v/>
      </c>
      <c r="BE88" s="10" t="str">
        <f t="shared" si="69"/>
        <v/>
      </c>
      <c r="BG88" s="11" t="str">
        <f t="shared" si="53"/>
        <v/>
      </c>
      <c r="BH88" s="10" t="str">
        <f t="shared" si="70"/>
        <v/>
      </c>
      <c r="BJ88" s="7" t="str">
        <f t="shared" si="71"/>
        <v/>
      </c>
      <c r="BK88" s="158" t="str">
        <f t="shared" si="72"/>
        <v/>
      </c>
      <c r="BL88" s="158" t="str">
        <f t="shared" si="54"/>
        <v/>
      </c>
      <c r="BM88" s="10"/>
      <c r="BN88" s="10" t="str">
        <f t="shared" si="73"/>
        <v/>
      </c>
      <c r="BO88" s="10" t="str">
        <f t="shared" si="74"/>
        <v/>
      </c>
      <c r="BQ88" s="10" t="str">
        <f t="shared" si="55"/>
        <v/>
      </c>
      <c r="BR88" s="10" t="str">
        <f t="shared" si="75"/>
        <v/>
      </c>
    </row>
    <row r="89" spans="4:70" x14ac:dyDescent="0.15">
      <c r="E89" s="84" t="s">
        <v>122</v>
      </c>
      <c r="F89" s="488">
        <f>AO116/$BR$116</f>
        <v>0.29928405512034451</v>
      </c>
      <c r="G89" s="84" t="s">
        <v>590</v>
      </c>
      <c r="I89" s="38">
        <f t="shared" si="76"/>
        <v>2104</v>
      </c>
      <c r="J89" s="39"/>
      <c r="K89" s="39">
        <f t="shared" si="77"/>
        <v>75</v>
      </c>
      <c r="L89" s="39"/>
      <c r="M89" s="40">
        <f t="shared" si="40"/>
        <v>0.10894521169560026</v>
      </c>
      <c r="N89" s="39"/>
      <c r="O89" s="72" t="str">
        <f t="shared" si="56"/>
        <v/>
      </c>
      <c r="P89" s="41" t="str">
        <f t="shared" si="41"/>
        <v/>
      </c>
      <c r="Q89" s="39"/>
      <c r="R89" s="72" t="str">
        <f t="shared" si="57"/>
        <v/>
      </c>
      <c r="S89" s="39"/>
      <c r="T89" s="72" t="str">
        <f t="shared" si="58"/>
        <v/>
      </c>
      <c r="U89" s="39"/>
      <c r="V89" s="72" t="str">
        <f t="shared" si="42"/>
        <v/>
      </c>
      <c r="W89" s="72" t="str">
        <f t="shared" si="59"/>
        <v/>
      </c>
      <c r="X89" s="39"/>
      <c r="Y89" s="72" t="str">
        <f t="shared" si="43"/>
        <v/>
      </c>
      <c r="Z89" s="72" t="str">
        <f t="shared" si="60"/>
        <v/>
      </c>
      <c r="AA89" s="39"/>
      <c r="AB89" s="72" t="str">
        <f t="shared" si="44"/>
        <v/>
      </c>
      <c r="AC89" s="72" t="str">
        <f t="shared" si="61"/>
        <v/>
      </c>
      <c r="AD89" s="39"/>
      <c r="AE89" s="72" t="str">
        <f t="shared" si="45"/>
        <v/>
      </c>
      <c r="AF89" s="72" t="str">
        <f t="shared" si="62"/>
        <v/>
      </c>
      <c r="AG89" s="39"/>
      <c r="AH89" s="72" t="str">
        <f t="shared" si="46"/>
        <v/>
      </c>
      <c r="AI89" s="72" t="str">
        <f t="shared" si="63"/>
        <v/>
      </c>
      <c r="AJ89" s="39"/>
      <c r="AK89" s="72" t="str">
        <f t="shared" si="47"/>
        <v/>
      </c>
      <c r="AL89" s="72" t="str">
        <f t="shared" si="64"/>
        <v/>
      </c>
      <c r="AM89" s="39"/>
      <c r="AN89" s="72" t="str">
        <f t="shared" si="48"/>
        <v/>
      </c>
      <c r="AO89" s="72" t="str">
        <f t="shared" si="65"/>
        <v/>
      </c>
      <c r="AP89" s="39"/>
      <c r="AQ89" s="72" t="str">
        <f t="shared" si="49"/>
        <v/>
      </c>
      <c r="AR89" s="72" t="str">
        <f t="shared" si="66"/>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50"/>
        <v/>
      </c>
      <c r="AW89" s="72" t="str">
        <f t="shared" si="67"/>
        <v/>
      </c>
      <c r="AX89" s="39"/>
      <c r="AY89" s="40" t="str">
        <f>IF(ISERROR(IF($K89&lt;=$F$15,VLOOKUP($I89,'表4）CO2価格'!$A$7:$E$67,VLOOKUP($F$48,'表4）CO2価格'!$H$10:$I$12,2,0),0)*$F$8/1000,"")),0,IF($K89&lt;=$F$15,VLOOKUP($I89,'表4）CO2価格'!$A$7:$E$67,VLOOKUP($F$48,'表4）CO2価格'!$H$10:$I$12,2,0),0)*$F$8/1000,""))</f>
        <v/>
      </c>
      <c r="AZ89" s="39"/>
      <c r="BA89" s="42" t="str">
        <f t="shared" si="51"/>
        <v/>
      </c>
      <c r="BB89" s="72" t="str">
        <f t="shared" si="68"/>
        <v/>
      </c>
      <c r="BC89" s="39"/>
      <c r="BD89" s="72" t="str">
        <f t="shared" si="52"/>
        <v/>
      </c>
      <c r="BE89" s="72" t="str">
        <f t="shared" si="69"/>
        <v/>
      </c>
      <c r="BF89" s="39"/>
      <c r="BG89" s="42" t="str">
        <f t="shared" si="53"/>
        <v/>
      </c>
      <c r="BH89" s="72" t="str">
        <f t="shared" si="70"/>
        <v/>
      </c>
      <c r="BI89" s="39"/>
      <c r="BJ89" s="40" t="str">
        <f t="shared" si="71"/>
        <v/>
      </c>
      <c r="BK89" s="157" t="str">
        <f t="shared" si="72"/>
        <v/>
      </c>
      <c r="BL89" s="157" t="str">
        <f t="shared" si="54"/>
        <v/>
      </c>
      <c r="BM89" s="72"/>
      <c r="BN89" s="72" t="str">
        <f t="shared" si="73"/>
        <v/>
      </c>
      <c r="BO89" s="72" t="str">
        <f t="shared" si="74"/>
        <v/>
      </c>
      <c r="BP89" s="39"/>
      <c r="BQ89" s="72" t="str">
        <f t="shared" si="55"/>
        <v/>
      </c>
      <c r="BR89" s="72" t="str">
        <f t="shared" si="75"/>
        <v/>
      </c>
    </row>
    <row r="90" spans="4:70" x14ac:dyDescent="0.15">
      <c r="E90" s="84" t="s">
        <v>142</v>
      </c>
      <c r="F90" s="488">
        <f>AR116/$BR$116</f>
        <v>0.1288823320862395</v>
      </c>
      <c r="G90" s="84" t="s">
        <v>590</v>
      </c>
      <c r="I90" s="322">
        <f t="shared" si="76"/>
        <v>2105</v>
      </c>
      <c r="K90" s="71">
        <f t="shared" si="77"/>
        <v>76</v>
      </c>
      <c r="M90" s="7">
        <f t="shared" si="40"/>
        <v>0.10577205018990318</v>
      </c>
      <c r="O90" s="10" t="str">
        <f t="shared" si="56"/>
        <v/>
      </c>
      <c r="P90" s="29" t="str">
        <f t="shared" si="41"/>
        <v/>
      </c>
      <c r="R90" s="10" t="str">
        <f t="shared" si="57"/>
        <v/>
      </c>
      <c r="T90" s="10" t="str">
        <f t="shared" si="58"/>
        <v/>
      </c>
      <c r="V90" s="10" t="str">
        <f t="shared" si="42"/>
        <v/>
      </c>
      <c r="W90" s="10" t="str">
        <f t="shared" si="59"/>
        <v/>
      </c>
      <c r="Y90" s="10" t="str">
        <f t="shared" si="43"/>
        <v/>
      </c>
      <c r="Z90" s="10" t="str">
        <f t="shared" si="60"/>
        <v/>
      </c>
      <c r="AB90" s="10" t="str">
        <f t="shared" si="44"/>
        <v/>
      </c>
      <c r="AC90" s="10" t="str">
        <f t="shared" si="61"/>
        <v/>
      </c>
      <c r="AE90" s="10" t="str">
        <f t="shared" si="45"/>
        <v/>
      </c>
      <c r="AF90" s="10" t="str">
        <f t="shared" si="62"/>
        <v/>
      </c>
      <c r="AH90" s="10" t="str">
        <f t="shared" si="46"/>
        <v/>
      </c>
      <c r="AI90" s="10" t="str">
        <f t="shared" si="63"/>
        <v/>
      </c>
      <c r="AK90" s="10" t="str">
        <f t="shared" si="47"/>
        <v/>
      </c>
      <c r="AL90" s="10" t="str">
        <f t="shared" si="64"/>
        <v/>
      </c>
      <c r="AN90" s="10" t="str">
        <f t="shared" si="48"/>
        <v/>
      </c>
      <c r="AO90" s="10" t="str">
        <f t="shared" si="65"/>
        <v/>
      </c>
      <c r="AQ90" s="10" t="str">
        <f t="shared" si="49"/>
        <v/>
      </c>
      <c r="AR90" s="10" t="str">
        <f t="shared" si="66"/>
        <v/>
      </c>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V90" s="10" t="str">
        <f t="shared" si="50"/>
        <v/>
      </c>
      <c r="AW90" s="10" t="str">
        <f t="shared" si="67"/>
        <v/>
      </c>
      <c r="AY90" s="7" t="str">
        <f>IF(ISERROR(IF($K90&lt;=$F$15,VLOOKUP($I90,'表4）CO2価格'!$A$7:$E$67,VLOOKUP($F$48,'表4）CO2価格'!$H$10:$I$12,2,0),0)*$F$8/1000,"")),0,IF($K90&lt;=$F$15,VLOOKUP($I90,'表4）CO2価格'!$A$7:$E$67,VLOOKUP($F$48,'表4）CO2価格'!$H$10:$I$12,2,0),0)*$F$8/1000,""))</f>
        <v/>
      </c>
      <c r="BA90" s="11" t="str">
        <f t="shared" si="51"/>
        <v/>
      </c>
      <c r="BB90" s="10" t="str">
        <f t="shared" si="68"/>
        <v/>
      </c>
      <c r="BD90" s="10" t="str">
        <f t="shared" si="52"/>
        <v/>
      </c>
      <c r="BE90" s="10" t="str">
        <f t="shared" si="69"/>
        <v/>
      </c>
      <c r="BG90" s="11" t="str">
        <f t="shared" si="53"/>
        <v/>
      </c>
      <c r="BH90" s="10" t="str">
        <f t="shared" si="70"/>
        <v/>
      </c>
      <c r="BJ90" s="7" t="str">
        <f t="shared" si="71"/>
        <v/>
      </c>
      <c r="BK90" s="158" t="str">
        <f t="shared" si="72"/>
        <v/>
      </c>
      <c r="BL90" s="158" t="str">
        <f t="shared" si="54"/>
        <v/>
      </c>
      <c r="BM90" s="10"/>
      <c r="BN90" s="10" t="str">
        <f t="shared" si="73"/>
        <v/>
      </c>
      <c r="BO90" s="10" t="str">
        <f t="shared" si="74"/>
        <v/>
      </c>
      <c r="BQ90" s="10" t="str">
        <f t="shared" si="55"/>
        <v/>
      </c>
      <c r="BR90" s="10" t="str">
        <f t="shared" si="75"/>
        <v/>
      </c>
    </row>
    <row r="91" spans="4:70" x14ac:dyDescent="0.15">
      <c r="F91" s="487"/>
      <c r="I91" s="38">
        <f t="shared" si="76"/>
        <v>2106</v>
      </c>
      <c r="J91" s="39"/>
      <c r="K91" s="39">
        <f t="shared" si="77"/>
        <v>77</v>
      </c>
      <c r="L91" s="39"/>
      <c r="M91" s="40">
        <f t="shared" si="40"/>
        <v>0.10269131086398368</v>
      </c>
      <c r="N91" s="39"/>
      <c r="O91" s="72" t="str">
        <f t="shared" si="56"/>
        <v/>
      </c>
      <c r="P91" s="41" t="str">
        <f t="shared" si="41"/>
        <v/>
      </c>
      <c r="Q91" s="39"/>
      <c r="R91" s="72" t="str">
        <f t="shared" si="57"/>
        <v/>
      </c>
      <c r="S91" s="39"/>
      <c r="T91" s="72" t="str">
        <f t="shared" si="58"/>
        <v/>
      </c>
      <c r="U91" s="39"/>
      <c r="V91" s="72" t="str">
        <f t="shared" si="42"/>
        <v/>
      </c>
      <c r="W91" s="72" t="str">
        <f t="shared" si="59"/>
        <v/>
      </c>
      <c r="X91" s="39"/>
      <c r="Y91" s="72" t="str">
        <f t="shared" si="43"/>
        <v/>
      </c>
      <c r="Z91" s="72" t="str">
        <f t="shared" si="60"/>
        <v/>
      </c>
      <c r="AA91" s="39"/>
      <c r="AB91" s="72" t="str">
        <f t="shared" si="44"/>
        <v/>
      </c>
      <c r="AC91" s="72" t="str">
        <f t="shared" si="61"/>
        <v/>
      </c>
      <c r="AD91" s="39"/>
      <c r="AE91" s="72" t="str">
        <f t="shared" si="45"/>
        <v/>
      </c>
      <c r="AF91" s="72" t="str">
        <f t="shared" si="62"/>
        <v/>
      </c>
      <c r="AG91" s="39"/>
      <c r="AH91" s="72" t="str">
        <f t="shared" si="46"/>
        <v/>
      </c>
      <c r="AI91" s="72" t="str">
        <f t="shared" si="63"/>
        <v/>
      </c>
      <c r="AJ91" s="39"/>
      <c r="AK91" s="72" t="str">
        <f t="shared" si="47"/>
        <v/>
      </c>
      <c r="AL91" s="72" t="str">
        <f t="shared" si="64"/>
        <v/>
      </c>
      <c r="AM91" s="39"/>
      <c r="AN91" s="72" t="str">
        <f t="shared" si="48"/>
        <v/>
      </c>
      <c r="AO91" s="72" t="str">
        <f t="shared" si="65"/>
        <v/>
      </c>
      <c r="AP91" s="39"/>
      <c r="AQ91" s="72" t="str">
        <f t="shared" si="49"/>
        <v/>
      </c>
      <c r="AR91" s="72" t="str">
        <f t="shared" si="66"/>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50"/>
        <v/>
      </c>
      <c r="AW91" s="72" t="str">
        <f t="shared" si="67"/>
        <v/>
      </c>
      <c r="AX91" s="39"/>
      <c r="AY91" s="40" t="str">
        <f>IF(ISERROR(IF($K91&lt;=$F$15,VLOOKUP($I91,'表4）CO2価格'!$A$7:$E$67,VLOOKUP($F$48,'表4）CO2価格'!$H$10:$I$12,2,0),0)*$F$8/1000,"")),0,IF($K91&lt;=$F$15,VLOOKUP($I91,'表4）CO2価格'!$A$7:$E$67,VLOOKUP($F$48,'表4）CO2価格'!$H$10:$I$12,2,0),0)*$F$8/1000,""))</f>
        <v/>
      </c>
      <c r="AZ91" s="39"/>
      <c r="BA91" s="42" t="str">
        <f t="shared" si="51"/>
        <v/>
      </c>
      <c r="BB91" s="72" t="str">
        <f t="shared" si="68"/>
        <v/>
      </c>
      <c r="BC91" s="39"/>
      <c r="BD91" s="72" t="str">
        <f t="shared" si="52"/>
        <v/>
      </c>
      <c r="BE91" s="72" t="str">
        <f t="shared" si="69"/>
        <v/>
      </c>
      <c r="BF91" s="39"/>
      <c r="BG91" s="42" t="str">
        <f t="shared" si="53"/>
        <v/>
      </c>
      <c r="BH91" s="72" t="str">
        <f t="shared" si="70"/>
        <v/>
      </c>
      <c r="BI91" s="39"/>
      <c r="BJ91" s="40" t="str">
        <f t="shared" si="71"/>
        <v/>
      </c>
      <c r="BK91" s="157" t="str">
        <f t="shared" si="72"/>
        <v/>
      </c>
      <c r="BL91" s="157" t="str">
        <f t="shared" si="54"/>
        <v/>
      </c>
      <c r="BM91" s="72"/>
      <c r="BN91" s="72" t="str">
        <f t="shared" si="73"/>
        <v/>
      </c>
      <c r="BO91" s="72" t="str">
        <f t="shared" si="74"/>
        <v/>
      </c>
      <c r="BP91" s="39"/>
      <c r="BQ91" s="72" t="str">
        <f t="shared" si="55"/>
        <v/>
      </c>
      <c r="BR91" s="72" t="str">
        <f t="shared" si="75"/>
        <v/>
      </c>
    </row>
    <row r="92" spans="4:70" ht="15" x14ac:dyDescent="0.15">
      <c r="D92" s="103" t="s">
        <v>595</v>
      </c>
      <c r="F92" s="484">
        <f>SUBTOTAL(9,F96:F97)</f>
        <v>18.851220776146402</v>
      </c>
      <c r="I92" s="322">
        <f t="shared" si="76"/>
        <v>2107</v>
      </c>
      <c r="K92" s="71">
        <f t="shared" si="77"/>
        <v>78</v>
      </c>
      <c r="M92" s="7">
        <f t="shared" si="40"/>
        <v>9.9700301809692873E-2</v>
      </c>
      <c r="O92" s="10" t="str">
        <f t="shared" si="56"/>
        <v/>
      </c>
      <c r="P92" s="29" t="str">
        <f t="shared" si="41"/>
        <v/>
      </c>
      <c r="R92" s="10" t="str">
        <f t="shared" si="57"/>
        <v/>
      </c>
      <c r="T92" s="10" t="str">
        <f t="shared" si="58"/>
        <v/>
      </c>
      <c r="V92" s="10" t="str">
        <f t="shared" si="42"/>
        <v/>
      </c>
      <c r="W92" s="10" t="str">
        <f t="shared" si="59"/>
        <v/>
      </c>
      <c r="Y92" s="10" t="str">
        <f t="shared" si="43"/>
        <v/>
      </c>
      <c r="Z92" s="10" t="str">
        <f t="shared" si="60"/>
        <v/>
      </c>
      <c r="AB92" s="10" t="str">
        <f t="shared" si="44"/>
        <v/>
      </c>
      <c r="AC92" s="10" t="str">
        <f t="shared" si="61"/>
        <v/>
      </c>
      <c r="AE92" s="10" t="str">
        <f t="shared" si="45"/>
        <v/>
      </c>
      <c r="AF92" s="10" t="str">
        <f t="shared" si="62"/>
        <v/>
      </c>
      <c r="AH92" s="10" t="str">
        <f t="shared" si="46"/>
        <v/>
      </c>
      <c r="AI92" s="10" t="str">
        <f t="shared" si="63"/>
        <v/>
      </c>
      <c r="AK92" s="10" t="str">
        <f t="shared" si="47"/>
        <v/>
      </c>
      <c r="AL92" s="10" t="str">
        <f t="shared" si="64"/>
        <v/>
      </c>
      <c r="AN92" s="10" t="str">
        <f t="shared" si="48"/>
        <v/>
      </c>
      <c r="AO92" s="10" t="str">
        <f t="shared" si="65"/>
        <v/>
      </c>
      <c r="AQ92" s="10" t="str">
        <f t="shared" si="49"/>
        <v/>
      </c>
      <c r="AR92" s="10" t="str">
        <f t="shared" si="66"/>
        <v/>
      </c>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V92" s="10" t="str">
        <f t="shared" si="50"/>
        <v/>
      </c>
      <c r="AW92" s="10" t="str">
        <f t="shared" si="67"/>
        <v/>
      </c>
      <c r="AY92" s="7" t="str">
        <f>IF(ISERROR(IF($K92&lt;=$F$15,VLOOKUP($I92,'表4）CO2価格'!$A$7:$E$67,VLOOKUP($F$48,'表4）CO2価格'!$H$10:$I$12,2,0),0)*$F$8/1000,"")),0,IF($K92&lt;=$F$15,VLOOKUP($I92,'表4）CO2価格'!$A$7:$E$67,VLOOKUP($F$48,'表4）CO2価格'!$H$10:$I$12,2,0),0)*$F$8/1000,""))</f>
        <v/>
      </c>
      <c r="BA92" s="11" t="str">
        <f t="shared" si="51"/>
        <v/>
      </c>
      <c r="BB92" s="10" t="str">
        <f t="shared" si="68"/>
        <v/>
      </c>
      <c r="BD92" s="10" t="str">
        <f t="shared" si="52"/>
        <v/>
      </c>
      <c r="BE92" s="10" t="str">
        <f t="shared" si="69"/>
        <v/>
      </c>
      <c r="BG92" s="11" t="str">
        <f t="shared" si="53"/>
        <v/>
      </c>
      <c r="BH92" s="10" t="str">
        <f t="shared" si="70"/>
        <v/>
      </c>
      <c r="BJ92" s="7" t="str">
        <f t="shared" si="71"/>
        <v/>
      </c>
      <c r="BK92" s="158" t="str">
        <f t="shared" si="72"/>
        <v/>
      </c>
      <c r="BL92" s="158" t="str">
        <f t="shared" si="54"/>
        <v/>
      </c>
      <c r="BM92" s="10"/>
      <c r="BN92" s="10" t="str">
        <f t="shared" si="73"/>
        <v/>
      </c>
      <c r="BO92" s="10" t="str">
        <f t="shared" si="74"/>
        <v/>
      </c>
      <c r="BQ92" s="10" t="str">
        <f t="shared" si="55"/>
        <v/>
      </c>
      <c r="BR92" s="10" t="str">
        <f t="shared" si="75"/>
        <v/>
      </c>
    </row>
    <row r="93" spans="4:70" ht="15" x14ac:dyDescent="0.15">
      <c r="D93" s="103"/>
      <c r="F93" s="487"/>
      <c r="I93" s="38">
        <f t="shared" si="76"/>
        <v>2108</v>
      </c>
      <c r="J93" s="39"/>
      <c r="K93" s="39">
        <f t="shared" si="77"/>
        <v>79</v>
      </c>
      <c r="L93" s="39"/>
      <c r="M93" s="40">
        <f t="shared" si="40"/>
        <v>9.679640952397367E-2</v>
      </c>
      <c r="N93" s="39"/>
      <c r="O93" s="72" t="str">
        <f t="shared" si="56"/>
        <v/>
      </c>
      <c r="P93" s="41" t="str">
        <f t="shared" si="41"/>
        <v/>
      </c>
      <c r="Q93" s="39"/>
      <c r="R93" s="72" t="str">
        <f t="shared" si="57"/>
        <v/>
      </c>
      <c r="S93" s="39"/>
      <c r="T93" s="72" t="str">
        <f t="shared" si="58"/>
        <v/>
      </c>
      <c r="U93" s="39"/>
      <c r="V93" s="72" t="str">
        <f t="shared" si="42"/>
        <v/>
      </c>
      <c r="W93" s="72" t="str">
        <f t="shared" si="59"/>
        <v/>
      </c>
      <c r="X93" s="39"/>
      <c r="Y93" s="72" t="str">
        <f t="shared" si="43"/>
        <v/>
      </c>
      <c r="Z93" s="72" t="str">
        <f t="shared" si="60"/>
        <v/>
      </c>
      <c r="AA93" s="39"/>
      <c r="AB93" s="72" t="str">
        <f t="shared" si="44"/>
        <v/>
      </c>
      <c r="AC93" s="72" t="str">
        <f t="shared" si="61"/>
        <v/>
      </c>
      <c r="AD93" s="39"/>
      <c r="AE93" s="72" t="str">
        <f t="shared" si="45"/>
        <v/>
      </c>
      <c r="AF93" s="72" t="str">
        <f t="shared" si="62"/>
        <v/>
      </c>
      <c r="AG93" s="39"/>
      <c r="AH93" s="72" t="str">
        <f t="shared" si="46"/>
        <v/>
      </c>
      <c r="AI93" s="72" t="str">
        <f t="shared" si="63"/>
        <v/>
      </c>
      <c r="AJ93" s="39"/>
      <c r="AK93" s="72" t="str">
        <f t="shared" si="47"/>
        <v/>
      </c>
      <c r="AL93" s="72" t="str">
        <f t="shared" si="64"/>
        <v/>
      </c>
      <c r="AM93" s="39"/>
      <c r="AN93" s="72" t="str">
        <f t="shared" si="48"/>
        <v/>
      </c>
      <c r="AO93" s="72" t="str">
        <f t="shared" si="65"/>
        <v/>
      </c>
      <c r="AP93" s="39"/>
      <c r="AQ93" s="72" t="str">
        <f t="shared" si="49"/>
        <v/>
      </c>
      <c r="AR93" s="72" t="str">
        <f t="shared" si="66"/>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50"/>
        <v/>
      </c>
      <c r="AW93" s="72" t="str">
        <f t="shared" si="67"/>
        <v/>
      </c>
      <c r="AX93" s="39"/>
      <c r="AY93" s="40" t="str">
        <f>IF(ISERROR(IF($K93&lt;=$F$15,VLOOKUP($I93,'表4）CO2価格'!$A$7:$E$67,VLOOKUP($F$48,'表4）CO2価格'!$H$10:$I$12,2,0),0)*$F$8/1000,"")),0,IF($K93&lt;=$F$15,VLOOKUP($I93,'表4）CO2価格'!$A$7:$E$67,VLOOKUP($F$48,'表4）CO2価格'!$H$10:$I$12,2,0),0)*$F$8/1000,""))</f>
        <v/>
      </c>
      <c r="AZ93" s="39"/>
      <c r="BA93" s="42" t="str">
        <f t="shared" si="51"/>
        <v/>
      </c>
      <c r="BB93" s="72" t="str">
        <f t="shared" si="68"/>
        <v/>
      </c>
      <c r="BC93" s="39"/>
      <c r="BD93" s="72" t="str">
        <f t="shared" si="52"/>
        <v/>
      </c>
      <c r="BE93" s="72" t="str">
        <f t="shared" si="69"/>
        <v/>
      </c>
      <c r="BF93" s="39"/>
      <c r="BG93" s="42" t="str">
        <f t="shared" si="53"/>
        <v/>
      </c>
      <c r="BH93" s="72" t="str">
        <f t="shared" si="70"/>
        <v/>
      </c>
      <c r="BI93" s="39"/>
      <c r="BJ93" s="40" t="str">
        <f t="shared" si="71"/>
        <v/>
      </c>
      <c r="BK93" s="157" t="str">
        <f t="shared" si="72"/>
        <v/>
      </c>
      <c r="BL93" s="157" t="str">
        <f t="shared" si="54"/>
        <v/>
      </c>
      <c r="BM93" s="72"/>
      <c r="BN93" s="72" t="str">
        <f t="shared" si="73"/>
        <v/>
      </c>
      <c r="BO93" s="72" t="str">
        <f t="shared" si="74"/>
        <v/>
      </c>
      <c r="BP93" s="39"/>
      <c r="BQ93" s="72" t="str">
        <f t="shared" si="55"/>
        <v/>
      </c>
      <c r="BR93" s="72" t="str">
        <f t="shared" si="75"/>
        <v/>
      </c>
    </row>
    <row r="94" spans="4:70" x14ac:dyDescent="0.15">
      <c r="D94" s="100" t="s">
        <v>596</v>
      </c>
      <c r="E94" s="100"/>
      <c r="F94" s="486"/>
      <c r="G94" s="100"/>
      <c r="I94" s="322">
        <f t="shared" si="76"/>
        <v>2109</v>
      </c>
      <c r="K94" s="71">
        <f t="shared" si="77"/>
        <v>80</v>
      </c>
      <c r="M94" s="7">
        <f t="shared" si="40"/>
        <v>9.3977096625217166E-2</v>
      </c>
      <c r="O94" s="10" t="str">
        <f t="shared" si="56"/>
        <v/>
      </c>
      <c r="P94" s="29" t="str">
        <f t="shared" si="41"/>
        <v/>
      </c>
      <c r="R94" s="10" t="str">
        <f t="shared" si="57"/>
        <v/>
      </c>
      <c r="T94" s="10" t="str">
        <f t="shared" si="58"/>
        <v/>
      </c>
      <c r="V94" s="10" t="str">
        <f t="shared" si="42"/>
        <v/>
      </c>
      <c r="W94" s="10" t="str">
        <f t="shared" si="59"/>
        <v/>
      </c>
      <c r="Y94" s="10" t="str">
        <f t="shared" si="43"/>
        <v/>
      </c>
      <c r="Z94" s="10" t="str">
        <f t="shared" si="60"/>
        <v/>
      </c>
      <c r="AB94" s="10" t="str">
        <f t="shared" si="44"/>
        <v/>
      </c>
      <c r="AC94" s="10" t="str">
        <f t="shared" si="61"/>
        <v/>
      </c>
      <c r="AE94" s="10" t="str">
        <f t="shared" si="45"/>
        <v/>
      </c>
      <c r="AF94" s="10" t="str">
        <f t="shared" si="62"/>
        <v/>
      </c>
      <c r="AH94" s="10" t="str">
        <f t="shared" si="46"/>
        <v/>
      </c>
      <c r="AI94" s="10" t="str">
        <f t="shared" si="63"/>
        <v/>
      </c>
      <c r="AK94" s="10" t="str">
        <f t="shared" si="47"/>
        <v/>
      </c>
      <c r="AL94" s="10" t="str">
        <f t="shared" si="64"/>
        <v/>
      </c>
      <c r="AN94" s="10" t="str">
        <f t="shared" si="48"/>
        <v/>
      </c>
      <c r="AO94" s="10" t="str">
        <f t="shared" si="65"/>
        <v/>
      </c>
      <c r="AQ94" s="10" t="str">
        <f t="shared" si="49"/>
        <v/>
      </c>
      <c r="AR94" s="10" t="str">
        <f t="shared" si="66"/>
        <v/>
      </c>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V94" s="10" t="str">
        <f t="shared" si="50"/>
        <v/>
      </c>
      <c r="AW94" s="10" t="str">
        <f t="shared" si="67"/>
        <v/>
      </c>
      <c r="AY94" s="7" t="str">
        <f>IF(ISERROR(IF($K94&lt;=$F$15,VLOOKUP($I94,'表4）CO2価格'!$A$7:$E$67,VLOOKUP($F$48,'表4）CO2価格'!$H$10:$I$12,2,0),0)*$F$8/1000,"")),0,IF($K94&lt;=$F$15,VLOOKUP($I94,'表4）CO2価格'!$A$7:$E$67,VLOOKUP($F$48,'表4）CO2価格'!$H$10:$I$12,2,0),0)*$F$8/1000,""))</f>
        <v/>
      </c>
      <c r="BA94" s="11" t="str">
        <f t="shared" si="51"/>
        <v/>
      </c>
      <c r="BB94" s="10" t="str">
        <f t="shared" si="68"/>
        <v/>
      </c>
      <c r="BD94" s="10" t="str">
        <f t="shared" si="52"/>
        <v/>
      </c>
      <c r="BE94" s="10" t="str">
        <f t="shared" si="69"/>
        <v/>
      </c>
      <c r="BG94" s="11" t="str">
        <f t="shared" si="53"/>
        <v/>
      </c>
      <c r="BH94" s="10" t="str">
        <f t="shared" si="70"/>
        <v/>
      </c>
      <c r="BJ94" s="7" t="str">
        <f t="shared" si="71"/>
        <v/>
      </c>
      <c r="BK94" s="158" t="str">
        <f t="shared" si="72"/>
        <v/>
      </c>
      <c r="BL94" s="158" t="str">
        <f t="shared" si="54"/>
        <v/>
      </c>
      <c r="BM94" s="10"/>
      <c r="BN94" s="10" t="str">
        <f t="shared" si="73"/>
        <v/>
      </c>
      <c r="BO94" s="10" t="str">
        <f t="shared" si="74"/>
        <v/>
      </c>
      <c r="BQ94" s="10" t="str">
        <f t="shared" si="55"/>
        <v/>
      </c>
      <c r="BR94" s="10" t="str">
        <f t="shared" si="75"/>
        <v/>
      </c>
    </row>
    <row r="95" spans="4:70" ht="15" x14ac:dyDescent="0.15">
      <c r="D95" s="103"/>
      <c r="F95" s="487"/>
      <c r="I95" s="38">
        <f t="shared" si="76"/>
        <v>2110</v>
      </c>
      <c r="J95" s="39"/>
      <c r="K95" s="39">
        <f t="shared" si="77"/>
        <v>81</v>
      </c>
      <c r="L95" s="39"/>
      <c r="M95" s="40">
        <f t="shared" si="40"/>
        <v>9.1239899636133173E-2</v>
      </c>
      <c r="N95" s="39"/>
      <c r="O95" s="72" t="str">
        <f t="shared" si="56"/>
        <v/>
      </c>
      <c r="P95" s="41" t="str">
        <f t="shared" si="41"/>
        <v/>
      </c>
      <c r="Q95" s="39"/>
      <c r="R95" s="72" t="str">
        <f t="shared" si="57"/>
        <v/>
      </c>
      <c r="S95" s="39"/>
      <c r="T95" s="72" t="str">
        <f t="shared" si="58"/>
        <v/>
      </c>
      <c r="U95" s="39"/>
      <c r="V95" s="72" t="str">
        <f t="shared" si="42"/>
        <v/>
      </c>
      <c r="W95" s="72" t="str">
        <f t="shared" si="59"/>
        <v/>
      </c>
      <c r="X95" s="39"/>
      <c r="Y95" s="72" t="str">
        <f t="shared" si="43"/>
        <v/>
      </c>
      <c r="Z95" s="72" t="str">
        <f t="shared" si="60"/>
        <v/>
      </c>
      <c r="AA95" s="39"/>
      <c r="AB95" s="72" t="str">
        <f t="shared" si="44"/>
        <v/>
      </c>
      <c r="AC95" s="72" t="str">
        <f t="shared" si="61"/>
        <v/>
      </c>
      <c r="AD95" s="39"/>
      <c r="AE95" s="72" t="str">
        <f t="shared" si="45"/>
        <v/>
      </c>
      <c r="AF95" s="72" t="str">
        <f t="shared" si="62"/>
        <v/>
      </c>
      <c r="AG95" s="39"/>
      <c r="AH95" s="72" t="str">
        <f t="shared" si="46"/>
        <v/>
      </c>
      <c r="AI95" s="72" t="str">
        <f t="shared" si="63"/>
        <v/>
      </c>
      <c r="AJ95" s="39"/>
      <c r="AK95" s="72" t="str">
        <f t="shared" si="47"/>
        <v/>
      </c>
      <c r="AL95" s="72" t="str">
        <f t="shared" si="64"/>
        <v/>
      </c>
      <c r="AM95" s="39"/>
      <c r="AN95" s="72" t="str">
        <f t="shared" si="48"/>
        <v/>
      </c>
      <c r="AO95" s="72" t="str">
        <f t="shared" si="65"/>
        <v/>
      </c>
      <c r="AP95" s="39"/>
      <c r="AQ95" s="72" t="str">
        <f t="shared" si="49"/>
        <v/>
      </c>
      <c r="AR95" s="72" t="str">
        <f t="shared" si="66"/>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50"/>
        <v/>
      </c>
      <c r="AW95" s="72" t="str">
        <f t="shared" si="67"/>
        <v/>
      </c>
      <c r="AX95" s="39"/>
      <c r="AY95" s="40" t="str">
        <f>IF(ISERROR(IF($K95&lt;=$F$15,VLOOKUP($I95,'表4）CO2価格'!$A$7:$E$67,VLOOKUP($F$48,'表4）CO2価格'!$H$10:$I$12,2,0),0)*$F$8/1000,"")),0,IF($K95&lt;=$F$15,VLOOKUP($I95,'表4）CO2価格'!$A$7:$E$67,VLOOKUP($F$48,'表4）CO2価格'!$H$10:$I$12,2,0),0)*$F$8/1000,""))</f>
        <v/>
      </c>
      <c r="AZ95" s="39"/>
      <c r="BA95" s="42" t="str">
        <f t="shared" si="51"/>
        <v/>
      </c>
      <c r="BB95" s="72" t="str">
        <f t="shared" si="68"/>
        <v/>
      </c>
      <c r="BC95" s="39"/>
      <c r="BD95" s="72" t="str">
        <f t="shared" si="52"/>
        <v/>
      </c>
      <c r="BE95" s="72" t="str">
        <f t="shared" si="69"/>
        <v/>
      </c>
      <c r="BF95" s="39"/>
      <c r="BG95" s="42" t="str">
        <f t="shared" si="53"/>
        <v/>
      </c>
      <c r="BH95" s="72" t="str">
        <f t="shared" si="70"/>
        <v/>
      </c>
      <c r="BI95" s="39"/>
      <c r="BJ95" s="40" t="str">
        <f t="shared" si="71"/>
        <v/>
      </c>
      <c r="BK95" s="157" t="str">
        <f t="shared" si="72"/>
        <v/>
      </c>
      <c r="BL95" s="157" t="str">
        <f t="shared" si="54"/>
        <v/>
      </c>
      <c r="BM95" s="72"/>
      <c r="BN95" s="72" t="str">
        <f t="shared" si="73"/>
        <v/>
      </c>
      <c r="BO95" s="72" t="str">
        <f t="shared" si="74"/>
        <v/>
      </c>
      <c r="BP95" s="39"/>
      <c r="BQ95" s="72" t="str">
        <f t="shared" si="55"/>
        <v/>
      </c>
      <c r="BR95" s="72" t="str">
        <f t="shared" si="75"/>
        <v/>
      </c>
    </row>
    <row r="96" spans="4:70" ht="15" x14ac:dyDescent="0.15">
      <c r="D96" s="103"/>
      <c r="E96" s="160" t="s">
        <v>252</v>
      </c>
      <c r="F96" s="488">
        <f>AW116/$BR$116</f>
        <v>18.851220776146402</v>
      </c>
      <c r="G96" s="84" t="s">
        <v>590</v>
      </c>
      <c r="I96" s="322">
        <f t="shared" si="76"/>
        <v>2111</v>
      </c>
      <c r="K96" s="71">
        <f t="shared" si="77"/>
        <v>82</v>
      </c>
      <c r="M96" s="7">
        <f t="shared" si="40"/>
        <v>8.8582426831197242E-2</v>
      </c>
      <c r="O96" s="10" t="str">
        <f t="shared" si="56"/>
        <v/>
      </c>
      <c r="P96" s="29" t="str">
        <f t="shared" si="41"/>
        <v/>
      </c>
      <c r="R96" s="10" t="str">
        <f t="shared" si="57"/>
        <v/>
      </c>
      <c r="T96" s="10" t="str">
        <f t="shared" si="58"/>
        <v/>
      </c>
      <c r="V96" s="10" t="str">
        <f t="shared" si="42"/>
        <v/>
      </c>
      <c r="W96" s="10" t="str">
        <f t="shared" si="59"/>
        <v/>
      </c>
      <c r="Y96" s="10" t="str">
        <f t="shared" si="43"/>
        <v/>
      </c>
      <c r="Z96" s="10" t="str">
        <f t="shared" si="60"/>
        <v/>
      </c>
      <c r="AB96" s="10" t="str">
        <f t="shared" si="44"/>
        <v/>
      </c>
      <c r="AC96" s="10" t="str">
        <f t="shared" si="61"/>
        <v/>
      </c>
      <c r="AE96" s="10" t="str">
        <f t="shared" si="45"/>
        <v/>
      </c>
      <c r="AF96" s="10" t="str">
        <f t="shared" si="62"/>
        <v/>
      </c>
      <c r="AH96" s="10" t="str">
        <f t="shared" si="46"/>
        <v/>
      </c>
      <c r="AI96" s="10" t="str">
        <f t="shared" si="63"/>
        <v/>
      </c>
      <c r="AK96" s="10" t="str">
        <f t="shared" si="47"/>
        <v/>
      </c>
      <c r="AL96" s="10" t="str">
        <f t="shared" si="64"/>
        <v/>
      </c>
      <c r="AN96" s="10" t="str">
        <f t="shared" si="48"/>
        <v/>
      </c>
      <c r="AO96" s="10" t="str">
        <f t="shared" si="65"/>
        <v/>
      </c>
      <c r="AQ96" s="10" t="str">
        <f t="shared" si="49"/>
        <v/>
      </c>
      <c r="AR96" s="10" t="str">
        <f t="shared" si="66"/>
        <v/>
      </c>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V96" s="10" t="str">
        <f t="shared" si="50"/>
        <v/>
      </c>
      <c r="AW96" s="10" t="str">
        <f t="shared" si="67"/>
        <v/>
      </c>
      <c r="AY96" s="7" t="str">
        <f>IF(ISERROR(IF($K96&lt;=$F$15,VLOOKUP($I96,'表4）CO2価格'!$A$7:$E$67,VLOOKUP($F$48,'表4）CO2価格'!$H$10:$I$12,2,0),0)*$F$8/1000,"")),0,IF($K96&lt;=$F$15,VLOOKUP($I96,'表4）CO2価格'!$A$7:$E$67,VLOOKUP($F$48,'表4）CO2価格'!$H$10:$I$12,2,0),0)*$F$8/1000,""))</f>
        <v/>
      </c>
      <c r="BA96" s="11" t="str">
        <f t="shared" si="51"/>
        <v/>
      </c>
      <c r="BB96" s="10" t="str">
        <f t="shared" si="68"/>
        <v/>
      </c>
      <c r="BD96" s="10" t="str">
        <f t="shared" si="52"/>
        <v/>
      </c>
      <c r="BE96" s="10" t="str">
        <f t="shared" si="69"/>
        <v/>
      </c>
      <c r="BG96" s="11" t="str">
        <f t="shared" si="53"/>
        <v/>
      </c>
      <c r="BH96" s="10" t="str">
        <f t="shared" si="70"/>
        <v/>
      </c>
      <c r="BJ96" s="7" t="str">
        <f t="shared" si="71"/>
        <v/>
      </c>
      <c r="BK96" s="158" t="str">
        <f t="shared" si="72"/>
        <v/>
      </c>
      <c r="BL96" s="158" t="str">
        <f t="shared" si="54"/>
        <v/>
      </c>
      <c r="BM96" s="10"/>
      <c r="BN96" s="10" t="str">
        <f t="shared" si="73"/>
        <v/>
      </c>
      <c r="BO96" s="10" t="str">
        <f t="shared" si="74"/>
        <v/>
      </c>
      <c r="BQ96" s="10" t="str">
        <f t="shared" si="55"/>
        <v/>
      </c>
      <c r="BR96" s="10" t="str">
        <f t="shared" si="75"/>
        <v/>
      </c>
    </row>
    <row r="97" spans="4:70" ht="15" x14ac:dyDescent="0.15">
      <c r="D97" s="103"/>
      <c r="E97" s="84" t="s">
        <v>598</v>
      </c>
      <c r="F97" s="488">
        <f>IF(F3="原子力",#REF!,0)</f>
        <v>0</v>
      </c>
      <c r="G97" s="84" t="s">
        <v>590</v>
      </c>
      <c r="I97" s="38">
        <f t="shared" si="76"/>
        <v>2112</v>
      </c>
      <c r="J97" s="39"/>
      <c r="K97" s="39">
        <f t="shared" si="77"/>
        <v>83</v>
      </c>
      <c r="L97" s="39"/>
      <c r="M97" s="40">
        <f t="shared" si="40"/>
        <v>8.6002356146793454E-2</v>
      </c>
      <c r="N97" s="39"/>
      <c r="O97" s="72" t="str">
        <f t="shared" si="56"/>
        <v/>
      </c>
      <c r="P97" s="41" t="str">
        <f t="shared" si="41"/>
        <v/>
      </c>
      <c r="Q97" s="39"/>
      <c r="R97" s="72" t="str">
        <f t="shared" si="57"/>
        <v/>
      </c>
      <c r="S97" s="39"/>
      <c r="T97" s="72" t="str">
        <f t="shared" si="58"/>
        <v/>
      </c>
      <c r="U97" s="39"/>
      <c r="V97" s="72" t="str">
        <f t="shared" si="42"/>
        <v/>
      </c>
      <c r="W97" s="72" t="str">
        <f t="shared" si="59"/>
        <v/>
      </c>
      <c r="X97" s="39"/>
      <c r="Y97" s="72" t="str">
        <f t="shared" si="43"/>
        <v/>
      </c>
      <c r="Z97" s="72" t="str">
        <f t="shared" si="60"/>
        <v/>
      </c>
      <c r="AA97" s="39"/>
      <c r="AB97" s="72" t="str">
        <f t="shared" si="44"/>
        <v/>
      </c>
      <c r="AC97" s="72" t="str">
        <f t="shared" si="61"/>
        <v/>
      </c>
      <c r="AD97" s="39"/>
      <c r="AE97" s="72" t="str">
        <f t="shared" si="45"/>
        <v/>
      </c>
      <c r="AF97" s="72" t="str">
        <f t="shared" si="62"/>
        <v/>
      </c>
      <c r="AG97" s="39"/>
      <c r="AH97" s="72" t="str">
        <f t="shared" si="46"/>
        <v/>
      </c>
      <c r="AI97" s="72" t="str">
        <f t="shared" si="63"/>
        <v/>
      </c>
      <c r="AJ97" s="39"/>
      <c r="AK97" s="72" t="str">
        <f t="shared" si="47"/>
        <v/>
      </c>
      <c r="AL97" s="72" t="str">
        <f t="shared" si="64"/>
        <v/>
      </c>
      <c r="AM97" s="39"/>
      <c r="AN97" s="72" t="str">
        <f t="shared" si="48"/>
        <v/>
      </c>
      <c r="AO97" s="72" t="str">
        <f t="shared" si="65"/>
        <v/>
      </c>
      <c r="AP97" s="39"/>
      <c r="AQ97" s="72" t="str">
        <f t="shared" si="49"/>
        <v/>
      </c>
      <c r="AR97" s="72" t="str">
        <f t="shared" si="66"/>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50"/>
        <v/>
      </c>
      <c r="AW97" s="72" t="str">
        <f t="shared" si="67"/>
        <v/>
      </c>
      <c r="AX97" s="39"/>
      <c r="AY97" s="40" t="str">
        <f>IF(ISERROR(IF($K97&lt;=$F$15,VLOOKUP($I97,'表4）CO2価格'!$A$7:$E$67,VLOOKUP($F$48,'表4）CO2価格'!$H$10:$I$12,2,0),0)*$F$8/1000,"")),0,IF($K97&lt;=$F$15,VLOOKUP($I97,'表4）CO2価格'!$A$7:$E$67,VLOOKUP($F$48,'表4）CO2価格'!$H$10:$I$12,2,0),0)*$F$8/1000,""))</f>
        <v/>
      </c>
      <c r="AZ97" s="39"/>
      <c r="BA97" s="42" t="str">
        <f t="shared" si="51"/>
        <v/>
      </c>
      <c r="BB97" s="72" t="str">
        <f t="shared" si="68"/>
        <v/>
      </c>
      <c r="BC97" s="39"/>
      <c r="BD97" s="72" t="str">
        <f t="shared" si="52"/>
        <v/>
      </c>
      <c r="BE97" s="72" t="str">
        <f t="shared" si="69"/>
        <v/>
      </c>
      <c r="BF97" s="39"/>
      <c r="BG97" s="42" t="str">
        <f t="shared" si="53"/>
        <v/>
      </c>
      <c r="BH97" s="72" t="str">
        <f t="shared" si="70"/>
        <v/>
      </c>
      <c r="BI97" s="39"/>
      <c r="BJ97" s="40" t="str">
        <f t="shared" si="71"/>
        <v/>
      </c>
      <c r="BK97" s="157" t="str">
        <f t="shared" si="72"/>
        <v/>
      </c>
      <c r="BL97" s="157" t="str">
        <f t="shared" si="54"/>
        <v/>
      </c>
      <c r="BM97" s="72"/>
      <c r="BN97" s="72" t="str">
        <f t="shared" si="73"/>
        <v/>
      </c>
      <c r="BO97" s="72" t="str">
        <f t="shared" si="74"/>
        <v/>
      </c>
      <c r="BP97" s="39"/>
      <c r="BQ97" s="72" t="str">
        <f t="shared" si="55"/>
        <v/>
      </c>
      <c r="BR97" s="72" t="str">
        <f t="shared" si="75"/>
        <v/>
      </c>
    </row>
    <row r="98" spans="4:70" x14ac:dyDescent="0.15">
      <c r="F98" s="487"/>
      <c r="I98" s="322">
        <f t="shared" si="76"/>
        <v>2113</v>
      </c>
      <c r="K98" s="71">
        <f t="shared" si="77"/>
        <v>84</v>
      </c>
      <c r="M98" s="7">
        <f t="shared" si="40"/>
        <v>8.3497433152226644E-2</v>
      </c>
      <c r="O98" s="10" t="str">
        <f t="shared" si="56"/>
        <v/>
      </c>
      <c r="P98" s="29" t="str">
        <f t="shared" si="41"/>
        <v/>
      </c>
      <c r="R98" s="10" t="str">
        <f t="shared" si="57"/>
        <v/>
      </c>
      <c r="T98" s="10" t="str">
        <f t="shared" si="58"/>
        <v/>
      </c>
      <c r="V98" s="10" t="str">
        <f t="shared" si="42"/>
        <v/>
      </c>
      <c r="W98" s="10" t="str">
        <f t="shared" si="59"/>
        <v/>
      </c>
      <c r="Y98" s="10" t="str">
        <f t="shared" si="43"/>
        <v/>
      </c>
      <c r="Z98" s="10" t="str">
        <f t="shared" si="60"/>
        <v/>
      </c>
      <c r="AB98" s="10" t="str">
        <f t="shared" si="44"/>
        <v/>
      </c>
      <c r="AC98" s="10" t="str">
        <f t="shared" si="61"/>
        <v/>
      </c>
      <c r="AE98" s="10" t="str">
        <f t="shared" si="45"/>
        <v/>
      </c>
      <c r="AF98" s="10" t="str">
        <f t="shared" si="62"/>
        <v/>
      </c>
      <c r="AH98" s="10" t="str">
        <f t="shared" si="46"/>
        <v/>
      </c>
      <c r="AI98" s="10" t="str">
        <f t="shared" si="63"/>
        <v/>
      </c>
      <c r="AK98" s="10" t="str">
        <f t="shared" si="47"/>
        <v/>
      </c>
      <c r="AL98" s="10" t="str">
        <f t="shared" si="64"/>
        <v/>
      </c>
      <c r="AN98" s="10" t="str">
        <f t="shared" si="48"/>
        <v/>
      </c>
      <c r="AO98" s="10" t="str">
        <f t="shared" si="65"/>
        <v/>
      </c>
      <c r="AQ98" s="10" t="str">
        <f t="shared" si="49"/>
        <v/>
      </c>
      <c r="AR98" s="10" t="str">
        <f t="shared" si="66"/>
        <v/>
      </c>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V98" s="10" t="str">
        <f t="shared" si="50"/>
        <v/>
      </c>
      <c r="AW98" s="10" t="str">
        <f t="shared" si="67"/>
        <v/>
      </c>
      <c r="AY98" s="7" t="str">
        <f>IF(ISERROR(IF($K98&lt;=$F$15,VLOOKUP($I98,'表4）CO2価格'!$A$7:$E$67,VLOOKUP($F$48,'表4）CO2価格'!$H$10:$I$12,2,0),0)*$F$8/1000,"")),0,IF($K98&lt;=$F$15,VLOOKUP($I98,'表4）CO2価格'!$A$7:$E$67,VLOOKUP($F$48,'表4）CO2価格'!$H$10:$I$12,2,0),0)*$F$8/1000,""))</f>
        <v/>
      </c>
      <c r="BA98" s="11" t="str">
        <f t="shared" si="51"/>
        <v/>
      </c>
      <c r="BB98" s="10" t="str">
        <f t="shared" si="68"/>
        <v/>
      </c>
      <c r="BD98" s="10" t="str">
        <f t="shared" si="52"/>
        <v/>
      </c>
      <c r="BE98" s="10" t="str">
        <f t="shared" si="69"/>
        <v/>
      </c>
      <c r="BG98" s="11" t="str">
        <f t="shared" si="53"/>
        <v/>
      </c>
      <c r="BH98" s="10" t="str">
        <f t="shared" si="70"/>
        <v/>
      </c>
      <c r="BJ98" s="7" t="str">
        <f t="shared" si="71"/>
        <v/>
      </c>
      <c r="BK98" s="158" t="str">
        <f t="shared" si="72"/>
        <v/>
      </c>
      <c r="BL98" s="158" t="str">
        <f t="shared" si="54"/>
        <v/>
      </c>
      <c r="BM98" s="10"/>
      <c r="BN98" s="10" t="str">
        <f t="shared" si="73"/>
        <v/>
      </c>
      <c r="BO98" s="10" t="str">
        <f t="shared" si="74"/>
        <v/>
      </c>
      <c r="BQ98" s="10" t="str">
        <f t="shared" si="55"/>
        <v/>
      </c>
      <c r="BR98" s="10" t="str">
        <f t="shared" si="75"/>
        <v/>
      </c>
    </row>
    <row r="99" spans="4:70" ht="15" x14ac:dyDescent="0.15">
      <c r="D99" s="103" t="s">
        <v>599</v>
      </c>
      <c r="F99" s="484">
        <f>SUBTOTAL(9,F103:F105)</f>
        <v>0.03</v>
      </c>
      <c r="G99" s="84" t="s">
        <v>590</v>
      </c>
      <c r="I99" s="38">
        <f t="shared" si="76"/>
        <v>2114</v>
      </c>
      <c r="J99" s="39"/>
      <c r="K99" s="39">
        <f t="shared" si="77"/>
        <v>85</v>
      </c>
      <c r="L99" s="39"/>
      <c r="M99" s="40">
        <f t="shared" si="40"/>
        <v>8.1065469079831712E-2</v>
      </c>
      <c r="N99" s="39"/>
      <c r="O99" s="72" t="str">
        <f t="shared" si="56"/>
        <v/>
      </c>
      <c r="P99" s="41" t="str">
        <f t="shared" si="41"/>
        <v/>
      </c>
      <c r="Q99" s="39"/>
      <c r="R99" s="72" t="str">
        <f t="shared" si="57"/>
        <v/>
      </c>
      <c r="S99" s="39"/>
      <c r="T99" s="72" t="str">
        <f t="shared" si="58"/>
        <v/>
      </c>
      <c r="U99" s="39"/>
      <c r="V99" s="72" t="str">
        <f t="shared" si="42"/>
        <v/>
      </c>
      <c r="W99" s="72" t="str">
        <f t="shared" si="59"/>
        <v/>
      </c>
      <c r="X99" s="39"/>
      <c r="Y99" s="72" t="str">
        <f t="shared" si="43"/>
        <v/>
      </c>
      <c r="Z99" s="72" t="str">
        <f t="shared" si="60"/>
        <v/>
      </c>
      <c r="AA99" s="39"/>
      <c r="AB99" s="72" t="str">
        <f t="shared" si="44"/>
        <v/>
      </c>
      <c r="AC99" s="72" t="str">
        <f t="shared" si="61"/>
        <v/>
      </c>
      <c r="AD99" s="39"/>
      <c r="AE99" s="72" t="str">
        <f t="shared" si="45"/>
        <v/>
      </c>
      <c r="AF99" s="72" t="str">
        <f t="shared" si="62"/>
        <v/>
      </c>
      <c r="AG99" s="39"/>
      <c r="AH99" s="72" t="str">
        <f t="shared" si="46"/>
        <v/>
      </c>
      <c r="AI99" s="72" t="str">
        <f t="shared" si="63"/>
        <v/>
      </c>
      <c r="AJ99" s="39"/>
      <c r="AK99" s="72" t="str">
        <f t="shared" si="47"/>
        <v/>
      </c>
      <c r="AL99" s="72" t="str">
        <f t="shared" si="64"/>
        <v/>
      </c>
      <c r="AM99" s="39"/>
      <c r="AN99" s="72" t="str">
        <f t="shared" si="48"/>
        <v/>
      </c>
      <c r="AO99" s="72" t="str">
        <f t="shared" si="65"/>
        <v/>
      </c>
      <c r="AP99" s="39"/>
      <c r="AQ99" s="72" t="str">
        <f t="shared" si="49"/>
        <v/>
      </c>
      <c r="AR99" s="72" t="str">
        <f t="shared" si="66"/>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50"/>
        <v/>
      </c>
      <c r="AW99" s="72" t="str">
        <f t="shared" si="67"/>
        <v/>
      </c>
      <c r="AX99" s="39"/>
      <c r="AY99" s="40" t="str">
        <f>IF(ISERROR(IF($K99&lt;=$F$15,VLOOKUP($I99,'表4）CO2価格'!$A$7:$E$67,VLOOKUP($F$48,'表4）CO2価格'!$H$10:$I$12,2,0),0)*$F$8/1000,"")),0,IF($K99&lt;=$F$15,VLOOKUP($I99,'表4）CO2価格'!$A$7:$E$67,VLOOKUP($F$48,'表4）CO2価格'!$H$10:$I$12,2,0),0)*$F$8/1000,""))</f>
        <v/>
      </c>
      <c r="AZ99" s="39"/>
      <c r="BA99" s="42" t="str">
        <f t="shared" si="51"/>
        <v/>
      </c>
      <c r="BB99" s="72" t="str">
        <f t="shared" si="68"/>
        <v/>
      </c>
      <c r="BC99" s="39"/>
      <c r="BD99" s="72" t="str">
        <f t="shared" si="52"/>
        <v/>
      </c>
      <c r="BE99" s="72" t="str">
        <f t="shared" si="69"/>
        <v/>
      </c>
      <c r="BF99" s="39"/>
      <c r="BG99" s="42" t="str">
        <f t="shared" si="53"/>
        <v/>
      </c>
      <c r="BH99" s="72" t="str">
        <f t="shared" si="70"/>
        <v/>
      </c>
      <c r="BI99" s="39"/>
      <c r="BJ99" s="40" t="str">
        <f t="shared" si="71"/>
        <v/>
      </c>
      <c r="BK99" s="157" t="str">
        <f t="shared" si="72"/>
        <v/>
      </c>
      <c r="BL99" s="157" t="str">
        <f t="shared" si="54"/>
        <v/>
      </c>
      <c r="BM99" s="72"/>
      <c r="BN99" s="72" t="str">
        <f t="shared" si="73"/>
        <v/>
      </c>
      <c r="BO99" s="72" t="str">
        <f t="shared" si="74"/>
        <v/>
      </c>
      <c r="BP99" s="39"/>
      <c r="BQ99" s="72" t="str">
        <f t="shared" si="55"/>
        <v/>
      </c>
      <c r="BR99" s="72" t="str">
        <f t="shared" si="75"/>
        <v/>
      </c>
    </row>
    <row r="100" spans="4:70" x14ac:dyDescent="0.15">
      <c r="F100" s="487"/>
      <c r="I100" s="322">
        <f t="shared" si="76"/>
        <v>2115</v>
      </c>
      <c r="K100" s="71">
        <f t="shared" si="77"/>
        <v>86</v>
      </c>
      <c r="M100" s="7">
        <f t="shared" si="40"/>
        <v>7.8704338912457969E-2</v>
      </c>
      <c r="O100" s="10" t="str">
        <f t="shared" si="56"/>
        <v/>
      </c>
      <c r="P100" s="29" t="str">
        <f t="shared" si="41"/>
        <v/>
      </c>
      <c r="R100" s="10" t="str">
        <f t="shared" si="57"/>
        <v/>
      </c>
      <c r="T100" s="10" t="str">
        <f t="shared" si="58"/>
        <v/>
      </c>
      <c r="V100" s="10" t="str">
        <f t="shared" si="42"/>
        <v/>
      </c>
      <c r="W100" s="10" t="str">
        <f t="shared" si="59"/>
        <v/>
      </c>
      <c r="Y100" s="10" t="str">
        <f t="shared" si="43"/>
        <v/>
      </c>
      <c r="Z100" s="10" t="str">
        <f t="shared" si="60"/>
        <v/>
      </c>
      <c r="AB100" s="10" t="str">
        <f t="shared" si="44"/>
        <v/>
      </c>
      <c r="AC100" s="10" t="str">
        <f t="shared" si="61"/>
        <v/>
      </c>
      <c r="AE100" s="10" t="str">
        <f t="shared" si="45"/>
        <v/>
      </c>
      <c r="AF100" s="10" t="str">
        <f t="shared" si="62"/>
        <v/>
      </c>
      <c r="AH100" s="10" t="str">
        <f t="shared" si="46"/>
        <v/>
      </c>
      <c r="AI100" s="10" t="str">
        <f t="shared" si="63"/>
        <v/>
      </c>
      <c r="AK100" s="10" t="str">
        <f t="shared" si="47"/>
        <v/>
      </c>
      <c r="AL100" s="10" t="str">
        <f t="shared" si="64"/>
        <v/>
      </c>
      <c r="AN100" s="10" t="str">
        <f t="shared" si="48"/>
        <v/>
      </c>
      <c r="AO100" s="10" t="str">
        <f t="shared" si="65"/>
        <v/>
      </c>
      <c r="AQ100" s="10" t="str">
        <f t="shared" si="49"/>
        <v/>
      </c>
      <c r="AR100" s="10" t="str">
        <f t="shared" si="66"/>
        <v/>
      </c>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V100" s="10" t="str">
        <f t="shared" si="50"/>
        <v/>
      </c>
      <c r="AW100" s="10" t="str">
        <f t="shared" si="67"/>
        <v/>
      </c>
      <c r="AY100" s="7" t="str">
        <f>IF(ISERROR(IF($K100&lt;=$F$15,VLOOKUP($I100,'表4）CO2価格'!$A$7:$E$67,VLOOKUP($F$48,'表4）CO2価格'!$H$10:$I$12,2,0),0)*$F$8/1000,"")),0,IF($K100&lt;=$F$15,VLOOKUP($I100,'表4）CO2価格'!$A$7:$E$67,VLOOKUP($F$48,'表4）CO2価格'!$H$10:$I$12,2,0),0)*$F$8/1000,""))</f>
        <v/>
      </c>
      <c r="BA100" s="11" t="str">
        <f t="shared" si="51"/>
        <v/>
      </c>
      <c r="BB100" s="10" t="str">
        <f t="shared" si="68"/>
        <v/>
      </c>
      <c r="BD100" s="10" t="str">
        <f t="shared" si="52"/>
        <v/>
      </c>
      <c r="BE100" s="10" t="str">
        <f t="shared" si="69"/>
        <v/>
      </c>
      <c r="BG100" s="11" t="str">
        <f t="shared" si="53"/>
        <v/>
      </c>
      <c r="BH100" s="10" t="str">
        <f t="shared" si="70"/>
        <v/>
      </c>
      <c r="BJ100" s="7" t="str">
        <f t="shared" si="71"/>
        <v/>
      </c>
      <c r="BK100" s="158" t="str">
        <f t="shared" si="72"/>
        <v/>
      </c>
      <c r="BL100" s="158" t="str">
        <f t="shared" si="54"/>
        <v/>
      </c>
      <c r="BM100" s="10"/>
      <c r="BN100" s="10" t="str">
        <f t="shared" si="73"/>
        <v/>
      </c>
      <c r="BO100" s="10" t="str">
        <f t="shared" si="74"/>
        <v/>
      </c>
      <c r="BQ100" s="10" t="str">
        <f t="shared" si="55"/>
        <v/>
      </c>
      <c r="BR100" s="10" t="str">
        <f t="shared" si="75"/>
        <v/>
      </c>
    </row>
    <row r="101" spans="4:70" x14ac:dyDescent="0.15">
      <c r="D101" s="100" t="s">
        <v>600</v>
      </c>
      <c r="E101" s="100"/>
      <c r="F101" s="486"/>
      <c r="G101" s="100"/>
      <c r="I101" s="38">
        <f t="shared" si="76"/>
        <v>2116</v>
      </c>
      <c r="J101" s="39"/>
      <c r="K101" s="39">
        <f t="shared" si="77"/>
        <v>87</v>
      </c>
      <c r="L101" s="39"/>
      <c r="M101" s="40">
        <f t="shared" si="40"/>
        <v>7.6411979526658208E-2</v>
      </c>
      <c r="N101" s="39"/>
      <c r="O101" s="72" t="str">
        <f t="shared" si="56"/>
        <v/>
      </c>
      <c r="P101" s="41" t="str">
        <f t="shared" si="41"/>
        <v/>
      </c>
      <c r="Q101" s="39"/>
      <c r="R101" s="72" t="str">
        <f t="shared" si="57"/>
        <v/>
      </c>
      <c r="S101" s="39"/>
      <c r="T101" s="72" t="str">
        <f t="shared" si="58"/>
        <v/>
      </c>
      <c r="U101" s="39"/>
      <c r="V101" s="72" t="str">
        <f t="shared" si="42"/>
        <v/>
      </c>
      <c r="W101" s="72" t="str">
        <f t="shared" si="59"/>
        <v/>
      </c>
      <c r="X101" s="39"/>
      <c r="Y101" s="72" t="str">
        <f t="shared" si="43"/>
        <v/>
      </c>
      <c r="Z101" s="72" t="str">
        <f t="shared" si="60"/>
        <v/>
      </c>
      <c r="AA101" s="39"/>
      <c r="AB101" s="72" t="str">
        <f t="shared" si="44"/>
        <v/>
      </c>
      <c r="AC101" s="72" t="str">
        <f t="shared" si="61"/>
        <v/>
      </c>
      <c r="AD101" s="39"/>
      <c r="AE101" s="72" t="str">
        <f t="shared" si="45"/>
        <v/>
      </c>
      <c r="AF101" s="72" t="str">
        <f t="shared" si="62"/>
        <v/>
      </c>
      <c r="AG101" s="39"/>
      <c r="AH101" s="72" t="str">
        <f t="shared" si="46"/>
        <v/>
      </c>
      <c r="AI101" s="72" t="str">
        <f t="shared" si="63"/>
        <v/>
      </c>
      <c r="AJ101" s="39"/>
      <c r="AK101" s="72" t="str">
        <f t="shared" si="47"/>
        <v/>
      </c>
      <c r="AL101" s="72" t="str">
        <f t="shared" si="64"/>
        <v/>
      </c>
      <c r="AM101" s="39"/>
      <c r="AN101" s="72" t="str">
        <f t="shared" si="48"/>
        <v/>
      </c>
      <c r="AO101" s="72" t="str">
        <f t="shared" si="65"/>
        <v/>
      </c>
      <c r="AP101" s="39"/>
      <c r="AQ101" s="72" t="str">
        <f t="shared" si="49"/>
        <v/>
      </c>
      <c r="AR101" s="72" t="str">
        <f t="shared" si="66"/>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50"/>
        <v/>
      </c>
      <c r="AW101" s="72" t="str">
        <f t="shared" si="67"/>
        <v/>
      </c>
      <c r="AX101" s="39"/>
      <c r="AY101" s="40" t="str">
        <f>IF(ISERROR(IF($K101&lt;=$F$15,VLOOKUP($I101,'表4）CO2価格'!$A$7:$E$67,VLOOKUP($F$48,'表4）CO2価格'!$H$10:$I$12,2,0),0)*$F$8/1000,"")),0,IF($K101&lt;=$F$15,VLOOKUP($I101,'表4）CO2価格'!$A$7:$E$67,VLOOKUP($F$48,'表4）CO2価格'!$H$10:$I$12,2,0),0)*$F$8/1000,""))</f>
        <v/>
      </c>
      <c r="AZ101" s="39"/>
      <c r="BA101" s="42" t="str">
        <f t="shared" si="51"/>
        <v/>
      </c>
      <c r="BB101" s="72" t="str">
        <f t="shared" si="68"/>
        <v/>
      </c>
      <c r="BC101" s="39"/>
      <c r="BD101" s="72" t="str">
        <f t="shared" si="52"/>
        <v/>
      </c>
      <c r="BE101" s="72" t="str">
        <f t="shared" si="69"/>
        <v/>
      </c>
      <c r="BF101" s="39"/>
      <c r="BG101" s="42" t="str">
        <f t="shared" si="53"/>
        <v/>
      </c>
      <c r="BH101" s="72" t="str">
        <f t="shared" si="70"/>
        <v/>
      </c>
      <c r="BI101" s="39"/>
      <c r="BJ101" s="40" t="str">
        <f t="shared" si="71"/>
        <v/>
      </c>
      <c r="BK101" s="157" t="str">
        <f t="shared" si="72"/>
        <v/>
      </c>
      <c r="BL101" s="157" t="str">
        <f t="shared" si="54"/>
        <v/>
      </c>
      <c r="BM101" s="72"/>
      <c r="BN101" s="72" t="str">
        <f t="shared" si="73"/>
        <v/>
      </c>
      <c r="BO101" s="72" t="str">
        <f t="shared" si="74"/>
        <v/>
      </c>
      <c r="BP101" s="39"/>
      <c r="BQ101" s="72" t="str">
        <f t="shared" si="55"/>
        <v/>
      </c>
      <c r="BR101" s="72" t="str">
        <f t="shared" si="75"/>
        <v/>
      </c>
    </row>
    <row r="102" spans="4:70" x14ac:dyDescent="0.15">
      <c r="F102" s="487"/>
      <c r="I102" s="322">
        <f t="shared" si="76"/>
        <v>2117</v>
      </c>
      <c r="K102" s="71">
        <f t="shared" si="77"/>
        <v>88</v>
      </c>
      <c r="M102" s="7">
        <f t="shared" si="40"/>
        <v>7.4186387889959446E-2</v>
      </c>
      <c r="O102" s="10" t="str">
        <f t="shared" si="56"/>
        <v/>
      </c>
      <c r="P102" s="29" t="str">
        <f t="shared" si="41"/>
        <v/>
      </c>
      <c r="R102" s="10" t="str">
        <f t="shared" si="57"/>
        <v/>
      </c>
      <c r="T102" s="10" t="str">
        <f t="shared" si="58"/>
        <v/>
      </c>
      <c r="V102" s="10" t="str">
        <f t="shared" si="42"/>
        <v/>
      </c>
      <c r="W102" s="10" t="str">
        <f t="shared" si="59"/>
        <v/>
      </c>
      <c r="Y102" s="10" t="str">
        <f t="shared" si="43"/>
        <v/>
      </c>
      <c r="Z102" s="10" t="str">
        <f t="shared" si="60"/>
        <v/>
      </c>
      <c r="AB102" s="10" t="str">
        <f t="shared" si="44"/>
        <v/>
      </c>
      <c r="AC102" s="10" t="str">
        <f t="shared" si="61"/>
        <v/>
      </c>
      <c r="AE102" s="10" t="str">
        <f t="shared" si="45"/>
        <v/>
      </c>
      <c r="AF102" s="10" t="str">
        <f t="shared" si="62"/>
        <v/>
      </c>
      <c r="AH102" s="10" t="str">
        <f t="shared" si="46"/>
        <v/>
      </c>
      <c r="AI102" s="10" t="str">
        <f t="shared" si="63"/>
        <v/>
      </c>
      <c r="AK102" s="10" t="str">
        <f t="shared" si="47"/>
        <v/>
      </c>
      <c r="AL102" s="10" t="str">
        <f t="shared" si="64"/>
        <v/>
      </c>
      <c r="AN102" s="10" t="str">
        <f t="shared" si="48"/>
        <v/>
      </c>
      <c r="AO102" s="10" t="str">
        <f t="shared" si="65"/>
        <v/>
      </c>
      <c r="AQ102" s="10" t="str">
        <f t="shared" si="49"/>
        <v/>
      </c>
      <c r="AR102" s="10" t="str">
        <f t="shared" si="66"/>
        <v/>
      </c>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V102" s="10" t="str">
        <f t="shared" si="50"/>
        <v/>
      </c>
      <c r="AW102" s="10" t="str">
        <f t="shared" si="67"/>
        <v/>
      </c>
      <c r="AY102" s="7" t="str">
        <f>IF(ISERROR(IF($K102&lt;=$F$15,VLOOKUP($I102,'表4）CO2価格'!$A$7:$E$67,VLOOKUP($F$48,'表4）CO2価格'!$H$10:$I$12,2,0),0)*$F$8/1000,"")),0,IF($K102&lt;=$F$15,VLOOKUP($I102,'表4）CO2価格'!$A$7:$E$67,VLOOKUP($F$48,'表4）CO2価格'!$H$10:$I$12,2,0),0)*$F$8/1000,""))</f>
        <v/>
      </c>
      <c r="BA102" s="11" t="str">
        <f t="shared" si="51"/>
        <v/>
      </c>
      <c r="BB102" s="10" t="str">
        <f t="shared" si="68"/>
        <v/>
      </c>
      <c r="BD102" s="10" t="str">
        <f t="shared" si="52"/>
        <v/>
      </c>
      <c r="BE102" s="10" t="str">
        <f t="shared" si="69"/>
        <v/>
      </c>
      <c r="BG102" s="11" t="str">
        <f t="shared" si="53"/>
        <v/>
      </c>
      <c r="BH102" s="10" t="str">
        <f t="shared" si="70"/>
        <v/>
      </c>
      <c r="BJ102" s="7" t="str">
        <f t="shared" si="71"/>
        <v/>
      </c>
      <c r="BK102" s="158" t="str">
        <f t="shared" si="72"/>
        <v/>
      </c>
      <c r="BL102" s="158" t="str">
        <f t="shared" si="54"/>
        <v/>
      </c>
      <c r="BM102" s="10"/>
      <c r="BN102" s="10" t="str">
        <f t="shared" si="73"/>
        <v/>
      </c>
      <c r="BO102" s="10" t="str">
        <f t="shared" si="74"/>
        <v/>
      </c>
      <c r="BQ102" s="10" t="str">
        <f t="shared" si="55"/>
        <v/>
      </c>
      <c r="BR102" s="10" t="str">
        <f t="shared" si="75"/>
        <v/>
      </c>
    </row>
    <row r="103" spans="4:70" x14ac:dyDescent="0.15">
      <c r="E103" s="84" t="s">
        <v>601</v>
      </c>
      <c r="F103" s="488">
        <f>BB116/$BR$116</f>
        <v>0</v>
      </c>
      <c r="G103" s="84" t="s">
        <v>590</v>
      </c>
      <c r="I103" s="38">
        <f t="shared" si="76"/>
        <v>2118</v>
      </c>
      <c r="J103" s="39"/>
      <c r="K103" s="39">
        <f t="shared" si="77"/>
        <v>89</v>
      </c>
      <c r="L103" s="39"/>
      <c r="M103" s="40">
        <f t="shared" si="40"/>
        <v>7.2025619310640235E-2</v>
      </c>
      <c r="N103" s="39"/>
      <c r="O103" s="72" t="str">
        <f t="shared" si="56"/>
        <v/>
      </c>
      <c r="P103" s="41" t="str">
        <f t="shared" si="41"/>
        <v/>
      </c>
      <c r="Q103" s="39"/>
      <c r="R103" s="72" t="str">
        <f t="shared" si="57"/>
        <v/>
      </c>
      <c r="S103" s="39"/>
      <c r="T103" s="72" t="str">
        <f t="shared" si="58"/>
        <v/>
      </c>
      <c r="U103" s="39"/>
      <c r="V103" s="72" t="str">
        <f t="shared" si="42"/>
        <v/>
      </c>
      <c r="W103" s="72" t="str">
        <f t="shared" si="59"/>
        <v/>
      </c>
      <c r="X103" s="39"/>
      <c r="Y103" s="72" t="str">
        <f t="shared" si="43"/>
        <v/>
      </c>
      <c r="Z103" s="72" t="str">
        <f t="shared" si="60"/>
        <v/>
      </c>
      <c r="AA103" s="39"/>
      <c r="AB103" s="72" t="str">
        <f t="shared" si="44"/>
        <v/>
      </c>
      <c r="AC103" s="72" t="str">
        <f t="shared" si="61"/>
        <v/>
      </c>
      <c r="AD103" s="39"/>
      <c r="AE103" s="72" t="str">
        <f t="shared" si="45"/>
        <v/>
      </c>
      <c r="AF103" s="72" t="str">
        <f t="shared" si="62"/>
        <v/>
      </c>
      <c r="AG103" s="39"/>
      <c r="AH103" s="72" t="str">
        <f t="shared" si="46"/>
        <v/>
      </c>
      <c r="AI103" s="72" t="str">
        <f t="shared" si="63"/>
        <v/>
      </c>
      <c r="AJ103" s="39"/>
      <c r="AK103" s="72" t="str">
        <f t="shared" si="47"/>
        <v/>
      </c>
      <c r="AL103" s="72" t="str">
        <f t="shared" si="64"/>
        <v/>
      </c>
      <c r="AM103" s="39"/>
      <c r="AN103" s="72" t="str">
        <f t="shared" si="48"/>
        <v/>
      </c>
      <c r="AO103" s="72" t="str">
        <f t="shared" si="65"/>
        <v/>
      </c>
      <c r="AP103" s="39"/>
      <c r="AQ103" s="72" t="str">
        <f t="shared" si="49"/>
        <v/>
      </c>
      <c r="AR103" s="72" t="str">
        <f t="shared" si="66"/>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50"/>
        <v/>
      </c>
      <c r="AW103" s="72" t="str">
        <f t="shared" si="67"/>
        <v/>
      </c>
      <c r="AX103" s="39"/>
      <c r="AY103" s="40" t="str">
        <f>IF(ISERROR(IF($K103&lt;=$F$15,VLOOKUP($I103,'表4）CO2価格'!$A$7:$E$67,VLOOKUP($F$48,'表4）CO2価格'!$H$10:$I$12,2,0),0)*$F$8/1000,"")),0,IF($K103&lt;=$F$15,VLOOKUP($I103,'表4）CO2価格'!$A$7:$E$67,VLOOKUP($F$48,'表4）CO2価格'!$H$10:$I$12,2,0),0)*$F$8/1000,""))</f>
        <v/>
      </c>
      <c r="AZ103" s="39"/>
      <c r="BA103" s="42" t="str">
        <f t="shared" si="51"/>
        <v/>
      </c>
      <c r="BB103" s="72" t="str">
        <f t="shared" si="68"/>
        <v/>
      </c>
      <c r="BC103" s="39"/>
      <c r="BD103" s="72" t="str">
        <f t="shared" si="52"/>
        <v/>
      </c>
      <c r="BE103" s="72" t="str">
        <f t="shared" si="69"/>
        <v/>
      </c>
      <c r="BF103" s="39"/>
      <c r="BG103" s="42" t="str">
        <f t="shared" si="53"/>
        <v/>
      </c>
      <c r="BH103" s="72" t="str">
        <f t="shared" si="70"/>
        <v/>
      </c>
      <c r="BI103" s="39"/>
      <c r="BJ103" s="40" t="str">
        <f t="shared" si="71"/>
        <v/>
      </c>
      <c r="BK103" s="157" t="str">
        <f t="shared" si="72"/>
        <v/>
      </c>
      <c r="BL103" s="157" t="str">
        <f t="shared" si="54"/>
        <v/>
      </c>
      <c r="BM103" s="72"/>
      <c r="BN103" s="72" t="str">
        <f t="shared" si="73"/>
        <v/>
      </c>
      <c r="BO103" s="72" t="str">
        <f t="shared" si="74"/>
        <v/>
      </c>
      <c r="BP103" s="39"/>
      <c r="BQ103" s="72" t="str">
        <f t="shared" si="55"/>
        <v/>
      </c>
      <c r="BR103" s="72" t="str">
        <f t="shared" si="75"/>
        <v/>
      </c>
    </row>
    <row r="104" spans="4:70" x14ac:dyDescent="0.15">
      <c r="E104" s="84" t="s">
        <v>602</v>
      </c>
      <c r="F104" s="488">
        <f>IF(ISERROR(F60*(1/F61)/F62),0,F60*(1/F61)/F62)</f>
        <v>0</v>
      </c>
      <c r="G104" s="84" t="s">
        <v>590</v>
      </c>
      <c r="I104" s="322">
        <f t="shared" si="76"/>
        <v>2119</v>
      </c>
      <c r="K104" s="71">
        <f t="shared" si="77"/>
        <v>90</v>
      </c>
      <c r="M104" s="7">
        <f t="shared" si="40"/>
        <v>6.9927785738485654E-2</v>
      </c>
      <c r="O104" s="10" t="str">
        <f t="shared" si="56"/>
        <v/>
      </c>
      <c r="P104" s="29" t="str">
        <f t="shared" si="41"/>
        <v/>
      </c>
      <c r="R104" s="10" t="str">
        <f t="shared" si="57"/>
        <v/>
      </c>
      <c r="T104" s="10" t="str">
        <f t="shared" si="58"/>
        <v/>
      </c>
      <c r="V104" s="10" t="str">
        <f t="shared" si="42"/>
        <v/>
      </c>
      <c r="W104" s="10" t="str">
        <f t="shared" si="59"/>
        <v/>
      </c>
      <c r="Y104" s="10" t="str">
        <f t="shared" si="43"/>
        <v/>
      </c>
      <c r="Z104" s="10" t="str">
        <f t="shared" si="60"/>
        <v/>
      </c>
      <c r="AB104" s="10" t="str">
        <f t="shared" si="44"/>
        <v/>
      </c>
      <c r="AC104" s="10" t="str">
        <f t="shared" si="61"/>
        <v/>
      </c>
      <c r="AE104" s="10" t="str">
        <f t="shared" si="45"/>
        <v/>
      </c>
      <c r="AF104" s="10" t="str">
        <f t="shared" si="62"/>
        <v/>
      </c>
      <c r="AH104" s="10" t="str">
        <f t="shared" si="46"/>
        <v/>
      </c>
      <c r="AI104" s="10" t="str">
        <f t="shared" si="63"/>
        <v/>
      </c>
      <c r="AK104" s="10" t="str">
        <f t="shared" si="47"/>
        <v/>
      </c>
      <c r="AL104" s="10" t="str">
        <f t="shared" si="64"/>
        <v/>
      </c>
      <c r="AN104" s="10" t="str">
        <f t="shared" si="48"/>
        <v/>
      </c>
      <c r="AO104" s="10" t="str">
        <f t="shared" si="65"/>
        <v/>
      </c>
      <c r="AQ104" s="10" t="str">
        <f t="shared" si="49"/>
        <v/>
      </c>
      <c r="AR104" s="10" t="str">
        <f t="shared" si="66"/>
        <v/>
      </c>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V104" s="10" t="str">
        <f t="shared" si="50"/>
        <v/>
      </c>
      <c r="AW104" s="10" t="str">
        <f t="shared" si="67"/>
        <v/>
      </c>
      <c r="AY104" s="7" t="str">
        <f>IF(ISERROR(IF($K104&lt;=$F$15,VLOOKUP($I104,'表4）CO2価格'!$A$7:$E$67,VLOOKUP($F$48,'表4）CO2価格'!$H$10:$I$12,2,0),0)*$F$8/1000,"")),0,IF($K104&lt;=$F$15,VLOOKUP($I104,'表4）CO2価格'!$A$7:$E$67,VLOOKUP($F$48,'表4）CO2価格'!$H$10:$I$12,2,0),0)*$F$8/1000,""))</f>
        <v/>
      </c>
      <c r="BA104" s="11" t="str">
        <f t="shared" si="51"/>
        <v/>
      </c>
      <c r="BB104" s="10" t="str">
        <f t="shared" si="68"/>
        <v/>
      </c>
      <c r="BD104" s="10" t="str">
        <f t="shared" si="52"/>
        <v/>
      </c>
      <c r="BE104" s="10" t="str">
        <f t="shared" si="69"/>
        <v/>
      </c>
      <c r="BG104" s="11" t="str">
        <f t="shared" si="53"/>
        <v/>
      </c>
      <c r="BH104" s="10" t="str">
        <f t="shared" si="70"/>
        <v/>
      </c>
      <c r="BJ104" s="7" t="str">
        <f t="shared" si="71"/>
        <v/>
      </c>
      <c r="BK104" s="158" t="str">
        <f t="shared" si="72"/>
        <v/>
      </c>
      <c r="BL104" s="158" t="str">
        <f t="shared" si="54"/>
        <v/>
      </c>
      <c r="BM104" s="10"/>
      <c r="BN104" s="10" t="str">
        <f t="shared" si="73"/>
        <v/>
      </c>
      <c r="BO104" s="10" t="str">
        <f t="shared" si="74"/>
        <v/>
      </c>
      <c r="BQ104" s="10" t="str">
        <f t="shared" si="55"/>
        <v/>
      </c>
      <c r="BR104" s="10" t="str">
        <f t="shared" si="75"/>
        <v/>
      </c>
    </row>
    <row r="105" spans="4:70" x14ac:dyDescent="0.15">
      <c r="E105" s="71" t="s">
        <v>603</v>
      </c>
      <c r="F105" s="488">
        <f>F64</f>
        <v>0.03</v>
      </c>
      <c r="G105" s="84" t="s">
        <v>590</v>
      </c>
      <c r="I105" s="38">
        <f t="shared" si="76"/>
        <v>2120</v>
      </c>
      <c r="J105" s="39"/>
      <c r="K105" s="39">
        <f t="shared" si="77"/>
        <v>91</v>
      </c>
      <c r="L105" s="39"/>
      <c r="M105" s="40">
        <f t="shared" si="40"/>
        <v>6.7891054115034627E-2</v>
      </c>
      <c r="N105" s="39"/>
      <c r="O105" s="72" t="str">
        <f t="shared" si="56"/>
        <v/>
      </c>
      <c r="P105" s="41" t="str">
        <f t="shared" si="41"/>
        <v/>
      </c>
      <c r="Q105" s="39"/>
      <c r="R105" s="72" t="str">
        <f t="shared" si="57"/>
        <v/>
      </c>
      <c r="S105" s="39"/>
      <c r="T105" s="72" t="str">
        <f t="shared" si="58"/>
        <v/>
      </c>
      <c r="U105" s="39"/>
      <c r="V105" s="72" t="str">
        <f t="shared" si="42"/>
        <v/>
      </c>
      <c r="W105" s="72" t="str">
        <f t="shared" si="59"/>
        <v/>
      </c>
      <c r="X105" s="39"/>
      <c r="Y105" s="72" t="str">
        <f t="shared" si="43"/>
        <v/>
      </c>
      <c r="Z105" s="72" t="str">
        <f t="shared" si="60"/>
        <v/>
      </c>
      <c r="AA105" s="39"/>
      <c r="AB105" s="72" t="str">
        <f t="shared" si="44"/>
        <v/>
      </c>
      <c r="AC105" s="72" t="str">
        <f t="shared" si="61"/>
        <v/>
      </c>
      <c r="AD105" s="39"/>
      <c r="AE105" s="72" t="str">
        <f t="shared" si="45"/>
        <v/>
      </c>
      <c r="AF105" s="72" t="str">
        <f t="shared" si="62"/>
        <v/>
      </c>
      <c r="AG105" s="39"/>
      <c r="AH105" s="72" t="str">
        <f t="shared" si="46"/>
        <v/>
      </c>
      <c r="AI105" s="72" t="str">
        <f t="shared" si="63"/>
        <v/>
      </c>
      <c r="AJ105" s="39"/>
      <c r="AK105" s="72" t="str">
        <f t="shared" si="47"/>
        <v/>
      </c>
      <c r="AL105" s="72" t="str">
        <f t="shared" si="64"/>
        <v/>
      </c>
      <c r="AM105" s="39"/>
      <c r="AN105" s="72" t="str">
        <f t="shared" si="48"/>
        <v/>
      </c>
      <c r="AO105" s="72" t="str">
        <f t="shared" si="65"/>
        <v/>
      </c>
      <c r="AP105" s="39"/>
      <c r="AQ105" s="72" t="str">
        <f t="shared" si="49"/>
        <v/>
      </c>
      <c r="AR105" s="72" t="str">
        <f t="shared" si="66"/>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50"/>
        <v/>
      </c>
      <c r="AW105" s="72" t="str">
        <f t="shared" si="67"/>
        <v/>
      </c>
      <c r="AX105" s="39"/>
      <c r="AY105" s="40" t="str">
        <f>IF(ISERROR(IF($K105&lt;=$F$15,VLOOKUP($I105,'表4）CO2価格'!$A$7:$E$67,VLOOKUP($F$48,'表4）CO2価格'!$H$10:$I$12,2,0),0)*$F$8/1000,"")),0,IF($K105&lt;=$F$15,VLOOKUP($I105,'表4）CO2価格'!$A$7:$E$67,VLOOKUP($F$48,'表4）CO2価格'!$H$10:$I$12,2,0),0)*$F$8/1000,""))</f>
        <v/>
      </c>
      <c r="AZ105" s="39"/>
      <c r="BA105" s="42" t="str">
        <f t="shared" si="51"/>
        <v/>
      </c>
      <c r="BB105" s="72" t="str">
        <f t="shared" si="68"/>
        <v/>
      </c>
      <c r="BC105" s="39"/>
      <c r="BD105" s="72" t="str">
        <f t="shared" si="52"/>
        <v/>
      </c>
      <c r="BE105" s="72" t="str">
        <f t="shared" si="69"/>
        <v/>
      </c>
      <c r="BF105" s="39"/>
      <c r="BG105" s="42" t="str">
        <f t="shared" si="53"/>
        <v/>
      </c>
      <c r="BH105" s="72" t="str">
        <f t="shared" si="70"/>
        <v/>
      </c>
      <c r="BI105" s="39"/>
      <c r="BJ105" s="40" t="str">
        <f t="shared" si="71"/>
        <v/>
      </c>
      <c r="BK105" s="157" t="str">
        <f t="shared" si="72"/>
        <v/>
      </c>
      <c r="BL105" s="157" t="str">
        <f t="shared" si="54"/>
        <v/>
      </c>
      <c r="BM105" s="72"/>
      <c r="BN105" s="72" t="str">
        <f t="shared" si="73"/>
        <v/>
      </c>
      <c r="BO105" s="72" t="str">
        <f t="shared" si="74"/>
        <v/>
      </c>
      <c r="BP105" s="39"/>
      <c r="BQ105" s="72" t="str">
        <f t="shared" si="55"/>
        <v/>
      </c>
      <c r="BR105" s="72" t="str">
        <f t="shared" si="75"/>
        <v/>
      </c>
    </row>
    <row r="106" spans="4:70" x14ac:dyDescent="0.15">
      <c r="F106" s="487"/>
      <c r="I106" s="322">
        <f t="shared" si="76"/>
        <v>2121</v>
      </c>
      <c r="K106" s="71">
        <f t="shared" si="77"/>
        <v>92</v>
      </c>
      <c r="M106" s="7">
        <f t="shared" si="40"/>
        <v>6.5913644771878277E-2</v>
      </c>
      <c r="O106" s="10" t="str">
        <f t="shared" si="56"/>
        <v/>
      </c>
      <c r="P106" s="29" t="str">
        <f t="shared" si="41"/>
        <v/>
      </c>
      <c r="R106" s="10" t="str">
        <f t="shared" si="57"/>
        <v/>
      </c>
      <c r="T106" s="10" t="str">
        <f t="shared" si="58"/>
        <v/>
      </c>
      <c r="V106" s="10" t="str">
        <f t="shared" si="42"/>
        <v/>
      </c>
      <c r="W106" s="10" t="str">
        <f t="shared" si="59"/>
        <v/>
      </c>
      <c r="Y106" s="10" t="str">
        <f t="shared" si="43"/>
        <v/>
      </c>
      <c r="Z106" s="10" t="str">
        <f t="shared" si="60"/>
        <v/>
      </c>
      <c r="AB106" s="10" t="str">
        <f t="shared" si="44"/>
        <v/>
      </c>
      <c r="AC106" s="10" t="str">
        <f t="shared" si="61"/>
        <v/>
      </c>
      <c r="AE106" s="10" t="str">
        <f t="shared" si="45"/>
        <v/>
      </c>
      <c r="AF106" s="10" t="str">
        <f t="shared" si="62"/>
        <v/>
      </c>
      <c r="AH106" s="10" t="str">
        <f t="shared" si="46"/>
        <v/>
      </c>
      <c r="AI106" s="10" t="str">
        <f t="shared" si="63"/>
        <v/>
      </c>
      <c r="AK106" s="10" t="str">
        <f t="shared" si="47"/>
        <v/>
      </c>
      <c r="AL106" s="10" t="str">
        <f t="shared" si="64"/>
        <v/>
      </c>
      <c r="AN106" s="10" t="str">
        <f t="shared" si="48"/>
        <v/>
      </c>
      <c r="AO106" s="10" t="str">
        <f t="shared" si="65"/>
        <v/>
      </c>
      <c r="AQ106" s="10" t="str">
        <f t="shared" si="49"/>
        <v/>
      </c>
      <c r="AR106" s="10" t="str">
        <f t="shared" si="66"/>
        <v/>
      </c>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V106" s="10" t="str">
        <f t="shared" si="50"/>
        <v/>
      </c>
      <c r="AW106" s="10" t="str">
        <f t="shared" si="67"/>
        <v/>
      </c>
      <c r="AY106" s="7" t="str">
        <f>IF(ISERROR(IF($K106&lt;=$F$15,VLOOKUP($I106,'表4）CO2価格'!$A$7:$E$67,VLOOKUP($F$48,'表4）CO2価格'!$H$10:$I$12,2,0),0)*$F$8/1000,"")),0,IF($K106&lt;=$F$15,VLOOKUP($I106,'表4）CO2価格'!$A$7:$E$67,VLOOKUP($F$48,'表4）CO2価格'!$H$10:$I$12,2,0),0)*$F$8/1000,""))</f>
        <v/>
      </c>
      <c r="BA106" s="11" t="str">
        <f t="shared" si="51"/>
        <v/>
      </c>
      <c r="BB106" s="10" t="str">
        <f t="shared" si="68"/>
        <v/>
      </c>
      <c r="BD106" s="10" t="str">
        <f t="shared" si="52"/>
        <v/>
      </c>
      <c r="BE106" s="10" t="str">
        <f t="shared" si="69"/>
        <v/>
      </c>
      <c r="BG106" s="11" t="str">
        <f t="shared" si="53"/>
        <v/>
      </c>
      <c r="BH106" s="10" t="str">
        <f t="shared" si="70"/>
        <v/>
      </c>
      <c r="BJ106" s="7" t="str">
        <f t="shared" si="71"/>
        <v/>
      </c>
      <c r="BK106" s="158" t="str">
        <f t="shared" si="72"/>
        <v/>
      </c>
      <c r="BL106" s="158" t="str">
        <f t="shared" si="54"/>
        <v/>
      </c>
      <c r="BM106" s="10"/>
      <c r="BN106" s="10" t="str">
        <f t="shared" si="73"/>
        <v/>
      </c>
      <c r="BO106" s="10" t="str">
        <f t="shared" si="74"/>
        <v/>
      </c>
      <c r="BQ106" s="10" t="str">
        <f t="shared" si="55"/>
        <v/>
      </c>
      <c r="BR106" s="10" t="str">
        <f t="shared" si="75"/>
        <v/>
      </c>
    </row>
    <row r="107" spans="4:70" ht="15" x14ac:dyDescent="0.15">
      <c r="D107" s="103" t="s">
        <v>604</v>
      </c>
      <c r="F107" s="484">
        <f>SUBTOTAL(9,F111:F112)</f>
        <v>0</v>
      </c>
      <c r="G107" s="84" t="s">
        <v>590</v>
      </c>
      <c r="I107" s="38">
        <f t="shared" si="76"/>
        <v>2122</v>
      </c>
      <c r="J107" s="39"/>
      <c r="K107" s="39">
        <f t="shared" si="77"/>
        <v>93</v>
      </c>
      <c r="L107" s="39"/>
      <c r="M107" s="40">
        <f t="shared" si="40"/>
        <v>6.3993829875609989E-2</v>
      </c>
      <c r="N107" s="39"/>
      <c r="O107" s="72" t="str">
        <f t="shared" si="56"/>
        <v/>
      </c>
      <c r="P107" s="41" t="str">
        <f t="shared" si="41"/>
        <v/>
      </c>
      <c r="Q107" s="39"/>
      <c r="R107" s="72" t="str">
        <f t="shared" si="57"/>
        <v/>
      </c>
      <c r="S107" s="39"/>
      <c r="T107" s="72" t="str">
        <f t="shared" si="58"/>
        <v/>
      </c>
      <c r="U107" s="39"/>
      <c r="V107" s="72" t="str">
        <f t="shared" si="42"/>
        <v/>
      </c>
      <c r="W107" s="72" t="str">
        <f t="shared" si="59"/>
        <v/>
      </c>
      <c r="X107" s="39"/>
      <c r="Y107" s="72" t="str">
        <f t="shared" si="43"/>
        <v/>
      </c>
      <c r="Z107" s="72" t="str">
        <f t="shared" si="60"/>
        <v/>
      </c>
      <c r="AA107" s="39"/>
      <c r="AB107" s="72" t="str">
        <f t="shared" si="44"/>
        <v/>
      </c>
      <c r="AC107" s="72" t="str">
        <f t="shared" si="61"/>
        <v/>
      </c>
      <c r="AD107" s="39"/>
      <c r="AE107" s="72" t="str">
        <f t="shared" si="45"/>
        <v/>
      </c>
      <c r="AF107" s="72" t="str">
        <f t="shared" si="62"/>
        <v/>
      </c>
      <c r="AG107" s="39"/>
      <c r="AH107" s="72" t="str">
        <f t="shared" si="46"/>
        <v/>
      </c>
      <c r="AI107" s="72" t="str">
        <f t="shared" si="63"/>
        <v/>
      </c>
      <c r="AJ107" s="39"/>
      <c r="AK107" s="72" t="str">
        <f t="shared" si="47"/>
        <v/>
      </c>
      <c r="AL107" s="72" t="str">
        <f t="shared" si="64"/>
        <v/>
      </c>
      <c r="AM107" s="39"/>
      <c r="AN107" s="72" t="str">
        <f t="shared" si="48"/>
        <v/>
      </c>
      <c r="AO107" s="72" t="str">
        <f t="shared" si="65"/>
        <v/>
      </c>
      <c r="AP107" s="39"/>
      <c r="AQ107" s="72" t="str">
        <f t="shared" si="49"/>
        <v/>
      </c>
      <c r="AR107" s="72" t="str">
        <f t="shared" si="66"/>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50"/>
        <v/>
      </c>
      <c r="AW107" s="72" t="str">
        <f t="shared" si="67"/>
        <v/>
      </c>
      <c r="AX107" s="39"/>
      <c r="AY107" s="40" t="str">
        <f>IF(ISERROR(IF($K107&lt;=$F$15,VLOOKUP($I107,'表4）CO2価格'!$A$7:$E$67,VLOOKUP($F$48,'表4）CO2価格'!$H$10:$I$12,2,0),0)*$F$8/1000,"")),0,IF($K107&lt;=$F$15,VLOOKUP($I107,'表4）CO2価格'!$A$7:$E$67,VLOOKUP($F$48,'表4）CO2価格'!$H$10:$I$12,2,0),0)*$F$8/1000,""))</f>
        <v/>
      </c>
      <c r="AZ107" s="39"/>
      <c r="BA107" s="42" t="str">
        <f t="shared" si="51"/>
        <v/>
      </c>
      <c r="BB107" s="72" t="str">
        <f t="shared" si="68"/>
        <v/>
      </c>
      <c r="BC107" s="39"/>
      <c r="BD107" s="72" t="str">
        <f t="shared" si="52"/>
        <v/>
      </c>
      <c r="BE107" s="72" t="str">
        <f t="shared" si="69"/>
        <v/>
      </c>
      <c r="BF107" s="39"/>
      <c r="BG107" s="42" t="str">
        <f t="shared" si="53"/>
        <v/>
      </c>
      <c r="BH107" s="72" t="str">
        <f t="shared" si="70"/>
        <v/>
      </c>
      <c r="BI107" s="39"/>
      <c r="BJ107" s="40" t="str">
        <f t="shared" si="71"/>
        <v/>
      </c>
      <c r="BK107" s="157" t="str">
        <f t="shared" si="72"/>
        <v/>
      </c>
      <c r="BL107" s="157" t="str">
        <f t="shared" si="54"/>
        <v/>
      </c>
      <c r="BM107" s="72"/>
      <c r="BN107" s="72" t="str">
        <f t="shared" si="73"/>
        <v/>
      </c>
      <c r="BO107" s="72" t="str">
        <f t="shared" si="74"/>
        <v/>
      </c>
      <c r="BP107" s="39"/>
      <c r="BQ107" s="72" t="str">
        <f t="shared" si="55"/>
        <v/>
      </c>
      <c r="BR107" s="72" t="str">
        <f t="shared" si="75"/>
        <v/>
      </c>
    </row>
    <row r="108" spans="4:70" ht="15" x14ac:dyDescent="0.15">
      <c r="D108" s="103"/>
      <c r="F108" s="487"/>
      <c r="I108" s="322">
        <f t="shared" si="76"/>
        <v>2123</v>
      </c>
      <c r="K108" s="71">
        <f t="shared" si="77"/>
        <v>94</v>
      </c>
      <c r="M108" s="7">
        <f t="shared" si="40"/>
        <v>6.212993191806794E-2</v>
      </c>
      <c r="O108" s="10" t="str">
        <f t="shared" si="56"/>
        <v/>
      </c>
      <c r="P108" s="29" t="str">
        <f t="shared" si="41"/>
        <v/>
      </c>
      <c r="R108" s="10" t="str">
        <f t="shared" si="57"/>
        <v/>
      </c>
      <c r="T108" s="10" t="str">
        <f t="shared" si="58"/>
        <v/>
      </c>
      <c r="V108" s="10" t="str">
        <f t="shared" si="42"/>
        <v/>
      </c>
      <c r="W108" s="10" t="str">
        <f t="shared" si="59"/>
        <v/>
      </c>
      <c r="Y108" s="10" t="str">
        <f t="shared" si="43"/>
        <v/>
      </c>
      <c r="Z108" s="10" t="str">
        <f t="shared" si="60"/>
        <v/>
      </c>
      <c r="AB108" s="10" t="str">
        <f t="shared" si="44"/>
        <v/>
      </c>
      <c r="AC108" s="10" t="str">
        <f t="shared" si="61"/>
        <v/>
      </c>
      <c r="AE108" s="10" t="str">
        <f t="shared" si="45"/>
        <v/>
      </c>
      <c r="AF108" s="10" t="str">
        <f t="shared" si="62"/>
        <v/>
      </c>
      <c r="AH108" s="10" t="str">
        <f t="shared" si="46"/>
        <v/>
      </c>
      <c r="AI108" s="10" t="str">
        <f t="shared" si="63"/>
        <v/>
      </c>
      <c r="AK108" s="10" t="str">
        <f t="shared" si="47"/>
        <v/>
      </c>
      <c r="AL108" s="10" t="str">
        <f t="shared" si="64"/>
        <v/>
      </c>
      <c r="AN108" s="10" t="str">
        <f t="shared" si="48"/>
        <v/>
      </c>
      <c r="AO108" s="10" t="str">
        <f t="shared" si="65"/>
        <v/>
      </c>
      <c r="AQ108" s="10" t="str">
        <f t="shared" si="49"/>
        <v/>
      </c>
      <c r="AR108" s="10" t="str">
        <f t="shared" si="66"/>
        <v/>
      </c>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V108" s="10" t="str">
        <f t="shared" si="50"/>
        <v/>
      </c>
      <c r="AW108" s="10" t="str">
        <f t="shared" si="67"/>
        <v/>
      </c>
      <c r="AY108" s="7" t="str">
        <f>IF(ISERROR(IF($K108&lt;=$F$15,VLOOKUP($I108,'表4）CO2価格'!$A$7:$E$67,VLOOKUP($F$48,'表4）CO2価格'!$H$10:$I$12,2,0),0)*$F$8/1000,"")),0,IF($K108&lt;=$F$15,VLOOKUP($I108,'表4）CO2価格'!$A$7:$E$67,VLOOKUP($F$48,'表4）CO2価格'!$H$10:$I$12,2,0),0)*$F$8/1000,""))</f>
        <v/>
      </c>
      <c r="BA108" s="11" t="str">
        <f t="shared" si="51"/>
        <v/>
      </c>
      <c r="BB108" s="10" t="str">
        <f t="shared" si="68"/>
        <v/>
      </c>
      <c r="BD108" s="10" t="str">
        <f t="shared" si="52"/>
        <v/>
      </c>
      <c r="BE108" s="10" t="str">
        <f t="shared" si="69"/>
        <v/>
      </c>
      <c r="BG108" s="11" t="str">
        <f t="shared" si="53"/>
        <v/>
      </c>
      <c r="BH108" s="10" t="str">
        <f t="shared" si="70"/>
        <v/>
      </c>
      <c r="BJ108" s="7" t="str">
        <f t="shared" si="71"/>
        <v/>
      </c>
      <c r="BK108" s="158" t="str">
        <f t="shared" si="72"/>
        <v/>
      </c>
      <c r="BL108" s="158" t="str">
        <f t="shared" si="54"/>
        <v/>
      </c>
      <c r="BM108" s="10"/>
      <c r="BN108" s="10" t="str">
        <f t="shared" si="73"/>
        <v/>
      </c>
      <c r="BO108" s="10" t="str">
        <f t="shared" si="74"/>
        <v/>
      </c>
      <c r="BQ108" s="10" t="str">
        <f t="shared" si="55"/>
        <v/>
      </c>
      <c r="BR108" s="10" t="str">
        <f t="shared" si="75"/>
        <v/>
      </c>
    </row>
    <row r="109" spans="4:70" x14ac:dyDescent="0.15">
      <c r="D109" s="100" t="s">
        <v>605</v>
      </c>
      <c r="E109" s="100"/>
      <c r="F109" s="486"/>
      <c r="G109" s="100"/>
      <c r="I109" s="38">
        <f t="shared" si="76"/>
        <v>2124</v>
      </c>
      <c r="J109" s="39"/>
      <c r="K109" s="39">
        <f t="shared" si="77"/>
        <v>95</v>
      </c>
      <c r="L109" s="39"/>
      <c r="M109" s="40">
        <f t="shared" si="40"/>
        <v>6.0320322250551395E-2</v>
      </c>
      <c r="N109" s="39"/>
      <c r="O109" s="72" t="str">
        <f t="shared" si="56"/>
        <v/>
      </c>
      <c r="P109" s="41" t="str">
        <f t="shared" si="41"/>
        <v/>
      </c>
      <c r="Q109" s="39"/>
      <c r="R109" s="72" t="str">
        <f t="shared" si="57"/>
        <v/>
      </c>
      <c r="S109" s="39"/>
      <c r="T109" s="72" t="str">
        <f t="shared" si="58"/>
        <v/>
      </c>
      <c r="U109" s="39"/>
      <c r="V109" s="72" t="str">
        <f t="shared" si="42"/>
        <v/>
      </c>
      <c r="W109" s="72" t="str">
        <f t="shared" si="59"/>
        <v/>
      </c>
      <c r="X109" s="39"/>
      <c r="Y109" s="72" t="str">
        <f t="shared" si="43"/>
        <v/>
      </c>
      <c r="Z109" s="72" t="str">
        <f t="shared" si="60"/>
        <v/>
      </c>
      <c r="AA109" s="39"/>
      <c r="AB109" s="72" t="str">
        <f t="shared" si="44"/>
        <v/>
      </c>
      <c r="AC109" s="72" t="str">
        <f t="shared" si="61"/>
        <v/>
      </c>
      <c r="AD109" s="39"/>
      <c r="AE109" s="72" t="str">
        <f t="shared" si="45"/>
        <v/>
      </c>
      <c r="AF109" s="72" t="str">
        <f t="shared" si="62"/>
        <v/>
      </c>
      <c r="AG109" s="39"/>
      <c r="AH109" s="72" t="str">
        <f t="shared" si="46"/>
        <v/>
      </c>
      <c r="AI109" s="72" t="str">
        <f t="shared" si="63"/>
        <v/>
      </c>
      <c r="AJ109" s="39"/>
      <c r="AK109" s="72" t="str">
        <f t="shared" si="47"/>
        <v/>
      </c>
      <c r="AL109" s="72" t="str">
        <f t="shared" si="64"/>
        <v/>
      </c>
      <c r="AM109" s="39"/>
      <c r="AN109" s="72" t="str">
        <f t="shared" si="48"/>
        <v/>
      </c>
      <c r="AO109" s="72" t="str">
        <f t="shared" si="65"/>
        <v/>
      </c>
      <c r="AP109" s="39"/>
      <c r="AQ109" s="72" t="str">
        <f t="shared" si="49"/>
        <v/>
      </c>
      <c r="AR109" s="72" t="str">
        <f t="shared" si="66"/>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50"/>
        <v/>
      </c>
      <c r="AW109" s="72" t="str">
        <f t="shared" si="67"/>
        <v/>
      </c>
      <c r="AX109" s="39"/>
      <c r="AY109" s="40" t="str">
        <f>IF(ISERROR(IF($K109&lt;=$F$15,VLOOKUP($I109,'表4）CO2価格'!$A$7:$E$67,VLOOKUP($F$48,'表4）CO2価格'!$H$10:$I$12,2,0),0)*$F$8/1000,"")),0,IF($K109&lt;=$F$15,VLOOKUP($I109,'表4）CO2価格'!$A$7:$E$67,VLOOKUP($F$48,'表4）CO2価格'!$H$10:$I$12,2,0),0)*$F$8/1000,""))</f>
        <v/>
      </c>
      <c r="AZ109" s="39"/>
      <c r="BA109" s="42" t="str">
        <f t="shared" si="51"/>
        <v/>
      </c>
      <c r="BB109" s="72" t="str">
        <f t="shared" si="68"/>
        <v/>
      </c>
      <c r="BC109" s="39"/>
      <c r="BD109" s="72" t="str">
        <f t="shared" si="52"/>
        <v/>
      </c>
      <c r="BE109" s="72" t="str">
        <f t="shared" si="69"/>
        <v/>
      </c>
      <c r="BF109" s="39"/>
      <c r="BG109" s="42" t="str">
        <f t="shared" si="53"/>
        <v/>
      </c>
      <c r="BH109" s="72" t="str">
        <f t="shared" si="70"/>
        <v/>
      </c>
      <c r="BI109" s="39"/>
      <c r="BJ109" s="40" t="str">
        <f t="shared" si="71"/>
        <v/>
      </c>
      <c r="BK109" s="157" t="str">
        <f t="shared" si="72"/>
        <v/>
      </c>
      <c r="BL109" s="157" t="str">
        <f t="shared" si="54"/>
        <v/>
      </c>
      <c r="BM109" s="72"/>
      <c r="BN109" s="72" t="str">
        <f t="shared" si="73"/>
        <v/>
      </c>
      <c r="BO109" s="72" t="str">
        <f t="shared" si="74"/>
        <v/>
      </c>
      <c r="BP109" s="39"/>
      <c r="BQ109" s="72" t="str">
        <f t="shared" si="55"/>
        <v/>
      </c>
      <c r="BR109" s="72" t="str">
        <f t="shared" si="75"/>
        <v/>
      </c>
    </row>
    <row r="110" spans="4:70" ht="15" x14ac:dyDescent="0.15">
      <c r="D110" s="103"/>
      <c r="F110" s="487"/>
      <c r="I110" s="322">
        <f t="shared" si="76"/>
        <v>2125</v>
      </c>
      <c r="K110" s="71">
        <f t="shared" si="77"/>
        <v>96</v>
      </c>
      <c r="M110" s="7">
        <f t="shared" si="40"/>
        <v>5.8563419660729518E-2</v>
      </c>
      <c r="O110" s="10" t="str">
        <f t="shared" si="56"/>
        <v/>
      </c>
      <c r="P110" s="29" t="str">
        <f t="shared" si="41"/>
        <v/>
      </c>
      <c r="R110" s="10" t="str">
        <f t="shared" si="57"/>
        <v/>
      </c>
      <c r="T110" s="10" t="str">
        <f t="shared" si="58"/>
        <v/>
      </c>
      <c r="V110" s="10" t="str">
        <f t="shared" si="42"/>
        <v/>
      </c>
      <c r="W110" s="10" t="str">
        <f t="shared" si="59"/>
        <v/>
      </c>
      <c r="Y110" s="10" t="str">
        <f t="shared" si="43"/>
        <v/>
      </c>
      <c r="Z110" s="10" t="str">
        <f t="shared" si="60"/>
        <v/>
      </c>
      <c r="AB110" s="10" t="str">
        <f t="shared" si="44"/>
        <v/>
      </c>
      <c r="AC110" s="10" t="str">
        <f t="shared" si="61"/>
        <v/>
      </c>
      <c r="AE110" s="10" t="str">
        <f t="shared" si="45"/>
        <v/>
      </c>
      <c r="AF110" s="10" t="str">
        <f t="shared" si="62"/>
        <v/>
      </c>
      <c r="AH110" s="10" t="str">
        <f t="shared" si="46"/>
        <v/>
      </c>
      <c r="AI110" s="10" t="str">
        <f t="shared" si="63"/>
        <v/>
      </c>
      <c r="AK110" s="10" t="str">
        <f t="shared" si="47"/>
        <v/>
      </c>
      <c r="AL110" s="10" t="str">
        <f t="shared" si="64"/>
        <v/>
      </c>
      <c r="AN110" s="10" t="str">
        <f t="shared" si="48"/>
        <v/>
      </c>
      <c r="AO110" s="10" t="str">
        <f t="shared" si="65"/>
        <v/>
      </c>
      <c r="AQ110" s="10" t="str">
        <f t="shared" si="49"/>
        <v/>
      </c>
      <c r="AR110" s="10" t="str">
        <f t="shared" si="66"/>
        <v/>
      </c>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V110" s="10" t="str">
        <f t="shared" si="50"/>
        <v/>
      </c>
      <c r="AW110" s="10" t="str">
        <f t="shared" si="67"/>
        <v/>
      </c>
      <c r="AY110" s="7" t="str">
        <f>IF(ISERROR(IF($K110&lt;=$F$15,VLOOKUP($I110,'表4）CO2価格'!$A$7:$E$67,VLOOKUP($F$48,'表4）CO2価格'!$H$10:$I$12,2,0),0)*$F$8/1000,"")),0,IF($K110&lt;=$F$15,VLOOKUP($I110,'表4）CO2価格'!$A$7:$E$67,VLOOKUP($F$48,'表4）CO2価格'!$H$10:$I$12,2,0),0)*$F$8/1000,""))</f>
        <v/>
      </c>
      <c r="BA110" s="11" t="str">
        <f t="shared" si="51"/>
        <v/>
      </c>
      <c r="BB110" s="10" t="str">
        <f t="shared" si="68"/>
        <v/>
      </c>
      <c r="BD110" s="10" t="str">
        <f t="shared" si="52"/>
        <v/>
      </c>
      <c r="BE110" s="10" t="str">
        <f t="shared" si="69"/>
        <v/>
      </c>
      <c r="BG110" s="11" t="str">
        <f t="shared" si="53"/>
        <v/>
      </c>
      <c r="BH110" s="10" t="str">
        <f t="shared" si="70"/>
        <v/>
      </c>
      <c r="BJ110" s="7" t="str">
        <f t="shared" si="71"/>
        <v/>
      </c>
      <c r="BK110" s="158" t="str">
        <f t="shared" si="72"/>
        <v/>
      </c>
      <c r="BL110" s="158" t="str">
        <f t="shared" si="54"/>
        <v/>
      </c>
      <c r="BM110" s="10"/>
      <c r="BN110" s="10" t="str">
        <f t="shared" si="73"/>
        <v/>
      </c>
      <c r="BO110" s="10" t="str">
        <f t="shared" si="74"/>
        <v/>
      </c>
      <c r="BQ110" s="10" t="str">
        <f t="shared" si="55"/>
        <v/>
      </c>
      <c r="BR110" s="10" t="str">
        <f t="shared" si="75"/>
        <v/>
      </c>
    </row>
    <row r="111" spans="4:70" ht="15" x14ac:dyDescent="0.15">
      <c r="D111" s="103"/>
      <c r="E111" s="84" t="s">
        <v>606</v>
      </c>
      <c r="F111" s="488">
        <f>-BE116/BR116</f>
        <v>0</v>
      </c>
      <c r="G111" s="84" t="s">
        <v>590</v>
      </c>
      <c r="I111" s="38">
        <f t="shared" si="76"/>
        <v>2126</v>
      </c>
      <c r="J111" s="39"/>
      <c r="K111" s="39">
        <f t="shared" si="77"/>
        <v>97</v>
      </c>
      <c r="L111" s="39"/>
      <c r="M111" s="40">
        <f t="shared" si="40"/>
        <v>5.6857688990999529E-2</v>
      </c>
      <c r="N111" s="39"/>
      <c r="O111" s="72" t="str">
        <f t="shared" si="56"/>
        <v/>
      </c>
      <c r="P111" s="41" t="str">
        <f>IF(K111&lt;=$F$15,IF(OR(P110=$F$124,P110="-"),"-",IF(O111*$F$123&gt;$F$127,$F$123,$F$124)),"")</f>
        <v/>
      </c>
      <c r="Q111" s="39"/>
      <c r="R111" s="72" t="str">
        <f t="shared" si="57"/>
        <v/>
      </c>
      <c r="S111" s="39"/>
      <c r="T111" s="72" t="str">
        <f t="shared" si="58"/>
        <v/>
      </c>
      <c r="U111" s="39"/>
      <c r="V111" s="72" t="str">
        <f t="shared" si="42"/>
        <v/>
      </c>
      <c r="W111" s="72" t="str">
        <f t="shared" si="59"/>
        <v/>
      </c>
      <c r="X111" s="39"/>
      <c r="Y111" s="72" t="str">
        <f t="shared" si="43"/>
        <v/>
      </c>
      <c r="Z111" s="72" t="str">
        <f t="shared" si="60"/>
        <v/>
      </c>
      <c r="AA111" s="39"/>
      <c r="AB111" s="72" t="str">
        <f t="shared" si="44"/>
        <v/>
      </c>
      <c r="AC111" s="72" t="str">
        <f t="shared" si="61"/>
        <v/>
      </c>
      <c r="AD111" s="39"/>
      <c r="AE111" s="72" t="str">
        <f t="shared" si="45"/>
        <v/>
      </c>
      <c r="AF111" s="72" t="str">
        <f t="shared" si="62"/>
        <v/>
      </c>
      <c r="AG111" s="39"/>
      <c r="AH111" s="72" t="str">
        <f t="shared" si="46"/>
        <v/>
      </c>
      <c r="AI111" s="72" t="str">
        <f t="shared" si="63"/>
        <v/>
      </c>
      <c r="AJ111" s="39"/>
      <c r="AK111" s="72" t="str">
        <f t="shared" si="47"/>
        <v/>
      </c>
      <c r="AL111" s="72" t="str">
        <f t="shared" si="64"/>
        <v/>
      </c>
      <c r="AM111" s="39"/>
      <c r="AN111" s="72" t="str">
        <f t="shared" si="48"/>
        <v/>
      </c>
      <c r="AO111" s="72" t="str">
        <f t="shared" si="65"/>
        <v/>
      </c>
      <c r="AP111" s="39"/>
      <c r="AQ111" s="72" t="str">
        <f t="shared" si="49"/>
        <v/>
      </c>
      <c r="AR111" s="72" t="str">
        <f t="shared" si="66"/>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50"/>
        <v/>
      </c>
      <c r="AW111" s="72" t="str">
        <f t="shared" si="67"/>
        <v/>
      </c>
      <c r="AX111" s="39"/>
      <c r="AY111" s="40" t="str">
        <f>IF(ISERROR(IF($K111&lt;=$F$15,VLOOKUP($I111,'表4）CO2価格'!$A$7:$E$67,VLOOKUP($F$48,'表4）CO2価格'!$H$10:$I$12,2,0),0)*$F$8/1000,"")),0,IF($K111&lt;=$F$15,VLOOKUP($I111,'表4）CO2価格'!$A$7:$E$67,VLOOKUP($F$48,'表4）CO2価格'!$H$10:$I$12,2,0),0)*$F$8/1000,""))</f>
        <v/>
      </c>
      <c r="AZ111" s="39"/>
      <c r="BA111" s="42" t="str">
        <f t="shared" si="51"/>
        <v/>
      </c>
      <c r="BB111" s="72" t="str">
        <f t="shared" si="68"/>
        <v/>
      </c>
      <c r="BC111" s="39"/>
      <c r="BD111" s="72" t="str">
        <f t="shared" si="52"/>
        <v/>
      </c>
      <c r="BE111" s="72" t="str">
        <f t="shared" si="69"/>
        <v/>
      </c>
      <c r="BF111" s="39"/>
      <c r="BG111" s="42" t="str">
        <f t="shared" si="53"/>
        <v/>
      </c>
      <c r="BH111" s="72" t="str">
        <f t="shared" si="70"/>
        <v/>
      </c>
      <c r="BI111" s="39"/>
      <c r="BJ111" s="40" t="str">
        <f t="shared" si="71"/>
        <v/>
      </c>
      <c r="BK111" s="157" t="str">
        <f t="shared" si="72"/>
        <v/>
      </c>
      <c r="BL111" s="157" t="str">
        <f t="shared" si="54"/>
        <v/>
      </c>
      <c r="BM111" s="72"/>
      <c r="BN111" s="72" t="str">
        <f t="shared" si="73"/>
        <v/>
      </c>
      <c r="BO111" s="72" t="str">
        <f t="shared" si="74"/>
        <v/>
      </c>
      <c r="BP111" s="39"/>
      <c r="BQ111" s="72" t="str">
        <f t="shared" si="55"/>
        <v/>
      </c>
      <c r="BR111" s="72" t="str">
        <f t="shared" si="75"/>
        <v/>
      </c>
    </row>
    <row r="112" spans="4:70" ht="15" x14ac:dyDescent="0.15">
      <c r="D112" s="103"/>
      <c r="E112" s="84" t="s">
        <v>607</v>
      </c>
      <c r="F112" s="488">
        <f>-BH116/BR116</f>
        <v>0</v>
      </c>
      <c r="G112" s="84" t="s">
        <v>590</v>
      </c>
      <c r="I112" s="322">
        <f t="shared" si="76"/>
        <v>2127</v>
      </c>
      <c r="K112" s="71">
        <f t="shared" si="77"/>
        <v>98</v>
      </c>
      <c r="M112" s="7">
        <f t="shared" si="40"/>
        <v>5.5201639797086935E-2</v>
      </c>
      <c r="O112" s="10" t="str">
        <f t="shared" si="56"/>
        <v/>
      </c>
      <c r="P112" s="29" t="str">
        <f>IF(K112&lt;=$F$15,IF(OR(P111=$F$124,P111="-"),"-",IF(O112*$F$123&gt;$F$127,$F$123,$F$124)),"")</f>
        <v/>
      </c>
      <c r="R112" s="10" t="str">
        <f t="shared" si="57"/>
        <v/>
      </c>
      <c r="T112" s="10" t="str">
        <f t="shared" si="58"/>
        <v/>
      </c>
      <c r="V112" s="10" t="str">
        <f t="shared" si="42"/>
        <v/>
      </c>
      <c r="W112" s="10" t="str">
        <f t="shared" si="59"/>
        <v/>
      </c>
      <c r="Y112" s="10" t="str">
        <f t="shared" si="43"/>
        <v/>
      </c>
      <c r="Z112" s="10" t="str">
        <f t="shared" si="60"/>
        <v/>
      </c>
      <c r="AB112" s="10" t="str">
        <f t="shared" si="44"/>
        <v/>
      </c>
      <c r="AC112" s="10" t="str">
        <f t="shared" si="61"/>
        <v/>
      </c>
      <c r="AE112" s="10" t="str">
        <f t="shared" si="45"/>
        <v/>
      </c>
      <c r="AF112" s="10" t="str">
        <f t="shared" si="62"/>
        <v/>
      </c>
      <c r="AH112" s="10" t="str">
        <f t="shared" si="46"/>
        <v/>
      </c>
      <c r="AI112" s="10" t="str">
        <f t="shared" si="63"/>
        <v/>
      </c>
      <c r="AK112" s="10" t="str">
        <f t="shared" si="47"/>
        <v/>
      </c>
      <c r="AL112" s="10" t="str">
        <f t="shared" si="64"/>
        <v/>
      </c>
      <c r="AN112" s="10" t="str">
        <f t="shared" si="48"/>
        <v/>
      </c>
      <c r="AO112" s="10" t="str">
        <f t="shared" si="65"/>
        <v/>
      </c>
      <c r="AQ112" s="10" t="str">
        <f t="shared" si="49"/>
        <v/>
      </c>
      <c r="AR112" s="10" t="str">
        <f t="shared" si="66"/>
        <v/>
      </c>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V112" s="10" t="str">
        <f t="shared" si="50"/>
        <v/>
      </c>
      <c r="AW112" s="10" t="str">
        <f t="shared" si="67"/>
        <v/>
      </c>
      <c r="AY112" s="7" t="str">
        <f>IF(ISERROR(IF($K112&lt;=$F$15,VLOOKUP($I112,'表4）CO2価格'!$A$7:$E$67,VLOOKUP($F$48,'表4）CO2価格'!$H$10:$I$12,2,0),0)*$F$8/1000,"")),0,IF($K112&lt;=$F$15,VLOOKUP($I112,'表4）CO2価格'!$A$7:$E$67,VLOOKUP($F$48,'表4）CO2価格'!$H$10:$I$12,2,0),0)*$F$8/1000,""))</f>
        <v/>
      </c>
      <c r="BA112" s="11" t="str">
        <f t="shared" si="51"/>
        <v/>
      </c>
      <c r="BB112" s="10" t="str">
        <f t="shared" si="68"/>
        <v/>
      </c>
      <c r="BD112" s="10" t="str">
        <f t="shared" si="52"/>
        <v/>
      </c>
      <c r="BE112" s="10" t="str">
        <f t="shared" si="69"/>
        <v/>
      </c>
      <c r="BG112" s="11" t="str">
        <f t="shared" si="53"/>
        <v/>
      </c>
      <c r="BH112" s="10" t="str">
        <f t="shared" si="70"/>
        <v/>
      </c>
      <c r="BJ112" s="7" t="str">
        <f t="shared" si="71"/>
        <v/>
      </c>
      <c r="BK112" s="158" t="str">
        <f t="shared" si="72"/>
        <v/>
      </c>
      <c r="BL112" s="158" t="str">
        <f t="shared" si="54"/>
        <v/>
      </c>
      <c r="BM112" s="10"/>
      <c r="BN112" s="10" t="str">
        <f t="shared" si="73"/>
        <v/>
      </c>
      <c r="BO112" s="10" t="str">
        <f t="shared" si="74"/>
        <v/>
      </c>
      <c r="BQ112" s="10" t="str">
        <f t="shared" si="55"/>
        <v/>
      </c>
      <c r="BR112" s="10" t="str">
        <f t="shared" si="75"/>
        <v/>
      </c>
    </row>
    <row r="113" spans="2:70" x14ac:dyDescent="0.15">
      <c r="I113" s="38">
        <f t="shared" si="76"/>
        <v>2128</v>
      </c>
      <c r="J113" s="39"/>
      <c r="K113" s="39">
        <f t="shared" si="77"/>
        <v>99</v>
      </c>
      <c r="L113" s="39"/>
      <c r="M113" s="40">
        <f t="shared" si="40"/>
        <v>5.3593825045715457E-2</v>
      </c>
      <c r="N113" s="39"/>
      <c r="O113" s="72" t="str">
        <f t="shared" si="56"/>
        <v/>
      </c>
      <c r="P113" s="41" t="str">
        <f>IF(K113&lt;=$F$15,IF(OR(P112=$F$124,P112="-"),"-",IF(O113*$F$123&gt;$F$127,$F$123,$F$124)),"")</f>
        <v/>
      </c>
      <c r="Q113" s="39"/>
      <c r="R113" s="72" t="str">
        <f t="shared" si="57"/>
        <v/>
      </c>
      <c r="S113" s="39"/>
      <c r="T113" s="72" t="str">
        <f t="shared" si="58"/>
        <v/>
      </c>
      <c r="U113" s="39"/>
      <c r="V113" s="72" t="str">
        <f t="shared" si="42"/>
        <v/>
      </c>
      <c r="W113" s="72" t="str">
        <f t="shared" si="59"/>
        <v/>
      </c>
      <c r="X113" s="39"/>
      <c r="Y113" s="72" t="str">
        <f t="shared" si="43"/>
        <v/>
      </c>
      <c r="Z113" s="72" t="str">
        <f t="shared" si="60"/>
        <v/>
      </c>
      <c r="AA113" s="39"/>
      <c r="AB113" s="72" t="str">
        <f t="shared" si="44"/>
        <v/>
      </c>
      <c r="AC113" s="72" t="str">
        <f t="shared" si="61"/>
        <v/>
      </c>
      <c r="AD113" s="39"/>
      <c r="AE113" s="72" t="str">
        <f t="shared" si="45"/>
        <v/>
      </c>
      <c r="AF113" s="72" t="str">
        <f t="shared" si="62"/>
        <v/>
      </c>
      <c r="AG113" s="39"/>
      <c r="AH113" s="72" t="str">
        <f t="shared" si="46"/>
        <v/>
      </c>
      <c r="AI113" s="72" t="str">
        <f t="shared" si="63"/>
        <v/>
      </c>
      <c r="AJ113" s="39"/>
      <c r="AK113" s="72" t="str">
        <f t="shared" si="47"/>
        <v/>
      </c>
      <c r="AL113" s="72" t="str">
        <f t="shared" si="64"/>
        <v/>
      </c>
      <c r="AM113" s="39"/>
      <c r="AN113" s="72" t="str">
        <f t="shared" si="48"/>
        <v/>
      </c>
      <c r="AO113" s="72" t="str">
        <f t="shared" si="65"/>
        <v/>
      </c>
      <c r="AP113" s="39"/>
      <c r="AQ113" s="72" t="str">
        <f t="shared" si="49"/>
        <v/>
      </c>
      <c r="AR113" s="72" t="str">
        <f t="shared" si="66"/>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50"/>
        <v/>
      </c>
      <c r="AW113" s="72" t="str">
        <f t="shared" si="67"/>
        <v/>
      </c>
      <c r="AX113" s="39"/>
      <c r="AY113" s="40" t="str">
        <f>IF(ISERROR(IF($K113&lt;=$F$15,VLOOKUP($I113,'表4）CO2価格'!$A$7:$E$67,VLOOKUP($F$48,'表4）CO2価格'!$H$10:$I$12,2,0),0)*$F$8/1000,"")),0,IF($K113&lt;=$F$15,VLOOKUP($I113,'表4）CO2価格'!$A$7:$E$67,VLOOKUP($F$48,'表4）CO2価格'!$H$10:$I$12,2,0),0)*$F$8/1000,""))</f>
        <v/>
      </c>
      <c r="AZ113" s="39"/>
      <c r="BA113" s="42" t="str">
        <f t="shared" si="51"/>
        <v/>
      </c>
      <c r="BB113" s="72" t="str">
        <f t="shared" si="68"/>
        <v/>
      </c>
      <c r="BC113" s="39"/>
      <c r="BD113" s="72" t="str">
        <f t="shared" si="52"/>
        <v/>
      </c>
      <c r="BE113" s="72" t="str">
        <f t="shared" si="69"/>
        <v/>
      </c>
      <c r="BF113" s="39"/>
      <c r="BG113" s="42" t="str">
        <f t="shared" si="53"/>
        <v/>
      </c>
      <c r="BH113" s="72" t="str">
        <f t="shared" si="70"/>
        <v/>
      </c>
      <c r="BI113" s="39"/>
      <c r="BJ113" s="40" t="str">
        <f t="shared" si="71"/>
        <v/>
      </c>
      <c r="BK113" s="157" t="str">
        <f t="shared" si="72"/>
        <v/>
      </c>
      <c r="BL113" s="157" t="str">
        <f t="shared" si="54"/>
        <v/>
      </c>
      <c r="BM113" s="72"/>
      <c r="BN113" s="72" t="str">
        <f t="shared" si="73"/>
        <v/>
      </c>
      <c r="BO113" s="72" t="str">
        <f t="shared" si="74"/>
        <v/>
      </c>
      <c r="BP113" s="39"/>
      <c r="BQ113" s="72" t="str">
        <f t="shared" si="55"/>
        <v/>
      </c>
      <c r="BR113" s="72" t="str">
        <f t="shared" si="75"/>
        <v/>
      </c>
    </row>
    <row r="114" spans="2:70" x14ac:dyDescent="0.15">
      <c r="I114" s="322">
        <f t="shared" si="76"/>
        <v>2129</v>
      </c>
      <c r="K114" s="71">
        <f t="shared" si="77"/>
        <v>100</v>
      </c>
      <c r="M114" s="7">
        <f t="shared" si="40"/>
        <v>5.2032839850209185E-2</v>
      </c>
      <c r="O114" s="10" t="str">
        <f t="shared" si="56"/>
        <v/>
      </c>
      <c r="P114" s="29" t="str">
        <f>IF(K114&lt;=$F$15,IF(OR(P113=$F$124,P113="-"),"-",IF(O114*$F$123&gt;$F$127,$F$123,$F$124)),"")</f>
        <v/>
      </c>
      <c r="R114" s="10" t="str">
        <f t="shared" si="57"/>
        <v/>
      </c>
      <c r="T114" s="10" t="str">
        <f t="shared" si="58"/>
        <v/>
      </c>
      <c r="V114" s="10" t="str">
        <f t="shared" si="42"/>
        <v/>
      </c>
      <c r="W114" s="10" t="str">
        <f t="shared" si="59"/>
        <v/>
      </c>
      <c r="Y114" s="10" t="str">
        <f t="shared" si="43"/>
        <v/>
      </c>
      <c r="Z114" s="10" t="str">
        <f t="shared" si="60"/>
        <v/>
      </c>
      <c r="AB114" s="10" t="str">
        <f t="shared" si="44"/>
        <v/>
      </c>
      <c r="AC114" s="10" t="str">
        <f t="shared" si="61"/>
        <v/>
      </c>
      <c r="AE114" s="10" t="str">
        <f t="shared" si="45"/>
        <v/>
      </c>
      <c r="AF114" s="10" t="str">
        <f t="shared" si="62"/>
        <v/>
      </c>
      <c r="AH114" s="10" t="str">
        <f t="shared" si="46"/>
        <v/>
      </c>
      <c r="AI114" s="10" t="str">
        <f t="shared" si="63"/>
        <v/>
      </c>
      <c r="AK114" s="10" t="str">
        <f t="shared" si="47"/>
        <v/>
      </c>
      <c r="AL114" s="10" t="str">
        <f t="shared" si="64"/>
        <v/>
      </c>
      <c r="AN114" s="10" t="str">
        <f t="shared" si="48"/>
        <v/>
      </c>
      <c r="AO114" s="10" t="str">
        <f t="shared" si="65"/>
        <v/>
      </c>
      <c r="AQ114" s="10" t="str">
        <f t="shared" si="49"/>
        <v/>
      </c>
      <c r="AR114" s="10" t="str">
        <f t="shared" si="66"/>
        <v/>
      </c>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V114" s="10" t="str">
        <f t="shared" si="50"/>
        <v/>
      </c>
      <c r="AW114" s="10" t="str">
        <f t="shared" si="67"/>
        <v/>
      </c>
      <c r="AY114" s="7" t="str">
        <f>IF(ISERROR(IF($K114&lt;=$F$15,VLOOKUP($I114,'表4）CO2価格'!$A$7:$E$67,VLOOKUP($F$48,'表4）CO2価格'!$H$10:$I$12,2,0),0)*$F$8/1000,"")),0,IF($K114&lt;=$F$15,VLOOKUP($I114,'表4）CO2価格'!$A$7:$E$67,VLOOKUP($F$48,'表4）CO2価格'!$H$10:$I$12,2,0),0)*$F$8/1000,""))</f>
        <v/>
      </c>
      <c r="BA114" s="11" t="str">
        <f t="shared" si="51"/>
        <v/>
      </c>
      <c r="BB114" s="10" t="str">
        <f t="shared" si="68"/>
        <v/>
      </c>
      <c r="BD114" s="10" t="str">
        <f t="shared" si="52"/>
        <v/>
      </c>
      <c r="BE114" s="10" t="str">
        <f t="shared" si="69"/>
        <v/>
      </c>
      <c r="BG114" s="11" t="str">
        <f t="shared" si="53"/>
        <v/>
      </c>
      <c r="BH114" s="10" t="str">
        <f t="shared" si="70"/>
        <v/>
      </c>
      <c r="BJ114" s="7" t="str">
        <f t="shared" si="71"/>
        <v/>
      </c>
      <c r="BK114" s="158" t="str">
        <f t="shared" si="72"/>
        <v/>
      </c>
      <c r="BL114" s="158" t="str">
        <f t="shared" si="54"/>
        <v/>
      </c>
      <c r="BM114" s="10"/>
      <c r="BN114" s="10" t="str">
        <f t="shared" si="73"/>
        <v/>
      </c>
      <c r="BO114" s="10" t="str">
        <f t="shared" si="74"/>
        <v/>
      </c>
      <c r="BQ114" s="10" t="str">
        <f t="shared" si="55"/>
        <v/>
      </c>
      <c r="BR114" s="10" t="str">
        <f t="shared" si="75"/>
        <v/>
      </c>
    </row>
    <row r="115" spans="2:70" ht="15.75" thickBot="1" x14ac:dyDescent="0.2">
      <c r="B115" s="5" t="s">
        <v>608</v>
      </c>
      <c r="C115" s="3"/>
      <c r="D115" s="102"/>
      <c r="E115" s="102"/>
      <c r="F115" s="3"/>
      <c r="G115" s="102"/>
      <c r="I115" s="321"/>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71" t="s">
        <v>143</v>
      </c>
      <c r="W116" s="11"/>
      <c r="Z116" s="11">
        <f>SUM(Z15:Z114)</f>
        <v>11767007174.731619</v>
      </c>
      <c r="AC116" s="11">
        <f>SUM(AC15:AC114)</f>
        <v>2061817975.2044146</v>
      </c>
      <c r="AF116" s="11">
        <f>SUM(AF15:AF114)</f>
        <v>0</v>
      </c>
      <c r="AI116" s="11">
        <f>SUM(AI15:AI114)</f>
        <v>14331158624.008007</v>
      </c>
      <c r="AL116" s="11">
        <f>SUM(AL15:AL114)</f>
        <v>76861239768.631287</v>
      </c>
      <c r="AO116" s="11">
        <f>SUM(AO15:AO114)</f>
        <v>35228068227.289337</v>
      </c>
      <c r="AR116" s="11">
        <f>SUM(AR15:AR114)</f>
        <v>15170455994.391434</v>
      </c>
      <c r="AW116" s="11">
        <f>SUM(AW15:AW114)</f>
        <v>2218935757879.7271</v>
      </c>
      <c r="BB116" s="11">
        <f>SUM(BB15:BB114)</f>
        <v>0</v>
      </c>
      <c r="BE116" s="11">
        <f>SUM(BE15:BE114)</f>
        <v>0</v>
      </c>
      <c r="BH116" s="11">
        <f>SUM(BH15:BH114)</f>
        <v>0</v>
      </c>
      <c r="BK116" s="11">
        <f>SUM(BK15:BK114)</f>
        <v>0</v>
      </c>
      <c r="BL116" s="11">
        <f>SUM(BL15:BL114)</f>
        <v>0</v>
      </c>
      <c r="BO116" s="11">
        <f>SUM(BO15:BO114)</f>
        <v>0</v>
      </c>
      <c r="BR116" s="11">
        <f>SUM(BR15:BR114)</f>
        <v>117707801750.82782</v>
      </c>
    </row>
    <row r="117" spans="2:70" x14ac:dyDescent="0.15">
      <c r="C117" s="71" t="s">
        <v>610</v>
      </c>
      <c r="F117" s="490">
        <f>F21*10^4*F13*10^4+F29*10^8</f>
        <v>138550000000</v>
      </c>
      <c r="G117" s="84" t="s">
        <v>611</v>
      </c>
      <c r="I117" s="48" t="s">
        <v>145</v>
      </c>
      <c r="W117" s="11"/>
      <c r="Z117" s="11" t="str">
        <f ca="1">IF(ISNUMBER($F$16),SUM(INDIRECT(ADDRESS($F$16+15,COLUMN())):INDIRECT(ADDRESS(114,COLUMN()))),"")</f>
        <v/>
      </c>
      <c r="AC117" s="11" t="str">
        <f ca="1">IF(ISNUMBER($F$16),SUM(INDIRECT(ADDRESS($F$16+15,COLUMN())):INDIRECT(ADDRESS(114,COLUMN()))),"")</f>
        <v/>
      </c>
      <c r="AF117" s="11" t="str">
        <f ca="1">IF(ISNUMBER($F$16),SUM(INDIRECT(ADDRESS($F$16+15,COLUMN())):INDIRECT(ADDRESS(114,COLUMN()))),"")</f>
        <v/>
      </c>
      <c r="AI117" s="11" t="str">
        <f ca="1">IF(ISNUMBER($F$16),SUM(INDIRECT(ADDRESS($F$16+15,COLUMN())):INDIRECT(ADDRESS(114,COLUMN()))),"")</f>
        <v/>
      </c>
      <c r="AL117" s="11" t="str">
        <f ca="1">IF(ISNUMBER($F$16),SUM(INDIRECT(ADDRESS($F$16+15,COLUMN())):INDIRECT(ADDRESS(114,COLUMN()))),"")</f>
        <v/>
      </c>
      <c r="AO117" s="11" t="str">
        <f ca="1">IF(ISNUMBER($F$16),SUM(INDIRECT(ADDRESS($F$16+15,COLUMN())):INDIRECT(ADDRESS(114,COLUMN()))),"")</f>
        <v/>
      </c>
      <c r="AR117" s="11" t="str">
        <f ca="1">IF(ISNUMBER($F$16),SUM(INDIRECT(ADDRESS($F$16+15,COLUMN())):INDIRECT(ADDRESS(114,COLUMN()))),"")</f>
        <v/>
      </c>
      <c r="AW117" s="11" t="str">
        <f ca="1">IF(ISNUMBER($F$16),SUM(INDIRECT(ADDRESS($F$16+15,COLUMN())):INDIRECT(ADDRESS(114,COLUMN()))),"")</f>
        <v/>
      </c>
      <c r="BB117" s="11" t="str">
        <f ca="1">IF(ISNUMBER($F$16),SUM(INDIRECT(ADDRESS($F$16+15,COLUMN())):INDIRECT(ADDRESS(114,COLUMN()))),"")</f>
        <v/>
      </c>
      <c r="BE117" s="11" t="str">
        <f ca="1">IF(ISNUMBER($F$16),SUM(INDIRECT(ADDRESS($F$16+15,COLUMN())):INDIRECT(ADDRESS(114,COLUMN()))),"")</f>
        <v/>
      </c>
      <c r="BH117" s="11" t="str">
        <f ca="1">IF(ISNUMBER($F$16),SUM(INDIRECT(ADDRESS($F$16+15,COLUMN())):INDIRECT(ADDRESS(114,COLUMN()))),"")</f>
        <v/>
      </c>
      <c r="BK117" s="11" t="str">
        <f ca="1">IF(ISNUMBER($F$16),SUM(INDIRECT(ADDRESS($F$16+15,COLUMN())):INDIRECT(ADDRESS(114,COLUMN()))),"")</f>
        <v/>
      </c>
      <c r="BL117" s="11" t="str">
        <f ca="1">IF(ISNUMBER($F$16),SUM(INDIRECT(ADDRESS($F$16+15,COLUMN())):INDIRECT(ADDRESS(114,COLUMN()))),"")</f>
        <v/>
      </c>
      <c r="BO117" s="11" t="str">
        <f ca="1">IF(ISNUMBER($F$16),SUM(INDIRECT(ADDRESS($F$16+15,COLUMN())):INDIRECT(ADDRESS(114,COLUMN()))),"")</f>
        <v/>
      </c>
      <c r="BR117" s="11" t="str">
        <f ca="1">IF(ISNUMBER($F$16),SUM(INDIRECT(ADDRESS($F$16+15,COLUMN())):INDIRECT(ADDRESS(114,COLUMN()))),"")</f>
        <v/>
      </c>
    </row>
    <row r="119" spans="2:70" x14ac:dyDescent="0.15">
      <c r="C119" s="71" t="s">
        <v>612</v>
      </c>
      <c r="F119" s="490">
        <f>VLOOKUP(F3,'表2）法定耐用年数'!$A$2:$B$24,2,0)</f>
        <v>15</v>
      </c>
      <c r="G119" s="84" t="s">
        <v>556</v>
      </c>
    </row>
    <row r="121" spans="2:70" x14ac:dyDescent="0.15">
      <c r="C121" s="4" t="s">
        <v>613</v>
      </c>
      <c r="D121" s="100"/>
      <c r="E121" s="100"/>
      <c r="F121" s="4"/>
      <c r="G121" s="100"/>
    </row>
    <row r="123" spans="2:70" x14ac:dyDescent="0.15">
      <c r="D123" s="84" t="s">
        <v>614</v>
      </c>
      <c r="F123" s="491">
        <f>VLOOKUP($F$119,'表1）減価償却率表'!$A$9:$E$107,3,0)</f>
        <v>0.16700000000000001</v>
      </c>
    </row>
    <row r="124" spans="2:70" x14ac:dyDescent="0.15">
      <c r="D124" s="84" t="s">
        <v>615</v>
      </c>
      <c r="F124" s="491">
        <f>VLOOKUP($F$119,'表1）減価償却率表'!$A$9:$E$107,4,0)</f>
        <v>0.2</v>
      </c>
    </row>
    <row r="125" spans="2:70" x14ac:dyDescent="0.15">
      <c r="D125" s="84" t="s">
        <v>616</v>
      </c>
      <c r="F125" s="474">
        <f>VLOOKUP($F$119,'表1）減価償却率表'!$A$9:$E$107,5,0)</f>
        <v>3.2169999999999997E-2</v>
      </c>
    </row>
    <row r="126" spans="2:70" x14ac:dyDescent="0.15">
      <c r="F126" s="492"/>
    </row>
    <row r="127" spans="2:70" x14ac:dyDescent="0.15">
      <c r="C127" s="8" t="s">
        <v>617</v>
      </c>
      <c r="D127" s="493"/>
      <c r="E127" s="494"/>
      <c r="F127" s="490">
        <f>F117*F125</f>
        <v>4457153500</v>
      </c>
      <c r="G127" s="84" t="s">
        <v>611</v>
      </c>
    </row>
    <row r="129" spans="3:7" x14ac:dyDescent="0.15">
      <c r="C129" s="8" t="s">
        <v>152</v>
      </c>
      <c r="D129" s="493"/>
      <c r="E129" s="493"/>
      <c r="F129" s="491">
        <f>0.1^(1/F119)</f>
        <v>0.85769589859089412</v>
      </c>
      <c r="G129" s="493"/>
    </row>
    <row r="131" spans="3:7" x14ac:dyDescent="0.15">
      <c r="C131" s="4" t="s">
        <v>618</v>
      </c>
      <c r="D131" s="100"/>
      <c r="E131" s="100"/>
      <c r="F131" s="4"/>
      <c r="G131" s="100"/>
    </row>
    <row r="133" spans="3:7" x14ac:dyDescent="0.15">
      <c r="D133" s="84" t="s">
        <v>619</v>
      </c>
      <c r="F133" s="490">
        <f>F13*10000*24*365*F14/100</f>
        <v>5212200000</v>
      </c>
      <c r="G133" s="84" t="s">
        <v>620</v>
      </c>
    </row>
    <row r="134" spans="3:7" x14ac:dyDescent="0.15">
      <c r="D134" s="84" t="s">
        <v>621</v>
      </c>
      <c r="F134" s="490">
        <f>F133*(1-F24/100)</f>
        <v>5092319400</v>
      </c>
      <c r="G134" s="84" t="s">
        <v>620</v>
      </c>
    </row>
    <row r="135" spans="3:7" x14ac:dyDescent="0.15">
      <c r="F135" s="495"/>
    </row>
    <row r="137" spans="3:7" ht="16.5" x14ac:dyDescent="0.15">
      <c r="C137" s="71" t="s">
        <v>622</v>
      </c>
      <c r="F137" s="490">
        <f>IF(ISERROR(F133*3.6/(F23/100)/F22),0,F133*3.6/(F23/100)/F22)</f>
        <v>231825055.59673834</v>
      </c>
      <c r="G137" s="71" t="s">
        <v>623</v>
      </c>
    </row>
    <row r="139" spans="3:7" x14ac:dyDescent="0.15">
      <c r="C139" s="4" t="s">
        <v>624</v>
      </c>
      <c r="D139" s="100"/>
      <c r="E139" s="100"/>
      <c r="F139" s="4"/>
      <c r="G139" s="100"/>
    </row>
    <row r="141" spans="3:7" x14ac:dyDescent="0.15">
      <c r="D141" s="84" t="s">
        <v>625</v>
      </c>
      <c r="F141" s="496">
        <v>1000</v>
      </c>
      <c r="G141" s="84" t="s">
        <v>626</v>
      </c>
    </row>
    <row r="142" spans="3:7" x14ac:dyDescent="0.15">
      <c r="D142" s="84" t="s">
        <v>573</v>
      </c>
      <c r="F142" s="488">
        <f>IF(ISERROR(F42/1000),0,F42/1000)</f>
        <v>0</v>
      </c>
      <c r="G142" s="84" t="s">
        <v>627</v>
      </c>
    </row>
    <row r="145" spans="3:7" x14ac:dyDescent="0.15">
      <c r="C145" s="71" t="s">
        <v>628</v>
      </c>
      <c r="F145" s="496">
        <f>IF(ISERROR(F133*(F47*3.6/(F23/100)/1000*(44/12))),0,F133*(F47*3.6/(F23/100)/1000*(44/12)))</f>
        <v>0</v>
      </c>
      <c r="G145" s="84" t="s">
        <v>629</v>
      </c>
    </row>
    <row r="147" spans="3:7" x14ac:dyDescent="0.15">
      <c r="C147" s="4" t="s">
        <v>630</v>
      </c>
      <c r="D147" s="100"/>
      <c r="E147" s="100"/>
      <c r="F147" s="4"/>
      <c r="G147" s="100"/>
    </row>
    <row r="149" spans="3:7" x14ac:dyDescent="0.15">
      <c r="D149" s="84" t="s">
        <v>219</v>
      </c>
      <c r="F149" s="496">
        <f>IF(ISERROR(F52/F23),0,F52/F23)</f>
        <v>0</v>
      </c>
    </row>
    <row r="150" spans="3:7" x14ac:dyDescent="0.15">
      <c r="D150" s="84" t="s">
        <v>631</v>
      </c>
      <c r="F150" s="496">
        <f>F133*F149*(F53/100)*3.6</f>
        <v>0</v>
      </c>
      <c r="G150" s="84" t="s">
        <v>632</v>
      </c>
    </row>
    <row r="151" spans="3:7" ht="16.5" x14ac:dyDescent="0.15">
      <c r="D151" s="84" t="s">
        <v>633</v>
      </c>
      <c r="F151" s="490">
        <f>IF(ISERROR(F150/(F54/100)/F55),0,F150/(F54/100)/F55)</f>
        <v>0</v>
      </c>
      <c r="G151" s="71" t="s">
        <v>623</v>
      </c>
    </row>
    <row r="152" spans="3:7" x14ac:dyDescent="0.15">
      <c r="D152" s="84" t="s">
        <v>634</v>
      </c>
      <c r="F152" s="497">
        <f>IF(ISERROR(F56/1000),0,F56/1000)</f>
        <v>0</v>
      </c>
      <c r="G152" s="84" t="s">
        <v>627</v>
      </c>
    </row>
    <row r="153" spans="3:7" x14ac:dyDescent="0.15">
      <c r="D153" s="84" t="s">
        <v>635</v>
      </c>
      <c r="F153" s="496">
        <f>IF(ISERROR(F150*F47/1000*(44/12)/(F54/100)),0,F150*F47/1000*(44/12)/(F54/100))</f>
        <v>0</v>
      </c>
      <c r="G153" s="84" t="s">
        <v>629</v>
      </c>
    </row>
  </sheetData>
  <mergeCells count="48">
    <mergeCell ref="F3:G3"/>
    <mergeCell ref="V7:AF7"/>
    <mergeCell ref="AH7:AR7"/>
    <mergeCell ref="AT7:AW7"/>
    <mergeCell ref="AY7:BB7"/>
    <mergeCell ref="AQ9:AR10"/>
    <mergeCell ref="BJ7:BO7"/>
    <mergeCell ref="BQ7:BR7"/>
    <mergeCell ref="I9:I10"/>
    <mergeCell ref="K9:K10"/>
    <mergeCell ref="M9:M10"/>
    <mergeCell ref="O9:P10"/>
    <mergeCell ref="R9:R10"/>
    <mergeCell ref="T9:T10"/>
    <mergeCell ref="V9:W10"/>
    <mergeCell ref="Y9:Z10"/>
    <mergeCell ref="BD7:BH7"/>
    <mergeCell ref="AB9:AC10"/>
    <mergeCell ref="AE9:AF10"/>
    <mergeCell ref="AH9:AI10"/>
    <mergeCell ref="AK9:AL10"/>
    <mergeCell ref="AN9:AO10"/>
    <mergeCell ref="BJ9:BL10"/>
    <mergeCell ref="BN9:BO10"/>
    <mergeCell ref="P12:P13"/>
    <mergeCell ref="W12:W13"/>
    <mergeCell ref="Z12:Z13"/>
    <mergeCell ref="AC12:AC13"/>
    <mergeCell ref="AF12:AF13"/>
    <mergeCell ref="AI12:AI13"/>
    <mergeCell ref="AL12:AL13"/>
    <mergeCell ref="AO12:AO13"/>
    <mergeCell ref="AT9:AT10"/>
    <mergeCell ref="AV9:AW10"/>
    <mergeCell ref="AY9:AY10"/>
    <mergeCell ref="BA9:BB10"/>
    <mergeCell ref="BD9:BE10"/>
    <mergeCell ref="BG9:BH10"/>
    <mergeCell ref="BK12:BK13"/>
    <mergeCell ref="BL12:BL13"/>
    <mergeCell ref="BO12:BO13"/>
    <mergeCell ref="BR12:BR13"/>
    <mergeCell ref="BJ12:BJ13"/>
    <mergeCell ref="AR12:AR13"/>
    <mergeCell ref="AW12:AW13"/>
    <mergeCell ref="BB12:BB13"/>
    <mergeCell ref="BE12:BE13"/>
    <mergeCell ref="BH12:BH13"/>
  </mergeCells>
  <phoneticPr fontId="56"/>
  <dataValidations count="4">
    <dataValidation type="list" allowBlank="1" showDropDown="1" showInputMessage="1" showErrorMessage="1" sqref="F3:G3" xr:uid="{00000000-0002-0000-2400-000000000000}">
      <formula1>"原子力,石炭火力,LNG火力,石油火力,一般水力,太陽光（メガソーラー）,太陽光（住宅）,風力（陸上）,風力（洋上）,小水力,地熱,バイオマス（石炭混焼）,バイオマス（木質専焼）,ガスコジェネ,石油コジェネ,燃料電池,水素専焼火力"</formula1>
    </dataValidation>
    <dataValidation type="list" allowBlank="1" showDropDown="1" showInputMessage="1" showErrorMessage="1" sqref="F43" xr:uid="{00000000-0002-0000-2400-000001000000}">
      <formula1>"CIF価格, 需要地価格"</formula1>
    </dataValidation>
    <dataValidation type="whole" allowBlank="1" showInputMessage="1" showErrorMessage="1" sqref="F7" xr:uid="{00000000-0002-0000-2400-000002000000}">
      <formula1>2010</formula1>
      <formula2>2030</formula2>
    </dataValidation>
    <dataValidation type="list" allowBlank="1" showDropDown="1" showInputMessage="1" showErrorMessage="1" sqref="F48 F41" xr:uid="{00000000-0002-0000-2400-000003000000}">
      <formula1>"現行政策シナリオ, 新政策シナリオ"</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BR158"/>
  <sheetViews>
    <sheetView showGridLines="0" topLeftCell="A71" zoomScale="85" zoomScaleNormal="85" workbookViewId="0">
      <selection activeCell="G103" sqref="G103"/>
    </sheetView>
  </sheetViews>
  <sheetFormatPr defaultColWidth="9" defaultRowHeight="14.25" outlineLevelCol="1" x14ac:dyDescent="0.15"/>
  <cols>
    <col min="1" max="3" width="6.25" style="71" customWidth="1"/>
    <col min="4" max="4" width="6.25" style="84" customWidth="1"/>
    <col min="5" max="5" width="24.375" style="84" customWidth="1"/>
    <col min="6" max="6" width="18.75" style="71" customWidth="1"/>
    <col min="7" max="7" width="24.375" style="84" bestFit="1" customWidth="1"/>
    <col min="8" max="8" width="9" style="71"/>
    <col min="9" max="9" width="6.25" style="71" customWidth="1"/>
    <col min="10" max="10" width="3" style="71" customWidth="1"/>
    <col min="11" max="11" width="6.25" style="71" customWidth="1"/>
    <col min="12" max="12" width="3" style="71" customWidth="1"/>
    <col min="13" max="13" width="6.25" style="71" customWidth="1"/>
    <col min="14" max="14" width="3" style="71" customWidth="1"/>
    <col min="15" max="15" width="17.375" style="71" bestFit="1" customWidth="1"/>
    <col min="16" max="16" width="8.625" style="71" customWidth="1"/>
    <col min="17" max="17" width="3" style="71" customWidth="1"/>
    <col min="18" max="18" width="17.375" style="71" bestFit="1" customWidth="1"/>
    <col min="19" max="19" width="3" style="71" customWidth="1"/>
    <col min="20" max="20" width="17.375" style="71" bestFit="1" customWidth="1"/>
    <col min="21" max="21" width="3" style="71" customWidth="1"/>
    <col min="22" max="22" width="15" style="71" customWidth="1" outlineLevel="1"/>
    <col min="23" max="23" width="17.375" style="71" bestFit="1" customWidth="1"/>
    <col min="24" max="24" width="3" style="71" customWidth="1"/>
    <col min="25" max="25" width="15" style="71" customWidth="1" outlineLevel="1"/>
    <col min="26" max="26" width="15" style="71" customWidth="1"/>
    <col min="27" max="27" width="3" style="71" customWidth="1"/>
    <col min="28" max="28" width="15" style="71" customWidth="1" outlineLevel="1"/>
    <col min="29" max="29" width="15" style="71" customWidth="1"/>
    <col min="30" max="30" width="3" style="71" customWidth="1"/>
    <col min="31" max="31" width="15" style="71" customWidth="1" outlineLevel="1"/>
    <col min="32" max="32" width="15" style="71" customWidth="1"/>
    <col min="33" max="33" width="3" style="71" customWidth="1"/>
    <col min="34" max="34" width="14.875" style="71" customWidth="1" outlineLevel="1"/>
    <col min="35" max="35" width="15" style="71" customWidth="1"/>
    <col min="36" max="36" width="3" style="71" customWidth="1"/>
    <col min="37" max="37" width="15" style="71" customWidth="1" outlineLevel="1"/>
    <col min="38" max="38" width="15" style="71" customWidth="1"/>
    <col min="39" max="39" width="3" style="71" customWidth="1"/>
    <col min="40" max="40" width="15" style="71" customWidth="1" outlineLevel="1"/>
    <col min="41" max="41" width="15" style="71" customWidth="1"/>
    <col min="42" max="42" width="3" style="71" customWidth="1"/>
    <col min="43" max="43" width="15" style="71" customWidth="1" outlineLevel="1"/>
    <col min="44" max="44" width="15" style="71" customWidth="1"/>
    <col min="45" max="45" width="3" style="71" customWidth="1"/>
    <col min="46" max="46" width="10.75" style="71" bestFit="1" customWidth="1"/>
    <col min="47" max="47" width="3" style="71" customWidth="1"/>
    <col min="48" max="48" width="15" style="71" customWidth="1" outlineLevel="1"/>
    <col min="49" max="49" width="17.375" style="71" bestFit="1" customWidth="1"/>
    <col min="50" max="50" width="3" style="71" customWidth="1"/>
    <col min="51" max="51" width="9.625" style="71" bestFit="1" customWidth="1"/>
    <col min="52" max="52" width="3" style="71" customWidth="1"/>
    <col min="53" max="53" width="15" style="71" customWidth="1" outlineLevel="1"/>
    <col min="54" max="54" width="17.375" style="71" bestFit="1" customWidth="1"/>
    <col min="55" max="55" width="3" style="71" customWidth="1"/>
    <col min="56" max="56" width="19.25" style="71" customWidth="1" outlineLevel="1"/>
    <col min="57" max="57" width="19.25" style="71" bestFit="1" customWidth="1"/>
    <col min="58" max="58" width="3" style="71" customWidth="1"/>
    <col min="59" max="59" width="19.25" style="71" customWidth="1" outlineLevel="1"/>
    <col min="60" max="60" width="19.25" style="71"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71" customWidth="1" outlineLevel="1"/>
    <col min="70" max="70" width="17.375" style="71" bestFit="1" customWidth="1"/>
    <col min="71" max="16384" width="9" style="71"/>
  </cols>
  <sheetData>
    <row r="1" spans="1:70" ht="18.75" x14ac:dyDescent="0.15">
      <c r="A1" s="6" t="s">
        <v>60</v>
      </c>
    </row>
    <row r="2" spans="1:70" x14ac:dyDescent="0.15">
      <c r="F2" s="184"/>
    </row>
    <row r="3" spans="1:70" ht="23.25" x14ac:dyDescent="0.15">
      <c r="B3" s="1" t="s">
        <v>542</v>
      </c>
      <c r="F3" s="732" t="s">
        <v>253</v>
      </c>
      <c r="G3" s="719"/>
      <c r="H3" s="184" t="s">
        <v>254</v>
      </c>
    </row>
    <row r="4" spans="1:70" x14ac:dyDescent="0.15">
      <c r="G4" s="472"/>
    </row>
    <row r="5" spans="1:70" ht="15.75" thickBot="1" x14ac:dyDescent="0.2">
      <c r="B5" s="5" t="s">
        <v>543</v>
      </c>
      <c r="C5" s="3"/>
      <c r="D5" s="102"/>
      <c r="E5" s="102"/>
      <c r="F5" s="3"/>
      <c r="G5" s="102"/>
      <c r="I5" s="5" t="s">
        <v>64</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71" t="s">
        <v>545</v>
      </c>
      <c r="F7" s="473">
        <v>2030</v>
      </c>
      <c r="I7" s="8"/>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71" t="s">
        <v>546</v>
      </c>
      <c r="F8" s="474">
        <f>まとめ!B3</f>
        <v>107</v>
      </c>
      <c r="G8" s="84" t="s">
        <v>547</v>
      </c>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71" t="s">
        <v>548</v>
      </c>
      <c r="F9" s="474">
        <f>まとめ!B2</f>
        <v>3</v>
      </c>
      <c r="G9" s="84" t="s">
        <v>549</v>
      </c>
      <c r="I9" s="720" t="s">
        <v>78</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07" t="s">
        <v>118</v>
      </c>
      <c r="AI9" s="707"/>
      <c r="AJ9" s="8"/>
      <c r="AK9" s="707" t="s">
        <v>89</v>
      </c>
      <c r="AL9" s="707"/>
      <c r="AM9" s="8"/>
      <c r="AN9" s="707" t="s">
        <v>90</v>
      </c>
      <c r="AO9" s="707"/>
      <c r="AP9" s="8"/>
      <c r="AQ9" s="707" t="s">
        <v>91</v>
      </c>
      <c r="AR9" s="707"/>
      <c r="AS9" s="8"/>
      <c r="AT9" s="707" t="s">
        <v>92</v>
      </c>
      <c r="AU9" s="8"/>
      <c r="AV9" s="707" t="s">
        <v>69</v>
      </c>
      <c r="AW9" s="707"/>
      <c r="AX9" s="322"/>
      <c r="AY9" s="720" t="s">
        <v>93</v>
      </c>
      <c r="AZ9" s="8"/>
      <c r="BA9" s="720" t="s">
        <v>70</v>
      </c>
      <c r="BB9" s="720"/>
      <c r="BC9" s="8"/>
      <c r="BD9" s="707" t="s">
        <v>69</v>
      </c>
      <c r="BE9" s="707"/>
      <c r="BF9" s="8"/>
      <c r="BG9" s="707" t="s">
        <v>70</v>
      </c>
      <c r="BH9" s="707"/>
      <c r="BI9" s="8"/>
      <c r="BJ9" s="714" t="s">
        <v>255</v>
      </c>
      <c r="BK9" s="715"/>
      <c r="BL9" s="715"/>
      <c r="BM9" s="322"/>
      <c r="BN9" s="716" t="s">
        <v>72</v>
      </c>
      <c r="BO9" s="707"/>
      <c r="BP9" s="8"/>
      <c r="BQ9" s="322"/>
      <c r="BR9" s="322"/>
    </row>
    <row r="10" spans="1:70" x14ac:dyDescent="0.15">
      <c r="I10" s="708"/>
      <c r="K10" s="708"/>
      <c r="M10" s="708"/>
      <c r="O10" s="717"/>
      <c r="P10" s="717"/>
      <c r="R10" s="708"/>
      <c r="T10" s="708"/>
      <c r="V10" s="717"/>
      <c r="W10" s="717"/>
      <c r="Y10" s="717"/>
      <c r="Z10" s="717"/>
      <c r="AB10" s="723"/>
      <c r="AC10" s="723"/>
      <c r="AD10" s="81"/>
      <c r="AE10" s="723"/>
      <c r="AF10" s="723"/>
      <c r="AH10" s="717"/>
      <c r="AI10" s="717"/>
      <c r="AK10" s="717"/>
      <c r="AL10" s="717"/>
      <c r="AN10" s="717"/>
      <c r="AO10" s="717"/>
      <c r="AQ10" s="717"/>
      <c r="AR10" s="717"/>
      <c r="AT10" s="717"/>
      <c r="AV10" s="717"/>
      <c r="AW10" s="717"/>
      <c r="AX10" s="322"/>
      <c r="AY10" s="708"/>
      <c r="BA10" s="708"/>
      <c r="BB10" s="708"/>
      <c r="BD10" s="717"/>
      <c r="BE10" s="717"/>
      <c r="BG10" s="717"/>
      <c r="BH10" s="717"/>
      <c r="BJ10" s="708"/>
      <c r="BK10" s="708"/>
      <c r="BL10" s="708"/>
      <c r="BM10" s="322"/>
      <c r="BN10" s="717"/>
      <c r="BO10" s="717"/>
      <c r="BQ10" s="322"/>
      <c r="BR10" s="322"/>
    </row>
    <row r="11" spans="1:70" ht="15.75" customHeight="1" thickBot="1" x14ac:dyDescent="0.2">
      <c r="B11" s="5" t="s">
        <v>95</v>
      </c>
      <c r="C11" s="3"/>
      <c r="D11" s="102"/>
      <c r="E11" s="102"/>
      <c r="F11" s="3"/>
      <c r="G11" s="102"/>
      <c r="O11" s="322" t="s">
        <v>96</v>
      </c>
      <c r="P11" s="322"/>
      <c r="Q11" s="322"/>
      <c r="R11" s="322" t="s">
        <v>96</v>
      </c>
      <c r="S11" s="322"/>
      <c r="T11" s="322"/>
      <c r="V11" s="322"/>
      <c r="W11" s="322"/>
      <c r="Y11" s="322"/>
      <c r="Z11" s="322"/>
      <c r="AB11" s="322"/>
      <c r="AC11" s="322"/>
      <c r="AE11" s="322"/>
      <c r="AF11" s="322"/>
      <c r="AH11" s="322"/>
      <c r="AI11" s="322"/>
      <c r="AK11" s="322"/>
      <c r="AL11" s="322"/>
      <c r="AN11" s="322"/>
      <c r="AO11" s="322"/>
      <c r="AQ11" s="322"/>
      <c r="AR11" s="322"/>
      <c r="AT11" s="322"/>
      <c r="AV11" s="322"/>
      <c r="AW11" s="322"/>
      <c r="AX11" s="322"/>
      <c r="BB11" s="322"/>
      <c r="BD11" s="322"/>
      <c r="BE11" s="322"/>
      <c r="BG11" s="322"/>
      <c r="BH11" s="322"/>
      <c r="BJ11" s="156"/>
      <c r="BM11" s="322"/>
      <c r="BN11" s="322"/>
      <c r="BO11" s="322"/>
      <c r="BQ11" s="322"/>
      <c r="BR11" s="322"/>
    </row>
    <row r="12" spans="1:70" ht="14.25" customHeight="1" x14ac:dyDescent="0.15">
      <c r="O12" s="322"/>
      <c r="P12" s="707" t="s">
        <v>97</v>
      </c>
      <c r="W12" s="707" t="s">
        <v>98</v>
      </c>
      <c r="Z12" s="707" t="s">
        <v>98</v>
      </c>
      <c r="AC12" s="707" t="s">
        <v>98</v>
      </c>
      <c r="AF12" s="707" t="s">
        <v>98</v>
      </c>
      <c r="AI12" s="707" t="s">
        <v>98</v>
      </c>
      <c r="AL12" s="707" t="s">
        <v>98</v>
      </c>
      <c r="AO12" s="707" t="s">
        <v>98</v>
      </c>
      <c r="AR12" s="707" t="s">
        <v>98</v>
      </c>
      <c r="AW12" s="707" t="s">
        <v>98</v>
      </c>
      <c r="BB12" s="707" t="s">
        <v>98</v>
      </c>
      <c r="BE12" s="707" t="s">
        <v>98</v>
      </c>
      <c r="BH12" s="707" t="s">
        <v>98</v>
      </c>
      <c r="BJ12" s="709" t="s">
        <v>99</v>
      </c>
      <c r="BK12" s="709" t="s">
        <v>100</v>
      </c>
      <c r="BL12" s="709" t="s">
        <v>101</v>
      </c>
      <c r="BO12" s="709" t="s">
        <v>102</v>
      </c>
      <c r="BR12" s="707" t="s">
        <v>103</v>
      </c>
    </row>
    <row r="13" spans="1:70" ht="14.25" customHeight="1" x14ac:dyDescent="0.15">
      <c r="C13" s="71" t="s">
        <v>552</v>
      </c>
      <c r="F13" s="475">
        <v>50</v>
      </c>
      <c r="G13" s="84" t="s">
        <v>553</v>
      </c>
      <c r="O13" s="322"/>
      <c r="P13" s="708"/>
      <c r="Q13" s="322"/>
      <c r="R13" s="322"/>
      <c r="S13" s="322"/>
      <c r="T13" s="322"/>
      <c r="V13" s="322"/>
      <c r="W13" s="708"/>
      <c r="Y13" s="322"/>
      <c r="Z13" s="708"/>
      <c r="AB13" s="322"/>
      <c r="AC13" s="708"/>
      <c r="AE13" s="322"/>
      <c r="AF13" s="708"/>
      <c r="AH13" s="322"/>
      <c r="AI13" s="708"/>
      <c r="AK13" s="322"/>
      <c r="AL13" s="708"/>
      <c r="AN13" s="322"/>
      <c r="AO13" s="708"/>
      <c r="AQ13" s="322"/>
      <c r="AR13" s="708"/>
      <c r="AT13" s="322"/>
      <c r="AV13" s="322"/>
      <c r="AW13" s="708"/>
      <c r="BB13" s="708"/>
      <c r="BD13" s="322"/>
      <c r="BE13" s="708"/>
      <c r="BG13" s="322"/>
      <c r="BH13" s="708"/>
      <c r="BJ13" s="712"/>
      <c r="BK13" s="710"/>
      <c r="BL13" s="708"/>
      <c r="BM13" s="322"/>
      <c r="BO13" s="708"/>
      <c r="BQ13" s="322"/>
      <c r="BR13" s="708"/>
    </row>
    <row r="14" spans="1:70" ht="16.5" x14ac:dyDescent="0.15">
      <c r="C14" s="71" t="s">
        <v>554</v>
      </c>
      <c r="F14" s="474">
        <f>VLOOKUP(F3&amp;IF(G4&lt;&gt;"","_"&amp;G4,""),まとめ!A12:G34,IF(F7=2030,4,IF(F7=2020,3,IF(F7=2014,2,"-"))),0)</f>
        <v>70</v>
      </c>
      <c r="G14" s="84" t="s">
        <v>549</v>
      </c>
      <c r="O14" s="322"/>
      <c r="P14" s="322"/>
      <c r="Q14" s="322"/>
      <c r="R14" s="322"/>
      <c r="S14" s="322"/>
      <c r="T14" s="322"/>
      <c r="AT14" s="50" t="s">
        <v>104</v>
      </c>
      <c r="AY14" s="71" t="s">
        <v>105</v>
      </c>
    </row>
    <row r="15" spans="1:70" x14ac:dyDescent="0.15">
      <c r="C15" s="71" t="s">
        <v>555</v>
      </c>
      <c r="F15" s="474">
        <f>VLOOKUP(F3,まとめ!A12:G34,IF(F7=2030,7,IF(F7=2020,6,IF(F7=2014,5,"-まとめ!A29"))),0)</f>
        <v>40</v>
      </c>
      <c r="G15" s="84" t="s">
        <v>556</v>
      </c>
      <c r="I15" s="38">
        <f>F7</f>
        <v>2030</v>
      </c>
      <c r="J15" s="39"/>
      <c r="K15" s="39">
        <f>IF(I15&lt;&gt;"",1,"")</f>
        <v>1</v>
      </c>
      <c r="L15" s="39"/>
      <c r="M15" s="40">
        <f t="shared" ref="M15:M46" si="0">1/(1+($F$9/100))^K15</f>
        <v>0.970873786407767</v>
      </c>
      <c r="N15" s="39"/>
      <c r="O15" s="72">
        <f>F117</f>
        <v>183000000000</v>
      </c>
      <c r="P15" s="41">
        <f t="shared" ref="P15:P46" si="1">IF(K15&lt;=$F$15,IF(OR(P14=$F$124,P14="-"),"-",IF(O15*$F$123&gt;$F$127,$F$123,$F$124)),"")</f>
        <v>0.16700000000000001</v>
      </c>
      <c r="Q15" s="39"/>
      <c r="R15" s="72">
        <f>F117</f>
        <v>183000000000</v>
      </c>
      <c r="S15" s="39"/>
      <c r="T15" s="72">
        <f t="shared" ref="T15:T46" si="2">IF(ISNUMBER(R15),ROUNDDOWN(R15,-3),"")</f>
        <v>183000000000</v>
      </c>
      <c r="U15" s="39"/>
      <c r="V15" s="72">
        <f t="shared" ref="V15:V46" si="3">IF(K15&lt;=$F$15,IF(K15&lt;$F$119,IF(P15="-",V14,O15*P15),IF(K15=$F$119,MIN(IF(P15="-",V14,O15*P15),O15),0)),"")</f>
        <v>30561000000</v>
      </c>
      <c r="W15" s="72">
        <f t="shared" ref="W15:W46" si="4">IF(ISNUMBER(V15),V15*$M15,"")</f>
        <v>29670873786.407768</v>
      </c>
      <c r="X15" s="39"/>
      <c r="Y15" s="72">
        <f t="shared" ref="Y15:Y46" si="5">IF($K15&lt;=$F$15,ROUNDDOWN(T15*$F$25/100,-2),"")</f>
        <v>2562000000</v>
      </c>
      <c r="Z15" s="72">
        <f t="shared" ref="Z15:Z46" si="6">IF(ISNUMBER(Y15),Y15*$M15,"")</f>
        <v>2487378640.7766991</v>
      </c>
      <c r="AA15" s="39"/>
      <c r="AB15" s="72">
        <f t="shared" ref="AB15:AB46" si="7">IF($K15&lt;=$F$15,0,IF(AND($K15&gt;$F$15,$K15&lt;=$F$15+$F$28),$F$27*10^8/$F$28,""))</f>
        <v>0</v>
      </c>
      <c r="AC15" s="72">
        <f t="shared" ref="AC15:AC46" si="8">IF(ISNUMBER(AB15),AB15*$M15,"")</f>
        <v>0</v>
      </c>
      <c r="AD15" s="39"/>
      <c r="AE15" s="72">
        <f t="shared" ref="AE15:AE46" si="9">IF($K15&lt;=$F$15,$F$26,"")</f>
        <v>0</v>
      </c>
      <c r="AF15" s="72">
        <f t="shared" ref="AF15:AF46" si="10">IF(ISNUMBER(AE15),AE15*$M15,"")</f>
        <v>0</v>
      </c>
      <c r="AG15" s="39"/>
      <c r="AH15" s="72">
        <f t="shared" ref="AH15:AH46" si="11">IF($K15&lt;=$F$15,$F$33*10^8,"")</f>
        <v>440000000.00000006</v>
      </c>
      <c r="AI15" s="72">
        <f t="shared" ref="AI15:AI46" si="12">IF(ISNUMBER(AH15),AH15*$M15,"")</f>
        <v>427184466.01941752</v>
      </c>
      <c r="AJ15" s="39"/>
      <c r="AK15" s="72">
        <f t="shared" ref="AK15:AK46" si="13">IF($K15&lt;=$F$15,$F$117*$F$34/100,"")</f>
        <v>4392000000</v>
      </c>
      <c r="AL15" s="72">
        <f t="shared" ref="AL15:AL46" si="14">IF(ISNUMBER(AK15),AK15*$M15,"")</f>
        <v>4264077669.9029126</v>
      </c>
      <c r="AM15" s="39"/>
      <c r="AN15" s="72">
        <f t="shared" ref="AN15:AN46" si="15">IF($K15&lt;=$F$15,$F$117*$F$35/100,"")</f>
        <v>4026000000.0000005</v>
      </c>
      <c r="AO15" s="72">
        <f t="shared" ref="AO15:AO46" si="16">IF(ISNUMBER(AN15),AN15*$M15,"")</f>
        <v>3908737864.0776706</v>
      </c>
      <c r="AP15" s="39"/>
      <c r="AQ15" s="72">
        <f t="shared" ref="AQ15:AQ46" si="17">IF($K15&lt;=$F$15,SUM(AH15,AK15,AN15)*($F$36/100),"")</f>
        <v>1080676000</v>
      </c>
      <c r="AR15" s="72">
        <f t="shared" ref="AR15:AR46" si="18">IF(ISNUMBER(AQ15),AQ15*$M15,"")</f>
        <v>1049200000</v>
      </c>
      <c r="AS15" s="39"/>
      <c r="AT15" s="40">
        <f>IF($K15&lt;=$F$15,IF($F$40&lt;&gt;"",$F$40/1000,IF(ISERROR(VLOOKUP($F$3&amp;IF($G$4&lt;&gt;"",$G$4,"")&amp;IF($F$43&lt;&gt;"","_"&amp;$F$43,""),'表3）燃料価格'!$AF$9:$AG$25,2,0)),0,VLOOKUP($I15,'表3）燃料価格'!$A$6:$W$66,VLOOKUP($F$3&amp;IF($G$4&lt;&gt;"",$G$4,"")&amp;IF($F$43&lt;&gt;"","_"&amp;$F$43,""),'表3）燃料価格'!$AF$9:$AG$25,2,0)+VLOOKUP($F$41,'表3）燃料価格'!$AF$28:$AG$29,2,0),0)*IF($F$43="需要地価格",1,$F$8/$F$141))),"")</f>
        <v>8.8800220200000002</v>
      </c>
      <c r="AU15" s="39"/>
      <c r="AV15" s="72">
        <f t="shared" ref="AV15:AV46" si="19">IF($K15&lt;=$F$15,($AT15+$F$142)*$F$137,"")</f>
        <v>10951210444.056049</v>
      </c>
      <c r="AW15" s="72">
        <f t="shared" ref="AW15:AW46" si="20">IF(ISNUMBER(AV15),AV15*$M15,"")</f>
        <v>10632243149.568979</v>
      </c>
      <c r="AX15" s="39"/>
      <c r="AY15" s="40">
        <f>IF(ISERROR(IF($K15&lt;=$F$15,VLOOKUP($I15,'表4）CO2価格'!$A$7:$E$67,VLOOKUP($F$48,'表4）CO2価格'!$H$10:$I$12,2,0),0)*$F$8/1000,"")),0,IF($K15&lt;=$F$15,VLOOKUP($I15,'表4）CO2価格'!$A$7:$E$67,VLOOKUP($F$48,'表4）CO2価格'!$H$10:$I$12,2,0),0)*$F$8/1000,""))</f>
        <v>4.28</v>
      </c>
      <c r="AZ15" s="39"/>
      <c r="BA15" s="42">
        <f t="shared" ref="BA15:BA46" si="21">IF($K15&lt;=$F$15,$F$145*AY15,"")</f>
        <v>872155194.45773208</v>
      </c>
      <c r="BB15" s="72">
        <f t="shared" ref="BB15:BB46" si="22">IF(ISNUMBER(BA15),BA15*$M15,"")</f>
        <v>846752615.97838068</v>
      </c>
      <c r="BC15" s="39"/>
      <c r="BD15" s="72">
        <f t="shared" ref="BD15:BD46" si="23">IF($K15&lt;=$F$15,($AT15+$F$152)*$F$151,"")</f>
        <v>0</v>
      </c>
      <c r="BE15" s="72">
        <f t="shared" ref="BE15:BE46" si="24">IF(ISNUMBER(BD15),BD15*$M15,"")</f>
        <v>0</v>
      </c>
      <c r="BF15" s="39"/>
      <c r="BG15" s="42">
        <f t="shared" ref="BG15:BG46" si="25">IF($K15&lt;=$F$15,$F$153*AY15,"")</f>
        <v>0</v>
      </c>
      <c r="BH15" s="72">
        <f t="shared" ref="BH15:BH46" si="26">IF(ISNUMBER(BG15),BG15*$M15,"")</f>
        <v>0</v>
      </c>
      <c r="BI15" s="39"/>
      <c r="BJ15" s="40" t="str">
        <f t="shared" ref="BJ15:BJ46" si="27">IF(ISNUMBER($F$16),IF($K15&lt;=$F$16+$F$28,1/(1+($F$17/100))^K15,""),"")</f>
        <v/>
      </c>
      <c r="BK15" s="157" t="str">
        <f t="shared" ref="BK15:BK46" si="28">IF(ISNUMBER($F$16),IF($K15&lt;=$F$16+$F$28,IF($K15&lt;=$F$16,SUM(Y15,AB15,AE15,AH15,AK15,AN15,AQ15,AV15,BA15,BD15,BG15),$F$27/$F$28*10^8)*BJ15,""),"")</f>
        <v/>
      </c>
      <c r="BL15" s="157" t="str">
        <f t="shared" ref="BL15:BL46" si="29">IF(AND(ISNUMBER(BJ15),$K15&lt;=$F$16),BQ15*BJ15,"")</f>
        <v/>
      </c>
      <c r="BM15" s="72"/>
      <c r="BN15" s="72" t="str">
        <f t="shared" ref="BN15:BN46" si="30">IF(AND(ISNUMBER($F$16),$K15&lt;=$F$16),BQ15*($O$15+$BK$116)/$BL$116,"")</f>
        <v/>
      </c>
      <c r="BO15" s="72" t="str">
        <f t="shared" ref="BO15:BO46" si="31">IF(ISNUMBER(BN15),BN15*$M15,"")</f>
        <v/>
      </c>
      <c r="BP15" s="39"/>
      <c r="BQ15" s="72">
        <f t="shared" ref="BQ15:BQ46" si="32">IF($K15&lt;=$F$15,$F$134,"")</f>
        <v>2529450000</v>
      </c>
      <c r="BR15" s="72">
        <f t="shared" ref="BR15:BR46" si="33">IF(ISNUMBER(BQ15),BQ15*$M15,"")</f>
        <v>2455776699.0291262</v>
      </c>
    </row>
    <row r="16" spans="1:70" x14ac:dyDescent="0.15">
      <c r="C16" s="184" t="s">
        <v>107</v>
      </c>
      <c r="F16" s="474" t="str">
        <f>IF(ISERROR(VLOOKUP(F3&amp;IF(G4&lt;&gt;"","_"&amp;G4,""),'表7）買取期間・IRR'!$A$3:$A$10,1,0)),"",VLOOKUP(F3&amp;IF(G4&lt;&gt;"","_"&amp;G4,""),'表7）買取期間・IRR'!$A$3:$C$10,IF(F7=2030,4,IF(F7=2020,3,IF(F7=2014,2,"-"))),0))</f>
        <v/>
      </c>
      <c r="G16" s="84" t="s">
        <v>556</v>
      </c>
      <c r="I16" s="322">
        <f t="shared" ref="I16:I47" si="34">I15+1</f>
        <v>2031</v>
      </c>
      <c r="K16" s="71">
        <f t="shared" ref="K16:K47" si="35">IF(I16&lt;&gt;"",K15+1,"")</f>
        <v>2</v>
      </c>
      <c r="M16" s="7">
        <f t="shared" si="0"/>
        <v>0.94259590913375435</v>
      </c>
      <c r="O16" s="10">
        <f t="shared" ref="O16:O47" si="36">IF(K16&lt;=$F$15,O15-V15,"")</f>
        <v>152439000000</v>
      </c>
      <c r="P16" s="29">
        <f t="shared" si="1"/>
        <v>0.16700000000000001</v>
      </c>
      <c r="R16" s="10">
        <f t="shared" ref="R16:R47" si="37">IF($K16&lt;=$F$15,MAX($F$117*5%,R15*$F$129),"")</f>
        <v>156958349442.13364</v>
      </c>
      <c r="T16" s="10">
        <f t="shared" si="2"/>
        <v>156958349000</v>
      </c>
      <c r="V16" s="10">
        <f t="shared" si="3"/>
        <v>25457313000</v>
      </c>
      <c r="W16" s="10">
        <f t="shared" si="4"/>
        <v>23995959091.337543</v>
      </c>
      <c r="Y16" s="10">
        <f t="shared" si="5"/>
        <v>2197416800</v>
      </c>
      <c r="Z16" s="10">
        <f t="shared" si="6"/>
        <v>2071276086.3417852</v>
      </c>
      <c r="AB16" s="10">
        <f t="shared" si="7"/>
        <v>0</v>
      </c>
      <c r="AC16" s="10">
        <f t="shared" si="8"/>
        <v>0</v>
      </c>
      <c r="AE16" s="10">
        <f t="shared" si="9"/>
        <v>0</v>
      </c>
      <c r="AF16" s="10">
        <f t="shared" si="10"/>
        <v>0</v>
      </c>
      <c r="AH16" s="10">
        <f t="shared" si="11"/>
        <v>440000000.00000006</v>
      </c>
      <c r="AI16" s="10">
        <f t="shared" si="12"/>
        <v>414742200.018852</v>
      </c>
      <c r="AK16" s="10">
        <f t="shared" si="13"/>
        <v>4392000000</v>
      </c>
      <c r="AL16" s="10">
        <f t="shared" si="14"/>
        <v>4139881232.9154491</v>
      </c>
      <c r="AN16" s="10">
        <f t="shared" si="15"/>
        <v>4026000000.0000005</v>
      </c>
      <c r="AO16" s="10">
        <f t="shared" si="16"/>
        <v>3794891130.1724954</v>
      </c>
      <c r="AQ16" s="10">
        <f t="shared" si="17"/>
        <v>1080676000</v>
      </c>
      <c r="AR16" s="10">
        <f t="shared" si="18"/>
        <v>1018640776.6990291</v>
      </c>
      <c r="AT16" s="40">
        <f>IF($K16&lt;=$F$15,IF($F$40&lt;&gt;"",$F$40/1000,IF(ISERROR(VLOOKUP($F$3&amp;IF($G$4&lt;&gt;"",$G$4,"")&amp;IF($F$43&lt;&gt;"","_"&amp;$F$43,""),'表3）燃料価格'!$AF$9:$AG$25,2,0)),0,VLOOKUP($I16,'表3）燃料価格'!$A$6:$W$66,VLOOKUP($F$3&amp;IF($G$4&lt;&gt;"",$G$4,"")&amp;IF($F$43&lt;&gt;"","_"&amp;$F$43,""),'表3）燃料価格'!$AF$9:$AG$25,2,0)+VLOOKUP($F$41,'表3）燃料価格'!$AF$28:$AG$29,2,0),0)*IF($F$43="需要地価格",1,$F$8/$F$141))),"")</f>
        <v>8.8800220200000002</v>
      </c>
      <c r="AV16" s="10">
        <f t="shared" si="19"/>
        <v>10951210444.056049</v>
      </c>
      <c r="AW16" s="10">
        <f t="shared" si="20"/>
        <v>10322566164.630077</v>
      </c>
      <c r="AY16" s="40">
        <f>IF(ISERROR(IF($K16&lt;=$F$15,VLOOKUP($I16,'表4）CO2価格'!$A$7:$E$67,VLOOKUP($F$48,'表4）CO2価格'!$H$10:$I$12,2,0),0)*$F$8/1000,"")),0,IF($K16&lt;=$F$15,VLOOKUP($I16,'表4）CO2価格'!$A$7:$E$67,VLOOKUP($F$48,'表4）CO2価格'!$H$10:$I$12,2,0),0)*$F$8/1000,""))</f>
        <v>4.4083999999999808</v>
      </c>
      <c r="BA16" s="11">
        <f t="shared" si="21"/>
        <v>898319850.29146004</v>
      </c>
      <c r="BB16" s="10">
        <f t="shared" si="22"/>
        <v>846752615.97837687</v>
      </c>
      <c r="BD16" s="10">
        <f t="shared" si="23"/>
        <v>0</v>
      </c>
      <c r="BE16" s="10">
        <f t="shared" si="24"/>
        <v>0</v>
      </c>
      <c r="BG16" s="11">
        <f t="shared" si="25"/>
        <v>0</v>
      </c>
      <c r="BH16" s="10">
        <f t="shared" si="26"/>
        <v>0</v>
      </c>
      <c r="BJ16" s="7" t="str">
        <f t="shared" si="27"/>
        <v/>
      </c>
      <c r="BK16" s="158" t="str">
        <f t="shared" si="28"/>
        <v/>
      </c>
      <c r="BL16" s="158" t="str">
        <f t="shared" si="29"/>
        <v/>
      </c>
      <c r="BM16" s="10"/>
      <c r="BN16" s="10" t="str">
        <f t="shared" si="30"/>
        <v/>
      </c>
      <c r="BO16" s="10" t="str">
        <f t="shared" si="31"/>
        <v/>
      </c>
      <c r="BQ16" s="10">
        <f t="shared" si="32"/>
        <v>2529450000</v>
      </c>
      <c r="BR16" s="10">
        <f t="shared" si="33"/>
        <v>2384249222.3583751</v>
      </c>
    </row>
    <row r="17" spans="3:70" x14ac:dyDescent="0.15">
      <c r="C17" s="71" t="s">
        <v>109</v>
      </c>
      <c r="F17" s="476" t="str">
        <f>IF(ISERROR(VLOOKUP(F3&amp;IF(G4&lt;&gt;"","_"&amp;G4,""),'表7）買取期間・IRR'!$A$14:$A$21,1,0)),"",VLOOKUP(F3&amp;IF(G4&lt;&gt;"","_"&amp;G4,""),'表7）買取期間・IRR'!$A$14:$C$21,IF(F7=2030,4,IF(F7=2020,3,IF(F7=2014,2,"-"))),0))</f>
        <v/>
      </c>
      <c r="G17" s="84" t="s">
        <v>549</v>
      </c>
      <c r="I17" s="38">
        <f t="shared" si="34"/>
        <v>2032</v>
      </c>
      <c r="J17" s="39"/>
      <c r="K17" s="39">
        <f t="shared" si="35"/>
        <v>3</v>
      </c>
      <c r="L17" s="39"/>
      <c r="M17" s="40">
        <f t="shared" si="0"/>
        <v>0.91514165935315961</v>
      </c>
      <c r="N17" s="39"/>
      <c r="O17" s="72">
        <f t="shared" si="36"/>
        <v>126981687000</v>
      </c>
      <c r="P17" s="41">
        <f t="shared" si="1"/>
        <v>0.16700000000000001</v>
      </c>
      <c r="Q17" s="39"/>
      <c r="R17" s="72">
        <f t="shared" si="37"/>
        <v>134622532566.11438</v>
      </c>
      <c r="S17" s="39"/>
      <c r="T17" s="72">
        <f t="shared" si="2"/>
        <v>134622532000</v>
      </c>
      <c r="U17" s="39"/>
      <c r="V17" s="72">
        <f t="shared" si="3"/>
        <v>21205941729</v>
      </c>
      <c r="W17" s="72">
        <f t="shared" si="4"/>
        <v>19406440702.023472</v>
      </c>
      <c r="X17" s="39"/>
      <c r="Y17" s="72">
        <f t="shared" si="5"/>
        <v>1884715400</v>
      </c>
      <c r="Z17" s="72">
        <f t="shared" si="6"/>
        <v>1724781578.5644538</v>
      </c>
      <c r="AA17" s="39"/>
      <c r="AB17" s="72">
        <f t="shared" si="7"/>
        <v>0</v>
      </c>
      <c r="AC17" s="72">
        <f t="shared" si="8"/>
        <v>0</v>
      </c>
      <c r="AD17" s="39"/>
      <c r="AE17" s="72">
        <f t="shared" si="9"/>
        <v>0</v>
      </c>
      <c r="AF17" s="72">
        <f t="shared" si="10"/>
        <v>0</v>
      </c>
      <c r="AG17" s="39"/>
      <c r="AH17" s="72">
        <f t="shared" si="11"/>
        <v>440000000.00000006</v>
      </c>
      <c r="AI17" s="72">
        <f t="shared" si="12"/>
        <v>402662330.1153903</v>
      </c>
      <c r="AJ17" s="39"/>
      <c r="AK17" s="72">
        <f t="shared" si="13"/>
        <v>4392000000</v>
      </c>
      <c r="AL17" s="72">
        <f t="shared" si="14"/>
        <v>4019302167.879077</v>
      </c>
      <c r="AM17" s="39"/>
      <c r="AN17" s="72">
        <f t="shared" si="15"/>
        <v>4026000000.0000005</v>
      </c>
      <c r="AO17" s="72">
        <f t="shared" si="16"/>
        <v>3684360320.5558209</v>
      </c>
      <c r="AP17" s="39"/>
      <c r="AQ17" s="72">
        <f t="shared" si="17"/>
        <v>1080676000</v>
      </c>
      <c r="AR17" s="72">
        <f t="shared" si="18"/>
        <v>988971627.8631351</v>
      </c>
      <c r="AS17" s="39"/>
      <c r="AT17" s="40">
        <f>IF($K17&lt;=$F$15,IF($F$40&lt;&gt;"",$F$40/1000,IF(ISERROR(VLOOKUP($F$3&amp;IF($G$4&lt;&gt;"",$G$4,"")&amp;IF($F$43&lt;&gt;"","_"&amp;$F$43,""),'表3）燃料価格'!$AF$9:$AG$25,2,0)),0,VLOOKUP($I17,'表3）燃料価格'!$A$6:$W$66,VLOOKUP($F$3&amp;IF($G$4&lt;&gt;"",$G$4,"")&amp;IF($F$43&lt;&gt;"","_"&amp;$F$43,""),'表3）燃料価格'!$AF$9:$AG$25,2,0)+VLOOKUP($F$41,'表3）燃料価格'!$AF$28:$AG$29,2,0),0)*IF($F$43="需要地価格",1,$F$8/$F$141))),"")</f>
        <v>8.8800220200000002</v>
      </c>
      <c r="AU17" s="39"/>
      <c r="AV17" s="72">
        <f t="shared" si="19"/>
        <v>10951210444.056049</v>
      </c>
      <c r="AW17" s="72">
        <f t="shared" si="20"/>
        <v>10021908897.699104</v>
      </c>
      <c r="AX17" s="39"/>
      <c r="AY17" s="40">
        <f>IF(ISERROR(IF($K17&lt;=$F$15,VLOOKUP($I17,'表4）CO2価格'!$A$7:$E$67,VLOOKUP($F$48,'表4）CO2価格'!$H$10:$I$12,2,0),0)*$F$8/1000,"")),0,IF($K17&lt;=$F$15,VLOOKUP($I17,'表4）CO2価格'!$A$7:$E$67,VLOOKUP($F$48,'表4）CO2価格'!$H$10:$I$12,2,0),0)*$F$8/1000,""))</f>
        <v>4.5368000000000102</v>
      </c>
      <c r="AZ17" s="39"/>
      <c r="BA17" s="42">
        <f t="shared" si="21"/>
        <v>924484506.12519801</v>
      </c>
      <c r="BB17" s="72">
        <f t="shared" si="22"/>
        <v>846034284.98169994</v>
      </c>
      <c r="BC17" s="39"/>
      <c r="BD17" s="72">
        <f t="shared" si="23"/>
        <v>0</v>
      </c>
      <c r="BE17" s="72">
        <f t="shared" si="24"/>
        <v>0</v>
      </c>
      <c r="BF17" s="39"/>
      <c r="BG17" s="42">
        <f t="shared" si="25"/>
        <v>0</v>
      </c>
      <c r="BH17" s="72">
        <f t="shared" si="26"/>
        <v>0</v>
      </c>
      <c r="BI17" s="39"/>
      <c r="BJ17" s="40" t="str">
        <f t="shared" si="27"/>
        <v/>
      </c>
      <c r="BK17" s="157" t="str">
        <f t="shared" si="28"/>
        <v/>
      </c>
      <c r="BL17" s="157" t="str">
        <f t="shared" si="29"/>
        <v/>
      </c>
      <c r="BM17" s="72"/>
      <c r="BN17" s="72" t="str">
        <f t="shared" si="30"/>
        <v/>
      </c>
      <c r="BO17" s="72" t="str">
        <f t="shared" si="31"/>
        <v/>
      </c>
      <c r="BP17" s="39"/>
      <c r="BQ17" s="72">
        <f t="shared" si="32"/>
        <v>2529450000</v>
      </c>
      <c r="BR17" s="72">
        <f t="shared" si="33"/>
        <v>2314805070.2508497</v>
      </c>
    </row>
    <row r="18" spans="3:70" x14ac:dyDescent="0.15">
      <c r="I18" s="322">
        <f t="shared" si="34"/>
        <v>2033</v>
      </c>
      <c r="K18" s="71">
        <f t="shared" si="35"/>
        <v>4</v>
      </c>
      <c r="M18" s="7">
        <f t="shared" si="0"/>
        <v>0.888487047915689</v>
      </c>
      <c r="O18" s="10">
        <f t="shared" si="36"/>
        <v>105775745271</v>
      </c>
      <c r="P18" s="29">
        <f t="shared" si="1"/>
        <v>0.16700000000000001</v>
      </c>
      <c r="R18" s="10">
        <f t="shared" si="37"/>
        <v>115465194039.87538</v>
      </c>
      <c r="T18" s="10">
        <f t="shared" si="2"/>
        <v>115465194000</v>
      </c>
      <c r="V18" s="10">
        <f t="shared" si="3"/>
        <v>17664549460.257</v>
      </c>
      <c r="W18" s="10">
        <f t="shared" si="4"/>
        <v>15694723402.70442</v>
      </c>
      <c r="Y18" s="10">
        <f t="shared" si="5"/>
        <v>1616512700</v>
      </c>
      <c r="Z18" s="10">
        <f t="shared" si="6"/>
        <v>1436250596.7412198</v>
      </c>
      <c r="AB18" s="10">
        <f t="shared" si="7"/>
        <v>0</v>
      </c>
      <c r="AC18" s="10">
        <f t="shared" si="8"/>
        <v>0</v>
      </c>
      <c r="AE18" s="10">
        <f t="shared" si="9"/>
        <v>0</v>
      </c>
      <c r="AF18" s="10">
        <f t="shared" si="10"/>
        <v>0</v>
      </c>
      <c r="AH18" s="10">
        <f t="shared" si="11"/>
        <v>440000000.00000006</v>
      </c>
      <c r="AI18" s="10">
        <f t="shared" si="12"/>
        <v>390934301.08290321</v>
      </c>
      <c r="AK18" s="10">
        <f t="shared" si="13"/>
        <v>4392000000</v>
      </c>
      <c r="AL18" s="10">
        <f t="shared" si="14"/>
        <v>3902235114.4457059</v>
      </c>
      <c r="AN18" s="10">
        <f t="shared" si="15"/>
        <v>4026000000.0000005</v>
      </c>
      <c r="AO18" s="10">
        <f t="shared" si="16"/>
        <v>3577048854.9085646</v>
      </c>
      <c r="AQ18" s="10">
        <f t="shared" si="17"/>
        <v>1080676000</v>
      </c>
      <c r="AR18" s="10">
        <f t="shared" si="18"/>
        <v>960166628.99333513</v>
      </c>
      <c r="AT18" s="40">
        <f>IF($K18&lt;=$F$15,IF($F$40&lt;&gt;"",$F$40/1000,IF(ISERROR(VLOOKUP($F$3&amp;IF($G$4&lt;&gt;"",$G$4,"")&amp;IF($F$43&lt;&gt;"","_"&amp;$F$43,""),'表3）燃料価格'!$AF$9:$AG$25,2,0)),0,VLOOKUP($I18,'表3）燃料価格'!$A$6:$W$66,VLOOKUP($F$3&amp;IF($G$4&lt;&gt;"",$G$4,"")&amp;IF($F$43&lt;&gt;"","_"&amp;$F$43,""),'表3）燃料価格'!$AF$9:$AG$25,2,0)+VLOOKUP($F$41,'表3）燃料価格'!$AF$28:$AG$29,2,0),0)*IF($F$43="需要地価格",1,$F$8/$F$141))),"")</f>
        <v>8.8800220200000002</v>
      </c>
      <c r="AV18" s="10">
        <f t="shared" si="19"/>
        <v>10951210444.056049</v>
      </c>
      <c r="AW18" s="10">
        <f t="shared" si="20"/>
        <v>9730008638.54282</v>
      </c>
      <c r="AY18" s="40">
        <f>IF(ISERROR(IF($K18&lt;=$F$15,VLOOKUP($I18,'表4）CO2価格'!$A$7:$E$67,VLOOKUP($F$48,'表4）CO2価格'!$H$10:$I$12,2,0),0)*$F$8/1000,"")),0,IF($K18&lt;=$F$15,VLOOKUP($I18,'表4）CO2価格'!$A$7:$E$67,VLOOKUP($F$48,'表4）CO2価格'!$H$10:$I$12,2,0),0)*$F$8/1000,""))</f>
        <v>4.6651999999999898</v>
      </c>
      <c r="BA18" s="11">
        <f t="shared" si="21"/>
        <v>950649161.95892584</v>
      </c>
      <c r="BB18" s="10">
        <f t="shared" si="22"/>
        <v>844639467.51240969</v>
      </c>
      <c r="BD18" s="10">
        <f t="shared" si="23"/>
        <v>0</v>
      </c>
      <c r="BE18" s="10">
        <f t="shared" si="24"/>
        <v>0</v>
      </c>
      <c r="BG18" s="11">
        <f t="shared" si="25"/>
        <v>0</v>
      </c>
      <c r="BH18" s="10">
        <f t="shared" si="26"/>
        <v>0</v>
      </c>
      <c r="BJ18" s="7" t="str">
        <f t="shared" si="27"/>
        <v/>
      </c>
      <c r="BK18" s="158" t="str">
        <f t="shared" si="28"/>
        <v/>
      </c>
      <c r="BL18" s="158" t="str">
        <f t="shared" si="29"/>
        <v/>
      </c>
      <c r="BM18" s="10"/>
      <c r="BN18" s="10" t="str">
        <f t="shared" si="30"/>
        <v/>
      </c>
      <c r="BO18" s="10" t="str">
        <f t="shared" si="31"/>
        <v/>
      </c>
      <c r="BQ18" s="10">
        <f t="shared" si="32"/>
        <v>2529450000</v>
      </c>
      <c r="BR18" s="10">
        <f t="shared" si="33"/>
        <v>2247383563.3503394</v>
      </c>
    </row>
    <row r="19" spans="3:70" x14ac:dyDescent="0.15">
      <c r="C19" s="4" t="s">
        <v>557</v>
      </c>
      <c r="D19" s="100"/>
      <c r="E19" s="100"/>
      <c r="F19" s="4"/>
      <c r="G19" s="100"/>
      <c r="I19" s="38">
        <f t="shared" si="34"/>
        <v>2034</v>
      </c>
      <c r="J19" s="39"/>
      <c r="K19" s="39">
        <f t="shared" si="35"/>
        <v>5</v>
      </c>
      <c r="L19" s="39"/>
      <c r="M19" s="40">
        <f t="shared" si="0"/>
        <v>0.86260878438416411</v>
      </c>
      <c r="N19" s="39"/>
      <c r="O19" s="72">
        <f t="shared" si="36"/>
        <v>88111195810.742996</v>
      </c>
      <c r="P19" s="41">
        <f t="shared" si="1"/>
        <v>0.16700000000000001</v>
      </c>
      <c r="Q19" s="39"/>
      <c r="R19" s="72">
        <f t="shared" si="37"/>
        <v>99034023358.002869</v>
      </c>
      <c r="S19" s="39"/>
      <c r="T19" s="72">
        <f t="shared" si="2"/>
        <v>99034023000</v>
      </c>
      <c r="U19" s="39"/>
      <c r="V19" s="72">
        <f t="shared" si="3"/>
        <v>14714569700.394081</v>
      </c>
      <c r="W19" s="72">
        <f t="shared" si="4"/>
        <v>12692917081.992992</v>
      </c>
      <c r="X19" s="39"/>
      <c r="Y19" s="72">
        <f t="shared" si="5"/>
        <v>1386476300</v>
      </c>
      <c r="Z19" s="72">
        <f t="shared" si="6"/>
        <v>1195986635.7204537</v>
      </c>
      <c r="AA19" s="39"/>
      <c r="AB19" s="72">
        <f t="shared" si="7"/>
        <v>0</v>
      </c>
      <c r="AC19" s="72">
        <f t="shared" si="8"/>
        <v>0</v>
      </c>
      <c r="AD19" s="39"/>
      <c r="AE19" s="72">
        <f t="shared" si="9"/>
        <v>0</v>
      </c>
      <c r="AF19" s="72">
        <f t="shared" si="10"/>
        <v>0</v>
      </c>
      <c r="AG19" s="39"/>
      <c r="AH19" s="72">
        <f t="shared" si="11"/>
        <v>440000000.00000006</v>
      </c>
      <c r="AI19" s="72">
        <f t="shared" si="12"/>
        <v>379547865.12903225</v>
      </c>
      <c r="AJ19" s="39"/>
      <c r="AK19" s="72">
        <f t="shared" si="13"/>
        <v>4392000000</v>
      </c>
      <c r="AL19" s="72">
        <f t="shared" si="14"/>
        <v>3788577781.0152488</v>
      </c>
      <c r="AM19" s="39"/>
      <c r="AN19" s="72">
        <f t="shared" si="15"/>
        <v>4026000000.0000005</v>
      </c>
      <c r="AO19" s="72">
        <f t="shared" si="16"/>
        <v>3472862965.930645</v>
      </c>
      <c r="AP19" s="39"/>
      <c r="AQ19" s="72">
        <f t="shared" si="17"/>
        <v>1080676000</v>
      </c>
      <c r="AR19" s="72">
        <f t="shared" si="18"/>
        <v>932200610.67314088</v>
      </c>
      <c r="AS19" s="39"/>
      <c r="AT19" s="40">
        <f>IF($K19&lt;=$F$15,IF($F$40&lt;&gt;"",$F$40/1000,IF(ISERROR(VLOOKUP($F$3&amp;IF($G$4&lt;&gt;"",$G$4,"")&amp;IF($F$43&lt;&gt;"","_"&amp;$F$43,""),'表3）燃料価格'!$AF$9:$AG$25,2,0)),0,VLOOKUP($I19,'表3）燃料価格'!$A$6:$W$66,VLOOKUP($F$3&amp;IF($G$4&lt;&gt;"",$G$4,"")&amp;IF($F$43&lt;&gt;"","_"&amp;$F$43,""),'表3）燃料価格'!$AF$9:$AG$25,2,0)+VLOOKUP($F$41,'表3）燃料価格'!$AF$28:$AG$29,2,0),0)*IF($F$43="需要地価格",1,$F$8/$F$141))),"")</f>
        <v>8.8800220200000002</v>
      </c>
      <c r="AU19" s="39"/>
      <c r="AV19" s="72">
        <f t="shared" si="19"/>
        <v>10951210444.056049</v>
      </c>
      <c r="AW19" s="72">
        <f t="shared" si="20"/>
        <v>9446610328.6823502</v>
      </c>
      <c r="AX19" s="39"/>
      <c r="AY19" s="40">
        <f>IF(ISERROR(IF($K19&lt;=$F$15,VLOOKUP($I19,'表4）CO2価格'!$A$7:$E$67,VLOOKUP($F$48,'表4）CO2価格'!$H$10:$I$12,2,0),0)*$F$8/1000,"")),0,IF($K19&lt;=$F$15,VLOOKUP($I19,'表4）CO2価格'!$A$7:$E$67,VLOOKUP($F$48,'表4）CO2価格'!$H$10:$I$12,2,0),0)*$F$8/1000,""))</f>
        <v>4.7935999999999712</v>
      </c>
      <c r="AZ19" s="39"/>
      <c r="BA19" s="42">
        <f t="shared" si="21"/>
        <v>976813817.79265392</v>
      </c>
      <c r="BB19" s="72">
        <f t="shared" si="22"/>
        <v>842608179.93577552</v>
      </c>
      <c r="BC19" s="39"/>
      <c r="BD19" s="72">
        <f t="shared" si="23"/>
        <v>0</v>
      </c>
      <c r="BE19" s="72">
        <f t="shared" si="24"/>
        <v>0</v>
      </c>
      <c r="BF19" s="39"/>
      <c r="BG19" s="42">
        <f t="shared" si="25"/>
        <v>0</v>
      </c>
      <c r="BH19" s="72">
        <f t="shared" si="26"/>
        <v>0</v>
      </c>
      <c r="BI19" s="39"/>
      <c r="BJ19" s="40" t="str">
        <f t="shared" si="27"/>
        <v/>
      </c>
      <c r="BK19" s="157" t="str">
        <f t="shared" si="28"/>
        <v/>
      </c>
      <c r="BL19" s="157" t="str">
        <f t="shared" si="29"/>
        <v/>
      </c>
      <c r="BM19" s="72"/>
      <c r="BN19" s="72" t="str">
        <f t="shared" si="30"/>
        <v/>
      </c>
      <c r="BO19" s="72" t="str">
        <f t="shared" si="31"/>
        <v/>
      </c>
      <c r="BP19" s="39"/>
      <c r="BQ19" s="72">
        <f t="shared" si="32"/>
        <v>2529450000</v>
      </c>
      <c r="BR19" s="72">
        <f t="shared" si="33"/>
        <v>2181925789.6605239</v>
      </c>
    </row>
    <row r="20" spans="3:70" x14ac:dyDescent="0.15">
      <c r="I20" s="322">
        <f t="shared" si="34"/>
        <v>2035</v>
      </c>
      <c r="K20" s="71">
        <f t="shared" si="35"/>
        <v>6</v>
      </c>
      <c r="M20" s="7">
        <f t="shared" si="0"/>
        <v>0.83748425668365445</v>
      </c>
      <c r="O20" s="10">
        <f t="shared" si="36"/>
        <v>73396626110.348907</v>
      </c>
      <c r="P20" s="29">
        <f t="shared" si="1"/>
        <v>0.16700000000000001</v>
      </c>
      <c r="R20" s="10">
        <f t="shared" si="37"/>
        <v>84941075655.113861</v>
      </c>
      <c r="T20" s="10">
        <f t="shared" si="2"/>
        <v>84941075000</v>
      </c>
      <c r="V20" s="10">
        <f t="shared" si="3"/>
        <v>12257236560.428268</v>
      </c>
      <c r="W20" s="10">
        <f t="shared" si="4"/>
        <v>10265242649.805983</v>
      </c>
      <c r="Y20" s="10">
        <f t="shared" si="5"/>
        <v>1189175000</v>
      </c>
      <c r="Z20" s="10">
        <f t="shared" si="6"/>
        <v>995915340.94178474</v>
      </c>
      <c r="AB20" s="10">
        <f t="shared" si="7"/>
        <v>0</v>
      </c>
      <c r="AC20" s="10">
        <f t="shared" si="8"/>
        <v>0</v>
      </c>
      <c r="AE20" s="10">
        <f t="shared" si="9"/>
        <v>0</v>
      </c>
      <c r="AF20" s="10">
        <f t="shared" si="10"/>
        <v>0</v>
      </c>
      <c r="AH20" s="10">
        <f t="shared" si="11"/>
        <v>440000000.00000006</v>
      </c>
      <c r="AI20" s="10">
        <f t="shared" si="12"/>
        <v>368493072.940808</v>
      </c>
      <c r="AK20" s="10">
        <f t="shared" si="13"/>
        <v>4392000000</v>
      </c>
      <c r="AL20" s="10">
        <f t="shared" si="14"/>
        <v>3678230855.3546104</v>
      </c>
      <c r="AN20" s="10">
        <f t="shared" si="15"/>
        <v>4026000000.0000005</v>
      </c>
      <c r="AO20" s="10">
        <f t="shared" si="16"/>
        <v>3371711617.4083934</v>
      </c>
      <c r="AQ20" s="10">
        <f t="shared" si="17"/>
        <v>1080676000</v>
      </c>
      <c r="AR20" s="10">
        <f t="shared" si="18"/>
        <v>905049136.57586491</v>
      </c>
      <c r="AT20" s="40">
        <f>IF($K20&lt;=$F$15,IF($F$40&lt;&gt;"",$F$40/1000,IF(ISERROR(VLOOKUP($F$3&amp;IF($G$4&lt;&gt;"",$G$4,"")&amp;IF($F$43&lt;&gt;"","_"&amp;$F$43,""),'表3）燃料価格'!$AF$9:$AG$25,2,0)),0,VLOOKUP($I20,'表3）燃料価格'!$A$6:$W$66,VLOOKUP($F$3&amp;IF($G$4&lt;&gt;"",$G$4,"")&amp;IF($F$43&lt;&gt;"","_"&amp;$F$43,""),'表3）燃料価格'!$AF$9:$AG$25,2,0)+VLOOKUP($F$41,'表3）燃料価格'!$AF$28:$AG$29,2,0),0)*IF($F$43="需要地価格",1,$F$8/$F$141))),"")</f>
        <v>8.8800220200000002</v>
      </c>
      <c r="AV20" s="10">
        <f t="shared" si="19"/>
        <v>10951210444.056049</v>
      </c>
      <c r="AW20" s="10">
        <f t="shared" si="20"/>
        <v>9171466338.5265541</v>
      </c>
      <c r="AY20" s="40">
        <f>IF(ISERROR(IF($K20&lt;=$F$15,VLOOKUP($I20,'表4）CO2価格'!$A$7:$E$67,VLOOKUP($F$48,'表4）CO2価格'!$H$10:$I$12,2,0),0)*$F$8/1000,"")),0,IF($K20&lt;=$F$15,VLOOKUP($I20,'表4）CO2価格'!$A$7:$E$67,VLOOKUP($F$48,'表4）CO2価格'!$H$10:$I$12,2,0),0)*$F$8/1000,""))</f>
        <v>4.9219999999999997</v>
      </c>
      <c r="BA20" s="11">
        <f t="shared" si="21"/>
        <v>1002978473.6263918</v>
      </c>
      <c r="BB20" s="10">
        <f t="shared" si="22"/>
        <v>839978681.454705</v>
      </c>
      <c r="BD20" s="10">
        <f t="shared" si="23"/>
        <v>0</v>
      </c>
      <c r="BE20" s="10">
        <f t="shared" si="24"/>
        <v>0</v>
      </c>
      <c r="BG20" s="11">
        <f t="shared" si="25"/>
        <v>0</v>
      </c>
      <c r="BH20" s="10">
        <f t="shared" si="26"/>
        <v>0</v>
      </c>
      <c r="BJ20" s="7" t="str">
        <f t="shared" si="27"/>
        <v/>
      </c>
      <c r="BK20" s="158" t="str">
        <f t="shared" si="28"/>
        <v/>
      </c>
      <c r="BL20" s="158" t="str">
        <f t="shared" si="29"/>
        <v/>
      </c>
      <c r="BM20" s="10"/>
      <c r="BN20" s="10" t="str">
        <f t="shared" si="30"/>
        <v/>
      </c>
      <c r="BO20" s="10" t="str">
        <f t="shared" si="31"/>
        <v/>
      </c>
      <c r="BQ20" s="10">
        <f t="shared" si="32"/>
        <v>2529450000</v>
      </c>
      <c r="BR20" s="10">
        <f t="shared" si="33"/>
        <v>2118374553.0684698</v>
      </c>
    </row>
    <row r="21" spans="3:70" x14ac:dyDescent="0.15">
      <c r="D21" s="84" t="s">
        <v>558</v>
      </c>
      <c r="F21" s="477">
        <v>36.6</v>
      </c>
      <c r="G21" s="84" t="s">
        <v>559</v>
      </c>
      <c r="I21" s="38">
        <f t="shared" si="34"/>
        <v>2036</v>
      </c>
      <c r="J21" s="39"/>
      <c r="K21" s="39">
        <f t="shared" si="35"/>
        <v>7</v>
      </c>
      <c r="L21" s="39"/>
      <c r="M21" s="40">
        <f t="shared" si="0"/>
        <v>0.81309151134335378</v>
      </c>
      <c r="N21" s="39"/>
      <c r="O21" s="72">
        <f t="shared" si="36"/>
        <v>61139389549.920639</v>
      </c>
      <c r="P21" s="41">
        <f t="shared" si="1"/>
        <v>0.16700000000000001</v>
      </c>
      <c r="Q21" s="39"/>
      <c r="R21" s="72">
        <f t="shared" si="37"/>
        <v>72853612211.290009</v>
      </c>
      <c r="S21" s="39"/>
      <c r="T21" s="72">
        <f t="shared" si="2"/>
        <v>72853612000</v>
      </c>
      <c r="U21" s="39"/>
      <c r="V21" s="72">
        <f t="shared" si="3"/>
        <v>10210278054.836748</v>
      </c>
      <c r="W21" s="72">
        <f t="shared" si="4"/>
        <v>8301890414.8430901</v>
      </c>
      <c r="X21" s="39"/>
      <c r="Y21" s="72">
        <f t="shared" si="5"/>
        <v>1019950500</v>
      </c>
      <c r="Z21" s="72">
        <f t="shared" si="6"/>
        <v>829313093.54040933</v>
      </c>
      <c r="AA21" s="39"/>
      <c r="AB21" s="72">
        <f t="shared" si="7"/>
        <v>0</v>
      </c>
      <c r="AC21" s="72">
        <f t="shared" si="8"/>
        <v>0</v>
      </c>
      <c r="AD21" s="39"/>
      <c r="AE21" s="72">
        <f t="shared" si="9"/>
        <v>0</v>
      </c>
      <c r="AF21" s="72">
        <f t="shared" si="10"/>
        <v>0</v>
      </c>
      <c r="AG21" s="39"/>
      <c r="AH21" s="72">
        <f t="shared" si="11"/>
        <v>440000000.00000006</v>
      </c>
      <c r="AI21" s="72">
        <f t="shared" si="12"/>
        <v>357760264.99107569</v>
      </c>
      <c r="AJ21" s="39"/>
      <c r="AK21" s="72">
        <f t="shared" si="13"/>
        <v>4392000000</v>
      </c>
      <c r="AL21" s="72">
        <f t="shared" si="14"/>
        <v>3571097917.8200097</v>
      </c>
      <c r="AM21" s="39"/>
      <c r="AN21" s="72">
        <f t="shared" si="15"/>
        <v>4026000000.0000005</v>
      </c>
      <c r="AO21" s="72">
        <f t="shared" si="16"/>
        <v>3273506424.6683426</v>
      </c>
      <c r="AP21" s="39"/>
      <c r="AQ21" s="72">
        <f t="shared" si="17"/>
        <v>1080676000</v>
      </c>
      <c r="AR21" s="72">
        <f t="shared" si="18"/>
        <v>878688482.11249018</v>
      </c>
      <c r="AS21" s="39"/>
      <c r="AT21" s="40">
        <f>IF($K21&lt;=$F$15,IF($F$40&lt;&gt;"",$F$40/1000,IF(ISERROR(VLOOKUP($F$3&amp;IF($G$4&lt;&gt;"",$G$4,"")&amp;IF($F$43&lt;&gt;"","_"&amp;$F$43,""),'表3）燃料価格'!$AF$9:$AG$25,2,0)),0,VLOOKUP($I21,'表3）燃料価格'!$A$6:$W$66,VLOOKUP($F$3&amp;IF($G$4&lt;&gt;"",$G$4,"")&amp;IF($F$43&lt;&gt;"","_"&amp;$F$43,""),'表3）燃料価格'!$AF$9:$AG$25,2,0)+VLOOKUP($F$41,'表3）燃料価格'!$AF$28:$AG$29,2,0),0)*IF($F$43="需要地価格",1,$F$8/$F$141))),"")</f>
        <v>8.8800220200000002</v>
      </c>
      <c r="AU21" s="39"/>
      <c r="AV21" s="72">
        <f t="shared" si="19"/>
        <v>10951210444.056049</v>
      </c>
      <c r="AW21" s="72">
        <f t="shared" si="20"/>
        <v>8904336250.9966545</v>
      </c>
      <c r="AX21" s="39"/>
      <c r="AY21" s="40">
        <f>IF(ISERROR(IF($K21&lt;=$F$15,VLOOKUP($I21,'表4）CO2価格'!$A$7:$E$67,VLOOKUP($F$48,'表4）CO2価格'!$H$10:$I$12,2,0),0)*$F$8/1000,"")),0,IF($K21&lt;=$F$15,VLOOKUP($I21,'表4）CO2価格'!$A$7:$E$67,VLOOKUP($F$48,'表4）CO2価格'!$H$10:$I$12,2,0),0)*$F$8/1000,""))</f>
        <v>5.0503999999999802</v>
      </c>
      <c r="AZ21" s="39"/>
      <c r="BA21" s="42">
        <f t="shared" si="21"/>
        <v>1029143129.4601197</v>
      </c>
      <c r="BB21" s="72">
        <f t="shared" si="22"/>
        <v>836787542.52135754</v>
      </c>
      <c r="BC21" s="39"/>
      <c r="BD21" s="72">
        <f t="shared" si="23"/>
        <v>0</v>
      </c>
      <c r="BE21" s="72">
        <f t="shared" si="24"/>
        <v>0</v>
      </c>
      <c r="BF21" s="39"/>
      <c r="BG21" s="42">
        <f t="shared" si="25"/>
        <v>0</v>
      </c>
      <c r="BH21" s="72">
        <f t="shared" si="26"/>
        <v>0</v>
      </c>
      <c r="BI21" s="39"/>
      <c r="BJ21" s="40" t="str">
        <f t="shared" si="27"/>
        <v/>
      </c>
      <c r="BK21" s="157" t="str">
        <f t="shared" si="28"/>
        <v/>
      </c>
      <c r="BL21" s="157" t="str">
        <f t="shared" si="29"/>
        <v/>
      </c>
      <c r="BM21" s="72"/>
      <c r="BN21" s="72" t="str">
        <f t="shared" si="30"/>
        <v/>
      </c>
      <c r="BO21" s="72" t="str">
        <f t="shared" si="31"/>
        <v/>
      </c>
      <c r="BP21" s="39"/>
      <c r="BQ21" s="72">
        <f t="shared" si="32"/>
        <v>2529450000</v>
      </c>
      <c r="BR21" s="72">
        <f t="shared" si="33"/>
        <v>2056674323.3674462</v>
      </c>
    </row>
    <row r="22" spans="3:70" ht="16.5" x14ac:dyDescent="0.15">
      <c r="D22" s="84" t="s">
        <v>560</v>
      </c>
      <c r="F22" s="478">
        <v>22.61</v>
      </c>
      <c r="G22" s="71" t="s">
        <v>561</v>
      </c>
      <c r="I22" s="322">
        <f t="shared" si="34"/>
        <v>2037</v>
      </c>
      <c r="K22" s="71">
        <f t="shared" si="35"/>
        <v>8</v>
      </c>
      <c r="M22" s="7">
        <f t="shared" si="0"/>
        <v>0.78940923431393573</v>
      </c>
      <c r="O22" s="10">
        <f t="shared" si="36"/>
        <v>50929111495.083893</v>
      </c>
      <c r="P22" s="29">
        <f t="shared" si="1"/>
        <v>0.16700000000000001</v>
      </c>
      <c r="R22" s="10">
        <f t="shared" si="37"/>
        <v>62486244391.154922</v>
      </c>
      <c r="T22" s="10">
        <f t="shared" si="2"/>
        <v>62486244000</v>
      </c>
      <c r="V22" s="10">
        <f t="shared" si="3"/>
        <v>8505161619.6790104</v>
      </c>
      <c r="W22" s="10">
        <f t="shared" si="4"/>
        <v>6714053121.9070807</v>
      </c>
      <c r="Y22" s="10">
        <f t="shared" si="5"/>
        <v>874807400</v>
      </c>
      <c r="Z22" s="10">
        <f t="shared" si="6"/>
        <v>690581039.80616486</v>
      </c>
      <c r="AB22" s="10">
        <f t="shared" si="7"/>
        <v>0</v>
      </c>
      <c r="AC22" s="10">
        <f t="shared" si="8"/>
        <v>0</v>
      </c>
      <c r="AE22" s="10">
        <f t="shared" si="9"/>
        <v>0</v>
      </c>
      <c r="AF22" s="10">
        <f t="shared" si="10"/>
        <v>0</v>
      </c>
      <c r="AH22" s="10">
        <f t="shared" si="11"/>
        <v>440000000.00000006</v>
      </c>
      <c r="AI22" s="10">
        <f t="shared" si="12"/>
        <v>347340063.09813178</v>
      </c>
      <c r="AK22" s="10">
        <f t="shared" si="13"/>
        <v>4392000000</v>
      </c>
      <c r="AL22" s="10">
        <f t="shared" si="14"/>
        <v>3467085357.1068058</v>
      </c>
      <c r="AN22" s="10">
        <f t="shared" si="15"/>
        <v>4026000000.0000005</v>
      </c>
      <c r="AO22" s="10">
        <f t="shared" si="16"/>
        <v>3178161577.3479056</v>
      </c>
      <c r="AQ22" s="10">
        <f t="shared" si="17"/>
        <v>1080676000</v>
      </c>
      <c r="AR22" s="10">
        <f t="shared" si="18"/>
        <v>853095613.70144677</v>
      </c>
      <c r="AT22" s="40">
        <f>IF($K22&lt;=$F$15,IF($F$40&lt;&gt;"",$F$40/1000,IF(ISERROR(VLOOKUP($F$3&amp;IF($G$4&lt;&gt;"",$G$4,"")&amp;IF($F$43&lt;&gt;"","_"&amp;$F$43,""),'表3）燃料価格'!$AF$9:$AG$25,2,0)),0,VLOOKUP($I22,'表3）燃料価格'!$A$6:$W$66,VLOOKUP($F$3&amp;IF($G$4&lt;&gt;"",$G$4,"")&amp;IF($F$43&lt;&gt;"","_"&amp;$F$43,""),'表3）燃料価格'!$AF$9:$AG$25,2,0)+VLOOKUP($F$41,'表3）燃料価格'!$AF$28:$AG$29,2,0),0)*IF($F$43="需要地価格",1,$F$8/$F$141))),"")</f>
        <v>8.8800220200000002</v>
      </c>
      <c r="AV22" s="10">
        <f t="shared" si="19"/>
        <v>10951210444.056049</v>
      </c>
      <c r="AW22" s="10">
        <f t="shared" si="20"/>
        <v>8644986651.4530621</v>
      </c>
      <c r="AY22" s="40">
        <f>IF(ISERROR(IF($K22&lt;=$F$15,VLOOKUP($I22,'表4）CO2価格'!$A$7:$E$67,VLOOKUP($F$48,'表4）CO2価格'!$H$10:$I$12,2,0),0)*$F$8/1000,"")),0,IF($K22&lt;=$F$15,VLOOKUP($I22,'表4）CO2価格'!$A$7:$E$67,VLOOKUP($F$48,'表4）CO2価格'!$H$10:$I$12,2,0),0)*$F$8/1000,""))</f>
        <v>5.1788000000000105</v>
      </c>
      <c r="BA22" s="11">
        <f t="shared" si="21"/>
        <v>1055307785.2938578</v>
      </c>
      <c r="BB22" s="10">
        <f t="shared" si="22"/>
        <v>833069710.7543596</v>
      </c>
      <c r="BD22" s="10">
        <f t="shared" si="23"/>
        <v>0</v>
      </c>
      <c r="BE22" s="10">
        <f t="shared" si="24"/>
        <v>0</v>
      </c>
      <c r="BG22" s="11">
        <f t="shared" si="25"/>
        <v>0</v>
      </c>
      <c r="BH22" s="10">
        <f t="shared" si="26"/>
        <v>0</v>
      </c>
      <c r="BJ22" s="7" t="str">
        <f t="shared" si="27"/>
        <v/>
      </c>
      <c r="BK22" s="158" t="str">
        <f t="shared" si="28"/>
        <v/>
      </c>
      <c r="BL22" s="158" t="str">
        <f t="shared" si="29"/>
        <v/>
      </c>
      <c r="BM22" s="10"/>
      <c r="BN22" s="10" t="str">
        <f t="shared" si="30"/>
        <v/>
      </c>
      <c r="BO22" s="10" t="str">
        <f t="shared" si="31"/>
        <v/>
      </c>
      <c r="BQ22" s="10">
        <f t="shared" si="32"/>
        <v>2529450000</v>
      </c>
      <c r="BR22" s="10">
        <f t="shared" si="33"/>
        <v>1996771187.7353847</v>
      </c>
    </row>
    <row r="23" spans="3:70" x14ac:dyDescent="0.15">
      <c r="D23" s="84" t="s">
        <v>562</v>
      </c>
      <c r="F23" s="477">
        <v>48.5</v>
      </c>
      <c r="G23" s="84" t="s">
        <v>549</v>
      </c>
      <c r="I23" s="38">
        <f t="shared" si="34"/>
        <v>2038</v>
      </c>
      <c r="J23" s="39"/>
      <c r="K23" s="39">
        <f t="shared" si="35"/>
        <v>9</v>
      </c>
      <c r="L23" s="39"/>
      <c r="M23" s="40">
        <f t="shared" si="0"/>
        <v>0.76641673234362695</v>
      </c>
      <c r="N23" s="39"/>
      <c r="O23" s="72">
        <f t="shared" si="36"/>
        <v>42423949875.404884</v>
      </c>
      <c r="P23" s="41">
        <f t="shared" si="1"/>
        <v>0.16700000000000001</v>
      </c>
      <c r="Q23" s="39"/>
      <c r="R23" s="72">
        <f t="shared" si="37"/>
        <v>53594195532.641838</v>
      </c>
      <c r="S23" s="39"/>
      <c r="T23" s="72">
        <f t="shared" si="2"/>
        <v>53594195000</v>
      </c>
      <c r="U23" s="39"/>
      <c r="V23" s="72">
        <f t="shared" si="3"/>
        <v>7084799629.1926165</v>
      </c>
      <c r="W23" s="72">
        <f t="shared" si="4"/>
        <v>5429908981.1151447</v>
      </c>
      <c r="X23" s="39"/>
      <c r="Y23" s="72">
        <f t="shared" si="5"/>
        <v>750318700</v>
      </c>
      <c r="Z23" s="72">
        <f t="shared" si="6"/>
        <v>575056806.27031815</v>
      </c>
      <c r="AA23" s="39"/>
      <c r="AB23" s="72">
        <f t="shared" si="7"/>
        <v>0</v>
      </c>
      <c r="AC23" s="72">
        <f t="shared" si="8"/>
        <v>0</v>
      </c>
      <c r="AD23" s="39"/>
      <c r="AE23" s="72">
        <f t="shared" si="9"/>
        <v>0</v>
      </c>
      <c r="AF23" s="72">
        <f t="shared" si="10"/>
        <v>0</v>
      </c>
      <c r="AG23" s="39"/>
      <c r="AH23" s="72">
        <f t="shared" si="11"/>
        <v>440000000.00000006</v>
      </c>
      <c r="AI23" s="72">
        <f t="shared" si="12"/>
        <v>337223362.23119593</v>
      </c>
      <c r="AJ23" s="39"/>
      <c r="AK23" s="72">
        <f t="shared" si="13"/>
        <v>4392000000</v>
      </c>
      <c r="AL23" s="72">
        <f t="shared" si="14"/>
        <v>3366102288.4532094</v>
      </c>
      <c r="AM23" s="39"/>
      <c r="AN23" s="72">
        <f t="shared" si="15"/>
        <v>4026000000.0000005</v>
      </c>
      <c r="AO23" s="72">
        <f t="shared" si="16"/>
        <v>3085593764.4154425</v>
      </c>
      <c r="AP23" s="39"/>
      <c r="AQ23" s="72">
        <f t="shared" si="17"/>
        <v>1080676000</v>
      </c>
      <c r="AR23" s="72">
        <f t="shared" si="18"/>
        <v>828248168.6421814</v>
      </c>
      <c r="AS23" s="39"/>
      <c r="AT23" s="40">
        <f>IF($K23&lt;=$F$15,IF($F$40&lt;&gt;"",$F$40/1000,IF(ISERROR(VLOOKUP($F$3&amp;IF($G$4&lt;&gt;"",$G$4,"")&amp;IF($F$43&lt;&gt;"","_"&amp;$F$43,""),'表3）燃料価格'!$AF$9:$AG$25,2,0)),0,VLOOKUP($I23,'表3）燃料価格'!$A$6:$W$66,VLOOKUP($F$3&amp;IF($G$4&lt;&gt;"",$G$4,"")&amp;IF($F$43&lt;&gt;"","_"&amp;$F$43,""),'表3）燃料価格'!$AF$9:$AG$25,2,0)+VLOOKUP($F$41,'表3）燃料価格'!$AF$28:$AG$29,2,0),0)*IF($F$43="需要地価格",1,$F$8/$F$141))),"")</f>
        <v>8.8800220200000002</v>
      </c>
      <c r="AU23" s="39"/>
      <c r="AV23" s="72">
        <f t="shared" si="19"/>
        <v>10951210444.056049</v>
      </c>
      <c r="AW23" s="72">
        <f t="shared" si="20"/>
        <v>8393190923.7408371</v>
      </c>
      <c r="AX23" s="39"/>
      <c r="AY23" s="40">
        <f>IF(ISERROR(IF($K23&lt;=$F$15,VLOOKUP($I23,'表4）CO2価格'!$A$7:$E$67,VLOOKUP($F$48,'表4）CO2価格'!$H$10:$I$12,2,0),0)*$F$8/1000,"")),0,IF($K23&lt;=$F$15,VLOOKUP($I23,'表4）CO2価格'!$A$7:$E$67,VLOOKUP($F$48,'表4）CO2価格'!$H$10:$I$12,2,0),0)*$F$8/1000,""))</f>
        <v>5.3071999999999901</v>
      </c>
      <c r="AZ23" s="39"/>
      <c r="BA23" s="42">
        <f t="shared" si="21"/>
        <v>1081472441.1275856</v>
      </c>
      <c r="BB23" s="72">
        <f t="shared" si="22"/>
        <v>828858574.4486897</v>
      </c>
      <c r="BC23" s="39"/>
      <c r="BD23" s="72">
        <f t="shared" si="23"/>
        <v>0</v>
      </c>
      <c r="BE23" s="72">
        <f t="shared" si="24"/>
        <v>0</v>
      </c>
      <c r="BF23" s="39"/>
      <c r="BG23" s="42">
        <f t="shared" si="25"/>
        <v>0</v>
      </c>
      <c r="BH23" s="72">
        <f t="shared" si="26"/>
        <v>0</v>
      </c>
      <c r="BI23" s="39"/>
      <c r="BJ23" s="40" t="str">
        <f t="shared" si="27"/>
        <v/>
      </c>
      <c r="BK23" s="157" t="str">
        <f t="shared" si="28"/>
        <v/>
      </c>
      <c r="BL23" s="157" t="str">
        <f t="shared" si="29"/>
        <v/>
      </c>
      <c r="BM23" s="72"/>
      <c r="BN23" s="72" t="str">
        <f t="shared" si="30"/>
        <v/>
      </c>
      <c r="BO23" s="72" t="str">
        <f t="shared" si="31"/>
        <v/>
      </c>
      <c r="BP23" s="39"/>
      <c r="BQ23" s="72">
        <f t="shared" si="32"/>
        <v>2529450000</v>
      </c>
      <c r="BR23" s="72">
        <f t="shared" si="33"/>
        <v>1938612803.6265872</v>
      </c>
    </row>
    <row r="24" spans="3:70" x14ac:dyDescent="0.15">
      <c r="D24" s="84" t="s">
        <v>563</v>
      </c>
      <c r="F24" s="480">
        <v>17.5</v>
      </c>
      <c r="G24" s="84" t="s">
        <v>549</v>
      </c>
      <c r="I24" s="322">
        <f t="shared" si="34"/>
        <v>2039</v>
      </c>
      <c r="K24" s="71">
        <f t="shared" si="35"/>
        <v>10</v>
      </c>
      <c r="M24" s="7">
        <f t="shared" si="0"/>
        <v>0.74409391489672516</v>
      </c>
      <c r="O24" s="10">
        <f t="shared" si="36"/>
        <v>35339150246.212265</v>
      </c>
      <c r="P24" s="29">
        <f t="shared" si="1"/>
        <v>0.16700000000000001</v>
      </c>
      <c r="R24" s="10">
        <f t="shared" si="37"/>
        <v>45967521696.625328</v>
      </c>
      <c r="T24" s="10">
        <f t="shared" si="2"/>
        <v>45967521000</v>
      </c>
      <c r="V24" s="10">
        <f t="shared" si="3"/>
        <v>5901638091.1174488</v>
      </c>
      <c r="W24" s="10">
        <f t="shared" si="4"/>
        <v>4391372991.5232182</v>
      </c>
      <c r="Y24" s="10">
        <f t="shared" si="5"/>
        <v>643545200</v>
      </c>
      <c r="Z24" s="10">
        <f t="shared" si="6"/>
        <v>478858067.28099597</v>
      </c>
      <c r="AB24" s="10">
        <f t="shared" si="7"/>
        <v>0</v>
      </c>
      <c r="AC24" s="10">
        <f t="shared" si="8"/>
        <v>0</v>
      </c>
      <c r="AE24" s="10">
        <f t="shared" si="9"/>
        <v>0</v>
      </c>
      <c r="AF24" s="10">
        <f t="shared" si="10"/>
        <v>0</v>
      </c>
      <c r="AH24" s="10">
        <f t="shared" si="11"/>
        <v>440000000.00000006</v>
      </c>
      <c r="AI24" s="10">
        <f t="shared" si="12"/>
        <v>327401322.55455911</v>
      </c>
      <c r="AK24" s="10">
        <f t="shared" si="13"/>
        <v>4392000000</v>
      </c>
      <c r="AL24" s="10">
        <f t="shared" si="14"/>
        <v>3268060474.2264171</v>
      </c>
      <c r="AN24" s="10">
        <f t="shared" si="15"/>
        <v>4026000000.0000005</v>
      </c>
      <c r="AO24" s="10">
        <f t="shared" si="16"/>
        <v>2995722101.3742161</v>
      </c>
      <c r="AQ24" s="10">
        <f t="shared" si="17"/>
        <v>1080676000</v>
      </c>
      <c r="AR24" s="10">
        <f t="shared" si="18"/>
        <v>804124435.57493341</v>
      </c>
      <c r="AT24" s="40">
        <f>IF($K24&lt;=$F$15,IF($F$40&lt;&gt;"",$F$40/1000,IF(ISERROR(VLOOKUP($F$3&amp;IF($G$4&lt;&gt;"",$G$4,"")&amp;IF($F$43&lt;&gt;"","_"&amp;$F$43,""),'表3）燃料価格'!$AF$9:$AG$25,2,0)),0,VLOOKUP($I24,'表3）燃料価格'!$A$6:$W$66,VLOOKUP($F$3&amp;IF($G$4&lt;&gt;"",$G$4,"")&amp;IF($F$43&lt;&gt;"","_"&amp;$F$43,""),'表3）燃料価格'!$AF$9:$AG$25,2,0)+VLOOKUP($F$41,'表3）燃料価格'!$AF$28:$AG$29,2,0),0)*IF($F$43="需要地価格",1,$F$8/$F$141))),"")</f>
        <v>8.8800220200000002</v>
      </c>
      <c r="AV24" s="10">
        <f t="shared" si="19"/>
        <v>10951210444.056049</v>
      </c>
      <c r="AW24" s="10">
        <f t="shared" si="20"/>
        <v>8148729052.1755695</v>
      </c>
      <c r="AY24" s="40">
        <f>IF(ISERROR(IF($K24&lt;=$F$15,VLOOKUP($I24,'表4）CO2価格'!$A$7:$E$67,VLOOKUP($F$48,'表4）CO2価格'!$H$10:$I$12,2,0),0)*$F$8/1000,"")),0,IF($K24&lt;=$F$15,VLOOKUP($I24,'表4）CO2価格'!$A$7:$E$67,VLOOKUP($F$48,'表4）CO2価格'!$H$10:$I$12,2,0),0)*$F$8/1000,""))</f>
        <v>5.4355999999999716</v>
      </c>
      <c r="BA24" s="11">
        <f t="shared" si="21"/>
        <v>1107637096.9613137</v>
      </c>
      <c r="BB24" s="10">
        <f t="shared" si="22"/>
        <v>824186023.76278746</v>
      </c>
      <c r="BD24" s="10">
        <f t="shared" si="23"/>
        <v>0</v>
      </c>
      <c r="BE24" s="10">
        <f t="shared" si="24"/>
        <v>0</v>
      </c>
      <c r="BG24" s="11">
        <f t="shared" si="25"/>
        <v>0</v>
      </c>
      <c r="BH24" s="10">
        <f t="shared" si="26"/>
        <v>0</v>
      </c>
      <c r="BJ24" s="7" t="str">
        <f t="shared" si="27"/>
        <v/>
      </c>
      <c r="BK24" s="158" t="str">
        <f t="shared" si="28"/>
        <v/>
      </c>
      <c r="BL24" s="158" t="str">
        <f t="shared" si="29"/>
        <v/>
      </c>
      <c r="BM24" s="10"/>
      <c r="BN24" s="10" t="str">
        <f t="shared" si="30"/>
        <v/>
      </c>
      <c r="BO24" s="10" t="str">
        <f t="shared" si="31"/>
        <v/>
      </c>
      <c r="BQ24" s="10">
        <f t="shared" si="32"/>
        <v>2529450000</v>
      </c>
      <c r="BR24" s="10">
        <f t="shared" si="33"/>
        <v>1882148353.0355215</v>
      </c>
    </row>
    <row r="25" spans="3:70" x14ac:dyDescent="0.15">
      <c r="D25" s="84" t="s">
        <v>564</v>
      </c>
      <c r="F25" s="475">
        <v>1.4</v>
      </c>
      <c r="G25" s="84" t="s">
        <v>549</v>
      </c>
      <c r="I25" s="38">
        <f t="shared" si="34"/>
        <v>2040</v>
      </c>
      <c r="J25" s="39"/>
      <c r="K25" s="39">
        <f t="shared" si="35"/>
        <v>11</v>
      </c>
      <c r="L25" s="39"/>
      <c r="M25" s="40">
        <f t="shared" si="0"/>
        <v>0.72242127659876232</v>
      </c>
      <c r="N25" s="39"/>
      <c r="O25" s="72">
        <f t="shared" si="36"/>
        <v>29437512155.094818</v>
      </c>
      <c r="P25" s="41">
        <f t="shared" si="1"/>
        <v>0.2</v>
      </c>
      <c r="Q25" s="39"/>
      <c r="R25" s="72">
        <f t="shared" si="37"/>
        <v>39426154827.583481</v>
      </c>
      <c r="S25" s="39"/>
      <c r="T25" s="72">
        <f t="shared" si="2"/>
        <v>39426154000</v>
      </c>
      <c r="U25" s="39"/>
      <c r="V25" s="72">
        <f t="shared" si="3"/>
        <v>5887502431.0189638</v>
      </c>
      <c r="W25" s="72">
        <f t="shared" si="4"/>
        <v>4253257022.1950364</v>
      </c>
      <c r="X25" s="39"/>
      <c r="Y25" s="72">
        <f t="shared" si="5"/>
        <v>551966100</v>
      </c>
      <c r="Z25" s="72">
        <f t="shared" si="6"/>
        <v>398752054.6012401</v>
      </c>
      <c r="AA25" s="39"/>
      <c r="AB25" s="72">
        <f t="shared" si="7"/>
        <v>0</v>
      </c>
      <c r="AC25" s="72">
        <f t="shared" si="8"/>
        <v>0</v>
      </c>
      <c r="AD25" s="39"/>
      <c r="AE25" s="72">
        <f t="shared" si="9"/>
        <v>0</v>
      </c>
      <c r="AF25" s="72">
        <f t="shared" si="10"/>
        <v>0</v>
      </c>
      <c r="AG25" s="39"/>
      <c r="AH25" s="72">
        <f t="shared" si="11"/>
        <v>440000000.00000006</v>
      </c>
      <c r="AI25" s="72">
        <f t="shared" si="12"/>
        <v>317865361.70345545</v>
      </c>
      <c r="AJ25" s="39"/>
      <c r="AK25" s="72">
        <f t="shared" si="13"/>
        <v>4392000000</v>
      </c>
      <c r="AL25" s="72">
        <f t="shared" si="14"/>
        <v>3172874246.821764</v>
      </c>
      <c r="AM25" s="39"/>
      <c r="AN25" s="72">
        <f t="shared" si="15"/>
        <v>4026000000.0000005</v>
      </c>
      <c r="AO25" s="72">
        <f t="shared" si="16"/>
        <v>2908468059.5866175</v>
      </c>
      <c r="AP25" s="39"/>
      <c r="AQ25" s="72">
        <f t="shared" si="17"/>
        <v>1080676000</v>
      </c>
      <c r="AR25" s="72">
        <f t="shared" si="18"/>
        <v>780703335.50964403</v>
      </c>
      <c r="AS25" s="39"/>
      <c r="AT25" s="40">
        <f>IF($K25&lt;=$F$15,IF($F$40&lt;&gt;"",$F$40/1000,IF(ISERROR(VLOOKUP($F$3&amp;IF($G$4&lt;&gt;"",$G$4,"")&amp;IF($F$43&lt;&gt;"","_"&amp;$F$43,""),'表3）燃料価格'!$AF$9:$AG$25,2,0)),0,VLOOKUP($I25,'表3）燃料価格'!$A$6:$W$66,VLOOKUP($F$3&amp;IF($G$4&lt;&gt;"",$G$4,"")&amp;IF($F$43&lt;&gt;"","_"&amp;$F$43,""),'表3）燃料価格'!$AF$9:$AG$25,2,0)+VLOOKUP($F$41,'表3）燃料価格'!$AF$28:$AG$29,2,0),0)*IF($F$43="需要地価格",1,$F$8/$F$141))),"")</f>
        <v>8.8800220200000002</v>
      </c>
      <c r="AU25" s="39"/>
      <c r="AV25" s="72">
        <f t="shared" si="19"/>
        <v>10951210444.056049</v>
      </c>
      <c r="AW25" s="72">
        <f t="shared" si="20"/>
        <v>7911387429.29667</v>
      </c>
      <c r="AX25" s="39"/>
      <c r="AY25" s="40">
        <f>IF(ISERROR(IF($K25&lt;=$F$15,VLOOKUP($I25,'表4）CO2価格'!$A$7:$E$67,VLOOKUP($F$48,'表4）CO2価格'!$H$10:$I$12,2,0),0)*$F$8/1000,"")),0,IF($K25&lt;=$F$15,VLOOKUP($I25,'表4）CO2価格'!$A$7:$E$67,VLOOKUP($F$48,'表4）CO2価格'!$H$10:$I$12,2,0),0)*$F$8/1000,""))</f>
        <v>5.5640000000000001</v>
      </c>
      <c r="AZ25" s="39"/>
      <c r="BA25" s="42">
        <f t="shared" si="21"/>
        <v>1133801752.7950516</v>
      </c>
      <c r="BB25" s="72">
        <f t="shared" si="22"/>
        <v>819082509.66411555</v>
      </c>
      <c r="BC25" s="39"/>
      <c r="BD25" s="72">
        <f t="shared" si="23"/>
        <v>0</v>
      </c>
      <c r="BE25" s="72">
        <f t="shared" si="24"/>
        <v>0</v>
      </c>
      <c r="BF25" s="39"/>
      <c r="BG25" s="42">
        <f t="shared" si="25"/>
        <v>0</v>
      </c>
      <c r="BH25" s="72">
        <f t="shared" si="26"/>
        <v>0</v>
      </c>
      <c r="BI25" s="39"/>
      <c r="BJ25" s="40" t="str">
        <f t="shared" si="27"/>
        <v/>
      </c>
      <c r="BK25" s="157" t="str">
        <f t="shared" si="28"/>
        <v/>
      </c>
      <c r="BL25" s="157" t="str">
        <f t="shared" si="29"/>
        <v/>
      </c>
      <c r="BM25" s="72"/>
      <c r="BN25" s="72" t="str">
        <f t="shared" si="30"/>
        <v/>
      </c>
      <c r="BO25" s="72" t="str">
        <f t="shared" si="31"/>
        <v/>
      </c>
      <c r="BP25" s="39"/>
      <c r="BQ25" s="72">
        <f t="shared" si="32"/>
        <v>2529450000</v>
      </c>
      <c r="BR25" s="72">
        <f t="shared" si="33"/>
        <v>1827328498.0927393</v>
      </c>
    </row>
    <row r="26" spans="3:70" x14ac:dyDescent="0.15">
      <c r="D26" s="84" t="s">
        <v>115</v>
      </c>
      <c r="F26" s="481"/>
      <c r="G26" s="84" t="s">
        <v>565</v>
      </c>
      <c r="I26" s="322">
        <f t="shared" si="34"/>
        <v>2041</v>
      </c>
      <c r="K26" s="71">
        <f t="shared" si="35"/>
        <v>12</v>
      </c>
      <c r="M26" s="7">
        <f t="shared" si="0"/>
        <v>0.70137988019297326</v>
      </c>
      <c r="O26" s="10">
        <f t="shared" si="36"/>
        <v>23550009724.075855</v>
      </c>
      <c r="P26" s="29" t="str">
        <f t="shared" si="1"/>
        <v>-</v>
      </c>
      <c r="R26" s="10">
        <f t="shared" si="37"/>
        <v>33815651292.82793</v>
      </c>
      <c r="T26" s="10">
        <f t="shared" si="2"/>
        <v>33815651000</v>
      </c>
      <c r="V26" s="10">
        <f t="shared" si="3"/>
        <v>5887502431.0189638</v>
      </c>
      <c r="W26" s="10">
        <f t="shared" si="4"/>
        <v>4129375749.7039199</v>
      </c>
      <c r="Y26" s="10">
        <f t="shared" si="5"/>
        <v>473419100</v>
      </c>
      <c r="Z26" s="10">
        <f t="shared" si="6"/>
        <v>332046631.63906521</v>
      </c>
      <c r="AB26" s="10">
        <f t="shared" si="7"/>
        <v>0</v>
      </c>
      <c r="AC26" s="10">
        <f t="shared" si="8"/>
        <v>0</v>
      </c>
      <c r="AE26" s="10">
        <f t="shared" si="9"/>
        <v>0</v>
      </c>
      <c r="AF26" s="10">
        <f t="shared" si="10"/>
        <v>0</v>
      </c>
      <c r="AH26" s="10">
        <f t="shared" si="11"/>
        <v>440000000.00000006</v>
      </c>
      <c r="AI26" s="10">
        <f t="shared" si="12"/>
        <v>308607147.28490829</v>
      </c>
      <c r="AK26" s="10">
        <f t="shared" si="13"/>
        <v>4392000000</v>
      </c>
      <c r="AL26" s="10">
        <f t="shared" si="14"/>
        <v>3080460433.8075385</v>
      </c>
      <c r="AN26" s="10">
        <f t="shared" si="15"/>
        <v>4026000000.0000005</v>
      </c>
      <c r="AO26" s="10">
        <f t="shared" si="16"/>
        <v>2823755397.6569109</v>
      </c>
      <c r="AQ26" s="10">
        <f t="shared" si="17"/>
        <v>1080676000</v>
      </c>
      <c r="AR26" s="10">
        <f t="shared" si="18"/>
        <v>757964403.40742159</v>
      </c>
      <c r="AT26" s="40">
        <f>IF($K26&lt;=$F$15,IF($F$40&lt;&gt;"",$F$40/1000,IF(ISERROR(VLOOKUP($F$3&amp;IF($G$4&lt;&gt;"",$G$4,"")&amp;IF($F$43&lt;&gt;"","_"&amp;$F$43,""),'表3）燃料価格'!$AF$9:$AG$25,2,0)),0,VLOOKUP($I26,'表3）燃料価格'!$A$6:$W$66,VLOOKUP($F$3&amp;IF($G$4&lt;&gt;"",$G$4,"")&amp;IF($F$43&lt;&gt;"","_"&amp;$F$43,""),'表3）燃料価格'!$AF$9:$AG$25,2,0)+VLOOKUP($F$41,'表3）燃料価格'!$AF$28:$AG$29,2,0),0)*IF($F$43="需要地価格",1,$F$8/$F$141))),"")</f>
        <v>8.8662246747170563</v>
      </c>
      <c r="AV26" s="10">
        <f t="shared" si="19"/>
        <v>10937322822.184965</v>
      </c>
      <c r="AW26" s="10">
        <f t="shared" si="20"/>
        <v>7671218170.6559629</v>
      </c>
      <c r="AY26" s="40">
        <f>IF(ISERROR(IF($K26&lt;=$F$15,VLOOKUP($I26,'表4）CO2価格'!$A$7:$E$67,VLOOKUP($F$48,'表4）CO2価格'!$H$10:$I$12,2,0),0)*$F$8/1000,"")),0,IF($K26&lt;=$F$15,VLOOKUP($I26,'表4）CO2価格'!$A$7:$E$67,VLOOKUP($F$48,'表4）CO2価格'!$H$10:$I$12,2,0),0)*$F$8/1000,""))</f>
        <v>5.6923999999999806</v>
      </c>
      <c r="BA26" s="11">
        <f t="shared" si="21"/>
        <v>1159966408.6287796</v>
      </c>
      <c r="BB26" s="10">
        <f t="shared" si="22"/>
        <v>813577100.71192694</v>
      </c>
      <c r="BD26" s="10">
        <f t="shared" si="23"/>
        <v>0</v>
      </c>
      <c r="BE26" s="10">
        <f t="shared" si="24"/>
        <v>0</v>
      </c>
      <c r="BG26" s="11">
        <f t="shared" si="25"/>
        <v>0</v>
      </c>
      <c r="BH26" s="10">
        <f t="shared" si="26"/>
        <v>0</v>
      </c>
      <c r="BJ26" s="7" t="str">
        <f t="shared" si="27"/>
        <v/>
      </c>
      <c r="BK26" s="158" t="str">
        <f t="shared" si="28"/>
        <v/>
      </c>
      <c r="BL26" s="158" t="str">
        <f t="shared" si="29"/>
        <v/>
      </c>
      <c r="BM26" s="10"/>
      <c r="BN26" s="10" t="str">
        <f t="shared" si="30"/>
        <v/>
      </c>
      <c r="BO26" s="10" t="str">
        <f t="shared" si="31"/>
        <v/>
      </c>
      <c r="BQ26" s="10">
        <f t="shared" si="32"/>
        <v>2529450000</v>
      </c>
      <c r="BR26" s="10">
        <f t="shared" si="33"/>
        <v>1774105337.9541161</v>
      </c>
    </row>
    <row r="27" spans="3:70" x14ac:dyDescent="0.15">
      <c r="D27" s="160" t="s">
        <v>86</v>
      </c>
      <c r="F27" s="481">
        <f>F117*5%/10^8</f>
        <v>91.5</v>
      </c>
      <c r="G27" s="84" t="s">
        <v>566</v>
      </c>
      <c r="I27" s="38">
        <f t="shared" si="34"/>
        <v>2042</v>
      </c>
      <c r="J27" s="39"/>
      <c r="K27" s="39">
        <f t="shared" si="35"/>
        <v>13</v>
      </c>
      <c r="L27" s="39"/>
      <c r="M27" s="40">
        <f t="shared" si="0"/>
        <v>0.68095133999317792</v>
      </c>
      <c r="N27" s="39"/>
      <c r="O27" s="72">
        <f t="shared" si="36"/>
        <v>17662507293.056892</v>
      </c>
      <c r="P27" s="41" t="str">
        <f t="shared" si="1"/>
        <v>-</v>
      </c>
      <c r="Q27" s="39"/>
      <c r="R27" s="72">
        <f t="shared" si="37"/>
        <v>29003545422.038383</v>
      </c>
      <c r="S27" s="39"/>
      <c r="T27" s="72">
        <f t="shared" si="2"/>
        <v>29003545000</v>
      </c>
      <c r="U27" s="39"/>
      <c r="V27" s="72">
        <f t="shared" si="3"/>
        <v>5887502431.0189638</v>
      </c>
      <c r="W27" s="72">
        <f t="shared" si="4"/>
        <v>4009102669.6154561</v>
      </c>
      <c r="X27" s="39"/>
      <c r="Y27" s="72">
        <f t="shared" si="5"/>
        <v>406049600</v>
      </c>
      <c r="Z27" s="72">
        <f t="shared" si="6"/>
        <v>276500019.22369391</v>
      </c>
      <c r="AA27" s="39"/>
      <c r="AB27" s="72">
        <f t="shared" si="7"/>
        <v>0</v>
      </c>
      <c r="AC27" s="72">
        <f t="shared" si="8"/>
        <v>0</v>
      </c>
      <c r="AD27" s="39"/>
      <c r="AE27" s="72">
        <f t="shared" si="9"/>
        <v>0</v>
      </c>
      <c r="AF27" s="72">
        <f t="shared" si="10"/>
        <v>0</v>
      </c>
      <c r="AG27" s="39"/>
      <c r="AH27" s="72">
        <f t="shared" si="11"/>
        <v>440000000.00000006</v>
      </c>
      <c r="AI27" s="72">
        <f t="shared" si="12"/>
        <v>299618589.59699833</v>
      </c>
      <c r="AJ27" s="39"/>
      <c r="AK27" s="72">
        <f t="shared" si="13"/>
        <v>4392000000</v>
      </c>
      <c r="AL27" s="72">
        <f t="shared" si="14"/>
        <v>2990738285.2500372</v>
      </c>
      <c r="AM27" s="39"/>
      <c r="AN27" s="72">
        <f t="shared" si="15"/>
        <v>4026000000.0000005</v>
      </c>
      <c r="AO27" s="72">
        <f t="shared" si="16"/>
        <v>2741510094.8125348</v>
      </c>
      <c r="AP27" s="39"/>
      <c r="AQ27" s="72">
        <f t="shared" si="17"/>
        <v>1080676000</v>
      </c>
      <c r="AR27" s="72">
        <f t="shared" si="18"/>
        <v>735887770.29846752</v>
      </c>
      <c r="AS27" s="39"/>
      <c r="AT27" s="40">
        <f>IF($K27&lt;=$F$15,IF($F$40&lt;&gt;"",$F$40/1000,IF(ISERROR(VLOOKUP($F$3&amp;IF($G$4&lt;&gt;"",$G$4,"")&amp;IF($F$43&lt;&gt;"","_"&amp;$F$43,""),'表3）燃料価格'!$AF$9:$AG$25,2,0)),0,VLOOKUP($I27,'表3）燃料価格'!$A$6:$W$66,VLOOKUP($F$3&amp;IF($G$4&lt;&gt;"",$G$4,"")&amp;IF($F$43&lt;&gt;"","_"&amp;$F$43,""),'表3）燃料価格'!$AF$9:$AG$25,2,0)+VLOOKUP($F$41,'表3）燃料価格'!$AF$28:$AG$29,2,0),0)*IF($F$43="需要地価格",1,$F$8/$F$141))),"")</f>
        <v>8.85292916377235</v>
      </c>
      <c r="AU27" s="39"/>
      <c r="AV27" s="72">
        <f t="shared" si="19"/>
        <v>10923940318.174488</v>
      </c>
      <c r="AW27" s="72">
        <f t="shared" si="20"/>
        <v>7438671797.66642</v>
      </c>
      <c r="AX27" s="39"/>
      <c r="AY27" s="40">
        <f>IF(ISERROR(IF($K27&lt;=$F$15,VLOOKUP($I27,'表4）CO2価格'!$A$7:$E$67,VLOOKUP($F$48,'表4）CO2価格'!$H$10:$I$12,2,0),0)*$F$8/1000,"")),0,IF($K27&lt;=$F$15,VLOOKUP($I27,'表4）CO2価格'!$A$7:$E$67,VLOOKUP($F$48,'表4）CO2価格'!$H$10:$I$12,2,0),0)*$F$8/1000,""))</f>
        <v>5.82080000000001</v>
      </c>
      <c r="AZ27" s="39"/>
      <c r="BA27" s="42">
        <f t="shared" si="21"/>
        <v>1186131064.4625175</v>
      </c>
      <c r="BB27" s="72">
        <f t="shared" si="22"/>
        <v>807697537.75328577</v>
      </c>
      <c r="BC27" s="39"/>
      <c r="BD27" s="72">
        <f t="shared" si="23"/>
        <v>0</v>
      </c>
      <c r="BE27" s="72">
        <f t="shared" si="24"/>
        <v>0</v>
      </c>
      <c r="BF27" s="39"/>
      <c r="BG27" s="42">
        <f t="shared" si="25"/>
        <v>0</v>
      </c>
      <c r="BH27" s="72">
        <f t="shared" si="26"/>
        <v>0</v>
      </c>
      <c r="BI27" s="39"/>
      <c r="BJ27" s="40" t="str">
        <f t="shared" si="27"/>
        <v/>
      </c>
      <c r="BK27" s="157" t="str">
        <f t="shared" si="28"/>
        <v/>
      </c>
      <c r="BL27" s="157" t="str">
        <f t="shared" si="29"/>
        <v/>
      </c>
      <c r="BM27" s="72"/>
      <c r="BN27" s="72" t="str">
        <f t="shared" si="30"/>
        <v/>
      </c>
      <c r="BO27" s="72" t="str">
        <f t="shared" si="31"/>
        <v/>
      </c>
      <c r="BP27" s="39"/>
      <c r="BQ27" s="72">
        <f t="shared" si="32"/>
        <v>2529450000</v>
      </c>
      <c r="BR27" s="72">
        <f t="shared" si="33"/>
        <v>1722432366.9457438</v>
      </c>
    </row>
    <row r="28" spans="3:70" x14ac:dyDescent="0.15">
      <c r="D28" s="84" t="s">
        <v>116</v>
      </c>
      <c r="F28" s="481">
        <v>1</v>
      </c>
      <c r="G28" s="84" t="s">
        <v>556</v>
      </c>
      <c r="I28" s="322">
        <f t="shared" si="34"/>
        <v>2043</v>
      </c>
      <c r="K28" s="71">
        <f t="shared" si="35"/>
        <v>14</v>
      </c>
      <c r="M28" s="7">
        <f t="shared" si="0"/>
        <v>0.66111780581861923</v>
      </c>
      <c r="O28" s="10">
        <f t="shared" si="36"/>
        <v>11775004862.03793</v>
      </c>
      <c r="P28" s="29" t="str">
        <f t="shared" si="1"/>
        <v>-</v>
      </c>
      <c r="R28" s="10">
        <f t="shared" si="37"/>
        <v>24876221953.077026</v>
      </c>
      <c r="T28" s="10">
        <f t="shared" si="2"/>
        <v>24876221000</v>
      </c>
      <c r="V28" s="10">
        <f t="shared" si="3"/>
        <v>5887502431.0189638</v>
      </c>
      <c r="W28" s="10">
        <f t="shared" si="4"/>
        <v>3892332688.9470439</v>
      </c>
      <c r="Y28" s="10">
        <f t="shared" si="5"/>
        <v>348267000</v>
      </c>
      <c r="Z28" s="10">
        <f t="shared" si="6"/>
        <v>230245514.87903306</v>
      </c>
      <c r="AB28" s="10">
        <f t="shared" si="7"/>
        <v>0</v>
      </c>
      <c r="AC28" s="10">
        <f t="shared" si="8"/>
        <v>0</v>
      </c>
      <c r="AE28" s="10">
        <f t="shared" si="9"/>
        <v>0</v>
      </c>
      <c r="AF28" s="10">
        <f t="shared" si="10"/>
        <v>0</v>
      </c>
      <c r="AH28" s="10">
        <f t="shared" si="11"/>
        <v>440000000.00000006</v>
      </c>
      <c r="AI28" s="10">
        <f t="shared" si="12"/>
        <v>290891834.56019253</v>
      </c>
      <c r="AK28" s="10">
        <f t="shared" si="13"/>
        <v>4392000000</v>
      </c>
      <c r="AL28" s="10">
        <f t="shared" si="14"/>
        <v>2903629403.1553755</v>
      </c>
      <c r="AN28" s="10">
        <f t="shared" si="15"/>
        <v>4026000000.0000005</v>
      </c>
      <c r="AO28" s="10">
        <f t="shared" si="16"/>
        <v>2661660286.2257614</v>
      </c>
      <c r="AQ28" s="10">
        <f t="shared" si="17"/>
        <v>1080676000</v>
      </c>
      <c r="AR28" s="10">
        <f t="shared" si="18"/>
        <v>714454145.92084217</v>
      </c>
      <c r="AT28" s="40">
        <f>IF($K28&lt;=$F$15,IF($F$40&lt;&gt;"",$F$40/1000,IF(ISERROR(VLOOKUP($F$3&amp;IF($G$4&lt;&gt;"",$G$4,"")&amp;IF($F$43&lt;&gt;"","_"&amp;$F$43,""),'表3）燃料価格'!$AF$9:$AG$25,2,0)),0,VLOOKUP($I28,'表3）燃料価格'!$A$6:$W$66,VLOOKUP($F$3&amp;IF($G$4&lt;&gt;"",$G$4,"")&amp;IF($F$43&lt;&gt;"","_"&amp;$F$43,""),'表3）燃料価格'!$AF$9:$AG$25,2,0)+VLOOKUP($F$41,'表3）燃料価格'!$AF$28:$AG$29,2,0),0)*IF($F$43="需要地価格",1,$F$8/$F$141))),"")</f>
        <v>8.8401002594742675</v>
      </c>
      <c r="AV28" s="10">
        <f t="shared" si="19"/>
        <v>10911027473.836792</v>
      </c>
      <c r="AW28" s="10">
        <f t="shared" si="20"/>
        <v>7213474542.7296515</v>
      </c>
      <c r="AY28" s="40">
        <f>IF(ISERROR(IF($K28&lt;=$F$15,VLOOKUP($I28,'表4）CO2価格'!$A$7:$E$67,VLOOKUP($F$48,'表4）CO2価格'!$H$10:$I$12,2,0),0)*$F$8/1000,"")),0,IF($K28&lt;=$F$15,VLOOKUP($I28,'表4）CO2価格'!$A$7:$E$67,VLOOKUP($F$48,'表4）CO2価格'!$H$10:$I$12,2,0),0)*$F$8/1000,""))</f>
        <v>5.9491999999999896</v>
      </c>
      <c r="BA28" s="11">
        <f t="shared" si="21"/>
        <v>1212295720.2962453</v>
      </c>
      <c r="BB28" s="10">
        <f t="shared" si="22"/>
        <v>801470286.60555625</v>
      </c>
      <c r="BD28" s="10">
        <f t="shared" si="23"/>
        <v>0</v>
      </c>
      <c r="BE28" s="10">
        <f t="shared" si="24"/>
        <v>0</v>
      </c>
      <c r="BG28" s="11">
        <f t="shared" si="25"/>
        <v>0</v>
      </c>
      <c r="BH28" s="10">
        <f t="shared" si="26"/>
        <v>0</v>
      </c>
      <c r="BJ28" s="7" t="str">
        <f t="shared" si="27"/>
        <v/>
      </c>
      <c r="BK28" s="158" t="str">
        <f t="shared" si="28"/>
        <v/>
      </c>
      <c r="BL28" s="158" t="str">
        <f t="shared" si="29"/>
        <v/>
      </c>
      <c r="BM28" s="10"/>
      <c r="BN28" s="10" t="str">
        <f t="shared" si="30"/>
        <v/>
      </c>
      <c r="BO28" s="10" t="str">
        <f t="shared" si="31"/>
        <v/>
      </c>
      <c r="BQ28" s="10">
        <f t="shared" si="32"/>
        <v>2529450000</v>
      </c>
      <c r="BR28" s="10">
        <f t="shared" si="33"/>
        <v>1672264433.9279065</v>
      </c>
    </row>
    <row r="29" spans="3:70" x14ac:dyDescent="0.15">
      <c r="D29" s="84" t="s">
        <v>567</v>
      </c>
      <c r="F29" s="481"/>
      <c r="G29" s="84" t="s">
        <v>566</v>
      </c>
      <c r="I29" s="38">
        <f t="shared" si="34"/>
        <v>2044</v>
      </c>
      <c r="J29" s="39"/>
      <c r="K29" s="39">
        <f t="shared" si="35"/>
        <v>15</v>
      </c>
      <c r="L29" s="39"/>
      <c r="M29" s="40">
        <f t="shared" si="0"/>
        <v>0.64186194739671765</v>
      </c>
      <c r="N29" s="39"/>
      <c r="O29" s="72">
        <f t="shared" si="36"/>
        <v>5887502431.0189657</v>
      </c>
      <c r="P29" s="41" t="str">
        <f t="shared" si="1"/>
        <v>-</v>
      </c>
      <c r="Q29" s="39"/>
      <c r="R29" s="72">
        <f t="shared" si="37"/>
        <v>21336233541.590927</v>
      </c>
      <c r="S29" s="39"/>
      <c r="T29" s="72">
        <f t="shared" si="2"/>
        <v>21336233000</v>
      </c>
      <c r="U29" s="39"/>
      <c r="V29" s="72">
        <f t="shared" si="3"/>
        <v>5887502431.0189638</v>
      </c>
      <c r="W29" s="72">
        <f t="shared" si="4"/>
        <v>3778963775.6767416</v>
      </c>
      <c r="X29" s="39"/>
      <c r="Y29" s="72">
        <f t="shared" si="5"/>
        <v>298707200</v>
      </c>
      <c r="Z29" s="72">
        <f t="shared" si="6"/>
        <v>191728785.0934208</v>
      </c>
      <c r="AA29" s="39"/>
      <c r="AB29" s="72">
        <f t="shared" si="7"/>
        <v>0</v>
      </c>
      <c r="AC29" s="72">
        <f t="shared" si="8"/>
        <v>0</v>
      </c>
      <c r="AD29" s="39"/>
      <c r="AE29" s="72">
        <f t="shared" si="9"/>
        <v>0</v>
      </c>
      <c r="AF29" s="72">
        <f t="shared" si="10"/>
        <v>0</v>
      </c>
      <c r="AG29" s="39"/>
      <c r="AH29" s="72">
        <f t="shared" si="11"/>
        <v>440000000.00000006</v>
      </c>
      <c r="AI29" s="72">
        <f t="shared" si="12"/>
        <v>282419256.85455579</v>
      </c>
      <c r="AJ29" s="39"/>
      <c r="AK29" s="72">
        <f t="shared" si="13"/>
        <v>4392000000</v>
      </c>
      <c r="AL29" s="72">
        <f t="shared" si="14"/>
        <v>2819057672.9663839</v>
      </c>
      <c r="AM29" s="39"/>
      <c r="AN29" s="72">
        <f t="shared" si="15"/>
        <v>4026000000.0000005</v>
      </c>
      <c r="AO29" s="72">
        <f t="shared" si="16"/>
        <v>2584136200.2191854</v>
      </c>
      <c r="AP29" s="39"/>
      <c r="AQ29" s="72">
        <f t="shared" si="17"/>
        <v>1080676000</v>
      </c>
      <c r="AR29" s="72">
        <f t="shared" si="18"/>
        <v>693644801.86489522</v>
      </c>
      <c r="AS29" s="39"/>
      <c r="AT29" s="40">
        <f>IF($K29&lt;=$F$15,IF($F$40&lt;&gt;"",$F$40/1000,IF(ISERROR(VLOOKUP($F$3&amp;IF($G$4&lt;&gt;"",$G$4,"")&amp;IF($F$43&lt;&gt;"","_"&amp;$F$43,""),'表3）燃料価格'!$AF$9:$AG$25,2,0)),0,VLOOKUP($I29,'表3）燃料価格'!$A$6:$W$66,VLOOKUP($F$3&amp;IF($G$4&lt;&gt;"",$G$4,"")&amp;IF($F$43&lt;&gt;"","_"&amp;$F$43,""),'表3）燃料価格'!$AF$9:$AG$25,2,0)+VLOOKUP($F$41,'表3）燃料価格'!$AF$28:$AG$29,2,0),0)*IF($F$43="需要地価格",1,$F$8/$F$141))),"")</f>
        <v>8.8277063180567623</v>
      </c>
      <c r="AU29" s="39"/>
      <c r="AV29" s="72">
        <f t="shared" si="19"/>
        <v>10898552438.359392</v>
      </c>
      <c r="AW29" s="72">
        <f t="shared" si="20"/>
        <v>6995366091.890605</v>
      </c>
      <c r="AX29" s="39"/>
      <c r="AY29" s="40">
        <f>IF(ISERROR(IF($K29&lt;=$F$15,VLOOKUP($I29,'表4）CO2価格'!$A$7:$E$67,VLOOKUP($F$48,'表4）CO2価格'!$H$10:$I$12,2,0),0)*$F$8/1000,"")),0,IF($K29&lt;=$F$15,VLOOKUP($I29,'表4）CO2価格'!$A$7:$E$67,VLOOKUP($F$48,'表4）CO2価格'!$H$10:$I$12,2,0),0)*$F$8/1000,""))</f>
        <v>6.077599999999971</v>
      </c>
      <c r="AZ29" s="39"/>
      <c r="BA29" s="42">
        <f t="shared" si="21"/>
        <v>1238460376.1299734</v>
      </c>
      <c r="BB29" s="72">
        <f t="shared" si="22"/>
        <v>794920588.7964561</v>
      </c>
      <c r="BC29" s="39"/>
      <c r="BD29" s="72">
        <f t="shared" si="23"/>
        <v>0</v>
      </c>
      <c r="BE29" s="72">
        <f t="shared" si="24"/>
        <v>0</v>
      </c>
      <c r="BF29" s="39"/>
      <c r="BG29" s="42">
        <f t="shared" si="25"/>
        <v>0</v>
      </c>
      <c r="BH29" s="72">
        <f t="shared" si="26"/>
        <v>0</v>
      </c>
      <c r="BI29" s="39"/>
      <c r="BJ29" s="40" t="str">
        <f t="shared" si="27"/>
        <v/>
      </c>
      <c r="BK29" s="157" t="str">
        <f t="shared" si="28"/>
        <v/>
      </c>
      <c r="BL29" s="157" t="str">
        <f t="shared" si="29"/>
        <v/>
      </c>
      <c r="BM29" s="72"/>
      <c r="BN29" s="72" t="str">
        <f t="shared" si="30"/>
        <v/>
      </c>
      <c r="BO29" s="72" t="str">
        <f t="shared" si="31"/>
        <v/>
      </c>
      <c r="BP29" s="39"/>
      <c r="BQ29" s="72">
        <f t="shared" si="32"/>
        <v>2529450000</v>
      </c>
      <c r="BR29" s="72">
        <f t="shared" si="33"/>
        <v>1623557702.8426275</v>
      </c>
    </row>
    <row r="30" spans="3:70" x14ac:dyDescent="0.15">
      <c r="I30" s="322">
        <f t="shared" si="34"/>
        <v>2045</v>
      </c>
      <c r="K30" s="71">
        <f t="shared" si="35"/>
        <v>16</v>
      </c>
      <c r="M30" s="7">
        <f t="shared" si="0"/>
        <v>0.62316693922011435</v>
      </c>
      <c r="O30" s="10">
        <f t="shared" si="36"/>
        <v>1.9073486328125E-6</v>
      </c>
      <c r="P30" s="29" t="str">
        <f t="shared" si="1"/>
        <v>-</v>
      </c>
      <c r="R30" s="10">
        <f t="shared" si="37"/>
        <v>18300000000.000004</v>
      </c>
      <c r="T30" s="10">
        <f t="shared" si="2"/>
        <v>18300000000</v>
      </c>
      <c r="V30" s="10">
        <f t="shared" si="3"/>
        <v>0</v>
      </c>
      <c r="W30" s="10">
        <f t="shared" si="4"/>
        <v>0</v>
      </c>
      <c r="Y30" s="10">
        <f t="shared" si="5"/>
        <v>256200000</v>
      </c>
      <c r="Z30" s="10">
        <f t="shared" si="6"/>
        <v>159655369.82819331</v>
      </c>
      <c r="AB30" s="10">
        <f t="shared" si="7"/>
        <v>0</v>
      </c>
      <c r="AC30" s="10">
        <f t="shared" si="8"/>
        <v>0</v>
      </c>
      <c r="AE30" s="10">
        <f t="shared" si="9"/>
        <v>0</v>
      </c>
      <c r="AF30" s="10">
        <f t="shared" si="10"/>
        <v>0</v>
      </c>
      <c r="AH30" s="10">
        <f t="shared" si="11"/>
        <v>440000000.00000006</v>
      </c>
      <c r="AI30" s="10">
        <f t="shared" si="12"/>
        <v>274193453.25685036</v>
      </c>
      <c r="AK30" s="10">
        <f t="shared" si="13"/>
        <v>4392000000</v>
      </c>
      <c r="AL30" s="10">
        <f t="shared" si="14"/>
        <v>2736949197.0547423</v>
      </c>
      <c r="AN30" s="10">
        <f t="shared" si="15"/>
        <v>4026000000.0000005</v>
      </c>
      <c r="AO30" s="10">
        <f t="shared" si="16"/>
        <v>2508870097.3001804</v>
      </c>
      <c r="AQ30" s="10">
        <f t="shared" si="17"/>
        <v>1080676000</v>
      </c>
      <c r="AR30" s="10">
        <f t="shared" si="18"/>
        <v>673441555.20863628</v>
      </c>
      <c r="AT30" s="40">
        <f>IF($K30&lt;=$F$15,IF($F$40&lt;&gt;"",$F$40/1000,IF(ISERROR(VLOOKUP($F$3&amp;IF($G$4&lt;&gt;"",$G$4,"")&amp;IF($F$43&lt;&gt;"","_"&amp;$F$43,""),'表3）燃料価格'!$AF$9:$AG$25,2,0)),0,VLOOKUP($I30,'表3）燃料価格'!$A$6:$W$66,VLOOKUP($F$3&amp;IF($G$4&lt;&gt;"",$G$4,"")&amp;IF($F$43&lt;&gt;"","_"&amp;$F$43,""),'表3）燃料価格'!$AF$9:$AG$25,2,0)+VLOOKUP($F$41,'表3）燃料価格'!$AF$28:$AG$29,2,0),0)*IF($F$43="需要地価格",1,$F$8/$F$141))),"")</f>
        <v>8.81571880943042</v>
      </c>
      <c r="AV30" s="10">
        <f t="shared" si="19"/>
        <v>10886486494.979343</v>
      </c>
      <c r="AW30" s="10">
        <f t="shared" si="20"/>
        <v>6784098467.9373884</v>
      </c>
      <c r="AY30" s="40">
        <f>IF(ISERROR(IF($K30&lt;=$F$15,VLOOKUP($I30,'表4）CO2価格'!$A$7:$E$67,VLOOKUP($F$48,'表4）CO2価格'!$H$10:$I$12,2,0),0)*$F$8/1000,"")),0,IF($K30&lt;=$F$15,VLOOKUP($I30,'表4）CO2価格'!$A$7:$E$67,VLOOKUP($F$48,'表4）CO2価格'!$H$10:$I$12,2,0),0)*$F$8/1000,""))</f>
        <v>6.2060000000000004</v>
      </c>
      <c r="BA30" s="11">
        <f t="shared" si="21"/>
        <v>1264625031.9637115</v>
      </c>
      <c r="BB30" s="10">
        <f t="shared" si="22"/>
        <v>788072510.42996538</v>
      </c>
      <c r="BD30" s="10">
        <f t="shared" si="23"/>
        <v>0</v>
      </c>
      <c r="BE30" s="10">
        <f t="shared" si="24"/>
        <v>0</v>
      </c>
      <c r="BG30" s="11">
        <f t="shared" si="25"/>
        <v>0</v>
      </c>
      <c r="BH30" s="10">
        <f t="shared" si="26"/>
        <v>0</v>
      </c>
      <c r="BJ30" s="7" t="str">
        <f t="shared" si="27"/>
        <v/>
      </c>
      <c r="BK30" s="158" t="str">
        <f t="shared" si="28"/>
        <v/>
      </c>
      <c r="BL30" s="158" t="str">
        <f t="shared" si="29"/>
        <v/>
      </c>
      <c r="BM30" s="10"/>
      <c r="BN30" s="10" t="str">
        <f t="shared" si="30"/>
        <v/>
      </c>
      <c r="BO30" s="10" t="str">
        <f t="shared" si="31"/>
        <v/>
      </c>
      <c r="BQ30" s="10">
        <f t="shared" si="32"/>
        <v>2529450000</v>
      </c>
      <c r="BR30" s="10">
        <f t="shared" si="33"/>
        <v>1576269614.4103181</v>
      </c>
    </row>
    <row r="31" spans="3:70" x14ac:dyDescent="0.15">
      <c r="C31" s="4" t="s">
        <v>568</v>
      </c>
      <c r="D31" s="100"/>
      <c r="E31" s="100"/>
      <c r="F31" s="4"/>
      <c r="G31" s="100"/>
      <c r="I31" s="38">
        <f t="shared" si="34"/>
        <v>2046</v>
      </c>
      <c r="J31" s="39"/>
      <c r="K31" s="39">
        <f t="shared" si="35"/>
        <v>17</v>
      </c>
      <c r="L31" s="39"/>
      <c r="M31" s="40">
        <f t="shared" si="0"/>
        <v>0.60501644584477121</v>
      </c>
      <c r="N31" s="39"/>
      <c r="O31" s="72">
        <f t="shared" si="36"/>
        <v>1.9073486328125E-6</v>
      </c>
      <c r="P31" s="41" t="str">
        <f t="shared" si="1"/>
        <v>-</v>
      </c>
      <c r="Q31" s="39"/>
      <c r="R31" s="72">
        <f t="shared" si="37"/>
        <v>15695834944.213366</v>
      </c>
      <c r="S31" s="39"/>
      <c r="T31" s="72">
        <f t="shared" si="2"/>
        <v>15695834000</v>
      </c>
      <c r="U31" s="39"/>
      <c r="V31" s="72">
        <f t="shared" si="3"/>
        <v>0</v>
      </c>
      <c r="W31" s="72">
        <f t="shared" si="4"/>
        <v>0</v>
      </c>
      <c r="X31" s="39"/>
      <c r="Y31" s="72">
        <f t="shared" si="5"/>
        <v>219741600</v>
      </c>
      <c r="Z31" s="72">
        <f t="shared" si="6"/>
        <v>132947281.83624338</v>
      </c>
      <c r="AA31" s="39"/>
      <c r="AB31" s="72">
        <f t="shared" si="7"/>
        <v>0</v>
      </c>
      <c r="AC31" s="72">
        <f t="shared" si="8"/>
        <v>0</v>
      </c>
      <c r="AD31" s="39"/>
      <c r="AE31" s="72">
        <f t="shared" si="9"/>
        <v>0</v>
      </c>
      <c r="AF31" s="72">
        <f t="shared" si="10"/>
        <v>0</v>
      </c>
      <c r="AG31" s="39"/>
      <c r="AH31" s="72">
        <f t="shared" si="11"/>
        <v>440000000.00000006</v>
      </c>
      <c r="AI31" s="72">
        <f t="shared" si="12"/>
        <v>266207236.17169937</v>
      </c>
      <c r="AJ31" s="39"/>
      <c r="AK31" s="72">
        <f t="shared" si="13"/>
        <v>4392000000</v>
      </c>
      <c r="AL31" s="72">
        <f t="shared" si="14"/>
        <v>2657232230.1502352</v>
      </c>
      <c r="AM31" s="39"/>
      <c r="AN31" s="72">
        <f t="shared" si="15"/>
        <v>4026000000.0000005</v>
      </c>
      <c r="AO31" s="72">
        <f t="shared" si="16"/>
        <v>2435796210.9710493</v>
      </c>
      <c r="AP31" s="39"/>
      <c r="AQ31" s="72">
        <f t="shared" si="17"/>
        <v>1080676000</v>
      </c>
      <c r="AR31" s="72">
        <f t="shared" si="18"/>
        <v>653826752.62974393</v>
      </c>
      <c r="AS31" s="39"/>
      <c r="AT31" s="40">
        <f>IF($K31&lt;=$F$15,IF($F$40&lt;&gt;"",$F$40/1000,IF(ISERROR(VLOOKUP($F$3&amp;IF($G$4&lt;&gt;"",$G$4,"")&amp;IF($F$43&lt;&gt;"","_"&amp;$F$43,""),'表3）燃料価格'!$AF$9:$AG$25,2,0)),0,VLOOKUP($I31,'表3）燃料価格'!$A$6:$W$66,VLOOKUP($F$3&amp;IF($G$4&lt;&gt;"",$G$4,"")&amp;IF($F$43&lt;&gt;"","_"&amp;$F$43,""),'表3）燃料価格'!$AF$9:$AG$25,2,0)+VLOOKUP($F$41,'表3）燃料価格'!$AF$28:$AG$29,2,0),0)*IF($F$43="需要地価格",1,$F$8/$F$141))),"")</f>
        <v>8.8041119216172259</v>
      </c>
      <c r="AU31" s="39"/>
      <c r="AV31" s="72">
        <f t="shared" si="19"/>
        <v>10874803662.829813</v>
      </c>
      <c r="AW31" s="72">
        <f t="shared" si="20"/>
        <v>6579435061.3449936</v>
      </c>
      <c r="AX31" s="39"/>
      <c r="AY31" s="40">
        <f>IF(ISERROR(IF($K31&lt;=$F$15,VLOOKUP($I31,'表4）CO2価格'!$A$7:$E$67,VLOOKUP($F$48,'表4）CO2価格'!$H$10:$I$12,2,0),0)*$F$8/1000,"")),0,IF($K31&lt;=$F$15,VLOOKUP($I31,'表4）CO2価格'!$A$7:$E$67,VLOOKUP($F$48,'表4）CO2価格'!$H$10:$I$12,2,0),0)*$F$8/1000,""))</f>
        <v>6.3343999999999809</v>
      </c>
      <c r="AZ31" s="39"/>
      <c r="BA31" s="42">
        <f t="shared" si="21"/>
        <v>1290789687.7974396</v>
      </c>
      <c r="BB31" s="72">
        <f t="shared" si="22"/>
        <v>780948989.24428868</v>
      </c>
      <c r="BC31" s="39"/>
      <c r="BD31" s="72">
        <f t="shared" si="23"/>
        <v>0</v>
      </c>
      <c r="BE31" s="72">
        <f t="shared" si="24"/>
        <v>0</v>
      </c>
      <c r="BF31" s="39"/>
      <c r="BG31" s="42">
        <f t="shared" si="25"/>
        <v>0</v>
      </c>
      <c r="BH31" s="72">
        <f t="shared" si="26"/>
        <v>0</v>
      </c>
      <c r="BI31" s="39"/>
      <c r="BJ31" s="40" t="str">
        <f t="shared" si="27"/>
        <v/>
      </c>
      <c r="BK31" s="157" t="str">
        <f t="shared" si="28"/>
        <v/>
      </c>
      <c r="BL31" s="157" t="str">
        <f t="shared" si="29"/>
        <v/>
      </c>
      <c r="BM31" s="72"/>
      <c r="BN31" s="72" t="str">
        <f t="shared" si="30"/>
        <v/>
      </c>
      <c r="BO31" s="72" t="str">
        <f t="shared" si="31"/>
        <v/>
      </c>
      <c r="BP31" s="39"/>
      <c r="BQ31" s="72">
        <f t="shared" si="32"/>
        <v>2529450000</v>
      </c>
      <c r="BR31" s="72">
        <f t="shared" si="33"/>
        <v>1530358848.9420567</v>
      </c>
    </row>
    <row r="32" spans="3:70" x14ac:dyDescent="0.15">
      <c r="I32" s="322">
        <f t="shared" si="34"/>
        <v>2047</v>
      </c>
      <c r="K32" s="71">
        <f t="shared" si="35"/>
        <v>18</v>
      </c>
      <c r="M32" s="7">
        <f t="shared" si="0"/>
        <v>0.5873946076162827</v>
      </c>
      <c r="O32" s="10">
        <f t="shared" si="36"/>
        <v>1.9073486328125E-6</v>
      </c>
      <c r="P32" s="29" t="str">
        <f t="shared" si="1"/>
        <v>-</v>
      </c>
      <c r="R32" s="10">
        <f t="shared" si="37"/>
        <v>13462253256.611439</v>
      </c>
      <c r="T32" s="10">
        <f t="shared" si="2"/>
        <v>13462253000</v>
      </c>
      <c r="V32" s="10">
        <f t="shared" si="3"/>
        <v>0</v>
      </c>
      <c r="W32" s="10">
        <f t="shared" si="4"/>
        <v>0</v>
      </c>
      <c r="Y32" s="10">
        <f t="shared" si="5"/>
        <v>188471500</v>
      </c>
      <c r="Z32" s="10">
        <f t="shared" si="6"/>
        <v>110707142.78935222</v>
      </c>
      <c r="AB32" s="10">
        <f t="shared" si="7"/>
        <v>0</v>
      </c>
      <c r="AC32" s="10">
        <f t="shared" si="8"/>
        <v>0</v>
      </c>
      <c r="AE32" s="10">
        <f t="shared" si="9"/>
        <v>0</v>
      </c>
      <c r="AF32" s="10">
        <f t="shared" si="10"/>
        <v>0</v>
      </c>
      <c r="AH32" s="10">
        <f t="shared" si="11"/>
        <v>440000000.00000006</v>
      </c>
      <c r="AI32" s="10">
        <f t="shared" si="12"/>
        <v>258453627.35116443</v>
      </c>
      <c r="AK32" s="10">
        <f t="shared" si="13"/>
        <v>4392000000</v>
      </c>
      <c r="AL32" s="10">
        <f t="shared" si="14"/>
        <v>2579837116.6507134</v>
      </c>
      <c r="AN32" s="10">
        <f t="shared" si="15"/>
        <v>4026000000.0000005</v>
      </c>
      <c r="AO32" s="10">
        <f t="shared" si="16"/>
        <v>2364850690.2631545</v>
      </c>
      <c r="AQ32" s="10">
        <f t="shared" si="17"/>
        <v>1080676000</v>
      </c>
      <c r="AR32" s="10">
        <f t="shared" si="18"/>
        <v>634783254.98033392</v>
      </c>
      <c r="AT32" s="40">
        <f>IF($K32&lt;=$F$15,IF($F$40&lt;&gt;"",$F$40/1000,IF(ISERROR(VLOOKUP($F$3&amp;IF($G$4&lt;&gt;"",$G$4,"")&amp;IF($F$43&lt;&gt;"","_"&amp;$F$43,""),'表3）燃料価格'!$AF$9:$AG$25,2,0)),0,VLOOKUP($I32,'表3）燃料価格'!$A$6:$W$66,VLOOKUP($F$3&amp;IF($G$4&lt;&gt;"",$G$4,"")&amp;IF($F$43&lt;&gt;"","_"&amp;$F$43,""),'表3）燃料価格'!$AF$9:$AG$25,2,0)+VLOOKUP($F$41,'表3）燃料価格'!$AF$28:$AG$29,2,0),0)*IF($F$43="需要地価格",1,$F$8/$F$141))),"")</f>
        <v>8.7928622260727902</v>
      </c>
      <c r="AV32" s="10">
        <f t="shared" si="19"/>
        <v>10863480360.072502</v>
      </c>
      <c r="AW32" s="10">
        <f t="shared" si="20"/>
        <v>6381149783.4519806</v>
      </c>
      <c r="AY32" s="40">
        <f>IF(ISERROR(IF($K32&lt;=$F$15,VLOOKUP($I32,'表4）CO2価格'!$A$7:$E$67,VLOOKUP($F$48,'表4）CO2価格'!$H$10:$I$12,2,0),0)*$F$8/1000,"")),0,IF($K32&lt;=$F$15,VLOOKUP($I32,'表4）CO2価格'!$A$7:$E$67,VLOOKUP($F$48,'表4）CO2価格'!$H$10:$I$12,2,0),0)*$F$8/1000,""))</f>
        <v>6.4628000000000103</v>
      </c>
      <c r="BA32" s="11">
        <f t="shared" si="21"/>
        <v>1316954343.6311774</v>
      </c>
      <c r="BB32" s="10">
        <f t="shared" si="22"/>
        <v>773571879.9257946</v>
      </c>
      <c r="BD32" s="10">
        <f t="shared" si="23"/>
        <v>0</v>
      </c>
      <c r="BE32" s="10">
        <f t="shared" si="24"/>
        <v>0</v>
      </c>
      <c r="BG32" s="11">
        <f t="shared" si="25"/>
        <v>0</v>
      </c>
      <c r="BH32" s="10">
        <f t="shared" si="26"/>
        <v>0</v>
      </c>
      <c r="BJ32" s="7" t="str">
        <f t="shared" si="27"/>
        <v/>
      </c>
      <c r="BK32" s="158" t="str">
        <f t="shared" si="28"/>
        <v/>
      </c>
      <c r="BL32" s="158" t="str">
        <f t="shared" si="29"/>
        <v/>
      </c>
      <c r="BM32" s="10"/>
      <c r="BN32" s="10" t="str">
        <f t="shared" si="30"/>
        <v/>
      </c>
      <c r="BO32" s="10" t="str">
        <f t="shared" si="31"/>
        <v/>
      </c>
      <c r="BQ32" s="10">
        <f t="shared" si="32"/>
        <v>2529450000</v>
      </c>
      <c r="BR32" s="10">
        <f t="shared" si="33"/>
        <v>1485785290.2350063</v>
      </c>
    </row>
    <row r="33" spans="1:70" x14ac:dyDescent="0.15">
      <c r="D33" s="84" t="s">
        <v>636</v>
      </c>
      <c r="F33" s="475">
        <v>4.4000000000000004</v>
      </c>
      <c r="G33" s="84" t="s">
        <v>637</v>
      </c>
      <c r="I33" s="38">
        <f t="shared" si="34"/>
        <v>2048</v>
      </c>
      <c r="J33" s="39"/>
      <c r="K33" s="39">
        <f t="shared" si="35"/>
        <v>19</v>
      </c>
      <c r="L33" s="39"/>
      <c r="M33" s="40">
        <f t="shared" si="0"/>
        <v>0.57028602681192497</v>
      </c>
      <c r="N33" s="39"/>
      <c r="O33" s="72">
        <f t="shared" si="36"/>
        <v>1.9073486328125E-6</v>
      </c>
      <c r="P33" s="41" t="str">
        <f t="shared" si="1"/>
        <v>-</v>
      </c>
      <c r="Q33" s="39"/>
      <c r="R33" s="72">
        <f t="shared" si="37"/>
        <v>11546519403.987539</v>
      </c>
      <c r="S33" s="39"/>
      <c r="T33" s="72">
        <f t="shared" si="2"/>
        <v>11546519000</v>
      </c>
      <c r="U33" s="39"/>
      <c r="V33" s="72">
        <f t="shared" si="3"/>
        <v>0</v>
      </c>
      <c r="W33" s="72">
        <f t="shared" si="4"/>
        <v>0</v>
      </c>
      <c r="X33" s="39"/>
      <c r="Y33" s="72">
        <f t="shared" si="5"/>
        <v>161651200</v>
      </c>
      <c r="Z33" s="72">
        <f t="shared" si="6"/>
        <v>92187420.577379853</v>
      </c>
      <c r="AA33" s="39"/>
      <c r="AB33" s="72">
        <f t="shared" si="7"/>
        <v>0</v>
      </c>
      <c r="AC33" s="72">
        <f t="shared" si="8"/>
        <v>0</v>
      </c>
      <c r="AD33" s="39"/>
      <c r="AE33" s="72">
        <f t="shared" si="9"/>
        <v>0</v>
      </c>
      <c r="AF33" s="72">
        <f t="shared" si="10"/>
        <v>0</v>
      </c>
      <c r="AG33" s="39"/>
      <c r="AH33" s="72">
        <f t="shared" si="11"/>
        <v>440000000.00000006</v>
      </c>
      <c r="AI33" s="72">
        <f t="shared" si="12"/>
        <v>250925851.79724702</v>
      </c>
      <c r="AJ33" s="39"/>
      <c r="AK33" s="72">
        <f t="shared" si="13"/>
        <v>4392000000</v>
      </c>
      <c r="AL33" s="72">
        <f t="shared" si="14"/>
        <v>2504696229.7579746</v>
      </c>
      <c r="AM33" s="39"/>
      <c r="AN33" s="72">
        <f t="shared" si="15"/>
        <v>4026000000.0000005</v>
      </c>
      <c r="AO33" s="72">
        <f t="shared" si="16"/>
        <v>2295971543.9448104</v>
      </c>
      <c r="AP33" s="39"/>
      <c r="AQ33" s="72">
        <f t="shared" si="17"/>
        <v>1080676000</v>
      </c>
      <c r="AR33" s="72">
        <f t="shared" si="18"/>
        <v>616294422.3110038</v>
      </c>
      <c r="AS33" s="39"/>
      <c r="AT33" s="40">
        <f>IF($K33&lt;=$F$15,IF($F$40&lt;&gt;"",$F$40/1000,IF(ISERROR(VLOOKUP($F$3&amp;IF($G$4&lt;&gt;"",$G$4,"")&amp;IF($F$43&lt;&gt;"","_"&amp;$F$43,""),'表3）燃料価格'!$AF$9:$AG$25,2,0)),0,VLOOKUP($I33,'表3）燃料価格'!$A$6:$W$66,VLOOKUP($F$3&amp;IF($G$4&lt;&gt;"",$G$4,"")&amp;IF($F$43&lt;&gt;"","_"&amp;$F$43,""),'表3）燃料価格'!$AF$9:$AG$25,2,0)+VLOOKUP($F$41,'表3）燃料価格'!$AF$28:$AG$29,2,0),0)*IF($F$43="需要地価格",1,$F$8/$F$141))),"")</f>
        <v>8.7819483929846882</v>
      </c>
      <c r="AU33" s="39"/>
      <c r="AV33" s="72">
        <f t="shared" si="19"/>
        <v>10852495117.333158</v>
      </c>
      <c r="AW33" s="72">
        <f t="shared" si="20"/>
        <v>6189026321.4597425</v>
      </c>
      <c r="AX33" s="39"/>
      <c r="AY33" s="40">
        <f>IF(ISERROR(IF($K33&lt;=$F$15,VLOOKUP($I33,'表4）CO2価格'!$A$7:$E$67,VLOOKUP($F$48,'表4）CO2価格'!$H$10:$I$12,2,0),0)*$F$8/1000,"")),0,IF($K33&lt;=$F$15,VLOOKUP($I33,'表4）CO2価格'!$A$7:$E$67,VLOOKUP($F$48,'表4）CO2価格'!$H$10:$I$12,2,0),0)*$F$8/1000,""))</f>
        <v>6.59119999999999</v>
      </c>
      <c r="AZ33" s="39"/>
      <c r="BA33" s="42">
        <f t="shared" si="21"/>
        <v>1343118999.4649053</v>
      </c>
      <c r="BB33" s="72">
        <f t="shared" si="22"/>
        <v>765961997.74044883</v>
      </c>
      <c r="BC33" s="39"/>
      <c r="BD33" s="72">
        <f t="shared" si="23"/>
        <v>0</v>
      </c>
      <c r="BE33" s="72">
        <f t="shared" si="24"/>
        <v>0</v>
      </c>
      <c r="BF33" s="39"/>
      <c r="BG33" s="42">
        <f t="shared" si="25"/>
        <v>0</v>
      </c>
      <c r="BH33" s="72">
        <f t="shared" si="26"/>
        <v>0</v>
      </c>
      <c r="BI33" s="39"/>
      <c r="BJ33" s="40" t="str">
        <f t="shared" si="27"/>
        <v/>
      </c>
      <c r="BK33" s="157" t="str">
        <f t="shared" si="28"/>
        <v/>
      </c>
      <c r="BL33" s="157" t="str">
        <f t="shared" si="29"/>
        <v/>
      </c>
      <c r="BM33" s="72"/>
      <c r="BN33" s="72" t="str">
        <f t="shared" si="30"/>
        <v/>
      </c>
      <c r="BO33" s="72" t="str">
        <f t="shared" si="31"/>
        <v/>
      </c>
      <c r="BP33" s="39"/>
      <c r="BQ33" s="72">
        <f t="shared" si="32"/>
        <v>2529450000</v>
      </c>
      <c r="BR33" s="72">
        <f t="shared" si="33"/>
        <v>1442509990.5194237</v>
      </c>
    </row>
    <row r="34" spans="1:70" x14ac:dyDescent="0.15">
      <c r="D34" s="84" t="s">
        <v>120</v>
      </c>
      <c r="F34" s="475">
        <v>2.4</v>
      </c>
      <c r="G34" s="84" t="s">
        <v>638</v>
      </c>
      <c r="I34" s="322">
        <f t="shared" si="34"/>
        <v>2049</v>
      </c>
      <c r="K34" s="71">
        <f t="shared" si="35"/>
        <v>20</v>
      </c>
      <c r="M34" s="7">
        <f t="shared" si="0"/>
        <v>0.55367575418633497</v>
      </c>
      <c r="O34" s="10">
        <f t="shared" si="36"/>
        <v>1.9073486328125E-6</v>
      </c>
      <c r="P34" s="29" t="str">
        <f t="shared" si="1"/>
        <v>-</v>
      </c>
      <c r="R34" s="10">
        <f t="shared" si="37"/>
        <v>9903402335.8002872</v>
      </c>
      <c r="T34" s="10">
        <f t="shared" si="2"/>
        <v>9903402000</v>
      </c>
      <c r="V34" s="10">
        <f t="shared" si="3"/>
        <v>0</v>
      </c>
      <c r="W34" s="10">
        <f t="shared" si="4"/>
        <v>0</v>
      </c>
      <c r="Y34" s="10">
        <f t="shared" si="5"/>
        <v>138647600</v>
      </c>
      <c r="Z34" s="10">
        <f t="shared" si="6"/>
        <v>76765814.496125296</v>
      </c>
      <c r="AB34" s="10">
        <f t="shared" si="7"/>
        <v>0</v>
      </c>
      <c r="AC34" s="10">
        <f t="shared" si="8"/>
        <v>0</v>
      </c>
      <c r="AE34" s="10">
        <f t="shared" si="9"/>
        <v>0</v>
      </c>
      <c r="AF34" s="10">
        <f t="shared" si="10"/>
        <v>0</v>
      </c>
      <c r="AH34" s="10">
        <f t="shared" si="11"/>
        <v>440000000.00000006</v>
      </c>
      <c r="AI34" s="10">
        <f t="shared" si="12"/>
        <v>243617331.84198743</v>
      </c>
      <c r="AK34" s="10">
        <f t="shared" si="13"/>
        <v>4392000000</v>
      </c>
      <c r="AL34" s="10">
        <f t="shared" si="14"/>
        <v>2431743912.3863831</v>
      </c>
      <c r="AN34" s="10">
        <f t="shared" si="15"/>
        <v>4026000000.0000005</v>
      </c>
      <c r="AO34" s="10">
        <f t="shared" si="16"/>
        <v>2229098586.3541846</v>
      </c>
      <c r="AQ34" s="10">
        <f t="shared" si="17"/>
        <v>1080676000</v>
      </c>
      <c r="AR34" s="10">
        <f t="shared" si="18"/>
        <v>598344099.33107173</v>
      </c>
      <c r="AT34" s="40">
        <f>IF($K34&lt;=$F$15,IF($F$40&lt;&gt;"",$F$40/1000,IF(ISERROR(VLOOKUP($F$3&amp;IF($G$4&lt;&gt;"",$G$4,"")&amp;IF($F$43&lt;&gt;"","_"&amp;$F$43,""),'表3）燃料価格'!$AF$9:$AG$25,2,0)),0,VLOOKUP($I34,'表3）燃料価格'!$A$6:$W$66,VLOOKUP($F$3&amp;IF($G$4&lt;&gt;"",$G$4,"")&amp;IF($F$43&lt;&gt;"","_"&amp;$F$43,""),'表3）燃料価格'!$AF$9:$AG$25,2,0)+VLOOKUP($F$41,'表3）燃料価格'!$AF$28:$AG$29,2,0),0)*IF($F$43="需要地価格",1,$F$8/$F$141))),"")</f>
        <v>8.7713509478505589</v>
      </c>
      <c r="AV34" s="10">
        <f t="shared" si="19"/>
        <v>10841828332.686964</v>
      </c>
      <c r="AW34" s="10">
        <f t="shared" si="20"/>
        <v>6002857478.8592291</v>
      </c>
      <c r="AY34" s="40">
        <f>IF(ISERROR(IF($K34&lt;=$F$15,VLOOKUP($I34,'表4）CO2価格'!$A$7:$E$67,VLOOKUP($F$48,'表4）CO2価格'!$H$10:$I$12,2,0),0)*$F$8/1000,"")),0,IF($K34&lt;=$F$15,VLOOKUP($I34,'表4）CO2価格'!$A$7:$E$67,VLOOKUP($F$48,'表4）CO2価格'!$H$10:$I$12,2,0),0)*$F$8/1000,""))</f>
        <v>6.7195999999999714</v>
      </c>
      <c r="BA34" s="11">
        <f t="shared" si="21"/>
        <v>1369283655.2986333</v>
      </c>
      <c r="BB34" s="10">
        <f t="shared" si="22"/>
        <v>758139160.54249239</v>
      </c>
      <c r="BD34" s="10">
        <f t="shared" si="23"/>
        <v>0</v>
      </c>
      <c r="BE34" s="10">
        <f t="shared" si="24"/>
        <v>0</v>
      </c>
      <c r="BG34" s="11">
        <f t="shared" si="25"/>
        <v>0</v>
      </c>
      <c r="BH34" s="10">
        <f t="shared" si="26"/>
        <v>0</v>
      </c>
      <c r="BJ34" s="7" t="str">
        <f t="shared" si="27"/>
        <v/>
      </c>
      <c r="BK34" s="158" t="str">
        <f t="shared" si="28"/>
        <v/>
      </c>
      <c r="BL34" s="158" t="str">
        <f t="shared" si="29"/>
        <v/>
      </c>
      <c r="BM34" s="10"/>
      <c r="BN34" s="10" t="str">
        <f t="shared" si="30"/>
        <v/>
      </c>
      <c r="BO34" s="10" t="str">
        <f t="shared" si="31"/>
        <v/>
      </c>
      <c r="BQ34" s="10">
        <f t="shared" si="32"/>
        <v>2529450000</v>
      </c>
      <c r="BR34" s="10">
        <f t="shared" si="33"/>
        <v>1400495136.426625</v>
      </c>
    </row>
    <row r="35" spans="1:70" x14ac:dyDescent="0.15">
      <c r="D35" s="84" t="s">
        <v>122</v>
      </c>
      <c r="F35" s="475">
        <v>2.2000000000000002</v>
      </c>
      <c r="G35" s="84" t="s">
        <v>638</v>
      </c>
      <c r="I35" s="38">
        <f t="shared" si="34"/>
        <v>2050</v>
      </c>
      <c r="J35" s="39"/>
      <c r="K35" s="39">
        <f t="shared" si="35"/>
        <v>21</v>
      </c>
      <c r="L35" s="39"/>
      <c r="M35" s="40">
        <f t="shared" si="0"/>
        <v>0.5375492759090631</v>
      </c>
      <c r="N35" s="39"/>
      <c r="O35" s="72">
        <f t="shared" si="36"/>
        <v>1.9073486328125E-6</v>
      </c>
      <c r="P35" s="41" t="str">
        <f t="shared" si="1"/>
        <v>-</v>
      </c>
      <c r="Q35" s="39"/>
      <c r="R35" s="72">
        <f t="shared" si="37"/>
        <v>9150000000</v>
      </c>
      <c r="S35" s="39"/>
      <c r="T35" s="72">
        <f t="shared" si="2"/>
        <v>9150000000</v>
      </c>
      <c r="U35" s="39"/>
      <c r="V35" s="72">
        <f t="shared" si="3"/>
        <v>0</v>
      </c>
      <c r="W35" s="72">
        <f t="shared" si="4"/>
        <v>0</v>
      </c>
      <c r="X35" s="39"/>
      <c r="Y35" s="72">
        <f t="shared" si="5"/>
        <v>128100000</v>
      </c>
      <c r="Z35" s="72">
        <f t="shared" si="6"/>
        <v>68860062.243950978</v>
      </c>
      <c r="AA35" s="39"/>
      <c r="AB35" s="72">
        <f t="shared" si="7"/>
        <v>0</v>
      </c>
      <c r="AC35" s="72">
        <f t="shared" si="8"/>
        <v>0</v>
      </c>
      <c r="AD35" s="39"/>
      <c r="AE35" s="72">
        <f t="shared" si="9"/>
        <v>0</v>
      </c>
      <c r="AF35" s="72">
        <f t="shared" si="10"/>
        <v>0</v>
      </c>
      <c r="AG35" s="39"/>
      <c r="AH35" s="72">
        <f t="shared" si="11"/>
        <v>440000000.00000006</v>
      </c>
      <c r="AI35" s="72">
        <f t="shared" si="12"/>
        <v>236521681.39998779</v>
      </c>
      <c r="AJ35" s="39"/>
      <c r="AK35" s="72">
        <f t="shared" si="13"/>
        <v>4392000000</v>
      </c>
      <c r="AL35" s="72">
        <f t="shared" si="14"/>
        <v>2360916419.7926049</v>
      </c>
      <c r="AM35" s="39"/>
      <c r="AN35" s="72">
        <f t="shared" si="15"/>
        <v>4026000000.0000005</v>
      </c>
      <c r="AO35" s="72">
        <f t="shared" si="16"/>
        <v>2164173384.8098884</v>
      </c>
      <c r="AP35" s="39"/>
      <c r="AQ35" s="72">
        <f t="shared" si="17"/>
        <v>1080676000</v>
      </c>
      <c r="AR35" s="72">
        <f t="shared" si="18"/>
        <v>580916601.29230273</v>
      </c>
      <c r="AS35" s="39"/>
      <c r="AT35" s="40">
        <f>IF($K35&lt;=$F$15,IF($F$40&lt;&gt;"",$F$40/1000,IF(ISERROR(VLOOKUP($F$3&amp;IF($G$4&lt;&gt;"",$G$4,"")&amp;IF($F$43&lt;&gt;"","_"&amp;$F$43,""),'表3）燃料価格'!$AF$9:$AG$25,2,0)),0,VLOOKUP($I35,'表3）燃料価格'!$A$6:$W$66,VLOOKUP($F$3&amp;IF($G$4&lt;&gt;"",$G$4,"")&amp;IF($F$43&lt;&gt;"","_"&amp;$F$43,""),'表3）燃料価格'!$AF$9:$AG$25,2,0)+VLOOKUP($F$41,'表3）燃料価格'!$AF$28:$AG$29,2,0),0)*IF($F$43="需要地価格",1,$F$8/$F$141))),"")</f>
        <v>8.7610520623557271</v>
      </c>
      <c r="AU35" s="39"/>
      <c r="AV35" s="72">
        <f t="shared" si="19"/>
        <v>10831462061.167862</v>
      </c>
      <c r="AW35" s="72">
        <f t="shared" si="20"/>
        <v>5822444588.017272</v>
      </c>
      <c r="AX35" s="39"/>
      <c r="AY35" s="40">
        <f>IF(ISERROR(IF($K35&lt;=$F$15,VLOOKUP($I35,'表4）CO2価格'!$A$7:$E$67,VLOOKUP($F$48,'表4）CO2価格'!$H$10:$I$12,2,0),0)*$F$8/1000,"")),0,IF($K35&lt;=$F$15,VLOOKUP($I35,'表4）CO2価格'!$A$7:$E$67,VLOOKUP($F$48,'表4）CO2価格'!$H$10:$I$12,2,0),0)*$F$8/1000,""))</f>
        <v>6.8479999999999999</v>
      </c>
      <c r="AZ35" s="39"/>
      <c r="BA35" s="42">
        <f t="shared" si="21"/>
        <v>1395448311.1323712</v>
      </c>
      <c r="BB35" s="72">
        <f t="shared" si="22"/>
        <v>750122229.21773112</v>
      </c>
      <c r="BC35" s="39"/>
      <c r="BD35" s="72">
        <f t="shared" si="23"/>
        <v>0</v>
      </c>
      <c r="BE35" s="72">
        <f t="shared" si="24"/>
        <v>0</v>
      </c>
      <c r="BF35" s="39"/>
      <c r="BG35" s="42">
        <f t="shared" si="25"/>
        <v>0</v>
      </c>
      <c r="BH35" s="72">
        <f t="shared" si="26"/>
        <v>0</v>
      </c>
      <c r="BI35" s="39"/>
      <c r="BJ35" s="40" t="str">
        <f t="shared" si="27"/>
        <v/>
      </c>
      <c r="BK35" s="157" t="str">
        <f t="shared" si="28"/>
        <v/>
      </c>
      <c r="BL35" s="157" t="str">
        <f t="shared" si="29"/>
        <v/>
      </c>
      <c r="BM35" s="72"/>
      <c r="BN35" s="72" t="str">
        <f t="shared" si="30"/>
        <v/>
      </c>
      <c r="BO35" s="72" t="str">
        <f t="shared" si="31"/>
        <v/>
      </c>
      <c r="BP35" s="39"/>
      <c r="BQ35" s="72">
        <f t="shared" si="32"/>
        <v>2529450000</v>
      </c>
      <c r="BR35" s="72">
        <f t="shared" si="33"/>
        <v>1359704015.9481797</v>
      </c>
    </row>
    <row r="36" spans="1:70" x14ac:dyDescent="0.15">
      <c r="D36" s="84" t="s">
        <v>639</v>
      </c>
      <c r="F36" s="480">
        <v>12.2</v>
      </c>
      <c r="G36" s="84" t="s">
        <v>640</v>
      </c>
      <c r="I36" s="322">
        <f t="shared" si="34"/>
        <v>2051</v>
      </c>
      <c r="K36" s="71">
        <f t="shared" si="35"/>
        <v>22</v>
      </c>
      <c r="M36" s="7">
        <f t="shared" si="0"/>
        <v>0.52189250088258554</v>
      </c>
      <c r="O36" s="10">
        <f t="shared" si="36"/>
        <v>1.9073486328125E-6</v>
      </c>
      <c r="P36" s="29" t="str">
        <f t="shared" si="1"/>
        <v>-</v>
      </c>
      <c r="R36" s="10">
        <f t="shared" si="37"/>
        <v>9150000000</v>
      </c>
      <c r="T36" s="10">
        <f t="shared" si="2"/>
        <v>9150000000</v>
      </c>
      <c r="V36" s="10">
        <f t="shared" si="3"/>
        <v>0</v>
      </c>
      <c r="W36" s="10">
        <f t="shared" si="4"/>
        <v>0</v>
      </c>
      <c r="Y36" s="10">
        <f t="shared" si="5"/>
        <v>128100000</v>
      </c>
      <c r="Z36" s="10">
        <f t="shared" si="6"/>
        <v>66854429.363059208</v>
      </c>
      <c r="AB36" s="10">
        <f t="shared" si="7"/>
        <v>0</v>
      </c>
      <c r="AC36" s="10">
        <f t="shared" si="8"/>
        <v>0</v>
      </c>
      <c r="AE36" s="10">
        <f t="shared" si="9"/>
        <v>0</v>
      </c>
      <c r="AF36" s="10">
        <f t="shared" si="10"/>
        <v>0</v>
      </c>
      <c r="AH36" s="10">
        <f t="shared" si="11"/>
        <v>440000000.00000006</v>
      </c>
      <c r="AI36" s="10">
        <f t="shared" si="12"/>
        <v>229632700.38833767</v>
      </c>
      <c r="AK36" s="10">
        <f t="shared" si="13"/>
        <v>4392000000</v>
      </c>
      <c r="AL36" s="10">
        <f t="shared" si="14"/>
        <v>2292151863.8763156</v>
      </c>
      <c r="AN36" s="10">
        <f t="shared" si="15"/>
        <v>4026000000.0000005</v>
      </c>
      <c r="AO36" s="10">
        <f t="shared" si="16"/>
        <v>2101139208.5532897</v>
      </c>
      <c r="AQ36" s="10">
        <f t="shared" si="17"/>
        <v>1080676000</v>
      </c>
      <c r="AR36" s="10">
        <f t="shared" si="18"/>
        <v>563996700.28378904</v>
      </c>
      <c r="AT36" s="40">
        <f>IF($K36&lt;=$F$15,IF($F$40&lt;&gt;"",$F$40/1000,IF(ISERROR(VLOOKUP($F$3&amp;IF($G$4&lt;&gt;"",$G$4,"")&amp;IF($F$43&lt;&gt;"","_"&amp;$F$43,""),'表3）燃料価格'!$AF$9:$AG$25,2,0)),0,VLOOKUP($I36,'表3）燃料価格'!$A$6:$W$66,VLOOKUP($F$3&amp;IF($G$4&lt;&gt;"",$G$4,"")&amp;IF($F$43&lt;&gt;"","_"&amp;$F$43,""),'表3）燃料価格'!$AF$9:$AG$25,2,0)+VLOOKUP($F$41,'表3）燃料価格'!$AF$28:$AG$29,2,0),0)*IF($F$43="需要地価格",1,$F$8/$F$141))),"")</f>
        <v>8.7510353739092555</v>
      </c>
      <c r="AV36" s="10">
        <f t="shared" si="19"/>
        <v>10821379833.123817</v>
      </c>
      <c r="AW36" s="10">
        <f t="shared" si="20"/>
        <v>5647596984.1093655</v>
      </c>
      <c r="AY36" s="40">
        <f>IF(ISERROR(IF($K36&lt;=$F$15,VLOOKUP($I36,'表4）CO2価格'!$A$7:$E$67,VLOOKUP($F$48,'表4）CO2価格'!$H$10:$I$12,2,0),0)*$F$8/1000,"")),0,IF($K36&lt;=$F$15,VLOOKUP($I36,'表4）CO2価格'!$A$7:$E$67,VLOOKUP($F$48,'表4）CO2価格'!$H$10:$I$12,2,0),0)*$F$8/1000,""))</f>
        <v>7.0184806169104448</v>
      </c>
      <c r="BA36" s="11">
        <f t="shared" si="21"/>
        <v>1430187926.9250822</v>
      </c>
      <c r="BB36" s="10">
        <f t="shared" si="22"/>
        <v>746404353.91501164</v>
      </c>
      <c r="BD36" s="10">
        <f t="shared" si="23"/>
        <v>0</v>
      </c>
      <c r="BE36" s="10">
        <f t="shared" si="24"/>
        <v>0</v>
      </c>
      <c r="BG36" s="11">
        <f t="shared" si="25"/>
        <v>0</v>
      </c>
      <c r="BH36" s="10">
        <f t="shared" si="26"/>
        <v>0</v>
      </c>
      <c r="BJ36" s="7" t="str">
        <f t="shared" si="27"/>
        <v/>
      </c>
      <c r="BK36" s="158" t="str">
        <f t="shared" si="28"/>
        <v/>
      </c>
      <c r="BL36" s="158" t="str">
        <f t="shared" si="29"/>
        <v/>
      </c>
      <c r="BM36" s="10"/>
      <c r="BN36" s="10" t="str">
        <f t="shared" si="30"/>
        <v/>
      </c>
      <c r="BO36" s="10" t="str">
        <f t="shared" si="31"/>
        <v/>
      </c>
      <c r="BQ36" s="10">
        <f t="shared" si="32"/>
        <v>2529450000</v>
      </c>
      <c r="BR36" s="10">
        <f t="shared" si="33"/>
        <v>1320100986.357456</v>
      </c>
    </row>
    <row r="37" spans="1:70" x14ac:dyDescent="0.15">
      <c r="I37" s="38">
        <f t="shared" si="34"/>
        <v>2052</v>
      </c>
      <c r="J37" s="39"/>
      <c r="K37" s="39">
        <f t="shared" si="35"/>
        <v>23</v>
      </c>
      <c r="L37" s="39"/>
      <c r="M37" s="40">
        <f t="shared" si="0"/>
        <v>0.50669174842969467</v>
      </c>
      <c r="N37" s="39"/>
      <c r="O37" s="72">
        <f t="shared" si="36"/>
        <v>1.9073486328125E-6</v>
      </c>
      <c r="P37" s="41" t="str">
        <f t="shared" si="1"/>
        <v>-</v>
      </c>
      <c r="Q37" s="39"/>
      <c r="R37" s="72">
        <f t="shared" si="37"/>
        <v>9150000000</v>
      </c>
      <c r="S37" s="39"/>
      <c r="T37" s="72">
        <f t="shared" si="2"/>
        <v>9150000000</v>
      </c>
      <c r="U37" s="39"/>
      <c r="V37" s="72">
        <f t="shared" si="3"/>
        <v>0</v>
      </c>
      <c r="W37" s="72">
        <f t="shared" si="4"/>
        <v>0</v>
      </c>
      <c r="X37" s="39"/>
      <c r="Y37" s="72">
        <f t="shared" si="5"/>
        <v>128100000</v>
      </c>
      <c r="Z37" s="72">
        <f t="shared" si="6"/>
        <v>64907212.973843887</v>
      </c>
      <c r="AA37" s="39"/>
      <c r="AB37" s="72">
        <f t="shared" si="7"/>
        <v>0</v>
      </c>
      <c r="AC37" s="72">
        <f t="shared" si="8"/>
        <v>0</v>
      </c>
      <c r="AD37" s="39"/>
      <c r="AE37" s="72">
        <f t="shared" si="9"/>
        <v>0</v>
      </c>
      <c r="AF37" s="72">
        <f t="shared" si="10"/>
        <v>0</v>
      </c>
      <c r="AG37" s="39"/>
      <c r="AH37" s="72">
        <f t="shared" si="11"/>
        <v>440000000.00000006</v>
      </c>
      <c r="AI37" s="72">
        <f t="shared" si="12"/>
        <v>222944369.30906567</v>
      </c>
      <c r="AJ37" s="39"/>
      <c r="AK37" s="72">
        <f t="shared" si="13"/>
        <v>4392000000</v>
      </c>
      <c r="AL37" s="72">
        <f t="shared" si="14"/>
        <v>2225390159.103219</v>
      </c>
      <c r="AM37" s="39"/>
      <c r="AN37" s="72">
        <f t="shared" si="15"/>
        <v>4026000000.0000005</v>
      </c>
      <c r="AO37" s="72">
        <f t="shared" si="16"/>
        <v>2039940979.1779509</v>
      </c>
      <c r="AP37" s="39"/>
      <c r="AQ37" s="72">
        <f t="shared" si="17"/>
        <v>1080676000</v>
      </c>
      <c r="AR37" s="72">
        <f t="shared" si="18"/>
        <v>547569611.9260087</v>
      </c>
      <c r="AS37" s="39"/>
      <c r="AT37" s="40">
        <f>IF($K37&lt;=$F$15,IF($F$40&lt;&gt;"",$F$40/1000,IF(ISERROR(VLOOKUP($F$3&amp;IF($G$4&lt;&gt;"",$G$4,"")&amp;IF($F$43&lt;&gt;"","_"&amp;$F$43,""),'表3）燃料価格'!$AF$9:$AG$25,2,0)),0,VLOOKUP($I37,'表3）燃料価格'!$A$6:$W$66,VLOOKUP($F$3&amp;IF($G$4&lt;&gt;"",$G$4,"")&amp;IF($F$43&lt;&gt;"","_"&amp;$F$43,""),'表3）燃料価格'!$AF$9:$AG$25,2,0)+VLOOKUP($F$41,'表3）燃料価格'!$AF$28:$AG$29,2,0),0)*IF($F$43="需要地価格",1,$F$8/$F$141))),"")</f>
        <v>8.7412858292510673</v>
      </c>
      <c r="AU37" s="39"/>
      <c r="AV37" s="72">
        <f t="shared" si="19"/>
        <v>10811566496.800667</v>
      </c>
      <c r="AW37" s="72">
        <f t="shared" si="20"/>
        <v>5478131531.5278387</v>
      </c>
      <c r="AX37" s="39"/>
      <c r="AY37" s="40">
        <f>IF(ISERROR(IF($K37&lt;=$F$15,VLOOKUP($I37,'表4）CO2価格'!$A$7:$E$67,VLOOKUP($F$48,'表4）CO2価格'!$H$10:$I$12,2,0),0)*$F$8/1000,"")),0,IF($K37&lt;=$F$15,VLOOKUP($I37,'表4）CO2価格'!$A$7:$E$67,VLOOKUP($F$48,'表4）CO2価格'!$H$10:$I$12,2,0),0)*$F$8/1000,""))</f>
        <v>7.1500080975609199</v>
      </c>
      <c r="AZ37" s="39"/>
      <c r="BA37" s="42">
        <f t="shared" si="21"/>
        <v>1456989883.8090193</v>
      </c>
      <c r="BB37" s="72">
        <f t="shared" si="22"/>
        <v>738244751.67156971</v>
      </c>
      <c r="BC37" s="39"/>
      <c r="BD37" s="72">
        <f t="shared" si="23"/>
        <v>0</v>
      </c>
      <c r="BE37" s="72">
        <f t="shared" si="24"/>
        <v>0</v>
      </c>
      <c r="BF37" s="39"/>
      <c r="BG37" s="42">
        <f t="shared" si="25"/>
        <v>0</v>
      </c>
      <c r="BH37" s="72">
        <f t="shared" si="26"/>
        <v>0</v>
      </c>
      <c r="BI37" s="39"/>
      <c r="BJ37" s="40" t="str">
        <f t="shared" si="27"/>
        <v/>
      </c>
      <c r="BK37" s="157" t="str">
        <f t="shared" si="28"/>
        <v/>
      </c>
      <c r="BL37" s="157" t="str">
        <f t="shared" si="29"/>
        <v/>
      </c>
      <c r="BM37" s="72"/>
      <c r="BN37" s="72" t="str">
        <f t="shared" si="30"/>
        <v/>
      </c>
      <c r="BO37" s="72" t="str">
        <f t="shared" si="31"/>
        <v/>
      </c>
      <c r="BP37" s="39"/>
      <c r="BQ37" s="72">
        <f t="shared" si="32"/>
        <v>2529450000</v>
      </c>
      <c r="BR37" s="72">
        <f t="shared" si="33"/>
        <v>1281651443.0654912</v>
      </c>
    </row>
    <row r="38" spans="1:70" x14ac:dyDescent="0.15">
      <c r="C38" s="4" t="s">
        <v>570</v>
      </c>
      <c r="D38" s="100"/>
      <c r="E38" s="100"/>
      <c r="F38" s="4"/>
      <c r="G38" s="100"/>
      <c r="I38" s="322">
        <f t="shared" si="34"/>
        <v>2053</v>
      </c>
      <c r="K38" s="71">
        <f t="shared" si="35"/>
        <v>24</v>
      </c>
      <c r="M38" s="7">
        <f t="shared" si="0"/>
        <v>0.49193373633950943</v>
      </c>
      <c r="O38" s="10">
        <f t="shared" si="36"/>
        <v>1.9073486328125E-6</v>
      </c>
      <c r="P38" s="29" t="str">
        <f t="shared" si="1"/>
        <v>-</v>
      </c>
      <c r="R38" s="10">
        <f t="shared" si="37"/>
        <v>9150000000</v>
      </c>
      <c r="T38" s="10">
        <f t="shared" si="2"/>
        <v>9150000000</v>
      </c>
      <c r="V38" s="10">
        <f t="shared" si="3"/>
        <v>0</v>
      </c>
      <c r="W38" s="10">
        <f t="shared" si="4"/>
        <v>0</v>
      </c>
      <c r="Y38" s="10">
        <f t="shared" si="5"/>
        <v>128100000</v>
      </c>
      <c r="Z38" s="10">
        <f t="shared" si="6"/>
        <v>63016711.625091158</v>
      </c>
      <c r="AB38" s="10">
        <f t="shared" si="7"/>
        <v>0</v>
      </c>
      <c r="AC38" s="10">
        <f t="shared" si="8"/>
        <v>0</v>
      </c>
      <c r="AE38" s="10">
        <f t="shared" si="9"/>
        <v>0</v>
      </c>
      <c r="AF38" s="10">
        <f t="shared" si="10"/>
        <v>0</v>
      </c>
      <c r="AH38" s="10">
        <f t="shared" si="11"/>
        <v>440000000.00000006</v>
      </c>
      <c r="AI38" s="10">
        <f t="shared" si="12"/>
        <v>216450843.98938417</v>
      </c>
      <c r="AK38" s="10">
        <f t="shared" si="13"/>
        <v>4392000000</v>
      </c>
      <c r="AL38" s="10">
        <f t="shared" si="14"/>
        <v>2160572970.0031252</v>
      </c>
      <c r="AN38" s="10">
        <f t="shared" si="15"/>
        <v>4026000000.0000005</v>
      </c>
      <c r="AO38" s="10">
        <f t="shared" si="16"/>
        <v>1980525222.5028653</v>
      </c>
      <c r="AQ38" s="10">
        <f t="shared" si="17"/>
        <v>1080676000</v>
      </c>
      <c r="AR38" s="10">
        <f t="shared" si="18"/>
        <v>531620982.45243567</v>
      </c>
      <c r="AT38" s="40">
        <f>IF($K38&lt;=$F$15,IF($F$40&lt;&gt;"",$F$40/1000,IF(ISERROR(VLOOKUP($F$3&amp;IF($G$4&lt;&gt;"",$G$4,"")&amp;IF($F$43&lt;&gt;"","_"&amp;$F$43,""),'表3）燃料価格'!$AF$9:$AG$25,2,0)),0,VLOOKUP($I38,'表3）燃料価格'!$A$6:$W$66,VLOOKUP($F$3&amp;IF($G$4&lt;&gt;"",$G$4,"")&amp;IF($F$43&lt;&gt;"","_"&amp;$F$43,""),'表3）燃料価格'!$AF$9:$AG$25,2,0)+VLOOKUP($F$41,'表3）燃料価格'!$AF$28:$AG$29,2,0),0)*IF($F$43="需要地価格",1,$F$8/$F$141))),"")</f>
        <v>8.7317895483771704</v>
      </c>
      <c r="AV38" s="10">
        <f t="shared" si="19"/>
        <v>10802008081.376991</v>
      </c>
      <c r="AW38" s="10">
        <f t="shared" si="20"/>
        <v>5313872195.4413586</v>
      </c>
      <c r="AY38" s="40">
        <f>IF(ISERROR(IF($K38&lt;=$F$15,VLOOKUP($I38,'表4）CO2価格'!$A$7:$E$67,VLOOKUP($F$48,'表4）CO2価格'!$H$10:$I$12,2,0),0)*$F$8/1000,"")),0,IF($K38&lt;=$F$15,VLOOKUP($I38,'表4）CO2価格'!$A$7:$E$67,VLOOKUP($F$48,'表4）CO2価格'!$H$10:$I$12,2,0),0)*$F$8/1000,""))</f>
        <v>7.2814714966103056</v>
      </c>
      <c r="BA38" s="11">
        <f t="shared" si="21"/>
        <v>1483778782.4917276</v>
      </c>
      <c r="BB38" s="10">
        <f t="shared" si="22"/>
        <v>729920840.3724438</v>
      </c>
      <c r="BD38" s="10">
        <f t="shared" si="23"/>
        <v>0</v>
      </c>
      <c r="BE38" s="10">
        <f t="shared" si="24"/>
        <v>0</v>
      </c>
      <c r="BG38" s="11">
        <f t="shared" si="25"/>
        <v>0</v>
      </c>
      <c r="BH38" s="10">
        <f t="shared" si="26"/>
        <v>0</v>
      </c>
      <c r="BJ38" s="7" t="str">
        <f t="shared" si="27"/>
        <v/>
      </c>
      <c r="BK38" s="158" t="str">
        <f t="shared" si="28"/>
        <v/>
      </c>
      <c r="BL38" s="158" t="str">
        <f t="shared" si="29"/>
        <v/>
      </c>
      <c r="BM38" s="10"/>
      <c r="BN38" s="10" t="str">
        <f t="shared" si="30"/>
        <v/>
      </c>
      <c r="BO38" s="10" t="str">
        <f t="shared" si="31"/>
        <v/>
      </c>
      <c r="BQ38" s="10">
        <f t="shared" si="32"/>
        <v>2529450000</v>
      </c>
      <c r="BR38" s="10">
        <f t="shared" si="33"/>
        <v>1244321789.3839722</v>
      </c>
    </row>
    <row r="39" spans="1:70" x14ac:dyDescent="0.15">
      <c r="I39" s="38">
        <f t="shared" si="34"/>
        <v>2054</v>
      </c>
      <c r="J39" s="39"/>
      <c r="K39" s="39">
        <f t="shared" si="35"/>
        <v>25</v>
      </c>
      <c r="L39" s="39"/>
      <c r="M39" s="40">
        <f t="shared" si="0"/>
        <v>0.47760556926165965</v>
      </c>
      <c r="N39" s="39"/>
      <c r="O39" s="72">
        <f t="shared" si="36"/>
        <v>1.9073486328125E-6</v>
      </c>
      <c r="P39" s="41" t="str">
        <f t="shared" si="1"/>
        <v>-</v>
      </c>
      <c r="Q39" s="39"/>
      <c r="R39" s="72">
        <f t="shared" si="37"/>
        <v>9150000000</v>
      </c>
      <c r="S39" s="39"/>
      <c r="T39" s="72">
        <f t="shared" si="2"/>
        <v>9150000000</v>
      </c>
      <c r="U39" s="39"/>
      <c r="V39" s="72">
        <f t="shared" si="3"/>
        <v>0</v>
      </c>
      <c r="W39" s="72">
        <f t="shared" si="4"/>
        <v>0</v>
      </c>
      <c r="X39" s="39"/>
      <c r="Y39" s="72">
        <f t="shared" si="5"/>
        <v>128100000</v>
      </c>
      <c r="Z39" s="72">
        <f t="shared" si="6"/>
        <v>61181273.422418602</v>
      </c>
      <c r="AA39" s="39"/>
      <c r="AB39" s="72">
        <f t="shared" si="7"/>
        <v>0</v>
      </c>
      <c r="AC39" s="72">
        <f t="shared" si="8"/>
        <v>0</v>
      </c>
      <c r="AD39" s="39"/>
      <c r="AE39" s="72">
        <f t="shared" si="9"/>
        <v>0</v>
      </c>
      <c r="AF39" s="72">
        <f t="shared" si="10"/>
        <v>0</v>
      </c>
      <c r="AG39" s="39"/>
      <c r="AH39" s="72">
        <f t="shared" si="11"/>
        <v>440000000.00000006</v>
      </c>
      <c r="AI39" s="72">
        <f t="shared" si="12"/>
        <v>210146450.47513026</v>
      </c>
      <c r="AJ39" s="39"/>
      <c r="AK39" s="72">
        <f t="shared" si="13"/>
        <v>4392000000</v>
      </c>
      <c r="AL39" s="72">
        <f t="shared" si="14"/>
        <v>2097643660.1972091</v>
      </c>
      <c r="AM39" s="39"/>
      <c r="AN39" s="72">
        <f t="shared" si="15"/>
        <v>4026000000.0000005</v>
      </c>
      <c r="AO39" s="72">
        <f t="shared" si="16"/>
        <v>1922840021.8474419</v>
      </c>
      <c r="AP39" s="39"/>
      <c r="AQ39" s="72">
        <f t="shared" si="17"/>
        <v>1080676000</v>
      </c>
      <c r="AR39" s="72">
        <f t="shared" si="18"/>
        <v>516136876.16741329</v>
      </c>
      <c r="AS39" s="39"/>
      <c r="AT39" s="40">
        <f>IF($K39&lt;=$F$15,IF($F$40&lt;&gt;"",$F$40/1000,IF(ISERROR(VLOOKUP($F$3&amp;IF($G$4&lt;&gt;"",$G$4,"")&amp;IF($F$43&lt;&gt;"","_"&amp;$F$43,""),'表3）燃料価格'!$AF$9:$AG$25,2,0)),0,VLOOKUP($I39,'表3）燃料価格'!$A$6:$W$66,VLOOKUP($F$3&amp;IF($G$4&lt;&gt;"",$G$4,"")&amp;IF($F$43&lt;&gt;"","_"&amp;$F$43,""),'表3）燃料価格'!$AF$9:$AG$25,2,0)+VLOOKUP($F$41,'表3）燃料価格'!$AF$28:$AG$29,2,0),0)*IF($F$43="需要地価格",1,$F$8/$F$141))),"")</f>
        <v>8.7225337056954277</v>
      </c>
      <c r="AU39" s="39"/>
      <c r="AV39" s="72">
        <f t="shared" si="19"/>
        <v>10792691677.342283</v>
      </c>
      <c r="AW39" s="72">
        <f t="shared" si="20"/>
        <v>5154649652.4226379</v>
      </c>
      <c r="AX39" s="39"/>
      <c r="AY39" s="40">
        <f>IF(ISERROR(IF($K39&lt;=$F$15,VLOOKUP($I39,'表4）CO2価格'!$A$7:$E$67,VLOOKUP($F$48,'表4）CO2価格'!$H$10:$I$12,2,0),0)*$F$8/1000,"")),0,IF($K39&lt;=$F$15,VLOOKUP($I39,'表4）CO2価格'!$A$7:$E$67,VLOOKUP($F$48,'表4）CO2価格'!$H$10:$I$12,2,0),0)*$F$8/1000,""))</f>
        <v>7.4128708764708131</v>
      </c>
      <c r="AZ39" s="39"/>
      <c r="BA39" s="42">
        <f t="shared" si="21"/>
        <v>1510554635.6912291</v>
      </c>
      <c r="BB39" s="72">
        <f t="shared" si="22"/>
        <v>721449306.68014836</v>
      </c>
      <c r="BC39" s="39"/>
      <c r="BD39" s="72">
        <f t="shared" si="23"/>
        <v>0</v>
      </c>
      <c r="BE39" s="72">
        <f t="shared" si="24"/>
        <v>0</v>
      </c>
      <c r="BF39" s="39"/>
      <c r="BG39" s="42">
        <f t="shared" si="25"/>
        <v>0</v>
      </c>
      <c r="BH39" s="72">
        <f t="shared" si="26"/>
        <v>0</v>
      </c>
      <c r="BI39" s="39"/>
      <c r="BJ39" s="40" t="str">
        <f t="shared" si="27"/>
        <v/>
      </c>
      <c r="BK39" s="157" t="str">
        <f t="shared" si="28"/>
        <v/>
      </c>
      <c r="BL39" s="157" t="str">
        <f t="shared" si="29"/>
        <v/>
      </c>
      <c r="BM39" s="72"/>
      <c r="BN39" s="72" t="str">
        <f t="shared" si="30"/>
        <v/>
      </c>
      <c r="BO39" s="72" t="str">
        <f t="shared" si="31"/>
        <v/>
      </c>
      <c r="BP39" s="39"/>
      <c r="BQ39" s="72">
        <f t="shared" si="32"/>
        <v>2529450000</v>
      </c>
      <c r="BR39" s="72">
        <f t="shared" si="33"/>
        <v>1208079407.168905</v>
      </c>
    </row>
    <row r="40" spans="1:70" x14ac:dyDescent="0.15">
      <c r="D40" s="84" t="s">
        <v>124</v>
      </c>
      <c r="F40" s="481"/>
      <c r="G40" s="160" t="s">
        <v>571</v>
      </c>
      <c r="I40" s="322">
        <f t="shared" si="34"/>
        <v>2055</v>
      </c>
      <c r="K40" s="71">
        <f t="shared" si="35"/>
        <v>26</v>
      </c>
      <c r="M40" s="7">
        <f t="shared" si="0"/>
        <v>0.46369472743850448</v>
      </c>
      <c r="O40" s="10">
        <f t="shared" si="36"/>
        <v>1.9073486328125E-6</v>
      </c>
      <c r="P40" s="29" t="str">
        <f t="shared" si="1"/>
        <v>-</v>
      </c>
      <c r="R40" s="10">
        <f t="shared" si="37"/>
        <v>9150000000</v>
      </c>
      <c r="T40" s="10">
        <f t="shared" si="2"/>
        <v>9150000000</v>
      </c>
      <c r="V40" s="10">
        <f t="shared" si="3"/>
        <v>0</v>
      </c>
      <c r="W40" s="10">
        <f t="shared" si="4"/>
        <v>0</v>
      </c>
      <c r="Y40" s="10">
        <f t="shared" si="5"/>
        <v>128100000</v>
      </c>
      <c r="Z40" s="10">
        <f t="shared" si="6"/>
        <v>59399294.584872425</v>
      </c>
      <c r="AB40" s="10">
        <f t="shared" si="7"/>
        <v>0</v>
      </c>
      <c r="AC40" s="10">
        <f t="shared" si="8"/>
        <v>0</v>
      </c>
      <c r="AE40" s="10">
        <f t="shared" si="9"/>
        <v>0</v>
      </c>
      <c r="AF40" s="10">
        <f t="shared" si="10"/>
        <v>0</v>
      </c>
      <c r="AH40" s="10">
        <f t="shared" si="11"/>
        <v>440000000.00000006</v>
      </c>
      <c r="AI40" s="10">
        <f t="shared" si="12"/>
        <v>204025680.07294199</v>
      </c>
      <c r="AK40" s="10">
        <f t="shared" si="13"/>
        <v>4392000000</v>
      </c>
      <c r="AL40" s="10">
        <f t="shared" si="14"/>
        <v>2036547242.9099116</v>
      </c>
      <c r="AN40" s="10">
        <f t="shared" si="15"/>
        <v>4026000000.0000005</v>
      </c>
      <c r="AO40" s="10">
        <f t="shared" si="16"/>
        <v>1866834972.6674192</v>
      </c>
      <c r="AQ40" s="10">
        <f t="shared" si="17"/>
        <v>1080676000</v>
      </c>
      <c r="AR40" s="10">
        <f t="shared" si="18"/>
        <v>501103763.26933324</v>
      </c>
      <c r="AT40" s="40">
        <f>IF($K40&lt;=$F$15,IF($F$40&lt;&gt;"",$F$40/1000,IF(ISERROR(VLOOKUP($F$3&amp;IF($G$4&lt;&gt;"",$G$4,"")&amp;IF($F$43&lt;&gt;"","_"&amp;$F$43,""),'表3）燃料価格'!$AF$9:$AG$25,2,0)),0,VLOOKUP($I40,'表3）燃料価格'!$A$6:$W$66,VLOOKUP($F$3&amp;IF($G$4&lt;&gt;"",$G$4,"")&amp;IF($F$43&lt;&gt;"","_"&amp;$F$43,""),'表3）燃料価格'!$AF$9:$AG$25,2,0)+VLOOKUP($F$41,'表3）燃料価格'!$AF$28:$AG$29,2,0),0)*IF($F$43="需要地価格",1,$F$8/$F$141))),"")</f>
        <v>8.7135064258582737</v>
      </c>
      <c r="AV40" s="10">
        <f t="shared" si="19"/>
        <v>10783605331.648098</v>
      </c>
      <c r="AW40" s="10">
        <f t="shared" si="20"/>
        <v>5000300935.0629683</v>
      </c>
      <c r="AY40" s="40">
        <f>IF(ISERROR(IF($K40&lt;=$F$15,VLOOKUP($I40,'表4）CO2価格'!$A$7:$E$67,VLOOKUP($F$48,'表4）CO2価格'!$H$10:$I$12,2,0),0)*$F$8/1000,"")),0,IF($K40&lt;=$F$15,VLOOKUP($I40,'表4）CO2価格'!$A$7:$E$67,VLOOKUP($F$48,'表4）CO2価格'!$H$10:$I$12,2,0),0)*$F$8/1000,""))</f>
        <v>7.5442062994635668</v>
      </c>
      <c r="BA40" s="11">
        <f t="shared" si="21"/>
        <v>1537317456.1069846</v>
      </c>
      <c r="BB40" s="10">
        <f t="shared" si="22"/>
        <v>712845998.79598331</v>
      </c>
      <c r="BD40" s="10">
        <f t="shared" si="23"/>
        <v>0</v>
      </c>
      <c r="BE40" s="10">
        <f t="shared" si="24"/>
        <v>0</v>
      </c>
      <c r="BG40" s="11">
        <f t="shared" si="25"/>
        <v>0</v>
      </c>
      <c r="BH40" s="10">
        <f t="shared" si="26"/>
        <v>0</v>
      </c>
      <c r="BJ40" s="7" t="str">
        <f t="shared" si="27"/>
        <v/>
      </c>
      <c r="BK40" s="158" t="str">
        <f t="shared" si="28"/>
        <v/>
      </c>
      <c r="BL40" s="158" t="str">
        <f t="shared" si="29"/>
        <v/>
      </c>
      <c r="BM40" s="10"/>
      <c r="BN40" s="10" t="str">
        <f t="shared" si="30"/>
        <v/>
      </c>
      <c r="BO40" s="10" t="str">
        <f t="shared" si="31"/>
        <v/>
      </c>
      <c r="BQ40" s="10">
        <f t="shared" si="32"/>
        <v>2529450000</v>
      </c>
      <c r="BR40" s="10">
        <f t="shared" si="33"/>
        <v>1172892628.3193252</v>
      </c>
    </row>
    <row r="41" spans="1:70" x14ac:dyDescent="0.15">
      <c r="D41" s="84" t="s">
        <v>572</v>
      </c>
      <c r="F41" s="474" t="str">
        <f>まとめ!$B$4</f>
        <v>WEO2020　STEPS</v>
      </c>
      <c r="I41" s="38">
        <f t="shared" si="34"/>
        <v>2056</v>
      </c>
      <c r="J41" s="39"/>
      <c r="K41" s="39">
        <f t="shared" si="35"/>
        <v>27</v>
      </c>
      <c r="L41" s="39"/>
      <c r="M41" s="40">
        <f t="shared" si="0"/>
        <v>0.45018905576553836</v>
      </c>
      <c r="N41" s="39"/>
      <c r="O41" s="72">
        <f t="shared" si="36"/>
        <v>1.9073486328125E-6</v>
      </c>
      <c r="P41" s="41" t="str">
        <f t="shared" si="1"/>
        <v>-</v>
      </c>
      <c r="Q41" s="39"/>
      <c r="R41" s="72">
        <f t="shared" si="37"/>
        <v>9150000000</v>
      </c>
      <c r="S41" s="39"/>
      <c r="T41" s="72">
        <f t="shared" si="2"/>
        <v>9150000000</v>
      </c>
      <c r="U41" s="39"/>
      <c r="V41" s="72">
        <f t="shared" si="3"/>
        <v>0</v>
      </c>
      <c r="W41" s="72">
        <f t="shared" si="4"/>
        <v>0</v>
      </c>
      <c r="X41" s="39"/>
      <c r="Y41" s="72">
        <f t="shared" si="5"/>
        <v>128100000</v>
      </c>
      <c r="Z41" s="72">
        <f t="shared" si="6"/>
        <v>57669218.043565467</v>
      </c>
      <c r="AA41" s="39"/>
      <c r="AB41" s="72">
        <f t="shared" si="7"/>
        <v>0</v>
      </c>
      <c r="AC41" s="72">
        <f t="shared" si="8"/>
        <v>0</v>
      </c>
      <c r="AD41" s="39"/>
      <c r="AE41" s="72">
        <f t="shared" si="9"/>
        <v>0</v>
      </c>
      <c r="AF41" s="72">
        <f t="shared" si="10"/>
        <v>0</v>
      </c>
      <c r="AG41" s="39"/>
      <c r="AH41" s="72">
        <f t="shared" si="11"/>
        <v>440000000.00000006</v>
      </c>
      <c r="AI41" s="72">
        <f t="shared" si="12"/>
        <v>198083184.53683689</v>
      </c>
      <c r="AJ41" s="39"/>
      <c r="AK41" s="72">
        <f t="shared" si="13"/>
        <v>4392000000</v>
      </c>
      <c r="AL41" s="72">
        <f t="shared" si="14"/>
        <v>1977230332.9222445</v>
      </c>
      <c r="AM41" s="39"/>
      <c r="AN41" s="72">
        <f t="shared" si="15"/>
        <v>4026000000.0000005</v>
      </c>
      <c r="AO41" s="72">
        <f t="shared" si="16"/>
        <v>1812461138.5120575</v>
      </c>
      <c r="AP41" s="39"/>
      <c r="AQ41" s="72">
        <f t="shared" si="17"/>
        <v>1080676000</v>
      </c>
      <c r="AR41" s="72">
        <f t="shared" si="18"/>
        <v>486508508.02847892</v>
      </c>
      <c r="AS41" s="39"/>
      <c r="AT41" s="40">
        <f>IF($K41&lt;=$F$15,IF($F$40&lt;&gt;"",$F$40/1000,IF(ISERROR(VLOOKUP($F$3&amp;IF($G$4&lt;&gt;"",$G$4,"")&amp;IF($F$43&lt;&gt;"","_"&amp;$F$43,""),'表3）燃料価格'!$AF$9:$AG$25,2,0)),0,VLOOKUP($I41,'表3）燃料価格'!$A$6:$W$66,VLOOKUP($F$3&amp;IF($G$4&lt;&gt;"",$G$4,"")&amp;IF($F$43&lt;&gt;"","_"&amp;$F$43,""),'表3）燃料価格'!$AF$9:$AG$25,2,0)+VLOOKUP($F$41,'表3）燃料価格'!$AF$28:$AG$29,2,0),0)*IF($F$43="需要地価格",1,$F$8/$F$141))),"")</f>
        <v>8.7046966921495237</v>
      </c>
      <c r="AU41" s="39"/>
      <c r="AV41" s="72">
        <f t="shared" si="19"/>
        <v>10774737955.495434</v>
      </c>
      <c r="AW41" s="72">
        <f t="shared" si="20"/>
        <v>4850669106.3055964</v>
      </c>
      <c r="AX41" s="39"/>
      <c r="AY41" s="40">
        <f>IF(ISERROR(IF($K41&lt;=$F$15,VLOOKUP($I41,'表4）CO2価格'!$A$7:$E$67,VLOOKUP($F$48,'表4）CO2価格'!$H$10:$I$12,2,0),0)*$F$8/1000,"")),0,IF($K41&lt;=$F$15,VLOOKUP($I41,'表4）CO2価格'!$A$7:$E$67,VLOOKUP($F$48,'表4）CO2価格'!$H$10:$I$12,2,0),0)*$F$8/1000,""))</f>
        <v>7.675477827818213</v>
      </c>
      <c r="AZ41" s="39"/>
      <c r="BA41" s="42">
        <f t="shared" si="21"/>
        <v>1564067256.4198141</v>
      </c>
      <c r="BB41" s="72">
        <f t="shared" si="22"/>
        <v>704125961.32143223</v>
      </c>
      <c r="BC41" s="39"/>
      <c r="BD41" s="72">
        <f t="shared" si="23"/>
        <v>0</v>
      </c>
      <c r="BE41" s="72">
        <f t="shared" si="24"/>
        <v>0</v>
      </c>
      <c r="BF41" s="39"/>
      <c r="BG41" s="42">
        <f t="shared" si="25"/>
        <v>0</v>
      </c>
      <c r="BH41" s="72">
        <f t="shared" si="26"/>
        <v>0</v>
      </c>
      <c r="BI41" s="39"/>
      <c r="BJ41" s="40" t="str">
        <f t="shared" si="27"/>
        <v/>
      </c>
      <c r="BK41" s="157" t="str">
        <f t="shared" si="28"/>
        <v/>
      </c>
      <c r="BL41" s="157" t="str">
        <f t="shared" si="29"/>
        <v/>
      </c>
      <c r="BM41" s="72"/>
      <c r="BN41" s="72" t="str">
        <f t="shared" si="30"/>
        <v/>
      </c>
      <c r="BO41" s="72" t="str">
        <f t="shared" si="31"/>
        <v/>
      </c>
      <c r="BP41" s="39"/>
      <c r="BQ41" s="72">
        <f t="shared" si="32"/>
        <v>2529450000</v>
      </c>
      <c r="BR41" s="72">
        <f t="shared" si="33"/>
        <v>1138730707.1061411</v>
      </c>
    </row>
    <row r="42" spans="1:70" x14ac:dyDescent="0.15">
      <c r="D42" s="84" t="s">
        <v>573</v>
      </c>
      <c r="F42" s="481">
        <v>2000</v>
      </c>
      <c r="G42" s="84" t="s">
        <v>574</v>
      </c>
      <c r="I42" s="322">
        <f t="shared" si="34"/>
        <v>2057</v>
      </c>
      <c r="K42" s="71">
        <f t="shared" si="35"/>
        <v>28</v>
      </c>
      <c r="M42" s="7">
        <f t="shared" si="0"/>
        <v>0.4370767531704256</v>
      </c>
      <c r="O42" s="10">
        <f t="shared" si="36"/>
        <v>1.9073486328125E-6</v>
      </c>
      <c r="P42" s="29" t="str">
        <f t="shared" si="1"/>
        <v>-</v>
      </c>
      <c r="R42" s="10">
        <f t="shared" si="37"/>
        <v>9150000000</v>
      </c>
      <c r="T42" s="10">
        <f t="shared" si="2"/>
        <v>9150000000</v>
      </c>
      <c r="V42" s="10">
        <f t="shared" si="3"/>
        <v>0</v>
      </c>
      <c r="W42" s="10">
        <f t="shared" si="4"/>
        <v>0</v>
      </c>
      <c r="Y42" s="10">
        <f t="shared" si="5"/>
        <v>128100000</v>
      </c>
      <c r="Z42" s="10">
        <f t="shared" si="6"/>
        <v>55989532.081131518</v>
      </c>
      <c r="AB42" s="10">
        <f t="shared" si="7"/>
        <v>0</v>
      </c>
      <c r="AC42" s="10">
        <f t="shared" si="8"/>
        <v>0</v>
      </c>
      <c r="AE42" s="10">
        <f t="shared" si="9"/>
        <v>0</v>
      </c>
      <c r="AF42" s="10">
        <f t="shared" si="10"/>
        <v>0</v>
      </c>
      <c r="AH42" s="10">
        <f t="shared" si="11"/>
        <v>440000000.00000006</v>
      </c>
      <c r="AI42" s="10">
        <f t="shared" si="12"/>
        <v>192313771.39498729</v>
      </c>
      <c r="AK42" s="10">
        <f t="shared" si="13"/>
        <v>4392000000</v>
      </c>
      <c r="AL42" s="10">
        <f t="shared" si="14"/>
        <v>1919641099.9245093</v>
      </c>
      <c r="AN42" s="10">
        <f t="shared" si="15"/>
        <v>4026000000.0000005</v>
      </c>
      <c r="AO42" s="10">
        <f t="shared" si="16"/>
        <v>1759671008.2641337</v>
      </c>
      <c r="AQ42" s="10">
        <f t="shared" si="17"/>
        <v>1080676000</v>
      </c>
      <c r="AR42" s="10">
        <f t="shared" si="18"/>
        <v>472338357.30920285</v>
      </c>
      <c r="AT42" s="40">
        <f>IF($K42&lt;=$F$15,IF($F$40&lt;&gt;"",$F$40/1000,IF(ISERROR(VLOOKUP($F$3&amp;IF($G$4&lt;&gt;"",$G$4,"")&amp;IF($F$43&lt;&gt;"","_"&amp;$F$43,""),'表3）燃料価格'!$AF$9:$AG$25,2,0)),0,VLOOKUP($I42,'表3）燃料価格'!$A$6:$W$66,VLOOKUP($F$3&amp;IF($G$4&lt;&gt;"",$G$4,"")&amp;IF($F$43&lt;&gt;"","_"&amp;$F$43,""),'表3）燃料価格'!$AF$9:$AG$25,2,0)+VLOOKUP($F$41,'表3）燃料価格'!$AF$28:$AG$29,2,0),0)*IF($F$43="需要地価格",1,$F$8/$F$141))),"")</f>
        <v>8.6960942656524516</v>
      </c>
      <c r="AV42" s="10">
        <f t="shared" si="19"/>
        <v>10766079242.973917</v>
      </c>
      <c r="AW42" s="10">
        <f t="shared" si="20"/>
        <v>4705602959.8945532</v>
      </c>
      <c r="AY42" s="40">
        <f>IF(ISERROR(IF($K42&lt;=$F$15,VLOOKUP($I42,'表4）CO2価格'!$A$7:$E$67,VLOOKUP($F$48,'表4）CO2価格'!$H$10:$I$12,2,0),0)*$F$8/1000,"")),0,IF($K42&lt;=$F$15,VLOOKUP($I42,'表4）CO2価格'!$A$7:$E$67,VLOOKUP($F$48,'表4）CO2価格'!$H$10:$I$12,2,0),0)*$F$8/1000,""))</f>
        <v>7.8066855236744779</v>
      </c>
      <c r="BA42" s="11">
        <f t="shared" si="21"/>
        <v>1590804049.2922139</v>
      </c>
      <c r="BB42" s="10">
        <f t="shared" si="22"/>
        <v>695303468.79500651</v>
      </c>
      <c r="BD42" s="10">
        <f t="shared" si="23"/>
        <v>0</v>
      </c>
      <c r="BE42" s="10">
        <f t="shared" si="24"/>
        <v>0</v>
      </c>
      <c r="BG42" s="11">
        <f t="shared" si="25"/>
        <v>0</v>
      </c>
      <c r="BH42" s="10">
        <f t="shared" si="26"/>
        <v>0</v>
      </c>
      <c r="BJ42" s="7" t="str">
        <f t="shared" si="27"/>
        <v/>
      </c>
      <c r="BK42" s="158" t="str">
        <f t="shared" si="28"/>
        <v/>
      </c>
      <c r="BL42" s="158" t="str">
        <f t="shared" si="29"/>
        <v/>
      </c>
      <c r="BM42" s="10"/>
      <c r="BN42" s="10" t="str">
        <f t="shared" si="30"/>
        <v/>
      </c>
      <c r="BO42" s="10" t="str">
        <f t="shared" si="31"/>
        <v/>
      </c>
      <c r="BQ42" s="10">
        <f t="shared" si="32"/>
        <v>2529450000</v>
      </c>
      <c r="BR42" s="10">
        <f t="shared" si="33"/>
        <v>1105563793.3069329</v>
      </c>
    </row>
    <row r="43" spans="1:70" x14ac:dyDescent="0.15">
      <c r="D43" s="160" t="s">
        <v>256</v>
      </c>
      <c r="F43" s="474"/>
      <c r="I43" s="38">
        <f t="shared" si="34"/>
        <v>2058</v>
      </c>
      <c r="J43" s="39"/>
      <c r="K43" s="39">
        <f t="shared" si="35"/>
        <v>29</v>
      </c>
      <c r="L43" s="39"/>
      <c r="M43" s="40">
        <f t="shared" si="0"/>
        <v>0.42434636230138412</v>
      </c>
      <c r="N43" s="39"/>
      <c r="O43" s="72">
        <f t="shared" si="36"/>
        <v>1.9073486328125E-6</v>
      </c>
      <c r="P43" s="41" t="str">
        <f t="shared" si="1"/>
        <v>-</v>
      </c>
      <c r="Q43" s="39"/>
      <c r="R43" s="72">
        <f t="shared" si="37"/>
        <v>9150000000</v>
      </c>
      <c r="S43" s="39"/>
      <c r="T43" s="72">
        <f t="shared" si="2"/>
        <v>9150000000</v>
      </c>
      <c r="U43" s="39"/>
      <c r="V43" s="72">
        <f t="shared" si="3"/>
        <v>0</v>
      </c>
      <c r="W43" s="72">
        <f t="shared" si="4"/>
        <v>0</v>
      </c>
      <c r="X43" s="39"/>
      <c r="Y43" s="72">
        <f t="shared" si="5"/>
        <v>128100000</v>
      </c>
      <c r="Z43" s="72">
        <f t="shared" si="6"/>
        <v>54358769.010807306</v>
      </c>
      <c r="AA43" s="39"/>
      <c r="AB43" s="72">
        <f t="shared" si="7"/>
        <v>0</v>
      </c>
      <c r="AC43" s="72">
        <f t="shared" si="8"/>
        <v>0</v>
      </c>
      <c r="AD43" s="39"/>
      <c r="AE43" s="72">
        <f t="shared" si="9"/>
        <v>0</v>
      </c>
      <c r="AF43" s="72">
        <f t="shared" si="10"/>
        <v>0</v>
      </c>
      <c r="AG43" s="39"/>
      <c r="AH43" s="72">
        <f t="shared" si="11"/>
        <v>440000000.00000006</v>
      </c>
      <c r="AI43" s="72">
        <f t="shared" si="12"/>
        <v>186712399.41260904</v>
      </c>
      <c r="AJ43" s="39"/>
      <c r="AK43" s="72">
        <f t="shared" si="13"/>
        <v>4392000000</v>
      </c>
      <c r="AL43" s="72">
        <f t="shared" si="14"/>
        <v>1863729223.227679</v>
      </c>
      <c r="AM43" s="39"/>
      <c r="AN43" s="72">
        <f t="shared" si="15"/>
        <v>4026000000.0000005</v>
      </c>
      <c r="AO43" s="72">
        <f t="shared" si="16"/>
        <v>1708418454.6253726</v>
      </c>
      <c r="AP43" s="39"/>
      <c r="AQ43" s="72">
        <f t="shared" si="17"/>
        <v>1080676000</v>
      </c>
      <c r="AR43" s="72">
        <f t="shared" si="18"/>
        <v>458580929.42641056</v>
      </c>
      <c r="AS43" s="39"/>
      <c r="AT43" s="40">
        <f>IF($K43&lt;=$F$15,IF($F$40&lt;&gt;"",$F$40/1000,IF(ISERROR(VLOOKUP($F$3&amp;IF($G$4&lt;&gt;"",$G$4,"")&amp;IF($F$43&lt;&gt;"","_"&amp;$F$43,""),'表3）燃料価格'!$AF$9:$AG$25,2,0)),0,VLOOKUP($I43,'表3）燃料価格'!$A$6:$W$66,VLOOKUP($F$3&amp;IF($G$4&lt;&gt;"",$G$4,"")&amp;IF($F$43&lt;&gt;"","_"&amp;$F$43,""),'表3）燃料価格'!$AF$9:$AG$25,2,0)+VLOOKUP($F$41,'表3）燃料価格'!$AF$28:$AG$29,2,0),0)*IF($F$43="需要地価格",1,$F$8/$F$141))),"")</f>
        <v>8.6876896137114592</v>
      </c>
      <c r="AU43" s="39"/>
      <c r="AV43" s="72">
        <f t="shared" si="19"/>
        <v>10757619599.055397</v>
      </c>
      <c r="AW43" s="72">
        <f t="shared" si="20"/>
        <v>4564956743.8812323</v>
      </c>
      <c r="AX43" s="39"/>
      <c r="AY43" s="40">
        <f>IF(ISERROR(IF($K43&lt;=$F$15,VLOOKUP($I43,'表4）CO2価格'!$A$7:$E$67,VLOOKUP($F$48,'表4）CO2価格'!$H$10:$I$12,2,0),0)*$F$8/1000,"")),0,IF($K43&lt;=$F$15,VLOOKUP($I43,'表4）CO2価格'!$A$7:$E$67,VLOOKUP($F$48,'表4）CO2価格'!$H$10:$I$12,2,0),0)*$F$8/1000,""))</f>
        <v>7.9378294490802217</v>
      </c>
      <c r="AZ43" s="39"/>
      <c r="BA43" s="42">
        <f t="shared" si="21"/>
        <v>1617527847.3679609</v>
      </c>
      <c r="BB43" s="72">
        <f t="shared" si="22"/>
        <v>686392057.9517827</v>
      </c>
      <c r="BC43" s="39"/>
      <c r="BD43" s="72">
        <f t="shared" si="23"/>
        <v>0</v>
      </c>
      <c r="BE43" s="72">
        <f t="shared" si="24"/>
        <v>0</v>
      </c>
      <c r="BF43" s="39"/>
      <c r="BG43" s="42">
        <f t="shared" si="25"/>
        <v>0</v>
      </c>
      <c r="BH43" s="72">
        <f t="shared" si="26"/>
        <v>0</v>
      </c>
      <c r="BI43" s="39"/>
      <c r="BJ43" s="40" t="str">
        <f t="shared" si="27"/>
        <v/>
      </c>
      <c r="BK43" s="157" t="str">
        <f t="shared" si="28"/>
        <v/>
      </c>
      <c r="BL43" s="157" t="str">
        <f t="shared" si="29"/>
        <v/>
      </c>
      <c r="BM43" s="72"/>
      <c r="BN43" s="72" t="str">
        <f t="shared" si="30"/>
        <v/>
      </c>
      <c r="BO43" s="72" t="str">
        <f t="shared" si="31"/>
        <v/>
      </c>
      <c r="BP43" s="39"/>
      <c r="BQ43" s="72">
        <f t="shared" si="32"/>
        <v>2529450000</v>
      </c>
      <c r="BR43" s="72">
        <f t="shared" si="33"/>
        <v>1073362906.1232361</v>
      </c>
    </row>
    <row r="44" spans="1:70" x14ac:dyDescent="0.15">
      <c r="I44" s="322">
        <f t="shared" si="34"/>
        <v>2059</v>
      </c>
      <c r="K44" s="71">
        <f t="shared" si="35"/>
        <v>30</v>
      </c>
      <c r="M44" s="7">
        <f t="shared" si="0"/>
        <v>0.41198675951590691</v>
      </c>
      <c r="O44" s="10">
        <f t="shared" si="36"/>
        <v>1.9073486328125E-6</v>
      </c>
      <c r="P44" s="29" t="str">
        <f t="shared" si="1"/>
        <v>-</v>
      </c>
      <c r="R44" s="10">
        <f t="shared" si="37"/>
        <v>9150000000</v>
      </c>
      <c r="T44" s="10">
        <f t="shared" si="2"/>
        <v>9150000000</v>
      </c>
      <c r="V44" s="10">
        <f t="shared" si="3"/>
        <v>0</v>
      </c>
      <c r="W44" s="10">
        <f t="shared" si="4"/>
        <v>0</v>
      </c>
      <c r="Y44" s="10">
        <f t="shared" si="5"/>
        <v>128100000</v>
      </c>
      <c r="Z44" s="10">
        <f t="shared" si="6"/>
        <v>52775503.893987678</v>
      </c>
      <c r="AB44" s="10">
        <f t="shared" si="7"/>
        <v>0</v>
      </c>
      <c r="AC44" s="10">
        <f t="shared" si="8"/>
        <v>0</v>
      </c>
      <c r="AE44" s="10">
        <f t="shared" si="9"/>
        <v>0</v>
      </c>
      <c r="AF44" s="10">
        <f t="shared" si="10"/>
        <v>0</v>
      </c>
      <c r="AH44" s="10">
        <f t="shared" si="11"/>
        <v>440000000.00000006</v>
      </c>
      <c r="AI44" s="10">
        <f t="shared" si="12"/>
        <v>181274174.18699905</v>
      </c>
      <c r="AK44" s="10">
        <f t="shared" si="13"/>
        <v>4392000000</v>
      </c>
      <c r="AL44" s="10">
        <f t="shared" si="14"/>
        <v>1809445847.7938631</v>
      </c>
      <c r="AN44" s="10">
        <f t="shared" si="15"/>
        <v>4026000000.0000005</v>
      </c>
      <c r="AO44" s="10">
        <f t="shared" si="16"/>
        <v>1658658693.8110414</v>
      </c>
      <c r="AQ44" s="10">
        <f t="shared" si="17"/>
        <v>1080676000</v>
      </c>
      <c r="AR44" s="10">
        <f t="shared" si="18"/>
        <v>445224203.32661223</v>
      </c>
      <c r="AT44" s="40">
        <f>IF($K44&lt;=$F$15,IF($F$40&lt;&gt;"",$F$40/1000,IF(ISERROR(VLOOKUP($F$3&amp;IF($G$4&lt;&gt;"",$G$4,"")&amp;IF($F$43&lt;&gt;"","_"&amp;$F$43,""),'表3）燃料価格'!$AF$9:$AG$25,2,0)),0,VLOOKUP($I44,'表3）燃料価格'!$A$6:$W$66,VLOOKUP($F$3&amp;IF($G$4&lt;&gt;"",$G$4,"")&amp;IF($F$43&lt;&gt;"","_"&amp;$F$43,""),'表3）燃料価格'!$AF$9:$AG$25,2,0)+VLOOKUP($F$41,'表3）燃料価格'!$AF$28:$AG$29,2,0),0)*IF($F$43="需要地価格",1,$F$8/$F$141))),"")</f>
        <v>8.6794738464339325</v>
      </c>
      <c r="AV44" s="10">
        <f t="shared" si="19"/>
        <v>10749350075.680334</v>
      </c>
      <c r="AW44" s="10">
        <f t="shared" si="20"/>
        <v>4428589904.5816097</v>
      </c>
      <c r="AY44" s="40">
        <f>IF(ISERROR(IF($K44&lt;=$F$15,VLOOKUP($I44,'表4）CO2価格'!$A$7:$E$67,VLOOKUP($F$48,'表4）CO2価格'!$H$10:$I$12,2,0),0)*$F$8/1000,"")),0,IF($K44&lt;=$F$15,VLOOKUP($I44,'表4）CO2価格'!$A$7:$E$67,VLOOKUP($F$48,'表4）CO2価格'!$H$10:$I$12,2,0),0)*$F$8/1000,""))</f>
        <v>8.0689096659945534</v>
      </c>
      <c r="BA44" s="11">
        <f t="shared" si="21"/>
        <v>1644238663.2727461</v>
      </c>
      <c r="BB44" s="10">
        <f t="shared" si="22"/>
        <v>677404558.75250506</v>
      </c>
      <c r="BD44" s="10">
        <f t="shared" si="23"/>
        <v>0</v>
      </c>
      <c r="BE44" s="10">
        <f t="shared" si="24"/>
        <v>0</v>
      </c>
      <c r="BG44" s="11">
        <f t="shared" si="25"/>
        <v>0</v>
      </c>
      <c r="BH44" s="10">
        <f t="shared" si="26"/>
        <v>0</v>
      </c>
      <c r="BJ44" s="7" t="str">
        <f t="shared" si="27"/>
        <v/>
      </c>
      <c r="BK44" s="158" t="str">
        <f t="shared" si="28"/>
        <v/>
      </c>
      <c r="BL44" s="158" t="str">
        <f t="shared" si="29"/>
        <v/>
      </c>
      <c r="BM44" s="10"/>
      <c r="BN44" s="10" t="str">
        <f t="shared" si="30"/>
        <v/>
      </c>
      <c r="BO44" s="10" t="str">
        <f t="shared" si="31"/>
        <v/>
      </c>
      <c r="BQ44" s="10">
        <f t="shared" si="32"/>
        <v>2529450000</v>
      </c>
      <c r="BR44" s="10">
        <f t="shared" si="33"/>
        <v>1042099908.8575107</v>
      </c>
    </row>
    <row r="45" spans="1:70" x14ac:dyDescent="0.15">
      <c r="C45" s="4" t="s">
        <v>575</v>
      </c>
      <c r="D45" s="100"/>
      <c r="E45" s="100"/>
      <c r="F45" s="4"/>
      <c r="G45" s="100"/>
      <c r="I45" s="38">
        <f t="shared" si="34"/>
        <v>2060</v>
      </c>
      <c r="J45" s="39"/>
      <c r="K45" s="39">
        <f t="shared" si="35"/>
        <v>31</v>
      </c>
      <c r="L45" s="39"/>
      <c r="M45" s="40">
        <f t="shared" si="0"/>
        <v>0.39998714516107459</v>
      </c>
      <c r="N45" s="39"/>
      <c r="O45" s="72">
        <f t="shared" si="36"/>
        <v>1.9073486328125E-6</v>
      </c>
      <c r="P45" s="41" t="str">
        <f t="shared" si="1"/>
        <v>-</v>
      </c>
      <c r="Q45" s="39"/>
      <c r="R45" s="72">
        <f t="shared" si="37"/>
        <v>9150000000</v>
      </c>
      <c r="S45" s="39"/>
      <c r="T45" s="72">
        <f t="shared" si="2"/>
        <v>9150000000</v>
      </c>
      <c r="U45" s="39"/>
      <c r="V45" s="72">
        <f t="shared" si="3"/>
        <v>0</v>
      </c>
      <c r="W45" s="72">
        <f t="shared" si="4"/>
        <v>0</v>
      </c>
      <c r="X45" s="39"/>
      <c r="Y45" s="72">
        <f t="shared" si="5"/>
        <v>128100000</v>
      </c>
      <c r="Z45" s="72">
        <f t="shared" si="6"/>
        <v>51238353.295133658</v>
      </c>
      <c r="AA45" s="39"/>
      <c r="AB45" s="72">
        <f t="shared" si="7"/>
        <v>0</v>
      </c>
      <c r="AC45" s="72">
        <f t="shared" si="8"/>
        <v>0</v>
      </c>
      <c r="AD45" s="39"/>
      <c r="AE45" s="72">
        <f t="shared" si="9"/>
        <v>0</v>
      </c>
      <c r="AF45" s="72">
        <f t="shared" si="10"/>
        <v>0</v>
      </c>
      <c r="AG45" s="39"/>
      <c r="AH45" s="72">
        <f t="shared" si="11"/>
        <v>440000000.00000006</v>
      </c>
      <c r="AI45" s="72">
        <f t="shared" si="12"/>
        <v>175994343.87087286</v>
      </c>
      <c r="AJ45" s="39"/>
      <c r="AK45" s="72">
        <f t="shared" si="13"/>
        <v>4392000000</v>
      </c>
      <c r="AL45" s="72">
        <f t="shared" si="14"/>
        <v>1756743541.5474396</v>
      </c>
      <c r="AM45" s="39"/>
      <c r="AN45" s="72">
        <f t="shared" si="15"/>
        <v>4026000000.0000005</v>
      </c>
      <c r="AO45" s="72">
        <f t="shared" si="16"/>
        <v>1610348246.4184866</v>
      </c>
      <c r="AP45" s="39"/>
      <c r="AQ45" s="72">
        <f t="shared" si="17"/>
        <v>1080676000</v>
      </c>
      <c r="AR45" s="72">
        <f t="shared" si="18"/>
        <v>432256508.08408946</v>
      </c>
      <c r="AS45" s="39"/>
      <c r="AT45" s="40">
        <f>IF($K45&lt;=$F$15,IF($F$40&lt;&gt;"",$F$40/1000,IF(ISERROR(VLOOKUP($F$3&amp;IF($G$4&lt;&gt;"",$G$4,"")&amp;IF($F$43&lt;&gt;"","_"&amp;$F$43,""),'表3）燃料価格'!$AF$9:$AG$25,2,0)),0,VLOOKUP($I45,'表3）燃料価格'!$A$6:$W$66,VLOOKUP($F$3&amp;IF($G$4&lt;&gt;"",$G$4,"")&amp;IF($F$43&lt;&gt;"","_"&amp;$F$43,""),'表3）燃料価格'!$AF$9:$AG$25,2,0)+VLOOKUP($F$41,'表3）燃料価格'!$AF$28:$AG$29,2,0),0)*IF($F$43="需要地価格",1,$F$8/$F$141))),"")</f>
        <v>8.6714386601716829</v>
      </c>
      <c r="AU45" s="39"/>
      <c r="AV45" s="72">
        <f t="shared" si="19"/>
        <v>10741262314.869434</v>
      </c>
      <c r="AW45" s="72">
        <f t="shared" si="20"/>
        <v>4296366848.7508602</v>
      </c>
      <c r="AX45" s="39"/>
      <c r="AY45" s="40">
        <f>IF(ISERROR(IF($K45&lt;=$F$15,VLOOKUP($I45,'表4）CO2価格'!$A$7:$E$67,VLOOKUP($F$48,'表4）CO2価格'!$H$10:$I$12,2,0),0)*$F$8/1000,"")),0,IF($K45&lt;=$F$15,VLOOKUP($I45,'表4）CO2価格'!$A$7:$E$67,VLOOKUP($F$48,'表4）CO2価格'!$H$10:$I$12,2,0),0)*$F$8/1000,""))</f>
        <v>8.1999262362847141</v>
      </c>
      <c r="AZ45" s="39"/>
      <c r="BA45" s="42">
        <f t="shared" si="21"/>
        <v>1670936509.6135404</v>
      </c>
      <c r="BB45" s="72">
        <f t="shared" si="22"/>
        <v>668353124.22573054</v>
      </c>
      <c r="BC45" s="39"/>
      <c r="BD45" s="72">
        <f t="shared" si="23"/>
        <v>0</v>
      </c>
      <c r="BE45" s="72">
        <f t="shared" si="24"/>
        <v>0</v>
      </c>
      <c r="BF45" s="39"/>
      <c r="BG45" s="42">
        <f t="shared" si="25"/>
        <v>0</v>
      </c>
      <c r="BH45" s="72">
        <f t="shared" si="26"/>
        <v>0</v>
      </c>
      <c r="BI45" s="39"/>
      <c r="BJ45" s="40" t="str">
        <f t="shared" si="27"/>
        <v/>
      </c>
      <c r="BK45" s="157" t="str">
        <f t="shared" si="28"/>
        <v/>
      </c>
      <c r="BL45" s="157" t="str">
        <f t="shared" si="29"/>
        <v/>
      </c>
      <c r="BM45" s="72"/>
      <c r="BN45" s="72" t="str">
        <f t="shared" si="30"/>
        <v/>
      </c>
      <c r="BO45" s="72" t="str">
        <f t="shared" si="31"/>
        <v/>
      </c>
      <c r="BP45" s="39"/>
      <c r="BQ45" s="72">
        <f t="shared" si="32"/>
        <v>2529450000</v>
      </c>
      <c r="BR45" s="72">
        <f t="shared" si="33"/>
        <v>1011747484.3276801</v>
      </c>
    </row>
    <row r="46" spans="1:70" x14ac:dyDescent="0.15">
      <c r="I46" s="322">
        <f t="shared" si="34"/>
        <v>2061</v>
      </c>
      <c r="K46" s="71">
        <f t="shared" si="35"/>
        <v>32</v>
      </c>
      <c r="M46" s="7">
        <f t="shared" si="0"/>
        <v>0.38833703413696569</v>
      </c>
      <c r="O46" s="10">
        <f t="shared" si="36"/>
        <v>1.9073486328125E-6</v>
      </c>
      <c r="P46" s="29" t="str">
        <f t="shared" si="1"/>
        <v>-</v>
      </c>
      <c r="R46" s="10">
        <f t="shared" si="37"/>
        <v>9150000000</v>
      </c>
      <c r="T46" s="10">
        <f t="shared" si="2"/>
        <v>9150000000</v>
      </c>
      <c r="V46" s="10">
        <f t="shared" si="3"/>
        <v>0</v>
      </c>
      <c r="W46" s="10">
        <f t="shared" si="4"/>
        <v>0</v>
      </c>
      <c r="Y46" s="10">
        <f t="shared" si="5"/>
        <v>128100000</v>
      </c>
      <c r="Z46" s="10">
        <f t="shared" si="6"/>
        <v>49745974.072945304</v>
      </c>
      <c r="AB46" s="10">
        <f t="shared" si="7"/>
        <v>0</v>
      </c>
      <c r="AC46" s="10">
        <f t="shared" si="8"/>
        <v>0</v>
      </c>
      <c r="AE46" s="10">
        <f t="shared" si="9"/>
        <v>0</v>
      </c>
      <c r="AF46" s="10">
        <f t="shared" si="10"/>
        <v>0</v>
      </c>
      <c r="AH46" s="10">
        <f t="shared" si="11"/>
        <v>440000000.00000006</v>
      </c>
      <c r="AI46" s="10">
        <f t="shared" si="12"/>
        <v>170868295.02026492</v>
      </c>
      <c r="AK46" s="10">
        <f t="shared" si="13"/>
        <v>4392000000</v>
      </c>
      <c r="AL46" s="10">
        <f t="shared" si="14"/>
        <v>1705576253.9295533</v>
      </c>
      <c r="AN46" s="10">
        <f t="shared" si="15"/>
        <v>4026000000.0000005</v>
      </c>
      <c r="AO46" s="10">
        <f t="shared" si="16"/>
        <v>1563444899.4354241</v>
      </c>
      <c r="AQ46" s="10">
        <f t="shared" si="17"/>
        <v>1080676000</v>
      </c>
      <c r="AR46" s="10">
        <f t="shared" si="18"/>
        <v>419666512.70299953</v>
      </c>
      <c r="AT46" s="40">
        <f>IF($K46&lt;=$F$15,IF($F$40&lt;&gt;"",$F$40/1000,IF(ISERROR(VLOOKUP($F$3&amp;IF($G$4&lt;&gt;"",$G$4,"")&amp;IF($F$43&lt;&gt;"","_"&amp;$F$43,""),'表3）燃料価格'!$AF$9:$AG$25,2,0)),0,VLOOKUP($I46,'表3）燃料価格'!$A$6:$W$66,VLOOKUP($F$3&amp;IF($G$4&lt;&gt;"",$G$4,"")&amp;IF($F$43&lt;&gt;"","_"&amp;$F$43,""),'表3）燃料価格'!$AF$9:$AG$25,2,0)+VLOOKUP($F$41,'表3）燃料価格'!$AF$28:$AG$29,2,0),0)*IF($F$43="需要地価格",1,$F$8/$F$141))),"")</f>
        <v>8.6635762870811721</v>
      </c>
      <c r="AV46" s="10">
        <f t="shared" si="19"/>
        <v>10733348497.953844</v>
      </c>
      <c r="AW46" s="10">
        <f t="shared" si="20"/>
        <v>4168156722.0538511</v>
      </c>
      <c r="AY46" s="40">
        <f>IF(ISERROR(IF($K46&lt;=$F$15,VLOOKUP($I46,'表4）CO2価格'!$A$7:$E$67,VLOOKUP($F$48,'表4）CO2価格'!$H$10:$I$12,2,0),0)*$F$8/1000,"")),0,IF($K46&lt;=$F$15,VLOOKUP($I46,'表4）CO2価格'!$A$7:$E$67,VLOOKUP($F$48,'表4）CO2価格'!$H$10:$I$12,2,0),0)*$F$8/1000,""))</f>
        <v>8.3308792217288072</v>
      </c>
      <c r="BA46" s="11">
        <f t="shared" si="21"/>
        <v>1697621398.9791512</v>
      </c>
      <c r="BB46" s="10">
        <f t="shared" si="22"/>
        <v>659249259.16701007</v>
      </c>
      <c r="BD46" s="10">
        <f t="shared" si="23"/>
        <v>0</v>
      </c>
      <c r="BE46" s="10">
        <f t="shared" si="24"/>
        <v>0</v>
      </c>
      <c r="BG46" s="11">
        <f t="shared" si="25"/>
        <v>0</v>
      </c>
      <c r="BH46" s="10">
        <f t="shared" si="26"/>
        <v>0</v>
      </c>
      <c r="BJ46" s="7" t="str">
        <f t="shared" si="27"/>
        <v/>
      </c>
      <c r="BK46" s="158" t="str">
        <f t="shared" si="28"/>
        <v/>
      </c>
      <c r="BL46" s="158" t="str">
        <f t="shared" si="29"/>
        <v/>
      </c>
      <c r="BM46" s="10"/>
      <c r="BN46" s="10" t="str">
        <f t="shared" si="30"/>
        <v/>
      </c>
      <c r="BO46" s="10" t="str">
        <f t="shared" si="31"/>
        <v/>
      </c>
      <c r="BQ46" s="10">
        <f t="shared" si="32"/>
        <v>2529450000</v>
      </c>
      <c r="BR46" s="10">
        <f t="shared" si="33"/>
        <v>982279110.9977479</v>
      </c>
    </row>
    <row r="47" spans="1:70" x14ac:dyDescent="0.15">
      <c r="D47" s="84" t="s">
        <v>576</v>
      </c>
      <c r="F47" s="475">
        <v>24.42</v>
      </c>
      <c r="G47" s="84" t="s">
        <v>577</v>
      </c>
      <c r="I47" s="38">
        <f t="shared" si="34"/>
        <v>2062</v>
      </c>
      <c r="J47" s="39"/>
      <c r="K47" s="39">
        <f t="shared" si="35"/>
        <v>33</v>
      </c>
      <c r="L47" s="39"/>
      <c r="M47" s="40">
        <f t="shared" ref="M47:M78" si="38">1/(1+($F$9/100))^K47</f>
        <v>0.37702624673491814</v>
      </c>
      <c r="N47" s="39"/>
      <c r="O47" s="72">
        <f t="shared" si="36"/>
        <v>1.9073486328125E-6</v>
      </c>
      <c r="P47" s="41" t="str">
        <f t="shared" ref="P47:P78" si="39">IF(K47&lt;=$F$15,IF(OR(P46=$F$124,P46="-"),"-",IF(O47*$F$123&gt;$F$127,$F$123,$F$124)),"")</f>
        <v>-</v>
      </c>
      <c r="Q47" s="39"/>
      <c r="R47" s="72">
        <f t="shared" si="37"/>
        <v>9150000000</v>
      </c>
      <c r="S47" s="39"/>
      <c r="T47" s="72">
        <f t="shared" ref="T47:T78" si="40">IF(ISNUMBER(R47),ROUNDDOWN(R47,-3),"")</f>
        <v>9150000000</v>
      </c>
      <c r="U47" s="39"/>
      <c r="V47" s="72">
        <f t="shared" ref="V47:V78" si="41">IF(K47&lt;=$F$15,IF(K47&lt;$F$119,IF(P47="-",V46,O47*P47),IF(K47=$F$119,MIN(IF(P47="-",V46,O47*P47),O47),0)),"")</f>
        <v>0</v>
      </c>
      <c r="W47" s="72">
        <f t="shared" ref="W47:W78" si="42">IF(ISNUMBER(V47),V47*$M47,"")</f>
        <v>0</v>
      </c>
      <c r="X47" s="39"/>
      <c r="Y47" s="72">
        <f t="shared" ref="Y47:Y78" si="43">IF($K47&lt;=$F$15,ROUNDDOWN(T47*$F$25/100,-2),"")</f>
        <v>128100000</v>
      </c>
      <c r="Z47" s="72">
        <f t="shared" ref="Z47:Z78" si="44">IF(ISNUMBER(Y47),Y47*$M47,"")</f>
        <v>48297062.206743017</v>
      </c>
      <c r="AA47" s="39"/>
      <c r="AB47" s="72">
        <f t="shared" ref="AB47:AB78" si="45">IF($K47&lt;=$F$15,0,IF(AND($K47&gt;$F$15,$K47&lt;=$F$15+$F$28),$F$27*10^8/$F$28,""))</f>
        <v>0</v>
      </c>
      <c r="AC47" s="72">
        <f t="shared" ref="AC47:AC78" si="46">IF(ISNUMBER(AB47),AB47*$M47,"")</f>
        <v>0</v>
      </c>
      <c r="AD47" s="39"/>
      <c r="AE47" s="72">
        <f t="shared" ref="AE47:AE78" si="47">IF($K47&lt;=$F$15,$F$26,"")</f>
        <v>0</v>
      </c>
      <c r="AF47" s="72">
        <f t="shared" ref="AF47:AF78" si="48">IF(ISNUMBER(AE47),AE47*$M47,"")</f>
        <v>0</v>
      </c>
      <c r="AG47" s="39"/>
      <c r="AH47" s="72">
        <f t="shared" ref="AH47:AH78" si="49">IF($K47&lt;=$F$15,$F$33*10^8,"")</f>
        <v>440000000.00000006</v>
      </c>
      <c r="AI47" s="72">
        <f t="shared" ref="AI47:AI78" si="50">IF(ISNUMBER(AH47),AH47*$M47,"")</f>
        <v>165891548.563364</v>
      </c>
      <c r="AJ47" s="39"/>
      <c r="AK47" s="72">
        <f t="shared" ref="AK47:AK78" si="51">IF($K47&lt;=$F$15,$F$117*$F$34/100,"")</f>
        <v>4392000000</v>
      </c>
      <c r="AL47" s="72">
        <f t="shared" ref="AL47:AL78" si="52">IF(ISNUMBER(AK47),AK47*$M47,"")</f>
        <v>1655899275.6597605</v>
      </c>
      <c r="AM47" s="39"/>
      <c r="AN47" s="72">
        <f t="shared" ref="AN47:AN78" si="53">IF($K47&lt;=$F$15,$F$117*$F$35/100,"")</f>
        <v>4026000000.0000005</v>
      </c>
      <c r="AO47" s="72">
        <f t="shared" ref="AO47:AO78" si="54">IF(ISNUMBER(AN47),AN47*$M47,"")</f>
        <v>1517907669.3547807</v>
      </c>
      <c r="AP47" s="39"/>
      <c r="AQ47" s="72">
        <f t="shared" ref="AQ47:AQ78" si="55">IF($K47&lt;=$F$15,SUM(AH47,AK47,AN47)*($F$36/100),"")</f>
        <v>1080676000</v>
      </c>
      <c r="AR47" s="72">
        <f t="shared" ref="AR47:AR78" si="56">IF(ISNUMBER(AQ47),AQ47*$M47,"")</f>
        <v>407443216.2165044</v>
      </c>
      <c r="AS47" s="39"/>
      <c r="AT47" s="40">
        <f>IF($K47&lt;=$F$15,IF($F$40&lt;&gt;"",$F$40/1000,IF(ISERROR(VLOOKUP($F$3&amp;IF($G$4&lt;&gt;"",$G$4,"")&amp;IF($F$43&lt;&gt;"","_"&amp;$F$43,""),'表3）燃料価格'!$AF$9:$AG$25,2,0)),0,VLOOKUP($I47,'表3）燃料価格'!$A$6:$W$66,VLOOKUP($F$3&amp;IF($G$4&lt;&gt;"",$G$4,"")&amp;IF($F$43&lt;&gt;"","_"&amp;$F$43,""),'表3）燃料価格'!$AF$9:$AG$25,2,0)+VLOOKUP($F$41,'表3）燃料価格'!$AF$28:$AG$29,2,0),0)*IF($F$43="需要地価格",1,$F$8/$F$141))),"")</f>
        <v>8.6558794499943943</v>
      </c>
      <c r="AU47" s="39"/>
      <c r="AV47" s="72">
        <f t="shared" ref="AV47:AV78" si="57">IF($K47&lt;=$F$15,($AT47+$F$142)*$F$137,"")</f>
        <v>10725601300.150755</v>
      </c>
      <c r="AW47" s="72">
        <f t="shared" ref="AW47:AW78" si="58">IF(ISNUMBER(AV47),AV47*$M47,"")</f>
        <v>4043833202.1709971</v>
      </c>
      <c r="AX47" s="39"/>
      <c r="AY47" s="40">
        <f>IF(ISERROR(IF($K47&lt;=$F$15,VLOOKUP($I47,'表4）CO2価格'!$A$7:$E$67,VLOOKUP($F$48,'表4）CO2価格'!$H$10:$I$12,2,0),0)*$F$8/1000,"")),0,IF($K47&lt;=$F$15,VLOOKUP($I47,'表4）CO2価格'!$A$7:$E$67,VLOOKUP($F$48,'表4）CO2価格'!$H$10:$I$12,2,0),0)*$F$8/1000,""))</f>
        <v>8.4617686840146202</v>
      </c>
      <c r="AZ47" s="39"/>
      <c r="BA47" s="42">
        <f t="shared" ref="BA47:BA78" si="59">IF($K47&lt;=$F$15,$F$145*AY47,"")</f>
        <v>1724293343.9399807</v>
      </c>
      <c r="BB47" s="72">
        <f t="shared" ref="BB47:BB78" si="60">IF(ISNUMBER(BA47),BA47*$M47,"")</f>
        <v>650103847.73569226</v>
      </c>
      <c r="BC47" s="39"/>
      <c r="BD47" s="72">
        <f t="shared" ref="BD47:BD78" si="61">IF($K47&lt;=$F$15,($AT47+$F$152)*$F$151,"")</f>
        <v>0</v>
      </c>
      <c r="BE47" s="72">
        <f t="shared" ref="BE47:BE78" si="62">IF(ISNUMBER(BD47),BD47*$M47,"")</f>
        <v>0</v>
      </c>
      <c r="BF47" s="39"/>
      <c r="BG47" s="42">
        <f t="shared" ref="BG47:BG78" si="63">IF($K47&lt;=$F$15,$F$153*AY47,"")</f>
        <v>0</v>
      </c>
      <c r="BH47" s="72">
        <f t="shared" ref="BH47:BH78" si="64">IF(ISNUMBER(BG47),BG47*$M47,"")</f>
        <v>0</v>
      </c>
      <c r="BI47" s="39"/>
      <c r="BJ47" s="40" t="str">
        <f t="shared" ref="BJ47:BJ78" si="65">IF(ISNUMBER($F$16),IF($K47&lt;=$F$16+$F$28,1/(1+($F$17/100))^K47,""),"")</f>
        <v/>
      </c>
      <c r="BK47" s="157" t="str">
        <f t="shared" ref="BK47:BK78" si="66">IF(ISNUMBER($F$16),IF($K47&lt;=$F$16+$F$28,IF($K47&lt;=$F$16,SUM(Y47,AB47,AE47,AH47,AK47,AN47,AQ47,AV47,BA47,BD47,BG47),$F$27/$F$28*10^8)*BJ47,""),"")</f>
        <v/>
      </c>
      <c r="BL47" s="157" t="str">
        <f t="shared" ref="BL47:BL78" si="67">IF(AND(ISNUMBER(BJ47),$K47&lt;=$F$16),BQ47*BJ47,"")</f>
        <v/>
      </c>
      <c r="BM47" s="72"/>
      <c r="BN47" s="72" t="str">
        <f t="shared" ref="BN47:BN78" si="68">IF(AND(ISNUMBER($F$16),$K47&lt;=$F$16),BQ47*($O$15+$BK$116)/$BL$116,"")</f>
        <v/>
      </c>
      <c r="BO47" s="72" t="str">
        <f t="shared" ref="BO47:BO78" si="69">IF(ISNUMBER(BN47),BN47*$M47,"")</f>
        <v/>
      </c>
      <c r="BP47" s="39"/>
      <c r="BQ47" s="72">
        <f t="shared" ref="BQ47:BQ78" si="70">IF($K47&lt;=$F$15,$F$134,"")</f>
        <v>2529450000</v>
      </c>
      <c r="BR47" s="72">
        <f t="shared" ref="BR47:BR78" si="71">IF(ISNUMBER(BQ47),BQ47*$M47,"")</f>
        <v>953669039.8036387</v>
      </c>
    </row>
    <row r="48" spans="1:70" x14ac:dyDescent="0.15">
      <c r="A48" s="73"/>
      <c r="D48" s="84" t="s">
        <v>578</v>
      </c>
      <c r="F48" s="474" t="str">
        <f>まとめ!$B$5</f>
        <v>WEO2020　STEPS</v>
      </c>
      <c r="I48" s="322">
        <f t="shared" ref="I48:I79" si="72">I47+1</f>
        <v>2063</v>
      </c>
      <c r="K48" s="71">
        <f t="shared" ref="K48:K79" si="73">IF(I48&lt;&gt;"",K47+1,"")</f>
        <v>34</v>
      </c>
      <c r="M48" s="7">
        <f t="shared" si="38"/>
        <v>0.36604489974263904</v>
      </c>
      <c r="O48" s="10">
        <f t="shared" ref="O48:O79" si="74">IF(K48&lt;=$F$15,O47-V47,"")</f>
        <v>1.9073486328125E-6</v>
      </c>
      <c r="P48" s="29" t="str">
        <f t="shared" si="39"/>
        <v>-</v>
      </c>
      <c r="R48" s="10">
        <f t="shared" ref="R48:R79" si="75">IF($K48&lt;=$F$15,MAX($F$117*5%,R47*$F$129),"")</f>
        <v>9150000000</v>
      </c>
      <c r="T48" s="10">
        <f t="shared" si="40"/>
        <v>9150000000</v>
      </c>
      <c r="V48" s="10">
        <f t="shared" si="41"/>
        <v>0</v>
      </c>
      <c r="W48" s="10">
        <f t="shared" si="42"/>
        <v>0</v>
      </c>
      <c r="Y48" s="10">
        <f t="shared" si="43"/>
        <v>128100000</v>
      </c>
      <c r="Z48" s="10">
        <f t="shared" si="44"/>
        <v>46890351.657032058</v>
      </c>
      <c r="AB48" s="10">
        <f t="shared" si="45"/>
        <v>0</v>
      </c>
      <c r="AC48" s="10">
        <f t="shared" si="46"/>
        <v>0</v>
      </c>
      <c r="AE48" s="10">
        <f t="shared" si="47"/>
        <v>0</v>
      </c>
      <c r="AF48" s="10">
        <f t="shared" si="48"/>
        <v>0</v>
      </c>
      <c r="AH48" s="10">
        <f t="shared" si="49"/>
        <v>440000000.00000006</v>
      </c>
      <c r="AI48" s="10">
        <f t="shared" si="50"/>
        <v>161059755.88676119</v>
      </c>
      <c r="AK48" s="10">
        <f t="shared" si="51"/>
        <v>4392000000</v>
      </c>
      <c r="AL48" s="10">
        <f t="shared" si="52"/>
        <v>1607669199.6696706</v>
      </c>
      <c r="AN48" s="10">
        <f t="shared" si="53"/>
        <v>4026000000.0000005</v>
      </c>
      <c r="AO48" s="10">
        <f t="shared" si="54"/>
        <v>1473696766.3638649</v>
      </c>
      <c r="AQ48" s="10">
        <f t="shared" si="55"/>
        <v>1080676000</v>
      </c>
      <c r="AR48" s="10">
        <f t="shared" si="56"/>
        <v>395575938.07427621</v>
      </c>
      <c r="AT48" s="40">
        <f>IF($K48&lt;=$F$15,IF($F$40&lt;&gt;"",$F$40/1000,IF(ISERROR(VLOOKUP($F$3&amp;IF($G$4&lt;&gt;"",$G$4,"")&amp;IF($F$43&lt;&gt;"","_"&amp;$F$43,""),'表3）燃料価格'!$AF$9:$AG$25,2,0)),0,VLOOKUP($I48,'表3）燃料価格'!$A$6:$W$66,VLOOKUP($F$3&amp;IF($G$4&lt;&gt;"",$G$4,"")&amp;IF($F$43&lt;&gt;"","_"&amp;$F$43,""),'表3）燃料価格'!$AF$9:$AG$25,2,0)+VLOOKUP($F$41,'表3）燃料価格'!$AF$28:$AG$29,2,0),0)*IF($F$43="需要地価格",1,$F$8/$F$141))),"")</f>
        <v>8.6483413219433203</v>
      </c>
      <c r="AV48" s="10">
        <f t="shared" si="57"/>
        <v>10718013849.823006</v>
      </c>
      <c r="AW48" s="10">
        <f t="shared" si="58"/>
        <v>3923274305.0986786</v>
      </c>
      <c r="AY48" s="40">
        <f>IF(ISERROR(IF($K48&lt;=$F$15,VLOOKUP($I48,'表4）CO2価格'!$A$7:$E$67,VLOOKUP($F$48,'表4）CO2価格'!$H$10:$I$12,2,0),0)*$F$8/1000,"")),0,IF($K48&lt;=$F$15,VLOOKUP($I48,'表4）CO2価格'!$A$7:$E$67,VLOOKUP($F$48,'表4）CO2価格'!$H$10:$I$12,2,0),0)*$F$8/1000,""))</f>
        <v>8.5925946847404155</v>
      </c>
      <c r="BA48" s="11">
        <f t="shared" si="59"/>
        <v>1750952357.0481896</v>
      </c>
      <c r="BB48" s="10">
        <f t="shared" si="60"/>
        <v>640927179.98984206</v>
      </c>
      <c r="BD48" s="10">
        <f t="shared" si="61"/>
        <v>0</v>
      </c>
      <c r="BE48" s="10">
        <f t="shared" si="62"/>
        <v>0</v>
      </c>
      <c r="BG48" s="11">
        <f t="shared" si="63"/>
        <v>0</v>
      </c>
      <c r="BH48" s="10">
        <f t="shared" si="64"/>
        <v>0</v>
      </c>
      <c r="BJ48" s="7" t="str">
        <f t="shared" si="65"/>
        <v/>
      </c>
      <c r="BK48" s="158" t="str">
        <f t="shared" si="66"/>
        <v/>
      </c>
      <c r="BL48" s="158" t="str">
        <f t="shared" si="67"/>
        <v/>
      </c>
      <c r="BM48" s="10"/>
      <c r="BN48" s="10" t="str">
        <f t="shared" si="68"/>
        <v/>
      </c>
      <c r="BO48" s="10" t="str">
        <f t="shared" si="69"/>
        <v/>
      </c>
      <c r="BQ48" s="10">
        <f t="shared" si="70"/>
        <v>2529450000</v>
      </c>
      <c r="BR48" s="10">
        <f t="shared" si="71"/>
        <v>925892271.65401828</v>
      </c>
    </row>
    <row r="49" spans="1:70" x14ac:dyDescent="0.15">
      <c r="A49" s="73"/>
      <c r="D49" s="84" t="s">
        <v>648</v>
      </c>
      <c r="F49" s="505">
        <f>'表４ー②）CO2輸送・貯留コスト'!D90</f>
        <v>2666.3520245114178</v>
      </c>
      <c r="G49" s="184" t="s">
        <v>257</v>
      </c>
      <c r="I49" s="38">
        <f t="shared" si="72"/>
        <v>2064</v>
      </c>
      <c r="J49" s="39"/>
      <c r="K49" s="39">
        <f t="shared" si="73"/>
        <v>35</v>
      </c>
      <c r="L49" s="39"/>
      <c r="M49" s="40">
        <f t="shared" si="38"/>
        <v>0.35538339780838735</v>
      </c>
      <c r="N49" s="39"/>
      <c r="O49" s="72">
        <f t="shared" si="74"/>
        <v>1.9073486328125E-6</v>
      </c>
      <c r="P49" s="41" t="str">
        <f t="shared" si="39"/>
        <v>-</v>
      </c>
      <c r="Q49" s="39"/>
      <c r="R49" s="72">
        <f t="shared" si="75"/>
        <v>9150000000</v>
      </c>
      <c r="S49" s="39"/>
      <c r="T49" s="72">
        <f t="shared" si="40"/>
        <v>9150000000</v>
      </c>
      <c r="U49" s="39"/>
      <c r="V49" s="72">
        <f t="shared" si="41"/>
        <v>0</v>
      </c>
      <c r="W49" s="72">
        <f t="shared" si="42"/>
        <v>0</v>
      </c>
      <c r="X49" s="39"/>
      <c r="Y49" s="72">
        <f t="shared" si="43"/>
        <v>128100000</v>
      </c>
      <c r="Z49" s="72">
        <f t="shared" si="44"/>
        <v>45524613.259254418</v>
      </c>
      <c r="AA49" s="39"/>
      <c r="AB49" s="72">
        <f t="shared" si="45"/>
        <v>0</v>
      </c>
      <c r="AC49" s="72">
        <f t="shared" si="46"/>
        <v>0</v>
      </c>
      <c r="AD49" s="39"/>
      <c r="AE49" s="72">
        <f t="shared" si="47"/>
        <v>0</v>
      </c>
      <c r="AF49" s="72">
        <f t="shared" si="48"/>
        <v>0</v>
      </c>
      <c r="AG49" s="39"/>
      <c r="AH49" s="72">
        <f t="shared" si="49"/>
        <v>440000000.00000006</v>
      </c>
      <c r="AI49" s="72">
        <f t="shared" si="50"/>
        <v>156368695.03569046</v>
      </c>
      <c r="AJ49" s="39"/>
      <c r="AK49" s="72">
        <f t="shared" si="51"/>
        <v>4392000000</v>
      </c>
      <c r="AL49" s="72">
        <f t="shared" si="52"/>
        <v>1560843883.1744373</v>
      </c>
      <c r="AM49" s="39"/>
      <c r="AN49" s="72">
        <f t="shared" si="53"/>
        <v>4026000000.0000005</v>
      </c>
      <c r="AO49" s="72">
        <f t="shared" si="54"/>
        <v>1430773559.5765676</v>
      </c>
      <c r="AP49" s="39"/>
      <c r="AQ49" s="72">
        <f t="shared" si="55"/>
        <v>1080676000</v>
      </c>
      <c r="AR49" s="72">
        <f t="shared" si="56"/>
        <v>384054308.80997682</v>
      </c>
      <c r="AS49" s="39"/>
      <c r="AT49" s="40">
        <f>IF($K49&lt;=$F$15,IF($F$40&lt;&gt;"",$F$40/1000,IF(ISERROR(VLOOKUP($F$3&amp;IF($G$4&lt;&gt;"",$G$4,"")&amp;IF($F$43&lt;&gt;"","_"&amp;$F$43,""),'表3）燃料価格'!$AF$9:$AG$25,2,0)),0,VLOOKUP($I49,'表3）燃料価格'!$A$6:$W$66,VLOOKUP($F$3&amp;IF($G$4&lt;&gt;"",$G$4,"")&amp;IF($F$43&lt;&gt;"","_"&amp;$F$43,""),'表3）燃料価格'!$AF$9:$AG$25,2,0)+VLOOKUP($F$41,'表3）燃料価格'!$AF$28:$AG$29,2,0),0)*IF($F$43="需要地価格",1,$F$8/$F$141))),"")</f>
        <v>8.6409554897736385</v>
      </c>
      <c r="AU49" s="39"/>
      <c r="AV49" s="72">
        <f t="shared" si="57"/>
        <v>10710579691.854761</v>
      </c>
      <c r="AW49" s="72">
        <f t="shared" si="58"/>
        <v>3806362203.3888555</v>
      </c>
      <c r="AX49" s="39"/>
      <c r="AY49" s="40">
        <f>IF(ISERROR(IF($K49&lt;=$F$15,VLOOKUP($I49,'表4）CO2価格'!$A$7:$E$67,VLOOKUP($F$48,'表4）CO2価格'!$H$10:$I$12,2,0),0)*$F$8/1000,"")),0,IF($K49&lt;=$F$15,VLOOKUP($I49,'表4）CO2価格'!$A$7:$E$67,VLOOKUP($F$48,'表4）CO2価格'!$H$10:$I$12,2,0),0)*$F$8/1000,""))</f>
        <v>8.7233572854149237</v>
      </c>
      <c r="AZ49" s="39"/>
      <c r="BA49" s="42">
        <f t="shared" si="59"/>
        <v>1777598450.837693</v>
      </c>
      <c r="BB49" s="72">
        <f t="shared" si="60"/>
        <v>631728977.39762497</v>
      </c>
      <c r="BC49" s="39"/>
      <c r="BD49" s="72">
        <f t="shared" si="61"/>
        <v>0</v>
      </c>
      <c r="BE49" s="72">
        <f t="shared" si="62"/>
        <v>0</v>
      </c>
      <c r="BF49" s="39"/>
      <c r="BG49" s="42">
        <f t="shared" si="63"/>
        <v>0</v>
      </c>
      <c r="BH49" s="72">
        <f t="shared" si="64"/>
        <v>0</v>
      </c>
      <c r="BI49" s="39"/>
      <c r="BJ49" s="40" t="str">
        <f t="shared" si="65"/>
        <v/>
      </c>
      <c r="BK49" s="157" t="str">
        <f t="shared" si="66"/>
        <v/>
      </c>
      <c r="BL49" s="157" t="str">
        <f t="shared" si="67"/>
        <v/>
      </c>
      <c r="BM49" s="72"/>
      <c r="BN49" s="72" t="str">
        <f t="shared" si="68"/>
        <v/>
      </c>
      <c r="BO49" s="72" t="str">
        <f t="shared" si="69"/>
        <v/>
      </c>
      <c r="BP49" s="39"/>
      <c r="BQ49" s="72">
        <f t="shared" si="70"/>
        <v>2529450000</v>
      </c>
      <c r="BR49" s="72">
        <f t="shared" si="71"/>
        <v>898924535.58642542</v>
      </c>
    </row>
    <row r="50" spans="1:70" x14ac:dyDescent="0.15">
      <c r="A50" s="73"/>
      <c r="C50" s="4" t="s">
        <v>579</v>
      </c>
      <c r="D50" s="100"/>
      <c r="E50" s="100"/>
      <c r="F50" s="4"/>
      <c r="G50" s="100"/>
      <c r="I50" s="322">
        <f t="shared" si="72"/>
        <v>2065</v>
      </c>
      <c r="K50" s="71">
        <f t="shared" si="73"/>
        <v>36</v>
      </c>
      <c r="M50" s="7">
        <f t="shared" si="38"/>
        <v>0.34503242505668674</v>
      </c>
      <c r="O50" s="10">
        <f t="shared" si="74"/>
        <v>1.9073486328125E-6</v>
      </c>
      <c r="P50" s="29" t="str">
        <f t="shared" si="39"/>
        <v>-</v>
      </c>
      <c r="R50" s="10">
        <f t="shared" si="75"/>
        <v>9150000000</v>
      </c>
      <c r="T50" s="10">
        <f t="shared" si="40"/>
        <v>9150000000</v>
      </c>
      <c r="V50" s="10">
        <f t="shared" si="41"/>
        <v>0</v>
      </c>
      <c r="W50" s="10">
        <f t="shared" si="42"/>
        <v>0</v>
      </c>
      <c r="Y50" s="10">
        <f t="shared" si="43"/>
        <v>128100000</v>
      </c>
      <c r="Z50" s="10">
        <f t="shared" si="44"/>
        <v>44198653.649761572</v>
      </c>
      <c r="AB50" s="10">
        <f t="shared" si="45"/>
        <v>0</v>
      </c>
      <c r="AC50" s="10">
        <f t="shared" si="46"/>
        <v>0</v>
      </c>
      <c r="AE50" s="10">
        <f t="shared" si="47"/>
        <v>0</v>
      </c>
      <c r="AF50" s="10">
        <f t="shared" si="48"/>
        <v>0</v>
      </c>
      <c r="AH50" s="10">
        <f t="shared" si="49"/>
        <v>440000000.00000006</v>
      </c>
      <c r="AI50" s="10">
        <f t="shared" si="50"/>
        <v>151814267.02494219</v>
      </c>
      <c r="AK50" s="10">
        <f t="shared" si="51"/>
        <v>4392000000</v>
      </c>
      <c r="AL50" s="10">
        <f t="shared" si="52"/>
        <v>1515382410.8489683</v>
      </c>
      <c r="AN50" s="10">
        <f t="shared" si="53"/>
        <v>4026000000.0000005</v>
      </c>
      <c r="AO50" s="10">
        <f t="shared" si="54"/>
        <v>1389100543.2782209</v>
      </c>
      <c r="AQ50" s="10">
        <f t="shared" si="55"/>
        <v>1080676000</v>
      </c>
      <c r="AR50" s="10">
        <f t="shared" si="56"/>
        <v>372868260.98056</v>
      </c>
      <c r="AT50" s="40">
        <f>IF($K50&lt;=$F$15,IF($F$40&lt;&gt;"",$F$40/1000,IF(ISERROR(VLOOKUP($F$3&amp;IF($G$4&lt;&gt;"",$G$4,"")&amp;IF($F$43&lt;&gt;"","_"&amp;$F$43,""),'表3）燃料価格'!$AF$9:$AG$25,2,0)),0,VLOOKUP($I50,'表3）燃料価格'!$A$6:$W$66,VLOOKUP($F$3&amp;IF($G$4&lt;&gt;"",$G$4,"")&amp;IF($F$43&lt;&gt;"","_"&amp;$F$43,""),'表3）燃料価格'!$AF$9:$AG$25,2,0)+VLOOKUP($F$41,'表3）燃料価格'!$AF$28:$AG$29,2,0),0)*IF($F$43="需要地価格",1,$F$8/$F$141))),"")</f>
        <v>8.6337159213618584</v>
      </c>
      <c r="AV50" s="10">
        <f t="shared" si="57"/>
        <v>10703292754.6541</v>
      </c>
      <c r="AW50" s="10">
        <f t="shared" si="58"/>
        <v>3692983055.229969</v>
      </c>
      <c r="AY50" s="40">
        <f>IF(ISERROR(IF($K50&lt;=$F$15,VLOOKUP($I50,'表4）CO2価格'!$A$7:$E$67,VLOOKUP($F$48,'表4）CO2価格'!$H$10:$I$12,2,0),0)*$F$8/1000,"")),0,IF($K50&lt;=$F$15,VLOOKUP($I50,'表4）CO2価格'!$A$7:$E$67,VLOOKUP($F$48,'表4）CO2価格'!$H$10:$I$12,2,0),0)*$F$8/1000,""))</f>
        <v>8.8540565474573452</v>
      </c>
      <c r="BA50" s="11">
        <f t="shared" si="59"/>
        <v>1804231637.8241627</v>
      </c>
      <c r="BB50" s="10">
        <f t="shared" si="60"/>
        <v>622518417.3624686</v>
      </c>
      <c r="BD50" s="10">
        <f t="shared" si="61"/>
        <v>0</v>
      </c>
      <c r="BE50" s="10">
        <f t="shared" si="62"/>
        <v>0</v>
      </c>
      <c r="BG50" s="11">
        <f t="shared" si="63"/>
        <v>0</v>
      </c>
      <c r="BH50" s="10">
        <f t="shared" si="64"/>
        <v>0</v>
      </c>
      <c r="BJ50" s="7" t="str">
        <f t="shared" si="65"/>
        <v/>
      </c>
      <c r="BK50" s="158" t="str">
        <f t="shared" si="66"/>
        <v/>
      </c>
      <c r="BL50" s="158" t="str">
        <f t="shared" si="67"/>
        <v/>
      </c>
      <c r="BM50" s="10"/>
      <c r="BN50" s="10" t="str">
        <f t="shared" si="68"/>
        <v/>
      </c>
      <c r="BO50" s="10" t="str">
        <f t="shared" si="69"/>
        <v/>
      </c>
      <c r="BQ50" s="10">
        <f t="shared" si="70"/>
        <v>2529450000</v>
      </c>
      <c r="BR50" s="10">
        <f t="shared" si="71"/>
        <v>872742267.55963624</v>
      </c>
    </row>
    <row r="51" spans="1:70" x14ac:dyDescent="0.15">
      <c r="I51" s="38">
        <f t="shared" si="72"/>
        <v>2066</v>
      </c>
      <c r="J51" s="39"/>
      <c r="K51" s="39">
        <f t="shared" si="73"/>
        <v>37</v>
      </c>
      <c r="L51" s="39"/>
      <c r="M51" s="40">
        <f t="shared" si="38"/>
        <v>0.33498293694823961</v>
      </c>
      <c r="N51" s="39"/>
      <c r="O51" s="72">
        <f t="shared" si="74"/>
        <v>1.9073486328125E-6</v>
      </c>
      <c r="P51" s="41" t="str">
        <f t="shared" si="39"/>
        <v>-</v>
      </c>
      <c r="Q51" s="39"/>
      <c r="R51" s="72">
        <f t="shared" si="75"/>
        <v>9150000000</v>
      </c>
      <c r="S51" s="39"/>
      <c r="T51" s="72">
        <f t="shared" si="40"/>
        <v>9150000000</v>
      </c>
      <c r="U51" s="39"/>
      <c r="V51" s="72">
        <f t="shared" si="41"/>
        <v>0</v>
      </c>
      <c r="W51" s="72">
        <f t="shared" si="42"/>
        <v>0</v>
      </c>
      <c r="X51" s="39"/>
      <c r="Y51" s="72">
        <f t="shared" si="43"/>
        <v>128100000</v>
      </c>
      <c r="Z51" s="72">
        <f t="shared" si="44"/>
        <v>42911314.223069496</v>
      </c>
      <c r="AA51" s="39"/>
      <c r="AB51" s="72">
        <f t="shared" si="45"/>
        <v>0</v>
      </c>
      <c r="AC51" s="72">
        <f t="shared" si="46"/>
        <v>0</v>
      </c>
      <c r="AD51" s="39"/>
      <c r="AE51" s="72">
        <f t="shared" si="47"/>
        <v>0</v>
      </c>
      <c r="AF51" s="72">
        <f t="shared" si="48"/>
        <v>0</v>
      </c>
      <c r="AG51" s="39"/>
      <c r="AH51" s="72">
        <f t="shared" si="49"/>
        <v>440000000.00000006</v>
      </c>
      <c r="AI51" s="72">
        <f t="shared" si="50"/>
        <v>147392492.25722545</v>
      </c>
      <c r="AJ51" s="39"/>
      <c r="AK51" s="72">
        <f t="shared" si="51"/>
        <v>4392000000</v>
      </c>
      <c r="AL51" s="72">
        <f t="shared" si="52"/>
        <v>1471245059.0766683</v>
      </c>
      <c r="AM51" s="39"/>
      <c r="AN51" s="72">
        <f t="shared" si="53"/>
        <v>4026000000.0000005</v>
      </c>
      <c r="AO51" s="72">
        <f t="shared" si="54"/>
        <v>1348641304.1536129</v>
      </c>
      <c r="AP51" s="39"/>
      <c r="AQ51" s="72">
        <f t="shared" si="55"/>
        <v>1080676000</v>
      </c>
      <c r="AR51" s="72">
        <f t="shared" si="56"/>
        <v>362008020.36947578</v>
      </c>
      <c r="AS51" s="39"/>
      <c r="AT51" s="40">
        <f>IF($K51&lt;=$F$15,IF($F$40&lt;&gt;"",$F$40/1000,IF(ISERROR(VLOOKUP($F$3&amp;IF($G$4&lt;&gt;"",$G$4,"")&amp;IF($F$43&lt;&gt;"","_"&amp;$F$43,""),'表3）燃料価格'!$AF$9:$AG$25,2,0)),0,VLOOKUP($I51,'表3）燃料価格'!$A$6:$W$66,VLOOKUP($F$3&amp;IF($G$4&lt;&gt;"",$G$4,"")&amp;IF($F$43&lt;&gt;"","_"&amp;$F$43,""),'表3）燃料価格'!$AF$9:$AG$25,2,0)+VLOOKUP($F$41,'表3）燃料価格'!$AF$28:$AG$29,2,0),0)*IF($F$43="需要地価格",1,$F$8/$F$141))),"")</f>
        <v>8.6266169360158376</v>
      </c>
      <c r="AU51" s="39"/>
      <c r="AV51" s="72">
        <f t="shared" si="57"/>
        <v>10696147320.359884</v>
      </c>
      <c r="AW51" s="72">
        <f t="shared" si="58"/>
        <v>3583026843.4051971</v>
      </c>
      <c r="AX51" s="39"/>
      <c r="AY51" s="40">
        <f>IF(ISERROR(IF($K51&lt;=$F$15,VLOOKUP($I51,'表4）CO2価格'!$A$7:$E$67,VLOOKUP($F$48,'表4）CO2価格'!$H$10:$I$12,2,0),0)*$F$8/1000,"")),0,IF($K51&lt;=$F$15,VLOOKUP($I51,'表4）CO2価格'!$A$7:$E$67,VLOOKUP($F$48,'表4）CO2価格'!$H$10:$I$12,2,0),0)*$F$8/1000,""))</f>
        <v>8.9846925321981246</v>
      </c>
      <c r="AZ51" s="39"/>
      <c r="BA51" s="42">
        <f t="shared" si="59"/>
        <v>1830851930.5051842</v>
      </c>
      <c r="BB51" s="72">
        <f t="shared" si="60"/>
        <v>613304156.7979809</v>
      </c>
      <c r="BC51" s="39"/>
      <c r="BD51" s="72">
        <f t="shared" si="61"/>
        <v>0</v>
      </c>
      <c r="BE51" s="72">
        <f t="shared" si="62"/>
        <v>0</v>
      </c>
      <c r="BF51" s="39"/>
      <c r="BG51" s="42">
        <f t="shared" si="63"/>
        <v>0</v>
      </c>
      <c r="BH51" s="72">
        <f t="shared" si="64"/>
        <v>0</v>
      </c>
      <c r="BI51" s="39"/>
      <c r="BJ51" s="40" t="str">
        <f t="shared" si="65"/>
        <v/>
      </c>
      <c r="BK51" s="157" t="str">
        <f t="shared" si="66"/>
        <v/>
      </c>
      <c r="BL51" s="157" t="str">
        <f t="shared" si="67"/>
        <v/>
      </c>
      <c r="BM51" s="72"/>
      <c r="BN51" s="72" t="str">
        <f t="shared" si="68"/>
        <v/>
      </c>
      <c r="BO51" s="72" t="str">
        <f t="shared" si="69"/>
        <v/>
      </c>
      <c r="BP51" s="39"/>
      <c r="BQ51" s="72">
        <f t="shared" si="70"/>
        <v>2529450000</v>
      </c>
      <c r="BR51" s="72">
        <f t="shared" si="71"/>
        <v>847322589.86372471</v>
      </c>
    </row>
    <row r="52" spans="1:70" x14ac:dyDescent="0.15">
      <c r="D52" s="84" t="s">
        <v>185</v>
      </c>
      <c r="F52" s="478"/>
      <c r="G52" s="84" t="s">
        <v>549</v>
      </c>
      <c r="I52" s="322">
        <f t="shared" si="72"/>
        <v>2067</v>
      </c>
      <c r="K52" s="71">
        <f t="shared" si="73"/>
        <v>38</v>
      </c>
      <c r="M52" s="7">
        <f t="shared" si="38"/>
        <v>0.3252261523769317</v>
      </c>
      <c r="O52" s="10">
        <f t="shared" si="74"/>
        <v>1.9073486328125E-6</v>
      </c>
      <c r="P52" s="29" t="str">
        <f t="shared" si="39"/>
        <v>-</v>
      </c>
      <c r="R52" s="10">
        <f t="shared" si="75"/>
        <v>9150000000</v>
      </c>
      <c r="T52" s="10">
        <f t="shared" si="40"/>
        <v>9150000000</v>
      </c>
      <c r="V52" s="10">
        <f t="shared" si="41"/>
        <v>0</v>
      </c>
      <c r="W52" s="10">
        <f t="shared" si="42"/>
        <v>0</v>
      </c>
      <c r="Y52" s="10">
        <f t="shared" si="43"/>
        <v>128100000</v>
      </c>
      <c r="Z52" s="10">
        <f t="shared" si="44"/>
        <v>41661470.119484954</v>
      </c>
      <c r="AB52" s="10">
        <f t="shared" si="45"/>
        <v>0</v>
      </c>
      <c r="AC52" s="10">
        <f t="shared" si="46"/>
        <v>0</v>
      </c>
      <c r="AE52" s="10">
        <f t="shared" si="47"/>
        <v>0</v>
      </c>
      <c r="AF52" s="10">
        <f t="shared" si="48"/>
        <v>0</v>
      </c>
      <c r="AH52" s="10">
        <f t="shared" si="49"/>
        <v>440000000.00000006</v>
      </c>
      <c r="AI52" s="10">
        <f t="shared" si="50"/>
        <v>143099507.04584998</v>
      </c>
      <c r="AK52" s="10">
        <f t="shared" si="51"/>
        <v>4392000000</v>
      </c>
      <c r="AL52" s="10">
        <f t="shared" si="52"/>
        <v>1428393261.2394841</v>
      </c>
      <c r="AN52" s="10">
        <f t="shared" si="53"/>
        <v>4026000000.0000005</v>
      </c>
      <c r="AO52" s="10">
        <f t="shared" si="54"/>
        <v>1309360489.4695272</v>
      </c>
      <c r="AQ52" s="10">
        <f t="shared" si="55"/>
        <v>1080676000</v>
      </c>
      <c r="AR52" s="10">
        <f t="shared" si="56"/>
        <v>351464097.44609302</v>
      </c>
      <c r="AT52" s="40">
        <f>IF($K52&lt;=$F$15,IF($F$40&lt;&gt;"",$F$40/1000,IF(ISERROR(VLOOKUP($F$3&amp;IF($G$4&lt;&gt;"",$G$4,"")&amp;IF($F$43&lt;&gt;"","_"&amp;$F$43,""),'表3）燃料価格'!$AF$9:$AG$25,2,0)),0,VLOOKUP($I52,'表3）燃料価格'!$A$6:$W$66,VLOOKUP($F$3&amp;IF($G$4&lt;&gt;"",$G$4,"")&amp;IF($F$43&lt;&gt;"","_"&amp;$F$43,""),'表3）燃料価格'!$AF$9:$AG$25,2,0)+VLOOKUP($F$41,'表3）燃料価格'!$AF$28:$AG$29,2,0),0)*IF($F$43="需要地価格",1,$F$8/$F$141))),"")</f>
        <v>8.6196531776948468</v>
      </c>
      <c r="AV52" s="10">
        <f t="shared" si="57"/>
        <v>10689137997.886589</v>
      </c>
      <c r="AW52" s="10">
        <f t="shared" si="58"/>
        <v>3476387223.2787147</v>
      </c>
      <c r="AY52" s="40">
        <f>IF(ISERROR(IF($K52&lt;=$F$15,VLOOKUP($I52,'表4）CO2価格'!$A$7:$E$67,VLOOKUP($F$48,'表4）CO2価格'!$H$10:$I$12,2,0),0)*$F$8/1000,"")),0,IF($K52&lt;=$F$15,VLOOKUP($I52,'表4）CO2価格'!$A$7:$E$67,VLOOKUP($F$48,'表4）CO2価格'!$H$10:$I$12,2,0),0)*$F$8/1000,""))</f>
        <v>9.1152653008777929</v>
      </c>
      <c r="BA52" s="11">
        <f t="shared" si="59"/>
        <v>1857459341.3600206</v>
      </c>
      <c r="BB52" s="10">
        <f t="shared" si="60"/>
        <v>604094354.78710926</v>
      </c>
      <c r="BD52" s="10">
        <f t="shared" si="61"/>
        <v>0</v>
      </c>
      <c r="BE52" s="10">
        <f t="shared" si="62"/>
        <v>0</v>
      </c>
      <c r="BG52" s="11">
        <f t="shared" si="63"/>
        <v>0</v>
      </c>
      <c r="BH52" s="10">
        <f t="shared" si="64"/>
        <v>0</v>
      </c>
      <c r="BJ52" s="7" t="str">
        <f t="shared" si="65"/>
        <v/>
      </c>
      <c r="BK52" s="158" t="str">
        <f t="shared" si="66"/>
        <v/>
      </c>
      <c r="BL52" s="158" t="str">
        <f t="shared" si="67"/>
        <v/>
      </c>
      <c r="BM52" s="10"/>
      <c r="BN52" s="10" t="str">
        <f t="shared" si="68"/>
        <v/>
      </c>
      <c r="BO52" s="10" t="str">
        <f t="shared" si="69"/>
        <v/>
      </c>
      <c r="BQ52" s="10">
        <f t="shared" si="70"/>
        <v>2529450000</v>
      </c>
      <c r="BR52" s="10">
        <f t="shared" si="71"/>
        <v>822643291.12982988</v>
      </c>
    </row>
    <row r="53" spans="1:70" x14ac:dyDescent="0.15">
      <c r="D53" s="84" t="s">
        <v>580</v>
      </c>
      <c r="F53" s="475"/>
      <c r="G53" s="84" t="s">
        <v>549</v>
      </c>
      <c r="I53" s="38">
        <f t="shared" si="72"/>
        <v>2068</v>
      </c>
      <c r="J53" s="39"/>
      <c r="K53" s="39">
        <f t="shared" si="73"/>
        <v>39</v>
      </c>
      <c r="L53" s="39"/>
      <c r="M53" s="40">
        <f t="shared" si="38"/>
        <v>0.31575354599702099</v>
      </c>
      <c r="N53" s="39"/>
      <c r="O53" s="72">
        <f t="shared" si="74"/>
        <v>1.9073486328125E-6</v>
      </c>
      <c r="P53" s="41" t="str">
        <f t="shared" si="39"/>
        <v>-</v>
      </c>
      <c r="Q53" s="39"/>
      <c r="R53" s="72">
        <f t="shared" si="75"/>
        <v>9150000000</v>
      </c>
      <c r="S53" s="39"/>
      <c r="T53" s="72">
        <f t="shared" si="40"/>
        <v>9150000000</v>
      </c>
      <c r="U53" s="39"/>
      <c r="V53" s="72">
        <f t="shared" si="41"/>
        <v>0</v>
      </c>
      <c r="W53" s="72">
        <f t="shared" si="42"/>
        <v>0</v>
      </c>
      <c r="X53" s="39"/>
      <c r="Y53" s="72">
        <f t="shared" si="43"/>
        <v>128100000</v>
      </c>
      <c r="Z53" s="72">
        <f t="shared" si="44"/>
        <v>40448029.24221839</v>
      </c>
      <c r="AA53" s="39"/>
      <c r="AB53" s="72">
        <f t="shared" si="45"/>
        <v>0</v>
      </c>
      <c r="AC53" s="72">
        <f t="shared" si="46"/>
        <v>0</v>
      </c>
      <c r="AD53" s="39"/>
      <c r="AE53" s="72">
        <f t="shared" si="47"/>
        <v>0</v>
      </c>
      <c r="AF53" s="72">
        <f t="shared" si="48"/>
        <v>0</v>
      </c>
      <c r="AG53" s="39"/>
      <c r="AH53" s="72">
        <f t="shared" si="49"/>
        <v>440000000.00000006</v>
      </c>
      <c r="AI53" s="72">
        <f t="shared" si="50"/>
        <v>138931560.23868924</v>
      </c>
      <c r="AJ53" s="39"/>
      <c r="AK53" s="72">
        <f t="shared" si="51"/>
        <v>4392000000</v>
      </c>
      <c r="AL53" s="72">
        <f t="shared" si="52"/>
        <v>1386789574.0189161</v>
      </c>
      <c r="AM53" s="39"/>
      <c r="AN53" s="72">
        <f t="shared" si="53"/>
        <v>4026000000.0000005</v>
      </c>
      <c r="AO53" s="72">
        <f t="shared" si="54"/>
        <v>1271223776.1840067</v>
      </c>
      <c r="AP53" s="39"/>
      <c r="AQ53" s="72">
        <f t="shared" si="55"/>
        <v>1080676000</v>
      </c>
      <c r="AR53" s="72">
        <f t="shared" si="56"/>
        <v>341227279.07387668</v>
      </c>
      <c r="AS53" s="39"/>
      <c r="AT53" s="40">
        <f>IF($K53&lt;=$F$15,IF($F$40&lt;&gt;"",$F$40/1000,IF(ISERROR(VLOOKUP($F$3&amp;IF($G$4&lt;&gt;"",$G$4,"")&amp;IF($F$43&lt;&gt;"","_"&amp;$F$43,""),'表3）燃料価格'!$AF$9:$AG$25,2,0)),0,VLOOKUP($I53,'表3）燃料価格'!$A$6:$W$66,VLOOKUP($F$3&amp;IF($G$4&lt;&gt;"",$G$4,"")&amp;IF($F$43&lt;&gt;"","_"&amp;$F$43,""),'表3）燃料価格'!$AF$9:$AG$25,2,0)+VLOOKUP($F$41,'表3）燃料価格'!$AF$28:$AG$29,2,0),0)*IF($F$43="需要地価格",1,$F$8/$F$141))),"")</f>
        <v>8.6128195907328973</v>
      </c>
      <c r="AU53" s="39"/>
      <c r="AV53" s="72">
        <f t="shared" si="57"/>
        <v>10682259698.488804</v>
      </c>
      <c r="AW53" s="72">
        <f t="shared" si="58"/>
        <v>3372961379.058908</v>
      </c>
      <c r="AX53" s="39"/>
      <c r="AY53" s="40">
        <f>IF(ISERROR(IF($K53&lt;=$F$15,VLOOKUP($I53,'表4）CO2価格'!$A$7:$E$67,VLOOKUP($F$48,'表4）CO2価格'!$H$10:$I$12,2,0),0)*$F$8/1000,"")),0,IF($K53&lt;=$F$15,VLOOKUP($I53,'表4）CO2価格'!$A$7:$E$67,VLOOKUP($F$48,'表4）CO2価格'!$H$10:$I$12,2,0),0)*$F$8/1000,""))</f>
        <v>9.2457749146488997</v>
      </c>
      <c r="AZ53" s="39"/>
      <c r="BA53" s="42">
        <f t="shared" si="59"/>
        <v>1884053882.8500073</v>
      </c>
      <c r="BB53" s="72">
        <f t="shared" si="60"/>
        <v>594896694.35934579</v>
      </c>
      <c r="BC53" s="39"/>
      <c r="BD53" s="72">
        <f t="shared" si="61"/>
        <v>0</v>
      </c>
      <c r="BE53" s="72">
        <f t="shared" si="62"/>
        <v>0</v>
      </c>
      <c r="BF53" s="39"/>
      <c r="BG53" s="42">
        <f t="shared" si="63"/>
        <v>0</v>
      </c>
      <c r="BH53" s="72">
        <f t="shared" si="64"/>
        <v>0</v>
      </c>
      <c r="BI53" s="39"/>
      <c r="BJ53" s="40" t="str">
        <f t="shared" si="65"/>
        <v/>
      </c>
      <c r="BK53" s="157" t="str">
        <f t="shared" si="66"/>
        <v/>
      </c>
      <c r="BL53" s="157" t="str">
        <f t="shared" si="67"/>
        <v/>
      </c>
      <c r="BM53" s="72"/>
      <c r="BN53" s="72" t="str">
        <f t="shared" si="68"/>
        <v/>
      </c>
      <c r="BO53" s="72" t="str">
        <f t="shared" si="69"/>
        <v/>
      </c>
      <c r="BP53" s="39"/>
      <c r="BQ53" s="72">
        <f t="shared" si="70"/>
        <v>2529450000</v>
      </c>
      <c r="BR53" s="72">
        <f t="shared" si="71"/>
        <v>798682806.9221648</v>
      </c>
    </row>
    <row r="54" spans="1:70" x14ac:dyDescent="0.15">
      <c r="D54" s="84" t="s">
        <v>581</v>
      </c>
      <c r="F54" s="475"/>
      <c r="G54" s="84" t="s">
        <v>549</v>
      </c>
      <c r="I54" s="322">
        <f t="shared" si="72"/>
        <v>2069</v>
      </c>
      <c r="K54" s="71">
        <f t="shared" si="73"/>
        <v>40</v>
      </c>
      <c r="M54" s="7">
        <f t="shared" si="38"/>
        <v>0.30655684077380685</v>
      </c>
      <c r="O54" s="10">
        <f t="shared" si="74"/>
        <v>1.9073486328125E-6</v>
      </c>
      <c r="P54" s="29" t="str">
        <f t="shared" si="39"/>
        <v>-</v>
      </c>
      <c r="R54" s="10">
        <f t="shared" si="75"/>
        <v>9150000000</v>
      </c>
      <c r="T54" s="10">
        <f t="shared" si="40"/>
        <v>9150000000</v>
      </c>
      <c r="V54" s="10">
        <f t="shared" si="41"/>
        <v>0</v>
      </c>
      <c r="W54" s="10">
        <f t="shared" si="42"/>
        <v>0</v>
      </c>
      <c r="Y54" s="10">
        <f t="shared" si="43"/>
        <v>128100000</v>
      </c>
      <c r="Z54" s="10">
        <f t="shared" si="44"/>
        <v>39269931.303124659</v>
      </c>
      <c r="AB54" s="10">
        <f t="shared" si="45"/>
        <v>0</v>
      </c>
      <c r="AC54" s="10">
        <f t="shared" si="46"/>
        <v>0</v>
      </c>
      <c r="AE54" s="10">
        <f t="shared" si="47"/>
        <v>0</v>
      </c>
      <c r="AF54" s="10">
        <f t="shared" si="48"/>
        <v>0</v>
      </c>
      <c r="AH54" s="10">
        <f t="shared" si="49"/>
        <v>440000000.00000006</v>
      </c>
      <c r="AI54" s="10">
        <f t="shared" si="50"/>
        <v>134885009.94047505</v>
      </c>
      <c r="AK54" s="10">
        <f t="shared" si="51"/>
        <v>4392000000</v>
      </c>
      <c r="AL54" s="10">
        <f t="shared" si="52"/>
        <v>1346397644.6785598</v>
      </c>
      <c r="AN54" s="10">
        <f t="shared" si="53"/>
        <v>4026000000.0000005</v>
      </c>
      <c r="AO54" s="10">
        <f t="shared" si="54"/>
        <v>1234197840.9553466</v>
      </c>
      <c r="AQ54" s="10">
        <f t="shared" si="55"/>
        <v>1080676000</v>
      </c>
      <c r="AR54" s="10">
        <f t="shared" si="56"/>
        <v>331288620.46007448</v>
      </c>
      <c r="AT54" s="40">
        <f>IF($K54&lt;=$F$15,IF($F$40&lt;&gt;"",$F$40/1000,IF(ISERROR(VLOOKUP($F$3&amp;IF($G$4&lt;&gt;"",$G$4,"")&amp;IF($F$43&lt;&gt;"","_"&amp;$F$43,""),'表3）燃料価格'!$AF$9:$AG$25,2,0)),0,VLOOKUP($I54,'表3）燃料価格'!$A$6:$W$66,VLOOKUP($F$3&amp;IF($G$4&lt;&gt;"",$G$4,"")&amp;IF($F$43&lt;&gt;"","_"&amp;$F$43,""),'表3）燃料価格'!$AF$9:$AG$25,2,0)+VLOOKUP($F$41,'表3）燃料価格'!$AF$28:$AG$29,2,0),0)*IF($F$43="需要地価格",1,$F$8/$F$141))),"")</f>
        <v>8.6061113977896664</v>
      </c>
      <c r="AV54" s="10">
        <f t="shared" si="57"/>
        <v>10675507613.567871</v>
      </c>
      <c r="AW54" s="10">
        <f t="shared" si="58"/>
        <v>3272649887.6720886</v>
      </c>
      <c r="AY54" s="40">
        <f>IF(ISERROR(IF($K54&lt;=$F$15,VLOOKUP($I54,'表4）CO2価格'!$A$7:$E$67,VLOOKUP($F$48,'表4）CO2価格'!$H$10:$I$12,2,0),0)*$F$8/1000,"")),0,IF($K54&lt;=$F$15,VLOOKUP($I54,'表4）CO2価格'!$A$7:$E$67,VLOOKUP($F$48,'表4）CO2価格'!$H$10:$I$12,2,0),0)*$F$8/1000,""))</f>
        <v>9.3762214345748625</v>
      </c>
      <c r="BA54" s="11">
        <f t="shared" si="59"/>
        <v>1910635567.4183164</v>
      </c>
      <c r="BB54" s="10">
        <f t="shared" si="60"/>
        <v>585718403.41782892</v>
      </c>
      <c r="BD54" s="10">
        <f t="shared" si="61"/>
        <v>0</v>
      </c>
      <c r="BE54" s="10">
        <f t="shared" si="62"/>
        <v>0</v>
      </c>
      <c r="BG54" s="11">
        <f t="shared" si="63"/>
        <v>0</v>
      </c>
      <c r="BH54" s="10">
        <f t="shared" si="64"/>
        <v>0</v>
      </c>
      <c r="BJ54" s="7" t="str">
        <f t="shared" si="65"/>
        <v/>
      </c>
      <c r="BK54" s="158" t="str">
        <f t="shared" si="66"/>
        <v/>
      </c>
      <c r="BL54" s="158" t="str">
        <f t="shared" si="67"/>
        <v/>
      </c>
      <c r="BM54" s="10"/>
      <c r="BN54" s="10" t="str">
        <f t="shared" si="68"/>
        <v/>
      </c>
      <c r="BO54" s="10" t="str">
        <f t="shared" si="69"/>
        <v/>
      </c>
      <c r="BQ54" s="10">
        <f t="shared" si="70"/>
        <v>2529450000</v>
      </c>
      <c r="BR54" s="10">
        <f t="shared" si="71"/>
        <v>775420200.89530575</v>
      </c>
    </row>
    <row r="55" spans="1:70" ht="16.5" x14ac:dyDescent="0.15">
      <c r="D55" s="84" t="s">
        <v>582</v>
      </c>
      <c r="F55" s="475"/>
      <c r="G55" s="71" t="s">
        <v>561</v>
      </c>
      <c r="I55" s="38">
        <f t="shared" si="72"/>
        <v>2070</v>
      </c>
      <c r="J55" s="39"/>
      <c r="K55" s="39">
        <f t="shared" si="73"/>
        <v>41</v>
      </c>
      <c r="L55" s="39"/>
      <c r="M55" s="40">
        <f t="shared" si="38"/>
        <v>0.29762800075126877</v>
      </c>
      <c r="N55" s="39"/>
      <c r="O55" s="72" t="str">
        <f t="shared" si="74"/>
        <v/>
      </c>
      <c r="P55" s="41" t="str">
        <f t="shared" si="39"/>
        <v/>
      </c>
      <c r="Q55" s="39"/>
      <c r="R55" s="72" t="str">
        <f t="shared" si="75"/>
        <v/>
      </c>
      <c r="S55" s="39"/>
      <c r="T55" s="72" t="str">
        <f t="shared" si="40"/>
        <v/>
      </c>
      <c r="U55" s="39"/>
      <c r="V55" s="72" t="str">
        <f t="shared" si="41"/>
        <v/>
      </c>
      <c r="W55" s="72" t="str">
        <f t="shared" si="42"/>
        <v/>
      </c>
      <c r="X55" s="39"/>
      <c r="Y55" s="72" t="str">
        <f t="shared" si="43"/>
        <v/>
      </c>
      <c r="Z55" s="72" t="str">
        <f t="shared" si="44"/>
        <v/>
      </c>
      <c r="AA55" s="39"/>
      <c r="AB55" s="72">
        <f t="shared" si="45"/>
        <v>9150000000</v>
      </c>
      <c r="AC55" s="72">
        <f t="shared" si="46"/>
        <v>2723296206.8741093</v>
      </c>
      <c r="AD55" s="39"/>
      <c r="AE55" s="72" t="str">
        <f t="shared" si="47"/>
        <v/>
      </c>
      <c r="AF55" s="72" t="str">
        <f t="shared" si="48"/>
        <v/>
      </c>
      <c r="AG55" s="39"/>
      <c r="AH55" s="72" t="str">
        <f t="shared" si="49"/>
        <v/>
      </c>
      <c r="AI55" s="72" t="str">
        <f t="shared" si="50"/>
        <v/>
      </c>
      <c r="AJ55" s="39"/>
      <c r="AK55" s="72" t="str">
        <f t="shared" si="51"/>
        <v/>
      </c>
      <c r="AL55" s="72" t="str">
        <f t="shared" si="52"/>
        <v/>
      </c>
      <c r="AM55" s="39"/>
      <c r="AN55" s="72" t="str">
        <f t="shared" si="53"/>
        <v/>
      </c>
      <c r="AO55" s="72" t="str">
        <f t="shared" si="54"/>
        <v/>
      </c>
      <c r="AP55" s="39"/>
      <c r="AQ55" s="72" t="str">
        <f t="shared" si="55"/>
        <v/>
      </c>
      <c r="AR55" s="72" t="str">
        <f t="shared" si="56"/>
        <v/>
      </c>
      <c r="AS55" s="39"/>
      <c r="AT55" s="40"/>
      <c r="AU55" s="39"/>
      <c r="AV55" s="72" t="str">
        <f t="shared" si="57"/>
        <v/>
      </c>
      <c r="AW55" s="72" t="str">
        <f t="shared" si="58"/>
        <v/>
      </c>
      <c r="AX55" s="39"/>
      <c r="AY55" s="40"/>
      <c r="AZ55" s="39"/>
      <c r="BA55" s="42" t="str">
        <f t="shared" si="59"/>
        <v/>
      </c>
      <c r="BB55" s="72" t="str">
        <f t="shared" si="60"/>
        <v/>
      </c>
      <c r="BC55" s="39"/>
      <c r="BD55" s="72" t="str">
        <f t="shared" si="61"/>
        <v/>
      </c>
      <c r="BE55" s="72" t="str">
        <f t="shared" si="62"/>
        <v/>
      </c>
      <c r="BF55" s="39"/>
      <c r="BG55" s="42" t="str">
        <f t="shared" si="63"/>
        <v/>
      </c>
      <c r="BH55" s="72" t="str">
        <f t="shared" si="64"/>
        <v/>
      </c>
      <c r="BI55" s="39"/>
      <c r="BJ55" s="40" t="str">
        <f t="shared" si="65"/>
        <v/>
      </c>
      <c r="BK55" s="157" t="str">
        <f t="shared" si="66"/>
        <v/>
      </c>
      <c r="BL55" s="157" t="str">
        <f t="shared" si="67"/>
        <v/>
      </c>
      <c r="BM55" s="72"/>
      <c r="BN55" s="72" t="str">
        <f t="shared" si="68"/>
        <v/>
      </c>
      <c r="BO55" s="72" t="str">
        <f t="shared" si="69"/>
        <v/>
      </c>
      <c r="BP55" s="39"/>
      <c r="BQ55" s="72" t="str">
        <f t="shared" si="70"/>
        <v/>
      </c>
      <c r="BR55" s="72" t="str">
        <f t="shared" si="71"/>
        <v/>
      </c>
    </row>
    <row r="56" spans="1:70" x14ac:dyDescent="0.15">
      <c r="D56" s="84" t="s">
        <v>583</v>
      </c>
      <c r="F56" s="481"/>
      <c r="G56" s="84" t="s">
        <v>574</v>
      </c>
      <c r="I56" s="322">
        <f t="shared" si="72"/>
        <v>2071</v>
      </c>
      <c r="K56" s="71">
        <f t="shared" si="73"/>
        <v>42</v>
      </c>
      <c r="M56" s="7">
        <f t="shared" si="38"/>
        <v>0.28895922403035801</v>
      </c>
      <c r="O56" s="10" t="str">
        <f t="shared" si="74"/>
        <v/>
      </c>
      <c r="P56" s="29" t="str">
        <f t="shared" si="39"/>
        <v/>
      </c>
      <c r="R56" s="10" t="str">
        <f t="shared" si="75"/>
        <v/>
      </c>
      <c r="T56" s="10" t="str">
        <f t="shared" si="40"/>
        <v/>
      </c>
      <c r="V56" s="10" t="str">
        <f t="shared" si="41"/>
        <v/>
      </c>
      <c r="W56" s="10" t="str">
        <f t="shared" si="42"/>
        <v/>
      </c>
      <c r="Y56" s="10" t="str">
        <f t="shared" si="43"/>
        <v/>
      </c>
      <c r="Z56" s="10" t="str">
        <f t="shared" si="44"/>
        <v/>
      </c>
      <c r="AB56" s="10" t="str">
        <f t="shared" si="45"/>
        <v/>
      </c>
      <c r="AC56" s="10" t="str">
        <f t="shared" si="46"/>
        <v/>
      </c>
      <c r="AE56" s="10" t="str">
        <f t="shared" si="47"/>
        <v/>
      </c>
      <c r="AF56" s="10" t="str">
        <f t="shared" si="48"/>
        <v/>
      </c>
      <c r="AH56" s="10" t="str">
        <f t="shared" si="49"/>
        <v/>
      </c>
      <c r="AI56" s="10" t="str">
        <f t="shared" si="50"/>
        <v/>
      </c>
      <c r="AK56" s="10" t="str">
        <f t="shared" si="51"/>
        <v/>
      </c>
      <c r="AL56" s="10" t="str">
        <f t="shared" si="52"/>
        <v/>
      </c>
      <c r="AN56" s="10" t="str">
        <f t="shared" si="53"/>
        <v/>
      </c>
      <c r="AO56" s="10" t="str">
        <f t="shared" si="54"/>
        <v/>
      </c>
      <c r="AQ56" s="10" t="str">
        <f t="shared" si="55"/>
        <v/>
      </c>
      <c r="AR56" s="10" t="str">
        <f t="shared" si="56"/>
        <v/>
      </c>
      <c r="AT56" s="7"/>
      <c r="AV56" s="10" t="str">
        <f t="shared" si="57"/>
        <v/>
      </c>
      <c r="AW56" s="10" t="str">
        <f t="shared" si="58"/>
        <v/>
      </c>
      <c r="AY56" s="7"/>
      <c r="BA56" s="11" t="str">
        <f t="shared" si="59"/>
        <v/>
      </c>
      <c r="BB56" s="10" t="str">
        <f t="shared" si="60"/>
        <v/>
      </c>
      <c r="BD56" s="10" t="str">
        <f t="shared" si="61"/>
        <v/>
      </c>
      <c r="BE56" s="10" t="str">
        <f t="shared" si="62"/>
        <v/>
      </c>
      <c r="BG56" s="11" t="str">
        <f t="shared" si="63"/>
        <v/>
      </c>
      <c r="BH56" s="10" t="str">
        <f t="shared" si="64"/>
        <v/>
      </c>
      <c r="BJ56" s="7" t="str">
        <f t="shared" si="65"/>
        <v/>
      </c>
      <c r="BK56" s="158" t="str">
        <f t="shared" si="66"/>
        <v/>
      </c>
      <c r="BL56" s="158" t="str">
        <f t="shared" si="67"/>
        <v/>
      </c>
      <c r="BM56" s="10"/>
      <c r="BN56" s="10" t="str">
        <f t="shared" si="68"/>
        <v/>
      </c>
      <c r="BO56" s="10" t="str">
        <f t="shared" si="69"/>
        <v/>
      </c>
      <c r="BQ56" s="10" t="str">
        <f t="shared" si="70"/>
        <v/>
      </c>
      <c r="BR56" s="10" t="str">
        <f t="shared" si="71"/>
        <v/>
      </c>
    </row>
    <row r="57" spans="1:70" x14ac:dyDescent="0.15">
      <c r="I57" s="38">
        <f t="shared" si="72"/>
        <v>2072</v>
      </c>
      <c r="J57" s="39"/>
      <c r="K57" s="39">
        <f t="shared" si="73"/>
        <v>43</v>
      </c>
      <c r="L57" s="39"/>
      <c r="M57" s="40">
        <f t="shared" si="38"/>
        <v>0.28054293595180391</v>
      </c>
      <c r="N57" s="39"/>
      <c r="O57" s="72" t="str">
        <f t="shared" si="74"/>
        <v/>
      </c>
      <c r="P57" s="41" t="str">
        <f t="shared" si="39"/>
        <v/>
      </c>
      <c r="Q57" s="39"/>
      <c r="R57" s="72" t="str">
        <f t="shared" si="75"/>
        <v/>
      </c>
      <c r="S57" s="39"/>
      <c r="T57" s="72" t="str">
        <f t="shared" si="40"/>
        <v/>
      </c>
      <c r="U57" s="39"/>
      <c r="V57" s="72" t="str">
        <f t="shared" si="41"/>
        <v/>
      </c>
      <c r="W57" s="72" t="str">
        <f t="shared" si="42"/>
        <v/>
      </c>
      <c r="X57" s="39"/>
      <c r="Y57" s="72" t="str">
        <f t="shared" si="43"/>
        <v/>
      </c>
      <c r="Z57" s="72" t="str">
        <f t="shared" si="44"/>
        <v/>
      </c>
      <c r="AA57" s="39"/>
      <c r="AB57" s="72" t="str">
        <f t="shared" si="45"/>
        <v/>
      </c>
      <c r="AC57" s="72" t="str">
        <f t="shared" si="46"/>
        <v/>
      </c>
      <c r="AD57" s="39"/>
      <c r="AE57" s="72" t="str">
        <f t="shared" si="47"/>
        <v/>
      </c>
      <c r="AF57" s="72" t="str">
        <f t="shared" si="48"/>
        <v/>
      </c>
      <c r="AG57" s="39"/>
      <c r="AH57" s="72" t="str">
        <f t="shared" si="49"/>
        <v/>
      </c>
      <c r="AI57" s="72" t="str">
        <f t="shared" si="50"/>
        <v/>
      </c>
      <c r="AJ57" s="39"/>
      <c r="AK57" s="72" t="str">
        <f t="shared" si="51"/>
        <v/>
      </c>
      <c r="AL57" s="72" t="str">
        <f t="shared" si="52"/>
        <v/>
      </c>
      <c r="AM57" s="39"/>
      <c r="AN57" s="72" t="str">
        <f t="shared" si="53"/>
        <v/>
      </c>
      <c r="AO57" s="72" t="str">
        <f t="shared" si="54"/>
        <v/>
      </c>
      <c r="AP57" s="39"/>
      <c r="AQ57" s="72" t="str">
        <f t="shared" si="55"/>
        <v/>
      </c>
      <c r="AR57" s="72" t="str">
        <f t="shared" si="56"/>
        <v/>
      </c>
      <c r="AS57" s="39"/>
      <c r="AT57" s="40"/>
      <c r="AU57" s="39"/>
      <c r="AV57" s="72" t="str">
        <f t="shared" si="57"/>
        <v/>
      </c>
      <c r="AW57" s="72" t="str">
        <f t="shared" si="58"/>
        <v/>
      </c>
      <c r="AX57" s="39"/>
      <c r="AY57" s="40"/>
      <c r="AZ57" s="39"/>
      <c r="BA57" s="42" t="str">
        <f t="shared" si="59"/>
        <v/>
      </c>
      <c r="BB57" s="72" t="str">
        <f t="shared" si="60"/>
        <v/>
      </c>
      <c r="BC57" s="39"/>
      <c r="BD57" s="72" t="str">
        <f t="shared" si="61"/>
        <v/>
      </c>
      <c r="BE57" s="72" t="str">
        <f t="shared" si="62"/>
        <v/>
      </c>
      <c r="BF57" s="39"/>
      <c r="BG57" s="42" t="str">
        <f t="shared" si="63"/>
        <v/>
      </c>
      <c r="BH57" s="72" t="str">
        <f t="shared" si="64"/>
        <v/>
      </c>
      <c r="BI57" s="39"/>
      <c r="BJ57" s="40" t="str">
        <f t="shared" si="65"/>
        <v/>
      </c>
      <c r="BK57" s="157" t="str">
        <f t="shared" si="66"/>
        <v/>
      </c>
      <c r="BL57" s="157" t="str">
        <f t="shared" si="67"/>
        <v/>
      </c>
      <c r="BM57" s="72"/>
      <c r="BN57" s="72" t="str">
        <f t="shared" si="68"/>
        <v/>
      </c>
      <c r="BO57" s="72" t="str">
        <f t="shared" si="69"/>
        <v/>
      </c>
      <c r="BP57" s="39"/>
      <c r="BQ57" s="72" t="str">
        <f t="shared" si="70"/>
        <v/>
      </c>
      <c r="BR57" s="72" t="str">
        <f t="shared" si="71"/>
        <v/>
      </c>
    </row>
    <row r="58" spans="1:70" x14ac:dyDescent="0.15">
      <c r="C58" s="4" t="s">
        <v>584</v>
      </c>
      <c r="D58" s="100"/>
      <c r="E58" s="100"/>
      <c r="F58" s="4"/>
      <c r="G58" s="100"/>
      <c r="I58" s="322">
        <f t="shared" si="72"/>
        <v>2073</v>
      </c>
      <c r="K58" s="71">
        <f t="shared" si="73"/>
        <v>44</v>
      </c>
      <c r="M58" s="7">
        <f t="shared" si="38"/>
        <v>0.27237178247747956</v>
      </c>
      <c r="O58" s="10" t="str">
        <f t="shared" si="74"/>
        <v/>
      </c>
      <c r="P58" s="29" t="str">
        <f t="shared" si="39"/>
        <v/>
      </c>
      <c r="R58" s="10" t="str">
        <f t="shared" si="75"/>
        <v/>
      </c>
      <c r="T58" s="10" t="str">
        <f t="shared" si="40"/>
        <v/>
      </c>
      <c r="V58" s="10" t="str">
        <f t="shared" si="41"/>
        <v/>
      </c>
      <c r="W58" s="10" t="str">
        <f t="shared" si="42"/>
        <v/>
      </c>
      <c r="Y58" s="10" t="str">
        <f t="shared" si="43"/>
        <v/>
      </c>
      <c r="Z58" s="10" t="str">
        <f t="shared" si="44"/>
        <v/>
      </c>
      <c r="AB58" s="10" t="str">
        <f t="shared" si="45"/>
        <v/>
      </c>
      <c r="AC58" s="10" t="str">
        <f t="shared" si="46"/>
        <v/>
      </c>
      <c r="AE58" s="10" t="str">
        <f t="shared" si="47"/>
        <v/>
      </c>
      <c r="AF58" s="10" t="str">
        <f t="shared" si="48"/>
        <v/>
      </c>
      <c r="AH58" s="10" t="str">
        <f t="shared" si="49"/>
        <v/>
      </c>
      <c r="AI58" s="10" t="str">
        <f t="shared" si="50"/>
        <v/>
      </c>
      <c r="AK58" s="10" t="str">
        <f t="shared" si="51"/>
        <v/>
      </c>
      <c r="AL58" s="10" t="str">
        <f t="shared" si="52"/>
        <v/>
      </c>
      <c r="AN58" s="10" t="str">
        <f t="shared" si="53"/>
        <v/>
      </c>
      <c r="AO58" s="10" t="str">
        <f t="shared" si="54"/>
        <v/>
      </c>
      <c r="AQ58" s="10" t="str">
        <f t="shared" si="55"/>
        <v/>
      </c>
      <c r="AR58" s="10" t="str">
        <f t="shared" si="56"/>
        <v/>
      </c>
      <c r="AT58" s="7"/>
      <c r="AV58" s="10" t="str">
        <f t="shared" si="57"/>
        <v/>
      </c>
      <c r="AW58" s="10" t="str">
        <f t="shared" si="58"/>
        <v/>
      </c>
      <c r="AY58" s="7"/>
      <c r="BA58" s="11" t="str">
        <f t="shared" si="59"/>
        <v/>
      </c>
      <c r="BB58" s="10" t="str">
        <f t="shared" si="60"/>
        <v/>
      </c>
      <c r="BD58" s="10" t="str">
        <f t="shared" si="61"/>
        <v/>
      </c>
      <c r="BE58" s="10" t="str">
        <f t="shared" si="62"/>
        <v/>
      </c>
      <c r="BG58" s="11" t="str">
        <f t="shared" si="63"/>
        <v/>
      </c>
      <c r="BH58" s="10" t="str">
        <f t="shared" si="64"/>
        <v/>
      </c>
      <c r="BJ58" s="7" t="str">
        <f t="shared" si="65"/>
        <v/>
      </c>
      <c r="BK58" s="158" t="str">
        <f t="shared" si="66"/>
        <v/>
      </c>
      <c r="BL58" s="158" t="str">
        <f t="shared" si="67"/>
        <v/>
      </c>
      <c r="BM58" s="10"/>
      <c r="BN58" s="10" t="str">
        <f t="shared" si="68"/>
        <v/>
      </c>
      <c r="BO58" s="10" t="str">
        <f t="shared" si="69"/>
        <v/>
      </c>
      <c r="BQ58" s="10" t="str">
        <f t="shared" si="70"/>
        <v/>
      </c>
      <c r="BR58" s="10" t="str">
        <f t="shared" si="71"/>
        <v/>
      </c>
    </row>
    <row r="59" spans="1:70" x14ac:dyDescent="0.15">
      <c r="I59" s="38">
        <f t="shared" si="72"/>
        <v>2074</v>
      </c>
      <c r="J59" s="39"/>
      <c r="K59" s="39">
        <f t="shared" si="73"/>
        <v>45</v>
      </c>
      <c r="L59" s="39"/>
      <c r="M59" s="40">
        <f t="shared" si="38"/>
        <v>0.26443862376454325</v>
      </c>
      <c r="N59" s="39"/>
      <c r="O59" s="72" t="str">
        <f t="shared" si="74"/>
        <v/>
      </c>
      <c r="P59" s="41" t="str">
        <f t="shared" si="39"/>
        <v/>
      </c>
      <c r="Q59" s="39"/>
      <c r="R59" s="72" t="str">
        <f t="shared" si="75"/>
        <v/>
      </c>
      <c r="S59" s="39"/>
      <c r="T59" s="72" t="str">
        <f t="shared" si="40"/>
        <v/>
      </c>
      <c r="U59" s="39"/>
      <c r="V59" s="72" t="str">
        <f t="shared" si="41"/>
        <v/>
      </c>
      <c r="W59" s="72" t="str">
        <f t="shared" si="42"/>
        <v/>
      </c>
      <c r="X59" s="39"/>
      <c r="Y59" s="72" t="str">
        <f t="shared" si="43"/>
        <v/>
      </c>
      <c r="Z59" s="72" t="str">
        <f t="shared" si="44"/>
        <v/>
      </c>
      <c r="AA59" s="39"/>
      <c r="AB59" s="72" t="str">
        <f t="shared" si="45"/>
        <v/>
      </c>
      <c r="AC59" s="72" t="str">
        <f t="shared" si="46"/>
        <v/>
      </c>
      <c r="AD59" s="39"/>
      <c r="AE59" s="72" t="str">
        <f t="shared" si="47"/>
        <v/>
      </c>
      <c r="AF59" s="72" t="str">
        <f t="shared" si="48"/>
        <v/>
      </c>
      <c r="AG59" s="39"/>
      <c r="AH59" s="72" t="str">
        <f t="shared" si="49"/>
        <v/>
      </c>
      <c r="AI59" s="72" t="str">
        <f t="shared" si="50"/>
        <v/>
      </c>
      <c r="AJ59" s="39"/>
      <c r="AK59" s="72" t="str">
        <f t="shared" si="51"/>
        <v/>
      </c>
      <c r="AL59" s="72" t="str">
        <f t="shared" si="52"/>
        <v/>
      </c>
      <c r="AM59" s="39"/>
      <c r="AN59" s="72" t="str">
        <f t="shared" si="53"/>
        <v/>
      </c>
      <c r="AO59" s="72" t="str">
        <f t="shared" si="54"/>
        <v/>
      </c>
      <c r="AP59" s="39"/>
      <c r="AQ59" s="72" t="str">
        <f t="shared" si="55"/>
        <v/>
      </c>
      <c r="AR59" s="72" t="str">
        <f t="shared" si="56"/>
        <v/>
      </c>
      <c r="AS59" s="39"/>
      <c r="AT59" s="40"/>
      <c r="AU59" s="39"/>
      <c r="AV59" s="72" t="str">
        <f t="shared" si="57"/>
        <v/>
      </c>
      <c r="AW59" s="72" t="str">
        <f t="shared" si="58"/>
        <v/>
      </c>
      <c r="AX59" s="39"/>
      <c r="AY59" s="40"/>
      <c r="AZ59" s="39"/>
      <c r="BA59" s="42" t="str">
        <f t="shared" si="59"/>
        <v/>
      </c>
      <c r="BB59" s="72" t="str">
        <f t="shared" si="60"/>
        <v/>
      </c>
      <c r="BC59" s="39"/>
      <c r="BD59" s="72" t="str">
        <f t="shared" si="61"/>
        <v/>
      </c>
      <c r="BE59" s="72" t="str">
        <f t="shared" si="62"/>
        <v/>
      </c>
      <c r="BF59" s="39"/>
      <c r="BG59" s="42" t="str">
        <f t="shared" si="63"/>
        <v/>
      </c>
      <c r="BH59" s="72" t="str">
        <f t="shared" si="64"/>
        <v/>
      </c>
      <c r="BI59" s="39"/>
      <c r="BJ59" s="40" t="str">
        <f t="shared" si="65"/>
        <v/>
      </c>
      <c r="BK59" s="157" t="str">
        <f t="shared" si="66"/>
        <v/>
      </c>
      <c r="BL59" s="157" t="str">
        <f t="shared" si="67"/>
        <v/>
      </c>
      <c r="BM59" s="72"/>
      <c r="BN59" s="72" t="str">
        <f t="shared" si="68"/>
        <v/>
      </c>
      <c r="BO59" s="72" t="str">
        <f t="shared" si="69"/>
        <v/>
      </c>
      <c r="BP59" s="39"/>
      <c r="BQ59" s="72" t="str">
        <f t="shared" si="70"/>
        <v/>
      </c>
      <c r="BR59" s="72" t="str">
        <f t="shared" si="71"/>
        <v/>
      </c>
    </row>
    <row r="60" spans="1:70" x14ac:dyDescent="0.15">
      <c r="D60" s="84" t="s">
        <v>585</v>
      </c>
      <c r="F60" s="481"/>
      <c r="G60" s="84" t="s">
        <v>566</v>
      </c>
      <c r="I60" s="322">
        <f t="shared" si="72"/>
        <v>2075</v>
      </c>
      <c r="K60" s="71">
        <f t="shared" si="73"/>
        <v>46</v>
      </c>
      <c r="M60" s="7">
        <f t="shared" si="38"/>
        <v>0.25673652792674101</v>
      </c>
      <c r="O60" s="10" t="str">
        <f t="shared" si="74"/>
        <v/>
      </c>
      <c r="P60" s="29" t="str">
        <f t="shared" si="39"/>
        <v/>
      </c>
      <c r="R60" s="10" t="str">
        <f t="shared" si="75"/>
        <v/>
      </c>
      <c r="T60" s="10" t="str">
        <f t="shared" si="40"/>
        <v/>
      </c>
      <c r="V60" s="10" t="str">
        <f t="shared" si="41"/>
        <v/>
      </c>
      <c r="W60" s="10" t="str">
        <f t="shared" si="42"/>
        <v/>
      </c>
      <c r="Y60" s="10" t="str">
        <f t="shared" si="43"/>
        <v/>
      </c>
      <c r="Z60" s="10" t="str">
        <f t="shared" si="44"/>
        <v/>
      </c>
      <c r="AB60" s="10" t="str">
        <f t="shared" si="45"/>
        <v/>
      </c>
      <c r="AC60" s="10" t="str">
        <f t="shared" si="46"/>
        <v/>
      </c>
      <c r="AE60" s="10" t="str">
        <f t="shared" si="47"/>
        <v/>
      </c>
      <c r="AF60" s="10" t="str">
        <f t="shared" si="48"/>
        <v/>
      </c>
      <c r="AH60" s="10" t="str">
        <f t="shared" si="49"/>
        <v/>
      </c>
      <c r="AI60" s="10" t="str">
        <f t="shared" si="50"/>
        <v/>
      </c>
      <c r="AK60" s="10" t="str">
        <f t="shared" si="51"/>
        <v/>
      </c>
      <c r="AL60" s="10" t="str">
        <f t="shared" si="52"/>
        <v/>
      </c>
      <c r="AN60" s="10" t="str">
        <f t="shared" si="53"/>
        <v/>
      </c>
      <c r="AO60" s="10" t="str">
        <f t="shared" si="54"/>
        <v/>
      </c>
      <c r="AQ60" s="10" t="str">
        <f t="shared" si="55"/>
        <v/>
      </c>
      <c r="AR60" s="10" t="str">
        <f t="shared" si="56"/>
        <v/>
      </c>
      <c r="AT60" s="7"/>
      <c r="AV60" s="10" t="str">
        <f t="shared" si="57"/>
        <v/>
      </c>
      <c r="AW60" s="10" t="str">
        <f t="shared" si="58"/>
        <v/>
      </c>
      <c r="AY60" s="7"/>
      <c r="BA60" s="11" t="str">
        <f t="shared" si="59"/>
        <v/>
      </c>
      <c r="BB60" s="10" t="str">
        <f t="shared" si="60"/>
        <v/>
      </c>
      <c r="BD60" s="10" t="str">
        <f t="shared" si="61"/>
        <v/>
      </c>
      <c r="BE60" s="10" t="str">
        <f t="shared" si="62"/>
        <v/>
      </c>
      <c r="BG60" s="11" t="str">
        <f t="shared" si="63"/>
        <v/>
      </c>
      <c r="BH60" s="10" t="str">
        <f t="shared" si="64"/>
        <v/>
      </c>
      <c r="BJ60" s="7" t="str">
        <f t="shared" si="65"/>
        <v/>
      </c>
      <c r="BK60" s="158" t="str">
        <f t="shared" si="66"/>
        <v/>
      </c>
      <c r="BL60" s="158" t="str">
        <f t="shared" si="67"/>
        <v/>
      </c>
      <c r="BM60" s="10"/>
      <c r="BN60" s="10" t="str">
        <f t="shared" si="68"/>
        <v/>
      </c>
      <c r="BO60" s="10" t="str">
        <f t="shared" si="69"/>
        <v/>
      </c>
      <c r="BQ60" s="10" t="str">
        <f t="shared" si="70"/>
        <v/>
      </c>
      <c r="BR60" s="10" t="str">
        <f t="shared" si="71"/>
        <v/>
      </c>
    </row>
    <row r="61" spans="1:70" x14ac:dyDescent="0.15">
      <c r="D61" s="84" t="s">
        <v>586</v>
      </c>
      <c r="F61" s="475"/>
      <c r="G61" s="84" t="s">
        <v>556</v>
      </c>
      <c r="I61" s="38">
        <f t="shared" si="72"/>
        <v>2076</v>
      </c>
      <c r="J61" s="39"/>
      <c r="K61" s="39">
        <f t="shared" si="73"/>
        <v>47</v>
      </c>
      <c r="L61" s="39"/>
      <c r="M61" s="40">
        <f t="shared" si="38"/>
        <v>0.24925876497741845</v>
      </c>
      <c r="N61" s="39"/>
      <c r="O61" s="72" t="str">
        <f t="shared" si="74"/>
        <v/>
      </c>
      <c r="P61" s="41" t="str">
        <f t="shared" si="39"/>
        <v/>
      </c>
      <c r="Q61" s="39"/>
      <c r="R61" s="72" t="str">
        <f t="shared" si="75"/>
        <v/>
      </c>
      <c r="S61" s="39"/>
      <c r="T61" s="72" t="str">
        <f t="shared" si="40"/>
        <v/>
      </c>
      <c r="U61" s="39"/>
      <c r="V61" s="72" t="str">
        <f t="shared" si="41"/>
        <v/>
      </c>
      <c r="W61" s="72" t="str">
        <f t="shared" si="42"/>
        <v/>
      </c>
      <c r="X61" s="39"/>
      <c r="Y61" s="72" t="str">
        <f t="shared" si="43"/>
        <v/>
      </c>
      <c r="Z61" s="72" t="str">
        <f t="shared" si="44"/>
        <v/>
      </c>
      <c r="AA61" s="39"/>
      <c r="AB61" s="72" t="str">
        <f t="shared" si="45"/>
        <v/>
      </c>
      <c r="AC61" s="72" t="str">
        <f t="shared" si="46"/>
        <v/>
      </c>
      <c r="AD61" s="39"/>
      <c r="AE61" s="72" t="str">
        <f t="shared" si="47"/>
        <v/>
      </c>
      <c r="AF61" s="72" t="str">
        <f t="shared" si="48"/>
        <v/>
      </c>
      <c r="AG61" s="39"/>
      <c r="AH61" s="72" t="str">
        <f t="shared" si="49"/>
        <v/>
      </c>
      <c r="AI61" s="72" t="str">
        <f t="shared" si="50"/>
        <v/>
      </c>
      <c r="AJ61" s="39"/>
      <c r="AK61" s="72" t="str">
        <f t="shared" si="51"/>
        <v/>
      </c>
      <c r="AL61" s="72" t="str">
        <f t="shared" si="52"/>
        <v/>
      </c>
      <c r="AM61" s="39"/>
      <c r="AN61" s="72" t="str">
        <f t="shared" si="53"/>
        <v/>
      </c>
      <c r="AO61" s="72" t="str">
        <f t="shared" si="54"/>
        <v/>
      </c>
      <c r="AP61" s="39"/>
      <c r="AQ61" s="72" t="str">
        <f t="shared" si="55"/>
        <v/>
      </c>
      <c r="AR61" s="72" t="str">
        <f t="shared" si="56"/>
        <v/>
      </c>
      <c r="AS61" s="39"/>
      <c r="AT61" s="40"/>
      <c r="AU61" s="39"/>
      <c r="AV61" s="72" t="str">
        <f t="shared" si="57"/>
        <v/>
      </c>
      <c r="AW61" s="72" t="str">
        <f t="shared" si="58"/>
        <v/>
      </c>
      <c r="AX61" s="39"/>
      <c r="AY61" s="40"/>
      <c r="AZ61" s="39"/>
      <c r="BA61" s="42" t="str">
        <f t="shared" si="59"/>
        <v/>
      </c>
      <c r="BB61" s="72" t="str">
        <f t="shared" si="60"/>
        <v/>
      </c>
      <c r="BC61" s="39"/>
      <c r="BD61" s="72" t="str">
        <f t="shared" si="61"/>
        <v/>
      </c>
      <c r="BE61" s="72" t="str">
        <f t="shared" si="62"/>
        <v/>
      </c>
      <c r="BF61" s="39"/>
      <c r="BG61" s="42" t="str">
        <f t="shared" si="63"/>
        <v/>
      </c>
      <c r="BH61" s="72" t="str">
        <f t="shared" si="64"/>
        <v/>
      </c>
      <c r="BI61" s="39"/>
      <c r="BJ61" s="40" t="str">
        <f t="shared" si="65"/>
        <v/>
      </c>
      <c r="BK61" s="157" t="str">
        <f t="shared" si="66"/>
        <v/>
      </c>
      <c r="BL61" s="157" t="str">
        <f t="shared" si="67"/>
        <v/>
      </c>
      <c r="BM61" s="72"/>
      <c r="BN61" s="72" t="str">
        <f t="shared" si="68"/>
        <v/>
      </c>
      <c r="BO61" s="72" t="str">
        <f t="shared" si="69"/>
        <v/>
      </c>
      <c r="BP61" s="39"/>
      <c r="BQ61" s="72" t="str">
        <f t="shared" si="70"/>
        <v/>
      </c>
      <c r="BR61" s="72" t="str">
        <f t="shared" si="71"/>
        <v/>
      </c>
    </row>
    <row r="62" spans="1:70" x14ac:dyDescent="0.15">
      <c r="D62" s="84" t="s">
        <v>587</v>
      </c>
      <c r="F62" s="481"/>
      <c r="G62" s="84" t="s">
        <v>588</v>
      </c>
      <c r="I62" s="322">
        <f t="shared" si="72"/>
        <v>2077</v>
      </c>
      <c r="K62" s="71">
        <f t="shared" si="73"/>
        <v>48</v>
      </c>
      <c r="M62" s="7">
        <f t="shared" si="38"/>
        <v>0.24199880094894996</v>
      </c>
      <c r="O62" s="10" t="str">
        <f t="shared" si="74"/>
        <v/>
      </c>
      <c r="P62" s="29" t="str">
        <f t="shared" si="39"/>
        <v/>
      </c>
      <c r="R62" s="10" t="str">
        <f t="shared" si="75"/>
        <v/>
      </c>
      <c r="T62" s="10" t="str">
        <f t="shared" si="40"/>
        <v/>
      </c>
      <c r="V62" s="10" t="str">
        <f t="shared" si="41"/>
        <v/>
      </c>
      <c r="W62" s="10" t="str">
        <f t="shared" si="42"/>
        <v/>
      </c>
      <c r="Y62" s="10" t="str">
        <f t="shared" si="43"/>
        <v/>
      </c>
      <c r="Z62" s="10" t="str">
        <f t="shared" si="44"/>
        <v/>
      </c>
      <c r="AB62" s="10" t="str">
        <f t="shared" si="45"/>
        <v/>
      </c>
      <c r="AC62" s="10" t="str">
        <f t="shared" si="46"/>
        <v/>
      </c>
      <c r="AE62" s="10" t="str">
        <f t="shared" si="47"/>
        <v/>
      </c>
      <c r="AF62" s="10" t="str">
        <f t="shared" si="48"/>
        <v/>
      </c>
      <c r="AH62" s="10" t="str">
        <f t="shared" si="49"/>
        <v/>
      </c>
      <c r="AI62" s="10" t="str">
        <f t="shared" si="50"/>
        <v/>
      </c>
      <c r="AK62" s="10" t="str">
        <f t="shared" si="51"/>
        <v/>
      </c>
      <c r="AL62" s="10" t="str">
        <f t="shared" si="52"/>
        <v/>
      </c>
      <c r="AN62" s="10" t="str">
        <f t="shared" si="53"/>
        <v/>
      </c>
      <c r="AO62" s="10" t="str">
        <f t="shared" si="54"/>
        <v/>
      </c>
      <c r="AQ62" s="10" t="str">
        <f t="shared" si="55"/>
        <v/>
      </c>
      <c r="AR62" s="10" t="str">
        <f t="shared" si="56"/>
        <v/>
      </c>
      <c r="AT62" s="7"/>
      <c r="AV62" s="10" t="str">
        <f t="shared" si="57"/>
        <v/>
      </c>
      <c r="AW62" s="10" t="str">
        <f t="shared" si="58"/>
        <v/>
      </c>
      <c r="AY62" s="7"/>
      <c r="BA62" s="11" t="str">
        <f t="shared" si="59"/>
        <v/>
      </c>
      <c r="BB62" s="10" t="str">
        <f t="shared" si="60"/>
        <v/>
      </c>
      <c r="BD62" s="10" t="str">
        <f t="shared" si="61"/>
        <v/>
      </c>
      <c r="BE62" s="10" t="str">
        <f t="shared" si="62"/>
        <v/>
      </c>
      <c r="BG62" s="11" t="str">
        <f t="shared" si="63"/>
        <v/>
      </c>
      <c r="BH62" s="10" t="str">
        <f t="shared" si="64"/>
        <v/>
      </c>
      <c r="BJ62" s="7" t="str">
        <f t="shared" si="65"/>
        <v/>
      </c>
      <c r="BK62" s="158" t="str">
        <f t="shared" si="66"/>
        <v/>
      </c>
      <c r="BL62" s="158" t="str">
        <f t="shared" si="67"/>
        <v/>
      </c>
      <c r="BM62" s="10"/>
      <c r="BN62" s="10" t="str">
        <f t="shared" si="68"/>
        <v/>
      </c>
      <c r="BO62" s="10" t="str">
        <f t="shared" si="69"/>
        <v/>
      </c>
      <c r="BQ62" s="10" t="str">
        <f t="shared" si="70"/>
        <v/>
      </c>
      <c r="BR62" s="10" t="str">
        <f t="shared" si="71"/>
        <v/>
      </c>
    </row>
    <row r="63" spans="1:70" x14ac:dyDescent="0.15">
      <c r="I63" s="38">
        <f t="shared" si="72"/>
        <v>2078</v>
      </c>
      <c r="J63" s="39"/>
      <c r="K63" s="39">
        <f t="shared" si="73"/>
        <v>49</v>
      </c>
      <c r="L63" s="39"/>
      <c r="M63" s="40">
        <f t="shared" si="38"/>
        <v>0.2349502921834466</v>
      </c>
      <c r="N63" s="39"/>
      <c r="O63" s="72" t="str">
        <f t="shared" si="74"/>
        <v/>
      </c>
      <c r="P63" s="41" t="str">
        <f t="shared" si="39"/>
        <v/>
      </c>
      <c r="Q63" s="39"/>
      <c r="R63" s="72" t="str">
        <f t="shared" si="75"/>
        <v/>
      </c>
      <c r="S63" s="39"/>
      <c r="T63" s="72" t="str">
        <f t="shared" si="40"/>
        <v/>
      </c>
      <c r="U63" s="39"/>
      <c r="V63" s="72" t="str">
        <f t="shared" si="41"/>
        <v/>
      </c>
      <c r="W63" s="72" t="str">
        <f t="shared" si="42"/>
        <v/>
      </c>
      <c r="X63" s="39"/>
      <c r="Y63" s="72" t="str">
        <f t="shared" si="43"/>
        <v/>
      </c>
      <c r="Z63" s="72" t="str">
        <f t="shared" si="44"/>
        <v/>
      </c>
      <c r="AA63" s="39"/>
      <c r="AB63" s="72" t="str">
        <f t="shared" si="45"/>
        <v/>
      </c>
      <c r="AC63" s="72" t="str">
        <f t="shared" si="46"/>
        <v/>
      </c>
      <c r="AD63" s="39"/>
      <c r="AE63" s="72" t="str">
        <f t="shared" si="47"/>
        <v/>
      </c>
      <c r="AF63" s="72" t="str">
        <f t="shared" si="48"/>
        <v/>
      </c>
      <c r="AG63" s="39"/>
      <c r="AH63" s="72" t="str">
        <f t="shared" si="49"/>
        <v/>
      </c>
      <c r="AI63" s="72" t="str">
        <f t="shared" si="50"/>
        <v/>
      </c>
      <c r="AJ63" s="39"/>
      <c r="AK63" s="72" t="str">
        <f t="shared" si="51"/>
        <v/>
      </c>
      <c r="AL63" s="72" t="str">
        <f t="shared" si="52"/>
        <v/>
      </c>
      <c r="AM63" s="39"/>
      <c r="AN63" s="72" t="str">
        <f t="shared" si="53"/>
        <v/>
      </c>
      <c r="AO63" s="72" t="str">
        <f t="shared" si="54"/>
        <v/>
      </c>
      <c r="AP63" s="39"/>
      <c r="AQ63" s="72" t="str">
        <f t="shared" si="55"/>
        <v/>
      </c>
      <c r="AR63" s="72" t="str">
        <f t="shared" si="56"/>
        <v/>
      </c>
      <c r="AS63" s="39"/>
      <c r="AT63" s="40"/>
      <c r="AU63" s="39"/>
      <c r="AV63" s="72" t="str">
        <f t="shared" si="57"/>
        <v/>
      </c>
      <c r="AW63" s="72" t="str">
        <f t="shared" si="58"/>
        <v/>
      </c>
      <c r="AX63" s="39"/>
      <c r="AY63" s="40"/>
      <c r="AZ63" s="39"/>
      <c r="BA63" s="42" t="str">
        <f t="shared" si="59"/>
        <v/>
      </c>
      <c r="BB63" s="72" t="str">
        <f t="shared" si="60"/>
        <v/>
      </c>
      <c r="BC63" s="39"/>
      <c r="BD63" s="72" t="str">
        <f t="shared" si="61"/>
        <v/>
      </c>
      <c r="BE63" s="72" t="str">
        <f t="shared" si="62"/>
        <v/>
      </c>
      <c r="BF63" s="39"/>
      <c r="BG63" s="42" t="str">
        <f t="shared" si="63"/>
        <v/>
      </c>
      <c r="BH63" s="72" t="str">
        <f t="shared" si="64"/>
        <v/>
      </c>
      <c r="BI63" s="39"/>
      <c r="BJ63" s="40" t="str">
        <f t="shared" si="65"/>
        <v/>
      </c>
      <c r="BK63" s="157" t="str">
        <f t="shared" si="66"/>
        <v/>
      </c>
      <c r="BL63" s="157" t="str">
        <f t="shared" si="67"/>
        <v/>
      </c>
      <c r="BM63" s="72"/>
      <c r="BN63" s="72" t="str">
        <f t="shared" si="68"/>
        <v/>
      </c>
      <c r="BO63" s="72" t="str">
        <f t="shared" si="69"/>
        <v/>
      </c>
      <c r="BP63" s="39"/>
      <c r="BQ63" s="72" t="str">
        <f t="shared" si="70"/>
        <v/>
      </c>
      <c r="BR63" s="72" t="str">
        <f t="shared" si="71"/>
        <v/>
      </c>
    </row>
    <row r="64" spans="1:70" x14ac:dyDescent="0.15">
      <c r="C64" s="71" t="s">
        <v>589</v>
      </c>
      <c r="F64" s="477">
        <v>7.0000000000000007E-2</v>
      </c>
      <c r="G64" s="84" t="s">
        <v>590</v>
      </c>
      <c r="I64" s="322">
        <f t="shared" si="72"/>
        <v>2079</v>
      </c>
      <c r="K64" s="71">
        <f t="shared" si="73"/>
        <v>50</v>
      </c>
      <c r="M64" s="7">
        <f t="shared" si="38"/>
        <v>0.22810707978975397</v>
      </c>
      <c r="O64" s="10" t="str">
        <f t="shared" si="74"/>
        <v/>
      </c>
      <c r="P64" s="29" t="str">
        <f t="shared" si="39"/>
        <v/>
      </c>
      <c r="R64" s="10" t="str">
        <f t="shared" si="75"/>
        <v/>
      </c>
      <c r="T64" s="10" t="str">
        <f t="shared" si="40"/>
        <v/>
      </c>
      <c r="V64" s="10" t="str">
        <f t="shared" si="41"/>
        <v/>
      </c>
      <c r="W64" s="10" t="str">
        <f t="shared" si="42"/>
        <v/>
      </c>
      <c r="Y64" s="10" t="str">
        <f t="shared" si="43"/>
        <v/>
      </c>
      <c r="Z64" s="10" t="str">
        <f t="shared" si="44"/>
        <v/>
      </c>
      <c r="AB64" s="10" t="str">
        <f t="shared" si="45"/>
        <v/>
      </c>
      <c r="AC64" s="10" t="str">
        <f t="shared" si="46"/>
        <v/>
      </c>
      <c r="AE64" s="10" t="str">
        <f t="shared" si="47"/>
        <v/>
      </c>
      <c r="AF64" s="10" t="str">
        <f t="shared" si="48"/>
        <v/>
      </c>
      <c r="AH64" s="10" t="str">
        <f t="shared" si="49"/>
        <v/>
      </c>
      <c r="AI64" s="10" t="str">
        <f t="shared" si="50"/>
        <v/>
      </c>
      <c r="AK64" s="10" t="str">
        <f t="shared" si="51"/>
        <v/>
      </c>
      <c r="AL64" s="10" t="str">
        <f t="shared" si="52"/>
        <v/>
      </c>
      <c r="AN64" s="10" t="str">
        <f t="shared" si="53"/>
        <v/>
      </c>
      <c r="AO64" s="10" t="str">
        <f t="shared" si="54"/>
        <v/>
      </c>
      <c r="AQ64" s="10" t="str">
        <f t="shared" si="55"/>
        <v/>
      </c>
      <c r="AR64" s="10" t="str">
        <f t="shared" si="56"/>
        <v/>
      </c>
      <c r="AT64" s="7"/>
      <c r="AV64" s="10" t="str">
        <f t="shared" si="57"/>
        <v/>
      </c>
      <c r="AW64" s="10" t="str">
        <f t="shared" si="58"/>
        <v/>
      </c>
      <c r="AY64" s="7"/>
      <c r="BA64" s="11" t="str">
        <f t="shared" si="59"/>
        <v/>
      </c>
      <c r="BB64" s="10" t="str">
        <f t="shared" si="60"/>
        <v/>
      </c>
      <c r="BD64" s="10" t="str">
        <f t="shared" si="61"/>
        <v/>
      </c>
      <c r="BE64" s="10" t="str">
        <f t="shared" si="62"/>
        <v/>
      </c>
      <c r="BG64" s="11" t="str">
        <f t="shared" si="63"/>
        <v/>
      </c>
      <c r="BH64" s="10" t="str">
        <f t="shared" si="64"/>
        <v/>
      </c>
      <c r="BJ64" s="7" t="str">
        <f t="shared" si="65"/>
        <v/>
      </c>
      <c r="BK64" s="158" t="str">
        <f t="shared" si="66"/>
        <v/>
      </c>
      <c r="BL64" s="158" t="str">
        <f t="shared" si="67"/>
        <v/>
      </c>
      <c r="BM64" s="10"/>
      <c r="BN64" s="10" t="str">
        <f t="shared" si="68"/>
        <v/>
      </c>
      <c r="BO64" s="10" t="str">
        <f t="shared" si="69"/>
        <v/>
      </c>
      <c r="BQ64" s="10" t="str">
        <f t="shared" si="70"/>
        <v/>
      </c>
      <c r="BR64" s="10" t="str">
        <f t="shared" si="71"/>
        <v/>
      </c>
    </row>
    <row r="65" spans="2:70" x14ac:dyDescent="0.15">
      <c r="I65" s="38">
        <f t="shared" si="72"/>
        <v>2080</v>
      </c>
      <c r="J65" s="39"/>
      <c r="K65" s="39">
        <f t="shared" si="73"/>
        <v>51</v>
      </c>
      <c r="L65" s="39"/>
      <c r="M65" s="40">
        <f t="shared" si="38"/>
        <v>0.22146318426189707</v>
      </c>
      <c r="N65" s="39"/>
      <c r="O65" s="72" t="str">
        <f t="shared" si="74"/>
        <v/>
      </c>
      <c r="P65" s="41" t="str">
        <f t="shared" si="39"/>
        <v/>
      </c>
      <c r="Q65" s="39"/>
      <c r="R65" s="72" t="str">
        <f t="shared" si="75"/>
        <v/>
      </c>
      <c r="S65" s="39"/>
      <c r="T65" s="72" t="str">
        <f t="shared" si="40"/>
        <v/>
      </c>
      <c r="U65" s="39"/>
      <c r="V65" s="72" t="str">
        <f t="shared" si="41"/>
        <v/>
      </c>
      <c r="W65" s="72" t="str">
        <f t="shared" si="42"/>
        <v/>
      </c>
      <c r="X65" s="39"/>
      <c r="Y65" s="72" t="str">
        <f t="shared" si="43"/>
        <v/>
      </c>
      <c r="Z65" s="72" t="str">
        <f t="shared" si="44"/>
        <v/>
      </c>
      <c r="AA65" s="39"/>
      <c r="AB65" s="72" t="str">
        <f t="shared" si="45"/>
        <v/>
      </c>
      <c r="AC65" s="72" t="str">
        <f t="shared" si="46"/>
        <v/>
      </c>
      <c r="AD65" s="39"/>
      <c r="AE65" s="72" t="str">
        <f t="shared" si="47"/>
        <v/>
      </c>
      <c r="AF65" s="72" t="str">
        <f t="shared" si="48"/>
        <v/>
      </c>
      <c r="AG65" s="39"/>
      <c r="AH65" s="72" t="str">
        <f t="shared" si="49"/>
        <v/>
      </c>
      <c r="AI65" s="72" t="str">
        <f t="shared" si="50"/>
        <v/>
      </c>
      <c r="AJ65" s="39"/>
      <c r="AK65" s="72" t="str">
        <f t="shared" si="51"/>
        <v/>
      </c>
      <c r="AL65" s="72" t="str">
        <f t="shared" si="52"/>
        <v/>
      </c>
      <c r="AM65" s="39"/>
      <c r="AN65" s="72" t="str">
        <f t="shared" si="53"/>
        <v/>
      </c>
      <c r="AO65" s="72" t="str">
        <f t="shared" si="54"/>
        <v/>
      </c>
      <c r="AP65" s="39"/>
      <c r="AQ65" s="72" t="str">
        <f t="shared" si="55"/>
        <v/>
      </c>
      <c r="AR65" s="72" t="str">
        <f t="shared" si="56"/>
        <v/>
      </c>
      <c r="AS65" s="39"/>
      <c r="AT65" s="40"/>
      <c r="AU65" s="39"/>
      <c r="AV65" s="72" t="str">
        <f t="shared" si="57"/>
        <v/>
      </c>
      <c r="AW65" s="72" t="str">
        <f t="shared" si="58"/>
        <v/>
      </c>
      <c r="AX65" s="39"/>
      <c r="AY65" s="40"/>
      <c r="AZ65" s="39"/>
      <c r="BA65" s="42" t="str">
        <f t="shared" si="59"/>
        <v/>
      </c>
      <c r="BB65" s="72" t="str">
        <f t="shared" si="60"/>
        <v/>
      </c>
      <c r="BC65" s="39"/>
      <c r="BD65" s="72" t="str">
        <f t="shared" si="61"/>
        <v/>
      </c>
      <c r="BE65" s="72" t="str">
        <f t="shared" si="62"/>
        <v/>
      </c>
      <c r="BF65" s="39"/>
      <c r="BG65" s="42" t="str">
        <f t="shared" si="63"/>
        <v/>
      </c>
      <c r="BH65" s="72" t="str">
        <f t="shared" si="64"/>
        <v/>
      </c>
      <c r="BI65" s="39"/>
      <c r="BJ65" s="40" t="str">
        <f t="shared" si="65"/>
        <v/>
      </c>
      <c r="BK65" s="157" t="str">
        <f t="shared" si="66"/>
        <v/>
      </c>
      <c r="BL65" s="157" t="str">
        <f t="shared" si="67"/>
        <v/>
      </c>
      <c r="BM65" s="72"/>
      <c r="BN65" s="72" t="str">
        <f t="shared" si="68"/>
        <v/>
      </c>
      <c r="BO65" s="72" t="str">
        <f t="shared" si="69"/>
        <v/>
      </c>
      <c r="BP65" s="39"/>
      <c r="BQ65" s="72" t="str">
        <f t="shared" si="70"/>
        <v/>
      </c>
      <c r="BR65" s="72" t="str">
        <f t="shared" si="71"/>
        <v/>
      </c>
    </row>
    <row r="66" spans="2:70" x14ac:dyDescent="0.15">
      <c r="I66" s="322">
        <f t="shared" si="72"/>
        <v>2081</v>
      </c>
      <c r="K66" s="71">
        <f t="shared" si="73"/>
        <v>52</v>
      </c>
      <c r="M66" s="7">
        <f t="shared" si="38"/>
        <v>0.215012800254269</v>
      </c>
      <c r="O66" s="10" t="str">
        <f t="shared" si="74"/>
        <v/>
      </c>
      <c r="P66" s="29" t="str">
        <f t="shared" si="39"/>
        <v/>
      </c>
      <c r="R66" s="10" t="str">
        <f t="shared" si="75"/>
        <v/>
      </c>
      <c r="T66" s="10" t="str">
        <f t="shared" si="40"/>
        <v/>
      </c>
      <c r="V66" s="10" t="str">
        <f t="shared" si="41"/>
        <v/>
      </c>
      <c r="W66" s="10" t="str">
        <f t="shared" si="42"/>
        <v/>
      </c>
      <c r="Y66" s="10" t="str">
        <f t="shared" si="43"/>
        <v/>
      </c>
      <c r="Z66" s="10" t="str">
        <f t="shared" si="44"/>
        <v/>
      </c>
      <c r="AB66" s="10" t="str">
        <f t="shared" si="45"/>
        <v/>
      </c>
      <c r="AC66" s="10" t="str">
        <f t="shared" si="46"/>
        <v/>
      </c>
      <c r="AE66" s="10" t="str">
        <f t="shared" si="47"/>
        <v/>
      </c>
      <c r="AF66" s="10" t="str">
        <f t="shared" si="48"/>
        <v/>
      </c>
      <c r="AH66" s="10" t="str">
        <f t="shared" si="49"/>
        <v/>
      </c>
      <c r="AI66" s="10" t="str">
        <f t="shared" si="50"/>
        <v/>
      </c>
      <c r="AK66" s="10" t="str">
        <f t="shared" si="51"/>
        <v/>
      </c>
      <c r="AL66" s="10" t="str">
        <f t="shared" si="52"/>
        <v/>
      </c>
      <c r="AN66" s="10" t="str">
        <f t="shared" si="53"/>
        <v/>
      </c>
      <c r="AO66" s="10" t="str">
        <f t="shared" si="54"/>
        <v/>
      </c>
      <c r="AQ66" s="10" t="str">
        <f t="shared" si="55"/>
        <v/>
      </c>
      <c r="AR66" s="10" t="str">
        <f t="shared" si="56"/>
        <v/>
      </c>
      <c r="AT66" s="7"/>
      <c r="AV66" s="10" t="str">
        <f t="shared" si="57"/>
        <v/>
      </c>
      <c r="AW66" s="10" t="str">
        <f t="shared" si="58"/>
        <v/>
      </c>
      <c r="AY66" s="7"/>
      <c r="BA66" s="11" t="str">
        <f t="shared" si="59"/>
        <v/>
      </c>
      <c r="BB66" s="10" t="str">
        <f t="shared" si="60"/>
        <v/>
      </c>
      <c r="BD66" s="10" t="str">
        <f t="shared" si="61"/>
        <v/>
      </c>
      <c r="BE66" s="10" t="str">
        <f t="shared" si="62"/>
        <v/>
      </c>
      <c r="BG66" s="11" t="str">
        <f t="shared" si="63"/>
        <v/>
      </c>
      <c r="BH66" s="10" t="str">
        <f t="shared" si="64"/>
        <v/>
      </c>
      <c r="BJ66" s="7" t="str">
        <f t="shared" si="65"/>
        <v/>
      </c>
      <c r="BK66" s="158" t="str">
        <f t="shared" si="66"/>
        <v/>
      </c>
      <c r="BL66" s="158" t="str">
        <f t="shared" si="67"/>
        <v/>
      </c>
      <c r="BM66" s="10"/>
      <c r="BN66" s="10" t="str">
        <f t="shared" si="68"/>
        <v/>
      </c>
      <c r="BO66" s="10" t="str">
        <f t="shared" si="69"/>
        <v/>
      </c>
      <c r="BQ66" s="10" t="str">
        <f t="shared" si="70"/>
        <v/>
      </c>
      <c r="BR66" s="10" t="str">
        <f t="shared" si="71"/>
        <v/>
      </c>
    </row>
    <row r="67" spans="2:70" ht="15.75" thickBot="1" x14ac:dyDescent="0.2">
      <c r="B67" s="5" t="s">
        <v>133</v>
      </c>
      <c r="C67" s="3"/>
      <c r="D67" s="102"/>
      <c r="E67" s="102"/>
      <c r="F67" s="3"/>
      <c r="G67" s="102"/>
      <c r="I67" s="38">
        <f t="shared" si="72"/>
        <v>2082</v>
      </c>
      <c r="J67" s="39"/>
      <c r="K67" s="39">
        <f t="shared" si="73"/>
        <v>53</v>
      </c>
      <c r="L67" s="39"/>
      <c r="M67" s="40">
        <f t="shared" si="38"/>
        <v>0.20875029150899907</v>
      </c>
      <c r="N67" s="39"/>
      <c r="O67" s="72" t="str">
        <f t="shared" si="74"/>
        <v/>
      </c>
      <c r="P67" s="41" t="str">
        <f t="shared" si="39"/>
        <v/>
      </c>
      <c r="Q67" s="39"/>
      <c r="R67" s="72" t="str">
        <f t="shared" si="75"/>
        <v/>
      </c>
      <c r="S67" s="39"/>
      <c r="T67" s="72" t="str">
        <f t="shared" si="40"/>
        <v/>
      </c>
      <c r="U67" s="39"/>
      <c r="V67" s="72" t="str">
        <f t="shared" si="41"/>
        <v/>
      </c>
      <c r="W67" s="72" t="str">
        <f t="shared" si="42"/>
        <v/>
      </c>
      <c r="X67" s="39"/>
      <c r="Y67" s="72" t="str">
        <f t="shared" si="43"/>
        <v/>
      </c>
      <c r="Z67" s="72" t="str">
        <f t="shared" si="44"/>
        <v/>
      </c>
      <c r="AA67" s="39"/>
      <c r="AB67" s="72" t="str">
        <f t="shared" si="45"/>
        <v/>
      </c>
      <c r="AC67" s="72" t="str">
        <f t="shared" si="46"/>
        <v/>
      </c>
      <c r="AD67" s="39"/>
      <c r="AE67" s="72" t="str">
        <f t="shared" si="47"/>
        <v/>
      </c>
      <c r="AF67" s="72" t="str">
        <f t="shared" si="48"/>
        <v/>
      </c>
      <c r="AG67" s="39"/>
      <c r="AH67" s="72" t="str">
        <f t="shared" si="49"/>
        <v/>
      </c>
      <c r="AI67" s="72" t="str">
        <f t="shared" si="50"/>
        <v/>
      </c>
      <c r="AJ67" s="39"/>
      <c r="AK67" s="72" t="str">
        <f t="shared" si="51"/>
        <v/>
      </c>
      <c r="AL67" s="72" t="str">
        <f t="shared" si="52"/>
        <v/>
      </c>
      <c r="AM67" s="39"/>
      <c r="AN67" s="72" t="str">
        <f t="shared" si="53"/>
        <v/>
      </c>
      <c r="AO67" s="72" t="str">
        <f t="shared" si="54"/>
        <v/>
      </c>
      <c r="AP67" s="39"/>
      <c r="AQ67" s="72" t="str">
        <f t="shared" si="55"/>
        <v/>
      </c>
      <c r="AR67" s="72" t="str">
        <f t="shared" si="56"/>
        <v/>
      </c>
      <c r="AS67" s="39"/>
      <c r="AT67" s="40"/>
      <c r="AU67" s="39"/>
      <c r="AV67" s="72" t="str">
        <f t="shared" si="57"/>
        <v/>
      </c>
      <c r="AW67" s="72" t="str">
        <f t="shared" si="58"/>
        <v/>
      </c>
      <c r="AX67" s="39"/>
      <c r="AY67" s="40"/>
      <c r="AZ67" s="39"/>
      <c r="BA67" s="42" t="str">
        <f t="shared" si="59"/>
        <v/>
      </c>
      <c r="BB67" s="72" t="str">
        <f t="shared" si="60"/>
        <v/>
      </c>
      <c r="BC67" s="39"/>
      <c r="BD67" s="72" t="str">
        <f t="shared" si="61"/>
        <v/>
      </c>
      <c r="BE67" s="72" t="str">
        <f t="shared" si="62"/>
        <v/>
      </c>
      <c r="BF67" s="39"/>
      <c r="BG67" s="42" t="str">
        <f t="shared" si="63"/>
        <v/>
      </c>
      <c r="BH67" s="72" t="str">
        <f t="shared" si="64"/>
        <v/>
      </c>
      <c r="BI67" s="39"/>
      <c r="BJ67" s="40" t="str">
        <f t="shared" si="65"/>
        <v/>
      </c>
      <c r="BK67" s="157" t="str">
        <f t="shared" si="66"/>
        <v/>
      </c>
      <c r="BL67" s="157" t="str">
        <f t="shared" si="67"/>
        <v/>
      </c>
      <c r="BM67" s="72"/>
      <c r="BN67" s="72" t="str">
        <f t="shared" si="68"/>
        <v/>
      </c>
      <c r="BO67" s="72" t="str">
        <f t="shared" si="69"/>
        <v/>
      </c>
      <c r="BP67" s="39"/>
      <c r="BQ67" s="72" t="str">
        <f t="shared" si="70"/>
        <v/>
      </c>
      <c r="BR67" s="72" t="str">
        <f t="shared" si="71"/>
        <v/>
      </c>
    </row>
    <row r="68" spans="2:70" x14ac:dyDescent="0.15">
      <c r="I68" s="322">
        <f t="shared" si="72"/>
        <v>2083</v>
      </c>
      <c r="K68" s="71">
        <f t="shared" si="73"/>
        <v>54</v>
      </c>
      <c r="M68" s="7">
        <f t="shared" si="38"/>
        <v>0.20267018593106703</v>
      </c>
      <c r="O68" s="10" t="str">
        <f t="shared" si="74"/>
        <v/>
      </c>
      <c r="P68" s="29" t="str">
        <f t="shared" si="39"/>
        <v/>
      </c>
      <c r="R68" s="10" t="str">
        <f t="shared" si="75"/>
        <v/>
      </c>
      <c r="T68" s="10" t="str">
        <f t="shared" si="40"/>
        <v/>
      </c>
      <c r="V68" s="10" t="str">
        <f t="shared" si="41"/>
        <v/>
      </c>
      <c r="W68" s="10" t="str">
        <f t="shared" si="42"/>
        <v/>
      </c>
      <c r="Y68" s="10" t="str">
        <f t="shared" si="43"/>
        <v/>
      </c>
      <c r="Z68" s="10" t="str">
        <f t="shared" si="44"/>
        <v/>
      </c>
      <c r="AB68" s="10" t="str">
        <f t="shared" si="45"/>
        <v/>
      </c>
      <c r="AC68" s="10" t="str">
        <f t="shared" si="46"/>
        <v/>
      </c>
      <c r="AE68" s="10" t="str">
        <f t="shared" si="47"/>
        <v/>
      </c>
      <c r="AF68" s="10" t="str">
        <f t="shared" si="48"/>
        <v/>
      </c>
      <c r="AH68" s="10" t="str">
        <f t="shared" si="49"/>
        <v/>
      </c>
      <c r="AI68" s="10" t="str">
        <f t="shared" si="50"/>
        <v/>
      </c>
      <c r="AK68" s="10" t="str">
        <f t="shared" si="51"/>
        <v/>
      </c>
      <c r="AL68" s="10" t="str">
        <f t="shared" si="52"/>
        <v/>
      </c>
      <c r="AN68" s="10" t="str">
        <f t="shared" si="53"/>
        <v/>
      </c>
      <c r="AO68" s="10" t="str">
        <f t="shared" si="54"/>
        <v/>
      </c>
      <c r="AQ68" s="10" t="str">
        <f t="shared" si="55"/>
        <v/>
      </c>
      <c r="AR68" s="10" t="str">
        <f t="shared" si="56"/>
        <v/>
      </c>
      <c r="AT68" s="7"/>
      <c r="AV68" s="10" t="str">
        <f t="shared" si="57"/>
        <v/>
      </c>
      <c r="AW68" s="10" t="str">
        <f t="shared" si="58"/>
        <v/>
      </c>
      <c r="AY68" s="7"/>
      <c r="BA68" s="11" t="str">
        <f t="shared" si="59"/>
        <v/>
      </c>
      <c r="BB68" s="10" t="str">
        <f t="shared" si="60"/>
        <v/>
      </c>
      <c r="BD68" s="10" t="str">
        <f t="shared" si="61"/>
        <v/>
      </c>
      <c r="BE68" s="10" t="str">
        <f t="shared" si="62"/>
        <v/>
      </c>
      <c r="BG68" s="11" t="str">
        <f t="shared" si="63"/>
        <v/>
      </c>
      <c r="BH68" s="10" t="str">
        <f t="shared" si="64"/>
        <v/>
      </c>
      <c r="BJ68" s="7" t="str">
        <f t="shared" si="65"/>
        <v/>
      </c>
      <c r="BK68" s="158" t="str">
        <f t="shared" si="66"/>
        <v/>
      </c>
      <c r="BL68" s="158" t="str">
        <f t="shared" si="67"/>
        <v/>
      </c>
      <c r="BM68" s="10"/>
      <c r="BN68" s="10" t="str">
        <f t="shared" si="68"/>
        <v/>
      </c>
      <c r="BO68" s="10" t="str">
        <f t="shared" si="69"/>
        <v/>
      </c>
      <c r="BQ68" s="10" t="str">
        <f t="shared" si="70"/>
        <v/>
      </c>
      <c r="BR68" s="10" t="str">
        <f t="shared" si="71"/>
        <v/>
      </c>
    </row>
    <row r="69" spans="2:70" x14ac:dyDescent="0.15">
      <c r="C69" s="483" t="s">
        <v>134</v>
      </c>
      <c r="D69" s="71"/>
      <c r="E69" s="71"/>
      <c r="F69" s="484">
        <f>SUBTOTAL(9,F74:F112)-F105</f>
        <v>14.232444674823531</v>
      </c>
      <c r="G69" s="71" t="s">
        <v>590</v>
      </c>
      <c r="I69" s="38">
        <f t="shared" si="72"/>
        <v>2084</v>
      </c>
      <c r="J69" s="39"/>
      <c r="K69" s="39">
        <f t="shared" si="73"/>
        <v>55</v>
      </c>
      <c r="L69" s="39"/>
      <c r="M69" s="40">
        <f t="shared" si="38"/>
        <v>0.19676717080686118</v>
      </c>
      <c r="N69" s="39"/>
      <c r="O69" s="72" t="str">
        <f t="shared" si="74"/>
        <v/>
      </c>
      <c r="P69" s="41" t="str">
        <f t="shared" si="39"/>
        <v/>
      </c>
      <c r="Q69" s="39"/>
      <c r="R69" s="72" t="str">
        <f t="shared" si="75"/>
        <v/>
      </c>
      <c r="S69" s="39"/>
      <c r="T69" s="72" t="str">
        <f t="shared" si="40"/>
        <v/>
      </c>
      <c r="U69" s="39"/>
      <c r="V69" s="72" t="str">
        <f t="shared" si="41"/>
        <v/>
      </c>
      <c r="W69" s="72" t="str">
        <f t="shared" si="42"/>
        <v/>
      </c>
      <c r="X69" s="39"/>
      <c r="Y69" s="72" t="str">
        <f t="shared" si="43"/>
        <v/>
      </c>
      <c r="Z69" s="72" t="str">
        <f t="shared" si="44"/>
        <v/>
      </c>
      <c r="AA69" s="39"/>
      <c r="AB69" s="72" t="str">
        <f t="shared" si="45"/>
        <v/>
      </c>
      <c r="AC69" s="72" t="str">
        <f t="shared" si="46"/>
        <v/>
      </c>
      <c r="AD69" s="39"/>
      <c r="AE69" s="72" t="str">
        <f t="shared" si="47"/>
        <v/>
      </c>
      <c r="AF69" s="72" t="str">
        <f t="shared" si="48"/>
        <v/>
      </c>
      <c r="AG69" s="39"/>
      <c r="AH69" s="72" t="str">
        <f t="shared" si="49"/>
        <v/>
      </c>
      <c r="AI69" s="72" t="str">
        <f t="shared" si="50"/>
        <v/>
      </c>
      <c r="AJ69" s="39"/>
      <c r="AK69" s="72" t="str">
        <f t="shared" si="51"/>
        <v/>
      </c>
      <c r="AL69" s="72" t="str">
        <f t="shared" si="52"/>
        <v/>
      </c>
      <c r="AM69" s="39"/>
      <c r="AN69" s="72" t="str">
        <f t="shared" si="53"/>
        <v/>
      </c>
      <c r="AO69" s="72" t="str">
        <f t="shared" si="54"/>
        <v/>
      </c>
      <c r="AP69" s="39"/>
      <c r="AQ69" s="72" t="str">
        <f t="shared" si="55"/>
        <v/>
      </c>
      <c r="AR69" s="72" t="str">
        <f t="shared" si="56"/>
        <v/>
      </c>
      <c r="AS69" s="39"/>
      <c r="AT69" s="40"/>
      <c r="AU69" s="39"/>
      <c r="AV69" s="72" t="str">
        <f t="shared" si="57"/>
        <v/>
      </c>
      <c r="AW69" s="72" t="str">
        <f t="shared" si="58"/>
        <v/>
      </c>
      <c r="AX69" s="39"/>
      <c r="AY69" s="40"/>
      <c r="AZ69" s="39"/>
      <c r="BA69" s="42" t="str">
        <f t="shared" si="59"/>
        <v/>
      </c>
      <c r="BB69" s="72" t="str">
        <f t="shared" si="60"/>
        <v/>
      </c>
      <c r="BC69" s="39"/>
      <c r="BD69" s="72" t="str">
        <f t="shared" si="61"/>
        <v/>
      </c>
      <c r="BE69" s="72" t="str">
        <f t="shared" si="62"/>
        <v/>
      </c>
      <c r="BF69" s="39"/>
      <c r="BG69" s="42" t="str">
        <f t="shared" si="63"/>
        <v/>
      </c>
      <c r="BH69" s="72" t="str">
        <f t="shared" si="64"/>
        <v/>
      </c>
      <c r="BI69" s="39"/>
      <c r="BJ69" s="40" t="str">
        <f t="shared" si="65"/>
        <v/>
      </c>
      <c r="BK69" s="157" t="str">
        <f t="shared" si="66"/>
        <v/>
      </c>
      <c r="BL69" s="157" t="str">
        <f t="shared" si="67"/>
        <v/>
      </c>
      <c r="BM69" s="72"/>
      <c r="BN69" s="72" t="str">
        <f t="shared" si="68"/>
        <v/>
      </c>
      <c r="BO69" s="72" t="str">
        <f t="shared" si="69"/>
        <v/>
      </c>
      <c r="BP69" s="39"/>
      <c r="BQ69" s="72" t="str">
        <f t="shared" si="70"/>
        <v/>
      </c>
      <c r="BR69" s="72" t="str">
        <f t="shared" si="71"/>
        <v/>
      </c>
    </row>
    <row r="70" spans="2:70" x14ac:dyDescent="0.15">
      <c r="C70" s="483" t="s">
        <v>135</v>
      </c>
      <c r="D70" s="71"/>
      <c r="E70" s="71"/>
      <c r="F70" s="484">
        <f>SUBTOTAL(9,F74:F112)</f>
        <v>14.302444674823532</v>
      </c>
      <c r="G70" s="71" t="s">
        <v>590</v>
      </c>
      <c r="I70" s="322">
        <f t="shared" si="72"/>
        <v>2085</v>
      </c>
      <c r="K70" s="71">
        <f t="shared" si="73"/>
        <v>56</v>
      </c>
      <c r="M70" s="7">
        <f t="shared" si="38"/>
        <v>0.19103608816200118</v>
      </c>
      <c r="O70" s="10" t="str">
        <f t="shared" si="74"/>
        <v/>
      </c>
      <c r="P70" s="29" t="str">
        <f t="shared" si="39"/>
        <v/>
      </c>
      <c r="R70" s="10" t="str">
        <f t="shared" si="75"/>
        <v/>
      </c>
      <c r="T70" s="10" t="str">
        <f t="shared" si="40"/>
        <v/>
      </c>
      <c r="V70" s="10" t="str">
        <f t="shared" si="41"/>
        <v/>
      </c>
      <c r="W70" s="10" t="str">
        <f t="shared" si="42"/>
        <v/>
      </c>
      <c r="Y70" s="10" t="str">
        <f t="shared" si="43"/>
        <v/>
      </c>
      <c r="Z70" s="10" t="str">
        <f t="shared" si="44"/>
        <v/>
      </c>
      <c r="AB70" s="10" t="str">
        <f t="shared" si="45"/>
        <v/>
      </c>
      <c r="AC70" s="10" t="str">
        <f t="shared" si="46"/>
        <v/>
      </c>
      <c r="AE70" s="10" t="str">
        <f t="shared" si="47"/>
        <v/>
      </c>
      <c r="AF70" s="10" t="str">
        <f t="shared" si="48"/>
        <v/>
      </c>
      <c r="AH70" s="10" t="str">
        <f t="shared" si="49"/>
        <v/>
      </c>
      <c r="AI70" s="10" t="str">
        <f t="shared" si="50"/>
        <v/>
      </c>
      <c r="AK70" s="10" t="str">
        <f t="shared" si="51"/>
        <v/>
      </c>
      <c r="AL70" s="10" t="str">
        <f t="shared" si="52"/>
        <v/>
      </c>
      <c r="AN70" s="10" t="str">
        <f t="shared" si="53"/>
        <v/>
      </c>
      <c r="AO70" s="10" t="str">
        <f t="shared" si="54"/>
        <v/>
      </c>
      <c r="AQ70" s="10" t="str">
        <f t="shared" si="55"/>
        <v/>
      </c>
      <c r="AR70" s="10" t="str">
        <f t="shared" si="56"/>
        <v/>
      </c>
      <c r="AT70" s="7"/>
      <c r="AV70" s="10" t="str">
        <f t="shared" si="57"/>
        <v/>
      </c>
      <c r="AW70" s="10" t="str">
        <f t="shared" si="58"/>
        <v/>
      </c>
      <c r="AY70" s="7"/>
      <c r="BA70" s="11" t="str">
        <f t="shared" si="59"/>
        <v/>
      </c>
      <c r="BB70" s="10" t="str">
        <f t="shared" si="60"/>
        <v/>
      </c>
      <c r="BD70" s="10" t="str">
        <f t="shared" si="61"/>
        <v/>
      </c>
      <c r="BE70" s="10" t="str">
        <f t="shared" si="62"/>
        <v/>
      </c>
      <c r="BG70" s="11" t="str">
        <f t="shared" si="63"/>
        <v/>
      </c>
      <c r="BH70" s="10" t="str">
        <f t="shared" si="64"/>
        <v/>
      </c>
      <c r="BJ70" s="7" t="str">
        <f t="shared" si="65"/>
        <v/>
      </c>
      <c r="BK70" s="158" t="str">
        <f t="shared" si="66"/>
        <v/>
      </c>
      <c r="BL70" s="158" t="str">
        <f t="shared" si="67"/>
        <v/>
      </c>
      <c r="BM70" s="10"/>
      <c r="BN70" s="10" t="str">
        <f t="shared" si="68"/>
        <v/>
      </c>
      <c r="BO70" s="10" t="str">
        <f t="shared" si="69"/>
        <v/>
      </c>
      <c r="BQ70" s="10" t="str">
        <f t="shared" si="70"/>
        <v/>
      </c>
      <c r="BR70" s="10" t="str">
        <f t="shared" si="71"/>
        <v/>
      </c>
    </row>
    <row r="71" spans="2:70" x14ac:dyDescent="0.15">
      <c r="F71" s="485"/>
      <c r="I71" s="38">
        <f t="shared" si="72"/>
        <v>2086</v>
      </c>
      <c r="J71" s="39"/>
      <c r="K71" s="39">
        <f t="shared" si="73"/>
        <v>57</v>
      </c>
      <c r="L71" s="39"/>
      <c r="M71" s="40">
        <f t="shared" si="38"/>
        <v>0.18547193025437006</v>
      </c>
      <c r="N71" s="39"/>
      <c r="O71" s="72" t="str">
        <f t="shared" si="74"/>
        <v/>
      </c>
      <c r="P71" s="41" t="str">
        <f t="shared" si="39"/>
        <v/>
      </c>
      <c r="Q71" s="39"/>
      <c r="R71" s="72" t="str">
        <f t="shared" si="75"/>
        <v/>
      </c>
      <c r="S71" s="39"/>
      <c r="T71" s="72" t="str">
        <f t="shared" si="40"/>
        <v/>
      </c>
      <c r="U71" s="39"/>
      <c r="V71" s="72" t="str">
        <f t="shared" si="41"/>
        <v/>
      </c>
      <c r="W71" s="72" t="str">
        <f t="shared" si="42"/>
        <v/>
      </c>
      <c r="X71" s="39"/>
      <c r="Y71" s="72" t="str">
        <f t="shared" si="43"/>
        <v/>
      </c>
      <c r="Z71" s="72" t="str">
        <f t="shared" si="44"/>
        <v/>
      </c>
      <c r="AA71" s="39"/>
      <c r="AB71" s="72" t="str">
        <f t="shared" si="45"/>
        <v/>
      </c>
      <c r="AC71" s="72" t="str">
        <f t="shared" si="46"/>
        <v/>
      </c>
      <c r="AD71" s="39"/>
      <c r="AE71" s="72" t="str">
        <f t="shared" si="47"/>
        <v/>
      </c>
      <c r="AF71" s="72" t="str">
        <f t="shared" si="48"/>
        <v/>
      </c>
      <c r="AG71" s="39"/>
      <c r="AH71" s="72" t="str">
        <f t="shared" si="49"/>
        <v/>
      </c>
      <c r="AI71" s="72" t="str">
        <f t="shared" si="50"/>
        <v/>
      </c>
      <c r="AJ71" s="39"/>
      <c r="AK71" s="72" t="str">
        <f t="shared" si="51"/>
        <v/>
      </c>
      <c r="AL71" s="72" t="str">
        <f t="shared" si="52"/>
        <v/>
      </c>
      <c r="AM71" s="39"/>
      <c r="AN71" s="72" t="str">
        <f t="shared" si="53"/>
        <v/>
      </c>
      <c r="AO71" s="72" t="str">
        <f t="shared" si="54"/>
        <v/>
      </c>
      <c r="AP71" s="39"/>
      <c r="AQ71" s="72" t="str">
        <f t="shared" si="55"/>
        <v/>
      </c>
      <c r="AR71" s="72" t="str">
        <f t="shared" si="56"/>
        <v/>
      </c>
      <c r="AS71" s="39"/>
      <c r="AT71" s="40"/>
      <c r="AU71" s="39"/>
      <c r="AV71" s="72" t="str">
        <f t="shared" si="57"/>
        <v/>
      </c>
      <c r="AW71" s="72" t="str">
        <f t="shared" si="58"/>
        <v/>
      </c>
      <c r="AX71" s="39"/>
      <c r="AY71" s="40"/>
      <c r="AZ71" s="39"/>
      <c r="BA71" s="42" t="str">
        <f t="shared" si="59"/>
        <v/>
      </c>
      <c r="BB71" s="72" t="str">
        <f t="shared" si="60"/>
        <v/>
      </c>
      <c r="BC71" s="39"/>
      <c r="BD71" s="72" t="str">
        <f t="shared" si="61"/>
        <v/>
      </c>
      <c r="BE71" s="72" t="str">
        <f t="shared" si="62"/>
        <v/>
      </c>
      <c r="BF71" s="39"/>
      <c r="BG71" s="42" t="str">
        <f t="shared" si="63"/>
        <v/>
      </c>
      <c r="BH71" s="72" t="str">
        <f t="shared" si="64"/>
        <v/>
      </c>
      <c r="BI71" s="39"/>
      <c r="BJ71" s="40" t="str">
        <f t="shared" si="65"/>
        <v/>
      </c>
      <c r="BK71" s="157" t="str">
        <f t="shared" si="66"/>
        <v/>
      </c>
      <c r="BL71" s="157" t="str">
        <f t="shared" si="67"/>
        <v/>
      </c>
      <c r="BM71" s="72"/>
      <c r="BN71" s="72" t="str">
        <f t="shared" si="68"/>
        <v/>
      </c>
      <c r="BO71" s="72" t="str">
        <f t="shared" si="69"/>
        <v/>
      </c>
      <c r="BP71" s="39"/>
      <c r="BQ71" s="72" t="str">
        <f t="shared" si="70"/>
        <v/>
      </c>
      <c r="BR71" s="72" t="str">
        <f t="shared" si="71"/>
        <v/>
      </c>
    </row>
    <row r="72" spans="2:70" x14ac:dyDescent="0.15">
      <c r="C72" s="4" t="s">
        <v>136</v>
      </c>
      <c r="D72" s="100"/>
      <c r="E72" s="100"/>
      <c r="F72" s="486"/>
      <c r="G72" s="100"/>
      <c r="I72" s="322">
        <f t="shared" si="72"/>
        <v>2087</v>
      </c>
      <c r="K72" s="71">
        <f t="shared" si="73"/>
        <v>58</v>
      </c>
      <c r="M72" s="7">
        <f t="shared" si="38"/>
        <v>0.18006983519841754</v>
      </c>
      <c r="O72" s="10" t="str">
        <f t="shared" si="74"/>
        <v/>
      </c>
      <c r="P72" s="29" t="str">
        <f t="shared" si="39"/>
        <v/>
      </c>
      <c r="R72" s="10" t="str">
        <f t="shared" si="75"/>
        <v/>
      </c>
      <c r="T72" s="10" t="str">
        <f t="shared" si="40"/>
        <v/>
      </c>
      <c r="V72" s="10" t="str">
        <f t="shared" si="41"/>
        <v/>
      </c>
      <c r="W72" s="10" t="str">
        <f t="shared" si="42"/>
        <v/>
      </c>
      <c r="Y72" s="10" t="str">
        <f t="shared" si="43"/>
        <v/>
      </c>
      <c r="Z72" s="10" t="str">
        <f t="shared" si="44"/>
        <v/>
      </c>
      <c r="AB72" s="10" t="str">
        <f t="shared" si="45"/>
        <v/>
      </c>
      <c r="AC72" s="10" t="str">
        <f t="shared" si="46"/>
        <v/>
      </c>
      <c r="AE72" s="10" t="str">
        <f t="shared" si="47"/>
        <v/>
      </c>
      <c r="AF72" s="10" t="str">
        <f t="shared" si="48"/>
        <v/>
      </c>
      <c r="AH72" s="10" t="str">
        <f t="shared" si="49"/>
        <v/>
      </c>
      <c r="AI72" s="10" t="str">
        <f t="shared" si="50"/>
        <v/>
      </c>
      <c r="AK72" s="10" t="str">
        <f t="shared" si="51"/>
        <v/>
      </c>
      <c r="AL72" s="10" t="str">
        <f t="shared" si="52"/>
        <v/>
      </c>
      <c r="AN72" s="10" t="str">
        <f t="shared" si="53"/>
        <v/>
      </c>
      <c r="AO72" s="10" t="str">
        <f t="shared" si="54"/>
        <v/>
      </c>
      <c r="AQ72" s="10" t="str">
        <f t="shared" si="55"/>
        <v/>
      </c>
      <c r="AR72" s="10" t="str">
        <f t="shared" si="56"/>
        <v/>
      </c>
      <c r="AT72" s="7"/>
      <c r="AV72" s="10" t="str">
        <f t="shared" si="57"/>
        <v/>
      </c>
      <c r="AW72" s="10" t="str">
        <f t="shared" si="58"/>
        <v/>
      </c>
      <c r="AY72" s="7"/>
      <c r="BA72" s="11" t="str">
        <f t="shared" si="59"/>
        <v/>
      </c>
      <c r="BB72" s="10" t="str">
        <f t="shared" si="60"/>
        <v/>
      </c>
      <c r="BD72" s="10" t="str">
        <f t="shared" si="61"/>
        <v/>
      </c>
      <c r="BE72" s="10" t="str">
        <f t="shared" si="62"/>
        <v/>
      </c>
      <c r="BG72" s="11" t="str">
        <f t="shared" si="63"/>
        <v/>
      </c>
      <c r="BH72" s="10" t="str">
        <f t="shared" si="64"/>
        <v/>
      </c>
      <c r="BJ72" s="7" t="str">
        <f t="shared" si="65"/>
        <v/>
      </c>
      <c r="BK72" s="158" t="str">
        <f t="shared" si="66"/>
        <v/>
      </c>
      <c r="BL72" s="158" t="str">
        <f t="shared" si="67"/>
        <v/>
      </c>
      <c r="BM72" s="10"/>
      <c r="BN72" s="10" t="str">
        <f t="shared" si="68"/>
        <v/>
      </c>
      <c r="BO72" s="10" t="str">
        <f t="shared" si="69"/>
        <v/>
      </c>
      <c r="BQ72" s="10" t="str">
        <f t="shared" si="70"/>
        <v/>
      </c>
      <c r="BR72" s="10" t="str">
        <f t="shared" si="71"/>
        <v/>
      </c>
    </row>
    <row r="73" spans="2:70" x14ac:dyDescent="0.15">
      <c r="F73" s="487"/>
      <c r="I73" s="38">
        <f t="shared" si="72"/>
        <v>2088</v>
      </c>
      <c r="J73" s="39"/>
      <c r="K73" s="39">
        <f t="shared" si="73"/>
        <v>59</v>
      </c>
      <c r="L73" s="39"/>
      <c r="M73" s="40">
        <f t="shared" si="38"/>
        <v>0.17482508271691022</v>
      </c>
      <c r="N73" s="39"/>
      <c r="O73" s="72" t="str">
        <f t="shared" si="74"/>
        <v/>
      </c>
      <c r="P73" s="41" t="str">
        <f t="shared" si="39"/>
        <v/>
      </c>
      <c r="Q73" s="39"/>
      <c r="R73" s="72" t="str">
        <f t="shared" si="75"/>
        <v/>
      </c>
      <c r="S73" s="39"/>
      <c r="T73" s="72" t="str">
        <f t="shared" si="40"/>
        <v/>
      </c>
      <c r="U73" s="39"/>
      <c r="V73" s="72" t="str">
        <f t="shared" si="41"/>
        <v/>
      </c>
      <c r="W73" s="72" t="str">
        <f t="shared" si="42"/>
        <v/>
      </c>
      <c r="X73" s="39"/>
      <c r="Y73" s="72" t="str">
        <f t="shared" si="43"/>
        <v/>
      </c>
      <c r="Z73" s="72" t="str">
        <f t="shared" si="44"/>
        <v/>
      </c>
      <c r="AA73" s="39"/>
      <c r="AB73" s="72" t="str">
        <f t="shared" si="45"/>
        <v/>
      </c>
      <c r="AC73" s="72" t="str">
        <f t="shared" si="46"/>
        <v/>
      </c>
      <c r="AD73" s="39"/>
      <c r="AE73" s="72" t="str">
        <f t="shared" si="47"/>
        <v/>
      </c>
      <c r="AF73" s="72" t="str">
        <f t="shared" si="48"/>
        <v/>
      </c>
      <c r="AG73" s="39"/>
      <c r="AH73" s="72" t="str">
        <f t="shared" si="49"/>
        <v/>
      </c>
      <c r="AI73" s="72" t="str">
        <f t="shared" si="50"/>
        <v/>
      </c>
      <c r="AJ73" s="39"/>
      <c r="AK73" s="72" t="str">
        <f t="shared" si="51"/>
        <v/>
      </c>
      <c r="AL73" s="72" t="str">
        <f t="shared" si="52"/>
        <v/>
      </c>
      <c r="AM73" s="39"/>
      <c r="AN73" s="72" t="str">
        <f t="shared" si="53"/>
        <v/>
      </c>
      <c r="AO73" s="72" t="str">
        <f t="shared" si="54"/>
        <v/>
      </c>
      <c r="AP73" s="39"/>
      <c r="AQ73" s="72" t="str">
        <f t="shared" si="55"/>
        <v/>
      </c>
      <c r="AR73" s="72" t="str">
        <f t="shared" si="56"/>
        <v/>
      </c>
      <c r="AS73" s="39"/>
      <c r="AT73" s="40"/>
      <c r="AU73" s="39"/>
      <c r="AV73" s="72" t="str">
        <f t="shared" si="57"/>
        <v/>
      </c>
      <c r="AW73" s="72" t="str">
        <f t="shared" si="58"/>
        <v/>
      </c>
      <c r="AX73" s="39"/>
      <c r="AY73" s="40"/>
      <c r="AZ73" s="39"/>
      <c r="BA73" s="42" t="str">
        <f t="shared" si="59"/>
        <v/>
      </c>
      <c r="BB73" s="72" t="str">
        <f t="shared" si="60"/>
        <v/>
      </c>
      <c r="BC73" s="39"/>
      <c r="BD73" s="72" t="str">
        <f t="shared" si="61"/>
        <v/>
      </c>
      <c r="BE73" s="72" t="str">
        <f t="shared" si="62"/>
        <v/>
      </c>
      <c r="BF73" s="39"/>
      <c r="BG73" s="42" t="str">
        <f t="shared" si="63"/>
        <v/>
      </c>
      <c r="BH73" s="72" t="str">
        <f t="shared" si="64"/>
        <v/>
      </c>
      <c r="BI73" s="39"/>
      <c r="BJ73" s="40" t="str">
        <f t="shared" si="65"/>
        <v/>
      </c>
      <c r="BK73" s="157" t="str">
        <f t="shared" si="66"/>
        <v/>
      </c>
      <c r="BL73" s="157" t="str">
        <f t="shared" si="67"/>
        <v/>
      </c>
      <c r="BM73" s="72"/>
      <c r="BN73" s="72" t="str">
        <f t="shared" si="68"/>
        <v/>
      </c>
      <c r="BO73" s="72" t="str">
        <f t="shared" si="69"/>
        <v/>
      </c>
      <c r="BP73" s="39"/>
      <c r="BQ73" s="72" t="str">
        <f t="shared" si="70"/>
        <v/>
      </c>
      <c r="BR73" s="72" t="str">
        <f t="shared" si="71"/>
        <v/>
      </c>
    </row>
    <row r="74" spans="2:70" ht="15" x14ac:dyDescent="0.15">
      <c r="D74" s="103" t="s">
        <v>591</v>
      </c>
      <c r="F74" s="484">
        <f>SUBTOTAL(9,F78:F81)</f>
        <v>3.4423376613810945</v>
      </c>
      <c r="G74" s="84" t="s">
        <v>590</v>
      </c>
      <c r="I74" s="322">
        <f t="shared" si="72"/>
        <v>2089</v>
      </c>
      <c r="K74" s="71">
        <f t="shared" si="73"/>
        <v>60</v>
      </c>
      <c r="M74" s="7">
        <f t="shared" si="38"/>
        <v>0.1697330900164177</v>
      </c>
      <c r="O74" s="10" t="str">
        <f t="shared" si="74"/>
        <v/>
      </c>
      <c r="P74" s="29" t="str">
        <f t="shared" si="39"/>
        <v/>
      </c>
      <c r="R74" s="10" t="str">
        <f t="shared" si="75"/>
        <v/>
      </c>
      <c r="T74" s="10" t="str">
        <f t="shared" si="40"/>
        <v/>
      </c>
      <c r="V74" s="10" t="str">
        <f t="shared" si="41"/>
        <v/>
      </c>
      <c r="W74" s="10" t="str">
        <f t="shared" si="42"/>
        <v/>
      </c>
      <c r="Y74" s="10" t="str">
        <f t="shared" si="43"/>
        <v/>
      </c>
      <c r="Z74" s="10" t="str">
        <f t="shared" si="44"/>
        <v/>
      </c>
      <c r="AB74" s="10" t="str">
        <f t="shared" si="45"/>
        <v/>
      </c>
      <c r="AC74" s="10" t="str">
        <f t="shared" si="46"/>
        <v/>
      </c>
      <c r="AE74" s="10" t="str">
        <f t="shared" si="47"/>
        <v/>
      </c>
      <c r="AF74" s="10" t="str">
        <f t="shared" si="48"/>
        <v/>
      </c>
      <c r="AH74" s="10" t="str">
        <f t="shared" si="49"/>
        <v/>
      </c>
      <c r="AI74" s="10" t="str">
        <f t="shared" si="50"/>
        <v/>
      </c>
      <c r="AK74" s="10" t="str">
        <f t="shared" si="51"/>
        <v/>
      </c>
      <c r="AL74" s="10" t="str">
        <f t="shared" si="52"/>
        <v/>
      </c>
      <c r="AN74" s="10" t="str">
        <f t="shared" si="53"/>
        <v/>
      </c>
      <c r="AO74" s="10" t="str">
        <f t="shared" si="54"/>
        <v/>
      </c>
      <c r="AQ74" s="10" t="str">
        <f t="shared" si="55"/>
        <v/>
      </c>
      <c r="AR74" s="10" t="str">
        <f t="shared" si="56"/>
        <v/>
      </c>
      <c r="AT74" s="7"/>
      <c r="AV74" s="10" t="str">
        <f t="shared" si="57"/>
        <v/>
      </c>
      <c r="AW74" s="10" t="str">
        <f t="shared" si="58"/>
        <v/>
      </c>
      <c r="AY74" s="7"/>
      <c r="BA74" s="11" t="str">
        <f t="shared" si="59"/>
        <v/>
      </c>
      <c r="BB74" s="10" t="str">
        <f t="shared" si="60"/>
        <v/>
      </c>
      <c r="BD74" s="10" t="str">
        <f t="shared" si="61"/>
        <v/>
      </c>
      <c r="BE74" s="10" t="str">
        <f t="shared" si="62"/>
        <v/>
      </c>
      <c r="BG74" s="11" t="str">
        <f t="shared" si="63"/>
        <v/>
      </c>
      <c r="BH74" s="10" t="str">
        <f t="shared" si="64"/>
        <v/>
      </c>
      <c r="BJ74" s="7" t="str">
        <f t="shared" si="65"/>
        <v/>
      </c>
      <c r="BK74" s="158" t="str">
        <f t="shared" si="66"/>
        <v/>
      </c>
      <c r="BL74" s="158" t="str">
        <f t="shared" si="67"/>
        <v/>
      </c>
      <c r="BM74" s="10"/>
      <c r="BN74" s="10" t="str">
        <f t="shared" si="68"/>
        <v/>
      </c>
      <c r="BO74" s="10" t="str">
        <f t="shared" si="69"/>
        <v/>
      </c>
      <c r="BQ74" s="10" t="str">
        <f t="shared" si="70"/>
        <v/>
      </c>
      <c r="BR74" s="10" t="str">
        <f t="shared" si="71"/>
        <v/>
      </c>
    </row>
    <row r="75" spans="2:70" x14ac:dyDescent="0.15">
      <c r="F75" s="487"/>
      <c r="I75" s="38">
        <f t="shared" si="72"/>
        <v>2090</v>
      </c>
      <c r="J75" s="39"/>
      <c r="K75" s="39">
        <f t="shared" si="73"/>
        <v>61</v>
      </c>
      <c r="L75" s="39"/>
      <c r="M75" s="40">
        <f t="shared" si="38"/>
        <v>0.16478940778292983</v>
      </c>
      <c r="N75" s="39"/>
      <c r="O75" s="72" t="str">
        <f t="shared" si="74"/>
        <v/>
      </c>
      <c r="P75" s="41" t="str">
        <f t="shared" si="39"/>
        <v/>
      </c>
      <c r="Q75" s="39"/>
      <c r="R75" s="72" t="str">
        <f t="shared" si="75"/>
        <v/>
      </c>
      <c r="S75" s="39"/>
      <c r="T75" s="72" t="str">
        <f t="shared" si="40"/>
        <v/>
      </c>
      <c r="U75" s="39"/>
      <c r="V75" s="72" t="str">
        <f t="shared" si="41"/>
        <v/>
      </c>
      <c r="W75" s="72" t="str">
        <f t="shared" si="42"/>
        <v/>
      </c>
      <c r="X75" s="39"/>
      <c r="Y75" s="72" t="str">
        <f t="shared" si="43"/>
        <v/>
      </c>
      <c r="Z75" s="72" t="str">
        <f t="shared" si="44"/>
        <v/>
      </c>
      <c r="AA75" s="39"/>
      <c r="AB75" s="72" t="str">
        <f t="shared" si="45"/>
        <v/>
      </c>
      <c r="AC75" s="72" t="str">
        <f t="shared" si="46"/>
        <v/>
      </c>
      <c r="AD75" s="39"/>
      <c r="AE75" s="72" t="str">
        <f t="shared" si="47"/>
        <v/>
      </c>
      <c r="AF75" s="72" t="str">
        <f t="shared" si="48"/>
        <v/>
      </c>
      <c r="AG75" s="39"/>
      <c r="AH75" s="72" t="str">
        <f t="shared" si="49"/>
        <v/>
      </c>
      <c r="AI75" s="72" t="str">
        <f t="shared" si="50"/>
        <v/>
      </c>
      <c r="AJ75" s="39"/>
      <c r="AK75" s="72" t="str">
        <f t="shared" si="51"/>
        <v/>
      </c>
      <c r="AL75" s="72" t="str">
        <f t="shared" si="52"/>
        <v/>
      </c>
      <c r="AM75" s="39"/>
      <c r="AN75" s="72" t="str">
        <f t="shared" si="53"/>
        <v/>
      </c>
      <c r="AO75" s="72" t="str">
        <f t="shared" si="54"/>
        <v/>
      </c>
      <c r="AP75" s="39"/>
      <c r="AQ75" s="72" t="str">
        <f t="shared" si="55"/>
        <v/>
      </c>
      <c r="AR75" s="72" t="str">
        <f t="shared" si="56"/>
        <v/>
      </c>
      <c r="AS75" s="39"/>
      <c r="AT75" s="40"/>
      <c r="AU75" s="39"/>
      <c r="AV75" s="72" t="str">
        <f t="shared" si="57"/>
        <v/>
      </c>
      <c r="AW75" s="72" t="str">
        <f t="shared" si="58"/>
        <v/>
      </c>
      <c r="AX75" s="39"/>
      <c r="AY75" s="40"/>
      <c r="AZ75" s="39"/>
      <c r="BA75" s="42" t="str">
        <f t="shared" si="59"/>
        <v/>
      </c>
      <c r="BB75" s="72" t="str">
        <f t="shared" si="60"/>
        <v/>
      </c>
      <c r="BC75" s="39"/>
      <c r="BD75" s="72" t="str">
        <f t="shared" si="61"/>
        <v/>
      </c>
      <c r="BE75" s="72" t="str">
        <f t="shared" si="62"/>
        <v/>
      </c>
      <c r="BF75" s="39"/>
      <c r="BG75" s="42" t="str">
        <f t="shared" si="63"/>
        <v/>
      </c>
      <c r="BH75" s="72" t="str">
        <f t="shared" si="64"/>
        <v/>
      </c>
      <c r="BI75" s="39"/>
      <c r="BJ75" s="40" t="str">
        <f t="shared" si="65"/>
        <v/>
      </c>
      <c r="BK75" s="157" t="str">
        <f t="shared" si="66"/>
        <v/>
      </c>
      <c r="BL75" s="157" t="str">
        <f t="shared" si="67"/>
        <v/>
      </c>
      <c r="BM75" s="72"/>
      <c r="BN75" s="72" t="str">
        <f t="shared" si="68"/>
        <v/>
      </c>
      <c r="BO75" s="72" t="str">
        <f t="shared" si="69"/>
        <v/>
      </c>
      <c r="BP75" s="39"/>
      <c r="BQ75" s="72" t="str">
        <f t="shared" si="70"/>
        <v/>
      </c>
      <c r="BR75" s="72" t="str">
        <f t="shared" si="71"/>
        <v/>
      </c>
    </row>
    <row r="76" spans="2:70" x14ac:dyDescent="0.15">
      <c r="D76" s="100" t="s">
        <v>592</v>
      </c>
      <c r="E76" s="100"/>
      <c r="F76" s="486"/>
      <c r="G76" s="100"/>
      <c r="I76" s="322">
        <f t="shared" si="72"/>
        <v>2091</v>
      </c>
      <c r="K76" s="71">
        <f t="shared" si="73"/>
        <v>62</v>
      </c>
      <c r="M76" s="7">
        <f t="shared" si="38"/>
        <v>0.15998971629410663</v>
      </c>
      <c r="O76" s="10" t="str">
        <f t="shared" si="74"/>
        <v/>
      </c>
      <c r="P76" s="29" t="str">
        <f t="shared" si="39"/>
        <v/>
      </c>
      <c r="R76" s="10" t="str">
        <f t="shared" si="75"/>
        <v/>
      </c>
      <c r="T76" s="10" t="str">
        <f t="shared" si="40"/>
        <v/>
      </c>
      <c r="V76" s="10" t="str">
        <f t="shared" si="41"/>
        <v/>
      </c>
      <c r="W76" s="10" t="str">
        <f t="shared" si="42"/>
        <v/>
      </c>
      <c r="Y76" s="10" t="str">
        <f t="shared" si="43"/>
        <v/>
      </c>
      <c r="Z76" s="10" t="str">
        <f t="shared" si="44"/>
        <v/>
      </c>
      <c r="AB76" s="10" t="str">
        <f t="shared" si="45"/>
        <v/>
      </c>
      <c r="AC76" s="10" t="str">
        <f t="shared" si="46"/>
        <v/>
      </c>
      <c r="AE76" s="10" t="str">
        <f t="shared" si="47"/>
        <v/>
      </c>
      <c r="AF76" s="10" t="str">
        <f t="shared" si="48"/>
        <v/>
      </c>
      <c r="AH76" s="10" t="str">
        <f t="shared" si="49"/>
        <v/>
      </c>
      <c r="AI76" s="10" t="str">
        <f t="shared" si="50"/>
        <v/>
      </c>
      <c r="AK76" s="10" t="str">
        <f t="shared" si="51"/>
        <v/>
      </c>
      <c r="AL76" s="10" t="str">
        <f t="shared" si="52"/>
        <v/>
      </c>
      <c r="AN76" s="10" t="str">
        <f t="shared" si="53"/>
        <v/>
      </c>
      <c r="AO76" s="10" t="str">
        <f t="shared" si="54"/>
        <v/>
      </c>
      <c r="AQ76" s="10" t="str">
        <f t="shared" si="55"/>
        <v/>
      </c>
      <c r="AR76" s="10" t="str">
        <f t="shared" si="56"/>
        <v/>
      </c>
      <c r="AT76" s="7"/>
      <c r="AV76" s="10" t="str">
        <f t="shared" si="57"/>
        <v/>
      </c>
      <c r="AW76" s="10" t="str">
        <f t="shared" si="58"/>
        <v/>
      </c>
      <c r="AY76" s="7"/>
      <c r="BA76" s="11" t="str">
        <f t="shared" si="59"/>
        <v/>
      </c>
      <c r="BB76" s="10" t="str">
        <f t="shared" si="60"/>
        <v/>
      </c>
      <c r="BD76" s="10" t="str">
        <f t="shared" si="61"/>
        <v/>
      </c>
      <c r="BE76" s="10" t="str">
        <f t="shared" si="62"/>
        <v/>
      </c>
      <c r="BG76" s="11" t="str">
        <f t="shared" si="63"/>
        <v/>
      </c>
      <c r="BH76" s="10" t="str">
        <f t="shared" si="64"/>
        <v/>
      </c>
      <c r="BJ76" s="7" t="str">
        <f t="shared" si="65"/>
        <v/>
      </c>
      <c r="BK76" s="158" t="str">
        <f t="shared" si="66"/>
        <v/>
      </c>
      <c r="BL76" s="158" t="str">
        <f t="shared" si="67"/>
        <v/>
      </c>
      <c r="BM76" s="10"/>
      <c r="BN76" s="10" t="str">
        <f t="shared" si="68"/>
        <v/>
      </c>
      <c r="BO76" s="10" t="str">
        <f t="shared" si="69"/>
        <v/>
      </c>
      <c r="BQ76" s="10" t="str">
        <f t="shared" si="70"/>
        <v/>
      </c>
      <c r="BR76" s="10" t="str">
        <f t="shared" si="71"/>
        <v/>
      </c>
    </row>
    <row r="77" spans="2:70" x14ac:dyDescent="0.15">
      <c r="F77" s="487"/>
      <c r="I77" s="38">
        <f t="shared" si="72"/>
        <v>2092</v>
      </c>
      <c r="J77" s="39"/>
      <c r="K77" s="39">
        <f t="shared" si="73"/>
        <v>63</v>
      </c>
      <c r="L77" s="39"/>
      <c r="M77" s="40">
        <f t="shared" si="38"/>
        <v>0.15532982164476369</v>
      </c>
      <c r="N77" s="39"/>
      <c r="O77" s="72" t="str">
        <f t="shared" si="74"/>
        <v/>
      </c>
      <c r="P77" s="41" t="str">
        <f t="shared" si="39"/>
        <v/>
      </c>
      <c r="Q77" s="39"/>
      <c r="R77" s="72" t="str">
        <f t="shared" si="75"/>
        <v/>
      </c>
      <c r="S77" s="39"/>
      <c r="T77" s="72" t="str">
        <f t="shared" si="40"/>
        <v/>
      </c>
      <c r="U77" s="39"/>
      <c r="V77" s="72" t="str">
        <f t="shared" si="41"/>
        <v/>
      </c>
      <c r="W77" s="72" t="str">
        <f t="shared" si="42"/>
        <v/>
      </c>
      <c r="X77" s="39"/>
      <c r="Y77" s="72" t="str">
        <f t="shared" si="43"/>
        <v/>
      </c>
      <c r="Z77" s="72" t="str">
        <f t="shared" si="44"/>
        <v/>
      </c>
      <c r="AA77" s="39"/>
      <c r="AB77" s="72" t="str">
        <f t="shared" si="45"/>
        <v/>
      </c>
      <c r="AC77" s="72" t="str">
        <f t="shared" si="46"/>
        <v/>
      </c>
      <c r="AD77" s="39"/>
      <c r="AE77" s="72" t="str">
        <f t="shared" si="47"/>
        <v/>
      </c>
      <c r="AF77" s="72" t="str">
        <f t="shared" si="48"/>
        <v/>
      </c>
      <c r="AG77" s="39"/>
      <c r="AH77" s="72" t="str">
        <f t="shared" si="49"/>
        <v/>
      </c>
      <c r="AI77" s="72" t="str">
        <f t="shared" si="50"/>
        <v/>
      </c>
      <c r="AJ77" s="39"/>
      <c r="AK77" s="72" t="str">
        <f t="shared" si="51"/>
        <v/>
      </c>
      <c r="AL77" s="72" t="str">
        <f t="shared" si="52"/>
        <v/>
      </c>
      <c r="AM77" s="39"/>
      <c r="AN77" s="72" t="str">
        <f t="shared" si="53"/>
        <v/>
      </c>
      <c r="AO77" s="72" t="str">
        <f t="shared" si="54"/>
        <v/>
      </c>
      <c r="AP77" s="39"/>
      <c r="AQ77" s="72" t="str">
        <f t="shared" si="55"/>
        <v/>
      </c>
      <c r="AR77" s="72" t="str">
        <f t="shared" si="56"/>
        <v/>
      </c>
      <c r="AS77" s="39"/>
      <c r="AT77" s="40"/>
      <c r="AU77" s="39"/>
      <c r="AV77" s="72" t="str">
        <f t="shared" si="57"/>
        <v/>
      </c>
      <c r="AW77" s="72" t="str">
        <f t="shared" si="58"/>
        <v/>
      </c>
      <c r="AX77" s="39"/>
      <c r="AY77" s="40"/>
      <c r="AZ77" s="39"/>
      <c r="BA77" s="42" t="str">
        <f t="shared" si="59"/>
        <v/>
      </c>
      <c r="BB77" s="72" t="str">
        <f t="shared" si="60"/>
        <v/>
      </c>
      <c r="BC77" s="39"/>
      <c r="BD77" s="72" t="str">
        <f t="shared" si="61"/>
        <v/>
      </c>
      <c r="BE77" s="72" t="str">
        <f t="shared" si="62"/>
        <v/>
      </c>
      <c r="BF77" s="39"/>
      <c r="BG77" s="42" t="str">
        <f t="shared" si="63"/>
        <v/>
      </c>
      <c r="BH77" s="72" t="str">
        <f t="shared" si="64"/>
        <v/>
      </c>
      <c r="BI77" s="39"/>
      <c r="BJ77" s="40" t="str">
        <f t="shared" si="65"/>
        <v/>
      </c>
      <c r="BK77" s="157" t="str">
        <f t="shared" si="66"/>
        <v/>
      </c>
      <c r="BL77" s="157" t="str">
        <f t="shared" si="67"/>
        <v/>
      </c>
      <c r="BM77" s="72"/>
      <c r="BN77" s="72" t="str">
        <f t="shared" si="68"/>
        <v/>
      </c>
      <c r="BO77" s="72" t="str">
        <f t="shared" si="69"/>
        <v/>
      </c>
      <c r="BP77" s="39"/>
      <c r="BQ77" s="72" t="str">
        <f t="shared" si="70"/>
        <v/>
      </c>
      <c r="BR77" s="72" t="str">
        <f t="shared" si="71"/>
        <v/>
      </c>
    </row>
    <row r="78" spans="2:70" x14ac:dyDescent="0.15">
      <c r="E78" s="70" t="s">
        <v>138</v>
      </c>
      <c r="F78" s="488">
        <f>R15/$BR$116</f>
        <v>3.1299354223071036</v>
      </c>
      <c r="G78" s="84" t="s">
        <v>590</v>
      </c>
      <c r="I78" s="322">
        <f t="shared" si="72"/>
        <v>2093</v>
      </c>
      <c r="K78" s="71">
        <f t="shared" si="73"/>
        <v>64</v>
      </c>
      <c r="M78" s="7">
        <f t="shared" si="38"/>
        <v>0.15080565208229488</v>
      </c>
      <c r="O78" s="10" t="str">
        <f t="shared" si="74"/>
        <v/>
      </c>
      <c r="P78" s="29" t="str">
        <f t="shared" si="39"/>
        <v/>
      </c>
      <c r="R78" s="10" t="str">
        <f t="shared" si="75"/>
        <v/>
      </c>
      <c r="T78" s="10" t="str">
        <f t="shared" si="40"/>
        <v/>
      </c>
      <c r="V78" s="10" t="str">
        <f t="shared" si="41"/>
        <v/>
      </c>
      <c r="W78" s="10" t="str">
        <f t="shared" si="42"/>
        <v/>
      </c>
      <c r="Y78" s="10" t="str">
        <f t="shared" si="43"/>
        <v/>
      </c>
      <c r="Z78" s="10" t="str">
        <f t="shared" si="44"/>
        <v/>
      </c>
      <c r="AB78" s="10" t="str">
        <f t="shared" si="45"/>
        <v/>
      </c>
      <c r="AC78" s="10" t="str">
        <f t="shared" si="46"/>
        <v/>
      </c>
      <c r="AE78" s="10" t="str">
        <f t="shared" si="47"/>
        <v/>
      </c>
      <c r="AF78" s="10" t="str">
        <f t="shared" si="48"/>
        <v/>
      </c>
      <c r="AH78" s="10" t="str">
        <f t="shared" si="49"/>
        <v/>
      </c>
      <c r="AI78" s="10" t="str">
        <f t="shared" si="50"/>
        <v/>
      </c>
      <c r="AK78" s="10" t="str">
        <f t="shared" si="51"/>
        <v/>
      </c>
      <c r="AL78" s="10" t="str">
        <f t="shared" si="52"/>
        <v/>
      </c>
      <c r="AN78" s="10" t="str">
        <f t="shared" si="53"/>
        <v/>
      </c>
      <c r="AO78" s="10" t="str">
        <f t="shared" si="54"/>
        <v/>
      </c>
      <c r="AQ78" s="10" t="str">
        <f t="shared" si="55"/>
        <v/>
      </c>
      <c r="AR78" s="10" t="str">
        <f t="shared" si="56"/>
        <v/>
      </c>
      <c r="AT78" s="7"/>
      <c r="AV78" s="10" t="str">
        <f t="shared" si="57"/>
        <v/>
      </c>
      <c r="AW78" s="10" t="str">
        <f t="shared" si="58"/>
        <v/>
      </c>
      <c r="AY78" s="7"/>
      <c r="BA78" s="11" t="str">
        <f t="shared" si="59"/>
        <v/>
      </c>
      <c r="BB78" s="10" t="str">
        <f t="shared" si="60"/>
        <v/>
      </c>
      <c r="BD78" s="10" t="str">
        <f t="shared" si="61"/>
        <v/>
      </c>
      <c r="BE78" s="10" t="str">
        <f t="shared" si="62"/>
        <v/>
      </c>
      <c r="BG78" s="11" t="str">
        <f t="shared" si="63"/>
        <v/>
      </c>
      <c r="BH78" s="10" t="str">
        <f t="shared" si="64"/>
        <v/>
      </c>
      <c r="BJ78" s="7" t="str">
        <f t="shared" si="65"/>
        <v/>
      </c>
      <c r="BK78" s="158" t="str">
        <f t="shared" si="66"/>
        <v/>
      </c>
      <c r="BL78" s="158" t="str">
        <f t="shared" si="67"/>
        <v/>
      </c>
      <c r="BM78" s="10"/>
      <c r="BN78" s="10" t="str">
        <f t="shared" si="68"/>
        <v/>
      </c>
      <c r="BO78" s="10" t="str">
        <f t="shared" si="69"/>
        <v/>
      </c>
      <c r="BQ78" s="10" t="str">
        <f t="shared" si="70"/>
        <v/>
      </c>
      <c r="BR78" s="10" t="str">
        <f t="shared" si="71"/>
        <v/>
      </c>
    </row>
    <row r="79" spans="2:70" x14ac:dyDescent="0.15">
      <c r="E79" s="84" t="s">
        <v>139</v>
      </c>
      <c r="F79" s="488">
        <f>Z116/$BR$116</f>
        <v>0.26582441796289874</v>
      </c>
      <c r="G79" s="84" t="s">
        <v>590</v>
      </c>
      <c r="I79" s="38">
        <f t="shared" si="72"/>
        <v>2094</v>
      </c>
      <c r="J79" s="39"/>
      <c r="K79" s="39">
        <f t="shared" si="73"/>
        <v>65</v>
      </c>
      <c r="L79" s="39"/>
      <c r="M79" s="40">
        <f t="shared" ref="M79:M114" si="76">1/(1+($F$9/100))^K79</f>
        <v>0.14641325444882999</v>
      </c>
      <c r="N79" s="39"/>
      <c r="O79" s="72" t="str">
        <f t="shared" si="74"/>
        <v/>
      </c>
      <c r="P79" s="41" t="str">
        <f t="shared" ref="P79:P110" si="77">IF(K79&lt;=$F$15,IF(OR(P78=$F$124,P78="-"),"-",IF(O79*$F$123&gt;$F$127,$F$123,$F$124)),"")</f>
        <v/>
      </c>
      <c r="Q79" s="39"/>
      <c r="R79" s="72" t="str">
        <f t="shared" si="75"/>
        <v/>
      </c>
      <c r="S79" s="39"/>
      <c r="T79" s="72" t="str">
        <f t="shared" ref="T79:T114" si="78">IF(ISNUMBER(R79),ROUNDDOWN(R79,-3),"")</f>
        <v/>
      </c>
      <c r="U79" s="39"/>
      <c r="V79" s="72" t="str">
        <f t="shared" ref="V79:V114" si="79">IF(K79&lt;=$F$15,IF(K79&lt;$F$119,IF(P79="-",V78,O79*P79),IF(K79=$F$119,MIN(IF(P79="-",V78,O79*P79),O79),0)),"")</f>
        <v/>
      </c>
      <c r="W79" s="72" t="str">
        <f t="shared" ref="W79:W110" si="80">IF(ISNUMBER(V79),V79*$M79,"")</f>
        <v/>
      </c>
      <c r="X79" s="39"/>
      <c r="Y79" s="72" t="str">
        <f t="shared" ref="Y79:Y114" si="81">IF($K79&lt;=$F$15,ROUNDDOWN(T79*$F$25/100,-2),"")</f>
        <v/>
      </c>
      <c r="Z79" s="72" t="str">
        <f t="shared" ref="Z79:Z110" si="82">IF(ISNUMBER(Y79),Y79*$M79,"")</f>
        <v/>
      </c>
      <c r="AA79" s="39"/>
      <c r="AB79" s="72" t="str">
        <f t="shared" ref="AB79:AB114" si="83">IF($K79&lt;=$F$15,0,IF(AND($K79&gt;$F$15,$K79&lt;=$F$15+$F$28),$F$27*10^8/$F$28,""))</f>
        <v/>
      </c>
      <c r="AC79" s="72" t="str">
        <f t="shared" ref="AC79:AC110" si="84">IF(ISNUMBER(AB79),AB79*$M79,"")</f>
        <v/>
      </c>
      <c r="AD79" s="39"/>
      <c r="AE79" s="72" t="str">
        <f t="shared" ref="AE79:AE114" si="85">IF($K79&lt;=$F$15,$F$26,"")</f>
        <v/>
      </c>
      <c r="AF79" s="72" t="str">
        <f t="shared" ref="AF79:AF110" si="86">IF(ISNUMBER(AE79),AE79*$M79,"")</f>
        <v/>
      </c>
      <c r="AG79" s="39"/>
      <c r="AH79" s="72" t="str">
        <f t="shared" ref="AH79:AH114" si="87">IF($K79&lt;=$F$15,$F$33*10^8,"")</f>
        <v/>
      </c>
      <c r="AI79" s="72" t="str">
        <f t="shared" ref="AI79:AI110" si="88">IF(ISNUMBER(AH79),AH79*$M79,"")</f>
        <v/>
      </c>
      <c r="AJ79" s="39"/>
      <c r="AK79" s="72" t="str">
        <f t="shared" ref="AK79:AK114" si="89">IF($K79&lt;=$F$15,$F$117*$F$34/100,"")</f>
        <v/>
      </c>
      <c r="AL79" s="72" t="str">
        <f t="shared" ref="AL79:AL110" si="90">IF(ISNUMBER(AK79),AK79*$M79,"")</f>
        <v/>
      </c>
      <c r="AM79" s="39"/>
      <c r="AN79" s="72" t="str">
        <f t="shared" ref="AN79:AN114" si="91">IF($K79&lt;=$F$15,$F$117*$F$35/100,"")</f>
        <v/>
      </c>
      <c r="AO79" s="72" t="str">
        <f t="shared" ref="AO79:AO110" si="92">IF(ISNUMBER(AN79),AN79*$M79,"")</f>
        <v/>
      </c>
      <c r="AP79" s="39"/>
      <c r="AQ79" s="72" t="str">
        <f t="shared" ref="AQ79:AQ114" si="93">IF($K79&lt;=$F$15,SUM(AH79,AK79,AN79)*($F$36/100),"")</f>
        <v/>
      </c>
      <c r="AR79" s="72" t="str">
        <f t="shared" ref="AR79:AR110" si="94">IF(ISNUMBER(AQ79),AQ79*$M79,"")</f>
        <v/>
      </c>
      <c r="AS79" s="39"/>
      <c r="AT79" s="40"/>
      <c r="AU79" s="39"/>
      <c r="AV79" s="72" t="str">
        <f t="shared" ref="AV79:AV114" si="95">IF($K79&lt;=$F$15,($AT79+$F$142)*$F$137,"")</f>
        <v/>
      </c>
      <c r="AW79" s="72" t="str">
        <f t="shared" ref="AW79:AW110" si="96">IF(ISNUMBER(AV79),AV79*$M79,"")</f>
        <v/>
      </c>
      <c r="AX79" s="39"/>
      <c r="AY79" s="40"/>
      <c r="AZ79" s="39"/>
      <c r="BA79" s="42" t="str">
        <f t="shared" ref="BA79:BA114" si="97">IF($K79&lt;=$F$15,$F$145*AY79,"")</f>
        <v/>
      </c>
      <c r="BB79" s="72" t="str">
        <f t="shared" ref="BB79:BB110" si="98">IF(ISNUMBER(BA79),BA79*$M79,"")</f>
        <v/>
      </c>
      <c r="BC79" s="39"/>
      <c r="BD79" s="72" t="str">
        <f t="shared" ref="BD79:BD114" si="99">IF($K79&lt;=$F$15,($AT79+$F$152)*$F$151,"")</f>
        <v/>
      </c>
      <c r="BE79" s="72" t="str">
        <f t="shared" ref="BE79:BE110" si="100">IF(ISNUMBER(BD79),BD79*$M79,"")</f>
        <v/>
      </c>
      <c r="BF79" s="39"/>
      <c r="BG79" s="42" t="str">
        <f t="shared" ref="BG79:BG114" si="101">IF($K79&lt;=$F$15,$F$153*AY79,"")</f>
        <v/>
      </c>
      <c r="BH79" s="72" t="str">
        <f t="shared" ref="BH79:BH110" si="102">IF(ISNUMBER(BG79),BG79*$M79,"")</f>
        <v/>
      </c>
      <c r="BI79" s="39"/>
      <c r="BJ79" s="40" t="str">
        <f t="shared" ref="BJ79:BJ114" si="103">IF(ISNUMBER($F$16),IF($K79&lt;=$F$16+$F$28,1/(1+($F$17/100))^K79,""),"")</f>
        <v/>
      </c>
      <c r="BK79" s="157" t="str">
        <f t="shared" ref="BK79:BK110" si="104">IF(ISNUMBER($F$16),IF($K79&lt;=$F$16+$F$28,IF($K79&lt;=$F$16,SUM(Y79,AB79,AE79,AH79,AK79,AN79,AQ79,AV79,BA79,BD79,BG79),$F$27/$F$28*10^8)*BJ79,""),"")</f>
        <v/>
      </c>
      <c r="BL79" s="157" t="str">
        <f t="shared" ref="BL79:BL114" si="105">IF(AND(ISNUMBER(BJ79),$K79&lt;=$F$16),BQ79*BJ79,"")</f>
        <v/>
      </c>
      <c r="BM79" s="72"/>
      <c r="BN79" s="72" t="str">
        <f t="shared" ref="BN79:BN114" si="106">IF(AND(ISNUMBER($F$16),$K79&lt;=$F$16),BQ79*($O$15+$BK$116)/$BL$116,"")</f>
        <v/>
      </c>
      <c r="BO79" s="72" t="str">
        <f t="shared" ref="BO79:BO110" si="107">IF(ISNUMBER(BN79),BN79*$M79,"")</f>
        <v/>
      </c>
      <c r="BP79" s="39"/>
      <c r="BQ79" s="72" t="str">
        <f t="shared" ref="BQ79:BQ114" si="108">IF($K79&lt;=$F$15,$F$134,"")</f>
        <v/>
      </c>
      <c r="BR79" s="72" t="str">
        <f t="shared" ref="BR79:BR110" si="109">IF(ISNUMBER(BQ79),BQ79*$M79,"")</f>
        <v/>
      </c>
    </row>
    <row r="80" spans="2:70" x14ac:dyDescent="0.15">
      <c r="E80" s="84" t="s">
        <v>115</v>
      </c>
      <c r="F80" s="488">
        <f>AF116/$BR$116</f>
        <v>0</v>
      </c>
      <c r="G80" s="84" t="s">
        <v>590</v>
      </c>
      <c r="I80" s="322">
        <f t="shared" ref="I80:I114" si="110">I79+1</f>
        <v>2095</v>
      </c>
      <c r="K80" s="71">
        <f t="shared" ref="K80:K114" si="111">IF(I80&lt;&gt;"",K79+1,"")</f>
        <v>66</v>
      </c>
      <c r="M80" s="7">
        <f t="shared" si="76"/>
        <v>0.14214879072701941</v>
      </c>
      <c r="O80" s="10" t="str">
        <f t="shared" ref="O80:O114" si="112">IF(K80&lt;=$F$15,O79-V79,"")</f>
        <v/>
      </c>
      <c r="P80" s="29" t="str">
        <f t="shared" si="77"/>
        <v/>
      </c>
      <c r="R80" s="10" t="str">
        <f t="shared" ref="R80:R114" si="113">IF($K80&lt;=$F$15,MAX($F$117*5%,R79*$F$129),"")</f>
        <v/>
      </c>
      <c r="T80" s="10" t="str">
        <f t="shared" si="78"/>
        <v/>
      </c>
      <c r="V80" s="10" t="str">
        <f t="shared" si="79"/>
        <v/>
      </c>
      <c r="W80" s="10" t="str">
        <f t="shared" si="80"/>
        <v/>
      </c>
      <c r="Y80" s="10" t="str">
        <f t="shared" si="81"/>
        <v/>
      </c>
      <c r="Z80" s="10" t="str">
        <f t="shared" si="82"/>
        <v/>
      </c>
      <c r="AB80" s="10" t="str">
        <f t="shared" si="83"/>
        <v/>
      </c>
      <c r="AC80" s="10" t="str">
        <f t="shared" si="84"/>
        <v/>
      </c>
      <c r="AE80" s="10" t="str">
        <f t="shared" si="85"/>
        <v/>
      </c>
      <c r="AF80" s="10" t="str">
        <f t="shared" si="86"/>
        <v/>
      </c>
      <c r="AH80" s="10" t="str">
        <f t="shared" si="87"/>
        <v/>
      </c>
      <c r="AI80" s="10" t="str">
        <f t="shared" si="88"/>
        <v/>
      </c>
      <c r="AK80" s="10" t="str">
        <f t="shared" si="89"/>
        <v/>
      </c>
      <c r="AL80" s="10" t="str">
        <f t="shared" si="90"/>
        <v/>
      </c>
      <c r="AN80" s="10" t="str">
        <f t="shared" si="91"/>
        <v/>
      </c>
      <c r="AO80" s="10" t="str">
        <f t="shared" si="92"/>
        <v/>
      </c>
      <c r="AQ80" s="10" t="str">
        <f t="shared" si="93"/>
        <v/>
      </c>
      <c r="AR80" s="10" t="str">
        <f t="shared" si="94"/>
        <v/>
      </c>
      <c r="AT80" s="7"/>
      <c r="AV80" s="10" t="str">
        <f t="shared" si="95"/>
        <v/>
      </c>
      <c r="AW80" s="10" t="str">
        <f t="shared" si="96"/>
        <v/>
      </c>
      <c r="AY80" s="7"/>
      <c r="BA80" s="11" t="str">
        <f t="shared" si="97"/>
        <v/>
      </c>
      <c r="BB80" s="10" t="str">
        <f t="shared" si="98"/>
        <v/>
      </c>
      <c r="BD80" s="10" t="str">
        <f t="shared" si="99"/>
        <v/>
      </c>
      <c r="BE80" s="10" t="str">
        <f t="shared" si="100"/>
        <v/>
      </c>
      <c r="BG80" s="11" t="str">
        <f t="shared" si="101"/>
        <v/>
      </c>
      <c r="BH80" s="10" t="str">
        <f t="shared" si="102"/>
        <v/>
      </c>
      <c r="BJ80" s="7" t="str">
        <f t="shared" si="103"/>
        <v/>
      </c>
      <c r="BK80" s="158" t="str">
        <f t="shared" si="104"/>
        <v/>
      </c>
      <c r="BL80" s="158" t="str">
        <f t="shared" si="105"/>
        <v/>
      </c>
      <c r="BM80" s="10"/>
      <c r="BN80" s="10" t="str">
        <f t="shared" si="106"/>
        <v/>
      </c>
      <c r="BO80" s="10" t="str">
        <f t="shared" si="107"/>
        <v/>
      </c>
      <c r="BQ80" s="10" t="str">
        <f t="shared" si="108"/>
        <v/>
      </c>
      <c r="BR80" s="10" t="str">
        <f t="shared" si="109"/>
        <v/>
      </c>
    </row>
    <row r="81" spans="4:70" x14ac:dyDescent="0.15">
      <c r="E81" s="160" t="s">
        <v>86</v>
      </c>
      <c r="F81" s="488">
        <f>AC116/$BR$116</f>
        <v>4.6577821111092071E-2</v>
      </c>
      <c r="G81" s="84" t="s">
        <v>590</v>
      </c>
      <c r="I81" s="38">
        <f t="shared" si="110"/>
        <v>2096</v>
      </c>
      <c r="J81" s="39"/>
      <c r="K81" s="39">
        <f t="shared" si="111"/>
        <v>67</v>
      </c>
      <c r="L81" s="39"/>
      <c r="M81" s="40">
        <f t="shared" si="76"/>
        <v>0.1380085346864266</v>
      </c>
      <c r="N81" s="39"/>
      <c r="O81" s="72" t="str">
        <f t="shared" si="112"/>
        <v/>
      </c>
      <c r="P81" s="41" t="str">
        <f t="shared" si="77"/>
        <v/>
      </c>
      <c r="Q81" s="39"/>
      <c r="R81" s="72" t="str">
        <f t="shared" si="113"/>
        <v/>
      </c>
      <c r="S81" s="39"/>
      <c r="T81" s="72" t="str">
        <f t="shared" si="78"/>
        <v/>
      </c>
      <c r="U81" s="39"/>
      <c r="V81" s="72" t="str">
        <f t="shared" si="79"/>
        <v/>
      </c>
      <c r="W81" s="72" t="str">
        <f t="shared" si="80"/>
        <v/>
      </c>
      <c r="X81" s="39"/>
      <c r="Y81" s="72" t="str">
        <f t="shared" si="81"/>
        <v/>
      </c>
      <c r="Z81" s="72" t="str">
        <f t="shared" si="82"/>
        <v/>
      </c>
      <c r="AA81" s="39"/>
      <c r="AB81" s="72" t="str">
        <f t="shared" si="83"/>
        <v/>
      </c>
      <c r="AC81" s="72" t="str">
        <f t="shared" si="84"/>
        <v/>
      </c>
      <c r="AD81" s="39"/>
      <c r="AE81" s="72" t="str">
        <f t="shared" si="85"/>
        <v/>
      </c>
      <c r="AF81" s="72" t="str">
        <f t="shared" si="86"/>
        <v/>
      </c>
      <c r="AG81" s="39"/>
      <c r="AH81" s="72" t="str">
        <f t="shared" si="87"/>
        <v/>
      </c>
      <c r="AI81" s="72" t="str">
        <f t="shared" si="88"/>
        <v/>
      </c>
      <c r="AJ81" s="39"/>
      <c r="AK81" s="72" t="str">
        <f t="shared" si="89"/>
        <v/>
      </c>
      <c r="AL81" s="72" t="str">
        <f t="shared" si="90"/>
        <v/>
      </c>
      <c r="AM81" s="39"/>
      <c r="AN81" s="72" t="str">
        <f t="shared" si="91"/>
        <v/>
      </c>
      <c r="AO81" s="72" t="str">
        <f t="shared" si="92"/>
        <v/>
      </c>
      <c r="AP81" s="39"/>
      <c r="AQ81" s="72" t="str">
        <f t="shared" si="93"/>
        <v/>
      </c>
      <c r="AR81" s="72" t="str">
        <f t="shared" si="94"/>
        <v/>
      </c>
      <c r="AS81" s="39"/>
      <c r="AT81" s="40"/>
      <c r="AU81" s="39"/>
      <c r="AV81" s="72" t="str">
        <f t="shared" si="95"/>
        <v/>
      </c>
      <c r="AW81" s="72" t="str">
        <f t="shared" si="96"/>
        <v/>
      </c>
      <c r="AX81" s="39"/>
      <c r="AY81" s="40"/>
      <c r="AZ81" s="39"/>
      <c r="BA81" s="42" t="str">
        <f t="shared" si="97"/>
        <v/>
      </c>
      <c r="BB81" s="72" t="str">
        <f t="shared" si="98"/>
        <v/>
      </c>
      <c r="BC81" s="39"/>
      <c r="BD81" s="72" t="str">
        <f t="shared" si="99"/>
        <v/>
      </c>
      <c r="BE81" s="72" t="str">
        <f t="shared" si="100"/>
        <v/>
      </c>
      <c r="BF81" s="39"/>
      <c r="BG81" s="42" t="str">
        <f t="shared" si="101"/>
        <v/>
      </c>
      <c r="BH81" s="72" t="str">
        <f t="shared" si="102"/>
        <v/>
      </c>
      <c r="BI81" s="39"/>
      <c r="BJ81" s="40" t="str">
        <f t="shared" si="103"/>
        <v/>
      </c>
      <c r="BK81" s="157" t="str">
        <f t="shared" si="104"/>
        <v/>
      </c>
      <c r="BL81" s="157" t="str">
        <f t="shared" si="105"/>
        <v/>
      </c>
      <c r="BM81" s="72"/>
      <c r="BN81" s="72" t="str">
        <f t="shared" si="106"/>
        <v/>
      </c>
      <c r="BO81" s="72" t="str">
        <f t="shared" si="107"/>
        <v/>
      </c>
      <c r="BP81" s="39"/>
      <c r="BQ81" s="72" t="str">
        <f t="shared" si="108"/>
        <v/>
      </c>
      <c r="BR81" s="72" t="str">
        <f t="shared" si="109"/>
        <v/>
      </c>
    </row>
    <row r="82" spans="4:70" x14ac:dyDescent="0.15">
      <c r="F82" s="487"/>
      <c r="I82" s="322">
        <f t="shared" si="110"/>
        <v>2097</v>
      </c>
      <c r="K82" s="71">
        <f t="shared" si="111"/>
        <v>68</v>
      </c>
      <c r="M82" s="7">
        <f t="shared" si="76"/>
        <v>0.13398886862759865</v>
      </c>
      <c r="O82" s="10" t="str">
        <f t="shared" si="112"/>
        <v/>
      </c>
      <c r="P82" s="29" t="str">
        <f t="shared" si="77"/>
        <v/>
      </c>
      <c r="R82" s="10" t="str">
        <f t="shared" si="113"/>
        <v/>
      </c>
      <c r="T82" s="10" t="str">
        <f t="shared" si="78"/>
        <v/>
      </c>
      <c r="V82" s="10" t="str">
        <f t="shared" si="79"/>
        <v/>
      </c>
      <c r="W82" s="10" t="str">
        <f t="shared" si="80"/>
        <v/>
      </c>
      <c r="Y82" s="10" t="str">
        <f t="shared" si="81"/>
        <v/>
      </c>
      <c r="Z82" s="10" t="str">
        <f t="shared" si="82"/>
        <v/>
      </c>
      <c r="AB82" s="10" t="str">
        <f t="shared" si="83"/>
        <v/>
      </c>
      <c r="AC82" s="10" t="str">
        <f t="shared" si="84"/>
        <v/>
      </c>
      <c r="AE82" s="10" t="str">
        <f t="shared" si="85"/>
        <v/>
      </c>
      <c r="AF82" s="10" t="str">
        <f t="shared" si="86"/>
        <v/>
      </c>
      <c r="AH82" s="10" t="str">
        <f t="shared" si="87"/>
        <v/>
      </c>
      <c r="AI82" s="10" t="str">
        <f t="shared" si="88"/>
        <v/>
      </c>
      <c r="AK82" s="10" t="str">
        <f t="shared" si="89"/>
        <v/>
      </c>
      <c r="AL82" s="10" t="str">
        <f t="shared" si="90"/>
        <v/>
      </c>
      <c r="AN82" s="10" t="str">
        <f t="shared" si="91"/>
        <v/>
      </c>
      <c r="AO82" s="10" t="str">
        <f t="shared" si="92"/>
        <v/>
      </c>
      <c r="AQ82" s="10" t="str">
        <f t="shared" si="93"/>
        <v/>
      </c>
      <c r="AR82" s="10" t="str">
        <f t="shared" si="94"/>
        <v/>
      </c>
      <c r="AT82" s="7"/>
      <c r="AV82" s="10" t="str">
        <f t="shared" si="95"/>
        <v/>
      </c>
      <c r="AW82" s="10" t="str">
        <f t="shared" si="96"/>
        <v/>
      </c>
      <c r="AY82" s="7"/>
      <c r="BA82" s="11" t="str">
        <f t="shared" si="97"/>
        <v/>
      </c>
      <c r="BB82" s="10" t="str">
        <f t="shared" si="98"/>
        <v/>
      </c>
      <c r="BD82" s="10" t="str">
        <f t="shared" si="99"/>
        <v/>
      </c>
      <c r="BE82" s="10" t="str">
        <f t="shared" si="100"/>
        <v/>
      </c>
      <c r="BG82" s="11" t="str">
        <f t="shared" si="101"/>
        <v/>
      </c>
      <c r="BH82" s="10" t="str">
        <f t="shared" si="102"/>
        <v/>
      </c>
      <c r="BJ82" s="7" t="str">
        <f t="shared" si="103"/>
        <v/>
      </c>
      <c r="BK82" s="158" t="str">
        <f t="shared" si="104"/>
        <v/>
      </c>
      <c r="BL82" s="158" t="str">
        <f t="shared" si="105"/>
        <v/>
      </c>
      <c r="BM82" s="10"/>
      <c r="BN82" s="10" t="str">
        <f t="shared" si="106"/>
        <v/>
      </c>
      <c r="BO82" s="10" t="str">
        <f t="shared" si="107"/>
        <v/>
      </c>
      <c r="BQ82" s="10" t="str">
        <f t="shared" si="108"/>
        <v/>
      </c>
      <c r="BR82" s="10" t="str">
        <f t="shared" si="109"/>
        <v/>
      </c>
    </row>
    <row r="83" spans="4:70" ht="15" x14ac:dyDescent="0.15">
      <c r="D83" s="103" t="s">
        <v>593</v>
      </c>
      <c r="F83" s="484">
        <f>SUBTOTAL(9,F87:F90)</f>
        <v>3.9291846053489881</v>
      </c>
      <c r="G83" s="84" t="s">
        <v>590</v>
      </c>
      <c r="I83" s="38">
        <f t="shared" si="110"/>
        <v>2098</v>
      </c>
      <c r="J83" s="39"/>
      <c r="K83" s="39">
        <f t="shared" si="111"/>
        <v>69</v>
      </c>
      <c r="L83" s="39"/>
      <c r="M83" s="40">
        <f t="shared" si="76"/>
        <v>0.13008628022096957</v>
      </c>
      <c r="N83" s="39"/>
      <c r="O83" s="72" t="str">
        <f t="shared" si="112"/>
        <v/>
      </c>
      <c r="P83" s="41" t="str">
        <f t="shared" si="77"/>
        <v/>
      </c>
      <c r="Q83" s="39"/>
      <c r="R83" s="72" t="str">
        <f t="shared" si="113"/>
        <v/>
      </c>
      <c r="S83" s="39"/>
      <c r="T83" s="72" t="str">
        <f t="shared" si="78"/>
        <v/>
      </c>
      <c r="U83" s="39"/>
      <c r="V83" s="72" t="str">
        <f t="shared" si="79"/>
        <v/>
      </c>
      <c r="W83" s="72" t="str">
        <f t="shared" si="80"/>
        <v/>
      </c>
      <c r="X83" s="39"/>
      <c r="Y83" s="72" t="str">
        <f t="shared" si="81"/>
        <v/>
      </c>
      <c r="Z83" s="72" t="str">
        <f t="shared" si="82"/>
        <v/>
      </c>
      <c r="AA83" s="39"/>
      <c r="AB83" s="72" t="str">
        <f t="shared" si="83"/>
        <v/>
      </c>
      <c r="AC83" s="72" t="str">
        <f t="shared" si="84"/>
        <v/>
      </c>
      <c r="AD83" s="39"/>
      <c r="AE83" s="72" t="str">
        <f t="shared" si="85"/>
        <v/>
      </c>
      <c r="AF83" s="72" t="str">
        <f t="shared" si="86"/>
        <v/>
      </c>
      <c r="AG83" s="39"/>
      <c r="AH83" s="72" t="str">
        <f t="shared" si="87"/>
        <v/>
      </c>
      <c r="AI83" s="72" t="str">
        <f t="shared" si="88"/>
        <v/>
      </c>
      <c r="AJ83" s="39"/>
      <c r="AK83" s="72" t="str">
        <f t="shared" si="89"/>
        <v/>
      </c>
      <c r="AL83" s="72" t="str">
        <f t="shared" si="90"/>
        <v/>
      </c>
      <c r="AM83" s="39"/>
      <c r="AN83" s="72" t="str">
        <f t="shared" si="91"/>
        <v/>
      </c>
      <c r="AO83" s="72" t="str">
        <f t="shared" si="92"/>
        <v/>
      </c>
      <c r="AP83" s="39"/>
      <c r="AQ83" s="72" t="str">
        <f t="shared" si="93"/>
        <v/>
      </c>
      <c r="AR83" s="72" t="str">
        <f t="shared" si="94"/>
        <v/>
      </c>
      <c r="AS83" s="39"/>
      <c r="AT83" s="40"/>
      <c r="AU83" s="39"/>
      <c r="AV83" s="72" t="str">
        <f t="shared" si="95"/>
        <v/>
      </c>
      <c r="AW83" s="72" t="str">
        <f t="shared" si="96"/>
        <v/>
      </c>
      <c r="AX83" s="39"/>
      <c r="AY83" s="40"/>
      <c r="AZ83" s="39"/>
      <c r="BA83" s="42" t="str">
        <f t="shared" si="97"/>
        <v/>
      </c>
      <c r="BB83" s="72" t="str">
        <f t="shared" si="98"/>
        <v/>
      </c>
      <c r="BC83" s="39"/>
      <c r="BD83" s="72" t="str">
        <f t="shared" si="99"/>
        <v/>
      </c>
      <c r="BE83" s="72" t="str">
        <f t="shared" si="100"/>
        <v/>
      </c>
      <c r="BF83" s="39"/>
      <c r="BG83" s="42" t="str">
        <f t="shared" si="101"/>
        <v/>
      </c>
      <c r="BH83" s="72" t="str">
        <f t="shared" si="102"/>
        <v/>
      </c>
      <c r="BI83" s="39"/>
      <c r="BJ83" s="40" t="str">
        <f t="shared" si="103"/>
        <v/>
      </c>
      <c r="BK83" s="157" t="str">
        <f t="shared" si="104"/>
        <v/>
      </c>
      <c r="BL83" s="157" t="str">
        <f t="shared" si="105"/>
        <v/>
      </c>
      <c r="BM83" s="72"/>
      <c r="BN83" s="72" t="str">
        <f t="shared" si="106"/>
        <v/>
      </c>
      <c r="BO83" s="72" t="str">
        <f t="shared" si="107"/>
        <v/>
      </c>
      <c r="BP83" s="39"/>
      <c r="BQ83" s="72" t="str">
        <f t="shared" si="108"/>
        <v/>
      </c>
      <c r="BR83" s="72" t="str">
        <f t="shared" si="109"/>
        <v/>
      </c>
    </row>
    <row r="84" spans="4:70" x14ac:dyDescent="0.15">
      <c r="F84" s="487"/>
      <c r="I84" s="322">
        <f t="shared" si="110"/>
        <v>2099</v>
      </c>
      <c r="K84" s="71">
        <f t="shared" si="111"/>
        <v>70</v>
      </c>
      <c r="M84" s="7">
        <f t="shared" si="76"/>
        <v>0.12629735943783454</v>
      </c>
      <c r="O84" s="10" t="str">
        <f t="shared" si="112"/>
        <v/>
      </c>
      <c r="P84" s="29" t="str">
        <f t="shared" si="77"/>
        <v/>
      </c>
      <c r="R84" s="10" t="str">
        <f t="shared" si="113"/>
        <v/>
      </c>
      <c r="T84" s="10" t="str">
        <f t="shared" si="78"/>
        <v/>
      </c>
      <c r="V84" s="10" t="str">
        <f t="shared" si="79"/>
        <v/>
      </c>
      <c r="W84" s="10" t="str">
        <f t="shared" si="80"/>
        <v/>
      </c>
      <c r="Y84" s="10" t="str">
        <f t="shared" si="81"/>
        <v/>
      </c>
      <c r="Z84" s="10" t="str">
        <f t="shared" si="82"/>
        <v/>
      </c>
      <c r="AB84" s="10" t="str">
        <f t="shared" si="83"/>
        <v/>
      </c>
      <c r="AC84" s="10" t="str">
        <f t="shared" si="84"/>
        <v/>
      </c>
      <c r="AE84" s="10" t="str">
        <f t="shared" si="85"/>
        <v/>
      </c>
      <c r="AF84" s="10" t="str">
        <f t="shared" si="86"/>
        <v/>
      </c>
      <c r="AH84" s="10" t="str">
        <f t="shared" si="87"/>
        <v/>
      </c>
      <c r="AI84" s="10" t="str">
        <f t="shared" si="88"/>
        <v/>
      </c>
      <c r="AK84" s="10" t="str">
        <f t="shared" si="89"/>
        <v/>
      </c>
      <c r="AL84" s="10" t="str">
        <f t="shared" si="90"/>
        <v/>
      </c>
      <c r="AN84" s="10" t="str">
        <f t="shared" si="91"/>
        <v/>
      </c>
      <c r="AO84" s="10" t="str">
        <f t="shared" si="92"/>
        <v/>
      </c>
      <c r="AQ84" s="10" t="str">
        <f t="shared" si="93"/>
        <v/>
      </c>
      <c r="AR84" s="10" t="str">
        <f t="shared" si="94"/>
        <v/>
      </c>
      <c r="AT84" s="7"/>
      <c r="AV84" s="10" t="str">
        <f t="shared" si="95"/>
        <v/>
      </c>
      <c r="AW84" s="10" t="str">
        <f t="shared" si="96"/>
        <v/>
      </c>
      <c r="AY84" s="7"/>
      <c r="BA84" s="11" t="str">
        <f t="shared" si="97"/>
        <v/>
      </c>
      <c r="BB84" s="10" t="str">
        <f t="shared" si="98"/>
        <v/>
      </c>
      <c r="BD84" s="10" t="str">
        <f t="shared" si="99"/>
        <v/>
      </c>
      <c r="BE84" s="10" t="str">
        <f t="shared" si="100"/>
        <v/>
      </c>
      <c r="BG84" s="11" t="str">
        <f t="shared" si="101"/>
        <v/>
      </c>
      <c r="BH84" s="10" t="str">
        <f t="shared" si="102"/>
        <v/>
      </c>
      <c r="BJ84" s="7" t="str">
        <f t="shared" si="103"/>
        <v/>
      </c>
      <c r="BK84" s="158" t="str">
        <f t="shared" si="104"/>
        <v/>
      </c>
      <c r="BL84" s="158" t="str">
        <f t="shared" si="105"/>
        <v/>
      </c>
      <c r="BM84" s="10"/>
      <c r="BN84" s="10" t="str">
        <f t="shared" si="106"/>
        <v/>
      </c>
      <c r="BO84" s="10" t="str">
        <f t="shared" si="107"/>
        <v/>
      </c>
      <c r="BQ84" s="10" t="str">
        <f t="shared" si="108"/>
        <v/>
      </c>
      <c r="BR84" s="10" t="str">
        <f t="shared" si="109"/>
        <v/>
      </c>
    </row>
    <row r="85" spans="4:70" x14ac:dyDescent="0.15">
      <c r="D85" s="100" t="s">
        <v>594</v>
      </c>
      <c r="E85" s="489"/>
      <c r="F85" s="486"/>
      <c r="G85" s="100"/>
      <c r="I85" s="38">
        <f t="shared" si="110"/>
        <v>2100</v>
      </c>
      <c r="J85" s="39"/>
      <c r="K85" s="39">
        <f t="shared" si="111"/>
        <v>71</v>
      </c>
      <c r="L85" s="39"/>
      <c r="M85" s="40">
        <f t="shared" si="76"/>
        <v>0.12261879557071313</v>
      </c>
      <c r="N85" s="39"/>
      <c r="O85" s="72" t="str">
        <f t="shared" si="112"/>
        <v/>
      </c>
      <c r="P85" s="41" t="str">
        <f t="shared" si="77"/>
        <v/>
      </c>
      <c r="Q85" s="39"/>
      <c r="R85" s="72" t="str">
        <f t="shared" si="113"/>
        <v/>
      </c>
      <c r="S85" s="39"/>
      <c r="T85" s="72" t="str">
        <f t="shared" si="78"/>
        <v/>
      </c>
      <c r="U85" s="39"/>
      <c r="V85" s="72" t="str">
        <f t="shared" si="79"/>
        <v/>
      </c>
      <c r="W85" s="72" t="str">
        <f t="shared" si="80"/>
        <v/>
      </c>
      <c r="X85" s="39"/>
      <c r="Y85" s="72" t="str">
        <f t="shared" si="81"/>
        <v/>
      </c>
      <c r="Z85" s="72" t="str">
        <f t="shared" si="82"/>
        <v/>
      </c>
      <c r="AA85" s="39"/>
      <c r="AB85" s="72" t="str">
        <f t="shared" si="83"/>
        <v/>
      </c>
      <c r="AC85" s="72" t="str">
        <f t="shared" si="84"/>
        <v/>
      </c>
      <c r="AD85" s="39"/>
      <c r="AE85" s="72" t="str">
        <f t="shared" si="85"/>
        <v/>
      </c>
      <c r="AF85" s="72" t="str">
        <f t="shared" si="86"/>
        <v/>
      </c>
      <c r="AG85" s="39"/>
      <c r="AH85" s="72" t="str">
        <f t="shared" si="87"/>
        <v/>
      </c>
      <c r="AI85" s="72" t="str">
        <f t="shared" si="88"/>
        <v/>
      </c>
      <c r="AJ85" s="39"/>
      <c r="AK85" s="72" t="str">
        <f t="shared" si="89"/>
        <v/>
      </c>
      <c r="AL85" s="72" t="str">
        <f t="shared" si="90"/>
        <v/>
      </c>
      <c r="AM85" s="39"/>
      <c r="AN85" s="72" t="str">
        <f t="shared" si="91"/>
        <v/>
      </c>
      <c r="AO85" s="72" t="str">
        <f t="shared" si="92"/>
        <v/>
      </c>
      <c r="AP85" s="39"/>
      <c r="AQ85" s="72" t="str">
        <f t="shared" si="93"/>
        <v/>
      </c>
      <c r="AR85" s="72" t="str">
        <f t="shared" si="94"/>
        <v/>
      </c>
      <c r="AS85" s="39"/>
      <c r="AT85" s="40"/>
      <c r="AU85" s="39"/>
      <c r="AV85" s="72" t="str">
        <f t="shared" si="95"/>
        <v/>
      </c>
      <c r="AW85" s="72" t="str">
        <f t="shared" si="96"/>
        <v/>
      </c>
      <c r="AX85" s="39"/>
      <c r="AY85" s="40"/>
      <c r="AZ85" s="39"/>
      <c r="BA85" s="42" t="str">
        <f t="shared" si="97"/>
        <v/>
      </c>
      <c r="BB85" s="72" t="str">
        <f t="shared" si="98"/>
        <v/>
      </c>
      <c r="BC85" s="39"/>
      <c r="BD85" s="72" t="str">
        <f t="shared" si="99"/>
        <v/>
      </c>
      <c r="BE85" s="72" t="str">
        <f t="shared" si="100"/>
        <v/>
      </c>
      <c r="BF85" s="39"/>
      <c r="BG85" s="42" t="str">
        <f t="shared" si="101"/>
        <v/>
      </c>
      <c r="BH85" s="72" t="str">
        <f t="shared" si="102"/>
        <v/>
      </c>
      <c r="BI85" s="39"/>
      <c r="BJ85" s="40" t="str">
        <f t="shared" si="103"/>
        <v/>
      </c>
      <c r="BK85" s="157" t="str">
        <f t="shared" si="104"/>
        <v/>
      </c>
      <c r="BL85" s="157" t="str">
        <f t="shared" si="105"/>
        <v/>
      </c>
      <c r="BM85" s="72"/>
      <c r="BN85" s="72" t="str">
        <f t="shared" si="106"/>
        <v/>
      </c>
      <c r="BO85" s="72" t="str">
        <f t="shared" si="107"/>
        <v/>
      </c>
      <c r="BP85" s="39"/>
      <c r="BQ85" s="72" t="str">
        <f t="shared" si="108"/>
        <v/>
      </c>
      <c r="BR85" s="72" t="str">
        <f t="shared" si="109"/>
        <v/>
      </c>
    </row>
    <row r="86" spans="4:70" x14ac:dyDescent="0.15">
      <c r="F86" s="487"/>
      <c r="I86" s="322">
        <f t="shared" si="110"/>
        <v>2101</v>
      </c>
      <c r="K86" s="71">
        <f t="shared" si="111"/>
        <v>72</v>
      </c>
      <c r="M86" s="7">
        <f t="shared" si="76"/>
        <v>0.1190473743404982</v>
      </c>
      <c r="O86" s="10" t="str">
        <f t="shared" si="112"/>
        <v/>
      </c>
      <c r="P86" s="29" t="str">
        <f t="shared" si="77"/>
        <v/>
      </c>
      <c r="R86" s="10" t="str">
        <f t="shared" si="113"/>
        <v/>
      </c>
      <c r="T86" s="10" t="str">
        <f t="shared" si="78"/>
        <v/>
      </c>
      <c r="V86" s="10" t="str">
        <f t="shared" si="79"/>
        <v/>
      </c>
      <c r="W86" s="10" t="str">
        <f t="shared" si="80"/>
        <v/>
      </c>
      <c r="Y86" s="10" t="str">
        <f t="shared" si="81"/>
        <v/>
      </c>
      <c r="Z86" s="10" t="str">
        <f t="shared" si="82"/>
        <v/>
      </c>
      <c r="AB86" s="10" t="str">
        <f t="shared" si="83"/>
        <v/>
      </c>
      <c r="AC86" s="10" t="str">
        <f t="shared" si="84"/>
        <v/>
      </c>
      <c r="AE86" s="10" t="str">
        <f t="shared" si="85"/>
        <v/>
      </c>
      <c r="AF86" s="10" t="str">
        <f t="shared" si="86"/>
        <v/>
      </c>
      <c r="AH86" s="10" t="str">
        <f t="shared" si="87"/>
        <v/>
      </c>
      <c r="AI86" s="10" t="str">
        <f t="shared" si="88"/>
        <v/>
      </c>
      <c r="AK86" s="10" t="str">
        <f t="shared" si="89"/>
        <v/>
      </c>
      <c r="AL86" s="10" t="str">
        <f t="shared" si="90"/>
        <v/>
      </c>
      <c r="AN86" s="10" t="str">
        <f t="shared" si="91"/>
        <v/>
      </c>
      <c r="AO86" s="10" t="str">
        <f t="shared" si="92"/>
        <v/>
      </c>
      <c r="AQ86" s="10" t="str">
        <f t="shared" si="93"/>
        <v/>
      </c>
      <c r="AR86" s="10" t="str">
        <f t="shared" si="94"/>
        <v/>
      </c>
      <c r="AT86" s="7"/>
      <c r="AV86" s="10" t="str">
        <f t="shared" si="95"/>
        <v/>
      </c>
      <c r="AW86" s="10" t="str">
        <f t="shared" si="96"/>
        <v/>
      </c>
      <c r="AY86" s="7"/>
      <c r="BA86" s="11" t="str">
        <f t="shared" si="97"/>
        <v/>
      </c>
      <c r="BB86" s="10" t="str">
        <f t="shared" si="98"/>
        <v/>
      </c>
      <c r="BD86" s="10" t="str">
        <f t="shared" si="99"/>
        <v/>
      </c>
      <c r="BE86" s="10" t="str">
        <f t="shared" si="100"/>
        <v/>
      </c>
      <c r="BG86" s="11" t="str">
        <f t="shared" si="101"/>
        <v/>
      </c>
      <c r="BH86" s="10" t="str">
        <f t="shared" si="102"/>
        <v/>
      </c>
      <c r="BJ86" s="7" t="str">
        <f t="shared" si="103"/>
        <v/>
      </c>
      <c r="BK86" s="158" t="str">
        <f t="shared" si="104"/>
        <v/>
      </c>
      <c r="BL86" s="158" t="str">
        <f t="shared" si="105"/>
        <v/>
      </c>
      <c r="BM86" s="10"/>
      <c r="BN86" s="10" t="str">
        <f t="shared" si="106"/>
        <v/>
      </c>
      <c r="BO86" s="10" t="str">
        <f t="shared" si="107"/>
        <v/>
      </c>
      <c r="BQ86" s="10" t="str">
        <f t="shared" si="108"/>
        <v/>
      </c>
      <c r="BR86" s="10" t="str">
        <f t="shared" si="109"/>
        <v/>
      </c>
    </row>
    <row r="87" spans="4:70" x14ac:dyDescent="0.15">
      <c r="E87" s="84" t="s">
        <v>141</v>
      </c>
      <c r="F87" s="488">
        <f>AI116/$BR$116</f>
        <v>0.17395085888236572</v>
      </c>
      <c r="G87" s="84" t="s">
        <v>590</v>
      </c>
      <c r="I87" s="38">
        <f t="shared" si="110"/>
        <v>2102</v>
      </c>
      <c r="J87" s="39"/>
      <c r="K87" s="39">
        <f t="shared" si="111"/>
        <v>73</v>
      </c>
      <c r="L87" s="39"/>
      <c r="M87" s="40">
        <f t="shared" si="76"/>
        <v>0.11557997508786232</v>
      </c>
      <c r="N87" s="39"/>
      <c r="O87" s="72" t="str">
        <f t="shared" si="112"/>
        <v/>
      </c>
      <c r="P87" s="41" t="str">
        <f t="shared" si="77"/>
        <v/>
      </c>
      <c r="Q87" s="39"/>
      <c r="R87" s="72" t="str">
        <f t="shared" si="113"/>
        <v/>
      </c>
      <c r="S87" s="39"/>
      <c r="T87" s="72" t="str">
        <f t="shared" si="78"/>
        <v/>
      </c>
      <c r="U87" s="39"/>
      <c r="V87" s="72" t="str">
        <f t="shared" si="79"/>
        <v/>
      </c>
      <c r="W87" s="72" t="str">
        <f t="shared" si="80"/>
        <v/>
      </c>
      <c r="X87" s="39"/>
      <c r="Y87" s="72" t="str">
        <f t="shared" si="81"/>
        <v/>
      </c>
      <c r="Z87" s="72" t="str">
        <f t="shared" si="82"/>
        <v/>
      </c>
      <c r="AA87" s="39"/>
      <c r="AB87" s="72" t="str">
        <f t="shared" si="83"/>
        <v/>
      </c>
      <c r="AC87" s="72" t="str">
        <f t="shared" si="84"/>
        <v/>
      </c>
      <c r="AD87" s="39"/>
      <c r="AE87" s="72" t="str">
        <f t="shared" si="85"/>
        <v/>
      </c>
      <c r="AF87" s="72" t="str">
        <f t="shared" si="86"/>
        <v/>
      </c>
      <c r="AG87" s="39"/>
      <c r="AH87" s="72" t="str">
        <f t="shared" si="87"/>
        <v/>
      </c>
      <c r="AI87" s="72" t="str">
        <f t="shared" si="88"/>
        <v/>
      </c>
      <c r="AJ87" s="39"/>
      <c r="AK87" s="72" t="str">
        <f t="shared" si="89"/>
        <v/>
      </c>
      <c r="AL87" s="72" t="str">
        <f t="shared" si="90"/>
        <v/>
      </c>
      <c r="AM87" s="39"/>
      <c r="AN87" s="72" t="str">
        <f t="shared" si="91"/>
        <v/>
      </c>
      <c r="AO87" s="72" t="str">
        <f t="shared" si="92"/>
        <v/>
      </c>
      <c r="AP87" s="39"/>
      <c r="AQ87" s="72" t="str">
        <f t="shared" si="93"/>
        <v/>
      </c>
      <c r="AR87" s="72" t="str">
        <f t="shared" si="94"/>
        <v/>
      </c>
      <c r="AS87" s="39"/>
      <c r="AT87" s="40"/>
      <c r="AU87" s="39"/>
      <c r="AV87" s="72" t="str">
        <f t="shared" si="95"/>
        <v/>
      </c>
      <c r="AW87" s="72" t="str">
        <f t="shared" si="96"/>
        <v/>
      </c>
      <c r="AX87" s="39"/>
      <c r="AY87" s="40"/>
      <c r="AZ87" s="39"/>
      <c r="BA87" s="42" t="str">
        <f t="shared" si="97"/>
        <v/>
      </c>
      <c r="BB87" s="72" t="str">
        <f t="shared" si="98"/>
        <v/>
      </c>
      <c r="BC87" s="39"/>
      <c r="BD87" s="72" t="str">
        <f t="shared" si="99"/>
        <v/>
      </c>
      <c r="BE87" s="72" t="str">
        <f t="shared" si="100"/>
        <v/>
      </c>
      <c r="BF87" s="39"/>
      <c r="BG87" s="42" t="str">
        <f t="shared" si="101"/>
        <v/>
      </c>
      <c r="BH87" s="72" t="str">
        <f t="shared" si="102"/>
        <v/>
      </c>
      <c r="BI87" s="39"/>
      <c r="BJ87" s="40" t="str">
        <f t="shared" si="103"/>
        <v/>
      </c>
      <c r="BK87" s="157" t="str">
        <f t="shared" si="104"/>
        <v/>
      </c>
      <c r="BL87" s="157" t="str">
        <f t="shared" si="105"/>
        <v/>
      </c>
      <c r="BM87" s="72"/>
      <c r="BN87" s="72" t="str">
        <f t="shared" si="106"/>
        <v/>
      </c>
      <c r="BO87" s="72" t="str">
        <f t="shared" si="107"/>
        <v/>
      </c>
      <c r="BP87" s="39"/>
      <c r="BQ87" s="72" t="str">
        <f t="shared" si="108"/>
        <v/>
      </c>
      <c r="BR87" s="72" t="str">
        <f t="shared" si="109"/>
        <v/>
      </c>
    </row>
    <row r="88" spans="4:70" x14ac:dyDescent="0.15">
      <c r="E88" s="84" t="s">
        <v>120</v>
      </c>
      <c r="F88" s="488">
        <f>AL116/$BR$116</f>
        <v>1.7363458459348868</v>
      </c>
      <c r="G88" s="84" t="s">
        <v>590</v>
      </c>
      <c r="I88" s="322">
        <f t="shared" si="110"/>
        <v>2103</v>
      </c>
      <c r="K88" s="71">
        <f t="shared" si="111"/>
        <v>74</v>
      </c>
      <c r="M88" s="7">
        <f t="shared" si="76"/>
        <v>0.11221356804646829</v>
      </c>
      <c r="O88" s="10" t="str">
        <f t="shared" si="112"/>
        <v/>
      </c>
      <c r="P88" s="29" t="str">
        <f t="shared" si="77"/>
        <v/>
      </c>
      <c r="R88" s="10" t="str">
        <f t="shared" si="113"/>
        <v/>
      </c>
      <c r="T88" s="10" t="str">
        <f t="shared" si="78"/>
        <v/>
      </c>
      <c r="V88" s="10" t="str">
        <f t="shared" si="79"/>
        <v/>
      </c>
      <c r="W88" s="10" t="str">
        <f t="shared" si="80"/>
        <v/>
      </c>
      <c r="Y88" s="10" t="str">
        <f t="shared" si="81"/>
        <v/>
      </c>
      <c r="Z88" s="10" t="str">
        <f t="shared" si="82"/>
        <v/>
      </c>
      <c r="AB88" s="10" t="str">
        <f t="shared" si="83"/>
        <v/>
      </c>
      <c r="AC88" s="10" t="str">
        <f t="shared" si="84"/>
        <v/>
      </c>
      <c r="AE88" s="10" t="str">
        <f t="shared" si="85"/>
        <v/>
      </c>
      <c r="AF88" s="10" t="str">
        <f t="shared" si="86"/>
        <v/>
      </c>
      <c r="AH88" s="10" t="str">
        <f t="shared" si="87"/>
        <v/>
      </c>
      <c r="AI88" s="10" t="str">
        <f t="shared" si="88"/>
        <v/>
      </c>
      <c r="AK88" s="10" t="str">
        <f t="shared" si="89"/>
        <v/>
      </c>
      <c r="AL88" s="10" t="str">
        <f t="shared" si="90"/>
        <v/>
      </c>
      <c r="AN88" s="10" t="str">
        <f t="shared" si="91"/>
        <v/>
      </c>
      <c r="AO88" s="10" t="str">
        <f t="shared" si="92"/>
        <v/>
      </c>
      <c r="AQ88" s="10" t="str">
        <f t="shared" si="93"/>
        <v/>
      </c>
      <c r="AR88" s="10" t="str">
        <f t="shared" si="94"/>
        <v/>
      </c>
      <c r="AT88" s="7"/>
      <c r="AV88" s="10" t="str">
        <f t="shared" si="95"/>
        <v/>
      </c>
      <c r="AW88" s="10" t="str">
        <f t="shared" si="96"/>
        <v/>
      </c>
      <c r="AY88" s="7"/>
      <c r="BA88" s="11" t="str">
        <f t="shared" si="97"/>
        <v/>
      </c>
      <c r="BB88" s="10" t="str">
        <f t="shared" si="98"/>
        <v/>
      </c>
      <c r="BD88" s="10" t="str">
        <f t="shared" si="99"/>
        <v/>
      </c>
      <c r="BE88" s="10" t="str">
        <f t="shared" si="100"/>
        <v/>
      </c>
      <c r="BG88" s="11" t="str">
        <f t="shared" si="101"/>
        <v/>
      </c>
      <c r="BH88" s="10" t="str">
        <f t="shared" si="102"/>
        <v/>
      </c>
      <c r="BJ88" s="7" t="str">
        <f t="shared" si="103"/>
        <v/>
      </c>
      <c r="BK88" s="158" t="str">
        <f t="shared" si="104"/>
        <v/>
      </c>
      <c r="BL88" s="158" t="str">
        <f t="shared" si="105"/>
        <v/>
      </c>
      <c r="BM88" s="10"/>
      <c r="BN88" s="10" t="str">
        <f t="shared" si="106"/>
        <v/>
      </c>
      <c r="BO88" s="10" t="str">
        <f t="shared" si="107"/>
        <v/>
      </c>
      <c r="BQ88" s="10" t="str">
        <f t="shared" si="108"/>
        <v/>
      </c>
      <c r="BR88" s="10" t="str">
        <f t="shared" si="109"/>
        <v/>
      </c>
    </row>
    <row r="89" spans="4:70" x14ac:dyDescent="0.15">
      <c r="E89" s="84" t="s">
        <v>122</v>
      </c>
      <c r="F89" s="488">
        <f>AO116/$BR$116</f>
        <v>1.5916503587736459</v>
      </c>
      <c r="G89" s="84" t="s">
        <v>590</v>
      </c>
      <c r="I89" s="38">
        <f t="shared" si="110"/>
        <v>2104</v>
      </c>
      <c r="J89" s="39"/>
      <c r="K89" s="39">
        <f t="shared" si="111"/>
        <v>75</v>
      </c>
      <c r="L89" s="39"/>
      <c r="M89" s="40">
        <f t="shared" si="76"/>
        <v>0.10894521169560026</v>
      </c>
      <c r="N89" s="39"/>
      <c r="O89" s="72" t="str">
        <f t="shared" si="112"/>
        <v/>
      </c>
      <c r="P89" s="41" t="str">
        <f t="shared" si="77"/>
        <v/>
      </c>
      <c r="Q89" s="39"/>
      <c r="R89" s="72" t="str">
        <f t="shared" si="113"/>
        <v/>
      </c>
      <c r="S89" s="39"/>
      <c r="T89" s="72" t="str">
        <f t="shared" si="78"/>
        <v/>
      </c>
      <c r="U89" s="39"/>
      <c r="V89" s="72" t="str">
        <f t="shared" si="79"/>
        <v/>
      </c>
      <c r="W89" s="72" t="str">
        <f t="shared" si="80"/>
        <v/>
      </c>
      <c r="X89" s="39"/>
      <c r="Y89" s="72" t="str">
        <f t="shared" si="81"/>
        <v/>
      </c>
      <c r="Z89" s="72" t="str">
        <f t="shared" si="82"/>
        <v/>
      </c>
      <c r="AA89" s="39"/>
      <c r="AB89" s="72" t="str">
        <f t="shared" si="83"/>
        <v/>
      </c>
      <c r="AC89" s="72" t="str">
        <f t="shared" si="84"/>
        <v/>
      </c>
      <c r="AD89" s="39"/>
      <c r="AE89" s="72" t="str">
        <f t="shared" si="85"/>
        <v/>
      </c>
      <c r="AF89" s="72" t="str">
        <f t="shared" si="86"/>
        <v/>
      </c>
      <c r="AG89" s="39"/>
      <c r="AH89" s="72" t="str">
        <f t="shared" si="87"/>
        <v/>
      </c>
      <c r="AI89" s="72" t="str">
        <f t="shared" si="88"/>
        <v/>
      </c>
      <c r="AJ89" s="39"/>
      <c r="AK89" s="72" t="str">
        <f t="shared" si="89"/>
        <v/>
      </c>
      <c r="AL89" s="72" t="str">
        <f t="shared" si="90"/>
        <v/>
      </c>
      <c r="AM89" s="39"/>
      <c r="AN89" s="72" t="str">
        <f t="shared" si="91"/>
        <v/>
      </c>
      <c r="AO89" s="72" t="str">
        <f t="shared" si="92"/>
        <v/>
      </c>
      <c r="AP89" s="39"/>
      <c r="AQ89" s="72" t="str">
        <f t="shared" si="93"/>
        <v/>
      </c>
      <c r="AR89" s="72" t="str">
        <f t="shared" si="94"/>
        <v/>
      </c>
      <c r="AS89" s="39"/>
      <c r="AT89" s="40"/>
      <c r="AU89" s="39"/>
      <c r="AV89" s="72" t="str">
        <f t="shared" si="95"/>
        <v/>
      </c>
      <c r="AW89" s="72" t="str">
        <f t="shared" si="96"/>
        <v/>
      </c>
      <c r="AX89" s="39"/>
      <c r="AY89" s="40"/>
      <c r="AZ89" s="39"/>
      <c r="BA89" s="42" t="str">
        <f t="shared" si="97"/>
        <v/>
      </c>
      <c r="BB89" s="72" t="str">
        <f t="shared" si="98"/>
        <v/>
      </c>
      <c r="BC89" s="39"/>
      <c r="BD89" s="72" t="str">
        <f t="shared" si="99"/>
        <v/>
      </c>
      <c r="BE89" s="72" t="str">
        <f t="shared" si="100"/>
        <v/>
      </c>
      <c r="BF89" s="39"/>
      <c r="BG89" s="42" t="str">
        <f t="shared" si="101"/>
        <v/>
      </c>
      <c r="BH89" s="72" t="str">
        <f t="shared" si="102"/>
        <v/>
      </c>
      <c r="BI89" s="39"/>
      <c r="BJ89" s="40" t="str">
        <f t="shared" si="103"/>
        <v/>
      </c>
      <c r="BK89" s="157" t="str">
        <f t="shared" si="104"/>
        <v/>
      </c>
      <c r="BL89" s="157" t="str">
        <f t="shared" si="105"/>
        <v/>
      </c>
      <c r="BM89" s="72"/>
      <c r="BN89" s="72" t="str">
        <f t="shared" si="106"/>
        <v/>
      </c>
      <c r="BO89" s="72" t="str">
        <f t="shared" si="107"/>
        <v/>
      </c>
      <c r="BP89" s="39"/>
      <c r="BQ89" s="72" t="str">
        <f t="shared" si="108"/>
        <v/>
      </c>
      <c r="BR89" s="72" t="str">
        <f t="shared" si="109"/>
        <v/>
      </c>
    </row>
    <row r="90" spans="4:70" x14ac:dyDescent="0.15">
      <c r="E90" s="84" t="s">
        <v>142</v>
      </c>
      <c r="F90" s="488">
        <f>AR116/$BR$116</f>
        <v>0.42723754175808965</v>
      </c>
      <c r="G90" s="84" t="s">
        <v>590</v>
      </c>
      <c r="I90" s="322">
        <f t="shared" si="110"/>
        <v>2105</v>
      </c>
      <c r="K90" s="71">
        <f t="shared" si="111"/>
        <v>76</v>
      </c>
      <c r="M90" s="7">
        <f t="shared" si="76"/>
        <v>0.10577205018990318</v>
      </c>
      <c r="O90" s="10" t="str">
        <f t="shared" si="112"/>
        <v/>
      </c>
      <c r="P90" s="29" t="str">
        <f t="shared" si="77"/>
        <v/>
      </c>
      <c r="R90" s="10" t="str">
        <f t="shared" si="113"/>
        <v/>
      </c>
      <c r="T90" s="10" t="str">
        <f t="shared" si="78"/>
        <v/>
      </c>
      <c r="V90" s="10" t="str">
        <f t="shared" si="79"/>
        <v/>
      </c>
      <c r="W90" s="10" t="str">
        <f t="shared" si="80"/>
        <v/>
      </c>
      <c r="Y90" s="10" t="str">
        <f t="shared" si="81"/>
        <v/>
      </c>
      <c r="Z90" s="10" t="str">
        <f t="shared" si="82"/>
        <v/>
      </c>
      <c r="AB90" s="10" t="str">
        <f t="shared" si="83"/>
        <v/>
      </c>
      <c r="AC90" s="10" t="str">
        <f t="shared" si="84"/>
        <v/>
      </c>
      <c r="AE90" s="10" t="str">
        <f t="shared" si="85"/>
        <v/>
      </c>
      <c r="AF90" s="10" t="str">
        <f t="shared" si="86"/>
        <v/>
      </c>
      <c r="AH90" s="10" t="str">
        <f t="shared" si="87"/>
        <v/>
      </c>
      <c r="AI90" s="10" t="str">
        <f t="shared" si="88"/>
        <v/>
      </c>
      <c r="AK90" s="10" t="str">
        <f t="shared" si="89"/>
        <v/>
      </c>
      <c r="AL90" s="10" t="str">
        <f t="shared" si="90"/>
        <v/>
      </c>
      <c r="AN90" s="10" t="str">
        <f t="shared" si="91"/>
        <v/>
      </c>
      <c r="AO90" s="10" t="str">
        <f t="shared" si="92"/>
        <v/>
      </c>
      <c r="AQ90" s="10" t="str">
        <f t="shared" si="93"/>
        <v/>
      </c>
      <c r="AR90" s="10" t="str">
        <f t="shared" si="94"/>
        <v/>
      </c>
      <c r="AT90" s="7"/>
      <c r="AV90" s="10" t="str">
        <f t="shared" si="95"/>
        <v/>
      </c>
      <c r="AW90" s="10" t="str">
        <f t="shared" si="96"/>
        <v/>
      </c>
      <c r="AY90" s="7"/>
      <c r="BA90" s="11" t="str">
        <f t="shared" si="97"/>
        <v/>
      </c>
      <c r="BB90" s="10" t="str">
        <f t="shared" si="98"/>
        <v/>
      </c>
      <c r="BD90" s="10" t="str">
        <f t="shared" si="99"/>
        <v/>
      </c>
      <c r="BE90" s="10" t="str">
        <f t="shared" si="100"/>
        <v/>
      </c>
      <c r="BG90" s="11" t="str">
        <f t="shared" si="101"/>
        <v/>
      </c>
      <c r="BH90" s="10" t="str">
        <f t="shared" si="102"/>
        <v/>
      </c>
      <c r="BJ90" s="7" t="str">
        <f t="shared" si="103"/>
        <v/>
      </c>
      <c r="BK90" s="158" t="str">
        <f t="shared" si="104"/>
        <v/>
      </c>
      <c r="BL90" s="158" t="str">
        <f t="shared" si="105"/>
        <v/>
      </c>
      <c r="BM90" s="10"/>
      <c r="BN90" s="10" t="str">
        <f t="shared" si="106"/>
        <v/>
      </c>
      <c r="BO90" s="10" t="str">
        <f t="shared" si="107"/>
        <v/>
      </c>
      <c r="BQ90" s="10" t="str">
        <f t="shared" si="108"/>
        <v/>
      </c>
      <c r="BR90" s="10" t="str">
        <f t="shared" si="109"/>
        <v/>
      </c>
    </row>
    <row r="91" spans="4:70" x14ac:dyDescent="0.15">
      <c r="F91" s="487"/>
      <c r="I91" s="38">
        <f t="shared" si="110"/>
        <v>2106</v>
      </c>
      <c r="J91" s="39"/>
      <c r="K91" s="39">
        <f t="shared" si="111"/>
        <v>77</v>
      </c>
      <c r="L91" s="39"/>
      <c r="M91" s="40">
        <f t="shared" si="76"/>
        <v>0.10269131086398368</v>
      </c>
      <c r="N91" s="39"/>
      <c r="O91" s="72" t="str">
        <f t="shared" si="112"/>
        <v/>
      </c>
      <c r="P91" s="41" t="str">
        <f t="shared" si="77"/>
        <v/>
      </c>
      <c r="Q91" s="39"/>
      <c r="R91" s="72" t="str">
        <f t="shared" si="113"/>
        <v/>
      </c>
      <c r="S91" s="39"/>
      <c r="T91" s="72" t="str">
        <f t="shared" si="78"/>
        <v/>
      </c>
      <c r="U91" s="39"/>
      <c r="V91" s="72" t="str">
        <f t="shared" si="79"/>
        <v/>
      </c>
      <c r="W91" s="72" t="str">
        <f t="shared" si="80"/>
        <v/>
      </c>
      <c r="X91" s="39"/>
      <c r="Y91" s="72" t="str">
        <f t="shared" si="81"/>
        <v/>
      </c>
      <c r="Z91" s="72" t="str">
        <f t="shared" si="82"/>
        <v/>
      </c>
      <c r="AA91" s="39"/>
      <c r="AB91" s="72" t="str">
        <f t="shared" si="83"/>
        <v/>
      </c>
      <c r="AC91" s="72" t="str">
        <f t="shared" si="84"/>
        <v/>
      </c>
      <c r="AD91" s="39"/>
      <c r="AE91" s="72" t="str">
        <f t="shared" si="85"/>
        <v/>
      </c>
      <c r="AF91" s="72" t="str">
        <f t="shared" si="86"/>
        <v/>
      </c>
      <c r="AG91" s="39"/>
      <c r="AH91" s="72" t="str">
        <f t="shared" si="87"/>
        <v/>
      </c>
      <c r="AI91" s="72" t="str">
        <f t="shared" si="88"/>
        <v/>
      </c>
      <c r="AJ91" s="39"/>
      <c r="AK91" s="72" t="str">
        <f t="shared" si="89"/>
        <v/>
      </c>
      <c r="AL91" s="72" t="str">
        <f t="shared" si="90"/>
        <v/>
      </c>
      <c r="AM91" s="39"/>
      <c r="AN91" s="72" t="str">
        <f t="shared" si="91"/>
        <v/>
      </c>
      <c r="AO91" s="72" t="str">
        <f t="shared" si="92"/>
        <v/>
      </c>
      <c r="AP91" s="39"/>
      <c r="AQ91" s="72" t="str">
        <f t="shared" si="93"/>
        <v/>
      </c>
      <c r="AR91" s="72" t="str">
        <f t="shared" si="94"/>
        <v/>
      </c>
      <c r="AS91" s="39"/>
      <c r="AT91" s="40"/>
      <c r="AU91" s="39"/>
      <c r="AV91" s="72" t="str">
        <f t="shared" si="95"/>
        <v/>
      </c>
      <c r="AW91" s="72" t="str">
        <f t="shared" si="96"/>
        <v/>
      </c>
      <c r="AX91" s="39"/>
      <c r="AY91" s="40"/>
      <c r="AZ91" s="39"/>
      <c r="BA91" s="42" t="str">
        <f t="shared" si="97"/>
        <v/>
      </c>
      <c r="BB91" s="72" t="str">
        <f t="shared" si="98"/>
        <v/>
      </c>
      <c r="BC91" s="39"/>
      <c r="BD91" s="72" t="str">
        <f t="shared" si="99"/>
        <v/>
      </c>
      <c r="BE91" s="72" t="str">
        <f t="shared" si="100"/>
        <v/>
      </c>
      <c r="BF91" s="39"/>
      <c r="BG91" s="42" t="str">
        <f t="shared" si="101"/>
        <v/>
      </c>
      <c r="BH91" s="72" t="str">
        <f t="shared" si="102"/>
        <v/>
      </c>
      <c r="BI91" s="39"/>
      <c r="BJ91" s="40" t="str">
        <f t="shared" si="103"/>
        <v/>
      </c>
      <c r="BK91" s="157" t="str">
        <f t="shared" si="104"/>
        <v/>
      </c>
      <c r="BL91" s="157" t="str">
        <f t="shared" si="105"/>
        <v/>
      </c>
      <c r="BM91" s="72"/>
      <c r="BN91" s="72" t="str">
        <f t="shared" si="106"/>
        <v/>
      </c>
      <c r="BO91" s="72" t="str">
        <f t="shared" si="107"/>
        <v/>
      </c>
      <c r="BP91" s="39"/>
      <c r="BQ91" s="72" t="str">
        <f t="shared" si="108"/>
        <v/>
      </c>
      <c r="BR91" s="72" t="str">
        <f t="shared" si="109"/>
        <v/>
      </c>
    </row>
    <row r="92" spans="4:70" ht="15" x14ac:dyDescent="0.15">
      <c r="D92" s="103" t="s">
        <v>595</v>
      </c>
      <c r="F92" s="484">
        <f>SUBTOTAL(9,F96:F97)</f>
        <v>4.2961450473795786</v>
      </c>
      <c r="I92" s="322">
        <f t="shared" si="110"/>
        <v>2107</v>
      </c>
      <c r="K92" s="71">
        <f t="shared" si="111"/>
        <v>78</v>
      </c>
      <c r="M92" s="7">
        <f t="shared" si="76"/>
        <v>9.9700301809692873E-2</v>
      </c>
      <c r="O92" s="10" t="str">
        <f t="shared" si="112"/>
        <v/>
      </c>
      <c r="P92" s="29" t="str">
        <f t="shared" si="77"/>
        <v/>
      </c>
      <c r="R92" s="10" t="str">
        <f t="shared" si="113"/>
        <v/>
      </c>
      <c r="T92" s="10" t="str">
        <f t="shared" si="78"/>
        <v/>
      </c>
      <c r="V92" s="10" t="str">
        <f t="shared" si="79"/>
        <v/>
      </c>
      <c r="W92" s="10" t="str">
        <f t="shared" si="80"/>
        <v/>
      </c>
      <c r="Y92" s="10" t="str">
        <f t="shared" si="81"/>
        <v/>
      </c>
      <c r="Z92" s="10" t="str">
        <f t="shared" si="82"/>
        <v/>
      </c>
      <c r="AB92" s="10" t="str">
        <f t="shared" si="83"/>
        <v/>
      </c>
      <c r="AC92" s="10" t="str">
        <f t="shared" si="84"/>
        <v/>
      </c>
      <c r="AE92" s="10" t="str">
        <f t="shared" si="85"/>
        <v/>
      </c>
      <c r="AF92" s="10" t="str">
        <f t="shared" si="86"/>
        <v/>
      </c>
      <c r="AH92" s="10" t="str">
        <f t="shared" si="87"/>
        <v/>
      </c>
      <c r="AI92" s="10" t="str">
        <f t="shared" si="88"/>
        <v/>
      </c>
      <c r="AK92" s="10" t="str">
        <f t="shared" si="89"/>
        <v/>
      </c>
      <c r="AL92" s="10" t="str">
        <f t="shared" si="90"/>
        <v/>
      </c>
      <c r="AN92" s="10" t="str">
        <f t="shared" si="91"/>
        <v/>
      </c>
      <c r="AO92" s="10" t="str">
        <f t="shared" si="92"/>
        <v/>
      </c>
      <c r="AQ92" s="10" t="str">
        <f t="shared" si="93"/>
        <v/>
      </c>
      <c r="AR92" s="10" t="str">
        <f t="shared" si="94"/>
        <v/>
      </c>
      <c r="AT92" s="7"/>
      <c r="AV92" s="10" t="str">
        <f t="shared" si="95"/>
        <v/>
      </c>
      <c r="AW92" s="10" t="str">
        <f t="shared" si="96"/>
        <v/>
      </c>
      <c r="AY92" s="7"/>
      <c r="BA92" s="11" t="str">
        <f t="shared" si="97"/>
        <v/>
      </c>
      <c r="BB92" s="10" t="str">
        <f t="shared" si="98"/>
        <v/>
      </c>
      <c r="BD92" s="10" t="str">
        <f t="shared" si="99"/>
        <v/>
      </c>
      <c r="BE92" s="10" t="str">
        <f t="shared" si="100"/>
        <v/>
      </c>
      <c r="BG92" s="11" t="str">
        <f t="shared" si="101"/>
        <v/>
      </c>
      <c r="BH92" s="10" t="str">
        <f t="shared" si="102"/>
        <v/>
      </c>
      <c r="BJ92" s="7" t="str">
        <f t="shared" si="103"/>
        <v/>
      </c>
      <c r="BK92" s="158" t="str">
        <f t="shared" si="104"/>
        <v/>
      </c>
      <c r="BL92" s="158" t="str">
        <f t="shared" si="105"/>
        <v/>
      </c>
      <c r="BM92" s="10"/>
      <c r="BN92" s="10" t="str">
        <f t="shared" si="106"/>
        <v/>
      </c>
      <c r="BO92" s="10" t="str">
        <f t="shared" si="107"/>
        <v/>
      </c>
      <c r="BQ92" s="10" t="str">
        <f t="shared" si="108"/>
        <v/>
      </c>
      <c r="BR92" s="10" t="str">
        <f t="shared" si="109"/>
        <v/>
      </c>
    </row>
    <row r="93" spans="4:70" ht="15" x14ac:dyDescent="0.15">
      <c r="D93" s="103"/>
      <c r="F93" s="487"/>
      <c r="I93" s="38">
        <f t="shared" si="110"/>
        <v>2108</v>
      </c>
      <c r="J93" s="39"/>
      <c r="K93" s="39">
        <f t="shared" si="111"/>
        <v>79</v>
      </c>
      <c r="L93" s="39"/>
      <c r="M93" s="40">
        <f t="shared" si="76"/>
        <v>9.679640952397367E-2</v>
      </c>
      <c r="N93" s="39"/>
      <c r="O93" s="72" t="str">
        <f t="shared" si="112"/>
        <v/>
      </c>
      <c r="P93" s="41" t="str">
        <f t="shared" si="77"/>
        <v/>
      </c>
      <c r="Q93" s="39"/>
      <c r="R93" s="72" t="str">
        <f t="shared" si="113"/>
        <v/>
      </c>
      <c r="S93" s="39"/>
      <c r="T93" s="72" t="str">
        <f t="shared" si="78"/>
        <v/>
      </c>
      <c r="U93" s="39"/>
      <c r="V93" s="72" t="str">
        <f t="shared" si="79"/>
        <v/>
      </c>
      <c r="W93" s="72" t="str">
        <f t="shared" si="80"/>
        <v/>
      </c>
      <c r="X93" s="39"/>
      <c r="Y93" s="72" t="str">
        <f t="shared" si="81"/>
        <v/>
      </c>
      <c r="Z93" s="72" t="str">
        <f t="shared" si="82"/>
        <v/>
      </c>
      <c r="AA93" s="39"/>
      <c r="AB93" s="72" t="str">
        <f t="shared" si="83"/>
        <v/>
      </c>
      <c r="AC93" s="72" t="str">
        <f t="shared" si="84"/>
        <v/>
      </c>
      <c r="AD93" s="39"/>
      <c r="AE93" s="72" t="str">
        <f t="shared" si="85"/>
        <v/>
      </c>
      <c r="AF93" s="72" t="str">
        <f t="shared" si="86"/>
        <v/>
      </c>
      <c r="AG93" s="39"/>
      <c r="AH93" s="72" t="str">
        <f t="shared" si="87"/>
        <v/>
      </c>
      <c r="AI93" s="72" t="str">
        <f t="shared" si="88"/>
        <v/>
      </c>
      <c r="AJ93" s="39"/>
      <c r="AK93" s="72" t="str">
        <f t="shared" si="89"/>
        <v/>
      </c>
      <c r="AL93" s="72" t="str">
        <f t="shared" si="90"/>
        <v/>
      </c>
      <c r="AM93" s="39"/>
      <c r="AN93" s="72" t="str">
        <f t="shared" si="91"/>
        <v/>
      </c>
      <c r="AO93" s="72" t="str">
        <f t="shared" si="92"/>
        <v/>
      </c>
      <c r="AP93" s="39"/>
      <c r="AQ93" s="72" t="str">
        <f t="shared" si="93"/>
        <v/>
      </c>
      <c r="AR93" s="72" t="str">
        <f t="shared" si="94"/>
        <v/>
      </c>
      <c r="AS93" s="39"/>
      <c r="AT93" s="40"/>
      <c r="AU93" s="39"/>
      <c r="AV93" s="72" t="str">
        <f t="shared" si="95"/>
        <v/>
      </c>
      <c r="AW93" s="72" t="str">
        <f t="shared" si="96"/>
        <v/>
      </c>
      <c r="AX93" s="39"/>
      <c r="AY93" s="40"/>
      <c r="AZ93" s="39"/>
      <c r="BA93" s="42" t="str">
        <f t="shared" si="97"/>
        <v/>
      </c>
      <c r="BB93" s="72" t="str">
        <f t="shared" si="98"/>
        <v/>
      </c>
      <c r="BC93" s="39"/>
      <c r="BD93" s="72" t="str">
        <f t="shared" si="99"/>
        <v/>
      </c>
      <c r="BE93" s="72" t="str">
        <f t="shared" si="100"/>
        <v/>
      </c>
      <c r="BF93" s="39"/>
      <c r="BG93" s="42" t="str">
        <f t="shared" si="101"/>
        <v/>
      </c>
      <c r="BH93" s="72" t="str">
        <f t="shared" si="102"/>
        <v/>
      </c>
      <c r="BI93" s="39"/>
      <c r="BJ93" s="40" t="str">
        <f t="shared" si="103"/>
        <v/>
      </c>
      <c r="BK93" s="157" t="str">
        <f t="shared" si="104"/>
        <v/>
      </c>
      <c r="BL93" s="157" t="str">
        <f t="shared" si="105"/>
        <v/>
      </c>
      <c r="BM93" s="72"/>
      <c r="BN93" s="72" t="str">
        <f t="shared" si="106"/>
        <v/>
      </c>
      <c r="BO93" s="72" t="str">
        <f t="shared" si="107"/>
        <v/>
      </c>
      <c r="BP93" s="39"/>
      <c r="BQ93" s="72" t="str">
        <f t="shared" si="108"/>
        <v/>
      </c>
      <c r="BR93" s="72" t="str">
        <f t="shared" si="109"/>
        <v/>
      </c>
    </row>
    <row r="94" spans="4:70" x14ac:dyDescent="0.15">
      <c r="D94" s="100" t="s">
        <v>596</v>
      </c>
      <c r="E94" s="100"/>
      <c r="F94" s="486"/>
      <c r="G94" s="100"/>
      <c r="I94" s="322">
        <f t="shared" si="110"/>
        <v>2109</v>
      </c>
      <c r="K94" s="71">
        <f t="shared" si="111"/>
        <v>80</v>
      </c>
      <c r="M94" s="7">
        <f t="shared" si="76"/>
        <v>9.3977096625217166E-2</v>
      </c>
      <c r="O94" s="10" t="str">
        <f t="shared" si="112"/>
        <v/>
      </c>
      <c r="P94" s="29" t="str">
        <f t="shared" si="77"/>
        <v/>
      </c>
      <c r="R94" s="10" t="str">
        <f t="shared" si="113"/>
        <v/>
      </c>
      <c r="T94" s="10" t="str">
        <f t="shared" si="78"/>
        <v/>
      </c>
      <c r="V94" s="10" t="str">
        <f t="shared" si="79"/>
        <v/>
      </c>
      <c r="W94" s="10" t="str">
        <f t="shared" si="80"/>
        <v/>
      </c>
      <c r="Y94" s="10" t="str">
        <f t="shared" si="81"/>
        <v/>
      </c>
      <c r="Z94" s="10" t="str">
        <f t="shared" si="82"/>
        <v/>
      </c>
      <c r="AB94" s="10" t="str">
        <f t="shared" si="83"/>
        <v/>
      </c>
      <c r="AC94" s="10" t="str">
        <f t="shared" si="84"/>
        <v/>
      </c>
      <c r="AE94" s="10" t="str">
        <f t="shared" si="85"/>
        <v/>
      </c>
      <c r="AF94" s="10" t="str">
        <f t="shared" si="86"/>
        <v/>
      </c>
      <c r="AH94" s="10" t="str">
        <f t="shared" si="87"/>
        <v/>
      </c>
      <c r="AI94" s="10" t="str">
        <f t="shared" si="88"/>
        <v/>
      </c>
      <c r="AK94" s="10" t="str">
        <f t="shared" si="89"/>
        <v/>
      </c>
      <c r="AL94" s="10" t="str">
        <f t="shared" si="90"/>
        <v/>
      </c>
      <c r="AN94" s="10" t="str">
        <f t="shared" si="91"/>
        <v/>
      </c>
      <c r="AO94" s="10" t="str">
        <f t="shared" si="92"/>
        <v/>
      </c>
      <c r="AQ94" s="10" t="str">
        <f t="shared" si="93"/>
        <v/>
      </c>
      <c r="AR94" s="10" t="str">
        <f t="shared" si="94"/>
        <v/>
      </c>
      <c r="AT94" s="7"/>
      <c r="AV94" s="10" t="str">
        <f t="shared" si="95"/>
        <v/>
      </c>
      <c r="AW94" s="10" t="str">
        <f t="shared" si="96"/>
        <v/>
      </c>
      <c r="AY94" s="7"/>
      <c r="BA94" s="11" t="str">
        <f t="shared" si="97"/>
        <v/>
      </c>
      <c r="BB94" s="10" t="str">
        <f t="shared" si="98"/>
        <v/>
      </c>
      <c r="BD94" s="10" t="str">
        <f t="shared" si="99"/>
        <v/>
      </c>
      <c r="BE94" s="10" t="str">
        <f t="shared" si="100"/>
        <v/>
      </c>
      <c r="BG94" s="11" t="str">
        <f t="shared" si="101"/>
        <v/>
      </c>
      <c r="BH94" s="10" t="str">
        <f t="shared" si="102"/>
        <v/>
      </c>
      <c r="BJ94" s="7" t="str">
        <f t="shared" si="103"/>
        <v/>
      </c>
      <c r="BK94" s="158" t="str">
        <f t="shared" si="104"/>
        <v/>
      </c>
      <c r="BL94" s="158" t="str">
        <f t="shared" si="105"/>
        <v/>
      </c>
      <c r="BM94" s="10"/>
      <c r="BN94" s="10" t="str">
        <f t="shared" si="106"/>
        <v/>
      </c>
      <c r="BO94" s="10" t="str">
        <f t="shared" si="107"/>
        <v/>
      </c>
      <c r="BQ94" s="10" t="str">
        <f t="shared" si="108"/>
        <v/>
      </c>
      <c r="BR94" s="10" t="str">
        <f t="shared" si="109"/>
        <v/>
      </c>
    </row>
    <row r="95" spans="4:70" ht="15" x14ac:dyDescent="0.15">
      <c r="D95" s="103"/>
      <c r="F95" s="487"/>
      <c r="I95" s="38">
        <f t="shared" si="110"/>
        <v>2110</v>
      </c>
      <c r="J95" s="39"/>
      <c r="K95" s="39">
        <f t="shared" si="111"/>
        <v>81</v>
      </c>
      <c r="L95" s="39"/>
      <c r="M95" s="40">
        <f t="shared" si="76"/>
        <v>9.1239899636133173E-2</v>
      </c>
      <c r="N95" s="39"/>
      <c r="O95" s="72" t="str">
        <f t="shared" si="112"/>
        <v/>
      </c>
      <c r="P95" s="41" t="str">
        <f t="shared" si="77"/>
        <v/>
      </c>
      <c r="Q95" s="39"/>
      <c r="R95" s="72" t="str">
        <f t="shared" si="113"/>
        <v/>
      </c>
      <c r="S95" s="39"/>
      <c r="T95" s="72" t="str">
        <f t="shared" si="78"/>
        <v/>
      </c>
      <c r="U95" s="39"/>
      <c r="V95" s="72" t="str">
        <f t="shared" si="79"/>
        <v/>
      </c>
      <c r="W95" s="72" t="str">
        <f t="shared" si="80"/>
        <v/>
      </c>
      <c r="X95" s="39"/>
      <c r="Y95" s="72" t="str">
        <f t="shared" si="81"/>
        <v/>
      </c>
      <c r="Z95" s="72" t="str">
        <f t="shared" si="82"/>
        <v/>
      </c>
      <c r="AA95" s="39"/>
      <c r="AB95" s="72" t="str">
        <f t="shared" si="83"/>
        <v/>
      </c>
      <c r="AC95" s="72" t="str">
        <f t="shared" si="84"/>
        <v/>
      </c>
      <c r="AD95" s="39"/>
      <c r="AE95" s="72" t="str">
        <f t="shared" si="85"/>
        <v/>
      </c>
      <c r="AF95" s="72" t="str">
        <f t="shared" si="86"/>
        <v/>
      </c>
      <c r="AG95" s="39"/>
      <c r="AH95" s="72" t="str">
        <f t="shared" si="87"/>
        <v/>
      </c>
      <c r="AI95" s="72" t="str">
        <f t="shared" si="88"/>
        <v/>
      </c>
      <c r="AJ95" s="39"/>
      <c r="AK95" s="72" t="str">
        <f t="shared" si="89"/>
        <v/>
      </c>
      <c r="AL95" s="72" t="str">
        <f t="shared" si="90"/>
        <v/>
      </c>
      <c r="AM95" s="39"/>
      <c r="AN95" s="72" t="str">
        <f t="shared" si="91"/>
        <v/>
      </c>
      <c r="AO95" s="72" t="str">
        <f t="shared" si="92"/>
        <v/>
      </c>
      <c r="AP95" s="39"/>
      <c r="AQ95" s="72" t="str">
        <f t="shared" si="93"/>
        <v/>
      </c>
      <c r="AR95" s="72" t="str">
        <f t="shared" si="94"/>
        <v/>
      </c>
      <c r="AS95" s="39"/>
      <c r="AT95" s="40"/>
      <c r="AU95" s="39"/>
      <c r="AV95" s="72" t="str">
        <f t="shared" si="95"/>
        <v/>
      </c>
      <c r="AW95" s="72" t="str">
        <f t="shared" si="96"/>
        <v/>
      </c>
      <c r="AX95" s="39"/>
      <c r="AY95" s="40"/>
      <c r="AZ95" s="39"/>
      <c r="BA95" s="42" t="str">
        <f t="shared" si="97"/>
        <v/>
      </c>
      <c r="BB95" s="72" t="str">
        <f t="shared" si="98"/>
        <v/>
      </c>
      <c r="BC95" s="39"/>
      <c r="BD95" s="72" t="str">
        <f t="shared" si="99"/>
        <v/>
      </c>
      <c r="BE95" s="72" t="str">
        <f t="shared" si="100"/>
        <v/>
      </c>
      <c r="BF95" s="39"/>
      <c r="BG95" s="42" t="str">
        <f t="shared" si="101"/>
        <v/>
      </c>
      <c r="BH95" s="72" t="str">
        <f t="shared" si="102"/>
        <v/>
      </c>
      <c r="BI95" s="39"/>
      <c r="BJ95" s="40" t="str">
        <f t="shared" si="103"/>
        <v/>
      </c>
      <c r="BK95" s="157" t="str">
        <f t="shared" si="104"/>
        <v/>
      </c>
      <c r="BL95" s="157" t="str">
        <f t="shared" si="105"/>
        <v/>
      </c>
      <c r="BM95" s="72"/>
      <c r="BN95" s="72" t="str">
        <f t="shared" si="106"/>
        <v/>
      </c>
      <c r="BO95" s="72" t="str">
        <f t="shared" si="107"/>
        <v/>
      </c>
      <c r="BP95" s="39"/>
      <c r="BQ95" s="72" t="str">
        <f t="shared" si="108"/>
        <v/>
      </c>
      <c r="BR95" s="72" t="str">
        <f t="shared" si="109"/>
        <v/>
      </c>
    </row>
    <row r="96" spans="4:70" ht="15" x14ac:dyDescent="0.15">
      <c r="D96" s="103"/>
      <c r="E96" s="84" t="s">
        <v>597</v>
      </c>
      <c r="F96" s="488">
        <f>IF(F3&lt;&gt;"原子力",AW116/$BR$116,0)</f>
        <v>4.2961450473795786</v>
      </c>
      <c r="G96" s="84" t="s">
        <v>590</v>
      </c>
      <c r="I96" s="322">
        <f t="shared" si="110"/>
        <v>2111</v>
      </c>
      <c r="K96" s="71">
        <f t="shared" si="111"/>
        <v>82</v>
      </c>
      <c r="M96" s="7">
        <f t="shared" si="76"/>
        <v>8.8582426831197242E-2</v>
      </c>
      <c r="O96" s="10" t="str">
        <f t="shared" si="112"/>
        <v/>
      </c>
      <c r="P96" s="29" t="str">
        <f t="shared" si="77"/>
        <v/>
      </c>
      <c r="R96" s="10" t="str">
        <f t="shared" si="113"/>
        <v/>
      </c>
      <c r="T96" s="10" t="str">
        <f t="shared" si="78"/>
        <v/>
      </c>
      <c r="V96" s="10" t="str">
        <f t="shared" si="79"/>
        <v/>
      </c>
      <c r="W96" s="10" t="str">
        <f t="shared" si="80"/>
        <v/>
      </c>
      <c r="Y96" s="10" t="str">
        <f t="shared" si="81"/>
        <v/>
      </c>
      <c r="Z96" s="10" t="str">
        <f t="shared" si="82"/>
        <v/>
      </c>
      <c r="AB96" s="10" t="str">
        <f t="shared" si="83"/>
        <v/>
      </c>
      <c r="AC96" s="10" t="str">
        <f t="shared" si="84"/>
        <v/>
      </c>
      <c r="AE96" s="10" t="str">
        <f t="shared" si="85"/>
        <v/>
      </c>
      <c r="AF96" s="10" t="str">
        <f t="shared" si="86"/>
        <v/>
      </c>
      <c r="AH96" s="10" t="str">
        <f t="shared" si="87"/>
        <v/>
      </c>
      <c r="AI96" s="10" t="str">
        <f t="shared" si="88"/>
        <v/>
      </c>
      <c r="AK96" s="10" t="str">
        <f t="shared" si="89"/>
        <v/>
      </c>
      <c r="AL96" s="10" t="str">
        <f t="shared" si="90"/>
        <v/>
      </c>
      <c r="AN96" s="10" t="str">
        <f t="shared" si="91"/>
        <v/>
      </c>
      <c r="AO96" s="10" t="str">
        <f t="shared" si="92"/>
        <v/>
      </c>
      <c r="AQ96" s="10" t="str">
        <f t="shared" si="93"/>
        <v/>
      </c>
      <c r="AR96" s="10" t="str">
        <f t="shared" si="94"/>
        <v/>
      </c>
      <c r="AT96" s="7"/>
      <c r="AV96" s="10" t="str">
        <f t="shared" si="95"/>
        <v/>
      </c>
      <c r="AW96" s="10" t="str">
        <f t="shared" si="96"/>
        <v/>
      </c>
      <c r="AY96" s="7"/>
      <c r="BA96" s="11" t="str">
        <f t="shared" si="97"/>
        <v/>
      </c>
      <c r="BB96" s="10" t="str">
        <f t="shared" si="98"/>
        <v/>
      </c>
      <c r="BD96" s="10" t="str">
        <f t="shared" si="99"/>
        <v/>
      </c>
      <c r="BE96" s="10" t="str">
        <f t="shared" si="100"/>
        <v/>
      </c>
      <c r="BG96" s="11" t="str">
        <f t="shared" si="101"/>
        <v/>
      </c>
      <c r="BH96" s="10" t="str">
        <f t="shared" si="102"/>
        <v/>
      </c>
      <c r="BJ96" s="7" t="str">
        <f t="shared" si="103"/>
        <v/>
      </c>
      <c r="BK96" s="158" t="str">
        <f t="shared" si="104"/>
        <v/>
      </c>
      <c r="BL96" s="158" t="str">
        <f t="shared" si="105"/>
        <v/>
      </c>
      <c r="BM96" s="10"/>
      <c r="BN96" s="10" t="str">
        <f t="shared" si="106"/>
        <v/>
      </c>
      <c r="BO96" s="10" t="str">
        <f t="shared" si="107"/>
        <v/>
      </c>
      <c r="BQ96" s="10" t="str">
        <f t="shared" si="108"/>
        <v/>
      </c>
      <c r="BR96" s="10" t="str">
        <f t="shared" si="109"/>
        <v/>
      </c>
    </row>
    <row r="97" spans="4:70" ht="15" x14ac:dyDescent="0.15">
      <c r="D97" s="103"/>
      <c r="E97" s="84" t="s">
        <v>598</v>
      </c>
      <c r="F97" s="488">
        <f>IF(F3="原子力",'表5）核燃料サイクル費用'!B30,0)</f>
        <v>0</v>
      </c>
      <c r="G97" s="84" t="s">
        <v>590</v>
      </c>
      <c r="I97" s="38">
        <f t="shared" si="110"/>
        <v>2112</v>
      </c>
      <c r="J97" s="39"/>
      <c r="K97" s="39">
        <f t="shared" si="111"/>
        <v>83</v>
      </c>
      <c r="L97" s="39"/>
      <c r="M97" s="40">
        <f t="shared" si="76"/>
        <v>8.6002356146793454E-2</v>
      </c>
      <c r="N97" s="39"/>
      <c r="O97" s="72" t="str">
        <f t="shared" si="112"/>
        <v/>
      </c>
      <c r="P97" s="41" t="str">
        <f t="shared" si="77"/>
        <v/>
      </c>
      <c r="Q97" s="39"/>
      <c r="R97" s="72" t="str">
        <f t="shared" si="113"/>
        <v/>
      </c>
      <c r="S97" s="39"/>
      <c r="T97" s="72" t="str">
        <f t="shared" si="78"/>
        <v/>
      </c>
      <c r="U97" s="39"/>
      <c r="V97" s="72" t="str">
        <f t="shared" si="79"/>
        <v/>
      </c>
      <c r="W97" s="72" t="str">
        <f t="shared" si="80"/>
        <v/>
      </c>
      <c r="X97" s="39"/>
      <c r="Y97" s="72" t="str">
        <f t="shared" si="81"/>
        <v/>
      </c>
      <c r="Z97" s="72" t="str">
        <f t="shared" si="82"/>
        <v/>
      </c>
      <c r="AA97" s="39"/>
      <c r="AB97" s="72" t="str">
        <f t="shared" si="83"/>
        <v/>
      </c>
      <c r="AC97" s="72" t="str">
        <f t="shared" si="84"/>
        <v/>
      </c>
      <c r="AD97" s="39"/>
      <c r="AE97" s="72" t="str">
        <f t="shared" si="85"/>
        <v/>
      </c>
      <c r="AF97" s="72" t="str">
        <f t="shared" si="86"/>
        <v/>
      </c>
      <c r="AG97" s="39"/>
      <c r="AH97" s="72" t="str">
        <f t="shared" si="87"/>
        <v/>
      </c>
      <c r="AI97" s="72" t="str">
        <f t="shared" si="88"/>
        <v/>
      </c>
      <c r="AJ97" s="39"/>
      <c r="AK97" s="72" t="str">
        <f t="shared" si="89"/>
        <v/>
      </c>
      <c r="AL97" s="72" t="str">
        <f t="shared" si="90"/>
        <v/>
      </c>
      <c r="AM97" s="39"/>
      <c r="AN97" s="72" t="str">
        <f t="shared" si="91"/>
        <v/>
      </c>
      <c r="AO97" s="72" t="str">
        <f t="shared" si="92"/>
        <v/>
      </c>
      <c r="AP97" s="39"/>
      <c r="AQ97" s="72" t="str">
        <f t="shared" si="93"/>
        <v/>
      </c>
      <c r="AR97" s="72" t="str">
        <f t="shared" si="94"/>
        <v/>
      </c>
      <c r="AS97" s="39"/>
      <c r="AT97" s="40"/>
      <c r="AU97" s="39"/>
      <c r="AV97" s="72" t="str">
        <f t="shared" si="95"/>
        <v/>
      </c>
      <c r="AW97" s="72" t="str">
        <f t="shared" si="96"/>
        <v/>
      </c>
      <c r="AX97" s="39"/>
      <c r="AY97" s="40"/>
      <c r="AZ97" s="39"/>
      <c r="BA97" s="42" t="str">
        <f t="shared" si="97"/>
        <v/>
      </c>
      <c r="BB97" s="72" t="str">
        <f t="shared" si="98"/>
        <v/>
      </c>
      <c r="BC97" s="39"/>
      <c r="BD97" s="72" t="str">
        <f t="shared" si="99"/>
        <v/>
      </c>
      <c r="BE97" s="72" t="str">
        <f t="shared" si="100"/>
        <v/>
      </c>
      <c r="BF97" s="39"/>
      <c r="BG97" s="42" t="str">
        <f t="shared" si="101"/>
        <v/>
      </c>
      <c r="BH97" s="72" t="str">
        <f t="shared" si="102"/>
        <v/>
      </c>
      <c r="BI97" s="39"/>
      <c r="BJ97" s="40" t="str">
        <f t="shared" si="103"/>
        <v/>
      </c>
      <c r="BK97" s="157" t="str">
        <f t="shared" si="104"/>
        <v/>
      </c>
      <c r="BL97" s="157" t="str">
        <f t="shared" si="105"/>
        <v/>
      </c>
      <c r="BM97" s="72"/>
      <c r="BN97" s="72" t="str">
        <f t="shared" si="106"/>
        <v/>
      </c>
      <c r="BO97" s="72" t="str">
        <f t="shared" si="107"/>
        <v/>
      </c>
      <c r="BP97" s="39"/>
      <c r="BQ97" s="72" t="str">
        <f t="shared" si="108"/>
        <v/>
      </c>
      <c r="BR97" s="72" t="str">
        <f t="shared" si="109"/>
        <v/>
      </c>
    </row>
    <row r="98" spans="4:70" x14ac:dyDescent="0.15">
      <c r="F98" s="487"/>
      <c r="I98" s="322">
        <f t="shared" si="110"/>
        <v>2113</v>
      </c>
      <c r="K98" s="71">
        <f t="shared" si="111"/>
        <v>84</v>
      </c>
      <c r="M98" s="7">
        <f t="shared" si="76"/>
        <v>8.3497433152226644E-2</v>
      </c>
      <c r="O98" s="10" t="str">
        <f t="shared" si="112"/>
        <v/>
      </c>
      <c r="P98" s="29" t="str">
        <f t="shared" si="77"/>
        <v/>
      </c>
      <c r="R98" s="10" t="str">
        <f t="shared" si="113"/>
        <v/>
      </c>
      <c r="T98" s="10" t="str">
        <f t="shared" si="78"/>
        <v/>
      </c>
      <c r="V98" s="10" t="str">
        <f t="shared" si="79"/>
        <v/>
      </c>
      <c r="W98" s="10" t="str">
        <f t="shared" si="80"/>
        <v/>
      </c>
      <c r="Y98" s="10" t="str">
        <f t="shared" si="81"/>
        <v/>
      </c>
      <c r="Z98" s="10" t="str">
        <f t="shared" si="82"/>
        <v/>
      </c>
      <c r="AB98" s="10" t="str">
        <f t="shared" si="83"/>
        <v/>
      </c>
      <c r="AC98" s="10" t="str">
        <f t="shared" si="84"/>
        <v/>
      </c>
      <c r="AE98" s="10" t="str">
        <f t="shared" si="85"/>
        <v/>
      </c>
      <c r="AF98" s="10" t="str">
        <f t="shared" si="86"/>
        <v/>
      </c>
      <c r="AH98" s="10" t="str">
        <f t="shared" si="87"/>
        <v/>
      </c>
      <c r="AI98" s="10" t="str">
        <f t="shared" si="88"/>
        <v/>
      </c>
      <c r="AK98" s="10" t="str">
        <f t="shared" si="89"/>
        <v/>
      </c>
      <c r="AL98" s="10" t="str">
        <f t="shared" si="90"/>
        <v/>
      </c>
      <c r="AN98" s="10" t="str">
        <f t="shared" si="91"/>
        <v/>
      </c>
      <c r="AO98" s="10" t="str">
        <f t="shared" si="92"/>
        <v/>
      </c>
      <c r="AQ98" s="10" t="str">
        <f t="shared" si="93"/>
        <v/>
      </c>
      <c r="AR98" s="10" t="str">
        <f t="shared" si="94"/>
        <v/>
      </c>
      <c r="AT98" s="7"/>
      <c r="AV98" s="10" t="str">
        <f t="shared" si="95"/>
        <v/>
      </c>
      <c r="AW98" s="10" t="str">
        <f t="shared" si="96"/>
        <v/>
      </c>
      <c r="AY98" s="7"/>
      <c r="BA98" s="11" t="str">
        <f t="shared" si="97"/>
        <v/>
      </c>
      <c r="BB98" s="10" t="str">
        <f t="shared" si="98"/>
        <v/>
      </c>
      <c r="BD98" s="10" t="str">
        <f t="shared" si="99"/>
        <v/>
      </c>
      <c r="BE98" s="10" t="str">
        <f t="shared" si="100"/>
        <v/>
      </c>
      <c r="BG98" s="11" t="str">
        <f t="shared" si="101"/>
        <v/>
      </c>
      <c r="BH98" s="10" t="str">
        <f t="shared" si="102"/>
        <v/>
      </c>
      <c r="BJ98" s="7" t="str">
        <f t="shared" si="103"/>
        <v/>
      </c>
      <c r="BK98" s="158" t="str">
        <f t="shared" si="104"/>
        <v/>
      </c>
      <c r="BL98" s="158" t="str">
        <f t="shared" si="105"/>
        <v/>
      </c>
      <c r="BM98" s="10"/>
      <c r="BN98" s="10" t="str">
        <f t="shared" si="106"/>
        <v/>
      </c>
      <c r="BO98" s="10" t="str">
        <f t="shared" si="107"/>
        <v/>
      </c>
      <c r="BQ98" s="10" t="str">
        <f t="shared" si="108"/>
        <v/>
      </c>
      <c r="BR98" s="10" t="str">
        <f t="shared" si="109"/>
        <v/>
      </c>
    </row>
    <row r="99" spans="4:70" ht="15" x14ac:dyDescent="0.15">
      <c r="D99" s="103" t="s">
        <v>599</v>
      </c>
      <c r="F99" s="484">
        <f>SUBTOTAL(9,F103:F106)</f>
        <v>2.63477736071387</v>
      </c>
      <c r="G99" s="84" t="s">
        <v>590</v>
      </c>
      <c r="I99" s="38">
        <f t="shared" si="110"/>
        <v>2114</v>
      </c>
      <c r="J99" s="39"/>
      <c r="K99" s="39">
        <f t="shared" si="111"/>
        <v>85</v>
      </c>
      <c r="L99" s="39"/>
      <c r="M99" s="40">
        <f t="shared" si="76"/>
        <v>8.1065469079831712E-2</v>
      </c>
      <c r="N99" s="39"/>
      <c r="O99" s="72" t="str">
        <f t="shared" si="112"/>
        <v/>
      </c>
      <c r="P99" s="41" t="str">
        <f t="shared" si="77"/>
        <v/>
      </c>
      <c r="Q99" s="39"/>
      <c r="R99" s="72" t="str">
        <f t="shared" si="113"/>
        <v/>
      </c>
      <c r="S99" s="39"/>
      <c r="T99" s="72" t="str">
        <f t="shared" si="78"/>
        <v/>
      </c>
      <c r="U99" s="39"/>
      <c r="V99" s="72" t="str">
        <f t="shared" si="79"/>
        <v/>
      </c>
      <c r="W99" s="72" t="str">
        <f t="shared" si="80"/>
        <v/>
      </c>
      <c r="X99" s="39"/>
      <c r="Y99" s="72" t="str">
        <f t="shared" si="81"/>
        <v/>
      </c>
      <c r="Z99" s="72" t="str">
        <f t="shared" si="82"/>
        <v/>
      </c>
      <c r="AA99" s="39"/>
      <c r="AB99" s="72" t="str">
        <f t="shared" si="83"/>
        <v/>
      </c>
      <c r="AC99" s="72" t="str">
        <f t="shared" si="84"/>
        <v/>
      </c>
      <c r="AD99" s="39"/>
      <c r="AE99" s="72" t="str">
        <f t="shared" si="85"/>
        <v/>
      </c>
      <c r="AF99" s="72" t="str">
        <f t="shared" si="86"/>
        <v/>
      </c>
      <c r="AG99" s="39"/>
      <c r="AH99" s="72" t="str">
        <f t="shared" si="87"/>
        <v/>
      </c>
      <c r="AI99" s="72" t="str">
        <f t="shared" si="88"/>
        <v/>
      </c>
      <c r="AJ99" s="39"/>
      <c r="AK99" s="72" t="str">
        <f t="shared" si="89"/>
        <v/>
      </c>
      <c r="AL99" s="72" t="str">
        <f t="shared" si="90"/>
        <v/>
      </c>
      <c r="AM99" s="39"/>
      <c r="AN99" s="72" t="str">
        <f t="shared" si="91"/>
        <v/>
      </c>
      <c r="AO99" s="72" t="str">
        <f t="shared" si="92"/>
        <v/>
      </c>
      <c r="AP99" s="39"/>
      <c r="AQ99" s="72" t="str">
        <f t="shared" si="93"/>
        <v/>
      </c>
      <c r="AR99" s="72" t="str">
        <f t="shared" si="94"/>
        <v/>
      </c>
      <c r="AS99" s="39"/>
      <c r="AT99" s="40"/>
      <c r="AU99" s="39"/>
      <c r="AV99" s="72" t="str">
        <f t="shared" si="95"/>
        <v/>
      </c>
      <c r="AW99" s="72" t="str">
        <f t="shared" si="96"/>
        <v/>
      </c>
      <c r="AX99" s="39"/>
      <c r="AY99" s="40"/>
      <c r="AZ99" s="39"/>
      <c r="BA99" s="42" t="str">
        <f t="shared" si="97"/>
        <v/>
      </c>
      <c r="BB99" s="72" t="str">
        <f t="shared" si="98"/>
        <v/>
      </c>
      <c r="BC99" s="39"/>
      <c r="BD99" s="72" t="str">
        <f t="shared" si="99"/>
        <v/>
      </c>
      <c r="BE99" s="72" t="str">
        <f t="shared" si="100"/>
        <v/>
      </c>
      <c r="BF99" s="39"/>
      <c r="BG99" s="42" t="str">
        <f t="shared" si="101"/>
        <v/>
      </c>
      <c r="BH99" s="72" t="str">
        <f t="shared" si="102"/>
        <v/>
      </c>
      <c r="BI99" s="39"/>
      <c r="BJ99" s="40" t="str">
        <f t="shared" si="103"/>
        <v/>
      </c>
      <c r="BK99" s="157" t="str">
        <f t="shared" si="104"/>
        <v/>
      </c>
      <c r="BL99" s="157" t="str">
        <f t="shared" si="105"/>
        <v/>
      </c>
      <c r="BM99" s="72"/>
      <c r="BN99" s="72" t="str">
        <f t="shared" si="106"/>
        <v/>
      </c>
      <c r="BO99" s="72" t="str">
        <f t="shared" si="107"/>
        <v/>
      </c>
      <c r="BP99" s="39"/>
      <c r="BQ99" s="72" t="str">
        <f t="shared" si="108"/>
        <v/>
      </c>
      <c r="BR99" s="72" t="str">
        <f t="shared" si="109"/>
        <v/>
      </c>
    </row>
    <row r="100" spans="4:70" x14ac:dyDescent="0.15">
      <c r="F100" s="487"/>
      <c r="I100" s="322">
        <f t="shared" si="110"/>
        <v>2115</v>
      </c>
      <c r="K100" s="71">
        <f t="shared" si="111"/>
        <v>86</v>
      </c>
      <c r="M100" s="7">
        <f t="shared" si="76"/>
        <v>7.8704338912457969E-2</v>
      </c>
      <c r="O100" s="10" t="str">
        <f t="shared" si="112"/>
        <v/>
      </c>
      <c r="P100" s="29" t="str">
        <f t="shared" si="77"/>
        <v/>
      </c>
      <c r="R100" s="10" t="str">
        <f t="shared" si="113"/>
        <v/>
      </c>
      <c r="T100" s="10" t="str">
        <f t="shared" si="78"/>
        <v/>
      </c>
      <c r="V100" s="10" t="str">
        <f t="shared" si="79"/>
        <v/>
      </c>
      <c r="W100" s="10" t="str">
        <f t="shared" si="80"/>
        <v/>
      </c>
      <c r="Y100" s="10" t="str">
        <f t="shared" si="81"/>
        <v/>
      </c>
      <c r="Z100" s="10" t="str">
        <f t="shared" si="82"/>
        <v/>
      </c>
      <c r="AB100" s="10" t="str">
        <f t="shared" si="83"/>
        <v/>
      </c>
      <c r="AC100" s="10" t="str">
        <f t="shared" si="84"/>
        <v/>
      </c>
      <c r="AE100" s="10" t="str">
        <f t="shared" si="85"/>
        <v/>
      </c>
      <c r="AF100" s="10" t="str">
        <f t="shared" si="86"/>
        <v/>
      </c>
      <c r="AH100" s="10" t="str">
        <f t="shared" si="87"/>
        <v/>
      </c>
      <c r="AI100" s="10" t="str">
        <f t="shared" si="88"/>
        <v/>
      </c>
      <c r="AK100" s="10" t="str">
        <f t="shared" si="89"/>
        <v/>
      </c>
      <c r="AL100" s="10" t="str">
        <f t="shared" si="90"/>
        <v/>
      </c>
      <c r="AN100" s="10" t="str">
        <f t="shared" si="91"/>
        <v/>
      </c>
      <c r="AO100" s="10" t="str">
        <f t="shared" si="92"/>
        <v/>
      </c>
      <c r="AQ100" s="10" t="str">
        <f t="shared" si="93"/>
        <v/>
      </c>
      <c r="AR100" s="10" t="str">
        <f t="shared" si="94"/>
        <v/>
      </c>
      <c r="AT100" s="7"/>
      <c r="AV100" s="10" t="str">
        <f t="shared" si="95"/>
        <v/>
      </c>
      <c r="AW100" s="10" t="str">
        <f t="shared" si="96"/>
        <v/>
      </c>
      <c r="AY100" s="7"/>
      <c r="BA100" s="11" t="str">
        <f t="shared" si="97"/>
        <v/>
      </c>
      <c r="BB100" s="10" t="str">
        <f t="shared" si="98"/>
        <v/>
      </c>
      <c r="BD100" s="10" t="str">
        <f t="shared" si="99"/>
        <v/>
      </c>
      <c r="BE100" s="10" t="str">
        <f t="shared" si="100"/>
        <v/>
      </c>
      <c r="BG100" s="11" t="str">
        <f t="shared" si="101"/>
        <v/>
      </c>
      <c r="BH100" s="10" t="str">
        <f t="shared" si="102"/>
        <v/>
      </c>
      <c r="BJ100" s="7" t="str">
        <f t="shared" si="103"/>
        <v/>
      </c>
      <c r="BK100" s="158" t="str">
        <f t="shared" si="104"/>
        <v/>
      </c>
      <c r="BL100" s="158" t="str">
        <f t="shared" si="105"/>
        <v/>
      </c>
      <c r="BM100" s="10"/>
      <c r="BN100" s="10" t="str">
        <f t="shared" si="106"/>
        <v/>
      </c>
      <c r="BO100" s="10" t="str">
        <f t="shared" si="107"/>
        <v/>
      </c>
      <c r="BQ100" s="10" t="str">
        <f t="shared" si="108"/>
        <v/>
      </c>
      <c r="BR100" s="10" t="str">
        <f t="shared" si="109"/>
        <v/>
      </c>
    </row>
    <row r="101" spans="4:70" x14ac:dyDescent="0.15">
      <c r="D101" s="100" t="s">
        <v>600</v>
      </c>
      <c r="E101" s="100"/>
      <c r="F101" s="486"/>
      <c r="G101" s="100"/>
      <c r="I101" s="38">
        <f t="shared" si="110"/>
        <v>2116</v>
      </c>
      <c r="J101" s="39"/>
      <c r="K101" s="39">
        <f t="shared" si="111"/>
        <v>87</v>
      </c>
      <c r="L101" s="39"/>
      <c r="M101" s="40">
        <f t="shared" si="76"/>
        <v>7.6411979526658208E-2</v>
      </c>
      <c r="N101" s="39"/>
      <c r="O101" s="72" t="str">
        <f t="shared" si="112"/>
        <v/>
      </c>
      <c r="P101" s="41" t="str">
        <f t="shared" si="77"/>
        <v/>
      </c>
      <c r="Q101" s="39"/>
      <c r="R101" s="72" t="str">
        <f t="shared" si="113"/>
        <v/>
      </c>
      <c r="S101" s="39"/>
      <c r="T101" s="72" t="str">
        <f t="shared" si="78"/>
        <v/>
      </c>
      <c r="U101" s="39"/>
      <c r="V101" s="72" t="str">
        <f t="shared" si="79"/>
        <v/>
      </c>
      <c r="W101" s="72" t="str">
        <f t="shared" si="80"/>
        <v/>
      </c>
      <c r="X101" s="39"/>
      <c r="Y101" s="72" t="str">
        <f t="shared" si="81"/>
        <v/>
      </c>
      <c r="Z101" s="72" t="str">
        <f t="shared" si="82"/>
        <v/>
      </c>
      <c r="AA101" s="39"/>
      <c r="AB101" s="72" t="str">
        <f t="shared" si="83"/>
        <v/>
      </c>
      <c r="AC101" s="72" t="str">
        <f t="shared" si="84"/>
        <v/>
      </c>
      <c r="AD101" s="39"/>
      <c r="AE101" s="72" t="str">
        <f t="shared" si="85"/>
        <v/>
      </c>
      <c r="AF101" s="72" t="str">
        <f t="shared" si="86"/>
        <v/>
      </c>
      <c r="AG101" s="39"/>
      <c r="AH101" s="72" t="str">
        <f t="shared" si="87"/>
        <v/>
      </c>
      <c r="AI101" s="72" t="str">
        <f t="shared" si="88"/>
        <v/>
      </c>
      <c r="AJ101" s="39"/>
      <c r="AK101" s="72" t="str">
        <f t="shared" si="89"/>
        <v/>
      </c>
      <c r="AL101" s="72" t="str">
        <f t="shared" si="90"/>
        <v/>
      </c>
      <c r="AM101" s="39"/>
      <c r="AN101" s="72" t="str">
        <f t="shared" si="91"/>
        <v/>
      </c>
      <c r="AO101" s="72" t="str">
        <f t="shared" si="92"/>
        <v/>
      </c>
      <c r="AP101" s="39"/>
      <c r="AQ101" s="72" t="str">
        <f t="shared" si="93"/>
        <v/>
      </c>
      <c r="AR101" s="72" t="str">
        <f t="shared" si="94"/>
        <v/>
      </c>
      <c r="AS101" s="39"/>
      <c r="AT101" s="40"/>
      <c r="AU101" s="39"/>
      <c r="AV101" s="72" t="str">
        <f t="shared" si="95"/>
        <v/>
      </c>
      <c r="AW101" s="72" t="str">
        <f t="shared" si="96"/>
        <v/>
      </c>
      <c r="AX101" s="39"/>
      <c r="AY101" s="40"/>
      <c r="AZ101" s="39"/>
      <c r="BA101" s="42" t="str">
        <f t="shared" si="97"/>
        <v/>
      </c>
      <c r="BB101" s="72" t="str">
        <f t="shared" si="98"/>
        <v/>
      </c>
      <c r="BC101" s="39"/>
      <c r="BD101" s="72" t="str">
        <f t="shared" si="99"/>
        <v/>
      </c>
      <c r="BE101" s="72" t="str">
        <f t="shared" si="100"/>
        <v/>
      </c>
      <c r="BF101" s="39"/>
      <c r="BG101" s="42" t="str">
        <f t="shared" si="101"/>
        <v/>
      </c>
      <c r="BH101" s="72" t="str">
        <f t="shared" si="102"/>
        <v/>
      </c>
      <c r="BI101" s="39"/>
      <c r="BJ101" s="40" t="str">
        <f t="shared" si="103"/>
        <v/>
      </c>
      <c r="BK101" s="157" t="str">
        <f t="shared" si="104"/>
        <v/>
      </c>
      <c r="BL101" s="157" t="str">
        <f t="shared" si="105"/>
        <v/>
      </c>
      <c r="BM101" s="72"/>
      <c r="BN101" s="72" t="str">
        <f t="shared" si="106"/>
        <v/>
      </c>
      <c r="BO101" s="72" t="str">
        <f t="shared" si="107"/>
        <v/>
      </c>
      <c r="BP101" s="39"/>
      <c r="BQ101" s="72" t="str">
        <f t="shared" si="108"/>
        <v/>
      </c>
      <c r="BR101" s="72" t="str">
        <f t="shared" si="109"/>
        <v/>
      </c>
    </row>
    <row r="102" spans="4:70" x14ac:dyDescent="0.15">
      <c r="F102" s="487"/>
      <c r="I102" s="322">
        <f t="shared" si="110"/>
        <v>2117</v>
      </c>
      <c r="K102" s="71">
        <f t="shared" si="111"/>
        <v>88</v>
      </c>
      <c r="M102" s="7">
        <f t="shared" si="76"/>
        <v>7.4186387889959446E-2</v>
      </c>
      <c r="O102" s="10" t="str">
        <f t="shared" si="112"/>
        <v/>
      </c>
      <c r="P102" s="29" t="str">
        <f t="shared" si="77"/>
        <v/>
      </c>
      <c r="R102" s="10" t="str">
        <f t="shared" si="113"/>
        <v/>
      </c>
      <c r="T102" s="10" t="str">
        <f t="shared" si="78"/>
        <v/>
      </c>
      <c r="V102" s="10" t="str">
        <f t="shared" si="79"/>
        <v/>
      </c>
      <c r="W102" s="10" t="str">
        <f t="shared" si="80"/>
        <v/>
      </c>
      <c r="Y102" s="10" t="str">
        <f t="shared" si="81"/>
        <v/>
      </c>
      <c r="Z102" s="10" t="str">
        <f t="shared" si="82"/>
        <v/>
      </c>
      <c r="AB102" s="10" t="str">
        <f t="shared" si="83"/>
        <v/>
      </c>
      <c r="AC102" s="10" t="str">
        <f t="shared" si="84"/>
        <v/>
      </c>
      <c r="AE102" s="10" t="str">
        <f t="shared" si="85"/>
        <v/>
      </c>
      <c r="AF102" s="10" t="str">
        <f t="shared" si="86"/>
        <v/>
      </c>
      <c r="AH102" s="10" t="str">
        <f t="shared" si="87"/>
        <v/>
      </c>
      <c r="AI102" s="10" t="str">
        <f t="shared" si="88"/>
        <v/>
      </c>
      <c r="AK102" s="10" t="str">
        <f t="shared" si="89"/>
        <v/>
      </c>
      <c r="AL102" s="10" t="str">
        <f t="shared" si="90"/>
        <v/>
      </c>
      <c r="AN102" s="10" t="str">
        <f t="shared" si="91"/>
        <v/>
      </c>
      <c r="AO102" s="10" t="str">
        <f t="shared" si="92"/>
        <v/>
      </c>
      <c r="AQ102" s="10" t="str">
        <f t="shared" si="93"/>
        <v/>
      </c>
      <c r="AR102" s="10" t="str">
        <f t="shared" si="94"/>
        <v/>
      </c>
      <c r="AT102" s="7"/>
      <c r="AV102" s="10" t="str">
        <f t="shared" si="95"/>
        <v/>
      </c>
      <c r="AW102" s="10" t="str">
        <f t="shared" si="96"/>
        <v/>
      </c>
      <c r="AY102" s="7"/>
      <c r="BA102" s="11" t="str">
        <f t="shared" si="97"/>
        <v/>
      </c>
      <c r="BB102" s="10" t="str">
        <f t="shared" si="98"/>
        <v/>
      </c>
      <c r="BD102" s="10" t="str">
        <f t="shared" si="99"/>
        <v/>
      </c>
      <c r="BE102" s="10" t="str">
        <f t="shared" si="100"/>
        <v/>
      </c>
      <c r="BG102" s="11" t="str">
        <f t="shared" si="101"/>
        <v/>
      </c>
      <c r="BH102" s="10" t="str">
        <f t="shared" si="102"/>
        <v/>
      </c>
      <c r="BJ102" s="7" t="str">
        <f t="shared" si="103"/>
        <v/>
      </c>
      <c r="BK102" s="158" t="str">
        <f t="shared" si="104"/>
        <v/>
      </c>
      <c r="BL102" s="158" t="str">
        <f t="shared" si="105"/>
        <v/>
      </c>
      <c r="BM102" s="10"/>
      <c r="BN102" s="10" t="str">
        <f t="shared" si="106"/>
        <v/>
      </c>
      <c r="BO102" s="10" t="str">
        <f t="shared" si="107"/>
        <v/>
      </c>
      <c r="BQ102" s="10" t="str">
        <f t="shared" si="108"/>
        <v/>
      </c>
      <c r="BR102" s="10" t="str">
        <f t="shared" si="109"/>
        <v/>
      </c>
    </row>
    <row r="103" spans="4:70" x14ac:dyDescent="0.15">
      <c r="E103" s="84" t="s">
        <v>601</v>
      </c>
      <c r="F103" s="488">
        <f>BB116/$BR$116*(('表４ー②）CO2輸送・貯留コスト'!D96*10000000+F145)/F145)</f>
        <v>0.6315456973831669</v>
      </c>
      <c r="G103" s="84" t="s">
        <v>590</v>
      </c>
      <c r="I103" s="38">
        <f t="shared" si="110"/>
        <v>2118</v>
      </c>
      <c r="J103" s="39"/>
      <c r="K103" s="39">
        <f t="shared" si="111"/>
        <v>89</v>
      </c>
      <c r="L103" s="39"/>
      <c r="M103" s="40">
        <f t="shared" si="76"/>
        <v>7.2025619310640235E-2</v>
      </c>
      <c r="N103" s="39"/>
      <c r="O103" s="72" t="str">
        <f t="shared" si="112"/>
        <v/>
      </c>
      <c r="P103" s="41" t="str">
        <f t="shared" si="77"/>
        <v/>
      </c>
      <c r="Q103" s="39"/>
      <c r="R103" s="72" t="str">
        <f t="shared" si="113"/>
        <v/>
      </c>
      <c r="S103" s="39"/>
      <c r="T103" s="72" t="str">
        <f t="shared" si="78"/>
        <v/>
      </c>
      <c r="U103" s="39"/>
      <c r="V103" s="72" t="str">
        <f t="shared" si="79"/>
        <v/>
      </c>
      <c r="W103" s="72" t="str">
        <f t="shared" si="80"/>
        <v/>
      </c>
      <c r="X103" s="39"/>
      <c r="Y103" s="72" t="str">
        <f t="shared" si="81"/>
        <v/>
      </c>
      <c r="Z103" s="72" t="str">
        <f t="shared" si="82"/>
        <v/>
      </c>
      <c r="AA103" s="39"/>
      <c r="AB103" s="72" t="str">
        <f t="shared" si="83"/>
        <v/>
      </c>
      <c r="AC103" s="72" t="str">
        <f t="shared" si="84"/>
        <v/>
      </c>
      <c r="AD103" s="39"/>
      <c r="AE103" s="72" t="str">
        <f t="shared" si="85"/>
        <v/>
      </c>
      <c r="AF103" s="72" t="str">
        <f t="shared" si="86"/>
        <v/>
      </c>
      <c r="AG103" s="39"/>
      <c r="AH103" s="72" t="str">
        <f t="shared" si="87"/>
        <v/>
      </c>
      <c r="AI103" s="72" t="str">
        <f t="shared" si="88"/>
        <v/>
      </c>
      <c r="AJ103" s="39"/>
      <c r="AK103" s="72" t="str">
        <f t="shared" si="89"/>
        <v/>
      </c>
      <c r="AL103" s="72" t="str">
        <f t="shared" si="90"/>
        <v/>
      </c>
      <c r="AM103" s="39"/>
      <c r="AN103" s="72" t="str">
        <f t="shared" si="91"/>
        <v/>
      </c>
      <c r="AO103" s="72" t="str">
        <f t="shared" si="92"/>
        <v/>
      </c>
      <c r="AP103" s="39"/>
      <c r="AQ103" s="72" t="str">
        <f t="shared" si="93"/>
        <v/>
      </c>
      <c r="AR103" s="72" t="str">
        <f t="shared" si="94"/>
        <v/>
      </c>
      <c r="AS103" s="39"/>
      <c r="AT103" s="40"/>
      <c r="AU103" s="39"/>
      <c r="AV103" s="72" t="str">
        <f t="shared" si="95"/>
        <v/>
      </c>
      <c r="AW103" s="72" t="str">
        <f t="shared" si="96"/>
        <v/>
      </c>
      <c r="AX103" s="39"/>
      <c r="AY103" s="40"/>
      <c r="AZ103" s="39"/>
      <c r="BA103" s="42" t="str">
        <f t="shared" si="97"/>
        <v/>
      </c>
      <c r="BB103" s="72" t="str">
        <f t="shared" si="98"/>
        <v/>
      </c>
      <c r="BC103" s="39"/>
      <c r="BD103" s="72" t="str">
        <f t="shared" si="99"/>
        <v/>
      </c>
      <c r="BE103" s="72" t="str">
        <f t="shared" si="100"/>
        <v/>
      </c>
      <c r="BF103" s="39"/>
      <c r="BG103" s="42" t="str">
        <f t="shared" si="101"/>
        <v/>
      </c>
      <c r="BH103" s="72" t="str">
        <f t="shared" si="102"/>
        <v/>
      </c>
      <c r="BI103" s="39"/>
      <c r="BJ103" s="40" t="str">
        <f t="shared" si="103"/>
        <v/>
      </c>
      <c r="BK103" s="157" t="str">
        <f t="shared" si="104"/>
        <v/>
      </c>
      <c r="BL103" s="157" t="str">
        <f t="shared" si="105"/>
        <v/>
      </c>
      <c r="BM103" s="72"/>
      <c r="BN103" s="72" t="str">
        <f t="shared" si="106"/>
        <v/>
      </c>
      <c r="BO103" s="72" t="str">
        <f t="shared" si="107"/>
        <v/>
      </c>
      <c r="BP103" s="39"/>
      <c r="BQ103" s="72" t="str">
        <f t="shared" si="108"/>
        <v/>
      </c>
      <c r="BR103" s="72" t="str">
        <f t="shared" si="109"/>
        <v/>
      </c>
    </row>
    <row r="104" spans="4:70" x14ac:dyDescent="0.15">
      <c r="E104" s="84" t="s">
        <v>602</v>
      </c>
      <c r="F104" s="488">
        <f>IF(ISERROR(F60*(1/F61)/F62),0,F60*(1/F61)/F62)</f>
        <v>0</v>
      </c>
      <c r="G104" s="84" t="s">
        <v>590</v>
      </c>
      <c r="I104" s="322">
        <f t="shared" si="110"/>
        <v>2119</v>
      </c>
      <c r="K104" s="71">
        <f t="shared" si="111"/>
        <v>90</v>
      </c>
      <c r="M104" s="7">
        <f t="shared" si="76"/>
        <v>6.9927785738485654E-2</v>
      </c>
      <c r="O104" s="10" t="str">
        <f t="shared" si="112"/>
        <v/>
      </c>
      <c r="P104" s="29" t="str">
        <f t="shared" si="77"/>
        <v/>
      </c>
      <c r="R104" s="10" t="str">
        <f t="shared" si="113"/>
        <v/>
      </c>
      <c r="T104" s="10" t="str">
        <f t="shared" si="78"/>
        <v/>
      </c>
      <c r="V104" s="10" t="str">
        <f t="shared" si="79"/>
        <v/>
      </c>
      <c r="W104" s="10" t="str">
        <f t="shared" si="80"/>
        <v/>
      </c>
      <c r="Y104" s="10" t="str">
        <f t="shared" si="81"/>
        <v/>
      </c>
      <c r="Z104" s="10" t="str">
        <f t="shared" si="82"/>
        <v/>
      </c>
      <c r="AB104" s="10" t="str">
        <f t="shared" si="83"/>
        <v/>
      </c>
      <c r="AC104" s="10" t="str">
        <f t="shared" si="84"/>
        <v/>
      </c>
      <c r="AE104" s="10" t="str">
        <f t="shared" si="85"/>
        <v/>
      </c>
      <c r="AF104" s="10" t="str">
        <f t="shared" si="86"/>
        <v/>
      </c>
      <c r="AH104" s="10" t="str">
        <f t="shared" si="87"/>
        <v/>
      </c>
      <c r="AI104" s="10" t="str">
        <f t="shared" si="88"/>
        <v/>
      </c>
      <c r="AK104" s="10" t="str">
        <f t="shared" si="89"/>
        <v/>
      </c>
      <c r="AL104" s="10" t="str">
        <f t="shared" si="90"/>
        <v/>
      </c>
      <c r="AN104" s="10" t="str">
        <f t="shared" si="91"/>
        <v/>
      </c>
      <c r="AO104" s="10" t="str">
        <f t="shared" si="92"/>
        <v/>
      </c>
      <c r="AQ104" s="10" t="str">
        <f t="shared" si="93"/>
        <v/>
      </c>
      <c r="AR104" s="10" t="str">
        <f t="shared" si="94"/>
        <v/>
      </c>
      <c r="AT104" s="7"/>
      <c r="AV104" s="10" t="str">
        <f t="shared" si="95"/>
        <v/>
      </c>
      <c r="AW104" s="10" t="str">
        <f t="shared" si="96"/>
        <v/>
      </c>
      <c r="AY104" s="7"/>
      <c r="BA104" s="11" t="str">
        <f t="shared" si="97"/>
        <v/>
      </c>
      <c r="BB104" s="10" t="str">
        <f t="shared" si="98"/>
        <v/>
      </c>
      <c r="BD104" s="10" t="str">
        <f t="shared" si="99"/>
        <v/>
      </c>
      <c r="BE104" s="10" t="str">
        <f t="shared" si="100"/>
        <v/>
      </c>
      <c r="BG104" s="11" t="str">
        <f t="shared" si="101"/>
        <v/>
      </c>
      <c r="BH104" s="10" t="str">
        <f t="shared" si="102"/>
        <v/>
      </c>
      <c r="BJ104" s="7" t="str">
        <f t="shared" si="103"/>
        <v/>
      </c>
      <c r="BK104" s="158" t="str">
        <f t="shared" si="104"/>
        <v/>
      </c>
      <c r="BL104" s="158" t="str">
        <f t="shared" si="105"/>
        <v/>
      </c>
      <c r="BM104" s="10"/>
      <c r="BN104" s="10" t="str">
        <f t="shared" si="106"/>
        <v/>
      </c>
      <c r="BO104" s="10" t="str">
        <f t="shared" si="107"/>
        <v/>
      </c>
      <c r="BQ104" s="10" t="str">
        <f t="shared" si="108"/>
        <v/>
      </c>
      <c r="BR104" s="10" t="str">
        <f t="shared" si="109"/>
        <v/>
      </c>
    </row>
    <row r="105" spans="4:70" x14ac:dyDescent="0.15">
      <c r="E105" s="71" t="s">
        <v>603</v>
      </c>
      <c r="F105" s="488">
        <f>F64</f>
        <v>7.0000000000000007E-2</v>
      </c>
      <c r="G105" s="84" t="s">
        <v>590</v>
      </c>
      <c r="I105" s="38">
        <f t="shared" si="110"/>
        <v>2120</v>
      </c>
      <c r="J105" s="39"/>
      <c r="K105" s="39">
        <f t="shared" si="111"/>
        <v>91</v>
      </c>
      <c r="L105" s="39"/>
      <c r="M105" s="40">
        <f t="shared" si="76"/>
        <v>6.7891054115034627E-2</v>
      </c>
      <c r="N105" s="39"/>
      <c r="O105" s="72" t="str">
        <f t="shared" si="112"/>
        <v/>
      </c>
      <c r="P105" s="41" t="str">
        <f t="shared" si="77"/>
        <v/>
      </c>
      <c r="Q105" s="39"/>
      <c r="R105" s="72" t="str">
        <f t="shared" si="113"/>
        <v/>
      </c>
      <c r="S105" s="39"/>
      <c r="T105" s="72" t="str">
        <f t="shared" si="78"/>
        <v/>
      </c>
      <c r="U105" s="39"/>
      <c r="V105" s="72" t="str">
        <f t="shared" si="79"/>
        <v/>
      </c>
      <c r="W105" s="72" t="str">
        <f t="shared" si="80"/>
        <v/>
      </c>
      <c r="X105" s="39"/>
      <c r="Y105" s="72" t="str">
        <f t="shared" si="81"/>
        <v/>
      </c>
      <c r="Z105" s="72" t="str">
        <f t="shared" si="82"/>
        <v/>
      </c>
      <c r="AA105" s="39"/>
      <c r="AB105" s="72" t="str">
        <f t="shared" si="83"/>
        <v/>
      </c>
      <c r="AC105" s="72" t="str">
        <f t="shared" si="84"/>
        <v/>
      </c>
      <c r="AD105" s="39"/>
      <c r="AE105" s="72" t="str">
        <f t="shared" si="85"/>
        <v/>
      </c>
      <c r="AF105" s="72" t="str">
        <f t="shared" si="86"/>
        <v/>
      </c>
      <c r="AG105" s="39"/>
      <c r="AH105" s="72" t="str">
        <f t="shared" si="87"/>
        <v/>
      </c>
      <c r="AI105" s="72" t="str">
        <f t="shared" si="88"/>
        <v/>
      </c>
      <c r="AJ105" s="39"/>
      <c r="AK105" s="72" t="str">
        <f t="shared" si="89"/>
        <v/>
      </c>
      <c r="AL105" s="72" t="str">
        <f t="shared" si="90"/>
        <v/>
      </c>
      <c r="AM105" s="39"/>
      <c r="AN105" s="72" t="str">
        <f t="shared" si="91"/>
        <v/>
      </c>
      <c r="AO105" s="72" t="str">
        <f t="shared" si="92"/>
        <v/>
      </c>
      <c r="AP105" s="39"/>
      <c r="AQ105" s="72" t="str">
        <f t="shared" si="93"/>
        <v/>
      </c>
      <c r="AR105" s="72" t="str">
        <f t="shared" si="94"/>
        <v/>
      </c>
      <c r="AS105" s="39"/>
      <c r="AT105" s="40"/>
      <c r="AU105" s="39"/>
      <c r="AV105" s="72" t="str">
        <f t="shared" si="95"/>
        <v/>
      </c>
      <c r="AW105" s="72" t="str">
        <f t="shared" si="96"/>
        <v/>
      </c>
      <c r="AX105" s="39"/>
      <c r="AY105" s="40"/>
      <c r="AZ105" s="39"/>
      <c r="BA105" s="42" t="str">
        <f t="shared" si="97"/>
        <v/>
      </c>
      <c r="BB105" s="72" t="str">
        <f t="shared" si="98"/>
        <v/>
      </c>
      <c r="BC105" s="39"/>
      <c r="BD105" s="72" t="str">
        <f t="shared" si="99"/>
        <v/>
      </c>
      <c r="BE105" s="72" t="str">
        <f t="shared" si="100"/>
        <v/>
      </c>
      <c r="BF105" s="39"/>
      <c r="BG105" s="42" t="str">
        <f t="shared" si="101"/>
        <v/>
      </c>
      <c r="BH105" s="72" t="str">
        <f t="shared" si="102"/>
        <v/>
      </c>
      <c r="BI105" s="39"/>
      <c r="BJ105" s="40" t="str">
        <f t="shared" si="103"/>
        <v/>
      </c>
      <c r="BK105" s="157" t="str">
        <f t="shared" si="104"/>
        <v/>
      </c>
      <c r="BL105" s="157" t="str">
        <f t="shared" si="105"/>
        <v/>
      </c>
      <c r="BM105" s="72"/>
      <c r="BN105" s="72" t="str">
        <f t="shared" si="106"/>
        <v/>
      </c>
      <c r="BO105" s="72" t="str">
        <f t="shared" si="107"/>
        <v/>
      </c>
      <c r="BP105" s="39"/>
      <c r="BQ105" s="72" t="str">
        <f t="shared" si="108"/>
        <v/>
      </c>
      <c r="BR105" s="72" t="str">
        <f t="shared" si="109"/>
        <v/>
      </c>
    </row>
    <row r="106" spans="4:70" x14ac:dyDescent="0.15">
      <c r="E106" s="84" t="s">
        <v>648</v>
      </c>
      <c r="F106" s="503">
        <f>(F49*((F145/0.1)*0.9)/1000)/F134</f>
        <v>1.9332316633307034</v>
      </c>
      <c r="G106" s="71" t="s">
        <v>590</v>
      </c>
      <c r="I106" s="322">
        <f t="shared" si="110"/>
        <v>2121</v>
      </c>
      <c r="K106" s="71">
        <f t="shared" si="111"/>
        <v>92</v>
      </c>
      <c r="M106" s="7">
        <f t="shared" si="76"/>
        <v>6.5913644771878277E-2</v>
      </c>
      <c r="O106" s="10" t="str">
        <f t="shared" si="112"/>
        <v/>
      </c>
      <c r="P106" s="29" t="str">
        <f t="shared" si="77"/>
        <v/>
      </c>
      <c r="R106" s="10" t="str">
        <f t="shared" si="113"/>
        <v/>
      </c>
      <c r="T106" s="10" t="str">
        <f t="shared" si="78"/>
        <v/>
      </c>
      <c r="V106" s="10" t="str">
        <f t="shared" si="79"/>
        <v/>
      </c>
      <c r="W106" s="10" t="str">
        <f t="shared" si="80"/>
        <v/>
      </c>
      <c r="Y106" s="10" t="str">
        <f t="shared" si="81"/>
        <v/>
      </c>
      <c r="Z106" s="10" t="str">
        <f t="shared" si="82"/>
        <v/>
      </c>
      <c r="AB106" s="10" t="str">
        <f t="shared" si="83"/>
        <v/>
      </c>
      <c r="AC106" s="10" t="str">
        <f t="shared" si="84"/>
        <v/>
      </c>
      <c r="AE106" s="10" t="str">
        <f t="shared" si="85"/>
        <v/>
      </c>
      <c r="AF106" s="10" t="str">
        <f t="shared" si="86"/>
        <v/>
      </c>
      <c r="AH106" s="10" t="str">
        <f t="shared" si="87"/>
        <v/>
      </c>
      <c r="AI106" s="10" t="str">
        <f t="shared" si="88"/>
        <v/>
      </c>
      <c r="AK106" s="10" t="str">
        <f t="shared" si="89"/>
        <v/>
      </c>
      <c r="AL106" s="10" t="str">
        <f t="shared" si="90"/>
        <v/>
      </c>
      <c r="AN106" s="10" t="str">
        <f t="shared" si="91"/>
        <v/>
      </c>
      <c r="AO106" s="10" t="str">
        <f t="shared" si="92"/>
        <v/>
      </c>
      <c r="AQ106" s="10" t="str">
        <f t="shared" si="93"/>
        <v/>
      </c>
      <c r="AR106" s="10" t="str">
        <f t="shared" si="94"/>
        <v/>
      </c>
      <c r="AT106" s="7"/>
      <c r="AV106" s="10" t="str">
        <f t="shared" si="95"/>
        <v/>
      </c>
      <c r="AW106" s="10" t="str">
        <f t="shared" si="96"/>
        <v/>
      </c>
      <c r="AY106" s="7"/>
      <c r="BA106" s="11" t="str">
        <f t="shared" si="97"/>
        <v/>
      </c>
      <c r="BB106" s="10" t="str">
        <f t="shared" si="98"/>
        <v/>
      </c>
      <c r="BD106" s="10" t="str">
        <f t="shared" si="99"/>
        <v/>
      </c>
      <c r="BE106" s="10" t="str">
        <f t="shared" si="100"/>
        <v/>
      </c>
      <c r="BG106" s="11" t="str">
        <f t="shared" si="101"/>
        <v/>
      </c>
      <c r="BH106" s="10" t="str">
        <f t="shared" si="102"/>
        <v/>
      </c>
      <c r="BJ106" s="7" t="str">
        <f t="shared" si="103"/>
        <v/>
      </c>
      <c r="BK106" s="158" t="str">
        <f t="shared" si="104"/>
        <v/>
      </c>
      <c r="BL106" s="158" t="str">
        <f t="shared" si="105"/>
        <v/>
      </c>
      <c r="BM106" s="10"/>
      <c r="BN106" s="10" t="str">
        <f t="shared" si="106"/>
        <v/>
      </c>
      <c r="BO106" s="10" t="str">
        <f t="shared" si="107"/>
        <v/>
      </c>
      <c r="BQ106" s="10" t="str">
        <f t="shared" si="108"/>
        <v/>
      </c>
      <c r="BR106" s="10" t="str">
        <f t="shared" si="109"/>
        <v/>
      </c>
    </row>
    <row r="107" spans="4:70" ht="15" x14ac:dyDescent="0.15">
      <c r="D107" s="103" t="s">
        <v>604</v>
      </c>
      <c r="F107" s="484">
        <f>SUBTOTAL(9,F111:F112)</f>
        <v>0</v>
      </c>
      <c r="G107" s="84" t="s">
        <v>590</v>
      </c>
      <c r="I107" s="38">
        <f t="shared" si="110"/>
        <v>2122</v>
      </c>
      <c r="J107" s="39"/>
      <c r="K107" s="39">
        <f t="shared" si="111"/>
        <v>93</v>
      </c>
      <c r="L107" s="39"/>
      <c r="M107" s="40">
        <f t="shared" si="76"/>
        <v>6.3993829875609989E-2</v>
      </c>
      <c r="N107" s="39"/>
      <c r="O107" s="72" t="str">
        <f t="shared" si="112"/>
        <v/>
      </c>
      <c r="P107" s="41" t="str">
        <f t="shared" si="77"/>
        <v/>
      </c>
      <c r="Q107" s="39"/>
      <c r="R107" s="72" t="str">
        <f t="shared" si="113"/>
        <v/>
      </c>
      <c r="S107" s="39"/>
      <c r="T107" s="72" t="str">
        <f t="shared" si="78"/>
        <v/>
      </c>
      <c r="U107" s="39"/>
      <c r="V107" s="72" t="str">
        <f t="shared" si="79"/>
        <v/>
      </c>
      <c r="W107" s="72" t="str">
        <f t="shared" si="80"/>
        <v/>
      </c>
      <c r="X107" s="39"/>
      <c r="Y107" s="72" t="str">
        <f t="shared" si="81"/>
        <v/>
      </c>
      <c r="Z107" s="72" t="str">
        <f t="shared" si="82"/>
        <v/>
      </c>
      <c r="AA107" s="39"/>
      <c r="AB107" s="72" t="str">
        <f t="shared" si="83"/>
        <v/>
      </c>
      <c r="AC107" s="72" t="str">
        <f t="shared" si="84"/>
        <v/>
      </c>
      <c r="AD107" s="39"/>
      <c r="AE107" s="72" t="str">
        <f t="shared" si="85"/>
        <v/>
      </c>
      <c r="AF107" s="72" t="str">
        <f t="shared" si="86"/>
        <v/>
      </c>
      <c r="AG107" s="39"/>
      <c r="AH107" s="72" t="str">
        <f t="shared" si="87"/>
        <v/>
      </c>
      <c r="AI107" s="72" t="str">
        <f t="shared" si="88"/>
        <v/>
      </c>
      <c r="AJ107" s="39"/>
      <c r="AK107" s="72" t="str">
        <f t="shared" si="89"/>
        <v/>
      </c>
      <c r="AL107" s="72" t="str">
        <f t="shared" si="90"/>
        <v/>
      </c>
      <c r="AM107" s="39"/>
      <c r="AN107" s="72" t="str">
        <f t="shared" si="91"/>
        <v/>
      </c>
      <c r="AO107" s="72" t="str">
        <f t="shared" si="92"/>
        <v/>
      </c>
      <c r="AP107" s="39"/>
      <c r="AQ107" s="72" t="str">
        <f t="shared" si="93"/>
        <v/>
      </c>
      <c r="AR107" s="72" t="str">
        <f t="shared" si="94"/>
        <v/>
      </c>
      <c r="AS107" s="39"/>
      <c r="AT107" s="40"/>
      <c r="AU107" s="39"/>
      <c r="AV107" s="72" t="str">
        <f t="shared" si="95"/>
        <v/>
      </c>
      <c r="AW107" s="72" t="str">
        <f t="shared" si="96"/>
        <v/>
      </c>
      <c r="AX107" s="39"/>
      <c r="AY107" s="40"/>
      <c r="AZ107" s="39"/>
      <c r="BA107" s="42" t="str">
        <f t="shared" si="97"/>
        <v/>
      </c>
      <c r="BB107" s="72" t="str">
        <f t="shared" si="98"/>
        <v/>
      </c>
      <c r="BC107" s="39"/>
      <c r="BD107" s="72" t="str">
        <f t="shared" si="99"/>
        <v/>
      </c>
      <c r="BE107" s="72" t="str">
        <f t="shared" si="100"/>
        <v/>
      </c>
      <c r="BF107" s="39"/>
      <c r="BG107" s="42" t="str">
        <f t="shared" si="101"/>
        <v/>
      </c>
      <c r="BH107" s="72" t="str">
        <f t="shared" si="102"/>
        <v/>
      </c>
      <c r="BI107" s="39"/>
      <c r="BJ107" s="40" t="str">
        <f t="shared" si="103"/>
        <v/>
      </c>
      <c r="BK107" s="157" t="str">
        <f t="shared" si="104"/>
        <v/>
      </c>
      <c r="BL107" s="157" t="str">
        <f t="shared" si="105"/>
        <v/>
      </c>
      <c r="BM107" s="72"/>
      <c r="BN107" s="72" t="str">
        <f t="shared" si="106"/>
        <v/>
      </c>
      <c r="BO107" s="72" t="str">
        <f t="shared" si="107"/>
        <v/>
      </c>
      <c r="BP107" s="39"/>
      <c r="BQ107" s="72" t="str">
        <f t="shared" si="108"/>
        <v/>
      </c>
      <c r="BR107" s="72" t="str">
        <f t="shared" si="109"/>
        <v/>
      </c>
    </row>
    <row r="108" spans="4:70" ht="15" x14ac:dyDescent="0.15">
      <c r="D108" s="103"/>
      <c r="F108" s="487"/>
      <c r="I108" s="322">
        <f t="shared" si="110"/>
        <v>2123</v>
      </c>
      <c r="K108" s="71">
        <f t="shared" si="111"/>
        <v>94</v>
      </c>
      <c r="M108" s="7">
        <f t="shared" si="76"/>
        <v>6.212993191806794E-2</v>
      </c>
      <c r="O108" s="10" t="str">
        <f t="shared" si="112"/>
        <v/>
      </c>
      <c r="P108" s="29" t="str">
        <f t="shared" si="77"/>
        <v/>
      </c>
      <c r="R108" s="10" t="str">
        <f t="shared" si="113"/>
        <v/>
      </c>
      <c r="T108" s="10" t="str">
        <f t="shared" si="78"/>
        <v/>
      </c>
      <c r="V108" s="10" t="str">
        <f t="shared" si="79"/>
        <v/>
      </c>
      <c r="W108" s="10" t="str">
        <f t="shared" si="80"/>
        <v/>
      </c>
      <c r="Y108" s="10" t="str">
        <f t="shared" si="81"/>
        <v/>
      </c>
      <c r="Z108" s="10" t="str">
        <f t="shared" si="82"/>
        <v/>
      </c>
      <c r="AB108" s="10" t="str">
        <f t="shared" si="83"/>
        <v/>
      </c>
      <c r="AC108" s="10" t="str">
        <f t="shared" si="84"/>
        <v/>
      </c>
      <c r="AE108" s="10" t="str">
        <f t="shared" si="85"/>
        <v/>
      </c>
      <c r="AF108" s="10" t="str">
        <f t="shared" si="86"/>
        <v/>
      </c>
      <c r="AH108" s="10" t="str">
        <f t="shared" si="87"/>
        <v/>
      </c>
      <c r="AI108" s="10" t="str">
        <f t="shared" si="88"/>
        <v/>
      </c>
      <c r="AK108" s="10" t="str">
        <f t="shared" si="89"/>
        <v/>
      </c>
      <c r="AL108" s="10" t="str">
        <f t="shared" si="90"/>
        <v/>
      </c>
      <c r="AN108" s="10" t="str">
        <f t="shared" si="91"/>
        <v/>
      </c>
      <c r="AO108" s="10" t="str">
        <f t="shared" si="92"/>
        <v/>
      </c>
      <c r="AQ108" s="10" t="str">
        <f t="shared" si="93"/>
        <v/>
      </c>
      <c r="AR108" s="10" t="str">
        <f t="shared" si="94"/>
        <v/>
      </c>
      <c r="AT108" s="7"/>
      <c r="AV108" s="10" t="str">
        <f t="shared" si="95"/>
        <v/>
      </c>
      <c r="AW108" s="10" t="str">
        <f t="shared" si="96"/>
        <v/>
      </c>
      <c r="AY108" s="7"/>
      <c r="BA108" s="11" t="str">
        <f t="shared" si="97"/>
        <v/>
      </c>
      <c r="BB108" s="10" t="str">
        <f t="shared" si="98"/>
        <v/>
      </c>
      <c r="BD108" s="10" t="str">
        <f t="shared" si="99"/>
        <v/>
      </c>
      <c r="BE108" s="10" t="str">
        <f t="shared" si="100"/>
        <v/>
      </c>
      <c r="BG108" s="11" t="str">
        <f t="shared" si="101"/>
        <v/>
      </c>
      <c r="BH108" s="10" t="str">
        <f t="shared" si="102"/>
        <v/>
      </c>
      <c r="BJ108" s="7" t="str">
        <f t="shared" si="103"/>
        <v/>
      </c>
      <c r="BK108" s="158" t="str">
        <f t="shared" si="104"/>
        <v/>
      </c>
      <c r="BL108" s="158" t="str">
        <f t="shared" si="105"/>
        <v/>
      </c>
      <c r="BM108" s="10"/>
      <c r="BN108" s="10" t="str">
        <f t="shared" si="106"/>
        <v/>
      </c>
      <c r="BO108" s="10" t="str">
        <f t="shared" si="107"/>
        <v/>
      </c>
      <c r="BQ108" s="10" t="str">
        <f t="shared" si="108"/>
        <v/>
      </c>
      <c r="BR108" s="10" t="str">
        <f t="shared" si="109"/>
        <v/>
      </c>
    </row>
    <row r="109" spans="4:70" x14ac:dyDescent="0.15">
      <c r="D109" s="100" t="s">
        <v>605</v>
      </c>
      <c r="E109" s="100"/>
      <c r="F109" s="486"/>
      <c r="G109" s="100"/>
      <c r="I109" s="38">
        <f t="shared" si="110"/>
        <v>2124</v>
      </c>
      <c r="J109" s="39"/>
      <c r="K109" s="39">
        <f t="shared" si="111"/>
        <v>95</v>
      </c>
      <c r="L109" s="39"/>
      <c r="M109" s="40">
        <f t="shared" si="76"/>
        <v>6.0320322250551395E-2</v>
      </c>
      <c r="N109" s="39"/>
      <c r="O109" s="72" t="str">
        <f t="shared" si="112"/>
        <v/>
      </c>
      <c r="P109" s="41" t="str">
        <f t="shared" si="77"/>
        <v/>
      </c>
      <c r="Q109" s="39"/>
      <c r="R109" s="72" t="str">
        <f t="shared" si="113"/>
        <v/>
      </c>
      <c r="S109" s="39"/>
      <c r="T109" s="72" t="str">
        <f t="shared" si="78"/>
        <v/>
      </c>
      <c r="U109" s="39"/>
      <c r="V109" s="72" t="str">
        <f t="shared" si="79"/>
        <v/>
      </c>
      <c r="W109" s="72" t="str">
        <f t="shared" si="80"/>
        <v/>
      </c>
      <c r="X109" s="39"/>
      <c r="Y109" s="72" t="str">
        <f t="shared" si="81"/>
        <v/>
      </c>
      <c r="Z109" s="72" t="str">
        <f t="shared" si="82"/>
        <v/>
      </c>
      <c r="AA109" s="39"/>
      <c r="AB109" s="72" t="str">
        <f t="shared" si="83"/>
        <v/>
      </c>
      <c r="AC109" s="72" t="str">
        <f t="shared" si="84"/>
        <v/>
      </c>
      <c r="AD109" s="39"/>
      <c r="AE109" s="72" t="str">
        <f t="shared" si="85"/>
        <v/>
      </c>
      <c r="AF109" s="72" t="str">
        <f t="shared" si="86"/>
        <v/>
      </c>
      <c r="AG109" s="39"/>
      <c r="AH109" s="72" t="str">
        <f t="shared" si="87"/>
        <v/>
      </c>
      <c r="AI109" s="72" t="str">
        <f t="shared" si="88"/>
        <v/>
      </c>
      <c r="AJ109" s="39"/>
      <c r="AK109" s="72" t="str">
        <f t="shared" si="89"/>
        <v/>
      </c>
      <c r="AL109" s="72" t="str">
        <f t="shared" si="90"/>
        <v/>
      </c>
      <c r="AM109" s="39"/>
      <c r="AN109" s="72" t="str">
        <f t="shared" si="91"/>
        <v/>
      </c>
      <c r="AO109" s="72" t="str">
        <f t="shared" si="92"/>
        <v/>
      </c>
      <c r="AP109" s="39"/>
      <c r="AQ109" s="72" t="str">
        <f t="shared" si="93"/>
        <v/>
      </c>
      <c r="AR109" s="72" t="str">
        <f t="shared" si="94"/>
        <v/>
      </c>
      <c r="AS109" s="39"/>
      <c r="AT109" s="40"/>
      <c r="AU109" s="39"/>
      <c r="AV109" s="72" t="str">
        <f t="shared" si="95"/>
        <v/>
      </c>
      <c r="AW109" s="72" t="str">
        <f t="shared" si="96"/>
        <v/>
      </c>
      <c r="AX109" s="39"/>
      <c r="AY109" s="40"/>
      <c r="AZ109" s="39"/>
      <c r="BA109" s="42" t="str">
        <f t="shared" si="97"/>
        <v/>
      </c>
      <c r="BB109" s="72" t="str">
        <f t="shared" si="98"/>
        <v/>
      </c>
      <c r="BC109" s="39"/>
      <c r="BD109" s="72" t="str">
        <f t="shared" si="99"/>
        <v/>
      </c>
      <c r="BE109" s="72" t="str">
        <f t="shared" si="100"/>
        <v/>
      </c>
      <c r="BF109" s="39"/>
      <c r="BG109" s="42" t="str">
        <f t="shared" si="101"/>
        <v/>
      </c>
      <c r="BH109" s="72" t="str">
        <f t="shared" si="102"/>
        <v/>
      </c>
      <c r="BI109" s="39"/>
      <c r="BJ109" s="40" t="str">
        <f t="shared" si="103"/>
        <v/>
      </c>
      <c r="BK109" s="157" t="str">
        <f t="shared" si="104"/>
        <v/>
      </c>
      <c r="BL109" s="157" t="str">
        <f t="shared" si="105"/>
        <v/>
      </c>
      <c r="BM109" s="72"/>
      <c r="BN109" s="72" t="str">
        <f t="shared" si="106"/>
        <v/>
      </c>
      <c r="BO109" s="72" t="str">
        <f t="shared" si="107"/>
        <v/>
      </c>
      <c r="BP109" s="39"/>
      <c r="BQ109" s="72" t="str">
        <f t="shared" si="108"/>
        <v/>
      </c>
      <c r="BR109" s="72" t="str">
        <f t="shared" si="109"/>
        <v/>
      </c>
    </row>
    <row r="110" spans="4:70" ht="15" x14ac:dyDescent="0.15">
      <c r="D110" s="103"/>
      <c r="F110" s="487"/>
      <c r="I110" s="322">
        <f t="shared" si="110"/>
        <v>2125</v>
      </c>
      <c r="K110" s="71">
        <f t="shared" si="111"/>
        <v>96</v>
      </c>
      <c r="M110" s="7">
        <f t="shared" si="76"/>
        <v>5.8563419660729518E-2</v>
      </c>
      <c r="O110" s="10" t="str">
        <f t="shared" si="112"/>
        <v/>
      </c>
      <c r="P110" s="29" t="str">
        <f t="shared" si="77"/>
        <v/>
      </c>
      <c r="R110" s="10" t="str">
        <f t="shared" si="113"/>
        <v/>
      </c>
      <c r="T110" s="10" t="str">
        <f t="shared" si="78"/>
        <v/>
      </c>
      <c r="V110" s="10" t="str">
        <f t="shared" si="79"/>
        <v/>
      </c>
      <c r="W110" s="10" t="str">
        <f t="shared" si="80"/>
        <v/>
      </c>
      <c r="Y110" s="10" t="str">
        <f t="shared" si="81"/>
        <v/>
      </c>
      <c r="Z110" s="10" t="str">
        <f t="shared" si="82"/>
        <v/>
      </c>
      <c r="AB110" s="10" t="str">
        <f t="shared" si="83"/>
        <v/>
      </c>
      <c r="AC110" s="10" t="str">
        <f t="shared" si="84"/>
        <v/>
      </c>
      <c r="AE110" s="10" t="str">
        <f t="shared" si="85"/>
        <v/>
      </c>
      <c r="AF110" s="10" t="str">
        <f t="shared" si="86"/>
        <v/>
      </c>
      <c r="AH110" s="10" t="str">
        <f t="shared" si="87"/>
        <v/>
      </c>
      <c r="AI110" s="10" t="str">
        <f t="shared" si="88"/>
        <v/>
      </c>
      <c r="AK110" s="10" t="str">
        <f t="shared" si="89"/>
        <v/>
      </c>
      <c r="AL110" s="10" t="str">
        <f t="shared" si="90"/>
        <v/>
      </c>
      <c r="AN110" s="10" t="str">
        <f t="shared" si="91"/>
        <v/>
      </c>
      <c r="AO110" s="10" t="str">
        <f t="shared" si="92"/>
        <v/>
      </c>
      <c r="AQ110" s="10" t="str">
        <f t="shared" si="93"/>
        <v/>
      </c>
      <c r="AR110" s="10" t="str">
        <f t="shared" si="94"/>
        <v/>
      </c>
      <c r="AT110" s="7"/>
      <c r="AV110" s="10" t="str">
        <f t="shared" si="95"/>
        <v/>
      </c>
      <c r="AW110" s="10" t="str">
        <f t="shared" si="96"/>
        <v/>
      </c>
      <c r="AY110" s="7"/>
      <c r="BA110" s="11" t="str">
        <f t="shared" si="97"/>
        <v/>
      </c>
      <c r="BB110" s="10" t="str">
        <f t="shared" si="98"/>
        <v/>
      </c>
      <c r="BD110" s="10" t="str">
        <f t="shared" si="99"/>
        <v/>
      </c>
      <c r="BE110" s="10" t="str">
        <f t="shared" si="100"/>
        <v/>
      </c>
      <c r="BG110" s="11" t="str">
        <f t="shared" si="101"/>
        <v/>
      </c>
      <c r="BH110" s="10" t="str">
        <f t="shared" si="102"/>
        <v/>
      </c>
      <c r="BJ110" s="7" t="str">
        <f t="shared" si="103"/>
        <v/>
      </c>
      <c r="BK110" s="158" t="str">
        <f t="shared" si="104"/>
        <v/>
      </c>
      <c r="BL110" s="158" t="str">
        <f t="shared" si="105"/>
        <v/>
      </c>
      <c r="BM110" s="10"/>
      <c r="BN110" s="10" t="str">
        <f t="shared" si="106"/>
        <v/>
      </c>
      <c r="BO110" s="10" t="str">
        <f t="shared" si="107"/>
        <v/>
      </c>
      <c r="BQ110" s="10" t="str">
        <f t="shared" si="108"/>
        <v/>
      </c>
      <c r="BR110" s="10" t="str">
        <f t="shared" si="109"/>
        <v/>
      </c>
    </row>
    <row r="111" spans="4:70" ht="15" x14ac:dyDescent="0.15">
      <c r="D111" s="103"/>
      <c r="E111" s="84" t="s">
        <v>606</v>
      </c>
      <c r="F111" s="488">
        <f>-BE116/BR116</f>
        <v>0</v>
      </c>
      <c r="G111" s="84" t="s">
        <v>590</v>
      </c>
      <c r="I111" s="38">
        <f t="shared" si="110"/>
        <v>2126</v>
      </c>
      <c r="J111" s="39"/>
      <c r="K111" s="39">
        <f t="shared" si="111"/>
        <v>97</v>
      </c>
      <c r="L111" s="39"/>
      <c r="M111" s="40">
        <f t="shared" si="76"/>
        <v>5.6857688990999529E-2</v>
      </c>
      <c r="N111" s="39"/>
      <c r="O111" s="72" t="str">
        <f t="shared" si="112"/>
        <v/>
      </c>
      <c r="P111" s="41" t="str">
        <f t="shared" ref="P111:P114" si="114">IF(K111&lt;=$F$15,IF(OR(P110=$F$124,P110="-"),"-",IF(O111*$F$123&gt;$F$127,$F$123,$F$124)),"")</f>
        <v/>
      </c>
      <c r="Q111" s="39"/>
      <c r="R111" s="72" t="str">
        <f t="shared" si="113"/>
        <v/>
      </c>
      <c r="S111" s="39"/>
      <c r="T111" s="72" t="str">
        <f t="shared" si="78"/>
        <v/>
      </c>
      <c r="U111" s="39"/>
      <c r="V111" s="72" t="str">
        <f t="shared" si="79"/>
        <v/>
      </c>
      <c r="W111" s="72" t="str">
        <f t="shared" ref="W111:W114" si="115">IF(ISNUMBER(V111),V111*$M111,"")</f>
        <v/>
      </c>
      <c r="X111" s="39"/>
      <c r="Y111" s="72" t="str">
        <f t="shared" si="81"/>
        <v/>
      </c>
      <c r="Z111" s="72" t="str">
        <f t="shared" ref="Z111:Z114" si="116">IF(ISNUMBER(Y111),Y111*$M111,"")</f>
        <v/>
      </c>
      <c r="AA111" s="39"/>
      <c r="AB111" s="72" t="str">
        <f t="shared" si="83"/>
        <v/>
      </c>
      <c r="AC111" s="72" t="str">
        <f t="shared" ref="AC111:AC114" si="117">IF(ISNUMBER(AB111),AB111*$M111,"")</f>
        <v/>
      </c>
      <c r="AD111" s="39"/>
      <c r="AE111" s="72" t="str">
        <f t="shared" si="85"/>
        <v/>
      </c>
      <c r="AF111" s="72" t="str">
        <f t="shared" ref="AF111:AF114" si="118">IF(ISNUMBER(AE111),AE111*$M111,"")</f>
        <v/>
      </c>
      <c r="AG111" s="39"/>
      <c r="AH111" s="72" t="str">
        <f t="shared" si="87"/>
        <v/>
      </c>
      <c r="AI111" s="72" t="str">
        <f t="shared" ref="AI111:AI114" si="119">IF(ISNUMBER(AH111),AH111*$M111,"")</f>
        <v/>
      </c>
      <c r="AJ111" s="39"/>
      <c r="AK111" s="72" t="str">
        <f t="shared" si="89"/>
        <v/>
      </c>
      <c r="AL111" s="72" t="str">
        <f t="shared" ref="AL111:AL114" si="120">IF(ISNUMBER(AK111),AK111*$M111,"")</f>
        <v/>
      </c>
      <c r="AM111" s="39"/>
      <c r="AN111" s="72" t="str">
        <f t="shared" si="91"/>
        <v/>
      </c>
      <c r="AO111" s="72" t="str">
        <f t="shared" ref="AO111:AO114" si="121">IF(ISNUMBER(AN111),AN111*$M111,"")</f>
        <v/>
      </c>
      <c r="AP111" s="39"/>
      <c r="AQ111" s="72" t="str">
        <f t="shared" si="93"/>
        <v/>
      </c>
      <c r="AR111" s="72" t="str">
        <f t="shared" ref="AR111:AR114" si="122">IF(ISNUMBER(AQ111),AQ111*$M111,"")</f>
        <v/>
      </c>
      <c r="AS111" s="39"/>
      <c r="AT111" s="40"/>
      <c r="AU111" s="39"/>
      <c r="AV111" s="72" t="str">
        <f t="shared" si="95"/>
        <v/>
      </c>
      <c r="AW111" s="72" t="str">
        <f t="shared" ref="AW111:AW114" si="123">IF(ISNUMBER(AV111),AV111*$M111,"")</f>
        <v/>
      </c>
      <c r="AX111" s="39"/>
      <c r="AY111" s="40"/>
      <c r="AZ111" s="39"/>
      <c r="BA111" s="42" t="str">
        <f t="shared" si="97"/>
        <v/>
      </c>
      <c r="BB111" s="72" t="str">
        <f t="shared" ref="BB111:BB114" si="124">IF(ISNUMBER(BA111),BA111*$M111,"")</f>
        <v/>
      </c>
      <c r="BC111" s="39"/>
      <c r="BD111" s="72" t="str">
        <f t="shared" si="99"/>
        <v/>
      </c>
      <c r="BE111" s="72" t="str">
        <f t="shared" ref="BE111:BE114" si="125">IF(ISNUMBER(BD111),BD111*$M111,"")</f>
        <v/>
      </c>
      <c r="BF111" s="39"/>
      <c r="BG111" s="42" t="str">
        <f t="shared" si="101"/>
        <v/>
      </c>
      <c r="BH111" s="72" t="str">
        <f t="shared" ref="BH111:BH114" si="126">IF(ISNUMBER(BG111),BG111*$M111,"")</f>
        <v/>
      </c>
      <c r="BI111" s="39"/>
      <c r="BJ111" s="40" t="str">
        <f t="shared" si="103"/>
        <v/>
      </c>
      <c r="BK111" s="157" t="str">
        <f t="shared" ref="BK111:BK114" si="127">IF(ISNUMBER($F$16),IF($K111&lt;=$F$16+$F$28,IF($K111&lt;=$F$16,SUM(Y111,AB111,AE111,AH111,AK111,AN111,AQ111,AV111,BA111,BD111,BG111),$F$27/$F$28*10^8)*BJ111,""),"")</f>
        <v/>
      </c>
      <c r="BL111" s="157" t="str">
        <f t="shared" si="105"/>
        <v/>
      </c>
      <c r="BM111" s="72"/>
      <c r="BN111" s="72" t="str">
        <f t="shared" si="106"/>
        <v/>
      </c>
      <c r="BO111" s="72" t="str">
        <f t="shared" ref="BO111:BO114" si="128">IF(ISNUMBER(BN111),BN111*$M111,"")</f>
        <v/>
      </c>
      <c r="BP111" s="39"/>
      <c r="BQ111" s="72" t="str">
        <f t="shared" si="108"/>
        <v/>
      </c>
      <c r="BR111" s="72" t="str">
        <f t="shared" ref="BR111:BR114" si="129">IF(ISNUMBER(BQ111),BQ111*$M111,"")</f>
        <v/>
      </c>
    </row>
    <row r="112" spans="4:70" ht="15" x14ac:dyDescent="0.15">
      <c r="D112" s="103"/>
      <c r="E112" s="84" t="s">
        <v>607</v>
      </c>
      <c r="F112" s="488">
        <f>-BH116/BR116</f>
        <v>0</v>
      </c>
      <c r="G112" s="84" t="s">
        <v>590</v>
      </c>
      <c r="I112" s="322">
        <f t="shared" si="110"/>
        <v>2127</v>
      </c>
      <c r="K112" s="71">
        <f t="shared" si="111"/>
        <v>98</v>
      </c>
      <c r="M112" s="7">
        <f t="shared" si="76"/>
        <v>5.5201639797086935E-2</v>
      </c>
      <c r="O112" s="10" t="str">
        <f t="shared" si="112"/>
        <v/>
      </c>
      <c r="P112" s="29" t="str">
        <f t="shared" si="114"/>
        <v/>
      </c>
      <c r="R112" s="10" t="str">
        <f t="shared" si="113"/>
        <v/>
      </c>
      <c r="T112" s="10" t="str">
        <f t="shared" si="78"/>
        <v/>
      </c>
      <c r="V112" s="10" t="str">
        <f t="shared" si="79"/>
        <v/>
      </c>
      <c r="W112" s="10" t="str">
        <f t="shared" si="115"/>
        <v/>
      </c>
      <c r="Y112" s="10" t="str">
        <f t="shared" si="81"/>
        <v/>
      </c>
      <c r="Z112" s="10" t="str">
        <f t="shared" si="116"/>
        <v/>
      </c>
      <c r="AB112" s="10" t="str">
        <f t="shared" si="83"/>
        <v/>
      </c>
      <c r="AC112" s="10" t="str">
        <f t="shared" si="117"/>
        <v/>
      </c>
      <c r="AE112" s="10" t="str">
        <f t="shared" si="85"/>
        <v/>
      </c>
      <c r="AF112" s="10" t="str">
        <f t="shared" si="118"/>
        <v/>
      </c>
      <c r="AH112" s="10" t="str">
        <f t="shared" si="87"/>
        <v/>
      </c>
      <c r="AI112" s="10" t="str">
        <f t="shared" si="119"/>
        <v/>
      </c>
      <c r="AK112" s="10" t="str">
        <f t="shared" si="89"/>
        <v/>
      </c>
      <c r="AL112" s="10" t="str">
        <f t="shared" si="120"/>
        <v/>
      </c>
      <c r="AN112" s="10" t="str">
        <f t="shared" si="91"/>
        <v/>
      </c>
      <c r="AO112" s="10" t="str">
        <f t="shared" si="121"/>
        <v/>
      </c>
      <c r="AQ112" s="10" t="str">
        <f t="shared" si="93"/>
        <v/>
      </c>
      <c r="AR112" s="10" t="str">
        <f t="shared" si="122"/>
        <v/>
      </c>
      <c r="AT112" s="7"/>
      <c r="AV112" s="10" t="str">
        <f t="shared" si="95"/>
        <v/>
      </c>
      <c r="AW112" s="10" t="str">
        <f t="shared" si="123"/>
        <v/>
      </c>
      <c r="AY112" s="7"/>
      <c r="BA112" s="11" t="str">
        <f t="shared" si="97"/>
        <v/>
      </c>
      <c r="BB112" s="10" t="str">
        <f t="shared" si="124"/>
        <v/>
      </c>
      <c r="BD112" s="10" t="str">
        <f t="shared" si="99"/>
        <v/>
      </c>
      <c r="BE112" s="10" t="str">
        <f t="shared" si="125"/>
        <v/>
      </c>
      <c r="BG112" s="11" t="str">
        <f t="shared" si="101"/>
        <v/>
      </c>
      <c r="BH112" s="10" t="str">
        <f t="shared" si="126"/>
        <v/>
      </c>
      <c r="BJ112" s="7" t="str">
        <f t="shared" si="103"/>
        <v/>
      </c>
      <c r="BK112" s="158" t="str">
        <f t="shared" si="127"/>
        <v/>
      </c>
      <c r="BL112" s="158" t="str">
        <f t="shared" si="105"/>
        <v/>
      </c>
      <c r="BM112" s="10"/>
      <c r="BN112" s="10" t="str">
        <f t="shared" si="106"/>
        <v/>
      </c>
      <c r="BO112" s="10" t="str">
        <f t="shared" si="128"/>
        <v/>
      </c>
      <c r="BQ112" s="10" t="str">
        <f t="shared" si="108"/>
        <v/>
      </c>
      <c r="BR112" s="10" t="str">
        <f t="shared" si="129"/>
        <v/>
      </c>
    </row>
    <row r="113" spans="2:70" x14ac:dyDescent="0.15">
      <c r="I113" s="38">
        <f t="shared" si="110"/>
        <v>2128</v>
      </c>
      <c r="J113" s="39"/>
      <c r="K113" s="39">
        <f t="shared" si="111"/>
        <v>99</v>
      </c>
      <c r="L113" s="39"/>
      <c r="M113" s="40">
        <f t="shared" si="76"/>
        <v>5.3593825045715457E-2</v>
      </c>
      <c r="N113" s="39"/>
      <c r="O113" s="72" t="str">
        <f t="shared" si="112"/>
        <v/>
      </c>
      <c r="P113" s="41" t="str">
        <f t="shared" si="114"/>
        <v/>
      </c>
      <c r="Q113" s="39"/>
      <c r="R113" s="72" t="str">
        <f t="shared" si="113"/>
        <v/>
      </c>
      <c r="S113" s="39"/>
      <c r="T113" s="72" t="str">
        <f t="shared" si="78"/>
        <v/>
      </c>
      <c r="U113" s="39"/>
      <c r="V113" s="72" t="str">
        <f t="shared" si="79"/>
        <v/>
      </c>
      <c r="W113" s="72" t="str">
        <f t="shared" si="115"/>
        <v/>
      </c>
      <c r="X113" s="39"/>
      <c r="Y113" s="72" t="str">
        <f t="shared" si="81"/>
        <v/>
      </c>
      <c r="Z113" s="72" t="str">
        <f t="shared" si="116"/>
        <v/>
      </c>
      <c r="AA113" s="39"/>
      <c r="AB113" s="72" t="str">
        <f t="shared" si="83"/>
        <v/>
      </c>
      <c r="AC113" s="72" t="str">
        <f t="shared" si="117"/>
        <v/>
      </c>
      <c r="AD113" s="39"/>
      <c r="AE113" s="72" t="str">
        <f t="shared" si="85"/>
        <v/>
      </c>
      <c r="AF113" s="72" t="str">
        <f t="shared" si="118"/>
        <v/>
      </c>
      <c r="AG113" s="39"/>
      <c r="AH113" s="72" t="str">
        <f t="shared" si="87"/>
        <v/>
      </c>
      <c r="AI113" s="72" t="str">
        <f t="shared" si="119"/>
        <v/>
      </c>
      <c r="AJ113" s="39"/>
      <c r="AK113" s="72" t="str">
        <f t="shared" si="89"/>
        <v/>
      </c>
      <c r="AL113" s="72" t="str">
        <f t="shared" si="120"/>
        <v/>
      </c>
      <c r="AM113" s="39"/>
      <c r="AN113" s="72" t="str">
        <f t="shared" si="91"/>
        <v/>
      </c>
      <c r="AO113" s="72" t="str">
        <f t="shared" si="121"/>
        <v/>
      </c>
      <c r="AP113" s="39"/>
      <c r="AQ113" s="72" t="str">
        <f t="shared" si="93"/>
        <v/>
      </c>
      <c r="AR113" s="72" t="str">
        <f t="shared" si="122"/>
        <v/>
      </c>
      <c r="AS113" s="39"/>
      <c r="AT113" s="40"/>
      <c r="AU113" s="39"/>
      <c r="AV113" s="72" t="str">
        <f t="shared" si="95"/>
        <v/>
      </c>
      <c r="AW113" s="72" t="str">
        <f t="shared" si="123"/>
        <v/>
      </c>
      <c r="AX113" s="39"/>
      <c r="AY113" s="40"/>
      <c r="AZ113" s="39"/>
      <c r="BA113" s="42" t="str">
        <f t="shared" si="97"/>
        <v/>
      </c>
      <c r="BB113" s="72" t="str">
        <f t="shared" si="124"/>
        <v/>
      </c>
      <c r="BC113" s="39"/>
      <c r="BD113" s="72" t="str">
        <f t="shared" si="99"/>
        <v/>
      </c>
      <c r="BE113" s="72" t="str">
        <f t="shared" si="125"/>
        <v/>
      </c>
      <c r="BF113" s="39"/>
      <c r="BG113" s="42" t="str">
        <f t="shared" si="101"/>
        <v/>
      </c>
      <c r="BH113" s="72" t="str">
        <f t="shared" si="126"/>
        <v/>
      </c>
      <c r="BI113" s="39"/>
      <c r="BJ113" s="40" t="str">
        <f t="shared" si="103"/>
        <v/>
      </c>
      <c r="BK113" s="157" t="str">
        <f t="shared" si="127"/>
        <v/>
      </c>
      <c r="BL113" s="157" t="str">
        <f t="shared" si="105"/>
        <v/>
      </c>
      <c r="BM113" s="72"/>
      <c r="BN113" s="72" t="str">
        <f t="shared" si="106"/>
        <v/>
      </c>
      <c r="BO113" s="72" t="str">
        <f t="shared" si="128"/>
        <v/>
      </c>
      <c r="BP113" s="39"/>
      <c r="BQ113" s="72" t="str">
        <f t="shared" si="108"/>
        <v/>
      </c>
      <c r="BR113" s="72" t="str">
        <f t="shared" si="129"/>
        <v/>
      </c>
    </row>
    <row r="114" spans="2:70" x14ac:dyDescent="0.15">
      <c r="I114" s="322">
        <f t="shared" si="110"/>
        <v>2129</v>
      </c>
      <c r="K114" s="71">
        <f t="shared" si="111"/>
        <v>100</v>
      </c>
      <c r="M114" s="7">
        <f t="shared" si="76"/>
        <v>5.2032839850209185E-2</v>
      </c>
      <c r="O114" s="10" t="str">
        <f t="shared" si="112"/>
        <v/>
      </c>
      <c r="P114" s="29" t="str">
        <f t="shared" si="114"/>
        <v/>
      </c>
      <c r="R114" s="10" t="str">
        <f t="shared" si="113"/>
        <v/>
      </c>
      <c r="T114" s="10" t="str">
        <f t="shared" si="78"/>
        <v/>
      </c>
      <c r="V114" s="10" t="str">
        <f t="shared" si="79"/>
        <v/>
      </c>
      <c r="W114" s="10" t="str">
        <f t="shared" si="115"/>
        <v/>
      </c>
      <c r="Y114" s="10" t="str">
        <f t="shared" si="81"/>
        <v/>
      </c>
      <c r="Z114" s="10" t="str">
        <f t="shared" si="116"/>
        <v/>
      </c>
      <c r="AB114" s="10" t="str">
        <f t="shared" si="83"/>
        <v/>
      </c>
      <c r="AC114" s="10" t="str">
        <f t="shared" si="117"/>
        <v/>
      </c>
      <c r="AE114" s="10" t="str">
        <f t="shared" si="85"/>
        <v/>
      </c>
      <c r="AF114" s="10" t="str">
        <f t="shared" si="118"/>
        <v/>
      </c>
      <c r="AH114" s="10" t="str">
        <f t="shared" si="87"/>
        <v/>
      </c>
      <c r="AI114" s="10" t="str">
        <f t="shared" si="119"/>
        <v/>
      </c>
      <c r="AK114" s="10" t="str">
        <f t="shared" si="89"/>
        <v/>
      </c>
      <c r="AL114" s="10" t="str">
        <f t="shared" si="120"/>
        <v/>
      </c>
      <c r="AN114" s="10" t="str">
        <f t="shared" si="91"/>
        <v/>
      </c>
      <c r="AO114" s="10" t="str">
        <f t="shared" si="121"/>
        <v/>
      </c>
      <c r="AQ114" s="10" t="str">
        <f t="shared" si="93"/>
        <v/>
      </c>
      <c r="AR114" s="10" t="str">
        <f t="shared" si="122"/>
        <v/>
      </c>
      <c r="AT114" s="7" t="str">
        <f>IF($K114&lt;=$F$15,IF($F$40&lt;&gt;"",$F$40/1000,IF(ISERROR(VLOOKUP($F$3&amp;IF($G$4&lt;&gt;"",$G$4,"")&amp;IF($F$43&lt;&gt;"","_"&amp;$F$43,""),'表3）燃料価格'!$Y$9:$Z$22,2,0)),0,VLOOKUP($I114,'表3）燃料価格'!$A$6:$U$66,VLOOKUP($F$3&amp;IF($G$4&lt;&gt;"",$G$4,"")&amp;IF($F$43&lt;&gt;"","_"&amp;$F$43,""),'表3）燃料価格'!$Y$9:$Z$22,2,0)+VLOOKUP($F$41,'表3）燃料価格'!$Y$25:$Z$26,2,0),0)*IF($F$43="需要地価格",1,$F$8/$F$141))),"")</f>
        <v/>
      </c>
      <c r="AV114" s="10" t="str">
        <f t="shared" si="95"/>
        <v/>
      </c>
      <c r="AW114" s="10" t="str">
        <f t="shared" si="123"/>
        <v/>
      </c>
      <c r="AY114" s="7" t="str">
        <f>IF(ISERROR(IF($K114&lt;=$F$15,VLOOKUP($I114,'表4）CO2価格'!$A$7:$E$67,VLOOKUP($F$48,'表4）CO2価格'!$H$10:$I$12,2,0),0)*$F$8/1000,"")),0,IF($K114&lt;=$F$15,VLOOKUP($I114,'表4）CO2価格'!$A$7:$E$67,VLOOKUP($F$48,'表4）CO2価格'!$H$10:$I$12,2,0),0)*$F$8/1000,""))</f>
        <v/>
      </c>
      <c r="BA114" s="11" t="str">
        <f t="shared" si="97"/>
        <v/>
      </c>
      <c r="BB114" s="10" t="str">
        <f t="shared" si="124"/>
        <v/>
      </c>
      <c r="BD114" s="10" t="str">
        <f t="shared" si="99"/>
        <v/>
      </c>
      <c r="BE114" s="10" t="str">
        <f t="shared" si="125"/>
        <v/>
      </c>
      <c r="BG114" s="11" t="str">
        <f t="shared" si="101"/>
        <v/>
      </c>
      <c r="BH114" s="10" t="str">
        <f t="shared" si="126"/>
        <v/>
      </c>
      <c r="BJ114" s="7" t="str">
        <f t="shared" si="103"/>
        <v/>
      </c>
      <c r="BK114" s="158" t="str">
        <f t="shared" si="127"/>
        <v/>
      </c>
      <c r="BL114" s="158" t="str">
        <f t="shared" si="105"/>
        <v/>
      </c>
      <c r="BM114" s="10"/>
      <c r="BN114" s="10" t="str">
        <f t="shared" si="106"/>
        <v/>
      </c>
      <c r="BO114" s="10" t="str">
        <f t="shared" si="128"/>
        <v/>
      </c>
      <c r="BQ114" s="10" t="str">
        <f t="shared" si="108"/>
        <v/>
      </c>
      <c r="BR114" s="10" t="str">
        <f t="shared" si="129"/>
        <v/>
      </c>
    </row>
    <row r="115" spans="2:70" ht="15.75" thickBot="1" x14ac:dyDescent="0.2">
      <c r="B115" s="5" t="s">
        <v>608</v>
      </c>
      <c r="C115" s="3"/>
      <c r="D115" s="102"/>
      <c r="E115" s="102"/>
      <c r="F115" s="3"/>
      <c r="G115" s="102"/>
      <c r="I115" s="321"/>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71" t="s">
        <v>143</v>
      </c>
      <c r="W116" s="11"/>
      <c r="Z116" s="11">
        <f>SUM(Z15:Z114)</f>
        <v>15542131681.21953</v>
      </c>
      <c r="AC116" s="11">
        <f>SUM(AC15:AC114)</f>
        <v>2723296206.8741093</v>
      </c>
      <c r="AF116" s="11">
        <f>SUM(AF15:AF114)</f>
        <v>0</v>
      </c>
      <c r="AI116" s="11">
        <f>SUM(AI15:AI114)</f>
        <v>10170499668.650841</v>
      </c>
      <c r="AL116" s="11">
        <f>SUM(AL15:AL114)</f>
        <v>101520078510.71475</v>
      </c>
      <c r="AO116" s="11">
        <f>SUM(AO15:AO114)</f>
        <v>93060071968.155167</v>
      </c>
      <c r="AR116" s="11">
        <f>SUM(AR15:AR114)</f>
        <v>24979579317.997536</v>
      </c>
      <c r="AW116" s="11">
        <f>SUM(AW15:AW114)</f>
        <v>251185547812.66119</v>
      </c>
      <c r="BB116" s="11">
        <f>SUM(BB15:BB114)</f>
        <v>29726218201.457119</v>
      </c>
      <c r="BE116" s="11">
        <f>SUM(BE15:BE114)</f>
        <v>0</v>
      </c>
      <c r="BH116" s="11">
        <f>SUM(BH15:BH114)</f>
        <v>0</v>
      </c>
      <c r="BK116" s="11">
        <f>SUM(BK15:BK114)</f>
        <v>0</v>
      </c>
      <c r="BL116" s="11">
        <f>SUM(BL15:BL114)</f>
        <v>0</v>
      </c>
      <c r="BO116" s="11">
        <f>SUM(BO15:BO114)</f>
        <v>0</v>
      </c>
      <c r="BR116" s="11">
        <f>SUM(BR15:BR114)</f>
        <v>58467659970.156525</v>
      </c>
    </row>
    <row r="117" spans="2:70" x14ac:dyDescent="0.15">
      <c r="C117" s="71" t="s">
        <v>610</v>
      </c>
      <c r="F117" s="490">
        <f>F21*10^4*F13*10^4+F29*10^8</f>
        <v>183000000000</v>
      </c>
      <c r="G117" s="84" t="s">
        <v>611</v>
      </c>
      <c r="I117" s="48" t="s">
        <v>145</v>
      </c>
      <c r="W117" s="11"/>
      <c r="Z117" s="11" t="str">
        <f ca="1">IF(ISNUMBER($F$16),SUM(INDIRECT(ADDRESS($F$16+15,COLUMN())):INDIRECT(ADDRESS(114,COLUMN()))),"")</f>
        <v/>
      </c>
      <c r="AC117" s="11" t="str">
        <f ca="1">IF(ISNUMBER($F$16),SUM(INDIRECT(ADDRESS($F$16+15,COLUMN())):INDIRECT(ADDRESS(114,COLUMN()))),"")</f>
        <v/>
      </c>
      <c r="AF117" s="11" t="str">
        <f ca="1">IF(ISNUMBER($F$16),SUM(INDIRECT(ADDRESS($F$16+15,COLUMN())):INDIRECT(ADDRESS(114,COLUMN()))),"")</f>
        <v/>
      </c>
      <c r="AI117" s="11" t="str">
        <f ca="1">IF(ISNUMBER($F$16),SUM(INDIRECT(ADDRESS($F$16+15,COLUMN())):INDIRECT(ADDRESS(114,COLUMN()))),"")</f>
        <v/>
      </c>
      <c r="AL117" s="11" t="str">
        <f ca="1">IF(ISNUMBER($F$16),SUM(INDIRECT(ADDRESS($F$16+15,COLUMN())):INDIRECT(ADDRESS(114,COLUMN()))),"")</f>
        <v/>
      </c>
      <c r="AO117" s="11" t="str">
        <f ca="1">IF(ISNUMBER($F$16),SUM(INDIRECT(ADDRESS($F$16+15,COLUMN())):INDIRECT(ADDRESS(114,COLUMN()))),"")</f>
        <v/>
      </c>
      <c r="AR117" s="11" t="str">
        <f ca="1">IF(ISNUMBER($F$16),SUM(INDIRECT(ADDRESS($F$16+15,COLUMN())):INDIRECT(ADDRESS(114,COLUMN()))),"")</f>
        <v/>
      </c>
      <c r="AW117" s="11" t="str">
        <f ca="1">IF(ISNUMBER($F$16),SUM(INDIRECT(ADDRESS($F$16+15,COLUMN())):INDIRECT(ADDRESS(114,COLUMN()))),"")</f>
        <v/>
      </c>
      <c r="BB117" s="11" t="str">
        <f ca="1">IF(ISNUMBER($F$16),SUM(INDIRECT(ADDRESS($F$16+15,COLUMN())):INDIRECT(ADDRESS(114,COLUMN()))),"")</f>
        <v/>
      </c>
      <c r="BE117" s="11" t="str">
        <f ca="1">IF(ISNUMBER($F$16),SUM(INDIRECT(ADDRESS($F$16+15,COLUMN())):INDIRECT(ADDRESS(114,COLUMN()))),"")</f>
        <v/>
      </c>
      <c r="BH117" s="11" t="str">
        <f ca="1">IF(ISNUMBER($F$16),SUM(INDIRECT(ADDRESS($F$16+15,COLUMN())):INDIRECT(ADDRESS(114,COLUMN()))),"")</f>
        <v/>
      </c>
      <c r="BK117" s="11" t="str">
        <f ca="1">IF(ISNUMBER($F$16),SUM(INDIRECT(ADDRESS($F$16+15,COLUMN())):INDIRECT(ADDRESS(114,COLUMN()))),"")</f>
        <v/>
      </c>
      <c r="BL117" s="11" t="str">
        <f ca="1">IF(ISNUMBER($F$16),SUM(INDIRECT(ADDRESS($F$16+15,COLUMN())):INDIRECT(ADDRESS(114,COLUMN()))),"")</f>
        <v/>
      </c>
      <c r="BO117" s="11" t="str">
        <f ca="1">IF(ISNUMBER($F$16),SUM(INDIRECT(ADDRESS($F$16+15,COLUMN())):INDIRECT(ADDRESS(114,COLUMN()))),"")</f>
        <v/>
      </c>
      <c r="BR117" s="11" t="str">
        <f ca="1">IF(ISNUMBER($F$16),SUM(INDIRECT(ADDRESS($F$16+15,COLUMN())):INDIRECT(ADDRESS(114,COLUMN()))),"")</f>
        <v/>
      </c>
    </row>
    <row r="119" spans="2:70" x14ac:dyDescent="0.15">
      <c r="C119" s="71" t="s">
        <v>612</v>
      </c>
      <c r="F119" s="490">
        <f>VLOOKUP(F3,'表2）法定耐用年数'!$A$2:$B$24,2,0)</f>
        <v>15</v>
      </c>
      <c r="G119" s="84" t="s">
        <v>556</v>
      </c>
    </row>
    <row r="121" spans="2:70" x14ac:dyDescent="0.15">
      <c r="C121" s="4" t="s">
        <v>613</v>
      </c>
      <c r="D121" s="100"/>
      <c r="E121" s="100"/>
      <c r="F121" s="4"/>
      <c r="G121" s="100"/>
    </row>
    <row r="123" spans="2:70" x14ac:dyDescent="0.15">
      <c r="D123" s="84" t="s">
        <v>614</v>
      </c>
      <c r="F123" s="491">
        <f>VLOOKUP($F$119,'表1）減価償却率表'!$A$9:$E$107,3,0)</f>
        <v>0.16700000000000001</v>
      </c>
    </row>
    <row r="124" spans="2:70" x14ac:dyDescent="0.15">
      <c r="D124" s="84" t="s">
        <v>615</v>
      </c>
      <c r="F124" s="491">
        <f>VLOOKUP($F$119,'表1）減価償却率表'!$A$9:$E$107,4,0)</f>
        <v>0.2</v>
      </c>
    </row>
    <row r="125" spans="2:70" x14ac:dyDescent="0.15">
      <c r="D125" s="84" t="s">
        <v>616</v>
      </c>
      <c r="F125" s="474">
        <f>VLOOKUP($F$119,'表1）減価償却率表'!$A$9:$E$107,5,0)</f>
        <v>3.2169999999999997E-2</v>
      </c>
    </row>
    <row r="126" spans="2:70" x14ac:dyDescent="0.15">
      <c r="F126" s="492"/>
    </row>
    <row r="127" spans="2:70" x14ac:dyDescent="0.15">
      <c r="C127" s="8" t="s">
        <v>617</v>
      </c>
      <c r="D127" s="493"/>
      <c r="E127" s="494"/>
      <c r="F127" s="490">
        <f>F117*F125</f>
        <v>5887109999.999999</v>
      </c>
      <c r="G127" s="84" t="s">
        <v>611</v>
      </c>
    </row>
    <row r="129" spans="3:7" x14ac:dyDescent="0.15">
      <c r="C129" s="8" t="s">
        <v>152</v>
      </c>
      <c r="D129" s="493"/>
      <c r="E129" s="493"/>
      <c r="F129" s="491">
        <f>0.1^(1/F119)</f>
        <v>0.85769589859089412</v>
      </c>
      <c r="G129" s="493"/>
    </row>
    <row r="131" spans="3:7" x14ac:dyDescent="0.15">
      <c r="C131" s="4" t="s">
        <v>618</v>
      </c>
      <c r="D131" s="100"/>
      <c r="E131" s="100"/>
      <c r="F131" s="4"/>
      <c r="G131" s="100"/>
    </row>
    <row r="133" spans="3:7" x14ac:dyDescent="0.15">
      <c r="D133" s="84" t="s">
        <v>619</v>
      </c>
      <c r="F133" s="490">
        <f>F13*10000*24*365*F14/100</f>
        <v>3066000000</v>
      </c>
      <c r="G133" s="84" t="s">
        <v>620</v>
      </c>
    </row>
    <row r="134" spans="3:7" x14ac:dyDescent="0.15">
      <c r="D134" s="84" t="s">
        <v>621</v>
      </c>
      <c r="F134" s="490">
        <f>F133*(1-F24/100)</f>
        <v>2529450000</v>
      </c>
      <c r="G134" s="84" t="s">
        <v>620</v>
      </c>
    </row>
    <row r="135" spans="3:7" x14ac:dyDescent="0.15">
      <c r="F135" s="495"/>
    </row>
    <row r="137" spans="3:7" ht="16.5" x14ac:dyDescent="0.15">
      <c r="C137" s="71" t="s">
        <v>622</v>
      </c>
      <c r="F137" s="490">
        <f>IF(ISERROR(F133*3.6/(F23/100)/F22),0,F133*3.6/(F23/100)/F22)</f>
        <v>1006543040.4391818</v>
      </c>
      <c r="G137" s="71" t="s">
        <v>623</v>
      </c>
    </row>
    <row r="139" spans="3:7" x14ac:dyDescent="0.15">
      <c r="C139" s="4" t="s">
        <v>624</v>
      </c>
      <c r="D139" s="100"/>
      <c r="E139" s="100"/>
      <c r="F139" s="4"/>
      <c r="G139" s="100"/>
    </row>
    <row r="141" spans="3:7" x14ac:dyDescent="0.15">
      <c r="D141" s="84" t="s">
        <v>625</v>
      </c>
      <c r="F141" s="496">
        <v>1000</v>
      </c>
      <c r="G141" s="84" t="s">
        <v>626</v>
      </c>
    </row>
    <row r="142" spans="3:7" x14ac:dyDescent="0.15">
      <c r="D142" s="84" t="s">
        <v>573</v>
      </c>
      <c r="F142" s="488">
        <f>IF(ISERROR(F42/1000),0,F42/1000)</f>
        <v>2</v>
      </c>
      <c r="G142" s="84" t="s">
        <v>627</v>
      </c>
    </row>
    <row r="145" spans="3:7" x14ac:dyDescent="0.15">
      <c r="C145" s="71" t="s">
        <v>628</v>
      </c>
      <c r="F145" s="496">
        <f>IF(ISERROR(F133*(F47*3.6/(F23/100)/1000*(44/12))),0,F133*(F47*3.6/(F23/100)/1000*(44/12)*0.1))</f>
        <v>203774578.14432991</v>
      </c>
      <c r="G145" s="84" t="s">
        <v>629</v>
      </c>
    </row>
    <row r="147" spans="3:7" x14ac:dyDescent="0.15">
      <c r="C147" s="4" t="s">
        <v>630</v>
      </c>
      <c r="D147" s="100"/>
      <c r="E147" s="100"/>
      <c r="F147" s="4"/>
      <c r="G147" s="100"/>
    </row>
    <row r="149" spans="3:7" x14ac:dyDescent="0.15">
      <c r="D149" s="84" t="s">
        <v>219</v>
      </c>
      <c r="F149" s="496">
        <f>IF(ISERROR(F52/F23),0,F52/F23)</f>
        <v>0</v>
      </c>
    </row>
    <row r="150" spans="3:7" x14ac:dyDescent="0.15">
      <c r="D150" s="84" t="s">
        <v>631</v>
      </c>
      <c r="F150" s="496">
        <f>F133*F149*(F53/100)*3.6</f>
        <v>0</v>
      </c>
      <c r="G150" s="84" t="s">
        <v>632</v>
      </c>
    </row>
    <row r="151" spans="3:7" ht="16.5" x14ac:dyDescent="0.15">
      <c r="D151" s="84" t="s">
        <v>633</v>
      </c>
      <c r="F151" s="490">
        <f>IF(ISERROR(F150/(F54/100)/F55),0,F150/(F54/100)/F55)</f>
        <v>0</v>
      </c>
      <c r="G151" s="71" t="s">
        <v>623</v>
      </c>
    </row>
    <row r="152" spans="3:7" x14ac:dyDescent="0.15">
      <c r="D152" s="84" t="s">
        <v>634</v>
      </c>
      <c r="F152" s="497">
        <f>IF(ISERROR(F56/1000),0,F56/1000)</f>
        <v>0</v>
      </c>
      <c r="G152" s="84" t="s">
        <v>627</v>
      </c>
    </row>
    <row r="153" spans="3:7" x14ac:dyDescent="0.15">
      <c r="D153" s="84" t="s">
        <v>635</v>
      </c>
      <c r="F153" s="496">
        <f>IF(ISERROR(F150*F47/1000*(44/12)/(F54/100)),0,F150*F47/1000*(44/12)/(F54/100))</f>
        <v>0</v>
      </c>
      <c r="G153" s="84" t="s">
        <v>629</v>
      </c>
    </row>
    <row r="155" spans="3:7" x14ac:dyDescent="0.15">
      <c r="C155" s="4" t="s">
        <v>649</v>
      </c>
      <c r="D155" s="100"/>
      <c r="E155" s="100"/>
      <c r="F155" s="100"/>
      <c r="G155" s="100"/>
    </row>
    <row r="156" spans="3:7" x14ac:dyDescent="0.15">
      <c r="F156" s="84"/>
    </row>
    <row r="157" spans="3:7" x14ac:dyDescent="0.15">
      <c r="D157" s="84" t="s">
        <v>650</v>
      </c>
      <c r="F157" s="506">
        <v>300</v>
      </c>
      <c r="G157" s="84" t="s">
        <v>651</v>
      </c>
    </row>
    <row r="158" spans="3:7" x14ac:dyDescent="0.15">
      <c r="D158" s="84" t="s">
        <v>652</v>
      </c>
      <c r="F158" s="507">
        <v>20</v>
      </c>
      <c r="G158" s="84" t="s">
        <v>653</v>
      </c>
    </row>
  </sheetData>
  <mergeCells count="48">
    <mergeCell ref="BO12:BO13"/>
    <mergeCell ref="AQ9:AR10"/>
    <mergeCell ref="AV9:AW10"/>
    <mergeCell ref="AY9:AY10"/>
    <mergeCell ref="BR12:BR13"/>
    <mergeCell ref="AR12:AR13"/>
    <mergeCell ref="AW12:AW13"/>
    <mergeCell ref="BB12:BB13"/>
    <mergeCell ref="BE12:BE13"/>
    <mergeCell ref="BH12:BH13"/>
    <mergeCell ref="BJ12:BJ13"/>
    <mergeCell ref="AI12:AI13"/>
    <mergeCell ref="AL12:AL13"/>
    <mergeCell ref="AO12:AO13"/>
    <mergeCell ref="BK12:BK13"/>
    <mergeCell ref="BL12:BL13"/>
    <mergeCell ref="P12:P13"/>
    <mergeCell ref="W12:W13"/>
    <mergeCell ref="Z12:Z13"/>
    <mergeCell ref="AC12:AC13"/>
    <mergeCell ref="AF12:AF13"/>
    <mergeCell ref="BD7:BH7"/>
    <mergeCell ref="BD9:BE10"/>
    <mergeCell ref="BG9:BH10"/>
    <mergeCell ref="BJ7:BO7"/>
    <mergeCell ref="BJ9:BL10"/>
    <mergeCell ref="BN9:BO10"/>
    <mergeCell ref="BQ7:BR7"/>
    <mergeCell ref="I9:I10"/>
    <mergeCell ref="K9:K10"/>
    <mergeCell ref="M9:M10"/>
    <mergeCell ref="O9:P10"/>
    <mergeCell ref="R9:R10"/>
    <mergeCell ref="T9:T10"/>
    <mergeCell ref="V9:W10"/>
    <mergeCell ref="Y9:Z10"/>
    <mergeCell ref="AB9:AC10"/>
    <mergeCell ref="AE9:AF10"/>
    <mergeCell ref="AH9:AI10"/>
    <mergeCell ref="AK9:AL10"/>
    <mergeCell ref="AN9:AO10"/>
    <mergeCell ref="AT9:AT10"/>
    <mergeCell ref="BA9:BB10"/>
    <mergeCell ref="F3:G3"/>
    <mergeCell ref="V7:AF7"/>
    <mergeCell ref="AH7:AR7"/>
    <mergeCell ref="AT7:AW7"/>
    <mergeCell ref="AY7:BB7"/>
  </mergeCells>
  <phoneticPr fontId="56"/>
  <dataValidations count="9">
    <dataValidation type="list" allowBlank="1" showDropDown="1" showInputMessage="1" showErrorMessage="1" sqref="WVN983043:WVO983043 JB3:JC3 SX3:SY3 ACT3:ACU3 AMP3:AMQ3 AWL3:AWM3 BGH3:BGI3 BQD3:BQE3 BZZ3:CAA3 CJV3:CJW3 CTR3:CTS3 DDN3:DDO3 DNJ3:DNK3 DXF3:DXG3 EHB3:EHC3 EQX3:EQY3 FAT3:FAU3 FKP3:FKQ3 FUL3:FUM3 GEH3:GEI3 GOD3:GOE3 GXZ3:GYA3 HHV3:HHW3 HRR3:HRS3 IBN3:IBO3 ILJ3:ILK3 IVF3:IVG3 JFB3:JFC3 JOX3:JOY3 JYT3:JYU3 KIP3:KIQ3 KSL3:KSM3 LCH3:LCI3 LMD3:LME3 LVZ3:LWA3 MFV3:MFW3 MPR3:MPS3 MZN3:MZO3 NJJ3:NJK3 NTF3:NTG3 ODB3:ODC3 OMX3:OMY3 OWT3:OWU3 PGP3:PGQ3 PQL3:PQM3 QAH3:QAI3 QKD3:QKE3 QTZ3:QUA3 RDV3:RDW3 RNR3:RNS3 RXN3:RXO3 SHJ3:SHK3 SRF3:SRG3 TBB3:TBC3 TKX3:TKY3 TUT3:TUU3 UEP3:UEQ3 UOL3:UOM3 UYH3:UYI3 VID3:VIE3 VRZ3:VSA3 WBV3:WBW3 WLR3:WLS3 WVN3:WVO3 F65539:G65539 JB65539:JC65539 SX65539:SY65539 ACT65539:ACU65539 AMP65539:AMQ65539 AWL65539:AWM65539 BGH65539:BGI65539 BQD65539:BQE65539 BZZ65539:CAA65539 CJV65539:CJW65539 CTR65539:CTS65539 DDN65539:DDO65539 DNJ65539:DNK65539 DXF65539:DXG65539 EHB65539:EHC65539 EQX65539:EQY65539 FAT65539:FAU65539 FKP65539:FKQ65539 FUL65539:FUM65539 GEH65539:GEI65539 GOD65539:GOE65539 GXZ65539:GYA65539 HHV65539:HHW65539 HRR65539:HRS65539 IBN65539:IBO65539 ILJ65539:ILK65539 IVF65539:IVG65539 JFB65539:JFC65539 JOX65539:JOY65539 JYT65539:JYU65539 KIP65539:KIQ65539 KSL65539:KSM65539 LCH65539:LCI65539 LMD65539:LME65539 LVZ65539:LWA65539 MFV65539:MFW65539 MPR65539:MPS65539 MZN65539:MZO65539 NJJ65539:NJK65539 NTF65539:NTG65539 ODB65539:ODC65539 OMX65539:OMY65539 OWT65539:OWU65539 PGP65539:PGQ65539 PQL65539:PQM65539 QAH65539:QAI65539 QKD65539:QKE65539 QTZ65539:QUA65539 RDV65539:RDW65539 RNR65539:RNS65539 RXN65539:RXO65539 SHJ65539:SHK65539 SRF65539:SRG65539 TBB65539:TBC65539 TKX65539:TKY65539 TUT65539:TUU65539 UEP65539:UEQ65539 UOL65539:UOM65539 UYH65539:UYI65539 VID65539:VIE65539 VRZ65539:VSA65539 WBV65539:WBW65539 WLR65539:WLS65539 WVN65539:WVO65539 F131075:G131075 JB131075:JC131075 SX131075:SY131075 ACT131075:ACU131075 AMP131075:AMQ131075 AWL131075:AWM131075 BGH131075:BGI131075 BQD131075:BQE131075 BZZ131075:CAA131075 CJV131075:CJW131075 CTR131075:CTS131075 DDN131075:DDO131075 DNJ131075:DNK131075 DXF131075:DXG131075 EHB131075:EHC131075 EQX131075:EQY131075 FAT131075:FAU131075 FKP131075:FKQ131075 FUL131075:FUM131075 GEH131075:GEI131075 GOD131075:GOE131075 GXZ131075:GYA131075 HHV131075:HHW131075 HRR131075:HRS131075 IBN131075:IBO131075 ILJ131075:ILK131075 IVF131075:IVG131075 JFB131075:JFC131075 JOX131075:JOY131075 JYT131075:JYU131075 KIP131075:KIQ131075 KSL131075:KSM131075 LCH131075:LCI131075 LMD131075:LME131075 LVZ131075:LWA131075 MFV131075:MFW131075 MPR131075:MPS131075 MZN131075:MZO131075 NJJ131075:NJK131075 NTF131075:NTG131075 ODB131075:ODC131075 OMX131075:OMY131075 OWT131075:OWU131075 PGP131075:PGQ131075 PQL131075:PQM131075 QAH131075:QAI131075 QKD131075:QKE131075 QTZ131075:QUA131075 RDV131075:RDW131075 RNR131075:RNS131075 RXN131075:RXO131075 SHJ131075:SHK131075 SRF131075:SRG131075 TBB131075:TBC131075 TKX131075:TKY131075 TUT131075:TUU131075 UEP131075:UEQ131075 UOL131075:UOM131075 UYH131075:UYI131075 VID131075:VIE131075 VRZ131075:VSA131075 WBV131075:WBW131075 WLR131075:WLS131075 WVN131075:WVO131075 F196611:G196611 JB196611:JC196611 SX196611:SY196611 ACT196611:ACU196611 AMP196611:AMQ196611 AWL196611:AWM196611 BGH196611:BGI196611 BQD196611:BQE196611 BZZ196611:CAA196611 CJV196611:CJW196611 CTR196611:CTS196611 DDN196611:DDO196611 DNJ196611:DNK196611 DXF196611:DXG196611 EHB196611:EHC196611 EQX196611:EQY196611 FAT196611:FAU196611 FKP196611:FKQ196611 FUL196611:FUM196611 GEH196611:GEI196611 GOD196611:GOE196611 GXZ196611:GYA196611 HHV196611:HHW196611 HRR196611:HRS196611 IBN196611:IBO196611 ILJ196611:ILK196611 IVF196611:IVG196611 JFB196611:JFC196611 JOX196611:JOY196611 JYT196611:JYU196611 KIP196611:KIQ196611 KSL196611:KSM196611 LCH196611:LCI196611 LMD196611:LME196611 LVZ196611:LWA196611 MFV196611:MFW196611 MPR196611:MPS196611 MZN196611:MZO196611 NJJ196611:NJK196611 NTF196611:NTG196611 ODB196611:ODC196611 OMX196611:OMY196611 OWT196611:OWU196611 PGP196611:PGQ196611 PQL196611:PQM196611 QAH196611:QAI196611 QKD196611:QKE196611 QTZ196611:QUA196611 RDV196611:RDW196611 RNR196611:RNS196611 RXN196611:RXO196611 SHJ196611:SHK196611 SRF196611:SRG196611 TBB196611:TBC196611 TKX196611:TKY196611 TUT196611:TUU196611 UEP196611:UEQ196611 UOL196611:UOM196611 UYH196611:UYI196611 VID196611:VIE196611 VRZ196611:VSA196611 WBV196611:WBW196611 WLR196611:WLS196611 WVN196611:WVO196611 F262147:G262147 JB262147:JC262147 SX262147:SY262147 ACT262147:ACU262147 AMP262147:AMQ262147 AWL262147:AWM262147 BGH262147:BGI262147 BQD262147:BQE262147 BZZ262147:CAA262147 CJV262147:CJW262147 CTR262147:CTS262147 DDN262147:DDO262147 DNJ262147:DNK262147 DXF262147:DXG262147 EHB262147:EHC262147 EQX262147:EQY262147 FAT262147:FAU262147 FKP262147:FKQ262147 FUL262147:FUM262147 GEH262147:GEI262147 GOD262147:GOE262147 GXZ262147:GYA262147 HHV262147:HHW262147 HRR262147:HRS262147 IBN262147:IBO262147 ILJ262147:ILK262147 IVF262147:IVG262147 JFB262147:JFC262147 JOX262147:JOY262147 JYT262147:JYU262147 KIP262147:KIQ262147 KSL262147:KSM262147 LCH262147:LCI262147 LMD262147:LME262147 LVZ262147:LWA262147 MFV262147:MFW262147 MPR262147:MPS262147 MZN262147:MZO262147 NJJ262147:NJK262147 NTF262147:NTG262147 ODB262147:ODC262147 OMX262147:OMY262147 OWT262147:OWU262147 PGP262147:PGQ262147 PQL262147:PQM262147 QAH262147:QAI262147 QKD262147:QKE262147 QTZ262147:QUA262147 RDV262147:RDW262147 RNR262147:RNS262147 RXN262147:RXO262147 SHJ262147:SHK262147 SRF262147:SRG262147 TBB262147:TBC262147 TKX262147:TKY262147 TUT262147:TUU262147 UEP262147:UEQ262147 UOL262147:UOM262147 UYH262147:UYI262147 VID262147:VIE262147 VRZ262147:VSA262147 WBV262147:WBW262147 WLR262147:WLS262147 WVN262147:WVO262147 F327683:G327683 JB327683:JC327683 SX327683:SY327683 ACT327683:ACU327683 AMP327683:AMQ327683 AWL327683:AWM327683 BGH327683:BGI327683 BQD327683:BQE327683 BZZ327683:CAA327683 CJV327683:CJW327683 CTR327683:CTS327683 DDN327683:DDO327683 DNJ327683:DNK327683 DXF327683:DXG327683 EHB327683:EHC327683 EQX327683:EQY327683 FAT327683:FAU327683 FKP327683:FKQ327683 FUL327683:FUM327683 GEH327683:GEI327683 GOD327683:GOE327683 GXZ327683:GYA327683 HHV327683:HHW327683 HRR327683:HRS327683 IBN327683:IBO327683 ILJ327683:ILK327683 IVF327683:IVG327683 JFB327683:JFC327683 JOX327683:JOY327683 JYT327683:JYU327683 KIP327683:KIQ327683 KSL327683:KSM327683 LCH327683:LCI327683 LMD327683:LME327683 LVZ327683:LWA327683 MFV327683:MFW327683 MPR327683:MPS327683 MZN327683:MZO327683 NJJ327683:NJK327683 NTF327683:NTG327683 ODB327683:ODC327683 OMX327683:OMY327683 OWT327683:OWU327683 PGP327683:PGQ327683 PQL327683:PQM327683 QAH327683:QAI327683 QKD327683:QKE327683 QTZ327683:QUA327683 RDV327683:RDW327683 RNR327683:RNS327683 RXN327683:RXO327683 SHJ327683:SHK327683 SRF327683:SRG327683 TBB327683:TBC327683 TKX327683:TKY327683 TUT327683:TUU327683 UEP327683:UEQ327683 UOL327683:UOM327683 UYH327683:UYI327683 VID327683:VIE327683 VRZ327683:VSA327683 WBV327683:WBW327683 WLR327683:WLS327683 WVN327683:WVO327683 F393219:G393219 JB393219:JC393219 SX393219:SY393219 ACT393219:ACU393219 AMP393219:AMQ393219 AWL393219:AWM393219 BGH393219:BGI393219 BQD393219:BQE393219 BZZ393219:CAA393219 CJV393219:CJW393219 CTR393219:CTS393219 DDN393219:DDO393219 DNJ393219:DNK393219 DXF393219:DXG393219 EHB393219:EHC393219 EQX393219:EQY393219 FAT393219:FAU393219 FKP393219:FKQ393219 FUL393219:FUM393219 GEH393219:GEI393219 GOD393219:GOE393219 GXZ393219:GYA393219 HHV393219:HHW393219 HRR393219:HRS393219 IBN393219:IBO393219 ILJ393219:ILK393219 IVF393219:IVG393219 JFB393219:JFC393219 JOX393219:JOY393219 JYT393219:JYU393219 KIP393219:KIQ393219 KSL393219:KSM393219 LCH393219:LCI393219 LMD393219:LME393219 LVZ393219:LWA393219 MFV393219:MFW393219 MPR393219:MPS393219 MZN393219:MZO393219 NJJ393219:NJK393219 NTF393219:NTG393219 ODB393219:ODC393219 OMX393219:OMY393219 OWT393219:OWU393219 PGP393219:PGQ393219 PQL393219:PQM393219 QAH393219:QAI393219 QKD393219:QKE393219 QTZ393219:QUA393219 RDV393219:RDW393219 RNR393219:RNS393219 RXN393219:RXO393219 SHJ393219:SHK393219 SRF393219:SRG393219 TBB393219:TBC393219 TKX393219:TKY393219 TUT393219:TUU393219 UEP393219:UEQ393219 UOL393219:UOM393219 UYH393219:UYI393219 VID393219:VIE393219 VRZ393219:VSA393219 WBV393219:WBW393219 WLR393219:WLS393219 WVN393219:WVO393219 F458755:G458755 JB458755:JC458755 SX458755:SY458755 ACT458755:ACU458755 AMP458755:AMQ458755 AWL458755:AWM458755 BGH458755:BGI458755 BQD458755:BQE458755 BZZ458755:CAA458755 CJV458755:CJW458755 CTR458755:CTS458755 DDN458755:DDO458755 DNJ458755:DNK458755 DXF458755:DXG458755 EHB458755:EHC458755 EQX458755:EQY458755 FAT458755:FAU458755 FKP458755:FKQ458755 FUL458755:FUM458755 GEH458755:GEI458755 GOD458755:GOE458755 GXZ458755:GYA458755 HHV458755:HHW458755 HRR458755:HRS458755 IBN458755:IBO458755 ILJ458755:ILK458755 IVF458755:IVG458755 JFB458755:JFC458755 JOX458755:JOY458755 JYT458755:JYU458755 KIP458755:KIQ458755 KSL458755:KSM458755 LCH458755:LCI458755 LMD458755:LME458755 LVZ458755:LWA458755 MFV458755:MFW458755 MPR458755:MPS458755 MZN458755:MZO458755 NJJ458755:NJK458755 NTF458755:NTG458755 ODB458755:ODC458755 OMX458755:OMY458755 OWT458755:OWU458755 PGP458755:PGQ458755 PQL458755:PQM458755 QAH458755:QAI458755 QKD458755:QKE458755 QTZ458755:QUA458755 RDV458755:RDW458755 RNR458755:RNS458755 RXN458755:RXO458755 SHJ458755:SHK458755 SRF458755:SRG458755 TBB458755:TBC458755 TKX458755:TKY458755 TUT458755:TUU458755 UEP458755:UEQ458755 UOL458755:UOM458755 UYH458755:UYI458755 VID458755:VIE458755 VRZ458755:VSA458755 WBV458755:WBW458755 WLR458755:WLS458755 WVN458755:WVO458755 F524291:G524291 JB524291:JC524291 SX524291:SY524291 ACT524291:ACU524291 AMP524291:AMQ524291 AWL524291:AWM524291 BGH524291:BGI524291 BQD524291:BQE524291 BZZ524291:CAA524291 CJV524291:CJW524291 CTR524291:CTS524291 DDN524291:DDO524291 DNJ524291:DNK524291 DXF524291:DXG524291 EHB524291:EHC524291 EQX524291:EQY524291 FAT524291:FAU524291 FKP524291:FKQ524291 FUL524291:FUM524291 GEH524291:GEI524291 GOD524291:GOE524291 GXZ524291:GYA524291 HHV524291:HHW524291 HRR524291:HRS524291 IBN524291:IBO524291 ILJ524291:ILK524291 IVF524291:IVG524291 JFB524291:JFC524291 JOX524291:JOY524291 JYT524291:JYU524291 KIP524291:KIQ524291 KSL524291:KSM524291 LCH524291:LCI524291 LMD524291:LME524291 LVZ524291:LWA524291 MFV524291:MFW524291 MPR524291:MPS524291 MZN524291:MZO524291 NJJ524291:NJK524291 NTF524291:NTG524291 ODB524291:ODC524291 OMX524291:OMY524291 OWT524291:OWU524291 PGP524291:PGQ524291 PQL524291:PQM524291 QAH524291:QAI524291 QKD524291:QKE524291 QTZ524291:QUA524291 RDV524291:RDW524291 RNR524291:RNS524291 RXN524291:RXO524291 SHJ524291:SHK524291 SRF524291:SRG524291 TBB524291:TBC524291 TKX524291:TKY524291 TUT524291:TUU524291 UEP524291:UEQ524291 UOL524291:UOM524291 UYH524291:UYI524291 VID524291:VIE524291 VRZ524291:VSA524291 WBV524291:WBW524291 WLR524291:WLS524291 WVN524291:WVO524291 F589827:G589827 JB589827:JC589827 SX589827:SY589827 ACT589827:ACU589827 AMP589827:AMQ589827 AWL589827:AWM589827 BGH589827:BGI589827 BQD589827:BQE589827 BZZ589827:CAA589827 CJV589827:CJW589827 CTR589827:CTS589827 DDN589827:DDO589827 DNJ589827:DNK589827 DXF589827:DXG589827 EHB589827:EHC589827 EQX589827:EQY589827 FAT589827:FAU589827 FKP589827:FKQ589827 FUL589827:FUM589827 GEH589827:GEI589827 GOD589827:GOE589827 GXZ589827:GYA589827 HHV589827:HHW589827 HRR589827:HRS589827 IBN589827:IBO589827 ILJ589827:ILK589827 IVF589827:IVG589827 JFB589827:JFC589827 JOX589827:JOY589827 JYT589827:JYU589827 KIP589827:KIQ589827 KSL589827:KSM589827 LCH589827:LCI589827 LMD589827:LME589827 LVZ589827:LWA589827 MFV589827:MFW589827 MPR589827:MPS589827 MZN589827:MZO589827 NJJ589827:NJK589827 NTF589827:NTG589827 ODB589827:ODC589827 OMX589827:OMY589827 OWT589827:OWU589827 PGP589827:PGQ589827 PQL589827:PQM589827 QAH589827:QAI589827 QKD589827:QKE589827 QTZ589827:QUA589827 RDV589827:RDW589827 RNR589827:RNS589827 RXN589827:RXO589827 SHJ589827:SHK589827 SRF589827:SRG589827 TBB589827:TBC589827 TKX589827:TKY589827 TUT589827:TUU589827 UEP589827:UEQ589827 UOL589827:UOM589827 UYH589827:UYI589827 VID589827:VIE589827 VRZ589827:VSA589827 WBV589827:WBW589827 WLR589827:WLS589827 WVN589827:WVO589827 F655363:G655363 JB655363:JC655363 SX655363:SY655363 ACT655363:ACU655363 AMP655363:AMQ655363 AWL655363:AWM655363 BGH655363:BGI655363 BQD655363:BQE655363 BZZ655363:CAA655363 CJV655363:CJW655363 CTR655363:CTS655363 DDN655363:DDO655363 DNJ655363:DNK655363 DXF655363:DXG655363 EHB655363:EHC655363 EQX655363:EQY655363 FAT655363:FAU655363 FKP655363:FKQ655363 FUL655363:FUM655363 GEH655363:GEI655363 GOD655363:GOE655363 GXZ655363:GYA655363 HHV655363:HHW655363 HRR655363:HRS655363 IBN655363:IBO655363 ILJ655363:ILK655363 IVF655363:IVG655363 JFB655363:JFC655363 JOX655363:JOY655363 JYT655363:JYU655363 KIP655363:KIQ655363 KSL655363:KSM655363 LCH655363:LCI655363 LMD655363:LME655363 LVZ655363:LWA655363 MFV655363:MFW655363 MPR655363:MPS655363 MZN655363:MZO655363 NJJ655363:NJK655363 NTF655363:NTG655363 ODB655363:ODC655363 OMX655363:OMY655363 OWT655363:OWU655363 PGP655363:PGQ655363 PQL655363:PQM655363 QAH655363:QAI655363 QKD655363:QKE655363 QTZ655363:QUA655363 RDV655363:RDW655363 RNR655363:RNS655363 RXN655363:RXO655363 SHJ655363:SHK655363 SRF655363:SRG655363 TBB655363:TBC655363 TKX655363:TKY655363 TUT655363:TUU655363 UEP655363:UEQ655363 UOL655363:UOM655363 UYH655363:UYI655363 VID655363:VIE655363 VRZ655363:VSA655363 WBV655363:WBW655363 WLR655363:WLS655363 WVN655363:WVO655363 F720899:G720899 JB720899:JC720899 SX720899:SY720899 ACT720899:ACU720899 AMP720899:AMQ720899 AWL720899:AWM720899 BGH720899:BGI720899 BQD720899:BQE720899 BZZ720899:CAA720899 CJV720899:CJW720899 CTR720899:CTS720899 DDN720899:DDO720899 DNJ720899:DNK720899 DXF720899:DXG720899 EHB720899:EHC720899 EQX720899:EQY720899 FAT720899:FAU720899 FKP720899:FKQ720899 FUL720899:FUM720899 GEH720899:GEI720899 GOD720899:GOE720899 GXZ720899:GYA720899 HHV720899:HHW720899 HRR720899:HRS720899 IBN720899:IBO720899 ILJ720899:ILK720899 IVF720899:IVG720899 JFB720899:JFC720899 JOX720899:JOY720899 JYT720899:JYU720899 KIP720899:KIQ720899 KSL720899:KSM720899 LCH720899:LCI720899 LMD720899:LME720899 LVZ720899:LWA720899 MFV720899:MFW720899 MPR720899:MPS720899 MZN720899:MZO720899 NJJ720899:NJK720899 NTF720899:NTG720899 ODB720899:ODC720899 OMX720899:OMY720899 OWT720899:OWU720899 PGP720899:PGQ720899 PQL720899:PQM720899 QAH720899:QAI720899 QKD720899:QKE720899 QTZ720899:QUA720899 RDV720899:RDW720899 RNR720899:RNS720899 RXN720899:RXO720899 SHJ720899:SHK720899 SRF720899:SRG720899 TBB720899:TBC720899 TKX720899:TKY720899 TUT720899:TUU720899 UEP720899:UEQ720899 UOL720899:UOM720899 UYH720899:UYI720899 VID720899:VIE720899 VRZ720899:VSA720899 WBV720899:WBW720899 WLR720899:WLS720899 WVN720899:WVO720899 F786435:G786435 JB786435:JC786435 SX786435:SY786435 ACT786435:ACU786435 AMP786435:AMQ786435 AWL786435:AWM786435 BGH786435:BGI786435 BQD786435:BQE786435 BZZ786435:CAA786435 CJV786435:CJW786435 CTR786435:CTS786435 DDN786435:DDO786435 DNJ786435:DNK786435 DXF786435:DXG786435 EHB786435:EHC786435 EQX786435:EQY786435 FAT786435:FAU786435 FKP786435:FKQ786435 FUL786435:FUM786435 GEH786435:GEI786435 GOD786435:GOE786435 GXZ786435:GYA786435 HHV786435:HHW786435 HRR786435:HRS786435 IBN786435:IBO786435 ILJ786435:ILK786435 IVF786435:IVG786435 JFB786435:JFC786435 JOX786435:JOY786435 JYT786435:JYU786435 KIP786435:KIQ786435 KSL786435:KSM786435 LCH786435:LCI786435 LMD786435:LME786435 LVZ786435:LWA786435 MFV786435:MFW786435 MPR786435:MPS786435 MZN786435:MZO786435 NJJ786435:NJK786435 NTF786435:NTG786435 ODB786435:ODC786435 OMX786435:OMY786435 OWT786435:OWU786435 PGP786435:PGQ786435 PQL786435:PQM786435 QAH786435:QAI786435 QKD786435:QKE786435 QTZ786435:QUA786435 RDV786435:RDW786435 RNR786435:RNS786435 RXN786435:RXO786435 SHJ786435:SHK786435 SRF786435:SRG786435 TBB786435:TBC786435 TKX786435:TKY786435 TUT786435:TUU786435 UEP786435:UEQ786435 UOL786435:UOM786435 UYH786435:UYI786435 VID786435:VIE786435 VRZ786435:VSA786435 WBV786435:WBW786435 WLR786435:WLS786435 WVN786435:WVO786435 F851971:G851971 JB851971:JC851971 SX851971:SY851971 ACT851971:ACU851971 AMP851971:AMQ851971 AWL851971:AWM851971 BGH851971:BGI851971 BQD851971:BQE851971 BZZ851971:CAA851971 CJV851971:CJW851971 CTR851971:CTS851971 DDN851971:DDO851971 DNJ851971:DNK851971 DXF851971:DXG851971 EHB851971:EHC851971 EQX851971:EQY851971 FAT851971:FAU851971 FKP851971:FKQ851971 FUL851971:FUM851971 GEH851971:GEI851971 GOD851971:GOE851971 GXZ851971:GYA851971 HHV851971:HHW851971 HRR851971:HRS851971 IBN851971:IBO851971 ILJ851971:ILK851971 IVF851971:IVG851971 JFB851971:JFC851971 JOX851971:JOY851971 JYT851971:JYU851971 KIP851971:KIQ851971 KSL851971:KSM851971 LCH851971:LCI851971 LMD851971:LME851971 LVZ851971:LWA851971 MFV851971:MFW851971 MPR851971:MPS851971 MZN851971:MZO851971 NJJ851971:NJK851971 NTF851971:NTG851971 ODB851971:ODC851971 OMX851971:OMY851971 OWT851971:OWU851971 PGP851971:PGQ851971 PQL851971:PQM851971 QAH851971:QAI851971 QKD851971:QKE851971 QTZ851971:QUA851971 RDV851971:RDW851971 RNR851971:RNS851971 RXN851971:RXO851971 SHJ851971:SHK851971 SRF851971:SRG851971 TBB851971:TBC851971 TKX851971:TKY851971 TUT851971:TUU851971 UEP851971:UEQ851971 UOL851971:UOM851971 UYH851971:UYI851971 VID851971:VIE851971 VRZ851971:VSA851971 WBV851971:WBW851971 WLR851971:WLS851971 WVN851971:WVO851971 F917507:G917507 JB917507:JC917507 SX917507:SY917507 ACT917507:ACU917507 AMP917507:AMQ917507 AWL917507:AWM917507 BGH917507:BGI917507 BQD917507:BQE917507 BZZ917507:CAA917507 CJV917507:CJW917507 CTR917507:CTS917507 DDN917507:DDO917507 DNJ917507:DNK917507 DXF917507:DXG917507 EHB917507:EHC917507 EQX917507:EQY917507 FAT917507:FAU917507 FKP917507:FKQ917507 FUL917507:FUM917507 GEH917507:GEI917507 GOD917507:GOE917507 GXZ917507:GYA917507 HHV917507:HHW917507 HRR917507:HRS917507 IBN917507:IBO917507 ILJ917507:ILK917507 IVF917507:IVG917507 JFB917507:JFC917507 JOX917507:JOY917507 JYT917507:JYU917507 KIP917507:KIQ917507 KSL917507:KSM917507 LCH917507:LCI917507 LMD917507:LME917507 LVZ917507:LWA917507 MFV917507:MFW917507 MPR917507:MPS917507 MZN917507:MZO917507 NJJ917507:NJK917507 NTF917507:NTG917507 ODB917507:ODC917507 OMX917507:OMY917507 OWT917507:OWU917507 PGP917507:PGQ917507 PQL917507:PQM917507 QAH917507:QAI917507 QKD917507:QKE917507 QTZ917507:QUA917507 RDV917507:RDW917507 RNR917507:RNS917507 RXN917507:RXO917507 SHJ917507:SHK917507 SRF917507:SRG917507 TBB917507:TBC917507 TKX917507:TKY917507 TUT917507:TUU917507 UEP917507:UEQ917507 UOL917507:UOM917507 UYH917507:UYI917507 VID917507:VIE917507 VRZ917507:VSA917507 WBV917507:WBW917507 WLR917507:WLS917507 WVN917507:WVO917507 F983043:G983043 JB983043:JC983043 SX983043:SY983043 ACT983043:ACU983043 AMP983043:AMQ983043 AWL983043:AWM983043 BGH983043:BGI983043 BQD983043:BQE983043 BZZ983043:CAA983043 CJV983043:CJW983043 CTR983043:CTS983043 DDN983043:DDO983043 DNJ983043:DNK983043 DXF983043:DXG983043 EHB983043:EHC983043 EQX983043:EQY983043 FAT983043:FAU983043 FKP983043:FKQ983043 FUL983043:FUM983043 GEH983043:GEI983043 GOD983043:GOE983043 GXZ983043:GYA983043 HHV983043:HHW983043 HRR983043:HRS983043 IBN983043:IBO983043 ILJ983043:ILK983043 IVF983043:IVG983043 JFB983043:JFC983043 JOX983043:JOY983043 JYT983043:JYU983043 KIP983043:KIQ983043 KSL983043:KSM983043 LCH983043:LCI983043 LMD983043:LME983043 LVZ983043:LWA983043 MFV983043:MFW983043 MPR983043:MPS983043 MZN983043:MZO983043 NJJ983043:NJK983043 NTF983043:NTG983043 ODB983043:ODC983043 OMX983043:OMY983043 OWT983043:OWU983043 PGP983043:PGQ983043 PQL983043:PQM983043 QAH983043:QAI983043 QKD983043:QKE983043 QTZ983043:QUA983043 RDV983043:RDW983043 RNR983043:RNS983043 RXN983043:RXO983043 SHJ983043:SHK983043 SRF983043:SRG983043 TBB983043:TBC983043 TKX983043:TKY983043 TUT983043:TUU983043 UEP983043:UEQ983043 UOL983043:UOM983043 UYH983043:UYI983043 VID983043:VIE983043 VRZ983043:VSA983043 WBV983043:WBW983043 WLR983043:WLS983043" xr:uid="{00000000-0002-0000-2500-000000000000}">
      <formula1>"原子力,石炭火力,LNG火力,石油火力,一般水力,太陽光（メガソーラー）,太陽光（住宅）,風力（陸上）,風力（洋上）,小水力,地熱,バイオマス（石炭混焼）,バイオマス（木質専焼）,ガスコジェネ,石油コジェネ,燃料電池,酸素吹IGCC,CO2分離回収型酸素吹IGCC,空気吹IGCC"</formula1>
    </dataValidation>
    <dataValidation type="list" allowBlank="1" showDropDown="1" showInputMessage="1" showErrorMessage="1" sqref="F43 JB43 SX43 ACT43 AMP43 AWL43 BGH43 BQD43 BZZ43 CJV43 CTR43 DDN43 DNJ43 DXF43 EHB43 EQX43 FAT43 FKP43 FUL43 GEH43 GOD43 GXZ43 HHV43 HRR43 IBN43 ILJ43 IVF43 JFB43 JOX43 JYT43 KIP43 KSL43 LCH43 LMD43 LVZ43 MFV43 MPR43 MZN43 NJJ43 NTF43 ODB43 OMX43 OWT43 PGP43 PQL43 QAH43 QKD43 QTZ43 RDV43 RNR43 RXN43 SHJ43 SRF43 TBB43 TKX43 TUT43 UEP43 UOL43 UYH43 VID43 VRZ43 WBV43 WLR43 WVN43 F65579 JB65579 SX65579 ACT65579 AMP65579 AWL65579 BGH65579 BQD65579 BZZ65579 CJV65579 CTR65579 DDN65579 DNJ65579 DXF65579 EHB65579 EQX65579 FAT65579 FKP65579 FUL65579 GEH65579 GOD65579 GXZ65579 HHV65579 HRR65579 IBN65579 ILJ65579 IVF65579 JFB65579 JOX65579 JYT65579 KIP65579 KSL65579 LCH65579 LMD65579 LVZ65579 MFV65579 MPR65579 MZN65579 NJJ65579 NTF65579 ODB65579 OMX65579 OWT65579 PGP65579 PQL65579 QAH65579 QKD65579 QTZ65579 RDV65579 RNR65579 RXN65579 SHJ65579 SRF65579 TBB65579 TKX65579 TUT65579 UEP65579 UOL65579 UYH65579 VID65579 VRZ65579 WBV65579 WLR65579 WVN65579 F131115 JB131115 SX131115 ACT131115 AMP131115 AWL131115 BGH131115 BQD131115 BZZ131115 CJV131115 CTR131115 DDN131115 DNJ131115 DXF131115 EHB131115 EQX131115 FAT131115 FKP131115 FUL131115 GEH131115 GOD131115 GXZ131115 HHV131115 HRR131115 IBN131115 ILJ131115 IVF131115 JFB131115 JOX131115 JYT131115 KIP131115 KSL131115 LCH131115 LMD131115 LVZ131115 MFV131115 MPR131115 MZN131115 NJJ131115 NTF131115 ODB131115 OMX131115 OWT131115 PGP131115 PQL131115 QAH131115 QKD131115 QTZ131115 RDV131115 RNR131115 RXN131115 SHJ131115 SRF131115 TBB131115 TKX131115 TUT131115 UEP131115 UOL131115 UYH131115 VID131115 VRZ131115 WBV131115 WLR131115 WVN131115 F196651 JB196651 SX196651 ACT196651 AMP196651 AWL196651 BGH196651 BQD196651 BZZ196651 CJV196651 CTR196651 DDN196651 DNJ196651 DXF196651 EHB196651 EQX196651 FAT196651 FKP196651 FUL196651 GEH196651 GOD196651 GXZ196651 HHV196651 HRR196651 IBN196651 ILJ196651 IVF196651 JFB196651 JOX196651 JYT196651 KIP196651 KSL196651 LCH196651 LMD196651 LVZ196651 MFV196651 MPR196651 MZN196651 NJJ196651 NTF196651 ODB196651 OMX196651 OWT196651 PGP196651 PQL196651 QAH196651 QKD196651 QTZ196651 RDV196651 RNR196651 RXN196651 SHJ196651 SRF196651 TBB196651 TKX196651 TUT196651 UEP196651 UOL196651 UYH196651 VID196651 VRZ196651 WBV196651 WLR196651 WVN196651 F262187 JB262187 SX262187 ACT262187 AMP262187 AWL262187 BGH262187 BQD262187 BZZ262187 CJV262187 CTR262187 DDN262187 DNJ262187 DXF262187 EHB262187 EQX262187 FAT262187 FKP262187 FUL262187 GEH262187 GOD262187 GXZ262187 HHV262187 HRR262187 IBN262187 ILJ262187 IVF262187 JFB262187 JOX262187 JYT262187 KIP262187 KSL262187 LCH262187 LMD262187 LVZ262187 MFV262187 MPR262187 MZN262187 NJJ262187 NTF262187 ODB262187 OMX262187 OWT262187 PGP262187 PQL262187 QAH262187 QKD262187 QTZ262187 RDV262187 RNR262187 RXN262187 SHJ262187 SRF262187 TBB262187 TKX262187 TUT262187 UEP262187 UOL262187 UYH262187 VID262187 VRZ262187 WBV262187 WLR262187 WVN262187 F327723 JB327723 SX327723 ACT327723 AMP327723 AWL327723 BGH327723 BQD327723 BZZ327723 CJV327723 CTR327723 DDN327723 DNJ327723 DXF327723 EHB327723 EQX327723 FAT327723 FKP327723 FUL327723 GEH327723 GOD327723 GXZ327723 HHV327723 HRR327723 IBN327723 ILJ327723 IVF327723 JFB327723 JOX327723 JYT327723 KIP327723 KSL327723 LCH327723 LMD327723 LVZ327723 MFV327723 MPR327723 MZN327723 NJJ327723 NTF327723 ODB327723 OMX327723 OWT327723 PGP327723 PQL327723 QAH327723 QKD327723 QTZ327723 RDV327723 RNR327723 RXN327723 SHJ327723 SRF327723 TBB327723 TKX327723 TUT327723 UEP327723 UOL327723 UYH327723 VID327723 VRZ327723 WBV327723 WLR327723 WVN327723 F393259 JB393259 SX393259 ACT393259 AMP393259 AWL393259 BGH393259 BQD393259 BZZ393259 CJV393259 CTR393259 DDN393259 DNJ393259 DXF393259 EHB393259 EQX393259 FAT393259 FKP393259 FUL393259 GEH393259 GOD393259 GXZ393259 HHV393259 HRR393259 IBN393259 ILJ393259 IVF393259 JFB393259 JOX393259 JYT393259 KIP393259 KSL393259 LCH393259 LMD393259 LVZ393259 MFV393259 MPR393259 MZN393259 NJJ393259 NTF393259 ODB393259 OMX393259 OWT393259 PGP393259 PQL393259 QAH393259 QKD393259 QTZ393259 RDV393259 RNR393259 RXN393259 SHJ393259 SRF393259 TBB393259 TKX393259 TUT393259 UEP393259 UOL393259 UYH393259 VID393259 VRZ393259 WBV393259 WLR393259 WVN393259 F458795 JB458795 SX458795 ACT458795 AMP458795 AWL458795 BGH458795 BQD458795 BZZ458795 CJV458795 CTR458795 DDN458795 DNJ458795 DXF458795 EHB458795 EQX458795 FAT458795 FKP458795 FUL458795 GEH458795 GOD458795 GXZ458795 HHV458795 HRR458795 IBN458795 ILJ458795 IVF458795 JFB458795 JOX458795 JYT458795 KIP458795 KSL458795 LCH458795 LMD458795 LVZ458795 MFV458795 MPR458795 MZN458795 NJJ458795 NTF458795 ODB458795 OMX458795 OWT458795 PGP458795 PQL458795 QAH458795 QKD458795 QTZ458795 RDV458795 RNR458795 RXN458795 SHJ458795 SRF458795 TBB458795 TKX458795 TUT458795 UEP458795 UOL458795 UYH458795 VID458795 VRZ458795 WBV458795 WLR458795 WVN458795 F524331 JB524331 SX524331 ACT524331 AMP524331 AWL524331 BGH524331 BQD524331 BZZ524331 CJV524331 CTR524331 DDN524331 DNJ524331 DXF524331 EHB524331 EQX524331 FAT524331 FKP524331 FUL524331 GEH524331 GOD524331 GXZ524331 HHV524331 HRR524331 IBN524331 ILJ524331 IVF524331 JFB524331 JOX524331 JYT524331 KIP524331 KSL524331 LCH524331 LMD524331 LVZ524331 MFV524331 MPR524331 MZN524331 NJJ524331 NTF524331 ODB524331 OMX524331 OWT524331 PGP524331 PQL524331 QAH524331 QKD524331 QTZ524331 RDV524331 RNR524331 RXN524331 SHJ524331 SRF524331 TBB524331 TKX524331 TUT524331 UEP524331 UOL524331 UYH524331 VID524331 VRZ524331 WBV524331 WLR524331 WVN524331 F589867 JB589867 SX589867 ACT589867 AMP589867 AWL589867 BGH589867 BQD589867 BZZ589867 CJV589867 CTR589867 DDN589867 DNJ589867 DXF589867 EHB589867 EQX589867 FAT589867 FKP589867 FUL589867 GEH589867 GOD589867 GXZ589867 HHV589867 HRR589867 IBN589867 ILJ589867 IVF589867 JFB589867 JOX589867 JYT589867 KIP589867 KSL589867 LCH589867 LMD589867 LVZ589867 MFV589867 MPR589867 MZN589867 NJJ589867 NTF589867 ODB589867 OMX589867 OWT589867 PGP589867 PQL589867 QAH589867 QKD589867 QTZ589867 RDV589867 RNR589867 RXN589867 SHJ589867 SRF589867 TBB589867 TKX589867 TUT589867 UEP589867 UOL589867 UYH589867 VID589867 VRZ589867 WBV589867 WLR589867 WVN589867 F655403 JB655403 SX655403 ACT655403 AMP655403 AWL655403 BGH655403 BQD655403 BZZ655403 CJV655403 CTR655403 DDN655403 DNJ655403 DXF655403 EHB655403 EQX655403 FAT655403 FKP655403 FUL655403 GEH655403 GOD655403 GXZ655403 HHV655403 HRR655403 IBN655403 ILJ655403 IVF655403 JFB655403 JOX655403 JYT655403 KIP655403 KSL655403 LCH655403 LMD655403 LVZ655403 MFV655403 MPR655403 MZN655403 NJJ655403 NTF655403 ODB655403 OMX655403 OWT655403 PGP655403 PQL655403 QAH655403 QKD655403 QTZ655403 RDV655403 RNR655403 RXN655403 SHJ655403 SRF655403 TBB655403 TKX655403 TUT655403 UEP655403 UOL655403 UYH655403 VID655403 VRZ655403 WBV655403 WLR655403 WVN655403 F720939 JB720939 SX720939 ACT720939 AMP720939 AWL720939 BGH720939 BQD720939 BZZ720939 CJV720939 CTR720939 DDN720939 DNJ720939 DXF720939 EHB720939 EQX720939 FAT720939 FKP720939 FUL720939 GEH720939 GOD720939 GXZ720939 HHV720939 HRR720939 IBN720939 ILJ720939 IVF720939 JFB720939 JOX720939 JYT720939 KIP720939 KSL720939 LCH720939 LMD720939 LVZ720939 MFV720939 MPR720939 MZN720939 NJJ720939 NTF720939 ODB720939 OMX720939 OWT720939 PGP720939 PQL720939 QAH720939 QKD720939 QTZ720939 RDV720939 RNR720939 RXN720939 SHJ720939 SRF720939 TBB720939 TKX720939 TUT720939 UEP720939 UOL720939 UYH720939 VID720939 VRZ720939 WBV720939 WLR720939 WVN720939 F786475 JB786475 SX786475 ACT786475 AMP786475 AWL786475 BGH786475 BQD786475 BZZ786475 CJV786475 CTR786475 DDN786475 DNJ786475 DXF786475 EHB786475 EQX786475 FAT786475 FKP786475 FUL786475 GEH786475 GOD786475 GXZ786475 HHV786475 HRR786475 IBN786475 ILJ786475 IVF786475 JFB786475 JOX786475 JYT786475 KIP786475 KSL786475 LCH786475 LMD786475 LVZ786475 MFV786475 MPR786475 MZN786475 NJJ786475 NTF786475 ODB786475 OMX786475 OWT786475 PGP786475 PQL786475 QAH786475 QKD786475 QTZ786475 RDV786475 RNR786475 RXN786475 SHJ786475 SRF786475 TBB786475 TKX786475 TUT786475 UEP786475 UOL786475 UYH786475 VID786475 VRZ786475 WBV786475 WLR786475 WVN786475 F852011 JB852011 SX852011 ACT852011 AMP852011 AWL852011 BGH852011 BQD852011 BZZ852011 CJV852011 CTR852011 DDN852011 DNJ852011 DXF852011 EHB852011 EQX852011 FAT852011 FKP852011 FUL852011 GEH852011 GOD852011 GXZ852011 HHV852011 HRR852011 IBN852011 ILJ852011 IVF852011 JFB852011 JOX852011 JYT852011 KIP852011 KSL852011 LCH852011 LMD852011 LVZ852011 MFV852011 MPR852011 MZN852011 NJJ852011 NTF852011 ODB852011 OMX852011 OWT852011 PGP852011 PQL852011 QAH852011 QKD852011 QTZ852011 RDV852011 RNR852011 RXN852011 SHJ852011 SRF852011 TBB852011 TKX852011 TUT852011 UEP852011 UOL852011 UYH852011 VID852011 VRZ852011 WBV852011 WLR852011 WVN852011 F917547 JB917547 SX917547 ACT917547 AMP917547 AWL917547 BGH917547 BQD917547 BZZ917547 CJV917547 CTR917547 DDN917547 DNJ917547 DXF917547 EHB917547 EQX917547 FAT917547 FKP917547 FUL917547 GEH917547 GOD917547 GXZ917547 HHV917547 HRR917547 IBN917547 ILJ917547 IVF917547 JFB917547 JOX917547 JYT917547 KIP917547 KSL917547 LCH917547 LMD917547 LVZ917547 MFV917547 MPR917547 MZN917547 NJJ917547 NTF917547 ODB917547 OMX917547 OWT917547 PGP917547 PQL917547 QAH917547 QKD917547 QTZ917547 RDV917547 RNR917547 RXN917547 SHJ917547 SRF917547 TBB917547 TKX917547 TUT917547 UEP917547 UOL917547 UYH917547 VID917547 VRZ917547 WBV917547 WLR917547 WVN917547 F983083 JB983083 SX983083 ACT983083 AMP983083 AWL983083 BGH983083 BQD983083 BZZ983083 CJV983083 CTR983083 DDN983083 DNJ983083 DXF983083 EHB983083 EQX983083 FAT983083 FKP983083 FUL983083 GEH983083 GOD983083 GXZ983083 HHV983083 HRR983083 IBN983083 ILJ983083 IVF983083 JFB983083 JOX983083 JYT983083 KIP983083 KSL983083 LCH983083 LMD983083 LVZ983083 MFV983083 MPR983083 MZN983083 NJJ983083 NTF983083 ODB983083 OMX983083 OWT983083 PGP983083 PQL983083 QAH983083 QKD983083 QTZ983083 RDV983083 RNR983083 RXN983083 SHJ983083 SRF983083 TBB983083 TKX983083 TUT983083 UEP983083 UOL983083 UYH983083 VID983083 VRZ983083 WBV983083 WLR983083 WVN983083" xr:uid="{00000000-0002-0000-2500-000001000000}">
      <formula1>"CIF価格, 需要地価格"</formula1>
    </dataValidation>
    <dataValidation type="whole" allowBlank="1" showInputMessage="1" showErrorMessage="1" sqref="F7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F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F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F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F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F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F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F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F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F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F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F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F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F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F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F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xr:uid="{00000000-0002-0000-2500-000002000000}">
      <formula1>2010</formula1>
      <formula2>2030</formula2>
    </dataValidation>
    <dataValidation type="list" allowBlank="1" showDropDown="1" showInputMessage="1" showErrorMessage="1" sqref="WLR983081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WVN98308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ODB983081 OMX983081 OWT983081 PGP983081 PQL983081 QAH983081 QKD983081 QTZ983081 RDV983081 RNR983081 RXN983081 SHJ983081 SRF983081 TBB983081 TKX983081 TUT983081 UEP983081 UOL983081 UYH983081 VID983081 VRZ983081 WBV983081" xr:uid="{00000000-0002-0000-2500-000003000000}">
      <formula1>"現行政策シナリオ, 新政策シナリオ"</formula1>
    </dataValidation>
    <dataValidation type="list" operator="equal" allowBlank="1" showInputMessage="1" showErrorMessage="1" sqref="WVN983197 JB157 SX157 ACT157 AMP157 AWL157 BGH157 BQD157 BZZ157 CJV157 CTR157 DDN157 DNJ157 DXF157 EHB157 EQX157 FAT157 FKP157 FUL157 GEH157 GOD157 GXZ157 HHV157 HRR157 IBN157 ILJ157 IVF157 JFB157 JOX157 JYT157 KIP157 KSL157 LCH157 LMD157 LVZ157 MFV157 MPR157 MZN157 NJJ157 NTF157 ODB157 OMX157 OWT157 PGP157 PQL157 QAH157 QKD157 QTZ157 RDV157 RNR157 RXN157 SHJ157 SRF157 TBB157 TKX157 TUT157 UEP157 UOL157 UYH157 VID157 VRZ157 WBV157 WLR157 WVN157 F65693 JB65693 SX65693 ACT65693 AMP65693 AWL65693 BGH65693 BQD65693 BZZ65693 CJV65693 CTR65693 DDN65693 DNJ65693 DXF65693 EHB65693 EQX65693 FAT65693 FKP65693 FUL65693 GEH65693 GOD65693 GXZ65693 HHV65693 HRR65693 IBN65693 ILJ65693 IVF65693 JFB65693 JOX65693 JYT65693 KIP65693 KSL65693 LCH65693 LMD65693 LVZ65693 MFV65693 MPR65693 MZN65693 NJJ65693 NTF65693 ODB65693 OMX65693 OWT65693 PGP65693 PQL65693 QAH65693 QKD65693 QTZ65693 RDV65693 RNR65693 RXN65693 SHJ65693 SRF65693 TBB65693 TKX65693 TUT65693 UEP65693 UOL65693 UYH65693 VID65693 VRZ65693 WBV65693 WLR65693 WVN65693 F131229 JB131229 SX131229 ACT131229 AMP131229 AWL131229 BGH131229 BQD131229 BZZ131229 CJV131229 CTR131229 DDN131229 DNJ131229 DXF131229 EHB131229 EQX131229 FAT131229 FKP131229 FUL131229 GEH131229 GOD131229 GXZ131229 HHV131229 HRR131229 IBN131229 ILJ131229 IVF131229 JFB131229 JOX131229 JYT131229 KIP131229 KSL131229 LCH131229 LMD131229 LVZ131229 MFV131229 MPR131229 MZN131229 NJJ131229 NTF131229 ODB131229 OMX131229 OWT131229 PGP131229 PQL131229 QAH131229 QKD131229 QTZ131229 RDV131229 RNR131229 RXN131229 SHJ131229 SRF131229 TBB131229 TKX131229 TUT131229 UEP131229 UOL131229 UYH131229 VID131229 VRZ131229 WBV131229 WLR131229 WVN131229 F196765 JB196765 SX196765 ACT196765 AMP196765 AWL196765 BGH196765 BQD196765 BZZ196765 CJV196765 CTR196765 DDN196765 DNJ196765 DXF196765 EHB196765 EQX196765 FAT196765 FKP196765 FUL196765 GEH196765 GOD196765 GXZ196765 HHV196765 HRR196765 IBN196765 ILJ196765 IVF196765 JFB196765 JOX196765 JYT196765 KIP196765 KSL196765 LCH196765 LMD196765 LVZ196765 MFV196765 MPR196765 MZN196765 NJJ196765 NTF196765 ODB196765 OMX196765 OWT196765 PGP196765 PQL196765 QAH196765 QKD196765 QTZ196765 RDV196765 RNR196765 RXN196765 SHJ196765 SRF196765 TBB196765 TKX196765 TUT196765 UEP196765 UOL196765 UYH196765 VID196765 VRZ196765 WBV196765 WLR196765 WVN196765 F262301 JB262301 SX262301 ACT262301 AMP262301 AWL262301 BGH262301 BQD262301 BZZ262301 CJV262301 CTR262301 DDN262301 DNJ262301 DXF262301 EHB262301 EQX262301 FAT262301 FKP262301 FUL262301 GEH262301 GOD262301 GXZ262301 HHV262301 HRR262301 IBN262301 ILJ262301 IVF262301 JFB262301 JOX262301 JYT262301 KIP262301 KSL262301 LCH262301 LMD262301 LVZ262301 MFV262301 MPR262301 MZN262301 NJJ262301 NTF262301 ODB262301 OMX262301 OWT262301 PGP262301 PQL262301 QAH262301 QKD262301 QTZ262301 RDV262301 RNR262301 RXN262301 SHJ262301 SRF262301 TBB262301 TKX262301 TUT262301 UEP262301 UOL262301 UYH262301 VID262301 VRZ262301 WBV262301 WLR262301 WVN262301 F327837 JB327837 SX327837 ACT327837 AMP327837 AWL327837 BGH327837 BQD327837 BZZ327837 CJV327837 CTR327837 DDN327837 DNJ327837 DXF327837 EHB327837 EQX327837 FAT327837 FKP327837 FUL327837 GEH327837 GOD327837 GXZ327837 HHV327837 HRR327837 IBN327837 ILJ327837 IVF327837 JFB327837 JOX327837 JYT327837 KIP327837 KSL327837 LCH327837 LMD327837 LVZ327837 MFV327837 MPR327837 MZN327837 NJJ327837 NTF327837 ODB327837 OMX327837 OWT327837 PGP327837 PQL327837 QAH327837 QKD327837 QTZ327837 RDV327837 RNR327837 RXN327837 SHJ327837 SRF327837 TBB327837 TKX327837 TUT327837 UEP327837 UOL327837 UYH327837 VID327837 VRZ327837 WBV327837 WLR327837 WVN327837 F393373 JB393373 SX393373 ACT393373 AMP393373 AWL393373 BGH393373 BQD393373 BZZ393373 CJV393373 CTR393373 DDN393373 DNJ393373 DXF393373 EHB393373 EQX393373 FAT393373 FKP393373 FUL393373 GEH393373 GOD393373 GXZ393373 HHV393373 HRR393373 IBN393373 ILJ393373 IVF393373 JFB393373 JOX393373 JYT393373 KIP393373 KSL393373 LCH393373 LMD393373 LVZ393373 MFV393373 MPR393373 MZN393373 NJJ393373 NTF393373 ODB393373 OMX393373 OWT393373 PGP393373 PQL393373 QAH393373 QKD393373 QTZ393373 RDV393373 RNR393373 RXN393373 SHJ393373 SRF393373 TBB393373 TKX393373 TUT393373 UEP393373 UOL393373 UYH393373 VID393373 VRZ393373 WBV393373 WLR393373 WVN393373 F458909 JB458909 SX458909 ACT458909 AMP458909 AWL458909 BGH458909 BQD458909 BZZ458909 CJV458909 CTR458909 DDN458909 DNJ458909 DXF458909 EHB458909 EQX458909 FAT458909 FKP458909 FUL458909 GEH458909 GOD458909 GXZ458909 HHV458909 HRR458909 IBN458909 ILJ458909 IVF458909 JFB458909 JOX458909 JYT458909 KIP458909 KSL458909 LCH458909 LMD458909 LVZ458909 MFV458909 MPR458909 MZN458909 NJJ458909 NTF458909 ODB458909 OMX458909 OWT458909 PGP458909 PQL458909 QAH458909 QKD458909 QTZ458909 RDV458909 RNR458909 RXN458909 SHJ458909 SRF458909 TBB458909 TKX458909 TUT458909 UEP458909 UOL458909 UYH458909 VID458909 VRZ458909 WBV458909 WLR458909 WVN458909 F524445 JB524445 SX524445 ACT524445 AMP524445 AWL524445 BGH524445 BQD524445 BZZ524445 CJV524445 CTR524445 DDN524445 DNJ524445 DXF524445 EHB524445 EQX524445 FAT524445 FKP524445 FUL524445 GEH524445 GOD524445 GXZ524445 HHV524445 HRR524445 IBN524445 ILJ524445 IVF524445 JFB524445 JOX524445 JYT524445 KIP524445 KSL524445 LCH524445 LMD524445 LVZ524445 MFV524445 MPR524445 MZN524445 NJJ524445 NTF524445 ODB524445 OMX524445 OWT524445 PGP524445 PQL524445 QAH524445 QKD524445 QTZ524445 RDV524445 RNR524445 RXN524445 SHJ524445 SRF524445 TBB524445 TKX524445 TUT524445 UEP524445 UOL524445 UYH524445 VID524445 VRZ524445 WBV524445 WLR524445 WVN524445 F589981 JB589981 SX589981 ACT589981 AMP589981 AWL589981 BGH589981 BQD589981 BZZ589981 CJV589981 CTR589981 DDN589981 DNJ589981 DXF589981 EHB589981 EQX589981 FAT589981 FKP589981 FUL589981 GEH589981 GOD589981 GXZ589981 HHV589981 HRR589981 IBN589981 ILJ589981 IVF589981 JFB589981 JOX589981 JYT589981 KIP589981 KSL589981 LCH589981 LMD589981 LVZ589981 MFV589981 MPR589981 MZN589981 NJJ589981 NTF589981 ODB589981 OMX589981 OWT589981 PGP589981 PQL589981 QAH589981 QKD589981 QTZ589981 RDV589981 RNR589981 RXN589981 SHJ589981 SRF589981 TBB589981 TKX589981 TUT589981 UEP589981 UOL589981 UYH589981 VID589981 VRZ589981 WBV589981 WLR589981 WVN589981 F655517 JB655517 SX655517 ACT655517 AMP655517 AWL655517 BGH655517 BQD655517 BZZ655517 CJV655517 CTR655517 DDN655517 DNJ655517 DXF655517 EHB655517 EQX655517 FAT655517 FKP655517 FUL655517 GEH655517 GOD655517 GXZ655517 HHV655517 HRR655517 IBN655517 ILJ655517 IVF655517 JFB655517 JOX655517 JYT655517 KIP655517 KSL655517 LCH655517 LMD655517 LVZ655517 MFV655517 MPR655517 MZN655517 NJJ655517 NTF655517 ODB655517 OMX655517 OWT655517 PGP655517 PQL655517 QAH655517 QKD655517 QTZ655517 RDV655517 RNR655517 RXN655517 SHJ655517 SRF655517 TBB655517 TKX655517 TUT655517 UEP655517 UOL655517 UYH655517 VID655517 VRZ655517 WBV655517 WLR655517 WVN655517 F721053 JB721053 SX721053 ACT721053 AMP721053 AWL721053 BGH721053 BQD721053 BZZ721053 CJV721053 CTR721053 DDN721053 DNJ721053 DXF721053 EHB721053 EQX721053 FAT721053 FKP721053 FUL721053 GEH721053 GOD721053 GXZ721053 HHV721053 HRR721053 IBN721053 ILJ721053 IVF721053 JFB721053 JOX721053 JYT721053 KIP721053 KSL721053 LCH721053 LMD721053 LVZ721053 MFV721053 MPR721053 MZN721053 NJJ721053 NTF721053 ODB721053 OMX721053 OWT721053 PGP721053 PQL721053 QAH721053 QKD721053 QTZ721053 RDV721053 RNR721053 RXN721053 SHJ721053 SRF721053 TBB721053 TKX721053 TUT721053 UEP721053 UOL721053 UYH721053 VID721053 VRZ721053 WBV721053 WLR721053 WVN721053 F786589 JB786589 SX786589 ACT786589 AMP786589 AWL786589 BGH786589 BQD786589 BZZ786589 CJV786589 CTR786589 DDN786589 DNJ786589 DXF786589 EHB786589 EQX786589 FAT786589 FKP786589 FUL786589 GEH786589 GOD786589 GXZ786589 HHV786589 HRR786589 IBN786589 ILJ786589 IVF786589 JFB786589 JOX786589 JYT786589 KIP786589 KSL786589 LCH786589 LMD786589 LVZ786589 MFV786589 MPR786589 MZN786589 NJJ786589 NTF786589 ODB786589 OMX786589 OWT786589 PGP786589 PQL786589 QAH786589 QKD786589 QTZ786589 RDV786589 RNR786589 RXN786589 SHJ786589 SRF786589 TBB786589 TKX786589 TUT786589 UEP786589 UOL786589 UYH786589 VID786589 VRZ786589 WBV786589 WLR786589 WVN786589 F852125 JB852125 SX852125 ACT852125 AMP852125 AWL852125 BGH852125 BQD852125 BZZ852125 CJV852125 CTR852125 DDN852125 DNJ852125 DXF852125 EHB852125 EQX852125 FAT852125 FKP852125 FUL852125 GEH852125 GOD852125 GXZ852125 HHV852125 HRR852125 IBN852125 ILJ852125 IVF852125 JFB852125 JOX852125 JYT852125 KIP852125 KSL852125 LCH852125 LMD852125 LVZ852125 MFV852125 MPR852125 MZN852125 NJJ852125 NTF852125 ODB852125 OMX852125 OWT852125 PGP852125 PQL852125 QAH852125 QKD852125 QTZ852125 RDV852125 RNR852125 RXN852125 SHJ852125 SRF852125 TBB852125 TKX852125 TUT852125 UEP852125 UOL852125 UYH852125 VID852125 VRZ852125 WBV852125 WLR852125 WVN852125 F917661 JB917661 SX917661 ACT917661 AMP917661 AWL917661 BGH917661 BQD917661 BZZ917661 CJV917661 CTR917661 DDN917661 DNJ917661 DXF917661 EHB917661 EQX917661 FAT917661 FKP917661 FUL917661 GEH917661 GOD917661 GXZ917661 HHV917661 HRR917661 IBN917661 ILJ917661 IVF917661 JFB917661 JOX917661 JYT917661 KIP917661 KSL917661 LCH917661 LMD917661 LVZ917661 MFV917661 MPR917661 MZN917661 NJJ917661 NTF917661 ODB917661 OMX917661 OWT917661 PGP917661 PQL917661 QAH917661 QKD917661 QTZ917661 RDV917661 RNR917661 RXN917661 SHJ917661 SRF917661 TBB917661 TKX917661 TUT917661 UEP917661 UOL917661 UYH917661 VID917661 VRZ917661 WBV917661 WLR917661 WVN917661 F983197 JB983197 SX983197 ACT983197 AMP983197 AWL983197 BGH983197 BQD983197 BZZ983197 CJV983197 CTR983197 DDN983197 DNJ983197 DXF983197 EHB983197 EQX983197 FAT983197 FKP983197 FUL983197 GEH983197 GOD983197 GXZ983197 HHV983197 HRR983197 IBN983197 ILJ983197 IVF983197 JFB983197 JOX983197 JYT983197 KIP983197 KSL983197 LCH983197 LMD983197 LVZ983197 MFV983197 MPR983197 MZN983197 NJJ983197 NTF983197 ODB983197 OMX983197 OWT983197 PGP983197 PQL983197 QAH983197 QKD983197 QTZ983197 RDV983197 RNR983197 RXN983197 SHJ983197 SRF983197 TBB983197 TKX983197 TUT983197 UEP983197 UOL983197 UYH983197 VID983197 VRZ983197 WBV983197 WLR983197" xr:uid="{00000000-0002-0000-2500-000004000000}">
      <formula1>"300,500,1000"</formula1>
    </dataValidation>
    <dataValidation type="list" allowBlank="1" showInputMessage="1" showErrorMessage="1" sqref="F158 JB158 SX158 ACT158 AMP158 AWL158 BGH158 BQD158 BZZ158 CJV158 CTR158 DDN158 DNJ158 DXF158 EHB158 EQX158 FAT158 FKP158 FUL158 GEH158 GOD158 GXZ158 HHV158 HRR158 IBN158 ILJ158 IVF158 JFB158 JOX158 JYT158 KIP158 KSL158 LCH158 LMD158 LVZ158 MFV158 MPR158 MZN158 NJJ158 NTF158 ODB158 OMX158 OWT158 PGP158 PQL158 QAH158 QKD158 QTZ158 RDV158 RNR158 RXN158 SHJ158 SRF158 TBB158 TKX158 TUT158 UEP158 UOL158 UYH158 VID158 VRZ158 WBV158 WLR158 WVN158 F65694 JB65694 SX65694 ACT65694 AMP65694 AWL65694 BGH65694 BQD65694 BZZ65694 CJV65694 CTR65694 DDN65694 DNJ65694 DXF65694 EHB65694 EQX65694 FAT65694 FKP65694 FUL65694 GEH65694 GOD65694 GXZ65694 HHV65694 HRR65694 IBN65694 ILJ65694 IVF65694 JFB65694 JOX65694 JYT65694 KIP65694 KSL65694 LCH65694 LMD65694 LVZ65694 MFV65694 MPR65694 MZN65694 NJJ65694 NTF65694 ODB65694 OMX65694 OWT65694 PGP65694 PQL65694 QAH65694 QKD65694 QTZ65694 RDV65694 RNR65694 RXN65694 SHJ65694 SRF65694 TBB65694 TKX65694 TUT65694 UEP65694 UOL65694 UYH65694 VID65694 VRZ65694 WBV65694 WLR65694 WVN65694 F131230 JB131230 SX131230 ACT131230 AMP131230 AWL131230 BGH131230 BQD131230 BZZ131230 CJV131230 CTR131230 DDN131230 DNJ131230 DXF131230 EHB131230 EQX131230 FAT131230 FKP131230 FUL131230 GEH131230 GOD131230 GXZ131230 HHV131230 HRR131230 IBN131230 ILJ131230 IVF131230 JFB131230 JOX131230 JYT131230 KIP131230 KSL131230 LCH131230 LMD131230 LVZ131230 MFV131230 MPR131230 MZN131230 NJJ131230 NTF131230 ODB131230 OMX131230 OWT131230 PGP131230 PQL131230 QAH131230 QKD131230 QTZ131230 RDV131230 RNR131230 RXN131230 SHJ131230 SRF131230 TBB131230 TKX131230 TUT131230 UEP131230 UOL131230 UYH131230 VID131230 VRZ131230 WBV131230 WLR131230 WVN131230 F196766 JB196766 SX196766 ACT196766 AMP196766 AWL196766 BGH196766 BQD196766 BZZ196766 CJV196766 CTR196766 DDN196766 DNJ196766 DXF196766 EHB196766 EQX196766 FAT196766 FKP196766 FUL196766 GEH196766 GOD196766 GXZ196766 HHV196766 HRR196766 IBN196766 ILJ196766 IVF196766 JFB196766 JOX196766 JYT196766 KIP196766 KSL196766 LCH196766 LMD196766 LVZ196766 MFV196766 MPR196766 MZN196766 NJJ196766 NTF196766 ODB196766 OMX196766 OWT196766 PGP196766 PQL196766 QAH196766 QKD196766 QTZ196766 RDV196766 RNR196766 RXN196766 SHJ196766 SRF196766 TBB196766 TKX196766 TUT196766 UEP196766 UOL196766 UYH196766 VID196766 VRZ196766 WBV196766 WLR196766 WVN196766 F262302 JB262302 SX262302 ACT262302 AMP262302 AWL262302 BGH262302 BQD262302 BZZ262302 CJV262302 CTR262302 DDN262302 DNJ262302 DXF262302 EHB262302 EQX262302 FAT262302 FKP262302 FUL262302 GEH262302 GOD262302 GXZ262302 HHV262302 HRR262302 IBN262302 ILJ262302 IVF262302 JFB262302 JOX262302 JYT262302 KIP262302 KSL262302 LCH262302 LMD262302 LVZ262302 MFV262302 MPR262302 MZN262302 NJJ262302 NTF262302 ODB262302 OMX262302 OWT262302 PGP262302 PQL262302 QAH262302 QKD262302 QTZ262302 RDV262302 RNR262302 RXN262302 SHJ262302 SRF262302 TBB262302 TKX262302 TUT262302 UEP262302 UOL262302 UYH262302 VID262302 VRZ262302 WBV262302 WLR262302 WVN262302 F327838 JB327838 SX327838 ACT327838 AMP327838 AWL327838 BGH327838 BQD327838 BZZ327838 CJV327838 CTR327838 DDN327838 DNJ327838 DXF327838 EHB327838 EQX327838 FAT327838 FKP327838 FUL327838 GEH327838 GOD327838 GXZ327838 HHV327838 HRR327838 IBN327838 ILJ327838 IVF327838 JFB327838 JOX327838 JYT327838 KIP327838 KSL327838 LCH327838 LMD327838 LVZ327838 MFV327838 MPR327838 MZN327838 NJJ327838 NTF327838 ODB327838 OMX327838 OWT327838 PGP327838 PQL327838 QAH327838 QKD327838 QTZ327838 RDV327838 RNR327838 RXN327838 SHJ327838 SRF327838 TBB327838 TKX327838 TUT327838 UEP327838 UOL327838 UYH327838 VID327838 VRZ327838 WBV327838 WLR327838 WVN327838 F393374 JB393374 SX393374 ACT393374 AMP393374 AWL393374 BGH393374 BQD393374 BZZ393374 CJV393374 CTR393374 DDN393374 DNJ393374 DXF393374 EHB393374 EQX393374 FAT393374 FKP393374 FUL393374 GEH393374 GOD393374 GXZ393374 HHV393374 HRR393374 IBN393374 ILJ393374 IVF393374 JFB393374 JOX393374 JYT393374 KIP393374 KSL393374 LCH393374 LMD393374 LVZ393374 MFV393374 MPR393374 MZN393374 NJJ393374 NTF393374 ODB393374 OMX393374 OWT393374 PGP393374 PQL393374 QAH393374 QKD393374 QTZ393374 RDV393374 RNR393374 RXN393374 SHJ393374 SRF393374 TBB393374 TKX393374 TUT393374 UEP393374 UOL393374 UYH393374 VID393374 VRZ393374 WBV393374 WLR393374 WVN393374 F458910 JB458910 SX458910 ACT458910 AMP458910 AWL458910 BGH458910 BQD458910 BZZ458910 CJV458910 CTR458910 DDN458910 DNJ458910 DXF458910 EHB458910 EQX458910 FAT458910 FKP458910 FUL458910 GEH458910 GOD458910 GXZ458910 HHV458910 HRR458910 IBN458910 ILJ458910 IVF458910 JFB458910 JOX458910 JYT458910 KIP458910 KSL458910 LCH458910 LMD458910 LVZ458910 MFV458910 MPR458910 MZN458910 NJJ458910 NTF458910 ODB458910 OMX458910 OWT458910 PGP458910 PQL458910 QAH458910 QKD458910 QTZ458910 RDV458910 RNR458910 RXN458910 SHJ458910 SRF458910 TBB458910 TKX458910 TUT458910 UEP458910 UOL458910 UYH458910 VID458910 VRZ458910 WBV458910 WLR458910 WVN458910 F524446 JB524446 SX524446 ACT524446 AMP524446 AWL524446 BGH524446 BQD524446 BZZ524446 CJV524446 CTR524446 DDN524446 DNJ524446 DXF524446 EHB524446 EQX524446 FAT524446 FKP524446 FUL524446 GEH524446 GOD524446 GXZ524446 HHV524446 HRR524446 IBN524446 ILJ524446 IVF524446 JFB524446 JOX524446 JYT524446 KIP524446 KSL524446 LCH524446 LMD524446 LVZ524446 MFV524446 MPR524446 MZN524446 NJJ524446 NTF524446 ODB524446 OMX524446 OWT524446 PGP524446 PQL524446 QAH524446 QKD524446 QTZ524446 RDV524446 RNR524446 RXN524446 SHJ524446 SRF524446 TBB524446 TKX524446 TUT524446 UEP524446 UOL524446 UYH524446 VID524446 VRZ524446 WBV524446 WLR524446 WVN524446 F589982 JB589982 SX589982 ACT589982 AMP589982 AWL589982 BGH589982 BQD589982 BZZ589982 CJV589982 CTR589982 DDN589982 DNJ589982 DXF589982 EHB589982 EQX589982 FAT589982 FKP589982 FUL589982 GEH589982 GOD589982 GXZ589982 HHV589982 HRR589982 IBN589982 ILJ589982 IVF589982 JFB589982 JOX589982 JYT589982 KIP589982 KSL589982 LCH589982 LMD589982 LVZ589982 MFV589982 MPR589982 MZN589982 NJJ589982 NTF589982 ODB589982 OMX589982 OWT589982 PGP589982 PQL589982 QAH589982 QKD589982 QTZ589982 RDV589982 RNR589982 RXN589982 SHJ589982 SRF589982 TBB589982 TKX589982 TUT589982 UEP589982 UOL589982 UYH589982 VID589982 VRZ589982 WBV589982 WLR589982 WVN589982 F655518 JB655518 SX655518 ACT655518 AMP655518 AWL655518 BGH655518 BQD655518 BZZ655518 CJV655518 CTR655518 DDN655518 DNJ655518 DXF655518 EHB655518 EQX655518 FAT655518 FKP655518 FUL655518 GEH655518 GOD655518 GXZ655518 HHV655518 HRR655518 IBN655518 ILJ655518 IVF655518 JFB655518 JOX655518 JYT655518 KIP655518 KSL655518 LCH655518 LMD655518 LVZ655518 MFV655518 MPR655518 MZN655518 NJJ655518 NTF655518 ODB655518 OMX655518 OWT655518 PGP655518 PQL655518 QAH655518 QKD655518 QTZ655518 RDV655518 RNR655518 RXN655518 SHJ655518 SRF655518 TBB655518 TKX655518 TUT655518 UEP655518 UOL655518 UYH655518 VID655518 VRZ655518 WBV655518 WLR655518 WVN655518 F721054 JB721054 SX721054 ACT721054 AMP721054 AWL721054 BGH721054 BQD721054 BZZ721054 CJV721054 CTR721054 DDN721054 DNJ721054 DXF721054 EHB721054 EQX721054 FAT721054 FKP721054 FUL721054 GEH721054 GOD721054 GXZ721054 HHV721054 HRR721054 IBN721054 ILJ721054 IVF721054 JFB721054 JOX721054 JYT721054 KIP721054 KSL721054 LCH721054 LMD721054 LVZ721054 MFV721054 MPR721054 MZN721054 NJJ721054 NTF721054 ODB721054 OMX721054 OWT721054 PGP721054 PQL721054 QAH721054 QKD721054 QTZ721054 RDV721054 RNR721054 RXN721054 SHJ721054 SRF721054 TBB721054 TKX721054 TUT721054 UEP721054 UOL721054 UYH721054 VID721054 VRZ721054 WBV721054 WLR721054 WVN721054 F786590 JB786590 SX786590 ACT786590 AMP786590 AWL786590 BGH786590 BQD786590 BZZ786590 CJV786590 CTR786590 DDN786590 DNJ786590 DXF786590 EHB786590 EQX786590 FAT786590 FKP786590 FUL786590 GEH786590 GOD786590 GXZ786590 HHV786590 HRR786590 IBN786590 ILJ786590 IVF786590 JFB786590 JOX786590 JYT786590 KIP786590 KSL786590 LCH786590 LMD786590 LVZ786590 MFV786590 MPR786590 MZN786590 NJJ786590 NTF786590 ODB786590 OMX786590 OWT786590 PGP786590 PQL786590 QAH786590 QKD786590 QTZ786590 RDV786590 RNR786590 RXN786590 SHJ786590 SRF786590 TBB786590 TKX786590 TUT786590 UEP786590 UOL786590 UYH786590 VID786590 VRZ786590 WBV786590 WLR786590 WVN786590 F852126 JB852126 SX852126 ACT852126 AMP852126 AWL852126 BGH852126 BQD852126 BZZ852126 CJV852126 CTR852126 DDN852126 DNJ852126 DXF852126 EHB852126 EQX852126 FAT852126 FKP852126 FUL852126 GEH852126 GOD852126 GXZ852126 HHV852126 HRR852126 IBN852126 ILJ852126 IVF852126 JFB852126 JOX852126 JYT852126 KIP852126 KSL852126 LCH852126 LMD852126 LVZ852126 MFV852126 MPR852126 MZN852126 NJJ852126 NTF852126 ODB852126 OMX852126 OWT852126 PGP852126 PQL852126 QAH852126 QKD852126 QTZ852126 RDV852126 RNR852126 RXN852126 SHJ852126 SRF852126 TBB852126 TKX852126 TUT852126 UEP852126 UOL852126 UYH852126 VID852126 VRZ852126 WBV852126 WLR852126 WVN852126 F917662 JB917662 SX917662 ACT917662 AMP917662 AWL917662 BGH917662 BQD917662 BZZ917662 CJV917662 CTR917662 DDN917662 DNJ917662 DXF917662 EHB917662 EQX917662 FAT917662 FKP917662 FUL917662 GEH917662 GOD917662 GXZ917662 HHV917662 HRR917662 IBN917662 ILJ917662 IVF917662 JFB917662 JOX917662 JYT917662 KIP917662 KSL917662 LCH917662 LMD917662 LVZ917662 MFV917662 MPR917662 MZN917662 NJJ917662 NTF917662 ODB917662 OMX917662 OWT917662 PGP917662 PQL917662 QAH917662 QKD917662 QTZ917662 RDV917662 RNR917662 RXN917662 SHJ917662 SRF917662 TBB917662 TKX917662 TUT917662 UEP917662 UOL917662 UYH917662 VID917662 VRZ917662 WBV917662 WLR917662 WVN917662 F983198 JB983198 SX983198 ACT983198 AMP983198 AWL983198 BGH983198 BQD983198 BZZ983198 CJV983198 CTR983198 DDN983198 DNJ983198 DXF983198 EHB983198 EQX983198 FAT983198 FKP983198 FUL983198 GEH983198 GOD983198 GXZ983198 HHV983198 HRR983198 IBN983198 ILJ983198 IVF983198 JFB983198 JOX983198 JYT983198 KIP983198 KSL983198 LCH983198 LMD983198 LVZ983198 MFV983198 MPR983198 MZN983198 NJJ983198 NTF983198 ODB983198 OMX983198 OWT983198 PGP983198 PQL983198 QAH983198 QKD983198 QTZ983198 RDV983198 RNR983198 RXN983198 SHJ983198 SRF983198 TBB983198 TKX983198 TUT983198 UEP983198 UOL983198 UYH983198 VID983198 VRZ983198 WBV983198 WLR983198 WVN983198" xr:uid="{00000000-0002-0000-2500-000005000000}">
      <formula1>"20,50,100,150,200"</formula1>
    </dataValidation>
    <dataValidation type="list" allowBlank="1" showDropDown="1" showInputMessage="1" showErrorMessage="1" sqref="F3:G3" xr:uid="{00000000-0002-0000-2500-000006000000}">
      <formula1>"原子力,石炭火力,LNG火力,石油火力,一般水力,太陽光（メガソーラー）,太陽光（住宅）,風力（陸上）,風力（洋上）,小水力,地熱,バイオマス（石炭混焼）,バイオマス（木質専焼）,ガスコジェネ,石油コジェネ,燃料電池,酸素吹IGCC,CO2分離回収型IGCC,空気吹IGCC"</formula1>
    </dataValidation>
    <dataValidation allowBlank="1" showDropDown="1" showInputMessage="1" showErrorMessage="1" sqref="F41 F48" xr:uid="{00000000-0002-0000-2500-000007000000}"/>
    <dataValidation type="list" operator="equal" allowBlank="1" showInputMessage="1" showErrorMessage="1" sqref="F157" xr:uid="{00000000-0002-0000-2500-000008000000}">
      <formula1>"300,500,1000,184"</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BR153"/>
  <sheetViews>
    <sheetView showGridLines="0" zoomScale="90" zoomScaleNormal="90" workbookViewId="0">
      <pane xSplit="10" ySplit="14" topLeftCell="K102" activePane="bottomRight" state="frozen"/>
      <selection pane="topRight" activeCell="G43" sqref="G43"/>
      <selection pane="bottomLeft" activeCell="G43" sqref="G43"/>
      <selection pane="bottomRight" sqref="A1:M1048576"/>
    </sheetView>
  </sheetViews>
  <sheetFormatPr defaultColWidth="9" defaultRowHeight="14.25" outlineLevelCol="1" x14ac:dyDescent="0.15"/>
  <cols>
    <col min="1" max="3" width="6.25" style="71" customWidth="1"/>
    <col min="4" max="4" width="6.25" style="84" customWidth="1"/>
    <col min="5" max="5" width="24.375" style="84" customWidth="1"/>
    <col min="6" max="6" width="18.75" style="71" customWidth="1"/>
    <col min="7" max="7" width="24.375" style="84" bestFit="1" customWidth="1"/>
    <col min="8" max="8" width="9" style="71"/>
    <col min="9" max="9" width="6.25" style="71" customWidth="1"/>
    <col min="10" max="10" width="3" style="71" customWidth="1"/>
    <col min="11" max="11" width="6.25" style="71" customWidth="1"/>
    <col min="12" max="12" width="3" style="71" customWidth="1"/>
    <col min="13" max="13" width="6.25" style="71" customWidth="1"/>
    <col min="14" max="14" width="3" style="71" customWidth="1"/>
    <col min="15" max="15" width="17.375" style="71" bestFit="1" customWidth="1"/>
    <col min="16" max="16" width="8.625" style="71" customWidth="1"/>
    <col min="17" max="17" width="3" style="71" customWidth="1"/>
    <col min="18" max="18" width="17.375" style="71" bestFit="1" customWidth="1"/>
    <col min="19" max="19" width="3" style="71" customWidth="1"/>
    <col min="20" max="20" width="17.375" style="71" bestFit="1" customWidth="1"/>
    <col min="21" max="21" width="3" style="71" customWidth="1"/>
    <col min="22" max="22" width="15" style="71" customWidth="1" outlineLevel="1"/>
    <col min="23" max="23" width="17.375" style="71" bestFit="1" customWidth="1"/>
    <col min="24" max="24" width="3" style="71" customWidth="1"/>
    <col min="25" max="25" width="15" style="71" customWidth="1" outlineLevel="1"/>
    <col min="26" max="26" width="15" style="71" customWidth="1"/>
    <col min="27" max="27" width="3" style="71" customWidth="1"/>
    <col min="28" max="28" width="15" style="71" customWidth="1" outlineLevel="1"/>
    <col min="29" max="29" width="15" style="71" customWidth="1"/>
    <col min="30" max="30" width="3" style="71" customWidth="1"/>
    <col min="31" max="31" width="15" style="71" customWidth="1" outlineLevel="1"/>
    <col min="32" max="32" width="15" style="71" customWidth="1"/>
    <col min="33" max="33" width="3" style="71" customWidth="1"/>
    <col min="34" max="34" width="14.875" style="71" customWidth="1" outlineLevel="1"/>
    <col min="35" max="35" width="15" style="71" customWidth="1"/>
    <col min="36" max="36" width="3" style="71" customWidth="1"/>
    <col min="37" max="37" width="15" style="71" customWidth="1" outlineLevel="1"/>
    <col min="38" max="38" width="15" style="71" customWidth="1"/>
    <col min="39" max="39" width="3" style="71" customWidth="1"/>
    <col min="40" max="40" width="15" style="71" customWidth="1" outlineLevel="1"/>
    <col min="41" max="41" width="15" style="71" customWidth="1"/>
    <col min="42" max="42" width="3" style="71" customWidth="1"/>
    <col min="43" max="43" width="15" style="71" customWidth="1" outlineLevel="1"/>
    <col min="44" max="44" width="15" style="71" customWidth="1"/>
    <col min="45" max="45" width="3" style="71" customWidth="1"/>
    <col min="46" max="46" width="10.75" style="71" bestFit="1" customWidth="1"/>
    <col min="47" max="47" width="3" style="71" customWidth="1"/>
    <col min="48" max="48" width="15" style="71" customWidth="1" outlineLevel="1"/>
    <col min="49" max="49" width="17.375" style="71" bestFit="1" customWidth="1"/>
    <col min="50" max="50" width="3" style="71" customWidth="1"/>
    <col min="51" max="51" width="9.625" style="71" bestFit="1" customWidth="1"/>
    <col min="52" max="52" width="3" style="71" customWidth="1"/>
    <col min="53" max="53" width="15" style="71" customWidth="1" outlineLevel="1"/>
    <col min="54" max="54" width="17.375" style="71" bestFit="1" customWidth="1"/>
    <col min="55" max="55" width="3" style="71" customWidth="1"/>
    <col min="56" max="56" width="19.25" style="71" customWidth="1" outlineLevel="1"/>
    <col min="57" max="57" width="19.25" style="71" bestFit="1" customWidth="1"/>
    <col min="58" max="58" width="3" style="71" customWidth="1"/>
    <col min="59" max="59" width="19.25" style="71" customWidth="1" outlineLevel="1"/>
    <col min="60" max="60" width="19.25" style="71"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71" customWidth="1" outlineLevel="1"/>
    <col min="70" max="70" width="17.375" style="71" bestFit="1" customWidth="1"/>
    <col min="71" max="16384" width="9" style="71"/>
  </cols>
  <sheetData>
    <row r="1" spans="1:70" ht="18.75" x14ac:dyDescent="0.15">
      <c r="A1" s="6" t="s">
        <v>60</v>
      </c>
    </row>
    <row r="2" spans="1:70" x14ac:dyDescent="0.15">
      <c r="F2" s="184"/>
    </row>
    <row r="3" spans="1:70" ht="23.25" x14ac:dyDescent="0.15">
      <c r="B3" s="1" t="s">
        <v>542</v>
      </c>
      <c r="F3" s="732" t="s">
        <v>48</v>
      </c>
      <c r="G3" s="719"/>
      <c r="H3" s="184" t="s">
        <v>258</v>
      </c>
    </row>
    <row r="4" spans="1:70" x14ac:dyDescent="0.15">
      <c r="G4" s="472"/>
    </row>
    <row r="5" spans="1:70" ht="15.75" thickBot="1" x14ac:dyDescent="0.2">
      <c r="B5" s="5" t="s">
        <v>543</v>
      </c>
      <c r="C5" s="3"/>
      <c r="D5" s="102"/>
      <c r="E5" s="102"/>
      <c r="F5" s="3"/>
      <c r="G5" s="102"/>
      <c r="I5" s="5" t="s">
        <v>544</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71" t="s">
        <v>545</v>
      </c>
      <c r="F7" s="473">
        <v>2030</v>
      </c>
      <c r="I7" s="8"/>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71" t="s">
        <v>546</v>
      </c>
      <c r="F8" s="474">
        <f>まとめ!B3</f>
        <v>107</v>
      </c>
      <c r="G8" s="84" t="s">
        <v>547</v>
      </c>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71" t="s">
        <v>548</v>
      </c>
      <c r="F9" s="474">
        <f>まとめ!B2</f>
        <v>3</v>
      </c>
      <c r="G9" s="84" t="s">
        <v>549</v>
      </c>
      <c r="I9" s="720" t="s">
        <v>550</v>
      </c>
      <c r="J9" s="8"/>
      <c r="K9" s="707" t="s">
        <v>551</v>
      </c>
      <c r="L9" s="8"/>
      <c r="M9" s="707" t="s">
        <v>654</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07" t="s">
        <v>118</v>
      </c>
      <c r="AI9" s="707"/>
      <c r="AJ9" s="8"/>
      <c r="AK9" s="707" t="s">
        <v>89</v>
      </c>
      <c r="AL9" s="707"/>
      <c r="AM9" s="8"/>
      <c r="AN9" s="707" t="s">
        <v>90</v>
      </c>
      <c r="AO9" s="707"/>
      <c r="AP9" s="8"/>
      <c r="AQ9" s="707" t="s">
        <v>91</v>
      </c>
      <c r="AR9" s="707"/>
      <c r="AS9" s="8"/>
      <c r="AT9" s="707" t="s">
        <v>92</v>
      </c>
      <c r="AU9" s="8"/>
      <c r="AV9" s="707" t="s">
        <v>69</v>
      </c>
      <c r="AW9" s="707"/>
      <c r="AX9" s="322"/>
      <c r="AY9" s="720" t="s">
        <v>93</v>
      </c>
      <c r="AZ9" s="8"/>
      <c r="BA9" s="720" t="s">
        <v>70</v>
      </c>
      <c r="BB9" s="720"/>
      <c r="BC9" s="8"/>
      <c r="BD9" s="707" t="s">
        <v>69</v>
      </c>
      <c r="BE9" s="707"/>
      <c r="BF9" s="8"/>
      <c r="BG9" s="707" t="s">
        <v>70</v>
      </c>
      <c r="BH9" s="707"/>
      <c r="BI9" s="8"/>
      <c r="BJ9" s="714" t="s">
        <v>255</v>
      </c>
      <c r="BK9" s="715"/>
      <c r="BL9" s="715"/>
      <c r="BM9" s="322"/>
      <c r="BN9" s="716" t="s">
        <v>72</v>
      </c>
      <c r="BO9" s="707"/>
      <c r="BP9" s="8"/>
      <c r="BQ9" s="322"/>
      <c r="BR9" s="322"/>
    </row>
    <row r="10" spans="1:70" x14ac:dyDescent="0.15">
      <c r="I10" s="708"/>
      <c r="K10" s="708"/>
      <c r="M10" s="708"/>
      <c r="O10" s="717"/>
      <c r="P10" s="717"/>
      <c r="R10" s="708"/>
      <c r="T10" s="708"/>
      <c r="V10" s="717"/>
      <c r="W10" s="717"/>
      <c r="Y10" s="717"/>
      <c r="Z10" s="717"/>
      <c r="AB10" s="723"/>
      <c r="AC10" s="723"/>
      <c r="AD10" s="81"/>
      <c r="AE10" s="723"/>
      <c r="AF10" s="723"/>
      <c r="AH10" s="717"/>
      <c r="AI10" s="717"/>
      <c r="AK10" s="717"/>
      <c r="AL10" s="717"/>
      <c r="AN10" s="717"/>
      <c r="AO10" s="717"/>
      <c r="AQ10" s="717"/>
      <c r="AR10" s="717"/>
      <c r="AT10" s="717"/>
      <c r="AV10" s="717"/>
      <c r="AW10" s="717"/>
      <c r="AX10" s="322"/>
      <c r="AY10" s="708"/>
      <c r="BA10" s="708"/>
      <c r="BB10" s="708"/>
      <c r="BD10" s="717"/>
      <c r="BE10" s="717"/>
      <c r="BG10" s="717"/>
      <c r="BH10" s="717"/>
      <c r="BJ10" s="708"/>
      <c r="BK10" s="708"/>
      <c r="BL10" s="708"/>
      <c r="BM10" s="322"/>
      <c r="BN10" s="717"/>
      <c r="BO10" s="717"/>
      <c r="BQ10" s="322"/>
      <c r="BR10" s="322"/>
    </row>
    <row r="11" spans="1:70" ht="15.75" customHeight="1" thickBot="1" x14ac:dyDescent="0.2">
      <c r="B11" s="5" t="s">
        <v>95</v>
      </c>
      <c r="C11" s="3"/>
      <c r="D11" s="102"/>
      <c r="E11" s="102"/>
      <c r="F11" s="3"/>
      <c r="G11" s="102"/>
      <c r="O11" s="322" t="s">
        <v>96</v>
      </c>
      <c r="P11" s="322"/>
      <c r="Q11" s="322"/>
      <c r="R11" s="322" t="s">
        <v>96</v>
      </c>
      <c r="S11" s="322"/>
      <c r="T11" s="322"/>
      <c r="V11" s="322"/>
      <c r="W11" s="322"/>
      <c r="Y11" s="322"/>
      <c r="Z11" s="322"/>
      <c r="AB11" s="322"/>
      <c r="AC11" s="322"/>
      <c r="AE11" s="322"/>
      <c r="AF11" s="322"/>
      <c r="AH11" s="322"/>
      <c r="AI11" s="322"/>
      <c r="AK11" s="322"/>
      <c r="AL11" s="322"/>
      <c r="AN11" s="322"/>
      <c r="AO11" s="322"/>
      <c r="AQ11" s="322"/>
      <c r="AR11" s="322"/>
      <c r="AT11" s="322"/>
      <c r="AV11" s="322"/>
      <c r="AW11" s="322"/>
      <c r="AX11" s="322"/>
      <c r="BB11" s="322"/>
      <c r="BD11" s="322"/>
      <c r="BE11" s="322"/>
      <c r="BG11" s="322"/>
      <c r="BH11" s="322"/>
      <c r="BJ11" s="156"/>
      <c r="BM11" s="322"/>
      <c r="BN11" s="322"/>
      <c r="BO11" s="322"/>
      <c r="BQ11" s="322"/>
      <c r="BR11" s="322"/>
    </row>
    <row r="12" spans="1:70" ht="14.25" customHeight="1" x14ac:dyDescent="0.15">
      <c r="O12" s="322"/>
      <c r="P12" s="707" t="s">
        <v>97</v>
      </c>
      <c r="W12" s="707" t="s">
        <v>98</v>
      </c>
      <c r="Z12" s="707" t="s">
        <v>98</v>
      </c>
      <c r="AC12" s="707" t="s">
        <v>98</v>
      </c>
      <c r="AF12" s="707" t="s">
        <v>98</v>
      </c>
      <c r="AI12" s="707" t="s">
        <v>98</v>
      </c>
      <c r="AL12" s="707" t="s">
        <v>98</v>
      </c>
      <c r="AO12" s="707" t="s">
        <v>98</v>
      </c>
      <c r="AR12" s="707" t="s">
        <v>98</v>
      </c>
      <c r="AW12" s="707" t="s">
        <v>98</v>
      </c>
      <c r="BB12" s="707" t="s">
        <v>98</v>
      </c>
      <c r="BE12" s="707" t="s">
        <v>98</v>
      </c>
      <c r="BH12" s="707" t="s">
        <v>98</v>
      </c>
      <c r="BJ12" s="709" t="s">
        <v>99</v>
      </c>
      <c r="BK12" s="709" t="s">
        <v>100</v>
      </c>
      <c r="BL12" s="709" t="s">
        <v>101</v>
      </c>
      <c r="BO12" s="709" t="s">
        <v>102</v>
      </c>
      <c r="BR12" s="707" t="s">
        <v>103</v>
      </c>
    </row>
    <row r="13" spans="1:70" ht="14.25" customHeight="1" x14ac:dyDescent="0.15">
      <c r="C13" s="71" t="s">
        <v>552</v>
      </c>
      <c r="F13" s="475">
        <v>50</v>
      </c>
      <c r="G13" s="84" t="s">
        <v>553</v>
      </c>
      <c r="O13" s="322"/>
      <c r="P13" s="708"/>
      <c r="Q13" s="322"/>
      <c r="R13" s="322"/>
      <c r="S13" s="322"/>
      <c r="T13" s="322"/>
      <c r="V13" s="322"/>
      <c r="W13" s="708"/>
      <c r="Y13" s="322"/>
      <c r="Z13" s="708"/>
      <c r="AB13" s="322"/>
      <c r="AC13" s="708"/>
      <c r="AE13" s="322"/>
      <c r="AF13" s="708"/>
      <c r="AH13" s="322"/>
      <c r="AI13" s="708"/>
      <c r="AK13" s="322"/>
      <c r="AL13" s="708"/>
      <c r="AN13" s="322"/>
      <c r="AO13" s="708"/>
      <c r="AQ13" s="322"/>
      <c r="AR13" s="708"/>
      <c r="AT13" s="322"/>
      <c r="AV13" s="322"/>
      <c r="AW13" s="708"/>
      <c r="BB13" s="708"/>
      <c r="BD13" s="322"/>
      <c r="BE13" s="708"/>
      <c r="BG13" s="322"/>
      <c r="BH13" s="708"/>
      <c r="BJ13" s="712"/>
      <c r="BK13" s="710"/>
      <c r="BL13" s="708"/>
      <c r="BM13" s="322"/>
      <c r="BO13" s="708"/>
      <c r="BQ13" s="322"/>
      <c r="BR13" s="708"/>
    </row>
    <row r="14" spans="1:70" ht="16.5" x14ac:dyDescent="0.15">
      <c r="C14" s="71" t="s">
        <v>554</v>
      </c>
      <c r="F14" s="474">
        <f>VLOOKUP(F3&amp;IF(G4&lt;&gt;"","_"&amp;G4,""),まとめ!$A$12:$G$34,IF(F7=2030,4,IF(F7=2020,3,IF(F7=2014,2,"-"))),0)</f>
        <v>70</v>
      </c>
      <c r="G14" s="84" t="s">
        <v>549</v>
      </c>
      <c r="O14" s="322"/>
      <c r="P14" s="322"/>
      <c r="Q14" s="322"/>
      <c r="R14" s="322"/>
      <c r="S14" s="322"/>
      <c r="T14" s="322"/>
      <c r="AT14" s="50" t="s">
        <v>104</v>
      </c>
      <c r="AY14" s="71" t="s">
        <v>105</v>
      </c>
    </row>
    <row r="15" spans="1:70" x14ac:dyDescent="0.15">
      <c r="C15" s="71" t="s">
        <v>555</v>
      </c>
      <c r="F15" s="474">
        <f>VLOOKUP(F3&amp;IF(G4&lt;&gt;"","_"&amp;G4,""),まとめ!$A$12:$G$34,IF(F7=2030,7,IF(F7=2020,6,IF(F7=2014,5,"-"))),0)</f>
        <v>40</v>
      </c>
      <c r="G15" s="84" t="s">
        <v>556</v>
      </c>
      <c r="I15" s="38">
        <f>F7</f>
        <v>2030</v>
      </c>
      <c r="J15" s="39"/>
      <c r="K15" s="39">
        <f>IF(I15&lt;&gt;"",1,"")</f>
        <v>1</v>
      </c>
      <c r="L15" s="39"/>
      <c r="M15" s="40">
        <f t="shared" ref="M15:M46" si="0">1/(1+($F$9/100))^K15</f>
        <v>0.970873786407767</v>
      </c>
      <c r="N15" s="39"/>
      <c r="O15" s="72">
        <f>F117</f>
        <v>152000000000</v>
      </c>
      <c r="P15" s="41">
        <f t="shared" ref="P15:P46" si="1">IF(K15&lt;=$F$15,IF(OR(P14=$F$124,P14="-"),"-",IF(O15*$F$123&gt;$F$127,$F$123,$F$124)),"")</f>
        <v>0.16700000000000001</v>
      </c>
      <c r="Q15" s="39"/>
      <c r="R15" s="72">
        <f>F117</f>
        <v>152000000000</v>
      </c>
      <c r="S15" s="39"/>
      <c r="T15" s="72">
        <f t="shared" ref="T15:T46" si="2">IF(ISNUMBER(R15),ROUNDDOWN(R15,-3),"")</f>
        <v>152000000000</v>
      </c>
      <c r="U15" s="39"/>
      <c r="V15" s="72">
        <f t="shared" ref="V15:V46" si="3">IF(K15&lt;=$F$15,IF(K15&lt;$F$119,IF(P15="-",V14,O15*P15),IF(K15=$F$119,MIN(IF(P15="-",V14,O15*P15),O15),0)),"")</f>
        <v>25384000000</v>
      </c>
      <c r="W15" s="72">
        <f t="shared" ref="W15:W46" si="4">IF(ISNUMBER(V15),V15*$M15,"")</f>
        <v>24644660194.174759</v>
      </c>
      <c r="X15" s="39"/>
      <c r="Y15" s="72">
        <f t="shared" ref="Y15:Y46" si="5">IF($K15&lt;=$F$15,ROUNDDOWN(T15*$F$25/100,-2),"")</f>
        <v>2128000000</v>
      </c>
      <c r="Z15" s="72">
        <f t="shared" ref="Z15:Z46" si="6">IF(ISNUMBER(Y15),Y15*$M15,"")</f>
        <v>2066019417.4757283</v>
      </c>
      <c r="AA15" s="39"/>
      <c r="AB15" s="72">
        <f t="shared" ref="AB15:AB46" si="7">IF($K15&lt;=$F$15,0,IF(AND($K15&gt;$F$15,$K15&lt;=$F$15+$F$28),$F$27*10^8/$F$28,""))</f>
        <v>0</v>
      </c>
      <c r="AC15" s="72">
        <f t="shared" ref="AC15:AC46" si="8">IF(ISNUMBER(AB15),AB15*$M15,"")</f>
        <v>0</v>
      </c>
      <c r="AD15" s="39"/>
      <c r="AE15" s="72">
        <f t="shared" ref="AE15:AE46" si="9">IF($K15&lt;=$F$15,$F$26,"")</f>
        <v>0</v>
      </c>
      <c r="AF15" s="72">
        <f t="shared" ref="AF15:AF46" si="10">IF(ISNUMBER(AE15),AE15*$M15,"")</f>
        <v>0</v>
      </c>
      <c r="AG15" s="39"/>
      <c r="AH15" s="72">
        <f t="shared" ref="AH15:AH46" si="11">IF($K15&lt;=$F$15,$F$33*10^8,"")</f>
        <v>440000000.00000006</v>
      </c>
      <c r="AI15" s="72">
        <f t="shared" ref="AI15:AI46" si="12">IF(ISNUMBER(AH15),AH15*$M15,"")</f>
        <v>427184466.01941752</v>
      </c>
      <c r="AJ15" s="39"/>
      <c r="AK15" s="72">
        <f t="shared" ref="AK15:AK46" si="13">IF($K15&lt;=$F$15,$F$117*$F$34/100,"")</f>
        <v>3648000000</v>
      </c>
      <c r="AL15" s="72">
        <f t="shared" ref="AL15:AL46" si="14">IF(ISNUMBER(AK15),AK15*$M15,"")</f>
        <v>3541747572.8155341</v>
      </c>
      <c r="AM15" s="39"/>
      <c r="AN15" s="72">
        <f t="shared" ref="AN15:AN46" si="15">IF($K15&lt;=$F$15,$F$117*$F$35/100,"")</f>
        <v>3344000000</v>
      </c>
      <c r="AO15" s="72">
        <f t="shared" ref="AO15:AO46" si="16">IF(ISNUMBER(AN15),AN15*$M15,"")</f>
        <v>3246601941.7475729</v>
      </c>
      <c r="AP15" s="39"/>
      <c r="AQ15" s="72">
        <f t="shared" ref="AQ15:AQ46" si="17">IF($K15&lt;=$F$15,SUM(AH15,AK15,AN15)*($F$36/100),"")</f>
        <v>906704000</v>
      </c>
      <c r="AR15" s="72">
        <f t="shared" ref="AR15:AR46" si="18">IF(ISNUMBER(AQ15),AQ15*$M15,"")</f>
        <v>880295145.63106799</v>
      </c>
      <c r="AS15" s="39"/>
      <c r="AT15" s="40">
        <f>IF($K15&lt;=$F$15,IF($F$40&lt;&gt;"",$F$40/1000,IF(ISERROR(VLOOKUP($F$3&amp;IF($G$4&lt;&gt;"",$G$4,"")&amp;IF($F$43&lt;&gt;"","_"&amp;$F$43,""),'表3）燃料価格'!$AF$9:$AG$25,2,0)),0,VLOOKUP($I15,'表3）燃料価格'!$A$6:$W$66,VLOOKUP($F$3&amp;IF($G$4&lt;&gt;"",$G$4,"")&amp;IF($F$43&lt;&gt;"","_"&amp;$F$43,""),'表3）燃料価格'!$AF$9:$AG$25,2,0)+VLOOKUP($F$41,'表3）燃料価格'!$AF$28:$AG$29,2,0),0)*IF($F$43="需要地価格",1,$F$8/$F$141))),"")</f>
        <v>8.8800220200000002</v>
      </c>
      <c r="AU15" s="39"/>
      <c r="AV15" s="72">
        <f t="shared" ref="AV15:AV46" si="19">IF($K15&lt;=$F$15,($AT15+$F$142)*$F$137,"")</f>
        <v>10622674130.734365</v>
      </c>
      <c r="AW15" s="72">
        <f t="shared" ref="AW15:AW46" si="20">IF(ISNUMBER(AV15),AV15*$M15,"")</f>
        <v>10313275855.081909</v>
      </c>
      <c r="AX15" s="39"/>
      <c r="AY15" s="40">
        <f>IF(ISERROR(IF($K15&lt;=$F$15,VLOOKUP($I15,'表4）CO2価格'!$A$7:$E$67,VLOOKUP($F$48,'表4）CO2価格'!$H$10:$I$12,2,0),0)*$F$8/1000,"")),0,IF($K15&lt;=$F$15,VLOOKUP($I15,'表4）CO2価格'!$A$7:$E$67,VLOOKUP($F$48,'表4）CO2価格'!$H$10:$I$12,2,0),0)*$F$8/1000,""))</f>
        <v>4.28</v>
      </c>
      <c r="AZ15" s="39"/>
      <c r="BA15" s="42">
        <f t="shared" ref="BA15:BA46" si="21">IF($K15&lt;=$F$15,$F$145*AY15,"")</f>
        <v>8459905386.2400007</v>
      </c>
      <c r="BB15" s="72">
        <f t="shared" ref="BB15:BB46" si="22">IF(ISNUMBER(BA15),BA15*$M15,"")</f>
        <v>8213500374.9902925</v>
      </c>
      <c r="BC15" s="39"/>
      <c r="BD15" s="72">
        <f t="shared" ref="BD15:BD46" si="23">IF($K15&lt;=$F$15,($AT15+$F$152)*$F$151,"")</f>
        <v>0</v>
      </c>
      <c r="BE15" s="72">
        <f t="shared" ref="BE15:BE46" si="24">IF(ISNUMBER(BD15),BD15*$M15,"")</f>
        <v>0</v>
      </c>
      <c r="BF15" s="39"/>
      <c r="BG15" s="42">
        <f t="shared" ref="BG15:BG46" si="25">IF($K15&lt;=$F$15,$F$153*AY15,"")</f>
        <v>0</v>
      </c>
      <c r="BH15" s="72">
        <f t="shared" ref="BH15:BH46" si="26">IF(ISNUMBER(BG15),BG15*$M15,"")</f>
        <v>0</v>
      </c>
      <c r="BI15" s="39"/>
      <c r="BJ15" s="40" t="str">
        <f t="shared" ref="BJ15:BJ46" si="27">IF(ISNUMBER($F$16),IF($K15&lt;=$F$16+$F$28,1/(1+($F$17/100))^K15,""),"")</f>
        <v/>
      </c>
      <c r="BK15" s="157" t="str">
        <f t="shared" ref="BK15:BK46" si="28">IF(ISNUMBER($F$16),IF($K15&lt;=$F$16+$F$28,IF($K15&lt;=$F$16,SUM(Y15,AB15,AE15,AH15,AK15,AN15,AQ15,AV15,BA15,BD15,BG15),$F$27/$F$28*10^8)*BJ15,""),"")</f>
        <v/>
      </c>
      <c r="BL15" s="157" t="str">
        <f t="shared" ref="BL15:BL46" si="29">IF(AND(ISNUMBER(BJ15),$K15&lt;=$F$16),BQ15*BJ15,"")</f>
        <v/>
      </c>
      <c r="BM15" s="72"/>
      <c r="BN15" s="72" t="str">
        <f t="shared" ref="BN15:BN46" si="30">IF(AND(ISNUMBER($F$16),$K15&lt;=$F$16),BQ15*($O$15+$BK$116)/$BL$116,"")</f>
        <v/>
      </c>
      <c r="BO15" s="72" t="str">
        <f t="shared" ref="BO15:BO46" si="31">IF(ISNUMBER(BN15),BN15*$M15,"")</f>
        <v/>
      </c>
      <c r="BP15" s="39"/>
      <c r="BQ15" s="72">
        <f t="shared" ref="BQ15:BQ46" si="32">IF($K15&lt;=$F$15,$F$134,"")</f>
        <v>2796192000</v>
      </c>
      <c r="BR15" s="72">
        <f t="shared" ref="BR15:BR46" si="33">IF(ISNUMBER(BQ15),BQ15*$M15,"")</f>
        <v>2714749514.563107</v>
      </c>
    </row>
    <row r="16" spans="1:70" x14ac:dyDescent="0.15">
      <c r="C16" s="184" t="s">
        <v>107</v>
      </c>
      <c r="F16" s="474" t="str">
        <f>IF(ISERROR(VLOOKUP(F3&amp;IF(G4&lt;&gt;"","_"&amp;G4,""),'表7）買取期間・IRR'!$A$3:$A$10,1,0)),"",VLOOKUP(F3&amp;IF(G4&lt;&gt;"","_"&amp;G4,""),'表7）買取期間・IRR'!$A$3:$C$10,IF(F7=2030,4,IF(F7=2020,3,IF(F7=2014,2,"-"))),0))</f>
        <v/>
      </c>
      <c r="G16" s="84" t="s">
        <v>556</v>
      </c>
      <c r="I16" s="457">
        <f t="shared" ref="I16:I47" si="34">I15+1</f>
        <v>2031</v>
      </c>
      <c r="K16" s="71">
        <f t="shared" ref="K16:K47" si="35">IF(I16&lt;&gt;"",K15+1,"")</f>
        <v>2</v>
      </c>
      <c r="M16" s="7">
        <f t="shared" si="0"/>
        <v>0.94259590913375435</v>
      </c>
      <c r="O16" s="10">
        <f t="shared" ref="O16:O47" si="36">IF(K16&lt;=$F$15,O15-V15,"")</f>
        <v>126616000000</v>
      </c>
      <c r="P16" s="29">
        <f t="shared" si="1"/>
        <v>0.16700000000000001</v>
      </c>
      <c r="R16" s="10">
        <f t="shared" ref="R16:R47" si="37">IF($K16&lt;=$F$15,MAX($F$117*5%,R15*$F$129),"")</f>
        <v>130369776585.8159</v>
      </c>
      <c r="T16" s="10">
        <f t="shared" si="2"/>
        <v>130369776000</v>
      </c>
      <c r="V16" s="10">
        <f t="shared" si="3"/>
        <v>21144872000</v>
      </c>
      <c r="W16" s="10">
        <f t="shared" si="4"/>
        <v>19931069846.356865</v>
      </c>
      <c r="Y16" s="10">
        <f t="shared" si="5"/>
        <v>1825176800</v>
      </c>
      <c r="Z16" s="10">
        <f t="shared" si="6"/>
        <v>1720404185.1258366</v>
      </c>
      <c r="AB16" s="10">
        <f t="shared" si="7"/>
        <v>0</v>
      </c>
      <c r="AC16" s="10">
        <f t="shared" si="8"/>
        <v>0</v>
      </c>
      <c r="AE16" s="10">
        <f t="shared" si="9"/>
        <v>0</v>
      </c>
      <c r="AF16" s="10">
        <f t="shared" si="10"/>
        <v>0</v>
      </c>
      <c r="AH16" s="10">
        <f t="shared" si="11"/>
        <v>440000000.00000006</v>
      </c>
      <c r="AI16" s="10">
        <f t="shared" si="12"/>
        <v>414742200.018852</v>
      </c>
      <c r="AK16" s="10">
        <f t="shared" si="13"/>
        <v>3648000000</v>
      </c>
      <c r="AL16" s="10">
        <f t="shared" si="14"/>
        <v>3438589876.5199361</v>
      </c>
      <c r="AN16" s="10">
        <f t="shared" si="15"/>
        <v>3344000000</v>
      </c>
      <c r="AO16" s="10">
        <f t="shared" si="16"/>
        <v>3152040720.1432748</v>
      </c>
      <c r="AQ16" s="10">
        <f t="shared" si="17"/>
        <v>906704000</v>
      </c>
      <c r="AR16" s="10">
        <f t="shared" si="18"/>
        <v>854655481.19521165</v>
      </c>
      <c r="AT16" s="40">
        <f>IF($K16&lt;=$F$15,IF($F$40&lt;&gt;"",$F$40/1000,IF(ISERROR(VLOOKUP($F$3&amp;IF($G$4&lt;&gt;"",$G$4,"")&amp;IF($F$43&lt;&gt;"","_"&amp;$F$43,""),'表3）燃料価格'!$AF$9:$AG$25,2,0)),0,VLOOKUP($I16,'表3）燃料価格'!$A$6:$W$66,VLOOKUP($F$3&amp;IF($G$4&lt;&gt;"",$G$4,"")&amp;IF($F$43&lt;&gt;"","_"&amp;$F$43,""),'表3）燃料価格'!$AF$9:$AG$25,2,0)+VLOOKUP($F$41,'表3）燃料価格'!$AF$28:$AG$29,2,0),0)*IF($F$43="需要地価格",1,$F$8/$F$141))),"")</f>
        <v>8.8800220200000002</v>
      </c>
      <c r="AV16" s="10">
        <f t="shared" si="19"/>
        <v>10622674130.734365</v>
      </c>
      <c r="AW16" s="10">
        <f t="shared" si="20"/>
        <v>10012889179.691174</v>
      </c>
      <c r="AY16" s="40">
        <f>IF(ISERROR(IF($K16&lt;=$F$15,VLOOKUP($I16,'表4）CO2価格'!$A$7:$E$67,VLOOKUP($F$48,'表4）CO2価格'!$H$10:$I$12,2,0),0)*$F$8/1000,"")),0,IF($K16&lt;=$F$15,VLOOKUP($I16,'表4）CO2価格'!$A$7:$E$67,VLOOKUP($F$48,'表4）CO2価格'!$H$10:$I$12,2,0),0)*$F$8/1000,""))</f>
        <v>4.4083999999999808</v>
      </c>
      <c r="BA16" s="11">
        <f t="shared" si="21"/>
        <v>8713702547.8271618</v>
      </c>
      <c r="BB16" s="10">
        <f t="shared" si="22"/>
        <v>8213500374.9902554</v>
      </c>
      <c r="BD16" s="10">
        <f t="shared" si="23"/>
        <v>0</v>
      </c>
      <c r="BE16" s="10">
        <f t="shared" si="24"/>
        <v>0</v>
      </c>
      <c r="BG16" s="11">
        <f t="shared" si="25"/>
        <v>0</v>
      </c>
      <c r="BH16" s="10">
        <f t="shared" si="26"/>
        <v>0</v>
      </c>
      <c r="BJ16" s="7" t="str">
        <f t="shared" si="27"/>
        <v/>
      </c>
      <c r="BK16" s="158" t="str">
        <f t="shared" si="28"/>
        <v/>
      </c>
      <c r="BL16" s="158" t="str">
        <f t="shared" si="29"/>
        <v/>
      </c>
      <c r="BM16" s="10"/>
      <c r="BN16" s="10" t="str">
        <f t="shared" si="30"/>
        <v/>
      </c>
      <c r="BO16" s="10" t="str">
        <f t="shared" si="31"/>
        <v/>
      </c>
      <c r="BQ16" s="10">
        <f t="shared" si="32"/>
        <v>2796192000</v>
      </c>
      <c r="BR16" s="10">
        <f t="shared" si="33"/>
        <v>2635679140.352531</v>
      </c>
    </row>
    <row r="17" spans="3:70" x14ac:dyDescent="0.15">
      <c r="C17" s="71" t="s">
        <v>109</v>
      </c>
      <c r="F17" s="476" t="str">
        <f>IF(ISERROR(VLOOKUP(F3&amp;IF(G4&lt;&gt;"","_"&amp;G4,""),'表7）買取期間・IRR'!$A$14:$A$21,1,0)),"",VLOOKUP(F3&amp;IF(G4&lt;&gt;"","_"&amp;G4,""),'表7）買取期間・IRR'!$A$14:$C$21,IF(F7=2030,4,IF(F7=2020,3,IF(F7=2014,2,"-"))),0))</f>
        <v/>
      </c>
      <c r="G17" s="84" t="s">
        <v>549</v>
      </c>
      <c r="I17" s="38">
        <f t="shared" si="34"/>
        <v>2032</v>
      </c>
      <c r="J17" s="39"/>
      <c r="K17" s="39">
        <f t="shared" si="35"/>
        <v>3</v>
      </c>
      <c r="L17" s="39"/>
      <c r="M17" s="40">
        <f t="shared" si="0"/>
        <v>0.91514165935315961</v>
      </c>
      <c r="N17" s="39"/>
      <c r="O17" s="72">
        <f t="shared" si="36"/>
        <v>105471128000</v>
      </c>
      <c r="P17" s="41">
        <f t="shared" si="1"/>
        <v>0.16700000000000001</v>
      </c>
      <c r="Q17" s="39"/>
      <c r="R17" s="72">
        <f t="shared" si="37"/>
        <v>111817622677.86548</v>
      </c>
      <c r="S17" s="39"/>
      <c r="T17" s="72">
        <f t="shared" si="2"/>
        <v>111817622000</v>
      </c>
      <c r="U17" s="39"/>
      <c r="V17" s="72">
        <f t="shared" si="3"/>
        <v>17613678376</v>
      </c>
      <c r="W17" s="72">
        <f t="shared" si="4"/>
        <v>16119010856.325506</v>
      </c>
      <c r="X17" s="39"/>
      <c r="Y17" s="72">
        <f t="shared" si="5"/>
        <v>1565446700</v>
      </c>
      <c r="Z17" s="72">
        <f t="shared" si="6"/>
        <v>1432605490.6669278</v>
      </c>
      <c r="AA17" s="39"/>
      <c r="AB17" s="72">
        <f t="shared" si="7"/>
        <v>0</v>
      </c>
      <c r="AC17" s="72">
        <f t="shared" si="8"/>
        <v>0</v>
      </c>
      <c r="AD17" s="39"/>
      <c r="AE17" s="72">
        <f t="shared" si="9"/>
        <v>0</v>
      </c>
      <c r="AF17" s="72">
        <f t="shared" si="10"/>
        <v>0</v>
      </c>
      <c r="AG17" s="39"/>
      <c r="AH17" s="72">
        <f t="shared" si="11"/>
        <v>440000000.00000006</v>
      </c>
      <c r="AI17" s="72">
        <f t="shared" si="12"/>
        <v>402662330.1153903</v>
      </c>
      <c r="AJ17" s="39"/>
      <c r="AK17" s="72">
        <f t="shared" si="13"/>
        <v>3648000000</v>
      </c>
      <c r="AL17" s="72">
        <f t="shared" si="14"/>
        <v>3338436773.3203263</v>
      </c>
      <c r="AM17" s="39"/>
      <c r="AN17" s="72">
        <f t="shared" si="15"/>
        <v>3344000000</v>
      </c>
      <c r="AO17" s="72">
        <f t="shared" si="16"/>
        <v>3060233708.8769655</v>
      </c>
      <c r="AP17" s="39"/>
      <c r="AQ17" s="72">
        <f t="shared" si="17"/>
        <v>906704000</v>
      </c>
      <c r="AR17" s="72">
        <f t="shared" si="18"/>
        <v>829762603.10214722</v>
      </c>
      <c r="AS17" s="39"/>
      <c r="AT17" s="40">
        <f>IF($K17&lt;=$F$15,IF($F$40&lt;&gt;"",$F$40/1000,IF(ISERROR(VLOOKUP($F$3&amp;IF($G$4&lt;&gt;"",$G$4,"")&amp;IF($F$43&lt;&gt;"","_"&amp;$F$43,""),'表3）燃料価格'!$AF$9:$AG$25,2,0)),0,VLOOKUP($I17,'表3）燃料価格'!$A$6:$W$66,VLOOKUP($F$3&amp;IF($G$4&lt;&gt;"",$G$4,"")&amp;IF($F$43&lt;&gt;"","_"&amp;$F$43,""),'表3）燃料価格'!$AF$9:$AG$25,2,0)+VLOOKUP($F$41,'表3）燃料価格'!$AF$28:$AG$29,2,0),0)*IF($F$43="需要地価格",1,$F$8/$F$141))),"")</f>
        <v>8.8800220200000002</v>
      </c>
      <c r="AU17" s="39"/>
      <c r="AV17" s="72">
        <f t="shared" si="19"/>
        <v>10622674130.734365</v>
      </c>
      <c r="AW17" s="72">
        <f t="shared" si="20"/>
        <v>9721251630.7681293</v>
      </c>
      <c r="AX17" s="39"/>
      <c r="AY17" s="40">
        <f>IF(ISERROR(IF($K17&lt;=$F$15,VLOOKUP($I17,'表4）CO2価格'!$A$7:$E$67,VLOOKUP($F$48,'表4）CO2価格'!$H$10:$I$12,2,0),0)*$F$8/1000,"")),0,IF($K17&lt;=$F$15,VLOOKUP($I17,'表4）CO2価格'!$A$7:$E$67,VLOOKUP($F$48,'表4）CO2価格'!$H$10:$I$12,2,0),0)*$F$8/1000,""))</f>
        <v>4.5368000000000102</v>
      </c>
      <c r="AZ17" s="39"/>
      <c r="BA17" s="42">
        <f t="shared" si="21"/>
        <v>8967499709.4144192</v>
      </c>
      <c r="BB17" s="72">
        <f t="shared" si="22"/>
        <v>8206532564.3224878</v>
      </c>
      <c r="BC17" s="39"/>
      <c r="BD17" s="72">
        <f t="shared" si="23"/>
        <v>0</v>
      </c>
      <c r="BE17" s="72">
        <f t="shared" si="24"/>
        <v>0</v>
      </c>
      <c r="BF17" s="39"/>
      <c r="BG17" s="42">
        <f t="shared" si="25"/>
        <v>0</v>
      </c>
      <c r="BH17" s="72">
        <f t="shared" si="26"/>
        <v>0</v>
      </c>
      <c r="BI17" s="39"/>
      <c r="BJ17" s="40" t="str">
        <f t="shared" si="27"/>
        <v/>
      </c>
      <c r="BK17" s="157" t="str">
        <f t="shared" si="28"/>
        <v/>
      </c>
      <c r="BL17" s="157" t="str">
        <f t="shared" si="29"/>
        <v/>
      </c>
      <c r="BM17" s="72"/>
      <c r="BN17" s="72" t="str">
        <f t="shared" si="30"/>
        <v/>
      </c>
      <c r="BO17" s="72" t="str">
        <f t="shared" si="31"/>
        <v/>
      </c>
      <c r="BP17" s="39"/>
      <c r="BQ17" s="72">
        <f t="shared" si="32"/>
        <v>2796192000</v>
      </c>
      <c r="BR17" s="72">
        <f t="shared" si="33"/>
        <v>2558911786.75003</v>
      </c>
    </row>
    <row r="18" spans="3:70" x14ac:dyDescent="0.15">
      <c r="I18" s="457">
        <f t="shared" si="34"/>
        <v>2033</v>
      </c>
      <c r="K18" s="71">
        <f t="shared" si="35"/>
        <v>4</v>
      </c>
      <c r="M18" s="7">
        <f t="shared" si="0"/>
        <v>0.888487047915689</v>
      </c>
      <c r="O18" s="10">
        <f t="shared" si="36"/>
        <v>87857449624</v>
      </c>
      <c r="P18" s="29">
        <f t="shared" si="1"/>
        <v>0.16700000000000001</v>
      </c>
      <c r="R18" s="10">
        <f t="shared" si="37"/>
        <v>95905516360.98938</v>
      </c>
      <c r="T18" s="10">
        <f t="shared" si="2"/>
        <v>95905516000</v>
      </c>
      <c r="V18" s="10">
        <f t="shared" si="3"/>
        <v>14672194087.208</v>
      </c>
      <c r="W18" s="10">
        <f t="shared" si="4"/>
        <v>13036054410.989464</v>
      </c>
      <c r="Y18" s="10">
        <f t="shared" si="5"/>
        <v>1342677200</v>
      </c>
      <c r="Z18" s="10">
        <f t="shared" si="6"/>
        <v>1192951301.731703</v>
      </c>
      <c r="AB18" s="10">
        <f t="shared" si="7"/>
        <v>0</v>
      </c>
      <c r="AC18" s="10">
        <f t="shared" si="8"/>
        <v>0</v>
      </c>
      <c r="AE18" s="10">
        <f t="shared" si="9"/>
        <v>0</v>
      </c>
      <c r="AF18" s="10">
        <f t="shared" si="10"/>
        <v>0</v>
      </c>
      <c r="AH18" s="10">
        <f t="shared" si="11"/>
        <v>440000000.00000006</v>
      </c>
      <c r="AI18" s="10">
        <f t="shared" si="12"/>
        <v>390934301.08290321</v>
      </c>
      <c r="AK18" s="10">
        <f t="shared" si="13"/>
        <v>3648000000</v>
      </c>
      <c r="AL18" s="10">
        <f t="shared" si="14"/>
        <v>3241200750.7964334</v>
      </c>
      <c r="AN18" s="10">
        <f t="shared" si="15"/>
        <v>3344000000</v>
      </c>
      <c r="AO18" s="10">
        <f t="shared" si="16"/>
        <v>2971100688.2300639</v>
      </c>
      <c r="AQ18" s="10">
        <f t="shared" si="17"/>
        <v>906704000</v>
      </c>
      <c r="AR18" s="10">
        <f t="shared" si="18"/>
        <v>805594760.29334688</v>
      </c>
      <c r="AT18" s="40">
        <f>IF($K18&lt;=$F$15,IF($F$40&lt;&gt;"",$F$40/1000,IF(ISERROR(VLOOKUP($F$3&amp;IF($G$4&lt;&gt;"",$G$4,"")&amp;IF($F$43&lt;&gt;"","_"&amp;$F$43,""),'表3）燃料価格'!$AF$9:$AG$25,2,0)),0,VLOOKUP($I18,'表3）燃料価格'!$A$6:$W$66,VLOOKUP($F$3&amp;IF($G$4&lt;&gt;"",$G$4,"")&amp;IF($F$43&lt;&gt;"","_"&amp;$F$43,""),'表3）燃料価格'!$AF$9:$AG$25,2,0)+VLOOKUP($F$41,'表3）燃料価格'!$AF$28:$AG$29,2,0),0)*IF($F$43="需要地価格",1,$F$8/$F$141))),"")</f>
        <v>8.8800220200000002</v>
      </c>
      <c r="AV18" s="10">
        <f t="shared" si="19"/>
        <v>10622674130.734365</v>
      </c>
      <c r="AW18" s="10">
        <f t="shared" si="20"/>
        <v>9438108379.3865337</v>
      </c>
      <c r="AY18" s="40">
        <f>IF(ISERROR(IF($K18&lt;=$F$15,VLOOKUP($I18,'表4）CO2価格'!$A$7:$E$67,VLOOKUP($F$48,'表4）CO2価格'!$H$10:$I$12,2,0),0)*$F$8/1000,"")),0,IF($K18&lt;=$F$15,VLOOKUP($I18,'表4）CO2価格'!$A$7:$E$67,VLOOKUP($F$48,'表4）CO2価格'!$H$10:$I$12,2,0),0)*$F$8/1000,""))</f>
        <v>4.6651999999999898</v>
      </c>
      <c r="BA18" s="11">
        <f t="shared" si="21"/>
        <v>9221296871.0015793</v>
      </c>
      <c r="BB18" s="10">
        <f t="shared" si="22"/>
        <v>8193002834.8703728</v>
      </c>
      <c r="BD18" s="10">
        <f t="shared" si="23"/>
        <v>0</v>
      </c>
      <c r="BE18" s="10">
        <f t="shared" si="24"/>
        <v>0</v>
      </c>
      <c r="BG18" s="11">
        <f t="shared" si="25"/>
        <v>0</v>
      </c>
      <c r="BH18" s="10">
        <f t="shared" si="26"/>
        <v>0</v>
      </c>
      <c r="BJ18" s="7" t="str">
        <f t="shared" si="27"/>
        <v/>
      </c>
      <c r="BK18" s="158" t="str">
        <f t="shared" si="28"/>
        <v/>
      </c>
      <c r="BL18" s="158" t="str">
        <f t="shared" si="29"/>
        <v/>
      </c>
      <c r="BM18" s="10"/>
      <c r="BN18" s="10" t="str">
        <f t="shared" si="30"/>
        <v/>
      </c>
      <c r="BO18" s="10" t="str">
        <f t="shared" si="31"/>
        <v/>
      </c>
      <c r="BQ18" s="10">
        <f t="shared" si="32"/>
        <v>2796192000</v>
      </c>
      <c r="BR18" s="10">
        <f t="shared" si="33"/>
        <v>2484380375.4854665</v>
      </c>
    </row>
    <row r="19" spans="3:70" x14ac:dyDescent="0.15">
      <c r="C19" s="4" t="s">
        <v>557</v>
      </c>
      <c r="D19" s="100"/>
      <c r="E19" s="100"/>
      <c r="F19" s="4"/>
      <c r="G19" s="100"/>
      <c r="I19" s="38">
        <f t="shared" si="34"/>
        <v>2034</v>
      </c>
      <c r="J19" s="39"/>
      <c r="K19" s="39">
        <f t="shared" si="35"/>
        <v>5</v>
      </c>
      <c r="L19" s="39"/>
      <c r="M19" s="40">
        <f t="shared" si="0"/>
        <v>0.86260878438416411</v>
      </c>
      <c r="N19" s="39"/>
      <c r="O19" s="72">
        <f t="shared" si="36"/>
        <v>73185255536.791992</v>
      </c>
      <c r="P19" s="41">
        <f t="shared" si="1"/>
        <v>0.16700000000000001</v>
      </c>
      <c r="Q19" s="39"/>
      <c r="R19" s="72">
        <f t="shared" si="37"/>
        <v>82257768035.062485</v>
      </c>
      <c r="S19" s="39"/>
      <c r="T19" s="72">
        <f t="shared" si="2"/>
        <v>82257768000</v>
      </c>
      <c r="U19" s="39"/>
      <c r="V19" s="72">
        <f t="shared" si="3"/>
        <v>12221937674.644264</v>
      </c>
      <c r="W19" s="72">
        <f t="shared" si="4"/>
        <v>10542750800.343906</v>
      </c>
      <c r="X19" s="39"/>
      <c r="Y19" s="72">
        <f t="shared" si="5"/>
        <v>1151608700</v>
      </c>
      <c r="Z19" s="72">
        <f t="shared" si="6"/>
        <v>993387780.79322755</v>
      </c>
      <c r="AA19" s="39"/>
      <c r="AB19" s="72">
        <f t="shared" si="7"/>
        <v>0</v>
      </c>
      <c r="AC19" s="72">
        <f t="shared" si="8"/>
        <v>0</v>
      </c>
      <c r="AD19" s="39"/>
      <c r="AE19" s="72">
        <f t="shared" si="9"/>
        <v>0</v>
      </c>
      <c r="AF19" s="72">
        <f t="shared" si="10"/>
        <v>0</v>
      </c>
      <c r="AG19" s="39"/>
      <c r="AH19" s="72">
        <f t="shared" si="11"/>
        <v>440000000.00000006</v>
      </c>
      <c r="AI19" s="72">
        <f t="shared" si="12"/>
        <v>379547865.12903225</v>
      </c>
      <c r="AJ19" s="39"/>
      <c r="AK19" s="72">
        <f t="shared" si="13"/>
        <v>3648000000</v>
      </c>
      <c r="AL19" s="72">
        <f t="shared" si="14"/>
        <v>3146796845.4334307</v>
      </c>
      <c r="AM19" s="39"/>
      <c r="AN19" s="72">
        <f t="shared" si="15"/>
        <v>3344000000</v>
      </c>
      <c r="AO19" s="72">
        <f t="shared" si="16"/>
        <v>2884563774.9806447</v>
      </c>
      <c r="AP19" s="39"/>
      <c r="AQ19" s="72">
        <f t="shared" si="17"/>
        <v>906704000</v>
      </c>
      <c r="AR19" s="72">
        <f t="shared" si="18"/>
        <v>782130835.2362591</v>
      </c>
      <c r="AS19" s="39"/>
      <c r="AT19" s="40">
        <f>IF($K19&lt;=$F$15,IF($F$40&lt;&gt;"",$F$40/1000,IF(ISERROR(VLOOKUP($F$3&amp;IF($G$4&lt;&gt;"",$G$4,"")&amp;IF($F$43&lt;&gt;"","_"&amp;$F$43,""),'表3）燃料価格'!$AF$9:$AG$25,2,0)),0,VLOOKUP($I19,'表3）燃料価格'!$A$6:$W$66,VLOOKUP($F$3&amp;IF($G$4&lt;&gt;"",$G$4,"")&amp;IF($F$43&lt;&gt;"","_"&amp;$F$43,""),'表3）燃料価格'!$AF$9:$AG$25,2,0)+VLOOKUP($F$41,'表3）燃料価格'!$AF$28:$AG$29,2,0),0)*IF($F$43="需要地価格",1,$F$8/$F$141))),"")</f>
        <v>8.8800220200000002</v>
      </c>
      <c r="AU19" s="39"/>
      <c r="AV19" s="72">
        <f t="shared" si="19"/>
        <v>10622674130.734365</v>
      </c>
      <c r="AW19" s="72">
        <f t="shared" si="20"/>
        <v>9163212018.8218784</v>
      </c>
      <c r="AX19" s="39"/>
      <c r="AY19" s="40">
        <f>IF(ISERROR(IF($K19&lt;=$F$15,VLOOKUP($I19,'表4）CO2価格'!$A$7:$E$67,VLOOKUP($F$48,'表4）CO2価格'!$H$10:$I$12,2,0),0)*$F$8/1000,"")),0,IF($K19&lt;=$F$15,VLOOKUP($I19,'表4）CO2価格'!$A$7:$E$67,VLOOKUP($F$48,'表4）CO2価格'!$H$10:$I$12,2,0),0)*$F$8/1000,""))</f>
        <v>4.7935999999999712</v>
      </c>
      <c r="AZ19" s="39"/>
      <c r="BA19" s="42">
        <f t="shared" si="21"/>
        <v>9475094032.5887432</v>
      </c>
      <c r="BB19" s="72">
        <f t="shared" si="22"/>
        <v>8173299345.3770227</v>
      </c>
      <c r="BC19" s="39"/>
      <c r="BD19" s="72">
        <f t="shared" si="23"/>
        <v>0</v>
      </c>
      <c r="BE19" s="72">
        <f t="shared" si="24"/>
        <v>0</v>
      </c>
      <c r="BF19" s="39"/>
      <c r="BG19" s="42">
        <f t="shared" si="25"/>
        <v>0</v>
      </c>
      <c r="BH19" s="72">
        <f t="shared" si="26"/>
        <v>0</v>
      </c>
      <c r="BI19" s="39"/>
      <c r="BJ19" s="40" t="str">
        <f t="shared" si="27"/>
        <v/>
      </c>
      <c r="BK19" s="157" t="str">
        <f t="shared" si="28"/>
        <v/>
      </c>
      <c r="BL19" s="157" t="str">
        <f t="shared" si="29"/>
        <v/>
      </c>
      <c r="BM19" s="72"/>
      <c r="BN19" s="72" t="str">
        <f t="shared" si="30"/>
        <v/>
      </c>
      <c r="BO19" s="72" t="str">
        <f t="shared" si="31"/>
        <v/>
      </c>
      <c r="BP19" s="39"/>
      <c r="BQ19" s="72">
        <f t="shared" si="32"/>
        <v>2796192000</v>
      </c>
      <c r="BR19" s="72">
        <f t="shared" si="33"/>
        <v>2412019782.0247245</v>
      </c>
    </row>
    <row r="20" spans="3:70" x14ac:dyDescent="0.15">
      <c r="I20" s="457">
        <f t="shared" si="34"/>
        <v>2035</v>
      </c>
      <c r="K20" s="71">
        <f t="shared" si="35"/>
        <v>6</v>
      </c>
      <c r="M20" s="7">
        <f t="shared" si="0"/>
        <v>0.83748425668365445</v>
      </c>
      <c r="O20" s="10">
        <f t="shared" si="36"/>
        <v>60963317862.147728</v>
      </c>
      <c r="P20" s="29">
        <f t="shared" si="1"/>
        <v>0.16700000000000001</v>
      </c>
      <c r="R20" s="10">
        <f t="shared" si="37"/>
        <v>70552150270.914246</v>
      </c>
      <c r="T20" s="10">
        <f t="shared" si="2"/>
        <v>70552150000</v>
      </c>
      <c r="V20" s="10">
        <f t="shared" si="3"/>
        <v>10180874082.978672</v>
      </c>
      <c r="W20" s="10">
        <f t="shared" si="4"/>
        <v>8526321763.7732754</v>
      </c>
      <c r="Y20" s="10">
        <f t="shared" si="5"/>
        <v>987730100</v>
      </c>
      <c r="Z20" s="10">
        <f t="shared" si="6"/>
        <v>827208408.60257173</v>
      </c>
      <c r="AB20" s="10">
        <f t="shared" si="7"/>
        <v>0</v>
      </c>
      <c r="AC20" s="10">
        <f t="shared" si="8"/>
        <v>0</v>
      </c>
      <c r="AE20" s="10">
        <f t="shared" si="9"/>
        <v>0</v>
      </c>
      <c r="AF20" s="10">
        <f t="shared" si="10"/>
        <v>0</v>
      </c>
      <c r="AH20" s="10">
        <f t="shared" si="11"/>
        <v>440000000.00000006</v>
      </c>
      <c r="AI20" s="10">
        <f t="shared" si="12"/>
        <v>368493072.940808</v>
      </c>
      <c r="AK20" s="10">
        <f t="shared" si="13"/>
        <v>3648000000</v>
      </c>
      <c r="AL20" s="10">
        <f t="shared" si="14"/>
        <v>3055142568.3819714</v>
      </c>
      <c r="AN20" s="10">
        <f t="shared" si="15"/>
        <v>3344000000</v>
      </c>
      <c r="AO20" s="10">
        <f t="shared" si="16"/>
        <v>2800547354.3501406</v>
      </c>
      <c r="AQ20" s="10">
        <f t="shared" si="17"/>
        <v>906704000</v>
      </c>
      <c r="AR20" s="10">
        <f t="shared" si="18"/>
        <v>759350325.4720962</v>
      </c>
      <c r="AT20" s="40">
        <f>IF($K20&lt;=$F$15,IF($F$40&lt;&gt;"",$F$40/1000,IF(ISERROR(VLOOKUP($F$3&amp;IF($G$4&lt;&gt;"",$G$4,"")&amp;IF($F$43&lt;&gt;"","_"&amp;$F$43,""),'表3）燃料価格'!$AF$9:$AG$25,2,0)),0,VLOOKUP($I20,'表3）燃料価格'!$A$6:$W$66,VLOOKUP($F$3&amp;IF($G$4&lt;&gt;"",$G$4,"")&amp;IF($F$43&lt;&gt;"","_"&amp;$F$43,""),'表3）燃料価格'!$AF$9:$AG$25,2,0)+VLOOKUP($F$41,'表3）燃料価格'!$AF$28:$AG$29,2,0),0)*IF($F$43="需要地価格",1,$F$8/$F$141))),"")</f>
        <v>8.8800220200000002</v>
      </c>
      <c r="AV20" s="10">
        <f t="shared" si="19"/>
        <v>10622674130.734365</v>
      </c>
      <c r="AW20" s="10">
        <f t="shared" si="20"/>
        <v>8896322348.3707561</v>
      </c>
      <c r="AY20" s="40">
        <f>IF(ISERROR(IF($K20&lt;=$F$15,VLOOKUP($I20,'表4）CO2価格'!$A$7:$E$67,VLOOKUP($F$48,'表4）CO2価格'!$H$10:$I$12,2,0),0)*$F$8/1000,"")),0,IF($K20&lt;=$F$15,VLOOKUP($I20,'表4）CO2価格'!$A$7:$E$67,VLOOKUP($F$48,'表4）CO2価格'!$H$10:$I$12,2,0),0)*$F$8/1000,""))</f>
        <v>4.9219999999999997</v>
      </c>
      <c r="BA20" s="11">
        <f t="shared" si="21"/>
        <v>9728891194.1759987</v>
      </c>
      <c r="BB20" s="10">
        <f t="shared" si="22"/>
        <v>8147793210.1106377</v>
      </c>
      <c r="BD20" s="10">
        <f t="shared" si="23"/>
        <v>0</v>
      </c>
      <c r="BE20" s="10">
        <f t="shared" si="24"/>
        <v>0</v>
      </c>
      <c r="BG20" s="11">
        <f t="shared" si="25"/>
        <v>0</v>
      </c>
      <c r="BH20" s="10">
        <f t="shared" si="26"/>
        <v>0</v>
      </c>
      <c r="BJ20" s="7" t="str">
        <f t="shared" si="27"/>
        <v/>
      </c>
      <c r="BK20" s="158" t="str">
        <f t="shared" si="28"/>
        <v/>
      </c>
      <c r="BL20" s="158" t="str">
        <f t="shared" si="29"/>
        <v/>
      </c>
      <c r="BM20" s="10"/>
      <c r="BN20" s="10" t="str">
        <f t="shared" si="30"/>
        <v/>
      </c>
      <c r="BO20" s="10" t="str">
        <f t="shared" si="31"/>
        <v/>
      </c>
      <c r="BQ20" s="10">
        <f t="shared" si="32"/>
        <v>2796192000</v>
      </c>
      <c r="BR20" s="10">
        <f t="shared" si="33"/>
        <v>2341766778.6647811</v>
      </c>
    </row>
    <row r="21" spans="3:70" x14ac:dyDescent="0.15">
      <c r="D21" s="84" t="s">
        <v>558</v>
      </c>
      <c r="F21" s="477">
        <v>30.4</v>
      </c>
      <c r="G21" s="84" t="s">
        <v>559</v>
      </c>
      <c r="I21" s="38">
        <f t="shared" si="34"/>
        <v>2036</v>
      </c>
      <c r="J21" s="39"/>
      <c r="K21" s="39">
        <f t="shared" si="35"/>
        <v>7</v>
      </c>
      <c r="L21" s="39"/>
      <c r="M21" s="40">
        <f t="shared" si="0"/>
        <v>0.81309151134335378</v>
      </c>
      <c r="N21" s="39"/>
      <c r="O21" s="72">
        <f t="shared" si="36"/>
        <v>50782443779.169052</v>
      </c>
      <c r="P21" s="41">
        <f t="shared" si="1"/>
        <v>0.16700000000000001</v>
      </c>
      <c r="Q21" s="39"/>
      <c r="R21" s="72">
        <f t="shared" si="37"/>
        <v>60512289924.131592</v>
      </c>
      <c r="S21" s="39"/>
      <c r="T21" s="72">
        <f t="shared" si="2"/>
        <v>60512289000</v>
      </c>
      <c r="U21" s="39"/>
      <c r="V21" s="72">
        <f t="shared" si="3"/>
        <v>8480668111.121232</v>
      </c>
      <c r="W21" s="72">
        <f t="shared" si="4"/>
        <v>6895559251.6729479</v>
      </c>
      <c r="X21" s="39"/>
      <c r="Y21" s="72">
        <f t="shared" si="5"/>
        <v>847172000</v>
      </c>
      <c r="Z21" s="72">
        <f t="shared" si="6"/>
        <v>688828361.84777176</v>
      </c>
      <c r="AA21" s="39"/>
      <c r="AB21" s="72">
        <f t="shared" si="7"/>
        <v>0</v>
      </c>
      <c r="AC21" s="72">
        <f t="shared" si="8"/>
        <v>0</v>
      </c>
      <c r="AD21" s="39"/>
      <c r="AE21" s="72">
        <f t="shared" si="9"/>
        <v>0</v>
      </c>
      <c r="AF21" s="72">
        <f t="shared" si="10"/>
        <v>0</v>
      </c>
      <c r="AG21" s="39"/>
      <c r="AH21" s="72">
        <f t="shared" si="11"/>
        <v>440000000.00000006</v>
      </c>
      <c r="AI21" s="72">
        <f t="shared" si="12"/>
        <v>357760264.99107569</v>
      </c>
      <c r="AJ21" s="39"/>
      <c r="AK21" s="72">
        <f t="shared" si="13"/>
        <v>3648000000</v>
      </c>
      <c r="AL21" s="72">
        <f t="shared" si="14"/>
        <v>2966157833.3805547</v>
      </c>
      <c r="AM21" s="39"/>
      <c r="AN21" s="72">
        <f t="shared" si="15"/>
        <v>3344000000</v>
      </c>
      <c r="AO21" s="72">
        <f t="shared" si="16"/>
        <v>2718978013.9321752</v>
      </c>
      <c r="AP21" s="39"/>
      <c r="AQ21" s="72">
        <f t="shared" si="17"/>
        <v>906704000</v>
      </c>
      <c r="AR21" s="72">
        <f t="shared" si="18"/>
        <v>737233325.70106423</v>
      </c>
      <c r="AS21" s="39"/>
      <c r="AT21" s="40">
        <f>IF($K21&lt;=$F$15,IF($F$40&lt;&gt;"",$F$40/1000,IF(ISERROR(VLOOKUP($F$3&amp;IF($G$4&lt;&gt;"",$G$4,"")&amp;IF($F$43&lt;&gt;"","_"&amp;$F$43,""),'表3）燃料価格'!$AF$9:$AG$25,2,0)),0,VLOOKUP($I21,'表3）燃料価格'!$A$6:$W$66,VLOOKUP($F$3&amp;IF($G$4&lt;&gt;"",$G$4,"")&amp;IF($F$43&lt;&gt;"","_"&amp;$F$43,""),'表3）燃料価格'!$AF$9:$AG$25,2,0)+VLOOKUP($F$41,'表3）燃料価格'!$AF$28:$AG$29,2,0),0)*IF($F$43="需要地価格",1,$F$8/$F$141))),"")</f>
        <v>8.8800220200000002</v>
      </c>
      <c r="AU21" s="39"/>
      <c r="AV21" s="72">
        <f t="shared" si="19"/>
        <v>10622674130.734365</v>
      </c>
      <c r="AW21" s="72">
        <f t="shared" si="20"/>
        <v>8637206163.466753</v>
      </c>
      <c r="AX21" s="39"/>
      <c r="AY21" s="40">
        <f>IF(ISERROR(IF($K21&lt;=$F$15,VLOOKUP($I21,'表4）CO2価格'!$A$7:$E$67,VLOOKUP($F$48,'表4）CO2価格'!$H$10:$I$12,2,0),0)*$F$8/1000,"")),0,IF($K21&lt;=$F$15,VLOOKUP($I21,'表4）CO2価格'!$A$7:$E$67,VLOOKUP($F$48,'表4）CO2価格'!$H$10:$I$12,2,0),0)*$F$8/1000,""))</f>
        <v>5.0503999999999802</v>
      </c>
      <c r="AZ21" s="39"/>
      <c r="BA21" s="42">
        <f t="shared" si="21"/>
        <v>9982688355.7631607</v>
      </c>
      <c r="BB21" s="72">
        <f t="shared" si="22"/>
        <v>8116839162.4571676</v>
      </c>
      <c r="BC21" s="39"/>
      <c r="BD21" s="72">
        <f t="shared" si="23"/>
        <v>0</v>
      </c>
      <c r="BE21" s="72">
        <f t="shared" si="24"/>
        <v>0</v>
      </c>
      <c r="BF21" s="39"/>
      <c r="BG21" s="42">
        <f t="shared" si="25"/>
        <v>0</v>
      </c>
      <c r="BH21" s="72">
        <f t="shared" si="26"/>
        <v>0</v>
      </c>
      <c r="BI21" s="39"/>
      <c r="BJ21" s="40" t="str">
        <f t="shared" si="27"/>
        <v/>
      </c>
      <c r="BK21" s="157" t="str">
        <f t="shared" si="28"/>
        <v/>
      </c>
      <c r="BL21" s="157" t="str">
        <f t="shared" si="29"/>
        <v/>
      </c>
      <c r="BM21" s="72"/>
      <c r="BN21" s="72" t="str">
        <f t="shared" si="30"/>
        <v/>
      </c>
      <c r="BO21" s="72" t="str">
        <f t="shared" si="31"/>
        <v/>
      </c>
      <c r="BP21" s="39"/>
      <c r="BQ21" s="72">
        <f t="shared" si="32"/>
        <v>2796192000</v>
      </c>
      <c r="BR21" s="72">
        <f t="shared" si="33"/>
        <v>2273559979.2861953</v>
      </c>
    </row>
    <row r="22" spans="3:70" ht="16.5" x14ac:dyDescent="0.15">
      <c r="D22" s="84" t="s">
        <v>560</v>
      </c>
      <c r="F22" s="478">
        <v>22.61</v>
      </c>
      <c r="G22" s="71" t="s">
        <v>561</v>
      </c>
      <c r="I22" s="457">
        <f t="shared" si="34"/>
        <v>2037</v>
      </c>
      <c r="K22" s="71">
        <f t="shared" si="35"/>
        <v>8</v>
      </c>
      <c r="M22" s="7">
        <f t="shared" si="0"/>
        <v>0.78940923431393573</v>
      </c>
      <c r="O22" s="10">
        <f t="shared" si="36"/>
        <v>42301775668.047821</v>
      </c>
      <c r="P22" s="29">
        <f t="shared" si="1"/>
        <v>0.16700000000000001</v>
      </c>
      <c r="R22" s="10">
        <f t="shared" si="37"/>
        <v>51901142882.270752</v>
      </c>
      <c r="T22" s="10">
        <f t="shared" si="2"/>
        <v>51901142000</v>
      </c>
      <c r="V22" s="10">
        <f t="shared" si="3"/>
        <v>7064396536.5639868</v>
      </c>
      <c r="W22" s="10">
        <f t="shared" si="4"/>
        <v>5576699860.8189964</v>
      </c>
      <c r="Y22" s="10">
        <f t="shared" si="5"/>
        <v>726615900</v>
      </c>
      <c r="Z22" s="10">
        <f t="shared" si="6"/>
        <v>573597301.25933135</v>
      </c>
      <c r="AB22" s="10">
        <f t="shared" si="7"/>
        <v>0</v>
      </c>
      <c r="AC22" s="10">
        <f t="shared" si="8"/>
        <v>0</v>
      </c>
      <c r="AE22" s="10">
        <f t="shared" si="9"/>
        <v>0</v>
      </c>
      <c r="AF22" s="10">
        <f t="shared" si="10"/>
        <v>0</v>
      </c>
      <c r="AH22" s="10">
        <f t="shared" si="11"/>
        <v>440000000.00000006</v>
      </c>
      <c r="AI22" s="10">
        <f t="shared" si="12"/>
        <v>347340063.09813178</v>
      </c>
      <c r="AK22" s="10">
        <f t="shared" si="13"/>
        <v>3648000000</v>
      </c>
      <c r="AL22" s="10">
        <f t="shared" si="14"/>
        <v>2879764886.7772374</v>
      </c>
      <c r="AN22" s="10">
        <f t="shared" si="15"/>
        <v>3344000000</v>
      </c>
      <c r="AO22" s="10">
        <f t="shared" si="16"/>
        <v>2639784479.5458012</v>
      </c>
      <c r="AQ22" s="10">
        <f t="shared" si="17"/>
        <v>906704000</v>
      </c>
      <c r="AR22" s="10">
        <f t="shared" si="18"/>
        <v>715760510.38938272</v>
      </c>
      <c r="AT22" s="40">
        <f>IF($K22&lt;=$F$15,IF($F$40&lt;&gt;"",$F$40/1000,IF(ISERROR(VLOOKUP($F$3&amp;IF($G$4&lt;&gt;"",$G$4,"")&amp;IF($F$43&lt;&gt;"","_"&amp;$F$43,""),'表3）燃料価格'!$AF$9:$AG$25,2,0)),0,VLOOKUP($I22,'表3）燃料価格'!$A$6:$W$66,VLOOKUP($F$3&amp;IF($G$4&lt;&gt;"",$G$4,"")&amp;IF($F$43&lt;&gt;"","_"&amp;$F$43,""),'表3）燃料価格'!$AF$9:$AG$25,2,0)+VLOOKUP($F$41,'表3）燃料価格'!$AF$28:$AG$29,2,0),0)*IF($F$43="需要地価格",1,$F$8/$F$141))),"")</f>
        <v>8.8800220200000002</v>
      </c>
      <c r="AV22" s="10">
        <f t="shared" si="19"/>
        <v>10622674130.734365</v>
      </c>
      <c r="AW22" s="10">
        <f t="shared" si="20"/>
        <v>8385637051.9094687</v>
      </c>
      <c r="AY22" s="40">
        <f>IF(ISERROR(IF($K22&lt;=$F$15,VLOOKUP($I22,'表4）CO2価格'!$A$7:$E$67,VLOOKUP($F$48,'表4）CO2価格'!$H$10:$I$12,2,0),0)*$F$8/1000,"")),0,IF($K22&lt;=$F$15,VLOOKUP($I22,'表4）CO2価格'!$A$7:$E$67,VLOOKUP($F$48,'表4）CO2価格'!$H$10:$I$12,2,0),0)*$F$8/1000,""))</f>
        <v>5.1788000000000105</v>
      </c>
      <c r="BA22" s="11">
        <f t="shared" si="21"/>
        <v>10236485517.35042</v>
      </c>
      <c r="BB22" s="10">
        <f t="shared" si="22"/>
        <v>8080776194.3172874</v>
      </c>
      <c r="BD22" s="10">
        <f t="shared" si="23"/>
        <v>0</v>
      </c>
      <c r="BE22" s="10">
        <f t="shared" si="24"/>
        <v>0</v>
      </c>
      <c r="BG22" s="11">
        <f t="shared" si="25"/>
        <v>0</v>
      </c>
      <c r="BH22" s="10">
        <f t="shared" si="26"/>
        <v>0</v>
      </c>
      <c r="BJ22" s="7" t="str">
        <f t="shared" si="27"/>
        <v/>
      </c>
      <c r="BK22" s="158" t="str">
        <f t="shared" si="28"/>
        <v/>
      </c>
      <c r="BL22" s="158" t="str">
        <f t="shared" si="29"/>
        <v/>
      </c>
      <c r="BM22" s="10"/>
      <c r="BN22" s="10" t="str">
        <f t="shared" si="30"/>
        <v/>
      </c>
      <c r="BO22" s="10" t="str">
        <f t="shared" si="31"/>
        <v/>
      </c>
      <c r="BQ22" s="10">
        <f t="shared" si="32"/>
        <v>2796192000</v>
      </c>
      <c r="BR22" s="10">
        <f t="shared" si="33"/>
        <v>2207339785.7147527</v>
      </c>
    </row>
    <row r="23" spans="3:70" x14ac:dyDescent="0.15">
      <c r="D23" s="84" t="s">
        <v>562</v>
      </c>
      <c r="F23" s="477">
        <v>50</v>
      </c>
      <c r="G23" s="84" t="s">
        <v>549</v>
      </c>
      <c r="I23" s="38">
        <f t="shared" si="34"/>
        <v>2038</v>
      </c>
      <c r="J23" s="39"/>
      <c r="K23" s="39">
        <f t="shared" si="35"/>
        <v>9</v>
      </c>
      <c r="L23" s="39"/>
      <c r="M23" s="40">
        <f t="shared" si="0"/>
        <v>0.76641673234362695</v>
      </c>
      <c r="N23" s="39"/>
      <c r="O23" s="72">
        <f t="shared" si="36"/>
        <v>35237379131.483833</v>
      </c>
      <c r="P23" s="41">
        <f t="shared" si="1"/>
        <v>0.16700000000000001</v>
      </c>
      <c r="Q23" s="39"/>
      <c r="R23" s="72">
        <f t="shared" si="37"/>
        <v>44515397382.303604</v>
      </c>
      <c r="S23" s="39"/>
      <c r="T23" s="72">
        <f t="shared" si="2"/>
        <v>44515397000</v>
      </c>
      <c r="U23" s="39"/>
      <c r="V23" s="72">
        <f t="shared" si="3"/>
        <v>5884642314.9578009</v>
      </c>
      <c r="W23" s="72">
        <f t="shared" si="4"/>
        <v>4510088334.0409937</v>
      </c>
      <c r="X23" s="39"/>
      <c r="Y23" s="72">
        <f t="shared" si="5"/>
        <v>623215500</v>
      </c>
      <c r="Z23" s="72">
        <f t="shared" si="6"/>
        <v>477642787.05589962</v>
      </c>
      <c r="AA23" s="39"/>
      <c r="AB23" s="72">
        <f t="shared" si="7"/>
        <v>0</v>
      </c>
      <c r="AC23" s="72">
        <f t="shared" si="8"/>
        <v>0</v>
      </c>
      <c r="AD23" s="39"/>
      <c r="AE23" s="72">
        <f t="shared" si="9"/>
        <v>0</v>
      </c>
      <c r="AF23" s="72">
        <f t="shared" si="10"/>
        <v>0</v>
      </c>
      <c r="AG23" s="39"/>
      <c r="AH23" s="72">
        <f t="shared" si="11"/>
        <v>440000000.00000006</v>
      </c>
      <c r="AI23" s="72">
        <f t="shared" si="12"/>
        <v>337223362.23119593</v>
      </c>
      <c r="AJ23" s="39"/>
      <c r="AK23" s="72">
        <f t="shared" si="13"/>
        <v>3648000000</v>
      </c>
      <c r="AL23" s="72">
        <f t="shared" si="14"/>
        <v>2795888239.589551</v>
      </c>
      <c r="AM23" s="39"/>
      <c r="AN23" s="72">
        <f t="shared" si="15"/>
        <v>3344000000</v>
      </c>
      <c r="AO23" s="72">
        <f t="shared" si="16"/>
        <v>2562897552.9570885</v>
      </c>
      <c r="AP23" s="39"/>
      <c r="AQ23" s="72">
        <f t="shared" si="17"/>
        <v>906704000</v>
      </c>
      <c r="AR23" s="72">
        <f t="shared" si="18"/>
        <v>694913116.88289595</v>
      </c>
      <c r="AS23" s="39"/>
      <c r="AT23" s="40">
        <f>IF($K23&lt;=$F$15,IF($F$40&lt;&gt;"",$F$40/1000,IF(ISERROR(VLOOKUP($F$3&amp;IF($G$4&lt;&gt;"",$G$4,"")&amp;IF($F$43&lt;&gt;"","_"&amp;$F$43,""),'表3）燃料価格'!$AF$9:$AG$25,2,0)),0,VLOOKUP($I23,'表3）燃料価格'!$A$6:$W$66,VLOOKUP($F$3&amp;IF($G$4&lt;&gt;"",$G$4,"")&amp;IF($F$43&lt;&gt;"","_"&amp;$F$43,""),'表3）燃料価格'!$AF$9:$AG$25,2,0)+VLOOKUP($F$41,'表3）燃料価格'!$AF$28:$AG$29,2,0),0)*IF($F$43="需要地価格",1,$F$8/$F$141))),"")</f>
        <v>8.8800220200000002</v>
      </c>
      <c r="AU23" s="39"/>
      <c r="AV23" s="72">
        <f t="shared" si="19"/>
        <v>10622674130.734365</v>
      </c>
      <c r="AW23" s="72">
        <f t="shared" si="20"/>
        <v>8141395196.0286102</v>
      </c>
      <c r="AX23" s="39"/>
      <c r="AY23" s="40">
        <f>IF(ISERROR(IF($K23&lt;=$F$15,VLOOKUP($I23,'表4）CO2価格'!$A$7:$E$67,VLOOKUP($F$48,'表4）CO2価格'!$H$10:$I$12,2,0),0)*$F$8/1000,"")),0,IF($K23&lt;=$F$15,VLOOKUP($I23,'表4）CO2価格'!$A$7:$E$67,VLOOKUP($F$48,'表4）CO2価格'!$H$10:$I$12,2,0),0)*$F$8/1000,""))</f>
        <v>5.3071999999999901</v>
      </c>
      <c r="AZ23" s="39"/>
      <c r="BA23" s="42">
        <f t="shared" si="21"/>
        <v>10490282678.93758</v>
      </c>
      <c r="BB23" s="72">
        <f t="shared" si="22"/>
        <v>8039928172.1522894</v>
      </c>
      <c r="BC23" s="39"/>
      <c r="BD23" s="72">
        <f t="shared" si="23"/>
        <v>0</v>
      </c>
      <c r="BE23" s="72">
        <f t="shared" si="24"/>
        <v>0</v>
      </c>
      <c r="BF23" s="39"/>
      <c r="BG23" s="42">
        <f t="shared" si="25"/>
        <v>0</v>
      </c>
      <c r="BH23" s="72">
        <f t="shared" si="26"/>
        <v>0</v>
      </c>
      <c r="BI23" s="39"/>
      <c r="BJ23" s="40" t="str">
        <f t="shared" si="27"/>
        <v/>
      </c>
      <c r="BK23" s="157" t="str">
        <f t="shared" si="28"/>
        <v/>
      </c>
      <c r="BL23" s="157" t="str">
        <f t="shared" si="29"/>
        <v/>
      </c>
      <c r="BM23" s="72"/>
      <c r="BN23" s="72" t="str">
        <f t="shared" si="30"/>
        <v/>
      </c>
      <c r="BO23" s="72" t="str">
        <f t="shared" si="31"/>
        <v/>
      </c>
      <c r="BP23" s="39"/>
      <c r="BQ23" s="72">
        <f t="shared" si="32"/>
        <v>2796192000</v>
      </c>
      <c r="BR23" s="72">
        <f t="shared" si="33"/>
        <v>2143048335.645391</v>
      </c>
    </row>
    <row r="24" spans="3:70" x14ac:dyDescent="0.15">
      <c r="D24" s="84" t="s">
        <v>563</v>
      </c>
      <c r="F24" s="480">
        <v>8.8000000000000007</v>
      </c>
      <c r="G24" s="84" t="s">
        <v>549</v>
      </c>
      <c r="I24" s="457">
        <f t="shared" si="34"/>
        <v>2039</v>
      </c>
      <c r="K24" s="71">
        <f t="shared" si="35"/>
        <v>10</v>
      </c>
      <c r="M24" s="7">
        <f t="shared" si="0"/>
        <v>0.74409391489672516</v>
      </c>
      <c r="O24" s="10">
        <f t="shared" si="36"/>
        <v>29352736816.526031</v>
      </c>
      <c r="P24" s="29">
        <f t="shared" si="1"/>
        <v>0.16700000000000001</v>
      </c>
      <c r="R24" s="10">
        <f t="shared" si="37"/>
        <v>38180673758.945625</v>
      </c>
      <c r="T24" s="10">
        <f t="shared" si="2"/>
        <v>38180673000</v>
      </c>
      <c r="V24" s="10">
        <f t="shared" si="3"/>
        <v>4901907048.3598471</v>
      </c>
      <c r="W24" s="10">
        <f t="shared" si="4"/>
        <v>3647479206.0739293</v>
      </c>
      <c r="Y24" s="10">
        <f t="shared" si="5"/>
        <v>534529400</v>
      </c>
      <c r="Z24" s="10">
        <f t="shared" si="6"/>
        <v>397740073.87339759</v>
      </c>
      <c r="AB24" s="10">
        <f t="shared" si="7"/>
        <v>0</v>
      </c>
      <c r="AC24" s="10">
        <f t="shared" si="8"/>
        <v>0</v>
      </c>
      <c r="AE24" s="10">
        <f t="shared" si="9"/>
        <v>0</v>
      </c>
      <c r="AF24" s="10">
        <f t="shared" si="10"/>
        <v>0</v>
      </c>
      <c r="AH24" s="10">
        <f t="shared" si="11"/>
        <v>440000000.00000006</v>
      </c>
      <c r="AI24" s="10">
        <f t="shared" si="12"/>
        <v>327401322.55455911</v>
      </c>
      <c r="AK24" s="10">
        <f t="shared" si="13"/>
        <v>3648000000</v>
      </c>
      <c r="AL24" s="10">
        <f t="shared" si="14"/>
        <v>2714454601.5432534</v>
      </c>
      <c r="AN24" s="10">
        <f t="shared" si="15"/>
        <v>3344000000</v>
      </c>
      <c r="AO24" s="10">
        <f t="shared" si="16"/>
        <v>2488250051.414649</v>
      </c>
      <c r="AQ24" s="10">
        <f t="shared" si="17"/>
        <v>906704000</v>
      </c>
      <c r="AR24" s="10">
        <f t="shared" si="18"/>
        <v>674672929.01252031</v>
      </c>
      <c r="AT24" s="40">
        <f>IF($K24&lt;=$F$15,IF($F$40&lt;&gt;"",$F$40/1000,IF(ISERROR(VLOOKUP($F$3&amp;IF($G$4&lt;&gt;"",$G$4,"")&amp;IF($F$43&lt;&gt;"","_"&amp;$F$43,""),'表3）燃料価格'!$AF$9:$AG$25,2,0)),0,VLOOKUP($I24,'表3）燃料価格'!$A$6:$W$66,VLOOKUP($F$3&amp;IF($G$4&lt;&gt;"",$G$4,"")&amp;IF($F$43&lt;&gt;"","_"&amp;$F$43,""),'表3）燃料価格'!$AF$9:$AG$25,2,0)+VLOOKUP($F$41,'表3）燃料価格'!$AF$28:$AG$29,2,0),0)*IF($F$43="需要地価格",1,$F$8/$F$141))),"")</f>
        <v>8.8800220200000002</v>
      </c>
      <c r="AV24" s="10">
        <f t="shared" si="19"/>
        <v>10622674130.734365</v>
      </c>
      <c r="AW24" s="10">
        <f t="shared" si="20"/>
        <v>7904267180.610301</v>
      </c>
      <c r="AY24" s="40">
        <f>IF(ISERROR(IF($K24&lt;=$F$15,VLOOKUP($I24,'表4）CO2価格'!$A$7:$E$67,VLOOKUP($F$48,'表4）CO2価格'!$H$10:$I$12,2,0),0)*$F$8/1000,"")),0,IF($K24&lt;=$F$15,VLOOKUP($I24,'表4）CO2価格'!$A$7:$E$67,VLOOKUP($F$48,'表4）CO2価格'!$H$10:$I$12,2,0),0)*$F$8/1000,""))</f>
        <v>5.4355999999999716</v>
      </c>
      <c r="BA24" s="11">
        <f t="shared" si="21"/>
        <v>10744079840.524744</v>
      </c>
      <c r="BB24" s="10">
        <f t="shared" si="22"/>
        <v>7994604430.4990396</v>
      </c>
      <c r="BD24" s="10">
        <f t="shared" si="23"/>
        <v>0</v>
      </c>
      <c r="BE24" s="10">
        <f t="shared" si="24"/>
        <v>0</v>
      </c>
      <c r="BG24" s="11">
        <f t="shared" si="25"/>
        <v>0</v>
      </c>
      <c r="BH24" s="10">
        <f t="shared" si="26"/>
        <v>0</v>
      </c>
      <c r="BJ24" s="7" t="str">
        <f t="shared" si="27"/>
        <v/>
      </c>
      <c r="BK24" s="158" t="str">
        <f t="shared" si="28"/>
        <v/>
      </c>
      <c r="BL24" s="158" t="str">
        <f t="shared" si="29"/>
        <v/>
      </c>
      <c r="BM24" s="10"/>
      <c r="BN24" s="10" t="str">
        <f t="shared" si="30"/>
        <v/>
      </c>
      <c r="BO24" s="10" t="str">
        <f t="shared" si="31"/>
        <v/>
      </c>
      <c r="BQ24" s="10">
        <f t="shared" si="32"/>
        <v>2796192000</v>
      </c>
      <c r="BR24" s="10">
        <f t="shared" si="33"/>
        <v>2080629452.0829036</v>
      </c>
    </row>
    <row r="25" spans="3:70" x14ac:dyDescent="0.15">
      <c r="D25" s="84" t="s">
        <v>564</v>
      </c>
      <c r="F25" s="475">
        <v>1.4</v>
      </c>
      <c r="G25" s="84" t="s">
        <v>549</v>
      </c>
      <c r="I25" s="38">
        <f t="shared" si="34"/>
        <v>2040</v>
      </c>
      <c r="J25" s="39"/>
      <c r="K25" s="39">
        <f t="shared" si="35"/>
        <v>11</v>
      </c>
      <c r="L25" s="39"/>
      <c r="M25" s="40">
        <f t="shared" si="0"/>
        <v>0.72242127659876232</v>
      </c>
      <c r="N25" s="39"/>
      <c r="O25" s="72">
        <f t="shared" si="36"/>
        <v>24450829768.166183</v>
      </c>
      <c r="P25" s="41">
        <f t="shared" si="1"/>
        <v>0.2</v>
      </c>
      <c r="Q25" s="39"/>
      <c r="R25" s="72">
        <f t="shared" si="37"/>
        <v>32747407288.484638</v>
      </c>
      <c r="S25" s="39"/>
      <c r="T25" s="72">
        <f t="shared" si="2"/>
        <v>32747407000</v>
      </c>
      <c r="U25" s="39"/>
      <c r="V25" s="72">
        <f t="shared" si="3"/>
        <v>4890165953.6332369</v>
      </c>
      <c r="W25" s="72">
        <f t="shared" si="4"/>
        <v>3532759931.0035272</v>
      </c>
      <c r="X25" s="39"/>
      <c r="Y25" s="72">
        <f t="shared" si="5"/>
        <v>458463600</v>
      </c>
      <c r="Z25" s="72">
        <f t="shared" si="6"/>
        <v>331203859.1860643</v>
      </c>
      <c r="AA25" s="39"/>
      <c r="AB25" s="72">
        <f t="shared" si="7"/>
        <v>0</v>
      </c>
      <c r="AC25" s="72">
        <f t="shared" si="8"/>
        <v>0</v>
      </c>
      <c r="AD25" s="39"/>
      <c r="AE25" s="72">
        <f t="shared" si="9"/>
        <v>0</v>
      </c>
      <c r="AF25" s="72">
        <f t="shared" si="10"/>
        <v>0</v>
      </c>
      <c r="AG25" s="39"/>
      <c r="AH25" s="72">
        <f t="shared" si="11"/>
        <v>440000000.00000006</v>
      </c>
      <c r="AI25" s="72">
        <f t="shared" si="12"/>
        <v>317865361.70345545</v>
      </c>
      <c r="AJ25" s="39"/>
      <c r="AK25" s="72">
        <f t="shared" si="13"/>
        <v>3648000000</v>
      </c>
      <c r="AL25" s="72">
        <f t="shared" si="14"/>
        <v>2635392817.0322847</v>
      </c>
      <c r="AM25" s="39"/>
      <c r="AN25" s="72">
        <f t="shared" si="15"/>
        <v>3344000000</v>
      </c>
      <c r="AO25" s="72">
        <f t="shared" si="16"/>
        <v>2415776748.9462614</v>
      </c>
      <c r="AP25" s="39"/>
      <c r="AQ25" s="72">
        <f t="shared" si="17"/>
        <v>906704000</v>
      </c>
      <c r="AR25" s="72">
        <f t="shared" si="18"/>
        <v>655022261.17720413</v>
      </c>
      <c r="AS25" s="39"/>
      <c r="AT25" s="40">
        <f>IF($K25&lt;=$F$15,IF($F$40&lt;&gt;"",$F$40/1000,IF(ISERROR(VLOOKUP($F$3&amp;IF($G$4&lt;&gt;"",$G$4,"")&amp;IF($F$43&lt;&gt;"","_"&amp;$F$43,""),'表3）燃料価格'!$AF$9:$AG$25,2,0)),0,VLOOKUP($I25,'表3）燃料価格'!$A$6:$W$66,VLOOKUP($F$3&amp;IF($G$4&lt;&gt;"",$G$4,"")&amp;IF($F$43&lt;&gt;"","_"&amp;$F$43,""),'表3）燃料価格'!$AF$9:$AG$25,2,0)+VLOOKUP($F$41,'表3）燃料価格'!$AF$28:$AG$29,2,0),0)*IF($F$43="需要地価格",1,$F$8/$F$141))),"")</f>
        <v>8.8800220200000002</v>
      </c>
      <c r="AU25" s="39"/>
      <c r="AV25" s="72">
        <f t="shared" si="19"/>
        <v>10622674130.734365</v>
      </c>
      <c r="AW25" s="72">
        <f t="shared" si="20"/>
        <v>7674045806.4177685</v>
      </c>
      <c r="AX25" s="39"/>
      <c r="AY25" s="40">
        <f>IF(ISERROR(IF($K25&lt;=$F$15,VLOOKUP($I25,'表4）CO2価格'!$A$7:$E$67,VLOOKUP($F$48,'表4）CO2価格'!$H$10:$I$12,2,0),0)*$F$8/1000,"")),0,IF($K25&lt;=$F$15,VLOOKUP($I25,'表4）CO2価格'!$A$7:$E$67,VLOOKUP($F$48,'表4）CO2価格'!$H$10:$I$12,2,0),0)*$F$8/1000,""))</f>
        <v>5.5640000000000001</v>
      </c>
      <c r="AZ25" s="39"/>
      <c r="BA25" s="42">
        <f t="shared" si="21"/>
        <v>10997877002.112</v>
      </c>
      <c r="BB25" s="72">
        <f t="shared" si="22"/>
        <v>7945100343.7419195</v>
      </c>
      <c r="BC25" s="39"/>
      <c r="BD25" s="72">
        <f t="shared" si="23"/>
        <v>0</v>
      </c>
      <c r="BE25" s="72">
        <f t="shared" si="24"/>
        <v>0</v>
      </c>
      <c r="BF25" s="39"/>
      <c r="BG25" s="42">
        <f t="shared" si="25"/>
        <v>0</v>
      </c>
      <c r="BH25" s="72">
        <f t="shared" si="26"/>
        <v>0</v>
      </c>
      <c r="BI25" s="39"/>
      <c r="BJ25" s="40" t="str">
        <f t="shared" si="27"/>
        <v/>
      </c>
      <c r="BK25" s="157" t="str">
        <f t="shared" si="28"/>
        <v/>
      </c>
      <c r="BL25" s="157" t="str">
        <f t="shared" si="29"/>
        <v/>
      </c>
      <c r="BM25" s="72"/>
      <c r="BN25" s="72" t="str">
        <f t="shared" si="30"/>
        <v/>
      </c>
      <c r="BO25" s="72" t="str">
        <f t="shared" si="31"/>
        <v/>
      </c>
      <c r="BP25" s="39"/>
      <c r="BQ25" s="72">
        <f t="shared" si="32"/>
        <v>2796192000</v>
      </c>
      <c r="BR25" s="72">
        <f t="shared" si="33"/>
        <v>2020028594.2552464</v>
      </c>
    </row>
    <row r="26" spans="3:70" x14ac:dyDescent="0.15">
      <c r="D26" s="84" t="s">
        <v>115</v>
      </c>
      <c r="F26" s="481"/>
      <c r="G26" s="84" t="s">
        <v>565</v>
      </c>
      <c r="I26" s="457">
        <f t="shared" si="34"/>
        <v>2041</v>
      </c>
      <c r="K26" s="71">
        <f t="shared" si="35"/>
        <v>12</v>
      </c>
      <c r="M26" s="7">
        <f t="shared" si="0"/>
        <v>0.70137988019297326</v>
      </c>
      <c r="O26" s="10">
        <f t="shared" si="36"/>
        <v>19560663814.532948</v>
      </c>
      <c r="P26" s="29" t="str">
        <f t="shared" si="1"/>
        <v>-</v>
      </c>
      <c r="R26" s="10">
        <f t="shared" si="37"/>
        <v>28087316920.818829</v>
      </c>
      <c r="T26" s="10">
        <f t="shared" si="2"/>
        <v>28087316000</v>
      </c>
      <c r="V26" s="10">
        <f t="shared" si="3"/>
        <v>4890165953.6332369</v>
      </c>
      <c r="W26" s="10">
        <f t="shared" si="4"/>
        <v>3429864010.6830363</v>
      </c>
      <c r="Y26" s="10">
        <f t="shared" si="5"/>
        <v>393222400</v>
      </c>
      <c r="Z26" s="10">
        <f t="shared" si="6"/>
        <v>275798279.80119342</v>
      </c>
      <c r="AB26" s="10">
        <f t="shared" si="7"/>
        <v>0</v>
      </c>
      <c r="AC26" s="10">
        <f t="shared" si="8"/>
        <v>0</v>
      </c>
      <c r="AE26" s="10">
        <f t="shared" si="9"/>
        <v>0</v>
      </c>
      <c r="AF26" s="10">
        <f t="shared" si="10"/>
        <v>0</v>
      </c>
      <c r="AH26" s="10">
        <f t="shared" si="11"/>
        <v>440000000.00000006</v>
      </c>
      <c r="AI26" s="10">
        <f t="shared" si="12"/>
        <v>308607147.28490829</v>
      </c>
      <c r="AK26" s="10">
        <f t="shared" si="13"/>
        <v>3648000000</v>
      </c>
      <c r="AL26" s="10">
        <f t="shared" si="14"/>
        <v>2558633802.9439664</v>
      </c>
      <c r="AN26" s="10">
        <f t="shared" si="15"/>
        <v>3344000000</v>
      </c>
      <c r="AO26" s="10">
        <f t="shared" si="16"/>
        <v>2345414319.3653026</v>
      </c>
      <c r="AQ26" s="10">
        <f t="shared" si="17"/>
        <v>906704000</v>
      </c>
      <c r="AR26" s="10">
        <f t="shared" si="18"/>
        <v>635943942.89048958</v>
      </c>
      <c r="AT26" s="40">
        <f>IF($K26&lt;=$F$15,IF($F$40&lt;&gt;"",$F$40/1000,IF(ISERROR(VLOOKUP($F$3&amp;IF($G$4&lt;&gt;"",$G$4,"")&amp;IF($F$43&lt;&gt;"","_"&amp;$F$43,""),'表3）燃料価格'!$AF$9:$AG$25,2,0)),0,VLOOKUP($I26,'表3）燃料価格'!$A$6:$W$66,VLOOKUP($F$3&amp;IF($G$4&lt;&gt;"",$G$4,"")&amp;IF($F$43&lt;&gt;"","_"&amp;$F$43,""),'表3）燃料価格'!$AF$9:$AG$25,2,0)+VLOOKUP($F$41,'表3）燃料価格'!$AF$28:$AG$29,2,0),0)*IF($F$43="需要地価格",1,$F$8/$F$141))),"")</f>
        <v>8.8662246747170563</v>
      </c>
      <c r="AV26" s="10">
        <f t="shared" si="19"/>
        <v>10609203137.519415</v>
      </c>
      <c r="AW26" s="10">
        <f t="shared" si="20"/>
        <v>7441081625.5362835</v>
      </c>
      <c r="AY26" s="40">
        <f>IF(ISERROR(IF($K26&lt;=$F$15,VLOOKUP($I26,'表4）CO2価格'!$A$7:$E$67,VLOOKUP($F$48,'表4）CO2価格'!$H$10:$I$12,2,0),0)*$F$8/1000,"")),0,IF($K26&lt;=$F$15,VLOOKUP($I26,'表4）CO2価格'!$A$7:$E$67,VLOOKUP($F$48,'表4）CO2価格'!$H$10:$I$12,2,0),0)*$F$8/1000,""))</f>
        <v>5.6923999999999806</v>
      </c>
      <c r="BA26" s="11">
        <f t="shared" si="21"/>
        <v>11251674163.699162</v>
      </c>
      <c r="BB26" s="10">
        <f t="shared" si="22"/>
        <v>7891697876.9056902</v>
      </c>
      <c r="BD26" s="10">
        <f t="shared" si="23"/>
        <v>0</v>
      </c>
      <c r="BE26" s="10">
        <f t="shared" si="24"/>
        <v>0</v>
      </c>
      <c r="BG26" s="11">
        <f t="shared" si="25"/>
        <v>0</v>
      </c>
      <c r="BH26" s="10">
        <f t="shared" si="26"/>
        <v>0</v>
      </c>
      <c r="BJ26" s="7" t="str">
        <f t="shared" si="27"/>
        <v/>
      </c>
      <c r="BK26" s="158" t="str">
        <f t="shared" si="28"/>
        <v/>
      </c>
      <c r="BL26" s="158" t="str">
        <f t="shared" si="29"/>
        <v/>
      </c>
      <c r="BM26" s="10"/>
      <c r="BN26" s="10" t="str">
        <f t="shared" si="30"/>
        <v/>
      </c>
      <c r="BO26" s="10" t="str">
        <f t="shared" si="31"/>
        <v/>
      </c>
      <c r="BQ26" s="10">
        <f t="shared" si="32"/>
        <v>2796192000</v>
      </c>
      <c r="BR26" s="10">
        <f t="shared" si="33"/>
        <v>1961192809.9565504</v>
      </c>
    </row>
    <row r="27" spans="3:70" x14ac:dyDescent="0.15">
      <c r="D27" s="160" t="s">
        <v>86</v>
      </c>
      <c r="F27" s="481">
        <f>F117*5%/10^8</f>
        <v>76</v>
      </c>
      <c r="G27" s="84" t="s">
        <v>566</v>
      </c>
      <c r="I27" s="38">
        <f t="shared" si="34"/>
        <v>2042</v>
      </c>
      <c r="J27" s="39"/>
      <c r="K27" s="39">
        <f t="shared" si="35"/>
        <v>13</v>
      </c>
      <c r="L27" s="39"/>
      <c r="M27" s="40">
        <f t="shared" si="0"/>
        <v>0.68095133999317792</v>
      </c>
      <c r="N27" s="39"/>
      <c r="O27" s="72">
        <f t="shared" si="36"/>
        <v>14670497860.899712</v>
      </c>
      <c r="P27" s="41" t="str">
        <f t="shared" si="1"/>
        <v>-</v>
      </c>
      <c r="Q27" s="39"/>
      <c r="R27" s="72">
        <f t="shared" si="37"/>
        <v>24090376525.408932</v>
      </c>
      <c r="S27" s="39"/>
      <c r="T27" s="72">
        <f t="shared" si="2"/>
        <v>24090376000</v>
      </c>
      <c r="U27" s="39"/>
      <c r="V27" s="72">
        <f t="shared" si="3"/>
        <v>4890165953.6332369</v>
      </c>
      <c r="W27" s="72">
        <f t="shared" si="4"/>
        <v>3329965058.9155693</v>
      </c>
      <c r="X27" s="39"/>
      <c r="Y27" s="72">
        <f t="shared" si="5"/>
        <v>337265200</v>
      </c>
      <c r="Z27" s="72">
        <f t="shared" si="6"/>
        <v>229661189.87306714</v>
      </c>
      <c r="AA27" s="39"/>
      <c r="AB27" s="72">
        <f t="shared" si="7"/>
        <v>0</v>
      </c>
      <c r="AC27" s="72">
        <f t="shared" si="8"/>
        <v>0</v>
      </c>
      <c r="AD27" s="39"/>
      <c r="AE27" s="72">
        <f t="shared" si="9"/>
        <v>0</v>
      </c>
      <c r="AF27" s="72">
        <f t="shared" si="10"/>
        <v>0</v>
      </c>
      <c r="AG27" s="39"/>
      <c r="AH27" s="72">
        <f t="shared" si="11"/>
        <v>440000000.00000006</v>
      </c>
      <c r="AI27" s="72">
        <f t="shared" si="12"/>
        <v>299618589.59699833</v>
      </c>
      <c r="AJ27" s="39"/>
      <c r="AK27" s="72">
        <f t="shared" si="13"/>
        <v>3648000000</v>
      </c>
      <c r="AL27" s="72">
        <f t="shared" si="14"/>
        <v>2484110488.2951131</v>
      </c>
      <c r="AM27" s="39"/>
      <c r="AN27" s="72">
        <f t="shared" si="15"/>
        <v>3344000000</v>
      </c>
      <c r="AO27" s="72">
        <f t="shared" si="16"/>
        <v>2277101280.9371872</v>
      </c>
      <c r="AP27" s="39"/>
      <c r="AQ27" s="72">
        <f t="shared" si="17"/>
        <v>906704000</v>
      </c>
      <c r="AR27" s="72">
        <f t="shared" si="18"/>
        <v>617421303.77717435</v>
      </c>
      <c r="AS27" s="39"/>
      <c r="AT27" s="40">
        <f>IF($K27&lt;=$F$15,IF($F$40&lt;&gt;"",$F$40/1000,IF(ISERROR(VLOOKUP($F$3&amp;IF($G$4&lt;&gt;"",$G$4,"")&amp;IF($F$43&lt;&gt;"","_"&amp;$F$43,""),'表3）燃料価格'!$AF$9:$AG$25,2,0)),0,VLOOKUP($I27,'表3）燃料価格'!$A$6:$W$66,VLOOKUP($F$3&amp;IF($G$4&lt;&gt;"",$G$4,"")&amp;IF($F$43&lt;&gt;"","_"&amp;$F$43,""),'表3）燃料価格'!$AF$9:$AG$25,2,0)+VLOOKUP($F$41,'表3）燃料価格'!$AF$28:$AG$29,2,0),0)*IF($F$43="需要地価格",1,$F$8/$F$141))),"")</f>
        <v>8.85292916377235</v>
      </c>
      <c r="AU27" s="39"/>
      <c r="AV27" s="72">
        <f t="shared" si="19"/>
        <v>10596222108.629253</v>
      </c>
      <c r="AW27" s="72">
        <f t="shared" si="20"/>
        <v>7215511643.7364273</v>
      </c>
      <c r="AX27" s="39"/>
      <c r="AY27" s="40">
        <f>IF(ISERROR(IF($K27&lt;=$F$15,VLOOKUP($I27,'表4）CO2価格'!$A$7:$E$67,VLOOKUP($F$48,'表4）CO2価格'!$H$10:$I$12,2,0),0)*$F$8/1000,"")),0,IF($K27&lt;=$F$15,VLOOKUP($I27,'表4）CO2価格'!$A$7:$E$67,VLOOKUP($F$48,'表4）CO2価格'!$H$10:$I$12,2,0),0)*$F$8/1000,""))</f>
        <v>5.82080000000001</v>
      </c>
      <c r="AZ27" s="39"/>
      <c r="BA27" s="42">
        <f t="shared" si="21"/>
        <v>11505471325.286419</v>
      </c>
      <c r="BB27" s="72">
        <f t="shared" si="22"/>
        <v>7834666116.206872</v>
      </c>
      <c r="BC27" s="39"/>
      <c r="BD27" s="72">
        <f t="shared" si="23"/>
        <v>0</v>
      </c>
      <c r="BE27" s="72">
        <f t="shared" si="24"/>
        <v>0</v>
      </c>
      <c r="BF27" s="39"/>
      <c r="BG27" s="42">
        <f t="shared" si="25"/>
        <v>0</v>
      </c>
      <c r="BH27" s="72">
        <f t="shared" si="26"/>
        <v>0</v>
      </c>
      <c r="BI27" s="39"/>
      <c r="BJ27" s="40" t="str">
        <f t="shared" si="27"/>
        <v/>
      </c>
      <c r="BK27" s="157" t="str">
        <f t="shared" si="28"/>
        <v/>
      </c>
      <c r="BL27" s="157" t="str">
        <f t="shared" si="29"/>
        <v/>
      </c>
      <c r="BM27" s="72"/>
      <c r="BN27" s="72" t="str">
        <f t="shared" si="30"/>
        <v/>
      </c>
      <c r="BO27" s="72" t="str">
        <f t="shared" si="31"/>
        <v/>
      </c>
      <c r="BP27" s="39"/>
      <c r="BQ27" s="72">
        <f t="shared" si="32"/>
        <v>2796192000</v>
      </c>
      <c r="BR27" s="72">
        <f t="shared" si="33"/>
        <v>1904070689.2782042</v>
      </c>
    </row>
    <row r="28" spans="3:70" x14ac:dyDescent="0.15">
      <c r="D28" s="84" t="s">
        <v>116</v>
      </c>
      <c r="F28" s="481">
        <v>1</v>
      </c>
      <c r="G28" s="84" t="s">
        <v>556</v>
      </c>
      <c r="I28" s="457">
        <f t="shared" si="34"/>
        <v>2043</v>
      </c>
      <c r="K28" s="71">
        <f t="shared" si="35"/>
        <v>14</v>
      </c>
      <c r="M28" s="7">
        <f t="shared" si="0"/>
        <v>0.66111780581861923</v>
      </c>
      <c r="O28" s="10">
        <f t="shared" si="36"/>
        <v>9780331907.2664757</v>
      </c>
      <c r="P28" s="29" t="str">
        <f t="shared" si="1"/>
        <v>-</v>
      </c>
      <c r="R28" s="10">
        <f t="shared" si="37"/>
        <v>20662217141.353596</v>
      </c>
      <c r="T28" s="10">
        <f t="shared" si="2"/>
        <v>20662217000</v>
      </c>
      <c r="V28" s="10">
        <f t="shared" si="3"/>
        <v>4890165953.6332369</v>
      </c>
      <c r="W28" s="10">
        <f t="shared" si="4"/>
        <v>3232975785.3549213</v>
      </c>
      <c r="Y28" s="10">
        <f t="shared" si="5"/>
        <v>289271000</v>
      </c>
      <c r="Z28" s="10">
        <f t="shared" si="6"/>
        <v>191242208.80695781</v>
      </c>
      <c r="AB28" s="10">
        <f t="shared" si="7"/>
        <v>0</v>
      </c>
      <c r="AC28" s="10">
        <f t="shared" si="8"/>
        <v>0</v>
      </c>
      <c r="AE28" s="10">
        <f t="shared" si="9"/>
        <v>0</v>
      </c>
      <c r="AF28" s="10">
        <f t="shared" si="10"/>
        <v>0</v>
      </c>
      <c r="AH28" s="10">
        <f t="shared" si="11"/>
        <v>440000000.00000006</v>
      </c>
      <c r="AI28" s="10">
        <f t="shared" si="12"/>
        <v>290891834.56019253</v>
      </c>
      <c r="AK28" s="10">
        <f t="shared" si="13"/>
        <v>3648000000</v>
      </c>
      <c r="AL28" s="10">
        <f t="shared" si="14"/>
        <v>2411757755.6263227</v>
      </c>
      <c r="AN28" s="10">
        <f t="shared" si="15"/>
        <v>3344000000</v>
      </c>
      <c r="AO28" s="10">
        <f t="shared" si="16"/>
        <v>2210777942.6574626</v>
      </c>
      <c r="AQ28" s="10">
        <f t="shared" si="17"/>
        <v>906704000</v>
      </c>
      <c r="AR28" s="10">
        <f t="shared" si="18"/>
        <v>599438159.00696528</v>
      </c>
      <c r="AT28" s="40">
        <f>IF($K28&lt;=$F$15,IF($F$40&lt;&gt;"",$F$40/1000,IF(ISERROR(VLOOKUP($F$3&amp;IF($G$4&lt;&gt;"",$G$4,"")&amp;IF($F$43&lt;&gt;"","_"&amp;$F$43,""),'表3）燃料価格'!$AF$9:$AG$25,2,0)),0,VLOOKUP($I28,'表3）燃料価格'!$A$6:$W$66,VLOOKUP($F$3&amp;IF($G$4&lt;&gt;"",$G$4,"")&amp;IF($F$43&lt;&gt;"","_"&amp;$F$43,""),'表3）燃料価格'!$AF$9:$AG$25,2,0)+VLOOKUP($F$41,'表3）燃料価格'!$AF$28:$AG$29,2,0),0)*IF($F$43="需要地価格",1,$F$8/$F$141))),"")</f>
        <v>8.8401002594742675</v>
      </c>
      <c r="AV28" s="10">
        <f t="shared" si="19"/>
        <v>10583696649.621689</v>
      </c>
      <c r="AW28" s="10">
        <f t="shared" si="20"/>
        <v>6997070306.4477625</v>
      </c>
      <c r="AY28" s="40">
        <f>IF(ISERROR(IF($K28&lt;=$F$15,VLOOKUP($I28,'表4）CO2価格'!$A$7:$E$67,VLOOKUP($F$48,'表4）CO2価格'!$H$10:$I$12,2,0),0)*$F$8/1000,"")),0,IF($K28&lt;=$F$15,VLOOKUP($I28,'表4）CO2価格'!$A$7:$E$67,VLOOKUP($F$48,'表4）CO2価格'!$H$10:$I$12,2,0),0)*$F$8/1000,""))</f>
        <v>5.9491999999999896</v>
      </c>
      <c r="BA28" s="11">
        <f t="shared" si="21"/>
        <v>11759268486.873579</v>
      </c>
      <c r="BB28" s="10">
        <f t="shared" si="22"/>
        <v>7774261780.0738955</v>
      </c>
      <c r="BD28" s="10">
        <f t="shared" si="23"/>
        <v>0</v>
      </c>
      <c r="BE28" s="10">
        <f t="shared" si="24"/>
        <v>0</v>
      </c>
      <c r="BG28" s="11">
        <f t="shared" si="25"/>
        <v>0</v>
      </c>
      <c r="BH28" s="10">
        <f t="shared" si="26"/>
        <v>0</v>
      </c>
      <c r="BJ28" s="7" t="str">
        <f t="shared" si="27"/>
        <v/>
      </c>
      <c r="BK28" s="158" t="str">
        <f t="shared" si="28"/>
        <v/>
      </c>
      <c r="BL28" s="158" t="str">
        <f t="shared" si="29"/>
        <v/>
      </c>
      <c r="BM28" s="10"/>
      <c r="BN28" s="10" t="str">
        <f t="shared" si="30"/>
        <v/>
      </c>
      <c r="BO28" s="10" t="str">
        <f t="shared" si="31"/>
        <v/>
      </c>
      <c r="BQ28" s="10">
        <f t="shared" si="32"/>
        <v>2796192000</v>
      </c>
      <c r="BR28" s="10">
        <f t="shared" si="33"/>
        <v>1848612319.6875765</v>
      </c>
    </row>
    <row r="29" spans="3:70" x14ac:dyDescent="0.15">
      <c r="D29" s="84" t="s">
        <v>567</v>
      </c>
      <c r="F29" s="481"/>
      <c r="G29" s="84" t="s">
        <v>566</v>
      </c>
      <c r="I29" s="38">
        <f t="shared" si="34"/>
        <v>2044</v>
      </c>
      <c r="J29" s="39"/>
      <c r="K29" s="39">
        <f t="shared" si="35"/>
        <v>15</v>
      </c>
      <c r="L29" s="39"/>
      <c r="M29" s="40">
        <f t="shared" si="0"/>
        <v>0.64186194739671765</v>
      </c>
      <c r="N29" s="39"/>
      <c r="O29" s="72">
        <f t="shared" si="36"/>
        <v>4890165953.6332388</v>
      </c>
      <c r="P29" s="41" t="str">
        <f t="shared" si="1"/>
        <v>-</v>
      </c>
      <c r="Q29" s="39"/>
      <c r="R29" s="72">
        <f t="shared" si="37"/>
        <v>17721898897.933449</v>
      </c>
      <c r="S29" s="39"/>
      <c r="T29" s="72">
        <f t="shared" si="2"/>
        <v>17721898000</v>
      </c>
      <c r="U29" s="39"/>
      <c r="V29" s="72">
        <f t="shared" si="3"/>
        <v>4890165953.6332369</v>
      </c>
      <c r="W29" s="72">
        <f t="shared" si="4"/>
        <v>3138811442.0921564</v>
      </c>
      <c r="X29" s="39"/>
      <c r="Y29" s="72">
        <f t="shared" si="5"/>
        <v>248106500</v>
      </c>
      <c r="Z29" s="72">
        <f t="shared" si="6"/>
        <v>159250121.25178373</v>
      </c>
      <c r="AA29" s="39"/>
      <c r="AB29" s="72">
        <f t="shared" si="7"/>
        <v>0</v>
      </c>
      <c r="AC29" s="72">
        <f t="shared" si="8"/>
        <v>0</v>
      </c>
      <c r="AD29" s="39"/>
      <c r="AE29" s="72">
        <f t="shared" si="9"/>
        <v>0</v>
      </c>
      <c r="AF29" s="72">
        <f t="shared" si="10"/>
        <v>0</v>
      </c>
      <c r="AG29" s="39"/>
      <c r="AH29" s="72">
        <f t="shared" si="11"/>
        <v>440000000.00000006</v>
      </c>
      <c r="AI29" s="72">
        <f t="shared" si="12"/>
        <v>282419256.85455579</v>
      </c>
      <c r="AJ29" s="39"/>
      <c r="AK29" s="72">
        <f t="shared" si="13"/>
        <v>3648000000</v>
      </c>
      <c r="AL29" s="72">
        <f t="shared" si="14"/>
        <v>2341512384.1032262</v>
      </c>
      <c r="AM29" s="39"/>
      <c r="AN29" s="72">
        <f t="shared" si="15"/>
        <v>3344000000</v>
      </c>
      <c r="AO29" s="72">
        <f t="shared" si="16"/>
        <v>2146386352.0946238</v>
      </c>
      <c r="AP29" s="39"/>
      <c r="AQ29" s="72">
        <f t="shared" si="17"/>
        <v>906704000</v>
      </c>
      <c r="AR29" s="72">
        <f t="shared" si="18"/>
        <v>581978795.15239346</v>
      </c>
      <c r="AS29" s="39"/>
      <c r="AT29" s="40">
        <f>IF($K29&lt;=$F$15,IF($F$40&lt;&gt;"",$F$40/1000,IF(ISERROR(VLOOKUP($F$3&amp;IF($G$4&lt;&gt;"",$G$4,"")&amp;IF($F$43&lt;&gt;"","_"&amp;$F$43,""),'表3）燃料価格'!$AF$9:$AG$25,2,0)),0,VLOOKUP($I29,'表3）燃料価格'!$A$6:$W$66,VLOOKUP($F$3&amp;IF($G$4&lt;&gt;"",$G$4,"")&amp;IF($F$43&lt;&gt;"","_"&amp;$F$43,""),'表3）燃料価格'!$AF$9:$AG$25,2,0)+VLOOKUP($F$41,'表3）燃料価格'!$AF$28:$AG$29,2,0),0)*IF($F$43="需要地価格",1,$F$8/$F$141))),"")</f>
        <v>8.8277063180567623</v>
      </c>
      <c r="AU29" s="39"/>
      <c r="AV29" s="72">
        <f t="shared" si="19"/>
        <v>10571595865.208609</v>
      </c>
      <c r="AW29" s="72">
        <f t="shared" si="20"/>
        <v>6785505109.1338854</v>
      </c>
      <c r="AX29" s="39"/>
      <c r="AY29" s="40">
        <f>IF(ISERROR(IF($K29&lt;=$F$15,VLOOKUP($I29,'表4）CO2価格'!$A$7:$E$67,VLOOKUP($F$48,'表4）CO2価格'!$H$10:$I$12,2,0),0)*$F$8/1000,"")),0,IF($K29&lt;=$F$15,VLOOKUP($I29,'表4）CO2価格'!$A$7:$E$67,VLOOKUP($F$48,'表4）CO2価格'!$H$10:$I$12,2,0),0)*$F$8/1000,""))</f>
        <v>6.077599999999971</v>
      </c>
      <c r="AZ29" s="39"/>
      <c r="BA29" s="42">
        <f t="shared" si="21"/>
        <v>12013065648.460743</v>
      </c>
      <c r="BB29" s="72">
        <f t="shared" si="22"/>
        <v>7710729711.3256254</v>
      </c>
      <c r="BC29" s="39"/>
      <c r="BD29" s="72">
        <f t="shared" si="23"/>
        <v>0</v>
      </c>
      <c r="BE29" s="72">
        <f t="shared" si="24"/>
        <v>0</v>
      </c>
      <c r="BF29" s="39"/>
      <c r="BG29" s="42">
        <f t="shared" si="25"/>
        <v>0</v>
      </c>
      <c r="BH29" s="72">
        <f t="shared" si="26"/>
        <v>0</v>
      </c>
      <c r="BI29" s="39"/>
      <c r="BJ29" s="40" t="str">
        <f t="shared" si="27"/>
        <v/>
      </c>
      <c r="BK29" s="157" t="str">
        <f t="shared" si="28"/>
        <v/>
      </c>
      <c r="BL29" s="157" t="str">
        <f t="shared" si="29"/>
        <v/>
      </c>
      <c r="BM29" s="72"/>
      <c r="BN29" s="72" t="str">
        <f t="shared" si="30"/>
        <v/>
      </c>
      <c r="BO29" s="72" t="str">
        <f t="shared" si="31"/>
        <v/>
      </c>
      <c r="BP29" s="39"/>
      <c r="BQ29" s="72">
        <f t="shared" si="32"/>
        <v>2796192000</v>
      </c>
      <c r="BR29" s="72">
        <f t="shared" si="33"/>
        <v>1794769242.4151227</v>
      </c>
    </row>
    <row r="30" spans="3:70" x14ac:dyDescent="0.15">
      <c r="I30" s="457">
        <f t="shared" si="34"/>
        <v>2045</v>
      </c>
      <c r="K30" s="71">
        <f t="shared" si="35"/>
        <v>16</v>
      </c>
      <c r="M30" s="7">
        <f t="shared" si="0"/>
        <v>0.62316693922011435</v>
      </c>
      <c r="O30" s="10">
        <f t="shared" si="36"/>
        <v>1.9073486328125E-6</v>
      </c>
      <c r="P30" s="29" t="str">
        <f t="shared" si="1"/>
        <v>-</v>
      </c>
      <c r="R30" s="10">
        <f t="shared" si="37"/>
        <v>15200000000.000006</v>
      </c>
      <c r="T30" s="10">
        <f t="shared" si="2"/>
        <v>15200000000</v>
      </c>
      <c r="V30" s="10">
        <f t="shared" si="3"/>
        <v>0</v>
      </c>
      <c r="W30" s="10">
        <f t="shared" si="4"/>
        <v>0</v>
      </c>
      <c r="Y30" s="10">
        <f t="shared" si="5"/>
        <v>212800000</v>
      </c>
      <c r="Z30" s="10">
        <f t="shared" si="6"/>
        <v>132609924.66604033</v>
      </c>
      <c r="AB30" s="10">
        <f t="shared" si="7"/>
        <v>0</v>
      </c>
      <c r="AC30" s="10">
        <f t="shared" si="8"/>
        <v>0</v>
      </c>
      <c r="AE30" s="10">
        <f t="shared" si="9"/>
        <v>0</v>
      </c>
      <c r="AF30" s="10">
        <f t="shared" si="10"/>
        <v>0</v>
      </c>
      <c r="AH30" s="10">
        <f t="shared" si="11"/>
        <v>440000000.00000006</v>
      </c>
      <c r="AI30" s="10">
        <f t="shared" si="12"/>
        <v>274193453.25685036</v>
      </c>
      <c r="AK30" s="10">
        <f t="shared" si="13"/>
        <v>3648000000</v>
      </c>
      <c r="AL30" s="10">
        <f t="shared" si="14"/>
        <v>2273312994.2749772</v>
      </c>
      <c r="AN30" s="10">
        <f t="shared" si="15"/>
        <v>3344000000</v>
      </c>
      <c r="AO30" s="10">
        <f t="shared" si="16"/>
        <v>2083870244.7520623</v>
      </c>
      <c r="AQ30" s="10">
        <f t="shared" si="17"/>
        <v>906704000</v>
      </c>
      <c r="AR30" s="10">
        <f t="shared" si="18"/>
        <v>565027956.45863461</v>
      </c>
      <c r="AT30" s="40">
        <f>IF($K30&lt;=$F$15,IF($F$40&lt;&gt;"",$F$40/1000,IF(ISERROR(VLOOKUP($F$3&amp;IF($G$4&lt;&gt;"",$G$4,"")&amp;IF($F$43&lt;&gt;"","_"&amp;$F$43,""),'表3）燃料価格'!$AF$9:$AG$25,2,0)),0,VLOOKUP($I30,'表3）燃料価格'!$A$6:$W$66,VLOOKUP($F$3&amp;IF($G$4&lt;&gt;"",$G$4,"")&amp;IF($F$43&lt;&gt;"","_"&amp;$F$43,""),'表3）燃料価格'!$AF$9:$AG$25,2,0)+VLOOKUP($F$41,'表3）燃料価格'!$AF$28:$AG$29,2,0),0)*IF($F$43="需要地価格",1,$F$8/$F$141))),"")</f>
        <v>8.81571880943042</v>
      </c>
      <c r="AV30" s="10">
        <f t="shared" si="19"/>
        <v>10559891900.129961</v>
      </c>
      <c r="AW30" s="10">
        <f t="shared" si="20"/>
        <v>6580575513.8992653</v>
      </c>
      <c r="AY30" s="40">
        <f>IF(ISERROR(IF($K30&lt;=$F$15,VLOOKUP($I30,'表4）CO2価格'!$A$7:$E$67,VLOOKUP($F$48,'表4）CO2価格'!$H$10:$I$12,2,0),0)*$F$8/1000,"")),0,IF($K30&lt;=$F$15,VLOOKUP($I30,'表4）CO2価格'!$A$7:$E$67,VLOOKUP($F$48,'表4）CO2価格'!$H$10:$I$12,2,0),0)*$F$8/1000,""))</f>
        <v>6.2060000000000004</v>
      </c>
      <c r="BA30" s="11">
        <f t="shared" si="21"/>
        <v>12266862810.048</v>
      </c>
      <c r="BB30" s="10">
        <f t="shared" si="22"/>
        <v>7644303351.1706629</v>
      </c>
      <c r="BD30" s="10">
        <f t="shared" si="23"/>
        <v>0</v>
      </c>
      <c r="BE30" s="10">
        <f t="shared" si="24"/>
        <v>0</v>
      </c>
      <c r="BG30" s="11">
        <f t="shared" si="25"/>
        <v>0</v>
      </c>
      <c r="BH30" s="10">
        <f t="shared" si="26"/>
        <v>0</v>
      </c>
      <c r="BJ30" s="7" t="str">
        <f t="shared" si="27"/>
        <v/>
      </c>
      <c r="BK30" s="158" t="str">
        <f t="shared" si="28"/>
        <v/>
      </c>
      <c r="BL30" s="158" t="str">
        <f t="shared" si="29"/>
        <v/>
      </c>
      <c r="BM30" s="10"/>
      <c r="BN30" s="10" t="str">
        <f t="shared" si="30"/>
        <v/>
      </c>
      <c r="BO30" s="10" t="str">
        <f t="shared" si="31"/>
        <v/>
      </c>
      <c r="BQ30" s="10">
        <f t="shared" si="32"/>
        <v>2796192000</v>
      </c>
      <c r="BR30" s="10">
        <f t="shared" si="33"/>
        <v>1742494410.1117699</v>
      </c>
    </row>
    <row r="31" spans="3:70" x14ac:dyDescent="0.15">
      <c r="C31" s="4" t="s">
        <v>568</v>
      </c>
      <c r="D31" s="100"/>
      <c r="E31" s="100"/>
      <c r="F31" s="4"/>
      <c r="G31" s="100"/>
      <c r="I31" s="38">
        <f t="shared" si="34"/>
        <v>2046</v>
      </c>
      <c r="J31" s="39"/>
      <c r="K31" s="39">
        <f t="shared" si="35"/>
        <v>17</v>
      </c>
      <c r="L31" s="39"/>
      <c r="M31" s="40">
        <f t="shared" si="0"/>
        <v>0.60501644584477121</v>
      </c>
      <c r="N31" s="39"/>
      <c r="O31" s="72">
        <f t="shared" si="36"/>
        <v>1.9073486328125E-6</v>
      </c>
      <c r="P31" s="41" t="str">
        <f t="shared" si="1"/>
        <v>-</v>
      </c>
      <c r="Q31" s="39"/>
      <c r="R31" s="72">
        <f t="shared" si="37"/>
        <v>13036977658.581596</v>
      </c>
      <c r="S31" s="39"/>
      <c r="T31" s="72">
        <f t="shared" si="2"/>
        <v>13036977000</v>
      </c>
      <c r="U31" s="39"/>
      <c r="V31" s="72">
        <f t="shared" si="3"/>
        <v>0</v>
      </c>
      <c r="W31" s="72">
        <f t="shared" si="4"/>
        <v>0</v>
      </c>
      <c r="X31" s="39"/>
      <c r="Y31" s="72">
        <f t="shared" si="5"/>
        <v>182517600</v>
      </c>
      <c r="Z31" s="72">
        <f t="shared" si="6"/>
        <v>110426149.65611762</v>
      </c>
      <c r="AA31" s="39"/>
      <c r="AB31" s="72">
        <f t="shared" si="7"/>
        <v>0</v>
      </c>
      <c r="AC31" s="72">
        <f t="shared" si="8"/>
        <v>0</v>
      </c>
      <c r="AD31" s="39"/>
      <c r="AE31" s="72">
        <f t="shared" si="9"/>
        <v>0</v>
      </c>
      <c r="AF31" s="72">
        <f t="shared" si="10"/>
        <v>0</v>
      </c>
      <c r="AG31" s="39"/>
      <c r="AH31" s="72">
        <f t="shared" si="11"/>
        <v>440000000.00000006</v>
      </c>
      <c r="AI31" s="72">
        <f t="shared" si="12"/>
        <v>266207236.17169937</v>
      </c>
      <c r="AJ31" s="39"/>
      <c r="AK31" s="72">
        <f t="shared" si="13"/>
        <v>3648000000</v>
      </c>
      <c r="AL31" s="72">
        <f t="shared" si="14"/>
        <v>2207099994.4417253</v>
      </c>
      <c r="AM31" s="39"/>
      <c r="AN31" s="72">
        <f t="shared" si="15"/>
        <v>3344000000</v>
      </c>
      <c r="AO31" s="72">
        <f t="shared" si="16"/>
        <v>2023174994.9049149</v>
      </c>
      <c r="AP31" s="39"/>
      <c r="AQ31" s="72">
        <f t="shared" si="17"/>
        <v>906704000</v>
      </c>
      <c r="AR31" s="72">
        <f t="shared" si="18"/>
        <v>548570831.51323748</v>
      </c>
      <c r="AS31" s="39"/>
      <c r="AT31" s="40">
        <f>IF($K31&lt;=$F$15,IF($F$40&lt;&gt;"",$F$40/1000,IF(ISERROR(VLOOKUP($F$3&amp;IF($G$4&lt;&gt;"",$G$4,"")&amp;IF($F$43&lt;&gt;"","_"&amp;$F$43,""),'表3）燃料価格'!$AF$9:$AG$25,2,0)),0,VLOOKUP($I31,'表3）燃料価格'!$A$6:$W$66,VLOOKUP($F$3&amp;IF($G$4&lt;&gt;"",$G$4,"")&amp;IF($F$43&lt;&gt;"","_"&amp;$F$43,""),'表3）燃料価格'!$AF$9:$AG$25,2,0)+VLOOKUP($F$41,'表3）燃料価格'!$AF$28:$AG$29,2,0),0)*IF($F$43="需要地価格",1,$F$8/$F$141))),"")</f>
        <v>8.8041119216172259</v>
      </c>
      <c r="AU31" s="39"/>
      <c r="AV31" s="72">
        <f t="shared" si="19"/>
        <v>10548559552.944918</v>
      </c>
      <c r="AW31" s="72">
        <f t="shared" si="20"/>
        <v>6382052009.5046425</v>
      </c>
      <c r="AX31" s="39"/>
      <c r="AY31" s="40">
        <f>IF(ISERROR(IF($K31&lt;=$F$15,VLOOKUP($I31,'表4）CO2価格'!$A$7:$E$67,VLOOKUP($F$48,'表4）CO2価格'!$H$10:$I$12,2,0),0)*$F$8/1000,"")),0,IF($K31&lt;=$F$15,VLOOKUP($I31,'表4）CO2価格'!$A$7:$E$67,VLOOKUP($F$48,'表4）CO2価格'!$H$10:$I$12,2,0),0)*$F$8/1000,""))</f>
        <v>6.3343999999999809</v>
      </c>
      <c r="AZ31" s="39"/>
      <c r="BA31" s="42">
        <f t="shared" si="21"/>
        <v>12520659971.635162</v>
      </c>
      <c r="BB31" s="72">
        <f t="shared" si="22"/>
        <v>7575205195.6695995</v>
      </c>
      <c r="BC31" s="39"/>
      <c r="BD31" s="72">
        <f t="shared" si="23"/>
        <v>0</v>
      </c>
      <c r="BE31" s="72">
        <f t="shared" si="24"/>
        <v>0</v>
      </c>
      <c r="BF31" s="39"/>
      <c r="BG31" s="42">
        <f t="shared" si="25"/>
        <v>0</v>
      </c>
      <c r="BH31" s="72">
        <f t="shared" si="26"/>
        <v>0</v>
      </c>
      <c r="BI31" s="39"/>
      <c r="BJ31" s="40" t="str">
        <f t="shared" si="27"/>
        <v/>
      </c>
      <c r="BK31" s="157" t="str">
        <f t="shared" si="28"/>
        <v/>
      </c>
      <c r="BL31" s="157" t="str">
        <f t="shared" si="29"/>
        <v/>
      </c>
      <c r="BM31" s="72"/>
      <c r="BN31" s="72" t="str">
        <f t="shared" si="30"/>
        <v/>
      </c>
      <c r="BO31" s="72" t="str">
        <f t="shared" si="31"/>
        <v/>
      </c>
      <c r="BP31" s="39"/>
      <c r="BQ31" s="72">
        <f t="shared" si="32"/>
        <v>2796192000</v>
      </c>
      <c r="BR31" s="72">
        <f t="shared" si="33"/>
        <v>1691742145.7395825</v>
      </c>
    </row>
    <row r="32" spans="3:70" x14ac:dyDescent="0.15">
      <c r="I32" s="457">
        <f t="shared" si="34"/>
        <v>2047</v>
      </c>
      <c r="K32" s="71">
        <f t="shared" si="35"/>
        <v>18</v>
      </c>
      <c r="M32" s="7">
        <f t="shared" si="0"/>
        <v>0.5873946076162827</v>
      </c>
      <c r="O32" s="10">
        <f t="shared" si="36"/>
        <v>1.9073486328125E-6</v>
      </c>
      <c r="P32" s="29" t="str">
        <f t="shared" si="1"/>
        <v>-</v>
      </c>
      <c r="R32" s="10">
        <f t="shared" si="37"/>
        <v>11181762267.786552</v>
      </c>
      <c r="T32" s="10">
        <f t="shared" si="2"/>
        <v>11181762000</v>
      </c>
      <c r="V32" s="10">
        <f t="shared" si="3"/>
        <v>0</v>
      </c>
      <c r="W32" s="10">
        <f t="shared" si="4"/>
        <v>0</v>
      </c>
      <c r="Y32" s="10">
        <f t="shared" si="5"/>
        <v>156544600</v>
      </c>
      <c r="Z32" s="10">
        <f t="shared" si="6"/>
        <v>91953453.891447932</v>
      </c>
      <c r="AB32" s="10">
        <f t="shared" si="7"/>
        <v>0</v>
      </c>
      <c r="AC32" s="10">
        <f t="shared" si="8"/>
        <v>0</v>
      </c>
      <c r="AE32" s="10">
        <f t="shared" si="9"/>
        <v>0</v>
      </c>
      <c r="AF32" s="10">
        <f t="shared" si="10"/>
        <v>0</v>
      </c>
      <c r="AH32" s="10">
        <f t="shared" si="11"/>
        <v>440000000.00000006</v>
      </c>
      <c r="AI32" s="10">
        <f t="shared" si="12"/>
        <v>258453627.35116443</v>
      </c>
      <c r="AK32" s="10">
        <f t="shared" si="13"/>
        <v>3648000000</v>
      </c>
      <c r="AL32" s="10">
        <f t="shared" si="14"/>
        <v>2142815528.5841992</v>
      </c>
      <c r="AN32" s="10">
        <f t="shared" si="15"/>
        <v>3344000000</v>
      </c>
      <c r="AO32" s="10">
        <f t="shared" si="16"/>
        <v>1964247567.8688493</v>
      </c>
      <c r="AQ32" s="10">
        <f t="shared" si="17"/>
        <v>906704000</v>
      </c>
      <c r="AR32" s="10">
        <f t="shared" si="18"/>
        <v>532593040.30411398</v>
      </c>
      <c r="AT32" s="40">
        <f>IF($K32&lt;=$F$15,IF($F$40&lt;&gt;"",$F$40/1000,IF(ISERROR(VLOOKUP($F$3&amp;IF($G$4&lt;&gt;"",$G$4,"")&amp;IF($F$43&lt;&gt;"","_"&amp;$F$43,""),'表3）燃料価格'!$AF$9:$AG$25,2,0)),0,VLOOKUP($I32,'表3）燃料価格'!$A$6:$W$66,VLOOKUP($F$3&amp;IF($G$4&lt;&gt;"",$G$4,"")&amp;IF($F$43&lt;&gt;"","_"&amp;$F$43,""),'表3）燃料価格'!$AF$9:$AG$25,2,0)+VLOOKUP($F$41,'表3）燃料価格'!$AF$28:$AG$29,2,0),0)*IF($F$43="需要地価格",1,$F$8/$F$141))),"")</f>
        <v>8.7928622260727902</v>
      </c>
      <c r="AV32" s="10">
        <f t="shared" si="19"/>
        <v>10537575949.270327</v>
      </c>
      <c r="AW32" s="10">
        <f t="shared" si="20"/>
        <v>6189715289.9484215</v>
      </c>
      <c r="AY32" s="40">
        <f>IF(ISERROR(IF($K32&lt;=$F$15,VLOOKUP($I32,'表4）CO2価格'!$A$7:$E$67,VLOOKUP($F$48,'表4）CO2価格'!$H$10:$I$12,2,0),0)*$F$8/1000,"")),0,IF($K32&lt;=$F$15,VLOOKUP($I32,'表4）CO2価格'!$A$7:$E$67,VLOOKUP($F$48,'表4）CO2価格'!$H$10:$I$12,2,0),0)*$F$8/1000,""))</f>
        <v>6.4628000000000103</v>
      </c>
      <c r="BA32" s="11">
        <f t="shared" si="21"/>
        <v>12774457133.22242</v>
      </c>
      <c r="BB32" s="10">
        <f t="shared" si="22"/>
        <v>7503647235.2802067</v>
      </c>
      <c r="BD32" s="10">
        <f t="shared" si="23"/>
        <v>0</v>
      </c>
      <c r="BE32" s="10">
        <f t="shared" si="24"/>
        <v>0</v>
      </c>
      <c r="BG32" s="11">
        <f t="shared" si="25"/>
        <v>0</v>
      </c>
      <c r="BH32" s="10">
        <f t="shared" si="26"/>
        <v>0</v>
      </c>
      <c r="BJ32" s="7" t="str">
        <f t="shared" si="27"/>
        <v/>
      </c>
      <c r="BK32" s="158" t="str">
        <f t="shared" si="28"/>
        <v/>
      </c>
      <c r="BL32" s="158" t="str">
        <f t="shared" si="29"/>
        <v/>
      </c>
      <c r="BM32" s="10"/>
      <c r="BN32" s="10" t="str">
        <f t="shared" si="30"/>
        <v/>
      </c>
      <c r="BO32" s="10" t="str">
        <f t="shared" si="31"/>
        <v/>
      </c>
      <c r="BQ32" s="10">
        <f t="shared" si="32"/>
        <v>2796192000</v>
      </c>
      <c r="BR32" s="10">
        <f t="shared" si="33"/>
        <v>1642468102.6597888</v>
      </c>
    </row>
    <row r="33" spans="3:70" x14ac:dyDescent="0.15">
      <c r="D33" s="84" t="s">
        <v>636</v>
      </c>
      <c r="F33" s="475">
        <v>4.4000000000000004</v>
      </c>
      <c r="G33" s="84" t="s">
        <v>637</v>
      </c>
      <c r="I33" s="38">
        <f t="shared" si="34"/>
        <v>2048</v>
      </c>
      <c r="J33" s="39"/>
      <c r="K33" s="39">
        <f t="shared" si="35"/>
        <v>19</v>
      </c>
      <c r="L33" s="39"/>
      <c r="M33" s="40">
        <f t="shared" si="0"/>
        <v>0.57028602681192497</v>
      </c>
      <c r="N33" s="39"/>
      <c r="O33" s="72">
        <f t="shared" si="36"/>
        <v>1.9073486328125E-6</v>
      </c>
      <c r="P33" s="41" t="str">
        <f t="shared" si="1"/>
        <v>-</v>
      </c>
      <c r="Q33" s="39"/>
      <c r="R33" s="72">
        <f t="shared" si="37"/>
        <v>9590551636.0989418</v>
      </c>
      <c r="S33" s="39"/>
      <c r="T33" s="72">
        <f t="shared" si="2"/>
        <v>9590551000</v>
      </c>
      <c r="U33" s="39"/>
      <c r="V33" s="72">
        <f t="shared" si="3"/>
        <v>0</v>
      </c>
      <c r="W33" s="72">
        <f t="shared" si="4"/>
        <v>0</v>
      </c>
      <c r="X33" s="39"/>
      <c r="Y33" s="72">
        <f t="shared" si="5"/>
        <v>134267700</v>
      </c>
      <c r="Z33" s="72">
        <f t="shared" si="6"/>
        <v>76570993.162175491</v>
      </c>
      <c r="AA33" s="39"/>
      <c r="AB33" s="72">
        <f t="shared" si="7"/>
        <v>0</v>
      </c>
      <c r="AC33" s="72">
        <f t="shared" si="8"/>
        <v>0</v>
      </c>
      <c r="AD33" s="39"/>
      <c r="AE33" s="72">
        <f t="shared" si="9"/>
        <v>0</v>
      </c>
      <c r="AF33" s="72">
        <f t="shared" si="10"/>
        <v>0</v>
      </c>
      <c r="AG33" s="39"/>
      <c r="AH33" s="72">
        <f t="shared" si="11"/>
        <v>440000000.00000006</v>
      </c>
      <c r="AI33" s="72">
        <f t="shared" si="12"/>
        <v>250925851.79724702</v>
      </c>
      <c r="AJ33" s="39"/>
      <c r="AK33" s="72">
        <f t="shared" si="13"/>
        <v>3648000000</v>
      </c>
      <c r="AL33" s="72">
        <f t="shared" si="14"/>
        <v>2080403425.8099022</v>
      </c>
      <c r="AM33" s="39"/>
      <c r="AN33" s="72">
        <f t="shared" si="15"/>
        <v>3344000000</v>
      </c>
      <c r="AO33" s="72">
        <f t="shared" si="16"/>
        <v>1907036473.6590772</v>
      </c>
      <c r="AP33" s="39"/>
      <c r="AQ33" s="72">
        <f t="shared" si="17"/>
        <v>906704000</v>
      </c>
      <c r="AR33" s="72">
        <f t="shared" si="18"/>
        <v>517080621.65447962</v>
      </c>
      <c r="AS33" s="39"/>
      <c r="AT33" s="40">
        <f>IF($K33&lt;=$F$15,IF($F$40&lt;&gt;"",$F$40/1000,IF(ISERROR(VLOOKUP($F$3&amp;IF($G$4&lt;&gt;"",$G$4,"")&amp;IF($F$43&lt;&gt;"","_"&amp;$F$43,""),'表3）燃料価格'!$AF$9:$AG$25,2,0)),0,VLOOKUP($I33,'表3）燃料価格'!$A$6:$W$66,VLOOKUP($F$3&amp;IF($G$4&lt;&gt;"",$G$4,"")&amp;IF($F$43&lt;&gt;"","_"&amp;$F$43,""),'表3）燃料価格'!$AF$9:$AG$25,2,0)+VLOOKUP($F$41,'表3）燃料価格'!$AF$28:$AG$29,2,0),0)*IF($F$43="需要地価格",1,$F$8/$F$141))),"")</f>
        <v>8.7819483929846882</v>
      </c>
      <c r="AU33" s="39"/>
      <c r="AV33" s="72">
        <f t="shared" si="19"/>
        <v>10526920263.813162</v>
      </c>
      <c r="AW33" s="72">
        <f t="shared" si="20"/>
        <v>6003355531.8159494</v>
      </c>
      <c r="AX33" s="39"/>
      <c r="AY33" s="40">
        <f>IF(ISERROR(IF($K33&lt;=$F$15,VLOOKUP($I33,'表4）CO2価格'!$A$7:$E$67,VLOOKUP($F$48,'表4）CO2価格'!$H$10:$I$12,2,0),0)*$F$8/1000,"")),0,IF($K33&lt;=$F$15,VLOOKUP($I33,'表4）CO2価格'!$A$7:$E$67,VLOOKUP($F$48,'表4）CO2価格'!$H$10:$I$12,2,0),0)*$F$8/1000,""))</f>
        <v>6.59119999999999</v>
      </c>
      <c r="AZ33" s="39"/>
      <c r="BA33" s="42">
        <f t="shared" si="21"/>
        <v>13028254294.80958</v>
      </c>
      <c r="BB33" s="72">
        <f t="shared" si="22"/>
        <v>7429831378.0823526</v>
      </c>
      <c r="BC33" s="39"/>
      <c r="BD33" s="72">
        <f t="shared" si="23"/>
        <v>0</v>
      </c>
      <c r="BE33" s="72">
        <f t="shared" si="24"/>
        <v>0</v>
      </c>
      <c r="BF33" s="39"/>
      <c r="BG33" s="42">
        <f t="shared" si="25"/>
        <v>0</v>
      </c>
      <c r="BH33" s="72">
        <f t="shared" si="26"/>
        <v>0</v>
      </c>
      <c r="BI33" s="39"/>
      <c r="BJ33" s="40" t="str">
        <f t="shared" si="27"/>
        <v/>
      </c>
      <c r="BK33" s="157" t="str">
        <f t="shared" si="28"/>
        <v/>
      </c>
      <c r="BL33" s="157" t="str">
        <f t="shared" si="29"/>
        <v/>
      </c>
      <c r="BM33" s="72"/>
      <c r="BN33" s="72" t="str">
        <f t="shared" si="30"/>
        <v/>
      </c>
      <c r="BO33" s="72" t="str">
        <f t="shared" si="31"/>
        <v/>
      </c>
      <c r="BP33" s="39"/>
      <c r="BQ33" s="72">
        <f t="shared" si="32"/>
        <v>2796192000</v>
      </c>
      <c r="BR33" s="72">
        <f t="shared" si="33"/>
        <v>1594629225.8832901</v>
      </c>
    </row>
    <row r="34" spans="3:70" x14ac:dyDescent="0.15">
      <c r="D34" s="84" t="s">
        <v>120</v>
      </c>
      <c r="F34" s="475">
        <v>2.4</v>
      </c>
      <c r="G34" s="84" t="s">
        <v>638</v>
      </c>
      <c r="I34" s="457">
        <f t="shared" si="34"/>
        <v>2049</v>
      </c>
      <c r="K34" s="71">
        <f t="shared" si="35"/>
        <v>20</v>
      </c>
      <c r="M34" s="7">
        <f t="shared" si="0"/>
        <v>0.55367575418633497</v>
      </c>
      <c r="O34" s="10">
        <f t="shared" si="36"/>
        <v>1.9073486328125E-6</v>
      </c>
      <c r="P34" s="29" t="str">
        <f t="shared" si="1"/>
        <v>-</v>
      </c>
      <c r="R34" s="10">
        <f t="shared" si="37"/>
        <v>8225776803.5062513</v>
      </c>
      <c r="T34" s="10">
        <f t="shared" si="2"/>
        <v>8225776000</v>
      </c>
      <c r="V34" s="10">
        <f t="shared" si="3"/>
        <v>0</v>
      </c>
      <c r="W34" s="10">
        <f t="shared" si="4"/>
        <v>0</v>
      </c>
      <c r="Y34" s="10">
        <f t="shared" si="5"/>
        <v>115160800</v>
      </c>
      <c r="Z34" s="10">
        <f t="shared" si="6"/>
        <v>63761742.792701684</v>
      </c>
      <c r="AB34" s="10">
        <f t="shared" si="7"/>
        <v>0</v>
      </c>
      <c r="AC34" s="10">
        <f t="shared" si="8"/>
        <v>0</v>
      </c>
      <c r="AE34" s="10">
        <f t="shared" si="9"/>
        <v>0</v>
      </c>
      <c r="AF34" s="10">
        <f t="shared" si="10"/>
        <v>0</v>
      </c>
      <c r="AH34" s="10">
        <f t="shared" si="11"/>
        <v>440000000.00000006</v>
      </c>
      <c r="AI34" s="10">
        <f t="shared" si="12"/>
        <v>243617331.84198743</v>
      </c>
      <c r="AK34" s="10">
        <f t="shared" si="13"/>
        <v>3648000000</v>
      </c>
      <c r="AL34" s="10">
        <f t="shared" si="14"/>
        <v>2019809151.27175</v>
      </c>
      <c r="AN34" s="10">
        <f t="shared" si="15"/>
        <v>3344000000</v>
      </c>
      <c r="AO34" s="10">
        <f t="shared" si="16"/>
        <v>1851491721.999104</v>
      </c>
      <c r="AQ34" s="10">
        <f t="shared" si="17"/>
        <v>906704000</v>
      </c>
      <c r="AR34" s="10">
        <f t="shared" si="18"/>
        <v>502020021.02376664</v>
      </c>
      <c r="AT34" s="40">
        <f>IF($K34&lt;=$F$15,IF($F$40&lt;&gt;"",$F$40/1000,IF(ISERROR(VLOOKUP($F$3&amp;IF($G$4&lt;&gt;"",$G$4,"")&amp;IF($F$43&lt;&gt;"","_"&amp;$F$43,""),'表3）燃料価格'!$AF$9:$AG$25,2,0)),0,VLOOKUP($I34,'表3）燃料価格'!$A$6:$W$66,VLOOKUP($F$3&amp;IF($G$4&lt;&gt;"",$G$4,"")&amp;IF($F$43&lt;&gt;"","_"&amp;$F$43,""),'表3）燃料価格'!$AF$9:$AG$25,2,0)+VLOOKUP($F$41,'表3）燃料価格'!$AF$28:$AG$29,2,0),0)*IF($F$43="需要地価格",1,$F$8/$F$141))),"")</f>
        <v>8.7713509478505589</v>
      </c>
      <c r="AV34" s="10">
        <f t="shared" si="19"/>
        <v>10516573482.706354</v>
      </c>
      <c r="AW34" s="10">
        <f t="shared" si="20"/>
        <v>5822771754.4934521</v>
      </c>
      <c r="AY34" s="40">
        <f>IF(ISERROR(IF($K34&lt;=$F$15,VLOOKUP($I34,'表4）CO2価格'!$A$7:$E$67,VLOOKUP($F$48,'表4）CO2価格'!$H$10:$I$12,2,0),0)*$F$8/1000,"")),0,IF($K34&lt;=$F$15,VLOOKUP($I34,'表4）CO2価格'!$A$7:$E$67,VLOOKUP($F$48,'表4）CO2価格'!$H$10:$I$12,2,0),0)*$F$8/1000,""))</f>
        <v>6.7195999999999714</v>
      </c>
      <c r="BA34" s="11">
        <f t="shared" si="21"/>
        <v>13282051456.396744</v>
      </c>
      <c r="BB34" s="10">
        <f t="shared" si="22"/>
        <v>7353949857.2621756</v>
      </c>
      <c r="BD34" s="10">
        <f t="shared" si="23"/>
        <v>0</v>
      </c>
      <c r="BE34" s="10">
        <f t="shared" si="24"/>
        <v>0</v>
      </c>
      <c r="BG34" s="11">
        <f t="shared" si="25"/>
        <v>0</v>
      </c>
      <c r="BH34" s="10">
        <f t="shared" si="26"/>
        <v>0</v>
      </c>
      <c r="BJ34" s="7" t="str">
        <f t="shared" si="27"/>
        <v/>
      </c>
      <c r="BK34" s="158" t="str">
        <f t="shared" si="28"/>
        <v/>
      </c>
      <c r="BL34" s="158" t="str">
        <f t="shared" si="29"/>
        <v/>
      </c>
      <c r="BM34" s="10"/>
      <c r="BN34" s="10" t="str">
        <f t="shared" si="30"/>
        <v/>
      </c>
      <c r="BO34" s="10" t="str">
        <f t="shared" si="31"/>
        <v/>
      </c>
      <c r="BQ34" s="10">
        <f t="shared" si="32"/>
        <v>2796192000</v>
      </c>
      <c r="BR34" s="10">
        <f t="shared" si="33"/>
        <v>1548183714.4497964</v>
      </c>
    </row>
    <row r="35" spans="3:70" x14ac:dyDescent="0.15">
      <c r="D35" s="84" t="s">
        <v>122</v>
      </c>
      <c r="F35" s="475">
        <v>2.2000000000000002</v>
      </c>
      <c r="G35" s="84" t="s">
        <v>638</v>
      </c>
      <c r="I35" s="38">
        <f t="shared" si="34"/>
        <v>2050</v>
      </c>
      <c r="J35" s="39"/>
      <c r="K35" s="39">
        <f t="shared" si="35"/>
        <v>21</v>
      </c>
      <c r="L35" s="39"/>
      <c r="M35" s="40">
        <f t="shared" si="0"/>
        <v>0.5375492759090631</v>
      </c>
      <c r="N35" s="39"/>
      <c r="O35" s="72">
        <f t="shared" si="36"/>
        <v>1.9073486328125E-6</v>
      </c>
      <c r="P35" s="41" t="str">
        <f t="shared" si="1"/>
        <v>-</v>
      </c>
      <c r="Q35" s="39"/>
      <c r="R35" s="72">
        <f t="shared" si="37"/>
        <v>7600000000</v>
      </c>
      <c r="S35" s="39"/>
      <c r="T35" s="72">
        <f t="shared" si="2"/>
        <v>7600000000</v>
      </c>
      <c r="U35" s="39"/>
      <c r="V35" s="72">
        <f t="shared" si="3"/>
        <v>0</v>
      </c>
      <c r="W35" s="72">
        <f t="shared" si="4"/>
        <v>0</v>
      </c>
      <c r="X35" s="39"/>
      <c r="Y35" s="72">
        <f t="shared" si="5"/>
        <v>106400000</v>
      </c>
      <c r="Z35" s="72">
        <f t="shared" si="6"/>
        <v>57195242.956724316</v>
      </c>
      <c r="AA35" s="39"/>
      <c r="AB35" s="72">
        <f t="shared" si="7"/>
        <v>0</v>
      </c>
      <c r="AC35" s="72">
        <f t="shared" si="8"/>
        <v>0</v>
      </c>
      <c r="AD35" s="39"/>
      <c r="AE35" s="72">
        <f t="shared" si="9"/>
        <v>0</v>
      </c>
      <c r="AF35" s="72">
        <f t="shared" si="10"/>
        <v>0</v>
      </c>
      <c r="AG35" s="39"/>
      <c r="AH35" s="72">
        <f t="shared" si="11"/>
        <v>440000000.00000006</v>
      </c>
      <c r="AI35" s="72">
        <f t="shared" si="12"/>
        <v>236521681.39998779</v>
      </c>
      <c r="AJ35" s="39"/>
      <c r="AK35" s="72">
        <f t="shared" si="13"/>
        <v>3648000000</v>
      </c>
      <c r="AL35" s="72">
        <f t="shared" si="14"/>
        <v>1960979758.5162621</v>
      </c>
      <c r="AM35" s="39"/>
      <c r="AN35" s="72">
        <f t="shared" si="15"/>
        <v>3344000000</v>
      </c>
      <c r="AO35" s="72">
        <f t="shared" si="16"/>
        <v>1797564778.6399069</v>
      </c>
      <c r="AP35" s="39"/>
      <c r="AQ35" s="72">
        <f t="shared" si="17"/>
        <v>906704000</v>
      </c>
      <c r="AR35" s="72">
        <f t="shared" si="18"/>
        <v>487398078.66385114</v>
      </c>
      <c r="AS35" s="39"/>
      <c r="AT35" s="40">
        <f>IF($K35&lt;=$F$15,IF($F$40&lt;&gt;"",$F$40/1000,IF(ISERROR(VLOOKUP($F$3&amp;IF($G$4&lt;&gt;"",$G$4,"")&amp;IF($F$43&lt;&gt;"","_"&amp;$F$43,""),'表3）燃料価格'!$AF$9:$AG$25,2,0)),0,VLOOKUP($I35,'表3）燃料価格'!$A$6:$W$66,VLOOKUP($F$3&amp;IF($G$4&lt;&gt;"",$G$4,"")&amp;IF($F$43&lt;&gt;"","_"&amp;$F$43,""),'表3）燃料価格'!$AF$9:$AG$25,2,0)+VLOOKUP($F$41,'表3）燃料価格'!$AF$28:$AG$29,2,0),0)*IF($F$43="需要地価格",1,$F$8/$F$141))),"")</f>
        <v>8.7610520623557271</v>
      </c>
      <c r="AU35" s="39"/>
      <c r="AV35" s="72">
        <f t="shared" si="19"/>
        <v>10506518199.332825</v>
      </c>
      <c r="AW35" s="72">
        <f t="shared" si="20"/>
        <v>5647771250.3767538</v>
      </c>
      <c r="AX35" s="39"/>
      <c r="AY35" s="40">
        <f>IF(ISERROR(IF($K35&lt;=$F$15,VLOOKUP($I35,'表4）CO2価格'!$A$7:$E$67,VLOOKUP($F$48,'表4）CO2価格'!$H$10:$I$12,2,0),0)*$F$8/1000,"")),0,IF($K35&lt;=$F$15,VLOOKUP($I35,'表4）CO2価格'!$A$7:$E$67,VLOOKUP($F$48,'表4）CO2価格'!$H$10:$I$12,2,0),0)*$F$8/1000,""))</f>
        <v>6.8479999999999999</v>
      </c>
      <c r="AZ35" s="39"/>
      <c r="BA35" s="42">
        <f t="shared" si="21"/>
        <v>13535848617.983999</v>
      </c>
      <c r="BB35" s="72">
        <f t="shared" si="22"/>
        <v>7276185623.4119911</v>
      </c>
      <c r="BC35" s="39"/>
      <c r="BD35" s="72">
        <f t="shared" si="23"/>
        <v>0</v>
      </c>
      <c r="BE35" s="72">
        <f t="shared" si="24"/>
        <v>0</v>
      </c>
      <c r="BF35" s="39"/>
      <c r="BG35" s="42">
        <f t="shared" si="25"/>
        <v>0</v>
      </c>
      <c r="BH35" s="72">
        <f t="shared" si="26"/>
        <v>0</v>
      </c>
      <c r="BI35" s="39"/>
      <c r="BJ35" s="40" t="str">
        <f t="shared" si="27"/>
        <v/>
      </c>
      <c r="BK35" s="157" t="str">
        <f t="shared" si="28"/>
        <v/>
      </c>
      <c r="BL35" s="157" t="str">
        <f t="shared" si="29"/>
        <v/>
      </c>
      <c r="BM35" s="72"/>
      <c r="BN35" s="72" t="str">
        <f t="shared" si="30"/>
        <v/>
      </c>
      <c r="BO35" s="72" t="str">
        <f t="shared" si="31"/>
        <v/>
      </c>
      <c r="BP35" s="39"/>
      <c r="BQ35" s="72">
        <f t="shared" si="32"/>
        <v>2796192000</v>
      </c>
      <c r="BR35" s="72">
        <f t="shared" si="33"/>
        <v>1503090984.902715</v>
      </c>
    </row>
    <row r="36" spans="3:70" x14ac:dyDescent="0.15">
      <c r="D36" s="84" t="s">
        <v>639</v>
      </c>
      <c r="F36" s="480">
        <v>12.2</v>
      </c>
      <c r="G36" s="84" t="s">
        <v>640</v>
      </c>
      <c r="I36" s="457">
        <f t="shared" si="34"/>
        <v>2051</v>
      </c>
      <c r="K36" s="71">
        <f t="shared" si="35"/>
        <v>22</v>
      </c>
      <c r="M36" s="7">
        <f t="shared" si="0"/>
        <v>0.52189250088258554</v>
      </c>
      <c r="O36" s="10">
        <f t="shared" si="36"/>
        <v>1.9073486328125E-6</v>
      </c>
      <c r="P36" s="29" t="str">
        <f t="shared" si="1"/>
        <v>-</v>
      </c>
      <c r="R36" s="10">
        <f t="shared" si="37"/>
        <v>7600000000</v>
      </c>
      <c r="T36" s="10">
        <f t="shared" si="2"/>
        <v>7600000000</v>
      </c>
      <c r="V36" s="10">
        <f t="shared" si="3"/>
        <v>0</v>
      </c>
      <c r="W36" s="10">
        <f t="shared" si="4"/>
        <v>0</v>
      </c>
      <c r="Y36" s="10">
        <f t="shared" si="5"/>
        <v>106400000</v>
      </c>
      <c r="Z36" s="10">
        <f t="shared" si="6"/>
        <v>55529362.093907103</v>
      </c>
      <c r="AB36" s="10">
        <f t="shared" si="7"/>
        <v>0</v>
      </c>
      <c r="AC36" s="10">
        <f t="shared" si="8"/>
        <v>0</v>
      </c>
      <c r="AE36" s="10">
        <f t="shared" si="9"/>
        <v>0</v>
      </c>
      <c r="AF36" s="10">
        <f t="shared" si="10"/>
        <v>0</v>
      </c>
      <c r="AH36" s="10">
        <f t="shared" si="11"/>
        <v>440000000.00000006</v>
      </c>
      <c r="AI36" s="10">
        <f t="shared" si="12"/>
        <v>229632700.38833767</v>
      </c>
      <c r="AK36" s="10">
        <f t="shared" si="13"/>
        <v>3648000000</v>
      </c>
      <c r="AL36" s="10">
        <f t="shared" si="14"/>
        <v>1903863843.219672</v>
      </c>
      <c r="AN36" s="10">
        <f t="shared" si="15"/>
        <v>3344000000</v>
      </c>
      <c r="AO36" s="10">
        <f t="shared" si="16"/>
        <v>1745208522.9513659</v>
      </c>
      <c r="AQ36" s="10">
        <f t="shared" si="17"/>
        <v>906704000</v>
      </c>
      <c r="AR36" s="10">
        <f t="shared" si="18"/>
        <v>473202018.12024385</v>
      </c>
      <c r="AT36" s="40">
        <f>IF($K36&lt;=$F$15,IF($F$40&lt;&gt;"",$F$40/1000,IF(ISERROR(VLOOKUP($F$3&amp;IF($G$4&lt;&gt;"",$G$4,"")&amp;IF($F$43&lt;&gt;"","_"&amp;$F$43,""),'表3）燃料価格'!$AF$9:$AG$25,2,0)),0,VLOOKUP($I36,'表3）燃料価格'!$A$6:$W$66,VLOOKUP($F$3&amp;IF($G$4&lt;&gt;"",$G$4,"")&amp;IF($F$43&lt;&gt;"","_"&amp;$F$43,""),'表3）燃料価格'!$AF$9:$AG$25,2,0)+VLOOKUP($F$41,'表3）燃料価格'!$AF$28:$AG$29,2,0),0)*IF($F$43="需要地価格",1,$F$8/$F$141))),"")</f>
        <v>8.7510353739092555</v>
      </c>
      <c r="AV36" s="10">
        <f t="shared" si="19"/>
        <v>10496738438.130102</v>
      </c>
      <c r="AW36" s="10">
        <f t="shared" si="20"/>
        <v>5478169074.5860844</v>
      </c>
      <c r="AY36" s="40">
        <f>IF(ISERROR(IF($K36&lt;=$F$15,VLOOKUP($I36,'表4）CO2価格'!$A$7:$E$67,VLOOKUP($F$48,'表4）CO2価格'!$H$10:$I$12,2,0),0)*$F$8/1000,"")),0,IF($K36&lt;=$F$15,VLOOKUP($I36,'表4）CO2価格'!$A$7:$E$67,VLOOKUP($F$48,'表4）CO2価格'!$H$10:$I$12,2,0),0)*$F$8/1000,""))</f>
        <v>7.0184806169104448</v>
      </c>
      <c r="BA36" s="11">
        <f t="shared" si="21"/>
        <v>13872822891.173296</v>
      </c>
      <c r="BB36" s="10">
        <f t="shared" si="22"/>
        <v>7240122232.9756126</v>
      </c>
      <c r="BD36" s="10">
        <f t="shared" si="23"/>
        <v>0</v>
      </c>
      <c r="BE36" s="10">
        <f t="shared" si="24"/>
        <v>0</v>
      </c>
      <c r="BG36" s="11">
        <f t="shared" si="25"/>
        <v>0</v>
      </c>
      <c r="BH36" s="10">
        <f t="shared" si="26"/>
        <v>0</v>
      </c>
      <c r="BJ36" s="7" t="str">
        <f t="shared" si="27"/>
        <v/>
      </c>
      <c r="BK36" s="158" t="str">
        <f t="shared" si="28"/>
        <v/>
      </c>
      <c r="BL36" s="158" t="str">
        <f t="shared" si="29"/>
        <v/>
      </c>
      <c r="BM36" s="10"/>
      <c r="BN36" s="10" t="str">
        <f t="shared" si="30"/>
        <v/>
      </c>
      <c r="BO36" s="10" t="str">
        <f t="shared" si="31"/>
        <v/>
      </c>
      <c r="BQ36" s="10">
        <f t="shared" si="32"/>
        <v>2796192000</v>
      </c>
      <c r="BR36" s="10">
        <f t="shared" si="33"/>
        <v>1459311635.8278787</v>
      </c>
    </row>
    <row r="37" spans="3:70" x14ac:dyDescent="0.15">
      <c r="I37" s="38">
        <f t="shared" si="34"/>
        <v>2052</v>
      </c>
      <c r="J37" s="39"/>
      <c r="K37" s="39">
        <f t="shared" si="35"/>
        <v>23</v>
      </c>
      <c r="L37" s="39"/>
      <c r="M37" s="40">
        <f t="shared" si="0"/>
        <v>0.50669174842969467</v>
      </c>
      <c r="N37" s="39"/>
      <c r="O37" s="72">
        <f t="shared" si="36"/>
        <v>1.9073486328125E-6</v>
      </c>
      <c r="P37" s="41" t="str">
        <f t="shared" si="1"/>
        <v>-</v>
      </c>
      <c r="Q37" s="39"/>
      <c r="R37" s="72">
        <f t="shared" si="37"/>
        <v>7600000000</v>
      </c>
      <c r="S37" s="39"/>
      <c r="T37" s="72">
        <f t="shared" si="2"/>
        <v>7600000000</v>
      </c>
      <c r="U37" s="39"/>
      <c r="V37" s="72">
        <f t="shared" si="3"/>
        <v>0</v>
      </c>
      <c r="W37" s="72">
        <f t="shared" si="4"/>
        <v>0</v>
      </c>
      <c r="X37" s="39"/>
      <c r="Y37" s="72">
        <f t="shared" si="5"/>
        <v>106400000</v>
      </c>
      <c r="Z37" s="72">
        <f t="shared" si="6"/>
        <v>53912002.032919511</v>
      </c>
      <c r="AA37" s="39"/>
      <c r="AB37" s="72">
        <f t="shared" si="7"/>
        <v>0</v>
      </c>
      <c r="AC37" s="72">
        <f t="shared" si="8"/>
        <v>0</v>
      </c>
      <c r="AD37" s="39"/>
      <c r="AE37" s="72">
        <f t="shared" si="9"/>
        <v>0</v>
      </c>
      <c r="AF37" s="72">
        <f t="shared" si="10"/>
        <v>0</v>
      </c>
      <c r="AG37" s="39"/>
      <c r="AH37" s="72">
        <f t="shared" si="11"/>
        <v>440000000.00000006</v>
      </c>
      <c r="AI37" s="72">
        <f t="shared" si="12"/>
        <v>222944369.30906567</v>
      </c>
      <c r="AJ37" s="39"/>
      <c r="AK37" s="72">
        <f t="shared" si="13"/>
        <v>3648000000</v>
      </c>
      <c r="AL37" s="72">
        <f t="shared" si="14"/>
        <v>1848411498.2715261</v>
      </c>
      <c r="AM37" s="39"/>
      <c r="AN37" s="72">
        <f t="shared" si="15"/>
        <v>3344000000</v>
      </c>
      <c r="AO37" s="72">
        <f t="shared" si="16"/>
        <v>1694377206.748899</v>
      </c>
      <c r="AP37" s="39"/>
      <c r="AQ37" s="72">
        <f t="shared" si="17"/>
        <v>906704000</v>
      </c>
      <c r="AR37" s="72">
        <f t="shared" si="18"/>
        <v>459419435.06819785</v>
      </c>
      <c r="AS37" s="39"/>
      <c r="AT37" s="40">
        <f>IF($K37&lt;=$F$15,IF($F$40&lt;&gt;"",$F$40/1000,IF(ISERROR(VLOOKUP($F$3&amp;IF($G$4&lt;&gt;"",$G$4,"")&amp;IF($F$43&lt;&gt;"","_"&amp;$F$43,""),'表3）燃料価格'!$AF$9:$AG$25,2,0)),0,VLOOKUP($I37,'表3）燃料価格'!$A$6:$W$66,VLOOKUP($F$3&amp;IF($G$4&lt;&gt;"",$G$4,"")&amp;IF($F$43&lt;&gt;"","_"&amp;$F$43,""),'表3）燃料価格'!$AF$9:$AG$25,2,0)+VLOOKUP($F$41,'表3）燃料価格'!$AF$28:$AG$29,2,0),0)*IF($F$43="需要地価格",1,$F$8/$F$141))),"")</f>
        <v>8.7412858292510673</v>
      </c>
      <c r="AU37" s="39"/>
      <c r="AV37" s="72">
        <f t="shared" si="19"/>
        <v>10487219501.896646</v>
      </c>
      <c r="AW37" s="72">
        <f t="shared" si="20"/>
        <v>5313787585.5820036</v>
      </c>
      <c r="AX37" s="39"/>
      <c r="AY37" s="40">
        <f>IF(ISERROR(IF($K37&lt;=$F$15,VLOOKUP($I37,'表4）CO2価格'!$A$7:$E$67,VLOOKUP($F$48,'表4）CO2価格'!$H$10:$I$12,2,0),0)*$F$8/1000,"")),0,IF($K37&lt;=$F$15,VLOOKUP($I37,'表4）CO2価格'!$A$7:$E$67,VLOOKUP($F$48,'表4）CO2価格'!$H$10:$I$12,2,0),0)*$F$8/1000,""))</f>
        <v>7.1500080975609199</v>
      </c>
      <c r="AZ37" s="39"/>
      <c r="BA37" s="42">
        <f t="shared" si="21"/>
        <v>14132801872.947487</v>
      </c>
      <c r="BB37" s="72">
        <f t="shared" si="22"/>
        <v>7160974091.2142258</v>
      </c>
      <c r="BC37" s="39"/>
      <c r="BD37" s="72">
        <f t="shared" si="23"/>
        <v>0</v>
      </c>
      <c r="BE37" s="72">
        <f t="shared" si="24"/>
        <v>0</v>
      </c>
      <c r="BF37" s="39"/>
      <c r="BG37" s="42">
        <f t="shared" si="25"/>
        <v>0</v>
      </c>
      <c r="BH37" s="72">
        <f t="shared" si="26"/>
        <v>0</v>
      </c>
      <c r="BI37" s="39"/>
      <c r="BJ37" s="40" t="str">
        <f t="shared" si="27"/>
        <v/>
      </c>
      <c r="BK37" s="157" t="str">
        <f t="shared" si="28"/>
        <v/>
      </c>
      <c r="BL37" s="157" t="str">
        <f t="shared" si="29"/>
        <v/>
      </c>
      <c r="BM37" s="72"/>
      <c r="BN37" s="72" t="str">
        <f t="shared" si="30"/>
        <v/>
      </c>
      <c r="BO37" s="72" t="str">
        <f t="shared" si="31"/>
        <v/>
      </c>
      <c r="BP37" s="39"/>
      <c r="BQ37" s="72">
        <f t="shared" si="32"/>
        <v>2796192000</v>
      </c>
      <c r="BR37" s="72">
        <f t="shared" si="33"/>
        <v>1416807413.4251249</v>
      </c>
    </row>
    <row r="38" spans="3:70" x14ac:dyDescent="0.15">
      <c r="C38" s="4" t="s">
        <v>570</v>
      </c>
      <c r="D38" s="100"/>
      <c r="E38" s="100"/>
      <c r="F38" s="4"/>
      <c r="G38" s="100"/>
      <c r="I38" s="457">
        <f t="shared" si="34"/>
        <v>2053</v>
      </c>
      <c r="K38" s="71">
        <f t="shared" si="35"/>
        <v>24</v>
      </c>
      <c r="M38" s="7">
        <f t="shared" si="0"/>
        <v>0.49193373633950943</v>
      </c>
      <c r="O38" s="10">
        <f t="shared" si="36"/>
        <v>1.9073486328125E-6</v>
      </c>
      <c r="P38" s="29" t="str">
        <f t="shared" si="1"/>
        <v>-</v>
      </c>
      <c r="R38" s="10">
        <f t="shared" si="37"/>
        <v>7600000000</v>
      </c>
      <c r="T38" s="10">
        <f t="shared" si="2"/>
        <v>7600000000</v>
      </c>
      <c r="V38" s="10">
        <f t="shared" si="3"/>
        <v>0</v>
      </c>
      <c r="W38" s="10">
        <f t="shared" si="4"/>
        <v>0</v>
      </c>
      <c r="Y38" s="10">
        <f t="shared" si="5"/>
        <v>106400000</v>
      </c>
      <c r="Z38" s="10">
        <f t="shared" si="6"/>
        <v>52341749.546523802</v>
      </c>
      <c r="AB38" s="10">
        <f t="shared" si="7"/>
        <v>0</v>
      </c>
      <c r="AC38" s="10">
        <f t="shared" si="8"/>
        <v>0</v>
      </c>
      <c r="AE38" s="10">
        <f t="shared" si="9"/>
        <v>0</v>
      </c>
      <c r="AF38" s="10">
        <f t="shared" si="10"/>
        <v>0</v>
      </c>
      <c r="AH38" s="10">
        <f t="shared" si="11"/>
        <v>440000000.00000006</v>
      </c>
      <c r="AI38" s="10">
        <f t="shared" si="12"/>
        <v>216450843.98938417</v>
      </c>
      <c r="AK38" s="10">
        <f t="shared" si="13"/>
        <v>3648000000</v>
      </c>
      <c r="AL38" s="10">
        <f t="shared" si="14"/>
        <v>1794574270.1665304</v>
      </c>
      <c r="AN38" s="10">
        <f t="shared" si="15"/>
        <v>3344000000</v>
      </c>
      <c r="AO38" s="10">
        <f t="shared" si="16"/>
        <v>1645026414.3193195</v>
      </c>
      <c r="AQ38" s="10">
        <f t="shared" si="17"/>
        <v>906704000</v>
      </c>
      <c r="AR38" s="10">
        <f t="shared" si="18"/>
        <v>446038286.47397858</v>
      </c>
      <c r="AT38" s="40">
        <f>IF($K38&lt;=$F$15,IF($F$40&lt;&gt;"",$F$40/1000,IF(ISERROR(VLOOKUP($F$3&amp;IF($G$4&lt;&gt;"",$G$4,"")&amp;IF($F$43&lt;&gt;"","_"&amp;$F$43,""),'表3）燃料価格'!$AF$9:$AG$25,2,0)),0,VLOOKUP($I38,'表3）燃料価格'!$A$6:$W$66,VLOOKUP($F$3&amp;IF($G$4&lt;&gt;"",$G$4,"")&amp;IF($F$43&lt;&gt;"","_"&amp;$F$43,""),'表3）燃料価格'!$AF$9:$AG$25,2,0)+VLOOKUP($F$41,'表3）燃料価格'!$AF$28:$AG$29,2,0),0)*IF($F$43="需要地価格",1,$F$8/$F$141))),"")</f>
        <v>8.7317895483771704</v>
      </c>
      <c r="AV38" s="10">
        <f t="shared" si="19"/>
        <v>10477947838.93568</v>
      </c>
      <c r="AW38" s="10">
        <f t="shared" si="20"/>
        <v>5154456029.5781174</v>
      </c>
      <c r="AY38" s="40">
        <f>IF(ISERROR(IF($K38&lt;=$F$15,VLOOKUP($I38,'表4）CO2価格'!$A$7:$E$67,VLOOKUP($F$48,'表4）CO2価格'!$H$10:$I$12,2,0),0)*$F$8/1000,"")),0,IF($K38&lt;=$F$15,VLOOKUP($I38,'表4）CO2価格'!$A$7:$E$67,VLOOKUP($F$48,'表4）CO2価格'!$H$10:$I$12,2,0),0)*$F$8/1000,""))</f>
        <v>7.2814714966103056</v>
      </c>
      <c r="BA38" s="11">
        <f t="shared" si="21"/>
        <v>14392654190.169756</v>
      </c>
      <c r="BB38" s="10">
        <f t="shared" si="22"/>
        <v>7080232151.6127043</v>
      </c>
      <c r="BD38" s="10">
        <f t="shared" si="23"/>
        <v>0</v>
      </c>
      <c r="BE38" s="10">
        <f t="shared" si="24"/>
        <v>0</v>
      </c>
      <c r="BG38" s="11">
        <f t="shared" si="25"/>
        <v>0</v>
      </c>
      <c r="BH38" s="10">
        <f t="shared" si="26"/>
        <v>0</v>
      </c>
      <c r="BJ38" s="7" t="str">
        <f t="shared" si="27"/>
        <v/>
      </c>
      <c r="BK38" s="158" t="str">
        <f t="shared" si="28"/>
        <v/>
      </c>
      <c r="BL38" s="158" t="str">
        <f t="shared" si="29"/>
        <v/>
      </c>
      <c r="BM38" s="10"/>
      <c r="BN38" s="10" t="str">
        <f t="shared" si="30"/>
        <v/>
      </c>
      <c r="BO38" s="10" t="str">
        <f t="shared" si="31"/>
        <v/>
      </c>
      <c r="BQ38" s="10">
        <f t="shared" si="32"/>
        <v>2796192000</v>
      </c>
      <c r="BR38" s="10">
        <f t="shared" si="33"/>
        <v>1375541178.0826457</v>
      </c>
    </row>
    <row r="39" spans="3:70" x14ac:dyDescent="0.15">
      <c r="I39" s="38">
        <f t="shared" si="34"/>
        <v>2054</v>
      </c>
      <c r="J39" s="39"/>
      <c r="K39" s="39">
        <f t="shared" si="35"/>
        <v>25</v>
      </c>
      <c r="L39" s="39"/>
      <c r="M39" s="40">
        <f t="shared" si="0"/>
        <v>0.47760556926165965</v>
      </c>
      <c r="N39" s="39"/>
      <c r="O39" s="72">
        <f t="shared" si="36"/>
        <v>1.9073486328125E-6</v>
      </c>
      <c r="P39" s="41" t="str">
        <f t="shared" si="1"/>
        <v>-</v>
      </c>
      <c r="Q39" s="39"/>
      <c r="R39" s="72">
        <f t="shared" si="37"/>
        <v>7600000000</v>
      </c>
      <c r="S39" s="39"/>
      <c r="T39" s="72">
        <f t="shared" si="2"/>
        <v>7600000000</v>
      </c>
      <c r="U39" s="39"/>
      <c r="V39" s="72">
        <f t="shared" si="3"/>
        <v>0</v>
      </c>
      <c r="W39" s="72">
        <f t="shared" si="4"/>
        <v>0</v>
      </c>
      <c r="X39" s="39"/>
      <c r="Y39" s="72">
        <f t="shared" si="5"/>
        <v>106400000</v>
      </c>
      <c r="Z39" s="72">
        <f t="shared" si="6"/>
        <v>50817232.569440588</v>
      </c>
      <c r="AA39" s="39"/>
      <c r="AB39" s="72">
        <f t="shared" si="7"/>
        <v>0</v>
      </c>
      <c r="AC39" s="72">
        <f t="shared" si="8"/>
        <v>0</v>
      </c>
      <c r="AD39" s="39"/>
      <c r="AE39" s="72">
        <f t="shared" si="9"/>
        <v>0</v>
      </c>
      <c r="AF39" s="72">
        <f t="shared" si="10"/>
        <v>0</v>
      </c>
      <c r="AG39" s="39"/>
      <c r="AH39" s="72">
        <f t="shared" si="11"/>
        <v>440000000.00000006</v>
      </c>
      <c r="AI39" s="72">
        <f t="shared" si="12"/>
        <v>210146450.47513026</v>
      </c>
      <c r="AJ39" s="39"/>
      <c r="AK39" s="72">
        <f t="shared" si="13"/>
        <v>3648000000</v>
      </c>
      <c r="AL39" s="72">
        <f t="shared" si="14"/>
        <v>1742305116.6665344</v>
      </c>
      <c r="AM39" s="39"/>
      <c r="AN39" s="72">
        <f t="shared" si="15"/>
        <v>3344000000</v>
      </c>
      <c r="AO39" s="72">
        <f t="shared" si="16"/>
        <v>1597113023.6109898</v>
      </c>
      <c r="AP39" s="39"/>
      <c r="AQ39" s="72">
        <f t="shared" si="17"/>
        <v>906704000</v>
      </c>
      <c r="AR39" s="72">
        <f t="shared" si="18"/>
        <v>433046880.07182384</v>
      </c>
      <c r="AS39" s="39"/>
      <c r="AT39" s="40">
        <f>IF($K39&lt;=$F$15,IF($F$40&lt;&gt;"",$F$40/1000,IF(ISERROR(VLOOKUP($F$3&amp;IF($G$4&lt;&gt;"",$G$4,"")&amp;IF($F$43&lt;&gt;"","_"&amp;$F$43,""),'表3）燃料価格'!$AF$9:$AG$25,2,0)),0,VLOOKUP($I39,'表3）燃料価格'!$A$6:$W$66,VLOOKUP($F$3&amp;IF($G$4&lt;&gt;"",$G$4,"")&amp;IF($F$43&lt;&gt;"","_"&amp;$F$43,""),'表3）燃料価格'!$AF$9:$AG$25,2,0)+VLOOKUP($F$41,'表3）燃料価格'!$AF$28:$AG$29,2,0),0)*IF($F$43="需要地価格",1,$F$8/$F$141))),"")</f>
        <v>8.7225337056954277</v>
      </c>
      <c r="AU39" s="39"/>
      <c r="AV39" s="72">
        <f t="shared" si="19"/>
        <v>10468910927.022013</v>
      </c>
      <c r="AW39" s="72">
        <f t="shared" si="20"/>
        <v>5000010162.8499575</v>
      </c>
      <c r="AX39" s="39"/>
      <c r="AY39" s="40">
        <f>IF(ISERROR(IF($K39&lt;=$F$15,VLOOKUP($I39,'表4）CO2価格'!$A$7:$E$67,VLOOKUP($F$48,'表4）CO2価格'!$H$10:$I$12,2,0),0)*$F$8/1000,"")),0,IF($K39&lt;=$F$15,VLOOKUP($I39,'表4）CO2価格'!$A$7:$E$67,VLOOKUP($F$48,'表4）CO2価格'!$H$10:$I$12,2,0),0)*$F$8/1000,""))</f>
        <v>7.4128708764708131</v>
      </c>
      <c r="AZ39" s="39"/>
      <c r="BA39" s="42">
        <f t="shared" si="21"/>
        <v>14652379966.204922</v>
      </c>
      <c r="BB39" s="72">
        <f t="shared" si="22"/>
        <v>6998058274.7974386</v>
      </c>
      <c r="BC39" s="39"/>
      <c r="BD39" s="72">
        <f t="shared" si="23"/>
        <v>0</v>
      </c>
      <c r="BE39" s="72">
        <f t="shared" si="24"/>
        <v>0</v>
      </c>
      <c r="BF39" s="39"/>
      <c r="BG39" s="42">
        <f t="shared" si="25"/>
        <v>0</v>
      </c>
      <c r="BH39" s="72">
        <f t="shared" si="26"/>
        <v>0</v>
      </c>
      <c r="BI39" s="39"/>
      <c r="BJ39" s="40" t="str">
        <f t="shared" si="27"/>
        <v/>
      </c>
      <c r="BK39" s="157" t="str">
        <f t="shared" si="28"/>
        <v/>
      </c>
      <c r="BL39" s="157" t="str">
        <f t="shared" si="29"/>
        <v/>
      </c>
      <c r="BM39" s="72"/>
      <c r="BN39" s="72" t="str">
        <f t="shared" si="30"/>
        <v/>
      </c>
      <c r="BO39" s="72" t="str">
        <f t="shared" si="31"/>
        <v/>
      </c>
      <c r="BP39" s="39"/>
      <c r="BQ39" s="72">
        <f t="shared" si="32"/>
        <v>2796192000</v>
      </c>
      <c r="BR39" s="72">
        <f t="shared" si="33"/>
        <v>1335476871.9248986</v>
      </c>
    </row>
    <row r="40" spans="3:70" x14ac:dyDescent="0.15">
      <c r="D40" s="84" t="s">
        <v>124</v>
      </c>
      <c r="F40" s="481"/>
      <c r="G40" s="160" t="s">
        <v>571</v>
      </c>
      <c r="I40" s="457">
        <f t="shared" si="34"/>
        <v>2055</v>
      </c>
      <c r="K40" s="71">
        <f t="shared" si="35"/>
        <v>26</v>
      </c>
      <c r="M40" s="7">
        <f t="shared" si="0"/>
        <v>0.46369472743850448</v>
      </c>
      <c r="O40" s="10">
        <f t="shared" si="36"/>
        <v>1.9073486328125E-6</v>
      </c>
      <c r="P40" s="29" t="str">
        <f t="shared" si="1"/>
        <v>-</v>
      </c>
      <c r="R40" s="10">
        <f t="shared" si="37"/>
        <v>7600000000</v>
      </c>
      <c r="T40" s="10">
        <f t="shared" si="2"/>
        <v>7600000000</v>
      </c>
      <c r="V40" s="10">
        <f t="shared" si="3"/>
        <v>0</v>
      </c>
      <c r="W40" s="10">
        <f t="shared" si="4"/>
        <v>0</v>
      </c>
      <c r="Y40" s="10">
        <f t="shared" si="5"/>
        <v>106400000</v>
      </c>
      <c r="Z40" s="10">
        <f t="shared" si="6"/>
        <v>49337118.999456875</v>
      </c>
      <c r="AB40" s="10">
        <f t="shared" si="7"/>
        <v>0</v>
      </c>
      <c r="AC40" s="10">
        <f t="shared" si="8"/>
        <v>0</v>
      </c>
      <c r="AE40" s="10">
        <f t="shared" si="9"/>
        <v>0</v>
      </c>
      <c r="AF40" s="10">
        <f t="shared" si="10"/>
        <v>0</v>
      </c>
      <c r="AH40" s="10">
        <f t="shared" si="11"/>
        <v>440000000.00000006</v>
      </c>
      <c r="AI40" s="10">
        <f t="shared" si="12"/>
        <v>204025680.07294199</v>
      </c>
      <c r="AK40" s="10">
        <f t="shared" si="13"/>
        <v>3648000000</v>
      </c>
      <c r="AL40" s="10">
        <f t="shared" si="14"/>
        <v>1691558365.6956644</v>
      </c>
      <c r="AN40" s="10">
        <f t="shared" si="15"/>
        <v>3344000000</v>
      </c>
      <c r="AO40" s="10">
        <f t="shared" si="16"/>
        <v>1550595168.554359</v>
      </c>
      <c r="AQ40" s="10">
        <f t="shared" si="17"/>
        <v>906704000</v>
      </c>
      <c r="AR40" s="10">
        <f t="shared" si="18"/>
        <v>420433864.14740175</v>
      </c>
      <c r="AT40" s="40">
        <f>IF($K40&lt;=$F$15,IF($F$40&lt;&gt;"",$F$40/1000,IF(ISERROR(VLOOKUP($F$3&amp;IF($G$4&lt;&gt;"",$G$4,"")&amp;IF($F$43&lt;&gt;"","_"&amp;$F$43,""),'表3）燃料価格'!$AF$9:$AG$25,2,0)),0,VLOOKUP($I40,'表3）燃料価格'!$A$6:$W$66,VLOOKUP($F$3&amp;IF($G$4&lt;&gt;"",$G$4,"")&amp;IF($F$43&lt;&gt;"","_"&amp;$F$43,""),'表3）燃料価格'!$AF$9:$AG$25,2,0)+VLOOKUP($F$41,'表3）燃料価格'!$AF$28:$AG$29,2,0),0)*IF($F$43="需要地価格",1,$F$8/$F$141))),"")</f>
        <v>8.7135064258582737</v>
      </c>
      <c r="AV40" s="10">
        <f t="shared" si="19"/>
        <v>10460097171.698654</v>
      </c>
      <c r="AW40" s="10">
        <f t="shared" si="20"/>
        <v>4850291907.0110788</v>
      </c>
      <c r="AY40" s="40">
        <f>IF(ISERROR(IF($K40&lt;=$F$15,VLOOKUP($I40,'表4）CO2価格'!$A$7:$E$67,VLOOKUP($F$48,'表4）CO2価格'!$H$10:$I$12,2,0),0)*$F$8/1000,"")),0,IF($K40&lt;=$F$15,VLOOKUP($I40,'表4）CO2価格'!$A$7:$E$67,VLOOKUP($F$48,'表4）CO2価格'!$H$10:$I$12,2,0),0)*$F$8/1000,""))</f>
        <v>7.5442062994635668</v>
      </c>
      <c r="BA40" s="11">
        <f t="shared" si="21"/>
        <v>14911979324.237749</v>
      </c>
      <c r="BB40" s="10">
        <f t="shared" si="22"/>
        <v>6914606188.3210373</v>
      </c>
      <c r="BD40" s="10">
        <f t="shared" si="23"/>
        <v>0</v>
      </c>
      <c r="BE40" s="10">
        <f t="shared" si="24"/>
        <v>0</v>
      </c>
      <c r="BG40" s="11">
        <f t="shared" si="25"/>
        <v>0</v>
      </c>
      <c r="BH40" s="10">
        <f t="shared" si="26"/>
        <v>0</v>
      </c>
      <c r="BJ40" s="7" t="str">
        <f t="shared" si="27"/>
        <v/>
      </c>
      <c r="BK40" s="158" t="str">
        <f t="shared" si="28"/>
        <v/>
      </c>
      <c r="BL40" s="158" t="str">
        <f t="shared" si="29"/>
        <v/>
      </c>
      <c r="BM40" s="10"/>
      <c r="BN40" s="10" t="str">
        <f t="shared" si="30"/>
        <v/>
      </c>
      <c r="BO40" s="10" t="str">
        <f t="shared" si="31"/>
        <v/>
      </c>
      <c r="BQ40" s="10">
        <f t="shared" si="32"/>
        <v>2796192000</v>
      </c>
      <c r="BR40" s="10">
        <f t="shared" si="33"/>
        <v>1296579487.3057268</v>
      </c>
    </row>
    <row r="41" spans="3:70" x14ac:dyDescent="0.15">
      <c r="D41" s="84" t="s">
        <v>572</v>
      </c>
      <c r="F41" s="474" t="str">
        <f>まとめ!B4</f>
        <v>WEO2020　STEPS</v>
      </c>
      <c r="I41" s="38">
        <f t="shared" si="34"/>
        <v>2056</v>
      </c>
      <c r="J41" s="39"/>
      <c r="K41" s="39">
        <f t="shared" si="35"/>
        <v>27</v>
      </c>
      <c r="L41" s="39"/>
      <c r="M41" s="40">
        <f t="shared" si="0"/>
        <v>0.45018905576553836</v>
      </c>
      <c r="N41" s="39"/>
      <c r="O41" s="72">
        <f t="shared" si="36"/>
        <v>1.9073486328125E-6</v>
      </c>
      <c r="P41" s="41" t="str">
        <f t="shared" si="1"/>
        <v>-</v>
      </c>
      <c r="Q41" s="39"/>
      <c r="R41" s="72">
        <f t="shared" si="37"/>
        <v>7600000000</v>
      </c>
      <c r="S41" s="39"/>
      <c r="T41" s="72">
        <f t="shared" si="2"/>
        <v>7600000000</v>
      </c>
      <c r="U41" s="39"/>
      <c r="V41" s="72">
        <f t="shared" si="3"/>
        <v>0</v>
      </c>
      <c r="W41" s="72">
        <f t="shared" si="4"/>
        <v>0</v>
      </c>
      <c r="X41" s="39"/>
      <c r="Y41" s="72">
        <f t="shared" si="5"/>
        <v>106400000</v>
      </c>
      <c r="Z41" s="72">
        <f t="shared" si="6"/>
        <v>47900115.533453278</v>
      </c>
      <c r="AA41" s="39"/>
      <c r="AB41" s="72">
        <f t="shared" si="7"/>
        <v>0</v>
      </c>
      <c r="AC41" s="72">
        <f t="shared" si="8"/>
        <v>0</v>
      </c>
      <c r="AD41" s="39"/>
      <c r="AE41" s="72">
        <f t="shared" si="9"/>
        <v>0</v>
      </c>
      <c r="AF41" s="72">
        <f t="shared" si="10"/>
        <v>0</v>
      </c>
      <c r="AG41" s="39"/>
      <c r="AH41" s="72">
        <f t="shared" si="11"/>
        <v>440000000.00000006</v>
      </c>
      <c r="AI41" s="72">
        <f t="shared" si="12"/>
        <v>198083184.53683689</v>
      </c>
      <c r="AJ41" s="39"/>
      <c r="AK41" s="72">
        <f t="shared" si="13"/>
        <v>3648000000</v>
      </c>
      <c r="AL41" s="72">
        <f t="shared" si="14"/>
        <v>1642289675.4326839</v>
      </c>
      <c r="AM41" s="39"/>
      <c r="AN41" s="72">
        <f t="shared" si="15"/>
        <v>3344000000</v>
      </c>
      <c r="AO41" s="72">
        <f t="shared" si="16"/>
        <v>1505432202.4799602</v>
      </c>
      <c r="AP41" s="39"/>
      <c r="AQ41" s="72">
        <f t="shared" si="17"/>
        <v>906704000</v>
      </c>
      <c r="AR41" s="72">
        <f t="shared" si="18"/>
        <v>408188217.6188367</v>
      </c>
      <c r="AS41" s="39"/>
      <c r="AT41" s="40">
        <f>IF($K41&lt;=$F$15,IF($F$40&lt;&gt;"",$F$40/1000,IF(ISERROR(VLOOKUP($F$3&amp;IF($G$4&lt;&gt;"",$G$4,"")&amp;IF($F$43&lt;&gt;"","_"&amp;$F$43,""),'表3）燃料価格'!$AF$9:$AG$25,2,0)),0,VLOOKUP($I41,'表3）燃料価格'!$A$6:$W$66,VLOOKUP($F$3&amp;IF($G$4&lt;&gt;"",$G$4,"")&amp;IF($F$43&lt;&gt;"","_"&amp;$F$43,""),'表3）燃料価格'!$AF$9:$AG$25,2,0)+VLOOKUP($F$41,'表3）燃料価格'!$AF$28:$AG$29,2,0),0)*IF($F$43="需要地価格",1,$F$8/$F$141))),"")</f>
        <v>8.7046966921495237</v>
      </c>
      <c r="AU41" s="39"/>
      <c r="AV41" s="72">
        <f t="shared" si="19"/>
        <v>10451495816.83057</v>
      </c>
      <c r="AW41" s="72">
        <f t="shared" si="20"/>
        <v>4705149033.1164284</v>
      </c>
      <c r="AX41" s="39"/>
      <c r="AY41" s="40">
        <f>IF(ISERROR(IF($K41&lt;=$F$15,VLOOKUP($I41,'表4）CO2価格'!$A$7:$E$67,VLOOKUP($F$48,'表4）CO2価格'!$H$10:$I$12,2,0),0)*$F$8/1000,"")),0,IF($K41&lt;=$F$15,VLOOKUP($I41,'表4）CO2価格'!$A$7:$E$67,VLOOKUP($F$48,'表4）CO2価格'!$H$10:$I$12,2,0),0)*$F$8/1000,""))</f>
        <v>7.675477827818213</v>
      </c>
      <c r="AZ41" s="39"/>
      <c r="BA41" s="42">
        <f t="shared" si="21"/>
        <v>15171452387.272196</v>
      </c>
      <c r="BB41" s="72">
        <f t="shared" si="22"/>
        <v>6830021824.817893</v>
      </c>
      <c r="BC41" s="39"/>
      <c r="BD41" s="72">
        <f t="shared" si="23"/>
        <v>0</v>
      </c>
      <c r="BE41" s="72">
        <f t="shared" si="24"/>
        <v>0</v>
      </c>
      <c r="BF41" s="39"/>
      <c r="BG41" s="42">
        <f t="shared" si="25"/>
        <v>0</v>
      </c>
      <c r="BH41" s="72">
        <f t="shared" si="26"/>
        <v>0</v>
      </c>
      <c r="BI41" s="39"/>
      <c r="BJ41" s="40" t="str">
        <f t="shared" si="27"/>
        <v/>
      </c>
      <c r="BK41" s="157" t="str">
        <f t="shared" si="28"/>
        <v/>
      </c>
      <c r="BL41" s="157" t="str">
        <f t="shared" si="29"/>
        <v/>
      </c>
      <c r="BM41" s="72"/>
      <c r="BN41" s="72" t="str">
        <f t="shared" si="30"/>
        <v/>
      </c>
      <c r="BO41" s="72" t="str">
        <f t="shared" si="31"/>
        <v/>
      </c>
      <c r="BP41" s="39"/>
      <c r="BQ41" s="72">
        <f t="shared" si="32"/>
        <v>2796192000</v>
      </c>
      <c r="BR41" s="72">
        <f t="shared" si="33"/>
        <v>1258815036.2191522</v>
      </c>
    </row>
    <row r="42" spans="3:70" x14ac:dyDescent="0.15">
      <c r="D42" s="84" t="s">
        <v>573</v>
      </c>
      <c r="F42" s="481">
        <v>2000</v>
      </c>
      <c r="G42" s="84" t="s">
        <v>574</v>
      </c>
      <c r="I42" s="457">
        <f t="shared" si="34"/>
        <v>2057</v>
      </c>
      <c r="K42" s="71">
        <f t="shared" si="35"/>
        <v>28</v>
      </c>
      <c r="M42" s="7">
        <f t="shared" si="0"/>
        <v>0.4370767531704256</v>
      </c>
      <c r="O42" s="10">
        <f t="shared" si="36"/>
        <v>1.9073486328125E-6</v>
      </c>
      <c r="P42" s="29" t="str">
        <f t="shared" si="1"/>
        <v>-</v>
      </c>
      <c r="R42" s="10">
        <f t="shared" si="37"/>
        <v>7600000000</v>
      </c>
      <c r="T42" s="10">
        <f t="shared" si="2"/>
        <v>7600000000</v>
      </c>
      <c r="V42" s="10">
        <f t="shared" si="3"/>
        <v>0</v>
      </c>
      <c r="W42" s="10">
        <f t="shared" si="4"/>
        <v>0</v>
      </c>
      <c r="Y42" s="10">
        <f t="shared" si="5"/>
        <v>106400000</v>
      </c>
      <c r="Z42" s="10">
        <f t="shared" si="6"/>
        <v>46504966.537333287</v>
      </c>
      <c r="AB42" s="10">
        <f t="shared" si="7"/>
        <v>0</v>
      </c>
      <c r="AC42" s="10">
        <f t="shared" si="8"/>
        <v>0</v>
      </c>
      <c r="AE42" s="10">
        <f t="shared" si="9"/>
        <v>0</v>
      </c>
      <c r="AF42" s="10">
        <f t="shared" si="10"/>
        <v>0</v>
      </c>
      <c r="AH42" s="10">
        <f t="shared" si="11"/>
        <v>440000000.00000006</v>
      </c>
      <c r="AI42" s="10">
        <f t="shared" si="12"/>
        <v>192313771.39498729</v>
      </c>
      <c r="AK42" s="10">
        <f t="shared" si="13"/>
        <v>3648000000</v>
      </c>
      <c r="AL42" s="10">
        <f t="shared" si="14"/>
        <v>1594455995.5657127</v>
      </c>
      <c r="AN42" s="10">
        <f t="shared" si="15"/>
        <v>3344000000</v>
      </c>
      <c r="AO42" s="10">
        <f t="shared" si="16"/>
        <v>1461584662.6019032</v>
      </c>
      <c r="AQ42" s="10">
        <f t="shared" si="17"/>
        <v>906704000</v>
      </c>
      <c r="AR42" s="10">
        <f t="shared" si="18"/>
        <v>396299240.40663755</v>
      </c>
      <c r="AT42" s="40">
        <f>IF($K42&lt;=$F$15,IF($F$40&lt;&gt;"",$F$40/1000,IF(ISERROR(VLOOKUP($F$3&amp;IF($G$4&lt;&gt;"",$G$4,"")&amp;IF($F$43&lt;&gt;"","_"&amp;$F$43,""),'表3）燃料価格'!$AF$9:$AG$25,2,0)),0,VLOOKUP($I42,'表3）燃料価格'!$A$6:$W$66,VLOOKUP($F$3&amp;IF($G$4&lt;&gt;"",$G$4,"")&amp;IF($F$43&lt;&gt;"","_"&amp;$F$43,""),'表3）燃料価格'!$AF$9:$AG$25,2,0)+VLOOKUP($F$41,'表3）燃料価格'!$AF$28:$AG$29,2,0),0)*IF($F$43="需要地価格",1,$F$8/$F$141))),"")</f>
        <v>8.6960942656524516</v>
      </c>
      <c r="AV42" s="10">
        <f t="shared" si="19"/>
        <v>10443096865.684698</v>
      </c>
      <c r="AW42" s="10">
        <f t="shared" si="20"/>
        <v>4564434871.0977163</v>
      </c>
      <c r="AY42" s="40">
        <f>IF(ISERROR(IF($K42&lt;=$F$15,VLOOKUP($I42,'表4）CO2価格'!$A$7:$E$67,VLOOKUP($F$48,'表4）CO2価格'!$H$10:$I$12,2,0),0)*$F$8/1000,"")),0,IF($K42&lt;=$F$15,VLOOKUP($I42,'表4）CO2価格'!$A$7:$E$67,VLOOKUP($F$48,'表4）CO2価格'!$H$10:$I$12,2,0),0)*$F$8/1000,""))</f>
        <v>7.8066855236744779</v>
      </c>
      <c r="BA42" s="11">
        <f t="shared" si="21"/>
        <v>15430799278.134474</v>
      </c>
      <c r="BB42" s="10">
        <f t="shared" si="22"/>
        <v>6744443647.3115625</v>
      </c>
      <c r="BD42" s="10">
        <f t="shared" si="23"/>
        <v>0</v>
      </c>
      <c r="BE42" s="10">
        <f t="shared" si="24"/>
        <v>0</v>
      </c>
      <c r="BG42" s="11">
        <f t="shared" si="25"/>
        <v>0</v>
      </c>
      <c r="BH42" s="10">
        <f t="shared" si="26"/>
        <v>0</v>
      </c>
      <c r="BJ42" s="7" t="str">
        <f t="shared" si="27"/>
        <v/>
      </c>
      <c r="BK42" s="158" t="str">
        <f t="shared" si="28"/>
        <v/>
      </c>
      <c r="BL42" s="158" t="str">
        <f t="shared" si="29"/>
        <v/>
      </c>
      <c r="BM42" s="10"/>
      <c r="BN42" s="10" t="str">
        <f t="shared" si="30"/>
        <v/>
      </c>
      <c r="BO42" s="10" t="str">
        <f t="shared" si="31"/>
        <v/>
      </c>
      <c r="BQ42" s="10">
        <f t="shared" si="32"/>
        <v>2796192000</v>
      </c>
      <c r="BR42" s="10">
        <f t="shared" si="33"/>
        <v>1222150520.6011188</v>
      </c>
    </row>
    <row r="43" spans="3:70" x14ac:dyDescent="0.15">
      <c r="D43" s="160" t="s">
        <v>256</v>
      </c>
      <c r="F43" s="474"/>
      <c r="I43" s="38">
        <f t="shared" si="34"/>
        <v>2058</v>
      </c>
      <c r="J43" s="39"/>
      <c r="K43" s="39">
        <f t="shared" si="35"/>
        <v>29</v>
      </c>
      <c r="L43" s="39"/>
      <c r="M43" s="40">
        <f t="shared" si="0"/>
        <v>0.42434636230138412</v>
      </c>
      <c r="N43" s="39"/>
      <c r="O43" s="72">
        <f t="shared" si="36"/>
        <v>1.9073486328125E-6</v>
      </c>
      <c r="P43" s="41" t="str">
        <f t="shared" si="1"/>
        <v>-</v>
      </c>
      <c r="Q43" s="39"/>
      <c r="R43" s="72">
        <f t="shared" si="37"/>
        <v>7600000000</v>
      </c>
      <c r="S43" s="39"/>
      <c r="T43" s="72">
        <f t="shared" si="2"/>
        <v>7600000000</v>
      </c>
      <c r="U43" s="39"/>
      <c r="V43" s="72">
        <f t="shared" si="3"/>
        <v>0</v>
      </c>
      <c r="W43" s="72">
        <f t="shared" si="4"/>
        <v>0</v>
      </c>
      <c r="X43" s="39"/>
      <c r="Y43" s="72">
        <f t="shared" si="5"/>
        <v>106400000</v>
      </c>
      <c r="Z43" s="72">
        <f t="shared" si="6"/>
        <v>45150452.948867269</v>
      </c>
      <c r="AA43" s="39"/>
      <c r="AB43" s="72">
        <f t="shared" si="7"/>
        <v>0</v>
      </c>
      <c r="AC43" s="72">
        <f t="shared" si="8"/>
        <v>0</v>
      </c>
      <c r="AD43" s="39"/>
      <c r="AE43" s="72">
        <f t="shared" si="9"/>
        <v>0</v>
      </c>
      <c r="AF43" s="72">
        <f t="shared" si="10"/>
        <v>0</v>
      </c>
      <c r="AG43" s="39"/>
      <c r="AH43" s="72">
        <f t="shared" si="11"/>
        <v>440000000.00000006</v>
      </c>
      <c r="AI43" s="72">
        <f t="shared" si="12"/>
        <v>186712399.41260904</v>
      </c>
      <c r="AJ43" s="39"/>
      <c r="AK43" s="72">
        <f t="shared" si="13"/>
        <v>3648000000</v>
      </c>
      <c r="AL43" s="72">
        <f t="shared" si="14"/>
        <v>1548015529.6754494</v>
      </c>
      <c r="AM43" s="39"/>
      <c r="AN43" s="72">
        <f t="shared" si="15"/>
        <v>3344000000</v>
      </c>
      <c r="AO43" s="72">
        <f t="shared" si="16"/>
        <v>1419014235.5358286</v>
      </c>
      <c r="AP43" s="39"/>
      <c r="AQ43" s="72">
        <f t="shared" si="17"/>
        <v>906704000</v>
      </c>
      <c r="AR43" s="72">
        <f t="shared" si="18"/>
        <v>384756544.08411419</v>
      </c>
      <c r="AS43" s="39"/>
      <c r="AT43" s="40">
        <f>IF($K43&lt;=$F$15,IF($F$40&lt;&gt;"",$F$40/1000,IF(ISERROR(VLOOKUP($F$3&amp;IF($G$4&lt;&gt;"",$G$4,"")&amp;IF($F$43&lt;&gt;"","_"&amp;$F$43,""),'表3）燃料価格'!$AF$9:$AG$25,2,0)),0,VLOOKUP($I43,'表3）燃料価格'!$A$6:$W$66,VLOOKUP($F$3&amp;IF($G$4&lt;&gt;"",$G$4,"")&amp;IF($F$43&lt;&gt;"","_"&amp;$F$43,""),'表3）燃料価格'!$AF$9:$AG$25,2,0)+VLOOKUP($F$41,'表3）燃料価格'!$AF$28:$AG$29,2,0),0)*IF($F$43="需要地価格",1,$F$8/$F$141))),"")</f>
        <v>8.6876896137114592</v>
      </c>
      <c r="AU43" s="39"/>
      <c r="AV43" s="72">
        <f t="shared" si="19"/>
        <v>10434891011.083735</v>
      </c>
      <c r="AW43" s="72">
        <f t="shared" si="20"/>
        <v>4428008041.5647945</v>
      </c>
      <c r="AX43" s="39"/>
      <c r="AY43" s="40">
        <f>IF(ISERROR(IF($K43&lt;=$F$15,VLOOKUP($I43,'表4）CO2価格'!$A$7:$E$67,VLOOKUP($F$48,'表4）CO2価格'!$H$10:$I$12,2,0),0)*$F$8/1000,"")),0,IF($K43&lt;=$F$15,VLOOKUP($I43,'表4）CO2価格'!$A$7:$E$67,VLOOKUP($F$48,'表4）CO2価格'!$H$10:$I$12,2,0),0)*$F$8/1000,""))</f>
        <v>7.9378294490802217</v>
      </c>
      <c r="AZ43" s="39"/>
      <c r="BA43" s="42">
        <f t="shared" si="21"/>
        <v>15690020119.469219</v>
      </c>
      <c r="BB43" s="72">
        <f t="shared" si="22"/>
        <v>6658002962.1322918</v>
      </c>
      <c r="BC43" s="39"/>
      <c r="BD43" s="72">
        <f t="shared" si="23"/>
        <v>0</v>
      </c>
      <c r="BE43" s="72">
        <f t="shared" si="24"/>
        <v>0</v>
      </c>
      <c r="BF43" s="39"/>
      <c r="BG43" s="42">
        <f t="shared" si="25"/>
        <v>0</v>
      </c>
      <c r="BH43" s="72">
        <f t="shared" si="26"/>
        <v>0</v>
      </c>
      <c r="BI43" s="39"/>
      <c r="BJ43" s="40" t="str">
        <f t="shared" si="27"/>
        <v/>
      </c>
      <c r="BK43" s="157" t="str">
        <f t="shared" si="28"/>
        <v/>
      </c>
      <c r="BL43" s="157" t="str">
        <f t="shared" si="29"/>
        <v/>
      </c>
      <c r="BM43" s="72"/>
      <c r="BN43" s="72" t="str">
        <f t="shared" si="30"/>
        <v/>
      </c>
      <c r="BO43" s="72" t="str">
        <f t="shared" si="31"/>
        <v/>
      </c>
      <c r="BP43" s="39"/>
      <c r="BQ43" s="72">
        <f t="shared" si="32"/>
        <v>2796192000</v>
      </c>
      <c r="BR43" s="72">
        <f t="shared" si="33"/>
        <v>1186553903.4962318</v>
      </c>
    </row>
    <row r="44" spans="3:70" x14ac:dyDescent="0.15">
      <c r="I44" s="457">
        <f t="shared" si="34"/>
        <v>2059</v>
      </c>
      <c r="K44" s="71">
        <f t="shared" si="35"/>
        <v>30</v>
      </c>
      <c r="M44" s="7">
        <f t="shared" si="0"/>
        <v>0.41198675951590691</v>
      </c>
      <c r="O44" s="10">
        <f t="shared" si="36"/>
        <v>1.9073486328125E-6</v>
      </c>
      <c r="P44" s="29" t="str">
        <f t="shared" si="1"/>
        <v>-</v>
      </c>
      <c r="R44" s="10">
        <f t="shared" si="37"/>
        <v>7600000000</v>
      </c>
      <c r="T44" s="10">
        <f t="shared" si="2"/>
        <v>7600000000</v>
      </c>
      <c r="V44" s="10">
        <f t="shared" si="3"/>
        <v>0</v>
      </c>
      <c r="W44" s="10">
        <f t="shared" si="4"/>
        <v>0</v>
      </c>
      <c r="Y44" s="10">
        <f t="shared" si="5"/>
        <v>106400000</v>
      </c>
      <c r="Z44" s="10">
        <f t="shared" si="6"/>
        <v>43835391.212492496</v>
      </c>
      <c r="AB44" s="10">
        <f t="shared" si="7"/>
        <v>0</v>
      </c>
      <c r="AC44" s="10">
        <f t="shared" si="8"/>
        <v>0</v>
      </c>
      <c r="AE44" s="10">
        <f t="shared" si="9"/>
        <v>0</v>
      </c>
      <c r="AF44" s="10">
        <f t="shared" si="10"/>
        <v>0</v>
      </c>
      <c r="AH44" s="10">
        <f t="shared" si="11"/>
        <v>440000000.00000006</v>
      </c>
      <c r="AI44" s="10">
        <f t="shared" si="12"/>
        <v>181274174.18699905</v>
      </c>
      <c r="AK44" s="10">
        <f t="shared" si="13"/>
        <v>3648000000</v>
      </c>
      <c r="AL44" s="10">
        <f t="shared" si="14"/>
        <v>1502927698.7140284</v>
      </c>
      <c r="AN44" s="10">
        <f t="shared" si="15"/>
        <v>3344000000</v>
      </c>
      <c r="AO44" s="10">
        <f t="shared" si="16"/>
        <v>1377683723.8211927</v>
      </c>
      <c r="AQ44" s="10">
        <f t="shared" si="17"/>
        <v>906704000</v>
      </c>
      <c r="AR44" s="10">
        <f t="shared" si="18"/>
        <v>373550042.80011088</v>
      </c>
      <c r="AT44" s="40">
        <f>IF($K44&lt;=$F$15,IF($F$40&lt;&gt;"",$F$40/1000,IF(ISERROR(VLOOKUP($F$3&amp;IF($G$4&lt;&gt;"",$G$4,"")&amp;IF($F$43&lt;&gt;"","_"&amp;$F$43,""),'表3）燃料価格'!$AF$9:$AG$25,2,0)),0,VLOOKUP($I44,'表3）燃料価格'!$A$6:$W$66,VLOOKUP($F$3&amp;IF($G$4&lt;&gt;"",$G$4,"")&amp;IF($F$43&lt;&gt;"","_"&amp;$F$43,""),'表3）燃料価格'!$AF$9:$AG$25,2,0)+VLOOKUP($F$41,'表3）燃料価格'!$AF$28:$AG$29,2,0),0)*IF($F$43="需要地価格",1,$F$8/$F$141))),"")</f>
        <v>8.6794738464339325</v>
      </c>
      <c r="AV44" s="10">
        <f t="shared" si="19"/>
        <v>10426869573.409924</v>
      </c>
      <c r="AW44" s="10">
        <f t="shared" si="20"/>
        <v>4295732207.4441614</v>
      </c>
      <c r="AY44" s="40">
        <f>IF(ISERROR(IF($K44&lt;=$F$15,VLOOKUP($I44,'表4）CO2価格'!$A$7:$E$67,VLOOKUP($F$48,'表4）CO2価格'!$H$10:$I$12,2,0),0)*$F$8/1000,"")),0,IF($K44&lt;=$F$15,VLOOKUP($I44,'表4）CO2価格'!$A$7:$E$67,VLOOKUP($F$48,'表4）CO2価格'!$H$10:$I$12,2,0),0)*$F$8/1000,""))</f>
        <v>8.0689096659945534</v>
      </c>
      <c r="BA44" s="11">
        <f t="shared" si="21"/>
        <v>15949115033.745636</v>
      </c>
      <c r="BB44" s="10">
        <f t="shared" si="22"/>
        <v>6570824219.8992987</v>
      </c>
      <c r="BD44" s="10">
        <f t="shared" si="23"/>
        <v>0</v>
      </c>
      <c r="BE44" s="10">
        <f t="shared" si="24"/>
        <v>0</v>
      </c>
      <c r="BG44" s="11">
        <f t="shared" si="25"/>
        <v>0</v>
      </c>
      <c r="BH44" s="10">
        <f t="shared" si="26"/>
        <v>0</v>
      </c>
      <c r="BJ44" s="7" t="str">
        <f t="shared" si="27"/>
        <v/>
      </c>
      <c r="BK44" s="158" t="str">
        <f t="shared" si="28"/>
        <v/>
      </c>
      <c r="BL44" s="158" t="str">
        <f t="shared" si="29"/>
        <v/>
      </c>
      <c r="BM44" s="10"/>
      <c r="BN44" s="10" t="str">
        <f t="shared" si="30"/>
        <v/>
      </c>
      <c r="BO44" s="10" t="str">
        <f t="shared" si="31"/>
        <v/>
      </c>
      <c r="BQ44" s="10">
        <f t="shared" si="32"/>
        <v>2796192000</v>
      </c>
      <c r="BR44" s="10">
        <f t="shared" si="33"/>
        <v>1151994081.0643027</v>
      </c>
    </row>
    <row r="45" spans="3:70" x14ac:dyDescent="0.15">
      <c r="C45" s="4" t="s">
        <v>575</v>
      </c>
      <c r="D45" s="100"/>
      <c r="E45" s="100"/>
      <c r="F45" s="4"/>
      <c r="G45" s="100"/>
      <c r="I45" s="38">
        <f t="shared" si="34"/>
        <v>2060</v>
      </c>
      <c r="J45" s="39"/>
      <c r="K45" s="39">
        <f t="shared" si="35"/>
        <v>31</v>
      </c>
      <c r="L45" s="39"/>
      <c r="M45" s="40">
        <f t="shared" si="0"/>
        <v>0.39998714516107459</v>
      </c>
      <c r="N45" s="39"/>
      <c r="O45" s="72">
        <f t="shared" si="36"/>
        <v>1.9073486328125E-6</v>
      </c>
      <c r="P45" s="41" t="str">
        <f t="shared" si="1"/>
        <v>-</v>
      </c>
      <c r="Q45" s="39"/>
      <c r="R45" s="72">
        <f t="shared" si="37"/>
        <v>7600000000</v>
      </c>
      <c r="S45" s="39"/>
      <c r="T45" s="72">
        <f t="shared" si="2"/>
        <v>7600000000</v>
      </c>
      <c r="U45" s="39"/>
      <c r="V45" s="72">
        <f t="shared" si="3"/>
        <v>0</v>
      </c>
      <c r="W45" s="72">
        <f t="shared" si="4"/>
        <v>0</v>
      </c>
      <c r="X45" s="39"/>
      <c r="Y45" s="72">
        <f t="shared" si="5"/>
        <v>106400000</v>
      </c>
      <c r="Z45" s="72">
        <f t="shared" si="6"/>
        <v>42558632.24513834</v>
      </c>
      <c r="AA45" s="39"/>
      <c r="AB45" s="72">
        <f t="shared" si="7"/>
        <v>0</v>
      </c>
      <c r="AC45" s="72">
        <f t="shared" si="8"/>
        <v>0</v>
      </c>
      <c r="AD45" s="39"/>
      <c r="AE45" s="72">
        <f t="shared" si="9"/>
        <v>0</v>
      </c>
      <c r="AF45" s="72">
        <f t="shared" si="10"/>
        <v>0</v>
      </c>
      <c r="AG45" s="39"/>
      <c r="AH45" s="72">
        <f t="shared" si="11"/>
        <v>440000000.00000006</v>
      </c>
      <c r="AI45" s="72">
        <f t="shared" si="12"/>
        <v>175994343.87087286</v>
      </c>
      <c r="AJ45" s="39"/>
      <c r="AK45" s="72">
        <f t="shared" si="13"/>
        <v>3648000000</v>
      </c>
      <c r="AL45" s="72">
        <f t="shared" si="14"/>
        <v>1459153105.5476</v>
      </c>
      <c r="AM45" s="39"/>
      <c r="AN45" s="72">
        <f t="shared" si="15"/>
        <v>3344000000</v>
      </c>
      <c r="AO45" s="72">
        <f t="shared" si="16"/>
        <v>1337557013.4186335</v>
      </c>
      <c r="AP45" s="39"/>
      <c r="AQ45" s="72">
        <f t="shared" si="17"/>
        <v>906704000</v>
      </c>
      <c r="AR45" s="72">
        <f t="shared" si="18"/>
        <v>362669944.46612698</v>
      </c>
      <c r="AS45" s="39"/>
      <c r="AT45" s="40">
        <f>IF($K45&lt;=$F$15,IF($F$40&lt;&gt;"",$F$40/1000,IF(ISERROR(VLOOKUP($F$3&amp;IF($G$4&lt;&gt;"",$G$4,"")&amp;IF($F$43&lt;&gt;"","_"&amp;$F$43,""),'表3）燃料価格'!$AF$9:$AG$25,2,0)),0,VLOOKUP($I45,'表3）燃料価格'!$A$6:$W$66,VLOOKUP($F$3&amp;IF($G$4&lt;&gt;"",$G$4,"")&amp;IF($F$43&lt;&gt;"","_"&amp;$F$43,""),'表3）燃料価格'!$AF$9:$AG$25,2,0)+VLOOKUP($F$41,'表3）燃料価格'!$AF$28:$AG$29,2,0),0)*IF($F$43="需要地価格",1,$F$8/$F$141))),"")</f>
        <v>8.6714386601716829</v>
      </c>
      <c r="AU45" s="39"/>
      <c r="AV45" s="72">
        <f t="shared" si="19"/>
        <v>10419024445.423351</v>
      </c>
      <c r="AW45" s="72">
        <f t="shared" si="20"/>
        <v>4167475843.2883348</v>
      </c>
      <c r="AX45" s="39"/>
      <c r="AY45" s="40">
        <f>IF(ISERROR(IF($K45&lt;=$F$15,VLOOKUP($I45,'表4）CO2価格'!$A$7:$E$67,VLOOKUP($F$48,'表4）CO2価格'!$H$10:$I$12,2,0),0)*$F$8/1000,"")),0,IF($K45&lt;=$F$15,VLOOKUP($I45,'表4）CO2価格'!$A$7:$E$67,VLOOKUP($F$48,'表4）CO2価格'!$H$10:$I$12,2,0),0)*$F$8/1000,""))</f>
        <v>8.1999262362847141</v>
      </c>
      <c r="AZ45" s="39"/>
      <c r="BA45" s="42">
        <f t="shared" si="21"/>
        <v>16208084143.251343</v>
      </c>
      <c r="BB45" s="72">
        <f t="shared" si="22"/>
        <v>6483025304.9895859</v>
      </c>
      <c r="BC45" s="39"/>
      <c r="BD45" s="72">
        <f t="shared" si="23"/>
        <v>0</v>
      </c>
      <c r="BE45" s="72">
        <f t="shared" si="24"/>
        <v>0</v>
      </c>
      <c r="BF45" s="39"/>
      <c r="BG45" s="42">
        <f t="shared" si="25"/>
        <v>0</v>
      </c>
      <c r="BH45" s="72">
        <f t="shared" si="26"/>
        <v>0</v>
      </c>
      <c r="BI45" s="39"/>
      <c r="BJ45" s="40" t="str">
        <f t="shared" si="27"/>
        <v/>
      </c>
      <c r="BK45" s="157" t="str">
        <f t="shared" si="28"/>
        <v/>
      </c>
      <c r="BL45" s="157" t="str">
        <f t="shared" si="29"/>
        <v/>
      </c>
      <c r="BM45" s="72"/>
      <c r="BN45" s="72" t="str">
        <f t="shared" si="30"/>
        <v/>
      </c>
      <c r="BO45" s="72" t="str">
        <f t="shared" si="31"/>
        <v/>
      </c>
      <c r="BP45" s="39"/>
      <c r="BQ45" s="72">
        <f t="shared" si="32"/>
        <v>2796192000</v>
      </c>
      <c r="BR45" s="72">
        <f t="shared" si="33"/>
        <v>1118440855.4022355</v>
      </c>
    </row>
    <row r="46" spans="3:70" x14ac:dyDescent="0.15">
      <c r="I46" s="457">
        <f t="shared" si="34"/>
        <v>2061</v>
      </c>
      <c r="K46" s="71">
        <f t="shared" si="35"/>
        <v>32</v>
      </c>
      <c r="M46" s="7">
        <f t="shared" si="0"/>
        <v>0.38833703413696569</v>
      </c>
      <c r="O46" s="10">
        <f t="shared" si="36"/>
        <v>1.9073486328125E-6</v>
      </c>
      <c r="P46" s="29" t="str">
        <f t="shared" si="1"/>
        <v>-</v>
      </c>
      <c r="R46" s="10">
        <f t="shared" si="37"/>
        <v>7600000000</v>
      </c>
      <c r="T46" s="10">
        <f t="shared" si="2"/>
        <v>7600000000</v>
      </c>
      <c r="V46" s="10">
        <f t="shared" si="3"/>
        <v>0</v>
      </c>
      <c r="W46" s="10">
        <f t="shared" si="4"/>
        <v>0</v>
      </c>
      <c r="Y46" s="10">
        <f t="shared" si="5"/>
        <v>106400000</v>
      </c>
      <c r="Z46" s="10">
        <f t="shared" si="6"/>
        <v>41319060.432173148</v>
      </c>
      <c r="AB46" s="10">
        <f t="shared" si="7"/>
        <v>0</v>
      </c>
      <c r="AC46" s="10">
        <f t="shared" si="8"/>
        <v>0</v>
      </c>
      <c r="AE46" s="10">
        <f t="shared" si="9"/>
        <v>0</v>
      </c>
      <c r="AF46" s="10">
        <f t="shared" si="10"/>
        <v>0</v>
      </c>
      <c r="AH46" s="10">
        <f t="shared" si="11"/>
        <v>440000000.00000006</v>
      </c>
      <c r="AI46" s="10">
        <f t="shared" si="12"/>
        <v>170868295.02026492</v>
      </c>
      <c r="AK46" s="10">
        <f t="shared" si="13"/>
        <v>3648000000</v>
      </c>
      <c r="AL46" s="10">
        <f t="shared" si="14"/>
        <v>1416653500.5316508</v>
      </c>
      <c r="AN46" s="10">
        <f t="shared" si="15"/>
        <v>3344000000</v>
      </c>
      <c r="AO46" s="10">
        <f t="shared" si="16"/>
        <v>1298599042.1540132</v>
      </c>
      <c r="AQ46" s="10">
        <f t="shared" si="17"/>
        <v>906704000</v>
      </c>
      <c r="AR46" s="10">
        <f t="shared" si="18"/>
        <v>352106742.20012331</v>
      </c>
      <c r="AT46" s="40">
        <f>IF($K46&lt;=$F$15,IF($F$40&lt;&gt;"",$F$40/1000,IF(ISERROR(VLOOKUP($F$3&amp;IF($G$4&lt;&gt;"",$G$4,"")&amp;IF($F$43&lt;&gt;"","_"&amp;$F$43,""),'表3）燃料価格'!$AF$9:$AG$25,2,0)),0,VLOOKUP($I46,'表3）燃料価格'!$A$6:$W$66,VLOOKUP($F$3&amp;IF($G$4&lt;&gt;"",$G$4,"")&amp;IF($F$43&lt;&gt;"","_"&amp;$F$43,""),'表3）燃料価格'!$AF$9:$AG$25,2,0)+VLOOKUP($F$41,'表3）燃料価格'!$AF$28:$AG$29,2,0),0)*IF($F$43="需要地価格",1,$F$8/$F$141))),"")</f>
        <v>8.6635762870811721</v>
      </c>
      <c r="AV46" s="10">
        <f t="shared" si="19"/>
        <v>10411348043.015228</v>
      </c>
      <c r="AW46" s="10">
        <f t="shared" si="20"/>
        <v>4043112020.3922358</v>
      </c>
      <c r="AY46" s="40">
        <f>IF(ISERROR(IF($K46&lt;=$F$15,VLOOKUP($I46,'表4）CO2価格'!$A$7:$E$67,VLOOKUP($F$48,'表4）CO2価格'!$H$10:$I$12,2,0),0)*$F$8/1000,"")),0,IF($K46&lt;=$F$15,VLOOKUP($I46,'表4）CO2価格'!$A$7:$E$67,VLOOKUP($F$48,'表4）CO2価格'!$H$10:$I$12,2,0),0)*$F$8/1000,""))</f>
        <v>8.3308792217288072</v>
      </c>
      <c r="BA46" s="11">
        <f t="shared" si="21"/>
        <v>16466927570.097765</v>
      </c>
      <c r="BB46" s="10">
        <f t="shared" si="22"/>
        <v>6394717813.9199972</v>
      </c>
      <c r="BD46" s="10">
        <f t="shared" si="23"/>
        <v>0</v>
      </c>
      <c r="BE46" s="10">
        <f t="shared" si="24"/>
        <v>0</v>
      </c>
      <c r="BG46" s="11">
        <f t="shared" si="25"/>
        <v>0</v>
      </c>
      <c r="BH46" s="10">
        <f t="shared" si="26"/>
        <v>0</v>
      </c>
      <c r="BJ46" s="7" t="str">
        <f t="shared" si="27"/>
        <v/>
      </c>
      <c r="BK46" s="158" t="str">
        <f t="shared" si="28"/>
        <v/>
      </c>
      <c r="BL46" s="158" t="str">
        <f t="shared" si="29"/>
        <v/>
      </c>
      <c r="BM46" s="10"/>
      <c r="BN46" s="10" t="str">
        <f t="shared" si="30"/>
        <v/>
      </c>
      <c r="BO46" s="10" t="str">
        <f t="shared" si="31"/>
        <v/>
      </c>
      <c r="BQ46" s="10">
        <f t="shared" si="32"/>
        <v>2796192000</v>
      </c>
      <c r="BR46" s="10">
        <f t="shared" si="33"/>
        <v>1085864908.1575103</v>
      </c>
    </row>
    <row r="47" spans="3:70" x14ac:dyDescent="0.15">
      <c r="D47" s="84" t="s">
        <v>576</v>
      </c>
      <c r="F47" s="475">
        <v>24.42</v>
      </c>
      <c r="G47" s="84" t="s">
        <v>577</v>
      </c>
      <c r="I47" s="38">
        <f t="shared" si="34"/>
        <v>2062</v>
      </c>
      <c r="J47" s="39"/>
      <c r="K47" s="39">
        <f t="shared" si="35"/>
        <v>33</v>
      </c>
      <c r="L47" s="39"/>
      <c r="M47" s="40">
        <f t="shared" ref="M47:M78" si="38">1/(1+($F$9/100))^K47</f>
        <v>0.37702624673491814</v>
      </c>
      <c r="N47" s="39"/>
      <c r="O47" s="72">
        <f t="shared" si="36"/>
        <v>1.9073486328125E-6</v>
      </c>
      <c r="P47" s="41" t="str">
        <f t="shared" ref="P47:P78" si="39">IF(K47&lt;=$F$15,IF(OR(P46=$F$124,P46="-"),"-",IF(O47*$F$123&gt;$F$127,$F$123,$F$124)),"")</f>
        <v>-</v>
      </c>
      <c r="Q47" s="39"/>
      <c r="R47" s="72">
        <f t="shared" si="37"/>
        <v>7600000000</v>
      </c>
      <c r="S47" s="39"/>
      <c r="T47" s="72">
        <f t="shared" ref="T47:T78" si="40">IF(ISNUMBER(R47),ROUNDDOWN(R47,-3),"")</f>
        <v>7600000000</v>
      </c>
      <c r="U47" s="39"/>
      <c r="V47" s="72">
        <f t="shared" ref="V47:V78" si="41">IF(K47&lt;=$F$15,IF(K47&lt;$F$119,IF(P47="-",V46,O47*P47),IF(K47=$F$119,MIN(IF(P47="-",V46,O47*P47),O47),0)),"")</f>
        <v>0</v>
      </c>
      <c r="W47" s="72">
        <f t="shared" ref="W47:W78" si="42">IF(ISNUMBER(V47),V47*$M47,"")</f>
        <v>0</v>
      </c>
      <c r="X47" s="39"/>
      <c r="Y47" s="72">
        <f t="shared" ref="Y47:Y78" si="43">IF($K47&lt;=$F$15,ROUNDDOWN(T47*$F$25/100,-2),"")</f>
        <v>106400000</v>
      </c>
      <c r="Z47" s="72">
        <f t="shared" ref="Z47:Z78" si="44">IF(ISNUMBER(Y47),Y47*$M47,"")</f>
        <v>40115592.652595289</v>
      </c>
      <c r="AA47" s="39"/>
      <c r="AB47" s="72">
        <f t="shared" ref="AB47:AB78" si="45">IF($K47&lt;=$F$15,0,IF(AND($K47&gt;$F$15,$K47&lt;=$F$15+$F$28),$F$27*10^8/$F$28,""))</f>
        <v>0</v>
      </c>
      <c r="AC47" s="72">
        <f t="shared" ref="AC47:AC78" si="46">IF(ISNUMBER(AB47),AB47*$M47,"")</f>
        <v>0</v>
      </c>
      <c r="AD47" s="39"/>
      <c r="AE47" s="72">
        <f t="shared" ref="AE47:AE78" si="47">IF($K47&lt;=$F$15,$F$26,"")</f>
        <v>0</v>
      </c>
      <c r="AF47" s="72">
        <f t="shared" ref="AF47:AF78" si="48">IF(ISNUMBER(AE47),AE47*$M47,"")</f>
        <v>0</v>
      </c>
      <c r="AG47" s="39"/>
      <c r="AH47" s="72">
        <f t="shared" ref="AH47:AH78" si="49">IF($K47&lt;=$F$15,$F$33*10^8,"")</f>
        <v>440000000.00000006</v>
      </c>
      <c r="AI47" s="72">
        <f t="shared" ref="AI47:AI78" si="50">IF(ISNUMBER(AH47),AH47*$M47,"")</f>
        <v>165891548.563364</v>
      </c>
      <c r="AJ47" s="39"/>
      <c r="AK47" s="72">
        <f t="shared" ref="AK47:AK78" si="51">IF($K47&lt;=$F$15,$F$117*$F$34/100,"")</f>
        <v>3648000000</v>
      </c>
      <c r="AL47" s="72">
        <f t="shared" ref="AL47:AL78" si="52">IF(ISNUMBER(AK47),AK47*$M47,"")</f>
        <v>1375391748.0889814</v>
      </c>
      <c r="AM47" s="39"/>
      <c r="AN47" s="72">
        <f t="shared" ref="AN47:AN78" si="53">IF($K47&lt;=$F$15,$F$117*$F$35/100,"")</f>
        <v>3344000000</v>
      </c>
      <c r="AO47" s="72">
        <f t="shared" ref="AO47:AO78" si="54">IF(ISNUMBER(AN47),AN47*$M47,"")</f>
        <v>1260775769.0815663</v>
      </c>
      <c r="AP47" s="39"/>
      <c r="AQ47" s="72">
        <f t="shared" ref="AQ47:AQ78" si="55">IF($K47&lt;=$F$15,SUM(AH47,AK47,AN47)*($F$36/100),"")</f>
        <v>906704000</v>
      </c>
      <c r="AR47" s="72">
        <f t="shared" ref="AR47:AR78" si="56">IF(ISNUMBER(AQ47),AQ47*$M47,"")</f>
        <v>341851206.01953721</v>
      </c>
      <c r="AS47" s="39"/>
      <c r="AT47" s="40">
        <f>IF($K47&lt;=$F$15,IF($F$40&lt;&gt;"",$F$40/1000,IF(ISERROR(VLOOKUP($F$3&amp;IF($G$4&lt;&gt;"",$G$4,"")&amp;IF($F$43&lt;&gt;"","_"&amp;$F$43,""),'表3）燃料価格'!$AF$9:$AG$25,2,0)),0,VLOOKUP($I47,'表3）燃料価格'!$A$6:$W$66,VLOOKUP($F$3&amp;IF($G$4&lt;&gt;"",$G$4,"")&amp;IF($F$43&lt;&gt;"","_"&amp;$F$43,""),'表3）燃料価格'!$AF$9:$AG$25,2,0)+VLOOKUP($F$41,'表3）燃料価格'!$AF$28:$AG$29,2,0),0)*IF($F$43="需要地価格",1,$F$8/$F$141))),"")</f>
        <v>8.6558794499943943</v>
      </c>
      <c r="AU47" s="39"/>
      <c r="AV47" s="72">
        <f t="shared" ref="AV47:AV78" si="57">IF($K47&lt;=$F$15,($AT47+$F$142)*$F$137,"")</f>
        <v>10403833261.146231</v>
      </c>
      <c r="AW47" s="72">
        <f t="shared" ref="AW47:AW78" si="58">IF(ISNUMBER(AV47),AV47*$M47,"")</f>
        <v>3922518206.1058669</v>
      </c>
      <c r="AX47" s="39"/>
      <c r="AY47" s="40">
        <f>IF(ISERROR(IF($K47&lt;=$F$15,VLOOKUP($I47,'表4）CO2価格'!$A$7:$E$67,VLOOKUP($F$48,'表4）CO2価格'!$H$10:$I$12,2,0),0)*$F$8/1000,"")),0,IF($K47&lt;=$F$15,VLOOKUP($I47,'表4）CO2価格'!$A$7:$E$67,VLOOKUP($F$48,'表4）CO2価格'!$H$10:$I$12,2,0),0)*$F$8/1000,""))</f>
        <v>8.4617686840146202</v>
      </c>
      <c r="AZ47" s="39"/>
      <c r="BA47" s="42">
        <f t="shared" ref="BA47:BA78" si="59">IF($K47&lt;=$F$15,$F$145*AY47,"")</f>
        <v>16725645436.217813</v>
      </c>
      <c r="BB47" s="72">
        <f t="shared" ref="BB47:BB78" si="60">IF(ISNUMBER(BA47),BA47*$M47,"")</f>
        <v>6306007323.0362148</v>
      </c>
      <c r="BC47" s="39"/>
      <c r="BD47" s="72">
        <f t="shared" ref="BD47:BD78" si="61">IF($K47&lt;=$F$15,($AT47+$F$152)*$F$151,"")</f>
        <v>0</v>
      </c>
      <c r="BE47" s="72">
        <f t="shared" ref="BE47:BE78" si="62">IF(ISNUMBER(BD47),BD47*$M47,"")</f>
        <v>0</v>
      </c>
      <c r="BF47" s="39"/>
      <c r="BG47" s="42">
        <f t="shared" ref="BG47:BG78" si="63">IF($K47&lt;=$F$15,$F$153*AY47,"")</f>
        <v>0</v>
      </c>
      <c r="BH47" s="72">
        <f t="shared" ref="BH47:BH78" si="64">IF(ISNUMBER(BG47),BG47*$M47,"")</f>
        <v>0</v>
      </c>
      <c r="BI47" s="39"/>
      <c r="BJ47" s="40" t="str">
        <f t="shared" ref="BJ47:BJ78" si="65">IF(ISNUMBER($F$16),IF($K47&lt;=$F$16+$F$28,1/(1+($F$17/100))^K47,""),"")</f>
        <v/>
      </c>
      <c r="BK47" s="157" t="str">
        <f t="shared" ref="BK47:BK78" si="66">IF(ISNUMBER($F$16),IF($K47&lt;=$F$16+$F$28,IF($K47&lt;=$F$16,SUM(Y47,AB47,AE47,AH47,AK47,AN47,AQ47,AV47,BA47,BD47,BG47),$F$27/$F$28*10^8)*BJ47,""),"")</f>
        <v/>
      </c>
      <c r="BL47" s="157" t="str">
        <f t="shared" ref="BL47:BL78" si="67">IF(AND(ISNUMBER(BJ47),$K47&lt;=$F$16),BQ47*BJ47,"")</f>
        <v/>
      </c>
      <c r="BM47" s="72"/>
      <c r="BN47" s="72" t="str">
        <f t="shared" ref="BN47:BN78" si="68">IF(AND(ISNUMBER($F$16),$K47&lt;=$F$16),BQ47*($O$15+$BK$116)/$BL$116,"")</f>
        <v/>
      </c>
      <c r="BO47" s="72" t="str">
        <f t="shared" ref="BO47:BO78" si="69">IF(ISNUMBER(BN47),BN47*$M47,"")</f>
        <v/>
      </c>
      <c r="BP47" s="39"/>
      <c r="BQ47" s="72">
        <f t="shared" ref="BQ47:BQ78" si="70">IF($K47&lt;=$F$15,$F$134,"")</f>
        <v>2796192000</v>
      </c>
      <c r="BR47" s="72">
        <f t="shared" ref="BR47:BR78" si="71">IF(ISNUMBER(BQ47),BQ47*$M47,"")</f>
        <v>1054237774.9102042</v>
      </c>
    </row>
    <row r="48" spans="3:70" x14ac:dyDescent="0.15">
      <c r="D48" s="84" t="s">
        <v>578</v>
      </c>
      <c r="F48" s="474" t="str">
        <f>まとめ!B5</f>
        <v>WEO2020　STEPS</v>
      </c>
      <c r="I48" s="457">
        <f t="shared" ref="I48:I79" si="72">I47+1</f>
        <v>2063</v>
      </c>
      <c r="K48" s="71">
        <f t="shared" ref="K48:K79" si="73">IF(I48&lt;&gt;"",K47+1,"")</f>
        <v>34</v>
      </c>
      <c r="M48" s="7">
        <f t="shared" si="38"/>
        <v>0.36604489974263904</v>
      </c>
      <c r="O48" s="10">
        <f t="shared" ref="O48:O79" si="74">IF(K48&lt;=$F$15,O47-V47,"")</f>
        <v>1.9073486328125E-6</v>
      </c>
      <c r="P48" s="29" t="str">
        <f t="shared" si="39"/>
        <v>-</v>
      </c>
      <c r="R48" s="10">
        <f t="shared" ref="R48:R79" si="75">IF($K48&lt;=$F$15,MAX($F$117*5%,R47*$F$129),"")</f>
        <v>7600000000</v>
      </c>
      <c r="T48" s="10">
        <f t="shared" si="40"/>
        <v>7600000000</v>
      </c>
      <c r="V48" s="10">
        <f t="shared" si="41"/>
        <v>0</v>
      </c>
      <c r="W48" s="10">
        <f t="shared" si="42"/>
        <v>0</v>
      </c>
      <c r="Y48" s="10">
        <f t="shared" si="43"/>
        <v>106400000</v>
      </c>
      <c r="Z48" s="10">
        <f t="shared" si="44"/>
        <v>38947177.332616791</v>
      </c>
      <c r="AB48" s="10">
        <f t="shared" si="45"/>
        <v>0</v>
      </c>
      <c r="AC48" s="10">
        <f t="shared" si="46"/>
        <v>0</v>
      </c>
      <c r="AE48" s="10">
        <f t="shared" si="47"/>
        <v>0</v>
      </c>
      <c r="AF48" s="10">
        <f t="shared" si="48"/>
        <v>0</v>
      </c>
      <c r="AH48" s="10">
        <f t="shared" si="49"/>
        <v>440000000.00000006</v>
      </c>
      <c r="AI48" s="10">
        <f t="shared" si="50"/>
        <v>161059755.88676119</v>
      </c>
      <c r="AK48" s="10">
        <f t="shared" si="51"/>
        <v>3648000000</v>
      </c>
      <c r="AL48" s="10">
        <f t="shared" si="52"/>
        <v>1335331794.2611473</v>
      </c>
      <c r="AN48" s="10">
        <f t="shared" si="53"/>
        <v>3344000000</v>
      </c>
      <c r="AO48" s="10">
        <f t="shared" si="54"/>
        <v>1224054144.7393849</v>
      </c>
      <c r="AQ48" s="10">
        <f t="shared" si="55"/>
        <v>906704000</v>
      </c>
      <c r="AR48" s="10">
        <f t="shared" si="56"/>
        <v>331894374.77624977</v>
      </c>
      <c r="AT48" s="40">
        <f>IF($K48&lt;=$F$15,IF($F$40&lt;&gt;"",$F$40/1000,IF(ISERROR(VLOOKUP($F$3&amp;IF($G$4&lt;&gt;"",$G$4,"")&amp;IF($F$43&lt;&gt;"","_"&amp;$F$43,""),'表3）燃料価格'!$AF$9:$AG$25,2,0)),0,VLOOKUP($I48,'表3）燃料価格'!$A$6:$W$66,VLOOKUP($F$3&amp;IF($G$4&lt;&gt;"",$G$4,"")&amp;IF($F$43&lt;&gt;"","_"&amp;$F$43,""),'表3）燃料価格'!$AF$9:$AG$25,2,0)+VLOOKUP($F$41,'表3）燃料価格'!$AF$28:$AG$29,2,0),0)*IF($F$43="需要地価格",1,$F$8/$F$141))),"")</f>
        <v>8.6483413219433203</v>
      </c>
      <c r="AV48" s="10">
        <f t="shared" si="57"/>
        <v>10396473434.328316</v>
      </c>
      <c r="AW48" s="10">
        <f t="shared" si="58"/>
        <v>3805576075.9457183</v>
      </c>
      <c r="AY48" s="40">
        <f>IF(ISERROR(IF($K48&lt;=$F$15,VLOOKUP($I48,'表4）CO2価格'!$A$7:$E$67,VLOOKUP($F$48,'表4）CO2価格'!$H$10:$I$12,2,0),0)*$F$8/1000,"")),0,IF($K48&lt;=$F$15,VLOOKUP($I48,'表4）CO2価格'!$A$7:$E$67,VLOOKUP($F$48,'表4）CO2価格'!$H$10:$I$12,2,0),0)*$F$8/1000,""))</f>
        <v>8.5925946847404155</v>
      </c>
      <c r="BA48" s="11">
        <f t="shared" si="59"/>
        <v>16984237863.367439</v>
      </c>
      <c r="BB48" s="10">
        <f t="shared" si="60"/>
        <v>6216993645.9014683</v>
      </c>
      <c r="BD48" s="10">
        <f t="shared" si="61"/>
        <v>0</v>
      </c>
      <c r="BE48" s="10">
        <f t="shared" si="62"/>
        <v>0</v>
      </c>
      <c r="BG48" s="11">
        <f t="shared" si="63"/>
        <v>0</v>
      </c>
      <c r="BH48" s="10">
        <f t="shared" si="64"/>
        <v>0</v>
      </c>
      <c r="BJ48" s="7" t="str">
        <f t="shared" si="65"/>
        <v/>
      </c>
      <c r="BK48" s="158" t="str">
        <f t="shared" si="66"/>
        <v/>
      </c>
      <c r="BL48" s="158" t="str">
        <f t="shared" si="67"/>
        <v/>
      </c>
      <c r="BM48" s="10"/>
      <c r="BN48" s="10" t="str">
        <f t="shared" si="68"/>
        <v/>
      </c>
      <c r="BO48" s="10" t="str">
        <f t="shared" si="69"/>
        <v/>
      </c>
      <c r="BQ48" s="10">
        <f t="shared" si="70"/>
        <v>2796192000</v>
      </c>
      <c r="BR48" s="10">
        <f t="shared" si="71"/>
        <v>1023531820.3011694</v>
      </c>
    </row>
    <row r="49" spans="3:70" x14ac:dyDescent="0.15">
      <c r="I49" s="38">
        <f t="shared" si="72"/>
        <v>2064</v>
      </c>
      <c r="J49" s="39"/>
      <c r="K49" s="39">
        <f t="shared" si="73"/>
        <v>35</v>
      </c>
      <c r="L49" s="39"/>
      <c r="M49" s="40">
        <f t="shared" si="38"/>
        <v>0.35538339780838735</v>
      </c>
      <c r="N49" s="39"/>
      <c r="O49" s="72">
        <f t="shared" si="74"/>
        <v>1.9073486328125E-6</v>
      </c>
      <c r="P49" s="41" t="str">
        <f t="shared" si="39"/>
        <v>-</v>
      </c>
      <c r="Q49" s="39"/>
      <c r="R49" s="72">
        <f t="shared" si="75"/>
        <v>7600000000</v>
      </c>
      <c r="S49" s="39"/>
      <c r="T49" s="72">
        <f t="shared" si="40"/>
        <v>7600000000</v>
      </c>
      <c r="U49" s="39"/>
      <c r="V49" s="72">
        <f t="shared" si="41"/>
        <v>0</v>
      </c>
      <c r="W49" s="72">
        <f t="shared" si="42"/>
        <v>0</v>
      </c>
      <c r="X49" s="39"/>
      <c r="Y49" s="72">
        <f t="shared" si="43"/>
        <v>106400000</v>
      </c>
      <c r="Z49" s="72">
        <f t="shared" si="44"/>
        <v>37812793.526812412</v>
      </c>
      <c r="AA49" s="39"/>
      <c r="AB49" s="72">
        <f t="shared" si="45"/>
        <v>0</v>
      </c>
      <c r="AC49" s="72">
        <f t="shared" si="46"/>
        <v>0</v>
      </c>
      <c r="AD49" s="39"/>
      <c r="AE49" s="72">
        <f t="shared" si="47"/>
        <v>0</v>
      </c>
      <c r="AF49" s="72">
        <f t="shared" si="48"/>
        <v>0</v>
      </c>
      <c r="AG49" s="39"/>
      <c r="AH49" s="72">
        <f t="shared" si="49"/>
        <v>440000000.00000006</v>
      </c>
      <c r="AI49" s="72">
        <f t="shared" si="50"/>
        <v>156368695.03569046</v>
      </c>
      <c r="AJ49" s="39"/>
      <c r="AK49" s="72">
        <f t="shared" si="51"/>
        <v>3648000000</v>
      </c>
      <c r="AL49" s="72">
        <f t="shared" si="52"/>
        <v>1296438635.2049971</v>
      </c>
      <c r="AM49" s="39"/>
      <c r="AN49" s="72">
        <f t="shared" si="53"/>
        <v>3344000000</v>
      </c>
      <c r="AO49" s="72">
        <f t="shared" si="54"/>
        <v>1188402082.2712474</v>
      </c>
      <c r="AP49" s="39"/>
      <c r="AQ49" s="72">
        <f t="shared" si="55"/>
        <v>906704000</v>
      </c>
      <c r="AR49" s="72">
        <f t="shared" si="56"/>
        <v>322227548.32645607</v>
      </c>
      <c r="AS49" s="39"/>
      <c r="AT49" s="40">
        <f>IF($K49&lt;=$F$15,IF($F$40&lt;&gt;"",$F$40/1000,IF(ISERROR(VLOOKUP($F$3&amp;IF($G$4&lt;&gt;"",$G$4,"")&amp;IF($F$43&lt;&gt;"","_"&amp;$F$43,""),'表3）燃料価格'!$AF$9:$AG$25,2,0)),0,VLOOKUP($I49,'表3）燃料価格'!$A$6:$W$66,VLOOKUP($F$3&amp;IF($G$4&lt;&gt;"",$G$4,"")&amp;IF($F$43&lt;&gt;"","_"&amp;$F$43,""),'表3）燃料価格'!$AF$9:$AG$25,2,0)+VLOOKUP($F$41,'表3）燃料価格'!$AF$28:$AG$29,2,0),0)*IF($F$43="需要地価格",1,$F$8/$F$141))),"")</f>
        <v>8.6409554897736385</v>
      </c>
      <c r="AU49" s="39"/>
      <c r="AV49" s="72">
        <f t="shared" si="57"/>
        <v>10389262301.099117</v>
      </c>
      <c r="AW49" s="72">
        <f t="shared" si="58"/>
        <v>3692171337.2871895</v>
      </c>
      <c r="AX49" s="39"/>
      <c r="AY49" s="40">
        <f>IF(ISERROR(IF($K49&lt;=$F$15,VLOOKUP($I49,'表4）CO2価格'!$A$7:$E$67,VLOOKUP($F$48,'表4）CO2価格'!$H$10:$I$12,2,0),0)*$F$8/1000,"")),0,IF($K49&lt;=$F$15,VLOOKUP($I49,'表4）CO2価格'!$A$7:$E$67,VLOOKUP($F$48,'表4）CO2価格'!$H$10:$I$12,2,0),0)*$F$8/1000,""))</f>
        <v>8.7233572854149237</v>
      </c>
      <c r="AZ49" s="39"/>
      <c r="BA49" s="42">
        <f t="shared" si="59"/>
        <v>17242704973.125622</v>
      </c>
      <c r="BB49" s="72">
        <f t="shared" si="60"/>
        <v>6127771080.7569618</v>
      </c>
      <c r="BC49" s="39"/>
      <c r="BD49" s="72">
        <f t="shared" si="61"/>
        <v>0</v>
      </c>
      <c r="BE49" s="72">
        <f t="shared" si="62"/>
        <v>0</v>
      </c>
      <c r="BF49" s="39"/>
      <c r="BG49" s="42">
        <f t="shared" si="63"/>
        <v>0</v>
      </c>
      <c r="BH49" s="72">
        <f t="shared" si="64"/>
        <v>0</v>
      </c>
      <c r="BI49" s="39"/>
      <c r="BJ49" s="40" t="str">
        <f t="shared" si="65"/>
        <v/>
      </c>
      <c r="BK49" s="157" t="str">
        <f t="shared" si="66"/>
        <v/>
      </c>
      <c r="BL49" s="157" t="str">
        <f t="shared" si="67"/>
        <v/>
      </c>
      <c r="BM49" s="72"/>
      <c r="BN49" s="72" t="str">
        <f t="shared" si="68"/>
        <v/>
      </c>
      <c r="BO49" s="72" t="str">
        <f t="shared" si="69"/>
        <v/>
      </c>
      <c r="BP49" s="39"/>
      <c r="BQ49" s="72">
        <f t="shared" si="70"/>
        <v>2796192000</v>
      </c>
      <c r="BR49" s="72">
        <f t="shared" si="71"/>
        <v>993720213.8846302</v>
      </c>
    </row>
    <row r="50" spans="3:70" x14ac:dyDescent="0.15">
      <c r="C50" s="4" t="s">
        <v>579</v>
      </c>
      <c r="D50" s="100"/>
      <c r="E50" s="100"/>
      <c r="F50" s="4"/>
      <c r="G50" s="100"/>
      <c r="I50" s="457">
        <f t="shared" si="72"/>
        <v>2065</v>
      </c>
      <c r="K50" s="71">
        <f t="shared" si="73"/>
        <v>36</v>
      </c>
      <c r="M50" s="7">
        <f t="shared" si="38"/>
        <v>0.34503242505668674</v>
      </c>
      <c r="O50" s="10">
        <f t="shared" si="74"/>
        <v>1.9073486328125E-6</v>
      </c>
      <c r="P50" s="29" t="str">
        <f t="shared" si="39"/>
        <v>-</v>
      </c>
      <c r="R50" s="10">
        <f t="shared" si="75"/>
        <v>7600000000</v>
      </c>
      <c r="T50" s="10">
        <f t="shared" si="40"/>
        <v>7600000000</v>
      </c>
      <c r="V50" s="10">
        <f t="shared" si="41"/>
        <v>0</v>
      </c>
      <c r="W50" s="10">
        <f t="shared" si="42"/>
        <v>0</v>
      </c>
      <c r="Y50" s="10">
        <f t="shared" si="43"/>
        <v>106400000</v>
      </c>
      <c r="Z50" s="10">
        <f t="shared" si="44"/>
        <v>36711450.026031472</v>
      </c>
      <c r="AB50" s="10">
        <f t="shared" si="45"/>
        <v>0</v>
      </c>
      <c r="AC50" s="10">
        <f t="shared" si="46"/>
        <v>0</v>
      </c>
      <c r="AE50" s="10">
        <f t="shared" si="47"/>
        <v>0</v>
      </c>
      <c r="AF50" s="10">
        <f t="shared" si="48"/>
        <v>0</v>
      </c>
      <c r="AH50" s="10">
        <f t="shared" si="49"/>
        <v>440000000.00000006</v>
      </c>
      <c r="AI50" s="10">
        <f t="shared" si="50"/>
        <v>151814267.02494219</v>
      </c>
      <c r="AK50" s="10">
        <f t="shared" si="51"/>
        <v>3648000000</v>
      </c>
      <c r="AL50" s="10">
        <f t="shared" si="52"/>
        <v>1258678286.6067932</v>
      </c>
      <c r="AN50" s="10">
        <f t="shared" si="53"/>
        <v>3344000000</v>
      </c>
      <c r="AO50" s="10">
        <f t="shared" si="54"/>
        <v>1153788429.3895605</v>
      </c>
      <c r="AQ50" s="10">
        <f t="shared" si="55"/>
        <v>906704000</v>
      </c>
      <c r="AR50" s="10">
        <f t="shared" si="56"/>
        <v>312842279.92859811</v>
      </c>
      <c r="AT50" s="40">
        <f>IF($K50&lt;=$F$15,IF($F$40&lt;&gt;"",$F$40/1000,IF(ISERROR(VLOOKUP($F$3&amp;IF($G$4&lt;&gt;"",$G$4,"")&amp;IF($F$43&lt;&gt;"","_"&amp;$F$43,""),'表3）燃料価格'!$AF$9:$AG$25,2,0)),0,VLOOKUP($I50,'表3）燃料価格'!$A$6:$W$66,VLOOKUP($F$3&amp;IF($G$4&lt;&gt;"",$G$4,"")&amp;IF($F$43&lt;&gt;"","_"&amp;$F$43,""),'表3）燃料価格'!$AF$9:$AG$25,2,0)+VLOOKUP($F$41,'表3）燃料価格'!$AF$28:$AG$29,2,0),0)*IF($F$43="需要地価格",1,$F$8/$F$141))),"")</f>
        <v>8.6337159213618584</v>
      </c>
      <c r="AV50" s="10">
        <f t="shared" si="57"/>
        <v>10382193972.014477</v>
      </c>
      <c r="AW50" s="10">
        <f t="shared" si="58"/>
        <v>3582193563.57307</v>
      </c>
      <c r="AY50" s="40">
        <f>IF(ISERROR(IF($K50&lt;=$F$15,VLOOKUP($I50,'表4）CO2価格'!$A$7:$E$67,VLOOKUP($F$48,'表4）CO2価格'!$H$10:$I$12,2,0),0)*$F$8/1000,"")),0,IF($K50&lt;=$F$15,VLOOKUP($I50,'表4）CO2価格'!$A$7:$E$67,VLOOKUP($F$48,'表4）CO2価格'!$H$10:$I$12,2,0),0)*$F$8/1000,""))</f>
        <v>8.8540565474573452</v>
      </c>
      <c r="BA50" s="11">
        <f t="shared" si="59"/>
        <v>17501046886.894375</v>
      </c>
      <c r="BB50" s="10">
        <f t="shared" si="60"/>
        <v>6038428648.4159441</v>
      </c>
      <c r="BD50" s="10">
        <f t="shared" si="61"/>
        <v>0</v>
      </c>
      <c r="BE50" s="10">
        <f t="shared" si="62"/>
        <v>0</v>
      </c>
      <c r="BG50" s="11">
        <f t="shared" si="63"/>
        <v>0</v>
      </c>
      <c r="BH50" s="10">
        <f t="shared" si="64"/>
        <v>0</v>
      </c>
      <c r="BJ50" s="7" t="str">
        <f t="shared" si="65"/>
        <v/>
      </c>
      <c r="BK50" s="158" t="str">
        <f t="shared" si="66"/>
        <v/>
      </c>
      <c r="BL50" s="158" t="str">
        <f t="shared" si="67"/>
        <v/>
      </c>
      <c r="BM50" s="10"/>
      <c r="BN50" s="10" t="str">
        <f t="shared" si="68"/>
        <v/>
      </c>
      <c r="BO50" s="10" t="str">
        <f t="shared" si="69"/>
        <v/>
      </c>
      <c r="BQ50" s="10">
        <f t="shared" si="70"/>
        <v>2796192000</v>
      </c>
      <c r="BR50" s="10">
        <f t="shared" si="71"/>
        <v>964776906.68410707</v>
      </c>
    </row>
    <row r="51" spans="3:70" x14ac:dyDescent="0.15">
      <c r="I51" s="38">
        <f t="shared" si="72"/>
        <v>2066</v>
      </c>
      <c r="J51" s="39"/>
      <c r="K51" s="39">
        <f t="shared" si="73"/>
        <v>37</v>
      </c>
      <c r="L51" s="39"/>
      <c r="M51" s="40">
        <f t="shared" si="38"/>
        <v>0.33498293694823961</v>
      </c>
      <c r="N51" s="39"/>
      <c r="O51" s="72">
        <f t="shared" si="74"/>
        <v>1.9073486328125E-6</v>
      </c>
      <c r="P51" s="41" t="str">
        <f t="shared" si="39"/>
        <v>-</v>
      </c>
      <c r="Q51" s="39"/>
      <c r="R51" s="72">
        <f t="shared" si="75"/>
        <v>7600000000</v>
      </c>
      <c r="S51" s="39"/>
      <c r="T51" s="72">
        <f t="shared" si="40"/>
        <v>7600000000</v>
      </c>
      <c r="U51" s="39"/>
      <c r="V51" s="72">
        <f t="shared" si="41"/>
        <v>0</v>
      </c>
      <c r="W51" s="72">
        <f t="shared" si="42"/>
        <v>0</v>
      </c>
      <c r="X51" s="39"/>
      <c r="Y51" s="72">
        <f t="shared" si="43"/>
        <v>106400000</v>
      </c>
      <c r="Z51" s="72">
        <f t="shared" si="44"/>
        <v>35642184.491292693</v>
      </c>
      <c r="AA51" s="39"/>
      <c r="AB51" s="72">
        <f t="shared" si="45"/>
        <v>0</v>
      </c>
      <c r="AC51" s="72">
        <f t="shared" si="46"/>
        <v>0</v>
      </c>
      <c r="AD51" s="39"/>
      <c r="AE51" s="72">
        <f t="shared" si="47"/>
        <v>0</v>
      </c>
      <c r="AF51" s="72">
        <f t="shared" si="48"/>
        <v>0</v>
      </c>
      <c r="AG51" s="39"/>
      <c r="AH51" s="72">
        <f t="shared" si="49"/>
        <v>440000000.00000006</v>
      </c>
      <c r="AI51" s="72">
        <f t="shared" si="50"/>
        <v>147392492.25722545</v>
      </c>
      <c r="AJ51" s="39"/>
      <c r="AK51" s="72">
        <f t="shared" si="51"/>
        <v>3648000000</v>
      </c>
      <c r="AL51" s="72">
        <f t="shared" si="52"/>
        <v>1222017753.9871781</v>
      </c>
      <c r="AM51" s="39"/>
      <c r="AN51" s="72">
        <f t="shared" si="53"/>
        <v>3344000000</v>
      </c>
      <c r="AO51" s="72">
        <f t="shared" si="54"/>
        <v>1120182941.1549132</v>
      </c>
      <c r="AP51" s="39"/>
      <c r="AQ51" s="72">
        <f t="shared" si="55"/>
        <v>906704000</v>
      </c>
      <c r="AR51" s="72">
        <f t="shared" si="56"/>
        <v>303730368.86271662</v>
      </c>
      <c r="AS51" s="39"/>
      <c r="AT51" s="40">
        <f>IF($K51&lt;=$F$15,IF($F$40&lt;&gt;"",$F$40/1000,IF(ISERROR(VLOOKUP($F$3&amp;IF($G$4&lt;&gt;"",$G$4,"")&amp;IF($F$43&lt;&gt;"","_"&amp;$F$43,""),'表3）燃料価格'!$AF$9:$AG$25,2,0)),0,VLOOKUP($I51,'表3）燃料価格'!$A$6:$W$66,VLOOKUP($F$3&amp;IF($G$4&lt;&gt;"",$G$4,"")&amp;IF($F$43&lt;&gt;"","_"&amp;$F$43,""),'表3）燃料価格'!$AF$9:$AG$25,2,0)+VLOOKUP($F$41,'表3）燃料価格'!$AF$28:$AG$29,2,0),0)*IF($F$43="需要地価格",1,$F$8/$F$141))),"")</f>
        <v>8.6266169360158376</v>
      </c>
      <c r="AU51" s="39"/>
      <c r="AV51" s="72">
        <f t="shared" si="57"/>
        <v>10375262900.749086</v>
      </c>
      <c r="AW51" s="72">
        <f t="shared" si="58"/>
        <v>3475536038.1030407</v>
      </c>
      <c r="AX51" s="39"/>
      <c r="AY51" s="40">
        <f>IF(ISERROR(IF($K51&lt;=$F$15,VLOOKUP($I51,'表4）CO2価格'!$A$7:$E$67,VLOOKUP($F$48,'表4）CO2価格'!$H$10:$I$12,2,0),0)*$F$8/1000,"")),0,IF($K51&lt;=$F$15,VLOOKUP($I51,'表4）CO2価格'!$A$7:$E$67,VLOOKUP($F$48,'表4）CO2価格'!$H$10:$I$12,2,0),0)*$F$8/1000,""))</f>
        <v>8.9846925321981246</v>
      </c>
      <c r="AZ51" s="39"/>
      <c r="BA51" s="42">
        <f t="shared" si="59"/>
        <v>17759263725.900284</v>
      </c>
      <c r="BB51" s="72">
        <f t="shared" si="60"/>
        <v>5949050320.9404135</v>
      </c>
      <c r="BC51" s="39"/>
      <c r="BD51" s="72">
        <f t="shared" si="61"/>
        <v>0</v>
      </c>
      <c r="BE51" s="72">
        <f t="shared" si="62"/>
        <v>0</v>
      </c>
      <c r="BF51" s="39"/>
      <c r="BG51" s="42">
        <f t="shared" si="63"/>
        <v>0</v>
      </c>
      <c r="BH51" s="72">
        <f t="shared" si="64"/>
        <v>0</v>
      </c>
      <c r="BI51" s="39"/>
      <c r="BJ51" s="40" t="str">
        <f t="shared" si="65"/>
        <v/>
      </c>
      <c r="BK51" s="157" t="str">
        <f t="shared" si="66"/>
        <v/>
      </c>
      <c r="BL51" s="157" t="str">
        <f t="shared" si="67"/>
        <v/>
      </c>
      <c r="BM51" s="72"/>
      <c r="BN51" s="72" t="str">
        <f t="shared" si="68"/>
        <v/>
      </c>
      <c r="BO51" s="72" t="str">
        <f t="shared" si="69"/>
        <v/>
      </c>
      <c r="BP51" s="39"/>
      <c r="BQ51" s="72">
        <f t="shared" si="70"/>
        <v>2796192000</v>
      </c>
      <c r="BR51" s="72">
        <f t="shared" si="71"/>
        <v>936676608.43117201</v>
      </c>
    </row>
    <row r="52" spans="3:70" x14ac:dyDescent="0.15">
      <c r="D52" s="84" t="s">
        <v>185</v>
      </c>
      <c r="F52" s="478"/>
      <c r="G52" s="84" t="s">
        <v>549</v>
      </c>
      <c r="I52" s="457">
        <f t="shared" si="72"/>
        <v>2067</v>
      </c>
      <c r="K52" s="71">
        <f t="shared" si="73"/>
        <v>38</v>
      </c>
      <c r="M52" s="7">
        <f t="shared" si="38"/>
        <v>0.3252261523769317</v>
      </c>
      <c r="O52" s="10">
        <f t="shared" si="74"/>
        <v>1.9073486328125E-6</v>
      </c>
      <c r="P52" s="29" t="str">
        <f t="shared" si="39"/>
        <v>-</v>
      </c>
      <c r="R52" s="10">
        <f t="shared" si="75"/>
        <v>7600000000</v>
      </c>
      <c r="T52" s="10">
        <f t="shared" si="40"/>
        <v>7600000000</v>
      </c>
      <c r="V52" s="10">
        <f t="shared" si="41"/>
        <v>0</v>
      </c>
      <c r="W52" s="10">
        <f t="shared" si="42"/>
        <v>0</v>
      </c>
      <c r="Y52" s="10">
        <f t="shared" si="43"/>
        <v>106400000</v>
      </c>
      <c r="Z52" s="10">
        <f t="shared" si="44"/>
        <v>34604062.612905532</v>
      </c>
      <c r="AB52" s="10">
        <f t="shared" si="45"/>
        <v>0</v>
      </c>
      <c r="AC52" s="10">
        <f t="shared" si="46"/>
        <v>0</v>
      </c>
      <c r="AE52" s="10">
        <f t="shared" si="47"/>
        <v>0</v>
      </c>
      <c r="AF52" s="10">
        <f t="shared" si="48"/>
        <v>0</v>
      </c>
      <c r="AH52" s="10">
        <f t="shared" si="49"/>
        <v>440000000.00000006</v>
      </c>
      <c r="AI52" s="10">
        <f t="shared" si="50"/>
        <v>143099507.04584998</v>
      </c>
      <c r="AK52" s="10">
        <f t="shared" si="51"/>
        <v>3648000000</v>
      </c>
      <c r="AL52" s="10">
        <f t="shared" si="52"/>
        <v>1186425003.8710468</v>
      </c>
      <c r="AN52" s="10">
        <f t="shared" si="53"/>
        <v>3344000000</v>
      </c>
      <c r="AO52" s="10">
        <f t="shared" si="54"/>
        <v>1087556253.5484595</v>
      </c>
      <c r="AQ52" s="10">
        <f t="shared" si="55"/>
        <v>906704000</v>
      </c>
      <c r="AR52" s="10">
        <f t="shared" si="56"/>
        <v>294883853.26477349</v>
      </c>
      <c r="AT52" s="40">
        <f>IF($K52&lt;=$F$15,IF($F$40&lt;&gt;"",$F$40/1000,IF(ISERROR(VLOOKUP($F$3&amp;IF($G$4&lt;&gt;"",$G$4,"")&amp;IF($F$43&lt;&gt;"","_"&amp;$F$43,""),'表3）燃料価格'!$AF$9:$AG$25,2,0)),0,VLOOKUP($I52,'表3）燃料価格'!$A$6:$W$66,VLOOKUP($F$3&amp;IF($G$4&lt;&gt;"",$G$4,"")&amp;IF($F$43&lt;&gt;"","_"&amp;$F$43,""),'表3）燃料価格'!$AF$9:$AG$25,2,0)+VLOOKUP($F$41,'表3）燃料価格'!$AF$28:$AG$29,2,0),0)*IF($F$43="需要地価格",1,$F$8/$F$141))),"")</f>
        <v>8.6196531776948468</v>
      </c>
      <c r="AV52" s="10">
        <f t="shared" si="57"/>
        <v>10368463857.949991</v>
      </c>
      <c r="AW52" s="10">
        <f t="shared" si="58"/>
        <v>3372095606.5803528</v>
      </c>
      <c r="AY52" s="40">
        <f>IF(ISERROR(IF($K52&lt;=$F$15,VLOOKUP($I52,'表4）CO2価格'!$A$7:$E$67,VLOOKUP($F$48,'表4）CO2価格'!$H$10:$I$12,2,0),0)*$F$8/1000,"")),0,IF($K52&lt;=$F$15,VLOOKUP($I52,'表4）CO2価格'!$A$7:$E$67,VLOOKUP($F$48,'表4）CO2価格'!$H$10:$I$12,2,0),0)*$F$8/1000,""))</f>
        <v>9.1152653008777929</v>
      </c>
      <c r="BA52" s="11">
        <f t="shared" si="59"/>
        <v>18017355611.1922</v>
      </c>
      <c r="BB52" s="10">
        <f t="shared" si="60"/>
        <v>5859715241.4349594</v>
      </c>
      <c r="BD52" s="10">
        <f t="shared" si="61"/>
        <v>0</v>
      </c>
      <c r="BE52" s="10">
        <f t="shared" si="62"/>
        <v>0</v>
      </c>
      <c r="BG52" s="11">
        <f t="shared" si="63"/>
        <v>0</v>
      </c>
      <c r="BH52" s="10">
        <f t="shared" si="64"/>
        <v>0</v>
      </c>
      <c r="BJ52" s="7" t="str">
        <f t="shared" si="65"/>
        <v/>
      </c>
      <c r="BK52" s="158" t="str">
        <f t="shared" si="66"/>
        <v/>
      </c>
      <c r="BL52" s="158" t="str">
        <f t="shared" si="67"/>
        <v/>
      </c>
      <c r="BM52" s="10"/>
      <c r="BN52" s="10" t="str">
        <f t="shared" si="68"/>
        <v/>
      </c>
      <c r="BO52" s="10" t="str">
        <f t="shared" si="69"/>
        <v/>
      </c>
      <c r="BQ52" s="10">
        <f t="shared" si="70"/>
        <v>2796192000</v>
      </c>
      <c r="BR52" s="10">
        <f t="shared" si="71"/>
        <v>909394765.46715736</v>
      </c>
    </row>
    <row r="53" spans="3:70" x14ac:dyDescent="0.15">
      <c r="D53" s="84" t="s">
        <v>580</v>
      </c>
      <c r="F53" s="475"/>
      <c r="G53" s="84" t="s">
        <v>549</v>
      </c>
      <c r="I53" s="38">
        <f t="shared" si="72"/>
        <v>2068</v>
      </c>
      <c r="J53" s="39"/>
      <c r="K53" s="39">
        <f t="shared" si="73"/>
        <v>39</v>
      </c>
      <c r="L53" s="39"/>
      <c r="M53" s="40">
        <f t="shared" si="38"/>
        <v>0.31575354599702099</v>
      </c>
      <c r="N53" s="39"/>
      <c r="O53" s="72">
        <f t="shared" si="74"/>
        <v>1.9073486328125E-6</v>
      </c>
      <c r="P53" s="41" t="str">
        <f t="shared" si="39"/>
        <v>-</v>
      </c>
      <c r="Q53" s="39"/>
      <c r="R53" s="72">
        <f t="shared" si="75"/>
        <v>7600000000</v>
      </c>
      <c r="S53" s="39"/>
      <c r="T53" s="72">
        <f t="shared" si="40"/>
        <v>7600000000</v>
      </c>
      <c r="U53" s="39"/>
      <c r="V53" s="72">
        <f t="shared" si="41"/>
        <v>0</v>
      </c>
      <c r="W53" s="72">
        <f t="shared" si="42"/>
        <v>0</v>
      </c>
      <c r="X53" s="39"/>
      <c r="Y53" s="72">
        <f t="shared" si="43"/>
        <v>106400000</v>
      </c>
      <c r="Z53" s="72">
        <f t="shared" si="44"/>
        <v>33596177.294083036</v>
      </c>
      <c r="AA53" s="39"/>
      <c r="AB53" s="72">
        <f t="shared" si="45"/>
        <v>0</v>
      </c>
      <c r="AC53" s="72">
        <f t="shared" si="46"/>
        <v>0</v>
      </c>
      <c r="AD53" s="39"/>
      <c r="AE53" s="72">
        <f t="shared" si="47"/>
        <v>0</v>
      </c>
      <c r="AF53" s="72">
        <f t="shared" si="48"/>
        <v>0</v>
      </c>
      <c r="AG53" s="39"/>
      <c r="AH53" s="72">
        <f t="shared" si="49"/>
        <v>440000000.00000006</v>
      </c>
      <c r="AI53" s="72">
        <f t="shared" si="50"/>
        <v>138931560.23868924</v>
      </c>
      <c r="AJ53" s="39"/>
      <c r="AK53" s="72">
        <f t="shared" si="51"/>
        <v>3648000000</v>
      </c>
      <c r="AL53" s="72">
        <f t="shared" si="52"/>
        <v>1151868935.7971325</v>
      </c>
      <c r="AM53" s="39"/>
      <c r="AN53" s="72">
        <f t="shared" si="53"/>
        <v>3344000000</v>
      </c>
      <c r="AO53" s="72">
        <f t="shared" si="54"/>
        <v>1055879857.8140382</v>
      </c>
      <c r="AP53" s="39"/>
      <c r="AQ53" s="72">
        <f t="shared" si="55"/>
        <v>906704000</v>
      </c>
      <c r="AR53" s="72">
        <f t="shared" si="56"/>
        <v>286295003.16968292</v>
      </c>
      <c r="AS53" s="39"/>
      <c r="AT53" s="40">
        <f>IF($K53&lt;=$F$15,IF($F$40&lt;&gt;"",$F$40/1000,IF(ISERROR(VLOOKUP($F$3&amp;IF($G$4&lt;&gt;"",$G$4,"")&amp;IF($F$43&lt;&gt;"","_"&amp;$F$43,""),'表3）燃料価格'!$AF$9:$AG$25,2,0)),0,VLOOKUP($I53,'表3）燃料価格'!$A$6:$W$66,VLOOKUP($F$3&amp;IF($G$4&lt;&gt;"",$G$4,"")&amp;IF($F$43&lt;&gt;"","_"&amp;$F$43,""),'表3）燃料価格'!$AF$9:$AG$25,2,0)+VLOOKUP($F$41,'表3）燃料価格'!$AF$28:$AG$29,2,0),0)*IF($F$43="需要地価格",1,$F$8/$F$141))),"")</f>
        <v>8.6128195907328973</v>
      </c>
      <c r="AU53" s="39"/>
      <c r="AV53" s="72">
        <f t="shared" si="57"/>
        <v>10361791907.534138</v>
      </c>
      <c r="AW53" s="72">
        <f t="shared" si="58"/>
        <v>3271772537.68714</v>
      </c>
      <c r="AX53" s="39"/>
      <c r="AY53" s="40">
        <f>IF(ISERROR(IF($K53&lt;=$F$15,VLOOKUP($I53,'表4）CO2価格'!$A$7:$E$67,VLOOKUP($F$48,'表4）CO2価格'!$H$10:$I$12,2,0),0)*$F$8/1000,"")),0,IF($K53&lt;=$F$15,VLOOKUP($I53,'表4）CO2価格'!$A$7:$E$67,VLOOKUP($F$48,'表4）CO2価格'!$H$10:$I$12,2,0),0)*$F$8/1000,""))</f>
        <v>9.2457749146488997</v>
      </c>
      <c r="AZ53" s="39"/>
      <c r="BA53" s="42">
        <f t="shared" si="59"/>
        <v>18275322663.645069</v>
      </c>
      <c r="BB53" s="72">
        <f t="shared" si="60"/>
        <v>5770497935.2856531</v>
      </c>
      <c r="BC53" s="39"/>
      <c r="BD53" s="72">
        <f t="shared" si="61"/>
        <v>0</v>
      </c>
      <c r="BE53" s="72">
        <f t="shared" si="62"/>
        <v>0</v>
      </c>
      <c r="BF53" s="39"/>
      <c r="BG53" s="42">
        <f t="shared" si="63"/>
        <v>0</v>
      </c>
      <c r="BH53" s="72">
        <f t="shared" si="64"/>
        <v>0</v>
      </c>
      <c r="BI53" s="39"/>
      <c r="BJ53" s="40" t="str">
        <f t="shared" si="65"/>
        <v/>
      </c>
      <c r="BK53" s="157" t="str">
        <f t="shared" si="66"/>
        <v/>
      </c>
      <c r="BL53" s="157" t="str">
        <f t="shared" si="67"/>
        <v/>
      </c>
      <c r="BM53" s="72"/>
      <c r="BN53" s="72" t="str">
        <f t="shared" si="68"/>
        <v/>
      </c>
      <c r="BO53" s="72" t="str">
        <f t="shared" si="69"/>
        <v/>
      </c>
      <c r="BP53" s="39"/>
      <c r="BQ53" s="72">
        <f t="shared" si="70"/>
        <v>2796192000</v>
      </c>
      <c r="BR53" s="72">
        <f t="shared" si="71"/>
        <v>882907539.2885021</v>
      </c>
    </row>
    <row r="54" spans="3:70" x14ac:dyDescent="0.15">
      <c r="D54" s="84" t="s">
        <v>581</v>
      </c>
      <c r="F54" s="475"/>
      <c r="G54" s="84" t="s">
        <v>549</v>
      </c>
      <c r="I54" s="457">
        <f t="shared" si="72"/>
        <v>2069</v>
      </c>
      <c r="K54" s="71">
        <f t="shared" si="73"/>
        <v>40</v>
      </c>
      <c r="M54" s="7">
        <f t="shared" si="38"/>
        <v>0.30655684077380685</v>
      </c>
      <c r="O54" s="10">
        <f t="shared" si="74"/>
        <v>1.9073486328125E-6</v>
      </c>
      <c r="P54" s="29" t="str">
        <f t="shared" si="39"/>
        <v>-</v>
      </c>
      <c r="R54" s="10">
        <f t="shared" si="75"/>
        <v>7600000000</v>
      </c>
      <c r="T54" s="10">
        <f t="shared" si="40"/>
        <v>7600000000</v>
      </c>
      <c r="V54" s="10">
        <f t="shared" si="41"/>
        <v>0</v>
      </c>
      <c r="W54" s="10">
        <f t="shared" si="42"/>
        <v>0</v>
      </c>
      <c r="Y54" s="10">
        <f t="shared" si="43"/>
        <v>106400000</v>
      </c>
      <c r="Z54" s="10">
        <f t="shared" si="44"/>
        <v>32617647.858333047</v>
      </c>
      <c r="AB54" s="10">
        <f t="shared" si="45"/>
        <v>0</v>
      </c>
      <c r="AC54" s="10">
        <f t="shared" si="46"/>
        <v>0</v>
      </c>
      <c r="AE54" s="10">
        <f t="shared" si="47"/>
        <v>0</v>
      </c>
      <c r="AF54" s="10">
        <f t="shared" si="48"/>
        <v>0</v>
      </c>
      <c r="AH54" s="10">
        <f t="shared" si="49"/>
        <v>440000000.00000006</v>
      </c>
      <c r="AI54" s="10">
        <f t="shared" si="50"/>
        <v>134885009.94047505</v>
      </c>
      <c r="AK54" s="10">
        <f t="shared" si="51"/>
        <v>3648000000</v>
      </c>
      <c r="AL54" s="10">
        <f t="shared" si="52"/>
        <v>1118319355.1428473</v>
      </c>
      <c r="AN54" s="10">
        <f t="shared" si="53"/>
        <v>3344000000</v>
      </c>
      <c r="AO54" s="10">
        <f t="shared" si="54"/>
        <v>1025126075.54761</v>
      </c>
      <c r="AQ54" s="10">
        <f t="shared" si="55"/>
        <v>906704000</v>
      </c>
      <c r="AR54" s="10">
        <f t="shared" si="56"/>
        <v>277956313.75697374</v>
      </c>
      <c r="AT54" s="40">
        <f>IF($K54&lt;=$F$15,IF($F$40&lt;&gt;"",$F$40/1000,IF(ISERROR(VLOOKUP($F$3&amp;IF($G$4&lt;&gt;"",$G$4,"")&amp;IF($F$43&lt;&gt;"","_"&amp;$F$43,""),'表3）燃料価格'!$AF$9:$AG$25,2,0)),0,VLOOKUP($I54,'表3）燃料価格'!$A$6:$W$66,VLOOKUP($F$3&amp;IF($G$4&lt;&gt;"",$G$4,"")&amp;IF($F$43&lt;&gt;"","_"&amp;$F$43,""),'表3）燃料価格'!$AF$9:$AG$25,2,0)+VLOOKUP($F$41,'表3）燃料価格'!$AF$28:$AG$29,2,0),0)*IF($F$43="需要地価格",1,$F$8/$F$141))),"")</f>
        <v>8.6061113977896664</v>
      </c>
      <c r="AV54" s="10">
        <f t="shared" si="57"/>
        <v>10355242385.160833</v>
      </c>
      <c r="AW54" s="10">
        <f t="shared" si="58"/>
        <v>3174470391.0419254</v>
      </c>
      <c r="AY54" s="40">
        <f>IF(ISERROR(IF($K54&lt;=$F$15,VLOOKUP($I54,'表4）CO2価格'!$A$7:$E$67,VLOOKUP($F$48,'表4）CO2価格'!$H$10:$I$12,2,0),0)*$F$8/1000,"")),0,IF($K54&lt;=$F$15,VLOOKUP($I54,'表4）CO2価格'!$A$7:$E$67,VLOOKUP($F$48,'表4）CO2価格'!$H$10:$I$12,2,0),0)*$F$8/1000,""))</f>
        <v>9.3762214345748625</v>
      </c>
      <c r="BA54" s="11">
        <f t="shared" si="59"/>
        <v>18533165003.957668</v>
      </c>
      <c r="BB54" s="10">
        <f t="shared" si="60"/>
        <v>5681468513.1529408</v>
      </c>
      <c r="BD54" s="10">
        <f t="shared" si="61"/>
        <v>0</v>
      </c>
      <c r="BE54" s="10">
        <f t="shared" si="62"/>
        <v>0</v>
      </c>
      <c r="BG54" s="11">
        <f t="shared" si="63"/>
        <v>0</v>
      </c>
      <c r="BH54" s="10">
        <f t="shared" si="64"/>
        <v>0</v>
      </c>
      <c r="BJ54" s="7" t="str">
        <f t="shared" si="65"/>
        <v/>
      </c>
      <c r="BK54" s="158" t="str">
        <f t="shared" si="66"/>
        <v/>
      </c>
      <c r="BL54" s="158" t="str">
        <f t="shared" si="67"/>
        <v/>
      </c>
      <c r="BM54" s="10"/>
      <c r="BN54" s="10" t="str">
        <f t="shared" si="68"/>
        <v/>
      </c>
      <c r="BO54" s="10" t="str">
        <f t="shared" si="69"/>
        <v/>
      </c>
      <c r="BQ54" s="10">
        <f t="shared" si="70"/>
        <v>2796192000</v>
      </c>
      <c r="BR54" s="10">
        <f t="shared" si="71"/>
        <v>857191785.7169925</v>
      </c>
    </row>
    <row r="55" spans="3:70" ht="16.5" x14ac:dyDescent="0.15">
      <c r="D55" s="84" t="s">
        <v>582</v>
      </c>
      <c r="F55" s="475"/>
      <c r="G55" s="71" t="s">
        <v>561</v>
      </c>
      <c r="I55" s="38">
        <f t="shared" si="72"/>
        <v>2070</v>
      </c>
      <c r="J55" s="39"/>
      <c r="K55" s="39">
        <f t="shared" si="73"/>
        <v>41</v>
      </c>
      <c r="L55" s="39"/>
      <c r="M55" s="40">
        <f t="shared" si="38"/>
        <v>0.29762800075126877</v>
      </c>
      <c r="N55" s="39"/>
      <c r="O55" s="72" t="str">
        <f t="shared" si="74"/>
        <v/>
      </c>
      <c r="P55" s="41" t="str">
        <f t="shared" si="39"/>
        <v/>
      </c>
      <c r="Q55" s="39"/>
      <c r="R55" s="72" t="str">
        <f t="shared" si="75"/>
        <v/>
      </c>
      <c r="S55" s="39"/>
      <c r="T55" s="72" t="str">
        <f t="shared" si="40"/>
        <v/>
      </c>
      <c r="U55" s="39"/>
      <c r="V55" s="72" t="str">
        <f t="shared" si="41"/>
        <v/>
      </c>
      <c r="W55" s="72" t="str">
        <f t="shared" si="42"/>
        <v/>
      </c>
      <c r="X55" s="39"/>
      <c r="Y55" s="72" t="str">
        <f t="shared" si="43"/>
        <v/>
      </c>
      <c r="Z55" s="72" t="str">
        <f t="shared" si="44"/>
        <v/>
      </c>
      <c r="AA55" s="39"/>
      <c r="AB55" s="72">
        <f t="shared" si="45"/>
        <v>7600000000</v>
      </c>
      <c r="AC55" s="72">
        <f t="shared" si="46"/>
        <v>2261972805.7096429</v>
      </c>
      <c r="AD55" s="39"/>
      <c r="AE55" s="72" t="str">
        <f t="shared" si="47"/>
        <v/>
      </c>
      <c r="AF55" s="72" t="str">
        <f t="shared" si="48"/>
        <v/>
      </c>
      <c r="AG55" s="39"/>
      <c r="AH55" s="72" t="str">
        <f t="shared" si="49"/>
        <v/>
      </c>
      <c r="AI55" s="72" t="str">
        <f t="shared" si="50"/>
        <v/>
      </c>
      <c r="AJ55" s="39"/>
      <c r="AK55" s="72" t="str">
        <f t="shared" si="51"/>
        <v/>
      </c>
      <c r="AL55" s="72" t="str">
        <f t="shared" si="52"/>
        <v/>
      </c>
      <c r="AM55" s="39"/>
      <c r="AN55" s="72" t="str">
        <f t="shared" si="53"/>
        <v/>
      </c>
      <c r="AO55" s="72" t="str">
        <f t="shared" si="54"/>
        <v/>
      </c>
      <c r="AP55" s="39"/>
      <c r="AQ55" s="72" t="str">
        <f t="shared" si="55"/>
        <v/>
      </c>
      <c r="AR55" s="72" t="str">
        <f t="shared" si="56"/>
        <v/>
      </c>
      <c r="AS55" s="39"/>
      <c r="AT55" s="40"/>
      <c r="AU55" s="39"/>
      <c r="AV55" s="72" t="str">
        <f t="shared" si="57"/>
        <v/>
      </c>
      <c r="AW55" s="72" t="str">
        <f t="shared" si="58"/>
        <v/>
      </c>
      <c r="AX55" s="39"/>
      <c r="AY55" s="40"/>
      <c r="AZ55" s="39"/>
      <c r="BA55" s="42" t="str">
        <f t="shared" si="59"/>
        <v/>
      </c>
      <c r="BB55" s="72" t="str">
        <f t="shared" si="60"/>
        <v/>
      </c>
      <c r="BC55" s="39"/>
      <c r="BD55" s="72" t="str">
        <f t="shared" si="61"/>
        <v/>
      </c>
      <c r="BE55" s="72" t="str">
        <f t="shared" si="62"/>
        <v/>
      </c>
      <c r="BF55" s="39"/>
      <c r="BG55" s="42" t="str">
        <f t="shared" si="63"/>
        <v/>
      </c>
      <c r="BH55" s="72" t="str">
        <f t="shared" si="64"/>
        <v/>
      </c>
      <c r="BI55" s="39"/>
      <c r="BJ55" s="40" t="str">
        <f t="shared" si="65"/>
        <v/>
      </c>
      <c r="BK55" s="157" t="str">
        <f t="shared" si="66"/>
        <v/>
      </c>
      <c r="BL55" s="157" t="str">
        <f t="shared" si="67"/>
        <v/>
      </c>
      <c r="BM55" s="72"/>
      <c r="BN55" s="72" t="str">
        <f t="shared" si="68"/>
        <v/>
      </c>
      <c r="BO55" s="72" t="str">
        <f t="shared" si="69"/>
        <v/>
      </c>
      <c r="BP55" s="39"/>
      <c r="BQ55" s="72" t="str">
        <f t="shared" si="70"/>
        <v/>
      </c>
      <c r="BR55" s="72" t="str">
        <f t="shared" si="71"/>
        <v/>
      </c>
    </row>
    <row r="56" spans="3:70" x14ac:dyDescent="0.15">
      <c r="D56" s="84" t="s">
        <v>583</v>
      </c>
      <c r="F56" s="481"/>
      <c r="G56" s="84" t="s">
        <v>574</v>
      </c>
      <c r="I56" s="457">
        <f t="shared" si="72"/>
        <v>2071</v>
      </c>
      <c r="K56" s="71">
        <f t="shared" si="73"/>
        <v>42</v>
      </c>
      <c r="M56" s="7">
        <f t="shared" si="38"/>
        <v>0.28895922403035801</v>
      </c>
      <c r="O56" s="10" t="str">
        <f t="shared" si="74"/>
        <v/>
      </c>
      <c r="P56" s="29" t="str">
        <f t="shared" si="39"/>
        <v/>
      </c>
      <c r="R56" s="10" t="str">
        <f t="shared" si="75"/>
        <v/>
      </c>
      <c r="T56" s="10" t="str">
        <f t="shared" si="40"/>
        <v/>
      </c>
      <c r="V56" s="10" t="str">
        <f t="shared" si="41"/>
        <v/>
      </c>
      <c r="W56" s="10" t="str">
        <f t="shared" si="42"/>
        <v/>
      </c>
      <c r="Y56" s="10" t="str">
        <f t="shared" si="43"/>
        <v/>
      </c>
      <c r="Z56" s="10" t="str">
        <f t="shared" si="44"/>
        <v/>
      </c>
      <c r="AB56" s="10" t="str">
        <f t="shared" si="45"/>
        <v/>
      </c>
      <c r="AC56" s="10" t="str">
        <f t="shared" si="46"/>
        <v/>
      </c>
      <c r="AE56" s="10" t="str">
        <f t="shared" si="47"/>
        <v/>
      </c>
      <c r="AF56" s="10" t="str">
        <f t="shared" si="48"/>
        <v/>
      </c>
      <c r="AH56" s="10" t="str">
        <f t="shared" si="49"/>
        <v/>
      </c>
      <c r="AI56" s="10" t="str">
        <f t="shared" si="50"/>
        <v/>
      </c>
      <c r="AK56" s="10" t="str">
        <f t="shared" si="51"/>
        <v/>
      </c>
      <c r="AL56" s="10" t="str">
        <f t="shared" si="52"/>
        <v/>
      </c>
      <c r="AN56" s="10" t="str">
        <f t="shared" si="53"/>
        <v/>
      </c>
      <c r="AO56" s="10" t="str">
        <f t="shared" si="54"/>
        <v/>
      </c>
      <c r="AQ56" s="10" t="str">
        <f t="shared" si="55"/>
        <v/>
      </c>
      <c r="AR56" s="10" t="str">
        <f t="shared" si="56"/>
        <v/>
      </c>
      <c r="AT56" s="7"/>
      <c r="AV56" s="10" t="str">
        <f t="shared" si="57"/>
        <v/>
      </c>
      <c r="AW56" s="10" t="str">
        <f t="shared" si="58"/>
        <v/>
      </c>
      <c r="AY56" s="7"/>
      <c r="BA56" s="11" t="str">
        <f t="shared" si="59"/>
        <v/>
      </c>
      <c r="BB56" s="10" t="str">
        <f t="shared" si="60"/>
        <v/>
      </c>
      <c r="BD56" s="10" t="str">
        <f t="shared" si="61"/>
        <v/>
      </c>
      <c r="BE56" s="10" t="str">
        <f t="shared" si="62"/>
        <v/>
      </c>
      <c r="BG56" s="11" t="str">
        <f t="shared" si="63"/>
        <v/>
      </c>
      <c r="BH56" s="10" t="str">
        <f t="shared" si="64"/>
        <v/>
      </c>
      <c r="BJ56" s="7" t="str">
        <f t="shared" si="65"/>
        <v/>
      </c>
      <c r="BK56" s="158" t="str">
        <f t="shared" si="66"/>
        <v/>
      </c>
      <c r="BL56" s="158" t="str">
        <f t="shared" si="67"/>
        <v/>
      </c>
      <c r="BM56" s="10"/>
      <c r="BN56" s="10" t="str">
        <f t="shared" si="68"/>
        <v/>
      </c>
      <c r="BO56" s="10" t="str">
        <f t="shared" si="69"/>
        <v/>
      </c>
      <c r="BQ56" s="10" t="str">
        <f t="shared" si="70"/>
        <v/>
      </c>
      <c r="BR56" s="10" t="str">
        <f t="shared" si="71"/>
        <v/>
      </c>
    </row>
    <row r="57" spans="3:70" x14ac:dyDescent="0.15">
      <c r="I57" s="38">
        <f t="shared" si="72"/>
        <v>2072</v>
      </c>
      <c r="J57" s="39"/>
      <c r="K57" s="39">
        <f t="shared" si="73"/>
        <v>43</v>
      </c>
      <c r="L57" s="39"/>
      <c r="M57" s="40">
        <f t="shared" si="38"/>
        <v>0.28054293595180391</v>
      </c>
      <c r="N57" s="39"/>
      <c r="O57" s="72" t="str">
        <f t="shared" si="74"/>
        <v/>
      </c>
      <c r="P57" s="41" t="str">
        <f t="shared" si="39"/>
        <v/>
      </c>
      <c r="Q57" s="39"/>
      <c r="R57" s="72" t="str">
        <f t="shared" si="75"/>
        <v/>
      </c>
      <c r="S57" s="39"/>
      <c r="T57" s="72" t="str">
        <f t="shared" si="40"/>
        <v/>
      </c>
      <c r="U57" s="39"/>
      <c r="V57" s="72" t="str">
        <f t="shared" si="41"/>
        <v/>
      </c>
      <c r="W57" s="72" t="str">
        <f t="shared" si="42"/>
        <v/>
      </c>
      <c r="X57" s="39"/>
      <c r="Y57" s="72" t="str">
        <f t="shared" si="43"/>
        <v/>
      </c>
      <c r="Z57" s="72" t="str">
        <f t="shared" si="44"/>
        <v/>
      </c>
      <c r="AA57" s="39"/>
      <c r="AB57" s="72" t="str">
        <f t="shared" si="45"/>
        <v/>
      </c>
      <c r="AC57" s="72" t="str">
        <f t="shared" si="46"/>
        <v/>
      </c>
      <c r="AD57" s="39"/>
      <c r="AE57" s="72" t="str">
        <f t="shared" si="47"/>
        <v/>
      </c>
      <c r="AF57" s="72" t="str">
        <f t="shared" si="48"/>
        <v/>
      </c>
      <c r="AG57" s="39"/>
      <c r="AH57" s="72" t="str">
        <f t="shared" si="49"/>
        <v/>
      </c>
      <c r="AI57" s="72" t="str">
        <f t="shared" si="50"/>
        <v/>
      </c>
      <c r="AJ57" s="39"/>
      <c r="AK57" s="72" t="str">
        <f t="shared" si="51"/>
        <v/>
      </c>
      <c r="AL57" s="72" t="str">
        <f t="shared" si="52"/>
        <v/>
      </c>
      <c r="AM57" s="39"/>
      <c r="AN57" s="72" t="str">
        <f t="shared" si="53"/>
        <v/>
      </c>
      <c r="AO57" s="72" t="str">
        <f t="shared" si="54"/>
        <v/>
      </c>
      <c r="AP57" s="39"/>
      <c r="AQ57" s="72" t="str">
        <f t="shared" si="55"/>
        <v/>
      </c>
      <c r="AR57" s="72" t="str">
        <f t="shared" si="56"/>
        <v/>
      </c>
      <c r="AS57" s="39"/>
      <c r="AT57" s="40"/>
      <c r="AU57" s="39"/>
      <c r="AV57" s="72" t="str">
        <f t="shared" si="57"/>
        <v/>
      </c>
      <c r="AW57" s="72" t="str">
        <f t="shared" si="58"/>
        <v/>
      </c>
      <c r="AX57" s="39"/>
      <c r="AY57" s="40"/>
      <c r="AZ57" s="39"/>
      <c r="BA57" s="42" t="str">
        <f t="shared" si="59"/>
        <v/>
      </c>
      <c r="BB57" s="72" t="str">
        <f t="shared" si="60"/>
        <v/>
      </c>
      <c r="BC57" s="39"/>
      <c r="BD57" s="72" t="str">
        <f t="shared" si="61"/>
        <v/>
      </c>
      <c r="BE57" s="72" t="str">
        <f t="shared" si="62"/>
        <v/>
      </c>
      <c r="BF57" s="39"/>
      <c r="BG57" s="42" t="str">
        <f t="shared" si="63"/>
        <v/>
      </c>
      <c r="BH57" s="72" t="str">
        <f t="shared" si="64"/>
        <v/>
      </c>
      <c r="BI57" s="39"/>
      <c r="BJ57" s="40" t="str">
        <f t="shared" si="65"/>
        <v/>
      </c>
      <c r="BK57" s="157" t="str">
        <f t="shared" si="66"/>
        <v/>
      </c>
      <c r="BL57" s="157" t="str">
        <f t="shared" si="67"/>
        <v/>
      </c>
      <c r="BM57" s="72"/>
      <c r="BN57" s="72" t="str">
        <f t="shared" si="68"/>
        <v/>
      </c>
      <c r="BO57" s="72" t="str">
        <f t="shared" si="69"/>
        <v/>
      </c>
      <c r="BP57" s="39"/>
      <c r="BQ57" s="72" t="str">
        <f t="shared" si="70"/>
        <v/>
      </c>
      <c r="BR57" s="72" t="str">
        <f t="shared" si="71"/>
        <v/>
      </c>
    </row>
    <row r="58" spans="3:70" x14ac:dyDescent="0.15">
      <c r="C58" s="4" t="s">
        <v>584</v>
      </c>
      <c r="D58" s="100"/>
      <c r="E58" s="100"/>
      <c r="F58" s="4"/>
      <c r="G58" s="100"/>
      <c r="I58" s="457">
        <f t="shared" si="72"/>
        <v>2073</v>
      </c>
      <c r="K58" s="71">
        <f t="shared" si="73"/>
        <v>44</v>
      </c>
      <c r="M58" s="7">
        <f t="shared" si="38"/>
        <v>0.27237178247747956</v>
      </c>
      <c r="O58" s="10" t="str">
        <f t="shared" si="74"/>
        <v/>
      </c>
      <c r="P58" s="29" t="str">
        <f t="shared" si="39"/>
        <v/>
      </c>
      <c r="R58" s="10" t="str">
        <f t="shared" si="75"/>
        <v/>
      </c>
      <c r="T58" s="10" t="str">
        <f t="shared" si="40"/>
        <v/>
      </c>
      <c r="V58" s="10" t="str">
        <f t="shared" si="41"/>
        <v/>
      </c>
      <c r="W58" s="10" t="str">
        <f t="shared" si="42"/>
        <v/>
      </c>
      <c r="Y58" s="10" t="str">
        <f t="shared" si="43"/>
        <v/>
      </c>
      <c r="Z58" s="10" t="str">
        <f t="shared" si="44"/>
        <v/>
      </c>
      <c r="AB58" s="10" t="str">
        <f t="shared" si="45"/>
        <v/>
      </c>
      <c r="AC58" s="10" t="str">
        <f t="shared" si="46"/>
        <v/>
      </c>
      <c r="AE58" s="10" t="str">
        <f t="shared" si="47"/>
        <v/>
      </c>
      <c r="AF58" s="10" t="str">
        <f t="shared" si="48"/>
        <v/>
      </c>
      <c r="AH58" s="10" t="str">
        <f t="shared" si="49"/>
        <v/>
      </c>
      <c r="AI58" s="10" t="str">
        <f t="shared" si="50"/>
        <v/>
      </c>
      <c r="AK58" s="10" t="str">
        <f t="shared" si="51"/>
        <v/>
      </c>
      <c r="AL58" s="10" t="str">
        <f t="shared" si="52"/>
        <v/>
      </c>
      <c r="AN58" s="10" t="str">
        <f t="shared" si="53"/>
        <v/>
      </c>
      <c r="AO58" s="10" t="str">
        <f t="shared" si="54"/>
        <v/>
      </c>
      <c r="AQ58" s="10" t="str">
        <f t="shared" si="55"/>
        <v/>
      </c>
      <c r="AR58" s="10" t="str">
        <f t="shared" si="56"/>
        <v/>
      </c>
      <c r="AT58" s="7"/>
      <c r="AV58" s="10" t="str">
        <f t="shared" si="57"/>
        <v/>
      </c>
      <c r="AW58" s="10" t="str">
        <f t="shared" si="58"/>
        <v/>
      </c>
      <c r="AY58" s="7"/>
      <c r="BA58" s="11" t="str">
        <f t="shared" si="59"/>
        <v/>
      </c>
      <c r="BB58" s="10" t="str">
        <f t="shared" si="60"/>
        <v/>
      </c>
      <c r="BD58" s="10" t="str">
        <f t="shared" si="61"/>
        <v/>
      </c>
      <c r="BE58" s="10" t="str">
        <f t="shared" si="62"/>
        <v/>
      </c>
      <c r="BG58" s="11" t="str">
        <f t="shared" si="63"/>
        <v/>
      </c>
      <c r="BH58" s="10" t="str">
        <f t="shared" si="64"/>
        <v/>
      </c>
      <c r="BJ58" s="7" t="str">
        <f t="shared" si="65"/>
        <v/>
      </c>
      <c r="BK58" s="158" t="str">
        <f t="shared" si="66"/>
        <v/>
      </c>
      <c r="BL58" s="158" t="str">
        <f t="shared" si="67"/>
        <v/>
      </c>
      <c r="BM58" s="10"/>
      <c r="BN58" s="10" t="str">
        <f t="shared" si="68"/>
        <v/>
      </c>
      <c r="BO58" s="10" t="str">
        <f t="shared" si="69"/>
        <v/>
      </c>
      <c r="BQ58" s="10" t="str">
        <f t="shared" si="70"/>
        <v/>
      </c>
      <c r="BR58" s="10" t="str">
        <f t="shared" si="71"/>
        <v/>
      </c>
    </row>
    <row r="59" spans="3:70" x14ac:dyDescent="0.15">
      <c r="I59" s="38">
        <f t="shared" si="72"/>
        <v>2074</v>
      </c>
      <c r="J59" s="39"/>
      <c r="K59" s="39">
        <f t="shared" si="73"/>
        <v>45</v>
      </c>
      <c r="L59" s="39"/>
      <c r="M59" s="40">
        <f t="shared" si="38"/>
        <v>0.26443862376454325</v>
      </c>
      <c r="N59" s="39"/>
      <c r="O59" s="72" t="str">
        <f t="shared" si="74"/>
        <v/>
      </c>
      <c r="P59" s="41" t="str">
        <f t="shared" si="39"/>
        <v/>
      </c>
      <c r="Q59" s="39"/>
      <c r="R59" s="72" t="str">
        <f t="shared" si="75"/>
        <v/>
      </c>
      <c r="S59" s="39"/>
      <c r="T59" s="72" t="str">
        <f t="shared" si="40"/>
        <v/>
      </c>
      <c r="U59" s="39"/>
      <c r="V59" s="72" t="str">
        <f t="shared" si="41"/>
        <v/>
      </c>
      <c r="W59" s="72" t="str">
        <f t="shared" si="42"/>
        <v/>
      </c>
      <c r="X59" s="39"/>
      <c r="Y59" s="72" t="str">
        <f t="shared" si="43"/>
        <v/>
      </c>
      <c r="Z59" s="72" t="str">
        <f t="shared" si="44"/>
        <v/>
      </c>
      <c r="AA59" s="39"/>
      <c r="AB59" s="72" t="str">
        <f t="shared" si="45"/>
        <v/>
      </c>
      <c r="AC59" s="72" t="str">
        <f t="shared" si="46"/>
        <v/>
      </c>
      <c r="AD59" s="39"/>
      <c r="AE59" s="72" t="str">
        <f t="shared" si="47"/>
        <v/>
      </c>
      <c r="AF59" s="72" t="str">
        <f t="shared" si="48"/>
        <v/>
      </c>
      <c r="AG59" s="39"/>
      <c r="AH59" s="72" t="str">
        <f t="shared" si="49"/>
        <v/>
      </c>
      <c r="AI59" s="72" t="str">
        <f t="shared" si="50"/>
        <v/>
      </c>
      <c r="AJ59" s="39"/>
      <c r="AK59" s="72" t="str">
        <f t="shared" si="51"/>
        <v/>
      </c>
      <c r="AL59" s="72" t="str">
        <f t="shared" si="52"/>
        <v/>
      </c>
      <c r="AM59" s="39"/>
      <c r="AN59" s="72" t="str">
        <f t="shared" si="53"/>
        <v/>
      </c>
      <c r="AO59" s="72" t="str">
        <f t="shared" si="54"/>
        <v/>
      </c>
      <c r="AP59" s="39"/>
      <c r="AQ59" s="72" t="str">
        <f t="shared" si="55"/>
        <v/>
      </c>
      <c r="AR59" s="72" t="str">
        <f t="shared" si="56"/>
        <v/>
      </c>
      <c r="AS59" s="39"/>
      <c r="AT59" s="40"/>
      <c r="AU59" s="39"/>
      <c r="AV59" s="72" t="str">
        <f t="shared" si="57"/>
        <v/>
      </c>
      <c r="AW59" s="72" t="str">
        <f t="shared" si="58"/>
        <v/>
      </c>
      <c r="AX59" s="39"/>
      <c r="AY59" s="40"/>
      <c r="AZ59" s="39"/>
      <c r="BA59" s="42" t="str">
        <f t="shared" si="59"/>
        <v/>
      </c>
      <c r="BB59" s="72" t="str">
        <f t="shared" si="60"/>
        <v/>
      </c>
      <c r="BC59" s="39"/>
      <c r="BD59" s="72" t="str">
        <f t="shared" si="61"/>
        <v/>
      </c>
      <c r="BE59" s="72" t="str">
        <f t="shared" si="62"/>
        <v/>
      </c>
      <c r="BF59" s="39"/>
      <c r="BG59" s="42" t="str">
        <f t="shared" si="63"/>
        <v/>
      </c>
      <c r="BH59" s="72" t="str">
        <f t="shared" si="64"/>
        <v/>
      </c>
      <c r="BI59" s="39"/>
      <c r="BJ59" s="40" t="str">
        <f t="shared" si="65"/>
        <v/>
      </c>
      <c r="BK59" s="157" t="str">
        <f t="shared" si="66"/>
        <v/>
      </c>
      <c r="BL59" s="157" t="str">
        <f t="shared" si="67"/>
        <v/>
      </c>
      <c r="BM59" s="72"/>
      <c r="BN59" s="72" t="str">
        <f t="shared" si="68"/>
        <v/>
      </c>
      <c r="BO59" s="72" t="str">
        <f t="shared" si="69"/>
        <v/>
      </c>
      <c r="BP59" s="39"/>
      <c r="BQ59" s="72" t="str">
        <f t="shared" si="70"/>
        <v/>
      </c>
      <c r="BR59" s="72" t="str">
        <f t="shared" si="71"/>
        <v/>
      </c>
    </row>
    <row r="60" spans="3:70" x14ac:dyDescent="0.15">
      <c r="D60" s="84" t="s">
        <v>585</v>
      </c>
      <c r="F60" s="481"/>
      <c r="G60" s="84" t="s">
        <v>566</v>
      </c>
      <c r="I60" s="457">
        <f t="shared" si="72"/>
        <v>2075</v>
      </c>
      <c r="K60" s="71">
        <f t="shared" si="73"/>
        <v>46</v>
      </c>
      <c r="M60" s="7">
        <f t="shared" si="38"/>
        <v>0.25673652792674101</v>
      </c>
      <c r="O60" s="10" t="str">
        <f t="shared" si="74"/>
        <v/>
      </c>
      <c r="P60" s="29" t="str">
        <f t="shared" si="39"/>
        <v/>
      </c>
      <c r="R60" s="10" t="str">
        <f t="shared" si="75"/>
        <v/>
      </c>
      <c r="T60" s="10" t="str">
        <f t="shared" si="40"/>
        <v/>
      </c>
      <c r="V60" s="10" t="str">
        <f t="shared" si="41"/>
        <v/>
      </c>
      <c r="W60" s="10" t="str">
        <f t="shared" si="42"/>
        <v/>
      </c>
      <c r="Y60" s="10" t="str">
        <f t="shared" si="43"/>
        <v/>
      </c>
      <c r="Z60" s="10" t="str">
        <f t="shared" si="44"/>
        <v/>
      </c>
      <c r="AB60" s="10" t="str">
        <f t="shared" si="45"/>
        <v/>
      </c>
      <c r="AC60" s="10" t="str">
        <f t="shared" si="46"/>
        <v/>
      </c>
      <c r="AE60" s="10" t="str">
        <f t="shared" si="47"/>
        <v/>
      </c>
      <c r="AF60" s="10" t="str">
        <f t="shared" si="48"/>
        <v/>
      </c>
      <c r="AH60" s="10" t="str">
        <f t="shared" si="49"/>
        <v/>
      </c>
      <c r="AI60" s="10" t="str">
        <f t="shared" si="50"/>
        <v/>
      </c>
      <c r="AK60" s="10" t="str">
        <f t="shared" si="51"/>
        <v/>
      </c>
      <c r="AL60" s="10" t="str">
        <f t="shared" si="52"/>
        <v/>
      </c>
      <c r="AN60" s="10" t="str">
        <f t="shared" si="53"/>
        <v/>
      </c>
      <c r="AO60" s="10" t="str">
        <f t="shared" si="54"/>
        <v/>
      </c>
      <c r="AQ60" s="10" t="str">
        <f t="shared" si="55"/>
        <v/>
      </c>
      <c r="AR60" s="10" t="str">
        <f t="shared" si="56"/>
        <v/>
      </c>
      <c r="AT60" s="7"/>
      <c r="AV60" s="10" t="str">
        <f t="shared" si="57"/>
        <v/>
      </c>
      <c r="AW60" s="10" t="str">
        <f t="shared" si="58"/>
        <v/>
      </c>
      <c r="AY60" s="7"/>
      <c r="BA60" s="11" t="str">
        <f t="shared" si="59"/>
        <v/>
      </c>
      <c r="BB60" s="10" t="str">
        <f t="shared" si="60"/>
        <v/>
      </c>
      <c r="BD60" s="10" t="str">
        <f t="shared" si="61"/>
        <v/>
      </c>
      <c r="BE60" s="10" t="str">
        <f t="shared" si="62"/>
        <v/>
      </c>
      <c r="BG60" s="11" t="str">
        <f t="shared" si="63"/>
        <v/>
      </c>
      <c r="BH60" s="10" t="str">
        <f t="shared" si="64"/>
        <v/>
      </c>
      <c r="BJ60" s="7" t="str">
        <f t="shared" si="65"/>
        <v/>
      </c>
      <c r="BK60" s="158" t="str">
        <f t="shared" si="66"/>
        <v/>
      </c>
      <c r="BL60" s="158" t="str">
        <f t="shared" si="67"/>
        <v/>
      </c>
      <c r="BM60" s="10"/>
      <c r="BN60" s="10" t="str">
        <f t="shared" si="68"/>
        <v/>
      </c>
      <c r="BO60" s="10" t="str">
        <f t="shared" si="69"/>
        <v/>
      </c>
      <c r="BQ60" s="10" t="str">
        <f t="shared" si="70"/>
        <v/>
      </c>
      <c r="BR60" s="10" t="str">
        <f t="shared" si="71"/>
        <v/>
      </c>
    </row>
    <row r="61" spans="3:70" x14ac:dyDescent="0.15">
      <c r="D61" s="84" t="s">
        <v>586</v>
      </c>
      <c r="F61" s="475"/>
      <c r="G61" s="84" t="s">
        <v>556</v>
      </c>
      <c r="I61" s="38">
        <f t="shared" si="72"/>
        <v>2076</v>
      </c>
      <c r="J61" s="39"/>
      <c r="K61" s="39">
        <f t="shared" si="73"/>
        <v>47</v>
      </c>
      <c r="L61" s="39"/>
      <c r="M61" s="40">
        <f t="shared" si="38"/>
        <v>0.24925876497741845</v>
      </c>
      <c r="N61" s="39"/>
      <c r="O61" s="72" t="str">
        <f t="shared" si="74"/>
        <v/>
      </c>
      <c r="P61" s="41" t="str">
        <f t="shared" si="39"/>
        <v/>
      </c>
      <c r="Q61" s="39"/>
      <c r="R61" s="72" t="str">
        <f t="shared" si="75"/>
        <v/>
      </c>
      <c r="S61" s="39"/>
      <c r="T61" s="72" t="str">
        <f t="shared" si="40"/>
        <v/>
      </c>
      <c r="U61" s="39"/>
      <c r="V61" s="72" t="str">
        <f t="shared" si="41"/>
        <v/>
      </c>
      <c r="W61" s="72" t="str">
        <f t="shared" si="42"/>
        <v/>
      </c>
      <c r="X61" s="39"/>
      <c r="Y61" s="72" t="str">
        <f t="shared" si="43"/>
        <v/>
      </c>
      <c r="Z61" s="72" t="str">
        <f t="shared" si="44"/>
        <v/>
      </c>
      <c r="AA61" s="39"/>
      <c r="AB61" s="72" t="str">
        <f t="shared" si="45"/>
        <v/>
      </c>
      <c r="AC61" s="72" t="str">
        <f t="shared" si="46"/>
        <v/>
      </c>
      <c r="AD61" s="39"/>
      <c r="AE61" s="72" t="str">
        <f t="shared" si="47"/>
        <v/>
      </c>
      <c r="AF61" s="72" t="str">
        <f t="shared" si="48"/>
        <v/>
      </c>
      <c r="AG61" s="39"/>
      <c r="AH61" s="72" t="str">
        <f t="shared" si="49"/>
        <v/>
      </c>
      <c r="AI61" s="72" t="str">
        <f t="shared" si="50"/>
        <v/>
      </c>
      <c r="AJ61" s="39"/>
      <c r="AK61" s="72" t="str">
        <f t="shared" si="51"/>
        <v/>
      </c>
      <c r="AL61" s="72" t="str">
        <f t="shared" si="52"/>
        <v/>
      </c>
      <c r="AM61" s="39"/>
      <c r="AN61" s="72" t="str">
        <f t="shared" si="53"/>
        <v/>
      </c>
      <c r="AO61" s="72" t="str">
        <f t="shared" si="54"/>
        <v/>
      </c>
      <c r="AP61" s="39"/>
      <c r="AQ61" s="72" t="str">
        <f t="shared" si="55"/>
        <v/>
      </c>
      <c r="AR61" s="72" t="str">
        <f t="shared" si="56"/>
        <v/>
      </c>
      <c r="AS61" s="39"/>
      <c r="AT61" s="40"/>
      <c r="AU61" s="39"/>
      <c r="AV61" s="72" t="str">
        <f t="shared" si="57"/>
        <v/>
      </c>
      <c r="AW61" s="72" t="str">
        <f t="shared" si="58"/>
        <v/>
      </c>
      <c r="AX61" s="39"/>
      <c r="AY61" s="40"/>
      <c r="AZ61" s="39"/>
      <c r="BA61" s="42" t="str">
        <f t="shared" si="59"/>
        <v/>
      </c>
      <c r="BB61" s="72" t="str">
        <f t="shared" si="60"/>
        <v/>
      </c>
      <c r="BC61" s="39"/>
      <c r="BD61" s="72" t="str">
        <f t="shared" si="61"/>
        <v/>
      </c>
      <c r="BE61" s="72" t="str">
        <f t="shared" si="62"/>
        <v/>
      </c>
      <c r="BF61" s="39"/>
      <c r="BG61" s="42" t="str">
        <f t="shared" si="63"/>
        <v/>
      </c>
      <c r="BH61" s="72" t="str">
        <f t="shared" si="64"/>
        <v/>
      </c>
      <c r="BI61" s="39"/>
      <c r="BJ61" s="40" t="str">
        <f t="shared" si="65"/>
        <v/>
      </c>
      <c r="BK61" s="157" t="str">
        <f t="shared" si="66"/>
        <v/>
      </c>
      <c r="BL61" s="157" t="str">
        <f t="shared" si="67"/>
        <v/>
      </c>
      <c r="BM61" s="72"/>
      <c r="BN61" s="72" t="str">
        <f t="shared" si="68"/>
        <v/>
      </c>
      <c r="BO61" s="72" t="str">
        <f t="shared" si="69"/>
        <v/>
      </c>
      <c r="BP61" s="39"/>
      <c r="BQ61" s="72" t="str">
        <f t="shared" si="70"/>
        <v/>
      </c>
      <c r="BR61" s="72" t="str">
        <f t="shared" si="71"/>
        <v/>
      </c>
    </row>
    <row r="62" spans="3:70" x14ac:dyDescent="0.15">
      <c r="D62" s="84" t="s">
        <v>587</v>
      </c>
      <c r="F62" s="481"/>
      <c r="G62" s="84" t="s">
        <v>588</v>
      </c>
      <c r="I62" s="457">
        <f t="shared" si="72"/>
        <v>2077</v>
      </c>
      <c r="K62" s="71">
        <f t="shared" si="73"/>
        <v>48</v>
      </c>
      <c r="M62" s="7">
        <f t="shared" si="38"/>
        <v>0.24199880094894996</v>
      </c>
      <c r="O62" s="10" t="str">
        <f t="shared" si="74"/>
        <v/>
      </c>
      <c r="P62" s="29" t="str">
        <f t="shared" si="39"/>
        <v/>
      </c>
      <c r="R62" s="10" t="str">
        <f t="shared" si="75"/>
        <v/>
      </c>
      <c r="T62" s="10" t="str">
        <f t="shared" si="40"/>
        <v/>
      </c>
      <c r="V62" s="10" t="str">
        <f t="shared" si="41"/>
        <v/>
      </c>
      <c r="W62" s="10" t="str">
        <f t="shared" si="42"/>
        <v/>
      </c>
      <c r="Y62" s="10" t="str">
        <f t="shared" si="43"/>
        <v/>
      </c>
      <c r="Z62" s="10" t="str">
        <f t="shared" si="44"/>
        <v/>
      </c>
      <c r="AB62" s="10" t="str">
        <f t="shared" si="45"/>
        <v/>
      </c>
      <c r="AC62" s="10" t="str">
        <f t="shared" si="46"/>
        <v/>
      </c>
      <c r="AE62" s="10" t="str">
        <f t="shared" si="47"/>
        <v/>
      </c>
      <c r="AF62" s="10" t="str">
        <f t="shared" si="48"/>
        <v/>
      </c>
      <c r="AH62" s="10" t="str">
        <f t="shared" si="49"/>
        <v/>
      </c>
      <c r="AI62" s="10" t="str">
        <f t="shared" si="50"/>
        <v/>
      </c>
      <c r="AK62" s="10" t="str">
        <f t="shared" si="51"/>
        <v/>
      </c>
      <c r="AL62" s="10" t="str">
        <f t="shared" si="52"/>
        <v/>
      </c>
      <c r="AN62" s="10" t="str">
        <f t="shared" si="53"/>
        <v/>
      </c>
      <c r="AO62" s="10" t="str">
        <f t="shared" si="54"/>
        <v/>
      </c>
      <c r="AQ62" s="10" t="str">
        <f t="shared" si="55"/>
        <v/>
      </c>
      <c r="AR62" s="10" t="str">
        <f t="shared" si="56"/>
        <v/>
      </c>
      <c r="AT62" s="7"/>
      <c r="AV62" s="10" t="str">
        <f t="shared" si="57"/>
        <v/>
      </c>
      <c r="AW62" s="10" t="str">
        <f t="shared" si="58"/>
        <v/>
      </c>
      <c r="AY62" s="7"/>
      <c r="BA62" s="11" t="str">
        <f t="shared" si="59"/>
        <v/>
      </c>
      <c r="BB62" s="10" t="str">
        <f t="shared" si="60"/>
        <v/>
      </c>
      <c r="BD62" s="10" t="str">
        <f t="shared" si="61"/>
        <v/>
      </c>
      <c r="BE62" s="10" t="str">
        <f t="shared" si="62"/>
        <v/>
      </c>
      <c r="BG62" s="11" t="str">
        <f t="shared" si="63"/>
        <v/>
      </c>
      <c r="BH62" s="10" t="str">
        <f t="shared" si="64"/>
        <v/>
      </c>
      <c r="BJ62" s="7" t="str">
        <f t="shared" si="65"/>
        <v/>
      </c>
      <c r="BK62" s="158" t="str">
        <f t="shared" si="66"/>
        <v/>
      </c>
      <c r="BL62" s="158" t="str">
        <f t="shared" si="67"/>
        <v/>
      </c>
      <c r="BM62" s="10"/>
      <c r="BN62" s="10" t="str">
        <f t="shared" si="68"/>
        <v/>
      </c>
      <c r="BO62" s="10" t="str">
        <f t="shared" si="69"/>
        <v/>
      </c>
      <c r="BQ62" s="10" t="str">
        <f t="shared" si="70"/>
        <v/>
      </c>
      <c r="BR62" s="10" t="str">
        <f t="shared" si="71"/>
        <v/>
      </c>
    </row>
    <row r="63" spans="3:70" x14ac:dyDescent="0.15">
      <c r="I63" s="38">
        <f t="shared" si="72"/>
        <v>2078</v>
      </c>
      <c r="J63" s="39"/>
      <c r="K63" s="39">
        <f t="shared" si="73"/>
        <v>49</v>
      </c>
      <c r="L63" s="39"/>
      <c r="M63" s="40">
        <f t="shared" si="38"/>
        <v>0.2349502921834466</v>
      </c>
      <c r="N63" s="39"/>
      <c r="O63" s="72" t="str">
        <f t="shared" si="74"/>
        <v/>
      </c>
      <c r="P63" s="41" t="str">
        <f t="shared" si="39"/>
        <v/>
      </c>
      <c r="Q63" s="39"/>
      <c r="R63" s="72" t="str">
        <f t="shared" si="75"/>
        <v/>
      </c>
      <c r="S63" s="39"/>
      <c r="T63" s="72" t="str">
        <f t="shared" si="40"/>
        <v/>
      </c>
      <c r="U63" s="39"/>
      <c r="V63" s="72" t="str">
        <f t="shared" si="41"/>
        <v/>
      </c>
      <c r="W63" s="72" t="str">
        <f t="shared" si="42"/>
        <v/>
      </c>
      <c r="X63" s="39"/>
      <c r="Y63" s="72" t="str">
        <f t="shared" si="43"/>
        <v/>
      </c>
      <c r="Z63" s="72" t="str">
        <f t="shared" si="44"/>
        <v/>
      </c>
      <c r="AA63" s="39"/>
      <c r="AB63" s="72" t="str">
        <f t="shared" si="45"/>
        <v/>
      </c>
      <c r="AC63" s="72" t="str">
        <f t="shared" si="46"/>
        <v/>
      </c>
      <c r="AD63" s="39"/>
      <c r="AE63" s="72" t="str">
        <f t="shared" si="47"/>
        <v/>
      </c>
      <c r="AF63" s="72" t="str">
        <f t="shared" si="48"/>
        <v/>
      </c>
      <c r="AG63" s="39"/>
      <c r="AH63" s="72" t="str">
        <f t="shared" si="49"/>
        <v/>
      </c>
      <c r="AI63" s="72" t="str">
        <f t="shared" si="50"/>
        <v/>
      </c>
      <c r="AJ63" s="39"/>
      <c r="AK63" s="72" t="str">
        <f t="shared" si="51"/>
        <v/>
      </c>
      <c r="AL63" s="72" t="str">
        <f t="shared" si="52"/>
        <v/>
      </c>
      <c r="AM63" s="39"/>
      <c r="AN63" s="72" t="str">
        <f t="shared" si="53"/>
        <v/>
      </c>
      <c r="AO63" s="72" t="str">
        <f t="shared" si="54"/>
        <v/>
      </c>
      <c r="AP63" s="39"/>
      <c r="AQ63" s="72" t="str">
        <f t="shared" si="55"/>
        <v/>
      </c>
      <c r="AR63" s="72" t="str">
        <f t="shared" si="56"/>
        <v/>
      </c>
      <c r="AS63" s="39"/>
      <c r="AT63" s="40"/>
      <c r="AU63" s="39"/>
      <c r="AV63" s="72" t="str">
        <f t="shared" si="57"/>
        <v/>
      </c>
      <c r="AW63" s="72" t="str">
        <f t="shared" si="58"/>
        <v/>
      </c>
      <c r="AX63" s="39"/>
      <c r="AY63" s="40"/>
      <c r="AZ63" s="39"/>
      <c r="BA63" s="42" t="str">
        <f t="shared" si="59"/>
        <v/>
      </c>
      <c r="BB63" s="72" t="str">
        <f t="shared" si="60"/>
        <v/>
      </c>
      <c r="BC63" s="39"/>
      <c r="BD63" s="72" t="str">
        <f t="shared" si="61"/>
        <v/>
      </c>
      <c r="BE63" s="72" t="str">
        <f t="shared" si="62"/>
        <v/>
      </c>
      <c r="BF63" s="39"/>
      <c r="BG63" s="42" t="str">
        <f t="shared" si="63"/>
        <v/>
      </c>
      <c r="BH63" s="72" t="str">
        <f t="shared" si="64"/>
        <v/>
      </c>
      <c r="BI63" s="39"/>
      <c r="BJ63" s="40" t="str">
        <f t="shared" si="65"/>
        <v/>
      </c>
      <c r="BK63" s="157" t="str">
        <f t="shared" si="66"/>
        <v/>
      </c>
      <c r="BL63" s="157" t="str">
        <f t="shared" si="67"/>
        <v/>
      </c>
      <c r="BM63" s="72"/>
      <c r="BN63" s="72" t="str">
        <f t="shared" si="68"/>
        <v/>
      </c>
      <c r="BO63" s="72" t="str">
        <f t="shared" si="69"/>
        <v/>
      </c>
      <c r="BP63" s="39"/>
      <c r="BQ63" s="72" t="str">
        <f t="shared" si="70"/>
        <v/>
      </c>
      <c r="BR63" s="72" t="str">
        <f t="shared" si="71"/>
        <v/>
      </c>
    </row>
    <row r="64" spans="3:70" x14ac:dyDescent="0.15">
      <c r="C64" s="71" t="s">
        <v>589</v>
      </c>
      <c r="F64" s="478">
        <v>0</v>
      </c>
      <c r="G64" s="84" t="s">
        <v>590</v>
      </c>
      <c r="I64" s="457">
        <f t="shared" si="72"/>
        <v>2079</v>
      </c>
      <c r="K64" s="71">
        <f t="shared" si="73"/>
        <v>50</v>
      </c>
      <c r="M64" s="7">
        <f t="shared" si="38"/>
        <v>0.22810707978975397</v>
      </c>
      <c r="O64" s="10" t="str">
        <f t="shared" si="74"/>
        <v/>
      </c>
      <c r="P64" s="29" t="str">
        <f t="shared" si="39"/>
        <v/>
      </c>
      <c r="R64" s="10" t="str">
        <f t="shared" si="75"/>
        <v/>
      </c>
      <c r="T64" s="10" t="str">
        <f t="shared" si="40"/>
        <v/>
      </c>
      <c r="V64" s="10" t="str">
        <f t="shared" si="41"/>
        <v/>
      </c>
      <c r="W64" s="10" t="str">
        <f t="shared" si="42"/>
        <v/>
      </c>
      <c r="Y64" s="10" t="str">
        <f t="shared" si="43"/>
        <v/>
      </c>
      <c r="Z64" s="10" t="str">
        <f t="shared" si="44"/>
        <v/>
      </c>
      <c r="AB64" s="10" t="str">
        <f t="shared" si="45"/>
        <v/>
      </c>
      <c r="AC64" s="10" t="str">
        <f t="shared" si="46"/>
        <v/>
      </c>
      <c r="AE64" s="10" t="str">
        <f t="shared" si="47"/>
        <v/>
      </c>
      <c r="AF64" s="10" t="str">
        <f t="shared" si="48"/>
        <v/>
      </c>
      <c r="AH64" s="10" t="str">
        <f t="shared" si="49"/>
        <v/>
      </c>
      <c r="AI64" s="10" t="str">
        <f t="shared" si="50"/>
        <v/>
      </c>
      <c r="AK64" s="10" t="str">
        <f t="shared" si="51"/>
        <v/>
      </c>
      <c r="AL64" s="10" t="str">
        <f t="shared" si="52"/>
        <v/>
      </c>
      <c r="AN64" s="10" t="str">
        <f t="shared" si="53"/>
        <v/>
      </c>
      <c r="AO64" s="10" t="str">
        <f t="shared" si="54"/>
        <v/>
      </c>
      <c r="AQ64" s="10" t="str">
        <f t="shared" si="55"/>
        <v/>
      </c>
      <c r="AR64" s="10" t="str">
        <f t="shared" si="56"/>
        <v/>
      </c>
      <c r="AT64" s="7"/>
      <c r="AV64" s="10" t="str">
        <f t="shared" si="57"/>
        <v/>
      </c>
      <c r="AW64" s="10" t="str">
        <f t="shared" si="58"/>
        <v/>
      </c>
      <c r="AY64" s="7"/>
      <c r="BA64" s="11" t="str">
        <f t="shared" si="59"/>
        <v/>
      </c>
      <c r="BB64" s="10" t="str">
        <f t="shared" si="60"/>
        <v/>
      </c>
      <c r="BD64" s="10" t="str">
        <f t="shared" si="61"/>
        <v/>
      </c>
      <c r="BE64" s="10" t="str">
        <f t="shared" si="62"/>
        <v/>
      </c>
      <c r="BG64" s="11" t="str">
        <f t="shared" si="63"/>
        <v/>
      </c>
      <c r="BH64" s="10" t="str">
        <f t="shared" si="64"/>
        <v/>
      </c>
      <c r="BJ64" s="7" t="str">
        <f t="shared" si="65"/>
        <v/>
      </c>
      <c r="BK64" s="158" t="str">
        <f t="shared" si="66"/>
        <v/>
      </c>
      <c r="BL64" s="158" t="str">
        <f t="shared" si="67"/>
        <v/>
      </c>
      <c r="BM64" s="10"/>
      <c r="BN64" s="10" t="str">
        <f t="shared" si="68"/>
        <v/>
      </c>
      <c r="BO64" s="10" t="str">
        <f t="shared" si="69"/>
        <v/>
      </c>
      <c r="BQ64" s="10" t="str">
        <f t="shared" si="70"/>
        <v/>
      </c>
      <c r="BR64" s="10" t="str">
        <f t="shared" si="71"/>
        <v/>
      </c>
    </row>
    <row r="65" spans="2:70" x14ac:dyDescent="0.15">
      <c r="I65" s="38">
        <f t="shared" si="72"/>
        <v>2080</v>
      </c>
      <c r="J65" s="39"/>
      <c r="K65" s="39">
        <f t="shared" si="73"/>
        <v>51</v>
      </c>
      <c r="L65" s="39"/>
      <c r="M65" s="40">
        <f t="shared" si="38"/>
        <v>0.22146318426189707</v>
      </c>
      <c r="N65" s="39"/>
      <c r="O65" s="72" t="str">
        <f t="shared" si="74"/>
        <v/>
      </c>
      <c r="P65" s="41" t="str">
        <f t="shared" si="39"/>
        <v/>
      </c>
      <c r="Q65" s="39"/>
      <c r="R65" s="72" t="str">
        <f t="shared" si="75"/>
        <v/>
      </c>
      <c r="S65" s="39"/>
      <c r="T65" s="72" t="str">
        <f t="shared" si="40"/>
        <v/>
      </c>
      <c r="U65" s="39"/>
      <c r="V65" s="72" t="str">
        <f t="shared" si="41"/>
        <v/>
      </c>
      <c r="W65" s="72" t="str">
        <f t="shared" si="42"/>
        <v/>
      </c>
      <c r="X65" s="39"/>
      <c r="Y65" s="72" t="str">
        <f t="shared" si="43"/>
        <v/>
      </c>
      <c r="Z65" s="72" t="str">
        <f t="shared" si="44"/>
        <v/>
      </c>
      <c r="AA65" s="39"/>
      <c r="AB65" s="72" t="str">
        <f t="shared" si="45"/>
        <v/>
      </c>
      <c r="AC65" s="72" t="str">
        <f t="shared" si="46"/>
        <v/>
      </c>
      <c r="AD65" s="39"/>
      <c r="AE65" s="72" t="str">
        <f t="shared" si="47"/>
        <v/>
      </c>
      <c r="AF65" s="72" t="str">
        <f t="shared" si="48"/>
        <v/>
      </c>
      <c r="AG65" s="39"/>
      <c r="AH65" s="72" t="str">
        <f t="shared" si="49"/>
        <v/>
      </c>
      <c r="AI65" s="72" t="str">
        <f t="shared" si="50"/>
        <v/>
      </c>
      <c r="AJ65" s="39"/>
      <c r="AK65" s="72" t="str">
        <f t="shared" si="51"/>
        <v/>
      </c>
      <c r="AL65" s="72" t="str">
        <f t="shared" si="52"/>
        <v/>
      </c>
      <c r="AM65" s="39"/>
      <c r="AN65" s="72" t="str">
        <f t="shared" si="53"/>
        <v/>
      </c>
      <c r="AO65" s="72" t="str">
        <f t="shared" si="54"/>
        <v/>
      </c>
      <c r="AP65" s="39"/>
      <c r="AQ65" s="72" t="str">
        <f t="shared" si="55"/>
        <v/>
      </c>
      <c r="AR65" s="72" t="str">
        <f t="shared" si="56"/>
        <v/>
      </c>
      <c r="AS65" s="39"/>
      <c r="AT65" s="40"/>
      <c r="AU65" s="39"/>
      <c r="AV65" s="72" t="str">
        <f t="shared" si="57"/>
        <v/>
      </c>
      <c r="AW65" s="72" t="str">
        <f t="shared" si="58"/>
        <v/>
      </c>
      <c r="AX65" s="39"/>
      <c r="AY65" s="40"/>
      <c r="AZ65" s="39"/>
      <c r="BA65" s="42" t="str">
        <f t="shared" si="59"/>
        <v/>
      </c>
      <c r="BB65" s="72" t="str">
        <f t="shared" si="60"/>
        <v/>
      </c>
      <c r="BC65" s="39"/>
      <c r="BD65" s="72" t="str">
        <f t="shared" si="61"/>
        <v/>
      </c>
      <c r="BE65" s="72" t="str">
        <f t="shared" si="62"/>
        <v/>
      </c>
      <c r="BF65" s="39"/>
      <c r="BG65" s="42" t="str">
        <f t="shared" si="63"/>
        <v/>
      </c>
      <c r="BH65" s="72" t="str">
        <f t="shared" si="64"/>
        <v/>
      </c>
      <c r="BI65" s="39"/>
      <c r="BJ65" s="40" t="str">
        <f t="shared" si="65"/>
        <v/>
      </c>
      <c r="BK65" s="157" t="str">
        <f t="shared" si="66"/>
        <v/>
      </c>
      <c r="BL65" s="157" t="str">
        <f t="shared" si="67"/>
        <v/>
      </c>
      <c r="BM65" s="72"/>
      <c r="BN65" s="72" t="str">
        <f t="shared" si="68"/>
        <v/>
      </c>
      <c r="BO65" s="72" t="str">
        <f t="shared" si="69"/>
        <v/>
      </c>
      <c r="BP65" s="39"/>
      <c r="BQ65" s="72" t="str">
        <f t="shared" si="70"/>
        <v/>
      </c>
      <c r="BR65" s="72" t="str">
        <f t="shared" si="71"/>
        <v/>
      </c>
    </row>
    <row r="66" spans="2:70" x14ac:dyDescent="0.15">
      <c r="I66" s="457">
        <f t="shared" si="72"/>
        <v>2081</v>
      </c>
      <c r="K66" s="71">
        <f t="shared" si="73"/>
        <v>52</v>
      </c>
      <c r="M66" s="7">
        <f t="shared" si="38"/>
        <v>0.215012800254269</v>
      </c>
      <c r="O66" s="10" t="str">
        <f t="shared" si="74"/>
        <v/>
      </c>
      <c r="P66" s="29" t="str">
        <f t="shared" si="39"/>
        <v/>
      </c>
      <c r="R66" s="10" t="str">
        <f t="shared" si="75"/>
        <v/>
      </c>
      <c r="T66" s="10" t="str">
        <f t="shared" si="40"/>
        <v/>
      </c>
      <c r="V66" s="10" t="str">
        <f t="shared" si="41"/>
        <v/>
      </c>
      <c r="W66" s="10" t="str">
        <f t="shared" si="42"/>
        <v/>
      </c>
      <c r="Y66" s="10" t="str">
        <f t="shared" si="43"/>
        <v/>
      </c>
      <c r="Z66" s="10" t="str">
        <f t="shared" si="44"/>
        <v/>
      </c>
      <c r="AB66" s="10" t="str">
        <f t="shared" si="45"/>
        <v/>
      </c>
      <c r="AC66" s="10" t="str">
        <f t="shared" si="46"/>
        <v/>
      </c>
      <c r="AE66" s="10" t="str">
        <f t="shared" si="47"/>
        <v/>
      </c>
      <c r="AF66" s="10" t="str">
        <f t="shared" si="48"/>
        <v/>
      </c>
      <c r="AH66" s="10" t="str">
        <f t="shared" si="49"/>
        <v/>
      </c>
      <c r="AI66" s="10" t="str">
        <f t="shared" si="50"/>
        <v/>
      </c>
      <c r="AK66" s="10" t="str">
        <f t="shared" si="51"/>
        <v/>
      </c>
      <c r="AL66" s="10" t="str">
        <f t="shared" si="52"/>
        <v/>
      </c>
      <c r="AN66" s="10" t="str">
        <f t="shared" si="53"/>
        <v/>
      </c>
      <c r="AO66" s="10" t="str">
        <f t="shared" si="54"/>
        <v/>
      </c>
      <c r="AQ66" s="10" t="str">
        <f t="shared" si="55"/>
        <v/>
      </c>
      <c r="AR66" s="10" t="str">
        <f t="shared" si="56"/>
        <v/>
      </c>
      <c r="AT66" s="7"/>
      <c r="AV66" s="10" t="str">
        <f t="shared" si="57"/>
        <v/>
      </c>
      <c r="AW66" s="10" t="str">
        <f t="shared" si="58"/>
        <v/>
      </c>
      <c r="AY66" s="7"/>
      <c r="BA66" s="11" t="str">
        <f t="shared" si="59"/>
        <v/>
      </c>
      <c r="BB66" s="10" t="str">
        <f t="shared" si="60"/>
        <v/>
      </c>
      <c r="BD66" s="10" t="str">
        <f t="shared" si="61"/>
        <v/>
      </c>
      <c r="BE66" s="10" t="str">
        <f t="shared" si="62"/>
        <v/>
      </c>
      <c r="BG66" s="11" t="str">
        <f t="shared" si="63"/>
        <v/>
      </c>
      <c r="BH66" s="10" t="str">
        <f t="shared" si="64"/>
        <v/>
      </c>
      <c r="BJ66" s="7" t="str">
        <f t="shared" si="65"/>
        <v/>
      </c>
      <c r="BK66" s="158" t="str">
        <f t="shared" si="66"/>
        <v/>
      </c>
      <c r="BL66" s="158" t="str">
        <f t="shared" si="67"/>
        <v/>
      </c>
      <c r="BM66" s="10"/>
      <c r="BN66" s="10" t="str">
        <f t="shared" si="68"/>
        <v/>
      </c>
      <c r="BO66" s="10" t="str">
        <f t="shared" si="69"/>
        <v/>
      </c>
      <c r="BQ66" s="10" t="str">
        <f t="shared" si="70"/>
        <v/>
      </c>
      <c r="BR66" s="10" t="str">
        <f t="shared" si="71"/>
        <v/>
      </c>
    </row>
    <row r="67" spans="2:70" ht="15.75" thickBot="1" x14ac:dyDescent="0.2">
      <c r="B67" s="5" t="s">
        <v>133</v>
      </c>
      <c r="C67" s="3"/>
      <c r="D67" s="102"/>
      <c r="E67" s="102"/>
      <c r="F67" s="3"/>
      <c r="G67" s="102"/>
      <c r="I67" s="38">
        <f t="shared" si="72"/>
        <v>2082</v>
      </c>
      <c r="J67" s="39"/>
      <c r="K67" s="39">
        <f t="shared" si="73"/>
        <v>53</v>
      </c>
      <c r="L67" s="39"/>
      <c r="M67" s="40">
        <f t="shared" si="38"/>
        <v>0.20875029150899907</v>
      </c>
      <c r="N67" s="39"/>
      <c r="O67" s="72" t="str">
        <f t="shared" si="74"/>
        <v/>
      </c>
      <c r="P67" s="41" t="str">
        <f t="shared" si="39"/>
        <v/>
      </c>
      <c r="Q67" s="39"/>
      <c r="R67" s="72" t="str">
        <f t="shared" si="75"/>
        <v/>
      </c>
      <c r="S67" s="39"/>
      <c r="T67" s="72" t="str">
        <f t="shared" si="40"/>
        <v/>
      </c>
      <c r="U67" s="39"/>
      <c r="V67" s="72" t="str">
        <f t="shared" si="41"/>
        <v/>
      </c>
      <c r="W67" s="72" t="str">
        <f t="shared" si="42"/>
        <v/>
      </c>
      <c r="X67" s="39"/>
      <c r="Y67" s="72" t="str">
        <f t="shared" si="43"/>
        <v/>
      </c>
      <c r="Z67" s="72" t="str">
        <f t="shared" si="44"/>
        <v/>
      </c>
      <c r="AA67" s="39"/>
      <c r="AB67" s="72" t="str">
        <f t="shared" si="45"/>
        <v/>
      </c>
      <c r="AC67" s="72" t="str">
        <f t="shared" si="46"/>
        <v/>
      </c>
      <c r="AD67" s="39"/>
      <c r="AE67" s="72" t="str">
        <f t="shared" si="47"/>
        <v/>
      </c>
      <c r="AF67" s="72" t="str">
        <f t="shared" si="48"/>
        <v/>
      </c>
      <c r="AG67" s="39"/>
      <c r="AH67" s="72" t="str">
        <f t="shared" si="49"/>
        <v/>
      </c>
      <c r="AI67" s="72" t="str">
        <f t="shared" si="50"/>
        <v/>
      </c>
      <c r="AJ67" s="39"/>
      <c r="AK67" s="72" t="str">
        <f t="shared" si="51"/>
        <v/>
      </c>
      <c r="AL67" s="72" t="str">
        <f t="shared" si="52"/>
        <v/>
      </c>
      <c r="AM67" s="39"/>
      <c r="AN67" s="72" t="str">
        <f t="shared" si="53"/>
        <v/>
      </c>
      <c r="AO67" s="72" t="str">
        <f t="shared" si="54"/>
        <v/>
      </c>
      <c r="AP67" s="39"/>
      <c r="AQ67" s="72" t="str">
        <f t="shared" si="55"/>
        <v/>
      </c>
      <c r="AR67" s="72" t="str">
        <f t="shared" si="56"/>
        <v/>
      </c>
      <c r="AS67" s="39"/>
      <c r="AT67" s="40"/>
      <c r="AU67" s="39"/>
      <c r="AV67" s="72" t="str">
        <f t="shared" si="57"/>
        <v/>
      </c>
      <c r="AW67" s="72" t="str">
        <f t="shared" si="58"/>
        <v/>
      </c>
      <c r="AX67" s="39"/>
      <c r="AY67" s="40"/>
      <c r="AZ67" s="39"/>
      <c r="BA67" s="42" t="str">
        <f t="shared" si="59"/>
        <v/>
      </c>
      <c r="BB67" s="72" t="str">
        <f t="shared" si="60"/>
        <v/>
      </c>
      <c r="BC67" s="39"/>
      <c r="BD67" s="72" t="str">
        <f t="shared" si="61"/>
        <v/>
      </c>
      <c r="BE67" s="72" t="str">
        <f t="shared" si="62"/>
        <v/>
      </c>
      <c r="BF67" s="39"/>
      <c r="BG67" s="42" t="str">
        <f t="shared" si="63"/>
        <v/>
      </c>
      <c r="BH67" s="72" t="str">
        <f t="shared" si="64"/>
        <v/>
      </c>
      <c r="BI67" s="39"/>
      <c r="BJ67" s="40" t="str">
        <f t="shared" si="65"/>
        <v/>
      </c>
      <c r="BK67" s="157" t="str">
        <f t="shared" si="66"/>
        <v/>
      </c>
      <c r="BL67" s="157" t="str">
        <f t="shared" si="67"/>
        <v/>
      </c>
      <c r="BM67" s="72"/>
      <c r="BN67" s="72" t="str">
        <f t="shared" si="68"/>
        <v/>
      </c>
      <c r="BO67" s="72" t="str">
        <f t="shared" si="69"/>
        <v/>
      </c>
      <c r="BP67" s="39"/>
      <c r="BQ67" s="72" t="str">
        <f t="shared" si="70"/>
        <v/>
      </c>
      <c r="BR67" s="72" t="str">
        <f t="shared" si="71"/>
        <v/>
      </c>
    </row>
    <row r="68" spans="2:70" x14ac:dyDescent="0.15">
      <c r="I68" s="457">
        <f t="shared" si="72"/>
        <v>2083</v>
      </c>
      <c r="K68" s="71">
        <f t="shared" si="73"/>
        <v>54</v>
      </c>
      <c r="M68" s="7">
        <f t="shared" si="38"/>
        <v>0.20267018593106703</v>
      </c>
      <c r="O68" s="10" t="str">
        <f t="shared" si="74"/>
        <v/>
      </c>
      <c r="P68" s="29" t="str">
        <f t="shared" si="39"/>
        <v/>
      </c>
      <c r="R68" s="10" t="str">
        <f t="shared" si="75"/>
        <v/>
      </c>
      <c r="T68" s="10" t="str">
        <f t="shared" si="40"/>
        <v/>
      </c>
      <c r="V68" s="10" t="str">
        <f t="shared" si="41"/>
        <v/>
      </c>
      <c r="W68" s="10" t="str">
        <f t="shared" si="42"/>
        <v/>
      </c>
      <c r="Y68" s="10" t="str">
        <f t="shared" si="43"/>
        <v/>
      </c>
      <c r="Z68" s="10" t="str">
        <f t="shared" si="44"/>
        <v/>
      </c>
      <c r="AB68" s="10" t="str">
        <f t="shared" si="45"/>
        <v/>
      </c>
      <c r="AC68" s="10" t="str">
        <f t="shared" si="46"/>
        <v/>
      </c>
      <c r="AE68" s="10" t="str">
        <f t="shared" si="47"/>
        <v/>
      </c>
      <c r="AF68" s="10" t="str">
        <f t="shared" si="48"/>
        <v/>
      </c>
      <c r="AH68" s="10" t="str">
        <f t="shared" si="49"/>
        <v/>
      </c>
      <c r="AI68" s="10" t="str">
        <f t="shared" si="50"/>
        <v/>
      </c>
      <c r="AK68" s="10" t="str">
        <f t="shared" si="51"/>
        <v/>
      </c>
      <c r="AL68" s="10" t="str">
        <f t="shared" si="52"/>
        <v/>
      </c>
      <c r="AN68" s="10" t="str">
        <f t="shared" si="53"/>
        <v/>
      </c>
      <c r="AO68" s="10" t="str">
        <f t="shared" si="54"/>
        <v/>
      </c>
      <c r="AQ68" s="10" t="str">
        <f t="shared" si="55"/>
        <v/>
      </c>
      <c r="AR68" s="10" t="str">
        <f t="shared" si="56"/>
        <v/>
      </c>
      <c r="AT68" s="7"/>
      <c r="AV68" s="10" t="str">
        <f t="shared" si="57"/>
        <v/>
      </c>
      <c r="AW68" s="10" t="str">
        <f t="shared" si="58"/>
        <v/>
      </c>
      <c r="AY68" s="7"/>
      <c r="BA68" s="11" t="str">
        <f t="shared" si="59"/>
        <v/>
      </c>
      <c r="BB68" s="10" t="str">
        <f t="shared" si="60"/>
        <v/>
      </c>
      <c r="BD68" s="10" t="str">
        <f t="shared" si="61"/>
        <v/>
      </c>
      <c r="BE68" s="10" t="str">
        <f t="shared" si="62"/>
        <v/>
      </c>
      <c r="BG68" s="11" t="str">
        <f t="shared" si="63"/>
        <v/>
      </c>
      <c r="BH68" s="10" t="str">
        <f t="shared" si="64"/>
        <v/>
      </c>
      <c r="BJ68" s="7" t="str">
        <f t="shared" si="65"/>
        <v/>
      </c>
      <c r="BK68" s="158" t="str">
        <f t="shared" si="66"/>
        <v/>
      </c>
      <c r="BL68" s="158" t="str">
        <f t="shared" si="67"/>
        <v/>
      </c>
      <c r="BM68" s="10"/>
      <c r="BN68" s="10" t="str">
        <f t="shared" si="68"/>
        <v/>
      </c>
      <c r="BO68" s="10" t="str">
        <f t="shared" si="69"/>
        <v/>
      </c>
      <c r="BQ68" s="10" t="str">
        <f t="shared" si="70"/>
        <v/>
      </c>
      <c r="BR68" s="10" t="str">
        <f t="shared" si="71"/>
        <v/>
      </c>
    </row>
    <row r="69" spans="2:70" x14ac:dyDescent="0.15">
      <c r="C69" s="483" t="s">
        <v>134</v>
      </c>
      <c r="D69" s="71"/>
      <c r="E69" s="71"/>
      <c r="F69" s="484">
        <f>SUBTOTAL(9,F74:F112)-F105</f>
        <v>13.799578006226632</v>
      </c>
      <c r="G69" s="71" t="s">
        <v>590</v>
      </c>
      <c r="I69" s="38">
        <f t="shared" si="72"/>
        <v>2084</v>
      </c>
      <c r="J69" s="39"/>
      <c r="K69" s="39">
        <f t="shared" si="73"/>
        <v>55</v>
      </c>
      <c r="L69" s="39"/>
      <c r="M69" s="40">
        <f t="shared" si="38"/>
        <v>0.19676717080686118</v>
      </c>
      <c r="N69" s="39"/>
      <c r="O69" s="72" t="str">
        <f t="shared" si="74"/>
        <v/>
      </c>
      <c r="P69" s="41" t="str">
        <f t="shared" si="39"/>
        <v/>
      </c>
      <c r="Q69" s="39"/>
      <c r="R69" s="72" t="str">
        <f t="shared" si="75"/>
        <v/>
      </c>
      <c r="S69" s="39"/>
      <c r="T69" s="72" t="str">
        <f t="shared" si="40"/>
        <v/>
      </c>
      <c r="U69" s="39"/>
      <c r="V69" s="72" t="str">
        <f t="shared" si="41"/>
        <v/>
      </c>
      <c r="W69" s="72" t="str">
        <f t="shared" si="42"/>
        <v/>
      </c>
      <c r="X69" s="39"/>
      <c r="Y69" s="72" t="str">
        <f t="shared" si="43"/>
        <v/>
      </c>
      <c r="Z69" s="72" t="str">
        <f t="shared" si="44"/>
        <v/>
      </c>
      <c r="AA69" s="39"/>
      <c r="AB69" s="72" t="str">
        <f t="shared" si="45"/>
        <v/>
      </c>
      <c r="AC69" s="72" t="str">
        <f t="shared" si="46"/>
        <v/>
      </c>
      <c r="AD69" s="39"/>
      <c r="AE69" s="72" t="str">
        <f t="shared" si="47"/>
        <v/>
      </c>
      <c r="AF69" s="72" t="str">
        <f t="shared" si="48"/>
        <v/>
      </c>
      <c r="AG69" s="39"/>
      <c r="AH69" s="72" t="str">
        <f t="shared" si="49"/>
        <v/>
      </c>
      <c r="AI69" s="72" t="str">
        <f t="shared" si="50"/>
        <v/>
      </c>
      <c r="AJ69" s="39"/>
      <c r="AK69" s="72" t="str">
        <f t="shared" si="51"/>
        <v/>
      </c>
      <c r="AL69" s="72" t="str">
        <f t="shared" si="52"/>
        <v/>
      </c>
      <c r="AM69" s="39"/>
      <c r="AN69" s="72" t="str">
        <f t="shared" si="53"/>
        <v/>
      </c>
      <c r="AO69" s="72" t="str">
        <f t="shared" si="54"/>
        <v/>
      </c>
      <c r="AP69" s="39"/>
      <c r="AQ69" s="72" t="str">
        <f t="shared" si="55"/>
        <v/>
      </c>
      <c r="AR69" s="72" t="str">
        <f t="shared" si="56"/>
        <v/>
      </c>
      <c r="AS69" s="39"/>
      <c r="AT69" s="40"/>
      <c r="AU69" s="39"/>
      <c r="AV69" s="72" t="str">
        <f t="shared" si="57"/>
        <v/>
      </c>
      <c r="AW69" s="72" t="str">
        <f t="shared" si="58"/>
        <v/>
      </c>
      <c r="AX69" s="39"/>
      <c r="AY69" s="40"/>
      <c r="AZ69" s="39"/>
      <c r="BA69" s="42" t="str">
        <f t="shared" si="59"/>
        <v/>
      </c>
      <c r="BB69" s="72" t="str">
        <f t="shared" si="60"/>
        <v/>
      </c>
      <c r="BC69" s="39"/>
      <c r="BD69" s="72" t="str">
        <f t="shared" si="61"/>
        <v/>
      </c>
      <c r="BE69" s="72" t="str">
        <f t="shared" si="62"/>
        <v/>
      </c>
      <c r="BF69" s="39"/>
      <c r="BG69" s="42" t="str">
        <f t="shared" si="63"/>
        <v/>
      </c>
      <c r="BH69" s="72" t="str">
        <f t="shared" si="64"/>
        <v/>
      </c>
      <c r="BI69" s="39"/>
      <c r="BJ69" s="40" t="str">
        <f t="shared" si="65"/>
        <v/>
      </c>
      <c r="BK69" s="157" t="str">
        <f t="shared" si="66"/>
        <v/>
      </c>
      <c r="BL69" s="157" t="str">
        <f t="shared" si="67"/>
        <v/>
      </c>
      <c r="BM69" s="72"/>
      <c r="BN69" s="72" t="str">
        <f t="shared" si="68"/>
        <v/>
      </c>
      <c r="BO69" s="72" t="str">
        <f t="shared" si="69"/>
        <v/>
      </c>
      <c r="BP69" s="39"/>
      <c r="BQ69" s="72" t="str">
        <f t="shared" si="70"/>
        <v/>
      </c>
      <c r="BR69" s="72" t="str">
        <f t="shared" si="71"/>
        <v/>
      </c>
    </row>
    <row r="70" spans="2:70" x14ac:dyDescent="0.15">
      <c r="C70" s="483" t="s">
        <v>135</v>
      </c>
      <c r="D70" s="71"/>
      <c r="E70" s="71"/>
      <c r="F70" s="484">
        <f>SUBTOTAL(9,F74:F112)</f>
        <v>13.869578006226632</v>
      </c>
      <c r="G70" s="71" t="s">
        <v>590</v>
      </c>
      <c r="I70" s="457">
        <f t="shared" si="72"/>
        <v>2085</v>
      </c>
      <c r="K70" s="71">
        <f t="shared" si="73"/>
        <v>56</v>
      </c>
      <c r="M70" s="7">
        <f t="shared" si="38"/>
        <v>0.19103608816200118</v>
      </c>
      <c r="O70" s="10" t="str">
        <f t="shared" si="74"/>
        <v/>
      </c>
      <c r="P70" s="29" t="str">
        <f t="shared" si="39"/>
        <v/>
      </c>
      <c r="R70" s="10" t="str">
        <f t="shared" si="75"/>
        <v/>
      </c>
      <c r="T70" s="10" t="str">
        <f t="shared" si="40"/>
        <v/>
      </c>
      <c r="V70" s="10" t="str">
        <f t="shared" si="41"/>
        <v/>
      </c>
      <c r="W70" s="10" t="str">
        <f t="shared" si="42"/>
        <v/>
      </c>
      <c r="Y70" s="10" t="str">
        <f t="shared" si="43"/>
        <v/>
      </c>
      <c r="Z70" s="10" t="str">
        <f t="shared" si="44"/>
        <v/>
      </c>
      <c r="AB70" s="10" t="str">
        <f t="shared" si="45"/>
        <v/>
      </c>
      <c r="AC70" s="10" t="str">
        <f t="shared" si="46"/>
        <v/>
      </c>
      <c r="AE70" s="10" t="str">
        <f t="shared" si="47"/>
        <v/>
      </c>
      <c r="AF70" s="10" t="str">
        <f t="shared" si="48"/>
        <v/>
      </c>
      <c r="AH70" s="10" t="str">
        <f t="shared" si="49"/>
        <v/>
      </c>
      <c r="AI70" s="10" t="str">
        <f t="shared" si="50"/>
        <v/>
      </c>
      <c r="AK70" s="10" t="str">
        <f t="shared" si="51"/>
        <v/>
      </c>
      <c r="AL70" s="10" t="str">
        <f t="shared" si="52"/>
        <v/>
      </c>
      <c r="AN70" s="10" t="str">
        <f t="shared" si="53"/>
        <v/>
      </c>
      <c r="AO70" s="10" t="str">
        <f t="shared" si="54"/>
        <v/>
      </c>
      <c r="AQ70" s="10" t="str">
        <f t="shared" si="55"/>
        <v/>
      </c>
      <c r="AR70" s="10" t="str">
        <f t="shared" si="56"/>
        <v/>
      </c>
      <c r="AT70" s="7"/>
      <c r="AV70" s="10" t="str">
        <f t="shared" si="57"/>
        <v/>
      </c>
      <c r="AW70" s="10" t="str">
        <f t="shared" si="58"/>
        <v/>
      </c>
      <c r="AY70" s="7"/>
      <c r="BA70" s="11" t="str">
        <f t="shared" si="59"/>
        <v/>
      </c>
      <c r="BB70" s="10" t="str">
        <f t="shared" si="60"/>
        <v/>
      </c>
      <c r="BD70" s="10" t="str">
        <f t="shared" si="61"/>
        <v/>
      </c>
      <c r="BE70" s="10" t="str">
        <f t="shared" si="62"/>
        <v/>
      </c>
      <c r="BG70" s="11" t="str">
        <f t="shared" si="63"/>
        <v/>
      </c>
      <c r="BH70" s="10" t="str">
        <f t="shared" si="64"/>
        <v/>
      </c>
      <c r="BJ70" s="7" t="str">
        <f t="shared" si="65"/>
        <v/>
      </c>
      <c r="BK70" s="158" t="str">
        <f t="shared" si="66"/>
        <v/>
      </c>
      <c r="BL70" s="158" t="str">
        <f t="shared" si="67"/>
        <v/>
      </c>
      <c r="BM70" s="10"/>
      <c r="BN70" s="10" t="str">
        <f t="shared" si="68"/>
        <v/>
      </c>
      <c r="BO70" s="10" t="str">
        <f t="shared" si="69"/>
        <v/>
      </c>
      <c r="BQ70" s="10" t="str">
        <f t="shared" si="70"/>
        <v/>
      </c>
      <c r="BR70" s="10" t="str">
        <f t="shared" si="71"/>
        <v/>
      </c>
    </row>
    <row r="71" spans="2:70" x14ac:dyDescent="0.15">
      <c r="F71" s="485"/>
      <c r="I71" s="38">
        <f t="shared" si="72"/>
        <v>2086</v>
      </c>
      <c r="J71" s="39"/>
      <c r="K71" s="39">
        <f t="shared" si="73"/>
        <v>57</v>
      </c>
      <c r="L71" s="39"/>
      <c r="M71" s="40">
        <f t="shared" si="38"/>
        <v>0.18547193025437006</v>
      </c>
      <c r="N71" s="39"/>
      <c r="O71" s="72" t="str">
        <f t="shared" si="74"/>
        <v/>
      </c>
      <c r="P71" s="41" t="str">
        <f t="shared" si="39"/>
        <v/>
      </c>
      <c r="Q71" s="39"/>
      <c r="R71" s="72" t="str">
        <f t="shared" si="75"/>
        <v/>
      </c>
      <c r="S71" s="39"/>
      <c r="T71" s="72" t="str">
        <f t="shared" si="40"/>
        <v/>
      </c>
      <c r="U71" s="39"/>
      <c r="V71" s="72" t="str">
        <f t="shared" si="41"/>
        <v/>
      </c>
      <c r="W71" s="72" t="str">
        <f t="shared" si="42"/>
        <v/>
      </c>
      <c r="X71" s="39"/>
      <c r="Y71" s="72" t="str">
        <f t="shared" si="43"/>
        <v/>
      </c>
      <c r="Z71" s="72" t="str">
        <f t="shared" si="44"/>
        <v/>
      </c>
      <c r="AA71" s="39"/>
      <c r="AB71" s="72" t="str">
        <f t="shared" si="45"/>
        <v/>
      </c>
      <c r="AC71" s="72" t="str">
        <f t="shared" si="46"/>
        <v/>
      </c>
      <c r="AD71" s="39"/>
      <c r="AE71" s="72" t="str">
        <f t="shared" si="47"/>
        <v/>
      </c>
      <c r="AF71" s="72" t="str">
        <f t="shared" si="48"/>
        <v/>
      </c>
      <c r="AG71" s="39"/>
      <c r="AH71" s="72" t="str">
        <f t="shared" si="49"/>
        <v/>
      </c>
      <c r="AI71" s="72" t="str">
        <f t="shared" si="50"/>
        <v/>
      </c>
      <c r="AJ71" s="39"/>
      <c r="AK71" s="72" t="str">
        <f t="shared" si="51"/>
        <v/>
      </c>
      <c r="AL71" s="72" t="str">
        <f t="shared" si="52"/>
        <v/>
      </c>
      <c r="AM71" s="39"/>
      <c r="AN71" s="72" t="str">
        <f t="shared" si="53"/>
        <v/>
      </c>
      <c r="AO71" s="72" t="str">
        <f t="shared" si="54"/>
        <v/>
      </c>
      <c r="AP71" s="39"/>
      <c r="AQ71" s="72" t="str">
        <f t="shared" si="55"/>
        <v/>
      </c>
      <c r="AR71" s="72" t="str">
        <f t="shared" si="56"/>
        <v/>
      </c>
      <c r="AS71" s="39"/>
      <c r="AT71" s="40"/>
      <c r="AU71" s="39"/>
      <c r="AV71" s="72" t="str">
        <f t="shared" si="57"/>
        <v/>
      </c>
      <c r="AW71" s="72" t="str">
        <f t="shared" si="58"/>
        <v/>
      </c>
      <c r="AX71" s="39"/>
      <c r="AY71" s="40"/>
      <c r="AZ71" s="39"/>
      <c r="BA71" s="42" t="str">
        <f t="shared" si="59"/>
        <v/>
      </c>
      <c r="BB71" s="72" t="str">
        <f t="shared" si="60"/>
        <v/>
      </c>
      <c r="BC71" s="39"/>
      <c r="BD71" s="72" t="str">
        <f t="shared" si="61"/>
        <v/>
      </c>
      <c r="BE71" s="72" t="str">
        <f t="shared" si="62"/>
        <v/>
      </c>
      <c r="BF71" s="39"/>
      <c r="BG71" s="42" t="str">
        <f t="shared" si="63"/>
        <v/>
      </c>
      <c r="BH71" s="72" t="str">
        <f t="shared" si="64"/>
        <v/>
      </c>
      <c r="BI71" s="39"/>
      <c r="BJ71" s="40" t="str">
        <f t="shared" si="65"/>
        <v/>
      </c>
      <c r="BK71" s="157" t="str">
        <f t="shared" si="66"/>
        <v/>
      </c>
      <c r="BL71" s="157" t="str">
        <f t="shared" si="67"/>
        <v/>
      </c>
      <c r="BM71" s="72"/>
      <c r="BN71" s="72" t="str">
        <f t="shared" si="68"/>
        <v/>
      </c>
      <c r="BO71" s="72" t="str">
        <f t="shared" si="69"/>
        <v/>
      </c>
      <c r="BP71" s="39"/>
      <c r="BQ71" s="72" t="str">
        <f t="shared" si="70"/>
        <v/>
      </c>
      <c r="BR71" s="72" t="str">
        <f t="shared" si="71"/>
        <v/>
      </c>
    </row>
    <row r="72" spans="2:70" x14ac:dyDescent="0.15">
      <c r="C72" s="4" t="s">
        <v>136</v>
      </c>
      <c r="D72" s="100"/>
      <c r="E72" s="100"/>
      <c r="F72" s="486"/>
      <c r="G72" s="100"/>
      <c r="I72" s="457">
        <f t="shared" si="72"/>
        <v>2087</v>
      </c>
      <c r="K72" s="71">
        <f t="shared" si="73"/>
        <v>58</v>
      </c>
      <c r="M72" s="7">
        <f t="shared" si="38"/>
        <v>0.18006983519841754</v>
      </c>
      <c r="O72" s="10" t="str">
        <f t="shared" si="74"/>
        <v/>
      </c>
      <c r="P72" s="29" t="str">
        <f t="shared" si="39"/>
        <v/>
      </c>
      <c r="R72" s="10" t="str">
        <f t="shared" si="75"/>
        <v/>
      </c>
      <c r="T72" s="10" t="str">
        <f t="shared" si="40"/>
        <v/>
      </c>
      <c r="V72" s="10" t="str">
        <f t="shared" si="41"/>
        <v/>
      </c>
      <c r="W72" s="10" t="str">
        <f t="shared" si="42"/>
        <v/>
      </c>
      <c r="Y72" s="10" t="str">
        <f t="shared" si="43"/>
        <v/>
      </c>
      <c r="Z72" s="10" t="str">
        <f t="shared" si="44"/>
        <v/>
      </c>
      <c r="AB72" s="10" t="str">
        <f t="shared" si="45"/>
        <v/>
      </c>
      <c r="AC72" s="10" t="str">
        <f t="shared" si="46"/>
        <v/>
      </c>
      <c r="AE72" s="10" t="str">
        <f t="shared" si="47"/>
        <v/>
      </c>
      <c r="AF72" s="10" t="str">
        <f t="shared" si="48"/>
        <v/>
      </c>
      <c r="AH72" s="10" t="str">
        <f t="shared" si="49"/>
        <v/>
      </c>
      <c r="AI72" s="10" t="str">
        <f t="shared" si="50"/>
        <v/>
      </c>
      <c r="AK72" s="10" t="str">
        <f t="shared" si="51"/>
        <v/>
      </c>
      <c r="AL72" s="10" t="str">
        <f t="shared" si="52"/>
        <v/>
      </c>
      <c r="AN72" s="10" t="str">
        <f t="shared" si="53"/>
        <v/>
      </c>
      <c r="AO72" s="10" t="str">
        <f t="shared" si="54"/>
        <v/>
      </c>
      <c r="AQ72" s="10" t="str">
        <f t="shared" si="55"/>
        <v/>
      </c>
      <c r="AR72" s="10" t="str">
        <f t="shared" si="56"/>
        <v/>
      </c>
      <c r="AT72" s="7"/>
      <c r="AV72" s="10" t="str">
        <f t="shared" si="57"/>
        <v/>
      </c>
      <c r="AW72" s="10" t="str">
        <f t="shared" si="58"/>
        <v/>
      </c>
      <c r="AY72" s="7"/>
      <c r="BA72" s="11" t="str">
        <f t="shared" si="59"/>
        <v/>
      </c>
      <c r="BB72" s="10" t="str">
        <f t="shared" si="60"/>
        <v/>
      </c>
      <c r="BD72" s="10" t="str">
        <f t="shared" si="61"/>
        <v/>
      </c>
      <c r="BE72" s="10" t="str">
        <f t="shared" si="62"/>
        <v/>
      </c>
      <c r="BG72" s="11" t="str">
        <f t="shared" si="63"/>
        <v/>
      </c>
      <c r="BH72" s="10" t="str">
        <f t="shared" si="64"/>
        <v/>
      </c>
      <c r="BJ72" s="7" t="str">
        <f t="shared" si="65"/>
        <v/>
      </c>
      <c r="BK72" s="158" t="str">
        <f t="shared" si="66"/>
        <v/>
      </c>
      <c r="BL72" s="158" t="str">
        <f t="shared" si="67"/>
        <v/>
      </c>
      <c r="BM72" s="10"/>
      <c r="BN72" s="10" t="str">
        <f t="shared" si="68"/>
        <v/>
      </c>
      <c r="BO72" s="10" t="str">
        <f t="shared" si="69"/>
        <v/>
      </c>
      <c r="BQ72" s="10" t="str">
        <f t="shared" si="70"/>
        <v/>
      </c>
      <c r="BR72" s="10" t="str">
        <f t="shared" si="71"/>
        <v/>
      </c>
    </row>
    <row r="73" spans="2:70" x14ac:dyDescent="0.15">
      <c r="F73" s="487"/>
      <c r="I73" s="38">
        <f t="shared" si="72"/>
        <v>2088</v>
      </c>
      <c r="J73" s="39"/>
      <c r="K73" s="39">
        <f t="shared" si="73"/>
        <v>59</v>
      </c>
      <c r="L73" s="39"/>
      <c r="M73" s="40">
        <f t="shared" si="38"/>
        <v>0.17482508271691022</v>
      </c>
      <c r="N73" s="39"/>
      <c r="O73" s="72" t="str">
        <f t="shared" si="74"/>
        <v/>
      </c>
      <c r="P73" s="41" t="str">
        <f t="shared" si="39"/>
        <v/>
      </c>
      <c r="Q73" s="39"/>
      <c r="R73" s="72" t="str">
        <f t="shared" si="75"/>
        <v/>
      </c>
      <c r="S73" s="39"/>
      <c r="T73" s="72" t="str">
        <f t="shared" si="40"/>
        <v/>
      </c>
      <c r="U73" s="39"/>
      <c r="V73" s="72" t="str">
        <f t="shared" si="41"/>
        <v/>
      </c>
      <c r="W73" s="72" t="str">
        <f t="shared" si="42"/>
        <v/>
      </c>
      <c r="X73" s="39"/>
      <c r="Y73" s="72" t="str">
        <f t="shared" si="43"/>
        <v/>
      </c>
      <c r="Z73" s="72" t="str">
        <f t="shared" si="44"/>
        <v/>
      </c>
      <c r="AA73" s="39"/>
      <c r="AB73" s="72" t="str">
        <f t="shared" si="45"/>
        <v/>
      </c>
      <c r="AC73" s="72" t="str">
        <f t="shared" si="46"/>
        <v/>
      </c>
      <c r="AD73" s="39"/>
      <c r="AE73" s="72" t="str">
        <f t="shared" si="47"/>
        <v/>
      </c>
      <c r="AF73" s="72" t="str">
        <f t="shared" si="48"/>
        <v/>
      </c>
      <c r="AG73" s="39"/>
      <c r="AH73" s="72" t="str">
        <f t="shared" si="49"/>
        <v/>
      </c>
      <c r="AI73" s="72" t="str">
        <f t="shared" si="50"/>
        <v/>
      </c>
      <c r="AJ73" s="39"/>
      <c r="AK73" s="72" t="str">
        <f t="shared" si="51"/>
        <v/>
      </c>
      <c r="AL73" s="72" t="str">
        <f t="shared" si="52"/>
        <v/>
      </c>
      <c r="AM73" s="39"/>
      <c r="AN73" s="72" t="str">
        <f t="shared" si="53"/>
        <v/>
      </c>
      <c r="AO73" s="72" t="str">
        <f t="shared" si="54"/>
        <v/>
      </c>
      <c r="AP73" s="39"/>
      <c r="AQ73" s="72" t="str">
        <f t="shared" si="55"/>
        <v/>
      </c>
      <c r="AR73" s="72" t="str">
        <f t="shared" si="56"/>
        <v/>
      </c>
      <c r="AS73" s="39"/>
      <c r="AT73" s="40"/>
      <c r="AU73" s="39"/>
      <c r="AV73" s="72" t="str">
        <f t="shared" si="57"/>
        <v/>
      </c>
      <c r="AW73" s="72" t="str">
        <f t="shared" si="58"/>
        <v/>
      </c>
      <c r="AX73" s="39"/>
      <c r="AY73" s="40"/>
      <c r="AZ73" s="39"/>
      <c r="BA73" s="42" t="str">
        <f t="shared" si="59"/>
        <v/>
      </c>
      <c r="BB73" s="72" t="str">
        <f t="shared" si="60"/>
        <v/>
      </c>
      <c r="BC73" s="39"/>
      <c r="BD73" s="72" t="str">
        <f t="shared" si="61"/>
        <v/>
      </c>
      <c r="BE73" s="72" t="str">
        <f t="shared" si="62"/>
        <v/>
      </c>
      <c r="BF73" s="39"/>
      <c r="BG73" s="42" t="str">
        <f t="shared" si="63"/>
        <v/>
      </c>
      <c r="BH73" s="72" t="str">
        <f t="shared" si="64"/>
        <v/>
      </c>
      <c r="BI73" s="39"/>
      <c r="BJ73" s="40" t="str">
        <f t="shared" si="65"/>
        <v/>
      </c>
      <c r="BK73" s="157" t="str">
        <f t="shared" si="66"/>
        <v/>
      </c>
      <c r="BL73" s="157" t="str">
        <f t="shared" si="67"/>
        <v/>
      </c>
      <c r="BM73" s="72"/>
      <c r="BN73" s="72" t="str">
        <f t="shared" si="68"/>
        <v/>
      </c>
      <c r="BO73" s="72" t="str">
        <f t="shared" si="69"/>
        <v/>
      </c>
      <c r="BP73" s="39"/>
      <c r="BQ73" s="72" t="str">
        <f t="shared" si="70"/>
        <v/>
      </c>
      <c r="BR73" s="72" t="str">
        <f t="shared" si="71"/>
        <v/>
      </c>
    </row>
    <row r="74" spans="2:70" ht="15" x14ac:dyDescent="0.15">
      <c r="D74" s="103" t="s">
        <v>591</v>
      </c>
      <c r="F74" s="484">
        <f>SUBTOTAL(9,F78:F81)</f>
        <v>2.5864558913204894</v>
      </c>
      <c r="G74" s="84" t="s">
        <v>590</v>
      </c>
      <c r="I74" s="457">
        <f t="shared" si="72"/>
        <v>2089</v>
      </c>
      <c r="K74" s="71">
        <f t="shared" si="73"/>
        <v>60</v>
      </c>
      <c r="M74" s="7">
        <f t="shared" si="38"/>
        <v>0.1697330900164177</v>
      </c>
      <c r="O74" s="10" t="str">
        <f t="shared" si="74"/>
        <v/>
      </c>
      <c r="P74" s="29" t="str">
        <f t="shared" si="39"/>
        <v/>
      </c>
      <c r="R74" s="10" t="str">
        <f t="shared" si="75"/>
        <v/>
      </c>
      <c r="T74" s="10" t="str">
        <f t="shared" si="40"/>
        <v/>
      </c>
      <c r="V74" s="10" t="str">
        <f t="shared" si="41"/>
        <v/>
      </c>
      <c r="W74" s="10" t="str">
        <f t="shared" si="42"/>
        <v/>
      </c>
      <c r="Y74" s="10" t="str">
        <f t="shared" si="43"/>
        <v/>
      </c>
      <c r="Z74" s="10" t="str">
        <f t="shared" si="44"/>
        <v/>
      </c>
      <c r="AB74" s="10" t="str">
        <f t="shared" si="45"/>
        <v/>
      </c>
      <c r="AC74" s="10" t="str">
        <f t="shared" si="46"/>
        <v/>
      </c>
      <c r="AE74" s="10" t="str">
        <f t="shared" si="47"/>
        <v/>
      </c>
      <c r="AF74" s="10" t="str">
        <f t="shared" si="48"/>
        <v/>
      </c>
      <c r="AH74" s="10" t="str">
        <f t="shared" si="49"/>
        <v/>
      </c>
      <c r="AI74" s="10" t="str">
        <f t="shared" si="50"/>
        <v/>
      </c>
      <c r="AK74" s="10" t="str">
        <f t="shared" si="51"/>
        <v/>
      </c>
      <c r="AL74" s="10" t="str">
        <f t="shared" si="52"/>
        <v/>
      </c>
      <c r="AN74" s="10" t="str">
        <f t="shared" si="53"/>
        <v/>
      </c>
      <c r="AO74" s="10" t="str">
        <f t="shared" si="54"/>
        <v/>
      </c>
      <c r="AQ74" s="10" t="str">
        <f t="shared" si="55"/>
        <v/>
      </c>
      <c r="AR74" s="10" t="str">
        <f t="shared" si="56"/>
        <v/>
      </c>
      <c r="AT74" s="7"/>
      <c r="AV74" s="10" t="str">
        <f t="shared" si="57"/>
        <v/>
      </c>
      <c r="AW74" s="10" t="str">
        <f t="shared" si="58"/>
        <v/>
      </c>
      <c r="AY74" s="7"/>
      <c r="BA74" s="11" t="str">
        <f t="shared" si="59"/>
        <v/>
      </c>
      <c r="BB74" s="10" t="str">
        <f t="shared" si="60"/>
        <v/>
      </c>
      <c r="BD74" s="10" t="str">
        <f t="shared" si="61"/>
        <v/>
      </c>
      <c r="BE74" s="10" t="str">
        <f t="shared" si="62"/>
        <v/>
      </c>
      <c r="BG74" s="11" t="str">
        <f t="shared" si="63"/>
        <v/>
      </c>
      <c r="BH74" s="10" t="str">
        <f t="shared" si="64"/>
        <v/>
      </c>
      <c r="BJ74" s="7" t="str">
        <f t="shared" si="65"/>
        <v/>
      </c>
      <c r="BK74" s="158" t="str">
        <f t="shared" si="66"/>
        <v/>
      </c>
      <c r="BL74" s="158" t="str">
        <f t="shared" si="67"/>
        <v/>
      </c>
      <c r="BM74" s="10"/>
      <c r="BN74" s="10" t="str">
        <f t="shared" si="68"/>
        <v/>
      </c>
      <c r="BO74" s="10" t="str">
        <f t="shared" si="69"/>
        <v/>
      </c>
      <c r="BQ74" s="10" t="str">
        <f t="shared" si="70"/>
        <v/>
      </c>
      <c r="BR74" s="10" t="str">
        <f t="shared" si="71"/>
        <v/>
      </c>
    </row>
    <row r="75" spans="2:70" x14ac:dyDescent="0.15">
      <c r="F75" s="487"/>
      <c r="I75" s="38">
        <f t="shared" si="72"/>
        <v>2090</v>
      </c>
      <c r="J75" s="39"/>
      <c r="K75" s="39">
        <f t="shared" si="73"/>
        <v>61</v>
      </c>
      <c r="L75" s="39"/>
      <c r="M75" s="40">
        <f t="shared" si="38"/>
        <v>0.16478940778292983</v>
      </c>
      <c r="N75" s="39"/>
      <c r="O75" s="72" t="str">
        <f t="shared" si="74"/>
        <v/>
      </c>
      <c r="P75" s="41" t="str">
        <f t="shared" si="39"/>
        <v/>
      </c>
      <c r="Q75" s="39"/>
      <c r="R75" s="72" t="str">
        <f t="shared" si="75"/>
        <v/>
      </c>
      <c r="S75" s="39"/>
      <c r="T75" s="72" t="str">
        <f t="shared" si="40"/>
        <v/>
      </c>
      <c r="U75" s="39"/>
      <c r="V75" s="72" t="str">
        <f t="shared" si="41"/>
        <v/>
      </c>
      <c r="W75" s="72" t="str">
        <f t="shared" si="42"/>
        <v/>
      </c>
      <c r="X75" s="39"/>
      <c r="Y75" s="72" t="str">
        <f t="shared" si="43"/>
        <v/>
      </c>
      <c r="Z75" s="72" t="str">
        <f t="shared" si="44"/>
        <v/>
      </c>
      <c r="AA75" s="39"/>
      <c r="AB75" s="72" t="str">
        <f t="shared" si="45"/>
        <v/>
      </c>
      <c r="AC75" s="72" t="str">
        <f t="shared" si="46"/>
        <v/>
      </c>
      <c r="AD75" s="39"/>
      <c r="AE75" s="72" t="str">
        <f t="shared" si="47"/>
        <v/>
      </c>
      <c r="AF75" s="72" t="str">
        <f t="shared" si="48"/>
        <v/>
      </c>
      <c r="AG75" s="39"/>
      <c r="AH75" s="72" t="str">
        <f t="shared" si="49"/>
        <v/>
      </c>
      <c r="AI75" s="72" t="str">
        <f t="shared" si="50"/>
        <v/>
      </c>
      <c r="AJ75" s="39"/>
      <c r="AK75" s="72" t="str">
        <f t="shared" si="51"/>
        <v/>
      </c>
      <c r="AL75" s="72" t="str">
        <f t="shared" si="52"/>
        <v/>
      </c>
      <c r="AM75" s="39"/>
      <c r="AN75" s="72" t="str">
        <f t="shared" si="53"/>
        <v/>
      </c>
      <c r="AO75" s="72" t="str">
        <f t="shared" si="54"/>
        <v/>
      </c>
      <c r="AP75" s="39"/>
      <c r="AQ75" s="72" t="str">
        <f t="shared" si="55"/>
        <v/>
      </c>
      <c r="AR75" s="72" t="str">
        <f t="shared" si="56"/>
        <v/>
      </c>
      <c r="AS75" s="39"/>
      <c r="AT75" s="40"/>
      <c r="AU75" s="39"/>
      <c r="AV75" s="72" t="str">
        <f t="shared" si="57"/>
        <v/>
      </c>
      <c r="AW75" s="72" t="str">
        <f t="shared" si="58"/>
        <v/>
      </c>
      <c r="AX75" s="39"/>
      <c r="AY75" s="40"/>
      <c r="AZ75" s="39"/>
      <c r="BA75" s="42" t="str">
        <f t="shared" si="59"/>
        <v/>
      </c>
      <c r="BB75" s="72" t="str">
        <f t="shared" si="60"/>
        <v/>
      </c>
      <c r="BC75" s="39"/>
      <c r="BD75" s="72" t="str">
        <f t="shared" si="61"/>
        <v/>
      </c>
      <c r="BE75" s="72" t="str">
        <f t="shared" si="62"/>
        <v/>
      </c>
      <c r="BF75" s="39"/>
      <c r="BG75" s="42" t="str">
        <f t="shared" si="63"/>
        <v/>
      </c>
      <c r="BH75" s="72" t="str">
        <f t="shared" si="64"/>
        <v/>
      </c>
      <c r="BI75" s="39"/>
      <c r="BJ75" s="40" t="str">
        <f t="shared" si="65"/>
        <v/>
      </c>
      <c r="BK75" s="157" t="str">
        <f t="shared" si="66"/>
        <v/>
      </c>
      <c r="BL75" s="157" t="str">
        <f t="shared" si="67"/>
        <v/>
      </c>
      <c r="BM75" s="72"/>
      <c r="BN75" s="72" t="str">
        <f t="shared" si="68"/>
        <v/>
      </c>
      <c r="BO75" s="72" t="str">
        <f t="shared" si="69"/>
        <v/>
      </c>
      <c r="BP75" s="39"/>
      <c r="BQ75" s="72" t="str">
        <f t="shared" si="70"/>
        <v/>
      </c>
      <c r="BR75" s="72" t="str">
        <f t="shared" si="71"/>
        <v/>
      </c>
    </row>
    <row r="76" spans="2:70" x14ac:dyDescent="0.15">
      <c r="D76" s="100" t="s">
        <v>592</v>
      </c>
      <c r="E76" s="100"/>
      <c r="F76" s="486"/>
      <c r="G76" s="100"/>
      <c r="I76" s="457">
        <f t="shared" si="72"/>
        <v>2091</v>
      </c>
      <c r="K76" s="71">
        <f t="shared" si="73"/>
        <v>62</v>
      </c>
      <c r="M76" s="7">
        <f t="shared" si="38"/>
        <v>0.15998971629410663</v>
      </c>
      <c r="O76" s="10" t="str">
        <f t="shared" si="74"/>
        <v/>
      </c>
      <c r="P76" s="29" t="str">
        <f t="shared" si="39"/>
        <v/>
      </c>
      <c r="R76" s="10" t="str">
        <f t="shared" si="75"/>
        <v/>
      </c>
      <c r="T76" s="10" t="str">
        <f t="shared" si="40"/>
        <v/>
      </c>
      <c r="V76" s="10" t="str">
        <f t="shared" si="41"/>
        <v/>
      </c>
      <c r="W76" s="10" t="str">
        <f t="shared" si="42"/>
        <v/>
      </c>
      <c r="Y76" s="10" t="str">
        <f t="shared" si="43"/>
        <v/>
      </c>
      <c r="Z76" s="10" t="str">
        <f t="shared" si="44"/>
        <v/>
      </c>
      <c r="AB76" s="10" t="str">
        <f t="shared" si="45"/>
        <v/>
      </c>
      <c r="AC76" s="10" t="str">
        <f t="shared" si="46"/>
        <v/>
      </c>
      <c r="AE76" s="10" t="str">
        <f t="shared" si="47"/>
        <v/>
      </c>
      <c r="AF76" s="10" t="str">
        <f t="shared" si="48"/>
        <v/>
      </c>
      <c r="AH76" s="10" t="str">
        <f t="shared" si="49"/>
        <v/>
      </c>
      <c r="AI76" s="10" t="str">
        <f t="shared" si="50"/>
        <v/>
      </c>
      <c r="AK76" s="10" t="str">
        <f t="shared" si="51"/>
        <v/>
      </c>
      <c r="AL76" s="10" t="str">
        <f t="shared" si="52"/>
        <v/>
      </c>
      <c r="AN76" s="10" t="str">
        <f t="shared" si="53"/>
        <v/>
      </c>
      <c r="AO76" s="10" t="str">
        <f t="shared" si="54"/>
        <v/>
      </c>
      <c r="AQ76" s="10" t="str">
        <f t="shared" si="55"/>
        <v/>
      </c>
      <c r="AR76" s="10" t="str">
        <f t="shared" si="56"/>
        <v/>
      </c>
      <c r="AT76" s="7"/>
      <c r="AV76" s="10" t="str">
        <f t="shared" si="57"/>
        <v/>
      </c>
      <c r="AW76" s="10" t="str">
        <f t="shared" si="58"/>
        <v/>
      </c>
      <c r="AY76" s="7"/>
      <c r="BA76" s="11" t="str">
        <f t="shared" si="59"/>
        <v/>
      </c>
      <c r="BB76" s="10" t="str">
        <f t="shared" si="60"/>
        <v/>
      </c>
      <c r="BD76" s="10" t="str">
        <f t="shared" si="61"/>
        <v/>
      </c>
      <c r="BE76" s="10" t="str">
        <f t="shared" si="62"/>
        <v/>
      </c>
      <c r="BG76" s="11" t="str">
        <f t="shared" si="63"/>
        <v/>
      </c>
      <c r="BH76" s="10" t="str">
        <f t="shared" si="64"/>
        <v/>
      </c>
      <c r="BJ76" s="7" t="str">
        <f t="shared" si="65"/>
        <v/>
      </c>
      <c r="BK76" s="158" t="str">
        <f t="shared" si="66"/>
        <v/>
      </c>
      <c r="BL76" s="158" t="str">
        <f t="shared" si="67"/>
        <v/>
      </c>
      <c r="BM76" s="10"/>
      <c r="BN76" s="10" t="str">
        <f t="shared" si="68"/>
        <v/>
      </c>
      <c r="BO76" s="10" t="str">
        <f t="shared" si="69"/>
        <v/>
      </c>
      <c r="BQ76" s="10" t="str">
        <f t="shared" si="70"/>
        <v/>
      </c>
      <c r="BR76" s="10" t="str">
        <f t="shared" si="71"/>
        <v/>
      </c>
    </row>
    <row r="77" spans="2:70" x14ac:dyDescent="0.15">
      <c r="F77" s="487"/>
      <c r="I77" s="38">
        <f t="shared" si="72"/>
        <v>2092</v>
      </c>
      <c r="J77" s="39"/>
      <c r="K77" s="39">
        <f t="shared" si="73"/>
        <v>63</v>
      </c>
      <c r="L77" s="39"/>
      <c r="M77" s="40">
        <f t="shared" si="38"/>
        <v>0.15532982164476369</v>
      </c>
      <c r="N77" s="39"/>
      <c r="O77" s="72" t="str">
        <f t="shared" si="74"/>
        <v/>
      </c>
      <c r="P77" s="41" t="str">
        <f t="shared" si="39"/>
        <v/>
      </c>
      <c r="Q77" s="39"/>
      <c r="R77" s="72" t="str">
        <f t="shared" si="75"/>
        <v/>
      </c>
      <c r="S77" s="39"/>
      <c r="T77" s="72" t="str">
        <f t="shared" si="40"/>
        <v/>
      </c>
      <c r="U77" s="39"/>
      <c r="V77" s="72" t="str">
        <f t="shared" si="41"/>
        <v/>
      </c>
      <c r="W77" s="72" t="str">
        <f t="shared" si="42"/>
        <v/>
      </c>
      <c r="X77" s="39"/>
      <c r="Y77" s="72" t="str">
        <f t="shared" si="43"/>
        <v/>
      </c>
      <c r="Z77" s="72" t="str">
        <f t="shared" si="44"/>
        <v/>
      </c>
      <c r="AA77" s="39"/>
      <c r="AB77" s="72" t="str">
        <f t="shared" si="45"/>
        <v/>
      </c>
      <c r="AC77" s="72" t="str">
        <f t="shared" si="46"/>
        <v/>
      </c>
      <c r="AD77" s="39"/>
      <c r="AE77" s="72" t="str">
        <f t="shared" si="47"/>
        <v/>
      </c>
      <c r="AF77" s="72" t="str">
        <f t="shared" si="48"/>
        <v/>
      </c>
      <c r="AG77" s="39"/>
      <c r="AH77" s="72" t="str">
        <f t="shared" si="49"/>
        <v/>
      </c>
      <c r="AI77" s="72" t="str">
        <f t="shared" si="50"/>
        <v/>
      </c>
      <c r="AJ77" s="39"/>
      <c r="AK77" s="72" t="str">
        <f t="shared" si="51"/>
        <v/>
      </c>
      <c r="AL77" s="72" t="str">
        <f t="shared" si="52"/>
        <v/>
      </c>
      <c r="AM77" s="39"/>
      <c r="AN77" s="72" t="str">
        <f t="shared" si="53"/>
        <v/>
      </c>
      <c r="AO77" s="72" t="str">
        <f t="shared" si="54"/>
        <v/>
      </c>
      <c r="AP77" s="39"/>
      <c r="AQ77" s="72" t="str">
        <f t="shared" si="55"/>
        <v/>
      </c>
      <c r="AR77" s="72" t="str">
        <f t="shared" si="56"/>
        <v/>
      </c>
      <c r="AS77" s="39"/>
      <c r="AT77" s="40"/>
      <c r="AU77" s="39"/>
      <c r="AV77" s="72" t="str">
        <f t="shared" si="57"/>
        <v/>
      </c>
      <c r="AW77" s="72" t="str">
        <f t="shared" si="58"/>
        <v/>
      </c>
      <c r="AX77" s="39"/>
      <c r="AY77" s="40"/>
      <c r="AZ77" s="39"/>
      <c r="BA77" s="42" t="str">
        <f t="shared" si="59"/>
        <v/>
      </c>
      <c r="BB77" s="72" t="str">
        <f t="shared" si="60"/>
        <v/>
      </c>
      <c r="BC77" s="39"/>
      <c r="BD77" s="72" t="str">
        <f t="shared" si="61"/>
        <v/>
      </c>
      <c r="BE77" s="72" t="str">
        <f t="shared" si="62"/>
        <v/>
      </c>
      <c r="BF77" s="39"/>
      <c r="BG77" s="42" t="str">
        <f t="shared" si="63"/>
        <v/>
      </c>
      <c r="BH77" s="72" t="str">
        <f t="shared" si="64"/>
        <v/>
      </c>
      <c r="BI77" s="39"/>
      <c r="BJ77" s="40" t="str">
        <f t="shared" si="65"/>
        <v/>
      </c>
      <c r="BK77" s="157" t="str">
        <f t="shared" si="66"/>
        <v/>
      </c>
      <c r="BL77" s="157" t="str">
        <f t="shared" si="67"/>
        <v/>
      </c>
      <c r="BM77" s="72"/>
      <c r="BN77" s="72" t="str">
        <f t="shared" si="68"/>
        <v/>
      </c>
      <c r="BO77" s="72" t="str">
        <f t="shared" si="69"/>
        <v/>
      </c>
      <c r="BP77" s="39"/>
      <c r="BQ77" s="72" t="str">
        <f t="shared" si="70"/>
        <v/>
      </c>
      <c r="BR77" s="72" t="str">
        <f t="shared" si="71"/>
        <v/>
      </c>
    </row>
    <row r="78" spans="2:70" x14ac:dyDescent="0.15">
      <c r="E78" s="70" t="s">
        <v>138</v>
      </c>
      <c r="F78" s="488">
        <f>R15/$BR$116</f>
        <v>2.3517274347935886</v>
      </c>
      <c r="G78" s="84" t="s">
        <v>590</v>
      </c>
      <c r="I78" s="457">
        <f t="shared" si="72"/>
        <v>2093</v>
      </c>
      <c r="K78" s="71">
        <f t="shared" si="73"/>
        <v>64</v>
      </c>
      <c r="M78" s="7">
        <f t="shared" si="38"/>
        <v>0.15080565208229488</v>
      </c>
      <c r="O78" s="10" t="str">
        <f t="shared" si="74"/>
        <v/>
      </c>
      <c r="P78" s="29" t="str">
        <f t="shared" si="39"/>
        <v/>
      </c>
      <c r="R78" s="10" t="str">
        <f t="shared" si="75"/>
        <v/>
      </c>
      <c r="T78" s="10" t="str">
        <f t="shared" si="40"/>
        <v/>
      </c>
      <c r="V78" s="10" t="str">
        <f t="shared" si="41"/>
        <v/>
      </c>
      <c r="W78" s="10" t="str">
        <f t="shared" si="42"/>
        <v/>
      </c>
      <c r="Y78" s="10" t="str">
        <f t="shared" si="43"/>
        <v/>
      </c>
      <c r="Z78" s="10" t="str">
        <f t="shared" si="44"/>
        <v/>
      </c>
      <c r="AB78" s="10" t="str">
        <f t="shared" si="45"/>
        <v/>
      </c>
      <c r="AC78" s="10" t="str">
        <f t="shared" si="46"/>
        <v/>
      </c>
      <c r="AE78" s="10" t="str">
        <f t="shared" si="47"/>
        <v/>
      </c>
      <c r="AF78" s="10" t="str">
        <f t="shared" si="48"/>
        <v/>
      </c>
      <c r="AH78" s="10" t="str">
        <f t="shared" si="49"/>
        <v/>
      </c>
      <c r="AI78" s="10" t="str">
        <f t="shared" si="50"/>
        <v/>
      </c>
      <c r="AK78" s="10" t="str">
        <f t="shared" si="51"/>
        <v/>
      </c>
      <c r="AL78" s="10" t="str">
        <f t="shared" si="52"/>
        <v/>
      </c>
      <c r="AN78" s="10" t="str">
        <f t="shared" si="53"/>
        <v/>
      </c>
      <c r="AO78" s="10" t="str">
        <f t="shared" si="54"/>
        <v/>
      </c>
      <c r="AQ78" s="10" t="str">
        <f t="shared" si="55"/>
        <v/>
      </c>
      <c r="AR78" s="10" t="str">
        <f t="shared" si="56"/>
        <v/>
      </c>
      <c r="AT78" s="7"/>
      <c r="AV78" s="10" t="str">
        <f t="shared" si="57"/>
        <v/>
      </c>
      <c r="AW78" s="10" t="str">
        <f t="shared" si="58"/>
        <v/>
      </c>
      <c r="AY78" s="7"/>
      <c r="BA78" s="11" t="str">
        <f t="shared" si="59"/>
        <v/>
      </c>
      <c r="BB78" s="10" t="str">
        <f t="shared" si="60"/>
        <v/>
      </c>
      <c r="BD78" s="10" t="str">
        <f t="shared" si="61"/>
        <v/>
      </c>
      <c r="BE78" s="10" t="str">
        <f t="shared" si="62"/>
        <v/>
      </c>
      <c r="BG78" s="11" t="str">
        <f t="shared" si="63"/>
        <v/>
      </c>
      <c r="BH78" s="10" t="str">
        <f t="shared" si="64"/>
        <v/>
      </c>
      <c r="BJ78" s="7" t="str">
        <f t="shared" si="65"/>
        <v/>
      </c>
      <c r="BK78" s="158" t="str">
        <f t="shared" si="66"/>
        <v/>
      </c>
      <c r="BL78" s="158" t="str">
        <f t="shared" si="67"/>
        <v/>
      </c>
      <c r="BM78" s="10"/>
      <c r="BN78" s="10" t="str">
        <f t="shared" si="68"/>
        <v/>
      </c>
      <c r="BO78" s="10" t="str">
        <f t="shared" si="69"/>
        <v/>
      </c>
      <c r="BQ78" s="10" t="str">
        <f t="shared" si="70"/>
        <v/>
      </c>
      <c r="BR78" s="10" t="str">
        <f t="shared" si="71"/>
        <v/>
      </c>
    </row>
    <row r="79" spans="2:70" x14ac:dyDescent="0.15">
      <c r="E79" s="84" t="s">
        <v>139</v>
      </c>
      <c r="F79" s="488">
        <f>Z116/$BR$116</f>
        <v>0.19973145979042448</v>
      </c>
      <c r="G79" s="84" t="s">
        <v>590</v>
      </c>
      <c r="I79" s="38">
        <f t="shared" si="72"/>
        <v>2094</v>
      </c>
      <c r="J79" s="39"/>
      <c r="K79" s="39">
        <f t="shared" si="73"/>
        <v>65</v>
      </c>
      <c r="L79" s="39"/>
      <c r="M79" s="40">
        <f t="shared" ref="M79:M114" si="76">1/(1+($F$9/100))^K79</f>
        <v>0.14641325444882999</v>
      </c>
      <c r="N79" s="39"/>
      <c r="O79" s="72" t="str">
        <f t="shared" si="74"/>
        <v/>
      </c>
      <c r="P79" s="41" t="str">
        <f t="shared" ref="P79:P110" si="77">IF(K79&lt;=$F$15,IF(OR(P78=$F$124,P78="-"),"-",IF(O79*$F$123&gt;$F$127,$F$123,$F$124)),"")</f>
        <v/>
      </c>
      <c r="Q79" s="39"/>
      <c r="R79" s="72" t="str">
        <f t="shared" si="75"/>
        <v/>
      </c>
      <c r="S79" s="39"/>
      <c r="T79" s="72" t="str">
        <f t="shared" ref="T79:T114" si="78">IF(ISNUMBER(R79),ROUNDDOWN(R79,-3),"")</f>
        <v/>
      </c>
      <c r="U79" s="39"/>
      <c r="V79" s="72" t="str">
        <f t="shared" ref="V79:V114" si="79">IF(K79&lt;=$F$15,IF(K79&lt;$F$119,IF(P79="-",V78,O79*P79),IF(K79=$F$119,MIN(IF(P79="-",V78,O79*P79),O79),0)),"")</f>
        <v/>
      </c>
      <c r="W79" s="72" t="str">
        <f t="shared" ref="W79:W110" si="80">IF(ISNUMBER(V79),V79*$M79,"")</f>
        <v/>
      </c>
      <c r="X79" s="39"/>
      <c r="Y79" s="72" t="str">
        <f t="shared" ref="Y79:Y114" si="81">IF($K79&lt;=$F$15,ROUNDDOWN(T79*$F$25/100,-2),"")</f>
        <v/>
      </c>
      <c r="Z79" s="72" t="str">
        <f t="shared" ref="Z79:Z110" si="82">IF(ISNUMBER(Y79),Y79*$M79,"")</f>
        <v/>
      </c>
      <c r="AA79" s="39"/>
      <c r="AB79" s="72" t="str">
        <f t="shared" ref="AB79:AB114" si="83">IF($K79&lt;=$F$15,0,IF(AND($K79&gt;$F$15,$K79&lt;=$F$15+$F$28),$F$27*10^8/$F$28,""))</f>
        <v/>
      </c>
      <c r="AC79" s="72" t="str">
        <f t="shared" ref="AC79:AC110" si="84">IF(ISNUMBER(AB79),AB79*$M79,"")</f>
        <v/>
      </c>
      <c r="AD79" s="39"/>
      <c r="AE79" s="72" t="str">
        <f t="shared" ref="AE79:AE114" si="85">IF($K79&lt;=$F$15,$F$26,"")</f>
        <v/>
      </c>
      <c r="AF79" s="72" t="str">
        <f t="shared" ref="AF79:AF110" si="86">IF(ISNUMBER(AE79),AE79*$M79,"")</f>
        <v/>
      </c>
      <c r="AG79" s="39"/>
      <c r="AH79" s="72" t="str">
        <f t="shared" ref="AH79:AH114" si="87">IF($K79&lt;=$F$15,$F$33*10^8,"")</f>
        <v/>
      </c>
      <c r="AI79" s="72" t="str">
        <f t="shared" ref="AI79:AI110" si="88">IF(ISNUMBER(AH79),AH79*$M79,"")</f>
        <v/>
      </c>
      <c r="AJ79" s="39"/>
      <c r="AK79" s="72" t="str">
        <f t="shared" ref="AK79:AK114" si="89">IF($K79&lt;=$F$15,$F$117*$F$34/100,"")</f>
        <v/>
      </c>
      <c r="AL79" s="72" t="str">
        <f t="shared" ref="AL79:AL110" si="90">IF(ISNUMBER(AK79),AK79*$M79,"")</f>
        <v/>
      </c>
      <c r="AM79" s="39"/>
      <c r="AN79" s="72" t="str">
        <f t="shared" ref="AN79:AN114" si="91">IF($K79&lt;=$F$15,$F$117*$F$35/100,"")</f>
        <v/>
      </c>
      <c r="AO79" s="72" t="str">
        <f t="shared" ref="AO79:AO110" si="92">IF(ISNUMBER(AN79),AN79*$M79,"")</f>
        <v/>
      </c>
      <c r="AP79" s="39"/>
      <c r="AQ79" s="72" t="str">
        <f t="shared" ref="AQ79:AQ114" si="93">IF($K79&lt;=$F$15,SUM(AH79,AK79,AN79)*($F$36/100),"")</f>
        <v/>
      </c>
      <c r="AR79" s="72" t="str">
        <f t="shared" ref="AR79:AR110" si="94">IF(ISNUMBER(AQ79),AQ79*$M79,"")</f>
        <v/>
      </c>
      <c r="AS79" s="39"/>
      <c r="AT79" s="40"/>
      <c r="AU79" s="39"/>
      <c r="AV79" s="72" t="str">
        <f t="shared" ref="AV79:AV114" si="95">IF($K79&lt;=$F$15,($AT79+$F$142)*$F$137,"")</f>
        <v/>
      </c>
      <c r="AW79" s="72" t="str">
        <f t="shared" ref="AW79:AW110" si="96">IF(ISNUMBER(AV79),AV79*$M79,"")</f>
        <v/>
      </c>
      <c r="AX79" s="39"/>
      <c r="AY79" s="40"/>
      <c r="AZ79" s="39"/>
      <c r="BA79" s="42" t="str">
        <f t="shared" ref="BA79:BA114" si="97">IF($K79&lt;=$F$15,$F$145*AY79,"")</f>
        <v/>
      </c>
      <c r="BB79" s="72" t="str">
        <f t="shared" ref="BB79:BB110" si="98">IF(ISNUMBER(BA79),BA79*$M79,"")</f>
        <v/>
      </c>
      <c r="BC79" s="39"/>
      <c r="BD79" s="72" t="str">
        <f t="shared" ref="BD79:BD114" si="99">IF($K79&lt;=$F$15,($AT79+$F$152)*$F$151,"")</f>
        <v/>
      </c>
      <c r="BE79" s="72" t="str">
        <f t="shared" ref="BE79:BE110" si="100">IF(ISNUMBER(BD79),BD79*$M79,"")</f>
        <v/>
      </c>
      <c r="BF79" s="39"/>
      <c r="BG79" s="42" t="str">
        <f t="shared" ref="BG79:BG114" si="101">IF($K79&lt;=$F$15,$F$153*AY79,"")</f>
        <v/>
      </c>
      <c r="BH79" s="72" t="str">
        <f t="shared" ref="BH79:BH110" si="102">IF(ISNUMBER(BG79),BG79*$M79,"")</f>
        <v/>
      </c>
      <c r="BI79" s="39"/>
      <c r="BJ79" s="40" t="str">
        <f t="shared" ref="BJ79:BJ114" si="103">IF(ISNUMBER($F$16),IF($K79&lt;=$F$16+$F$28,1/(1+($F$17/100))^K79,""),"")</f>
        <v/>
      </c>
      <c r="BK79" s="157" t="str">
        <f t="shared" ref="BK79:BK110" si="104">IF(ISNUMBER($F$16),IF($K79&lt;=$F$16+$F$28,IF($K79&lt;=$F$16,SUM(Y79,AB79,AE79,AH79,AK79,AN79,AQ79,AV79,BA79,BD79,BG79),$F$27/$F$28*10^8)*BJ79,""),"")</f>
        <v/>
      </c>
      <c r="BL79" s="157" t="str">
        <f t="shared" ref="BL79:BL114" si="105">IF(AND(ISNUMBER(BJ79),$K79&lt;=$F$16),BQ79*BJ79,"")</f>
        <v/>
      </c>
      <c r="BM79" s="72"/>
      <c r="BN79" s="72" t="str">
        <f t="shared" ref="BN79:BN114" si="106">IF(AND(ISNUMBER($F$16),$K79&lt;=$F$16),BQ79*($O$15+$BK$116)/$BL$116,"")</f>
        <v/>
      </c>
      <c r="BO79" s="72" t="str">
        <f t="shared" ref="BO79:BO110" si="107">IF(ISNUMBER(BN79),BN79*$M79,"")</f>
        <v/>
      </c>
      <c r="BP79" s="39"/>
      <c r="BQ79" s="72" t="str">
        <f t="shared" ref="BQ79:BQ114" si="108">IF($K79&lt;=$F$15,$F$134,"")</f>
        <v/>
      </c>
      <c r="BR79" s="72" t="str">
        <f t="shared" ref="BR79:BR110" si="109">IF(ISNUMBER(BQ79),BQ79*$M79,"")</f>
        <v/>
      </c>
    </row>
    <row r="80" spans="2:70" x14ac:dyDescent="0.15">
      <c r="E80" s="84" t="s">
        <v>115</v>
      </c>
      <c r="F80" s="488">
        <f>AF116/$BR$116</f>
        <v>0</v>
      </c>
      <c r="G80" s="84" t="s">
        <v>590</v>
      </c>
      <c r="I80" s="457">
        <f t="shared" ref="I80:I114" si="110">I79+1</f>
        <v>2095</v>
      </c>
      <c r="K80" s="71">
        <f t="shared" ref="K80:K114" si="111">IF(I80&lt;&gt;"",K79+1,"")</f>
        <v>66</v>
      </c>
      <c r="M80" s="7">
        <f t="shared" si="76"/>
        <v>0.14214879072701941</v>
      </c>
      <c r="O80" s="10" t="str">
        <f t="shared" ref="O80:O114" si="112">IF(K80&lt;=$F$15,O79-V79,"")</f>
        <v/>
      </c>
      <c r="P80" s="29" t="str">
        <f t="shared" si="77"/>
        <v/>
      </c>
      <c r="R80" s="10" t="str">
        <f t="shared" ref="R80:R114" si="113">IF($K80&lt;=$F$15,MAX($F$117*5%,R79*$F$129),"")</f>
        <v/>
      </c>
      <c r="T80" s="10" t="str">
        <f t="shared" si="78"/>
        <v/>
      </c>
      <c r="V80" s="10" t="str">
        <f t="shared" si="79"/>
        <v/>
      </c>
      <c r="W80" s="10" t="str">
        <f t="shared" si="80"/>
        <v/>
      </c>
      <c r="Y80" s="10" t="str">
        <f t="shared" si="81"/>
        <v/>
      </c>
      <c r="Z80" s="10" t="str">
        <f t="shared" si="82"/>
        <v/>
      </c>
      <c r="AB80" s="10" t="str">
        <f t="shared" si="83"/>
        <v/>
      </c>
      <c r="AC80" s="10" t="str">
        <f t="shared" si="84"/>
        <v/>
      </c>
      <c r="AE80" s="10" t="str">
        <f t="shared" si="85"/>
        <v/>
      </c>
      <c r="AF80" s="10" t="str">
        <f t="shared" si="86"/>
        <v/>
      </c>
      <c r="AH80" s="10" t="str">
        <f t="shared" si="87"/>
        <v/>
      </c>
      <c r="AI80" s="10" t="str">
        <f t="shared" si="88"/>
        <v/>
      </c>
      <c r="AK80" s="10" t="str">
        <f t="shared" si="89"/>
        <v/>
      </c>
      <c r="AL80" s="10" t="str">
        <f t="shared" si="90"/>
        <v/>
      </c>
      <c r="AN80" s="10" t="str">
        <f t="shared" si="91"/>
        <v/>
      </c>
      <c r="AO80" s="10" t="str">
        <f t="shared" si="92"/>
        <v/>
      </c>
      <c r="AQ80" s="10" t="str">
        <f t="shared" si="93"/>
        <v/>
      </c>
      <c r="AR80" s="10" t="str">
        <f t="shared" si="94"/>
        <v/>
      </c>
      <c r="AT80" s="7"/>
      <c r="AV80" s="10" t="str">
        <f t="shared" si="95"/>
        <v/>
      </c>
      <c r="AW80" s="10" t="str">
        <f t="shared" si="96"/>
        <v/>
      </c>
      <c r="AY80" s="7"/>
      <c r="BA80" s="11" t="str">
        <f t="shared" si="97"/>
        <v/>
      </c>
      <c r="BB80" s="10" t="str">
        <f t="shared" si="98"/>
        <v/>
      </c>
      <c r="BD80" s="10" t="str">
        <f t="shared" si="99"/>
        <v/>
      </c>
      <c r="BE80" s="10" t="str">
        <f t="shared" si="100"/>
        <v/>
      </c>
      <c r="BG80" s="11" t="str">
        <f t="shared" si="101"/>
        <v/>
      </c>
      <c r="BH80" s="10" t="str">
        <f t="shared" si="102"/>
        <v/>
      </c>
      <c r="BJ80" s="7" t="str">
        <f t="shared" si="103"/>
        <v/>
      </c>
      <c r="BK80" s="158" t="str">
        <f t="shared" si="104"/>
        <v/>
      </c>
      <c r="BL80" s="158" t="str">
        <f t="shared" si="105"/>
        <v/>
      </c>
      <c r="BM80" s="10"/>
      <c r="BN80" s="10" t="str">
        <f t="shared" si="106"/>
        <v/>
      </c>
      <c r="BO80" s="10" t="str">
        <f t="shared" si="107"/>
        <v/>
      </c>
      <c r="BQ80" s="10" t="str">
        <f t="shared" si="108"/>
        <v/>
      </c>
      <c r="BR80" s="10" t="str">
        <f t="shared" si="109"/>
        <v/>
      </c>
    </row>
    <row r="81" spans="4:70" x14ac:dyDescent="0.15">
      <c r="E81" s="160" t="s">
        <v>86</v>
      </c>
      <c r="F81" s="488">
        <f>AC116/$BR$116</f>
        <v>3.4996996736476285E-2</v>
      </c>
      <c r="G81" s="84" t="s">
        <v>590</v>
      </c>
      <c r="I81" s="38">
        <f t="shared" si="110"/>
        <v>2096</v>
      </c>
      <c r="J81" s="39"/>
      <c r="K81" s="39">
        <f t="shared" si="111"/>
        <v>67</v>
      </c>
      <c r="L81" s="39"/>
      <c r="M81" s="40">
        <f t="shared" si="76"/>
        <v>0.1380085346864266</v>
      </c>
      <c r="N81" s="39"/>
      <c r="O81" s="72" t="str">
        <f t="shared" si="112"/>
        <v/>
      </c>
      <c r="P81" s="41" t="str">
        <f t="shared" si="77"/>
        <v/>
      </c>
      <c r="Q81" s="39"/>
      <c r="R81" s="72" t="str">
        <f t="shared" si="113"/>
        <v/>
      </c>
      <c r="S81" s="39"/>
      <c r="T81" s="72" t="str">
        <f t="shared" si="78"/>
        <v/>
      </c>
      <c r="U81" s="39"/>
      <c r="V81" s="72" t="str">
        <f t="shared" si="79"/>
        <v/>
      </c>
      <c r="W81" s="72" t="str">
        <f t="shared" si="80"/>
        <v/>
      </c>
      <c r="X81" s="39"/>
      <c r="Y81" s="72" t="str">
        <f t="shared" si="81"/>
        <v/>
      </c>
      <c r="Z81" s="72" t="str">
        <f t="shared" si="82"/>
        <v/>
      </c>
      <c r="AA81" s="39"/>
      <c r="AB81" s="72" t="str">
        <f t="shared" si="83"/>
        <v/>
      </c>
      <c r="AC81" s="72" t="str">
        <f t="shared" si="84"/>
        <v/>
      </c>
      <c r="AD81" s="39"/>
      <c r="AE81" s="72" t="str">
        <f t="shared" si="85"/>
        <v/>
      </c>
      <c r="AF81" s="72" t="str">
        <f t="shared" si="86"/>
        <v/>
      </c>
      <c r="AG81" s="39"/>
      <c r="AH81" s="72" t="str">
        <f t="shared" si="87"/>
        <v/>
      </c>
      <c r="AI81" s="72" t="str">
        <f t="shared" si="88"/>
        <v/>
      </c>
      <c r="AJ81" s="39"/>
      <c r="AK81" s="72" t="str">
        <f t="shared" si="89"/>
        <v/>
      </c>
      <c r="AL81" s="72" t="str">
        <f t="shared" si="90"/>
        <v/>
      </c>
      <c r="AM81" s="39"/>
      <c r="AN81" s="72" t="str">
        <f t="shared" si="91"/>
        <v/>
      </c>
      <c r="AO81" s="72" t="str">
        <f t="shared" si="92"/>
        <v/>
      </c>
      <c r="AP81" s="39"/>
      <c r="AQ81" s="72" t="str">
        <f t="shared" si="93"/>
        <v/>
      </c>
      <c r="AR81" s="72" t="str">
        <f t="shared" si="94"/>
        <v/>
      </c>
      <c r="AS81" s="39"/>
      <c r="AT81" s="40"/>
      <c r="AU81" s="39"/>
      <c r="AV81" s="72" t="str">
        <f t="shared" si="95"/>
        <v/>
      </c>
      <c r="AW81" s="72" t="str">
        <f t="shared" si="96"/>
        <v/>
      </c>
      <c r="AX81" s="39"/>
      <c r="AY81" s="40"/>
      <c r="AZ81" s="39"/>
      <c r="BA81" s="42" t="str">
        <f t="shared" si="97"/>
        <v/>
      </c>
      <c r="BB81" s="72" t="str">
        <f t="shared" si="98"/>
        <v/>
      </c>
      <c r="BC81" s="39"/>
      <c r="BD81" s="72" t="str">
        <f t="shared" si="99"/>
        <v/>
      </c>
      <c r="BE81" s="72" t="str">
        <f t="shared" si="100"/>
        <v/>
      </c>
      <c r="BF81" s="39"/>
      <c r="BG81" s="42" t="str">
        <f t="shared" si="101"/>
        <v/>
      </c>
      <c r="BH81" s="72" t="str">
        <f t="shared" si="102"/>
        <v/>
      </c>
      <c r="BI81" s="39"/>
      <c r="BJ81" s="40" t="str">
        <f t="shared" si="103"/>
        <v/>
      </c>
      <c r="BK81" s="157" t="str">
        <f t="shared" si="104"/>
        <v/>
      </c>
      <c r="BL81" s="157" t="str">
        <f t="shared" si="105"/>
        <v/>
      </c>
      <c r="BM81" s="72"/>
      <c r="BN81" s="72" t="str">
        <f t="shared" si="106"/>
        <v/>
      </c>
      <c r="BO81" s="72" t="str">
        <f t="shared" si="107"/>
        <v/>
      </c>
      <c r="BP81" s="39"/>
      <c r="BQ81" s="72" t="str">
        <f t="shared" si="108"/>
        <v/>
      </c>
      <c r="BR81" s="72" t="str">
        <f t="shared" si="109"/>
        <v/>
      </c>
    </row>
    <row r="82" spans="4:70" x14ac:dyDescent="0.15">
      <c r="F82" s="487"/>
      <c r="I82" s="457">
        <f t="shared" si="110"/>
        <v>2097</v>
      </c>
      <c r="K82" s="71">
        <f t="shared" si="111"/>
        <v>68</v>
      </c>
      <c r="M82" s="7">
        <f t="shared" si="76"/>
        <v>0.13398886862759865</v>
      </c>
      <c r="O82" s="10" t="str">
        <f t="shared" si="112"/>
        <v/>
      </c>
      <c r="P82" s="29" t="str">
        <f t="shared" si="77"/>
        <v/>
      </c>
      <c r="R82" s="10" t="str">
        <f t="shared" si="113"/>
        <v/>
      </c>
      <c r="T82" s="10" t="str">
        <f t="shared" si="78"/>
        <v/>
      </c>
      <c r="V82" s="10" t="str">
        <f t="shared" si="79"/>
        <v/>
      </c>
      <c r="W82" s="10" t="str">
        <f t="shared" si="80"/>
        <v/>
      </c>
      <c r="Y82" s="10" t="str">
        <f t="shared" si="81"/>
        <v/>
      </c>
      <c r="Z82" s="10" t="str">
        <f t="shared" si="82"/>
        <v/>
      </c>
      <c r="AB82" s="10" t="str">
        <f t="shared" si="83"/>
        <v/>
      </c>
      <c r="AC82" s="10" t="str">
        <f t="shared" si="84"/>
        <v/>
      </c>
      <c r="AE82" s="10" t="str">
        <f t="shared" si="85"/>
        <v/>
      </c>
      <c r="AF82" s="10" t="str">
        <f t="shared" si="86"/>
        <v/>
      </c>
      <c r="AH82" s="10" t="str">
        <f t="shared" si="87"/>
        <v/>
      </c>
      <c r="AI82" s="10" t="str">
        <f t="shared" si="88"/>
        <v/>
      </c>
      <c r="AK82" s="10" t="str">
        <f t="shared" si="89"/>
        <v/>
      </c>
      <c r="AL82" s="10" t="str">
        <f t="shared" si="90"/>
        <v/>
      </c>
      <c r="AN82" s="10" t="str">
        <f t="shared" si="91"/>
        <v/>
      </c>
      <c r="AO82" s="10" t="str">
        <f t="shared" si="92"/>
        <v/>
      </c>
      <c r="AQ82" s="10" t="str">
        <f t="shared" si="93"/>
        <v/>
      </c>
      <c r="AR82" s="10" t="str">
        <f t="shared" si="94"/>
        <v/>
      </c>
      <c r="AT82" s="7"/>
      <c r="AV82" s="10" t="str">
        <f t="shared" si="95"/>
        <v/>
      </c>
      <c r="AW82" s="10" t="str">
        <f t="shared" si="96"/>
        <v/>
      </c>
      <c r="AY82" s="7"/>
      <c r="BA82" s="11" t="str">
        <f t="shared" si="97"/>
        <v/>
      </c>
      <c r="BB82" s="10" t="str">
        <f t="shared" si="98"/>
        <v/>
      </c>
      <c r="BD82" s="10" t="str">
        <f t="shared" si="99"/>
        <v/>
      </c>
      <c r="BE82" s="10" t="str">
        <f t="shared" si="100"/>
        <v/>
      </c>
      <c r="BG82" s="11" t="str">
        <f t="shared" si="101"/>
        <v/>
      </c>
      <c r="BH82" s="10" t="str">
        <f t="shared" si="102"/>
        <v/>
      </c>
      <c r="BJ82" s="7" t="str">
        <f t="shared" si="103"/>
        <v/>
      </c>
      <c r="BK82" s="158" t="str">
        <f t="shared" si="104"/>
        <v/>
      </c>
      <c r="BL82" s="158" t="str">
        <f t="shared" si="105"/>
        <v/>
      </c>
      <c r="BM82" s="10"/>
      <c r="BN82" s="10" t="str">
        <f t="shared" si="106"/>
        <v/>
      </c>
      <c r="BO82" s="10" t="str">
        <f t="shared" si="107"/>
        <v/>
      </c>
      <c r="BQ82" s="10" t="str">
        <f t="shared" si="108"/>
        <v/>
      </c>
      <c r="BR82" s="10" t="str">
        <f t="shared" si="109"/>
        <v/>
      </c>
    </row>
    <row r="83" spans="4:70" ht="15" x14ac:dyDescent="0.15">
      <c r="D83" s="103" t="s">
        <v>593</v>
      </c>
      <c r="F83" s="484">
        <f>SUBTOTAL(9,F87:F90)</f>
        <v>2.98216431489683</v>
      </c>
      <c r="G83" s="84" t="s">
        <v>590</v>
      </c>
      <c r="I83" s="38">
        <f t="shared" si="110"/>
        <v>2098</v>
      </c>
      <c r="J83" s="39"/>
      <c r="K83" s="39">
        <f t="shared" si="111"/>
        <v>69</v>
      </c>
      <c r="L83" s="39"/>
      <c r="M83" s="40">
        <f t="shared" si="76"/>
        <v>0.13008628022096957</v>
      </c>
      <c r="N83" s="39"/>
      <c r="O83" s="72" t="str">
        <f t="shared" si="112"/>
        <v/>
      </c>
      <c r="P83" s="41" t="str">
        <f t="shared" si="77"/>
        <v/>
      </c>
      <c r="Q83" s="39"/>
      <c r="R83" s="72" t="str">
        <f t="shared" si="113"/>
        <v/>
      </c>
      <c r="S83" s="39"/>
      <c r="T83" s="72" t="str">
        <f t="shared" si="78"/>
        <v/>
      </c>
      <c r="U83" s="39"/>
      <c r="V83" s="72" t="str">
        <f t="shared" si="79"/>
        <v/>
      </c>
      <c r="W83" s="72" t="str">
        <f t="shared" si="80"/>
        <v/>
      </c>
      <c r="X83" s="39"/>
      <c r="Y83" s="72" t="str">
        <f t="shared" si="81"/>
        <v/>
      </c>
      <c r="Z83" s="72" t="str">
        <f t="shared" si="82"/>
        <v/>
      </c>
      <c r="AA83" s="39"/>
      <c r="AB83" s="72" t="str">
        <f t="shared" si="83"/>
        <v/>
      </c>
      <c r="AC83" s="72" t="str">
        <f t="shared" si="84"/>
        <v/>
      </c>
      <c r="AD83" s="39"/>
      <c r="AE83" s="72" t="str">
        <f t="shared" si="85"/>
        <v/>
      </c>
      <c r="AF83" s="72" t="str">
        <f t="shared" si="86"/>
        <v/>
      </c>
      <c r="AG83" s="39"/>
      <c r="AH83" s="72" t="str">
        <f t="shared" si="87"/>
        <v/>
      </c>
      <c r="AI83" s="72" t="str">
        <f t="shared" si="88"/>
        <v/>
      </c>
      <c r="AJ83" s="39"/>
      <c r="AK83" s="72" t="str">
        <f t="shared" si="89"/>
        <v/>
      </c>
      <c r="AL83" s="72" t="str">
        <f t="shared" si="90"/>
        <v/>
      </c>
      <c r="AM83" s="39"/>
      <c r="AN83" s="72" t="str">
        <f t="shared" si="91"/>
        <v/>
      </c>
      <c r="AO83" s="72" t="str">
        <f t="shared" si="92"/>
        <v/>
      </c>
      <c r="AP83" s="39"/>
      <c r="AQ83" s="72" t="str">
        <f t="shared" si="93"/>
        <v/>
      </c>
      <c r="AR83" s="72" t="str">
        <f t="shared" si="94"/>
        <v/>
      </c>
      <c r="AS83" s="39"/>
      <c r="AT83" s="40"/>
      <c r="AU83" s="39"/>
      <c r="AV83" s="72" t="str">
        <f t="shared" si="95"/>
        <v/>
      </c>
      <c r="AW83" s="72" t="str">
        <f t="shared" si="96"/>
        <v/>
      </c>
      <c r="AX83" s="39"/>
      <c r="AY83" s="40"/>
      <c r="AZ83" s="39"/>
      <c r="BA83" s="42" t="str">
        <f t="shared" si="97"/>
        <v/>
      </c>
      <c r="BB83" s="72" t="str">
        <f t="shared" si="98"/>
        <v/>
      </c>
      <c r="BC83" s="39"/>
      <c r="BD83" s="72" t="str">
        <f t="shared" si="99"/>
        <v/>
      </c>
      <c r="BE83" s="72" t="str">
        <f t="shared" si="100"/>
        <v/>
      </c>
      <c r="BF83" s="39"/>
      <c r="BG83" s="42" t="str">
        <f t="shared" si="101"/>
        <v/>
      </c>
      <c r="BH83" s="72" t="str">
        <f t="shared" si="102"/>
        <v/>
      </c>
      <c r="BI83" s="39"/>
      <c r="BJ83" s="40" t="str">
        <f t="shared" si="103"/>
        <v/>
      </c>
      <c r="BK83" s="157" t="str">
        <f t="shared" si="104"/>
        <v/>
      </c>
      <c r="BL83" s="157" t="str">
        <f t="shared" si="105"/>
        <v/>
      </c>
      <c r="BM83" s="72"/>
      <c r="BN83" s="72" t="str">
        <f t="shared" si="106"/>
        <v/>
      </c>
      <c r="BO83" s="72" t="str">
        <f t="shared" si="107"/>
        <v/>
      </c>
      <c r="BP83" s="39"/>
      <c r="BQ83" s="72" t="str">
        <f t="shared" si="108"/>
        <v/>
      </c>
      <c r="BR83" s="72" t="str">
        <f t="shared" si="109"/>
        <v/>
      </c>
    </row>
    <row r="84" spans="4:70" x14ac:dyDescent="0.15">
      <c r="F84" s="487"/>
      <c r="I84" s="457">
        <f t="shared" si="110"/>
        <v>2099</v>
      </c>
      <c r="K84" s="71">
        <f t="shared" si="111"/>
        <v>70</v>
      </c>
      <c r="M84" s="7">
        <f t="shared" si="76"/>
        <v>0.12629735943783454</v>
      </c>
      <c r="O84" s="10" t="str">
        <f t="shared" si="112"/>
        <v/>
      </c>
      <c r="P84" s="29" t="str">
        <f t="shared" si="77"/>
        <v/>
      </c>
      <c r="R84" s="10" t="str">
        <f t="shared" si="113"/>
        <v/>
      </c>
      <c r="T84" s="10" t="str">
        <f t="shared" si="78"/>
        <v/>
      </c>
      <c r="V84" s="10" t="str">
        <f t="shared" si="79"/>
        <v/>
      </c>
      <c r="W84" s="10" t="str">
        <f t="shared" si="80"/>
        <v/>
      </c>
      <c r="Y84" s="10" t="str">
        <f t="shared" si="81"/>
        <v/>
      </c>
      <c r="Z84" s="10" t="str">
        <f t="shared" si="82"/>
        <v/>
      </c>
      <c r="AB84" s="10" t="str">
        <f t="shared" si="83"/>
        <v/>
      </c>
      <c r="AC84" s="10" t="str">
        <f t="shared" si="84"/>
        <v/>
      </c>
      <c r="AE84" s="10" t="str">
        <f t="shared" si="85"/>
        <v/>
      </c>
      <c r="AF84" s="10" t="str">
        <f t="shared" si="86"/>
        <v/>
      </c>
      <c r="AH84" s="10" t="str">
        <f t="shared" si="87"/>
        <v/>
      </c>
      <c r="AI84" s="10" t="str">
        <f t="shared" si="88"/>
        <v/>
      </c>
      <c r="AK84" s="10" t="str">
        <f t="shared" si="89"/>
        <v/>
      </c>
      <c r="AL84" s="10" t="str">
        <f t="shared" si="90"/>
        <v/>
      </c>
      <c r="AN84" s="10" t="str">
        <f t="shared" si="91"/>
        <v/>
      </c>
      <c r="AO84" s="10" t="str">
        <f t="shared" si="92"/>
        <v/>
      </c>
      <c r="AQ84" s="10" t="str">
        <f t="shared" si="93"/>
        <v/>
      </c>
      <c r="AR84" s="10" t="str">
        <f t="shared" si="94"/>
        <v/>
      </c>
      <c r="AT84" s="7"/>
      <c r="AV84" s="10" t="str">
        <f t="shared" si="95"/>
        <v/>
      </c>
      <c r="AW84" s="10" t="str">
        <f t="shared" si="96"/>
        <v/>
      </c>
      <c r="AY84" s="7"/>
      <c r="BA84" s="11" t="str">
        <f t="shared" si="97"/>
        <v/>
      </c>
      <c r="BB84" s="10" t="str">
        <f t="shared" si="98"/>
        <v/>
      </c>
      <c r="BD84" s="10" t="str">
        <f t="shared" si="99"/>
        <v/>
      </c>
      <c r="BE84" s="10" t="str">
        <f t="shared" si="100"/>
        <v/>
      </c>
      <c r="BG84" s="11" t="str">
        <f t="shared" si="101"/>
        <v/>
      </c>
      <c r="BH84" s="10" t="str">
        <f t="shared" si="102"/>
        <v/>
      </c>
      <c r="BJ84" s="7" t="str">
        <f t="shared" si="103"/>
        <v/>
      </c>
      <c r="BK84" s="158" t="str">
        <f t="shared" si="104"/>
        <v/>
      </c>
      <c r="BL84" s="158" t="str">
        <f t="shared" si="105"/>
        <v/>
      </c>
      <c r="BM84" s="10"/>
      <c r="BN84" s="10" t="str">
        <f t="shared" si="106"/>
        <v/>
      </c>
      <c r="BO84" s="10" t="str">
        <f t="shared" si="107"/>
        <v/>
      </c>
      <c r="BQ84" s="10" t="str">
        <f t="shared" si="108"/>
        <v/>
      </c>
      <c r="BR84" s="10" t="str">
        <f t="shared" si="109"/>
        <v/>
      </c>
    </row>
    <row r="85" spans="4:70" x14ac:dyDescent="0.15">
      <c r="D85" s="100" t="s">
        <v>594</v>
      </c>
      <c r="E85" s="489"/>
      <c r="F85" s="486"/>
      <c r="G85" s="100"/>
      <c r="I85" s="38">
        <f t="shared" si="110"/>
        <v>2100</v>
      </c>
      <c r="J85" s="39"/>
      <c r="K85" s="39">
        <f t="shared" si="111"/>
        <v>71</v>
      </c>
      <c r="L85" s="39"/>
      <c r="M85" s="40">
        <f t="shared" si="76"/>
        <v>0.12261879557071313</v>
      </c>
      <c r="N85" s="39"/>
      <c r="O85" s="72" t="str">
        <f t="shared" si="112"/>
        <v/>
      </c>
      <c r="P85" s="41" t="str">
        <f t="shared" si="77"/>
        <v/>
      </c>
      <c r="Q85" s="39"/>
      <c r="R85" s="72" t="str">
        <f t="shared" si="113"/>
        <v/>
      </c>
      <c r="S85" s="39"/>
      <c r="T85" s="72" t="str">
        <f t="shared" si="78"/>
        <v/>
      </c>
      <c r="U85" s="39"/>
      <c r="V85" s="72" t="str">
        <f t="shared" si="79"/>
        <v/>
      </c>
      <c r="W85" s="72" t="str">
        <f t="shared" si="80"/>
        <v/>
      </c>
      <c r="X85" s="39"/>
      <c r="Y85" s="72" t="str">
        <f t="shared" si="81"/>
        <v/>
      </c>
      <c r="Z85" s="72" t="str">
        <f t="shared" si="82"/>
        <v/>
      </c>
      <c r="AA85" s="39"/>
      <c r="AB85" s="72" t="str">
        <f t="shared" si="83"/>
        <v/>
      </c>
      <c r="AC85" s="72" t="str">
        <f t="shared" si="84"/>
        <v/>
      </c>
      <c r="AD85" s="39"/>
      <c r="AE85" s="72" t="str">
        <f t="shared" si="85"/>
        <v/>
      </c>
      <c r="AF85" s="72" t="str">
        <f t="shared" si="86"/>
        <v/>
      </c>
      <c r="AG85" s="39"/>
      <c r="AH85" s="72" t="str">
        <f t="shared" si="87"/>
        <v/>
      </c>
      <c r="AI85" s="72" t="str">
        <f t="shared" si="88"/>
        <v/>
      </c>
      <c r="AJ85" s="39"/>
      <c r="AK85" s="72" t="str">
        <f t="shared" si="89"/>
        <v/>
      </c>
      <c r="AL85" s="72" t="str">
        <f t="shared" si="90"/>
        <v/>
      </c>
      <c r="AM85" s="39"/>
      <c r="AN85" s="72" t="str">
        <f t="shared" si="91"/>
        <v/>
      </c>
      <c r="AO85" s="72" t="str">
        <f t="shared" si="92"/>
        <v/>
      </c>
      <c r="AP85" s="39"/>
      <c r="AQ85" s="72" t="str">
        <f t="shared" si="93"/>
        <v/>
      </c>
      <c r="AR85" s="72" t="str">
        <f t="shared" si="94"/>
        <v/>
      </c>
      <c r="AS85" s="39"/>
      <c r="AT85" s="40"/>
      <c r="AU85" s="39"/>
      <c r="AV85" s="72" t="str">
        <f t="shared" si="95"/>
        <v/>
      </c>
      <c r="AW85" s="72" t="str">
        <f t="shared" si="96"/>
        <v/>
      </c>
      <c r="AX85" s="39"/>
      <c r="AY85" s="40"/>
      <c r="AZ85" s="39"/>
      <c r="BA85" s="42" t="str">
        <f t="shared" si="97"/>
        <v/>
      </c>
      <c r="BB85" s="72" t="str">
        <f t="shared" si="98"/>
        <v/>
      </c>
      <c r="BC85" s="39"/>
      <c r="BD85" s="72" t="str">
        <f t="shared" si="99"/>
        <v/>
      </c>
      <c r="BE85" s="72" t="str">
        <f t="shared" si="100"/>
        <v/>
      </c>
      <c r="BF85" s="39"/>
      <c r="BG85" s="42" t="str">
        <f t="shared" si="101"/>
        <v/>
      </c>
      <c r="BH85" s="72" t="str">
        <f t="shared" si="102"/>
        <v/>
      </c>
      <c r="BI85" s="39"/>
      <c r="BJ85" s="40" t="str">
        <f t="shared" si="103"/>
        <v/>
      </c>
      <c r="BK85" s="157" t="str">
        <f t="shared" si="104"/>
        <v/>
      </c>
      <c r="BL85" s="157" t="str">
        <f t="shared" si="105"/>
        <v/>
      </c>
      <c r="BM85" s="72"/>
      <c r="BN85" s="72" t="str">
        <f t="shared" si="106"/>
        <v/>
      </c>
      <c r="BO85" s="72" t="str">
        <f t="shared" si="107"/>
        <v/>
      </c>
      <c r="BP85" s="39"/>
      <c r="BQ85" s="72" t="str">
        <f t="shared" si="108"/>
        <v/>
      </c>
      <c r="BR85" s="72" t="str">
        <f t="shared" si="109"/>
        <v/>
      </c>
    </row>
    <row r="86" spans="4:70" x14ac:dyDescent="0.15">
      <c r="F86" s="487"/>
      <c r="I86" s="457">
        <f t="shared" si="110"/>
        <v>2101</v>
      </c>
      <c r="K86" s="71">
        <f t="shared" si="111"/>
        <v>72</v>
      </c>
      <c r="M86" s="7">
        <f t="shared" si="76"/>
        <v>0.1190473743404982</v>
      </c>
      <c r="O86" s="10" t="str">
        <f t="shared" si="112"/>
        <v/>
      </c>
      <c r="P86" s="29" t="str">
        <f t="shared" si="77"/>
        <v/>
      </c>
      <c r="R86" s="10" t="str">
        <f t="shared" si="113"/>
        <v/>
      </c>
      <c r="T86" s="10" t="str">
        <f t="shared" si="78"/>
        <v/>
      </c>
      <c r="V86" s="10" t="str">
        <f t="shared" si="79"/>
        <v/>
      </c>
      <c r="W86" s="10" t="str">
        <f t="shared" si="80"/>
        <v/>
      </c>
      <c r="Y86" s="10" t="str">
        <f t="shared" si="81"/>
        <v/>
      </c>
      <c r="Z86" s="10" t="str">
        <f t="shared" si="82"/>
        <v/>
      </c>
      <c r="AB86" s="10" t="str">
        <f t="shared" si="83"/>
        <v/>
      </c>
      <c r="AC86" s="10" t="str">
        <f t="shared" si="84"/>
        <v/>
      </c>
      <c r="AE86" s="10" t="str">
        <f t="shared" si="85"/>
        <v/>
      </c>
      <c r="AF86" s="10" t="str">
        <f t="shared" si="86"/>
        <v/>
      </c>
      <c r="AH86" s="10" t="str">
        <f t="shared" si="87"/>
        <v/>
      </c>
      <c r="AI86" s="10" t="str">
        <f t="shared" si="88"/>
        <v/>
      </c>
      <c r="AK86" s="10" t="str">
        <f t="shared" si="89"/>
        <v/>
      </c>
      <c r="AL86" s="10" t="str">
        <f t="shared" si="90"/>
        <v/>
      </c>
      <c r="AN86" s="10" t="str">
        <f t="shared" si="91"/>
        <v/>
      </c>
      <c r="AO86" s="10" t="str">
        <f t="shared" si="92"/>
        <v/>
      </c>
      <c r="AQ86" s="10" t="str">
        <f t="shared" si="93"/>
        <v/>
      </c>
      <c r="AR86" s="10" t="str">
        <f t="shared" si="94"/>
        <v/>
      </c>
      <c r="AT86" s="7"/>
      <c r="AV86" s="10" t="str">
        <f t="shared" si="95"/>
        <v/>
      </c>
      <c r="AW86" s="10" t="str">
        <f t="shared" si="96"/>
        <v/>
      </c>
      <c r="AY86" s="7"/>
      <c r="BA86" s="11" t="str">
        <f t="shared" si="97"/>
        <v/>
      </c>
      <c r="BB86" s="10" t="str">
        <f t="shared" si="98"/>
        <v/>
      </c>
      <c r="BD86" s="10" t="str">
        <f t="shared" si="99"/>
        <v/>
      </c>
      <c r="BE86" s="10" t="str">
        <f t="shared" si="100"/>
        <v/>
      </c>
      <c r="BG86" s="11" t="str">
        <f t="shared" si="101"/>
        <v/>
      </c>
      <c r="BH86" s="10" t="str">
        <f t="shared" si="102"/>
        <v/>
      </c>
      <c r="BJ86" s="7" t="str">
        <f t="shared" si="103"/>
        <v/>
      </c>
      <c r="BK86" s="158" t="str">
        <f t="shared" si="104"/>
        <v/>
      </c>
      <c r="BL86" s="158" t="str">
        <f t="shared" si="105"/>
        <v/>
      </c>
      <c r="BM86" s="10"/>
      <c r="BN86" s="10" t="str">
        <f t="shared" si="106"/>
        <v/>
      </c>
      <c r="BO86" s="10" t="str">
        <f t="shared" si="107"/>
        <v/>
      </c>
      <c r="BQ86" s="10" t="str">
        <f t="shared" si="108"/>
        <v/>
      </c>
      <c r="BR86" s="10" t="str">
        <f t="shared" si="109"/>
        <v/>
      </c>
    </row>
    <row r="87" spans="4:70" x14ac:dyDescent="0.15">
      <c r="E87" s="84" t="s">
        <v>141</v>
      </c>
      <c r="F87" s="488">
        <f>AI116/$BR$116</f>
        <v>0.15735686247582426</v>
      </c>
      <c r="G87" s="84" t="s">
        <v>590</v>
      </c>
      <c r="I87" s="38">
        <f t="shared" si="110"/>
        <v>2102</v>
      </c>
      <c r="J87" s="39"/>
      <c r="K87" s="39">
        <f t="shared" si="111"/>
        <v>73</v>
      </c>
      <c r="L87" s="39"/>
      <c r="M87" s="40">
        <f t="shared" si="76"/>
        <v>0.11557997508786232</v>
      </c>
      <c r="N87" s="39"/>
      <c r="O87" s="72" t="str">
        <f t="shared" si="112"/>
        <v/>
      </c>
      <c r="P87" s="41" t="str">
        <f t="shared" si="77"/>
        <v/>
      </c>
      <c r="Q87" s="39"/>
      <c r="R87" s="72" t="str">
        <f t="shared" si="113"/>
        <v/>
      </c>
      <c r="S87" s="39"/>
      <c r="T87" s="72" t="str">
        <f t="shared" si="78"/>
        <v/>
      </c>
      <c r="U87" s="39"/>
      <c r="V87" s="72" t="str">
        <f t="shared" si="79"/>
        <v/>
      </c>
      <c r="W87" s="72" t="str">
        <f t="shared" si="80"/>
        <v/>
      </c>
      <c r="X87" s="39"/>
      <c r="Y87" s="72" t="str">
        <f t="shared" si="81"/>
        <v/>
      </c>
      <c r="Z87" s="72" t="str">
        <f t="shared" si="82"/>
        <v/>
      </c>
      <c r="AA87" s="39"/>
      <c r="AB87" s="72" t="str">
        <f t="shared" si="83"/>
        <v/>
      </c>
      <c r="AC87" s="72" t="str">
        <f t="shared" si="84"/>
        <v/>
      </c>
      <c r="AD87" s="39"/>
      <c r="AE87" s="72" t="str">
        <f t="shared" si="85"/>
        <v/>
      </c>
      <c r="AF87" s="72" t="str">
        <f t="shared" si="86"/>
        <v/>
      </c>
      <c r="AG87" s="39"/>
      <c r="AH87" s="72" t="str">
        <f t="shared" si="87"/>
        <v/>
      </c>
      <c r="AI87" s="72" t="str">
        <f t="shared" si="88"/>
        <v/>
      </c>
      <c r="AJ87" s="39"/>
      <c r="AK87" s="72" t="str">
        <f t="shared" si="89"/>
        <v/>
      </c>
      <c r="AL87" s="72" t="str">
        <f t="shared" si="90"/>
        <v/>
      </c>
      <c r="AM87" s="39"/>
      <c r="AN87" s="72" t="str">
        <f t="shared" si="91"/>
        <v/>
      </c>
      <c r="AO87" s="72" t="str">
        <f t="shared" si="92"/>
        <v/>
      </c>
      <c r="AP87" s="39"/>
      <c r="AQ87" s="72" t="str">
        <f t="shared" si="93"/>
        <v/>
      </c>
      <c r="AR87" s="72" t="str">
        <f t="shared" si="94"/>
        <v/>
      </c>
      <c r="AS87" s="39"/>
      <c r="AT87" s="40"/>
      <c r="AU87" s="39"/>
      <c r="AV87" s="72" t="str">
        <f t="shared" si="95"/>
        <v/>
      </c>
      <c r="AW87" s="72" t="str">
        <f t="shared" si="96"/>
        <v/>
      </c>
      <c r="AX87" s="39"/>
      <c r="AY87" s="40"/>
      <c r="AZ87" s="39"/>
      <c r="BA87" s="42" t="str">
        <f t="shared" si="97"/>
        <v/>
      </c>
      <c r="BB87" s="72" t="str">
        <f t="shared" si="98"/>
        <v/>
      </c>
      <c r="BC87" s="39"/>
      <c r="BD87" s="72" t="str">
        <f t="shared" si="99"/>
        <v/>
      </c>
      <c r="BE87" s="72" t="str">
        <f t="shared" si="100"/>
        <v/>
      </c>
      <c r="BF87" s="39"/>
      <c r="BG87" s="42" t="str">
        <f t="shared" si="101"/>
        <v/>
      </c>
      <c r="BH87" s="72" t="str">
        <f t="shared" si="102"/>
        <v/>
      </c>
      <c r="BI87" s="39"/>
      <c r="BJ87" s="40" t="str">
        <f t="shared" si="103"/>
        <v/>
      </c>
      <c r="BK87" s="157" t="str">
        <f t="shared" si="104"/>
        <v/>
      </c>
      <c r="BL87" s="157" t="str">
        <f t="shared" si="105"/>
        <v/>
      </c>
      <c r="BM87" s="72"/>
      <c r="BN87" s="72" t="str">
        <f t="shared" si="106"/>
        <v/>
      </c>
      <c r="BO87" s="72" t="str">
        <f t="shared" si="107"/>
        <v/>
      </c>
      <c r="BP87" s="39"/>
      <c r="BQ87" s="72" t="str">
        <f t="shared" si="108"/>
        <v/>
      </c>
      <c r="BR87" s="72" t="str">
        <f t="shared" si="109"/>
        <v/>
      </c>
    </row>
    <row r="88" spans="4:70" x14ac:dyDescent="0.15">
      <c r="E88" s="84" t="s">
        <v>120</v>
      </c>
      <c r="F88" s="488">
        <f>AL116/$BR$116</f>
        <v>1.3046314416177429</v>
      </c>
      <c r="G88" s="84" t="s">
        <v>590</v>
      </c>
      <c r="I88" s="457">
        <f t="shared" si="110"/>
        <v>2103</v>
      </c>
      <c r="K88" s="71">
        <f t="shared" si="111"/>
        <v>74</v>
      </c>
      <c r="M88" s="7">
        <f t="shared" si="76"/>
        <v>0.11221356804646829</v>
      </c>
      <c r="O88" s="10" t="str">
        <f t="shared" si="112"/>
        <v/>
      </c>
      <c r="P88" s="29" t="str">
        <f t="shared" si="77"/>
        <v/>
      </c>
      <c r="R88" s="10" t="str">
        <f t="shared" si="113"/>
        <v/>
      </c>
      <c r="T88" s="10" t="str">
        <f t="shared" si="78"/>
        <v/>
      </c>
      <c r="V88" s="10" t="str">
        <f t="shared" si="79"/>
        <v/>
      </c>
      <c r="W88" s="10" t="str">
        <f t="shared" si="80"/>
        <v/>
      </c>
      <c r="Y88" s="10" t="str">
        <f t="shared" si="81"/>
        <v/>
      </c>
      <c r="Z88" s="10" t="str">
        <f t="shared" si="82"/>
        <v/>
      </c>
      <c r="AB88" s="10" t="str">
        <f t="shared" si="83"/>
        <v/>
      </c>
      <c r="AC88" s="10" t="str">
        <f t="shared" si="84"/>
        <v/>
      </c>
      <c r="AE88" s="10" t="str">
        <f t="shared" si="85"/>
        <v/>
      </c>
      <c r="AF88" s="10" t="str">
        <f t="shared" si="86"/>
        <v/>
      </c>
      <c r="AH88" s="10" t="str">
        <f t="shared" si="87"/>
        <v/>
      </c>
      <c r="AI88" s="10" t="str">
        <f t="shared" si="88"/>
        <v/>
      </c>
      <c r="AK88" s="10" t="str">
        <f t="shared" si="89"/>
        <v/>
      </c>
      <c r="AL88" s="10" t="str">
        <f t="shared" si="90"/>
        <v/>
      </c>
      <c r="AN88" s="10" t="str">
        <f t="shared" si="91"/>
        <v/>
      </c>
      <c r="AO88" s="10" t="str">
        <f t="shared" si="92"/>
        <v/>
      </c>
      <c r="AQ88" s="10" t="str">
        <f t="shared" si="93"/>
        <v/>
      </c>
      <c r="AR88" s="10" t="str">
        <f t="shared" si="94"/>
        <v/>
      </c>
      <c r="AT88" s="7"/>
      <c r="AV88" s="10" t="str">
        <f t="shared" si="95"/>
        <v/>
      </c>
      <c r="AW88" s="10" t="str">
        <f t="shared" si="96"/>
        <v/>
      </c>
      <c r="AY88" s="7"/>
      <c r="BA88" s="11" t="str">
        <f t="shared" si="97"/>
        <v/>
      </c>
      <c r="BB88" s="10" t="str">
        <f t="shared" si="98"/>
        <v/>
      </c>
      <c r="BD88" s="10" t="str">
        <f t="shared" si="99"/>
        <v/>
      </c>
      <c r="BE88" s="10" t="str">
        <f t="shared" si="100"/>
        <v/>
      </c>
      <c r="BG88" s="11" t="str">
        <f t="shared" si="101"/>
        <v/>
      </c>
      <c r="BH88" s="10" t="str">
        <f t="shared" si="102"/>
        <v/>
      </c>
      <c r="BJ88" s="7" t="str">
        <f t="shared" si="103"/>
        <v/>
      </c>
      <c r="BK88" s="158" t="str">
        <f t="shared" si="104"/>
        <v/>
      </c>
      <c r="BL88" s="158" t="str">
        <f t="shared" si="105"/>
        <v/>
      </c>
      <c r="BM88" s="10"/>
      <c r="BN88" s="10" t="str">
        <f t="shared" si="106"/>
        <v/>
      </c>
      <c r="BO88" s="10" t="str">
        <f t="shared" si="107"/>
        <v/>
      </c>
      <c r="BQ88" s="10" t="str">
        <f t="shared" si="108"/>
        <v/>
      </c>
      <c r="BR88" s="10" t="str">
        <f t="shared" si="109"/>
        <v/>
      </c>
    </row>
    <row r="89" spans="4:70" x14ac:dyDescent="0.15">
      <c r="E89" s="84" t="s">
        <v>122</v>
      </c>
      <c r="F89" s="488">
        <f>AO116/$BR$116</f>
        <v>1.1959121548162639</v>
      </c>
      <c r="G89" s="84" t="s">
        <v>590</v>
      </c>
      <c r="I89" s="38">
        <f t="shared" si="110"/>
        <v>2104</v>
      </c>
      <c r="J89" s="39"/>
      <c r="K89" s="39">
        <f t="shared" si="111"/>
        <v>75</v>
      </c>
      <c r="L89" s="39"/>
      <c r="M89" s="40">
        <f t="shared" si="76"/>
        <v>0.10894521169560026</v>
      </c>
      <c r="N89" s="39"/>
      <c r="O89" s="72" t="str">
        <f t="shared" si="112"/>
        <v/>
      </c>
      <c r="P89" s="41" t="str">
        <f t="shared" si="77"/>
        <v/>
      </c>
      <c r="Q89" s="39"/>
      <c r="R89" s="72" t="str">
        <f t="shared" si="113"/>
        <v/>
      </c>
      <c r="S89" s="39"/>
      <c r="T89" s="72" t="str">
        <f t="shared" si="78"/>
        <v/>
      </c>
      <c r="U89" s="39"/>
      <c r="V89" s="72" t="str">
        <f t="shared" si="79"/>
        <v/>
      </c>
      <c r="W89" s="72" t="str">
        <f t="shared" si="80"/>
        <v/>
      </c>
      <c r="X89" s="39"/>
      <c r="Y89" s="72" t="str">
        <f t="shared" si="81"/>
        <v/>
      </c>
      <c r="Z89" s="72" t="str">
        <f t="shared" si="82"/>
        <v/>
      </c>
      <c r="AA89" s="39"/>
      <c r="AB89" s="72" t="str">
        <f t="shared" si="83"/>
        <v/>
      </c>
      <c r="AC89" s="72" t="str">
        <f t="shared" si="84"/>
        <v/>
      </c>
      <c r="AD89" s="39"/>
      <c r="AE89" s="72" t="str">
        <f t="shared" si="85"/>
        <v/>
      </c>
      <c r="AF89" s="72" t="str">
        <f t="shared" si="86"/>
        <v/>
      </c>
      <c r="AG89" s="39"/>
      <c r="AH89" s="72" t="str">
        <f t="shared" si="87"/>
        <v/>
      </c>
      <c r="AI89" s="72" t="str">
        <f t="shared" si="88"/>
        <v/>
      </c>
      <c r="AJ89" s="39"/>
      <c r="AK89" s="72" t="str">
        <f t="shared" si="89"/>
        <v/>
      </c>
      <c r="AL89" s="72" t="str">
        <f t="shared" si="90"/>
        <v/>
      </c>
      <c r="AM89" s="39"/>
      <c r="AN89" s="72" t="str">
        <f t="shared" si="91"/>
        <v/>
      </c>
      <c r="AO89" s="72" t="str">
        <f t="shared" si="92"/>
        <v/>
      </c>
      <c r="AP89" s="39"/>
      <c r="AQ89" s="72" t="str">
        <f t="shared" si="93"/>
        <v/>
      </c>
      <c r="AR89" s="72" t="str">
        <f t="shared" si="94"/>
        <v/>
      </c>
      <c r="AS89" s="39"/>
      <c r="AT89" s="40"/>
      <c r="AU89" s="39"/>
      <c r="AV89" s="72" t="str">
        <f t="shared" si="95"/>
        <v/>
      </c>
      <c r="AW89" s="72" t="str">
        <f t="shared" si="96"/>
        <v/>
      </c>
      <c r="AX89" s="39"/>
      <c r="AY89" s="40"/>
      <c r="AZ89" s="39"/>
      <c r="BA89" s="42" t="str">
        <f t="shared" si="97"/>
        <v/>
      </c>
      <c r="BB89" s="72" t="str">
        <f t="shared" si="98"/>
        <v/>
      </c>
      <c r="BC89" s="39"/>
      <c r="BD89" s="72" t="str">
        <f t="shared" si="99"/>
        <v/>
      </c>
      <c r="BE89" s="72" t="str">
        <f t="shared" si="100"/>
        <v/>
      </c>
      <c r="BF89" s="39"/>
      <c r="BG89" s="42" t="str">
        <f t="shared" si="101"/>
        <v/>
      </c>
      <c r="BH89" s="72" t="str">
        <f t="shared" si="102"/>
        <v/>
      </c>
      <c r="BI89" s="39"/>
      <c r="BJ89" s="40" t="str">
        <f t="shared" si="103"/>
        <v/>
      </c>
      <c r="BK89" s="157" t="str">
        <f t="shared" si="104"/>
        <v/>
      </c>
      <c r="BL89" s="157" t="str">
        <f t="shared" si="105"/>
        <v/>
      </c>
      <c r="BM89" s="72"/>
      <c r="BN89" s="72" t="str">
        <f t="shared" si="106"/>
        <v/>
      </c>
      <c r="BO89" s="72" t="str">
        <f t="shared" si="107"/>
        <v/>
      </c>
      <c r="BP89" s="39"/>
      <c r="BQ89" s="72" t="str">
        <f t="shared" si="108"/>
        <v/>
      </c>
      <c r="BR89" s="72" t="str">
        <f t="shared" si="109"/>
        <v/>
      </c>
    </row>
    <row r="90" spans="4:70" x14ac:dyDescent="0.15">
      <c r="E90" s="84" t="s">
        <v>142</v>
      </c>
      <c r="F90" s="488">
        <f>AR116/$BR$116</f>
        <v>0.32426385598699919</v>
      </c>
      <c r="G90" s="84" t="s">
        <v>590</v>
      </c>
      <c r="I90" s="457">
        <f t="shared" si="110"/>
        <v>2105</v>
      </c>
      <c r="K90" s="71">
        <f t="shared" si="111"/>
        <v>76</v>
      </c>
      <c r="M90" s="7">
        <f t="shared" si="76"/>
        <v>0.10577205018990318</v>
      </c>
      <c r="O90" s="10" t="str">
        <f t="shared" si="112"/>
        <v/>
      </c>
      <c r="P90" s="29" t="str">
        <f t="shared" si="77"/>
        <v/>
      </c>
      <c r="R90" s="10" t="str">
        <f t="shared" si="113"/>
        <v/>
      </c>
      <c r="T90" s="10" t="str">
        <f t="shared" si="78"/>
        <v/>
      </c>
      <c r="V90" s="10" t="str">
        <f t="shared" si="79"/>
        <v/>
      </c>
      <c r="W90" s="10" t="str">
        <f t="shared" si="80"/>
        <v/>
      </c>
      <c r="Y90" s="10" t="str">
        <f t="shared" si="81"/>
        <v/>
      </c>
      <c r="Z90" s="10" t="str">
        <f t="shared" si="82"/>
        <v/>
      </c>
      <c r="AB90" s="10" t="str">
        <f t="shared" si="83"/>
        <v/>
      </c>
      <c r="AC90" s="10" t="str">
        <f t="shared" si="84"/>
        <v/>
      </c>
      <c r="AE90" s="10" t="str">
        <f t="shared" si="85"/>
        <v/>
      </c>
      <c r="AF90" s="10" t="str">
        <f t="shared" si="86"/>
        <v/>
      </c>
      <c r="AH90" s="10" t="str">
        <f t="shared" si="87"/>
        <v/>
      </c>
      <c r="AI90" s="10" t="str">
        <f t="shared" si="88"/>
        <v/>
      </c>
      <c r="AK90" s="10" t="str">
        <f t="shared" si="89"/>
        <v/>
      </c>
      <c r="AL90" s="10" t="str">
        <f t="shared" si="90"/>
        <v/>
      </c>
      <c r="AN90" s="10" t="str">
        <f t="shared" si="91"/>
        <v/>
      </c>
      <c r="AO90" s="10" t="str">
        <f t="shared" si="92"/>
        <v/>
      </c>
      <c r="AQ90" s="10" t="str">
        <f t="shared" si="93"/>
        <v/>
      </c>
      <c r="AR90" s="10" t="str">
        <f t="shared" si="94"/>
        <v/>
      </c>
      <c r="AT90" s="7"/>
      <c r="AV90" s="10" t="str">
        <f t="shared" si="95"/>
        <v/>
      </c>
      <c r="AW90" s="10" t="str">
        <f t="shared" si="96"/>
        <v/>
      </c>
      <c r="AY90" s="7"/>
      <c r="BA90" s="11" t="str">
        <f t="shared" si="97"/>
        <v/>
      </c>
      <c r="BB90" s="10" t="str">
        <f t="shared" si="98"/>
        <v/>
      </c>
      <c r="BD90" s="10" t="str">
        <f t="shared" si="99"/>
        <v/>
      </c>
      <c r="BE90" s="10" t="str">
        <f t="shared" si="100"/>
        <v/>
      </c>
      <c r="BG90" s="11" t="str">
        <f t="shared" si="101"/>
        <v/>
      </c>
      <c r="BH90" s="10" t="str">
        <f t="shared" si="102"/>
        <v/>
      </c>
      <c r="BJ90" s="7" t="str">
        <f t="shared" si="103"/>
        <v/>
      </c>
      <c r="BK90" s="158" t="str">
        <f t="shared" si="104"/>
        <v/>
      </c>
      <c r="BL90" s="158" t="str">
        <f t="shared" si="105"/>
        <v/>
      </c>
      <c r="BM90" s="10"/>
      <c r="BN90" s="10" t="str">
        <f t="shared" si="106"/>
        <v/>
      </c>
      <c r="BO90" s="10" t="str">
        <f t="shared" si="107"/>
        <v/>
      </c>
      <c r="BQ90" s="10" t="str">
        <f t="shared" si="108"/>
        <v/>
      </c>
      <c r="BR90" s="10" t="str">
        <f t="shared" si="109"/>
        <v/>
      </c>
    </row>
    <row r="91" spans="4:70" x14ac:dyDescent="0.15">
      <c r="F91" s="487"/>
      <c r="I91" s="38">
        <f t="shared" si="110"/>
        <v>2106</v>
      </c>
      <c r="J91" s="39"/>
      <c r="K91" s="39">
        <f t="shared" si="111"/>
        <v>77</v>
      </c>
      <c r="L91" s="39"/>
      <c r="M91" s="40">
        <f t="shared" si="76"/>
        <v>0.10269131086398368</v>
      </c>
      <c r="N91" s="39"/>
      <c r="O91" s="72" t="str">
        <f t="shared" si="112"/>
        <v/>
      </c>
      <c r="P91" s="41" t="str">
        <f t="shared" si="77"/>
        <v/>
      </c>
      <c r="Q91" s="39"/>
      <c r="R91" s="72" t="str">
        <f t="shared" si="113"/>
        <v/>
      </c>
      <c r="S91" s="39"/>
      <c r="T91" s="72" t="str">
        <f t="shared" si="78"/>
        <v/>
      </c>
      <c r="U91" s="39"/>
      <c r="V91" s="72" t="str">
        <f t="shared" si="79"/>
        <v/>
      </c>
      <c r="W91" s="72" t="str">
        <f t="shared" si="80"/>
        <v/>
      </c>
      <c r="X91" s="39"/>
      <c r="Y91" s="72" t="str">
        <f t="shared" si="81"/>
        <v/>
      </c>
      <c r="Z91" s="72" t="str">
        <f t="shared" si="82"/>
        <v/>
      </c>
      <c r="AA91" s="39"/>
      <c r="AB91" s="72" t="str">
        <f t="shared" si="83"/>
        <v/>
      </c>
      <c r="AC91" s="72" t="str">
        <f t="shared" si="84"/>
        <v/>
      </c>
      <c r="AD91" s="39"/>
      <c r="AE91" s="72" t="str">
        <f t="shared" si="85"/>
        <v/>
      </c>
      <c r="AF91" s="72" t="str">
        <f t="shared" si="86"/>
        <v/>
      </c>
      <c r="AG91" s="39"/>
      <c r="AH91" s="72" t="str">
        <f t="shared" si="87"/>
        <v/>
      </c>
      <c r="AI91" s="72" t="str">
        <f t="shared" si="88"/>
        <v/>
      </c>
      <c r="AJ91" s="39"/>
      <c r="AK91" s="72" t="str">
        <f t="shared" si="89"/>
        <v/>
      </c>
      <c r="AL91" s="72" t="str">
        <f t="shared" si="90"/>
        <v/>
      </c>
      <c r="AM91" s="39"/>
      <c r="AN91" s="72" t="str">
        <f t="shared" si="91"/>
        <v/>
      </c>
      <c r="AO91" s="72" t="str">
        <f t="shared" si="92"/>
        <v/>
      </c>
      <c r="AP91" s="39"/>
      <c r="AQ91" s="72" t="str">
        <f t="shared" si="93"/>
        <v/>
      </c>
      <c r="AR91" s="72" t="str">
        <f t="shared" si="94"/>
        <v/>
      </c>
      <c r="AS91" s="39"/>
      <c r="AT91" s="40"/>
      <c r="AU91" s="39"/>
      <c r="AV91" s="72" t="str">
        <f t="shared" si="95"/>
        <v/>
      </c>
      <c r="AW91" s="72" t="str">
        <f t="shared" si="96"/>
        <v/>
      </c>
      <c r="AX91" s="39"/>
      <c r="AY91" s="40"/>
      <c r="AZ91" s="39"/>
      <c r="BA91" s="42" t="str">
        <f t="shared" si="97"/>
        <v/>
      </c>
      <c r="BB91" s="72" t="str">
        <f t="shared" si="98"/>
        <v/>
      </c>
      <c r="BC91" s="39"/>
      <c r="BD91" s="72" t="str">
        <f t="shared" si="99"/>
        <v/>
      </c>
      <c r="BE91" s="72" t="str">
        <f t="shared" si="100"/>
        <v/>
      </c>
      <c r="BF91" s="39"/>
      <c r="BG91" s="42" t="str">
        <f t="shared" si="101"/>
        <v/>
      </c>
      <c r="BH91" s="72" t="str">
        <f t="shared" si="102"/>
        <v/>
      </c>
      <c r="BI91" s="39"/>
      <c r="BJ91" s="40" t="str">
        <f t="shared" si="103"/>
        <v/>
      </c>
      <c r="BK91" s="157" t="str">
        <f t="shared" si="104"/>
        <v/>
      </c>
      <c r="BL91" s="157" t="str">
        <f t="shared" si="105"/>
        <v/>
      </c>
      <c r="BM91" s="72"/>
      <c r="BN91" s="72" t="str">
        <f t="shared" si="106"/>
        <v/>
      </c>
      <c r="BO91" s="72" t="str">
        <f t="shared" si="107"/>
        <v/>
      </c>
      <c r="BP91" s="39"/>
      <c r="BQ91" s="72" t="str">
        <f t="shared" si="108"/>
        <v/>
      </c>
      <c r="BR91" s="72" t="str">
        <f t="shared" si="109"/>
        <v/>
      </c>
    </row>
    <row r="92" spans="4:70" ht="15" x14ac:dyDescent="0.15">
      <c r="D92" s="103" t="s">
        <v>595</v>
      </c>
      <c r="F92" s="484">
        <f>SUBTOTAL(9,F96:F97)</f>
        <v>3.76972595851481</v>
      </c>
      <c r="I92" s="457">
        <f t="shared" si="110"/>
        <v>2107</v>
      </c>
      <c r="K92" s="71">
        <f t="shared" si="111"/>
        <v>78</v>
      </c>
      <c r="M92" s="7">
        <f t="shared" si="76"/>
        <v>9.9700301809692873E-2</v>
      </c>
      <c r="O92" s="10" t="str">
        <f t="shared" si="112"/>
        <v/>
      </c>
      <c r="P92" s="29" t="str">
        <f t="shared" si="77"/>
        <v/>
      </c>
      <c r="R92" s="10" t="str">
        <f t="shared" si="113"/>
        <v/>
      </c>
      <c r="T92" s="10" t="str">
        <f t="shared" si="78"/>
        <v/>
      </c>
      <c r="V92" s="10" t="str">
        <f t="shared" si="79"/>
        <v/>
      </c>
      <c r="W92" s="10" t="str">
        <f t="shared" si="80"/>
        <v/>
      </c>
      <c r="Y92" s="10" t="str">
        <f t="shared" si="81"/>
        <v/>
      </c>
      <c r="Z92" s="10" t="str">
        <f t="shared" si="82"/>
        <v/>
      </c>
      <c r="AB92" s="10" t="str">
        <f t="shared" si="83"/>
        <v/>
      </c>
      <c r="AC92" s="10" t="str">
        <f t="shared" si="84"/>
        <v/>
      </c>
      <c r="AE92" s="10" t="str">
        <f t="shared" si="85"/>
        <v/>
      </c>
      <c r="AF92" s="10" t="str">
        <f t="shared" si="86"/>
        <v/>
      </c>
      <c r="AH92" s="10" t="str">
        <f t="shared" si="87"/>
        <v/>
      </c>
      <c r="AI92" s="10" t="str">
        <f t="shared" si="88"/>
        <v/>
      </c>
      <c r="AK92" s="10" t="str">
        <f t="shared" si="89"/>
        <v/>
      </c>
      <c r="AL92" s="10" t="str">
        <f t="shared" si="90"/>
        <v/>
      </c>
      <c r="AN92" s="10" t="str">
        <f t="shared" si="91"/>
        <v/>
      </c>
      <c r="AO92" s="10" t="str">
        <f t="shared" si="92"/>
        <v/>
      </c>
      <c r="AQ92" s="10" t="str">
        <f t="shared" si="93"/>
        <v/>
      </c>
      <c r="AR92" s="10" t="str">
        <f t="shared" si="94"/>
        <v/>
      </c>
      <c r="AT92" s="7"/>
      <c r="AV92" s="10" t="str">
        <f t="shared" si="95"/>
        <v/>
      </c>
      <c r="AW92" s="10" t="str">
        <f t="shared" si="96"/>
        <v/>
      </c>
      <c r="AY92" s="7"/>
      <c r="BA92" s="11" t="str">
        <f t="shared" si="97"/>
        <v/>
      </c>
      <c r="BB92" s="10" t="str">
        <f t="shared" si="98"/>
        <v/>
      </c>
      <c r="BD92" s="10" t="str">
        <f t="shared" si="99"/>
        <v/>
      </c>
      <c r="BE92" s="10" t="str">
        <f t="shared" si="100"/>
        <v/>
      </c>
      <c r="BG92" s="11" t="str">
        <f t="shared" si="101"/>
        <v/>
      </c>
      <c r="BH92" s="10" t="str">
        <f t="shared" si="102"/>
        <v/>
      </c>
      <c r="BJ92" s="7" t="str">
        <f t="shared" si="103"/>
        <v/>
      </c>
      <c r="BK92" s="158" t="str">
        <f t="shared" si="104"/>
        <v/>
      </c>
      <c r="BL92" s="158" t="str">
        <f t="shared" si="105"/>
        <v/>
      </c>
      <c r="BM92" s="10"/>
      <c r="BN92" s="10" t="str">
        <f t="shared" si="106"/>
        <v/>
      </c>
      <c r="BO92" s="10" t="str">
        <f t="shared" si="107"/>
        <v/>
      </c>
      <c r="BQ92" s="10" t="str">
        <f t="shared" si="108"/>
        <v/>
      </c>
      <c r="BR92" s="10" t="str">
        <f t="shared" si="109"/>
        <v/>
      </c>
    </row>
    <row r="93" spans="4:70" ht="15" x14ac:dyDescent="0.15">
      <c r="D93" s="103"/>
      <c r="F93" s="487"/>
      <c r="I93" s="38">
        <f t="shared" si="110"/>
        <v>2108</v>
      </c>
      <c r="J93" s="39"/>
      <c r="K93" s="39">
        <f t="shared" si="111"/>
        <v>79</v>
      </c>
      <c r="L93" s="39"/>
      <c r="M93" s="40">
        <f t="shared" si="76"/>
        <v>9.679640952397367E-2</v>
      </c>
      <c r="N93" s="39"/>
      <c r="O93" s="72" t="str">
        <f t="shared" si="112"/>
        <v/>
      </c>
      <c r="P93" s="41" t="str">
        <f t="shared" si="77"/>
        <v/>
      </c>
      <c r="Q93" s="39"/>
      <c r="R93" s="72" t="str">
        <f t="shared" si="113"/>
        <v/>
      </c>
      <c r="S93" s="39"/>
      <c r="T93" s="72" t="str">
        <f t="shared" si="78"/>
        <v/>
      </c>
      <c r="U93" s="39"/>
      <c r="V93" s="72" t="str">
        <f t="shared" si="79"/>
        <v/>
      </c>
      <c r="W93" s="72" t="str">
        <f t="shared" si="80"/>
        <v/>
      </c>
      <c r="X93" s="39"/>
      <c r="Y93" s="72" t="str">
        <f t="shared" si="81"/>
        <v/>
      </c>
      <c r="Z93" s="72" t="str">
        <f t="shared" si="82"/>
        <v/>
      </c>
      <c r="AA93" s="39"/>
      <c r="AB93" s="72" t="str">
        <f t="shared" si="83"/>
        <v/>
      </c>
      <c r="AC93" s="72" t="str">
        <f t="shared" si="84"/>
        <v/>
      </c>
      <c r="AD93" s="39"/>
      <c r="AE93" s="72" t="str">
        <f t="shared" si="85"/>
        <v/>
      </c>
      <c r="AF93" s="72" t="str">
        <f t="shared" si="86"/>
        <v/>
      </c>
      <c r="AG93" s="39"/>
      <c r="AH93" s="72" t="str">
        <f t="shared" si="87"/>
        <v/>
      </c>
      <c r="AI93" s="72" t="str">
        <f t="shared" si="88"/>
        <v/>
      </c>
      <c r="AJ93" s="39"/>
      <c r="AK93" s="72" t="str">
        <f t="shared" si="89"/>
        <v/>
      </c>
      <c r="AL93" s="72" t="str">
        <f t="shared" si="90"/>
        <v/>
      </c>
      <c r="AM93" s="39"/>
      <c r="AN93" s="72" t="str">
        <f t="shared" si="91"/>
        <v/>
      </c>
      <c r="AO93" s="72" t="str">
        <f t="shared" si="92"/>
        <v/>
      </c>
      <c r="AP93" s="39"/>
      <c r="AQ93" s="72" t="str">
        <f t="shared" si="93"/>
        <v/>
      </c>
      <c r="AR93" s="72" t="str">
        <f t="shared" si="94"/>
        <v/>
      </c>
      <c r="AS93" s="39"/>
      <c r="AT93" s="40"/>
      <c r="AU93" s="39"/>
      <c r="AV93" s="72" t="str">
        <f t="shared" si="95"/>
        <v/>
      </c>
      <c r="AW93" s="72" t="str">
        <f t="shared" si="96"/>
        <v/>
      </c>
      <c r="AX93" s="39"/>
      <c r="AY93" s="40"/>
      <c r="AZ93" s="39"/>
      <c r="BA93" s="42" t="str">
        <f t="shared" si="97"/>
        <v/>
      </c>
      <c r="BB93" s="72" t="str">
        <f t="shared" si="98"/>
        <v/>
      </c>
      <c r="BC93" s="39"/>
      <c r="BD93" s="72" t="str">
        <f t="shared" si="99"/>
        <v/>
      </c>
      <c r="BE93" s="72" t="str">
        <f t="shared" si="100"/>
        <v/>
      </c>
      <c r="BF93" s="39"/>
      <c r="BG93" s="42" t="str">
        <f t="shared" si="101"/>
        <v/>
      </c>
      <c r="BH93" s="72" t="str">
        <f t="shared" si="102"/>
        <v/>
      </c>
      <c r="BI93" s="39"/>
      <c r="BJ93" s="40" t="str">
        <f t="shared" si="103"/>
        <v/>
      </c>
      <c r="BK93" s="157" t="str">
        <f t="shared" si="104"/>
        <v/>
      </c>
      <c r="BL93" s="157" t="str">
        <f t="shared" si="105"/>
        <v/>
      </c>
      <c r="BM93" s="72"/>
      <c r="BN93" s="72" t="str">
        <f t="shared" si="106"/>
        <v/>
      </c>
      <c r="BO93" s="72" t="str">
        <f t="shared" si="107"/>
        <v/>
      </c>
      <c r="BP93" s="39"/>
      <c r="BQ93" s="72" t="str">
        <f t="shared" si="108"/>
        <v/>
      </c>
      <c r="BR93" s="72" t="str">
        <f t="shared" si="109"/>
        <v/>
      </c>
    </row>
    <row r="94" spans="4:70" x14ac:dyDescent="0.15">
      <c r="D94" s="100" t="s">
        <v>596</v>
      </c>
      <c r="E94" s="100"/>
      <c r="F94" s="486"/>
      <c r="G94" s="100"/>
      <c r="I94" s="457">
        <f t="shared" si="110"/>
        <v>2109</v>
      </c>
      <c r="K94" s="71">
        <f t="shared" si="111"/>
        <v>80</v>
      </c>
      <c r="M94" s="7">
        <f t="shared" si="76"/>
        <v>9.3977096625217166E-2</v>
      </c>
      <c r="O94" s="10" t="str">
        <f t="shared" si="112"/>
        <v/>
      </c>
      <c r="P94" s="29" t="str">
        <f t="shared" si="77"/>
        <v/>
      </c>
      <c r="R94" s="10" t="str">
        <f t="shared" si="113"/>
        <v/>
      </c>
      <c r="T94" s="10" t="str">
        <f t="shared" si="78"/>
        <v/>
      </c>
      <c r="V94" s="10" t="str">
        <f t="shared" si="79"/>
        <v/>
      </c>
      <c r="W94" s="10" t="str">
        <f t="shared" si="80"/>
        <v/>
      </c>
      <c r="Y94" s="10" t="str">
        <f t="shared" si="81"/>
        <v/>
      </c>
      <c r="Z94" s="10" t="str">
        <f t="shared" si="82"/>
        <v/>
      </c>
      <c r="AB94" s="10" t="str">
        <f t="shared" si="83"/>
        <v/>
      </c>
      <c r="AC94" s="10" t="str">
        <f t="shared" si="84"/>
        <v/>
      </c>
      <c r="AE94" s="10" t="str">
        <f t="shared" si="85"/>
        <v/>
      </c>
      <c r="AF94" s="10" t="str">
        <f t="shared" si="86"/>
        <v/>
      </c>
      <c r="AH94" s="10" t="str">
        <f t="shared" si="87"/>
        <v/>
      </c>
      <c r="AI94" s="10" t="str">
        <f t="shared" si="88"/>
        <v/>
      </c>
      <c r="AK94" s="10" t="str">
        <f t="shared" si="89"/>
        <v/>
      </c>
      <c r="AL94" s="10" t="str">
        <f t="shared" si="90"/>
        <v/>
      </c>
      <c r="AN94" s="10" t="str">
        <f t="shared" si="91"/>
        <v/>
      </c>
      <c r="AO94" s="10" t="str">
        <f t="shared" si="92"/>
        <v/>
      </c>
      <c r="AQ94" s="10" t="str">
        <f t="shared" si="93"/>
        <v/>
      </c>
      <c r="AR94" s="10" t="str">
        <f t="shared" si="94"/>
        <v/>
      </c>
      <c r="AT94" s="7"/>
      <c r="AV94" s="10" t="str">
        <f t="shared" si="95"/>
        <v/>
      </c>
      <c r="AW94" s="10" t="str">
        <f t="shared" si="96"/>
        <v/>
      </c>
      <c r="AY94" s="7"/>
      <c r="BA94" s="11" t="str">
        <f t="shared" si="97"/>
        <v/>
      </c>
      <c r="BB94" s="10" t="str">
        <f t="shared" si="98"/>
        <v/>
      </c>
      <c r="BD94" s="10" t="str">
        <f t="shared" si="99"/>
        <v/>
      </c>
      <c r="BE94" s="10" t="str">
        <f t="shared" si="100"/>
        <v/>
      </c>
      <c r="BG94" s="11" t="str">
        <f t="shared" si="101"/>
        <v/>
      </c>
      <c r="BH94" s="10" t="str">
        <f t="shared" si="102"/>
        <v/>
      </c>
      <c r="BJ94" s="7" t="str">
        <f t="shared" si="103"/>
        <v/>
      </c>
      <c r="BK94" s="158" t="str">
        <f t="shared" si="104"/>
        <v/>
      </c>
      <c r="BL94" s="158" t="str">
        <f t="shared" si="105"/>
        <v/>
      </c>
      <c r="BM94" s="10"/>
      <c r="BN94" s="10" t="str">
        <f t="shared" si="106"/>
        <v/>
      </c>
      <c r="BO94" s="10" t="str">
        <f t="shared" si="107"/>
        <v/>
      </c>
      <c r="BQ94" s="10" t="str">
        <f t="shared" si="108"/>
        <v/>
      </c>
      <c r="BR94" s="10" t="str">
        <f t="shared" si="109"/>
        <v/>
      </c>
    </row>
    <row r="95" spans="4:70" ht="15" x14ac:dyDescent="0.15">
      <c r="D95" s="103"/>
      <c r="F95" s="487"/>
      <c r="I95" s="38">
        <f t="shared" si="110"/>
        <v>2110</v>
      </c>
      <c r="J95" s="39"/>
      <c r="K95" s="39">
        <f t="shared" si="111"/>
        <v>81</v>
      </c>
      <c r="L95" s="39"/>
      <c r="M95" s="40">
        <f t="shared" si="76"/>
        <v>9.1239899636133173E-2</v>
      </c>
      <c r="N95" s="39"/>
      <c r="O95" s="72" t="str">
        <f t="shared" si="112"/>
        <v/>
      </c>
      <c r="P95" s="41" t="str">
        <f t="shared" si="77"/>
        <v/>
      </c>
      <c r="Q95" s="39"/>
      <c r="R95" s="72" t="str">
        <f t="shared" si="113"/>
        <v/>
      </c>
      <c r="S95" s="39"/>
      <c r="T95" s="72" t="str">
        <f t="shared" si="78"/>
        <v/>
      </c>
      <c r="U95" s="39"/>
      <c r="V95" s="72" t="str">
        <f t="shared" si="79"/>
        <v/>
      </c>
      <c r="W95" s="72" t="str">
        <f t="shared" si="80"/>
        <v/>
      </c>
      <c r="X95" s="39"/>
      <c r="Y95" s="72" t="str">
        <f t="shared" si="81"/>
        <v/>
      </c>
      <c r="Z95" s="72" t="str">
        <f t="shared" si="82"/>
        <v/>
      </c>
      <c r="AA95" s="39"/>
      <c r="AB95" s="72" t="str">
        <f t="shared" si="83"/>
        <v/>
      </c>
      <c r="AC95" s="72" t="str">
        <f t="shared" si="84"/>
        <v/>
      </c>
      <c r="AD95" s="39"/>
      <c r="AE95" s="72" t="str">
        <f t="shared" si="85"/>
        <v/>
      </c>
      <c r="AF95" s="72" t="str">
        <f t="shared" si="86"/>
        <v/>
      </c>
      <c r="AG95" s="39"/>
      <c r="AH95" s="72" t="str">
        <f t="shared" si="87"/>
        <v/>
      </c>
      <c r="AI95" s="72" t="str">
        <f t="shared" si="88"/>
        <v/>
      </c>
      <c r="AJ95" s="39"/>
      <c r="AK95" s="72" t="str">
        <f t="shared" si="89"/>
        <v/>
      </c>
      <c r="AL95" s="72" t="str">
        <f t="shared" si="90"/>
        <v/>
      </c>
      <c r="AM95" s="39"/>
      <c r="AN95" s="72" t="str">
        <f t="shared" si="91"/>
        <v/>
      </c>
      <c r="AO95" s="72" t="str">
        <f t="shared" si="92"/>
        <v/>
      </c>
      <c r="AP95" s="39"/>
      <c r="AQ95" s="72" t="str">
        <f t="shared" si="93"/>
        <v/>
      </c>
      <c r="AR95" s="72" t="str">
        <f t="shared" si="94"/>
        <v/>
      </c>
      <c r="AS95" s="39"/>
      <c r="AT95" s="40"/>
      <c r="AU95" s="39"/>
      <c r="AV95" s="72" t="str">
        <f t="shared" si="95"/>
        <v/>
      </c>
      <c r="AW95" s="72" t="str">
        <f t="shared" si="96"/>
        <v/>
      </c>
      <c r="AX95" s="39"/>
      <c r="AY95" s="40"/>
      <c r="AZ95" s="39"/>
      <c r="BA95" s="42" t="str">
        <f t="shared" si="97"/>
        <v/>
      </c>
      <c r="BB95" s="72" t="str">
        <f t="shared" si="98"/>
        <v/>
      </c>
      <c r="BC95" s="39"/>
      <c r="BD95" s="72" t="str">
        <f t="shared" si="99"/>
        <v/>
      </c>
      <c r="BE95" s="72" t="str">
        <f t="shared" si="100"/>
        <v/>
      </c>
      <c r="BF95" s="39"/>
      <c r="BG95" s="42" t="str">
        <f t="shared" si="101"/>
        <v/>
      </c>
      <c r="BH95" s="72" t="str">
        <f t="shared" si="102"/>
        <v/>
      </c>
      <c r="BI95" s="39"/>
      <c r="BJ95" s="40" t="str">
        <f t="shared" si="103"/>
        <v/>
      </c>
      <c r="BK95" s="157" t="str">
        <f t="shared" si="104"/>
        <v/>
      </c>
      <c r="BL95" s="157" t="str">
        <f t="shared" si="105"/>
        <v/>
      </c>
      <c r="BM95" s="72"/>
      <c r="BN95" s="72" t="str">
        <f t="shared" si="106"/>
        <v/>
      </c>
      <c r="BO95" s="72" t="str">
        <f t="shared" si="107"/>
        <v/>
      </c>
      <c r="BP95" s="39"/>
      <c r="BQ95" s="72" t="str">
        <f t="shared" si="108"/>
        <v/>
      </c>
      <c r="BR95" s="72" t="str">
        <f t="shared" si="109"/>
        <v/>
      </c>
    </row>
    <row r="96" spans="4:70" ht="15" x14ac:dyDescent="0.15">
      <c r="D96" s="103"/>
      <c r="E96" s="84" t="s">
        <v>597</v>
      </c>
      <c r="F96" s="488">
        <f>IF(F3&lt;&gt;"原子力",AW116/$BR$116,0)</f>
        <v>3.76972595851481</v>
      </c>
      <c r="G96" s="84" t="s">
        <v>590</v>
      </c>
      <c r="I96" s="457">
        <f t="shared" si="110"/>
        <v>2111</v>
      </c>
      <c r="K96" s="71">
        <f t="shared" si="111"/>
        <v>82</v>
      </c>
      <c r="M96" s="7">
        <f t="shared" si="76"/>
        <v>8.8582426831197242E-2</v>
      </c>
      <c r="O96" s="10" t="str">
        <f t="shared" si="112"/>
        <v/>
      </c>
      <c r="P96" s="29" t="str">
        <f t="shared" si="77"/>
        <v/>
      </c>
      <c r="R96" s="10" t="str">
        <f t="shared" si="113"/>
        <v/>
      </c>
      <c r="T96" s="10" t="str">
        <f t="shared" si="78"/>
        <v/>
      </c>
      <c r="V96" s="10" t="str">
        <f t="shared" si="79"/>
        <v/>
      </c>
      <c r="W96" s="10" t="str">
        <f t="shared" si="80"/>
        <v/>
      </c>
      <c r="Y96" s="10" t="str">
        <f t="shared" si="81"/>
        <v/>
      </c>
      <c r="Z96" s="10" t="str">
        <f t="shared" si="82"/>
        <v/>
      </c>
      <c r="AB96" s="10" t="str">
        <f t="shared" si="83"/>
        <v/>
      </c>
      <c r="AC96" s="10" t="str">
        <f t="shared" si="84"/>
        <v/>
      </c>
      <c r="AE96" s="10" t="str">
        <f t="shared" si="85"/>
        <v/>
      </c>
      <c r="AF96" s="10" t="str">
        <f t="shared" si="86"/>
        <v/>
      </c>
      <c r="AH96" s="10" t="str">
        <f t="shared" si="87"/>
        <v/>
      </c>
      <c r="AI96" s="10" t="str">
        <f t="shared" si="88"/>
        <v/>
      </c>
      <c r="AK96" s="10" t="str">
        <f t="shared" si="89"/>
        <v/>
      </c>
      <c r="AL96" s="10" t="str">
        <f t="shared" si="90"/>
        <v/>
      </c>
      <c r="AN96" s="10" t="str">
        <f t="shared" si="91"/>
        <v/>
      </c>
      <c r="AO96" s="10" t="str">
        <f t="shared" si="92"/>
        <v/>
      </c>
      <c r="AQ96" s="10" t="str">
        <f t="shared" si="93"/>
        <v/>
      </c>
      <c r="AR96" s="10" t="str">
        <f t="shared" si="94"/>
        <v/>
      </c>
      <c r="AT96" s="7"/>
      <c r="AV96" s="10" t="str">
        <f t="shared" si="95"/>
        <v/>
      </c>
      <c r="AW96" s="10" t="str">
        <f t="shared" si="96"/>
        <v/>
      </c>
      <c r="AY96" s="7"/>
      <c r="BA96" s="11" t="str">
        <f t="shared" si="97"/>
        <v/>
      </c>
      <c r="BB96" s="10" t="str">
        <f t="shared" si="98"/>
        <v/>
      </c>
      <c r="BD96" s="10" t="str">
        <f t="shared" si="99"/>
        <v/>
      </c>
      <c r="BE96" s="10" t="str">
        <f t="shared" si="100"/>
        <v/>
      </c>
      <c r="BG96" s="11" t="str">
        <f t="shared" si="101"/>
        <v/>
      </c>
      <c r="BH96" s="10" t="str">
        <f t="shared" si="102"/>
        <v/>
      </c>
      <c r="BJ96" s="7" t="str">
        <f t="shared" si="103"/>
        <v/>
      </c>
      <c r="BK96" s="158" t="str">
        <f t="shared" si="104"/>
        <v/>
      </c>
      <c r="BL96" s="158" t="str">
        <f t="shared" si="105"/>
        <v/>
      </c>
      <c r="BM96" s="10"/>
      <c r="BN96" s="10" t="str">
        <f t="shared" si="106"/>
        <v/>
      </c>
      <c r="BO96" s="10" t="str">
        <f t="shared" si="107"/>
        <v/>
      </c>
      <c r="BQ96" s="10" t="str">
        <f t="shared" si="108"/>
        <v/>
      </c>
      <c r="BR96" s="10" t="str">
        <f t="shared" si="109"/>
        <v/>
      </c>
    </row>
    <row r="97" spans="4:70" ht="15" x14ac:dyDescent="0.15">
      <c r="D97" s="103"/>
      <c r="E97" s="84" t="s">
        <v>598</v>
      </c>
      <c r="F97" s="488">
        <f>IF(F3="原子力",'表5）核燃料サイクル費用'!B30,0)</f>
        <v>0</v>
      </c>
      <c r="G97" s="84" t="s">
        <v>590</v>
      </c>
      <c r="I97" s="38">
        <f t="shared" si="110"/>
        <v>2112</v>
      </c>
      <c r="J97" s="39"/>
      <c r="K97" s="39">
        <f t="shared" si="111"/>
        <v>83</v>
      </c>
      <c r="L97" s="39"/>
      <c r="M97" s="40">
        <f t="shared" si="76"/>
        <v>8.6002356146793454E-2</v>
      </c>
      <c r="N97" s="39"/>
      <c r="O97" s="72" t="str">
        <f t="shared" si="112"/>
        <v/>
      </c>
      <c r="P97" s="41" t="str">
        <f t="shared" si="77"/>
        <v/>
      </c>
      <c r="Q97" s="39"/>
      <c r="R97" s="72" t="str">
        <f t="shared" si="113"/>
        <v/>
      </c>
      <c r="S97" s="39"/>
      <c r="T97" s="72" t="str">
        <f t="shared" si="78"/>
        <v/>
      </c>
      <c r="U97" s="39"/>
      <c r="V97" s="72" t="str">
        <f t="shared" si="79"/>
        <v/>
      </c>
      <c r="W97" s="72" t="str">
        <f t="shared" si="80"/>
        <v/>
      </c>
      <c r="X97" s="39"/>
      <c r="Y97" s="72" t="str">
        <f t="shared" si="81"/>
        <v/>
      </c>
      <c r="Z97" s="72" t="str">
        <f t="shared" si="82"/>
        <v/>
      </c>
      <c r="AA97" s="39"/>
      <c r="AB97" s="72" t="str">
        <f t="shared" si="83"/>
        <v/>
      </c>
      <c r="AC97" s="72" t="str">
        <f t="shared" si="84"/>
        <v/>
      </c>
      <c r="AD97" s="39"/>
      <c r="AE97" s="72" t="str">
        <f t="shared" si="85"/>
        <v/>
      </c>
      <c r="AF97" s="72" t="str">
        <f t="shared" si="86"/>
        <v/>
      </c>
      <c r="AG97" s="39"/>
      <c r="AH97" s="72" t="str">
        <f t="shared" si="87"/>
        <v/>
      </c>
      <c r="AI97" s="72" t="str">
        <f t="shared" si="88"/>
        <v/>
      </c>
      <c r="AJ97" s="39"/>
      <c r="AK97" s="72" t="str">
        <f t="shared" si="89"/>
        <v/>
      </c>
      <c r="AL97" s="72" t="str">
        <f t="shared" si="90"/>
        <v/>
      </c>
      <c r="AM97" s="39"/>
      <c r="AN97" s="72" t="str">
        <f t="shared" si="91"/>
        <v/>
      </c>
      <c r="AO97" s="72" t="str">
        <f t="shared" si="92"/>
        <v/>
      </c>
      <c r="AP97" s="39"/>
      <c r="AQ97" s="72" t="str">
        <f t="shared" si="93"/>
        <v/>
      </c>
      <c r="AR97" s="72" t="str">
        <f t="shared" si="94"/>
        <v/>
      </c>
      <c r="AS97" s="39"/>
      <c r="AT97" s="40"/>
      <c r="AU97" s="39"/>
      <c r="AV97" s="72" t="str">
        <f t="shared" si="95"/>
        <v/>
      </c>
      <c r="AW97" s="72" t="str">
        <f t="shared" si="96"/>
        <v/>
      </c>
      <c r="AX97" s="39"/>
      <c r="AY97" s="40"/>
      <c r="AZ97" s="39"/>
      <c r="BA97" s="42" t="str">
        <f t="shared" si="97"/>
        <v/>
      </c>
      <c r="BB97" s="72" t="str">
        <f t="shared" si="98"/>
        <v/>
      </c>
      <c r="BC97" s="39"/>
      <c r="BD97" s="72" t="str">
        <f t="shared" si="99"/>
        <v/>
      </c>
      <c r="BE97" s="72" t="str">
        <f t="shared" si="100"/>
        <v/>
      </c>
      <c r="BF97" s="39"/>
      <c r="BG97" s="42" t="str">
        <f t="shared" si="101"/>
        <v/>
      </c>
      <c r="BH97" s="72" t="str">
        <f t="shared" si="102"/>
        <v/>
      </c>
      <c r="BI97" s="39"/>
      <c r="BJ97" s="40" t="str">
        <f t="shared" si="103"/>
        <v/>
      </c>
      <c r="BK97" s="157" t="str">
        <f t="shared" si="104"/>
        <v/>
      </c>
      <c r="BL97" s="157" t="str">
        <f t="shared" si="105"/>
        <v/>
      </c>
      <c r="BM97" s="72"/>
      <c r="BN97" s="72" t="str">
        <f t="shared" si="106"/>
        <v/>
      </c>
      <c r="BO97" s="72" t="str">
        <f t="shared" si="107"/>
        <v/>
      </c>
      <c r="BP97" s="39"/>
      <c r="BQ97" s="72" t="str">
        <f t="shared" si="108"/>
        <v/>
      </c>
      <c r="BR97" s="72" t="str">
        <f t="shared" si="109"/>
        <v/>
      </c>
    </row>
    <row r="98" spans="4:70" x14ac:dyDescent="0.15">
      <c r="F98" s="487"/>
      <c r="I98" s="457">
        <f t="shared" si="110"/>
        <v>2113</v>
      </c>
      <c r="K98" s="71">
        <f t="shared" si="111"/>
        <v>84</v>
      </c>
      <c r="M98" s="7">
        <f t="shared" si="76"/>
        <v>8.3497433152226644E-2</v>
      </c>
      <c r="O98" s="10" t="str">
        <f t="shared" si="112"/>
        <v/>
      </c>
      <c r="P98" s="29" t="str">
        <f t="shared" si="77"/>
        <v/>
      </c>
      <c r="R98" s="10" t="str">
        <f t="shared" si="113"/>
        <v/>
      </c>
      <c r="T98" s="10" t="str">
        <f t="shared" si="78"/>
        <v/>
      </c>
      <c r="V98" s="10" t="str">
        <f t="shared" si="79"/>
        <v/>
      </c>
      <c r="W98" s="10" t="str">
        <f t="shared" si="80"/>
        <v/>
      </c>
      <c r="Y98" s="10" t="str">
        <f t="shared" si="81"/>
        <v/>
      </c>
      <c r="Z98" s="10" t="str">
        <f t="shared" si="82"/>
        <v/>
      </c>
      <c r="AB98" s="10" t="str">
        <f t="shared" si="83"/>
        <v/>
      </c>
      <c r="AC98" s="10" t="str">
        <f t="shared" si="84"/>
        <v/>
      </c>
      <c r="AE98" s="10" t="str">
        <f t="shared" si="85"/>
        <v/>
      </c>
      <c r="AF98" s="10" t="str">
        <f t="shared" si="86"/>
        <v/>
      </c>
      <c r="AH98" s="10" t="str">
        <f t="shared" si="87"/>
        <v/>
      </c>
      <c r="AI98" s="10" t="str">
        <f t="shared" si="88"/>
        <v/>
      </c>
      <c r="AK98" s="10" t="str">
        <f t="shared" si="89"/>
        <v/>
      </c>
      <c r="AL98" s="10" t="str">
        <f t="shared" si="90"/>
        <v/>
      </c>
      <c r="AN98" s="10" t="str">
        <f t="shared" si="91"/>
        <v/>
      </c>
      <c r="AO98" s="10" t="str">
        <f t="shared" si="92"/>
        <v/>
      </c>
      <c r="AQ98" s="10" t="str">
        <f t="shared" si="93"/>
        <v/>
      </c>
      <c r="AR98" s="10" t="str">
        <f t="shared" si="94"/>
        <v/>
      </c>
      <c r="AT98" s="7"/>
      <c r="AV98" s="10" t="str">
        <f t="shared" si="95"/>
        <v/>
      </c>
      <c r="AW98" s="10" t="str">
        <f t="shared" si="96"/>
        <v/>
      </c>
      <c r="AY98" s="7"/>
      <c r="BA98" s="11" t="str">
        <f t="shared" si="97"/>
        <v/>
      </c>
      <c r="BB98" s="10" t="str">
        <f t="shared" si="98"/>
        <v/>
      </c>
      <c r="BD98" s="10" t="str">
        <f t="shared" si="99"/>
        <v/>
      </c>
      <c r="BE98" s="10" t="str">
        <f t="shared" si="100"/>
        <v/>
      </c>
      <c r="BG98" s="11" t="str">
        <f t="shared" si="101"/>
        <v/>
      </c>
      <c r="BH98" s="10" t="str">
        <f t="shared" si="102"/>
        <v/>
      </c>
      <c r="BJ98" s="7" t="str">
        <f t="shared" si="103"/>
        <v/>
      </c>
      <c r="BK98" s="158" t="str">
        <f t="shared" si="104"/>
        <v/>
      </c>
      <c r="BL98" s="158" t="str">
        <f t="shared" si="105"/>
        <v/>
      </c>
      <c r="BM98" s="10"/>
      <c r="BN98" s="10" t="str">
        <f t="shared" si="106"/>
        <v/>
      </c>
      <c r="BO98" s="10" t="str">
        <f t="shared" si="107"/>
        <v/>
      </c>
      <c r="BQ98" s="10" t="str">
        <f t="shared" si="108"/>
        <v/>
      </c>
      <c r="BR98" s="10" t="str">
        <f t="shared" si="109"/>
        <v/>
      </c>
    </row>
    <row r="99" spans="4:70" ht="15" x14ac:dyDescent="0.15">
      <c r="D99" s="103" t="s">
        <v>599</v>
      </c>
      <c r="F99" s="484">
        <f>SUBTOTAL(9,F103:F105)</f>
        <v>4.5312318414945016</v>
      </c>
      <c r="G99" s="84" t="s">
        <v>590</v>
      </c>
      <c r="I99" s="38">
        <f t="shared" si="110"/>
        <v>2114</v>
      </c>
      <c r="J99" s="39"/>
      <c r="K99" s="39">
        <f t="shared" si="111"/>
        <v>85</v>
      </c>
      <c r="L99" s="39"/>
      <c r="M99" s="40">
        <f t="shared" si="76"/>
        <v>8.1065469079831712E-2</v>
      </c>
      <c r="N99" s="39"/>
      <c r="O99" s="72" t="str">
        <f t="shared" si="112"/>
        <v/>
      </c>
      <c r="P99" s="41" t="str">
        <f t="shared" si="77"/>
        <v/>
      </c>
      <c r="Q99" s="39"/>
      <c r="R99" s="72" t="str">
        <f t="shared" si="113"/>
        <v/>
      </c>
      <c r="S99" s="39"/>
      <c r="T99" s="72" t="str">
        <f t="shared" si="78"/>
        <v/>
      </c>
      <c r="U99" s="39"/>
      <c r="V99" s="72" t="str">
        <f t="shared" si="79"/>
        <v/>
      </c>
      <c r="W99" s="72" t="str">
        <f t="shared" si="80"/>
        <v/>
      </c>
      <c r="X99" s="39"/>
      <c r="Y99" s="72" t="str">
        <f t="shared" si="81"/>
        <v/>
      </c>
      <c r="Z99" s="72" t="str">
        <f t="shared" si="82"/>
        <v/>
      </c>
      <c r="AA99" s="39"/>
      <c r="AB99" s="72" t="str">
        <f t="shared" si="83"/>
        <v/>
      </c>
      <c r="AC99" s="72" t="str">
        <f t="shared" si="84"/>
        <v/>
      </c>
      <c r="AD99" s="39"/>
      <c r="AE99" s="72" t="str">
        <f t="shared" si="85"/>
        <v/>
      </c>
      <c r="AF99" s="72" t="str">
        <f t="shared" si="86"/>
        <v/>
      </c>
      <c r="AG99" s="39"/>
      <c r="AH99" s="72" t="str">
        <f t="shared" si="87"/>
        <v/>
      </c>
      <c r="AI99" s="72" t="str">
        <f t="shared" si="88"/>
        <v/>
      </c>
      <c r="AJ99" s="39"/>
      <c r="AK99" s="72" t="str">
        <f t="shared" si="89"/>
        <v/>
      </c>
      <c r="AL99" s="72" t="str">
        <f t="shared" si="90"/>
        <v/>
      </c>
      <c r="AM99" s="39"/>
      <c r="AN99" s="72" t="str">
        <f t="shared" si="91"/>
        <v/>
      </c>
      <c r="AO99" s="72" t="str">
        <f t="shared" si="92"/>
        <v/>
      </c>
      <c r="AP99" s="39"/>
      <c r="AQ99" s="72" t="str">
        <f t="shared" si="93"/>
        <v/>
      </c>
      <c r="AR99" s="72" t="str">
        <f t="shared" si="94"/>
        <v/>
      </c>
      <c r="AS99" s="39"/>
      <c r="AT99" s="40"/>
      <c r="AU99" s="39"/>
      <c r="AV99" s="72" t="str">
        <f t="shared" si="95"/>
        <v/>
      </c>
      <c r="AW99" s="72" t="str">
        <f t="shared" si="96"/>
        <v/>
      </c>
      <c r="AX99" s="39"/>
      <c r="AY99" s="40"/>
      <c r="AZ99" s="39"/>
      <c r="BA99" s="42" t="str">
        <f t="shared" si="97"/>
        <v/>
      </c>
      <c r="BB99" s="72" t="str">
        <f t="shared" si="98"/>
        <v/>
      </c>
      <c r="BC99" s="39"/>
      <c r="BD99" s="72" t="str">
        <f t="shared" si="99"/>
        <v/>
      </c>
      <c r="BE99" s="72" t="str">
        <f t="shared" si="100"/>
        <v/>
      </c>
      <c r="BF99" s="39"/>
      <c r="BG99" s="42" t="str">
        <f t="shared" si="101"/>
        <v/>
      </c>
      <c r="BH99" s="72" t="str">
        <f t="shared" si="102"/>
        <v/>
      </c>
      <c r="BI99" s="39"/>
      <c r="BJ99" s="40" t="str">
        <f t="shared" si="103"/>
        <v/>
      </c>
      <c r="BK99" s="157" t="str">
        <f t="shared" si="104"/>
        <v/>
      </c>
      <c r="BL99" s="157" t="str">
        <f t="shared" si="105"/>
        <v/>
      </c>
      <c r="BM99" s="72"/>
      <c r="BN99" s="72" t="str">
        <f t="shared" si="106"/>
        <v/>
      </c>
      <c r="BO99" s="72" t="str">
        <f t="shared" si="107"/>
        <v/>
      </c>
      <c r="BP99" s="39"/>
      <c r="BQ99" s="72" t="str">
        <f t="shared" si="108"/>
        <v/>
      </c>
      <c r="BR99" s="72" t="str">
        <f t="shared" si="109"/>
        <v/>
      </c>
    </row>
    <row r="100" spans="4:70" x14ac:dyDescent="0.15">
      <c r="F100" s="487"/>
      <c r="I100" s="457">
        <f t="shared" si="110"/>
        <v>2115</v>
      </c>
      <c r="K100" s="71">
        <f t="shared" si="111"/>
        <v>86</v>
      </c>
      <c r="M100" s="7">
        <f t="shared" si="76"/>
        <v>7.8704338912457969E-2</v>
      </c>
      <c r="O100" s="10" t="str">
        <f t="shared" si="112"/>
        <v/>
      </c>
      <c r="P100" s="29" t="str">
        <f t="shared" si="77"/>
        <v/>
      </c>
      <c r="R100" s="10" t="str">
        <f t="shared" si="113"/>
        <v/>
      </c>
      <c r="T100" s="10" t="str">
        <f t="shared" si="78"/>
        <v/>
      </c>
      <c r="V100" s="10" t="str">
        <f t="shared" si="79"/>
        <v/>
      </c>
      <c r="W100" s="10" t="str">
        <f t="shared" si="80"/>
        <v/>
      </c>
      <c r="Y100" s="10" t="str">
        <f t="shared" si="81"/>
        <v/>
      </c>
      <c r="Z100" s="10" t="str">
        <f t="shared" si="82"/>
        <v/>
      </c>
      <c r="AB100" s="10" t="str">
        <f t="shared" si="83"/>
        <v/>
      </c>
      <c r="AC100" s="10" t="str">
        <f t="shared" si="84"/>
        <v/>
      </c>
      <c r="AE100" s="10" t="str">
        <f t="shared" si="85"/>
        <v/>
      </c>
      <c r="AF100" s="10" t="str">
        <f t="shared" si="86"/>
        <v/>
      </c>
      <c r="AH100" s="10" t="str">
        <f t="shared" si="87"/>
        <v/>
      </c>
      <c r="AI100" s="10" t="str">
        <f t="shared" si="88"/>
        <v/>
      </c>
      <c r="AK100" s="10" t="str">
        <f t="shared" si="89"/>
        <v/>
      </c>
      <c r="AL100" s="10" t="str">
        <f t="shared" si="90"/>
        <v/>
      </c>
      <c r="AN100" s="10" t="str">
        <f t="shared" si="91"/>
        <v/>
      </c>
      <c r="AO100" s="10" t="str">
        <f t="shared" si="92"/>
        <v/>
      </c>
      <c r="AQ100" s="10" t="str">
        <f t="shared" si="93"/>
        <v/>
      </c>
      <c r="AR100" s="10" t="str">
        <f t="shared" si="94"/>
        <v/>
      </c>
      <c r="AT100" s="7"/>
      <c r="AV100" s="10" t="str">
        <f t="shared" si="95"/>
        <v/>
      </c>
      <c r="AW100" s="10" t="str">
        <f t="shared" si="96"/>
        <v/>
      </c>
      <c r="AY100" s="7"/>
      <c r="BA100" s="11" t="str">
        <f t="shared" si="97"/>
        <v/>
      </c>
      <c r="BB100" s="10" t="str">
        <f t="shared" si="98"/>
        <v/>
      </c>
      <c r="BD100" s="10" t="str">
        <f t="shared" si="99"/>
        <v/>
      </c>
      <c r="BE100" s="10" t="str">
        <f t="shared" si="100"/>
        <v/>
      </c>
      <c r="BG100" s="11" t="str">
        <f t="shared" si="101"/>
        <v/>
      </c>
      <c r="BH100" s="10" t="str">
        <f t="shared" si="102"/>
        <v/>
      </c>
      <c r="BJ100" s="7" t="str">
        <f t="shared" si="103"/>
        <v/>
      </c>
      <c r="BK100" s="158" t="str">
        <f t="shared" si="104"/>
        <v/>
      </c>
      <c r="BL100" s="158" t="str">
        <f t="shared" si="105"/>
        <v/>
      </c>
      <c r="BM100" s="10"/>
      <c r="BN100" s="10" t="str">
        <f t="shared" si="106"/>
        <v/>
      </c>
      <c r="BO100" s="10" t="str">
        <f t="shared" si="107"/>
        <v/>
      </c>
      <c r="BQ100" s="10" t="str">
        <f t="shared" si="108"/>
        <v/>
      </c>
      <c r="BR100" s="10" t="str">
        <f t="shared" si="109"/>
        <v/>
      </c>
    </row>
    <row r="101" spans="4:70" x14ac:dyDescent="0.15">
      <c r="D101" s="100" t="s">
        <v>600</v>
      </c>
      <c r="E101" s="100"/>
      <c r="F101" s="486"/>
      <c r="G101" s="100"/>
      <c r="I101" s="38">
        <f t="shared" si="110"/>
        <v>2116</v>
      </c>
      <c r="J101" s="39"/>
      <c r="K101" s="39">
        <f t="shared" si="111"/>
        <v>87</v>
      </c>
      <c r="L101" s="39"/>
      <c r="M101" s="40">
        <f t="shared" si="76"/>
        <v>7.6411979526658208E-2</v>
      </c>
      <c r="N101" s="39"/>
      <c r="O101" s="72" t="str">
        <f t="shared" si="112"/>
        <v/>
      </c>
      <c r="P101" s="41" t="str">
        <f t="shared" si="77"/>
        <v/>
      </c>
      <c r="Q101" s="39"/>
      <c r="R101" s="72" t="str">
        <f t="shared" si="113"/>
        <v/>
      </c>
      <c r="S101" s="39"/>
      <c r="T101" s="72" t="str">
        <f t="shared" si="78"/>
        <v/>
      </c>
      <c r="U101" s="39"/>
      <c r="V101" s="72" t="str">
        <f t="shared" si="79"/>
        <v/>
      </c>
      <c r="W101" s="72" t="str">
        <f t="shared" si="80"/>
        <v/>
      </c>
      <c r="X101" s="39"/>
      <c r="Y101" s="72" t="str">
        <f t="shared" si="81"/>
        <v/>
      </c>
      <c r="Z101" s="72" t="str">
        <f t="shared" si="82"/>
        <v/>
      </c>
      <c r="AA101" s="39"/>
      <c r="AB101" s="72" t="str">
        <f t="shared" si="83"/>
        <v/>
      </c>
      <c r="AC101" s="72" t="str">
        <f t="shared" si="84"/>
        <v/>
      </c>
      <c r="AD101" s="39"/>
      <c r="AE101" s="72" t="str">
        <f t="shared" si="85"/>
        <v/>
      </c>
      <c r="AF101" s="72" t="str">
        <f t="shared" si="86"/>
        <v/>
      </c>
      <c r="AG101" s="39"/>
      <c r="AH101" s="72" t="str">
        <f t="shared" si="87"/>
        <v/>
      </c>
      <c r="AI101" s="72" t="str">
        <f t="shared" si="88"/>
        <v/>
      </c>
      <c r="AJ101" s="39"/>
      <c r="AK101" s="72" t="str">
        <f t="shared" si="89"/>
        <v/>
      </c>
      <c r="AL101" s="72" t="str">
        <f t="shared" si="90"/>
        <v/>
      </c>
      <c r="AM101" s="39"/>
      <c r="AN101" s="72" t="str">
        <f t="shared" si="91"/>
        <v/>
      </c>
      <c r="AO101" s="72" t="str">
        <f t="shared" si="92"/>
        <v/>
      </c>
      <c r="AP101" s="39"/>
      <c r="AQ101" s="72" t="str">
        <f t="shared" si="93"/>
        <v/>
      </c>
      <c r="AR101" s="72" t="str">
        <f t="shared" si="94"/>
        <v/>
      </c>
      <c r="AS101" s="39"/>
      <c r="AT101" s="40"/>
      <c r="AU101" s="39"/>
      <c r="AV101" s="72" t="str">
        <f t="shared" si="95"/>
        <v/>
      </c>
      <c r="AW101" s="72" t="str">
        <f t="shared" si="96"/>
        <v/>
      </c>
      <c r="AX101" s="39"/>
      <c r="AY101" s="40"/>
      <c r="AZ101" s="39"/>
      <c r="BA101" s="42" t="str">
        <f t="shared" si="97"/>
        <v/>
      </c>
      <c r="BB101" s="72" t="str">
        <f t="shared" si="98"/>
        <v/>
      </c>
      <c r="BC101" s="39"/>
      <c r="BD101" s="72" t="str">
        <f t="shared" si="99"/>
        <v/>
      </c>
      <c r="BE101" s="72" t="str">
        <f t="shared" si="100"/>
        <v/>
      </c>
      <c r="BF101" s="39"/>
      <c r="BG101" s="42" t="str">
        <f t="shared" si="101"/>
        <v/>
      </c>
      <c r="BH101" s="72" t="str">
        <f t="shared" si="102"/>
        <v/>
      </c>
      <c r="BI101" s="39"/>
      <c r="BJ101" s="40" t="str">
        <f t="shared" si="103"/>
        <v/>
      </c>
      <c r="BK101" s="157" t="str">
        <f t="shared" si="104"/>
        <v/>
      </c>
      <c r="BL101" s="157" t="str">
        <f t="shared" si="105"/>
        <v/>
      </c>
      <c r="BM101" s="72"/>
      <c r="BN101" s="72" t="str">
        <f t="shared" si="106"/>
        <v/>
      </c>
      <c r="BO101" s="72" t="str">
        <f t="shared" si="107"/>
        <v/>
      </c>
      <c r="BP101" s="39"/>
      <c r="BQ101" s="72" t="str">
        <f t="shared" si="108"/>
        <v/>
      </c>
      <c r="BR101" s="72" t="str">
        <f t="shared" si="109"/>
        <v/>
      </c>
    </row>
    <row r="102" spans="4:70" x14ac:dyDescent="0.15">
      <c r="F102" s="487"/>
      <c r="I102" s="457">
        <f t="shared" si="110"/>
        <v>2117</v>
      </c>
      <c r="K102" s="71">
        <f t="shared" si="111"/>
        <v>88</v>
      </c>
      <c r="M102" s="7">
        <f t="shared" si="76"/>
        <v>7.4186387889959446E-2</v>
      </c>
      <c r="O102" s="10" t="str">
        <f t="shared" si="112"/>
        <v/>
      </c>
      <c r="P102" s="29" t="str">
        <f t="shared" si="77"/>
        <v/>
      </c>
      <c r="R102" s="10" t="str">
        <f t="shared" si="113"/>
        <v/>
      </c>
      <c r="T102" s="10" t="str">
        <f t="shared" si="78"/>
        <v/>
      </c>
      <c r="V102" s="10" t="str">
        <f t="shared" si="79"/>
        <v/>
      </c>
      <c r="W102" s="10" t="str">
        <f t="shared" si="80"/>
        <v/>
      </c>
      <c r="Y102" s="10" t="str">
        <f t="shared" si="81"/>
        <v/>
      </c>
      <c r="Z102" s="10" t="str">
        <f t="shared" si="82"/>
        <v/>
      </c>
      <c r="AB102" s="10" t="str">
        <f t="shared" si="83"/>
        <v/>
      </c>
      <c r="AC102" s="10" t="str">
        <f t="shared" si="84"/>
        <v/>
      </c>
      <c r="AE102" s="10" t="str">
        <f t="shared" si="85"/>
        <v/>
      </c>
      <c r="AF102" s="10" t="str">
        <f t="shared" si="86"/>
        <v/>
      </c>
      <c r="AH102" s="10" t="str">
        <f t="shared" si="87"/>
        <v/>
      </c>
      <c r="AI102" s="10" t="str">
        <f t="shared" si="88"/>
        <v/>
      </c>
      <c r="AK102" s="10" t="str">
        <f t="shared" si="89"/>
        <v/>
      </c>
      <c r="AL102" s="10" t="str">
        <f t="shared" si="90"/>
        <v/>
      </c>
      <c r="AN102" s="10" t="str">
        <f t="shared" si="91"/>
        <v/>
      </c>
      <c r="AO102" s="10" t="str">
        <f t="shared" si="92"/>
        <v/>
      </c>
      <c r="AQ102" s="10" t="str">
        <f t="shared" si="93"/>
        <v/>
      </c>
      <c r="AR102" s="10" t="str">
        <f t="shared" si="94"/>
        <v/>
      </c>
      <c r="AT102" s="7"/>
      <c r="AV102" s="10" t="str">
        <f t="shared" si="95"/>
        <v/>
      </c>
      <c r="AW102" s="10" t="str">
        <f t="shared" si="96"/>
        <v/>
      </c>
      <c r="AY102" s="7"/>
      <c r="BA102" s="11" t="str">
        <f t="shared" si="97"/>
        <v/>
      </c>
      <c r="BB102" s="10" t="str">
        <f t="shared" si="98"/>
        <v/>
      </c>
      <c r="BD102" s="10" t="str">
        <f t="shared" si="99"/>
        <v/>
      </c>
      <c r="BE102" s="10" t="str">
        <f t="shared" si="100"/>
        <v/>
      </c>
      <c r="BG102" s="11" t="str">
        <f t="shared" si="101"/>
        <v/>
      </c>
      <c r="BH102" s="10" t="str">
        <f t="shared" si="102"/>
        <v/>
      </c>
      <c r="BJ102" s="7" t="str">
        <f t="shared" si="103"/>
        <v/>
      </c>
      <c r="BK102" s="158" t="str">
        <f t="shared" si="104"/>
        <v/>
      </c>
      <c r="BL102" s="158" t="str">
        <f t="shared" si="105"/>
        <v/>
      </c>
      <c r="BM102" s="10"/>
      <c r="BN102" s="10" t="str">
        <f t="shared" si="106"/>
        <v/>
      </c>
      <c r="BO102" s="10" t="str">
        <f t="shared" si="107"/>
        <v/>
      </c>
      <c r="BQ102" s="10" t="str">
        <f t="shared" si="108"/>
        <v/>
      </c>
      <c r="BR102" s="10" t="str">
        <f t="shared" si="109"/>
        <v/>
      </c>
    </row>
    <row r="103" spans="4:70" x14ac:dyDescent="0.15">
      <c r="E103" s="84" t="s">
        <v>601</v>
      </c>
      <c r="F103" s="488">
        <f>BB116/$BR$116</f>
        <v>4.4612318414945014</v>
      </c>
      <c r="G103" s="84" t="s">
        <v>590</v>
      </c>
      <c r="I103" s="38">
        <f t="shared" si="110"/>
        <v>2118</v>
      </c>
      <c r="J103" s="39"/>
      <c r="K103" s="39">
        <f t="shared" si="111"/>
        <v>89</v>
      </c>
      <c r="L103" s="39"/>
      <c r="M103" s="40">
        <f t="shared" si="76"/>
        <v>7.2025619310640235E-2</v>
      </c>
      <c r="N103" s="39"/>
      <c r="O103" s="72" t="str">
        <f t="shared" si="112"/>
        <v/>
      </c>
      <c r="P103" s="41" t="str">
        <f t="shared" si="77"/>
        <v/>
      </c>
      <c r="Q103" s="39"/>
      <c r="R103" s="72" t="str">
        <f t="shared" si="113"/>
        <v/>
      </c>
      <c r="S103" s="39"/>
      <c r="T103" s="72" t="str">
        <f t="shared" si="78"/>
        <v/>
      </c>
      <c r="U103" s="39"/>
      <c r="V103" s="72" t="str">
        <f t="shared" si="79"/>
        <v/>
      </c>
      <c r="W103" s="72" t="str">
        <f t="shared" si="80"/>
        <v/>
      </c>
      <c r="X103" s="39"/>
      <c r="Y103" s="72" t="str">
        <f t="shared" si="81"/>
        <v/>
      </c>
      <c r="Z103" s="72" t="str">
        <f t="shared" si="82"/>
        <v/>
      </c>
      <c r="AA103" s="39"/>
      <c r="AB103" s="72" t="str">
        <f t="shared" si="83"/>
        <v/>
      </c>
      <c r="AC103" s="72" t="str">
        <f t="shared" si="84"/>
        <v/>
      </c>
      <c r="AD103" s="39"/>
      <c r="AE103" s="72" t="str">
        <f t="shared" si="85"/>
        <v/>
      </c>
      <c r="AF103" s="72" t="str">
        <f t="shared" si="86"/>
        <v/>
      </c>
      <c r="AG103" s="39"/>
      <c r="AH103" s="72" t="str">
        <f t="shared" si="87"/>
        <v/>
      </c>
      <c r="AI103" s="72" t="str">
        <f t="shared" si="88"/>
        <v/>
      </c>
      <c r="AJ103" s="39"/>
      <c r="AK103" s="72" t="str">
        <f t="shared" si="89"/>
        <v/>
      </c>
      <c r="AL103" s="72" t="str">
        <f t="shared" si="90"/>
        <v/>
      </c>
      <c r="AM103" s="39"/>
      <c r="AN103" s="72" t="str">
        <f t="shared" si="91"/>
        <v/>
      </c>
      <c r="AO103" s="72" t="str">
        <f t="shared" si="92"/>
        <v/>
      </c>
      <c r="AP103" s="39"/>
      <c r="AQ103" s="72" t="str">
        <f t="shared" si="93"/>
        <v/>
      </c>
      <c r="AR103" s="72" t="str">
        <f t="shared" si="94"/>
        <v/>
      </c>
      <c r="AS103" s="39"/>
      <c r="AT103" s="40"/>
      <c r="AU103" s="39"/>
      <c r="AV103" s="72" t="str">
        <f t="shared" si="95"/>
        <v/>
      </c>
      <c r="AW103" s="72" t="str">
        <f t="shared" si="96"/>
        <v/>
      </c>
      <c r="AX103" s="39"/>
      <c r="AY103" s="40"/>
      <c r="AZ103" s="39"/>
      <c r="BA103" s="42" t="str">
        <f t="shared" si="97"/>
        <v/>
      </c>
      <c r="BB103" s="72" t="str">
        <f t="shared" si="98"/>
        <v/>
      </c>
      <c r="BC103" s="39"/>
      <c r="BD103" s="72" t="str">
        <f t="shared" si="99"/>
        <v/>
      </c>
      <c r="BE103" s="72" t="str">
        <f t="shared" si="100"/>
        <v/>
      </c>
      <c r="BF103" s="39"/>
      <c r="BG103" s="42" t="str">
        <f t="shared" si="101"/>
        <v/>
      </c>
      <c r="BH103" s="72" t="str">
        <f t="shared" si="102"/>
        <v/>
      </c>
      <c r="BI103" s="39"/>
      <c r="BJ103" s="40" t="str">
        <f t="shared" si="103"/>
        <v/>
      </c>
      <c r="BK103" s="157" t="str">
        <f t="shared" si="104"/>
        <v/>
      </c>
      <c r="BL103" s="157" t="str">
        <f t="shared" si="105"/>
        <v/>
      </c>
      <c r="BM103" s="72"/>
      <c r="BN103" s="72" t="str">
        <f t="shared" si="106"/>
        <v/>
      </c>
      <c r="BO103" s="72" t="str">
        <f t="shared" si="107"/>
        <v/>
      </c>
      <c r="BP103" s="39"/>
      <c r="BQ103" s="72" t="str">
        <f t="shared" si="108"/>
        <v/>
      </c>
      <c r="BR103" s="72" t="str">
        <f t="shared" si="109"/>
        <v/>
      </c>
    </row>
    <row r="104" spans="4:70" x14ac:dyDescent="0.15">
      <c r="E104" s="84" t="s">
        <v>602</v>
      </c>
      <c r="F104" s="488">
        <f>IF(ISERROR(F60*(1/F61)/F62),0,F60*(1/F61)/F62)</f>
        <v>0</v>
      </c>
      <c r="G104" s="84" t="s">
        <v>590</v>
      </c>
      <c r="I104" s="457">
        <f t="shared" si="110"/>
        <v>2119</v>
      </c>
      <c r="K104" s="71">
        <f t="shared" si="111"/>
        <v>90</v>
      </c>
      <c r="M104" s="7">
        <f t="shared" si="76"/>
        <v>6.9927785738485654E-2</v>
      </c>
      <c r="O104" s="10" t="str">
        <f t="shared" si="112"/>
        <v/>
      </c>
      <c r="P104" s="29" t="str">
        <f t="shared" si="77"/>
        <v/>
      </c>
      <c r="R104" s="10" t="str">
        <f t="shared" si="113"/>
        <v/>
      </c>
      <c r="T104" s="10" t="str">
        <f t="shared" si="78"/>
        <v/>
      </c>
      <c r="V104" s="10" t="str">
        <f t="shared" si="79"/>
        <v/>
      </c>
      <c r="W104" s="10" t="str">
        <f t="shared" si="80"/>
        <v/>
      </c>
      <c r="Y104" s="10" t="str">
        <f t="shared" si="81"/>
        <v/>
      </c>
      <c r="Z104" s="10" t="str">
        <f t="shared" si="82"/>
        <v/>
      </c>
      <c r="AB104" s="10" t="str">
        <f t="shared" si="83"/>
        <v/>
      </c>
      <c r="AC104" s="10" t="str">
        <f t="shared" si="84"/>
        <v/>
      </c>
      <c r="AE104" s="10" t="str">
        <f t="shared" si="85"/>
        <v/>
      </c>
      <c r="AF104" s="10" t="str">
        <f t="shared" si="86"/>
        <v/>
      </c>
      <c r="AH104" s="10" t="str">
        <f t="shared" si="87"/>
        <v/>
      </c>
      <c r="AI104" s="10" t="str">
        <f t="shared" si="88"/>
        <v/>
      </c>
      <c r="AK104" s="10" t="str">
        <f t="shared" si="89"/>
        <v/>
      </c>
      <c r="AL104" s="10" t="str">
        <f t="shared" si="90"/>
        <v/>
      </c>
      <c r="AN104" s="10" t="str">
        <f t="shared" si="91"/>
        <v/>
      </c>
      <c r="AO104" s="10" t="str">
        <f t="shared" si="92"/>
        <v/>
      </c>
      <c r="AQ104" s="10" t="str">
        <f t="shared" si="93"/>
        <v/>
      </c>
      <c r="AR104" s="10" t="str">
        <f t="shared" si="94"/>
        <v/>
      </c>
      <c r="AT104" s="7"/>
      <c r="AV104" s="10" t="str">
        <f t="shared" si="95"/>
        <v/>
      </c>
      <c r="AW104" s="10" t="str">
        <f t="shared" si="96"/>
        <v/>
      </c>
      <c r="AY104" s="7"/>
      <c r="BA104" s="11" t="str">
        <f t="shared" si="97"/>
        <v/>
      </c>
      <c r="BB104" s="10" t="str">
        <f t="shared" si="98"/>
        <v/>
      </c>
      <c r="BD104" s="10" t="str">
        <f t="shared" si="99"/>
        <v/>
      </c>
      <c r="BE104" s="10" t="str">
        <f t="shared" si="100"/>
        <v/>
      </c>
      <c r="BG104" s="11" t="str">
        <f t="shared" si="101"/>
        <v/>
      </c>
      <c r="BH104" s="10" t="str">
        <f t="shared" si="102"/>
        <v/>
      </c>
      <c r="BJ104" s="7" t="str">
        <f t="shared" si="103"/>
        <v/>
      </c>
      <c r="BK104" s="158" t="str">
        <f t="shared" si="104"/>
        <v/>
      </c>
      <c r="BL104" s="158" t="str">
        <f t="shared" si="105"/>
        <v/>
      </c>
      <c r="BM104" s="10"/>
      <c r="BN104" s="10" t="str">
        <f t="shared" si="106"/>
        <v/>
      </c>
      <c r="BO104" s="10" t="str">
        <f t="shared" si="107"/>
        <v/>
      </c>
      <c r="BQ104" s="10" t="str">
        <f t="shared" si="108"/>
        <v/>
      </c>
      <c r="BR104" s="10" t="str">
        <f t="shared" si="109"/>
        <v/>
      </c>
    </row>
    <row r="105" spans="4:70" x14ac:dyDescent="0.15">
      <c r="E105" s="71" t="s">
        <v>603</v>
      </c>
      <c r="F105" s="488">
        <v>7.0000000000000007E-2</v>
      </c>
      <c r="G105" s="84" t="s">
        <v>590</v>
      </c>
      <c r="I105" s="38">
        <f t="shared" si="110"/>
        <v>2120</v>
      </c>
      <c r="J105" s="39"/>
      <c r="K105" s="39">
        <f t="shared" si="111"/>
        <v>91</v>
      </c>
      <c r="L105" s="39"/>
      <c r="M105" s="40">
        <f t="shared" si="76"/>
        <v>6.7891054115034627E-2</v>
      </c>
      <c r="N105" s="39"/>
      <c r="O105" s="72" t="str">
        <f t="shared" si="112"/>
        <v/>
      </c>
      <c r="P105" s="41" t="str">
        <f t="shared" si="77"/>
        <v/>
      </c>
      <c r="Q105" s="39"/>
      <c r="R105" s="72" t="str">
        <f t="shared" si="113"/>
        <v/>
      </c>
      <c r="S105" s="39"/>
      <c r="T105" s="72" t="str">
        <f t="shared" si="78"/>
        <v/>
      </c>
      <c r="U105" s="39"/>
      <c r="V105" s="72" t="str">
        <f t="shared" si="79"/>
        <v/>
      </c>
      <c r="W105" s="72" t="str">
        <f t="shared" si="80"/>
        <v/>
      </c>
      <c r="X105" s="39"/>
      <c r="Y105" s="72" t="str">
        <f t="shared" si="81"/>
        <v/>
      </c>
      <c r="Z105" s="72" t="str">
        <f t="shared" si="82"/>
        <v/>
      </c>
      <c r="AA105" s="39"/>
      <c r="AB105" s="72" t="str">
        <f t="shared" si="83"/>
        <v/>
      </c>
      <c r="AC105" s="72" t="str">
        <f t="shared" si="84"/>
        <v/>
      </c>
      <c r="AD105" s="39"/>
      <c r="AE105" s="72" t="str">
        <f t="shared" si="85"/>
        <v/>
      </c>
      <c r="AF105" s="72" t="str">
        <f t="shared" si="86"/>
        <v/>
      </c>
      <c r="AG105" s="39"/>
      <c r="AH105" s="72" t="str">
        <f t="shared" si="87"/>
        <v/>
      </c>
      <c r="AI105" s="72" t="str">
        <f t="shared" si="88"/>
        <v/>
      </c>
      <c r="AJ105" s="39"/>
      <c r="AK105" s="72" t="str">
        <f t="shared" si="89"/>
        <v/>
      </c>
      <c r="AL105" s="72" t="str">
        <f t="shared" si="90"/>
        <v/>
      </c>
      <c r="AM105" s="39"/>
      <c r="AN105" s="72" t="str">
        <f t="shared" si="91"/>
        <v/>
      </c>
      <c r="AO105" s="72" t="str">
        <f t="shared" si="92"/>
        <v/>
      </c>
      <c r="AP105" s="39"/>
      <c r="AQ105" s="72" t="str">
        <f t="shared" si="93"/>
        <v/>
      </c>
      <c r="AR105" s="72" t="str">
        <f t="shared" si="94"/>
        <v/>
      </c>
      <c r="AS105" s="39"/>
      <c r="AT105" s="40"/>
      <c r="AU105" s="39"/>
      <c r="AV105" s="72" t="str">
        <f t="shared" si="95"/>
        <v/>
      </c>
      <c r="AW105" s="72" t="str">
        <f t="shared" si="96"/>
        <v/>
      </c>
      <c r="AX105" s="39"/>
      <c r="AY105" s="40"/>
      <c r="AZ105" s="39"/>
      <c r="BA105" s="42" t="str">
        <f t="shared" si="97"/>
        <v/>
      </c>
      <c r="BB105" s="72" t="str">
        <f t="shared" si="98"/>
        <v/>
      </c>
      <c r="BC105" s="39"/>
      <c r="BD105" s="72" t="str">
        <f t="shared" si="99"/>
        <v/>
      </c>
      <c r="BE105" s="72" t="str">
        <f t="shared" si="100"/>
        <v/>
      </c>
      <c r="BF105" s="39"/>
      <c r="BG105" s="42" t="str">
        <f t="shared" si="101"/>
        <v/>
      </c>
      <c r="BH105" s="72" t="str">
        <f t="shared" si="102"/>
        <v/>
      </c>
      <c r="BI105" s="39"/>
      <c r="BJ105" s="40" t="str">
        <f t="shared" si="103"/>
        <v/>
      </c>
      <c r="BK105" s="157" t="str">
        <f t="shared" si="104"/>
        <v/>
      </c>
      <c r="BL105" s="157" t="str">
        <f t="shared" si="105"/>
        <v/>
      </c>
      <c r="BM105" s="72"/>
      <c r="BN105" s="72" t="str">
        <f t="shared" si="106"/>
        <v/>
      </c>
      <c r="BO105" s="72" t="str">
        <f t="shared" si="107"/>
        <v/>
      </c>
      <c r="BP105" s="39"/>
      <c r="BQ105" s="72" t="str">
        <f t="shared" si="108"/>
        <v/>
      </c>
      <c r="BR105" s="72" t="str">
        <f t="shared" si="109"/>
        <v/>
      </c>
    </row>
    <row r="106" spans="4:70" x14ac:dyDescent="0.15">
      <c r="F106" s="487"/>
      <c r="I106" s="457">
        <f t="shared" si="110"/>
        <v>2121</v>
      </c>
      <c r="K106" s="71">
        <f t="shared" si="111"/>
        <v>92</v>
      </c>
      <c r="M106" s="7">
        <f t="shared" si="76"/>
        <v>6.5913644771878277E-2</v>
      </c>
      <c r="O106" s="10" t="str">
        <f t="shared" si="112"/>
        <v/>
      </c>
      <c r="P106" s="29" t="str">
        <f t="shared" si="77"/>
        <v/>
      </c>
      <c r="R106" s="10" t="str">
        <f t="shared" si="113"/>
        <v/>
      </c>
      <c r="T106" s="10" t="str">
        <f t="shared" si="78"/>
        <v/>
      </c>
      <c r="V106" s="10" t="str">
        <f t="shared" si="79"/>
        <v/>
      </c>
      <c r="W106" s="10" t="str">
        <f t="shared" si="80"/>
        <v/>
      </c>
      <c r="Y106" s="10" t="str">
        <f t="shared" si="81"/>
        <v/>
      </c>
      <c r="Z106" s="10" t="str">
        <f t="shared" si="82"/>
        <v/>
      </c>
      <c r="AB106" s="10" t="str">
        <f t="shared" si="83"/>
        <v/>
      </c>
      <c r="AC106" s="10" t="str">
        <f t="shared" si="84"/>
        <v/>
      </c>
      <c r="AE106" s="10" t="str">
        <f t="shared" si="85"/>
        <v/>
      </c>
      <c r="AF106" s="10" t="str">
        <f t="shared" si="86"/>
        <v/>
      </c>
      <c r="AH106" s="10" t="str">
        <f t="shared" si="87"/>
        <v/>
      </c>
      <c r="AI106" s="10" t="str">
        <f t="shared" si="88"/>
        <v/>
      </c>
      <c r="AK106" s="10" t="str">
        <f t="shared" si="89"/>
        <v/>
      </c>
      <c r="AL106" s="10" t="str">
        <f t="shared" si="90"/>
        <v/>
      </c>
      <c r="AN106" s="10" t="str">
        <f t="shared" si="91"/>
        <v/>
      </c>
      <c r="AO106" s="10" t="str">
        <f t="shared" si="92"/>
        <v/>
      </c>
      <c r="AQ106" s="10" t="str">
        <f t="shared" si="93"/>
        <v/>
      </c>
      <c r="AR106" s="10" t="str">
        <f t="shared" si="94"/>
        <v/>
      </c>
      <c r="AT106" s="7"/>
      <c r="AV106" s="10" t="str">
        <f t="shared" si="95"/>
        <v/>
      </c>
      <c r="AW106" s="10" t="str">
        <f t="shared" si="96"/>
        <v/>
      </c>
      <c r="AY106" s="7"/>
      <c r="BA106" s="11" t="str">
        <f t="shared" si="97"/>
        <v/>
      </c>
      <c r="BB106" s="10" t="str">
        <f t="shared" si="98"/>
        <v/>
      </c>
      <c r="BD106" s="10" t="str">
        <f t="shared" si="99"/>
        <v/>
      </c>
      <c r="BE106" s="10" t="str">
        <f t="shared" si="100"/>
        <v/>
      </c>
      <c r="BG106" s="11" t="str">
        <f t="shared" si="101"/>
        <v/>
      </c>
      <c r="BH106" s="10" t="str">
        <f t="shared" si="102"/>
        <v/>
      </c>
      <c r="BJ106" s="7" t="str">
        <f t="shared" si="103"/>
        <v/>
      </c>
      <c r="BK106" s="158" t="str">
        <f t="shared" si="104"/>
        <v/>
      </c>
      <c r="BL106" s="158" t="str">
        <f t="shared" si="105"/>
        <v/>
      </c>
      <c r="BM106" s="10"/>
      <c r="BN106" s="10" t="str">
        <f t="shared" si="106"/>
        <v/>
      </c>
      <c r="BO106" s="10" t="str">
        <f t="shared" si="107"/>
        <v/>
      </c>
      <c r="BQ106" s="10" t="str">
        <f t="shared" si="108"/>
        <v/>
      </c>
      <c r="BR106" s="10" t="str">
        <f t="shared" si="109"/>
        <v/>
      </c>
    </row>
    <row r="107" spans="4:70" ht="15" x14ac:dyDescent="0.15">
      <c r="D107" s="103" t="s">
        <v>604</v>
      </c>
      <c r="F107" s="484">
        <f>SUBTOTAL(9,F111:F112)</f>
        <v>0</v>
      </c>
      <c r="G107" s="84" t="s">
        <v>590</v>
      </c>
      <c r="I107" s="38">
        <f t="shared" si="110"/>
        <v>2122</v>
      </c>
      <c r="J107" s="39"/>
      <c r="K107" s="39">
        <f t="shared" si="111"/>
        <v>93</v>
      </c>
      <c r="L107" s="39"/>
      <c r="M107" s="40">
        <f t="shared" si="76"/>
        <v>6.3993829875609989E-2</v>
      </c>
      <c r="N107" s="39"/>
      <c r="O107" s="72" t="str">
        <f t="shared" si="112"/>
        <v/>
      </c>
      <c r="P107" s="41" t="str">
        <f t="shared" si="77"/>
        <v/>
      </c>
      <c r="Q107" s="39"/>
      <c r="R107" s="72" t="str">
        <f t="shared" si="113"/>
        <v/>
      </c>
      <c r="S107" s="39"/>
      <c r="T107" s="72" t="str">
        <f t="shared" si="78"/>
        <v/>
      </c>
      <c r="U107" s="39"/>
      <c r="V107" s="72" t="str">
        <f t="shared" si="79"/>
        <v/>
      </c>
      <c r="W107" s="72" t="str">
        <f t="shared" si="80"/>
        <v/>
      </c>
      <c r="X107" s="39"/>
      <c r="Y107" s="72" t="str">
        <f t="shared" si="81"/>
        <v/>
      </c>
      <c r="Z107" s="72" t="str">
        <f t="shared" si="82"/>
        <v/>
      </c>
      <c r="AA107" s="39"/>
      <c r="AB107" s="72" t="str">
        <f t="shared" si="83"/>
        <v/>
      </c>
      <c r="AC107" s="72" t="str">
        <f t="shared" si="84"/>
        <v/>
      </c>
      <c r="AD107" s="39"/>
      <c r="AE107" s="72" t="str">
        <f t="shared" si="85"/>
        <v/>
      </c>
      <c r="AF107" s="72" t="str">
        <f t="shared" si="86"/>
        <v/>
      </c>
      <c r="AG107" s="39"/>
      <c r="AH107" s="72" t="str">
        <f t="shared" si="87"/>
        <v/>
      </c>
      <c r="AI107" s="72" t="str">
        <f t="shared" si="88"/>
        <v/>
      </c>
      <c r="AJ107" s="39"/>
      <c r="AK107" s="72" t="str">
        <f t="shared" si="89"/>
        <v/>
      </c>
      <c r="AL107" s="72" t="str">
        <f t="shared" si="90"/>
        <v/>
      </c>
      <c r="AM107" s="39"/>
      <c r="AN107" s="72" t="str">
        <f t="shared" si="91"/>
        <v/>
      </c>
      <c r="AO107" s="72" t="str">
        <f t="shared" si="92"/>
        <v/>
      </c>
      <c r="AP107" s="39"/>
      <c r="AQ107" s="72" t="str">
        <f t="shared" si="93"/>
        <v/>
      </c>
      <c r="AR107" s="72" t="str">
        <f t="shared" si="94"/>
        <v/>
      </c>
      <c r="AS107" s="39"/>
      <c r="AT107" s="40"/>
      <c r="AU107" s="39"/>
      <c r="AV107" s="72" t="str">
        <f t="shared" si="95"/>
        <v/>
      </c>
      <c r="AW107" s="72" t="str">
        <f t="shared" si="96"/>
        <v/>
      </c>
      <c r="AX107" s="39"/>
      <c r="AY107" s="40"/>
      <c r="AZ107" s="39"/>
      <c r="BA107" s="42" t="str">
        <f t="shared" si="97"/>
        <v/>
      </c>
      <c r="BB107" s="72" t="str">
        <f t="shared" si="98"/>
        <v/>
      </c>
      <c r="BC107" s="39"/>
      <c r="BD107" s="72" t="str">
        <f t="shared" si="99"/>
        <v/>
      </c>
      <c r="BE107" s="72" t="str">
        <f t="shared" si="100"/>
        <v/>
      </c>
      <c r="BF107" s="39"/>
      <c r="BG107" s="42" t="str">
        <f t="shared" si="101"/>
        <v/>
      </c>
      <c r="BH107" s="72" t="str">
        <f t="shared" si="102"/>
        <v/>
      </c>
      <c r="BI107" s="39"/>
      <c r="BJ107" s="40" t="str">
        <f t="shared" si="103"/>
        <v/>
      </c>
      <c r="BK107" s="157" t="str">
        <f t="shared" si="104"/>
        <v/>
      </c>
      <c r="BL107" s="157" t="str">
        <f t="shared" si="105"/>
        <v/>
      </c>
      <c r="BM107" s="72"/>
      <c r="BN107" s="72" t="str">
        <f t="shared" si="106"/>
        <v/>
      </c>
      <c r="BO107" s="72" t="str">
        <f t="shared" si="107"/>
        <v/>
      </c>
      <c r="BP107" s="39"/>
      <c r="BQ107" s="72" t="str">
        <f t="shared" si="108"/>
        <v/>
      </c>
      <c r="BR107" s="72" t="str">
        <f t="shared" si="109"/>
        <v/>
      </c>
    </row>
    <row r="108" spans="4:70" ht="15" x14ac:dyDescent="0.15">
      <c r="D108" s="103"/>
      <c r="F108" s="487"/>
      <c r="I108" s="457">
        <f t="shared" si="110"/>
        <v>2123</v>
      </c>
      <c r="K108" s="71">
        <f t="shared" si="111"/>
        <v>94</v>
      </c>
      <c r="M108" s="7">
        <f t="shared" si="76"/>
        <v>6.212993191806794E-2</v>
      </c>
      <c r="O108" s="10" t="str">
        <f t="shared" si="112"/>
        <v/>
      </c>
      <c r="P108" s="29" t="str">
        <f t="shared" si="77"/>
        <v/>
      </c>
      <c r="R108" s="10" t="str">
        <f t="shared" si="113"/>
        <v/>
      </c>
      <c r="T108" s="10" t="str">
        <f t="shared" si="78"/>
        <v/>
      </c>
      <c r="V108" s="10" t="str">
        <f t="shared" si="79"/>
        <v/>
      </c>
      <c r="W108" s="10" t="str">
        <f t="shared" si="80"/>
        <v/>
      </c>
      <c r="Y108" s="10" t="str">
        <f t="shared" si="81"/>
        <v/>
      </c>
      <c r="Z108" s="10" t="str">
        <f t="shared" si="82"/>
        <v/>
      </c>
      <c r="AB108" s="10" t="str">
        <f t="shared" si="83"/>
        <v/>
      </c>
      <c r="AC108" s="10" t="str">
        <f t="shared" si="84"/>
        <v/>
      </c>
      <c r="AE108" s="10" t="str">
        <f t="shared" si="85"/>
        <v/>
      </c>
      <c r="AF108" s="10" t="str">
        <f t="shared" si="86"/>
        <v/>
      </c>
      <c r="AH108" s="10" t="str">
        <f t="shared" si="87"/>
        <v/>
      </c>
      <c r="AI108" s="10" t="str">
        <f t="shared" si="88"/>
        <v/>
      </c>
      <c r="AK108" s="10" t="str">
        <f t="shared" si="89"/>
        <v/>
      </c>
      <c r="AL108" s="10" t="str">
        <f t="shared" si="90"/>
        <v/>
      </c>
      <c r="AN108" s="10" t="str">
        <f t="shared" si="91"/>
        <v/>
      </c>
      <c r="AO108" s="10" t="str">
        <f t="shared" si="92"/>
        <v/>
      </c>
      <c r="AQ108" s="10" t="str">
        <f t="shared" si="93"/>
        <v/>
      </c>
      <c r="AR108" s="10" t="str">
        <f t="shared" si="94"/>
        <v/>
      </c>
      <c r="AT108" s="7"/>
      <c r="AV108" s="10" t="str">
        <f t="shared" si="95"/>
        <v/>
      </c>
      <c r="AW108" s="10" t="str">
        <f t="shared" si="96"/>
        <v/>
      </c>
      <c r="AY108" s="7"/>
      <c r="BA108" s="11" t="str">
        <f t="shared" si="97"/>
        <v/>
      </c>
      <c r="BB108" s="10" t="str">
        <f t="shared" si="98"/>
        <v/>
      </c>
      <c r="BD108" s="10" t="str">
        <f t="shared" si="99"/>
        <v/>
      </c>
      <c r="BE108" s="10" t="str">
        <f t="shared" si="100"/>
        <v/>
      </c>
      <c r="BG108" s="11" t="str">
        <f t="shared" si="101"/>
        <v/>
      </c>
      <c r="BH108" s="10" t="str">
        <f t="shared" si="102"/>
        <v/>
      </c>
      <c r="BJ108" s="7" t="str">
        <f t="shared" si="103"/>
        <v/>
      </c>
      <c r="BK108" s="158" t="str">
        <f t="shared" si="104"/>
        <v/>
      </c>
      <c r="BL108" s="158" t="str">
        <f t="shared" si="105"/>
        <v/>
      </c>
      <c r="BM108" s="10"/>
      <c r="BN108" s="10" t="str">
        <f t="shared" si="106"/>
        <v/>
      </c>
      <c r="BO108" s="10" t="str">
        <f t="shared" si="107"/>
        <v/>
      </c>
      <c r="BQ108" s="10" t="str">
        <f t="shared" si="108"/>
        <v/>
      </c>
      <c r="BR108" s="10" t="str">
        <f t="shared" si="109"/>
        <v/>
      </c>
    </row>
    <row r="109" spans="4:70" x14ac:dyDescent="0.15">
      <c r="D109" s="100" t="s">
        <v>605</v>
      </c>
      <c r="E109" s="100"/>
      <c r="F109" s="486"/>
      <c r="G109" s="100"/>
      <c r="I109" s="38">
        <f t="shared" si="110"/>
        <v>2124</v>
      </c>
      <c r="J109" s="39"/>
      <c r="K109" s="39">
        <f t="shared" si="111"/>
        <v>95</v>
      </c>
      <c r="L109" s="39"/>
      <c r="M109" s="40">
        <f t="shared" si="76"/>
        <v>6.0320322250551395E-2</v>
      </c>
      <c r="N109" s="39"/>
      <c r="O109" s="72" t="str">
        <f t="shared" si="112"/>
        <v/>
      </c>
      <c r="P109" s="41" t="str">
        <f t="shared" si="77"/>
        <v/>
      </c>
      <c r="Q109" s="39"/>
      <c r="R109" s="72" t="str">
        <f t="shared" si="113"/>
        <v/>
      </c>
      <c r="S109" s="39"/>
      <c r="T109" s="72" t="str">
        <f t="shared" si="78"/>
        <v/>
      </c>
      <c r="U109" s="39"/>
      <c r="V109" s="72" t="str">
        <f t="shared" si="79"/>
        <v/>
      </c>
      <c r="W109" s="72" t="str">
        <f t="shared" si="80"/>
        <v/>
      </c>
      <c r="X109" s="39"/>
      <c r="Y109" s="72" t="str">
        <f t="shared" si="81"/>
        <v/>
      </c>
      <c r="Z109" s="72" t="str">
        <f t="shared" si="82"/>
        <v/>
      </c>
      <c r="AA109" s="39"/>
      <c r="AB109" s="72" t="str">
        <f t="shared" si="83"/>
        <v/>
      </c>
      <c r="AC109" s="72" t="str">
        <f t="shared" si="84"/>
        <v/>
      </c>
      <c r="AD109" s="39"/>
      <c r="AE109" s="72" t="str">
        <f t="shared" si="85"/>
        <v/>
      </c>
      <c r="AF109" s="72" t="str">
        <f t="shared" si="86"/>
        <v/>
      </c>
      <c r="AG109" s="39"/>
      <c r="AH109" s="72" t="str">
        <f t="shared" si="87"/>
        <v/>
      </c>
      <c r="AI109" s="72" t="str">
        <f t="shared" si="88"/>
        <v/>
      </c>
      <c r="AJ109" s="39"/>
      <c r="AK109" s="72" t="str">
        <f t="shared" si="89"/>
        <v/>
      </c>
      <c r="AL109" s="72" t="str">
        <f t="shared" si="90"/>
        <v/>
      </c>
      <c r="AM109" s="39"/>
      <c r="AN109" s="72" t="str">
        <f t="shared" si="91"/>
        <v/>
      </c>
      <c r="AO109" s="72" t="str">
        <f t="shared" si="92"/>
        <v/>
      </c>
      <c r="AP109" s="39"/>
      <c r="AQ109" s="72" t="str">
        <f t="shared" si="93"/>
        <v/>
      </c>
      <c r="AR109" s="72" t="str">
        <f t="shared" si="94"/>
        <v/>
      </c>
      <c r="AS109" s="39"/>
      <c r="AT109" s="40"/>
      <c r="AU109" s="39"/>
      <c r="AV109" s="72" t="str">
        <f t="shared" si="95"/>
        <v/>
      </c>
      <c r="AW109" s="72" t="str">
        <f t="shared" si="96"/>
        <v/>
      </c>
      <c r="AX109" s="39"/>
      <c r="AY109" s="40"/>
      <c r="AZ109" s="39"/>
      <c r="BA109" s="42" t="str">
        <f t="shared" si="97"/>
        <v/>
      </c>
      <c r="BB109" s="72" t="str">
        <f t="shared" si="98"/>
        <v/>
      </c>
      <c r="BC109" s="39"/>
      <c r="BD109" s="72" t="str">
        <f t="shared" si="99"/>
        <v/>
      </c>
      <c r="BE109" s="72" t="str">
        <f t="shared" si="100"/>
        <v/>
      </c>
      <c r="BF109" s="39"/>
      <c r="BG109" s="42" t="str">
        <f t="shared" si="101"/>
        <v/>
      </c>
      <c r="BH109" s="72" t="str">
        <f t="shared" si="102"/>
        <v/>
      </c>
      <c r="BI109" s="39"/>
      <c r="BJ109" s="40" t="str">
        <f t="shared" si="103"/>
        <v/>
      </c>
      <c r="BK109" s="157" t="str">
        <f t="shared" si="104"/>
        <v/>
      </c>
      <c r="BL109" s="157" t="str">
        <f t="shared" si="105"/>
        <v/>
      </c>
      <c r="BM109" s="72"/>
      <c r="BN109" s="72" t="str">
        <f t="shared" si="106"/>
        <v/>
      </c>
      <c r="BO109" s="72" t="str">
        <f t="shared" si="107"/>
        <v/>
      </c>
      <c r="BP109" s="39"/>
      <c r="BQ109" s="72" t="str">
        <f t="shared" si="108"/>
        <v/>
      </c>
      <c r="BR109" s="72" t="str">
        <f t="shared" si="109"/>
        <v/>
      </c>
    </row>
    <row r="110" spans="4:70" ht="15" x14ac:dyDescent="0.15">
      <c r="D110" s="103"/>
      <c r="F110" s="487"/>
      <c r="I110" s="457">
        <f t="shared" si="110"/>
        <v>2125</v>
      </c>
      <c r="K110" s="71">
        <f t="shared" si="111"/>
        <v>96</v>
      </c>
      <c r="M110" s="7">
        <f t="shared" si="76"/>
        <v>5.8563419660729518E-2</v>
      </c>
      <c r="O110" s="10" t="str">
        <f t="shared" si="112"/>
        <v/>
      </c>
      <c r="P110" s="29" t="str">
        <f t="shared" si="77"/>
        <v/>
      </c>
      <c r="R110" s="10" t="str">
        <f t="shared" si="113"/>
        <v/>
      </c>
      <c r="T110" s="10" t="str">
        <f t="shared" si="78"/>
        <v/>
      </c>
      <c r="V110" s="10" t="str">
        <f t="shared" si="79"/>
        <v/>
      </c>
      <c r="W110" s="10" t="str">
        <f t="shared" si="80"/>
        <v/>
      </c>
      <c r="Y110" s="10" t="str">
        <f t="shared" si="81"/>
        <v/>
      </c>
      <c r="Z110" s="10" t="str">
        <f t="shared" si="82"/>
        <v/>
      </c>
      <c r="AB110" s="10" t="str">
        <f t="shared" si="83"/>
        <v/>
      </c>
      <c r="AC110" s="10" t="str">
        <f t="shared" si="84"/>
        <v/>
      </c>
      <c r="AE110" s="10" t="str">
        <f t="shared" si="85"/>
        <v/>
      </c>
      <c r="AF110" s="10" t="str">
        <f t="shared" si="86"/>
        <v/>
      </c>
      <c r="AH110" s="10" t="str">
        <f t="shared" si="87"/>
        <v/>
      </c>
      <c r="AI110" s="10" t="str">
        <f t="shared" si="88"/>
        <v/>
      </c>
      <c r="AK110" s="10" t="str">
        <f t="shared" si="89"/>
        <v/>
      </c>
      <c r="AL110" s="10" t="str">
        <f t="shared" si="90"/>
        <v/>
      </c>
      <c r="AN110" s="10" t="str">
        <f t="shared" si="91"/>
        <v/>
      </c>
      <c r="AO110" s="10" t="str">
        <f t="shared" si="92"/>
        <v/>
      </c>
      <c r="AQ110" s="10" t="str">
        <f t="shared" si="93"/>
        <v/>
      </c>
      <c r="AR110" s="10" t="str">
        <f t="shared" si="94"/>
        <v/>
      </c>
      <c r="AT110" s="7"/>
      <c r="AV110" s="10" t="str">
        <f t="shared" si="95"/>
        <v/>
      </c>
      <c r="AW110" s="10" t="str">
        <f t="shared" si="96"/>
        <v/>
      </c>
      <c r="AY110" s="7"/>
      <c r="BA110" s="11" t="str">
        <f t="shared" si="97"/>
        <v/>
      </c>
      <c r="BB110" s="10" t="str">
        <f t="shared" si="98"/>
        <v/>
      </c>
      <c r="BD110" s="10" t="str">
        <f t="shared" si="99"/>
        <v/>
      </c>
      <c r="BE110" s="10" t="str">
        <f t="shared" si="100"/>
        <v/>
      </c>
      <c r="BG110" s="11" t="str">
        <f t="shared" si="101"/>
        <v/>
      </c>
      <c r="BH110" s="10" t="str">
        <f t="shared" si="102"/>
        <v/>
      </c>
      <c r="BJ110" s="7" t="str">
        <f t="shared" si="103"/>
        <v/>
      </c>
      <c r="BK110" s="158" t="str">
        <f t="shared" si="104"/>
        <v/>
      </c>
      <c r="BL110" s="158" t="str">
        <f t="shared" si="105"/>
        <v/>
      </c>
      <c r="BM110" s="10"/>
      <c r="BN110" s="10" t="str">
        <f t="shared" si="106"/>
        <v/>
      </c>
      <c r="BO110" s="10" t="str">
        <f t="shared" si="107"/>
        <v/>
      </c>
      <c r="BQ110" s="10" t="str">
        <f t="shared" si="108"/>
        <v/>
      </c>
      <c r="BR110" s="10" t="str">
        <f t="shared" si="109"/>
        <v/>
      </c>
    </row>
    <row r="111" spans="4:70" ht="15" x14ac:dyDescent="0.15">
      <c r="D111" s="103"/>
      <c r="E111" s="84" t="s">
        <v>606</v>
      </c>
      <c r="F111" s="488">
        <f>-BE116/BR116</f>
        <v>0</v>
      </c>
      <c r="G111" s="84" t="s">
        <v>590</v>
      </c>
      <c r="I111" s="38">
        <f t="shared" si="110"/>
        <v>2126</v>
      </c>
      <c r="J111" s="39"/>
      <c r="K111" s="39">
        <f t="shared" si="111"/>
        <v>97</v>
      </c>
      <c r="L111" s="39"/>
      <c r="M111" s="40">
        <f t="shared" si="76"/>
        <v>5.6857688990999529E-2</v>
      </c>
      <c r="N111" s="39"/>
      <c r="O111" s="72" t="str">
        <f t="shared" si="112"/>
        <v/>
      </c>
      <c r="P111" s="41" t="str">
        <f t="shared" ref="P111:P114" si="114">IF(K111&lt;=$F$15,IF(OR(P110=$F$124,P110="-"),"-",IF(O111*$F$123&gt;$F$127,$F$123,$F$124)),"")</f>
        <v/>
      </c>
      <c r="Q111" s="39"/>
      <c r="R111" s="72" t="str">
        <f t="shared" si="113"/>
        <v/>
      </c>
      <c r="S111" s="39"/>
      <c r="T111" s="72" t="str">
        <f t="shared" si="78"/>
        <v/>
      </c>
      <c r="U111" s="39"/>
      <c r="V111" s="72" t="str">
        <f t="shared" si="79"/>
        <v/>
      </c>
      <c r="W111" s="72" t="str">
        <f t="shared" ref="W111:W114" si="115">IF(ISNUMBER(V111),V111*$M111,"")</f>
        <v/>
      </c>
      <c r="X111" s="39"/>
      <c r="Y111" s="72" t="str">
        <f t="shared" si="81"/>
        <v/>
      </c>
      <c r="Z111" s="72" t="str">
        <f t="shared" ref="Z111:Z114" si="116">IF(ISNUMBER(Y111),Y111*$M111,"")</f>
        <v/>
      </c>
      <c r="AA111" s="39"/>
      <c r="AB111" s="72" t="str">
        <f t="shared" si="83"/>
        <v/>
      </c>
      <c r="AC111" s="72" t="str">
        <f t="shared" ref="AC111:AC114" si="117">IF(ISNUMBER(AB111),AB111*$M111,"")</f>
        <v/>
      </c>
      <c r="AD111" s="39"/>
      <c r="AE111" s="72" t="str">
        <f t="shared" si="85"/>
        <v/>
      </c>
      <c r="AF111" s="72" t="str">
        <f t="shared" ref="AF111:AF114" si="118">IF(ISNUMBER(AE111),AE111*$M111,"")</f>
        <v/>
      </c>
      <c r="AG111" s="39"/>
      <c r="AH111" s="72" t="str">
        <f t="shared" si="87"/>
        <v/>
      </c>
      <c r="AI111" s="72" t="str">
        <f t="shared" ref="AI111:AI114" si="119">IF(ISNUMBER(AH111),AH111*$M111,"")</f>
        <v/>
      </c>
      <c r="AJ111" s="39"/>
      <c r="AK111" s="72" t="str">
        <f t="shared" si="89"/>
        <v/>
      </c>
      <c r="AL111" s="72" t="str">
        <f t="shared" ref="AL111:AL114" si="120">IF(ISNUMBER(AK111),AK111*$M111,"")</f>
        <v/>
      </c>
      <c r="AM111" s="39"/>
      <c r="AN111" s="72" t="str">
        <f t="shared" si="91"/>
        <v/>
      </c>
      <c r="AO111" s="72" t="str">
        <f t="shared" ref="AO111:AO114" si="121">IF(ISNUMBER(AN111),AN111*$M111,"")</f>
        <v/>
      </c>
      <c r="AP111" s="39"/>
      <c r="AQ111" s="72" t="str">
        <f t="shared" si="93"/>
        <v/>
      </c>
      <c r="AR111" s="72" t="str">
        <f t="shared" ref="AR111:AR114" si="122">IF(ISNUMBER(AQ111),AQ111*$M111,"")</f>
        <v/>
      </c>
      <c r="AS111" s="39"/>
      <c r="AT111" s="40"/>
      <c r="AU111" s="39"/>
      <c r="AV111" s="72" t="str">
        <f t="shared" si="95"/>
        <v/>
      </c>
      <c r="AW111" s="72" t="str">
        <f t="shared" ref="AW111:AW114" si="123">IF(ISNUMBER(AV111),AV111*$M111,"")</f>
        <v/>
      </c>
      <c r="AX111" s="39"/>
      <c r="AY111" s="40"/>
      <c r="AZ111" s="39"/>
      <c r="BA111" s="42" t="str">
        <f t="shared" si="97"/>
        <v/>
      </c>
      <c r="BB111" s="72" t="str">
        <f t="shared" ref="BB111:BB114" si="124">IF(ISNUMBER(BA111),BA111*$M111,"")</f>
        <v/>
      </c>
      <c r="BC111" s="39"/>
      <c r="BD111" s="72" t="str">
        <f t="shared" si="99"/>
        <v/>
      </c>
      <c r="BE111" s="72" t="str">
        <f t="shared" ref="BE111:BE114" si="125">IF(ISNUMBER(BD111),BD111*$M111,"")</f>
        <v/>
      </c>
      <c r="BF111" s="39"/>
      <c r="BG111" s="42" t="str">
        <f t="shared" si="101"/>
        <v/>
      </c>
      <c r="BH111" s="72" t="str">
        <f t="shared" ref="BH111:BH114" si="126">IF(ISNUMBER(BG111),BG111*$M111,"")</f>
        <v/>
      </c>
      <c r="BI111" s="39"/>
      <c r="BJ111" s="40" t="str">
        <f t="shared" si="103"/>
        <v/>
      </c>
      <c r="BK111" s="157" t="str">
        <f t="shared" ref="BK111:BK114" si="127">IF(ISNUMBER($F$16),IF($K111&lt;=$F$16+$F$28,IF($K111&lt;=$F$16,SUM(Y111,AB111,AE111,AH111,AK111,AN111,AQ111,AV111,BA111,BD111,BG111),$F$27/$F$28*10^8)*BJ111,""),"")</f>
        <v/>
      </c>
      <c r="BL111" s="157" t="str">
        <f t="shared" si="105"/>
        <v/>
      </c>
      <c r="BM111" s="72"/>
      <c r="BN111" s="72" t="str">
        <f t="shared" si="106"/>
        <v/>
      </c>
      <c r="BO111" s="72" t="str">
        <f t="shared" ref="BO111:BO114" si="128">IF(ISNUMBER(BN111),BN111*$M111,"")</f>
        <v/>
      </c>
      <c r="BP111" s="39"/>
      <c r="BQ111" s="72" t="str">
        <f t="shared" si="108"/>
        <v/>
      </c>
      <c r="BR111" s="72" t="str">
        <f t="shared" ref="BR111:BR114" si="129">IF(ISNUMBER(BQ111),BQ111*$M111,"")</f>
        <v/>
      </c>
    </row>
    <row r="112" spans="4:70" ht="15" x14ac:dyDescent="0.15">
      <c r="D112" s="103"/>
      <c r="E112" s="84" t="s">
        <v>607</v>
      </c>
      <c r="F112" s="488">
        <f>-BH116/BR116</f>
        <v>0</v>
      </c>
      <c r="G112" s="84" t="s">
        <v>590</v>
      </c>
      <c r="I112" s="457">
        <f t="shared" si="110"/>
        <v>2127</v>
      </c>
      <c r="K112" s="71">
        <f t="shared" si="111"/>
        <v>98</v>
      </c>
      <c r="M112" s="7">
        <f t="shared" si="76"/>
        <v>5.5201639797086935E-2</v>
      </c>
      <c r="O112" s="10" t="str">
        <f t="shared" si="112"/>
        <v/>
      </c>
      <c r="P112" s="29" t="str">
        <f t="shared" si="114"/>
        <v/>
      </c>
      <c r="R112" s="10" t="str">
        <f t="shared" si="113"/>
        <v/>
      </c>
      <c r="T112" s="10" t="str">
        <f t="shared" si="78"/>
        <v/>
      </c>
      <c r="V112" s="10" t="str">
        <f t="shared" si="79"/>
        <v/>
      </c>
      <c r="W112" s="10" t="str">
        <f t="shared" si="115"/>
        <v/>
      </c>
      <c r="Y112" s="10" t="str">
        <f t="shared" si="81"/>
        <v/>
      </c>
      <c r="Z112" s="10" t="str">
        <f t="shared" si="116"/>
        <v/>
      </c>
      <c r="AB112" s="10" t="str">
        <f t="shared" si="83"/>
        <v/>
      </c>
      <c r="AC112" s="10" t="str">
        <f t="shared" si="117"/>
        <v/>
      </c>
      <c r="AE112" s="10" t="str">
        <f t="shared" si="85"/>
        <v/>
      </c>
      <c r="AF112" s="10" t="str">
        <f t="shared" si="118"/>
        <v/>
      </c>
      <c r="AH112" s="10" t="str">
        <f t="shared" si="87"/>
        <v/>
      </c>
      <c r="AI112" s="10" t="str">
        <f t="shared" si="119"/>
        <v/>
      </c>
      <c r="AK112" s="10" t="str">
        <f t="shared" si="89"/>
        <v/>
      </c>
      <c r="AL112" s="10" t="str">
        <f t="shared" si="120"/>
        <v/>
      </c>
      <c r="AN112" s="10" t="str">
        <f t="shared" si="91"/>
        <v/>
      </c>
      <c r="AO112" s="10" t="str">
        <f t="shared" si="121"/>
        <v/>
      </c>
      <c r="AQ112" s="10" t="str">
        <f t="shared" si="93"/>
        <v/>
      </c>
      <c r="AR112" s="10" t="str">
        <f t="shared" si="122"/>
        <v/>
      </c>
      <c r="AT112" s="7"/>
      <c r="AV112" s="10" t="str">
        <f t="shared" si="95"/>
        <v/>
      </c>
      <c r="AW112" s="10" t="str">
        <f t="shared" si="123"/>
        <v/>
      </c>
      <c r="AY112" s="7"/>
      <c r="BA112" s="11" t="str">
        <f t="shared" si="97"/>
        <v/>
      </c>
      <c r="BB112" s="10" t="str">
        <f t="shared" si="124"/>
        <v/>
      </c>
      <c r="BD112" s="10" t="str">
        <f t="shared" si="99"/>
        <v/>
      </c>
      <c r="BE112" s="10" t="str">
        <f t="shared" si="125"/>
        <v/>
      </c>
      <c r="BG112" s="11" t="str">
        <f t="shared" si="101"/>
        <v/>
      </c>
      <c r="BH112" s="10" t="str">
        <f t="shared" si="126"/>
        <v/>
      </c>
      <c r="BJ112" s="7" t="str">
        <f t="shared" si="103"/>
        <v/>
      </c>
      <c r="BK112" s="158" t="str">
        <f t="shared" si="127"/>
        <v/>
      </c>
      <c r="BL112" s="158" t="str">
        <f t="shared" si="105"/>
        <v/>
      </c>
      <c r="BM112" s="10"/>
      <c r="BN112" s="10" t="str">
        <f t="shared" si="106"/>
        <v/>
      </c>
      <c r="BO112" s="10" t="str">
        <f t="shared" si="128"/>
        <v/>
      </c>
      <c r="BQ112" s="10" t="str">
        <f t="shared" si="108"/>
        <v/>
      </c>
      <c r="BR112" s="10" t="str">
        <f t="shared" si="129"/>
        <v/>
      </c>
    </row>
    <row r="113" spans="2:70" x14ac:dyDescent="0.15">
      <c r="I113" s="38">
        <f t="shared" si="110"/>
        <v>2128</v>
      </c>
      <c r="J113" s="39"/>
      <c r="K113" s="39">
        <f t="shared" si="111"/>
        <v>99</v>
      </c>
      <c r="L113" s="39"/>
      <c r="M113" s="40">
        <f t="shared" si="76"/>
        <v>5.3593825045715457E-2</v>
      </c>
      <c r="N113" s="39"/>
      <c r="O113" s="72" t="str">
        <f t="shared" si="112"/>
        <v/>
      </c>
      <c r="P113" s="41" t="str">
        <f t="shared" si="114"/>
        <v/>
      </c>
      <c r="Q113" s="39"/>
      <c r="R113" s="72" t="str">
        <f t="shared" si="113"/>
        <v/>
      </c>
      <c r="S113" s="39"/>
      <c r="T113" s="72" t="str">
        <f t="shared" si="78"/>
        <v/>
      </c>
      <c r="U113" s="39"/>
      <c r="V113" s="72" t="str">
        <f t="shared" si="79"/>
        <v/>
      </c>
      <c r="W113" s="72" t="str">
        <f t="shared" si="115"/>
        <v/>
      </c>
      <c r="X113" s="39"/>
      <c r="Y113" s="72" t="str">
        <f t="shared" si="81"/>
        <v/>
      </c>
      <c r="Z113" s="72" t="str">
        <f t="shared" si="116"/>
        <v/>
      </c>
      <c r="AA113" s="39"/>
      <c r="AB113" s="72" t="str">
        <f t="shared" si="83"/>
        <v/>
      </c>
      <c r="AC113" s="72" t="str">
        <f t="shared" si="117"/>
        <v/>
      </c>
      <c r="AD113" s="39"/>
      <c r="AE113" s="72" t="str">
        <f t="shared" si="85"/>
        <v/>
      </c>
      <c r="AF113" s="72" t="str">
        <f t="shared" si="118"/>
        <v/>
      </c>
      <c r="AG113" s="39"/>
      <c r="AH113" s="72" t="str">
        <f t="shared" si="87"/>
        <v/>
      </c>
      <c r="AI113" s="72" t="str">
        <f t="shared" si="119"/>
        <v/>
      </c>
      <c r="AJ113" s="39"/>
      <c r="AK113" s="72" t="str">
        <f t="shared" si="89"/>
        <v/>
      </c>
      <c r="AL113" s="72" t="str">
        <f t="shared" si="120"/>
        <v/>
      </c>
      <c r="AM113" s="39"/>
      <c r="AN113" s="72" t="str">
        <f t="shared" si="91"/>
        <v/>
      </c>
      <c r="AO113" s="72" t="str">
        <f t="shared" si="121"/>
        <v/>
      </c>
      <c r="AP113" s="39"/>
      <c r="AQ113" s="72" t="str">
        <f t="shared" si="93"/>
        <v/>
      </c>
      <c r="AR113" s="72" t="str">
        <f t="shared" si="122"/>
        <v/>
      </c>
      <c r="AS113" s="39"/>
      <c r="AT113" s="40"/>
      <c r="AU113" s="39"/>
      <c r="AV113" s="72" t="str">
        <f t="shared" si="95"/>
        <v/>
      </c>
      <c r="AW113" s="72" t="str">
        <f t="shared" si="123"/>
        <v/>
      </c>
      <c r="AX113" s="39"/>
      <c r="AY113" s="40"/>
      <c r="AZ113" s="39"/>
      <c r="BA113" s="42" t="str">
        <f t="shared" si="97"/>
        <v/>
      </c>
      <c r="BB113" s="72" t="str">
        <f t="shared" si="124"/>
        <v/>
      </c>
      <c r="BC113" s="39"/>
      <c r="BD113" s="72" t="str">
        <f t="shared" si="99"/>
        <v/>
      </c>
      <c r="BE113" s="72" t="str">
        <f t="shared" si="125"/>
        <v/>
      </c>
      <c r="BF113" s="39"/>
      <c r="BG113" s="42" t="str">
        <f t="shared" si="101"/>
        <v/>
      </c>
      <c r="BH113" s="72" t="str">
        <f t="shared" si="126"/>
        <v/>
      </c>
      <c r="BI113" s="39"/>
      <c r="BJ113" s="40" t="str">
        <f t="shared" si="103"/>
        <v/>
      </c>
      <c r="BK113" s="157" t="str">
        <f t="shared" si="127"/>
        <v/>
      </c>
      <c r="BL113" s="157" t="str">
        <f t="shared" si="105"/>
        <v/>
      </c>
      <c r="BM113" s="72"/>
      <c r="BN113" s="72" t="str">
        <f t="shared" si="106"/>
        <v/>
      </c>
      <c r="BO113" s="72" t="str">
        <f t="shared" si="128"/>
        <v/>
      </c>
      <c r="BP113" s="39"/>
      <c r="BQ113" s="72" t="str">
        <f t="shared" si="108"/>
        <v/>
      </c>
      <c r="BR113" s="72" t="str">
        <f t="shared" si="129"/>
        <v/>
      </c>
    </row>
    <row r="114" spans="2:70" x14ac:dyDescent="0.15">
      <c r="I114" s="457">
        <f t="shared" si="110"/>
        <v>2129</v>
      </c>
      <c r="K114" s="71">
        <f t="shared" si="111"/>
        <v>100</v>
      </c>
      <c r="M114" s="7">
        <f t="shared" si="76"/>
        <v>5.2032839850209185E-2</v>
      </c>
      <c r="O114" s="10" t="str">
        <f t="shared" si="112"/>
        <v/>
      </c>
      <c r="P114" s="29" t="str">
        <f t="shared" si="114"/>
        <v/>
      </c>
      <c r="R114" s="10" t="str">
        <f t="shared" si="113"/>
        <v/>
      </c>
      <c r="T114" s="10" t="str">
        <f t="shared" si="78"/>
        <v/>
      </c>
      <c r="V114" s="10" t="str">
        <f t="shared" si="79"/>
        <v/>
      </c>
      <c r="W114" s="10" t="str">
        <f t="shared" si="115"/>
        <v/>
      </c>
      <c r="Y114" s="10" t="str">
        <f t="shared" si="81"/>
        <v/>
      </c>
      <c r="Z114" s="10" t="str">
        <f t="shared" si="116"/>
        <v/>
      </c>
      <c r="AB114" s="10" t="str">
        <f t="shared" si="83"/>
        <v/>
      </c>
      <c r="AC114" s="10" t="str">
        <f t="shared" si="117"/>
        <v/>
      </c>
      <c r="AE114" s="10" t="str">
        <f t="shared" si="85"/>
        <v/>
      </c>
      <c r="AF114" s="10" t="str">
        <f t="shared" si="118"/>
        <v/>
      </c>
      <c r="AH114" s="10" t="str">
        <f t="shared" si="87"/>
        <v/>
      </c>
      <c r="AI114" s="10" t="str">
        <f t="shared" si="119"/>
        <v/>
      </c>
      <c r="AK114" s="10" t="str">
        <f t="shared" si="89"/>
        <v/>
      </c>
      <c r="AL114" s="10" t="str">
        <f t="shared" si="120"/>
        <v/>
      </c>
      <c r="AN114" s="10" t="str">
        <f t="shared" si="91"/>
        <v/>
      </c>
      <c r="AO114" s="10" t="str">
        <f t="shared" si="121"/>
        <v/>
      </c>
      <c r="AQ114" s="10" t="str">
        <f t="shared" si="93"/>
        <v/>
      </c>
      <c r="AR114" s="10" t="str">
        <f t="shared" si="122"/>
        <v/>
      </c>
      <c r="AT114" s="7" t="str">
        <f>IF($K114&lt;=$F$15,IF($F$40&lt;&gt;"",$F$40/1000,IF(ISERROR(VLOOKUP($F$3&amp;IF($G$4&lt;&gt;"",$G$4,"")&amp;IF($F$43&lt;&gt;"","_"&amp;$F$43,""),'表3）燃料価格'!$Y$9:$Z$22,2,0)),0,VLOOKUP($I114,'表3）燃料価格'!$A$6:$U$66,VLOOKUP($F$3&amp;IF($G$4&lt;&gt;"",$G$4,"")&amp;IF($F$43&lt;&gt;"","_"&amp;$F$43,""),'表3）燃料価格'!$Y$9:$Z$22,2,0)+VLOOKUP($F$41,'表3）燃料価格'!$Y$25:$Z$26,2,0),0)*IF($F$43="需要地価格",1,$F$8/$F$141))),"")</f>
        <v/>
      </c>
      <c r="AV114" s="10" t="str">
        <f t="shared" si="95"/>
        <v/>
      </c>
      <c r="AW114" s="10" t="str">
        <f t="shared" si="123"/>
        <v/>
      </c>
      <c r="AY114" s="7"/>
      <c r="BA114" s="11" t="str">
        <f t="shared" si="97"/>
        <v/>
      </c>
      <c r="BB114" s="10" t="str">
        <f t="shared" si="124"/>
        <v/>
      </c>
      <c r="BD114" s="10" t="str">
        <f t="shared" si="99"/>
        <v/>
      </c>
      <c r="BE114" s="10" t="str">
        <f t="shared" si="125"/>
        <v/>
      </c>
      <c r="BG114" s="11" t="str">
        <f t="shared" si="101"/>
        <v/>
      </c>
      <c r="BH114" s="10" t="str">
        <f t="shared" si="126"/>
        <v/>
      </c>
      <c r="BJ114" s="7" t="str">
        <f t="shared" si="103"/>
        <v/>
      </c>
      <c r="BK114" s="158" t="str">
        <f t="shared" si="127"/>
        <v/>
      </c>
      <c r="BL114" s="158" t="str">
        <f t="shared" si="105"/>
        <v/>
      </c>
      <c r="BM114" s="10"/>
      <c r="BN114" s="10" t="str">
        <f t="shared" si="106"/>
        <v/>
      </c>
      <c r="BO114" s="10" t="str">
        <f t="shared" si="128"/>
        <v/>
      </c>
      <c r="BQ114" s="10" t="str">
        <f t="shared" si="108"/>
        <v/>
      </c>
      <c r="BR114" s="10" t="str">
        <f t="shared" si="129"/>
        <v/>
      </c>
    </row>
    <row r="115" spans="2:70" ht="15.75" thickBot="1" x14ac:dyDescent="0.2">
      <c r="B115" s="5" t="s">
        <v>608</v>
      </c>
      <c r="C115" s="3"/>
      <c r="D115" s="102"/>
      <c r="E115" s="102"/>
      <c r="F115" s="3"/>
      <c r="G115" s="102"/>
      <c r="I115" s="456"/>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71" t="s">
        <v>609</v>
      </c>
      <c r="W116" s="11"/>
      <c r="Z116" s="11">
        <f>SUM(Z15:Z114)</f>
        <v>12909311444.423042</v>
      </c>
      <c r="AC116" s="11">
        <f>SUM(AC15:AC114)</f>
        <v>2261972805.7096429</v>
      </c>
      <c r="AF116" s="11">
        <f>SUM(AF15:AF114)</f>
        <v>0</v>
      </c>
      <c r="AI116" s="11">
        <f>SUM(AI15:AI114)</f>
        <v>10170499668.650841</v>
      </c>
      <c r="AL116" s="11">
        <f>SUM(AL15:AL114)</f>
        <v>84322688161.905151</v>
      </c>
      <c r="AO116" s="11">
        <f>SUM(AO15:AO114)</f>
        <v>77295797481.746368</v>
      </c>
      <c r="AR116" s="11">
        <f>SUM(AR15:AR114)</f>
        <v>20958256208.100876</v>
      </c>
      <c r="AW116" s="11">
        <f>SUM(AW15:AW114)</f>
        <v>243649981378.28128</v>
      </c>
      <c r="BB116" s="11">
        <f>SUM(BB15:BB114)</f>
        <v>288344316554.13403</v>
      </c>
      <c r="BE116" s="11">
        <f>SUM(BE15:BE114)</f>
        <v>0</v>
      </c>
      <c r="BH116" s="11">
        <f>SUM(BH15:BH114)</f>
        <v>0</v>
      </c>
      <c r="BK116" s="11">
        <f>SUM(BK15:BK114)</f>
        <v>0</v>
      </c>
      <c r="BL116" s="11">
        <f>SUM(BL15:BL114)</f>
        <v>0</v>
      </c>
      <c r="BO116" s="11">
        <f>SUM(BO15:BO114)</f>
        <v>0</v>
      </c>
      <c r="BR116" s="11">
        <f>SUM(BR15:BR114)</f>
        <v>64633340476.100304</v>
      </c>
    </row>
    <row r="117" spans="2:70" x14ac:dyDescent="0.15">
      <c r="C117" s="71" t="s">
        <v>610</v>
      </c>
      <c r="F117" s="490">
        <f>F21*10^4*F13*10^4+F29*10^8</f>
        <v>152000000000</v>
      </c>
      <c r="G117" s="84" t="s">
        <v>611</v>
      </c>
      <c r="I117" s="184" t="s">
        <v>145</v>
      </c>
      <c r="W117" s="11"/>
      <c r="Z117" s="11" t="str">
        <f ca="1">IF(ISNUMBER($F$16),SUM(INDIRECT(ADDRESS($F$16+15,COLUMN())):INDIRECT(ADDRESS(114,COLUMN()))),"")</f>
        <v/>
      </c>
      <c r="AC117" s="11" t="str">
        <f ca="1">IF(ISNUMBER($F$16),SUM(INDIRECT(ADDRESS($F$16+15,COLUMN())):INDIRECT(ADDRESS(114,COLUMN()))),"")</f>
        <v/>
      </c>
      <c r="AF117" s="11" t="str">
        <f ca="1">IF(ISNUMBER($F$16),SUM(INDIRECT(ADDRESS($F$16+15,COLUMN())):INDIRECT(ADDRESS(114,COLUMN()))),"")</f>
        <v/>
      </c>
      <c r="AI117" s="11" t="str">
        <f ca="1">IF(ISNUMBER($F$16),SUM(INDIRECT(ADDRESS($F$16+15,COLUMN())):INDIRECT(ADDRESS(114,COLUMN()))),"")</f>
        <v/>
      </c>
      <c r="AL117" s="11" t="str">
        <f ca="1">IF(ISNUMBER($F$16),SUM(INDIRECT(ADDRESS($F$16+15,COLUMN())):INDIRECT(ADDRESS(114,COLUMN()))),"")</f>
        <v/>
      </c>
      <c r="AO117" s="11" t="str">
        <f ca="1">IF(ISNUMBER($F$16),SUM(INDIRECT(ADDRESS($F$16+15,COLUMN())):INDIRECT(ADDRESS(114,COLUMN()))),"")</f>
        <v/>
      </c>
      <c r="AR117" s="11" t="str">
        <f ca="1">IF(ISNUMBER($F$16),SUM(INDIRECT(ADDRESS($F$16+15,COLUMN())):INDIRECT(ADDRESS(114,COLUMN()))),"")</f>
        <v/>
      </c>
      <c r="AW117" s="11" t="str">
        <f ca="1">IF(ISNUMBER($F$16),SUM(INDIRECT(ADDRESS($F$16+15,COLUMN())):INDIRECT(ADDRESS(114,COLUMN()))),"")</f>
        <v/>
      </c>
      <c r="BB117" s="11" t="str">
        <f ca="1">IF(ISNUMBER($F$16),SUM(INDIRECT(ADDRESS($F$16+15,COLUMN())):INDIRECT(ADDRESS(114,COLUMN()))),"")</f>
        <v/>
      </c>
      <c r="BE117" s="11" t="str">
        <f ca="1">IF(ISNUMBER($F$16),SUM(INDIRECT(ADDRESS($F$16+15,COLUMN())):INDIRECT(ADDRESS(114,COLUMN()))),"")</f>
        <v/>
      </c>
      <c r="BH117" s="11" t="str">
        <f ca="1">IF(ISNUMBER($F$16),SUM(INDIRECT(ADDRESS($F$16+15,COLUMN())):INDIRECT(ADDRESS(114,COLUMN()))),"")</f>
        <v/>
      </c>
      <c r="BK117" s="11" t="str">
        <f ca="1">IF(ISNUMBER($F$16),SUM(INDIRECT(ADDRESS($F$16+15,COLUMN())):INDIRECT(ADDRESS(114,COLUMN()))),"")</f>
        <v/>
      </c>
      <c r="BL117" s="11" t="str">
        <f ca="1">IF(ISNUMBER($F$16),SUM(INDIRECT(ADDRESS($F$16+15,COLUMN())):INDIRECT(ADDRESS(114,COLUMN()))),"")</f>
        <v/>
      </c>
      <c r="BO117" s="11" t="str">
        <f ca="1">IF(ISNUMBER($F$16),SUM(INDIRECT(ADDRESS($F$16+15,COLUMN())):INDIRECT(ADDRESS(114,COLUMN()))),"")</f>
        <v/>
      </c>
      <c r="BR117" s="11" t="str">
        <f ca="1">IF(ISNUMBER($F$16),SUM(INDIRECT(ADDRESS($F$16+15,COLUMN())):INDIRECT(ADDRESS(114,COLUMN()))),"")</f>
        <v/>
      </c>
    </row>
    <row r="119" spans="2:70" x14ac:dyDescent="0.15">
      <c r="C119" s="71" t="s">
        <v>612</v>
      </c>
      <c r="F119" s="490">
        <f>VLOOKUP(F3,'表2）法定耐用年数'!$A$2:$B$24,2,0)</f>
        <v>15</v>
      </c>
      <c r="G119" s="84" t="s">
        <v>556</v>
      </c>
    </row>
    <row r="121" spans="2:70" x14ac:dyDescent="0.15">
      <c r="C121" s="4" t="s">
        <v>613</v>
      </c>
      <c r="D121" s="100"/>
      <c r="E121" s="100"/>
      <c r="F121" s="4"/>
      <c r="G121" s="100"/>
    </row>
    <row r="123" spans="2:70" x14ac:dyDescent="0.15">
      <c r="D123" s="84" t="s">
        <v>614</v>
      </c>
      <c r="F123" s="491">
        <f>VLOOKUP($F$119,'表1）減価償却率表'!$A$9:$E$107,3,0)</f>
        <v>0.16700000000000001</v>
      </c>
    </row>
    <row r="124" spans="2:70" x14ac:dyDescent="0.15">
      <c r="D124" s="84" t="s">
        <v>615</v>
      </c>
      <c r="F124" s="491">
        <f>VLOOKUP($F$119,'表1）減価償却率表'!$A$9:$E$107,4,0)</f>
        <v>0.2</v>
      </c>
    </row>
    <row r="125" spans="2:70" x14ac:dyDescent="0.15">
      <c r="D125" s="84" t="s">
        <v>616</v>
      </c>
      <c r="F125" s="474">
        <f>VLOOKUP($F$119,'表1）減価償却率表'!$A$9:$E$107,5,0)</f>
        <v>3.2169999999999997E-2</v>
      </c>
    </row>
    <row r="126" spans="2:70" x14ac:dyDescent="0.15">
      <c r="F126" s="492"/>
    </row>
    <row r="127" spans="2:70" x14ac:dyDescent="0.15">
      <c r="C127" s="8" t="s">
        <v>617</v>
      </c>
      <c r="D127" s="493"/>
      <c r="E127" s="494"/>
      <c r="F127" s="490">
        <f>F117*F125</f>
        <v>4889840000</v>
      </c>
      <c r="G127" s="84" t="s">
        <v>611</v>
      </c>
    </row>
    <row r="129" spans="3:7" x14ac:dyDescent="0.15">
      <c r="C129" s="8" t="s">
        <v>152</v>
      </c>
      <c r="D129" s="493"/>
      <c r="E129" s="493"/>
      <c r="F129" s="491">
        <f>0.1^(1/F119)</f>
        <v>0.85769589859089412</v>
      </c>
      <c r="G129" s="493"/>
    </row>
    <row r="131" spans="3:7" x14ac:dyDescent="0.15">
      <c r="C131" s="4" t="s">
        <v>618</v>
      </c>
      <c r="D131" s="100"/>
      <c r="E131" s="100"/>
      <c r="F131" s="4"/>
      <c r="G131" s="100"/>
    </row>
    <row r="133" spans="3:7" x14ac:dyDescent="0.15">
      <c r="D133" s="84" t="s">
        <v>619</v>
      </c>
      <c r="F133" s="490">
        <f>F13*10000*24*365*F14/100</f>
        <v>3066000000</v>
      </c>
      <c r="G133" s="84" t="s">
        <v>620</v>
      </c>
    </row>
    <row r="134" spans="3:7" x14ac:dyDescent="0.15">
      <c r="D134" s="84" t="s">
        <v>621</v>
      </c>
      <c r="F134" s="490">
        <f>F133*(1-F24/100)</f>
        <v>2796192000</v>
      </c>
      <c r="G134" s="84" t="s">
        <v>620</v>
      </c>
    </row>
    <row r="135" spans="3:7" x14ac:dyDescent="0.15">
      <c r="F135" s="495"/>
    </row>
    <row r="137" spans="3:7" ht="16.5" x14ac:dyDescent="0.15">
      <c r="C137" s="71" t="s">
        <v>622</v>
      </c>
      <c r="F137" s="490">
        <f>IF(ISERROR(F133*3.6/(F23/100)/F22),0,F133*3.6/(F23/100)/F22)</f>
        <v>976346749.22600627</v>
      </c>
      <c r="G137" s="71" t="s">
        <v>623</v>
      </c>
    </row>
    <row r="139" spans="3:7" x14ac:dyDescent="0.15">
      <c r="C139" s="4" t="s">
        <v>624</v>
      </c>
      <c r="D139" s="100"/>
      <c r="E139" s="100"/>
      <c r="F139" s="4"/>
      <c r="G139" s="100"/>
    </row>
    <row r="141" spans="3:7" x14ac:dyDescent="0.15">
      <c r="D141" s="84" t="s">
        <v>625</v>
      </c>
      <c r="F141" s="496">
        <v>1000</v>
      </c>
      <c r="G141" s="84" t="s">
        <v>626</v>
      </c>
    </row>
    <row r="142" spans="3:7" x14ac:dyDescent="0.15">
      <c r="D142" s="84" t="s">
        <v>573</v>
      </c>
      <c r="F142" s="488">
        <f>IF(ISERROR(F42/1000),0,F42/1000)</f>
        <v>2</v>
      </c>
      <c r="G142" s="84" t="s">
        <v>627</v>
      </c>
    </row>
    <row r="145" spans="3:7" x14ac:dyDescent="0.15">
      <c r="C145" s="71" t="s">
        <v>628</v>
      </c>
      <c r="F145" s="496">
        <f>IF(ISERROR(F133*(F47*3.6/(F23/100)/1000*(44/12))),0,F133*(F47*3.6/(F23/100)/1000*(44/12)))</f>
        <v>1976613408</v>
      </c>
      <c r="G145" s="84" t="s">
        <v>629</v>
      </c>
    </row>
    <row r="147" spans="3:7" x14ac:dyDescent="0.15">
      <c r="C147" s="4" t="s">
        <v>630</v>
      </c>
      <c r="D147" s="100"/>
      <c r="E147" s="100"/>
      <c r="F147" s="4"/>
      <c r="G147" s="100"/>
    </row>
    <row r="149" spans="3:7" x14ac:dyDescent="0.15">
      <c r="D149" s="84" t="s">
        <v>219</v>
      </c>
      <c r="F149" s="496">
        <f>IF(ISERROR(F52/F23),0,F52/F23)</f>
        <v>0</v>
      </c>
    </row>
    <row r="150" spans="3:7" x14ac:dyDescent="0.15">
      <c r="D150" s="84" t="s">
        <v>631</v>
      </c>
      <c r="F150" s="496">
        <f>F133*F149*(F53/100)*3.6</f>
        <v>0</v>
      </c>
      <c r="G150" s="84" t="s">
        <v>632</v>
      </c>
    </row>
    <row r="151" spans="3:7" ht="16.5" x14ac:dyDescent="0.15">
      <c r="D151" s="84" t="s">
        <v>633</v>
      </c>
      <c r="F151" s="490">
        <f>IF(ISERROR(F150/(F54/100)/F55),0,F150/(F54/100)/F55)</f>
        <v>0</v>
      </c>
      <c r="G151" s="71" t="s">
        <v>623</v>
      </c>
    </row>
    <row r="152" spans="3:7" x14ac:dyDescent="0.15">
      <c r="D152" s="84" t="s">
        <v>634</v>
      </c>
      <c r="F152" s="497">
        <f>IF(ISERROR(F56/1000),0,F56/1000)</f>
        <v>0</v>
      </c>
      <c r="G152" s="84" t="s">
        <v>627</v>
      </c>
    </row>
    <row r="153" spans="3:7" x14ac:dyDescent="0.15">
      <c r="D153" s="84" t="s">
        <v>635</v>
      </c>
      <c r="F153" s="496">
        <f>IF(ISERROR(F150*F47/1000*(44/12)/(F54/100)),0,F150*F47/1000*(44/12)/(F54/100))</f>
        <v>0</v>
      </c>
      <c r="G153" s="84" t="s">
        <v>629</v>
      </c>
    </row>
  </sheetData>
  <mergeCells count="48">
    <mergeCell ref="BO12:BO13"/>
    <mergeCell ref="AQ9:AR10"/>
    <mergeCell ref="AV9:AW10"/>
    <mergeCell ref="AY9:AY10"/>
    <mergeCell ref="BR12:BR13"/>
    <mergeCell ref="AR12:AR13"/>
    <mergeCell ref="AW12:AW13"/>
    <mergeCell ref="BB12:BB13"/>
    <mergeCell ref="BE12:BE13"/>
    <mergeCell ref="BH12:BH13"/>
    <mergeCell ref="BJ12:BJ13"/>
    <mergeCell ref="AI12:AI13"/>
    <mergeCell ref="AL12:AL13"/>
    <mergeCell ref="AO12:AO13"/>
    <mergeCell ref="BK12:BK13"/>
    <mergeCell ref="BL12:BL13"/>
    <mergeCell ref="P12:P13"/>
    <mergeCell ref="W12:W13"/>
    <mergeCell ref="Z12:Z13"/>
    <mergeCell ref="AC12:AC13"/>
    <mergeCell ref="AF12:AF13"/>
    <mergeCell ref="BD7:BH7"/>
    <mergeCell ref="BD9:BE10"/>
    <mergeCell ref="BG9:BH10"/>
    <mergeCell ref="BJ7:BO7"/>
    <mergeCell ref="BJ9:BL10"/>
    <mergeCell ref="BN9:BO10"/>
    <mergeCell ref="BQ7:BR7"/>
    <mergeCell ref="I9:I10"/>
    <mergeCell ref="K9:K10"/>
    <mergeCell ref="M9:M10"/>
    <mergeCell ref="O9:P10"/>
    <mergeCell ref="R9:R10"/>
    <mergeCell ref="T9:T10"/>
    <mergeCell ref="V9:W10"/>
    <mergeCell ref="Y9:Z10"/>
    <mergeCell ref="AB9:AC10"/>
    <mergeCell ref="AE9:AF10"/>
    <mergeCell ref="AH9:AI10"/>
    <mergeCell ref="AK9:AL10"/>
    <mergeCell ref="AN9:AO10"/>
    <mergeCell ref="AT9:AT10"/>
    <mergeCell ref="BA9:BB10"/>
    <mergeCell ref="F3:G3"/>
    <mergeCell ref="V7:AF7"/>
    <mergeCell ref="AH7:AR7"/>
    <mergeCell ref="AT7:AW7"/>
    <mergeCell ref="AY7:BB7"/>
  </mergeCells>
  <phoneticPr fontId="56"/>
  <dataValidations count="6">
    <dataValidation type="list" allowBlank="1" showDropDown="1" showInputMessage="1" showErrorMessage="1" sqref="WVN983043:WVO983043 JB3:JC3 SX3:SY3 ACT3:ACU3 AMP3:AMQ3 AWL3:AWM3 BGH3:BGI3 BQD3:BQE3 BZZ3:CAA3 CJV3:CJW3 CTR3:CTS3 DDN3:DDO3 DNJ3:DNK3 DXF3:DXG3 EHB3:EHC3 EQX3:EQY3 FAT3:FAU3 FKP3:FKQ3 FUL3:FUM3 GEH3:GEI3 GOD3:GOE3 GXZ3:GYA3 HHV3:HHW3 HRR3:HRS3 IBN3:IBO3 ILJ3:ILK3 IVF3:IVG3 JFB3:JFC3 JOX3:JOY3 JYT3:JYU3 KIP3:KIQ3 KSL3:KSM3 LCH3:LCI3 LMD3:LME3 LVZ3:LWA3 MFV3:MFW3 MPR3:MPS3 MZN3:MZO3 NJJ3:NJK3 NTF3:NTG3 ODB3:ODC3 OMX3:OMY3 OWT3:OWU3 PGP3:PGQ3 PQL3:PQM3 QAH3:QAI3 QKD3:QKE3 QTZ3:QUA3 RDV3:RDW3 RNR3:RNS3 RXN3:RXO3 SHJ3:SHK3 SRF3:SRG3 TBB3:TBC3 TKX3:TKY3 TUT3:TUU3 UEP3:UEQ3 UOL3:UOM3 UYH3:UYI3 VID3:VIE3 VRZ3:VSA3 WBV3:WBW3 WLR3:WLS3 WVN3:WVO3 F65539:G65539 JB65539:JC65539 SX65539:SY65539 ACT65539:ACU65539 AMP65539:AMQ65539 AWL65539:AWM65539 BGH65539:BGI65539 BQD65539:BQE65539 BZZ65539:CAA65539 CJV65539:CJW65539 CTR65539:CTS65539 DDN65539:DDO65539 DNJ65539:DNK65539 DXF65539:DXG65539 EHB65539:EHC65539 EQX65539:EQY65539 FAT65539:FAU65539 FKP65539:FKQ65539 FUL65539:FUM65539 GEH65539:GEI65539 GOD65539:GOE65539 GXZ65539:GYA65539 HHV65539:HHW65539 HRR65539:HRS65539 IBN65539:IBO65539 ILJ65539:ILK65539 IVF65539:IVG65539 JFB65539:JFC65539 JOX65539:JOY65539 JYT65539:JYU65539 KIP65539:KIQ65539 KSL65539:KSM65539 LCH65539:LCI65539 LMD65539:LME65539 LVZ65539:LWA65539 MFV65539:MFW65539 MPR65539:MPS65539 MZN65539:MZO65539 NJJ65539:NJK65539 NTF65539:NTG65539 ODB65539:ODC65539 OMX65539:OMY65539 OWT65539:OWU65539 PGP65539:PGQ65539 PQL65539:PQM65539 QAH65539:QAI65539 QKD65539:QKE65539 QTZ65539:QUA65539 RDV65539:RDW65539 RNR65539:RNS65539 RXN65539:RXO65539 SHJ65539:SHK65539 SRF65539:SRG65539 TBB65539:TBC65539 TKX65539:TKY65539 TUT65539:TUU65539 UEP65539:UEQ65539 UOL65539:UOM65539 UYH65539:UYI65539 VID65539:VIE65539 VRZ65539:VSA65539 WBV65539:WBW65539 WLR65539:WLS65539 WVN65539:WVO65539 F131075:G131075 JB131075:JC131075 SX131075:SY131075 ACT131075:ACU131075 AMP131075:AMQ131075 AWL131075:AWM131075 BGH131075:BGI131075 BQD131075:BQE131075 BZZ131075:CAA131075 CJV131075:CJW131075 CTR131075:CTS131075 DDN131075:DDO131075 DNJ131075:DNK131075 DXF131075:DXG131075 EHB131075:EHC131075 EQX131075:EQY131075 FAT131075:FAU131075 FKP131075:FKQ131075 FUL131075:FUM131075 GEH131075:GEI131075 GOD131075:GOE131075 GXZ131075:GYA131075 HHV131075:HHW131075 HRR131075:HRS131075 IBN131075:IBO131075 ILJ131075:ILK131075 IVF131075:IVG131075 JFB131075:JFC131075 JOX131075:JOY131075 JYT131075:JYU131075 KIP131075:KIQ131075 KSL131075:KSM131075 LCH131075:LCI131075 LMD131075:LME131075 LVZ131075:LWA131075 MFV131075:MFW131075 MPR131075:MPS131075 MZN131075:MZO131075 NJJ131075:NJK131075 NTF131075:NTG131075 ODB131075:ODC131075 OMX131075:OMY131075 OWT131075:OWU131075 PGP131075:PGQ131075 PQL131075:PQM131075 QAH131075:QAI131075 QKD131075:QKE131075 QTZ131075:QUA131075 RDV131075:RDW131075 RNR131075:RNS131075 RXN131075:RXO131075 SHJ131075:SHK131075 SRF131075:SRG131075 TBB131075:TBC131075 TKX131075:TKY131075 TUT131075:TUU131075 UEP131075:UEQ131075 UOL131075:UOM131075 UYH131075:UYI131075 VID131075:VIE131075 VRZ131075:VSA131075 WBV131075:WBW131075 WLR131075:WLS131075 WVN131075:WVO131075 F196611:G196611 JB196611:JC196611 SX196611:SY196611 ACT196611:ACU196611 AMP196611:AMQ196611 AWL196611:AWM196611 BGH196611:BGI196611 BQD196611:BQE196611 BZZ196611:CAA196611 CJV196611:CJW196611 CTR196611:CTS196611 DDN196611:DDO196611 DNJ196611:DNK196611 DXF196611:DXG196611 EHB196611:EHC196611 EQX196611:EQY196611 FAT196611:FAU196611 FKP196611:FKQ196611 FUL196611:FUM196611 GEH196611:GEI196611 GOD196611:GOE196611 GXZ196611:GYA196611 HHV196611:HHW196611 HRR196611:HRS196611 IBN196611:IBO196611 ILJ196611:ILK196611 IVF196611:IVG196611 JFB196611:JFC196611 JOX196611:JOY196611 JYT196611:JYU196611 KIP196611:KIQ196611 KSL196611:KSM196611 LCH196611:LCI196611 LMD196611:LME196611 LVZ196611:LWA196611 MFV196611:MFW196611 MPR196611:MPS196611 MZN196611:MZO196611 NJJ196611:NJK196611 NTF196611:NTG196611 ODB196611:ODC196611 OMX196611:OMY196611 OWT196611:OWU196611 PGP196611:PGQ196611 PQL196611:PQM196611 QAH196611:QAI196611 QKD196611:QKE196611 QTZ196611:QUA196611 RDV196611:RDW196611 RNR196611:RNS196611 RXN196611:RXO196611 SHJ196611:SHK196611 SRF196611:SRG196611 TBB196611:TBC196611 TKX196611:TKY196611 TUT196611:TUU196611 UEP196611:UEQ196611 UOL196611:UOM196611 UYH196611:UYI196611 VID196611:VIE196611 VRZ196611:VSA196611 WBV196611:WBW196611 WLR196611:WLS196611 WVN196611:WVO196611 F262147:G262147 JB262147:JC262147 SX262147:SY262147 ACT262147:ACU262147 AMP262147:AMQ262147 AWL262147:AWM262147 BGH262147:BGI262147 BQD262147:BQE262147 BZZ262147:CAA262147 CJV262147:CJW262147 CTR262147:CTS262147 DDN262147:DDO262147 DNJ262147:DNK262147 DXF262147:DXG262147 EHB262147:EHC262147 EQX262147:EQY262147 FAT262147:FAU262147 FKP262147:FKQ262147 FUL262147:FUM262147 GEH262147:GEI262147 GOD262147:GOE262147 GXZ262147:GYA262147 HHV262147:HHW262147 HRR262147:HRS262147 IBN262147:IBO262147 ILJ262147:ILK262147 IVF262147:IVG262147 JFB262147:JFC262147 JOX262147:JOY262147 JYT262147:JYU262147 KIP262147:KIQ262147 KSL262147:KSM262147 LCH262147:LCI262147 LMD262147:LME262147 LVZ262147:LWA262147 MFV262147:MFW262147 MPR262147:MPS262147 MZN262147:MZO262147 NJJ262147:NJK262147 NTF262147:NTG262147 ODB262147:ODC262147 OMX262147:OMY262147 OWT262147:OWU262147 PGP262147:PGQ262147 PQL262147:PQM262147 QAH262147:QAI262147 QKD262147:QKE262147 QTZ262147:QUA262147 RDV262147:RDW262147 RNR262147:RNS262147 RXN262147:RXO262147 SHJ262147:SHK262147 SRF262147:SRG262147 TBB262147:TBC262147 TKX262147:TKY262147 TUT262147:TUU262147 UEP262147:UEQ262147 UOL262147:UOM262147 UYH262147:UYI262147 VID262147:VIE262147 VRZ262147:VSA262147 WBV262147:WBW262147 WLR262147:WLS262147 WVN262147:WVO262147 F327683:G327683 JB327683:JC327683 SX327683:SY327683 ACT327683:ACU327683 AMP327683:AMQ327683 AWL327683:AWM327683 BGH327683:BGI327683 BQD327683:BQE327683 BZZ327683:CAA327683 CJV327683:CJW327683 CTR327683:CTS327683 DDN327683:DDO327683 DNJ327683:DNK327683 DXF327683:DXG327683 EHB327683:EHC327683 EQX327683:EQY327683 FAT327683:FAU327683 FKP327683:FKQ327683 FUL327683:FUM327683 GEH327683:GEI327683 GOD327683:GOE327683 GXZ327683:GYA327683 HHV327683:HHW327683 HRR327683:HRS327683 IBN327683:IBO327683 ILJ327683:ILK327683 IVF327683:IVG327683 JFB327683:JFC327683 JOX327683:JOY327683 JYT327683:JYU327683 KIP327683:KIQ327683 KSL327683:KSM327683 LCH327683:LCI327683 LMD327683:LME327683 LVZ327683:LWA327683 MFV327683:MFW327683 MPR327683:MPS327683 MZN327683:MZO327683 NJJ327683:NJK327683 NTF327683:NTG327683 ODB327683:ODC327683 OMX327683:OMY327683 OWT327683:OWU327683 PGP327683:PGQ327683 PQL327683:PQM327683 QAH327683:QAI327683 QKD327683:QKE327683 QTZ327683:QUA327683 RDV327683:RDW327683 RNR327683:RNS327683 RXN327683:RXO327683 SHJ327683:SHK327683 SRF327683:SRG327683 TBB327683:TBC327683 TKX327683:TKY327683 TUT327683:TUU327683 UEP327683:UEQ327683 UOL327683:UOM327683 UYH327683:UYI327683 VID327683:VIE327683 VRZ327683:VSA327683 WBV327683:WBW327683 WLR327683:WLS327683 WVN327683:WVO327683 F393219:G393219 JB393219:JC393219 SX393219:SY393219 ACT393219:ACU393219 AMP393219:AMQ393219 AWL393219:AWM393219 BGH393219:BGI393219 BQD393219:BQE393219 BZZ393219:CAA393219 CJV393219:CJW393219 CTR393219:CTS393219 DDN393219:DDO393219 DNJ393219:DNK393219 DXF393219:DXG393219 EHB393219:EHC393219 EQX393219:EQY393219 FAT393219:FAU393219 FKP393219:FKQ393219 FUL393219:FUM393219 GEH393219:GEI393219 GOD393219:GOE393219 GXZ393219:GYA393219 HHV393219:HHW393219 HRR393219:HRS393219 IBN393219:IBO393219 ILJ393219:ILK393219 IVF393219:IVG393219 JFB393219:JFC393219 JOX393219:JOY393219 JYT393219:JYU393219 KIP393219:KIQ393219 KSL393219:KSM393219 LCH393219:LCI393219 LMD393219:LME393219 LVZ393219:LWA393219 MFV393219:MFW393219 MPR393219:MPS393219 MZN393219:MZO393219 NJJ393219:NJK393219 NTF393219:NTG393219 ODB393219:ODC393219 OMX393219:OMY393219 OWT393219:OWU393219 PGP393219:PGQ393219 PQL393219:PQM393219 QAH393219:QAI393219 QKD393219:QKE393219 QTZ393219:QUA393219 RDV393219:RDW393219 RNR393219:RNS393219 RXN393219:RXO393219 SHJ393219:SHK393219 SRF393219:SRG393219 TBB393219:TBC393219 TKX393219:TKY393219 TUT393219:TUU393219 UEP393219:UEQ393219 UOL393219:UOM393219 UYH393219:UYI393219 VID393219:VIE393219 VRZ393219:VSA393219 WBV393219:WBW393219 WLR393219:WLS393219 WVN393219:WVO393219 F458755:G458755 JB458755:JC458755 SX458755:SY458755 ACT458755:ACU458755 AMP458755:AMQ458755 AWL458755:AWM458755 BGH458755:BGI458755 BQD458755:BQE458755 BZZ458755:CAA458755 CJV458755:CJW458755 CTR458755:CTS458755 DDN458755:DDO458755 DNJ458755:DNK458755 DXF458755:DXG458755 EHB458755:EHC458755 EQX458755:EQY458755 FAT458755:FAU458755 FKP458755:FKQ458755 FUL458755:FUM458755 GEH458755:GEI458755 GOD458755:GOE458755 GXZ458755:GYA458755 HHV458755:HHW458755 HRR458755:HRS458755 IBN458755:IBO458755 ILJ458755:ILK458755 IVF458755:IVG458755 JFB458755:JFC458755 JOX458755:JOY458755 JYT458755:JYU458755 KIP458755:KIQ458755 KSL458755:KSM458755 LCH458755:LCI458755 LMD458755:LME458755 LVZ458755:LWA458755 MFV458755:MFW458755 MPR458755:MPS458755 MZN458755:MZO458755 NJJ458755:NJK458755 NTF458755:NTG458755 ODB458755:ODC458755 OMX458755:OMY458755 OWT458755:OWU458755 PGP458755:PGQ458755 PQL458755:PQM458755 QAH458755:QAI458755 QKD458755:QKE458755 QTZ458755:QUA458755 RDV458755:RDW458755 RNR458755:RNS458755 RXN458755:RXO458755 SHJ458755:SHK458755 SRF458755:SRG458755 TBB458755:TBC458755 TKX458755:TKY458755 TUT458755:TUU458755 UEP458755:UEQ458755 UOL458755:UOM458755 UYH458755:UYI458755 VID458755:VIE458755 VRZ458755:VSA458755 WBV458755:WBW458755 WLR458755:WLS458755 WVN458755:WVO458755 F524291:G524291 JB524291:JC524291 SX524291:SY524291 ACT524291:ACU524291 AMP524291:AMQ524291 AWL524291:AWM524291 BGH524291:BGI524291 BQD524291:BQE524291 BZZ524291:CAA524291 CJV524291:CJW524291 CTR524291:CTS524291 DDN524291:DDO524291 DNJ524291:DNK524291 DXF524291:DXG524291 EHB524291:EHC524291 EQX524291:EQY524291 FAT524291:FAU524291 FKP524291:FKQ524291 FUL524291:FUM524291 GEH524291:GEI524291 GOD524291:GOE524291 GXZ524291:GYA524291 HHV524291:HHW524291 HRR524291:HRS524291 IBN524291:IBO524291 ILJ524291:ILK524291 IVF524291:IVG524291 JFB524291:JFC524291 JOX524291:JOY524291 JYT524291:JYU524291 KIP524291:KIQ524291 KSL524291:KSM524291 LCH524291:LCI524291 LMD524291:LME524291 LVZ524291:LWA524291 MFV524291:MFW524291 MPR524291:MPS524291 MZN524291:MZO524291 NJJ524291:NJK524291 NTF524291:NTG524291 ODB524291:ODC524291 OMX524291:OMY524291 OWT524291:OWU524291 PGP524291:PGQ524291 PQL524291:PQM524291 QAH524291:QAI524291 QKD524291:QKE524291 QTZ524291:QUA524291 RDV524291:RDW524291 RNR524291:RNS524291 RXN524291:RXO524291 SHJ524291:SHK524291 SRF524291:SRG524291 TBB524291:TBC524291 TKX524291:TKY524291 TUT524291:TUU524291 UEP524291:UEQ524291 UOL524291:UOM524291 UYH524291:UYI524291 VID524291:VIE524291 VRZ524291:VSA524291 WBV524291:WBW524291 WLR524291:WLS524291 WVN524291:WVO524291 F589827:G589827 JB589827:JC589827 SX589827:SY589827 ACT589827:ACU589827 AMP589827:AMQ589827 AWL589827:AWM589827 BGH589827:BGI589827 BQD589827:BQE589827 BZZ589827:CAA589827 CJV589827:CJW589827 CTR589827:CTS589827 DDN589827:DDO589827 DNJ589827:DNK589827 DXF589827:DXG589827 EHB589827:EHC589827 EQX589827:EQY589827 FAT589827:FAU589827 FKP589827:FKQ589827 FUL589827:FUM589827 GEH589827:GEI589827 GOD589827:GOE589827 GXZ589827:GYA589827 HHV589827:HHW589827 HRR589827:HRS589827 IBN589827:IBO589827 ILJ589827:ILK589827 IVF589827:IVG589827 JFB589827:JFC589827 JOX589827:JOY589827 JYT589827:JYU589827 KIP589827:KIQ589827 KSL589827:KSM589827 LCH589827:LCI589827 LMD589827:LME589827 LVZ589827:LWA589827 MFV589827:MFW589827 MPR589827:MPS589827 MZN589827:MZO589827 NJJ589827:NJK589827 NTF589827:NTG589827 ODB589827:ODC589827 OMX589827:OMY589827 OWT589827:OWU589827 PGP589827:PGQ589827 PQL589827:PQM589827 QAH589827:QAI589827 QKD589827:QKE589827 QTZ589827:QUA589827 RDV589827:RDW589827 RNR589827:RNS589827 RXN589827:RXO589827 SHJ589827:SHK589827 SRF589827:SRG589827 TBB589827:TBC589827 TKX589827:TKY589827 TUT589827:TUU589827 UEP589827:UEQ589827 UOL589827:UOM589827 UYH589827:UYI589827 VID589827:VIE589827 VRZ589827:VSA589827 WBV589827:WBW589827 WLR589827:WLS589827 WVN589827:WVO589827 F655363:G655363 JB655363:JC655363 SX655363:SY655363 ACT655363:ACU655363 AMP655363:AMQ655363 AWL655363:AWM655363 BGH655363:BGI655363 BQD655363:BQE655363 BZZ655363:CAA655363 CJV655363:CJW655363 CTR655363:CTS655363 DDN655363:DDO655363 DNJ655363:DNK655363 DXF655363:DXG655363 EHB655363:EHC655363 EQX655363:EQY655363 FAT655363:FAU655363 FKP655363:FKQ655363 FUL655363:FUM655363 GEH655363:GEI655363 GOD655363:GOE655363 GXZ655363:GYA655363 HHV655363:HHW655363 HRR655363:HRS655363 IBN655363:IBO655363 ILJ655363:ILK655363 IVF655363:IVG655363 JFB655363:JFC655363 JOX655363:JOY655363 JYT655363:JYU655363 KIP655363:KIQ655363 KSL655363:KSM655363 LCH655363:LCI655363 LMD655363:LME655363 LVZ655363:LWA655363 MFV655363:MFW655363 MPR655363:MPS655363 MZN655363:MZO655363 NJJ655363:NJK655363 NTF655363:NTG655363 ODB655363:ODC655363 OMX655363:OMY655363 OWT655363:OWU655363 PGP655363:PGQ655363 PQL655363:PQM655363 QAH655363:QAI655363 QKD655363:QKE655363 QTZ655363:QUA655363 RDV655363:RDW655363 RNR655363:RNS655363 RXN655363:RXO655363 SHJ655363:SHK655363 SRF655363:SRG655363 TBB655363:TBC655363 TKX655363:TKY655363 TUT655363:TUU655363 UEP655363:UEQ655363 UOL655363:UOM655363 UYH655363:UYI655363 VID655363:VIE655363 VRZ655363:VSA655363 WBV655363:WBW655363 WLR655363:WLS655363 WVN655363:WVO655363 F720899:G720899 JB720899:JC720899 SX720899:SY720899 ACT720899:ACU720899 AMP720899:AMQ720899 AWL720899:AWM720899 BGH720899:BGI720899 BQD720899:BQE720899 BZZ720899:CAA720899 CJV720899:CJW720899 CTR720899:CTS720899 DDN720899:DDO720899 DNJ720899:DNK720899 DXF720899:DXG720899 EHB720899:EHC720899 EQX720899:EQY720899 FAT720899:FAU720899 FKP720899:FKQ720899 FUL720899:FUM720899 GEH720899:GEI720899 GOD720899:GOE720899 GXZ720899:GYA720899 HHV720899:HHW720899 HRR720899:HRS720899 IBN720899:IBO720899 ILJ720899:ILK720899 IVF720899:IVG720899 JFB720899:JFC720899 JOX720899:JOY720899 JYT720899:JYU720899 KIP720899:KIQ720899 KSL720899:KSM720899 LCH720899:LCI720899 LMD720899:LME720899 LVZ720899:LWA720899 MFV720899:MFW720899 MPR720899:MPS720899 MZN720899:MZO720899 NJJ720899:NJK720899 NTF720899:NTG720899 ODB720899:ODC720899 OMX720899:OMY720899 OWT720899:OWU720899 PGP720899:PGQ720899 PQL720899:PQM720899 QAH720899:QAI720899 QKD720899:QKE720899 QTZ720899:QUA720899 RDV720899:RDW720899 RNR720899:RNS720899 RXN720899:RXO720899 SHJ720899:SHK720899 SRF720899:SRG720899 TBB720899:TBC720899 TKX720899:TKY720899 TUT720899:TUU720899 UEP720899:UEQ720899 UOL720899:UOM720899 UYH720899:UYI720899 VID720899:VIE720899 VRZ720899:VSA720899 WBV720899:WBW720899 WLR720899:WLS720899 WVN720899:WVO720899 F786435:G786435 JB786435:JC786435 SX786435:SY786435 ACT786435:ACU786435 AMP786435:AMQ786435 AWL786435:AWM786435 BGH786435:BGI786435 BQD786435:BQE786435 BZZ786435:CAA786435 CJV786435:CJW786435 CTR786435:CTS786435 DDN786435:DDO786435 DNJ786435:DNK786435 DXF786435:DXG786435 EHB786435:EHC786435 EQX786435:EQY786435 FAT786435:FAU786435 FKP786435:FKQ786435 FUL786435:FUM786435 GEH786435:GEI786435 GOD786435:GOE786435 GXZ786435:GYA786435 HHV786435:HHW786435 HRR786435:HRS786435 IBN786435:IBO786435 ILJ786435:ILK786435 IVF786435:IVG786435 JFB786435:JFC786435 JOX786435:JOY786435 JYT786435:JYU786435 KIP786435:KIQ786435 KSL786435:KSM786435 LCH786435:LCI786435 LMD786435:LME786435 LVZ786435:LWA786435 MFV786435:MFW786435 MPR786435:MPS786435 MZN786435:MZO786435 NJJ786435:NJK786435 NTF786435:NTG786435 ODB786435:ODC786435 OMX786435:OMY786435 OWT786435:OWU786435 PGP786435:PGQ786435 PQL786435:PQM786435 QAH786435:QAI786435 QKD786435:QKE786435 QTZ786435:QUA786435 RDV786435:RDW786435 RNR786435:RNS786435 RXN786435:RXO786435 SHJ786435:SHK786435 SRF786435:SRG786435 TBB786435:TBC786435 TKX786435:TKY786435 TUT786435:TUU786435 UEP786435:UEQ786435 UOL786435:UOM786435 UYH786435:UYI786435 VID786435:VIE786435 VRZ786435:VSA786435 WBV786435:WBW786435 WLR786435:WLS786435 WVN786435:WVO786435 F851971:G851971 JB851971:JC851971 SX851971:SY851971 ACT851971:ACU851971 AMP851971:AMQ851971 AWL851971:AWM851971 BGH851971:BGI851971 BQD851971:BQE851971 BZZ851971:CAA851971 CJV851971:CJW851971 CTR851971:CTS851971 DDN851971:DDO851971 DNJ851971:DNK851971 DXF851971:DXG851971 EHB851971:EHC851971 EQX851971:EQY851971 FAT851971:FAU851971 FKP851971:FKQ851971 FUL851971:FUM851971 GEH851971:GEI851971 GOD851971:GOE851971 GXZ851971:GYA851971 HHV851971:HHW851971 HRR851971:HRS851971 IBN851971:IBO851971 ILJ851971:ILK851971 IVF851971:IVG851971 JFB851971:JFC851971 JOX851971:JOY851971 JYT851971:JYU851971 KIP851971:KIQ851971 KSL851971:KSM851971 LCH851971:LCI851971 LMD851971:LME851971 LVZ851971:LWA851971 MFV851971:MFW851971 MPR851971:MPS851971 MZN851971:MZO851971 NJJ851971:NJK851971 NTF851971:NTG851971 ODB851971:ODC851971 OMX851971:OMY851971 OWT851971:OWU851971 PGP851971:PGQ851971 PQL851971:PQM851971 QAH851971:QAI851971 QKD851971:QKE851971 QTZ851971:QUA851971 RDV851971:RDW851971 RNR851971:RNS851971 RXN851971:RXO851971 SHJ851971:SHK851971 SRF851971:SRG851971 TBB851971:TBC851971 TKX851971:TKY851971 TUT851971:TUU851971 UEP851971:UEQ851971 UOL851971:UOM851971 UYH851971:UYI851971 VID851971:VIE851971 VRZ851971:VSA851971 WBV851971:WBW851971 WLR851971:WLS851971 WVN851971:WVO851971 F917507:G917507 JB917507:JC917507 SX917507:SY917507 ACT917507:ACU917507 AMP917507:AMQ917507 AWL917507:AWM917507 BGH917507:BGI917507 BQD917507:BQE917507 BZZ917507:CAA917507 CJV917507:CJW917507 CTR917507:CTS917507 DDN917507:DDO917507 DNJ917507:DNK917507 DXF917507:DXG917507 EHB917507:EHC917507 EQX917507:EQY917507 FAT917507:FAU917507 FKP917507:FKQ917507 FUL917507:FUM917507 GEH917507:GEI917507 GOD917507:GOE917507 GXZ917507:GYA917507 HHV917507:HHW917507 HRR917507:HRS917507 IBN917507:IBO917507 ILJ917507:ILK917507 IVF917507:IVG917507 JFB917507:JFC917507 JOX917507:JOY917507 JYT917507:JYU917507 KIP917507:KIQ917507 KSL917507:KSM917507 LCH917507:LCI917507 LMD917507:LME917507 LVZ917507:LWA917507 MFV917507:MFW917507 MPR917507:MPS917507 MZN917507:MZO917507 NJJ917507:NJK917507 NTF917507:NTG917507 ODB917507:ODC917507 OMX917507:OMY917507 OWT917507:OWU917507 PGP917507:PGQ917507 PQL917507:PQM917507 QAH917507:QAI917507 QKD917507:QKE917507 QTZ917507:QUA917507 RDV917507:RDW917507 RNR917507:RNS917507 RXN917507:RXO917507 SHJ917507:SHK917507 SRF917507:SRG917507 TBB917507:TBC917507 TKX917507:TKY917507 TUT917507:TUU917507 UEP917507:UEQ917507 UOL917507:UOM917507 UYH917507:UYI917507 VID917507:VIE917507 VRZ917507:VSA917507 WBV917507:WBW917507 WLR917507:WLS917507 WVN917507:WVO917507 F983043:G983043 JB983043:JC983043 SX983043:SY983043 ACT983043:ACU983043 AMP983043:AMQ983043 AWL983043:AWM983043 BGH983043:BGI983043 BQD983043:BQE983043 BZZ983043:CAA983043 CJV983043:CJW983043 CTR983043:CTS983043 DDN983043:DDO983043 DNJ983043:DNK983043 DXF983043:DXG983043 EHB983043:EHC983043 EQX983043:EQY983043 FAT983043:FAU983043 FKP983043:FKQ983043 FUL983043:FUM983043 GEH983043:GEI983043 GOD983043:GOE983043 GXZ983043:GYA983043 HHV983043:HHW983043 HRR983043:HRS983043 IBN983043:IBO983043 ILJ983043:ILK983043 IVF983043:IVG983043 JFB983043:JFC983043 JOX983043:JOY983043 JYT983043:JYU983043 KIP983043:KIQ983043 KSL983043:KSM983043 LCH983043:LCI983043 LMD983043:LME983043 LVZ983043:LWA983043 MFV983043:MFW983043 MPR983043:MPS983043 MZN983043:MZO983043 NJJ983043:NJK983043 NTF983043:NTG983043 ODB983043:ODC983043 OMX983043:OMY983043 OWT983043:OWU983043 PGP983043:PGQ983043 PQL983043:PQM983043 QAH983043:QAI983043 QKD983043:QKE983043 QTZ983043:QUA983043 RDV983043:RDW983043 RNR983043:RNS983043 RXN983043:RXO983043 SHJ983043:SHK983043 SRF983043:SRG983043 TBB983043:TBC983043 TKX983043:TKY983043 TUT983043:TUU983043 UEP983043:UEQ983043 UOL983043:UOM983043 UYH983043:UYI983043 VID983043:VIE983043 VRZ983043:VSA983043 WBV983043:WBW983043 WLR983043:WLS983043" xr:uid="{00000000-0002-0000-2600-000000000000}">
      <formula1>"原子力,石炭火力,LNG火力,石油火力,一般水力,太陽光（メガソーラー）,太陽光（住宅）,風力（陸上）,風力（洋上）,小水力,地熱,バイオマス（石炭混焼）,バイオマス（木質専焼）,ガスコジェネ,石油コジェネ,燃料電池,酸素吹IGCC,CO2分離回収型酸素吹IGCC,空気吹IGCC"</formula1>
    </dataValidation>
    <dataValidation type="list" allowBlank="1" showDropDown="1" showInputMessage="1" showErrorMessage="1" sqref="F43 JB43 SX43 ACT43 AMP43 AWL43 BGH43 BQD43 BZZ43 CJV43 CTR43 DDN43 DNJ43 DXF43 EHB43 EQX43 FAT43 FKP43 FUL43 GEH43 GOD43 GXZ43 HHV43 HRR43 IBN43 ILJ43 IVF43 JFB43 JOX43 JYT43 KIP43 KSL43 LCH43 LMD43 LVZ43 MFV43 MPR43 MZN43 NJJ43 NTF43 ODB43 OMX43 OWT43 PGP43 PQL43 QAH43 QKD43 QTZ43 RDV43 RNR43 RXN43 SHJ43 SRF43 TBB43 TKX43 TUT43 UEP43 UOL43 UYH43 VID43 VRZ43 WBV43 WLR43 WVN43 F65579 JB65579 SX65579 ACT65579 AMP65579 AWL65579 BGH65579 BQD65579 BZZ65579 CJV65579 CTR65579 DDN65579 DNJ65579 DXF65579 EHB65579 EQX65579 FAT65579 FKP65579 FUL65579 GEH65579 GOD65579 GXZ65579 HHV65579 HRR65579 IBN65579 ILJ65579 IVF65579 JFB65579 JOX65579 JYT65579 KIP65579 KSL65579 LCH65579 LMD65579 LVZ65579 MFV65579 MPR65579 MZN65579 NJJ65579 NTF65579 ODB65579 OMX65579 OWT65579 PGP65579 PQL65579 QAH65579 QKD65579 QTZ65579 RDV65579 RNR65579 RXN65579 SHJ65579 SRF65579 TBB65579 TKX65579 TUT65579 UEP65579 UOL65579 UYH65579 VID65579 VRZ65579 WBV65579 WLR65579 WVN65579 F131115 JB131115 SX131115 ACT131115 AMP131115 AWL131115 BGH131115 BQD131115 BZZ131115 CJV131115 CTR131115 DDN131115 DNJ131115 DXF131115 EHB131115 EQX131115 FAT131115 FKP131115 FUL131115 GEH131115 GOD131115 GXZ131115 HHV131115 HRR131115 IBN131115 ILJ131115 IVF131115 JFB131115 JOX131115 JYT131115 KIP131115 KSL131115 LCH131115 LMD131115 LVZ131115 MFV131115 MPR131115 MZN131115 NJJ131115 NTF131115 ODB131115 OMX131115 OWT131115 PGP131115 PQL131115 QAH131115 QKD131115 QTZ131115 RDV131115 RNR131115 RXN131115 SHJ131115 SRF131115 TBB131115 TKX131115 TUT131115 UEP131115 UOL131115 UYH131115 VID131115 VRZ131115 WBV131115 WLR131115 WVN131115 F196651 JB196651 SX196651 ACT196651 AMP196651 AWL196651 BGH196651 BQD196651 BZZ196651 CJV196651 CTR196651 DDN196651 DNJ196651 DXF196651 EHB196651 EQX196651 FAT196651 FKP196651 FUL196651 GEH196651 GOD196651 GXZ196651 HHV196651 HRR196651 IBN196651 ILJ196651 IVF196651 JFB196651 JOX196651 JYT196651 KIP196651 KSL196651 LCH196651 LMD196651 LVZ196651 MFV196651 MPR196651 MZN196651 NJJ196651 NTF196651 ODB196651 OMX196651 OWT196651 PGP196651 PQL196651 QAH196651 QKD196651 QTZ196651 RDV196651 RNR196651 RXN196651 SHJ196651 SRF196651 TBB196651 TKX196651 TUT196651 UEP196651 UOL196651 UYH196651 VID196651 VRZ196651 WBV196651 WLR196651 WVN196651 F262187 JB262187 SX262187 ACT262187 AMP262187 AWL262187 BGH262187 BQD262187 BZZ262187 CJV262187 CTR262187 DDN262187 DNJ262187 DXF262187 EHB262187 EQX262187 FAT262187 FKP262187 FUL262187 GEH262187 GOD262187 GXZ262187 HHV262187 HRR262187 IBN262187 ILJ262187 IVF262187 JFB262187 JOX262187 JYT262187 KIP262187 KSL262187 LCH262187 LMD262187 LVZ262187 MFV262187 MPR262187 MZN262187 NJJ262187 NTF262187 ODB262187 OMX262187 OWT262187 PGP262187 PQL262187 QAH262187 QKD262187 QTZ262187 RDV262187 RNR262187 RXN262187 SHJ262187 SRF262187 TBB262187 TKX262187 TUT262187 UEP262187 UOL262187 UYH262187 VID262187 VRZ262187 WBV262187 WLR262187 WVN262187 F327723 JB327723 SX327723 ACT327723 AMP327723 AWL327723 BGH327723 BQD327723 BZZ327723 CJV327723 CTR327723 DDN327723 DNJ327723 DXF327723 EHB327723 EQX327723 FAT327723 FKP327723 FUL327723 GEH327723 GOD327723 GXZ327723 HHV327723 HRR327723 IBN327723 ILJ327723 IVF327723 JFB327723 JOX327723 JYT327723 KIP327723 KSL327723 LCH327723 LMD327723 LVZ327723 MFV327723 MPR327723 MZN327723 NJJ327723 NTF327723 ODB327723 OMX327723 OWT327723 PGP327723 PQL327723 QAH327723 QKD327723 QTZ327723 RDV327723 RNR327723 RXN327723 SHJ327723 SRF327723 TBB327723 TKX327723 TUT327723 UEP327723 UOL327723 UYH327723 VID327723 VRZ327723 WBV327723 WLR327723 WVN327723 F393259 JB393259 SX393259 ACT393259 AMP393259 AWL393259 BGH393259 BQD393259 BZZ393259 CJV393259 CTR393259 DDN393259 DNJ393259 DXF393259 EHB393259 EQX393259 FAT393259 FKP393259 FUL393259 GEH393259 GOD393259 GXZ393259 HHV393259 HRR393259 IBN393259 ILJ393259 IVF393259 JFB393259 JOX393259 JYT393259 KIP393259 KSL393259 LCH393259 LMD393259 LVZ393259 MFV393259 MPR393259 MZN393259 NJJ393259 NTF393259 ODB393259 OMX393259 OWT393259 PGP393259 PQL393259 QAH393259 QKD393259 QTZ393259 RDV393259 RNR393259 RXN393259 SHJ393259 SRF393259 TBB393259 TKX393259 TUT393259 UEP393259 UOL393259 UYH393259 VID393259 VRZ393259 WBV393259 WLR393259 WVN393259 F458795 JB458795 SX458795 ACT458795 AMP458795 AWL458795 BGH458795 BQD458795 BZZ458795 CJV458795 CTR458795 DDN458795 DNJ458795 DXF458795 EHB458795 EQX458795 FAT458795 FKP458795 FUL458795 GEH458795 GOD458795 GXZ458795 HHV458795 HRR458795 IBN458795 ILJ458795 IVF458795 JFB458795 JOX458795 JYT458795 KIP458795 KSL458795 LCH458795 LMD458795 LVZ458795 MFV458795 MPR458795 MZN458795 NJJ458795 NTF458795 ODB458795 OMX458795 OWT458795 PGP458795 PQL458795 QAH458795 QKD458795 QTZ458795 RDV458795 RNR458795 RXN458795 SHJ458795 SRF458795 TBB458795 TKX458795 TUT458795 UEP458795 UOL458795 UYH458795 VID458795 VRZ458795 WBV458795 WLR458795 WVN458795 F524331 JB524331 SX524331 ACT524331 AMP524331 AWL524331 BGH524331 BQD524331 BZZ524331 CJV524331 CTR524331 DDN524331 DNJ524331 DXF524331 EHB524331 EQX524331 FAT524331 FKP524331 FUL524331 GEH524331 GOD524331 GXZ524331 HHV524331 HRR524331 IBN524331 ILJ524331 IVF524331 JFB524331 JOX524331 JYT524331 KIP524331 KSL524331 LCH524331 LMD524331 LVZ524331 MFV524331 MPR524331 MZN524331 NJJ524331 NTF524331 ODB524331 OMX524331 OWT524331 PGP524331 PQL524331 QAH524331 QKD524331 QTZ524331 RDV524331 RNR524331 RXN524331 SHJ524331 SRF524331 TBB524331 TKX524331 TUT524331 UEP524331 UOL524331 UYH524331 VID524331 VRZ524331 WBV524331 WLR524331 WVN524331 F589867 JB589867 SX589867 ACT589867 AMP589867 AWL589867 BGH589867 BQD589867 BZZ589867 CJV589867 CTR589867 DDN589867 DNJ589867 DXF589867 EHB589867 EQX589867 FAT589867 FKP589867 FUL589867 GEH589867 GOD589867 GXZ589867 HHV589867 HRR589867 IBN589867 ILJ589867 IVF589867 JFB589867 JOX589867 JYT589867 KIP589867 KSL589867 LCH589867 LMD589867 LVZ589867 MFV589867 MPR589867 MZN589867 NJJ589867 NTF589867 ODB589867 OMX589867 OWT589867 PGP589867 PQL589867 QAH589867 QKD589867 QTZ589867 RDV589867 RNR589867 RXN589867 SHJ589867 SRF589867 TBB589867 TKX589867 TUT589867 UEP589867 UOL589867 UYH589867 VID589867 VRZ589867 WBV589867 WLR589867 WVN589867 F655403 JB655403 SX655403 ACT655403 AMP655403 AWL655403 BGH655403 BQD655403 BZZ655403 CJV655403 CTR655403 DDN655403 DNJ655403 DXF655403 EHB655403 EQX655403 FAT655403 FKP655403 FUL655403 GEH655403 GOD655403 GXZ655403 HHV655403 HRR655403 IBN655403 ILJ655403 IVF655403 JFB655403 JOX655403 JYT655403 KIP655403 KSL655403 LCH655403 LMD655403 LVZ655403 MFV655403 MPR655403 MZN655403 NJJ655403 NTF655403 ODB655403 OMX655403 OWT655403 PGP655403 PQL655403 QAH655403 QKD655403 QTZ655403 RDV655403 RNR655403 RXN655403 SHJ655403 SRF655403 TBB655403 TKX655403 TUT655403 UEP655403 UOL655403 UYH655403 VID655403 VRZ655403 WBV655403 WLR655403 WVN655403 F720939 JB720939 SX720939 ACT720939 AMP720939 AWL720939 BGH720939 BQD720939 BZZ720939 CJV720939 CTR720939 DDN720939 DNJ720939 DXF720939 EHB720939 EQX720939 FAT720939 FKP720939 FUL720939 GEH720939 GOD720939 GXZ720939 HHV720939 HRR720939 IBN720939 ILJ720939 IVF720939 JFB720939 JOX720939 JYT720939 KIP720939 KSL720939 LCH720939 LMD720939 LVZ720939 MFV720939 MPR720939 MZN720939 NJJ720939 NTF720939 ODB720939 OMX720939 OWT720939 PGP720939 PQL720939 QAH720939 QKD720939 QTZ720939 RDV720939 RNR720939 RXN720939 SHJ720939 SRF720939 TBB720939 TKX720939 TUT720939 UEP720939 UOL720939 UYH720939 VID720939 VRZ720939 WBV720939 WLR720939 WVN720939 F786475 JB786475 SX786475 ACT786475 AMP786475 AWL786475 BGH786475 BQD786475 BZZ786475 CJV786475 CTR786475 DDN786475 DNJ786475 DXF786475 EHB786475 EQX786475 FAT786475 FKP786475 FUL786475 GEH786475 GOD786475 GXZ786475 HHV786475 HRR786475 IBN786475 ILJ786475 IVF786475 JFB786475 JOX786475 JYT786475 KIP786475 KSL786475 LCH786475 LMD786475 LVZ786475 MFV786475 MPR786475 MZN786475 NJJ786475 NTF786475 ODB786475 OMX786475 OWT786475 PGP786475 PQL786475 QAH786475 QKD786475 QTZ786475 RDV786475 RNR786475 RXN786475 SHJ786475 SRF786475 TBB786475 TKX786475 TUT786475 UEP786475 UOL786475 UYH786475 VID786475 VRZ786475 WBV786475 WLR786475 WVN786475 F852011 JB852011 SX852011 ACT852011 AMP852011 AWL852011 BGH852011 BQD852011 BZZ852011 CJV852011 CTR852011 DDN852011 DNJ852011 DXF852011 EHB852011 EQX852011 FAT852011 FKP852011 FUL852011 GEH852011 GOD852011 GXZ852011 HHV852011 HRR852011 IBN852011 ILJ852011 IVF852011 JFB852011 JOX852011 JYT852011 KIP852011 KSL852011 LCH852011 LMD852011 LVZ852011 MFV852011 MPR852011 MZN852011 NJJ852011 NTF852011 ODB852011 OMX852011 OWT852011 PGP852011 PQL852011 QAH852011 QKD852011 QTZ852011 RDV852011 RNR852011 RXN852011 SHJ852011 SRF852011 TBB852011 TKX852011 TUT852011 UEP852011 UOL852011 UYH852011 VID852011 VRZ852011 WBV852011 WLR852011 WVN852011 F917547 JB917547 SX917547 ACT917547 AMP917547 AWL917547 BGH917547 BQD917547 BZZ917547 CJV917547 CTR917547 DDN917547 DNJ917547 DXF917547 EHB917547 EQX917547 FAT917547 FKP917547 FUL917547 GEH917547 GOD917547 GXZ917547 HHV917547 HRR917547 IBN917547 ILJ917547 IVF917547 JFB917547 JOX917547 JYT917547 KIP917547 KSL917547 LCH917547 LMD917547 LVZ917547 MFV917547 MPR917547 MZN917547 NJJ917547 NTF917547 ODB917547 OMX917547 OWT917547 PGP917547 PQL917547 QAH917547 QKD917547 QTZ917547 RDV917547 RNR917547 RXN917547 SHJ917547 SRF917547 TBB917547 TKX917547 TUT917547 UEP917547 UOL917547 UYH917547 VID917547 VRZ917547 WBV917547 WLR917547 WVN917547 F983083 JB983083 SX983083 ACT983083 AMP983083 AWL983083 BGH983083 BQD983083 BZZ983083 CJV983083 CTR983083 DDN983083 DNJ983083 DXF983083 EHB983083 EQX983083 FAT983083 FKP983083 FUL983083 GEH983083 GOD983083 GXZ983083 HHV983083 HRR983083 IBN983083 ILJ983083 IVF983083 JFB983083 JOX983083 JYT983083 KIP983083 KSL983083 LCH983083 LMD983083 LVZ983083 MFV983083 MPR983083 MZN983083 NJJ983083 NTF983083 ODB983083 OMX983083 OWT983083 PGP983083 PQL983083 QAH983083 QKD983083 QTZ983083 RDV983083 RNR983083 RXN983083 SHJ983083 SRF983083 TBB983083 TKX983083 TUT983083 UEP983083 UOL983083 UYH983083 VID983083 VRZ983083 WBV983083 WLR983083 WVN983083" xr:uid="{00000000-0002-0000-2600-000001000000}">
      <formula1>"CIF価格, 需要地価格"</formula1>
    </dataValidation>
    <dataValidation type="whole" allowBlank="1" showInputMessage="1" showErrorMessage="1" sqref="F7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F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F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F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F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F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F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F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F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F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F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F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F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F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F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F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xr:uid="{00000000-0002-0000-2600-000002000000}">
      <formula1>2010</formula1>
      <formula2>2030</formula2>
    </dataValidation>
    <dataValidation type="list" allowBlank="1" showDropDown="1" showInputMessage="1" showErrorMessage="1" sqref="WLR983081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WVN98308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ODB983081 OMX983081 OWT983081 PGP983081 PQL983081 QAH983081 QKD983081 QTZ983081 RDV983081 RNR983081 RXN983081 SHJ983081 SRF983081 TBB983081 TKX983081 TUT983081 UEP983081 UOL983081 UYH983081 VID983081 VRZ983081 WBV983081" xr:uid="{00000000-0002-0000-2600-000003000000}">
      <formula1>"現行政策シナリオ, 新政策シナリオ"</formula1>
    </dataValidation>
    <dataValidation type="list" allowBlank="1" showDropDown="1" showInputMessage="1" showErrorMessage="1" sqref="F41 F48" xr:uid="{00000000-0002-0000-2600-000004000000}">
      <formula1>"STEPS,SDS"</formula1>
    </dataValidation>
    <dataValidation type="list" allowBlank="1" showDropDown="1" showInputMessage="1" showErrorMessage="1" sqref="F3:G3" xr:uid="{00000000-0002-0000-2600-000005000000}">
      <formula1>"原子力,石炭火力,LNG火力,石油火力,一般水力,太陽光（メガソーラー）,太陽光（住宅）,風力（陸上）,風力（洋上）,小水力,地熱,バイオマス（石炭混焼）,バイオマス（木質専焼）,ガスコジェネ,石油コジェネ,燃料電池,酸素吹IGCC,CO2分離回収型酸素吹IGCC,ＩＧＣＣ"</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R153"/>
  <sheetViews>
    <sheetView showGridLines="0" zoomScale="85" zoomScaleNormal="85" workbookViewId="0">
      <pane xSplit="10" ySplit="14" topLeftCell="BF68" activePane="bottomRight" state="frozen"/>
      <selection pane="topRight" activeCell="AF12" sqref="AF12:AF13"/>
      <selection pane="bottomLeft" activeCell="AF12" sqref="AF12:AF13"/>
      <selection pane="bottomRight" activeCell="F80" sqref="F80"/>
    </sheetView>
  </sheetViews>
  <sheetFormatPr defaultColWidth="9" defaultRowHeight="14.25" outlineLevelCol="1" x14ac:dyDescent="0.15"/>
  <cols>
    <col min="1" max="3" width="6.25" style="9" customWidth="1"/>
    <col min="4" max="4" width="6.25" style="81" customWidth="1"/>
    <col min="5" max="5" width="24.375" style="81" customWidth="1"/>
    <col min="6" max="6" width="18.75" style="9" customWidth="1"/>
    <col min="7" max="7" width="24.375" style="81" bestFit="1" customWidth="1"/>
    <col min="8" max="8" width="9" style="9"/>
    <col min="9" max="9" width="6.25" style="2" customWidth="1"/>
    <col min="10" max="10" width="3" style="2" customWidth="1"/>
    <col min="11" max="11" width="6.25" style="2" customWidth="1"/>
    <col min="12" max="12" width="3" style="2" customWidth="1"/>
    <col min="13" max="13" width="6.25" style="2" customWidth="1"/>
    <col min="14" max="14" width="3" style="2" customWidth="1"/>
    <col min="15" max="15" width="17.375" style="2" bestFit="1" customWidth="1"/>
    <col min="16" max="16" width="8.625" style="2" customWidth="1"/>
    <col min="17" max="17" width="3" style="2" customWidth="1"/>
    <col min="18" max="18" width="17.375" style="2" bestFit="1" customWidth="1"/>
    <col min="19" max="19" width="3" style="2" customWidth="1"/>
    <col min="20" max="20" width="17.375" style="2" bestFit="1" customWidth="1"/>
    <col min="21" max="21" width="3" style="2" customWidth="1"/>
    <col min="22" max="22" width="15" style="2" customWidth="1" outlineLevel="1"/>
    <col min="23" max="23" width="17.375" style="2" bestFit="1" customWidth="1"/>
    <col min="24" max="24" width="3" style="2" customWidth="1"/>
    <col min="25" max="25" width="15" style="2" customWidth="1" outlineLevel="1"/>
    <col min="26" max="26" width="15" style="2" customWidth="1"/>
    <col min="27" max="27" width="3" style="2" customWidth="1"/>
    <col min="28" max="28" width="15" style="2" customWidth="1" outlineLevel="1"/>
    <col min="29" max="29" width="15" style="2" customWidth="1"/>
    <col min="30" max="30" width="3" style="2" customWidth="1"/>
    <col min="31" max="31" width="15" style="2" customWidth="1" outlineLevel="1"/>
    <col min="32" max="32" width="15" style="2" customWidth="1"/>
    <col min="33" max="33" width="3" style="2" customWidth="1"/>
    <col min="34" max="34" width="14.875" style="2" customWidth="1" outlineLevel="1"/>
    <col min="35" max="35" width="15" style="2" customWidth="1"/>
    <col min="36" max="36" width="3" style="2" customWidth="1"/>
    <col min="37" max="37" width="15" style="2" customWidth="1" outlineLevel="1"/>
    <col min="38" max="38" width="15" style="2" customWidth="1"/>
    <col min="39" max="39" width="3" style="2" customWidth="1"/>
    <col min="40" max="40" width="15" style="2" customWidth="1" outlineLevel="1"/>
    <col min="41" max="41" width="15" style="2" customWidth="1"/>
    <col min="42" max="42" width="3" style="2" customWidth="1"/>
    <col min="43" max="43" width="15" style="2" customWidth="1" outlineLevel="1"/>
    <col min="44" max="44" width="15" style="2" customWidth="1"/>
    <col min="45" max="45" width="3" style="2" customWidth="1"/>
    <col min="46" max="46" width="10.75" style="2" bestFit="1" customWidth="1"/>
    <col min="47" max="47" width="3" style="2" customWidth="1"/>
    <col min="48" max="48" width="15" style="2" customWidth="1" outlineLevel="1"/>
    <col min="49" max="49" width="17.375" style="2" bestFit="1" customWidth="1"/>
    <col min="50" max="50" width="3" style="2" customWidth="1"/>
    <col min="51" max="51" width="9.625" style="2" bestFit="1" customWidth="1"/>
    <col min="52" max="52" width="3" style="2" customWidth="1"/>
    <col min="53" max="53" width="15" style="2" customWidth="1" outlineLevel="1"/>
    <col min="54" max="54" width="17.375" style="2" bestFit="1" customWidth="1"/>
    <col min="55" max="55" width="3" style="2" customWidth="1"/>
    <col min="56" max="56" width="19.25" style="2" customWidth="1" outlineLevel="1"/>
    <col min="57" max="57" width="19.25" style="2" bestFit="1" customWidth="1"/>
    <col min="58" max="58" width="3" style="2" customWidth="1"/>
    <col min="59" max="59" width="19.25" style="2" customWidth="1" outlineLevel="1"/>
    <col min="60" max="60" width="19.25" style="2"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2" customWidth="1" outlineLevel="1"/>
    <col min="70" max="70" width="17.375" style="2" bestFit="1" customWidth="1"/>
    <col min="71" max="16384" width="9" style="2"/>
  </cols>
  <sheetData>
    <row r="1" spans="1:70" ht="18.75" x14ac:dyDescent="0.15">
      <c r="A1" s="465" t="s">
        <v>60</v>
      </c>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Q1" s="71"/>
      <c r="BR1" s="71"/>
    </row>
    <row r="3" spans="1:70" ht="23.25" x14ac:dyDescent="0.15">
      <c r="B3" s="462" t="s">
        <v>517</v>
      </c>
      <c r="F3" s="724" t="s">
        <v>528</v>
      </c>
      <c r="G3" s="725"/>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Q3" s="71"/>
      <c r="BR3" s="71"/>
    </row>
    <row r="4" spans="1:70" x14ac:dyDescent="0.15">
      <c r="G4" s="112"/>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Q4" s="71"/>
      <c r="BR4" s="71"/>
    </row>
    <row r="5" spans="1:70" ht="15.75" thickBot="1" x14ac:dyDescent="0.2">
      <c r="B5" s="460" t="s">
        <v>518</v>
      </c>
      <c r="C5" s="86"/>
      <c r="D5" s="104"/>
      <c r="E5" s="104"/>
      <c r="F5" s="86"/>
      <c r="G5" s="104"/>
      <c r="I5" s="5" t="s">
        <v>64</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9" t="s">
        <v>65</v>
      </c>
      <c r="F7" s="87">
        <v>2020</v>
      </c>
      <c r="I7" s="8"/>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9" t="s">
        <v>519</v>
      </c>
      <c r="F8" s="88">
        <f>まとめ!B3</f>
        <v>107</v>
      </c>
      <c r="G8" s="81" t="s">
        <v>171</v>
      </c>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9" t="s">
        <v>520</v>
      </c>
      <c r="F9" s="88">
        <f>まとめ!B2</f>
        <v>3</v>
      </c>
      <c r="G9" s="81" t="s">
        <v>172</v>
      </c>
      <c r="I9" s="720" t="s">
        <v>78</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07" t="s">
        <v>118</v>
      </c>
      <c r="AI9" s="707"/>
      <c r="AJ9" s="8"/>
      <c r="AK9" s="707" t="s">
        <v>89</v>
      </c>
      <c r="AL9" s="707"/>
      <c r="AM9" s="8"/>
      <c r="AN9" s="707" t="s">
        <v>90</v>
      </c>
      <c r="AO9" s="707"/>
      <c r="AP9" s="8"/>
      <c r="AQ9" s="707" t="s">
        <v>91</v>
      </c>
      <c r="AR9" s="707"/>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I10" s="708"/>
      <c r="J10" s="71"/>
      <c r="K10" s="708"/>
      <c r="L10" s="71"/>
      <c r="M10" s="708"/>
      <c r="N10" s="71"/>
      <c r="O10" s="717"/>
      <c r="P10" s="717"/>
      <c r="Q10" s="71"/>
      <c r="R10" s="708"/>
      <c r="S10" s="71"/>
      <c r="T10" s="708"/>
      <c r="U10" s="71"/>
      <c r="V10" s="717"/>
      <c r="W10" s="717"/>
      <c r="X10" s="71"/>
      <c r="Y10" s="717"/>
      <c r="Z10" s="717"/>
      <c r="AA10" s="71"/>
      <c r="AB10" s="723"/>
      <c r="AC10" s="723"/>
      <c r="AD10" s="81"/>
      <c r="AE10" s="723"/>
      <c r="AF10" s="723"/>
      <c r="AG10" s="71"/>
      <c r="AH10" s="717"/>
      <c r="AI10" s="717"/>
      <c r="AJ10" s="71"/>
      <c r="AK10" s="717"/>
      <c r="AL10" s="717"/>
      <c r="AM10" s="71"/>
      <c r="AN10" s="717"/>
      <c r="AO10" s="717"/>
      <c r="AP10" s="71"/>
      <c r="AQ10" s="717"/>
      <c r="AR10" s="717"/>
      <c r="AS10" s="71"/>
      <c r="AT10" s="717"/>
      <c r="AU10" s="71"/>
      <c r="AV10" s="717"/>
      <c r="AW10" s="717"/>
      <c r="AX10" s="322"/>
      <c r="AY10" s="708"/>
      <c r="AZ10" s="71"/>
      <c r="BA10" s="708"/>
      <c r="BB10" s="708"/>
      <c r="BC10" s="71"/>
      <c r="BD10" s="717"/>
      <c r="BE10" s="717"/>
      <c r="BF10" s="71"/>
      <c r="BG10" s="717"/>
      <c r="BH10" s="717"/>
      <c r="BJ10" s="708"/>
      <c r="BK10" s="708"/>
      <c r="BL10" s="708"/>
      <c r="BM10" s="322"/>
      <c r="BN10" s="717"/>
      <c r="BO10" s="717"/>
      <c r="BQ10" s="322"/>
      <c r="BR10" s="322"/>
    </row>
    <row r="11" spans="1:70" ht="15.75" customHeight="1" thickBot="1" x14ac:dyDescent="0.2">
      <c r="B11" s="460" t="s">
        <v>95</v>
      </c>
      <c r="C11" s="86"/>
      <c r="D11" s="104"/>
      <c r="E11" s="104"/>
      <c r="F11" s="86"/>
      <c r="G11" s="104"/>
      <c r="I11" s="71"/>
      <c r="J11" s="71"/>
      <c r="K11" s="71"/>
      <c r="L11" s="71"/>
      <c r="M11" s="71"/>
      <c r="N11" s="71"/>
      <c r="O11" s="322" t="s">
        <v>96</v>
      </c>
      <c r="P11" s="322"/>
      <c r="Q11" s="322"/>
      <c r="R11" s="322" t="s">
        <v>96</v>
      </c>
      <c r="S11" s="322"/>
      <c r="T11" s="322"/>
      <c r="U11" s="71"/>
      <c r="V11" s="322"/>
      <c r="W11" s="322"/>
      <c r="X11" s="71"/>
      <c r="Y11" s="322"/>
      <c r="Z11" s="322"/>
      <c r="AA11" s="71"/>
      <c r="AB11" s="322"/>
      <c r="AC11" s="322"/>
      <c r="AD11" s="71"/>
      <c r="AE11" s="322"/>
      <c r="AF11" s="322"/>
      <c r="AG11" s="71"/>
      <c r="AH11" s="322"/>
      <c r="AI11" s="322"/>
      <c r="AJ11" s="71"/>
      <c r="AK11" s="322"/>
      <c r="AL11" s="322"/>
      <c r="AM11" s="71"/>
      <c r="AN11" s="322"/>
      <c r="AO11" s="322"/>
      <c r="AP11" s="71"/>
      <c r="AQ11" s="322"/>
      <c r="AR11" s="322"/>
      <c r="AS11" s="71"/>
      <c r="AT11" s="322"/>
      <c r="AU11" s="71"/>
      <c r="AV11" s="322"/>
      <c r="AW11" s="322"/>
      <c r="AX11" s="322"/>
      <c r="AY11" s="71"/>
      <c r="AZ11" s="71"/>
      <c r="BA11" s="71"/>
      <c r="BB11" s="322"/>
      <c r="BC11" s="71"/>
      <c r="BD11" s="322"/>
      <c r="BE11" s="322"/>
      <c r="BF11" s="71"/>
      <c r="BG11" s="322"/>
      <c r="BH11" s="322"/>
      <c r="BJ11" s="156"/>
      <c r="BM11" s="322"/>
      <c r="BN11" s="322"/>
      <c r="BO11" s="322"/>
      <c r="BQ11" s="322"/>
      <c r="BR11" s="322"/>
    </row>
    <row r="12" spans="1:70" ht="14.25" customHeight="1" x14ac:dyDescent="0.15">
      <c r="I12" s="71"/>
      <c r="J12" s="71"/>
      <c r="K12" s="71"/>
      <c r="L12" s="71"/>
      <c r="M12" s="71"/>
      <c r="N12" s="71"/>
      <c r="O12" s="322"/>
      <c r="P12" s="707" t="s">
        <v>97</v>
      </c>
      <c r="Q12" s="71"/>
      <c r="R12" s="71"/>
      <c r="S12" s="71"/>
      <c r="T12" s="71"/>
      <c r="U12" s="71"/>
      <c r="V12" s="71"/>
      <c r="W12" s="707" t="s">
        <v>98</v>
      </c>
      <c r="X12" s="71"/>
      <c r="Y12" s="71"/>
      <c r="Z12" s="707" t="s">
        <v>98</v>
      </c>
      <c r="AA12" s="71"/>
      <c r="AB12" s="71"/>
      <c r="AC12" s="707" t="s">
        <v>98</v>
      </c>
      <c r="AD12" s="71"/>
      <c r="AE12" s="71"/>
      <c r="AF12" s="707" t="s">
        <v>98</v>
      </c>
      <c r="AG12" s="71"/>
      <c r="AH12" s="71"/>
      <c r="AI12" s="707" t="s">
        <v>98</v>
      </c>
      <c r="AJ12" s="71"/>
      <c r="AK12" s="71"/>
      <c r="AL12" s="707" t="s">
        <v>98</v>
      </c>
      <c r="AM12" s="71"/>
      <c r="AN12" s="71"/>
      <c r="AO12" s="707" t="s">
        <v>98</v>
      </c>
      <c r="AP12" s="71"/>
      <c r="AQ12" s="71"/>
      <c r="AR12" s="707" t="s">
        <v>98</v>
      </c>
      <c r="AS12" s="71"/>
      <c r="AT12" s="71"/>
      <c r="AU12" s="71"/>
      <c r="AV12" s="71"/>
      <c r="AW12" s="707" t="s">
        <v>98</v>
      </c>
      <c r="AX12" s="71"/>
      <c r="AY12" s="71"/>
      <c r="AZ12" s="71"/>
      <c r="BA12" s="71"/>
      <c r="BB12" s="707" t="s">
        <v>98</v>
      </c>
      <c r="BC12" s="71"/>
      <c r="BD12" s="71"/>
      <c r="BE12" s="707" t="s">
        <v>98</v>
      </c>
      <c r="BF12" s="71"/>
      <c r="BG12" s="71"/>
      <c r="BH12" s="707" t="s">
        <v>98</v>
      </c>
      <c r="BJ12" s="709" t="s">
        <v>99</v>
      </c>
      <c r="BK12" s="709" t="s">
        <v>100</v>
      </c>
      <c r="BL12" s="709" t="s">
        <v>101</v>
      </c>
      <c r="BO12" s="709" t="s">
        <v>102</v>
      </c>
      <c r="BQ12" s="71"/>
      <c r="BR12" s="707" t="s">
        <v>103</v>
      </c>
    </row>
    <row r="13" spans="1:70" ht="14.25" customHeight="1" x14ac:dyDescent="0.15">
      <c r="C13" s="9" t="s">
        <v>504</v>
      </c>
      <c r="F13" s="66">
        <v>70</v>
      </c>
      <c r="G13" s="81" t="s">
        <v>173</v>
      </c>
      <c r="I13" s="71"/>
      <c r="J13" s="71"/>
      <c r="K13" s="71"/>
      <c r="L13" s="71"/>
      <c r="M13" s="71"/>
      <c r="N13" s="71"/>
      <c r="O13" s="322"/>
      <c r="P13" s="708"/>
      <c r="Q13" s="322"/>
      <c r="R13" s="322"/>
      <c r="S13" s="322"/>
      <c r="T13" s="322"/>
      <c r="U13" s="71"/>
      <c r="V13" s="322"/>
      <c r="W13" s="708"/>
      <c r="X13" s="71"/>
      <c r="Y13" s="322"/>
      <c r="Z13" s="708"/>
      <c r="AA13" s="71"/>
      <c r="AB13" s="322"/>
      <c r="AC13" s="708"/>
      <c r="AD13" s="71"/>
      <c r="AE13" s="322"/>
      <c r="AF13" s="708"/>
      <c r="AG13" s="71"/>
      <c r="AH13" s="322"/>
      <c r="AI13" s="708"/>
      <c r="AJ13" s="71"/>
      <c r="AK13" s="322"/>
      <c r="AL13" s="708"/>
      <c r="AM13" s="71"/>
      <c r="AN13" s="322"/>
      <c r="AO13" s="708"/>
      <c r="AP13" s="71"/>
      <c r="AQ13" s="322"/>
      <c r="AR13" s="708"/>
      <c r="AS13" s="71"/>
      <c r="AT13" s="322"/>
      <c r="AU13" s="71"/>
      <c r="AV13" s="322"/>
      <c r="AW13" s="708"/>
      <c r="AX13" s="71"/>
      <c r="AY13" s="71"/>
      <c r="AZ13" s="71"/>
      <c r="BA13" s="71"/>
      <c r="BB13" s="708"/>
      <c r="BC13" s="71"/>
      <c r="BD13" s="322"/>
      <c r="BE13" s="708"/>
      <c r="BF13" s="71"/>
      <c r="BG13" s="322"/>
      <c r="BH13" s="708"/>
      <c r="BJ13" s="712"/>
      <c r="BK13" s="710"/>
      <c r="BL13" s="708"/>
      <c r="BM13" s="322"/>
      <c r="BO13" s="708"/>
      <c r="BQ13" s="322"/>
      <c r="BR13" s="708"/>
    </row>
    <row r="14" spans="1:70" ht="16.5" x14ac:dyDescent="0.15">
      <c r="C14" s="9" t="s">
        <v>505</v>
      </c>
      <c r="F14" s="88">
        <f>VLOOKUP(F3&amp;IF(G4&lt;&gt;"","_"&amp;G4,""),まとめ!$A$12:$G$34,IF(F7=2030,4,IF(F7=2020,3,IF(F7=2014,2,"-"))),0)</f>
        <v>70</v>
      </c>
      <c r="G14" s="81" t="s">
        <v>172</v>
      </c>
      <c r="I14" s="71"/>
      <c r="J14" s="71"/>
      <c r="K14" s="71"/>
      <c r="L14" s="71"/>
      <c r="M14" s="71"/>
      <c r="N14" s="71"/>
      <c r="O14" s="322"/>
      <c r="P14" s="322"/>
      <c r="Q14" s="322"/>
      <c r="R14" s="322"/>
      <c r="S14" s="322"/>
      <c r="T14" s="322"/>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50" t="s">
        <v>104</v>
      </c>
      <c r="AU14" s="71"/>
      <c r="AV14" s="71"/>
      <c r="AW14" s="71"/>
      <c r="AX14" s="71"/>
      <c r="AY14" s="71" t="s">
        <v>105</v>
      </c>
      <c r="AZ14" s="71"/>
      <c r="BA14" s="71"/>
      <c r="BB14" s="71"/>
      <c r="BC14" s="71"/>
      <c r="BD14" s="71"/>
      <c r="BE14" s="71"/>
      <c r="BF14" s="71"/>
      <c r="BG14" s="71"/>
      <c r="BH14" s="71"/>
      <c r="BQ14" s="71"/>
      <c r="BR14" s="71"/>
    </row>
    <row r="15" spans="1:70" x14ac:dyDescent="0.15">
      <c r="C15" s="9" t="s">
        <v>506</v>
      </c>
      <c r="F15" s="88">
        <f>VLOOKUP(F3&amp;IF(G4&lt;&gt;"","_"&amp;G4,""),まとめ!$A$12:$G$34,IF(F7=2030,7,IF(F7=2020,6,IF(F7=2014,5,"-"))),0)</f>
        <v>40</v>
      </c>
      <c r="G15" s="81" t="s">
        <v>108</v>
      </c>
      <c r="I15" s="38">
        <f>F7</f>
        <v>2020</v>
      </c>
      <c r="J15" s="39"/>
      <c r="K15" s="39">
        <f>IF(I15&lt;&gt;"",1,"")</f>
        <v>1</v>
      </c>
      <c r="L15" s="39"/>
      <c r="M15" s="40">
        <f t="shared" ref="M15:M46" si="0">1/(1+($F$9/100))^K15</f>
        <v>0.970873786407767</v>
      </c>
      <c r="N15" s="39"/>
      <c r="O15" s="72">
        <f>F117</f>
        <v>170800000000</v>
      </c>
      <c r="P15" s="41">
        <f t="shared" ref="P15:P46" si="1">IF(K15&lt;=$F$15,IF(OR(P14=$F$124,P14="-"),"-",IF(O15*$F$123&gt;$F$127,$F$123,$F$124)),"")</f>
        <v>0.16700000000000001</v>
      </c>
      <c r="Q15" s="39"/>
      <c r="R15" s="72">
        <f>F117</f>
        <v>170800000000</v>
      </c>
      <c r="S15" s="39"/>
      <c r="T15" s="72">
        <f>IF(ISNUMBER(R15),ROUNDDOWN(R15,-3),"")</f>
        <v>170800000000</v>
      </c>
      <c r="U15" s="39"/>
      <c r="V15" s="72">
        <f t="shared" ref="V15:V46" si="2">IF(K15&lt;=$F$15,IF(K15&lt;$F$119,IF(P15="-",V14,O15*P15),IF(K15=$F$119,MIN(IF(P15="-",V14,O15*P15),O15),0)),"")</f>
        <v>28523600000</v>
      </c>
      <c r="W15" s="72">
        <f>IF(ISNUMBER(V15),V15*$M15,"")</f>
        <v>27692815533.980583</v>
      </c>
      <c r="X15" s="39"/>
      <c r="Y15" s="72">
        <f t="shared" ref="Y15:Y46" si="3">IF($K15&lt;=$F$15,ROUNDDOWN(T15*$F$25/100,-2),"")</f>
        <v>2391200000</v>
      </c>
      <c r="Z15" s="72">
        <f>IF(ISNUMBER(Y15),Y15*$M15,"")</f>
        <v>2321553398.0582523</v>
      </c>
      <c r="AA15" s="39"/>
      <c r="AB15" s="72">
        <f t="shared" ref="AB15:AB78" si="4">IF($K15&lt;=$F$15,0,IF(AND($K15&gt;$F$15,$K15&lt;=$F$15+$F$28),$F$27*10^8/$F$28,""))</f>
        <v>0</v>
      </c>
      <c r="AC15" s="72">
        <f>IF(ISNUMBER(AB15),AB15*$M15,"")</f>
        <v>0</v>
      </c>
      <c r="AD15" s="39"/>
      <c r="AE15" s="72">
        <f t="shared" ref="AE15:AE46" si="5">IF($K15&lt;=$F$15,$F$26,"")</f>
        <v>0</v>
      </c>
      <c r="AF15" s="72">
        <f>IF(ISNUMBER(AE15),AE15*$M15,"")</f>
        <v>0</v>
      </c>
      <c r="AG15" s="39"/>
      <c r="AH15" s="72">
        <f t="shared" ref="AH15:AH46" si="6">IF($K15&lt;=$F$15,$F$33*10^8,"")</f>
        <v>440000000.00000006</v>
      </c>
      <c r="AI15" s="72">
        <f>IF(ISNUMBER(AH15),AH15*$M15,"")</f>
        <v>427184466.01941752</v>
      </c>
      <c r="AJ15" s="39"/>
      <c r="AK15" s="72">
        <f t="shared" ref="AK15:AK46" si="7">IF($K15&lt;=$F$15,$F$117*$F$34/100,"")</f>
        <v>4099200000</v>
      </c>
      <c r="AL15" s="72">
        <f>IF(ISNUMBER(AK15),AK15*$M15,"")</f>
        <v>3979805825.2427187</v>
      </c>
      <c r="AM15" s="39"/>
      <c r="AN15" s="72">
        <f t="shared" ref="AN15:AN46" si="8">IF($K15&lt;=$F$15,$F$117*$F$35/100,"")</f>
        <v>3757600000</v>
      </c>
      <c r="AO15" s="72">
        <f>IF(ISNUMBER(AN15),AN15*$M15,"")</f>
        <v>3648155339.8058252</v>
      </c>
      <c r="AP15" s="39"/>
      <c r="AQ15" s="72">
        <f t="shared" ref="AQ15:AQ46" si="9">IF($K15&lt;=$F$15,SUM(AH15,AK15,AN15)*($F$36/100),"")</f>
        <v>1012209600</v>
      </c>
      <c r="AR15" s="72">
        <f>IF(ISNUMBER(AQ15),AQ15*$M15,"")</f>
        <v>982727766.99029124</v>
      </c>
      <c r="AS15" s="39"/>
      <c r="AT15" s="40">
        <f>IF($K15&lt;=$F$15,IF($F$40&lt;&gt;"",$F$40/1000,IF(ISERROR(VLOOKUP($F$3&amp;IF($G$4&lt;&gt;"",$G$4,"")&amp;IF($F$43&lt;&gt;"","_"&amp;$F$43,""),'表3）燃料価格'!$AF$9:$AG$25,2,0)),0,VLOOKUP($I15,'表3）燃料価格'!$A$6:$U$66,VLOOKUP($F$3&amp;IF($G$4&lt;&gt;"",$G$4,"")&amp;IF($F$43&lt;&gt;"","_"&amp;$F$43,""),'表3）燃料価格'!$AF$9:$AG$25,2,0)+VLOOKUP($F$41,'表3）燃料価格'!$AF$28:$AG$29,2,0),0)*IF($F$43="需要地価格",1,$F$8/$F$141))),"")</f>
        <v>11.493226666666665</v>
      </c>
      <c r="AU15" s="39"/>
      <c r="AV15" s="72">
        <f t="shared" ref="AV15:AV46" si="10">IF($K15&lt;=$F$15,($AT15+$F$142)*$F$137,"")</f>
        <v>18378990737.465618</v>
      </c>
      <c r="AW15" s="72">
        <f>IF(ISNUMBER(AV15),AV15*$M15,"")</f>
        <v>17843680327.636524</v>
      </c>
      <c r="AX15" s="39"/>
      <c r="AY15" s="40">
        <f>IF(ISERROR(IF($K15&lt;=$F$15,VLOOKUP($I15,'表4）CO2価格'!$A$7:$E$67,VLOOKUP($F$48,'表4）CO2価格'!$H$10:$I$12,2,0),0)*$F$8/1000,"")),0,IF($K15&lt;=$F$15,VLOOKUP($I15,'表4）CO2価格'!$A$7:$E$67,VLOOKUP($F$48,'表4）CO2価格'!$H$10:$I$12,2,0),0)*$F$8/1000,""))</f>
        <v>1.8297000000000001</v>
      </c>
      <c r="AZ15" s="39"/>
      <c r="BA15" s="42">
        <f t="shared" ref="BA15:BA46" si="11">IF($K15&lt;=$F$15,$F$145*AY15,"")</f>
        <v>5788849560.201931</v>
      </c>
      <c r="BB15" s="72">
        <f>IF(ISNUMBER(BA15),BA15*$M15,"")</f>
        <v>5620242291.4581852</v>
      </c>
      <c r="BC15" s="39"/>
      <c r="BD15" s="72">
        <f t="shared" ref="BD15:BD46" si="12">IF($K15&lt;=$F$15,($AT15+$F$152)*$F$151,"")</f>
        <v>0</v>
      </c>
      <c r="BE15" s="72">
        <f>IF(ISNUMBER(BD15),BD15*$M15,"")</f>
        <v>0</v>
      </c>
      <c r="BF15" s="39"/>
      <c r="BG15" s="42">
        <f t="shared" ref="BG15:BG46" si="13">IF($K15&lt;=$F$15,$F$153*AY15,"")</f>
        <v>0</v>
      </c>
      <c r="BH15" s="72">
        <f>IF(ISNUMBER(BG15),BG15*$M15,"")</f>
        <v>0</v>
      </c>
      <c r="BI15" s="39"/>
      <c r="BJ15" s="40" t="str">
        <f>IF(ISNUMBER($F$16),IF($K15&lt;=$F$16+$F$28,1/(1+($F$17/100))^K15,""),"")</f>
        <v/>
      </c>
      <c r="BK15" s="157" t="str">
        <f>IF(ISNUMBER($F$16),IF($K15&lt;=$F$16+$F$28,IF($K15&lt;=$F$16,SUM(Y15,AB15,AE15,AH15,AK15,AN15,AQ15,AV15,BA15,BD15,BG15),$F$27/$F$28*10^8)*BJ15,""),"")</f>
        <v/>
      </c>
      <c r="BL15" s="157" t="str">
        <f t="shared" ref="BL15:BL78" si="14">IF(AND(ISNUMBER(BJ15),$K15&lt;=$F$16),BQ15*BJ15,"")</f>
        <v/>
      </c>
      <c r="BM15" s="72"/>
      <c r="BN15" s="72" t="str">
        <f>IF(AND(ISNUMBER($F$16),$K15&lt;=$F$16),BQ15*($O$15+$BK$116)/$BL$116,"")</f>
        <v/>
      </c>
      <c r="BO15" s="72" t="str">
        <f>IF(ISNUMBER(BN15),BN15*$M15,"")</f>
        <v/>
      </c>
      <c r="BP15" s="39"/>
      <c r="BQ15" s="72">
        <f t="shared" ref="BQ15:BQ46" si="15">IF($K15&lt;=$F$15,$F$134,"")</f>
        <v>4056318000</v>
      </c>
      <c r="BR15" s="72">
        <f>IF(ISNUMBER(BQ15),BQ15*$M15,"")</f>
        <v>3938172815.5339808</v>
      </c>
    </row>
    <row r="16" spans="1:70" x14ac:dyDescent="0.15">
      <c r="C16" s="236" t="s">
        <v>107</v>
      </c>
      <c r="F16" s="88" t="str">
        <f>IF(ISERROR(VLOOKUP(F3&amp;IF(G4&lt;&gt;"","_"&amp;G4,""),'表7）買取期間・IRR'!$A$3:$A$10,1,0)),"",VLOOKUP(F3&amp;IF(G4&lt;&gt;"","_"&amp;G4,""),'表7）買取期間・IRR'!$A$3:$C$10,IF(F7=2030,4,IF(F7=2020,3,IF(F7=2014,2,"-"))),0))</f>
        <v/>
      </c>
      <c r="G16" s="81" t="s">
        <v>108</v>
      </c>
      <c r="I16" s="322">
        <f>I15+1</f>
        <v>2021</v>
      </c>
      <c r="J16" s="71"/>
      <c r="K16" s="71">
        <f>IF(I16&lt;&gt;"",K15+1,"")</f>
        <v>2</v>
      </c>
      <c r="L16" s="71"/>
      <c r="M16" s="7">
        <f t="shared" si="0"/>
        <v>0.94259590913375435</v>
      </c>
      <c r="N16" s="71"/>
      <c r="O16" s="10">
        <f t="shared" ref="O16:O47" si="16">IF(K16&lt;=$F$15,O15-V15,"")</f>
        <v>142276400000</v>
      </c>
      <c r="P16" s="29">
        <f t="shared" si="1"/>
        <v>0.16700000000000001</v>
      </c>
      <c r="Q16" s="71"/>
      <c r="R16" s="10">
        <f t="shared" ref="R16:R47" si="17">IF($K16&lt;=$F$15,MAX($F$117*5%,R15*$F$129),"")</f>
        <v>146494459479.32471</v>
      </c>
      <c r="S16" s="71"/>
      <c r="T16" s="10">
        <f t="shared" ref="T16:T79" si="18">IF(ISNUMBER(R16),ROUNDDOWN(R16,-3),"")</f>
        <v>146494459000</v>
      </c>
      <c r="U16" s="71"/>
      <c r="V16" s="10">
        <f t="shared" si="2"/>
        <v>23760158800</v>
      </c>
      <c r="W16" s="10">
        <f t="shared" ref="W16:W79" si="19">IF(ISNUMBER(V16),V16*$M16,"")</f>
        <v>22396228485.248375</v>
      </c>
      <c r="X16" s="71"/>
      <c r="Y16" s="10">
        <f t="shared" si="3"/>
        <v>2050922400</v>
      </c>
      <c r="Z16" s="10">
        <f t="shared" ref="Z16:Z79" si="20">IF(ISNUMBER(Y16),Y16*$M16,"")</f>
        <v>1933191064.1907814</v>
      </c>
      <c r="AA16" s="71"/>
      <c r="AB16" s="10">
        <f t="shared" si="4"/>
        <v>0</v>
      </c>
      <c r="AC16" s="10">
        <f t="shared" ref="AC16:AC79" si="21">IF(ISNUMBER(AB16),AB16*$M16,"")</f>
        <v>0</v>
      </c>
      <c r="AD16" s="71"/>
      <c r="AE16" s="10">
        <f t="shared" si="5"/>
        <v>0</v>
      </c>
      <c r="AF16" s="10">
        <f t="shared" ref="AF16:AF79" si="22">IF(ISNUMBER(AE16),AE16*$M16,"")</f>
        <v>0</v>
      </c>
      <c r="AG16" s="71"/>
      <c r="AH16" s="10">
        <f t="shared" si="6"/>
        <v>440000000.00000006</v>
      </c>
      <c r="AI16" s="10">
        <f t="shared" ref="AI16:AI79" si="23">IF(ISNUMBER(AH16),AH16*$M16,"")</f>
        <v>414742200.018852</v>
      </c>
      <c r="AJ16" s="71"/>
      <c r="AK16" s="10">
        <f t="shared" si="7"/>
        <v>4099200000</v>
      </c>
      <c r="AL16" s="10">
        <f t="shared" ref="AL16:AL79" si="24">IF(ISNUMBER(AK16),AK16*$M16,"")</f>
        <v>3863889150.721086</v>
      </c>
      <c r="AM16" s="71"/>
      <c r="AN16" s="10">
        <f t="shared" si="8"/>
        <v>3757600000</v>
      </c>
      <c r="AO16" s="10">
        <f t="shared" ref="AO16:AO79" si="25">IF(ISNUMBER(AN16),AN16*$M16,"")</f>
        <v>3541898388.1609955</v>
      </c>
      <c r="AP16" s="71"/>
      <c r="AQ16" s="10">
        <f t="shared" si="9"/>
        <v>1012209600</v>
      </c>
      <c r="AR16" s="10">
        <f t="shared" ref="AR16:AR79" si="26">IF(ISNUMBER(AQ16),AQ16*$M16,"")</f>
        <v>954104628.14591384</v>
      </c>
      <c r="AS16" s="71"/>
      <c r="AT16" s="7">
        <f>IF($K16&lt;=$F$15,IF($F$40&lt;&gt;"",$F$40/1000,IF(ISERROR(VLOOKUP($F$3&amp;IF($G$4&lt;&gt;"",$G$4,"")&amp;IF($F$43&lt;&gt;"","_"&amp;$F$43,""),'表3）燃料価格'!$AF$9:$AG$25,2,0)),0,VLOOKUP($I16,'表3）燃料価格'!$A$6:$U$66,VLOOKUP($F$3&amp;IF($G$4&lt;&gt;"",$G$4,"")&amp;IF($F$43&lt;&gt;"","_"&amp;$F$43,""),'表3）燃料価格'!$AF$9:$AG$25,2,0)+VLOOKUP($F$41,'表3）燃料価格'!$AF$28:$AG$29,2,0),0)*IF($F$43="需要地価格",1,$F$8/$F$141))),"")</f>
        <v>11.368393333333334</v>
      </c>
      <c r="AU16" s="71"/>
      <c r="AV16" s="10">
        <f t="shared" si="10"/>
        <v>18208956487.412735</v>
      </c>
      <c r="AW16" s="10">
        <f t="shared" ref="AW16:AW79" si="27">IF(ISNUMBER(AV16),AV16*$M16,"")</f>
        <v>17163687894.629782</v>
      </c>
      <c r="AX16" s="71"/>
      <c r="AY16" s="7">
        <f>IF(ISERROR(IF($K16&lt;=$F$15,VLOOKUP($I16,'表4）CO2価格'!$A$7:$E$67,VLOOKUP($F$48,'表4）CO2価格'!$H$10:$I$12,2,0),0)*$F$8/1000,"")),0,IF($K16&lt;=$F$15,VLOOKUP($I16,'表4）CO2価格'!$A$7:$E$67,VLOOKUP($F$48,'表4）CO2価格'!$H$10:$I$12,2,0),0)*$F$8/1000,""))</f>
        <v>3.1243999999999805</v>
      </c>
      <c r="AZ16" s="71"/>
      <c r="BA16" s="11">
        <f t="shared" si="11"/>
        <v>9885053050.1693172</v>
      </c>
      <c r="BB16" s="10">
        <f t="shared" ref="BB16:BB79" si="28">IF(ISNUMBER(BA16),BA16*$M16,"")</f>
        <v>9317610566.6597385</v>
      </c>
      <c r="BC16" s="71"/>
      <c r="BD16" s="10">
        <f t="shared" si="12"/>
        <v>0</v>
      </c>
      <c r="BE16" s="10">
        <f t="shared" ref="BE16:BE79" si="29">IF(ISNUMBER(BD16),BD16*$M16,"")</f>
        <v>0</v>
      </c>
      <c r="BF16" s="71"/>
      <c r="BG16" s="11">
        <f t="shared" si="13"/>
        <v>0</v>
      </c>
      <c r="BH16" s="10">
        <f t="shared" ref="BH16:BH79" si="30">IF(ISNUMBER(BG16),BG16*$M16,"")</f>
        <v>0</v>
      </c>
      <c r="BJ16" s="7" t="str">
        <f t="shared" ref="BJ16:BJ79" si="31">IF(ISNUMBER($F$16),IF($K16&lt;=$F$16+$F$28,1/(1+($F$17/100))^K16,""),"")</f>
        <v/>
      </c>
      <c r="BK16" s="158" t="str">
        <f t="shared" ref="BK16:BK79" si="32">IF(ISNUMBER($F$16),IF($K16&lt;=$F$16+$F$28,IF($K16&lt;=$F$16,SUM(Y16,AB16,AE16,AH16,AK16,AN16,AQ16,AV16,BA16,BD16,BG16),$F$27/$F$28*10^8)*BJ16,""),"")</f>
        <v/>
      </c>
      <c r="BL16" s="158" t="str">
        <f t="shared" si="14"/>
        <v/>
      </c>
      <c r="BM16" s="10"/>
      <c r="BN16" s="10" t="str">
        <f t="shared" ref="BN16:BN79" si="33">IF(AND(ISNUMBER($F$16),$K16&lt;=$F$16),BQ16*($O$15+$BK$116)/$BL$116,"")</f>
        <v/>
      </c>
      <c r="BO16" s="10" t="str">
        <f t="shared" ref="BO16:BO79" si="34">IF(ISNUMBER(BN16),BN16*$M16,"")</f>
        <v/>
      </c>
      <c r="BQ16" s="10">
        <f t="shared" si="15"/>
        <v>4056318000</v>
      </c>
      <c r="BR16" s="10">
        <f t="shared" ref="BR16:BR79" si="35">IF(ISNUMBER(BQ16),BQ16*$M16,"")</f>
        <v>3823468752.945612</v>
      </c>
    </row>
    <row r="17" spans="3:70" x14ac:dyDescent="0.15">
      <c r="C17" s="9" t="s">
        <v>109</v>
      </c>
      <c r="F17" s="143" t="str">
        <f>IF(ISERROR(VLOOKUP(F3&amp;IF(G4&lt;&gt;"","_"&amp;G4,""),'表7）買取期間・IRR'!$A$14:$A$21,1,0)),"",VLOOKUP(F3&amp;IF(G4&lt;&gt;"","_"&amp;G4,""),'表7）買取期間・IRR'!$A$14:$C$21,IF(F7=2030,4,IF(F7=2020,3,IF(F7=2014,2,"-"))),0))</f>
        <v/>
      </c>
      <c r="G17" s="81" t="s">
        <v>172</v>
      </c>
      <c r="I17" s="38">
        <f t="shared" ref="I17:I80" si="36">I16+1</f>
        <v>2022</v>
      </c>
      <c r="J17" s="39"/>
      <c r="K17" s="39">
        <f t="shared" ref="K17:K80" si="37">IF(I17&lt;&gt;"",K16+1,"")</f>
        <v>3</v>
      </c>
      <c r="L17" s="39"/>
      <c r="M17" s="40">
        <f t="shared" si="0"/>
        <v>0.91514165935315961</v>
      </c>
      <c r="N17" s="39"/>
      <c r="O17" s="72">
        <f t="shared" si="16"/>
        <v>118516241200</v>
      </c>
      <c r="P17" s="41">
        <f t="shared" si="1"/>
        <v>0.16700000000000001</v>
      </c>
      <c r="Q17" s="39"/>
      <c r="R17" s="72">
        <f t="shared" si="17"/>
        <v>125647697061.70673</v>
      </c>
      <c r="S17" s="39"/>
      <c r="T17" s="72">
        <f t="shared" si="18"/>
        <v>125647697000</v>
      </c>
      <c r="U17" s="39"/>
      <c r="V17" s="72">
        <f t="shared" si="2"/>
        <v>19792212280.400002</v>
      </c>
      <c r="W17" s="72">
        <f t="shared" si="19"/>
        <v>18112677988.555241</v>
      </c>
      <c r="X17" s="39"/>
      <c r="Y17" s="72">
        <f t="shared" si="3"/>
        <v>1759067700</v>
      </c>
      <c r="Z17" s="72">
        <f t="shared" si="20"/>
        <v>1609796133.8925459</v>
      </c>
      <c r="AA17" s="39"/>
      <c r="AB17" s="72">
        <f t="shared" si="4"/>
        <v>0</v>
      </c>
      <c r="AC17" s="72">
        <f t="shared" si="21"/>
        <v>0</v>
      </c>
      <c r="AD17" s="39"/>
      <c r="AE17" s="72">
        <f t="shared" si="5"/>
        <v>0</v>
      </c>
      <c r="AF17" s="72">
        <f t="shared" si="22"/>
        <v>0</v>
      </c>
      <c r="AG17" s="39"/>
      <c r="AH17" s="72">
        <f t="shared" si="6"/>
        <v>440000000.00000006</v>
      </c>
      <c r="AI17" s="72">
        <f t="shared" si="23"/>
        <v>402662330.1153903</v>
      </c>
      <c r="AJ17" s="39"/>
      <c r="AK17" s="72">
        <f t="shared" si="7"/>
        <v>4099200000</v>
      </c>
      <c r="AL17" s="72">
        <f t="shared" si="24"/>
        <v>3751348690.020472</v>
      </c>
      <c r="AM17" s="39"/>
      <c r="AN17" s="72">
        <f t="shared" si="8"/>
        <v>3757600000</v>
      </c>
      <c r="AO17" s="72">
        <f t="shared" si="25"/>
        <v>3438736299.1854324</v>
      </c>
      <c r="AP17" s="39"/>
      <c r="AQ17" s="72">
        <f t="shared" si="9"/>
        <v>1012209600</v>
      </c>
      <c r="AR17" s="72">
        <f t="shared" si="26"/>
        <v>926315172.9571979</v>
      </c>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11.24356</v>
      </c>
      <c r="AU17" s="39"/>
      <c r="AV17" s="72">
        <f t="shared" si="10"/>
        <v>18038922237.359848</v>
      </c>
      <c r="AW17" s="72">
        <f t="shared" si="27"/>
        <v>16508169229.240103</v>
      </c>
      <c r="AX17" s="39"/>
      <c r="AY17" s="40">
        <f>IF(ISERROR(IF($K17&lt;=$F$15,VLOOKUP($I17,'表4）CO2価格'!$A$7:$E$67,VLOOKUP($F$48,'表4）CO2価格'!$H$10:$I$12,2,0),0)*$F$8/1000,"")),0,IF($K17&lt;=$F$15,VLOOKUP($I17,'表4）CO2価格'!$A$7:$E$67,VLOOKUP($F$48,'表4）CO2価格'!$H$10:$I$12,2,0),0)*$F$8/1000,""))</f>
        <v>3.2528000000000099</v>
      </c>
      <c r="AZ17" s="39"/>
      <c r="BA17" s="42">
        <f t="shared" si="11"/>
        <v>10291288107.025684</v>
      </c>
      <c r="BB17" s="72">
        <f t="shared" si="28"/>
        <v>9417986475.1449223</v>
      </c>
      <c r="BC17" s="39"/>
      <c r="BD17" s="72">
        <f t="shared" si="12"/>
        <v>0</v>
      </c>
      <c r="BE17" s="72">
        <f t="shared" si="29"/>
        <v>0</v>
      </c>
      <c r="BF17" s="39"/>
      <c r="BG17" s="42">
        <f t="shared" si="13"/>
        <v>0</v>
      </c>
      <c r="BH17" s="72">
        <f t="shared" si="30"/>
        <v>0</v>
      </c>
      <c r="BI17" s="39"/>
      <c r="BJ17" s="40" t="str">
        <f t="shared" si="31"/>
        <v/>
      </c>
      <c r="BK17" s="157" t="str">
        <f t="shared" si="32"/>
        <v/>
      </c>
      <c r="BL17" s="157" t="str">
        <f t="shared" si="14"/>
        <v/>
      </c>
      <c r="BM17" s="72"/>
      <c r="BN17" s="72" t="str">
        <f t="shared" si="33"/>
        <v/>
      </c>
      <c r="BO17" s="72" t="str">
        <f t="shared" si="34"/>
        <v/>
      </c>
      <c r="BP17" s="39"/>
      <c r="BQ17" s="72">
        <f t="shared" si="15"/>
        <v>4056318000</v>
      </c>
      <c r="BR17" s="72">
        <f t="shared" si="35"/>
        <v>3712105585.3840895</v>
      </c>
    </row>
    <row r="18" spans="3:70" x14ac:dyDescent="0.15">
      <c r="I18" s="322">
        <f t="shared" si="36"/>
        <v>2023</v>
      </c>
      <c r="J18" s="71"/>
      <c r="K18" s="71">
        <f t="shared" si="37"/>
        <v>4</v>
      </c>
      <c r="L18" s="71"/>
      <c r="M18" s="7">
        <f t="shared" si="0"/>
        <v>0.888487047915689</v>
      </c>
      <c r="N18" s="71"/>
      <c r="O18" s="10">
        <f t="shared" si="16"/>
        <v>98724028919.600006</v>
      </c>
      <c r="P18" s="29">
        <f t="shared" si="1"/>
        <v>0.16700000000000001</v>
      </c>
      <c r="Q18" s="71"/>
      <c r="R18" s="10">
        <f t="shared" si="17"/>
        <v>107767514437.217</v>
      </c>
      <c r="S18" s="71"/>
      <c r="T18" s="10">
        <f t="shared" si="18"/>
        <v>107767514000</v>
      </c>
      <c r="U18" s="71"/>
      <c r="V18" s="10">
        <f t="shared" si="2"/>
        <v>16486912829.573202</v>
      </c>
      <c r="W18" s="10">
        <f t="shared" si="19"/>
        <v>14648408509.190794</v>
      </c>
      <c r="X18" s="71"/>
      <c r="Y18" s="10">
        <f t="shared" si="3"/>
        <v>1508745100</v>
      </c>
      <c r="Z18" s="10">
        <f t="shared" si="20"/>
        <v>1340500479.9562609</v>
      </c>
      <c r="AA18" s="71"/>
      <c r="AB18" s="10">
        <f t="shared" si="4"/>
        <v>0</v>
      </c>
      <c r="AC18" s="10">
        <f t="shared" si="21"/>
        <v>0</v>
      </c>
      <c r="AD18" s="71"/>
      <c r="AE18" s="10">
        <f t="shared" si="5"/>
        <v>0</v>
      </c>
      <c r="AF18" s="10">
        <f t="shared" si="22"/>
        <v>0</v>
      </c>
      <c r="AG18" s="71"/>
      <c r="AH18" s="10">
        <f t="shared" si="6"/>
        <v>440000000.00000006</v>
      </c>
      <c r="AI18" s="10">
        <f t="shared" si="23"/>
        <v>390934301.08290321</v>
      </c>
      <c r="AJ18" s="71"/>
      <c r="AK18" s="10">
        <f t="shared" si="7"/>
        <v>4099200000</v>
      </c>
      <c r="AL18" s="10">
        <f t="shared" si="24"/>
        <v>3642086106.8159924</v>
      </c>
      <c r="AM18" s="71"/>
      <c r="AN18" s="10">
        <f t="shared" si="8"/>
        <v>3757600000</v>
      </c>
      <c r="AO18" s="10">
        <f t="shared" si="25"/>
        <v>3338578931.247993</v>
      </c>
      <c r="AP18" s="71"/>
      <c r="AQ18" s="10">
        <f t="shared" si="9"/>
        <v>1012209600</v>
      </c>
      <c r="AR18" s="10">
        <f t="shared" si="26"/>
        <v>899335119.37592041</v>
      </c>
      <c r="AS18" s="71"/>
      <c r="AT18" s="7">
        <f>IF($K18&lt;=$F$15,IF($F$40&lt;&gt;"",$F$40/1000,IF(ISERROR(VLOOKUP($F$3&amp;IF($G$4&lt;&gt;"",$G$4,"")&amp;IF($F$43&lt;&gt;"","_"&amp;$F$43,""),'表3）燃料価格'!$AF$9:$AG$25,2,0)),0,VLOOKUP($I18,'表3）燃料価格'!$A$6:$U$66,VLOOKUP($F$3&amp;IF($G$4&lt;&gt;"",$G$4,"")&amp;IF($F$43&lt;&gt;"","_"&amp;$F$43,""),'表3）燃料価格'!$AF$9:$AG$25,2,0)+VLOOKUP($F$41,'表3）燃料価格'!$AF$28:$AG$29,2,0),0)*IF($F$43="需要地価格",1,$F$8/$F$141))),"")</f>
        <v>11.118726666666666</v>
      </c>
      <c r="AU18" s="71"/>
      <c r="AV18" s="10">
        <f t="shared" si="10"/>
        <v>17868887987.306957</v>
      </c>
      <c r="AW18" s="10">
        <f t="shared" si="27"/>
        <v>15876275537.378475</v>
      </c>
      <c r="AX18" s="71"/>
      <c r="AY18" s="7">
        <f>IF(ISERROR(IF($K18&lt;=$F$15,VLOOKUP($I18,'表4）CO2価格'!$A$7:$E$67,VLOOKUP($F$48,'表4）CO2価格'!$H$10:$I$12,2,0),0)*$F$8/1000,"")),0,IF($K18&lt;=$F$15,VLOOKUP($I18,'表4）CO2価格'!$A$7:$E$67,VLOOKUP($F$48,'表4）CO2価格'!$H$10:$I$12,2,0),0)*$F$8/1000,""))</f>
        <v>3.3811999999999904</v>
      </c>
      <c r="AZ18" s="71"/>
      <c r="BA18" s="11">
        <f t="shared" si="11"/>
        <v>10697523163.881899</v>
      </c>
      <c r="BB18" s="10">
        <f t="shared" si="28"/>
        <v>9504610775.8871288</v>
      </c>
      <c r="BC18" s="71"/>
      <c r="BD18" s="10">
        <f t="shared" si="12"/>
        <v>0</v>
      </c>
      <c r="BE18" s="10">
        <f t="shared" si="29"/>
        <v>0</v>
      </c>
      <c r="BF18" s="71"/>
      <c r="BG18" s="11">
        <f t="shared" si="13"/>
        <v>0</v>
      </c>
      <c r="BH18" s="10">
        <f t="shared" si="30"/>
        <v>0</v>
      </c>
      <c r="BJ18" s="7" t="str">
        <f t="shared" si="31"/>
        <v/>
      </c>
      <c r="BK18" s="158" t="str">
        <f t="shared" si="32"/>
        <v/>
      </c>
      <c r="BL18" s="158" t="str">
        <f t="shared" si="14"/>
        <v/>
      </c>
      <c r="BM18" s="10"/>
      <c r="BN18" s="10" t="str">
        <f t="shared" si="33"/>
        <v/>
      </c>
      <c r="BO18" s="10" t="str">
        <f t="shared" si="34"/>
        <v/>
      </c>
      <c r="BQ18" s="10">
        <f t="shared" si="15"/>
        <v>4056318000</v>
      </c>
      <c r="BR18" s="10">
        <f t="shared" si="35"/>
        <v>3603986005.2272716</v>
      </c>
    </row>
    <row r="19" spans="3:70" x14ac:dyDescent="0.15">
      <c r="C19" s="89" t="s">
        <v>371</v>
      </c>
      <c r="D19" s="101"/>
      <c r="E19" s="101"/>
      <c r="F19" s="89"/>
      <c r="G19" s="101"/>
      <c r="I19" s="38">
        <f t="shared" si="36"/>
        <v>2024</v>
      </c>
      <c r="J19" s="39"/>
      <c r="K19" s="39">
        <f t="shared" si="37"/>
        <v>5</v>
      </c>
      <c r="L19" s="39"/>
      <c r="M19" s="40">
        <f t="shared" si="0"/>
        <v>0.86260878438416411</v>
      </c>
      <c r="N19" s="39"/>
      <c r="O19" s="72">
        <f t="shared" si="16"/>
        <v>82237116090.02681</v>
      </c>
      <c r="P19" s="41">
        <f t="shared" si="1"/>
        <v>0.16700000000000001</v>
      </c>
      <c r="Q19" s="39"/>
      <c r="R19" s="72">
        <f t="shared" si="17"/>
        <v>92431755134.135986</v>
      </c>
      <c r="S19" s="39"/>
      <c r="T19" s="72">
        <f t="shared" si="18"/>
        <v>92431755000</v>
      </c>
      <c r="U19" s="39"/>
      <c r="V19" s="72">
        <f t="shared" si="2"/>
        <v>13733598387.034477</v>
      </c>
      <c r="W19" s="72">
        <f t="shared" si="19"/>
        <v>11846722609.860126</v>
      </c>
      <c r="X19" s="39"/>
      <c r="Y19" s="72">
        <f t="shared" si="3"/>
        <v>1294044500</v>
      </c>
      <c r="Z19" s="72">
        <f t="shared" si="20"/>
        <v>1116254153.0840135</v>
      </c>
      <c r="AA19" s="39"/>
      <c r="AB19" s="72">
        <f t="shared" si="4"/>
        <v>0</v>
      </c>
      <c r="AC19" s="72">
        <f t="shared" si="21"/>
        <v>0</v>
      </c>
      <c r="AD19" s="39"/>
      <c r="AE19" s="72">
        <f t="shared" si="5"/>
        <v>0</v>
      </c>
      <c r="AF19" s="72">
        <f t="shared" si="22"/>
        <v>0</v>
      </c>
      <c r="AG19" s="39"/>
      <c r="AH19" s="72">
        <f t="shared" si="6"/>
        <v>440000000.00000006</v>
      </c>
      <c r="AI19" s="72">
        <f t="shared" si="23"/>
        <v>379547865.12903225</v>
      </c>
      <c r="AJ19" s="39"/>
      <c r="AK19" s="72">
        <f t="shared" si="7"/>
        <v>4099200000</v>
      </c>
      <c r="AL19" s="72">
        <f t="shared" si="24"/>
        <v>3536005928.9475656</v>
      </c>
      <c r="AM19" s="39"/>
      <c r="AN19" s="72">
        <f t="shared" si="8"/>
        <v>3757600000</v>
      </c>
      <c r="AO19" s="72">
        <f t="shared" si="25"/>
        <v>3241338768.2019348</v>
      </c>
      <c r="AP19" s="39"/>
      <c r="AQ19" s="72">
        <f t="shared" si="9"/>
        <v>1012209600</v>
      </c>
      <c r="AR19" s="72">
        <f t="shared" si="26"/>
        <v>873140892.59798098</v>
      </c>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10.993893333333334</v>
      </c>
      <c r="AU19" s="39"/>
      <c r="AV19" s="72">
        <f t="shared" si="10"/>
        <v>17698853737.25407</v>
      </c>
      <c r="AW19" s="72">
        <f t="shared" si="27"/>
        <v>15267186707.285854</v>
      </c>
      <c r="AX19" s="39"/>
      <c r="AY19" s="40">
        <f>IF(ISERROR(IF($K19&lt;=$F$15,VLOOKUP($I19,'表4）CO2価格'!$A$7:$E$67,VLOOKUP($F$48,'表4）CO2価格'!$H$10:$I$12,2,0),0)*$F$8/1000,"")),0,IF($K19&lt;=$F$15,VLOOKUP($I19,'表4）CO2価格'!$A$7:$E$67,VLOOKUP($F$48,'表4）CO2価格'!$H$10:$I$12,2,0),0)*$F$8/1000,""))</f>
        <v>3.509599999999971</v>
      </c>
      <c r="AZ19" s="39"/>
      <c r="BA19" s="42">
        <f t="shared" si="11"/>
        <v>11103758220.738113</v>
      </c>
      <c r="BB19" s="72">
        <f t="shared" si="28"/>
        <v>9578199380.8865738</v>
      </c>
      <c r="BC19" s="39"/>
      <c r="BD19" s="72">
        <f t="shared" si="12"/>
        <v>0</v>
      </c>
      <c r="BE19" s="72">
        <f t="shared" si="29"/>
        <v>0</v>
      </c>
      <c r="BF19" s="39"/>
      <c r="BG19" s="42">
        <f t="shared" si="13"/>
        <v>0</v>
      </c>
      <c r="BH19" s="72">
        <f t="shared" si="30"/>
        <v>0</v>
      </c>
      <c r="BI19" s="39"/>
      <c r="BJ19" s="40" t="str">
        <f t="shared" si="31"/>
        <v/>
      </c>
      <c r="BK19" s="157" t="str">
        <f t="shared" si="32"/>
        <v/>
      </c>
      <c r="BL19" s="157" t="str">
        <f t="shared" si="14"/>
        <v/>
      </c>
      <c r="BM19" s="72"/>
      <c r="BN19" s="72" t="str">
        <f t="shared" si="33"/>
        <v/>
      </c>
      <c r="BO19" s="72" t="str">
        <f t="shared" si="34"/>
        <v/>
      </c>
      <c r="BP19" s="39"/>
      <c r="BQ19" s="72">
        <f t="shared" si="15"/>
        <v>4056318000</v>
      </c>
      <c r="BR19" s="72">
        <f t="shared" si="35"/>
        <v>3499015539.055604</v>
      </c>
    </row>
    <row r="20" spans="3:70" x14ac:dyDescent="0.15">
      <c r="I20" s="322">
        <f t="shared" si="36"/>
        <v>2025</v>
      </c>
      <c r="J20" s="71"/>
      <c r="K20" s="71">
        <f t="shared" si="37"/>
        <v>6</v>
      </c>
      <c r="L20" s="71"/>
      <c r="M20" s="7">
        <f t="shared" si="0"/>
        <v>0.83748425668365445</v>
      </c>
      <c r="N20" s="71"/>
      <c r="O20" s="10">
        <f t="shared" si="16"/>
        <v>68503517702.992332</v>
      </c>
      <c r="P20" s="29">
        <f t="shared" si="1"/>
        <v>0.16700000000000001</v>
      </c>
      <c r="Q20" s="71"/>
      <c r="R20" s="10">
        <f t="shared" si="17"/>
        <v>79278337278.106262</v>
      </c>
      <c r="S20" s="71"/>
      <c r="T20" s="10">
        <f t="shared" si="18"/>
        <v>79278337000</v>
      </c>
      <c r="U20" s="71"/>
      <c r="V20" s="10">
        <f t="shared" si="2"/>
        <v>11440087456.399719</v>
      </c>
      <c r="W20" s="10">
        <f t="shared" si="19"/>
        <v>9580893139.8189182</v>
      </c>
      <c r="X20" s="71"/>
      <c r="Y20" s="10">
        <f t="shared" si="3"/>
        <v>1109896700</v>
      </c>
      <c r="Z20" s="10">
        <f t="shared" si="20"/>
        <v>929521012.79514098</v>
      </c>
      <c r="AA20" s="71"/>
      <c r="AB20" s="10">
        <f t="shared" si="4"/>
        <v>0</v>
      </c>
      <c r="AC20" s="10">
        <f t="shared" si="21"/>
        <v>0</v>
      </c>
      <c r="AD20" s="71"/>
      <c r="AE20" s="10">
        <f t="shared" si="5"/>
        <v>0</v>
      </c>
      <c r="AF20" s="10">
        <f t="shared" si="22"/>
        <v>0</v>
      </c>
      <c r="AG20" s="71"/>
      <c r="AH20" s="10">
        <f t="shared" si="6"/>
        <v>440000000.00000006</v>
      </c>
      <c r="AI20" s="10">
        <f t="shared" si="23"/>
        <v>368493072.940808</v>
      </c>
      <c r="AJ20" s="71"/>
      <c r="AK20" s="10">
        <f t="shared" si="7"/>
        <v>4099200000</v>
      </c>
      <c r="AL20" s="10">
        <f t="shared" si="24"/>
        <v>3433015464.9976363</v>
      </c>
      <c r="AM20" s="71"/>
      <c r="AN20" s="10">
        <f t="shared" si="8"/>
        <v>3757600000</v>
      </c>
      <c r="AO20" s="10">
        <f t="shared" si="25"/>
        <v>3146930842.9144998</v>
      </c>
      <c r="AP20" s="71"/>
      <c r="AQ20" s="10">
        <f t="shared" si="9"/>
        <v>1012209600</v>
      </c>
      <c r="AR20" s="10">
        <f t="shared" si="26"/>
        <v>847709604.46405923</v>
      </c>
      <c r="AS20" s="71"/>
      <c r="AT20" s="7">
        <f>IF($K20&lt;=$F$15,IF($F$40&lt;&gt;"",$F$40/1000,IF(ISERROR(VLOOKUP($F$3&amp;IF($G$4&lt;&gt;"",$G$4,"")&amp;IF($F$43&lt;&gt;"","_"&amp;$F$43,""),'表3）燃料価格'!$AF$9:$AG$25,2,0)),0,VLOOKUP($I20,'表3）燃料価格'!$A$6:$U$66,VLOOKUP($F$3&amp;IF($G$4&lt;&gt;"",$G$4,"")&amp;IF($F$43&lt;&gt;"","_"&amp;$F$43,""),'表3）燃料価格'!$AF$9:$AG$25,2,0)+VLOOKUP($F$41,'表3）燃料価格'!$AF$28:$AG$29,2,0),0)*IF($F$43="需要地価格",1,$F$8/$F$141))),"")</f>
        <v>10.869059999999999</v>
      </c>
      <c r="AU20" s="71"/>
      <c r="AV20" s="10">
        <f t="shared" si="10"/>
        <v>17528819487.201183</v>
      </c>
      <c r="AW20" s="10">
        <f t="shared" si="27"/>
        <v>14680110358.78064</v>
      </c>
      <c r="AX20" s="71"/>
      <c r="AY20" s="7">
        <f>IF(ISERROR(IF($K20&lt;=$F$15,VLOOKUP($I20,'表4）CO2価格'!$A$7:$E$67,VLOOKUP($F$48,'表4）CO2価格'!$H$10:$I$12,2,0),0)*$F$8/1000,"")),0,IF($K20&lt;=$F$15,VLOOKUP($I20,'表4）CO2価格'!$A$7:$E$67,VLOOKUP($F$48,'表4）CO2価格'!$H$10:$I$12,2,0),0)*$F$8/1000,""))</f>
        <v>3.6379999999999999</v>
      </c>
      <c r="AZ20" s="71"/>
      <c r="BA20" s="11">
        <f t="shared" si="11"/>
        <v>11509993277.594481</v>
      </c>
      <c r="BB20" s="10">
        <f t="shared" si="28"/>
        <v>9639438164.5200729</v>
      </c>
      <c r="BC20" s="71"/>
      <c r="BD20" s="10">
        <f t="shared" si="12"/>
        <v>0</v>
      </c>
      <c r="BE20" s="10">
        <f t="shared" si="29"/>
        <v>0</v>
      </c>
      <c r="BF20" s="71"/>
      <c r="BG20" s="11">
        <f t="shared" si="13"/>
        <v>0</v>
      </c>
      <c r="BH20" s="10">
        <f t="shared" si="30"/>
        <v>0</v>
      </c>
      <c r="BJ20" s="7" t="str">
        <f t="shared" si="31"/>
        <v/>
      </c>
      <c r="BK20" s="158" t="str">
        <f t="shared" si="32"/>
        <v/>
      </c>
      <c r="BL20" s="158" t="str">
        <f t="shared" si="14"/>
        <v/>
      </c>
      <c r="BM20" s="10"/>
      <c r="BN20" s="10" t="str">
        <f t="shared" si="33"/>
        <v/>
      </c>
      <c r="BO20" s="10" t="str">
        <f t="shared" si="34"/>
        <v/>
      </c>
      <c r="BQ20" s="10">
        <f t="shared" si="15"/>
        <v>4056318000</v>
      </c>
      <c r="BR20" s="10">
        <f t="shared" si="35"/>
        <v>3397102465.1025276</v>
      </c>
    </row>
    <row r="21" spans="3:70" x14ac:dyDescent="0.15">
      <c r="D21" s="81" t="s">
        <v>110</v>
      </c>
      <c r="F21" s="67">
        <v>24.4</v>
      </c>
      <c r="G21" s="81" t="s">
        <v>174</v>
      </c>
      <c r="I21" s="38">
        <f t="shared" si="36"/>
        <v>2026</v>
      </c>
      <c r="J21" s="39"/>
      <c r="K21" s="39">
        <f t="shared" si="37"/>
        <v>7</v>
      </c>
      <c r="L21" s="39"/>
      <c r="M21" s="40">
        <f t="shared" si="0"/>
        <v>0.81309151134335378</v>
      </c>
      <c r="N21" s="39"/>
      <c r="O21" s="72">
        <f t="shared" si="16"/>
        <v>57063430246.592613</v>
      </c>
      <c r="P21" s="41">
        <f t="shared" si="1"/>
        <v>0.16700000000000001</v>
      </c>
      <c r="Q21" s="39"/>
      <c r="R21" s="72">
        <f t="shared" si="17"/>
        <v>67996704730.537331</v>
      </c>
      <c r="S21" s="39"/>
      <c r="T21" s="72">
        <f t="shared" si="18"/>
        <v>67996704000</v>
      </c>
      <c r="U21" s="39"/>
      <c r="V21" s="72">
        <f t="shared" si="2"/>
        <v>9529592851.1809673</v>
      </c>
      <c r="W21" s="72">
        <f t="shared" si="19"/>
        <v>7748431053.8535528</v>
      </c>
      <c r="X21" s="39"/>
      <c r="Y21" s="72">
        <f t="shared" si="3"/>
        <v>951953800</v>
      </c>
      <c r="Z21" s="72">
        <f t="shared" si="20"/>
        <v>774025553.97104871</v>
      </c>
      <c r="AA21" s="39"/>
      <c r="AB21" s="72">
        <f t="shared" si="4"/>
        <v>0</v>
      </c>
      <c r="AC21" s="72">
        <f t="shared" si="21"/>
        <v>0</v>
      </c>
      <c r="AD21" s="39"/>
      <c r="AE21" s="72">
        <f t="shared" si="5"/>
        <v>0</v>
      </c>
      <c r="AF21" s="72">
        <f t="shared" si="22"/>
        <v>0</v>
      </c>
      <c r="AG21" s="39"/>
      <c r="AH21" s="72">
        <f t="shared" si="6"/>
        <v>440000000.00000006</v>
      </c>
      <c r="AI21" s="72">
        <f t="shared" si="23"/>
        <v>357760264.99107569</v>
      </c>
      <c r="AJ21" s="39"/>
      <c r="AK21" s="72">
        <f t="shared" si="7"/>
        <v>4099200000</v>
      </c>
      <c r="AL21" s="72">
        <f t="shared" si="24"/>
        <v>3333024723.298676</v>
      </c>
      <c r="AM21" s="39"/>
      <c r="AN21" s="72">
        <f t="shared" si="8"/>
        <v>3757600000</v>
      </c>
      <c r="AO21" s="72">
        <f t="shared" si="25"/>
        <v>3055272663.0237861</v>
      </c>
      <c r="AP21" s="39"/>
      <c r="AQ21" s="72">
        <f t="shared" si="9"/>
        <v>1012209600</v>
      </c>
      <c r="AR21" s="72">
        <f t="shared" si="26"/>
        <v>823019033.46025157</v>
      </c>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10.869059999999999</v>
      </c>
      <c r="AU21" s="39"/>
      <c r="AV21" s="72">
        <f t="shared" si="10"/>
        <v>17528819487.201183</v>
      </c>
      <c r="AW21" s="72">
        <f t="shared" si="27"/>
        <v>14252534328.913242</v>
      </c>
      <c r="AX21" s="39"/>
      <c r="AY21" s="40">
        <f>IF(ISERROR(IF($K21&lt;=$F$15,VLOOKUP($I21,'表4）CO2価格'!$A$7:$E$67,VLOOKUP($F$48,'表4）CO2価格'!$H$10:$I$12,2,0),0)*$F$8/1000,"")),0,IF($K21&lt;=$F$15,VLOOKUP($I21,'表4）CO2価格'!$A$7:$E$67,VLOOKUP($F$48,'表4）CO2価格'!$H$10:$I$12,2,0),0)*$F$8/1000,""))</f>
        <v>3.7663999999999804</v>
      </c>
      <c r="AZ21" s="39"/>
      <c r="BA21" s="42">
        <f t="shared" si="11"/>
        <v>11916228334.450695</v>
      </c>
      <c r="BB21" s="72">
        <f t="shared" si="28"/>
        <v>9688984105.9710102</v>
      </c>
      <c r="BC21" s="39"/>
      <c r="BD21" s="72">
        <f t="shared" si="12"/>
        <v>0</v>
      </c>
      <c r="BE21" s="72">
        <f t="shared" si="29"/>
        <v>0</v>
      </c>
      <c r="BF21" s="39"/>
      <c r="BG21" s="42">
        <f t="shared" si="13"/>
        <v>0</v>
      </c>
      <c r="BH21" s="72">
        <f t="shared" si="30"/>
        <v>0</v>
      </c>
      <c r="BI21" s="39"/>
      <c r="BJ21" s="40" t="str">
        <f t="shared" si="31"/>
        <v/>
      </c>
      <c r="BK21" s="157" t="str">
        <f t="shared" si="32"/>
        <v/>
      </c>
      <c r="BL21" s="157" t="str">
        <f t="shared" si="14"/>
        <v/>
      </c>
      <c r="BM21" s="72"/>
      <c r="BN21" s="72" t="str">
        <f t="shared" si="33"/>
        <v/>
      </c>
      <c r="BO21" s="72" t="str">
        <f t="shared" si="34"/>
        <v/>
      </c>
      <c r="BP21" s="39"/>
      <c r="BQ21" s="72">
        <f t="shared" si="15"/>
        <v>4056318000</v>
      </c>
      <c r="BR21" s="72">
        <f t="shared" si="35"/>
        <v>3298157733.1092501</v>
      </c>
    </row>
    <row r="22" spans="3:70" ht="16.5" x14ac:dyDescent="0.15">
      <c r="D22" s="81" t="s">
        <v>111</v>
      </c>
      <c r="F22" s="90">
        <v>26.08</v>
      </c>
      <c r="G22" s="9" t="s">
        <v>372</v>
      </c>
      <c r="I22" s="322">
        <f t="shared" si="36"/>
        <v>2027</v>
      </c>
      <c r="J22" s="71"/>
      <c r="K22" s="71">
        <f t="shared" si="37"/>
        <v>8</v>
      </c>
      <c r="L22" s="71"/>
      <c r="M22" s="7">
        <f t="shared" si="0"/>
        <v>0.78940923431393573</v>
      </c>
      <c r="N22" s="71"/>
      <c r="O22" s="10">
        <f t="shared" si="16"/>
        <v>47533837395.411644</v>
      </c>
      <c r="P22" s="29">
        <f t="shared" si="1"/>
        <v>0.16700000000000001</v>
      </c>
      <c r="Q22" s="71"/>
      <c r="R22" s="10">
        <f t="shared" si="17"/>
        <v>58320494765.077919</v>
      </c>
      <c r="S22" s="71"/>
      <c r="T22" s="10">
        <f t="shared" si="18"/>
        <v>58320494000</v>
      </c>
      <c r="U22" s="71"/>
      <c r="V22" s="10">
        <f t="shared" si="2"/>
        <v>7938150845.0337448</v>
      </c>
      <c r="W22" s="10">
        <f t="shared" si="19"/>
        <v>6266449580.4466105</v>
      </c>
      <c r="X22" s="71"/>
      <c r="Y22" s="10">
        <f t="shared" si="3"/>
        <v>816486900</v>
      </c>
      <c r="Z22" s="10">
        <f t="shared" si="20"/>
        <v>644542298.55635905</v>
      </c>
      <c r="AA22" s="71"/>
      <c r="AB22" s="10">
        <f t="shared" si="4"/>
        <v>0</v>
      </c>
      <c r="AC22" s="10">
        <f t="shared" si="21"/>
        <v>0</v>
      </c>
      <c r="AD22" s="71"/>
      <c r="AE22" s="10">
        <f t="shared" si="5"/>
        <v>0</v>
      </c>
      <c r="AF22" s="10">
        <f t="shared" si="22"/>
        <v>0</v>
      </c>
      <c r="AG22" s="71"/>
      <c r="AH22" s="10">
        <f t="shared" si="6"/>
        <v>440000000.00000006</v>
      </c>
      <c r="AI22" s="10">
        <f t="shared" si="23"/>
        <v>347340063.09813178</v>
      </c>
      <c r="AJ22" s="71"/>
      <c r="AK22" s="10">
        <f t="shared" si="7"/>
        <v>4099200000</v>
      </c>
      <c r="AL22" s="10">
        <f t="shared" si="24"/>
        <v>3235946333.2996855</v>
      </c>
      <c r="AM22" s="71"/>
      <c r="AN22" s="10">
        <f t="shared" si="8"/>
        <v>3757600000</v>
      </c>
      <c r="AO22" s="10">
        <f t="shared" si="25"/>
        <v>2966284138.8580451</v>
      </c>
      <c r="AP22" s="71"/>
      <c r="AQ22" s="10">
        <f t="shared" si="9"/>
        <v>1012209600</v>
      </c>
      <c r="AR22" s="10">
        <f t="shared" si="26"/>
        <v>799047605.30121517</v>
      </c>
      <c r="AS22" s="71"/>
      <c r="AT22" s="7">
        <f>IF($K22&lt;=$F$15,IF($F$40&lt;&gt;"",$F$40/1000,IF(ISERROR(VLOOKUP($F$3&amp;IF($G$4&lt;&gt;"",$G$4,"")&amp;IF($F$43&lt;&gt;"","_"&amp;$F$43,""),'表3）燃料価格'!$AF$9:$AG$25,2,0)),0,VLOOKUP($I22,'表3）燃料価格'!$A$6:$U$66,VLOOKUP($F$3&amp;IF($G$4&lt;&gt;"",$G$4,"")&amp;IF($F$43&lt;&gt;"","_"&amp;$F$43,""),'表3）燃料価格'!$AF$9:$AG$25,2,0)+VLOOKUP($F$41,'表3）燃料価格'!$AF$28:$AG$29,2,0),0)*IF($F$43="需要地価格",1,$F$8/$F$141))),"")</f>
        <v>10.869059999999999</v>
      </c>
      <c r="AU22" s="71"/>
      <c r="AV22" s="10">
        <f t="shared" si="10"/>
        <v>17528819487.201183</v>
      </c>
      <c r="AW22" s="10">
        <f t="shared" si="27"/>
        <v>13837411969.818682</v>
      </c>
      <c r="AX22" s="71"/>
      <c r="AY22" s="7">
        <f>IF(ISERROR(IF($K22&lt;=$F$15,VLOOKUP($I22,'表4）CO2価格'!$A$7:$E$67,VLOOKUP($F$48,'表4）CO2価格'!$H$10:$I$12,2,0),0)*$F$8/1000,"")),0,IF($K22&lt;=$F$15,VLOOKUP($I22,'表4）CO2価格'!$A$7:$E$67,VLOOKUP($F$48,'表4）CO2価格'!$H$10:$I$12,2,0),0)*$F$8/1000,""))</f>
        <v>3.8948000000000098</v>
      </c>
      <c r="AZ22" s="71"/>
      <c r="BA22" s="11">
        <f t="shared" si="11"/>
        <v>12322463391.307064</v>
      </c>
      <c r="BB22" s="10">
        <f t="shared" si="28"/>
        <v>9727466390.593214</v>
      </c>
      <c r="BC22" s="71"/>
      <c r="BD22" s="10">
        <f t="shared" si="12"/>
        <v>0</v>
      </c>
      <c r="BE22" s="10">
        <f t="shared" si="29"/>
        <v>0</v>
      </c>
      <c r="BF22" s="71"/>
      <c r="BG22" s="11">
        <f t="shared" si="13"/>
        <v>0</v>
      </c>
      <c r="BH22" s="10">
        <f t="shared" si="30"/>
        <v>0</v>
      </c>
      <c r="BJ22" s="7" t="str">
        <f t="shared" si="31"/>
        <v/>
      </c>
      <c r="BK22" s="158" t="str">
        <f t="shared" si="32"/>
        <v/>
      </c>
      <c r="BL22" s="158" t="str">
        <f t="shared" si="14"/>
        <v/>
      </c>
      <c r="BM22" s="10"/>
      <c r="BN22" s="10" t="str">
        <f t="shared" si="33"/>
        <v/>
      </c>
      <c r="BO22" s="10" t="str">
        <f t="shared" si="34"/>
        <v/>
      </c>
      <c r="BQ22" s="10">
        <f t="shared" si="15"/>
        <v>4056318000</v>
      </c>
      <c r="BR22" s="10">
        <f t="shared" si="35"/>
        <v>3202094886.513835</v>
      </c>
    </row>
    <row r="23" spans="3:70" x14ac:dyDescent="0.15">
      <c r="D23" s="81" t="s">
        <v>112</v>
      </c>
      <c r="F23" s="67">
        <v>43.5</v>
      </c>
      <c r="G23" s="81" t="s">
        <v>172</v>
      </c>
      <c r="I23" s="38">
        <f t="shared" si="36"/>
        <v>2028</v>
      </c>
      <c r="J23" s="39"/>
      <c r="K23" s="39">
        <f t="shared" si="37"/>
        <v>9</v>
      </c>
      <c r="L23" s="39"/>
      <c r="M23" s="40">
        <f t="shared" si="0"/>
        <v>0.76641673234362695</v>
      </c>
      <c r="N23" s="39"/>
      <c r="O23" s="72">
        <f t="shared" si="16"/>
        <v>39595686550.377899</v>
      </c>
      <c r="P23" s="41">
        <f t="shared" si="1"/>
        <v>0.16700000000000001</v>
      </c>
      <c r="Q23" s="39"/>
      <c r="R23" s="72">
        <f t="shared" si="17"/>
        <v>50021249163.799042</v>
      </c>
      <c r="S23" s="39"/>
      <c r="T23" s="72">
        <f t="shared" si="18"/>
        <v>50021249000</v>
      </c>
      <c r="U23" s="39"/>
      <c r="V23" s="72">
        <f t="shared" si="2"/>
        <v>6612479653.9131098</v>
      </c>
      <c r="W23" s="72">
        <f t="shared" si="19"/>
        <v>5067915049.040803</v>
      </c>
      <c r="X23" s="39"/>
      <c r="Y23" s="72">
        <f t="shared" si="3"/>
        <v>700297400</v>
      </c>
      <c r="Z23" s="72">
        <f t="shared" si="20"/>
        <v>536719644.97673786</v>
      </c>
      <c r="AA23" s="39"/>
      <c r="AB23" s="72">
        <f t="shared" si="4"/>
        <v>0</v>
      </c>
      <c r="AC23" s="72">
        <f t="shared" si="21"/>
        <v>0</v>
      </c>
      <c r="AD23" s="39"/>
      <c r="AE23" s="72">
        <f t="shared" si="5"/>
        <v>0</v>
      </c>
      <c r="AF23" s="72">
        <f t="shared" si="22"/>
        <v>0</v>
      </c>
      <c r="AG23" s="39"/>
      <c r="AH23" s="72">
        <f t="shared" si="6"/>
        <v>440000000.00000006</v>
      </c>
      <c r="AI23" s="72">
        <f t="shared" si="23"/>
        <v>337223362.23119593</v>
      </c>
      <c r="AJ23" s="39"/>
      <c r="AK23" s="72">
        <f t="shared" si="7"/>
        <v>4099200000</v>
      </c>
      <c r="AL23" s="72">
        <f t="shared" si="24"/>
        <v>3141695469.2229958</v>
      </c>
      <c r="AM23" s="39"/>
      <c r="AN23" s="72">
        <f t="shared" si="8"/>
        <v>3757600000</v>
      </c>
      <c r="AO23" s="72">
        <f t="shared" si="25"/>
        <v>2879887513.4544125</v>
      </c>
      <c r="AP23" s="39"/>
      <c r="AQ23" s="72">
        <f t="shared" si="9"/>
        <v>1012209600</v>
      </c>
      <c r="AR23" s="72">
        <f t="shared" si="26"/>
        <v>775774374.07884967</v>
      </c>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10.869059999999999</v>
      </c>
      <c r="AU23" s="39"/>
      <c r="AV23" s="72">
        <f t="shared" si="10"/>
        <v>17528819487.201183</v>
      </c>
      <c r="AW23" s="72">
        <f t="shared" si="27"/>
        <v>13434380553.222021</v>
      </c>
      <c r="AX23" s="39"/>
      <c r="AY23" s="40">
        <f>IF(ISERROR(IF($K23&lt;=$F$15,VLOOKUP($I23,'表4）CO2価格'!$A$7:$E$67,VLOOKUP($F$48,'表4）CO2価格'!$H$10:$I$12,2,0),0)*$F$8/1000,"")),0,IF($K23&lt;=$F$15,VLOOKUP($I23,'表4）CO2価格'!$A$7:$E$67,VLOOKUP($F$48,'表4）CO2価格'!$H$10:$I$12,2,0),0)*$F$8/1000,""))</f>
        <v>4.0231999999999903</v>
      </c>
      <c r="AZ23" s="39"/>
      <c r="BA23" s="42">
        <f t="shared" si="11"/>
        <v>12728698448.163279</v>
      </c>
      <c r="BB23" s="72">
        <f t="shared" si="28"/>
        <v>9755487471.6286945</v>
      </c>
      <c r="BC23" s="39"/>
      <c r="BD23" s="72">
        <f t="shared" si="12"/>
        <v>0</v>
      </c>
      <c r="BE23" s="72">
        <f t="shared" si="29"/>
        <v>0</v>
      </c>
      <c r="BF23" s="39"/>
      <c r="BG23" s="42">
        <f t="shared" si="13"/>
        <v>0</v>
      </c>
      <c r="BH23" s="72">
        <f t="shared" si="30"/>
        <v>0</v>
      </c>
      <c r="BI23" s="39"/>
      <c r="BJ23" s="40" t="str">
        <f t="shared" si="31"/>
        <v/>
      </c>
      <c r="BK23" s="157" t="str">
        <f t="shared" si="32"/>
        <v/>
      </c>
      <c r="BL23" s="157" t="str">
        <f t="shared" si="14"/>
        <v/>
      </c>
      <c r="BM23" s="72"/>
      <c r="BN23" s="72" t="str">
        <f t="shared" si="33"/>
        <v/>
      </c>
      <c r="BO23" s="72" t="str">
        <f t="shared" si="34"/>
        <v/>
      </c>
      <c r="BP23" s="39"/>
      <c r="BQ23" s="72">
        <f t="shared" si="15"/>
        <v>4056318000</v>
      </c>
      <c r="BR23" s="72">
        <f t="shared" si="35"/>
        <v>3108829986.9066362</v>
      </c>
    </row>
    <row r="24" spans="3:70" x14ac:dyDescent="0.15">
      <c r="D24" s="81" t="s">
        <v>113</v>
      </c>
      <c r="F24" s="68">
        <v>5.5</v>
      </c>
      <c r="G24" s="81" t="s">
        <v>172</v>
      </c>
      <c r="I24" s="322">
        <f t="shared" si="36"/>
        <v>2029</v>
      </c>
      <c r="J24" s="71"/>
      <c r="K24" s="71">
        <f t="shared" si="37"/>
        <v>10</v>
      </c>
      <c r="L24" s="71"/>
      <c r="M24" s="7">
        <f t="shared" si="0"/>
        <v>0.74409391489672516</v>
      </c>
      <c r="N24" s="71"/>
      <c r="O24" s="10">
        <f t="shared" si="16"/>
        <v>32983206896.46479</v>
      </c>
      <c r="P24" s="29">
        <f t="shared" si="1"/>
        <v>0.16700000000000001</v>
      </c>
      <c r="Q24" s="71"/>
      <c r="R24" s="10">
        <f t="shared" si="17"/>
        <v>42903020250.183632</v>
      </c>
      <c r="S24" s="71"/>
      <c r="T24" s="10">
        <f t="shared" si="18"/>
        <v>42903020000</v>
      </c>
      <c r="U24" s="71"/>
      <c r="V24" s="10">
        <f t="shared" si="2"/>
        <v>5508195551.7096205</v>
      </c>
      <c r="W24" s="10">
        <f t="shared" si="19"/>
        <v>4098614792.0883384</v>
      </c>
      <c r="X24" s="71"/>
      <c r="Y24" s="10">
        <f t="shared" si="3"/>
        <v>600642200</v>
      </c>
      <c r="Z24" s="10">
        <f t="shared" si="20"/>
        <v>446934206.05018175</v>
      </c>
      <c r="AA24" s="71"/>
      <c r="AB24" s="10">
        <f t="shared" si="4"/>
        <v>0</v>
      </c>
      <c r="AC24" s="10">
        <f t="shared" si="21"/>
        <v>0</v>
      </c>
      <c r="AD24" s="71"/>
      <c r="AE24" s="10">
        <f t="shared" si="5"/>
        <v>0</v>
      </c>
      <c r="AF24" s="10">
        <f t="shared" si="22"/>
        <v>0</v>
      </c>
      <c r="AG24" s="71"/>
      <c r="AH24" s="10">
        <f t="shared" si="6"/>
        <v>440000000.00000006</v>
      </c>
      <c r="AI24" s="10">
        <f t="shared" si="23"/>
        <v>327401322.55455911</v>
      </c>
      <c r="AJ24" s="71"/>
      <c r="AK24" s="10">
        <f t="shared" si="7"/>
        <v>4099200000</v>
      </c>
      <c r="AL24" s="10">
        <f t="shared" si="24"/>
        <v>3050189775.9446559</v>
      </c>
      <c r="AM24" s="71"/>
      <c r="AN24" s="10">
        <f t="shared" si="8"/>
        <v>3757600000</v>
      </c>
      <c r="AO24" s="10">
        <f t="shared" si="25"/>
        <v>2796007294.6159344</v>
      </c>
      <c r="AP24" s="71"/>
      <c r="AQ24" s="10">
        <f t="shared" si="9"/>
        <v>1012209600</v>
      </c>
      <c r="AR24" s="10">
        <f t="shared" si="26"/>
        <v>753179003.9600482</v>
      </c>
      <c r="AS24" s="71"/>
      <c r="AT24" s="7">
        <f>IF($K24&lt;=$F$15,IF($F$40&lt;&gt;"",$F$40/1000,IF(ISERROR(VLOOKUP($F$3&amp;IF($G$4&lt;&gt;"",$G$4,"")&amp;IF($F$43&lt;&gt;"","_"&amp;$F$43,""),'表3）燃料価格'!$AF$9:$AG$25,2,0)),0,VLOOKUP($I24,'表3）燃料価格'!$A$6:$U$66,VLOOKUP($F$3&amp;IF($G$4&lt;&gt;"",$G$4,"")&amp;IF($F$43&lt;&gt;"","_"&amp;$F$43,""),'表3）燃料価格'!$AF$9:$AG$25,2,0)+VLOOKUP($F$41,'表3）燃料価格'!$AF$28:$AG$29,2,0),0)*IF($F$43="需要地価格",1,$F$8/$F$141))),"")</f>
        <v>10.869059999999999</v>
      </c>
      <c r="AU24" s="71"/>
      <c r="AV24" s="10">
        <f t="shared" si="10"/>
        <v>17528819487.201183</v>
      </c>
      <c r="AW24" s="10">
        <f t="shared" si="27"/>
        <v>13043087915.749535</v>
      </c>
      <c r="AX24" s="71"/>
      <c r="AY24" s="7">
        <f>IF(ISERROR(IF($K24&lt;=$F$15,VLOOKUP($I24,'表4）CO2価格'!$A$7:$E$67,VLOOKUP($F$48,'表4）CO2価格'!$H$10:$I$12,2,0),0)*$F$8/1000,"")),0,IF($K24&lt;=$F$15,VLOOKUP($I24,'表4）CO2価格'!$A$7:$E$67,VLOOKUP($F$48,'表4）CO2価格'!$H$10:$I$12,2,0),0)*$F$8/1000,""))</f>
        <v>4.1515999999999709</v>
      </c>
      <c r="AZ24" s="71"/>
      <c r="BA24" s="11">
        <f t="shared" si="11"/>
        <v>13134933505.019493</v>
      </c>
      <c r="BB24" s="10">
        <f t="shared" si="28"/>
        <v>9773624093.6581192</v>
      </c>
      <c r="BC24" s="71"/>
      <c r="BD24" s="10">
        <f t="shared" si="12"/>
        <v>0</v>
      </c>
      <c r="BE24" s="10">
        <f t="shared" si="29"/>
        <v>0</v>
      </c>
      <c r="BF24" s="71"/>
      <c r="BG24" s="11">
        <f t="shared" si="13"/>
        <v>0</v>
      </c>
      <c r="BH24" s="10">
        <f t="shared" si="30"/>
        <v>0</v>
      </c>
      <c r="BJ24" s="7" t="str">
        <f t="shared" si="31"/>
        <v/>
      </c>
      <c r="BK24" s="158" t="str">
        <f t="shared" si="32"/>
        <v/>
      </c>
      <c r="BL24" s="158" t="str">
        <f t="shared" si="14"/>
        <v/>
      </c>
      <c r="BM24" s="10"/>
      <c r="BN24" s="10" t="str">
        <f t="shared" si="33"/>
        <v/>
      </c>
      <c r="BO24" s="10" t="str">
        <f t="shared" si="34"/>
        <v/>
      </c>
      <c r="BQ24" s="10">
        <f t="shared" si="15"/>
        <v>4056318000</v>
      </c>
      <c r="BR24" s="10">
        <f t="shared" si="35"/>
        <v>3018281540.6860542</v>
      </c>
    </row>
    <row r="25" spans="3:70" x14ac:dyDescent="0.15">
      <c r="D25" s="81" t="s">
        <v>114</v>
      </c>
      <c r="F25" s="66">
        <v>1.4</v>
      </c>
      <c r="G25" s="81" t="s">
        <v>172</v>
      </c>
      <c r="I25" s="38">
        <f t="shared" si="36"/>
        <v>2030</v>
      </c>
      <c r="J25" s="39"/>
      <c r="K25" s="39">
        <f t="shared" si="37"/>
        <v>11</v>
      </c>
      <c r="L25" s="39"/>
      <c r="M25" s="40">
        <f t="shared" si="0"/>
        <v>0.72242127659876232</v>
      </c>
      <c r="N25" s="39"/>
      <c r="O25" s="72">
        <f t="shared" si="16"/>
        <v>27475011344.755169</v>
      </c>
      <c r="P25" s="41">
        <f t="shared" si="1"/>
        <v>0.2</v>
      </c>
      <c r="Q25" s="39"/>
      <c r="R25" s="72">
        <f t="shared" si="17"/>
        <v>36797744505.744576</v>
      </c>
      <c r="S25" s="39"/>
      <c r="T25" s="72">
        <f t="shared" si="18"/>
        <v>36797744000</v>
      </c>
      <c r="U25" s="39"/>
      <c r="V25" s="72">
        <f t="shared" si="2"/>
        <v>5495002268.9510345</v>
      </c>
      <c r="W25" s="72">
        <f t="shared" si="19"/>
        <v>3969706554.0487018</v>
      </c>
      <c r="X25" s="39"/>
      <c r="Y25" s="72">
        <f t="shared" si="3"/>
        <v>515168400</v>
      </c>
      <c r="Z25" s="72">
        <f t="shared" si="20"/>
        <v>372168613.19134182</v>
      </c>
      <c r="AA25" s="39"/>
      <c r="AB25" s="72">
        <f t="shared" si="4"/>
        <v>0</v>
      </c>
      <c r="AC25" s="72">
        <f t="shared" si="21"/>
        <v>0</v>
      </c>
      <c r="AD25" s="39"/>
      <c r="AE25" s="72">
        <f t="shared" si="5"/>
        <v>0</v>
      </c>
      <c r="AF25" s="72">
        <f t="shared" si="22"/>
        <v>0</v>
      </c>
      <c r="AG25" s="39"/>
      <c r="AH25" s="72">
        <f t="shared" si="6"/>
        <v>440000000.00000006</v>
      </c>
      <c r="AI25" s="72">
        <f t="shared" si="23"/>
        <v>317865361.70345545</v>
      </c>
      <c r="AJ25" s="39"/>
      <c r="AK25" s="72">
        <f t="shared" si="7"/>
        <v>4099200000</v>
      </c>
      <c r="AL25" s="72">
        <f t="shared" si="24"/>
        <v>2961349297.0336466</v>
      </c>
      <c r="AM25" s="39"/>
      <c r="AN25" s="72">
        <f t="shared" si="8"/>
        <v>3757600000</v>
      </c>
      <c r="AO25" s="72">
        <f t="shared" si="25"/>
        <v>2714570188.9475093</v>
      </c>
      <c r="AP25" s="39"/>
      <c r="AQ25" s="72">
        <f t="shared" si="9"/>
        <v>1012209600</v>
      </c>
      <c r="AR25" s="72">
        <f t="shared" si="26"/>
        <v>731241751.41752255</v>
      </c>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10.869059999999999</v>
      </c>
      <c r="AU25" s="39"/>
      <c r="AV25" s="72">
        <f t="shared" si="10"/>
        <v>17528819487.201183</v>
      </c>
      <c r="AW25" s="72">
        <f t="shared" si="27"/>
        <v>12663192151.21314</v>
      </c>
      <c r="AX25" s="39"/>
      <c r="AY25" s="40">
        <f>IF(ISERROR(IF($K25&lt;=$F$15,VLOOKUP($I25,'表4）CO2価格'!$A$7:$E$67,VLOOKUP($F$48,'表4）CO2価格'!$H$10:$I$12,2,0),0)*$F$8/1000,"")),0,IF($K25&lt;=$F$15,VLOOKUP($I25,'表4）CO2価格'!$A$7:$E$67,VLOOKUP($F$48,'表4）CO2価格'!$H$10:$I$12,2,0),0)*$F$8/1000,""))</f>
        <v>4.28</v>
      </c>
      <c r="AZ25" s="39"/>
      <c r="BA25" s="42">
        <f t="shared" si="11"/>
        <v>13541168561.87586</v>
      </c>
      <c r="BB25" s="72">
        <f t="shared" si="28"/>
        <v>9782428279.1093845</v>
      </c>
      <c r="BC25" s="39"/>
      <c r="BD25" s="72">
        <f t="shared" si="12"/>
        <v>0</v>
      </c>
      <c r="BE25" s="72">
        <f t="shared" si="29"/>
        <v>0</v>
      </c>
      <c r="BF25" s="39"/>
      <c r="BG25" s="42">
        <f t="shared" si="13"/>
        <v>0</v>
      </c>
      <c r="BH25" s="72">
        <f t="shared" si="30"/>
        <v>0</v>
      </c>
      <c r="BI25" s="39"/>
      <c r="BJ25" s="40" t="str">
        <f t="shared" si="31"/>
        <v/>
      </c>
      <c r="BK25" s="157" t="str">
        <f t="shared" si="32"/>
        <v/>
      </c>
      <c r="BL25" s="157" t="str">
        <f t="shared" si="14"/>
        <v/>
      </c>
      <c r="BM25" s="72"/>
      <c r="BN25" s="72" t="str">
        <f t="shared" si="33"/>
        <v/>
      </c>
      <c r="BO25" s="72" t="str">
        <f t="shared" si="34"/>
        <v/>
      </c>
      <c r="BP25" s="39"/>
      <c r="BQ25" s="72">
        <f t="shared" si="15"/>
        <v>4056318000</v>
      </c>
      <c r="BR25" s="72">
        <f t="shared" si="35"/>
        <v>2930370427.8505383</v>
      </c>
    </row>
    <row r="26" spans="3:70" x14ac:dyDescent="0.15">
      <c r="D26" s="81" t="s">
        <v>115</v>
      </c>
      <c r="F26" s="59"/>
      <c r="G26" s="81" t="s">
        <v>175</v>
      </c>
      <c r="I26" s="322">
        <f t="shared" si="36"/>
        <v>2031</v>
      </c>
      <c r="J26" s="71"/>
      <c r="K26" s="71">
        <f t="shared" si="37"/>
        <v>12</v>
      </c>
      <c r="L26" s="71"/>
      <c r="M26" s="7">
        <f t="shared" si="0"/>
        <v>0.70137988019297326</v>
      </c>
      <c r="N26" s="71"/>
      <c r="O26" s="10">
        <f t="shared" si="16"/>
        <v>21980009075.804134</v>
      </c>
      <c r="P26" s="29" t="str">
        <f t="shared" si="1"/>
        <v>-</v>
      </c>
      <c r="Q26" s="71"/>
      <c r="R26" s="10">
        <f t="shared" si="17"/>
        <v>31561274539.972733</v>
      </c>
      <c r="S26" s="71"/>
      <c r="T26" s="10">
        <f t="shared" si="18"/>
        <v>31561274000</v>
      </c>
      <c r="U26" s="71"/>
      <c r="V26" s="10">
        <f t="shared" si="2"/>
        <v>5495002268.9510345</v>
      </c>
      <c r="W26" s="10">
        <f t="shared" si="19"/>
        <v>3854084033.056993</v>
      </c>
      <c r="X26" s="71"/>
      <c r="Y26" s="10">
        <f t="shared" si="3"/>
        <v>441857800</v>
      </c>
      <c r="Z26" s="10">
        <f t="shared" si="20"/>
        <v>309910170.82633072</v>
      </c>
      <c r="AA26" s="71"/>
      <c r="AB26" s="10">
        <f t="shared" si="4"/>
        <v>0</v>
      </c>
      <c r="AC26" s="10">
        <f t="shared" si="21"/>
        <v>0</v>
      </c>
      <c r="AD26" s="71"/>
      <c r="AE26" s="10">
        <f t="shared" si="5"/>
        <v>0</v>
      </c>
      <c r="AF26" s="10">
        <f t="shared" si="22"/>
        <v>0</v>
      </c>
      <c r="AG26" s="71"/>
      <c r="AH26" s="10">
        <f t="shared" si="6"/>
        <v>440000000.00000006</v>
      </c>
      <c r="AI26" s="10">
        <f t="shared" si="23"/>
        <v>308607147.28490829</v>
      </c>
      <c r="AJ26" s="71"/>
      <c r="AK26" s="10">
        <f t="shared" si="7"/>
        <v>4099200000</v>
      </c>
      <c r="AL26" s="10">
        <f t="shared" si="24"/>
        <v>2875096404.8870358</v>
      </c>
      <c r="AM26" s="71"/>
      <c r="AN26" s="10">
        <f t="shared" si="8"/>
        <v>3757600000</v>
      </c>
      <c r="AO26" s="10">
        <f t="shared" si="25"/>
        <v>2635505037.8131166</v>
      </c>
      <c r="AP26" s="71"/>
      <c r="AQ26" s="10">
        <f t="shared" si="9"/>
        <v>1012209600</v>
      </c>
      <c r="AR26" s="10">
        <f t="shared" si="26"/>
        <v>709943447.97817743</v>
      </c>
      <c r="AS26" s="71"/>
      <c r="AT26" s="7">
        <f>IF($K26&lt;=$F$15,IF($F$40&lt;&gt;"",$F$40/1000,IF(ISERROR(VLOOKUP($F$3&amp;IF($G$4&lt;&gt;"",$G$4,"")&amp;IF($F$43&lt;&gt;"","_"&amp;$F$43,""),'表3）燃料価格'!$AF$9:$AG$25,2,0)),0,VLOOKUP($I26,'表3）燃料価格'!$A$6:$U$66,VLOOKUP($F$3&amp;IF($G$4&lt;&gt;"",$G$4,"")&amp;IF($F$43&lt;&gt;"","_"&amp;$F$43,""),'表3）燃料価格'!$AF$9:$AG$25,2,0)+VLOOKUP($F$41,'表3）燃料価格'!$AF$28:$AG$29,2,0),0)*IF($F$43="需要地価格",1,$F$8/$F$141))),"")</f>
        <v>10.869059999999999</v>
      </c>
      <c r="AU26" s="71"/>
      <c r="AV26" s="10">
        <f t="shared" si="10"/>
        <v>17528819487.201183</v>
      </c>
      <c r="AW26" s="10">
        <f t="shared" si="27"/>
        <v>12294361311.857422</v>
      </c>
      <c r="AX26" s="71"/>
      <c r="AY26" s="7">
        <f>IF(ISERROR(IF($K26&lt;=$F$15,VLOOKUP($I26,'表4）CO2価格'!$A$7:$E$67,VLOOKUP($F$48,'表4）CO2価格'!$H$10:$I$12,2,0),0)*$F$8/1000,"")),0,IF($K26&lt;=$F$15,VLOOKUP($I26,'表4）CO2価格'!$A$7:$E$67,VLOOKUP($F$48,'表4）CO2価格'!$H$10:$I$12,2,0),0)*$F$8/1000,""))</f>
        <v>4.4083999999999808</v>
      </c>
      <c r="AZ26" s="71"/>
      <c r="BA26" s="11">
        <f t="shared" si="11"/>
        <v>13947403618.732075</v>
      </c>
      <c r="BB26" s="10">
        <f t="shared" si="28"/>
        <v>9782428279.1093445</v>
      </c>
      <c r="BC26" s="71"/>
      <c r="BD26" s="10">
        <f t="shared" si="12"/>
        <v>0</v>
      </c>
      <c r="BE26" s="10">
        <f t="shared" si="29"/>
        <v>0</v>
      </c>
      <c r="BF26" s="71"/>
      <c r="BG26" s="11">
        <f t="shared" si="13"/>
        <v>0</v>
      </c>
      <c r="BH26" s="10">
        <f t="shared" si="30"/>
        <v>0</v>
      </c>
      <c r="BJ26" s="7" t="str">
        <f t="shared" si="31"/>
        <v/>
      </c>
      <c r="BK26" s="158" t="str">
        <f t="shared" si="32"/>
        <v/>
      </c>
      <c r="BL26" s="158" t="str">
        <f t="shared" si="14"/>
        <v/>
      </c>
      <c r="BM26" s="10"/>
      <c r="BN26" s="10" t="str">
        <f t="shared" si="33"/>
        <v/>
      </c>
      <c r="BO26" s="10" t="str">
        <f t="shared" si="34"/>
        <v/>
      </c>
      <c r="BQ26" s="10">
        <f t="shared" si="15"/>
        <v>4056318000</v>
      </c>
      <c r="BR26" s="10">
        <f t="shared" si="35"/>
        <v>2845019832.8646011</v>
      </c>
    </row>
    <row r="27" spans="3:70" x14ac:dyDescent="0.15">
      <c r="D27" s="82" t="s">
        <v>86</v>
      </c>
      <c r="F27" s="59">
        <f>F117*5%/10^8</f>
        <v>85.4</v>
      </c>
      <c r="G27" s="81" t="s">
        <v>176</v>
      </c>
      <c r="I27" s="38">
        <f t="shared" si="36"/>
        <v>2032</v>
      </c>
      <c r="J27" s="39"/>
      <c r="K27" s="39">
        <f t="shared" si="37"/>
        <v>13</v>
      </c>
      <c r="L27" s="39"/>
      <c r="M27" s="40">
        <f t="shared" si="0"/>
        <v>0.68095133999317792</v>
      </c>
      <c r="N27" s="39"/>
      <c r="O27" s="72">
        <f t="shared" si="16"/>
        <v>16485006806.8531</v>
      </c>
      <c r="P27" s="41" t="str">
        <f t="shared" si="1"/>
        <v>-</v>
      </c>
      <c r="Q27" s="39"/>
      <c r="R27" s="72">
        <f t="shared" si="17"/>
        <v>27069975727.235821</v>
      </c>
      <c r="S27" s="39"/>
      <c r="T27" s="72">
        <f t="shared" si="18"/>
        <v>27069975000</v>
      </c>
      <c r="U27" s="39"/>
      <c r="V27" s="72">
        <f t="shared" si="2"/>
        <v>5495002268.9510345</v>
      </c>
      <c r="W27" s="72">
        <f t="shared" si="19"/>
        <v>3741829158.3077602</v>
      </c>
      <c r="X27" s="39"/>
      <c r="Y27" s="72">
        <f t="shared" si="3"/>
        <v>378979600</v>
      </c>
      <c r="Z27" s="72">
        <f t="shared" si="20"/>
        <v>258066666.45007858</v>
      </c>
      <c r="AA27" s="39"/>
      <c r="AB27" s="72">
        <f t="shared" si="4"/>
        <v>0</v>
      </c>
      <c r="AC27" s="72">
        <f t="shared" si="21"/>
        <v>0</v>
      </c>
      <c r="AD27" s="39"/>
      <c r="AE27" s="72">
        <f t="shared" si="5"/>
        <v>0</v>
      </c>
      <c r="AF27" s="72">
        <f t="shared" si="22"/>
        <v>0</v>
      </c>
      <c r="AG27" s="39"/>
      <c r="AH27" s="72">
        <f t="shared" si="6"/>
        <v>440000000.00000006</v>
      </c>
      <c r="AI27" s="72">
        <f t="shared" si="23"/>
        <v>299618589.59699833</v>
      </c>
      <c r="AJ27" s="39"/>
      <c r="AK27" s="72">
        <f t="shared" si="7"/>
        <v>4099200000</v>
      </c>
      <c r="AL27" s="72">
        <f t="shared" si="24"/>
        <v>2791355732.9000349</v>
      </c>
      <c r="AM27" s="39"/>
      <c r="AN27" s="72">
        <f t="shared" si="8"/>
        <v>3757600000</v>
      </c>
      <c r="AO27" s="72">
        <f t="shared" si="25"/>
        <v>2558742755.1583652</v>
      </c>
      <c r="AP27" s="39"/>
      <c r="AQ27" s="72">
        <f t="shared" si="9"/>
        <v>1012209600</v>
      </c>
      <c r="AR27" s="72">
        <f t="shared" si="26"/>
        <v>689265483.47395861</v>
      </c>
      <c r="AS27" s="39"/>
      <c r="AT27" s="40">
        <f>IF($K27&lt;=$F$15,IF($F$40&lt;&gt;"",$F$40/1000,IF(ISERROR(VLOOKUP($F$3&amp;IF($G$4&lt;&gt;"",$G$4,"")&amp;IF($F$43&lt;&gt;"","_"&amp;$F$43,""),'表3）燃料価格'!$AF$9:$AG$25,2,0)),0,VLOOKUP($I27,'表3）燃料価格'!$A$6:$U$66,VLOOKUP($F$3&amp;IF($G$4&lt;&gt;"",$G$4,"")&amp;IF($F$43&lt;&gt;"","_"&amp;$F$43,""),'表3）燃料価格'!$AF$9:$AG$25,2,0)+VLOOKUP($F$41,'表3）燃料価格'!$AF$28:$AG$29,2,0),0)*IF($F$43="需要地価格",1,$F$8/$F$141))),"")</f>
        <v>10.869059999999999</v>
      </c>
      <c r="AU27" s="39"/>
      <c r="AV27" s="72">
        <f t="shared" si="10"/>
        <v>17528819487.201183</v>
      </c>
      <c r="AW27" s="72">
        <f t="shared" si="27"/>
        <v>11936273118.308176</v>
      </c>
      <c r="AX27" s="39"/>
      <c r="AY27" s="40">
        <f>IF(ISERROR(IF($K27&lt;=$F$15,VLOOKUP($I27,'表4）CO2価格'!$A$7:$E$67,VLOOKUP($F$48,'表4）CO2価格'!$H$10:$I$12,2,0),0)*$F$8/1000,"")),0,IF($K27&lt;=$F$15,VLOOKUP($I27,'表4）CO2価格'!$A$7:$E$67,VLOOKUP($F$48,'表4）CO2価格'!$H$10:$I$12,2,0),0)*$F$8/1000,""))</f>
        <v>4.5368000000000102</v>
      </c>
      <c r="AZ27" s="39"/>
      <c r="BA27" s="42">
        <f t="shared" si="11"/>
        <v>14353638675.588444</v>
      </c>
      <c r="BB27" s="72">
        <f t="shared" si="28"/>
        <v>9774129489.9198551</v>
      </c>
      <c r="BC27" s="39"/>
      <c r="BD27" s="72">
        <f t="shared" si="12"/>
        <v>0</v>
      </c>
      <c r="BE27" s="72">
        <f t="shared" si="29"/>
        <v>0</v>
      </c>
      <c r="BF27" s="39"/>
      <c r="BG27" s="42">
        <f t="shared" si="13"/>
        <v>0</v>
      </c>
      <c r="BH27" s="72">
        <f t="shared" si="30"/>
        <v>0</v>
      </c>
      <c r="BI27" s="39"/>
      <c r="BJ27" s="40" t="str">
        <f t="shared" si="31"/>
        <v/>
      </c>
      <c r="BK27" s="157" t="str">
        <f t="shared" si="32"/>
        <v/>
      </c>
      <c r="BL27" s="157" t="str">
        <f t="shared" si="14"/>
        <v/>
      </c>
      <c r="BM27" s="72"/>
      <c r="BN27" s="72" t="str">
        <f t="shared" si="33"/>
        <v/>
      </c>
      <c r="BO27" s="72" t="str">
        <f t="shared" si="34"/>
        <v/>
      </c>
      <c r="BP27" s="39"/>
      <c r="BQ27" s="72">
        <f t="shared" si="15"/>
        <v>4056318000</v>
      </c>
      <c r="BR27" s="72">
        <f t="shared" si="35"/>
        <v>2762155177.5384474</v>
      </c>
    </row>
    <row r="28" spans="3:70" x14ac:dyDescent="0.15">
      <c r="D28" s="81" t="s">
        <v>116</v>
      </c>
      <c r="F28" s="59">
        <v>1</v>
      </c>
      <c r="G28" s="81" t="s">
        <v>108</v>
      </c>
      <c r="I28" s="322">
        <f t="shared" si="36"/>
        <v>2033</v>
      </c>
      <c r="J28" s="71"/>
      <c r="K28" s="71">
        <f t="shared" si="37"/>
        <v>14</v>
      </c>
      <c r="L28" s="71"/>
      <c r="M28" s="7">
        <f t="shared" si="0"/>
        <v>0.66111780581861923</v>
      </c>
      <c r="N28" s="71"/>
      <c r="O28" s="10">
        <f t="shared" si="16"/>
        <v>10990004537.902065</v>
      </c>
      <c r="P28" s="29" t="str">
        <f t="shared" si="1"/>
        <v>-</v>
      </c>
      <c r="Q28" s="71"/>
      <c r="R28" s="10">
        <f t="shared" si="17"/>
        <v>23217807156.205219</v>
      </c>
      <c r="S28" s="71"/>
      <c r="T28" s="10">
        <f t="shared" si="18"/>
        <v>23217807000</v>
      </c>
      <c r="U28" s="71"/>
      <c r="V28" s="10">
        <f t="shared" si="2"/>
        <v>5495002268.9510345</v>
      </c>
      <c r="W28" s="10">
        <f t="shared" si="19"/>
        <v>3632843843.017242</v>
      </c>
      <c r="X28" s="71"/>
      <c r="Y28" s="10">
        <f t="shared" si="3"/>
        <v>325049200</v>
      </c>
      <c r="Z28" s="10">
        <f t="shared" si="20"/>
        <v>214895813.88709754</v>
      </c>
      <c r="AA28" s="71"/>
      <c r="AB28" s="10">
        <f t="shared" si="4"/>
        <v>0</v>
      </c>
      <c r="AC28" s="10">
        <f t="shared" si="21"/>
        <v>0</v>
      </c>
      <c r="AD28" s="71"/>
      <c r="AE28" s="10">
        <f t="shared" si="5"/>
        <v>0</v>
      </c>
      <c r="AF28" s="10">
        <f t="shared" si="22"/>
        <v>0</v>
      </c>
      <c r="AG28" s="71"/>
      <c r="AH28" s="10">
        <f t="shared" si="6"/>
        <v>440000000.00000006</v>
      </c>
      <c r="AI28" s="10">
        <f t="shared" si="23"/>
        <v>290891834.56019253</v>
      </c>
      <c r="AJ28" s="71"/>
      <c r="AK28" s="10">
        <f t="shared" si="7"/>
        <v>4099200000</v>
      </c>
      <c r="AL28" s="10">
        <f t="shared" si="24"/>
        <v>2710054109.6116838</v>
      </c>
      <c r="AM28" s="71"/>
      <c r="AN28" s="10">
        <f t="shared" si="8"/>
        <v>3757600000</v>
      </c>
      <c r="AO28" s="10">
        <f t="shared" si="25"/>
        <v>2484216267.1440434</v>
      </c>
      <c r="AP28" s="71"/>
      <c r="AQ28" s="10">
        <f t="shared" si="9"/>
        <v>1012209600</v>
      </c>
      <c r="AR28" s="10">
        <f t="shared" si="26"/>
        <v>669189789.78054225</v>
      </c>
      <c r="AS28" s="71"/>
      <c r="AT28" s="7">
        <f>IF($K28&lt;=$F$15,IF($F$40&lt;&gt;"",$F$40/1000,IF(ISERROR(VLOOKUP($F$3&amp;IF($G$4&lt;&gt;"",$G$4,"")&amp;IF($F$43&lt;&gt;"","_"&amp;$F$43,""),'表3）燃料価格'!$AF$9:$AG$25,2,0)),0,VLOOKUP($I28,'表3）燃料価格'!$A$6:$U$66,VLOOKUP($F$3&amp;IF($G$4&lt;&gt;"",$G$4,"")&amp;IF($F$43&lt;&gt;"","_"&amp;$F$43,""),'表3）燃料価格'!$AF$9:$AG$25,2,0)+VLOOKUP($F$41,'表3）燃料価格'!$AF$28:$AG$29,2,0),0)*IF($F$43="需要地価格",1,$F$8/$F$141))),"")</f>
        <v>10.869059999999999</v>
      </c>
      <c r="AU28" s="71"/>
      <c r="AV28" s="10">
        <f t="shared" si="10"/>
        <v>17528819487.201183</v>
      </c>
      <c r="AW28" s="10">
        <f t="shared" si="27"/>
        <v>11588614677.969101</v>
      </c>
      <c r="AX28" s="71"/>
      <c r="AY28" s="7">
        <f>IF(ISERROR(IF($K28&lt;=$F$15,VLOOKUP($I28,'表4）CO2価格'!$A$7:$E$67,VLOOKUP($F$48,'表4）CO2価格'!$H$10:$I$12,2,0),0)*$F$8/1000,"")),0,IF($K28&lt;=$F$15,VLOOKUP($I28,'表4）CO2価格'!$A$7:$E$67,VLOOKUP($F$48,'表4）CO2価格'!$H$10:$I$12,2,0),0)*$F$8/1000,""))</f>
        <v>4.6651999999999898</v>
      </c>
      <c r="AZ28" s="71"/>
      <c r="BA28" s="11">
        <f t="shared" si="11"/>
        <v>14759873732.444656</v>
      </c>
      <c r="BB28" s="10">
        <f t="shared" si="28"/>
        <v>9758015336.1536846</v>
      </c>
      <c r="BC28" s="71"/>
      <c r="BD28" s="10">
        <f t="shared" si="12"/>
        <v>0</v>
      </c>
      <c r="BE28" s="10">
        <f t="shared" si="29"/>
        <v>0</v>
      </c>
      <c r="BF28" s="71"/>
      <c r="BG28" s="11">
        <f t="shared" si="13"/>
        <v>0</v>
      </c>
      <c r="BH28" s="10">
        <f t="shared" si="30"/>
        <v>0</v>
      </c>
      <c r="BJ28" s="7" t="str">
        <f t="shared" si="31"/>
        <v/>
      </c>
      <c r="BK28" s="158" t="str">
        <f t="shared" si="32"/>
        <v/>
      </c>
      <c r="BL28" s="158" t="str">
        <f t="shared" si="14"/>
        <v/>
      </c>
      <c r="BM28" s="10"/>
      <c r="BN28" s="10" t="str">
        <f t="shared" si="33"/>
        <v/>
      </c>
      <c r="BO28" s="10" t="str">
        <f t="shared" si="34"/>
        <v/>
      </c>
      <c r="BQ28" s="10">
        <f t="shared" si="15"/>
        <v>4056318000</v>
      </c>
      <c r="BR28" s="10">
        <f t="shared" si="35"/>
        <v>2681704055.8625698</v>
      </c>
    </row>
    <row r="29" spans="3:70" x14ac:dyDescent="0.15">
      <c r="D29" s="81" t="s">
        <v>117</v>
      </c>
      <c r="F29" s="59"/>
      <c r="G29" s="81" t="s">
        <v>176</v>
      </c>
      <c r="I29" s="38">
        <f t="shared" si="36"/>
        <v>2034</v>
      </c>
      <c r="J29" s="39"/>
      <c r="K29" s="39">
        <f t="shared" si="37"/>
        <v>15</v>
      </c>
      <c r="L29" s="39"/>
      <c r="M29" s="40">
        <f t="shared" si="0"/>
        <v>0.64186194739671765</v>
      </c>
      <c r="N29" s="39"/>
      <c r="O29" s="72">
        <f t="shared" si="16"/>
        <v>5495002268.9510307</v>
      </c>
      <c r="P29" s="41" t="str">
        <f t="shared" si="1"/>
        <v>-</v>
      </c>
      <c r="Q29" s="39"/>
      <c r="R29" s="72">
        <f t="shared" si="17"/>
        <v>19913817972.151527</v>
      </c>
      <c r="S29" s="39"/>
      <c r="T29" s="72">
        <f t="shared" si="18"/>
        <v>19913817000</v>
      </c>
      <c r="U29" s="39"/>
      <c r="V29" s="72">
        <f t="shared" si="2"/>
        <v>5495002268.9510307</v>
      </c>
      <c r="W29" s="72">
        <f t="shared" si="19"/>
        <v>3527032857.2982907</v>
      </c>
      <c r="X29" s="39"/>
      <c r="Y29" s="72">
        <f t="shared" si="3"/>
        <v>278793400</v>
      </c>
      <c r="Z29" s="72">
        <f t="shared" si="20"/>
        <v>178946874.64535207</v>
      </c>
      <c r="AA29" s="39"/>
      <c r="AB29" s="72">
        <f t="shared" si="4"/>
        <v>0</v>
      </c>
      <c r="AC29" s="72">
        <f t="shared" si="21"/>
        <v>0</v>
      </c>
      <c r="AD29" s="39"/>
      <c r="AE29" s="72">
        <f t="shared" si="5"/>
        <v>0</v>
      </c>
      <c r="AF29" s="72">
        <f t="shared" si="22"/>
        <v>0</v>
      </c>
      <c r="AG29" s="39"/>
      <c r="AH29" s="72">
        <f t="shared" si="6"/>
        <v>440000000.00000006</v>
      </c>
      <c r="AI29" s="72">
        <f t="shared" si="23"/>
        <v>282419256.85455579</v>
      </c>
      <c r="AJ29" s="39"/>
      <c r="AK29" s="72">
        <f t="shared" si="7"/>
        <v>4099200000</v>
      </c>
      <c r="AL29" s="72">
        <f t="shared" si="24"/>
        <v>2631120494.7686248</v>
      </c>
      <c r="AM29" s="39"/>
      <c r="AN29" s="72">
        <f t="shared" si="8"/>
        <v>3757600000</v>
      </c>
      <c r="AO29" s="72">
        <f t="shared" si="25"/>
        <v>2411860453.5379062</v>
      </c>
      <c r="AP29" s="39"/>
      <c r="AQ29" s="72">
        <f t="shared" si="9"/>
        <v>1012209600</v>
      </c>
      <c r="AR29" s="72">
        <f t="shared" si="26"/>
        <v>649698825.0296526</v>
      </c>
      <c r="AS29" s="39"/>
      <c r="AT29" s="40">
        <f>IF($K29&lt;=$F$15,IF($F$40&lt;&gt;"",$F$40/1000,IF(ISERROR(VLOOKUP($F$3&amp;IF($G$4&lt;&gt;"",$G$4,"")&amp;IF($F$43&lt;&gt;"","_"&amp;$F$43,""),'表3）燃料価格'!$AF$9:$AG$25,2,0)),0,VLOOKUP($I29,'表3）燃料価格'!$A$6:$U$66,VLOOKUP($F$3&amp;IF($G$4&lt;&gt;"",$G$4,"")&amp;IF($F$43&lt;&gt;"","_"&amp;$F$43,""),'表3）燃料価格'!$AF$9:$AG$25,2,0)+VLOOKUP($F$41,'表3）燃料価格'!$AF$28:$AG$29,2,0),0)*IF($F$43="需要地価格",1,$F$8/$F$141))),"")</f>
        <v>10.869059999999999</v>
      </c>
      <c r="AU29" s="39"/>
      <c r="AV29" s="72">
        <f t="shared" si="10"/>
        <v>17528819487.201183</v>
      </c>
      <c r="AW29" s="72">
        <f t="shared" si="27"/>
        <v>11251082211.620485</v>
      </c>
      <c r="AX29" s="39"/>
      <c r="AY29" s="40">
        <f>IF(ISERROR(IF($K29&lt;=$F$15,VLOOKUP($I29,'表4）CO2価格'!$A$7:$E$67,VLOOKUP($F$48,'表4）CO2価格'!$H$10:$I$12,2,0),0)*$F$8/1000,"")),0,IF($K29&lt;=$F$15,VLOOKUP($I29,'表4）CO2価格'!$A$7:$E$67,VLOOKUP($F$48,'表4）CO2価格'!$H$10:$I$12,2,0),0)*$F$8/1000,""))</f>
        <v>4.7935999999999712</v>
      </c>
      <c r="AZ29" s="39"/>
      <c r="BA29" s="42">
        <f t="shared" si="11"/>
        <v>15166108789.300873</v>
      </c>
      <c r="BB29" s="72">
        <f t="shared" si="28"/>
        <v>9734548121.9311333</v>
      </c>
      <c r="BC29" s="39"/>
      <c r="BD29" s="72">
        <f t="shared" si="12"/>
        <v>0</v>
      </c>
      <c r="BE29" s="72">
        <f t="shared" si="29"/>
        <v>0</v>
      </c>
      <c r="BF29" s="39"/>
      <c r="BG29" s="42">
        <f t="shared" si="13"/>
        <v>0</v>
      </c>
      <c r="BH29" s="72">
        <f t="shared" si="30"/>
        <v>0</v>
      </c>
      <c r="BI29" s="39"/>
      <c r="BJ29" s="40" t="str">
        <f t="shared" si="31"/>
        <v/>
      </c>
      <c r="BK29" s="157" t="str">
        <f t="shared" si="32"/>
        <v/>
      </c>
      <c r="BL29" s="157" t="str">
        <f t="shared" si="14"/>
        <v/>
      </c>
      <c r="BM29" s="72"/>
      <c r="BN29" s="72" t="str">
        <f t="shared" si="33"/>
        <v/>
      </c>
      <c r="BO29" s="72" t="str">
        <f t="shared" si="34"/>
        <v/>
      </c>
      <c r="BP29" s="39"/>
      <c r="BQ29" s="72">
        <f t="shared" si="15"/>
        <v>4056318000</v>
      </c>
      <c r="BR29" s="72">
        <f t="shared" si="35"/>
        <v>2603596170.7403588</v>
      </c>
    </row>
    <row r="30" spans="3:70" x14ac:dyDescent="0.15">
      <c r="I30" s="322">
        <f t="shared" si="36"/>
        <v>2035</v>
      </c>
      <c r="J30" s="71"/>
      <c r="K30" s="71">
        <f t="shared" si="37"/>
        <v>16</v>
      </c>
      <c r="L30" s="71"/>
      <c r="M30" s="7">
        <f t="shared" si="0"/>
        <v>0.62316693922011435</v>
      </c>
      <c r="N30" s="71"/>
      <c r="O30" s="10">
        <f t="shared" si="16"/>
        <v>0</v>
      </c>
      <c r="P30" s="29" t="str">
        <f t="shared" si="1"/>
        <v>-</v>
      </c>
      <c r="Q30" s="71"/>
      <c r="R30" s="10">
        <f t="shared" si="17"/>
        <v>17080000000.000002</v>
      </c>
      <c r="S30" s="71"/>
      <c r="T30" s="10">
        <f t="shared" si="18"/>
        <v>17080000000</v>
      </c>
      <c r="U30" s="71"/>
      <c r="V30" s="10">
        <f t="shared" si="2"/>
        <v>0</v>
      </c>
      <c r="W30" s="10">
        <f t="shared" si="19"/>
        <v>0</v>
      </c>
      <c r="X30" s="71"/>
      <c r="Y30" s="10">
        <f t="shared" si="3"/>
        <v>239120000</v>
      </c>
      <c r="Z30" s="10">
        <f t="shared" si="20"/>
        <v>149011678.50631374</v>
      </c>
      <c r="AA30" s="71"/>
      <c r="AB30" s="10">
        <f t="shared" si="4"/>
        <v>0</v>
      </c>
      <c r="AC30" s="10">
        <f t="shared" si="21"/>
        <v>0</v>
      </c>
      <c r="AD30" s="71"/>
      <c r="AE30" s="10">
        <f t="shared" si="5"/>
        <v>0</v>
      </c>
      <c r="AF30" s="10">
        <f t="shared" si="22"/>
        <v>0</v>
      </c>
      <c r="AG30" s="71"/>
      <c r="AH30" s="10">
        <f t="shared" si="6"/>
        <v>440000000.00000006</v>
      </c>
      <c r="AI30" s="10">
        <f t="shared" si="23"/>
        <v>274193453.25685036</v>
      </c>
      <c r="AJ30" s="71"/>
      <c r="AK30" s="10">
        <f t="shared" si="7"/>
        <v>4099200000</v>
      </c>
      <c r="AL30" s="10">
        <f t="shared" si="24"/>
        <v>2554485917.2510929</v>
      </c>
      <c r="AM30" s="71"/>
      <c r="AN30" s="10">
        <f t="shared" si="8"/>
        <v>3757600000</v>
      </c>
      <c r="AO30" s="10">
        <f t="shared" si="25"/>
        <v>2341612090.8135018</v>
      </c>
      <c r="AP30" s="71"/>
      <c r="AQ30" s="10">
        <f t="shared" si="9"/>
        <v>1012209600</v>
      </c>
      <c r="AR30" s="10">
        <f t="shared" si="26"/>
        <v>630775558.28121626</v>
      </c>
      <c r="AS30" s="71"/>
      <c r="AT30" s="7">
        <f>IF($K30&lt;=$F$15,IF($F$40&lt;&gt;"",$F$40/1000,IF(ISERROR(VLOOKUP($F$3&amp;IF($G$4&lt;&gt;"",$G$4,"")&amp;IF($F$43&lt;&gt;"","_"&amp;$F$43,""),'表3）燃料価格'!$AF$9:$AG$25,2,0)),0,VLOOKUP($I30,'表3）燃料価格'!$A$6:$U$66,VLOOKUP($F$3&amp;IF($G$4&lt;&gt;"",$G$4,"")&amp;IF($F$43&lt;&gt;"","_"&amp;$F$43,""),'表3）燃料価格'!$AF$9:$AG$25,2,0)+VLOOKUP($F$41,'表3）燃料価格'!$AF$28:$AG$29,2,0),0)*IF($F$43="需要地価格",1,$F$8/$F$141))),"")</f>
        <v>10.869059999999999</v>
      </c>
      <c r="AU30" s="71"/>
      <c r="AV30" s="10">
        <f t="shared" si="10"/>
        <v>17528819487.201183</v>
      </c>
      <c r="AW30" s="10">
        <f t="shared" si="27"/>
        <v>10923380787.981056</v>
      </c>
      <c r="AX30" s="71"/>
      <c r="AY30" s="7">
        <f>IF(ISERROR(IF($K30&lt;=$F$15,VLOOKUP($I30,'表4）CO2価格'!$A$7:$E$67,VLOOKUP($F$48,'表4）CO2価格'!$H$10:$I$12,2,0),0)*$F$8/1000,"")),0,IF($K30&lt;=$F$15,VLOOKUP($I30,'表4）CO2価格'!$A$7:$E$67,VLOOKUP($F$48,'表4）CO2価格'!$H$10:$I$12,2,0),0)*$F$8/1000,""))</f>
        <v>4.9219999999999997</v>
      </c>
      <c r="AZ30" s="71"/>
      <c r="BA30" s="11">
        <f t="shared" si="11"/>
        <v>15572343846.157238</v>
      </c>
      <c r="BB30" s="10">
        <f t="shared" si="28"/>
        <v>9704169851.092989</v>
      </c>
      <c r="BC30" s="71"/>
      <c r="BD30" s="10">
        <f t="shared" si="12"/>
        <v>0</v>
      </c>
      <c r="BE30" s="10">
        <f t="shared" si="29"/>
        <v>0</v>
      </c>
      <c r="BF30" s="71"/>
      <c r="BG30" s="11">
        <f t="shared" si="13"/>
        <v>0</v>
      </c>
      <c r="BH30" s="10">
        <f t="shared" si="30"/>
        <v>0</v>
      </c>
      <c r="BJ30" s="7" t="str">
        <f t="shared" si="31"/>
        <v/>
      </c>
      <c r="BK30" s="158" t="str">
        <f t="shared" si="32"/>
        <v/>
      </c>
      <c r="BL30" s="158" t="str">
        <f t="shared" si="14"/>
        <v/>
      </c>
      <c r="BM30" s="10"/>
      <c r="BN30" s="10" t="str">
        <f t="shared" si="33"/>
        <v/>
      </c>
      <c r="BO30" s="10" t="str">
        <f t="shared" si="34"/>
        <v/>
      </c>
      <c r="BQ30" s="10">
        <f t="shared" si="15"/>
        <v>4056318000</v>
      </c>
      <c r="BR30" s="10">
        <f t="shared" si="35"/>
        <v>2527763272.5634556</v>
      </c>
    </row>
    <row r="31" spans="3:70" x14ac:dyDescent="0.15">
      <c r="C31" s="89" t="s">
        <v>507</v>
      </c>
      <c r="D31" s="101"/>
      <c r="E31" s="101"/>
      <c r="F31" s="89"/>
      <c r="G31" s="101"/>
      <c r="I31" s="38">
        <f t="shared" si="36"/>
        <v>2036</v>
      </c>
      <c r="J31" s="39"/>
      <c r="K31" s="39">
        <f t="shared" si="37"/>
        <v>17</v>
      </c>
      <c r="L31" s="39"/>
      <c r="M31" s="40">
        <f t="shared" si="0"/>
        <v>0.60501644584477121</v>
      </c>
      <c r="N31" s="39"/>
      <c r="O31" s="72">
        <f t="shared" si="16"/>
        <v>0</v>
      </c>
      <c r="P31" s="41" t="str">
        <f t="shared" si="1"/>
        <v>-</v>
      </c>
      <c r="Q31" s="39"/>
      <c r="R31" s="72">
        <f t="shared" si="17"/>
        <v>14649445947.932474</v>
      </c>
      <c r="S31" s="39"/>
      <c r="T31" s="72">
        <f t="shared" si="18"/>
        <v>14649445000</v>
      </c>
      <c r="U31" s="39"/>
      <c r="V31" s="72">
        <f t="shared" si="2"/>
        <v>0</v>
      </c>
      <c r="W31" s="72">
        <f t="shared" si="19"/>
        <v>0</v>
      </c>
      <c r="X31" s="39"/>
      <c r="Y31" s="72">
        <f t="shared" si="3"/>
        <v>205092200</v>
      </c>
      <c r="Z31" s="72">
        <f t="shared" si="20"/>
        <v>124084153.91448499</v>
      </c>
      <c r="AA31" s="39"/>
      <c r="AB31" s="72">
        <f t="shared" si="4"/>
        <v>0</v>
      </c>
      <c r="AC31" s="72">
        <f t="shared" si="21"/>
        <v>0</v>
      </c>
      <c r="AD31" s="39"/>
      <c r="AE31" s="72">
        <f t="shared" si="5"/>
        <v>0</v>
      </c>
      <c r="AF31" s="72">
        <f t="shared" si="22"/>
        <v>0</v>
      </c>
      <c r="AG31" s="39"/>
      <c r="AH31" s="72">
        <f t="shared" si="6"/>
        <v>440000000.00000006</v>
      </c>
      <c r="AI31" s="72">
        <f t="shared" si="23"/>
        <v>266207236.17169937</v>
      </c>
      <c r="AJ31" s="39"/>
      <c r="AK31" s="72">
        <f t="shared" si="7"/>
        <v>4099200000</v>
      </c>
      <c r="AL31" s="72">
        <f t="shared" si="24"/>
        <v>2480083414.8068862</v>
      </c>
      <c r="AM31" s="39"/>
      <c r="AN31" s="72">
        <f t="shared" si="8"/>
        <v>3757600000</v>
      </c>
      <c r="AO31" s="72">
        <f t="shared" si="25"/>
        <v>2273409796.9063125</v>
      </c>
      <c r="AP31" s="39"/>
      <c r="AQ31" s="72">
        <f t="shared" si="9"/>
        <v>1012209600</v>
      </c>
      <c r="AR31" s="72">
        <f t="shared" si="26"/>
        <v>612403454.64195752</v>
      </c>
      <c r="AS31" s="39"/>
      <c r="AT31" s="40">
        <f>IF($K31&lt;=$F$15,IF($F$40&lt;&gt;"",$F$40/1000,IF(ISERROR(VLOOKUP($F$3&amp;IF($G$4&lt;&gt;"",$G$4,"")&amp;IF($F$43&lt;&gt;"","_"&amp;$F$43,""),'表3）燃料価格'!$AF$9:$AG$25,2,0)),0,VLOOKUP($I31,'表3）燃料価格'!$A$6:$U$66,VLOOKUP($F$3&amp;IF($G$4&lt;&gt;"",$G$4,"")&amp;IF($F$43&lt;&gt;"","_"&amp;$F$43,""),'表3）燃料価格'!$AF$9:$AG$25,2,0)+VLOOKUP($F$41,'表3）燃料価格'!$AF$28:$AG$29,2,0),0)*IF($F$43="需要地価格",1,$F$8/$F$141))),"")</f>
        <v>10.869059999999999</v>
      </c>
      <c r="AU31" s="39"/>
      <c r="AV31" s="72">
        <f t="shared" si="10"/>
        <v>17528819487.201183</v>
      </c>
      <c r="AW31" s="72">
        <f t="shared" si="27"/>
        <v>10605224066.001024</v>
      </c>
      <c r="AX31" s="39"/>
      <c r="AY31" s="40">
        <f>IF(ISERROR(IF($K31&lt;=$F$15,VLOOKUP($I31,'表4）CO2価格'!$A$7:$E$67,VLOOKUP($F$48,'表4）CO2価格'!$H$10:$I$12,2,0),0)*$F$8/1000,"")),0,IF($K31&lt;=$F$15,VLOOKUP($I31,'表4）CO2価格'!$A$7:$E$67,VLOOKUP($F$48,'表4）CO2価格'!$H$10:$I$12,2,0),0)*$F$8/1000,""))</f>
        <v>5.0503999999999802</v>
      </c>
      <c r="AZ31" s="39"/>
      <c r="BA31" s="42">
        <f t="shared" si="11"/>
        <v>15978578903.013453</v>
      </c>
      <c r="BB31" s="72">
        <f t="shared" si="28"/>
        <v>9667303017.5514431</v>
      </c>
      <c r="BC31" s="39"/>
      <c r="BD31" s="72">
        <f t="shared" si="12"/>
        <v>0</v>
      </c>
      <c r="BE31" s="72">
        <f t="shared" si="29"/>
        <v>0</v>
      </c>
      <c r="BF31" s="39"/>
      <c r="BG31" s="42">
        <f t="shared" si="13"/>
        <v>0</v>
      </c>
      <c r="BH31" s="72">
        <f t="shared" si="30"/>
        <v>0</v>
      </c>
      <c r="BI31" s="39"/>
      <c r="BJ31" s="40" t="str">
        <f t="shared" si="31"/>
        <v/>
      </c>
      <c r="BK31" s="157" t="str">
        <f t="shared" si="32"/>
        <v/>
      </c>
      <c r="BL31" s="157" t="str">
        <f t="shared" si="14"/>
        <v/>
      </c>
      <c r="BM31" s="72"/>
      <c r="BN31" s="72" t="str">
        <f t="shared" si="33"/>
        <v/>
      </c>
      <c r="BO31" s="72" t="str">
        <f t="shared" si="34"/>
        <v/>
      </c>
      <c r="BP31" s="39"/>
      <c r="BQ31" s="72">
        <f t="shared" si="15"/>
        <v>4056318000</v>
      </c>
      <c r="BR31" s="72">
        <f t="shared" si="35"/>
        <v>2454139099.5761704</v>
      </c>
    </row>
    <row r="32" spans="3:70" x14ac:dyDescent="0.15">
      <c r="I32" s="322">
        <f t="shared" si="36"/>
        <v>2037</v>
      </c>
      <c r="J32" s="71"/>
      <c r="K32" s="71">
        <f t="shared" si="37"/>
        <v>18</v>
      </c>
      <c r="L32" s="71"/>
      <c r="M32" s="7">
        <f t="shared" si="0"/>
        <v>0.5873946076162827</v>
      </c>
      <c r="N32" s="71"/>
      <c r="O32" s="10">
        <f t="shared" si="16"/>
        <v>0</v>
      </c>
      <c r="P32" s="29" t="str">
        <f t="shared" si="1"/>
        <v>-</v>
      </c>
      <c r="Q32" s="71"/>
      <c r="R32" s="10">
        <f t="shared" si="17"/>
        <v>12564769706.170675</v>
      </c>
      <c r="S32" s="71"/>
      <c r="T32" s="10">
        <f t="shared" si="18"/>
        <v>12564769000</v>
      </c>
      <c r="U32" s="71"/>
      <c r="V32" s="10">
        <f t="shared" si="2"/>
        <v>0</v>
      </c>
      <c r="W32" s="10">
        <f t="shared" si="19"/>
        <v>0</v>
      </c>
      <c r="X32" s="71"/>
      <c r="Y32" s="10">
        <f t="shared" si="3"/>
        <v>175906700</v>
      </c>
      <c r="Z32" s="10">
        <f t="shared" si="20"/>
        <v>103326647.02357516</v>
      </c>
      <c r="AA32" s="71"/>
      <c r="AB32" s="10">
        <f t="shared" si="4"/>
        <v>0</v>
      </c>
      <c r="AC32" s="10">
        <f t="shared" si="21"/>
        <v>0</v>
      </c>
      <c r="AD32" s="71"/>
      <c r="AE32" s="10">
        <f t="shared" si="5"/>
        <v>0</v>
      </c>
      <c r="AF32" s="10">
        <f t="shared" si="22"/>
        <v>0</v>
      </c>
      <c r="AG32" s="71"/>
      <c r="AH32" s="10">
        <f t="shared" si="6"/>
        <v>440000000.00000006</v>
      </c>
      <c r="AI32" s="10">
        <f t="shared" si="23"/>
        <v>258453627.35116443</v>
      </c>
      <c r="AJ32" s="71"/>
      <c r="AK32" s="10">
        <f t="shared" si="7"/>
        <v>4099200000</v>
      </c>
      <c r="AL32" s="10">
        <f t="shared" si="24"/>
        <v>2407847975.5406661</v>
      </c>
      <c r="AM32" s="71"/>
      <c r="AN32" s="10">
        <f t="shared" si="8"/>
        <v>3757600000</v>
      </c>
      <c r="AO32" s="10">
        <f t="shared" si="25"/>
        <v>2207193977.5789437</v>
      </c>
      <c r="AP32" s="71"/>
      <c r="AQ32" s="10">
        <f t="shared" si="9"/>
        <v>1012209600</v>
      </c>
      <c r="AR32" s="10">
        <f t="shared" si="26"/>
        <v>594566460.81743443</v>
      </c>
      <c r="AS32" s="71"/>
      <c r="AT32" s="7">
        <f>IF($K32&lt;=$F$15,IF($F$40&lt;&gt;"",$F$40/1000,IF(ISERROR(VLOOKUP($F$3&amp;IF($G$4&lt;&gt;"",$G$4,"")&amp;IF($F$43&lt;&gt;"","_"&amp;$F$43,""),'表3）燃料価格'!$AF$9:$AG$25,2,0)),0,VLOOKUP($I32,'表3）燃料価格'!$A$6:$U$66,VLOOKUP($F$3&amp;IF($G$4&lt;&gt;"",$G$4,"")&amp;IF($F$43&lt;&gt;"","_"&amp;$F$43,""),'表3）燃料価格'!$AF$9:$AG$25,2,0)+VLOOKUP($F$41,'表3）燃料価格'!$AF$28:$AG$29,2,0),0)*IF($F$43="需要地価格",1,$F$8/$F$141))),"")</f>
        <v>10.869059999999999</v>
      </c>
      <c r="AU32" s="71"/>
      <c r="AV32" s="10">
        <f t="shared" si="10"/>
        <v>17528819487.201183</v>
      </c>
      <c r="AW32" s="10">
        <f t="shared" si="27"/>
        <v>10296334044.661188</v>
      </c>
      <c r="AX32" s="71"/>
      <c r="AY32" s="7">
        <f>IF(ISERROR(IF($K32&lt;=$F$15,VLOOKUP($I32,'表4）CO2価格'!$A$7:$E$67,VLOOKUP($F$48,'表4）CO2価格'!$H$10:$I$12,2,0),0)*$F$8/1000,"")),0,IF($K32&lt;=$F$15,VLOOKUP($I32,'表4）CO2価格'!$A$7:$E$67,VLOOKUP($F$48,'表4）CO2価格'!$H$10:$I$12,2,0),0)*$F$8/1000,""))</f>
        <v>5.1788000000000105</v>
      </c>
      <c r="AZ32" s="71"/>
      <c r="BA32" s="11">
        <f t="shared" si="11"/>
        <v>16384813959.869823</v>
      </c>
      <c r="BB32" s="10">
        <f t="shared" si="28"/>
        <v>9624351366.8235264</v>
      </c>
      <c r="BC32" s="71"/>
      <c r="BD32" s="10">
        <f t="shared" si="12"/>
        <v>0</v>
      </c>
      <c r="BE32" s="10">
        <f t="shared" si="29"/>
        <v>0</v>
      </c>
      <c r="BF32" s="71"/>
      <c r="BG32" s="11">
        <f t="shared" si="13"/>
        <v>0</v>
      </c>
      <c r="BH32" s="10">
        <f t="shared" si="30"/>
        <v>0</v>
      </c>
      <c r="BJ32" s="7" t="str">
        <f t="shared" si="31"/>
        <v/>
      </c>
      <c r="BK32" s="158" t="str">
        <f t="shared" si="32"/>
        <v/>
      </c>
      <c r="BL32" s="158" t="str">
        <f t="shared" si="14"/>
        <v/>
      </c>
      <c r="BM32" s="10"/>
      <c r="BN32" s="10" t="str">
        <f t="shared" si="33"/>
        <v/>
      </c>
      <c r="BO32" s="10" t="str">
        <f t="shared" si="34"/>
        <v/>
      </c>
      <c r="BQ32" s="10">
        <f t="shared" si="15"/>
        <v>4056318000</v>
      </c>
      <c r="BR32" s="10">
        <f t="shared" si="35"/>
        <v>2382659319.9768648</v>
      </c>
    </row>
    <row r="33" spans="3:70" x14ac:dyDescent="0.15">
      <c r="D33" s="81" t="s">
        <v>88</v>
      </c>
      <c r="F33" s="66">
        <v>4.4000000000000004</v>
      </c>
      <c r="G33" s="81" t="s">
        <v>119</v>
      </c>
      <c r="I33" s="38">
        <f t="shared" si="36"/>
        <v>2038</v>
      </c>
      <c r="J33" s="39"/>
      <c r="K33" s="39">
        <f t="shared" si="37"/>
        <v>19</v>
      </c>
      <c r="L33" s="39"/>
      <c r="M33" s="40">
        <f t="shared" si="0"/>
        <v>0.57028602681192497</v>
      </c>
      <c r="N33" s="39"/>
      <c r="O33" s="72">
        <f t="shared" si="16"/>
        <v>0</v>
      </c>
      <c r="P33" s="41" t="str">
        <f t="shared" si="1"/>
        <v>-</v>
      </c>
      <c r="Q33" s="39"/>
      <c r="R33" s="72">
        <f t="shared" si="17"/>
        <v>10776751443.721703</v>
      </c>
      <c r="S33" s="39"/>
      <c r="T33" s="72">
        <f t="shared" si="18"/>
        <v>10776751000</v>
      </c>
      <c r="U33" s="39"/>
      <c r="V33" s="72">
        <f t="shared" si="2"/>
        <v>0</v>
      </c>
      <c r="W33" s="72">
        <f t="shared" si="19"/>
        <v>0</v>
      </c>
      <c r="X33" s="39"/>
      <c r="Y33" s="72">
        <f t="shared" si="3"/>
        <v>150874500</v>
      </c>
      <c r="Z33" s="72">
        <f t="shared" si="20"/>
        <v>86041619.152235776</v>
      </c>
      <c r="AA33" s="39"/>
      <c r="AB33" s="72">
        <f t="shared" si="4"/>
        <v>0</v>
      </c>
      <c r="AC33" s="72">
        <f t="shared" si="21"/>
        <v>0</v>
      </c>
      <c r="AD33" s="39"/>
      <c r="AE33" s="72">
        <f t="shared" si="5"/>
        <v>0</v>
      </c>
      <c r="AF33" s="72">
        <f t="shared" si="22"/>
        <v>0</v>
      </c>
      <c r="AG33" s="39"/>
      <c r="AH33" s="72">
        <f t="shared" si="6"/>
        <v>440000000.00000006</v>
      </c>
      <c r="AI33" s="72">
        <f t="shared" si="23"/>
        <v>250925851.79724702</v>
      </c>
      <c r="AJ33" s="39"/>
      <c r="AK33" s="72">
        <f t="shared" si="7"/>
        <v>4099200000</v>
      </c>
      <c r="AL33" s="72">
        <f t="shared" si="24"/>
        <v>2337716481.1074429</v>
      </c>
      <c r="AM33" s="39"/>
      <c r="AN33" s="72">
        <f t="shared" si="8"/>
        <v>3757600000</v>
      </c>
      <c r="AO33" s="72">
        <f t="shared" si="25"/>
        <v>2142906774.3484893</v>
      </c>
      <c r="AP33" s="39"/>
      <c r="AQ33" s="72">
        <f t="shared" si="9"/>
        <v>1012209600</v>
      </c>
      <c r="AR33" s="72">
        <f t="shared" si="26"/>
        <v>577248991.08488786</v>
      </c>
      <c r="AS33" s="39"/>
      <c r="AT33" s="40">
        <f>IF($K33&lt;=$F$15,IF($F$40&lt;&gt;"",$F$40/1000,IF(ISERROR(VLOOKUP($F$3&amp;IF($G$4&lt;&gt;"",$G$4,"")&amp;IF($F$43&lt;&gt;"","_"&amp;$F$43,""),'表3）燃料価格'!$AF$9:$AG$25,2,0)),0,VLOOKUP($I33,'表3）燃料価格'!$A$6:$U$66,VLOOKUP($F$3&amp;IF($G$4&lt;&gt;"",$G$4,"")&amp;IF($F$43&lt;&gt;"","_"&amp;$F$43,""),'表3）燃料価格'!$AF$9:$AG$25,2,0)+VLOOKUP($F$41,'表3）燃料価格'!$AF$28:$AG$29,2,0),0)*IF($F$43="需要地価格",1,$F$8/$F$141))),"")</f>
        <v>10.869059999999999</v>
      </c>
      <c r="AU33" s="39"/>
      <c r="AV33" s="72">
        <f t="shared" si="10"/>
        <v>17528819487.201183</v>
      </c>
      <c r="AW33" s="72">
        <f t="shared" si="27"/>
        <v>9996440820.0594063</v>
      </c>
      <c r="AX33" s="39"/>
      <c r="AY33" s="40">
        <f>IF(ISERROR(IF($K33&lt;=$F$15,VLOOKUP($I33,'表4）CO2価格'!$A$7:$E$67,VLOOKUP($F$48,'表4）CO2価格'!$H$10:$I$12,2,0),0)*$F$8/1000,"")),0,IF($K33&lt;=$F$15,VLOOKUP($I33,'表4）CO2価格'!$A$7:$E$67,VLOOKUP($F$48,'表4）CO2価格'!$H$10:$I$12,2,0),0)*$F$8/1000,""))</f>
        <v>5.3071999999999901</v>
      </c>
      <c r="AZ33" s="39"/>
      <c r="BA33" s="42">
        <f t="shared" si="11"/>
        <v>16791049016.726036</v>
      </c>
      <c r="BB33" s="72">
        <f t="shared" si="28"/>
        <v>9575700629.7529697</v>
      </c>
      <c r="BC33" s="39"/>
      <c r="BD33" s="72">
        <f t="shared" si="12"/>
        <v>0</v>
      </c>
      <c r="BE33" s="72">
        <f t="shared" si="29"/>
        <v>0</v>
      </c>
      <c r="BF33" s="39"/>
      <c r="BG33" s="42">
        <f t="shared" si="13"/>
        <v>0</v>
      </c>
      <c r="BH33" s="72">
        <f t="shared" si="30"/>
        <v>0</v>
      </c>
      <c r="BI33" s="39"/>
      <c r="BJ33" s="40" t="str">
        <f t="shared" si="31"/>
        <v/>
      </c>
      <c r="BK33" s="157" t="str">
        <f t="shared" si="32"/>
        <v/>
      </c>
      <c r="BL33" s="157" t="str">
        <f t="shared" si="14"/>
        <v/>
      </c>
      <c r="BM33" s="72"/>
      <c r="BN33" s="72" t="str">
        <f t="shared" si="33"/>
        <v/>
      </c>
      <c r="BO33" s="72" t="str">
        <f t="shared" si="34"/>
        <v/>
      </c>
      <c r="BP33" s="39"/>
      <c r="BQ33" s="72">
        <f t="shared" si="15"/>
        <v>4056318000</v>
      </c>
      <c r="BR33" s="72">
        <f t="shared" si="35"/>
        <v>2313261475.7056937</v>
      </c>
    </row>
    <row r="34" spans="3:70" x14ac:dyDescent="0.15">
      <c r="D34" s="81" t="s">
        <v>120</v>
      </c>
      <c r="F34" s="66">
        <v>2.4</v>
      </c>
      <c r="G34" s="81" t="s">
        <v>121</v>
      </c>
      <c r="I34" s="322">
        <f t="shared" si="36"/>
        <v>2039</v>
      </c>
      <c r="J34" s="71"/>
      <c r="K34" s="71">
        <f t="shared" si="37"/>
        <v>20</v>
      </c>
      <c r="L34" s="71"/>
      <c r="M34" s="7">
        <f t="shared" si="0"/>
        <v>0.55367575418633497</v>
      </c>
      <c r="N34" s="71"/>
      <c r="O34" s="10">
        <f t="shared" si="16"/>
        <v>0</v>
      </c>
      <c r="P34" s="29" t="str">
        <f t="shared" si="1"/>
        <v>-</v>
      </c>
      <c r="Q34" s="71"/>
      <c r="R34" s="10">
        <f t="shared" si="17"/>
        <v>9243175513.4136009</v>
      </c>
      <c r="S34" s="71"/>
      <c r="T34" s="10">
        <f t="shared" si="18"/>
        <v>9243175000</v>
      </c>
      <c r="U34" s="71"/>
      <c r="V34" s="10">
        <f t="shared" si="2"/>
        <v>0</v>
      </c>
      <c r="W34" s="10">
        <f t="shared" si="19"/>
        <v>0</v>
      </c>
      <c r="X34" s="71"/>
      <c r="Y34" s="10">
        <f t="shared" si="3"/>
        <v>129404400</v>
      </c>
      <c r="Z34" s="10">
        <f t="shared" si="20"/>
        <v>71648078.765030161</v>
      </c>
      <c r="AA34" s="71"/>
      <c r="AB34" s="10">
        <f t="shared" si="4"/>
        <v>0</v>
      </c>
      <c r="AC34" s="10">
        <f t="shared" si="21"/>
        <v>0</v>
      </c>
      <c r="AD34" s="71"/>
      <c r="AE34" s="10">
        <f t="shared" si="5"/>
        <v>0</v>
      </c>
      <c r="AF34" s="10">
        <f t="shared" si="22"/>
        <v>0</v>
      </c>
      <c r="AG34" s="71"/>
      <c r="AH34" s="10">
        <f t="shared" si="6"/>
        <v>440000000.00000006</v>
      </c>
      <c r="AI34" s="10">
        <f t="shared" si="23"/>
        <v>243617331.84198743</v>
      </c>
      <c r="AJ34" s="71"/>
      <c r="AK34" s="10">
        <f t="shared" si="7"/>
        <v>4099200000</v>
      </c>
      <c r="AL34" s="10">
        <f t="shared" si="24"/>
        <v>2269627651.5606241</v>
      </c>
      <c r="AM34" s="71"/>
      <c r="AN34" s="10">
        <f t="shared" si="8"/>
        <v>3757600000</v>
      </c>
      <c r="AO34" s="10">
        <f t="shared" si="25"/>
        <v>2080492013.9305723</v>
      </c>
      <c r="AP34" s="71"/>
      <c r="AQ34" s="10">
        <f t="shared" si="9"/>
        <v>1012209600</v>
      </c>
      <c r="AR34" s="10">
        <f t="shared" si="26"/>
        <v>560435913.6746484</v>
      </c>
      <c r="AS34" s="71"/>
      <c r="AT34" s="7">
        <f>IF($K34&lt;=$F$15,IF($F$40&lt;&gt;"",$F$40/1000,IF(ISERROR(VLOOKUP($F$3&amp;IF($G$4&lt;&gt;"",$G$4,"")&amp;IF($F$43&lt;&gt;"","_"&amp;$F$43,""),'表3）燃料価格'!$AF$9:$AG$25,2,0)),0,VLOOKUP($I34,'表3）燃料価格'!$A$6:$U$66,VLOOKUP($F$3&amp;IF($G$4&lt;&gt;"",$G$4,"")&amp;IF($F$43&lt;&gt;"","_"&amp;$F$43,""),'表3）燃料価格'!$AF$9:$AG$25,2,0)+VLOOKUP($F$41,'表3）燃料価格'!$AF$28:$AG$29,2,0),0)*IF($F$43="需要地価格",1,$F$8/$F$141))),"")</f>
        <v>10.869059999999999</v>
      </c>
      <c r="AU34" s="71"/>
      <c r="AV34" s="10">
        <f t="shared" si="10"/>
        <v>17528819487.201183</v>
      </c>
      <c r="AW34" s="10">
        <f t="shared" si="27"/>
        <v>9705282349.5722408</v>
      </c>
      <c r="AX34" s="71"/>
      <c r="AY34" s="7">
        <f>IF(ISERROR(IF($K34&lt;=$F$15,VLOOKUP($I34,'表4）CO2価格'!$A$7:$E$67,VLOOKUP($F$48,'表4）CO2価格'!$H$10:$I$12,2,0),0)*$F$8/1000,"")),0,IF($K34&lt;=$F$15,VLOOKUP($I34,'表4）CO2価格'!$A$7:$E$67,VLOOKUP($F$48,'表4）CO2価格'!$H$10:$I$12,2,0),0)*$F$8/1000,""))</f>
        <v>5.4355999999999716</v>
      </c>
      <c r="AZ34" s="71"/>
      <c r="BA34" s="11">
        <f t="shared" si="11"/>
        <v>17197284073.582253</v>
      </c>
      <c r="BB34" s="10">
        <f t="shared" si="28"/>
        <v>9521719229.3973007</v>
      </c>
      <c r="BC34" s="71"/>
      <c r="BD34" s="10">
        <f t="shared" si="12"/>
        <v>0</v>
      </c>
      <c r="BE34" s="10">
        <f t="shared" si="29"/>
        <v>0</v>
      </c>
      <c r="BF34" s="71"/>
      <c r="BG34" s="11">
        <f t="shared" si="13"/>
        <v>0</v>
      </c>
      <c r="BH34" s="10">
        <f t="shared" si="30"/>
        <v>0</v>
      </c>
      <c r="BJ34" s="7" t="str">
        <f t="shared" si="31"/>
        <v/>
      </c>
      <c r="BK34" s="158" t="str">
        <f t="shared" si="32"/>
        <v/>
      </c>
      <c r="BL34" s="158" t="str">
        <f t="shared" si="14"/>
        <v/>
      </c>
      <c r="BM34" s="10"/>
      <c r="BN34" s="10" t="str">
        <f t="shared" si="33"/>
        <v/>
      </c>
      <c r="BO34" s="10" t="str">
        <f t="shared" si="34"/>
        <v/>
      </c>
      <c r="BQ34" s="10">
        <f t="shared" si="15"/>
        <v>4056318000</v>
      </c>
      <c r="BR34" s="10">
        <f t="shared" si="35"/>
        <v>2245884927.869606</v>
      </c>
    </row>
    <row r="35" spans="3:70" x14ac:dyDescent="0.15">
      <c r="D35" s="81" t="s">
        <v>122</v>
      </c>
      <c r="F35" s="66">
        <v>2.2000000000000002</v>
      </c>
      <c r="G35" s="81" t="s">
        <v>121</v>
      </c>
      <c r="I35" s="38">
        <f t="shared" si="36"/>
        <v>2040</v>
      </c>
      <c r="J35" s="39"/>
      <c r="K35" s="39">
        <f t="shared" si="37"/>
        <v>21</v>
      </c>
      <c r="L35" s="39"/>
      <c r="M35" s="40">
        <f t="shared" si="0"/>
        <v>0.5375492759090631</v>
      </c>
      <c r="N35" s="39"/>
      <c r="O35" s="72">
        <f t="shared" si="16"/>
        <v>0</v>
      </c>
      <c r="P35" s="41" t="str">
        <f t="shared" si="1"/>
        <v>-</v>
      </c>
      <c r="Q35" s="39"/>
      <c r="R35" s="72">
        <f t="shared" si="17"/>
        <v>8540000000</v>
      </c>
      <c r="S35" s="39"/>
      <c r="T35" s="72">
        <f t="shared" si="18"/>
        <v>8540000000</v>
      </c>
      <c r="U35" s="39"/>
      <c r="V35" s="72">
        <f t="shared" si="2"/>
        <v>0</v>
      </c>
      <c r="W35" s="72">
        <f t="shared" si="19"/>
        <v>0</v>
      </c>
      <c r="X35" s="39"/>
      <c r="Y35" s="72">
        <f t="shared" si="3"/>
        <v>119560000</v>
      </c>
      <c r="Z35" s="72">
        <f t="shared" si="20"/>
        <v>64269391.427687585</v>
      </c>
      <c r="AA35" s="39"/>
      <c r="AB35" s="72">
        <f t="shared" si="4"/>
        <v>0</v>
      </c>
      <c r="AC35" s="72">
        <f t="shared" si="21"/>
        <v>0</v>
      </c>
      <c r="AD35" s="39"/>
      <c r="AE35" s="72">
        <f t="shared" si="5"/>
        <v>0</v>
      </c>
      <c r="AF35" s="72">
        <f t="shared" si="22"/>
        <v>0</v>
      </c>
      <c r="AG35" s="39"/>
      <c r="AH35" s="72">
        <f t="shared" si="6"/>
        <v>440000000.00000006</v>
      </c>
      <c r="AI35" s="72">
        <f t="shared" si="23"/>
        <v>236521681.39998779</v>
      </c>
      <c r="AJ35" s="39"/>
      <c r="AK35" s="72">
        <f t="shared" si="7"/>
        <v>4099200000</v>
      </c>
      <c r="AL35" s="72">
        <f t="shared" si="24"/>
        <v>2203521991.8064313</v>
      </c>
      <c r="AM35" s="39"/>
      <c r="AN35" s="72">
        <f t="shared" si="8"/>
        <v>3757600000</v>
      </c>
      <c r="AO35" s="72">
        <f t="shared" si="25"/>
        <v>2019895159.1558955</v>
      </c>
      <c r="AP35" s="39"/>
      <c r="AQ35" s="72">
        <f t="shared" si="9"/>
        <v>1012209600</v>
      </c>
      <c r="AR35" s="72">
        <f t="shared" si="26"/>
        <v>544112537.5482024</v>
      </c>
      <c r="AS35" s="39"/>
      <c r="AT35" s="40">
        <f>IF($K35&lt;=$F$15,IF($F$40&lt;&gt;"",$F$40/1000,IF(ISERROR(VLOOKUP($F$3&amp;IF($G$4&lt;&gt;"",$G$4,"")&amp;IF($F$43&lt;&gt;"","_"&amp;$F$43,""),'表3）燃料価格'!$AF$9:$AG$25,2,0)),0,VLOOKUP($I35,'表3）燃料価格'!$A$6:$U$66,VLOOKUP($F$3&amp;IF($G$4&lt;&gt;"",$G$4,"")&amp;IF($F$43&lt;&gt;"","_"&amp;$F$43,""),'表3）燃料価格'!$AF$9:$AG$25,2,0)+VLOOKUP($F$41,'表3）燃料価格'!$AF$28:$AG$29,2,0),0)*IF($F$43="需要地価格",1,$F$8/$F$141))),"")</f>
        <v>10.869059999999999</v>
      </c>
      <c r="AU35" s="39"/>
      <c r="AV35" s="72">
        <f t="shared" si="10"/>
        <v>17528819487.201183</v>
      </c>
      <c r="AW35" s="72">
        <f t="shared" si="27"/>
        <v>9422604222.8856716</v>
      </c>
      <c r="AX35" s="39"/>
      <c r="AY35" s="40">
        <f>IF(ISERROR(IF($K35&lt;=$F$15,VLOOKUP($I35,'表4）CO2価格'!$A$7:$E$67,VLOOKUP($F$48,'表4）CO2価格'!$H$10:$I$12,2,0),0)*$F$8/1000,"")),0,IF($K35&lt;=$F$15,VLOOKUP($I35,'表4）CO2価格'!$A$7:$E$67,VLOOKUP($F$48,'表4）CO2価格'!$H$10:$I$12,2,0),0)*$F$8/1000,""))</f>
        <v>5.5640000000000001</v>
      </c>
      <c r="AZ35" s="39"/>
      <c r="BA35" s="42">
        <f t="shared" si="11"/>
        <v>17603519130.438618</v>
      </c>
      <c r="BB35" s="72">
        <f t="shared" si="28"/>
        <v>9462758962.0186195</v>
      </c>
      <c r="BC35" s="39"/>
      <c r="BD35" s="72">
        <f t="shared" si="12"/>
        <v>0</v>
      </c>
      <c r="BE35" s="72">
        <f t="shared" si="29"/>
        <v>0</v>
      </c>
      <c r="BF35" s="39"/>
      <c r="BG35" s="42">
        <f t="shared" si="13"/>
        <v>0</v>
      </c>
      <c r="BH35" s="72">
        <f t="shared" si="30"/>
        <v>0</v>
      </c>
      <c r="BI35" s="39"/>
      <c r="BJ35" s="40" t="str">
        <f t="shared" si="31"/>
        <v/>
      </c>
      <c r="BK35" s="157" t="str">
        <f t="shared" si="32"/>
        <v/>
      </c>
      <c r="BL35" s="157" t="str">
        <f t="shared" si="14"/>
        <v/>
      </c>
      <c r="BM35" s="72"/>
      <c r="BN35" s="72" t="str">
        <f t="shared" si="33"/>
        <v/>
      </c>
      <c r="BO35" s="72" t="str">
        <f t="shared" si="34"/>
        <v/>
      </c>
      <c r="BP35" s="39"/>
      <c r="BQ35" s="72">
        <f t="shared" si="15"/>
        <v>4056318000</v>
      </c>
      <c r="BR35" s="72">
        <f t="shared" si="35"/>
        <v>2180470803.7568989</v>
      </c>
    </row>
    <row r="36" spans="3:70" x14ac:dyDescent="0.15">
      <c r="D36" s="81" t="s">
        <v>177</v>
      </c>
      <c r="F36" s="68">
        <v>12.2</v>
      </c>
      <c r="G36" s="81" t="s">
        <v>123</v>
      </c>
      <c r="I36" s="322">
        <f t="shared" si="36"/>
        <v>2041</v>
      </c>
      <c r="J36" s="71"/>
      <c r="K36" s="71">
        <f t="shared" si="37"/>
        <v>22</v>
      </c>
      <c r="L36" s="71"/>
      <c r="M36" s="7">
        <f t="shared" si="0"/>
        <v>0.52189250088258554</v>
      </c>
      <c r="N36" s="71"/>
      <c r="O36" s="10">
        <f t="shared" si="16"/>
        <v>0</v>
      </c>
      <c r="P36" s="29" t="str">
        <f t="shared" si="1"/>
        <v>-</v>
      </c>
      <c r="Q36" s="71"/>
      <c r="R36" s="10">
        <f t="shared" si="17"/>
        <v>8540000000</v>
      </c>
      <c r="S36" s="71"/>
      <c r="T36" s="10">
        <f t="shared" si="18"/>
        <v>8540000000</v>
      </c>
      <c r="U36" s="71"/>
      <c r="V36" s="10">
        <f t="shared" si="2"/>
        <v>0</v>
      </c>
      <c r="W36" s="10">
        <f t="shared" si="19"/>
        <v>0</v>
      </c>
      <c r="X36" s="71"/>
      <c r="Y36" s="10">
        <f t="shared" si="3"/>
        <v>119560000</v>
      </c>
      <c r="Z36" s="10">
        <f t="shared" si="20"/>
        <v>62397467.405521929</v>
      </c>
      <c r="AA36" s="71"/>
      <c r="AB36" s="10">
        <f t="shared" si="4"/>
        <v>0</v>
      </c>
      <c r="AC36" s="10">
        <f t="shared" si="21"/>
        <v>0</v>
      </c>
      <c r="AD36" s="71"/>
      <c r="AE36" s="10">
        <f t="shared" si="5"/>
        <v>0</v>
      </c>
      <c r="AF36" s="10">
        <f t="shared" si="22"/>
        <v>0</v>
      </c>
      <c r="AG36" s="71"/>
      <c r="AH36" s="10">
        <f t="shared" si="6"/>
        <v>440000000.00000006</v>
      </c>
      <c r="AI36" s="10">
        <f t="shared" si="23"/>
        <v>229632700.38833767</v>
      </c>
      <c r="AJ36" s="71"/>
      <c r="AK36" s="10">
        <f t="shared" si="7"/>
        <v>4099200000</v>
      </c>
      <c r="AL36" s="10">
        <f t="shared" si="24"/>
        <v>2139341739.6178946</v>
      </c>
      <c r="AM36" s="71"/>
      <c r="AN36" s="10">
        <f t="shared" si="8"/>
        <v>3757600000</v>
      </c>
      <c r="AO36" s="10">
        <f t="shared" si="25"/>
        <v>1961063261.3164034</v>
      </c>
      <c r="AP36" s="71"/>
      <c r="AQ36" s="10">
        <f t="shared" si="9"/>
        <v>1012209600</v>
      </c>
      <c r="AR36" s="10">
        <f t="shared" si="26"/>
        <v>528264599.56136155</v>
      </c>
      <c r="AS36" s="71"/>
      <c r="AT36" s="7">
        <f>IF($K36&lt;=$F$15,IF($F$40&lt;&gt;"",$F$40/1000,IF(ISERROR(VLOOKUP($F$3&amp;IF($G$4&lt;&gt;"",$G$4,"")&amp;IF($F$43&lt;&gt;"","_"&amp;$F$43,""),'表3）燃料価格'!$AF$9:$AG$25,2,0)),0,VLOOKUP($I36,'表3）燃料価格'!$A$6:$U$66,VLOOKUP($F$3&amp;IF($G$4&lt;&gt;"",$G$4,"")&amp;IF($F$43&lt;&gt;"","_"&amp;$F$43,""),'表3）燃料価格'!$AF$9:$AG$25,2,0)+VLOOKUP($F$41,'表3）燃料価格'!$AF$28:$AG$29,2,0),0)*IF($F$43="需要地価格",1,$F$8/$F$141))),"")</f>
        <v>10.852172184476203</v>
      </c>
      <c r="AU36" s="71"/>
      <c r="AV36" s="10">
        <f t="shared" si="10"/>
        <v>17505816760.517975</v>
      </c>
      <c r="AW36" s="10">
        <f t="shared" si="27"/>
        <v>9136154489.1390076</v>
      </c>
      <c r="AX36" s="71"/>
      <c r="AY36" s="7">
        <f>IF(ISERROR(IF($K36&lt;=$F$15,VLOOKUP($I36,'表4）CO2価格'!$A$7:$E$67,VLOOKUP($F$48,'表4）CO2価格'!$H$10:$I$12,2,0),0)*$F$8/1000,"")),0,IF($K36&lt;=$F$15,VLOOKUP($I36,'表4）CO2価格'!$A$7:$E$67,VLOOKUP($F$48,'表4）CO2価格'!$H$10:$I$12,2,0),0)*$F$8/1000,""))</f>
        <v>5.6923999999999806</v>
      </c>
      <c r="AZ36" s="71"/>
      <c r="BA36" s="11">
        <f t="shared" si="11"/>
        <v>18009754187.294834</v>
      </c>
      <c r="BB36" s="10">
        <f t="shared" si="28"/>
        <v>9399155653.0879173</v>
      </c>
      <c r="BC36" s="71"/>
      <c r="BD36" s="10">
        <f t="shared" si="12"/>
        <v>0</v>
      </c>
      <c r="BE36" s="10">
        <f t="shared" si="29"/>
        <v>0</v>
      </c>
      <c r="BF36" s="71"/>
      <c r="BG36" s="11">
        <f t="shared" si="13"/>
        <v>0</v>
      </c>
      <c r="BH36" s="10">
        <f t="shared" si="30"/>
        <v>0</v>
      </c>
      <c r="BJ36" s="7" t="str">
        <f t="shared" si="31"/>
        <v/>
      </c>
      <c r="BK36" s="158" t="str">
        <f t="shared" si="32"/>
        <v/>
      </c>
      <c r="BL36" s="158" t="str">
        <f t="shared" si="14"/>
        <v/>
      </c>
      <c r="BM36" s="10"/>
      <c r="BN36" s="10" t="str">
        <f t="shared" si="33"/>
        <v/>
      </c>
      <c r="BO36" s="10" t="str">
        <f t="shared" si="34"/>
        <v/>
      </c>
      <c r="BQ36" s="10">
        <f t="shared" si="15"/>
        <v>4056318000</v>
      </c>
      <c r="BR36" s="10">
        <f t="shared" si="35"/>
        <v>2116961945.3950477</v>
      </c>
    </row>
    <row r="37" spans="3:70" x14ac:dyDescent="0.15">
      <c r="I37" s="38">
        <f t="shared" si="36"/>
        <v>2042</v>
      </c>
      <c r="J37" s="39"/>
      <c r="K37" s="39">
        <f t="shared" si="37"/>
        <v>23</v>
      </c>
      <c r="L37" s="39"/>
      <c r="M37" s="40">
        <f t="shared" si="0"/>
        <v>0.50669174842969467</v>
      </c>
      <c r="N37" s="39"/>
      <c r="O37" s="72">
        <f t="shared" si="16"/>
        <v>0</v>
      </c>
      <c r="P37" s="41" t="str">
        <f t="shared" si="1"/>
        <v>-</v>
      </c>
      <c r="Q37" s="39"/>
      <c r="R37" s="72">
        <f t="shared" si="17"/>
        <v>8540000000</v>
      </c>
      <c r="S37" s="39"/>
      <c r="T37" s="72">
        <f t="shared" si="18"/>
        <v>8540000000</v>
      </c>
      <c r="U37" s="39"/>
      <c r="V37" s="72">
        <f t="shared" si="2"/>
        <v>0</v>
      </c>
      <c r="W37" s="72">
        <f t="shared" si="19"/>
        <v>0</v>
      </c>
      <c r="X37" s="39"/>
      <c r="Y37" s="72">
        <f t="shared" si="3"/>
        <v>119560000</v>
      </c>
      <c r="Z37" s="72">
        <f t="shared" si="20"/>
        <v>60580065.442254297</v>
      </c>
      <c r="AA37" s="39"/>
      <c r="AB37" s="72">
        <f t="shared" si="4"/>
        <v>0</v>
      </c>
      <c r="AC37" s="72">
        <f t="shared" si="21"/>
        <v>0</v>
      </c>
      <c r="AD37" s="39"/>
      <c r="AE37" s="72">
        <f t="shared" si="5"/>
        <v>0</v>
      </c>
      <c r="AF37" s="72">
        <f t="shared" si="22"/>
        <v>0</v>
      </c>
      <c r="AG37" s="39"/>
      <c r="AH37" s="72">
        <f t="shared" si="6"/>
        <v>440000000.00000006</v>
      </c>
      <c r="AI37" s="72">
        <f t="shared" si="23"/>
        <v>222944369.30906567</v>
      </c>
      <c r="AJ37" s="39"/>
      <c r="AK37" s="72">
        <f t="shared" si="7"/>
        <v>4099200000</v>
      </c>
      <c r="AL37" s="72">
        <f t="shared" si="24"/>
        <v>2077030815.1630044</v>
      </c>
      <c r="AM37" s="39"/>
      <c r="AN37" s="72">
        <f t="shared" si="8"/>
        <v>3757600000</v>
      </c>
      <c r="AO37" s="72">
        <f t="shared" si="25"/>
        <v>1903944913.8994207</v>
      </c>
      <c r="AP37" s="39"/>
      <c r="AQ37" s="72">
        <f t="shared" si="9"/>
        <v>1012209600</v>
      </c>
      <c r="AR37" s="72">
        <f t="shared" si="26"/>
        <v>512878252.00132185</v>
      </c>
      <c r="AS37" s="39"/>
      <c r="AT37" s="40">
        <f>IF($K37&lt;=$F$15,IF($F$40&lt;&gt;"",$F$40/1000,IF(ISERROR(VLOOKUP($F$3&amp;IF($G$4&lt;&gt;"",$G$4,"")&amp;IF($F$43&lt;&gt;"","_"&amp;$F$43,""),'表3）燃料価格'!$AF$9:$AG$25,2,0)),0,VLOOKUP($I37,'表3）燃料価格'!$A$6:$U$66,VLOOKUP($F$3&amp;IF($G$4&lt;&gt;"",$G$4,"")&amp;IF($F$43&lt;&gt;"","_"&amp;$F$43,""),'表3）燃料価格'!$AF$9:$AG$25,2,0)+VLOOKUP($F$41,'表3）燃料価格'!$AF$28:$AG$29,2,0),0)*IF($F$43="需要地価格",1,$F$8/$F$141))),"")</f>
        <v>10.835898609268483</v>
      </c>
      <c r="AU37" s="39"/>
      <c r="AV37" s="72">
        <f t="shared" si="10"/>
        <v>17483650684.500961</v>
      </c>
      <c r="AW37" s="72">
        <f t="shared" si="27"/>
        <v>8858821534.2638206</v>
      </c>
      <c r="AX37" s="39"/>
      <c r="AY37" s="40">
        <f>IF(ISERROR(IF($K37&lt;=$F$15,VLOOKUP($I37,'表4）CO2価格'!$A$7:$E$67,VLOOKUP($F$48,'表4）CO2価格'!$H$10:$I$12,2,0),0)*$F$8/1000,"")),0,IF($K37&lt;=$F$15,VLOOKUP($I37,'表4）CO2価格'!$A$7:$E$67,VLOOKUP($F$48,'表4）CO2価格'!$H$10:$I$12,2,0),0)*$F$8/1000,""))</f>
        <v>5.82080000000001</v>
      </c>
      <c r="AZ37" s="39"/>
      <c r="BA37" s="42">
        <f t="shared" si="11"/>
        <v>18415989244.151203</v>
      </c>
      <c r="BB37" s="72">
        <f t="shared" si="28"/>
        <v>9331229789.1814251</v>
      </c>
      <c r="BC37" s="39"/>
      <c r="BD37" s="72">
        <f t="shared" si="12"/>
        <v>0</v>
      </c>
      <c r="BE37" s="72">
        <f t="shared" si="29"/>
        <v>0</v>
      </c>
      <c r="BF37" s="39"/>
      <c r="BG37" s="42">
        <f t="shared" si="13"/>
        <v>0</v>
      </c>
      <c r="BH37" s="72">
        <f t="shared" si="30"/>
        <v>0</v>
      </c>
      <c r="BI37" s="39"/>
      <c r="BJ37" s="40" t="str">
        <f t="shared" si="31"/>
        <v/>
      </c>
      <c r="BK37" s="157" t="str">
        <f t="shared" si="32"/>
        <v/>
      </c>
      <c r="BL37" s="157" t="str">
        <f t="shared" si="14"/>
        <v/>
      </c>
      <c r="BM37" s="72"/>
      <c r="BN37" s="72" t="str">
        <f t="shared" si="33"/>
        <v/>
      </c>
      <c r="BO37" s="72" t="str">
        <f t="shared" si="34"/>
        <v/>
      </c>
      <c r="BP37" s="39"/>
      <c r="BQ37" s="72">
        <f t="shared" si="15"/>
        <v>4056318000</v>
      </c>
      <c r="BR37" s="72">
        <f t="shared" si="35"/>
        <v>2055302859.6068423</v>
      </c>
    </row>
    <row r="38" spans="3:70" x14ac:dyDescent="0.15">
      <c r="C38" s="89" t="s">
        <v>508</v>
      </c>
      <c r="D38" s="101"/>
      <c r="E38" s="101"/>
      <c r="F38" s="89"/>
      <c r="G38" s="101"/>
      <c r="I38" s="322">
        <f t="shared" si="36"/>
        <v>2043</v>
      </c>
      <c r="J38" s="71"/>
      <c r="K38" s="71">
        <f t="shared" si="37"/>
        <v>24</v>
      </c>
      <c r="L38" s="71"/>
      <c r="M38" s="7">
        <f t="shared" si="0"/>
        <v>0.49193373633950943</v>
      </c>
      <c r="N38" s="71"/>
      <c r="O38" s="10">
        <f t="shared" si="16"/>
        <v>0</v>
      </c>
      <c r="P38" s="29" t="str">
        <f t="shared" si="1"/>
        <v>-</v>
      </c>
      <c r="Q38" s="71"/>
      <c r="R38" s="10">
        <f t="shared" si="17"/>
        <v>8540000000</v>
      </c>
      <c r="S38" s="71"/>
      <c r="T38" s="10">
        <f t="shared" si="18"/>
        <v>8540000000</v>
      </c>
      <c r="U38" s="71"/>
      <c r="V38" s="10">
        <f t="shared" si="2"/>
        <v>0</v>
      </c>
      <c r="W38" s="10">
        <f t="shared" si="19"/>
        <v>0</v>
      </c>
      <c r="X38" s="71"/>
      <c r="Y38" s="10">
        <f t="shared" si="3"/>
        <v>119560000</v>
      </c>
      <c r="Z38" s="10">
        <f t="shared" si="20"/>
        <v>58815597.516751744</v>
      </c>
      <c r="AA38" s="71"/>
      <c r="AB38" s="10">
        <f t="shared" si="4"/>
        <v>0</v>
      </c>
      <c r="AC38" s="10">
        <f t="shared" si="21"/>
        <v>0</v>
      </c>
      <c r="AD38" s="71"/>
      <c r="AE38" s="10">
        <f t="shared" si="5"/>
        <v>0</v>
      </c>
      <c r="AF38" s="10">
        <f t="shared" si="22"/>
        <v>0</v>
      </c>
      <c r="AG38" s="71"/>
      <c r="AH38" s="10">
        <f t="shared" si="6"/>
        <v>440000000.00000006</v>
      </c>
      <c r="AI38" s="10">
        <f t="shared" si="23"/>
        <v>216450843.98938417</v>
      </c>
      <c r="AJ38" s="71"/>
      <c r="AK38" s="10">
        <f t="shared" si="7"/>
        <v>4099200000</v>
      </c>
      <c r="AL38" s="10">
        <f t="shared" si="24"/>
        <v>2016534772.0029171</v>
      </c>
      <c r="AM38" s="71"/>
      <c r="AN38" s="10">
        <f t="shared" si="8"/>
        <v>3757600000</v>
      </c>
      <c r="AO38" s="10">
        <f t="shared" si="25"/>
        <v>1848490207.6693406</v>
      </c>
      <c r="AP38" s="71"/>
      <c r="AQ38" s="10">
        <f t="shared" si="9"/>
        <v>1012209600</v>
      </c>
      <c r="AR38" s="10">
        <f t="shared" si="26"/>
        <v>497940050.48672032</v>
      </c>
      <c r="AS38" s="71"/>
      <c r="AT38" s="7">
        <f>IF($K38&lt;=$F$15,IF($F$40&lt;&gt;"",$F$40/1000,IF(ISERROR(VLOOKUP($F$3&amp;IF($G$4&lt;&gt;"",$G$4,"")&amp;IF($F$43&lt;&gt;"","_"&amp;$F$43,""),'表3）燃料価格'!$AF$9:$AG$25,2,0)),0,VLOOKUP($I38,'表3）燃料価格'!$A$6:$U$66,VLOOKUP($F$3&amp;IF($G$4&lt;&gt;"",$G$4,"")&amp;IF($F$43&lt;&gt;"","_"&amp;$F$43,""),'表3）燃料価格'!$AF$9:$AG$25,2,0)+VLOOKUP($F$41,'表3）燃料価格'!$AF$28:$AG$29,2,0),0)*IF($F$43="需要地価格",1,$F$8/$F$141))),"")</f>
        <v>10.820196156027256</v>
      </c>
      <c r="AU38" s="71"/>
      <c r="AV38" s="10">
        <f t="shared" si="10"/>
        <v>17462262528.072155</v>
      </c>
      <c r="AW38" s="10">
        <f t="shared" si="27"/>
        <v>8590276050.3759422</v>
      </c>
      <c r="AX38" s="71"/>
      <c r="AY38" s="7">
        <f>IF(ISERROR(IF($K38&lt;=$F$15,VLOOKUP($I38,'表4）CO2価格'!$A$7:$E$67,VLOOKUP($F$48,'表4）CO2価格'!$H$10:$I$12,2,0),0)*$F$8/1000,"")),0,IF($K38&lt;=$F$15,VLOOKUP($I38,'表4）CO2価格'!$A$7:$E$67,VLOOKUP($F$48,'表4）CO2価格'!$H$10:$I$12,2,0),0)*$F$8/1000,""))</f>
        <v>5.9491999999999896</v>
      </c>
      <c r="AZ38" s="71"/>
      <c r="BA38" s="11">
        <f t="shared" si="11"/>
        <v>18822224301.007412</v>
      </c>
      <c r="BB38" s="10">
        <f t="shared" si="28"/>
        <v>9259287126.6148872</v>
      </c>
      <c r="BC38" s="71"/>
      <c r="BD38" s="10">
        <f t="shared" si="12"/>
        <v>0</v>
      </c>
      <c r="BE38" s="10">
        <f t="shared" si="29"/>
        <v>0</v>
      </c>
      <c r="BF38" s="71"/>
      <c r="BG38" s="11">
        <f t="shared" si="13"/>
        <v>0</v>
      </c>
      <c r="BH38" s="10">
        <f t="shared" si="30"/>
        <v>0</v>
      </c>
      <c r="BJ38" s="7" t="str">
        <f t="shared" si="31"/>
        <v/>
      </c>
      <c r="BK38" s="158" t="str">
        <f t="shared" si="32"/>
        <v/>
      </c>
      <c r="BL38" s="158" t="str">
        <f t="shared" si="14"/>
        <v/>
      </c>
      <c r="BM38" s="10"/>
      <c r="BN38" s="10" t="str">
        <f t="shared" si="33"/>
        <v/>
      </c>
      <c r="BO38" s="10" t="str">
        <f t="shared" si="34"/>
        <v/>
      </c>
      <c r="BQ38" s="10">
        <f t="shared" si="15"/>
        <v>4056318000</v>
      </c>
      <c r="BR38" s="10">
        <f t="shared" si="35"/>
        <v>1995439669.5212061</v>
      </c>
    </row>
    <row r="39" spans="3:70" x14ac:dyDescent="0.15">
      <c r="I39" s="38">
        <f t="shared" si="36"/>
        <v>2044</v>
      </c>
      <c r="J39" s="39"/>
      <c r="K39" s="39">
        <f t="shared" si="37"/>
        <v>25</v>
      </c>
      <c r="L39" s="39"/>
      <c r="M39" s="40">
        <f t="shared" si="0"/>
        <v>0.47760556926165965</v>
      </c>
      <c r="N39" s="39"/>
      <c r="O39" s="72">
        <f t="shared" si="16"/>
        <v>0</v>
      </c>
      <c r="P39" s="41" t="str">
        <f t="shared" si="1"/>
        <v>-</v>
      </c>
      <c r="Q39" s="39"/>
      <c r="R39" s="72">
        <f t="shared" si="17"/>
        <v>8540000000</v>
      </c>
      <c r="S39" s="39"/>
      <c r="T39" s="72">
        <f t="shared" si="18"/>
        <v>8540000000</v>
      </c>
      <c r="U39" s="39"/>
      <c r="V39" s="72">
        <f t="shared" si="2"/>
        <v>0</v>
      </c>
      <c r="W39" s="72">
        <f t="shared" si="19"/>
        <v>0</v>
      </c>
      <c r="X39" s="39"/>
      <c r="Y39" s="72">
        <f t="shared" si="3"/>
        <v>119560000</v>
      </c>
      <c r="Z39" s="72">
        <f t="shared" si="20"/>
        <v>57102521.860924028</v>
      </c>
      <c r="AA39" s="39"/>
      <c r="AB39" s="72">
        <f t="shared" si="4"/>
        <v>0</v>
      </c>
      <c r="AC39" s="72">
        <f t="shared" si="21"/>
        <v>0</v>
      </c>
      <c r="AD39" s="39"/>
      <c r="AE39" s="72">
        <f t="shared" si="5"/>
        <v>0</v>
      </c>
      <c r="AF39" s="72">
        <f t="shared" si="22"/>
        <v>0</v>
      </c>
      <c r="AG39" s="39"/>
      <c r="AH39" s="72">
        <f t="shared" si="6"/>
        <v>440000000.00000006</v>
      </c>
      <c r="AI39" s="72">
        <f t="shared" si="23"/>
        <v>210146450.47513026</v>
      </c>
      <c r="AJ39" s="39"/>
      <c r="AK39" s="72">
        <f t="shared" si="7"/>
        <v>4099200000</v>
      </c>
      <c r="AL39" s="72">
        <f t="shared" si="24"/>
        <v>1957800749.5173953</v>
      </c>
      <c r="AM39" s="39"/>
      <c r="AN39" s="72">
        <f t="shared" si="8"/>
        <v>3757600000</v>
      </c>
      <c r="AO39" s="72">
        <f t="shared" si="25"/>
        <v>1794650687.0576122</v>
      </c>
      <c r="AP39" s="39"/>
      <c r="AQ39" s="72">
        <f t="shared" si="9"/>
        <v>1012209600</v>
      </c>
      <c r="AR39" s="72">
        <f t="shared" si="26"/>
        <v>483436942.22011679</v>
      </c>
      <c r="AS39" s="39"/>
      <c r="AT39" s="40">
        <f>IF($K39&lt;=$F$15,IF($F$40&lt;&gt;"",$F$40/1000,IF(ISERROR(VLOOKUP($F$3&amp;IF($G$4&lt;&gt;"",$G$4,"")&amp;IF($F$43&lt;&gt;"","_"&amp;$F$43,""),'表3）燃料価格'!$AF$9:$AG$25,2,0)),0,VLOOKUP($I39,'表3）燃料価格'!$A$6:$U$66,VLOOKUP($F$3&amp;IF($G$4&lt;&gt;"",$G$4,"")&amp;IF($F$43&lt;&gt;"","_"&amp;$F$43,""),'表3）燃料価格'!$AF$9:$AG$25,2,0)+VLOOKUP($F$41,'表3）燃料価格'!$AF$28:$AG$29,2,0),0)*IF($F$43="需要地価格",1,$F$8/$F$141))),"")</f>
        <v>10.805026093092733</v>
      </c>
      <c r="AU39" s="39"/>
      <c r="AV39" s="72">
        <f t="shared" si="10"/>
        <v>17441599535.220406</v>
      </c>
      <c r="AW39" s="72">
        <f t="shared" si="27"/>
        <v>8330205074.8528404</v>
      </c>
      <c r="AX39" s="39"/>
      <c r="AY39" s="40">
        <f>IF(ISERROR(IF($K39&lt;=$F$15,VLOOKUP($I39,'表4）CO2価格'!$A$7:$E$67,VLOOKUP($F$48,'表4）CO2価格'!$H$10:$I$12,2,0),0)*$F$8/1000,"")),0,IF($K39&lt;=$F$15,VLOOKUP($I39,'表4）CO2価格'!$A$7:$E$67,VLOOKUP($F$48,'表4）CO2価格'!$H$10:$I$12,2,0),0)*$F$8/1000,""))</f>
        <v>6.077599999999971</v>
      </c>
      <c r="AZ39" s="39"/>
      <c r="BA39" s="42">
        <f t="shared" si="11"/>
        <v>19228459357.863628</v>
      </c>
      <c r="BB39" s="72">
        <f t="shared" si="28"/>
        <v>9183619277.6371441</v>
      </c>
      <c r="BC39" s="39"/>
      <c r="BD39" s="72">
        <f t="shared" si="12"/>
        <v>0</v>
      </c>
      <c r="BE39" s="72">
        <f t="shared" si="29"/>
        <v>0</v>
      </c>
      <c r="BF39" s="39"/>
      <c r="BG39" s="42">
        <f t="shared" si="13"/>
        <v>0</v>
      </c>
      <c r="BH39" s="72">
        <f t="shared" si="30"/>
        <v>0</v>
      </c>
      <c r="BI39" s="39"/>
      <c r="BJ39" s="40" t="str">
        <f t="shared" si="31"/>
        <v/>
      </c>
      <c r="BK39" s="157" t="str">
        <f t="shared" si="32"/>
        <v/>
      </c>
      <c r="BL39" s="157" t="str">
        <f t="shared" si="14"/>
        <v/>
      </c>
      <c r="BM39" s="72"/>
      <c r="BN39" s="72" t="str">
        <f t="shared" si="33"/>
        <v/>
      </c>
      <c r="BO39" s="72" t="str">
        <f t="shared" si="34"/>
        <v/>
      </c>
      <c r="BP39" s="39"/>
      <c r="BQ39" s="72">
        <f t="shared" si="15"/>
        <v>4056318000</v>
      </c>
      <c r="BR39" s="72">
        <f t="shared" si="35"/>
        <v>1937320067.4963167</v>
      </c>
    </row>
    <row r="40" spans="3:70" x14ac:dyDescent="0.15">
      <c r="D40" s="81" t="s">
        <v>124</v>
      </c>
      <c r="F40" s="59"/>
      <c r="G40" s="82" t="s">
        <v>178</v>
      </c>
      <c r="I40" s="322">
        <f t="shared" si="36"/>
        <v>2045</v>
      </c>
      <c r="J40" s="71"/>
      <c r="K40" s="71">
        <f t="shared" si="37"/>
        <v>26</v>
      </c>
      <c r="L40" s="71"/>
      <c r="M40" s="7">
        <f t="shared" si="0"/>
        <v>0.46369472743850448</v>
      </c>
      <c r="N40" s="71"/>
      <c r="O40" s="10">
        <f t="shared" si="16"/>
        <v>0</v>
      </c>
      <c r="P40" s="29" t="str">
        <f t="shared" si="1"/>
        <v>-</v>
      </c>
      <c r="Q40" s="71"/>
      <c r="R40" s="10">
        <f t="shared" si="17"/>
        <v>8540000000</v>
      </c>
      <c r="S40" s="71"/>
      <c r="T40" s="10">
        <f t="shared" si="18"/>
        <v>8540000000</v>
      </c>
      <c r="U40" s="71"/>
      <c r="V40" s="10">
        <f t="shared" si="2"/>
        <v>0</v>
      </c>
      <c r="W40" s="10">
        <f t="shared" si="19"/>
        <v>0</v>
      </c>
      <c r="X40" s="71"/>
      <c r="Y40" s="10">
        <f t="shared" si="3"/>
        <v>119560000</v>
      </c>
      <c r="Z40" s="10">
        <f t="shared" si="20"/>
        <v>55439341.612547599</v>
      </c>
      <c r="AA40" s="71"/>
      <c r="AB40" s="10">
        <f t="shared" si="4"/>
        <v>0</v>
      </c>
      <c r="AC40" s="10">
        <f t="shared" si="21"/>
        <v>0</v>
      </c>
      <c r="AD40" s="71"/>
      <c r="AE40" s="10">
        <f t="shared" si="5"/>
        <v>0</v>
      </c>
      <c r="AF40" s="10">
        <f t="shared" si="22"/>
        <v>0</v>
      </c>
      <c r="AG40" s="71"/>
      <c r="AH40" s="10">
        <f t="shared" si="6"/>
        <v>440000000.00000006</v>
      </c>
      <c r="AI40" s="10">
        <f t="shared" si="23"/>
        <v>204025680.07294199</v>
      </c>
      <c r="AJ40" s="71"/>
      <c r="AK40" s="10">
        <f t="shared" si="7"/>
        <v>4099200000</v>
      </c>
      <c r="AL40" s="10">
        <f t="shared" si="24"/>
        <v>1900777426.7159176</v>
      </c>
      <c r="AM40" s="71"/>
      <c r="AN40" s="10">
        <f t="shared" si="8"/>
        <v>3757600000</v>
      </c>
      <c r="AO40" s="10">
        <f t="shared" si="25"/>
        <v>1742379307.8229244</v>
      </c>
      <c r="AP40" s="71"/>
      <c r="AQ40" s="10">
        <f t="shared" si="9"/>
        <v>1012209600</v>
      </c>
      <c r="AR40" s="10">
        <f t="shared" si="26"/>
        <v>469356254.58263767</v>
      </c>
      <c r="AS40" s="71"/>
      <c r="AT40" s="7">
        <f>IF($K40&lt;=$F$15,IF($F$40&lt;&gt;"",$F$40/1000,IF(ISERROR(VLOOKUP($F$3&amp;IF($G$4&lt;&gt;"",$G$4,"")&amp;IF($F$43&lt;&gt;"","_"&amp;$F$43,""),'表3）燃料価格'!$AF$9:$AG$25,2,0)),0,VLOOKUP($I40,'表3）燃料価格'!$A$6:$U$66,VLOOKUP($F$3&amp;IF($G$4&lt;&gt;"",$G$4,"")&amp;IF($F$43&lt;&gt;"","_"&amp;$F$43,""),'表3）燃料価格'!$AF$9:$AG$25,2,0)+VLOOKUP($F$41,'表3）燃料価格'!$AF$28:$AG$29,2,0),0)*IF($F$43="需要地価格",1,$F$8/$F$141))),"")</f>
        <v>10.790353499914836</v>
      </c>
      <c r="AU40" s="71"/>
      <c r="AV40" s="10">
        <f t="shared" si="10"/>
        <v>17421614141.009449</v>
      </c>
      <c r="AW40" s="10">
        <f t="shared" si="27"/>
        <v>8078310620.6541719</v>
      </c>
      <c r="AX40" s="71"/>
      <c r="AY40" s="7">
        <f>IF(ISERROR(IF($K40&lt;=$F$15,VLOOKUP($I40,'表4）CO2価格'!$A$7:$E$67,VLOOKUP($F$48,'表4）CO2価格'!$H$10:$I$12,2,0),0)*$F$8/1000,"")),0,IF($K40&lt;=$F$15,VLOOKUP($I40,'表4）CO2価格'!$A$7:$E$67,VLOOKUP($F$48,'表4）CO2価格'!$H$10:$I$12,2,0),0)*$F$8/1000,""))</f>
        <v>6.2060000000000004</v>
      </c>
      <c r="AZ40" s="71"/>
      <c r="BA40" s="11">
        <f t="shared" si="11"/>
        <v>19634694414.719997</v>
      </c>
      <c r="BB40" s="10">
        <f t="shared" si="28"/>
        <v>9104504274.9719162</v>
      </c>
      <c r="BC40" s="71"/>
      <c r="BD40" s="10">
        <f t="shared" si="12"/>
        <v>0</v>
      </c>
      <c r="BE40" s="10">
        <f t="shared" si="29"/>
        <v>0</v>
      </c>
      <c r="BF40" s="71"/>
      <c r="BG40" s="11">
        <f t="shared" si="13"/>
        <v>0</v>
      </c>
      <c r="BH40" s="10">
        <f t="shared" si="30"/>
        <v>0</v>
      </c>
      <c r="BJ40" s="7" t="str">
        <f t="shared" si="31"/>
        <v/>
      </c>
      <c r="BK40" s="158" t="str">
        <f t="shared" si="32"/>
        <v/>
      </c>
      <c r="BL40" s="158" t="str">
        <f t="shared" si="14"/>
        <v/>
      </c>
      <c r="BM40" s="10"/>
      <c r="BN40" s="10" t="str">
        <f t="shared" si="33"/>
        <v/>
      </c>
      <c r="BO40" s="10" t="str">
        <f t="shared" si="34"/>
        <v/>
      </c>
      <c r="BQ40" s="10">
        <f t="shared" si="15"/>
        <v>4056318000</v>
      </c>
      <c r="BR40" s="10">
        <f t="shared" si="35"/>
        <v>1880893269.4138997</v>
      </c>
    </row>
    <row r="41" spans="3:70" x14ac:dyDescent="0.15">
      <c r="D41" s="81" t="s">
        <v>179</v>
      </c>
      <c r="F41" s="88" t="str">
        <f>まとめ!B4</f>
        <v>WEO2020　STEPS</v>
      </c>
      <c r="I41" s="38">
        <f t="shared" si="36"/>
        <v>2046</v>
      </c>
      <c r="J41" s="39"/>
      <c r="K41" s="39">
        <f t="shared" si="37"/>
        <v>27</v>
      </c>
      <c r="L41" s="39"/>
      <c r="M41" s="40">
        <f t="shared" si="0"/>
        <v>0.45018905576553836</v>
      </c>
      <c r="N41" s="39"/>
      <c r="O41" s="72">
        <f t="shared" si="16"/>
        <v>0</v>
      </c>
      <c r="P41" s="41" t="str">
        <f t="shared" si="1"/>
        <v>-</v>
      </c>
      <c r="Q41" s="39"/>
      <c r="R41" s="72">
        <f t="shared" si="17"/>
        <v>8540000000</v>
      </c>
      <c r="S41" s="39"/>
      <c r="T41" s="72">
        <f t="shared" si="18"/>
        <v>8540000000</v>
      </c>
      <c r="U41" s="39"/>
      <c r="V41" s="72">
        <f t="shared" si="2"/>
        <v>0</v>
      </c>
      <c r="W41" s="72">
        <f t="shared" si="19"/>
        <v>0</v>
      </c>
      <c r="X41" s="39"/>
      <c r="Y41" s="72">
        <f t="shared" si="3"/>
        <v>119560000</v>
      </c>
      <c r="Z41" s="72">
        <f t="shared" si="20"/>
        <v>53824603.507327765</v>
      </c>
      <c r="AA41" s="39"/>
      <c r="AB41" s="72">
        <f t="shared" si="4"/>
        <v>0</v>
      </c>
      <c r="AC41" s="72">
        <f t="shared" si="21"/>
        <v>0</v>
      </c>
      <c r="AD41" s="39"/>
      <c r="AE41" s="72">
        <f t="shared" si="5"/>
        <v>0</v>
      </c>
      <c r="AF41" s="72">
        <f t="shared" si="22"/>
        <v>0</v>
      </c>
      <c r="AG41" s="39"/>
      <c r="AH41" s="72">
        <f t="shared" si="6"/>
        <v>440000000.00000006</v>
      </c>
      <c r="AI41" s="72">
        <f t="shared" si="23"/>
        <v>198083184.53683689</v>
      </c>
      <c r="AJ41" s="39"/>
      <c r="AK41" s="72">
        <f t="shared" si="7"/>
        <v>4099200000</v>
      </c>
      <c r="AL41" s="72">
        <f t="shared" si="24"/>
        <v>1845414977.3940949</v>
      </c>
      <c r="AM41" s="39"/>
      <c r="AN41" s="72">
        <f t="shared" si="8"/>
        <v>3757600000</v>
      </c>
      <c r="AO41" s="72">
        <f t="shared" si="25"/>
        <v>1691630395.944587</v>
      </c>
      <c r="AP41" s="39"/>
      <c r="AQ41" s="72">
        <f t="shared" si="9"/>
        <v>1012209600</v>
      </c>
      <c r="AR41" s="72">
        <f t="shared" si="26"/>
        <v>455685684.06081325</v>
      </c>
      <c r="AS41" s="39"/>
      <c r="AT41" s="40">
        <f>IF($K41&lt;=$F$15,IF($F$40&lt;&gt;"",$F$40/1000,IF(ISERROR(VLOOKUP($F$3&amp;IF($G$4&lt;&gt;"",$G$4,"")&amp;IF($F$43&lt;&gt;"","_"&amp;$F$43,""),'表3）燃料価格'!$AF$9:$AG$25,2,0)),0,VLOOKUP($I41,'表3）燃料価格'!$A$6:$U$66,VLOOKUP($F$3&amp;IF($G$4&lt;&gt;"",$G$4,"")&amp;IF($F$43&lt;&gt;"","_"&amp;$F$43,""),'表3）燃料価格'!$AF$9:$AG$25,2,0)+VLOOKUP($F$41,'表3）燃料価格'!$AF$28:$AG$29,2,0),0)*IF($F$43="需要地価格",1,$F$8/$F$141))),"")</f>
        <v>10.77614678288522</v>
      </c>
      <c r="AU41" s="39"/>
      <c r="AV41" s="72">
        <f t="shared" si="10"/>
        <v>17402263312.097477</v>
      </c>
      <c r="AW41" s="72">
        <f t="shared" si="27"/>
        <v>7834308488.6564331</v>
      </c>
      <c r="AX41" s="39"/>
      <c r="AY41" s="40">
        <f>IF(ISERROR(IF($K41&lt;=$F$15,VLOOKUP($I41,'表4）CO2価格'!$A$7:$E$67,VLOOKUP($F$48,'表4）CO2価格'!$H$10:$I$12,2,0),0)*$F$8/1000,"")),0,IF($K41&lt;=$F$15,VLOOKUP($I41,'表4）CO2価格'!$A$7:$E$67,VLOOKUP($F$48,'表4）CO2価格'!$H$10:$I$12,2,0),0)*$F$8/1000,""))</f>
        <v>6.3343999999999809</v>
      </c>
      <c r="AZ41" s="39"/>
      <c r="BA41" s="42">
        <f t="shared" si="11"/>
        <v>20040929471.576214</v>
      </c>
      <c r="BB41" s="72">
        <f t="shared" si="28"/>
        <v>9022207115.4726448</v>
      </c>
      <c r="BC41" s="39"/>
      <c r="BD41" s="72">
        <f t="shared" si="12"/>
        <v>0</v>
      </c>
      <c r="BE41" s="72">
        <f t="shared" si="29"/>
        <v>0</v>
      </c>
      <c r="BF41" s="39"/>
      <c r="BG41" s="42">
        <f t="shared" si="13"/>
        <v>0</v>
      </c>
      <c r="BH41" s="72">
        <f t="shared" si="30"/>
        <v>0</v>
      </c>
      <c r="BI41" s="39"/>
      <c r="BJ41" s="40" t="str">
        <f t="shared" si="31"/>
        <v/>
      </c>
      <c r="BK41" s="157" t="str">
        <f t="shared" si="32"/>
        <v/>
      </c>
      <c r="BL41" s="157" t="str">
        <f t="shared" si="14"/>
        <v/>
      </c>
      <c r="BM41" s="72"/>
      <c r="BN41" s="72" t="str">
        <f t="shared" si="33"/>
        <v/>
      </c>
      <c r="BO41" s="72" t="str">
        <f t="shared" si="34"/>
        <v/>
      </c>
      <c r="BP41" s="39"/>
      <c r="BQ41" s="72">
        <f t="shared" si="15"/>
        <v>4056318000</v>
      </c>
      <c r="BR41" s="72">
        <f t="shared" si="35"/>
        <v>1826109970.3047571</v>
      </c>
    </row>
    <row r="42" spans="3:70" x14ac:dyDescent="0.15">
      <c r="D42" s="81" t="s">
        <v>180</v>
      </c>
      <c r="F42" s="59">
        <v>2000</v>
      </c>
      <c r="G42" s="81" t="s">
        <v>181</v>
      </c>
      <c r="I42" s="322">
        <f t="shared" si="36"/>
        <v>2047</v>
      </c>
      <c r="J42" s="71"/>
      <c r="K42" s="71">
        <f t="shared" si="37"/>
        <v>28</v>
      </c>
      <c r="L42" s="71"/>
      <c r="M42" s="7">
        <f t="shared" si="0"/>
        <v>0.4370767531704256</v>
      </c>
      <c r="N42" s="71"/>
      <c r="O42" s="10">
        <f t="shared" si="16"/>
        <v>0</v>
      </c>
      <c r="P42" s="29" t="str">
        <f t="shared" si="1"/>
        <v>-</v>
      </c>
      <c r="Q42" s="71"/>
      <c r="R42" s="10">
        <f t="shared" si="17"/>
        <v>8540000000</v>
      </c>
      <c r="S42" s="71"/>
      <c r="T42" s="10">
        <f t="shared" si="18"/>
        <v>8540000000</v>
      </c>
      <c r="U42" s="71"/>
      <c r="V42" s="10">
        <f t="shared" si="2"/>
        <v>0</v>
      </c>
      <c r="W42" s="10">
        <f t="shared" si="19"/>
        <v>0</v>
      </c>
      <c r="X42" s="71"/>
      <c r="Y42" s="10">
        <f t="shared" si="3"/>
        <v>119560000</v>
      </c>
      <c r="Z42" s="10">
        <f t="shared" si="20"/>
        <v>52256896.609056085</v>
      </c>
      <c r="AA42" s="71"/>
      <c r="AB42" s="10">
        <f t="shared" si="4"/>
        <v>0</v>
      </c>
      <c r="AC42" s="10">
        <f t="shared" si="21"/>
        <v>0</v>
      </c>
      <c r="AD42" s="71"/>
      <c r="AE42" s="10">
        <f t="shared" si="5"/>
        <v>0</v>
      </c>
      <c r="AF42" s="10">
        <f t="shared" si="22"/>
        <v>0</v>
      </c>
      <c r="AG42" s="71"/>
      <c r="AH42" s="10">
        <f t="shared" si="6"/>
        <v>440000000.00000006</v>
      </c>
      <c r="AI42" s="10">
        <f t="shared" si="23"/>
        <v>192313771.39498729</v>
      </c>
      <c r="AJ42" s="71"/>
      <c r="AK42" s="10">
        <f t="shared" si="7"/>
        <v>4099200000</v>
      </c>
      <c r="AL42" s="10">
        <f t="shared" si="24"/>
        <v>1791665026.5962086</v>
      </c>
      <c r="AM42" s="71"/>
      <c r="AN42" s="10">
        <f t="shared" si="8"/>
        <v>3757600000</v>
      </c>
      <c r="AO42" s="10">
        <f t="shared" si="25"/>
        <v>1642359607.7131913</v>
      </c>
      <c r="AP42" s="71"/>
      <c r="AQ42" s="10">
        <f t="shared" si="9"/>
        <v>1012209600</v>
      </c>
      <c r="AR42" s="10">
        <f t="shared" si="26"/>
        <v>442413285.4959352</v>
      </c>
      <c r="AS42" s="71"/>
      <c r="AT42" s="7">
        <f>IF($K42&lt;=$F$15,IF($F$40&lt;&gt;"",$F$40/1000,IF(ISERROR(VLOOKUP($F$3&amp;IF($G$4&lt;&gt;"",$G$4,"")&amp;IF($F$43&lt;&gt;"","_"&amp;$F$43,""),'表3）燃料価格'!$AF$9:$AG$25,2,0)),0,VLOOKUP($I42,'表3）燃料価格'!$A$6:$U$66,VLOOKUP($F$3&amp;IF($G$4&lt;&gt;"",$G$4,"")&amp;IF($F$43&lt;&gt;"","_"&amp;$F$43,""),'表3）燃料価格'!$AF$9:$AG$25,2,0)+VLOOKUP($F$41,'表3）燃料価格'!$AF$28:$AG$29,2,0),0)*IF($F$43="需要地価格",1,$F$8/$F$141))),"")</f>
        <v>10.762377265694971</v>
      </c>
      <c r="AU42" s="71"/>
      <c r="AV42" s="10">
        <f t="shared" si="10"/>
        <v>17383507988.767429</v>
      </c>
      <c r="AW42" s="10">
        <f t="shared" si="27"/>
        <v>7597927230.4426231</v>
      </c>
      <c r="AX42" s="71"/>
      <c r="AY42" s="7">
        <f>IF(ISERROR(IF($K42&lt;=$F$15,VLOOKUP($I42,'表4）CO2価格'!$A$7:$E$67,VLOOKUP($F$48,'表4）CO2価格'!$H$10:$I$12,2,0),0)*$F$8/1000,"")),0,IF($K42&lt;=$F$15,VLOOKUP($I42,'表4）CO2価格'!$A$7:$E$67,VLOOKUP($F$48,'表4）CO2価格'!$H$10:$I$12,2,0),0)*$F$8/1000,""))</f>
        <v>6.4628000000000103</v>
      </c>
      <c r="AZ42" s="71"/>
      <c r="BA42" s="11">
        <f t="shared" si="11"/>
        <v>20447164528.432583</v>
      </c>
      <c r="BB42" s="10">
        <f t="shared" si="28"/>
        <v>8936980283.628809</v>
      </c>
      <c r="BC42" s="71"/>
      <c r="BD42" s="10">
        <f t="shared" si="12"/>
        <v>0</v>
      </c>
      <c r="BE42" s="10">
        <f t="shared" si="29"/>
        <v>0</v>
      </c>
      <c r="BF42" s="71"/>
      <c r="BG42" s="11">
        <f t="shared" si="13"/>
        <v>0</v>
      </c>
      <c r="BH42" s="10">
        <f t="shared" si="30"/>
        <v>0</v>
      </c>
      <c r="BJ42" s="7" t="str">
        <f t="shared" si="31"/>
        <v/>
      </c>
      <c r="BK42" s="158" t="str">
        <f t="shared" si="32"/>
        <v/>
      </c>
      <c r="BL42" s="158" t="str">
        <f t="shared" si="14"/>
        <v/>
      </c>
      <c r="BM42" s="10"/>
      <c r="BN42" s="10" t="str">
        <f t="shared" si="33"/>
        <v/>
      </c>
      <c r="BO42" s="10" t="str">
        <f t="shared" si="34"/>
        <v/>
      </c>
      <c r="BQ42" s="10">
        <f t="shared" si="15"/>
        <v>4056318000</v>
      </c>
      <c r="BR42" s="10">
        <f t="shared" si="35"/>
        <v>1772922301.2667544</v>
      </c>
    </row>
    <row r="43" spans="3:70" x14ac:dyDescent="0.15">
      <c r="D43" s="82" t="s">
        <v>126</v>
      </c>
      <c r="F43" s="88"/>
      <c r="I43" s="38">
        <f t="shared" si="36"/>
        <v>2048</v>
      </c>
      <c r="J43" s="39"/>
      <c r="K43" s="39">
        <f t="shared" si="37"/>
        <v>29</v>
      </c>
      <c r="L43" s="39"/>
      <c r="M43" s="40">
        <f t="shared" si="0"/>
        <v>0.42434636230138412</v>
      </c>
      <c r="N43" s="39"/>
      <c r="O43" s="72">
        <f t="shared" si="16"/>
        <v>0</v>
      </c>
      <c r="P43" s="41" t="str">
        <f t="shared" si="1"/>
        <v>-</v>
      </c>
      <c r="Q43" s="39"/>
      <c r="R43" s="72">
        <f t="shared" si="17"/>
        <v>8540000000</v>
      </c>
      <c r="S43" s="39"/>
      <c r="T43" s="72">
        <f t="shared" si="18"/>
        <v>8540000000</v>
      </c>
      <c r="U43" s="39"/>
      <c r="V43" s="72">
        <f t="shared" si="2"/>
        <v>0</v>
      </c>
      <c r="W43" s="72">
        <f t="shared" si="19"/>
        <v>0</v>
      </c>
      <c r="X43" s="39"/>
      <c r="Y43" s="72">
        <f t="shared" si="3"/>
        <v>119560000</v>
      </c>
      <c r="Z43" s="72">
        <f t="shared" si="20"/>
        <v>50734851.076753482</v>
      </c>
      <c r="AA43" s="39"/>
      <c r="AB43" s="72">
        <f t="shared" si="4"/>
        <v>0</v>
      </c>
      <c r="AC43" s="72">
        <f t="shared" si="21"/>
        <v>0</v>
      </c>
      <c r="AD43" s="39"/>
      <c r="AE43" s="72">
        <f t="shared" si="5"/>
        <v>0</v>
      </c>
      <c r="AF43" s="72">
        <f t="shared" si="22"/>
        <v>0</v>
      </c>
      <c r="AG43" s="39"/>
      <c r="AH43" s="72">
        <f t="shared" si="6"/>
        <v>440000000.00000006</v>
      </c>
      <c r="AI43" s="72">
        <f t="shared" si="23"/>
        <v>186712399.41260904</v>
      </c>
      <c r="AJ43" s="39"/>
      <c r="AK43" s="72">
        <f t="shared" si="7"/>
        <v>4099200000</v>
      </c>
      <c r="AL43" s="72">
        <f t="shared" si="24"/>
        <v>1739480608.3458338</v>
      </c>
      <c r="AM43" s="39"/>
      <c r="AN43" s="72">
        <f t="shared" si="8"/>
        <v>3757600000</v>
      </c>
      <c r="AO43" s="72">
        <f t="shared" si="25"/>
        <v>1594523890.983681</v>
      </c>
      <c r="AP43" s="39"/>
      <c r="AQ43" s="72">
        <f t="shared" si="9"/>
        <v>1012209600</v>
      </c>
      <c r="AR43" s="72">
        <f t="shared" si="26"/>
        <v>429527461.64653909</v>
      </c>
      <c r="AS43" s="39"/>
      <c r="AT43" s="40">
        <f>IF($K43&lt;=$F$15,IF($F$40&lt;&gt;"",$F$40/1000,IF(ISERROR(VLOOKUP($F$3&amp;IF($G$4&lt;&gt;"",$G$4,"")&amp;IF($F$43&lt;&gt;"","_"&amp;$F$43,""),'表3）燃料価格'!$AF$9:$AG$25,2,0)),0,VLOOKUP($I43,'表3）燃料価格'!$A$6:$U$66,VLOOKUP($F$3&amp;IF($G$4&lt;&gt;"",$G$4,"")&amp;IF($F$43&lt;&gt;"","_"&amp;$F$43,""),'表3）燃料価格'!$AF$9:$AG$25,2,0)+VLOOKUP($F$41,'表3）燃料価格'!$AF$28:$AG$29,2,0),0)*IF($F$43="需要地価格",1,$F$8/$F$141))),"")</f>
        <v>10.749018840862531</v>
      </c>
      <c r="AU43" s="39"/>
      <c r="AV43" s="72">
        <f t="shared" si="10"/>
        <v>17365312610.2766</v>
      </c>
      <c r="AW43" s="72">
        <f t="shared" si="27"/>
        <v>7368907236.3972282</v>
      </c>
      <c r="AX43" s="39"/>
      <c r="AY43" s="40">
        <f>IF(ISERROR(IF($K43&lt;=$F$15,VLOOKUP($I43,'表4）CO2価格'!$A$7:$E$67,VLOOKUP($F$48,'表4）CO2価格'!$H$10:$I$12,2,0),0)*$F$8/1000,"")),0,IF($K43&lt;=$F$15,VLOOKUP($I43,'表4）CO2価格'!$A$7:$E$67,VLOOKUP($F$48,'表4）CO2価格'!$H$10:$I$12,2,0),0)*$F$8/1000,""))</f>
        <v>6.59119999999999</v>
      </c>
      <c r="AZ43" s="39"/>
      <c r="BA43" s="42">
        <f t="shared" si="11"/>
        <v>20853399585.288792</v>
      </c>
      <c r="BB43" s="72">
        <f t="shared" si="28"/>
        <v>8849064255.634491</v>
      </c>
      <c r="BC43" s="39"/>
      <c r="BD43" s="72">
        <f t="shared" si="12"/>
        <v>0</v>
      </c>
      <c r="BE43" s="72">
        <f t="shared" si="29"/>
        <v>0</v>
      </c>
      <c r="BF43" s="39"/>
      <c r="BG43" s="42">
        <f t="shared" si="13"/>
        <v>0</v>
      </c>
      <c r="BH43" s="72">
        <f t="shared" si="30"/>
        <v>0</v>
      </c>
      <c r="BI43" s="39"/>
      <c r="BJ43" s="40" t="str">
        <f t="shared" si="31"/>
        <v/>
      </c>
      <c r="BK43" s="157" t="str">
        <f t="shared" si="32"/>
        <v/>
      </c>
      <c r="BL43" s="157" t="str">
        <f t="shared" si="14"/>
        <v/>
      </c>
      <c r="BM43" s="72"/>
      <c r="BN43" s="72" t="str">
        <f t="shared" si="33"/>
        <v/>
      </c>
      <c r="BO43" s="72" t="str">
        <f t="shared" si="34"/>
        <v/>
      </c>
      <c r="BP43" s="39"/>
      <c r="BQ43" s="72">
        <f t="shared" si="15"/>
        <v>4056318000</v>
      </c>
      <c r="BR43" s="72">
        <f t="shared" si="35"/>
        <v>1721283787.6376259</v>
      </c>
    </row>
    <row r="44" spans="3:70" x14ac:dyDescent="0.15">
      <c r="I44" s="322">
        <f t="shared" si="36"/>
        <v>2049</v>
      </c>
      <c r="J44" s="71"/>
      <c r="K44" s="71">
        <f t="shared" si="37"/>
        <v>30</v>
      </c>
      <c r="L44" s="71"/>
      <c r="M44" s="7">
        <f t="shared" si="0"/>
        <v>0.41198675951590691</v>
      </c>
      <c r="N44" s="71"/>
      <c r="O44" s="10">
        <f t="shared" si="16"/>
        <v>0</v>
      </c>
      <c r="P44" s="29" t="str">
        <f t="shared" si="1"/>
        <v>-</v>
      </c>
      <c r="Q44" s="71"/>
      <c r="R44" s="10">
        <f t="shared" si="17"/>
        <v>8540000000</v>
      </c>
      <c r="S44" s="71"/>
      <c r="T44" s="10">
        <f t="shared" si="18"/>
        <v>8540000000</v>
      </c>
      <c r="U44" s="71"/>
      <c r="V44" s="10">
        <f t="shared" si="2"/>
        <v>0</v>
      </c>
      <c r="W44" s="10">
        <f t="shared" si="19"/>
        <v>0</v>
      </c>
      <c r="X44" s="71"/>
      <c r="Y44" s="10">
        <f t="shared" si="3"/>
        <v>119560000</v>
      </c>
      <c r="Z44" s="10">
        <f t="shared" si="20"/>
        <v>49257136.967721827</v>
      </c>
      <c r="AA44" s="71"/>
      <c r="AB44" s="10">
        <f t="shared" si="4"/>
        <v>0</v>
      </c>
      <c r="AC44" s="10">
        <f t="shared" si="21"/>
        <v>0</v>
      </c>
      <c r="AD44" s="71"/>
      <c r="AE44" s="10">
        <f t="shared" si="5"/>
        <v>0</v>
      </c>
      <c r="AF44" s="10">
        <f t="shared" si="22"/>
        <v>0</v>
      </c>
      <c r="AG44" s="71"/>
      <c r="AH44" s="10">
        <f t="shared" si="6"/>
        <v>440000000.00000006</v>
      </c>
      <c r="AI44" s="10">
        <f t="shared" si="23"/>
        <v>181274174.18699905</v>
      </c>
      <c r="AJ44" s="71"/>
      <c r="AK44" s="10">
        <f t="shared" si="7"/>
        <v>4099200000</v>
      </c>
      <c r="AL44" s="10">
        <f t="shared" si="24"/>
        <v>1688816124.6076057</v>
      </c>
      <c r="AM44" s="71"/>
      <c r="AN44" s="10">
        <f t="shared" si="8"/>
        <v>3757600000</v>
      </c>
      <c r="AO44" s="10">
        <f t="shared" si="25"/>
        <v>1548081447.5569718</v>
      </c>
      <c r="AP44" s="71"/>
      <c r="AQ44" s="10">
        <f t="shared" si="9"/>
        <v>1012209600</v>
      </c>
      <c r="AR44" s="10">
        <f t="shared" si="26"/>
        <v>417016953.0548923</v>
      </c>
      <c r="AS44" s="71"/>
      <c r="AT44" s="7">
        <f>IF($K44&lt;=$F$15,IF($F$40&lt;&gt;"",$F$40/1000,IF(ISERROR(VLOOKUP($F$3&amp;IF($G$4&lt;&gt;"",$G$4,"")&amp;IF($F$43&lt;&gt;"","_"&amp;$F$43,""),'表3）燃料価格'!$AF$9:$AG$25,2,0)),0,VLOOKUP($I44,'表3）燃料価格'!$A$6:$U$66,VLOOKUP($F$3&amp;IF($G$4&lt;&gt;"",$G$4,"")&amp;IF($F$43&lt;&gt;"","_"&amp;$F$43,""),'表3）燃料価格'!$AF$9:$AG$25,2,0)+VLOOKUP($F$41,'表3）燃料価格'!$AF$28:$AG$29,2,0),0)*IF($F$43="需要地価格",1,$F$8/$F$141))),"")</f>
        <v>10.736047671787711</v>
      </c>
      <c r="AU44" s="71"/>
      <c r="AV44" s="10">
        <f t="shared" si="10"/>
        <v>17347644709.027363</v>
      </c>
      <c r="AW44" s="10">
        <f t="shared" si="27"/>
        <v>7146999928.9054508</v>
      </c>
      <c r="AX44" s="71"/>
      <c r="AY44" s="7">
        <f>IF(ISERROR(IF($K44&lt;=$F$15,VLOOKUP($I44,'表4）CO2価格'!$A$7:$E$67,VLOOKUP($F$48,'表4）CO2価格'!$H$10:$I$12,2,0),0)*$F$8/1000,"")),0,IF($K44&lt;=$F$15,VLOOKUP($I44,'表4）CO2価格'!$A$7:$E$67,VLOOKUP($F$48,'表4）CO2価格'!$H$10:$I$12,2,0),0)*$F$8/1000,""))</f>
        <v>6.7195999999999714</v>
      </c>
      <c r="AZ44" s="71"/>
      <c r="BA44" s="11">
        <f t="shared" si="11"/>
        <v>21259634642.145012</v>
      </c>
      <c r="BB44" s="10">
        <f t="shared" si="28"/>
        <v>8758687984.7094402</v>
      </c>
      <c r="BC44" s="71"/>
      <c r="BD44" s="10">
        <f t="shared" si="12"/>
        <v>0</v>
      </c>
      <c r="BE44" s="10">
        <f t="shared" si="29"/>
        <v>0</v>
      </c>
      <c r="BF44" s="71"/>
      <c r="BG44" s="11">
        <f t="shared" si="13"/>
        <v>0</v>
      </c>
      <c r="BH44" s="10">
        <f t="shared" si="30"/>
        <v>0</v>
      </c>
      <c r="BJ44" s="7" t="str">
        <f t="shared" si="31"/>
        <v/>
      </c>
      <c r="BK44" s="158" t="str">
        <f t="shared" si="32"/>
        <v/>
      </c>
      <c r="BL44" s="158" t="str">
        <f t="shared" si="14"/>
        <v/>
      </c>
      <c r="BM44" s="10"/>
      <c r="BN44" s="10" t="str">
        <f t="shared" si="33"/>
        <v/>
      </c>
      <c r="BO44" s="10" t="str">
        <f t="shared" si="34"/>
        <v/>
      </c>
      <c r="BQ44" s="10">
        <f t="shared" si="15"/>
        <v>4056318000</v>
      </c>
      <c r="BR44" s="10">
        <f t="shared" si="35"/>
        <v>1671149308.3860445</v>
      </c>
    </row>
    <row r="45" spans="3:70" x14ac:dyDescent="0.15">
      <c r="C45" s="89" t="s">
        <v>509</v>
      </c>
      <c r="D45" s="101"/>
      <c r="E45" s="101"/>
      <c r="F45" s="89"/>
      <c r="G45" s="101"/>
      <c r="I45" s="38">
        <f t="shared" si="36"/>
        <v>2050</v>
      </c>
      <c r="J45" s="39"/>
      <c r="K45" s="39">
        <f t="shared" si="37"/>
        <v>31</v>
      </c>
      <c r="L45" s="39"/>
      <c r="M45" s="40">
        <f t="shared" si="0"/>
        <v>0.39998714516107459</v>
      </c>
      <c r="N45" s="39"/>
      <c r="O45" s="72">
        <f t="shared" si="16"/>
        <v>0</v>
      </c>
      <c r="P45" s="41" t="str">
        <f t="shared" si="1"/>
        <v>-</v>
      </c>
      <c r="Q45" s="39"/>
      <c r="R45" s="72">
        <f t="shared" si="17"/>
        <v>8540000000</v>
      </c>
      <c r="S45" s="39"/>
      <c r="T45" s="72">
        <f t="shared" si="18"/>
        <v>8540000000</v>
      </c>
      <c r="U45" s="39"/>
      <c r="V45" s="72">
        <f t="shared" si="2"/>
        <v>0</v>
      </c>
      <c r="W45" s="72">
        <f t="shared" si="19"/>
        <v>0</v>
      </c>
      <c r="X45" s="39"/>
      <c r="Y45" s="72">
        <f t="shared" si="3"/>
        <v>119560000</v>
      </c>
      <c r="Z45" s="72">
        <f t="shared" si="20"/>
        <v>47822463.07545808</v>
      </c>
      <c r="AA45" s="39"/>
      <c r="AB45" s="72">
        <f t="shared" si="4"/>
        <v>0</v>
      </c>
      <c r="AC45" s="72">
        <f t="shared" si="21"/>
        <v>0</v>
      </c>
      <c r="AD45" s="39"/>
      <c r="AE45" s="72">
        <f t="shared" si="5"/>
        <v>0</v>
      </c>
      <c r="AF45" s="72">
        <f t="shared" si="22"/>
        <v>0</v>
      </c>
      <c r="AG45" s="39"/>
      <c r="AH45" s="72">
        <f t="shared" si="6"/>
        <v>440000000.00000006</v>
      </c>
      <c r="AI45" s="72">
        <f t="shared" si="23"/>
        <v>175994343.87087286</v>
      </c>
      <c r="AJ45" s="39"/>
      <c r="AK45" s="72">
        <f t="shared" si="7"/>
        <v>4099200000</v>
      </c>
      <c r="AL45" s="72">
        <f t="shared" si="24"/>
        <v>1639627305.444277</v>
      </c>
      <c r="AM45" s="39"/>
      <c r="AN45" s="72">
        <f t="shared" si="8"/>
        <v>3757600000</v>
      </c>
      <c r="AO45" s="72">
        <f t="shared" si="25"/>
        <v>1502991696.657254</v>
      </c>
      <c r="AP45" s="39"/>
      <c r="AQ45" s="72">
        <f t="shared" si="9"/>
        <v>1012209600</v>
      </c>
      <c r="AR45" s="72">
        <f t="shared" si="26"/>
        <v>404870828.20863324</v>
      </c>
      <c r="AS45" s="39"/>
      <c r="AT45" s="40">
        <f>IF($K45&lt;=$F$15,IF($F$40&lt;&gt;"",$F$40/1000,IF(ISERROR(VLOOKUP($F$3&amp;IF($G$4&lt;&gt;"",$G$4,"")&amp;IF($F$43&lt;&gt;"","_"&amp;$F$43,""),'表3）燃料価格'!$AF$9:$AG$25,2,0)),0,VLOOKUP($I45,'表3）燃料価格'!$A$6:$U$66,VLOOKUP($F$3&amp;IF($G$4&lt;&gt;"",$G$4,"")&amp;IF($F$43&lt;&gt;"","_"&amp;$F$43,""),'表3）燃料価格'!$AF$9:$AG$25,2,0)+VLOOKUP($F$41,'表3）燃料価格'!$AF$28:$AG$29,2,0),0)*IF($F$43="需要地価格",1,$F$8/$F$141))),"")</f>
        <v>10.723441936787916</v>
      </c>
      <c r="AU45" s="39"/>
      <c r="AV45" s="72">
        <f t="shared" si="10"/>
        <v>17330474561.921444</v>
      </c>
      <c r="AW45" s="72">
        <f t="shared" si="27"/>
        <v>6931967044.3095827</v>
      </c>
      <c r="AX45" s="39"/>
      <c r="AY45" s="40">
        <f>IF(ISERROR(IF($K45&lt;=$F$15,VLOOKUP($I45,'表4）CO2価格'!$A$7:$E$67,VLOOKUP($F$48,'表4）CO2価格'!$H$10:$I$12,2,0),0)*$F$8/1000,"")),0,IF($K45&lt;=$F$15,VLOOKUP($I45,'表4）CO2価格'!$A$7:$E$67,VLOOKUP($F$48,'表4）CO2価格'!$H$10:$I$12,2,0),0)*$F$8/1000,""))</f>
        <v>6.8479999999999999</v>
      </c>
      <c r="AZ45" s="39"/>
      <c r="BA45" s="42">
        <f t="shared" si="11"/>
        <v>21665869699.001377</v>
      </c>
      <c r="BB45" s="72">
        <f t="shared" si="28"/>
        <v>8666069368.335392</v>
      </c>
      <c r="BC45" s="39"/>
      <c r="BD45" s="72">
        <f t="shared" si="12"/>
        <v>0</v>
      </c>
      <c r="BE45" s="72">
        <f t="shared" si="29"/>
        <v>0</v>
      </c>
      <c r="BF45" s="39"/>
      <c r="BG45" s="42">
        <f t="shared" si="13"/>
        <v>0</v>
      </c>
      <c r="BH45" s="72">
        <f t="shared" si="30"/>
        <v>0</v>
      </c>
      <c r="BI45" s="39"/>
      <c r="BJ45" s="40" t="str">
        <f t="shared" si="31"/>
        <v/>
      </c>
      <c r="BK45" s="157" t="str">
        <f t="shared" si="32"/>
        <v/>
      </c>
      <c r="BL45" s="157" t="str">
        <f t="shared" si="14"/>
        <v/>
      </c>
      <c r="BM45" s="72"/>
      <c r="BN45" s="72" t="str">
        <f t="shared" si="33"/>
        <v/>
      </c>
      <c r="BO45" s="72" t="str">
        <f t="shared" si="34"/>
        <v/>
      </c>
      <c r="BP45" s="39"/>
      <c r="BQ45" s="72">
        <f t="shared" si="15"/>
        <v>4056318000</v>
      </c>
      <c r="BR45" s="72">
        <f t="shared" si="35"/>
        <v>1622475056.6854796</v>
      </c>
    </row>
    <row r="46" spans="3:70" x14ac:dyDescent="0.15">
      <c r="I46" s="322">
        <f t="shared" si="36"/>
        <v>2051</v>
      </c>
      <c r="J46" s="71"/>
      <c r="K46" s="71">
        <f t="shared" si="37"/>
        <v>32</v>
      </c>
      <c r="L46" s="71"/>
      <c r="M46" s="7">
        <f t="shared" si="0"/>
        <v>0.38833703413696569</v>
      </c>
      <c r="N46" s="71"/>
      <c r="O46" s="10">
        <f t="shared" si="16"/>
        <v>0</v>
      </c>
      <c r="P46" s="29" t="str">
        <f t="shared" si="1"/>
        <v>-</v>
      </c>
      <c r="Q46" s="71"/>
      <c r="R46" s="10">
        <f t="shared" si="17"/>
        <v>8540000000</v>
      </c>
      <c r="S46" s="71"/>
      <c r="T46" s="10">
        <f t="shared" si="18"/>
        <v>8540000000</v>
      </c>
      <c r="U46" s="71"/>
      <c r="V46" s="10">
        <f t="shared" si="2"/>
        <v>0</v>
      </c>
      <c r="W46" s="10">
        <f t="shared" si="19"/>
        <v>0</v>
      </c>
      <c r="X46" s="71"/>
      <c r="Y46" s="10">
        <f t="shared" si="3"/>
        <v>119560000</v>
      </c>
      <c r="Z46" s="10">
        <f t="shared" si="20"/>
        <v>46429575.801415615</v>
      </c>
      <c r="AA46" s="71"/>
      <c r="AB46" s="10">
        <f t="shared" si="4"/>
        <v>0</v>
      </c>
      <c r="AC46" s="10">
        <f t="shared" si="21"/>
        <v>0</v>
      </c>
      <c r="AD46" s="71"/>
      <c r="AE46" s="10">
        <f t="shared" si="5"/>
        <v>0</v>
      </c>
      <c r="AF46" s="10">
        <f t="shared" si="22"/>
        <v>0</v>
      </c>
      <c r="AG46" s="71"/>
      <c r="AH46" s="10">
        <f t="shared" si="6"/>
        <v>440000000.00000006</v>
      </c>
      <c r="AI46" s="10">
        <f t="shared" si="23"/>
        <v>170868295.02026492</v>
      </c>
      <c r="AJ46" s="71"/>
      <c r="AK46" s="10">
        <f t="shared" si="7"/>
        <v>4099200000</v>
      </c>
      <c r="AL46" s="10">
        <f t="shared" si="24"/>
        <v>1591871170.3342497</v>
      </c>
      <c r="AM46" s="71"/>
      <c r="AN46" s="10">
        <f t="shared" si="8"/>
        <v>3757600000</v>
      </c>
      <c r="AO46" s="10">
        <f t="shared" si="25"/>
        <v>1459215239.4730623</v>
      </c>
      <c r="AP46" s="71"/>
      <c r="AQ46" s="10">
        <f t="shared" si="9"/>
        <v>1012209600</v>
      </c>
      <c r="AR46" s="10">
        <f t="shared" si="26"/>
        <v>393078473.98896438</v>
      </c>
      <c r="AS46" s="71"/>
      <c r="AT46" s="7">
        <f>IF($K46&lt;=$F$15,IF($F$40&lt;&gt;"",$F$40/1000,IF(ISERROR(VLOOKUP($F$3&amp;IF($G$4&lt;&gt;"",$G$4,"")&amp;IF($F$43&lt;&gt;"","_"&amp;$F$43,""),'表3）燃料価格'!$AF$9:$AG$25,2,0)),0,VLOOKUP($I46,'表3）燃料価格'!$A$6:$U$66,VLOOKUP($F$3&amp;IF($G$4&lt;&gt;"",$G$4,"")&amp;IF($F$43&lt;&gt;"","_"&amp;$F$43,""),'表3）燃料価格'!$AF$9:$AG$25,2,0)+VLOOKUP($F$41,'表3）燃料価格'!$AF$28:$AG$29,2,0),0)*IF($F$43="需要地価格",1,$F$8/$F$141))),"")</f>
        <v>10.711181608212062</v>
      </c>
      <c r="AU46" s="71"/>
      <c r="AV46" s="10">
        <f t="shared" si="10"/>
        <v>17313774889.49316</v>
      </c>
      <c r="AW46" s="10">
        <f t="shared" si="27"/>
        <v>6723579990.3008451</v>
      </c>
      <c r="AX46" s="71"/>
      <c r="AY46" s="7">
        <f>IF(ISERROR(IF($K46&lt;=$F$15,VLOOKUP($I46,'表4）CO2価格'!$A$7:$E$67,VLOOKUP($F$48,'表4）CO2価格'!$H$10:$I$12,2,0),0)*$F$8/1000,"")),0,IF($K46&lt;=$F$15,VLOOKUP($I46,'表4）CO2価格'!$A$7:$E$67,VLOOKUP($F$48,'表4）CO2価格'!$H$10:$I$12,2,0),0)*$F$8/1000,""))</f>
        <v>7.0184806169104448</v>
      </c>
      <c r="AZ46" s="71"/>
      <c r="BA46" s="11">
        <f t="shared" si="11"/>
        <v>22205240439.682899</v>
      </c>
      <c r="BB46" s="10">
        <f t="shared" si="28"/>
        <v>8623117214.6446686</v>
      </c>
      <c r="BC46" s="71"/>
      <c r="BD46" s="10">
        <f t="shared" si="12"/>
        <v>0</v>
      </c>
      <c r="BE46" s="10">
        <f t="shared" si="29"/>
        <v>0</v>
      </c>
      <c r="BF46" s="71"/>
      <c r="BG46" s="11">
        <f t="shared" si="13"/>
        <v>0</v>
      </c>
      <c r="BH46" s="10">
        <f t="shared" si="30"/>
        <v>0</v>
      </c>
      <c r="BJ46" s="7" t="str">
        <f t="shared" si="31"/>
        <v/>
      </c>
      <c r="BK46" s="158" t="str">
        <f t="shared" si="32"/>
        <v/>
      </c>
      <c r="BL46" s="158" t="str">
        <f t="shared" si="14"/>
        <v/>
      </c>
      <c r="BM46" s="10"/>
      <c r="BN46" s="10" t="str">
        <f t="shared" si="33"/>
        <v/>
      </c>
      <c r="BO46" s="10" t="str">
        <f t="shared" si="34"/>
        <v/>
      </c>
      <c r="BQ46" s="10">
        <f t="shared" si="15"/>
        <v>4056318000</v>
      </c>
      <c r="BR46" s="10">
        <f t="shared" si="35"/>
        <v>1575218501.6363883</v>
      </c>
    </row>
    <row r="47" spans="3:70" x14ac:dyDescent="0.15">
      <c r="D47" s="81" t="s">
        <v>182</v>
      </c>
      <c r="F47" s="66">
        <v>24.29</v>
      </c>
      <c r="G47" s="81" t="s">
        <v>183</v>
      </c>
      <c r="I47" s="38">
        <f t="shared" si="36"/>
        <v>2052</v>
      </c>
      <c r="J47" s="39"/>
      <c r="K47" s="39">
        <f t="shared" si="37"/>
        <v>33</v>
      </c>
      <c r="L47" s="39"/>
      <c r="M47" s="40">
        <f t="shared" ref="M47:M78" si="38">1/(1+($F$9/100))^K47</f>
        <v>0.37702624673491814</v>
      </c>
      <c r="N47" s="39"/>
      <c r="O47" s="72">
        <f t="shared" si="16"/>
        <v>0</v>
      </c>
      <c r="P47" s="41" t="str">
        <f t="shared" ref="P47:P78" si="39">IF(K47&lt;=$F$15,IF(OR(P46=$F$124,P46="-"),"-",IF(O47*$F$123&gt;$F$127,$F$123,$F$124)),"")</f>
        <v>-</v>
      </c>
      <c r="Q47" s="39"/>
      <c r="R47" s="72">
        <f t="shared" si="17"/>
        <v>8540000000</v>
      </c>
      <c r="S47" s="39"/>
      <c r="T47" s="72">
        <f t="shared" si="18"/>
        <v>8540000000</v>
      </c>
      <c r="U47" s="39"/>
      <c r="V47" s="72">
        <f t="shared" ref="V47:V78" si="40">IF(K47&lt;=$F$15,IF(K47&lt;$F$119,IF(P47="-",V46,O47*P47),IF(K47=$F$119,MIN(IF(P47="-",V46,O47*P47),O47),0)),"")</f>
        <v>0</v>
      </c>
      <c r="W47" s="72">
        <f t="shared" si="19"/>
        <v>0</v>
      </c>
      <c r="X47" s="39"/>
      <c r="Y47" s="72">
        <f t="shared" ref="Y47:Y78" si="41">IF($K47&lt;=$F$15,ROUNDDOWN(T47*$F$25/100,-2),"")</f>
        <v>119560000</v>
      </c>
      <c r="Z47" s="72">
        <f t="shared" si="20"/>
        <v>45077258.05962681</v>
      </c>
      <c r="AA47" s="39"/>
      <c r="AB47" s="72">
        <f t="shared" si="4"/>
        <v>0</v>
      </c>
      <c r="AC47" s="72">
        <f t="shared" si="21"/>
        <v>0</v>
      </c>
      <c r="AD47" s="39"/>
      <c r="AE47" s="72">
        <f t="shared" ref="AE47:AE78" si="42">IF($K47&lt;=$F$15,$F$26,"")</f>
        <v>0</v>
      </c>
      <c r="AF47" s="72">
        <f t="shared" si="22"/>
        <v>0</v>
      </c>
      <c r="AG47" s="39"/>
      <c r="AH47" s="72">
        <f t="shared" ref="AH47:AH78" si="43">IF($K47&lt;=$F$15,$F$33*10^8,"")</f>
        <v>440000000.00000006</v>
      </c>
      <c r="AI47" s="72">
        <f t="shared" si="23"/>
        <v>165891548.563364</v>
      </c>
      <c r="AJ47" s="39"/>
      <c r="AK47" s="72">
        <f t="shared" ref="AK47:AK78" si="44">IF($K47&lt;=$F$15,$F$117*$F$34/100,"")</f>
        <v>4099200000</v>
      </c>
      <c r="AL47" s="72">
        <f t="shared" si="24"/>
        <v>1545505990.6157765</v>
      </c>
      <c r="AM47" s="39"/>
      <c r="AN47" s="72">
        <f t="shared" ref="AN47:AN78" si="45">IF($K47&lt;=$F$15,$F$117*$F$35/100,"")</f>
        <v>3757600000</v>
      </c>
      <c r="AO47" s="72">
        <f t="shared" si="25"/>
        <v>1416713824.7311285</v>
      </c>
      <c r="AP47" s="39"/>
      <c r="AQ47" s="72">
        <f t="shared" ref="AQ47:AQ78" si="46">IF($K47&lt;=$F$15,SUM(AH47,AK47,AN47)*($F$36/100),"")</f>
        <v>1012209600</v>
      </c>
      <c r="AR47" s="72">
        <f t="shared" si="26"/>
        <v>381629586.39705276</v>
      </c>
      <c r="AS47" s="39"/>
      <c r="AT47" s="40">
        <f>IF($K47&lt;=$F$15,IF($F$40&lt;&gt;"",$F$40/1000,IF(ISERROR(VLOOKUP($F$3&amp;IF($G$4&lt;&gt;"",$G$4,"")&amp;IF($F$43&lt;&gt;"","_"&amp;$F$43,""),'表3）燃料価格'!$AF$9:$AG$25,2,0)),0,VLOOKUP($I47,'表3）燃料価格'!$A$6:$U$66,VLOOKUP($F$3&amp;IF($G$4&lt;&gt;"",$G$4,"")&amp;IF($F$43&lt;&gt;"","_"&amp;$F$43,""),'表3）燃料価格'!$AF$9:$AG$25,2,0)+VLOOKUP($F$41,'表3）燃料価格'!$AF$28:$AG$29,2,0),0)*IF($F$43="需要地価格",1,$F$8/$F$141))),"")</f>
        <v>10.699248261017217</v>
      </c>
      <c r="AU47" s="39"/>
      <c r="AV47" s="72">
        <f t="shared" ref="AV47:AV78" si="47">IF($K47&lt;=$F$15,($AT47+$F$142)*$F$137,"")</f>
        <v>17297520595.173565</v>
      </c>
      <c r="AW47" s="72">
        <f t="shared" si="27"/>
        <v>6521619267.8182364</v>
      </c>
      <c r="AX47" s="39"/>
      <c r="AY47" s="40">
        <f>IF(ISERROR(IF($K47&lt;=$F$15,VLOOKUP($I47,'表4）CO2価格'!$A$7:$E$67,VLOOKUP($F$48,'表4）CO2価格'!$H$10:$I$12,2,0),0)*$F$8/1000,"")),0,IF($K47&lt;=$F$15,VLOOKUP($I47,'表4）CO2価格'!$A$7:$E$67,VLOOKUP($F$48,'表4）CO2価格'!$H$10:$I$12,2,0),0)*$F$8/1000,""))</f>
        <v>7.1500080975609199</v>
      </c>
      <c r="AZ47" s="39"/>
      <c r="BA47" s="42">
        <f t="shared" ref="BA47:BA78" si="48">IF($K47&lt;=$F$15,$F$145*AY47,"")</f>
        <v>22621370296.226578</v>
      </c>
      <c r="BB47" s="72">
        <f t="shared" si="28"/>
        <v>8528850338.7870703</v>
      </c>
      <c r="BC47" s="39"/>
      <c r="BD47" s="72">
        <f t="shared" ref="BD47:BD78" si="49">IF($K47&lt;=$F$15,($AT47+$F$152)*$F$151,"")</f>
        <v>0</v>
      </c>
      <c r="BE47" s="72">
        <f t="shared" si="29"/>
        <v>0</v>
      </c>
      <c r="BF47" s="39"/>
      <c r="BG47" s="42">
        <f t="shared" ref="BG47:BG78" si="50">IF($K47&lt;=$F$15,$F$153*AY47,"")</f>
        <v>0</v>
      </c>
      <c r="BH47" s="72">
        <f t="shared" si="30"/>
        <v>0</v>
      </c>
      <c r="BI47" s="39"/>
      <c r="BJ47" s="40" t="str">
        <f t="shared" si="31"/>
        <v/>
      </c>
      <c r="BK47" s="157" t="str">
        <f t="shared" si="32"/>
        <v/>
      </c>
      <c r="BL47" s="157" t="str">
        <f t="shared" si="14"/>
        <v/>
      </c>
      <c r="BM47" s="72"/>
      <c r="BN47" s="72" t="str">
        <f t="shared" si="33"/>
        <v/>
      </c>
      <c r="BO47" s="72" t="str">
        <f t="shared" si="34"/>
        <v/>
      </c>
      <c r="BP47" s="39"/>
      <c r="BQ47" s="72">
        <f t="shared" ref="BQ47:BQ78" si="51">IF($K47&lt;=$F$15,$F$134,"")</f>
        <v>4056318000</v>
      </c>
      <c r="BR47" s="72">
        <f t="shared" si="35"/>
        <v>1529338351.1032896</v>
      </c>
    </row>
    <row r="48" spans="3:70" x14ac:dyDescent="0.15">
      <c r="D48" s="81" t="s">
        <v>184</v>
      </c>
      <c r="F48" s="88" t="str">
        <f>まとめ!B5</f>
        <v>WEO2020　STEPS</v>
      </c>
      <c r="I48" s="322">
        <f t="shared" si="36"/>
        <v>2053</v>
      </c>
      <c r="J48" s="71"/>
      <c r="K48" s="71">
        <f t="shared" si="37"/>
        <v>34</v>
      </c>
      <c r="L48" s="71"/>
      <c r="M48" s="7">
        <f t="shared" si="38"/>
        <v>0.36604489974263904</v>
      </c>
      <c r="N48" s="71"/>
      <c r="O48" s="10">
        <f t="shared" ref="O48:O79" si="52">IF(K48&lt;=$F$15,O47-V47,"")</f>
        <v>0</v>
      </c>
      <c r="P48" s="29" t="str">
        <f t="shared" si="39"/>
        <v>-</v>
      </c>
      <c r="Q48" s="71"/>
      <c r="R48" s="10">
        <f t="shared" ref="R48:R79" si="53">IF($K48&lt;=$F$15,MAX($F$117*5%,R47*$F$129),"")</f>
        <v>8540000000</v>
      </c>
      <c r="S48" s="71"/>
      <c r="T48" s="10">
        <f t="shared" si="18"/>
        <v>8540000000</v>
      </c>
      <c r="U48" s="71"/>
      <c r="V48" s="10">
        <f t="shared" si="40"/>
        <v>0</v>
      </c>
      <c r="W48" s="10">
        <f t="shared" si="19"/>
        <v>0</v>
      </c>
      <c r="X48" s="71"/>
      <c r="Y48" s="10">
        <f t="shared" si="41"/>
        <v>119560000</v>
      </c>
      <c r="Z48" s="10">
        <f t="shared" si="20"/>
        <v>43764328.213229924</v>
      </c>
      <c r="AA48" s="71"/>
      <c r="AB48" s="10">
        <f t="shared" si="4"/>
        <v>0</v>
      </c>
      <c r="AC48" s="10">
        <f t="shared" si="21"/>
        <v>0</v>
      </c>
      <c r="AD48" s="71"/>
      <c r="AE48" s="10">
        <f t="shared" si="42"/>
        <v>0</v>
      </c>
      <c r="AF48" s="10">
        <f t="shared" si="22"/>
        <v>0</v>
      </c>
      <c r="AG48" s="71"/>
      <c r="AH48" s="10">
        <f t="shared" si="43"/>
        <v>440000000.00000006</v>
      </c>
      <c r="AI48" s="10">
        <f t="shared" si="23"/>
        <v>161059755.88676119</v>
      </c>
      <c r="AJ48" s="71"/>
      <c r="AK48" s="10">
        <f t="shared" si="44"/>
        <v>4099200000</v>
      </c>
      <c r="AL48" s="10">
        <f t="shared" si="24"/>
        <v>1500491253.0250258</v>
      </c>
      <c r="AM48" s="71"/>
      <c r="AN48" s="10">
        <f t="shared" si="45"/>
        <v>3757600000</v>
      </c>
      <c r="AO48" s="10">
        <f t="shared" si="25"/>
        <v>1375450315.2729404</v>
      </c>
      <c r="AP48" s="71"/>
      <c r="AQ48" s="10">
        <f t="shared" si="46"/>
        <v>1012209600</v>
      </c>
      <c r="AR48" s="10">
        <f t="shared" si="26"/>
        <v>370514161.55053675</v>
      </c>
      <c r="AS48" s="71"/>
      <c r="AT48" s="7">
        <f>IF($K48&lt;=$F$15,IF($F$40&lt;&gt;"",$F$40/1000,IF(ISERROR(VLOOKUP($F$3&amp;IF($G$4&lt;&gt;"",$G$4,"")&amp;IF($F$43&lt;&gt;"","_"&amp;$F$43,""),'表3）燃料価格'!$AF$9:$AG$25,2,0)),0,VLOOKUP($I48,'表3）燃料価格'!$A$6:$U$66,VLOOKUP($F$3&amp;IF($G$4&lt;&gt;"",$G$4,"")&amp;IF($F$43&lt;&gt;"","_"&amp;$F$43,""),'表3）燃料価格'!$AF$9:$AG$25,2,0)+VLOOKUP($F$41,'表3）燃料価格'!$AF$28:$AG$29,2,0),0)*IF($F$43="需要地価格",1,$F$8/$F$141))),"")</f>
        <v>10.687624906214406</v>
      </c>
      <c r="AU48" s="71"/>
      <c r="AV48" s="10">
        <f t="shared" si="47"/>
        <v>17281688538.428616</v>
      </c>
      <c r="AW48" s="10">
        <f t="shared" si="27"/>
        <v>6325873948.4326172</v>
      </c>
      <c r="AX48" s="71"/>
      <c r="AY48" s="7">
        <f>IF(ISERROR(IF($K48&lt;=$F$15,VLOOKUP($I48,'表4）CO2価格'!$A$7:$E$67,VLOOKUP($F$48,'表4）CO2価格'!$H$10:$I$12,2,0),0)*$F$8/1000,"")),0,IF($K48&lt;=$F$15,VLOOKUP($I48,'表4）CO2価格'!$A$7:$E$67,VLOOKUP($F$48,'表4）CO2価格'!$H$10:$I$12,2,0),0)*$F$8/1000,""))</f>
        <v>7.2814714966103056</v>
      </c>
      <c r="AZ48" s="71"/>
      <c r="BA48" s="11">
        <f t="shared" si="48"/>
        <v>23037297409.835197</v>
      </c>
      <c r="BB48" s="10">
        <f t="shared" si="28"/>
        <v>8432685220.7244825</v>
      </c>
      <c r="BC48" s="71"/>
      <c r="BD48" s="10">
        <f t="shared" si="49"/>
        <v>0</v>
      </c>
      <c r="BE48" s="10">
        <f t="shared" si="29"/>
        <v>0</v>
      </c>
      <c r="BF48" s="71"/>
      <c r="BG48" s="11">
        <f t="shared" si="50"/>
        <v>0</v>
      </c>
      <c r="BH48" s="10">
        <f t="shared" si="30"/>
        <v>0</v>
      </c>
      <c r="BJ48" s="7" t="str">
        <f t="shared" si="31"/>
        <v/>
      </c>
      <c r="BK48" s="158" t="str">
        <f t="shared" si="32"/>
        <v/>
      </c>
      <c r="BL48" s="158" t="str">
        <f t="shared" si="14"/>
        <v/>
      </c>
      <c r="BM48" s="10"/>
      <c r="BN48" s="10" t="str">
        <f t="shared" si="33"/>
        <v/>
      </c>
      <c r="BO48" s="10" t="str">
        <f t="shared" si="34"/>
        <v/>
      </c>
      <c r="BQ48" s="10">
        <f t="shared" si="51"/>
        <v>4056318000</v>
      </c>
      <c r="BR48" s="10">
        <f t="shared" si="35"/>
        <v>1484794515.6342621</v>
      </c>
    </row>
    <row r="49" spans="3:70" x14ac:dyDescent="0.15">
      <c r="I49" s="38">
        <f t="shared" si="36"/>
        <v>2054</v>
      </c>
      <c r="J49" s="39"/>
      <c r="K49" s="39">
        <f t="shared" si="37"/>
        <v>35</v>
      </c>
      <c r="L49" s="39"/>
      <c r="M49" s="40">
        <f t="shared" si="38"/>
        <v>0.35538339780838735</v>
      </c>
      <c r="N49" s="39"/>
      <c r="O49" s="72">
        <f t="shared" si="52"/>
        <v>0</v>
      </c>
      <c r="P49" s="41" t="str">
        <f t="shared" si="39"/>
        <v>-</v>
      </c>
      <c r="Q49" s="39"/>
      <c r="R49" s="72">
        <f t="shared" si="53"/>
        <v>8540000000</v>
      </c>
      <c r="S49" s="39"/>
      <c r="T49" s="72">
        <f t="shared" si="18"/>
        <v>8540000000</v>
      </c>
      <c r="U49" s="39"/>
      <c r="V49" s="72">
        <f t="shared" si="40"/>
        <v>0</v>
      </c>
      <c r="W49" s="72">
        <f t="shared" si="19"/>
        <v>0</v>
      </c>
      <c r="X49" s="39"/>
      <c r="Y49" s="72">
        <f t="shared" si="41"/>
        <v>119560000</v>
      </c>
      <c r="Z49" s="72">
        <f t="shared" si="20"/>
        <v>42489639.041970789</v>
      </c>
      <c r="AA49" s="39"/>
      <c r="AB49" s="72">
        <f t="shared" si="4"/>
        <v>0</v>
      </c>
      <c r="AC49" s="72">
        <f t="shared" si="21"/>
        <v>0</v>
      </c>
      <c r="AD49" s="39"/>
      <c r="AE49" s="72">
        <f t="shared" si="42"/>
        <v>0</v>
      </c>
      <c r="AF49" s="72">
        <f t="shared" si="22"/>
        <v>0</v>
      </c>
      <c r="AG49" s="39"/>
      <c r="AH49" s="72">
        <f t="shared" si="43"/>
        <v>440000000.00000006</v>
      </c>
      <c r="AI49" s="72">
        <f t="shared" si="23"/>
        <v>156368695.03569046</v>
      </c>
      <c r="AJ49" s="39"/>
      <c r="AK49" s="72">
        <f t="shared" si="44"/>
        <v>4099200000</v>
      </c>
      <c r="AL49" s="72">
        <f t="shared" si="24"/>
        <v>1456787624.2961414</v>
      </c>
      <c r="AM49" s="39"/>
      <c r="AN49" s="72">
        <f t="shared" si="45"/>
        <v>3757600000</v>
      </c>
      <c r="AO49" s="72">
        <f t="shared" si="25"/>
        <v>1335388655.6047964</v>
      </c>
      <c r="AP49" s="39"/>
      <c r="AQ49" s="72">
        <f t="shared" si="46"/>
        <v>1012209600</v>
      </c>
      <c r="AR49" s="72">
        <f t="shared" si="26"/>
        <v>359722486.94226861</v>
      </c>
      <c r="AS49" s="39"/>
      <c r="AT49" s="40">
        <f>IF($K49&lt;=$F$15,IF($F$40&lt;&gt;"",$F$40/1000,IF(ISERROR(VLOOKUP($F$3&amp;IF($G$4&lt;&gt;"",$G$4,"")&amp;IF($F$43&lt;&gt;"","_"&amp;$F$43,""),'表3）燃料価格'!$AF$9:$AG$25,2,0)),0,VLOOKUP($I49,'表3）燃料価格'!$A$6:$U$66,VLOOKUP($F$3&amp;IF($G$4&lt;&gt;"",$G$4,"")&amp;IF($F$43&lt;&gt;"","_"&amp;$F$43,""),'表3）燃料価格'!$AF$9:$AG$25,2,0)+VLOOKUP($F$41,'表3）燃料価格'!$AF$28:$AG$29,2,0),0)*IF($F$43="需要地価格",1,$F$8/$F$141))),"")</f>
        <v>10.676295845404443</v>
      </c>
      <c r="AU49" s="39"/>
      <c r="AV49" s="72">
        <f t="shared" si="47"/>
        <v>17266257336.623871</v>
      </c>
      <c r="AW49" s="72">
        <f t="shared" si="27"/>
        <v>6136141199.7233877</v>
      </c>
      <c r="AX49" s="39"/>
      <c r="AY49" s="40">
        <f>IF(ISERROR(IF($K49&lt;=$F$15,VLOOKUP($I49,'表4）CO2価格'!$A$7:$E$67,VLOOKUP($F$48,'表4）CO2価格'!$H$10:$I$12,2,0),0)*$F$8/1000,"")),0,IF($K49&lt;=$F$15,VLOOKUP($I49,'表4）CO2価格'!$A$7:$E$67,VLOOKUP($F$48,'表4）CO2価格'!$H$10:$I$12,2,0),0)*$F$8/1000,""))</f>
        <v>7.4128708764708131</v>
      </c>
      <c r="AZ49" s="39"/>
      <c r="BA49" s="42">
        <f t="shared" si="48"/>
        <v>23453021977.970032</v>
      </c>
      <c r="BB49" s="72">
        <f t="shared" si="28"/>
        <v>8334814639.4057751</v>
      </c>
      <c r="BC49" s="39"/>
      <c r="BD49" s="72">
        <f t="shared" si="49"/>
        <v>0</v>
      </c>
      <c r="BE49" s="72">
        <f t="shared" si="29"/>
        <v>0</v>
      </c>
      <c r="BF49" s="39"/>
      <c r="BG49" s="42">
        <f t="shared" si="50"/>
        <v>0</v>
      </c>
      <c r="BH49" s="72">
        <f t="shared" si="30"/>
        <v>0</v>
      </c>
      <c r="BI49" s="39"/>
      <c r="BJ49" s="40" t="str">
        <f t="shared" si="31"/>
        <v/>
      </c>
      <c r="BK49" s="157" t="str">
        <f t="shared" si="32"/>
        <v/>
      </c>
      <c r="BL49" s="157" t="str">
        <f t="shared" si="14"/>
        <v/>
      </c>
      <c r="BM49" s="72"/>
      <c r="BN49" s="72" t="str">
        <f t="shared" si="33"/>
        <v/>
      </c>
      <c r="BO49" s="72" t="str">
        <f t="shared" si="34"/>
        <v/>
      </c>
      <c r="BP49" s="39"/>
      <c r="BQ49" s="72">
        <f t="shared" si="51"/>
        <v>4056318000</v>
      </c>
      <c r="BR49" s="72">
        <f t="shared" si="35"/>
        <v>1441548073.4313221</v>
      </c>
    </row>
    <row r="50" spans="3:70" x14ac:dyDescent="0.15">
      <c r="C50" s="89" t="s">
        <v>510</v>
      </c>
      <c r="D50" s="101"/>
      <c r="E50" s="101"/>
      <c r="F50" s="89"/>
      <c r="G50" s="101"/>
      <c r="I50" s="322">
        <f t="shared" si="36"/>
        <v>2055</v>
      </c>
      <c r="J50" s="71"/>
      <c r="K50" s="71">
        <f t="shared" si="37"/>
        <v>36</v>
      </c>
      <c r="L50" s="71"/>
      <c r="M50" s="7">
        <f t="shared" si="38"/>
        <v>0.34503242505668674</v>
      </c>
      <c r="N50" s="71"/>
      <c r="O50" s="10">
        <f t="shared" si="52"/>
        <v>0</v>
      </c>
      <c r="P50" s="29" t="str">
        <f t="shared" si="39"/>
        <v>-</v>
      </c>
      <c r="Q50" s="71"/>
      <c r="R50" s="10">
        <f t="shared" si="53"/>
        <v>8540000000</v>
      </c>
      <c r="S50" s="71"/>
      <c r="T50" s="10">
        <f t="shared" si="18"/>
        <v>8540000000</v>
      </c>
      <c r="U50" s="71"/>
      <c r="V50" s="10">
        <f t="shared" si="40"/>
        <v>0</v>
      </c>
      <c r="W50" s="10">
        <f t="shared" si="19"/>
        <v>0</v>
      </c>
      <c r="X50" s="71"/>
      <c r="Y50" s="10">
        <f t="shared" si="41"/>
        <v>119560000</v>
      </c>
      <c r="Z50" s="10">
        <f t="shared" si="20"/>
        <v>41252076.739777468</v>
      </c>
      <c r="AA50" s="71"/>
      <c r="AB50" s="10">
        <f t="shared" si="4"/>
        <v>0</v>
      </c>
      <c r="AC50" s="10">
        <f t="shared" si="21"/>
        <v>0</v>
      </c>
      <c r="AD50" s="71"/>
      <c r="AE50" s="10">
        <f t="shared" si="42"/>
        <v>0</v>
      </c>
      <c r="AF50" s="10">
        <f t="shared" si="22"/>
        <v>0</v>
      </c>
      <c r="AG50" s="71"/>
      <c r="AH50" s="10">
        <f t="shared" si="43"/>
        <v>440000000.00000006</v>
      </c>
      <c r="AI50" s="10">
        <f t="shared" si="23"/>
        <v>151814267.02494219</v>
      </c>
      <c r="AJ50" s="71"/>
      <c r="AK50" s="10">
        <f t="shared" si="44"/>
        <v>4099200000</v>
      </c>
      <c r="AL50" s="10">
        <f t="shared" si="24"/>
        <v>1414356916.7923703</v>
      </c>
      <c r="AM50" s="71"/>
      <c r="AN50" s="10">
        <f t="shared" si="45"/>
        <v>3757600000</v>
      </c>
      <c r="AO50" s="10">
        <f t="shared" si="25"/>
        <v>1296493840.3930061</v>
      </c>
      <c r="AP50" s="71"/>
      <c r="AQ50" s="10">
        <f t="shared" si="46"/>
        <v>1012209600</v>
      </c>
      <c r="AR50" s="10">
        <f t="shared" si="26"/>
        <v>349245132.95365888</v>
      </c>
      <c r="AS50" s="71"/>
      <c r="AT50" s="7">
        <f>IF($K50&lt;=$F$15,IF($F$40&lt;&gt;"",$F$40/1000,IF(ISERROR(VLOOKUP($F$3&amp;IF($G$4&lt;&gt;"",$G$4,"")&amp;IF($F$43&lt;&gt;"","_"&amp;$F$43,""),'表3）燃料価格'!$AF$9:$AG$25,2,0)),0,VLOOKUP($I50,'表3）燃料価格'!$A$6:$U$66,VLOOKUP($F$3&amp;IF($G$4&lt;&gt;"",$G$4,"")&amp;IF($F$43&lt;&gt;"","_"&amp;$F$43,""),'表3）燃料価格'!$AF$9:$AG$25,2,0)+VLOOKUP($F$41,'表3）燃料価格'!$AF$28:$AG$29,2,0),0)*IF($F$43="需要地価格",1,$F$8/$F$141))),"")</f>
        <v>10.665246543278181</v>
      </c>
      <c r="AU50" s="71"/>
      <c r="AV50" s="10">
        <f t="shared" si="47"/>
        <v>17251207191.358345</v>
      </c>
      <c r="AW50" s="10">
        <f t="shared" si="27"/>
        <v>5952225852.3897238</v>
      </c>
      <c r="AX50" s="71"/>
      <c r="AY50" s="7">
        <f>IF(ISERROR(IF($K50&lt;=$F$15,VLOOKUP($I50,'表4）CO2価格'!$A$7:$E$67,VLOOKUP($F$48,'表4）CO2価格'!$H$10:$I$12,2,0),0)*$F$8/1000,"")),0,IF($K50&lt;=$F$15,VLOOKUP($I50,'表4）CO2価格'!$A$7:$E$67,VLOOKUP($F$48,'表4）CO2価格'!$H$10:$I$12,2,0),0)*$F$8/1000,""))</f>
        <v>7.5442062994635668</v>
      </c>
      <c r="AZ50" s="71"/>
      <c r="BA50" s="11">
        <f t="shared" si="48"/>
        <v>23868544197.804176</v>
      </c>
      <c r="BB50" s="10">
        <f t="shared" si="28"/>
        <v>8235421687.1410847</v>
      </c>
      <c r="BC50" s="71"/>
      <c r="BD50" s="10">
        <f t="shared" si="49"/>
        <v>0</v>
      </c>
      <c r="BE50" s="10">
        <f t="shared" si="29"/>
        <v>0</v>
      </c>
      <c r="BF50" s="71"/>
      <c r="BG50" s="11">
        <f t="shared" si="50"/>
        <v>0</v>
      </c>
      <c r="BH50" s="10">
        <f t="shared" si="30"/>
        <v>0</v>
      </c>
      <c r="BJ50" s="7" t="str">
        <f t="shared" si="31"/>
        <v/>
      </c>
      <c r="BK50" s="158" t="str">
        <f t="shared" si="32"/>
        <v/>
      </c>
      <c r="BL50" s="158" t="str">
        <f t="shared" si="14"/>
        <v/>
      </c>
      <c r="BM50" s="10"/>
      <c r="BN50" s="10" t="str">
        <f t="shared" si="33"/>
        <v/>
      </c>
      <c r="BO50" s="10" t="str">
        <f t="shared" si="34"/>
        <v/>
      </c>
      <c r="BQ50" s="10">
        <f t="shared" si="51"/>
        <v>4056318000</v>
      </c>
      <c r="BR50" s="10">
        <f t="shared" si="35"/>
        <v>1399561236.3410895</v>
      </c>
    </row>
    <row r="51" spans="3:70" x14ac:dyDescent="0.15">
      <c r="I51" s="38">
        <f t="shared" si="36"/>
        <v>2056</v>
      </c>
      <c r="J51" s="39"/>
      <c r="K51" s="39">
        <f t="shared" si="37"/>
        <v>37</v>
      </c>
      <c r="L51" s="39"/>
      <c r="M51" s="40">
        <f t="shared" si="38"/>
        <v>0.33498293694823961</v>
      </c>
      <c r="N51" s="39"/>
      <c r="O51" s="72">
        <f t="shared" si="52"/>
        <v>0</v>
      </c>
      <c r="P51" s="41" t="str">
        <f t="shared" si="39"/>
        <v>-</v>
      </c>
      <c r="Q51" s="39"/>
      <c r="R51" s="72">
        <f t="shared" si="53"/>
        <v>8540000000</v>
      </c>
      <c r="S51" s="39"/>
      <c r="T51" s="72">
        <f t="shared" si="18"/>
        <v>8540000000</v>
      </c>
      <c r="U51" s="39"/>
      <c r="V51" s="72">
        <f t="shared" si="40"/>
        <v>0</v>
      </c>
      <c r="W51" s="72">
        <f t="shared" si="19"/>
        <v>0</v>
      </c>
      <c r="X51" s="39"/>
      <c r="Y51" s="72">
        <f t="shared" si="41"/>
        <v>119560000</v>
      </c>
      <c r="Z51" s="72">
        <f t="shared" si="20"/>
        <v>40050559.941531524</v>
      </c>
      <c r="AA51" s="39"/>
      <c r="AB51" s="72">
        <f t="shared" si="4"/>
        <v>0</v>
      </c>
      <c r="AC51" s="72">
        <f t="shared" si="21"/>
        <v>0</v>
      </c>
      <c r="AD51" s="39"/>
      <c r="AE51" s="72">
        <f t="shared" si="42"/>
        <v>0</v>
      </c>
      <c r="AF51" s="72">
        <f t="shared" si="22"/>
        <v>0</v>
      </c>
      <c r="AG51" s="39"/>
      <c r="AH51" s="72">
        <f t="shared" si="43"/>
        <v>440000000.00000006</v>
      </c>
      <c r="AI51" s="72">
        <f t="shared" si="23"/>
        <v>147392492.25722545</v>
      </c>
      <c r="AJ51" s="39"/>
      <c r="AK51" s="72">
        <f t="shared" si="44"/>
        <v>4099200000</v>
      </c>
      <c r="AL51" s="72">
        <f t="shared" si="24"/>
        <v>1373162055.1382239</v>
      </c>
      <c r="AM51" s="39"/>
      <c r="AN51" s="72">
        <f t="shared" si="45"/>
        <v>3757600000</v>
      </c>
      <c r="AO51" s="72">
        <f t="shared" si="25"/>
        <v>1258731883.8767052</v>
      </c>
      <c r="AP51" s="39"/>
      <c r="AQ51" s="72">
        <f t="shared" si="46"/>
        <v>1012209600</v>
      </c>
      <c r="AR51" s="72">
        <f t="shared" si="26"/>
        <v>339072944.61520284</v>
      </c>
      <c r="AS51" s="39"/>
      <c r="AT51" s="40">
        <f>IF($K51&lt;=$F$15,IF($F$40&lt;&gt;"",$F$40/1000,IF(ISERROR(VLOOKUP($F$3&amp;IF($G$4&lt;&gt;"",$G$4,"")&amp;IF($F$43&lt;&gt;"","_"&amp;$F$43,""),'表3）燃料価格'!$AF$9:$AG$25,2,0)),0,VLOOKUP($I51,'表3）燃料価格'!$A$6:$U$66,VLOOKUP($F$3&amp;IF($G$4&lt;&gt;"",$G$4,"")&amp;IF($F$43&lt;&gt;"","_"&amp;$F$43,""),'表3）燃料価格'!$AF$9:$AG$25,2,0)+VLOOKUP($F$41,'表3）燃料価格'!$AF$28:$AG$29,2,0),0)*IF($F$43="需要地価格",1,$F$8/$F$141))),"")</f>
        <v>10.654463515482893</v>
      </c>
      <c r="AU51" s="39"/>
      <c r="AV51" s="72">
        <f t="shared" si="47"/>
        <v>17236519735.728401</v>
      </c>
      <c r="AW51" s="72">
        <f t="shared" si="27"/>
        <v>5773940003.8405943</v>
      </c>
      <c r="AX51" s="39"/>
      <c r="AY51" s="40">
        <f>IF(ISERROR(IF($K51&lt;=$F$15,VLOOKUP($I51,'表4）CO2価格'!$A$7:$E$67,VLOOKUP($F$48,'表4）CO2価格'!$H$10:$I$12,2,0),0)*$F$8/1000,"")),0,IF($K51&lt;=$F$15,VLOOKUP($I51,'表4）CO2価格'!$A$7:$E$67,VLOOKUP($F$48,'表4）CO2価格'!$H$10:$I$12,2,0),0)*$F$8/1000,""))</f>
        <v>7.675477827818213</v>
      </c>
      <c r="AZ51" s="39"/>
      <c r="BA51" s="42">
        <f t="shared" si="48"/>
        <v>24283864266.22131</v>
      </c>
      <c r="BB51" s="72">
        <f t="shared" si="28"/>
        <v>8134680172.351222</v>
      </c>
      <c r="BC51" s="39"/>
      <c r="BD51" s="72">
        <f t="shared" si="49"/>
        <v>0</v>
      </c>
      <c r="BE51" s="72">
        <f t="shared" si="29"/>
        <v>0</v>
      </c>
      <c r="BF51" s="39"/>
      <c r="BG51" s="42">
        <f t="shared" si="50"/>
        <v>0</v>
      </c>
      <c r="BH51" s="72">
        <f t="shared" si="30"/>
        <v>0</v>
      </c>
      <c r="BI51" s="39"/>
      <c r="BJ51" s="40" t="str">
        <f t="shared" si="31"/>
        <v/>
      </c>
      <c r="BK51" s="157" t="str">
        <f t="shared" si="32"/>
        <v/>
      </c>
      <c r="BL51" s="157" t="str">
        <f t="shared" si="14"/>
        <v/>
      </c>
      <c r="BM51" s="72"/>
      <c r="BN51" s="72" t="str">
        <f t="shared" si="33"/>
        <v/>
      </c>
      <c r="BO51" s="72" t="str">
        <f t="shared" si="34"/>
        <v/>
      </c>
      <c r="BP51" s="39"/>
      <c r="BQ51" s="72">
        <f t="shared" si="51"/>
        <v>4056318000</v>
      </c>
      <c r="BR51" s="72">
        <f t="shared" si="35"/>
        <v>1358797316.8360095</v>
      </c>
    </row>
    <row r="52" spans="3:70" x14ac:dyDescent="0.15">
      <c r="D52" s="81" t="s">
        <v>185</v>
      </c>
      <c r="F52" s="90"/>
      <c r="G52" s="81" t="s">
        <v>172</v>
      </c>
      <c r="I52" s="322">
        <f t="shared" si="36"/>
        <v>2057</v>
      </c>
      <c r="J52" s="71"/>
      <c r="K52" s="71">
        <f t="shared" si="37"/>
        <v>38</v>
      </c>
      <c r="L52" s="71"/>
      <c r="M52" s="7">
        <f t="shared" si="38"/>
        <v>0.3252261523769317</v>
      </c>
      <c r="N52" s="71"/>
      <c r="O52" s="10">
        <f t="shared" si="52"/>
        <v>0</v>
      </c>
      <c r="P52" s="29" t="str">
        <f t="shared" si="39"/>
        <v>-</v>
      </c>
      <c r="Q52" s="71"/>
      <c r="R52" s="10">
        <f t="shared" si="53"/>
        <v>8540000000</v>
      </c>
      <c r="S52" s="71"/>
      <c r="T52" s="10">
        <f t="shared" si="18"/>
        <v>8540000000</v>
      </c>
      <c r="U52" s="71"/>
      <c r="V52" s="10">
        <f t="shared" si="40"/>
        <v>0</v>
      </c>
      <c r="W52" s="10">
        <f t="shared" si="19"/>
        <v>0</v>
      </c>
      <c r="X52" s="71"/>
      <c r="Y52" s="10">
        <f t="shared" si="41"/>
        <v>119560000</v>
      </c>
      <c r="Z52" s="10">
        <f t="shared" si="20"/>
        <v>38884038.778185956</v>
      </c>
      <c r="AA52" s="71"/>
      <c r="AB52" s="10">
        <f t="shared" si="4"/>
        <v>0</v>
      </c>
      <c r="AC52" s="10">
        <f t="shared" si="21"/>
        <v>0</v>
      </c>
      <c r="AD52" s="71"/>
      <c r="AE52" s="10">
        <f t="shared" si="42"/>
        <v>0</v>
      </c>
      <c r="AF52" s="10">
        <f t="shared" si="22"/>
        <v>0</v>
      </c>
      <c r="AG52" s="71"/>
      <c r="AH52" s="10">
        <f t="shared" si="43"/>
        <v>440000000.00000006</v>
      </c>
      <c r="AI52" s="10">
        <f t="shared" si="23"/>
        <v>143099507.04584998</v>
      </c>
      <c r="AJ52" s="71"/>
      <c r="AK52" s="10">
        <f t="shared" si="44"/>
        <v>4099200000</v>
      </c>
      <c r="AL52" s="10">
        <f t="shared" si="24"/>
        <v>1333167043.8235185</v>
      </c>
      <c r="AM52" s="71"/>
      <c r="AN52" s="10">
        <f t="shared" si="45"/>
        <v>3757600000</v>
      </c>
      <c r="AO52" s="10">
        <f t="shared" si="25"/>
        <v>1222069790.1715586</v>
      </c>
      <c r="AP52" s="71"/>
      <c r="AQ52" s="10">
        <f t="shared" si="46"/>
        <v>1012209600</v>
      </c>
      <c r="AR52" s="10">
        <f t="shared" si="26"/>
        <v>329197033.60699308</v>
      </c>
      <c r="AS52" s="71"/>
      <c r="AT52" s="7">
        <f>IF($K52&lt;=$F$15,IF($F$40&lt;&gt;"",$F$40/1000,IF(ISERROR(VLOOKUP($F$3&amp;IF($G$4&lt;&gt;"",$G$4,"")&amp;IF($F$43&lt;&gt;"","_"&amp;$F$43,""),'表3）燃料価格'!$AF$9:$AG$25,2,0)),0,VLOOKUP($I52,'表3）燃料価格'!$A$6:$U$66,VLOOKUP($F$3&amp;IF($G$4&lt;&gt;"",$G$4,"")&amp;IF($F$43&lt;&gt;"","_"&amp;$F$43,""),'表3）燃料価格'!$AF$9:$AG$25,2,0)+VLOOKUP($F$41,'表3）燃料価格'!$AF$28:$AG$29,2,0),0)*IF($F$43="需要地価格",1,$F$8/$F$141))),"")</f>
        <v>10.643934229684763</v>
      </c>
      <c r="AU52" s="71"/>
      <c r="AV52" s="10">
        <f t="shared" si="47"/>
        <v>17222177899.565964</v>
      </c>
      <c r="AW52" s="10">
        <f t="shared" si="27"/>
        <v>5601102653.8268652</v>
      </c>
      <c r="AX52" s="71"/>
      <c r="AY52" s="7">
        <f>IF(ISERROR(IF($K52&lt;=$F$15,VLOOKUP($I52,'表4）CO2価格'!$A$7:$E$67,VLOOKUP($F$48,'表4）CO2価格'!$H$10:$I$12,2,0),0)*$F$8/1000,"")),0,IF($K52&lt;=$F$15,VLOOKUP($I52,'表4）CO2価格'!$A$7:$E$67,VLOOKUP($F$48,'表4）CO2価格'!$H$10:$I$12,2,0),0)*$F$8/1000,""))</f>
        <v>7.8066855236744779</v>
      </c>
      <c r="AZ52" s="71"/>
      <c r="BA52" s="11">
        <f t="shared" si="48"/>
        <v>24698982379.820614</v>
      </c>
      <c r="BB52" s="10">
        <f t="shared" si="28"/>
        <v>8032755007.0146904</v>
      </c>
      <c r="BC52" s="71"/>
      <c r="BD52" s="10">
        <f t="shared" si="49"/>
        <v>0</v>
      </c>
      <c r="BE52" s="10">
        <f t="shared" si="29"/>
        <v>0</v>
      </c>
      <c r="BF52" s="71"/>
      <c r="BG52" s="11">
        <f t="shared" si="50"/>
        <v>0</v>
      </c>
      <c r="BH52" s="10">
        <f t="shared" si="30"/>
        <v>0</v>
      </c>
      <c r="BJ52" s="7" t="str">
        <f t="shared" si="31"/>
        <v/>
      </c>
      <c r="BK52" s="158" t="str">
        <f t="shared" si="32"/>
        <v/>
      </c>
      <c r="BL52" s="158" t="str">
        <f t="shared" si="14"/>
        <v/>
      </c>
      <c r="BM52" s="10"/>
      <c r="BN52" s="10" t="str">
        <f t="shared" si="33"/>
        <v/>
      </c>
      <c r="BO52" s="10" t="str">
        <f t="shared" si="34"/>
        <v/>
      </c>
      <c r="BQ52" s="10">
        <f t="shared" si="51"/>
        <v>4056318000</v>
      </c>
      <c r="BR52" s="10">
        <f t="shared" si="35"/>
        <v>1319220695.9572909</v>
      </c>
    </row>
    <row r="53" spans="3:70" x14ac:dyDescent="0.15">
      <c r="D53" s="81" t="s">
        <v>186</v>
      </c>
      <c r="F53" s="66"/>
      <c r="G53" s="81" t="s">
        <v>172</v>
      </c>
      <c r="I53" s="38">
        <f t="shared" si="36"/>
        <v>2058</v>
      </c>
      <c r="J53" s="39"/>
      <c r="K53" s="39">
        <f t="shared" si="37"/>
        <v>39</v>
      </c>
      <c r="L53" s="39"/>
      <c r="M53" s="40">
        <f t="shared" si="38"/>
        <v>0.31575354599702099</v>
      </c>
      <c r="N53" s="39"/>
      <c r="O53" s="72">
        <f t="shared" si="52"/>
        <v>0</v>
      </c>
      <c r="P53" s="41" t="str">
        <f t="shared" si="39"/>
        <v>-</v>
      </c>
      <c r="Q53" s="39"/>
      <c r="R53" s="72">
        <f t="shared" si="53"/>
        <v>8540000000</v>
      </c>
      <c r="S53" s="39"/>
      <c r="T53" s="72">
        <f t="shared" si="18"/>
        <v>8540000000</v>
      </c>
      <c r="U53" s="39"/>
      <c r="V53" s="72">
        <f t="shared" si="40"/>
        <v>0</v>
      </c>
      <c r="W53" s="72">
        <f t="shared" si="19"/>
        <v>0</v>
      </c>
      <c r="X53" s="39"/>
      <c r="Y53" s="72">
        <f t="shared" si="41"/>
        <v>119560000</v>
      </c>
      <c r="Z53" s="72">
        <f t="shared" si="20"/>
        <v>37751493.959403828</v>
      </c>
      <c r="AA53" s="39"/>
      <c r="AB53" s="72">
        <f t="shared" si="4"/>
        <v>0</v>
      </c>
      <c r="AC53" s="72">
        <f t="shared" si="21"/>
        <v>0</v>
      </c>
      <c r="AD53" s="39"/>
      <c r="AE53" s="72">
        <f t="shared" si="42"/>
        <v>0</v>
      </c>
      <c r="AF53" s="72">
        <f t="shared" si="22"/>
        <v>0</v>
      </c>
      <c r="AG53" s="39"/>
      <c r="AH53" s="72">
        <f t="shared" si="43"/>
        <v>440000000.00000006</v>
      </c>
      <c r="AI53" s="72">
        <f t="shared" si="23"/>
        <v>138931560.23868924</v>
      </c>
      <c r="AJ53" s="39"/>
      <c r="AK53" s="72">
        <f t="shared" si="44"/>
        <v>4099200000</v>
      </c>
      <c r="AL53" s="72">
        <f t="shared" si="24"/>
        <v>1294336935.7509885</v>
      </c>
      <c r="AM53" s="39"/>
      <c r="AN53" s="72">
        <f t="shared" si="45"/>
        <v>3757600000</v>
      </c>
      <c r="AO53" s="72">
        <f t="shared" si="25"/>
        <v>1186475524.438406</v>
      </c>
      <c r="AP53" s="39"/>
      <c r="AQ53" s="72">
        <f t="shared" si="46"/>
        <v>1012209600</v>
      </c>
      <c r="AR53" s="72">
        <f t="shared" si="26"/>
        <v>319608770.49222624</v>
      </c>
      <c r="AS53" s="39"/>
      <c r="AT53" s="40">
        <f>IF($K53&lt;=$F$15,IF($F$40&lt;&gt;"",$F$40/1000,IF(ISERROR(VLOOKUP($F$3&amp;IF($G$4&lt;&gt;"",$G$4,"")&amp;IF($F$43&lt;&gt;"","_"&amp;$F$43,""),'表3）燃料価格'!$AF$9:$AG$25,2,0)),0,VLOOKUP($I53,'表3）燃料価格'!$A$6:$U$66,VLOOKUP($F$3&amp;IF($G$4&lt;&gt;"",$G$4,"")&amp;IF($F$43&lt;&gt;"","_"&amp;$F$43,""),'表3）燃料価格'!$AF$9:$AG$25,2,0)+VLOOKUP($F$41,'表3）燃料価格'!$AF$28:$AG$29,2,0),0)*IF($F$43="需要地価格",1,$F$8/$F$141))),"")</f>
        <v>10.633647018006684</v>
      </c>
      <c r="AU53" s="39"/>
      <c r="AV53" s="72">
        <f t="shared" si="47"/>
        <v>17208165790.170895</v>
      </c>
      <c r="AW53" s="72">
        <f t="shared" si="27"/>
        <v>5433539368.3510885</v>
      </c>
      <c r="AX53" s="39"/>
      <c r="AY53" s="40">
        <f>IF(ISERROR(IF($K53&lt;=$F$15,VLOOKUP($I53,'表4）CO2価格'!$A$7:$E$67,VLOOKUP($F$48,'表4）CO2価格'!$H$10:$I$12,2,0),0)*$F$8/1000,"")),0,IF($K53&lt;=$F$15,VLOOKUP($I53,'表4）CO2価格'!$A$7:$E$67,VLOOKUP($F$48,'表4）CO2価格'!$H$10:$I$12,2,0),0)*$F$8/1000,""))</f>
        <v>7.9378294490802217</v>
      </c>
      <c r="AZ53" s="39"/>
      <c r="BA53" s="42">
        <f t="shared" si="48"/>
        <v>25113898734.910625</v>
      </c>
      <c r="BB53" s="72">
        <f t="shared" si="28"/>
        <v>7929802579.3581295</v>
      </c>
      <c r="BC53" s="39"/>
      <c r="BD53" s="72">
        <f t="shared" si="49"/>
        <v>0</v>
      </c>
      <c r="BE53" s="72">
        <f t="shared" si="29"/>
        <v>0</v>
      </c>
      <c r="BF53" s="39"/>
      <c r="BG53" s="42">
        <f t="shared" si="50"/>
        <v>0</v>
      </c>
      <c r="BH53" s="72">
        <f t="shared" si="30"/>
        <v>0</v>
      </c>
      <c r="BI53" s="39"/>
      <c r="BJ53" s="40" t="str">
        <f t="shared" si="31"/>
        <v/>
      </c>
      <c r="BK53" s="157" t="str">
        <f t="shared" si="32"/>
        <v/>
      </c>
      <c r="BL53" s="157" t="str">
        <f t="shared" si="14"/>
        <v/>
      </c>
      <c r="BM53" s="72"/>
      <c r="BN53" s="72" t="str">
        <f t="shared" si="33"/>
        <v/>
      </c>
      <c r="BO53" s="72" t="str">
        <f t="shared" si="34"/>
        <v/>
      </c>
      <c r="BP53" s="39"/>
      <c r="BQ53" s="72">
        <f t="shared" si="51"/>
        <v>4056318000</v>
      </c>
      <c r="BR53" s="72">
        <f t="shared" si="35"/>
        <v>1280796792.1915443</v>
      </c>
    </row>
    <row r="54" spans="3:70" x14ac:dyDescent="0.15">
      <c r="D54" s="81" t="s">
        <v>187</v>
      </c>
      <c r="F54" s="66"/>
      <c r="G54" s="81" t="s">
        <v>172</v>
      </c>
      <c r="I54" s="322">
        <f t="shared" si="36"/>
        <v>2059</v>
      </c>
      <c r="J54" s="71"/>
      <c r="K54" s="71">
        <f t="shared" si="37"/>
        <v>40</v>
      </c>
      <c r="L54" s="71"/>
      <c r="M54" s="7">
        <f t="shared" si="38"/>
        <v>0.30655684077380685</v>
      </c>
      <c r="N54" s="71"/>
      <c r="O54" s="10">
        <f t="shared" si="52"/>
        <v>0</v>
      </c>
      <c r="P54" s="29" t="str">
        <f t="shared" si="39"/>
        <v>-</v>
      </c>
      <c r="Q54" s="71"/>
      <c r="R54" s="10">
        <f t="shared" si="53"/>
        <v>8540000000</v>
      </c>
      <c r="S54" s="71"/>
      <c r="T54" s="10">
        <f t="shared" si="18"/>
        <v>8540000000</v>
      </c>
      <c r="U54" s="71"/>
      <c r="V54" s="10">
        <f t="shared" si="40"/>
        <v>0</v>
      </c>
      <c r="W54" s="10">
        <f t="shared" si="19"/>
        <v>0</v>
      </c>
      <c r="X54" s="71"/>
      <c r="Y54" s="10">
        <f t="shared" si="41"/>
        <v>119560000</v>
      </c>
      <c r="Z54" s="10">
        <f t="shared" si="20"/>
        <v>36651935.882916346</v>
      </c>
      <c r="AA54" s="71"/>
      <c r="AB54" s="10">
        <f t="shared" si="4"/>
        <v>0</v>
      </c>
      <c r="AC54" s="10">
        <f t="shared" si="21"/>
        <v>0</v>
      </c>
      <c r="AD54" s="71"/>
      <c r="AE54" s="10">
        <f t="shared" si="42"/>
        <v>0</v>
      </c>
      <c r="AF54" s="10">
        <f t="shared" si="22"/>
        <v>0</v>
      </c>
      <c r="AG54" s="71"/>
      <c r="AH54" s="10">
        <f t="shared" si="43"/>
        <v>440000000.00000006</v>
      </c>
      <c r="AI54" s="10">
        <f t="shared" si="23"/>
        <v>134885009.94047505</v>
      </c>
      <c r="AJ54" s="71"/>
      <c r="AK54" s="10">
        <f t="shared" si="44"/>
        <v>4099200000</v>
      </c>
      <c r="AL54" s="10">
        <f t="shared" si="24"/>
        <v>1256637801.6999891</v>
      </c>
      <c r="AM54" s="71"/>
      <c r="AN54" s="10">
        <f t="shared" si="45"/>
        <v>3757600000</v>
      </c>
      <c r="AO54" s="10">
        <f t="shared" si="25"/>
        <v>1151917984.8916566</v>
      </c>
      <c r="AP54" s="71"/>
      <c r="AQ54" s="10">
        <f t="shared" si="46"/>
        <v>1012209600</v>
      </c>
      <c r="AR54" s="10">
        <f t="shared" si="26"/>
        <v>310299777.17691875</v>
      </c>
      <c r="AS54" s="71"/>
      <c r="AT54" s="7">
        <f>IF($K54&lt;=$F$15,IF($F$40&lt;&gt;"",$F$40/1000,IF(ISERROR(VLOOKUP($F$3&amp;IF($G$4&lt;&gt;"",$G$4,"")&amp;IF($F$43&lt;&gt;"","_"&amp;$F$43,""),'表3）燃料価格'!$AF$9:$AG$25,2,0)),0,VLOOKUP($I54,'表3）燃料価格'!$A$6:$U$66,VLOOKUP($F$3&amp;IF($G$4&lt;&gt;"",$G$4,"")&amp;IF($F$43&lt;&gt;"","_"&amp;$F$43,""),'表3）燃料価格'!$AF$9:$AG$25,2,0)+VLOOKUP($F$41,'表3）燃料価格'!$AF$28:$AG$29,2,0),0)*IF($F$43="需要地価格",1,$F$8/$F$141))),"")</f>
        <v>10.62359099930714</v>
      </c>
      <c r="AU54" s="71"/>
      <c r="AV54" s="10">
        <f t="shared" si="47"/>
        <v>17194468586.447842</v>
      </c>
      <c r="AW54" s="10">
        <f t="shared" si="27"/>
        <v>5271081968.645915</v>
      </c>
      <c r="AX54" s="71"/>
      <c r="AY54" s="7">
        <f>IF(ISERROR(IF($K54&lt;=$F$15,VLOOKUP($I54,'表4）CO2価格'!$A$7:$E$67,VLOOKUP($F$48,'表4）CO2価格'!$H$10:$I$12,2,0),0)*$F$8/1000,"")),0,IF($K54&lt;=$F$15,VLOOKUP($I54,'表4）CO2価格'!$A$7:$E$67,VLOOKUP($F$48,'表4）CO2価格'!$H$10:$I$12,2,0),0)*$F$8/1000,""))</f>
        <v>8.0689096659945534</v>
      </c>
      <c r="AZ54" s="71"/>
      <c r="BA54" s="11">
        <f t="shared" si="48"/>
        <v>25528613527.519089</v>
      </c>
      <c r="BB54" s="10">
        <f t="shared" si="28"/>
        <v>7825971112.3317213</v>
      </c>
      <c r="BC54" s="71"/>
      <c r="BD54" s="10">
        <f t="shared" si="49"/>
        <v>0</v>
      </c>
      <c r="BE54" s="10">
        <f t="shared" si="29"/>
        <v>0</v>
      </c>
      <c r="BF54" s="71"/>
      <c r="BG54" s="11">
        <f t="shared" si="50"/>
        <v>0</v>
      </c>
      <c r="BH54" s="10">
        <f t="shared" si="30"/>
        <v>0</v>
      </c>
      <c r="BJ54" s="7" t="str">
        <f t="shared" si="31"/>
        <v/>
      </c>
      <c r="BK54" s="158" t="str">
        <f t="shared" si="32"/>
        <v/>
      </c>
      <c r="BL54" s="158" t="str">
        <f t="shared" si="14"/>
        <v/>
      </c>
      <c r="BM54" s="10"/>
      <c r="BN54" s="10" t="str">
        <f t="shared" si="33"/>
        <v/>
      </c>
      <c r="BO54" s="10" t="str">
        <f t="shared" si="34"/>
        <v/>
      </c>
      <c r="BQ54" s="10">
        <f t="shared" si="51"/>
        <v>4056318000</v>
      </c>
      <c r="BR54" s="10">
        <f t="shared" si="35"/>
        <v>1243492031.2539268</v>
      </c>
    </row>
    <row r="55" spans="3:70" ht="16.5" x14ac:dyDescent="0.15">
      <c r="D55" s="81" t="s">
        <v>188</v>
      </c>
      <c r="F55" s="66"/>
      <c r="G55" s="9" t="s">
        <v>372</v>
      </c>
      <c r="I55" s="38">
        <f>I54+1</f>
        <v>2060</v>
      </c>
      <c r="J55" s="39"/>
      <c r="K55" s="39">
        <f>IF(I55&lt;&gt;"",K54+1,"")</f>
        <v>41</v>
      </c>
      <c r="L55" s="39"/>
      <c r="M55" s="40">
        <f t="shared" si="38"/>
        <v>0.29762800075126877</v>
      </c>
      <c r="N55" s="39"/>
      <c r="O55" s="72" t="str">
        <f t="shared" si="52"/>
        <v/>
      </c>
      <c r="P55" s="41" t="str">
        <f t="shared" si="39"/>
        <v/>
      </c>
      <c r="Q55" s="39"/>
      <c r="R55" s="72" t="str">
        <f t="shared" si="53"/>
        <v/>
      </c>
      <c r="S55" s="39"/>
      <c r="T55" s="72" t="str">
        <f t="shared" si="18"/>
        <v/>
      </c>
      <c r="U55" s="39"/>
      <c r="V55" s="72" t="str">
        <f t="shared" si="40"/>
        <v/>
      </c>
      <c r="W55" s="72" t="str">
        <f t="shared" si="19"/>
        <v/>
      </c>
      <c r="X55" s="39"/>
      <c r="Y55" s="72" t="str">
        <f t="shared" si="41"/>
        <v/>
      </c>
      <c r="Z55" s="72" t="str">
        <f t="shared" si="20"/>
        <v/>
      </c>
      <c r="AA55" s="39"/>
      <c r="AB55" s="72">
        <f t="shared" si="4"/>
        <v>8540000000.000001</v>
      </c>
      <c r="AC55" s="72">
        <f t="shared" si="21"/>
        <v>2541743126.4158354</v>
      </c>
      <c r="AD55" s="39"/>
      <c r="AE55" s="72" t="str">
        <f t="shared" si="42"/>
        <v/>
      </c>
      <c r="AF55" s="72" t="str">
        <f t="shared" si="22"/>
        <v/>
      </c>
      <c r="AG55" s="39"/>
      <c r="AH55" s="72" t="str">
        <f t="shared" si="43"/>
        <v/>
      </c>
      <c r="AI55" s="72" t="str">
        <f t="shared" si="23"/>
        <v/>
      </c>
      <c r="AJ55" s="39"/>
      <c r="AK55" s="72" t="str">
        <f t="shared" si="44"/>
        <v/>
      </c>
      <c r="AL55" s="72" t="str">
        <f t="shared" si="24"/>
        <v/>
      </c>
      <c r="AM55" s="39"/>
      <c r="AN55" s="72" t="str">
        <f t="shared" si="45"/>
        <v/>
      </c>
      <c r="AO55" s="72" t="str">
        <f t="shared" si="25"/>
        <v/>
      </c>
      <c r="AP55" s="39"/>
      <c r="AQ55" s="72" t="str">
        <f t="shared" si="46"/>
        <v/>
      </c>
      <c r="AR55" s="72" t="str">
        <f t="shared" si="26"/>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47"/>
        <v/>
      </c>
      <c r="AW55" s="72" t="str">
        <f t="shared" si="27"/>
        <v/>
      </c>
      <c r="AX55" s="39"/>
      <c r="AY55" s="40" t="str">
        <f>IF(ISERROR(IF($K55&lt;=$F$15,VLOOKUP($I55,'表4）CO2価格'!$A$7:$E$67,VLOOKUP($F$48,'表4）CO2価格'!$H$10:$I$12,2,0),0)*$F$8/1000,"")),0,IF($K55&lt;=$F$15,VLOOKUP($I55,'表4）CO2価格'!$A$7:$E$67,VLOOKUP($F$48,'表4）CO2価格'!$H$10:$I$12,2,0),0)*$F$8/1000,""))</f>
        <v/>
      </c>
      <c r="AZ55" s="39"/>
      <c r="BA55" s="42" t="str">
        <f t="shared" si="48"/>
        <v/>
      </c>
      <c r="BB55" s="72" t="str">
        <f t="shared" si="28"/>
        <v/>
      </c>
      <c r="BC55" s="39"/>
      <c r="BD55" s="72" t="str">
        <f t="shared" si="49"/>
        <v/>
      </c>
      <c r="BE55" s="72" t="str">
        <f t="shared" si="29"/>
        <v/>
      </c>
      <c r="BF55" s="39"/>
      <c r="BG55" s="42" t="str">
        <f t="shared" si="50"/>
        <v/>
      </c>
      <c r="BH55" s="72" t="str">
        <f t="shared" si="30"/>
        <v/>
      </c>
      <c r="BI55" s="39"/>
      <c r="BJ55" s="40" t="str">
        <f t="shared" si="31"/>
        <v/>
      </c>
      <c r="BK55" s="157" t="str">
        <f t="shared" si="32"/>
        <v/>
      </c>
      <c r="BL55" s="157" t="str">
        <f t="shared" si="14"/>
        <v/>
      </c>
      <c r="BM55" s="72"/>
      <c r="BN55" s="72" t="str">
        <f t="shared" si="33"/>
        <v/>
      </c>
      <c r="BO55" s="72" t="str">
        <f t="shared" si="34"/>
        <v/>
      </c>
      <c r="BP55" s="39"/>
      <c r="BQ55" s="72" t="str">
        <f t="shared" si="51"/>
        <v/>
      </c>
      <c r="BR55" s="72" t="str">
        <f t="shared" si="35"/>
        <v/>
      </c>
    </row>
    <row r="56" spans="3:70" x14ac:dyDescent="0.15">
      <c r="D56" s="81" t="s">
        <v>189</v>
      </c>
      <c r="F56" s="59"/>
      <c r="G56" s="81" t="s">
        <v>181</v>
      </c>
      <c r="I56" s="322">
        <f t="shared" si="36"/>
        <v>2061</v>
      </c>
      <c r="J56" s="71"/>
      <c r="K56" s="71">
        <f t="shared" si="37"/>
        <v>42</v>
      </c>
      <c r="L56" s="71"/>
      <c r="M56" s="7">
        <f t="shared" si="38"/>
        <v>0.28895922403035801</v>
      </c>
      <c r="N56" s="71"/>
      <c r="O56" s="10" t="str">
        <f t="shared" si="52"/>
        <v/>
      </c>
      <c r="P56" s="29" t="str">
        <f t="shared" si="39"/>
        <v/>
      </c>
      <c r="Q56" s="71"/>
      <c r="R56" s="10" t="str">
        <f t="shared" si="53"/>
        <v/>
      </c>
      <c r="S56" s="71"/>
      <c r="T56" s="10" t="str">
        <f t="shared" si="18"/>
        <v/>
      </c>
      <c r="U56" s="71"/>
      <c r="V56" s="10" t="str">
        <f t="shared" si="40"/>
        <v/>
      </c>
      <c r="W56" s="10" t="str">
        <f t="shared" si="19"/>
        <v/>
      </c>
      <c r="X56" s="71"/>
      <c r="Y56" s="10" t="str">
        <f t="shared" si="41"/>
        <v/>
      </c>
      <c r="Z56" s="10" t="str">
        <f t="shared" si="20"/>
        <v/>
      </c>
      <c r="AA56" s="71"/>
      <c r="AB56" s="10" t="str">
        <f t="shared" si="4"/>
        <v/>
      </c>
      <c r="AC56" s="10" t="str">
        <f t="shared" si="21"/>
        <v/>
      </c>
      <c r="AD56" s="71"/>
      <c r="AE56" s="10" t="str">
        <f t="shared" si="42"/>
        <v/>
      </c>
      <c r="AF56" s="10" t="str">
        <f t="shared" si="22"/>
        <v/>
      </c>
      <c r="AG56" s="71"/>
      <c r="AH56" s="10" t="str">
        <f t="shared" si="43"/>
        <v/>
      </c>
      <c r="AI56" s="10" t="str">
        <f t="shared" si="23"/>
        <v/>
      </c>
      <c r="AJ56" s="71"/>
      <c r="AK56" s="10" t="str">
        <f t="shared" si="44"/>
        <v/>
      </c>
      <c r="AL56" s="10" t="str">
        <f t="shared" si="24"/>
        <v/>
      </c>
      <c r="AM56" s="71"/>
      <c r="AN56" s="10" t="str">
        <f t="shared" si="45"/>
        <v/>
      </c>
      <c r="AO56" s="10" t="str">
        <f t="shared" si="25"/>
        <v/>
      </c>
      <c r="AP56" s="71"/>
      <c r="AQ56" s="10" t="str">
        <f t="shared" si="46"/>
        <v/>
      </c>
      <c r="AR56" s="10" t="str">
        <f t="shared" si="26"/>
        <v/>
      </c>
      <c r="AS56" s="71"/>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U56" s="71"/>
      <c r="AV56" s="10" t="str">
        <f t="shared" si="47"/>
        <v/>
      </c>
      <c r="AW56" s="10" t="str">
        <f t="shared" si="27"/>
        <v/>
      </c>
      <c r="AX56" s="71"/>
      <c r="AY56" s="7" t="str">
        <f>IF(ISERROR(IF($K56&lt;=$F$15,VLOOKUP($I56,'表4）CO2価格'!$A$7:$E$67,VLOOKUP($F$48,'表4）CO2価格'!$H$10:$I$12,2,0),0)*$F$8/1000,"")),0,IF($K56&lt;=$F$15,VLOOKUP($I56,'表4）CO2価格'!$A$7:$E$67,VLOOKUP($F$48,'表4）CO2価格'!$H$10:$I$12,2,0),0)*$F$8/1000,""))</f>
        <v/>
      </c>
      <c r="AZ56" s="71"/>
      <c r="BA56" s="11" t="str">
        <f t="shared" si="48"/>
        <v/>
      </c>
      <c r="BB56" s="10" t="str">
        <f t="shared" si="28"/>
        <v/>
      </c>
      <c r="BC56" s="71"/>
      <c r="BD56" s="10" t="str">
        <f t="shared" si="49"/>
        <v/>
      </c>
      <c r="BE56" s="10" t="str">
        <f t="shared" si="29"/>
        <v/>
      </c>
      <c r="BF56" s="71"/>
      <c r="BG56" s="11" t="str">
        <f t="shared" si="50"/>
        <v/>
      </c>
      <c r="BH56" s="10" t="str">
        <f t="shared" si="30"/>
        <v/>
      </c>
      <c r="BJ56" s="7" t="str">
        <f t="shared" si="31"/>
        <v/>
      </c>
      <c r="BK56" s="158" t="str">
        <f t="shared" si="32"/>
        <v/>
      </c>
      <c r="BL56" s="158" t="str">
        <f t="shared" si="14"/>
        <v/>
      </c>
      <c r="BM56" s="10"/>
      <c r="BN56" s="10" t="str">
        <f t="shared" si="33"/>
        <v/>
      </c>
      <c r="BO56" s="10" t="str">
        <f t="shared" si="34"/>
        <v/>
      </c>
      <c r="BQ56" s="10" t="str">
        <f t="shared" si="51"/>
        <v/>
      </c>
      <c r="BR56" s="10" t="str">
        <f t="shared" si="35"/>
        <v/>
      </c>
    </row>
    <row r="57" spans="3:70" x14ac:dyDescent="0.15">
      <c r="I57" s="38">
        <f t="shared" si="36"/>
        <v>2062</v>
      </c>
      <c r="J57" s="39"/>
      <c r="K57" s="39">
        <f t="shared" si="37"/>
        <v>43</v>
      </c>
      <c r="L57" s="39"/>
      <c r="M57" s="40">
        <f t="shared" si="38"/>
        <v>0.28054293595180391</v>
      </c>
      <c r="N57" s="39"/>
      <c r="O57" s="72" t="str">
        <f t="shared" si="52"/>
        <v/>
      </c>
      <c r="P57" s="41" t="str">
        <f t="shared" si="39"/>
        <v/>
      </c>
      <c r="Q57" s="39"/>
      <c r="R57" s="72" t="str">
        <f t="shared" si="53"/>
        <v/>
      </c>
      <c r="S57" s="39"/>
      <c r="T57" s="72" t="str">
        <f t="shared" si="18"/>
        <v/>
      </c>
      <c r="U57" s="39"/>
      <c r="V57" s="72" t="str">
        <f t="shared" si="40"/>
        <v/>
      </c>
      <c r="W57" s="72" t="str">
        <f t="shared" si="19"/>
        <v/>
      </c>
      <c r="X57" s="39"/>
      <c r="Y57" s="72" t="str">
        <f t="shared" si="41"/>
        <v/>
      </c>
      <c r="Z57" s="72" t="str">
        <f t="shared" si="20"/>
        <v/>
      </c>
      <c r="AA57" s="39"/>
      <c r="AB57" s="72" t="str">
        <f t="shared" si="4"/>
        <v/>
      </c>
      <c r="AC57" s="72" t="str">
        <f t="shared" si="21"/>
        <v/>
      </c>
      <c r="AD57" s="39"/>
      <c r="AE57" s="72" t="str">
        <f t="shared" si="42"/>
        <v/>
      </c>
      <c r="AF57" s="72" t="str">
        <f t="shared" si="22"/>
        <v/>
      </c>
      <c r="AG57" s="39"/>
      <c r="AH57" s="72" t="str">
        <f t="shared" si="43"/>
        <v/>
      </c>
      <c r="AI57" s="72" t="str">
        <f t="shared" si="23"/>
        <v/>
      </c>
      <c r="AJ57" s="39"/>
      <c r="AK57" s="72" t="str">
        <f t="shared" si="44"/>
        <v/>
      </c>
      <c r="AL57" s="72" t="str">
        <f t="shared" si="24"/>
        <v/>
      </c>
      <c r="AM57" s="39"/>
      <c r="AN57" s="72" t="str">
        <f t="shared" si="45"/>
        <v/>
      </c>
      <c r="AO57" s="72" t="str">
        <f t="shared" si="25"/>
        <v/>
      </c>
      <c r="AP57" s="39"/>
      <c r="AQ57" s="72" t="str">
        <f t="shared" si="46"/>
        <v/>
      </c>
      <c r="AR57" s="72" t="str">
        <f t="shared" si="26"/>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47"/>
        <v/>
      </c>
      <c r="AW57" s="72" t="str">
        <f t="shared" si="27"/>
        <v/>
      </c>
      <c r="AX57" s="39"/>
      <c r="AY57" s="40" t="str">
        <f>IF(ISERROR(IF($K57&lt;=$F$15,VLOOKUP($I57,'表4）CO2価格'!$A$7:$E$67,VLOOKUP($F$48,'表4）CO2価格'!$H$10:$I$12,2,0),0)*$F$8/1000,"")),0,IF($K57&lt;=$F$15,VLOOKUP($I57,'表4）CO2価格'!$A$7:$E$67,VLOOKUP($F$48,'表4）CO2価格'!$H$10:$I$12,2,0),0)*$F$8/1000,""))</f>
        <v/>
      </c>
      <c r="AZ57" s="39"/>
      <c r="BA57" s="42" t="str">
        <f t="shared" si="48"/>
        <v/>
      </c>
      <c r="BB57" s="72" t="str">
        <f t="shared" si="28"/>
        <v/>
      </c>
      <c r="BC57" s="39"/>
      <c r="BD57" s="72" t="str">
        <f t="shared" si="49"/>
        <v/>
      </c>
      <c r="BE57" s="72" t="str">
        <f t="shared" si="29"/>
        <v/>
      </c>
      <c r="BF57" s="39"/>
      <c r="BG57" s="42" t="str">
        <f t="shared" si="50"/>
        <v/>
      </c>
      <c r="BH57" s="72" t="str">
        <f t="shared" si="30"/>
        <v/>
      </c>
      <c r="BI57" s="39"/>
      <c r="BJ57" s="40" t="str">
        <f t="shared" si="31"/>
        <v/>
      </c>
      <c r="BK57" s="157" t="str">
        <f t="shared" si="32"/>
        <v/>
      </c>
      <c r="BL57" s="157" t="str">
        <f t="shared" si="14"/>
        <v/>
      </c>
      <c r="BM57" s="72"/>
      <c r="BN57" s="72" t="str">
        <f t="shared" si="33"/>
        <v/>
      </c>
      <c r="BO57" s="72" t="str">
        <f t="shared" si="34"/>
        <v/>
      </c>
      <c r="BP57" s="39"/>
      <c r="BQ57" s="72" t="str">
        <f t="shared" si="51"/>
        <v/>
      </c>
      <c r="BR57" s="72" t="str">
        <f t="shared" si="35"/>
        <v/>
      </c>
    </row>
    <row r="58" spans="3:70" x14ac:dyDescent="0.15">
      <c r="C58" s="89" t="s">
        <v>512</v>
      </c>
      <c r="D58" s="101"/>
      <c r="E58" s="101"/>
      <c r="F58" s="89"/>
      <c r="G58" s="101"/>
      <c r="I58" s="322">
        <f t="shared" si="36"/>
        <v>2063</v>
      </c>
      <c r="J58" s="71"/>
      <c r="K58" s="71">
        <f t="shared" si="37"/>
        <v>44</v>
      </c>
      <c r="L58" s="71"/>
      <c r="M58" s="7">
        <f t="shared" si="38"/>
        <v>0.27237178247747956</v>
      </c>
      <c r="N58" s="71"/>
      <c r="O58" s="10" t="str">
        <f t="shared" si="52"/>
        <v/>
      </c>
      <c r="P58" s="29" t="str">
        <f t="shared" si="39"/>
        <v/>
      </c>
      <c r="Q58" s="71"/>
      <c r="R58" s="10" t="str">
        <f t="shared" si="53"/>
        <v/>
      </c>
      <c r="S58" s="71"/>
      <c r="T58" s="10" t="str">
        <f t="shared" si="18"/>
        <v/>
      </c>
      <c r="U58" s="71"/>
      <c r="V58" s="10" t="str">
        <f t="shared" si="40"/>
        <v/>
      </c>
      <c r="W58" s="10" t="str">
        <f t="shared" si="19"/>
        <v/>
      </c>
      <c r="X58" s="71"/>
      <c r="Y58" s="10" t="str">
        <f t="shared" si="41"/>
        <v/>
      </c>
      <c r="Z58" s="10" t="str">
        <f t="shared" si="20"/>
        <v/>
      </c>
      <c r="AA58" s="71"/>
      <c r="AB58" s="10" t="str">
        <f t="shared" si="4"/>
        <v/>
      </c>
      <c r="AC58" s="10" t="str">
        <f t="shared" si="21"/>
        <v/>
      </c>
      <c r="AD58" s="71"/>
      <c r="AE58" s="10" t="str">
        <f t="shared" si="42"/>
        <v/>
      </c>
      <c r="AF58" s="10" t="str">
        <f t="shared" si="22"/>
        <v/>
      </c>
      <c r="AG58" s="71"/>
      <c r="AH58" s="10" t="str">
        <f t="shared" si="43"/>
        <v/>
      </c>
      <c r="AI58" s="10" t="str">
        <f t="shared" si="23"/>
        <v/>
      </c>
      <c r="AJ58" s="71"/>
      <c r="AK58" s="10" t="str">
        <f t="shared" si="44"/>
        <v/>
      </c>
      <c r="AL58" s="10" t="str">
        <f t="shared" si="24"/>
        <v/>
      </c>
      <c r="AM58" s="71"/>
      <c r="AN58" s="10" t="str">
        <f t="shared" si="45"/>
        <v/>
      </c>
      <c r="AO58" s="10" t="str">
        <f t="shared" si="25"/>
        <v/>
      </c>
      <c r="AP58" s="71"/>
      <c r="AQ58" s="10" t="str">
        <f t="shared" si="46"/>
        <v/>
      </c>
      <c r="AR58" s="10" t="str">
        <f t="shared" si="26"/>
        <v/>
      </c>
      <c r="AS58" s="71"/>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U58" s="71"/>
      <c r="AV58" s="10" t="str">
        <f t="shared" si="47"/>
        <v/>
      </c>
      <c r="AW58" s="10" t="str">
        <f t="shared" si="27"/>
        <v/>
      </c>
      <c r="AX58" s="71"/>
      <c r="AY58" s="7" t="str">
        <f>IF(ISERROR(IF($K58&lt;=$F$15,VLOOKUP($I58,'表4）CO2価格'!$A$7:$E$67,VLOOKUP($F$48,'表4）CO2価格'!$H$10:$I$12,2,0),0)*$F$8/1000,"")),0,IF($K58&lt;=$F$15,VLOOKUP($I58,'表4）CO2価格'!$A$7:$E$67,VLOOKUP($F$48,'表4）CO2価格'!$H$10:$I$12,2,0),0)*$F$8/1000,""))</f>
        <v/>
      </c>
      <c r="AZ58" s="71"/>
      <c r="BA58" s="11" t="str">
        <f t="shared" si="48"/>
        <v/>
      </c>
      <c r="BB58" s="10" t="str">
        <f t="shared" si="28"/>
        <v/>
      </c>
      <c r="BC58" s="71"/>
      <c r="BD58" s="10" t="str">
        <f t="shared" si="49"/>
        <v/>
      </c>
      <c r="BE58" s="10" t="str">
        <f t="shared" si="29"/>
        <v/>
      </c>
      <c r="BF58" s="71"/>
      <c r="BG58" s="11" t="str">
        <f t="shared" si="50"/>
        <v/>
      </c>
      <c r="BH58" s="10" t="str">
        <f t="shared" si="30"/>
        <v/>
      </c>
      <c r="BJ58" s="7" t="str">
        <f t="shared" si="31"/>
        <v/>
      </c>
      <c r="BK58" s="158" t="str">
        <f t="shared" si="32"/>
        <v/>
      </c>
      <c r="BL58" s="158" t="str">
        <f t="shared" si="14"/>
        <v/>
      </c>
      <c r="BM58" s="10"/>
      <c r="BN58" s="10" t="str">
        <f t="shared" si="33"/>
        <v/>
      </c>
      <c r="BO58" s="10" t="str">
        <f t="shared" si="34"/>
        <v/>
      </c>
      <c r="BQ58" s="10" t="str">
        <f t="shared" si="51"/>
        <v/>
      </c>
      <c r="BR58" s="10" t="str">
        <f t="shared" si="35"/>
        <v/>
      </c>
    </row>
    <row r="59" spans="3:70" x14ac:dyDescent="0.15">
      <c r="I59" s="38">
        <f t="shared" si="36"/>
        <v>2064</v>
      </c>
      <c r="J59" s="39"/>
      <c r="K59" s="39">
        <f t="shared" si="37"/>
        <v>45</v>
      </c>
      <c r="L59" s="39"/>
      <c r="M59" s="40">
        <f t="shared" si="38"/>
        <v>0.26443862376454325</v>
      </c>
      <c r="N59" s="39"/>
      <c r="O59" s="72" t="str">
        <f t="shared" si="52"/>
        <v/>
      </c>
      <c r="P59" s="41" t="str">
        <f t="shared" si="39"/>
        <v/>
      </c>
      <c r="Q59" s="39"/>
      <c r="R59" s="72" t="str">
        <f t="shared" si="53"/>
        <v/>
      </c>
      <c r="S59" s="39"/>
      <c r="T59" s="72" t="str">
        <f t="shared" si="18"/>
        <v/>
      </c>
      <c r="U59" s="39"/>
      <c r="V59" s="72" t="str">
        <f t="shared" si="40"/>
        <v/>
      </c>
      <c r="W59" s="72" t="str">
        <f t="shared" si="19"/>
        <v/>
      </c>
      <c r="X59" s="39"/>
      <c r="Y59" s="72" t="str">
        <f t="shared" si="41"/>
        <v/>
      </c>
      <c r="Z59" s="72" t="str">
        <f t="shared" si="20"/>
        <v/>
      </c>
      <c r="AA59" s="39"/>
      <c r="AB59" s="72" t="str">
        <f t="shared" si="4"/>
        <v/>
      </c>
      <c r="AC59" s="72" t="str">
        <f t="shared" si="21"/>
        <v/>
      </c>
      <c r="AD59" s="39"/>
      <c r="AE59" s="72" t="str">
        <f t="shared" si="42"/>
        <v/>
      </c>
      <c r="AF59" s="72" t="str">
        <f t="shared" si="22"/>
        <v/>
      </c>
      <c r="AG59" s="39"/>
      <c r="AH59" s="72" t="str">
        <f t="shared" si="43"/>
        <v/>
      </c>
      <c r="AI59" s="72" t="str">
        <f t="shared" si="23"/>
        <v/>
      </c>
      <c r="AJ59" s="39"/>
      <c r="AK59" s="72" t="str">
        <f t="shared" si="44"/>
        <v/>
      </c>
      <c r="AL59" s="72" t="str">
        <f t="shared" si="24"/>
        <v/>
      </c>
      <c r="AM59" s="39"/>
      <c r="AN59" s="72" t="str">
        <f t="shared" si="45"/>
        <v/>
      </c>
      <c r="AO59" s="72" t="str">
        <f t="shared" si="25"/>
        <v/>
      </c>
      <c r="AP59" s="39"/>
      <c r="AQ59" s="72" t="str">
        <f t="shared" si="46"/>
        <v/>
      </c>
      <c r="AR59" s="72" t="str">
        <f t="shared" si="26"/>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47"/>
        <v/>
      </c>
      <c r="AW59" s="72" t="str">
        <f t="shared" si="27"/>
        <v/>
      </c>
      <c r="AX59" s="39"/>
      <c r="AY59" s="40" t="str">
        <f>IF(ISERROR(IF($K59&lt;=$F$15,VLOOKUP($I59,'表4）CO2価格'!$A$7:$E$67,VLOOKUP($F$48,'表4）CO2価格'!$H$10:$I$12,2,0),0)*$F$8/1000,"")),0,IF($K59&lt;=$F$15,VLOOKUP($I59,'表4）CO2価格'!$A$7:$E$67,VLOOKUP($F$48,'表4）CO2価格'!$H$10:$I$12,2,0),0)*$F$8/1000,""))</f>
        <v/>
      </c>
      <c r="AZ59" s="39"/>
      <c r="BA59" s="42" t="str">
        <f t="shared" si="48"/>
        <v/>
      </c>
      <c r="BB59" s="72" t="str">
        <f t="shared" si="28"/>
        <v/>
      </c>
      <c r="BC59" s="39"/>
      <c r="BD59" s="72" t="str">
        <f t="shared" si="49"/>
        <v/>
      </c>
      <c r="BE59" s="72" t="str">
        <f t="shared" si="29"/>
        <v/>
      </c>
      <c r="BF59" s="39"/>
      <c r="BG59" s="42" t="str">
        <f t="shared" si="50"/>
        <v/>
      </c>
      <c r="BH59" s="72" t="str">
        <f t="shared" si="30"/>
        <v/>
      </c>
      <c r="BI59" s="39"/>
      <c r="BJ59" s="40" t="str">
        <f t="shared" si="31"/>
        <v/>
      </c>
      <c r="BK59" s="157" t="str">
        <f t="shared" si="32"/>
        <v/>
      </c>
      <c r="BL59" s="157" t="str">
        <f t="shared" si="14"/>
        <v/>
      </c>
      <c r="BM59" s="72"/>
      <c r="BN59" s="72" t="str">
        <f t="shared" si="33"/>
        <v/>
      </c>
      <c r="BO59" s="72" t="str">
        <f t="shared" si="34"/>
        <v/>
      </c>
      <c r="BP59" s="39"/>
      <c r="BQ59" s="72" t="str">
        <f t="shared" si="51"/>
        <v/>
      </c>
      <c r="BR59" s="72" t="str">
        <f t="shared" si="35"/>
        <v/>
      </c>
    </row>
    <row r="60" spans="3:70" x14ac:dyDescent="0.15">
      <c r="D60" s="81" t="s">
        <v>128</v>
      </c>
      <c r="F60" s="59"/>
      <c r="G60" s="81" t="s">
        <v>176</v>
      </c>
      <c r="I60" s="322">
        <f t="shared" si="36"/>
        <v>2065</v>
      </c>
      <c r="J60" s="71"/>
      <c r="K60" s="71">
        <f t="shared" si="37"/>
        <v>46</v>
      </c>
      <c r="L60" s="71"/>
      <c r="M60" s="7">
        <f t="shared" si="38"/>
        <v>0.25673652792674101</v>
      </c>
      <c r="N60" s="71"/>
      <c r="O60" s="10" t="str">
        <f t="shared" si="52"/>
        <v/>
      </c>
      <c r="P60" s="29" t="str">
        <f t="shared" si="39"/>
        <v/>
      </c>
      <c r="Q60" s="71"/>
      <c r="R60" s="10" t="str">
        <f t="shared" si="53"/>
        <v/>
      </c>
      <c r="S60" s="71"/>
      <c r="T60" s="10" t="str">
        <f t="shared" si="18"/>
        <v/>
      </c>
      <c r="U60" s="71"/>
      <c r="V60" s="10" t="str">
        <f t="shared" si="40"/>
        <v/>
      </c>
      <c r="W60" s="10" t="str">
        <f t="shared" si="19"/>
        <v/>
      </c>
      <c r="X60" s="71"/>
      <c r="Y60" s="10" t="str">
        <f t="shared" si="41"/>
        <v/>
      </c>
      <c r="Z60" s="10" t="str">
        <f t="shared" si="20"/>
        <v/>
      </c>
      <c r="AA60" s="71"/>
      <c r="AB60" s="10" t="str">
        <f t="shared" si="4"/>
        <v/>
      </c>
      <c r="AC60" s="10" t="str">
        <f t="shared" si="21"/>
        <v/>
      </c>
      <c r="AD60" s="71"/>
      <c r="AE60" s="10" t="str">
        <f t="shared" si="42"/>
        <v/>
      </c>
      <c r="AF60" s="10" t="str">
        <f t="shared" si="22"/>
        <v/>
      </c>
      <c r="AG60" s="71"/>
      <c r="AH60" s="10" t="str">
        <f t="shared" si="43"/>
        <v/>
      </c>
      <c r="AI60" s="10" t="str">
        <f t="shared" si="23"/>
        <v/>
      </c>
      <c r="AJ60" s="71"/>
      <c r="AK60" s="10" t="str">
        <f t="shared" si="44"/>
        <v/>
      </c>
      <c r="AL60" s="10" t="str">
        <f t="shared" si="24"/>
        <v/>
      </c>
      <c r="AM60" s="71"/>
      <c r="AN60" s="10" t="str">
        <f t="shared" si="45"/>
        <v/>
      </c>
      <c r="AO60" s="10" t="str">
        <f t="shared" si="25"/>
        <v/>
      </c>
      <c r="AP60" s="71"/>
      <c r="AQ60" s="10" t="str">
        <f t="shared" si="46"/>
        <v/>
      </c>
      <c r="AR60" s="10" t="str">
        <f t="shared" si="26"/>
        <v/>
      </c>
      <c r="AS60" s="71"/>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U60" s="71"/>
      <c r="AV60" s="10" t="str">
        <f t="shared" si="47"/>
        <v/>
      </c>
      <c r="AW60" s="10" t="str">
        <f t="shared" si="27"/>
        <v/>
      </c>
      <c r="AX60" s="71"/>
      <c r="AY60" s="7" t="str">
        <f>IF(ISERROR(IF($K60&lt;=$F$15,VLOOKUP($I60,'表4）CO2価格'!$A$7:$E$67,VLOOKUP($F$48,'表4）CO2価格'!$H$10:$I$12,2,0),0)*$F$8/1000,"")),0,IF($K60&lt;=$F$15,VLOOKUP($I60,'表4）CO2価格'!$A$7:$E$67,VLOOKUP($F$48,'表4）CO2価格'!$H$10:$I$12,2,0),0)*$F$8/1000,""))</f>
        <v/>
      </c>
      <c r="AZ60" s="71"/>
      <c r="BA60" s="11" t="str">
        <f t="shared" si="48"/>
        <v/>
      </c>
      <c r="BB60" s="10" t="str">
        <f t="shared" si="28"/>
        <v/>
      </c>
      <c r="BC60" s="71"/>
      <c r="BD60" s="10" t="str">
        <f t="shared" si="49"/>
        <v/>
      </c>
      <c r="BE60" s="10" t="str">
        <f t="shared" si="29"/>
        <v/>
      </c>
      <c r="BF60" s="71"/>
      <c r="BG60" s="11" t="str">
        <f t="shared" si="50"/>
        <v/>
      </c>
      <c r="BH60" s="10" t="str">
        <f t="shared" si="30"/>
        <v/>
      </c>
      <c r="BJ60" s="7" t="str">
        <f t="shared" si="31"/>
        <v/>
      </c>
      <c r="BK60" s="158" t="str">
        <f t="shared" si="32"/>
        <v/>
      </c>
      <c r="BL60" s="158" t="str">
        <f t="shared" si="14"/>
        <v/>
      </c>
      <c r="BM60" s="10"/>
      <c r="BN60" s="10" t="str">
        <f t="shared" si="33"/>
        <v/>
      </c>
      <c r="BO60" s="10" t="str">
        <f t="shared" si="34"/>
        <v/>
      </c>
      <c r="BQ60" s="10" t="str">
        <f t="shared" si="51"/>
        <v/>
      </c>
      <c r="BR60" s="10" t="str">
        <f t="shared" si="35"/>
        <v/>
      </c>
    </row>
    <row r="61" spans="3:70" x14ac:dyDescent="0.15">
      <c r="D61" s="81" t="s">
        <v>190</v>
      </c>
      <c r="F61" s="66"/>
      <c r="G61" s="81" t="s">
        <v>108</v>
      </c>
      <c r="I61" s="38">
        <f t="shared" si="36"/>
        <v>2066</v>
      </c>
      <c r="J61" s="39"/>
      <c r="K61" s="39">
        <f t="shared" si="37"/>
        <v>47</v>
      </c>
      <c r="L61" s="39"/>
      <c r="M61" s="40">
        <f t="shared" si="38"/>
        <v>0.24925876497741845</v>
      </c>
      <c r="N61" s="39"/>
      <c r="O61" s="72" t="str">
        <f t="shared" si="52"/>
        <v/>
      </c>
      <c r="P61" s="41" t="str">
        <f t="shared" si="39"/>
        <v/>
      </c>
      <c r="Q61" s="39"/>
      <c r="R61" s="72" t="str">
        <f t="shared" si="53"/>
        <v/>
      </c>
      <c r="S61" s="39"/>
      <c r="T61" s="72" t="str">
        <f t="shared" si="18"/>
        <v/>
      </c>
      <c r="U61" s="39"/>
      <c r="V61" s="72" t="str">
        <f t="shared" si="40"/>
        <v/>
      </c>
      <c r="W61" s="72" t="str">
        <f t="shared" si="19"/>
        <v/>
      </c>
      <c r="X61" s="39"/>
      <c r="Y61" s="72" t="str">
        <f t="shared" si="41"/>
        <v/>
      </c>
      <c r="Z61" s="72" t="str">
        <f t="shared" si="20"/>
        <v/>
      </c>
      <c r="AA61" s="39"/>
      <c r="AB61" s="72" t="str">
        <f t="shared" si="4"/>
        <v/>
      </c>
      <c r="AC61" s="72" t="str">
        <f t="shared" si="21"/>
        <v/>
      </c>
      <c r="AD61" s="39"/>
      <c r="AE61" s="72" t="str">
        <f t="shared" si="42"/>
        <v/>
      </c>
      <c r="AF61" s="72" t="str">
        <f t="shared" si="22"/>
        <v/>
      </c>
      <c r="AG61" s="39"/>
      <c r="AH61" s="72" t="str">
        <f t="shared" si="43"/>
        <v/>
      </c>
      <c r="AI61" s="72" t="str">
        <f t="shared" si="23"/>
        <v/>
      </c>
      <c r="AJ61" s="39"/>
      <c r="AK61" s="72" t="str">
        <f t="shared" si="44"/>
        <v/>
      </c>
      <c r="AL61" s="72" t="str">
        <f t="shared" si="24"/>
        <v/>
      </c>
      <c r="AM61" s="39"/>
      <c r="AN61" s="72" t="str">
        <f t="shared" si="45"/>
        <v/>
      </c>
      <c r="AO61" s="72" t="str">
        <f t="shared" si="25"/>
        <v/>
      </c>
      <c r="AP61" s="39"/>
      <c r="AQ61" s="72" t="str">
        <f t="shared" si="46"/>
        <v/>
      </c>
      <c r="AR61" s="72" t="str">
        <f t="shared" si="26"/>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47"/>
        <v/>
      </c>
      <c r="AW61" s="72" t="str">
        <f t="shared" si="27"/>
        <v/>
      </c>
      <c r="AX61" s="39"/>
      <c r="AY61" s="40" t="str">
        <f>IF(ISERROR(IF($K61&lt;=$F$15,VLOOKUP($I61,'表4）CO2価格'!$A$7:$E$67,VLOOKUP($F$48,'表4）CO2価格'!$H$10:$I$12,2,0),0)*$F$8/1000,"")),0,IF($K61&lt;=$F$15,VLOOKUP($I61,'表4）CO2価格'!$A$7:$E$67,VLOOKUP($F$48,'表4）CO2価格'!$H$10:$I$12,2,0),0)*$F$8/1000,""))</f>
        <v/>
      </c>
      <c r="AZ61" s="39"/>
      <c r="BA61" s="42" t="str">
        <f t="shared" si="48"/>
        <v/>
      </c>
      <c r="BB61" s="72" t="str">
        <f t="shared" si="28"/>
        <v/>
      </c>
      <c r="BC61" s="39"/>
      <c r="BD61" s="72" t="str">
        <f t="shared" si="49"/>
        <v/>
      </c>
      <c r="BE61" s="72" t="str">
        <f t="shared" si="29"/>
        <v/>
      </c>
      <c r="BF61" s="39"/>
      <c r="BG61" s="42" t="str">
        <f t="shared" si="50"/>
        <v/>
      </c>
      <c r="BH61" s="72" t="str">
        <f t="shared" si="30"/>
        <v/>
      </c>
      <c r="BI61" s="39"/>
      <c r="BJ61" s="40" t="str">
        <f t="shared" si="31"/>
        <v/>
      </c>
      <c r="BK61" s="157" t="str">
        <f t="shared" si="32"/>
        <v/>
      </c>
      <c r="BL61" s="157" t="str">
        <f t="shared" si="14"/>
        <v/>
      </c>
      <c r="BM61" s="72"/>
      <c r="BN61" s="72" t="str">
        <f t="shared" si="33"/>
        <v/>
      </c>
      <c r="BO61" s="72" t="str">
        <f t="shared" si="34"/>
        <v/>
      </c>
      <c r="BP61" s="39"/>
      <c r="BQ61" s="72" t="str">
        <f t="shared" si="51"/>
        <v/>
      </c>
      <c r="BR61" s="72" t="str">
        <f t="shared" si="35"/>
        <v/>
      </c>
    </row>
    <row r="62" spans="3:70" x14ac:dyDescent="0.15">
      <c r="D62" s="81" t="s">
        <v>131</v>
      </c>
      <c r="F62" s="59"/>
      <c r="G62" s="81" t="s">
        <v>191</v>
      </c>
      <c r="I62" s="322">
        <f t="shared" si="36"/>
        <v>2067</v>
      </c>
      <c r="J62" s="71"/>
      <c r="K62" s="71">
        <f t="shared" si="37"/>
        <v>48</v>
      </c>
      <c r="L62" s="71"/>
      <c r="M62" s="7">
        <f t="shared" si="38"/>
        <v>0.24199880094894996</v>
      </c>
      <c r="N62" s="71"/>
      <c r="O62" s="10" t="str">
        <f t="shared" si="52"/>
        <v/>
      </c>
      <c r="P62" s="29" t="str">
        <f t="shared" si="39"/>
        <v/>
      </c>
      <c r="Q62" s="71"/>
      <c r="R62" s="10" t="str">
        <f t="shared" si="53"/>
        <v/>
      </c>
      <c r="S62" s="71"/>
      <c r="T62" s="10" t="str">
        <f t="shared" si="18"/>
        <v/>
      </c>
      <c r="U62" s="71"/>
      <c r="V62" s="10" t="str">
        <f t="shared" si="40"/>
        <v/>
      </c>
      <c r="W62" s="10" t="str">
        <f t="shared" si="19"/>
        <v/>
      </c>
      <c r="X62" s="71"/>
      <c r="Y62" s="10" t="str">
        <f t="shared" si="41"/>
        <v/>
      </c>
      <c r="Z62" s="10" t="str">
        <f t="shared" si="20"/>
        <v/>
      </c>
      <c r="AA62" s="71"/>
      <c r="AB62" s="10" t="str">
        <f t="shared" si="4"/>
        <v/>
      </c>
      <c r="AC62" s="10" t="str">
        <f t="shared" si="21"/>
        <v/>
      </c>
      <c r="AD62" s="71"/>
      <c r="AE62" s="10" t="str">
        <f t="shared" si="42"/>
        <v/>
      </c>
      <c r="AF62" s="10" t="str">
        <f t="shared" si="22"/>
        <v/>
      </c>
      <c r="AG62" s="71"/>
      <c r="AH62" s="10" t="str">
        <f t="shared" si="43"/>
        <v/>
      </c>
      <c r="AI62" s="10" t="str">
        <f t="shared" si="23"/>
        <v/>
      </c>
      <c r="AJ62" s="71"/>
      <c r="AK62" s="10" t="str">
        <f t="shared" si="44"/>
        <v/>
      </c>
      <c r="AL62" s="10" t="str">
        <f t="shared" si="24"/>
        <v/>
      </c>
      <c r="AM62" s="71"/>
      <c r="AN62" s="10" t="str">
        <f t="shared" si="45"/>
        <v/>
      </c>
      <c r="AO62" s="10" t="str">
        <f t="shared" si="25"/>
        <v/>
      </c>
      <c r="AP62" s="71"/>
      <c r="AQ62" s="10" t="str">
        <f t="shared" si="46"/>
        <v/>
      </c>
      <c r="AR62" s="10" t="str">
        <f t="shared" si="26"/>
        <v/>
      </c>
      <c r="AS62" s="71"/>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U62" s="71"/>
      <c r="AV62" s="10" t="str">
        <f t="shared" si="47"/>
        <v/>
      </c>
      <c r="AW62" s="10" t="str">
        <f t="shared" si="27"/>
        <v/>
      </c>
      <c r="AX62" s="71"/>
      <c r="AY62" s="7" t="str">
        <f>IF(ISERROR(IF($K62&lt;=$F$15,VLOOKUP($I62,'表4）CO2価格'!$A$7:$E$67,VLOOKUP($F$48,'表4）CO2価格'!$H$10:$I$12,2,0),0)*$F$8/1000,"")),0,IF($K62&lt;=$F$15,VLOOKUP($I62,'表4）CO2価格'!$A$7:$E$67,VLOOKUP($F$48,'表4）CO2価格'!$H$10:$I$12,2,0),0)*$F$8/1000,""))</f>
        <v/>
      </c>
      <c r="AZ62" s="71"/>
      <c r="BA62" s="11" t="str">
        <f t="shared" si="48"/>
        <v/>
      </c>
      <c r="BB62" s="10" t="str">
        <f t="shared" si="28"/>
        <v/>
      </c>
      <c r="BC62" s="71"/>
      <c r="BD62" s="10" t="str">
        <f t="shared" si="49"/>
        <v/>
      </c>
      <c r="BE62" s="10" t="str">
        <f t="shared" si="29"/>
        <v/>
      </c>
      <c r="BF62" s="71"/>
      <c r="BG62" s="11" t="str">
        <f t="shared" si="50"/>
        <v/>
      </c>
      <c r="BH62" s="10" t="str">
        <f t="shared" si="30"/>
        <v/>
      </c>
      <c r="BJ62" s="7" t="str">
        <f t="shared" si="31"/>
        <v/>
      </c>
      <c r="BK62" s="158" t="str">
        <f t="shared" si="32"/>
        <v/>
      </c>
      <c r="BL62" s="158" t="str">
        <f t="shared" si="14"/>
        <v/>
      </c>
      <c r="BM62" s="10"/>
      <c r="BN62" s="10" t="str">
        <f t="shared" si="33"/>
        <v/>
      </c>
      <c r="BO62" s="10" t="str">
        <f t="shared" si="34"/>
        <v/>
      </c>
      <c r="BQ62" s="10" t="str">
        <f t="shared" si="51"/>
        <v/>
      </c>
      <c r="BR62" s="10" t="str">
        <f t="shared" si="35"/>
        <v/>
      </c>
    </row>
    <row r="63" spans="3:70" x14ac:dyDescent="0.15">
      <c r="I63" s="38">
        <f t="shared" si="36"/>
        <v>2068</v>
      </c>
      <c r="J63" s="39"/>
      <c r="K63" s="39">
        <f t="shared" si="37"/>
        <v>49</v>
      </c>
      <c r="L63" s="39"/>
      <c r="M63" s="40">
        <f t="shared" si="38"/>
        <v>0.2349502921834466</v>
      </c>
      <c r="N63" s="39"/>
      <c r="O63" s="72" t="str">
        <f t="shared" si="52"/>
        <v/>
      </c>
      <c r="P63" s="41" t="str">
        <f t="shared" si="39"/>
        <v/>
      </c>
      <c r="Q63" s="39"/>
      <c r="R63" s="72" t="str">
        <f t="shared" si="53"/>
        <v/>
      </c>
      <c r="S63" s="39"/>
      <c r="T63" s="72" t="str">
        <f t="shared" si="18"/>
        <v/>
      </c>
      <c r="U63" s="39"/>
      <c r="V63" s="72" t="str">
        <f t="shared" si="40"/>
        <v/>
      </c>
      <c r="W63" s="72" t="str">
        <f t="shared" si="19"/>
        <v/>
      </c>
      <c r="X63" s="39"/>
      <c r="Y63" s="72" t="str">
        <f t="shared" si="41"/>
        <v/>
      </c>
      <c r="Z63" s="72" t="str">
        <f t="shared" si="20"/>
        <v/>
      </c>
      <c r="AA63" s="39"/>
      <c r="AB63" s="72" t="str">
        <f t="shared" si="4"/>
        <v/>
      </c>
      <c r="AC63" s="72" t="str">
        <f t="shared" si="21"/>
        <v/>
      </c>
      <c r="AD63" s="39"/>
      <c r="AE63" s="72" t="str">
        <f t="shared" si="42"/>
        <v/>
      </c>
      <c r="AF63" s="72" t="str">
        <f t="shared" si="22"/>
        <v/>
      </c>
      <c r="AG63" s="39"/>
      <c r="AH63" s="72" t="str">
        <f t="shared" si="43"/>
        <v/>
      </c>
      <c r="AI63" s="72" t="str">
        <f t="shared" si="23"/>
        <v/>
      </c>
      <c r="AJ63" s="39"/>
      <c r="AK63" s="72" t="str">
        <f t="shared" si="44"/>
        <v/>
      </c>
      <c r="AL63" s="72" t="str">
        <f t="shared" si="24"/>
        <v/>
      </c>
      <c r="AM63" s="39"/>
      <c r="AN63" s="72" t="str">
        <f t="shared" si="45"/>
        <v/>
      </c>
      <c r="AO63" s="72" t="str">
        <f t="shared" si="25"/>
        <v/>
      </c>
      <c r="AP63" s="39"/>
      <c r="AQ63" s="72" t="str">
        <f t="shared" si="46"/>
        <v/>
      </c>
      <c r="AR63" s="72" t="str">
        <f t="shared" si="26"/>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47"/>
        <v/>
      </c>
      <c r="AW63" s="72" t="str">
        <f t="shared" si="27"/>
        <v/>
      </c>
      <c r="AX63" s="39"/>
      <c r="AY63" s="40" t="str">
        <f>IF(ISERROR(IF($K63&lt;=$F$15,VLOOKUP($I63,'表4）CO2価格'!$A$7:$E$67,VLOOKUP($F$48,'表4）CO2価格'!$H$10:$I$12,2,0),0)*$F$8/1000,"")),0,IF($K63&lt;=$F$15,VLOOKUP($I63,'表4）CO2価格'!$A$7:$E$67,VLOOKUP($F$48,'表4）CO2価格'!$H$10:$I$12,2,0),0)*$F$8/1000,""))</f>
        <v/>
      </c>
      <c r="AZ63" s="39"/>
      <c r="BA63" s="42" t="str">
        <f t="shared" si="48"/>
        <v/>
      </c>
      <c r="BB63" s="72" t="str">
        <f t="shared" si="28"/>
        <v/>
      </c>
      <c r="BC63" s="39"/>
      <c r="BD63" s="72" t="str">
        <f t="shared" si="49"/>
        <v/>
      </c>
      <c r="BE63" s="72" t="str">
        <f t="shared" si="29"/>
        <v/>
      </c>
      <c r="BF63" s="39"/>
      <c r="BG63" s="42" t="str">
        <f t="shared" si="50"/>
        <v/>
      </c>
      <c r="BH63" s="72" t="str">
        <f t="shared" si="30"/>
        <v/>
      </c>
      <c r="BI63" s="39"/>
      <c r="BJ63" s="40" t="str">
        <f t="shared" si="31"/>
        <v/>
      </c>
      <c r="BK63" s="157" t="str">
        <f t="shared" si="32"/>
        <v/>
      </c>
      <c r="BL63" s="157" t="str">
        <f t="shared" si="14"/>
        <v/>
      </c>
      <c r="BM63" s="72"/>
      <c r="BN63" s="72" t="str">
        <f t="shared" si="33"/>
        <v/>
      </c>
      <c r="BO63" s="72" t="str">
        <f t="shared" si="34"/>
        <v/>
      </c>
      <c r="BP63" s="39"/>
      <c r="BQ63" s="72" t="str">
        <f t="shared" si="51"/>
        <v/>
      </c>
      <c r="BR63" s="72" t="str">
        <f t="shared" si="35"/>
        <v/>
      </c>
    </row>
    <row r="64" spans="3:70" x14ac:dyDescent="0.15">
      <c r="C64" s="9" t="s">
        <v>513</v>
      </c>
      <c r="F64" s="90">
        <v>4.1417000000000002E-2</v>
      </c>
      <c r="G64" s="81" t="s">
        <v>132</v>
      </c>
      <c r="I64" s="322">
        <f t="shared" si="36"/>
        <v>2069</v>
      </c>
      <c r="J64" s="71"/>
      <c r="K64" s="71">
        <f t="shared" si="37"/>
        <v>50</v>
      </c>
      <c r="L64" s="71"/>
      <c r="M64" s="7">
        <f t="shared" si="38"/>
        <v>0.22810707978975397</v>
      </c>
      <c r="N64" s="71"/>
      <c r="O64" s="10" t="str">
        <f t="shared" si="52"/>
        <v/>
      </c>
      <c r="P64" s="29" t="str">
        <f t="shared" si="39"/>
        <v/>
      </c>
      <c r="Q64" s="71"/>
      <c r="R64" s="10" t="str">
        <f t="shared" si="53"/>
        <v/>
      </c>
      <c r="S64" s="71"/>
      <c r="T64" s="10" t="str">
        <f t="shared" si="18"/>
        <v/>
      </c>
      <c r="U64" s="71"/>
      <c r="V64" s="10" t="str">
        <f t="shared" si="40"/>
        <v/>
      </c>
      <c r="W64" s="10" t="str">
        <f t="shared" si="19"/>
        <v/>
      </c>
      <c r="X64" s="71"/>
      <c r="Y64" s="10" t="str">
        <f t="shared" si="41"/>
        <v/>
      </c>
      <c r="Z64" s="10" t="str">
        <f t="shared" si="20"/>
        <v/>
      </c>
      <c r="AA64" s="71"/>
      <c r="AB64" s="10" t="str">
        <f t="shared" si="4"/>
        <v/>
      </c>
      <c r="AC64" s="10" t="str">
        <f t="shared" si="21"/>
        <v/>
      </c>
      <c r="AD64" s="71"/>
      <c r="AE64" s="10" t="str">
        <f t="shared" si="42"/>
        <v/>
      </c>
      <c r="AF64" s="10" t="str">
        <f t="shared" si="22"/>
        <v/>
      </c>
      <c r="AG64" s="71"/>
      <c r="AH64" s="10" t="str">
        <f t="shared" si="43"/>
        <v/>
      </c>
      <c r="AI64" s="10" t="str">
        <f t="shared" si="23"/>
        <v/>
      </c>
      <c r="AJ64" s="71"/>
      <c r="AK64" s="10" t="str">
        <f t="shared" si="44"/>
        <v/>
      </c>
      <c r="AL64" s="10" t="str">
        <f t="shared" si="24"/>
        <v/>
      </c>
      <c r="AM64" s="71"/>
      <c r="AN64" s="10" t="str">
        <f t="shared" si="45"/>
        <v/>
      </c>
      <c r="AO64" s="10" t="str">
        <f t="shared" si="25"/>
        <v/>
      </c>
      <c r="AP64" s="71"/>
      <c r="AQ64" s="10" t="str">
        <f t="shared" si="46"/>
        <v/>
      </c>
      <c r="AR64" s="10" t="str">
        <f t="shared" si="26"/>
        <v/>
      </c>
      <c r="AS64" s="71"/>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U64" s="71"/>
      <c r="AV64" s="10" t="str">
        <f t="shared" si="47"/>
        <v/>
      </c>
      <c r="AW64" s="10" t="str">
        <f t="shared" si="27"/>
        <v/>
      </c>
      <c r="AX64" s="71"/>
      <c r="AY64" s="7" t="str">
        <f>IF(ISERROR(IF($K64&lt;=$F$15,VLOOKUP($I64,'表4）CO2価格'!$A$7:$E$67,VLOOKUP($F$48,'表4）CO2価格'!$H$10:$I$12,2,0),0)*$F$8/1000,"")),0,IF($K64&lt;=$F$15,VLOOKUP($I64,'表4）CO2価格'!$A$7:$E$67,VLOOKUP($F$48,'表4）CO2価格'!$H$10:$I$12,2,0),0)*$F$8/1000,""))</f>
        <v/>
      </c>
      <c r="AZ64" s="71"/>
      <c r="BA64" s="11" t="str">
        <f t="shared" si="48"/>
        <v/>
      </c>
      <c r="BB64" s="10" t="str">
        <f t="shared" si="28"/>
        <v/>
      </c>
      <c r="BC64" s="71"/>
      <c r="BD64" s="10" t="str">
        <f t="shared" si="49"/>
        <v/>
      </c>
      <c r="BE64" s="10" t="str">
        <f t="shared" si="29"/>
        <v/>
      </c>
      <c r="BF64" s="71"/>
      <c r="BG64" s="11" t="str">
        <f t="shared" si="50"/>
        <v/>
      </c>
      <c r="BH64" s="10" t="str">
        <f t="shared" si="30"/>
        <v/>
      </c>
      <c r="BJ64" s="7" t="str">
        <f t="shared" si="31"/>
        <v/>
      </c>
      <c r="BK64" s="158" t="str">
        <f t="shared" si="32"/>
        <v/>
      </c>
      <c r="BL64" s="158" t="str">
        <f t="shared" si="14"/>
        <v/>
      </c>
      <c r="BM64" s="10"/>
      <c r="BN64" s="10" t="str">
        <f t="shared" si="33"/>
        <v/>
      </c>
      <c r="BO64" s="10" t="str">
        <f t="shared" si="34"/>
        <v/>
      </c>
      <c r="BQ64" s="10" t="str">
        <f t="shared" si="51"/>
        <v/>
      </c>
      <c r="BR64" s="10" t="str">
        <f t="shared" si="35"/>
        <v/>
      </c>
    </row>
    <row r="65" spans="2:70" x14ac:dyDescent="0.15">
      <c r="I65" s="38">
        <f t="shared" si="36"/>
        <v>2070</v>
      </c>
      <c r="J65" s="39"/>
      <c r="K65" s="39">
        <f t="shared" si="37"/>
        <v>51</v>
      </c>
      <c r="L65" s="39"/>
      <c r="M65" s="40">
        <f t="shared" si="38"/>
        <v>0.22146318426189707</v>
      </c>
      <c r="N65" s="39"/>
      <c r="O65" s="72" t="str">
        <f t="shared" si="52"/>
        <v/>
      </c>
      <c r="P65" s="41" t="str">
        <f t="shared" si="39"/>
        <v/>
      </c>
      <c r="Q65" s="39"/>
      <c r="R65" s="72" t="str">
        <f t="shared" si="53"/>
        <v/>
      </c>
      <c r="S65" s="39"/>
      <c r="T65" s="72" t="str">
        <f t="shared" si="18"/>
        <v/>
      </c>
      <c r="U65" s="39"/>
      <c r="V65" s="72" t="str">
        <f t="shared" si="40"/>
        <v/>
      </c>
      <c r="W65" s="72" t="str">
        <f t="shared" si="19"/>
        <v/>
      </c>
      <c r="X65" s="39"/>
      <c r="Y65" s="72" t="str">
        <f t="shared" si="41"/>
        <v/>
      </c>
      <c r="Z65" s="72" t="str">
        <f t="shared" si="20"/>
        <v/>
      </c>
      <c r="AA65" s="39"/>
      <c r="AB65" s="72" t="str">
        <f t="shared" si="4"/>
        <v/>
      </c>
      <c r="AC65" s="72" t="str">
        <f t="shared" si="21"/>
        <v/>
      </c>
      <c r="AD65" s="39"/>
      <c r="AE65" s="72" t="str">
        <f t="shared" si="42"/>
        <v/>
      </c>
      <c r="AF65" s="72" t="str">
        <f t="shared" si="22"/>
        <v/>
      </c>
      <c r="AG65" s="39"/>
      <c r="AH65" s="72" t="str">
        <f t="shared" si="43"/>
        <v/>
      </c>
      <c r="AI65" s="72" t="str">
        <f t="shared" si="23"/>
        <v/>
      </c>
      <c r="AJ65" s="39"/>
      <c r="AK65" s="72" t="str">
        <f t="shared" si="44"/>
        <v/>
      </c>
      <c r="AL65" s="72" t="str">
        <f t="shared" si="24"/>
        <v/>
      </c>
      <c r="AM65" s="39"/>
      <c r="AN65" s="72" t="str">
        <f t="shared" si="45"/>
        <v/>
      </c>
      <c r="AO65" s="72" t="str">
        <f t="shared" si="25"/>
        <v/>
      </c>
      <c r="AP65" s="39"/>
      <c r="AQ65" s="72" t="str">
        <f t="shared" si="46"/>
        <v/>
      </c>
      <c r="AR65" s="72" t="str">
        <f t="shared" si="26"/>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47"/>
        <v/>
      </c>
      <c r="AW65" s="72" t="str">
        <f t="shared" si="27"/>
        <v/>
      </c>
      <c r="AX65" s="39"/>
      <c r="AY65" s="40" t="str">
        <f>IF(ISERROR(IF($K65&lt;=$F$15,VLOOKUP($I65,'表4）CO2価格'!$A$7:$E$67,VLOOKUP($F$48,'表4）CO2価格'!$H$10:$I$12,2,0),0)*$F$8/1000,"")),0,IF($K65&lt;=$F$15,VLOOKUP($I65,'表4）CO2価格'!$A$7:$E$67,VLOOKUP($F$48,'表4）CO2価格'!$H$10:$I$12,2,0),0)*$F$8/1000,""))</f>
        <v/>
      </c>
      <c r="AZ65" s="39"/>
      <c r="BA65" s="42" t="str">
        <f t="shared" si="48"/>
        <v/>
      </c>
      <c r="BB65" s="72" t="str">
        <f t="shared" si="28"/>
        <v/>
      </c>
      <c r="BC65" s="39"/>
      <c r="BD65" s="72" t="str">
        <f t="shared" si="49"/>
        <v/>
      </c>
      <c r="BE65" s="72" t="str">
        <f t="shared" si="29"/>
        <v/>
      </c>
      <c r="BF65" s="39"/>
      <c r="BG65" s="42" t="str">
        <f t="shared" si="50"/>
        <v/>
      </c>
      <c r="BH65" s="72" t="str">
        <f t="shared" si="30"/>
        <v/>
      </c>
      <c r="BI65" s="39"/>
      <c r="BJ65" s="40" t="str">
        <f t="shared" si="31"/>
        <v/>
      </c>
      <c r="BK65" s="157" t="str">
        <f t="shared" si="32"/>
        <v/>
      </c>
      <c r="BL65" s="157" t="str">
        <f t="shared" si="14"/>
        <v/>
      </c>
      <c r="BM65" s="72"/>
      <c r="BN65" s="72" t="str">
        <f t="shared" si="33"/>
        <v/>
      </c>
      <c r="BO65" s="72" t="str">
        <f t="shared" si="34"/>
        <v/>
      </c>
      <c r="BP65" s="39"/>
      <c r="BQ65" s="72" t="str">
        <f t="shared" si="51"/>
        <v/>
      </c>
      <c r="BR65" s="72" t="str">
        <f t="shared" si="35"/>
        <v/>
      </c>
    </row>
    <row r="66" spans="2:70" x14ac:dyDescent="0.15">
      <c r="I66" s="322">
        <f t="shared" si="36"/>
        <v>2071</v>
      </c>
      <c r="J66" s="71"/>
      <c r="K66" s="71">
        <f t="shared" si="37"/>
        <v>52</v>
      </c>
      <c r="L66" s="71"/>
      <c r="M66" s="7">
        <f t="shared" si="38"/>
        <v>0.215012800254269</v>
      </c>
      <c r="N66" s="71"/>
      <c r="O66" s="10" t="str">
        <f t="shared" si="52"/>
        <v/>
      </c>
      <c r="P66" s="29" t="str">
        <f t="shared" si="39"/>
        <v/>
      </c>
      <c r="Q66" s="71"/>
      <c r="R66" s="10" t="str">
        <f t="shared" si="53"/>
        <v/>
      </c>
      <c r="S66" s="71"/>
      <c r="T66" s="10" t="str">
        <f t="shared" si="18"/>
        <v/>
      </c>
      <c r="U66" s="71"/>
      <c r="V66" s="10" t="str">
        <f t="shared" si="40"/>
        <v/>
      </c>
      <c r="W66" s="10" t="str">
        <f t="shared" si="19"/>
        <v/>
      </c>
      <c r="X66" s="71"/>
      <c r="Y66" s="10" t="str">
        <f t="shared" si="41"/>
        <v/>
      </c>
      <c r="Z66" s="10" t="str">
        <f t="shared" si="20"/>
        <v/>
      </c>
      <c r="AA66" s="71"/>
      <c r="AB66" s="10" t="str">
        <f t="shared" si="4"/>
        <v/>
      </c>
      <c r="AC66" s="10" t="str">
        <f t="shared" si="21"/>
        <v/>
      </c>
      <c r="AD66" s="71"/>
      <c r="AE66" s="10" t="str">
        <f t="shared" si="42"/>
        <v/>
      </c>
      <c r="AF66" s="10" t="str">
        <f t="shared" si="22"/>
        <v/>
      </c>
      <c r="AG66" s="71"/>
      <c r="AH66" s="10" t="str">
        <f t="shared" si="43"/>
        <v/>
      </c>
      <c r="AI66" s="10" t="str">
        <f t="shared" si="23"/>
        <v/>
      </c>
      <c r="AJ66" s="71"/>
      <c r="AK66" s="10" t="str">
        <f t="shared" si="44"/>
        <v/>
      </c>
      <c r="AL66" s="10" t="str">
        <f t="shared" si="24"/>
        <v/>
      </c>
      <c r="AM66" s="71"/>
      <c r="AN66" s="10" t="str">
        <f t="shared" si="45"/>
        <v/>
      </c>
      <c r="AO66" s="10" t="str">
        <f t="shared" si="25"/>
        <v/>
      </c>
      <c r="AP66" s="71"/>
      <c r="AQ66" s="10" t="str">
        <f t="shared" si="46"/>
        <v/>
      </c>
      <c r="AR66" s="10" t="str">
        <f t="shared" si="26"/>
        <v/>
      </c>
      <c r="AS66" s="71"/>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U66" s="71"/>
      <c r="AV66" s="10" t="str">
        <f t="shared" si="47"/>
        <v/>
      </c>
      <c r="AW66" s="10" t="str">
        <f t="shared" si="27"/>
        <v/>
      </c>
      <c r="AX66" s="71"/>
      <c r="AY66" s="7" t="str">
        <f>IF(ISERROR(IF($K66&lt;=$F$15,VLOOKUP($I66,'表4）CO2価格'!$A$7:$E$67,VLOOKUP($F$48,'表4）CO2価格'!$H$10:$I$12,2,0),0)*$F$8/1000,"")),0,IF($K66&lt;=$F$15,VLOOKUP($I66,'表4）CO2価格'!$A$7:$E$67,VLOOKUP($F$48,'表4）CO2価格'!$H$10:$I$12,2,0),0)*$F$8/1000,""))</f>
        <v/>
      </c>
      <c r="AZ66" s="71"/>
      <c r="BA66" s="11" t="str">
        <f t="shared" si="48"/>
        <v/>
      </c>
      <c r="BB66" s="10" t="str">
        <f t="shared" si="28"/>
        <v/>
      </c>
      <c r="BC66" s="71"/>
      <c r="BD66" s="10" t="str">
        <f t="shared" si="49"/>
        <v/>
      </c>
      <c r="BE66" s="10" t="str">
        <f t="shared" si="29"/>
        <v/>
      </c>
      <c r="BF66" s="71"/>
      <c r="BG66" s="11" t="str">
        <f t="shared" si="50"/>
        <v/>
      </c>
      <c r="BH66" s="10" t="str">
        <f t="shared" si="30"/>
        <v/>
      </c>
      <c r="BJ66" s="7" t="str">
        <f t="shared" si="31"/>
        <v/>
      </c>
      <c r="BK66" s="158" t="str">
        <f t="shared" si="32"/>
        <v/>
      </c>
      <c r="BL66" s="158" t="str">
        <f t="shared" si="14"/>
        <v/>
      </c>
      <c r="BM66" s="10"/>
      <c r="BN66" s="10" t="str">
        <f t="shared" si="33"/>
        <v/>
      </c>
      <c r="BO66" s="10" t="str">
        <f t="shared" si="34"/>
        <v/>
      </c>
      <c r="BQ66" s="10" t="str">
        <f t="shared" si="51"/>
        <v/>
      </c>
      <c r="BR66" s="10" t="str">
        <f t="shared" si="35"/>
        <v/>
      </c>
    </row>
    <row r="67" spans="2:70" ht="15.75" thickBot="1" x14ac:dyDescent="0.2">
      <c r="B67" s="460" t="s">
        <v>133</v>
      </c>
      <c r="C67" s="86"/>
      <c r="D67" s="104"/>
      <c r="E67" s="104"/>
      <c r="F67" s="86"/>
      <c r="G67" s="104"/>
      <c r="I67" s="38">
        <f t="shared" si="36"/>
        <v>2072</v>
      </c>
      <c r="J67" s="39"/>
      <c r="K67" s="39">
        <f t="shared" si="37"/>
        <v>53</v>
      </c>
      <c r="L67" s="39"/>
      <c r="M67" s="40">
        <f t="shared" si="38"/>
        <v>0.20875029150899907</v>
      </c>
      <c r="N67" s="39"/>
      <c r="O67" s="72" t="str">
        <f t="shared" si="52"/>
        <v/>
      </c>
      <c r="P67" s="41" t="str">
        <f t="shared" si="39"/>
        <v/>
      </c>
      <c r="Q67" s="39"/>
      <c r="R67" s="72" t="str">
        <f t="shared" si="53"/>
        <v/>
      </c>
      <c r="S67" s="39"/>
      <c r="T67" s="72" t="str">
        <f t="shared" si="18"/>
        <v/>
      </c>
      <c r="U67" s="39"/>
      <c r="V67" s="72" t="str">
        <f t="shared" si="40"/>
        <v/>
      </c>
      <c r="W67" s="72" t="str">
        <f t="shared" si="19"/>
        <v/>
      </c>
      <c r="X67" s="39"/>
      <c r="Y67" s="72" t="str">
        <f t="shared" si="41"/>
        <v/>
      </c>
      <c r="Z67" s="72" t="str">
        <f t="shared" si="20"/>
        <v/>
      </c>
      <c r="AA67" s="39"/>
      <c r="AB67" s="72" t="str">
        <f t="shared" si="4"/>
        <v/>
      </c>
      <c r="AC67" s="72" t="str">
        <f t="shared" si="21"/>
        <v/>
      </c>
      <c r="AD67" s="39"/>
      <c r="AE67" s="72" t="str">
        <f t="shared" si="42"/>
        <v/>
      </c>
      <c r="AF67" s="72" t="str">
        <f t="shared" si="22"/>
        <v/>
      </c>
      <c r="AG67" s="39"/>
      <c r="AH67" s="72" t="str">
        <f t="shared" si="43"/>
        <v/>
      </c>
      <c r="AI67" s="72" t="str">
        <f t="shared" si="23"/>
        <v/>
      </c>
      <c r="AJ67" s="39"/>
      <c r="AK67" s="72" t="str">
        <f t="shared" si="44"/>
        <v/>
      </c>
      <c r="AL67" s="72" t="str">
        <f t="shared" si="24"/>
        <v/>
      </c>
      <c r="AM67" s="39"/>
      <c r="AN67" s="72" t="str">
        <f t="shared" si="45"/>
        <v/>
      </c>
      <c r="AO67" s="72" t="str">
        <f t="shared" si="25"/>
        <v/>
      </c>
      <c r="AP67" s="39"/>
      <c r="AQ67" s="72" t="str">
        <f t="shared" si="46"/>
        <v/>
      </c>
      <c r="AR67" s="72" t="str">
        <f t="shared" si="26"/>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47"/>
        <v/>
      </c>
      <c r="AW67" s="72" t="str">
        <f t="shared" si="27"/>
        <v/>
      </c>
      <c r="AX67" s="39"/>
      <c r="AY67" s="40" t="str">
        <f>IF(ISERROR(IF($K67&lt;=$F$15,VLOOKUP($I67,'表4）CO2価格'!$A$7:$E$67,VLOOKUP($F$48,'表4）CO2価格'!$H$10:$I$12,2,0),0)*$F$8/1000,"")),0,IF($K67&lt;=$F$15,VLOOKUP($I67,'表4）CO2価格'!$A$7:$E$67,VLOOKUP($F$48,'表4）CO2価格'!$H$10:$I$12,2,0),0)*$F$8/1000,""))</f>
        <v/>
      </c>
      <c r="AZ67" s="39"/>
      <c r="BA67" s="42" t="str">
        <f t="shared" si="48"/>
        <v/>
      </c>
      <c r="BB67" s="72" t="str">
        <f t="shared" si="28"/>
        <v/>
      </c>
      <c r="BC67" s="39"/>
      <c r="BD67" s="72" t="str">
        <f t="shared" si="49"/>
        <v/>
      </c>
      <c r="BE67" s="72" t="str">
        <f t="shared" si="29"/>
        <v/>
      </c>
      <c r="BF67" s="39"/>
      <c r="BG67" s="42" t="str">
        <f t="shared" si="50"/>
        <v/>
      </c>
      <c r="BH67" s="72" t="str">
        <f t="shared" si="30"/>
        <v/>
      </c>
      <c r="BI67" s="39"/>
      <c r="BJ67" s="40" t="str">
        <f t="shared" si="31"/>
        <v/>
      </c>
      <c r="BK67" s="157" t="str">
        <f t="shared" si="32"/>
        <v/>
      </c>
      <c r="BL67" s="157" t="str">
        <f t="shared" si="14"/>
        <v/>
      </c>
      <c r="BM67" s="72"/>
      <c r="BN67" s="72" t="str">
        <f t="shared" si="33"/>
        <v/>
      </c>
      <c r="BO67" s="72" t="str">
        <f t="shared" si="34"/>
        <v/>
      </c>
      <c r="BP67" s="39"/>
      <c r="BQ67" s="72" t="str">
        <f t="shared" si="51"/>
        <v/>
      </c>
      <c r="BR67" s="72" t="str">
        <f t="shared" si="35"/>
        <v/>
      </c>
    </row>
    <row r="68" spans="2:70" x14ac:dyDescent="0.15">
      <c r="I68" s="322">
        <f t="shared" si="36"/>
        <v>2073</v>
      </c>
      <c r="J68" s="71"/>
      <c r="K68" s="71">
        <f t="shared" si="37"/>
        <v>54</v>
      </c>
      <c r="L68" s="71"/>
      <c r="M68" s="7">
        <f t="shared" si="38"/>
        <v>0.20267018593106703</v>
      </c>
      <c r="N68" s="71"/>
      <c r="O68" s="10" t="str">
        <f t="shared" si="52"/>
        <v/>
      </c>
      <c r="P68" s="29" t="str">
        <f t="shared" si="39"/>
        <v/>
      </c>
      <c r="Q68" s="71"/>
      <c r="R68" s="10" t="str">
        <f t="shared" si="53"/>
        <v/>
      </c>
      <c r="S68" s="71"/>
      <c r="T68" s="10" t="str">
        <f t="shared" si="18"/>
        <v/>
      </c>
      <c r="U68" s="71"/>
      <c r="V68" s="10" t="str">
        <f t="shared" si="40"/>
        <v/>
      </c>
      <c r="W68" s="10" t="str">
        <f t="shared" si="19"/>
        <v/>
      </c>
      <c r="X68" s="71"/>
      <c r="Y68" s="10" t="str">
        <f t="shared" si="41"/>
        <v/>
      </c>
      <c r="Z68" s="10" t="str">
        <f t="shared" si="20"/>
        <v/>
      </c>
      <c r="AA68" s="71"/>
      <c r="AB68" s="10" t="str">
        <f t="shared" si="4"/>
        <v/>
      </c>
      <c r="AC68" s="10" t="str">
        <f t="shared" si="21"/>
        <v/>
      </c>
      <c r="AD68" s="71"/>
      <c r="AE68" s="10" t="str">
        <f t="shared" si="42"/>
        <v/>
      </c>
      <c r="AF68" s="10" t="str">
        <f t="shared" si="22"/>
        <v/>
      </c>
      <c r="AG68" s="71"/>
      <c r="AH68" s="10" t="str">
        <f t="shared" si="43"/>
        <v/>
      </c>
      <c r="AI68" s="10" t="str">
        <f t="shared" si="23"/>
        <v/>
      </c>
      <c r="AJ68" s="71"/>
      <c r="AK68" s="10" t="str">
        <f t="shared" si="44"/>
        <v/>
      </c>
      <c r="AL68" s="10" t="str">
        <f t="shared" si="24"/>
        <v/>
      </c>
      <c r="AM68" s="71"/>
      <c r="AN68" s="10" t="str">
        <f t="shared" si="45"/>
        <v/>
      </c>
      <c r="AO68" s="10" t="str">
        <f t="shared" si="25"/>
        <v/>
      </c>
      <c r="AP68" s="71"/>
      <c r="AQ68" s="10" t="str">
        <f t="shared" si="46"/>
        <v/>
      </c>
      <c r="AR68" s="10" t="str">
        <f t="shared" si="26"/>
        <v/>
      </c>
      <c r="AS68" s="71"/>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U68" s="71"/>
      <c r="AV68" s="10" t="str">
        <f t="shared" si="47"/>
        <v/>
      </c>
      <c r="AW68" s="10" t="str">
        <f t="shared" si="27"/>
        <v/>
      </c>
      <c r="AX68" s="71"/>
      <c r="AY68" s="7" t="str">
        <f>IF(ISERROR(IF($K68&lt;=$F$15,VLOOKUP($I68,'表4）CO2価格'!$A$7:$E$67,VLOOKUP($F$48,'表4）CO2価格'!$H$10:$I$12,2,0),0)*$F$8/1000,"")),0,IF($K68&lt;=$F$15,VLOOKUP($I68,'表4）CO2価格'!$A$7:$E$67,VLOOKUP($F$48,'表4）CO2価格'!$H$10:$I$12,2,0),0)*$F$8/1000,""))</f>
        <v/>
      </c>
      <c r="AZ68" s="71"/>
      <c r="BA68" s="11" t="str">
        <f t="shared" si="48"/>
        <v/>
      </c>
      <c r="BB68" s="10" t="str">
        <f t="shared" si="28"/>
        <v/>
      </c>
      <c r="BC68" s="71"/>
      <c r="BD68" s="10" t="str">
        <f t="shared" si="49"/>
        <v/>
      </c>
      <c r="BE68" s="10" t="str">
        <f t="shared" si="29"/>
        <v/>
      </c>
      <c r="BF68" s="71"/>
      <c r="BG68" s="11" t="str">
        <f t="shared" si="50"/>
        <v/>
      </c>
      <c r="BH68" s="10" t="str">
        <f t="shared" si="30"/>
        <v/>
      </c>
      <c r="BJ68" s="7" t="str">
        <f t="shared" si="31"/>
        <v/>
      </c>
      <c r="BK68" s="158" t="str">
        <f t="shared" si="32"/>
        <v/>
      </c>
      <c r="BL68" s="158" t="str">
        <f t="shared" si="14"/>
        <v/>
      </c>
      <c r="BM68" s="10"/>
      <c r="BN68" s="10" t="str">
        <f t="shared" si="33"/>
        <v/>
      </c>
      <c r="BO68" s="10" t="str">
        <f t="shared" si="34"/>
        <v/>
      </c>
      <c r="BQ68" s="10" t="str">
        <f t="shared" si="51"/>
        <v/>
      </c>
      <c r="BR68" s="10" t="str">
        <f t="shared" si="35"/>
        <v/>
      </c>
    </row>
    <row r="69" spans="2:70" x14ac:dyDescent="0.15">
      <c r="C69" s="461" t="s">
        <v>134</v>
      </c>
      <c r="D69" s="9"/>
      <c r="E69" s="9"/>
      <c r="F69" s="94">
        <f>SUBTOTAL(9,F74:F112)-F105</f>
        <v>12.502292517726257</v>
      </c>
      <c r="G69" s="9" t="s">
        <v>132</v>
      </c>
      <c r="I69" s="38">
        <f t="shared" si="36"/>
        <v>2074</v>
      </c>
      <c r="J69" s="39"/>
      <c r="K69" s="39">
        <f t="shared" si="37"/>
        <v>55</v>
      </c>
      <c r="L69" s="39"/>
      <c r="M69" s="40">
        <f t="shared" si="38"/>
        <v>0.19676717080686118</v>
      </c>
      <c r="N69" s="39"/>
      <c r="O69" s="72" t="str">
        <f t="shared" si="52"/>
        <v/>
      </c>
      <c r="P69" s="41" t="str">
        <f t="shared" si="39"/>
        <v/>
      </c>
      <c r="Q69" s="39"/>
      <c r="R69" s="72" t="str">
        <f t="shared" si="53"/>
        <v/>
      </c>
      <c r="S69" s="39"/>
      <c r="T69" s="72" t="str">
        <f t="shared" si="18"/>
        <v/>
      </c>
      <c r="U69" s="39"/>
      <c r="V69" s="72" t="str">
        <f t="shared" si="40"/>
        <v/>
      </c>
      <c r="W69" s="72" t="str">
        <f t="shared" si="19"/>
        <v/>
      </c>
      <c r="X69" s="39"/>
      <c r="Y69" s="72" t="str">
        <f t="shared" si="41"/>
        <v/>
      </c>
      <c r="Z69" s="72" t="str">
        <f t="shared" si="20"/>
        <v/>
      </c>
      <c r="AA69" s="39"/>
      <c r="AB69" s="72" t="str">
        <f t="shared" si="4"/>
        <v/>
      </c>
      <c r="AC69" s="72" t="str">
        <f t="shared" si="21"/>
        <v/>
      </c>
      <c r="AD69" s="39"/>
      <c r="AE69" s="72" t="str">
        <f t="shared" si="42"/>
        <v/>
      </c>
      <c r="AF69" s="72" t="str">
        <f t="shared" si="22"/>
        <v/>
      </c>
      <c r="AG69" s="39"/>
      <c r="AH69" s="72" t="str">
        <f t="shared" si="43"/>
        <v/>
      </c>
      <c r="AI69" s="72" t="str">
        <f t="shared" si="23"/>
        <v/>
      </c>
      <c r="AJ69" s="39"/>
      <c r="AK69" s="72" t="str">
        <f t="shared" si="44"/>
        <v/>
      </c>
      <c r="AL69" s="72" t="str">
        <f t="shared" si="24"/>
        <v/>
      </c>
      <c r="AM69" s="39"/>
      <c r="AN69" s="72" t="str">
        <f t="shared" si="45"/>
        <v/>
      </c>
      <c r="AO69" s="72" t="str">
        <f t="shared" si="25"/>
        <v/>
      </c>
      <c r="AP69" s="39"/>
      <c r="AQ69" s="72" t="str">
        <f t="shared" si="46"/>
        <v/>
      </c>
      <c r="AR69" s="72" t="str">
        <f t="shared" si="26"/>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47"/>
        <v/>
      </c>
      <c r="AW69" s="72" t="str">
        <f t="shared" si="27"/>
        <v/>
      </c>
      <c r="AX69" s="39"/>
      <c r="AY69" s="40" t="str">
        <f>IF(ISERROR(IF($K69&lt;=$F$15,VLOOKUP($I69,'表4）CO2価格'!$A$7:$E$67,VLOOKUP($F$48,'表4）CO2価格'!$H$10:$I$12,2,0),0)*$F$8/1000,"")),0,IF($K69&lt;=$F$15,VLOOKUP($I69,'表4）CO2価格'!$A$7:$E$67,VLOOKUP($F$48,'表4）CO2価格'!$H$10:$I$12,2,0),0)*$F$8/1000,""))</f>
        <v/>
      </c>
      <c r="AZ69" s="39"/>
      <c r="BA69" s="42" t="str">
        <f t="shared" si="48"/>
        <v/>
      </c>
      <c r="BB69" s="72" t="str">
        <f t="shared" si="28"/>
        <v/>
      </c>
      <c r="BC69" s="39"/>
      <c r="BD69" s="72" t="str">
        <f t="shared" si="49"/>
        <v/>
      </c>
      <c r="BE69" s="72" t="str">
        <f t="shared" si="29"/>
        <v/>
      </c>
      <c r="BF69" s="39"/>
      <c r="BG69" s="42" t="str">
        <f t="shared" si="50"/>
        <v/>
      </c>
      <c r="BH69" s="72" t="str">
        <f t="shared" si="30"/>
        <v/>
      </c>
      <c r="BI69" s="39"/>
      <c r="BJ69" s="40" t="str">
        <f t="shared" si="31"/>
        <v/>
      </c>
      <c r="BK69" s="157" t="str">
        <f t="shared" si="32"/>
        <v/>
      </c>
      <c r="BL69" s="157" t="str">
        <f t="shared" si="14"/>
        <v/>
      </c>
      <c r="BM69" s="72"/>
      <c r="BN69" s="72" t="str">
        <f t="shared" si="33"/>
        <v/>
      </c>
      <c r="BO69" s="72" t="str">
        <f t="shared" si="34"/>
        <v/>
      </c>
      <c r="BP69" s="39"/>
      <c r="BQ69" s="72" t="str">
        <f t="shared" si="51"/>
        <v/>
      </c>
      <c r="BR69" s="72" t="str">
        <f t="shared" si="35"/>
        <v/>
      </c>
    </row>
    <row r="70" spans="2:70" x14ac:dyDescent="0.15">
      <c r="C70" s="461" t="s">
        <v>135</v>
      </c>
      <c r="D70" s="9"/>
      <c r="E70" s="9"/>
      <c r="F70" s="94">
        <f>SUBTOTAL(9,F74:F112)</f>
        <v>12.543709517726256</v>
      </c>
      <c r="G70" s="9" t="s">
        <v>132</v>
      </c>
      <c r="I70" s="322">
        <f t="shared" si="36"/>
        <v>2075</v>
      </c>
      <c r="J70" s="71"/>
      <c r="K70" s="71">
        <f t="shared" si="37"/>
        <v>56</v>
      </c>
      <c r="L70" s="71"/>
      <c r="M70" s="7">
        <f t="shared" si="38"/>
        <v>0.19103608816200118</v>
      </c>
      <c r="N70" s="71"/>
      <c r="O70" s="10" t="str">
        <f t="shared" si="52"/>
        <v/>
      </c>
      <c r="P70" s="29" t="str">
        <f t="shared" si="39"/>
        <v/>
      </c>
      <c r="Q70" s="71"/>
      <c r="R70" s="10" t="str">
        <f t="shared" si="53"/>
        <v/>
      </c>
      <c r="S70" s="71"/>
      <c r="T70" s="10" t="str">
        <f t="shared" si="18"/>
        <v/>
      </c>
      <c r="U70" s="71"/>
      <c r="V70" s="10" t="str">
        <f t="shared" si="40"/>
        <v/>
      </c>
      <c r="W70" s="10" t="str">
        <f t="shared" si="19"/>
        <v/>
      </c>
      <c r="X70" s="71"/>
      <c r="Y70" s="10" t="str">
        <f t="shared" si="41"/>
        <v/>
      </c>
      <c r="Z70" s="10" t="str">
        <f t="shared" si="20"/>
        <v/>
      </c>
      <c r="AA70" s="71"/>
      <c r="AB70" s="10" t="str">
        <f t="shared" si="4"/>
        <v/>
      </c>
      <c r="AC70" s="10" t="str">
        <f t="shared" si="21"/>
        <v/>
      </c>
      <c r="AD70" s="71"/>
      <c r="AE70" s="10" t="str">
        <f t="shared" si="42"/>
        <v/>
      </c>
      <c r="AF70" s="10" t="str">
        <f t="shared" si="22"/>
        <v/>
      </c>
      <c r="AG70" s="71"/>
      <c r="AH70" s="10" t="str">
        <f t="shared" si="43"/>
        <v/>
      </c>
      <c r="AI70" s="10" t="str">
        <f t="shared" si="23"/>
        <v/>
      </c>
      <c r="AJ70" s="71"/>
      <c r="AK70" s="10" t="str">
        <f t="shared" si="44"/>
        <v/>
      </c>
      <c r="AL70" s="10" t="str">
        <f t="shared" si="24"/>
        <v/>
      </c>
      <c r="AM70" s="71"/>
      <c r="AN70" s="10" t="str">
        <f t="shared" si="45"/>
        <v/>
      </c>
      <c r="AO70" s="10" t="str">
        <f t="shared" si="25"/>
        <v/>
      </c>
      <c r="AP70" s="71"/>
      <c r="AQ70" s="10" t="str">
        <f t="shared" si="46"/>
        <v/>
      </c>
      <c r="AR70" s="10" t="str">
        <f t="shared" si="26"/>
        <v/>
      </c>
      <c r="AS70" s="71"/>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U70" s="71"/>
      <c r="AV70" s="10" t="str">
        <f t="shared" si="47"/>
        <v/>
      </c>
      <c r="AW70" s="10" t="str">
        <f t="shared" si="27"/>
        <v/>
      </c>
      <c r="AX70" s="71"/>
      <c r="AY70" s="7" t="str">
        <f>IF(ISERROR(IF($K70&lt;=$F$15,VLOOKUP($I70,'表4）CO2価格'!$A$7:$E$67,VLOOKUP($F$48,'表4）CO2価格'!$H$10:$I$12,2,0),0)*$F$8/1000,"")),0,IF($K70&lt;=$F$15,VLOOKUP($I70,'表4）CO2価格'!$A$7:$E$67,VLOOKUP($F$48,'表4）CO2価格'!$H$10:$I$12,2,0),0)*$F$8/1000,""))</f>
        <v/>
      </c>
      <c r="AZ70" s="71"/>
      <c r="BA70" s="11" t="str">
        <f t="shared" si="48"/>
        <v/>
      </c>
      <c r="BB70" s="10" t="str">
        <f t="shared" si="28"/>
        <v/>
      </c>
      <c r="BC70" s="71"/>
      <c r="BD70" s="10" t="str">
        <f t="shared" si="49"/>
        <v/>
      </c>
      <c r="BE70" s="10" t="str">
        <f t="shared" si="29"/>
        <v/>
      </c>
      <c r="BF70" s="71"/>
      <c r="BG70" s="11" t="str">
        <f t="shared" si="50"/>
        <v/>
      </c>
      <c r="BH70" s="10" t="str">
        <f t="shared" si="30"/>
        <v/>
      </c>
      <c r="BJ70" s="7" t="str">
        <f t="shared" si="31"/>
        <v/>
      </c>
      <c r="BK70" s="158" t="str">
        <f t="shared" si="32"/>
        <v/>
      </c>
      <c r="BL70" s="158" t="str">
        <f t="shared" si="14"/>
        <v/>
      </c>
      <c r="BM70" s="10"/>
      <c r="BN70" s="10" t="str">
        <f t="shared" si="33"/>
        <v/>
      </c>
      <c r="BO70" s="10" t="str">
        <f t="shared" si="34"/>
        <v/>
      </c>
      <c r="BQ70" s="10" t="str">
        <f t="shared" si="51"/>
        <v/>
      </c>
      <c r="BR70" s="10" t="str">
        <f t="shared" si="35"/>
        <v/>
      </c>
    </row>
    <row r="71" spans="2:70" x14ac:dyDescent="0.15">
      <c r="F71" s="145"/>
      <c r="I71" s="38">
        <f t="shared" si="36"/>
        <v>2076</v>
      </c>
      <c r="J71" s="39"/>
      <c r="K71" s="39">
        <f t="shared" si="37"/>
        <v>57</v>
      </c>
      <c r="L71" s="39"/>
      <c r="M71" s="40">
        <f t="shared" si="38"/>
        <v>0.18547193025437006</v>
      </c>
      <c r="N71" s="39"/>
      <c r="O71" s="72" t="str">
        <f t="shared" si="52"/>
        <v/>
      </c>
      <c r="P71" s="41" t="str">
        <f t="shared" si="39"/>
        <v/>
      </c>
      <c r="Q71" s="39"/>
      <c r="R71" s="72" t="str">
        <f t="shared" si="53"/>
        <v/>
      </c>
      <c r="S71" s="39"/>
      <c r="T71" s="72" t="str">
        <f t="shared" si="18"/>
        <v/>
      </c>
      <c r="U71" s="39"/>
      <c r="V71" s="72" t="str">
        <f t="shared" si="40"/>
        <v/>
      </c>
      <c r="W71" s="72" t="str">
        <f t="shared" si="19"/>
        <v/>
      </c>
      <c r="X71" s="39"/>
      <c r="Y71" s="72" t="str">
        <f t="shared" si="41"/>
        <v/>
      </c>
      <c r="Z71" s="72" t="str">
        <f t="shared" si="20"/>
        <v/>
      </c>
      <c r="AA71" s="39"/>
      <c r="AB71" s="72" t="str">
        <f t="shared" si="4"/>
        <v/>
      </c>
      <c r="AC71" s="72" t="str">
        <f t="shared" si="21"/>
        <v/>
      </c>
      <c r="AD71" s="39"/>
      <c r="AE71" s="72" t="str">
        <f t="shared" si="42"/>
        <v/>
      </c>
      <c r="AF71" s="72" t="str">
        <f t="shared" si="22"/>
        <v/>
      </c>
      <c r="AG71" s="39"/>
      <c r="AH71" s="72" t="str">
        <f t="shared" si="43"/>
        <v/>
      </c>
      <c r="AI71" s="72" t="str">
        <f t="shared" si="23"/>
        <v/>
      </c>
      <c r="AJ71" s="39"/>
      <c r="AK71" s="72" t="str">
        <f t="shared" si="44"/>
        <v/>
      </c>
      <c r="AL71" s="72" t="str">
        <f t="shared" si="24"/>
        <v/>
      </c>
      <c r="AM71" s="39"/>
      <c r="AN71" s="72" t="str">
        <f t="shared" si="45"/>
        <v/>
      </c>
      <c r="AO71" s="72" t="str">
        <f t="shared" si="25"/>
        <v/>
      </c>
      <c r="AP71" s="39"/>
      <c r="AQ71" s="72" t="str">
        <f t="shared" si="46"/>
        <v/>
      </c>
      <c r="AR71" s="72" t="str">
        <f t="shared" si="26"/>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47"/>
        <v/>
      </c>
      <c r="AW71" s="72" t="str">
        <f t="shared" si="27"/>
        <v/>
      </c>
      <c r="AX71" s="39"/>
      <c r="AY71" s="40" t="str">
        <f>IF(ISERROR(IF($K71&lt;=$F$15,VLOOKUP($I71,'表4）CO2価格'!$A$7:$E$67,VLOOKUP($F$48,'表4）CO2価格'!$H$10:$I$12,2,0),0)*$F$8/1000,"")),0,IF($K71&lt;=$F$15,VLOOKUP($I71,'表4）CO2価格'!$A$7:$E$67,VLOOKUP($F$48,'表4）CO2価格'!$H$10:$I$12,2,0),0)*$F$8/1000,""))</f>
        <v/>
      </c>
      <c r="AZ71" s="39"/>
      <c r="BA71" s="42" t="str">
        <f t="shared" si="48"/>
        <v/>
      </c>
      <c r="BB71" s="72" t="str">
        <f t="shared" si="28"/>
        <v/>
      </c>
      <c r="BC71" s="39"/>
      <c r="BD71" s="72" t="str">
        <f t="shared" si="49"/>
        <v/>
      </c>
      <c r="BE71" s="72" t="str">
        <f t="shared" si="29"/>
        <v/>
      </c>
      <c r="BF71" s="39"/>
      <c r="BG71" s="42" t="str">
        <f t="shared" si="50"/>
        <v/>
      </c>
      <c r="BH71" s="72" t="str">
        <f t="shared" si="30"/>
        <v/>
      </c>
      <c r="BI71" s="39"/>
      <c r="BJ71" s="40" t="str">
        <f t="shared" si="31"/>
        <v/>
      </c>
      <c r="BK71" s="157" t="str">
        <f t="shared" si="32"/>
        <v/>
      </c>
      <c r="BL71" s="157" t="str">
        <f t="shared" si="14"/>
        <v/>
      </c>
      <c r="BM71" s="72"/>
      <c r="BN71" s="72" t="str">
        <f t="shared" si="33"/>
        <v/>
      </c>
      <c r="BO71" s="72" t="str">
        <f t="shared" si="34"/>
        <v/>
      </c>
      <c r="BP71" s="39"/>
      <c r="BQ71" s="72" t="str">
        <f t="shared" si="51"/>
        <v/>
      </c>
      <c r="BR71" s="72" t="str">
        <f t="shared" si="35"/>
        <v/>
      </c>
    </row>
    <row r="72" spans="2:70" x14ac:dyDescent="0.15">
      <c r="C72" s="89" t="s">
        <v>136</v>
      </c>
      <c r="D72" s="101"/>
      <c r="E72" s="101"/>
      <c r="F72" s="92"/>
      <c r="G72" s="101"/>
      <c r="I72" s="322">
        <f t="shared" si="36"/>
        <v>2077</v>
      </c>
      <c r="J72" s="71"/>
      <c r="K72" s="71">
        <f t="shared" si="37"/>
        <v>58</v>
      </c>
      <c r="L72" s="71"/>
      <c r="M72" s="7">
        <f t="shared" si="38"/>
        <v>0.18006983519841754</v>
      </c>
      <c r="N72" s="71"/>
      <c r="O72" s="10" t="str">
        <f t="shared" si="52"/>
        <v/>
      </c>
      <c r="P72" s="29" t="str">
        <f t="shared" si="39"/>
        <v/>
      </c>
      <c r="Q72" s="71"/>
      <c r="R72" s="10" t="str">
        <f t="shared" si="53"/>
        <v/>
      </c>
      <c r="S72" s="71"/>
      <c r="T72" s="10" t="str">
        <f t="shared" si="18"/>
        <v/>
      </c>
      <c r="U72" s="71"/>
      <c r="V72" s="10" t="str">
        <f t="shared" si="40"/>
        <v/>
      </c>
      <c r="W72" s="10" t="str">
        <f t="shared" si="19"/>
        <v/>
      </c>
      <c r="X72" s="71"/>
      <c r="Y72" s="10" t="str">
        <f t="shared" si="41"/>
        <v/>
      </c>
      <c r="Z72" s="10" t="str">
        <f t="shared" si="20"/>
        <v/>
      </c>
      <c r="AA72" s="71"/>
      <c r="AB72" s="10" t="str">
        <f t="shared" si="4"/>
        <v/>
      </c>
      <c r="AC72" s="10" t="str">
        <f t="shared" si="21"/>
        <v/>
      </c>
      <c r="AD72" s="71"/>
      <c r="AE72" s="10" t="str">
        <f t="shared" si="42"/>
        <v/>
      </c>
      <c r="AF72" s="10" t="str">
        <f t="shared" si="22"/>
        <v/>
      </c>
      <c r="AG72" s="71"/>
      <c r="AH72" s="10" t="str">
        <f t="shared" si="43"/>
        <v/>
      </c>
      <c r="AI72" s="10" t="str">
        <f t="shared" si="23"/>
        <v/>
      </c>
      <c r="AJ72" s="71"/>
      <c r="AK72" s="10" t="str">
        <f t="shared" si="44"/>
        <v/>
      </c>
      <c r="AL72" s="10" t="str">
        <f t="shared" si="24"/>
        <v/>
      </c>
      <c r="AM72" s="71"/>
      <c r="AN72" s="10" t="str">
        <f t="shared" si="45"/>
        <v/>
      </c>
      <c r="AO72" s="10" t="str">
        <f t="shared" si="25"/>
        <v/>
      </c>
      <c r="AP72" s="71"/>
      <c r="AQ72" s="10" t="str">
        <f t="shared" si="46"/>
        <v/>
      </c>
      <c r="AR72" s="10" t="str">
        <f t="shared" si="26"/>
        <v/>
      </c>
      <c r="AS72" s="71"/>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U72" s="71"/>
      <c r="AV72" s="10" t="str">
        <f t="shared" si="47"/>
        <v/>
      </c>
      <c r="AW72" s="10" t="str">
        <f t="shared" si="27"/>
        <v/>
      </c>
      <c r="AX72" s="71"/>
      <c r="AY72" s="7" t="str">
        <f>IF(ISERROR(IF($K72&lt;=$F$15,VLOOKUP($I72,'表4）CO2価格'!$A$7:$E$67,VLOOKUP($F$48,'表4）CO2価格'!$H$10:$I$12,2,0),0)*$F$8/1000,"")),0,IF($K72&lt;=$F$15,VLOOKUP($I72,'表4）CO2価格'!$A$7:$E$67,VLOOKUP($F$48,'表4）CO2価格'!$H$10:$I$12,2,0),0)*$F$8/1000,""))</f>
        <v/>
      </c>
      <c r="AZ72" s="71"/>
      <c r="BA72" s="11" t="str">
        <f t="shared" si="48"/>
        <v/>
      </c>
      <c r="BB72" s="10" t="str">
        <f t="shared" si="28"/>
        <v/>
      </c>
      <c r="BC72" s="71"/>
      <c r="BD72" s="10" t="str">
        <f t="shared" si="49"/>
        <v/>
      </c>
      <c r="BE72" s="10" t="str">
        <f t="shared" si="29"/>
        <v/>
      </c>
      <c r="BF72" s="71"/>
      <c r="BG72" s="11" t="str">
        <f t="shared" si="50"/>
        <v/>
      </c>
      <c r="BH72" s="10" t="str">
        <f t="shared" si="30"/>
        <v/>
      </c>
      <c r="BJ72" s="7" t="str">
        <f t="shared" si="31"/>
        <v/>
      </c>
      <c r="BK72" s="158" t="str">
        <f t="shared" si="32"/>
        <v/>
      </c>
      <c r="BL72" s="158" t="str">
        <f t="shared" si="14"/>
        <v/>
      </c>
      <c r="BM72" s="10"/>
      <c r="BN72" s="10" t="str">
        <f t="shared" si="33"/>
        <v/>
      </c>
      <c r="BO72" s="10" t="str">
        <f t="shared" si="34"/>
        <v/>
      </c>
      <c r="BQ72" s="10" t="str">
        <f t="shared" si="51"/>
        <v/>
      </c>
      <c r="BR72" s="10" t="str">
        <f t="shared" si="35"/>
        <v/>
      </c>
    </row>
    <row r="73" spans="2:70" x14ac:dyDescent="0.15">
      <c r="F73" s="93"/>
      <c r="I73" s="38">
        <f t="shared" si="36"/>
        <v>2078</v>
      </c>
      <c r="J73" s="39"/>
      <c r="K73" s="39">
        <f t="shared" si="37"/>
        <v>59</v>
      </c>
      <c r="L73" s="39"/>
      <c r="M73" s="40">
        <f t="shared" si="38"/>
        <v>0.17482508271691022</v>
      </c>
      <c r="N73" s="39"/>
      <c r="O73" s="72" t="str">
        <f t="shared" si="52"/>
        <v/>
      </c>
      <c r="P73" s="41" t="str">
        <f t="shared" si="39"/>
        <v/>
      </c>
      <c r="Q73" s="39"/>
      <c r="R73" s="72" t="str">
        <f t="shared" si="53"/>
        <v/>
      </c>
      <c r="S73" s="39"/>
      <c r="T73" s="72" t="str">
        <f t="shared" si="18"/>
        <v/>
      </c>
      <c r="U73" s="39"/>
      <c r="V73" s="72" t="str">
        <f t="shared" si="40"/>
        <v/>
      </c>
      <c r="W73" s="72" t="str">
        <f t="shared" si="19"/>
        <v/>
      </c>
      <c r="X73" s="39"/>
      <c r="Y73" s="72" t="str">
        <f t="shared" si="41"/>
        <v/>
      </c>
      <c r="Z73" s="72" t="str">
        <f t="shared" si="20"/>
        <v/>
      </c>
      <c r="AA73" s="39"/>
      <c r="AB73" s="72" t="str">
        <f t="shared" si="4"/>
        <v/>
      </c>
      <c r="AC73" s="72" t="str">
        <f t="shared" si="21"/>
        <v/>
      </c>
      <c r="AD73" s="39"/>
      <c r="AE73" s="72" t="str">
        <f t="shared" si="42"/>
        <v/>
      </c>
      <c r="AF73" s="72" t="str">
        <f t="shared" si="22"/>
        <v/>
      </c>
      <c r="AG73" s="39"/>
      <c r="AH73" s="72" t="str">
        <f t="shared" si="43"/>
        <v/>
      </c>
      <c r="AI73" s="72" t="str">
        <f t="shared" si="23"/>
        <v/>
      </c>
      <c r="AJ73" s="39"/>
      <c r="AK73" s="72" t="str">
        <f t="shared" si="44"/>
        <v/>
      </c>
      <c r="AL73" s="72" t="str">
        <f t="shared" si="24"/>
        <v/>
      </c>
      <c r="AM73" s="39"/>
      <c r="AN73" s="72" t="str">
        <f t="shared" si="45"/>
        <v/>
      </c>
      <c r="AO73" s="72" t="str">
        <f t="shared" si="25"/>
        <v/>
      </c>
      <c r="AP73" s="39"/>
      <c r="AQ73" s="72" t="str">
        <f t="shared" si="46"/>
        <v/>
      </c>
      <c r="AR73" s="72" t="str">
        <f t="shared" si="26"/>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47"/>
        <v/>
      </c>
      <c r="AW73" s="72" t="str">
        <f t="shared" si="27"/>
        <v/>
      </c>
      <c r="AX73" s="39"/>
      <c r="AY73" s="40" t="str">
        <f>IF(ISERROR(IF($K73&lt;=$F$15,VLOOKUP($I73,'表4）CO2価格'!$A$7:$E$67,VLOOKUP($F$48,'表4）CO2価格'!$H$10:$I$12,2,0),0)*$F$8/1000,"")),0,IF($K73&lt;=$F$15,VLOOKUP($I73,'表4）CO2価格'!$A$7:$E$67,VLOOKUP($F$48,'表4）CO2価格'!$H$10:$I$12,2,0),0)*$F$8/1000,""))</f>
        <v/>
      </c>
      <c r="AZ73" s="39"/>
      <c r="BA73" s="42" t="str">
        <f t="shared" si="48"/>
        <v/>
      </c>
      <c r="BB73" s="72" t="str">
        <f t="shared" si="28"/>
        <v/>
      </c>
      <c r="BC73" s="39"/>
      <c r="BD73" s="72" t="str">
        <f t="shared" si="49"/>
        <v/>
      </c>
      <c r="BE73" s="72" t="str">
        <f t="shared" si="29"/>
        <v/>
      </c>
      <c r="BF73" s="39"/>
      <c r="BG73" s="42" t="str">
        <f t="shared" si="50"/>
        <v/>
      </c>
      <c r="BH73" s="72" t="str">
        <f t="shared" si="30"/>
        <v/>
      </c>
      <c r="BI73" s="39"/>
      <c r="BJ73" s="40" t="str">
        <f t="shared" si="31"/>
        <v/>
      </c>
      <c r="BK73" s="157" t="str">
        <f t="shared" si="32"/>
        <v/>
      </c>
      <c r="BL73" s="157" t="str">
        <f t="shared" si="14"/>
        <v/>
      </c>
      <c r="BM73" s="72"/>
      <c r="BN73" s="72" t="str">
        <f t="shared" si="33"/>
        <v/>
      </c>
      <c r="BO73" s="72" t="str">
        <f t="shared" si="34"/>
        <v/>
      </c>
      <c r="BP73" s="39"/>
      <c r="BQ73" s="72" t="str">
        <f t="shared" si="51"/>
        <v/>
      </c>
      <c r="BR73" s="72" t="str">
        <f t="shared" si="35"/>
        <v/>
      </c>
    </row>
    <row r="74" spans="2:70" ht="15" x14ac:dyDescent="0.15">
      <c r="D74" s="116" t="s">
        <v>192</v>
      </c>
      <c r="F74" s="94">
        <f>SUBTOTAL(9,F78:F81)</f>
        <v>2.003476945091303</v>
      </c>
      <c r="G74" s="81" t="s">
        <v>132</v>
      </c>
      <c r="I74" s="322">
        <f t="shared" si="36"/>
        <v>2079</v>
      </c>
      <c r="J74" s="71"/>
      <c r="K74" s="71">
        <f t="shared" si="37"/>
        <v>60</v>
      </c>
      <c r="L74" s="71"/>
      <c r="M74" s="7">
        <f t="shared" si="38"/>
        <v>0.1697330900164177</v>
      </c>
      <c r="N74" s="71"/>
      <c r="O74" s="10" t="str">
        <f t="shared" si="52"/>
        <v/>
      </c>
      <c r="P74" s="29" t="str">
        <f t="shared" si="39"/>
        <v/>
      </c>
      <c r="Q74" s="71"/>
      <c r="R74" s="10" t="str">
        <f t="shared" si="53"/>
        <v/>
      </c>
      <c r="S74" s="71"/>
      <c r="T74" s="10" t="str">
        <f t="shared" si="18"/>
        <v/>
      </c>
      <c r="U74" s="71"/>
      <c r="V74" s="10" t="str">
        <f t="shared" si="40"/>
        <v/>
      </c>
      <c r="W74" s="10" t="str">
        <f t="shared" si="19"/>
        <v/>
      </c>
      <c r="X74" s="71"/>
      <c r="Y74" s="10" t="str">
        <f t="shared" si="41"/>
        <v/>
      </c>
      <c r="Z74" s="10" t="str">
        <f t="shared" si="20"/>
        <v/>
      </c>
      <c r="AA74" s="71"/>
      <c r="AB74" s="10" t="str">
        <f t="shared" si="4"/>
        <v/>
      </c>
      <c r="AC74" s="10" t="str">
        <f t="shared" si="21"/>
        <v/>
      </c>
      <c r="AD74" s="71"/>
      <c r="AE74" s="10" t="str">
        <f t="shared" si="42"/>
        <v/>
      </c>
      <c r="AF74" s="10" t="str">
        <f t="shared" si="22"/>
        <v/>
      </c>
      <c r="AG74" s="71"/>
      <c r="AH74" s="10" t="str">
        <f t="shared" si="43"/>
        <v/>
      </c>
      <c r="AI74" s="10" t="str">
        <f t="shared" si="23"/>
        <v/>
      </c>
      <c r="AJ74" s="71"/>
      <c r="AK74" s="10" t="str">
        <f t="shared" si="44"/>
        <v/>
      </c>
      <c r="AL74" s="10" t="str">
        <f t="shared" si="24"/>
        <v/>
      </c>
      <c r="AM74" s="71"/>
      <c r="AN74" s="10" t="str">
        <f t="shared" si="45"/>
        <v/>
      </c>
      <c r="AO74" s="10" t="str">
        <f t="shared" si="25"/>
        <v/>
      </c>
      <c r="AP74" s="71"/>
      <c r="AQ74" s="10" t="str">
        <f t="shared" si="46"/>
        <v/>
      </c>
      <c r="AR74" s="10" t="str">
        <f t="shared" si="26"/>
        <v/>
      </c>
      <c r="AS74" s="71"/>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U74" s="71"/>
      <c r="AV74" s="10" t="str">
        <f t="shared" si="47"/>
        <v/>
      </c>
      <c r="AW74" s="10" t="str">
        <f t="shared" si="27"/>
        <v/>
      </c>
      <c r="AX74" s="71"/>
      <c r="AY74" s="7" t="str">
        <f>IF(ISERROR(IF($K74&lt;=$F$15,VLOOKUP($I74,'表4）CO2価格'!$A$7:$E$67,VLOOKUP($F$48,'表4）CO2価格'!$H$10:$I$12,2,0),0)*$F$8/1000,"")),0,IF($K74&lt;=$F$15,VLOOKUP($I74,'表4）CO2価格'!$A$7:$E$67,VLOOKUP($F$48,'表4）CO2価格'!$H$10:$I$12,2,0),0)*$F$8/1000,""))</f>
        <v/>
      </c>
      <c r="AZ74" s="71"/>
      <c r="BA74" s="11" t="str">
        <f t="shared" si="48"/>
        <v/>
      </c>
      <c r="BB74" s="10" t="str">
        <f t="shared" si="28"/>
        <v/>
      </c>
      <c r="BC74" s="71"/>
      <c r="BD74" s="10" t="str">
        <f t="shared" si="49"/>
        <v/>
      </c>
      <c r="BE74" s="10" t="str">
        <f t="shared" si="29"/>
        <v/>
      </c>
      <c r="BF74" s="71"/>
      <c r="BG74" s="11" t="str">
        <f t="shared" si="50"/>
        <v/>
      </c>
      <c r="BH74" s="10" t="str">
        <f t="shared" si="30"/>
        <v/>
      </c>
      <c r="BJ74" s="7" t="str">
        <f t="shared" si="31"/>
        <v/>
      </c>
      <c r="BK74" s="158" t="str">
        <f t="shared" si="32"/>
        <v/>
      </c>
      <c r="BL74" s="158" t="str">
        <f t="shared" si="14"/>
        <v/>
      </c>
      <c r="BM74" s="10"/>
      <c r="BN74" s="10" t="str">
        <f t="shared" si="33"/>
        <v/>
      </c>
      <c r="BO74" s="10" t="str">
        <f t="shared" si="34"/>
        <v/>
      </c>
      <c r="BQ74" s="10" t="str">
        <f t="shared" si="51"/>
        <v/>
      </c>
      <c r="BR74" s="10" t="str">
        <f t="shared" si="35"/>
        <v/>
      </c>
    </row>
    <row r="75" spans="2:70" x14ac:dyDescent="0.15">
      <c r="F75" s="93"/>
      <c r="I75" s="38">
        <f t="shared" si="36"/>
        <v>2080</v>
      </c>
      <c r="J75" s="39"/>
      <c r="K75" s="39">
        <f t="shared" si="37"/>
        <v>61</v>
      </c>
      <c r="L75" s="39"/>
      <c r="M75" s="40">
        <f t="shared" si="38"/>
        <v>0.16478940778292983</v>
      </c>
      <c r="N75" s="39"/>
      <c r="O75" s="72" t="str">
        <f t="shared" si="52"/>
        <v/>
      </c>
      <c r="P75" s="41" t="str">
        <f t="shared" si="39"/>
        <v/>
      </c>
      <c r="Q75" s="39"/>
      <c r="R75" s="72" t="str">
        <f t="shared" si="53"/>
        <v/>
      </c>
      <c r="S75" s="39"/>
      <c r="T75" s="72" t="str">
        <f t="shared" si="18"/>
        <v/>
      </c>
      <c r="U75" s="39"/>
      <c r="V75" s="72" t="str">
        <f t="shared" si="40"/>
        <v/>
      </c>
      <c r="W75" s="72" t="str">
        <f t="shared" si="19"/>
        <v/>
      </c>
      <c r="X75" s="39"/>
      <c r="Y75" s="72" t="str">
        <f t="shared" si="41"/>
        <v/>
      </c>
      <c r="Z75" s="72" t="str">
        <f t="shared" si="20"/>
        <v/>
      </c>
      <c r="AA75" s="39"/>
      <c r="AB75" s="72" t="str">
        <f t="shared" si="4"/>
        <v/>
      </c>
      <c r="AC75" s="72" t="str">
        <f t="shared" si="21"/>
        <v/>
      </c>
      <c r="AD75" s="39"/>
      <c r="AE75" s="72" t="str">
        <f t="shared" si="42"/>
        <v/>
      </c>
      <c r="AF75" s="72" t="str">
        <f t="shared" si="22"/>
        <v/>
      </c>
      <c r="AG75" s="39"/>
      <c r="AH75" s="72" t="str">
        <f t="shared" si="43"/>
        <v/>
      </c>
      <c r="AI75" s="72" t="str">
        <f t="shared" si="23"/>
        <v/>
      </c>
      <c r="AJ75" s="39"/>
      <c r="AK75" s="72" t="str">
        <f t="shared" si="44"/>
        <v/>
      </c>
      <c r="AL75" s="72" t="str">
        <f t="shared" si="24"/>
        <v/>
      </c>
      <c r="AM75" s="39"/>
      <c r="AN75" s="72" t="str">
        <f t="shared" si="45"/>
        <v/>
      </c>
      <c r="AO75" s="72" t="str">
        <f t="shared" si="25"/>
        <v/>
      </c>
      <c r="AP75" s="39"/>
      <c r="AQ75" s="72" t="str">
        <f t="shared" si="46"/>
        <v/>
      </c>
      <c r="AR75" s="72" t="str">
        <f t="shared" si="26"/>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47"/>
        <v/>
      </c>
      <c r="AW75" s="72" t="str">
        <f t="shared" si="27"/>
        <v/>
      </c>
      <c r="AX75" s="39"/>
      <c r="AY75" s="40" t="str">
        <f>IF(ISERROR(IF($K75&lt;=$F$15,VLOOKUP($I75,'表4）CO2価格'!$A$7:$E$67,VLOOKUP($F$48,'表4）CO2価格'!$H$10:$I$12,2,0),0)*$F$8/1000,"")),0,IF($K75&lt;=$F$15,VLOOKUP($I75,'表4）CO2価格'!$A$7:$E$67,VLOOKUP($F$48,'表4）CO2価格'!$H$10:$I$12,2,0),0)*$F$8/1000,""))</f>
        <v/>
      </c>
      <c r="AZ75" s="39"/>
      <c r="BA75" s="42" t="str">
        <f t="shared" si="48"/>
        <v/>
      </c>
      <c r="BB75" s="72" t="str">
        <f t="shared" si="28"/>
        <v/>
      </c>
      <c r="BC75" s="39"/>
      <c r="BD75" s="72" t="str">
        <f t="shared" si="49"/>
        <v/>
      </c>
      <c r="BE75" s="72" t="str">
        <f t="shared" si="29"/>
        <v/>
      </c>
      <c r="BF75" s="39"/>
      <c r="BG75" s="42" t="str">
        <f t="shared" si="50"/>
        <v/>
      </c>
      <c r="BH75" s="72" t="str">
        <f t="shared" si="30"/>
        <v/>
      </c>
      <c r="BI75" s="39"/>
      <c r="BJ75" s="40" t="str">
        <f t="shared" si="31"/>
        <v/>
      </c>
      <c r="BK75" s="157" t="str">
        <f t="shared" si="32"/>
        <v/>
      </c>
      <c r="BL75" s="157" t="str">
        <f t="shared" si="14"/>
        <v/>
      </c>
      <c r="BM75" s="72"/>
      <c r="BN75" s="72" t="str">
        <f t="shared" si="33"/>
        <v/>
      </c>
      <c r="BO75" s="72" t="str">
        <f t="shared" si="34"/>
        <v/>
      </c>
      <c r="BP75" s="39"/>
      <c r="BQ75" s="72" t="str">
        <f t="shared" si="51"/>
        <v/>
      </c>
      <c r="BR75" s="72" t="str">
        <f t="shared" si="35"/>
        <v/>
      </c>
    </row>
    <row r="76" spans="2:70" x14ac:dyDescent="0.15">
      <c r="D76" s="101" t="s">
        <v>193</v>
      </c>
      <c r="E76" s="101"/>
      <c r="F76" s="92"/>
      <c r="G76" s="101"/>
      <c r="I76" s="322">
        <f t="shared" si="36"/>
        <v>2081</v>
      </c>
      <c r="J76" s="71"/>
      <c r="K76" s="71">
        <f t="shared" si="37"/>
        <v>62</v>
      </c>
      <c r="L76" s="71"/>
      <c r="M76" s="7">
        <f t="shared" si="38"/>
        <v>0.15998971629410663</v>
      </c>
      <c r="N76" s="71"/>
      <c r="O76" s="10" t="str">
        <f t="shared" si="52"/>
        <v/>
      </c>
      <c r="P76" s="29" t="str">
        <f t="shared" si="39"/>
        <v/>
      </c>
      <c r="Q76" s="71"/>
      <c r="R76" s="10" t="str">
        <f t="shared" si="53"/>
        <v/>
      </c>
      <c r="S76" s="71"/>
      <c r="T76" s="10" t="str">
        <f t="shared" si="18"/>
        <v/>
      </c>
      <c r="U76" s="71"/>
      <c r="V76" s="10" t="str">
        <f t="shared" si="40"/>
        <v/>
      </c>
      <c r="W76" s="10" t="str">
        <f t="shared" si="19"/>
        <v/>
      </c>
      <c r="X76" s="71"/>
      <c r="Y76" s="10" t="str">
        <f t="shared" si="41"/>
        <v/>
      </c>
      <c r="Z76" s="10" t="str">
        <f t="shared" si="20"/>
        <v/>
      </c>
      <c r="AA76" s="71"/>
      <c r="AB76" s="10" t="str">
        <f t="shared" si="4"/>
        <v/>
      </c>
      <c r="AC76" s="10" t="str">
        <f t="shared" si="21"/>
        <v/>
      </c>
      <c r="AD76" s="71"/>
      <c r="AE76" s="10" t="str">
        <f t="shared" si="42"/>
        <v/>
      </c>
      <c r="AF76" s="10" t="str">
        <f t="shared" si="22"/>
        <v/>
      </c>
      <c r="AG76" s="71"/>
      <c r="AH76" s="10" t="str">
        <f t="shared" si="43"/>
        <v/>
      </c>
      <c r="AI76" s="10" t="str">
        <f t="shared" si="23"/>
        <v/>
      </c>
      <c r="AJ76" s="71"/>
      <c r="AK76" s="10" t="str">
        <f t="shared" si="44"/>
        <v/>
      </c>
      <c r="AL76" s="10" t="str">
        <f t="shared" si="24"/>
        <v/>
      </c>
      <c r="AM76" s="71"/>
      <c r="AN76" s="10" t="str">
        <f t="shared" si="45"/>
        <v/>
      </c>
      <c r="AO76" s="10" t="str">
        <f t="shared" si="25"/>
        <v/>
      </c>
      <c r="AP76" s="71"/>
      <c r="AQ76" s="10" t="str">
        <f t="shared" si="46"/>
        <v/>
      </c>
      <c r="AR76" s="10" t="str">
        <f t="shared" si="26"/>
        <v/>
      </c>
      <c r="AS76" s="71"/>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U76" s="71"/>
      <c r="AV76" s="10" t="str">
        <f t="shared" si="47"/>
        <v/>
      </c>
      <c r="AW76" s="10" t="str">
        <f t="shared" si="27"/>
        <v/>
      </c>
      <c r="AX76" s="71"/>
      <c r="AY76" s="7" t="str">
        <f>IF(ISERROR(IF($K76&lt;=$F$15,VLOOKUP($I76,'表4）CO2価格'!$A$7:$E$67,VLOOKUP($F$48,'表4）CO2価格'!$H$10:$I$12,2,0),0)*$F$8/1000,"")),0,IF($K76&lt;=$F$15,VLOOKUP($I76,'表4）CO2価格'!$A$7:$E$67,VLOOKUP($F$48,'表4）CO2価格'!$H$10:$I$12,2,0),0)*$F$8/1000,""))</f>
        <v/>
      </c>
      <c r="AZ76" s="71"/>
      <c r="BA76" s="11" t="str">
        <f t="shared" si="48"/>
        <v/>
      </c>
      <c r="BB76" s="10" t="str">
        <f t="shared" si="28"/>
        <v/>
      </c>
      <c r="BC76" s="71"/>
      <c r="BD76" s="10" t="str">
        <f t="shared" si="49"/>
        <v/>
      </c>
      <c r="BE76" s="10" t="str">
        <f t="shared" si="29"/>
        <v/>
      </c>
      <c r="BF76" s="71"/>
      <c r="BG76" s="11" t="str">
        <f t="shared" si="50"/>
        <v/>
      </c>
      <c r="BH76" s="10" t="str">
        <f t="shared" si="30"/>
        <v/>
      </c>
      <c r="BJ76" s="7" t="str">
        <f t="shared" si="31"/>
        <v/>
      </c>
      <c r="BK76" s="158" t="str">
        <f t="shared" si="32"/>
        <v/>
      </c>
      <c r="BL76" s="158" t="str">
        <f t="shared" si="14"/>
        <v/>
      </c>
      <c r="BM76" s="10"/>
      <c r="BN76" s="10" t="str">
        <f t="shared" si="33"/>
        <v/>
      </c>
      <c r="BO76" s="10" t="str">
        <f t="shared" si="34"/>
        <v/>
      </c>
      <c r="BQ76" s="10" t="str">
        <f t="shared" si="51"/>
        <v/>
      </c>
      <c r="BR76" s="10" t="str">
        <f t="shared" si="35"/>
        <v/>
      </c>
    </row>
    <row r="77" spans="2:70" x14ac:dyDescent="0.15">
      <c r="F77" s="93"/>
      <c r="I77" s="38">
        <f t="shared" si="36"/>
        <v>2082</v>
      </c>
      <c r="J77" s="39"/>
      <c r="K77" s="39">
        <f t="shared" si="37"/>
        <v>63</v>
      </c>
      <c r="L77" s="39"/>
      <c r="M77" s="40">
        <f t="shared" si="38"/>
        <v>0.15532982164476369</v>
      </c>
      <c r="N77" s="39"/>
      <c r="O77" s="72" t="str">
        <f t="shared" si="52"/>
        <v/>
      </c>
      <c r="P77" s="41" t="str">
        <f t="shared" si="39"/>
        <v/>
      </c>
      <c r="Q77" s="39"/>
      <c r="R77" s="72" t="str">
        <f t="shared" si="53"/>
        <v/>
      </c>
      <c r="S77" s="39"/>
      <c r="T77" s="72" t="str">
        <f t="shared" si="18"/>
        <v/>
      </c>
      <c r="U77" s="39"/>
      <c r="V77" s="72" t="str">
        <f t="shared" si="40"/>
        <v/>
      </c>
      <c r="W77" s="72" t="str">
        <f t="shared" si="19"/>
        <v/>
      </c>
      <c r="X77" s="39"/>
      <c r="Y77" s="72" t="str">
        <f t="shared" si="41"/>
        <v/>
      </c>
      <c r="Z77" s="72" t="str">
        <f t="shared" si="20"/>
        <v/>
      </c>
      <c r="AA77" s="39"/>
      <c r="AB77" s="72" t="str">
        <f t="shared" si="4"/>
        <v/>
      </c>
      <c r="AC77" s="72" t="str">
        <f t="shared" si="21"/>
        <v/>
      </c>
      <c r="AD77" s="39"/>
      <c r="AE77" s="72" t="str">
        <f t="shared" si="42"/>
        <v/>
      </c>
      <c r="AF77" s="72" t="str">
        <f t="shared" si="22"/>
        <v/>
      </c>
      <c r="AG77" s="39"/>
      <c r="AH77" s="72" t="str">
        <f t="shared" si="43"/>
        <v/>
      </c>
      <c r="AI77" s="72" t="str">
        <f t="shared" si="23"/>
        <v/>
      </c>
      <c r="AJ77" s="39"/>
      <c r="AK77" s="72" t="str">
        <f t="shared" si="44"/>
        <v/>
      </c>
      <c r="AL77" s="72" t="str">
        <f t="shared" si="24"/>
        <v/>
      </c>
      <c r="AM77" s="39"/>
      <c r="AN77" s="72" t="str">
        <f t="shared" si="45"/>
        <v/>
      </c>
      <c r="AO77" s="72" t="str">
        <f t="shared" si="25"/>
        <v/>
      </c>
      <c r="AP77" s="39"/>
      <c r="AQ77" s="72" t="str">
        <f t="shared" si="46"/>
        <v/>
      </c>
      <c r="AR77" s="72" t="str">
        <f t="shared" si="26"/>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47"/>
        <v/>
      </c>
      <c r="AW77" s="72" t="str">
        <f t="shared" si="27"/>
        <v/>
      </c>
      <c r="AX77" s="39"/>
      <c r="AY77" s="40" t="str">
        <f>IF(ISERROR(IF($K77&lt;=$F$15,VLOOKUP($I77,'表4）CO2価格'!$A$7:$E$67,VLOOKUP($F$48,'表4）CO2価格'!$H$10:$I$12,2,0),0)*$F$8/1000,"")),0,IF($K77&lt;=$F$15,VLOOKUP($I77,'表4）CO2価格'!$A$7:$E$67,VLOOKUP($F$48,'表4）CO2価格'!$H$10:$I$12,2,0),0)*$F$8/1000,""))</f>
        <v/>
      </c>
      <c r="AZ77" s="39"/>
      <c r="BA77" s="42" t="str">
        <f t="shared" si="48"/>
        <v/>
      </c>
      <c r="BB77" s="72" t="str">
        <f t="shared" si="28"/>
        <v/>
      </c>
      <c r="BC77" s="39"/>
      <c r="BD77" s="72" t="str">
        <f t="shared" si="49"/>
        <v/>
      </c>
      <c r="BE77" s="72" t="str">
        <f t="shared" si="29"/>
        <v/>
      </c>
      <c r="BF77" s="39"/>
      <c r="BG77" s="42" t="str">
        <f t="shared" si="50"/>
        <v/>
      </c>
      <c r="BH77" s="72" t="str">
        <f t="shared" si="30"/>
        <v/>
      </c>
      <c r="BI77" s="39"/>
      <c r="BJ77" s="40" t="str">
        <f t="shared" si="31"/>
        <v/>
      </c>
      <c r="BK77" s="157" t="str">
        <f t="shared" si="32"/>
        <v/>
      </c>
      <c r="BL77" s="157" t="str">
        <f t="shared" si="14"/>
        <v/>
      </c>
      <c r="BM77" s="72"/>
      <c r="BN77" s="72" t="str">
        <f t="shared" si="33"/>
        <v/>
      </c>
      <c r="BO77" s="72" t="str">
        <f t="shared" si="34"/>
        <v/>
      </c>
      <c r="BP77" s="39"/>
      <c r="BQ77" s="72" t="str">
        <f t="shared" si="51"/>
        <v/>
      </c>
      <c r="BR77" s="72" t="str">
        <f t="shared" si="35"/>
        <v/>
      </c>
    </row>
    <row r="78" spans="2:70" x14ac:dyDescent="0.15">
      <c r="E78" s="74" t="s">
        <v>138</v>
      </c>
      <c r="F78" s="91">
        <f>R15/$BR$116</f>
        <v>1.8216555367924945</v>
      </c>
      <c r="G78" s="81" t="s">
        <v>132</v>
      </c>
      <c r="I78" s="322">
        <f t="shared" si="36"/>
        <v>2083</v>
      </c>
      <c r="J78" s="71"/>
      <c r="K78" s="71">
        <f t="shared" si="37"/>
        <v>64</v>
      </c>
      <c r="L78" s="71"/>
      <c r="M78" s="7">
        <f t="shared" si="38"/>
        <v>0.15080565208229488</v>
      </c>
      <c r="N78" s="71"/>
      <c r="O78" s="10" t="str">
        <f t="shared" si="52"/>
        <v/>
      </c>
      <c r="P78" s="29" t="str">
        <f t="shared" si="39"/>
        <v/>
      </c>
      <c r="Q78" s="71"/>
      <c r="R78" s="10" t="str">
        <f t="shared" si="53"/>
        <v/>
      </c>
      <c r="S78" s="71"/>
      <c r="T78" s="10" t="str">
        <f t="shared" si="18"/>
        <v/>
      </c>
      <c r="U78" s="71"/>
      <c r="V78" s="10" t="str">
        <f t="shared" si="40"/>
        <v/>
      </c>
      <c r="W78" s="10" t="str">
        <f t="shared" si="19"/>
        <v/>
      </c>
      <c r="X78" s="71"/>
      <c r="Y78" s="10" t="str">
        <f t="shared" si="41"/>
        <v/>
      </c>
      <c r="Z78" s="10" t="str">
        <f t="shared" si="20"/>
        <v/>
      </c>
      <c r="AA78" s="71"/>
      <c r="AB78" s="10" t="str">
        <f t="shared" si="4"/>
        <v/>
      </c>
      <c r="AC78" s="10" t="str">
        <f t="shared" si="21"/>
        <v/>
      </c>
      <c r="AD78" s="71"/>
      <c r="AE78" s="10" t="str">
        <f t="shared" si="42"/>
        <v/>
      </c>
      <c r="AF78" s="10" t="str">
        <f t="shared" si="22"/>
        <v/>
      </c>
      <c r="AG78" s="71"/>
      <c r="AH78" s="10" t="str">
        <f t="shared" si="43"/>
        <v/>
      </c>
      <c r="AI78" s="10" t="str">
        <f t="shared" si="23"/>
        <v/>
      </c>
      <c r="AJ78" s="71"/>
      <c r="AK78" s="10" t="str">
        <f t="shared" si="44"/>
        <v/>
      </c>
      <c r="AL78" s="10" t="str">
        <f t="shared" si="24"/>
        <v/>
      </c>
      <c r="AM78" s="71"/>
      <c r="AN78" s="10" t="str">
        <f t="shared" si="45"/>
        <v/>
      </c>
      <c r="AO78" s="10" t="str">
        <f t="shared" si="25"/>
        <v/>
      </c>
      <c r="AP78" s="71"/>
      <c r="AQ78" s="10" t="str">
        <f t="shared" si="46"/>
        <v/>
      </c>
      <c r="AR78" s="10" t="str">
        <f t="shared" si="26"/>
        <v/>
      </c>
      <c r="AS78" s="71"/>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U78" s="71"/>
      <c r="AV78" s="10" t="str">
        <f t="shared" si="47"/>
        <v/>
      </c>
      <c r="AW78" s="10" t="str">
        <f t="shared" si="27"/>
        <v/>
      </c>
      <c r="AX78" s="71"/>
      <c r="AY78" s="7" t="str">
        <f>IF(ISERROR(IF($K78&lt;=$F$15,VLOOKUP($I78,'表4）CO2価格'!$A$7:$E$67,VLOOKUP($F$48,'表4）CO2価格'!$H$10:$I$12,2,0),0)*$F$8/1000,"")),0,IF($K78&lt;=$F$15,VLOOKUP($I78,'表4）CO2価格'!$A$7:$E$67,VLOOKUP($F$48,'表4）CO2価格'!$H$10:$I$12,2,0),0)*$F$8/1000,""))</f>
        <v/>
      </c>
      <c r="AZ78" s="71"/>
      <c r="BA78" s="11" t="str">
        <f t="shared" si="48"/>
        <v/>
      </c>
      <c r="BB78" s="10" t="str">
        <f t="shared" si="28"/>
        <v/>
      </c>
      <c r="BC78" s="71"/>
      <c r="BD78" s="10" t="str">
        <f t="shared" si="49"/>
        <v/>
      </c>
      <c r="BE78" s="10" t="str">
        <f t="shared" si="29"/>
        <v/>
      </c>
      <c r="BF78" s="71"/>
      <c r="BG78" s="11" t="str">
        <f t="shared" si="50"/>
        <v/>
      </c>
      <c r="BH78" s="10" t="str">
        <f t="shared" si="30"/>
        <v/>
      </c>
      <c r="BJ78" s="7" t="str">
        <f t="shared" si="31"/>
        <v/>
      </c>
      <c r="BK78" s="158" t="str">
        <f t="shared" si="32"/>
        <v/>
      </c>
      <c r="BL78" s="158" t="str">
        <f t="shared" si="14"/>
        <v/>
      </c>
      <c r="BM78" s="10"/>
      <c r="BN78" s="10" t="str">
        <f t="shared" si="33"/>
        <v/>
      </c>
      <c r="BO78" s="10" t="str">
        <f t="shared" si="34"/>
        <v/>
      </c>
      <c r="BQ78" s="10" t="str">
        <f t="shared" si="51"/>
        <v/>
      </c>
      <c r="BR78" s="10" t="str">
        <f t="shared" si="35"/>
        <v/>
      </c>
    </row>
    <row r="79" spans="2:70" x14ac:dyDescent="0.15">
      <c r="E79" s="81" t="s">
        <v>139</v>
      </c>
      <c r="F79" s="91">
        <f>Z116/$BR$116</f>
        <v>0.15471262352515708</v>
      </c>
      <c r="G79" s="81" t="s">
        <v>132</v>
      </c>
      <c r="I79" s="38">
        <f t="shared" si="36"/>
        <v>2084</v>
      </c>
      <c r="J79" s="39"/>
      <c r="K79" s="39">
        <f t="shared" si="37"/>
        <v>65</v>
      </c>
      <c r="L79" s="39"/>
      <c r="M79" s="40">
        <f t="shared" ref="M79:M114" si="54">1/(1+($F$9/100))^K79</f>
        <v>0.14641325444882999</v>
      </c>
      <c r="N79" s="39"/>
      <c r="O79" s="72" t="str">
        <f t="shared" si="52"/>
        <v/>
      </c>
      <c r="P79" s="41" t="str">
        <f t="shared" ref="P79:P110" si="55">IF(K79&lt;=$F$15,IF(OR(P78=$F$124,P78="-"),"-",IF(O79*$F$123&gt;$F$127,$F$123,$F$124)),"")</f>
        <v/>
      </c>
      <c r="Q79" s="39"/>
      <c r="R79" s="72" t="str">
        <f t="shared" si="53"/>
        <v/>
      </c>
      <c r="S79" s="39"/>
      <c r="T79" s="72" t="str">
        <f t="shared" si="18"/>
        <v/>
      </c>
      <c r="U79" s="39"/>
      <c r="V79" s="72" t="str">
        <f t="shared" ref="V79:V114" si="56">IF(K79&lt;=$F$15,IF(K79&lt;$F$119,IF(P79="-",V78,O79*P79),IF(K79=$F$119,MIN(IF(P79="-",V78,O79*P79),O79),0)),"")</f>
        <v/>
      </c>
      <c r="W79" s="72" t="str">
        <f t="shared" si="19"/>
        <v/>
      </c>
      <c r="X79" s="39"/>
      <c r="Y79" s="72" t="str">
        <f t="shared" ref="Y79:Y114" si="57">IF($K79&lt;=$F$15,ROUNDDOWN(T79*$F$25/100,-2),"")</f>
        <v/>
      </c>
      <c r="Z79" s="72" t="str">
        <f t="shared" si="20"/>
        <v/>
      </c>
      <c r="AA79" s="39"/>
      <c r="AB79" s="72" t="str">
        <f t="shared" ref="AB79:AB114" si="58">IF($K79&lt;=$F$15,0,IF(AND($K79&gt;$F$15,$K79&lt;=$F$15+$F$28),$F$27*10^8/$F$28,""))</f>
        <v/>
      </c>
      <c r="AC79" s="72" t="str">
        <f t="shared" si="21"/>
        <v/>
      </c>
      <c r="AD79" s="39"/>
      <c r="AE79" s="72" t="str">
        <f t="shared" ref="AE79:AE114" si="59">IF($K79&lt;=$F$15,$F$26,"")</f>
        <v/>
      </c>
      <c r="AF79" s="72" t="str">
        <f t="shared" si="22"/>
        <v/>
      </c>
      <c r="AG79" s="39"/>
      <c r="AH79" s="72" t="str">
        <f t="shared" ref="AH79:AH114" si="60">IF($K79&lt;=$F$15,$F$33*10^8,"")</f>
        <v/>
      </c>
      <c r="AI79" s="72" t="str">
        <f t="shared" si="23"/>
        <v/>
      </c>
      <c r="AJ79" s="39"/>
      <c r="AK79" s="72" t="str">
        <f t="shared" ref="AK79:AK114" si="61">IF($K79&lt;=$F$15,$F$117*$F$34/100,"")</f>
        <v/>
      </c>
      <c r="AL79" s="72" t="str">
        <f t="shared" si="24"/>
        <v/>
      </c>
      <c r="AM79" s="39"/>
      <c r="AN79" s="72" t="str">
        <f t="shared" ref="AN79:AN114" si="62">IF($K79&lt;=$F$15,$F$117*$F$35/100,"")</f>
        <v/>
      </c>
      <c r="AO79" s="72" t="str">
        <f t="shared" si="25"/>
        <v/>
      </c>
      <c r="AP79" s="39"/>
      <c r="AQ79" s="72" t="str">
        <f t="shared" ref="AQ79:AQ114" si="63">IF($K79&lt;=$F$15,SUM(AH79,AK79,AN79)*($F$36/100),"")</f>
        <v/>
      </c>
      <c r="AR79" s="72" t="str">
        <f t="shared" si="26"/>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64">IF($K79&lt;=$F$15,($AT79+$F$142)*$F$137,"")</f>
        <v/>
      </c>
      <c r="AW79" s="72" t="str">
        <f t="shared" si="27"/>
        <v/>
      </c>
      <c r="AX79" s="39"/>
      <c r="AY79" s="40" t="str">
        <f>IF(ISERROR(IF($K79&lt;=$F$15,VLOOKUP($I79,'表4）CO2価格'!$A$7:$E$67,VLOOKUP($F$48,'表4）CO2価格'!$H$10:$I$12,2,0),0)*$F$8/1000,"")),0,IF($K79&lt;=$F$15,VLOOKUP($I79,'表4）CO2価格'!$A$7:$E$67,VLOOKUP($F$48,'表4）CO2価格'!$H$10:$I$12,2,0),0)*$F$8/1000,""))</f>
        <v/>
      </c>
      <c r="AZ79" s="39"/>
      <c r="BA79" s="42" t="str">
        <f t="shared" ref="BA79:BA114" si="65">IF($K79&lt;=$F$15,$F$145*AY79,"")</f>
        <v/>
      </c>
      <c r="BB79" s="72" t="str">
        <f t="shared" si="28"/>
        <v/>
      </c>
      <c r="BC79" s="39"/>
      <c r="BD79" s="72" t="str">
        <f t="shared" ref="BD79:BD114" si="66">IF($K79&lt;=$F$15,($AT79+$F$152)*$F$151,"")</f>
        <v/>
      </c>
      <c r="BE79" s="72" t="str">
        <f t="shared" si="29"/>
        <v/>
      </c>
      <c r="BF79" s="39"/>
      <c r="BG79" s="42" t="str">
        <f t="shared" ref="BG79:BG114" si="67">IF($K79&lt;=$F$15,$F$153*AY79,"")</f>
        <v/>
      </c>
      <c r="BH79" s="72" t="str">
        <f t="shared" si="30"/>
        <v/>
      </c>
      <c r="BI79" s="39"/>
      <c r="BJ79" s="40" t="str">
        <f t="shared" si="31"/>
        <v/>
      </c>
      <c r="BK79" s="157" t="str">
        <f t="shared" si="32"/>
        <v/>
      </c>
      <c r="BL79" s="157" t="str">
        <f t="shared" ref="BL79:BL114" si="68">IF(AND(ISNUMBER(BJ79),$K79&lt;=$F$16),BQ79*BJ79,"")</f>
        <v/>
      </c>
      <c r="BM79" s="72"/>
      <c r="BN79" s="72" t="str">
        <f t="shared" si="33"/>
        <v/>
      </c>
      <c r="BO79" s="72" t="str">
        <f t="shared" si="34"/>
        <v/>
      </c>
      <c r="BP79" s="39"/>
      <c r="BQ79" s="72" t="str">
        <f t="shared" ref="BQ79:BQ114" si="69">IF($K79&lt;=$F$15,$F$134,"")</f>
        <v/>
      </c>
      <c r="BR79" s="72" t="str">
        <f t="shared" si="35"/>
        <v/>
      </c>
    </row>
    <row r="80" spans="2:70" x14ac:dyDescent="0.15">
      <c r="E80" s="81" t="s">
        <v>115</v>
      </c>
      <c r="F80" s="91">
        <f>AF116/$BR$116</f>
        <v>0</v>
      </c>
      <c r="G80" s="81" t="s">
        <v>132</v>
      </c>
      <c r="I80" s="322">
        <f t="shared" si="36"/>
        <v>2085</v>
      </c>
      <c r="J80" s="71"/>
      <c r="K80" s="71">
        <f t="shared" si="37"/>
        <v>66</v>
      </c>
      <c r="L80" s="71"/>
      <c r="M80" s="7">
        <f t="shared" si="54"/>
        <v>0.14214879072701941</v>
      </c>
      <c r="N80" s="71"/>
      <c r="O80" s="10" t="str">
        <f t="shared" ref="O80:O114" si="70">IF(K80&lt;=$F$15,O79-V79,"")</f>
        <v/>
      </c>
      <c r="P80" s="29" t="str">
        <f t="shared" si="55"/>
        <v/>
      </c>
      <c r="Q80" s="71"/>
      <c r="R80" s="10" t="str">
        <f t="shared" ref="R80:R114" si="71">IF($K80&lt;=$F$15,MAX($F$117*5%,R79*$F$129),"")</f>
        <v/>
      </c>
      <c r="S80" s="71"/>
      <c r="T80" s="10" t="str">
        <f t="shared" ref="T80:T114" si="72">IF(ISNUMBER(R80),ROUNDDOWN(R80,-3),"")</f>
        <v/>
      </c>
      <c r="U80" s="71"/>
      <c r="V80" s="10" t="str">
        <f t="shared" si="56"/>
        <v/>
      </c>
      <c r="W80" s="10" t="str">
        <f t="shared" ref="W80:W114" si="73">IF(ISNUMBER(V80),V80*$M80,"")</f>
        <v/>
      </c>
      <c r="X80" s="71"/>
      <c r="Y80" s="10" t="str">
        <f t="shared" si="57"/>
        <v/>
      </c>
      <c r="Z80" s="10" t="str">
        <f t="shared" ref="Z80:Z114" si="74">IF(ISNUMBER(Y80),Y80*$M80,"")</f>
        <v/>
      </c>
      <c r="AA80" s="71"/>
      <c r="AB80" s="10" t="str">
        <f t="shared" si="58"/>
        <v/>
      </c>
      <c r="AC80" s="10" t="str">
        <f t="shared" ref="AC80:AC114" si="75">IF(ISNUMBER(AB80),AB80*$M80,"")</f>
        <v/>
      </c>
      <c r="AD80" s="71"/>
      <c r="AE80" s="10" t="str">
        <f t="shared" si="59"/>
        <v/>
      </c>
      <c r="AF80" s="10" t="str">
        <f t="shared" ref="AF80:AF114" si="76">IF(ISNUMBER(AE80),AE80*$M80,"")</f>
        <v/>
      </c>
      <c r="AG80" s="71"/>
      <c r="AH80" s="10" t="str">
        <f t="shared" si="60"/>
        <v/>
      </c>
      <c r="AI80" s="10" t="str">
        <f t="shared" ref="AI80:AI114" si="77">IF(ISNUMBER(AH80),AH80*$M80,"")</f>
        <v/>
      </c>
      <c r="AJ80" s="71"/>
      <c r="AK80" s="10" t="str">
        <f t="shared" si="61"/>
        <v/>
      </c>
      <c r="AL80" s="10" t="str">
        <f t="shared" ref="AL80:AL114" si="78">IF(ISNUMBER(AK80),AK80*$M80,"")</f>
        <v/>
      </c>
      <c r="AM80" s="71"/>
      <c r="AN80" s="10" t="str">
        <f t="shared" si="62"/>
        <v/>
      </c>
      <c r="AO80" s="10" t="str">
        <f t="shared" ref="AO80:AO114" si="79">IF(ISNUMBER(AN80),AN80*$M80,"")</f>
        <v/>
      </c>
      <c r="AP80" s="71"/>
      <c r="AQ80" s="10" t="str">
        <f t="shared" si="63"/>
        <v/>
      </c>
      <c r="AR80" s="10" t="str">
        <f t="shared" ref="AR80:AR114" si="80">IF(ISNUMBER(AQ80),AQ80*$M80,"")</f>
        <v/>
      </c>
      <c r="AS80" s="71"/>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U80" s="71"/>
      <c r="AV80" s="10" t="str">
        <f t="shared" si="64"/>
        <v/>
      </c>
      <c r="AW80" s="10" t="str">
        <f t="shared" ref="AW80:AW114" si="81">IF(ISNUMBER(AV80),AV80*$M80,"")</f>
        <v/>
      </c>
      <c r="AX80" s="71"/>
      <c r="AY80" s="7" t="str">
        <f>IF(ISERROR(IF($K80&lt;=$F$15,VLOOKUP($I80,'表4）CO2価格'!$A$7:$E$67,VLOOKUP($F$48,'表4）CO2価格'!$H$10:$I$12,2,0),0)*$F$8/1000,"")),0,IF($K80&lt;=$F$15,VLOOKUP($I80,'表4）CO2価格'!$A$7:$E$67,VLOOKUP($F$48,'表4）CO2価格'!$H$10:$I$12,2,0),0)*$F$8/1000,""))</f>
        <v/>
      </c>
      <c r="AZ80" s="71"/>
      <c r="BA80" s="11" t="str">
        <f t="shared" si="65"/>
        <v/>
      </c>
      <c r="BB80" s="10" t="str">
        <f t="shared" ref="BB80:BB114" si="82">IF(ISNUMBER(BA80),BA80*$M80,"")</f>
        <v/>
      </c>
      <c r="BC80" s="71"/>
      <c r="BD80" s="10" t="str">
        <f t="shared" si="66"/>
        <v/>
      </c>
      <c r="BE80" s="10" t="str">
        <f t="shared" ref="BE80:BE114" si="83">IF(ISNUMBER(BD80),BD80*$M80,"")</f>
        <v/>
      </c>
      <c r="BF80" s="71"/>
      <c r="BG80" s="11" t="str">
        <f t="shared" si="67"/>
        <v/>
      </c>
      <c r="BH80" s="10" t="str">
        <f t="shared" ref="BH80:BH114" si="84">IF(ISNUMBER(BG80),BG80*$M80,"")</f>
        <v/>
      </c>
      <c r="BJ80" s="7" t="str">
        <f t="shared" ref="BJ80:BJ114" si="85">IF(ISNUMBER($F$16),IF($K80&lt;=$F$16+$F$28,1/(1+($F$17/100))^K80,""),"")</f>
        <v/>
      </c>
      <c r="BK80" s="158" t="str">
        <f t="shared" ref="BK80:BK114" si="86">IF(ISNUMBER($F$16),IF($K80&lt;=$F$16+$F$28,IF($K80&lt;=$F$16,SUM(Y80,AB80,AE80,AH80,AK80,AN80,AQ80,AV80,BA80,BD80,BG80),$F$27/$F$28*10^8)*BJ80,""),"")</f>
        <v/>
      </c>
      <c r="BL80" s="158" t="str">
        <f t="shared" si="68"/>
        <v/>
      </c>
      <c r="BM80" s="10"/>
      <c r="BN80" s="10" t="str">
        <f t="shared" ref="BN80:BN114" si="87">IF(AND(ISNUMBER($F$16),$K80&lt;=$F$16),BQ80*($O$15+$BK$116)/$BL$116,"")</f>
        <v/>
      </c>
      <c r="BO80" s="10" t="str">
        <f t="shared" ref="BO80:BO114" si="88">IF(ISNUMBER(BN80),BN80*$M80,"")</f>
        <v/>
      </c>
      <c r="BQ80" s="10" t="str">
        <f t="shared" si="69"/>
        <v/>
      </c>
      <c r="BR80" s="10" t="str">
        <f t="shared" ref="BR80:BR114" si="89">IF(ISNUMBER(BQ80),BQ80*$M80,"")</f>
        <v/>
      </c>
    </row>
    <row r="81" spans="4:70" x14ac:dyDescent="0.15">
      <c r="E81" s="82" t="s">
        <v>86</v>
      </c>
      <c r="F81" s="91">
        <f>AC116/$BR$116</f>
        <v>2.7108784773651477E-2</v>
      </c>
      <c r="G81" s="81" t="s">
        <v>132</v>
      </c>
      <c r="I81" s="38">
        <f t="shared" ref="I81:I114" si="90">I80+1</f>
        <v>2086</v>
      </c>
      <c r="J81" s="39"/>
      <c r="K81" s="39">
        <f t="shared" ref="K81:K114" si="91">IF(I81&lt;&gt;"",K80+1,"")</f>
        <v>67</v>
      </c>
      <c r="L81" s="39"/>
      <c r="M81" s="40">
        <f t="shared" si="54"/>
        <v>0.1380085346864266</v>
      </c>
      <c r="N81" s="39"/>
      <c r="O81" s="72" t="str">
        <f t="shared" si="70"/>
        <v/>
      </c>
      <c r="P81" s="41" t="str">
        <f t="shared" si="55"/>
        <v/>
      </c>
      <c r="Q81" s="39"/>
      <c r="R81" s="72" t="str">
        <f t="shared" si="71"/>
        <v/>
      </c>
      <c r="S81" s="39"/>
      <c r="T81" s="72" t="str">
        <f t="shared" si="72"/>
        <v/>
      </c>
      <c r="U81" s="39"/>
      <c r="V81" s="72" t="str">
        <f t="shared" si="56"/>
        <v/>
      </c>
      <c r="W81" s="72" t="str">
        <f t="shared" si="73"/>
        <v/>
      </c>
      <c r="X81" s="39"/>
      <c r="Y81" s="72" t="str">
        <f t="shared" si="57"/>
        <v/>
      </c>
      <c r="Z81" s="72" t="str">
        <f t="shared" si="74"/>
        <v/>
      </c>
      <c r="AA81" s="39"/>
      <c r="AB81" s="72" t="str">
        <f t="shared" si="58"/>
        <v/>
      </c>
      <c r="AC81" s="72" t="str">
        <f t="shared" si="75"/>
        <v/>
      </c>
      <c r="AD81" s="39"/>
      <c r="AE81" s="72" t="str">
        <f t="shared" si="59"/>
        <v/>
      </c>
      <c r="AF81" s="72" t="str">
        <f t="shared" si="76"/>
        <v/>
      </c>
      <c r="AG81" s="39"/>
      <c r="AH81" s="72" t="str">
        <f t="shared" si="60"/>
        <v/>
      </c>
      <c r="AI81" s="72" t="str">
        <f t="shared" si="77"/>
        <v/>
      </c>
      <c r="AJ81" s="39"/>
      <c r="AK81" s="72" t="str">
        <f t="shared" si="61"/>
        <v/>
      </c>
      <c r="AL81" s="72" t="str">
        <f t="shared" si="78"/>
        <v/>
      </c>
      <c r="AM81" s="39"/>
      <c r="AN81" s="72" t="str">
        <f t="shared" si="62"/>
        <v/>
      </c>
      <c r="AO81" s="72" t="str">
        <f t="shared" si="79"/>
        <v/>
      </c>
      <c r="AP81" s="39"/>
      <c r="AQ81" s="72" t="str">
        <f t="shared" si="63"/>
        <v/>
      </c>
      <c r="AR81" s="72" t="str">
        <f t="shared" si="80"/>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64"/>
        <v/>
      </c>
      <c r="AW81" s="72" t="str">
        <f t="shared" si="81"/>
        <v/>
      </c>
      <c r="AX81" s="39"/>
      <c r="AY81" s="40" t="str">
        <f>IF(ISERROR(IF($K81&lt;=$F$15,VLOOKUP($I81,'表4）CO2価格'!$A$7:$E$67,VLOOKUP($F$48,'表4）CO2価格'!$H$10:$I$12,2,0),0)*$F$8/1000,"")),0,IF($K81&lt;=$F$15,VLOOKUP($I81,'表4）CO2価格'!$A$7:$E$67,VLOOKUP($F$48,'表4）CO2価格'!$H$10:$I$12,2,0),0)*$F$8/1000,""))</f>
        <v/>
      </c>
      <c r="AZ81" s="39"/>
      <c r="BA81" s="42" t="str">
        <f t="shared" si="65"/>
        <v/>
      </c>
      <c r="BB81" s="72" t="str">
        <f t="shared" si="82"/>
        <v/>
      </c>
      <c r="BC81" s="39"/>
      <c r="BD81" s="72" t="str">
        <f t="shared" si="66"/>
        <v/>
      </c>
      <c r="BE81" s="72" t="str">
        <f t="shared" si="83"/>
        <v/>
      </c>
      <c r="BF81" s="39"/>
      <c r="BG81" s="42" t="str">
        <f t="shared" si="67"/>
        <v/>
      </c>
      <c r="BH81" s="72" t="str">
        <f t="shared" si="84"/>
        <v/>
      </c>
      <c r="BI81" s="39"/>
      <c r="BJ81" s="40" t="str">
        <f t="shared" si="85"/>
        <v/>
      </c>
      <c r="BK81" s="157" t="str">
        <f t="shared" si="86"/>
        <v/>
      </c>
      <c r="BL81" s="157" t="str">
        <f t="shared" si="68"/>
        <v/>
      </c>
      <c r="BM81" s="72"/>
      <c r="BN81" s="72" t="str">
        <f t="shared" si="87"/>
        <v/>
      </c>
      <c r="BO81" s="72" t="str">
        <f t="shared" si="88"/>
        <v/>
      </c>
      <c r="BP81" s="39"/>
      <c r="BQ81" s="72" t="str">
        <f t="shared" si="69"/>
        <v/>
      </c>
      <c r="BR81" s="72" t="str">
        <f t="shared" si="89"/>
        <v/>
      </c>
    </row>
    <row r="82" spans="4:70" x14ac:dyDescent="0.15">
      <c r="F82" s="93"/>
      <c r="I82" s="322">
        <f t="shared" si="90"/>
        <v>2087</v>
      </c>
      <c r="J82" s="71"/>
      <c r="K82" s="71">
        <f t="shared" si="91"/>
        <v>68</v>
      </c>
      <c r="L82" s="71"/>
      <c r="M82" s="7">
        <f t="shared" si="54"/>
        <v>0.13398886862759865</v>
      </c>
      <c r="N82" s="71"/>
      <c r="O82" s="10" t="str">
        <f t="shared" si="70"/>
        <v/>
      </c>
      <c r="P82" s="29" t="str">
        <f t="shared" si="55"/>
        <v/>
      </c>
      <c r="Q82" s="71"/>
      <c r="R82" s="10" t="str">
        <f t="shared" si="71"/>
        <v/>
      </c>
      <c r="S82" s="71"/>
      <c r="T82" s="10" t="str">
        <f t="shared" si="72"/>
        <v/>
      </c>
      <c r="U82" s="71"/>
      <c r="V82" s="10" t="str">
        <f t="shared" si="56"/>
        <v/>
      </c>
      <c r="W82" s="10" t="str">
        <f t="shared" si="73"/>
        <v/>
      </c>
      <c r="X82" s="71"/>
      <c r="Y82" s="10" t="str">
        <f t="shared" si="57"/>
        <v/>
      </c>
      <c r="Z82" s="10" t="str">
        <f t="shared" si="74"/>
        <v/>
      </c>
      <c r="AA82" s="71"/>
      <c r="AB82" s="10" t="str">
        <f t="shared" si="58"/>
        <v/>
      </c>
      <c r="AC82" s="10" t="str">
        <f t="shared" si="75"/>
        <v/>
      </c>
      <c r="AD82" s="71"/>
      <c r="AE82" s="10" t="str">
        <f t="shared" si="59"/>
        <v/>
      </c>
      <c r="AF82" s="10" t="str">
        <f t="shared" si="76"/>
        <v/>
      </c>
      <c r="AG82" s="71"/>
      <c r="AH82" s="10" t="str">
        <f t="shared" si="60"/>
        <v/>
      </c>
      <c r="AI82" s="10" t="str">
        <f t="shared" si="77"/>
        <v/>
      </c>
      <c r="AJ82" s="71"/>
      <c r="AK82" s="10" t="str">
        <f t="shared" si="61"/>
        <v/>
      </c>
      <c r="AL82" s="10" t="str">
        <f t="shared" si="78"/>
        <v/>
      </c>
      <c r="AM82" s="71"/>
      <c r="AN82" s="10" t="str">
        <f t="shared" si="62"/>
        <v/>
      </c>
      <c r="AO82" s="10" t="str">
        <f t="shared" si="79"/>
        <v/>
      </c>
      <c r="AP82" s="71"/>
      <c r="AQ82" s="10" t="str">
        <f t="shared" si="63"/>
        <v/>
      </c>
      <c r="AR82" s="10" t="str">
        <f t="shared" si="80"/>
        <v/>
      </c>
      <c r="AS82" s="71"/>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U82" s="71"/>
      <c r="AV82" s="10" t="str">
        <f t="shared" si="64"/>
        <v/>
      </c>
      <c r="AW82" s="10" t="str">
        <f t="shared" si="81"/>
        <v/>
      </c>
      <c r="AX82" s="71"/>
      <c r="AY82" s="7" t="str">
        <f>IF(ISERROR(IF($K82&lt;=$F$15,VLOOKUP($I82,'表4）CO2価格'!$A$7:$E$67,VLOOKUP($F$48,'表4）CO2価格'!$H$10:$I$12,2,0),0)*$F$8/1000,"")),0,IF($K82&lt;=$F$15,VLOOKUP($I82,'表4）CO2価格'!$A$7:$E$67,VLOOKUP($F$48,'表4）CO2価格'!$H$10:$I$12,2,0),0)*$F$8/1000,""))</f>
        <v/>
      </c>
      <c r="AZ82" s="71"/>
      <c r="BA82" s="11" t="str">
        <f t="shared" si="65"/>
        <v/>
      </c>
      <c r="BB82" s="10" t="str">
        <f t="shared" si="82"/>
        <v/>
      </c>
      <c r="BC82" s="71"/>
      <c r="BD82" s="10" t="str">
        <f t="shared" si="66"/>
        <v/>
      </c>
      <c r="BE82" s="10" t="str">
        <f t="shared" si="83"/>
        <v/>
      </c>
      <c r="BF82" s="71"/>
      <c r="BG82" s="11" t="str">
        <f t="shared" si="67"/>
        <v/>
      </c>
      <c r="BH82" s="10" t="str">
        <f t="shared" si="84"/>
        <v/>
      </c>
      <c r="BJ82" s="7" t="str">
        <f t="shared" si="85"/>
        <v/>
      </c>
      <c r="BK82" s="158" t="str">
        <f t="shared" si="86"/>
        <v/>
      </c>
      <c r="BL82" s="158" t="str">
        <f t="shared" si="68"/>
        <v/>
      </c>
      <c r="BM82" s="10"/>
      <c r="BN82" s="10" t="str">
        <f t="shared" si="87"/>
        <v/>
      </c>
      <c r="BO82" s="10" t="str">
        <f t="shared" si="88"/>
        <v/>
      </c>
      <c r="BQ82" s="10" t="str">
        <f t="shared" si="69"/>
        <v/>
      </c>
      <c r="BR82" s="10" t="str">
        <f t="shared" si="89"/>
        <v/>
      </c>
    </row>
    <row r="83" spans="4:70" ht="15" x14ac:dyDescent="0.15">
      <c r="D83" s="116" t="s">
        <v>194</v>
      </c>
      <c r="F83" s="94">
        <f>SUBTOTAL(9,F87:F90)</f>
        <v>2.2949407812701077</v>
      </c>
      <c r="G83" s="81" t="s">
        <v>132</v>
      </c>
      <c r="I83" s="38">
        <f>I82+1</f>
        <v>2088</v>
      </c>
      <c r="J83" s="39"/>
      <c r="K83" s="39">
        <f>IF(I83&lt;&gt;"",K82+1,"")</f>
        <v>69</v>
      </c>
      <c r="L83" s="39"/>
      <c r="M83" s="40">
        <f t="shared" si="54"/>
        <v>0.13008628022096957</v>
      </c>
      <c r="N83" s="39"/>
      <c r="O83" s="72" t="str">
        <f t="shared" si="70"/>
        <v/>
      </c>
      <c r="P83" s="41" t="str">
        <f t="shared" si="55"/>
        <v/>
      </c>
      <c r="Q83" s="39"/>
      <c r="R83" s="72" t="str">
        <f t="shared" si="71"/>
        <v/>
      </c>
      <c r="S83" s="39"/>
      <c r="T83" s="72" t="str">
        <f t="shared" si="72"/>
        <v/>
      </c>
      <c r="U83" s="39"/>
      <c r="V83" s="72" t="str">
        <f t="shared" si="56"/>
        <v/>
      </c>
      <c r="W83" s="72" t="str">
        <f t="shared" si="73"/>
        <v/>
      </c>
      <c r="X83" s="39"/>
      <c r="Y83" s="72" t="str">
        <f t="shared" si="57"/>
        <v/>
      </c>
      <c r="Z83" s="72" t="str">
        <f t="shared" si="74"/>
        <v/>
      </c>
      <c r="AA83" s="39"/>
      <c r="AB83" s="72" t="str">
        <f t="shared" si="58"/>
        <v/>
      </c>
      <c r="AC83" s="72" t="str">
        <f t="shared" si="75"/>
        <v/>
      </c>
      <c r="AD83" s="39"/>
      <c r="AE83" s="72" t="str">
        <f t="shared" si="59"/>
        <v/>
      </c>
      <c r="AF83" s="72" t="str">
        <f t="shared" si="76"/>
        <v/>
      </c>
      <c r="AG83" s="39"/>
      <c r="AH83" s="72" t="str">
        <f t="shared" si="60"/>
        <v/>
      </c>
      <c r="AI83" s="72" t="str">
        <f t="shared" si="77"/>
        <v/>
      </c>
      <c r="AJ83" s="39"/>
      <c r="AK83" s="72" t="str">
        <f t="shared" si="61"/>
        <v/>
      </c>
      <c r="AL83" s="72" t="str">
        <f t="shared" si="78"/>
        <v/>
      </c>
      <c r="AM83" s="39"/>
      <c r="AN83" s="72" t="str">
        <f t="shared" si="62"/>
        <v/>
      </c>
      <c r="AO83" s="72" t="str">
        <f t="shared" si="79"/>
        <v/>
      </c>
      <c r="AP83" s="39"/>
      <c r="AQ83" s="72" t="str">
        <f t="shared" si="63"/>
        <v/>
      </c>
      <c r="AR83" s="72" t="str">
        <f t="shared" si="80"/>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64"/>
        <v/>
      </c>
      <c r="AW83" s="72" t="str">
        <f t="shared" si="81"/>
        <v/>
      </c>
      <c r="AX83" s="39"/>
      <c r="AY83" s="40" t="str">
        <f>IF(ISERROR(IF($K83&lt;=$F$15,VLOOKUP($I83,'表4）CO2価格'!$A$7:$E$67,VLOOKUP($F$48,'表4）CO2価格'!$H$10:$I$12,2,0),0)*$F$8/1000,"")),0,IF($K83&lt;=$F$15,VLOOKUP($I83,'表4）CO2価格'!$A$7:$E$67,VLOOKUP($F$48,'表4）CO2価格'!$H$10:$I$12,2,0),0)*$F$8/1000,""))</f>
        <v/>
      </c>
      <c r="AZ83" s="39"/>
      <c r="BA83" s="42" t="str">
        <f t="shared" si="65"/>
        <v/>
      </c>
      <c r="BB83" s="72" t="str">
        <f t="shared" si="82"/>
        <v/>
      </c>
      <c r="BC83" s="39"/>
      <c r="BD83" s="72" t="str">
        <f t="shared" si="66"/>
        <v/>
      </c>
      <c r="BE83" s="72" t="str">
        <f t="shared" si="83"/>
        <v/>
      </c>
      <c r="BF83" s="39"/>
      <c r="BG83" s="42" t="str">
        <f t="shared" si="67"/>
        <v/>
      </c>
      <c r="BH83" s="72" t="str">
        <f t="shared" si="84"/>
        <v/>
      </c>
      <c r="BI83" s="39"/>
      <c r="BJ83" s="40" t="str">
        <f t="shared" si="85"/>
        <v/>
      </c>
      <c r="BK83" s="157" t="str">
        <f t="shared" si="86"/>
        <v/>
      </c>
      <c r="BL83" s="157" t="str">
        <f t="shared" si="68"/>
        <v/>
      </c>
      <c r="BM83" s="72"/>
      <c r="BN83" s="72" t="str">
        <f t="shared" si="87"/>
        <v/>
      </c>
      <c r="BO83" s="72" t="str">
        <f t="shared" si="88"/>
        <v/>
      </c>
      <c r="BP83" s="39"/>
      <c r="BQ83" s="72" t="str">
        <f t="shared" si="69"/>
        <v/>
      </c>
      <c r="BR83" s="72" t="str">
        <f t="shared" si="89"/>
        <v/>
      </c>
    </row>
    <row r="84" spans="4:70" x14ac:dyDescent="0.15">
      <c r="F84" s="93"/>
      <c r="I84" s="322">
        <f t="shared" si="90"/>
        <v>2089</v>
      </c>
      <c r="J84" s="71"/>
      <c r="K84" s="71">
        <f t="shared" si="91"/>
        <v>70</v>
      </c>
      <c r="L84" s="71"/>
      <c r="M84" s="7">
        <f t="shared" si="54"/>
        <v>0.12629735943783454</v>
      </c>
      <c r="N84" s="71"/>
      <c r="O84" s="10" t="str">
        <f t="shared" si="70"/>
        <v/>
      </c>
      <c r="P84" s="29" t="str">
        <f t="shared" si="55"/>
        <v/>
      </c>
      <c r="Q84" s="71"/>
      <c r="R84" s="10" t="str">
        <f t="shared" si="71"/>
        <v/>
      </c>
      <c r="S84" s="71"/>
      <c r="T84" s="10" t="str">
        <f t="shared" si="72"/>
        <v/>
      </c>
      <c r="U84" s="71"/>
      <c r="V84" s="10" t="str">
        <f t="shared" si="56"/>
        <v/>
      </c>
      <c r="W84" s="10" t="str">
        <f t="shared" si="73"/>
        <v/>
      </c>
      <c r="X84" s="71"/>
      <c r="Y84" s="10" t="str">
        <f t="shared" si="57"/>
        <v/>
      </c>
      <c r="Z84" s="10" t="str">
        <f t="shared" si="74"/>
        <v/>
      </c>
      <c r="AA84" s="71"/>
      <c r="AB84" s="10" t="str">
        <f t="shared" si="58"/>
        <v/>
      </c>
      <c r="AC84" s="10" t="str">
        <f t="shared" si="75"/>
        <v/>
      </c>
      <c r="AD84" s="71"/>
      <c r="AE84" s="10" t="str">
        <f t="shared" si="59"/>
        <v/>
      </c>
      <c r="AF84" s="10" t="str">
        <f t="shared" si="76"/>
        <v/>
      </c>
      <c r="AG84" s="71"/>
      <c r="AH84" s="10" t="str">
        <f t="shared" si="60"/>
        <v/>
      </c>
      <c r="AI84" s="10" t="str">
        <f t="shared" si="77"/>
        <v/>
      </c>
      <c r="AJ84" s="71"/>
      <c r="AK84" s="10" t="str">
        <f t="shared" si="61"/>
        <v/>
      </c>
      <c r="AL84" s="10" t="str">
        <f t="shared" si="78"/>
        <v/>
      </c>
      <c r="AM84" s="71"/>
      <c r="AN84" s="10" t="str">
        <f t="shared" si="62"/>
        <v/>
      </c>
      <c r="AO84" s="10" t="str">
        <f t="shared" si="79"/>
        <v/>
      </c>
      <c r="AP84" s="71"/>
      <c r="AQ84" s="10" t="str">
        <f t="shared" si="63"/>
        <v/>
      </c>
      <c r="AR84" s="10" t="str">
        <f t="shared" si="80"/>
        <v/>
      </c>
      <c r="AS84" s="71"/>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U84" s="71"/>
      <c r="AV84" s="10" t="str">
        <f t="shared" si="64"/>
        <v/>
      </c>
      <c r="AW84" s="10" t="str">
        <f t="shared" si="81"/>
        <v/>
      </c>
      <c r="AX84" s="71"/>
      <c r="AY84" s="7" t="str">
        <f>IF(ISERROR(IF($K84&lt;=$F$15,VLOOKUP($I84,'表4）CO2価格'!$A$7:$E$67,VLOOKUP($F$48,'表4）CO2価格'!$H$10:$I$12,2,0),0)*$F$8/1000,"")),0,IF($K84&lt;=$F$15,VLOOKUP($I84,'表4）CO2価格'!$A$7:$E$67,VLOOKUP($F$48,'表4）CO2価格'!$H$10:$I$12,2,0),0)*$F$8/1000,""))</f>
        <v/>
      </c>
      <c r="AZ84" s="71"/>
      <c r="BA84" s="11" t="str">
        <f t="shared" si="65"/>
        <v/>
      </c>
      <c r="BB84" s="10" t="str">
        <f t="shared" si="82"/>
        <v/>
      </c>
      <c r="BC84" s="71"/>
      <c r="BD84" s="10" t="str">
        <f t="shared" si="66"/>
        <v/>
      </c>
      <c r="BE84" s="10" t="str">
        <f t="shared" si="83"/>
        <v/>
      </c>
      <c r="BF84" s="71"/>
      <c r="BG84" s="11" t="str">
        <f t="shared" si="67"/>
        <v/>
      </c>
      <c r="BH84" s="10" t="str">
        <f t="shared" si="84"/>
        <v/>
      </c>
      <c r="BJ84" s="7" t="str">
        <f t="shared" si="85"/>
        <v/>
      </c>
      <c r="BK84" s="158" t="str">
        <f t="shared" si="86"/>
        <v/>
      </c>
      <c r="BL84" s="158" t="str">
        <f t="shared" si="68"/>
        <v/>
      </c>
      <c r="BM84" s="10"/>
      <c r="BN84" s="10" t="str">
        <f t="shared" si="87"/>
        <v/>
      </c>
      <c r="BO84" s="10" t="str">
        <f t="shared" si="88"/>
        <v/>
      </c>
      <c r="BQ84" s="10" t="str">
        <f t="shared" si="69"/>
        <v/>
      </c>
      <c r="BR84" s="10" t="str">
        <f t="shared" si="89"/>
        <v/>
      </c>
    </row>
    <row r="85" spans="4:70" x14ac:dyDescent="0.15">
      <c r="D85" s="101" t="s">
        <v>195</v>
      </c>
      <c r="E85" s="113"/>
      <c r="F85" s="92"/>
      <c r="G85" s="101"/>
      <c r="I85" s="38">
        <f t="shared" si="90"/>
        <v>2090</v>
      </c>
      <c r="J85" s="39"/>
      <c r="K85" s="39">
        <f t="shared" si="91"/>
        <v>71</v>
      </c>
      <c r="L85" s="39"/>
      <c r="M85" s="40">
        <f t="shared" si="54"/>
        <v>0.12261879557071313</v>
      </c>
      <c r="N85" s="39"/>
      <c r="O85" s="72" t="str">
        <f t="shared" si="70"/>
        <v/>
      </c>
      <c r="P85" s="41" t="str">
        <f t="shared" si="55"/>
        <v/>
      </c>
      <c r="Q85" s="39"/>
      <c r="R85" s="72" t="str">
        <f t="shared" si="71"/>
        <v/>
      </c>
      <c r="S85" s="39"/>
      <c r="T85" s="72" t="str">
        <f t="shared" si="72"/>
        <v/>
      </c>
      <c r="U85" s="39"/>
      <c r="V85" s="72" t="str">
        <f t="shared" si="56"/>
        <v/>
      </c>
      <c r="W85" s="72" t="str">
        <f t="shared" si="73"/>
        <v/>
      </c>
      <c r="X85" s="39"/>
      <c r="Y85" s="72" t="str">
        <f t="shared" si="57"/>
        <v/>
      </c>
      <c r="Z85" s="72" t="str">
        <f t="shared" si="74"/>
        <v/>
      </c>
      <c r="AA85" s="39"/>
      <c r="AB85" s="72" t="str">
        <f t="shared" si="58"/>
        <v/>
      </c>
      <c r="AC85" s="72" t="str">
        <f t="shared" si="75"/>
        <v/>
      </c>
      <c r="AD85" s="39"/>
      <c r="AE85" s="72" t="str">
        <f t="shared" si="59"/>
        <v/>
      </c>
      <c r="AF85" s="72" t="str">
        <f t="shared" si="76"/>
        <v/>
      </c>
      <c r="AG85" s="39"/>
      <c r="AH85" s="72" t="str">
        <f t="shared" si="60"/>
        <v/>
      </c>
      <c r="AI85" s="72" t="str">
        <f t="shared" si="77"/>
        <v/>
      </c>
      <c r="AJ85" s="39"/>
      <c r="AK85" s="72" t="str">
        <f t="shared" si="61"/>
        <v/>
      </c>
      <c r="AL85" s="72" t="str">
        <f t="shared" si="78"/>
        <v/>
      </c>
      <c r="AM85" s="39"/>
      <c r="AN85" s="72" t="str">
        <f t="shared" si="62"/>
        <v/>
      </c>
      <c r="AO85" s="72" t="str">
        <f t="shared" si="79"/>
        <v/>
      </c>
      <c r="AP85" s="39"/>
      <c r="AQ85" s="72" t="str">
        <f t="shared" si="63"/>
        <v/>
      </c>
      <c r="AR85" s="72" t="str">
        <f t="shared" si="80"/>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64"/>
        <v/>
      </c>
      <c r="AW85" s="72" t="str">
        <f t="shared" si="81"/>
        <v/>
      </c>
      <c r="AX85" s="39"/>
      <c r="AY85" s="40" t="str">
        <f>IF(ISERROR(IF($K85&lt;=$F$15,VLOOKUP($I85,'表4）CO2価格'!$A$7:$E$67,VLOOKUP($F$48,'表4）CO2価格'!$H$10:$I$12,2,0),0)*$F$8/1000,"")),0,IF($K85&lt;=$F$15,VLOOKUP($I85,'表4）CO2価格'!$A$7:$E$67,VLOOKUP($F$48,'表4）CO2価格'!$H$10:$I$12,2,0),0)*$F$8/1000,""))</f>
        <v/>
      </c>
      <c r="AZ85" s="39"/>
      <c r="BA85" s="42" t="str">
        <f t="shared" si="65"/>
        <v/>
      </c>
      <c r="BB85" s="72" t="str">
        <f t="shared" si="82"/>
        <v/>
      </c>
      <c r="BC85" s="39"/>
      <c r="BD85" s="72" t="str">
        <f t="shared" si="66"/>
        <v/>
      </c>
      <c r="BE85" s="72" t="str">
        <f t="shared" si="83"/>
        <v/>
      </c>
      <c r="BF85" s="39"/>
      <c r="BG85" s="42" t="str">
        <f t="shared" si="67"/>
        <v/>
      </c>
      <c r="BH85" s="72" t="str">
        <f t="shared" si="84"/>
        <v/>
      </c>
      <c r="BI85" s="39"/>
      <c r="BJ85" s="40" t="str">
        <f t="shared" si="85"/>
        <v/>
      </c>
      <c r="BK85" s="157" t="str">
        <f t="shared" si="86"/>
        <v/>
      </c>
      <c r="BL85" s="157" t="str">
        <f t="shared" si="68"/>
        <v/>
      </c>
      <c r="BM85" s="72"/>
      <c r="BN85" s="72" t="str">
        <f t="shared" si="87"/>
        <v/>
      </c>
      <c r="BO85" s="72" t="str">
        <f t="shared" si="88"/>
        <v/>
      </c>
      <c r="BP85" s="39"/>
      <c r="BQ85" s="72" t="str">
        <f t="shared" si="69"/>
        <v/>
      </c>
      <c r="BR85" s="72" t="str">
        <f t="shared" si="89"/>
        <v/>
      </c>
    </row>
    <row r="86" spans="4:70" x14ac:dyDescent="0.15">
      <c r="F86" s="93"/>
      <c r="I86" s="322">
        <f t="shared" si="90"/>
        <v>2091</v>
      </c>
      <c r="J86" s="71"/>
      <c r="K86" s="71">
        <f t="shared" si="91"/>
        <v>72</v>
      </c>
      <c r="L86" s="71"/>
      <c r="M86" s="7">
        <f t="shared" si="54"/>
        <v>0.1190473743404982</v>
      </c>
      <c r="N86" s="71"/>
      <c r="O86" s="10" t="str">
        <f t="shared" si="70"/>
        <v/>
      </c>
      <c r="P86" s="29" t="str">
        <f t="shared" si="55"/>
        <v/>
      </c>
      <c r="Q86" s="71"/>
      <c r="R86" s="10" t="str">
        <f t="shared" si="71"/>
        <v/>
      </c>
      <c r="S86" s="71"/>
      <c r="T86" s="10" t="str">
        <f t="shared" si="72"/>
        <v/>
      </c>
      <c r="U86" s="71"/>
      <c r="V86" s="10" t="str">
        <f t="shared" si="56"/>
        <v/>
      </c>
      <c r="W86" s="10" t="str">
        <f t="shared" si="73"/>
        <v/>
      </c>
      <c r="X86" s="71"/>
      <c r="Y86" s="10" t="str">
        <f t="shared" si="57"/>
        <v/>
      </c>
      <c r="Z86" s="10" t="str">
        <f t="shared" si="74"/>
        <v/>
      </c>
      <c r="AA86" s="71"/>
      <c r="AB86" s="10" t="str">
        <f t="shared" si="58"/>
        <v/>
      </c>
      <c r="AC86" s="10" t="str">
        <f t="shared" si="75"/>
        <v/>
      </c>
      <c r="AD86" s="71"/>
      <c r="AE86" s="10" t="str">
        <f t="shared" si="59"/>
        <v/>
      </c>
      <c r="AF86" s="10" t="str">
        <f t="shared" si="76"/>
        <v/>
      </c>
      <c r="AG86" s="71"/>
      <c r="AH86" s="10" t="str">
        <f t="shared" si="60"/>
        <v/>
      </c>
      <c r="AI86" s="10" t="str">
        <f t="shared" si="77"/>
        <v/>
      </c>
      <c r="AJ86" s="71"/>
      <c r="AK86" s="10" t="str">
        <f t="shared" si="61"/>
        <v/>
      </c>
      <c r="AL86" s="10" t="str">
        <f t="shared" si="78"/>
        <v/>
      </c>
      <c r="AM86" s="71"/>
      <c r="AN86" s="10" t="str">
        <f t="shared" si="62"/>
        <v/>
      </c>
      <c r="AO86" s="10" t="str">
        <f t="shared" si="79"/>
        <v/>
      </c>
      <c r="AP86" s="71"/>
      <c r="AQ86" s="10" t="str">
        <f t="shared" si="63"/>
        <v/>
      </c>
      <c r="AR86" s="10" t="str">
        <f t="shared" si="80"/>
        <v/>
      </c>
      <c r="AS86" s="71"/>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U86" s="71"/>
      <c r="AV86" s="10" t="str">
        <f t="shared" si="64"/>
        <v/>
      </c>
      <c r="AW86" s="10" t="str">
        <f t="shared" si="81"/>
        <v/>
      </c>
      <c r="AX86" s="71"/>
      <c r="AY86" s="7" t="str">
        <f>IF(ISERROR(IF($K86&lt;=$F$15,VLOOKUP($I86,'表4）CO2価格'!$A$7:$E$67,VLOOKUP($F$48,'表4）CO2価格'!$H$10:$I$12,2,0),0)*$F$8/1000,"")),0,IF($K86&lt;=$F$15,VLOOKUP($I86,'表4）CO2価格'!$A$7:$E$67,VLOOKUP($F$48,'表4）CO2価格'!$H$10:$I$12,2,0),0)*$F$8/1000,""))</f>
        <v/>
      </c>
      <c r="AZ86" s="71"/>
      <c r="BA86" s="11" t="str">
        <f t="shared" si="65"/>
        <v/>
      </c>
      <c r="BB86" s="10" t="str">
        <f t="shared" si="82"/>
        <v/>
      </c>
      <c r="BC86" s="71"/>
      <c r="BD86" s="10" t="str">
        <f t="shared" si="66"/>
        <v/>
      </c>
      <c r="BE86" s="10" t="str">
        <f t="shared" si="83"/>
        <v/>
      </c>
      <c r="BF86" s="71"/>
      <c r="BG86" s="11" t="str">
        <f t="shared" si="67"/>
        <v/>
      </c>
      <c r="BH86" s="10" t="str">
        <f t="shared" si="84"/>
        <v/>
      </c>
      <c r="BJ86" s="7" t="str">
        <f t="shared" si="85"/>
        <v/>
      </c>
      <c r="BK86" s="158" t="str">
        <f t="shared" si="86"/>
        <v/>
      </c>
      <c r="BL86" s="158" t="str">
        <f t="shared" si="68"/>
        <v/>
      </c>
      <c r="BM86" s="10"/>
      <c r="BN86" s="10" t="str">
        <f t="shared" si="87"/>
        <v/>
      </c>
      <c r="BO86" s="10" t="str">
        <f t="shared" si="88"/>
        <v/>
      </c>
      <c r="BQ86" s="10" t="str">
        <f t="shared" si="69"/>
        <v/>
      </c>
      <c r="BR86" s="10" t="str">
        <f t="shared" si="89"/>
        <v/>
      </c>
    </row>
    <row r="87" spans="4:70" x14ac:dyDescent="0.15">
      <c r="E87" s="81" t="s">
        <v>141</v>
      </c>
      <c r="F87" s="91">
        <f>AI116/$BR$116</f>
        <v>0.10847275780646391</v>
      </c>
      <c r="G87" s="81" t="s">
        <v>132</v>
      </c>
      <c r="I87" s="38">
        <f t="shared" si="90"/>
        <v>2092</v>
      </c>
      <c r="J87" s="39"/>
      <c r="K87" s="39">
        <f t="shared" si="91"/>
        <v>73</v>
      </c>
      <c r="L87" s="39"/>
      <c r="M87" s="40">
        <f t="shared" si="54"/>
        <v>0.11557997508786232</v>
      </c>
      <c r="N87" s="39"/>
      <c r="O87" s="72" t="str">
        <f t="shared" si="70"/>
        <v/>
      </c>
      <c r="P87" s="41" t="str">
        <f t="shared" si="55"/>
        <v/>
      </c>
      <c r="Q87" s="39"/>
      <c r="R87" s="72" t="str">
        <f t="shared" si="71"/>
        <v/>
      </c>
      <c r="S87" s="39"/>
      <c r="T87" s="72" t="str">
        <f t="shared" si="72"/>
        <v/>
      </c>
      <c r="U87" s="39"/>
      <c r="V87" s="72" t="str">
        <f t="shared" si="56"/>
        <v/>
      </c>
      <c r="W87" s="72" t="str">
        <f t="shared" si="73"/>
        <v/>
      </c>
      <c r="X87" s="39"/>
      <c r="Y87" s="72" t="str">
        <f t="shared" si="57"/>
        <v/>
      </c>
      <c r="Z87" s="72" t="str">
        <f t="shared" si="74"/>
        <v/>
      </c>
      <c r="AA87" s="39"/>
      <c r="AB87" s="72" t="str">
        <f t="shared" si="58"/>
        <v/>
      </c>
      <c r="AC87" s="72" t="str">
        <f t="shared" si="75"/>
        <v/>
      </c>
      <c r="AD87" s="39"/>
      <c r="AE87" s="72" t="str">
        <f t="shared" si="59"/>
        <v/>
      </c>
      <c r="AF87" s="72" t="str">
        <f t="shared" si="76"/>
        <v/>
      </c>
      <c r="AG87" s="39"/>
      <c r="AH87" s="72" t="str">
        <f t="shared" si="60"/>
        <v/>
      </c>
      <c r="AI87" s="72" t="str">
        <f t="shared" si="77"/>
        <v/>
      </c>
      <c r="AJ87" s="39"/>
      <c r="AK87" s="72" t="str">
        <f t="shared" si="61"/>
        <v/>
      </c>
      <c r="AL87" s="72" t="str">
        <f t="shared" si="78"/>
        <v/>
      </c>
      <c r="AM87" s="39"/>
      <c r="AN87" s="72" t="str">
        <f t="shared" si="62"/>
        <v/>
      </c>
      <c r="AO87" s="72" t="str">
        <f t="shared" si="79"/>
        <v/>
      </c>
      <c r="AP87" s="39"/>
      <c r="AQ87" s="72" t="str">
        <f t="shared" si="63"/>
        <v/>
      </c>
      <c r="AR87" s="72" t="str">
        <f t="shared" si="80"/>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64"/>
        <v/>
      </c>
      <c r="AW87" s="72" t="str">
        <f t="shared" si="81"/>
        <v/>
      </c>
      <c r="AX87" s="39"/>
      <c r="AY87" s="40" t="str">
        <f>IF(ISERROR(IF($K87&lt;=$F$15,VLOOKUP($I87,'表4）CO2価格'!$A$7:$E$67,VLOOKUP($F$48,'表4）CO2価格'!$H$10:$I$12,2,0),0)*$F$8/1000,"")),0,IF($K87&lt;=$F$15,VLOOKUP($I87,'表4）CO2価格'!$A$7:$E$67,VLOOKUP($F$48,'表4）CO2価格'!$H$10:$I$12,2,0),0)*$F$8/1000,""))</f>
        <v/>
      </c>
      <c r="AZ87" s="39"/>
      <c r="BA87" s="42" t="str">
        <f t="shared" si="65"/>
        <v/>
      </c>
      <c r="BB87" s="72" t="str">
        <f t="shared" si="82"/>
        <v/>
      </c>
      <c r="BC87" s="39"/>
      <c r="BD87" s="72" t="str">
        <f t="shared" si="66"/>
        <v/>
      </c>
      <c r="BE87" s="72" t="str">
        <f t="shared" si="83"/>
        <v/>
      </c>
      <c r="BF87" s="39"/>
      <c r="BG87" s="42" t="str">
        <f t="shared" si="67"/>
        <v/>
      </c>
      <c r="BH87" s="72" t="str">
        <f t="shared" si="84"/>
        <v/>
      </c>
      <c r="BI87" s="39"/>
      <c r="BJ87" s="40" t="str">
        <f t="shared" si="85"/>
        <v/>
      </c>
      <c r="BK87" s="157" t="str">
        <f t="shared" si="86"/>
        <v/>
      </c>
      <c r="BL87" s="157" t="str">
        <f t="shared" si="68"/>
        <v/>
      </c>
      <c r="BM87" s="72"/>
      <c r="BN87" s="72" t="str">
        <f t="shared" si="87"/>
        <v/>
      </c>
      <c r="BO87" s="72" t="str">
        <f t="shared" si="88"/>
        <v/>
      </c>
      <c r="BP87" s="39"/>
      <c r="BQ87" s="72" t="str">
        <f t="shared" si="69"/>
        <v/>
      </c>
      <c r="BR87" s="72" t="str">
        <f t="shared" si="89"/>
        <v/>
      </c>
    </row>
    <row r="88" spans="4:70" x14ac:dyDescent="0.15">
      <c r="E88" s="81" t="s">
        <v>120</v>
      </c>
      <c r="F88" s="91">
        <f>AL116/$BR$116</f>
        <v>1.01057165636422</v>
      </c>
      <c r="G88" s="81" t="s">
        <v>132</v>
      </c>
      <c r="I88" s="322">
        <f t="shared" si="90"/>
        <v>2093</v>
      </c>
      <c r="J88" s="71"/>
      <c r="K88" s="71">
        <f t="shared" si="91"/>
        <v>74</v>
      </c>
      <c r="L88" s="71"/>
      <c r="M88" s="7">
        <f t="shared" si="54"/>
        <v>0.11221356804646829</v>
      </c>
      <c r="N88" s="71"/>
      <c r="O88" s="10" t="str">
        <f t="shared" si="70"/>
        <v/>
      </c>
      <c r="P88" s="29" t="str">
        <f t="shared" si="55"/>
        <v/>
      </c>
      <c r="Q88" s="71"/>
      <c r="R88" s="10" t="str">
        <f t="shared" si="71"/>
        <v/>
      </c>
      <c r="S88" s="71"/>
      <c r="T88" s="10" t="str">
        <f t="shared" si="72"/>
        <v/>
      </c>
      <c r="U88" s="71"/>
      <c r="V88" s="10" t="str">
        <f t="shared" si="56"/>
        <v/>
      </c>
      <c r="W88" s="10" t="str">
        <f t="shared" si="73"/>
        <v/>
      </c>
      <c r="X88" s="71"/>
      <c r="Y88" s="10" t="str">
        <f t="shared" si="57"/>
        <v/>
      </c>
      <c r="Z88" s="10" t="str">
        <f t="shared" si="74"/>
        <v/>
      </c>
      <c r="AA88" s="71"/>
      <c r="AB88" s="10" t="str">
        <f t="shared" si="58"/>
        <v/>
      </c>
      <c r="AC88" s="10" t="str">
        <f t="shared" si="75"/>
        <v/>
      </c>
      <c r="AD88" s="71"/>
      <c r="AE88" s="10" t="str">
        <f t="shared" si="59"/>
        <v/>
      </c>
      <c r="AF88" s="10" t="str">
        <f t="shared" si="76"/>
        <v/>
      </c>
      <c r="AG88" s="71"/>
      <c r="AH88" s="10" t="str">
        <f t="shared" si="60"/>
        <v/>
      </c>
      <c r="AI88" s="10" t="str">
        <f t="shared" si="77"/>
        <v/>
      </c>
      <c r="AJ88" s="71"/>
      <c r="AK88" s="10" t="str">
        <f t="shared" si="61"/>
        <v/>
      </c>
      <c r="AL88" s="10" t="str">
        <f t="shared" si="78"/>
        <v/>
      </c>
      <c r="AM88" s="71"/>
      <c r="AN88" s="10" t="str">
        <f t="shared" si="62"/>
        <v/>
      </c>
      <c r="AO88" s="10" t="str">
        <f t="shared" si="79"/>
        <v/>
      </c>
      <c r="AP88" s="71"/>
      <c r="AQ88" s="10" t="str">
        <f t="shared" si="63"/>
        <v/>
      </c>
      <c r="AR88" s="10" t="str">
        <f t="shared" si="80"/>
        <v/>
      </c>
      <c r="AS88" s="71"/>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U88" s="71"/>
      <c r="AV88" s="10" t="str">
        <f t="shared" si="64"/>
        <v/>
      </c>
      <c r="AW88" s="10" t="str">
        <f t="shared" si="81"/>
        <v/>
      </c>
      <c r="AX88" s="71"/>
      <c r="AY88" s="7" t="str">
        <f>IF(ISERROR(IF($K88&lt;=$F$15,VLOOKUP($I88,'表4）CO2価格'!$A$7:$E$67,VLOOKUP($F$48,'表4）CO2価格'!$H$10:$I$12,2,0),0)*$F$8/1000,"")),0,IF($K88&lt;=$F$15,VLOOKUP($I88,'表4）CO2価格'!$A$7:$E$67,VLOOKUP($F$48,'表4）CO2価格'!$H$10:$I$12,2,0),0)*$F$8/1000,""))</f>
        <v/>
      </c>
      <c r="AZ88" s="71"/>
      <c r="BA88" s="11" t="str">
        <f t="shared" si="65"/>
        <v/>
      </c>
      <c r="BB88" s="10" t="str">
        <f t="shared" si="82"/>
        <v/>
      </c>
      <c r="BC88" s="71"/>
      <c r="BD88" s="10" t="str">
        <f t="shared" si="66"/>
        <v/>
      </c>
      <c r="BE88" s="10" t="str">
        <f t="shared" si="83"/>
        <v/>
      </c>
      <c r="BF88" s="71"/>
      <c r="BG88" s="11" t="str">
        <f t="shared" si="67"/>
        <v/>
      </c>
      <c r="BH88" s="10" t="str">
        <f t="shared" si="84"/>
        <v/>
      </c>
      <c r="BJ88" s="7" t="str">
        <f t="shared" si="85"/>
        <v/>
      </c>
      <c r="BK88" s="158" t="str">
        <f t="shared" si="86"/>
        <v/>
      </c>
      <c r="BL88" s="158" t="str">
        <f t="shared" si="68"/>
        <v/>
      </c>
      <c r="BM88" s="10"/>
      <c r="BN88" s="10" t="str">
        <f t="shared" si="87"/>
        <v/>
      </c>
      <c r="BO88" s="10" t="str">
        <f t="shared" si="88"/>
        <v/>
      </c>
      <c r="BQ88" s="10" t="str">
        <f t="shared" si="69"/>
        <v/>
      </c>
      <c r="BR88" s="10" t="str">
        <f t="shared" si="89"/>
        <v/>
      </c>
    </row>
    <row r="89" spans="4:70" x14ac:dyDescent="0.15">
      <c r="E89" s="81" t="s">
        <v>122</v>
      </c>
      <c r="F89" s="91">
        <f>AO116/$BR$116</f>
        <v>0.92635735166720168</v>
      </c>
      <c r="G89" s="81" t="s">
        <v>132</v>
      </c>
      <c r="I89" s="38">
        <f t="shared" si="90"/>
        <v>2094</v>
      </c>
      <c r="J89" s="39"/>
      <c r="K89" s="39">
        <f t="shared" si="91"/>
        <v>75</v>
      </c>
      <c r="L89" s="39"/>
      <c r="M89" s="40">
        <f t="shared" si="54"/>
        <v>0.10894521169560026</v>
      </c>
      <c r="N89" s="39"/>
      <c r="O89" s="72" t="str">
        <f t="shared" si="70"/>
        <v/>
      </c>
      <c r="P89" s="41" t="str">
        <f t="shared" si="55"/>
        <v/>
      </c>
      <c r="Q89" s="39"/>
      <c r="R89" s="72" t="str">
        <f t="shared" si="71"/>
        <v/>
      </c>
      <c r="S89" s="39"/>
      <c r="T89" s="72" t="str">
        <f t="shared" si="72"/>
        <v/>
      </c>
      <c r="U89" s="39"/>
      <c r="V89" s="72" t="str">
        <f t="shared" si="56"/>
        <v/>
      </c>
      <c r="W89" s="72" t="str">
        <f t="shared" si="73"/>
        <v/>
      </c>
      <c r="X89" s="39"/>
      <c r="Y89" s="72" t="str">
        <f t="shared" si="57"/>
        <v/>
      </c>
      <c r="Z89" s="72" t="str">
        <f t="shared" si="74"/>
        <v/>
      </c>
      <c r="AA89" s="39"/>
      <c r="AB89" s="72" t="str">
        <f t="shared" si="58"/>
        <v/>
      </c>
      <c r="AC89" s="72" t="str">
        <f t="shared" si="75"/>
        <v/>
      </c>
      <c r="AD89" s="39"/>
      <c r="AE89" s="72" t="str">
        <f t="shared" si="59"/>
        <v/>
      </c>
      <c r="AF89" s="72" t="str">
        <f t="shared" si="76"/>
        <v/>
      </c>
      <c r="AG89" s="39"/>
      <c r="AH89" s="72" t="str">
        <f t="shared" si="60"/>
        <v/>
      </c>
      <c r="AI89" s="72" t="str">
        <f t="shared" si="77"/>
        <v/>
      </c>
      <c r="AJ89" s="39"/>
      <c r="AK89" s="72" t="str">
        <f t="shared" si="61"/>
        <v/>
      </c>
      <c r="AL89" s="72" t="str">
        <f t="shared" si="78"/>
        <v/>
      </c>
      <c r="AM89" s="39"/>
      <c r="AN89" s="72" t="str">
        <f t="shared" si="62"/>
        <v/>
      </c>
      <c r="AO89" s="72" t="str">
        <f t="shared" si="79"/>
        <v/>
      </c>
      <c r="AP89" s="39"/>
      <c r="AQ89" s="72" t="str">
        <f t="shared" si="63"/>
        <v/>
      </c>
      <c r="AR89" s="72" t="str">
        <f t="shared" si="80"/>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64"/>
        <v/>
      </c>
      <c r="AW89" s="72" t="str">
        <f t="shared" si="81"/>
        <v/>
      </c>
      <c r="AX89" s="39"/>
      <c r="AY89" s="40" t="str">
        <f>IF(ISERROR(IF($K89&lt;=$F$15,VLOOKUP($I89,'表4）CO2価格'!$A$7:$E$67,VLOOKUP($F$48,'表4）CO2価格'!$H$10:$I$12,2,0),0)*$F$8/1000,"")),0,IF($K89&lt;=$F$15,VLOOKUP($I89,'表4）CO2価格'!$A$7:$E$67,VLOOKUP($F$48,'表4）CO2価格'!$H$10:$I$12,2,0),0)*$F$8/1000,""))</f>
        <v/>
      </c>
      <c r="AZ89" s="39"/>
      <c r="BA89" s="42" t="str">
        <f t="shared" si="65"/>
        <v/>
      </c>
      <c r="BB89" s="72" t="str">
        <f t="shared" si="82"/>
        <v/>
      </c>
      <c r="BC89" s="39"/>
      <c r="BD89" s="72" t="str">
        <f t="shared" si="66"/>
        <v/>
      </c>
      <c r="BE89" s="72" t="str">
        <f t="shared" si="83"/>
        <v/>
      </c>
      <c r="BF89" s="39"/>
      <c r="BG89" s="42" t="str">
        <f t="shared" si="67"/>
        <v/>
      </c>
      <c r="BH89" s="72" t="str">
        <f t="shared" si="84"/>
        <v/>
      </c>
      <c r="BI89" s="39"/>
      <c r="BJ89" s="40" t="str">
        <f t="shared" si="85"/>
        <v/>
      </c>
      <c r="BK89" s="157" t="str">
        <f t="shared" si="86"/>
        <v/>
      </c>
      <c r="BL89" s="157" t="str">
        <f t="shared" si="68"/>
        <v/>
      </c>
      <c r="BM89" s="72"/>
      <c r="BN89" s="72" t="str">
        <f t="shared" si="87"/>
        <v/>
      </c>
      <c r="BO89" s="72" t="str">
        <f t="shared" si="88"/>
        <v/>
      </c>
      <c r="BP89" s="39"/>
      <c r="BQ89" s="72" t="str">
        <f t="shared" si="69"/>
        <v/>
      </c>
      <c r="BR89" s="72" t="str">
        <f t="shared" si="89"/>
        <v/>
      </c>
    </row>
    <row r="90" spans="4:70" x14ac:dyDescent="0.15">
      <c r="E90" s="81" t="s">
        <v>142</v>
      </c>
      <c r="F90" s="91">
        <f>AR116/$BR$116</f>
        <v>0.24953901543222201</v>
      </c>
      <c r="G90" s="81" t="s">
        <v>132</v>
      </c>
      <c r="I90" s="322">
        <f t="shared" si="90"/>
        <v>2095</v>
      </c>
      <c r="J90" s="71"/>
      <c r="K90" s="71">
        <f t="shared" si="91"/>
        <v>76</v>
      </c>
      <c r="L90" s="71"/>
      <c r="M90" s="7">
        <f t="shared" si="54"/>
        <v>0.10577205018990318</v>
      </c>
      <c r="N90" s="71"/>
      <c r="O90" s="10" t="str">
        <f t="shared" si="70"/>
        <v/>
      </c>
      <c r="P90" s="29" t="str">
        <f t="shared" si="55"/>
        <v/>
      </c>
      <c r="Q90" s="71"/>
      <c r="R90" s="10" t="str">
        <f t="shared" si="71"/>
        <v/>
      </c>
      <c r="S90" s="71"/>
      <c r="T90" s="10" t="str">
        <f t="shared" si="72"/>
        <v/>
      </c>
      <c r="U90" s="71"/>
      <c r="V90" s="10" t="str">
        <f t="shared" si="56"/>
        <v/>
      </c>
      <c r="W90" s="10" t="str">
        <f t="shared" si="73"/>
        <v/>
      </c>
      <c r="X90" s="71"/>
      <c r="Y90" s="10" t="str">
        <f t="shared" si="57"/>
        <v/>
      </c>
      <c r="Z90" s="10" t="str">
        <f t="shared" si="74"/>
        <v/>
      </c>
      <c r="AA90" s="71"/>
      <c r="AB90" s="10" t="str">
        <f t="shared" si="58"/>
        <v/>
      </c>
      <c r="AC90" s="10" t="str">
        <f t="shared" si="75"/>
        <v/>
      </c>
      <c r="AD90" s="71"/>
      <c r="AE90" s="10" t="str">
        <f t="shared" si="59"/>
        <v/>
      </c>
      <c r="AF90" s="10" t="str">
        <f t="shared" si="76"/>
        <v/>
      </c>
      <c r="AG90" s="71"/>
      <c r="AH90" s="10" t="str">
        <f t="shared" si="60"/>
        <v/>
      </c>
      <c r="AI90" s="10" t="str">
        <f t="shared" si="77"/>
        <v/>
      </c>
      <c r="AJ90" s="71"/>
      <c r="AK90" s="10" t="str">
        <f t="shared" si="61"/>
        <v/>
      </c>
      <c r="AL90" s="10" t="str">
        <f t="shared" si="78"/>
        <v/>
      </c>
      <c r="AM90" s="71"/>
      <c r="AN90" s="10" t="str">
        <f t="shared" si="62"/>
        <v/>
      </c>
      <c r="AO90" s="10" t="str">
        <f t="shared" si="79"/>
        <v/>
      </c>
      <c r="AP90" s="71"/>
      <c r="AQ90" s="10" t="str">
        <f t="shared" si="63"/>
        <v/>
      </c>
      <c r="AR90" s="10" t="str">
        <f t="shared" si="80"/>
        <v/>
      </c>
      <c r="AS90" s="71"/>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U90" s="71"/>
      <c r="AV90" s="10" t="str">
        <f t="shared" si="64"/>
        <v/>
      </c>
      <c r="AW90" s="10" t="str">
        <f t="shared" si="81"/>
        <v/>
      </c>
      <c r="AX90" s="71"/>
      <c r="AY90" s="7" t="str">
        <f>IF(ISERROR(IF($K90&lt;=$F$15,VLOOKUP($I90,'表4）CO2価格'!$A$7:$E$67,VLOOKUP($F$48,'表4）CO2価格'!$H$10:$I$12,2,0),0)*$F$8/1000,"")),0,IF($K90&lt;=$F$15,VLOOKUP($I90,'表4）CO2価格'!$A$7:$E$67,VLOOKUP($F$48,'表4）CO2価格'!$H$10:$I$12,2,0),0)*$F$8/1000,""))</f>
        <v/>
      </c>
      <c r="AZ90" s="71"/>
      <c r="BA90" s="11" t="str">
        <f t="shared" si="65"/>
        <v/>
      </c>
      <c r="BB90" s="10" t="str">
        <f t="shared" si="82"/>
        <v/>
      </c>
      <c r="BC90" s="71"/>
      <c r="BD90" s="10" t="str">
        <f t="shared" si="66"/>
        <v/>
      </c>
      <c r="BE90" s="10" t="str">
        <f t="shared" si="83"/>
        <v/>
      </c>
      <c r="BF90" s="71"/>
      <c r="BG90" s="11" t="str">
        <f t="shared" si="67"/>
        <v/>
      </c>
      <c r="BH90" s="10" t="str">
        <f t="shared" si="84"/>
        <v/>
      </c>
      <c r="BJ90" s="7" t="str">
        <f t="shared" si="85"/>
        <v/>
      </c>
      <c r="BK90" s="158" t="str">
        <f t="shared" si="86"/>
        <v/>
      </c>
      <c r="BL90" s="158" t="str">
        <f t="shared" si="68"/>
        <v/>
      </c>
      <c r="BM90" s="10"/>
      <c r="BN90" s="10" t="str">
        <f t="shared" si="87"/>
        <v/>
      </c>
      <c r="BO90" s="10" t="str">
        <f t="shared" si="88"/>
        <v/>
      </c>
      <c r="BQ90" s="10" t="str">
        <f t="shared" si="69"/>
        <v/>
      </c>
      <c r="BR90" s="10" t="str">
        <f t="shared" si="89"/>
        <v/>
      </c>
    </row>
    <row r="91" spans="4:70" x14ac:dyDescent="0.15">
      <c r="F91" s="93"/>
      <c r="I91" s="38">
        <f t="shared" si="90"/>
        <v>2096</v>
      </c>
      <c r="J91" s="39"/>
      <c r="K91" s="39">
        <f t="shared" si="91"/>
        <v>77</v>
      </c>
      <c r="L91" s="39"/>
      <c r="M91" s="40">
        <f t="shared" si="54"/>
        <v>0.10269131086398368</v>
      </c>
      <c r="N91" s="39"/>
      <c r="O91" s="72" t="str">
        <f t="shared" si="70"/>
        <v/>
      </c>
      <c r="P91" s="41" t="str">
        <f t="shared" si="55"/>
        <v/>
      </c>
      <c r="Q91" s="39"/>
      <c r="R91" s="72" t="str">
        <f t="shared" si="71"/>
        <v/>
      </c>
      <c r="S91" s="39"/>
      <c r="T91" s="72" t="str">
        <f t="shared" si="72"/>
        <v/>
      </c>
      <c r="U91" s="39"/>
      <c r="V91" s="72" t="str">
        <f t="shared" si="56"/>
        <v/>
      </c>
      <c r="W91" s="72" t="str">
        <f t="shared" si="73"/>
        <v/>
      </c>
      <c r="X91" s="39"/>
      <c r="Y91" s="72" t="str">
        <f t="shared" si="57"/>
        <v/>
      </c>
      <c r="Z91" s="72" t="str">
        <f t="shared" si="74"/>
        <v/>
      </c>
      <c r="AA91" s="39"/>
      <c r="AB91" s="72" t="str">
        <f t="shared" si="58"/>
        <v/>
      </c>
      <c r="AC91" s="72" t="str">
        <f t="shared" si="75"/>
        <v/>
      </c>
      <c r="AD91" s="39"/>
      <c r="AE91" s="72" t="str">
        <f t="shared" si="59"/>
        <v/>
      </c>
      <c r="AF91" s="72" t="str">
        <f t="shared" si="76"/>
        <v/>
      </c>
      <c r="AG91" s="39"/>
      <c r="AH91" s="72" t="str">
        <f t="shared" si="60"/>
        <v/>
      </c>
      <c r="AI91" s="72" t="str">
        <f t="shared" si="77"/>
        <v/>
      </c>
      <c r="AJ91" s="39"/>
      <c r="AK91" s="72" t="str">
        <f t="shared" si="61"/>
        <v/>
      </c>
      <c r="AL91" s="72" t="str">
        <f t="shared" si="78"/>
        <v/>
      </c>
      <c r="AM91" s="39"/>
      <c r="AN91" s="72" t="str">
        <f t="shared" si="62"/>
        <v/>
      </c>
      <c r="AO91" s="72" t="str">
        <f t="shared" si="79"/>
        <v/>
      </c>
      <c r="AP91" s="39"/>
      <c r="AQ91" s="72" t="str">
        <f t="shared" si="63"/>
        <v/>
      </c>
      <c r="AR91" s="72" t="str">
        <f t="shared" si="80"/>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64"/>
        <v/>
      </c>
      <c r="AW91" s="72" t="str">
        <f t="shared" si="81"/>
        <v/>
      </c>
      <c r="AX91" s="39"/>
      <c r="AY91" s="40" t="str">
        <f>IF(ISERROR(IF($K91&lt;=$F$15,VLOOKUP($I91,'表4）CO2価格'!$A$7:$E$67,VLOOKUP($F$48,'表4）CO2価格'!$H$10:$I$12,2,0),0)*$F$8/1000,"")),0,IF($K91&lt;=$F$15,VLOOKUP($I91,'表4）CO2価格'!$A$7:$E$67,VLOOKUP($F$48,'表4）CO2価格'!$H$10:$I$12,2,0),0)*$F$8/1000,""))</f>
        <v/>
      </c>
      <c r="AZ91" s="39"/>
      <c r="BA91" s="42" t="str">
        <f t="shared" si="65"/>
        <v/>
      </c>
      <c r="BB91" s="72" t="str">
        <f t="shared" si="82"/>
        <v/>
      </c>
      <c r="BC91" s="39"/>
      <c r="BD91" s="72" t="str">
        <f t="shared" si="66"/>
        <v/>
      </c>
      <c r="BE91" s="72" t="str">
        <f t="shared" si="83"/>
        <v/>
      </c>
      <c r="BF91" s="39"/>
      <c r="BG91" s="42" t="str">
        <f t="shared" si="67"/>
        <v/>
      </c>
      <c r="BH91" s="72" t="str">
        <f t="shared" si="84"/>
        <v/>
      </c>
      <c r="BI91" s="39"/>
      <c r="BJ91" s="40" t="str">
        <f t="shared" si="85"/>
        <v/>
      </c>
      <c r="BK91" s="157" t="str">
        <f t="shared" si="86"/>
        <v/>
      </c>
      <c r="BL91" s="157" t="str">
        <f t="shared" si="68"/>
        <v/>
      </c>
      <c r="BM91" s="72"/>
      <c r="BN91" s="72" t="str">
        <f t="shared" si="87"/>
        <v/>
      </c>
      <c r="BO91" s="72" t="str">
        <f t="shared" si="88"/>
        <v/>
      </c>
      <c r="BP91" s="39"/>
      <c r="BQ91" s="72" t="str">
        <f t="shared" si="69"/>
        <v/>
      </c>
      <c r="BR91" s="72" t="str">
        <f t="shared" si="89"/>
        <v/>
      </c>
    </row>
    <row r="92" spans="4:70" ht="15" x14ac:dyDescent="0.15">
      <c r="D92" s="116" t="s">
        <v>196</v>
      </c>
      <c r="F92" s="94">
        <f>SUBTOTAL(9,F96:F97)</f>
        <v>4.3323223802273514</v>
      </c>
      <c r="I92" s="322">
        <f t="shared" si="90"/>
        <v>2097</v>
      </c>
      <c r="J92" s="71"/>
      <c r="K92" s="71">
        <f t="shared" si="91"/>
        <v>78</v>
      </c>
      <c r="L92" s="71"/>
      <c r="M92" s="7">
        <f t="shared" si="54"/>
        <v>9.9700301809692873E-2</v>
      </c>
      <c r="N92" s="71"/>
      <c r="O92" s="10" t="str">
        <f t="shared" si="70"/>
        <v/>
      </c>
      <c r="P92" s="29" t="str">
        <f t="shared" si="55"/>
        <v/>
      </c>
      <c r="Q92" s="71"/>
      <c r="R92" s="10" t="str">
        <f t="shared" si="71"/>
        <v/>
      </c>
      <c r="S92" s="71"/>
      <c r="T92" s="10" t="str">
        <f t="shared" si="72"/>
        <v/>
      </c>
      <c r="U92" s="71"/>
      <c r="V92" s="10" t="str">
        <f t="shared" si="56"/>
        <v/>
      </c>
      <c r="W92" s="10" t="str">
        <f t="shared" si="73"/>
        <v/>
      </c>
      <c r="X92" s="71"/>
      <c r="Y92" s="10" t="str">
        <f t="shared" si="57"/>
        <v/>
      </c>
      <c r="Z92" s="10" t="str">
        <f t="shared" si="74"/>
        <v/>
      </c>
      <c r="AA92" s="71"/>
      <c r="AB92" s="10" t="str">
        <f t="shared" si="58"/>
        <v/>
      </c>
      <c r="AC92" s="10" t="str">
        <f t="shared" si="75"/>
        <v/>
      </c>
      <c r="AD92" s="71"/>
      <c r="AE92" s="10" t="str">
        <f t="shared" si="59"/>
        <v/>
      </c>
      <c r="AF92" s="10" t="str">
        <f t="shared" si="76"/>
        <v/>
      </c>
      <c r="AG92" s="71"/>
      <c r="AH92" s="10" t="str">
        <f t="shared" si="60"/>
        <v/>
      </c>
      <c r="AI92" s="10" t="str">
        <f t="shared" si="77"/>
        <v/>
      </c>
      <c r="AJ92" s="71"/>
      <c r="AK92" s="10" t="str">
        <f t="shared" si="61"/>
        <v/>
      </c>
      <c r="AL92" s="10" t="str">
        <f t="shared" si="78"/>
        <v/>
      </c>
      <c r="AM92" s="71"/>
      <c r="AN92" s="10" t="str">
        <f t="shared" si="62"/>
        <v/>
      </c>
      <c r="AO92" s="10" t="str">
        <f t="shared" si="79"/>
        <v/>
      </c>
      <c r="AP92" s="71"/>
      <c r="AQ92" s="10" t="str">
        <f t="shared" si="63"/>
        <v/>
      </c>
      <c r="AR92" s="10" t="str">
        <f t="shared" si="80"/>
        <v/>
      </c>
      <c r="AS92" s="71"/>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U92" s="71"/>
      <c r="AV92" s="10" t="str">
        <f t="shared" si="64"/>
        <v/>
      </c>
      <c r="AW92" s="10" t="str">
        <f t="shared" si="81"/>
        <v/>
      </c>
      <c r="AX92" s="71"/>
      <c r="AY92" s="7" t="str">
        <f>IF(ISERROR(IF($K92&lt;=$F$15,VLOOKUP($I92,'表4）CO2価格'!$A$7:$E$67,VLOOKUP($F$48,'表4）CO2価格'!$H$10:$I$12,2,0),0)*$F$8/1000,"")),0,IF($K92&lt;=$F$15,VLOOKUP($I92,'表4）CO2価格'!$A$7:$E$67,VLOOKUP($F$48,'表4）CO2価格'!$H$10:$I$12,2,0),0)*$F$8/1000,""))</f>
        <v/>
      </c>
      <c r="AZ92" s="71"/>
      <c r="BA92" s="11" t="str">
        <f t="shared" si="65"/>
        <v/>
      </c>
      <c r="BB92" s="10" t="str">
        <f t="shared" si="82"/>
        <v/>
      </c>
      <c r="BC92" s="71"/>
      <c r="BD92" s="10" t="str">
        <f t="shared" si="66"/>
        <v/>
      </c>
      <c r="BE92" s="10" t="str">
        <f t="shared" si="83"/>
        <v/>
      </c>
      <c r="BF92" s="71"/>
      <c r="BG92" s="11" t="str">
        <f t="shared" si="67"/>
        <v/>
      </c>
      <c r="BH92" s="10" t="str">
        <f t="shared" si="84"/>
        <v/>
      </c>
      <c r="BJ92" s="7" t="str">
        <f t="shared" si="85"/>
        <v/>
      </c>
      <c r="BK92" s="158" t="str">
        <f t="shared" si="86"/>
        <v/>
      </c>
      <c r="BL92" s="158" t="str">
        <f t="shared" si="68"/>
        <v/>
      </c>
      <c r="BM92" s="10"/>
      <c r="BN92" s="10" t="str">
        <f t="shared" si="87"/>
        <v/>
      </c>
      <c r="BO92" s="10" t="str">
        <f t="shared" si="88"/>
        <v/>
      </c>
      <c r="BQ92" s="10" t="str">
        <f t="shared" si="69"/>
        <v/>
      </c>
      <c r="BR92" s="10" t="str">
        <f t="shared" si="89"/>
        <v/>
      </c>
    </row>
    <row r="93" spans="4:70" ht="15" x14ac:dyDescent="0.15">
      <c r="D93" s="116"/>
      <c r="F93" s="93"/>
      <c r="I93" s="38">
        <f t="shared" si="90"/>
        <v>2098</v>
      </c>
      <c r="J93" s="39"/>
      <c r="K93" s="39">
        <f t="shared" si="91"/>
        <v>79</v>
      </c>
      <c r="L93" s="39"/>
      <c r="M93" s="40">
        <f t="shared" si="54"/>
        <v>9.679640952397367E-2</v>
      </c>
      <c r="N93" s="39"/>
      <c r="O93" s="72" t="str">
        <f t="shared" si="70"/>
        <v/>
      </c>
      <c r="P93" s="41" t="str">
        <f t="shared" si="55"/>
        <v/>
      </c>
      <c r="Q93" s="39"/>
      <c r="R93" s="72" t="str">
        <f t="shared" si="71"/>
        <v/>
      </c>
      <c r="S93" s="39"/>
      <c r="T93" s="72" t="str">
        <f t="shared" si="72"/>
        <v/>
      </c>
      <c r="U93" s="39"/>
      <c r="V93" s="72" t="str">
        <f t="shared" si="56"/>
        <v/>
      </c>
      <c r="W93" s="72" t="str">
        <f t="shared" si="73"/>
        <v/>
      </c>
      <c r="X93" s="39"/>
      <c r="Y93" s="72" t="str">
        <f t="shared" si="57"/>
        <v/>
      </c>
      <c r="Z93" s="72" t="str">
        <f t="shared" si="74"/>
        <v/>
      </c>
      <c r="AA93" s="39"/>
      <c r="AB93" s="72" t="str">
        <f t="shared" si="58"/>
        <v/>
      </c>
      <c r="AC93" s="72" t="str">
        <f t="shared" si="75"/>
        <v/>
      </c>
      <c r="AD93" s="39"/>
      <c r="AE93" s="72" t="str">
        <f t="shared" si="59"/>
        <v/>
      </c>
      <c r="AF93" s="72" t="str">
        <f t="shared" si="76"/>
        <v/>
      </c>
      <c r="AG93" s="39"/>
      <c r="AH93" s="72" t="str">
        <f t="shared" si="60"/>
        <v/>
      </c>
      <c r="AI93" s="72" t="str">
        <f t="shared" si="77"/>
        <v/>
      </c>
      <c r="AJ93" s="39"/>
      <c r="AK93" s="72" t="str">
        <f t="shared" si="61"/>
        <v/>
      </c>
      <c r="AL93" s="72" t="str">
        <f t="shared" si="78"/>
        <v/>
      </c>
      <c r="AM93" s="39"/>
      <c r="AN93" s="72" t="str">
        <f t="shared" si="62"/>
        <v/>
      </c>
      <c r="AO93" s="72" t="str">
        <f t="shared" si="79"/>
        <v/>
      </c>
      <c r="AP93" s="39"/>
      <c r="AQ93" s="72" t="str">
        <f t="shared" si="63"/>
        <v/>
      </c>
      <c r="AR93" s="72" t="str">
        <f t="shared" si="80"/>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64"/>
        <v/>
      </c>
      <c r="AW93" s="72" t="str">
        <f t="shared" si="81"/>
        <v/>
      </c>
      <c r="AX93" s="39"/>
      <c r="AY93" s="40" t="str">
        <f>IF(ISERROR(IF($K93&lt;=$F$15,VLOOKUP($I93,'表4）CO2価格'!$A$7:$E$67,VLOOKUP($F$48,'表4）CO2価格'!$H$10:$I$12,2,0),0)*$F$8/1000,"")),0,IF($K93&lt;=$F$15,VLOOKUP($I93,'表4）CO2価格'!$A$7:$E$67,VLOOKUP($F$48,'表4）CO2価格'!$H$10:$I$12,2,0),0)*$F$8/1000,""))</f>
        <v/>
      </c>
      <c r="AZ93" s="39"/>
      <c r="BA93" s="42" t="str">
        <f t="shared" si="65"/>
        <v/>
      </c>
      <c r="BB93" s="72" t="str">
        <f t="shared" si="82"/>
        <v/>
      </c>
      <c r="BC93" s="39"/>
      <c r="BD93" s="72" t="str">
        <f t="shared" si="66"/>
        <v/>
      </c>
      <c r="BE93" s="72" t="str">
        <f t="shared" si="83"/>
        <v/>
      </c>
      <c r="BF93" s="39"/>
      <c r="BG93" s="42" t="str">
        <f t="shared" si="67"/>
        <v/>
      </c>
      <c r="BH93" s="72" t="str">
        <f t="shared" si="84"/>
        <v/>
      </c>
      <c r="BI93" s="39"/>
      <c r="BJ93" s="40" t="str">
        <f t="shared" si="85"/>
        <v/>
      </c>
      <c r="BK93" s="157" t="str">
        <f t="shared" si="86"/>
        <v/>
      </c>
      <c r="BL93" s="157" t="str">
        <f t="shared" si="68"/>
        <v/>
      </c>
      <c r="BM93" s="72"/>
      <c r="BN93" s="72" t="str">
        <f t="shared" si="87"/>
        <v/>
      </c>
      <c r="BO93" s="72" t="str">
        <f t="shared" si="88"/>
        <v/>
      </c>
      <c r="BP93" s="39"/>
      <c r="BQ93" s="72" t="str">
        <f t="shared" si="69"/>
        <v/>
      </c>
      <c r="BR93" s="72" t="str">
        <f t="shared" si="89"/>
        <v/>
      </c>
    </row>
    <row r="94" spans="4:70" x14ac:dyDescent="0.15">
      <c r="D94" s="101" t="s">
        <v>197</v>
      </c>
      <c r="E94" s="101"/>
      <c r="F94" s="92"/>
      <c r="G94" s="101"/>
      <c r="I94" s="322">
        <f t="shared" si="90"/>
        <v>2099</v>
      </c>
      <c r="J94" s="71"/>
      <c r="K94" s="71">
        <f t="shared" si="91"/>
        <v>80</v>
      </c>
      <c r="L94" s="71"/>
      <c r="M94" s="7">
        <f t="shared" si="54"/>
        <v>9.3977096625217166E-2</v>
      </c>
      <c r="N94" s="71"/>
      <c r="O94" s="10" t="str">
        <f t="shared" si="70"/>
        <v/>
      </c>
      <c r="P94" s="29" t="str">
        <f t="shared" si="55"/>
        <v/>
      </c>
      <c r="Q94" s="71"/>
      <c r="R94" s="10" t="str">
        <f t="shared" si="71"/>
        <v/>
      </c>
      <c r="S94" s="71"/>
      <c r="T94" s="10" t="str">
        <f t="shared" si="72"/>
        <v/>
      </c>
      <c r="U94" s="71"/>
      <c r="V94" s="10" t="str">
        <f t="shared" si="56"/>
        <v/>
      </c>
      <c r="W94" s="10" t="str">
        <f t="shared" si="73"/>
        <v/>
      </c>
      <c r="X94" s="71"/>
      <c r="Y94" s="10" t="str">
        <f t="shared" si="57"/>
        <v/>
      </c>
      <c r="Z94" s="10" t="str">
        <f t="shared" si="74"/>
        <v/>
      </c>
      <c r="AA94" s="71"/>
      <c r="AB94" s="10" t="str">
        <f t="shared" si="58"/>
        <v/>
      </c>
      <c r="AC94" s="10" t="str">
        <f t="shared" si="75"/>
        <v/>
      </c>
      <c r="AD94" s="71"/>
      <c r="AE94" s="10" t="str">
        <f t="shared" si="59"/>
        <v/>
      </c>
      <c r="AF94" s="10" t="str">
        <f t="shared" si="76"/>
        <v/>
      </c>
      <c r="AG94" s="71"/>
      <c r="AH94" s="10" t="str">
        <f t="shared" si="60"/>
        <v/>
      </c>
      <c r="AI94" s="10" t="str">
        <f t="shared" si="77"/>
        <v/>
      </c>
      <c r="AJ94" s="71"/>
      <c r="AK94" s="10" t="str">
        <f t="shared" si="61"/>
        <v/>
      </c>
      <c r="AL94" s="10" t="str">
        <f t="shared" si="78"/>
        <v/>
      </c>
      <c r="AM94" s="71"/>
      <c r="AN94" s="10" t="str">
        <f t="shared" si="62"/>
        <v/>
      </c>
      <c r="AO94" s="10" t="str">
        <f t="shared" si="79"/>
        <v/>
      </c>
      <c r="AP94" s="71"/>
      <c r="AQ94" s="10" t="str">
        <f t="shared" si="63"/>
        <v/>
      </c>
      <c r="AR94" s="10" t="str">
        <f t="shared" si="80"/>
        <v/>
      </c>
      <c r="AS94" s="71"/>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U94" s="71"/>
      <c r="AV94" s="10" t="str">
        <f t="shared" si="64"/>
        <v/>
      </c>
      <c r="AW94" s="10" t="str">
        <f t="shared" si="81"/>
        <v/>
      </c>
      <c r="AX94" s="71"/>
      <c r="AY94" s="7" t="str">
        <f>IF(ISERROR(IF($K94&lt;=$F$15,VLOOKUP($I94,'表4）CO2価格'!$A$7:$E$67,VLOOKUP($F$48,'表4）CO2価格'!$H$10:$I$12,2,0),0)*$F$8/1000,"")),0,IF($K94&lt;=$F$15,VLOOKUP($I94,'表4）CO2価格'!$A$7:$E$67,VLOOKUP($F$48,'表4）CO2価格'!$H$10:$I$12,2,0),0)*$F$8/1000,""))</f>
        <v/>
      </c>
      <c r="AZ94" s="71"/>
      <c r="BA94" s="11" t="str">
        <f t="shared" si="65"/>
        <v/>
      </c>
      <c r="BB94" s="10" t="str">
        <f t="shared" si="82"/>
        <v/>
      </c>
      <c r="BC94" s="71"/>
      <c r="BD94" s="10" t="str">
        <f t="shared" si="66"/>
        <v/>
      </c>
      <c r="BE94" s="10" t="str">
        <f t="shared" si="83"/>
        <v/>
      </c>
      <c r="BF94" s="71"/>
      <c r="BG94" s="11" t="str">
        <f t="shared" si="67"/>
        <v/>
      </c>
      <c r="BH94" s="10" t="str">
        <f t="shared" si="84"/>
        <v/>
      </c>
      <c r="BJ94" s="7" t="str">
        <f t="shared" si="85"/>
        <v/>
      </c>
      <c r="BK94" s="158" t="str">
        <f t="shared" si="86"/>
        <v/>
      </c>
      <c r="BL94" s="158" t="str">
        <f t="shared" si="68"/>
        <v/>
      </c>
      <c r="BM94" s="10"/>
      <c r="BN94" s="10" t="str">
        <f t="shared" si="87"/>
        <v/>
      </c>
      <c r="BO94" s="10" t="str">
        <f t="shared" si="88"/>
        <v/>
      </c>
      <c r="BQ94" s="10" t="str">
        <f t="shared" si="69"/>
        <v/>
      </c>
      <c r="BR94" s="10" t="str">
        <f t="shared" si="89"/>
        <v/>
      </c>
    </row>
    <row r="95" spans="4:70" ht="15" x14ac:dyDescent="0.15">
      <c r="D95" s="116"/>
      <c r="F95" s="93"/>
      <c r="I95" s="38">
        <f t="shared" si="90"/>
        <v>2100</v>
      </c>
      <c r="J95" s="39"/>
      <c r="K95" s="39">
        <f t="shared" si="91"/>
        <v>81</v>
      </c>
      <c r="L95" s="39"/>
      <c r="M95" s="40">
        <f t="shared" si="54"/>
        <v>9.1239899636133173E-2</v>
      </c>
      <c r="N95" s="39"/>
      <c r="O95" s="72" t="str">
        <f t="shared" si="70"/>
        <v/>
      </c>
      <c r="P95" s="41" t="str">
        <f t="shared" si="55"/>
        <v/>
      </c>
      <c r="Q95" s="39"/>
      <c r="R95" s="72" t="str">
        <f t="shared" si="71"/>
        <v/>
      </c>
      <c r="S95" s="39"/>
      <c r="T95" s="72" t="str">
        <f t="shared" si="72"/>
        <v/>
      </c>
      <c r="U95" s="39"/>
      <c r="V95" s="72" t="str">
        <f t="shared" si="56"/>
        <v/>
      </c>
      <c r="W95" s="72" t="str">
        <f t="shared" si="73"/>
        <v/>
      </c>
      <c r="X95" s="39"/>
      <c r="Y95" s="72" t="str">
        <f t="shared" si="57"/>
        <v/>
      </c>
      <c r="Z95" s="72" t="str">
        <f t="shared" si="74"/>
        <v/>
      </c>
      <c r="AA95" s="39"/>
      <c r="AB95" s="72" t="str">
        <f t="shared" si="58"/>
        <v/>
      </c>
      <c r="AC95" s="72" t="str">
        <f t="shared" si="75"/>
        <v/>
      </c>
      <c r="AD95" s="39"/>
      <c r="AE95" s="72" t="str">
        <f t="shared" si="59"/>
        <v/>
      </c>
      <c r="AF95" s="72" t="str">
        <f t="shared" si="76"/>
        <v/>
      </c>
      <c r="AG95" s="39"/>
      <c r="AH95" s="72" t="str">
        <f t="shared" si="60"/>
        <v/>
      </c>
      <c r="AI95" s="72" t="str">
        <f t="shared" si="77"/>
        <v/>
      </c>
      <c r="AJ95" s="39"/>
      <c r="AK95" s="72" t="str">
        <f t="shared" si="61"/>
        <v/>
      </c>
      <c r="AL95" s="72" t="str">
        <f t="shared" si="78"/>
        <v/>
      </c>
      <c r="AM95" s="39"/>
      <c r="AN95" s="72" t="str">
        <f t="shared" si="62"/>
        <v/>
      </c>
      <c r="AO95" s="72" t="str">
        <f t="shared" si="79"/>
        <v/>
      </c>
      <c r="AP95" s="39"/>
      <c r="AQ95" s="72" t="str">
        <f t="shared" si="63"/>
        <v/>
      </c>
      <c r="AR95" s="72" t="str">
        <f t="shared" si="80"/>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64"/>
        <v/>
      </c>
      <c r="AW95" s="72" t="str">
        <f t="shared" si="81"/>
        <v/>
      </c>
      <c r="AX95" s="39"/>
      <c r="AY95" s="40" t="str">
        <f>IF(ISERROR(IF($K95&lt;=$F$15,VLOOKUP($I95,'表4）CO2価格'!$A$7:$E$67,VLOOKUP($F$48,'表4）CO2価格'!$H$10:$I$12,2,0),0)*$F$8/1000,"")),0,IF($K95&lt;=$F$15,VLOOKUP($I95,'表4）CO2価格'!$A$7:$E$67,VLOOKUP($F$48,'表4）CO2価格'!$H$10:$I$12,2,0),0)*$F$8/1000,""))</f>
        <v/>
      </c>
      <c r="AZ95" s="39"/>
      <c r="BA95" s="42" t="str">
        <f t="shared" si="65"/>
        <v/>
      </c>
      <c r="BB95" s="72" t="str">
        <f t="shared" si="82"/>
        <v/>
      </c>
      <c r="BC95" s="39"/>
      <c r="BD95" s="72" t="str">
        <f t="shared" si="66"/>
        <v/>
      </c>
      <c r="BE95" s="72" t="str">
        <f t="shared" si="83"/>
        <v/>
      </c>
      <c r="BF95" s="39"/>
      <c r="BG95" s="42" t="str">
        <f t="shared" si="67"/>
        <v/>
      </c>
      <c r="BH95" s="72" t="str">
        <f t="shared" si="84"/>
        <v/>
      </c>
      <c r="BI95" s="39"/>
      <c r="BJ95" s="40" t="str">
        <f t="shared" si="85"/>
        <v/>
      </c>
      <c r="BK95" s="157" t="str">
        <f t="shared" si="86"/>
        <v/>
      </c>
      <c r="BL95" s="157" t="str">
        <f t="shared" si="68"/>
        <v/>
      </c>
      <c r="BM95" s="72"/>
      <c r="BN95" s="72" t="str">
        <f t="shared" si="87"/>
        <v/>
      </c>
      <c r="BO95" s="72" t="str">
        <f t="shared" si="88"/>
        <v/>
      </c>
      <c r="BP95" s="39"/>
      <c r="BQ95" s="72" t="str">
        <f t="shared" si="69"/>
        <v/>
      </c>
      <c r="BR95" s="72" t="str">
        <f t="shared" si="89"/>
        <v/>
      </c>
    </row>
    <row r="96" spans="4:70" ht="15" x14ac:dyDescent="0.15">
      <c r="D96" s="116"/>
      <c r="E96" s="81" t="s">
        <v>198</v>
      </c>
      <c r="F96" s="91">
        <f>IF(F3&lt;&gt;"原子力",AW116/$BR$116,0)</f>
        <v>4.3323223802273514</v>
      </c>
      <c r="G96" s="81" t="s">
        <v>132</v>
      </c>
      <c r="I96" s="322">
        <f t="shared" si="90"/>
        <v>2101</v>
      </c>
      <c r="J96" s="71"/>
      <c r="K96" s="71">
        <f t="shared" si="91"/>
        <v>82</v>
      </c>
      <c r="L96" s="71"/>
      <c r="M96" s="7">
        <f t="shared" si="54"/>
        <v>8.8582426831197242E-2</v>
      </c>
      <c r="N96" s="71"/>
      <c r="O96" s="10" t="str">
        <f t="shared" si="70"/>
        <v/>
      </c>
      <c r="P96" s="29" t="str">
        <f t="shared" si="55"/>
        <v/>
      </c>
      <c r="Q96" s="71"/>
      <c r="R96" s="10" t="str">
        <f t="shared" si="71"/>
        <v/>
      </c>
      <c r="S96" s="71"/>
      <c r="T96" s="10" t="str">
        <f t="shared" si="72"/>
        <v/>
      </c>
      <c r="U96" s="71"/>
      <c r="V96" s="10" t="str">
        <f t="shared" si="56"/>
        <v/>
      </c>
      <c r="W96" s="10" t="str">
        <f t="shared" si="73"/>
        <v/>
      </c>
      <c r="X96" s="71"/>
      <c r="Y96" s="10" t="str">
        <f t="shared" si="57"/>
        <v/>
      </c>
      <c r="Z96" s="10" t="str">
        <f t="shared" si="74"/>
        <v/>
      </c>
      <c r="AA96" s="71"/>
      <c r="AB96" s="10" t="str">
        <f t="shared" si="58"/>
        <v/>
      </c>
      <c r="AC96" s="10" t="str">
        <f t="shared" si="75"/>
        <v/>
      </c>
      <c r="AD96" s="71"/>
      <c r="AE96" s="10" t="str">
        <f t="shared" si="59"/>
        <v/>
      </c>
      <c r="AF96" s="10" t="str">
        <f t="shared" si="76"/>
        <v/>
      </c>
      <c r="AG96" s="71"/>
      <c r="AH96" s="10" t="str">
        <f t="shared" si="60"/>
        <v/>
      </c>
      <c r="AI96" s="10" t="str">
        <f t="shared" si="77"/>
        <v/>
      </c>
      <c r="AJ96" s="71"/>
      <c r="AK96" s="10" t="str">
        <f t="shared" si="61"/>
        <v/>
      </c>
      <c r="AL96" s="10" t="str">
        <f t="shared" si="78"/>
        <v/>
      </c>
      <c r="AM96" s="71"/>
      <c r="AN96" s="10" t="str">
        <f t="shared" si="62"/>
        <v/>
      </c>
      <c r="AO96" s="10" t="str">
        <f t="shared" si="79"/>
        <v/>
      </c>
      <c r="AP96" s="71"/>
      <c r="AQ96" s="10" t="str">
        <f t="shared" si="63"/>
        <v/>
      </c>
      <c r="AR96" s="10" t="str">
        <f t="shared" si="80"/>
        <v/>
      </c>
      <c r="AS96" s="71"/>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U96" s="71"/>
      <c r="AV96" s="10" t="str">
        <f t="shared" si="64"/>
        <v/>
      </c>
      <c r="AW96" s="10" t="str">
        <f t="shared" si="81"/>
        <v/>
      </c>
      <c r="AX96" s="71"/>
      <c r="AY96" s="7" t="str">
        <f>IF(ISERROR(IF($K96&lt;=$F$15,VLOOKUP($I96,'表4）CO2価格'!$A$7:$E$67,VLOOKUP($F$48,'表4）CO2価格'!$H$10:$I$12,2,0),0)*$F$8/1000,"")),0,IF($K96&lt;=$F$15,VLOOKUP($I96,'表4）CO2価格'!$A$7:$E$67,VLOOKUP($F$48,'表4）CO2価格'!$H$10:$I$12,2,0),0)*$F$8/1000,""))</f>
        <v/>
      </c>
      <c r="AZ96" s="71"/>
      <c r="BA96" s="11" t="str">
        <f t="shared" si="65"/>
        <v/>
      </c>
      <c r="BB96" s="10" t="str">
        <f t="shared" si="82"/>
        <v/>
      </c>
      <c r="BC96" s="71"/>
      <c r="BD96" s="10" t="str">
        <f t="shared" si="66"/>
        <v/>
      </c>
      <c r="BE96" s="10" t="str">
        <f t="shared" si="83"/>
        <v/>
      </c>
      <c r="BF96" s="71"/>
      <c r="BG96" s="11" t="str">
        <f t="shared" si="67"/>
        <v/>
      </c>
      <c r="BH96" s="10" t="str">
        <f t="shared" si="84"/>
        <v/>
      </c>
      <c r="BJ96" s="7" t="str">
        <f t="shared" si="85"/>
        <v/>
      </c>
      <c r="BK96" s="158" t="str">
        <f t="shared" si="86"/>
        <v/>
      </c>
      <c r="BL96" s="158" t="str">
        <f t="shared" si="68"/>
        <v/>
      </c>
      <c r="BM96" s="10"/>
      <c r="BN96" s="10" t="str">
        <f t="shared" si="87"/>
        <v/>
      </c>
      <c r="BO96" s="10" t="str">
        <f t="shared" si="88"/>
        <v/>
      </c>
      <c r="BQ96" s="10" t="str">
        <f t="shared" si="69"/>
        <v/>
      </c>
      <c r="BR96" s="10" t="str">
        <f t="shared" si="89"/>
        <v/>
      </c>
    </row>
    <row r="97" spans="4:70" ht="15" x14ac:dyDescent="0.15">
      <c r="D97" s="116"/>
      <c r="E97" s="81" t="s">
        <v>199</v>
      </c>
      <c r="F97" s="91">
        <f>IF(F3="原子力",#REF!,0)</f>
        <v>0</v>
      </c>
      <c r="G97" s="81" t="s">
        <v>132</v>
      </c>
      <c r="I97" s="38">
        <f t="shared" si="90"/>
        <v>2102</v>
      </c>
      <c r="J97" s="39"/>
      <c r="K97" s="39">
        <f t="shared" si="91"/>
        <v>83</v>
      </c>
      <c r="L97" s="39"/>
      <c r="M97" s="40">
        <f t="shared" si="54"/>
        <v>8.6002356146793454E-2</v>
      </c>
      <c r="N97" s="39"/>
      <c r="O97" s="72" t="str">
        <f t="shared" si="70"/>
        <v/>
      </c>
      <c r="P97" s="41" t="str">
        <f t="shared" si="55"/>
        <v/>
      </c>
      <c r="Q97" s="39"/>
      <c r="R97" s="72" t="str">
        <f t="shared" si="71"/>
        <v/>
      </c>
      <c r="S97" s="39"/>
      <c r="T97" s="72" t="str">
        <f t="shared" si="72"/>
        <v/>
      </c>
      <c r="U97" s="39"/>
      <c r="V97" s="72" t="str">
        <f t="shared" si="56"/>
        <v/>
      </c>
      <c r="W97" s="72" t="str">
        <f t="shared" si="73"/>
        <v/>
      </c>
      <c r="X97" s="39"/>
      <c r="Y97" s="72" t="str">
        <f t="shared" si="57"/>
        <v/>
      </c>
      <c r="Z97" s="72" t="str">
        <f t="shared" si="74"/>
        <v/>
      </c>
      <c r="AA97" s="39"/>
      <c r="AB97" s="72" t="str">
        <f t="shared" si="58"/>
        <v/>
      </c>
      <c r="AC97" s="72" t="str">
        <f t="shared" si="75"/>
        <v/>
      </c>
      <c r="AD97" s="39"/>
      <c r="AE97" s="72" t="str">
        <f t="shared" si="59"/>
        <v/>
      </c>
      <c r="AF97" s="72" t="str">
        <f t="shared" si="76"/>
        <v/>
      </c>
      <c r="AG97" s="39"/>
      <c r="AH97" s="72" t="str">
        <f t="shared" si="60"/>
        <v/>
      </c>
      <c r="AI97" s="72" t="str">
        <f t="shared" si="77"/>
        <v/>
      </c>
      <c r="AJ97" s="39"/>
      <c r="AK97" s="72" t="str">
        <f t="shared" si="61"/>
        <v/>
      </c>
      <c r="AL97" s="72" t="str">
        <f t="shared" si="78"/>
        <v/>
      </c>
      <c r="AM97" s="39"/>
      <c r="AN97" s="72" t="str">
        <f t="shared" si="62"/>
        <v/>
      </c>
      <c r="AO97" s="72" t="str">
        <f t="shared" si="79"/>
        <v/>
      </c>
      <c r="AP97" s="39"/>
      <c r="AQ97" s="72" t="str">
        <f t="shared" si="63"/>
        <v/>
      </c>
      <c r="AR97" s="72" t="str">
        <f t="shared" si="80"/>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64"/>
        <v/>
      </c>
      <c r="AW97" s="72" t="str">
        <f t="shared" si="81"/>
        <v/>
      </c>
      <c r="AX97" s="39"/>
      <c r="AY97" s="40" t="str">
        <f>IF(ISERROR(IF($K97&lt;=$F$15,VLOOKUP($I97,'表4）CO2価格'!$A$7:$E$67,VLOOKUP($F$48,'表4）CO2価格'!$H$10:$I$12,2,0),0)*$F$8/1000,"")),0,IF($K97&lt;=$F$15,VLOOKUP($I97,'表4）CO2価格'!$A$7:$E$67,VLOOKUP($F$48,'表4）CO2価格'!$H$10:$I$12,2,0),0)*$F$8/1000,""))</f>
        <v/>
      </c>
      <c r="AZ97" s="39"/>
      <c r="BA97" s="42" t="str">
        <f t="shared" si="65"/>
        <v/>
      </c>
      <c r="BB97" s="72" t="str">
        <f t="shared" si="82"/>
        <v/>
      </c>
      <c r="BC97" s="39"/>
      <c r="BD97" s="72" t="str">
        <f t="shared" si="66"/>
        <v/>
      </c>
      <c r="BE97" s="72" t="str">
        <f t="shared" si="83"/>
        <v/>
      </c>
      <c r="BF97" s="39"/>
      <c r="BG97" s="42" t="str">
        <f t="shared" si="67"/>
        <v/>
      </c>
      <c r="BH97" s="72" t="str">
        <f t="shared" si="84"/>
        <v/>
      </c>
      <c r="BI97" s="39"/>
      <c r="BJ97" s="40" t="str">
        <f t="shared" si="85"/>
        <v/>
      </c>
      <c r="BK97" s="157" t="str">
        <f t="shared" si="86"/>
        <v/>
      </c>
      <c r="BL97" s="157" t="str">
        <f t="shared" si="68"/>
        <v/>
      </c>
      <c r="BM97" s="72"/>
      <c r="BN97" s="72" t="str">
        <f t="shared" si="87"/>
        <v/>
      </c>
      <c r="BO97" s="72" t="str">
        <f t="shared" si="88"/>
        <v/>
      </c>
      <c r="BP97" s="39"/>
      <c r="BQ97" s="72" t="str">
        <f t="shared" si="69"/>
        <v/>
      </c>
      <c r="BR97" s="72" t="str">
        <f t="shared" si="89"/>
        <v/>
      </c>
    </row>
    <row r="98" spans="4:70" x14ac:dyDescent="0.15">
      <c r="F98" s="93"/>
      <c r="I98" s="322">
        <f t="shared" si="90"/>
        <v>2103</v>
      </c>
      <c r="J98" s="71"/>
      <c r="K98" s="71">
        <f t="shared" si="91"/>
        <v>84</v>
      </c>
      <c r="L98" s="71"/>
      <c r="M98" s="7">
        <f t="shared" si="54"/>
        <v>8.3497433152226644E-2</v>
      </c>
      <c r="N98" s="71"/>
      <c r="O98" s="10" t="str">
        <f t="shared" si="70"/>
        <v/>
      </c>
      <c r="P98" s="29" t="str">
        <f t="shared" si="55"/>
        <v/>
      </c>
      <c r="Q98" s="71"/>
      <c r="R98" s="10" t="str">
        <f t="shared" si="71"/>
        <v/>
      </c>
      <c r="S98" s="71"/>
      <c r="T98" s="10" t="str">
        <f t="shared" si="72"/>
        <v/>
      </c>
      <c r="U98" s="71"/>
      <c r="V98" s="10" t="str">
        <f t="shared" si="56"/>
        <v/>
      </c>
      <c r="W98" s="10" t="str">
        <f t="shared" si="73"/>
        <v/>
      </c>
      <c r="X98" s="71"/>
      <c r="Y98" s="10" t="str">
        <f t="shared" si="57"/>
        <v/>
      </c>
      <c r="Z98" s="10" t="str">
        <f t="shared" si="74"/>
        <v/>
      </c>
      <c r="AA98" s="71"/>
      <c r="AB98" s="10" t="str">
        <f t="shared" si="58"/>
        <v/>
      </c>
      <c r="AC98" s="10" t="str">
        <f t="shared" si="75"/>
        <v/>
      </c>
      <c r="AD98" s="71"/>
      <c r="AE98" s="10" t="str">
        <f t="shared" si="59"/>
        <v/>
      </c>
      <c r="AF98" s="10" t="str">
        <f t="shared" si="76"/>
        <v/>
      </c>
      <c r="AG98" s="71"/>
      <c r="AH98" s="10" t="str">
        <f t="shared" si="60"/>
        <v/>
      </c>
      <c r="AI98" s="10" t="str">
        <f t="shared" si="77"/>
        <v/>
      </c>
      <c r="AJ98" s="71"/>
      <c r="AK98" s="10" t="str">
        <f t="shared" si="61"/>
        <v/>
      </c>
      <c r="AL98" s="10" t="str">
        <f t="shared" si="78"/>
        <v/>
      </c>
      <c r="AM98" s="71"/>
      <c r="AN98" s="10" t="str">
        <f t="shared" si="62"/>
        <v/>
      </c>
      <c r="AO98" s="10" t="str">
        <f t="shared" si="79"/>
        <v/>
      </c>
      <c r="AP98" s="71"/>
      <c r="AQ98" s="10" t="str">
        <f t="shared" si="63"/>
        <v/>
      </c>
      <c r="AR98" s="10" t="str">
        <f t="shared" si="80"/>
        <v/>
      </c>
      <c r="AS98" s="71"/>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U98" s="71"/>
      <c r="AV98" s="10" t="str">
        <f t="shared" si="64"/>
        <v/>
      </c>
      <c r="AW98" s="10" t="str">
        <f t="shared" si="81"/>
        <v/>
      </c>
      <c r="AX98" s="71"/>
      <c r="AY98" s="7" t="str">
        <f>IF(ISERROR(IF($K98&lt;=$F$15,VLOOKUP($I98,'表4）CO2価格'!$A$7:$E$67,VLOOKUP($F$48,'表4）CO2価格'!$H$10:$I$12,2,0),0)*$F$8/1000,"")),0,IF($K98&lt;=$F$15,VLOOKUP($I98,'表4）CO2価格'!$A$7:$E$67,VLOOKUP($F$48,'表4）CO2価格'!$H$10:$I$12,2,0),0)*$F$8/1000,""))</f>
        <v/>
      </c>
      <c r="AZ98" s="71"/>
      <c r="BA98" s="11" t="str">
        <f t="shared" si="65"/>
        <v/>
      </c>
      <c r="BB98" s="10" t="str">
        <f t="shared" si="82"/>
        <v/>
      </c>
      <c r="BC98" s="71"/>
      <c r="BD98" s="10" t="str">
        <f t="shared" si="66"/>
        <v/>
      </c>
      <c r="BE98" s="10" t="str">
        <f t="shared" si="83"/>
        <v/>
      </c>
      <c r="BF98" s="71"/>
      <c r="BG98" s="11" t="str">
        <f t="shared" si="67"/>
        <v/>
      </c>
      <c r="BH98" s="10" t="str">
        <f t="shared" si="84"/>
        <v/>
      </c>
      <c r="BJ98" s="7" t="str">
        <f t="shared" si="85"/>
        <v/>
      </c>
      <c r="BK98" s="158" t="str">
        <f t="shared" si="86"/>
        <v/>
      </c>
      <c r="BL98" s="158" t="str">
        <f t="shared" si="68"/>
        <v/>
      </c>
      <c r="BM98" s="10"/>
      <c r="BN98" s="10" t="str">
        <f t="shared" si="87"/>
        <v/>
      </c>
      <c r="BO98" s="10" t="str">
        <f t="shared" si="88"/>
        <v/>
      </c>
      <c r="BQ98" s="10" t="str">
        <f t="shared" si="69"/>
        <v/>
      </c>
      <c r="BR98" s="10" t="str">
        <f t="shared" si="89"/>
        <v/>
      </c>
    </row>
    <row r="99" spans="4:70" ht="15" x14ac:dyDescent="0.15">
      <c r="D99" s="116" t="s">
        <v>200</v>
      </c>
      <c r="F99" s="94">
        <f>SUBTOTAL(9,F103:F105)</f>
        <v>3.9129694111374942</v>
      </c>
      <c r="G99" s="81" t="s">
        <v>132</v>
      </c>
      <c r="I99" s="38">
        <f t="shared" si="90"/>
        <v>2104</v>
      </c>
      <c r="J99" s="39"/>
      <c r="K99" s="39">
        <f t="shared" si="91"/>
        <v>85</v>
      </c>
      <c r="L99" s="39"/>
      <c r="M99" s="40">
        <f t="shared" si="54"/>
        <v>8.1065469079831712E-2</v>
      </c>
      <c r="N99" s="39"/>
      <c r="O99" s="72" t="str">
        <f t="shared" si="70"/>
        <v/>
      </c>
      <c r="P99" s="41" t="str">
        <f t="shared" si="55"/>
        <v/>
      </c>
      <c r="Q99" s="39"/>
      <c r="R99" s="72" t="str">
        <f t="shared" si="71"/>
        <v/>
      </c>
      <c r="S99" s="39"/>
      <c r="T99" s="72" t="str">
        <f t="shared" si="72"/>
        <v/>
      </c>
      <c r="U99" s="39"/>
      <c r="V99" s="72" t="str">
        <f t="shared" si="56"/>
        <v/>
      </c>
      <c r="W99" s="72" t="str">
        <f t="shared" si="73"/>
        <v/>
      </c>
      <c r="X99" s="39"/>
      <c r="Y99" s="72" t="str">
        <f t="shared" si="57"/>
        <v/>
      </c>
      <c r="Z99" s="72" t="str">
        <f t="shared" si="74"/>
        <v/>
      </c>
      <c r="AA99" s="39"/>
      <c r="AB99" s="72" t="str">
        <f t="shared" si="58"/>
        <v/>
      </c>
      <c r="AC99" s="72" t="str">
        <f t="shared" si="75"/>
        <v/>
      </c>
      <c r="AD99" s="39"/>
      <c r="AE99" s="72" t="str">
        <f t="shared" si="59"/>
        <v/>
      </c>
      <c r="AF99" s="72" t="str">
        <f t="shared" si="76"/>
        <v/>
      </c>
      <c r="AG99" s="39"/>
      <c r="AH99" s="72" t="str">
        <f t="shared" si="60"/>
        <v/>
      </c>
      <c r="AI99" s="72" t="str">
        <f t="shared" si="77"/>
        <v/>
      </c>
      <c r="AJ99" s="39"/>
      <c r="AK99" s="72" t="str">
        <f t="shared" si="61"/>
        <v/>
      </c>
      <c r="AL99" s="72" t="str">
        <f t="shared" si="78"/>
        <v/>
      </c>
      <c r="AM99" s="39"/>
      <c r="AN99" s="72" t="str">
        <f t="shared" si="62"/>
        <v/>
      </c>
      <c r="AO99" s="72" t="str">
        <f t="shared" si="79"/>
        <v/>
      </c>
      <c r="AP99" s="39"/>
      <c r="AQ99" s="72" t="str">
        <f t="shared" si="63"/>
        <v/>
      </c>
      <c r="AR99" s="72" t="str">
        <f t="shared" si="80"/>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64"/>
        <v/>
      </c>
      <c r="AW99" s="72" t="str">
        <f t="shared" si="81"/>
        <v/>
      </c>
      <c r="AX99" s="39"/>
      <c r="AY99" s="40" t="str">
        <f>IF(ISERROR(IF($K99&lt;=$F$15,VLOOKUP($I99,'表4）CO2価格'!$A$7:$E$67,VLOOKUP($F$48,'表4）CO2価格'!$H$10:$I$12,2,0),0)*$F$8/1000,"")),0,IF($K99&lt;=$F$15,VLOOKUP($I99,'表4）CO2価格'!$A$7:$E$67,VLOOKUP($F$48,'表4）CO2価格'!$H$10:$I$12,2,0),0)*$F$8/1000,""))</f>
        <v/>
      </c>
      <c r="AZ99" s="39"/>
      <c r="BA99" s="42" t="str">
        <f t="shared" si="65"/>
        <v/>
      </c>
      <c r="BB99" s="72" t="str">
        <f t="shared" si="82"/>
        <v/>
      </c>
      <c r="BC99" s="39"/>
      <c r="BD99" s="72" t="str">
        <f t="shared" si="66"/>
        <v/>
      </c>
      <c r="BE99" s="72" t="str">
        <f t="shared" si="83"/>
        <v/>
      </c>
      <c r="BF99" s="39"/>
      <c r="BG99" s="42" t="str">
        <f t="shared" si="67"/>
        <v/>
      </c>
      <c r="BH99" s="72" t="str">
        <f t="shared" si="84"/>
        <v/>
      </c>
      <c r="BI99" s="39"/>
      <c r="BJ99" s="40" t="str">
        <f t="shared" si="85"/>
        <v/>
      </c>
      <c r="BK99" s="157" t="str">
        <f t="shared" si="86"/>
        <v/>
      </c>
      <c r="BL99" s="157" t="str">
        <f t="shared" si="68"/>
        <v/>
      </c>
      <c r="BM99" s="72"/>
      <c r="BN99" s="72" t="str">
        <f t="shared" si="87"/>
        <v/>
      </c>
      <c r="BO99" s="72" t="str">
        <f t="shared" si="88"/>
        <v/>
      </c>
      <c r="BP99" s="39"/>
      <c r="BQ99" s="72" t="str">
        <f t="shared" si="69"/>
        <v/>
      </c>
      <c r="BR99" s="72" t="str">
        <f t="shared" si="89"/>
        <v/>
      </c>
    </row>
    <row r="100" spans="4:70" x14ac:dyDescent="0.15">
      <c r="F100" s="93"/>
      <c r="I100" s="322">
        <f t="shared" si="90"/>
        <v>2105</v>
      </c>
      <c r="J100" s="71"/>
      <c r="K100" s="71">
        <f t="shared" si="91"/>
        <v>86</v>
      </c>
      <c r="L100" s="71"/>
      <c r="M100" s="7">
        <f t="shared" si="54"/>
        <v>7.8704338912457969E-2</v>
      </c>
      <c r="N100" s="71"/>
      <c r="O100" s="10" t="str">
        <f t="shared" si="70"/>
        <v/>
      </c>
      <c r="P100" s="29" t="str">
        <f t="shared" si="55"/>
        <v/>
      </c>
      <c r="Q100" s="71"/>
      <c r="R100" s="10" t="str">
        <f t="shared" si="71"/>
        <v/>
      </c>
      <c r="S100" s="71"/>
      <c r="T100" s="10" t="str">
        <f t="shared" si="72"/>
        <v/>
      </c>
      <c r="U100" s="71"/>
      <c r="V100" s="10" t="str">
        <f t="shared" si="56"/>
        <v/>
      </c>
      <c r="W100" s="10" t="str">
        <f t="shared" si="73"/>
        <v/>
      </c>
      <c r="X100" s="71"/>
      <c r="Y100" s="10" t="str">
        <f t="shared" si="57"/>
        <v/>
      </c>
      <c r="Z100" s="10" t="str">
        <f t="shared" si="74"/>
        <v/>
      </c>
      <c r="AA100" s="71"/>
      <c r="AB100" s="10" t="str">
        <f t="shared" si="58"/>
        <v/>
      </c>
      <c r="AC100" s="10" t="str">
        <f t="shared" si="75"/>
        <v/>
      </c>
      <c r="AD100" s="71"/>
      <c r="AE100" s="10" t="str">
        <f t="shared" si="59"/>
        <v/>
      </c>
      <c r="AF100" s="10" t="str">
        <f t="shared" si="76"/>
        <v/>
      </c>
      <c r="AG100" s="71"/>
      <c r="AH100" s="10" t="str">
        <f t="shared" si="60"/>
        <v/>
      </c>
      <c r="AI100" s="10" t="str">
        <f t="shared" si="77"/>
        <v/>
      </c>
      <c r="AJ100" s="71"/>
      <c r="AK100" s="10" t="str">
        <f t="shared" si="61"/>
        <v/>
      </c>
      <c r="AL100" s="10" t="str">
        <f t="shared" si="78"/>
        <v/>
      </c>
      <c r="AM100" s="71"/>
      <c r="AN100" s="10" t="str">
        <f t="shared" si="62"/>
        <v/>
      </c>
      <c r="AO100" s="10" t="str">
        <f t="shared" si="79"/>
        <v/>
      </c>
      <c r="AP100" s="71"/>
      <c r="AQ100" s="10" t="str">
        <f t="shared" si="63"/>
        <v/>
      </c>
      <c r="AR100" s="10" t="str">
        <f t="shared" si="80"/>
        <v/>
      </c>
      <c r="AS100" s="71"/>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U100" s="71"/>
      <c r="AV100" s="10" t="str">
        <f t="shared" si="64"/>
        <v/>
      </c>
      <c r="AW100" s="10" t="str">
        <f t="shared" si="81"/>
        <v/>
      </c>
      <c r="AX100" s="71"/>
      <c r="AY100" s="7" t="str">
        <f>IF(ISERROR(IF($K100&lt;=$F$15,VLOOKUP($I100,'表4）CO2価格'!$A$7:$E$67,VLOOKUP($F$48,'表4）CO2価格'!$H$10:$I$12,2,0),0)*$F$8/1000,"")),0,IF($K100&lt;=$F$15,VLOOKUP($I100,'表4）CO2価格'!$A$7:$E$67,VLOOKUP($F$48,'表4）CO2価格'!$H$10:$I$12,2,0),0)*$F$8/1000,""))</f>
        <v/>
      </c>
      <c r="AZ100" s="71"/>
      <c r="BA100" s="11" t="str">
        <f t="shared" si="65"/>
        <v/>
      </c>
      <c r="BB100" s="10" t="str">
        <f t="shared" si="82"/>
        <v/>
      </c>
      <c r="BC100" s="71"/>
      <c r="BD100" s="10" t="str">
        <f t="shared" si="66"/>
        <v/>
      </c>
      <c r="BE100" s="10" t="str">
        <f t="shared" si="83"/>
        <v/>
      </c>
      <c r="BF100" s="71"/>
      <c r="BG100" s="11" t="str">
        <f t="shared" si="67"/>
        <v/>
      </c>
      <c r="BH100" s="10" t="str">
        <f t="shared" si="84"/>
        <v/>
      </c>
      <c r="BJ100" s="7" t="str">
        <f t="shared" si="85"/>
        <v/>
      </c>
      <c r="BK100" s="158" t="str">
        <f t="shared" si="86"/>
        <v/>
      </c>
      <c r="BL100" s="158" t="str">
        <f t="shared" si="68"/>
        <v/>
      </c>
      <c r="BM100" s="10"/>
      <c r="BN100" s="10" t="str">
        <f t="shared" si="87"/>
        <v/>
      </c>
      <c r="BO100" s="10" t="str">
        <f t="shared" si="88"/>
        <v/>
      </c>
      <c r="BQ100" s="10" t="str">
        <f t="shared" si="69"/>
        <v/>
      </c>
      <c r="BR100" s="10" t="str">
        <f t="shared" si="89"/>
        <v/>
      </c>
    </row>
    <row r="101" spans="4:70" x14ac:dyDescent="0.15">
      <c r="D101" s="101" t="s">
        <v>201</v>
      </c>
      <c r="E101" s="101"/>
      <c r="F101" s="92"/>
      <c r="G101" s="101"/>
      <c r="I101" s="38">
        <f t="shared" si="90"/>
        <v>2106</v>
      </c>
      <c r="J101" s="39"/>
      <c r="K101" s="39">
        <f t="shared" si="91"/>
        <v>87</v>
      </c>
      <c r="L101" s="39"/>
      <c r="M101" s="40">
        <f t="shared" si="54"/>
        <v>7.6411979526658208E-2</v>
      </c>
      <c r="N101" s="39"/>
      <c r="O101" s="72" t="str">
        <f t="shared" si="70"/>
        <v/>
      </c>
      <c r="P101" s="41" t="str">
        <f t="shared" si="55"/>
        <v/>
      </c>
      <c r="Q101" s="39"/>
      <c r="R101" s="72" t="str">
        <f t="shared" si="71"/>
        <v/>
      </c>
      <c r="S101" s="39"/>
      <c r="T101" s="72" t="str">
        <f t="shared" si="72"/>
        <v/>
      </c>
      <c r="U101" s="39"/>
      <c r="V101" s="72" t="str">
        <f t="shared" si="56"/>
        <v/>
      </c>
      <c r="W101" s="72" t="str">
        <f t="shared" si="73"/>
        <v/>
      </c>
      <c r="X101" s="39"/>
      <c r="Y101" s="72" t="str">
        <f t="shared" si="57"/>
        <v/>
      </c>
      <c r="Z101" s="72" t="str">
        <f t="shared" si="74"/>
        <v/>
      </c>
      <c r="AA101" s="39"/>
      <c r="AB101" s="72" t="str">
        <f t="shared" si="58"/>
        <v/>
      </c>
      <c r="AC101" s="72" t="str">
        <f t="shared" si="75"/>
        <v/>
      </c>
      <c r="AD101" s="39"/>
      <c r="AE101" s="72" t="str">
        <f t="shared" si="59"/>
        <v/>
      </c>
      <c r="AF101" s="72" t="str">
        <f t="shared" si="76"/>
        <v/>
      </c>
      <c r="AG101" s="39"/>
      <c r="AH101" s="72" t="str">
        <f t="shared" si="60"/>
        <v/>
      </c>
      <c r="AI101" s="72" t="str">
        <f t="shared" si="77"/>
        <v/>
      </c>
      <c r="AJ101" s="39"/>
      <c r="AK101" s="72" t="str">
        <f t="shared" si="61"/>
        <v/>
      </c>
      <c r="AL101" s="72" t="str">
        <f t="shared" si="78"/>
        <v/>
      </c>
      <c r="AM101" s="39"/>
      <c r="AN101" s="72" t="str">
        <f t="shared" si="62"/>
        <v/>
      </c>
      <c r="AO101" s="72" t="str">
        <f t="shared" si="79"/>
        <v/>
      </c>
      <c r="AP101" s="39"/>
      <c r="AQ101" s="72" t="str">
        <f t="shared" si="63"/>
        <v/>
      </c>
      <c r="AR101" s="72" t="str">
        <f t="shared" si="80"/>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64"/>
        <v/>
      </c>
      <c r="AW101" s="72" t="str">
        <f t="shared" si="81"/>
        <v/>
      </c>
      <c r="AX101" s="39"/>
      <c r="AY101" s="40" t="str">
        <f>IF(ISERROR(IF($K101&lt;=$F$15,VLOOKUP($I101,'表4）CO2価格'!$A$7:$E$67,VLOOKUP($F$48,'表4）CO2価格'!$H$10:$I$12,2,0),0)*$F$8/1000,"")),0,IF($K101&lt;=$F$15,VLOOKUP($I101,'表4）CO2価格'!$A$7:$E$67,VLOOKUP($F$48,'表4）CO2価格'!$H$10:$I$12,2,0),0)*$F$8/1000,""))</f>
        <v/>
      </c>
      <c r="AZ101" s="39"/>
      <c r="BA101" s="42" t="str">
        <f t="shared" si="65"/>
        <v/>
      </c>
      <c r="BB101" s="72" t="str">
        <f t="shared" si="82"/>
        <v/>
      </c>
      <c r="BC101" s="39"/>
      <c r="BD101" s="72" t="str">
        <f t="shared" si="66"/>
        <v/>
      </c>
      <c r="BE101" s="72" t="str">
        <f t="shared" si="83"/>
        <v/>
      </c>
      <c r="BF101" s="39"/>
      <c r="BG101" s="42" t="str">
        <f t="shared" si="67"/>
        <v/>
      </c>
      <c r="BH101" s="72" t="str">
        <f t="shared" si="84"/>
        <v/>
      </c>
      <c r="BI101" s="39"/>
      <c r="BJ101" s="40" t="str">
        <f t="shared" si="85"/>
        <v/>
      </c>
      <c r="BK101" s="157" t="str">
        <f t="shared" si="86"/>
        <v/>
      </c>
      <c r="BL101" s="157" t="str">
        <f t="shared" si="68"/>
        <v/>
      </c>
      <c r="BM101" s="72"/>
      <c r="BN101" s="72" t="str">
        <f t="shared" si="87"/>
        <v/>
      </c>
      <c r="BO101" s="72" t="str">
        <f t="shared" si="88"/>
        <v/>
      </c>
      <c r="BP101" s="39"/>
      <c r="BQ101" s="72" t="str">
        <f t="shared" si="69"/>
        <v/>
      </c>
      <c r="BR101" s="72" t="str">
        <f t="shared" si="89"/>
        <v/>
      </c>
    </row>
    <row r="102" spans="4:70" x14ac:dyDescent="0.15">
      <c r="F102" s="93"/>
      <c r="I102" s="322">
        <f t="shared" si="90"/>
        <v>2107</v>
      </c>
      <c r="J102" s="71"/>
      <c r="K102" s="71">
        <f t="shared" si="91"/>
        <v>88</v>
      </c>
      <c r="L102" s="71"/>
      <c r="M102" s="7">
        <f t="shared" si="54"/>
        <v>7.4186387889959446E-2</v>
      </c>
      <c r="N102" s="71"/>
      <c r="O102" s="10" t="str">
        <f t="shared" si="70"/>
        <v/>
      </c>
      <c r="P102" s="29" t="str">
        <f t="shared" si="55"/>
        <v/>
      </c>
      <c r="Q102" s="71"/>
      <c r="R102" s="10" t="str">
        <f t="shared" si="71"/>
        <v/>
      </c>
      <c r="S102" s="71"/>
      <c r="T102" s="10" t="str">
        <f t="shared" si="72"/>
        <v/>
      </c>
      <c r="U102" s="71"/>
      <c r="V102" s="10" t="str">
        <f t="shared" si="56"/>
        <v/>
      </c>
      <c r="W102" s="10" t="str">
        <f t="shared" si="73"/>
        <v/>
      </c>
      <c r="X102" s="71"/>
      <c r="Y102" s="10" t="str">
        <f t="shared" si="57"/>
        <v/>
      </c>
      <c r="Z102" s="10" t="str">
        <f t="shared" si="74"/>
        <v/>
      </c>
      <c r="AA102" s="71"/>
      <c r="AB102" s="10" t="str">
        <f t="shared" si="58"/>
        <v/>
      </c>
      <c r="AC102" s="10" t="str">
        <f t="shared" si="75"/>
        <v/>
      </c>
      <c r="AD102" s="71"/>
      <c r="AE102" s="10" t="str">
        <f t="shared" si="59"/>
        <v/>
      </c>
      <c r="AF102" s="10" t="str">
        <f t="shared" si="76"/>
        <v/>
      </c>
      <c r="AG102" s="71"/>
      <c r="AH102" s="10" t="str">
        <f t="shared" si="60"/>
        <v/>
      </c>
      <c r="AI102" s="10" t="str">
        <f t="shared" si="77"/>
        <v/>
      </c>
      <c r="AJ102" s="71"/>
      <c r="AK102" s="10" t="str">
        <f t="shared" si="61"/>
        <v/>
      </c>
      <c r="AL102" s="10" t="str">
        <f t="shared" si="78"/>
        <v/>
      </c>
      <c r="AM102" s="71"/>
      <c r="AN102" s="10" t="str">
        <f t="shared" si="62"/>
        <v/>
      </c>
      <c r="AO102" s="10" t="str">
        <f t="shared" si="79"/>
        <v/>
      </c>
      <c r="AP102" s="71"/>
      <c r="AQ102" s="10" t="str">
        <f t="shared" si="63"/>
        <v/>
      </c>
      <c r="AR102" s="10" t="str">
        <f t="shared" si="80"/>
        <v/>
      </c>
      <c r="AS102" s="71"/>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U102" s="71"/>
      <c r="AV102" s="10" t="str">
        <f t="shared" si="64"/>
        <v/>
      </c>
      <c r="AW102" s="10" t="str">
        <f t="shared" si="81"/>
        <v/>
      </c>
      <c r="AX102" s="71"/>
      <c r="AY102" s="7" t="str">
        <f>IF(ISERROR(IF($K102&lt;=$F$15,VLOOKUP($I102,'表4）CO2価格'!$A$7:$E$67,VLOOKUP($F$48,'表4）CO2価格'!$H$10:$I$12,2,0),0)*$F$8/1000,"")),0,IF($K102&lt;=$F$15,VLOOKUP($I102,'表4）CO2価格'!$A$7:$E$67,VLOOKUP($F$48,'表4）CO2価格'!$H$10:$I$12,2,0),0)*$F$8/1000,""))</f>
        <v/>
      </c>
      <c r="AZ102" s="71"/>
      <c r="BA102" s="11" t="str">
        <f t="shared" si="65"/>
        <v/>
      </c>
      <c r="BB102" s="10" t="str">
        <f t="shared" si="82"/>
        <v/>
      </c>
      <c r="BC102" s="71"/>
      <c r="BD102" s="10" t="str">
        <f t="shared" si="66"/>
        <v/>
      </c>
      <c r="BE102" s="10" t="str">
        <f t="shared" si="83"/>
        <v/>
      </c>
      <c r="BF102" s="71"/>
      <c r="BG102" s="11" t="str">
        <f t="shared" si="67"/>
        <v/>
      </c>
      <c r="BH102" s="10" t="str">
        <f t="shared" si="84"/>
        <v/>
      </c>
      <c r="BJ102" s="7" t="str">
        <f t="shared" si="85"/>
        <v/>
      </c>
      <c r="BK102" s="158" t="str">
        <f t="shared" si="86"/>
        <v/>
      </c>
      <c r="BL102" s="158" t="str">
        <f t="shared" si="68"/>
        <v/>
      </c>
      <c r="BM102" s="10"/>
      <c r="BN102" s="10" t="str">
        <f t="shared" si="87"/>
        <v/>
      </c>
      <c r="BO102" s="10" t="str">
        <f t="shared" si="88"/>
        <v/>
      </c>
      <c r="BQ102" s="10" t="str">
        <f t="shared" si="69"/>
        <v/>
      </c>
      <c r="BR102" s="10" t="str">
        <f t="shared" si="89"/>
        <v/>
      </c>
    </row>
    <row r="103" spans="4:70" x14ac:dyDescent="0.15">
      <c r="E103" s="81" t="s">
        <v>202</v>
      </c>
      <c r="F103" s="91">
        <f>BB116/$BR$116</f>
        <v>3.8715524111374942</v>
      </c>
      <c r="G103" s="81" t="s">
        <v>132</v>
      </c>
      <c r="I103" s="38">
        <f t="shared" si="90"/>
        <v>2108</v>
      </c>
      <c r="J103" s="39"/>
      <c r="K103" s="39">
        <f t="shared" si="91"/>
        <v>89</v>
      </c>
      <c r="L103" s="39"/>
      <c r="M103" s="40">
        <f t="shared" si="54"/>
        <v>7.2025619310640235E-2</v>
      </c>
      <c r="N103" s="39"/>
      <c r="O103" s="72" t="str">
        <f t="shared" si="70"/>
        <v/>
      </c>
      <c r="P103" s="41" t="str">
        <f t="shared" si="55"/>
        <v/>
      </c>
      <c r="Q103" s="39"/>
      <c r="R103" s="72" t="str">
        <f t="shared" si="71"/>
        <v/>
      </c>
      <c r="S103" s="39"/>
      <c r="T103" s="72" t="str">
        <f t="shared" si="72"/>
        <v/>
      </c>
      <c r="U103" s="39"/>
      <c r="V103" s="72" t="str">
        <f t="shared" si="56"/>
        <v/>
      </c>
      <c r="W103" s="72" t="str">
        <f t="shared" si="73"/>
        <v/>
      </c>
      <c r="X103" s="39"/>
      <c r="Y103" s="72" t="str">
        <f t="shared" si="57"/>
        <v/>
      </c>
      <c r="Z103" s="72" t="str">
        <f t="shared" si="74"/>
        <v/>
      </c>
      <c r="AA103" s="39"/>
      <c r="AB103" s="72" t="str">
        <f t="shared" si="58"/>
        <v/>
      </c>
      <c r="AC103" s="72" t="str">
        <f t="shared" si="75"/>
        <v/>
      </c>
      <c r="AD103" s="39"/>
      <c r="AE103" s="72" t="str">
        <f t="shared" si="59"/>
        <v/>
      </c>
      <c r="AF103" s="72" t="str">
        <f t="shared" si="76"/>
        <v/>
      </c>
      <c r="AG103" s="39"/>
      <c r="AH103" s="72" t="str">
        <f t="shared" si="60"/>
        <v/>
      </c>
      <c r="AI103" s="72" t="str">
        <f t="shared" si="77"/>
        <v/>
      </c>
      <c r="AJ103" s="39"/>
      <c r="AK103" s="72" t="str">
        <f t="shared" si="61"/>
        <v/>
      </c>
      <c r="AL103" s="72" t="str">
        <f t="shared" si="78"/>
        <v/>
      </c>
      <c r="AM103" s="39"/>
      <c r="AN103" s="72" t="str">
        <f t="shared" si="62"/>
        <v/>
      </c>
      <c r="AO103" s="72" t="str">
        <f t="shared" si="79"/>
        <v/>
      </c>
      <c r="AP103" s="39"/>
      <c r="AQ103" s="72" t="str">
        <f t="shared" si="63"/>
        <v/>
      </c>
      <c r="AR103" s="72" t="str">
        <f t="shared" si="80"/>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64"/>
        <v/>
      </c>
      <c r="AW103" s="72" t="str">
        <f t="shared" si="81"/>
        <v/>
      </c>
      <c r="AX103" s="39"/>
      <c r="AY103" s="40" t="str">
        <f>IF(ISERROR(IF($K103&lt;=$F$15,VLOOKUP($I103,'表4）CO2価格'!$A$7:$E$67,VLOOKUP($F$48,'表4）CO2価格'!$H$10:$I$12,2,0),0)*$F$8/1000,"")),0,IF($K103&lt;=$F$15,VLOOKUP($I103,'表4）CO2価格'!$A$7:$E$67,VLOOKUP($F$48,'表4）CO2価格'!$H$10:$I$12,2,0),0)*$F$8/1000,""))</f>
        <v/>
      </c>
      <c r="AZ103" s="39"/>
      <c r="BA103" s="42" t="str">
        <f t="shared" si="65"/>
        <v/>
      </c>
      <c r="BB103" s="72" t="str">
        <f t="shared" si="82"/>
        <v/>
      </c>
      <c r="BC103" s="39"/>
      <c r="BD103" s="72" t="str">
        <f t="shared" si="66"/>
        <v/>
      </c>
      <c r="BE103" s="72" t="str">
        <f t="shared" si="83"/>
        <v/>
      </c>
      <c r="BF103" s="39"/>
      <c r="BG103" s="42" t="str">
        <f t="shared" si="67"/>
        <v/>
      </c>
      <c r="BH103" s="72" t="str">
        <f t="shared" si="84"/>
        <v/>
      </c>
      <c r="BI103" s="39"/>
      <c r="BJ103" s="40" t="str">
        <f t="shared" si="85"/>
        <v/>
      </c>
      <c r="BK103" s="157" t="str">
        <f t="shared" si="86"/>
        <v/>
      </c>
      <c r="BL103" s="157" t="str">
        <f t="shared" si="68"/>
        <v/>
      </c>
      <c r="BM103" s="72"/>
      <c r="BN103" s="72" t="str">
        <f t="shared" si="87"/>
        <v/>
      </c>
      <c r="BO103" s="72" t="str">
        <f t="shared" si="88"/>
        <v/>
      </c>
      <c r="BP103" s="39"/>
      <c r="BQ103" s="72" t="str">
        <f t="shared" si="69"/>
        <v/>
      </c>
      <c r="BR103" s="72" t="str">
        <f t="shared" si="89"/>
        <v/>
      </c>
    </row>
    <row r="104" spans="4:70" x14ac:dyDescent="0.15">
      <c r="E104" s="81" t="s">
        <v>203</v>
      </c>
      <c r="F104" s="91">
        <f>IF(ISERROR(F60*(1/F61)/F62),0,F60*(1/F61)/F62)</f>
        <v>0</v>
      </c>
      <c r="G104" s="81" t="s">
        <v>132</v>
      </c>
      <c r="I104" s="322">
        <f t="shared" si="90"/>
        <v>2109</v>
      </c>
      <c r="J104" s="71"/>
      <c r="K104" s="71">
        <f t="shared" si="91"/>
        <v>90</v>
      </c>
      <c r="L104" s="71"/>
      <c r="M104" s="7">
        <f t="shared" si="54"/>
        <v>6.9927785738485654E-2</v>
      </c>
      <c r="N104" s="71"/>
      <c r="O104" s="10" t="str">
        <f t="shared" si="70"/>
        <v/>
      </c>
      <c r="P104" s="29" t="str">
        <f t="shared" si="55"/>
        <v/>
      </c>
      <c r="Q104" s="71"/>
      <c r="R104" s="10" t="str">
        <f t="shared" si="71"/>
        <v/>
      </c>
      <c r="S104" s="71"/>
      <c r="T104" s="10" t="str">
        <f t="shared" si="72"/>
        <v/>
      </c>
      <c r="U104" s="71"/>
      <c r="V104" s="10" t="str">
        <f t="shared" si="56"/>
        <v/>
      </c>
      <c r="W104" s="10" t="str">
        <f t="shared" si="73"/>
        <v/>
      </c>
      <c r="X104" s="71"/>
      <c r="Y104" s="10" t="str">
        <f t="shared" si="57"/>
        <v/>
      </c>
      <c r="Z104" s="10" t="str">
        <f t="shared" si="74"/>
        <v/>
      </c>
      <c r="AA104" s="71"/>
      <c r="AB104" s="10" t="str">
        <f t="shared" si="58"/>
        <v/>
      </c>
      <c r="AC104" s="10" t="str">
        <f t="shared" si="75"/>
        <v/>
      </c>
      <c r="AD104" s="71"/>
      <c r="AE104" s="10" t="str">
        <f t="shared" si="59"/>
        <v/>
      </c>
      <c r="AF104" s="10" t="str">
        <f t="shared" si="76"/>
        <v/>
      </c>
      <c r="AG104" s="71"/>
      <c r="AH104" s="10" t="str">
        <f t="shared" si="60"/>
        <v/>
      </c>
      <c r="AI104" s="10" t="str">
        <f t="shared" si="77"/>
        <v/>
      </c>
      <c r="AJ104" s="71"/>
      <c r="AK104" s="10" t="str">
        <f t="shared" si="61"/>
        <v/>
      </c>
      <c r="AL104" s="10" t="str">
        <f t="shared" si="78"/>
        <v/>
      </c>
      <c r="AM104" s="71"/>
      <c r="AN104" s="10" t="str">
        <f t="shared" si="62"/>
        <v/>
      </c>
      <c r="AO104" s="10" t="str">
        <f t="shared" si="79"/>
        <v/>
      </c>
      <c r="AP104" s="71"/>
      <c r="AQ104" s="10" t="str">
        <f t="shared" si="63"/>
        <v/>
      </c>
      <c r="AR104" s="10" t="str">
        <f t="shared" si="80"/>
        <v/>
      </c>
      <c r="AS104" s="71"/>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U104" s="71"/>
      <c r="AV104" s="10" t="str">
        <f t="shared" si="64"/>
        <v/>
      </c>
      <c r="AW104" s="10" t="str">
        <f t="shared" si="81"/>
        <v/>
      </c>
      <c r="AX104" s="71"/>
      <c r="AY104" s="7" t="str">
        <f>IF(ISERROR(IF($K104&lt;=$F$15,VLOOKUP($I104,'表4）CO2価格'!$A$7:$E$67,VLOOKUP($F$48,'表4）CO2価格'!$H$10:$I$12,2,0),0)*$F$8/1000,"")),0,IF($K104&lt;=$F$15,VLOOKUP($I104,'表4）CO2価格'!$A$7:$E$67,VLOOKUP($F$48,'表4）CO2価格'!$H$10:$I$12,2,0),0)*$F$8/1000,""))</f>
        <v/>
      </c>
      <c r="AZ104" s="71"/>
      <c r="BA104" s="11" t="str">
        <f t="shared" si="65"/>
        <v/>
      </c>
      <c r="BB104" s="10" t="str">
        <f t="shared" si="82"/>
        <v/>
      </c>
      <c r="BC104" s="71"/>
      <c r="BD104" s="10" t="str">
        <f t="shared" si="66"/>
        <v/>
      </c>
      <c r="BE104" s="10" t="str">
        <f t="shared" si="83"/>
        <v/>
      </c>
      <c r="BF104" s="71"/>
      <c r="BG104" s="11" t="str">
        <f t="shared" si="67"/>
        <v/>
      </c>
      <c r="BH104" s="10" t="str">
        <f t="shared" si="84"/>
        <v/>
      </c>
      <c r="BJ104" s="7" t="str">
        <f t="shared" si="85"/>
        <v/>
      </c>
      <c r="BK104" s="158" t="str">
        <f t="shared" si="86"/>
        <v/>
      </c>
      <c r="BL104" s="158" t="str">
        <f t="shared" si="68"/>
        <v/>
      </c>
      <c r="BM104" s="10"/>
      <c r="BN104" s="10" t="str">
        <f t="shared" si="87"/>
        <v/>
      </c>
      <c r="BO104" s="10" t="str">
        <f t="shared" si="88"/>
        <v/>
      </c>
      <c r="BQ104" s="10" t="str">
        <f t="shared" si="69"/>
        <v/>
      </c>
      <c r="BR104" s="10" t="str">
        <f t="shared" si="89"/>
        <v/>
      </c>
    </row>
    <row r="105" spans="4:70" x14ac:dyDescent="0.15">
      <c r="E105" s="9" t="s">
        <v>367</v>
      </c>
      <c r="F105" s="91">
        <f>F64</f>
        <v>4.1417000000000002E-2</v>
      </c>
      <c r="G105" s="81" t="s">
        <v>132</v>
      </c>
      <c r="I105" s="38">
        <f t="shared" si="90"/>
        <v>2110</v>
      </c>
      <c r="J105" s="39"/>
      <c r="K105" s="39">
        <f t="shared" si="91"/>
        <v>91</v>
      </c>
      <c r="L105" s="39"/>
      <c r="M105" s="40">
        <f t="shared" si="54"/>
        <v>6.7891054115034627E-2</v>
      </c>
      <c r="N105" s="39"/>
      <c r="O105" s="72" t="str">
        <f t="shared" si="70"/>
        <v/>
      </c>
      <c r="P105" s="41" t="str">
        <f t="shared" si="55"/>
        <v/>
      </c>
      <c r="Q105" s="39"/>
      <c r="R105" s="72" t="str">
        <f t="shared" si="71"/>
        <v/>
      </c>
      <c r="S105" s="39"/>
      <c r="T105" s="72" t="str">
        <f t="shared" si="72"/>
        <v/>
      </c>
      <c r="U105" s="39"/>
      <c r="V105" s="72" t="str">
        <f t="shared" si="56"/>
        <v/>
      </c>
      <c r="W105" s="72" t="str">
        <f t="shared" si="73"/>
        <v/>
      </c>
      <c r="X105" s="39"/>
      <c r="Y105" s="72" t="str">
        <f t="shared" si="57"/>
        <v/>
      </c>
      <c r="Z105" s="72" t="str">
        <f t="shared" si="74"/>
        <v/>
      </c>
      <c r="AA105" s="39"/>
      <c r="AB105" s="72" t="str">
        <f t="shared" si="58"/>
        <v/>
      </c>
      <c r="AC105" s="72" t="str">
        <f t="shared" si="75"/>
        <v/>
      </c>
      <c r="AD105" s="39"/>
      <c r="AE105" s="72" t="str">
        <f t="shared" si="59"/>
        <v/>
      </c>
      <c r="AF105" s="72" t="str">
        <f t="shared" si="76"/>
        <v/>
      </c>
      <c r="AG105" s="39"/>
      <c r="AH105" s="72" t="str">
        <f t="shared" si="60"/>
        <v/>
      </c>
      <c r="AI105" s="72" t="str">
        <f t="shared" si="77"/>
        <v/>
      </c>
      <c r="AJ105" s="39"/>
      <c r="AK105" s="72" t="str">
        <f t="shared" si="61"/>
        <v/>
      </c>
      <c r="AL105" s="72" t="str">
        <f t="shared" si="78"/>
        <v/>
      </c>
      <c r="AM105" s="39"/>
      <c r="AN105" s="72" t="str">
        <f t="shared" si="62"/>
        <v/>
      </c>
      <c r="AO105" s="72" t="str">
        <f t="shared" si="79"/>
        <v/>
      </c>
      <c r="AP105" s="39"/>
      <c r="AQ105" s="72" t="str">
        <f t="shared" si="63"/>
        <v/>
      </c>
      <c r="AR105" s="72" t="str">
        <f t="shared" si="80"/>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64"/>
        <v/>
      </c>
      <c r="AW105" s="72" t="str">
        <f t="shared" si="81"/>
        <v/>
      </c>
      <c r="AX105" s="39"/>
      <c r="AY105" s="40" t="str">
        <f>IF(ISERROR(IF($K105&lt;=$F$15,VLOOKUP($I105,'表4）CO2価格'!$A$7:$E$67,VLOOKUP($F$48,'表4）CO2価格'!$H$10:$I$12,2,0),0)*$F$8/1000,"")),0,IF($K105&lt;=$F$15,VLOOKUP($I105,'表4）CO2価格'!$A$7:$E$67,VLOOKUP($F$48,'表4）CO2価格'!$H$10:$I$12,2,0),0)*$F$8/1000,""))</f>
        <v/>
      </c>
      <c r="AZ105" s="39"/>
      <c r="BA105" s="42" t="str">
        <f t="shared" si="65"/>
        <v/>
      </c>
      <c r="BB105" s="72" t="str">
        <f t="shared" si="82"/>
        <v/>
      </c>
      <c r="BC105" s="39"/>
      <c r="BD105" s="72" t="str">
        <f t="shared" si="66"/>
        <v/>
      </c>
      <c r="BE105" s="72" t="str">
        <f t="shared" si="83"/>
        <v/>
      </c>
      <c r="BF105" s="39"/>
      <c r="BG105" s="42" t="str">
        <f t="shared" si="67"/>
        <v/>
      </c>
      <c r="BH105" s="72" t="str">
        <f t="shared" si="84"/>
        <v/>
      </c>
      <c r="BI105" s="39"/>
      <c r="BJ105" s="40" t="str">
        <f t="shared" si="85"/>
        <v/>
      </c>
      <c r="BK105" s="157" t="str">
        <f t="shared" si="86"/>
        <v/>
      </c>
      <c r="BL105" s="157" t="str">
        <f t="shared" si="68"/>
        <v/>
      </c>
      <c r="BM105" s="72"/>
      <c r="BN105" s="72" t="str">
        <f t="shared" si="87"/>
        <v/>
      </c>
      <c r="BO105" s="72" t="str">
        <f t="shared" si="88"/>
        <v/>
      </c>
      <c r="BP105" s="39"/>
      <c r="BQ105" s="72" t="str">
        <f t="shared" si="69"/>
        <v/>
      </c>
      <c r="BR105" s="72" t="str">
        <f t="shared" si="89"/>
        <v/>
      </c>
    </row>
    <row r="106" spans="4:70" x14ac:dyDescent="0.15">
      <c r="F106" s="93"/>
      <c r="I106" s="322">
        <f t="shared" si="90"/>
        <v>2111</v>
      </c>
      <c r="J106" s="71"/>
      <c r="K106" s="71">
        <f t="shared" si="91"/>
        <v>92</v>
      </c>
      <c r="L106" s="71"/>
      <c r="M106" s="7">
        <f t="shared" si="54"/>
        <v>6.5913644771878277E-2</v>
      </c>
      <c r="N106" s="71"/>
      <c r="O106" s="10" t="str">
        <f t="shared" si="70"/>
        <v/>
      </c>
      <c r="P106" s="29" t="str">
        <f t="shared" si="55"/>
        <v/>
      </c>
      <c r="Q106" s="71"/>
      <c r="R106" s="10" t="str">
        <f t="shared" si="71"/>
        <v/>
      </c>
      <c r="S106" s="71"/>
      <c r="T106" s="10" t="str">
        <f t="shared" si="72"/>
        <v/>
      </c>
      <c r="U106" s="71"/>
      <c r="V106" s="10" t="str">
        <f t="shared" si="56"/>
        <v/>
      </c>
      <c r="W106" s="10" t="str">
        <f t="shared" si="73"/>
        <v/>
      </c>
      <c r="X106" s="71"/>
      <c r="Y106" s="10" t="str">
        <f t="shared" si="57"/>
        <v/>
      </c>
      <c r="Z106" s="10" t="str">
        <f t="shared" si="74"/>
        <v/>
      </c>
      <c r="AA106" s="71"/>
      <c r="AB106" s="10" t="str">
        <f t="shared" si="58"/>
        <v/>
      </c>
      <c r="AC106" s="10" t="str">
        <f t="shared" si="75"/>
        <v/>
      </c>
      <c r="AD106" s="71"/>
      <c r="AE106" s="10" t="str">
        <f t="shared" si="59"/>
        <v/>
      </c>
      <c r="AF106" s="10" t="str">
        <f t="shared" si="76"/>
        <v/>
      </c>
      <c r="AG106" s="71"/>
      <c r="AH106" s="10" t="str">
        <f t="shared" si="60"/>
        <v/>
      </c>
      <c r="AI106" s="10" t="str">
        <f t="shared" si="77"/>
        <v/>
      </c>
      <c r="AJ106" s="71"/>
      <c r="AK106" s="10" t="str">
        <f t="shared" si="61"/>
        <v/>
      </c>
      <c r="AL106" s="10" t="str">
        <f t="shared" si="78"/>
        <v/>
      </c>
      <c r="AM106" s="71"/>
      <c r="AN106" s="10" t="str">
        <f t="shared" si="62"/>
        <v/>
      </c>
      <c r="AO106" s="10" t="str">
        <f t="shared" si="79"/>
        <v/>
      </c>
      <c r="AP106" s="71"/>
      <c r="AQ106" s="10" t="str">
        <f t="shared" si="63"/>
        <v/>
      </c>
      <c r="AR106" s="10" t="str">
        <f t="shared" si="80"/>
        <v/>
      </c>
      <c r="AS106" s="71"/>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U106" s="71"/>
      <c r="AV106" s="10" t="str">
        <f t="shared" si="64"/>
        <v/>
      </c>
      <c r="AW106" s="10" t="str">
        <f t="shared" si="81"/>
        <v/>
      </c>
      <c r="AX106" s="71"/>
      <c r="AY106" s="7" t="str">
        <f>IF(ISERROR(IF($K106&lt;=$F$15,VLOOKUP($I106,'表4）CO2価格'!$A$7:$E$67,VLOOKUP($F$48,'表4）CO2価格'!$H$10:$I$12,2,0),0)*$F$8/1000,"")),0,IF($K106&lt;=$F$15,VLOOKUP($I106,'表4）CO2価格'!$A$7:$E$67,VLOOKUP($F$48,'表4）CO2価格'!$H$10:$I$12,2,0),0)*$F$8/1000,""))</f>
        <v/>
      </c>
      <c r="AZ106" s="71"/>
      <c r="BA106" s="11" t="str">
        <f t="shared" si="65"/>
        <v/>
      </c>
      <c r="BB106" s="10" t="str">
        <f t="shared" si="82"/>
        <v/>
      </c>
      <c r="BC106" s="71"/>
      <c r="BD106" s="10" t="str">
        <f t="shared" si="66"/>
        <v/>
      </c>
      <c r="BE106" s="10" t="str">
        <f t="shared" si="83"/>
        <v/>
      </c>
      <c r="BF106" s="71"/>
      <c r="BG106" s="11" t="str">
        <f t="shared" si="67"/>
        <v/>
      </c>
      <c r="BH106" s="10" t="str">
        <f t="shared" si="84"/>
        <v/>
      </c>
      <c r="BJ106" s="7" t="str">
        <f t="shared" si="85"/>
        <v/>
      </c>
      <c r="BK106" s="158" t="str">
        <f t="shared" si="86"/>
        <v/>
      </c>
      <c r="BL106" s="158" t="str">
        <f t="shared" si="68"/>
        <v/>
      </c>
      <c r="BM106" s="10"/>
      <c r="BN106" s="10" t="str">
        <f t="shared" si="87"/>
        <v/>
      </c>
      <c r="BO106" s="10" t="str">
        <f t="shared" si="88"/>
        <v/>
      </c>
      <c r="BQ106" s="10" t="str">
        <f t="shared" si="69"/>
        <v/>
      </c>
      <c r="BR106" s="10" t="str">
        <f t="shared" si="89"/>
        <v/>
      </c>
    </row>
    <row r="107" spans="4:70" ht="15" x14ac:dyDescent="0.15">
      <c r="D107" s="116" t="s">
        <v>204</v>
      </c>
      <c r="F107" s="94">
        <f>SUBTOTAL(9,F111:F112)</f>
        <v>0</v>
      </c>
      <c r="G107" s="81" t="s">
        <v>132</v>
      </c>
      <c r="I107" s="38">
        <f t="shared" si="90"/>
        <v>2112</v>
      </c>
      <c r="J107" s="39"/>
      <c r="K107" s="39">
        <f t="shared" si="91"/>
        <v>93</v>
      </c>
      <c r="L107" s="39"/>
      <c r="M107" s="40">
        <f t="shared" si="54"/>
        <v>6.3993829875609989E-2</v>
      </c>
      <c r="N107" s="39"/>
      <c r="O107" s="72" t="str">
        <f t="shared" si="70"/>
        <v/>
      </c>
      <c r="P107" s="41" t="str">
        <f t="shared" si="55"/>
        <v/>
      </c>
      <c r="Q107" s="39"/>
      <c r="R107" s="72" t="str">
        <f t="shared" si="71"/>
        <v/>
      </c>
      <c r="S107" s="39"/>
      <c r="T107" s="72" t="str">
        <f t="shared" si="72"/>
        <v/>
      </c>
      <c r="U107" s="39"/>
      <c r="V107" s="72" t="str">
        <f t="shared" si="56"/>
        <v/>
      </c>
      <c r="W107" s="72" t="str">
        <f t="shared" si="73"/>
        <v/>
      </c>
      <c r="X107" s="39"/>
      <c r="Y107" s="72" t="str">
        <f t="shared" si="57"/>
        <v/>
      </c>
      <c r="Z107" s="72" t="str">
        <f t="shared" si="74"/>
        <v/>
      </c>
      <c r="AA107" s="39"/>
      <c r="AB107" s="72" t="str">
        <f t="shared" si="58"/>
        <v/>
      </c>
      <c r="AC107" s="72" t="str">
        <f t="shared" si="75"/>
        <v/>
      </c>
      <c r="AD107" s="39"/>
      <c r="AE107" s="72" t="str">
        <f t="shared" si="59"/>
        <v/>
      </c>
      <c r="AF107" s="72" t="str">
        <f t="shared" si="76"/>
        <v/>
      </c>
      <c r="AG107" s="39"/>
      <c r="AH107" s="72" t="str">
        <f t="shared" si="60"/>
        <v/>
      </c>
      <c r="AI107" s="72" t="str">
        <f t="shared" si="77"/>
        <v/>
      </c>
      <c r="AJ107" s="39"/>
      <c r="AK107" s="72" t="str">
        <f t="shared" si="61"/>
        <v/>
      </c>
      <c r="AL107" s="72" t="str">
        <f t="shared" si="78"/>
        <v/>
      </c>
      <c r="AM107" s="39"/>
      <c r="AN107" s="72" t="str">
        <f t="shared" si="62"/>
        <v/>
      </c>
      <c r="AO107" s="72" t="str">
        <f t="shared" si="79"/>
        <v/>
      </c>
      <c r="AP107" s="39"/>
      <c r="AQ107" s="72" t="str">
        <f t="shared" si="63"/>
        <v/>
      </c>
      <c r="AR107" s="72" t="str">
        <f t="shared" si="80"/>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64"/>
        <v/>
      </c>
      <c r="AW107" s="72" t="str">
        <f t="shared" si="81"/>
        <v/>
      </c>
      <c r="AX107" s="39"/>
      <c r="AY107" s="40" t="str">
        <f>IF(ISERROR(IF($K107&lt;=$F$15,VLOOKUP($I107,'表4）CO2価格'!$A$7:$E$67,VLOOKUP($F$48,'表4）CO2価格'!$H$10:$I$12,2,0),0)*$F$8/1000,"")),0,IF($K107&lt;=$F$15,VLOOKUP($I107,'表4）CO2価格'!$A$7:$E$67,VLOOKUP($F$48,'表4）CO2価格'!$H$10:$I$12,2,0),0)*$F$8/1000,""))</f>
        <v/>
      </c>
      <c r="AZ107" s="39"/>
      <c r="BA107" s="42" t="str">
        <f t="shared" si="65"/>
        <v/>
      </c>
      <c r="BB107" s="72" t="str">
        <f t="shared" si="82"/>
        <v/>
      </c>
      <c r="BC107" s="39"/>
      <c r="BD107" s="72" t="str">
        <f t="shared" si="66"/>
        <v/>
      </c>
      <c r="BE107" s="72" t="str">
        <f t="shared" si="83"/>
        <v/>
      </c>
      <c r="BF107" s="39"/>
      <c r="BG107" s="42" t="str">
        <f t="shared" si="67"/>
        <v/>
      </c>
      <c r="BH107" s="72" t="str">
        <f t="shared" si="84"/>
        <v/>
      </c>
      <c r="BI107" s="39"/>
      <c r="BJ107" s="40" t="str">
        <f t="shared" si="85"/>
        <v/>
      </c>
      <c r="BK107" s="157" t="str">
        <f t="shared" si="86"/>
        <v/>
      </c>
      <c r="BL107" s="157" t="str">
        <f t="shared" si="68"/>
        <v/>
      </c>
      <c r="BM107" s="72"/>
      <c r="BN107" s="72" t="str">
        <f t="shared" si="87"/>
        <v/>
      </c>
      <c r="BO107" s="72" t="str">
        <f t="shared" si="88"/>
        <v/>
      </c>
      <c r="BP107" s="39"/>
      <c r="BQ107" s="72" t="str">
        <f t="shared" si="69"/>
        <v/>
      </c>
      <c r="BR107" s="72" t="str">
        <f t="shared" si="89"/>
        <v/>
      </c>
    </row>
    <row r="108" spans="4:70" ht="15" x14ac:dyDescent="0.15">
      <c r="D108" s="116"/>
      <c r="F108" s="93"/>
      <c r="I108" s="322">
        <f t="shared" si="90"/>
        <v>2113</v>
      </c>
      <c r="J108" s="71"/>
      <c r="K108" s="71">
        <f t="shared" si="91"/>
        <v>94</v>
      </c>
      <c r="L108" s="71"/>
      <c r="M108" s="7">
        <f t="shared" si="54"/>
        <v>6.212993191806794E-2</v>
      </c>
      <c r="N108" s="71"/>
      <c r="O108" s="10" t="str">
        <f t="shared" si="70"/>
        <v/>
      </c>
      <c r="P108" s="29" t="str">
        <f t="shared" si="55"/>
        <v/>
      </c>
      <c r="Q108" s="71"/>
      <c r="R108" s="10" t="str">
        <f t="shared" si="71"/>
        <v/>
      </c>
      <c r="S108" s="71"/>
      <c r="T108" s="10" t="str">
        <f t="shared" si="72"/>
        <v/>
      </c>
      <c r="U108" s="71"/>
      <c r="V108" s="10" t="str">
        <f t="shared" si="56"/>
        <v/>
      </c>
      <c r="W108" s="10" t="str">
        <f t="shared" si="73"/>
        <v/>
      </c>
      <c r="X108" s="71"/>
      <c r="Y108" s="10" t="str">
        <f t="shared" si="57"/>
        <v/>
      </c>
      <c r="Z108" s="10" t="str">
        <f t="shared" si="74"/>
        <v/>
      </c>
      <c r="AA108" s="71"/>
      <c r="AB108" s="10" t="str">
        <f t="shared" si="58"/>
        <v/>
      </c>
      <c r="AC108" s="10" t="str">
        <f t="shared" si="75"/>
        <v/>
      </c>
      <c r="AD108" s="71"/>
      <c r="AE108" s="10" t="str">
        <f t="shared" si="59"/>
        <v/>
      </c>
      <c r="AF108" s="10" t="str">
        <f t="shared" si="76"/>
        <v/>
      </c>
      <c r="AG108" s="71"/>
      <c r="AH108" s="10" t="str">
        <f t="shared" si="60"/>
        <v/>
      </c>
      <c r="AI108" s="10" t="str">
        <f t="shared" si="77"/>
        <v/>
      </c>
      <c r="AJ108" s="71"/>
      <c r="AK108" s="10" t="str">
        <f t="shared" si="61"/>
        <v/>
      </c>
      <c r="AL108" s="10" t="str">
        <f t="shared" si="78"/>
        <v/>
      </c>
      <c r="AM108" s="71"/>
      <c r="AN108" s="10" t="str">
        <f t="shared" si="62"/>
        <v/>
      </c>
      <c r="AO108" s="10" t="str">
        <f t="shared" si="79"/>
        <v/>
      </c>
      <c r="AP108" s="71"/>
      <c r="AQ108" s="10" t="str">
        <f t="shared" si="63"/>
        <v/>
      </c>
      <c r="AR108" s="10" t="str">
        <f t="shared" si="80"/>
        <v/>
      </c>
      <c r="AS108" s="71"/>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U108" s="71"/>
      <c r="AV108" s="10" t="str">
        <f t="shared" si="64"/>
        <v/>
      </c>
      <c r="AW108" s="10" t="str">
        <f t="shared" si="81"/>
        <v/>
      </c>
      <c r="AX108" s="71"/>
      <c r="AY108" s="7" t="str">
        <f>IF(ISERROR(IF($K108&lt;=$F$15,VLOOKUP($I108,'表4）CO2価格'!$A$7:$E$67,VLOOKUP($F$48,'表4）CO2価格'!$H$10:$I$12,2,0),0)*$F$8/1000,"")),0,IF($K108&lt;=$F$15,VLOOKUP($I108,'表4）CO2価格'!$A$7:$E$67,VLOOKUP($F$48,'表4）CO2価格'!$H$10:$I$12,2,0),0)*$F$8/1000,""))</f>
        <v/>
      </c>
      <c r="AZ108" s="71"/>
      <c r="BA108" s="11" t="str">
        <f t="shared" si="65"/>
        <v/>
      </c>
      <c r="BB108" s="10" t="str">
        <f t="shared" si="82"/>
        <v/>
      </c>
      <c r="BC108" s="71"/>
      <c r="BD108" s="10" t="str">
        <f t="shared" si="66"/>
        <v/>
      </c>
      <c r="BE108" s="10" t="str">
        <f t="shared" si="83"/>
        <v/>
      </c>
      <c r="BF108" s="71"/>
      <c r="BG108" s="11" t="str">
        <f t="shared" si="67"/>
        <v/>
      </c>
      <c r="BH108" s="10" t="str">
        <f t="shared" si="84"/>
        <v/>
      </c>
      <c r="BJ108" s="7" t="str">
        <f t="shared" si="85"/>
        <v/>
      </c>
      <c r="BK108" s="158" t="str">
        <f t="shared" si="86"/>
        <v/>
      </c>
      <c r="BL108" s="158" t="str">
        <f t="shared" si="68"/>
        <v/>
      </c>
      <c r="BM108" s="10"/>
      <c r="BN108" s="10" t="str">
        <f t="shared" si="87"/>
        <v/>
      </c>
      <c r="BO108" s="10" t="str">
        <f t="shared" si="88"/>
        <v/>
      </c>
      <c r="BQ108" s="10" t="str">
        <f t="shared" si="69"/>
        <v/>
      </c>
      <c r="BR108" s="10" t="str">
        <f t="shared" si="89"/>
        <v/>
      </c>
    </row>
    <row r="109" spans="4:70" x14ac:dyDescent="0.15">
      <c r="D109" s="101" t="s">
        <v>205</v>
      </c>
      <c r="E109" s="101"/>
      <c r="F109" s="92"/>
      <c r="G109" s="101"/>
      <c r="I109" s="38">
        <f t="shared" si="90"/>
        <v>2114</v>
      </c>
      <c r="J109" s="39"/>
      <c r="K109" s="39">
        <f t="shared" si="91"/>
        <v>95</v>
      </c>
      <c r="L109" s="39"/>
      <c r="M109" s="40">
        <f t="shared" si="54"/>
        <v>6.0320322250551395E-2</v>
      </c>
      <c r="N109" s="39"/>
      <c r="O109" s="72" t="str">
        <f t="shared" si="70"/>
        <v/>
      </c>
      <c r="P109" s="41" t="str">
        <f t="shared" si="55"/>
        <v/>
      </c>
      <c r="Q109" s="39"/>
      <c r="R109" s="72" t="str">
        <f t="shared" si="71"/>
        <v/>
      </c>
      <c r="S109" s="39"/>
      <c r="T109" s="72" t="str">
        <f t="shared" si="72"/>
        <v/>
      </c>
      <c r="U109" s="39"/>
      <c r="V109" s="72" t="str">
        <f t="shared" si="56"/>
        <v/>
      </c>
      <c r="W109" s="72" t="str">
        <f t="shared" si="73"/>
        <v/>
      </c>
      <c r="X109" s="39"/>
      <c r="Y109" s="72" t="str">
        <f t="shared" si="57"/>
        <v/>
      </c>
      <c r="Z109" s="72" t="str">
        <f t="shared" si="74"/>
        <v/>
      </c>
      <c r="AA109" s="39"/>
      <c r="AB109" s="72" t="str">
        <f t="shared" si="58"/>
        <v/>
      </c>
      <c r="AC109" s="72" t="str">
        <f t="shared" si="75"/>
        <v/>
      </c>
      <c r="AD109" s="39"/>
      <c r="AE109" s="72" t="str">
        <f t="shared" si="59"/>
        <v/>
      </c>
      <c r="AF109" s="72" t="str">
        <f t="shared" si="76"/>
        <v/>
      </c>
      <c r="AG109" s="39"/>
      <c r="AH109" s="72" t="str">
        <f t="shared" si="60"/>
        <v/>
      </c>
      <c r="AI109" s="72" t="str">
        <f t="shared" si="77"/>
        <v/>
      </c>
      <c r="AJ109" s="39"/>
      <c r="AK109" s="72" t="str">
        <f t="shared" si="61"/>
        <v/>
      </c>
      <c r="AL109" s="72" t="str">
        <f t="shared" si="78"/>
        <v/>
      </c>
      <c r="AM109" s="39"/>
      <c r="AN109" s="72" t="str">
        <f t="shared" si="62"/>
        <v/>
      </c>
      <c r="AO109" s="72" t="str">
        <f t="shared" si="79"/>
        <v/>
      </c>
      <c r="AP109" s="39"/>
      <c r="AQ109" s="72" t="str">
        <f t="shared" si="63"/>
        <v/>
      </c>
      <c r="AR109" s="72" t="str">
        <f t="shared" si="80"/>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64"/>
        <v/>
      </c>
      <c r="AW109" s="72" t="str">
        <f t="shared" si="81"/>
        <v/>
      </c>
      <c r="AX109" s="39"/>
      <c r="AY109" s="40" t="str">
        <f>IF(ISERROR(IF($K109&lt;=$F$15,VLOOKUP($I109,'表4）CO2価格'!$A$7:$E$67,VLOOKUP($F$48,'表4）CO2価格'!$H$10:$I$12,2,0),0)*$F$8/1000,"")),0,IF($K109&lt;=$F$15,VLOOKUP($I109,'表4）CO2価格'!$A$7:$E$67,VLOOKUP($F$48,'表4）CO2価格'!$H$10:$I$12,2,0),0)*$F$8/1000,""))</f>
        <v/>
      </c>
      <c r="AZ109" s="39"/>
      <c r="BA109" s="42" t="str">
        <f t="shared" si="65"/>
        <v/>
      </c>
      <c r="BB109" s="72" t="str">
        <f t="shared" si="82"/>
        <v/>
      </c>
      <c r="BC109" s="39"/>
      <c r="BD109" s="72" t="str">
        <f t="shared" si="66"/>
        <v/>
      </c>
      <c r="BE109" s="72" t="str">
        <f t="shared" si="83"/>
        <v/>
      </c>
      <c r="BF109" s="39"/>
      <c r="BG109" s="42" t="str">
        <f t="shared" si="67"/>
        <v/>
      </c>
      <c r="BH109" s="72" t="str">
        <f t="shared" si="84"/>
        <v/>
      </c>
      <c r="BI109" s="39"/>
      <c r="BJ109" s="40" t="str">
        <f t="shared" si="85"/>
        <v/>
      </c>
      <c r="BK109" s="157" t="str">
        <f t="shared" si="86"/>
        <v/>
      </c>
      <c r="BL109" s="157" t="str">
        <f t="shared" si="68"/>
        <v/>
      </c>
      <c r="BM109" s="72"/>
      <c r="BN109" s="72" t="str">
        <f t="shared" si="87"/>
        <v/>
      </c>
      <c r="BO109" s="72" t="str">
        <f t="shared" si="88"/>
        <v/>
      </c>
      <c r="BP109" s="39"/>
      <c r="BQ109" s="72" t="str">
        <f t="shared" si="69"/>
        <v/>
      </c>
      <c r="BR109" s="72" t="str">
        <f t="shared" si="89"/>
        <v/>
      </c>
    </row>
    <row r="110" spans="4:70" ht="15" x14ac:dyDescent="0.15">
      <c r="D110" s="116"/>
      <c r="F110" s="93"/>
      <c r="I110" s="322">
        <f t="shared" si="90"/>
        <v>2115</v>
      </c>
      <c r="J110" s="71"/>
      <c r="K110" s="71">
        <f t="shared" si="91"/>
        <v>96</v>
      </c>
      <c r="L110" s="71"/>
      <c r="M110" s="7">
        <f t="shared" si="54"/>
        <v>5.8563419660729518E-2</v>
      </c>
      <c r="N110" s="71"/>
      <c r="O110" s="10" t="str">
        <f t="shared" si="70"/>
        <v/>
      </c>
      <c r="P110" s="29" t="str">
        <f t="shared" si="55"/>
        <v/>
      </c>
      <c r="Q110" s="71"/>
      <c r="R110" s="10" t="str">
        <f t="shared" si="71"/>
        <v/>
      </c>
      <c r="S110" s="71"/>
      <c r="T110" s="10" t="str">
        <f t="shared" si="72"/>
        <v/>
      </c>
      <c r="U110" s="71"/>
      <c r="V110" s="10" t="str">
        <f t="shared" si="56"/>
        <v/>
      </c>
      <c r="W110" s="10" t="str">
        <f t="shared" si="73"/>
        <v/>
      </c>
      <c r="X110" s="71"/>
      <c r="Y110" s="10" t="str">
        <f t="shared" si="57"/>
        <v/>
      </c>
      <c r="Z110" s="10" t="str">
        <f t="shared" si="74"/>
        <v/>
      </c>
      <c r="AA110" s="71"/>
      <c r="AB110" s="10" t="str">
        <f t="shared" si="58"/>
        <v/>
      </c>
      <c r="AC110" s="10" t="str">
        <f t="shared" si="75"/>
        <v/>
      </c>
      <c r="AD110" s="71"/>
      <c r="AE110" s="10" t="str">
        <f t="shared" si="59"/>
        <v/>
      </c>
      <c r="AF110" s="10" t="str">
        <f t="shared" si="76"/>
        <v/>
      </c>
      <c r="AG110" s="71"/>
      <c r="AH110" s="10" t="str">
        <f t="shared" si="60"/>
        <v/>
      </c>
      <c r="AI110" s="10" t="str">
        <f t="shared" si="77"/>
        <v/>
      </c>
      <c r="AJ110" s="71"/>
      <c r="AK110" s="10" t="str">
        <f t="shared" si="61"/>
        <v/>
      </c>
      <c r="AL110" s="10" t="str">
        <f t="shared" si="78"/>
        <v/>
      </c>
      <c r="AM110" s="71"/>
      <c r="AN110" s="10" t="str">
        <f t="shared" si="62"/>
        <v/>
      </c>
      <c r="AO110" s="10" t="str">
        <f t="shared" si="79"/>
        <v/>
      </c>
      <c r="AP110" s="71"/>
      <c r="AQ110" s="10" t="str">
        <f t="shared" si="63"/>
        <v/>
      </c>
      <c r="AR110" s="10" t="str">
        <f t="shared" si="80"/>
        <v/>
      </c>
      <c r="AS110" s="71"/>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U110" s="71"/>
      <c r="AV110" s="10" t="str">
        <f t="shared" si="64"/>
        <v/>
      </c>
      <c r="AW110" s="10" t="str">
        <f t="shared" si="81"/>
        <v/>
      </c>
      <c r="AX110" s="71"/>
      <c r="AY110" s="7" t="str">
        <f>IF(ISERROR(IF($K110&lt;=$F$15,VLOOKUP($I110,'表4）CO2価格'!$A$7:$E$67,VLOOKUP($F$48,'表4）CO2価格'!$H$10:$I$12,2,0),0)*$F$8/1000,"")),0,IF($K110&lt;=$F$15,VLOOKUP($I110,'表4）CO2価格'!$A$7:$E$67,VLOOKUP($F$48,'表4）CO2価格'!$H$10:$I$12,2,0),0)*$F$8/1000,""))</f>
        <v/>
      </c>
      <c r="AZ110" s="71"/>
      <c r="BA110" s="11" t="str">
        <f t="shared" si="65"/>
        <v/>
      </c>
      <c r="BB110" s="10" t="str">
        <f t="shared" si="82"/>
        <v/>
      </c>
      <c r="BC110" s="71"/>
      <c r="BD110" s="10" t="str">
        <f t="shared" si="66"/>
        <v/>
      </c>
      <c r="BE110" s="10" t="str">
        <f t="shared" si="83"/>
        <v/>
      </c>
      <c r="BF110" s="71"/>
      <c r="BG110" s="11" t="str">
        <f t="shared" si="67"/>
        <v/>
      </c>
      <c r="BH110" s="10" t="str">
        <f t="shared" si="84"/>
        <v/>
      </c>
      <c r="BJ110" s="7" t="str">
        <f t="shared" si="85"/>
        <v/>
      </c>
      <c r="BK110" s="158" t="str">
        <f t="shared" si="86"/>
        <v/>
      </c>
      <c r="BL110" s="158" t="str">
        <f t="shared" si="68"/>
        <v/>
      </c>
      <c r="BM110" s="10"/>
      <c r="BN110" s="10" t="str">
        <f t="shared" si="87"/>
        <v/>
      </c>
      <c r="BO110" s="10" t="str">
        <f t="shared" si="88"/>
        <v/>
      </c>
      <c r="BQ110" s="10" t="str">
        <f t="shared" si="69"/>
        <v/>
      </c>
      <c r="BR110" s="10" t="str">
        <f t="shared" si="89"/>
        <v/>
      </c>
    </row>
    <row r="111" spans="4:70" ht="15" x14ac:dyDescent="0.15">
      <c r="D111" s="116"/>
      <c r="E111" s="81" t="s">
        <v>206</v>
      </c>
      <c r="F111" s="91">
        <f>-BE116/BR116</f>
        <v>0</v>
      </c>
      <c r="G111" s="81" t="s">
        <v>132</v>
      </c>
      <c r="I111" s="38">
        <f t="shared" si="90"/>
        <v>2116</v>
      </c>
      <c r="J111" s="39"/>
      <c r="K111" s="39">
        <f t="shared" si="91"/>
        <v>97</v>
      </c>
      <c r="L111" s="39"/>
      <c r="M111" s="40">
        <f t="shared" si="54"/>
        <v>5.6857688990999529E-2</v>
      </c>
      <c r="N111" s="39"/>
      <c r="O111" s="72" t="str">
        <f t="shared" si="70"/>
        <v/>
      </c>
      <c r="P111" s="41" t="str">
        <f>IF(K111&lt;=$F$15,IF(OR(P110=$F$124,P110="-"),"-",IF(O111*$F$123&gt;$F$127,$F$123,$F$124)),"")</f>
        <v/>
      </c>
      <c r="Q111" s="39"/>
      <c r="R111" s="72" t="str">
        <f t="shared" si="71"/>
        <v/>
      </c>
      <c r="S111" s="39"/>
      <c r="T111" s="72" t="str">
        <f t="shared" si="72"/>
        <v/>
      </c>
      <c r="U111" s="39"/>
      <c r="V111" s="72" t="str">
        <f t="shared" si="56"/>
        <v/>
      </c>
      <c r="W111" s="72" t="str">
        <f t="shared" si="73"/>
        <v/>
      </c>
      <c r="X111" s="39"/>
      <c r="Y111" s="72" t="str">
        <f t="shared" si="57"/>
        <v/>
      </c>
      <c r="Z111" s="72" t="str">
        <f t="shared" si="74"/>
        <v/>
      </c>
      <c r="AA111" s="39"/>
      <c r="AB111" s="72" t="str">
        <f t="shared" si="58"/>
        <v/>
      </c>
      <c r="AC111" s="72" t="str">
        <f t="shared" si="75"/>
        <v/>
      </c>
      <c r="AD111" s="39"/>
      <c r="AE111" s="72" t="str">
        <f t="shared" si="59"/>
        <v/>
      </c>
      <c r="AF111" s="72" t="str">
        <f t="shared" si="76"/>
        <v/>
      </c>
      <c r="AG111" s="39"/>
      <c r="AH111" s="72" t="str">
        <f t="shared" si="60"/>
        <v/>
      </c>
      <c r="AI111" s="72" t="str">
        <f t="shared" si="77"/>
        <v/>
      </c>
      <c r="AJ111" s="39"/>
      <c r="AK111" s="72" t="str">
        <f t="shared" si="61"/>
        <v/>
      </c>
      <c r="AL111" s="72" t="str">
        <f t="shared" si="78"/>
        <v/>
      </c>
      <c r="AM111" s="39"/>
      <c r="AN111" s="72" t="str">
        <f t="shared" si="62"/>
        <v/>
      </c>
      <c r="AO111" s="72" t="str">
        <f t="shared" si="79"/>
        <v/>
      </c>
      <c r="AP111" s="39"/>
      <c r="AQ111" s="72" t="str">
        <f t="shared" si="63"/>
        <v/>
      </c>
      <c r="AR111" s="72" t="str">
        <f t="shared" si="80"/>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64"/>
        <v/>
      </c>
      <c r="AW111" s="72" t="str">
        <f t="shared" si="81"/>
        <v/>
      </c>
      <c r="AX111" s="39"/>
      <c r="AY111" s="40" t="str">
        <f>IF(ISERROR(IF($K111&lt;=$F$15,VLOOKUP($I111,'表4）CO2価格'!$A$7:$E$67,VLOOKUP($F$48,'表4）CO2価格'!$H$10:$I$12,2,0),0)*$F$8/1000,"")),0,IF($K111&lt;=$F$15,VLOOKUP($I111,'表4）CO2価格'!$A$7:$E$67,VLOOKUP($F$48,'表4）CO2価格'!$H$10:$I$12,2,0),0)*$F$8/1000,""))</f>
        <v/>
      </c>
      <c r="AZ111" s="39"/>
      <c r="BA111" s="42" t="str">
        <f t="shared" si="65"/>
        <v/>
      </c>
      <c r="BB111" s="72" t="str">
        <f t="shared" si="82"/>
        <v/>
      </c>
      <c r="BC111" s="39"/>
      <c r="BD111" s="72" t="str">
        <f t="shared" si="66"/>
        <v/>
      </c>
      <c r="BE111" s="72" t="str">
        <f t="shared" si="83"/>
        <v/>
      </c>
      <c r="BF111" s="39"/>
      <c r="BG111" s="42" t="str">
        <f t="shared" si="67"/>
        <v/>
      </c>
      <c r="BH111" s="72" t="str">
        <f t="shared" si="84"/>
        <v/>
      </c>
      <c r="BI111" s="39"/>
      <c r="BJ111" s="40" t="str">
        <f t="shared" si="85"/>
        <v/>
      </c>
      <c r="BK111" s="157" t="str">
        <f t="shared" si="86"/>
        <v/>
      </c>
      <c r="BL111" s="157" t="str">
        <f t="shared" si="68"/>
        <v/>
      </c>
      <c r="BM111" s="72"/>
      <c r="BN111" s="72" t="str">
        <f t="shared" si="87"/>
        <v/>
      </c>
      <c r="BO111" s="72" t="str">
        <f t="shared" si="88"/>
        <v/>
      </c>
      <c r="BP111" s="39"/>
      <c r="BQ111" s="72" t="str">
        <f t="shared" si="69"/>
        <v/>
      </c>
      <c r="BR111" s="72" t="str">
        <f t="shared" si="89"/>
        <v/>
      </c>
    </row>
    <row r="112" spans="4:70" ht="15" x14ac:dyDescent="0.15">
      <c r="D112" s="116"/>
      <c r="E112" s="81" t="s">
        <v>207</v>
      </c>
      <c r="F112" s="91">
        <f>-BH116/BR116</f>
        <v>0</v>
      </c>
      <c r="G112" s="81" t="s">
        <v>132</v>
      </c>
      <c r="I112" s="322">
        <f t="shared" si="90"/>
        <v>2117</v>
      </c>
      <c r="J112" s="71"/>
      <c r="K112" s="71">
        <f t="shared" si="91"/>
        <v>98</v>
      </c>
      <c r="L112" s="71"/>
      <c r="M112" s="7">
        <f t="shared" si="54"/>
        <v>5.5201639797086935E-2</v>
      </c>
      <c r="N112" s="71"/>
      <c r="O112" s="10" t="str">
        <f t="shared" si="70"/>
        <v/>
      </c>
      <c r="P112" s="29" t="str">
        <f>IF(K112&lt;=$F$15,IF(OR(P111=$F$124,P111="-"),"-",IF(O112*$F$123&gt;$F$127,$F$123,$F$124)),"")</f>
        <v/>
      </c>
      <c r="Q112" s="71"/>
      <c r="R112" s="10" t="str">
        <f t="shared" si="71"/>
        <v/>
      </c>
      <c r="S112" s="71"/>
      <c r="T112" s="10" t="str">
        <f t="shared" si="72"/>
        <v/>
      </c>
      <c r="U112" s="71"/>
      <c r="V112" s="10" t="str">
        <f t="shared" si="56"/>
        <v/>
      </c>
      <c r="W112" s="10" t="str">
        <f t="shared" si="73"/>
        <v/>
      </c>
      <c r="X112" s="71"/>
      <c r="Y112" s="10" t="str">
        <f t="shared" si="57"/>
        <v/>
      </c>
      <c r="Z112" s="10" t="str">
        <f t="shared" si="74"/>
        <v/>
      </c>
      <c r="AA112" s="71"/>
      <c r="AB112" s="10" t="str">
        <f t="shared" si="58"/>
        <v/>
      </c>
      <c r="AC112" s="10" t="str">
        <f t="shared" si="75"/>
        <v/>
      </c>
      <c r="AD112" s="71"/>
      <c r="AE112" s="10" t="str">
        <f t="shared" si="59"/>
        <v/>
      </c>
      <c r="AF112" s="10" t="str">
        <f t="shared" si="76"/>
        <v/>
      </c>
      <c r="AG112" s="71"/>
      <c r="AH112" s="10" t="str">
        <f t="shared" si="60"/>
        <v/>
      </c>
      <c r="AI112" s="10" t="str">
        <f t="shared" si="77"/>
        <v/>
      </c>
      <c r="AJ112" s="71"/>
      <c r="AK112" s="10" t="str">
        <f t="shared" si="61"/>
        <v/>
      </c>
      <c r="AL112" s="10" t="str">
        <f t="shared" si="78"/>
        <v/>
      </c>
      <c r="AM112" s="71"/>
      <c r="AN112" s="10" t="str">
        <f t="shared" si="62"/>
        <v/>
      </c>
      <c r="AO112" s="10" t="str">
        <f t="shared" si="79"/>
        <v/>
      </c>
      <c r="AP112" s="71"/>
      <c r="AQ112" s="10" t="str">
        <f t="shared" si="63"/>
        <v/>
      </c>
      <c r="AR112" s="10" t="str">
        <f t="shared" si="80"/>
        <v/>
      </c>
      <c r="AS112" s="71"/>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U112" s="71"/>
      <c r="AV112" s="10" t="str">
        <f t="shared" si="64"/>
        <v/>
      </c>
      <c r="AW112" s="10" t="str">
        <f t="shared" si="81"/>
        <v/>
      </c>
      <c r="AX112" s="71"/>
      <c r="AY112" s="7" t="str">
        <f>IF(ISERROR(IF($K112&lt;=$F$15,VLOOKUP($I112,'表4）CO2価格'!$A$7:$E$67,VLOOKUP($F$48,'表4）CO2価格'!$H$10:$I$12,2,0),0)*$F$8/1000,"")),0,IF($K112&lt;=$F$15,VLOOKUP($I112,'表4）CO2価格'!$A$7:$E$67,VLOOKUP($F$48,'表4）CO2価格'!$H$10:$I$12,2,0),0)*$F$8/1000,""))</f>
        <v/>
      </c>
      <c r="AZ112" s="71"/>
      <c r="BA112" s="11" t="str">
        <f t="shared" si="65"/>
        <v/>
      </c>
      <c r="BB112" s="10" t="str">
        <f t="shared" si="82"/>
        <v/>
      </c>
      <c r="BC112" s="71"/>
      <c r="BD112" s="10" t="str">
        <f t="shared" si="66"/>
        <v/>
      </c>
      <c r="BE112" s="10" t="str">
        <f t="shared" si="83"/>
        <v/>
      </c>
      <c r="BF112" s="71"/>
      <c r="BG112" s="11" t="str">
        <f t="shared" si="67"/>
        <v/>
      </c>
      <c r="BH112" s="10" t="str">
        <f t="shared" si="84"/>
        <v/>
      </c>
      <c r="BJ112" s="7" t="str">
        <f t="shared" si="85"/>
        <v/>
      </c>
      <c r="BK112" s="158" t="str">
        <f t="shared" si="86"/>
        <v/>
      </c>
      <c r="BL112" s="158" t="str">
        <f t="shared" si="68"/>
        <v/>
      </c>
      <c r="BM112" s="10"/>
      <c r="BN112" s="10" t="str">
        <f t="shared" si="87"/>
        <v/>
      </c>
      <c r="BO112" s="10" t="str">
        <f t="shared" si="88"/>
        <v/>
      </c>
      <c r="BQ112" s="10" t="str">
        <f t="shared" si="69"/>
        <v/>
      </c>
      <c r="BR112" s="10" t="str">
        <f t="shared" si="89"/>
        <v/>
      </c>
    </row>
    <row r="113" spans="2:70" x14ac:dyDescent="0.15">
      <c r="I113" s="38">
        <f t="shared" si="90"/>
        <v>2118</v>
      </c>
      <c r="J113" s="39"/>
      <c r="K113" s="39">
        <f t="shared" si="91"/>
        <v>99</v>
      </c>
      <c r="L113" s="39"/>
      <c r="M113" s="40">
        <f t="shared" si="54"/>
        <v>5.3593825045715457E-2</v>
      </c>
      <c r="N113" s="39"/>
      <c r="O113" s="72" t="str">
        <f t="shared" si="70"/>
        <v/>
      </c>
      <c r="P113" s="41" t="str">
        <f>IF(K113&lt;=$F$15,IF(OR(P112=$F$124,P112="-"),"-",IF(O113*$F$123&gt;$F$127,$F$123,$F$124)),"")</f>
        <v/>
      </c>
      <c r="Q113" s="39"/>
      <c r="R113" s="72" t="str">
        <f t="shared" si="71"/>
        <v/>
      </c>
      <c r="S113" s="39"/>
      <c r="T113" s="72" t="str">
        <f t="shared" si="72"/>
        <v/>
      </c>
      <c r="U113" s="39"/>
      <c r="V113" s="72" t="str">
        <f t="shared" si="56"/>
        <v/>
      </c>
      <c r="W113" s="72" t="str">
        <f t="shared" si="73"/>
        <v/>
      </c>
      <c r="X113" s="39"/>
      <c r="Y113" s="72" t="str">
        <f t="shared" si="57"/>
        <v/>
      </c>
      <c r="Z113" s="72" t="str">
        <f t="shared" si="74"/>
        <v/>
      </c>
      <c r="AA113" s="39"/>
      <c r="AB113" s="72" t="str">
        <f t="shared" si="58"/>
        <v/>
      </c>
      <c r="AC113" s="72" t="str">
        <f t="shared" si="75"/>
        <v/>
      </c>
      <c r="AD113" s="39"/>
      <c r="AE113" s="72" t="str">
        <f t="shared" si="59"/>
        <v/>
      </c>
      <c r="AF113" s="72" t="str">
        <f t="shared" si="76"/>
        <v/>
      </c>
      <c r="AG113" s="39"/>
      <c r="AH113" s="72" t="str">
        <f t="shared" si="60"/>
        <v/>
      </c>
      <c r="AI113" s="72" t="str">
        <f t="shared" si="77"/>
        <v/>
      </c>
      <c r="AJ113" s="39"/>
      <c r="AK113" s="72" t="str">
        <f t="shared" si="61"/>
        <v/>
      </c>
      <c r="AL113" s="72" t="str">
        <f t="shared" si="78"/>
        <v/>
      </c>
      <c r="AM113" s="39"/>
      <c r="AN113" s="72" t="str">
        <f t="shared" si="62"/>
        <v/>
      </c>
      <c r="AO113" s="72" t="str">
        <f t="shared" si="79"/>
        <v/>
      </c>
      <c r="AP113" s="39"/>
      <c r="AQ113" s="72" t="str">
        <f t="shared" si="63"/>
        <v/>
      </c>
      <c r="AR113" s="72" t="str">
        <f t="shared" si="80"/>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64"/>
        <v/>
      </c>
      <c r="AW113" s="72" t="str">
        <f t="shared" si="81"/>
        <v/>
      </c>
      <c r="AX113" s="39"/>
      <c r="AY113" s="40" t="str">
        <f>IF(ISERROR(IF($K113&lt;=$F$15,VLOOKUP($I113,'表4）CO2価格'!$A$7:$E$67,VLOOKUP($F$48,'表4）CO2価格'!$H$10:$I$12,2,0),0)*$F$8/1000,"")),0,IF($K113&lt;=$F$15,VLOOKUP($I113,'表4）CO2価格'!$A$7:$E$67,VLOOKUP($F$48,'表4）CO2価格'!$H$10:$I$12,2,0),0)*$F$8/1000,""))</f>
        <v/>
      </c>
      <c r="AZ113" s="39"/>
      <c r="BA113" s="42" t="str">
        <f t="shared" si="65"/>
        <v/>
      </c>
      <c r="BB113" s="72" t="str">
        <f t="shared" si="82"/>
        <v/>
      </c>
      <c r="BC113" s="39"/>
      <c r="BD113" s="72" t="str">
        <f t="shared" si="66"/>
        <v/>
      </c>
      <c r="BE113" s="72" t="str">
        <f t="shared" si="83"/>
        <v/>
      </c>
      <c r="BF113" s="39"/>
      <c r="BG113" s="42" t="str">
        <f t="shared" si="67"/>
        <v/>
      </c>
      <c r="BH113" s="72" t="str">
        <f t="shared" si="84"/>
        <v/>
      </c>
      <c r="BI113" s="39"/>
      <c r="BJ113" s="40" t="str">
        <f t="shared" si="85"/>
        <v/>
      </c>
      <c r="BK113" s="157" t="str">
        <f t="shared" si="86"/>
        <v/>
      </c>
      <c r="BL113" s="157" t="str">
        <f t="shared" si="68"/>
        <v/>
      </c>
      <c r="BM113" s="72"/>
      <c r="BN113" s="72" t="str">
        <f t="shared" si="87"/>
        <v/>
      </c>
      <c r="BO113" s="72" t="str">
        <f t="shared" si="88"/>
        <v/>
      </c>
      <c r="BP113" s="39"/>
      <c r="BQ113" s="72" t="str">
        <f t="shared" si="69"/>
        <v/>
      </c>
      <c r="BR113" s="72" t="str">
        <f t="shared" si="89"/>
        <v/>
      </c>
    </row>
    <row r="114" spans="2:70" x14ac:dyDescent="0.15">
      <c r="I114" s="322">
        <f t="shared" si="90"/>
        <v>2119</v>
      </c>
      <c r="J114" s="71"/>
      <c r="K114" s="71">
        <f t="shared" si="91"/>
        <v>100</v>
      </c>
      <c r="L114" s="71"/>
      <c r="M114" s="7">
        <f t="shared" si="54"/>
        <v>5.2032839850209185E-2</v>
      </c>
      <c r="N114" s="71"/>
      <c r="O114" s="10" t="str">
        <f t="shared" si="70"/>
        <v/>
      </c>
      <c r="P114" s="29" t="str">
        <f>IF(K114&lt;=$F$15,IF(OR(P113=$F$124,P113="-"),"-",IF(O114*$F$123&gt;$F$127,$F$123,$F$124)),"")</f>
        <v/>
      </c>
      <c r="Q114" s="71"/>
      <c r="R114" s="10" t="str">
        <f t="shared" si="71"/>
        <v/>
      </c>
      <c r="S114" s="71"/>
      <c r="T114" s="10" t="str">
        <f t="shared" si="72"/>
        <v/>
      </c>
      <c r="U114" s="71"/>
      <c r="V114" s="10" t="str">
        <f t="shared" si="56"/>
        <v/>
      </c>
      <c r="W114" s="10" t="str">
        <f t="shared" si="73"/>
        <v/>
      </c>
      <c r="X114" s="71"/>
      <c r="Y114" s="10" t="str">
        <f t="shared" si="57"/>
        <v/>
      </c>
      <c r="Z114" s="10" t="str">
        <f t="shared" si="74"/>
        <v/>
      </c>
      <c r="AA114" s="71"/>
      <c r="AB114" s="10" t="str">
        <f t="shared" si="58"/>
        <v/>
      </c>
      <c r="AC114" s="10" t="str">
        <f t="shared" si="75"/>
        <v/>
      </c>
      <c r="AD114" s="71"/>
      <c r="AE114" s="10" t="str">
        <f t="shared" si="59"/>
        <v/>
      </c>
      <c r="AF114" s="10" t="str">
        <f t="shared" si="76"/>
        <v/>
      </c>
      <c r="AG114" s="71"/>
      <c r="AH114" s="10" t="str">
        <f t="shared" si="60"/>
        <v/>
      </c>
      <c r="AI114" s="10" t="str">
        <f t="shared" si="77"/>
        <v/>
      </c>
      <c r="AJ114" s="71"/>
      <c r="AK114" s="10" t="str">
        <f t="shared" si="61"/>
        <v/>
      </c>
      <c r="AL114" s="10" t="str">
        <f t="shared" si="78"/>
        <v/>
      </c>
      <c r="AM114" s="71"/>
      <c r="AN114" s="10" t="str">
        <f t="shared" si="62"/>
        <v/>
      </c>
      <c r="AO114" s="10" t="str">
        <f t="shared" si="79"/>
        <v/>
      </c>
      <c r="AP114" s="71"/>
      <c r="AQ114" s="10" t="str">
        <f t="shared" si="63"/>
        <v/>
      </c>
      <c r="AR114" s="10" t="str">
        <f t="shared" si="80"/>
        <v/>
      </c>
      <c r="AS114" s="71"/>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U114" s="71"/>
      <c r="AV114" s="10" t="str">
        <f t="shared" si="64"/>
        <v/>
      </c>
      <c r="AW114" s="10" t="str">
        <f t="shared" si="81"/>
        <v/>
      </c>
      <c r="AX114" s="71"/>
      <c r="AY114" s="7" t="str">
        <f>IF(ISERROR(IF($K114&lt;=$F$15,VLOOKUP($I114,'表4）CO2価格'!$A$7:$E$67,VLOOKUP($F$48,'表4）CO2価格'!$H$10:$I$12,2,0),0)*$F$8/1000,"")),0,IF($K114&lt;=$F$15,VLOOKUP($I114,'表4）CO2価格'!$A$7:$E$67,VLOOKUP($F$48,'表4）CO2価格'!$H$10:$I$12,2,0),0)*$F$8/1000,""))</f>
        <v/>
      </c>
      <c r="AZ114" s="71"/>
      <c r="BA114" s="11" t="str">
        <f t="shared" si="65"/>
        <v/>
      </c>
      <c r="BB114" s="10" t="str">
        <f t="shared" si="82"/>
        <v/>
      </c>
      <c r="BC114" s="71"/>
      <c r="BD114" s="10" t="str">
        <f t="shared" si="66"/>
        <v/>
      </c>
      <c r="BE114" s="10" t="str">
        <f t="shared" si="83"/>
        <v/>
      </c>
      <c r="BF114" s="71"/>
      <c r="BG114" s="11" t="str">
        <f t="shared" si="67"/>
        <v/>
      </c>
      <c r="BH114" s="10" t="str">
        <f t="shared" si="84"/>
        <v/>
      </c>
      <c r="BJ114" s="7" t="str">
        <f t="shared" si="85"/>
        <v/>
      </c>
      <c r="BK114" s="158" t="str">
        <f t="shared" si="86"/>
        <v/>
      </c>
      <c r="BL114" s="158" t="str">
        <f t="shared" si="68"/>
        <v/>
      </c>
      <c r="BM114" s="10"/>
      <c r="BN114" s="10" t="str">
        <f t="shared" si="87"/>
        <v/>
      </c>
      <c r="BO114" s="10" t="str">
        <f t="shared" si="88"/>
        <v/>
      </c>
      <c r="BQ114" s="10" t="str">
        <f t="shared" si="69"/>
        <v/>
      </c>
      <c r="BR114" s="10" t="str">
        <f t="shared" si="89"/>
        <v/>
      </c>
    </row>
    <row r="115" spans="2:70" ht="15.75" thickBot="1" x14ac:dyDescent="0.2">
      <c r="B115" s="460" t="s">
        <v>515</v>
      </c>
      <c r="C115" s="86"/>
      <c r="D115" s="104"/>
      <c r="E115" s="104"/>
      <c r="F115" s="86"/>
      <c r="G115" s="104"/>
      <c r="I115" s="321"/>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71" t="s">
        <v>143</v>
      </c>
      <c r="J116" s="71"/>
      <c r="K116" s="71"/>
      <c r="L116" s="71"/>
      <c r="M116" s="71"/>
      <c r="N116" s="71"/>
      <c r="O116" s="71"/>
      <c r="P116" s="71"/>
      <c r="Q116" s="71"/>
      <c r="R116" s="71"/>
      <c r="S116" s="71"/>
      <c r="T116" s="71"/>
      <c r="U116" s="71"/>
      <c r="V116" s="71"/>
      <c r="W116" s="11"/>
      <c r="X116" s="71"/>
      <c r="Y116" s="71"/>
      <c r="Z116" s="11">
        <f>SUM(Z15:Z114)</f>
        <v>14505989504.813227</v>
      </c>
      <c r="AA116" s="71"/>
      <c r="AB116" s="71"/>
      <c r="AC116" s="11">
        <f>SUM(AC15:AC114)</f>
        <v>2541743126.4158354</v>
      </c>
      <c r="AD116" s="71"/>
      <c r="AE116" s="71"/>
      <c r="AF116" s="11">
        <f>SUM(AF15:AF114)</f>
        <v>0</v>
      </c>
      <c r="AG116" s="71"/>
      <c r="AH116" s="71"/>
      <c r="AI116" s="11">
        <f>SUM(AI15:AI114)</f>
        <v>10170499668.650841</v>
      </c>
      <c r="AJ116" s="71"/>
      <c r="AK116" s="71"/>
      <c r="AL116" s="11">
        <f>SUM(AL15:AL114)</f>
        <v>94752073276.667084</v>
      </c>
      <c r="AM116" s="71"/>
      <c r="AN116" s="71"/>
      <c r="AO116" s="11">
        <f>SUM(AO15:AO114)</f>
        <v>86856067170.278168</v>
      </c>
      <c r="AP116" s="71"/>
      <c r="AQ116" s="71"/>
      <c r="AR116" s="11">
        <f>SUM(AR15:AR114)</f>
        <v>23396994094.102722</v>
      </c>
      <c r="AS116" s="71"/>
      <c r="AT116" s="71"/>
      <c r="AU116" s="71"/>
      <c r="AV116" s="71"/>
      <c r="AW116" s="11">
        <f>SUM(AW15:AW114)</f>
        <v>406202296536.11005</v>
      </c>
      <c r="AX116" s="71"/>
      <c r="AY116" s="71"/>
      <c r="AZ116" s="71"/>
      <c r="BA116" s="71"/>
      <c r="BB116" s="11">
        <f>SUM(BB15:BB114)</f>
        <v>363000105380.30084</v>
      </c>
      <c r="BC116" s="71"/>
      <c r="BD116" s="71"/>
      <c r="BE116" s="11">
        <f>SUM(BE15:BE114)</f>
        <v>0</v>
      </c>
      <c r="BF116" s="71"/>
      <c r="BG116" s="71"/>
      <c r="BH116" s="11">
        <f>SUM(BH15:BH114)</f>
        <v>0</v>
      </c>
      <c r="BK116" s="11">
        <f>SUM(BK15:BK114)</f>
        <v>0</v>
      </c>
      <c r="BL116" s="11">
        <f>SUM(BL15:BL114)</f>
        <v>0</v>
      </c>
      <c r="BO116" s="11">
        <f>SUM(BO15:BO114)</f>
        <v>0</v>
      </c>
      <c r="BQ116" s="71"/>
      <c r="BR116" s="11">
        <f>SUM(BR15:BR114)</f>
        <v>93760865624.869171</v>
      </c>
    </row>
    <row r="117" spans="2:70" x14ac:dyDescent="0.15">
      <c r="C117" s="9" t="s">
        <v>529</v>
      </c>
      <c r="F117" s="44">
        <f>F21*10^4*F13*10^4+F29*10^8</f>
        <v>170800000000</v>
      </c>
      <c r="G117" s="81" t="s">
        <v>208</v>
      </c>
      <c r="I117" s="48" t="s">
        <v>145</v>
      </c>
      <c r="J117" s="71"/>
      <c r="K117" s="71"/>
      <c r="L117" s="71"/>
      <c r="M117" s="71"/>
      <c r="N117" s="71"/>
      <c r="O117" s="71"/>
      <c r="P117" s="71"/>
      <c r="Q117" s="71"/>
      <c r="R117" s="71"/>
      <c r="S117" s="71"/>
      <c r="T117" s="71"/>
      <c r="U117" s="71"/>
      <c r="V117" s="71"/>
      <c r="W117" s="11"/>
      <c r="X117" s="71"/>
      <c r="Y117" s="71"/>
      <c r="Z117" s="11" t="str">
        <f ca="1">IF(ISNUMBER($F$16),SUM(INDIRECT(ADDRESS($F$16+15,COLUMN())):INDIRECT(ADDRESS(114,COLUMN()))),"")</f>
        <v/>
      </c>
      <c r="AA117" s="71"/>
      <c r="AB117" s="71"/>
      <c r="AC117" s="11" t="str">
        <f ca="1">IF(ISNUMBER($F$16),SUM(INDIRECT(ADDRESS($F$16+15,COLUMN())):INDIRECT(ADDRESS(114,COLUMN()))),"")</f>
        <v/>
      </c>
      <c r="AD117" s="71"/>
      <c r="AE117" s="71"/>
      <c r="AF117" s="11" t="str">
        <f ca="1">IF(ISNUMBER($F$16),SUM(INDIRECT(ADDRESS($F$16+15,COLUMN())):INDIRECT(ADDRESS(114,COLUMN()))),"")</f>
        <v/>
      </c>
      <c r="AG117" s="71"/>
      <c r="AH117" s="71"/>
      <c r="AI117" s="11" t="str">
        <f ca="1">IF(ISNUMBER($F$16),SUM(INDIRECT(ADDRESS($F$16+15,COLUMN())):INDIRECT(ADDRESS(114,COLUMN()))),"")</f>
        <v/>
      </c>
      <c r="AJ117" s="71"/>
      <c r="AK117" s="71"/>
      <c r="AL117" s="11" t="str">
        <f ca="1">IF(ISNUMBER($F$16),SUM(INDIRECT(ADDRESS($F$16+15,COLUMN())):INDIRECT(ADDRESS(114,COLUMN()))),"")</f>
        <v/>
      </c>
      <c r="AM117" s="71"/>
      <c r="AN117" s="71"/>
      <c r="AO117" s="11" t="str">
        <f ca="1">IF(ISNUMBER($F$16),SUM(INDIRECT(ADDRESS($F$16+15,COLUMN())):INDIRECT(ADDRESS(114,COLUMN()))),"")</f>
        <v/>
      </c>
      <c r="AP117" s="71"/>
      <c r="AQ117" s="71"/>
      <c r="AR117" s="11" t="str">
        <f ca="1">IF(ISNUMBER($F$16),SUM(INDIRECT(ADDRESS($F$16+15,COLUMN())):INDIRECT(ADDRESS(114,COLUMN()))),"")</f>
        <v/>
      </c>
      <c r="AS117" s="71"/>
      <c r="AT117" s="71"/>
      <c r="AU117" s="71"/>
      <c r="AV117" s="71"/>
      <c r="AW117" s="11" t="str">
        <f ca="1">IF(ISNUMBER($F$16),SUM(INDIRECT(ADDRESS($F$16+15,COLUMN())):INDIRECT(ADDRESS(114,COLUMN()))),"")</f>
        <v/>
      </c>
      <c r="AX117" s="71"/>
      <c r="AY117" s="71"/>
      <c r="AZ117" s="71"/>
      <c r="BA117" s="71"/>
      <c r="BB117" s="11" t="str">
        <f ca="1">IF(ISNUMBER($F$16),SUM(INDIRECT(ADDRESS($F$16+15,COLUMN())):INDIRECT(ADDRESS(114,COLUMN()))),"")</f>
        <v/>
      </c>
      <c r="BC117" s="71"/>
      <c r="BD117" s="71"/>
      <c r="BE117" s="11" t="str">
        <f ca="1">IF(ISNUMBER($F$16),SUM(INDIRECT(ADDRESS($F$16+15,COLUMN())):INDIRECT(ADDRESS(114,COLUMN()))),"")</f>
        <v/>
      </c>
      <c r="BF117" s="71"/>
      <c r="BG117" s="71"/>
      <c r="BH117" s="11" t="str">
        <f ca="1">IF(ISNUMBER($F$16),SUM(INDIRECT(ADDRESS($F$16+15,COLUMN())):INDIRECT(ADDRESS(114,COLUMN()))),"")</f>
        <v/>
      </c>
      <c r="BK117" s="11" t="str">
        <f ca="1">IF(ISNUMBER($F$16),SUM(INDIRECT(ADDRESS($F$16+15,COLUMN())):INDIRECT(ADDRESS(114,COLUMN()))),"")</f>
        <v/>
      </c>
      <c r="BL117" s="11" t="str">
        <f ca="1">IF(ISNUMBER($F$16),SUM(INDIRECT(ADDRESS($F$16+15,COLUMN())):INDIRECT(ADDRESS(114,COLUMN()))),"")</f>
        <v/>
      </c>
      <c r="BO117" s="11" t="str">
        <f ca="1">IF(ISNUMBER($F$16),SUM(INDIRECT(ADDRESS($F$16+15,COLUMN())):INDIRECT(ADDRESS(114,COLUMN()))),"")</f>
        <v/>
      </c>
      <c r="BQ117" s="71"/>
      <c r="BR117" s="11" t="str">
        <f ca="1">IF(ISNUMBER($F$16),SUM(INDIRECT(ADDRESS($F$16+15,COLUMN())):INDIRECT(ADDRESS(114,COLUMN()))),"")</f>
        <v/>
      </c>
    </row>
    <row r="119" spans="2:70" x14ac:dyDescent="0.15">
      <c r="C119" s="9" t="s">
        <v>521</v>
      </c>
      <c r="F119" s="44">
        <f>VLOOKUP(F3,'表2）法定耐用年数'!$A$2:$B$24,2,0)</f>
        <v>15</v>
      </c>
      <c r="G119" s="81" t="s">
        <v>108</v>
      </c>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Q119" s="71"/>
      <c r="BR119" s="71"/>
    </row>
    <row r="121" spans="2:70" x14ac:dyDescent="0.15">
      <c r="C121" s="89" t="s">
        <v>522</v>
      </c>
      <c r="D121" s="101"/>
      <c r="E121" s="101"/>
      <c r="F121" s="89"/>
      <c r="G121" s="10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Q121" s="71"/>
      <c r="BR121" s="71"/>
    </row>
    <row r="123" spans="2:70" x14ac:dyDescent="0.15">
      <c r="D123" s="81" t="s">
        <v>209</v>
      </c>
      <c r="F123" s="95">
        <f>VLOOKUP($F$119,'表1）減価償却率表'!$A$9:$E$107,3,0)</f>
        <v>0.16700000000000001</v>
      </c>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Q123" s="71"/>
      <c r="BR123" s="71"/>
    </row>
    <row r="124" spans="2:70" x14ac:dyDescent="0.15">
      <c r="D124" s="81" t="s">
        <v>210</v>
      </c>
      <c r="F124" s="95">
        <f>VLOOKUP($F$119,'表1）減価償却率表'!$A$9:$E$107,4,0)</f>
        <v>0.2</v>
      </c>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Q124" s="71"/>
      <c r="BR124" s="71"/>
    </row>
    <row r="125" spans="2:70" x14ac:dyDescent="0.15">
      <c r="D125" s="81" t="s">
        <v>211</v>
      </c>
      <c r="F125" s="88">
        <f>VLOOKUP($F$119,'表1）減価償却率表'!$A$9:$E$107,5,0)</f>
        <v>3.2169999999999997E-2</v>
      </c>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Q125" s="71"/>
      <c r="BR125" s="71"/>
    </row>
    <row r="126" spans="2:70" x14ac:dyDescent="0.15">
      <c r="F126" s="96"/>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Q126" s="71"/>
      <c r="BR126" s="71"/>
    </row>
    <row r="127" spans="2:70" x14ac:dyDescent="0.15">
      <c r="C127" s="111" t="s">
        <v>523</v>
      </c>
      <c r="D127" s="85"/>
      <c r="E127" s="114"/>
      <c r="F127" s="44">
        <f>F117*F125</f>
        <v>5494636000</v>
      </c>
      <c r="G127" s="81" t="s">
        <v>208</v>
      </c>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Q127" s="71"/>
      <c r="BR127" s="71"/>
    </row>
    <row r="129" spans="3:7" x14ac:dyDescent="0.15">
      <c r="C129" s="111" t="s">
        <v>152</v>
      </c>
      <c r="D129" s="85"/>
      <c r="E129" s="85"/>
      <c r="F129" s="95">
        <f>0.1^(1/F119)</f>
        <v>0.85769589859089412</v>
      </c>
      <c r="G129" s="85"/>
    </row>
    <row r="131" spans="3:7" x14ac:dyDescent="0.15">
      <c r="C131" s="89" t="s">
        <v>524</v>
      </c>
      <c r="D131" s="101"/>
      <c r="E131" s="101"/>
      <c r="F131" s="89"/>
      <c r="G131" s="101"/>
    </row>
    <row r="133" spans="3:7" x14ac:dyDescent="0.15">
      <c r="D133" s="81" t="s">
        <v>212</v>
      </c>
      <c r="F133" s="44">
        <f>F13*10000*24*365*F14/100</f>
        <v>4292400000</v>
      </c>
      <c r="G133" s="81" t="s">
        <v>213</v>
      </c>
    </row>
    <row r="134" spans="3:7" x14ac:dyDescent="0.15">
      <c r="D134" s="81" t="s">
        <v>214</v>
      </c>
      <c r="F134" s="44">
        <f>F133*(1-F24/100)</f>
        <v>4056318000</v>
      </c>
      <c r="G134" s="81" t="s">
        <v>213</v>
      </c>
    </row>
    <row r="135" spans="3:7" x14ac:dyDescent="0.15">
      <c r="F135" s="97"/>
    </row>
    <row r="137" spans="3:7" ht="16.5" x14ac:dyDescent="0.15">
      <c r="C137" s="9" t="s">
        <v>525</v>
      </c>
      <c r="F137" s="44">
        <f>IF(ISERROR(F133*3.6/(F23/100)/F22),0,F133*3.6/(F23/100)/F22)</f>
        <v>1362090120.5838797</v>
      </c>
      <c r="G137" s="9" t="s">
        <v>370</v>
      </c>
    </row>
    <row r="139" spans="3:7" x14ac:dyDescent="0.15">
      <c r="C139" s="89" t="s">
        <v>526</v>
      </c>
      <c r="D139" s="101"/>
      <c r="E139" s="101"/>
      <c r="F139" s="89"/>
      <c r="G139" s="101"/>
    </row>
    <row r="141" spans="3:7" x14ac:dyDescent="0.15">
      <c r="D141" s="81" t="s">
        <v>215</v>
      </c>
      <c r="F141" s="98">
        <f>IF(OR(F3="石炭火力",F3= "LNG火力", F3="ガスコジェネ",F3="バイオマス（石炭混焼）",F3="バイオマス（木質専焼）",F3="燃料電池"),IF($F$43="需要地価格","",1000),IF(OR(F3="石油火力",F3="石油コジェネ"),IF($F$43="需要地価格","",158.987294928),""))</f>
        <v>1000</v>
      </c>
      <c r="G141" s="81" t="s">
        <v>216</v>
      </c>
    </row>
    <row r="142" spans="3:7" x14ac:dyDescent="0.15">
      <c r="D142" s="81" t="s">
        <v>180</v>
      </c>
      <c r="F142" s="91">
        <f>IF(ISERROR(F42/1000),0,F42/1000)</f>
        <v>2</v>
      </c>
      <c r="G142" s="81" t="s">
        <v>217</v>
      </c>
    </row>
    <row r="145" spans="3:7" x14ac:dyDescent="0.15">
      <c r="C145" s="9" t="s">
        <v>368</v>
      </c>
      <c r="F145" s="98">
        <f>IF(ISERROR(F133*(F47*3.6/(F23/100)/1000*(44/12))),0,F133*(F47*3.6/(F23/100)/1000*(44/12)))</f>
        <v>3163824430.3448272</v>
      </c>
      <c r="G145" s="81" t="s">
        <v>218</v>
      </c>
    </row>
    <row r="147" spans="3:7" x14ac:dyDescent="0.15">
      <c r="C147" s="89" t="s">
        <v>369</v>
      </c>
      <c r="D147" s="101"/>
      <c r="E147" s="101"/>
      <c r="F147" s="89"/>
      <c r="G147" s="101"/>
    </row>
    <row r="149" spans="3:7" x14ac:dyDescent="0.15">
      <c r="D149" s="81" t="s">
        <v>219</v>
      </c>
      <c r="F149" s="98">
        <f>IF(ISERROR(F52/F23),0,F52/F23)</f>
        <v>0</v>
      </c>
    </row>
    <row r="150" spans="3:7" x14ac:dyDescent="0.15">
      <c r="D150" s="81" t="s">
        <v>220</v>
      </c>
      <c r="F150" s="98">
        <f>F133*F149*(F53/100)*3.6</f>
        <v>0</v>
      </c>
      <c r="G150" s="81" t="s">
        <v>221</v>
      </c>
    </row>
    <row r="151" spans="3:7" ht="16.5" x14ac:dyDescent="0.15">
      <c r="D151" s="81" t="s">
        <v>222</v>
      </c>
      <c r="F151" s="44">
        <f>IF(ISERROR(F150/(F54/100)/F55),0,F150/(F54/100)/F55)</f>
        <v>0</v>
      </c>
      <c r="G151" s="9" t="s">
        <v>370</v>
      </c>
    </row>
    <row r="152" spans="3:7" x14ac:dyDescent="0.15">
      <c r="D152" s="81" t="s">
        <v>223</v>
      </c>
      <c r="F152" s="146">
        <f>IF(ISERROR(F56/1000),0,F56/1000)</f>
        <v>0</v>
      </c>
      <c r="G152" s="81" t="s">
        <v>217</v>
      </c>
    </row>
    <row r="153" spans="3:7" x14ac:dyDescent="0.15">
      <c r="D153" s="81" t="s">
        <v>224</v>
      </c>
      <c r="F153" s="98">
        <f>IF(ISERROR(F150*F47/1000*(44/12)/(F54/100)),0,F150*F47/1000*(44/12)/(F54/100))</f>
        <v>0</v>
      </c>
      <c r="G153" s="81" t="s">
        <v>218</v>
      </c>
    </row>
  </sheetData>
  <mergeCells count="48">
    <mergeCell ref="F3:G3"/>
    <mergeCell ref="AR12:AR13"/>
    <mergeCell ref="AW12:AW13"/>
    <mergeCell ref="BB12:BB13"/>
    <mergeCell ref="BE12:BE13"/>
    <mergeCell ref="AE9:AF10"/>
    <mergeCell ref="AH9:AI10"/>
    <mergeCell ref="AK9:AL10"/>
    <mergeCell ref="I9:I10"/>
    <mergeCell ref="K9:K10"/>
    <mergeCell ref="M9:M10"/>
    <mergeCell ref="O9:P10"/>
    <mergeCell ref="R9:R10"/>
    <mergeCell ref="T9:T10"/>
    <mergeCell ref="V7:AF7"/>
    <mergeCell ref="AH7:AR7"/>
    <mergeCell ref="BH12:BH13"/>
    <mergeCell ref="AO12:AO13"/>
    <mergeCell ref="AN9:AO10"/>
    <mergeCell ref="AQ9:AR10"/>
    <mergeCell ref="AT9:AT10"/>
    <mergeCell ref="BR12:BR13"/>
    <mergeCell ref="BD9:BE10"/>
    <mergeCell ref="BG9:BH10"/>
    <mergeCell ref="P12:P13"/>
    <mergeCell ref="W12:W13"/>
    <mergeCell ref="Z12:Z13"/>
    <mergeCell ref="AC12:AC13"/>
    <mergeCell ref="AF12:AF13"/>
    <mergeCell ref="AI12:AI13"/>
    <mergeCell ref="AL12:AL13"/>
    <mergeCell ref="AV9:AW10"/>
    <mergeCell ref="AY9:AY10"/>
    <mergeCell ref="BA9:BB10"/>
    <mergeCell ref="V9:W10"/>
    <mergeCell ref="Y9:Z10"/>
    <mergeCell ref="AB9:AC10"/>
    <mergeCell ref="AT7:AW7"/>
    <mergeCell ref="AY7:BB7"/>
    <mergeCell ref="BD7:BH7"/>
    <mergeCell ref="BQ7:BR7"/>
    <mergeCell ref="BJ7:BO7"/>
    <mergeCell ref="BJ12:BJ13"/>
    <mergeCell ref="BL12:BL13"/>
    <mergeCell ref="BJ9:BL10"/>
    <mergeCell ref="BN9:BO10"/>
    <mergeCell ref="BK12:BK13"/>
    <mergeCell ref="BO12:BO13"/>
  </mergeCells>
  <phoneticPr fontId="15"/>
  <dataValidations count="4">
    <dataValidation type="list" allowBlank="1" showDropDown="1" showInputMessage="1" showErrorMessage="1" sqref="F48 F41" xr:uid="{00000000-0002-0000-0300-000000000000}">
      <formula1>"現行政策シナリオ, 新政策シナリオ"</formula1>
    </dataValidation>
    <dataValidation type="whole" allowBlank="1" showInputMessage="1" showErrorMessage="1" sqref="F7" xr:uid="{00000000-0002-0000-0300-000001000000}">
      <formula1>2010</formula1>
      <formula2>2030</formula2>
    </dataValidation>
    <dataValidation type="list" allowBlank="1" showDropDown="1" showInputMessage="1" showErrorMessage="1" sqref="F43" xr:uid="{00000000-0002-0000-0300-000002000000}">
      <formula1>"CIF価格, 需要地価格"</formula1>
    </dataValidation>
    <dataValidation type="list" allowBlank="1" showDropDown="1" showInputMessage="1" showErrorMessage="1" sqref="F3:G3" xr:uid="{00000000-0002-0000-0300-000003000000}">
      <formula1>"原子力,石炭火力,LNG火力,石油火力,一般水力,太陽光（メガソーラー）,太陽光（住宅）,風力（陸上）,風力（洋上）,小水力,地熱,バイオマス（石炭混焼）,バイオマス（木質専焼）,ガスコジェネ,石油コジェネ,燃料電池"</formula1>
    </dataValidation>
  </dataValidations>
  <pageMargins left="0.59055118110236227" right="0.59055118110236227" top="0.59055118110236227" bottom="0.59055118110236227" header="0.31496062992125984" footer="0.31496062992125984"/>
  <pageSetup paperSize="8" scale="29"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BR158"/>
  <sheetViews>
    <sheetView showGridLines="0" topLeftCell="A31" zoomScale="85" zoomScaleNormal="85" workbookViewId="0">
      <selection activeCell="R52" sqref="R52"/>
    </sheetView>
  </sheetViews>
  <sheetFormatPr defaultColWidth="9" defaultRowHeight="14.25" outlineLevelCol="1" x14ac:dyDescent="0.15"/>
  <cols>
    <col min="1" max="3" width="6.25" style="71" customWidth="1"/>
    <col min="4" max="4" width="6.25" style="84" customWidth="1"/>
    <col min="5" max="5" width="24.375" style="84" customWidth="1"/>
    <col min="6" max="6" width="18.75" style="71" customWidth="1"/>
    <col min="7" max="7" width="24.375" style="84" bestFit="1" customWidth="1"/>
    <col min="8" max="8" width="9" style="71"/>
    <col min="9" max="9" width="6.25" style="71" customWidth="1"/>
    <col min="10" max="10" width="3" style="71" customWidth="1"/>
    <col min="11" max="11" width="6.25" style="71" customWidth="1"/>
    <col min="12" max="12" width="3" style="71" customWidth="1"/>
    <col min="13" max="13" width="6.25" style="71" customWidth="1"/>
    <col min="14" max="14" width="3" style="71" customWidth="1"/>
    <col min="15" max="15" width="17.375" style="71" bestFit="1" customWidth="1"/>
    <col min="16" max="16" width="8.625" style="71" customWidth="1"/>
    <col min="17" max="17" width="3" style="71" customWidth="1"/>
    <col min="18" max="18" width="17.375" style="71" bestFit="1" customWidth="1"/>
    <col min="19" max="19" width="3" style="71" customWidth="1"/>
    <col min="20" max="20" width="17.375" style="71" bestFit="1" customWidth="1"/>
    <col min="21" max="21" width="3" style="71" customWidth="1"/>
    <col min="22" max="22" width="15" style="71" customWidth="1" outlineLevel="1"/>
    <col min="23" max="23" width="17.375" style="71" bestFit="1" customWidth="1"/>
    <col min="24" max="24" width="3" style="71" customWidth="1"/>
    <col min="25" max="25" width="15" style="71" customWidth="1" outlineLevel="1"/>
    <col min="26" max="26" width="15" style="71" customWidth="1"/>
    <col min="27" max="27" width="3" style="71" customWidth="1"/>
    <col min="28" max="28" width="15" style="71" customWidth="1" outlineLevel="1"/>
    <col min="29" max="29" width="15" style="71" customWidth="1"/>
    <col min="30" max="30" width="3" style="71" customWidth="1"/>
    <col min="31" max="31" width="15" style="71" customWidth="1" outlineLevel="1"/>
    <col min="32" max="32" width="15" style="71" customWidth="1"/>
    <col min="33" max="33" width="3" style="71" customWidth="1"/>
    <col min="34" max="34" width="14.875" style="71" customWidth="1" outlineLevel="1"/>
    <col min="35" max="35" width="15" style="71" customWidth="1"/>
    <col min="36" max="36" width="3" style="71" customWidth="1"/>
    <col min="37" max="37" width="15" style="71" customWidth="1" outlineLevel="1"/>
    <col min="38" max="38" width="15" style="71" customWidth="1"/>
    <col min="39" max="39" width="3" style="71" customWidth="1"/>
    <col min="40" max="40" width="15" style="71" customWidth="1" outlineLevel="1"/>
    <col min="41" max="41" width="15" style="71" customWidth="1"/>
    <col min="42" max="42" width="3" style="71" customWidth="1"/>
    <col min="43" max="43" width="15" style="71" customWidth="1" outlineLevel="1"/>
    <col min="44" max="44" width="15" style="71" customWidth="1"/>
    <col min="45" max="45" width="3" style="71" customWidth="1"/>
    <col min="46" max="46" width="10.75" style="71" bestFit="1" customWidth="1"/>
    <col min="47" max="47" width="3" style="71" customWidth="1"/>
    <col min="48" max="48" width="15" style="71" customWidth="1" outlineLevel="1"/>
    <col min="49" max="49" width="17.375" style="71" bestFit="1" customWidth="1"/>
    <col min="50" max="50" width="3" style="71" customWidth="1"/>
    <col min="51" max="51" width="9.625" style="71" bestFit="1" customWidth="1"/>
    <col min="52" max="52" width="3" style="71" customWidth="1"/>
    <col min="53" max="53" width="15" style="71" customWidth="1" outlineLevel="1"/>
    <col min="54" max="54" width="17.375" style="71" bestFit="1" customWidth="1"/>
    <col min="55" max="55" width="3" style="71" customWidth="1"/>
    <col min="56" max="56" width="19.25" style="71" customWidth="1" outlineLevel="1"/>
    <col min="57" max="57" width="19.25" style="71" bestFit="1" customWidth="1"/>
    <col min="58" max="58" width="3" style="71" customWidth="1"/>
    <col min="59" max="59" width="19.25" style="71" customWidth="1" outlineLevel="1"/>
    <col min="60" max="60" width="19.25" style="71"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71" customWidth="1" outlineLevel="1"/>
    <col min="70" max="70" width="17.375" style="71" bestFit="1" customWidth="1"/>
    <col min="71" max="16384" width="9" style="71"/>
  </cols>
  <sheetData>
    <row r="1" spans="1:70" ht="18.75" x14ac:dyDescent="0.15">
      <c r="A1" s="6" t="s">
        <v>60</v>
      </c>
    </row>
    <row r="3" spans="1:70" ht="23.25" x14ac:dyDescent="0.15">
      <c r="B3" s="1" t="s">
        <v>542</v>
      </c>
      <c r="F3" s="718" t="s">
        <v>655</v>
      </c>
      <c r="G3" s="719"/>
    </row>
    <row r="4" spans="1:70" x14ac:dyDescent="0.15">
      <c r="G4" s="472"/>
    </row>
    <row r="5" spans="1:70" ht="15.75" thickBot="1" x14ac:dyDescent="0.2">
      <c r="B5" s="5" t="s">
        <v>543</v>
      </c>
      <c r="C5" s="3"/>
      <c r="D5" s="102"/>
      <c r="E5" s="102"/>
      <c r="F5" s="3"/>
      <c r="G5" s="102"/>
      <c r="I5" s="5" t="s">
        <v>64</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71" t="s">
        <v>545</v>
      </c>
      <c r="F7" s="473">
        <v>2030</v>
      </c>
      <c r="I7" s="8"/>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71" t="s">
        <v>546</v>
      </c>
      <c r="F8" s="474">
        <f>まとめ!B3</f>
        <v>107</v>
      </c>
      <c r="G8" s="84" t="s">
        <v>547</v>
      </c>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71" t="s">
        <v>548</v>
      </c>
      <c r="F9" s="474">
        <f>まとめ!B2</f>
        <v>3</v>
      </c>
      <c r="G9" s="84" t="s">
        <v>549</v>
      </c>
      <c r="I9" s="720" t="s">
        <v>78</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07" t="s">
        <v>118</v>
      </c>
      <c r="AI9" s="707"/>
      <c r="AJ9" s="8"/>
      <c r="AK9" s="707" t="s">
        <v>89</v>
      </c>
      <c r="AL9" s="707"/>
      <c r="AM9" s="8"/>
      <c r="AN9" s="707" t="s">
        <v>90</v>
      </c>
      <c r="AO9" s="707"/>
      <c r="AP9" s="8"/>
      <c r="AQ9" s="707" t="s">
        <v>91</v>
      </c>
      <c r="AR9" s="707"/>
      <c r="AS9" s="8"/>
      <c r="AT9" s="707" t="s">
        <v>92</v>
      </c>
      <c r="AU9" s="8"/>
      <c r="AV9" s="707" t="s">
        <v>69</v>
      </c>
      <c r="AW9" s="707"/>
      <c r="AX9" s="322"/>
      <c r="AY9" s="720" t="s">
        <v>93</v>
      </c>
      <c r="AZ9" s="8"/>
      <c r="BA9" s="720" t="s">
        <v>70</v>
      </c>
      <c r="BB9" s="720"/>
      <c r="BC9" s="8"/>
      <c r="BD9" s="707" t="s">
        <v>69</v>
      </c>
      <c r="BE9" s="707"/>
      <c r="BF9" s="8"/>
      <c r="BG9" s="707" t="s">
        <v>70</v>
      </c>
      <c r="BH9" s="707"/>
      <c r="BI9" s="8"/>
      <c r="BJ9" s="714" t="s">
        <v>255</v>
      </c>
      <c r="BK9" s="715"/>
      <c r="BL9" s="715"/>
      <c r="BM9" s="322"/>
      <c r="BN9" s="716" t="s">
        <v>72</v>
      </c>
      <c r="BO9" s="707"/>
      <c r="BP9" s="8"/>
      <c r="BQ9" s="322"/>
      <c r="BR9" s="322"/>
    </row>
    <row r="10" spans="1:70" x14ac:dyDescent="0.15">
      <c r="I10" s="708"/>
      <c r="K10" s="708"/>
      <c r="M10" s="708"/>
      <c r="O10" s="717"/>
      <c r="P10" s="717"/>
      <c r="R10" s="708"/>
      <c r="T10" s="708"/>
      <c r="V10" s="717"/>
      <c r="W10" s="717"/>
      <c r="Y10" s="717"/>
      <c r="Z10" s="717"/>
      <c r="AB10" s="723"/>
      <c r="AC10" s="723"/>
      <c r="AD10" s="81"/>
      <c r="AE10" s="723"/>
      <c r="AF10" s="723"/>
      <c r="AH10" s="717"/>
      <c r="AI10" s="717"/>
      <c r="AK10" s="717"/>
      <c r="AL10" s="717"/>
      <c r="AN10" s="717"/>
      <c r="AO10" s="717"/>
      <c r="AQ10" s="717"/>
      <c r="AR10" s="717"/>
      <c r="AT10" s="717"/>
      <c r="AV10" s="717"/>
      <c r="AW10" s="717"/>
      <c r="AX10" s="322"/>
      <c r="AY10" s="708"/>
      <c r="BA10" s="708"/>
      <c r="BB10" s="708"/>
      <c r="BD10" s="717"/>
      <c r="BE10" s="717"/>
      <c r="BG10" s="717"/>
      <c r="BH10" s="717"/>
      <c r="BJ10" s="708"/>
      <c r="BK10" s="708"/>
      <c r="BL10" s="708"/>
      <c r="BM10" s="322"/>
      <c r="BN10" s="717"/>
      <c r="BO10" s="717"/>
      <c r="BQ10" s="322"/>
      <c r="BR10" s="322"/>
    </row>
    <row r="11" spans="1:70" ht="15.75" customHeight="1" thickBot="1" x14ac:dyDescent="0.2">
      <c r="B11" s="5" t="s">
        <v>95</v>
      </c>
      <c r="C11" s="3"/>
      <c r="D11" s="102"/>
      <c r="E11" s="102"/>
      <c r="F11" s="3"/>
      <c r="G11" s="102"/>
      <c r="O11" s="322" t="s">
        <v>96</v>
      </c>
      <c r="P11" s="322"/>
      <c r="Q11" s="322"/>
      <c r="R11" s="322" t="s">
        <v>96</v>
      </c>
      <c r="S11" s="322"/>
      <c r="T11" s="322"/>
      <c r="V11" s="322"/>
      <c r="W11" s="322"/>
      <c r="Y11" s="322"/>
      <c r="Z11" s="322"/>
      <c r="AB11" s="322"/>
      <c r="AC11" s="322"/>
      <c r="AE11" s="322"/>
      <c r="AF11" s="322"/>
      <c r="AH11" s="322"/>
      <c r="AI11" s="322"/>
      <c r="AK11" s="322"/>
      <c r="AL11" s="322"/>
      <c r="AN11" s="322"/>
      <c r="AO11" s="322"/>
      <c r="AQ11" s="322"/>
      <c r="AR11" s="322"/>
      <c r="AT11" s="322"/>
      <c r="AV11" s="322"/>
      <c r="AW11" s="322"/>
      <c r="AX11" s="322"/>
      <c r="BB11" s="322"/>
      <c r="BD11" s="322"/>
      <c r="BE11" s="322"/>
      <c r="BG11" s="322"/>
      <c r="BH11" s="322"/>
      <c r="BJ11" s="156"/>
      <c r="BM11" s="322"/>
      <c r="BN11" s="322"/>
      <c r="BO11" s="322"/>
      <c r="BQ11" s="322"/>
      <c r="BR11" s="322"/>
    </row>
    <row r="12" spans="1:70" ht="14.25" customHeight="1" x14ac:dyDescent="0.15">
      <c r="O12" s="322"/>
      <c r="P12" s="707" t="s">
        <v>97</v>
      </c>
      <c r="W12" s="707" t="s">
        <v>98</v>
      </c>
      <c r="Z12" s="707" t="s">
        <v>98</v>
      </c>
      <c r="AC12" s="707" t="s">
        <v>98</v>
      </c>
      <c r="AF12" s="707" t="s">
        <v>98</v>
      </c>
      <c r="AI12" s="707" t="s">
        <v>98</v>
      </c>
      <c r="AL12" s="707" t="s">
        <v>98</v>
      </c>
      <c r="AO12" s="707" t="s">
        <v>98</v>
      </c>
      <c r="AR12" s="707" t="s">
        <v>98</v>
      </c>
      <c r="AW12" s="707" t="s">
        <v>98</v>
      </c>
      <c r="BB12" s="707" t="s">
        <v>98</v>
      </c>
      <c r="BE12" s="707" t="s">
        <v>98</v>
      </c>
      <c r="BH12" s="707" t="s">
        <v>98</v>
      </c>
      <c r="BJ12" s="709" t="s">
        <v>99</v>
      </c>
      <c r="BK12" s="709" t="s">
        <v>100</v>
      </c>
      <c r="BL12" s="709" t="s">
        <v>101</v>
      </c>
      <c r="BO12" s="709" t="s">
        <v>102</v>
      </c>
      <c r="BR12" s="707" t="s">
        <v>103</v>
      </c>
    </row>
    <row r="13" spans="1:70" ht="14.25" customHeight="1" x14ac:dyDescent="0.15">
      <c r="C13" s="71" t="s">
        <v>552</v>
      </c>
      <c r="F13" s="475">
        <f>'LNG火力（2030年）'!F13</f>
        <v>85</v>
      </c>
      <c r="G13" s="84" t="s">
        <v>553</v>
      </c>
      <c r="O13" s="322"/>
      <c r="P13" s="708"/>
      <c r="Q13" s="322"/>
      <c r="R13" s="322"/>
      <c r="S13" s="322"/>
      <c r="T13" s="322"/>
      <c r="V13" s="322"/>
      <c r="W13" s="708"/>
      <c r="Y13" s="322"/>
      <c r="Z13" s="708"/>
      <c r="AB13" s="322"/>
      <c r="AC13" s="708"/>
      <c r="AE13" s="322"/>
      <c r="AF13" s="708"/>
      <c r="AH13" s="322"/>
      <c r="AI13" s="708"/>
      <c r="AK13" s="322"/>
      <c r="AL13" s="708"/>
      <c r="AN13" s="322"/>
      <c r="AO13" s="708"/>
      <c r="AQ13" s="322"/>
      <c r="AR13" s="708"/>
      <c r="AT13" s="322"/>
      <c r="AV13" s="322"/>
      <c r="AW13" s="708"/>
      <c r="BB13" s="708"/>
      <c r="BD13" s="322"/>
      <c r="BE13" s="708"/>
      <c r="BG13" s="322"/>
      <c r="BH13" s="708"/>
      <c r="BJ13" s="712"/>
      <c r="BK13" s="710"/>
      <c r="BL13" s="708"/>
      <c r="BM13" s="322"/>
      <c r="BO13" s="708"/>
      <c r="BQ13" s="322"/>
      <c r="BR13" s="708"/>
    </row>
    <row r="14" spans="1:70" ht="16.5" x14ac:dyDescent="0.15">
      <c r="C14" s="71" t="s">
        <v>554</v>
      </c>
      <c r="F14" s="474">
        <f>VLOOKUP(F3&amp;IF(G4&lt;&gt;"","_"&amp;G4,""),まとめ!$A$12:$G$31,IF(F7=2030,4,IF(F7=2020,3,IF(F7=2014,2,"-"))),0)</f>
        <v>70</v>
      </c>
      <c r="G14" s="84" t="s">
        <v>549</v>
      </c>
      <c r="O14" s="322"/>
      <c r="P14" s="322"/>
      <c r="Q14" s="322"/>
      <c r="R14" s="322"/>
      <c r="S14" s="322"/>
      <c r="T14" s="322"/>
      <c r="AT14" s="50" t="s">
        <v>104</v>
      </c>
      <c r="AY14" s="71" t="s">
        <v>105</v>
      </c>
    </row>
    <row r="15" spans="1:70" x14ac:dyDescent="0.15">
      <c r="C15" s="71" t="s">
        <v>555</v>
      </c>
      <c r="F15" s="474">
        <f>VLOOKUP(F3&amp;IF(G4&lt;&gt;"","_"&amp;G4,""),まとめ!$A$12:$G$31,IF(F7=2030,7,IF(F7=2020,6,IF(F7=2014,5,"-"))),0)</f>
        <v>40</v>
      </c>
      <c r="G15" s="84" t="s">
        <v>556</v>
      </c>
      <c r="I15" s="38">
        <f>F7</f>
        <v>2030</v>
      </c>
      <c r="J15" s="39"/>
      <c r="K15" s="39">
        <f>IF(I15&lt;&gt;"",1,"")</f>
        <v>1</v>
      </c>
      <c r="L15" s="39"/>
      <c r="M15" s="40">
        <f t="shared" ref="M15:M46" si="0">1/(1+($F$9/100))^K15</f>
        <v>0.970873786407767</v>
      </c>
      <c r="N15" s="39"/>
      <c r="O15" s="72">
        <f>F117</f>
        <v>183954170005.37665</v>
      </c>
      <c r="P15" s="41">
        <f t="shared" ref="P15:P46" si="1">IF(K15&lt;=$F$15,IF(OR(P14=$F$124,P14="-"),"-",IF(O15*$F$123&gt;$F$127,$F$123,$F$124)),"")</f>
        <v>0.16700000000000001</v>
      </c>
      <c r="Q15" s="39"/>
      <c r="R15" s="72">
        <f>F117</f>
        <v>183954170005.37665</v>
      </c>
      <c r="S15" s="39"/>
      <c r="T15" s="72">
        <f t="shared" ref="T15:T46" si="2">IF(ISNUMBER(R15),ROUNDDOWN(R15,-3),"")</f>
        <v>183954170000</v>
      </c>
      <c r="U15" s="39"/>
      <c r="V15" s="72">
        <f t="shared" ref="V15:V46" si="3">IF(K15&lt;=$F$15,IF(K15&lt;$F$119,IF(P15="-",V14,O15*P15),IF(K15=$F$119,MIN(IF(P15="-",V14,O15*P15),O15),0)),"")</f>
        <v>30720346390.897903</v>
      </c>
      <c r="W15" s="72">
        <f t="shared" ref="W15:W46" si="4">IF(ISNUMBER(V15),V15*$M15,"")</f>
        <v>29825579020.289227</v>
      </c>
      <c r="X15" s="39"/>
      <c r="Y15" s="72">
        <f t="shared" ref="Y15:Y46" si="5">IF($K15&lt;=$F$15,ROUNDDOWN(T15*$F$25/100,-2),"")</f>
        <v>2575358300</v>
      </c>
      <c r="Z15" s="72">
        <f t="shared" ref="Z15:Z46" si="6">IF(ISNUMBER(Y15),Y15*$M15,"")</f>
        <v>2500347864.0776701</v>
      </c>
      <c r="AA15" s="39"/>
      <c r="AB15" s="72">
        <f t="shared" ref="AB15:AB46" si="7">IF($K15&lt;=$F$15,0,IF(AND($K15&gt;$F$15,$K15&lt;=$F$15+$F$28),$F$27*10^8/$F$28,""))</f>
        <v>0</v>
      </c>
      <c r="AC15" s="72">
        <f t="shared" ref="AC15:AC46" si="8">IF(ISNUMBER(AB15),AB15*$M15,"")</f>
        <v>0</v>
      </c>
      <c r="AD15" s="39"/>
      <c r="AE15" s="72">
        <f t="shared" ref="AE15:AE46" si="9">IF($K15&lt;=$F$15,$F$26,"")</f>
        <v>0</v>
      </c>
      <c r="AF15" s="72">
        <f t="shared" ref="AF15:AF46" si="10">IF(ISNUMBER(AE15),AE15*$M15,"")</f>
        <v>0</v>
      </c>
      <c r="AG15" s="39"/>
      <c r="AH15" s="72">
        <f t="shared" ref="AH15:AH46" si="11">IF($K15&lt;=$F$15,$F$33*10^8,"")</f>
        <v>620000000</v>
      </c>
      <c r="AI15" s="72">
        <f t="shared" ref="AI15:AI46" si="12">IF(ISNUMBER(AH15),AH15*$M15,"")</f>
        <v>601941747.57281554</v>
      </c>
      <c r="AJ15" s="39"/>
      <c r="AK15" s="72">
        <f t="shared" ref="AK15:AK46" si="13">IF($K15&lt;=$F$15,$F$117*$F$34/100,"")</f>
        <v>4414900080.1290398</v>
      </c>
      <c r="AL15" s="72">
        <f t="shared" ref="AL15:AL46" si="14">IF(ISNUMBER(AK15),AK15*$M15,"")</f>
        <v>4286310757.4068346</v>
      </c>
      <c r="AM15" s="39"/>
      <c r="AN15" s="72">
        <f t="shared" ref="AN15:AN46" si="15">IF($K15&lt;=$F$15,$F$117*$F$35/100,"")</f>
        <v>2023495870.0591433</v>
      </c>
      <c r="AO15" s="72">
        <f t="shared" ref="AO15:AO46" si="16">IF(ISNUMBER(AN15),AN15*$M15,"")</f>
        <v>1964559097.1447992</v>
      </c>
      <c r="AP15" s="39"/>
      <c r="AQ15" s="72">
        <f t="shared" ref="AQ15:AQ46" si="17">IF($K15&lt;=$F$15,SUM(AH15,AK15,AN15)*($F$36/100),"")</f>
        <v>847007514.02258193</v>
      </c>
      <c r="AR15" s="72">
        <f t="shared" ref="AR15:AR46" si="18">IF(ISNUMBER(AQ15),AQ15*$M15,"")</f>
        <v>822337392.25493395</v>
      </c>
      <c r="AS15" s="39"/>
      <c r="AT15" s="40">
        <f>IF($K15&lt;=$F$15,IF($F$40&lt;&gt;"",$F$40/1000,IF(ISERROR(VLOOKUP($F$3&amp;IF($G$4&lt;&gt;"",$G$4,"")&amp;IF($F$43&lt;&gt;"","_"&amp;$F$43,""),'表3）燃料価格'!$AF$9:$AG$25,2,0)),0,VLOOKUP($I15,'表3）燃料価格'!$A$6:$AD$56,VLOOKUP($F$3&amp;IF($G$4&lt;&gt;"",$G$4,"")&amp;IF($F$43&lt;&gt;"","_"&amp;$F$43,""),'表3）燃料価格'!$AF$9:$AG$25,2,0)+VLOOKUP($F$41,'表3）燃料価格'!$AF$28:$AG$29,2,0),0)*IF($F$43="需要地価格",1,$F$8/$F$141))),"")</f>
        <v>49.496976697782991</v>
      </c>
      <c r="AU15" s="39"/>
      <c r="AV15" s="72">
        <f t="shared" ref="AV15:AV46" si="19">IF($K15&lt;=$F$15,($AT15+$F$142)*$F$137,"")</f>
        <v>31472987812.279552</v>
      </c>
      <c r="AW15" s="72">
        <f t="shared" ref="AW15:AW46" si="20">IF(ISNUMBER(AV15),AV15*$M15,"")</f>
        <v>30556298846.873352</v>
      </c>
      <c r="AX15" s="39"/>
      <c r="AY15" s="40">
        <f>IF(ISERROR(IF($K15&lt;=$F$15,VLOOKUP($I15,'表4）CO2価格'!$A$7:$E$67,VLOOKUP($F$48,'表4）CO2価格'!$H$10:$I$12,2,0),0)*$F$8/1000,"")),0,IF($K15&lt;=$F$15,VLOOKUP($I15,'表4）CO2価格'!$A$7:$E$67,VLOOKUP($F$48,'表4）CO2価格'!$H$10:$I$12,2,0),0)*$F$8/1000,""))</f>
        <v>4.28</v>
      </c>
      <c r="AZ15" s="39"/>
      <c r="BA15" s="42">
        <f t="shared" ref="BA15:BA46" si="21">IF($K15&lt;=$F$15,$F$145*AY15,"")</f>
        <v>7165398979.1999998</v>
      </c>
      <c r="BB15" s="72">
        <f t="shared" ref="BB15:BB46" si="22">IF(ISNUMBER(BA15),BA15*$M15,"")</f>
        <v>6956698038.0582523</v>
      </c>
      <c r="BC15" s="39"/>
      <c r="BD15" s="72">
        <f t="shared" ref="BD15:BD46" si="23">IF($K15&lt;=$F$15,($AT15+$F$152)*$F$151,"")</f>
        <v>0</v>
      </c>
      <c r="BE15" s="72">
        <f t="shared" ref="BE15:BE46" si="24">IF(ISNUMBER(BD15),BD15*$M15,"")</f>
        <v>0</v>
      </c>
      <c r="BF15" s="39"/>
      <c r="BG15" s="42">
        <f t="shared" ref="BG15:BG46" si="25">IF($K15&lt;=$F$15,$F$153*AY15,"")</f>
        <v>0</v>
      </c>
      <c r="BH15" s="72">
        <f t="shared" ref="BH15:BH46" si="26">IF(ISNUMBER(BG15),BG15*$M15,"")</f>
        <v>0</v>
      </c>
      <c r="BI15" s="39"/>
      <c r="BJ15" s="40" t="str">
        <f t="shared" ref="BJ15:BJ46" si="27">IF(ISNUMBER($F$16),IF($K15&lt;=$F$16+$F$28,1/(1+($F$17/100))^K15,""),"")</f>
        <v/>
      </c>
      <c r="BK15" s="157" t="str">
        <f t="shared" ref="BK15:BK46" si="28">IF(ISNUMBER($F$16),IF($K15&lt;=$F$16+$F$28,IF($K15&lt;=$F$16,SUM(Y15,AB15,AE15,AH15,AK15,AN15,AQ15,AV15,BA15,BD15,BG15),$F$27/$F$28*10^8)*BJ15,""),"")</f>
        <v/>
      </c>
      <c r="BL15" s="157" t="str">
        <f t="shared" ref="BL15:BL46" si="29">IF(AND(ISNUMBER(BJ15),$K15&lt;=$F$16),BQ15*BJ15,"")</f>
        <v/>
      </c>
      <c r="BM15" s="72"/>
      <c r="BN15" s="72" t="str">
        <f t="shared" ref="BN15:BN46" si="30">IF(AND(ISNUMBER($F$16),$K15&lt;=$F$16),BQ15*($O$15+$BK$116)/$BL$116,"")</f>
        <v/>
      </c>
      <c r="BO15" s="72" t="str">
        <f t="shared" ref="BO15:BO46" si="31">IF(ISNUMBER(BN15),BN15*$M15,"")</f>
        <v/>
      </c>
      <c r="BP15" s="39"/>
      <c r="BQ15" s="72">
        <f t="shared" ref="BQ15:BQ46" si="32">IF($K15&lt;=$F$15,$F$134,"")</f>
        <v>4554218260.8222504</v>
      </c>
      <c r="BR15" s="72">
        <f t="shared" ref="BR15:BR46" si="33">IF(ISNUMBER(BQ15),BQ15*$M15,"")</f>
        <v>4421571127.0118933</v>
      </c>
    </row>
    <row r="16" spans="1:70" x14ac:dyDescent="0.15">
      <c r="C16" s="184" t="s">
        <v>107</v>
      </c>
      <c r="F16" s="474" t="str">
        <f>IF(ISERROR(VLOOKUP(F3&amp;IF(G4&lt;&gt;"","_"&amp;G4,""),'表7）買取期間・IRR'!$A$3:$A$10,1,0)),"",VLOOKUP(F3&amp;IF(G4&lt;&gt;"","_"&amp;G4,""),'表7）買取期間・IRR'!$A$3:$C$10,IF(F7=2030,4,IF(F7=2020,3,IF(F7=2014,2,"-"))),0))</f>
        <v/>
      </c>
      <c r="G16" s="84" t="s">
        <v>556</v>
      </c>
      <c r="I16" s="322">
        <f t="shared" ref="I16:I47" si="34">I15+1</f>
        <v>2031</v>
      </c>
      <c r="K16" s="71">
        <f t="shared" ref="K16:K47" si="35">IF(I16&lt;&gt;"",K15+1,"")</f>
        <v>2</v>
      </c>
      <c r="M16" s="7">
        <f t="shared" si="0"/>
        <v>0.94259590913375435</v>
      </c>
      <c r="O16" s="10">
        <f t="shared" ref="O16:O47" si="36">IF(K16&lt;=$F$15,O15-V15,"")</f>
        <v>153233823614.47876</v>
      </c>
      <c r="P16" s="29">
        <f t="shared" si="1"/>
        <v>0.16700000000000001</v>
      </c>
      <c r="R16" s="10">
        <f t="shared" ref="R16:R47" si="37">IF($K16&lt;=$F$15,MAX($F$117*5%,R15*$F$129),"")</f>
        <v>157776737142.30362</v>
      </c>
      <c r="T16" s="10">
        <f t="shared" si="2"/>
        <v>157776737000</v>
      </c>
      <c r="V16" s="10">
        <f t="shared" si="3"/>
        <v>25590048543.617954</v>
      </c>
      <c r="W16" s="10">
        <f t="shared" si="4"/>
        <v>24121075071.74847</v>
      </c>
      <c r="Y16" s="10">
        <f t="shared" si="5"/>
        <v>2208874300</v>
      </c>
      <c r="Z16" s="10">
        <f t="shared" si="6"/>
        <v>2082075878.9706852</v>
      </c>
      <c r="AB16" s="10">
        <f t="shared" si="7"/>
        <v>0</v>
      </c>
      <c r="AC16" s="10">
        <f t="shared" si="8"/>
        <v>0</v>
      </c>
      <c r="AE16" s="10">
        <f t="shared" si="9"/>
        <v>0</v>
      </c>
      <c r="AF16" s="10">
        <f t="shared" si="10"/>
        <v>0</v>
      </c>
      <c r="AH16" s="10">
        <f t="shared" si="11"/>
        <v>620000000</v>
      </c>
      <c r="AI16" s="10">
        <f t="shared" si="12"/>
        <v>584409463.66292775</v>
      </c>
      <c r="AK16" s="10">
        <f t="shared" si="13"/>
        <v>4414900080.1290398</v>
      </c>
      <c r="AL16" s="10">
        <f t="shared" si="14"/>
        <v>4161466754.763917</v>
      </c>
      <c r="AN16" s="10">
        <f t="shared" si="15"/>
        <v>2023495870.0591433</v>
      </c>
      <c r="AO16" s="10">
        <f t="shared" si="16"/>
        <v>1907338929.2667954</v>
      </c>
      <c r="AQ16" s="10">
        <f t="shared" si="17"/>
        <v>847007514.02258193</v>
      </c>
      <c r="AR16" s="10">
        <f t="shared" si="18"/>
        <v>798385817.7232368</v>
      </c>
      <c r="AT16" s="40">
        <f>IF($K16&lt;=$F$15,IF($F$40&lt;&gt;"",$F$40/1000,IF(ISERROR(VLOOKUP($F$3&amp;IF($G$4&lt;&gt;"",$G$4,"")&amp;IF($F$43&lt;&gt;"","_"&amp;$F$43,""),'表3）燃料価格'!$AF$9:$AG$25,2,0)),0,VLOOKUP($I16,'表3）燃料価格'!$A$6:$AD$56,VLOOKUP($F$3&amp;IF($G$4&lt;&gt;"",$G$4,"")&amp;IF($F$43&lt;&gt;"","_"&amp;$F$43,""),'表3）燃料価格'!$AF$9:$AG$25,2,0)+VLOOKUP($F$41,'表3）燃料価格'!$AF$28:$AG$29,2,0),0)*IF($F$43="需要地価格",1,$F$8/$F$141))),"")</f>
        <v>49.422591134993795</v>
      </c>
      <c r="AV16" s="10">
        <f t="shared" si="19"/>
        <v>31428221631.538303</v>
      </c>
      <c r="AW16" s="10">
        <f t="shared" si="20"/>
        <v>29624113141.236973</v>
      </c>
      <c r="AY16" s="40">
        <f>IF(ISERROR(IF($K16&lt;=$F$15,VLOOKUP($I16,'表4）CO2価格'!$A$7:$E$67,VLOOKUP($F$48,'表4）CO2価格'!$H$10:$I$12,2,0),0)*$F$8/1000,"")),0,IF($K16&lt;=$F$15,VLOOKUP($I16,'表4）CO2価格'!$A$7:$E$67,VLOOKUP($F$48,'表4）CO2価格'!$H$10:$I$12,2,0),0)*$F$8/1000,""))</f>
        <v>4.4083999999999808</v>
      </c>
      <c r="BA16" s="11">
        <f t="shared" si="21"/>
        <v>7380360948.5759668</v>
      </c>
      <c r="BB16" s="10">
        <f t="shared" si="22"/>
        <v>6956698038.0582209</v>
      </c>
      <c r="BD16" s="10">
        <f t="shared" si="23"/>
        <v>0</v>
      </c>
      <c r="BE16" s="10">
        <f t="shared" si="24"/>
        <v>0</v>
      </c>
      <c r="BG16" s="11">
        <f t="shared" si="25"/>
        <v>0</v>
      </c>
      <c r="BH16" s="10">
        <f t="shared" si="26"/>
        <v>0</v>
      </c>
      <c r="BJ16" s="7" t="str">
        <f t="shared" si="27"/>
        <v/>
      </c>
      <c r="BK16" s="158" t="str">
        <f t="shared" si="28"/>
        <v/>
      </c>
      <c r="BL16" s="158" t="str">
        <f t="shared" si="29"/>
        <v/>
      </c>
      <c r="BM16" s="10"/>
      <c r="BN16" s="10" t="str">
        <f t="shared" si="30"/>
        <v/>
      </c>
      <c r="BO16" s="10" t="str">
        <f t="shared" si="31"/>
        <v/>
      </c>
      <c r="BQ16" s="10">
        <f t="shared" si="32"/>
        <v>4554218260.8222504</v>
      </c>
      <c r="BR16" s="10">
        <f t="shared" si="33"/>
        <v>4292787501.9532948</v>
      </c>
    </row>
    <row r="17" spans="3:70" x14ac:dyDescent="0.15">
      <c r="C17" s="71" t="s">
        <v>109</v>
      </c>
      <c r="F17" s="476" t="str">
        <f>IF(ISERROR(VLOOKUP(F3&amp;IF(G4&lt;&gt;"","_"&amp;G4,""),'表7）買取期間・IRR'!$A$14:$A$21,1,0)),"",VLOOKUP(F3&amp;IF(G4&lt;&gt;"","_"&amp;G4,""),'表7）買取期間・IRR'!$A$14:$C$21,IF(F7=2030,4,IF(F7=2020,3,IF(F7=2014,2,"-"))),0))</f>
        <v/>
      </c>
      <c r="G17" s="84" t="s">
        <v>549</v>
      </c>
      <c r="I17" s="38">
        <f t="shared" si="34"/>
        <v>2032</v>
      </c>
      <c r="J17" s="39"/>
      <c r="K17" s="39">
        <f t="shared" si="35"/>
        <v>3</v>
      </c>
      <c r="L17" s="39"/>
      <c r="M17" s="40">
        <f t="shared" si="0"/>
        <v>0.91514165935315961</v>
      </c>
      <c r="N17" s="39"/>
      <c r="O17" s="72">
        <f t="shared" si="36"/>
        <v>127643775070.86081</v>
      </c>
      <c r="P17" s="41">
        <f t="shared" si="1"/>
        <v>0.16700000000000001</v>
      </c>
      <c r="Q17" s="39"/>
      <c r="R17" s="72">
        <f t="shared" si="37"/>
        <v>135324460340.0074</v>
      </c>
      <c r="S17" s="39"/>
      <c r="T17" s="72">
        <f t="shared" si="2"/>
        <v>135324460000</v>
      </c>
      <c r="U17" s="39"/>
      <c r="V17" s="72">
        <f t="shared" si="3"/>
        <v>21316510436.833755</v>
      </c>
      <c r="W17" s="72">
        <f t="shared" si="4"/>
        <v>19507626732.78299</v>
      </c>
      <c r="X17" s="39"/>
      <c r="Y17" s="72">
        <f t="shared" si="5"/>
        <v>1894542400</v>
      </c>
      <c r="Z17" s="72">
        <f t="shared" si="6"/>
        <v>1733774675.6509175</v>
      </c>
      <c r="AA17" s="39"/>
      <c r="AB17" s="72">
        <f t="shared" si="7"/>
        <v>0</v>
      </c>
      <c r="AC17" s="72">
        <f t="shared" si="8"/>
        <v>0</v>
      </c>
      <c r="AD17" s="39"/>
      <c r="AE17" s="72">
        <f t="shared" si="9"/>
        <v>0</v>
      </c>
      <c r="AF17" s="72">
        <f t="shared" si="10"/>
        <v>0</v>
      </c>
      <c r="AG17" s="39"/>
      <c r="AH17" s="72">
        <f t="shared" si="11"/>
        <v>620000000</v>
      </c>
      <c r="AI17" s="72">
        <f t="shared" si="12"/>
        <v>567387828.79895902</v>
      </c>
      <c r="AJ17" s="39"/>
      <c r="AK17" s="72">
        <f t="shared" si="13"/>
        <v>4414900080.1290398</v>
      </c>
      <c r="AL17" s="72">
        <f t="shared" si="14"/>
        <v>4040258985.2076869</v>
      </c>
      <c r="AM17" s="39"/>
      <c r="AN17" s="72">
        <f t="shared" si="15"/>
        <v>2023495870.0591433</v>
      </c>
      <c r="AO17" s="72">
        <f t="shared" si="16"/>
        <v>1851785368.2201898</v>
      </c>
      <c r="AP17" s="39"/>
      <c r="AQ17" s="72">
        <f t="shared" si="17"/>
        <v>847007514.02258193</v>
      </c>
      <c r="AR17" s="72">
        <f t="shared" si="18"/>
        <v>775131861.86722028</v>
      </c>
      <c r="AS17" s="39"/>
      <c r="AT17" s="40">
        <f>IF($K17&lt;=$F$15,IF($F$40&lt;&gt;"",$F$40/1000,IF(ISERROR(VLOOKUP($F$3&amp;IF($G$4&lt;&gt;"",$G$4,"")&amp;IF($F$43&lt;&gt;"","_"&amp;$F$43,""),'表3）燃料価格'!$AF$9:$AG$25,2,0)),0,VLOOKUP($I17,'表3）燃料価格'!$A$6:$AD$56,VLOOKUP($F$3&amp;IF($G$4&lt;&gt;"",$G$4,"")&amp;IF($F$43&lt;&gt;"","_"&amp;$F$43,""),'表3）燃料価格'!$AF$9:$AG$25,2,0)+VLOOKUP($F$41,'表3）燃料価格'!$AF$28:$AG$29,2,0),0)*IF($F$43="需要地価格",1,$F$8/$F$141))),"")</f>
        <v>49.348205572204598</v>
      </c>
      <c r="AU17" s="39"/>
      <c r="AV17" s="72">
        <f t="shared" si="19"/>
        <v>31383455450.79705</v>
      </c>
      <c r="AW17" s="72">
        <f t="shared" si="20"/>
        <v>28720307497.478374</v>
      </c>
      <c r="AX17" s="39"/>
      <c r="AY17" s="40">
        <f>IF(ISERROR(IF($K17&lt;=$F$15,VLOOKUP($I17,'表4）CO2価格'!$A$7:$E$67,VLOOKUP($F$48,'表4）CO2価格'!$H$10:$I$12,2,0),0)*$F$8/1000,"")),0,IF($K17&lt;=$F$15,VLOOKUP($I17,'表4）CO2価格'!$A$7:$E$67,VLOOKUP($F$48,'表4）CO2価格'!$H$10:$I$12,2,0),0)*$F$8/1000,""))</f>
        <v>4.5368000000000102</v>
      </c>
      <c r="AZ17" s="39"/>
      <c r="BA17" s="42">
        <f t="shared" si="21"/>
        <v>7595322917.9520159</v>
      </c>
      <c r="BB17" s="72">
        <f t="shared" si="22"/>
        <v>6950796418.4576902</v>
      </c>
      <c r="BC17" s="39"/>
      <c r="BD17" s="72">
        <f t="shared" si="23"/>
        <v>0</v>
      </c>
      <c r="BE17" s="72">
        <f t="shared" si="24"/>
        <v>0</v>
      </c>
      <c r="BF17" s="39"/>
      <c r="BG17" s="42">
        <f t="shared" si="25"/>
        <v>0</v>
      </c>
      <c r="BH17" s="72">
        <f t="shared" si="26"/>
        <v>0</v>
      </c>
      <c r="BI17" s="39"/>
      <c r="BJ17" s="40" t="str">
        <f t="shared" si="27"/>
        <v/>
      </c>
      <c r="BK17" s="157" t="str">
        <f t="shared" si="28"/>
        <v/>
      </c>
      <c r="BL17" s="157" t="str">
        <f t="shared" si="29"/>
        <v/>
      </c>
      <c r="BM17" s="72"/>
      <c r="BN17" s="72" t="str">
        <f t="shared" si="30"/>
        <v/>
      </c>
      <c r="BO17" s="72" t="str">
        <f t="shared" si="31"/>
        <v/>
      </c>
      <c r="BP17" s="39"/>
      <c r="BQ17" s="72">
        <f t="shared" si="32"/>
        <v>4554218260.8222504</v>
      </c>
      <c r="BR17" s="72">
        <f t="shared" si="33"/>
        <v>4167754856.2653346</v>
      </c>
    </row>
    <row r="18" spans="3:70" x14ac:dyDescent="0.15">
      <c r="C18" s="71" t="s">
        <v>656</v>
      </c>
      <c r="F18" s="508">
        <v>90</v>
      </c>
      <c r="G18" s="84" t="s">
        <v>549</v>
      </c>
      <c r="I18" s="322">
        <f t="shared" si="34"/>
        <v>2033</v>
      </c>
      <c r="K18" s="71">
        <f t="shared" si="35"/>
        <v>4</v>
      </c>
      <c r="M18" s="7">
        <f t="shared" si="0"/>
        <v>0.888487047915689</v>
      </c>
      <c r="O18" s="10">
        <f t="shared" si="36"/>
        <v>106327264634.02705</v>
      </c>
      <c r="P18" s="29">
        <f t="shared" si="1"/>
        <v>0.16700000000000001</v>
      </c>
      <c r="R18" s="10">
        <f t="shared" si="37"/>
        <v>116067234612.65047</v>
      </c>
      <c r="T18" s="10">
        <f t="shared" si="2"/>
        <v>116067234000</v>
      </c>
      <c r="V18" s="10">
        <f t="shared" si="3"/>
        <v>17756653193.882519</v>
      </c>
      <c r="W18" s="10">
        <f t="shared" si="4"/>
        <v>15776556377.095369</v>
      </c>
      <c r="Y18" s="10">
        <f t="shared" si="5"/>
        <v>1624941200</v>
      </c>
      <c r="Z18" s="10">
        <f t="shared" si="6"/>
        <v>1443739209.8245771</v>
      </c>
      <c r="AB18" s="10">
        <f t="shared" si="7"/>
        <v>0</v>
      </c>
      <c r="AC18" s="10">
        <f t="shared" si="8"/>
        <v>0</v>
      </c>
      <c r="AE18" s="10">
        <f t="shared" si="9"/>
        <v>0</v>
      </c>
      <c r="AF18" s="10">
        <f t="shared" si="10"/>
        <v>0</v>
      </c>
      <c r="AH18" s="10">
        <f t="shared" si="11"/>
        <v>620000000</v>
      </c>
      <c r="AI18" s="10">
        <f t="shared" si="12"/>
        <v>550861969.70772719</v>
      </c>
      <c r="AK18" s="10">
        <f t="shared" si="13"/>
        <v>4414900080.1290398</v>
      </c>
      <c r="AL18" s="10">
        <f t="shared" si="14"/>
        <v>3922581539.0365891</v>
      </c>
      <c r="AN18" s="10">
        <f t="shared" si="15"/>
        <v>2023495870.0591433</v>
      </c>
      <c r="AO18" s="10">
        <f t="shared" si="16"/>
        <v>1797849872.0584369</v>
      </c>
      <c r="AQ18" s="10">
        <f t="shared" si="17"/>
        <v>847007514.02258193</v>
      </c>
      <c r="AR18" s="10">
        <f t="shared" si="18"/>
        <v>752555205.69633043</v>
      </c>
      <c r="AT18" s="40">
        <f>IF($K18&lt;=$F$15,IF($F$40&lt;&gt;"",$F$40/1000,IF(ISERROR(VLOOKUP($F$3&amp;IF($G$4&lt;&gt;"",$G$4,"")&amp;IF($F$43&lt;&gt;"","_"&amp;$F$43,""),'表3）燃料価格'!$AF$9:$AG$25,2,0)),0,VLOOKUP($I18,'表3）燃料価格'!$A$6:$AD$56,VLOOKUP($F$3&amp;IF($G$4&lt;&gt;"",$G$4,"")&amp;IF($F$43&lt;&gt;"","_"&amp;$F$43,""),'表3）燃料価格'!$AF$9:$AG$25,2,0)+VLOOKUP($F$41,'表3）燃料価格'!$AF$28:$AG$29,2,0),0)*IF($F$43="需要地価格",1,$F$8/$F$141))),"")</f>
        <v>49.27382000941541</v>
      </c>
      <c r="AV18" s="10">
        <f t="shared" si="19"/>
        <v>31338689270.055805</v>
      </c>
      <c r="AW18" s="10">
        <f t="shared" si="20"/>
        <v>27844019515.098961</v>
      </c>
      <c r="AY18" s="40">
        <f>IF(ISERROR(IF($K18&lt;=$F$15,VLOOKUP($I18,'表4）CO2価格'!$A$7:$E$67,VLOOKUP($F$48,'表4）CO2価格'!$H$10:$I$12,2,0),0)*$F$8/1000,"")),0,IF($K18&lt;=$F$15,VLOOKUP($I18,'表4）CO2価格'!$A$7:$E$67,VLOOKUP($F$48,'表4）CO2価格'!$H$10:$I$12,2,0),0)*$F$8/1000,""))</f>
        <v>4.6651999999999898</v>
      </c>
      <c r="BA18" s="11">
        <f t="shared" si="21"/>
        <v>7810284887.3279819</v>
      </c>
      <c r="BB18" s="10">
        <f t="shared" si="22"/>
        <v>6939336962.9225588</v>
      </c>
      <c r="BD18" s="10">
        <f t="shared" si="23"/>
        <v>0</v>
      </c>
      <c r="BE18" s="10">
        <f t="shared" si="24"/>
        <v>0</v>
      </c>
      <c r="BG18" s="11">
        <f t="shared" si="25"/>
        <v>0</v>
      </c>
      <c r="BH18" s="10">
        <f t="shared" si="26"/>
        <v>0</v>
      </c>
      <c r="BJ18" s="7" t="str">
        <f t="shared" si="27"/>
        <v/>
      </c>
      <c r="BK18" s="158" t="str">
        <f t="shared" si="28"/>
        <v/>
      </c>
      <c r="BL18" s="158" t="str">
        <f t="shared" si="29"/>
        <v/>
      </c>
      <c r="BM18" s="10"/>
      <c r="BN18" s="10" t="str">
        <f t="shared" si="30"/>
        <v/>
      </c>
      <c r="BO18" s="10" t="str">
        <f t="shared" si="31"/>
        <v/>
      </c>
      <c r="BQ18" s="10">
        <f t="shared" si="32"/>
        <v>4554218260.8222504</v>
      </c>
      <c r="BR18" s="10">
        <f t="shared" si="33"/>
        <v>4046363938.1216846</v>
      </c>
    </row>
    <row r="19" spans="3:70" x14ac:dyDescent="0.15">
      <c r="C19" s="4" t="s">
        <v>557</v>
      </c>
      <c r="D19" s="100"/>
      <c r="E19" s="100"/>
      <c r="F19" s="4"/>
      <c r="G19" s="100"/>
      <c r="I19" s="38">
        <f t="shared" si="34"/>
        <v>2034</v>
      </c>
      <c r="J19" s="39"/>
      <c r="K19" s="39">
        <f t="shared" si="35"/>
        <v>5</v>
      </c>
      <c r="L19" s="39"/>
      <c r="M19" s="40">
        <f t="shared" si="0"/>
        <v>0.86260878438416411</v>
      </c>
      <c r="N19" s="39"/>
      <c r="O19" s="72">
        <f t="shared" si="36"/>
        <v>88570611440.144531</v>
      </c>
      <c r="P19" s="41">
        <f t="shared" si="1"/>
        <v>0.16700000000000001</v>
      </c>
      <c r="Q19" s="39"/>
      <c r="R19" s="72">
        <f t="shared" si="37"/>
        <v>99550391088.057373</v>
      </c>
      <c r="S19" s="39"/>
      <c r="T19" s="72">
        <f t="shared" si="2"/>
        <v>99550391000</v>
      </c>
      <c r="U19" s="39"/>
      <c r="V19" s="72">
        <f t="shared" si="3"/>
        <v>14791292110.504137</v>
      </c>
      <c r="W19" s="72">
        <f t="shared" si="4"/>
        <v>12759098506.913052</v>
      </c>
      <c r="X19" s="39"/>
      <c r="Y19" s="72">
        <f t="shared" si="5"/>
        <v>1393705400</v>
      </c>
      <c r="Z19" s="72">
        <f t="shared" si="6"/>
        <v>1202222520.8836453</v>
      </c>
      <c r="AA19" s="39"/>
      <c r="AB19" s="72">
        <f t="shared" si="7"/>
        <v>0</v>
      </c>
      <c r="AC19" s="72">
        <f t="shared" si="8"/>
        <v>0</v>
      </c>
      <c r="AD19" s="39"/>
      <c r="AE19" s="72">
        <f t="shared" si="9"/>
        <v>0</v>
      </c>
      <c r="AF19" s="72">
        <f t="shared" si="10"/>
        <v>0</v>
      </c>
      <c r="AG19" s="39"/>
      <c r="AH19" s="72">
        <f t="shared" si="11"/>
        <v>620000000</v>
      </c>
      <c r="AI19" s="72">
        <f t="shared" si="12"/>
        <v>534817446.31818175</v>
      </c>
      <c r="AJ19" s="39"/>
      <c r="AK19" s="72">
        <f t="shared" si="13"/>
        <v>4414900080.1290398</v>
      </c>
      <c r="AL19" s="72">
        <f t="shared" si="14"/>
        <v>3808331591.2976599</v>
      </c>
      <c r="AM19" s="39"/>
      <c r="AN19" s="72">
        <f t="shared" si="15"/>
        <v>2023495870.0591433</v>
      </c>
      <c r="AO19" s="72">
        <f t="shared" si="16"/>
        <v>1745485312.6780941</v>
      </c>
      <c r="AP19" s="39"/>
      <c r="AQ19" s="72">
        <f t="shared" si="17"/>
        <v>847007514.02258193</v>
      </c>
      <c r="AR19" s="72">
        <f t="shared" si="18"/>
        <v>730636122.03527224</v>
      </c>
      <c r="AS19" s="39"/>
      <c r="AT19" s="40">
        <f>IF($K19&lt;=$F$15,IF($F$40&lt;&gt;"",$F$40/1000,IF(ISERROR(VLOOKUP($F$3&amp;IF($G$4&lt;&gt;"",$G$4,"")&amp;IF($F$43&lt;&gt;"","_"&amp;$F$43,""),'表3）燃料価格'!$AF$9:$AG$25,2,0)),0,VLOOKUP($I19,'表3）燃料価格'!$A$6:$AD$56,VLOOKUP($F$3&amp;IF($G$4&lt;&gt;"",$G$4,"")&amp;IF($F$43&lt;&gt;"","_"&amp;$F$43,""),'表3）燃料価格'!$AF$9:$AG$25,2,0)+VLOOKUP($F$41,'表3）燃料価格'!$AF$28:$AG$29,2,0),0)*IF($F$43="需要地価格",1,$F$8/$F$141))),"")</f>
        <v>49.199434446626192</v>
      </c>
      <c r="AU19" s="39"/>
      <c r="AV19" s="72">
        <f t="shared" si="19"/>
        <v>31293923089.314541</v>
      </c>
      <c r="AW19" s="72">
        <f t="shared" si="20"/>
        <v>26994412954.685143</v>
      </c>
      <c r="AX19" s="39"/>
      <c r="AY19" s="40">
        <f>IF(ISERROR(IF($K19&lt;=$F$15,VLOOKUP($I19,'表4）CO2価格'!$A$7:$E$67,VLOOKUP($F$48,'表4）CO2価格'!$H$10:$I$12,2,0),0)*$F$8/1000,"")),0,IF($K19&lt;=$F$15,VLOOKUP($I19,'表4）CO2価格'!$A$7:$E$67,VLOOKUP($F$48,'表4）CO2価格'!$H$10:$I$12,2,0),0)*$F$8/1000,""))</f>
        <v>4.7935999999999712</v>
      </c>
      <c r="AZ19" s="39"/>
      <c r="BA19" s="42">
        <f t="shared" si="21"/>
        <v>8025246856.7039509</v>
      </c>
      <c r="BB19" s="72">
        <f t="shared" si="22"/>
        <v>6922648435.4442291</v>
      </c>
      <c r="BC19" s="39"/>
      <c r="BD19" s="72">
        <f t="shared" si="23"/>
        <v>0</v>
      </c>
      <c r="BE19" s="72">
        <f t="shared" si="24"/>
        <v>0</v>
      </c>
      <c r="BF19" s="39"/>
      <c r="BG19" s="42">
        <f t="shared" si="25"/>
        <v>0</v>
      </c>
      <c r="BH19" s="72">
        <f t="shared" si="26"/>
        <v>0</v>
      </c>
      <c r="BI19" s="39"/>
      <c r="BJ19" s="40" t="str">
        <f t="shared" si="27"/>
        <v/>
      </c>
      <c r="BK19" s="157" t="str">
        <f t="shared" si="28"/>
        <v/>
      </c>
      <c r="BL19" s="157" t="str">
        <f t="shared" si="29"/>
        <v/>
      </c>
      <c r="BM19" s="72"/>
      <c r="BN19" s="72" t="str">
        <f t="shared" si="30"/>
        <v/>
      </c>
      <c r="BO19" s="72" t="str">
        <f t="shared" si="31"/>
        <v/>
      </c>
      <c r="BP19" s="39"/>
      <c r="BQ19" s="72">
        <f t="shared" si="32"/>
        <v>4554218260.8222504</v>
      </c>
      <c r="BR19" s="72">
        <f t="shared" si="33"/>
        <v>3928508677.7880435</v>
      </c>
    </row>
    <row r="20" spans="3:70" x14ac:dyDescent="0.15">
      <c r="I20" s="322">
        <f t="shared" si="34"/>
        <v>2035</v>
      </c>
      <c r="K20" s="71">
        <f t="shared" si="35"/>
        <v>6</v>
      </c>
      <c r="M20" s="7">
        <f t="shared" si="0"/>
        <v>0.83748425668365445</v>
      </c>
      <c r="O20" s="10">
        <f t="shared" si="36"/>
        <v>73779319329.640396</v>
      </c>
      <c r="P20" s="29">
        <f t="shared" si="1"/>
        <v>0.16700000000000001</v>
      </c>
      <c r="R20" s="10">
        <f t="shared" si="37"/>
        <v>85383962139.346313</v>
      </c>
      <c r="T20" s="10">
        <f t="shared" si="2"/>
        <v>85383962000</v>
      </c>
      <c r="V20" s="10">
        <f t="shared" si="3"/>
        <v>12321146328.049948</v>
      </c>
      <c r="W20" s="10">
        <f t="shared" si="4"/>
        <v>10318766074.037449</v>
      </c>
      <c r="Y20" s="10">
        <f t="shared" si="5"/>
        <v>1195375400</v>
      </c>
      <c r="Z20" s="10">
        <f t="shared" si="6"/>
        <v>1001108078.3269261</v>
      </c>
      <c r="AB20" s="10">
        <f t="shared" si="7"/>
        <v>0</v>
      </c>
      <c r="AC20" s="10">
        <f t="shared" si="8"/>
        <v>0</v>
      </c>
      <c r="AE20" s="10">
        <f t="shared" si="9"/>
        <v>0</v>
      </c>
      <c r="AF20" s="10">
        <f t="shared" si="10"/>
        <v>0</v>
      </c>
      <c r="AH20" s="10">
        <f t="shared" si="11"/>
        <v>620000000</v>
      </c>
      <c r="AI20" s="10">
        <f t="shared" si="12"/>
        <v>519240239.14386576</v>
      </c>
      <c r="AK20" s="10">
        <f t="shared" si="13"/>
        <v>4414900080.1290398</v>
      </c>
      <c r="AL20" s="10">
        <f t="shared" si="14"/>
        <v>3697409311.9394755</v>
      </c>
      <c r="AN20" s="10">
        <f t="shared" si="15"/>
        <v>2023495870.0591433</v>
      </c>
      <c r="AO20" s="10">
        <f t="shared" si="16"/>
        <v>1694645934.6389263</v>
      </c>
      <c r="AQ20" s="10">
        <f t="shared" si="17"/>
        <v>847007514.02258193</v>
      </c>
      <c r="AR20" s="10">
        <f t="shared" si="18"/>
        <v>709355458.286672</v>
      </c>
      <c r="AT20" s="40">
        <f>IF($K20&lt;=$F$15,IF($F$40&lt;&gt;"",$F$40/1000,IF(ISERROR(VLOOKUP($F$3&amp;IF($G$4&lt;&gt;"",$G$4,"")&amp;IF($F$43&lt;&gt;"","_"&amp;$F$43,""),'表3）燃料価格'!$AF$9:$AG$25,2,0)),0,VLOOKUP($I20,'表3）燃料価格'!$A$6:$AD$56,VLOOKUP($F$3&amp;IF($G$4&lt;&gt;"",$G$4,"")&amp;IF($F$43&lt;&gt;"","_"&amp;$F$43,""),'表3）燃料価格'!$AF$9:$AG$25,2,0)+VLOOKUP($F$41,'表3）燃料価格'!$AF$28:$AG$29,2,0),0)*IF($F$43="需要地価格",1,$F$8/$F$141))),"")</f>
        <v>49.125048883837003</v>
      </c>
      <c r="AV20" s="10">
        <f t="shared" si="19"/>
        <v>31249156908.573296</v>
      </c>
      <c r="AW20" s="10">
        <f t="shared" si="20"/>
        <v>26170676945.56739</v>
      </c>
      <c r="AY20" s="40">
        <f>IF(ISERROR(IF($K20&lt;=$F$15,VLOOKUP($I20,'表4）CO2価格'!$A$7:$E$67,VLOOKUP($F$48,'表4）CO2価格'!$H$10:$I$12,2,0),0)*$F$8/1000,"")),0,IF($K20&lt;=$F$15,VLOOKUP($I20,'表4）CO2価格'!$A$7:$E$67,VLOOKUP($F$48,'表4）CO2価格'!$H$10:$I$12,2,0),0)*$F$8/1000,""))</f>
        <v>4.9219999999999997</v>
      </c>
      <c r="BA20" s="11">
        <f t="shared" si="21"/>
        <v>8240208826.079998</v>
      </c>
      <c r="BB20" s="10">
        <f t="shared" si="22"/>
        <v>6901045163.627696</v>
      </c>
      <c r="BD20" s="10">
        <f t="shared" si="23"/>
        <v>0</v>
      </c>
      <c r="BE20" s="10">
        <f t="shared" si="24"/>
        <v>0</v>
      </c>
      <c r="BG20" s="11">
        <f t="shared" si="25"/>
        <v>0</v>
      </c>
      <c r="BH20" s="10">
        <f t="shared" si="26"/>
        <v>0</v>
      </c>
      <c r="BJ20" s="7" t="str">
        <f t="shared" si="27"/>
        <v/>
      </c>
      <c r="BK20" s="158" t="str">
        <f t="shared" si="28"/>
        <v/>
      </c>
      <c r="BL20" s="158" t="str">
        <f t="shared" si="29"/>
        <v/>
      </c>
      <c r="BM20" s="10"/>
      <c r="BN20" s="10" t="str">
        <f t="shared" si="30"/>
        <v/>
      </c>
      <c r="BO20" s="10" t="str">
        <f t="shared" si="31"/>
        <v/>
      </c>
      <c r="BQ20" s="10">
        <f t="shared" si="32"/>
        <v>4554218260.8222504</v>
      </c>
      <c r="BR20" s="10">
        <f t="shared" si="33"/>
        <v>3814086094.9398479</v>
      </c>
    </row>
    <row r="21" spans="3:70" x14ac:dyDescent="0.15">
      <c r="D21" s="84" t="s">
        <v>558</v>
      </c>
      <c r="F21" s="479">
        <f>'LNG火力（2030年）'!F21+(((((F146/1000)/(365*24*F14/100))/279)^0.6)*49000000000)/(F13*10000)/10000</f>
        <v>21.641667059456076</v>
      </c>
      <c r="G21" s="84" t="s">
        <v>559</v>
      </c>
      <c r="I21" s="38">
        <f t="shared" si="34"/>
        <v>2036</v>
      </c>
      <c r="J21" s="39"/>
      <c r="K21" s="39">
        <f t="shared" si="35"/>
        <v>7</v>
      </c>
      <c r="L21" s="39"/>
      <c r="M21" s="40">
        <f t="shared" si="0"/>
        <v>0.81309151134335378</v>
      </c>
      <c r="N21" s="39"/>
      <c r="O21" s="72">
        <f t="shared" si="36"/>
        <v>61458173001.590446</v>
      </c>
      <c r="P21" s="41">
        <f t="shared" si="1"/>
        <v>0.16700000000000001</v>
      </c>
      <c r="Q21" s="39"/>
      <c r="R21" s="72">
        <f t="shared" si="37"/>
        <v>73233474132.357513</v>
      </c>
      <c r="S21" s="39"/>
      <c r="T21" s="72">
        <f t="shared" si="2"/>
        <v>73233474000</v>
      </c>
      <c r="U21" s="39"/>
      <c r="V21" s="72">
        <f t="shared" si="3"/>
        <v>10263514891.265606</v>
      </c>
      <c r="W21" s="72">
        <f t="shared" si="4"/>
        <v>8345176834.6341686</v>
      </c>
      <c r="X21" s="39"/>
      <c r="Y21" s="72">
        <f t="shared" si="5"/>
        <v>1025268600</v>
      </c>
      <c r="Z21" s="72">
        <f t="shared" si="6"/>
        <v>833637195.50688446</v>
      </c>
      <c r="AA21" s="39"/>
      <c r="AB21" s="72">
        <f t="shared" si="7"/>
        <v>0</v>
      </c>
      <c r="AC21" s="72">
        <f t="shared" si="8"/>
        <v>0</v>
      </c>
      <c r="AD21" s="39"/>
      <c r="AE21" s="72">
        <f t="shared" si="9"/>
        <v>0</v>
      </c>
      <c r="AF21" s="72">
        <f t="shared" si="10"/>
        <v>0</v>
      </c>
      <c r="AG21" s="39"/>
      <c r="AH21" s="72">
        <f t="shared" si="11"/>
        <v>620000000</v>
      </c>
      <c r="AI21" s="72">
        <f t="shared" si="12"/>
        <v>504116737.03287935</v>
      </c>
      <c r="AJ21" s="39"/>
      <c r="AK21" s="72">
        <f t="shared" si="13"/>
        <v>4414900080.1290398</v>
      </c>
      <c r="AL21" s="72">
        <f t="shared" si="14"/>
        <v>3589717778.5820146</v>
      </c>
      <c r="AM21" s="39"/>
      <c r="AN21" s="72">
        <f t="shared" si="15"/>
        <v>2023495870.0591433</v>
      </c>
      <c r="AO21" s="72">
        <f t="shared" si="16"/>
        <v>1645287315.1834235</v>
      </c>
      <c r="AP21" s="39"/>
      <c r="AQ21" s="72">
        <f t="shared" si="17"/>
        <v>847007514.02258193</v>
      </c>
      <c r="AR21" s="72">
        <f t="shared" si="18"/>
        <v>688694619.69579804</v>
      </c>
      <c r="AS21" s="39"/>
      <c r="AT21" s="40">
        <f>IF($K21&lt;=$F$15,IF($F$40&lt;&gt;"",$F$40/1000,IF(ISERROR(VLOOKUP($F$3&amp;IF($G$4&lt;&gt;"",$G$4,"")&amp;IF($F$43&lt;&gt;"","_"&amp;$F$43,""),'表3）燃料価格'!$AF$9:$AG$25,2,0)),0,VLOOKUP($I21,'表3）燃料価格'!$A$6:$AD$56,VLOOKUP($F$3&amp;IF($G$4&lt;&gt;"",$G$4,"")&amp;IF($F$43&lt;&gt;"","_"&amp;$F$43,""),'表3）燃料価格'!$AF$9:$AG$25,2,0)+VLOOKUP($F$41,'表3）燃料価格'!$AF$28:$AG$29,2,0),0)*IF($F$43="需要地価格",1,$F$8/$F$141))),"")</f>
        <v>49.050663321047786</v>
      </c>
      <c r="AU21" s="39"/>
      <c r="AV21" s="72">
        <f t="shared" si="19"/>
        <v>31204390727.832031</v>
      </c>
      <c r="AW21" s="72">
        <f t="shared" si="20"/>
        <v>25372025217.441483</v>
      </c>
      <c r="AX21" s="39"/>
      <c r="AY21" s="40">
        <f>IF(ISERROR(IF($K21&lt;=$F$15,VLOOKUP($I21,'表4）CO2価格'!$A$7:$E$67,VLOOKUP($F$48,'表4）CO2価格'!$H$10:$I$12,2,0),0)*$F$8/1000,"")),0,IF($K21&lt;=$F$15,VLOOKUP($I21,'表4）CO2価格'!$A$7:$E$67,VLOOKUP($F$48,'表4）CO2価格'!$H$10:$I$12,2,0),0)*$F$8/1000,""))</f>
        <v>5.0503999999999802</v>
      </c>
      <c r="AZ21" s="39"/>
      <c r="BA21" s="42">
        <f t="shared" si="21"/>
        <v>8455170795.455966</v>
      </c>
      <c r="BB21" s="72">
        <f t="shared" si="22"/>
        <v>6874827600.7434778</v>
      </c>
      <c r="BC21" s="39"/>
      <c r="BD21" s="72">
        <f t="shared" si="23"/>
        <v>0</v>
      </c>
      <c r="BE21" s="72">
        <f t="shared" si="24"/>
        <v>0</v>
      </c>
      <c r="BF21" s="39"/>
      <c r="BG21" s="42">
        <f t="shared" si="25"/>
        <v>0</v>
      </c>
      <c r="BH21" s="72">
        <f t="shared" si="26"/>
        <v>0</v>
      </c>
      <c r="BI21" s="39"/>
      <c r="BJ21" s="40" t="str">
        <f t="shared" si="27"/>
        <v/>
      </c>
      <c r="BK21" s="157" t="str">
        <f t="shared" si="28"/>
        <v/>
      </c>
      <c r="BL21" s="157" t="str">
        <f t="shared" si="29"/>
        <v/>
      </c>
      <c r="BM21" s="72"/>
      <c r="BN21" s="72" t="str">
        <f t="shared" si="30"/>
        <v/>
      </c>
      <c r="BO21" s="72" t="str">
        <f t="shared" si="31"/>
        <v/>
      </c>
      <c r="BP21" s="39"/>
      <c r="BQ21" s="72">
        <f t="shared" si="32"/>
        <v>4554218260.8222504</v>
      </c>
      <c r="BR21" s="72">
        <f t="shared" si="33"/>
        <v>3702996208.6794639</v>
      </c>
    </row>
    <row r="22" spans="3:70" ht="16.5" x14ac:dyDescent="0.15">
      <c r="D22" s="84" t="s">
        <v>560</v>
      </c>
      <c r="F22" s="478">
        <f>'LNG火力（2030年）'!F22</f>
        <v>54.7</v>
      </c>
      <c r="G22" s="71" t="s">
        <v>561</v>
      </c>
      <c r="I22" s="322">
        <f t="shared" si="34"/>
        <v>2037</v>
      </c>
      <c r="K22" s="71">
        <f t="shared" si="35"/>
        <v>8</v>
      </c>
      <c r="M22" s="7">
        <f t="shared" si="0"/>
        <v>0.78940923431393573</v>
      </c>
      <c r="O22" s="10">
        <f t="shared" si="36"/>
        <v>51194658110.324844</v>
      </c>
      <c r="P22" s="29">
        <f t="shared" si="1"/>
        <v>0.16700000000000001</v>
      </c>
      <c r="R22" s="10">
        <f t="shared" si="37"/>
        <v>62812050402.885376</v>
      </c>
      <c r="T22" s="10">
        <f t="shared" si="2"/>
        <v>62812050000</v>
      </c>
      <c r="V22" s="10">
        <f t="shared" si="3"/>
        <v>8549507904.4242496</v>
      </c>
      <c r="W22" s="10">
        <f t="shared" si="4"/>
        <v>6749060488.5924883</v>
      </c>
      <c r="Y22" s="10">
        <f t="shared" si="5"/>
        <v>879368700</v>
      </c>
      <c r="Z22" s="10">
        <f t="shared" si="6"/>
        <v>694181772.14664102</v>
      </c>
      <c r="AB22" s="10">
        <f t="shared" si="7"/>
        <v>0</v>
      </c>
      <c r="AC22" s="10">
        <f t="shared" si="8"/>
        <v>0</v>
      </c>
      <c r="AE22" s="10">
        <f t="shared" si="9"/>
        <v>0</v>
      </c>
      <c r="AF22" s="10">
        <f t="shared" si="10"/>
        <v>0</v>
      </c>
      <c r="AH22" s="10">
        <f t="shared" si="11"/>
        <v>620000000</v>
      </c>
      <c r="AI22" s="10">
        <f t="shared" si="12"/>
        <v>489433725.27464014</v>
      </c>
      <c r="AK22" s="10">
        <f t="shared" si="13"/>
        <v>4414900080.1290398</v>
      </c>
      <c r="AL22" s="10">
        <f t="shared" si="14"/>
        <v>3485162891.827199</v>
      </c>
      <c r="AN22" s="10">
        <f t="shared" si="15"/>
        <v>2023495870.0591433</v>
      </c>
      <c r="AO22" s="10">
        <f t="shared" si="16"/>
        <v>1597366325.4207995</v>
      </c>
      <c r="AQ22" s="10">
        <f t="shared" si="17"/>
        <v>847007514.02258193</v>
      </c>
      <c r="AR22" s="10">
        <f t="shared" si="18"/>
        <v>668635553.10271657</v>
      </c>
      <c r="AT22" s="40">
        <f>IF($K22&lt;=$F$15,IF($F$40&lt;&gt;"",$F$40/1000,IF(ISERROR(VLOOKUP($F$3&amp;IF($G$4&lt;&gt;"",$G$4,"")&amp;IF($F$43&lt;&gt;"","_"&amp;$F$43,""),'表3）燃料価格'!$AF$9:$AG$25,2,0)),0,VLOOKUP($I22,'表3）燃料価格'!$A$6:$AD$56,VLOOKUP($F$3&amp;IF($G$4&lt;&gt;"",$G$4,"")&amp;IF($F$43&lt;&gt;"","_"&amp;$F$43,""),'表3）燃料価格'!$AF$9:$AG$25,2,0)+VLOOKUP($F$41,'表3）燃料価格'!$AF$28:$AG$29,2,0),0)*IF($F$43="需要地価格",1,$F$8/$F$141))),"")</f>
        <v>48.976277758258597</v>
      </c>
      <c r="AV22" s="10">
        <f t="shared" si="19"/>
        <v>31159624547.090786</v>
      </c>
      <c r="AW22" s="10">
        <f t="shared" si="20"/>
        <v>24597695355.228653</v>
      </c>
      <c r="AY22" s="40">
        <f>IF(ISERROR(IF($K22&lt;=$F$15,VLOOKUP($I22,'表4）CO2価格'!$A$7:$E$67,VLOOKUP($F$48,'表4）CO2価格'!$H$10:$I$12,2,0),0)*$F$8/1000,"")),0,IF($K22&lt;=$F$15,VLOOKUP($I22,'表4）CO2価格'!$A$7:$E$67,VLOOKUP($F$48,'表4）CO2価格'!$H$10:$I$12,2,0),0)*$F$8/1000,""))</f>
        <v>5.1788000000000105</v>
      </c>
      <c r="BA22" s="11">
        <f t="shared" si="21"/>
        <v>8670132764.832016</v>
      </c>
      <c r="BB22" s="10">
        <f t="shared" si="22"/>
        <v>6844282867.2862082</v>
      </c>
      <c r="BD22" s="10">
        <f t="shared" si="23"/>
        <v>0</v>
      </c>
      <c r="BE22" s="10">
        <f t="shared" si="24"/>
        <v>0</v>
      </c>
      <c r="BG22" s="11">
        <f t="shared" si="25"/>
        <v>0</v>
      </c>
      <c r="BH22" s="10">
        <f t="shared" si="26"/>
        <v>0</v>
      </c>
      <c r="BJ22" s="7" t="str">
        <f t="shared" si="27"/>
        <v/>
      </c>
      <c r="BK22" s="158" t="str">
        <f t="shared" si="28"/>
        <v/>
      </c>
      <c r="BL22" s="158" t="str">
        <f t="shared" si="29"/>
        <v/>
      </c>
      <c r="BM22" s="10"/>
      <c r="BN22" s="10" t="str">
        <f t="shared" si="30"/>
        <v/>
      </c>
      <c r="BO22" s="10" t="str">
        <f t="shared" si="31"/>
        <v/>
      </c>
      <c r="BQ22" s="10">
        <f t="shared" si="32"/>
        <v>4554218260.8222504</v>
      </c>
      <c r="BR22" s="10">
        <f t="shared" si="33"/>
        <v>3595141950.1742368</v>
      </c>
    </row>
    <row r="23" spans="3:70" x14ac:dyDescent="0.15">
      <c r="D23" s="84" t="s">
        <v>562</v>
      </c>
      <c r="F23" s="477">
        <f>'LNG火力（2030年）'!F23*(1-((287.742*('LNG火力（2030年）'!F145/1000)*(F18/100))/('LNG火力（2030年）'!F133)))</f>
        <v>52.258713930479999</v>
      </c>
      <c r="G23" s="84" t="s">
        <v>549</v>
      </c>
      <c r="I23" s="38">
        <f t="shared" si="34"/>
        <v>2038</v>
      </c>
      <c r="J23" s="39"/>
      <c r="K23" s="39">
        <f t="shared" si="35"/>
        <v>9</v>
      </c>
      <c r="L23" s="39"/>
      <c r="M23" s="40">
        <f t="shared" si="0"/>
        <v>0.76641673234362695</v>
      </c>
      <c r="N23" s="39"/>
      <c r="O23" s="72">
        <f t="shared" si="36"/>
        <v>42645150205.900597</v>
      </c>
      <c r="P23" s="41">
        <f t="shared" si="1"/>
        <v>0.16700000000000001</v>
      </c>
      <c r="Q23" s="39"/>
      <c r="R23" s="72">
        <f t="shared" si="37"/>
        <v>53873638012.639305</v>
      </c>
      <c r="S23" s="39"/>
      <c r="T23" s="72">
        <f t="shared" si="2"/>
        <v>53873638000</v>
      </c>
      <c r="U23" s="39"/>
      <c r="V23" s="72">
        <f t="shared" si="3"/>
        <v>7121740084.3853998</v>
      </c>
      <c r="W23" s="72">
        <f t="shared" si="4"/>
        <v>5458220764.075284</v>
      </c>
      <c r="X23" s="39"/>
      <c r="Y23" s="72">
        <f t="shared" si="5"/>
        <v>754230900</v>
      </c>
      <c r="Z23" s="72">
        <f t="shared" si="6"/>
        <v>578055181.81059289</v>
      </c>
      <c r="AA23" s="39"/>
      <c r="AB23" s="72">
        <f t="shared" si="7"/>
        <v>0</v>
      </c>
      <c r="AC23" s="72">
        <f t="shared" si="8"/>
        <v>0</v>
      </c>
      <c r="AD23" s="39"/>
      <c r="AE23" s="72">
        <f t="shared" si="9"/>
        <v>0</v>
      </c>
      <c r="AF23" s="72">
        <f t="shared" si="10"/>
        <v>0</v>
      </c>
      <c r="AG23" s="39"/>
      <c r="AH23" s="72">
        <f t="shared" si="11"/>
        <v>620000000</v>
      </c>
      <c r="AI23" s="72">
        <f t="shared" si="12"/>
        <v>475178374.05304873</v>
      </c>
      <c r="AJ23" s="39"/>
      <c r="AK23" s="72">
        <f t="shared" si="13"/>
        <v>4414900080.1290398</v>
      </c>
      <c r="AL23" s="72">
        <f t="shared" si="14"/>
        <v>3383653293.0361156</v>
      </c>
      <c r="AM23" s="39"/>
      <c r="AN23" s="72">
        <f t="shared" si="15"/>
        <v>2023495870.0591433</v>
      </c>
      <c r="AO23" s="72">
        <f t="shared" si="16"/>
        <v>1550841092.6415529</v>
      </c>
      <c r="AP23" s="39"/>
      <c r="AQ23" s="72">
        <f t="shared" si="17"/>
        <v>847007514.02258193</v>
      </c>
      <c r="AR23" s="72">
        <f t="shared" si="18"/>
        <v>649160731.16768599</v>
      </c>
      <c r="AS23" s="39"/>
      <c r="AT23" s="40">
        <f>IF($K23&lt;=$F$15,IF($F$40&lt;&gt;"",$F$40/1000,IF(ISERROR(VLOOKUP($F$3&amp;IF($G$4&lt;&gt;"",$G$4,"")&amp;IF($F$43&lt;&gt;"","_"&amp;$F$43,""),'表3）燃料価格'!$AF$9:$AG$25,2,0)),0,VLOOKUP($I23,'表3）燃料価格'!$A$6:$AD$56,VLOOKUP($F$3&amp;IF($G$4&lt;&gt;"",$G$4,"")&amp;IF($F$43&lt;&gt;"","_"&amp;$F$43,""),'表3）燃料価格'!$AF$9:$AG$25,2,0)+VLOOKUP($F$41,'表3）燃料価格'!$AF$28:$AG$29,2,0),0)*IF($F$43="需要地価格",1,$F$8/$F$141))),"")</f>
        <v>48.901892195469408</v>
      </c>
      <c r="AU23" s="39"/>
      <c r="AV23" s="72">
        <f t="shared" si="19"/>
        <v>31114858366.349541</v>
      </c>
      <c r="AW23" s="72">
        <f t="shared" si="20"/>
        <v>23846948076.472378</v>
      </c>
      <c r="AX23" s="39"/>
      <c r="AY23" s="40">
        <f>IF(ISERROR(IF($K23&lt;=$F$15,VLOOKUP($I23,'表4）CO2価格'!$A$7:$E$67,VLOOKUP($F$48,'表4）CO2価格'!$H$10:$I$12,2,0),0)*$F$8/1000,"")),0,IF($K23&lt;=$F$15,VLOOKUP($I23,'表4）CO2価格'!$A$7:$E$67,VLOOKUP($F$48,'表4）CO2価格'!$H$10:$I$12,2,0),0)*$F$8/1000,""))</f>
        <v>5.3071999999999901</v>
      </c>
      <c r="AZ23" s="39"/>
      <c r="BA23" s="42">
        <f t="shared" si="21"/>
        <v>8885094734.207983</v>
      </c>
      <c r="BB23" s="72">
        <f t="shared" si="22"/>
        <v>6809685272.755249</v>
      </c>
      <c r="BC23" s="39"/>
      <c r="BD23" s="72">
        <f t="shared" si="23"/>
        <v>0</v>
      </c>
      <c r="BE23" s="72">
        <f t="shared" si="24"/>
        <v>0</v>
      </c>
      <c r="BF23" s="39"/>
      <c r="BG23" s="42">
        <f t="shared" si="25"/>
        <v>0</v>
      </c>
      <c r="BH23" s="72">
        <f t="shared" si="26"/>
        <v>0</v>
      </c>
      <c r="BI23" s="39"/>
      <c r="BJ23" s="40" t="str">
        <f t="shared" si="27"/>
        <v/>
      </c>
      <c r="BK23" s="157" t="str">
        <f t="shared" si="28"/>
        <v/>
      </c>
      <c r="BL23" s="157" t="str">
        <f t="shared" si="29"/>
        <v/>
      </c>
      <c r="BM23" s="72"/>
      <c r="BN23" s="72" t="str">
        <f t="shared" si="30"/>
        <v/>
      </c>
      <c r="BO23" s="72" t="str">
        <f t="shared" si="31"/>
        <v/>
      </c>
      <c r="BP23" s="39"/>
      <c r="BQ23" s="72">
        <f t="shared" si="32"/>
        <v>4554218260.8222504</v>
      </c>
      <c r="BR23" s="72">
        <f t="shared" si="33"/>
        <v>3490429077.8390651</v>
      </c>
    </row>
    <row r="24" spans="3:70" x14ac:dyDescent="0.15">
      <c r="D24" s="84" t="s">
        <v>563</v>
      </c>
      <c r="F24" s="477">
        <f>((('LNG火力（2030年）'!F24/100)*('LNG火力（2030年）'!F133))+(69.386733416771*(F146/1000)))/F133*100</f>
        <v>4.6964876830758735</v>
      </c>
      <c r="G24" s="84" t="s">
        <v>549</v>
      </c>
      <c r="I24" s="322">
        <f t="shared" si="34"/>
        <v>2039</v>
      </c>
      <c r="K24" s="71">
        <f t="shared" si="35"/>
        <v>10</v>
      </c>
      <c r="M24" s="7">
        <f t="shared" si="0"/>
        <v>0.74409391489672516</v>
      </c>
      <c r="O24" s="10">
        <f t="shared" si="36"/>
        <v>35523410121.515198</v>
      </c>
      <c r="P24" s="29">
        <f t="shared" si="1"/>
        <v>0.16700000000000001</v>
      </c>
      <c r="R24" s="10">
        <f t="shared" si="37"/>
        <v>46207198365.611221</v>
      </c>
      <c r="T24" s="10">
        <f t="shared" si="2"/>
        <v>46207198000</v>
      </c>
      <c r="V24" s="10">
        <f t="shared" si="3"/>
        <v>5932409490.2930384</v>
      </c>
      <c r="W24" s="10">
        <f t="shared" si="4"/>
        <v>4414269802.4026327</v>
      </c>
      <c r="Y24" s="10">
        <f t="shared" si="5"/>
        <v>646900700</v>
      </c>
      <c r="Z24" s="10">
        <f t="shared" si="6"/>
        <v>481354874.41243196</v>
      </c>
      <c r="AB24" s="10">
        <f t="shared" si="7"/>
        <v>0</v>
      </c>
      <c r="AC24" s="10">
        <f t="shared" si="8"/>
        <v>0</v>
      </c>
      <c r="AE24" s="10">
        <f t="shared" si="9"/>
        <v>0</v>
      </c>
      <c r="AF24" s="10">
        <f t="shared" si="10"/>
        <v>0</v>
      </c>
      <c r="AH24" s="10">
        <f t="shared" si="11"/>
        <v>620000000</v>
      </c>
      <c r="AI24" s="10">
        <f t="shared" si="12"/>
        <v>461338227.2359696</v>
      </c>
      <c r="AK24" s="10">
        <f t="shared" si="13"/>
        <v>4414900080.1290398</v>
      </c>
      <c r="AL24" s="10">
        <f t="shared" si="14"/>
        <v>3285100284.5010829</v>
      </c>
      <c r="AN24" s="10">
        <f t="shared" si="15"/>
        <v>2023495870.0591433</v>
      </c>
      <c r="AO24" s="10">
        <f t="shared" si="16"/>
        <v>1505670963.7296629</v>
      </c>
      <c r="AQ24" s="10">
        <f t="shared" si="17"/>
        <v>847007514.02258193</v>
      </c>
      <c r="AR24" s="10">
        <f t="shared" si="18"/>
        <v>630253137.05600584</v>
      </c>
      <c r="AT24" s="40">
        <f>IF($K24&lt;=$F$15,IF($F$40&lt;&gt;"",$F$40/1000,IF(ISERROR(VLOOKUP($F$3&amp;IF($G$4&lt;&gt;"",$G$4,"")&amp;IF($F$43&lt;&gt;"","_"&amp;$F$43,""),'表3）燃料価格'!$AF$9:$AG$25,2,0)),0,VLOOKUP($I24,'表3）燃料価格'!$A$6:$AD$56,VLOOKUP($F$3&amp;IF($G$4&lt;&gt;"",$G$4,"")&amp;IF($F$43&lt;&gt;"","_"&amp;$F$43,""),'表3）燃料価格'!$AF$9:$AG$25,2,0)+VLOOKUP($F$41,'表3）燃料価格'!$AF$28:$AG$29,2,0),0)*IF($F$43="需要地価格",1,$F$8/$F$141))),"")</f>
        <v>48.827506632680205</v>
      </c>
      <c r="AV24" s="10">
        <f t="shared" si="19"/>
        <v>31070092185.608284</v>
      </c>
      <c r="AW24" s="10">
        <f t="shared" si="20"/>
        <v>23119066530.591415</v>
      </c>
      <c r="AY24" s="40">
        <f>IF(ISERROR(IF($K24&lt;=$F$15,VLOOKUP($I24,'表4）CO2価格'!$A$7:$E$67,VLOOKUP($F$48,'表4）CO2価格'!$H$10:$I$12,2,0),0)*$F$8/1000,"")),0,IF($K24&lt;=$F$15,VLOOKUP($I24,'表4）CO2価格'!$A$7:$E$67,VLOOKUP($F$48,'表4）CO2価格'!$H$10:$I$12,2,0),0)*$F$8/1000,""))</f>
        <v>5.4355999999999716</v>
      </c>
      <c r="BA24" s="11">
        <f t="shared" si="21"/>
        <v>9100056703.583952</v>
      </c>
      <c r="BB24" s="10">
        <f t="shared" si="22"/>
        <v>6771296818.3519707</v>
      </c>
      <c r="BD24" s="10">
        <f t="shared" si="23"/>
        <v>0</v>
      </c>
      <c r="BE24" s="10">
        <f t="shared" si="24"/>
        <v>0</v>
      </c>
      <c r="BG24" s="11">
        <f t="shared" si="25"/>
        <v>0</v>
      </c>
      <c r="BH24" s="10">
        <f t="shared" si="26"/>
        <v>0</v>
      </c>
      <c r="BJ24" s="7" t="str">
        <f t="shared" si="27"/>
        <v/>
      </c>
      <c r="BK24" s="158" t="str">
        <f t="shared" si="28"/>
        <v/>
      </c>
      <c r="BL24" s="158" t="str">
        <f t="shared" si="29"/>
        <v/>
      </c>
      <c r="BM24" s="10"/>
      <c r="BN24" s="10" t="str">
        <f t="shared" si="30"/>
        <v/>
      </c>
      <c r="BO24" s="10" t="str">
        <f t="shared" si="31"/>
        <v/>
      </c>
      <c r="BQ24" s="10">
        <f t="shared" si="32"/>
        <v>4554218260.8222504</v>
      </c>
      <c r="BR24" s="10">
        <f t="shared" si="33"/>
        <v>3388766094.9893832</v>
      </c>
    </row>
    <row r="25" spans="3:70" x14ac:dyDescent="0.15">
      <c r="D25" s="84" t="s">
        <v>564</v>
      </c>
      <c r="F25" s="477">
        <f>'LNG火力（2030年）'!F25</f>
        <v>1.4</v>
      </c>
      <c r="G25" s="84" t="s">
        <v>549</v>
      </c>
      <c r="I25" s="38">
        <f t="shared" si="34"/>
        <v>2040</v>
      </c>
      <c r="J25" s="39"/>
      <c r="K25" s="39">
        <f t="shared" si="35"/>
        <v>11</v>
      </c>
      <c r="L25" s="39"/>
      <c r="M25" s="40">
        <f t="shared" si="0"/>
        <v>0.72242127659876232</v>
      </c>
      <c r="N25" s="39"/>
      <c r="O25" s="72">
        <f t="shared" si="36"/>
        <v>29591000631.22216</v>
      </c>
      <c r="P25" s="41">
        <f t="shared" si="1"/>
        <v>0.2</v>
      </c>
      <c r="Q25" s="39"/>
      <c r="R25" s="72">
        <f t="shared" si="37"/>
        <v>39631724523.560608</v>
      </c>
      <c r="S25" s="39"/>
      <c r="T25" s="72">
        <f t="shared" si="2"/>
        <v>39631724000</v>
      </c>
      <c r="U25" s="39"/>
      <c r="V25" s="72">
        <f t="shared" si="3"/>
        <v>5918200126.2444324</v>
      </c>
      <c r="W25" s="72">
        <f t="shared" si="4"/>
        <v>4275433690.3684592</v>
      </c>
      <c r="X25" s="39"/>
      <c r="Y25" s="72">
        <f t="shared" si="5"/>
        <v>554844100</v>
      </c>
      <c r="Z25" s="72">
        <f t="shared" si="6"/>
        <v>400831183.03529131</v>
      </c>
      <c r="AA25" s="39"/>
      <c r="AB25" s="72">
        <f t="shared" si="7"/>
        <v>0</v>
      </c>
      <c r="AC25" s="72">
        <f t="shared" si="8"/>
        <v>0</v>
      </c>
      <c r="AD25" s="39"/>
      <c r="AE25" s="72">
        <f t="shared" si="9"/>
        <v>0</v>
      </c>
      <c r="AF25" s="72">
        <f t="shared" si="10"/>
        <v>0</v>
      </c>
      <c r="AG25" s="39"/>
      <c r="AH25" s="72">
        <f t="shared" si="11"/>
        <v>620000000</v>
      </c>
      <c r="AI25" s="72">
        <f t="shared" si="12"/>
        <v>447901191.49123263</v>
      </c>
      <c r="AJ25" s="39"/>
      <c r="AK25" s="72">
        <f t="shared" si="13"/>
        <v>4414900080.1290398</v>
      </c>
      <c r="AL25" s="72">
        <f t="shared" si="14"/>
        <v>3189417751.9427991</v>
      </c>
      <c r="AM25" s="39"/>
      <c r="AN25" s="72">
        <f t="shared" si="15"/>
        <v>2023495870.0591433</v>
      </c>
      <c r="AO25" s="72">
        <f t="shared" si="16"/>
        <v>1461816469.6404495</v>
      </c>
      <c r="AP25" s="39"/>
      <c r="AQ25" s="72">
        <f t="shared" si="17"/>
        <v>847007514.02258193</v>
      </c>
      <c r="AR25" s="72">
        <f t="shared" si="18"/>
        <v>611896249.56893766</v>
      </c>
      <c r="AS25" s="39"/>
      <c r="AT25" s="40">
        <f>IF($K25&lt;=$F$15,IF($F$40&lt;&gt;"",$F$40/1000,IF(ISERROR(VLOOKUP($F$3&amp;IF($G$4&lt;&gt;"",$G$4,"")&amp;IF($F$43&lt;&gt;"","_"&amp;$F$43,""),'表3）燃料価格'!$AF$9:$AG$25,2,0)),0,VLOOKUP($I25,'表3）燃料価格'!$A$6:$AD$56,VLOOKUP($F$3&amp;IF($G$4&lt;&gt;"",$G$4,"")&amp;IF($F$43&lt;&gt;"","_"&amp;$F$43,""),'表3）燃料価格'!$AF$9:$AG$25,2,0)+VLOOKUP($F$41,'表3）燃料価格'!$AF$28:$AG$29,2,0),0)*IF($F$43="需要地価格",1,$F$8/$F$141))),"")</f>
        <v>48.753121069891002</v>
      </c>
      <c r="AU25" s="39"/>
      <c r="AV25" s="72">
        <f t="shared" si="19"/>
        <v>31025326004.867031</v>
      </c>
      <c r="AW25" s="72">
        <f t="shared" si="20"/>
        <v>22413355619.328819</v>
      </c>
      <c r="AX25" s="39"/>
      <c r="AY25" s="40">
        <f>IF(ISERROR(IF($K25&lt;=$F$15,VLOOKUP($I25,'表4）CO2価格'!$A$7:$E$67,VLOOKUP($F$48,'表4）CO2価格'!$H$10:$I$12,2,0),0)*$F$8/1000,"")),0,IF($K25&lt;=$F$15,VLOOKUP($I25,'表4）CO2価格'!$A$7:$E$67,VLOOKUP($F$48,'表4）CO2価格'!$H$10:$I$12,2,0),0)*$F$8/1000,""))</f>
        <v>5.5640000000000001</v>
      </c>
      <c r="AZ25" s="39"/>
      <c r="BA25" s="42">
        <f t="shared" si="21"/>
        <v>9315018672.9599991</v>
      </c>
      <c r="BB25" s="72">
        <f t="shared" si="22"/>
        <v>6729367681.2610712</v>
      </c>
      <c r="BC25" s="39"/>
      <c r="BD25" s="72">
        <f t="shared" si="23"/>
        <v>0</v>
      </c>
      <c r="BE25" s="72">
        <f t="shared" si="24"/>
        <v>0</v>
      </c>
      <c r="BF25" s="39"/>
      <c r="BG25" s="42">
        <f t="shared" si="25"/>
        <v>0</v>
      </c>
      <c r="BH25" s="72">
        <f t="shared" si="26"/>
        <v>0</v>
      </c>
      <c r="BI25" s="39"/>
      <c r="BJ25" s="40" t="str">
        <f t="shared" si="27"/>
        <v/>
      </c>
      <c r="BK25" s="157" t="str">
        <f t="shared" si="28"/>
        <v/>
      </c>
      <c r="BL25" s="157" t="str">
        <f t="shared" si="29"/>
        <v/>
      </c>
      <c r="BM25" s="72"/>
      <c r="BN25" s="72" t="str">
        <f t="shared" si="30"/>
        <v/>
      </c>
      <c r="BO25" s="72" t="str">
        <f t="shared" si="31"/>
        <v/>
      </c>
      <c r="BP25" s="39"/>
      <c r="BQ25" s="72">
        <f t="shared" si="32"/>
        <v>4554218260.8222504</v>
      </c>
      <c r="BR25" s="72">
        <f t="shared" si="33"/>
        <v>3290064169.8926053</v>
      </c>
    </row>
    <row r="26" spans="3:70" x14ac:dyDescent="0.15">
      <c r="D26" s="84" t="s">
        <v>115</v>
      </c>
      <c r="F26" s="481"/>
      <c r="G26" s="84" t="s">
        <v>565</v>
      </c>
      <c r="I26" s="322">
        <f t="shared" si="34"/>
        <v>2041</v>
      </c>
      <c r="K26" s="71">
        <f t="shared" si="35"/>
        <v>12</v>
      </c>
      <c r="M26" s="7">
        <f t="shared" si="0"/>
        <v>0.70137988019297326</v>
      </c>
      <c r="O26" s="10">
        <f t="shared" si="36"/>
        <v>23672800504.97773</v>
      </c>
      <c r="P26" s="29" t="str">
        <f t="shared" si="1"/>
        <v>-</v>
      </c>
      <c r="R26" s="10">
        <f t="shared" si="37"/>
        <v>33991967577.942089</v>
      </c>
      <c r="T26" s="10">
        <f t="shared" si="2"/>
        <v>33991967000</v>
      </c>
      <c r="V26" s="10">
        <f t="shared" si="3"/>
        <v>5918200126.2444324</v>
      </c>
      <c r="W26" s="10">
        <f t="shared" si="4"/>
        <v>4150906495.5033593</v>
      </c>
      <c r="Y26" s="10">
        <f t="shared" si="5"/>
        <v>475887500</v>
      </c>
      <c r="Z26" s="10">
        <f t="shared" si="6"/>
        <v>333777917.73533356</v>
      </c>
      <c r="AB26" s="10">
        <f t="shared" si="7"/>
        <v>0</v>
      </c>
      <c r="AC26" s="10">
        <f t="shared" si="8"/>
        <v>0</v>
      </c>
      <c r="AE26" s="10">
        <f t="shared" si="9"/>
        <v>0</v>
      </c>
      <c r="AF26" s="10">
        <f t="shared" si="10"/>
        <v>0</v>
      </c>
      <c r="AH26" s="10">
        <f t="shared" si="11"/>
        <v>620000000</v>
      </c>
      <c r="AI26" s="10">
        <f t="shared" si="12"/>
        <v>434855525.71964341</v>
      </c>
      <c r="AK26" s="10">
        <f t="shared" si="13"/>
        <v>4414900080.1290398</v>
      </c>
      <c r="AL26" s="10">
        <f t="shared" si="14"/>
        <v>3096522089.264854</v>
      </c>
      <c r="AN26" s="10">
        <f t="shared" si="15"/>
        <v>2023495870.0591433</v>
      </c>
      <c r="AO26" s="10">
        <f t="shared" si="16"/>
        <v>1419239290.913058</v>
      </c>
      <c r="AQ26" s="10">
        <f t="shared" si="17"/>
        <v>847007514.02258193</v>
      </c>
      <c r="AR26" s="10">
        <f t="shared" si="18"/>
        <v>594074028.70770669</v>
      </c>
      <c r="AT26" s="40">
        <f>IF($K26&lt;=$F$15,IF($F$40&lt;&gt;"",$F$40/1000,IF(ISERROR(VLOOKUP($F$3&amp;IF($G$4&lt;&gt;"",$G$4,"")&amp;IF($F$43&lt;&gt;"","_"&amp;$F$43,""),'表3）燃料価格'!$AF$9:$AG$25,2,0)),0,VLOOKUP($I26,'表3）燃料価格'!$A$6:$AD$56,VLOOKUP($F$3&amp;IF($G$4&lt;&gt;"",$G$4,"")&amp;IF($F$43&lt;&gt;"","_"&amp;$F$43,""),'表3）燃料価格'!$AF$9:$AG$25,2,0)+VLOOKUP($F$41,'表3）燃料価格'!$AF$28:$AG$29,2,0),0)*IF($F$43="需要地価格",1,$F$8/$F$141))),"")</f>
        <v>48.601524950900931</v>
      </c>
      <c r="AV26" s="10">
        <f t="shared" si="19"/>
        <v>30934093526.306454</v>
      </c>
      <c r="AW26" s="10">
        <f t="shared" si="20"/>
        <v>21696550811.359051</v>
      </c>
      <c r="AY26" s="40">
        <f>IF(ISERROR(IF($K26&lt;=$F$15,VLOOKUP($I26,'表4）CO2価格'!$A$7:$E$67,VLOOKUP($F$48,'表4）CO2価格'!$H$10:$I$12,2,0),0)*$F$8/1000,"")),0,IF($K26&lt;=$F$15,VLOOKUP($I26,'表4）CO2価格'!$A$7:$E$67,VLOOKUP($F$48,'表4）CO2価格'!$H$10:$I$12,2,0),0)*$F$8/1000,""))</f>
        <v>5.6923999999999806</v>
      </c>
      <c r="BA26" s="11">
        <f t="shared" si="21"/>
        <v>9529980642.3359661</v>
      </c>
      <c r="BB26" s="10">
        <f t="shared" si="22"/>
        <v>6684136681.1629543</v>
      </c>
      <c r="BD26" s="10">
        <f t="shared" si="23"/>
        <v>0</v>
      </c>
      <c r="BE26" s="10">
        <f t="shared" si="24"/>
        <v>0</v>
      </c>
      <c r="BG26" s="11">
        <f t="shared" si="25"/>
        <v>0</v>
      </c>
      <c r="BH26" s="10">
        <f t="shared" si="26"/>
        <v>0</v>
      </c>
      <c r="BJ26" s="7" t="str">
        <f t="shared" si="27"/>
        <v/>
      </c>
      <c r="BK26" s="158" t="str">
        <f t="shared" si="28"/>
        <v/>
      </c>
      <c r="BL26" s="158" t="str">
        <f t="shared" si="29"/>
        <v/>
      </c>
      <c r="BM26" s="10"/>
      <c r="BN26" s="10" t="str">
        <f t="shared" si="30"/>
        <v/>
      </c>
      <c r="BO26" s="10" t="str">
        <f t="shared" si="31"/>
        <v/>
      </c>
      <c r="BQ26" s="10">
        <f t="shared" si="32"/>
        <v>4554218260.8222504</v>
      </c>
      <c r="BR26" s="10">
        <f t="shared" si="33"/>
        <v>3194237058.1481609</v>
      </c>
    </row>
    <row r="27" spans="3:70" x14ac:dyDescent="0.15">
      <c r="D27" s="160" t="s">
        <v>86</v>
      </c>
      <c r="F27" s="481">
        <f>F117*5%/10^8</f>
        <v>91.977085002688327</v>
      </c>
      <c r="G27" s="84" t="s">
        <v>566</v>
      </c>
      <c r="I27" s="38">
        <f t="shared" si="34"/>
        <v>2042</v>
      </c>
      <c r="J27" s="39"/>
      <c r="K27" s="39">
        <f t="shared" si="35"/>
        <v>13</v>
      </c>
      <c r="L27" s="39"/>
      <c r="M27" s="40">
        <f t="shared" si="0"/>
        <v>0.68095133999317792</v>
      </c>
      <c r="N27" s="39"/>
      <c r="O27" s="72">
        <f t="shared" si="36"/>
        <v>17754600378.733299</v>
      </c>
      <c r="P27" s="41" t="str">
        <f t="shared" si="1"/>
        <v>-</v>
      </c>
      <c r="Q27" s="39"/>
      <c r="R27" s="72">
        <f t="shared" si="37"/>
        <v>29154771176.635578</v>
      </c>
      <c r="S27" s="39"/>
      <c r="T27" s="72">
        <f t="shared" si="2"/>
        <v>29154771000</v>
      </c>
      <c r="U27" s="39"/>
      <c r="V27" s="72">
        <f t="shared" si="3"/>
        <v>5918200126.2444324</v>
      </c>
      <c r="W27" s="72">
        <f t="shared" si="4"/>
        <v>4030006306.313941</v>
      </c>
      <c r="X27" s="39"/>
      <c r="Y27" s="72">
        <f t="shared" si="5"/>
        <v>408166700</v>
      </c>
      <c r="Z27" s="72">
        <f t="shared" si="6"/>
        <v>277941661.30559343</v>
      </c>
      <c r="AA27" s="39"/>
      <c r="AB27" s="72">
        <f t="shared" si="7"/>
        <v>0</v>
      </c>
      <c r="AC27" s="72">
        <f t="shared" si="8"/>
        <v>0</v>
      </c>
      <c r="AD27" s="39"/>
      <c r="AE27" s="72">
        <f t="shared" si="9"/>
        <v>0</v>
      </c>
      <c r="AF27" s="72">
        <f t="shared" si="10"/>
        <v>0</v>
      </c>
      <c r="AG27" s="39"/>
      <c r="AH27" s="72">
        <f t="shared" si="11"/>
        <v>620000000</v>
      </c>
      <c r="AI27" s="72">
        <f t="shared" si="12"/>
        <v>422189830.79577029</v>
      </c>
      <c r="AJ27" s="39"/>
      <c r="AK27" s="72">
        <f t="shared" si="13"/>
        <v>4414900080.1290398</v>
      </c>
      <c r="AL27" s="72">
        <f t="shared" si="14"/>
        <v>3006332125.4998584</v>
      </c>
      <c r="AM27" s="39"/>
      <c r="AN27" s="72">
        <f t="shared" si="15"/>
        <v>2023495870.0591433</v>
      </c>
      <c r="AO27" s="72">
        <f t="shared" si="16"/>
        <v>1377902224.1874352</v>
      </c>
      <c r="AP27" s="39"/>
      <c r="AQ27" s="72">
        <f t="shared" si="17"/>
        <v>847007514.02258193</v>
      </c>
      <c r="AR27" s="72">
        <f t="shared" si="18"/>
        <v>576770901.65796757</v>
      </c>
      <c r="AS27" s="39"/>
      <c r="AT27" s="40">
        <f>IF($K27&lt;=$F$15,IF($F$40&lt;&gt;"",$F$40/1000,IF(ISERROR(VLOOKUP($F$3&amp;IF($G$4&lt;&gt;"",$G$4,"")&amp;IF($F$43&lt;&gt;"","_"&amp;$F$43,""),'表3）燃料価格'!$AF$9:$AG$25,2,0)),0,VLOOKUP($I27,'表3）燃料価格'!$A$6:$AD$56,VLOOKUP($F$3&amp;IF($G$4&lt;&gt;"",$G$4,"")&amp;IF($F$43&lt;&gt;"","_"&amp;$F$43,""),'表3）燃料価格'!$AF$9:$AG$25,2,0)+VLOOKUP($F$41,'表3）燃料価格'!$AF$28:$AG$29,2,0),0)*IF($F$43="需要地価格",1,$F$8/$F$141))),"")</f>
        <v>48.45544265623667</v>
      </c>
      <c r="AU27" s="39"/>
      <c r="AV27" s="72">
        <f t="shared" si="19"/>
        <v>30846179337.573761</v>
      </c>
      <c r="AW27" s="72">
        <f t="shared" si="20"/>
        <v>21004747153.590729</v>
      </c>
      <c r="AX27" s="39"/>
      <c r="AY27" s="40">
        <f>IF(ISERROR(IF($K27&lt;=$F$15,VLOOKUP($I27,'表4）CO2価格'!$A$7:$E$67,VLOOKUP($F$48,'表4）CO2価格'!$H$10:$I$12,2,0),0)*$F$8/1000,"")),0,IF($K27&lt;=$F$15,VLOOKUP($I27,'表4）CO2価格'!$A$7:$E$67,VLOOKUP($F$48,'表4）CO2価格'!$H$10:$I$12,2,0),0)*$F$8/1000,""))</f>
        <v>5.82080000000001</v>
      </c>
      <c r="AZ27" s="39"/>
      <c r="BA27" s="42">
        <f t="shared" si="21"/>
        <v>9744942611.7120152</v>
      </c>
      <c r="BB27" s="72">
        <f t="shared" si="22"/>
        <v>6635831729.6019154</v>
      </c>
      <c r="BC27" s="39"/>
      <c r="BD27" s="72">
        <f t="shared" si="23"/>
        <v>0</v>
      </c>
      <c r="BE27" s="72">
        <f t="shared" si="24"/>
        <v>0</v>
      </c>
      <c r="BF27" s="39"/>
      <c r="BG27" s="42">
        <f t="shared" si="25"/>
        <v>0</v>
      </c>
      <c r="BH27" s="72">
        <f t="shared" si="26"/>
        <v>0</v>
      </c>
      <c r="BI27" s="39"/>
      <c r="BJ27" s="40" t="str">
        <f t="shared" si="27"/>
        <v/>
      </c>
      <c r="BK27" s="157" t="str">
        <f t="shared" si="28"/>
        <v/>
      </c>
      <c r="BL27" s="157" t="str">
        <f t="shared" si="29"/>
        <v/>
      </c>
      <c r="BM27" s="72"/>
      <c r="BN27" s="72" t="str">
        <f t="shared" si="30"/>
        <v/>
      </c>
      <c r="BO27" s="72" t="str">
        <f t="shared" si="31"/>
        <v/>
      </c>
      <c r="BP27" s="39"/>
      <c r="BQ27" s="72">
        <f t="shared" si="32"/>
        <v>4554218260.8222504</v>
      </c>
      <c r="BR27" s="72">
        <f t="shared" si="33"/>
        <v>3101201027.3283114</v>
      </c>
    </row>
    <row r="28" spans="3:70" x14ac:dyDescent="0.15">
      <c r="D28" s="84" t="s">
        <v>116</v>
      </c>
      <c r="F28" s="481">
        <f>'LNG火力（2030年）'!F28</f>
        <v>1</v>
      </c>
      <c r="G28" s="84" t="s">
        <v>556</v>
      </c>
      <c r="I28" s="322">
        <f t="shared" si="34"/>
        <v>2043</v>
      </c>
      <c r="K28" s="71">
        <f t="shared" si="35"/>
        <v>14</v>
      </c>
      <c r="M28" s="7">
        <f t="shared" si="0"/>
        <v>0.66111780581861923</v>
      </c>
      <c r="O28" s="10">
        <f t="shared" si="36"/>
        <v>11836400252.488867</v>
      </c>
      <c r="P28" s="29" t="str">
        <f t="shared" si="1"/>
        <v>-</v>
      </c>
      <c r="R28" s="10">
        <f t="shared" si="37"/>
        <v>25005927662.556351</v>
      </c>
      <c r="T28" s="10">
        <f t="shared" si="2"/>
        <v>25005927000</v>
      </c>
      <c r="V28" s="10">
        <f t="shared" si="3"/>
        <v>5918200126.2444324</v>
      </c>
      <c r="W28" s="10">
        <f t="shared" si="4"/>
        <v>3912627481.8581944</v>
      </c>
      <c r="Y28" s="10">
        <f t="shared" si="5"/>
        <v>350082900</v>
      </c>
      <c r="Z28" s="10">
        <f t="shared" si="6"/>
        <v>231446038.70261911</v>
      </c>
      <c r="AB28" s="10">
        <f t="shared" si="7"/>
        <v>0</v>
      </c>
      <c r="AC28" s="10">
        <f t="shared" si="8"/>
        <v>0</v>
      </c>
      <c r="AE28" s="10">
        <f t="shared" si="9"/>
        <v>0</v>
      </c>
      <c r="AF28" s="10">
        <f t="shared" si="10"/>
        <v>0</v>
      </c>
      <c r="AH28" s="10">
        <f t="shared" si="11"/>
        <v>620000000</v>
      </c>
      <c r="AI28" s="10">
        <f t="shared" si="12"/>
        <v>409893039.60754395</v>
      </c>
      <c r="AK28" s="10">
        <f t="shared" si="13"/>
        <v>4414900080.1290398</v>
      </c>
      <c r="AL28" s="10">
        <f t="shared" si="14"/>
        <v>2918769053.883357</v>
      </c>
      <c r="AN28" s="10">
        <f t="shared" si="15"/>
        <v>2023495870.0591433</v>
      </c>
      <c r="AO28" s="10">
        <f t="shared" si="16"/>
        <v>1337769149.6965387</v>
      </c>
      <c r="AQ28" s="10">
        <f t="shared" si="17"/>
        <v>847007514.02258193</v>
      </c>
      <c r="AR28" s="10">
        <f t="shared" si="18"/>
        <v>559971749.18249273</v>
      </c>
      <c r="AT28" s="40">
        <f>IF($K28&lt;=$F$15,IF($F$40&lt;&gt;"",$F$40/1000,IF(ISERROR(VLOOKUP($F$3&amp;IF($G$4&lt;&gt;"",$G$4,"")&amp;IF($F$43&lt;&gt;"","_"&amp;$F$43,""),'表3）燃料価格'!$AF$9:$AG$25,2,0)),0,VLOOKUP($I28,'表3）燃料価格'!$A$6:$AD$56,VLOOKUP($F$3&amp;IF($G$4&lt;&gt;"",$G$4,"")&amp;IF($F$43&lt;&gt;"","_"&amp;$F$43,""),'表3）燃料価格'!$AF$9:$AG$25,2,0)+VLOOKUP($F$41,'表3）燃料価格'!$AF$28:$AG$29,2,0),0)*IF($F$43="需要地価格",1,$F$8/$F$141))),"")</f>
        <v>48.314487127285105</v>
      </c>
      <c r="AV28" s="10">
        <f t="shared" si="19"/>
        <v>30761350501.857258</v>
      </c>
      <c r="AW28" s="10">
        <f t="shared" si="20"/>
        <v>20336876547.805351</v>
      </c>
      <c r="AY28" s="40">
        <f>IF(ISERROR(IF($K28&lt;=$F$15,VLOOKUP($I28,'表4）CO2価格'!$A$7:$E$67,VLOOKUP($F$48,'表4）CO2価格'!$H$10:$I$12,2,0),0)*$F$8/1000,"")),0,IF($K28&lt;=$F$15,VLOOKUP($I28,'表4）CO2価格'!$A$7:$E$67,VLOOKUP($F$48,'表4）CO2価格'!$H$10:$I$12,2,0),0)*$F$8/1000,""))</f>
        <v>5.9491999999999896</v>
      </c>
      <c r="BA28" s="11">
        <f t="shared" si="21"/>
        <v>9959904581.0879803</v>
      </c>
      <c r="BB28" s="10">
        <f t="shared" si="22"/>
        <v>6584670262.8116999</v>
      </c>
      <c r="BD28" s="10">
        <f t="shared" si="23"/>
        <v>0</v>
      </c>
      <c r="BE28" s="10">
        <f t="shared" si="24"/>
        <v>0</v>
      </c>
      <c r="BG28" s="11">
        <f t="shared" si="25"/>
        <v>0</v>
      </c>
      <c r="BH28" s="10">
        <f t="shared" si="26"/>
        <v>0</v>
      </c>
      <c r="BJ28" s="7" t="str">
        <f t="shared" si="27"/>
        <v/>
      </c>
      <c r="BK28" s="158" t="str">
        <f t="shared" si="28"/>
        <v/>
      </c>
      <c r="BL28" s="158" t="str">
        <f t="shared" si="29"/>
        <v/>
      </c>
      <c r="BM28" s="10"/>
      <c r="BN28" s="10" t="str">
        <f t="shared" si="30"/>
        <v/>
      </c>
      <c r="BO28" s="10" t="str">
        <f t="shared" si="31"/>
        <v/>
      </c>
      <c r="BQ28" s="10">
        <f t="shared" si="32"/>
        <v>4554218260.8222504</v>
      </c>
      <c r="BR28" s="10">
        <f t="shared" si="33"/>
        <v>3010874783.8138943</v>
      </c>
    </row>
    <row r="29" spans="3:70" x14ac:dyDescent="0.15">
      <c r="D29" s="84" t="s">
        <v>567</v>
      </c>
      <c r="F29" s="481"/>
      <c r="G29" s="84" t="s">
        <v>566</v>
      </c>
      <c r="I29" s="38">
        <f t="shared" si="34"/>
        <v>2044</v>
      </c>
      <c r="J29" s="39"/>
      <c r="K29" s="39">
        <f t="shared" si="35"/>
        <v>15</v>
      </c>
      <c r="L29" s="39"/>
      <c r="M29" s="40">
        <f t="shared" si="0"/>
        <v>0.64186194739671765</v>
      </c>
      <c r="N29" s="39"/>
      <c r="O29" s="72">
        <f t="shared" si="36"/>
        <v>5918200126.2444344</v>
      </c>
      <c r="P29" s="41" t="str">
        <f t="shared" si="1"/>
        <v>-</v>
      </c>
      <c r="Q29" s="39"/>
      <c r="R29" s="72">
        <f t="shared" si="37"/>
        <v>21447481596.635166</v>
      </c>
      <c r="S29" s="39"/>
      <c r="T29" s="72">
        <f t="shared" si="2"/>
        <v>21447481000</v>
      </c>
      <c r="U29" s="39"/>
      <c r="V29" s="72">
        <f t="shared" si="3"/>
        <v>5918200126.2444324</v>
      </c>
      <c r="W29" s="72">
        <f t="shared" si="4"/>
        <v>3798667458.1147518</v>
      </c>
      <c r="X29" s="39"/>
      <c r="Y29" s="72">
        <f t="shared" si="5"/>
        <v>300264700</v>
      </c>
      <c r="Z29" s="72">
        <f t="shared" si="6"/>
        <v>192728485.07649121</v>
      </c>
      <c r="AA29" s="39"/>
      <c r="AB29" s="72">
        <f t="shared" si="7"/>
        <v>0</v>
      </c>
      <c r="AC29" s="72">
        <f t="shared" si="8"/>
        <v>0</v>
      </c>
      <c r="AD29" s="39"/>
      <c r="AE29" s="72">
        <f t="shared" si="9"/>
        <v>0</v>
      </c>
      <c r="AF29" s="72">
        <f t="shared" si="10"/>
        <v>0</v>
      </c>
      <c r="AG29" s="39"/>
      <c r="AH29" s="72">
        <f t="shared" si="11"/>
        <v>620000000</v>
      </c>
      <c r="AI29" s="72">
        <f t="shared" si="12"/>
        <v>397954407.38596493</v>
      </c>
      <c r="AJ29" s="39"/>
      <c r="AK29" s="72">
        <f t="shared" si="13"/>
        <v>4414900080.1290398</v>
      </c>
      <c r="AL29" s="72">
        <f t="shared" si="14"/>
        <v>2833756362.9935503</v>
      </c>
      <c r="AM29" s="39"/>
      <c r="AN29" s="72">
        <f t="shared" si="15"/>
        <v>2023495870.0591433</v>
      </c>
      <c r="AO29" s="72">
        <f t="shared" si="16"/>
        <v>1298804999.7053773</v>
      </c>
      <c r="AP29" s="39"/>
      <c r="AQ29" s="72">
        <f t="shared" si="17"/>
        <v>847007514.02258193</v>
      </c>
      <c r="AR29" s="72">
        <f t="shared" si="18"/>
        <v>543661892.41018713</v>
      </c>
      <c r="AS29" s="39"/>
      <c r="AT29" s="40">
        <f>IF($K29&lt;=$F$15,IF($F$40&lt;&gt;"",$F$40/1000,IF(ISERROR(VLOOKUP($F$3&amp;IF($G$4&lt;&gt;"",$G$4,"")&amp;IF($F$43&lt;&gt;"","_"&amp;$F$43,""),'表3）燃料価格'!$AF$9:$AG$25,2,0)),0,VLOOKUP($I29,'表3）燃料価格'!$A$6:$AD$56,VLOOKUP($F$3&amp;IF($G$4&lt;&gt;"",$G$4,"")&amp;IF($F$43&lt;&gt;"","_"&amp;$F$43,""),'表3）燃料価格'!$AF$9:$AG$25,2,0)+VLOOKUP($F$41,'表3）燃料価格'!$AF$28:$AG$29,2,0),0)*IF($F$43="需要地価格",1,$F$8/$F$141))),"")</f>
        <v>48.178310683240682</v>
      </c>
      <c r="AU29" s="39"/>
      <c r="AV29" s="72">
        <f t="shared" si="19"/>
        <v>30679397780.412247</v>
      </c>
      <c r="AW29" s="72">
        <f t="shared" si="20"/>
        <v>19691938004.293941</v>
      </c>
      <c r="AX29" s="39"/>
      <c r="AY29" s="40">
        <f>IF(ISERROR(IF($K29&lt;=$F$15,VLOOKUP($I29,'表4）CO2価格'!$A$7:$E$67,VLOOKUP($F$48,'表4）CO2価格'!$H$10:$I$12,2,0),0)*$F$8/1000,"")),0,IF($K29&lt;=$F$15,VLOOKUP($I29,'表4）CO2価格'!$A$7:$E$67,VLOOKUP($F$48,'表4）CO2価格'!$H$10:$I$12,2,0),0)*$F$8/1000,""))</f>
        <v>6.077599999999971</v>
      </c>
      <c r="AZ29" s="39"/>
      <c r="BA29" s="42">
        <f t="shared" si="21"/>
        <v>10174866550.463949</v>
      </c>
      <c r="BB29" s="72">
        <f t="shared" si="22"/>
        <v>6530859658.5825129</v>
      </c>
      <c r="BC29" s="39"/>
      <c r="BD29" s="72">
        <f t="shared" si="23"/>
        <v>0</v>
      </c>
      <c r="BE29" s="72">
        <f t="shared" si="24"/>
        <v>0</v>
      </c>
      <c r="BF29" s="39"/>
      <c r="BG29" s="42">
        <f t="shared" si="25"/>
        <v>0</v>
      </c>
      <c r="BH29" s="72">
        <f t="shared" si="26"/>
        <v>0</v>
      </c>
      <c r="BI29" s="39"/>
      <c r="BJ29" s="40" t="str">
        <f t="shared" si="27"/>
        <v/>
      </c>
      <c r="BK29" s="157" t="str">
        <f t="shared" si="28"/>
        <v/>
      </c>
      <c r="BL29" s="157" t="str">
        <f t="shared" si="29"/>
        <v/>
      </c>
      <c r="BM29" s="72"/>
      <c r="BN29" s="72" t="str">
        <f t="shared" si="30"/>
        <v/>
      </c>
      <c r="BO29" s="72" t="str">
        <f t="shared" si="31"/>
        <v/>
      </c>
      <c r="BP29" s="39"/>
      <c r="BQ29" s="72">
        <f t="shared" si="32"/>
        <v>4554218260.8222504</v>
      </c>
      <c r="BR29" s="72">
        <f t="shared" si="33"/>
        <v>2923179401.7610621</v>
      </c>
    </row>
    <row r="30" spans="3:70" x14ac:dyDescent="0.15">
      <c r="I30" s="322">
        <f t="shared" si="34"/>
        <v>2045</v>
      </c>
      <c r="K30" s="71">
        <f t="shared" si="35"/>
        <v>16</v>
      </c>
      <c r="M30" s="7">
        <f t="shared" si="0"/>
        <v>0.62316693922011435</v>
      </c>
      <c r="O30" s="10">
        <f t="shared" si="36"/>
        <v>1.9073486328125E-6</v>
      </c>
      <c r="P30" s="29" t="str">
        <f t="shared" si="1"/>
        <v>-</v>
      </c>
      <c r="R30" s="10">
        <f t="shared" si="37"/>
        <v>18395417000.537663</v>
      </c>
      <c r="T30" s="10">
        <f t="shared" si="2"/>
        <v>18395417000</v>
      </c>
      <c r="V30" s="10">
        <f t="shared" si="3"/>
        <v>0</v>
      </c>
      <c r="W30" s="10">
        <f t="shared" si="4"/>
        <v>0</v>
      </c>
      <c r="Y30" s="10">
        <f t="shared" si="5"/>
        <v>257535800</v>
      </c>
      <c r="Z30" s="10">
        <f t="shared" si="6"/>
        <v>160487796.22560352</v>
      </c>
      <c r="AB30" s="10">
        <f t="shared" si="7"/>
        <v>0</v>
      </c>
      <c r="AC30" s="10">
        <f t="shared" si="8"/>
        <v>0</v>
      </c>
      <c r="AE30" s="10">
        <f t="shared" si="9"/>
        <v>0</v>
      </c>
      <c r="AF30" s="10">
        <f t="shared" si="10"/>
        <v>0</v>
      </c>
      <c r="AH30" s="10">
        <f t="shared" si="11"/>
        <v>620000000</v>
      </c>
      <c r="AI30" s="10">
        <f t="shared" si="12"/>
        <v>386363502.31647092</v>
      </c>
      <c r="AK30" s="10">
        <f t="shared" si="13"/>
        <v>4414900080.1290398</v>
      </c>
      <c r="AL30" s="10">
        <f t="shared" si="14"/>
        <v>2751219769.8966513</v>
      </c>
      <c r="AN30" s="10">
        <f t="shared" si="15"/>
        <v>2023495870.0591433</v>
      </c>
      <c r="AO30" s="10">
        <f t="shared" si="16"/>
        <v>1260975727.8692985</v>
      </c>
      <c r="AQ30" s="10">
        <f t="shared" si="17"/>
        <v>847007514.02258193</v>
      </c>
      <c r="AR30" s="10">
        <f t="shared" si="18"/>
        <v>527827080.00989044</v>
      </c>
      <c r="AT30" s="40">
        <f>IF($K30&lt;=$F$15,IF($F$40&lt;&gt;"",$F$40/1000,IF(ISERROR(VLOOKUP($F$3&amp;IF($G$4&lt;&gt;"",$G$4,"")&amp;IF($F$43&lt;&gt;"","_"&amp;$F$43,""),'表3）燃料価格'!$AF$9:$AG$25,2,0)),0,VLOOKUP($I30,'表3）燃料価格'!$A$6:$AD$56,VLOOKUP($F$3&amp;IF($G$4&lt;&gt;"",$G$4,"")&amp;IF($F$43&lt;&gt;"","_"&amp;$F$43,""),'表3）燃料価格'!$AF$9:$AG$25,2,0)+VLOOKUP($F$41,'表3）燃料価格'!$AF$28:$AG$29,2,0),0)*IF($F$43="需要地価格",1,$F$8/$F$141))),"")</f>
        <v>48.046599854320583</v>
      </c>
      <c r="AV30" s="10">
        <f t="shared" si="19"/>
        <v>30600132523.123993</v>
      </c>
      <c r="AW30" s="10">
        <f t="shared" si="20"/>
        <v>19068990924.165054</v>
      </c>
      <c r="AY30" s="40">
        <f>IF(ISERROR(IF($K30&lt;=$F$15,VLOOKUP($I30,'表4）CO2価格'!$A$7:$E$67,VLOOKUP($F$48,'表4）CO2価格'!$H$10:$I$12,2,0),0)*$F$8/1000,"")),0,IF($K30&lt;=$F$15,VLOOKUP($I30,'表4）CO2価格'!$A$7:$E$67,VLOOKUP($F$48,'表4）CO2価格'!$H$10:$I$12,2,0),0)*$F$8/1000,""))</f>
        <v>6.2060000000000004</v>
      </c>
      <c r="BA30" s="11">
        <f t="shared" si="21"/>
        <v>10389828519.839998</v>
      </c>
      <c r="BB30" s="10">
        <f t="shared" si="22"/>
        <v>6474597637.7305431</v>
      </c>
      <c r="BD30" s="10">
        <f t="shared" si="23"/>
        <v>0</v>
      </c>
      <c r="BE30" s="10">
        <f t="shared" si="24"/>
        <v>0</v>
      </c>
      <c r="BG30" s="11">
        <f t="shared" si="25"/>
        <v>0</v>
      </c>
      <c r="BH30" s="10">
        <f t="shared" si="26"/>
        <v>0</v>
      </c>
      <c r="BJ30" s="7" t="str">
        <f t="shared" si="27"/>
        <v/>
      </c>
      <c r="BK30" s="158" t="str">
        <f t="shared" si="28"/>
        <v/>
      </c>
      <c r="BL30" s="158" t="str">
        <f t="shared" si="29"/>
        <v/>
      </c>
      <c r="BM30" s="10"/>
      <c r="BN30" s="10" t="str">
        <f t="shared" si="30"/>
        <v/>
      </c>
      <c r="BO30" s="10" t="str">
        <f t="shared" si="31"/>
        <v/>
      </c>
      <c r="BQ30" s="10">
        <f t="shared" si="32"/>
        <v>4554218260.8222504</v>
      </c>
      <c r="BR30" s="10">
        <f t="shared" si="33"/>
        <v>2838038254.1369543</v>
      </c>
    </row>
    <row r="31" spans="3:70" x14ac:dyDescent="0.15">
      <c r="C31" s="4" t="s">
        <v>568</v>
      </c>
      <c r="D31" s="100"/>
      <c r="E31" s="100"/>
      <c r="F31" s="4"/>
      <c r="G31" s="100"/>
      <c r="I31" s="38">
        <f t="shared" si="34"/>
        <v>2046</v>
      </c>
      <c r="J31" s="39"/>
      <c r="K31" s="39">
        <f t="shared" si="35"/>
        <v>17</v>
      </c>
      <c r="L31" s="39"/>
      <c r="M31" s="40">
        <f t="shared" si="0"/>
        <v>0.60501644584477121</v>
      </c>
      <c r="N31" s="39"/>
      <c r="O31" s="72">
        <f t="shared" si="36"/>
        <v>1.9073486328125E-6</v>
      </c>
      <c r="P31" s="41" t="str">
        <f t="shared" si="1"/>
        <v>-</v>
      </c>
      <c r="Q31" s="39"/>
      <c r="R31" s="72">
        <f t="shared" si="37"/>
        <v>15777673714.23036</v>
      </c>
      <c r="S31" s="39"/>
      <c r="T31" s="72">
        <f t="shared" si="2"/>
        <v>15777673000</v>
      </c>
      <c r="U31" s="39"/>
      <c r="V31" s="72">
        <f t="shared" si="3"/>
        <v>0</v>
      </c>
      <c r="W31" s="72">
        <f t="shared" si="4"/>
        <v>0</v>
      </c>
      <c r="X31" s="39"/>
      <c r="Y31" s="72">
        <f t="shared" si="5"/>
        <v>220887400</v>
      </c>
      <c r="Z31" s="72">
        <f t="shared" si="6"/>
        <v>133640509.67989232</v>
      </c>
      <c r="AA31" s="39"/>
      <c r="AB31" s="72">
        <f t="shared" si="7"/>
        <v>0</v>
      </c>
      <c r="AC31" s="72">
        <f t="shared" si="8"/>
        <v>0</v>
      </c>
      <c r="AD31" s="39"/>
      <c r="AE31" s="72">
        <f t="shared" si="9"/>
        <v>0</v>
      </c>
      <c r="AF31" s="72">
        <f t="shared" si="10"/>
        <v>0</v>
      </c>
      <c r="AG31" s="39"/>
      <c r="AH31" s="72">
        <f t="shared" si="11"/>
        <v>620000000</v>
      </c>
      <c r="AI31" s="72">
        <f t="shared" si="12"/>
        <v>375110196.42375815</v>
      </c>
      <c r="AJ31" s="39"/>
      <c r="AK31" s="72">
        <f t="shared" si="13"/>
        <v>4414900080.1290398</v>
      </c>
      <c r="AL31" s="72">
        <f t="shared" si="14"/>
        <v>2671087155.2394671</v>
      </c>
      <c r="AM31" s="39"/>
      <c r="AN31" s="72">
        <f t="shared" si="15"/>
        <v>2023495870.0591433</v>
      </c>
      <c r="AO31" s="72">
        <f t="shared" si="16"/>
        <v>1224248279.484756</v>
      </c>
      <c r="AP31" s="39"/>
      <c r="AQ31" s="72">
        <f t="shared" si="17"/>
        <v>847007514.02258193</v>
      </c>
      <c r="AR31" s="72">
        <f t="shared" si="18"/>
        <v>512453475.73775774</v>
      </c>
      <c r="AS31" s="39"/>
      <c r="AT31" s="40">
        <f>IF($K31&lt;=$F$15,IF($F$40&lt;&gt;"",$F$40/1000,IF(ISERROR(VLOOKUP($F$3&amp;IF($G$4&lt;&gt;"",$G$4,"")&amp;IF($F$43&lt;&gt;"","_"&amp;$F$43,""),'表3）燃料価格'!$AF$9:$AG$25,2,0)),0,VLOOKUP($I31,'表3）燃料価格'!$A$6:$AD$56,VLOOKUP($F$3&amp;IF($G$4&lt;&gt;"",$G$4,"")&amp;IF($F$43&lt;&gt;"","_"&amp;$F$43,""),'表3）燃料価格'!$AF$9:$AG$25,2,0)+VLOOKUP($F$41,'表3）燃料価格'!$AF$28:$AG$29,2,0),0)*IF($F$43="需要地価格",1,$F$8/$F$141))),"")</f>
        <v>47.919071035555028</v>
      </c>
      <c r="AU31" s="39"/>
      <c r="AV31" s="72">
        <f t="shared" si="19"/>
        <v>30523384052.90329</v>
      </c>
      <c r="AW31" s="72">
        <f t="shared" si="20"/>
        <v>18467149334.842518</v>
      </c>
      <c r="AX31" s="39"/>
      <c r="AY31" s="40">
        <f>IF(ISERROR(IF($K31&lt;=$F$15,VLOOKUP($I31,'表4）CO2価格'!$A$7:$E$67,VLOOKUP($F$48,'表4）CO2価格'!$H$10:$I$12,2,0),0)*$F$8/1000,"")),0,IF($K31&lt;=$F$15,VLOOKUP($I31,'表4）CO2価格'!$A$7:$E$67,VLOOKUP($F$48,'表4）CO2価格'!$H$10:$I$12,2,0),0)*$F$8/1000,""))</f>
        <v>6.3343999999999809</v>
      </c>
      <c r="AZ31" s="39"/>
      <c r="BA31" s="42">
        <f t="shared" si="21"/>
        <v>10604790489.215967</v>
      </c>
      <c r="BB31" s="72">
        <f t="shared" si="22"/>
        <v>6416072650.7138767</v>
      </c>
      <c r="BC31" s="39"/>
      <c r="BD31" s="72">
        <f t="shared" si="23"/>
        <v>0</v>
      </c>
      <c r="BE31" s="72">
        <f t="shared" si="24"/>
        <v>0</v>
      </c>
      <c r="BF31" s="39"/>
      <c r="BG31" s="42">
        <f t="shared" si="25"/>
        <v>0</v>
      </c>
      <c r="BH31" s="72">
        <f t="shared" si="26"/>
        <v>0</v>
      </c>
      <c r="BI31" s="39"/>
      <c r="BJ31" s="40" t="str">
        <f t="shared" si="27"/>
        <v/>
      </c>
      <c r="BK31" s="157" t="str">
        <f t="shared" si="28"/>
        <v/>
      </c>
      <c r="BL31" s="157" t="str">
        <f t="shared" si="29"/>
        <v/>
      </c>
      <c r="BM31" s="72"/>
      <c r="BN31" s="72" t="str">
        <f t="shared" si="30"/>
        <v/>
      </c>
      <c r="BO31" s="72" t="str">
        <f t="shared" si="31"/>
        <v/>
      </c>
      <c r="BP31" s="39"/>
      <c r="BQ31" s="72">
        <f t="shared" si="32"/>
        <v>4554218260.8222504</v>
      </c>
      <c r="BR31" s="72">
        <f t="shared" si="33"/>
        <v>2755376945.7640333</v>
      </c>
    </row>
    <row r="32" spans="3:70" x14ac:dyDescent="0.15">
      <c r="I32" s="322">
        <f t="shared" si="34"/>
        <v>2047</v>
      </c>
      <c r="K32" s="71">
        <f t="shared" si="35"/>
        <v>18</v>
      </c>
      <c r="M32" s="7">
        <f t="shared" si="0"/>
        <v>0.5873946076162827</v>
      </c>
      <c r="O32" s="10">
        <f t="shared" si="36"/>
        <v>1.9073486328125E-6</v>
      </c>
      <c r="P32" s="29" t="str">
        <f t="shared" si="1"/>
        <v>-</v>
      </c>
      <c r="R32" s="10">
        <f t="shared" si="37"/>
        <v>13532446034.000738</v>
      </c>
      <c r="T32" s="10">
        <f t="shared" si="2"/>
        <v>13532446000</v>
      </c>
      <c r="V32" s="10">
        <f t="shared" si="3"/>
        <v>0</v>
      </c>
      <c r="W32" s="10">
        <f t="shared" si="4"/>
        <v>0</v>
      </c>
      <c r="Y32" s="10">
        <f t="shared" si="5"/>
        <v>189454200</v>
      </c>
      <c r="Z32" s="10">
        <f t="shared" si="6"/>
        <v>111284375.47025675</v>
      </c>
      <c r="AB32" s="10">
        <f t="shared" si="7"/>
        <v>0</v>
      </c>
      <c r="AC32" s="10">
        <f t="shared" si="8"/>
        <v>0</v>
      </c>
      <c r="AE32" s="10">
        <f t="shared" si="9"/>
        <v>0</v>
      </c>
      <c r="AF32" s="10">
        <f t="shared" si="10"/>
        <v>0</v>
      </c>
      <c r="AH32" s="10">
        <f t="shared" si="11"/>
        <v>620000000</v>
      </c>
      <c r="AI32" s="10">
        <f t="shared" si="12"/>
        <v>364184656.72209525</v>
      </c>
      <c r="AK32" s="10">
        <f t="shared" si="13"/>
        <v>4414900080.1290398</v>
      </c>
      <c r="AL32" s="10">
        <f t="shared" si="14"/>
        <v>2593288500.2324924</v>
      </c>
      <c r="AN32" s="10">
        <f t="shared" si="15"/>
        <v>2023495870.0591433</v>
      </c>
      <c r="AO32" s="10">
        <f t="shared" si="16"/>
        <v>1188590562.606559</v>
      </c>
      <c r="AQ32" s="10">
        <f t="shared" si="17"/>
        <v>847007514.02258193</v>
      </c>
      <c r="AR32" s="10">
        <f t="shared" si="18"/>
        <v>497527646.3473376</v>
      </c>
      <c r="AT32" s="40">
        <f>IF($K32&lt;=$F$15,IF($F$40&lt;&gt;"",$F$40/1000,IF(ISERROR(VLOOKUP($F$3&amp;IF($G$4&lt;&gt;"",$G$4,"")&amp;IF($F$43&lt;&gt;"","_"&amp;$F$43,""),'表3）燃料価格'!$AF$9:$AG$25,2,0)),0,VLOOKUP($I32,'表3）燃料価格'!$A$6:$AD$56,VLOOKUP($F$3&amp;IF($G$4&lt;&gt;"",$G$4,"")&amp;IF($F$43&lt;&gt;"","_"&amp;$F$43,""),'表3）燃料価格'!$AF$9:$AG$25,2,0)+VLOOKUP($F$41,'表3）燃料価格'!$AF$28:$AG$29,2,0),0)*IF($F$43="需要地価格",1,$F$8/$F$141))),"")</f>
        <v>47.795466809569312</v>
      </c>
      <c r="AV32" s="10">
        <f t="shared" si="19"/>
        <v>30448997452.689751</v>
      </c>
      <c r="AW32" s="10">
        <f t="shared" si="20"/>
        <v>17885576911.031887</v>
      </c>
      <c r="AY32" s="40">
        <f>IF(ISERROR(IF($K32&lt;=$F$15,VLOOKUP($I32,'表4）CO2価格'!$A$7:$E$67,VLOOKUP($F$48,'表4）CO2価格'!$H$10:$I$12,2,0),0)*$F$8/1000,"")),0,IF($K32&lt;=$F$15,VLOOKUP($I32,'表4）CO2価格'!$A$7:$E$67,VLOOKUP($F$48,'表4）CO2価格'!$H$10:$I$12,2,0),0)*$F$8/1000,""))</f>
        <v>6.4628000000000103</v>
      </c>
      <c r="BA32" s="11">
        <f t="shared" si="21"/>
        <v>10819752458.592016</v>
      </c>
      <c r="BB32" s="10">
        <f t="shared" si="22"/>
        <v>6355464249.9199677</v>
      </c>
      <c r="BD32" s="10">
        <f t="shared" si="23"/>
        <v>0</v>
      </c>
      <c r="BE32" s="10">
        <f t="shared" si="24"/>
        <v>0</v>
      </c>
      <c r="BG32" s="11">
        <f t="shared" si="25"/>
        <v>0</v>
      </c>
      <c r="BH32" s="10">
        <f t="shared" si="26"/>
        <v>0</v>
      </c>
      <c r="BJ32" s="7" t="str">
        <f t="shared" si="27"/>
        <v/>
      </c>
      <c r="BK32" s="158" t="str">
        <f t="shared" si="28"/>
        <v/>
      </c>
      <c r="BL32" s="158" t="str">
        <f t="shared" si="29"/>
        <v/>
      </c>
      <c r="BM32" s="10"/>
      <c r="BN32" s="10" t="str">
        <f t="shared" si="30"/>
        <v/>
      </c>
      <c r="BO32" s="10" t="str">
        <f t="shared" si="31"/>
        <v/>
      </c>
      <c r="BQ32" s="10">
        <f t="shared" si="32"/>
        <v>4554218260.8222504</v>
      </c>
      <c r="BR32" s="10">
        <f t="shared" si="33"/>
        <v>2675123248.3145952</v>
      </c>
    </row>
    <row r="33" spans="3:70" x14ac:dyDescent="0.15">
      <c r="D33" s="84" t="s">
        <v>636</v>
      </c>
      <c r="F33" s="509">
        <f>'LNG火力（2030年）'!F33</f>
        <v>6.2</v>
      </c>
      <c r="G33" s="84" t="s">
        <v>637</v>
      </c>
      <c r="I33" s="38">
        <f t="shared" si="34"/>
        <v>2048</v>
      </c>
      <c r="J33" s="39"/>
      <c r="K33" s="39">
        <f t="shared" si="35"/>
        <v>19</v>
      </c>
      <c r="L33" s="39"/>
      <c r="M33" s="40">
        <f t="shared" si="0"/>
        <v>0.57028602681192497</v>
      </c>
      <c r="N33" s="39"/>
      <c r="O33" s="72">
        <f t="shared" si="36"/>
        <v>1.9073486328125E-6</v>
      </c>
      <c r="P33" s="41" t="str">
        <f t="shared" si="1"/>
        <v>-</v>
      </c>
      <c r="Q33" s="39"/>
      <c r="R33" s="72">
        <f t="shared" si="37"/>
        <v>11606723461.265045</v>
      </c>
      <c r="S33" s="39"/>
      <c r="T33" s="72">
        <f t="shared" si="2"/>
        <v>11606723000</v>
      </c>
      <c r="U33" s="39"/>
      <c r="V33" s="72">
        <f t="shared" si="3"/>
        <v>0</v>
      </c>
      <c r="W33" s="72">
        <f t="shared" si="4"/>
        <v>0</v>
      </c>
      <c r="X33" s="39"/>
      <c r="Y33" s="72">
        <f t="shared" si="5"/>
        <v>162494100</v>
      </c>
      <c r="Z33" s="72">
        <f t="shared" si="6"/>
        <v>92668114.669379622</v>
      </c>
      <c r="AA33" s="39"/>
      <c r="AB33" s="72">
        <f t="shared" si="7"/>
        <v>0</v>
      </c>
      <c r="AC33" s="72">
        <f t="shared" si="8"/>
        <v>0</v>
      </c>
      <c r="AD33" s="39"/>
      <c r="AE33" s="72">
        <f t="shared" si="9"/>
        <v>0</v>
      </c>
      <c r="AF33" s="72">
        <f t="shared" si="10"/>
        <v>0</v>
      </c>
      <c r="AG33" s="39"/>
      <c r="AH33" s="72">
        <f t="shared" si="11"/>
        <v>620000000</v>
      </c>
      <c r="AI33" s="72">
        <f t="shared" si="12"/>
        <v>353577336.62339348</v>
      </c>
      <c r="AJ33" s="39"/>
      <c r="AK33" s="72">
        <f t="shared" si="13"/>
        <v>4414900080.1290398</v>
      </c>
      <c r="AL33" s="72">
        <f t="shared" si="14"/>
        <v>2517755825.4684391</v>
      </c>
      <c r="AM33" s="39"/>
      <c r="AN33" s="72">
        <f t="shared" si="15"/>
        <v>2023495870.0591433</v>
      </c>
      <c r="AO33" s="72">
        <f t="shared" si="16"/>
        <v>1153971420.0063682</v>
      </c>
      <c r="AP33" s="39"/>
      <c r="AQ33" s="72">
        <f t="shared" si="17"/>
        <v>847007514.02258193</v>
      </c>
      <c r="AR33" s="72">
        <f t="shared" si="18"/>
        <v>483036549.85178405</v>
      </c>
      <c r="AS33" s="39"/>
      <c r="AT33" s="40">
        <f>IF($K33&lt;=$F$15,IF($F$40&lt;&gt;"",$F$40/1000,IF(ISERROR(VLOOKUP($F$3&amp;IF($G$4&lt;&gt;"",$G$4,"")&amp;IF($F$43&lt;&gt;"","_"&amp;$F$43,""),'表3）燃料価格'!$AF$9:$AG$25,2,0)),0,VLOOKUP($I33,'表3）燃料価格'!$A$6:$AD$56,VLOOKUP($F$3&amp;IF($G$4&lt;&gt;"",$G$4,"")&amp;IF($F$43&lt;&gt;"","_"&amp;$F$43,""),'表3）燃料価格'!$AF$9:$AG$25,2,0)+VLOOKUP($F$41,'表3）燃料価格'!$AF$28:$AG$29,2,0),0)*IF($F$43="需要地価格",1,$F$8/$F$141))),"")</f>
        <v>47.675552818469335</v>
      </c>
      <c r="AU33" s="39"/>
      <c r="AV33" s="72">
        <f t="shared" si="19"/>
        <v>30376831682.912636</v>
      </c>
      <c r="AW33" s="72">
        <f t="shared" si="20"/>
        <v>17323482647.582848</v>
      </c>
      <c r="AX33" s="39"/>
      <c r="AY33" s="40">
        <f>IF(ISERROR(IF($K33&lt;=$F$15,VLOOKUP($I33,'表4）CO2価格'!$A$7:$E$67,VLOOKUP($F$48,'表4）CO2価格'!$H$10:$I$12,2,0),0)*$F$8/1000,"")),0,IF($K33&lt;=$F$15,VLOOKUP($I33,'表4）CO2価格'!$A$7:$E$67,VLOOKUP($F$48,'表4）CO2価格'!$H$10:$I$12,2,0),0)*$F$8/1000,""))</f>
        <v>6.59119999999999</v>
      </c>
      <c r="AZ33" s="39"/>
      <c r="BA33" s="42">
        <f t="shared" si="21"/>
        <v>11034714427.967981</v>
      </c>
      <c r="BB33" s="72">
        <f t="shared" si="22"/>
        <v>6292943448.1300831</v>
      </c>
      <c r="BC33" s="39"/>
      <c r="BD33" s="72">
        <f t="shared" si="23"/>
        <v>0</v>
      </c>
      <c r="BE33" s="72">
        <f t="shared" si="24"/>
        <v>0</v>
      </c>
      <c r="BF33" s="39"/>
      <c r="BG33" s="42">
        <f t="shared" si="25"/>
        <v>0</v>
      </c>
      <c r="BH33" s="72">
        <f t="shared" si="26"/>
        <v>0</v>
      </c>
      <c r="BI33" s="39"/>
      <c r="BJ33" s="40" t="str">
        <f t="shared" si="27"/>
        <v/>
      </c>
      <c r="BK33" s="157" t="str">
        <f t="shared" si="28"/>
        <v/>
      </c>
      <c r="BL33" s="157" t="str">
        <f t="shared" si="29"/>
        <v/>
      </c>
      <c r="BM33" s="72"/>
      <c r="BN33" s="72" t="str">
        <f t="shared" si="30"/>
        <v/>
      </c>
      <c r="BO33" s="72" t="str">
        <f t="shared" si="31"/>
        <v/>
      </c>
      <c r="BP33" s="39"/>
      <c r="BQ33" s="72">
        <f t="shared" si="32"/>
        <v>4554218260.8222504</v>
      </c>
      <c r="BR33" s="72">
        <f t="shared" si="33"/>
        <v>2597207037.1986361</v>
      </c>
    </row>
    <row r="34" spans="3:70" x14ac:dyDescent="0.15">
      <c r="D34" s="84" t="s">
        <v>120</v>
      </c>
      <c r="F34" s="509">
        <f>'LNG火力（2030年）'!F34</f>
        <v>2.4</v>
      </c>
      <c r="G34" s="84" t="s">
        <v>638</v>
      </c>
      <c r="I34" s="322">
        <f t="shared" si="34"/>
        <v>2049</v>
      </c>
      <c r="K34" s="71">
        <f t="shared" si="35"/>
        <v>20</v>
      </c>
      <c r="M34" s="7">
        <f t="shared" si="0"/>
        <v>0.55367575418633497</v>
      </c>
      <c r="O34" s="10">
        <f t="shared" si="36"/>
        <v>1.9073486328125E-6</v>
      </c>
      <c r="P34" s="29" t="str">
        <f t="shared" si="1"/>
        <v>-</v>
      </c>
      <c r="R34" s="10">
        <f t="shared" si="37"/>
        <v>9955039108.8057365</v>
      </c>
      <c r="T34" s="10">
        <f t="shared" si="2"/>
        <v>9955039000</v>
      </c>
      <c r="V34" s="10">
        <f t="shared" si="3"/>
        <v>0</v>
      </c>
      <c r="W34" s="10">
        <f t="shared" si="4"/>
        <v>0</v>
      </c>
      <c r="Y34" s="10">
        <f t="shared" si="5"/>
        <v>139370500</v>
      </c>
      <c r="Z34" s="10">
        <f t="shared" si="6"/>
        <v>77166066.698826596</v>
      </c>
      <c r="AB34" s="10">
        <f t="shared" si="7"/>
        <v>0</v>
      </c>
      <c r="AC34" s="10">
        <f t="shared" si="8"/>
        <v>0</v>
      </c>
      <c r="AE34" s="10">
        <f t="shared" si="9"/>
        <v>0</v>
      </c>
      <c r="AF34" s="10">
        <f t="shared" si="10"/>
        <v>0</v>
      </c>
      <c r="AH34" s="10">
        <f t="shared" si="11"/>
        <v>620000000</v>
      </c>
      <c r="AI34" s="10">
        <f t="shared" si="12"/>
        <v>343278967.59552771</v>
      </c>
      <c r="AK34" s="10">
        <f t="shared" si="13"/>
        <v>4414900080.1290398</v>
      </c>
      <c r="AL34" s="10">
        <f t="shared" si="14"/>
        <v>2444423131.5227566</v>
      </c>
      <c r="AN34" s="10">
        <f t="shared" si="15"/>
        <v>2023495870.0591433</v>
      </c>
      <c r="AO34" s="10">
        <f t="shared" si="16"/>
        <v>1120360601.9479303</v>
      </c>
      <c r="AQ34" s="10">
        <f t="shared" si="17"/>
        <v>847007514.02258193</v>
      </c>
      <c r="AR34" s="10">
        <f t="shared" si="18"/>
        <v>468967524.12794572</v>
      </c>
      <c r="AT34" s="40">
        <f>IF($K34&lt;=$F$15,IF($F$40&lt;&gt;"",$F$40/1000,IF(ISERROR(VLOOKUP($F$3&amp;IF($G$4&lt;&gt;"",$G$4,"")&amp;IF($F$43&lt;&gt;"","_"&amp;$F$43,""),'表3）燃料価格'!$AF$9:$AG$25,2,0)),0,VLOOKUP($I34,'表3）燃料価格'!$A$6:$AD$56,VLOOKUP($F$3&amp;IF($G$4&lt;&gt;"",$G$4,"")&amp;IF($F$43&lt;&gt;"","_"&amp;$F$43,""),'表3）燃料価格'!$AF$9:$AG$25,2,0)+VLOOKUP($F$41,'表3）燃料価格'!$AF$28:$AG$29,2,0),0)*IF($F$43="需要地価格",1,$F$8/$F$141))),"")</f>
        <v>47.559115089283104</v>
      </c>
      <c r="AV34" s="10">
        <f t="shared" si="19"/>
        <v>30306757971.907406</v>
      </c>
      <c r="AW34" s="10">
        <f t="shared" si="20"/>
        <v>16780117077.038553</v>
      </c>
      <c r="AY34" s="40">
        <f>IF(ISERROR(IF($K34&lt;=$F$15,VLOOKUP($I34,'表4）CO2価格'!$A$7:$E$67,VLOOKUP($F$48,'表4）CO2価格'!$H$10:$I$12,2,0),0)*$F$8/1000,"")),0,IF($K34&lt;=$F$15,VLOOKUP($I34,'表4）CO2価格'!$A$7:$E$67,VLOOKUP($F$48,'表4）CO2価格'!$H$10:$I$12,2,0),0)*$F$8/1000,""))</f>
        <v>6.7195999999999714</v>
      </c>
      <c r="BA34" s="11">
        <f t="shared" si="21"/>
        <v>11249676397.34395</v>
      </c>
      <c r="BB34" s="10">
        <f t="shared" si="22"/>
        <v>6228673063.6516237</v>
      </c>
      <c r="BD34" s="10">
        <f t="shared" si="23"/>
        <v>0</v>
      </c>
      <c r="BE34" s="10">
        <f t="shared" si="24"/>
        <v>0</v>
      </c>
      <c r="BG34" s="11">
        <f t="shared" si="25"/>
        <v>0</v>
      </c>
      <c r="BH34" s="10">
        <f t="shared" si="26"/>
        <v>0</v>
      </c>
      <c r="BJ34" s="7" t="str">
        <f t="shared" si="27"/>
        <v/>
      </c>
      <c r="BK34" s="158" t="str">
        <f t="shared" si="28"/>
        <v/>
      </c>
      <c r="BL34" s="158" t="str">
        <f t="shared" si="29"/>
        <v/>
      </c>
      <c r="BM34" s="10"/>
      <c r="BN34" s="10" t="str">
        <f t="shared" si="30"/>
        <v/>
      </c>
      <c r="BO34" s="10" t="str">
        <f t="shared" si="31"/>
        <v/>
      </c>
      <c r="BQ34" s="10">
        <f t="shared" si="32"/>
        <v>4554218260.8222504</v>
      </c>
      <c r="BR34" s="10">
        <f t="shared" si="33"/>
        <v>2521560230.2899384</v>
      </c>
    </row>
    <row r="35" spans="3:70" x14ac:dyDescent="0.15">
      <c r="D35" s="84" t="s">
        <v>122</v>
      </c>
      <c r="F35" s="509">
        <f>'LNG火力（2030年）'!F35</f>
        <v>1.1000000000000001</v>
      </c>
      <c r="G35" s="84" t="s">
        <v>638</v>
      </c>
      <c r="I35" s="38">
        <f t="shared" si="34"/>
        <v>2050</v>
      </c>
      <c r="J35" s="39"/>
      <c r="K35" s="39">
        <f t="shared" si="35"/>
        <v>21</v>
      </c>
      <c r="L35" s="39"/>
      <c r="M35" s="40">
        <f t="shared" si="0"/>
        <v>0.5375492759090631</v>
      </c>
      <c r="N35" s="39"/>
      <c r="O35" s="72">
        <f t="shared" si="36"/>
        <v>1.9073486328125E-6</v>
      </c>
      <c r="P35" s="41" t="str">
        <f t="shared" si="1"/>
        <v>-</v>
      </c>
      <c r="Q35" s="39"/>
      <c r="R35" s="72">
        <f t="shared" si="37"/>
        <v>9197708500.2688332</v>
      </c>
      <c r="S35" s="39"/>
      <c r="T35" s="72">
        <f t="shared" si="2"/>
        <v>9197708000</v>
      </c>
      <c r="U35" s="39"/>
      <c r="V35" s="72">
        <f t="shared" si="3"/>
        <v>0</v>
      </c>
      <c r="W35" s="72">
        <f t="shared" si="4"/>
        <v>0</v>
      </c>
      <c r="X35" s="39"/>
      <c r="Y35" s="72">
        <f t="shared" si="5"/>
        <v>128767900</v>
      </c>
      <c r="Z35" s="72">
        <f t="shared" si="6"/>
        <v>69219091.405330643</v>
      </c>
      <c r="AA35" s="39"/>
      <c r="AB35" s="72">
        <f t="shared" si="7"/>
        <v>0</v>
      </c>
      <c r="AC35" s="72">
        <f t="shared" si="8"/>
        <v>0</v>
      </c>
      <c r="AD35" s="39"/>
      <c r="AE35" s="72">
        <f t="shared" si="9"/>
        <v>0</v>
      </c>
      <c r="AF35" s="72">
        <f t="shared" si="10"/>
        <v>0</v>
      </c>
      <c r="AG35" s="39"/>
      <c r="AH35" s="72">
        <f t="shared" si="11"/>
        <v>620000000</v>
      </c>
      <c r="AI35" s="72">
        <f t="shared" si="12"/>
        <v>333280551.06361914</v>
      </c>
      <c r="AJ35" s="39"/>
      <c r="AK35" s="72">
        <f t="shared" si="13"/>
        <v>4414900080.1290398</v>
      </c>
      <c r="AL35" s="72">
        <f t="shared" si="14"/>
        <v>2373226341.2842298</v>
      </c>
      <c r="AM35" s="39"/>
      <c r="AN35" s="72">
        <f t="shared" si="15"/>
        <v>2023495870.0591433</v>
      </c>
      <c r="AO35" s="72">
        <f t="shared" si="16"/>
        <v>1087728739.7552722</v>
      </c>
      <c r="AP35" s="39"/>
      <c r="AQ35" s="72">
        <f t="shared" si="17"/>
        <v>847007514.02258193</v>
      </c>
      <c r="AR35" s="72">
        <f t="shared" si="18"/>
        <v>455308275.85237455</v>
      </c>
      <c r="AS35" s="39"/>
      <c r="AT35" s="40">
        <f>IF($K35&lt;=$F$15,IF($F$40&lt;&gt;"",$F$40/1000,IF(ISERROR(VLOOKUP($F$3&amp;IF($G$4&lt;&gt;"",$G$4,"")&amp;IF($F$43&lt;&gt;"","_"&amp;$F$43,""),'表3）燃料価格'!$AF$9:$AG$25,2,0)),0,VLOOKUP($I35,'表3）燃料価格'!$A$6:$AD$56,VLOOKUP($F$3&amp;IF($G$4&lt;&gt;"",$G$4,"")&amp;IF($F$43&lt;&gt;"","_"&amp;$F$43,""),'表3）燃料価格'!$AF$9:$AG$25,2,0)+VLOOKUP($F$41,'表3）燃料価格'!$AF$28:$AG$29,2,0),0)*IF($F$43="需要地価格",1,$F$8/$F$141))),"")</f>
        <v>47.445957736261718</v>
      </c>
      <c r="AU35" s="39"/>
      <c r="AV35" s="72">
        <f t="shared" si="19"/>
        <v>30238658433.131142</v>
      </c>
      <c r="AW35" s="72">
        <f t="shared" si="20"/>
        <v>16254768945.19113</v>
      </c>
      <c r="AX35" s="39"/>
      <c r="AY35" s="40">
        <f>IF(ISERROR(IF($K35&lt;=$F$15,VLOOKUP($I35,'表4）CO2価格'!$A$7:$E$67,VLOOKUP($F$48,'表4）CO2価格'!$H$10:$I$12,2,0),0)*$F$8/1000,"")),0,IF($K35&lt;=$F$15,VLOOKUP($I35,'表4）CO2価格'!$A$7:$E$67,VLOOKUP($F$48,'表4）CO2価格'!$H$10:$I$12,2,0),0)*$F$8/1000,""))</f>
        <v>6.8479999999999999</v>
      </c>
      <c r="AZ35" s="39"/>
      <c r="BA35" s="42">
        <f t="shared" si="21"/>
        <v>11464638366.719997</v>
      </c>
      <c r="BB35" s="72">
        <f t="shared" si="22"/>
        <v>6162808052.5895987</v>
      </c>
      <c r="BC35" s="39"/>
      <c r="BD35" s="72">
        <f t="shared" si="23"/>
        <v>0</v>
      </c>
      <c r="BE35" s="72">
        <f t="shared" si="24"/>
        <v>0</v>
      </c>
      <c r="BF35" s="39"/>
      <c r="BG35" s="42">
        <f t="shared" si="25"/>
        <v>0</v>
      </c>
      <c r="BH35" s="72">
        <f t="shared" si="26"/>
        <v>0</v>
      </c>
      <c r="BI35" s="39"/>
      <c r="BJ35" s="40" t="str">
        <f t="shared" si="27"/>
        <v/>
      </c>
      <c r="BK35" s="157" t="str">
        <f t="shared" si="28"/>
        <v/>
      </c>
      <c r="BL35" s="157" t="str">
        <f t="shared" si="29"/>
        <v/>
      </c>
      <c r="BM35" s="72"/>
      <c r="BN35" s="72" t="str">
        <f t="shared" si="30"/>
        <v/>
      </c>
      <c r="BO35" s="72" t="str">
        <f t="shared" si="31"/>
        <v/>
      </c>
      <c r="BP35" s="39"/>
      <c r="BQ35" s="72">
        <f t="shared" si="32"/>
        <v>4554218260.8222504</v>
      </c>
      <c r="BR35" s="72">
        <f t="shared" si="33"/>
        <v>2448116728.4368334</v>
      </c>
    </row>
    <row r="36" spans="3:70" x14ac:dyDescent="0.15">
      <c r="D36" s="84" t="s">
        <v>639</v>
      </c>
      <c r="F36" s="509">
        <f>'LNG火力（2030年）'!F36</f>
        <v>12</v>
      </c>
      <c r="G36" s="84" t="s">
        <v>640</v>
      </c>
      <c r="I36" s="322">
        <f t="shared" si="34"/>
        <v>2051</v>
      </c>
      <c r="K36" s="71">
        <f t="shared" si="35"/>
        <v>22</v>
      </c>
      <c r="M36" s="7">
        <f t="shared" si="0"/>
        <v>0.52189250088258554</v>
      </c>
      <c r="O36" s="10">
        <f t="shared" si="36"/>
        <v>1.9073486328125E-6</v>
      </c>
      <c r="P36" s="29" t="str">
        <f t="shared" si="1"/>
        <v>-</v>
      </c>
      <c r="R36" s="10">
        <f t="shared" si="37"/>
        <v>9197708500.2688332</v>
      </c>
      <c r="T36" s="10">
        <f t="shared" si="2"/>
        <v>9197708000</v>
      </c>
      <c r="V36" s="10">
        <f t="shared" si="3"/>
        <v>0</v>
      </c>
      <c r="W36" s="10">
        <f t="shared" si="4"/>
        <v>0</v>
      </c>
      <c r="Y36" s="10">
        <f t="shared" si="5"/>
        <v>128767900</v>
      </c>
      <c r="Z36" s="10">
        <f t="shared" si="6"/>
        <v>67203001.364398688</v>
      </c>
      <c r="AB36" s="10">
        <f t="shared" si="7"/>
        <v>0</v>
      </c>
      <c r="AC36" s="10">
        <f t="shared" si="8"/>
        <v>0</v>
      </c>
      <c r="AE36" s="10">
        <f t="shared" si="9"/>
        <v>0</v>
      </c>
      <c r="AF36" s="10">
        <f t="shared" si="10"/>
        <v>0</v>
      </c>
      <c r="AH36" s="10">
        <f t="shared" si="11"/>
        <v>620000000</v>
      </c>
      <c r="AI36" s="10">
        <f t="shared" si="12"/>
        <v>323573350.54720306</v>
      </c>
      <c r="AK36" s="10">
        <f t="shared" si="13"/>
        <v>4414900080.1290398</v>
      </c>
      <c r="AL36" s="10">
        <f t="shared" si="14"/>
        <v>2304103243.9652719</v>
      </c>
      <c r="AN36" s="10">
        <f t="shared" si="15"/>
        <v>2023495870.0591433</v>
      </c>
      <c r="AO36" s="10">
        <f t="shared" si="16"/>
        <v>1056047320.1507497</v>
      </c>
      <c r="AQ36" s="10">
        <f t="shared" si="17"/>
        <v>847007514.02258193</v>
      </c>
      <c r="AR36" s="10">
        <f t="shared" si="18"/>
        <v>442046869.75958693</v>
      </c>
      <c r="AT36" s="40">
        <f>IF($K36&lt;=$F$15,IF($F$40&lt;&gt;"",$F$40/1000,IF(ISERROR(VLOOKUP($F$3&amp;IF($G$4&lt;&gt;"",$G$4,"")&amp;IF($F$43&lt;&gt;"","_"&amp;$F$43,""),'表3）燃料価格'!$AF$9:$AG$25,2,0)),0,VLOOKUP($I36,'表3）燃料価格'!$A$6:$AD$56,VLOOKUP($F$3&amp;IF($G$4&lt;&gt;"",$G$4,"")&amp;IF($F$43&lt;&gt;"","_"&amp;$F$43,""),'表3）燃料価格'!$AF$9:$AG$25,2,0)+VLOOKUP($F$41,'表3）燃料価格'!$AF$28:$AG$29,2,0),0)*IF($F$43="需要地価格",1,$F$8/$F$141))),"")</f>
        <v>47.335900978060927</v>
      </c>
      <c r="AV36" s="10">
        <f t="shared" si="19"/>
        <v>30172424871.877129</v>
      </c>
      <c r="AW36" s="10">
        <f t="shared" si="20"/>
        <v>15746762274.07588</v>
      </c>
      <c r="AY36" s="40">
        <f>IF(ISERROR(IF($K36&lt;=$F$15,VLOOKUP($I36,'表4）CO2価格'!$A$7:$E$67,VLOOKUP($F$48,'表4）CO2価格'!$H$10:$I$12,2,0),0)*$F$8/1000,"")),0,IF($K36&lt;=$F$15,VLOOKUP($I36,'表4）CO2価格'!$A$7:$E$67,VLOOKUP($F$48,'表4）CO2価格'!$H$10:$I$12,2,0),0)*$F$8/1000,""))</f>
        <v>7.0184806169104448</v>
      </c>
      <c r="BA36" s="11">
        <f t="shared" si="21"/>
        <v>11750049964.47315</v>
      </c>
      <c r="BB36" s="10">
        <f t="shared" si="22"/>
        <v>6132262961.4542274</v>
      </c>
      <c r="BD36" s="10">
        <f t="shared" si="23"/>
        <v>0</v>
      </c>
      <c r="BE36" s="10">
        <f t="shared" si="24"/>
        <v>0</v>
      </c>
      <c r="BG36" s="11">
        <f t="shared" si="25"/>
        <v>0</v>
      </c>
      <c r="BH36" s="10">
        <f t="shared" si="26"/>
        <v>0</v>
      </c>
      <c r="BJ36" s="7" t="str">
        <f t="shared" si="27"/>
        <v/>
      </c>
      <c r="BK36" s="158" t="str">
        <f t="shared" si="28"/>
        <v/>
      </c>
      <c r="BL36" s="158" t="str">
        <f t="shared" si="29"/>
        <v/>
      </c>
      <c r="BM36" s="10"/>
      <c r="BN36" s="10" t="str">
        <f t="shared" si="30"/>
        <v/>
      </c>
      <c r="BO36" s="10" t="str">
        <f t="shared" si="31"/>
        <v/>
      </c>
      <c r="BQ36" s="10">
        <f t="shared" si="32"/>
        <v>4554218260.8222504</v>
      </c>
      <c r="BR36" s="10">
        <f t="shared" si="33"/>
        <v>2376812357.7056637</v>
      </c>
    </row>
    <row r="37" spans="3:70" x14ac:dyDescent="0.15">
      <c r="I37" s="38">
        <f t="shared" si="34"/>
        <v>2052</v>
      </c>
      <c r="J37" s="39"/>
      <c r="K37" s="39">
        <f t="shared" si="35"/>
        <v>23</v>
      </c>
      <c r="L37" s="39"/>
      <c r="M37" s="40">
        <f t="shared" si="0"/>
        <v>0.50669174842969467</v>
      </c>
      <c r="N37" s="39"/>
      <c r="O37" s="72">
        <f t="shared" si="36"/>
        <v>1.9073486328125E-6</v>
      </c>
      <c r="P37" s="41" t="str">
        <f t="shared" si="1"/>
        <v>-</v>
      </c>
      <c r="Q37" s="39"/>
      <c r="R37" s="72">
        <f t="shared" si="37"/>
        <v>9197708500.2688332</v>
      </c>
      <c r="S37" s="39"/>
      <c r="T37" s="72">
        <f t="shared" si="2"/>
        <v>9197708000</v>
      </c>
      <c r="U37" s="39"/>
      <c r="V37" s="72">
        <f t="shared" si="3"/>
        <v>0</v>
      </c>
      <c r="W37" s="72">
        <f t="shared" si="4"/>
        <v>0</v>
      </c>
      <c r="X37" s="39"/>
      <c r="Y37" s="72">
        <f t="shared" si="5"/>
        <v>128767900</v>
      </c>
      <c r="Z37" s="72">
        <f t="shared" si="6"/>
        <v>65245632.392620079</v>
      </c>
      <c r="AA37" s="39"/>
      <c r="AB37" s="72">
        <f t="shared" si="7"/>
        <v>0</v>
      </c>
      <c r="AC37" s="72">
        <f t="shared" si="8"/>
        <v>0</v>
      </c>
      <c r="AD37" s="39"/>
      <c r="AE37" s="72">
        <f t="shared" si="9"/>
        <v>0</v>
      </c>
      <c r="AF37" s="72">
        <f t="shared" si="10"/>
        <v>0</v>
      </c>
      <c r="AG37" s="39"/>
      <c r="AH37" s="72">
        <f t="shared" si="11"/>
        <v>620000000</v>
      </c>
      <c r="AI37" s="72">
        <f t="shared" si="12"/>
        <v>314148884.0264107</v>
      </c>
      <c r="AJ37" s="39"/>
      <c r="AK37" s="72">
        <f t="shared" si="13"/>
        <v>4414900080.1290398</v>
      </c>
      <c r="AL37" s="72">
        <f t="shared" si="14"/>
        <v>2236993440.7429824</v>
      </c>
      <c r="AM37" s="39"/>
      <c r="AN37" s="72">
        <f t="shared" si="15"/>
        <v>2023495870.0591433</v>
      </c>
      <c r="AO37" s="72">
        <f t="shared" si="16"/>
        <v>1025288660.3405336</v>
      </c>
      <c r="AP37" s="39"/>
      <c r="AQ37" s="72">
        <f t="shared" si="17"/>
        <v>847007514.02258193</v>
      </c>
      <c r="AR37" s="72">
        <f t="shared" si="18"/>
        <v>429171718.21319115</v>
      </c>
      <c r="AS37" s="39"/>
      <c r="AT37" s="40">
        <f>IF($K37&lt;=$F$15,IF($F$40&lt;&gt;"",$F$40/1000,IF(ISERROR(VLOOKUP($F$3&amp;IF($G$4&lt;&gt;"",$G$4,"")&amp;IF($F$43&lt;&gt;"","_"&amp;$F$43,""),'表3）燃料価格'!$AF$9:$AG$25,2,0)),0,VLOOKUP($I37,'表3）燃料価格'!$A$6:$AD$56,VLOOKUP($F$3&amp;IF($G$4&lt;&gt;"",$G$4,"")&amp;IF($F$43&lt;&gt;"","_"&amp;$F$43,""),'表3）燃料価格'!$AF$9:$AG$25,2,0)+VLOOKUP($F$41,'表3）燃料価格'!$AF$28:$AG$29,2,0),0)*IF($F$43="需要地価格",1,$F$8/$F$141))),"")</f>
        <v>47.228779419399288</v>
      </c>
      <c r="AU37" s="39"/>
      <c r="AV37" s="72">
        <f t="shared" si="19"/>
        <v>30107957751.154774</v>
      </c>
      <c r="AW37" s="72">
        <f t="shared" si="20"/>
        <v>15255453754.57999</v>
      </c>
      <c r="AX37" s="39"/>
      <c r="AY37" s="40">
        <f>IF(ISERROR(IF($K37&lt;=$F$15,VLOOKUP($I37,'表4）CO2価格'!$A$7:$E$67,VLOOKUP($F$48,'表4）CO2価格'!$H$10:$I$12,2,0),0)*$F$8/1000,"")),0,IF($K37&lt;=$F$15,VLOOKUP($I37,'表4）CO2価格'!$A$7:$E$67,VLOOKUP($F$48,'表4）CO2価格'!$H$10:$I$12,2,0),0)*$F$8/1000,""))</f>
        <v>7.1500080975609199</v>
      </c>
      <c r="AZ37" s="39"/>
      <c r="BA37" s="42">
        <f t="shared" si="21"/>
        <v>11970247832.601576</v>
      </c>
      <c r="BB37" s="72">
        <f t="shared" si="22"/>
        <v>6065225803.4376554</v>
      </c>
      <c r="BC37" s="39"/>
      <c r="BD37" s="72">
        <f t="shared" si="23"/>
        <v>0</v>
      </c>
      <c r="BE37" s="72">
        <f t="shared" si="24"/>
        <v>0</v>
      </c>
      <c r="BF37" s="39"/>
      <c r="BG37" s="42">
        <f t="shared" si="25"/>
        <v>0</v>
      </c>
      <c r="BH37" s="72">
        <f t="shared" si="26"/>
        <v>0</v>
      </c>
      <c r="BI37" s="39"/>
      <c r="BJ37" s="40" t="str">
        <f t="shared" si="27"/>
        <v/>
      </c>
      <c r="BK37" s="157" t="str">
        <f t="shared" si="28"/>
        <v/>
      </c>
      <c r="BL37" s="157" t="str">
        <f t="shared" si="29"/>
        <v/>
      </c>
      <c r="BM37" s="72"/>
      <c r="BN37" s="72" t="str">
        <f t="shared" si="30"/>
        <v/>
      </c>
      <c r="BO37" s="72" t="str">
        <f t="shared" si="31"/>
        <v/>
      </c>
      <c r="BP37" s="39"/>
      <c r="BQ37" s="72">
        <f t="shared" si="32"/>
        <v>4554218260.8222504</v>
      </c>
      <c r="BR37" s="72">
        <f t="shared" si="33"/>
        <v>2307584813.3064694</v>
      </c>
    </row>
    <row r="38" spans="3:70" x14ac:dyDescent="0.15">
      <c r="C38" s="4" t="s">
        <v>570</v>
      </c>
      <c r="D38" s="100"/>
      <c r="E38" s="100"/>
      <c r="F38" s="4"/>
      <c r="G38" s="100"/>
      <c r="I38" s="322">
        <f t="shared" si="34"/>
        <v>2053</v>
      </c>
      <c r="K38" s="71">
        <f t="shared" si="35"/>
        <v>24</v>
      </c>
      <c r="M38" s="7">
        <f t="shared" si="0"/>
        <v>0.49193373633950943</v>
      </c>
      <c r="O38" s="10">
        <f t="shared" si="36"/>
        <v>1.9073486328125E-6</v>
      </c>
      <c r="P38" s="29" t="str">
        <f t="shared" si="1"/>
        <v>-</v>
      </c>
      <c r="R38" s="10">
        <f t="shared" si="37"/>
        <v>9197708500.2688332</v>
      </c>
      <c r="T38" s="10">
        <f t="shared" si="2"/>
        <v>9197708000</v>
      </c>
      <c r="V38" s="10">
        <f t="shared" si="3"/>
        <v>0</v>
      </c>
      <c r="W38" s="10">
        <f t="shared" si="4"/>
        <v>0</v>
      </c>
      <c r="Y38" s="10">
        <f t="shared" si="5"/>
        <v>128767900</v>
      </c>
      <c r="Z38" s="10">
        <f t="shared" si="6"/>
        <v>63345274.167592317</v>
      </c>
      <c r="AB38" s="10">
        <f t="shared" si="7"/>
        <v>0</v>
      </c>
      <c r="AC38" s="10">
        <f t="shared" si="8"/>
        <v>0</v>
      </c>
      <c r="AE38" s="10">
        <f t="shared" si="9"/>
        <v>0</v>
      </c>
      <c r="AF38" s="10">
        <f t="shared" si="10"/>
        <v>0</v>
      </c>
      <c r="AH38" s="10">
        <f t="shared" si="11"/>
        <v>620000000</v>
      </c>
      <c r="AI38" s="10">
        <f t="shared" si="12"/>
        <v>304998916.53049582</v>
      </c>
      <c r="AK38" s="10">
        <f t="shared" si="13"/>
        <v>4414900080.1290398</v>
      </c>
      <c r="AL38" s="10">
        <f t="shared" si="14"/>
        <v>2171838291.9834781</v>
      </c>
      <c r="AN38" s="10">
        <f t="shared" si="15"/>
        <v>2023495870.0591433</v>
      </c>
      <c r="AO38" s="10">
        <f t="shared" si="16"/>
        <v>995425883.82576084</v>
      </c>
      <c r="AQ38" s="10">
        <f t="shared" si="17"/>
        <v>847007514.02258193</v>
      </c>
      <c r="AR38" s="10">
        <f t="shared" si="18"/>
        <v>416671571.08076817</v>
      </c>
      <c r="AT38" s="40">
        <f>IF($K38&lt;=$F$15,IF($F$40&lt;&gt;"",$F$40/1000,IF(ISERROR(VLOOKUP($F$3&amp;IF($G$4&lt;&gt;"",$G$4,"")&amp;IF($F$43&lt;&gt;"","_"&amp;$F$43,""),'表3）燃料価格'!$AF$9:$AG$25,2,0)),0,VLOOKUP($I38,'表3）燃料価格'!$A$6:$AD$56,VLOOKUP($F$3&amp;IF($G$4&lt;&gt;"",$G$4,"")&amp;IF($F$43&lt;&gt;"","_"&amp;$F$43,""),'表3）燃料価格'!$AF$9:$AG$25,2,0)+VLOOKUP($F$41,'表3）燃料価格'!$AF$28:$AG$29,2,0),0)*IF($F$43="需要地価格",1,$F$8/$F$141))),"")</f>
        <v>47.124440555958479</v>
      </c>
      <c r="AV38" s="10">
        <f t="shared" si="19"/>
        <v>30045165291.919575</v>
      </c>
      <c r="AW38" s="10">
        <f t="shared" si="20"/>
        <v>14780230420.992144</v>
      </c>
      <c r="AY38" s="40">
        <f>IF(ISERROR(IF($K38&lt;=$F$15,VLOOKUP($I38,'表4）CO2価格'!$A$7:$E$67,VLOOKUP($F$48,'表4）CO2価格'!$H$10:$I$12,2,0),0)*$F$8/1000,"")),0,IF($K38&lt;=$F$15,VLOOKUP($I38,'表4）CO2価格'!$A$7:$E$67,VLOOKUP($F$48,'表4）CO2価格'!$H$10:$I$12,2,0),0)*$F$8/1000,""))</f>
        <v>7.2814714966103056</v>
      </c>
      <c r="BA38" s="11">
        <f t="shared" si="21"/>
        <v>12190338417.963873</v>
      </c>
      <c r="BB38" s="10">
        <f t="shared" si="22"/>
        <v>5996838725.1920328</v>
      </c>
      <c r="BD38" s="10">
        <f t="shared" si="23"/>
        <v>0</v>
      </c>
      <c r="BE38" s="10">
        <f t="shared" si="24"/>
        <v>0</v>
      </c>
      <c r="BG38" s="11">
        <f t="shared" si="25"/>
        <v>0</v>
      </c>
      <c r="BH38" s="10">
        <f t="shared" si="26"/>
        <v>0</v>
      </c>
      <c r="BJ38" s="7" t="str">
        <f t="shared" si="27"/>
        <v/>
      </c>
      <c r="BK38" s="158" t="str">
        <f t="shared" si="28"/>
        <v/>
      </c>
      <c r="BL38" s="158" t="str">
        <f t="shared" si="29"/>
        <v/>
      </c>
      <c r="BM38" s="10"/>
      <c r="BN38" s="10" t="str">
        <f t="shared" si="30"/>
        <v/>
      </c>
      <c r="BO38" s="10" t="str">
        <f t="shared" si="31"/>
        <v/>
      </c>
      <c r="BQ38" s="10">
        <f t="shared" si="32"/>
        <v>4554218260.8222504</v>
      </c>
      <c r="BR38" s="10">
        <f t="shared" si="33"/>
        <v>2240373605.1519122</v>
      </c>
    </row>
    <row r="39" spans="3:70" x14ac:dyDescent="0.15">
      <c r="I39" s="38">
        <f t="shared" si="34"/>
        <v>2054</v>
      </c>
      <c r="J39" s="39"/>
      <c r="K39" s="39">
        <f t="shared" si="35"/>
        <v>25</v>
      </c>
      <c r="L39" s="39"/>
      <c r="M39" s="40">
        <f t="shared" si="0"/>
        <v>0.47760556926165965</v>
      </c>
      <c r="N39" s="39"/>
      <c r="O39" s="72">
        <f t="shared" si="36"/>
        <v>1.9073486328125E-6</v>
      </c>
      <c r="P39" s="41" t="str">
        <f t="shared" si="1"/>
        <v>-</v>
      </c>
      <c r="Q39" s="39"/>
      <c r="R39" s="72">
        <f t="shared" si="37"/>
        <v>9197708500.2688332</v>
      </c>
      <c r="S39" s="39"/>
      <c r="T39" s="72">
        <f t="shared" si="2"/>
        <v>9197708000</v>
      </c>
      <c r="U39" s="39"/>
      <c r="V39" s="72">
        <f t="shared" si="3"/>
        <v>0</v>
      </c>
      <c r="W39" s="72">
        <f t="shared" si="4"/>
        <v>0</v>
      </c>
      <c r="X39" s="39"/>
      <c r="Y39" s="72">
        <f t="shared" si="5"/>
        <v>128767900</v>
      </c>
      <c r="Z39" s="72">
        <f t="shared" si="6"/>
        <v>61500266.182128467</v>
      </c>
      <c r="AA39" s="39"/>
      <c r="AB39" s="72">
        <f t="shared" si="7"/>
        <v>0</v>
      </c>
      <c r="AC39" s="72">
        <f t="shared" si="8"/>
        <v>0</v>
      </c>
      <c r="AD39" s="39"/>
      <c r="AE39" s="72">
        <f t="shared" si="9"/>
        <v>0</v>
      </c>
      <c r="AF39" s="72">
        <f t="shared" si="10"/>
        <v>0</v>
      </c>
      <c r="AG39" s="39"/>
      <c r="AH39" s="72">
        <f t="shared" si="11"/>
        <v>620000000</v>
      </c>
      <c r="AI39" s="72">
        <f t="shared" si="12"/>
        <v>296115452.94222897</v>
      </c>
      <c r="AJ39" s="39"/>
      <c r="AK39" s="72">
        <f t="shared" si="13"/>
        <v>4414900080.1290398</v>
      </c>
      <c r="AL39" s="72">
        <f t="shared" si="14"/>
        <v>2108580866.0033767</v>
      </c>
      <c r="AM39" s="39"/>
      <c r="AN39" s="72">
        <f t="shared" si="15"/>
        <v>2023495870.0591433</v>
      </c>
      <c r="AO39" s="72">
        <f t="shared" si="16"/>
        <v>966432896.91821444</v>
      </c>
      <c r="AP39" s="39"/>
      <c r="AQ39" s="72">
        <f t="shared" si="17"/>
        <v>847007514.02258193</v>
      </c>
      <c r="AR39" s="72">
        <f t="shared" si="18"/>
        <v>404535505.90365839</v>
      </c>
      <c r="AS39" s="39"/>
      <c r="AT39" s="40">
        <f>IF($K39&lt;=$F$15,IF($F$40&lt;&gt;"",$F$40/1000,IF(ISERROR(VLOOKUP($F$3&amp;IF($G$4&lt;&gt;"",$G$4,"")&amp;IF($F$43&lt;&gt;"","_"&amp;$F$43,""),'表3）燃料価格'!$AF$9:$AG$25,2,0)),0,VLOOKUP($I39,'表3）燃料価格'!$A$6:$AD$56,VLOOKUP($F$3&amp;IF($G$4&lt;&gt;"",$G$4,"")&amp;IF($F$43&lt;&gt;"","_"&amp;$F$43,""),'表3）燃料価格'!$AF$9:$AG$25,2,0)+VLOOKUP($F$41,'表3）燃料価格'!$AF$28:$AG$29,2,0),0)*IF($F$43="需要地価格",1,$F$8/$F$141))),"")</f>
        <v>47.022743468601469</v>
      </c>
      <c r="AU39" s="39"/>
      <c r="AV39" s="72">
        <f t="shared" si="19"/>
        <v>29983962687.236935</v>
      </c>
      <c r="AW39" s="72">
        <f t="shared" si="20"/>
        <v>14320507567.958158</v>
      </c>
      <c r="AX39" s="39"/>
      <c r="AY39" s="40">
        <f>IF(ISERROR(IF($K39&lt;=$F$15,VLOOKUP($I39,'表4）CO2価格'!$A$7:$E$67,VLOOKUP($F$48,'表4）CO2価格'!$H$10:$I$12,2,0),0)*$F$8/1000,"")),0,IF($K39&lt;=$F$15,VLOOKUP($I39,'表4）CO2価格'!$A$7:$E$67,VLOOKUP($F$48,'表4）CO2価格'!$H$10:$I$12,2,0),0)*$F$8/1000,""))</f>
        <v>7.4128708764708131</v>
      </c>
      <c r="AZ39" s="39"/>
      <c r="BA39" s="42">
        <f t="shared" si="21"/>
        <v>12410321825.047983</v>
      </c>
      <c r="BB39" s="72">
        <f t="shared" si="22"/>
        <v>5927238819.9724407</v>
      </c>
      <c r="BC39" s="39"/>
      <c r="BD39" s="72">
        <f t="shared" si="23"/>
        <v>0</v>
      </c>
      <c r="BE39" s="72">
        <f t="shared" si="24"/>
        <v>0</v>
      </c>
      <c r="BF39" s="39"/>
      <c r="BG39" s="42">
        <f t="shared" si="25"/>
        <v>0</v>
      </c>
      <c r="BH39" s="72">
        <f t="shared" si="26"/>
        <v>0</v>
      </c>
      <c r="BI39" s="39"/>
      <c r="BJ39" s="40" t="str">
        <f t="shared" si="27"/>
        <v/>
      </c>
      <c r="BK39" s="157" t="str">
        <f t="shared" si="28"/>
        <v/>
      </c>
      <c r="BL39" s="157" t="str">
        <f t="shared" si="29"/>
        <v/>
      </c>
      <c r="BM39" s="72"/>
      <c r="BN39" s="72" t="str">
        <f t="shared" si="30"/>
        <v/>
      </c>
      <c r="BO39" s="72" t="str">
        <f t="shared" si="31"/>
        <v/>
      </c>
      <c r="BP39" s="39"/>
      <c r="BQ39" s="72">
        <f t="shared" si="32"/>
        <v>4554218260.8222504</v>
      </c>
      <c r="BR39" s="72">
        <f t="shared" si="33"/>
        <v>2175120005.0018563</v>
      </c>
    </row>
    <row r="40" spans="3:70" x14ac:dyDescent="0.15">
      <c r="D40" s="84" t="s">
        <v>124</v>
      </c>
      <c r="F40" s="482"/>
      <c r="G40" s="160" t="s">
        <v>571</v>
      </c>
      <c r="I40" s="322">
        <f t="shared" si="34"/>
        <v>2055</v>
      </c>
      <c r="K40" s="71">
        <f t="shared" si="35"/>
        <v>26</v>
      </c>
      <c r="M40" s="7">
        <f t="shared" si="0"/>
        <v>0.46369472743850448</v>
      </c>
      <c r="O40" s="10">
        <f t="shared" si="36"/>
        <v>1.9073486328125E-6</v>
      </c>
      <c r="P40" s="29" t="str">
        <f t="shared" si="1"/>
        <v>-</v>
      </c>
      <c r="R40" s="10">
        <f t="shared" si="37"/>
        <v>9197708500.2688332</v>
      </c>
      <c r="T40" s="10">
        <f t="shared" si="2"/>
        <v>9197708000</v>
      </c>
      <c r="V40" s="10">
        <f t="shared" si="3"/>
        <v>0</v>
      </c>
      <c r="W40" s="10">
        <f t="shared" si="4"/>
        <v>0</v>
      </c>
      <c r="Y40" s="10">
        <f t="shared" si="5"/>
        <v>128767900</v>
      </c>
      <c r="Z40" s="10">
        <f t="shared" si="6"/>
        <v>59708996.293328598</v>
      </c>
      <c r="AB40" s="10">
        <f t="shared" si="7"/>
        <v>0</v>
      </c>
      <c r="AC40" s="10">
        <f t="shared" si="8"/>
        <v>0</v>
      </c>
      <c r="AE40" s="10">
        <f t="shared" si="9"/>
        <v>0</v>
      </c>
      <c r="AF40" s="10">
        <f t="shared" si="10"/>
        <v>0</v>
      </c>
      <c r="AH40" s="10">
        <f t="shared" si="11"/>
        <v>620000000</v>
      </c>
      <c r="AI40" s="10">
        <f t="shared" si="12"/>
        <v>287490731.01187277</v>
      </c>
      <c r="AK40" s="10">
        <f t="shared" si="13"/>
        <v>4414900080.1290398</v>
      </c>
      <c r="AL40" s="10">
        <f t="shared" si="14"/>
        <v>2047165889.3236668</v>
      </c>
      <c r="AN40" s="10">
        <f t="shared" si="15"/>
        <v>2023495870.0591433</v>
      </c>
      <c r="AO40" s="10">
        <f t="shared" si="16"/>
        <v>938284365.94001389</v>
      </c>
      <c r="AQ40" s="10">
        <f t="shared" si="17"/>
        <v>847007514.02258193</v>
      </c>
      <c r="AR40" s="10">
        <f t="shared" si="18"/>
        <v>392752918.35306638</v>
      </c>
      <c r="AT40" s="40">
        <f>IF($K40&lt;=$F$15,IF($F$40&lt;&gt;"",$F$40/1000,IF(ISERROR(VLOOKUP($F$3&amp;IF($G$4&lt;&gt;"",$G$4,"")&amp;IF($F$43&lt;&gt;"","_"&amp;$F$43,""),'表3）燃料価格'!$AF$9:$AG$25,2,0)),0,VLOOKUP($I40,'表3）燃料価格'!$A$6:$AD$56,VLOOKUP($F$3&amp;IF($G$4&lt;&gt;"",$G$4,"")&amp;IF($F$43&lt;&gt;"","_"&amp;$F$43,""),'表3）燃料価格'!$AF$9:$AG$25,2,0)+VLOOKUP($F$41,'表3）燃料価格'!$AF$28:$AG$29,2,0),0)*IF($F$43="需要地価格",1,$F$8/$F$141))),"")</f>
        <v>46.923557678850855</v>
      </c>
      <c r="AV40" s="10">
        <f t="shared" si="19"/>
        <v>29924271413.494438</v>
      </c>
      <c r="AW40" s="10">
        <f t="shared" si="20"/>
        <v>13875726876.876135</v>
      </c>
      <c r="AY40" s="40">
        <f>IF(ISERROR(IF($K40&lt;=$F$15,VLOOKUP($I40,'表4）CO2価格'!$A$7:$E$67,VLOOKUP($F$48,'表4）CO2価格'!$H$10:$I$12,2,0),0)*$F$8/1000,"")),0,IF($K40&lt;=$F$15,VLOOKUP($I40,'表4）CO2価格'!$A$7:$E$67,VLOOKUP($F$48,'表4）CO2価格'!$H$10:$I$12,2,0),0)*$F$8/1000,""))</f>
        <v>7.5442062994635668</v>
      </c>
      <c r="BA40" s="11">
        <f t="shared" si="21"/>
        <v>12630198158.189356</v>
      </c>
      <c r="BB40" s="10">
        <f t="shared" si="22"/>
        <v>5856556292.4559145</v>
      </c>
      <c r="BD40" s="10">
        <f t="shared" si="23"/>
        <v>0</v>
      </c>
      <c r="BE40" s="10">
        <f t="shared" si="24"/>
        <v>0</v>
      </c>
      <c r="BG40" s="11">
        <f t="shared" si="25"/>
        <v>0</v>
      </c>
      <c r="BH40" s="10">
        <f t="shared" si="26"/>
        <v>0</v>
      </c>
      <c r="BJ40" s="7" t="str">
        <f t="shared" si="27"/>
        <v/>
      </c>
      <c r="BK40" s="158" t="str">
        <f t="shared" si="28"/>
        <v/>
      </c>
      <c r="BL40" s="158" t="str">
        <f t="shared" si="29"/>
        <v/>
      </c>
      <c r="BM40" s="10"/>
      <c r="BN40" s="10" t="str">
        <f t="shared" si="30"/>
        <v/>
      </c>
      <c r="BO40" s="10" t="str">
        <f t="shared" si="31"/>
        <v/>
      </c>
      <c r="BQ40" s="10">
        <f t="shared" si="32"/>
        <v>4554218260.8222504</v>
      </c>
      <c r="BR40" s="10">
        <f t="shared" si="33"/>
        <v>2111766995.1474333</v>
      </c>
    </row>
    <row r="41" spans="3:70" x14ac:dyDescent="0.15">
      <c r="D41" s="84" t="s">
        <v>572</v>
      </c>
      <c r="F41" s="474" t="str">
        <f>まとめ!$B$4</f>
        <v>WEO2020　STEPS</v>
      </c>
      <c r="I41" s="38">
        <f t="shared" si="34"/>
        <v>2056</v>
      </c>
      <c r="J41" s="39"/>
      <c r="K41" s="39">
        <f t="shared" si="35"/>
        <v>27</v>
      </c>
      <c r="L41" s="39"/>
      <c r="M41" s="40">
        <f t="shared" si="0"/>
        <v>0.45018905576553836</v>
      </c>
      <c r="N41" s="39"/>
      <c r="O41" s="72">
        <f t="shared" si="36"/>
        <v>1.9073486328125E-6</v>
      </c>
      <c r="P41" s="41" t="str">
        <f t="shared" si="1"/>
        <v>-</v>
      </c>
      <c r="Q41" s="39"/>
      <c r="R41" s="72">
        <f t="shared" si="37"/>
        <v>9197708500.2688332</v>
      </c>
      <c r="S41" s="39"/>
      <c r="T41" s="72">
        <f t="shared" si="2"/>
        <v>9197708000</v>
      </c>
      <c r="U41" s="39"/>
      <c r="V41" s="72">
        <f t="shared" si="3"/>
        <v>0</v>
      </c>
      <c r="W41" s="72">
        <f t="shared" si="4"/>
        <v>0</v>
      </c>
      <c r="X41" s="39"/>
      <c r="Y41" s="72">
        <f t="shared" si="5"/>
        <v>128767900</v>
      </c>
      <c r="Z41" s="72">
        <f t="shared" si="6"/>
        <v>57969899.313911267</v>
      </c>
      <c r="AA41" s="39"/>
      <c r="AB41" s="72">
        <f t="shared" si="7"/>
        <v>0</v>
      </c>
      <c r="AC41" s="72">
        <f t="shared" si="8"/>
        <v>0</v>
      </c>
      <c r="AD41" s="39"/>
      <c r="AE41" s="72">
        <f t="shared" si="9"/>
        <v>0</v>
      </c>
      <c r="AF41" s="72">
        <f t="shared" si="10"/>
        <v>0</v>
      </c>
      <c r="AG41" s="39"/>
      <c r="AH41" s="72">
        <f t="shared" si="11"/>
        <v>620000000</v>
      </c>
      <c r="AI41" s="72">
        <f t="shared" si="12"/>
        <v>279117214.57463378</v>
      </c>
      <c r="AJ41" s="39"/>
      <c r="AK41" s="72">
        <f t="shared" si="13"/>
        <v>4414900080.1290398</v>
      </c>
      <c r="AL41" s="72">
        <f t="shared" si="14"/>
        <v>1987539698.3724921</v>
      </c>
      <c r="AM41" s="39"/>
      <c r="AN41" s="72">
        <f t="shared" si="15"/>
        <v>2023495870.0591433</v>
      </c>
      <c r="AO41" s="72">
        <f t="shared" si="16"/>
        <v>910955695.08739221</v>
      </c>
      <c r="AP41" s="39"/>
      <c r="AQ41" s="72">
        <f t="shared" si="17"/>
        <v>847007514.02258193</v>
      </c>
      <c r="AR41" s="72">
        <f t="shared" si="18"/>
        <v>381313512.96414214</v>
      </c>
      <c r="AS41" s="39"/>
      <c r="AT41" s="40">
        <f>IF($K41&lt;=$F$15,IF($F$40&lt;&gt;"",$F$40/1000,IF(ISERROR(VLOOKUP($F$3&amp;IF($G$4&lt;&gt;"",$G$4,"")&amp;IF($F$43&lt;&gt;"","_"&amp;$F$43,""),'表3）燃料価格'!$AF$9:$AG$25,2,0)),0,VLOOKUP($I41,'表3）燃料価格'!$A$6:$AD$56,VLOOKUP($F$3&amp;IF($G$4&lt;&gt;"",$G$4,"")&amp;IF($F$43&lt;&gt;"","_"&amp;$F$43,""),'表3）燃料価格'!$AF$9:$AG$25,2,0)+VLOOKUP($F$41,'表3）燃料価格'!$AF$28:$AG$29,2,0),0)*IF($F$43="需要地価格",1,$F$8/$F$141))),"")</f>
        <v>46.826762142304162</v>
      </c>
      <c r="AU41" s="39"/>
      <c r="AV41" s="72">
        <f t="shared" si="19"/>
        <v>29866018624.626316</v>
      </c>
      <c r="AW41" s="72">
        <f t="shared" si="20"/>
        <v>13445354724.096504</v>
      </c>
      <c r="AX41" s="39"/>
      <c r="AY41" s="40">
        <f>IF(ISERROR(IF($K41&lt;=$F$15,VLOOKUP($I41,'表4）CO2価格'!$A$7:$E$67,VLOOKUP($F$48,'表4）CO2価格'!$H$10:$I$12,2,0),0)*$F$8/1000,"")),0,IF($K41&lt;=$F$15,VLOOKUP($I41,'表4）CO2価格'!$A$7:$E$67,VLOOKUP($F$48,'表4）CO2価格'!$H$10:$I$12,2,0),0)*$F$8/1000,""))</f>
        <v>7.675477827818213</v>
      </c>
      <c r="AZ41" s="39"/>
      <c r="BA41" s="42">
        <f t="shared" si="21"/>
        <v>12849967521.570292</v>
      </c>
      <c r="BB41" s="72">
        <f t="shared" si="22"/>
        <v>5784914745.1535645</v>
      </c>
      <c r="BC41" s="39"/>
      <c r="BD41" s="72">
        <f t="shared" si="23"/>
        <v>0</v>
      </c>
      <c r="BE41" s="72">
        <f t="shared" si="24"/>
        <v>0</v>
      </c>
      <c r="BF41" s="39"/>
      <c r="BG41" s="42">
        <f t="shared" si="25"/>
        <v>0</v>
      </c>
      <c r="BH41" s="72">
        <f t="shared" si="26"/>
        <v>0</v>
      </c>
      <c r="BI41" s="39"/>
      <c r="BJ41" s="40" t="str">
        <f t="shared" si="27"/>
        <v/>
      </c>
      <c r="BK41" s="157" t="str">
        <f t="shared" si="28"/>
        <v/>
      </c>
      <c r="BL41" s="157" t="str">
        <f t="shared" si="29"/>
        <v/>
      </c>
      <c r="BM41" s="72"/>
      <c r="BN41" s="72" t="str">
        <f t="shared" si="30"/>
        <v/>
      </c>
      <c r="BO41" s="72" t="str">
        <f t="shared" si="31"/>
        <v/>
      </c>
      <c r="BP41" s="39"/>
      <c r="BQ41" s="72">
        <f t="shared" si="32"/>
        <v>4554218260.8222504</v>
      </c>
      <c r="BR41" s="72">
        <f t="shared" si="33"/>
        <v>2050259218.5897412</v>
      </c>
    </row>
    <row r="42" spans="3:70" x14ac:dyDescent="0.15">
      <c r="D42" s="84" t="s">
        <v>573</v>
      </c>
      <c r="F42" s="481">
        <f>'LNG火力（2030年）'!F42</f>
        <v>2800</v>
      </c>
      <c r="G42" s="84" t="s">
        <v>574</v>
      </c>
      <c r="I42" s="322">
        <f t="shared" si="34"/>
        <v>2057</v>
      </c>
      <c r="K42" s="71">
        <f t="shared" si="35"/>
        <v>28</v>
      </c>
      <c r="M42" s="7">
        <f t="shared" si="0"/>
        <v>0.4370767531704256</v>
      </c>
      <c r="O42" s="10">
        <f t="shared" si="36"/>
        <v>1.9073486328125E-6</v>
      </c>
      <c r="P42" s="29" t="str">
        <f t="shared" si="1"/>
        <v>-</v>
      </c>
      <c r="R42" s="10">
        <f t="shared" si="37"/>
        <v>9197708500.2688332</v>
      </c>
      <c r="T42" s="10">
        <f t="shared" si="2"/>
        <v>9197708000</v>
      </c>
      <c r="V42" s="10">
        <f t="shared" si="3"/>
        <v>0</v>
      </c>
      <c r="W42" s="10">
        <f t="shared" si="4"/>
        <v>0</v>
      </c>
      <c r="Y42" s="10">
        <f t="shared" si="5"/>
        <v>128767900</v>
      </c>
      <c r="Z42" s="10">
        <f t="shared" si="6"/>
        <v>56281455.644574046</v>
      </c>
      <c r="AB42" s="10">
        <f t="shared" si="7"/>
        <v>0</v>
      </c>
      <c r="AC42" s="10">
        <f t="shared" si="8"/>
        <v>0</v>
      </c>
      <c r="AE42" s="10">
        <f t="shared" si="9"/>
        <v>0</v>
      </c>
      <c r="AF42" s="10">
        <f t="shared" si="10"/>
        <v>0</v>
      </c>
      <c r="AH42" s="10">
        <f t="shared" si="11"/>
        <v>620000000</v>
      </c>
      <c r="AI42" s="10">
        <f t="shared" si="12"/>
        <v>270987586.96566385</v>
      </c>
      <c r="AK42" s="10">
        <f t="shared" si="13"/>
        <v>4414900080.1290398</v>
      </c>
      <c r="AL42" s="10">
        <f t="shared" si="14"/>
        <v>1929650192.5946524</v>
      </c>
      <c r="AN42" s="10">
        <f t="shared" si="15"/>
        <v>2023495870.0591433</v>
      </c>
      <c r="AO42" s="10">
        <f t="shared" si="16"/>
        <v>884423004.93921578</v>
      </c>
      <c r="AQ42" s="10">
        <f t="shared" si="17"/>
        <v>847007514.02258193</v>
      </c>
      <c r="AR42" s="10">
        <f t="shared" si="18"/>
        <v>370207294.13994384</v>
      </c>
      <c r="AT42" s="40">
        <f>IF($K42&lt;=$F$15,IF($F$40&lt;&gt;"",$F$40/1000,IF(ISERROR(VLOOKUP($F$3&amp;IF($G$4&lt;&gt;"",$G$4,"")&amp;IF($F$43&lt;&gt;"","_"&amp;$F$43,""),'表3）燃料価格'!$AF$9:$AG$25,2,0)),0,VLOOKUP($I42,'表3）燃料価格'!$A$6:$AD$56,VLOOKUP($F$3&amp;IF($G$4&lt;&gt;"",$G$4,"")&amp;IF($F$43&lt;&gt;"","_"&amp;$F$43,""),'表3）燃料価格'!$AF$9:$AG$25,2,0)+VLOOKUP($F$41,'表3）燃料価格'!$AF$28:$AG$29,2,0),0)*IF($F$43="需要地価格",1,$F$8/$F$141))),"")</f>
        <v>46.732244360505518</v>
      </c>
      <c r="AV42" s="10">
        <f t="shared" si="19"/>
        <v>29809136617.626499</v>
      </c>
      <c r="AW42" s="10">
        <f t="shared" si="20"/>
        <v>13028880647.645832</v>
      </c>
      <c r="AY42" s="40">
        <f>IF(ISERROR(IF($K42&lt;=$F$15,VLOOKUP($I42,'表4）CO2価格'!$A$7:$E$67,VLOOKUP($F$48,'表4）CO2価格'!$H$10:$I$12,2,0),0)*$F$8/1000,"")),0,IF($K42&lt;=$F$15,VLOOKUP($I42,'表4）CO2価格'!$A$7:$E$67,VLOOKUP($F$48,'表4）CO2価格'!$H$10:$I$12,2,0),0)*$F$8/1000,""))</f>
        <v>7.8066855236744779</v>
      </c>
      <c r="BA42" s="11">
        <f t="shared" si="21"/>
        <v>13069630019.222549</v>
      </c>
      <c r="BB42" s="10">
        <f t="shared" si="22"/>
        <v>5712431453.9405193</v>
      </c>
      <c r="BD42" s="10">
        <f t="shared" si="23"/>
        <v>0</v>
      </c>
      <c r="BE42" s="10">
        <f t="shared" si="24"/>
        <v>0</v>
      </c>
      <c r="BG42" s="11">
        <f t="shared" si="25"/>
        <v>0</v>
      </c>
      <c r="BH42" s="10">
        <f t="shared" si="26"/>
        <v>0</v>
      </c>
      <c r="BJ42" s="7" t="str">
        <f t="shared" si="27"/>
        <v/>
      </c>
      <c r="BK42" s="158" t="str">
        <f t="shared" si="28"/>
        <v/>
      </c>
      <c r="BL42" s="158" t="str">
        <f t="shared" si="29"/>
        <v/>
      </c>
      <c r="BM42" s="10"/>
      <c r="BN42" s="10" t="str">
        <f t="shared" si="30"/>
        <v/>
      </c>
      <c r="BO42" s="10" t="str">
        <f t="shared" si="31"/>
        <v/>
      </c>
      <c r="BQ42" s="10">
        <f t="shared" si="32"/>
        <v>4554218260.8222504</v>
      </c>
      <c r="BR42" s="10">
        <f t="shared" si="33"/>
        <v>1990542930.6696517</v>
      </c>
    </row>
    <row r="43" spans="3:70" x14ac:dyDescent="0.15">
      <c r="D43" s="160" t="s">
        <v>256</v>
      </c>
      <c r="F43" s="474"/>
      <c r="I43" s="38">
        <f t="shared" si="34"/>
        <v>2058</v>
      </c>
      <c r="J43" s="39"/>
      <c r="K43" s="39">
        <f t="shared" si="35"/>
        <v>29</v>
      </c>
      <c r="L43" s="39"/>
      <c r="M43" s="40">
        <f t="shared" si="0"/>
        <v>0.42434636230138412</v>
      </c>
      <c r="N43" s="39"/>
      <c r="O43" s="72">
        <f t="shared" si="36"/>
        <v>1.9073486328125E-6</v>
      </c>
      <c r="P43" s="41" t="str">
        <f t="shared" si="1"/>
        <v>-</v>
      </c>
      <c r="Q43" s="39"/>
      <c r="R43" s="72">
        <f t="shared" si="37"/>
        <v>9197708500.2688332</v>
      </c>
      <c r="S43" s="39"/>
      <c r="T43" s="72">
        <f t="shared" si="2"/>
        <v>9197708000</v>
      </c>
      <c r="U43" s="39"/>
      <c r="V43" s="72">
        <f t="shared" si="3"/>
        <v>0</v>
      </c>
      <c r="W43" s="72">
        <f t="shared" si="4"/>
        <v>0</v>
      </c>
      <c r="X43" s="39"/>
      <c r="Y43" s="72">
        <f t="shared" si="5"/>
        <v>128767900</v>
      </c>
      <c r="Z43" s="72">
        <f t="shared" si="6"/>
        <v>54642189.946188398</v>
      </c>
      <c r="AA43" s="39"/>
      <c r="AB43" s="72">
        <f t="shared" si="7"/>
        <v>0</v>
      </c>
      <c r="AC43" s="72">
        <f t="shared" si="8"/>
        <v>0</v>
      </c>
      <c r="AD43" s="39"/>
      <c r="AE43" s="72">
        <f t="shared" si="9"/>
        <v>0</v>
      </c>
      <c r="AF43" s="72">
        <f t="shared" si="10"/>
        <v>0</v>
      </c>
      <c r="AG43" s="39"/>
      <c r="AH43" s="72">
        <f t="shared" si="11"/>
        <v>620000000</v>
      </c>
      <c r="AI43" s="72">
        <f t="shared" si="12"/>
        <v>263094744.62685814</v>
      </c>
      <c r="AJ43" s="39"/>
      <c r="AK43" s="72">
        <f t="shared" si="13"/>
        <v>4414900080.1290398</v>
      </c>
      <c r="AL43" s="72">
        <f t="shared" si="14"/>
        <v>1873446788.9268472</v>
      </c>
      <c r="AM43" s="39"/>
      <c r="AN43" s="72">
        <f t="shared" si="15"/>
        <v>2023495870.0591433</v>
      </c>
      <c r="AO43" s="72">
        <f t="shared" si="16"/>
        <v>858663111.59147167</v>
      </c>
      <c r="AP43" s="39"/>
      <c r="AQ43" s="72">
        <f t="shared" si="17"/>
        <v>847007514.02258193</v>
      </c>
      <c r="AR43" s="72">
        <f t="shared" si="18"/>
        <v>359424557.41742122</v>
      </c>
      <c r="AS43" s="39"/>
      <c r="AT43" s="40">
        <f>IF($K43&lt;=$F$15,IF($F$40&lt;&gt;"",$F$40/1000,IF(ISERROR(VLOOKUP($F$3&amp;IF($G$4&lt;&gt;"",$G$4,"")&amp;IF($F$43&lt;&gt;"","_"&amp;$F$43,""),'表3）燃料価格'!$AF$9:$AG$25,2,0)),0,VLOOKUP($I43,'表3）燃料価格'!$A$6:$AD$56,VLOOKUP($F$3&amp;IF($G$4&lt;&gt;"",$G$4,"")&amp;IF($F$43&lt;&gt;"","_"&amp;$F$43,""),'表3）燃料価格'!$AF$9:$AG$25,2,0)+VLOOKUP($F$41,'表3）燃料価格'!$AF$28:$AG$29,2,0),0)*IF($F$43="需要地価格",1,$F$8/$F$141))),"")</f>
        <v>46.6398995949301</v>
      </c>
      <c r="AU43" s="39"/>
      <c r="AV43" s="72">
        <f t="shared" si="19"/>
        <v>29753562359.514439</v>
      </c>
      <c r="AW43" s="72">
        <f t="shared" si="20"/>
        <v>12625815952.76734</v>
      </c>
      <c r="AX43" s="39"/>
      <c r="AY43" s="40">
        <f>IF(ISERROR(IF($K43&lt;=$F$15,VLOOKUP($I43,'表4）CO2価格'!$A$7:$E$67,VLOOKUP($F$48,'表4）CO2価格'!$H$10:$I$12,2,0),0)*$F$8/1000,"")),0,IF($K43&lt;=$F$15,VLOOKUP($I43,'表4）CO2価格'!$A$7:$E$67,VLOOKUP($F$48,'表4）CO2価格'!$H$10:$I$12,2,0),0)*$F$8/1000,""))</f>
        <v>7.9378294490802217</v>
      </c>
      <c r="AZ43" s="39"/>
      <c r="BA43" s="42">
        <f t="shared" si="21"/>
        <v>13289185755.024092</v>
      </c>
      <c r="BB43" s="72">
        <f t="shared" si="22"/>
        <v>5639217633.0918465</v>
      </c>
      <c r="BC43" s="39"/>
      <c r="BD43" s="72">
        <f t="shared" si="23"/>
        <v>0</v>
      </c>
      <c r="BE43" s="72">
        <f t="shared" si="24"/>
        <v>0</v>
      </c>
      <c r="BF43" s="39"/>
      <c r="BG43" s="42">
        <f t="shared" si="25"/>
        <v>0</v>
      </c>
      <c r="BH43" s="72">
        <f t="shared" si="26"/>
        <v>0</v>
      </c>
      <c r="BI43" s="39"/>
      <c r="BJ43" s="40" t="str">
        <f t="shared" si="27"/>
        <v/>
      </c>
      <c r="BK43" s="157" t="str">
        <f t="shared" si="28"/>
        <v/>
      </c>
      <c r="BL43" s="157" t="str">
        <f t="shared" si="29"/>
        <v/>
      </c>
      <c r="BM43" s="72"/>
      <c r="BN43" s="72" t="str">
        <f t="shared" si="30"/>
        <v/>
      </c>
      <c r="BO43" s="72" t="str">
        <f t="shared" si="31"/>
        <v/>
      </c>
      <c r="BP43" s="39"/>
      <c r="BQ43" s="72">
        <f t="shared" si="32"/>
        <v>4554218260.8222504</v>
      </c>
      <c r="BR43" s="72">
        <f t="shared" si="33"/>
        <v>1932565952.1064582</v>
      </c>
    </row>
    <row r="44" spans="3:70" x14ac:dyDescent="0.15">
      <c r="I44" s="322">
        <f t="shared" si="34"/>
        <v>2059</v>
      </c>
      <c r="K44" s="71">
        <f t="shared" si="35"/>
        <v>30</v>
      </c>
      <c r="M44" s="7">
        <f t="shared" si="0"/>
        <v>0.41198675951590691</v>
      </c>
      <c r="O44" s="10">
        <f t="shared" si="36"/>
        <v>1.9073486328125E-6</v>
      </c>
      <c r="P44" s="29" t="str">
        <f t="shared" si="1"/>
        <v>-</v>
      </c>
      <c r="R44" s="10">
        <f t="shared" si="37"/>
        <v>9197708500.2688332</v>
      </c>
      <c r="T44" s="10">
        <f t="shared" si="2"/>
        <v>9197708000</v>
      </c>
      <c r="V44" s="10">
        <f t="shared" si="3"/>
        <v>0</v>
      </c>
      <c r="W44" s="10">
        <f t="shared" si="4"/>
        <v>0</v>
      </c>
      <c r="Y44" s="10">
        <f t="shared" si="5"/>
        <v>128767900</v>
      </c>
      <c r="Z44" s="10">
        <f t="shared" si="6"/>
        <v>53050669.850668348</v>
      </c>
      <c r="AB44" s="10">
        <f t="shared" si="7"/>
        <v>0</v>
      </c>
      <c r="AC44" s="10">
        <f t="shared" si="8"/>
        <v>0</v>
      </c>
      <c r="AE44" s="10">
        <f t="shared" si="9"/>
        <v>0</v>
      </c>
      <c r="AF44" s="10">
        <f t="shared" si="10"/>
        <v>0</v>
      </c>
      <c r="AH44" s="10">
        <f t="shared" si="11"/>
        <v>620000000</v>
      </c>
      <c r="AI44" s="10">
        <f t="shared" si="12"/>
        <v>255431790.89986229</v>
      </c>
      <c r="AK44" s="10">
        <f t="shared" si="13"/>
        <v>4414900080.1290398</v>
      </c>
      <c r="AL44" s="10">
        <f t="shared" si="14"/>
        <v>1818880377.5988808</v>
      </c>
      <c r="AN44" s="10">
        <f t="shared" si="15"/>
        <v>2023495870.0591433</v>
      </c>
      <c r="AO44" s="10">
        <f t="shared" si="16"/>
        <v>833653506.39948714</v>
      </c>
      <c r="AQ44" s="10">
        <f t="shared" si="17"/>
        <v>847007514.02258193</v>
      </c>
      <c r="AR44" s="10">
        <f t="shared" si="18"/>
        <v>348955880.9877876</v>
      </c>
      <c r="AT44" s="40">
        <f>IF($K44&lt;=$F$15,IF($F$40&lt;&gt;"",$F$40/1000,IF(ISERROR(VLOOKUP($F$3&amp;IF($G$4&lt;&gt;"",$G$4,"")&amp;IF($F$43&lt;&gt;"","_"&amp;$F$43,""),'表3）燃料価格'!$AF$9:$AG$25,2,0)),0,VLOOKUP($I44,'表3）燃料価格'!$A$6:$AD$56,VLOOKUP($F$3&amp;IF($G$4&lt;&gt;"",$G$4,"")&amp;IF($F$43&lt;&gt;"","_"&amp;$F$43,""),'表3）燃料価格'!$AF$9:$AG$25,2,0)+VLOOKUP($F$41,'表3）燃料価格'!$AF$28:$AG$29,2,0),0)*IF($F$43="需要地価格",1,$F$8/$F$141))),"")</f>
        <v>46.549630169308166</v>
      </c>
      <c r="AV44" s="10">
        <f t="shared" si="19"/>
        <v>29699237067.464794</v>
      </c>
      <c r="AW44" s="10">
        <f t="shared" si="20"/>
        <v>12235692439.519526</v>
      </c>
      <c r="AY44" s="40">
        <f>IF(ISERROR(IF($K44&lt;=$F$15,VLOOKUP($I44,'表4）CO2価格'!$A$7:$E$67,VLOOKUP($F$48,'表4）CO2価格'!$H$10:$I$12,2,0),0)*$F$8/1000,"")),0,IF($K44&lt;=$F$15,VLOOKUP($I44,'表4）CO2価格'!$A$7:$E$67,VLOOKUP($F$48,'表4）CO2価格'!$H$10:$I$12,2,0),0)*$F$8/1000,""))</f>
        <v>8.0689096659945534</v>
      </c>
      <c r="BA44" s="11">
        <f t="shared" si="21"/>
        <v>13508634832.704294</v>
      </c>
      <c r="BB44" s="10">
        <f t="shared" si="22"/>
        <v>5565378690.209547</v>
      </c>
      <c r="BD44" s="10">
        <f t="shared" si="23"/>
        <v>0</v>
      </c>
      <c r="BE44" s="10">
        <f t="shared" si="24"/>
        <v>0</v>
      </c>
      <c r="BG44" s="11">
        <f t="shared" si="25"/>
        <v>0</v>
      </c>
      <c r="BH44" s="10">
        <f t="shared" si="26"/>
        <v>0</v>
      </c>
      <c r="BJ44" s="7" t="str">
        <f t="shared" si="27"/>
        <v/>
      </c>
      <c r="BK44" s="158" t="str">
        <f t="shared" si="28"/>
        <v/>
      </c>
      <c r="BL44" s="158" t="str">
        <f t="shared" si="29"/>
        <v/>
      </c>
      <c r="BM44" s="10"/>
      <c r="BN44" s="10" t="str">
        <f t="shared" si="30"/>
        <v/>
      </c>
      <c r="BO44" s="10" t="str">
        <f t="shared" si="31"/>
        <v/>
      </c>
      <c r="BQ44" s="10">
        <f t="shared" si="32"/>
        <v>4554218260.8222504</v>
      </c>
      <c r="BR44" s="10">
        <f t="shared" si="33"/>
        <v>1876277623.4043283</v>
      </c>
    </row>
    <row r="45" spans="3:70" x14ac:dyDescent="0.15">
      <c r="C45" s="4" t="s">
        <v>575</v>
      </c>
      <c r="D45" s="100"/>
      <c r="E45" s="100"/>
      <c r="F45" s="4"/>
      <c r="G45" s="100"/>
      <c r="I45" s="38">
        <f t="shared" si="34"/>
        <v>2060</v>
      </c>
      <c r="J45" s="39"/>
      <c r="K45" s="39">
        <f t="shared" si="35"/>
        <v>31</v>
      </c>
      <c r="L45" s="39"/>
      <c r="M45" s="40">
        <f t="shared" si="0"/>
        <v>0.39998714516107459</v>
      </c>
      <c r="N45" s="39"/>
      <c r="O45" s="72">
        <f t="shared" si="36"/>
        <v>1.9073486328125E-6</v>
      </c>
      <c r="P45" s="41" t="str">
        <f t="shared" si="1"/>
        <v>-</v>
      </c>
      <c r="Q45" s="39"/>
      <c r="R45" s="72">
        <f t="shared" si="37"/>
        <v>9197708500.2688332</v>
      </c>
      <c r="S45" s="39"/>
      <c r="T45" s="72">
        <f t="shared" si="2"/>
        <v>9197708000</v>
      </c>
      <c r="U45" s="39"/>
      <c r="V45" s="72">
        <f t="shared" si="3"/>
        <v>0</v>
      </c>
      <c r="W45" s="72">
        <f t="shared" si="4"/>
        <v>0</v>
      </c>
      <c r="X45" s="39"/>
      <c r="Y45" s="72">
        <f t="shared" si="5"/>
        <v>128767900</v>
      </c>
      <c r="Z45" s="72">
        <f t="shared" si="6"/>
        <v>51505504.709386736</v>
      </c>
      <c r="AA45" s="39"/>
      <c r="AB45" s="72">
        <f t="shared" si="7"/>
        <v>0</v>
      </c>
      <c r="AC45" s="72">
        <f t="shared" si="8"/>
        <v>0</v>
      </c>
      <c r="AD45" s="39"/>
      <c r="AE45" s="72">
        <f t="shared" si="9"/>
        <v>0</v>
      </c>
      <c r="AF45" s="72">
        <f t="shared" si="10"/>
        <v>0</v>
      </c>
      <c r="AG45" s="39"/>
      <c r="AH45" s="72">
        <f t="shared" si="11"/>
        <v>620000000</v>
      </c>
      <c r="AI45" s="72">
        <f t="shared" si="12"/>
        <v>247992029.99986625</v>
      </c>
      <c r="AJ45" s="39"/>
      <c r="AK45" s="72">
        <f t="shared" si="13"/>
        <v>4414900080.1290398</v>
      </c>
      <c r="AL45" s="72">
        <f t="shared" si="14"/>
        <v>1765903279.222214</v>
      </c>
      <c r="AM45" s="39"/>
      <c r="AN45" s="72">
        <f t="shared" si="15"/>
        <v>2023495870.0591433</v>
      </c>
      <c r="AO45" s="72">
        <f t="shared" si="16"/>
        <v>809372336.3101815</v>
      </c>
      <c r="AP45" s="39"/>
      <c r="AQ45" s="72">
        <f t="shared" si="17"/>
        <v>847007514.02258193</v>
      </c>
      <c r="AR45" s="72">
        <f t="shared" si="18"/>
        <v>338792117.46387142</v>
      </c>
      <c r="AS45" s="39"/>
      <c r="AT45" s="40">
        <f>IF($K45&lt;=$F$15,IF($F$40&lt;&gt;"",$F$40/1000,IF(ISERROR(VLOOKUP($F$3&amp;IF($G$4&lt;&gt;"",$G$4,"")&amp;IF($F$43&lt;&gt;"","_"&amp;$F$43,""),'表3）燃料価格'!$AF$9:$AG$25,2,0)),0,VLOOKUP($I45,'表3）燃料価格'!$A$6:$AD$56,VLOOKUP($F$3&amp;IF($G$4&lt;&gt;"",$G$4,"")&amp;IF($F$43&lt;&gt;"","_"&amp;$F$43,""),'表3）燃料価格'!$AF$9:$AG$25,2,0)+VLOOKUP($F$41,'表3）燃料価格'!$AF$28:$AG$29,2,0),0)*IF($F$43="需要地価格",1,$F$8/$F$141))),"")</f>
        <v>46.46134484863672</v>
      </c>
      <c r="AU45" s="39"/>
      <c r="AV45" s="72">
        <f t="shared" si="19"/>
        <v>29646105835.08873</v>
      </c>
      <c r="AW45" s="72">
        <f t="shared" si="20"/>
        <v>11858061238.120216</v>
      </c>
      <c r="AX45" s="39"/>
      <c r="AY45" s="40">
        <f>IF(ISERROR(IF($K45&lt;=$F$15,VLOOKUP($I45,'表4）CO2価格'!$A$7:$E$67,VLOOKUP($F$48,'表4）CO2価格'!$H$10:$I$12,2,0),0)*$F$8/1000,"")),0,IF($K45&lt;=$F$15,VLOOKUP($I45,'表4）CO2価格'!$A$7:$E$67,VLOOKUP($F$48,'表4）CO2価格'!$H$10:$I$12,2,0),0)*$F$8/1000,""))</f>
        <v>8.1999262362847141</v>
      </c>
      <c r="AZ45" s="39"/>
      <c r="BA45" s="42">
        <f t="shared" si="21"/>
        <v>13727977355.838734</v>
      </c>
      <c r="BB45" s="72">
        <f t="shared" si="22"/>
        <v>5491014471.3978128</v>
      </c>
      <c r="BC45" s="39"/>
      <c r="BD45" s="72">
        <f t="shared" si="23"/>
        <v>0</v>
      </c>
      <c r="BE45" s="72">
        <f t="shared" si="24"/>
        <v>0</v>
      </c>
      <c r="BF45" s="39"/>
      <c r="BG45" s="42">
        <f t="shared" si="25"/>
        <v>0</v>
      </c>
      <c r="BH45" s="72">
        <f t="shared" si="26"/>
        <v>0</v>
      </c>
      <c r="BI45" s="39"/>
      <c r="BJ45" s="40" t="str">
        <f t="shared" si="27"/>
        <v/>
      </c>
      <c r="BK45" s="157" t="str">
        <f t="shared" si="28"/>
        <v/>
      </c>
      <c r="BL45" s="157" t="str">
        <f t="shared" si="29"/>
        <v/>
      </c>
      <c r="BM45" s="72"/>
      <c r="BN45" s="72" t="str">
        <f t="shared" si="30"/>
        <v/>
      </c>
      <c r="BO45" s="72" t="str">
        <f t="shared" si="31"/>
        <v/>
      </c>
      <c r="BP45" s="39"/>
      <c r="BQ45" s="72">
        <f t="shared" si="32"/>
        <v>4554218260.8222504</v>
      </c>
      <c r="BR45" s="72">
        <f t="shared" si="33"/>
        <v>1821628760.5867262</v>
      </c>
    </row>
    <row r="46" spans="3:70" x14ac:dyDescent="0.15">
      <c r="I46" s="322">
        <f t="shared" si="34"/>
        <v>2061</v>
      </c>
      <c r="K46" s="71">
        <f t="shared" si="35"/>
        <v>32</v>
      </c>
      <c r="M46" s="7">
        <f t="shared" si="0"/>
        <v>0.38833703413696569</v>
      </c>
      <c r="O46" s="10">
        <f t="shared" si="36"/>
        <v>1.9073486328125E-6</v>
      </c>
      <c r="P46" s="29" t="str">
        <f t="shared" si="1"/>
        <v>-</v>
      </c>
      <c r="R46" s="10">
        <f t="shared" si="37"/>
        <v>9197708500.2688332</v>
      </c>
      <c r="T46" s="10">
        <f t="shared" si="2"/>
        <v>9197708000</v>
      </c>
      <c r="V46" s="10">
        <f t="shared" si="3"/>
        <v>0</v>
      </c>
      <c r="W46" s="10">
        <f t="shared" si="4"/>
        <v>0</v>
      </c>
      <c r="Y46" s="10">
        <f t="shared" si="5"/>
        <v>128767900</v>
      </c>
      <c r="Z46" s="10">
        <f t="shared" si="6"/>
        <v>50005344.37804538</v>
      </c>
      <c r="AB46" s="10">
        <f t="shared" si="7"/>
        <v>0</v>
      </c>
      <c r="AC46" s="10">
        <f t="shared" si="8"/>
        <v>0</v>
      </c>
      <c r="AE46" s="10">
        <f t="shared" si="9"/>
        <v>0</v>
      </c>
      <c r="AF46" s="10">
        <f t="shared" si="10"/>
        <v>0</v>
      </c>
      <c r="AH46" s="10">
        <f t="shared" si="11"/>
        <v>620000000</v>
      </c>
      <c r="AI46" s="10">
        <f t="shared" si="12"/>
        <v>240768961.16491872</v>
      </c>
      <c r="AK46" s="10">
        <f t="shared" si="13"/>
        <v>4414900080.1290398</v>
      </c>
      <c r="AL46" s="10">
        <f t="shared" si="14"/>
        <v>1714469203.1283634</v>
      </c>
      <c r="AN46" s="10">
        <f t="shared" si="15"/>
        <v>2023495870.0591433</v>
      </c>
      <c r="AO46" s="10">
        <f t="shared" si="16"/>
        <v>785798384.76716661</v>
      </c>
      <c r="AQ46" s="10">
        <f t="shared" si="17"/>
        <v>847007514.02258193</v>
      </c>
      <c r="AR46" s="10">
        <f t="shared" si="18"/>
        <v>328924385.88725382</v>
      </c>
      <c r="AT46" s="40">
        <f>IF($K46&lt;=$F$15,IF($F$40&lt;&gt;"",$F$40/1000,IF(ISERROR(VLOOKUP($F$3&amp;IF($G$4&lt;&gt;"",$G$4,"")&amp;IF($F$43&lt;&gt;"","_"&amp;$F$43,""),'表3）燃料価格'!$AF$9:$AG$25,2,0)),0,VLOOKUP($I46,'表3）燃料価格'!$A$6:$AD$56,VLOOKUP($F$3&amp;IF($G$4&lt;&gt;"",$G$4,"")&amp;IF($F$43&lt;&gt;"","_"&amp;$F$43,""),'表3）燃料価格'!$AF$9:$AG$25,2,0)+VLOOKUP($F$41,'表3）燃料価格'!$AF$28:$AG$29,2,0),0)*IF($F$43="需要地価格",1,$F$8/$F$141))),"")</f>
        <v>46.374958284980366</v>
      </c>
      <c r="AV46" s="10">
        <f t="shared" si="19"/>
        <v>29594117298.909801</v>
      </c>
      <c r="AW46" s="10">
        <f t="shared" si="20"/>
        <v>11492491739.760103</v>
      </c>
      <c r="AY46" s="40">
        <f>IF(ISERROR(IF($K46&lt;=$F$15,VLOOKUP($I46,'表4）CO2価格'!$A$7:$E$67,VLOOKUP($F$48,'表4）CO2価格'!$H$10:$I$12,2,0),0)*$F$8/1000,"")),0,IF($K46&lt;=$F$15,VLOOKUP($I46,'表4）CO2価格'!$A$7:$E$67,VLOOKUP($F$48,'表4）CO2価格'!$H$10:$I$12,2,0),0)*$F$8/1000,""))</f>
        <v>8.3308792217288072</v>
      </c>
      <c r="BA46" s="11">
        <f t="shared" si="21"/>
        <v>13947213427.853756</v>
      </c>
      <c r="BB46" s="10">
        <f t="shared" si="22"/>
        <v>5416219497.0479898</v>
      </c>
      <c r="BD46" s="10">
        <f t="shared" si="23"/>
        <v>0</v>
      </c>
      <c r="BE46" s="10">
        <f t="shared" si="24"/>
        <v>0</v>
      </c>
      <c r="BG46" s="11">
        <f t="shared" si="25"/>
        <v>0</v>
      </c>
      <c r="BH46" s="10">
        <f t="shared" si="26"/>
        <v>0</v>
      </c>
      <c r="BJ46" s="7" t="str">
        <f t="shared" si="27"/>
        <v/>
      </c>
      <c r="BK46" s="158" t="str">
        <f t="shared" si="28"/>
        <v/>
      </c>
      <c r="BL46" s="158" t="str">
        <f t="shared" si="29"/>
        <v/>
      </c>
      <c r="BM46" s="10"/>
      <c r="BN46" s="10" t="str">
        <f t="shared" si="30"/>
        <v/>
      </c>
      <c r="BO46" s="10" t="str">
        <f t="shared" si="31"/>
        <v/>
      </c>
      <c r="BQ46" s="10">
        <f t="shared" si="32"/>
        <v>4554218260.8222504</v>
      </c>
      <c r="BR46" s="10">
        <f t="shared" si="33"/>
        <v>1768571612.2201228</v>
      </c>
    </row>
    <row r="47" spans="3:70" x14ac:dyDescent="0.15">
      <c r="D47" s="84" t="s">
        <v>576</v>
      </c>
      <c r="F47" s="498">
        <f>'LNG火力（2030年）'!F47</f>
        <v>13.87</v>
      </c>
      <c r="G47" s="84" t="s">
        <v>577</v>
      </c>
      <c r="I47" s="38">
        <f t="shared" si="34"/>
        <v>2062</v>
      </c>
      <c r="J47" s="39"/>
      <c r="K47" s="39">
        <f t="shared" si="35"/>
        <v>33</v>
      </c>
      <c r="L47" s="39"/>
      <c r="M47" s="40">
        <f t="shared" ref="M47:M78" si="38">1/(1+($F$9/100))^K47</f>
        <v>0.37702624673491814</v>
      </c>
      <c r="N47" s="39"/>
      <c r="O47" s="72">
        <f t="shared" si="36"/>
        <v>1.9073486328125E-6</v>
      </c>
      <c r="P47" s="41" t="str">
        <f t="shared" ref="P47:P78" si="39">IF(K47&lt;=$F$15,IF(OR(P46=$F$124,P46="-"),"-",IF(O47*$F$123&gt;$F$127,$F$123,$F$124)),"")</f>
        <v>-</v>
      </c>
      <c r="Q47" s="39"/>
      <c r="R47" s="72">
        <f t="shared" si="37"/>
        <v>9197708500.2688332</v>
      </c>
      <c r="S47" s="39"/>
      <c r="T47" s="72">
        <f t="shared" ref="T47:T78" si="40">IF(ISNUMBER(R47),ROUNDDOWN(R47,-3),"")</f>
        <v>9197708000</v>
      </c>
      <c r="U47" s="39"/>
      <c r="V47" s="72">
        <f t="shared" ref="V47:V78" si="41">IF(K47&lt;=$F$15,IF(K47&lt;$F$119,IF(P47="-",V46,O47*P47),IF(K47=$F$119,MIN(IF(P47="-",V46,O47*P47),O47),0)),"")</f>
        <v>0</v>
      </c>
      <c r="W47" s="72">
        <f t="shared" ref="W47:W78" si="42">IF(ISNUMBER(V47),V47*$M47,"")</f>
        <v>0</v>
      </c>
      <c r="X47" s="39"/>
      <c r="Y47" s="72">
        <f t="shared" ref="Y47:Y78" si="43">IF($K47&lt;=$F$15,ROUNDDOWN(T47*$F$25/100,-2),"")</f>
        <v>128767900</v>
      </c>
      <c r="Z47" s="72">
        <f t="shared" ref="Z47:Z78" si="44">IF(ISNUMBER(Y47),Y47*$M47,"")</f>
        <v>48548878.036937267</v>
      </c>
      <c r="AA47" s="39"/>
      <c r="AB47" s="72">
        <f t="shared" ref="AB47:AB78" si="45">IF($K47&lt;=$F$15,0,IF(AND($K47&gt;$F$15,$K47&lt;=$F$15+$F$28),$F$27*10^8/$F$28,""))</f>
        <v>0</v>
      </c>
      <c r="AC47" s="72">
        <f t="shared" ref="AC47:AC78" si="46">IF(ISNUMBER(AB47),AB47*$M47,"")</f>
        <v>0</v>
      </c>
      <c r="AD47" s="39"/>
      <c r="AE47" s="72">
        <f t="shared" ref="AE47:AE78" si="47">IF($K47&lt;=$F$15,$F$26,"")</f>
        <v>0</v>
      </c>
      <c r="AF47" s="72">
        <f t="shared" ref="AF47:AF78" si="48">IF(ISNUMBER(AE47),AE47*$M47,"")</f>
        <v>0</v>
      </c>
      <c r="AG47" s="39"/>
      <c r="AH47" s="72">
        <f t="shared" ref="AH47:AH78" si="49">IF($K47&lt;=$F$15,$F$33*10^8,"")</f>
        <v>620000000</v>
      </c>
      <c r="AI47" s="72">
        <f t="shared" ref="AI47:AI78" si="50">IF(ISNUMBER(AH47),AH47*$M47,"")</f>
        <v>233756272.97564924</v>
      </c>
      <c r="AJ47" s="39"/>
      <c r="AK47" s="72">
        <f t="shared" ref="AK47:AK78" si="51">IF($K47&lt;=$F$15,$F$117*$F$34/100,"")</f>
        <v>4414900080.1290398</v>
      </c>
      <c r="AL47" s="72">
        <f t="shared" ref="AL47:AL78" si="52">IF(ISNUMBER(AK47),AK47*$M47,"")</f>
        <v>1664533206.9207411</v>
      </c>
      <c r="AM47" s="39"/>
      <c r="AN47" s="72">
        <f t="shared" ref="AN47:AN78" si="53">IF($K47&lt;=$F$15,$F$117*$F$35/100,"")</f>
        <v>2023495870.0591433</v>
      </c>
      <c r="AO47" s="72">
        <f t="shared" ref="AO47:AO78" si="54">IF(ISNUMBER(AN47),AN47*$M47,"")</f>
        <v>762911053.17200637</v>
      </c>
      <c r="AP47" s="39"/>
      <c r="AQ47" s="72">
        <f t="shared" ref="AQ47:AQ78" si="55">IF($K47&lt;=$F$15,SUM(AH47,AK47,AN47)*($F$36/100),"")</f>
        <v>847007514.02258193</v>
      </c>
      <c r="AR47" s="72">
        <f t="shared" ref="AR47:AR78" si="56">IF(ISNUMBER(AQ47),AQ47*$M47,"")</f>
        <v>319344063.9682076</v>
      </c>
      <c r="AS47" s="39"/>
      <c r="AT47" s="40">
        <f>IF($K47&lt;=$F$15,IF($F$40&lt;&gt;"",$F$40/1000,IF(ISERROR(VLOOKUP($F$3&amp;IF($G$4&lt;&gt;"",$G$4,"")&amp;IF($F$43&lt;&gt;"","_"&amp;$F$43,""),'表3）燃料価格'!$AF$9:$AG$25,2,0)),0,VLOOKUP($I47,'表3）燃料価格'!$A$6:$AD$56,VLOOKUP($F$3&amp;IF($G$4&lt;&gt;"",$G$4,"")&amp;IF($F$43&lt;&gt;"","_"&amp;$F$43,""),'表3）燃料価格'!$AF$9:$AG$25,2,0)+VLOOKUP($F$41,'表3）燃料価格'!$AF$28:$AG$29,2,0),0)*IF($F$43="需要地価格",1,$F$8/$F$141))),"")</f>
        <v>46.290390521622506</v>
      </c>
      <c r="AU47" s="39"/>
      <c r="AV47" s="72">
        <f t="shared" ref="AV47:AV78" si="57">IF($K47&lt;=$F$15,($AT47+$F$142)*$F$137,"")</f>
        <v>29543223339.955833</v>
      </c>
      <c r="AW47" s="72">
        <f t="shared" ref="AW47:AW78" si="58">IF(ISNUMBER(AV47),AV47*$M47,"")</f>
        <v>11138570612.31498</v>
      </c>
      <c r="AX47" s="39"/>
      <c r="AY47" s="40">
        <f>IF(ISERROR(IF($K47&lt;=$F$15,VLOOKUP($I47,'表4）CO2価格'!$A$7:$E$67,VLOOKUP($F$48,'表4）CO2価格'!$H$10:$I$12,2,0),0)*$F$8/1000,"")),0,IF($K47&lt;=$F$15,VLOOKUP($I47,'表4）CO2価格'!$A$7:$E$67,VLOOKUP($F$48,'表4）CO2価格'!$H$10:$I$12,2,0),0)*$F$8/1000,""))</f>
        <v>8.4617686840146202</v>
      </c>
      <c r="AZ47" s="39"/>
      <c r="BA47" s="42">
        <f t="shared" ref="BA47:BA78" si="59">IF($K47&lt;=$F$15,$F$145*AY47,"")</f>
        <v>14166343152.024504</v>
      </c>
      <c r="BB47" s="72">
        <f t="shared" ref="BB47:BB78" si="60">IF(ISNUMBER(BA47),BA47*$M47,"")</f>
        <v>5341083188.5667086</v>
      </c>
      <c r="BC47" s="39"/>
      <c r="BD47" s="72">
        <f t="shared" ref="BD47:BD78" si="61">IF($K47&lt;=$F$15,($AT47+$F$152)*$F$151,"")</f>
        <v>0</v>
      </c>
      <c r="BE47" s="72">
        <f t="shared" ref="BE47:BE78" si="62">IF(ISNUMBER(BD47),BD47*$M47,"")</f>
        <v>0</v>
      </c>
      <c r="BF47" s="39"/>
      <c r="BG47" s="42">
        <f t="shared" ref="BG47:BG78" si="63">IF($K47&lt;=$F$15,$F$153*AY47,"")</f>
        <v>0</v>
      </c>
      <c r="BH47" s="72">
        <f t="shared" ref="BH47:BH78" si="64">IF(ISNUMBER(BG47),BG47*$M47,"")</f>
        <v>0</v>
      </c>
      <c r="BI47" s="39"/>
      <c r="BJ47" s="40" t="str">
        <f t="shared" ref="BJ47:BJ78" si="65">IF(ISNUMBER($F$16),IF($K47&lt;=$F$16+$F$28,1/(1+($F$17/100))^K47,""),"")</f>
        <v/>
      </c>
      <c r="BK47" s="157" t="str">
        <f t="shared" ref="BK47:BK78" si="66">IF(ISNUMBER($F$16),IF($K47&lt;=$F$16+$F$28,IF($K47&lt;=$F$16,SUM(Y47,AB47,AE47,AH47,AK47,AN47,AQ47,AV47,BA47,BD47,BG47),$F$27/$F$28*10^8)*BJ47,""),"")</f>
        <v/>
      </c>
      <c r="BL47" s="157" t="str">
        <f t="shared" ref="BL47:BL78" si="67">IF(AND(ISNUMBER(BJ47),$K47&lt;=$F$16),BQ47*BJ47,"")</f>
        <v/>
      </c>
      <c r="BM47" s="72"/>
      <c r="BN47" s="72" t="str">
        <f t="shared" ref="BN47:BN78" si="68">IF(AND(ISNUMBER($F$16),$K47&lt;=$F$16),BQ47*($O$15+$BK$116)/$BL$116,"")</f>
        <v/>
      </c>
      <c r="BO47" s="72" t="str">
        <f t="shared" ref="BO47:BO78" si="69">IF(ISNUMBER(BN47),BN47*$M47,"")</f>
        <v/>
      </c>
      <c r="BP47" s="39"/>
      <c r="BQ47" s="72">
        <f t="shared" ref="BQ47:BQ78" si="70">IF($K47&lt;=$F$15,$F$134,"")</f>
        <v>4554218260.8222504</v>
      </c>
      <c r="BR47" s="72">
        <f t="shared" ref="BR47:BR78" si="71">IF(ISNUMBER(BQ47),BQ47*$M47,"")</f>
        <v>1717059817.6894395</v>
      </c>
    </row>
    <row r="48" spans="3:70" x14ac:dyDescent="0.15">
      <c r="D48" s="84" t="s">
        <v>578</v>
      </c>
      <c r="F48" s="474" t="str">
        <f>まとめ!$B$5</f>
        <v>WEO2020　STEPS</v>
      </c>
      <c r="I48" s="322">
        <f t="shared" ref="I48:I79" si="72">I47+1</f>
        <v>2063</v>
      </c>
      <c r="K48" s="71">
        <f t="shared" ref="K48:K79" si="73">IF(I48&lt;&gt;"",K47+1,"")</f>
        <v>34</v>
      </c>
      <c r="M48" s="7">
        <f t="shared" si="38"/>
        <v>0.36604489974263904</v>
      </c>
      <c r="O48" s="10">
        <f t="shared" ref="O48:O79" si="74">IF(K48&lt;=$F$15,O47-V47,"")</f>
        <v>1.9073486328125E-6</v>
      </c>
      <c r="P48" s="29" t="str">
        <f t="shared" si="39"/>
        <v>-</v>
      </c>
      <c r="R48" s="10">
        <f t="shared" ref="R48:R79" si="75">IF($K48&lt;=$F$15,MAX($F$117*5%,R47*$F$129),"")</f>
        <v>9197708500.2688332</v>
      </c>
      <c r="T48" s="10">
        <f t="shared" si="40"/>
        <v>9197708000</v>
      </c>
      <c r="V48" s="10">
        <f t="shared" si="41"/>
        <v>0</v>
      </c>
      <c r="W48" s="10">
        <f t="shared" si="42"/>
        <v>0</v>
      </c>
      <c r="Y48" s="10">
        <f t="shared" si="43"/>
        <v>128767900</v>
      </c>
      <c r="Z48" s="10">
        <f t="shared" si="44"/>
        <v>47134833.045570172</v>
      </c>
      <c r="AB48" s="10">
        <f t="shared" si="45"/>
        <v>0</v>
      </c>
      <c r="AC48" s="10">
        <f t="shared" si="46"/>
        <v>0</v>
      </c>
      <c r="AE48" s="10">
        <f t="shared" si="47"/>
        <v>0</v>
      </c>
      <c r="AF48" s="10">
        <f t="shared" si="48"/>
        <v>0</v>
      </c>
      <c r="AH48" s="10">
        <f t="shared" si="49"/>
        <v>620000000</v>
      </c>
      <c r="AI48" s="10">
        <f t="shared" si="50"/>
        <v>226947837.84043619</v>
      </c>
      <c r="AK48" s="10">
        <f t="shared" si="51"/>
        <v>4414900080.1290398</v>
      </c>
      <c r="AL48" s="10">
        <f t="shared" si="52"/>
        <v>1616051657.2046034</v>
      </c>
      <c r="AN48" s="10">
        <f t="shared" si="53"/>
        <v>2023495870.0591433</v>
      </c>
      <c r="AO48" s="10">
        <f t="shared" si="54"/>
        <v>740690342.88544321</v>
      </c>
      <c r="AQ48" s="10">
        <f t="shared" si="55"/>
        <v>847007514.02258193</v>
      </c>
      <c r="AR48" s="10">
        <f t="shared" si="56"/>
        <v>310042780.55165792</v>
      </c>
      <c r="AT48" s="40">
        <f>IF($K48&lt;=$F$15,IF($F$40&lt;&gt;"",$F$40/1000,IF(ISERROR(VLOOKUP($F$3&amp;IF($G$4&lt;&gt;"",$G$4,"")&amp;IF($F$43&lt;&gt;"","_"&amp;$F$43,""),'表3）燃料価格'!$AF$9:$AG$25,2,0)),0,VLOOKUP($I48,'表3）燃料価格'!$A$6:$AD$56,VLOOKUP($F$3&amp;IF($G$4&lt;&gt;"",$G$4,"")&amp;IF($F$43&lt;&gt;"","_"&amp;$F$43,""),'表3）燃料価格'!$AF$9:$AG$25,2,0)+VLOOKUP($F$41,'表3）燃料価格'!$AF$28:$AG$29,2,0),0)*IF($F$43="需要地価格",1,$F$8/$F$141))),"")</f>
        <v>46.207566548346577</v>
      </c>
      <c r="AV48" s="10">
        <f t="shared" si="57"/>
        <v>29493378816.121468</v>
      </c>
      <c r="AW48" s="10">
        <f t="shared" si="58"/>
        <v>10795900891.818857</v>
      </c>
      <c r="AY48" s="40">
        <f>IF(ISERROR(IF($K48&lt;=$F$15,VLOOKUP($I48,'表4）CO2価格'!$A$7:$E$67,VLOOKUP($F$48,'表4）CO2価格'!$H$10:$I$12,2,0),0)*$F$8/1000,"")),0,IF($K48&lt;=$F$15,VLOOKUP($I48,'表4）CO2価格'!$A$7:$E$67,VLOOKUP($F$48,'表4）CO2価格'!$H$10:$I$12,2,0),0)*$F$8/1000,""))</f>
        <v>8.5925946847404155</v>
      </c>
      <c r="BA48" s="11">
        <f t="shared" si="59"/>
        <v>14385366631.47624</v>
      </c>
      <c r="BB48" s="10">
        <f t="shared" si="60"/>
        <v>5265690086.3798256</v>
      </c>
      <c r="BD48" s="10">
        <f t="shared" si="61"/>
        <v>0</v>
      </c>
      <c r="BE48" s="10">
        <f t="shared" si="62"/>
        <v>0</v>
      </c>
      <c r="BG48" s="11">
        <f t="shared" si="63"/>
        <v>0</v>
      </c>
      <c r="BH48" s="10">
        <f t="shared" si="64"/>
        <v>0</v>
      </c>
      <c r="BJ48" s="7" t="str">
        <f t="shared" si="65"/>
        <v/>
      </c>
      <c r="BK48" s="158" t="str">
        <f t="shared" si="66"/>
        <v/>
      </c>
      <c r="BL48" s="158" t="str">
        <f t="shared" si="67"/>
        <v/>
      </c>
      <c r="BM48" s="10"/>
      <c r="BN48" s="10" t="str">
        <f t="shared" si="68"/>
        <v/>
      </c>
      <c r="BO48" s="10" t="str">
        <f t="shared" si="69"/>
        <v/>
      </c>
      <c r="BQ48" s="10">
        <f t="shared" si="70"/>
        <v>4554218260.8222504</v>
      </c>
      <c r="BR48" s="10">
        <f t="shared" si="71"/>
        <v>1667048366.6887765</v>
      </c>
    </row>
    <row r="49" spans="3:70" x14ac:dyDescent="0.15">
      <c r="D49" s="84" t="s">
        <v>648</v>
      </c>
      <c r="F49" s="505">
        <f>'表４ー②）CO2輸送・貯留コスト'!L90</f>
        <v>2666.3520245114178</v>
      </c>
      <c r="G49" s="160" t="s">
        <v>257</v>
      </c>
      <c r="I49" s="38">
        <f t="shared" si="72"/>
        <v>2064</v>
      </c>
      <c r="J49" s="39"/>
      <c r="K49" s="39">
        <f t="shared" si="73"/>
        <v>35</v>
      </c>
      <c r="L49" s="39"/>
      <c r="M49" s="40">
        <f t="shared" si="38"/>
        <v>0.35538339780838735</v>
      </c>
      <c r="N49" s="39"/>
      <c r="O49" s="72">
        <f t="shared" si="74"/>
        <v>1.9073486328125E-6</v>
      </c>
      <c r="P49" s="41" t="str">
        <f t="shared" si="39"/>
        <v>-</v>
      </c>
      <c r="Q49" s="39"/>
      <c r="R49" s="72">
        <f t="shared" si="75"/>
        <v>9197708500.2688332</v>
      </c>
      <c r="S49" s="39"/>
      <c r="T49" s="72">
        <f t="shared" si="40"/>
        <v>9197708000</v>
      </c>
      <c r="U49" s="39"/>
      <c r="V49" s="72">
        <f t="shared" si="41"/>
        <v>0</v>
      </c>
      <c r="W49" s="72">
        <f t="shared" si="42"/>
        <v>0</v>
      </c>
      <c r="X49" s="39"/>
      <c r="Y49" s="72">
        <f t="shared" si="43"/>
        <v>128767900</v>
      </c>
      <c r="Z49" s="72">
        <f t="shared" si="44"/>
        <v>45761973.830650643</v>
      </c>
      <c r="AA49" s="39"/>
      <c r="AB49" s="72">
        <f t="shared" si="45"/>
        <v>0</v>
      </c>
      <c r="AC49" s="72">
        <f t="shared" si="46"/>
        <v>0</v>
      </c>
      <c r="AD49" s="39"/>
      <c r="AE49" s="72">
        <f t="shared" si="47"/>
        <v>0</v>
      </c>
      <c r="AF49" s="72">
        <f t="shared" si="48"/>
        <v>0</v>
      </c>
      <c r="AG49" s="39"/>
      <c r="AH49" s="72">
        <f t="shared" si="49"/>
        <v>620000000</v>
      </c>
      <c r="AI49" s="72">
        <f t="shared" si="50"/>
        <v>220337706.64120016</v>
      </c>
      <c r="AJ49" s="39"/>
      <c r="AK49" s="72">
        <f t="shared" si="51"/>
        <v>4414900080.1290398</v>
      </c>
      <c r="AL49" s="72">
        <f t="shared" si="52"/>
        <v>1568982191.4607797</v>
      </c>
      <c r="AM49" s="39"/>
      <c r="AN49" s="72">
        <f t="shared" si="53"/>
        <v>2023495870.0591433</v>
      </c>
      <c r="AO49" s="72">
        <f t="shared" si="54"/>
        <v>719116837.75285745</v>
      </c>
      <c r="AP49" s="39"/>
      <c r="AQ49" s="72">
        <f t="shared" si="55"/>
        <v>847007514.02258193</v>
      </c>
      <c r="AR49" s="72">
        <f t="shared" si="56"/>
        <v>301012408.30258048</v>
      </c>
      <c r="AS49" s="39"/>
      <c r="AT49" s="40">
        <f>IF($K49&lt;=$F$15,IF($F$40&lt;&gt;"",$F$40/1000,IF(ISERROR(VLOOKUP($F$3&amp;IF($G$4&lt;&gt;"",$G$4,"")&amp;IF($F$43&lt;&gt;"","_"&amp;$F$43,""),'表3）燃料価格'!$AF$9:$AG$25,2,0)),0,VLOOKUP($I49,'表3）燃料価格'!$A$6:$AD$56,VLOOKUP($F$3&amp;IF($G$4&lt;&gt;"",$G$4,"")&amp;IF($F$43&lt;&gt;"","_"&amp;$F$43,""),'表3）燃料価格'!$AF$9:$AG$25,2,0)+VLOOKUP($F$41,'表3）燃料価格'!$AF$28:$AG$29,2,0),0)*IF($F$43="需要地価格",1,$F$8/$F$141))),"")</f>
        <v>46.126415901647896</v>
      </c>
      <c r="AU49" s="39"/>
      <c r="AV49" s="72">
        <f t="shared" si="57"/>
        <v>29444541321.570576</v>
      </c>
      <c r="AW49" s="72">
        <f t="shared" si="58"/>
        <v>10464101141.769215</v>
      </c>
      <c r="AX49" s="39"/>
      <c r="AY49" s="40">
        <f>IF(ISERROR(IF($K49&lt;=$F$15,VLOOKUP($I49,'表4）CO2価格'!$A$7:$E$67,VLOOKUP($F$48,'表4）CO2価格'!$H$10:$I$12,2,0),0)*$F$8/1000,"")),0,IF($K49&lt;=$F$15,VLOOKUP($I49,'表4）CO2価格'!$A$7:$E$67,VLOOKUP($F$48,'表4）CO2価格'!$H$10:$I$12,2,0),0)*$F$8/1000,""))</f>
        <v>8.7233572854149237</v>
      </c>
      <c r="AZ49" s="39"/>
      <c r="BA49" s="42">
        <f t="shared" si="59"/>
        <v>14604283969.184338</v>
      </c>
      <c r="BB49" s="72">
        <f t="shared" si="60"/>
        <v>5190120059.5272913</v>
      </c>
      <c r="BC49" s="39"/>
      <c r="BD49" s="72">
        <f t="shared" si="61"/>
        <v>0</v>
      </c>
      <c r="BE49" s="72">
        <f t="shared" si="62"/>
        <v>0</v>
      </c>
      <c r="BF49" s="39"/>
      <c r="BG49" s="42">
        <f t="shared" si="63"/>
        <v>0</v>
      </c>
      <c r="BH49" s="72">
        <f t="shared" si="64"/>
        <v>0</v>
      </c>
      <c r="BI49" s="39"/>
      <c r="BJ49" s="40" t="str">
        <f t="shared" si="65"/>
        <v/>
      </c>
      <c r="BK49" s="157" t="str">
        <f t="shared" si="66"/>
        <v/>
      </c>
      <c r="BL49" s="157" t="str">
        <f t="shared" si="67"/>
        <v/>
      </c>
      <c r="BM49" s="72"/>
      <c r="BN49" s="72" t="str">
        <f t="shared" si="68"/>
        <v/>
      </c>
      <c r="BO49" s="72" t="str">
        <f t="shared" si="69"/>
        <v/>
      </c>
      <c r="BP49" s="39"/>
      <c r="BQ49" s="72">
        <f t="shared" si="70"/>
        <v>4554218260.8222504</v>
      </c>
      <c r="BR49" s="72">
        <f t="shared" si="71"/>
        <v>1618493559.8920157</v>
      </c>
    </row>
    <row r="50" spans="3:70" x14ac:dyDescent="0.15">
      <c r="C50" s="4" t="s">
        <v>579</v>
      </c>
      <c r="D50" s="100"/>
      <c r="E50" s="100"/>
      <c r="F50" s="4"/>
      <c r="G50" s="100"/>
      <c r="I50" s="322">
        <f t="shared" si="72"/>
        <v>2065</v>
      </c>
      <c r="K50" s="71">
        <f t="shared" si="73"/>
        <v>36</v>
      </c>
      <c r="M50" s="7">
        <f t="shared" si="38"/>
        <v>0.34503242505668674</v>
      </c>
      <c r="O50" s="10">
        <f t="shared" si="74"/>
        <v>1.9073486328125E-6</v>
      </c>
      <c r="P50" s="29" t="str">
        <f t="shared" si="39"/>
        <v>-</v>
      </c>
      <c r="R50" s="10">
        <f t="shared" si="75"/>
        <v>9197708500.2688332</v>
      </c>
      <c r="T50" s="10">
        <f t="shared" si="40"/>
        <v>9197708000</v>
      </c>
      <c r="V50" s="10">
        <f t="shared" si="41"/>
        <v>0</v>
      </c>
      <c r="W50" s="10">
        <f t="shared" si="42"/>
        <v>0</v>
      </c>
      <c r="Y50" s="10">
        <f t="shared" si="43"/>
        <v>128767900</v>
      </c>
      <c r="Z50" s="10">
        <f t="shared" si="44"/>
        <v>44429100.806456931</v>
      </c>
      <c r="AB50" s="10">
        <f t="shared" si="45"/>
        <v>0</v>
      </c>
      <c r="AC50" s="10">
        <f t="shared" si="46"/>
        <v>0</v>
      </c>
      <c r="AE50" s="10">
        <f t="shared" si="47"/>
        <v>0</v>
      </c>
      <c r="AF50" s="10">
        <f t="shared" si="48"/>
        <v>0</v>
      </c>
      <c r="AH50" s="10">
        <f t="shared" si="49"/>
        <v>620000000</v>
      </c>
      <c r="AI50" s="10">
        <f t="shared" si="50"/>
        <v>213920103.53514579</v>
      </c>
      <c r="AK50" s="10">
        <f t="shared" si="51"/>
        <v>4414900080.1290398</v>
      </c>
      <c r="AL50" s="10">
        <f t="shared" si="52"/>
        <v>1523283681.0298831</v>
      </c>
      <c r="AN50" s="10">
        <f t="shared" si="53"/>
        <v>2023495870.0591433</v>
      </c>
      <c r="AO50" s="10">
        <f t="shared" si="54"/>
        <v>698171687.13869655</v>
      </c>
      <c r="AQ50" s="10">
        <f t="shared" si="55"/>
        <v>847007514.02258193</v>
      </c>
      <c r="AR50" s="10">
        <f t="shared" si="56"/>
        <v>292245056.60444707</v>
      </c>
      <c r="AT50" s="40">
        <f>IF($K50&lt;=$F$15,IF($F$40&lt;&gt;"",$F$40/1000,IF(ISERROR(VLOOKUP($F$3&amp;IF($G$4&lt;&gt;"",$G$4,"")&amp;IF($F$43&lt;&gt;"","_"&amp;$F$43,""),'表3）燃料価格'!$AF$9:$AG$25,2,0)),0,VLOOKUP($I50,'表3）燃料価格'!$A$6:$AD$56,VLOOKUP($F$3&amp;IF($G$4&lt;&gt;"",$G$4,"")&amp;IF($F$43&lt;&gt;"","_"&amp;$F$43,""),'表3）燃料価格'!$AF$9:$AG$25,2,0)+VLOOKUP($F$41,'表3）燃料価格'!$AF$28:$AG$29,2,0),0)*IF($F$43="需要地価格",1,$F$8/$F$141))),"")</f>
        <v>46.046872304536819</v>
      </c>
      <c r="AV50" s="10">
        <f t="shared" si="57"/>
        <v>29396670969.965183</v>
      </c>
      <c r="AW50" s="10">
        <f t="shared" si="58"/>
        <v>10142804673.36059</v>
      </c>
      <c r="AY50" s="40">
        <f>IF(ISERROR(IF($K50&lt;=$F$15,VLOOKUP($I50,'表4）CO2価格'!$A$7:$E$67,VLOOKUP($F$48,'表4）CO2価格'!$H$10:$I$12,2,0),0)*$F$8/1000,"")),0,IF($K50&lt;=$F$15,VLOOKUP($I50,'表4）CO2価格'!$A$7:$E$67,VLOOKUP($F$48,'表4）CO2価格'!$H$10:$I$12,2,0),0)*$F$8/1000,""))</f>
        <v>8.8540565474573452</v>
      </c>
      <c r="BA50" s="11">
        <f t="shared" si="59"/>
        <v>14823095267.974283</v>
      </c>
      <c r="BB50" s="10">
        <f t="shared" si="60"/>
        <v>5114448507.1554651</v>
      </c>
      <c r="BD50" s="10">
        <f t="shared" si="61"/>
        <v>0</v>
      </c>
      <c r="BE50" s="10">
        <f t="shared" si="62"/>
        <v>0</v>
      </c>
      <c r="BG50" s="11">
        <f t="shared" si="63"/>
        <v>0</v>
      </c>
      <c r="BH50" s="10">
        <f t="shared" si="64"/>
        <v>0</v>
      </c>
      <c r="BJ50" s="7" t="str">
        <f t="shared" si="65"/>
        <v/>
      </c>
      <c r="BK50" s="158" t="str">
        <f t="shared" si="66"/>
        <v/>
      </c>
      <c r="BL50" s="158" t="str">
        <f t="shared" si="67"/>
        <v/>
      </c>
      <c r="BM50" s="10"/>
      <c r="BN50" s="10" t="str">
        <f t="shared" si="68"/>
        <v/>
      </c>
      <c r="BO50" s="10" t="str">
        <f t="shared" si="69"/>
        <v/>
      </c>
      <c r="BQ50" s="10">
        <f t="shared" si="70"/>
        <v>4554218260.8222504</v>
      </c>
      <c r="BR50" s="10">
        <f t="shared" si="71"/>
        <v>1571352970.7689474</v>
      </c>
    </row>
    <row r="51" spans="3:70" x14ac:dyDescent="0.15">
      <c r="I51" s="38">
        <f t="shared" si="72"/>
        <v>2066</v>
      </c>
      <c r="J51" s="39"/>
      <c r="K51" s="39">
        <f t="shared" si="73"/>
        <v>37</v>
      </c>
      <c r="L51" s="39"/>
      <c r="M51" s="40">
        <f t="shared" si="38"/>
        <v>0.33498293694823961</v>
      </c>
      <c r="N51" s="39"/>
      <c r="O51" s="72">
        <f t="shared" si="74"/>
        <v>1.9073486328125E-6</v>
      </c>
      <c r="P51" s="41" t="str">
        <f t="shared" si="39"/>
        <v>-</v>
      </c>
      <c r="Q51" s="39"/>
      <c r="R51" s="72">
        <f t="shared" si="75"/>
        <v>9197708500.2688332</v>
      </c>
      <c r="S51" s="39"/>
      <c r="T51" s="72">
        <f t="shared" si="40"/>
        <v>9197708000</v>
      </c>
      <c r="U51" s="39"/>
      <c r="V51" s="72">
        <f t="shared" si="41"/>
        <v>0</v>
      </c>
      <c r="W51" s="72">
        <f t="shared" si="42"/>
        <v>0</v>
      </c>
      <c r="X51" s="39"/>
      <c r="Y51" s="72">
        <f t="shared" si="43"/>
        <v>128767900</v>
      </c>
      <c r="Z51" s="72">
        <f t="shared" si="44"/>
        <v>43135049.326657221</v>
      </c>
      <c r="AA51" s="39"/>
      <c r="AB51" s="72">
        <f t="shared" si="45"/>
        <v>0</v>
      </c>
      <c r="AC51" s="72">
        <f t="shared" si="46"/>
        <v>0</v>
      </c>
      <c r="AD51" s="39"/>
      <c r="AE51" s="72">
        <f t="shared" si="47"/>
        <v>0</v>
      </c>
      <c r="AF51" s="72">
        <f t="shared" si="48"/>
        <v>0</v>
      </c>
      <c r="AG51" s="39"/>
      <c r="AH51" s="72">
        <f t="shared" si="49"/>
        <v>620000000</v>
      </c>
      <c r="AI51" s="72">
        <f t="shared" si="50"/>
        <v>207689420.90790856</v>
      </c>
      <c r="AJ51" s="39"/>
      <c r="AK51" s="72">
        <f t="shared" si="51"/>
        <v>4414900080.1290398</v>
      </c>
      <c r="AL51" s="72">
        <f t="shared" si="52"/>
        <v>1478916195.1746442</v>
      </c>
      <c r="AM51" s="39"/>
      <c r="AN51" s="72">
        <f t="shared" si="53"/>
        <v>2023495870.0591433</v>
      </c>
      <c r="AO51" s="72">
        <f t="shared" si="54"/>
        <v>677836589.45504522</v>
      </c>
      <c r="AP51" s="39"/>
      <c r="AQ51" s="72">
        <f t="shared" si="55"/>
        <v>847007514.02258193</v>
      </c>
      <c r="AR51" s="72">
        <f t="shared" si="56"/>
        <v>283733064.66451174</v>
      </c>
      <c r="AS51" s="39"/>
      <c r="AT51" s="40">
        <f>IF($K51&lt;=$F$15,IF($F$40&lt;&gt;"",$F$40/1000,IF(ISERROR(VLOOKUP($F$3&amp;IF($G$4&lt;&gt;"",$G$4,"")&amp;IF($F$43&lt;&gt;"","_"&amp;$F$43,""),'表3）燃料価格'!$AF$9:$AG$25,2,0)),0,VLOOKUP($I51,'表3）燃料価格'!$A$6:$AD$56,VLOOKUP($F$3&amp;IF($G$4&lt;&gt;"",$G$4,"")&amp;IF($F$43&lt;&gt;"","_"&amp;$F$43,""),'表3）燃料価格'!$AF$9:$AG$25,2,0)+VLOOKUP($F$41,'表3）燃料価格'!$AF$28:$AG$29,2,0),0)*IF($F$43="需要地価格",1,$F$8/$F$141))),"")</f>
        <v>45.968873341319267</v>
      </c>
      <c r="AU51" s="39"/>
      <c r="AV51" s="72">
        <f t="shared" si="57"/>
        <v>29349730198.744263</v>
      </c>
      <c r="AW51" s="72">
        <f t="shared" si="58"/>
        <v>9831658820.6137924</v>
      </c>
      <c r="AX51" s="39"/>
      <c r="AY51" s="40">
        <f>IF(ISERROR(IF($K51&lt;=$F$15,VLOOKUP($I51,'表4）CO2価格'!$A$7:$E$67,VLOOKUP($F$48,'表4）CO2価格'!$H$10:$I$12,2,0),0)*$F$8/1000,"")),0,IF($K51&lt;=$F$15,VLOOKUP($I51,'表4）CO2価格'!$A$7:$E$67,VLOOKUP($F$48,'表4）CO2価格'!$H$10:$I$12,2,0),0)*$F$8/1000,""))</f>
        <v>8.9846925321981246</v>
      </c>
      <c r="AZ51" s="39"/>
      <c r="BA51" s="42">
        <f t="shared" si="59"/>
        <v>15041800630.522966</v>
      </c>
      <c r="BB51" s="72">
        <f t="shared" si="60"/>
        <v>5038746552.202466</v>
      </c>
      <c r="BC51" s="39"/>
      <c r="BD51" s="72">
        <f t="shared" si="61"/>
        <v>0</v>
      </c>
      <c r="BE51" s="72">
        <f t="shared" si="62"/>
        <v>0</v>
      </c>
      <c r="BF51" s="39"/>
      <c r="BG51" s="42">
        <f t="shared" si="63"/>
        <v>0</v>
      </c>
      <c r="BH51" s="72">
        <f t="shared" si="64"/>
        <v>0</v>
      </c>
      <c r="BI51" s="39"/>
      <c r="BJ51" s="40" t="str">
        <f t="shared" si="65"/>
        <v/>
      </c>
      <c r="BK51" s="157" t="str">
        <f t="shared" si="66"/>
        <v/>
      </c>
      <c r="BL51" s="157" t="str">
        <f t="shared" si="67"/>
        <v/>
      </c>
      <c r="BM51" s="72"/>
      <c r="BN51" s="72" t="str">
        <f t="shared" si="68"/>
        <v/>
      </c>
      <c r="BO51" s="72" t="str">
        <f t="shared" si="69"/>
        <v/>
      </c>
      <c r="BP51" s="39"/>
      <c r="BQ51" s="72">
        <f t="shared" si="70"/>
        <v>4554218260.8222504</v>
      </c>
      <c r="BR51" s="72">
        <f t="shared" si="71"/>
        <v>1525585408.5135412</v>
      </c>
    </row>
    <row r="52" spans="3:70" x14ac:dyDescent="0.15">
      <c r="D52" s="84" t="s">
        <v>185</v>
      </c>
      <c r="F52" s="478"/>
      <c r="G52" s="84" t="s">
        <v>549</v>
      </c>
      <c r="I52" s="322">
        <f t="shared" si="72"/>
        <v>2067</v>
      </c>
      <c r="K52" s="71">
        <f t="shared" si="73"/>
        <v>38</v>
      </c>
      <c r="M52" s="7">
        <f t="shared" si="38"/>
        <v>0.3252261523769317</v>
      </c>
      <c r="O52" s="10">
        <f t="shared" si="74"/>
        <v>1.9073486328125E-6</v>
      </c>
      <c r="P52" s="29" t="str">
        <f t="shared" si="39"/>
        <v>-</v>
      </c>
      <c r="R52" s="10">
        <f t="shared" si="75"/>
        <v>9197708500.2688332</v>
      </c>
      <c r="T52" s="10">
        <f t="shared" si="40"/>
        <v>9197708000</v>
      </c>
      <c r="V52" s="10">
        <f t="shared" si="41"/>
        <v>0</v>
      </c>
      <c r="W52" s="10">
        <f t="shared" si="42"/>
        <v>0</v>
      </c>
      <c r="Y52" s="10">
        <f t="shared" si="43"/>
        <v>128767900</v>
      </c>
      <c r="Z52" s="10">
        <f t="shared" si="44"/>
        <v>41878688.6666575</v>
      </c>
      <c r="AB52" s="10">
        <f t="shared" si="45"/>
        <v>0</v>
      </c>
      <c r="AC52" s="10">
        <f t="shared" si="46"/>
        <v>0</v>
      </c>
      <c r="AE52" s="10">
        <f t="shared" si="47"/>
        <v>0</v>
      </c>
      <c r="AF52" s="10">
        <f t="shared" si="48"/>
        <v>0</v>
      </c>
      <c r="AH52" s="10">
        <f t="shared" si="49"/>
        <v>620000000</v>
      </c>
      <c r="AI52" s="10">
        <f t="shared" si="50"/>
        <v>201640214.47369766</v>
      </c>
      <c r="AK52" s="10">
        <f t="shared" si="51"/>
        <v>4414900080.1290398</v>
      </c>
      <c r="AL52" s="10">
        <f t="shared" si="52"/>
        <v>1435840966.1889751</v>
      </c>
      <c r="AN52" s="10">
        <f t="shared" si="53"/>
        <v>2023495870.0591433</v>
      </c>
      <c r="AO52" s="10">
        <f t="shared" si="54"/>
        <v>658093776.16994691</v>
      </c>
      <c r="AQ52" s="10">
        <f t="shared" si="55"/>
        <v>847007514.02258193</v>
      </c>
      <c r="AR52" s="10">
        <f t="shared" si="56"/>
        <v>275468994.81991434</v>
      </c>
      <c r="AT52" s="40">
        <f>IF($K52&lt;=$F$15,IF($F$40&lt;&gt;"",$F$40/1000,IF(ISERROR(VLOOKUP($F$3&amp;IF($G$4&lt;&gt;"",$G$4,"")&amp;IF($F$43&lt;&gt;"","_"&amp;$F$43,""),'表3）燃料価格'!$AF$9:$AG$25,2,0)),0,VLOOKUP($I52,'表3）燃料価格'!$A$6:$AD$56,VLOOKUP($F$3&amp;IF($G$4&lt;&gt;"",$G$4,"")&amp;IF($F$43&lt;&gt;"","_"&amp;$F$43,""),'表3）燃料価格'!$AF$9:$AG$25,2,0)+VLOOKUP($F$41,'表3）燃料価格'!$AF$28:$AG$29,2,0),0)*IF($F$43="需要地価格",1,$F$8/$F$141))),"")</f>
        <v>45.892360163356543</v>
      </c>
      <c r="AV52" s="10">
        <f t="shared" si="57"/>
        <v>29303683592.046219</v>
      </c>
      <c r="AW52" s="10">
        <f t="shared" si="58"/>
        <v>9530324265.1122169</v>
      </c>
      <c r="AY52" s="40">
        <f>IF(ISERROR(IF($K52&lt;=$F$15,VLOOKUP($I52,'表4）CO2価格'!$A$7:$E$67,VLOOKUP($F$48,'表4）CO2価格'!$H$10:$I$12,2,0),0)*$F$8/1000,"")),0,IF($K52&lt;=$F$15,VLOOKUP($I52,'表4）CO2価格'!$A$7:$E$67,VLOOKUP($F$48,'表4）CO2価格'!$H$10:$I$12,2,0),0)*$F$8/1000,""))</f>
        <v>9.1152653008777929</v>
      </c>
      <c r="BA52" s="11">
        <f t="shared" si="59"/>
        <v>15260400159.356754</v>
      </c>
      <c r="BB52" s="10">
        <f t="shared" si="60"/>
        <v>4963081227.5599127</v>
      </c>
      <c r="BD52" s="10">
        <f t="shared" si="61"/>
        <v>0</v>
      </c>
      <c r="BE52" s="10">
        <f t="shared" si="62"/>
        <v>0</v>
      </c>
      <c r="BG52" s="11">
        <f t="shared" si="63"/>
        <v>0</v>
      </c>
      <c r="BH52" s="10">
        <f t="shared" si="64"/>
        <v>0</v>
      </c>
      <c r="BJ52" s="7" t="str">
        <f t="shared" si="65"/>
        <v/>
      </c>
      <c r="BK52" s="158" t="str">
        <f t="shared" si="66"/>
        <v/>
      </c>
      <c r="BL52" s="158" t="str">
        <f t="shared" si="67"/>
        <v/>
      </c>
      <c r="BM52" s="10"/>
      <c r="BN52" s="10" t="str">
        <f t="shared" si="68"/>
        <v/>
      </c>
      <c r="BO52" s="10" t="str">
        <f t="shared" si="69"/>
        <v/>
      </c>
      <c r="BQ52" s="10">
        <f t="shared" si="70"/>
        <v>4554218260.8222504</v>
      </c>
      <c r="BR52" s="10">
        <f t="shared" si="71"/>
        <v>1481150882.0519822</v>
      </c>
    </row>
    <row r="53" spans="3:70" x14ac:dyDescent="0.15">
      <c r="D53" s="84" t="s">
        <v>580</v>
      </c>
      <c r="F53" s="475"/>
      <c r="G53" s="84" t="s">
        <v>549</v>
      </c>
      <c r="I53" s="38">
        <f t="shared" si="72"/>
        <v>2068</v>
      </c>
      <c r="J53" s="39"/>
      <c r="K53" s="39">
        <f t="shared" si="73"/>
        <v>39</v>
      </c>
      <c r="L53" s="39"/>
      <c r="M53" s="40">
        <f t="shared" si="38"/>
        <v>0.31575354599702099</v>
      </c>
      <c r="N53" s="39"/>
      <c r="O53" s="72">
        <f t="shared" si="74"/>
        <v>1.9073486328125E-6</v>
      </c>
      <c r="P53" s="41" t="str">
        <f t="shared" si="39"/>
        <v>-</v>
      </c>
      <c r="Q53" s="39"/>
      <c r="R53" s="72">
        <f t="shared" si="75"/>
        <v>9197708500.2688332</v>
      </c>
      <c r="S53" s="39"/>
      <c r="T53" s="72">
        <f t="shared" si="40"/>
        <v>9197708000</v>
      </c>
      <c r="U53" s="39"/>
      <c r="V53" s="72">
        <f t="shared" si="41"/>
        <v>0</v>
      </c>
      <c r="W53" s="72">
        <f t="shared" si="42"/>
        <v>0</v>
      </c>
      <c r="X53" s="39"/>
      <c r="Y53" s="72">
        <f t="shared" si="43"/>
        <v>128767900</v>
      </c>
      <c r="Z53" s="72">
        <f t="shared" si="44"/>
        <v>40658921.035589799</v>
      </c>
      <c r="AA53" s="39"/>
      <c r="AB53" s="72">
        <f t="shared" si="45"/>
        <v>0</v>
      </c>
      <c r="AC53" s="72">
        <f t="shared" si="46"/>
        <v>0</v>
      </c>
      <c r="AD53" s="39"/>
      <c r="AE53" s="72">
        <f t="shared" si="47"/>
        <v>0</v>
      </c>
      <c r="AF53" s="72">
        <f t="shared" si="48"/>
        <v>0</v>
      </c>
      <c r="AG53" s="39"/>
      <c r="AH53" s="72">
        <f t="shared" si="49"/>
        <v>620000000</v>
      </c>
      <c r="AI53" s="72">
        <f t="shared" si="50"/>
        <v>195767198.51815301</v>
      </c>
      <c r="AJ53" s="39"/>
      <c r="AK53" s="72">
        <f t="shared" si="51"/>
        <v>4414900080.1290398</v>
      </c>
      <c r="AL53" s="72">
        <f t="shared" si="52"/>
        <v>1394020355.5232763</v>
      </c>
      <c r="AM53" s="39"/>
      <c r="AN53" s="72">
        <f t="shared" si="53"/>
        <v>2023495870.0591433</v>
      </c>
      <c r="AO53" s="72">
        <f t="shared" si="54"/>
        <v>638925996.28150177</v>
      </c>
      <c r="AP53" s="39"/>
      <c r="AQ53" s="72">
        <f t="shared" si="55"/>
        <v>847007514.02258193</v>
      </c>
      <c r="AR53" s="72">
        <f t="shared" si="56"/>
        <v>267445626.03875172</v>
      </c>
      <c r="AS53" s="39"/>
      <c r="AT53" s="40">
        <f>IF($K53&lt;=$F$15,IF($F$40&lt;&gt;"",$F$40/1000,IF(ISERROR(VLOOKUP($F$3&amp;IF($G$4&lt;&gt;"",$G$4,"")&amp;IF($F$43&lt;&gt;"","_"&amp;$F$43,""),'表3）燃料価格'!$AF$9:$AG$25,2,0)),0,VLOOKUP($I53,'表3）燃料価格'!$A$6:$AD$56,VLOOKUP($F$3&amp;IF($G$4&lt;&gt;"",$G$4,"")&amp;IF($F$43&lt;&gt;"","_"&amp;$F$43,""),'表3）燃料価格'!$AF$9:$AG$25,2,0)+VLOOKUP($F$41,'表3）燃料価格'!$AF$28:$AG$29,2,0),0)*IF($F$43="需要地価格",1,$F$8/$F$141))),"")</f>
        <v>45.817277222329203</v>
      </c>
      <c r="AU53" s="39"/>
      <c r="AV53" s="72">
        <f t="shared" si="57"/>
        <v>29258497720.183693</v>
      </c>
      <c r="AW53" s="72">
        <f t="shared" si="58"/>
        <v>9238474405.6937561</v>
      </c>
      <c r="AX53" s="39"/>
      <c r="AY53" s="40">
        <f>IF(ISERROR(IF($K53&lt;=$F$15,VLOOKUP($I53,'表4）CO2価格'!$A$7:$E$67,VLOOKUP($F$48,'表4）CO2価格'!$H$10:$I$12,2,0),0)*$F$8/1000,"")),0,IF($K53&lt;=$F$15,VLOOKUP($I53,'表4）CO2価格'!$A$7:$E$67,VLOOKUP($F$48,'表4）CO2価格'!$H$10:$I$12,2,0),0)*$F$8/1000,""))</f>
        <v>9.2457749146488997</v>
      </c>
      <c r="AZ53" s="39"/>
      <c r="BA53" s="42">
        <f t="shared" si="59"/>
        <v>15478893956.854715</v>
      </c>
      <c r="BB53" s="72">
        <f t="shared" si="60"/>
        <v>4887515654.9887352</v>
      </c>
      <c r="BC53" s="39"/>
      <c r="BD53" s="72">
        <f t="shared" si="61"/>
        <v>0</v>
      </c>
      <c r="BE53" s="72">
        <f t="shared" si="62"/>
        <v>0</v>
      </c>
      <c r="BF53" s="39"/>
      <c r="BG53" s="42">
        <f t="shared" si="63"/>
        <v>0</v>
      </c>
      <c r="BH53" s="72">
        <f t="shared" si="64"/>
        <v>0</v>
      </c>
      <c r="BI53" s="39"/>
      <c r="BJ53" s="40" t="str">
        <f t="shared" si="65"/>
        <v/>
      </c>
      <c r="BK53" s="157" t="str">
        <f t="shared" si="66"/>
        <v/>
      </c>
      <c r="BL53" s="157" t="str">
        <f t="shared" si="67"/>
        <v/>
      </c>
      <c r="BM53" s="72"/>
      <c r="BN53" s="72" t="str">
        <f t="shared" si="68"/>
        <v/>
      </c>
      <c r="BO53" s="72" t="str">
        <f t="shared" si="69"/>
        <v/>
      </c>
      <c r="BP53" s="39"/>
      <c r="BQ53" s="72">
        <f t="shared" si="70"/>
        <v>4554218260.8222504</v>
      </c>
      <c r="BR53" s="72">
        <f t="shared" si="71"/>
        <v>1438010565.0990114</v>
      </c>
    </row>
    <row r="54" spans="3:70" x14ac:dyDescent="0.15">
      <c r="D54" s="84" t="s">
        <v>581</v>
      </c>
      <c r="F54" s="475"/>
      <c r="G54" s="84" t="s">
        <v>549</v>
      </c>
      <c r="I54" s="322">
        <f t="shared" si="72"/>
        <v>2069</v>
      </c>
      <c r="K54" s="71">
        <f t="shared" si="73"/>
        <v>40</v>
      </c>
      <c r="M54" s="7">
        <f t="shared" si="38"/>
        <v>0.30655684077380685</v>
      </c>
      <c r="O54" s="10">
        <f t="shared" si="74"/>
        <v>1.9073486328125E-6</v>
      </c>
      <c r="P54" s="29" t="str">
        <f t="shared" si="39"/>
        <v>-</v>
      </c>
      <c r="R54" s="10">
        <f t="shared" si="75"/>
        <v>9197708500.2688332</v>
      </c>
      <c r="T54" s="10">
        <f t="shared" si="40"/>
        <v>9197708000</v>
      </c>
      <c r="V54" s="10">
        <f t="shared" si="41"/>
        <v>0</v>
      </c>
      <c r="W54" s="10">
        <f t="shared" si="42"/>
        <v>0</v>
      </c>
      <c r="Y54" s="10">
        <f t="shared" si="43"/>
        <v>128767900</v>
      </c>
      <c r="Z54" s="10">
        <f t="shared" si="44"/>
        <v>39474680.617077485</v>
      </c>
      <c r="AB54" s="10">
        <f t="shared" si="45"/>
        <v>0</v>
      </c>
      <c r="AC54" s="10">
        <f t="shared" si="46"/>
        <v>0</v>
      </c>
      <c r="AE54" s="10">
        <f t="shared" si="47"/>
        <v>0</v>
      </c>
      <c r="AF54" s="10">
        <f t="shared" si="48"/>
        <v>0</v>
      </c>
      <c r="AH54" s="10">
        <f t="shared" si="49"/>
        <v>620000000</v>
      </c>
      <c r="AI54" s="10">
        <f t="shared" si="50"/>
        <v>190065241.27976024</v>
      </c>
      <c r="AK54" s="10">
        <f t="shared" si="51"/>
        <v>4414900080.1290398</v>
      </c>
      <c r="AL54" s="10">
        <f t="shared" si="52"/>
        <v>1353417820.8963852</v>
      </c>
      <c r="AN54" s="10">
        <f t="shared" si="53"/>
        <v>2023495870.0591433</v>
      </c>
      <c r="AO54" s="10">
        <f t="shared" si="54"/>
        <v>620316501.24417651</v>
      </c>
      <c r="AQ54" s="10">
        <f t="shared" si="55"/>
        <v>847007514.02258193</v>
      </c>
      <c r="AR54" s="10">
        <f t="shared" si="56"/>
        <v>259655947.61043862</v>
      </c>
      <c r="AT54" s="40">
        <f>IF($K54&lt;=$F$15,IF($F$40&lt;&gt;"",$F$40/1000,IF(ISERROR(VLOOKUP($F$3&amp;IF($G$4&lt;&gt;"",$G$4,"")&amp;IF($F$43&lt;&gt;"","_"&amp;$F$43,""),'表3）燃料価格'!$AF$9:$AG$25,2,0)),0,VLOOKUP($I54,'表3）燃料価格'!$A$6:$AD$56,VLOOKUP($F$3&amp;IF($G$4&lt;&gt;"",$G$4,"")&amp;IF($F$43&lt;&gt;"","_"&amp;$F$43,""),'表3）燃料価格'!$AF$9:$AG$25,2,0)+VLOOKUP($F$41,'表3）燃料価格'!$AF$28:$AG$29,2,0),0)*IF($F$43="需要地価格",1,$F$8/$F$141))),"")</f>
        <v>45.743572027976541</v>
      </c>
      <c r="AV54" s="10">
        <f t="shared" si="57"/>
        <v>29214140993.848087</v>
      </c>
      <c r="AW54" s="10">
        <f t="shared" si="58"/>
        <v>8955794768.9946308</v>
      </c>
      <c r="AY54" s="40">
        <f>IF(ISERROR(IF($K54&lt;=$F$15,VLOOKUP($I54,'表4）CO2価格'!$A$7:$E$67,VLOOKUP($F$48,'表4）CO2価格'!$H$10:$I$12,2,0),0)*$F$8/1000,"")),0,IF($K54&lt;=$F$15,VLOOKUP($I54,'表4）CO2価格'!$A$7:$E$67,VLOOKUP($F$48,'表4）CO2価格'!$H$10:$I$12,2,0),0)*$F$8/1000,""))</f>
        <v>9.3762214345748625</v>
      </c>
      <c r="BA54" s="11">
        <f t="shared" si="59"/>
        <v>15697282125.246698</v>
      </c>
      <c r="BB54" s="10">
        <f t="shared" si="60"/>
        <v>4812109217.0507765</v>
      </c>
      <c r="BD54" s="10">
        <f t="shared" si="61"/>
        <v>0</v>
      </c>
      <c r="BE54" s="10">
        <f t="shared" si="62"/>
        <v>0</v>
      </c>
      <c r="BG54" s="11">
        <f t="shared" si="63"/>
        <v>0</v>
      </c>
      <c r="BH54" s="10">
        <f t="shared" si="64"/>
        <v>0</v>
      </c>
      <c r="BJ54" s="7" t="str">
        <f t="shared" si="65"/>
        <v/>
      </c>
      <c r="BK54" s="158" t="str">
        <f t="shared" si="66"/>
        <v/>
      </c>
      <c r="BL54" s="158" t="str">
        <f t="shared" si="67"/>
        <v/>
      </c>
      <c r="BM54" s="10"/>
      <c r="BN54" s="10" t="str">
        <f t="shared" si="68"/>
        <v/>
      </c>
      <c r="BO54" s="10" t="str">
        <f t="shared" si="69"/>
        <v/>
      </c>
      <c r="BQ54" s="10">
        <f t="shared" si="70"/>
        <v>4554218260.8222504</v>
      </c>
      <c r="BR54" s="10">
        <f t="shared" si="71"/>
        <v>1396126762.2320502</v>
      </c>
    </row>
    <row r="55" spans="3:70" ht="16.5" x14ac:dyDescent="0.15">
      <c r="D55" s="84" t="s">
        <v>582</v>
      </c>
      <c r="F55" s="475"/>
      <c r="G55" s="71" t="s">
        <v>561</v>
      </c>
      <c r="I55" s="38">
        <f t="shared" si="72"/>
        <v>2070</v>
      </c>
      <c r="J55" s="39"/>
      <c r="K55" s="39">
        <f t="shared" si="73"/>
        <v>41</v>
      </c>
      <c r="L55" s="39"/>
      <c r="M55" s="40">
        <f t="shared" si="38"/>
        <v>0.29762800075126877</v>
      </c>
      <c r="N55" s="39"/>
      <c r="O55" s="72" t="str">
        <f t="shared" si="74"/>
        <v/>
      </c>
      <c r="P55" s="41" t="str">
        <f t="shared" si="39"/>
        <v/>
      </c>
      <c r="Q55" s="39"/>
      <c r="R55" s="72" t="str">
        <f t="shared" si="75"/>
        <v/>
      </c>
      <c r="S55" s="39"/>
      <c r="T55" s="72" t="str">
        <f t="shared" si="40"/>
        <v/>
      </c>
      <c r="U55" s="39"/>
      <c r="V55" s="72" t="str">
        <f t="shared" si="41"/>
        <v/>
      </c>
      <c r="W55" s="72" t="str">
        <f t="shared" si="42"/>
        <v/>
      </c>
      <c r="X55" s="39"/>
      <c r="Y55" s="72" t="str">
        <f t="shared" si="43"/>
        <v/>
      </c>
      <c r="Z55" s="72" t="str">
        <f t="shared" si="44"/>
        <v/>
      </c>
      <c r="AA55" s="39"/>
      <c r="AB55" s="72">
        <f t="shared" si="45"/>
        <v>9197708500.2688332</v>
      </c>
      <c r="AC55" s="72">
        <f t="shared" si="46"/>
        <v>2737495592.4279633</v>
      </c>
      <c r="AD55" s="39"/>
      <c r="AE55" s="72" t="str">
        <f t="shared" si="47"/>
        <v/>
      </c>
      <c r="AF55" s="72" t="str">
        <f t="shared" si="48"/>
        <v/>
      </c>
      <c r="AG55" s="39"/>
      <c r="AH55" s="72" t="str">
        <f t="shared" si="49"/>
        <v/>
      </c>
      <c r="AI55" s="72" t="str">
        <f t="shared" si="50"/>
        <v/>
      </c>
      <c r="AJ55" s="39"/>
      <c r="AK55" s="72" t="str">
        <f t="shared" si="51"/>
        <v/>
      </c>
      <c r="AL55" s="72" t="str">
        <f t="shared" si="52"/>
        <v/>
      </c>
      <c r="AM55" s="39"/>
      <c r="AN55" s="72" t="str">
        <f t="shared" si="53"/>
        <v/>
      </c>
      <c r="AO55" s="72" t="str">
        <f t="shared" si="54"/>
        <v/>
      </c>
      <c r="AP55" s="39"/>
      <c r="AQ55" s="72" t="str">
        <f t="shared" si="55"/>
        <v/>
      </c>
      <c r="AR55" s="72" t="str">
        <f t="shared" si="56"/>
        <v/>
      </c>
      <c r="AS55" s="39"/>
      <c r="AT55" s="40"/>
      <c r="AU55" s="39"/>
      <c r="AV55" s="72" t="str">
        <f t="shared" si="57"/>
        <v/>
      </c>
      <c r="AW55" s="72" t="str">
        <f t="shared" si="58"/>
        <v/>
      </c>
      <c r="AX55" s="39"/>
      <c r="AY55" s="40" t="str">
        <f>IF(ISERROR(IF($K55&lt;=$F$15,VLOOKUP($I55,'表4）CO2価格'!$A$7:$E$67,VLOOKUP($F$48,'表4）CO2価格'!$H$10:$I$12,2,0),0)*$F$8/1000,"")),0,IF($K55&lt;=$F$15,VLOOKUP($I55,'表4）CO2価格'!$A$7:$E$67,VLOOKUP($F$48,'表4）CO2価格'!$H$10:$I$12,2,0),0)*$F$8/1000,""))</f>
        <v/>
      </c>
      <c r="AZ55" s="39"/>
      <c r="BA55" s="42" t="str">
        <f t="shared" si="59"/>
        <v/>
      </c>
      <c r="BB55" s="72" t="str">
        <f t="shared" si="60"/>
        <v/>
      </c>
      <c r="BC55" s="39"/>
      <c r="BD55" s="72" t="str">
        <f t="shared" si="61"/>
        <v/>
      </c>
      <c r="BE55" s="72" t="str">
        <f t="shared" si="62"/>
        <v/>
      </c>
      <c r="BF55" s="39"/>
      <c r="BG55" s="42" t="str">
        <f t="shared" si="63"/>
        <v/>
      </c>
      <c r="BH55" s="72" t="str">
        <f t="shared" si="64"/>
        <v/>
      </c>
      <c r="BI55" s="39"/>
      <c r="BJ55" s="40" t="str">
        <f t="shared" si="65"/>
        <v/>
      </c>
      <c r="BK55" s="157" t="str">
        <f t="shared" si="66"/>
        <v/>
      </c>
      <c r="BL55" s="157" t="str">
        <f t="shared" si="67"/>
        <v/>
      </c>
      <c r="BM55" s="72"/>
      <c r="BN55" s="72" t="str">
        <f t="shared" si="68"/>
        <v/>
      </c>
      <c r="BO55" s="72" t="str">
        <f t="shared" si="69"/>
        <v/>
      </c>
      <c r="BP55" s="39"/>
      <c r="BQ55" s="72" t="str">
        <f t="shared" si="70"/>
        <v/>
      </c>
      <c r="BR55" s="72" t="str">
        <f t="shared" si="71"/>
        <v/>
      </c>
    </row>
    <row r="56" spans="3:70" x14ac:dyDescent="0.15">
      <c r="D56" s="84" t="s">
        <v>583</v>
      </c>
      <c r="F56" s="481"/>
      <c r="G56" s="84" t="s">
        <v>574</v>
      </c>
      <c r="I56" s="322">
        <f t="shared" si="72"/>
        <v>2071</v>
      </c>
      <c r="K56" s="71">
        <f t="shared" si="73"/>
        <v>42</v>
      </c>
      <c r="M56" s="7">
        <f t="shared" si="38"/>
        <v>0.28895922403035801</v>
      </c>
      <c r="O56" s="10" t="str">
        <f t="shared" si="74"/>
        <v/>
      </c>
      <c r="P56" s="29" t="str">
        <f t="shared" si="39"/>
        <v/>
      </c>
      <c r="R56" s="10" t="str">
        <f t="shared" si="75"/>
        <v/>
      </c>
      <c r="T56" s="10" t="str">
        <f t="shared" si="40"/>
        <v/>
      </c>
      <c r="V56" s="10" t="str">
        <f t="shared" si="41"/>
        <v/>
      </c>
      <c r="W56" s="10" t="str">
        <f t="shared" si="42"/>
        <v/>
      </c>
      <c r="Y56" s="10" t="str">
        <f t="shared" si="43"/>
        <v/>
      </c>
      <c r="Z56" s="10" t="str">
        <f t="shared" si="44"/>
        <v/>
      </c>
      <c r="AB56" s="10" t="str">
        <f t="shared" si="45"/>
        <v/>
      </c>
      <c r="AC56" s="10" t="str">
        <f t="shared" si="46"/>
        <v/>
      </c>
      <c r="AE56" s="10" t="str">
        <f t="shared" si="47"/>
        <v/>
      </c>
      <c r="AF56" s="10" t="str">
        <f t="shared" si="48"/>
        <v/>
      </c>
      <c r="AH56" s="10" t="str">
        <f t="shared" si="49"/>
        <v/>
      </c>
      <c r="AI56" s="10" t="str">
        <f t="shared" si="50"/>
        <v/>
      </c>
      <c r="AK56" s="10" t="str">
        <f t="shared" si="51"/>
        <v/>
      </c>
      <c r="AL56" s="10" t="str">
        <f t="shared" si="52"/>
        <v/>
      </c>
      <c r="AN56" s="10" t="str">
        <f t="shared" si="53"/>
        <v/>
      </c>
      <c r="AO56" s="10" t="str">
        <f t="shared" si="54"/>
        <v/>
      </c>
      <c r="AQ56" s="10" t="str">
        <f t="shared" si="55"/>
        <v/>
      </c>
      <c r="AR56" s="10" t="str">
        <f t="shared" si="56"/>
        <v/>
      </c>
      <c r="AT56" s="7"/>
      <c r="AV56" s="10" t="str">
        <f t="shared" si="57"/>
        <v/>
      </c>
      <c r="AW56" s="10" t="str">
        <f t="shared" si="58"/>
        <v/>
      </c>
      <c r="AY56" s="7" t="str">
        <f>IF(ISERROR(IF($K56&lt;=$F$15,VLOOKUP($I56,'表4）CO2価格'!$A$7:$E$67,VLOOKUP($F$48,'表4）CO2価格'!$H$10:$I$12,2,0),0)*$F$8/1000,"")),0,IF($K56&lt;=$F$15,VLOOKUP($I56,'表4）CO2価格'!$A$7:$E$67,VLOOKUP($F$48,'表4）CO2価格'!$H$10:$I$12,2,0),0)*$F$8/1000,""))</f>
        <v/>
      </c>
      <c r="BA56" s="11" t="str">
        <f t="shared" si="59"/>
        <v/>
      </c>
      <c r="BB56" s="10" t="str">
        <f t="shared" si="60"/>
        <v/>
      </c>
      <c r="BD56" s="10" t="str">
        <f t="shared" si="61"/>
        <v/>
      </c>
      <c r="BE56" s="10" t="str">
        <f t="shared" si="62"/>
        <v/>
      </c>
      <c r="BG56" s="11" t="str">
        <f t="shared" si="63"/>
        <v/>
      </c>
      <c r="BH56" s="10" t="str">
        <f t="shared" si="64"/>
        <v/>
      </c>
      <c r="BJ56" s="7" t="str">
        <f t="shared" si="65"/>
        <v/>
      </c>
      <c r="BK56" s="158" t="str">
        <f t="shared" si="66"/>
        <v/>
      </c>
      <c r="BL56" s="158" t="str">
        <f t="shared" si="67"/>
        <v/>
      </c>
      <c r="BM56" s="10"/>
      <c r="BN56" s="10" t="str">
        <f t="shared" si="68"/>
        <v/>
      </c>
      <c r="BO56" s="10" t="str">
        <f t="shared" si="69"/>
        <v/>
      </c>
      <c r="BQ56" s="10" t="str">
        <f t="shared" si="70"/>
        <v/>
      </c>
      <c r="BR56" s="10" t="str">
        <f t="shared" si="71"/>
        <v/>
      </c>
    </row>
    <row r="57" spans="3:70" x14ac:dyDescent="0.15">
      <c r="I57" s="38">
        <f t="shared" si="72"/>
        <v>2072</v>
      </c>
      <c r="J57" s="39"/>
      <c r="K57" s="39">
        <f t="shared" si="73"/>
        <v>43</v>
      </c>
      <c r="L57" s="39"/>
      <c r="M57" s="40">
        <f t="shared" si="38"/>
        <v>0.28054293595180391</v>
      </c>
      <c r="N57" s="39"/>
      <c r="O57" s="72" t="str">
        <f t="shared" si="74"/>
        <v/>
      </c>
      <c r="P57" s="41" t="str">
        <f t="shared" si="39"/>
        <v/>
      </c>
      <c r="Q57" s="39"/>
      <c r="R57" s="72" t="str">
        <f t="shared" si="75"/>
        <v/>
      </c>
      <c r="S57" s="39"/>
      <c r="T57" s="72" t="str">
        <f t="shared" si="40"/>
        <v/>
      </c>
      <c r="U57" s="39"/>
      <c r="V57" s="72" t="str">
        <f t="shared" si="41"/>
        <v/>
      </c>
      <c r="W57" s="72" t="str">
        <f t="shared" si="42"/>
        <v/>
      </c>
      <c r="X57" s="39"/>
      <c r="Y57" s="72" t="str">
        <f t="shared" si="43"/>
        <v/>
      </c>
      <c r="Z57" s="72" t="str">
        <f t="shared" si="44"/>
        <v/>
      </c>
      <c r="AA57" s="39"/>
      <c r="AB57" s="72" t="str">
        <f t="shared" si="45"/>
        <v/>
      </c>
      <c r="AC57" s="72" t="str">
        <f t="shared" si="46"/>
        <v/>
      </c>
      <c r="AD57" s="39"/>
      <c r="AE57" s="72" t="str">
        <f t="shared" si="47"/>
        <v/>
      </c>
      <c r="AF57" s="72" t="str">
        <f t="shared" si="48"/>
        <v/>
      </c>
      <c r="AG57" s="39"/>
      <c r="AH57" s="72" t="str">
        <f t="shared" si="49"/>
        <v/>
      </c>
      <c r="AI57" s="72" t="str">
        <f t="shared" si="50"/>
        <v/>
      </c>
      <c r="AJ57" s="39"/>
      <c r="AK57" s="72" t="str">
        <f t="shared" si="51"/>
        <v/>
      </c>
      <c r="AL57" s="72" t="str">
        <f t="shared" si="52"/>
        <v/>
      </c>
      <c r="AM57" s="39"/>
      <c r="AN57" s="72" t="str">
        <f t="shared" si="53"/>
        <v/>
      </c>
      <c r="AO57" s="72" t="str">
        <f t="shared" si="54"/>
        <v/>
      </c>
      <c r="AP57" s="39"/>
      <c r="AQ57" s="72" t="str">
        <f t="shared" si="55"/>
        <v/>
      </c>
      <c r="AR57" s="72" t="str">
        <f t="shared" si="56"/>
        <v/>
      </c>
      <c r="AS57" s="39"/>
      <c r="AT57" s="40"/>
      <c r="AU57" s="39"/>
      <c r="AV57" s="72" t="str">
        <f t="shared" si="57"/>
        <v/>
      </c>
      <c r="AW57" s="72" t="str">
        <f t="shared" si="58"/>
        <v/>
      </c>
      <c r="AX57" s="39"/>
      <c r="AY57" s="40" t="str">
        <f>IF(ISERROR(IF($K57&lt;=$F$15,VLOOKUP($I57,'表4）CO2価格'!$A$7:$E$67,VLOOKUP($F$48,'表4）CO2価格'!$H$10:$I$12,2,0),0)*$F$8/1000,"")),0,IF($K57&lt;=$F$15,VLOOKUP($I57,'表4）CO2価格'!$A$7:$E$67,VLOOKUP($F$48,'表4）CO2価格'!$H$10:$I$12,2,0),0)*$F$8/1000,""))</f>
        <v/>
      </c>
      <c r="AZ57" s="39"/>
      <c r="BA57" s="42" t="str">
        <f t="shared" si="59"/>
        <v/>
      </c>
      <c r="BB57" s="72" t="str">
        <f t="shared" si="60"/>
        <v/>
      </c>
      <c r="BC57" s="39"/>
      <c r="BD57" s="72" t="str">
        <f t="shared" si="61"/>
        <v/>
      </c>
      <c r="BE57" s="72" t="str">
        <f t="shared" si="62"/>
        <v/>
      </c>
      <c r="BF57" s="39"/>
      <c r="BG57" s="42" t="str">
        <f t="shared" si="63"/>
        <v/>
      </c>
      <c r="BH57" s="72" t="str">
        <f t="shared" si="64"/>
        <v/>
      </c>
      <c r="BI57" s="39"/>
      <c r="BJ57" s="40" t="str">
        <f t="shared" si="65"/>
        <v/>
      </c>
      <c r="BK57" s="157" t="str">
        <f t="shared" si="66"/>
        <v/>
      </c>
      <c r="BL57" s="157" t="str">
        <f t="shared" si="67"/>
        <v/>
      </c>
      <c r="BM57" s="72"/>
      <c r="BN57" s="72" t="str">
        <f t="shared" si="68"/>
        <v/>
      </c>
      <c r="BO57" s="72" t="str">
        <f t="shared" si="69"/>
        <v/>
      </c>
      <c r="BP57" s="39"/>
      <c r="BQ57" s="72" t="str">
        <f t="shared" si="70"/>
        <v/>
      </c>
      <c r="BR57" s="72" t="str">
        <f t="shared" si="71"/>
        <v/>
      </c>
    </row>
    <row r="58" spans="3:70" x14ac:dyDescent="0.15">
      <c r="C58" s="4" t="s">
        <v>584</v>
      </c>
      <c r="D58" s="100"/>
      <c r="E58" s="100"/>
      <c r="F58" s="4"/>
      <c r="G58" s="100"/>
      <c r="I58" s="322">
        <f t="shared" si="72"/>
        <v>2073</v>
      </c>
      <c r="K58" s="71">
        <f t="shared" si="73"/>
        <v>44</v>
      </c>
      <c r="M58" s="7">
        <f t="shared" si="38"/>
        <v>0.27237178247747956</v>
      </c>
      <c r="O58" s="10" t="str">
        <f t="shared" si="74"/>
        <v/>
      </c>
      <c r="P58" s="29" t="str">
        <f t="shared" si="39"/>
        <v/>
      </c>
      <c r="R58" s="10" t="str">
        <f t="shared" si="75"/>
        <v/>
      </c>
      <c r="T58" s="10" t="str">
        <f t="shared" si="40"/>
        <v/>
      </c>
      <c r="V58" s="10" t="str">
        <f t="shared" si="41"/>
        <v/>
      </c>
      <c r="W58" s="10" t="str">
        <f t="shared" si="42"/>
        <v/>
      </c>
      <c r="Y58" s="10" t="str">
        <f t="shared" si="43"/>
        <v/>
      </c>
      <c r="Z58" s="10" t="str">
        <f t="shared" si="44"/>
        <v/>
      </c>
      <c r="AB58" s="10" t="str">
        <f t="shared" si="45"/>
        <v/>
      </c>
      <c r="AC58" s="10" t="str">
        <f t="shared" si="46"/>
        <v/>
      </c>
      <c r="AE58" s="10" t="str">
        <f t="shared" si="47"/>
        <v/>
      </c>
      <c r="AF58" s="10" t="str">
        <f t="shared" si="48"/>
        <v/>
      </c>
      <c r="AH58" s="10" t="str">
        <f t="shared" si="49"/>
        <v/>
      </c>
      <c r="AI58" s="10" t="str">
        <f t="shared" si="50"/>
        <v/>
      </c>
      <c r="AK58" s="10" t="str">
        <f t="shared" si="51"/>
        <v/>
      </c>
      <c r="AL58" s="10" t="str">
        <f t="shared" si="52"/>
        <v/>
      </c>
      <c r="AN58" s="10" t="str">
        <f t="shared" si="53"/>
        <v/>
      </c>
      <c r="AO58" s="10" t="str">
        <f t="shared" si="54"/>
        <v/>
      </c>
      <c r="AQ58" s="10" t="str">
        <f t="shared" si="55"/>
        <v/>
      </c>
      <c r="AR58" s="10" t="str">
        <f t="shared" si="56"/>
        <v/>
      </c>
      <c r="AT58" s="7"/>
      <c r="AV58" s="10" t="str">
        <f t="shared" si="57"/>
        <v/>
      </c>
      <c r="AW58" s="10" t="str">
        <f t="shared" si="58"/>
        <v/>
      </c>
      <c r="AY58" s="7" t="str">
        <f>IF(ISERROR(IF($K58&lt;=$F$15,VLOOKUP($I58,'表4）CO2価格'!$A$7:$E$67,VLOOKUP($F$48,'表4）CO2価格'!$H$10:$I$12,2,0),0)*$F$8/1000,"")),0,IF($K58&lt;=$F$15,VLOOKUP($I58,'表4）CO2価格'!$A$7:$E$67,VLOOKUP($F$48,'表4）CO2価格'!$H$10:$I$12,2,0),0)*$F$8/1000,""))</f>
        <v/>
      </c>
      <c r="BA58" s="11" t="str">
        <f t="shared" si="59"/>
        <v/>
      </c>
      <c r="BB58" s="10" t="str">
        <f t="shared" si="60"/>
        <v/>
      </c>
      <c r="BD58" s="10" t="str">
        <f t="shared" si="61"/>
        <v/>
      </c>
      <c r="BE58" s="10" t="str">
        <f t="shared" si="62"/>
        <v/>
      </c>
      <c r="BG58" s="11" t="str">
        <f t="shared" si="63"/>
        <v/>
      </c>
      <c r="BH58" s="10" t="str">
        <f t="shared" si="64"/>
        <v/>
      </c>
      <c r="BJ58" s="7" t="str">
        <f t="shared" si="65"/>
        <v/>
      </c>
      <c r="BK58" s="158" t="str">
        <f t="shared" si="66"/>
        <v/>
      </c>
      <c r="BL58" s="158" t="str">
        <f t="shared" si="67"/>
        <v/>
      </c>
      <c r="BM58" s="10"/>
      <c r="BN58" s="10" t="str">
        <f t="shared" si="68"/>
        <v/>
      </c>
      <c r="BO58" s="10" t="str">
        <f t="shared" si="69"/>
        <v/>
      </c>
      <c r="BQ58" s="10" t="str">
        <f t="shared" si="70"/>
        <v/>
      </c>
      <c r="BR58" s="10" t="str">
        <f t="shared" si="71"/>
        <v/>
      </c>
    </row>
    <row r="59" spans="3:70" x14ac:dyDescent="0.15">
      <c r="I59" s="38">
        <f t="shared" si="72"/>
        <v>2074</v>
      </c>
      <c r="J59" s="39"/>
      <c r="K59" s="39">
        <f t="shared" si="73"/>
        <v>45</v>
      </c>
      <c r="L59" s="39"/>
      <c r="M59" s="40">
        <f t="shared" si="38"/>
        <v>0.26443862376454325</v>
      </c>
      <c r="N59" s="39"/>
      <c r="O59" s="72" t="str">
        <f t="shared" si="74"/>
        <v/>
      </c>
      <c r="P59" s="41" t="str">
        <f t="shared" si="39"/>
        <v/>
      </c>
      <c r="Q59" s="39"/>
      <c r="R59" s="72" t="str">
        <f t="shared" si="75"/>
        <v/>
      </c>
      <c r="S59" s="39"/>
      <c r="T59" s="72" t="str">
        <f t="shared" si="40"/>
        <v/>
      </c>
      <c r="U59" s="39"/>
      <c r="V59" s="72" t="str">
        <f t="shared" si="41"/>
        <v/>
      </c>
      <c r="W59" s="72" t="str">
        <f t="shared" si="42"/>
        <v/>
      </c>
      <c r="X59" s="39"/>
      <c r="Y59" s="72" t="str">
        <f t="shared" si="43"/>
        <v/>
      </c>
      <c r="Z59" s="72" t="str">
        <f t="shared" si="44"/>
        <v/>
      </c>
      <c r="AA59" s="39"/>
      <c r="AB59" s="72" t="str">
        <f t="shared" si="45"/>
        <v/>
      </c>
      <c r="AC59" s="72" t="str">
        <f t="shared" si="46"/>
        <v/>
      </c>
      <c r="AD59" s="39"/>
      <c r="AE59" s="72" t="str">
        <f t="shared" si="47"/>
        <v/>
      </c>
      <c r="AF59" s="72" t="str">
        <f t="shared" si="48"/>
        <v/>
      </c>
      <c r="AG59" s="39"/>
      <c r="AH59" s="72" t="str">
        <f t="shared" si="49"/>
        <v/>
      </c>
      <c r="AI59" s="72" t="str">
        <f t="shared" si="50"/>
        <v/>
      </c>
      <c r="AJ59" s="39"/>
      <c r="AK59" s="72" t="str">
        <f t="shared" si="51"/>
        <v/>
      </c>
      <c r="AL59" s="72" t="str">
        <f t="shared" si="52"/>
        <v/>
      </c>
      <c r="AM59" s="39"/>
      <c r="AN59" s="72" t="str">
        <f t="shared" si="53"/>
        <v/>
      </c>
      <c r="AO59" s="72" t="str">
        <f t="shared" si="54"/>
        <v/>
      </c>
      <c r="AP59" s="39"/>
      <c r="AQ59" s="72" t="str">
        <f t="shared" si="55"/>
        <v/>
      </c>
      <c r="AR59" s="72" t="str">
        <f t="shared" si="56"/>
        <v/>
      </c>
      <c r="AS59" s="39"/>
      <c r="AT59" s="40"/>
      <c r="AU59" s="39"/>
      <c r="AV59" s="72" t="str">
        <f t="shared" si="57"/>
        <v/>
      </c>
      <c r="AW59" s="72" t="str">
        <f t="shared" si="58"/>
        <v/>
      </c>
      <c r="AX59" s="39"/>
      <c r="AY59" s="40" t="str">
        <f>IF(ISERROR(IF($K59&lt;=$F$15,VLOOKUP($I59,'表4）CO2価格'!$A$7:$E$67,VLOOKUP($F$48,'表4）CO2価格'!$H$10:$I$12,2,0),0)*$F$8/1000,"")),0,IF($K59&lt;=$F$15,VLOOKUP($I59,'表4）CO2価格'!$A$7:$E$67,VLOOKUP($F$48,'表4）CO2価格'!$H$10:$I$12,2,0),0)*$F$8/1000,""))</f>
        <v/>
      </c>
      <c r="AZ59" s="39"/>
      <c r="BA59" s="42" t="str">
        <f t="shared" si="59"/>
        <v/>
      </c>
      <c r="BB59" s="72" t="str">
        <f t="shared" si="60"/>
        <v/>
      </c>
      <c r="BC59" s="39"/>
      <c r="BD59" s="72" t="str">
        <f t="shared" si="61"/>
        <v/>
      </c>
      <c r="BE59" s="72" t="str">
        <f t="shared" si="62"/>
        <v/>
      </c>
      <c r="BF59" s="39"/>
      <c r="BG59" s="42" t="str">
        <f t="shared" si="63"/>
        <v/>
      </c>
      <c r="BH59" s="72" t="str">
        <f t="shared" si="64"/>
        <v/>
      </c>
      <c r="BI59" s="39"/>
      <c r="BJ59" s="40" t="str">
        <f t="shared" si="65"/>
        <v/>
      </c>
      <c r="BK59" s="157" t="str">
        <f t="shared" si="66"/>
        <v/>
      </c>
      <c r="BL59" s="157" t="str">
        <f t="shared" si="67"/>
        <v/>
      </c>
      <c r="BM59" s="72"/>
      <c r="BN59" s="72" t="str">
        <f t="shared" si="68"/>
        <v/>
      </c>
      <c r="BO59" s="72" t="str">
        <f t="shared" si="69"/>
        <v/>
      </c>
      <c r="BP59" s="39"/>
      <c r="BQ59" s="72" t="str">
        <f t="shared" si="70"/>
        <v/>
      </c>
      <c r="BR59" s="72" t="str">
        <f t="shared" si="71"/>
        <v/>
      </c>
    </row>
    <row r="60" spans="3:70" x14ac:dyDescent="0.15">
      <c r="D60" s="84" t="s">
        <v>585</v>
      </c>
      <c r="F60" s="481"/>
      <c r="G60" s="84" t="s">
        <v>566</v>
      </c>
      <c r="I60" s="322">
        <f t="shared" si="72"/>
        <v>2075</v>
      </c>
      <c r="K60" s="71">
        <f t="shared" si="73"/>
        <v>46</v>
      </c>
      <c r="M60" s="7">
        <f t="shared" si="38"/>
        <v>0.25673652792674101</v>
      </c>
      <c r="O60" s="10" t="str">
        <f t="shared" si="74"/>
        <v/>
      </c>
      <c r="P60" s="29" t="str">
        <f t="shared" si="39"/>
        <v/>
      </c>
      <c r="R60" s="10" t="str">
        <f t="shared" si="75"/>
        <v/>
      </c>
      <c r="T60" s="10" t="str">
        <f t="shared" si="40"/>
        <v/>
      </c>
      <c r="V60" s="10" t="str">
        <f t="shared" si="41"/>
        <v/>
      </c>
      <c r="W60" s="10" t="str">
        <f t="shared" si="42"/>
        <v/>
      </c>
      <c r="Y60" s="10" t="str">
        <f t="shared" si="43"/>
        <v/>
      </c>
      <c r="Z60" s="10" t="str">
        <f t="shared" si="44"/>
        <v/>
      </c>
      <c r="AB60" s="10" t="str">
        <f t="shared" si="45"/>
        <v/>
      </c>
      <c r="AC60" s="10" t="str">
        <f t="shared" si="46"/>
        <v/>
      </c>
      <c r="AE60" s="10" t="str">
        <f t="shared" si="47"/>
        <v/>
      </c>
      <c r="AF60" s="10" t="str">
        <f t="shared" si="48"/>
        <v/>
      </c>
      <c r="AH60" s="10" t="str">
        <f t="shared" si="49"/>
        <v/>
      </c>
      <c r="AI60" s="10" t="str">
        <f t="shared" si="50"/>
        <v/>
      </c>
      <c r="AK60" s="10" t="str">
        <f t="shared" si="51"/>
        <v/>
      </c>
      <c r="AL60" s="10" t="str">
        <f t="shared" si="52"/>
        <v/>
      </c>
      <c r="AN60" s="10" t="str">
        <f t="shared" si="53"/>
        <v/>
      </c>
      <c r="AO60" s="10" t="str">
        <f t="shared" si="54"/>
        <v/>
      </c>
      <c r="AQ60" s="10" t="str">
        <f t="shared" si="55"/>
        <v/>
      </c>
      <c r="AR60" s="10" t="str">
        <f t="shared" si="56"/>
        <v/>
      </c>
      <c r="AT60" s="7"/>
      <c r="AV60" s="10" t="str">
        <f t="shared" si="57"/>
        <v/>
      </c>
      <c r="AW60" s="10" t="str">
        <f t="shared" si="58"/>
        <v/>
      </c>
      <c r="AY60" s="7" t="str">
        <f>IF(ISERROR(IF($K60&lt;=$F$15,VLOOKUP($I60,'表4）CO2価格'!$A$7:$E$67,VLOOKUP($F$48,'表4）CO2価格'!$H$10:$I$12,2,0),0)*$F$8/1000,"")),0,IF($K60&lt;=$F$15,VLOOKUP($I60,'表4）CO2価格'!$A$7:$E$67,VLOOKUP($F$48,'表4）CO2価格'!$H$10:$I$12,2,0),0)*$F$8/1000,""))</f>
        <v/>
      </c>
      <c r="BA60" s="11" t="str">
        <f t="shared" si="59"/>
        <v/>
      </c>
      <c r="BB60" s="10" t="str">
        <f t="shared" si="60"/>
        <v/>
      </c>
      <c r="BD60" s="10" t="str">
        <f t="shared" si="61"/>
        <v/>
      </c>
      <c r="BE60" s="10" t="str">
        <f t="shared" si="62"/>
        <v/>
      </c>
      <c r="BG60" s="11" t="str">
        <f t="shared" si="63"/>
        <v/>
      </c>
      <c r="BH60" s="10" t="str">
        <f t="shared" si="64"/>
        <v/>
      </c>
      <c r="BJ60" s="7" t="str">
        <f t="shared" si="65"/>
        <v/>
      </c>
      <c r="BK60" s="158" t="str">
        <f t="shared" si="66"/>
        <v/>
      </c>
      <c r="BL60" s="158" t="str">
        <f t="shared" si="67"/>
        <v/>
      </c>
      <c r="BM60" s="10"/>
      <c r="BN60" s="10" t="str">
        <f t="shared" si="68"/>
        <v/>
      </c>
      <c r="BO60" s="10" t="str">
        <f t="shared" si="69"/>
        <v/>
      </c>
      <c r="BQ60" s="10" t="str">
        <f t="shared" si="70"/>
        <v/>
      </c>
      <c r="BR60" s="10" t="str">
        <f t="shared" si="71"/>
        <v/>
      </c>
    </row>
    <row r="61" spans="3:70" x14ac:dyDescent="0.15">
      <c r="D61" s="84" t="s">
        <v>586</v>
      </c>
      <c r="F61" s="475"/>
      <c r="G61" s="84" t="s">
        <v>556</v>
      </c>
      <c r="I61" s="38">
        <f t="shared" si="72"/>
        <v>2076</v>
      </c>
      <c r="J61" s="39"/>
      <c r="K61" s="39">
        <f t="shared" si="73"/>
        <v>47</v>
      </c>
      <c r="L61" s="39"/>
      <c r="M61" s="40">
        <f t="shared" si="38"/>
        <v>0.24925876497741845</v>
      </c>
      <c r="N61" s="39"/>
      <c r="O61" s="72" t="str">
        <f t="shared" si="74"/>
        <v/>
      </c>
      <c r="P61" s="41" t="str">
        <f t="shared" si="39"/>
        <v/>
      </c>
      <c r="Q61" s="39"/>
      <c r="R61" s="72" t="str">
        <f t="shared" si="75"/>
        <v/>
      </c>
      <c r="S61" s="39"/>
      <c r="T61" s="72" t="str">
        <f t="shared" si="40"/>
        <v/>
      </c>
      <c r="U61" s="39"/>
      <c r="V61" s="72" t="str">
        <f t="shared" si="41"/>
        <v/>
      </c>
      <c r="W61" s="72" t="str">
        <f t="shared" si="42"/>
        <v/>
      </c>
      <c r="X61" s="39"/>
      <c r="Y61" s="72" t="str">
        <f t="shared" si="43"/>
        <v/>
      </c>
      <c r="Z61" s="72" t="str">
        <f t="shared" si="44"/>
        <v/>
      </c>
      <c r="AA61" s="39"/>
      <c r="AB61" s="72" t="str">
        <f t="shared" si="45"/>
        <v/>
      </c>
      <c r="AC61" s="72" t="str">
        <f t="shared" si="46"/>
        <v/>
      </c>
      <c r="AD61" s="39"/>
      <c r="AE61" s="72" t="str">
        <f t="shared" si="47"/>
        <v/>
      </c>
      <c r="AF61" s="72" t="str">
        <f t="shared" si="48"/>
        <v/>
      </c>
      <c r="AG61" s="39"/>
      <c r="AH61" s="72" t="str">
        <f t="shared" si="49"/>
        <v/>
      </c>
      <c r="AI61" s="72" t="str">
        <f t="shared" si="50"/>
        <v/>
      </c>
      <c r="AJ61" s="39"/>
      <c r="AK61" s="72" t="str">
        <f t="shared" si="51"/>
        <v/>
      </c>
      <c r="AL61" s="72" t="str">
        <f t="shared" si="52"/>
        <v/>
      </c>
      <c r="AM61" s="39"/>
      <c r="AN61" s="72" t="str">
        <f t="shared" si="53"/>
        <v/>
      </c>
      <c r="AO61" s="72" t="str">
        <f t="shared" si="54"/>
        <v/>
      </c>
      <c r="AP61" s="39"/>
      <c r="AQ61" s="72" t="str">
        <f t="shared" si="55"/>
        <v/>
      </c>
      <c r="AR61" s="72" t="str">
        <f t="shared" si="56"/>
        <v/>
      </c>
      <c r="AS61" s="39"/>
      <c r="AT61" s="40"/>
      <c r="AU61" s="39"/>
      <c r="AV61" s="72" t="str">
        <f t="shared" si="57"/>
        <v/>
      </c>
      <c r="AW61" s="72" t="str">
        <f t="shared" si="58"/>
        <v/>
      </c>
      <c r="AX61" s="39"/>
      <c r="AY61" s="40" t="str">
        <f>IF(ISERROR(IF($K61&lt;=$F$15,VLOOKUP($I61,'表4）CO2価格'!$A$7:$E$67,VLOOKUP($F$48,'表4）CO2価格'!$H$10:$I$12,2,0),0)*$F$8/1000,"")),0,IF($K61&lt;=$F$15,VLOOKUP($I61,'表4）CO2価格'!$A$7:$E$67,VLOOKUP($F$48,'表4）CO2価格'!$H$10:$I$12,2,0),0)*$F$8/1000,""))</f>
        <v/>
      </c>
      <c r="AZ61" s="39"/>
      <c r="BA61" s="42" t="str">
        <f t="shared" si="59"/>
        <v/>
      </c>
      <c r="BB61" s="72" t="str">
        <f t="shared" si="60"/>
        <v/>
      </c>
      <c r="BC61" s="39"/>
      <c r="BD61" s="72" t="str">
        <f t="shared" si="61"/>
        <v/>
      </c>
      <c r="BE61" s="72" t="str">
        <f t="shared" si="62"/>
        <v/>
      </c>
      <c r="BF61" s="39"/>
      <c r="BG61" s="42" t="str">
        <f t="shared" si="63"/>
        <v/>
      </c>
      <c r="BH61" s="72" t="str">
        <f t="shared" si="64"/>
        <v/>
      </c>
      <c r="BI61" s="39"/>
      <c r="BJ61" s="40" t="str">
        <f t="shared" si="65"/>
        <v/>
      </c>
      <c r="BK61" s="157" t="str">
        <f t="shared" si="66"/>
        <v/>
      </c>
      <c r="BL61" s="157" t="str">
        <f t="shared" si="67"/>
        <v/>
      </c>
      <c r="BM61" s="72"/>
      <c r="BN61" s="72" t="str">
        <f t="shared" si="68"/>
        <v/>
      </c>
      <c r="BO61" s="72" t="str">
        <f t="shared" si="69"/>
        <v/>
      </c>
      <c r="BP61" s="39"/>
      <c r="BQ61" s="72" t="str">
        <f t="shared" si="70"/>
        <v/>
      </c>
      <c r="BR61" s="72" t="str">
        <f t="shared" si="71"/>
        <v/>
      </c>
    </row>
    <row r="62" spans="3:70" x14ac:dyDescent="0.15">
      <c r="D62" s="84" t="s">
        <v>587</v>
      </c>
      <c r="F62" s="481"/>
      <c r="G62" s="84" t="s">
        <v>588</v>
      </c>
      <c r="I62" s="322">
        <f t="shared" si="72"/>
        <v>2077</v>
      </c>
      <c r="K62" s="71">
        <f t="shared" si="73"/>
        <v>48</v>
      </c>
      <c r="M62" s="7">
        <f t="shared" si="38"/>
        <v>0.24199880094894996</v>
      </c>
      <c r="O62" s="10" t="str">
        <f t="shared" si="74"/>
        <v/>
      </c>
      <c r="P62" s="29" t="str">
        <f t="shared" si="39"/>
        <v/>
      </c>
      <c r="R62" s="10" t="str">
        <f t="shared" si="75"/>
        <v/>
      </c>
      <c r="T62" s="10" t="str">
        <f t="shared" si="40"/>
        <v/>
      </c>
      <c r="V62" s="10" t="str">
        <f t="shared" si="41"/>
        <v/>
      </c>
      <c r="W62" s="10" t="str">
        <f t="shared" si="42"/>
        <v/>
      </c>
      <c r="Y62" s="10" t="str">
        <f t="shared" si="43"/>
        <v/>
      </c>
      <c r="Z62" s="10" t="str">
        <f t="shared" si="44"/>
        <v/>
      </c>
      <c r="AB62" s="10" t="str">
        <f t="shared" si="45"/>
        <v/>
      </c>
      <c r="AC62" s="10" t="str">
        <f t="shared" si="46"/>
        <v/>
      </c>
      <c r="AE62" s="10" t="str">
        <f t="shared" si="47"/>
        <v/>
      </c>
      <c r="AF62" s="10" t="str">
        <f t="shared" si="48"/>
        <v/>
      </c>
      <c r="AH62" s="10" t="str">
        <f t="shared" si="49"/>
        <v/>
      </c>
      <c r="AI62" s="10" t="str">
        <f t="shared" si="50"/>
        <v/>
      </c>
      <c r="AK62" s="10" t="str">
        <f t="shared" si="51"/>
        <v/>
      </c>
      <c r="AL62" s="10" t="str">
        <f t="shared" si="52"/>
        <v/>
      </c>
      <c r="AN62" s="10" t="str">
        <f t="shared" si="53"/>
        <v/>
      </c>
      <c r="AO62" s="10" t="str">
        <f t="shared" si="54"/>
        <v/>
      </c>
      <c r="AQ62" s="10" t="str">
        <f t="shared" si="55"/>
        <v/>
      </c>
      <c r="AR62" s="10" t="str">
        <f t="shared" si="56"/>
        <v/>
      </c>
      <c r="AT62" s="7"/>
      <c r="AV62" s="10" t="str">
        <f t="shared" si="57"/>
        <v/>
      </c>
      <c r="AW62" s="10" t="str">
        <f t="shared" si="58"/>
        <v/>
      </c>
      <c r="AY62" s="7" t="str">
        <f>IF(ISERROR(IF($K62&lt;=$F$15,VLOOKUP($I62,'表4）CO2価格'!$A$7:$E$67,VLOOKUP($F$48,'表4）CO2価格'!$H$10:$I$12,2,0),0)*$F$8/1000,"")),0,IF($K62&lt;=$F$15,VLOOKUP($I62,'表4）CO2価格'!$A$7:$E$67,VLOOKUP($F$48,'表4）CO2価格'!$H$10:$I$12,2,0),0)*$F$8/1000,""))</f>
        <v/>
      </c>
      <c r="BA62" s="11" t="str">
        <f t="shared" si="59"/>
        <v/>
      </c>
      <c r="BB62" s="10" t="str">
        <f t="shared" si="60"/>
        <v/>
      </c>
      <c r="BD62" s="10" t="str">
        <f t="shared" si="61"/>
        <v/>
      </c>
      <c r="BE62" s="10" t="str">
        <f t="shared" si="62"/>
        <v/>
      </c>
      <c r="BG62" s="11" t="str">
        <f t="shared" si="63"/>
        <v/>
      </c>
      <c r="BH62" s="10" t="str">
        <f t="shared" si="64"/>
        <v/>
      </c>
      <c r="BJ62" s="7" t="str">
        <f t="shared" si="65"/>
        <v/>
      </c>
      <c r="BK62" s="158" t="str">
        <f t="shared" si="66"/>
        <v/>
      </c>
      <c r="BL62" s="158" t="str">
        <f t="shared" si="67"/>
        <v/>
      </c>
      <c r="BM62" s="10"/>
      <c r="BN62" s="10" t="str">
        <f t="shared" si="68"/>
        <v/>
      </c>
      <c r="BO62" s="10" t="str">
        <f t="shared" si="69"/>
        <v/>
      </c>
      <c r="BQ62" s="10" t="str">
        <f t="shared" si="70"/>
        <v/>
      </c>
      <c r="BR62" s="10" t="str">
        <f t="shared" si="71"/>
        <v/>
      </c>
    </row>
    <row r="63" spans="3:70" x14ac:dyDescent="0.15">
      <c r="I63" s="38">
        <f t="shared" si="72"/>
        <v>2078</v>
      </c>
      <c r="J63" s="39"/>
      <c r="K63" s="39">
        <f t="shared" si="73"/>
        <v>49</v>
      </c>
      <c r="L63" s="39"/>
      <c r="M63" s="40">
        <f t="shared" si="38"/>
        <v>0.2349502921834466</v>
      </c>
      <c r="N63" s="39"/>
      <c r="O63" s="72" t="str">
        <f t="shared" si="74"/>
        <v/>
      </c>
      <c r="P63" s="41" t="str">
        <f t="shared" si="39"/>
        <v/>
      </c>
      <c r="Q63" s="39"/>
      <c r="R63" s="72" t="str">
        <f t="shared" si="75"/>
        <v/>
      </c>
      <c r="S63" s="39"/>
      <c r="T63" s="72" t="str">
        <f t="shared" si="40"/>
        <v/>
      </c>
      <c r="U63" s="39"/>
      <c r="V63" s="72" t="str">
        <f t="shared" si="41"/>
        <v/>
      </c>
      <c r="W63" s="72" t="str">
        <f t="shared" si="42"/>
        <v/>
      </c>
      <c r="X63" s="39"/>
      <c r="Y63" s="72" t="str">
        <f t="shared" si="43"/>
        <v/>
      </c>
      <c r="Z63" s="72" t="str">
        <f t="shared" si="44"/>
        <v/>
      </c>
      <c r="AA63" s="39"/>
      <c r="AB63" s="72" t="str">
        <f t="shared" si="45"/>
        <v/>
      </c>
      <c r="AC63" s="72" t="str">
        <f t="shared" si="46"/>
        <v/>
      </c>
      <c r="AD63" s="39"/>
      <c r="AE63" s="72" t="str">
        <f t="shared" si="47"/>
        <v/>
      </c>
      <c r="AF63" s="72" t="str">
        <f t="shared" si="48"/>
        <v/>
      </c>
      <c r="AG63" s="39"/>
      <c r="AH63" s="72" t="str">
        <f t="shared" si="49"/>
        <v/>
      </c>
      <c r="AI63" s="72" t="str">
        <f t="shared" si="50"/>
        <v/>
      </c>
      <c r="AJ63" s="39"/>
      <c r="AK63" s="72" t="str">
        <f t="shared" si="51"/>
        <v/>
      </c>
      <c r="AL63" s="72" t="str">
        <f t="shared" si="52"/>
        <v/>
      </c>
      <c r="AM63" s="39"/>
      <c r="AN63" s="72" t="str">
        <f t="shared" si="53"/>
        <v/>
      </c>
      <c r="AO63" s="72" t="str">
        <f t="shared" si="54"/>
        <v/>
      </c>
      <c r="AP63" s="39"/>
      <c r="AQ63" s="72" t="str">
        <f t="shared" si="55"/>
        <v/>
      </c>
      <c r="AR63" s="72" t="str">
        <f t="shared" si="56"/>
        <v/>
      </c>
      <c r="AS63" s="39"/>
      <c r="AT63" s="40"/>
      <c r="AU63" s="39"/>
      <c r="AV63" s="72" t="str">
        <f t="shared" si="57"/>
        <v/>
      </c>
      <c r="AW63" s="72" t="str">
        <f t="shared" si="58"/>
        <v/>
      </c>
      <c r="AX63" s="39"/>
      <c r="AY63" s="40" t="str">
        <f>IF(ISERROR(IF($K63&lt;=$F$15,VLOOKUP($I63,'表4）CO2価格'!$A$7:$E$67,VLOOKUP($F$48,'表4）CO2価格'!$H$10:$I$12,2,0),0)*$F$8/1000,"")),0,IF($K63&lt;=$F$15,VLOOKUP($I63,'表4）CO2価格'!$A$7:$E$67,VLOOKUP($F$48,'表4）CO2価格'!$H$10:$I$12,2,0),0)*$F$8/1000,""))</f>
        <v/>
      </c>
      <c r="AZ63" s="39"/>
      <c r="BA63" s="42" t="str">
        <f t="shared" si="59"/>
        <v/>
      </c>
      <c r="BB63" s="72" t="str">
        <f t="shared" si="60"/>
        <v/>
      </c>
      <c r="BC63" s="39"/>
      <c r="BD63" s="72" t="str">
        <f t="shared" si="61"/>
        <v/>
      </c>
      <c r="BE63" s="72" t="str">
        <f t="shared" si="62"/>
        <v/>
      </c>
      <c r="BF63" s="39"/>
      <c r="BG63" s="42" t="str">
        <f t="shared" si="63"/>
        <v/>
      </c>
      <c r="BH63" s="72" t="str">
        <f t="shared" si="64"/>
        <v/>
      </c>
      <c r="BI63" s="39"/>
      <c r="BJ63" s="40" t="str">
        <f t="shared" si="65"/>
        <v/>
      </c>
      <c r="BK63" s="157" t="str">
        <f t="shared" si="66"/>
        <v/>
      </c>
      <c r="BL63" s="157" t="str">
        <f t="shared" si="67"/>
        <v/>
      </c>
      <c r="BM63" s="72"/>
      <c r="BN63" s="72" t="str">
        <f t="shared" si="68"/>
        <v/>
      </c>
      <c r="BO63" s="72" t="str">
        <f t="shared" si="69"/>
        <v/>
      </c>
      <c r="BP63" s="39"/>
      <c r="BQ63" s="72" t="str">
        <f t="shared" si="70"/>
        <v/>
      </c>
      <c r="BR63" s="72" t="str">
        <f t="shared" si="71"/>
        <v/>
      </c>
    </row>
    <row r="64" spans="3:70" x14ac:dyDescent="0.15">
      <c r="C64" s="71" t="s">
        <v>589</v>
      </c>
      <c r="F64" s="478">
        <v>0.14000000000000001</v>
      </c>
      <c r="G64" s="84" t="s">
        <v>590</v>
      </c>
      <c r="I64" s="322">
        <f t="shared" si="72"/>
        <v>2079</v>
      </c>
      <c r="K64" s="71">
        <f t="shared" si="73"/>
        <v>50</v>
      </c>
      <c r="M64" s="7">
        <f t="shared" si="38"/>
        <v>0.22810707978975397</v>
      </c>
      <c r="O64" s="10" t="str">
        <f t="shared" si="74"/>
        <v/>
      </c>
      <c r="P64" s="29" t="str">
        <f t="shared" si="39"/>
        <v/>
      </c>
      <c r="R64" s="10" t="str">
        <f t="shared" si="75"/>
        <v/>
      </c>
      <c r="T64" s="10" t="str">
        <f t="shared" si="40"/>
        <v/>
      </c>
      <c r="V64" s="10" t="str">
        <f t="shared" si="41"/>
        <v/>
      </c>
      <c r="W64" s="10" t="str">
        <f t="shared" si="42"/>
        <v/>
      </c>
      <c r="Y64" s="10" t="str">
        <f t="shared" si="43"/>
        <v/>
      </c>
      <c r="Z64" s="10" t="str">
        <f t="shared" si="44"/>
        <v/>
      </c>
      <c r="AB64" s="10" t="str">
        <f t="shared" si="45"/>
        <v/>
      </c>
      <c r="AC64" s="10" t="str">
        <f t="shared" si="46"/>
        <v/>
      </c>
      <c r="AE64" s="10" t="str">
        <f t="shared" si="47"/>
        <v/>
      </c>
      <c r="AF64" s="10" t="str">
        <f t="shared" si="48"/>
        <v/>
      </c>
      <c r="AH64" s="10" t="str">
        <f t="shared" si="49"/>
        <v/>
      </c>
      <c r="AI64" s="10" t="str">
        <f t="shared" si="50"/>
        <v/>
      </c>
      <c r="AK64" s="10" t="str">
        <f t="shared" si="51"/>
        <v/>
      </c>
      <c r="AL64" s="10" t="str">
        <f t="shared" si="52"/>
        <v/>
      </c>
      <c r="AN64" s="10" t="str">
        <f t="shared" si="53"/>
        <v/>
      </c>
      <c r="AO64" s="10" t="str">
        <f t="shared" si="54"/>
        <v/>
      </c>
      <c r="AQ64" s="10" t="str">
        <f t="shared" si="55"/>
        <v/>
      </c>
      <c r="AR64" s="10" t="str">
        <f t="shared" si="56"/>
        <v/>
      </c>
      <c r="AT64" s="7"/>
      <c r="AV64" s="10" t="str">
        <f t="shared" si="57"/>
        <v/>
      </c>
      <c r="AW64" s="10" t="str">
        <f t="shared" si="58"/>
        <v/>
      </c>
      <c r="AY64" s="7" t="str">
        <f>IF(ISERROR(IF($K64&lt;=$F$15,VLOOKUP($I64,'表4）CO2価格'!$A$7:$E$67,VLOOKUP($F$48,'表4）CO2価格'!$H$10:$I$12,2,0),0)*$F$8/1000,"")),0,IF($K64&lt;=$F$15,VLOOKUP($I64,'表4）CO2価格'!$A$7:$E$67,VLOOKUP($F$48,'表4）CO2価格'!$H$10:$I$12,2,0),0)*$F$8/1000,""))</f>
        <v/>
      </c>
      <c r="BA64" s="11" t="str">
        <f t="shared" si="59"/>
        <v/>
      </c>
      <c r="BB64" s="10" t="str">
        <f t="shared" si="60"/>
        <v/>
      </c>
      <c r="BD64" s="10" t="str">
        <f t="shared" si="61"/>
        <v/>
      </c>
      <c r="BE64" s="10" t="str">
        <f t="shared" si="62"/>
        <v/>
      </c>
      <c r="BG64" s="11" t="str">
        <f t="shared" si="63"/>
        <v/>
      </c>
      <c r="BH64" s="10" t="str">
        <f t="shared" si="64"/>
        <v/>
      </c>
      <c r="BJ64" s="7" t="str">
        <f t="shared" si="65"/>
        <v/>
      </c>
      <c r="BK64" s="158" t="str">
        <f t="shared" si="66"/>
        <v/>
      </c>
      <c r="BL64" s="158" t="str">
        <f t="shared" si="67"/>
        <v/>
      </c>
      <c r="BM64" s="10"/>
      <c r="BN64" s="10" t="str">
        <f t="shared" si="68"/>
        <v/>
      </c>
      <c r="BO64" s="10" t="str">
        <f t="shared" si="69"/>
        <v/>
      </c>
      <c r="BQ64" s="10" t="str">
        <f t="shared" si="70"/>
        <v/>
      </c>
      <c r="BR64" s="10" t="str">
        <f t="shared" si="71"/>
        <v/>
      </c>
    </row>
    <row r="65" spans="2:70" x14ac:dyDescent="0.15">
      <c r="I65" s="38">
        <f t="shared" si="72"/>
        <v>2080</v>
      </c>
      <c r="J65" s="39"/>
      <c r="K65" s="39">
        <f t="shared" si="73"/>
        <v>51</v>
      </c>
      <c r="L65" s="39"/>
      <c r="M65" s="40">
        <f t="shared" si="38"/>
        <v>0.22146318426189707</v>
      </c>
      <c r="N65" s="39"/>
      <c r="O65" s="72" t="str">
        <f t="shared" si="74"/>
        <v/>
      </c>
      <c r="P65" s="41" t="str">
        <f t="shared" si="39"/>
        <v/>
      </c>
      <c r="Q65" s="39"/>
      <c r="R65" s="72" t="str">
        <f t="shared" si="75"/>
        <v/>
      </c>
      <c r="S65" s="39"/>
      <c r="T65" s="72" t="str">
        <f t="shared" si="40"/>
        <v/>
      </c>
      <c r="U65" s="39"/>
      <c r="V65" s="72" t="str">
        <f t="shared" si="41"/>
        <v/>
      </c>
      <c r="W65" s="72" t="str">
        <f t="shared" si="42"/>
        <v/>
      </c>
      <c r="X65" s="39"/>
      <c r="Y65" s="72" t="str">
        <f t="shared" si="43"/>
        <v/>
      </c>
      <c r="Z65" s="72" t="str">
        <f t="shared" si="44"/>
        <v/>
      </c>
      <c r="AA65" s="39"/>
      <c r="AB65" s="72" t="str">
        <f t="shared" si="45"/>
        <v/>
      </c>
      <c r="AC65" s="72" t="str">
        <f t="shared" si="46"/>
        <v/>
      </c>
      <c r="AD65" s="39"/>
      <c r="AE65" s="72" t="str">
        <f t="shared" si="47"/>
        <v/>
      </c>
      <c r="AF65" s="72" t="str">
        <f t="shared" si="48"/>
        <v/>
      </c>
      <c r="AG65" s="39"/>
      <c r="AH65" s="72" t="str">
        <f t="shared" si="49"/>
        <v/>
      </c>
      <c r="AI65" s="72" t="str">
        <f t="shared" si="50"/>
        <v/>
      </c>
      <c r="AJ65" s="39"/>
      <c r="AK65" s="72" t="str">
        <f t="shared" si="51"/>
        <v/>
      </c>
      <c r="AL65" s="72" t="str">
        <f t="shared" si="52"/>
        <v/>
      </c>
      <c r="AM65" s="39"/>
      <c r="AN65" s="72" t="str">
        <f t="shared" si="53"/>
        <v/>
      </c>
      <c r="AO65" s="72" t="str">
        <f t="shared" si="54"/>
        <v/>
      </c>
      <c r="AP65" s="39"/>
      <c r="AQ65" s="72" t="str">
        <f t="shared" si="55"/>
        <v/>
      </c>
      <c r="AR65" s="72" t="str">
        <f t="shared" si="56"/>
        <v/>
      </c>
      <c r="AS65" s="39"/>
      <c r="AT65" s="40"/>
      <c r="AU65" s="39"/>
      <c r="AV65" s="72" t="str">
        <f t="shared" si="57"/>
        <v/>
      </c>
      <c r="AW65" s="72" t="str">
        <f t="shared" si="58"/>
        <v/>
      </c>
      <c r="AX65" s="39"/>
      <c r="AY65" s="40" t="str">
        <f>IF(ISERROR(IF($K65&lt;=$F$15,VLOOKUP($I65,'表4）CO2価格'!$A$7:$E$67,VLOOKUP($F$48,'表4）CO2価格'!$H$10:$I$12,2,0),0)*$F$8/1000,"")),0,IF($K65&lt;=$F$15,VLOOKUP($I65,'表4）CO2価格'!$A$7:$E$67,VLOOKUP($F$48,'表4）CO2価格'!$H$10:$I$12,2,0),0)*$F$8/1000,""))</f>
        <v/>
      </c>
      <c r="AZ65" s="39"/>
      <c r="BA65" s="42" t="str">
        <f t="shared" si="59"/>
        <v/>
      </c>
      <c r="BB65" s="72" t="str">
        <f t="shared" si="60"/>
        <v/>
      </c>
      <c r="BC65" s="39"/>
      <c r="BD65" s="72" t="str">
        <f t="shared" si="61"/>
        <v/>
      </c>
      <c r="BE65" s="72" t="str">
        <f t="shared" si="62"/>
        <v/>
      </c>
      <c r="BF65" s="39"/>
      <c r="BG65" s="42" t="str">
        <f t="shared" si="63"/>
        <v/>
      </c>
      <c r="BH65" s="72" t="str">
        <f t="shared" si="64"/>
        <v/>
      </c>
      <c r="BI65" s="39"/>
      <c r="BJ65" s="40" t="str">
        <f t="shared" si="65"/>
        <v/>
      </c>
      <c r="BK65" s="157" t="str">
        <f t="shared" si="66"/>
        <v/>
      </c>
      <c r="BL65" s="157" t="str">
        <f t="shared" si="67"/>
        <v/>
      </c>
      <c r="BM65" s="72"/>
      <c r="BN65" s="72" t="str">
        <f t="shared" si="68"/>
        <v/>
      </c>
      <c r="BO65" s="72" t="str">
        <f t="shared" si="69"/>
        <v/>
      </c>
      <c r="BP65" s="39"/>
      <c r="BQ65" s="72" t="str">
        <f t="shared" si="70"/>
        <v/>
      </c>
      <c r="BR65" s="72" t="str">
        <f t="shared" si="71"/>
        <v/>
      </c>
    </row>
    <row r="66" spans="2:70" x14ac:dyDescent="0.15">
      <c r="I66" s="322">
        <f t="shared" si="72"/>
        <v>2081</v>
      </c>
      <c r="K66" s="71">
        <f t="shared" si="73"/>
        <v>52</v>
      </c>
      <c r="M66" s="7">
        <f t="shared" si="38"/>
        <v>0.215012800254269</v>
      </c>
      <c r="O66" s="10" t="str">
        <f t="shared" si="74"/>
        <v/>
      </c>
      <c r="P66" s="29" t="str">
        <f t="shared" si="39"/>
        <v/>
      </c>
      <c r="R66" s="10" t="str">
        <f t="shared" si="75"/>
        <v/>
      </c>
      <c r="T66" s="10" t="str">
        <f t="shared" si="40"/>
        <v/>
      </c>
      <c r="V66" s="10" t="str">
        <f t="shared" si="41"/>
        <v/>
      </c>
      <c r="W66" s="10" t="str">
        <f t="shared" si="42"/>
        <v/>
      </c>
      <c r="Y66" s="10" t="str">
        <f t="shared" si="43"/>
        <v/>
      </c>
      <c r="Z66" s="10" t="str">
        <f t="shared" si="44"/>
        <v/>
      </c>
      <c r="AB66" s="10" t="str">
        <f t="shared" si="45"/>
        <v/>
      </c>
      <c r="AC66" s="10" t="str">
        <f t="shared" si="46"/>
        <v/>
      </c>
      <c r="AE66" s="10" t="str">
        <f t="shared" si="47"/>
        <v/>
      </c>
      <c r="AF66" s="10" t="str">
        <f t="shared" si="48"/>
        <v/>
      </c>
      <c r="AH66" s="10" t="str">
        <f t="shared" si="49"/>
        <v/>
      </c>
      <c r="AI66" s="10" t="str">
        <f t="shared" si="50"/>
        <v/>
      </c>
      <c r="AK66" s="10" t="str">
        <f t="shared" si="51"/>
        <v/>
      </c>
      <c r="AL66" s="10" t="str">
        <f t="shared" si="52"/>
        <v/>
      </c>
      <c r="AN66" s="10" t="str">
        <f t="shared" si="53"/>
        <v/>
      </c>
      <c r="AO66" s="10" t="str">
        <f t="shared" si="54"/>
        <v/>
      </c>
      <c r="AQ66" s="10" t="str">
        <f t="shared" si="55"/>
        <v/>
      </c>
      <c r="AR66" s="10" t="str">
        <f t="shared" si="56"/>
        <v/>
      </c>
      <c r="AT66" s="7"/>
      <c r="AV66" s="10" t="str">
        <f t="shared" si="57"/>
        <v/>
      </c>
      <c r="AW66" s="10" t="str">
        <f t="shared" si="58"/>
        <v/>
      </c>
      <c r="AY66" s="7" t="str">
        <f>IF(ISERROR(IF($K66&lt;=$F$15,VLOOKUP($I66,'表4）CO2価格'!$A$7:$E$67,VLOOKUP($F$48,'表4）CO2価格'!$H$10:$I$12,2,0),0)*$F$8/1000,"")),0,IF($K66&lt;=$F$15,VLOOKUP($I66,'表4）CO2価格'!$A$7:$E$67,VLOOKUP($F$48,'表4）CO2価格'!$H$10:$I$12,2,0),0)*$F$8/1000,""))</f>
        <v/>
      </c>
      <c r="BA66" s="11" t="str">
        <f t="shared" si="59"/>
        <v/>
      </c>
      <c r="BB66" s="10" t="str">
        <f t="shared" si="60"/>
        <v/>
      </c>
      <c r="BD66" s="10" t="str">
        <f t="shared" si="61"/>
        <v/>
      </c>
      <c r="BE66" s="10" t="str">
        <f t="shared" si="62"/>
        <v/>
      </c>
      <c r="BG66" s="11" t="str">
        <f t="shared" si="63"/>
        <v/>
      </c>
      <c r="BH66" s="10" t="str">
        <f t="shared" si="64"/>
        <v/>
      </c>
      <c r="BJ66" s="7" t="str">
        <f t="shared" si="65"/>
        <v/>
      </c>
      <c r="BK66" s="158" t="str">
        <f t="shared" si="66"/>
        <v/>
      </c>
      <c r="BL66" s="158" t="str">
        <f t="shared" si="67"/>
        <v/>
      </c>
      <c r="BM66" s="10"/>
      <c r="BN66" s="10" t="str">
        <f t="shared" si="68"/>
        <v/>
      </c>
      <c r="BO66" s="10" t="str">
        <f t="shared" si="69"/>
        <v/>
      </c>
      <c r="BQ66" s="10" t="str">
        <f t="shared" si="70"/>
        <v/>
      </c>
      <c r="BR66" s="10" t="str">
        <f t="shared" si="71"/>
        <v/>
      </c>
    </row>
    <row r="67" spans="2:70" ht="15.75" thickBot="1" x14ac:dyDescent="0.2">
      <c r="B67" s="5" t="s">
        <v>133</v>
      </c>
      <c r="C67" s="3"/>
      <c r="D67" s="102"/>
      <c r="E67" s="102"/>
      <c r="F67" s="3"/>
      <c r="G67" s="102"/>
      <c r="I67" s="38">
        <f t="shared" si="72"/>
        <v>2082</v>
      </c>
      <c r="J67" s="39"/>
      <c r="K67" s="39">
        <f t="shared" si="73"/>
        <v>53</v>
      </c>
      <c r="L67" s="39"/>
      <c r="M67" s="40">
        <f t="shared" si="38"/>
        <v>0.20875029150899907</v>
      </c>
      <c r="N67" s="39"/>
      <c r="O67" s="72" t="str">
        <f t="shared" si="74"/>
        <v/>
      </c>
      <c r="P67" s="41" t="str">
        <f t="shared" si="39"/>
        <v/>
      </c>
      <c r="Q67" s="39"/>
      <c r="R67" s="72" t="str">
        <f t="shared" si="75"/>
        <v/>
      </c>
      <c r="S67" s="39"/>
      <c r="T67" s="72" t="str">
        <f t="shared" si="40"/>
        <v/>
      </c>
      <c r="U67" s="39"/>
      <c r="V67" s="72" t="str">
        <f t="shared" si="41"/>
        <v/>
      </c>
      <c r="W67" s="72" t="str">
        <f t="shared" si="42"/>
        <v/>
      </c>
      <c r="X67" s="39"/>
      <c r="Y67" s="72" t="str">
        <f t="shared" si="43"/>
        <v/>
      </c>
      <c r="Z67" s="72" t="str">
        <f t="shared" si="44"/>
        <v/>
      </c>
      <c r="AA67" s="39"/>
      <c r="AB67" s="72" t="str">
        <f t="shared" si="45"/>
        <v/>
      </c>
      <c r="AC67" s="72" t="str">
        <f t="shared" si="46"/>
        <v/>
      </c>
      <c r="AD67" s="39"/>
      <c r="AE67" s="72" t="str">
        <f t="shared" si="47"/>
        <v/>
      </c>
      <c r="AF67" s="72" t="str">
        <f t="shared" si="48"/>
        <v/>
      </c>
      <c r="AG67" s="39"/>
      <c r="AH67" s="72" t="str">
        <f t="shared" si="49"/>
        <v/>
      </c>
      <c r="AI67" s="72" t="str">
        <f t="shared" si="50"/>
        <v/>
      </c>
      <c r="AJ67" s="39"/>
      <c r="AK67" s="72" t="str">
        <f t="shared" si="51"/>
        <v/>
      </c>
      <c r="AL67" s="72" t="str">
        <f t="shared" si="52"/>
        <v/>
      </c>
      <c r="AM67" s="39"/>
      <c r="AN67" s="72" t="str">
        <f t="shared" si="53"/>
        <v/>
      </c>
      <c r="AO67" s="72" t="str">
        <f t="shared" si="54"/>
        <v/>
      </c>
      <c r="AP67" s="39"/>
      <c r="AQ67" s="72" t="str">
        <f t="shared" si="55"/>
        <v/>
      </c>
      <c r="AR67" s="72" t="str">
        <f t="shared" si="56"/>
        <v/>
      </c>
      <c r="AS67" s="39"/>
      <c r="AT67" s="40"/>
      <c r="AU67" s="39"/>
      <c r="AV67" s="72" t="str">
        <f t="shared" si="57"/>
        <v/>
      </c>
      <c r="AW67" s="72" t="str">
        <f t="shared" si="58"/>
        <v/>
      </c>
      <c r="AX67" s="39"/>
      <c r="AY67" s="40" t="str">
        <f>IF(ISERROR(IF($K67&lt;=$F$15,VLOOKUP($I67,'表4）CO2価格'!$A$7:$E$67,VLOOKUP($F$48,'表4）CO2価格'!$H$10:$I$12,2,0),0)*$F$8/1000,"")),0,IF($K67&lt;=$F$15,VLOOKUP($I67,'表4）CO2価格'!$A$7:$E$67,VLOOKUP($F$48,'表4）CO2価格'!$H$10:$I$12,2,0),0)*$F$8/1000,""))</f>
        <v/>
      </c>
      <c r="AZ67" s="39"/>
      <c r="BA67" s="42" t="str">
        <f t="shared" si="59"/>
        <v/>
      </c>
      <c r="BB67" s="72" t="str">
        <f t="shared" si="60"/>
        <v/>
      </c>
      <c r="BC67" s="39"/>
      <c r="BD67" s="72" t="str">
        <f t="shared" si="61"/>
        <v/>
      </c>
      <c r="BE67" s="72" t="str">
        <f t="shared" si="62"/>
        <v/>
      </c>
      <c r="BF67" s="39"/>
      <c r="BG67" s="42" t="str">
        <f t="shared" si="63"/>
        <v/>
      </c>
      <c r="BH67" s="72" t="str">
        <f t="shared" si="64"/>
        <v/>
      </c>
      <c r="BI67" s="39"/>
      <c r="BJ67" s="40" t="str">
        <f t="shared" si="65"/>
        <v/>
      </c>
      <c r="BK67" s="157" t="str">
        <f t="shared" si="66"/>
        <v/>
      </c>
      <c r="BL67" s="157" t="str">
        <f t="shared" si="67"/>
        <v/>
      </c>
      <c r="BM67" s="72"/>
      <c r="BN67" s="72" t="str">
        <f t="shared" si="68"/>
        <v/>
      </c>
      <c r="BO67" s="72" t="str">
        <f t="shared" si="69"/>
        <v/>
      </c>
      <c r="BP67" s="39"/>
      <c r="BQ67" s="72" t="str">
        <f t="shared" si="70"/>
        <v/>
      </c>
      <c r="BR67" s="72" t="str">
        <f t="shared" si="71"/>
        <v/>
      </c>
    </row>
    <row r="68" spans="2:70" x14ac:dyDescent="0.15">
      <c r="I68" s="322">
        <f t="shared" si="72"/>
        <v>2083</v>
      </c>
      <c r="K68" s="71">
        <f t="shared" si="73"/>
        <v>54</v>
      </c>
      <c r="M68" s="7">
        <f t="shared" si="38"/>
        <v>0.20267018593106703</v>
      </c>
      <c r="O68" s="10" t="str">
        <f t="shared" si="74"/>
        <v/>
      </c>
      <c r="P68" s="29" t="str">
        <f t="shared" si="39"/>
        <v/>
      </c>
      <c r="R68" s="10" t="str">
        <f t="shared" si="75"/>
        <v/>
      </c>
      <c r="T68" s="10" t="str">
        <f t="shared" si="40"/>
        <v/>
      </c>
      <c r="V68" s="10" t="str">
        <f t="shared" si="41"/>
        <v/>
      </c>
      <c r="W68" s="10" t="str">
        <f t="shared" si="42"/>
        <v/>
      </c>
      <c r="Y68" s="10" t="str">
        <f t="shared" si="43"/>
        <v/>
      </c>
      <c r="Z68" s="10" t="str">
        <f t="shared" si="44"/>
        <v/>
      </c>
      <c r="AB68" s="10" t="str">
        <f t="shared" si="45"/>
        <v/>
      </c>
      <c r="AC68" s="10" t="str">
        <f t="shared" si="46"/>
        <v/>
      </c>
      <c r="AE68" s="10" t="str">
        <f t="shared" si="47"/>
        <v/>
      </c>
      <c r="AF68" s="10" t="str">
        <f t="shared" si="48"/>
        <v/>
      </c>
      <c r="AH68" s="10" t="str">
        <f t="shared" si="49"/>
        <v/>
      </c>
      <c r="AI68" s="10" t="str">
        <f t="shared" si="50"/>
        <v/>
      </c>
      <c r="AK68" s="10" t="str">
        <f t="shared" si="51"/>
        <v/>
      </c>
      <c r="AL68" s="10" t="str">
        <f t="shared" si="52"/>
        <v/>
      </c>
      <c r="AN68" s="10" t="str">
        <f t="shared" si="53"/>
        <v/>
      </c>
      <c r="AO68" s="10" t="str">
        <f t="shared" si="54"/>
        <v/>
      </c>
      <c r="AQ68" s="10" t="str">
        <f t="shared" si="55"/>
        <v/>
      </c>
      <c r="AR68" s="10" t="str">
        <f t="shared" si="56"/>
        <v/>
      </c>
      <c r="AT68" s="7"/>
      <c r="AV68" s="10" t="str">
        <f t="shared" si="57"/>
        <v/>
      </c>
      <c r="AW68" s="10" t="str">
        <f t="shared" si="58"/>
        <v/>
      </c>
      <c r="AY68" s="7" t="str">
        <f>IF(ISERROR(IF($K68&lt;=$F$15,VLOOKUP($I68,'表4）CO2価格'!$A$7:$E$67,VLOOKUP($F$48,'表4）CO2価格'!$H$10:$I$12,2,0),0)*$F$8/1000,"")),0,IF($K68&lt;=$F$15,VLOOKUP($I68,'表4）CO2価格'!$A$7:$E$67,VLOOKUP($F$48,'表4）CO2価格'!$H$10:$I$12,2,0),0)*$F$8/1000,""))</f>
        <v/>
      </c>
      <c r="BA68" s="11" t="str">
        <f t="shared" si="59"/>
        <v/>
      </c>
      <c r="BB68" s="10" t="str">
        <f t="shared" si="60"/>
        <v/>
      </c>
      <c r="BD68" s="10" t="str">
        <f t="shared" si="61"/>
        <v/>
      </c>
      <c r="BE68" s="10" t="str">
        <f t="shared" si="62"/>
        <v/>
      </c>
      <c r="BG68" s="11" t="str">
        <f t="shared" si="63"/>
        <v/>
      </c>
      <c r="BH68" s="10" t="str">
        <f t="shared" si="64"/>
        <v/>
      </c>
      <c r="BJ68" s="7" t="str">
        <f t="shared" si="65"/>
        <v/>
      </c>
      <c r="BK68" s="158" t="str">
        <f t="shared" si="66"/>
        <v/>
      </c>
      <c r="BL68" s="158" t="str">
        <f t="shared" si="67"/>
        <v/>
      </c>
      <c r="BM68" s="10"/>
      <c r="BN68" s="10" t="str">
        <f t="shared" si="68"/>
        <v/>
      </c>
      <c r="BO68" s="10" t="str">
        <f t="shared" si="69"/>
        <v/>
      </c>
      <c r="BQ68" s="10" t="str">
        <f t="shared" si="70"/>
        <v/>
      </c>
      <c r="BR68" s="10" t="str">
        <f t="shared" si="71"/>
        <v/>
      </c>
    </row>
    <row r="69" spans="2:70" x14ac:dyDescent="0.15">
      <c r="C69" s="483" t="s">
        <v>134</v>
      </c>
      <c r="D69" s="71"/>
      <c r="E69" s="71"/>
      <c r="F69" s="484">
        <f>SUBTOTAL(9,F74:F112)-F105</f>
        <v>11.539676944651983</v>
      </c>
      <c r="G69" s="71" t="s">
        <v>590</v>
      </c>
      <c r="I69" s="38">
        <f t="shared" si="72"/>
        <v>2084</v>
      </c>
      <c r="J69" s="39"/>
      <c r="K69" s="39">
        <f t="shared" si="73"/>
        <v>55</v>
      </c>
      <c r="L69" s="39"/>
      <c r="M69" s="40">
        <f t="shared" si="38"/>
        <v>0.19676717080686118</v>
      </c>
      <c r="N69" s="39"/>
      <c r="O69" s="72" t="str">
        <f t="shared" si="74"/>
        <v/>
      </c>
      <c r="P69" s="41" t="str">
        <f t="shared" si="39"/>
        <v/>
      </c>
      <c r="Q69" s="39"/>
      <c r="R69" s="72" t="str">
        <f t="shared" si="75"/>
        <v/>
      </c>
      <c r="S69" s="39"/>
      <c r="T69" s="72" t="str">
        <f t="shared" si="40"/>
        <v/>
      </c>
      <c r="U69" s="39"/>
      <c r="V69" s="72" t="str">
        <f t="shared" si="41"/>
        <v/>
      </c>
      <c r="W69" s="72" t="str">
        <f t="shared" si="42"/>
        <v/>
      </c>
      <c r="X69" s="39"/>
      <c r="Y69" s="72" t="str">
        <f t="shared" si="43"/>
        <v/>
      </c>
      <c r="Z69" s="72" t="str">
        <f t="shared" si="44"/>
        <v/>
      </c>
      <c r="AA69" s="39"/>
      <c r="AB69" s="72" t="str">
        <f t="shared" si="45"/>
        <v/>
      </c>
      <c r="AC69" s="72" t="str">
        <f t="shared" si="46"/>
        <v/>
      </c>
      <c r="AD69" s="39"/>
      <c r="AE69" s="72" t="str">
        <f t="shared" si="47"/>
        <v/>
      </c>
      <c r="AF69" s="72" t="str">
        <f t="shared" si="48"/>
        <v/>
      </c>
      <c r="AG69" s="39"/>
      <c r="AH69" s="72" t="str">
        <f t="shared" si="49"/>
        <v/>
      </c>
      <c r="AI69" s="72" t="str">
        <f t="shared" si="50"/>
        <v/>
      </c>
      <c r="AJ69" s="39"/>
      <c r="AK69" s="72" t="str">
        <f t="shared" si="51"/>
        <v/>
      </c>
      <c r="AL69" s="72" t="str">
        <f t="shared" si="52"/>
        <v/>
      </c>
      <c r="AM69" s="39"/>
      <c r="AN69" s="72" t="str">
        <f t="shared" si="53"/>
        <v/>
      </c>
      <c r="AO69" s="72" t="str">
        <f t="shared" si="54"/>
        <v/>
      </c>
      <c r="AP69" s="39"/>
      <c r="AQ69" s="72" t="str">
        <f t="shared" si="55"/>
        <v/>
      </c>
      <c r="AR69" s="72" t="str">
        <f t="shared" si="56"/>
        <v/>
      </c>
      <c r="AS69" s="39"/>
      <c r="AT69" s="40"/>
      <c r="AU69" s="39"/>
      <c r="AV69" s="72" t="str">
        <f t="shared" si="57"/>
        <v/>
      </c>
      <c r="AW69" s="72" t="str">
        <f t="shared" si="58"/>
        <v/>
      </c>
      <c r="AX69" s="39"/>
      <c r="AY69" s="40" t="str">
        <f>IF(ISERROR(IF($K69&lt;=$F$15,VLOOKUP($I69,'表4）CO2価格'!$A$7:$E$67,VLOOKUP($F$48,'表4）CO2価格'!$H$10:$I$12,2,0),0)*$F$8/1000,"")),0,IF($K69&lt;=$F$15,VLOOKUP($I69,'表4）CO2価格'!$A$7:$E$67,VLOOKUP($F$48,'表4）CO2価格'!$H$10:$I$12,2,0),0)*$F$8/1000,""))</f>
        <v/>
      </c>
      <c r="AZ69" s="39"/>
      <c r="BA69" s="42" t="str">
        <f t="shared" si="59"/>
        <v/>
      </c>
      <c r="BB69" s="72" t="str">
        <f t="shared" si="60"/>
        <v/>
      </c>
      <c r="BC69" s="39"/>
      <c r="BD69" s="72" t="str">
        <f t="shared" si="61"/>
        <v/>
      </c>
      <c r="BE69" s="72" t="str">
        <f t="shared" si="62"/>
        <v/>
      </c>
      <c r="BF69" s="39"/>
      <c r="BG69" s="42" t="str">
        <f t="shared" si="63"/>
        <v/>
      </c>
      <c r="BH69" s="72" t="str">
        <f t="shared" si="64"/>
        <v/>
      </c>
      <c r="BI69" s="39"/>
      <c r="BJ69" s="40" t="str">
        <f t="shared" si="65"/>
        <v/>
      </c>
      <c r="BK69" s="157" t="str">
        <f t="shared" si="66"/>
        <v/>
      </c>
      <c r="BL69" s="157" t="str">
        <f t="shared" si="67"/>
        <v/>
      </c>
      <c r="BM69" s="72"/>
      <c r="BN69" s="72" t="str">
        <f t="shared" si="68"/>
        <v/>
      </c>
      <c r="BO69" s="72" t="str">
        <f t="shared" si="69"/>
        <v/>
      </c>
      <c r="BP69" s="39"/>
      <c r="BQ69" s="72" t="str">
        <f t="shared" si="70"/>
        <v/>
      </c>
      <c r="BR69" s="72" t="str">
        <f t="shared" si="71"/>
        <v/>
      </c>
    </row>
    <row r="70" spans="2:70" x14ac:dyDescent="0.15">
      <c r="C70" s="483" t="s">
        <v>135</v>
      </c>
      <c r="D70" s="71"/>
      <c r="E70" s="71"/>
      <c r="F70" s="484">
        <f>SUBTOTAL(9,F74:F112)</f>
        <v>11.679676944651984</v>
      </c>
      <c r="G70" s="71" t="s">
        <v>590</v>
      </c>
      <c r="I70" s="322">
        <f t="shared" si="72"/>
        <v>2085</v>
      </c>
      <c r="K70" s="71">
        <f t="shared" si="73"/>
        <v>56</v>
      </c>
      <c r="M70" s="7">
        <f t="shared" si="38"/>
        <v>0.19103608816200118</v>
      </c>
      <c r="O70" s="10" t="str">
        <f t="shared" si="74"/>
        <v/>
      </c>
      <c r="P70" s="29" t="str">
        <f t="shared" si="39"/>
        <v/>
      </c>
      <c r="R70" s="10" t="str">
        <f t="shared" si="75"/>
        <v/>
      </c>
      <c r="T70" s="10" t="str">
        <f t="shared" si="40"/>
        <v/>
      </c>
      <c r="V70" s="10" t="str">
        <f t="shared" si="41"/>
        <v/>
      </c>
      <c r="W70" s="10" t="str">
        <f t="shared" si="42"/>
        <v/>
      </c>
      <c r="Y70" s="10" t="str">
        <f t="shared" si="43"/>
        <v/>
      </c>
      <c r="Z70" s="10" t="str">
        <f t="shared" si="44"/>
        <v/>
      </c>
      <c r="AB70" s="10" t="str">
        <f t="shared" si="45"/>
        <v/>
      </c>
      <c r="AC70" s="10" t="str">
        <f t="shared" si="46"/>
        <v/>
      </c>
      <c r="AE70" s="10" t="str">
        <f t="shared" si="47"/>
        <v/>
      </c>
      <c r="AF70" s="10" t="str">
        <f t="shared" si="48"/>
        <v/>
      </c>
      <c r="AH70" s="10" t="str">
        <f t="shared" si="49"/>
        <v/>
      </c>
      <c r="AI70" s="10" t="str">
        <f t="shared" si="50"/>
        <v/>
      </c>
      <c r="AK70" s="10" t="str">
        <f t="shared" si="51"/>
        <v/>
      </c>
      <c r="AL70" s="10" t="str">
        <f t="shared" si="52"/>
        <v/>
      </c>
      <c r="AN70" s="10" t="str">
        <f t="shared" si="53"/>
        <v/>
      </c>
      <c r="AO70" s="10" t="str">
        <f t="shared" si="54"/>
        <v/>
      </c>
      <c r="AQ70" s="10" t="str">
        <f t="shared" si="55"/>
        <v/>
      </c>
      <c r="AR70" s="10" t="str">
        <f t="shared" si="56"/>
        <v/>
      </c>
      <c r="AT70" s="7"/>
      <c r="AV70" s="10" t="str">
        <f t="shared" si="57"/>
        <v/>
      </c>
      <c r="AW70" s="10" t="str">
        <f t="shared" si="58"/>
        <v/>
      </c>
      <c r="AY70" s="7" t="str">
        <f>IF(ISERROR(IF($K70&lt;=$F$15,VLOOKUP($I70,'表4）CO2価格'!$A$7:$E$67,VLOOKUP($F$48,'表4）CO2価格'!$H$10:$I$12,2,0),0)*$F$8/1000,"")),0,IF($K70&lt;=$F$15,VLOOKUP($I70,'表4）CO2価格'!$A$7:$E$67,VLOOKUP($F$48,'表4）CO2価格'!$H$10:$I$12,2,0),0)*$F$8/1000,""))</f>
        <v/>
      </c>
      <c r="BA70" s="11" t="str">
        <f t="shared" si="59"/>
        <v/>
      </c>
      <c r="BB70" s="10" t="str">
        <f t="shared" si="60"/>
        <v/>
      </c>
      <c r="BD70" s="10" t="str">
        <f t="shared" si="61"/>
        <v/>
      </c>
      <c r="BE70" s="10" t="str">
        <f t="shared" si="62"/>
        <v/>
      </c>
      <c r="BG70" s="11" t="str">
        <f t="shared" si="63"/>
        <v/>
      </c>
      <c r="BH70" s="10" t="str">
        <f t="shared" si="64"/>
        <v/>
      </c>
      <c r="BJ70" s="7" t="str">
        <f t="shared" si="65"/>
        <v/>
      </c>
      <c r="BK70" s="158" t="str">
        <f t="shared" si="66"/>
        <v/>
      </c>
      <c r="BL70" s="158" t="str">
        <f t="shared" si="67"/>
        <v/>
      </c>
      <c r="BM70" s="10"/>
      <c r="BN70" s="10" t="str">
        <f t="shared" si="68"/>
        <v/>
      </c>
      <c r="BO70" s="10" t="str">
        <f t="shared" si="69"/>
        <v/>
      </c>
      <c r="BQ70" s="10" t="str">
        <f t="shared" si="70"/>
        <v/>
      </c>
      <c r="BR70" s="10" t="str">
        <f t="shared" si="71"/>
        <v/>
      </c>
    </row>
    <row r="71" spans="2:70" x14ac:dyDescent="0.15">
      <c r="F71" s="485"/>
      <c r="I71" s="38">
        <f t="shared" si="72"/>
        <v>2086</v>
      </c>
      <c r="J71" s="39"/>
      <c r="K71" s="39">
        <f t="shared" si="73"/>
        <v>57</v>
      </c>
      <c r="L71" s="39"/>
      <c r="M71" s="40">
        <f t="shared" si="38"/>
        <v>0.18547193025437006</v>
      </c>
      <c r="N71" s="39"/>
      <c r="O71" s="72" t="str">
        <f t="shared" si="74"/>
        <v/>
      </c>
      <c r="P71" s="41" t="str">
        <f t="shared" si="39"/>
        <v/>
      </c>
      <c r="Q71" s="39"/>
      <c r="R71" s="72" t="str">
        <f t="shared" si="75"/>
        <v/>
      </c>
      <c r="S71" s="39"/>
      <c r="T71" s="72" t="str">
        <f t="shared" si="40"/>
        <v/>
      </c>
      <c r="U71" s="39"/>
      <c r="V71" s="72" t="str">
        <f t="shared" si="41"/>
        <v/>
      </c>
      <c r="W71" s="72" t="str">
        <f t="shared" si="42"/>
        <v/>
      </c>
      <c r="X71" s="39"/>
      <c r="Y71" s="72" t="str">
        <f t="shared" si="43"/>
        <v/>
      </c>
      <c r="Z71" s="72" t="str">
        <f t="shared" si="44"/>
        <v/>
      </c>
      <c r="AA71" s="39"/>
      <c r="AB71" s="72" t="str">
        <f t="shared" si="45"/>
        <v/>
      </c>
      <c r="AC71" s="72" t="str">
        <f t="shared" si="46"/>
        <v/>
      </c>
      <c r="AD71" s="39"/>
      <c r="AE71" s="72" t="str">
        <f t="shared" si="47"/>
        <v/>
      </c>
      <c r="AF71" s="72" t="str">
        <f t="shared" si="48"/>
        <v/>
      </c>
      <c r="AG71" s="39"/>
      <c r="AH71" s="72" t="str">
        <f t="shared" si="49"/>
        <v/>
      </c>
      <c r="AI71" s="72" t="str">
        <f t="shared" si="50"/>
        <v/>
      </c>
      <c r="AJ71" s="39"/>
      <c r="AK71" s="72" t="str">
        <f t="shared" si="51"/>
        <v/>
      </c>
      <c r="AL71" s="72" t="str">
        <f t="shared" si="52"/>
        <v/>
      </c>
      <c r="AM71" s="39"/>
      <c r="AN71" s="72" t="str">
        <f t="shared" si="53"/>
        <v/>
      </c>
      <c r="AO71" s="72" t="str">
        <f t="shared" si="54"/>
        <v/>
      </c>
      <c r="AP71" s="39"/>
      <c r="AQ71" s="72" t="str">
        <f t="shared" si="55"/>
        <v/>
      </c>
      <c r="AR71" s="72" t="str">
        <f t="shared" si="56"/>
        <v/>
      </c>
      <c r="AS71" s="39"/>
      <c r="AT71" s="40"/>
      <c r="AU71" s="39"/>
      <c r="AV71" s="72" t="str">
        <f t="shared" si="57"/>
        <v/>
      </c>
      <c r="AW71" s="72" t="str">
        <f t="shared" si="58"/>
        <v/>
      </c>
      <c r="AX71" s="39"/>
      <c r="AY71" s="40" t="str">
        <f>IF(ISERROR(IF($K71&lt;=$F$15,VLOOKUP($I71,'表4）CO2価格'!$A$7:$E$67,VLOOKUP($F$48,'表4）CO2価格'!$H$10:$I$12,2,0),0)*$F$8/1000,"")),0,IF($K71&lt;=$F$15,VLOOKUP($I71,'表4）CO2価格'!$A$7:$E$67,VLOOKUP($F$48,'表4）CO2価格'!$H$10:$I$12,2,0),0)*$F$8/1000,""))</f>
        <v/>
      </c>
      <c r="AZ71" s="39"/>
      <c r="BA71" s="42" t="str">
        <f t="shared" si="59"/>
        <v/>
      </c>
      <c r="BB71" s="72" t="str">
        <f t="shared" si="60"/>
        <v/>
      </c>
      <c r="BC71" s="39"/>
      <c r="BD71" s="72" t="str">
        <f t="shared" si="61"/>
        <v/>
      </c>
      <c r="BE71" s="72" t="str">
        <f t="shared" si="62"/>
        <v/>
      </c>
      <c r="BF71" s="39"/>
      <c r="BG71" s="42" t="str">
        <f t="shared" si="63"/>
        <v/>
      </c>
      <c r="BH71" s="72" t="str">
        <f t="shared" si="64"/>
        <v/>
      </c>
      <c r="BI71" s="39"/>
      <c r="BJ71" s="40" t="str">
        <f t="shared" si="65"/>
        <v/>
      </c>
      <c r="BK71" s="157" t="str">
        <f t="shared" si="66"/>
        <v/>
      </c>
      <c r="BL71" s="157" t="str">
        <f t="shared" si="67"/>
        <v/>
      </c>
      <c r="BM71" s="72"/>
      <c r="BN71" s="72" t="str">
        <f t="shared" si="68"/>
        <v/>
      </c>
      <c r="BO71" s="72" t="str">
        <f t="shared" si="69"/>
        <v/>
      </c>
      <c r="BP71" s="39"/>
      <c r="BQ71" s="72" t="str">
        <f t="shared" si="70"/>
        <v/>
      </c>
      <c r="BR71" s="72" t="str">
        <f t="shared" si="71"/>
        <v/>
      </c>
    </row>
    <row r="72" spans="2:70" x14ac:dyDescent="0.15">
      <c r="C72" s="4" t="s">
        <v>136</v>
      </c>
      <c r="D72" s="100"/>
      <c r="E72" s="100"/>
      <c r="F72" s="486"/>
      <c r="G72" s="100"/>
      <c r="I72" s="322">
        <f t="shared" si="72"/>
        <v>2087</v>
      </c>
      <c r="K72" s="71">
        <f t="shared" si="73"/>
        <v>58</v>
      </c>
      <c r="M72" s="7">
        <f t="shared" si="38"/>
        <v>0.18006983519841754</v>
      </c>
      <c r="O72" s="10" t="str">
        <f t="shared" si="74"/>
        <v/>
      </c>
      <c r="P72" s="29" t="str">
        <f t="shared" si="39"/>
        <v/>
      </c>
      <c r="R72" s="10" t="str">
        <f t="shared" si="75"/>
        <v/>
      </c>
      <c r="T72" s="10" t="str">
        <f t="shared" si="40"/>
        <v/>
      </c>
      <c r="V72" s="10" t="str">
        <f t="shared" si="41"/>
        <v/>
      </c>
      <c r="W72" s="10" t="str">
        <f t="shared" si="42"/>
        <v/>
      </c>
      <c r="Y72" s="10" t="str">
        <f t="shared" si="43"/>
        <v/>
      </c>
      <c r="Z72" s="10" t="str">
        <f t="shared" si="44"/>
        <v/>
      </c>
      <c r="AB72" s="10" t="str">
        <f t="shared" si="45"/>
        <v/>
      </c>
      <c r="AC72" s="10" t="str">
        <f t="shared" si="46"/>
        <v/>
      </c>
      <c r="AE72" s="10" t="str">
        <f t="shared" si="47"/>
        <v/>
      </c>
      <c r="AF72" s="10" t="str">
        <f t="shared" si="48"/>
        <v/>
      </c>
      <c r="AH72" s="10" t="str">
        <f t="shared" si="49"/>
        <v/>
      </c>
      <c r="AI72" s="10" t="str">
        <f t="shared" si="50"/>
        <v/>
      </c>
      <c r="AK72" s="10" t="str">
        <f t="shared" si="51"/>
        <v/>
      </c>
      <c r="AL72" s="10" t="str">
        <f t="shared" si="52"/>
        <v/>
      </c>
      <c r="AN72" s="10" t="str">
        <f t="shared" si="53"/>
        <v/>
      </c>
      <c r="AO72" s="10" t="str">
        <f t="shared" si="54"/>
        <v/>
      </c>
      <c r="AQ72" s="10" t="str">
        <f t="shared" si="55"/>
        <v/>
      </c>
      <c r="AR72" s="10" t="str">
        <f t="shared" si="56"/>
        <v/>
      </c>
      <c r="AT72" s="7"/>
      <c r="AV72" s="10" t="str">
        <f t="shared" si="57"/>
        <v/>
      </c>
      <c r="AW72" s="10" t="str">
        <f t="shared" si="58"/>
        <v/>
      </c>
      <c r="AY72" s="7" t="str">
        <f>IF(ISERROR(IF($K72&lt;=$F$15,VLOOKUP($I72,'表4）CO2価格'!$A$7:$E$67,VLOOKUP($F$48,'表4）CO2価格'!$H$10:$I$12,2,0),0)*$F$8/1000,"")),0,IF($K72&lt;=$F$15,VLOOKUP($I72,'表4）CO2価格'!$A$7:$E$67,VLOOKUP($F$48,'表4）CO2価格'!$H$10:$I$12,2,0),0)*$F$8/1000,""))</f>
        <v/>
      </c>
      <c r="BA72" s="11" t="str">
        <f t="shared" si="59"/>
        <v/>
      </c>
      <c r="BB72" s="10" t="str">
        <f t="shared" si="60"/>
        <v/>
      </c>
      <c r="BD72" s="10" t="str">
        <f t="shared" si="61"/>
        <v/>
      </c>
      <c r="BE72" s="10" t="str">
        <f t="shared" si="62"/>
        <v/>
      </c>
      <c r="BG72" s="11" t="str">
        <f t="shared" si="63"/>
        <v/>
      </c>
      <c r="BH72" s="10" t="str">
        <f t="shared" si="64"/>
        <v/>
      </c>
      <c r="BJ72" s="7" t="str">
        <f t="shared" si="65"/>
        <v/>
      </c>
      <c r="BK72" s="158" t="str">
        <f t="shared" si="66"/>
        <v/>
      </c>
      <c r="BL72" s="158" t="str">
        <f t="shared" si="67"/>
        <v/>
      </c>
      <c r="BM72" s="10"/>
      <c r="BN72" s="10" t="str">
        <f t="shared" si="68"/>
        <v/>
      </c>
      <c r="BO72" s="10" t="str">
        <f t="shared" si="69"/>
        <v/>
      </c>
      <c r="BQ72" s="10" t="str">
        <f t="shared" si="70"/>
        <v/>
      </c>
      <c r="BR72" s="10" t="str">
        <f t="shared" si="71"/>
        <v/>
      </c>
    </row>
    <row r="73" spans="2:70" x14ac:dyDescent="0.15">
      <c r="F73" s="487"/>
      <c r="I73" s="38">
        <f t="shared" si="72"/>
        <v>2088</v>
      </c>
      <c r="J73" s="39"/>
      <c r="K73" s="39">
        <f t="shared" si="73"/>
        <v>59</v>
      </c>
      <c r="L73" s="39"/>
      <c r="M73" s="40">
        <f t="shared" si="38"/>
        <v>0.17482508271691022</v>
      </c>
      <c r="N73" s="39"/>
      <c r="O73" s="72" t="str">
        <f t="shared" si="74"/>
        <v/>
      </c>
      <c r="P73" s="41" t="str">
        <f t="shared" si="39"/>
        <v/>
      </c>
      <c r="Q73" s="39"/>
      <c r="R73" s="72" t="str">
        <f t="shared" si="75"/>
        <v/>
      </c>
      <c r="S73" s="39"/>
      <c r="T73" s="72" t="str">
        <f t="shared" si="40"/>
        <v/>
      </c>
      <c r="U73" s="39"/>
      <c r="V73" s="72" t="str">
        <f t="shared" si="41"/>
        <v/>
      </c>
      <c r="W73" s="72" t="str">
        <f t="shared" si="42"/>
        <v/>
      </c>
      <c r="X73" s="39"/>
      <c r="Y73" s="72" t="str">
        <f t="shared" si="43"/>
        <v/>
      </c>
      <c r="Z73" s="72" t="str">
        <f t="shared" si="44"/>
        <v/>
      </c>
      <c r="AA73" s="39"/>
      <c r="AB73" s="72" t="str">
        <f t="shared" si="45"/>
        <v/>
      </c>
      <c r="AC73" s="72" t="str">
        <f t="shared" si="46"/>
        <v/>
      </c>
      <c r="AD73" s="39"/>
      <c r="AE73" s="72" t="str">
        <f t="shared" si="47"/>
        <v/>
      </c>
      <c r="AF73" s="72" t="str">
        <f t="shared" si="48"/>
        <v/>
      </c>
      <c r="AG73" s="39"/>
      <c r="AH73" s="72" t="str">
        <f t="shared" si="49"/>
        <v/>
      </c>
      <c r="AI73" s="72" t="str">
        <f t="shared" si="50"/>
        <v/>
      </c>
      <c r="AJ73" s="39"/>
      <c r="AK73" s="72" t="str">
        <f t="shared" si="51"/>
        <v/>
      </c>
      <c r="AL73" s="72" t="str">
        <f t="shared" si="52"/>
        <v/>
      </c>
      <c r="AM73" s="39"/>
      <c r="AN73" s="72" t="str">
        <f t="shared" si="53"/>
        <v/>
      </c>
      <c r="AO73" s="72" t="str">
        <f t="shared" si="54"/>
        <v/>
      </c>
      <c r="AP73" s="39"/>
      <c r="AQ73" s="72" t="str">
        <f t="shared" si="55"/>
        <v/>
      </c>
      <c r="AR73" s="72" t="str">
        <f t="shared" si="56"/>
        <v/>
      </c>
      <c r="AS73" s="39"/>
      <c r="AT73" s="40"/>
      <c r="AU73" s="39"/>
      <c r="AV73" s="72" t="str">
        <f t="shared" si="57"/>
        <v/>
      </c>
      <c r="AW73" s="72" t="str">
        <f t="shared" si="58"/>
        <v/>
      </c>
      <c r="AX73" s="39"/>
      <c r="AY73" s="40" t="str">
        <f>IF(ISERROR(IF($K73&lt;=$F$15,VLOOKUP($I73,'表4）CO2価格'!$A$7:$E$67,VLOOKUP($F$48,'表4）CO2価格'!$H$10:$I$12,2,0),0)*$F$8/1000,"")),0,IF($K73&lt;=$F$15,VLOOKUP($I73,'表4）CO2価格'!$A$7:$E$67,VLOOKUP($F$48,'表4）CO2価格'!$H$10:$I$12,2,0),0)*$F$8/1000,""))</f>
        <v/>
      </c>
      <c r="AZ73" s="39"/>
      <c r="BA73" s="42" t="str">
        <f t="shared" si="59"/>
        <v/>
      </c>
      <c r="BB73" s="72" t="str">
        <f t="shared" si="60"/>
        <v/>
      </c>
      <c r="BC73" s="39"/>
      <c r="BD73" s="72" t="str">
        <f t="shared" si="61"/>
        <v/>
      </c>
      <c r="BE73" s="72" t="str">
        <f t="shared" si="62"/>
        <v/>
      </c>
      <c r="BF73" s="39"/>
      <c r="BG73" s="42" t="str">
        <f t="shared" si="63"/>
        <v/>
      </c>
      <c r="BH73" s="72" t="str">
        <f t="shared" si="64"/>
        <v/>
      </c>
      <c r="BI73" s="39"/>
      <c r="BJ73" s="40" t="str">
        <f t="shared" si="65"/>
        <v/>
      </c>
      <c r="BK73" s="157" t="str">
        <f t="shared" si="66"/>
        <v/>
      </c>
      <c r="BL73" s="157" t="str">
        <f t="shared" si="67"/>
        <v/>
      </c>
      <c r="BM73" s="72"/>
      <c r="BN73" s="72" t="str">
        <f t="shared" si="68"/>
        <v/>
      </c>
      <c r="BO73" s="72" t="str">
        <f t="shared" si="69"/>
        <v/>
      </c>
      <c r="BP73" s="39"/>
      <c r="BQ73" s="72" t="str">
        <f t="shared" si="70"/>
        <v/>
      </c>
      <c r="BR73" s="72" t="str">
        <f t="shared" si="71"/>
        <v/>
      </c>
    </row>
    <row r="74" spans="2:70" ht="15" x14ac:dyDescent="0.15">
      <c r="D74" s="103" t="s">
        <v>591</v>
      </c>
      <c r="F74" s="484">
        <f>SUBTOTAL(9,F78:F81)</f>
        <v>1.9218711795336862</v>
      </c>
      <c r="G74" s="84" t="s">
        <v>590</v>
      </c>
      <c r="I74" s="322">
        <f t="shared" si="72"/>
        <v>2089</v>
      </c>
      <c r="K74" s="71">
        <f t="shared" si="73"/>
        <v>60</v>
      </c>
      <c r="M74" s="7">
        <f t="shared" si="38"/>
        <v>0.1697330900164177</v>
      </c>
      <c r="O74" s="10" t="str">
        <f t="shared" si="74"/>
        <v/>
      </c>
      <c r="P74" s="29" t="str">
        <f t="shared" si="39"/>
        <v/>
      </c>
      <c r="R74" s="10" t="str">
        <f t="shared" si="75"/>
        <v/>
      </c>
      <c r="T74" s="10" t="str">
        <f t="shared" si="40"/>
        <v/>
      </c>
      <c r="V74" s="10" t="str">
        <f t="shared" si="41"/>
        <v/>
      </c>
      <c r="W74" s="10" t="str">
        <f t="shared" si="42"/>
        <v/>
      </c>
      <c r="Y74" s="10" t="str">
        <f t="shared" si="43"/>
        <v/>
      </c>
      <c r="Z74" s="10" t="str">
        <f t="shared" si="44"/>
        <v/>
      </c>
      <c r="AB74" s="10" t="str">
        <f t="shared" si="45"/>
        <v/>
      </c>
      <c r="AC74" s="10" t="str">
        <f t="shared" si="46"/>
        <v/>
      </c>
      <c r="AE74" s="10" t="str">
        <f t="shared" si="47"/>
        <v/>
      </c>
      <c r="AF74" s="10" t="str">
        <f t="shared" si="48"/>
        <v/>
      </c>
      <c r="AH74" s="10" t="str">
        <f t="shared" si="49"/>
        <v/>
      </c>
      <c r="AI74" s="10" t="str">
        <f t="shared" si="50"/>
        <v/>
      </c>
      <c r="AK74" s="10" t="str">
        <f t="shared" si="51"/>
        <v/>
      </c>
      <c r="AL74" s="10" t="str">
        <f t="shared" si="52"/>
        <v/>
      </c>
      <c r="AN74" s="10" t="str">
        <f t="shared" si="53"/>
        <v/>
      </c>
      <c r="AO74" s="10" t="str">
        <f t="shared" si="54"/>
        <v/>
      </c>
      <c r="AQ74" s="10" t="str">
        <f t="shared" si="55"/>
        <v/>
      </c>
      <c r="AR74" s="10" t="str">
        <f t="shared" si="56"/>
        <v/>
      </c>
      <c r="AT74" s="7"/>
      <c r="AV74" s="10" t="str">
        <f t="shared" si="57"/>
        <v/>
      </c>
      <c r="AW74" s="10" t="str">
        <f t="shared" si="58"/>
        <v/>
      </c>
      <c r="AY74" s="7" t="str">
        <f>IF(ISERROR(IF($K74&lt;=$F$15,VLOOKUP($I74,'表4）CO2価格'!$A$7:$E$67,VLOOKUP($F$48,'表4）CO2価格'!$H$10:$I$12,2,0),0)*$F$8/1000,"")),0,IF($K74&lt;=$F$15,VLOOKUP($I74,'表4）CO2価格'!$A$7:$E$67,VLOOKUP($F$48,'表4）CO2価格'!$H$10:$I$12,2,0),0)*$F$8/1000,""))</f>
        <v/>
      </c>
      <c r="BA74" s="11" t="str">
        <f t="shared" si="59"/>
        <v/>
      </c>
      <c r="BB74" s="10" t="str">
        <f t="shared" si="60"/>
        <v/>
      </c>
      <c r="BD74" s="10" t="str">
        <f t="shared" si="61"/>
        <v/>
      </c>
      <c r="BE74" s="10" t="str">
        <f t="shared" si="62"/>
        <v/>
      </c>
      <c r="BG74" s="11" t="str">
        <f t="shared" si="63"/>
        <v/>
      </c>
      <c r="BH74" s="10" t="str">
        <f t="shared" si="64"/>
        <v/>
      </c>
      <c r="BJ74" s="7" t="str">
        <f t="shared" si="65"/>
        <v/>
      </c>
      <c r="BK74" s="158" t="str">
        <f t="shared" si="66"/>
        <v/>
      </c>
      <c r="BL74" s="158" t="str">
        <f t="shared" si="67"/>
        <v/>
      </c>
      <c r="BM74" s="10"/>
      <c r="BN74" s="10" t="str">
        <f t="shared" si="68"/>
        <v/>
      </c>
      <c r="BO74" s="10" t="str">
        <f t="shared" si="69"/>
        <v/>
      </c>
      <c r="BQ74" s="10" t="str">
        <f t="shared" si="70"/>
        <v/>
      </c>
      <c r="BR74" s="10" t="str">
        <f t="shared" si="71"/>
        <v/>
      </c>
    </row>
    <row r="75" spans="2:70" x14ac:dyDescent="0.15">
      <c r="F75" s="487"/>
      <c r="I75" s="38">
        <f t="shared" si="72"/>
        <v>2090</v>
      </c>
      <c r="J75" s="39"/>
      <c r="K75" s="39">
        <f t="shared" si="73"/>
        <v>61</v>
      </c>
      <c r="L75" s="39"/>
      <c r="M75" s="40">
        <f t="shared" si="38"/>
        <v>0.16478940778292983</v>
      </c>
      <c r="N75" s="39"/>
      <c r="O75" s="72" t="str">
        <f t="shared" si="74"/>
        <v/>
      </c>
      <c r="P75" s="41" t="str">
        <f t="shared" si="39"/>
        <v/>
      </c>
      <c r="Q75" s="39"/>
      <c r="R75" s="72" t="str">
        <f t="shared" si="75"/>
        <v/>
      </c>
      <c r="S75" s="39"/>
      <c r="T75" s="72" t="str">
        <f t="shared" si="40"/>
        <v/>
      </c>
      <c r="U75" s="39"/>
      <c r="V75" s="72" t="str">
        <f t="shared" si="41"/>
        <v/>
      </c>
      <c r="W75" s="72" t="str">
        <f t="shared" si="42"/>
        <v/>
      </c>
      <c r="X75" s="39"/>
      <c r="Y75" s="72" t="str">
        <f t="shared" si="43"/>
        <v/>
      </c>
      <c r="Z75" s="72" t="str">
        <f t="shared" si="44"/>
        <v/>
      </c>
      <c r="AA75" s="39"/>
      <c r="AB75" s="72" t="str">
        <f t="shared" si="45"/>
        <v/>
      </c>
      <c r="AC75" s="72" t="str">
        <f t="shared" si="46"/>
        <v/>
      </c>
      <c r="AD75" s="39"/>
      <c r="AE75" s="72" t="str">
        <f t="shared" si="47"/>
        <v/>
      </c>
      <c r="AF75" s="72" t="str">
        <f t="shared" si="48"/>
        <v/>
      </c>
      <c r="AG75" s="39"/>
      <c r="AH75" s="72" t="str">
        <f t="shared" si="49"/>
        <v/>
      </c>
      <c r="AI75" s="72" t="str">
        <f t="shared" si="50"/>
        <v/>
      </c>
      <c r="AJ75" s="39"/>
      <c r="AK75" s="72" t="str">
        <f t="shared" si="51"/>
        <v/>
      </c>
      <c r="AL75" s="72" t="str">
        <f t="shared" si="52"/>
        <v/>
      </c>
      <c r="AM75" s="39"/>
      <c r="AN75" s="72" t="str">
        <f t="shared" si="53"/>
        <v/>
      </c>
      <c r="AO75" s="72" t="str">
        <f t="shared" si="54"/>
        <v/>
      </c>
      <c r="AP75" s="39"/>
      <c r="AQ75" s="72" t="str">
        <f t="shared" si="55"/>
        <v/>
      </c>
      <c r="AR75" s="72" t="str">
        <f t="shared" si="56"/>
        <v/>
      </c>
      <c r="AS75" s="39"/>
      <c r="AT75" s="40"/>
      <c r="AU75" s="39"/>
      <c r="AV75" s="72" t="str">
        <f t="shared" si="57"/>
        <v/>
      </c>
      <c r="AW75" s="72" t="str">
        <f t="shared" si="58"/>
        <v/>
      </c>
      <c r="AX75" s="39"/>
      <c r="AY75" s="40" t="str">
        <f>IF(ISERROR(IF($K75&lt;=$F$15,VLOOKUP($I75,'表4）CO2価格'!$A$7:$E$67,VLOOKUP($F$48,'表4）CO2価格'!$H$10:$I$12,2,0),0)*$F$8/1000,"")),0,IF($K75&lt;=$F$15,VLOOKUP($I75,'表4）CO2価格'!$A$7:$E$67,VLOOKUP($F$48,'表4）CO2価格'!$H$10:$I$12,2,0),0)*$F$8/1000,""))</f>
        <v/>
      </c>
      <c r="AZ75" s="39"/>
      <c r="BA75" s="42" t="str">
        <f t="shared" si="59"/>
        <v/>
      </c>
      <c r="BB75" s="72" t="str">
        <f t="shared" si="60"/>
        <v/>
      </c>
      <c r="BC75" s="39"/>
      <c r="BD75" s="72" t="str">
        <f t="shared" si="61"/>
        <v/>
      </c>
      <c r="BE75" s="72" t="str">
        <f t="shared" si="62"/>
        <v/>
      </c>
      <c r="BF75" s="39"/>
      <c r="BG75" s="42" t="str">
        <f t="shared" si="63"/>
        <v/>
      </c>
      <c r="BH75" s="72" t="str">
        <f t="shared" si="64"/>
        <v/>
      </c>
      <c r="BI75" s="39"/>
      <c r="BJ75" s="40" t="str">
        <f t="shared" si="65"/>
        <v/>
      </c>
      <c r="BK75" s="157" t="str">
        <f t="shared" si="66"/>
        <v/>
      </c>
      <c r="BL75" s="157" t="str">
        <f t="shared" si="67"/>
        <v/>
      </c>
      <c r="BM75" s="72"/>
      <c r="BN75" s="72" t="str">
        <f t="shared" si="68"/>
        <v/>
      </c>
      <c r="BO75" s="72" t="str">
        <f t="shared" si="69"/>
        <v/>
      </c>
      <c r="BP75" s="39"/>
      <c r="BQ75" s="72" t="str">
        <f t="shared" si="70"/>
        <v/>
      </c>
      <c r="BR75" s="72" t="str">
        <f t="shared" si="71"/>
        <v/>
      </c>
    </row>
    <row r="76" spans="2:70" x14ac:dyDescent="0.15">
      <c r="D76" s="100" t="s">
        <v>592</v>
      </c>
      <c r="E76" s="100"/>
      <c r="F76" s="486"/>
      <c r="G76" s="100"/>
      <c r="I76" s="322">
        <f t="shared" si="72"/>
        <v>2091</v>
      </c>
      <c r="K76" s="71">
        <f t="shared" si="73"/>
        <v>62</v>
      </c>
      <c r="M76" s="7">
        <f t="shared" si="38"/>
        <v>0.15998971629410663</v>
      </c>
      <c r="O76" s="10" t="str">
        <f t="shared" si="74"/>
        <v/>
      </c>
      <c r="P76" s="29" t="str">
        <f t="shared" si="39"/>
        <v/>
      </c>
      <c r="R76" s="10" t="str">
        <f t="shared" si="75"/>
        <v/>
      </c>
      <c r="T76" s="10" t="str">
        <f t="shared" si="40"/>
        <v/>
      </c>
      <c r="V76" s="10" t="str">
        <f t="shared" si="41"/>
        <v/>
      </c>
      <c r="W76" s="10" t="str">
        <f t="shared" si="42"/>
        <v/>
      </c>
      <c r="Y76" s="10" t="str">
        <f t="shared" si="43"/>
        <v/>
      </c>
      <c r="Z76" s="10" t="str">
        <f t="shared" si="44"/>
        <v/>
      </c>
      <c r="AB76" s="10" t="str">
        <f t="shared" si="45"/>
        <v/>
      </c>
      <c r="AC76" s="10" t="str">
        <f t="shared" si="46"/>
        <v/>
      </c>
      <c r="AE76" s="10" t="str">
        <f t="shared" si="47"/>
        <v/>
      </c>
      <c r="AF76" s="10" t="str">
        <f t="shared" si="48"/>
        <v/>
      </c>
      <c r="AH76" s="10" t="str">
        <f t="shared" si="49"/>
        <v/>
      </c>
      <c r="AI76" s="10" t="str">
        <f t="shared" si="50"/>
        <v/>
      </c>
      <c r="AK76" s="10" t="str">
        <f t="shared" si="51"/>
        <v/>
      </c>
      <c r="AL76" s="10" t="str">
        <f t="shared" si="52"/>
        <v/>
      </c>
      <c r="AN76" s="10" t="str">
        <f t="shared" si="53"/>
        <v/>
      </c>
      <c r="AO76" s="10" t="str">
        <f t="shared" si="54"/>
        <v/>
      </c>
      <c r="AQ76" s="10" t="str">
        <f t="shared" si="55"/>
        <v/>
      </c>
      <c r="AR76" s="10" t="str">
        <f t="shared" si="56"/>
        <v/>
      </c>
      <c r="AT76" s="7"/>
      <c r="AV76" s="10" t="str">
        <f t="shared" si="57"/>
        <v/>
      </c>
      <c r="AW76" s="10" t="str">
        <f t="shared" si="58"/>
        <v/>
      </c>
      <c r="AY76" s="7" t="str">
        <f>IF(ISERROR(IF($K76&lt;=$F$15,VLOOKUP($I76,'表4）CO2価格'!$A$7:$E$67,VLOOKUP($F$48,'表4）CO2価格'!$H$10:$I$12,2,0),0)*$F$8/1000,"")),0,IF($K76&lt;=$F$15,VLOOKUP($I76,'表4）CO2価格'!$A$7:$E$67,VLOOKUP($F$48,'表4）CO2価格'!$H$10:$I$12,2,0),0)*$F$8/1000,""))</f>
        <v/>
      </c>
      <c r="BA76" s="11" t="str">
        <f t="shared" si="59"/>
        <v/>
      </c>
      <c r="BB76" s="10" t="str">
        <f t="shared" si="60"/>
        <v/>
      </c>
      <c r="BD76" s="10" t="str">
        <f t="shared" si="61"/>
        <v/>
      </c>
      <c r="BE76" s="10" t="str">
        <f t="shared" si="62"/>
        <v/>
      </c>
      <c r="BG76" s="11" t="str">
        <f t="shared" si="63"/>
        <v/>
      </c>
      <c r="BH76" s="10" t="str">
        <f t="shared" si="64"/>
        <v/>
      </c>
      <c r="BJ76" s="7" t="str">
        <f t="shared" si="65"/>
        <v/>
      </c>
      <c r="BK76" s="158" t="str">
        <f t="shared" si="66"/>
        <v/>
      </c>
      <c r="BL76" s="158" t="str">
        <f t="shared" si="67"/>
        <v/>
      </c>
      <c r="BM76" s="10"/>
      <c r="BN76" s="10" t="str">
        <f t="shared" si="68"/>
        <v/>
      </c>
      <c r="BO76" s="10" t="str">
        <f t="shared" si="69"/>
        <v/>
      </c>
      <c r="BQ76" s="10" t="str">
        <f t="shared" si="70"/>
        <v/>
      </c>
      <c r="BR76" s="10" t="str">
        <f t="shared" si="71"/>
        <v/>
      </c>
    </row>
    <row r="77" spans="2:70" x14ac:dyDescent="0.15">
      <c r="F77" s="487"/>
      <c r="I77" s="38">
        <f t="shared" si="72"/>
        <v>2092</v>
      </c>
      <c r="J77" s="39"/>
      <c r="K77" s="39">
        <f t="shared" si="73"/>
        <v>63</v>
      </c>
      <c r="L77" s="39"/>
      <c r="M77" s="40">
        <f t="shared" si="38"/>
        <v>0.15532982164476369</v>
      </c>
      <c r="N77" s="39"/>
      <c r="O77" s="72" t="str">
        <f t="shared" si="74"/>
        <v/>
      </c>
      <c r="P77" s="41" t="str">
        <f t="shared" si="39"/>
        <v/>
      </c>
      <c r="Q77" s="39"/>
      <c r="R77" s="72" t="str">
        <f t="shared" si="75"/>
        <v/>
      </c>
      <c r="S77" s="39"/>
      <c r="T77" s="72" t="str">
        <f t="shared" si="40"/>
        <v/>
      </c>
      <c r="U77" s="39"/>
      <c r="V77" s="72" t="str">
        <f t="shared" si="41"/>
        <v/>
      </c>
      <c r="W77" s="72" t="str">
        <f t="shared" si="42"/>
        <v/>
      </c>
      <c r="X77" s="39"/>
      <c r="Y77" s="72" t="str">
        <f t="shared" si="43"/>
        <v/>
      </c>
      <c r="Z77" s="72" t="str">
        <f t="shared" si="44"/>
        <v/>
      </c>
      <c r="AA77" s="39"/>
      <c r="AB77" s="72" t="str">
        <f t="shared" si="45"/>
        <v/>
      </c>
      <c r="AC77" s="72" t="str">
        <f t="shared" si="46"/>
        <v/>
      </c>
      <c r="AD77" s="39"/>
      <c r="AE77" s="72" t="str">
        <f t="shared" si="47"/>
        <v/>
      </c>
      <c r="AF77" s="72" t="str">
        <f t="shared" si="48"/>
        <v/>
      </c>
      <c r="AG77" s="39"/>
      <c r="AH77" s="72" t="str">
        <f t="shared" si="49"/>
        <v/>
      </c>
      <c r="AI77" s="72" t="str">
        <f t="shared" si="50"/>
        <v/>
      </c>
      <c r="AJ77" s="39"/>
      <c r="AK77" s="72" t="str">
        <f t="shared" si="51"/>
        <v/>
      </c>
      <c r="AL77" s="72" t="str">
        <f t="shared" si="52"/>
        <v/>
      </c>
      <c r="AM77" s="39"/>
      <c r="AN77" s="72" t="str">
        <f t="shared" si="53"/>
        <v/>
      </c>
      <c r="AO77" s="72" t="str">
        <f t="shared" si="54"/>
        <v/>
      </c>
      <c r="AP77" s="39"/>
      <c r="AQ77" s="72" t="str">
        <f t="shared" si="55"/>
        <v/>
      </c>
      <c r="AR77" s="72" t="str">
        <f t="shared" si="56"/>
        <v/>
      </c>
      <c r="AS77" s="39"/>
      <c r="AT77" s="40"/>
      <c r="AU77" s="39"/>
      <c r="AV77" s="72" t="str">
        <f t="shared" si="57"/>
        <v/>
      </c>
      <c r="AW77" s="72" t="str">
        <f t="shared" si="58"/>
        <v/>
      </c>
      <c r="AX77" s="39"/>
      <c r="AY77" s="40" t="str">
        <f>IF(ISERROR(IF($K77&lt;=$F$15,VLOOKUP($I77,'表4）CO2価格'!$A$7:$E$67,VLOOKUP($F$48,'表4）CO2価格'!$H$10:$I$12,2,0),0)*$F$8/1000,"")),0,IF($K77&lt;=$F$15,VLOOKUP($I77,'表4）CO2価格'!$A$7:$E$67,VLOOKUP($F$48,'表4）CO2価格'!$H$10:$I$12,2,0),0)*$F$8/1000,""))</f>
        <v/>
      </c>
      <c r="AZ77" s="39"/>
      <c r="BA77" s="42" t="str">
        <f t="shared" si="59"/>
        <v/>
      </c>
      <c r="BB77" s="72" t="str">
        <f t="shared" si="60"/>
        <v/>
      </c>
      <c r="BC77" s="39"/>
      <c r="BD77" s="72" t="str">
        <f t="shared" si="61"/>
        <v/>
      </c>
      <c r="BE77" s="72" t="str">
        <f t="shared" si="62"/>
        <v/>
      </c>
      <c r="BF77" s="39"/>
      <c r="BG77" s="42" t="str">
        <f t="shared" si="63"/>
        <v/>
      </c>
      <c r="BH77" s="72" t="str">
        <f t="shared" si="64"/>
        <v/>
      </c>
      <c r="BI77" s="39"/>
      <c r="BJ77" s="40" t="str">
        <f t="shared" si="65"/>
        <v/>
      </c>
      <c r="BK77" s="157" t="str">
        <f t="shared" si="66"/>
        <v/>
      </c>
      <c r="BL77" s="157" t="str">
        <f t="shared" si="67"/>
        <v/>
      </c>
      <c r="BM77" s="72"/>
      <c r="BN77" s="72" t="str">
        <f t="shared" si="68"/>
        <v/>
      </c>
      <c r="BO77" s="72" t="str">
        <f t="shared" si="69"/>
        <v/>
      </c>
      <c r="BP77" s="39"/>
      <c r="BQ77" s="72" t="str">
        <f t="shared" si="70"/>
        <v/>
      </c>
      <c r="BR77" s="72" t="str">
        <f t="shared" si="71"/>
        <v/>
      </c>
    </row>
    <row r="78" spans="2:70" x14ac:dyDescent="0.15">
      <c r="E78" s="70" t="s">
        <v>138</v>
      </c>
      <c r="F78" s="488">
        <f>R15/$BR$116</f>
        <v>1.7474557347767974</v>
      </c>
      <c r="G78" s="84" t="s">
        <v>590</v>
      </c>
      <c r="I78" s="322">
        <f t="shared" si="72"/>
        <v>2093</v>
      </c>
      <c r="K78" s="71">
        <f t="shared" si="73"/>
        <v>64</v>
      </c>
      <c r="M78" s="7">
        <f t="shared" si="38"/>
        <v>0.15080565208229488</v>
      </c>
      <c r="O78" s="10" t="str">
        <f t="shared" si="74"/>
        <v/>
      </c>
      <c r="P78" s="29" t="str">
        <f t="shared" si="39"/>
        <v/>
      </c>
      <c r="R78" s="10" t="str">
        <f t="shared" si="75"/>
        <v/>
      </c>
      <c r="T78" s="10" t="str">
        <f t="shared" si="40"/>
        <v/>
      </c>
      <c r="V78" s="10" t="str">
        <f t="shared" si="41"/>
        <v/>
      </c>
      <c r="W78" s="10" t="str">
        <f t="shared" si="42"/>
        <v/>
      </c>
      <c r="Y78" s="10" t="str">
        <f t="shared" si="43"/>
        <v/>
      </c>
      <c r="Z78" s="10" t="str">
        <f t="shared" si="44"/>
        <v/>
      </c>
      <c r="AB78" s="10" t="str">
        <f t="shared" si="45"/>
        <v/>
      </c>
      <c r="AC78" s="10" t="str">
        <f t="shared" si="46"/>
        <v/>
      </c>
      <c r="AE78" s="10" t="str">
        <f t="shared" si="47"/>
        <v/>
      </c>
      <c r="AF78" s="10" t="str">
        <f t="shared" si="48"/>
        <v/>
      </c>
      <c r="AH78" s="10" t="str">
        <f t="shared" si="49"/>
        <v/>
      </c>
      <c r="AI78" s="10" t="str">
        <f t="shared" si="50"/>
        <v/>
      </c>
      <c r="AK78" s="10" t="str">
        <f t="shared" si="51"/>
        <v/>
      </c>
      <c r="AL78" s="10" t="str">
        <f t="shared" si="52"/>
        <v/>
      </c>
      <c r="AN78" s="10" t="str">
        <f t="shared" si="53"/>
        <v/>
      </c>
      <c r="AO78" s="10" t="str">
        <f t="shared" si="54"/>
        <v/>
      </c>
      <c r="AQ78" s="10" t="str">
        <f t="shared" si="55"/>
        <v/>
      </c>
      <c r="AR78" s="10" t="str">
        <f t="shared" si="56"/>
        <v/>
      </c>
      <c r="AT78" s="7"/>
      <c r="AV78" s="10" t="str">
        <f t="shared" si="57"/>
        <v/>
      </c>
      <c r="AW78" s="10" t="str">
        <f t="shared" si="58"/>
        <v/>
      </c>
      <c r="AY78" s="7" t="str">
        <f>IF(ISERROR(IF($K78&lt;=$F$15,VLOOKUP($I78,'表4）CO2価格'!$A$7:$E$67,VLOOKUP($F$48,'表4）CO2価格'!$H$10:$I$12,2,0),0)*$F$8/1000,"")),0,IF($K78&lt;=$F$15,VLOOKUP($I78,'表4）CO2価格'!$A$7:$E$67,VLOOKUP($F$48,'表4）CO2価格'!$H$10:$I$12,2,0),0)*$F$8/1000,""))</f>
        <v/>
      </c>
      <c r="BA78" s="11" t="str">
        <f t="shared" si="59"/>
        <v/>
      </c>
      <c r="BB78" s="10" t="str">
        <f t="shared" si="60"/>
        <v/>
      </c>
      <c r="BD78" s="10" t="str">
        <f t="shared" si="61"/>
        <v/>
      </c>
      <c r="BE78" s="10" t="str">
        <f t="shared" si="62"/>
        <v/>
      </c>
      <c r="BG78" s="11" t="str">
        <f t="shared" si="63"/>
        <v/>
      </c>
      <c r="BH78" s="10" t="str">
        <f t="shared" si="64"/>
        <v/>
      </c>
      <c r="BJ78" s="7" t="str">
        <f t="shared" si="65"/>
        <v/>
      </c>
      <c r="BK78" s="158" t="str">
        <f t="shared" si="66"/>
        <v/>
      </c>
      <c r="BL78" s="158" t="str">
        <f t="shared" si="67"/>
        <v/>
      </c>
      <c r="BM78" s="10"/>
      <c r="BN78" s="10" t="str">
        <f t="shared" si="68"/>
        <v/>
      </c>
      <c r="BO78" s="10" t="str">
        <f t="shared" si="69"/>
        <v/>
      </c>
      <c r="BQ78" s="10" t="str">
        <f t="shared" si="70"/>
        <v/>
      </c>
      <c r="BR78" s="10" t="str">
        <f t="shared" si="71"/>
        <v/>
      </c>
    </row>
    <row r="79" spans="2:70" x14ac:dyDescent="0.15">
      <c r="E79" s="84" t="s">
        <v>139</v>
      </c>
      <c r="F79" s="488">
        <f>Z116/$BR$116</f>
        <v>0.14841085691974096</v>
      </c>
      <c r="G79" s="84" t="s">
        <v>590</v>
      </c>
      <c r="I79" s="38">
        <f t="shared" si="72"/>
        <v>2094</v>
      </c>
      <c r="J79" s="39"/>
      <c r="K79" s="39">
        <f t="shared" si="73"/>
        <v>65</v>
      </c>
      <c r="L79" s="39"/>
      <c r="M79" s="40">
        <f t="shared" ref="M79:M114" si="76">1/(1+($F$9/100))^K79</f>
        <v>0.14641325444882999</v>
      </c>
      <c r="N79" s="39"/>
      <c r="O79" s="72" t="str">
        <f t="shared" si="74"/>
        <v/>
      </c>
      <c r="P79" s="41" t="str">
        <f t="shared" ref="P79:P110" si="77">IF(K79&lt;=$F$15,IF(OR(P78=$F$124,P78="-"),"-",IF(O79*$F$123&gt;$F$127,$F$123,$F$124)),"")</f>
        <v/>
      </c>
      <c r="Q79" s="39"/>
      <c r="R79" s="72" t="str">
        <f t="shared" si="75"/>
        <v/>
      </c>
      <c r="S79" s="39"/>
      <c r="T79" s="72" t="str">
        <f t="shared" ref="T79:T114" si="78">IF(ISNUMBER(R79),ROUNDDOWN(R79,-3),"")</f>
        <v/>
      </c>
      <c r="U79" s="39"/>
      <c r="V79" s="72" t="str">
        <f t="shared" ref="V79:V114" si="79">IF(K79&lt;=$F$15,IF(K79&lt;$F$119,IF(P79="-",V78,O79*P79),IF(K79=$F$119,MIN(IF(P79="-",V78,O79*P79),O79),0)),"")</f>
        <v/>
      </c>
      <c r="W79" s="72" t="str">
        <f t="shared" ref="W79:W110" si="80">IF(ISNUMBER(V79),V79*$M79,"")</f>
        <v/>
      </c>
      <c r="X79" s="39"/>
      <c r="Y79" s="72" t="str">
        <f t="shared" ref="Y79:Y114" si="81">IF($K79&lt;=$F$15,ROUNDDOWN(T79*$F$25/100,-2),"")</f>
        <v/>
      </c>
      <c r="Z79" s="72" t="str">
        <f t="shared" ref="Z79:Z110" si="82">IF(ISNUMBER(Y79),Y79*$M79,"")</f>
        <v/>
      </c>
      <c r="AA79" s="39"/>
      <c r="AB79" s="72" t="str">
        <f t="shared" ref="AB79:AB114" si="83">IF($K79&lt;=$F$15,0,IF(AND($K79&gt;$F$15,$K79&lt;=$F$15+$F$28),$F$27*10^8/$F$28,""))</f>
        <v/>
      </c>
      <c r="AC79" s="72" t="str">
        <f t="shared" ref="AC79:AC110" si="84">IF(ISNUMBER(AB79),AB79*$M79,"")</f>
        <v/>
      </c>
      <c r="AD79" s="39"/>
      <c r="AE79" s="72" t="str">
        <f t="shared" ref="AE79:AE114" si="85">IF($K79&lt;=$F$15,$F$26,"")</f>
        <v/>
      </c>
      <c r="AF79" s="72" t="str">
        <f t="shared" ref="AF79:AF110" si="86">IF(ISNUMBER(AE79),AE79*$M79,"")</f>
        <v/>
      </c>
      <c r="AG79" s="39"/>
      <c r="AH79" s="72" t="str">
        <f t="shared" ref="AH79:AH114" si="87">IF($K79&lt;=$F$15,$F$33*10^8,"")</f>
        <v/>
      </c>
      <c r="AI79" s="72" t="str">
        <f t="shared" ref="AI79:AI110" si="88">IF(ISNUMBER(AH79),AH79*$M79,"")</f>
        <v/>
      </c>
      <c r="AJ79" s="39"/>
      <c r="AK79" s="72" t="str">
        <f t="shared" ref="AK79:AK114" si="89">IF($K79&lt;=$F$15,$F$117*$F$34/100,"")</f>
        <v/>
      </c>
      <c r="AL79" s="72" t="str">
        <f t="shared" ref="AL79:AL110" si="90">IF(ISNUMBER(AK79),AK79*$M79,"")</f>
        <v/>
      </c>
      <c r="AM79" s="39"/>
      <c r="AN79" s="72" t="str">
        <f t="shared" ref="AN79:AN114" si="91">IF($K79&lt;=$F$15,$F$117*$F$35/100,"")</f>
        <v/>
      </c>
      <c r="AO79" s="72" t="str">
        <f t="shared" ref="AO79:AO110" si="92">IF(ISNUMBER(AN79),AN79*$M79,"")</f>
        <v/>
      </c>
      <c r="AP79" s="39"/>
      <c r="AQ79" s="72" t="str">
        <f t="shared" ref="AQ79:AQ114" si="93">IF($K79&lt;=$F$15,SUM(AH79,AK79,AN79)*($F$36/100),"")</f>
        <v/>
      </c>
      <c r="AR79" s="72" t="str">
        <f t="shared" ref="AR79:AR110" si="94">IF(ISNUMBER(AQ79),AQ79*$M79,"")</f>
        <v/>
      </c>
      <c r="AS79" s="39"/>
      <c r="AT79" s="40"/>
      <c r="AU79" s="39"/>
      <c r="AV79" s="72" t="str">
        <f t="shared" ref="AV79:AV114" si="95">IF($K79&lt;=$F$15,($AT79+$F$142)*$F$137,"")</f>
        <v/>
      </c>
      <c r="AW79" s="72" t="str">
        <f t="shared" ref="AW79:AW110" si="96">IF(ISNUMBER(AV79),AV79*$M79,"")</f>
        <v/>
      </c>
      <c r="AX79" s="39"/>
      <c r="AY79" s="40" t="str">
        <f>IF(ISERROR(IF($K79&lt;=$F$15,VLOOKUP($I79,'表4）CO2価格'!$A$7:$E$67,VLOOKUP($F$48,'表4）CO2価格'!$H$10:$I$12,2,0),0)*$F$8/1000,"")),0,IF($K79&lt;=$F$15,VLOOKUP($I79,'表4）CO2価格'!$A$7:$E$67,VLOOKUP($F$48,'表4）CO2価格'!$H$10:$I$12,2,0),0)*$F$8/1000,""))</f>
        <v/>
      </c>
      <c r="AZ79" s="39"/>
      <c r="BA79" s="42" t="str">
        <f t="shared" ref="BA79:BA114" si="97">IF($K79&lt;=$F$15,$F$145*AY79,"")</f>
        <v/>
      </c>
      <c r="BB79" s="72" t="str">
        <f t="shared" ref="BB79:BB110" si="98">IF(ISNUMBER(BA79),BA79*$M79,"")</f>
        <v/>
      </c>
      <c r="BC79" s="39"/>
      <c r="BD79" s="72" t="str">
        <f t="shared" ref="BD79:BD114" si="99">IF($K79&lt;=$F$15,($AT79+$F$152)*$F$151,"")</f>
        <v/>
      </c>
      <c r="BE79" s="72" t="str">
        <f t="shared" ref="BE79:BE110" si="100">IF(ISNUMBER(BD79),BD79*$M79,"")</f>
        <v/>
      </c>
      <c r="BF79" s="39"/>
      <c r="BG79" s="42" t="str">
        <f t="shared" ref="BG79:BG114" si="101">IF($K79&lt;=$F$15,$F$153*AY79,"")</f>
        <v/>
      </c>
      <c r="BH79" s="72" t="str">
        <f t="shared" ref="BH79:BH110" si="102">IF(ISNUMBER(BG79),BG79*$M79,"")</f>
        <v/>
      </c>
      <c r="BI79" s="39"/>
      <c r="BJ79" s="40" t="str">
        <f t="shared" ref="BJ79:BJ114" si="103">IF(ISNUMBER($F$16),IF($K79&lt;=$F$16+$F$28,1/(1+($F$17/100))^K79,""),"")</f>
        <v/>
      </c>
      <c r="BK79" s="157" t="str">
        <f t="shared" ref="BK79:BK110" si="104">IF(ISNUMBER($F$16),IF($K79&lt;=$F$16+$F$28,IF($K79&lt;=$F$16,SUM(Y79,AB79,AE79,AH79,AK79,AN79,AQ79,AV79,BA79,BD79,BG79),$F$27/$F$28*10^8)*BJ79,""),"")</f>
        <v/>
      </c>
      <c r="BL79" s="157" t="str">
        <f t="shared" ref="BL79:BL114" si="105">IF(AND(ISNUMBER(BJ79),$K79&lt;=$F$16),BQ79*BJ79,"")</f>
        <v/>
      </c>
      <c r="BM79" s="72"/>
      <c r="BN79" s="72" t="str">
        <f t="shared" ref="BN79:BN114" si="106">IF(AND(ISNUMBER($F$16),$K79&lt;=$F$16),BQ79*($O$15+$BK$116)/$BL$116,"")</f>
        <v/>
      </c>
      <c r="BO79" s="72" t="str">
        <f t="shared" ref="BO79:BO110" si="107">IF(ISNUMBER(BN79),BN79*$M79,"")</f>
        <v/>
      </c>
      <c r="BP79" s="39"/>
      <c r="BQ79" s="72" t="str">
        <f t="shared" ref="BQ79:BQ114" si="108">IF($K79&lt;=$F$15,$F$134,"")</f>
        <v/>
      </c>
      <c r="BR79" s="72" t="str">
        <f t="shared" ref="BR79:BR110" si="109">IF(ISNUMBER(BQ79),BQ79*$M79,"")</f>
        <v/>
      </c>
    </row>
    <row r="80" spans="2:70" x14ac:dyDescent="0.15">
      <c r="E80" s="84" t="s">
        <v>115</v>
      </c>
      <c r="F80" s="488">
        <f>AF116/$BR$116</f>
        <v>0</v>
      </c>
      <c r="G80" s="84" t="s">
        <v>590</v>
      </c>
      <c r="I80" s="322">
        <f t="shared" ref="I80:I114" si="110">I79+1</f>
        <v>2095</v>
      </c>
      <c r="K80" s="71">
        <f t="shared" ref="K80:K114" si="111">IF(I80&lt;&gt;"",K79+1,"")</f>
        <v>66</v>
      </c>
      <c r="M80" s="7">
        <f t="shared" si="76"/>
        <v>0.14214879072701941</v>
      </c>
      <c r="O80" s="10" t="str">
        <f t="shared" ref="O80:O114" si="112">IF(K80&lt;=$F$15,O79-V79,"")</f>
        <v/>
      </c>
      <c r="P80" s="29" t="str">
        <f t="shared" si="77"/>
        <v/>
      </c>
      <c r="R80" s="10" t="str">
        <f t="shared" ref="R80:R114" si="113">IF($K80&lt;=$F$15,MAX($F$117*5%,R79*$F$129),"")</f>
        <v/>
      </c>
      <c r="T80" s="10" t="str">
        <f t="shared" si="78"/>
        <v/>
      </c>
      <c r="V80" s="10" t="str">
        <f t="shared" si="79"/>
        <v/>
      </c>
      <c r="W80" s="10" t="str">
        <f t="shared" si="80"/>
        <v/>
      </c>
      <c r="Y80" s="10" t="str">
        <f t="shared" si="81"/>
        <v/>
      </c>
      <c r="Z80" s="10" t="str">
        <f t="shared" si="82"/>
        <v/>
      </c>
      <c r="AB80" s="10" t="str">
        <f t="shared" si="83"/>
        <v/>
      </c>
      <c r="AC80" s="10" t="str">
        <f t="shared" si="84"/>
        <v/>
      </c>
      <c r="AE80" s="10" t="str">
        <f t="shared" si="85"/>
        <v/>
      </c>
      <c r="AF80" s="10" t="str">
        <f t="shared" si="86"/>
        <v/>
      </c>
      <c r="AH80" s="10" t="str">
        <f t="shared" si="87"/>
        <v/>
      </c>
      <c r="AI80" s="10" t="str">
        <f t="shared" si="88"/>
        <v/>
      </c>
      <c r="AK80" s="10" t="str">
        <f t="shared" si="89"/>
        <v/>
      </c>
      <c r="AL80" s="10" t="str">
        <f t="shared" si="90"/>
        <v/>
      </c>
      <c r="AN80" s="10" t="str">
        <f t="shared" si="91"/>
        <v/>
      </c>
      <c r="AO80" s="10" t="str">
        <f t="shared" si="92"/>
        <v/>
      </c>
      <c r="AQ80" s="10" t="str">
        <f t="shared" si="93"/>
        <v/>
      </c>
      <c r="AR80" s="10" t="str">
        <f t="shared" si="94"/>
        <v/>
      </c>
      <c r="AT80" s="7"/>
      <c r="AV80" s="10" t="str">
        <f t="shared" si="95"/>
        <v/>
      </c>
      <c r="AW80" s="10" t="str">
        <f t="shared" si="96"/>
        <v/>
      </c>
      <c r="AY80" s="7" t="str">
        <f>IF(ISERROR(IF($K80&lt;=$F$15,VLOOKUP($I80,'表4）CO2価格'!$A$7:$E$67,VLOOKUP($F$48,'表4）CO2価格'!$H$10:$I$12,2,0),0)*$F$8/1000,"")),0,IF($K80&lt;=$F$15,VLOOKUP($I80,'表4）CO2価格'!$A$7:$E$67,VLOOKUP($F$48,'表4）CO2価格'!$H$10:$I$12,2,0),0)*$F$8/1000,""))</f>
        <v/>
      </c>
      <c r="BA80" s="11" t="str">
        <f t="shared" si="97"/>
        <v/>
      </c>
      <c r="BB80" s="10" t="str">
        <f t="shared" si="98"/>
        <v/>
      </c>
      <c r="BD80" s="10" t="str">
        <f t="shared" si="99"/>
        <v/>
      </c>
      <c r="BE80" s="10" t="str">
        <f t="shared" si="100"/>
        <v/>
      </c>
      <c r="BG80" s="11" t="str">
        <f t="shared" si="101"/>
        <v/>
      </c>
      <c r="BH80" s="10" t="str">
        <f t="shared" si="102"/>
        <v/>
      </c>
      <c r="BJ80" s="7" t="str">
        <f t="shared" si="103"/>
        <v/>
      </c>
      <c r="BK80" s="158" t="str">
        <f t="shared" si="104"/>
        <v/>
      </c>
      <c r="BL80" s="158" t="str">
        <f t="shared" si="105"/>
        <v/>
      </c>
      <c r="BM80" s="10"/>
      <c r="BN80" s="10" t="str">
        <f t="shared" si="106"/>
        <v/>
      </c>
      <c r="BO80" s="10" t="str">
        <f t="shared" si="107"/>
        <v/>
      </c>
      <c r="BQ80" s="10" t="str">
        <f t="shared" si="108"/>
        <v/>
      </c>
      <c r="BR80" s="10" t="str">
        <f t="shared" si="109"/>
        <v/>
      </c>
    </row>
    <row r="81" spans="4:70" x14ac:dyDescent="0.15">
      <c r="E81" s="160" t="s">
        <v>86</v>
      </c>
      <c r="F81" s="488">
        <f>AC116/$BR$116</f>
        <v>2.6004587837147878E-2</v>
      </c>
      <c r="G81" s="84" t="s">
        <v>590</v>
      </c>
      <c r="I81" s="38">
        <f t="shared" si="110"/>
        <v>2096</v>
      </c>
      <c r="J81" s="39"/>
      <c r="K81" s="39">
        <f t="shared" si="111"/>
        <v>67</v>
      </c>
      <c r="L81" s="39"/>
      <c r="M81" s="40">
        <f t="shared" si="76"/>
        <v>0.1380085346864266</v>
      </c>
      <c r="N81" s="39"/>
      <c r="O81" s="72" t="str">
        <f t="shared" si="112"/>
        <v/>
      </c>
      <c r="P81" s="41" t="str">
        <f t="shared" si="77"/>
        <v/>
      </c>
      <c r="Q81" s="39"/>
      <c r="R81" s="72" t="str">
        <f t="shared" si="113"/>
        <v/>
      </c>
      <c r="S81" s="39"/>
      <c r="T81" s="72" t="str">
        <f t="shared" si="78"/>
        <v/>
      </c>
      <c r="U81" s="39"/>
      <c r="V81" s="72" t="str">
        <f t="shared" si="79"/>
        <v/>
      </c>
      <c r="W81" s="72" t="str">
        <f t="shared" si="80"/>
        <v/>
      </c>
      <c r="X81" s="39"/>
      <c r="Y81" s="72" t="str">
        <f t="shared" si="81"/>
        <v/>
      </c>
      <c r="Z81" s="72" t="str">
        <f t="shared" si="82"/>
        <v/>
      </c>
      <c r="AA81" s="39"/>
      <c r="AB81" s="72" t="str">
        <f t="shared" si="83"/>
        <v/>
      </c>
      <c r="AC81" s="72" t="str">
        <f t="shared" si="84"/>
        <v/>
      </c>
      <c r="AD81" s="39"/>
      <c r="AE81" s="72" t="str">
        <f t="shared" si="85"/>
        <v/>
      </c>
      <c r="AF81" s="72" t="str">
        <f t="shared" si="86"/>
        <v/>
      </c>
      <c r="AG81" s="39"/>
      <c r="AH81" s="72" t="str">
        <f t="shared" si="87"/>
        <v/>
      </c>
      <c r="AI81" s="72" t="str">
        <f t="shared" si="88"/>
        <v/>
      </c>
      <c r="AJ81" s="39"/>
      <c r="AK81" s="72" t="str">
        <f t="shared" si="89"/>
        <v/>
      </c>
      <c r="AL81" s="72" t="str">
        <f t="shared" si="90"/>
        <v/>
      </c>
      <c r="AM81" s="39"/>
      <c r="AN81" s="72" t="str">
        <f t="shared" si="91"/>
        <v/>
      </c>
      <c r="AO81" s="72" t="str">
        <f t="shared" si="92"/>
        <v/>
      </c>
      <c r="AP81" s="39"/>
      <c r="AQ81" s="72" t="str">
        <f t="shared" si="93"/>
        <v/>
      </c>
      <c r="AR81" s="72" t="str">
        <f t="shared" si="94"/>
        <v/>
      </c>
      <c r="AS81" s="39"/>
      <c r="AT81" s="40"/>
      <c r="AU81" s="39"/>
      <c r="AV81" s="72" t="str">
        <f t="shared" si="95"/>
        <v/>
      </c>
      <c r="AW81" s="72" t="str">
        <f t="shared" si="96"/>
        <v/>
      </c>
      <c r="AX81" s="39"/>
      <c r="AY81" s="40" t="str">
        <f>IF(ISERROR(IF($K81&lt;=$F$15,VLOOKUP($I81,'表4）CO2価格'!$A$7:$E$67,VLOOKUP($F$48,'表4）CO2価格'!$H$10:$I$12,2,0),0)*$F$8/1000,"")),0,IF($K81&lt;=$F$15,VLOOKUP($I81,'表4）CO2価格'!$A$7:$E$67,VLOOKUP($F$48,'表4）CO2価格'!$H$10:$I$12,2,0),0)*$F$8/1000,""))</f>
        <v/>
      </c>
      <c r="AZ81" s="39"/>
      <c r="BA81" s="42" t="str">
        <f t="shared" si="97"/>
        <v/>
      </c>
      <c r="BB81" s="72" t="str">
        <f t="shared" si="98"/>
        <v/>
      </c>
      <c r="BC81" s="39"/>
      <c r="BD81" s="72" t="str">
        <f t="shared" si="99"/>
        <v/>
      </c>
      <c r="BE81" s="72" t="str">
        <f t="shared" si="100"/>
        <v/>
      </c>
      <c r="BF81" s="39"/>
      <c r="BG81" s="42" t="str">
        <f t="shared" si="101"/>
        <v/>
      </c>
      <c r="BH81" s="72" t="str">
        <f t="shared" si="102"/>
        <v/>
      </c>
      <c r="BI81" s="39"/>
      <c r="BJ81" s="40" t="str">
        <f t="shared" si="103"/>
        <v/>
      </c>
      <c r="BK81" s="157" t="str">
        <f t="shared" si="104"/>
        <v/>
      </c>
      <c r="BL81" s="157" t="str">
        <f t="shared" si="105"/>
        <v/>
      </c>
      <c r="BM81" s="72"/>
      <c r="BN81" s="72" t="str">
        <f t="shared" si="106"/>
        <v/>
      </c>
      <c r="BO81" s="72" t="str">
        <f t="shared" si="107"/>
        <v/>
      </c>
      <c r="BP81" s="39"/>
      <c r="BQ81" s="72" t="str">
        <f t="shared" si="108"/>
        <v/>
      </c>
      <c r="BR81" s="72" t="str">
        <f t="shared" si="109"/>
        <v/>
      </c>
    </row>
    <row r="82" spans="4:70" x14ac:dyDescent="0.15">
      <c r="F82" s="487"/>
      <c r="I82" s="322">
        <f t="shared" si="110"/>
        <v>2097</v>
      </c>
      <c r="K82" s="71">
        <f t="shared" si="111"/>
        <v>68</v>
      </c>
      <c r="M82" s="7">
        <f t="shared" si="76"/>
        <v>0.13398886862759865</v>
      </c>
      <c r="O82" s="10" t="str">
        <f t="shared" si="112"/>
        <v/>
      </c>
      <c r="P82" s="29" t="str">
        <f t="shared" si="77"/>
        <v/>
      </c>
      <c r="R82" s="10" t="str">
        <f t="shared" si="113"/>
        <v/>
      </c>
      <c r="T82" s="10" t="str">
        <f t="shared" si="78"/>
        <v/>
      </c>
      <c r="V82" s="10" t="str">
        <f t="shared" si="79"/>
        <v/>
      </c>
      <c r="W82" s="10" t="str">
        <f t="shared" si="80"/>
        <v/>
      </c>
      <c r="Y82" s="10" t="str">
        <f t="shared" si="81"/>
        <v/>
      </c>
      <c r="Z82" s="10" t="str">
        <f t="shared" si="82"/>
        <v/>
      </c>
      <c r="AB82" s="10" t="str">
        <f t="shared" si="83"/>
        <v/>
      </c>
      <c r="AC82" s="10" t="str">
        <f t="shared" si="84"/>
        <v/>
      </c>
      <c r="AE82" s="10" t="str">
        <f t="shared" si="85"/>
        <v/>
      </c>
      <c r="AF82" s="10" t="str">
        <f t="shared" si="86"/>
        <v/>
      </c>
      <c r="AH82" s="10" t="str">
        <f t="shared" si="87"/>
        <v/>
      </c>
      <c r="AI82" s="10" t="str">
        <f t="shared" si="88"/>
        <v/>
      </c>
      <c r="AK82" s="10" t="str">
        <f t="shared" si="89"/>
        <v/>
      </c>
      <c r="AL82" s="10" t="str">
        <f t="shared" si="90"/>
        <v/>
      </c>
      <c r="AN82" s="10" t="str">
        <f t="shared" si="91"/>
        <v/>
      </c>
      <c r="AO82" s="10" t="str">
        <f t="shared" si="92"/>
        <v/>
      </c>
      <c r="AQ82" s="10" t="str">
        <f t="shared" si="93"/>
        <v/>
      </c>
      <c r="AR82" s="10" t="str">
        <f t="shared" si="94"/>
        <v/>
      </c>
      <c r="AT82" s="7"/>
      <c r="AV82" s="10" t="str">
        <f t="shared" si="95"/>
        <v/>
      </c>
      <c r="AW82" s="10" t="str">
        <f t="shared" si="96"/>
        <v/>
      </c>
      <c r="AY82" s="7" t="str">
        <f>IF(ISERROR(IF($K82&lt;=$F$15,VLOOKUP($I82,'表4）CO2価格'!$A$7:$E$67,VLOOKUP($F$48,'表4）CO2価格'!$H$10:$I$12,2,0),0)*$F$8/1000,"")),0,IF($K82&lt;=$F$15,VLOOKUP($I82,'表4）CO2価格'!$A$7:$E$67,VLOOKUP($F$48,'表4）CO2価格'!$H$10:$I$12,2,0),0)*$F$8/1000,""))</f>
        <v/>
      </c>
      <c r="BA82" s="11" t="str">
        <f t="shared" si="97"/>
        <v/>
      </c>
      <c r="BB82" s="10" t="str">
        <f t="shared" si="98"/>
        <v/>
      </c>
      <c r="BD82" s="10" t="str">
        <f t="shared" si="99"/>
        <v/>
      </c>
      <c r="BE82" s="10" t="str">
        <f t="shared" si="100"/>
        <v/>
      </c>
      <c r="BG82" s="11" t="str">
        <f t="shared" si="101"/>
        <v/>
      </c>
      <c r="BH82" s="10" t="str">
        <f t="shared" si="102"/>
        <v/>
      </c>
      <c r="BJ82" s="7" t="str">
        <f t="shared" si="103"/>
        <v/>
      </c>
      <c r="BK82" s="158" t="str">
        <f t="shared" si="104"/>
        <v/>
      </c>
      <c r="BL82" s="158" t="str">
        <f t="shared" si="105"/>
        <v/>
      </c>
      <c r="BM82" s="10"/>
      <c r="BN82" s="10" t="str">
        <f t="shared" si="106"/>
        <v/>
      </c>
      <c r="BO82" s="10" t="str">
        <f t="shared" si="107"/>
        <v/>
      </c>
      <c r="BQ82" s="10" t="str">
        <f t="shared" si="108"/>
        <v/>
      </c>
      <c r="BR82" s="10" t="str">
        <f t="shared" si="109"/>
        <v/>
      </c>
    </row>
    <row r="83" spans="4:70" ht="15" x14ac:dyDescent="0.15">
      <c r="D83" s="103" t="s">
        <v>593</v>
      </c>
      <c r="F83" s="484">
        <f>SUBTOTAL(9,F87:F90)</f>
        <v>1.7358420285248839</v>
      </c>
      <c r="G83" s="84" t="s">
        <v>590</v>
      </c>
      <c r="I83" s="38">
        <f t="shared" si="110"/>
        <v>2098</v>
      </c>
      <c r="J83" s="39"/>
      <c r="K83" s="39">
        <f t="shared" si="111"/>
        <v>69</v>
      </c>
      <c r="L83" s="39"/>
      <c r="M83" s="40">
        <f t="shared" si="76"/>
        <v>0.13008628022096957</v>
      </c>
      <c r="N83" s="39"/>
      <c r="O83" s="72" t="str">
        <f t="shared" si="112"/>
        <v/>
      </c>
      <c r="P83" s="41" t="str">
        <f t="shared" si="77"/>
        <v/>
      </c>
      <c r="Q83" s="39"/>
      <c r="R83" s="72" t="str">
        <f t="shared" si="113"/>
        <v/>
      </c>
      <c r="S83" s="39"/>
      <c r="T83" s="72" t="str">
        <f t="shared" si="78"/>
        <v/>
      </c>
      <c r="U83" s="39"/>
      <c r="V83" s="72" t="str">
        <f t="shared" si="79"/>
        <v/>
      </c>
      <c r="W83" s="72" t="str">
        <f t="shared" si="80"/>
        <v/>
      </c>
      <c r="X83" s="39"/>
      <c r="Y83" s="72" t="str">
        <f t="shared" si="81"/>
        <v/>
      </c>
      <c r="Z83" s="72" t="str">
        <f t="shared" si="82"/>
        <v/>
      </c>
      <c r="AA83" s="39"/>
      <c r="AB83" s="72" t="str">
        <f t="shared" si="83"/>
        <v/>
      </c>
      <c r="AC83" s="72" t="str">
        <f t="shared" si="84"/>
        <v/>
      </c>
      <c r="AD83" s="39"/>
      <c r="AE83" s="72" t="str">
        <f t="shared" si="85"/>
        <v/>
      </c>
      <c r="AF83" s="72" t="str">
        <f t="shared" si="86"/>
        <v/>
      </c>
      <c r="AG83" s="39"/>
      <c r="AH83" s="72" t="str">
        <f t="shared" si="87"/>
        <v/>
      </c>
      <c r="AI83" s="72" t="str">
        <f t="shared" si="88"/>
        <v/>
      </c>
      <c r="AJ83" s="39"/>
      <c r="AK83" s="72" t="str">
        <f t="shared" si="89"/>
        <v/>
      </c>
      <c r="AL83" s="72" t="str">
        <f t="shared" si="90"/>
        <v/>
      </c>
      <c r="AM83" s="39"/>
      <c r="AN83" s="72" t="str">
        <f t="shared" si="91"/>
        <v/>
      </c>
      <c r="AO83" s="72" t="str">
        <f t="shared" si="92"/>
        <v/>
      </c>
      <c r="AP83" s="39"/>
      <c r="AQ83" s="72" t="str">
        <f t="shared" si="93"/>
        <v/>
      </c>
      <c r="AR83" s="72" t="str">
        <f t="shared" si="94"/>
        <v/>
      </c>
      <c r="AS83" s="39"/>
      <c r="AT83" s="40"/>
      <c r="AU83" s="39"/>
      <c r="AV83" s="72" t="str">
        <f t="shared" si="95"/>
        <v/>
      </c>
      <c r="AW83" s="72" t="str">
        <f t="shared" si="96"/>
        <v/>
      </c>
      <c r="AX83" s="39"/>
      <c r="AY83" s="40" t="str">
        <f>IF(ISERROR(IF($K83&lt;=$F$15,VLOOKUP($I83,'表4）CO2価格'!$A$7:$E$67,VLOOKUP($F$48,'表4）CO2価格'!$H$10:$I$12,2,0),0)*$F$8/1000,"")),0,IF($K83&lt;=$F$15,VLOOKUP($I83,'表4）CO2価格'!$A$7:$E$67,VLOOKUP($F$48,'表4）CO2価格'!$H$10:$I$12,2,0),0)*$F$8/1000,""))</f>
        <v/>
      </c>
      <c r="AZ83" s="39"/>
      <c r="BA83" s="42" t="str">
        <f t="shared" si="97"/>
        <v/>
      </c>
      <c r="BB83" s="72" t="str">
        <f t="shared" si="98"/>
        <v/>
      </c>
      <c r="BC83" s="39"/>
      <c r="BD83" s="72" t="str">
        <f t="shared" si="99"/>
        <v/>
      </c>
      <c r="BE83" s="72" t="str">
        <f t="shared" si="100"/>
        <v/>
      </c>
      <c r="BF83" s="39"/>
      <c r="BG83" s="42" t="str">
        <f t="shared" si="101"/>
        <v/>
      </c>
      <c r="BH83" s="72" t="str">
        <f t="shared" si="102"/>
        <v/>
      </c>
      <c r="BI83" s="39"/>
      <c r="BJ83" s="40" t="str">
        <f t="shared" si="103"/>
        <v/>
      </c>
      <c r="BK83" s="157" t="str">
        <f t="shared" si="104"/>
        <v/>
      </c>
      <c r="BL83" s="157" t="str">
        <f t="shared" si="105"/>
        <v/>
      </c>
      <c r="BM83" s="72"/>
      <c r="BN83" s="72" t="str">
        <f t="shared" si="106"/>
        <v/>
      </c>
      <c r="BO83" s="72" t="str">
        <f t="shared" si="107"/>
        <v/>
      </c>
      <c r="BP83" s="39"/>
      <c r="BQ83" s="72" t="str">
        <f t="shared" si="108"/>
        <v/>
      </c>
      <c r="BR83" s="72" t="str">
        <f t="shared" si="109"/>
        <v/>
      </c>
    </row>
    <row r="84" spans="4:70" x14ac:dyDescent="0.15">
      <c r="F84" s="487"/>
      <c r="I84" s="322">
        <f t="shared" si="110"/>
        <v>2099</v>
      </c>
      <c r="K84" s="71">
        <f t="shared" si="111"/>
        <v>70</v>
      </c>
      <c r="M84" s="7">
        <f t="shared" si="76"/>
        <v>0.12629735943783454</v>
      </c>
      <c r="O84" s="10" t="str">
        <f t="shared" si="112"/>
        <v/>
      </c>
      <c r="P84" s="29" t="str">
        <f t="shared" si="77"/>
        <v/>
      </c>
      <c r="R84" s="10" t="str">
        <f t="shared" si="113"/>
        <v/>
      </c>
      <c r="T84" s="10" t="str">
        <f t="shared" si="78"/>
        <v/>
      </c>
      <c r="V84" s="10" t="str">
        <f t="shared" si="79"/>
        <v/>
      </c>
      <c r="W84" s="10" t="str">
        <f t="shared" si="80"/>
        <v/>
      </c>
      <c r="Y84" s="10" t="str">
        <f t="shared" si="81"/>
        <v/>
      </c>
      <c r="Z84" s="10" t="str">
        <f t="shared" si="82"/>
        <v/>
      </c>
      <c r="AB84" s="10" t="str">
        <f t="shared" si="83"/>
        <v/>
      </c>
      <c r="AC84" s="10" t="str">
        <f t="shared" si="84"/>
        <v/>
      </c>
      <c r="AE84" s="10" t="str">
        <f t="shared" si="85"/>
        <v/>
      </c>
      <c r="AF84" s="10" t="str">
        <f t="shared" si="86"/>
        <v/>
      </c>
      <c r="AH84" s="10" t="str">
        <f t="shared" si="87"/>
        <v/>
      </c>
      <c r="AI84" s="10" t="str">
        <f t="shared" si="88"/>
        <v/>
      </c>
      <c r="AK84" s="10" t="str">
        <f t="shared" si="89"/>
        <v/>
      </c>
      <c r="AL84" s="10" t="str">
        <f t="shared" si="90"/>
        <v/>
      </c>
      <c r="AN84" s="10" t="str">
        <f t="shared" si="91"/>
        <v/>
      </c>
      <c r="AO84" s="10" t="str">
        <f t="shared" si="92"/>
        <v/>
      </c>
      <c r="AQ84" s="10" t="str">
        <f t="shared" si="93"/>
        <v/>
      </c>
      <c r="AR84" s="10" t="str">
        <f t="shared" si="94"/>
        <v/>
      </c>
      <c r="AT84" s="7"/>
      <c r="AV84" s="10" t="str">
        <f t="shared" si="95"/>
        <v/>
      </c>
      <c r="AW84" s="10" t="str">
        <f t="shared" si="96"/>
        <v/>
      </c>
      <c r="AY84" s="7" t="str">
        <f>IF(ISERROR(IF($K84&lt;=$F$15,VLOOKUP($I84,'表4）CO2価格'!$A$7:$E$67,VLOOKUP($F$48,'表4）CO2価格'!$H$10:$I$12,2,0),0)*$F$8/1000,"")),0,IF($K84&lt;=$F$15,VLOOKUP($I84,'表4）CO2価格'!$A$7:$E$67,VLOOKUP($F$48,'表4）CO2価格'!$H$10:$I$12,2,0),0)*$F$8/1000,""))</f>
        <v/>
      </c>
      <c r="BA84" s="11" t="str">
        <f t="shared" si="97"/>
        <v/>
      </c>
      <c r="BB84" s="10" t="str">
        <f t="shared" si="98"/>
        <v/>
      </c>
      <c r="BD84" s="10" t="str">
        <f t="shared" si="99"/>
        <v/>
      </c>
      <c r="BE84" s="10" t="str">
        <f t="shared" si="100"/>
        <v/>
      </c>
      <c r="BG84" s="11" t="str">
        <f t="shared" si="101"/>
        <v/>
      </c>
      <c r="BH84" s="10" t="str">
        <f t="shared" si="102"/>
        <v/>
      </c>
      <c r="BJ84" s="7" t="str">
        <f t="shared" si="103"/>
        <v/>
      </c>
      <c r="BK84" s="158" t="str">
        <f t="shared" si="104"/>
        <v/>
      </c>
      <c r="BL84" s="158" t="str">
        <f t="shared" si="105"/>
        <v/>
      </c>
      <c r="BM84" s="10"/>
      <c r="BN84" s="10" t="str">
        <f t="shared" si="106"/>
        <v/>
      </c>
      <c r="BO84" s="10" t="str">
        <f t="shared" si="107"/>
        <v/>
      </c>
      <c r="BQ84" s="10" t="str">
        <f t="shared" si="108"/>
        <v/>
      </c>
      <c r="BR84" s="10" t="str">
        <f t="shared" si="109"/>
        <v/>
      </c>
    </row>
    <row r="85" spans="4:70" x14ac:dyDescent="0.15">
      <c r="D85" s="100" t="s">
        <v>594</v>
      </c>
      <c r="E85" s="489"/>
      <c r="F85" s="486"/>
      <c r="G85" s="100"/>
      <c r="I85" s="38">
        <f t="shared" si="110"/>
        <v>2100</v>
      </c>
      <c r="J85" s="39"/>
      <c r="K85" s="39">
        <f t="shared" si="111"/>
        <v>71</v>
      </c>
      <c r="L85" s="39"/>
      <c r="M85" s="40">
        <f t="shared" si="76"/>
        <v>0.12261879557071313</v>
      </c>
      <c r="N85" s="39"/>
      <c r="O85" s="72" t="str">
        <f t="shared" si="112"/>
        <v/>
      </c>
      <c r="P85" s="41" t="str">
        <f t="shared" si="77"/>
        <v/>
      </c>
      <c r="Q85" s="39"/>
      <c r="R85" s="72" t="str">
        <f t="shared" si="113"/>
        <v/>
      </c>
      <c r="S85" s="39"/>
      <c r="T85" s="72" t="str">
        <f t="shared" si="78"/>
        <v/>
      </c>
      <c r="U85" s="39"/>
      <c r="V85" s="72" t="str">
        <f t="shared" si="79"/>
        <v/>
      </c>
      <c r="W85" s="72" t="str">
        <f t="shared" si="80"/>
        <v/>
      </c>
      <c r="X85" s="39"/>
      <c r="Y85" s="72" t="str">
        <f t="shared" si="81"/>
        <v/>
      </c>
      <c r="Z85" s="72" t="str">
        <f t="shared" si="82"/>
        <v/>
      </c>
      <c r="AA85" s="39"/>
      <c r="AB85" s="72" t="str">
        <f t="shared" si="83"/>
        <v/>
      </c>
      <c r="AC85" s="72" t="str">
        <f t="shared" si="84"/>
        <v/>
      </c>
      <c r="AD85" s="39"/>
      <c r="AE85" s="72" t="str">
        <f t="shared" si="85"/>
        <v/>
      </c>
      <c r="AF85" s="72" t="str">
        <f t="shared" si="86"/>
        <v/>
      </c>
      <c r="AG85" s="39"/>
      <c r="AH85" s="72" t="str">
        <f t="shared" si="87"/>
        <v/>
      </c>
      <c r="AI85" s="72" t="str">
        <f t="shared" si="88"/>
        <v/>
      </c>
      <c r="AJ85" s="39"/>
      <c r="AK85" s="72" t="str">
        <f t="shared" si="89"/>
        <v/>
      </c>
      <c r="AL85" s="72" t="str">
        <f t="shared" si="90"/>
        <v/>
      </c>
      <c r="AM85" s="39"/>
      <c r="AN85" s="72" t="str">
        <f t="shared" si="91"/>
        <v/>
      </c>
      <c r="AO85" s="72" t="str">
        <f t="shared" si="92"/>
        <v/>
      </c>
      <c r="AP85" s="39"/>
      <c r="AQ85" s="72" t="str">
        <f t="shared" si="93"/>
        <v/>
      </c>
      <c r="AR85" s="72" t="str">
        <f t="shared" si="94"/>
        <v/>
      </c>
      <c r="AS85" s="39"/>
      <c r="AT85" s="40"/>
      <c r="AU85" s="39"/>
      <c r="AV85" s="72" t="str">
        <f t="shared" si="95"/>
        <v/>
      </c>
      <c r="AW85" s="72" t="str">
        <f t="shared" si="96"/>
        <v/>
      </c>
      <c r="AX85" s="39"/>
      <c r="AY85" s="40" t="str">
        <f>IF(ISERROR(IF($K85&lt;=$F$15,VLOOKUP($I85,'表4）CO2価格'!$A$7:$E$67,VLOOKUP($F$48,'表4）CO2価格'!$H$10:$I$12,2,0),0)*$F$8/1000,"")),0,IF($K85&lt;=$F$15,VLOOKUP($I85,'表4）CO2価格'!$A$7:$E$67,VLOOKUP($F$48,'表4）CO2価格'!$H$10:$I$12,2,0),0)*$F$8/1000,""))</f>
        <v/>
      </c>
      <c r="AZ85" s="39"/>
      <c r="BA85" s="42" t="str">
        <f t="shared" si="97"/>
        <v/>
      </c>
      <c r="BB85" s="72" t="str">
        <f t="shared" si="98"/>
        <v/>
      </c>
      <c r="BC85" s="39"/>
      <c r="BD85" s="72" t="str">
        <f t="shared" si="99"/>
        <v/>
      </c>
      <c r="BE85" s="72" t="str">
        <f t="shared" si="100"/>
        <v/>
      </c>
      <c r="BF85" s="39"/>
      <c r="BG85" s="42" t="str">
        <f t="shared" si="101"/>
        <v/>
      </c>
      <c r="BH85" s="72" t="str">
        <f t="shared" si="102"/>
        <v/>
      </c>
      <c r="BI85" s="39"/>
      <c r="BJ85" s="40" t="str">
        <f t="shared" si="103"/>
        <v/>
      </c>
      <c r="BK85" s="157" t="str">
        <f t="shared" si="104"/>
        <v/>
      </c>
      <c r="BL85" s="157" t="str">
        <f t="shared" si="105"/>
        <v/>
      </c>
      <c r="BM85" s="72"/>
      <c r="BN85" s="72" t="str">
        <f t="shared" si="106"/>
        <v/>
      </c>
      <c r="BO85" s="72" t="str">
        <f t="shared" si="107"/>
        <v/>
      </c>
      <c r="BP85" s="39"/>
      <c r="BQ85" s="72" t="str">
        <f t="shared" si="108"/>
        <v/>
      </c>
      <c r="BR85" s="72" t="str">
        <f t="shared" si="109"/>
        <v/>
      </c>
    </row>
    <row r="86" spans="4:70" x14ac:dyDescent="0.15">
      <c r="F86" s="487"/>
      <c r="I86" s="322">
        <f t="shared" si="110"/>
        <v>2101</v>
      </c>
      <c r="K86" s="71">
        <f t="shared" si="111"/>
        <v>72</v>
      </c>
      <c r="M86" s="7">
        <f t="shared" si="76"/>
        <v>0.1190473743404982</v>
      </c>
      <c r="O86" s="10" t="str">
        <f t="shared" si="112"/>
        <v/>
      </c>
      <c r="P86" s="29" t="str">
        <f t="shared" si="77"/>
        <v/>
      </c>
      <c r="R86" s="10" t="str">
        <f t="shared" si="113"/>
        <v/>
      </c>
      <c r="T86" s="10" t="str">
        <f t="shared" si="78"/>
        <v/>
      </c>
      <c r="V86" s="10" t="str">
        <f t="shared" si="79"/>
        <v/>
      </c>
      <c r="W86" s="10" t="str">
        <f t="shared" si="80"/>
        <v/>
      </c>
      <c r="Y86" s="10" t="str">
        <f t="shared" si="81"/>
        <v/>
      </c>
      <c r="Z86" s="10" t="str">
        <f t="shared" si="82"/>
        <v/>
      </c>
      <c r="AB86" s="10" t="str">
        <f t="shared" si="83"/>
        <v/>
      </c>
      <c r="AC86" s="10" t="str">
        <f t="shared" si="84"/>
        <v/>
      </c>
      <c r="AE86" s="10" t="str">
        <f t="shared" si="85"/>
        <v/>
      </c>
      <c r="AF86" s="10" t="str">
        <f t="shared" si="86"/>
        <v/>
      </c>
      <c r="AH86" s="10" t="str">
        <f t="shared" si="87"/>
        <v/>
      </c>
      <c r="AI86" s="10" t="str">
        <f t="shared" si="88"/>
        <v/>
      </c>
      <c r="AK86" s="10" t="str">
        <f t="shared" si="89"/>
        <v/>
      </c>
      <c r="AL86" s="10" t="str">
        <f t="shared" si="90"/>
        <v/>
      </c>
      <c r="AN86" s="10" t="str">
        <f t="shared" si="91"/>
        <v/>
      </c>
      <c r="AO86" s="10" t="str">
        <f t="shared" si="92"/>
        <v/>
      </c>
      <c r="AQ86" s="10" t="str">
        <f t="shared" si="93"/>
        <v/>
      </c>
      <c r="AR86" s="10" t="str">
        <f t="shared" si="94"/>
        <v/>
      </c>
      <c r="AT86" s="7"/>
      <c r="AV86" s="10" t="str">
        <f t="shared" si="95"/>
        <v/>
      </c>
      <c r="AW86" s="10" t="str">
        <f t="shared" si="96"/>
        <v/>
      </c>
      <c r="AY86" s="7" t="str">
        <f>IF(ISERROR(IF($K86&lt;=$F$15,VLOOKUP($I86,'表4）CO2価格'!$A$7:$E$67,VLOOKUP($F$48,'表4）CO2価格'!$H$10:$I$12,2,0),0)*$F$8/1000,"")),0,IF($K86&lt;=$F$15,VLOOKUP($I86,'表4）CO2価格'!$A$7:$E$67,VLOOKUP($F$48,'表4）CO2価格'!$H$10:$I$12,2,0),0)*$F$8/1000,""))</f>
        <v/>
      </c>
      <c r="BA86" s="11" t="str">
        <f t="shared" si="97"/>
        <v/>
      </c>
      <c r="BB86" s="10" t="str">
        <f t="shared" si="98"/>
        <v/>
      </c>
      <c r="BD86" s="10" t="str">
        <f t="shared" si="99"/>
        <v/>
      </c>
      <c r="BE86" s="10" t="str">
        <f t="shared" si="100"/>
        <v/>
      </c>
      <c r="BG86" s="11" t="str">
        <f t="shared" si="101"/>
        <v/>
      </c>
      <c r="BH86" s="10" t="str">
        <f t="shared" si="102"/>
        <v/>
      </c>
      <c r="BJ86" s="7" t="str">
        <f t="shared" si="103"/>
        <v/>
      </c>
      <c r="BK86" s="158" t="str">
        <f t="shared" si="104"/>
        <v/>
      </c>
      <c r="BL86" s="158" t="str">
        <f t="shared" si="105"/>
        <v/>
      </c>
      <c r="BM86" s="10"/>
      <c r="BN86" s="10" t="str">
        <f t="shared" si="106"/>
        <v/>
      </c>
      <c r="BO86" s="10" t="str">
        <f t="shared" si="107"/>
        <v/>
      </c>
      <c r="BQ86" s="10" t="str">
        <f t="shared" si="108"/>
        <v/>
      </c>
      <c r="BR86" s="10" t="str">
        <f t="shared" si="109"/>
        <v/>
      </c>
    </row>
    <row r="87" spans="4:70" x14ac:dyDescent="0.15">
      <c r="E87" s="84" t="s">
        <v>141</v>
      </c>
      <c r="F87" s="488">
        <f>AI116/$BR$116</f>
        <v>0.13613752448659786</v>
      </c>
      <c r="G87" s="84" t="s">
        <v>590</v>
      </c>
      <c r="I87" s="38">
        <f t="shared" si="110"/>
        <v>2102</v>
      </c>
      <c r="J87" s="39"/>
      <c r="K87" s="39">
        <f t="shared" si="111"/>
        <v>73</v>
      </c>
      <c r="L87" s="39"/>
      <c r="M87" s="40">
        <f t="shared" si="76"/>
        <v>0.11557997508786232</v>
      </c>
      <c r="N87" s="39"/>
      <c r="O87" s="72" t="str">
        <f t="shared" si="112"/>
        <v/>
      </c>
      <c r="P87" s="41" t="str">
        <f t="shared" si="77"/>
        <v/>
      </c>
      <c r="Q87" s="39"/>
      <c r="R87" s="72" t="str">
        <f t="shared" si="113"/>
        <v/>
      </c>
      <c r="S87" s="39"/>
      <c r="T87" s="72" t="str">
        <f t="shared" si="78"/>
        <v/>
      </c>
      <c r="U87" s="39"/>
      <c r="V87" s="72" t="str">
        <f t="shared" si="79"/>
        <v/>
      </c>
      <c r="W87" s="72" t="str">
        <f t="shared" si="80"/>
        <v/>
      </c>
      <c r="X87" s="39"/>
      <c r="Y87" s="72" t="str">
        <f t="shared" si="81"/>
        <v/>
      </c>
      <c r="Z87" s="72" t="str">
        <f t="shared" si="82"/>
        <v/>
      </c>
      <c r="AA87" s="39"/>
      <c r="AB87" s="72" t="str">
        <f t="shared" si="83"/>
        <v/>
      </c>
      <c r="AC87" s="72" t="str">
        <f t="shared" si="84"/>
        <v/>
      </c>
      <c r="AD87" s="39"/>
      <c r="AE87" s="72" t="str">
        <f t="shared" si="85"/>
        <v/>
      </c>
      <c r="AF87" s="72" t="str">
        <f t="shared" si="86"/>
        <v/>
      </c>
      <c r="AG87" s="39"/>
      <c r="AH87" s="72" t="str">
        <f t="shared" si="87"/>
        <v/>
      </c>
      <c r="AI87" s="72" t="str">
        <f t="shared" si="88"/>
        <v/>
      </c>
      <c r="AJ87" s="39"/>
      <c r="AK87" s="72" t="str">
        <f t="shared" si="89"/>
        <v/>
      </c>
      <c r="AL87" s="72" t="str">
        <f t="shared" si="90"/>
        <v/>
      </c>
      <c r="AM87" s="39"/>
      <c r="AN87" s="72" t="str">
        <f t="shared" si="91"/>
        <v/>
      </c>
      <c r="AO87" s="72" t="str">
        <f t="shared" si="92"/>
        <v/>
      </c>
      <c r="AP87" s="39"/>
      <c r="AQ87" s="72" t="str">
        <f t="shared" si="93"/>
        <v/>
      </c>
      <c r="AR87" s="72" t="str">
        <f t="shared" si="94"/>
        <v/>
      </c>
      <c r="AS87" s="39"/>
      <c r="AT87" s="40"/>
      <c r="AU87" s="39"/>
      <c r="AV87" s="72" t="str">
        <f t="shared" si="95"/>
        <v/>
      </c>
      <c r="AW87" s="72" t="str">
        <f t="shared" si="96"/>
        <v/>
      </c>
      <c r="AX87" s="39"/>
      <c r="AY87" s="40" t="str">
        <f>IF(ISERROR(IF($K87&lt;=$F$15,VLOOKUP($I87,'表4）CO2価格'!$A$7:$E$67,VLOOKUP($F$48,'表4）CO2価格'!$H$10:$I$12,2,0),0)*$F$8/1000,"")),0,IF($K87&lt;=$F$15,VLOOKUP($I87,'表4）CO2価格'!$A$7:$E$67,VLOOKUP($F$48,'表4）CO2価格'!$H$10:$I$12,2,0),0)*$F$8/1000,""))</f>
        <v/>
      </c>
      <c r="AZ87" s="39"/>
      <c r="BA87" s="42" t="str">
        <f t="shared" si="97"/>
        <v/>
      </c>
      <c r="BB87" s="72" t="str">
        <f t="shared" si="98"/>
        <v/>
      </c>
      <c r="BC87" s="39"/>
      <c r="BD87" s="72" t="str">
        <f t="shared" si="99"/>
        <v/>
      </c>
      <c r="BE87" s="72" t="str">
        <f t="shared" si="100"/>
        <v/>
      </c>
      <c r="BF87" s="39"/>
      <c r="BG87" s="42" t="str">
        <f t="shared" si="101"/>
        <v/>
      </c>
      <c r="BH87" s="72" t="str">
        <f t="shared" si="102"/>
        <v/>
      </c>
      <c r="BI87" s="39"/>
      <c r="BJ87" s="40" t="str">
        <f t="shared" si="103"/>
        <v/>
      </c>
      <c r="BK87" s="157" t="str">
        <f t="shared" si="104"/>
        <v/>
      </c>
      <c r="BL87" s="157" t="str">
        <f t="shared" si="105"/>
        <v/>
      </c>
      <c r="BM87" s="72"/>
      <c r="BN87" s="72" t="str">
        <f t="shared" si="106"/>
        <v/>
      </c>
      <c r="BO87" s="72" t="str">
        <f t="shared" si="107"/>
        <v/>
      </c>
      <c r="BP87" s="39"/>
      <c r="BQ87" s="72" t="str">
        <f t="shared" si="108"/>
        <v/>
      </c>
      <c r="BR87" s="72" t="str">
        <f t="shared" si="109"/>
        <v/>
      </c>
    </row>
    <row r="88" spans="4:70" x14ac:dyDescent="0.15">
      <c r="E88" s="84" t="s">
        <v>120</v>
      </c>
      <c r="F88" s="488">
        <f>AL116/$BR$116</f>
        <v>0.96940898026524136</v>
      </c>
      <c r="G88" s="84" t="s">
        <v>590</v>
      </c>
      <c r="I88" s="322">
        <f t="shared" si="110"/>
        <v>2103</v>
      </c>
      <c r="K88" s="71">
        <f t="shared" si="111"/>
        <v>74</v>
      </c>
      <c r="M88" s="7">
        <f t="shared" si="76"/>
        <v>0.11221356804646829</v>
      </c>
      <c r="O88" s="10" t="str">
        <f t="shared" si="112"/>
        <v/>
      </c>
      <c r="P88" s="29" t="str">
        <f t="shared" si="77"/>
        <v/>
      </c>
      <c r="R88" s="10" t="str">
        <f t="shared" si="113"/>
        <v/>
      </c>
      <c r="T88" s="10" t="str">
        <f t="shared" si="78"/>
        <v/>
      </c>
      <c r="V88" s="10" t="str">
        <f t="shared" si="79"/>
        <v/>
      </c>
      <c r="W88" s="10" t="str">
        <f t="shared" si="80"/>
        <v/>
      </c>
      <c r="Y88" s="10" t="str">
        <f t="shared" si="81"/>
        <v/>
      </c>
      <c r="Z88" s="10" t="str">
        <f t="shared" si="82"/>
        <v/>
      </c>
      <c r="AB88" s="10" t="str">
        <f t="shared" si="83"/>
        <v/>
      </c>
      <c r="AC88" s="10" t="str">
        <f t="shared" si="84"/>
        <v/>
      </c>
      <c r="AE88" s="10" t="str">
        <f t="shared" si="85"/>
        <v/>
      </c>
      <c r="AF88" s="10" t="str">
        <f t="shared" si="86"/>
        <v/>
      </c>
      <c r="AH88" s="10" t="str">
        <f t="shared" si="87"/>
        <v/>
      </c>
      <c r="AI88" s="10" t="str">
        <f t="shared" si="88"/>
        <v/>
      </c>
      <c r="AK88" s="10" t="str">
        <f t="shared" si="89"/>
        <v/>
      </c>
      <c r="AL88" s="10" t="str">
        <f t="shared" si="90"/>
        <v/>
      </c>
      <c r="AN88" s="10" t="str">
        <f t="shared" si="91"/>
        <v/>
      </c>
      <c r="AO88" s="10" t="str">
        <f t="shared" si="92"/>
        <v/>
      </c>
      <c r="AQ88" s="10" t="str">
        <f t="shared" si="93"/>
        <v/>
      </c>
      <c r="AR88" s="10" t="str">
        <f t="shared" si="94"/>
        <v/>
      </c>
      <c r="AT88" s="7"/>
      <c r="AV88" s="10" t="str">
        <f t="shared" si="95"/>
        <v/>
      </c>
      <c r="AW88" s="10" t="str">
        <f t="shared" si="96"/>
        <v/>
      </c>
      <c r="AY88" s="7" t="str">
        <f>IF(ISERROR(IF($K88&lt;=$F$15,VLOOKUP($I88,'表4）CO2価格'!$A$7:$E$67,VLOOKUP($F$48,'表4）CO2価格'!$H$10:$I$12,2,0),0)*$F$8/1000,"")),0,IF($K88&lt;=$F$15,VLOOKUP($I88,'表4）CO2価格'!$A$7:$E$67,VLOOKUP($F$48,'表4）CO2価格'!$H$10:$I$12,2,0),0)*$F$8/1000,""))</f>
        <v/>
      </c>
      <c r="BA88" s="11" t="str">
        <f t="shared" si="97"/>
        <v/>
      </c>
      <c r="BB88" s="10" t="str">
        <f t="shared" si="98"/>
        <v/>
      </c>
      <c r="BD88" s="10" t="str">
        <f t="shared" si="99"/>
        <v/>
      </c>
      <c r="BE88" s="10" t="str">
        <f t="shared" si="100"/>
        <v/>
      </c>
      <c r="BG88" s="11" t="str">
        <f t="shared" si="101"/>
        <v/>
      </c>
      <c r="BH88" s="10" t="str">
        <f t="shared" si="102"/>
        <v/>
      </c>
      <c r="BJ88" s="7" t="str">
        <f t="shared" si="103"/>
        <v/>
      </c>
      <c r="BK88" s="158" t="str">
        <f t="shared" si="104"/>
        <v/>
      </c>
      <c r="BL88" s="158" t="str">
        <f t="shared" si="105"/>
        <v/>
      </c>
      <c r="BM88" s="10"/>
      <c r="BN88" s="10" t="str">
        <f t="shared" si="106"/>
        <v/>
      </c>
      <c r="BO88" s="10" t="str">
        <f t="shared" si="107"/>
        <v/>
      </c>
      <c r="BQ88" s="10" t="str">
        <f t="shared" si="108"/>
        <v/>
      </c>
      <c r="BR88" s="10" t="str">
        <f t="shared" si="109"/>
        <v/>
      </c>
    </row>
    <row r="89" spans="4:70" x14ac:dyDescent="0.15">
      <c r="E89" s="84" t="s">
        <v>122</v>
      </c>
      <c r="F89" s="488">
        <f>AO116/$BR$116</f>
        <v>0.44431244928823571</v>
      </c>
      <c r="G89" s="84" t="s">
        <v>590</v>
      </c>
      <c r="I89" s="38">
        <f t="shared" si="110"/>
        <v>2104</v>
      </c>
      <c r="J89" s="39"/>
      <c r="K89" s="39">
        <f t="shared" si="111"/>
        <v>75</v>
      </c>
      <c r="L89" s="39"/>
      <c r="M89" s="40">
        <f t="shared" si="76"/>
        <v>0.10894521169560026</v>
      </c>
      <c r="N89" s="39"/>
      <c r="O89" s="72" t="str">
        <f t="shared" si="112"/>
        <v/>
      </c>
      <c r="P89" s="41" t="str">
        <f t="shared" si="77"/>
        <v/>
      </c>
      <c r="Q89" s="39"/>
      <c r="R89" s="72" t="str">
        <f t="shared" si="113"/>
        <v/>
      </c>
      <c r="S89" s="39"/>
      <c r="T89" s="72" t="str">
        <f t="shared" si="78"/>
        <v/>
      </c>
      <c r="U89" s="39"/>
      <c r="V89" s="72" t="str">
        <f t="shared" si="79"/>
        <v/>
      </c>
      <c r="W89" s="72" t="str">
        <f t="shared" si="80"/>
        <v/>
      </c>
      <c r="X89" s="39"/>
      <c r="Y89" s="72" t="str">
        <f t="shared" si="81"/>
        <v/>
      </c>
      <c r="Z89" s="72" t="str">
        <f t="shared" si="82"/>
        <v/>
      </c>
      <c r="AA89" s="39"/>
      <c r="AB89" s="72" t="str">
        <f t="shared" si="83"/>
        <v/>
      </c>
      <c r="AC89" s="72" t="str">
        <f t="shared" si="84"/>
        <v/>
      </c>
      <c r="AD89" s="39"/>
      <c r="AE89" s="72" t="str">
        <f t="shared" si="85"/>
        <v/>
      </c>
      <c r="AF89" s="72" t="str">
        <f t="shared" si="86"/>
        <v/>
      </c>
      <c r="AG89" s="39"/>
      <c r="AH89" s="72" t="str">
        <f t="shared" si="87"/>
        <v/>
      </c>
      <c r="AI89" s="72" t="str">
        <f t="shared" si="88"/>
        <v/>
      </c>
      <c r="AJ89" s="39"/>
      <c r="AK89" s="72" t="str">
        <f t="shared" si="89"/>
        <v/>
      </c>
      <c r="AL89" s="72" t="str">
        <f t="shared" si="90"/>
        <v/>
      </c>
      <c r="AM89" s="39"/>
      <c r="AN89" s="72" t="str">
        <f t="shared" si="91"/>
        <v/>
      </c>
      <c r="AO89" s="72" t="str">
        <f t="shared" si="92"/>
        <v/>
      </c>
      <c r="AP89" s="39"/>
      <c r="AQ89" s="72" t="str">
        <f t="shared" si="93"/>
        <v/>
      </c>
      <c r="AR89" s="72" t="str">
        <f t="shared" si="94"/>
        <v/>
      </c>
      <c r="AS89" s="39"/>
      <c r="AT89" s="40"/>
      <c r="AU89" s="39"/>
      <c r="AV89" s="72" t="str">
        <f t="shared" si="95"/>
        <v/>
      </c>
      <c r="AW89" s="72" t="str">
        <f t="shared" si="96"/>
        <v/>
      </c>
      <c r="AX89" s="39"/>
      <c r="AY89" s="40" t="str">
        <f>IF(ISERROR(IF($K89&lt;=$F$15,VLOOKUP($I89,'表4）CO2価格'!$A$7:$E$67,VLOOKUP($F$48,'表4）CO2価格'!$H$10:$I$12,2,0),0)*$F$8/1000,"")),0,IF($K89&lt;=$F$15,VLOOKUP($I89,'表4）CO2価格'!$A$7:$E$67,VLOOKUP($F$48,'表4）CO2価格'!$H$10:$I$12,2,0),0)*$F$8/1000,""))</f>
        <v/>
      </c>
      <c r="AZ89" s="39"/>
      <c r="BA89" s="42" t="str">
        <f t="shared" si="97"/>
        <v/>
      </c>
      <c r="BB89" s="72" t="str">
        <f t="shared" si="98"/>
        <v/>
      </c>
      <c r="BC89" s="39"/>
      <c r="BD89" s="72" t="str">
        <f t="shared" si="99"/>
        <v/>
      </c>
      <c r="BE89" s="72" t="str">
        <f t="shared" si="100"/>
        <v/>
      </c>
      <c r="BF89" s="39"/>
      <c r="BG89" s="42" t="str">
        <f t="shared" si="101"/>
        <v/>
      </c>
      <c r="BH89" s="72" t="str">
        <f t="shared" si="102"/>
        <v/>
      </c>
      <c r="BI89" s="39"/>
      <c r="BJ89" s="40" t="str">
        <f t="shared" si="103"/>
        <v/>
      </c>
      <c r="BK89" s="157" t="str">
        <f t="shared" si="104"/>
        <v/>
      </c>
      <c r="BL89" s="157" t="str">
        <f t="shared" si="105"/>
        <v/>
      </c>
      <c r="BM89" s="72"/>
      <c r="BN89" s="72" t="str">
        <f t="shared" si="106"/>
        <v/>
      </c>
      <c r="BO89" s="72" t="str">
        <f t="shared" si="107"/>
        <v/>
      </c>
      <c r="BP89" s="39"/>
      <c r="BQ89" s="72" t="str">
        <f t="shared" si="108"/>
        <v/>
      </c>
      <c r="BR89" s="72" t="str">
        <f t="shared" si="109"/>
        <v/>
      </c>
    </row>
    <row r="90" spans="4:70" x14ac:dyDescent="0.15">
      <c r="E90" s="84" t="s">
        <v>142</v>
      </c>
      <c r="F90" s="488">
        <f>AR116/$BR$116</f>
        <v>0.18598307448480902</v>
      </c>
      <c r="G90" s="84" t="s">
        <v>590</v>
      </c>
      <c r="I90" s="322">
        <f t="shared" si="110"/>
        <v>2105</v>
      </c>
      <c r="K90" s="71">
        <f t="shared" si="111"/>
        <v>76</v>
      </c>
      <c r="M90" s="7">
        <f t="shared" si="76"/>
        <v>0.10577205018990318</v>
      </c>
      <c r="O90" s="10" t="str">
        <f t="shared" si="112"/>
        <v/>
      </c>
      <c r="P90" s="29" t="str">
        <f t="shared" si="77"/>
        <v/>
      </c>
      <c r="R90" s="10" t="str">
        <f t="shared" si="113"/>
        <v/>
      </c>
      <c r="T90" s="10" t="str">
        <f t="shared" si="78"/>
        <v/>
      </c>
      <c r="V90" s="10" t="str">
        <f t="shared" si="79"/>
        <v/>
      </c>
      <c r="W90" s="10" t="str">
        <f t="shared" si="80"/>
        <v/>
      </c>
      <c r="Y90" s="10" t="str">
        <f t="shared" si="81"/>
        <v/>
      </c>
      <c r="Z90" s="10" t="str">
        <f t="shared" si="82"/>
        <v/>
      </c>
      <c r="AB90" s="10" t="str">
        <f t="shared" si="83"/>
        <v/>
      </c>
      <c r="AC90" s="10" t="str">
        <f t="shared" si="84"/>
        <v/>
      </c>
      <c r="AE90" s="10" t="str">
        <f t="shared" si="85"/>
        <v/>
      </c>
      <c r="AF90" s="10" t="str">
        <f t="shared" si="86"/>
        <v/>
      </c>
      <c r="AH90" s="10" t="str">
        <f t="shared" si="87"/>
        <v/>
      </c>
      <c r="AI90" s="10" t="str">
        <f t="shared" si="88"/>
        <v/>
      </c>
      <c r="AK90" s="10" t="str">
        <f t="shared" si="89"/>
        <v/>
      </c>
      <c r="AL90" s="10" t="str">
        <f t="shared" si="90"/>
        <v/>
      </c>
      <c r="AN90" s="10" t="str">
        <f t="shared" si="91"/>
        <v/>
      </c>
      <c r="AO90" s="10" t="str">
        <f t="shared" si="92"/>
        <v/>
      </c>
      <c r="AQ90" s="10" t="str">
        <f t="shared" si="93"/>
        <v/>
      </c>
      <c r="AR90" s="10" t="str">
        <f t="shared" si="94"/>
        <v/>
      </c>
      <c r="AT90" s="7"/>
      <c r="AV90" s="10" t="str">
        <f t="shared" si="95"/>
        <v/>
      </c>
      <c r="AW90" s="10" t="str">
        <f t="shared" si="96"/>
        <v/>
      </c>
      <c r="AY90" s="7" t="str">
        <f>IF(ISERROR(IF($K90&lt;=$F$15,VLOOKUP($I90,'表4）CO2価格'!$A$7:$E$67,VLOOKUP($F$48,'表4）CO2価格'!$H$10:$I$12,2,0),0)*$F$8/1000,"")),0,IF($K90&lt;=$F$15,VLOOKUP($I90,'表4）CO2価格'!$A$7:$E$67,VLOOKUP($F$48,'表4）CO2価格'!$H$10:$I$12,2,0),0)*$F$8/1000,""))</f>
        <v/>
      </c>
      <c r="BA90" s="11" t="str">
        <f t="shared" si="97"/>
        <v/>
      </c>
      <c r="BB90" s="10" t="str">
        <f t="shared" si="98"/>
        <v/>
      </c>
      <c r="BD90" s="10" t="str">
        <f t="shared" si="99"/>
        <v/>
      </c>
      <c r="BE90" s="10" t="str">
        <f t="shared" si="100"/>
        <v/>
      </c>
      <c r="BG90" s="11" t="str">
        <f t="shared" si="101"/>
        <v/>
      </c>
      <c r="BH90" s="10" t="str">
        <f t="shared" si="102"/>
        <v/>
      </c>
      <c r="BJ90" s="7" t="str">
        <f t="shared" si="103"/>
        <v/>
      </c>
      <c r="BK90" s="158" t="str">
        <f t="shared" si="104"/>
        <v/>
      </c>
      <c r="BL90" s="158" t="str">
        <f t="shared" si="105"/>
        <v/>
      </c>
      <c r="BM90" s="10"/>
      <c r="BN90" s="10" t="str">
        <f t="shared" si="106"/>
        <v/>
      </c>
      <c r="BO90" s="10" t="str">
        <f t="shared" si="107"/>
        <v/>
      </c>
      <c r="BQ90" s="10" t="str">
        <f t="shared" si="108"/>
        <v/>
      </c>
      <c r="BR90" s="10" t="str">
        <f t="shared" si="109"/>
        <v/>
      </c>
    </row>
    <row r="91" spans="4:70" x14ac:dyDescent="0.15">
      <c r="F91" s="487"/>
      <c r="I91" s="38">
        <f t="shared" si="110"/>
        <v>2106</v>
      </c>
      <c r="J91" s="39"/>
      <c r="K91" s="39">
        <f t="shared" si="111"/>
        <v>77</v>
      </c>
      <c r="L91" s="39"/>
      <c r="M91" s="40">
        <f t="shared" si="76"/>
        <v>0.10269131086398368</v>
      </c>
      <c r="N91" s="39"/>
      <c r="O91" s="72" t="str">
        <f t="shared" si="112"/>
        <v/>
      </c>
      <c r="P91" s="41" t="str">
        <f t="shared" si="77"/>
        <v/>
      </c>
      <c r="Q91" s="39"/>
      <c r="R91" s="72" t="str">
        <f t="shared" si="113"/>
        <v/>
      </c>
      <c r="S91" s="39"/>
      <c r="T91" s="72" t="str">
        <f t="shared" si="78"/>
        <v/>
      </c>
      <c r="U91" s="39"/>
      <c r="V91" s="72" t="str">
        <f t="shared" si="79"/>
        <v/>
      </c>
      <c r="W91" s="72" t="str">
        <f t="shared" si="80"/>
        <v/>
      </c>
      <c r="X91" s="39"/>
      <c r="Y91" s="72" t="str">
        <f t="shared" si="81"/>
        <v/>
      </c>
      <c r="Z91" s="72" t="str">
        <f t="shared" si="82"/>
        <v/>
      </c>
      <c r="AA91" s="39"/>
      <c r="AB91" s="72" t="str">
        <f t="shared" si="83"/>
        <v/>
      </c>
      <c r="AC91" s="72" t="str">
        <f t="shared" si="84"/>
        <v/>
      </c>
      <c r="AD91" s="39"/>
      <c r="AE91" s="72" t="str">
        <f t="shared" si="85"/>
        <v/>
      </c>
      <c r="AF91" s="72" t="str">
        <f t="shared" si="86"/>
        <v/>
      </c>
      <c r="AG91" s="39"/>
      <c r="AH91" s="72" t="str">
        <f t="shared" si="87"/>
        <v/>
      </c>
      <c r="AI91" s="72" t="str">
        <f t="shared" si="88"/>
        <v/>
      </c>
      <c r="AJ91" s="39"/>
      <c r="AK91" s="72" t="str">
        <f t="shared" si="89"/>
        <v/>
      </c>
      <c r="AL91" s="72" t="str">
        <f t="shared" si="90"/>
        <v/>
      </c>
      <c r="AM91" s="39"/>
      <c r="AN91" s="72" t="str">
        <f t="shared" si="91"/>
        <v/>
      </c>
      <c r="AO91" s="72" t="str">
        <f t="shared" si="92"/>
        <v/>
      </c>
      <c r="AP91" s="39"/>
      <c r="AQ91" s="72" t="str">
        <f t="shared" si="93"/>
        <v/>
      </c>
      <c r="AR91" s="72" t="str">
        <f t="shared" si="94"/>
        <v/>
      </c>
      <c r="AS91" s="39"/>
      <c r="AT91" s="40"/>
      <c r="AU91" s="39"/>
      <c r="AV91" s="72" t="str">
        <f t="shared" si="95"/>
        <v/>
      </c>
      <c r="AW91" s="72" t="str">
        <f t="shared" si="96"/>
        <v/>
      </c>
      <c r="AX91" s="39"/>
      <c r="AY91" s="40" t="str">
        <f>IF(ISERROR(IF($K91&lt;=$F$15,VLOOKUP($I91,'表4）CO2価格'!$A$7:$E$67,VLOOKUP($F$48,'表4）CO2価格'!$H$10:$I$12,2,0),0)*$F$8/1000,"")),0,IF($K91&lt;=$F$15,VLOOKUP($I91,'表4）CO2価格'!$A$7:$E$67,VLOOKUP($F$48,'表4）CO2価格'!$H$10:$I$12,2,0),0)*$F$8/1000,""))</f>
        <v/>
      </c>
      <c r="AZ91" s="39"/>
      <c r="BA91" s="42" t="str">
        <f t="shared" si="97"/>
        <v/>
      </c>
      <c r="BB91" s="72" t="str">
        <f t="shared" si="98"/>
        <v/>
      </c>
      <c r="BC91" s="39"/>
      <c r="BD91" s="72" t="str">
        <f t="shared" si="99"/>
        <v/>
      </c>
      <c r="BE91" s="72" t="str">
        <f t="shared" si="100"/>
        <v/>
      </c>
      <c r="BF91" s="39"/>
      <c r="BG91" s="42" t="str">
        <f t="shared" si="101"/>
        <v/>
      </c>
      <c r="BH91" s="72" t="str">
        <f t="shared" si="102"/>
        <v/>
      </c>
      <c r="BI91" s="39"/>
      <c r="BJ91" s="40" t="str">
        <f t="shared" si="103"/>
        <v/>
      </c>
      <c r="BK91" s="157" t="str">
        <f t="shared" si="104"/>
        <v/>
      </c>
      <c r="BL91" s="157" t="str">
        <f t="shared" si="105"/>
        <v/>
      </c>
      <c r="BM91" s="72"/>
      <c r="BN91" s="72" t="str">
        <f t="shared" si="106"/>
        <v/>
      </c>
      <c r="BO91" s="72" t="str">
        <f t="shared" si="107"/>
        <v/>
      </c>
      <c r="BP91" s="39"/>
      <c r="BQ91" s="72" t="str">
        <f t="shared" si="108"/>
        <v/>
      </c>
      <c r="BR91" s="72" t="str">
        <f t="shared" si="109"/>
        <v/>
      </c>
    </row>
    <row r="92" spans="4:70" ht="15" x14ac:dyDescent="0.15">
      <c r="D92" s="103" t="s">
        <v>595</v>
      </c>
      <c r="F92" s="484">
        <f>SUBTOTAL(9,F96:F97)</f>
        <v>6.7116332024107761</v>
      </c>
      <c r="I92" s="322">
        <f t="shared" si="110"/>
        <v>2107</v>
      </c>
      <c r="K92" s="71">
        <f t="shared" si="111"/>
        <v>78</v>
      </c>
      <c r="M92" s="7">
        <f t="shared" si="76"/>
        <v>9.9700301809692873E-2</v>
      </c>
      <c r="O92" s="10" t="str">
        <f t="shared" si="112"/>
        <v/>
      </c>
      <c r="P92" s="29" t="str">
        <f t="shared" si="77"/>
        <v/>
      </c>
      <c r="R92" s="10" t="str">
        <f t="shared" si="113"/>
        <v/>
      </c>
      <c r="T92" s="10" t="str">
        <f t="shared" si="78"/>
        <v/>
      </c>
      <c r="V92" s="10" t="str">
        <f t="shared" si="79"/>
        <v/>
      </c>
      <c r="W92" s="10" t="str">
        <f t="shared" si="80"/>
        <v/>
      </c>
      <c r="Y92" s="10" t="str">
        <f t="shared" si="81"/>
        <v/>
      </c>
      <c r="Z92" s="10" t="str">
        <f t="shared" si="82"/>
        <v/>
      </c>
      <c r="AB92" s="10" t="str">
        <f t="shared" si="83"/>
        <v/>
      </c>
      <c r="AC92" s="10" t="str">
        <f t="shared" si="84"/>
        <v/>
      </c>
      <c r="AE92" s="10" t="str">
        <f t="shared" si="85"/>
        <v/>
      </c>
      <c r="AF92" s="10" t="str">
        <f t="shared" si="86"/>
        <v/>
      </c>
      <c r="AH92" s="10" t="str">
        <f t="shared" si="87"/>
        <v/>
      </c>
      <c r="AI92" s="10" t="str">
        <f t="shared" si="88"/>
        <v/>
      </c>
      <c r="AK92" s="10" t="str">
        <f t="shared" si="89"/>
        <v/>
      </c>
      <c r="AL92" s="10" t="str">
        <f t="shared" si="90"/>
        <v/>
      </c>
      <c r="AN92" s="10" t="str">
        <f t="shared" si="91"/>
        <v/>
      </c>
      <c r="AO92" s="10" t="str">
        <f t="shared" si="92"/>
        <v/>
      </c>
      <c r="AQ92" s="10" t="str">
        <f t="shared" si="93"/>
        <v/>
      </c>
      <c r="AR92" s="10" t="str">
        <f t="shared" si="94"/>
        <v/>
      </c>
      <c r="AT92" s="7"/>
      <c r="AV92" s="10" t="str">
        <f t="shared" si="95"/>
        <v/>
      </c>
      <c r="AW92" s="10" t="str">
        <f t="shared" si="96"/>
        <v/>
      </c>
      <c r="AY92" s="7" t="str">
        <f>IF(ISERROR(IF($K92&lt;=$F$15,VLOOKUP($I92,'表4）CO2価格'!$A$7:$E$67,VLOOKUP($F$48,'表4）CO2価格'!$H$10:$I$12,2,0),0)*$F$8/1000,"")),0,IF($K92&lt;=$F$15,VLOOKUP($I92,'表4）CO2価格'!$A$7:$E$67,VLOOKUP($F$48,'表4）CO2価格'!$H$10:$I$12,2,0),0)*$F$8/1000,""))</f>
        <v/>
      </c>
      <c r="BA92" s="11" t="str">
        <f t="shared" si="97"/>
        <v/>
      </c>
      <c r="BB92" s="10" t="str">
        <f t="shared" si="98"/>
        <v/>
      </c>
      <c r="BD92" s="10" t="str">
        <f t="shared" si="99"/>
        <v/>
      </c>
      <c r="BE92" s="10" t="str">
        <f t="shared" si="100"/>
        <v/>
      </c>
      <c r="BG92" s="11" t="str">
        <f t="shared" si="101"/>
        <v/>
      </c>
      <c r="BH92" s="10" t="str">
        <f t="shared" si="102"/>
        <v/>
      </c>
      <c r="BJ92" s="7" t="str">
        <f t="shared" si="103"/>
        <v/>
      </c>
      <c r="BK92" s="158" t="str">
        <f t="shared" si="104"/>
        <v/>
      </c>
      <c r="BL92" s="158" t="str">
        <f t="shared" si="105"/>
        <v/>
      </c>
      <c r="BM92" s="10"/>
      <c r="BN92" s="10" t="str">
        <f t="shared" si="106"/>
        <v/>
      </c>
      <c r="BO92" s="10" t="str">
        <f t="shared" si="107"/>
        <v/>
      </c>
      <c r="BQ92" s="10" t="str">
        <f t="shared" si="108"/>
        <v/>
      </c>
      <c r="BR92" s="10" t="str">
        <f t="shared" si="109"/>
        <v/>
      </c>
    </row>
    <row r="93" spans="4:70" ht="15" x14ac:dyDescent="0.15">
      <c r="D93" s="103"/>
      <c r="F93" s="487"/>
      <c r="I93" s="38">
        <f t="shared" si="110"/>
        <v>2108</v>
      </c>
      <c r="J93" s="39"/>
      <c r="K93" s="39">
        <f t="shared" si="111"/>
        <v>79</v>
      </c>
      <c r="L93" s="39"/>
      <c r="M93" s="40">
        <f t="shared" si="76"/>
        <v>9.679640952397367E-2</v>
      </c>
      <c r="N93" s="39"/>
      <c r="O93" s="72" t="str">
        <f t="shared" si="112"/>
        <v/>
      </c>
      <c r="P93" s="41" t="str">
        <f t="shared" si="77"/>
        <v/>
      </c>
      <c r="Q93" s="39"/>
      <c r="R93" s="72" t="str">
        <f t="shared" si="113"/>
        <v/>
      </c>
      <c r="S93" s="39"/>
      <c r="T93" s="72" t="str">
        <f t="shared" si="78"/>
        <v/>
      </c>
      <c r="U93" s="39"/>
      <c r="V93" s="72" t="str">
        <f t="shared" si="79"/>
        <v/>
      </c>
      <c r="W93" s="72" t="str">
        <f t="shared" si="80"/>
        <v/>
      </c>
      <c r="X93" s="39"/>
      <c r="Y93" s="72" t="str">
        <f t="shared" si="81"/>
        <v/>
      </c>
      <c r="Z93" s="72" t="str">
        <f t="shared" si="82"/>
        <v/>
      </c>
      <c r="AA93" s="39"/>
      <c r="AB93" s="72" t="str">
        <f t="shared" si="83"/>
        <v/>
      </c>
      <c r="AC93" s="72" t="str">
        <f t="shared" si="84"/>
        <v/>
      </c>
      <c r="AD93" s="39"/>
      <c r="AE93" s="72" t="str">
        <f t="shared" si="85"/>
        <v/>
      </c>
      <c r="AF93" s="72" t="str">
        <f t="shared" si="86"/>
        <v/>
      </c>
      <c r="AG93" s="39"/>
      <c r="AH93" s="72" t="str">
        <f t="shared" si="87"/>
        <v/>
      </c>
      <c r="AI93" s="72" t="str">
        <f t="shared" si="88"/>
        <v/>
      </c>
      <c r="AJ93" s="39"/>
      <c r="AK93" s="72" t="str">
        <f t="shared" si="89"/>
        <v/>
      </c>
      <c r="AL93" s="72" t="str">
        <f t="shared" si="90"/>
        <v/>
      </c>
      <c r="AM93" s="39"/>
      <c r="AN93" s="72" t="str">
        <f t="shared" si="91"/>
        <v/>
      </c>
      <c r="AO93" s="72" t="str">
        <f t="shared" si="92"/>
        <v/>
      </c>
      <c r="AP93" s="39"/>
      <c r="AQ93" s="72" t="str">
        <f t="shared" si="93"/>
        <v/>
      </c>
      <c r="AR93" s="72" t="str">
        <f t="shared" si="94"/>
        <v/>
      </c>
      <c r="AS93" s="39"/>
      <c r="AT93" s="40"/>
      <c r="AU93" s="39"/>
      <c r="AV93" s="72" t="str">
        <f t="shared" si="95"/>
        <v/>
      </c>
      <c r="AW93" s="72" t="str">
        <f t="shared" si="96"/>
        <v/>
      </c>
      <c r="AX93" s="39"/>
      <c r="AY93" s="40" t="str">
        <f>IF(ISERROR(IF($K93&lt;=$F$15,VLOOKUP($I93,'表4）CO2価格'!$A$7:$E$67,VLOOKUP($F$48,'表4）CO2価格'!$H$10:$I$12,2,0),0)*$F$8/1000,"")),0,IF($K93&lt;=$F$15,VLOOKUP($I93,'表4）CO2価格'!$A$7:$E$67,VLOOKUP($F$48,'表4）CO2価格'!$H$10:$I$12,2,0),0)*$F$8/1000,""))</f>
        <v/>
      </c>
      <c r="AZ93" s="39"/>
      <c r="BA93" s="42" t="str">
        <f t="shared" si="97"/>
        <v/>
      </c>
      <c r="BB93" s="72" t="str">
        <f t="shared" si="98"/>
        <v/>
      </c>
      <c r="BC93" s="39"/>
      <c r="BD93" s="72" t="str">
        <f t="shared" si="99"/>
        <v/>
      </c>
      <c r="BE93" s="72" t="str">
        <f t="shared" si="100"/>
        <v/>
      </c>
      <c r="BF93" s="39"/>
      <c r="BG93" s="42" t="str">
        <f t="shared" si="101"/>
        <v/>
      </c>
      <c r="BH93" s="72" t="str">
        <f t="shared" si="102"/>
        <v/>
      </c>
      <c r="BI93" s="39"/>
      <c r="BJ93" s="40" t="str">
        <f t="shared" si="103"/>
        <v/>
      </c>
      <c r="BK93" s="157" t="str">
        <f t="shared" si="104"/>
        <v/>
      </c>
      <c r="BL93" s="157" t="str">
        <f t="shared" si="105"/>
        <v/>
      </c>
      <c r="BM93" s="72"/>
      <c r="BN93" s="72" t="str">
        <f t="shared" si="106"/>
        <v/>
      </c>
      <c r="BO93" s="72" t="str">
        <f t="shared" si="107"/>
        <v/>
      </c>
      <c r="BP93" s="39"/>
      <c r="BQ93" s="72" t="str">
        <f t="shared" si="108"/>
        <v/>
      </c>
      <c r="BR93" s="72" t="str">
        <f t="shared" si="109"/>
        <v/>
      </c>
    </row>
    <row r="94" spans="4:70" x14ac:dyDescent="0.15">
      <c r="D94" s="100" t="s">
        <v>596</v>
      </c>
      <c r="E94" s="100"/>
      <c r="F94" s="486"/>
      <c r="G94" s="100"/>
      <c r="I94" s="322">
        <f t="shared" si="110"/>
        <v>2109</v>
      </c>
      <c r="K94" s="71">
        <f t="shared" si="111"/>
        <v>80</v>
      </c>
      <c r="M94" s="7">
        <f t="shared" si="76"/>
        <v>9.3977096625217166E-2</v>
      </c>
      <c r="O94" s="10" t="str">
        <f t="shared" si="112"/>
        <v/>
      </c>
      <c r="P94" s="29" t="str">
        <f t="shared" si="77"/>
        <v/>
      </c>
      <c r="R94" s="10" t="str">
        <f t="shared" si="113"/>
        <v/>
      </c>
      <c r="T94" s="10" t="str">
        <f t="shared" si="78"/>
        <v/>
      </c>
      <c r="V94" s="10" t="str">
        <f t="shared" si="79"/>
        <v/>
      </c>
      <c r="W94" s="10" t="str">
        <f t="shared" si="80"/>
        <v/>
      </c>
      <c r="Y94" s="10" t="str">
        <f t="shared" si="81"/>
        <v/>
      </c>
      <c r="Z94" s="10" t="str">
        <f t="shared" si="82"/>
        <v/>
      </c>
      <c r="AB94" s="10" t="str">
        <f t="shared" si="83"/>
        <v/>
      </c>
      <c r="AC94" s="10" t="str">
        <f t="shared" si="84"/>
        <v/>
      </c>
      <c r="AE94" s="10" t="str">
        <f t="shared" si="85"/>
        <v/>
      </c>
      <c r="AF94" s="10" t="str">
        <f t="shared" si="86"/>
        <v/>
      </c>
      <c r="AH94" s="10" t="str">
        <f t="shared" si="87"/>
        <v/>
      </c>
      <c r="AI94" s="10" t="str">
        <f t="shared" si="88"/>
        <v/>
      </c>
      <c r="AK94" s="10" t="str">
        <f t="shared" si="89"/>
        <v/>
      </c>
      <c r="AL94" s="10" t="str">
        <f t="shared" si="90"/>
        <v/>
      </c>
      <c r="AN94" s="10" t="str">
        <f t="shared" si="91"/>
        <v/>
      </c>
      <c r="AO94" s="10" t="str">
        <f t="shared" si="92"/>
        <v/>
      </c>
      <c r="AQ94" s="10" t="str">
        <f t="shared" si="93"/>
        <v/>
      </c>
      <c r="AR94" s="10" t="str">
        <f t="shared" si="94"/>
        <v/>
      </c>
      <c r="AT94" s="7"/>
      <c r="AV94" s="10" t="str">
        <f t="shared" si="95"/>
        <v/>
      </c>
      <c r="AW94" s="10" t="str">
        <f t="shared" si="96"/>
        <v/>
      </c>
      <c r="AY94" s="7" t="str">
        <f>IF(ISERROR(IF($K94&lt;=$F$15,VLOOKUP($I94,'表4）CO2価格'!$A$7:$E$67,VLOOKUP($F$48,'表4）CO2価格'!$H$10:$I$12,2,0),0)*$F$8/1000,"")),0,IF($K94&lt;=$F$15,VLOOKUP($I94,'表4）CO2価格'!$A$7:$E$67,VLOOKUP($F$48,'表4）CO2価格'!$H$10:$I$12,2,0),0)*$F$8/1000,""))</f>
        <v/>
      </c>
      <c r="BA94" s="11" t="str">
        <f t="shared" si="97"/>
        <v/>
      </c>
      <c r="BB94" s="10" t="str">
        <f t="shared" si="98"/>
        <v/>
      </c>
      <c r="BD94" s="10" t="str">
        <f t="shared" si="99"/>
        <v/>
      </c>
      <c r="BE94" s="10" t="str">
        <f t="shared" si="100"/>
        <v/>
      </c>
      <c r="BG94" s="11" t="str">
        <f t="shared" si="101"/>
        <v/>
      </c>
      <c r="BH94" s="10" t="str">
        <f t="shared" si="102"/>
        <v/>
      </c>
      <c r="BJ94" s="7" t="str">
        <f t="shared" si="103"/>
        <v/>
      </c>
      <c r="BK94" s="158" t="str">
        <f t="shared" si="104"/>
        <v/>
      </c>
      <c r="BL94" s="158" t="str">
        <f t="shared" si="105"/>
        <v/>
      </c>
      <c r="BM94" s="10"/>
      <c r="BN94" s="10" t="str">
        <f t="shared" si="106"/>
        <v/>
      </c>
      <c r="BO94" s="10" t="str">
        <f t="shared" si="107"/>
        <v/>
      </c>
      <c r="BQ94" s="10" t="str">
        <f t="shared" si="108"/>
        <v/>
      </c>
      <c r="BR94" s="10" t="str">
        <f t="shared" si="109"/>
        <v/>
      </c>
    </row>
    <row r="95" spans="4:70" ht="15" x14ac:dyDescent="0.15">
      <c r="D95" s="103"/>
      <c r="F95" s="487"/>
      <c r="I95" s="38">
        <f t="shared" si="110"/>
        <v>2110</v>
      </c>
      <c r="J95" s="39"/>
      <c r="K95" s="39">
        <f t="shared" si="111"/>
        <v>81</v>
      </c>
      <c r="L95" s="39"/>
      <c r="M95" s="40">
        <f t="shared" si="76"/>
        <v>9.1239899636133173E-2</v>
      </c>
      <c r="N95" s="39"/>
      <c r="O95" s="72" t="str">
        <f t="shared" si="112"/>
        <v/>
      </c>
      <c r="P95" s="41" t="str">
        <f t="shared" si="77"/>
        <v/>
      </c>
      <c r="Q95" s="39"/>
      <c r="R95" s="72" t="str">
        <f t="shared" si="113"/>
        <v/>
      </c>
      <c r="S95" s="39"/>
      <c r="T95" s="72" t="str">
        <f t="shared" si="78"/>
        <v/>
      </c>
      <c r="U95" s="39"/>
      <c r="V95" s="72" t="str">
        <f t="shared" si="79"/>
        <v/>
      </c>
      <c r="W95" s="72" t="str">
        <f t="shared" si="80"/>
        <v/>
      </c>
      <c r="X95" s="39"/>
      <c r="Y95" s="72" t="str">
        <f t="shared" si="81"/>
        <v/>
      </c>
      <c r="Z95" s="72" t="str">
        <f t="shared" si="82"/>
        <v/>
      </c>
      <c r="AA95" s="39"/>
      <c r="AB95" s="72" t="str">
        <f t="shared" si="83"/>
        <v/>
      </c>
      <c r="AC95" s="72" t="str">
        <f t="shared" si="84"/>
        <v/>
      </c>
      <c r="AD95" s="39"/>
      <c r="AE95" s="72" t="str">
        <f t="shared" si="85"/>
        <v/>
      </c>
      <c r="AF95" s="72" t="str">
        <f t="shared" si="86"/>
        <v/>
      </c>
      <c r="AG95" s="39"/>
      <c r="AH95" s="72" t="str">
        <f t="shared" si="87"/>
        <v/>
      </c>
      <c r="AI95" s="72" t="str">
        <f t="shared" si="88"/>
        <v/>
      </c>
      <c r="AJ95" s="39"/>
      <c r="AK95" s="72" t="str">
        <f t="shared" si="89"/>
        <v/>
      </c>
      <c r="AL95" s="72" t="str">
        <f t="shared" si="90"/>
        <v/>
      </c>
      <c r="AM95" s="39"/>
      <c r="AN95" s="72" t="str">
        <f t="shared" si="91"/>
        <v/>
      </c>
      <c r="AO95" s="72" t="str">
        <f t="shared" si="92"/>
        <v/>
      </c>
      <c r="AP95" s="39"/>
      <c r="AQ95" s="72" t="str">
        <f t="shared" si="93"/>
        <v/>
      </c>
      <c r="AR95" s="72" t="str">
        <f t="shared" si="94"/>
        <v/>
      </c>
      <c r="AS95" s="39"/>
      <c r="AT95" s="40"/>
      <c r="AU95" s="39"/>
      <c r="AV95" s="72" t="str">
        <f t="shared" si="95"/>
        <v/>
      </c>
      <c r="AW95" s="72" t="str">
        <f t="shared" si="96"/>
        <v/>
      </c>
      <c r="AX95" s="39"/>
      <c r="AY95" s="40" t="str">
        <f>IF(ISERROR(IF($K95&lt;=$F$15,VLOOKUP($I95,'表4）CO2価格'!$A$7:$E$67,VLOOKUP($F$48,'表4）CO2価格'!$H$10:$I$12,2,0),0)*$F$8/1000,"")),0,IF($K95&lt;=$F$15,VLOOKUP($I95,'表4）CO2価格'!$A$7:$E$67,VLOOKUP($F$48,'表4）CO2価格'!$H$10:$I$12,2,0),0)*$F$8/1000,""))</f>
        <v/>
      </c>
      <c r="AZ95" s="39"/>
      <c r="BA95" s="42" t="str">
        <f t="shared" si="97"/>
        <v/>
      </c>
      <c r="BB95" s="72" t="str">
        <f t="shared" si="98"/>
        <v/>
      </c>
      <c r="BC95" s="39"/>
      <c r="BD95" s="72" t="str">
        <f t="shared" si="99"/>
        <v/>
      </c>
      <c r="BE95" s="72" t="str">
        <f t="shared" si="100"/>
        <v/>
      </c>
      <c r="BF95" s="39"/>
      <c r="BG95" s="42" t="str">
        <f t="shared" si="101"/>
        <v/>
      </c>
      <c r="BH95" s="72" t="str">
        <f t="shared" si="102"/>
        <v/>
      </c>
      <c r="BI95" s="39"/>
      <c r="BJ95" s="40" t="str">
        <f t="shared" si="103"/>
        <v/>
      </c>
      <c r="BK95" s="157" t="str">
        <f t="shared" si="104"/>
        <v/>
      </c>
      <c r="BL95" s="157" t="str">
        <f t="shared" si="105"/>
        <v/>
      </c>
      <c r="BM95" s="72"/>
      <c r="BN95" s="72" t="str">
        <f t="shared" si="106"/>
        <v/>
      </c>
      <c r="BO95" s="72" t="str">
        <f t="shared" si="107"/>
        <v/>
      </c>
      <c r="BP95" s="39"/>
      <c r="BQ95" s="72" t="str">
        <f t="shared" si="108"/>
        <v/>
      </c>
      <c r="BR95" s="72" t="str">
        <f t="shared" si="109"/>
        <v/>
      </c>
    </row>
    <row r="96" spans="4:70" ht="15" x14ac:dyDescent="0.15">
      <c r="D96" s="103"/>
      <c r="E96" s="84" t="s">
        <v>597</v>
      </c>
      <c r="F96" s="488">
        <f>IF(F3&lt;&gt;"原子力",AW116/$BR$116,0)</f>
        <v>6.7116332024107761</v>
      </c>
      <c r="G96" s="84" t="s">
        <v>590</v>
      </c>
      <c r="I96" s="322">
        <f t="shared" si="110"/>
        <v>2111</v>
      </c>
      <c r="K96" s="71">
        <f t="shared" si="111"/>
        <v>82</v>
      </c>
      <c r="M96" s="7">
        <f t="shared" si="76"/>
        <v>8.8582426831197242E-2</v>
      </c>
      <c r="O96" s="10" t="str">
        <f t="shared" si="112"/>
        <v/>
      </c>
      <c r="P96" s="29" t="str">
        <f t="shared" si="77"/>
        <v/>
      </c>
      <c r="R96" s="10" t="str">
        <f t="shared" si="113"/>
        <v/>
      </c>
      <c r="T96" s="10" t="str">
        <f t="shared" si="78"/>
        <v/>
      </c>
      <c r="V96" s="10" t="str">
        <f t="shared" si="79"/>
        <v/>
      </c>
      <c r="W96" s="10" t="str">
        <f t="shared" si="80"/>
        <v/>
      </c>
      <c r="Y96" s="10" t="str">
        <f t="shared" si="81"/>
        <v/>
      </c>
      <c r="Z96" s="10" t="str">
        <f t="shared" si="82"/>
        <v/>
      </c>
      <c r="AB96" s="10" t="str">
        <f t="shared" si="83"/>
        <v/>
      </c>
      <c r="AC96" s="10" t="str">
        <f t="shared" si="84"/>
        <v/>
      </c>
      <c r="AE96" s="10" t="str">
        <f t="shared" si="85"/>
        <v/>
      </c>
      <c r="AF96" s="10" t="str">
        <f t="shared" si="86"/>
        <v/>
      </c>
      <c r="AH96" s="10" t="str">
        <f t="shared" si="87"/>
        <v/>
      </c>
      <c r="AI96" s="10" t="str">
        <f t="shared" si="88"/>
        <v/>
      </c>
      <c r="AK96" s="10" t="str">
        <f t="shared" si="89"/>
        <v/>
      </c>
      <c r="AL96" s="10" t="str">
        <f t="shared" si="90"/>
        <v/>
      </c>
      <c r="AN96" s="10" t="str">
        <f t="shared" si="91"/>
        <v/>
      </c>
      <c r="AO96" s="10" t="str">
        <f t="shared" si="92"/>
        <v/>
      </c>
      <c r="AQ96" s="10" t="str">
        <f t="shared" si="93"/>
        <v/>
      </c>
      <c r="AR96" s="10" t="str">
        <f t="shared" si="94"/>
        <v/>
      </c>
      <c r="AT96" s="7"/>
      <c r="AV96" s="10" t="str">
        <f t="shared" si="95"/>
        <v/>
      </c>
      <c r="AW96" s="10" t="str">
        <f t="shared" si="96"/>
        <v/>
      </c>
      <c r="AY96" s="7" t="str">
        <f>IF(ISERROR(IF($K96&lt;=$F$15,VLOOKUP($I96,'表4）CO2価格'!$A$7:$E$67,VLOOKUP($F$48,'表4）CO2価格'!$H$10:$I$12,2,0),0)*$F$8/1000,"")),0,IF($K96&lt;=$F$15,VLOOKUP($I96,'表4）CO2価格'!$A$7:$E$67,VLOOKUP($F$48,'表4）CO2価格'!$H$10:$I$12,2,0),0)*$F$8/1000,""))</f>
        <v/>
      </c>
      <c r="BA96" s="11" t="str">
        <f t="shared" si="97"/>
        <v/>
      </c>
      <c r="BB96" s="10" t="str">
        <f t="shared" si="98"/>
        <v/>
      </c>
      <c r="BD96" s="10" t="str">
        <f t="shared" si="99"/>
        <v/>
      </c>
      <c r="BE96" s="10" t="str">
        <f t="shared" si="100"/>
        <v/>
      </c>
      <c r="BG96" s="11" t="str">
        <f t="shared" si="101"/>
        <v/>
      </c>
      <c r="BH96" s="10" t="str">
        <f t="shared" si="102"/>
        <v/>
      </c>
      <c r="BJ96" s="7" t="str">
        <f t="shared" si="103"/>
        <v/>
      </c>
      <c r="BK96" s="158" t="str">
        <f t="shared" si="104"/>
        <v/>
      </c>
      <c r="BL96" s="158" t="str">
        <f t="shared" si="105"/>
        <v/>
      </c>
      <c r="BM96" s="10"/>
      <c r="BN96" s="10" t="str">
        <f t="shared" si="106"/>
        <v/>
      </c>
      <c r="BO96" s="10" t="str">
        <f t="shared" si="107"/>
        <v/>
      </c>
      <c r="BQ96" s="10" t="str">
        <f t="shared" si="108"/>
        <v/>
      </c>
      <c r="BR96" s="10" t="str">
        <f t="shared" si="109"/>
        <v/>
      </c>
    </row>
    <row r="97" spans="4:70" ht="15" x14ac:dyDescent="0.15">
      <c r="D97" s="103"/>
      <c r="E97" s="84" t="s">
        <v>598</v>
      </c>
      <c r="F97" s="488">
        <f>IF(F3="原子力",'表5）核燃料サイクル費用'!B30,0)</f>
        <v>0</v>
      </c>
      <c r="G97" s="84" t="s">
        <v>590</v>
      </c>
      <c r="I97" s="38">
        <f t="shared" si="110"/>
        <v>2112</v>
      </c>
      <c r="J97" s="39"/>
      <c r="K97" s="39">
        <f t="shared" si="111"/>
        <v>83</v>
      </c>
      <c r="L97" s="39"/>
      <c r="M97" s="40">
        <f t="shared" si="76"/>
        <v>8.6002356146793454E-2</v>
      </c>
      <c r="N97" s="39"/>
      <c r="O97" s="72" t="str">
        <f t="shared" si="112"/>
        <v/>
      </c>
      <c r="P97" s="41" t="str">
        <f t="shared" si="77"/>
        <v/>
      </c>
      <c r="Q97" s="39"/>
      <c r="R97" s="72" t="str">
        <f t="shared" si="113"/>
        <v/>
      </c>
      <c r="S97" s="39"/>
      <c r="T97" s="72" t="str">
        <f t="shared" si="78"/>
        <v/>
      </c>
      <c r="U97" s="39"/>
      <c r="V97" s="72" t="str">
        <f t="shared" si="79"/>
        <v/>
      </c>
      <c r="W97" s="72" t="str">
        <f t="shared" si="80"/>
        <v/>
      </c>
      <c r="X97" s="39"/>
      <c r="Y97" s="72" t="str">
        <f t="shared" si="81"/>
        <v/>
      </c>
      <c r="Z97" s="72" t="str">
        <f t="shared" si="82"/>
        <v/>
      </c>
      <c r="AA97" s="39"/>
      <c r="AB97" s="72" t="str">
        <f t="shared" si="83"/>
        <v/>
      </c>
      <c r="AC97" s="72" t="str">
        <f t="shared" si="84"/>
        <v/>
      </c>
      <c r="AD97" s="39"/>
      <c r="AE97" s="72" t="str">
        <f t="shared" si="85"/>
        <v/>
      </c>
      <c r="AF97" s="72" t="str">
        <f t="shared" si="86"/>
        <v/>
      </c>
      <c r="AG97" s="39"/>
      <c r="AH97" s="72" t="str">
        <f t="shared" si="87"/>
        <v/>
      </c>
      <c r="AI97" s="72" t="str">
        <f t="shared" si="88"/>
        <v/>
      </c>
      <c r="AJ97" s="39"/>
      <c r="AK97" s="72" t="str">
        <f t="shared" si="89"/>
        <v/>
      </c>
      <c r="AL97" s="72" t="str">
        <f t="shared" si="90"/>
        <v/>
      </c>
      <c r="AM97" s="39"/>
      <c r="AN97" s="72" t="str">
        <f t="shared" si="91"/>
        <v/>
      </c>
      <c r="AO97" s="72" t="str">
        <f t="shared" si="92"/>
        <v/>
      </c>
      <c r="AP97" s="39"/>
      <c r="AQ97" s="72" t="str">
        <f t="shared" si="93"/>
        <v/>
      </c>
      <c r="AR97" s="72" t="str">
        <f t="shared" si="94"/>
        <v/>
      </c>
      <c r="AS97" s="39"/>
      <c r="AT97" s="40"/>
      <c r="AU97" s="39"/>
      <c r="AV97" s="72" t="str">
        <f t="shared" si="95"/>
        <v/>
      </c>
      <c r="AW97" s="72" t="str">
        <f t="shared" si="96"/>
        <v/>
      </c>
      <c r="AX97" s="39"/>
      <c r="AY97" s="40" t="str">
        <f>IF(ISERROR(IF($K97&lt;=$F$15,VLOOKUP($I97,'表4）CO2価格'!$A$7:$E$67,VLOOKUP($F$48,'表4）CO2価格'!$H$10:$I$12,2,0),0)*$F$8/1000,"")),0,IF($K97&lt;=$F$15,VLOOKUP($I97,'表4）CO2価格'!$A$7:$E$67,VLOOKUP($F$48,'表4）CO2価格'!$H$10:$I$12,2,0),0)*$F$8/1000,""))</f>
        <v/>
      </c>
      <c r="AZ97" s="39"/>
      <c r="BA97" s="42" t="str">
        <f t="shared" si="97"/>
        <v/>
      </c>
      <c r="BB97" s="72" t="str">
        <f t="shared" si="98"/>
        <v/>
      </c>
      <c r="BC97" s="39"/>
      <c r="BD97" s="72" t="str">
        <f t="shared" si="99"/>
        <v/>
      </c>
      <c r="BE97" s="72" t="str">
        <f t="shared" si="100"/>
        <v/>
      </c>
      <c r="BF97" s="39"/>
      <c r="BG97" s="42" t="str">
        <f t="shared" si="101"/>
        <v/>
      </c>
      <c r="BH97" s="72" t="str">
        <f t="shared" si="102"/>
        <v/>
      </c>
      <c r="BI97" s="39"/>
      <c r="BJ97" s="40" t="str">
        <f t="shared" si="103"/>
        <v/>
      </c>
      <c r="BK97" s="157" t="str">
        <f t="shared" si="104"/>
        <v/>
      </c>
      <c r="BL97" s="157" t="str">
        <f t="shared" si="105"/>
        <v/>
      </c>
      <c r="BM97" s="72"/>
      <c r="BN97" s="72" t="str">
        <f t="shared" si="106"/>
        <v/>
      </c>
      <c r="BO97" s="72" t="str">
        <f t="shared" si="107"/>
        <v/>
      </c>
      <c r="BP97" s="39"/>
      <c r="BQ97" s="72" t="str">
        <f t="shared" si="108"/>
        <v/>
      </c>
      <c r="BR97" s="72" t="str">
        <f t="shared" si="109"/>
        <v/>
      </c>
    </row>
    <row r="98" spans="4:70" x14ac:dyDescent="0.15">
      <c r="F98" s="487"/>
      <c r="I98" s="322">
        <f t="shared" si="110"/>
        <v>2113</v>
      </c>
      <c r="K98" s="71">
        <f t="shared" si="111"/>
        <v>84</v>
      </c>
      <c r="M98" s="7">
        <f t="shared" si="76"/>
        <v>8.3497433152226644E-2</v>
      </c>
      <c r="O98" s="10" t="str">
        <f t="shared" si="112"/>
        <v/>
      </c>
      <c r="P98" s="29" t="str">
        <f t="shared" si="77"/>
        <v/>
      </c>
      <c r="R98" s="10" t="str">
        <f t="shared" si="113"/>
        <v/>
      </c>
      <c r="T98" s="10" t="str">
        <f t="shared" si="78"/>
        <v/>
      </c>
      <c r="V98" s="10" t="str">
        <f t="shared" si="79"/>
        <v/>
      </c>
      <c r="W98" s="10" t="str">
        <f t="shared" si="80"/>
        <v/>
      </c>
      <c r="Y98" s="10" t="str">
        <f t="shared" si="81"/>
        <v/>
      </c>
      <c r="Z98" s="10" t="str">
        <f t="shared" si="82"/>
        <v/>
      </c>
      <c r="AB98" s="10" t="str">
        <f t="shared" si="83"/>
        <v/>
      </c>
      <c r="AC98" s="10" t="str">
        <f t="shared" si="84"/>
        <v/>
      </c>
      <c r="AE98" s="10" t="str">
        <f t="shared" si="85"/>
        <v/>
      </c>
      <c r="AF98" s="10" t="str">
        <f t="shared" si="86"/>
        <v/>
      </c>
      <c r="AH98" s="10" t="str">
        <f t="shared" si="87"/>
        <v/>
      </c>
      <c r="AI98" s="10" t="str">
        <f t="shared" si="88"/>
        <v/>
      </c>
      <c r="AK98" s="10" t="str">
        <f t="shared" si="89"/>
        <v/>
      </c>
      <c r="AL98" s="10" t="str">
        <f t="shared" si="90"/>
        <v/>
      </c>
      <c r="AN98" s="10" t="str">
        <f t="shared" si="91"/>
        <v/>
      </c>
      <c r="AO98" s="10" t="str">
        <f t="shared" si="92"/>
        <v/>
      </c>
      <c r="AQ98" s="10" t="str">
        <f t="shared" si="93"/>
        <v/>
      </c>
      <c r="AR98" s="10" t="str">
        <f t="shared" si="94"/>
        <v/>
      </c>
      <c r="AT98" s="7"/>
      <c r="AV98" s="10" t="str">
        <f t="shared" si="95"/>
        <v/>
      </c>
      <c r="AW98" s="10" t="str">
        <f t="shared" si="96"/>
        <v/>
      </c>
      <c r="AY98" s="7" t="str">
        <f>IF(ISERROR(IF($K98&lt;=$F$15,VLOOKUP($I98,'表4）CO2価格'!$A$7:$E$67,VLOOKUP($F$48,'表4）CO2価格'!$H$10:$I$12,2,0),0)*$F$8/1000,"")),0,IF($K98&lt;=$F$15,VLOOKUP($I98,'表4）CO2価格'!$A$7:$E$67,VLOOKUP($F$48,'表4）CO2価格'!$H$10:$I$12,2,0),0)*$F$8/1000,""))</f>
        <v/>
      </c>
      <c r="BA98" s="11" t="str">
        <f t="shared" si="97"/>
        <v/>
      </c>
      <c r="BB98" s="10" t="str">
        <f t="shared" si="98"/>
        <v/>
      </c>
      <c r="BD98" s="10" t="str">
        <f t="shared" si="99"/>
        <v/>
      </c>
      <c r="BE98" s="10" t="str">
        <f t="shared" si="100"/>
        <v/>
      </c>
      <c r="BG98" s="11" t="str">
        <f t="shared" si="101"/>
        <v/>
      </c>
      <c r="BH98" s="10" t="str">
        <f t="shared" si="102"/>
        <v/>
      </c>
      <c r="BJ98" s="7" t="str">
        <f t="shared" si="103"/>
        <v/>
      </c>
      <c r="BK98" s="158" t="str">
        <f t="shared" si="104"/>
        <v/>
      </c>
      <c r="BL98" s="158" t="str">
        <f t="shared" si="105"/>
        <v/>
      </c>
      <c r="BM98" s="10"/>
      <c r="BN98" s="10" t="str">
        <f t="shared" si="106"/>
        <v/>
      </c>
      <c r="BO98" s="10" t="str">
        <f t="shared" si="107"/>
        <v/>
      </c>
      <c r="BQ98" s="10" t="str">
        <f t="shared" si="108"/>
        <v/>
      </c>
      <c r="BR98" s="10" t="str">
        <f t="shared" si="109"/>
        <v/>
      </c>
    </row>
    <row r="99" spans="4:70" ht="15" x14ac:dyDescent="0.15">
      <c r="D99" s="103" t="s">
        <v>599</v>
      </c>
      <c r="F99" s="484">
        <f>SUBTOTAL(9,F103:F106)</f>
        <v>1.3103305341826383</v>
      </c>
      <c r="G99" s="84" t="s">
        <v>590</v>
      </c>
      <c r="I99" s="38">
        <f t="shared" si="110"/>
        <v>2114</v>
      </c>
      <c r="J99" s="39"/>
      <c r="K99" s="39">
        <f t="shared" si="111"/>
        <v>85</v>
      </c>
      <c r="L99" s="39"/>
      <c r="M99" s="40">
        <f t="shared" si="76"/>
        <v>8.1065469079831712E-2</v>
      </c>
      <c r="N99" s="39"/>
      <c r="O99" s="72" t="str">
        <f t="shared" si="112"/>
        <v/>
      </c>
      <c r="P99" s="41" t="str">
        <f t="shared" si="77"/>
        <v/>
      </c>
      <c r="Q99" s="39"/>
      <c r="R99" s="72" t="str">
        <f t="shared" si="113"/>
        <v/>
      </c>
      <c r="S99" s="39"/>
      <c r="T99" s="72" t="str">
        <f t="shared" si="78"/>
        <v/>
      </c>
      <c r="U99" s="39"/>
      <c r="V99" s="72" t="str">
        <f t="shared" si="79"/>
        <v/>
      </c>
      <c r="W99" s="72" t="str">
        <f t="shared" si="80"/>
        <v/>
      </c>
      <c r="X99" s="39"/>
      <c r="Y99" s="72" t="str">
        <f t="shared" si="81"/>
        <v/>
      </c>
      <c r="Z99" s="72" t="str">
        <f t="shared" si="82"/>
        <v/>
      </c>
      <c r="AA99" s="39"/>
      <c r="AB99" s="72" t="str">
        <f t="shared" si="83"/>
        <v/>
      </c>
      <c r="AC99" s="72" t="str">
        <f t="shared" si="84"/>
        <v/>
      </c>
      <c r="AD99" s="39"/>
      <c r="AE99" s="72" t="str">
        <f t="shared" si="85"/>
        <v/>
      </c>
      <c r="AF99" s="72" t="str">
        <f t="shared" si="86"/>
        <v/>
      </c>
      <c r="AG99" s="39"/>
      <c r="AH99" s="72" t="str">
        <f t="shared" si="87"/>
        <v/>
      </c>
      <c r="AI99" s="72" t="str">
        <f t="shared" si="88"/>
        <v/>
      </c>
      <c r="AJ99" s="39"/>
      <c r="AK99" s="72" t="str">
        <f t="shared" si="89"/>
        <v/>
      </c>
      <c r="AL99" s="72" t="str">
        <f t="shared" si="90"/>
        <v/>
      </c>
      <c r="AM99" s="39"/>
      <c r="AN99" s="72" t="str">
        <f t="shared" si="91"/>
        <v/>
      </c>
      <c r="AO99" s="72" t="str">
        <f t="shared" si="92"/>
        <v/>
      </c>
      <c r="AP99" s="39"/>
      <c r="AQ99" s="72" t="str">
        <f t="shared" si="93"/>
        <v/>
      </c>
      <c r="AR99" s="72" t="str">
        <f t="shared" si="94"/>
        <v/>
      </c>
      <c r="AS99" s="39"/>
      <c r="AT99" s="40"/>
      <c r="AU99" s="39"/>
      <c r="AV99" s="72" t="str">
        <f t="shared" si="95"/>
        <v/>
      </c>
      <c r="AW99" s="72" t="str">
        <f t="shared" si="96"/>
        <v/>
      </c>
      <c r="AX99" s="39"/>
      <c r="AY99" s="40" t="str">
        <f>IF(ISERROR(IF($K99&lt;=$F$15,VLOOKUP($I99,'表4）CO2価格'!$A$7:$E$67,VLOOKUP($F$48,'表4）CO2価格'!$H$10:$I$12,2,0),0)*$F$8/1000,"")),0,IF($K99&lt;=$F$15,VLOOKUP($I99,'表4）CO2価格'!$A$7:$E$67,VLOOKUP($F$48,'表4）CO2価格'!$H$10:$I$12,2,0),0)*$F$8/1000,""))</f>
        <v/>
      </c>
      <c r="AZ99" s="39"/>
      <c r="BA99" s="42" t="str">
        <f t="shared" si="97"/>
        <v/>
      </c>
      <c r="BB99" s="72" t="str">
        <f t="shared" si="98"/>
        <v/>
      </c>
      <c r="BC99" s="39"/>
      <c r="BD99" s="72" t="str">
        <f t="shared" si="99"/>
        <v/>
      </c>
      <c r="BE99" s="72" t="str">
        <f t="shared" si="100"/>
        <v/>
      </c>
      <c r="BF99" s="39"/>
      <c r="BG99" s="42" t="str">
        <f t="shared" si="101"/>
        <v/>
      </c>
      <c r="BH99" s="72" t="str">
        <f t="shared" si="102"/>
        <v/>
      </c>
      <c r="BI99" s="39"/>
      <c r="BJ99" s="40" t="str">
        <f t="shared" si="103"/>
        <v/>
      </c>
      <c r="BK99" s="157" t="str">
        <f t="shared" si="104"/>
        <v/>
      </c>
      <c r="BL99" s="157" t="str">
        <f t="shared" si="105"/>
        <v/>
      </c>
      <c r="BM99" s="72"/>
      <c r="BN99" s="72" t="str">
        <f t="shared" si="106"/>
        <v/>
      </c>
      <c r="BO99" s="72" t="str">
        <f t="shared" si="107"/>
        <v/>
      </c>
      <c r="BP99" s="39"/>
      <c r="BQ99" s="72" t="str">
        <f t="shared" si="108"/>
        <v/>
      </c>
      <c r="BR99" s="72" t="str">
        <f t="shared" si="109"/>
        <v/>
      </c>
    </row>
    <row r="100" spans="4:70" x14ac:dyDescent="0.15">
      <c r="F100" s="487"/>
      <c r="I100" s="322">
        <f t="shared" si="110"/>
        <v>2115</v>
      </c>
      <c r="K100" s="71">
        <f t="shared" si="111"/>
        <v>86</v>
      </c>
      <c r="M100" s="7">
        <f t="shared" si="76"/>
        <v>7.8704338912457969E-2</v>
      </c>
      <c r="O100" s="10" t="str">
        <f t="shared" si="112"/>
        <v/>
      </c>
      <c r="P100" s="29" t="str">
        <f t="shared" si="77"/>
        <v/>
      </c>
      <c r="R100" s="10" t="str">
        <f t="shared" si="113"/>
        <v/>
      </c>
      <c r="T100" s="10" t="str">
        <f t="shared" si="78"/>
        <v/>
      </c>
      <c r="V100" s="10" t="str">
        <f t="shared" si="79"/>
        <v/>
      </c>
      <c r="W100" s="10" t="str">
        <f t="shared" si="80"/>
        <v/>
      </c>
      <c r="Y100" s="10" t="str">
        <f t="shared" si="81"/>
        <v/>
      </c>
      <c r="Z100" s="10" t="str">
        <f t="shared" si="82"/>
        <v/>
      </c>
      <c r="AB100" s="10" t="str">
        <f t="shared" si="83"/>
        <v/>
      </c>
      <c r="AC100" s="10" t="str">
        <f t="shared" si="84"/>
        <v/>
      </c>
      <c r="AE100" s="10" t="str">
        <f t="shared" si="85"/>
        <v/>
      </c>
      <c r="AF100" s="10" t="str">
        <f t="shared" si="86"/>
        <v/>
      </c>
      <c r="AH100" s="10" t="str">
        <f t="shared" si="87"/>
        <v/>
      </c>
      <c r="AI100" s="10" t="str">
        <f t="shared" si="88"/>
        <v/>
      </c>
      <c r="AK100" s="10" t="str">
        <f t="shared" si="89"/>
        <v/>
      </c>
      <c r="AL100" s="10" t="str">
        <f t="shared" si="90"/>
        <v/>
      </c>
      <c r="AN100" s="10" t="str">
        <f t="shared" si="91"/>
        <v/>
      </c>
      <c r="AO100" s="10" t="str">
        <f t="shared" si="92"/>
        <v/>
      </c>
      <c r="AQ100" s="10" t="str">
        <f t="shared" si="93"/>
        <v/>
      </c>
      <c r="AR100" s="10" t="str">
        <f t="shared" si="94"/>
        <v/>
      </c>
      <c r="AT100" s="7"/>
      <c r="AV100" s="10" t="str">
        <f t="shared" si="95"/>
        <v/>
      </c>
      <c r="AW100" s="10" t="str">
        <f t="shared" si="96"/>
        <v/>
      </c>
      <c r="AY100" s="7" t="str">
        <f>IF(ISERROR(IF($K100&lt;=$F$15,VLOOKUP($I100,'表4）CO2価格'!$A$7:$E$67,VLOOKUP($F$48,'表4）CO2価格'!$H$10:$I$12,2,0),0)*$F$8/1000,"")),0,IF($K100&lt;=$F$15,VLOOKUP($I100,'表4）CO2価格'!$A$7:$E$67,VLOOKUP($F$48,'表4）CO2価格'!$H$10:$I$12,2,0),0)*$F$8/1000,""))</f>
        <v/>
      </c>
      <c r="BA100" s="11" t="str">
        <f t="shared" si="97"/>
        <v/>
      </c>
      <c r="BB100" s="10" t="str">
        <f t="shared" si="98"/>
        <v/>
      </c>
      <c r="BD100" s="10" t="str">
        <f t="shared" si="99"/>
        <v/>
      </c>
      <c r="BE100" s="10" t="str">
        <f t="shared" si="100"/>
        <v/>
      </c>
      <c r="BG100" s="11" t="str">
        <f t="shared" si="101"/>
        <v/>
      </c>
      <c r="BH100" s="10" t="str">
        <f t="shared" si="102"/>
        <v/>
      </c>
      <c r="BJ100" s="7" t="str">
        <f t="shared" si="103"/>
        <v/>
      </c>
      <c r="BK100" s="158" t="str">
        <f t="shared" si="104"/>
        <v/>
      </c>
      <c r="BL100" s="158" t="str">
        <f t="shared" si="105"/>
        <v/>
      </c>
      <c r="BM100" s="10"/>
      <c r="BN100" s="10" t="str">
        <f t="shared" si="106"/>
        <v/>
      </c>
      <c r="BO100" s="10" t="str">
        <f t="shared" si="107"/>
        <v/>
      </c>
      <c r="BQ100" s="10" t="str">
        <f t="shared" si="108"/>
        <v/>
      </c>
      <c r="BR100" s="10" t="str">
        <f t="shared" si="109"/>
        <v/>
      </c>
    </row>
    <row r="101" spans="4:70" x14ac:dyDescent="0.15">
      <c r="D101" s="100" t="s">
        <v>600</v>
      </c>
      <c r="E101" s="100"/>
      <c r="F101" s="486"/>
      <c r="G101" s="100"/>
      <c r="I101" s="38">
        <f t="shared" si="110"/>
        <v>2116</v>
      </c>
      <c r="J101" s="39"/>
      <c r="K101" s="39">
        <f t="shared" si="111"/>
        <v>87</v>
      </c>
      <c r="L101" s="39"/>
      <c r="M101" s="40">
        <f t="shared" si="76"/>
        <v>7.6411979526658208E-2</v>
      </c>
      <c r="N101" s="39"/>
      <c r="O101" s="72" t="str">
        <f t="shared" si="112"/>
        <v/>
      </c>
      <c r="P101" s="41" t="str">
        <f t="shared" si="77"/>
        <v/>
      </c>
      <c r="Q101" s="39"/>
      <c r="R101" s="72" t="str">
        <f t="shared" si="113"/>
        <v/>
      </c>
      <c r="S101" s="39"/>
      <c r="T101" s="72" t="str">
        <f t="shared" si="78"/>
        <v/>
      </c>
      <c r="U101" s="39"/>
      <c r="V101" s="72" t="str">
        <f t="shared" si="79"/>
        <v/>
      </c>
      <c r="W101" s="72" t="str">
        <f t="shared" si="80"/>
        <v/>
      </c>
      <c r="X101" s="39"/>
      <c r="Y101" s="72" t="str">
        <f t="shared" si="81"/>
        <v/>
      </c>
      <c r="Z101" s="72" t="str">
        <f t="shared" si="82"/>
        <v/>
      </c>
      <c r="AA101" s="39"/>
      <c r="AB101" s="72" t="str">
        <f t="shared" si="83"/>
        <v/>
      </c>
      <c r="AC101" s="72" t="str">
        <f t="shared" si="84"/>
        <v/>
      </c>
      <c r="AD101" s="39"/>
      <c r="AE101" s="72" t="str">
        <f t="shared" si="85"/>
        <v/>
      </c>
      <c r="AF101" s="72" t="str">
        <f t="shared" si="86"/>
        <v/>
      </c>
      <c r="AG101" s="39"/>
      <c r="AH101" s="72" t="str">
        <f t="shared" si="87"/>
        <v/>
      </c>
      <c r="AI101" s="72" t="str">
        <f t="shared" si="88"/>
        <v/>
      </c>
      <c r="AJ101" s="39"/>
      <c r="AK101" s="72" t="str">
        <f t="shared" si="89"/>
        <v/>
      </c>
      <c r="AL101" s="72" t="str">
        <f t="shared" si="90"/>
        <v/>
      </c>
      <c r="AM101" s="39"/>
      <c r="AN101" s="72" t="str">
        <f t="shared" si="91"/>
        <v/>
      </c>
      <c r="AO101" s="72" t="str">
        <f t="shared" si="92"/>
        <v/>
      </c>
      <c r="AP101" s="39"/>
      <c r="AQ101" s="72" t="str">
        <f t="shared" si="93"/>
        <v/>
      </c>
      <c r="AR101" s="72" t="str">
        <f t="shared" si="94"/>
        <v/>
      </c>
      <c r="AS101" s="39"/>
      <c r="AT101" s="40"/>
      <c r="AU101" s="39"/>
      <c r="AV101" s="72" t="str">
        <f t="shared" si="95"/>
        <v/>
      </c>
      <c r="AW101" s="72" t="str">
        <f t="shared" si="96"/>
        <v/>
      </c>
      <c r="AX101" s="39"/>
      <c r="AY101" s="40" t="str">
        <f>IF(ISERROR(IF($K101&lt;=$F$15,VLOOKUP($I101,'表4）CO2価格'!$A$7:$E$67,VLOOKUP($F$48,'表4）CO2価格'!$H$10:$I$12,2,0),0)*$F$8/1000,"")),0,IF($K101&lt;=$F$15,VLOOKUP($I101,'表4）CO2価格'!$A$7:$E$67,VLOOKUP($F$48,'表4）CO2価格'!$H$10:$I$12,2,0),0)*$F$8/1000,""))</f>
        <v/>
      </c>
      <c r="AZ101" s="39"/>
      <c r="BA101" s="42" t="str">
        <f t="shared" si="97"/>
        <v/>
      </c>
      <c r="BB101" s="72" t="str">
        <f t="shared" si="98"/>
        <v/>
      </c>
      <c r="BC101" s="39"/>
      <c r="BD101" s="72" t="str">
        <f t="shared" si="99"/>
        <v/>
      </c>
      <c r="BE101" s="72" t="str">
        <f t="shared" si="100"/>
        <v/>
      </c>
      <c r="BF101" s="39"/>
      <c r="BG101" s="42" t="str">
        <f t="shared" si="101"/>
        <v/>
      </c>
      <c r="BH101" s="72" t="str">
        <f t="shared" si="102"/>
        <v/>
      </c>
      <c r="BI101" s="39"/>
      <c r="BJ101" s="40" t="str">
        <f t="shared" si="103"/>
        <v/>
      </c>
      <c r="BK101" s="157" t="str">
        <f t="shared" si="104"/>
        <v/>
      </c>
      <c r="BL101" s="157" t="str">
        <f t="shared" si="105"/>
        <v/>
      </c>
      <c r="BM101" s="72"/>
      <c r="BN101" s="72" t="str">
        <f t="shared" si="106"/>
        <v/>
      </c>
      <c r="BO101" s="72" t="str">
        <f t="shared" si="107"/>
        <v/>
      </c>
      <c r="BP101" s="39"/>
      <c r="BQ101" s="72" t="str">
        <f t="shared" si="108"/>
        <v/>
      </c>
      <c r="BR101" s="72" t="str">
        <f t="shared" si="109"/>
        <v/>
      </c>
    </row>
    <row r="102" spans="4:70" x14ac:dyDescent="0.15">
      <c r="F102" s="487"/>
      <c r="I102" s="322">
        <f t="shared" si="110"/>
        <v>2117</v>
      </c>
      <c r="K102" s="71">
        <f t="shared" si="111"/>
        <v>88</v>
      </c>
      <c r="M102" s="7">
        <f t="shared" si="76"/>
        <v>7.4186387889959446E-2</v>
      </c>
      <c r="O102" s="10" t="str">
        <f t="shared" si="112"/>
        <v/>
      </c>
      <c r="P102" s="29" t="str">
        <f t="shared" si="77"/>
        <v/>
      </c>
      <c r="R102" s="10" t="str">
        <f t="shared" si="113"/>
        <v/>
      </c>
      <c r="T102" s="10" t="str">
        <f t="shared" si="78"/>
        <v/>
      </c>
      <c r="V102" s="10" t="str">
        <f t="shared" si="79"/>
        <v/>
      </c>
      <c r="W102" s="10" t="str">
        <f t="shared" si="80"/>
        <v/>
      </c>
      <c r="Y102" s="10" t="str">
        <f t="shared" si="81"/>
        <v/>
      </c>
      <c r="Z102" s="10" t="str">
        <f t="shared" si="82"/>
        <v/>
      </c>
      <c r="AB102" s="10" t="str">
        <f t="shared" si="83"/>
        <v/>
      </c>
      <c r="AC102" s="10" t="str">
        <f t="shared" si="84"/>
        <v/>
      </c>
      <c r="AE102" s="10" t="str">
        <f t="shared" si="85"/>
        <v/>
      </c>
      <c r="AF102" s="10" t="str">
        <f t="shared" si="86"/>
        <v/>
      </c>
      <c r="AH102" s="10" t="str">
        <f t="shared" si="87"/>
        <v/>
      </c>
      <c r="AI102" s="10" t="str">
        <f t="shared" si="88"/>
        <v/>
      </c>
      <c r="AK102" s="10" t="str">
        <f t="shared" si="89"/>
        <v/>
      </c>
      <c r="AL102" s="10" t="str">
        <f t="shared" si="90"/>
        <v/>
      </c>
      <c r="AN102" s="10" t="str">
        <f t="shared" si="91"/>
        <v/>
      </c>
      <c r="AO102" s="10" t="str">
        <f t="shared" si="92"/>
        <v/>
      </c>
      <c r="AQ102" s="10" t="str">
        <f t="shared" si="93"/>
        <v/>
      </c>
      <c r="AR102" s="10" t="str">
        <f t="shared" si="94"/>
        <v/>
      </c>
      <c r="AT102" s="7"/>
      <c r="AV102" s="10" t="str">
        <f t="shared" si="95"/>
        <v/>
      </c>
      <c r="AW102" s="10" t="str">
        <f t="shared" si="96"/>
        <v/>
      </c>
      <c r="AY102" s="7" t="str">
        <f>IF(ISERROR(IF($K102&lt;=$F$15,VLOOKUP($I102,'表4）CO2価格'!$A$7:$E$67,VLOOKUP($F$48,'表4）CO2価格'!$H$10:$I$12,2,0),0)*$F$8/1000,"")),0,IF($K102&lt;=$F$15,VLOOKUP($I102,'表4）CO2価格'!$A$7:$E$67,VLOOKUP($F$48,'表4）CO2価格'!$H$10:$I$12,2,0),0)*$F$8/1000,""))</f>
        <v/>
      </c>
      <c r="BA102" s="11" t="str">
        <f t="shared" si="97"/>
        <v/>
      </c>
      <c r="BB102" s="10" t="str">
        <f t="shared" si="98"/>
        <v/>
      </c>
      <c r="BD102" s="10" t="str">
        <f t="shared" si="99"/>
        <v/>
      </c>
      <c r="BE102" s="10" t="str">
        <f t="shared" si="100"/>
        <v/>
      </c>
      <c r="BG102" s="11" t="str">
        <f t="shared" si="101"/>
        <v/>
      </c>
      <c r="BH102" s="10" t="str">
        <f t="shared" si="102"/>
        <v/>
      </c>
      <c r="BJ102" s="7" t="str">
        <f t="shared" si="103"/>
        <v/>
      </c>
      <c r="BK102" s="158" t="str">
        <f t="shared" si="104"/>
        <v/>
      </c>
      <c r="BL102" s="158" t="str">
        <f t="shared" si="105"/>
        <v/>
      </c>
      <c r="BM102" s="10"/>
      <c r="BN102" s="10" t="str">
        <f t="shared" si="106"/>
        <v/>
      </c>
      <c r="BO102" s="10" t="str">
        <f t="shared" si="107"/>
        <v/>
      </c>
      <c r="BQ102" s="10" t="str">
        <f t="shared" si="108"/>
        <v/>
      </c>
      <c r="BR102" s="10" t="str">
        <f t="shared" si="109"/>
        <v/>
      </c>
    </row>
    <row r="103" spans="4:70" x14ac:dyDescent="0.15">
      <c r="E103" s="84" t="s">
        <v>601</v>
      </c>
      <c r="F103" s="488">
        <f>(BB116/$BR$116)*((F145-F146+'表４ー②）CO2輸送・貯留コスト'!L96*10000000)/F145)</f>
        <v>0.28817987272527462</v>
      </c>
      <c r="G103" s="84" t="s">
        <v>590</v>
      </c>
      <c r="I103" s="38">
        <f t="shared" si="110"/>
        <v>2118</v>
      </c>
      <c r="J103" s="39"/>
      <c r="K103" s="39">
        <f t="shared" si="111"/>
        <v>89</v>
      </c>
      <c r="L103" s="39"/>
      <c r="M103" s="40">
        <f t="shared" si="76"/>
        <v>7.2025619310640235E-2</v>
      </c>
      <c r="N103" s="39"/>
      <c r="O103" s="72" t="str">
        <f t="shared" si="112"/>
        <v/>
      </c>
      <c r="P103" s="41" t="str">
        <f t="shared" si="77"/>
        <v/>
      </c>
      <c r="Q103" s="39"/>
      <c r="R103" s="72" t="str">
        <f t="shared" si="113"/>
        <v/>
      </c>
      <c r="S103" s="39"/>
      <c r="T103" s="72" t="str">
        <f t="shared" si="78"/>
        <v/>
      </c>
      <c r="U103" s="39"/>
      <c r="V103" s="72" t="str">
        <f t="shared" si="79"/>
        <v/>
      </c>
      <c r="W103" s="72" t="str">
        <f t="shared" si="80"/>
        <v/>
      </c>
      <c r="X103" s="39"/>
      <c r="Y103" s="72" t="str">
        <f t="shared" si="81"/>
        <v/>
      </c>
      <c r="Z103" s="72" t="str">
        <f t="shared" si="82"/>
        <v/>
      </c>
      <c r="AA103" s="39"/>
      <c r="AB103" s="72" t="str">
        <f t="shared" si="83"/>
        <v/>
      </c>
      <c r="AC103" s="72" t="str">
        <f t="shared" si="84"/>
        <v/>
      </c>
      <c r="AD103" s="39"/>
      <c r="AE103" s="72" t="str">
        <f t="shared" si="85"/>
        <v/>
      </c>
      <c r="AF103" s="72" t="str">
        <f t="shared" si="86"/>
        <v/>
      </c>
      <c r="AG103" s="39"/>
      <c r="AH103" s="72" t="str">
        <f t="shared" si="87"/>
        <v/>
      </c>
      <c r="AI103" s="72" t="str">
        <f t="shared" si="88"/>
        <v/>
      </c>
      <c r="AJ103" s="39"/>
      <c r="AK103" s="72" t="str">
        <f t="shared" si="89"/>
        <v/>
      </c>
      <c r="AL103" s="72" t="str">
        <f t="shared" si="90"/>
        <v/>
      </c>
      <c r="AM103" s="39"/>
      <c r="AN103" s="72" t="str">
        <f t="shared" si="91"/>
        <v/>
      </c>
      <c r="AO103" s="72" t="str">
        <f t="shared" si="92"/>
        <v/>
      </c>
      <c r="AP103" s="39"/>
      <c r="AQ103" s="72" t="str">
        <f t="shared" si="93"/>
        <v/>
      </c>
      <c r="AR103" s="72" t="str">
        <f t="shared" si="94"/>
        <v/>
      </c>
      <c r="AS103" s="39"/>
      <c r="AT103" s="40"/>
      <c r="AU103" s="39"/>
      <c r="AV103" s="72" t="str">
        <f t="shared" si="95"/>
        <v/>
      </c>
      <c r="AW103" s="72" t="str">
        <f t="shared" si="96"/>
        <v/>
      </c>
      <c r="AX103" s="39"/>
      <c r="AY103" s="40" t="str">
        <f>IF(ISERROR(IF($K103&lt;=$F$15,VLOOKUP($I103,'表4）CO2価格'!$A$7:$E$67,VLOOKUP($F$48,'表4）CO2価格'!$H$10:$I$12,2,0),0)*$F$8/1000,"")),0,IF($K103&lt;=$F$15,VLOOKUP($I103,'表4）CO2価格'!$A$7:$E$67,VLOOKUP($F$48,'表4）CO2価格'!$H$10:$I$12,2,0),0)*$F$8/1000,""))</f>
        <v/>
      </c>
      <c r="AZ103" s="39"/>
      <c r="BA103" s="42" t="str">
        <f t="shared" si="97"/>
        <v/>
      </c>
      <c r="BB103" s="72" t="str">
        <f t="shared" si="98"/>
        <v/>
      </c>
      <c r="BC103" s="39"/>
      <c r="BD103" s="72" t="str">
        <f t="shared" si="99"/>
        <v/>
      </c>
      <c r="BE103" s="72" t="str">
        <f t="shared" si="100"/>
        <v/>
      </c>
      <c r="BF103" s="39"/>
      <c r="BG103" s="42" t="str">
        <f t="shared" si="101"/>
        <v/>
      </c>
      <c r="BH103" s="72" t="str">
        <f t="shared" si="102"/>
        <v/>
      </c>
      <c r="BI103" s="39"/>
      <c r="BJ103" s="40" t="str">
        <f t="shared" si="103"/>
        <v/>
      </c>
      <c r="BK103" s="157" t="str">
        <f t="shared" si="104"/>
        <v/>
      </c>
      <c r="BL103" s="157" t="str">
        <f t="shared" si="105"/>
        <v/>
      </c>
      <c r="BM103" s="72"/>
      <c r="BN103" s="72" t="str">
        <f t="shared" si="106"/>
        <v/>
      </c>
      <c r="BO103" s="72" t="str">
        <f t="shared" si="107"/>
        <v/>
      </c>
      <c r="BP103" s="39"/>
      <c r="BQ103" s="72" t="str">
        <f t="shared" si="108"/>
        <v/>
      </c>
      <c r="BR103" s="72" t="str">
        <f t="shared" si="109"/>
        <v/>
      </c>
    </row>
    <row r="104" spans="4:70" x14ac:dyDescent="0.15">
      <c r="E104" s="84" t="s">
        <v>602</v>
      </c>
      <c r="F104" s="488">
        <f>IF(ISERROR(F60*(1/F61)/F62),0,F60*(1/F61)/F62)</f>
        <v>0</v>
      </c>
      <c r="G104" s="84" t="s">
        <v>590</v>
      </c>
      <c r="I104" s="322">
        <f t="shared" si="110"/>
        <v>2119</v>
      </c>
      <c r="K104" s="71">
        <f t="shared" si="111"/>
        <v>90</v>
      </c>
      <c r="M104" s="7">
        <f t="shared" si="76"/>
        <v>6.9927785738485654E-2</v>
      </c>
      <c r="O104" s="10" t="str">
        <f t="shared" si="112"/>
        <v/>
      </c>
      <c r="P104" s="29" t="str">
        <f t="shared" si="77"/>
        <v/>
      </c>
      <c r="R104" s="10" t="str">
        <f t="shared" si="113"/>
        <v/>
      </c>
      <c r="T104" s="10" t="str">
        <f t="shared" si="78"/>
        <v/>
      </c>
      <c r="V104" s="10" t="str">
        <f t="shared" si="79"/>
        <v/>
      </c>
      <c r="W104" s="10" t="str">
        <f t="shared" si="80"/>
        <v/>
      </c>
      <c r="Y104" s="10" t="str">
        <f t="shared" si="81"/>
        <v/>
      </c>
      <c r="Z104" s="10" t="str">
        <f t="shared" si="82"/>
        <v/>
      </c>
      <c r="AB104" s="10" t="str">
        <f t="shared" si="83"/>
        <v/>
      </c>
      <c r="AC104" s="10" t="str">
        <f t="shared" si="84"/>
        <v/>
      </c>
      <c r="AE104" s="10" t="str">
        <f t="shared" si="85"/>
        <v/>
      </c>
      <c r="AF104" s="10" t="str">
        <f t="shared" si="86"/>
        <v/>
      </c>
      <c r="AH104" s="10" t="str">
        <f t="shared" si="87"/>
        <v/>
      </c>
      <c r="AI104" s="10" t="str">
        <f t="shared" si="88"/>
        <v/>
      </c>
      <c r="AK104" s="10" t="str">
        <f t="shared" si="89"/>
        <v/>
      </c>
      <c r="AL104" s="10" t="str">
        <f t="shared" si="90"/>
        <v/>
      </c>
      <c r="AN104" s="10" t="str">
        <f t="shared" si="91"/>
        <v/>
      </c>
      <c r="AO104" s="10" t="str">
        <f t="shared" si="92"/>
        <v/>
      </c>
      <c r="AQ104" s="10" t="str">
        <f t="shared" si="93"/>
        <v/>
      </c>
      <c r="AR104" s="10" t="str">
        <f t="shared" si="94"/>
        <v/>
      </c>
      <c r="AT104" s="7"/>
      <c r="AV104" s="10" t="str">
        <f t="shared" si="95"/>
        <v/>
      </c>
      <c r="AW104" s="10" t="str">
        <f t="shared" si="96"/>
        <v/>
      </c>
      <c r="AY104" s="7" t="str">
        <f>IF(ISERROR(IF($K104&lt;=$F$15,VLOOKUP($I104,'表4）CO2価格'!$A$7:$E$67,VLOOKUP($F$48,'表4）CO2価格'!$H$10:$I$12,2,0),0)*$F$8/1000,"")),0,IF($K104&lt;=$F$15,VLOOKUP($I104,'表4）CO2価格'!$A$7:$E$67,VLOOKUP($F$48,'表4）CO2価格'!$H$10:$I$12,2,0),0)*$F$8/1000,""))</f>
        <v/>
      </c>
      <c r="BA104" s="11" t="str">
        <f t="shared" si="97"/>
        <v/>
      </c>
      <c r="BB104" s="10" t="str">
        <f t="shared" si="98"/>
        <v/>
      </c>
      <c r="BD104" s="10" t="str">
        <f t="shared" si="99"/>
        <v/>
      </c>
      <c r="BE104" s="10" t="str">
        <f t="shared" si="100"/>
        <v/>
      </c>
      <c r="BG104" s="11" t="str">
        <f t="shared" si="101"/>
        <v/>
      </c>
      <c r="BH104" s="10" t="str">
        <f t="shared" si="102"/>
        <v/>
      </c>
      <c r="BJ104" s="7" t="str">
        <f t="shared" si="103"/>
        <v/>
      </c>
      <c r="BK104" s="158" t="str">
        <f t="shared" si="104"/>
        <v/>
      </c>
      <c r="BL104" s="158" t="str">
        <f t="shared" si="105"/>
        <v/>
      </c>
      <c r="BM104" s="10"/>
      <c r="BN104" s="10" t="str">
        <f t="shared" si="106"/>
        <v/>
      </c>
      <c r="BO104" s="10" t="str">
        <f t="shared" si="107"/>
        <v/>
      </c>
      <c r="BQ104" s="10" t="str">
        <f t="shared" si="108"/>
        <v/>
      </c>
      <c r="BR104" s="10" t="str">
        <f t="shared" si="109"/>
        <v/>
      </c>
    </row>
    <row r="105" spans="4:70" x14ac:dyDescent="0.15">
      <c r="E105" s="71" t="s">
        <v>603</v>
      </c>
      <c r="F105" s="488">
        <f>F64</f>
        <v>0.14000000000000001</v>
      </c>
      <c r="G105" s="84" t="s">
        <v>590</v>
      </c>
      <c r="I105" s="38">
        <f t="shared" si="110"/>
        <v>2120</v>
      </c>
      <c r="J105" s="39"/>
      <c r="K105" s="39">
        <f t="shared" si="111"/>
        <v>91</v>
      </c>
      <c r="L105" s="39"/>
      <c r="M105" s="40">
        <f t="shared" si="76"/>
        <v>6.7891054115034627E-2</v>
      </c>
      <c r="N105" s="39"/>
      <c r="O105" s="72" t="str">
        <f t="shared" si="112"/>
        <v/>
      </c>
      <c r="P105" s="41" t="str">
        <f t="shared" si="77"/>
        <v/>
      </c>
      <c r="Q105" s="39"/>
      <c r="R105" s="72" t="str">
        <f t="shared" si="113"/>
        <v/>
      </c>
      <c r="S105" s="39"/>
      <c r="T105" s="72" t="str">
        <f t="shared" si="78"/>
        <v/>
      </c>
      <c r="U105" s="39"/>
      <c r="V105" s="72" t="str">
        <f t="shared" si="79"/>
        <v/>
      </c>
      <c r="W105" s="72" t="str">
        <f t="shared" si="80"/>
        <v/>
      </c>
      <c r="X105" s="39"/>
      <c r="Y105" s="72" t="str">
        <f t="shared" si="81"/>
        <v/>
      </c>
      <c r="Z105" s="72" t="str">
        <f t="shared" si="82"/>
        <v/>
      </c>
      <c r="AA105" s="39"/>
      <c r="AB105" s="72" t="str">
        <f t="shared" si="83"/>
        <v/>
      </c>
      <c r="AC105" s="72" t="str">
        <f t="shared" si="84"/>
        <v/>
      </c>
      <c r="AD105" s="39"/>
      <c r="AE105" s="72" t="str">
        <f t="shared" si="85"/>
        <v/>
      </c>
      <c r="AF105" s="72" t="str">
        <f t="shared" si="86"/>
        <v/>
      </c>
      <c r="AG105" s="39"/>
      <c r="AH105" s="72" t="str">
        <f t="shared" si="87"/>
        <v/>
      </c>
      <c r="AI105" s="72" t="str">
        <f t="shared" si="88"/>
        <v/>
      </c>
      <c r="AJ105" s="39"/>
      <c r="AK105" s="72" t="str">
        <f t="shared" si="89"/>
        <v/>
      </c>
      <c r="AL105" s="72" t="str">
        <f t="shared" si="90"/>
        <v/>
      </c>
      <c r="AM105" s="39"/>
      <c r="AN105" s="72" t="str">
        <f t="shared" si="91"/>
        <v/>
      </c>
      <c r="AO105" s="72" t="str">
        <f t="shared" si="92"/>
        <v/>
      </c>
      <c r="AP105" s="39"/>
      <c r="AQ105" s="72" t="str">
        <f t="shared" si="93"/>
        <v/>
      </c>
      <c r="AR105" s="72" t="str">
        <f t="shared" si="94"/>
        <v/>
      </c>
      <c r="AS105" s="39"/>
      <c r="AT105" s="40"/>
      <c r="AU105" s="39"/>
      <c r="AV105" s="72" t="str">
        <f t="shared" si="95"/>
        <v/>
      </c>
      <c r="AW105" s="72" t="str">
        <f t="shared" si="96"/>
        <v/>
      </c>
      <c r="AX105" s="39"/>
      <c r="AY105" s="40" t="str">
        <f>IF(ISERROR(IF($K105&lt;=$F$15,VLOOKUP($I105,'表4）CO2価格'!$A$7:$E$67,VLOOKUP($F$48,'表4）CO2価格'!$H$10:$I$12,2,0),0)*$F$8/1000,"")),0,IF($K105&lt;=$F$15,VLOOKUP($I105,'表4）CO2価格'!$A$7:$E$67,VLOOKUP($F$48,'表4）CO2価格'!$H$10:$I$12,2,0),0)*$F$8/1000,""))</f>
        <v/>
      </c>
      <c r="AZ105" s="39"/>
      <c r="BA105" s="42" t="str">
        <f t="shared" si="97"/>
        <v/>
      </c>
      <c r="BB105" s="72" t="str">
        <f t="shared" si="98"/>
        <v/>
      </c>
      <c r="BC105" s="39"/>
      <c r="BD105" s="72" t="str">
        <f t="shared" si="99"/>
        <v/>
      </c>
      <c r="BE105" s="72" t="str">
        <f t="shared" si="100"/>
        <v/>
      </c>
      <c r="BF105" s="39"/>
      <c r="BG105" s="42" t="str">
        <f t="shared" si="101"/>
        <v/>
      </c>
      <c r="BH105" s="72" t="str">
        <f t="shared" si="102"/>
        <v/>
      </c>
      <c r="BI105" s="39"/>
      <c r="BJ105" s="40" t="str">
        <f t="shared" si="103"/>
        <v/>
      </c>
      <c r="BK105" s="157" t="str">
        <f t="shared" si="104"/>
        <v/>
      </c>
      <c r="BL105" s="157" t="str">
        <f t="shared" si="105"/>
        <v/>
      </c>
      <c r="BM105" s="72"/>
      <c r="BN105" s="72" t="str">
        <f t="shared" si="106"/>
        <v/>
      </c>
      <c r="BO105" s="72" t="str">
        <f t="shared" si="107"/>
        <v/>
      </c>
      <c r="BP105" s="39"/>
      <c r="BQ105" s="72" t="str">
        <f t="shared" si="108"/>
        <v/>
      </c>
      <c r="BR105" s="72" t="str">
        <f t="shared" si="109"/>
        <v/>
      </c>
    </row>
    <row r="106" spans="4:70" x14ac:dyDescent="0.15">
      <c r="E106" s="84" t="s">
        <v>657</v>
      </c>
      <c r="F106" s="503">
        <f>(F49*(F146/1000))/F134</f>
        <v>0.88215066145736376</v>
      </c>
      <c r="G106" s="84" t="s">
        <v>590</v>
      </c>
      <c r="I106" s="322">
        <f t="shared" si="110"/>
        <v>2121</v>
      </c>
      <c r="K106" s="71">
        <f t="shared" si="111"/>
        <v>92</v>
      </c>
      <c r="M106" s="7">
        <f t="shared" si="76"/>
        <v>6.5913644771878277E-2</v>
      </c>
      <c r="O106" s="10" t="str">
        <f t="shared" si="112"/>
        <v/>
      </c>
      <c r="P106" s="29" t="str">
        <f t="shared" si="77"/>
        <v/>
      </c>
      <c r="R106" s="10" t="str">
        <f t="shared" si="113"/>
        <v/>
      </c>
      <c r="T106" s="10" t="str">
        <f t="shared" si="78"/>
        <v/>
      </c>
      <c r="V106" s="10" t="str">
        <f t="shared" si="79"/>
        <v/>
      </c>
      <c r="W106" s="10" t="str">
        <f t="shared" si="80"/>
        <v/>
      </c>
      <c r="Y106" s="10" t="str">
        <f t="shared" si="81"/>
        <v/>
      </c>
      <c r="Z106" s="10" t="str">
        <f t="shared" si="82"/>
        <v/>
      </c>
      <c r="AB106" s="10" t="str">
        <f t="shared" si="83"/>
        <v/>
      </c>
      <c r="AC106" s="10" t="str">
        <f t="shared" si="84"/>
        <v/>
      </c>
      <c r="AE106" s="10" t="str">
        <f t="shared" si="85"/>
        <v/>
      </c>
      <c r="AF106" s="10" t="str">
        <f t="shared" si="86"/>
        <v/>
      </c>
      <c r="AH106" s="10" t="str">
        <f t="shared" si="87"/>
        <v/>
      </c>
      <c r="AI106" s="10" t="str">
        <f t="shared" si="88"/>
        <v/>
      </c>
      <c r="AK106" s="10" t="str">
        <f t="shared" si="89"/>
        <v/>
      </c>
      <c r="AL106" s="10" t="str">
        <f t="shared" si="90"/>
        <v/>
      </c>
      <c r="AN106" s="10" t="str">
        <f t="shared" si="91"/>
        <v/>
      </c>
      <c r="AO106" s="10" t="str">
        <f t="shared" si="92"/>
        <v/>
      </c>
      <c r="AQ106" s="10" t="str">
        <f t="shared" si="93"/>
        <v/>
      </c>
      <c r="AR106" s="10" t="str">
        <f t="shared" si="94"/>
        <v/>
      </c>
      <c r="AT106" s="7"/>
      <c r="AV106" s="10" t="str">
        <f t="shared" si="95"/>
        <v/>
      </c>
      <c r="AW106" s="10" t="str">
        <f t="shared" si="96"/>
        <v/>
      </c>
      <c r="AY106" s="7" t="str">
        <f>IF(ISERROR(IF($K106&lt;=$F$15,VLOOKUP($I106,'表4）CO2価格'!$A$7:$E$67,VLOOKUP($F$48,'表4）CO2価格'!$H$10:$I$12,2,0),0)*$F$8/1000,"")),0,IF($K106&lt;=$F$15,VLOOKUP($I106,'表4）CO2価格'!$A$7:$E$67,VLOOKUP($F$48,'表4）CO2価格'!$H$10:$I$12,2,0),0)*$F$8/1000,""))</f>
        <v/>
      </c>
      <c r="BA106" s="11" t="str">
        <f t="shared" si="97"/>
        <v/>
      </c>
      <c r="BB106" s="10" t="str">
        <f t="shared" si="98"/>
        <v/>
      </c>
      <c r="BD106" s="10" t="str">
        <f t="shared" si="99"/>
        <v/>
      </c>
      <c r="BE106" s="10" t="str">
        <f t="shared" si="100"/>
        <v/>
      </c>
      <c r="BG106" s="11" t="str">
        <f t="shared" si="101"/>
        <v/>
      </c>
      <c r="BH106" s="10" t="str">
        <f t="shared" si="102"/>
        <v/>
      </c>
      <c r="BJ106" s="7" t="str">
        <f t="shared" si="103"/>
        <v/>
      </c>
      <c r="BK106" s="158" t="str">
        <f t="shared" si="104"/>
        <v/>
      </c>
      <c r="BL106" s="158" t="str">
        <f t="shared" si="105"/>
        <v/>
      </c>
      <c r="BM106" s="10"/>
      <c r="BN106" s="10" t="str">
        <f t="shared" si="106"/>
        <v/>
      </c>
      <c r="BO106" s="10" t="str">
        <f t="shared" si="107"/>
        <v/>
      </c>
      <c r="BQ106" s="10" t="str">
        <f t="shared" si="108"/>
        <v/>
      </c>
      <c r="BR106" s="10" t="str">
        <f t="shared" si="109"/>
        <v/>
      </c>
    </row>
    <row r="107" spans="4:70" ht="15" x14ac:dyDescent="0.15">
      <c r="D107" s="103" t="s">
        <v>604</v>
      </c>
      <c r="F107" s="484">
        <f>SUBTOTAL(9,F111:F112)</f>
        <v>0</v>
      </c>
      <c r="G107" s="84" t="s">
        <v>590</v>
      </c>
      <c r="I107" s="38">
        <f t="shared" si="110"/>
        <v>2122</v>
      </c>
      <c r="J107" s="39"/>
      <c r="K107" s="39">
        <f t="shared" si="111"/>
        <v>93</v>
      </c>
      <c r="L107" s="39"/>
      <c r="M107" s="40">
        <f t="shared" si="76"/>
        <v>6.3993829875609989E-2</v>
      </c>
      <c r="N107" s="39"/>
      <c r="O107" s="72" t="str">
        <f t="shared" si="112"/>
        <v/>
      </c>
      <c r="P107" s="41" t="str">
        <f t="shared" si="77"/>
        <v/>
      </c>
      <c r="Q107" s="39"/>
      <c r="R107" s="72" t="str">
        <f t="shared" si="113"/>
        <v/>
      </c>
      <c r="S107" s="39"/>
      <c r="T107" s="72" t="str">
        <f t="shared" si="78"/>
        <v/>
      </c>
      <c r="U107" s="39"/>
      <c r="V107" s="72" t="str">
        <f t="shared" si="79"/>
        <v/>
      </c>
      <c r="W107" s="72" t="str">
        <f t="shared" si="80"/>
        <v/>
      </c>
      <c r="X107" s="39"/>
      <c r="Y107" s="72" t="str">
        <f t="shared" si="81"/>
        <v/>
      </c>
      <c r="Z107" s="72" t="str">
        <f t="shared" si="82"/>
        <v/>
      </c>
      <c r="AA107" s="39"/>
      <c r="AB107" s="72" t="str">
        <f t="shared" si="83"/>
        <v/>
      </c>
      <c r="AC107" s="72" t="str">
        <f t="shared" si="84"/>
        <v/>
      </c>
      <c r="AD107" s="39"/>
      <c r="AE107" s="72" t="str">
        <f t="shared" si="85"/>
        <v/>
      </c>
      <c r="AF107" s="72" t="str">
        <f t="shared" si="86"/>
        <v/>
      </c>
      <c r="AG107" s="39"/>
      <c r="AH107" s="72" t="str">
        <f t="shared" si="87"/>
        <v/>
      </c>
      <c r="AI107" s="72" t="str">
        <f t="shared" si="88"/>
        <v/>
      </c>
      <c r="AJ107" s="39"/>
      <c r="AK107" s="72" t="str">
        <f t="shared" si="89"/>
        <v/>
      </c>
      <c r="AL107" s="72" t="str">
        <f t="shared" si="90"/>
        <v/>
      </c>
      <c r="AM107" s="39"/>
      <c r="AN107" s="72" t="str">
        <f t="shared" si="91"/>
        <v/>
      </c>
      <c r="AO107" s="72" t="str">
        <f t="shared" si="92"/>
        <v/>
      </c>
      <c r="AP107" s="39"/>
      <c r="AQ107" s="72" t="str">
        <f t="shared" si="93"/>
        <v/>
      </c>
      <c r="AR107" s="72" t="str">
        <f t="shared" si="94"/>
        <v/>
      </c>
      <c r="AS107" s="39"/>
      <c r="AT107" s="40"/>
      <c r="AU107" s="39"/>
      <c r="AV107" s="72" t="str">
        <f t="shared" si="95"/>
        <v/>
      </c>
      <c r="AW107" s="72" t="str">
        <f t="shared" si="96"/>
        <v/>
      </c>
      <c r="AX107" s="39"/>
      <c r="AY107" s="40" t="str">
        <f>IF(ISERROR(IF($K107&lt;=$F$15,VLOOKUP($I107,'表4）CO2価格'!$A$7:$E$67,VLOOKUP($F$48,'表4）CO2価格'!$H$10:$I$12,2,0),0)*$F$8/1000,"")),0,IF($K107&lt;=$F$15,VLOOKUP($I107,'表4）CO2価格'!$A$7:$E$67,VLOOKUP($F$48,'表4）CO2価格'!$H$10:$I$12,2,0),0)*$F$8/1000,""))</f>
        <v/>
      </c>
      <c r="AZ107" s="39"/>
      <c r="BA107" s="42" t="str">
        <f t="shared" si="97"/>
        <v/>
      </c>
      <c r="BB107" s="72" t="str">
        <f t="shared" si="98"/>
        <v/>
      </c>
      <c r="BC107" s="39"/>
      <c r="BD107" s="72" t="str">
        <f t="shared" si="99"/>
        <v/>
      </c>
      <c r="BE107" s="72" t="str">
        <f t="shared" si="100"/>
        <v/>
      </c>
      <c r="BF107" s="39"/>
      <c r="BG107" s="42" t="str">
        <f t="shared" si="101"/>
        <v/>
      </c>
      <c r="BH107" s="72" t="str">
        <f t="shared" si="102"/>
        <v/>
      </c>
      <c r="BI107" s="39"/>
      <c r="BJ107" s="40" t="str">
        <f t="shared" si="103"/>
        <v/>
      </c>
      <c r="BK107" s="157" t="str">
        <f t="shared" si="104"/>
        <v/>
      </c>
      <c r="BL107" s="157" t="str">
        <f t="shared" si="105"/>
        <v/>
      </c>
      <c r="BM107" s="72"/>
      <c r="BN107" s="72" t="str">
        <f t="shared" si="106"/>
        <v/>
      </c>
      <c r="BO107" s="72" t="str">
        <f t="shared" si="107"/>
        <v/>
      </c>
      <c r="BP107" s="39"/>
      <c r="BQ107" s="72" t="str">
        <f t="shared" si="108"/>
        <v/>
      </c>
      <c r="BR107" s="72" t="str">
        <f t="shared" si="109"/>
        <v/>
      </c>
    </row>
    <row r="108" spans="4:70" ht="15" x14ac:dyDescent="0.15">
      <c r="D108" s="103"/>
      <c r="F108" s="487"/>
      <c r="I108" s="322">
        <f t="shared" si="110"/>
        <v>2123</v>
      </c>
      <c r="K108" s="71">
        <f t="shared" si="111"/>
        <v>94</v>
      </c>
      <c r="M108" s="7">
        <f t="shared" si="76"/>
        <v>6.212993191806794E-2</v>
      </c>
      <c r="O108" s="10" t="str">
        <f t="shared" si="112"/>
        <v/>
      </c>
      <c r="P108" s="29" t="str">
        <f t="shared" si="77"/>
        <v/>
      </c>
      <c r="R108" s="10" t="str">
        <f t="shared" si="113"/>
        <v/>
      </c>
      <c r="T108" s="10" t="str">
        <f t="shared" si="78"/>
        <v/>
      </c>
      <c r="V108" s="10" t="str">
        <f t="shared" si="79"/>
        <v/>
      </c>
      <c r="W108" s="10" t="str">
        <f t="shared" si="80"/>
        <v/>
      </c>
      <c r="Y108" s="10" t="str">
        <f t="shared" si="81"/>
        <v/>
      </c>
      <c r="Z108" s="10" t="str">
        <f t="shared" si="82"/>
        <v/>
      </c>
      <c r="AB108" s="10" t="str">
        <f t="shared" si="83"/>
        <v/>
      </c>
      <c r="AC108" s="10" t="str">
        <f t="shared" si="84"/>
        <v/>
      </c>
      <c r="AE108" s="10" t="str">
        <f t="shared" si="85"/>
        <v/>
      </c>
      <c r="AF108" s="10" t="str">
        <f t="shared" si="86"/>
        <v/>
      </c>
      <c r="AH108" s="10" t="str">
        <f t="shared" si="87"/>
        <v/>
      </c>
      <c r="AI108" s="10" t="str">
        <f t="shared" si="88"/>
        <v/>
      </c>
      <c r="AK108" s="10" t="str">
        <f t="shared" si="89"/>
        <v/>
      </c>
      <c r="AL108" s="10" t="str">
        <f t="shared" si="90"/>
        <v/>
      </c>
      <c r="AN108" s="10" t="str">
        <f t="shared" si="91"/>
        <v/>
      </c>
      <c r="AO108" s="10" t="str">
        <f t="shared" si="92"/>
        <v/>
      </c>
      <c r="AQ108" s="10" t="str">
        <f t="shared" si="93"/>
        <v/>
      </c>
      <c r="AR108" s="10" t="str">
        <f t="shared" si="94"/>
        <v/>
      </c>
      <c r="AT108" s="7"/>
      <c r="AV108" s="10" t="str">
        <f t="shared" si="95"/>
        <v/>
      </c>
      <c r="AW108" s="10" t="str">
        <f t="shared" si="96"/>
        <v/>
      </c>
      <c r="AY108" s="7" t="str">
        <f>IF(ISERROR(IF($K108&lt;=$F$15,VLOOKUP($I108,'表4）CO2価格'!$A$7:$E$67,VLOOKUP($F$48,'表4）CO2価格'!$H$10:$I$12,2,0),0)*$F$8/1000,"")),0,IF($K108&lt;=$F$15,VLOOKUP($I108,'表4）CO2価格'!$A$7:$E$67,VLOOKUP($F$48,'表4）CO2価格'!$H$10:$I$12,2,0),0)*$F$8/1000,""))</f>
        <v/>
      </c>
      <c r="BA108" s="11" t="str">
        <f t="shared" si="97"/>
        <v/>
      </c>
      <c r="BB108" s="10" t="str">
        <f t="shared" si="98"/>
        <v/>
      </c>
      <c r="BD108" s="10" t="str">
        <f t="shared" si="99"/>
        <v/>
      </c>
      <c r="BE108" s="10" t="str">
        <f t="shared" si="100"/>
        <v/>
      </c>
      <c r="BG108" s="11" t="str">
        <f t="shared" si="101"/>
        <v/>
      </c>
      <c r="BH108" s="10" t="str">
        <f t="shared" si="102"/>
        <v/>
      </c>
      <c r="BJ108" s="7" t="str">
        <f t="shared" si="103"/>
        <v/>
      </c>
      <c r="BK108" s="158" t="str">
        <f t="shared" si="104"/>
        <v/>
      </c>
      <c r="BL108" s="158" t="str">
        <f t="shared" si="105"/>
        <v/>
      </c>
      <c r="BM108" s="10"/>
      <c r="BN108" s="10" t="str">
        <f t="shared" si="106"/>
        <v/>
      </c>
      <c r="BO108" s="10" t="str">
        <f t="shared" si="107"/>
        <v/>
      </c>
      <c r="BQ108" s="10" t="str">
        <f t="shared" si="108"/>
        <v/>
      </c>
      <c r="BR108" s="10" t="str">
        <f t="shared" si="109"/>
        <v/>
      </c>
    </row>
    <row r="109" spans="4:70" x14ac:dyDescent="0.15">
      <c r="D109" s="100" t="s">
        <v>605</v>
      </c>
      <c r="E109" s="100"/>
      <c r="F109" s="486"/>
      <c r="G109" s="100"/>
      <c r="I109" s="38">
        <f t="shared" si="110"/>
        <v>2124</v>
      </c>
      <c r="J109" s="39"/>
      <c r="K109" s="39">
        <f t="shared" si="111"/>
        <v>95</v>
      </c>
      <c r="L109" s="39"/>
      <c r="M109" s="40">
        <f t="shared" si="76"/>
        <v>6.0320322250551395E-2</v>
      </c>
      <c r="N109" s="39"/>
      <c r="O109" s="72" t="str">
        <f t="shared" si="112"/>
        <v/>
      </c>
      <c r="P109" s="41" t="str">
        <f t="shared" si="77"/>
        <v/>
      </c>
      <c r="Q109" s="39"/>
      <c r="R109" s="72" t="str">
        <f t="shared" si="113"/>
        <v/>
      </c>
      <c r="S109" s="39"/>
      <c r="T109" s="72" t="str">
        <f t="shared" si="78"/>
        <v/>
      </c>
      <c r="U109" s="39"/>
      <c r="V109" s="72" t="str">
        <f t="shared" si="79"/>
        <v/>
      </c>
      <c r="W109" s="72" t="str">
        <f t="shared" si="80"/>
        <v/>
      </c>
      <c r="X109" s="39"/>
      <c r="Y109" s="72" t="str">
        <f t="shared" si="81"/>
        <v/>
      </c>
      <c r="Z109" s="72" t="str">
        <f t="shared" si="82"/>
        <v/>
      </c>
      <c r="AA109" s="39"/>
      <c r="AB109" s="72" t="str">
        <f t="shared" si="83"/>
        <v/>
      </c>
      <c r="AC109" s="72" t="str">
        <f t="shared" si="84"/>
        <v/>
      </c>
      <c r="AD109" s="39"/>
      <c r="AE109" s="72" t="str">
        <f t="shared" si="85"/>
        <v/>
      </c>
      <c r="AF109" s="72" t="str">
        <f t="shared" si="86"/>
        <v/>
      </c>
      <c r="AG109" s="39"/>
      <c r="AH109" s="72" t="str">
        <f t="shared" si="87"/>
        <v/>
      </c>
      <c r="AI109" s="72" t="str">
        <f t="shared" si="88"/>
        <v/>
      </c>
      <c r="AJ109" s="39"/>
      <c r="AK109" s="72" t="str">
        <f t="shared" si="89"/>
        <v/>
      </c>
      <c r="AL109" s="72" t="str">
        <f t="shared" si="90"/>
        <v/>
      </c>
      <c r="AM109" s="39"/>
      <c r="AN109" s="72" t="str">
        <f t="shared" si="91"/>
        <v/>
      </c>
      <c r="AO109" s="72" t="str">
        <f t="shared" si="92"/>
        <v/>
      </c>
      <c r="AP109" s="39"/>
      <c r="AQ109" s="72" t="str">
        <f t="shared" si="93"/>
        <v/>
      </c>
      <c r="AR109" s="72" t="str">
        <f t="shared" si="94"/>
        <v/>
      </c>
      <c r="AS109" s="39"/>
      <c r="AT109" s="40"/>
      <c r="AU109" s="39"/>
      <c r="AV109" s="72" t="str">
        <f t="shared" si="95"/>
        <v/>
      </c>
      <c r="AW109" s="72" t="str">
        <f t="shared" si="96"/>
        <v/>
      </c>
      <c r="AX109" s="39"/>
      <c r="AY109" s="40" t="str">
        <f>IF(ISERROR(IF($K109&lt;=$F$15,VLOOKUP($I109,'表4）CO2価格'!$A$7:$E$67,VLOOKUP($F$48,'表4）CO2価格'!$H$10:$I$12,2,0),0)*$F$8/1000,"")),0,IF($K109&lt;=$F$15,VLOOKUP($I109,'表4）CO2価格'!$A$7:$E$67,VLOOKUP($F$48,'表4）CO2価格'!$H$10:$I$12,2,0),0)*$F$8/1000,""))</f>
        <v/>
      </c>
      <c r="AZ109" s="39"/>
      <c r="BA109" s="42" t="str">
        <f t="shared" si="97"/>
        <v/>
      </c>
      <c r="BB109" s="72" t="str">
        <f t="shared" si="98"/>
        <v/>
      </c>
      <c r="BC109" s="39"/>
      <c r="BD109" s="72" t="str">
        <f t="shared" si="99"/>
        <v/>
      </c>
      <c r="BE109" s="72" t="str">
        <f t="shared" si="100"/>
        <v/>
      </c>
      <c r="BF109" s="39"/>
      <c r="BG109" s="42" t="str">
        <f t="shared" si="101"/>
        <v/>
      </c>
      <c r="BH109" s="72" t="str">
        <f t="shared" si="102"/>
        <v/>
      </c>
      <c r="BI109" s="39"/>
      <c r="BJ109" s="40" t="str">
        <f t="shared" si="103"/>
        <v/>
      </c>
      <c r="BK109" s="157" t="str">
        <f t="shared" si="104"/>
        <v/>
      </c>
      <c r="BL109" s="157" t="str">
        <f t="shared" si="105"/>
        <v/>
      </c>
      <c r="BM109" s="72"/>
      <c r="BN109" s="72" t="str">
        <f t="shared" si="106"/>
        <v/>
      </c>
      <c r="BO109" s="72" t="str">
        <f t="shared" si="107"/>
        <v/>
      </c>
      <c r="BP109" s="39"/>
      <c r="BQ109" s="72" t="str">
        <f t="shared" si="108"/>
        <v/>
      </c>
      <c r="BR109" s="72" t="str">
        <f t="shared" si="109"/>
        <v/>
      </c>
    </row>
    <row r="110" spans="4:70" ht="15" x14ac:dyDescent="0.15">
      <c r="D110" s="103"/>
      <c r="F110" s="487"/>
      <c r="I110" s="322">
        <f t="shared" si="110"/>
        <v>2125</v>
      </c>
      <c r="K110" s="71">
        <f t="shared" si="111"/>
        <v>96</v>
      </c>
      <c r="M110" s="7">
        <f t="shared" si="76"/>
        <v>5.8563419660729518E-2</v>
      </c>
      <c r="O110" s="10" t="str">
        <f t="shared" si="112"/>
        <v/>
      </c>
      <c r="P110" s="29" t="str">
        <f t="shared" si="77"/>
        <v/>
      </c>
      <c r="R110" s="10" t="str">
        <f t="shared" si="113"/>
        <v/>
      </c>
      <c r="T110" s="10" t="str">
        <f t="shared" si="78"/>
        <v/>
      </c>
      <c r="V110" s="10" t="str">
        <f t="shared" si="79"/>
        <v/>
      </c>
      <c r="W110" s="10" t="str">
        <f t="shared" si="80"/>
        <v/>
      </c>
      <c r="Y110" s="10" t="str">
        <f t="shared" si="81"/>
        <v/>
      </c>
      <c r="Z110" s="10" t="str">
        <f t="shared" si="82"/>
        <v/>
      </c>
      <c r="AB110" s="10" t="str">
        <f t="shared" si="83"/>
        <v/>
      </c>
      <c r="AC110" s="10" t="str">
        <f t="shared" si="84"/>
        <v/>
      </c>
      <c r="AE110" s="10" t="str">
        <f t="shared" si="85"/>
        <v/>
      </c>
      <c r="AF110" s="10" t="str">
        <f t="shared" si="86"/>
        <v/>
      </c>
      <c r="AH110" s="10" t="str">
        <f t="shared" si="87"/>
        <v/>
      </c>
      <c r="AI110" s="10" t="str">
        <f t="shared" si="88"/>
        <v/>
      </c>
      <c r="AK110" s="10" t="str">
        <f t="shared" si="89"/>
        <v/>
      </c>
      <c r="AL110" s="10" t="str">
        <f t="shared" si="90"/>
        <v/>
      </c>
      <c r="AN110" s="10" t="str">
        <f t="shared" si="91"/>
        <v/>
      </c>
      <c r="AO110" s="10" t="str">
        <f t="shared" si="92"/>
        <v/>
      </c>
      <c r="AQ110" s="10" t="str">
        <f t="shared" si="93"/>
        <v/>
      </c>
      <c r="AR110" s="10" t="str">
        <f t="shared" si="94"/>
        <v/>
      </c>
      <c r="AT110" s="7"/>
      <c r="AV110" s="10" t="str">
        <f t="shared" si="95"/>
        <v/>
      </c>
      <c r="AW110" s="10" t="str">
        <f t="shared" si="96"/>
        <v/>
      </c>
      <c r="AY110" s="7" t="str">
        <f>IF(ISERROR(IF($K110&lt;=$F$15,VLOOKUP($I110,'表4）CO2価格'!$A$7:$E$67,VLOOKUP($F$48,'表4）CO2価格'!$H$10:$I$12,2,0),0)*$F$8/1000,"")),0,IF($K110&lt;=$F$15,VLOOKUP($I110,'表4）CO2価格'!$A$7:$E$67,VLOOKUP($F$48,'表4）CO2価格'!$H$10:$I$12,2,0),0)*$F$8/1000,""))</f>
        <v/>
      </c>
      <c r="BA110" s="11" t="str">
        <f t="shared" si="97"/>
        <v/>
      </c>
      <c r="BB110" s="10" t="str">
        <f t="shared" si="98"/>
        <v/>
      </c>
      <c r="BD110" s="10" t="str">
        <f t="shared" si="99"/>
        <v/>
      </c>
      <c r="BE110" s="10" t="str">
        <f t="shared" si="100"/>
        <v/>
      </c>
      <c r="BG110" s="11" t="str">
        <f t="shared" si="101"/>
        <v/>
      </c>
      <c r="BH110" s="10" t="str">
        <f t="shared" si="102"/>
        <v/>
      </c>
      <c r="BJ110" s="7" t="str">
        <f t="shared" si="103"/>
        <v/>
      </c>
      <c r="BK110" s="158" t="str">
        <f t="shared" si="104"/>
        <v/>
      </c>
      <c r="BL110" s="158" t="str">
        <f t="shared" si="105"/>
        <v/>
      </c>
      <c r="BM110" s="10"/>
      <c r="BN110" s="10" t="str">
        <f t="shared" si="106"/>
        <v/>
      </c>
      <c r="BO110" s="10" t="str">
        <f t="shared" si="107"/>
        <v/>
      </c>
      <c r="BQ110" s="10" t="str">
        <f t="shared" si="108"/>
        <v/>
      </c>
      <c r="BR110" s="10" t="str">
        <f t="shared" si="109"/>
        <v/>
      </c>
    </row>
    <row r="111" spans="4:70" ht="15" x14ac:dyDescent="0.15">
      <c r="D111" s="103"/>
      <c r="E111" s="84" t="s">
        <v>606</v>
      </c>
      <c r="F111" s="488">
        <f>-BE116/BR116</f>
        <v>0</v>
      </c>
      <c r="G111" s="84" t="s">
        <v>590</v>
      </c>
      <c r="I111" s="38">
        <f t="shared" si="110"/>
        <v>2126</v>
      </c>
      <c r="J111" s="39"/>
      <c r="K111" s="39">
        <f t="shared" si="111"/>
        <v>97</v>
      </c>
      <c r="L111" s="39"/>
      <c r="M111" s="40">
        <f t="shared" si="76"/>
        <v>5.6857688990999529E-2</v>
      </c>
      <c r="N111" s="39"/>
      <c r="O111" s="72" t="str">
        <f t="shared" si="112"/>
        <v/>
      </c>
      <c r="P111" s="41" t="str">
        <f t="shared" ref="P111:P114" si="114">IF(K111&lt;=$F$15,IF(OR(P110=$F$124,P110="-"),"-",IF(O111*$F$123&gt;$F$127,$F$123,$F$124)),"")</f>
        <v/>
      </c>
      <c r="Q111" s="39"/>
      <c r="R111" s="72" t="str">
        <f t="shared" si="113"/>
        <v/>
      </c>
      <c r="S111" s="39"/>
      <c r="T111" s="72" t="str">
        <f t="shared" si="78"/>
        <v/>
      </c>
      <c r="U111" s="39"/>
      <c r="V111" s="72" t="str">
        <f t="shared" si="79"/>
        <v/>
      </c>
      <c r="W111" s="72" t="str">
        <f t="shared" ref="W111:W114" si="115">IF(ISNUMBER(V111),V111*$M111,"")</f>
        <v/>
      </c>
      <c r="X111" s="39"/>
      <c r="Y111" s="72" t="str">
        <f t="shared" si="81"/>
        <v/>
      </c>
      <c r="Z111" s="72" t="str">
        <f t="shared" ref="Z111:Z114" si="116">IF(ISNUMBER(Y111),Y111*$M111,"")</f>
        <v/>
      </c>
      <c r="AA111" s="39"/>
      <c r="AB111" s="72" t="str">
        <f t="shared" si="83"/>
        <v/>
      </c>
      <c r="AC111" s="72" t="str">
        <f t="shared" ref="AC111:AC114" si="117">IF(ISNUMBER(AB111),AB111*$M111,"")</f>
        <v/>
      </c>
      <c r="AD111" s="39"/>
      <c r="AE111" s="72" t="str">
        <f t="shared" si="85"/>
        <v/>
      </c>
      <c r="AF111" s="72" t="str">
        <f t="shared" ref="AF111:AF114" si="118">IF(ISNUMBER(AE111),AE111*$M111,"")</f>
        <v/>
      </c>
      <c r="AG111" s="39"/>
      <c r="AH111" s="72" t="str">
        <f t="shared" si="87"/>
        <v/>
      </c>
      <c r="AI111" s="72" t="str">
        <f t="shared" ref="AI111:AI114" si="119">IF(ISNUMBER(AH111),AH111*$M111,"")</f>
        <v/>
      </c>
      <c r="AJ111" s="39"/>
      <c r="AK111" s="72" t="str">
        <f t="shared" si="89"/>
        <v/>
      </c>
      <c r="AL111" s="72" t="str">
        <f t="shared" ref="AL111:AL114" si="120">IF(ISNUMBER(AK111),AK111*$M111,"")</f>
        <v/>
      </c>
      <c r="AM111" s="39"/>
      <c r="AN111" s="72" t="str">
        <f t="shared" si="91"/>
        <v/>
      </c>
      <c r="AO111" s="72" t="str">
        <f t="shared" ref="AO111:AO114" si="121">IF(ISNUMBER(AN111),AN111*$M111,"")</f>
        <v/>
      </c>
      <c r="AP111" s="39"/>
      <c r="AQ111" s="72" t="str">
        <f t="shared" si="93"/>
        <v/>
      </c>
      <c r="AR111" s="72" t="str">
        <f t="shared" ref="AR111:AR114" si="122">IF(ISNUMBER(AQ111),AQ111*$M111,"")</f>
        <v/>
      </c>
      <c r="AS111" s="39"/>
      <c r="AT111" s="40"/>
      <c r="AU111" s="39"/>
      <c r="AV111" s="72" t="str">
        <f t="shared" si="95"/>
        <v/>
      </c>
      <c r="AW111" s="72" t="str">
        <f t="shared" ref="AW111:AW114" si="123">IF(ISNUMBER(AV111),AV111*$M111,"")</f>
        <v/>
      </c>
      <c r="AX111" s="39"/>
      <c r="AY111" s="40" t="str">
        <f>IF(ISERROR(IF($K111&lt;=$F$15,VLOOKUP($I111,'表4）CO2価格'!$A$7:$E$67,VLOOKUP($F$48,'表4）CO2価格'!$H$10:$I$12,2,0),0)*$F$8/1000,"")),0,IF($K111&lt;=$F$15,VLOOKUP($I111,'表4）CO2価格'!$A$7:$E$67,VLOOKUP($F$48,'表4）CO2価格'!$H$10:$I$12,2,0),0)*$F$8/1000,""))</f>
        <v/>
      </c>
      <c r="AZ111" s="39"/>
      <c r="BA111" s="42" t="str">
        <f t="shared" si="97"/>
        <v/>
      </c>
      <c r="BB111" s="72" t="str">
        <f t="shared" ref="BB111:BB114" si="124">IF(ISNUMBER(BA111),BA111*$M111,"")</f>
        <v/>
      </c>
      <c r="BC111" s="39"/>
      <c r="BD111" s="72" t="str">
        <f t="shared" si="99"/>
        <v/>
      </c>
      <c r="BE111" s="72" t="str">
        <f t="shared" ref="BE111:BE114" si="125">IF(ISNUMBER(BD111),BD111*$M111,"")</f>
        <v/>
      </c>
      <c r="BF111" s="39"/>
      <c r="BG111" s="42" t="str">
        <f t="shared" si="101"/>
        <v/>
      </c>
      <c r="BH111" s="72" t="str">
        <f t="shared" ref="BH111:BH114" si="126">IF(ISNUMBER(BG111),BG111*$M111,"")</f>
        <v/>
      </c>
      <c r="BI111" s="39"/>
      <c r="BJ111" s="40" t="str">
        <f t="shared" si="103"/>
        <v/>
      </c>
      <c r="BK111" s="157" t="str">
        <f t="shared" ref="BK111:BK114" si="127">IF(ISNUMBER($F$16),IF($K111&lt;=$F$16+$F$28,IF($K111&lt;=$F$16,SUM(Y111,AB111,AE111,AH111,AK111,AN111,AQ111,AV111,BA111,BD111,BG111),$F$27/$F$28*10^8)*BJ111,""),"")</f>
        <v/>
      </c>
      <c r="BL111" s="157" t="str">
        <f t="shared" si="105"/>
        <v/>
      </c>
      <c r="BM111" s="72"/>
      <c r="BN111" s="72" t="str">
        <f t="shared" si="106"/>
        <v/>
      </c>
      <c r="BO111" s="72" t="str">
        <f t="shared" ref="BO111:BO114" si="128">IF(ISNUMBER(BN111),BN111*$M111,"")</f>
        <v/>
      </c>
      <c r="BP111" s="39"/>
      <c r="BQ111" s="72" t="str">
        <f t="shared" si="108"/>
        <v/>
      </c>
      <c r="BR111" s="72" t="str">
        <f t="shared" ref="BR111:BR114" si="129">IF(ISNUMBER(BQ111),BQ111*$M111,"")</f>
        <v/>
      </c>
    </row>
    <row r="112" spans="4:70" ht="15" x14ac:dyDescent="0.15">
      <c r="D112" s="103"/>
      <c r="E112" s="84" t="s">
        <v>607</v>
      </c>
      <c r="F112" s="488">
        <f>-BH116/BR116</f>
        <v>0</v>
      </c>
      <c r="G112" s="84" t="s">
        <v>590</v>
      </c>
      <c r="I112" s="322">
        <f t="shared" si="110"/>
        <v>2127</v>
      </c>
      <c r="K112" s="71">
        <f t="shared" si="111"/>
        <v>98</v>
      </c>
      <c r="M112" s="7">
        <f t="shared" si="76"/>
        <v>5.5201639797086935E-2</v>
      </c>
      <c r="O112" s="10" t="str">
        <f t="shared" si="112"/>
        <v/>
      </c>
      <c r="P112" s="29" t="str">
        <f t="shared" si="114"/>
        <v/>
      </c>
      <c r="R112" s="10" t="str">
        <f t="shared" si="113"/>
        <v/>
      </c>
      <c r="T112" s="10" t="str">
        <f t="shared" si="78"/>
        <v/>
      </c>
      <c r="V112" s="10" t="str">
        <f t="shared" si="79"/>
        <v/>
      </c>
      <c r="W112" s="10" t="str">
        <f t="shared" si="115"/>
        <v/>
      </c>
      <c r="Y112" s="10" t="str">
        <f t="shared" si="81"/>
        <v/>
      </c>
      <c r="Z112" s="10" t="str">
        <f t="shared" si="116"/>
        <v/>
      </c>
      <c r="AB112" s="10" t="str">
        <f t="shared" si="83"/>
        <v/>
      </c>
      <c r="AC112" s="10" t="str">
        <f t="shared" si="117"/>
        <v/>
      </c>
      <c r="AE112" s="10" t="str">
        <f t="shared" si="85"/>
        <v/>
      </c>
      <c r="AF112" s="10" t="str">
        <f t="shared" si="118"/>
        <v/>
      </c>
      <c r="AH112" s="10" t="str">
        <f t="shared" si="87"/>
        <v/>
      </c>
      <c r="AI112" s="10" t="str">
        <f t="shared" si="119"/>
        <v/>
      </c>
      <c r="AK112" s="10" t="str">
        <f t="shared" si="89"/>
        <v/>
      </c>
      <c r="AL112" s="10" t="str">
        <f t="shared" si="120"/>
        <v/>
      </c>
      <c r="AN112" s="10" t="str">
        <f t="shared" si="91"/>
        <v/>
      </c>
      <c r="AO112" s="10" t="str">
        <f t="shared" si="121"/>
        <v/>
      </c>
      <c r="AQ112" s="10" t="str">
        <f t="shared" si="93"/>
        <v/>
      </c>
      <c r="AR112" s="10" t="str">
        <f t="shared" si="122"/>
        <v/>
      </c>
      <c r="AT112" s="7"/>
      <c r="AV112" s="10" t="str">
        <f t="shared" si="95"/>
        <v/>
      </c>
      <c r="AW112" s="10" t="str">
        <f t="shared" si="123"/>
        <v/>
      </c>
      <c r="AY112" s="7" t="str">
        <f>IF(ISERROR(IF($K112&lt;=$F$15,VLOOKUP($I112,'表4）CO2価格'!$A$7:$E$67,VLOOKUP($F$48,'表4）CO2価格'!$H$10:$I$12,2,0),0)*$F$8/1000,"")),0,IF($K112&lt;=$F$15,VLOOKUP($I112,'表4）CO2価格'!$A$7:$E$67,VLOOKUP($F$48,'表4）CO2価格'!$H$10:$I$12,2,0),0)*$F$8/1000,""))</f>
        <v/>
      </c>
      <c r="BA112" s="11" t="str">
        <f t="shared" si="97"/>
        <v/>
      </c>
      <c r="BB112" s="10" t="str">
        <f t="shared" si="124"/>
        <v/>
      </c>
      <c r="BD112" s="10" t="str">
        <f t="shared" si="99"/>
        <v/>
      </c>
      <c r="BE112" s="10" t="str">
        <f t="shared" si="125"/>
        <v/>
      </c>
      <c r="BG112" s="11" t="str">
        <f t="shared" si="101"/>
        <v/>
      </c>
      <c r="BH112" s="10" t="str">
        <f t="shared" si="126"/>
        <v/>
      </c>
      <c r="BJ112" s="7" t="str">
        <f t="shared" si="103"/>
        <v/>
      </c>
      <c r="BK112" s="158" t="str">
        <f t="shared" si="127"/>
        <v/>
      </c>
      <c r="BL112" s="158" t="str">
        <f t="shared" si="105"/>
        <v/>
      </c>
      <c r="BM112" s="10"/>
      <c r="BN112" s="10" t="str">
        <f t="shared" si="106"/>
        <v/>
      </c>
      <c r="BO112" s="10" t="str">
        <f t="shared" si="128"/>
        <v/>
      </c>
      <c r="BQ112" s="10" t="str">
        <f t="shared" si="108"/>
        <v/>
      </c>
      <c r="BR112" s="10" t="str">
        <f t="shared" si="129"/>
        <v/>
      </c>
    </row>
    <row r="113" spans="2:70" x14ac:dyDescent="0.15">
      <c r="I113" s="38">
        <f t="shared" si="110"/>
        <v>2128</v>
      </c>
      <c r="J113" s="39"/>
      <c r="K113" s="39">
        <f t="shared" si="111"/>
        <v>99</v>
      </c>
      <c r="L113" s="39"/>
      <c r="M113" s="40">
        <f t="shared" si="76"/>
        <v>5.3593825045715457E-2</v>
      </c>
      <c r="N113" s="39"/>
      <c r="O113" s="72" t="str">
        <f t="shared" si="112"/>
        <v/>
      </c>
      <c r="P113" s="41" t="str">
        <f t="shared" si="114"/>
        <v/>
      </c>
      <c r="Q113" s="39"/>
      <c r="R113" s="72" t="str">
        <f t="shared" si="113"/>
        <v/>
      </c>
      <c r="S113" s="39"/>
      <c r="T113" s="72" t="str">
        <f t="shared" si="78"/>
        <v/>
      </c>
      <c r="U113" s="39"/>
      <c r="V113" s="72" t="str">
        <f t="shared" si="79"/>
        <v/>
      </c>
      <c r="W113" s="72" t="str">
        <f t="shared" si="115"/>
        <v/>
      </c>
      <c r="X113" s="39"/>
      <c r="Y113" s="72" t="str">
        <f t="shared" si="81"/>
        <v/>
      </c>
      <c r="Z113" s="72" t="str">
        <f t="shared" si="116"/>
        <v/>
      </c>
      <c r="AA113" s="39"/>
      <c r="AB113" s="72" t="str">
        <f t="shared" si="83"/>
        <v/>
      </c>
      <c r="AC113" s="72" t="str">
        <f t="shared" si="117"/>
        <v/>
      </c>
      <c r="AD113" s="39"/>
      <c r="AE113" s="72" t="str">
        <f t="shared" si="85"/>
        <v/>
      </c>
      <c r="AF113" s="72" t="str">
        <f t="shared" si="118"/>
        <v/>
      </c>
      <c r="AG113" s="39"/>
      <c r="AH113" s="72" t="str">
        <f t="shared" si="87"/>
        <v/>
      </c>
      <c r="AI113" s="72" t="str">
        <f t="shared" si="119"/>
        <v/>
      </c>
      <c r="AJ113" s="39"/>
      <c r="AK113" s="72" t="str">
        <f t="shared" si="89"/>
        <v/>
      </c>
      <c r="AL113" s="72" t="str">
        <f t="shared" si="120"/>
        <v/>
      </c>
      <c r="AM113" s="39"/>
      <c r="AN113" s="72" t="str">
        <f t="shared" si="91"/>
        <v/>
      </c>
      <c r="AO113" s="72" t="str">
        <f t="shared" si="121"/>
        <v/>
      </c>
      <c r="AP113" s="39"/>
      <c r="AQ113" s="72" t="str">
        <f t="shared" si="93"/>
        <v/>
      </c>
      <c r="AR113" s="72" t="str">
        <f t="shared" si="122"/>
        <v/>
      </c>
      <c r="AS113" s="39"/>
      <c r="AT113" s="40"/>
      <c r="AU113" s="39"/>
      <c r="AV113" s="72" t="str">
        <f t="shared" si="95"/>
        <v/>
      </c>
      <c r="AW113" s="72" t="str">
        <f t="shared" si="123"/>
        <v/>
      </c>
      <c r="AX113" s="39"/>
      <c r="AY113" s="40" t="str">
        <f>IF(ISERROR(IF($K113&lt;=$F$15,VLOOKUP($I113,'表4）CO2価格'!$A$7:$E$67,VLOOKUP($F$48,'表4）CO2価格'!$H$10:$I$12,2,0),0)*$F$8/1000,"")),0,IF($K113&lt;=$F$15,VLOOKUP($I113,'表4）CO2価格'!$A$7:$E$67,VLOOKUP($F$48,'表4）CO2価格'!$H$10:$I$12,2,0),0)*$F$8/1000,""))</f>
        <v/>
      </c>
      <c r="AZ113" s="39"/>
      <c r="BA113" s="42" t="str">
        <f t="shared" si="97"/>
        <v/>
      </c>
      <c r="BB113" s="72" t="str">
        <f t="shared" si="124"/>
        <v/>
      </c>
      <c r="BC113" s="39"/>
      <c r="BD113" s="72" t="str">
        <f t="shared" si="99"/>
        <v/>
      </c>
      <c r="BE113" s="72" t="str">
        <f t="shared" si="125"/>
        <v/>
      </c>
      <c r="BF113" s="39"/>
      <c r="BG113" s="42" t="str">
        <f t="shared" si="101"/>
        <v/>
      </c>
      <c r="BH113" s="72" t="str">
        <f t="shared" si="126"/>
        <v/>
      </c>
      <c r="BI113" s="39"/>
      <c r="BJ113" s="40" t="str">
        <f t="shared" si="103"/>
        <v/>
      </c>
      <c r="BK113" s="157" t="str">
        <f t="shared" si="127"/>
        <v/>
      </c>
      <c r="BL113" s="157" t="str">
        <f t="shared" si="105"/>
        <v/>
      </c>
      <c r="BM113" s="72"/>
      <c r="BN113" s="72" t="str">
        <f t="shared" si="106"/>
        <v/>
      </c>
      <c r="BO113" s="72" t="str">
        <f t="shared" si="128"/>
        <v/>
      </c>
      <c r="BP113" s="39"/>
      <c r="BQ113" s="72" t="str">
        <f t="shared" si="108"/>
        <v/>
      </c>
      <c r="BR113" s="72" t="str">
        <f t="shared" si="129"/>
        <v/>
      </c>
    </row>
    <row r="114" spans="2:70" x14ac:dyDescent="0.15">
      <c r="I114" s="322">
        <f t="shared" si="110"/>
        <v>2129</v>
      </c>
      <c r="K114" s="71">
        <f t="shared" si="111"/>
        <v>100</v>
      </c>
      <c r="M114" s="7">
        <f t="shared" si="76"/>
        <v>5.2032839850209185E-2</v>
      </c>
      <c r="O114" s="10" t="str">
        <f t="shared" si="112"/>
        <v/>
      </c>
      <c r="P114" s="29" t="str">
        <f t="shared" si="114"/>
        <v/>
      </c>
      <c r="R114" s="10" t="str">
        <f t="shared" si="113"/>
        <v/>
      </c>
      <c r="T114" s="10" t="str">
        <f t="shared" si="78"/>
        <v/>
      </c>
      <c r="V114" s="10" t="str">
        <f t="shared" si="79"/>
        <v/>
      </c>
      <c r="W114" s="10" t="str">
        <f t="shared" si="115"/>
        <v/>
      </c>
      <c r="Y114" s="10" t="str">
        <f t="shared" si="81"/>
        <v/>
      </c>
      <c r="Z114" s="10" t="str">
        <f t="shared" si="116"/>
        <v/>
      </c>
      <c r="AB114" s="10" t="str">
        <f t="shared" si="83"/>
        <v/>
      </c>
      <c r="AC114" s="10" t="str">
        <f t="shared" si="117"/>
        <v/>
      </c>
      <c r="AE114" s="10" t="str">
        <f t="shared" si="85"/>
        <v/>
      </c>
      <c r="AF114" s="10" t="str">
        <f t="shared" si="118"/>
        <v/>
      </c>
      <c r="AH114" s="10" t="str">
        <f t="shared" si="87"/>
        <v/>
      </c>
      <c r="AI114" s="10" t="str">
        <f t="shared" si="119"/>
        <v/>
      </c>
      <c r="AK114" s="10" t="str">
        <f t="shared" si="89"/>
        <v/>
      </c>
      <c r="AL114" s="10" t="str">
        <f t="shared" si="120"/>
        <v/>
      </c>
      <c r="AN114" s="10" t="str">
        <f t="shared" si="91"/>
        <v/>
      </c>
      <c r="AO114" s="10" t="str">
        <f t="shared" si="121"/>
        <v/>
      </c>
      <c r="AQ114" s="10" t="str">
        <f t="shared" si="93"/>
        <v/>
      </c>
      <c r="AR114" s="10" t="str">
        <f t="shared" si="122"/>
        <v/>
      </c>
      <c r="AT114" s="7"/>
      <c r="AV114" s="10" t="str">
        <f t="shared" si="95"/>
        <v/>
      </c>
      <c r="AW114" s="10" t="str">
        <f t="shared" si="123"/>
        <v/>
      </c>
      <c r="AY114" s="7" t="str">
        <f>IF(ISERROR(IF($K114&lt;=$F$15,VLOOKUP($I114,'表4）CO2価格'!$A$7:$E$67,VLOOKUP($F$48,'表4）CO2価格'!$H$10:$I$12,2,0),0)*$F$8/1000,"")),0,IF($K114&lt;=$F$15,VLOOKUP($I114,'表4）CO2価格'!$A$7:$E$67,VLOOKUP($F$48,'表4）CO2価格'!$H$10:$I$12,2,0),0)*$F$8/1000,""))</f>
        <v/>
      </c>
      <c r="BA114" s="11" t="str">
        <f t="shared" si="97"/>
        <v/>
      </c>
      <c r="BB114" s="10" t="str">
        <f t="shared" si="124"/>
        <v/>
      </c>
      <c r="BD114" s="10" t="str">
        <f t="shared" si="99"/>
        <v/>
      </c>
      <c r="BE114" s="10" t="str">
        <f t="shared" si="125"/>
        <v/>
      </c>
      <c r="BG114" s="11" t="str">
        <f t="shared" si="101"/>
        <v/>
      </c>
      <c r="BH114" s="10" t="str">
        <f t="shared" si="126"/>
        <v/>
      </c>
      <c r="BJ114" s="7" t="str">
        <f t="shared" si="103"/>
        <v/>
      </c>
      <c r="BK114" s="158" t="str">
        <f t="shared" si="127"/>
        <v/>
      </c>
      <c r="BL114" s="158" t="str">
        <f t="shared" si="105"/>
        <v/>
      </c>
      <c r="BM114" s="10"/>
      <c r="BN114" s="10" t="str">
        <f t="shared" si="106"/>
        <v/>
      </c>
      <c r="BO114" s="10" t="str">
        <f t="shared" si="128"/>
        <v/>
      </c>
      <c r="BQ114" s="10" t="str">
        <f t="shared" si="108"/>
        <v/>
      </c>
      <c r="BR114" s="10" t="str">
        <f t="shared" si="129"/>
        <v/>
      </c>
    </row>
    <row r="115" spans="2:70" ht="15.75" thickBot="1" x14ac:dyDescent="0.2">
      <c r="B115" s="5" t="s">
        <v>608</v>
      </c>
      <c r="C115" s="3"/>
      <c r="D115" s="102"/>
      <c r="E115" s="102"/>
      <c r="F115" s="3"/>
      <c r="G115" s="102"/>
      <c r="I115" s="321"/>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71" t="s">
        <v>143</v>
      </c>
      <c r="W116" s="11"/>
      <c r="Z116" s="11">
        <f>SUM(Z15:Z114)</f>
        <v>15623168851.224028</v>
      </c>
      <c r="AC116" s="11">
        <f>SUM(AC15:AC114)</f>
        <v>2737495592.4279633</v>
      </c>
      <c r="AF116" s="11">
        <f>SUM(AF15:AF114)</f>
        <v>0</v>
      </c>
      <c r="AI116" s="11">
        <f>SUM(AI15:AI114)</f>
        <v>14331158624.008007</v>
      </c>
      <c r="AL116" s="11">
        <f>SUM(AL15:AL114)</f>
        <v>102049408641.08853</v>
      </c>
      <c r="AO116" s="11">
        <f>SUM(AO15:AO114)</f>
        <v>46772645627.165588</v>
      </c>
      <c r="AR116" s="11">
        <f>SUM(AR15:AR114)</f>
        <v>19578385547.071461</v>
      </c>
      <c r="AW116" s="11">
        <f>SUM(AW15:AW114)</f>
        <v>706531725272.97363</v>
      </c>
      <c r="BB116" s="11">
        <f>SUM(BB15:BB114)</f>
        <v>244222834318.64615</v>
      </c>
      <c r="BE116" s="11">
        <f>SUM(BE15:BE114)</f>
        <v>0</v>
      </c>
      <c r="BH116" s="11">
        <f>SUM(BH15:BH114)</f>
        <v>0</v>
      </c>
      <c r="BK116" s="11">
        <f>SUM(BK15:BK114)</f>
        <v>0</v>
      </c>
      <c r="BL116" s="11">
        <f>SUM(BL15:BL114)</f>
        <v>0</v>
      </c>
      <c r="BO116" s="11">
        <f>SUM(BO15:BO114)</f>
        <v>0</v>
      </c>
      <c r="BR116" s="11">
        <f>SUM(BR15:BR114)</f>
        <v>105269716619.67342</v>
      </c>
    </row>
    <row r="117" spans="2:70" x14ac:dyDescent="0.15">
      <c r="C117" s="71" t="s">
        <v>610</v>
      </c>
      <c r="F117" s="490">
        <f>F21*10^4*F13*10^4+F29*10^8</f>
        <v>183954170005.37665</v>
      </c>
      <c r="G117" s="84" t="s">
        <v>611</v>
      </c>
      <c r="I117" s="48" t="s">
        <v>145</v>
      </c>
      <c r="W117" s="11"/>
      <c r="Z117" s="11" t="str">
        <f ca="1">IF(ISNUMBER($F$16),SUM(INDIRECT(ADDRESS($F$16+15,COLUMN())):INDIRECT(ADDRESS(114,COLUMN()))),"")</f>
        <v/>
      </c>
      <c r="AC117" s="11" t="str">
        <f ca="1">IF(ISNUMBER($F$16),SUM(INDIRECT(ADDRESS($F$16+15,COLUMN())):INDIRECT(ADDRESS(114,COLUMN()))),"")</f>
        <v/>
      </c>
      <c r="AF117" s="11" t="str">
        <f ca="1">IF(ISNUMBER($F$16),SUM(INDIRECT(ADDRESS($F$16+15,COLUMN())):INDIRECT(ADDRESS(114,COLUMN()))),"")</f>
        <v/>
      </c>
      <c r="AI117" s="11" t="str">
        <f ca="1">IF(ISNUMBER($F$16),SUM(INDIRECT(ADDRESS($F$16+15,COLUMN())):INDIRECT(ADDRESS(114,COLUMN()))),"")</f>
        <v/>
      </c>
      <c r="AL117" s="11" t="str">
        <f ca="1">IF(ISNUMBER($F$16),SUM(INDIRECT(ADDRESS($F$16+15,COLUMN())):INDIRECT(ADDRESS(114,COLUMN()))),"")</f>
        <v/>
      </c>
      <c r="AO117" s="11" t="str">
        <f ca="1">IF(ISNUMBER($F$16),SUM(INDIRECT(ADDRESS($F$16+15,COLUMN())):INDIRECT(ADDRESS(114,COLUMN()))),"")</f>
        <v/>
      </c>
      <c r="AR117" s="11" t="str">
        <f ca="1">IF(ISNUMBER($F$16),SUM(INDIRECT(ADDRESS($F$16+15,COLUMN())):INDIRECT(ADDRESS(114,COLUMN()))),"")</f>
        <v/>
      </c>
      <c r="AW117" s="11" t="str">
        <f ca="1">IF(ISNUMBER($F$16),SUM(INDIRECT(ADDRESS($F$16+15,COLUMN())):INDIRECT(ADDRESS(114,COLUMN()))),"")</f>
        <v/>
      </c>
      <c r="BB117" s="11" t="str">
        <f ca="1">IF(ISNUMBER($F$16),SUM(INDIRECT(ADDRESS($F$16+15,COLUMN())):INDIRECT(ADDRESS(114,COLUMN()))),"")</f>
        <v/>
      </c>
      <c r="BE117" s="11" t="str">
        <f ca="1">IF(ISNUMBER($F$16),SUM(INDIRECT(ADDRESS($F$16+15,COLUMN())):INDIRECT(ADDRESS(114,COLUMN()))),"")</f>
        <v/>
      </c>
      <c r="BH117" s="11" t="str">
        <f ca="1">IF(ISNUMBER($F$16),SUM(INDIRECT(ADDRESS($F$16+15,COLUMN())):INDIRECT(ADDRESS(114,COLUMN()))),"")</f>
        <v/>
      </c>
      <c r="BK117" s="11" t="str">
        <f ca="1">IF(ISNUMBER($F$16),SUM(INDIRECT(ADDRESS($F$16+15,COLUMN())):INDIRECT(ADDRESS(114,COLUMN()))),"")</f>
        <v/>
      </c>
      <c r="BL117" s="11" t="str">
        <f ca="1">IF(ISNUMBER($F$16),SUM(INDIRECT(ADDRESS($F$16+15,COLUMN())):INDIRECT(ADDRESS(114,COLUMN()))),"")</f>
        <v/>
      </c>
      <c r="BO117" s="11" t="str">
        <f ca="1">IF(ISNUMBER($F$16),SUM(INDIRECT(ADDRESS($F$16+15,COLUMN())):INDIRECT(ADDRESS(114,COLUMN()))),"")</f>
        <v/>
      </c>
      <c r="BR117" s="11" t="str">
        <f ca="1">IF(ISNUMBER($F$16),SUM(INDIRECT(ADDRESS($F$16+15,COLUMN())):INDIRECT(ADDRESS(114,COLUMN()))),"")</f>
        <v/>
      </c>
    </row>
    <row r="119" spans="2:70" x14ac:dyDescent="0.15">
      <c r="C119" s="71" t="s">
        <v>612</v>
      </c>
      <c r="F119" s="490">
        <f>VLOOKUP(F3,'表2）法定耐用年数'!$A$2:$B$21,2,0)</f>
        <v>15</v>
      </c>
      <c r="G119" s="84" t="s">
        <v>556</v>
      </c>
    </row>
    <row r="121" spans="2:70" x14ac:dyDescent="0.15">
      <c r="C121" s="4" t="s">
        <v>613</v>
      </c>
      <c r="D121" s="100"/>
      <c r="E121" s="100"/>
      <c r="F121" s="4"/>
      <c r="G121" s="100"/>
    </row>
    <row r="123" spans="2:70" x14ac:dyDescent="0.15">
      <c r="D123" s="84" t="s">
        <v>614</v>
      </c>
      <c r="F123" s="491">
        <f>VLOOKUP($F$119,'表1）減価償却率表'!$A$9:$E$107,3,0)</f>
        <v>0.16700000000000001</v>
      </c>
    </row>
    <row r="124" spans="2:70" x14ac:dyDescent="0.15">
      <c r="D124" s="84" t="s">
        <v>615</v>
      </c>
      <c r="F124" s="491">
        <f>VLOOKUP($F$119,'表1）減価償却率表'!$A$9:$E$107,4,0)</f>
        <v>0.2</v>
      </c>
    </row>
    <row r="125" spans="2:70" x14ac:dyDescent="0.15">
      <c r="D125" s="84" t="s">
        <v>616</v>
      </c>
      <c r="F125" s="474">
        <f>VLOOKUP($F$119,'表1）減価償却率表'!$A$9:$E$107,5,0)</f>
        <v>3.2169999999999997E-2</v>
      </c>
    </row>
    <row r="126" spans="2:70" x14ac:dyDescent="0.15">
      <c r="F126" s="492"/>
    </row>
    <row r="127" spans="2:70" x14ac:dyDescent="0.15">
      <c r="C127" s="8" t="s">
        <v>617</v>
      </c>
      <c r="D127" s="493"/>
      <c r="E127" s="494"/>
      <c r="F127" s="490">
        <f>F117*F125</f>
        <v>5917805649.0729666</v>
      </c>
      <c r="G127" s="84" t="s">
        <v>611</v>
      </c>
    </row>
    <row r="129" spans="3:7" x14ac:dyDescent="0.15">
      <c r="C129" s="8" t="s">
        <v>152</v>
      </c>
      <c r="D129" s="493"/>
      <c r="E129" s="493"/>
      <c r="F129" s="491">
        <f>0.1^(1/F119)</f>
        <v>0.85769589859089412</v>
      </c>
      <c r="G129" s="493"/>
    </row>
    <row r="131" spans="3:7" x14ac:dyDescent="0.15">
      <c r="C131" s="4" t="s">
        <v>618</v>
      </c>
      <c r="D131" s="100"/>
      <c r="E131" s="100"/>
      <c r="F131" s="4"/>
      <c r="G131" s="100"/>
    </row>
    <row r="133" spans="3:7" x14ac:dyDescent="0.15">
      <c r="D133" s="84" t="s">
        <v>619</v>
      </c>
      <c r="F133" s="490">
        <f>(F13*10000*24*365*F14/100)*(F23/'LNG火力（2030年）'!F23)</f>
        <v>4778646820.1482077</v>
      </c>
      <c r="G133" s="84" t="s">
        <v>620</v>
      </c>
    </row>
    <row r="134" spans="3:7" x14ac:dyDescent="0.15">
      <c r="D134" s="84" t="s">
        <v>621</v>
      </c>
      <c r="F134" s="490">
        <f>F133*(1-F24/100)</f>
        <v>4554218260.8222504</v>
      </c>
      <c r="G134" s="84" t="s">
        <v>620</v>
      </c>
    </row>
    <row r="135" spans="3:7" x14ac:dyDescent="0.15">
      <c r="F135" s="495"/>
    </row>
    <row r="137" spans="3:7" ht="16.5" x14ac:dyDescent="0.15">
      <c r="C137" s="71" t="s">
        <v>622</v>
      </c>
      <c r="F137" s="490">
        <f>IF(ISERROR(F133*3.6/(F23/100)/F22),0,F133*3.6/(F23/100)/F22)</f>
        <v>601812758.58751082</v>
      </c>
      <c r="G137" s="71" t="s">
        <v>623</v>
      </c>
    </row>
    <row r="139" spans="3:7" x14ac:dyDescent="0.15">
      <c r="C139" s="4" t="s">
        <v>624</v>
      </c>
      <c r="D139" s="100"/>
      <c r="E139" s="100"/>
      <c r="F139" s="4"/>
      <c r="G139" s="100"/>
    </row>
    <row r="141" spans="3:7" x14ac:dyDescent="0.15">
      <c r="D141" s="84" t="s">
        <v>625</v>
      </c>
      <c r="F141" s="496">
        <f>IF(OR(F3="石炭火力",F3= "LNG火力", F3="ガスコジェネ",F3="バイオマス（石炭混焼）",F3="バイオマス（木質専焼）",F3="燃料電池"),IF($F$43="需要地価格","",1000),IF(OR(F3="石油火力",F3="石油コジェネ"),IF($F$43="需要地価格","",158.987294928),""))</f>
        <v>1000</v>
      </c>
      <c r="G141" s="84" t="s">
        <v>626</v>
      </c>
    </row>
    <row r="142" spans="3:7" x14ac:dyDescent="0.15">
      <c r="D142" s="84" t="s">
        <v>573</v>
      </c>
      <c r="F142" s="488">
        <f>IF(ISERROR(F42/1000),0,F42/1000)</f>
        <v>2.8</v>
      </c>
      <c r="G142" s="84" t="s">
        <v>627</v>
      </c>
    </row>
    <row r="145" spans="3:7" x14ac:dyDescent="0.15">
      <c r="C145" s="71" t="s">
        <v>628</v>
      </c>
      <c r="F145" s="496">
        <f>IF(ISERROR(F133*(F47*3.6/(F23/100)/1000*(44/12))),0,F133*(F47*3.6/(F23/100)/1000*(44/12)))</f>
        <v>1674158639.9999998</v>
      </c>
      <c r="G145" s="84" t="s">
        <v>629</v>
      </c>
    </row>
    <row r="146" spans="3:7" x14ac:dyDescent="0.15">
      <c r="C146" s="84" t="s">
        <v>658</v>
      </c>
      <c r="F146" s="510">
        <f>F145*(F18/100)</f>
        <v>1506742775.9999998</v>
      </c>
      <c r="G146" s="84" t="s">
        <v>629</v>
      </c>
    </row>
    <row r="147" spans="3:7" x14ac:dyDescent="0.15">
      <c r="C147" s="4" t="s">
        <v>630</v>
      </c>
      <c r="D147" s="100"/>
      <c r="E147" s="100"/>
      <c r="F147" s="4"/>
      <c r="G147" s="100"/>
    </row>
    <row r="149" spans="3:7" x14ac:dyDescent="0.15">
      <c r="D149" s="84" t="s">
        <v>219</v>
      </c>
      <c r="F149" s="496">
        <f>IF(ISERROR(F52/F23),0,F52/F23)</f>
        <v>0</v>
      </c>
    </row>
    <row r="150" spans="3:7" x14ac:dyDescent="0.15">
      <c r="D150" s="84" t="s">
        <v>631</v>
      </c>
      <c r="F150" s="496">
        <f>F133*F149*(F53/100)*3.6</f>
        <v>0</v>
      </c>
      <c r="G150" s="84" t="s">
        <v>632</v>
      </c>
    </row>
    <row r="151" spans="3:7" ht="16.5" x14ac:dyDescent="0.15">
      <c r="D151" s="84" t="s">
        <v>633</v>
      </c>
      <c r="F151" s="490">
        <f>IF(ISERROR(F150/(F54/100)/F55),0,F150/(F54/100)/F55)</f>
        <v>0</v>
      </c>
      <c r="G151" s="71" t="s">
        <v>623</v>
      </c>
    </row>
    <row r="152" spans="3:7" x14ac:dyDescent="0.15">
      <c r="D152" s="84" t="s">
        <v>634</v>
      </c>
      <c r="F152" s="497">
        <f>IF(ISERROR(F56/1000),0,F56/1000)</f>
        <v>0</v>
      </c>
      <c r="G152" s="84" t="s">
        <v>627</v>
      </c>
    </row>
    <row r="153" spans="3:7" x14ac:dyDescent="0.15">
      <c r="D153" s="84" t="s">
        <v>635</v>
      </c>
      <c r="F153" s="496">
        <f>IF(ISERROR(F150*F47/1000*(44/12)/(F54/100)),0,F150*F47/1000*(44/12)/(F54/100))</f>
        <v>0</v>
      </c>
      <c r="G153" s="84" t="s">
        <v>629</v>
      </c>
    </row>
    <row r="155" spans="3:7" x14ac:dyDescent="0.15">
      <c r="C155" s="4" t="s">
        <v>649</v>
      </c>
      <c r="D155" s="100"/>
      <c r="E155" s="100"/>
      <c r="F155" s="100"/>
      <c r="G155" s="100"/>
    </row>
    <row r="156" spans="3:7" x14ac:dyDescent="0.15">
      <c r="F156" s="84"/>
    </row>
    <row r="157" spans="3:7" x14ac:dyDescent="0.15">
      <c r="D157" s="84" t="s">
        <v>650</v>
      </c>
      <c r="F157" s="506">
        <v>300</v>
      </c>
      <c r="G157" s="84" t="s">
        <v>651</v>
      </c>
    </row>
    <row r="158" spans="3:7" x14ac:dyDescent="0.15">
      <c r="D158" s="84" t="s">
        <v>652</v>
      </c>
      <c r="F158" s="507">
        <v>20</v>
      </c>
      <c r="G158" s="84" t="s">
        <v>653</v>
      </c>
    </row>
  </sheetData>
  <mergeCells count="48">
    <mergeCell ref="F3:G3"/>
    <mergeCell ref="V7:AF7"/>
    <mergeCell ref="AH7:AR7"/>
    <mergeCell ref="AT7:AW7"/>
    <mergeCell ref="AY7:BB7"/>
    <mergeCell ref="AQ9:AR10"/>
    <mergeCell ref="BJ7:BO7"/>
    <mergeCell ref="BQ7:BR7"/>
    <mergeCell ref="I9:I10"/>
    <mergeCell ref="K9:K10"/>
    <mergeCell ref="M9:M10"/>
    <mergeCell ref="O9:P10"/>
    <mergeCell ref="R9:R10"/>
    <mergeCell ref="T9:T10"/>
    <mergeCell ref="V9:W10"/>
    <mergeCell ref="Y9:Z10"/>
    <mergeCell ref="BD7:BH7"/>
    <mergeCell ref="AB9:AC10"/>
    <mergeCell ref="AE9:AF10"/>
    <mergeCell ref="AH9:AI10"/>
    <mergeCell ref="AK9:AL10"/>
    <mergeCell ref="AN9:AO10"/>
    <mergeCell ref="BJ9:BL10"/>
    <mergeCell ref="BN9:BO10"/>
    <mergeCell ref="P12:P13"/>
    <mergeCell ref="W12:W13"/>
    <mergeCell ref="Z12:Z13"/>
    <mergeCell ref="AC12:AC13"/>
    <mergeCell ref="AF12:AF13"/>
    <mergeCell ref="AI12:AI13"/>
    <mergeCell ref="AL12:AL13"/>
    <mergeCell ref="AO12:AO13"/>
    <mergeCell ref="AT9:AT10"/>
    <mergeCell ref="AV9:AW10"/>
    <mergeCell ref="AY9:AY10"/>
    <mergeCell ref="BA9:BB10"/>
    <mergeCell ref="BD9:BE10"/>
    <mergeCell ref="BG9:BH10"/>
    <mergeCell ref="BK12:BK13"/>
    <mergeCell ref="BL12:BL13"/>
    <mergeCell ref="BO12:BO13"/>
    <mergeCell ref="BR12:BR13"/>
    <mergeCell ref="BJ12:BJ13"/>
    <mergeCell ref="AR12:AR13"/>
    <mergeCell ref="AW12:AW13"/>
    <mergeCell ref="BB12:BB13"/>
    <mergeCell ref="BE12:BE13"/>
    <mergeCell ref="BH12:BH13"/>
  </mergeCells>
  <phoneticPr fontId="56"/>
  <dataValidations count="8">
    <dataValidation type="list" allowBlank="1" showInputMessage="1" showErrorMessage="1" sqref="F158 JB158 SX158 ACT158 AMP158 AWL158 BGH158 BQD158 BZZ158 CJV158 CTR158 DDN158 DNJ158 DXF158 EHB158 EQX158 FAT158 FKP158 FUL158 GEH158 GOD158 GXZ158 HHV158 HRR158 IBN158 ILJ158 IVF158 JFB158 JOX158 JYT158 KIP158 KSL158 LCH158 LMD158 LVZ158 MFV158 MPR158 MZN158 NJJ158 NTF158 ODB158 OMX158 OWT158 PGP158 PQL158 QAH158 QKD158 QTZ158 RDV158 RNR158 RXN158 SHJ158 SRF158 TBB158 TKX158 TUT158 UEP158 UOL158 UYH158 VID158 VRZ158 WBV158 WLR158 WVN158 F65694 JB65694 SX65694 ACT65694 AMP65694 AWL65694 BGH65694 BQD65694 BZZ65694 CJV65694 CTR65694 DDN65694 DNJ65694 DXF65694 EHB65694 EQX65694 FAT65694 FKP65694 FUL65694 GEH65694 GOD65694 GXZ65694 HHV65694 HRR65694 IBN65694 ILJ65694 IVF65694 JFB65694 JOX65694 JYT65694 KIP65694 KSL65694 LCH65694 LMD65694 LVZ65694 MFV65694 MPR65694 MZN65694 NJJ65694 NTF65694 ODB65694 OMX65694 OWT65694 PGP65694 PQL65694 QAH65694 QKD65694 QTZ65694 RDV65694 RNR65694 RXN65694 SHJ65694 SRF65694 TBB65694 TKX65694 TUT65694 UEP65694 UOL65694 UYH65694 VID65694 VRZ65694 WBV65694 WLR65694 WVN65694 F131230 JB131230 SX131230 ACT131230 AMP131230 AWL131230 BGH131230 BQD131230 BZZ131230 CJV131230 CTR131230 DDN131230 DNJ131230 DXF131230 EHB131230 EQX131230 FAT131230 FKP131230 FUL131230 GEH131230 GOD131230 GXZ131230 HHV131230 HRR131230 IBN131230 ILJ131230 IVF131230 JFB131230 JOX131230 JYT131230 KIP131230 KSL131230 LCH131230 LMD131230 LVZ131230 MFV131230 MPR131230 MZN131230 NJJ131230 NTF131230 ODB131230 OMX131230 OWT131230 PGP131230 PQL131230 QAH131230 QKD131230 QTZ131230 RDV131230 RNR131230 RXN131230 SHJ131230 SRF131230 TBB131230 TKX131230 TUT131230 UEP131230 UOL131230 UYH131230 VID131230 VRZ131230 WBV131230 WLR131230 WVN131230 F196766 JB196766 SX196766 ACT196766 AMP196766 AWL196766 BGH196766 BQD196766 BZZ196766 CJV196766 CTR196766 DDN196766 DNJ196766 DXF196766 EHB196766 EQX196766 FAT196766 FKP196766 FUL196766 GEH196766 GOD196766 GXZ196766 HHV196766 HRR196766 IBN196766 ILJ196766 IVF196766 JFB196766 JOX196766 JYT196766 KIP196766 KSL196766 LCH196766 LMD196766 LVZ196766 MFV196766 MPR196766 MZN196766 NJJ196766 NTF196766 ODB196766 OMX196766 OWT196766 PGP196766 PQL196766 QAH196766 QKD196766 QTZ196766 RDV196766 RNR196766 RXN196766 SHJ196766 SRF196766 TBB196766 TKX196766 TUT196766 UEP196766 UOL196766 UYH196766 VID196766 VRZ196766 WBV196766 WLR196766 WVN196766 F262302 JB262302 SX262302 ACT262302 AMP262302 AWL262302 BGH262302 BQD262302 BZZ262302 CJV262302 CTR262302 DDN262302 DNJ262302 DXF262302 EHB262302 EQX262302 FAT262302 FKP262302 FUL262302 GEH262302 GOD262302 GXZ262302 HHV262302 HRR262302 IBN262302 ILJ262302 IVF262302 JFB262302 JOX262302 JYT262302 KIP262302 KSL262302 LCH262302 LMD262302 LVZ262302 MFV262302 MPR262302 MZN262302 NJJ262302 NTF262302 ODB262302 OMX262302 OWT262302 PGP262302 PQL262302 QAH262302 QKD262302 QTZ262302 RDV262302 RNR262302 RXN262302 SHJ262302 SRF262302 TBB262302 TKX262302 TUT262302 UEP262302 UOL262302 UYH262302 VID262302 VRZ262302 WBV262302 WLR262302 WVN262302 F327838 JB327838 SX327838 ACT327838 AMP327838 AWL327838 BGH327838 BQD327838 BZZ327838 CJV327838 CTR327838 DDN327838 DNJ327838 DXF327838 EHB327838 EQX327838 FAT327838 FKP327838 FUL327838 GEH327838 GOD327838 GXZ327838 HHV327838 HRR327838 IBN327838 ILJ327838 IVF327838 JFB327838 JOX327838 JYT327838 KIP327838 KSL327838 LCH327838 LMD327838 LVZ327838 MFV327838 MPR327838 MZN327838 NJJ327838 NTF327838 ODB327838 OMX327838 OWT327838 PGP327838 PQL327838 QAH327838 QKD327838 QTZ327838 RDV327838 RNR327838 RXN327838 SHJ327838 SRF327838 TBB327838 TKX327838 TUT327838 UEP327838 UOL327838 UYH327838 VID327838 VRZ327838 WBV327838 WLR327838 WVN327838 F393374 JB393374 SX393374 ACT393374 AMP393374 AWL393374 BGH393374 BQD393374 BZZ393374 CJV393374 CTR393374 DDN393374 DNJ393374 DXF393374 EHB393374 EQX393374 FAT393374 FKP393374 FUL393374 GEH393374 GOD393374 GXZ393374 HHV393374 HRR393374 IBN393374 ILJ393374 IVF393374 JFB393374 JOX393374 JYT393374 KIP393374 KSL393374 LCH393374 LMD393374 LVZ393374 MFV393374 MPR393374 MZN393374 NJJ393374 NTF393374 ODB393374 OMX393374 OWT393374 PGP393374 PQL393374 QAH393374 QKD393374 QTZ393374 RDV393374 RNR393374 RXN393374 SHJ393374 SRF393374 TBB393374 TKX393374 TUT393374 UEP393374 UOL393374 UYH393374 VID393374 VRZ393374 WBV393374 WLR393374 WVN393374 F458910 JB458910 SX458910 ACT458910 AMP458910 AWL458910 BGH458910 BQD458910 BZZ458910 CJV458910 CTR458910 DDN458910 DNJ458910 DXF458910 EHB458910 EQX458910 FAT458910 FKP458910 FUL458910 GEH458910 GOD458910 GXZ458910 HHV458910 HRR458910 IBN458910 ILJ458910 IVF458910 JFB458910 JOX458910 JYT458910 KIP458910 KSL458910 LCH458910 LMD458910 LVZ458910 MFV458910 MPR458910 MZN458910 NJJ458910 NTF458910 ODB458910 OMX458910 OWT458910 PGP458910 PQL458910 QAH458910 QKD458910 QTZ458910 RDV458910 RNR458910 RXN458910 SHJ458910 SRF458910 TBB458910 TKX458910 TUT458910 UEP458910 UOL458910 UYH458910 VID458910 VRZ458910 WBV458910 WLR458910 WVN458910 F524446 JB524446 SX524446 ACT524446 AMP524446 AWL524446 BGH524446 BQD524446 BZZ524446 CJV524446 CTR524446 DDN524446 DNJ524446 DXF524446 EHB524446 EQX524446 FAT524446 FKP524446 FUL524446 GEH524446 GOD524446 GXZ524446 HHV524446 HRR524446 IBN524446 ILJ524446 IVF524446 JFB524446 JOX524446 JYT524446 KIP524446 KSL524446 LCH524446 LMD524446 LVZ524446 MFV524446 MPR524446 MZN524446 NJJ524446 NTF524446 ODB524446 OMX524446 OWT524446 PGP524446 PQL524446 QAH524446 QKD524446 QTZ524446 RDV524446 RNR524446 RXN524446 SHJ524446 SRF524446 TBB524446 TKX524446 TUT524446 UEP524446 UOL524446 UYH524446 VID524446 VRZ524446 WBV524446 WLR524446 WVN524446 F589982 JB589982 SX589982 ACT589982 AMP589982 AWL589982 BGH589982 BQD589982 BZZ589982 CJV589982 CTR589982 DDN589982 DNJ589982 DXF589982 EHB589982 EQX589982 FAT589982 FKP589982 FUL589982 GEH589982 GOD589982 GXZ589982 HHV589982 HRR589982 IBN589982 ILJ589982 IVF589982 JFB589982 JOX589982 JYT589982 KIP589982 KSL589982 LCH589982 LMD589982 LVZ589982 MFV589982 MPR589982 MZN589982 NJJ589982 NTF589982 ODB589982 OMX589982 OWT589982 PGP589982 PQL589982 QAH589982 QKD589982 QTZ589982 RDV589982 RNR589982 RXN589982 SHJ589982 SRF589982 TBB589982 TKX589982 TUT589982 UEP589982 UOL589982 UYH589982 VID589982 VRZ589982 WBV589982 WLR589982 WVN589982 F655518 JB655518 SX655518 ACT655518 AMP655518 AWL655518 BGH655518 BQD655518 BZZ655518 CJV655518 CTR655518 DDN655518 DNJ655518 DXF655518 EHB655518 EQX655518 FAT655518 FKP655518 FUL655518 GEH655518 GOD655518 GXZ655518 HHV655518 HRR655518 IBN655518 ILJ655518 IVF655518 JFB655518 JOX655518 JYT655518 KIP655518 KSL655518 LCH655518 LMD655518 LVZ655518 MFV655518 MPR655518 MZN655518 NJJ655518 NTF655518 ODB655518 OMX655518 OWT655518 PGP655518 PQL655518 QAH655518 QKD655518 QTZ655518 RDV655518 RNR655518 RXN655518 SHJ655518 SRF655518 TBB655518 TKX655518 TUT655518 UEP655518 UOL655518 UYH655518 VID655518 VRZ655518 WBV655518 WLR655518 WVN655518 F721054 JB721054 SX721054 ACT721054 AMP721054 AWL721054 BGH721054 BQD721054 BZZ721054 CJV721054 CTR721054 DDN721054 DNJ721054 DXF721054 EHB721054 EQX721054 FAT721054 FKP721054 FUL721054 GEH721054 GOD721054 GXZ721054 HHV721054 HRR721054 IBN721054 ILJ721054 IVF721054 JFB721054 JOX721054 JYT721054 KIP721054 KSL721054 LCH721054 LMD721054 LVZ721054 MFV721054 MPR721054 MZN721054 NJJ721054 NTF721054 ODB721054 OMX721054 OWT721054 PGP721054 PQL721054 QAH721054 QKD721054 QTZ721054 RDV721054 RNR721054 RXN721054 SHJ721054 SRF721054 TBB721054 TKX721054 TUT721054 UEP721054 UOL721054 UYH721054 VID721054 VRZ721054 WBV721054 WLR721054 WVN721054 F786590 JB786590 SX786590 ACT786590 AMP786590 AWL786590 BGH786590 BQD786590 BZZ786590 CJV786590 CTR786590 DDN786590 DNJ786590 DXF786590 EHB786590 EQX786590 FAT786590 FKP786590 FUL786590 GEH786590 GOD786590 GXZ786590 HHV786590 HRR786590 IBN786590 ILJ786590 IVF786590 JFB786590 JOX786590 JYT786590 KIP786590 KSL786590 LCH786590 LMD786590 LVZ786590 MFV786590 MPR786590 MZN786590 NJJ786590 NTF786590 ODB786590 OMX786590 OWT786590 PGP786590 PQL786590 QAH786590 QKD786590 QTZ786590 RDV786590 RNR786590 RXN786590 SHJ786590 SRF786590 TBB786590 TKX786590 TUT786590 UEP786590 UOL786590 UYH786590 VID786590 VRZ786590 WBV786590 WLR786590 WVN786590 F852126 JB852126 SX852126 ACT852126 AMP852126 AWL852126 BGH852126 BQD852126 BZZ852126 CJV852126 CTR852126 DDN852126 DNJ852126 DXF852126 EHB852126 EQX852126 FAT852126 FKP852126 FUL852126 GEH852126 GOD852126 GXZ852126 HHV852126 HRR852126 IBN852126 ILJ852126 IVF852126 JFB852126 JOX852126 JYT852126 KIP852126 KSL852126 LCH852126 LMD852126 LVZ852126 MFV852126 MPR852126 MZN852126 NJJ852126 NTF852126 ODB852126 OMX852126 OWT852126 PGP852126 PQL852126 QAH852126 QKD852126 QTZ852126 RDV852126 RNR852126 RXN852126 SHJ852126 SRF852126 TBB852126 TKX852126 TUT852126 UEP852126 UOL852126 UYH852126 VID852126 VRZ852126 WBV852126 WLR852126 WVN852126 F917662 JB917662 SX917662 ACT917662 AMP917662 AWL917662 BGH917662 BQD917662 BZZ917662 CJV917662 CTR917662 DDN917662 DNJ917662 DXF917662 EHB917662 EQX917662 FAT917662 FKP917662 FUL917662 GEH917662 GOD917662 GXZ917662 HHV917662 HRR917662 IBN917662 ILJ917662 IVF917662 JFB917662 JOX917662 JYT917662 KIP917662 KSL917662 LCH917662 LMD917662 LVZ917662 MFV917662 MPR917662 MZN917662 NJJ917662 NTF917662 ODB917662 OMX917662 OWT917662 PGP917662 PQL917662 QAH917662 QKD917662 QTZ917662 RDV917662 RNR917662 RXN917662 SHJ917662 SRF917662 TBB917662 TKX917662 TUT917662 UEP917662 UOL917662 UYH917662 VID917662 VRZ917662 WBV917662 WLR917662 WVN917662 F983198 JB983198 SX983198 ACT983198 AMP983198 AWL983198 BGH983198 BQD983198 BZZ983198 CJV983198 CTR983198 DDN983198 DNJ983198 DXF983198 EHB983198 EQX983198 FAT983198 FKP983198 FUL983198 GEH983198 GOD983198 GXZ983198 HHV983198 HRR983198 IBN983198 ILJ983198 IVF983198 JFB983198 JOX983198 JYT983198 KIP983198 KSL983198 LCH983198 LMD983198 LVZ983198 MFV983198 MPR983198 MZN983198 NJJ983198 NTF983198 ODB983198 OMX983198 OWT983198 PGP983198 PQL983198 QAH983198 QKD983198 QTZ983198 RDV983198 RNR983198 RXN983198 SHJ983198 SRF983198 TBB983198 TKX983198 TUT983198 UEP983198 UOL983198 UYH983198 VID983198 VRZ983198 WBV983198 WLR983198 WVN983198" xr:uid="{00000000-0002-0000-2700-000000000000}">
      <formula1>"20,50,100,150,200"</formula1>
    </dataValidation>
    <dataValidation type="list" operator="equal" allowBlank="1" showInputMessage="1" showErrorMessage="1" sqref="WVN983197 JB157 SX157 ACT157 AMP157 AWL157 BGH157 BQD157 BZZ157 CJV157 CTR157 DDN157 DNJ157 DXF157 EHB157 EQX157 FAT157 FKP157 FUL157 GEH157 GOD157 GXZ157 HHV157 HRR157 IBN157 ILJ157 IVF157 JFB157 JOX157 JYT157 KIP157 KSL157 LCH157 LMD157 LVZ157 MFV157 MPR157 MZN157 NJJ157 NTF157 ODB157 OMX157 OWT157 PGP157 PQL157 QAH157 QKD157 QTZ157 RDV157 RNR157 RXN157 SHJ157 SRF157 TBB157 TKX157 TUT157 UEP157 UOL157 UYH157 VID157 VRZ157 WBV157 WLR157 WVN157 F65693 JB65693 SX65693 ACT65693 AMP65693 AWL65693 BGH65693 BQD65693 BZZ65693 CJV65693 CTR65693 DDN65693 DNJ65693 DXF65693 EHB65693 EQX65693 FAT65693 FKP65693 FUL65693 GEH65693 GOD65693 GXZ65693 HHV65693 HRR65693 IBN65693 ILJ65693 IVF65693 JFB65693 JOX65693 JYT65693 KIP65693 KSL65693 LCH65693 LMD65693 LVZ65693 MFV65693 MPR65693 MZN65693 NJJ65693 NTF65693 ODB65693 OMX65693 OWT65693 PGP65693 PQL65693 QAH65693 QKD65693 QTZ65693 RDV65693 RNR65693 RXN65693 SHJ65693 SRF65693 TBB65693 TKX65693 TUT65693 UEP65693 UOL65693 UYH65693 VID65693 VRZ65693 WBV65693 WLR65693 WVN65693 F131229 JB131229 SX131229 ACT131229 AMP131229 AWL131229 BGH131229 BQD131229 BZZ131229 CJV131229 CTR131229 DDN131229 DNJ131229 DXF131229 EHB131229 EQX131229 FAT131229 FKP131229 FUL131229 GEH131229 GOD131229 GXZ131229 HHV131229 HRR131229 IBN131229 ILJ131229 IVF131229 JFB131229 JOX131229 JYT131229 KIP131229 KSL131229 LCH131229 LMD131229 LVZ131229 MFV131229 MPR131229 MZN131229 NJJ131229 NTF131229 ODB131229 OMX131229 OWT131229 PGP131229 PQL131229 QAH131229 QKD131229 QTZ131229 RDV131229 RNR131229 RXN131229 SHJ131229 SRF131229 TBB131229 TKX131229 TUT131229 UEP131229 UOL131229 UYH131229 VID131229 VRZ131229 WBV131229 WLR131229 WVN131229 F196765 JB196765 SX196765 ACT196765 AMP196765 AWL196765 BGH196765 BQD196765 BZZ196765 CJV196765 CTR196765 DDN196765 DNJ196765 DXF196765 EHB196765 EQX196765 FAT196765 FKP196765 FUL196765 GEH196765 GOD196765 GXZ196765 HHV196765 HRR196765 IBN196765 ILJ196765 IVF196765 JFB196765 JOX196765 JYT196765 KIP196765 KSL196765 LCH196765 LMD196765 LVZ196765 MFV196765 MPR196765 MZN196765 NJJ196765 NTF196765 ODB196765 OMX196765 OWT196765 PGP196765 PQL196765 QAH196765 QKD196765 QTZ196765 RDV196765 RNR196765 RXN196765 SHJ196765 SRF196765 TBB196765 TKX196765 TUT196765 UEP196765 UOL196765 UYH196765 VID196765 VRZ196765 WBV196765 WLR196765 WVN196765 F262301 JB262301 SX262301 ACT262301 AMP262301 AWL262301 BGH262301 BQD262301 BZZ262301 CJV262301 CTR262301 DDN262301 DNJ262301 DXF262301 EHB262301 EQX262301 FAT262301 FKP262301 FUL262301 GEH262301 GOD262301 GXZ262301 HHV262301 HRR262301 IBN262301 ILJ262301 IVF262301 JFB262301 JOX262301 JYT262301 KIP262301 KSL262301 LCH262301 LMD262301 LVZ262301 MFV262301 MPR262301 MZN262301 NJJ262301 NTF262301 ODB262301 OMX262301 OWT262301 PGP262301 PQL262301 QAH262301 QKD262301 QTZ262301 RDV262301 RNR262301 RXN262301 SHJ262301 SRF262301 TBB262301 TKX262301 TUT262301 UEP262301 UOL262301 UYH262301 VID262301 VRZ262301 WBV262301 WLR262301 WVN262301 F327837 JB327837 SX327837 ACT327837 AMP327837 AWL327837 BGH327837 BQD327837 BZZ327837 CJV327837 CTR327837 DDN327837 DNJ327837 DXF327837 EHB327837 EQX327837 FAT327837 FKP327837 FUL327837 GEH327837 GOD327837 GXZ327837 HHV327837 HRR327837 IBN327837 ILJ327837 IVF327837 JFB327837 JOX327837 JYT327837 KIP327837 KSL327837 LCH327837 LMD327837 LVZ327837 MFV327837 MPR327837 MZN327837 NJJ327837 NTF327837 ODB327837 OMX327837 OWT327837 PGP327837 PQL327837 QAH327837 QKD327837 QTZ327837 RDV327837 RNR327837 RXN327837 SHJ327837 SRF327837 TBB327837 TKX327837 TUT327837 UEP327837 UOL327837 UYH327837 VID327837 VRZ327837 WBV327837 WLR327837 WVN327837 F393373 JB393373 SX393373 ACT393373 AMP393373 AWL393373 BGH393373 BQD393373 BZZ393373 CJV393373 CTR393373 DDN393373 DNJ393373 DXF393373 EHB393373 EQX393373 FAT393373 FKP393373 FUL393373 GEH393373 GOD393373 GXZ393373 HHV393373 HRR393373 IBN393373 ILJ393373 IVF393373 JFB393373 JOX393373 JYT393373 KIP393373 KSL393373 LCH393373 LMD393373 LVZ393373 MFV393373 MPR393373 MZN393373 NJJ393373 NTF393373 ODB393373 OMX393373 OWT393373 PGP393373 PQL393373 QAH393373 QKD393373 QTZ393373 RDV393373 RNR393373 RXN393373 SHJ393373 SRF393373 TBB393373 TKX393373 TUT393373 UEP393373 UOL393373 UYH393373 VID393373 VRZ393373 WBV393373 WLR393373 WVN393373 F458909 JB458909 SX458909 ACT458909 AMP458909 AWL458909 BGH458909 BQD458909 BZZ458909 CJV458909 CTR458909 DDN458909 DNJ458909 DXF458909 EHB458909 EQX458909 FAT458909 FKP458909 FUL458909 GEH458909 GOD458909 GXZ458909 HHV458909 HRR458909 IBN458909 ILJ458909 IVF458909 JFB458909 JOX458909 JYT458909 KIP458909 KSL458909 LCH458909 LMD458909 LVZ458909 MFV458909 MPR458909 MZN458909 NJJ458909 NTF458909 ODB458909 OMX458909 OWT458909 PGP458909 PQL458909 QAH458909 QKD458909 QTZ458909 RDV458909 RNR458909 RXN458909 SHJ458909 SRF458909 TBB458909 TKX458909 TUT458909 UEP458909 UOL458909 UYH458909 VID458909 VRZ458909 WBV458909 WLR458909 WVN458909 F524445 JB524445 SX524445 ACT524445 AMP524445 AWL524445 BGH524445 BQD524445 BZZ524445 CJV524445 CTR524445 DDN524445 DNJ524445 DXF524445 EHB524445 EQX524445 FAT524445 FKP524445 FUL524445 GEH524445 GOD524445 GXZ524445 HHV524445 HRR524445 IBN524445 ILJ524445 IVF524445 JFB524445 JOX524445 JYT524445 KIP524445 KSL524445 LCH524445 LMD524445 LVZ524445 MFV524445 MPR524445 MZN524445 NJJ524445 NTF524445 ODB524445 OMX524445 OWT524445 PGP524445 PQL524445 QAH524445 QKD524445 QTZ524445 RDV524445 RNR524445 RXN524445 SHJ524445 SRF524445 TBB524445 TKX524445 TUT524445 UEP524445 UOL524445 UYH524445 VID524445 VRZ524445 WBV524445 WLR524445 WVN524445 F589981 JB589981 SX589981 ACT589981 AMP589981 AWL589981 BGH589981 BQD589981 BZZ589981 CJV589981 CTR589981 DDN589981 DNJ589981 DXF589981 EHB589981 EQX589981 FAT589981 FKP589981 FUL589981 GEH589981 GOD589981 GXZ589981 HHV589981 HRR589981 IBN589981 ILJ589981 IVF589981 JFB589981 JOX589981 JYT589981 KIP589981 KSL589981 LCH589981 LMD589981 LVZ589981 MFV589981 MPR589981 MZN589981 NJJ589981 NTF589981 ODB589981 OMX589981 OWT589981 PGP589981 PQL589981 QAH589981 QKD589981 QTZ589981 RDV589981 RNR589981 RXN589981 SHJ589981 SRF589981 TBB589981 TKX589981 TUT589981 UEP589981 UOL589981 UYH589981 VID589981 VRZ589981 WBV589981 WLR589981 WVN589981 F655517 JB655517 SX655517 ACT655517 AMP655517 AWL655517 BGH655517 BQD655517 BZZ655517 CJV655517 CTR655517 DDN655517 DNJ655517 DXF655517 EHB655517 EQX655517 FAT655517 FKP655517 FUL655517 GEH655517 GOD655517 GXZ655517 HHV655517 HRR655517 IBN655517 ILJ655517 IVF655517 JFB655517 JOX655517 JYT655517 KIP655517 KSL655517 LCH655517 LMD655517 LVZ655517 MFV655517 MPR655517 MZN655517 NJJ655517 NTF655517 ODB655517 OMX655517 OWT655517 PGP655517 PQL655517 QAH655517 QKD655517 QTZ655517 RDV655517 RNR655517 RXN655517 SHJ655517 SRF655517 TBB655517 TKX655517 TUT655517 UEP655517 UOL655517 UYH655517 VID655517 VRZ655517 WBV655517 WLR655517 WVN655517 F721053 JB721053 SX721053 ACT721053 AMP721053 AWL721053 BGH721053 BQD721053 BZZ721053 CJV721053 CTR721053 DDN721053 DNJ721053 DXF721053 EHB721053 EQX721053 FAT721053 FKP721053 FUL721053 GEH721053 GOD721053 GXZ721053 HHV721053 HRR721053 IBN721053 ILJ721053 IVF721053 JFB721053 JOX721053 JYT721053 KIP721053 KSL721053 LCH721053 LMD721053 LVZ721053 MFV721053 MPR721053 MZN721053 NJJ721053 NTF721053 ODB721053 OMX721053 OWT721053 PGP721053 PQL721053 QAH721053 QKD721053 QTZ721053 RDV721053 RNR721053 RXN721053 SHJ721053 SRF721053 TBB721053 TKX721053 TUT721053 UEP721053 UOL721053 UYH721053 VID721053 VRZ721053 WBV721053 WLR721053 WVN721053 F786589 JB786589 SX786589 ACT786589 AMP786589 AWL786589 BGH786589 BQD786589 BZZ786589 CJV786589 CTR786589 DDN786589 DNJ786589 DXF786589 EHB786589 EQX786589 FAT786589 FKP786589 FUL786589 GEH786589 GOD786589 GXZ786589 HHV786589 HRR786589 IBN786589 ILJ786589 IVF786589 JFB786589 JOX786589 JYT786589 KIP786589 KSL786589 LCH786589 LMD786589 LVZ786589 MFV786589 MPR786589 MZN786589 NJJ786589 NTF786589 ODB786589 OMX786589 OWT786589 PGP786589 PQL786589 QAH786589 QKD786589 QTZ786589 RDV786589 RNR786589 RXN786589 SHJ786589 SRF786589 TBB786589 TKX786589 TUT786589 UEP786589 UOL786589 UYH786589 VID786589 VRZ786589 WBV786589 WLR786589 WVN786589 F852125 JB852125 SX852125 ACT852125 AMP852125 AWL852125 BGH852125 BQD852125 BZZ852125 CJV852125 CTR852125 DDN852125 DNJ852125 DXF852125 EHB852125 EQX852125 FAT852125 FKP852125 FUL852125 GEH852125 GOD852125 GXZ852125 HHV852125 HRR852125 IBN852125 ILJ852125 IVF852125 JFB852125 JOX852125 JYT852125 KIP852125 KSL852125 LCH852125 LMD852125 LVZ852125 MFV852125 MPR852125 MZN852125 NJJ852125 NTF852125 ODB852125 OMX852125 OWT852125 PGP852125 PQL852125 QAH852125 QKD852125 QTZ852125 RDV852125 RNR852125 RXN852125 SHJ852125 SRF852125 TBB852125 TKX852125 TUT852125 UEP852125 UOL852125 UYH852125 VID852125 VRZ852125 WBV852125 WLR852125 WVN852125 F917661 JB917661 SX917661 ACT917661 AMP917661 AWL917661 BGH917661 BQD917661 BZZ917661 CJV917661 CTR917661 DDN917661 DNJ917661 DXF917661 EHB917661 EQX917661 FAT917661 FKP917661 FUL917661 GEH917661 GOD917661 GXZ917661 HHV917661 HRR917661 IBN917661 ILJ917661 IVF917661 JFB917661 JOX917661 JYT917661 KIP917661 KSL917661 LCH917661 LMD917661 LVZ917661 MFV917661 MPR917661 MZN917661 NJJ917661 NTF917661 ODB917661 OMX917661 OWT917661 PGP917661 PQL917661 QAH917661 QKD917661 QTZ917661 RDV917661 RNR917661 RXN917661 SHJ917661 SRF917661 TBB917661 TKX917661 TUT917661 UEP917661 UOL917661 UYH917661 VID917661 VRZ917661 WBV917661 WLR917661 WVN917661 F983197 JB983197 SX983197 ACT983197 AMP983197 AWL983197 BGH983197 BQD983197 BZZ983197 CJV983197 CTR983197 DDN983197 DNJ983197 DXF983197 EHB983197 EQX983197 FAT983197 FKP983197 FUL983197 GEH983197 GOD983197 GXZ983197 HHV983197 HRR983197 IBN983197 ILJ983197 IVF983197 JFB983197 JOX983197 JYT983197 KIP983197 KSL983197 LCH983197 LMD983197 LVZ983197 MFV983197 MPR983197 MZN983197 NJJ983197 NTF983197 ODB983197 OMX983197 OWT983197 PGP983197 PQL983197 QAH983197 QKD983197 QTZ983197 RDV983197 RNR983197 RXN983197 SHJ983197 SRF983197 TBB983197 TKX983197 TUT983197 UEP983197 UOL983197 UYH983197 VID983197 VRZ983197 WBV983197 WLR983197" xr:uid="{00000000-0002-0000-2700-000001000000}">
      <formula1>"300,500,1000"</formula1>
    </dataValidation>
    <dataValidation type="list" allowBlank="1" showDropDown="1" showInputMessage="1" showErrorMessage="1" sqref="WLR983081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WVN98308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ODB983081 OMX983081 OWT983081 PGP983081 PQL983081 QAH983081 QKD983081 QTZ983081 RDV983081 RNR983081 RXN983081 SHJ983081 SRF983081 TBB983081 TKX983081 TUT983081 UEP983081 UOL983081 UYH983081 VID983081 VRZ983081 WBV983081" xr:uid="{00000000-0002-0000-2700-000002000000}">
      <formula1>"現行政策シナリオ, 新政策シナリオ"</formula1>
    </dataValidation>
    <dataValidation type="whole" allowBlank="1" showInputMessage="1" showErrorMessage="1" sqref="F7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F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F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F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F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F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F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F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F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F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F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F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F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F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F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F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xr:uid="{00000000-0002-0000-2700-000003000000}">
      <formula1>2010</formula1>
      <formula2>2030</formula2>
    </dataValidation>
    <dataValidation type="list" allowBlank="1" showDropDown="1" showInputMessage="1" showErrorMessage="1" sqref="F43 JB43 SX43 ACT43 AMP43 AWL43 BGH43 BQD43 BZZ43 CJV43 CTR43 DDN43 DNJ43 DXF43 EHB43 EQX43 FAT43 FKP43 FUL43 GEH43 GOD43 GXZ43 HHV43 HRR43 IBN43 ILJ43 IVF43 JFB43 JOX43 JYT43 KIP43 KSL43 LCH43 LMD43 LVZ43 MFV43 MPR43 MZN43 NJJ43 NTF43 ODB43 OMX43 OWT43 PGP43 PQL43 QAH43 QKD43 QTZ43 RDV43 RNR43 RXN43 SHJ43 SRF43 TBB43 TKX43 TUT43 UEP43 UOL43 UYH43 VID43 VRZ43 WBV43 WLR43 WVN43 F65579 JB65579 SX65579 ACT65579 AMP65579 AWL65579 BGH65579 BQD65579 BZZ65579 CJV65579 CTR65579 DDN65579 DNJ65579 DXF65579 EHB65579 EQX65579 FAT65579 FKP65579 FUL65579 GEH65579 GOD65579 GXZ65579 HHV65579 HRR65579 IBN65579 ILJ65579 IVF65579 JFB65579 JOX65579 JYT65579 KIP65579 KSL65579 LCH65579 LMD65579 LVZ65579 MFV65579 MPR65579 MZN65579 NJJ65579 NTF65579 ODB65579 OMX65579 OWT65579 PGP65579 PQL65579 QAH65579 QKD65579 QTZ65579 RDV65579 RNR65579 RXN65579 SHJ65579 SRF65579 TBB65579 TKX65579 TUT65579 UEP65579 UOL65579 UYH65579 VID65579 VRZ65579 WBV65579 WLR65579 WVN65579 F131115 JB131115 SX131115 ACT131115 AMP131115 AWL131115 BGH131115 BQD131115 BZZ131115 CJV131115 CTR131115 DDN131115 DNJ131115 DXF131115 EHB131115 EQX131115 FAT131115 FKP131115 FUL131115 GEH131115 GOD131115 GXZ131115 HHV131115 HRR131115 IBN131115 ILJ131115 IVF131115 JFB131115 JOX131115 JYT131115 KIP131115 KSL131115 LCH131115 LMD131115 LVZ131115 MFV131115 MPR131115 MZN131115 NJJ131115 NTF131115 ODB131115 OMX131115 OWT131115 PGP131115 PQL131115 QAH131115 QKD131115 QTZ131115 RDV131115 RNR131115 RXN131115 SHJ131115 SRF131115 TBB131115 TKX131115 TUT131115 UEP131115 UOL131115 UYH131115 VID131115 VRZ131115 WBV131115 WLR131115 WVN131115 F196651 JB196651 SX196651 ACT196651 AMP196651 AWL196651 BGH196651 BQD196651 BZZ196651 CJV196651 CTR196651 DDN196651 DNJ196651 DXF196651 EHB196651 EQX196651 FAT196651 FKP196651 FUL196651 GEH196651 GOD196651 GXZ196651 HHV196651 HRR196651 IBN196651 ILJ196651 IVF196651 JFB196651 JOX196651 JYT196651 KIP196651 KSL196651 LCH196651 LMD196651 LVZ196651 MFV196651 MPR196651 MZN196651 NJJ196651 NTF196651 ODB196651 OMX196651 OWT196651 PGP196651 PQL196651 QAH196651 QKD196651 QTZ196651 RDV196651 RNR196651 RXN196651 SHJ196651 SRF196651 TBB196651 TKX196651 TUT196651 UEP196651 UOL196651 UYH196651 VID196651 VRZ196651 WBV196651 WLR196651 WVN196651 F262187 JB262187 SX262187 ACT262187 AMP262187 AWL262187 BGH262187 BQD262187 BZZ262187 CJV262187 CTR262187 DDN262187 DNJ262187 DXF262187 EHB262187 EQX262187 FAT262187 FKP262187 FUL262187 GEH262187 GOD262187 GXZ262187 HHV262187 HRR262187 IBN262187 ILJ262187 IVF262187 JFB262187 JOX262187 JYT262187 KIP262187 KSL262187 LCH262187 LMD262187 LVZ262187 MFV262187 MPR262187 MZN262187 NJJ262187 NTF262187 ODB262187 OMX262187 OWT262187 PGP262187 PQL262187 QAH262187 QKD262187 QTZ262187 RDV262187 RNR262187 RXN262187 SHJ262187 SRF262187 TBB262187 TKX262187 TUT262187 UEP262187 UOL262187 UYH262187 VID262187 VRZ262187 WBV262187 WLR262187 WVN262187 F327723 JB327723 SX327723 ACT327723 AMP327723 AWL327723 BGH327723 BQD327723 BZZ327723 CJV327723 CTR327723 DDN327723 DNJ327723 DXF327723 EHB327723 EQX327723 FAT327723 FKP327723 FUL327723 GEH327723 GOD327723 GXZ327723 HHV327723 HRR327723 IBN327723 ILJ327723 IVF327723 JFB327723 JOX327723 JYT327723 KIP327723 KSL327723 LCH327723 LMD327723 LVZ327723 MFV327723 MPR327723 MZN327723 NJJ327723 NTF327723 ODB327723 OMX327723 OWT327723 PGP327723 PQL327723 QAH327723 QKD327723 QTZ327723 RDV327723 RNR327723 RXN327723 SHJ327723 SRF327723 TBB327723 TKX327723 TUT327723 UEP327723 UOL327723 UYH327723 VID327723 VRZ327723 WBV327723 WLR327723 WVN327723 F393259 JB393259 SX393259 ACT393259 AMP393259 AWL393259 BGH393259 BQD393259 BZZ393259 CJV393259 CTR393259 DDN393259 DNJ393259 DXF393259 EHB393259 EQX393259 FAT393259 FKP393259 FUL393259 GEH393259 GOD393259 GXZ393259 HHV393259 HRR393259 IBN393259 ILJ393259 IVF393259 JFB393259 JOX393259 JYT393259 KIP393259 KSL393259 LCH393259 LMD393259 LVZ393259 MFV393259 MPR393259 MZN393259 NJJ393259 NTF393259 ODB393259 OMX393259 OWT393259 PGP393259 PQL393259 QAH393259 QKD393259 QTZ393259 RDV393259 RNR393259 RXN393259 SHJ393259 SRF393259 TBB393259 TKX393259 TUT393259 UEP393259 UOL393259 UYH393259 VID393259 VRZ393259 WBV393259 WLR393259 WVN393259 F458795 JB458795 SX458795 ACT458795 AMP458795 AWL458795 BGH458795 BQD458795 BZZ458795 CJV458795 CTR458795 DDN458795 DNJ458795 DXF458795 EHB458795 EQX458795 FAT458795 FKP458795 FUL458795 GEH458795 GOD458795 GXZ458795 HHV458795 HRR458795 IBN458795 ILJ458795 IVF458795 JFB458795 JOX458795 JYT458795 KIP458795 KSL458795 LCH458795 LMD458795 LVZ458795 MFV458795 MPR458795 MZN458795 NJJ458795 NTF458795 ODB458795 OMX458795 OWT458795 PGP458795 PQL458795 QAH458795 QKD458795 QTZ458795 RDV458795 RNR458795 RXN458795 SHJ458795 SRF458795 TBB458795 TKX458795 TUT458795 UEP458795 UOL458795 UYH458795 VID458795 VRZ458795 WBV458795 WLR458795 WVN458795 F524331 JB524331 SX524331 ACT524331 AMP524331 AWL524331 BGH524331 BQD524331 BZZ524331 CJV524331 CTR524331 DDN524331 DNJ524331 DXF524331 EHB524331 EQX524331 FAT524331 FKP524331 FUL524331 GEH524331 GOD524331 GXZ524331 HHV524331 HRR524331 IBN524331 ILJ524331 IVF524331 JFB524331 JOX524331 JYT524331 KIP524331 KSL524331 LCH524331 LMD524331 LVZ524331 MFV524331 MPR524331 MZN524331 NJJ524331 NTF524331 ODB524331 OMX524331 OWT524331 PGP524331 PQL524331 QAH524331 QKD524331 QTZ524331 RDV524331 RNR524331 RXN524331 SHJ524331 SRF524331 TBB524331 TKX524331 TUT524331 UEP524331 UOL524331 UYH524331 VID524331 VRZ524331 WBV524331 WLR524331 WVN524331 F589867 JB589867 SX589867 ACT589867 AMP589867 AWL589867 BGH589867 BQD589867 BZZ589867 CJV589867 CTR589867 DDN589867 DNJ589867 DXF589867 EHB589867 EQX589867 FAT589867 FKP589867 FUL589867 GEH589867 GOD589867 GXZ589867 HHV589867 HRR589867 IBN589867 ILJ589867 IVF589867 JFB589867 JOX589867 JYT589867 KIP589867 KSL589867 LCH589867 LMD589867 LVZ589867 MFV589867 MPR589867 MZN589867 NJJ589867 NTF589867 ODB589867 OMX589867 OWT589867 PGP589867 PQL589867 QAH589867 QKD589867 QTZ589867 RDV589867 RNR589867 RXN589867 SHJ589867 SRF589867 TBB589867 TKX589867 TUT589867 UEP589867 UOL589867 UYH589867 VID589867 VRZ589867 WBV589867 WLR589867 WVN589867 F655403 JB655403 SX655403 ACT655403 AMP655403 AWL655403 BGH655403 BQD655403 BZZ655403 CJV655403 CTR655403 DDN655403 DNJ655403 DXF655403 EHB655403 EQX655403 FAT655403 FKP655403 FUL655403 GEH655403 GOD655403 GXZ655403 HHV655403 HRR655403 IBN655403 ILJ655403 IVF655403 JFB655403 JOX655403 JYT655403 KIP655403 KSL655403 LCH655403 LMD655403 LVZ655403 MFV655403 MPR655403 MZN655403 NJJ655403 NTF655403 ODB655403 OMX655403 OWT655403 PGP655403 PQL655403 QAH655403 QKD655403 QTZ655403 RDV655403 RNR655403 RXN655403 SHJ655403 SRF655403 TBB655403 TKX655403 TUT655403 UEP655403 UOL655403 UYH655403 VID655403 VRZ655403 WBV655403 WLR655403 WVN655403 F720939 JB720939 SX720939 ACT720939 AMP720939 AWL720939 BGH720939 BQD720939 BZZ720939 CJV720939 CTR720939 DDN720939 DNJ720939 DXF720939 EHB720939 EQX720939 FAT720939 FKP720939 FUL720939 GEH720939 GOD720939 GXZ720939 HHV720939 HRR720939 IBN720939 ILJ720939 IVF720939 JFB720939 JOX720939 JYT720939 KIP720939 KSL720939 LCH720939 LMD720939 LVZ720939 MFV720939 MPR720939 MZN720939 NJJ720939 NTF720939 ODB720939 OMX720939 OWT720939 PGP720939 PQL720939 QAH720939 QKD720939 QTZ720939 RDV720939 RNR720939 RXN720939 SHJ720939 SRF720939 TBB720939 TKX720939 TUT720939 UEP720939 UOL720939 UYH720939 VID720939 VRZ720939 WBV720939 WLR720939 WVN720939 F786475 JB786475 SX786475 ACT786475 AMP786475 AWL786475 BGH786475 BQD786475 BZZ786475 CJV786475 CTR786475 DDN786475 DNJ786475 DXF786475 EHB786475 EQX786475 FAT786475 FKP786475 FUL786475 GEH786475 GOD786475 GXZ786475 HHV786475 HRR786475 IBN786475 ILJ786475 IVF786475 JFB786475 JOX786475 JYT786475 KIP786475 KSL786475 LCH786475 LMD786475 LVZ786475 MFV786475 MPR786475 MZN786475 NJJ786475 NTF786475 ODB786475 OMX786475 OWT786475 PGP786475 PQL786475 QAH786475 QKD786475 QTZ786475 RDV786475 RNR786475 RXN786475 SHJ786475 SRF786475 TBB786475 TKX786475 TUT786475 UEP786475 UOL786475 UYH786475 VID786475 VRZ786475 WBV786475 WLR786475 WVN786475 F852011 JB852011 SX852011 ACT852011 AMP852011 AWL852011 BGH852011 BQD852011 BZZ852011 CJV852011 CTR852011 DDN852011 DNJ852011 DXF852011 EHB852011 EQX852011 FAT852011 FKP852011 FUL852011 GEH852011 GOD852011 GXZ852011 HHV852011 HRR852011 IBN852011 ILJ852011 IVF852011 JFB852011 JOX852011 JYT852011 KIP852011 KSL852011 LCH852011 LMD852011 LVZ852011 MFV852011 MPR852011 MZN852011 NJJ852011 NTF852011 ODB852011 OMX852011 OWT852011 PGP852011 PQL852011 QAH852011 QKD852011 QTZ852011 RDV852011 RNR852011 RXN852011 SHJ852011 SRF852011 TBB852011 TKX852011 TUT852011 UEP852011 UOL852011 UYH852011 VID852011 VRZ852011 WBV852011 WLR852011 WVN852011 F917547 JB917547 SX917547 ACT917547 AMP917547 AWL917547 BGH917547 BQD917547 BZZ917547 CJV917547 CTR917547 DDN917547 DNJ917547 DXF917547 EHB917547 EQX917547 FAT917547 FKP917547 FUL917547 GEH917547 GOD917547 GXZ917547 HHV917547 HRR917547 IBN917547 ILJ917547 IVF917547 JFB917547 JOX917547 JYT917547 KIP917547 KSL917547 LCH917547 LMD917547 LVZ917547 MFV917547 MPR917547 MZN917547 NJJ917547 NTF917547 ODB917547 OMX917547 OWT917547 PGP917547 PQL917547 QAH917547 QKD917547 QTZ917547 RDV917547 RNR917547 RXN917547 SHJ917547 SRF917547 TBB917547 TKX917547 TUT917547 UEP917547 UOL917547 UYH917547 VID917547 VRZ917547 WBV917547 WLR917547 WVN917547 F983083 JB983083 SX983083 ACT983083 AMP983083 AWL983083 BGH983083 BQD983083 BZZ983083 CJV983083 CTR983083 DDN983083 DNJ983083 DXF983083 EHB983083 EQX983083 FAT983083 FKP983083 FUL983083 GEH983083 GOD983083 GXZ983083 HHV983083 HRR983083 IBN983083 ILJ983083 IVF983083 JFB983083 JOX983083 JYT983083 KIP983083 KSL983083 LCH983083 LMD983083 LVZ983083 MFV983083 MPR983083 MZN983083 NJJ983083 NTF983083 ODB983083 OMX983083 OWT983083 PGP983083 PQL983083 QAH983083 QKD983083 QTZ983083 RDV983083 RNR983083 RXN983083 SHJ983083 SRF983083 TBB983083 TKX983083 TUT983083 UEP983083 UOL983083 UYH983083 VID983083 VRZ983083 WBV983083 WLR983083 WVN983083" xr:uid="{00000000-0002-0000-2700-000004000000}">
      <formula1>"CIF価格, 需要地価格"</formula1>
    </dataValidation>
    <dataValidation type="list" allowBlank="1" showDropDown="1" showInputMessage="1" showErrorMessage="1" sqref="F3:G3 JB3:JC3 SX3:SY3 ACT3:ACU3 AMP3:AMQ3 AWL3:AWM3 BGH3:BGI3 BQD3:BQE3 BZZ3:CAA3 CJV3:CJW3 CTR3:CTS3 DDN3:DDO3 DNJ3:DNK3 DXF3:DXG3 EHB3:EHC3 EQX3:EQY3 FAT3:FAU3 FKP3:FKQ3 FUL3:FUM3 GEH3:GEI3 GOD3:GOE3 GXZ3:GYA3 HHV3:HHW3 HRR3:HRS3 IBN3:IBO3 ILJ3:ILK3 IVF3:IVG3 JFB3:JFC3 JOX3:JOY3 JYT3:JYU3 KIP3:KIQ3 KSL3:KSM3 LCH3:LCI3 LMD3:LME3 LVZ3:LWA3 MFV3:MFW3 MPR3:MPS3 MZN3:MZO3 NJJ3:NJK3 NTF3:NTG3 ODB3:ODC3 OMX3:OMY3 OWT3:OWU3 PGP3:PGQ3 PQL3:PQM3 QAH3:QAI3 QKD3:QKE3 QTZ3:QUA3 RDV3:RDW3 RNR3:RNS3 RXN3:RXO3 SHJ3:SHK3 SRF3:SRG3 TBB3:TBC3 TKX3:TKY3 TUT3:TUU3 UEP3:UEQ3 UOL3:UOM3 UYH3:UYI3 VID3:VIE3 VRZ3:VSA3 WBV3:WBW3 WLR3:WLS3 WVN3:WVO3 F65539:G65539 JB65539:JC65539 SX65539:SY65539 ACT65539:ACU65539 AMP65539:AMQ65539 AWL65539:AWM65539 BGH65539:BGI65539 BQD65539:BQE65539 BZZ65539:CAA65539 CJV65539:CJW65539 CTR65539:CTS65539 DDN65539:DDO65539 DNJ65539:DNK65539 DXF65539:DXG65539 EHB65539:EHC65539 EQX65539:EQY65539 FAT65539:FAU65539 FKP65539:FKQ65539 FUL65539:FUM65539 GEH65539:GEI65539 GOD65539:GOE65539 GXZ65539:GYA65539 HHV65539:HHW65539 HRR65539:HRS65539 IBN65539:IBO65539 ILJ65539:ILK65539 IVF65539:IVG65539 JFB65539:JFC65539 JOX65539:JOY65539 JYT65539:JYU65539 KIP65539:KIQ65539 KSL65539:KSM65539 LCH65539:LCI65539 LMD65539:LME65539 LVZ65539:LWA65539 MFV65539:MFW65539 MPR65539:MPS65539 MZN65539:MZO65539 NJJ65539:NJK65539 NTF65539:NTG65539 ODB65539:ODC65539 OMX65539:OMY65539 OWT65539:OWU65539 PGP65539:PGQ65539 PQL65539:PQM65539 QAH65539:QAI65539 QKD65539:QKE65539 QTZ65539:QUA65539 RDV65539:RDW65539 RNR65539:RNS65539 RXN65539:RXO65539 SHJ65539:SHK65539 SRF65539:SRG65539 TBB65539:TBC65539 TKX65539:TKY65539 TUT65539:TUU65539 UEP65539:UEQ65539 UOL65539:UOM65539 UYH65539:UYI65539 VID65539:VIE65539 VRZ65539:VSA65539 WBV65539:WBW65539 WLR65539:WLS65539 WVN65539:WVO65539 F131075:G131075 JB131075:JC131075 SX131075:SY131075 ACT131075:ACU131075 AMP131075:AMQ131075 AWL131075:AWM131075 BGH131075:BGI131075 BQD131075:BQE131075 BZZ131075:CAA131075 CJV131075:CJW131075 CTR131075:CTS131075 DDN131075:DDO131075 DNJ131075:DNK131075 DXF131075:DXG131075 EHB131075:EHC131075 EQX131075:EQY131075 FAT131075:FAU131075 FKP131075:FKQ131075 FUL131075:FUM131075 GEH131075:GEI131075 GOD131075:GOE131075 GXZ131075:GYA131075 HHV131075:HHW131075 HRR131075:HRS131075 IBN131075:IBO131075 ILJ131075:ILK131075 IVF131075:IVG131075 JFB131075:JFC131075 JOX131075:JOY131075 JYT131075:JYU131075 KIP131075:KIQ131075 KSL131075:KSM131075 LCH131075:LCI131075 LMD131075:LME131075 LVZ131075:LWA131075 MFV131075:MFW131075 MPR131075:MPS131075 MZN131075:MZO131075 NJJ131075:NJK131075 NTF131075:NTG131075 ODB131075:ODC131075 OMX131075:OMY131075 OWT131075:OWU131075 PGP131075:PGQ131075 PQL131075:PQM131075 QAH131075:QAI131075 QKD131075:QKE131075 QTZ131075:QUA131075 RDV131075:RDW131075 RNR131075:RNS131075 RXN131075:RXO131075 SHJ131075:SHK131075 SRF131075:SRG131075 TBB131075:TBC131075 TKX131075:TKY131075 TUT131075:TUU131075 UEP131075:UEQ131075 UOL131075:UOM131075 UYH131075:UYI131075 VID131075:VIE131075 VRZ131075:VSA131075 WBV131075:WBW131075 WLR131075:WLS131075 WVN131075:WVO131075 F196611:G196611 JB196611:JC196611 SX196611:SY196611 ACT196611:ACU196611 AMP196611:AMQ196611 AWL196611:AWM196611 BGH196611:BGI196611 BQD196611:BQE196611 BZZ196611:CAA196611 CJV196611:CJW196611 CTR196611:CTS196611 DDN196611:DDO196611 DNJ196611:DNK196611 DXF196611:DXG196611 EHB196611:EHC196611 EQX196611:EQY196611 FAT196611:FAU196611 FKP196611:FKQ196611 FUL196611:FUM196611 GEH196611:GEI196611 GOD196611:GOE196611 GXZ196611:GYA196611 HHV196611:HHW196611 HRR196611:HRS196611 IBN196611:IBO196611 ILJ196611:ILK196611 IVF196611:IVG196611 JFB196611:JFC196611 JOX196611:JOY196611 JYT196611:JYU196611 KIP196611:KIQ196611 KSL196611:KSM196611 LCH196611:LCI196611 LMD196611:LME196611 LVZ196611:LWA196611 MFV196611:MFW196611 MPR196611:MPS196611 MZN196611:MZO196611 NJJ196611:NJK196611 NTF196611:NTG196611 ODB196611:ODC196611 OMX196611:OMY196611 OWT196611:OWU196611 PGP196611:PGQ196611 PQL196611:PQM196611 QAH196611:QAI196611 QKD196611:QKE196611 QTZ196611:QUA196611 RDV196611:RDW196611 RNR196611:RNS196611 RXN196611:RXO196611 SHJ196611:SHK196611 SRF196611:SRG196611 TBB196611:TBC196611 TKX196611:TKY196611 TUT196611:TUU196611 UEP196611:UEQ196611 UOL196611:UOM196611 UYH196611:UYI196611 VID196611:VIE196611 VRZ196611:VSA196611 WBV196611:WBW196611 WLR196611:WLS196611 WVN196611:WVO196611 F262147:G262147 JB262147:JC262147 SX262147:SY262147 ACT262147:ACU262147 AMP262147:AMQ262147 AWL262147:AWM262147 BGH262147:BGI262147 BQD262147:BQE262147 BZZ262147:CAA262147 CJV262147:CJW262147 CTR262147:CTS262147 DDN262147:DDO262147 DNJ262147:DNK262147 DXF262147:DXG262147 EHB262147:EHC262147 EQX262147:EQY262147 FAT262147:FAU262147 FKP262147:FKQ262147 FUL262147:FUM262147 GEH262147:GEI262147 GOD262147:GOE262147 GXZ262147:GYA262147 HHV262147:HHW262147 HRR262147:HRS262147 IBN262147:IBO262147 ILJ262147:ILK262147 IVF262147:IVG262147 JFB262147:JFC262147 JOX262147:JOY262147 JYT262147:JYU262147 KIP262147:KIQ262147 KSL262147:KSM262147 LCH262147:LCI262147 LMD262147:LME262147 LVZ262147:LWA262147 MFV262147:MFW262147 MPR262147:MPS262147 MZN262147:MZO262147 NJJ262147:NJK262147 NTF262147:NTG262147 ODB262147:ODC262147 OMX262147:OMY262147 OWT262147:OWU262147 PGP262147:PGQ262147 PQL262147:PQM262147 QAH262147:QAI262147 QKD262147:QKE262147 QTZ262147:QUA262147 RDV262147:RDW262147 RNR262147:RNS262147 RXN262147:RXO262147 SHJ262147:SHK262147 SRF262147:SRG262147 TBB262147:TBC262147 TKX262147:TKY262147 TUT262147:TUU262147 UEP262147:UEQ262147 UOL262147:UOM262147 UYH262147:UYI262147 VID262147:VIE262147 VRZ262147:VSA262147 WBV262147:WBW262147 WLR262147:WLS262147 WVN262147:WVO262147 F327683:G327683 JB327683:JC327683 SX327683:SY327683 ACT327683:ACU327683 AMP327683:AMQ327683 AWL327683:AWM327683 BGH327683:BGI327683 BQD327683:BQE327683 BZZ327683:CAA327683 CJV327683:CJW327683 CTR327683:CTS327683 DDN327683:DDO327683 DNJ327683:DNK327683 DXF327683:DXG327683 EHB327683:EHC327683 EQX327683:EQY327683 FAT327683:FAU327683 FKP327683:FKQ327683 FUL327683:FUM327683 GEH327683:GEI327683 GOD327683:GOE327683 GXZ327683:GYA327683 HHV327683:HHW327683 HRR327683:HRS327683 IBN327683:IBO327683 ILJ327683:ILK327683 IVF327683:IVG327683 JFB327683:JFC327683 JOX327683:JOY327683 JYT327683:JYU327683 KIP327683:KIQ327683 KSL327683:KSM327683 LCH327683:LCI327683 LMD327683:LME327683 LVZ327683:LWA327683 MFV327683:MFW327683 MPR327683:MPS327683 MZN327683:MZO327683 NJJ327683:NJK327683 NTF327683:NTG327683 ODB327683:ODC327683 OMX327683:OMY327683 OWT327683:OWU327683 PGP327683:PGQ327683 PQL327683:PQM327683 QAH327683:QAI327683 QKD327683:QKE327683 QTZ327683:QUA327683 RDV327683:RDW327683 RNR327683:RNS327683 RXN327683:RXO327683 SHJ327683:SHK327683 SRF327683:SRG327683 TBB327683:TBC327683 TKX327683:TKY327683 TUT327683:TUU327683 UEP327683:UEQ327683 UOL327683:UOM327683 UYH327683:UYI327683 VID327683:VIE327683 VRZ327683:VSA327683 WBV327683:WBW327683 WLR327683:WLS327683 WVN327683:WVO327683 F393219:G393219 JB393219:JC393219 SX393219:SY393219 ACT393219:ACU393219 AMP393219:AMQ393219 AWL393219:AWM393219 BGH393219:BGI393219 BQD393219:BQE393219 BZZ393219:CAA393219 CJV393219:CJW393219 CTR393219:CTS393219 DDN393219:DDO393219 DNJ393219:DNK393219 DXF393219:DXG393219 EHB393219:EHC393219 EQX393219:EQY393219 FAT393219:FAU393219 FKP393219:FKQ393219 FUL393219:FUM393219 GEH393219:GEI393219 GOD393219:GOE393219 GXZ393219:GYA393219 HHV393219:HHW393219 HRR393219:HRS393219 IBN393219:IBO393219 ILJ393219:ILK393219 IVF393219:IVG393219 JFB393219:JFC393219 JOX393219:JOY393219 JYT393219:JYU393219 KIP393219:KIQ393219 KSL393219:KSM393219 LCH393219:LCI393219 LMD393219:LME393219 LVZ393219:LWA393219 MFV393219:MFW393219 MPR393219:MPS393219 MZN393219:MZO393219 NJJ393219:NJK393219 NTF393219:NTG393219 ODB393219:ODC393219 OMX393219:OMY393219 OWT393219:OWU393219 PGP393219:PGQ393219 PQL393219:PQM393219 QAH393219:QAI393219 QKD393219:QKE393219 QTZ393219:QUA393219 RDV393219:RDW393219 RNR393219:RNS393219 RXN393219:RXO393219 SHJ393219:SHK393219 SRF393219:SRG393219 TBB393219:TBC393219 TKX393219:TKY393219 TUT393219:TUU393219 UEP393219:UEQ393219 UOL393219:UOM393219 UYH393219:UYI393219 VID393219:VIE393219 VRZ393219:VSA393219 WBV393219:WBW393219 WLR393219:WLS393219 WVN393219:WVO393219 F458755:G458755 JB458755:JC458755 SX458755:SY458755 ACT458755:ACU458755 AMP458755:AMQ458755 AWL458755:AWM458755 BGH458755:BGI458755 BQD458755:BQE458755 BZZ458755:CAA458755 CJV458755:CJW458755 CTR458755:CTS458755 DDN458755:DDO458755 DNJ458755:DNK458755 DXF458755:DXG458755 EHB458755:EHC458755 EQX458755:EQY458755 FAT458755:FAU458755 FKP458755:FKQ458755 FUL458755:FUM458755 GEH458755:GEI458755 GOD458755:GOE458755 GXZ458755:GYA458755 HHV458755:HHW458755 HRR458755:HRS458755 IBN458755:IBO458755 ILJ458755:ILK458755 IVF458755:IVG458755 JFB458755:JFC458755 JOX458755:JOY458755 JYT458755:JYU458755 KIP458755:KIQ458755 KSL458755:KSM458755 LCH458755:LCI458755 LMD458755:LME458755 LVZ458755:LWA458755 MFV458755:MFW458755 MPR458755:MPS458755 MZN458755:MZO458755 NJJ458755:NJK458755 NTF458755:NTG458755 ODB458755:ODC458755 OMX458755:OMY458755 OWT458755:OWU458755 PGP458755:PGQ458755 PQL458755:PQM458755 QAH458755:QAI458755 QKD458755:QKE458755 QTZ458755:QUA458755 RDV458755:RDW458755 RNR458755:RNS458755 RXN458755:RXO458755 SHJ458755:SHK458755 SRF458755:SRG458755 TBB458755:TBC458755 TKX458755:TKY458755 TUT458755:TUU458755 UEP458755:UEQ458755 UOL458755:UOM458755 UYH458755:UYI458755 VID458755:VIE458755 VRZ458755:VSA458755 WBV458755:WBW458755 WLR458755:WLS458755 WVN458755:WVO458755 F524291:G524291 JB524291:JC524291 SX524291:SY524291 ACT524291:ACU524291 AMP524291:AMQ524291 AWL524291:AWM524291 BGH524291:BGI524291 BQD524291:BQE524291 BZZ524291:CAA524291 CJV524291:CJW524291 CTR524291:CTS524291 DDN524291:DDO524291 DNJ524291:DNK524291 DXF524291:DXG524291 EHB524291:EHC524291 EQX524291:EQY524291 FAT524291:FAU524291 FKP524291:FKQ524291 FUL524291:FUM524291 GEH524291:GEI524291 GOD524291:GOE524291 GXZ524291:GYA524291 HHV524291:HHW524291 HRR524291:HRS524291 IBN524291:IBO524291 ILJ524291:ILK524291 IVF524291:IVG524291 JFB524291:JFC524291 JOX524291:JOY524291 JYT524291:JYU524291 KIP524291:KIQ524291 KSL524291:KSM524291 LCH524291:LCI524291 LMD524291:LME524291 LVZ524291:LWA524291 MFV524291:MFW524291 MPR524291:MPS524291 MZN524291:MZO524291 NJJ524291:NJK524291 NTF524291:NTG524291 ODB524291:ODC524291 OMX524291:OMY524291 OWT524291:OWU524291 PGP524291:PGQ524291 PQL524291:PQM524291 QAH524291:QAI524291 QKD524291:QKE524291 QTZ524291:QUA524291 RDV524291:RDW524291 RNR524291:RNS524291 RXN524291:RXO524291 SHJ524291:SHK524291 SRF524291:SRG524291 TBB524291:TBC524291 TKX524291:TKY524291 TUT524291:TUU524291 UEP524291:UEQ524291 UOL524291:UOM524291 UYH524291:UYI524291 VID524291:VIE524291 VRZ524291:VSA524291 WBV524291:WBW524291 WLR524291:WLS524291 WVN524291:WVO524291 F589827:G589827 JB589827:JC589827 SX589827:SY589827 ACT589827:ACU589827 AMP589827:AMQ589827 AWL589827:AWM589827 BGH589827:BGI589827 BQD589827:BQE589827 BZZ589827:CAA589827 CJV589827:CJW589827 CTR589827:CTS589827 DDN589827:DDO589827 DNJ589827:DNK589827 DXF589827:DXG589827 EHB589827:EHC589827 EQX589827:EQY589827 FAT589827:FAU589827 FKP589827:FKQ589827 FUL589827:FUM589827 GEH589827:GEI589827 GOD589827:GOE589827 GXZ589827:GYA589827 HHV589827:HHW589827 HRR589827:HRS589827 IBN589827:IBO589827 ILJ589827:ILK589827 IVF589827:IVG589827 JFB589827:JFC589827 JOX589827:JOY589827 JYT589827:JYU589827 KIP589827:KIQ589827 KSL589827:KSM589827 LCH589827:LCI589827 LMD589827:LME589827 LVZ589827:LWA589827 MFV589827:MFW589827 MPR589827:MPS589827 MZN589827:MZO589827 NJJ589827:NJK589827 NTF589827:NTG589827 ODB589827:ODC589827 OMX589827:OMY589827 OWT589827:OWU589827 PGP589827:PGQ589827 PQL589827:PQM589827 QAH589827:QAI589827 QKD589827:QKE589827 QTZ589827:QUA589827 RDV589827:RDW589827 RNR589827:RNS589827 RXN589827:RXO589827 SHJ589827:SHK589827 SRF589827:SRG589827 TBB589827:TBC589827 TKX589827:TKY589827 TUT589827:TUU589827 UEP589827:UEQ589827 UOL589827:UOM589827 UYH589827:UYI589827 VID589827:VIE589827 VRZ589827:VSA589827 WBV589827:WBW589827 WLR589827:WLS589827 WVN589827:WVO589827 F655363:G655363 JB655363:JC655363 SX655363:SY655363 ACT655363:ACU655363 AMP655363:AMQ655363 AWL655363:AWM655363 BGH655363:BGI655363 BQD655363:BQE655363 BZZ655363:CAA655363 CJV655363:CJW655363 CTR655363:CTS655363 DDN655363:DDO655363 DNJ655363:DNK655363 DXF655363:DXG655363 EHB655363:EHC655363 EQX655363:EQY655363 FAT655363:FAU655363 FKP655363:FKQ655363 FUL655363:FUM655363 GEH655363:GEI655363 GOD655363:GOE655363 GXZ655363:GYA655363 HHV655363:HHW655363 HRR655363:HRS655363 IBN655363:IBO655363 ILJ655363:ILK655363 IVF655363:IVG655363 JFB655363:JFC655363 JOX655363:JOY655363 JYT655363:JYU655363 KIP655363:KIQ655363 KSL655363:KSM655363 LCH655363:LCI655363 LMD655363:LME655363 LVZ655363:LWA655363 MFV655363:MFW655363 MPR655363:MPS655363 MZN655363:MZO655363 NJJ655363:NJK655363 NTF655363:NTG655363 ODB655363:ODC655363 OMX655363:OMY655363 OWT655363:OWU655363 PGP655363:PGQ655363 PQL655363:PQM655363 QAH655363:QAI655363 QKD655363:QKE655363 QTZ655363:QUA655363 RDV655363:RDW655363 RNR655363:RNS655363 RXN655363:RXO655363 SHJ655363:SHK655363 SRF655363:SRG655363 TBB655363:TBC655363 TKX655363:TKY655363 TUT655363:TUU655363 UEP655363:UEQ655363 UOL655363:UOM655363 UYH655363:UYI655363 VID655363:VIE655363 VRZ655363:VSA655363 WBV655363:WBW655363 WLR655363:WLS655363 WVN655363:WVO655363 F720899:G720899 JB720899:JC720899 SX720899:SY720899 ACT720899:ACU720899 AMP720899:AMQ720899 AWL720899:AWM720899 BGH720899:BGI720899 BQD720899:BQE720899 BZZ720899:CAA720899 CJV720899:CJW720899 CTR720899:CTS720899 DDN720899:DDO720899 DNJ720899:DNK720899 DXF720899:DXG720899 EHB720899:EHC720899 EQX720899:EQY720899 FAT720899:FAU720899 FKP720899:FKQ720899 FUL720899:FUM720899 GEH720899:GEI720899 GOD720899:GOE720899 GXZ720899:GYA720899 HHV720899:HHW720899 HRR720899:HRS720899 IBN720899:IBO720899 ILJ720899:ILK720899 IVF720899:IVG720899 JFB720899:JFC720899 JOX720899:JOY720899 JYT720899:JYU720899 KIP720899:KIQ720899 KSL720899:KSM720899 LCH720899:LCI720899 LMD720899:LME720899 LVZ720899:LWA720899 MFV720899:MFW720899 MPR720899:MPS720899 MZN720899:MZO720899 NJJ720899:NJK720899 NTF720899:NTG720899 ODB720899:ODC720899 OMX720899:OMY720899 OWT720899:OWU720899 PGP720899:PGQ720899 PQL720899:PQM720899 QAH720899:QAI720899 QKD720899:QKE720899 QTZ720899:QUA720899 RDV720899:RDW720899 RNR720899:RNS720899 RXN720899:RXO720899 SHJ720899:SHK720899 SRF720899:SRG720899 TBB720899:TBC720899 TKX720899:TKY720899 TUT720899:TUU720899 UEP720899:UEQ720899 UOL720899:UOM720899 UYH720899:UYI720899 VID720899:VIE720899 VRZ720899:VSA720899 WBV720899:WBW720899 WLR720899:WLS720899 WVN720899:WVO720899 F786435:G786435 JB786435:JC786435 SX786435:SY786435 ACT786435:ACU786435 AMP786435:AMQ786435 AWL786435:AWM786435 BGH786435:BGI786435 BQD786435:BQE786435 BZZ786435:CAA786435 CJV786435:CJW786435 CTR786435:CTS786435 DDN786435:DDO786435 DNJ786435:DNK786435 DXF786435:DXG786435 EHB786435:EHC786435 EQX786435:EQY786435 FAT786435:FAU786435 FKP786435:FKQ786435 FUL786435:FUM786435 GEH786435:GEI786435 GOD786435:GOE786435 GXZ786435:GYA786435 HHV786435:HHW786435 HRR786435:HRS786435 IBN786435:IBO786435 ILJ786435:ILK786435 IVF786435:IVG786435 JFB786435:JFC786435 JOX786435:JOY786435 JYT786435:JYU786435 KIP786435:KIQ786435 KSL786435:KSM786435 LCH786435:LCI786435 LMD786435:LME786435 LVZ786435:LWA786435 MFV786435:MFW786435 MPR786435:MPS786435 MZN786435:MZO786435 NJJ786435:NJK786435 NTF786435:NTG786435 ODB786435:ODC786435 OMX786435:OMY786435 OWT786435:OWU786435 PGP786435:PGQ786435 PQL786435:PQM786435 QAH786435:QAI786435 QKD786435:QKE786435 QTZ786435:QUA786435 RDV786435:RDW786435 RNR786435:RNS786435 RXN786435:RXO786435 SHJ786435:SHK786435 SRF786435:SRG786435 TBB786435:TBC786435 TKX786435:TKY786435 TUT786435:TUU786435 UEP786435:UEQ786435 UOL786435:UOM786435 UYH786435:UYI786435 VID786435:VIE786435 VRZ786435:VSA786435 WBV786435:WBW786435 WLR786435:WLS786435 WVN786435:WVO786435 F851971:G851971 JB851971:JC851971 SX851971:SY851971 ACT851971:ACU851971 AMP851971:AMQ851971 AWL851971:AWM851971 BGH851971:BGI851971 BQD851971:BQE851971 BZZ851971:CAA851971 CJV851971:CJW851971 CTR851971:CTS851971 DDN851971:DDO851971 DNJ851971:DNK851971 DXF851971:DXG851971 EHB851971:EHC851971 EQX851971:EQY851971 FAT851971:FAU851971 FKP851971:FKQ851971 FUL851971:FUM851971 GEH851971:GEI851971 GOD851971:GOE851971 GXZ851971:GYA851971 HHV851971:HHW851971 HRR851971:HRS851971 IBN851971:IBO851971 ILJ851971:ILK851971 IVF851971:IVG851971 JFB851971:JFC851971 JOX851971:JOY851971 JYT851971:JYU851971 KIP851971:KIQ851971 KSL851971:KSM851971 LCH851971:LCI851971 LMD851971:LME851971 LVZ851971:LWA851971 MFV851971:MFW851971 MPR851971:MPS851971 MZN851971:MZO851971 NJJ851971:NJK851971 NTF851971:NTG851971 ODB851971:ODC851971 OMX851971:OMY851971 OWT851971:OWU851971 PGP851971:PGQ851971 PQL851971:PQM851971 QAH851971:QAI851971 QKD851971:QKE851971 QTZ851971:QUA851971 RDV851971:RDW851971 RNR851971:RNS851971 RXN851971:RXO851971 SHJ851971:SHK851971 SRF851971:SRG851971 TBB851971:TBC851971 TKX851971:TKY851971 TUT851971:TUU851971 UEP851971:UEQ851971 UOL851971:UOM851971 UYH851971:UYI851971 VID851971:VIE851971 VRZ851971:VSA851971 WBV851971:WBW851971 WLR851971:WLS851971 WVN851971:WVO851971 F917507:G917507 JB917507:JC917507 SX917507:SY917507 ACT917507:ACU917507 AMP917507:AMQ917507 AWL917507:AWM917507 BGH917507:BGI917507 BQD917507:BQE917507 BZZ917507:CAA917507 CJV917507:CJW917507 CTR917507:CTS917507 DDN917507:DDO917507 DNJ917507:DNK917507 DXF917507:DXG917507 EHB917507:EHC917507 EQX917507:EQY917507 FAT917507:FAU917507 FKP917507:FKQ917507 FUL917507:FUM917507 GEH917507:GEI917507 GOD917507:GOE917507 GXZ917507:GYA917507 HHV917507:HHW917507 HRR917507:HRS917507 IBN917507:IBO917507 ILJ917507:ILK917507 IVF917507:IVG917507 JFB917507:JFC917507 JOX917507:JOY917507 JYT917507:JYU917507 KIP917507:KIQ917507 KSL917507:KSM917507 LCH917507:LCI917507 LMD917507:LME917507 LVZ917507:LWA917507 MFV917507:MFW917507 MPR917507:MPS917507 MZN917507:MZO917507 NJJ917507:NJK917507 NTF917507:NTG917507 ODB917507:ODC917507 OMX917507:OMY917507 OWT917507:OWU917507 PGP917507:PGQ917507 PQL917507:PQM917507 QAH917507:QAI917507 QKD917507:QKE917507 QTZ917507:QUA917507 RDV917507:RDW917507 RNR917507:RNS917507 RXN917507:RXO917507 SHJ917507:SHK917507 SRF917507:SRG917507 TBB917507:TBC917507 TKX917507:TKY917507 TUT917507:TUU917507 UEP917507:UEQ917507 UOL917507:UOM917507 UYH917507:UYI917507 VID917507:VIE917507 VRZ917507:VSA917507 WBV917507:WBW917507 WLR917507:WLS917507 WVN917507:WVO917507 F983043:G983043 JB983043:JC983043 SX983043:SY983043 ACT983043:ACU983043 AMP983043:AMQ983043 AWL983043:AWM983043 BGH983043:BGI983043 BQD983043:BQE983043 BZZ983043:CAA983043 CJV983043:CJW983043 CTR983043:CTS983043 DDN983043:DDO983043 DNJ983043:DNK983043 DXF983043:DXG983043 EHB983043:EHC983043 EQX983043:EQY983043 FAT983043:FAU983043 FKP983043:FKQ983043 FUL983043:FUM983043 GEH983043:GEI983043 GOD983043:GOE983043 GXZ983043:GYA983043 HHV983043:HHW983043 HRR983043:HRS983043 IBN983043:IBO983043 ILJ983043:ILK983043 IVF983043:IVG983043 JFB983043:JFC983043 JOX983043:JOY983043 JYT983043:JYU983043 KIP983043:KIQ983043 KSL983043:KSM983043 LCH983043:LCI983043 LMD983043:LME983043 LVZ983043:LWA983043 MFV983043:MFW983043 MPR983043:MPS983043 MZN983043:MZO983043 NJJ983043:NJK983043 NTF983043:NTG983043 ODB983043:ODC983043 OMX983043:OMY983043 OWT983043:OWU983043 PGP983043:PGQ983043 PQL983043:PQM983043 QAH983043:QAI983043 QKD983043:QKE983043 QTZ983043:QUA983043 RDV983043:RDW983043 RNR983043:RNS983043 RXN983043:RXO983043 SHJ983043:SHK983043 SRF983043:SRG983043 TBB983043:TBC983043 TKX983043:TKY983043 TUT983043:TUU983043 UEP983043:UEQ983043 UOL983043:UOM983043 UYH983043:UYI983043 VID983043:VIE983043 VRZ983043:VSA983043 WBV983043:WBW983043 WLR983043:WLS983043 WVN983043:WVO983043" xr:uid="{00000000-0002-0000-2700-000005000000}">
      <formula1>"原子力,石炭火力,LNG火力,石油火力,一般水力,太陽光（メガソーラー）,太陽光（住宅）,風力（陸上）,風力（洋上）,小水力,地熱,バイオマス（石炭混焼）,バイオマス（木質専焼）,ガスコジェネ,石油コジェネ,燃料電池"</formula1>
    </dataValidation>
    <dataValidation allowBlank="1" showDropDown="1" showInputMessage="1" showErrorMessage="1" sqref="F41 F48" xr:uid="{00000000-0002-0000-2700-000006000000}"/>
    <dataValidation type="list" operator="equal" allowBlank="1" showInputMessage="1" showErrorMessage="1" sqref="F157" xr:uid="{00000000-0002-0000-2700-000007000000}">
      <formula1>"300,500,1000,151"</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BR158"/>
  <sheetViews>
    <sheetView showGridLines="0" topLeftCell="A43" zoomScale="85" zoomScaleNormal="85" workbookViewId="0">
      <selection activeCell="A43" sqref="A1:H1048576"/>
    </sheetView>
  </sheetViews>
  <sheetFormatPr defaultColWidth="9" defaultRowHeight="14.25" outlineLevelCol="1" x14ac:dyDescent="0.15"/>
  <cols>
    <col min="1" max="3" width="6.25" style="71" customWidth="1"/>
    <col min="4" max="4" width="6.25" style="84" customWidth="1"/>
    <col min="5" max="5" width="24.375" style="84" customWidth="1"/>
    <col min="6" max="6" width="18.75" style="71" customWidth="1"/>
    <col min="7" max="7" width="24.375" style="84" bestFit="1" customWidth="1"/>
    <col min="8" max="8" width="9" style="71"/>
    <col min="9" max="9" width="6.25" style="71" customWidth="1"/>
    <col min="10" max="10" width="3" style="71" customWidth="1"/>
    <col min="11" max="11" width="6.25" style="71" customWidth="1"/>
    <col min="12" max="12" width="3" style="71" customWidth="1"/>
    <col min="13" max="13" width="6.25" style="71" customWidth="1"/>
    <col min="14" max="14" width="3" style="71" customWidth="1"/>
    <col min="15" max="15" width="17.375" style="71" bestFit="1" customWidth="1"/>
    <col min="16" max="16" width="8.625" style="71" customWidth="1"/>
    <col min="17" max="17" width="3" style="71" customWidth="1"/>
    <col min="18" max="18" width="17.375" style="71" bestFit="1" customWidth="1"/>
    <col min="19" max="19" width="3" style="71" customWidth="1"/>
    <col min="20" max="20" width="17.375" style="71" bestFit="1" customWidth="1"/>
    <col min="21" max="21" width="3" style="71" customWidth="1"/>
    <col min="22" max="22" width="15" style="71" customWidth="1" outlineLevel="1"/>
    <col min="23" max="23" width="17.375" style="71" bestFit="1" customWidth="1"/>
    <col min="24" max="24" width="3" style="71" customWidth="1"/>
    <col min="25" max="25" width="15" style="71" customWidth="1" outlineLevel="1"/>
    <col min="26" max="26" width="15" style="71" customWidth="1"/>
    <col min="27" max="27" width="3" style="71" customWidth="1"/>
    <col min="28" max="28" width="15" style="71" customWidth="1" outlineLevel="1"/>
    <col min="29" max="29" width="15" style="71" customWidth="1"/>
    <col min="30" max="30" width="3" style="71" customWidth="1"/>
    <col min="31" max="31" width="15" style="71" customWidth="1" outlineLevel="1"/>
    <col min="32" max="32" width="15" style="71" customWidth="1"/>
    <col min="33" max="33" width="3" style="71" customWidth="1"/>
    <col min="34" max="34" width="14.875" style="71" customWidth="1" outlineLevel="1"/>
    <col min="35" max="35" width="15" style="71" customWidth="1"/>
    <col min="36" max="36" width="3" style="71" customWidth="1"/>
    <col min="37" max="37" width="15" style="71" customWidth="1" outlineLevel="1"/>
    <col min="38" max="38" width="15" style="71" customWidth="1"/>
    <col min="39" max="39" width="3" style="71" customWidth="1"/>
    <col min="40" max="40" width="15" style="71" customWidth="1" outlineLevel="1"/>
    <col min="41" max="41" width="15" style="71" customWidth="1"/>
    <col min="42" max="42" width="3" style="71" customWidth="1"/>
    <col min="43" max="43" width="15" style="71" customWidth="1" outlineLevel="1"/>
    <col min="44" max="44" width="15" style="71" customWidth="1"/>
    <col min="45" max="45" width="3" style="71" customWidth="1"/>
    <col min="46" max="46" width="10.75" style="71" bestFit="1" customWidth="1"/>
    <col min="47" max="47" width="3" style="71" customWidth="1"/>
    <col min="48" max="48" width="15" style="71" customWidth="1" outlineLevel="1"/>
    <col min="49" max="49" width="17.375" style="71" bestFit="1" customWidth="1"/>
    <col min="50" max="50" width="3" style="71" customWidth="1"/>
    <col min="51" max="51" width="9.625" style="71" bestFit="1" customWidth="1"/>
    <col min="52" max="52" width="3" style="71" customWidth="1"/>
    <col min="53" max="53" width="15" style="71" customWidth="1" outlineLevel="1"/>
    <col min="54" max="54" width="17.375" style="71" bestFit="1" customWidth="1"/>
    <col min="55" max="55" width="3" style="71" customWidth="1"/>
    <col min="56" max="56" width="19.25" style="71" customWidth="1" outlineLevel="1"/>
    <col min="57" max="57" width="19.25" style="71" bestFit="1" customWidth="1"/>
    <col min="58" max="58" width="3" style="71" customWidth="1"/>
    <col min="59" max="59" width="19.25" style="71" customWidth="1" outlineLevel="1"/>
    <col min="60" max="60" width="19.25" style="71"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71" customWidth="1" outlineLevel="1"/>
    <col min="70" max="70" width="17.375" style="71" bestFit="1" customWidth="1"/>
    <col min="71" max="16384" width="9" style="71"/>
  </cols>
  <sheetData>
    <row r="1" spans="1:70" ht="18.75" x14ac:dyDescent="0.15">
      <c r="A1" s="6" t="s">
        <v>60</v>
      </c>
    </row>
    <row r="3" spans="1:70" ht="23.25" x14ac:dyDescent="0.15">
      <c r="B3" s="1" t="s">
        <v>542</v>
      </c>
      <c r="F3" s="718" t="s">
        <v>659</v>
      </c>
      <c r="G3" s="719"/>
    </row>
    <row r="4" spans="1:70" x14ac:dyDescent="0.15">
      <c r="G4" s="472"/>
    </row>
    <row r="5" spans="1:70" ht="15.75" thickBot="1" x14ac:dyDescent="0.2">
      <c r="B5" s="5" t="s">
        <v>543</v>
      </c>
      <c r="C5" s="3"/>
      <c r="D5" s="102"/>
      <c r="E5" s="102"/>
      <c r="F5" s="3"/>
      <c r="G5" s="102"/>
      <c r="I5" s="5" t="s">
        <v>64</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71" t="s">
        <v>545</v>
      </c>
      <c r="F7" s="473">
        <v>2030</v>
      </c>
      <c r="I7" s="8"/>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71" t="s">
        <v>546</v>
      </c>
      <c r="F8" s="474">
        <f>まとめ!B3</f>
        <v>107</v>
      </c>
      <c r="G8" s="84" t="s">
        <v>547</v>
      </c>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71" t="s">
        <v>548</v>
      </c>
      <c r="F9" s="474">
        <f>まとめ!B2</f>
        <v>3</v>
      </c>
      <c r="G9" s="84" t="s">
        <v>549</v>
      </c>
      <c r="I9" s="720" t="s">
        <v>78</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07" t="s">
        <v>118</v>
      </c>
      <c r="AI9" s="707"/>
      <c r="AJ9" s="8"/>
      <c r="AK9" s="707" t="s">
        <v>89</v>
      </c>
      <c r="AL9" s="707"/>
      <c r="AM9" s="8"/>
      <c r="AN9" s="707" t="s">
        <v>90</v>
      </c>
      <c r="AO9" s="707"/>
      <c r="AP9" s="8"/>
      <c r="AQ9" s="707" t="s">
        <v>91</v>
      </c>
      <c r="AR9" s="707"/>
      <c r="AS9" s="8"/>
      <c r="AT9" s="707" t="s">
        <v>92</v>
      </c>
      <c r="AU9" s="8"/>
      <c r="AV9" s="707" t="s">
        <v>69</v>
      </c>
      <c r="AW9" s="707"/>
      <c r="AX9" s="322"/>
      <c r="AY9" s="720" t="s">
        <v>93</v>
      </c>
      <c r="AZ9" s="8"/>
      <c r="BA9" s="720" t="s">
        <v>70</v>
      </c>
      <c r="BB9" s="720"/>
      <c r="BC9" s="8"/>
      <c r="BD9" s="707" t="s">
        <v>69</v>
      </c>
      <c r="BE9" s="707"/>
      <c r="BF9" s="8"/>
      <c r="BG9" s="707" t="s">
        <v>70</v>
      </c>
      <c r="BH9" s="707"/>
      <c r="BI9" s="8"/>
      <c r="BJ9" s="714" t="s">
        <v>255</v>
      </c>
      <c r="BK9" s="715"/>
      <c r="BL9" s="715"/>
      <c r="BM9" s="322"/>
      <c r="BN9" s="716" t="s">
        <v>72</v>
      </c>
      <c r="BO9" s="707"/>
      <c r="BP9" s="8"/>
      <c r="BQ9" s="322"/>
      <c r="BR9" s="322"/>
    </row>
    <row r="10" spans="1:70" x14ac:dyDescent="0.15">
      <c r="I10" s="708"/>
      <c r="K10" s="708"/>
      <c r="M10" s="708"/>
      <c r="O10" s="717"/>
      <c r="P10" s="717"/>
      <c r="R10" s="708"/>
      <c r="T10" s="708"/>
      <c r="V10" s="717"/>
      <c r="W10" s="717"/>
      <c r="Y10" s="717"/>
      <c r="Z10" s="717"/>
      <c r="AB10" s="723"/>
      <c r="AC10" s="723"/>
      <c r="AD10" s="81"/>
      <c r="AE10" s="723"/>
      <c r="AF10" s="723"/>
      <c r="AH10" s="717"/>
      <c r="AI10" s="717"/>
      <c r="AK10" s="717"/>
      <c r="AL10" s="717"/>
      <c r="AN10" s="717"/>
      <c r="AO10" s="717"/>
      <c r="AQ10" s="717"/>
      <c r="AR10" s="717"/>
      <c r="AT10" s="717"/>
      <c r="AV10" s="717"/>
      <c r="AW10" s="717"/>
      <c r="AX10" s="322"/>
      <c r="AY10" s="708"/>
      <c r="BA10" s="708"/>
      <c r="BB10" s="708"/>
      <c r="BD10" s="717"/>
      <c r="BE10" s="717"/>
      <c r="BG10" s="717"/>
      <c r="BH10" s="717"/>
      <c r="BJ10" s="708"/>
      <c r="BK10" s="708"/>
      <c r="BL10" s="708"/>
      <c r="BM10" s="322"/>
      <c r="BN10" s="717"/>
      <c r="BO10" s="717"/>
      <c r="BQ10" s="322"/>
      <c r="BR10" s="322"/>
    </row>
    <row r="11" spans="1:70" ht="15.75" customHeight="1" thickBot="1" x14ac:dyDescent="0.2">
      <c r="B11" s="5" t="s">
        <v>95</v>
      </c>
      <c r="C11" s="3"/>
      <c r="D11" s="102"/>
      <c r="E11" s="102"/>
      <c r="F11" s="3"/>
      <c r="G11" s="102"/>
      <c r="O11" s="322" t="s">
        <v>96</v>
      </c>
      <c r="P11" s="322"/>
      <c r="Q11" s="322"/>
      <c r="R11" s="322" t="s">
        <v>96</v>
      </c>
      <c r="S11" s="322"/>
      <c r="T11" s="322"/>
      <c r="V11" s="322"/>
      <c r="W11" s="322"/>
      <c r="Y11" s="322"/>
      <c r="Z11" s="322"/>
      <c r="AB11" s="322"/>
      <c r="AC11" s="322"/>
      <c r="AE11" s="322"/>
      <c r="AF11" s="322"/>
      <c r="AH11" s="322"/>
      <c r="AI11" s="322"/>
      <c r="AK11" s="322"/>
      <c r="AL11" s="322"/>
      <c r="AN11" s="322"/>
      <c r="AO11" s="322"/>
      <c r="AQ11" s="322"/>
      <c r="AR11" s="322"/>
      <c r="AT11" s="322"/>
      <c r="AV11" s="322"/>
      <c r="AW11" s="322"/>
      <c r="AX11" s="322"/>
      <c r="BB11" s="322"/>
      <c r="BD11" s="322"/>
      <c r="BE11" s="322"/>
      <c r="BG11" s="322"/>
      <c r="BH11" s="322"/>
      <c r="BJ11" s="156"/>
      <c r="BM11" s="322"/>
      <c r="BN11" s="322"/>
      <c r="BO11" s="322"/>
      <c r="BQ11" s="322"/>
      <c r="BR11" s="322"/>
    </row>
    <row r="12" spans="1:70" ht="14.25" customHeight="1" x14ac:dyDescent="0.15">
      <c r="O12" s="322"/>
      <c r="P12" s="707" t="s">
        <v>97</v>
      </c>
      <c r="W12" s="707" t="s">
        <v>98</v>
      </c>
      <c r="Z12" s="707" t="s">
        <v>98</v>
      </c>
      <c r="AC12" s="707" t="s">
        <v>98</v>
      </c>
      <c r="AF12" s="707" t="s">
        <v>98</v>
      </c>
      <c r="AI12" s="707" t="s">
        <v>98</v>
      </c>
      <c r="AL12" s="707" t="s">
        <v>98</v>
      </c>
      <c r="AO12" s="707" t="s">
        <v>98</v>
      </c>
      <c r="AR12" s="707" t="s">
        <v>98</v>
      </c>
      <c r="AW12" s="707" t="s">
        <v>98</v>
      </c>
      <c r="BB12" s="707" t="s">
        <v>98</v>
      </c>
      <c r="BE12" s="707" t="s">
        <v>98</v>
      </c>
      <c r="BH12" s="707" t="s">
        <v>98</v>
      </c>
      <c r="BJ12" s="709" t="s">
        <v>99</v>
      </c>
      <c r="BK12" s="709" t="s">
        <v>100</v>
      </c>
      <c r="BL12" s="709" t="s">
        <v>101</v>
      </c>
      <c r="BO12" s="709" t="s">
        <v>102</v>
      </c>
      <c r="BR12" s="707" t="s">
        <v>103</v>
      </c>
    </row>
    <row r="13" spans="1:70" ht="14.25" customHeight="1" x14ac:dyDescent="0.15">
      <c r="C13" s="71" t="s">
        <v>552</v>
      </c>
      <c r="F13" s="475">
        <f>'石炭火力（2030年）'!F13</f>
        <v>70</v>
      </c>
      <c r="G13" s="84" t="s">
        <v>553</v>
      </c>
      <c r="O13" s="322"/>
      <c r="P13" s="708"/>
      <c r="Q13" s="322"/>
      <c r="R13" s="322"/>
      <c r="S13" s="322"/>
      <c r="T13" s="322"/>
      <c r="V13" s="322"/>
      <c r="W13" s="708"/>
      <c r="Y13" s="322"/>
      <c r="Z13" s="708"/>
      <c r="AB13" s="322"/>
      <c r="AC13" s="708"/>
      <c r="AE13" s="322"/>
      <c r="AF13" s="708"/>
      <c r="AH13" s="322"/>
      <c r="AI13" s="708"/>
      <c r="AK13" s="322"/>
      <c r="AL13" s="708"/>
      <c r="AN13" s="322"/>
      <c r="AO13" s="708"/>
      <c r="AQ13" s="322"/>
      <c r="AR13" s="708"/>
      <c r="AT13" s="322"/>
      <c r="AV13" s="322"/>
      <c r="AW13" s="708"/>
      <c r="BB13" s="708"/>
      <c r="BD13" s="322"/>
      <c r="BE13" s="708"/>
      <c r="BG13" s="322"/>
      <c r="BH13" s="708"/>
      <c r="BJ13" s="712"/>
      <c r="BK13" s="710"/>
      <c r="BL13" s="708"/>
      <c r="BM13" s="322"/>
      <c r="BO13" s="708"/>
      <c r="BQ13" s="322"/>
      <c r="BR13" s="708"/>
    </row>
    <row r="14" spans="1:70" ht="16.5" x14ac:dyDescent="0.15">
      <c r="C14" s="71" t="s">
        <v>554</v>
      </c>
      <c r="F14" s="474">
        <f>VLOOKUP(F3&amp;IF(G4&lt;&gt;"","_"&amp;G4,""),まとめ!$A$12:$G$31,IF(F7=2030,4,IF(F7=2020,3,IF(F7=2014,2,"-"))),0)</f>
        <v>70</v>
      </c>
      <c r="G14" s="84" t="s">
        <v>549</v>
      </c>
      <c r="O14" s="322"/>
      <c r="P14" s="322"/>
      <c r="Q14" s="322"/>
      <c r="R14" s="322"/>
      <c r="S14" s="322"/>
      <c r="T14" s="322"/>
      <c r="AT14" s="50" t="s">
        <v>104</v>
      </c>
      <c r="AY14" s="71" t="s">
        <v>105</v>
      </c>
    </row>
    <row r="15" spans="1:70" x14ac:dyDescent="0.15">
      <c r="C15" s="71" t="s">
        <v>555</v>
      </c>
      <c r="F15" s="474">
        <f>VLOOKUP(F3&amp;IF(G4&lt;&gt;"","_"&amp;G4,""),まとめ!$A$12:$G$31,IF(F7=2030,7,IF(F7=2020,6,IF(F7=2014,5,"-"))),0)</f>
        <v>40</v>
      </c>
      <c r="G15" s="84" t="s">
        <v>556</v>
      </c>
      <c r="I15" s="38">
        <f>F7</f>
        <v>2030</v>
      </c>
      <c r="J15" s="39"/>
      <c r="K15" s="39">
        <f>IF(I15&lt;&gt;"",1,"")</f>
        <v>1</v>
      </c>
      <c r="L15" s="39"/>
      <c r="M15" s="40">
        <f t="shared" ref="M15:M46" si="0">1/(1+($F$9/100))^K15</f>
        <v>0.970873786407767</v>
      </c>
      <c r="N15" s="39"/>
      <c r="O15" s="72">
        <f>F117</f>
        <v>219224762877.74332</v>
      </c>
      <c r="P15" s="41">
        <f t="shared" ref="P15:P46" si="1">IF(K15&lt;=$F$15,IF(OR(P14=$F$124,P14="-"),"-",IF(O15*$F$123&gt;$F$127,$F$123,$F$124)),"")</f>
        <v>0.16700000000000001</v>
      </c>
      <c r="Q15" s="39"/>
      <c r="R15" s="72">
        <f>F117</f>
        <v>219224762877.74332</v>
      </c>
      <c r="S15" s="39"/>
      <c r="T15" s="72">
        <f t="shared" ref="T15:T46" si="2">IF(ISNUMBER(R15),ROUNDDOWN(R15,-3),"")</f>
        <v>219224762000</v>
      </c>
      <c r="U15" s="39"/>
      <c r="V15" s="72">
        <f t="shared" ref="V15:V46" si="3">IF(K15&lt;=$F$15,IF(K15&lt;$F$119,IF(P15="-",V14,O15*P15),IF(K15=$F$119,MIN(IF(P15="-",V14,O15*P15),O15),0)),"")</f>
        <v>36610535400.583138</v>
      </c>
      <c r="W15" s="72">
        <f t="shared" ref="W15:W46" si="4">IF(ISNUMBER(V15),V15*$M15,"")</f>
        <v>35544209126.779747</v>
      </c>
      <c r="X15" s="39"/>
      <c r="Y15" s="72">
        <f t="shared" ref="Y15:Y46" si="5">IF($K15&lt;=$F$15,ROUNDDOWN(T15*$F$25/100,-2),"")</f>
        <v>3069146600</v>
      </c>
      <c r="Z15" s="72">
        <f t="shared" ref="Z15:Z46" si="6">IF(ISNUMBER(Y15),Y15*$M15,"")</f>
        <v>2979753980.5825243</v>
      </c>
      <c r="AA15" s="39"/>
      <c r="AB15" s="72">
        <f t="shared" ref="AB15:AB46" si="7">IF($K15&lt;=$F$15,0,IF(AND($K15&gt;$F$15,$K15&lt;=$F$15+$F$28),$F$27*10^8/$F$28,""))</f>
        <v>0</v>
      </c>
      <c r="AC15" s="72">
        <f t="shared" ref="AC15:AC46" si="8">IF(ISNUMBER(AB15),AB15*$M15,"")</f>
        <v>0</v>
      </c>
      <c r="AD15" s="39"/>
      <c r="AE15" s="72">
        <f t="shared" ref="AE15:AE46" si="9">IF($K15&lt;=$F$15,$F$26,"")</f>
        <v>0</v>
      </c>
      <c r="AF15" s="72">
        <f t="shared" ref="AF15:AF46" si="10">IF(ISNUMBER(AE15),AE15*$M15,"")</f>
        <v>0</v>
      </c>
      <c r="AG15" s="39"/>
      <c r="AH15" s="72">
        <f t="shared" ref="AH15:AH46" si="11">IF($K15&lt;=$F$15,$F$33*10^8,"")</f>
        <v>440000000.00000006</v>
      </c>
      <c r="AI15" s="72">
        <f t="shared" ref="AI15:AI46" si="12">IF(ISNUMBER(AH15),AH15*$M15,"")</f>
        <v>427184466.01941752</v>
      </c>
      <c r="AJ15" s="39"/>
      <c r="AK15" s="72">
        <f t="shared" ref="AK15:AK46" si="13">IF($K15&lt;=$F$15,$F$117*$F$34/100,"")</f>
        <v>5261394309.0658388</v>
      </c>
      <c r="AL15" s="72">
        <f t="shared" ref="AL15:AL46" si="14">IF(ISNUMBER(AK15),AK15*$M15,"")</f>
        <v>5108149814.6270285</v>
      </c>
      <c r="AM15" s="39"/>
      <c r="AN15" s="72">
        <f t="shared" ref="AN15:AN46" si="15">IF($K15&lt;=$F$15,$F$117*$F$35/100,"")</f>
        <v>4822944783.3103533</v>
      </c>
      <c r="AO15" s="72">
        <f t="shared" ref="AO15:AO46" si="16">IF(ISNUMBER(AN15),AN15*$M15,"")</f>
        <v>4682470663.4081097</v>
      </c>
      <c r="AP15" s="39"/>
      <c r="AQ15" s="72">
        <f t="shared" ref="AQ15:AQ46" si="17">IF($K15&lt;=$F$15,SUM(AH15,AK15,AN15)*($F$36/100),"")</f>
        <v>1283969369.2698953</v>
      </c>
      <c r="AR15" s="72">
        <f t="shared" ref="AR15:AR46" si="18">IF(ISNUMBER(AQ15),AQ15*$M15,"")</f>
        <v>1246572203.1746557</v>
      </c>
      <c r="AS15" s="39"/>
      <c r="AT15" s="40">
        <f>IF($K15&lt;=$F$15,IF($F$40&lt;&gt;"",$F$40/1000,IF(ISERROR(VLOOKUP($F$3&amp;IF($G$4&lt;&gt;"",$G$4,"")&amp;IF($F$43&lt;&gt;"","_"&amp;$F$43,""),'表3）燃料価格'!$AF$9:$AG$25,2,0)),0,VLOOKUP($I15,'表3）燃料価格'!$A$6:$AD$56,VLOOKUP($F$3&amp;IF($G$4&lt;&gt;"",$G$4,"")&amp;IF($F$43&lt;&gt;"","_"&amp;$F$43,""),'表3）燃料価格'!$AF$9:$AG$25,2,0)+VLOOKUP($F$41,'表3）燃料価格'!$AF$28:$AG$29,2,0),0)*IF($F$43="需要地価格",1,$F$8/$F$141))),"")</f>
        <v>10.869059999999999</v>
      </c>
      <c r="AU15" s="39"/>
      <c r="AV15" s="72">
        <f t="shared" ref="AV15:AV46" si="19">IF($K15&lt;=$F$15,($AT15+$F$142)*$F$137,"")</f>
        <v>17528819487.201187</v>
      </c>
      <c r="AW15" s="72">
        <f t="shared" ref="AW15:AW46" si="20">IF(ISNUMBER(AV15),AV15*$M15,"")</f>
        <v>17018271346.79727</v>
      </c>
      <c r="AX15" s="39"/>
      <c r="AY15" s="40">
        <f>IF(ISERROR(IF($K15&lt;=$F$15,VLOOKUP($I15,'表4）CO2価格'!$A$7:$E$67,VLOOKUP($F$48,'表4）CO2価格'!$H$10:$I$12,2,0),0)*$F$8/1000,"")),0,IF($K15&lt;=$F$15,VLOOKUP($I15,'表4）CO2価格'!$A$7:$E$67,VLOOKUP($F$48,'表4）CO2価格'!$H$10:$I$12,2,0),0)*$F$8/1000,""))</f>
        <v>4.28</v>
      </c>
      <c r="AZ15" s="39"/>
      <c r="BA15" s="42">
        <f t="shared" ref="BA15:BA46" si="21">IF($K15&lt;=$F$15,$F$145*AY15,"")</f>
        <v>13541168561.875864</v>
      </c>
      <c r="BB15" s="72">
        <f t="shared" ref="BB15:BB46" si="22">IF(ISNUMBER(BA15),BA15*$M15,"")</f>
        <v>13146765594.054237</v>
      </c>
      <c r="BC15" s="39"/>
      <c r="BD15" s="72">
        <f t="shared" ref="BD15:BD46" si="23">IF($K15&lt;=$F$15,($AT15+$F$152)*$F$151,"")</f>
        <v>0</v>
      </c>
      <c r="BE15" s="72">
        <f t="shared" ref="BE15:BE46" si="24">IF(ISNUMBER(BD15),BD15*$M15,"")</f>
        <v>0</v>
      </c>
      <c r="BF15" s="39"/>
      <c r="BG15" s="42">
        <f t="shared" ref="BG15:BG46" si="25">IF($K15&lt;=$F$15,$F$153*AY15,"")</f>
        <v>0</v>
      </c>
      <c r="BH15" s="72">
        <f t="shared" ref="BH15:BH46" si="26">IF(ISNUMBER(BG15),BG15*$M15,"")</f>
        <v>0</v>
      </c>
      <c r="BI15" s="39"/>
      <c r="BJ15" s="40" t="str">
        <f t="shared" ref="BJ15:BJ46" si="27">IF(ISNUMBER($F$16),IF($K15&lt;=$F$16+$F$28,1/(1+($F$17/100))^K15,""),"")</f>
        <v/>
      </c>
      <c r="BK15" s="157" t="str">
        <f t="shared" ref="BK15:BK46" si="28">IF(ISNUMBER($F$16),IF($K15&lt;=$F$16+$F$28,IF($K15&lt;=$F$16,SUM(Y15,AB15,AE15,AH15,AK15,AN15,AQ15,AV15,BA15,BD15,BG15),$F$27/$F$28*10^8)*BJ15,""),"")</f>
        <v/>
      </c>
      <c r="BL15" s="157" t="str">
        <f t="shared" ref="BL15:BL46" si="29">IF(AND(ISNUMBER(BJ15),$K15&lt;=$F$16),BQ15*BJ15,"")</f>
        <v/>
      </c>
      <c r="BM15" s="72"/>
      <c r="BN15" s="72" t="str">
        <f t="shared" ref="BN15:BN46" si="30">IF(AND(ISNUMBER($F$16),$K15&lt;=$F$16),BQ15*($O$15+$BK$116)/$BL$116,"")</f>
        <v/>
      </c>
      <c r="BO15" s="72" t="str">
        <f t="shared" ref="BO15:BO46" si="31">IF(ISNUMBER(BN15),BN15*$M15,"")</f>
        <v/>
      </c>
      <c r="BP15" s="39"/>
      <c r="BQ15" s="72">
        <f t="shared" ref="BQ15:BQ46" si="32">IF($K15&lt;=$F$15,$F$134,"")</f>
        <v>3574820495.910316</v>
      </c>
      <c r="BR15" s="72">
        <f t="shared" ref="BR15:BR46" si="33">IF(ISNUMBER(BQ15),BQ15*$M15,"")</f>
        <v>3470699510.5925398</v>
      </c>
    </row>
    <row r="16" spans="1:70" x14ac:dyDescent="0.15">
      <c r="C16" s="184" t="s">
        <v>107</v>
      </c>
      <c r="F16" s="474" t="str">
        <f>IF(ISERROR(VLOOKUP(F3&amp;IF(G4&lt;&gt;"","_"&amp;G4,""),'表7）買取期間・IRR'!$A$3:$A$10,1,0)),"",VLOOKUP(F3&amp;IF(G4&lt;&gt;"","_"&amp;G4,""),'表7）買取期間・IRR'!$A$3:$C$10,IF(F7=2030,4,IF(F7=2020,3,IF(F7=2014,2,"-"))),0))</f>
        <v/>
      </c>
      <c r="G16" s="84" t="s">
        <v>556</v>
      </c>
      <c r="I16" s="322">
        <f t="shared" ref="I16:I47" si="34">I15+1</f>
        <v>2031</v>
      </c>
      <c r="K16" s="71">
        <f t="shared" ref="K16:K47" si="35">IF(I16&lt;&gt;"",K15+1,"")</f>
        <v>2</v>
      </c>
      <c r="M16" s="7">
        <f t="shared" si="0"/>
        <v>0.94259590913375435</v>
      </c>
      <c r="O16" s="10">
        <f t="shared" ref="O16:O47" si="36">IF(K16&lt;=$F$15,O15-V15,"")</f>
        <v>182614227477.16019</v>
      </c>
      <c r="P16" s="29">
        <f t="shared" si="1"/>
        <v>0.16700000000000001</v>
      </c>
      <c r="R16" s="10">
        <f t="shared" ref="R16:R47" si="37">IF($K16&lt;=$F$15,MAX($F$117*5%,R15*$F$129),"")</f>
        <v>188028179989.80173</v>
      </c>
      <c r="T16" s="10">
        <f t="shared" si="2"/>
        <v>188028179000</v>
      </c>
      <c r="V16" s="10">
        <f t="shared" si="3"/>
        <v>30496575988.685753</v>
      </c>
      <c r="W16" s="10">
        <f t="shared" si="4"/>
        <v>28745947769.52187</v>
      </c>
      <c r="Y16" s="10">
        <f t="shared" si="5"/>
        <v>2632394500</v>
      </c>
      <c r="Z16" s="10">
        <f t="shared" si="6"/>
        <v>2481284286.9261947</v>
      </c>
      <c r="AB16" s="10">
        <f t="shared" si="7"/>
        <v>0</v>
      </c>
      <c r="AC16" s="10">
        <f t="shared" si="8"/>
        <v>0</v>
      </c>
      <c r="AE16" s="10">
        <f t="shared" si="9"/>
        <v>0</v>
      </c>
      <c r="AF16" s="10">
        <f t="shared" si="10"/>
        <v>0</v>
      </c>
      <c r="AH16" s="10">
        <f t="shared" si="11"/>
        <v>440000000.00000006</v>
      </c>
      <c r="AI16" s="10">
        <f t="shared" si="12"/>
        <v>414742200.018852</v>
      </c>
      <c r="AK16" s="10">
        <f t="shared" si="13"/>
        <v>5261394309.0658388</v>
      </c>
      <c r="AL16" s="10">
        <f t="shared" si="14"/>
        <v>4959368752.0650759</v>
      </c>
      <c r="AN16" s="10">
        <f t="shared" si="15"/>
        <v>4822944783.3103533</v>
      </c>
      <c r="AO16" s="10">
        <f t="shared" si="16"/>
        <v>4546088022.7263203</v>
      </c>
      <c r="AQ16" s="10">
        <f t="shared" si="17"/>
        <v>1283969369.2698953</v>
      </c>
      <c r="AR16" s="10">
        <f t="shared" si="18"/>
        <v>1210264274.9268501</v>
      </c>
      <c r="AT16" s="40">
        <f>IF($K16&lt;=$F$15,IF($F$40&lt;&gt;"",$F$40/1000,IF(ISERROR(VLOOKUP($F$3&amp;IF($G$4&lt;&gt;"",$G$4,"")&amp;IF($F$43&lt;&gt;"","_"&amp;$F$43,""),'表3）燃料価格'!$AF$9:$AG$25,2,0)),0,VLOOKUP($I16,'表3）燃料価格'!$A$6:$U$66,VLOOKUP($F$3&amp;IF($G$4&lt;&gt;"",$G$4,"")&amp;IF($F$43&lt;&gt;"","_"&amp;$F$43,""),'表3）燃料価格'!$AF$9:$AG$25,2,0)+VLOOKUP($F$41,'表3）燃料価格'!$AF$28:$AG$29,2,0),0)*IF($F$43="需要地価格",1,$F$8/$F$141))),"")</f>
        <v>10.869059999999999</v>
      </c>
      <c r="AV16" s="10">
        <f t="shared" si="19"/>
        <v>17528819487.201187</v>
      </c>
      <c r="AW16" s="10">
        <f t="shared" si="20"/>
        <v>16522593540.579872</v>
      </c>
      <c r="AY16" s="40">
        <f>IF(ISERROR(IF($K16&lt;=$F$15,VLOOKUP($I16,'表4）CO2価格'!$A$7:$E$67,VLOOKUP($F$48,'表4）CO2価格'!$H$10:$I$12,2,0),0)*$F$8/1000,"")),0,IF($K16&lt;=$F$15,VLOOKUP($I16,'表4）CO2価格'!$A$7:$E$67,VLOOKUP($F$48,'表4）CO2価格'!$H$10:$I$12,2,0),0)*$F$8/1000,""))</f>
        <v>4.4083999999999808</v>
      </c>
      <c r="BA16" s="11">
        <f t="shared" si="21"/>
        <v>13947403618.732077</v>
      </c>
      <c r="BB16" s="10">
        <f t="shared" si="22"/>
        <v>13146765594.054176</v>
      </c>
      <c r="BD16" s="10">
        <f t="shared" si="23"/>
        <v>0</v>
      </c>
      <c r="BE16" s="10">
        <f t="shared" si="24"/>
        <v>0</v>
      </c>
      <c r="BG16" s="11">
        <f t="shared" si="25"/>
        <v>0</v>
      </c>
      <c r="BH16" s="10">
        <f t="shared" si="26"/>
        <v>0</v>
      </c>
      <c r="BJ16" s="7" t="str">
        <f t="shared" si="27"/>
        <v/>
      </c>
      <c r="BK16" s="158" t="str">
        <f t="shared" si="28"/>
        <v/>
      </c>
      <c r="BL16" s="158" t="str">
        <f t="shared" si="29"/>
        <v/>
      </c>
      <c r="BM16" s="10"/>
      <c r="BN16" s="10" t="str">
        <f t="shared" si="30"/>
        <v/>
      </c>
      <c r="BO16" s="10" t="str">
        <f t="shared" si="31"/>
        <v/>
      </c>
      <c r="BQ16" s="10">
        <f t="shared" si="32"/>
        <v>3574820495.910316</v>
      </c>
      <c r="BR16" s="10">
        <f t="shared" si="33"/>
        <v>3369611175.3325629</v>
      </c>
    </row>
    <row r="17" spans="1:70" x14ac:dyDescent="0.15">
      <c r="C17" s="71" t="s">
        <v>109</v>
      </c>
      <c r="F17" s="476" t="str">
        <f>IF(ISERROR(VLOOKUP(F3&amp;IF(G4&lt;&gt;"","_"&amp;G4,""),'表7）買取期間・IRR'!$A$14:$A$21,1,0)),"",VLOOKUP(F3&amp;IF(G4&lt;&gt;"","_"&amp;G4,""),'表7）買取期間・IRR'!$A$14:$C$21,IF(F7=2030,4,IF(F7=2020,3,IF(F7=2014,2,"-"))),0))</f>
        <v/>
      </c>
      <c r="G17" s="84" t="s">
        <v>549</v>
      </c>
      <c r="I17" s="38">
        <f t="shared" si="34"/>
        <v>2032</v>
      </c>
      <c r="J17" s="39"/>
      <c r="K17" s="39">
        <f t="shared" si="35"/>
        <v>3</v>
      </c>
      <c r="L17" s="39"/>
      <c r="M17" s="40">
        <f t="shared" si="0"/>
        <v>0.91514165935315961</v>
      </c>
      <c r="N17" s="39"/>
      <c r="O17" s="72">
        <f t="shared" si="36"/>
        <v>152117651488.47443</v>
      </c>
      <c r="P17" s="41">
        <f t="shared" si="1"/>
        <v>0.16700000000000001</v>
      </c>
      <c r="Q17" s="39"/>
      <c r="R17" s="72">
        <f t="shared" si="37"/>
        <v>161270998796.76337</v>
      </c>
      <c r="S17" s="39"/>
      <c r="T17" s="72">
        <f t="shared" si="2"/>
        <v>161270998000</v>
      </c>
      <c r="U17" s="39"/>
      <c r="V17" s="72">
        <f t="shared" si="3"/>
        <v>25403647798.57523</v>
      </c>
      <c r="W17" s="72">
        <f t="shared" si="4"/>
        <v>23247936400.011375</v>
      </c>
      <c r="X17" s="39"/>
      <c r="Y17" s="72">
        <f t="shared" si="5"/>
        <v>2257793900</v>
      </c>
      <c r="Z17" s="72">
        <f t="shared" si="6"/>
        <v>2066201256.1234417</v>
      </c>
      <c r="AA17" s="39"/>
      <c r="AB17" s="72">
        <f t="shared" si="7"/>
        <v>0</v>
      </c>
      <c r="AC17" s="72">
        <f t="shared" si="8"/>
        <v>0</v>
      </c>
      <c r="AD17" s="39"/>
      <c r="AE17" s="72">
        <f t="shared" si="9"/>
        <v>0</v>
      </c>
      <c r="AF17" s="72">
        <f t="shared" si="10"/>
        <v>0</v>
      </c>
      <c r="AG17" s="39"/>
      <c r="AH17" s="72">
        <f t="shared" si="11"/>
        <v>440000000.00000006</v>
      </c>
      <c r="AI17" s="72">
        <f t="shared" si="12"/>
        <v>402662330.1153903</v>
      </c>
      <c r="AJ17" s="39"/>
      <c r="AK17" s="72">
        <f t="shared" si="13"/>
        <v>5261394309.0658388</v>
      </c>
      <c r="AL17" s="72">
        <f t="shared" si="14"/>
        <v>4814921118.5097828</v>
      </c>
      <c r="AM17" s="39"/>
      <c r="AN17" s="72">
        <f t="shared" si="15"/>
        <v>4822944783.3103533</v>
      </c>
      <c r="AO17" s="72">
        <f t="shared" si="16"/>
        <v>4413677691.9673014</v>
      </c>
      <c r="AP17" s="39"/>
      <c r="AQ17" s="72">
        <f t="shared" si="17"/>
        <v>1283969369.2698953</v>
      </c>
      <c r="AR17" s="72">
        <f t="shared" si="18"/>
        <v>1175013859.1522818</v>
      </c>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10.869059999999999</v>
      </c>
      <c r="AU17" s="39"/>
      <c r="AV17" s="72">
        <f t="shared" si="19"/>
        <v>17528819487.201187</v>
      </c>
      <c r="AW17" s="72">
        <f t="shared" si="20"/>
        <v>16041352952.019295</v>
      </c>
      <c r="AX17" s="39"/>
      <c r="AY17" s="40">
        <f>IF(ISERROR(IF($K17&lt;=$F$15,VLOOKUP($I17,'表4）CO2価格'!$A$7:$E$67,VLOOKUP($F$48,'表4）CO2価格'!$H$10:$I$12,2,0),0)*$F$8/1000,"")),0,IF($K17&lt;=$F$15,VLOOKUP($I17,'表4）CO2価格'!$A$7:$E$67,VLOOKUP($F$48,'表4）CO2価格'!$H$10:$I$12,2,0),0)*$F$8/1000,""))</f>
        <v>4.5368000000000102</v>
      </c>
      <c r="AZ17" s="39"/>
      <c r="BA17" s="42">
        <f t="shared" si="21"/>
        <v>14353638675.588446</v>
      </c>
      <c r="BB17" s="72">
        <f t="shared" si="22"/>
        <v>13135612715.333698</v>
      </c>
      <c r="BC17" s="39"/>
      <c r="BD17" s="72">
        <f t="shared" si="23"/>
        <v>0</v>
      </c>
      <c r="BE17" s="72">
        <f t="shared" si="24"/>
        <v>0</v>
      </c>
      <c r="BF17" s="39"/>
      <c r="BG17" s="42">
        <f t="shared" si="25"/>
        <v>0</v>
      </c>
      <c r="BH17" s="72">
        <f t="shared" si="26"/>
        <v>0</v>
      </c>
      <c r="BI17" s="39"/>
      <c r="BJ17" s="40" t="str">
        <f t="shared" si="27"/>
        <v/>
      </c>
      <c r="BK17" s="157" t="str">
        <f t="shared" si="28"/>
        <v/>
      </c>
      <c r="BL17" s="157" t="str">
        <f t="shared" si="29"/>
        <v/>
      </c>
      <c r="BM17" s="72"/>
      <c r="BN17" s="72" t="str">
        <f t="shared" si="30"/>
        <v/>
      </c>
      <c r="BO17" s="72" t="str">
        <f t="shared" si="31"/>
        <v/>
      </c>
      <c r="BP17" s="39"/>
      <c r="BQ17" s="72">
        <f t="shared" si="32"/>
        <v>3574820495.910316</v>
      </c>
      <c r="BR17" s="72">
        <f t="shared" si="33"/>
        <v>3271467160.5170517</v>
      </c>
    </row>
    <row r="18" spans="1:70" x14ac:dyDescent="0.15">
      <c r="A18" s="73"/>
      <c r="C18" s="71" t="s">
        <v>656</v>
      </c>
      <c r="F18" s="508">
        <v>90</v>
      </c>
      <c r="G18" s="84" t="s">
        <v>549</v>
      </c>
      <c r="H18" s="511"/>
      <c r="I18" s="322">
        <f t="shared" si="34"/>
        <v>2033</v>
      </c>
      <c r="K18" s="71">
        <f t="shared" si="35"/>
        <v>4</v>
      </c>
      <c r="M18" s="7">
        <f t="shared" si="0"/>
        <v>0.888487047915689</v>
      </c>
      <c r="O18" s="10">
        <f t="shared" si="36"/>
        <v>126714003689.8992</v>
      </c>
      <c r="P18" s="29">
        <f t="shared" si="1"/>
        <v>0.16700000000000001</v>
      </c>
      <c r="R18" s="10">
        <f t="shared" si="37"/>
        <v>138321474229.64096</v>
      </c>
      <c r="T18" s="10">
        <f t="shared" si="2"/>
        <v>138321474000</v>
      </c>
      <c r="V18" s="10">
        <f t="shared" si="3"/>
        <v>21161238616.213169</v>
      </c>
      <c r="W18" s="10">
        <f t="shared" si="4"/>
        <v>18801486428.358719</v>
      </c>
      <c r="Y18" s="10">
        <f t="shared" si="5"/>
        <v>1936500600</v>
      </c>
      <c r="Z18" s="10">
        <f t="shared" si="6"/>
        <v>1720555701.3809605</v>
      </c>
      <c r="AB18" s="10">
        <f t="shared" si="7"/>
        <v>0</v>
      </c>
      <c r="AC18" s="10">
        <f t="shared" si="8"/>
        <v>0</v>
      </c>
      <c r="AE18" s="10">
        <f t="shared" si="9"/>
        <v>0</v>
      </c>
      <c r="AF18" s="10">
        <f t="shared" si="10"/>
        <v>0</v>
      </c>
      <c r="AH18" s="10">
        <f t="shared" si="11"/>
        <v>440000000.00000006</v>
      </c>
      <c r="AI18" s="10">
        <f t="shared" si="12"/>
        <v>390934301.08290321</v>
      </c>
      <c r="AK18" s="10">
        <f t="shared" si="13"/>
        <v>5261394309.0658388</v>
      </c>
      <c r="AL18" s="10">
        <f t="shared" si="14"/>
        <v>4674680697.5823135</v>
      </c>
      <c r="AN18" s="10">
        <f t="shared" si="15"/>
        <v>4822944783.3103533</v>
      </c>
      <c r="AO18" s="10">
        <f t="shared" si="16"/>
        <v>4285123972.7837882</v>
      </c>
      <c r="AQ18" s="10">
        <f t="shared" si="17"/>
        <v>1283969369.2698953</v>
      </c>
      <c r="AR18" s="10">
        <f t="shared" si="18"/>
        <v>1140790154.5167785</v>
      </c>
      <c r="AT18" s="40">
        <f>IF($K18&lt;=$F$15,IF($F$40&lt;&gt;"",$F$40/1000,IF(ISERROR(VLOOKUP($F$3&amp;IF($G$4&lt;&gt;"",$G$4,"")&amp;IF($F$43&lt;&gt;"","_"&amp;$F$43,""),'表3）燃料価格'!$AF$9:$AG$25,2,0)),0,VLOOKUP($I18,'表3）燃料価格'!$A$6:$U$66,VLOOKUP($F$3&amp;IF($G$4&lt;&gt;"",$G$4,"")&amp;IF($F$43&lt;&gt;"","_"&amp;$F$43,""),'表3）燃料価格'!$AF$9:$AG$25,2,0)+VLOOKUP($F$41,'表3）燃料価格'!$AF$28:$AG$29,2,0),0)*IF($F$43="需要地価格",1,$F$8/$F$141))),"")</f>
        <v>10.869059999999999</v>
      </c>
      <c r="AV18" s="10">
        <f t="shared" si="19"/>
        <v>17528819487.201187</v>
      </c>
      <c r="AW18" s="10">
        <f t="shared" si="20"/>
        <v>15574129079.630384</v>
      </c>
      <c r="AY18" s="40">
        <f>IF(ISERROR(IF($K18&lt;=$F$15,VLOOKUP($I18,'表4）CO2価格'!$A$7:$E$67,VLOOKUP($F$48,'表4）CO2価格'!$H$10:$I$12,2,0),0)*$F$8/1000,"")),0,IF($K18&lt;=$F$15,VLOOKUP($I18,'表4）CO2価格'!$A$7:$E$67,VLOOKUP($F$48,'表4）CO2価格'!$H$10:$I$12,2,0),0)*$F$8/1000,""))</f>
        <v>4.6651999999999898</v>
      </c>
      <c r="BA18" s="11">
        <f t="shared" si="21"/>
        <v>14759873732.444658</v>
      </c>
      <c r="BB18" s="10">
        <f t="shared" si="22"/>
        <v>13113956640.148077</v>
      </c>
      <c r="BD18" s="10">
        <f t="shared" si="23"/>
        <v>0</v>
      </c>
      <c r="BE18" s="10">
        <f t="shared" si="24"/>
        <v>0</v>
      </c>
      <c r="BG18" s="11">
        <f t="shared" si="25"/>
        <v>0</v>
      </c>
      <c r="BH18" s="10">
        <f t="shared" si="26"/>
        <v>0</v>
      </c>
      <c r="BJ18" s="7" t="str">
        <f t="shared" si="27"/>
        <v/>
      </c>
      <c r="BK18" s="158" t="str">
        <f t="shared" si="28"/>
        <v/>
      </c>
      <c r="BL18" s="158" t="str">
        <f t="shared" si="29"/>
        <v/>
      </c>
      <c r="BM18" s="10"/>
      <c r="BN18" s="10" t="str">
        <f t="shared" si="30"/>
        <v/>
      </c>
      <c r="BO18" s="10" t="str">
        <f t="shared" si="31"/>
        <v/>
      </c>
      <c r="BQ18" s="10">
        <f t="shared" si="32"/>
        <v>3574820495.910316</v>
      </c>
      <c r="BR18" s="10">
        <f t="shared" si="33"/>
        <v>3176181709.2398562</v>
      </c>
    </row>
    <row r="19" spans="1:70" x14ac:dyDescent="0.15">
      <c r="C19" s="4" t="s">
        <v>557</v>
      </c>
      <c r="D19" s="100"/>
      <c r="E19" s="100"/>
      <c r="F19" s="4"/>
      <c r="G19" s="100"/>
      <c r="I19" s="38">
        <f t="shared" si="34"/>
        <v>2034</v>
      </c>
      <c r="J19" s="39"/>
      <c r="K19" s="39">
        <f t="shared" si="35"/>
        <v>5</v>
      </c>
      <c r="L19" s="39"/>
      <c r="M19" s="40">
        <f t="shared" si="0"/>
        <v>0.86260878438416411</v>
      </c>
      <c r="N19" s="39"/>
      <c r="O19" s="72">
        <f t="shared" si="36"/>
        <v>105552765073.68604</v>
      </c>
      <c r="P19" s="41">
        <f t="shared" si="1"/>
        <v>0.16700000000000001</v>
      </c>
      <c r="Q19" s="39"/>
      <c r="R19" s="72">
        <f t="shared" si="37"/>
        <v>118637761133.80911</v>
      </c>
      <c r="S19" s="39"/>
      <c r="T19" s="72">
        <f t="shared" si="2"/>
        <v>118637761000</v>
      </c>
      <c r="U19" s="39"/>
      <c r="V19" s="72">
        <f t="shared" si="3"/>
        <v>17627311767.305569</v>
      </c>
      <c r="W19" s="72">
        <f t="shared" si="4"/>
        <v>15205473975.556128</v>
      </c>
      <c r="X19" s="39"/>
      <c r="Y19" s="72">
        <f t="shared" si="5"/>
        <v>1660928600</v>
      </c>
      <c r="Z19" s="72">
        <f t="shared" si="6"/>
        <v>1432731600.5948915</v>
      </c>
      <c r="AA19" s="39"/>
      <c r="AB19" s="72">
        <f t="shared" si="7"/>
        <v>0</v>
      </c>
      <c r="AC19" s="72">
        <f t="shared" si="8"/>
        <v>0</v>
      </c>
      <c r="AD19" s="39"/>
      <c r="AE19" s="72">
        <f t="shared" si="9"/>
        <v>0</v>
      </c>
      <c r="AF19" s="72">
        <f t="shared" si="10"/>
        <v>0</v>
      </c>
      <c r="AG19" s="39"/>
      <c r="AH19" s="72">
        <f t="shared" si="11"/>
        <v>440000000.00000006</v>
      </c>
      <c r="AI19" s="72">
        <f t="shared" si="12"/>
        <v>379547865.12903225</v>
      </c>
      <c r="AJ19" s="39"/>
      <c r="AK19" s="72">
        <f t="shared" si="13"/>
        <v>5261394309.0658388</v>
      </c>
      <c r="AL19" s="72">
        <f t="shared" si="14"/>
        <v>4538524949.1090422</v>
      </c>
      <c r="AM19" s="39"/>
      <c r="AN19" s="72">
        <f t="shared" si="15"/>
        <v>4822944783.3103533</v>
      </c>
      <c r="AO19" s="72">
        <f t="shared" si="16"/>
        <v>4160314536.6832895</v>
      </c>
      <c r="AP19" s="39"/>
      <c r="AQ19" s="72">
        <f t="shared" si="17"/>
        <v>1283969369.2698953</v>
      </c>
      <c r="AR19" s="72">
        <f t="shared" si="18"/>
        <v>1107563256.8124063</v>
      </c>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10.869059999999999</v>
      </c>
      <c r="AU19" s="39"/>
      <c r="AV19" s="72">
        <f t="shared" si="19"/>
        <v>17528819487.201187</v>
      </c>
      <c r="AW19" s="72">
        <f t="shared" si="20"/>
        <v>15120513669.544064</v>
      </c>
      <c r="AX19" s="39"/>
      <c r="AY19" s="40">
        <f>IF(ISERROR(IF($K19&lt;=$F$15,VLOOKUP($I19,'表4）CO2価格'!$A$7:$E$67,VLOOKUP($F$48,'表4）CO2価格'!$H$10:$I$12,2,0),0)*$F$8/1000,"")),0,IF($K19&lt;=$F$15,VLOOKUP($I19,'表4）CO2価格'!$A$7:$E$67,VLOOKUP($F$48,'表4）CO2価格'!$H$10:$I$12,2,0),0)*$F$8/1000,""))</f>
        <v>4.7935999999999712</v>
      </c>
      <c r="AZ19" s="39"/>
      <c r="BA19" s="42">
        <f t="shared" si="21"/>
        <v>15166108789.300875</v>
      </c>
      <c r="BB19" s="72">
        <f t="shared" si="22"/>
        <v>13082418666.576815</v>
      </c>
      <c r="BC19" s="39"/>
      <c r="BD19" s="72">
        <f t="shared" si="23"/>
        <v>0</v>
      </c>
      <c r="BE19" s="72">
        <f t="shared" si="24"/>
        <v>0</v>
      </c>
      <c r="BF19" s="39"/>
      <c r="BG19" s="42">
        <f t="shared" si="25"/>
        <v>0</v>
      </c>
      <c r="BH19" s="72">
        <f t="shared" si="26"/>
        <v>0</v>
      </c>
      <c r="BI19" s="39"/>
      <c r="BJ19" s="40" t="str">
        <f t="shared" si="27"/>
        <v/>
      </c>
      <c r="BK19" s="157" t="str">
        <f t="shared" si="28"/>
        <v/>
      </c>
      <c r="BL19" s="157" t="str">
        <f t="shared" si="29"/>
        <v/>
      </c>
      <c r="BM19" s="72"/>
      <c r="BN19" s="72" t="str">
        <f t="shared" si="30"/>
        <v/>
      </c>
      <c r="BO19" s="72" t="str">
        <f t="shared" si="31"/>
        <v/>
      </c>
      <c r="BP19" s="39"/>
      <c r="BQ19" s="72">
        <f t="shared" si="32"/>
        <v>3574820495.910316</v>
      </c>
      <c r="BR19" s="72">
        <f t="shared" si="33"/>
        <v>3083671562.3687925</v>
      </c>
    </row>
    <row r="20" spans="1:70" x14ac:dyDescent="0.15">
      <c r="I20" s="322">
        <f t="shared" si="34"/>
        <v>2035</v>
      </c>
      <c r="K20" s="71">
        <f t="shared" si="35"/>
        <v>6</v>
      </c>
      <c r="M20" s="7">
        <f t="shared" si="0"/>
        <v>0.83748425668365445</v>
      </c>
      <c r="O20" s="10">
        <f t="shared" si="36"/>
        <v>87925453306.380463</v>
      </c>
      <c r="P20" s="29">
        <f t="shared" si="1"/>
        <v>0.16700000000000001</v>
      </c>
      <c r="R20" s="10">
        <f t="shared" si="37"/>
        <v>101755121142.47426</v>
      </c>
      <c r="T20" s="10">
        <f t="shared" si="2"/>
        <v>101755121000</v>
      </c>
      <c r="V20" s="10">
        <f t="shared" si="3"/>
        <v>14683550702.165539</v>
      </c>
      <c r="W20" s="10">
        <f t="shared" si="4"/>
        <v>12297242545.27986</v>
      </c>
      <c r="Y20" s="10">
        <f t="shared" si="5"/>
        <v>1424571600</v>
      </c>
      <c r="Z20" s="10">
        <f t="shared" si="6"/>
        <v>1193056287.5186443</v>
      </c>
      <c r="AB20" s="10">
        <f t="shared" si="7"/>
        <v>0</v>
      </c>
      <c r="AC20" s="10">
        <f t="shared" si="8"/>
        <v>0</v>
      </c>
      <c r="AE20" s="10">
        <f t="shared" si="9"/>
        <v>0</v>
      </c>
      <c r="AF20" s="10">
        <f t="shared" si="10"/>
        <v>0</v>
      </c>
      <c r="AH20" s="10">
        <f t="shared" si="11"/>
        <v>440000000.00000006</v>
      </c>
      <c r="AI20" s="10">
        <f t="shared" si="12"/>
        <v>368493072.940808</v>
      </c>
      <c r="AK20" s="10">
        <f t="shared" si="13"/>
        <v>5261394309.0658388</v>
      </c>
      <c r="AL20" s="10">
        <f t="shared" si="14"/>
        <v>4406334902.0476141</v>
      </c>
      <c r="AN20" s="10">
        <f t="shared" si="15"/>
        <v>4822944783.3103533</v>
      </c>
      <c r="AO20" s="10">
        <f t="shared" si="16"/>
        <v>4039140326.8769803</v>
      </c>
      <c r="AQ20" s="10">
        <f t="shared" si="17"/>
        <v>1283969369.2698953</v>
      </c>
      <c r="AR20" s="10">
        <f t="shared" si="18"/>
        <v>1075304132.827579</v>
      </c>
      <c r="AT20" s="40">
        <f>IF($K20&lt;=$F$15,IF($F$40&lt;&gt;"",$F$40/1000,IF(ISERROR(VLOOKUP($F$3&amp;IF($G$4&lt;&gt;"",$G$4,"")&amp;IF($F$43&lt;&gt;"","_"&amp;$F$43,""),'表3）燃料価格'!$AF$9:$AG$25,2,0)),0,VLOOKUP($I20,'表3）燃料価格'!$A$6:$U$66,VLOOKUP($F$3&amp;IF($G$4&lt;&gt;"",$G$4,"")&amp;IF($F$43&lt;&gt;"","_"&amp;$F$43,""),'表3）燃料価格'!$AF$9:$AG$25,2,0)+VLOOKUP($F$41,'表3）燃料価格'!$AF$28:$AG$29,2,0),0)*IF($F$43="需要地価格",1,$F$8/$F$141))),"")</f>
        <v>10.869059999999999</v>
      </c>
      <c r="AV20" s="10">
        <f t="shared" si="19"/>
        <v>17528819487.201187</v>
      </c>
      <c r="AW20" s="10">
        <f t="shared" si="20"/>
        <v>14680110358.780643</v>
      </c>
      <c r="AY20" s="40">
        <f>IF(ISERROR(IF($K20&lt;=$F$15,VLOOKUP($I20,'表4）CO2価格'!$A$7:$E$67,VLOOKUP($F$48,'表4）CO2価格'!$H$10:$I$12,2,0),0)*$F$8/1000,"")),0,IF($K20&lt;=$F$15,VLOOKUP($I20,'表4）CO2価格'!$A$7:$E$67,VLOOKUP($F$48,'表4）CO2価格'!$H$10:$I$12,2,0),0)*$F$8/1000,""))</f>
        <v>4.9219999999999997</v>
      </c>
      <c r="BA20" s="11">
        <f t="shared" si="21"/>
        <v>15572343846.15724</v>
      </c>
      <c r="BB20" s="10">
        <f t="shared" si="22"/>
        <v>13041592810.821278</v>
      </c>
      <c r="BD20" s="10">
        <f t="shared" si="23"/>
        <v>0</v>
      </c>
      <c r="BE20" s="10">
        <f t="shared" si="24"/>
        <v>0</v>
      </c>
      <c r="BG20" s="11">
        <f t="shared" si="25"/>
        <v>0</v>
      </c>
      <c r="BH20" s="10">
        <f t="shared" si="26"/>
        <v>0</v>
      </c>
      <c r="BJ20" s="7" t="str">
        <f t="shared" si="27"/>
        <v/>
      </c>
      <c r="BK20" s="158" t="str">
        <f t="shared" si="28"/>
        <v/>
      </c>
      <c r="BL20" s="158" t="str">
        <f t="shared" si="29"/>
        <v/>
      </c>
      <c r="BM20" s="10"/>
      <c r="BN20" s="10" t="str">
        <f t="shared" si="30"/>
        <v/>
      </c>
      <c r="BO20" s="10" t="str">
        <f t="shared" si="31"/>
        <v/>
      </c>
      <c r="BQ20" s="10">
        <f t="shared" si="32"/>
        <v>3574820495.910316</v>
      </c>
      <c r="BR20" s="10">
        <f t="shared" si="33"/>
        <v>2993855885.7949438</v>
      </c>
    </row>
    <row r="21" spans="1:70" x14ac:dyDescent="0.15">
      <c r="D21" s="84" t="s">
        <v>558</v>
      </c>
      <c r="F21" s="512">
        <f>'石炭火力（2030年）'!F21+(((((F146/1000)/(365*24*(F14/100)))/603)^0.6)*56643000000)/(F13*10000)/10000</f>
        <v>31.317823268249043</v>
      </c>
      <c r="G21" s="84" t="s">
        <v>559</v>
      </c>
      <c r="I21" s="38">
        <f t="shared" si="34"/>
        <v>2036</v>
      </c>
      <c r="J21" s="39"/>
      <c r="K21" s="39">
        <f t="shared" si="35"/>
        <v>7</v>
      </c>
      <c r="L21" s="39"/>
      <c r="M21" s="40">
        <f t="shared" si="0"/>
        <v>0.81309151134335378</v>
      </c>
      <c r="N21" s="39"/>
      <c r="O21" s="72">
        <f t="shared" si="36"/>
        <v>73241902604.21492</v>
      </c>
      <c r="P21" s="41">
        <f t="shared" si="1"/>
        <v>0.16700000000000001</v>
      </c>
      <c r="Q21" s="39"/>
      <c r="R21" s="72">
        <f t="shared" si="37"/>
        <v>87274950064.519745</v>
      </c>
      <c r="S21" s="39"/>
      <c r="T21" s="72">
        <f t="shared" si="2"/>
        <v>87274950000</v>
      </c>
      <c r="U21" s="39"/>
      <c r="V21" s="72">
        <f t="shared" si="3"/>
        <v>12231397734.903893</v>
      </c>
      <c r="W21" s="72">
        <f t="shared" si="4"/>
        <v>9945245670.1146793</v>
      </c>
      <c r="X21" s="39"/>
      <c r="Y21" s="72">
        <f t="shared" si="5"/>
        <v>1221849300</v>
      </c>
      <c r="Z21" s="72">
        <f t="shared" si="6"/>
        <v>993475293.97081888</v>
      </c>
      <c r="AA21" s="39"/>
      <c r="AB21" s="72">
        <f t="shared" si="7"/>
        <v>0</v>
      </c>
      <c r="AC21" s="72">
        <f t="shared" si="8"/>
        <v>0</v>
      </c>
      <c r="AD21" s="39"/>
      <c r="AE21" s="72">
        <f t="shared" si="9"/>
        <v>0</v>
      </c>
      <c r="AF21" s="72">
        <f t="shared" si="10"/>
        <v>0</v>
      </c>
      <c r="AG21" s="39"/>
      <c r="AH21" s="72">
        <f t="shared" si="11"/>
        <v>440000000.00000006</v>
      </c>
      <c r="AI21" s="72">
        <f t="shared" si="12"/>
        <v>357760264.99107569</v>
      </c>
      <c r="AJ21" s="39"/>
      <c r="AK21" s="72">
        <f t="shared" si="13"/>
        <v>5261394309.0658388</v>
      </c>
      <c r="AL21" s="72">
        <f t="shared" si="14"/>
        <v>4277995050.5316634</v>
      </c>
      <c r="AM21" s="39"/>
      <c r="AN21" s="72">
        <f t="shared" si="15"/>
        <v>4822944783.3103533</v>
      </c>
      <c r="AO21" s="72">
        <f t="shared" si="16"/>
        <v>3921495462.987359</v>
      </c>
      <c r="AP21" s="39"/>
      <c r="AQ21" s="72">
        <f t="shared" si="17"/>
        <v>1283969369.2698953</v>
      </c>
      <c r="AR21" s="72">
        <f t="shared" si="18"/>
        <v>1043984594.9782319</v>
      </c>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10.869059999999999</v>
      </c>
      <c r="AU21" s="39"/>
      <c r="AV21" s="72">
        <f t="shared" si="19"/>
        <v>17528819487.201187</v>
      </c>
      <c r="AW21" s="72">
        <f t="shared" si="20"/>
        <v>14252534328.913244</v>
      </c>
      <c r="AX21" s="39"/>
      <c r="AY21" s="40">
        <f>IF(ISERROR(IF($K21&lt;=$F$15,VLOOKUP($I21,'表4）CO2価格'!$A$7:$E$67,VLOOKUP($F$48,'表4）CO2価格'!$H$10:$I$12,2,0),0)*$F$8/1000,"")),0,IF($K21&lt;=$F$15,VLOOKUP($I21,'表4）CO2価格'!$A$7:$E$67,VLOOKUP($F$48,'表4）CO2価格'!$H$10:$I$12,2,0),0)*$F$8/1000,""))</f>
        <v>5.0503999999999802</v>
      </c>
      <c r="AZ21" s="39"/>
      <c r="BA21" s="42">
        <f t="shared" si="21"/>
        <v>15978578903.013454</v>
      </c>
      <c r="BB21" s="72">
        <f t="shared" si="22"/>
        <v>12992046869.370237</v>
      </c>
      <c r="BC21" s="39"/>
      <c r="BD21" s="72">
        <f t="shared" si="23"/>
        <v>0</v>
      </c>
      <c r="BE21" s="72">
        <f t="shared" si="24"/>
        <v>0</v>
      </c>
      <c r="BF21" s="39"/>
      <c r="BG21" s="42">
        <f t="shared" si="25"/>
        <v>0</v>
      </c>
      <c r="BH21" s="72">
        <f t="shared" si="26"/>
        <v>0</v>
      </c>
      <c r="BI21" s="39"/>
      <c r="BJ21" s="40" t="str">
        <f t="shared" si="27"/>
        <v/>
      </c>
      <c r="BK21" s="157" t="str">
        <f t="shared" si="28"/>
        <v/>
      </c>
      <c r="BL21" s="157" t="str">
        <f t="shared" si="29"/>
        <v/>
      </c>
      <c r="BM21" s="72"/>
      <c r="BN21" s="72" t="str">
        <f t="shared" si="30"/>
        <v/>
      </c>
      <c r="BO21" s="72" t="str">
        <f t="shared" si="31"/>
        <v/>
      </c>
      <c r="BP21" s="39"/>
      <c r="BQ21" s="72">
        <f t="shared" si="32"/>
        <v>3574820495.910316</v>
      </c>
      <c r="BR21" s="72">
        <f t="shared" si="33"/>
        <v>2906656199.8009162</v>
      </c>
    </row>
    <row r="22" spans="1:70" ht="16.5" x14ac:dyDescent="0.15">
      <c r="D22" s="84" t="s">
        <v>560</v>
      </c>
      <c r="F22" s="512">
        <f>'石炭火力（2030年）'!F22</f>
        <v>26.08</v>
      </c>
      <c r="G22" s="71" t="s">
        <v>561</v>
      </c>
      <c r="I22" s="322">
        <f t="shared" si="34"/>
        <v>2037</v>
      </c>
      <c r="K22" s="71">
        <f t="shared" si="35"/>
        <v>8</v>
      </c>
      <c r="M22" s="7">
        <f t="shared" si="0"/>
        <v>0.78940923431393573</v>
      </c>
      <c r="O22" s="10">
        <f t="shared" si="36"/>
        <v>61010504869.311028</v>
      </c>
      <c r="P22" s="29">
        <f t="shared" si="1"/>
        <v>0.16700000000000001</v>
      </c>
      <c r="R22" s="10">
        <f t="shared" si="37"/>
        <v>74855366720.063675</v>
      </c>
      <c r="T22" s="10">
        <f t="shared" si="2"/>
        <v>74855366000</v>
      </c>
      <c r="V22" s="10">
        <f t="shared" si="3"/>
        <v>10188754313.174942</v>
      </c>
      <c r="W22" s="10">
        <f t="shared" si="4"/>
        <v>8043096740.9762411</v>
      </c>
      <c r="Y22" s="10">
        <f t="shared" si="5"/>
        <v>1047975100</v>
      </c>
      <c r="Z22" s="10">
        <f t="shared" si="6"/>
        <v>827281221.27107024</v>
      </c>
      <c r="AB22" s="10">
        <f t="shared" si="7"/>
        <v>0</v>
      </c>
      <c r="AC22" s="10">
        <f t="shared" si="8"/>
        <v>0</v>
      </c>
      <c r="AE22" s="10">
        <f t="shared" si="9"/>
        <v>0</v>
      </c>
      <c r="AF22" s="10">
        <f t="shared" si="10"/>
        <v>0</v>
      </c>
      <c r="AH22" s="10">
        <f t="shared" si="11"/>
        <v>440000000.00000006</v>
      </c>
      <c r="AI22" s="10">
        <f t="shared" si="12"/>
        <v>347340063.09813178</v>
      </c>
      <c r="AK22" s="10">
        <f t="shared" si="13"/>
        <v>5261394309.0658388</v>
      </c>
      <c r="AL22" s="10">
        <f t="shared" si="14"/>
        <v>4153393252.9433627</v>
      </c>
      <c r="AN22" s="10">
        <f t="shared" si="15"/>
        <v>4822944783.3103533</v>
      </c>
      <c r="AO22" s="10">
        <f t="shared" si="16"/>
        <v>3807277148.5314164</v>
      </c>
      <c r="AQ22" s="10">
        <f t="shared" si="17"/>
        <v>1283969369.2698953</v>
      </c>
      <c r="AR22" s="10">
        <f t="shared" si="18"/>
        <v>1013577276.6778951</v>
      </c>
      <c r="AT22" s="40">
        <f>IF($K22&lt;=$F$15,IF($F$40&lt;&gt;"",$F$40/1000,IF(ISERROR(VLOOKUP($F$3&amp;IF($G$4&lt;&gt;"",$G$4,"")&amp;IF($F$43&lt;&gt;"","_"&amp;$F$43,""),'表3）燃料価格'!$AF$9:$AG$25,2,0)),0,VLOOKUP($I22,'表3）燃料価格'!$A$6:$U$66,VLOOKUP($F$3&amp;IF($G$4&lt;&gt;"",$G$4,"")&amp;IF($F$43&lt;&gt;"","_"&amp;$F$43,""),'表3）燃料価格'!$AF$9:$AG$25,2,0)+VLOOKUP($F$41,'表3）燃料価格'!$AF$28:$AG$29,2,0),0)*IF($F$43="需要地価格",1,$F$8/$F$141))),"")</f>
        <v>10.869059999999999</v>
      </c>
      <c r="AV22" s="10">
        <f t="shared" si="19"/>
        <v>17528819487.201187</v>
      </c>
      <c r="AW22" s="10">
        <f t="shared" si="20"/>
        <v>13837411969.818686</v>
      </c>
      <c r="AY22" s="40">
        <f>IF(ISERROR(IF($K22&lt;=$F$15,VLOOKUP($I22,'表4）CO2価格'!$A$7:$E$67,VLOOKUP($F$48,'表4）CO2価格'!$H$10:$I$12,2,0),0)*$F$8/1000,"")),0,IF($K22&lt;=$F$15,VLOOKUP($I22,'表4）CO2価格'!$A$7:$E$67,VLOOKUP($F$48,'表4）CO2価格'!$H$10:$I$12,2,0),0)*$F$8/1000,""))</f>
        <v>5.1788000000000105</v>
      </c>
      <c r="BA22" s="11">
        <f t="shared" si="21"/>
        <v>16384813959.869827</v>
      </c>
      <c r="BB22" s="10">
        <f t="shared" si="22"/>
        <v>12934323442.437126</v>
      </c>
      <c r="BD22" s="10">
        <f t="shared" si="23"/>
        <v>0</v>
      </c>
      <c r="BE22" s="10">
        <f t="shared" si="24"/>
        <v>0</v>
      </c>
      <c r="BG22" s="11">
        <f t="shared" si="25"/>
        <v>0</v>
      </c>
      <c r="BH22" s="10">
        <f t="shared" si="26"/>
        <v>0</v>
      </c>
      <c r="BJ22" s="7" t="str">
        <f t="shared" si="27"/>
        <v/>
      </c>
      <c r="BK22" s="158" t="str">
        <f t="shared" si="28"/>
        <v/>
      </c>
      <c r="BL22" s="158" t="str">
        <f t="shared" si="29"/>
        <v/>
      </c>
      <c r="BM22" s="10"/>
      <c r="BN22" s="10" t="str">
        <f t="shared" si="30"/>
        <v/>
      </c>
      <c r="BO22" s="10" t="str">
        <f t="shared" si="31"/>
        <v/>
      </c>
      <c r="BQ22" s="10">
        <f t="shared" si="32"/>
        <v>3574820495.910316</v>
      </c>
      <c r="BR22" s="10">
        <f t="shared" si="33"/>
        <v>2821996310.4863267</v>
      </c>
    </row>
    <row r="23" spans="1:70" x14ac:dyDescent="0.15">
      <c r="D23" s="84" t="s">
        <v>562</v>
      </c>
      <c r="F23" s="512">
        <f>'石炭火力（2030年）'!F23*(1-((127.816*('石炭火力（2030年）'!F145/1000)*(F18/100))/('石炭火力（2030年）'!F133)))</f>
        <v>39.811675039680004</v>
      </c>
      <c r="G23" s="84" t="s">
        <v>549</v>
      </c>
      <c r="I23" s="38">
        <f t="shared" si="34"/>
        <v>2038</v>
      </c>
      <c r="J23" s="39"/>
      <c r="K23" s="39">
        <f t="shared" si="35"/>
        <v>9</v>
      </c>
      <c r="L23" s="39"/>
      <c r="M23" s="40">
        <f t="shared" si="0"/>
        <v>0.76641673234362695</v>
      </c>
      <c r="N23" s="39"/>
      <c r="O23" s="72">
        <f t="shared" si="36"/>
        <v>50821750556.136086</v>
      </c>
      <c r="P23" s="41">
        <f t="shared" si="1"/>
        <v>0.16700000000000001</v>
      </c>
      <c r="Q23" s="39"/>
      <c r="R23" s="72">
        <f t="shared" si="37"/>
        <v>64203141023.315926</v>
      </c>
      <c r="S23" s="39"/>
      <c r="T23" s="72">
        <f t="shared" si="2"/>
        <v>64203141000</v>
      </c>
      <c r="U23" s="39"/>
      <c r="V23" s="72">
        <f t="shared" si="3"/>
        <v>8487232342.8747263</v>
      </c>
      <c r="W23" s="72">
        <f t="shared" si="4"/>
        <v>6504756878.8671932</v>
      </c>
      <c r="X23" s="39"/>
      <c r="Y23" s="72">
        <f t="shared" si="5"/>
        <v>898843900</v>
      </c>
      <c r="Z23" s="72">
        <f t="shared" si="6"/>
        <v>688889004.72500181</v>
      </c>
      <c r="AA23" s="39"/>
      <c r="AB23" s="72">
        <f t="shared" si="7"/>
        <v>0</v>
      </c>
      <c r="AC23" s="72">
        <f t="shared" si="8"/>
        <v>0</v>
      </c>
      <c r="AD23" s="39"/>
      <c r="AE23" s="72">
        <f t="shared" si="9"/>
        <v>0</v>
      </c>
      <c r="AF23" s="72">
        <f t="shared" si="10"/>
        <v>0</v>
      </c>
      <c r="AG23" s="39"/>
      <c r="AH23" s="72">
        <f t="shared" si="11"/>
        <v>440000000.00000006</v>
      </c>
      <c r="AI23" s="72">
        <f t="shared" si="12"/>
        <v>337223362.23119593</v>
      </c>
      <c r="AJ23" s="39"/>
      <c r="AK23" s="72">
        <f t="shared" si="13"/>
        <v>5261394309.0658388</v>
      </c>
      <c r="AL23" s="72">
        <f t="shared" si="14"/>
        <v>4032420633.9255948</v>
      </c>
      <c r="AM23" s="39"/>
      <c r="AN23" s="72">
        <f t="shared" si="15"/>
        <v>4822944783.3103533</v>
      </c>
      <c r="AO23" s="72">
        <f t="shared" si="16"/>
        <v>3696385581.0984631</v>
      </c>
      <c r="AP23" s="39"/>
      <c r="AQ23" s="72">
        <f t="shared" si="17"/>
        <v>1283969369.2698953</v>
      </c>
      <c r="AR23" s="72">
        <f t="shared" si="18"/>
        <v>984055608.42514086</v>
      </c>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10.869059999999999</v>
      </c>
      <c r="AU23" s="39"/>
      <c r="AV23" s="72">
        <f t="shared" si="19"/>
        <v>17528819487.201187</v>
      </c>
      <c r="AW23" s="72">
        <f t="shared" si="20"/>
        <v>13434380553.222025</v>
      </c>
      <c r="AX23" s="39"/>
      <c r="AY23" s="40">
        <f>IF(ISERROR(IF($K23&lt;=$F$15,VLOOKUP($I23,'表4）CO2価格'!$A$7:$E$67,VLOOKUP($F$48,'表4）CO2価格'!$H$10:$I$12,2,0),0)*$F$8/1000,"")),0,IF($K23&lt;=$F$15,VLOOKUP($I23,'表4）CO2価格'!$A$7:$E$67,VLOOKUP($F$48,'表4）CO2価格'!$H$10:$I$12,2,0),0)*$F$8/1000,""))</f>
        <v>5.3071999999999901</v>
      </c>
      <c r="AZ23" s="39"/>
      <c r="BA23" s="42">
        <f t="shared" si="21"/>
        <v>16791049016.726038</v>
      </c>
      <c r="BB23" s="72">
        <f t="shared" si="22"/>
        <v>12868940920.02084</v>
      </c>
      <c r="BC23" s="39"/>
      <c r="BD23" s="72">
        <f t="shared" si="23"/>
        <v>0</v>
      </c>
      <c r="BE23" s="72">
        <f t="shared" si="24"/>
        <v>0</v>
      </c>
      <c r="BF23" s="39"/>
      <c r="BG23" s="42">
        <f t="shared" si="25"/>
        <v>0</v>
      </c>
      <c r="BH23" s="72">
        <f t="shared" si="26"/>
        <v>0</v>
      </c>
      <c r="BI23" s="39"/>
      <c r="BJ23" s="40" t="str">
        <f t="shared" si="27"/>
        <v/>
      </c>
      <c r="BK23" s="157" t="str">
        <f t="shared" si="28"/>
        <v/>
      </c>
      <c r="BL23" s="157" t="str">
        <f t="shared" si="29"/>
        <v/>
      </c>
      <c r="BM23" s="72"/>
      <c r="BN23" s="72" t="str">
        <f t="shared" si="30"/>
        <v/>
      </c>
      <c r="BO23" s="72" t="str">
        <f t="shared" si="31"/>
        <v/>
      </c>
      <c r="BP23" s="39"/>
      <c r="BQ23" s="72">
        <f t="shared" si="32"/>
        <v>3574820495.910316</v>
      </c>
      <c r="BR23" s="72">
        <f t="shared" si="33"/>
        <v>2739802243.1906085</v>
      </c>
    </row>
    <row r="24" spans="1:70" x14ac:dyDescent="0.15">
      <c r="D24" s="84" t="s">
        <v>563</v>
      </c>
      <c r="F24" s="513">
        <f>((('石炭火力（2030年）'!F24/100)*('石炭火力（2030年）'!F133))+(41.2822665267576*(F146/1000)))/F133*100</f>
        <v>9.001787907951126</v>
      </c>
      <c r="G24" s="84" t="s">
        <v>549</v>
      </c>
      <c r="I24" s="322">
        <f t="shared" si="34"/>
        <v>2039</v>
      </c>
      <c r="K24" s="71">
        <f t="shared" si="35"/>
        <v>10</v>
      </c>
      <c r="M24" s="7">
        <f t="shared" si="0"/>
        <v>0.74409391489672516</v>
      </c>
      <c r="O24" s="10">
        <f t="shared" si="36"/>
        <v>42334518213.26136</v>
      </c>
      <c r="P24" s="29">
        <f t="shared" si="1"/>
        <v>0.16700000000000001</v>
      </c>
      <c r="R24" s="10">
        <f t="shared" si="37"/>
        <v>55066770732.350853</v>
      </c>
      <c r="T24" s="10">
        <f t="shared" si="2"/>
        <v>55066770000</v>
      </c>
      <c r="V24" s="10">
        <f t="shared" si="3"/>
        <v>7069864541.6146479</v>
      </c>
      <c r="W24" s="10">
        <f t="shared" si="4"/>
        <v>5260643184.5595846</v>
      </c>
      <c r="Y24" s="10">
        <f t="shared" si="5"/>
        <v>770934700</v>
      </c>
      <c r="Z24" s="10">
        <f t="shared" si="6"/>
        <v>573647819.05273235</v>
      </c>
      <c r="AB24" s="10">
        <f t="shared" si="7"/>
        <v>0</v>
      </c>
      <c r="AC24" s="10">
        <f t="shared" si="8"/>
        <v>0</v>
      </c>
      <c r="AE24" s="10">
        <f t="shared" si="9"/>
        <v>0</v>
      </c>
      <c r="AF24" s="10">
        <f t="shared" si="10"/>
        <v>0</v>
      </c>
      <c r="AH24" s="10">
        <f t="shared" si="11"/>
        <v>440000000.00000006</v>
      </c>
      <c r="AI24" s="10">
        <f t="shared" si="12"/>
        <v>327401322.55455911</v>
      </c>
      <c r="AK24" s="10">
        <f t="shared" si="13"/>
        <v>5261394309.0658388</v>
      </c>
      <c r="AL24" s="10">
        <f t="shared" si="14"/>
        <v>3914971489.2481503</v>
      </c>
      <c r="AN24" s="10">
        <f t="shared" si="15"/>
        <v>4822944783.3103533</v>
      </c>
      <c r="AO24" s="10">
        <f t="shared" si="16"/>
        <v>3588723865.1441388</v>
      </c>
      <c r="AQ24" s="10">
        <f t="shared" si="17"/>
        <v>1283969369.2698953</v>
      </c>
      <c r="AR24" s="10">
        <f t="shared" si="18"/>
        <v>955393794.58751535</v>
      </c>
      <c r="AT24" s="40">
        <f>IF($K24&lt;=$F$15,IF($F$40&lt;&gt;"",$F$40/1000,IF(ISERROR(VLOOKUP($F$3&amp;IF($G$4&lt;&gt;"",$G$4,"")&amp;IF($F$43&lt;&gt;"","_"&amp;$F$43,""),'表3）燃料価格'!$AF$9:$AG$25,2,0)),0,VLOOKUP($I24,'表3）燃料価格'!$A$6:$U$66,VLOOKUP($F$3&amp;IF($G$4&lt;&gt;"",$G$4,"")&amp;IF($F$43&lt;&gt;"","_"&amp;$F$43,""),'表3）燃料価格'!$AF$9:$AG$25,2,0)+VLOOKUP($F$41,'表3）燃料価格'!$AF$28:$AG$29,2,0),0)*IF($F$43="需要地価格",1,$F$8/$F$141))),"")</f>
        <v>10.869059999999999</v>
      </c>
      <c r="AV24" s="10">
        <f t="shared" si="19"/>
        <v>17528819487.201187</v>
      </c>
      <c r="AW24" s="10">
        <f t="shared" si="20"/>
        <v>13043087915.749538</v>
      </c>
      <c r="AY24" s="40">
        <f>IF(ISERROR(IF($K24&lt;=$F$15,VLOOKUP($I24,'表4）CO2価格'!$A$7:$E$67,VLOOKUP($F$48,'表4）CO2価格'!$H$10:$I$12,2,0),0)*$F$8/1000,"")),0,IF($K24&lt;=$F$15,VLOOKUP($I24,'表4）CO2価格'!$A$7:$E$67,VLOOKUP($F$48,'表4）CO2価格'!$H$10:$I$12,2,0),0)*$F$8/1000,""))</f>
        <v>5.4355999999999716</v>
      </c>
      <c r="BA24" s="11">
        <f t="shared" si="21"/>
        <v>17197284073.582256</v>
      </c>
      <c r="BB24" s="10">
        <f t="shared" si="22"/>
        <v>12796394431.902922</v>
      </c>
      <c r="BD24" s="10">
        <f t="shared" si="23"/>
        <v>0</v>
      </c>
      <c r="BE24" s="10">
        <f t="shared" si="24"/>
        <v>0</v>
      </c>
      <c r="BG24" s="11">
        <f t="shared" si="25"/>
        <v>0</v>
      </c>
      <c r="BH24" s="10">
        <f t="shared" si="26"/>
        <v>0</v>
      </c>
      <c r="BJ24" s="7" t="str">
        <f t="shared" si="27"/>
        <v/>
      </c>
      <c r="BK24" s="158" t="str">
        <f t="shared" si="28"/>
        <v/>
      </c>
      <c r="BL24" s="158" t="str">
        <f t="shared" si="29"/>
        <v/>
      </c>
      <c r="BM24" s="10"/>
      <c r="BN24" s="10" t="str">
        <f t="shared" si="30"/>
        <v/>
      </c>
      <c r="BO24" s="10" t="str">
        <f t="shared" si="31"/>
        <v/>
      </c>
      <c r="BQ24" s="10">
        <f t="shared" si="32"/>
        <v>3574820495.910316</v>
      </c>
      <c r="BR24" s="10">
        <f t="shared" si="33"/>
        <v>2660002177.8549595</v>
      </c>
    </row>
    <row r="25" spans="1:70" x14ac:dyDescent="0.15">
      <c r="D25" s="84" t="s">
        <v>564</v>
      </c>
      <c r="F25" s="512">
        <f>'石炭火力（2030年）'!F25</f>
        <v>1.4</v>
      </c>
      <c r="G25" s="84" t="s">
        <v>549</v>
      </c>
      <c r="I25" s="38">
        <f t="shared" si="34"/>
        <v>2040</v>
      </c>
      <c r="J25" s="39"/>
      <c r="K25" s="39">
        <f t="shared" si="35"/>
        <v>11</v>
      </c>
      <c r="L25" s="39"/>
      <c r="M25" s="40">
        <f t="shared" si="0"/>
        <v>0.72242127659876232</v>
      </c>
      <c r="N25" s="39"/>
      <c r="O25" s="72">
        <f t="shared" si="36"/>
        <v>35264653671.646713</v>
      </c>
      <c r="P25" s="41">
        <f t="shared" si="1"/>
        <v>0.2</v>
      </c>
      <c r="Q25" s="39"/>
      <c r="R25" s="72">
        <f t="shared" si="37"/>
        <v>47230543405.782417</v>
      </c>
      <c r="S25" s="39"/>
      <c r="T25" s="72">
        <f t="shared" si="2"/>
        <v>47230543000</v>
      </c>
      <c r="U25" s="39"/>
      <c r="V25" s="72">
        <f t="shared" si="3"/>
        <v>7052930734.3293428</v>
      </c>
      <c r="W25" s="72">
        <f t="shared" si="4"/>
        <v>5095187224.8568497</v>
      </c>
      <c r="X25" s="39"/>
      <c r="Y25" s="72">
        <f t="shared" si="5"/>
        <v>661227600</v>
      </c>
      <c r="Z25" s="72">
        <f t="shared" si="6"/>
        <v>477684886.91433579</v>
      </c>
      <c r="AA25" s="39"/>
      <c r="AB25" s="72">
        <f t="shared" si="7"/>
        <v>0</v>
      </c>
      <c r="AC25" s="72">
        <f t="shared" si="8"/>
        <v>0</v>
      </c>
      <c r="AD25" s="39"/>
      <c r="AE25" s="72">
        <f t="shared" si="9"/>
        <v>0</v>
      </c>
      <c r="AF25" s="72">
        <f t="shared" si="10"/>
        <v>0</v>
      </c>
      <c r="AG25" s="39"/>
      <c r="AH25" s="72">
        <f t="shared" si="11"/>
        <v>440000000.00000006</v>
      </c>
      <c r="AI25" s="72">
        <f t="shared" si="12"/>
        <v>317865361.70345545</v>
      </c>
      <c r="AJ25" s="39"/>
      <c r="AK25" s="72">
        <f t="shared" si="13"/>
        <v>5261394309.0658388</v>
      </c>
      <c r="AL25" s="72">
        <f t="shared" si="14"/>
        <v>3800943193.4448061</v>
      </c>
      <c r="AM25" s="39"/>
      <c r="AN25" s="72">
        <f t="shared" si="15"/>
        <v>4822944783.3103533</v>
      </c>
      <c r="AO25" s="72">
        <f t="shared" si="16"/>
        <v>3484197927.3244066</v>
      </c>
      <c r="AP25" s="39"/>
      <c r="AQ25" s="72">
        <f t="shared" si="17"/>
        <v>1283969369.2698953</v>
      </c>
      <c r="AR25" s="72">
        <f t="shared" si="18"/>
        <v>927566790.86166549</v>
      </c>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10.869059999999999</v>
      </c>
      <c r="AU25" s="39"/>
      <c r="AV25" s="72">
        <f t="shared" si="19"/>
        <v>17528819487.201187</v>
      </c>
      <c r="AW25" s="72">
        <f t="shared" si="20"/>
        <v>12663192151.213144</v>
      </c>
      <c r="AX25" s="39"/>
      <c r="AY25" s="40">
        <f>IF(ISERROR(IF($K25&lt;=$F$15,VLOOKUP($I25,'表4）CO2価格'!$A$7:$E$67,VLOOKUP($F$48,'表4）CO2価格'!$H$10:$I$12,2,0),0)*$F$8/1000,"")),0,IF($K25&lt;=$F$15,VLOOKUP($I25,'表4）CO2価格'!$A$7:$E$67,VLOOKUP($F$48,'表4）CO2価格'!$H$10:$I$12,2,0),0)*$F$8/1000,""))</f>
        <v>5.5640000000000001</v>
      </c>
      <c r="AZ25" s="39"/>
      <c r="BA25" s="42">
        <f t="shared" si="21"/>
        <v>17603519130.438622</v>
      </c>
      <c r="BB25" s="72">
        <f t="shared" si="22"/>
        <v>12717156762.842203</v>
      </c>
      <c r="BC25" s="39"/>
      <c r="BD25" s="72">
        <f t="shared" si="23"/>
        <v>0</v>
      </c>
      <c r="BE25" s="72">
        <f t="shared" si="24"/>
        <v>0</v>
      </c>
      <c r="BF25" s="39"/>
      <c r="BG25" s="42">
        <f t="shared" si="25"/>
        <v>0</v>
      </c>
      <c r="BH25" s="72">
        <f t="shared" si="26"/>
        <v>0</v>
      </c>
      <c r="BI25" s="39"/>
      <c r="BJ25" s="40" t="str">
        <f t="shared" si="27"/>
        <v/>
      </c>
      <c r="BK25" s="157" t="str">
        <f t="shared" si="28"/>
        <v/>
      </c>
      <c r="BL25" s="157" t="str">
        <f t="shared" si="29"/>
        <v/>
      </c>
      <c r="BM25" s="72"/>
      <c r="BN25" s="72" t="str">
        <f t="shared" si="30"/>
        <v/>
      </c>
      <c r="BO25" s="72" t="str">
        <f t="shared" si="31"/>
        <v/>
      </c>
      <c r="BP25" s="39"/>
      <c r="BQ25" s="72">
        <f t="shared" si="32"/>
        <v>3574820495.910316</v>
      </c>
      <c r="BR25" s="72">
        <f t="shared" si="33"/>
        <v>2582526386.2669511</v>
      </c>
    </row>
    <row r="26" spans="1:70" x14ac:dyDescent="0.15">
      <c r="D26" s="84" t="s">
        <v>115</v>
      </c>
      <c r="F26" s="513"/>
      <c r="G26" s="84" t="s">
        <v>565</v>
      </c>
      <c r="I26" s="322">
        <f t="shared" si="34"/>
        <v>2041</v>
      </c>
      <c r="K26" s="71">
        <f t="shared" si="35"/>
        <v>12</v>
      </c>
      <c r="M26" s="7">
        <f t="shared" si="0"/>
        <v>0.70137988019297326</v>
      </c>
      <c r="O26" s="10">
        <f t="shared" si="36"/>
        <v>28211722937.317371</v>
      </c>
      <c r="P26" s="29" t="str">
        <f t="shared" si="1"/>
        <v>-</v>
      </c>
      <c r="R26" s="10">
        <f t="shared" si="37"/>
        <v>40509443367.35878</v>
      </c>
      <c r="T26" s="10">
        <f t="shared" si="2"/>
        <v>40509443000</v>
      </c>
      <c r="V26" s="10">
        <f t="shared" si="3"/>
        <v>7052930734.3293428</v>
      </c>
      <c r="W26" s="10">
        <f t="shared" si="4"/>
        <v>4946783713.4532537</v>
      </c>
      <c r="Y26" s="10">
        <f t="shared" si="5"/>
        <v>567132200</v>
      </c>
      <c r="Z26" s="10">
        <f t="shared" si="6"/>
        <v>397775114.48957735</v>
      </c>
      <c r="AB26" s="10">
        <f t="shared" si="7"/>
        <v>0</v>
      </c>
      <c r="AC26" s="10">
        <f t="shared" si="8"/>
        <v>0</v>
      </c>
      <c r="AE26" s="10">
        <f t="shared" si="9"/>
        <v>0</v>
      </c>
      <c r="AF26" s="10">
        <f t="shared" si="10"/>
        <v>0</v>
      </c>
      <c r="AH26" s="10">
        <f t="shared" si="11"/>
        <v>440000000.00000006</v>
      </c>
      <c r="AI26" s="10">
        <f t="shared" si="12"/>
        <v>308607147.28490829</v>
      </c>
      <c r="AK26" s="10">
        <f t="shared" si="13"/>
        <v>5261394309.0658388</v>
      </c>
      <c r="AL26" s="10">
        <f t="shared" si="14"/>
        <v>3690236110.1405892</v>
      </c>
      <c r="AN26" s="10">
        <f t="shared" si="15"/>
        <v>4822944783.3103533</v>
      </c>
      <c r="AO26" s="10">
        <f t="shared" si="16"/>
        <v>3382716434.2955408</v>
      </c>
      <c r="AQ26" s="10">
        <f t="shared" si="17"/>
        <v>1283969369.2698953</v>
      </c>
      <c r="AR26" s="10">
        <f t="shared" si="18"/>
        <v>900550282.38996661</v>
      </c>
      <c r="AT26" s="40">
        <f>IF($K26&lt;=$F$15,IF($F$40&lt;&gt;"",$F$40/1000,IF(ISERROR(VLOOKUP($F$3&amp;IF($G$4&lt;&gt;"",$G$4,"")&amp;IF($F$43&lt;&gt;"","_"&amp;$F$43,""),'表3）燃料価格'!$AF$9:$AG$25,2,0)),0,VLOOKUP($I26,'表3）燃料価格'!$A$6:$U$66,VLOOKUP($F$3&amp;IF($G$4&lt;&gt;"",$G$4,"")&amp;IF($F$43&lt;&gt;"","_"&amp;$F$43,""),'表3）燃料価格'!$AF$9:$AG$25,2,0)+VLOOKUP($F$41,'表3）燃料価格'!$AF$28:$AG$29,2,0),0)*IF($F$43="需要地価格",1,$F$8/$F$141))),"")</f>
        <v>10.852172184476203</v>
      </c>
      <c r="AV26" s="10">
        <f t="shared" si="19"/>
        <v>17505816760.517982</v>
      </c>
      <c r="AW26" s="10">
        <f t="shared" si="20"/>
        <v>12278227662.172245</v>
      </c>
      <c r="AY26" s="40">
        <f>IF(ISERROR(IF($K26&lt;=$F$15,VLOOKUP($I26,'表4）CO2価格'!$A$7:$E$67,VLOOKUP($F$48,'表4）CO2価格'!$H$10:$I$12,2,0),0)*$F$8/1000,"")),0,IF($K26&lt;=$F$15,VLOOKUP($I26,'表4）CO2価格'!$A$7:$E$67,VLOOKUP($F$48,'表4）CO2価格'!$H$10:$I$12,2,0),0)*$F$8/1000,""))</f>
        <v>5.6923999999999806</v>
      </c>
      <c r="BA26" s="11">
        <f t="shared" si="21"/>
        <v>18009754187.294834</v>
      </c>
      <c r="BB26" s="10">
        <f t="shared" si="22"/>
        <v>12631679234.189749</v>
      </c>
      <c r="BD26" s="10">
        <f t="shared" si="23"/>
        <v>0</v>
      </c>
      <c r="BE26" s="10">
        <f t="shared" si="24"/>
        <v>0</v>
      </c>
      <c r="BG26" s="11">
        <f t="shared" si="25"/>
        <v>0</v>
      </c>
      <c r="BH26" s="10">
        <f t="shared" si="26"/>
        <v>0</v>
      </c>
      <c r="BJ26" s="7" t="str">
        <f t="shared" si="27"/>
        <v/>
      </c>
      <c r="BK26" s="158" t="str">
        <f t="shared" si="28"/>
        <v/>
      </c>
      <c r="BL26" s="158" t="str">
        <f t="shared" si="29"/>
        <v/>
      </c>
      <c r="BM26" s="10"/>
      <c r="BN26" s="10" t="str">
        <f t="shared" si="30"/>
        <v/>
      </c>
      <c r="BO26" s="10" t="str">
        <f t="shared" si="31"/>
        <v/>
      </c>
      <c r="BQ26" s="10">
        <f t="shared" si="32"/>
        <v>3574820495.910316</v>
      </c>
      <c r="BR26" s="10">
        <f t="shared" si="33"/>
        <v>2507307171.1329627</v>
      </c>
    </row>
    <row r="27" spans="1:70" x14ac:dyDescent="0.15">
      <c r="D27" s="160" t="s">
        <v>86</v>
      </c>
      <c r="F27" s="514">
        <f>F117*5%/10^8</f>
        <v>109.61238143887167</v>
      </c>
      <c r="G27" s="84" t="s">
        <v>566</v>
      </c>
      <c r="I27" s="38">
        <f t="shared" si="34"/>
        <v>2042</v>
      </c>
      <c r="J27" s="39"/>
      <c r="K27" s="39">
        <f t="shared" si="35"/>
        <v>13</v>
      </c>
      <c r="L27" s="39"/>
      <c r="M27" s="40">
        <f t="shared" si="0"/>
        <v>0.68095133999317792</v>
      </c>
      <c r="N27" s="39"/>
      <c r="O27" s="72">
        <f t="shared" si="36"/>
        <v>21158792202.988029</v>
      </c>
      <c r="P27" s="41" t="str">
        <f t="shared" si="1"/>
        <v>-</v>
      </c>
      <c r="Q27" s="39"/>
      <c r="R27" s="72">
        <f t="shared" si="37"/>
        <v>34744783430.383728</v>
      </c>
      <c r="S27" s="39"/>
      <c r="T27" s="72">
        <f t="shared" si="2"/>
        <v>34744783000</v>
      </c>
      <c r="U27" s="39"/>
      <c r="V27" s="72">
        <f t="shared" si="3"/>
        <v>7052930734.3293428</v>
      </c>
      <c r="W27" s="72">
        <f t="shared" si="4"/>
        <v>4802702634.4206343</v>
      </c>
      <c r="X27" s="39"/>
      <c r="Y27" s="72">
        <f t="shared" si="5"/>
        <v>486426900</v>
      </c>
      <c r="Z27" s="72">
        <f t="shared" si="6"/>
        <v>331233049.36372757</v>
      </c>
      <c r="AA27" s="39"/>
      <c r="AB27" s="72">
        <f t="shared" si="7"/>
        <v>0</v>
      </c>
      <c r="AC27" s="72">
        <f t="shared" si="8"/>
        <v>0</v>
      </c>
      <c r="AD27" s="39"/>
      <c r="AE27" s="72">
        <f t="shared" si="9"/>
        <v>0</v>
      </c>
      <c r="AF27" s="72">
        <f t="shared" si="10"/>
        <v>0</v>
      </c>
      <c r="AG27" s="39"/>
      <c r="AH27" s="72">
        <f t="shared" si="11"/>
        <v>440000000.00000006</v>
      </c>
      <c r="AI27" s="72">
        <f t="shared" si="12"/>
        <v>299618589.59699833</v>
      </c>
      <c r="AJ27" s="39"/>
      <c r="AK27" s="72">
        <f t="shared" si="13"/>
        <v>5261394309.0658388</v>
      </c>
      <c r="AL27" s="72">
        <f t="shared" si="14"/>
        <v>3582753504.9908633</v>
      </c>
      <c r="AM27" s="39"/>
      <c r="AN27" s="72">
        <f t="shared" si="15"/>
        <v>4822944783.3103533</v>
      </c>
      <c r="AO27" s="72">
        <f t="shared" si="16"/>
        <v>3284190712.9082923</v>
      </c>
      <c r="AP27" s="39"/>
      <c r="AQ27" s="72">
        <f t="shared" si="17"/>
        <v>1283969369.2698953</v>
      </c>
      <c r="AR27" s="72">
        <f t="shared" si="18"/>
        <v>874320662.51453066</v>
      </c>
      <c r="AS27" s="39"/>
      <c r="AT27" s="40">
        <f>IF($K27&lt;=$F$15,IF($F$40&lt;&gt;"",$F$40/1000,IF(ISERROR(VLOOKUP($F$3&amp;IF($G$4&lt;&gt;"",$G$4,"")&amp;IF($F$43&lt;&gt;"","_"&amp;$F$43,""),'表3）燃料価格'!$AF$9:$AG$25,2,0)),0,VLOOKUP($I27,'表3）燃料価格'!$A$6:$U$66,VLOOKUP($F$3&amp;IF($G$4&lt;&gt;"",$G$4,"")&amp;IF($F$43&lt;&gt;"","_"&amp;$F$43,""),'表3）燃料価格'!$AF$9:$AG$25,2,0)+VLOOKUP($F$41,'表3）燃料価格'!$AF$28:$AG$29,2,0),0)*IF($F$43="需要地価格",1,$F$8/$F$141))),"")</f>
        <v>10.835898609268483</v>
      </c>
      <c r="AU27" s="39"/>
      <c r="AV27" s="72">
        <f t="shared" si="19"/>
        <v>17483650684.500969</v>
      </c>
      <c r="AW27" s="72">
        <f t="shared" si="20"/>
        <v>11905515361.583576</v>
      </c>
      <c r="AX27" s="39"/>
      <c r="AY27" s="40">
        <f>IF(ISERROR(IF($K27&lt;=$F$15,VLOOKUP($I27,'表4）CO2価格'!$A$7:$E$67,VLOOKUP($F$48,'表4）CO2価格'!$H$10:$I$12,2,0),0)*$F$8/1000,"")),0,IF($K27&lt;=$F$15,VLOOKUP($I27,'表4）CO2価格'!$A$7:$E$67,VLOOKUP($F$48,'表4）CO2価格'!$H$10:$I$12,2,0),0)*$F$8/1000,""))</f>
        <v>5.82080000000001</v>
      </c>
      <c r="AZ27" s="39"/>
      <c r="BA27" s="42">
        <f t="shared" si="21"/>
        <v>18415989244.151203</v>
      </c>
      <c r="BB27" s="72">
        <f t="shared" si="22"/>
        <v>12540392553.104713</v>
      </c>
      <c r="BC27" s="39"/>
      <c r="BD27" s="72">
        <f t="shared" si="23"/>
        <v>0</v>
      </c>
      <c r="BE27" s="72">
        <f t="shared" si="24"/>
        <v>0</v>
      </c>
      <c r="BF27" s="39"/>
      <c r="BG27" s="42">
        <f t="shared" si="25"/>
        <v>0</v>
      </c>
      <c r="BH27" s="72">
        <f t="shared" si="26"/>
        <v>0</v>
      </c>
      <c r="BI27" s="39"/>
      <c r="BJ27" s="40" t="str">
        <f t="shared" si="27"/>
        <v/>
      </c>
      <c r="BK27" s="157" t="str">
        <f t="shared" si="28"/>
        <v/>
      </c>
      <c r="BL27" s="157" t="str">
        <f t="shared" si="29"/>
        <v/>
      </c>
      <c r="BM27" s="72"/>
      <c r="BN27" s="72" t="str">
        <f t="shared" si="30"/>
        <v/>
      </c>
      <c r="BO27" s="72" t="str">
        <f t="shared" si="31"/>
        <v/>
      </c>
      <c r="BP27" s="39"/>
      <c r="BQ27" s="72">
        <f t="shared" si="32"/>
        <v>3574820495.910316</v>
      </c>
      <c r="BR27" s="72">
        <f t="shared" si="33"/>
        <v>2434278806.9252067</v>
      </c>
    </row>
    <row r="28" spans="1:70" x14ac:dyDescent="0.15">
      <c r="D28" s="84" t="s">
        <v>116</v>
      </c>
      <c r="F28" s="515">
        <f>'石炭火力（2030年）'!F28</f>
        <v>1</v>
      </c>
      <c r="G28" s="84" t="s">
        <v>556</v>
      </c>
      <c r="I28" s="322">
        <f t="shared" si="34"/>
        <v>2043</v>
      </c>
      <c r="K28" s="71">
        <f t="shared" si="35"/>
        <v>14</v>
      </c>
      <c r="M28" s="7">
        <f t="shared" si="0"/>
        <v>0.66111780581861923</v>
      </c>
      <c r="O28" s="10">
        <f t="shared" si="36"/>
        <v>14105861468.658688</v>
      </c>
      <c r="P28" s="29" t="str">
        <f t="shared" si="1"/>
        <v>-</v>
      </c>
      <c r="R28" s="10">
        <f t="shared" si="37"/>
        <v>29800458245.66898</v>
      </c>
      <c r="T28" s="10">
        <f t="shared" si="2"/>
        <v>29800458000</v>
      </c>
      <c r="V28" s="10">
        <f t="shared" si="3"/>
        <v>7052930734.3293428</v>
      </c>
      <c r="W28" s="10">
        <f t="shared" si="4"/>
        <v>4662818091.6705179</v>
      </c>
      <c r="Y28" s="10">
        <f t="shared" si="5"/>
        <v>417206400</v>
      </c>
      <c r="Z28" s="10">
        <f t="shared" si="6"/>
        <v>275822579.74148518</v>
      </c>
      <c r="AB28" s="10">
        <f t="shared" si="7"/>
        <v>0</v>
      </c>
      <c r="AC28" s="10">
        <f t="shared" si="8"/>
        <v>0</v>
      </c>
      <c r="AE28" s="10">
        <f t="shared" si="9"/>
        <v>0</v>
      </c>
      <c r="AF28" s="10">
        <f t="shared" si="10"/>
        <v>0</v>
      </c>
      <c r="AH28" s="10">
        <f t="shared" si="11"/>
        <v>440000000.00000006</v>
      </c>
      <c r="AI28" s="10">
        <f t="shared" si="12"/>
        <v>290891834.56019253</v>
      </c>
      <c r="AK28" s="10">
        <f t="shared" si="13"/>
        <v>5261394309.0658388</v>
      </c>
      <c r="AL28" s="10">
        <f t="shared" si="14"/>
        <v>3478401461.1561775</v>
      </c>
      <c r="AN28" s="10">
        <f t="shared" si="15"/>
        <v>4822944783.3103533</v>
      </c>
      <c r="AO28" s="10">
        <f t="shared" si="16"/>
        <v>3188534672.7264967</v>
      </c>
      <c r="AQ28" s="10">
        <f t="shared" si="17"/>
        <v>1283969369.2698953</v>
      </c>
      <c r="AR28" s="10">
        <f t="shared" si="18"/>
        <v>848855012.15002966</v>
      </c>
      <c r="AT28" s="40">
        <f>IF($K28&lt;=$F$15,IF($F$40&lt;&gt;"",$F$40/1000,IF(ISERROR(VLOOKUP($F$3&amp;IF($G$4&lt;&gt;"",$G$4,"")&amp;IF($F$43&lt;&gt;"","_"&amp;$F$43,""),'表3）燃料価格'!$AF$9:$AG$25,2,0)),0,VLOOKUP($I28,'表3）燃料価格'!$A$6:$U$66,VLOOKUP($F$3&amp;IF($G$4&lt;&gt;"",$G$4,"")&amp;IF($F$43&lt;&gt;"","_"&amp;$F$43,""),'表3）燃料価格'!$AF$9:$AG$25,2,0)+VLOOKUP($F$41,'表3）燃料価格'!$AF$28:$AG$29,2,0),0)*IF($F$43="需要地価格",1,$F$8/$F$141))),"")</f>
        <v>10.820196156027256</v>
      </c>
      <c r="AV28" s="10">
        <f t="shared" si="19"/>
        <v>17462262528.072163</v>
      </c>
      <c r="AW28" s="10">
        <f t="shared" si="20"/>
        <v>11544612687.187763</v>
      </c>
      <c r="AY28" s="40">
        <f>IF(ISERROR(IF($K28&lt;=$F$15,VLOOKUP($I28,'表4）CO2価格'!$A$7:$E$67,VLOOKUP($F$48,'表4）CO2価格'!$H$10:$I$12,2,0),0)*$F$8/1000,"")),0,IF($K28&lt;=$F$15,VLOOKUP($I28,'表4）CO2価格'!$A$7:$E$67,VLOOKUP($F$48,'表4）CO2価格'!$H$10:$I$12,2,0),0)*$F$8/1000,""))</f>
        <v>5.9491999999999896</v>
      </c>
      <c r="BA28" s="11">
        <f t="shared" si="21"/>
        <v>18822224301.007416</v>
      </c>
      <c r="BB28" s="10">
        <f t="shared" si="22"/>
        <v>12443707630.507917</v>
      </c>
      <c r="BD28" s="10">
        <f t="shared" si="23"/>
        <v>0</v>
      </c>
      <c r="BE28" s="10">
        <f t="shared" si="24"/>
        <v>0</v>
      </c>
      <c r="BG28" s="11">
        <f t="shared" si="25"/>
        <v>0</v>
      </c>
      <c r="BH28" s="10">
        <f t="shared" si="26"/>
        <v>0</v>
      </c>
      <c r="BJ28" s="7" t="str">
        <f t="shared" si="27"/>
        <v/>
      </c>
      <c r="BK28" s="158" t="str">
        <f t="shared" si="28"/>
        <v/>
      </c>
      <c r="BL28" s="158" t="str">
        <f t="shared" si="29"/>
        <v/>
      </c>
      <c r="BM28" s="10"/>
      <c r="BN28" s="10" t="str">
        <f t="shared" si="30"/>
        <v/>
      </c>
      <c r="BO28" s="10" t="str">
        <f t="shared" si="31"/>
        <v/>
      </c>
      <c r="BQ28" s="10">
        <f t="shared" si="32"/>
        <v>3574820495.910316</v>
      </c>
      <c r="BR28" s="10">
        <f t="shared" si="33"/>
        <v>2363377482.4516563</v>
      </c>
    </row>
    <row r="29" spans="1:70" x14ac:dyDescent="0.15">
      <c r="D29" s="84" t="s">
        <v>567</v>
      </c>
      <c r="F29" s="513"/>
      <c r="G29" s="84" t="s">
        <v>566</v>
      </c>
      <c r="I29" s="38">
        <f t="shared" si="34"/>
        <v>2044</v>
      </c>
      <c r="J29" s="39"/>
      <c r="K29" s="39">
        <f t="shared" si="35"/>
        <v>15</v>
      </c>
      <c r="L29" s="39"/>
      <c r="M29" s="40">
        <f t="shared" si="0"/>
        <v>0.64186194739671765</v>
      </c>
      <c r="N29" s="39"/>
      <c r="O29" s="72">
        <f t="shared" si="36"/>
        <v>7052930734.3293447</v>
      </c>
      <c r="P29" s="41" t="str">
        <f t="shared" si="1"/>
        <v>-</v>
      </c>
      <c r="Q29" s="39"/>
      <c r="R29" s="72">
        <f t="shared" si="37"/>
        <v>25559730813.439476</v>
      </c>
      <c r="S29" s="39"/>
      <c r="T29" s="72">
        <f t="shared" si="2"/>
        <v>25559730000</v>
      </c>
      <c r="U29" s="39"/>
      <c r="V29" s="72">
        <f t="shared" si="3"/>
        <v>7052930734.3293428</v>
      </c>
      <c r="W29" s="72">
        <f t="shared" si="4"/>
        <v>4527007855.9907942</v>
      </c>
      <c r="X29" s="39"/>
      <c r="Y29" s="72">
        <f t="shared" si="5"/>
        <v>357836200</v>
      </c>
      <c r="Z29" s="72">
        <f t="shared" si="6"/>
        <v>229681440.18104133</v>
      </c>
      <c r="AA29" s="39"/>
      <c r="AB29" s="72">
        <f t="shared" si="7"/>
        <v>0</v>
      </c>
      <c r="AC29" s="72">
        <f t="shared" si="8"/>
        <v>0</v>
      </c>
      <c r="AD29" s="39"/>
      <c r="AE29" s="72">
        <f t="shared" si="9"/>
        <v>0</v>
      </c>
      <c r="AF29" s="72">
        <f t="shared" si="10"/>
        <v>0</v>
      </c>
      <c r="AG29" s="39"/>
      <c r="AH29" s="72">
        <f t="shared" si="11"/>
        <v>440000000.00000006</v>
      </c>
      <c r="AI29" s="72">
        <f t="shared" si="12"/>
        <v>282419256.85455579</v>
      </c>
      <c r="AJ29" s="39"/>
      <c r="AK29" s="72">
        <f t="shared" si="13"/>
        <v>5261394309.0658388</v>
      </c>
      <c r="AL29" s="72">
        <f t="shared" si="14"/>
        <v>3377088797.239007</v>
      </c>
      <c r="AM29" s="39"/>
      <c r="AN29" s="72">
        <f t="shared" si="15"/>
        <v>4822944783.3103533</v>
      </c>
      <c r="AO29" s="72">
        <f t="shared" si="16"/>
        <v>3095664730.802424</v>
      </c>
      <c r="AP29" s="39"/>
      <c r="AQ29" s="72">
        <f t="shared" si="17"/>
        <v>1283969369.2698953</v>
      </c>
      <c r="AR29" s="72">
        <f t="shared" si="18"/>
        <v>824131079.75731027</v>
      </c>
      <c r="AS29" s="39"/>
      <c r="AT29" s="40">
        <f>IF($K29&lt;=$F$15,IF($F$40&lt;&gt;"",$F$40/1000,IF(ISERROR(VLOOKUP($F$3&amp;IF($G$4&lt;&gt;"",$G$4,"")&amp;IF($F$43&lt;&gt;"","_"&amp;$F$43,""),'表3）燃料価格'!$AF$9:$AG$25,2,0)),0,VLOOKUP($I29,'表3）燃料価格'!$A$6:$U$66,VLOOKUP($F$3&amp;IF($G$4&lt;&gt;"",$G$4,"")&amp;IF($F$43&lt;&gt;"","_"&amp;$F$43,""),'表3）燃料価格'!$AF$9:$AG$25,2,0)+VLOOKUP($F$41,'表3）燃料価格'!$AF$28:$AG$29,2,0),0)*IF($F$43="需要地価格",1,$F$8/$F$141))),"")</f>
        <v>10.805026093092733</v>
      </c>
      <c r="AU29" s="39"/>
      <c r="AV29" s="72">
        <f t="shared" si="19"/>
        <v>17441599535.220413</v>
      </c>
      <c r="AW29" s="72">
        <f t="shared" si="20"/>
        <v>11195099043.390261</v>
      </c>
      <c r="AX29" s="39"/>
      <c r="AY29" s="40">
        <f>IF(ISERROR(IF($K29&lt;=$F$15,VLOOKUP($I29,'表4）CO2価格'!$A$7:$E$67,VLOOKUP($F$48,'表4）CO2価格'!$H$10:$I$12,2,0),0)*$F$8/1000,"")),0,IF($K29&lt;=$F$15,VLOOKUP($I29,'表4）CO2価格'!$A$7:$E$67,VLOOKUP($F$48,'表4）CO2価格'!$H$10:$I$12,2,0),0)*$F$8/1000,""))</f>
        <v>6.077599999999971</v>
      </c>
      <c r="AZ29" s="39"/>
      <c r="BA29" s="42">
        <f t="shared" si="21"/>
        <v>19228459357.863632</v>
      </c>
      <c r="BB29" s="72">
        <f t="shared" si="22"/>
        <v>12342016368.876989</v>
      </c>
      <c r="BC29" s="39"/>
      <c r="BD29" s="72">
        <f t="shared" si="23"/>
        <v>0</v>
      </c>
      <c r="BE29" s="72">
        <f t="shared" si="24"/>
        <v>0</v>
      </c>
      <c r="BF29" s="39"/>
      <c r="BG29" s="42">
        <f t="shared" si="25"/>
        <v>0</v>
      </c>
      <c r="BH29" s="72">
        <f t="shared" si="26"/>
        <v>0</v>
      </c>
      <c r="BI29" s="39"/>
      <c r="BJ29" s="40" t="str">
        <f t="shared" si="27"/>
        <v/>
      </c>
      <c r="BK29" s="157" t="str">
        <f t="shared" si="28"/>
        <v/>
      </c>
      <c r="BL29" s="157" t="str">
        <f t="shared" si="29"/>
        <v/>
      </c>
      <c r="BM29" s="72"/>
      <c r="BN29" s="72" t="str">
        <f t="shared" si="30"/>
        <v/>
      </c>
      <c r="BO29" s="72" t="str">
        <f t="shared" si="31"/>
        <v/>
      </c>
      <c r="BP29" s="39"/>
      <c r="BQ29" s="72">
        <f t="shared" si="32"/>
        <v>3574820495.910316</v>
      </c>
      <c r="BR29" s="72">
        <f t="shared" si="33"/>
        <v>2294541245.0986953</v>
      </c>
    </row>
    <row r="30" spans="1:70" x14ac:dyDescent="0.15">
      <c r="I30" s="322">
        <f t="shared" si="34"/>
        <v>2045</v>
      </c>
      <c r="K30" s="71">
        <f t="shared" si="35"/>
        <v>16</v>
      </c>
      <c r="M30" s="7">
        <f t="shared" si="0"/>
        <v>0.62316693922011435</v>
      </c>
      <c r="O30" s="10">
        <f t="shared" si="36"/>
        <v>1.9073486328125E-6</v>
      </c>
      <c r="P30" s="29" t="str">
        <f t="shared" si="1"/>
        <v>-</v>
      </c>
      <c r="R30" s="10">
        <f t="shared" si="37"/>
        <v>21922476287.774338</v>
      </c>
      <c r="T30" s="10">
        <f t="shared" si="2"/>
        <v>21922476000</v>
      </c>
      <c r="V30" s="10">
        <f t="shared" si="3"/>
        <v>0</v>
      </c>
      <c r="W30" s="10">
        <f t="shared" si="4"/>
        <v>0</v>
      </c>
      <c r="Y30" s="10">
        <f t="shared" si="5"/>
        <v>306914600</v>
      </c>
      <c r="Z30" s="10">
        <f t="shared" si="6"/>
        <v>191259031.8839657</v>
      </c>
      <c r="AB30" s="10">
        <f t="shared" si="7"/>
        <v>0</v>
      </c>
      <c r="AC30" s="10">
        <f t="shared" si="8"/>
        <v>0</v>
      </c>
      <c r="AE30" s="10">
        <f t="shared" si="9"/>
        <v>0</v>
      </c>
      <c r="AF30" s="10">
        <f t="shared" si="10"/>
        <v>0</v>
      </c>
      <c r="AH30" s="10">
        <f t="shared" si="11"/>
        <v>440000000.00000006</v>
      </c>
      <c r="AI30" s="10">
        <f t="shared" si="12"/>
        <v>274193453.25685036</v>
      </c>
      <c r="AK30" s="10">
        <f t="shared" si="13"/>
        <v>5261394309.0658388</v>
      </c>
      <c r="AL30" s="10">
        <f t="shared" si="14"/>
        <v>3278726987.6106873</v>
      </c>
      <c r="AN30" s="10">
        <f t="shared" si="15"/>
        <v>4822944783.3103533</v>
      </c>
      <c r="AO30" s="10">
        <f t="shared" si="16"/>
        <v>3005499738.6431303</v>
      </c>
      <c r="AQ30" s="10">
        <f t="shared" si="17"/>
        <v>1283969369.2698953</v>
      </c>
      <c r="AR30" s="10">
        <f t="shared" si="18"/>
        <v>800127261.90030146</v>
      </c>
      <c r="AT30" s="40">
        <f>IF($K30&lt;=$F$15,IF($F$40&lt;&gt;"",$F$40/1000,IF(ISERROR(VLOOKUP($F$3&amp;IF($G$4&lt;&gt;"",$G$4,"")&amp;IF($F$43&lt;&gt;"","_"&amp;$F$43,""),'表3）燃料価格'!$AF$9:$AG$25,2,0)),0,VLOOKUP($I30,'表3）燃料価格'!$A$6:$U$66,VLOOKUP($F$3&amp;IF($G$4&lt;&gt;"",$G$4,"")&amp;IF($F$43&lt;&gt;"","_"&amp;$F$43,""),'表3）燃料価格'!$AF$9:$AG$25,2,0)+VLOOKUP($F$41,'表3）燃料価格'!$AF$28:$AG$29,2,0),0)*IF($F$43="需要地価格",1,$F$8/$F$141))),"")</f>
        <v>10.790353499914836</v>
      </c>
      <c r="AV30" s="10">
        <f t="shared" si="19"/>
        <v>17421614141.009453</v>
      </c>
      <c r="AW30" s="10">
        <f t="shared" si="20"/>
        <v>10856573960.526722</v>
      </c>
      <c r="AY30" s="40">
        <f>IF(ISERROR(IF($K30&lt;=$F$15,VLOOKUP($I30,'表4）CO2価格'!$A$7:$E$67,VLOOKUP($F$48,'表4）CO2価格'!$H$10:$I$12,2,0),0)*$F$8/1000,"")),0,IF($K30&lt;=$F$15,VLOOKUP($I30,'表4）CO2価格'!$A$7:$E$67,VLOOKUP($F$48,'表4）CO2価格'!$H$10:$I$12,2,0),0)*$F$8/1000,""))</f>
        <v>6.2060000000000004</v>
      </c>
      <c r="BA30" s="11">
        <f t="shared" si="21"/>
        <v>19634694414.720001</v>
      </c>
      <c r="BB30" s="10">
        <f t="shared" si="22"/>
        <v>12235692420.943338</v>
      </c>
      <c r="BD30" s="10">
        <f t="shared" si="23"/>
        <v>0</v>
      </c>
      <c r="BE30" s="10">
        <f t="shared" si="24"/>
        <v>0</v>
      </c>
      <c r="BG30" s="11">
        <f t="shared" si="25"/>
        <v>0</v>
      </c>
      <c r="BH30" s="10">
        <f t="shared" si="26"/>
        <v>0</v>
      </c>
      <c r="BJ30" s="7" t="str">
        <f t="shared" si="27"/>
        <v/>
      </c>
      <c r="BK30" s="158" t="str">
        <f t="shared" si="28"/>
        <v/>
      </c>
      <c r="BL30" s="158" t="str">
        <f t="shared" si="29"/>
        <v/>
      </c>
      <c r="BM30" s="10"/>
      <c r="BN30" s="10" t="str">
        <f t="shared" si="30"/>
        <v/>
      </c>
      <c r="BO30" s="10" t="str">
        <f t="shared" si="31"/>
        <v/>
      </c>
      <c r="BQ30" s="10">
        <f t="shared" si="32"/>
        <v>3574820495.910316</v>
      </c>
      <c r="BR30" s="10">
        <f t="shared" si="33"/>
        <v>2227709946.697763</v>
      </c>
    </row>
    <row r="31" spans="1:70" x14ac:dyDescent="0.15">
      <c r="C31" s="4" t="s">
        <v>568</v>
      </c>
      <c r="D31" s="100"/>
      <c r="E31" s="100"/>
      <c r="F31" s="4"/>
      <c r="G31" s="100"/>
      <c r="I31" s="38">
        <f t="shared" si="34"/>
        <v>2046</v>
      </c>
      <c r="J31" s="39"/>
      <c r="K31" s="39">
        <f t="shared" si="35"/>
        <v>17</v>
      </c>
      <c r="L31" s="39"/>
      <c r="M31" s="40">
        <f t="shared" si="0"/>
        <v>0.60501644584477121</v>
      </c>
      <c r="N31" s="39"/>
      <c r="O31" s="72">
        <f t="shared" si="36"/>
        <v>1.9073486328125E-6</v>
      </c>
      <c r="P31" s="41" t="str">
        <f t="shared" si="1"/>
        <v>-</v>
      </c>
      <c r="Q31" s="39"/>
      <c r="R31" s="72">
        <f t="shared" si="37"/>
        <v>18802817998.980179</v>
      </c>
      <c r="S31" s="39"/>
      <c r="T31" s="72">
        <f t="shared" si="2"/>
        <v>18802817000</v>
      </c>
      <c r="U31" s="39"/>
      <c r="V31" s="72">
        <f t="shared" si="3"/>
        <v>0</v>
      </c>
      <c r="W31" s="72">
        <f t="shared" si="4"/>
        <v>0</v>
      </c>
      <c r="X31" s="39"/>
      <c r="Y31" s="72">
        <f t="shared" si="5"/>
        <v>263239400</v>
      </c>
      <c r="Z31" s="72">
        <f t="shared" si="6"/>
        <v>159264166.19431007</v>
      </c>
      <c r="AA31" s="39"/>
      <c r="AB31" s="72">
        <f t="shared" si="7"/>
        <v>0</v>
      </c>
      <c r="AC31" s="72">
        <f t="shared" si="8"/>
        <v>0</v>
      </c>
      <c r="AD31" s="39"/>
      <c r="AE31" s="72">
        <f t="shared" si="9"/>
        <v>0</v>
      </c>
      <c r="AF31" s="72">
        <f t="shared" si="10"/>
        <v>0</v>
      </c>
      <c r="AG31" s="39"/>
      <c r="AH31" s="72">
        <f t="shared" si="11"/>
        <v>440000000.00000006</v>
      </c>
      <c r="AI31" s="72">
        <f t="shared" si="12"/>
        <v>266207236.17169937</v>
      </c>
      <c r="AJ31" s="39"/>
      <c r="AK31" s="72">
        <f t="shared" si="13"/>
        <v>5261394309.0658388</v>
      </c>
      <c r="AL31" s="72">
        <f t="shared" si="14"/>
        <v>3183230085.0589194</v>
      </c>
      <c r="AM31" s="39"/>
      <c r="AN31" s="72">
        <f t="shared" si="15"/>
        <v>4822944783.3103533</v>
      </c>
      <c r="AO31" s="72">
        <f t="shared" si="16"/>
        <v>2917960911.3040104</v>
      </c>
      <c r="AP31" s="39"/>
      <c r="AQ31" s="72">
        <f t="shared" si="17"/>
        <v>1283969369.2698953</v>
      </c>
      <c r="AR31" s="72">
        <f t="shared" si="18"/>
        <v>776822584.36922467</v>
      </c>
      <c r="AS31" s="39"/>
      <c r="AT31" s="40">
        <f>IF($K31&lt;=$F$15,IF($F$40&lt;&gt;"",$F$40/1000,IF(ISERROR(VLOOKUP($F$3&amp;IF($G$4&lt;&gt;"",$G$4,"")&amp;IF($F$43&lt;&gt;"","_"&amp;$F$43,""),'表3）燃料価格'!$AF$9:$AG$25,2,0)),0,VLOOKUP($I31,'表3）燃料価格'!$A$6:$U$66,VLOOKUP($F$3&amp;IF($G$4&lt;&gt;"",$G$4,"")&amp;IF($F$43&lt;&gt;"","_"&amp;$F$43,""),'表3）燃料価格'!$AF$9:$AG$25,2,0)+VLOOKUP($F$41,'表3）燃料価格'!$AF$28:$AG$29,2,0),0)*IF($F$43="需要地価格",1,$F$8/$F$141))),"")</f>
        <v>10.77614678288522</v>
      </c>
      <c r="AU31" s="39"/>
      <c r="AV31" s="72">
        <f t="shared" si="19"/>
        <v>17402263312.097485</v>
      </c>
      <c r="AW31" s="72">
        <f t="shared" si="20"/>
        <v>10528655498.740076</v>
      </c>
      <c r="AX31" s="39"/>
      <c r="AY31" s="40">
        <f>IF(ISERROR(IF($K31&lt;=$F$15,VLOOKUP($I31,'表4）CO2価格'!$A$7:$E$67,VLOOKUP($F$48,'表4）CO2価格'!$H$10:$I$12,2,0),0)*$F$8/1000,"")),0,IF($K31&lt;=$F$15,VLOOKUP($I31,'表4）CO2価格'!$A$7:$E$67,VLOOKUP($F$48,'表4）CO2価格'!$H$10:$I$12,2,0),0)*$F$8/1000,""))</f>
        <v>6.3343999999999809</v>
      </c>
      <c r="AZ31" s="39"/>
      <c r="BA31" s="42">
        <f t="shared" si="21"/>
        <v>20040929471.576218</v>
      </c>
      <c r="BB31" s="72">
        <f t="shared" si="22"/>
        <v>12125091920.318771</v>
      </c>
      <c r="BC31" s="39"/>
      <c r="BD31" s="72">
        <f t="shared" si="23"/>
        <v>0</v>
      </c>
      <c r="BE31" s="72">
        <f t="shared" si="24"/>
        <v>0</v>
      </c>
      <c r="BF31" s="39"/>
      <c r="BG31" s="42">
        <f t="shared" si="25"/>
        <v>0</v>
      </c>
      <c r="BH31" s="72">
        <f t="shared" si="26"/>
        <v>0</v>
      </c>
      <c r="BI31" s="39"/>
      <c r="BJ31" s="40" t="str">
        <f t="shared" si="27"/>
        <v/>
      </c>
      <c r="BK31" s="157" t="str">
        <f t="shared" si="28"/>
        <v/>
      </c>
      <c r="BL31" s="157" t="str">
        <f t="shared" si="29"/>
        <v/>
      </c>
      <c r="BM31" s="72"/>
      <c r="BN31" s="72" t="str">
        <f t="shared" si="30"/>
        <v/>
      </c>
      <c r="BO31" s="72" t="str">
        <f t="shared" si="31"/>
        <v/>
      </c>
      <c r="BP31" s="39"/>
      <c r="BQ31" s="72">
        <f t="shared" si="32"/>
        <v>3574820495.910316</v>
      </c>
      <c r="BR31" s="72">
        <f t="shared" si="33"/>
        <v>2162825190.9687018</v>
      </c>
    </row>
    <row r="32" spans="1:70" x14ac:dyDescent="0.15">
      <c r="I32" s="322">
        <f t="shared" si="34"/>
        <v>2047</v>
      </c>
      <c r="K32" s="71">
        <f t="shared" si="35"/>
        <v>18</v>
      </c>
      <c r="M32" s="7">
        <f t="shared" si="0"/>
        <v>0.5873946076162827</v>
      </c>
      <c r="O32" s="10">
        <f t="shared" si="36"/>
        <v>1.9073486328125E-6</v>
      </c>
      <c r="P32" s="29" t="str">
        <f t="shared" si="1"/>
        <v>-</v>
      </c>
      <c r="R32" s="10">
        <f t="shared" si="37"/>
        <v>16127099879.676342</v>
      </c>
      <c r="T32" s="10">
        <f t="shared" si="2"/>
        <v>16127099000</v>
      </c>
      <c r="V32" s="10">
        <f t="shared" si="3"/>
        <v>0</v>
      </c>
      <c r="W32" s="10">
        <f t="shared" si="4"/>
        <v>0</v>
      </c>
      <c r="Y32" s="10">
        <f t="shared" si="5"/>
        <v>225779300</v>
      </c>
      <c r="Z32" s="10">
        <f t="shared" si="6"/>
        <v>132621543.33137898</v>
      </c>
      <c r="AB32" s="10">
        <f t="shared" si="7"/>
        <v>0</v>
      </c>
      <c r="AC32" s="10">
        <f t="shared" si="8"/>
        <v>0</v>
      </c>
      <c r="AE32" s="10">
        <f t="shared" si="9"/>
        <v>0</v>
      </c>
      <c r="AF32" s="10">
        <f t="shared" si="10"/>
        <v>0</v>
      </c>
      <c r="AH32" s="10">
        <f t="shared" si="11"/>
        <v>440000000.00000006</v>
      </c>
      <c r="AI32" s="10">
        <f t="shared" si="12"/>
        <v>258453627.35116443</v>
      </c>
      <c r="AK32" s="10">
        <f t="shared" si="13"/>
        <v>5261394309.0658388</v>
      </c>
      <c r="AL32" s="10">
        <f t="shared" si="14"/>
        <v>3090514645.688271</v>
      </c>
      <c r="AN32" s="10">
        <f t="shared" si="15"/>
        <v>4822944783.3103533</v>
      </c>
      <c r="AO32" s="10">
        <f t="shared" si="16"/>
        <v>2832971758.5475826</v>
      </c>
      <c r="AQ32" s="10">
        <f t="shared" si="17"/>
        <v>1283969369.2698953</v>
      </c>
      <c r="AR32" s="10">
        <f t="shared" si="18"/>
        <v>754196683.85361612</v>
      </c>
      <c r="AT32" s="40">
        <f>IF($K32&lt;=$F$15,IF($F$40&lt;&gt;"",$F$40/1000,IF(ISERROR(VLOOKUP($F$3&amp;IF($G$4&lt;&gt;"",$G$4,"")&amp;IF($F$43&lt;&gt;"","_"&amp;$F$43,""),'表3）燃料価格'!$AF$9:$AG$25,2,0)),0,VLOOKUP($I32,'表3）燃料価格'!$A$6:$U$66,VLOOKUP($F$3&amp;IF($G$4&lt;&gt;"",$G$4,"")&amp;IF($F$43&lt;&gt;"","_"&amp;$F$43,""),'表3）燃料価格'!$AF$9:$AG$25,2,0)+VLOOKUP($F$41,'表3）燃料価格'!$AF$28:$AG$29,2,0),0)*IF($F$43="需要地価格",1,$F$8/$F$141))),"")</f>
        <v>10.762377265694971</v>
      </c>
      <c r="AV32" s="10">
        <f t="shared" si="19"/>
        <v>17383507988.767433</v>
      </c>
      <c r="AW32" s="10">
        <f t="shared" si="20"/>
        <v>10210978854.056562</v>
      </c>
      <c r="AY32" s="40">
        <f>IF(ISERROR(IF($K32&lt;=$F$15,VLOOKUP($I32,'表4）CO2価格'!$A$7:$E$67,VLOOKUP($F$48,'表4）CO2価格'!$H$10:$I$12,2,0),0)*$F$8/1000,"")),0,IF($K32&lt;=$F$15,VLOOKUP($I32,'表4）CO2価格'!$A$7:$E$67,VLOOKUP($F$48,'表4）CO2価格'!$H$10:$I$12,2,0),0)*$F$8/1000,""))</f>
        <v>6.4628000000000103</v>
      </c>
      <c r="BA32" s="11">
        <f t="shared" si="21"/>
        <v>20447164528.432587</v>
      </c>
      <c r="BB32" s="10">
        <f t="shared" si="22"/>
        <v>12010554185.044233</v>
      </c>
      <c r="BD32" s="10">
        <f t="shared" si="23"/>
        <v>0</v>
      </c>
      <c r="BE32" s="10">
        <f t="shared" si="24"/>
        <v>0</v>
      </c>
      <c r="BG32" s="11">
        <f t="shared" si="25"/>
        <v>0</v>
      </c>
      <c r="BH32" s="10">
        <f t="shared" si="26"/>
        <v>0</v>
      </c>
      <c r="BJ32" s="7" t="str">
        <f t="shared" si="27"/>
        <v/>
      </c>
      <c r="BK32" s="158" t="str">
        <f t="shared" si="28"/>
        <v/>
      </c>
      <c r="BL32" s="158" t="str">
        <f t="shared" si="29"/>
        <v/>
      </c>
      <c r="BM32" s="10"/>
      <c r="BN32" s="10" t="str">
        <f t="shared" si="30"/>
        <v/>
      </c>
      <c r="BO32" s="10" t="str">
        <f t="shared" si="31"/>
        <v/>
      </c>
      <c r="BQ32" s="10">
        <f t="shared" si="32"/>
        <v>3574820495.910316</v>
      </c>
      <c r="BR32" s="10">
        <f t="shared" si="33"/>
        <v>2099830282.4938853</v>
      </c>
    </row>
    <row r="33" spans="3:70" x14ac:dyDescent="0.15">
      <c r="D33" s="84" t="s">
        <v>636</v>
      </c>
      <c r="F33" s="513">
        <f>'石炭火力（2030年）'!F33</f>
        <v>4.4000000000000004</v>
      </c>
      <c r="G33" s="84" t="s">
        <v>637</v>
      </c>
      <c r="I33" s="38">
        <f t="shared" si="34"/>
        <v>2048</v>
      </c>
      <c r="J33" s="39"/>
      <c r="K33" s="39">
        <f t="shared" si="35"/>
        <v>19</v>
      </c>
      <c r="L33" s="39"/>
      <c r="M33" s="40">
        <f t="shared" si="0"/>
        <v>0.57028602681192497</v>
      </c>
      <c r="N33" s="39"/>
      <c r="O33" s="72">
        <f t="shared" si="36"/>
        <v>1.9073486328125E-6</v>
      </c>
      <c r="P33" s="41" t="str">
        <f t="shared" si="1"/>
        <v>-</v>
      </c>
      <c r="Q33" s="39"/>
      <c r="R33" s="72">
        <f t="shared" si="37"/>
        <v>13832147422.9641</v>
      </c>
      <c r="S33" s="39"/>
      <c r="T33" s="72">
        <f t="shared" si="2"/>
        <v>13832147000</v>
      </c>
      <c r="U33" s="39"/>
      <c r="V33" s="72">
        <f t="shared" si="3"/>
        <v>0</v>
      </c>
      <c r="W33" s="72">
        <f t="shared" si="4"/>
        <v>0</v>
      </c>
      <c r="X33" s="39"/>
      <c r="Y33" s="72">
        <f t="shared" si="5"/>
        <v>193650000</v>
      </c>
      <c r="Z33" s="72">
        <f t="shared" si="6"/>
        <v>110435889.09212928</v>
      </c>
      <c r="AA33" s="39"/>
      <c r="AB33" s="72">
        <f t="shared" si="7"/>
        <v>0</v>
      </c>
      <c r="AC33" s="72">
        <f t="shared" si="8"/>
        <v>0</v>
      </c>
      <c r="AD33" s="39"/>
      <c r="AE33" s="72">
        <f t="shared" si="9"/>
        <v>0</v>
      </c>
      <c r="AF33" s="72">
        <f t="shared" si="10"/>
        <v>0</v>
      </c>
      <c r="AG33" s="39"/>
      <c r="AH33" s="72">
        <f t="shared" si="11"/>
        <v>440000000.00000006</v>
      </c>
      <c r="AI33" s="72">
        <f t="shared" si="12"/>
        <v>250925851.79724702</v>
      </c>
      <c r="AJ33" s="39"/>
      <c r="AK33" s="72">
        <f t="shared" si="13"/>
        <v>5261394309.0658388</v>
      </c>
      <c r="AL33" s="72">
        <f t="shared" si="14"/>
        <v>3000499656.0080304</v>
      </c>
      <c r="AM33" s="39"/>
      <c r="AN33" s="72">
        <f t="shared" si="15"/>
        <v>4822944783.3103533</v>
      </c>
      <c r="AO33" s="72">
        <f t="shared" si="16"/>
        <v>2750458018.0073619</v>
      </c>
      <c r="AP33" s="39"/>
      <c r="AQ33" s="72">
        <f t="shared" si="17"/>
        <v>1283969369.2698953</v>
      </c>
      <c r="AR33" s="72">
        <f t="shared" si="18"/>
        <v>732229790.14914191</v>
      </c>
      <c r="AS33" s="39"/>
      <c r="AT33" s="40">
        <f>IF($K33&lt;=$F$15,IF($F$40&lt;&gt;"",$F$40/1000,IF(ISERROR(VLOOKUP($F$3&amp;IF($G$4&lt;&gt;"",$G$4,"")&amp;IF($F$43&lt;&gt;"","_"&amp;$F$43,""),'表3）燃料価格'!$AF$9:$AG$25,2,0)),0,VLOOKUP($I33,'表3）燃料価格'!$A$6:$U$66,VLOOKUP($F$3&amp;IF($G$4&lt;&gt;"",$G$4,"")&amp;IF($F$43&lt;&gt;"","_"&amp;$F$43,""),'表3）燃料価格'!$AF$9:$AG$25,2,0)+VLOOKUP($F$41,'表3）燃料価格'!$AF$28:$AG$29,2,0),0)*IF($F$43="需要地価格",1,$F$8/$F$141))),"")</f>
        <v>10.749018840862531</v>
      </c>
      <c r="AU33" s="39"/>
      <c r="AV33" s="72">
        <f t="shared" si="19"/>
        <v>17365312610.276604</v>
      </c>
      <c r="AW33" s="72">
        <f t="shared" si="20"/>
        <v>9903195132.8616619</v>
      </c>
      <c r="AX33" s="39"/>
      <c r="AY33" s="40">
        <f>IF(ISERROR(IF($K33&lt;=$F$15,VLOOKUP($I33,'表4）CO2価格'!$A$7:$E$67,VLOOKUP($F$48,'表4）CO2価格'!$H$10:$I$12,2,0),0)*$F$8/1000,"")),0,IF($K33&lt;=$F$15,VLOOKUP($I33,'表4）CO2価格'!$A$7:$E$67,VLOOKUP($F$48,'表4）CO2価格'!$H$10:$I$12,2,0),0)*$F$8/1000,""))</f>
        <v>6.59119999999999</v>
      </c>
      <c r="AZ33" s="39"/>
      <c r="BA33" s="42">
        <f t="shared" si="21"/>
        <v>20853399585.288795</v>
      </c>
      <c r="BB33" s="72">
        <f t="shared" si="22"/>
        <v>11892402395.015791</v>
      </c>
      <c r="BC33" s="39"/>
      <c r="BD33" s="72">
        <f t="shared" si="23"/>
        <v>0</v>
      </c>
      <c r="BE33" s="72">
        <f t="shared" si="24"/>
        <v>0</v>
      </c>
      <c r="BF33" s="39"/>
      <c r="BG33" s="42">
        <f t="shared" si="25"/>
        <v>0</v>
      </c>
      <c r="BH33" s="72">
        <f t="shared" si="26"/>
        <v>0</v>
      </c>
      <c r="BI33" s="39"/>
      <c r="BJ33" s="40" t="str">
        <f t="shared" si="27"/>
        <v/>
      </c>
      <c r="BK33" s="157" t="str">
        <f t="shared" si="28"/>
        <v/>
      </c>
      <c r="BL33" s="157" t="str">
        <f t="shared" si="29"/>
        <v/>
      </c>
      <c r="BM33" s="72"/>
      <c r="BN33" s="72" t="str">
        <f t="shared" si="30"/>
        <v/>
      </c>
      <c r="BO33" s="72" t="str">
        <f t="shared" si="31"/>
        <v/>
      </c>
      <c r="BP33" s="39"/>
      <c r="BQ33" s="72">
        <f t="shared" si="32"/>
        <v>3574820495.910316</v>
      </c>
      <c r="BR33" s="72">
        <f t="shared" si="33"/>
        <v>2038670177.1785295</v>
      </c>
    </row>
    <row r="34" spans="3:70" x14ac:dyDescent="0.15">
      <c r="D34" s="84" t="s">
        <v>120</v>
      </c>
      <c r="F34" s="513">
        <f>'石炭火力（2030年）'!F34</f>
        <v>2.4</v>
      </c>
      <c r="G34" s="84" t="s">
        <v>638</v>
      </c>
      <c r="I34" s="322">
        <f t="shared" si="34"/>
        <v>2049</v>
      </c>
      <c r="K34" s="71">
        <f t="shared" si="35"/>
        <v>20</v>
      </c>
      <c r="M34" s="7">
        <f t="shared" si="0"/>
        <v>0.55367575418633497</v>
      </c>
      <c r="O34" s="10">
        <f t="shared" si="36"/>
        <v>1.9073486328125E-6</v>
      </c>
      <c r="P34" s="29" t="str">
        <f t="shared" si="1"/>
        <v>-</v>
      </c>
      <c r="R34" s="10">
        <f t="shared" si="37"/>
        <v>11863776113.380915</v>
      </c>
      <c r="T34" s="10">
        <f t="shared" si="2"/>
        <v>11863776000</v>
      </c>
      <c r="V34" s="10">
        <f t="shared" si="3"/>
        <v>0</v>
      </c>
      <c r="W34" s="10">
        <f t="shared" si="4"/>
        <v>0</v>
      </c>
      <c r="Y34" s="10">
        <f t="shared" si="5"/>
        <v>166092800</v>
      </c>
      <c r="Z34" s="10">
        <f t="shared" si="6"/>
        <v>91961556.304920092</v>
      </c>
      <c r="AB34" s="10">
        <f t="shared" si="7"/>
        <v>0</v>
      </c>
      <c r="AC34" s="10">
        <f t="shared" si="8"/>
        <v>0</v>
      </c>
      <c r="AE34" s="10">
        <f t="shared" si="9"/>
        <v>0</v>
      </c>
      <c r="AF34" s="10">
        <f t="shared" si="10"/>
        <v>0</v>
      </c>
      <c r="AH34" s="10">
        <f t="shared" si="11"/>
        <v>440000000.00000006</v>
      </c>
      <c r="AI34" s="10">
        <f t="shared" si="12"/>
        <v>243617331.84198743</v>
      </c>
      <c r="AK34" s="10">
        <f t="shared" si="13"/>
        <v>5261394309.0658388</v>
      </c>
      <c r="AL34" s="10">
        <f t="shared" si="14"/>
        <v>2913106462.1437192</v>
      </c>
      <c r="AN34" s="10">
        <f t="shared" si="15"/>
        <v>4822944783.3103533</v>
      </c>
      <c r="AO34" s="10">
        <f t="shared" si="16"/>
        <v>2670347590.2984099</v>
      </c>
      <c r="AQ34" s="10">
        <f t="shared" si="17"/>
        <v>1283969369.2698953</v>
      </c>
      <c r="AR34" s="10">
        <f t="shared" si="18"/>
        <v>710902708.88266206</v>
      </c>
      <c r="AT34" s="40">
        <f>IF($K34&lt;=$F$15,IF($F$40&lt;&gt;"",$F$40/1000,IF(ISERROR(VLOOKUP($F$3&amp;IF($G$4&lt;&gt;"",$G$4,"")&amp;IF($F$43&lt;&gt;"","_"&amp;$F$43,""),'表3）燃料価格'!$AF$9:$AG$25,2,0)),0,VLOOKUP($I34,'表3）燃料価格'!$A$6:$U$66,VLOOKUP($F$3&amp;IF($G$4&lt;&gt;"",$G$4,"")&amp;IF($F$43&lt;&gt;"","_"&amp;$F$43,""),'表3）燃料価格'!$AF$9:$AG$25,2,0)+VLOOKUP($F$41,'表3）燃料価格'!$AF$28:$AG$29,2,0),0)*IF($F$43="需要地価格",1,$F$8/$F$141))),"")</f>
        <v>10.736047671787711</v>
      </c>
      <c r="AV34" s="10">
        <f t="shared" si="19"/>
        <v>17347644709.02737</v>
      </c>
      <c r="AW34" s="10">
        <f t="shared" si="20"/>
        <v>9604970267.6273136</v>
      </c>
      <c r="AY34" s="40">
        <f>IF(ISERROR(IF($K34&lt;=$F$15,VLOOKUP($I34,'表4）CO2価格'!$A$7:$E$67,VLOOKUP($F$48,'表4）CO2価格'!$H$10:$I$12,2,0),0)*$F$8/1000,"")),0,IF($K34&lt;=$F$15,VLOOKUP($I34,'表4）CO2価格'!$A$7:$E$67,VLOOKUP($F$48,'表4）CO2価格'!$H$10:$I$12,2,0),0)*$F$8/1000,""))</f>
        <v>6.7195999999999714</v>
      </c>
      <c r="BA34" s="11">
        <f t="shared" si="21"/>
        <v>21259634642.145012</v>
      </c>
      <c r="BB34" s="10">
        <f t="shared" si="22"/>
        <v>11770944244.215572</v>
      </c>
      <c r="BD34" s="10">
        <f t="shared" si="23"/>
        <v>0</v>
      </c>
      <c r="BE34" s="10">
        <f t="shared" si="24"/>
        <v>0</v>
      </c>
      <c r="BG34" s="11">
        <f t="shared" si="25"/>
        <v>0</v>
      </c>
      <c r="BH34" s="10">
        <f t="shared" si="26"/>
        <v>0</v>
      </c>
      <c r="BJ34" s="7" t="str">
        <f t="shared" si="27"/>
        <v/>
      </c>
      <c r="BK34" s="158" t="str">
        <f t="shared" si="28"/>
        <v/>
      </c>
      <c r="BL34" s="158" t="str">
        <f t="shared" si="29"/>
        <v/>
      </c>
      <c r="BM34" s="10"/>
      <c r="BN34" s="10" t="str">
        <f t="shared" si="30"/>
        <v/>
      </c>
      <c r="BO34" s="10" t="str">
        <f t="shared" si="31"/>
        <v/>
      </c>
      <c r="BQ34" s="10">
        <f t="shared" si="32"/>
        <v>3574820495.910316</v>
      </c>
      <c r="BR34" s="10">
        <f t="shared" si="33"/>
        <v>1979291434.1539121</v>
      </c>
    </row>
    <row r="35" spans="3:70" x14ac:dyDescent="0.15">
      <c r="D35" s="84" t="s">
        <v>122</v>
      </c>
      <c r="F35" s="513">
        <f>'石炭火力（2030年）'!F35</f>
        <v>2.2000000000000002</v>
      </c>
      <c r="G35" s="84" t="s">
        <v>638</v>
      </c>
      <c r="I35" s="38">
        <f t="shared" si="34"/>
        <v>2050</v>
      </c>
      <c r="J35" s="39"/>
      <c r="K35" s="39">
        <f t="shared" si="35"/>
        <v>21</v>
      </c>
      <c r="L35" s="39"/>
      <c r="M35" s="40">
        <f t="shared" si="0"/>
        <v>0.5375492759090631</v>
      </c>
      <c r="N35" s="39"/>
      <c r="O35" s="72">
        <f t="shared" si="36"/>
        <v>1.9073486328125E-6</v>
      </c>
      <c r="P35" s="41" t="str">
        <f t="shared" si="1"/>
        <v>-</v>
      </c>
      <c r="Q35" s="39"/>
      <c r="R35" s="72">
        <f t="shared" si="37"/>
        <v>10961238143.887167</v>
      </c>
      <c r="S35" s="39"/>
      <c r="T35" s="72">
        <f t="shared" si="2"/>
        <v>10961238000</v>
      </c>
      <c r="U35" s="39"/>
      <c r="V35" s="72">
        <f t="shared" si="3"/>
        <v>0</v>
      </c>
      <c r="W35" s="72">
        <f t="shared" si="4"/>
        <v>0</v>
      </c>
      <c r="X35" s="39"/>
      <c r="Y35" s="72">
        <f t="shared" si="5"/>
        <v>153457300</v>
      </c>
      <c r="Z35" s="72">
        <f t="shared" si="6"/>
        <v>82490860.497959867</v>
      </c>
      <c r="AA35" s="39"/>
      <c r="AB35" s="72">
        <f t="shared" si="7"/>
        <v>0</v>
      </c>
      <c r="AC35" s="72">
        <f t="shared" si="8"/>
        <v>0</v>
      </c>
      <c r="AD35" s="39"/>
      <c r="AE35" s="72">
        <f t="shared" si="9"/>
        <v>0</v>
      </c>
      <c r="AF35" s="72">
        <f t="shared" si="10"/>
        <v>0</v>
      </c>
      <c r="AG35" s="39"/>
      <c r="AH35" s="72">
        <f t="shared" si="11"/>
        <v>440000000.00000006</v>
      </c>
      <c r="AI35" s="72">
        <f t="shared" si="12"/>
        <v>236521681.39998779</v>
      </c>
      <c r="AJ35" s="39"/>
      <c r="AK35" s="72">
        <f t="shared" si="13"/>
        <v>5261394309.0658388</v>
      </c>
      <c r="AL35" s="72">
        <f t="shared" si="14"/>
        <v>2828258701.1104069</v>
      </c>
      <c r="AM35" s="39"/>
      <c r="AN35" s="72">
        <f t="shared" si="15"/>
        <v>4822944783.3103533</v>
      </c>
      <c r="AO35" s="72">
        <f t="shared" si="16"/>
        <v>2592570476.0178738</v>
      </c>
      <c r="AP35" s="39"/>
      <c r="AQ35" s="72">
        <f t="shared" si="17"/>
        <v>1283969369.2698953</v>
      </c>
      <c r="AR35" s="72">
        <f t="shared" si="18"/>
        <v>690196804.74044871</v>
      </c>
      <c r="AS35" s="39"/>
      <c r="AT35" s="40">
        <f>IF($K35&lt;=$F$15,IF($F$40&lt;&gt;"",$F$40/1000,IF(ISERROR(VLOOKUP($F$3&amp;IF($G$4&lt;&gt;"",$G$4,"")&amp;IF($F$43&lt;&gt;"","_"&amp;$F$43,""),'表3）燃料価格'!$AF$9:$AG$25,2,0)),0,VLOOKUP($I35,'表3）燃料価格'!$A$6:$U$66,VLOOKUP($F$3&amp;IF($G$4&lt;&gt;"",$G$4,"")&amp;IF($F$43&lt;&gt;"","_"&amp;$F$43,""),'表3）燃料価格'!$AF$9:$AG$25,2,0)+VLOOKUP($F$41,'表3）燃料価格'!$AF$28:$AG$29,2,0),0)*IF($F$43="需要地価格",1,$F$8/$F$141))),"")</f>
        <v>10.723441936787916</v>
      </c>
      <c r="AU35" s="39"/>
      <c r="AV35" s="72">
        <f t="shared" si="19"/>
        <v>17330474561.921452</v>
      </c>
      <c r="AW35" s="72">
        <f t="shared" si="20"/>
        <v>9315984051.9213142</v>
      </c>
      <c r="AX35" s="39"/>
      <c r="AY35" s="40">
        <f>IF(ISERROR(IF($K35&lt;=$F$15,VLOOKUP($I35,'表4）CO2価格'!$A$7:$E$67,VLOOKUP($F$48,'表4）CO2価格'!$H$10:$I$12,2,0),0)*$F$8/1000,"")),0,IF($K35&lt;=$F$15,VLOOKUP($I35,'表4）CO2価格'!$A$7:$E$67,VLOOKUP($F$48,'表4）CO2価格'!$H$10:$I$12,2,0),0)*$F$8/1000,""))</f>
        <v>6.8479999999999999</v>
      </c>
      <c r="AZ35" s="39"/>
      <c r="BA35" s="42">
        <f t="shared" si="21"/>
        <v>21665869699.001381</v>
      </c>
      <c r="BB35" s="72">
        <f t="shared" si="22"/>
        <v>11646472568.638304</v>
      </c>
      <c r="BC35" s="39"/>
      <c r="BD35" s="72">
        <f t="shared" si="23"/>
        <v>0</v>
      </c>
      <c r="BE35" s="72">
        <f t="shared" si="24"/>
        <v>0</v>
      </c>
      <c r="BF35" s="39"/>
      <c r="BG35" s="42">
        <f t="shared" si="25"/>
        <v>0</v>
      </c>
      <c r="BH35" s="72">
        <f t="shared" si="26"/>
        <v>0</v>
      </c>
      <c r="BI35" s="39"/>
      <c r="BJ35" s="40" t="str">
        <f t="shared" si="27"/>
        <v/>
      </c>
      <c r="BK35" s="157" t="str">
        <f t="shared" si="28"/>
        <v/>
      </c>
      <c r="BL35" s="157" t="str">
        <f t="shared" si="29"/>
        <v/>
      </c>
      <c r="BM35" s="72"/>
      <c r="BN35" s="72" t="str">
        <f t="shared" si="30"/>
        <v/>
      </c>
      <c r="BO35" s="72" t="str">
        <f t="shared" si="31"/>
        <v/>
      </c>
      <c r="BP35" s="39"/>
      <c r="BQ35" s="72">
        <f t="shared" si="32"/>
        <v>3574820495.910316</v>
      </c>
      <c r="BR35" s="72">
        <f t="shared" si="33"/>
        <v>1921642169.0814681</v>
      </c>
    </row>
    <row r="36" spans="3:70" x14ac:dyDescent="0.15">
      <c r="D36" s="84" t="s">
        <v>639</v>
      </c>
      <c r="F36" s="513">
        <f>'石炭火力（2030年）'!F36</f>
        <v>12.2</v>
      </c>
      <c r="G36" s="84" t="s">
        <v>640</v>
      </c>
      <c r="I36" s="322">
        <f t="shared" si="34"/>
        <v>2051</v>
      </c>
      <c r="K36" s="71">
        <f t="shared" si="35"/>
        <v>22</v>
      </c>
      <c r="M36" s="7">
        <f t="shared" si="0"/>
        <v>0.52189250088258554</v>
      </c>
      <c r="O36" s="10">
        <f t="shared" si="36"/>
        <v>1.9073486328125E-6</v>
      </c>
      <c r="P36" s="29" t="str">
        <f t="shared" si="1"/>
        <v>-</v>
      </c>
      <c r="R36" s="10">
        <f t="shared" si="37"/>
        <v>10961238143.887167</v>
      </c>
      <c r="T36" s="10">
        <f t="shared" si="2"/>
        <v>10961238000</v>
      </c>
      <c r="V36" s="10">
        <f t="shared" si="3"/>
        <v>0</v>
      </c>
      <c r="W36" s="10">
        <f t="shared" si="4"/>
        <v>0</v>
      </c>
      <c r="Y36" s="10">
        <f t="shared" si="5"/>
        <v>153457300</v>
      </c>
      <c r="Z36" s="10">
        <f t="shared" si="6"/>
        <v>80088214.075689197</v>
      </c>
      <c r="AB36" s="10">
        <f t="shared" si="7"/>
        <v>0</v>
      </c>
      <c r="AC36" s="10">
        <f t="shared" si="8"/>
        <v>0</v>
      </c>
      <c r="AE36" s="10">
        <f t="shared" si="9"/>
        <v>0</v>
      </c>
      <c r="AF36" s="10">
        <f t="shared" si="10"/>
        <v>0</v>
      </c>
      <c r="AH36" s="10">
        <f t="shared" si="11"/>
        <v>440000000.00000006</v>
      </c>
      <c r="AI36" s="10">
        <f t="shared" si="12"/>
        <v>229632700.38833767</v>
      </c>
      <c r="AK36" s="10">
        <f t="shared" si="13"/>
        <v>5261394309.0658388</v>
      </c>
      <c r="AL36" s="10">
        <f t="shared" si="14"/>
        <v>2745882234.0877738</v>
      </c>
      <c r="AN36" s="10">
        <f t="shared" si="15"/>
        <v>4822944783.3103533</v>
      </c>
      <c r="AO36" s="10">
        <f t="shared" si="16"/>
        <v>2517058714.5804601</v>
      </c>
      <c r="AQ36" s="10">
        <f t="shared" si="17"/>
        <v>1283969369.2698953</v>
      </c>
      <c r="AR36" s="10">
        <f t="shared" si="18"/>
        <v>670093985.1849016</v>
      </c>
      <c r="AT36" s="40">
        <f>IF($K36&lt;=$F$15,IF($F$40&lt;&gt;"",$F$40/1000,IF(ISERROR(VLOOKUP($F$3&amp;IF($G$4&lt;&gt;"",$G$4,"")&amp;IF($F$43&lt;&gt;"","_"&amp;$F$43,""),'表3）燃料価格'!$AF$9:$AG$25,2,0)),0,VLOOKUP($I36,'表3）燃料価格'!$A$6:$U$66,VLOOKUP($F$3&amp;IF($G$4&lt;&gt;"",$G$4,"")&amp;IF($F$43&lt;&gt;"","_"&amp;$F$43,""),'表3）燃料価格'!$AF$9:$AG$25,2,0)+VLOOKUP($F$41,'表3）燃料価格'!$AF$28:$AG$29,2,0),0)*IF($F$43="需要地価格",1,$F$8/$F$141))),"")</f>
        <v>10.711181608212062</v>
      </c>
      <c r="AV36" s="10">
        <f t="shared" si="19"/>
        <v>17313774889.493168</v>
      </c>
      <c r="AW36" s="10">
        <f t="shared" si="20"/>
        <v>9035929276.7957001</v>
      </c>
      <c r="AY36" s="40">
        <f>IF(ISERROR(IF($K36&lt;=$F$15,VLOOKUP($I36,'表4）CO2価格'!$A$7:$E$67,VLOOKUP($F$48,'表4）CO2価格'!$H$10:$I$12,2,0),0)*$F$8/1000,"")),0,IF($K36&lt;=$F$15,VLOOKUP($I36,'表4）CO2価格'!$A$7:$E$67,VLOOKUP($F$48,'表4）CO2価格'!$H$10:$I$12,2,0),0)*$F$8/1000,""))</f>
        <v>7.0184806169104448</v>
      </c>
      <c r="BA36" s="11">
        <f t="shared" si="21"/>
        <v>22205240439.682903</v>
      </c>
      <c r="BB36" s="10">
        <f t="shared" si="22"/>
        <v>11588748465.765234</v>
      </c>
      <c r="BD36" s="10">
        <f t="shared" si="23"/>
        <v>0</v>
      </c>
      <c r="BE36" s="10">
        <f t="shared" si="24"/>
        <v>0</v>
      </c>
      <c r="BG36" s="11">
        <f t="shared" si="25"/>
        <v>0</v>
      </c>
      <c r="BH36" s="10">
        <f t="shared" si="26"/>
        <v>0</v>
      </c>
      <c r="BJ36" s="7" t="str">
        <f t="shared" si="27"/>
        <v/>
      </c>
      <c r="BK36" s="158" t="str">
        <f t="shared" si="28"/>
        <v/>
      </c>
      <c r="BL36" s="158" t="str">
        <f t="shared" si="29"/>
        <v/>
      </c>
      <c r="BM36" s="10"/>
      <c r="BN36" s="10" t="str">
        <f t="shared" si="30"/>
        <v/>
      </c>
      <c r="BO36" s="10" t="str">
        <f t="shared" si="31"/>
        <v/>
      </c>
      <c r="BQ36" s="10">
        <f t="shared" si="32"/>
        <v>3574820495.910316</v>
      </c>
      <c r="BR36" s="10">
        <f t="shared" si="33"/>
        <v>1865672008.8169594</v>
      </c>
    </row>
    <row r="37" spans="3:70" x14ac:dyDescent="0.15">
      <c r="I37" s="38">
        <f t="shared" si="34"/>
        <v>2052</v>
      </c>
      <c r="J37" s="39"/>
      <c r="K37" s="39">
        <f t="shared" si="35"/>
        <v>23</v>
      </c>
      <c r="L37" s="39"/>
      <c r="M37" s="40">
        <f t="shared" si="0"/>
        <v>0.50669174842969467</v>
      </c>
      <c r="N37" s="39"/>
      <c r="O37" s="72">
        <f t="shared" si="36"/>
        <v>1.9073486328125E-6</v>
      </c>
      <c r="P37" s="41" t="str">
        <f t="shared" si="1"/>
        <v>-</v>
      </c>
      <c r="Q37" s="39"/>
      <c r="R37" s="72">
        <f t="shared" si="37"/>
        <v>10961238143.887167</v>
      </c>
      <c r="S37" s="39"/>
      <c r="T37" s="72">
        <f t="shared" si="2"/>
        <v>10961238000</v>
      </c>
      <c r="U37" s="39"/>
      <c r="V37" s="72">
        <f t="shared" si="3"/>
        <v>0</v>
      </c>
      <c r="W37" s="72">
        <f t="shared" si="4"/>
        <v>0</v>
      </c>
      <c r="X37" s="39"/>
      <c r="Y37" s="72">
        <f t="shared" si="5"/>
        <v>153457300</v>
      </c>
      <c r="Z37" s="72">
        <f t="shared" si="6"/>
        <v>77755547.646300182</v>
      </c>
      <c r="AA37" s="39"/>
      <c r="AB37" s="72">
        <f t="shared" si="7"/>
        <v>0</v>
      </c>
      <c r="AC37" s="72">
        <f t="shared" si="8"/>
        <v>0</v>
      </c>
      <c r="AD37" s="39"/>
      <c r="AE37" s="72">
        <f t="shared" si="9"/>
        <v>0</v>
      </c>
      <c r="AF37" s="72">
        <f t="shared" si="10"/>
        <v>0</v>
      </c>
      <c r="AG37" s="39"/>
      <c r="AH37" s="72">
        <f t="shared" si="11"/>
        <v>440000000.00000006</v>
      </c>
      <c r="AI37" s="72">
        <f t="shared" si="12"/>
        <v>222944369.30906567</v>
      </c>
      <c r="AJ37" s="39"/>
      <c r="AK37" s="72">
        <f t="shared" si="13"/>
        <v>5261394309.0658388</v>
      </c>
      <c r="AL37" s="72">
        <f t="shared" si="14"/>
        <v>2665905081.6386151</v>
      </c>
      <c r="AM37" s="39"/>
      <c r="AN37" s="72">
        <f t="shared" si="15"/>
        <v>4822944783.3103533</v>
      </c>
      <c r="AO37" s="72">
        <f t="shared" si="16"/>
        <v>2443746324.8353977</v>
      </c>
      <c r="AP37" s="39"/>
      <c r="AQ37" s="72">
        <f t="shared" si="17"/>
        <v>1283969369.2698953</v>
      </c>
      <c r="AR37" s="72">
        <f t="shared" si="18"/>
        <v>650576684.64553559</v>
      </c>
      <c r="AS37" s="39"/>
      <c r="AT37" s="40">
        <f>IF($K37&lt;=$F$15,IF($F$40&lt;&gt;"",$F$40/1000,IF(ISERROR(VLOOKUP($F$3&amp;IF($G$4&lt;&gt;"",$G$4,"")&amp;IF($F$43&lt;&gt;"","_"&amp;$F$43,""),'表3）燃料価格'!$AF$9:$AG$25,2,0)),0,VLOOKUP($I37,'表3）燃料価格'!$A$6:$U$66,VLOOKUP($F$3&amp;IF($G$4&lt;&gt;"",$G$4,"")&amp;IF($F$43&lt;&gt;"","_"&amp;$F$43,""),'表3）燃料価格'!$AF$9:$AG$25,2,0)+VLOOKUP($F$41,'表3）燃料価格'!$AF$28:$AG$29,2,0),0)*IF($F$43="需要地価格",1,$F$8/$F$141))),"")</f>
        <v>10.699248261017217</v>
      </c>
      <c r="AU37" s="39"/>
      <c r="AV37" s="72">
        <f t="shared" si="19"/>
        <v>17297520595.173573</v>
      </c>
      <c r="AW37" s="72">
        <f t="shared" si="20"/>
        <v>8764510953.8671494</v>
      </c>
      <c r="AX37" s="39"/>
      <c r="AY37" s="40">
        <f>IF(ISERROR(IF($K37&lt;=$F$15,VLOOKUP($I37,'表4）CO2価格'!$A$7:$E$67,VLOOKUP($F$48,'表4）CO2価格'!$H$10:$I$12,2,0),0)*$F$8/1000,"")),0,IF($K37&lt;=$F$15,VLOOKUP($I37,'表4）CO2価格'!$A$7:$E$67,VLOOKUP($F$48,'表4）CO2価格'!$H$10:$I$12,2,0),0)*$F$8/1000,""))</f>
        <v>7.1500080975609199</v>
      </c>
      <c r="AZ37" s="39"/>
      <c r="BA37" s="42">
        <f t="shared" si="21"/>
        <v>22621370296.226582</v>
      </c>
      <c r="BB37" s="72">
        <f t="shared" si="22"/>
        <v>11462061667.270607</v>
      </c>
      <c r="BC37" s="39"/>
      <c r="BD37" s="72">
        <f t="shared" si="23"/>
        <v>0</v>
      </c>
      <c r="BE37" s="72">
        <f t="shared" si="24"/>
        <v>0</v>
      </c>
      <c r="BF37" s="39"/>
      <c r="BG37" s="42">
        <f t="shared" si="25"/>
        <v>0</v>
      </c>
      <c r="BH37" s="72">
        <f t="shared" si="26"/>
        <v>0</v>
      </c>
      <c r="BI37" s="39"/>
      <c r="BJ37" s="40" t="str">
        <f t="shared" si="27"/>
        <v/>
      </c>
      <c r="BK37" s="157" t="str">
        <f t="shared" si="28"/>
        <v/>
      </c>
      <c r="BL37" s="157" t="str">
        <f t="shared" si="29"/>
        <v/>
      </c>
      <c r="BM37" s="72"/>
      <c r="BN37" s="72" t="str">
        <f t="shared" si="30"/>
        <v/>
      </c>
      <c r="BO37" s="72" t="str">
        <f t="shared" si="31"/>
        <v/>
      </c>
      <c r="BP37" s="39"/>
      <c r="BQ37" s="72">
        <f t="shared" si="32"/>
        <v>3574820495.910316</v>
      </c>
      <c r="BR37" s="72">
        <f t="shared" si="33"/>
        <v>1811332047.3951061</v>
      </c>
    </row>
    <row r="38" spans="3:70" x14ac:dyDescent="0.15">
      <c r="C38" s="4" t="s">
        <v>570</v>
      </c>
      <c r="D38" s="100"/>
      <c r="E38" s="100"/>
      <c r="F38" s="4"/>
      <c r="G38" s="100"/>
      <c r="I38" s="322">
        <f t="shared" si="34"/>
        <v>2053</v>
      </c>
      <c r="K38" s="71">
        <f t="shared" si="35"/>
        <v>24</v>
      </c>
      <c r="M38" s="7">
        <f t="shared" si="0"/>
        <v>0.49193373633950943</v>
      </c>
      <c r="O38" s="10">
        <f t="shared" si="36"/>
        <v>1.9073486328125E-6</v>
      </c>
      <c r="P38" s="29" t="str">
        <f t="shared" si="1"/>
        <v>-</v>
      </c>
      <c r="R38" s="10">
        <f t="shared" si="37"/>
        <v>10961238143.887167</v>
      </c>
      <c r="T38" s="10">
        <f t="shared" si="2"/>
        <v>10961238000</v>
      </c>
      <c r="V38" s="10">
        <f t="shared" si="3"/>
        <v>0</v>
      </c>
      <c r="W38" s="10">
        <f t="shared" si="4"/>
        <v>0</v>
      </c>
      <c r="Y38" s="10">
        <f t="shared" si="5"/>
        <v>153457300</v>
      </c>
      <c r="Z38" s="10">
        <f t="shared" si="6"/>
        <v>75490822.957572997</v>
      </c>
      <c r="AB38" s="10">
        <f t="shared" si="7"/>
        <v>0</v>
      </c>
      <c r="AC38" s="10">
        <f t="shared" si="8"/>
        <v>0</v>
      </c>
      <c r="AE38" s="10">
        <f t="shared" si="9"/>
        <v>0</v>
      </c>
      <c r="AF38" s="10">
        <f t="shared" si="10"/>
        <v>0</v>
      </c>
      <c r="AH38" s="10">
        <f t="shared" si="11"/>
        <v>440000000.00000006</v>
      </c>
      <c r="AI38" s="10">
        <f t="shared" si="12"/>
        <v>216450843.98938417</v>
      </c>
      <c r="AK38" s="10">
        <f t="shared" si="13"/>
        <v>5261394309.0658388</v>
      </c>
      <c r="AL38" s="10">
        <f t="shared" si="14"/>
        <v>2588257360.8141899</v>
      </c>
      <c r="AN38" s="10">
        <f t="shared" si="15"/>
        <v>4822944783.3103533</v>
      </c>
      <c r="AO38" s="10">
        <f t="shared" si="16"/>
        <v>2372569247.4130077</v>
      </c>
      <c r="AQ38" s="10">
        <f t="shared" si="17"/>
        <v>1283969369.2698953</v>
      </c>
      <c r="AR38" s="10">
        <f t="shared" si="18"/>
        <v>631627849.17042291</v>
      </c>
      <c r="AT38" s="40">
        <f>IF($K38&lt;=$F$15,IF($F$40&lt;&gt;"",$F$40/1000,IF(ISERROR(VLOOKUP($F$3&amp;IF($G$4&lt;&gt;"",$G$4,"")&amp;IF($F$43&lt;&gt;"","_"&amp;$F$43,""),'表3）燃料価格'!$AF$9:$AG$25,2,0)),0,VLOOKUP($I38,'表3）燃料価格'!$A$6:$U$66,VLOOKUP($F$3&amp;IF($G$4&lt;&gt;"",$G$4,"")&amp;IF($F$43&lt;&gt;"","_"&amp;$F$43,""),'表3）燃料価格'!$AF$9:$AG$25,2,0)+VLOOKUP($F$41,'表3）燃料価格'!$AF$28:$AG$29,2,0),0)*IF($F$43="需要地価格",1,$F$8/$F$141))),"")</f>
        <v>10.687624906214406</v>
      </c>
      <c r="AV38" s="10">
        <f t="shared" si="19"/>
        <v>17281688538.428623</v>
      </c>
      <c r="AW38" s="10">
        <f t="shared" si="20"/>
        <v>8501445612.9648685</v>
      </c>
      <c r="AY38" s="40">
        <f>IF(ISERROR(IF($K38&lt;=$F$15,VLOOKUP($I38,'表4）CO2価格'!$A$7:$E$67,VLOOKUP($F$48,'表4）CO2価格'!$H$10:$I$12,2,0),0)*$F$8/1000,"")),0,IF($K38&lt;=$F$15,VLOOKUP($I38,'表4）CO2価格'!$A$7:$E$67,VLOOKUP($F$48,'表4）CO2価格'!$H$10:$I$12,2,0),0)*$F$8/1000,""))</f>
        <v>7.2814714966103056</v>
      </c>
      <c r="BA38" s="11">
        <f t="shared" si="21"/>
        <v>23037297409.835201</v>
      </c>
      <c r="BB38" s="10">
        <f t="shared" si="22"/>
        <v>11332823789.984734</v>
      </c>
      <c r="BD38" s="10">
        <f t="shared" si="23"/>
        <v>0</v>
      </c>
      <c r="BE38" s="10">
        <f t="shared" si="24"/>
        <v>0</v>
      </c>
      <c r="BG38" s="11">
        <f t="shared" si="25"/>
        <v>0</v>
      </c>
      <c r="BH38" s="10">
        <f t="shared" si="26"/>
        <v>0</v>
      </c>
      <c r="BJ38" s="7" t="str">
        <f t="shared" si="27"/>
        <v/>
      </c>
      <c r="BK38" s="158" t="str">
        <f t="shared" si="28"/>
        <v/>
      </c>
      <c r="BL38" s="158" t="str">
        <f t="shared" si="29"/>
        <v/>
      </c>
      <c r="BM38" s="10"/>
      <c r="BN38" s="10" t="str">
        <f t="shared" si="30"/>
        <v/>
      </c>
      <c r="BO38" s="10" t="str">
        <f t="shared" si="31"/>
        <v/>
      </c>
      <c r="BQ38" s="10">
        <f t="shared" si="32"/>
        <v>3574820495.910316</v>
      </c>
      <c r="BR38" s="10">
        <f t="shared" si="33"/>
        <v>1758574803.2962198</v>
      </c>
    </row>
    <row r="39" spans="3:70" x14ac:dyDescent="0.15">
      <c r="I39" s="38">
        <f t="shared" si="34"/>
        <v>2054</v>
      </c>
      <c r="J39" s="39"/>
      <c r="K39" s="39">
        <f t="shared" si="35"/>
        <v>25</v>
      </c>
      <c r="L39" s="39"/>
      <c r="M39" s="40">
        <f t="shared" si="0"/>
        <v>0.47760556926165965</v>
      </c>
      <c r="N39" s="39"/>
      <c r="O39" s="72">
        <f t="shared" si="36"/>
        <v>1.9073486328125E-6</v>
      </c>
      <c r="P39" s="41" t="str">
        <f t="shared" si="1"/>
        <v>-</v>
      </c>
      <c r="Q39" s="39"/>
      <c r="R39" s="72">
        <f t="shared" si="37"/>
        <v>10961238143.887167</v>
      </c>
      <c r="S39" s="39"/>
      <c r="T39" s="72">
        <f t="shared" si="2"/>
        <v>10961238000</v>
      </c>
      <c r="U39" s="39"/>
      <c r="V39" s="72">
        <f t="shared" si="3"/>
        <v>0</v>
      </c>
      <c r="W39" s="72">
        <f t="shared" si="4"/>
        <v>0</v>
      </c>
      <c r="X39" s="39"/>
      <c r="Y39" s="72">
        <f t="shared" si="5"/>
        <v>153457300</v>
      </c>
      <c r="Z39" s="72">
        <f t="shared" si="6"/>
        <v>73292061.12385729</v>
      </c>
      <c r="AA39" s="39"/>
      <c r="AB39" s="72">
        <f t="shared" si="7"/>
        <v>0</v>
      </c>
      <c r="AC39" s="72">
        <f t="shared" si="8"/>
        <v>0</v>
      </c>
      <c r="AD39" s="39"/>
      <c r="AE39" s="72">
        <f t="shared" si="9"/>
        <v>0</v>
      </c>
      <c r="AF39" s="72">
        <f t="shared" si="10"/>
        <v>0</v>
      </c>
      <c r="AG39" s="39"/>
      <c r="AH39" s="72">
        <f t="shared" si="11"/>
        <v>440000000.00000006</v>
      </c>
      <c r="AI39" s="72">
        <f t="shared" si="12"/>
        <v>210146450.47513026</v>
      </c>
      <c r="AJ39" s="39"/>
      <c r="AK39" s="72">
        <f t="shared" si="13"/>
        <v>5261394309.0658388</v>
      </c>
      <c r="AL39" s="72">
        <f t="shared" si="14"/>
        <v>2512871224.0914464</v>
      </c>
      <c r="AM39" s="39"/>
      <c r="AN39" s="72">
        <f t="shared" si="15"/>
        <v>4822944783.3103533</v>
      </c>
      <c r="AO39" s="72">
        <f t="shared" si="16"/>
        <v>2303465288.750493</v>
      </c>
      <c r="AP39" s="39"/>
      <c r="AQ39" s="72">
        <f t="shared" si="17"/>
        <v>1283969369.2698953</v>
      </c>
      <c r="AR39" s="72">
        <f t="shared" si="18"/>
        <v>613230921.5246824</v>
      </c>
      <c r="AS39" s="39"/>
      <c r="AT39" s="40">
        <f>IF($K39&lt;=$F$15,IF($F$40&lt;&gt;"",$F$40/1000,IF(ISERROR(VLOOKUP($F$3&amp;IF($G$4&lt;&gt;"",$G$4,"")&amp;IF($F$43&lt;&gt;"","_"&amp;$F$43,""),'表3）燃料価格'!$AF$9:$AG$25,2,0)),0,VLOOKUP($I39,'表3）燃料価格'!$A$6:$U$66,VLOOKUP($F$3&amp;IF($G$4&lt;&gt;"",$G$4,"")&amp;IF($F$43&lt;&gt;"","_"&amp;$F$43,""),'表3）燃料価格'!$AF$9:$AG$25,2,0)+VLOOKUP($F$41,'表3）燃料価格'!$AF$28:$AG$29,2,0),0)*IF($F$43="需要地価格",1,$F$8/$F$141))),"")</f>
        <v>10.676295845404443</v>
      </c>
      <c r="AU39" s="39"/>
      <c r="AV39" s="72">
        <f t="shared" si="19"/>
        <v>17266257336.623878</v>
      </c>
      <c r="AW39" s="72">
        <f t="shared" si="20"/>
        <v>8246460664.2765551</v>
      </c>
      <c r="AX39" s="39"/>
      <c r="AY39" s="40">
        <f>IF(ISERROR(IF($K39&lt;=$F$15,VLOOKUP($I39,'表4）CO2価格'!$A$7:$E$67,VLOOKUP($F$48,'表4）CO2価格'!$H$10:$I$12,2,0),0)*$F$8/1000,"")),0,IF($K39&lt;=$F$15,VLOOKUP($I39,'表4）CO2価格'!$A$7:$E$67,VLOOKUP($F$48,'表4）CO2価格'!$H$10:$I$12,2,0),0)*$F$8/1000,""))</f>
        <v>7.4128708764708131</v>
      </c>
      <c r="AZ39" s="39"/>
      <c r="BA39" s="42">
        <f t="shared" si="21"/>
        <v>23453021977.970032</v>
      </c>
      <c r="BB39" s="72">
        <f t="shared" si="22"/>
        <v>11201293912.694592</v>
      </c>
      <c r="BC39" s="39"/>
      <c r="BD39" s="72">
        <f t="shared" si="23"/>
        <v>0</v>
      </c>
      <c r="BE39" s="72">
        <f t="shared" si="24"/>
        <v>0</v>
      </c>
      <c r="BF39" s="39"/>
      <c r="BG39" s="42">
        <f t="shared" si="25"/>
        <v>0</v>
      </c>
      <c r="BH39" s="72">
        <f t="shared" si="26"/>
        <v>0</v>
      </c>
      <c r="BI39" s="39"/>
      <c r="BJ39" s="40" t="str">
        <f t="shared" si="27"/>
        <v/>
      </c>
      <c r="BK39" s="157" t="str">
        <f t="shared" si="28"/>
        <v/>
      </c>
      <c r="BL39" s="157" t="str">
        <f t="shared" si="29"/>
        <v/>
      </c>
      <c r="BM39" s="72"/>
      <c r="BN39" s="72" t="str">
        <f t="shared" si="30"/>
        <v/>
      </c>
      <c r="BO39" s="72" t="str">
        <f t="shared" si="31"/>
        <v/>
      </c>
      <c r="BP39" s="39"/>
      <c r="BQ39" s="72">
        <f t="shared" si="32"/>
        <v>3574820495.910316</v>
      </c>
      <c r="BR39" s="72">
        <f t="shared" si="33"/>
        <v>1707354177.957495</v>
      </c>
    </row>
    <row r="40" spans="3:70" x14ac:dyDescent="0.15">
      <c r="D40" s="84" t="s">
        <v>124</v>
      </c>
      <c r="F40" s="481"/>
      <c r="G40" s="160" t="s">
        <v>571</v>
      </c>
      <c r="I40" s="322">
        <f t="shared" si="34"/>
        <v>2055</v>
      </c>
      <c r="K40" s="71">
        <f t="shared" si="35"/>
        <v>26</v>
      </c>
      <c r="M40" s="7">
        <f t="shared" si="0"/>
        <v>0.46369472743850448</v>
      </c>
      <c r="O40" s="10">
        <f t="shared" si="36"/>
        <v>1.9073486328125E-6</v>
      </c>
      <c r="P40" s="29" t="str">
        <f t="shared" si="1"/>
        <v>-</v>
      </c>
      <c r="R40" s="10">
        <f t="shared" si="37"/>
        <v>10961238143.887167</v>
      </c>
      <c r="T40" s="10">
        <f t="shared" si="2"/>
        <v>10961238000</v>
      </c>
      <c r="V40" s="10">
        <f t="shared" si="3"/>
        <v>0</v>
      </c>
      <c r="W40" s="10">
        <f t="shared" si="4"/>
        <v>0</v>
      </c>
      <c r="Y40" s="10">
        <f t="shared" si="5"/>
        <v>153457300</v>
      </c>
      <c r="Z40" s="10">
        <f t="shared" si="6"/>
        <v>71157340.896948814</v>
      </c>
      <c r="AB40" s="10">
        <f t="shared" si="7"/>
        <v>0</v>
      </c>
      <c r="AC40" s="10">
        <f t="shared" si="8"/>
        <v>0</v>
      </c>
      <c r="AE40" s="10">
        <f t="shared" si="9"/>
        <v>0</v>
      </c>
      <c r="AF40" s="10">
        <f t="shared" si="10"/>
        <v>0</v>
      </c>
      <c r="AH40" s="10">
        <f t="shared" si="11"/>
        <v>440000000.00000006</v>
      </c>
      <c r="AI40" s="10">
        <f t="shared" si="12"/>
        <v>204025680.07294199</v>
      </c>
      <c r="AK40" s="10">
        <f t="shared" si="13"/>
        <v>5261394309.0658388</v>
      </c>
      <c r="AL40" s="10">
        <f t="shared" si="14"/>
        <v>2439680800.0887828</v>
      </c>
      <c r="AN40" s="10">
        <f t="shared" si="15"/>
        <v>4822944783.3103533</v>
      </c>
      <c r="AO40" s="10">
        <f t="shared" si="16"/>
        <v>2236374066.7480512</v>
      </c>
      <c r="AQ40" s="10">
        <f t="shared" si="17"/>
        <v>1283969369.2698953</v>
      </c>
      <c r="AR40" s="10">
        <f t="shared" si="18"/>
        <v>595369826.72299266</v>
      </c>
      <c r="AT40" s="40">
        <f>IF($K40&lt;=$F$15,IF($F$40&lt;&gt;"",$F$40/1000,IF(ISERROR(VLOOKUP($F$3&amp;IF($G$4&lt;&gt;"",$G$4,"")&amp;IF($F$43&lt;&gt;"","_"&amp;$F$43,""),'表3）燃料価格'!$AF$9:$AG$25,2,0)),0,VLOOKUP($I40,'表3）燃料価格'!$A$6:$U$66,VLOOKUP($F$3&amp;IF($G$4&lt;&gt;"",$G$4,"")&amp;IF($F$43&lt;&gt;"","_"&amp;$F$43,""),'表3）燃料価格'!$AF$9:$AG$25,2,0)+VLOOKUP($F$41,'表3）燃料価格'!$AF$28:$AG$29,2,0),0)*IF($F$43="需要地価格",1,$F$8/$F$141))),"")</f>
        <v>10.665246543278181</v>
      </c>
      <c r="AV40" s="10">
        <f t="shared" si="19"/>
        <v>17251207191.358349</v>
      </c>
      <c r="AW40" s="10">
        <f t="shared" si="20"/>
        <v>7999293816.582078</v>
      </c>
      <c r="AY40" s="40">
        <f>IF(ISERROR(IF($K40&lt;=$F$15,VLOOKUP($I40,'表4）CO2価格'!$A$7:$E$67,VLOOKUP($F$48,'表4）CO2価格'!$H$10:$I$12,2,0),0)*$F$8/1000,"")),0,IF($K40&lt;=$F$15,VLOOKUP($I40,'表4）CO2価格'!$A$7:$E$67,VLOOKUP($F$48,'表4）CO2価格'!$H$10:$I$12,2,0),0)*$F$8/1000,""))</f>
        <v>7.5442062994635668</v>
      </c>
      <c r="BA40" s="11">
        <f t="shared" si="21"/>
        <v>23868544197.80418</v>
      </c>
      <c r="BB40" s="10">
        <f t="shared" si="22"/>
        <v>11067718096.154707</v>
      </c>
      <c r="BD40" s="10">
        <f t="shared" si="23"/>
        <v>0</v>
      </c>
      <c r="BE40" s="10">
        <f t="shared" si="24"/>
        <v>0</v>
      </c>
      <c r="BG40" s="11">
        <f t="shared" si="25"/>
        <v>0</v>
      </c>
      <c r="BH40" s="10">
        <f t="shared" si="26"/>
        <v>0</v>
      </c>
      <c r="BJ40" s="7" t="str">
        <f t="shared" si="27"/>
        <v/>
      </c>
      <c r="BK40" s="158" t="str">
        <f t="shared" si="28"/>
        <v/>
      </c>
      <c r="BL40" s="158" t="str">
        <f t="shared" si="29"/>
        <v/>
      </c>
      <c r="BM40" s="10"/>
      <c r="BN40" s="10" t="str">
        <f t="shared" si="30"/>
        <v/>
      </c>
      <c r="BO40" s="10" t="str">
        <f t="shared" si="31"/>
        <v/>
      </c>
      <c r="BQ40" s="10">
        <f t="shared" si="32"/>
        <v>3574820495.910316</v>
      </c>
      <c r="BR40" s="10">
        <f t="shared" si="33"/>
        <v>1657625415.4927135</v>
      </c>
    </row>
    <row r="41" spans="3:70" x14ac:dyDescent="0.15">
      <c r="D41" s="84" t="s">
        <v>572</v>
      </c>
      <c r="F41" s="474" t="str">
        <f>まとめ!$B$4</f>
        <v>WEO2020　STEPS</v>
      </c>
      <c r="I41" s="38">
        <f t="shared" si="34"/>
        <v>2056</v>
      </c>
      <c r="J41" s="39"/>
      <c r="K41" s="39">
        <f t="shared" si="35"/>
        <v>27</v>
      </c>
      <c r="L41" s="39"/>
      <c r="M41" s="40">
        <f t="shared" si="0"/>
        <v>0.45018905576553836</v>
      </c>
      <c r="N41" s="39"/>
      <c r="O41" s="72">
        <f t="shared" si="36"/>
        <v>1.9073486328125E-6</v>
      </c>
      <c r="P41" s="41" t="str">
        <f t="shared" si="1"/>
        <v>-</v>
      </c>
      <c r="Q41" s="39"/>
      <c r="R41" s="72">
        <f t="shared" si="37"/>
        <v>10961238143.887167</v>
      </c>
      <c r="S41" s="39"/>
      <c r="T41" s="72">
        <f t="shared" si="2"/>
        <v>10961238000</v>
      </c>
      <c r="U41" s="39"/>
      <c r="V41" s="72">
        <f t="shared" si="3"/>
        <v>0</v>
      </c>
      <c r="W41" s="72">
        <f t="shared" si="4"/>
        <v>0</v>
      </c>
      <c r="X41" s="39"/>
      <c r="Y41" s="72">
        <f t="shared" si="5"/>
        <v>153457300</v>
      </c>
      <c r="Z41" s="72">
        <f t="shared" si="6"/>
        <v>69084796.987328947</v>
      </c>
      <c r="AA41" s="39"/>
      <c r="AB41" s="72">
        <f t="shared" si="7"/>
        <v>0</v>
      </c>
      <c r="AC41" s="72">
        <f t="shared" si="8"/>
        <v>0</v>
      </c>
      <c r="AD41" s="39"/>
      <c r="AE41" s="72">
        <f t="shared" si="9"/>
        <v>0</v>
      </c>
      <c r="AF41" s="72">
        <f t="shared" si="10"/>
        <v>0</v>
      </c>
      <c r="AG41" s="39"/>
      <c r="AH41" s="72">
        <f t="shared" si="11"/>
        <v>440000000.00000006</v>
      </c>
      <c r="AI41" s="72">
        <f t="shared" si="12"/>
        <v>198083184.53683689</v>
      </c>
      <c r="AJ41" s="39"/>
      <c r="AK41" s="72">
        <f t="shared" si="13"/>
        <v>5261394309.0658388</v>
      </c>
      <c r="AL41" s="72">
        <f t="shared" si="14"/>
        <v>2368622136.0085273</v>
      </c>
      <c r="AM41" s="39"/>
      <c r="AN41" s="72">
        <f t="shared" si="15"/>
        <v>4822944783.3103533</v>
      </c>
      <c r="AO41" s="72">
        <f t="shared" si="16"/>
        <v>2171236958.0078168</v>
      </c>
      <c r="AP41" s="39"/>
      <c r="AQ41" s="72">
        <f t="shared" si="17"/>
        <v>1283969369.2698953</v>
      </c>
      <c r="AR41" s="72">
        <f t="shared" si="18"/>
        <v>578028957.98348796</v>
      </c>
      <c r="AS41" s="39"/>
      <c r="AT41" s="40">
        <f>IF($K41&lt;=$F$15,IF($F$40&lt;&gt;"",$F$40/1000,IF(ISERROR(VLOOKUP($F$3&amp;IF($G$4&lt;&gt;"",$G$4,"")&amp;IF($F$43&lt;&gt;"","_"&amp;$F$43,""),'表3）燃料価格'!$AF$9:$AG$25,2,0)),0,VLOOKUP($I41,'表3）燃料価格'!$A$6:$U$66,VLOOKUP($F$3&amp;IF($G$4&lt;&gt;"",$G$4,"")&amp;IF($F$43&lt;&gt;"","_"&amp;$F$43,""),'表3）燃料価格'!$AF$9:$AG$25,2,0)+VLOOKUP($F$41,'表3）燃料価格'!$AF$28:$AG$29,2,0),0)*IF($F$43="需要地価格",1,$F$8/$F$141))),"")</f>
        <v>10.654463515482893</v>
      </c>
      <c r="AU41" s="39"/>
      <c r="AV41" s="72">
        <f t="shared" si="19"/>
        <v>17236519735.728405</v>
      </c>
      <c r="AW41" s="72">
        <f t="shared" si="20"/>
        <v>7759692544.5116377</v>
      </c>
      <c r="AX41" s="39"/>
      <c r="AY41" s="40">
        <f>IF(ISERROR(IF($K41&lt;=$F$15,VLOOKUP($I41,'表4）CO2価格'!$A$7:$E$67,VLOOKUP($F$48,'表4）CO2価格'!$H$10:$I$12,2,0),0)*$F$8/1000,"")),0,IF($K41&lt;=$F$15,VLOOKUP($I41,'表4）CO2価格'!$A$7:$E$67,VLOOKUP($F$48,'表4）CO2価格'!$H$10:$I$12,2,0),0)*$F$8/1000,""))</f>
        <v>7.675477827818213</v>
      </c>
      <c r="AZ41" s="39"/>
      <c r="BA41" s="42">
        <f t="shared" si="21"/>
        <v>24283864266.221313</v>
      </c>
      <c r="BB41" s="72">
        <f t="shared" si="22"/>
        <v>10932329924.348671</v>
      </c>
      <c r="BC41" s="39"/>
      <c r="BD41" s="72">
        <f t="shared" si="23"/>
        <v>0</v>
      </c>
      <c r="BE41" s="72">
        <f t="shared" si="24"/>
        <v>0</v>
      </c>
      <c r="BF41" s="39"/>
      <c r="BG41" s="42">
        <f t="shared" si="25"/>
        <v>0</v>
      </c>
      <c r="BH41" s="72">
        <f t="shared" si="26"/>
        <v>0</v>
      </c>
      <c r="BI41" s="39"/>
      <c r="BJ41" s="40" t="str">
        <f t="shared" si="27"/>
        <v/>
      </c>
      <c r="BK41" s="157" t="str">
        <f t="shared" si="28"/>
        <v/>
      </c>
      <c r="BL41" s="157" t="str">
        <f t="shared" si="29"/>
        <v/>
      </c>
      <c r="BM41" s="72"/>
      <c r="BN41" s="72" t="str">
        <f t="shared" si="30"/>
        <v/>
      </c>
      <c r="BO41" s="72" t="str">
        <f t="shared" si="31"/>
        <v/>
      </c>
      <c r="BP41" s="39"/>
      <c r="BQ41" s="72">
        <f t="shared" si="32"/>
        <v>3574820495.910316</v>
      </c>
      <c r="BR41" s="72">
        <f t="shared" si="33"/>
        <v>1609345063.5851588</v>
      </c>
    </row>
    <row r="42" spans="3:70" x14ac:dyDescent="0.15">
      <c r="D42" s="84" t="s">
        <v>573</v>
      </c>
      <c r="F42" s="515">
        <f>'石炭火力（2030年）'!F42</f>
        <v>2000</v>
      </c>
      <c r="G42" s="84" t="s">
        <v>574</v>
      </c>
      <c r="I42" s="322">
        <f t="shared" si="34"/>
        <v>2057</v>
      </c>
      <c r="K42" s="71">
        <f t="shared" si="35"/>
        <v>28</v>
      </c>
      <c r="M42" s="7">
        <f t="shared" si="0"/>
        <v>0.4370767531704256</v>
      </c>
      <c r="O42" s="10">
        <f t="shared" si="36"/>
        <v>1.9073486328125E-6</v>
      </c>
      <c r="P42" s="29" t="str">
        <f t="shared" si="1"/>
        <v>-</v>
      </c>
      <c r="R42" s="10">
        <f t="shared" si="37"/>
        <v>10961238143.887167</v>
      </c>
      <c r="T42" s="10">
        <f t="shared" si="2"/>
        <v>10961238000</v>
      </c>
      <c r="V42" s="10">
        <f t="shared" si="3"/>
        <v>0</v>
      </c>
      <c r="W42" s="10">
        <f t="shared" si="4"/>
        <v>0</v>
      </c>
      <c r="Y42" s="10">
        <f t="shared" si="5"/>
        <v>153457300</v>
      </c>
      <c r="Z42" s="10">
        <f t="shared" si="6"/>
        <v>67072618.434299953</v>
      </c>
      <c r="AB42" s="10">
        <f t="shared" si="7"/>
        <v>0</v>
      </c>
      <c r="AC42" s="10">
        <f t="shared" si="8"/>
        <v>0</v>
      </c>
      <c r="AE42" s="10">
        <f t="shared" si="9"/>
        <v>0</v>
      </c>
      <c r="AF42" s="10">
        <f t="shared" si="10"/>
        <v>0</v>
      </c>
      <c r="AH42" s="10">
        <f t="shared" si="11"/>
        <v>440000000.00000006</v>
      </c>
      <c r="AI42" s="10">
        <f t="shared" si="12"/>
        <v>192313771.39498729</v>
      </c>
      <c r="AK42" s="10">
        <f t="shared" si="13"/>
        <v>5261394309.0658388</v>
      </c>
      <c r="AL42" s="10">
        <f t="shared" si="14"/>
        <v>2299633141.7558517</v>
      </c>
      <c r="AN42" s="10">
        <f t="shared" si="15"/>
        <v>4822944783.3103533</v>
      </c>
      <c r="AO42" s="10">
        <f t="shared" si="16"/>
        <v>2107997046.6095312</v>
      </c>
      <c r="AQ42" s="10">
        <f t="shared" si="17"/>
        <v>1283969369.2698953</v>
      </c>
      <c r="AR42" s="10">
        <f t="shared" si="18"/>
        <v>561193163.09076512</v>
      </c>
      <c r="AT42" s="40">
        <f>IF($K42&lt;=$F$15,IF($F$40&lt;&gt;"",$F$40/1000,IF(ISERROR(VLOOKUP($F$3&amp;IF($G$4&lt;&gt;"",$G$4,"")&amp;IF($F$43&lt;&gt;"","_"&amp;$F$43,""),'表3）燃料価格'!$AF$9:$AG$25,2,0)),0,VLOOKUP($I42,'表3）燃料価格'!$A$6:$U$66,VLOOKUP($F$3&amp;IF($G$4&lt;&gt;"",$G$4,"")&amp;IF($F$43&lt;&gt;"","_"&amp;$F$43,""),'表3）燃料価格'!$AF$9:$AG$25,2,0)+VLOOKUP($F$41,'表3）燃料価格'!$AF$28:$AG$29,2,0),0)*IF($F$43="需要地価格",1,$F$8/$F$141))),"")</f>
        <v>10.643934229684763</v>
      </c>
      <c r="AV42" s="10">
        <f t="shared" si="19"/>
        <v>17222177899.565971</v>
      </c>
      <c r="AW42" s="10">
        <f t="shared" si="20"/>
        <v>7527413598.8657551</v>
      </c>
      <c r="AY42" s="40">
        <f>IF(ISERROR(IF($K42&lt;=$F$15,VLOOKUP($I42,'表4）CO2価格'!$A$7:$E$67,VLOOKUP($F$48,'表4）CO2価格'!$H$10:$I$12,2,0),0)*$F$8/1000,"")),0,IF($K42&lt;=$F$15,VLOOKUP($I42,'表4）CO2価格'!$A$7:$E$67,VLOOKUP($F$48,'表4）CO2価格'!$H$10:$I$12,2,0),0)*$F$8/1000,""))</f>
        <v>7.8066855236744779</v>
      </c>
      <c r="BA42" s="11">
        <f t="shared" si="21"/>
        <v>24698982379.820618</v>
      </c>
      <c r="BB42" s="10">
        <f t="shared" si="22"/>
        <v>10795351025.185547</v>
      </c>
      <c r="BD42" s="10">
        <f t="shared" si="23"/>
        <v>0</v>
      </c>
      <c r="BE42" s="10">
        <f t="shared" si="24"/>
        <v>0</v>
      </c>
      <c r="BG42" s="11">
        <f t="shared" si="25"/>
        <v>0</v>
      </c>
      <c r="BH42" s="10">
        <f t="shared" si="26"/>
        <v>0</v>
      </c>
      <c r="BJ42" s="7" t="str">
        <f t="shared" si="27"/>
        <v/>
      </c>
      <c r="BK42" s="158" t="str">
        <f t="shared" si="28"/>
        <v/>
      </c>
      <c r="BL42" s="158" t="str">
        <f t="shared" si="29"/>
        <v/>
      </c>
      <c r="BM42" s="10"/>
      <c r="BN42" s="10" t="str">
        <f t="shared" si="30"/>
        <v/>
      </c>
      <c r="BO42" s="10" t="str">
        <f t="shared" si="31"/>
        <v/>
      </c>
      <c r="BQ42" s="10">
        <f t="shared" si="32"/>
        <v>3574820495.910316</v>
      </c>
      <c r="BR42" s="10">
        <f t="shared" si="33"/>
        <v>1562470935.5195715</v>
      </c>
    </row>
    <row r="43" spans="3:70" x14ac:dyDescent="0.15">
      <c r="D43" s="160" t="s">
        <v>256</v>
      </c>
      <c r="F43" s="474"/>
      <c r="I43" s="38">
        <f t="shared" si="34"/>
        <v>2058</v>
      </c>
      <c r="J43" s="39"/>
      <c r="K43" s="39">
        <f t="shared" si="35"/>
        <v>29</v>
      </c>
      <c r="L43" s="39"/>
      <c r="M43" s="40">
        <f t="shared" si="0"/>
        <v>0.42434636230138412</v>
      </c>
      <c r="N43" s="39"/>
      <c r="O43" s="72">
        <f t="shared" si="36"/>
        <v>1.9073486328125E-6</v>
      </c>
      <c r="P43" s="41" t="str">
        <f t="shared" si="1"/>
        <v>-</v>
      </c>
      <c r="Q43" s="39"/>
      <c r="R43" s="72">
        <f t="shared" si="37"/>
        <v>10961238143.887167</v>
      </c>
      <c r="S43" s="39"/>
      <c r="T43" s="72">
        <f t="shared" si="2"/>
        <v>10961238000</v>
      </c>
      <c r="U43" s="39"/>
      <c r="V43" s="72">
        <f t="shared" si="3"/>
        <v>0</v>
      </c>
      <c r="W43" s="72">
        <f t="shared" si="4"/>
        <v>0</v>
      </c>
      <c r="X43" s="39"/>
      <c r="Y43" s="72">
        <f t="shared" si="5"/>
        <v>153457300</v>
      </c>
      <c r="Z43" s="72">
        <f t="shared" si="6"/>
        <v>65119047.023592196</v>
      </c>
      <c r="AA43" s="39"/>
      <c r="AB43" s="72">
        <f t="shared" si="7"/>
        <v>0</v>
      </c>
      <c r="AC43" s="72">
        <f t="shared" si="8"/>
        <v>0</v>
      </c>
      <c r="AD43" s="39"/>
      <c r="AE43" s="72">
        <f t="shared" si="9"/>
        <v>0</v>
      </c>
      <c r="AF43" s="72">
        <f t="shared" si="10"/>
        <v>0</v>
      </c>
      <c r="AG43" s="39"/>
      <c r="AH43" s="72">
        <f t="shared" si="11"/>
        <v>440000000.00000006</v>
      </c>
      <c r="AI43" s="72">
        <f t="shared" si="12"/>
        <v>186712399.41260904</v>
      </c>
      <c r="AJ43" s="39"/>
      <c r="AK43" s="72">
        <f t="shared" si="13"/>
        <v>5261394309.0658388</v>
      </c>
      <c r="AL43" s="72">
        <f t="shared" si="14"/>
        <v>2232653535.6852932</v>
      </c>
      <c r="AM43" s="39"/>
      <c r="AN43" s="72">
        <f t="shared" si="15"/>
        <v>4822944783.3103533</v>
      </c>
      <c r="AO43" s="72">
        <f t="shared" si="16"/>
        <v>2046599074.3781857</v>
      </c>
      <c r="AP43" s="39"/>
      <c r="AQ43" s="72">
        <f t="shared" si="17"/>
        <v>1283969369.2698953</v>
      </c>
      <c r="AR43" s="72">
        <f t="shared" si="18"/>
        <v>544847731.15608263</v>
      </c>
      <c r="AS43" s="39"/>
      <c r="AT43" s="40">
        <f>IF($K43&lt;=$F$15,IF($F$40&lt;&gt;"",$F$40/1000,IF(ISERROR(VLOOKUP($F$3&amp;IF($G$4&lt;&gt;"",$G$4,"")&amp;IF($F$43&lt;&gt;"","_"&amp;$F$43,""),'表3）燃料価格'!$AF$9:$AG$25,2,0)),0,VLOOKUP($I43,'表3）燃料価格'!$A$6:$U$66,VLOOKUP($F$3&amp;IF($G$4&lt;&gt;"",$G$4,"")&amp;IF($F$43&lt;&gt;"","_"&amp;$F$43,""),'表3）燃料価格'!$AF$9:$AG$25,2,0)+VLOOKUP($F$41,'表3）燃料価格'!$AF$28:$AG$29,2,0),0)*IF($F$43="需要地価格",1,$F$8/$F$141))),"")</f>
        <v>10.633647018006684</v>
      </c>
      <c r="AU43" s="39"/>
      <c r="AV43" s="72">
        <f t="shared" si="19"/>
        <v>17208165790.170902</v>
      </c>
      <c r="AW43" s="72">
        <f t="shared" si="20"/>
        <v>7302222554.9381456</v>
      </c>
      <c r="AX43" s="39"/>
      <c r="AY43" s="40">
        <f>IF(ISERROR(IF($K43&lt;=$F$15,VLOOKUP($I43,'表4）CO2価格'!$A$7:$E$67,VLOOKUP($F$48,'表4）CO2価格'!$H$10:$I$12,2,0),0)*$F$8/1000,"")),0,IF($K43&lt;=$F$15,VLOOKUP($I43,'表4）CO2価格'!$A$7:$E$67,VLOOKUP($F$48,'表4）CO2価格'!$H$10:$I$12,2,0),0)*$F$8/1000,""))</f>
        <v>7.9378294490802217</v>
      </c>
      <c r="AZ43" s="39"/>
      <c r="BA43" s="42">
        <f t="shared" si="21"/>
        <v>25113898734.910629</v>
      </c>
      <c r="BB43" s="72">
        <f t="shared" si="22"/>
        <v>10656991571.364658</v>
      </c>
      <c r="BC43" s="39"/>
      <c r="BD43" s="72">
        <f t="shared" si="23"/>
        <v>0</v>
      </c>
      <c r="BE43" s="72">
        <f t="shared" si="24"/>
        <v>0</v>
      </c>
      <c r="BF43" s="39"/>
      <c r="BG43" s="42">
        <f t="shared" si="25"/>
        <v>0</v>
      </c>
      <c r="BH43" s="72">
        <f t="shared" si="26"/>
        <v>0</v>
      </c>
      <c r="BI43" s="39"/>
      <c r="BJ43" s="40" t="str">
        <f t="shared" si="27"/>
        <v/>
      </c>
      <c r="BK43" s="157" t="str">
        <f t="shared" si="28"/>
        <v/>
      </c>
      <c r="BL43" s="157" t="str">
        <f t="shared" si="29"/>
        <v/>
      </c>
      <c r="BM43" s="72"/>
      <c r="BN43" s="72" t="str">
        <f t="shared" si="30"/>
        <v/>
      </c>
      <c r="BO43" s="72" t="str">
        <f t="shared" si="31"/>
        <v/>
      </c>
      <c r="BP43" s="39"/>
      <c r="BQ43" s="72">
        <f t="shared" si="32"/>
        <v>3574820495.910316</v>
      </c>
      <c r="BR43" s="72">
        <f t="shared" si="33"/>
        <v>1516962073.3199725</v>
      </c>
    </row>
    <row r="44" spans="3:70" x14ac:dyDescent="0.15">
      <c r="I44" s="322">
        <f t="shared" si="34"/>
        <v>2059</v>
      </c>
      <c r="K44" s="71">
        <f t="shared" si="35"/>
        <v>30</v>
      </c>
      <c r="M44" s="7">
        <f t="shared" si="0"/>
        <v>0.41198675951590691</v>
      </c>
      <c r="O44" s="10">
        <f t="shared" si="36"/>
        <v>1.9073486328125E-6</v>
      </c>
      <c r="P44" s="29" t="str">
        <f t="shared" si="1"/>
        <v>-</v>
      </c>
      <c r="R44" s="10">
        <f t="shared" si="37"/>
        <v>10961238143.887167</v>
      </c>
      <c r="T44" s="10">
        <f t="shared" si="2"/>
        <v>10961238000</v>
      </c>
      <c r="V44" s="10">
        <f t="shared" si="3"/>
        <v>0</v>
      </c>
      <c r="W44" s="10">
        <f t="shared" si="4"/>
        <v>0</v>
      </c>
      <c r="Y44" s="10">
        <f t="shared" si="5"/>
        <v>153457300</v>
      </c>
      <c r="Z44" s="10">
        <f t="shared" si="6"/>
        <v>63222375.751060382</v>
      </c>
      <c r="AB44" s="10">
        <f t="shared" si="7"/>
        <v>0</v>
      </c>
      <c r="AC44" s="10">
        <f t="shared" si="8"/>
        <v>0</v>
      </c>
      <c r="AE44" s="10">
        <f t="shared" si="9"/>
        <v>0</v>
      </c>
      <c r="AF44" s="10">
        <f t="shared" si="10"/>
        <v>0</v>
      </c>
      <c r="AH44" s="10">
        <f t="shared" si="11"/>
        <v>440000000.00000006</v>
      </c>
      <c r="AI44" s="10">
        <f t="shared" si="12"/>
        <v>181274174.18699905</v>
      </c>
      <c r="AK44" s="10">
        <f t="shared" si="13"/>
        <v>5261394309.0658388</v>
      </c>
      <c r="AL44" s="10">
        <f t="shared" si="14"/>
        <v>2167624791.9274688</v>
      </c>
      <c r="AN44" s="10">
        <f t="shared" si="15"/>
        <v>4822944783.3103533</v>
      </c>
      <c r="AO44" s="10">
        <f t="shared" si="16"/>
        <v>1986989392.6001804</v>
      </c>
      <c r="AQ44" s="10">
        <f t="shared" si="17"/>
        <v>1283969369.2698953</v>
      </c>
      <c r="AR44" s="10">
        <f t="shared" si="18"/>
        <v>528978379.76318705</v>
      </c>
      <c r="AT44" s="40">
        <f>IF($K44&lt;=$F$15,IF($F$40&lt;&gt;"",$F$40/1000,IF(ISERROR(VLOOKUP($F$3&amp;IF($G$4&lt;&gt;"",$G$4,"")&amp;IF($F$43&lt;&gt;"","_"&amp;$F$43,""),'表3）燃料価格'!$AF$9:$AG$25,2,0)),0,VLOOKUP($I44,'表3）燃料価格'!$A$6:$U$66,VLOOKUP($F$3&amp;IF($G$4&lt;&gt;"",$G$4,"")&amp;IF($F$43&lt;&gt;"","_"&amp;$F$43,""),'表3）燃料価格'!$AF$9:$AG$25,2,0)+VLOOKUP($F$41,'表3）燃料価格'!$AF$28:$AG$29,2,0),0)*IF($F$43="需要地価格",1,$F$8/$F$141))),"")</f>
        <v>10.62359099930714</v>
      </c>
      <c r="AV44" s="10">
        <f t="shared" si="19"/>
        <v>17194468586.447845</v>
      </c>
      <c r="AW44" s="10">
        <f t="shared" si="20"/>
        <v>7083893394.5287046</v>
      </c>
      <c r="AY44" s="40">
        <f>IF(ISERROR(IF($K44&lt;=$F$15,VLOOKUP($I44,'表4）CO2価格'!$A$7:$E$67,VLOOKUP($F$48,'表4）CO2価格'!$H$10:$I$12,2,0),0)*$F$8/1000,"")),0,IF($K44&lt;=$F$15,VLOOKUP($I44,'表4）CO2価格'!$A$7:$E$67,VLOOKUP($F$48,'表4）CO2価格'!$H$10:$I$12,2,0),0)*$F$8/1000,""))</f>
        <v>8.0689096659945534</v>
      </c>
      <c r="BA44" s="11">
        <f t="shared" si="21"/>
        <v>25528613527.519093</v>
      </c>
      <c r="BB44" s="10">
        <f t="shared" si="22"/>
        <v>10517450762.136536</v>
      </c>
      <c r="BD44" s="10">
        <f t="shared" si="23"/>
        <v>0</v>
      </c>
      <c r="BE44" s="10">
        <f t="shared" si="24"/>
        <v>0</v>
      </c>
      <c r="BG44" s="11">
        <f t="shared" si="25"/>
        <v>0</v>
      </c>
      <c r="BH44" s="10">
        <f t="shared" si="26"/>
        <v>0</v>
      </c>
      <c r="BJ44" s="7" t="str">
        <f t="shared" si="27"/>
        <v/>
      </c>
      <c r="BK44" s="158" t="str">
        <f t="shared" si="28"/>
        <v/>
      </c>
      <c r="BL44" s="158" t="str">
        <f t="shared" si="29"/>
        <v/>
      </c>
      <c r="BM44" s="10"/>
      <c r="BN44" s="10" t="str">
        <f t="shared" si="30"/>
        <v/>
      </c>
      <c r="BO44" s="10" t="str">
        <f t="shared" si="31"/>
        <v/>
      </c>
      <c r="BQ44" s="10">
        <f t="shared" si="32"/>
        <v>3574820495.910316</v>
      </c>
      <c r="BR44" s="10">
        <f t="shared" si="33"/>
        <v>1472778711.9611385</v>
      </c>
    </row>
    <row r="45" spans="3:70" x14ac:dyDescent="0.15">
      <c r="C45" s="4" t="s">
        <v>575</v>
      </c>
      <c r="D45" s="100"/>
      <c r="E45" s="100"/>
      <c r="F45" s="4"/>
      <c r="G45" s="100"/>
      <c r="I45" s="38">
        <f t="shared" si="34"/>
        <v>2060</v>
      </c>
      <c r="J45" s="39"/>
      <c r="K45" s="39">
        <f t="shared" si="35"/>
        <v>31</v>
      </c>
      <c r="L45" s="39"/>
      <c r="M45" s="40">
        <f t="shared" si="0"/>
        <v>0.39998714516107459</v>
      </c>
      <c r="N45" s="39"/>
      <c r="O45" s="72">
        <f t="shared" si="36"/>
        <v>1.9073486328125E-6</v>
      </c>
      <c r="P45" s="41" t="str">
        <f t="shared" si="1"/>
        <v>-</v>
      </c>
      <c r="Q45" s="39"/>
      <c r="R45" s="72">
        <f t="shared" si="37"/>
        <v>10961238143.887167</v>
      </c>
      <c r="S45" s="39"/>
      <c r="T45" s="72">
        <f t="shared" si="2"/>
        <v>10961238000</v>
      </c>
      <c r="U45" s="39"/>
      <c r="V45" s="72">
        <f t="shared" si="3"/>
        <v>0</v>
      </c>
      <c r="W45" s="72">
        <f t="shared" si="4"/>
        <v>0</v>
      </c>
      <c r="X45" s="39"/>
      <c r="Y45" s="72">
        <f t="shared" si="5"/>
        <v>153457300</v>
      </c>
      <c r="Z45" s="72">
        <f t="shared" si="6"/>
        <v>61380947.331126571</v>
      </c>
      <c r="AA45" s="39"/>
      <c r="AB45" s="72">
        <f t="shared" si="7"/>
        <v>0</v>
      </c>
      <c r="AC45" s="72">
        <f t="shared" si="8"/>
        <v>0</v>
      </c>
      <c r="AD45" s="39"/>
      <c r="AE45" s="72">
        <f t="shared" si="9"/>
        <v>0</v>
      </c>
      <c r="AF45" s="72">
        <f t="shared" si="10"/>
        <v>0</v>
      </c>
      <c r="AG45" s="39"/>
      <c r="AH45" s="72">
        <f t="shared" si="11"/>
        <v>440000000.00000006</v>
      </c>
      <c r="AI45" s="72">
        <f t="shared" si="12"/>
        <v>175994343.87087286</v>
      </c>
      <c r="AJ45" s="39"/>
      <c r="AK45" s="72">
        <f t="shared" si="13"/>
        <v>5261394309.0658388</v>
      </c>
      <c r="AL45" s="72">
        <f t="shared" si="14"/>
        <v>2104490089.2499695</v>
      </c>
      <c r="AM45" s="39"/>
      <c r="AN45" s="72">
        <f t="shared" si="15"/>
        <v>4822944783.3103533</v>
      </c>
      <c r="AO45" s="72">
        <f t="shared" si="16"/>
        <v>1929115915.1458056</v>
      </c>
      <c r="AP45" s="39"/>
      <c r="AQ45" s="72">
        <f t="shared" si="17"/>
        <v>1283969369.2698953</v>
      </c>
      <c r="AR45" s="72">
        <f t="shared" si="18"/>
        <v>513571242.48853099</v>
      </c>
      <c r="AS45" s="39"/>
      <c r="AT45" s="40">
        <f>IF($K45&lt;=$F$15,IF($F$40&lt;&gt;"",$F$40/1000,IF(ISERROR(VLOOKUP($F$3&amp;IF($G$4&lt;&gt;"",$G$4,"")&amp;IF($F$43&lt;&gt;"","_"&amp;$F$43,""),'表3）燃料価格'!$AF$9:$AG$25,2,0)),0,VLOOKUP($I45,'表3）燃料価格'!$A$6:$U$66,VLOOKUP($F$3&amp;IF($G$4&lt;&gt;"",$G$4,"")&amp;IF($F$43&lt;&gt;"","_"&amp;$F$43,""),'表3）燃料価格'!$AF$9:$AG$25,2,0)+VLOOKUP($F$41,'表3）燃料価格'!$AF$28:$AG$29,2,0),0)*IF($F$43="需要地価格",1,$F$8/$F$141))),"")</f>
        <v>10.613756010002062</v>
      </c>
      <c r="AU45" s="39"/>
      <c r="AV45" s="72">
        <f t="shared" si="19"/>
        <v>17181072444.679352</v>
      </c>
      <c r="AW45" s="72">
        <f t="shared" si="20"/>
        <v>6872208117.952899</v>
      </c>
      <c r="AX45" s="39"/>
      <c r="AY45" s="40">
        <f>IF(ISERROR(IF($K45&lt;=$F$15,VLOOKUP($I45,'表4）CO2価格'!$A$7:$E$67,VLOOKUP($F$48,'表4）CO2価格'!$H$10:$I$12,2,0),0)*$F$8/1000,"")),0,IF($K45&lt;=$F$15,VLOOKUP($I45,'表4）CO2価格'!$A$7:$E$67,VLOOKUP($F$48,'表4）CO2価格'!$H$10:$I$12,2,0),0)*$F$8/1000,""))</f>
        <v>8.1999262362847141</v>
      </c>
      <c r="AZ45" s="39"/>
      <c r="BA45" s="42">
        <f t="shared" si="21"/>
        <v>25943126953.383091</v>
      </c>
      <c r="BB45" s="72">
        <f t="shared" si="22"/>
        <v>10376917286.635029</v>
      </c>
      <c r="BC45" s="39"/>
      <c r="BD45" s="72">
        <f t="shared" si="23"/>
        <v>0</v>
      </c>
      <c r="BE45" s="72">
        <f t="shared" si="24"/>
        <v>0</v>
      </c>
      <c r="BF45" s="39"/>
      <c r="BG45" s="42">
        <f t="shared" si="25"/>
        <v>0</v>
      </c>
      <c r="BH45" s="72">
        <f t="shared" si="26"/>
        <v>0</v>
      </c>
      <c r="BI45" s="39"/>
      <c r="BJ45" s="40" t="str">
        <f t="shared" si="27"/>
        <v/>
      </c>
      <c r="BK45" s="157" t="str">
        <f t="shared" si="28"/>
        <v/>
      </c>
      <c r="BL45" s="157" t="str">
        <f t="shared" si="29"/>
        <v/>
      </c>
      <c r="BM45" s="72"/>
      <c r="BN45" s="72" t="str">
        <f t="shared" si="30"/>
        <v/>
      </c>
      <c r="BO45" s="72" t="str">
        <f t="shared" si="31"/>
        <v/>
      </c>
      <c r="BP45" s="39"/>
      <c r="BQ45" s="72">
        <f t="shared" si="32"/>
        <v>3574820495.910316</v>
      </c>
      <c r="BR45" s="72">
        <f t="shared" si="33"/>
        <v>1429882244.6224642</v>
      </c>
    </row>
    <row r="46" spans="3:70" x14ac:dyDescent="0.15">
      <c r="I46" s="322">
        <f t="shared" si="34"/>
        <v>2061</v>
      </c>
      <c r="K46" s="71">
        <f t="shared" si="35"/>
        <v>32</v>
      </c>
      <c r="M46" s="7">
        <f t="shared" si="0"/>
        <v>0.38833703413696569</v>
      </c>
      <c r="O46" s="10">
        <f t="shared" si="36"/>
        <v>1.9073486328125E-6</v>
      </c>
      <c r="P46" s="29" t="str">
        <f t="shared" si="1"/>
        <v>-</v>
      </c>
      <c r="R46" s="10">
        <f t="shared" si="37"/>
        <v>10961238143.887167</v>
      </c>
      <c r="T46" s="10">
        <f t="shared" si="2"/>
        <v>10961238000</v>
      </c>
      <c r="V46" s="10">
        <f t="shared" si="3"/>
        <v>0</v>
      </c>
      <c r="W46" s="10">
        <f t="shared" si="4"/>
        <v>0</v>
      </c>
      <c r="Y46" s="10">
        <f t="shared" si="5"/>
        <v>153457300</v>
      </c>
      <c r="Z46" s="10">
        <f t="shared" si="6"/>
        <v>59593152.748666584</v>
      </c>
      <c r="AB46" s="10">
        <f t="shared" si="7"/>
        <v>0</v>
      </c>
      <c r="AC46" s="10">
        <f t="shared" si="8"/>
        <v>0</v>
      </c>
      <c r="AE46" s="10">
        <f t="shared" si="9"/>
        <v>0</v>
      </c>
      <c r="AF46" s="10">
        <f t="shared" si="10"/>
        <v>0</v>
      </c>
      <c r="AH46" s="10">
        <f t="shared" si="11"/>
        <v>440000000.00000006</v>
      </c>
      <c r="AI46" s="10">
        <f t="shared" si="12"/>
        <v>170868295.02026492</v>
      </c>
      <c r="AK46" s="10">
        <f t="shared" si="13"/>
        <v>5261394309.0658388</v>
      </c>
      <c r="AL46" s="10">
        <f t="shared" si="14"/>
        <v>2043194261.4077377</v>
      </c>
      <c r="AN46" s="10">
        <f t="shared" si="15"/>
        <v>4822944783.3103533</v>
      </c>
      <c r="AO46" s="10">
        <f t="shared" si="16"/>
        <v>1872928072.9570932</v>
      </c>
      <c r="AQ46" s="10">
        <f t="shared" si="17"/>
        <v>1283969369.2698953</v>
      </c>
      <c r="AR46" s="10">
        <f t="shared" si="18"/>
        <v>498612856.78498161</v>
      </c>
      <c r="AT46" s="40">
        <f>IF($K46&lt;=$F$15,IF($F$40&lt;&gt;"",$F$40/1000,IF(ISERROR(VLOOKUP($F$3&amp;IF($G$4&lt;&gt;"",$G$4,"")&amp;IF($F$43&lt;&gt;"","_"&amp;$F$43,""),'表3）燃料価格'!$AF$9:$AG$25,2,0)),0,VLOOKUP($I46,'表3）燃料価格'!$A$6:$U$66,VLOOKUP($F$3&amp;IF($G$4&lt;&gt;"",$G$4,"")&amp;IF($F$43&lt;&gt;"","_"&amp;$F$43,""),'表3）燃料価格'!$AF$9:$AG$25,2,0)+VLOOKUP($F$41,'表3）燃料価格'!$AF$28:$AG$29,2,0),0)*IF($F$43="需要地価格",1,$F$8/$F$141))),"")</f>
        <v>10.604132542327017</v>
      </c>
      <c r="AV46" s="10">
        <f t="shared" si="19"/>
        <v>17167964414.433414</v>
      </c>
      <c r="AW46" s="10">
        <f t="shared" si="20"/>
        <v>6666956382.8700409</v>
      </c>
      <c r="AY46" s="40">
        <f>IF(ISERROR(IF($K46&lt;=$F$15,VLOOKUP($I46,'表4）CO2価格'!$A$7:$E$67,VLOOKUP($F$48,'表4）CO2価格'!$H$10:$I$12,2,0),0)*$F$8/1000,"")),0,IF($K46&lt;=$F$15,VLOOKUP($I46,'表4）CO2価格'!$A$7:$E$67,VLOOKUP($F$48,'表4）CO2価格'!$H$10:$I$12,2,0),0)*$F$8/1000,""))</f>
        <v>8.3308792217288072</v>
      </c>
      <c r="BA46" s="11">
        <f t="shared" si="21"/>
        <v>26357439207.957706</v>
      </c>
      <c r="BB46" s="10">
        <f t="shared" si="22"/>
        <v>10235569769.463669</v>
      </c>
      <c r="BD46" s="10">
        <f t="shared" si="23"/>
        <v>0</v>
      </c>
      <c r="BE46" s="10">
        <f t="shared" si="24"/>
        <v>0</v>
      </c>
      <c r="BG46" s="11">
        <f t="shared" si="25"/>
        <v>0</v>
      </c>
      <c r="BH46" s="10">
        <f t="shared" si="26"/>
        <v>0</v>
      </c>
      <c r="BJ46" s="7" t="str">
        <f t="shared" si="27"/>
        <v/>
      </c>
      <c r="BK46" s="158" t="str">
        <f t="shared" si="28"/>
        <v/>
      </c>
      <c r="BL46" s="158" t="str">
        <f t="shared" si="29"/>
        <v/>
      </c>
      <c r="BM46" s="10"/>
      <c r="BN46" s="10" t="str">
        <f t="shared" si="30"/>
        <v/>
      </c>
      <c r="BO46" s="10" t="str">
        <f t="shared" si="31"/>
        <v/>
      </c>
      <c r="BQ46" s="10">
        <f t="shared" si="32"/>
        <v>3574820495.910316</v>
      </c>
      <c r="BR46" s="10">
        <f t="shared" si="33"/>
        <v>1388235188.9538491</v>
      </c>
    </row>
    <row r="47" spans="3:70" x14ac:dyDescent="0.15">
      <c r="D47" s="84" t="s">
        <v>576</v>
      </c>
      <c r="F47" s="516">
        <f>'石炭火力（2030年）'!F47</f>
        <v>24.29</v>
      </c>
      <c r="G47" s="84" t="s">
        <v>577</v>
      </c>
      <c r="I47" s="38">
        <f t="shared" si="34"/>
        <v>2062</v>
      </c>
      <c r="J47" s="39"/>
      <c r="K47" s="39">
        <f t="shared" si="35"/>
        <v>33</v>
      </c>
      <c r="L47" s="39"/>
      <c r="M47" s="40">
        <f t="shared" ref="M47:M78" si="38">1/(1+($F$9/100))^K47</f>
        <v>0.37702624673491814</v>
      </c>
      <c r="N47" s="39"/>
      <c r="O47" s="72">
        <f t="shared" si="36"/>
        <v>1.9073486328125E-6</v>
      </c>
      <c r="P47" s="41" t="str">
        <f t="shared" ref="P47:P78" si="39">IF(K47&lt;=$F$15,IF(OR(P46=$F$124,P46="-"),"-",IF(O47*$F$123&gt;$F$127,$F$123,$F$124)),"")</f>
        <v>-</v>
      </c>
      <c r="Q47" s="39"/>
      <c r="R47" s="72">
        <f t="shared" si="37"/>
        <v>10961238143.887167</v>
      </c>
      <c r="S47" s="39"/>
      <c r="T47" s="72">
        <f t="shared" ref="T47:T78" si="40">IF(ISNUMBER(R47),ROUNDDOWN(R47,-3),"")</f>
        <v>10961238000</v>
      </c>
      <c r="U47" s="39"/>
      <c r="V47" s="72">
        <f t="shared" ref="V47:V78" si="41">IF(K47&lt;=$F$15,IF(K47&lt;$F$119,IF(P47="-",V46,O47*P47),IF(K47=$F$119,MIN(IF(P47="-",V46,O47*P47),O47),0)),"")</f>
        <v>0</v>
      </c>
      <c r="W47" s="72">
        <f t="shared" ref="W47:W78" si="42">IF(ISNUMBER(V47),V47*$M47,"")</f>
        <v>0</v>
      </c>
      <c r="X47" s="39"/>
      <c r="Y47" s="72">
        <f t="shared" ref="Y47:Y78" si="43">IF($K47&lt;=$F$15,ROUNDDOWN(T47*$F$25/100,-2),"")</f>
        <v>153457300</v>
      </c>
      <c r="Z47" s="72">
        <f t="shared" ref="Z47:Z78" si="44">IF(ISNUMBER(Y47),Y47*$M47,"")</f>
        <v>57857429.853074349</v>
      </c>
      <c r="AA47" s="39"/>
      <c r="AB47" s="72">
        <f t="shared" ref="AB47:AB78" si="45">IF($K47&lt;=$F$15,0,IF(AND($K47&gt;$F$15,$K47&lt;=$F$15+$F$28),$F$27*10^8/$F$28,""))</f>
        <v>0</v>
      </c>
      <c r="AC47" s="72">
        <f t="shared" ref="AC47:AC78" si="46">IF(ISNUMBER(AB47),AB47*$M47,"")</f>
        <v>0</v>
      </c>
      <c r="AD47" s="39"/>
      <c r="AE47" s="72">
        <f t="shared" ref="AE47:AE78" si="47">IF($K47&lt;=$F$15,$F$26,"")</f>
        <v>0</v>
      </c>
      <c r="AF47" s="72">
        <f t="shared" ref="AF47:AF78" si="48">IF(ISNUMBER(AE47),AE47*$M47,"")</f>
        <v>0</v>
      </c>
      <c r="AG47" s="39"/>
      <c r="AH47" s="72">
        <f t="shared" ref="AH47:AH78" si="49">IF($K47&lt;=$F$15,$F$33*10^8,"")</f>
        <v>440000000.00000006</v>
      </c>
      <c r="AI47" s="72">
        <f t="shared" ref="AI47:AI78" si="50">IF(ISNUMBER(AH47),AH47*$M47,"")</f>
        <v>165891548.563364</v>
      </c>
      <c r="AJ47" s="39"/>
      <c r="AK47" s="72">
        <f t="shared" ref="AK47:AK78" si="51">IF($K47&lt;=$F$15,$F$117*$F$34/100,"")</f>
        <v>5261394309.0658388</v>
      </c>
      <c r="AL47" s="72">
        <f t="shared" ref="AL47:AL78" si="52">IF(ISNUMBER(AK47),AK47*$M47,"")</f>
        <v>1983683748.9395511</v>
      </c>
      <c r="AM47" s="39"/>
      <c r="AN47" s="72">
        <f t="shared" ref="AN47:AN78" si="53">IF($K47&lt;=$F$15,$F$117*$F$35/100,"")</f>
        <v>4822944783.3103533</v>
      </c>
      <c r="AO47" s="72">
        <f t="shared" ref="AO47:AO78" si="54">IF(ISNUMBER(AN47),AN47*$M47,"")</f>
        <v>1818376769.8612556</v>
      </c>
      <c r="AP47" s="39"/>
      <c r="AQ47" s="72">
        <f t="shared" ref="AQ47:AQ78" si="55">IF($K47&lt;=$F$15,SUM(AH47,AK47,AN47)*($F$36/100),"")</f>
        <v>1283969369.2698953</v>
      </c>
      <c r="AR47" s="72">
        <f t="shared" ref="AR47:AR78" si="56">IF(ISNUMBER(AQ47),AQ47*$M47,"")</f>
        <v>484090152.21842879</v>
      </c>
      <c r="AS47" s="39"/>
      <c r="AT47" s="40">
        <f>IF($K47&lt;=$F$15,IF($F$40&lt;&gt;"",$F$40/1000,IF(ISERROR(VLOOKUP($F$3&amp;IF($G$4&lt;&gt;"",$G$4,"")&amp;IF($F$43&lt;&gt;"","_"&amp;$F$43,""),'表3）燃料価格'!$AF$9:$AG$25,2,0)),0,VLOOKUP($I47,'表3）燃料価格'!$A$6:$U$66,VLOOKUP($F$3&amp;IF($G$4&lt;&gt;"",$G$4,"")&amp;IF($F$43&lt;&gt;"","_"&amp;$F$43,""),'表3）燃料価格'!$AF$9:$AG$25,2,0)+VLOOKUP($F$41,'表3）燃料価格'!$AF$28:$AG$29,2,0),0)*IF($F$43="需要地価格",1,$F$8/$F$141))),"")</f>
        <v>10.594711689099626</v>
      </c>
      <c r="AU47" s="39"/>
      <c r="AV47" s="72">
        <f t="shared" ref="AV47:AV78" si="57">IF($K47&lt;=$F$15,($AT47+$F$142)*$F$137,"")</f>
        <v>17155132363.324915</v>
      </c>
      <c r="AW47" s="72">
        <f t="shared" ref="AW47:AW78" si="58">IF(ISNUMBER(AV47),AV47*$M47,"")</f>
        <v>6467935167.1851187</v>
      </c>
      <c r="AX47" s="39"/>
      <c r="AY47" s="40">
        <f>IF(ISERROR(IF($K47&lt;=$F$15,VLOOKUP($I47,'表4）CO2価格'!$A$7:$E$67,VLOOKUP($F$48,'表4）CO2価格'!$H$10:$I$12,2,0),0)*$F$8/1000,"")),0,IF($K47&lt;=$F$15,VLOOKUP($I47,'表4）CO2価格'!$A$7:$E$67,VLOOKUP($F$48,'表4）CO2価格'!$H$10:$I$12,2,0),0)*$F$8/1000,""))</f>
        <v>8.4617686840146202</v>
      </c>
      <c r="AZ47" s="39"/>
      <c r="BA47" s="42">
        <f t="shared" ref="BA47:BA78" si="59">IF($K47&lt;=$F$15,$F$145*AY47,"")</f>
        <v>26771550486.412258</v>
      </c>
      <c r="BB47" s="72">
        <f t="shared" ref="BB47:BB78" si="60">IF(ISNUMBER(BA47),BA47*$M47,"")</f>
        <v>10093577199.166386</v>
      </c>
      <c r="BC47" s="39"/>
      <c r="BD47" s="72">
        <f t="shared" ref="BD47:BD78" si="61">IF($K47&lt;=$F$15,($AT47+$F$152)*$F$151,"")</f>
        <v>0</v>
      </c>
      <c r="BE47" s="72">
        <f t="shared" ref="BE47:BE78" si="62">IF(ISNUMBER(BD47),BD47*$M47,"")</f>
        <v>0</v>
      </c>
      <c r="BF47" s="39"/>
      <c r="BG47" s="42">
        <f t="shared" ref="BG47:BG78" si="63">IF($K47&lt;=$F$15,$F$153*AY47,"")</f>
        <v>0</v>
      </c>
      <c r="BH47" s="72">
        <f t="shared" ref="BH47:BH78" si="64">IF(ISNUMBER(BG47),BG47*$M47,"")</f>
        <v>0</v>
      </c>
      <c r="BI47" s="39"/>
      <c r="BJ47" s="40" t="str">
        <f t="shared" ref="BJ47:BJ78" si="65">IF(ISNUMBER($F$16),IF($K47&lt;=$F$16+$F$28,1/(1+($F$17/100))^K47,""),"")</f>
        <v/>
      </c>
      <c r="BK47" s="157" t="str">
        <f t="shared" ref="BK47:BK78" si="66">IF(ISNUMBER($F$16),IF($K47&lt;=$F$16+$F$28,IF($K47&lt;=$F$16,SUM(Y47,AB47,AE47,AH47,AK47,AN47,AQ47,AV47,BA47,BD47,BG47),$F$27/$F$28*10^8)*BJ47,""),"")</f>
        <v/>
      </c>
      <c r="BL47" s="157" t="str">
        <f t="shared" ref="BL47:BL78" si="67">IF(AND(ISNUMBER(BJ47),$K47&lt;=$F$16),BQ47*BJ47,"")</f>
        <v/>
      </c>
      <c r="BM47" s="72"/>
      <c r="BN47" s="72" t="str">
        <f t="shared" ref="BN47:BN78" si="68">IF(AND(ISNUMBER($F$16),$K47&lt;=$F$16),BQ47*($O$15+$BK$116)/$BL$116,"")</f>
        <v/>
      </c>
      <c r="BO47" s="72" t="str">
        <f t="shared" ref="BO47:BO78" si="69">IF(ISNUMBER(BN47),BN47*$M47,"")</f>
        <v/>
      </c>
      <c r="BP47" s="39"/>
      <c r="BQ47" s="72">
        <f t="shared" ref="BQ47:BQ78" si="70">IF($K47&lt;=$F$15,$F$134,"")</f>
        <v>3574820495.910316</v>
      </c>
      <c r="BR47" s="72">
        <f t="shared" ref="BR47:BR78" si="71">IF(ISNUMBER(BQ47),BQ47*$M47,"")</f>
        <v>1347801154.3241253</v>
      </c>
    </row>
    <row r="48" spans="3:70" x14ac:dyDescent="0.15">
      <c r="D48" s="84" t="s">
        <v>578</v>
      </c>
      <c r="F48" s="474" t="str">
        <f>まとめ!$B$5</f>
        <v>WEO2020　STEPS</v>
      </c>
      <c r="I48" s="322">
        <f t="shared" ref="I48:I79" si="72">I47+1</f>
        <v>2063</v>
      </c>
      <c r="K48" s="71">
        <f t="shared" ref="K48:K79" si="73">IF(I48&lt;&gt;"",K47+1,"")</f>
        <v>34</v>
      </c>
      <c r="M48" s="7">
        <f t="shared" si="38"/>
        <v>0.36604489974263904</v>
      </c>
      <c r="O48" s="10">
        <f t="shared" ref="O48:O79" si="74">IF(K48&lt;=$F$15,O47-V47,"")</f>
        <v>1.9073486328125E-6</v>
      </c>
      <c r="P48" s="29" t="str">
        <f t="shared" si="39"/>
        <v>-</v>
      </c>
      <c r="R48" s="10">
        <f t="shared" ref="R48:R79" si="75">IF($K48&lt;=$F$15,MAX($F$117*5%,R47*$F$129),"")</f>
        <v>10961238143.887167</v>
      </c>
      <c r="T48" s="10">
        <f t="shared" si="40"/>
        <v>10961238000</v>
      </c>
      <c r="V48" s="10">
        <f t="shared" si="41"/>
        <v>0</v>
      </c>
      <c r="W48" s="10">
        <f t="shared" si="42"/>
        <v>0</v>
      </c>
      <c r="Y48" s="10">
        <f t="shared" si="43"/>
        <v>153457300</v>
      </c>
      <c r="Z48" s="10">
        <f t="shared" si="44"/>
        <v>56172261.993276082</v>
      </c>
      <c r="AB48" s="10">
        <f t="shared" si="45"/>
        <v>0</v>
      </c>
      <c r="AC48" s="10">
        <f t="shared" si="46"/>
        <v>0</v>
      </c>
      <c r="AE48" s="10">
        <f t="shared" si="47"/>
        <v>0</v>
      </c>
      <c r="AF48" s="10">
        <f t="shared" si="48"/>
        <v>0</v>
      </c>
      <c r="AH48" s="10">
        <f t="shared" si="49"/>
        <v>440000000.00000006</v>
      </c>
      <c r="AI48" s="10">
        <f t="shared" si="50"/>
        <v>161059755.88676119</v>
      </c>
      <c r="AK48" s="10">
        <f t="shared" si="51"/>
        <v>5261394309.0658388</v>
      </c>
      <c r="AL48" s="10">
        <f t="shared" si="52"/>
        <v>1925906552.3684967</v>
      </c>
      <c r="AN48" s="10">
        <f t="shared" si="53"/>
        <v>4822944783.3103533</v>
      </c>
      <c r="AO48" s="10">
        <f t="shared" si="54"/>
        <v>1765414339.6711223</v>
      </c>
      <c r="AQ48" s="10">
        <f t="shared" si="55"/>
        <v>1283969369.2698953</v>
      </c>
      <c r="AR48" s="10">
        <f t="shared" si="56"/>
        <v>469990439.04701829</v>
      </c>
      <c r="AT48" s="40">
        <f>IF($K48&lt;=$F$15,IF($F$40&lt;&gt;"",$F$40/1000,IF(ISERROR(VLOOKUP($F$3&amp;IF($G$4&lt;&gt;"",$G$4,"")&amp;IF($F$43&lt;&gt;"","_"&amp;$F$43,""),'表3）燃料価格'!$AF$9:$AG$25,2,0)),0,VLOOKUP($I48,'表3）燃料価格'!$A$6:$U$66,VLOOKUP($F$3&amp;IF($G$4&lt;&gt;"",$G$4,"")&amp;IF($F$43&lt;&gt;"","_"&amp;$F$43,""),'表3）燃料価格'!$AF$9:$AG$25,2,0)+VLOOKUP($F$41,'表3）燃料価格'!$AF$28:$AG$29,2,0),0)*IF($F$43="需要地価格",1,$F$8/$F$141))),"")</f>
        <v>10.585485094177871</v>
      </c>
      <c r="AV48" s="10">
        <f t="shared" si="57"/>
        <v>17142564909.535362</v>
      </c>
      <c r="AW48" s="10">
        <f t="shared" si="58"/>
        <v>6274948453.6425533</v>
      </c>
      <c r="AY48" s="40">
        <f>IF(ISERROR(IF($K48&lt;=$F$15,VLOOKUP($I48,'表4）CO2価格'!$A$7:$E$67,VLOOKUP($F$48,'表4）CO2価格'!$H$10:$I$12,2,0),0)*$F$8/1000,"")),0,IF($K48&lt;=$F$15,VLOOKUP($I48,'表4）CO2価格'!$A$7:$E$67,VLOOKUP($F$48,'表4）CO2価格'!$H$10:$I$12,2,0),0)*$F$8/1000,""))</f>
        <v>8.5925946847404155</v>
      </c>
      <c r="BA48" s="11">
        <f t="shared" si="59"/>
        <v>27185460983.632839</v>
      </c>
      <c r="BB48" s="10">
        <f t="shared" si="60"/>
        <v>9951099340.2113075</v>
      </c>
      <c r="BD48" s="10">
        <f t="shared" si="61"/>
        <v>0</v>
      </c>
      <c r="BE48" s="10">
        <f t="shared" si="62"/>
        <v>0</v>
      </c>
      <c r="BG48" s="11">
        <f t="shared" si="63"/>
        <v>0</v>
      </c>
      <c r="BH48" s="10">
        <f t="shared" si="64"/>
        <v>0</v>
      </c>
      <c r="BJ48" s="7" t="str">
        <f t="shared" si="65"/>
        <v/>
      </c>
      <c r="BK48" s="158" t="str">
        <f t="shared" si="66"/>
        <v/>
      </c>
      <c r="BL48" s="158" t="str">
        <f t="shared" si="67"/>
        <v/>
      </c>
      <c r="BM48" s="10"/>
      <c r="BN48" s="10" t="str">
        <f t="shared" si="68"/>
        <v/>
      </c>
      <c r="BO48" s="10" t="str">
        <f t="shared" si="69"/>
        <v/>
      </c>
      <c r="BQ48" s="10">
        <f t="shared" si="70"/>
        <v>3574820495.910316</v>
      </c>
      <c r="BR48" s="10">
        <f t="shared" si="71"/>
        <v>1308544810.0234227</v>
      </c>
    </row>
    <row r="49" spans="1:70" x14ac:dyDescent="0.15">
      <c r="A49" s="73"/>
      <c r="D49" s="84" t="s">
        <v>648</v>
      </c>
      <c r="F49" s="505">
        <f>'表４ー②）CO2輸送・貯留コスト'!H90</f>
        <v>2666.3520245114178</v>
      </c>
      <c r="G49" s="184" t="s">
        <v>257</v>
      </c>
      <c r="I49" s="38">
        <f t="shared" si="72"/>
        <v>2064</v>
      </c>
      <c r="J49" s="39"/>
      <c r="K49" s="39">
        <f t="shared" si="73"/>
        <v>35</v>
      </c>
      <c r="L49" s="39"/>
      <c r="M49" s="40">
        <f t="shared" si="38"/>
        <v>0.35538339780838735</v>
      </c>
      <c r="N49" s="39"/>
      <c r="O49" s="72">
        <f t="shared" si="74"/>
        <v>1.9073486328125E-6</v>
      </c>
      <c r="P49" s="41" t="str">
        <f t="shared" si="39"/>
        <v>-</v>
      </c>
      <c r="Q49" s="39"/>
      <c r="R49" s="72">
        <f t="shared" si="75"/>
        <v>10961238143.887167</v>
      </c>
      <c r="S49" s="39"/>
      <c r="T49" s="72">
        <f t="shared" si="40"/>
        <v>10961238000</v>
      </c>
      <c r="U49" s="39"/>
      <c r="V49" s="72">
        <f t="shared" si="41"/>
        <v>0</v>
      </c>
      <c r="W49" s="72">
        <f t="shared" si="42"/>
        <v>0</v>
      </c>
      <c r="X49" s="39"/>
      <c r="Y49" s="72">
        <f t="shared" si="43"/>
        <v>153457300</v>
      </c>
      <c r="Z49" s="72">
        <f t="shared" si="44"/>
        <v>54536176.692501038</v>
      </c>
      <c r="AA49" s="39"/>
      <c r="AB49" s="72">
        <f t="shared" si="45"/>
        <v>0</v>
      </c>
      <c r="AC49" s="72">
        <f t="shared" si="46"/>
        <v>0</v>
      </c>
      <c r="AD49" s="39"/>
      <c r="AE49" s="72">
        <f t="shared" si="47"/>
        <v>0</v>
      </c>
      <c r="AF49" s="72">
        <f t="shared" si="48"/>
        <v>0</v>
      </c>
      <c r="AG49" s="39"/>
      <c r="AH49" s="72">
        <f t="shared" si="49"/>
        <v>440000000.00000006</v>
      </c>
      <c r="AI49" s="72">
        <f t="shared" si="50"/>
        <v>156368695.03569046</v>
      </c>
      <c r="AJ49" s="39"/>
      <c r="AK49" s="72">
        <f t="shared" si="51"/>
        <v>5261394309.0658388</v>
      </c>
      <c r="AL49" s="72">
        <f t="shared" si="52"/>
        <v>1869812186.7655303</v>
      </c>
      <c r="AM49" s="39"/>
      <c r="AN49" s="72">
        <f t="shared" si="53"/>
        <v>4822944783.3103533</v>
      </c>
      <c r="AO49" s="72">
        <f t="shared" si="54"/>
        <v>1713994504.5350697</v>
      </c>
      <c r="AP49" s="39"/>
      <c r="AQ49" s="72">
        <f t="shared" si="55"/>
        <v>1283969369.2698953</v>
      </c>
      <c r="AR49" s="72">
        <f t="shared" si="56"/>
        <v>456301397.13302737</v>
      </c>
      <c r="AS49" s="39"/>
      <c r="AT49" s="40">
        <f>IF($K49&lt;=$F$15,IF($F$40&lt;&gt;"",$F$40/1000,IF(ISERROR(VLOOKUP($F$3&amp;IF($G$4&lt;&gt;"",$G$4,"")&amp;IF($F$43&lt;&gt;"","_"&amp;$F$43,""),'表3）燃料価格'!$AF$9:$AG$25,2,0)),0,VLOOKUP($I49,'表3）燃料価格'!$A$6:$U$66,VLOOKUP($F$3&amp;IF($G$4&lt;&gt;"",$G$4,"")&amp;IF($F$43&lt;&gt;"","_"&amp;$F$43,""),'表3）燃料価格'!$AF$9:$AG$25,2,0)+VLOOKUP($F$41,'表3）燃料価格'!$AF$28:$AG$29,2,0),0)*IF($F$43="需要地価格",1,$F$8/$F$141))),"")</f>
        <v>10.576444907923669</v>
      </c>
      <c r="AU49" s="39"/>
      <c r="AV49" s="72">
        <f t="shared" si="57"/>
        <v>17130251361.150276</v>
      </c>
      <c r="AW49" s="72">
        <f t="shared" si="58"/>
        <v>6087806934.0373373</v>
      </c>
      <c r="AX49" s="39"/>
      <c r="AY49" s="40">
        <f>IF(ISERROR(IF($K49&lt;=$F$15,VLOOKUP($I49,'表4）CO2価格'!$A$7:$E$67,VLOOKUP($F$48,'表4）CO2価格'!$H$10:$I$12,2,0),0)*$F$8/1000,"")),0,IF($K49&lt;=$F$15,VLOOKUP($I49,'表4）CO2価格'!$A$7:$E$67,VLOOKUP($F$48,'表4）CO2価格'!$H$10:$I$12,2,0),0)*$F$8/1000,""))</f>
        <v>8.7233572854149237</v>
      </c>
      <c r="AZ49" s="39"/>
      <c r="BA49" s="42">
        <f t="shared" si="59"/>
        <v>27599170894.222275</v>
      </c>
      <c r="BB49" s="72">
        <f t="shared" si="60"/>
        <v>9808287129.0830593</v>
      </c>
      <c r="BC49" s="39"/>
      <c r="BD49" s="72">
        <f t="shared" si="61"/>
        <v>0</v>
      </c>
      <c r="BE49" s="72">
        <f t="shared" si="62"/>
        <v>0</v>
      </c>
      <c r="BF49" s="39"/>
      <c r="BG49" s="42">
        <f t="shared" si="63"/>
        <v>0</v>
      </c>
      <c r="BH49" s="72">
        <f t="shared" si="64"/>
        <v>0</v>
      </c>
      <c r="BI49" s="39"/>
      <c r="BJ49" s="40" t="str">
        <f t="shared" si="65"/>
        <v/>
      </c>
      <c r="BK49" s="157" t="str">
        <f t="shared" si="66"/>
        <v/>
      </c>
      <c r="BL49" s="157" t="str">
        <f t="shared" si="67"/>
        <v/>
      </c>
      <c r="BM49" s="72"/>
      <c r="BN49" s="72" t="str">
        <f t="shared" si="68"/>
        <v/>
      </c>
      <c r="BO49" s="72" t="str">
        <f t="shared" si="69"/>
        <v/>
      </c>
      <c r="BP49" s="39"/>
      <c r="BQ49" s="72">
        <f t="shared" si="70"/>
        <v>3574820495.910316</v>
      </c>
      <c r="BR49" s="72">
        <f t="shared" si="71"/>
        <v>1270431854.3916724</v>
      </c>
    </row>
    <row r="50" spans="1:70" x14ac:dyDescent="0.15">
      <c r="C50" s="4" t="s">
        <v>579</v>
      </c>
      <c r="D50" s="100"/>
      <c r="E50" s="100"/>
      <c r="F50" s="4"/>
      <c r="G50" s="100"/>
      <c r="I50" s="322">
        <f t="shared" si="72"/>
        <v>2065</v>
      </c>
      <c r="K50" s="71">
        <f t="shared" si="73"/>
        <v>36</v>
      </c>
      <c r="M50" s="7">
        <f t="shared" si="38"/>
        <v>0.34503242505668674</v>
      </c>
      <c r="O50" s="10">
        <f t="shared" si="74"/>
        <v>1.9073486328125E-6</v>
      </c>
      <c r="P50" s="29" t="str">
        <f t="shared" si="39"/>
        <v>-</v>
      </c>
      <c r="R50" s="10">
        <f t="shared" si="75"/>
        <v>10961238143.887167</v>
      </c>
      <c r="T50" s="10">
        <f t="shared" si="40"/>
        <v>10961238000</v>
      </c>
      <c r="V50" s="10">
        <f t="shared" si="41"/>
        <v>0</v>
      </c>
      <c r="W50" s="10">
        <f t="shared" si="42"/>
        <v>0</v>
      </c>
      <c r="Y50" s="10">
        <f t="shared" si="43"/>
        <v>153457300</v>
      </c>
      <c r="Z50" s="10">
        <f t="shared" si="44"/>
        <v>52947744.361651495</v>
      </c>
      <c r="AB50" s="10">
        <f t="shared" si="45"/>
        <v>0</v>
      </c>
      <c r="AC50" s="10">
        <f t="shared" si="46"/>
        <v>0</v>
      </c>
      <c r="AE50" s="10">
        <f t="shared" si="47"/>
        <v>0</v>
      </c>
      <c r="AF50" s="10">
        <f t="shared" si="48"/>
        <v>0</v>
      </c>
      <c r="AH50" s="10">
        <f t="shared" si="49"/>
        <v>440000000.00000006</v>
      </c>
      <c r="AI50" s="10">
        <f t="shared" si="50"/>
        <v>151814267.02494219</v>
      </c>
      <c r="AK50" s="10">
        <f t="shared" si="51"/>
        <v>5261394309.0658388</v>
      </c>
      <c r="AL50" s="10">
        <f t="shared" si="52"/>
        <v>1815351637.6364372</v>
      </c>
      <c r="AN50" s="10">
        <f t="shared" si="53"/>
        <v>4822944783.3103533</v>
      </c>
      <c r="AO50" s="10">
        <f t="shared" si="54"/>
        <v>1664072334.5000677</v>
      </c>
      <c r="AQ50" s="10">
        <f t="shared" si="55"/>
        <v>1283969369.2698953</v>
      </c>
      <c r="AR50" s="10">
        <f t="shared" si="56"/>
        <v>443011065.17769653</v>
      </c>
      <c r="AT50" s="40">
        <f>IF($K50&lt;=$F$15,IF($F$40&lt;&gt;"",$F$40/1000,IF(ISERROR(VLOOKUP($F$3&amp;IF($G$4&lt;&gt;"",$G$4,"")&amp;IF($F$43&lt;&gt;"","_"&amp;$F$43,""),'表3）燃料価格'!$AF$9:$AG$25,2,0)),0,VLOOKUP($I50,'表3）燃料価格'!$A$6:$U$66,VLOOKUP($F$3&amp;IF($G$4&lt;&gt;"",$G$4,"")&amp;IF($F$43&lt;&gt;"","_"&amp;$F$43,""),'表3）燃料価格'!$AF$9:$AG$25,2,0)+VLOOKUP($F$41,'表3）燃料価格'!$AF$28:$AG$29,2,0),0)*IF($F$43="需要地価格",1,$F$8/$F$141))),"")</f>
        <v>10.567583747076938</v>
      </c>
      <c r="AV50" s="10">
        <f t="shared" si="57"/>
        <v>17118181661.50404</v>
      </c>
      <c r="AW50" s="10">
        <f t="shared" si="58"/>
        <v>5906327731.2296419</v>
      </c>
      <c r="AY50" s="40">
        <f>IF(ISERROR(IF($K50&lt;=$F$15,VLOOKUP($I50,'表4）CO2価格'!$A$7:$E$67,VLOOKUP($F$48,'表4）CO2価格'!$H$10:$I$12,2,0),0)*$F$8/1000,"")),0,IF($K50&lt;=$F$15,VLOOKUP($I50,'表4）CO2価格'!$A$7:$E$67,VLOOKUP($F$48,'表4）CO2価格'!$H$10:$I$12,2,0),0)*$F$8/1000,""))</f>
        <v>8.8540565474573452</v>
      </c>
      <c r="BA50" s="11">
        <f t="shared" si="59"/>
        <v>28012680412.500126</v>
      </c>
      <c r="BB50" s="10">
        <f t="shared" si="60"/>
        <v>9665283055.0628662</v>
      </c>
      <c r="BD50" s="10">
        <f t="shared" si="61"/>
        <v>0</v>
      </c>
      <c r="BE50" s="10">
        <f t="shared" si="62"/>
        <v>0</v>
      </c>
      <c r="BG50" s="11">
        <f t="shared" si="63"/>
        <v>0</v>
      </c>
      <c r="BH50" s="10">
        <f t="shared" si="64"/>
        <v>0</v>
      </c>
      <c r="BJ50" s="7" t="str">
        <f t="shared" si="65"/>
        <v/>
      </c>
      <c r="BK50" s="158" t="str">
        <f t="shared" si="66"/>
        <v/>
      </c>
      <c r="BL50" s="158" t="str">
        <f t="shared" si="67"/>
        <v/>
      </c>
      <c r="BM50" s="10"/>
      <c r="BN50" s="10" t="str">
        <f t="shared" si="68"/>
        <v/>
      </c>
      <c r="BO50" s="10" t="str">
        <f t="shared" si="69"/>
        <v/>
      </c>
      <c r="BQ50" s="10">
        <f t="shared" si="70"/>
        <v>3574820495.910316</v>
      </c>
      <c r="BR50" s="10">
        <f t="shared" si="71"/>
        <v>1233428984.8462839</v>
      </c>
    </row>
    <row r="51" spans="1:70" x14ac:dyDescent="0.15">
      <c r="I51" s="38">
        <f t="shared" si="72"/>
        <v>2066</v>
      </c>
      <c r="J51" s="39"/>
      <c r="K51" s="39">
        <f t="shared" si="73"/>
        <v>37</v>
      </c>
      <c r="L51" s="39"/>
      <c r="M51" s="40">
        <f t="shared" si="38"/>
        <v>0.33498293694823961</v>
      </c>
      <c r="N51" s="39"/>
      <c r="O51" s="72">
        <f t="shared" si="74"/>
        <v>1.9073486328125E-6</v>
      </c>
      <c r="P51" s="41" t="str">
        <f t="shared" si="39"/>
        <v>-</v>
      </c>
      <c r="Q51" s="39"/>
      <c r="R51" s="72">
        <f t="shared" si="75"/>
        <v>10961238143.887167</v>
      </c>
      <c r="S51" s="39"/>
      <c r="T51" s="72">
        <f t="shared" si="40"/>
        <v>10961238000</v>
      </c>
      <c r="U51" s="39"/>
      <c r="V51" s="72">
        <f t="shared" si="41"/>
        <v>0</v>
      </c>
      <c r="W51" s="72">
        <f t="shared" si="42"/>
        <v>0</v>
      </c>
      <c r="X51" s="39"/>
      <c r="Y51" s="72">
        <f t="shared" si="43"/>
        <v>153457300</v>
      </c>
      <c r="Z51" s="72">
        <f t="shared" si="44"/>
        <v>51405577.050147086</v>
      </c>
      <c r="AA51" s="39"/>
      <c r="AB51" s="72">
        <f t="shared" si="45"/>
        <v>0</v>
      </c>
      <c r="AC51" s="72">
        <f t="shared" si="46"/>
        <v>0</v>
      </c>
      <c r="AD51" s="39"/>
      <c r="AE51" s="72">
        <f t="shared" si="47"/>
        <v>0</v>
      </c>
      <c r="AF51" s="72">
        <f t="shared" si="48"/>
        <v>0</v>
      </c>
      <c r="AG51" s="39"/>
      <c r="AH51" s="72">
        <f t="shared" si="49"/>
        <v>440000000.00000006</v>
      </c>
      <c r="AI51" s="72">
        <f t="shared" si="50"/>
        <v>147392492.25722545</v>
      </c>
      <c r="AJ51" s="39"/>
      <c r="AK51" s="72">
        <f t="shared" si="51"/>
        <v>5261394309.0658388</v>
      </c>
      <c r="AL51" s="72">
        <f t="shared" si="52"/>
        <v>1762477318.0936286</v>
      </c>
      <c r="AM51" s="39"/>
      <c r="AN51" s="72">
        <f t="shared" si="53"/>
        <v>4822944783.3103533</v>
      </c>
      <c r="AO51" s="72">
        <f t="shared" si="54"/>
        <v>1615604208.2524931</v>
      </c>
      <c r="AP51" s="39"/>
      <c r="AQ51" s="72">
        <f t="shared" si="55"/>
        <v>1283969369.2698953</v>
      </c>
      <c r="AR51" s="72">
        <f t="shared" si="56"/>
        <v>430107830.26960832</v>
      </c>
      <c r="AS51" s="39"/>
      <c r="AT51" s="40">
        <f>IF($K51&lt;=$F$15,IF($F$40&lt;&gt;"",$F$40/1000,IF(ISERROR(VLOOKUP($F$3&amp;IF($G$4&lt;&gt;"",$G$4,"")&amp;IF($F$43&lt;&gt;"","_"&amp;$F$43,""),'表3）燃料価格'!$AF$9:$AG$25,2,0)),0,VLOOKUP($I51,'表3）燃料価格'!$A$6:$U$66,VLOOKUP($F$3&amp;IF($G$4&lt;&gt;"",$G$4,"")&amp;IF($F$43&lt;&gt;"","_"&amp;$F$43,""),'表3）燃料価格'!$AF$9:$AG$25,2,0)+VLOOKUP($F$41,'表3）燃料価格'!$AF$28:$AG$29,2,0),0)*IF($F$43="需要地価格",1,$F$8/$F$141))),"")</f>
        <v>10.558894658526116</v>
      </c>
      <c r="AU51" s="39"/>
      <c r="AV51" s="72">
        <f t="shared" si="57"/>
        <v>17106346339.832087</v>
      </c>
      <c r="AW51" s="72">
        <f t="shared" si="58"/>
        <v>5730334137.3707209</v>
      </c>
      <c r="AX51" s="39"/>
      <c r="AY51" s="40">
        <f>IF(ISERROR(IF($K51&lt;=$F$15,VLOOKUP($I51,'表4）CO2価格'!$A$7:$E$67,VLOOKUP($F$48,'表4）CO2価格'!$H$10:$I$12,2,0),0)*$F$8/1000,"")),0,IF($K51&lt;=$F$15,VLOOKUP($I51,'表4）CO2価格'!$A$7:$E$67,VLOOKUP($F$48,'表4）CO2価格'!$H$10:$I$12,2,0),0)*$F$8/1000,""))</f>
        <v>8.9846925321981246</v>
      </c>
      <c r="AZ51" s="39"/>
      <c r="BA51" s="42">
        <f t="shared" si="59"/>
        <v>28425989732.505157</v>
      </c>
      <c r="BB51" s="72">
        <f t="shared" si="60"/>
        <v>9522221526.2550812</v>
      </c>
      <c r="BC51" s="39"/>
      <c r="BD51" s="72">
        <f t="shared" si="61"/>
        <v>0</v>
      </c>
      <c r="BE51" s="72">
        <f t="shared" si="62"/>
        <v>0</v>
      </c>
      <c r="BF51" s="39"/>
      <c r="BG51" s="42">
        <f t="shared" si="63"/>
        <v>0</v>
      </c>
      <c r="BH51" s="72">
        <f t="shared" si="64"/>
        <v>0</v>
      </c>
      <c r="BI51" s="39"/>
      <c r="BJ51" s="40" t="str">
        <f t="shared" si="65"/>
        <v/>
      </c>
      <c r="BK51" s="157" t="str">
        <f t="shared" si="66"/>
        <v/>
      </c>
      <c r="BL51" s="157" t="str">
        <f t="shared" si="67"/>
        <v/>
      </c>
      <c r="BM51" s="72"/>
      <c r="BN51" s="72" t="str">
        <f t="shared" si="68"/>
        <v/>
      </c>
      <c r="BO51" s="72" t="str">
        <f t="shared" si="69"/>
        <v/>
      </c>
      <c r="BP51" s="39"/>
      <c r="BQ51" s="72">
        <f t="shared" si="70"/>
        <v>3574820495.910316</v>
      </c>
      <c r="BR51" s="72">
        <f t="shared" si="71"/>
        <v>1197503868.7828</v>
      </c>
    </row>
    <row r="52" spans="1:70" x14ac:dyDescent="0.15">
      <c r="D52" s="84" t="s">
        <v>185</v>
      </c>
      <c r="F52" s="478"/>
      <c r="G52" s="84" t="s">
        <v>549</v>
      </c>
      <c r="I52" s="322">
        <f t="shared" si="72"/>
        <v>2067</v>
      </c>
      <c r="K52" s="71">
        <f t="shared" si="73"/>
        <v>38</v>
      </c>
      <c r="M52" s="7">
        <f t="shared" si="38"/>
        <v>0.3252261523769317</v>
      </c>
      <c r="O52" s="10">
        <f t="shared" si="74"/>
        <v>1.9073486328125E-6</v>
      </c>
      <c r="P52" s="29" t="str">
        <f t="shared" si="39"/>
        <v>-</v>
      </c>
      <c r="R52" s="10">
        <f t="shared" si="75"/>
        <v>10961238143.887167</v>
      </c>
      <c r="T52" s="10">
        <f t="shared" si="40"/>
        <v>10961238000</v>
      </c>
      <c r="V52" s="10">
        <f t="shared" si="41"/>
        <v>0</v>
      </c>
      <c r="W52" s="10">
        <f t="shared" si="42"/>
        <v>0</v>
      </c>
      <c r="Y52" s="10">
        <f t="shared" si="43"/>
        <v>153457300</v>
      </c>
      <c r="Z52" s="10">
        <f t="shared" si="44"/>
        <v>49908327.233152524</v>
      </c>
      <c r="AB52" s="10">
        <f t="shared" si="45"/>
        <v>0</v>
      </c>
      <c r="AC52" s="10">
        <f t="shared" si="46"/>
        <v>0</v>
      </c>
      <c r="AE52" s="10">
        <f t="shared" si="47"/>
        <v>0</v>
      </c>
      <c r="AF52" s="10">
        <f t="shared" si="48"/>
        <v>0</v>
      </c>
      <c r="AH52" s="10">
        <f t="shared" si="49"/>
        <v>440000000.00000006</v>
      </c>
      <c r="AI52" s="10">
        <f t="shared" si="50"/>
        <v>143099507.04584998</v>
      </c>
      <c r="AK52" s="10">
        <f t="shared" si="51"/>
        <v>5261394309.0658388</v>
      </c>
      <c r="AL52" s="10">
        <f t="shared" si="52"/>
        <v>1711143027.2753677</v>
      </c>
      <c r="AN52" s="10">
        <f t="shared" si="53"/>
        <v>4822944783.3103533</v>
      </c>
      <c r="AO52" s="10">
        <f t="shared" si="54"/>
        <v>1568547775.0024209</v>
      </c>
      <c r="AQ52" s="10">
        <f t="shared" si="55"/>
        <v>1283969369.2698953</v>
      </c>
      <c r="AR52" s="10">
        <f t="shared" si="56"/>
        <v>417580417.73748386</v>
      </c>
      <c r="AT52" s="40">
        <f>IF($K52&lt;=$F$15,IF($F$40&lt;&gt;"",$F$40/1000,IF(ISERROR(VLOOKUP($F$3&amp;IF($G$4&lt;&gt;"",$G$4,"")&amp;IF($F$43&lt;&gt;"","_"&amp;$F$43,""),'表3）燃料価格'!$AF$9:$AG$25,2,0)),0,VLOOKUP($I52,'表3）燃料価格'!$A$6:$U$66,VLOOKUP($F$3&amp;IF($G$4&lt;&gt;"",$G$4,"")&amp;IF($F$43&lt;&gt;"","_"&amp;$F$43,""),'表3）燃料価格'!$AF$9:$AG$25,2,0)+VLOOKUP($F$41,'表3）燃料価格'!$AF$28:$AG$29,2,0),0)*IF($F$43="需要地価格",1,$F$8/$F$141))),"")</f>
        <v>10.550371086529802</v>
      </c>
      <c r="AV52" s="10">
        <f t="shared" si="57"/>
        <v>17094736466.623821</v>
      </c>
      <c r="AW52" s="10">
        <f t="shared" si="58"/>
        <v>5559655366.9376898</v>
      </c>
      <c r="AY52" s="40">
        <f>IF(ISERROR(IF($K52&lt;=$F$15,VLOOKUP($I52,'表4）CO2価格'!$A$7:$E$67,VLOOKUP($F$48,'表4）CO2価格'!$H$10:$I$12,2,0),0)*$F$8/1000,"")),0,IF($K52&lt;=$F$15,VLOOKUP($I52,'表4）CO2価格'!$A$7:$E$67,VLOOKUP($F$48,'表4）CO2価格'!$H$10:$I$12,2,0),0)*$F$8/1000,""))</f>
        <v>9.1152653008777929</v>
      </c>
      <c r="BA52" s="11">
        <f t="shared" si="59"/>
        <v>28839099047.991657</v>
      </c>
      <c r="BB52" s="10">
        <f t="shared" si="60"/>
        <v>9379229221.3955612</v>
      </c>
      <c r="BD52" s="10">
        <f t="shared" si="61"/>
        <v>0</v>
      </c>
      <c r="BE52" s="10">
        <f t="shared" si="62"/>
        <v>0</v>
      </c>
      <c r="BG52" s="11">
        <f t="shared" si="63"/>
        <v>0</v>
      </c>
      <c r="BH52" s="10">
        <f t="shared" si="64"/>
        <v>0</v>
      </c>
      <c r="BJ52" s="7" t="str">
        <f t="shared" si="65"/>
        <v/>
      </c>
      <c r="BK52" s="158" t="str">
        <f t="shared" si="66"/>
        <v/>
      </c>
      <c r="BL52" s="158" t="str">
        <f t="shared" si="67"/>
        <v/>
      </c>
      <c r="BM52" s="10"/>
      <c r="BN52" s="10" t="str">
        <f t="shared" si="68"/>
        <v/>
      </c>
      <c r="BO52" s="10" t="str">
        <f t="shared" si="69"/>
        <v/>
      </c>
      <c r="BQ52" s="10">
        <f t="shared" si="70"/>
        <v>3574820495.910316</v>
      </c>
      <c r="BR52" s="10">
        <f t="shared" si="71"/>
        <v>1162625115.323107</v>
      </c>
    </row>
    <row r="53" spans="1:70" x14ac:dyDescent="0.15">
      <c r="D53" s="84" t="s">
        <v>580</v>
      </c>
      <c r="F53" s="475"/>
      <c r="G53" s="84" t="s">
        <v>549</v>
      </c>
      <c r="I53" s="38">
        <f t="shared" si="72"/>
        <v>2068</v>
      </c>
      <c r="J53" s="39"/>
      <c r="K53" s="39">
        <f t="shared" si="73"/>
        <v>39</v>
      </c>
      <c r="L53" s="39"/>
      <c r="M53" s="40">
        <f t="shared" si="38"/>
        <v>0.31575354599702099</v>
      </c>
      <c r="N53" s="39"/>
      <c r="O53" s="72">
        <f t="shared" si="74"/>
        <v>1.9073486328125E-6</v>
      </c>
      <c r="P53" s="41" t="str">
        <f t="shared" si="39"/>
        <v>-</v>
      </c>
      <c r="Q53" s="39"/>
      <c r="R53" s="72">
        <f t="shared" si="75"/>
        <v>10961238143.887167</v>
      </c>
      <c r="S53" s="39"/>
      <c r="T53" s="72">
        <f t="shared" si="40"/>
        <v>10961238000</v>
      </c>
      <c r="U53" s="39"/>
      <c r="V53" s="72">
        <f t="shared" si="41"/>
        <v>0</v>
      </c>
      <c r="W53" s="72">
        <f t="shared" si="42"/>
        <v>0</v>
      </c>
      <c r="X53" s="39"/>
      <c r="Y53" s="72">
        <f t="shared" si="43"/>
        <v>153457300</v>
      </c>
      <c r="Z53" s="72">
        <f t="shared" si="44"/>
        <v>48454686.634128653</v>
      </c>
      <c r="AA53" s="39"/>
      <c r="AB53" s="72">
        <f t="shared" si="45"/>
        <v>0</v>
      </c>
      <c r="AC53" s="72">
        <f t="shared" si="46"/>
        <v>0</v>
      </c>
      <c r="AD53" s="39"/>
      <c r="AE53" s="72">
        <f t="shared" si="47"/>
        <v>0</v>
      </c>
      <c r="AF53" s="72">
        <f t="shared" si="48"/>
        <v>0</v>
      </c>
      <c r="AG53" s="39"/>
      <c r="AH53" s="72">
        <f t="shared" si="49"/>
        <v>440000000.00000006</v>
      </c>
      <c r="AI53" s="72">
        <f t="shared" si="50"/>
        <v>138931560.23868924</v>
      </c>
      <c r="AJ53" s="39"/>
      <c r="AK53" s="72">
        <f t="shared" si="51"/>
        <v>5261394309.0658388</v>
      </c>
      <c r="AL53" s="72">
        <f t="shared" si="52"/>
        <v>1661303909.9760847</v>
      </c>
      <c r="AM53" s="39"/>
      <c r="AN53" s="72">
        <f t="shared" si="53"/>
        <v>4822944783.3103533</v>
      </c>
      <c r="AO53" s="72">
        <f t="shared" si="54"/>
        <v>1522861917.4780781</v>
      </c>
      <c r="AP53" s="39"/>
      <c r="AQ53" s="72">
        <f t="shared" si="55"/>
        <v>1283969369.2698953</v>
      </c>
      <c r="AR53" s="72">
        <f t="shared" si="56"/>
        <v>405417881.2985279</v>
      </c>
      <c r="AS53" s="39"/>
      <c r="AT53" s="40">
        <f>IF($K53&lt;=$F$15,IF($F$40&lt;&gt;"",$F$40/1000,IF(ISERROR(VLOOKUP($F$3&amp;IF($G$4&lt;&gt;"",$G$4,"")&amp;IF($F$43&lt;&gt;"","_"&amp;$F$43,""),'表3）燃料価格'!$AF$9:$AG$25,2,0)),0,VLOOKUP($I53,'表3）燃料価格'!$A$6:$U$66,VLOOKUP($F$3&amp;IF($G$4&lt;&gt;"",$G$4,"")&amp;IF($F$43&lt;&gt;"","_"&amp;$F$43,""),'表3）燃料価格'!$AF$9:$AG$25,2,0)+VLOOKUP($F$41,'表3）燃料価格'!$AF$28:$AG$29,2,0),0)*IF($F$43="需要地価格",1,$F$8/$F$141))),"")</f>
        <v>10.542006843002323</v>
      </c>
      <c r="AU53" s="39"/>
      <c r="AV53" s="72">
        <f t="shared" si="57"/>
        <v>17083343613.148884</v>
      </c>
      <c r="AW53" s="72">
        <f t="shared" si="58"/>
        <v>5394126323.3373213</v>
      </c>
      <c r="AX53" s="39"/>
      <c r="AY53" s="40">
        <f>IF(ISERROR(IF($K53&lt;=$F$15,VLOOKUP($I53,'表4）CO2価格'!$A$7:$E$67,VLOOKUP($F$48,'表4）CO2価格'!$H$10:$I$12,2,0),0)*$F$8/1000,"")),0,IF($K53&lt;=$F$15,VLOOKUP($I53,'表4）CO2価格'!$A$7:$E$67,VLOOKUP($F$48,'表4）CO2価格'!$H$10:$I$12,2,0),0)*$F$8/1000,""))</f>
        <v>9.2457749146488997</v>
      </c>
      <c r="AZ53" s="39"/>
      <c r="BA53" s="42">
        <f t="shared" si="59"/>
        <v>29252008552.435551</v>
      </c>
      <c r="BB53" s="72">
        <f t="shared" si="60"/>
        <v>9236425427.9667091</v>
      </c>
      <c r="BC53" s="39"/>
      <c r="BD53" s="72">
        <f t="shared" si="61"/>
        <v>0</v>
      </c>
      <c r="BE53" s="72">
        <f t="shared" si="62"/>
        <v>0</v>
      </c>
      <c r="BF53" s="39"/>
      <c r="BG53" s="42">
        <f t="shared" si="63"/>
        <v>0</v>
      </c>
      <c r="BH53" s="72">
        <f t="shared" si="64"/>
        <v>0</v>
      </c>
      <c r="BI53" s="39"/>
      <c r="BJ53" s="40" t="str">
        <f t="shared" si="65"/>
        <v/>
      </c>
      <c r="BK53" s="157" t="str">
        <f t="shared" si="66"/>
        <v/>
      </c>
      <c r="BL53" s="157" t="str">
        <f t="shared" si="67"/>
        <v/>
      </c>
      <c r="BM53" s="72"/>
      <c r="BN53" s="72" t="str">
        <f t="shared" si="68"/>
        <v/>
      </c>
      <c r="BO53" s="72" t="str">
        <f t="shared" si="69"/>
        <v/>
      </c>
      <c r="BP53" s="39"/>
      <c r="BQ53" s="72">
        <f t="shared" si="70"/>
        <v>3574820495.910316</v>
      </c>
      <c r="BR53" s="72">
        <f t="shared" si="71"/>
        <v>1128762247.8865113</v>
      </c>
    </row>
    <row r="54" spans="1:70" x14ac:dyDescent="0.15">
      <c r="D54" s="84" t="s">
        <v>581</v>
      </c>
      <c r="F54" s="475"/>
      <c r="G54" s="84" t="s">
        <v>549</v>
      </c>
      <c r="I54" s="322">
        <f t="shared" si="72"/>
        <v>2069</v>
      </c>
      <c r="K54" s="71">
        <f t="shared" si="73"/>
        <v>40</v>
      </c>
      <c r="M54" s="7">
        <f t="shared" si="38"/>
        <v>0.30655684077380685</v>
      </c>
      <c r="O54" s="10">
        <f t="shared" si="74"/>
        <v>1.9073486328125E-6</v>
      </c>
      <c r="P54" s="29" t="str">
        <f t="shared" si="39"/>
        <v>-</v>
      </c>
      <c r="R54" s="10">
        <f t="shared" si="75"/>
        <v>10961238143.887167</v>
      </c>
      <c r="T54" s="10">
        <f t="shared" si="40"/>
        <v>10961238000</v>
      </c>
      <c r="V54" s="10">
        <f t="shared" si="41"/>
        <v>0</v>
      </c>
      <c r="W54" s="10">
        <f t="shared" si="42"/>
        <v>0</v>
      </c>
      <c r="Y54" s="10">
        <f t="shared" si="43"/>
        <v>153457300</v>
      </c>
      <c r="Z54" s="10">
        <f t="shared" si="44"/>
        <v>47043385.081678309</v>
      </c>
      <c r="AB54" s="10">
        <f t="shared" si="45"/>
        <v>0</v>
      </c>
      <c r="AC54" s="10">
        <f t="shared" si="46"/>
        <v>0</v>
      </c>
      <c r="AE54" s="10">
        <f t="shared" si="47"/>
        <v>0</v>
      </c>
      <c r="AF54" s="10">
        <f t="shared" si="48"/>
        <v>0</v>
      </c>
      <c r="AH54" s="10">
        <f t="shared" si="49"/>
        <v>440000000.00000006</v>
      </c>
      <c r="AI54" s="10">
        <f t="shared" si="50"/>
        <v>134885009.94047505</v>
      </c>
      <c r="AK54" s="10">
        <f t="shared" si="51"/>
        <v>5261394309.0658388</v>
      </c>
      <c r="AL54" s="10">
        <f t="shared" si="52"/>
        <v>1612916417.4525099</v>
      </c>
      <c r="AN54" s="10">
        <f t="shared" si="53"/>
        <v>4822944783.3103533</v>
      </c>
      <c r="AO54" s="10">
        <f t="shared" si="54"/>
        <v>1478506715.9981344</v>
      </c>
      <c r="AQ54" s="10">
        <f t="shared" si="55"/>
        <v>1283969369.2698953</v>
      </c>
      <c r="AR54" s="10">
        <f t="shared" si="56"/>
        <v>393609593.49371648</v>
      </c>
      <c r="AT54" s="40">
        <f>IF($K54&lt;=$F$15,IF($F$40&lt;&gt;"",$F$40/1000,IF(ISERROR(VLOOKUP($F$3&amp;IF($G$4&lt;&gt;"",$G$4,"")&amp;IF($F$43&lt;&gt;"","_"&amp;$F$43,""),'表3）燃料価格'!$AF$9:$AG$25,2,0)),0,VLOOKUP($I54,'表3）燃料価格'!$A$6:$U$66,VLOOKUP($F$3&amp;IF($G$4&lt;&gt;"",$G$4,"")&amp;IF($F$43&lt;&gt;"","_"&amp;$F$43,""),'表3）燃料価格'!$AF$9:$AG$25,2,0)+VLOOKUP($F$41,'表3）燃料価格'!$AF$28:$AG$29,2,0),0)*IF($F$43="需要地価格",1,$F$8/$F$141))),"")</f>
        <v>10.533796080525908</v>
      </c>
      <c r="AV54" s="10">
        <f t="shared" si="57"/>
        <v>17072159814.6973</v>
      </c>
      <c r="AW54" s="10">
        <f t="shared" si="58"/>
        <v>5233587377.9791441</v>
      </c>
      <c r="AY54" s="40">
        <f>IF(ISERROR(IF($K54&lt;=$F$15,VLOOKUP($I54,'表4）CO2価格'!$A$7:$E$67,VLOOKUP($F$48,'表4）CO2価格'!$H$10:$I$12,2,0),0)*$F$8/1000,"")),0,IF($K54&lt;=$F$15,VLOOKUP($I54,'表4）CO2価格'!$A$7:$E$67,VLOOKUP($F$48,'表4）CO2価格'!$H$10:$I$12,2,0),0)*$F$8/1000,""))</f>
        <v>9.3762214345748625</v>
      </c>
      <c r="BA54" s="11">
        <f t="shared" si="59"/>
        <v>29664718439.030777</v>
      </c>
      <c r="BB54" s="10">
        <f t="shared" si="60"/>
        <v>9093922367.1137695</v>
      </c>
      <c r="BD54" s="10">
        <f t="shared" si="61"/>
        <v>0</v>
      </c>
      <c r="BE54" s="10">
        <f t="shared" si="62"/>
        <v>0</v>
      </c>
      <c r="BG54" s="11">
        <f t="shared" si="63"/>
        <v>0</v>
      </c>
      <c r="BH54" s="10">
        <f t="shared" si="64"/>
        <v>0</v>
      </c>
      <c r="BJ54" s="7" t="str">
        <f t="shared" si="65"/>
        <v/>
      </c>
      <c r="BK54" s="158" t="str">
        <f t="shared" si="66"/>
        <v/>
      </c>
      <c r="BL54" s="158" t="str">
        <f t="shared" si="67"/>
        <v/>
      </c>
      <c r="BM54" s="10"/>
      <c r="BN54" s="10" t="str">
        <f t="shared" si="68"/>
        <v/>
      </c>
      <c r="BO54" s="10" t="str">
        <f t="shared" si="69"/>
        <v/>
      </c>
      <c r="BQ54" s="10">
        <f t="shared" si="70"/>
        <v>3574820495.910316</v>
      </c>
      <c r="BR54" s="10">
        <f t="shared" si="71"/>
        <v>1095885677.55972</v>
      </c>
    </row>
    <row r="55" spans="1:70" ht="16.5" x14ac:dyDescent="0.15">
      <c r="D55" s="84" t="s">
        <v>582</v>
      </c>
      <c r="F55" s="475"/>
      <c r="G55" s="71" t="s">
        <v>561</v>
      </c>
      <c r="I55" s="38">
        <f t="shared" si="72"/>
        <v>2070</v>
      </c>
      <c r="J55" s="39"/>
      <c r="K55" s="39">
        <f t="shared" si="73"/>
        <v>41</v>
      </c>
      <c r="L55" s="39"/>
      <c r="M55" s="40">
        <f t="shared" si="38"/>
        <v>0.29762800075126877</v>
      </c>
      <c r="N55" s="39"/>
      <c r="O55" s="72" t="str">
        <f t="shared" si="74"/>
        <v/>
      </c>
      <c r="P55" s="41" t="str">
        <f t="shared" si="39"/>
        <v/>
      </c>
      <c r="Q55" s="39"/>
      <c r="R55" s="72" t="str">
        <f t="shared" si="75"/>
        <v/>
      </c>
      <c r="S55" s="39"/>
      <c r="T55" s="72" t="str">
        <f t="shared" si="40"/>
        <v/>
      </c>
      <c r="U55" s="39"/>
      <c r="V55" s="72" t="str">
        <f t="shared" si="41"/>
        <v/>
      </c>
      <c r="W55" s="72" t="str">
        <f t="shared" si="42"/>
        <v/>
      </c>
      <c r="X55" s="39"/>
      <c r="Y55" s="72" t="str">
        <f t="shared" si="43"/>
        <v/>
      </c>
      <c r="Z55" s="72" t="str">
        <f t="shared" si="44"/>
        <v/>
      </c>
      <c r="AA55" s="39"/>
      <c r="AB55" s="72">
        <f t="shared" si="45"/>
        <v>10961238143.887167</v>
      </c>
      <c r="AC55" s="72">
        <f t="shared" si="46"/>
        <v>3262371394.5236855</v>
      </c>
      <c r="AD55" s="39"/>
      <c r="AE55" s="72" t="str">
        <f t="shared" si="47"/>
        <v/>
      </c>
      <c r="AF55" s="72" t="str">
        <f t="shared" si="48"/>
        <v/>
      </c>
      <c r="AG55" s="39"/>
      <c r="AH55" s="72" t="str">
        <f t="shared" si="49"/>
        <v/>
      </c>
      <c r="AI55" s="72" t="str">
        <f t="shared" si="50"/>
        <v/>
      </c>
      <c r="AJ55" s="39"/>
      <c r="AK55" s="72" t="str">
        <f t="shared" si="51"/>
        <v/>
      </c>
      <c r="AL55" s="72" t="str">
        <f t="shared" si="52"/>
        <v/>
      </c>
      <c r="AM55" s="39"/>
      <c r="AN55" s="72" t="str">
        <f t="shared" si="53"/>
        <v/>
      </c>
      <c r="AO55" s="72" t="str">
        <f t="shared" si="54"/>
        <v/>
      </c>
      <c r="AP55" s="39"/>
      <c r="AQ55" s="72" t="str">
        <f t="shared" si="55"/>
        <v/>
      </c>
      <c r="AR55" s="72" t="str">
        <f t="shared" si="56"/>
        <v/>
      </c>
      <c r="AS55" s="39"/>
      <c r="AT55" s="40"/>
      <c r="AU55" s="39"/>
      <c r="AV55" s="72" t="str">
        <f t="shared" si="57"/>
        <v/>
      </c>
      <c r="AW55" s="72" t="str">
        <f t="shared" si="58"/>
        <v/>
      </c>
      <c r="AX55" s="39"/>
      <c r="AY55" s="40"/>
      <c r="AZ55" s="39"/>
      <c r="BA55" s="42" t="str">
        <f t="shared" si="59"/>
        <v/>
      </c>
      <c r="BB55" s="72" t="str">
        <f t="shared" si="60"/>
        <v/>
      </c>
      <c r="BC55" s="39"/>
      <c r="BD55" s="72" t="str">
        <f t="shared" si="61"/>
        <v/>
      </c>
      <c r="BE55" s="72" t="str">
        <f t="shared" si="62"/>
        <v/>
      </c>
      <c r="BF55" s="39"/>
      <c r="BG55" s="42" t="str">
        <f t="shared" si="63"/>
        <v/>
      </c>
      <c r="BH55" s="72" t="str">
        <f t="shared" si="64"/>
        <v/>
      </c>
      <c r="BI55" s="39"/>
      <c r="BJ55" s="40" t="str">
        <f t="shared" si="65"/>
        <v/>
      </c>
      <c r="BK55" s="157" t="str">
        <f t="shared" si="66"/>
        <v/>
      </c>
      <c r="BL55" s="157" t="str">
        <f t="shared" si="67"/>
        <v/>
      </c>
      <c r="BM55" s="72"/>
      <c r="BN55" s="72" t="str">
        <f t="shared" si="68"/>
        <v/>
      </c>
      <c r="BO55" s="72" t="str">
        <f t="shared" si="69"/>
        <v/>
      </c>
      <c r="BP55" s="39"/>
      <c r="BQ55" s="72" t="str">
        <f t="shared" si="70"/>
        <v/>
      </c>
      <c r="BR55" s="72" t="str">
        <f t="shared" si="71"/>
        <v/>
      </c>
    </row>
    <row r="56" spans="1:70" x14ac:dyDescent="0.15">
      <c r="D56" s="84" t="s">
        <v>583</v>
      </c>
      <c r="F56" s="481"/>
      <c r="G56" s="84" t="s">
        <v>574</v>
      </c>
      <c r="I56" s="322">
        <f t="shared" si="72"/>
        <v>2071</v>
      </c>
      <c r="K56" s="71">
        <f t="shared" si="73"/>
        <v>42</v>
      </c>
      <c r="M56" s="7">
        <f t="shared" si="38"/>
        <v>0.28895922403035801</v>
      </c>
      <c r="O56" s="10" t="str">
        <f t="shared" si="74"/>
        <v/>
      </c>
      <c r="P56" s="29" t="str">
        <f t="shared" si="39"/>
        <v/>
      </c>
      <c r="R56" s="10" t="str">
        <f t="shared" si="75"/>
        <v/>
      </c>
      <c r="T56" s="10" t="str">
        <f t="shared" si="40"/>
        <v/>
      </c>
      <c r="V56" s="10" t="str">
        <f t="shared" si="41"/>
        <v/>
      </c>
      <c r="W56" s="10" t="str">
        <f t="shared" si="42"/>
        <v/>
      </c>
      <c r="Y56" s="10" t="str">
        <f t="shared" si="43"/>
        <v/>
      </c>
      <c r="Z56" s="10" t="str">
        <f t="shared" si="44"/>
        <v/>
      </c>
      <c r="AB56" s="10" t="str">
        <f t="shared" si="45"/>
        <v/>
      </c>
      <c r="AC56" s="10" t="str">
        <f t="shared" si="46"/>
        <v/>
      </c>
      <c r="AE56" s="10" t="str">
        <f t="shared" si="47"/>
        <v/>
      </c>
      <c r="AF56" s="10" t="str">
        <f t="shared" si="48"/>
        <v/>
      </c>
      <c r="AH56" s="10" t="str">
        <f t="shared" si="49"/>
        <v/>
      </c>
      <c r="AI56" s="10" t="str">
        <f t="shared" si="50"/>
        <v/>
      </c>
      <c r="AK56" s="10" t="str">
        <f t="shared" si="51"/>
        <v/>
      </c>
      <c r="AL56" s="10" t="str">
        <f t="shared" si="52"/>
        <v/>
      </c>
      <c r="AN56" s="10" t="str">
        <f t="shared" si="53"/>
        <v/>
      </c>
      <c r="AO56" s="10" t="str">
        <f t="shared" si="54"/>
        <v/>
      </c>
      <c r="AQ56" s="10" t="str">
        <f t="shared" si="55"/>
        <v/>
      </c>
      <c r="AR56" s="10" t="str">
        <f t="shared" si="56"/>
        <v/>
      </c>
      <c r="AT56" s="7"/>
      <c r="AV56" s="10" t="str">
        <f t="shared" si="57"/>
        <v/>
      </c>
      <c r="AW56" s="10" t="str">
        <f t="shared" si="58"/>
        <v/>
      </c>
      <c r="AY56" s="7"/>
      <c r="BA56" s="11" t="str">
        <f t="shared" si="59"/>
        <v/>
      </c>
      <c r="BB56" s="10" t="str">
        <f t="shared" si="60"/>
        <v/>
      </c>
      <c r="BD56" s="10" t="str">
        <f t="shared" si="61"/>
        <v/>
      </c>
      <c r="BE56" s="10" t="str">
        <f t="shared" si="62"/>
        <v/>
      </c>
      <c r="BG56" s="11" t="str">
        <f t="shared" si="63"/>
        <v/>
      </c>
      <c r="BH56" s="10" t="str">
        <f t="shared" si="64"/>
        <v/>
      </c>
      <c r="BJ56" s="7" t="str">
        <f t="shared" si="65"/>
        <v/>
      </c>
      <c r="BK56" s="158" t="str">
        <f t="shared" si="66"/>
        <v/>
      </c>
      <c r="BL56" s="158" t="str">
        <f t="shared" si="67"/>
        <v/>
      </c>
      <c r="BM56" s="10"/>
      <c r="BN56" s="10" t="str">
        <f t="shared" si="68"/>
        <v/>
      </c>
      <c r="BO56" s="10" t="str">
        <f t="shared" si="69"/>
        <v/>
      </c>
      <c r="BQ56" s="10" t="str">
        <f t="shared" si="70"/>
        <v/>
      </c>
      <c r="BR56" s="10" t="str">
        <f t="shared" si="71"/>
        <v/>
      </c>
    </row>
    <row r="57" spans="1:70" x14ac:dyDescent="0.15">
      <c r="I57" s="38">
        <f t="shared" si="72"/>
        <v>2072</v>
      </c>
      <c r="J57" s="39"/>
      <c r="K57" s="39">
        <f t="shared" si="73"/>
        <v>43</v>
      </c>
      <c r="L57" s="39"/>
      <c r="M57" s="40">
        <f t="shared" si="38"/>
        <v>0.28054293595180391</v>
      </c>
      <c r="N57" s="39"/>
      <c r="O57" s="72" t="str">
        <f t="shared" si="74"/>
        <v/>
      </c>
      <c r="P57" s="41" t="str">
        <f t="shared" si="39"/>
        <v/>
      </c>
      <c r="Q57" s="39"/>
      <c r="R57" s="72" t="str">
        <f t="shared" si="75"/>
        <v/>
      </c>
      <c r="S57" s="39"/>
      <c r="T57" s="72" t="str">
        <f t="shared" si="40"/>
        <v/>
      </c>
      <c r="U57" s="39"/>
      <c r="V57" s="72" t="str">
        <f t="shared" si="41"/>
        <v/>
      </c>
      <c r="W57" s="72" t="str">
        <f t="shared" si="42"/>
        <v/>
      </c>
      <c r="X57" s="39"/>
      <c r="Y57" s="72" t="str">
        <f t="shared" si="43"/>
        <v/>
      </c>
      <c r="Z57" s="72" t="str">
        <f t="shared" si="44"/>
        <v/>
      </c>
      <c r="AA57" s="39"/>
      <c r="AB57" s="72" t="str">
        <f t="shared" si="45"/>
        <v/>
      </c>
      <c r="AC57" s="72" t="str">
        <f t="shared" si="46"/>
        <v/>
      </c>
      <c r="AD57" s="39"/>
      <c r="AE57" s="72" t="str">
        <f t="shared" si="47"/>
        <v/>
      </c>
      <c r="AF57" s="72" t="str">
        <f t="shared" si="48"/>
        <v/>
      </c>
      <c r="AG57" s="39"/>
      <c r="AH57" s="72" t="str">
        <f t="shared" si="49"/>
        <v/>
      </c>
      <c r="AI57" s="72" t="str">
        <f t="shared" si="50"/>
        <v/>
      </c>
      <c r="AJ57" s="39"/>
      <c r="AK57" s="72" t="str">
        <f t="shared" si="51"/>
        <v/>
      </c>
      <c r="AL57" s="72" t="str">
        <f t="shared" si="52"/>
        <v/>
      </c>
      <c r="AM57" s="39"/>
      <c r="AN57" s="72" t="str">
        <f t="shared" si="53"/>
        <v/>
      </c>
      <c r="AO57" s="72" t="str">
        <f t="shared" si="54"/>
        <v/>
      </c>
      <c r="AP57" s="39"/>
      <c r="AQ57" s="72" t="str">
        <f t="shared" si="55"/>
        <v/>
      </c>
      <c r="AR57" s="72" t="str">
        <f t="shared" si="56"/>
        <v/>
      </c>
      <c r="AS57" s="39"/>
      <c r="AT57" s="40"/>
      <c r="AU57" s="39"/>
      <c r="AV57" s="72" t="str">
        <f t="shared" si="57"/>
        <v/>
      </c>
      <c r="AW57" s="72" t="str">
        <f t="shared" si="58"/>
        <v/>
      </c>
      <c r="AX57" s="39"/>
      <c r="AY57" s="40"/>
      <c r="AZ57" s="39"/>
      <c r="BA57" s="42" t="str">
        <f t="shared" si="59"/>
        <v/>
      </c>
      <c r="BB57" s="72" t="str">
        <f t="shared" si="60"/>
        <v/>
      </c>
      <c r="BC57" s="39"/>
      <c r="BD57" s="72" t="str">
        <f t="shared" si="61"/>
        <v/>
      </c>
      <c r="BE57" s="72" t="str">
        <f t="shared" si="62"/>
        <v/>
      </c>
      <c r="BF57" s="39"/>
      <c r="BG57" s="42" t="str">
        <f t="shared" si="63"/>
        <v/>
      </c>
      <c r="BH57" s="72" t="str">
        <f t="shared" si="64"/>
        <v/>
      </c>
      <c r="BI57" s="39"/>
      <c r="BJ57" s="40" t="str">
        <f t="shared" si="65"/>
        <v/>
      </c>
      <c r="BK57" s="157" t="str">
        <f t="shared" si="66"/>
        <v/>
      </c>
      <c r="BL57" s="157" t="str">
        <f t="shared" si="67"/>
        <v/>
      </c>
      <c r="BM57" s="72"/>
      <c r="BN57" s="72" t="str">
        <f t="shared" si="68"/>
        <v/>
      </c>
      <c r="BO57" s="72" t="str">
        <f t="shared" si="69"/>
        <v/>
      </c>
      <c r="BP57" s="39"/>
      <c r="BQ57" s="72" t="str">
        <f t="shared" si="70"/>
        <v/>
      </c>
      <c r="BR57" s="72" t="str">
        <f t="shared" si="71"/>
        <v/>
      </c>
    </row>
    <row r="58" spans="1:70" x14ac:dyDescent="0.15">
      <c r="C58" s="4" t="s">
        <v>584</v>
      </c>
      <c r="D58" s="100"/>
      <c r="E58" s="100"/>
      <c r="F58" s="4"/>
      <c r="G58" s="100"/>
      <c r="I58" s="322">
        <f t="shared" si="72"/>
        <v>2073</v>
      </c>
      <c r="K58" s="71">
        <f t="shared" si="73"/>
        <v>44</v>
      </c>
      <c r="M58" s="7">
        <f t="shared" si="38"/>
        <v>0.27237178247747956</v>
      </c>
      <c r="O58" s="10" t="str">
        <f t="shared" si="74"/>
        <v/>
      </c>
      <c r="P58" s="29" t="str">
        <f t="shared" si="39"/>
        <v/>
      </c>
      <c r="R58" s="10" t="str">
        <f t="shared" si="75"/>
        <v/>
      </c>
      <c r="T58" s="10" t="str">
        <f t="shared" si="40"/>
        <v/>
      </c>
      <c r="V58" s="10" t="str">
        <f t="shared" si="41"/>
        <v/>
      </c>
      <c r="W58" s="10" t="str">
        <f t="shared" si="42"/>
        <v/>
      </c>
      <c r="Y58" s="10" t="str">
        <f t="shared" si="43"/>
        <v/>
      </c>
      <c r="Z58" s="10" t="str">
        <f t="shared" si="44"/>
        <v/>
      </c>
      <c r="AB58" s="10" t="str">
        <f t="shared" si="45"/>
        <v/>
      </c>
      <c r="AC58" s="10" t="str">
        <f t="shared" si="46"/>
        <v/>
      </c>
      <c r="AE58" s="10" t="str">
        <f t="shared" si="47"/>
        <v/>
      </c>
      <c r="AF58" s="10" t="str">
        <f t="shared" si="48"/>
        <v/>
      </c>
      <c r="AH58" s="10" t="str">
        <f t="shared" si="49"/>
        <v/>
      </c>
      <c r="AI58" s="10" t="str">
        <f t="shared" si="50"/>
        <v/>
      </c>
      <c r="AK58" s="10" t="str">
        <f t="shared" si="51"/>
        <v/>
      </c>
      <c r="AL58" s="10" t="str">
        <f t="shared" si="52"/>
        <v/>
      </c>
      <c r="AN58" s="10" t="str">
        <f t="shared" si="53"/>
        <v/>
      </c>
      <c r="AO58" s="10" t="str">
        <f t="shared" si="54"/>
        <v/>
      </c>
      <c r="AQ58" s="10" t="str">
        <f t="shared" si="55"/>
        <v/>
      </c>
      <c r="AR58" s="10" t="str">
        <f t="shared" si="56"/>
        <v/>
      </c>
      <c r="AT58" s="7"/>
      <c r="AV58" s="10" t="str">
        <f t="shared" si="57"/>
        <v/>
      </c>
      <c r="AW58" s="10" t="str">
        <f t="shared" si="58"/>
        <v/>
      </c>
      <c r="AY58" s="7"/>
      <c r="BA58" s="11" t="str">
        <f t="shared" si="59"/>
        <v/>
      </c>
      <c r="BB58" s="10" t="str">
        <f t="shared" si="60"/>
        <v/>
      </c>
      <c r="BD58" s="10" t="str">
        <f t="shared" si="61"/>
        <v/>
      </c>
      <c r="BE58" s="10" t="str">
        <f t="shared" si="62"/>
        <v/>
      </c>
      <c r="BG58" s="11" t="str">
        <f t="shared" si="63"/>
        <v/>
      </c>
      <c r="BH58" s="10" t="str">
        <f t="shared" si="64"/>
        <v/>
      </c>
      <c r="BJ58" s="7" t="str">
        <f t="shared" si="65"/>
        <v/>
      </c>
      <c r="BK58" s="158" t="str">
        <f t="shared" si="66"/>
        <v/>
      </c>
      <c r="BL58" s="158" t="str">
        <f t="shared" si="67"/>
        <v/>
      </c>
      <c r="BM58" s="10"/>
      <c r="BN58" s="10" t="str">
        <f t="shared" si="68"/>
        <v/>
      </c>
      <c r="BO58" s="10" t="str">
        <f t="shared" si="69"/>
        <v/>
      </c>
      <c r="BQ58" s="10" t="str">
        <f t="shared" si="70"/>
        <v/>
      </c>
      <c r="BR58" s="10" t="str">
        <f t="shared" si="71"/>
        <v/>
      </c>
    </row>
    <row r="59" spans="1:70" x14ac:dyDescent="0.15">
      <c r="I59" s="38">
        <f t="shared" si="72"/>
        <v>2074</v>
      </c>
      <c r="J59" s="39"/>
      <c r="K59" s="39">
        <f t="shared" si="73"/>
        <v>45</v>
      </c>
      <c r="L59" s="39"/>
      <c r="M59" s="40">
        <f t="shared" si="38"/>
        <v>0.26443862376454325</v>
      </c>
      <c r="N59" s="39"/>
      <c r="O59" s="72" t="str">
        <f t="shared" si="74"/>
        <v/>
      </c>
      <c r="P59" s="41" t="str">
        <f t="shared" si="39"/>
        <v/>
      </c>
      <c r="Q59" s="39"/>
      <c r="R59" s="72" t="str">
        <f t="shared" si="75"/>
        <v/>
      </c>
      <c r="S59" s="39"/>
      <c r="T59" s="72" t="str">
        <f t="shared" si="40"/>
        <v/>
      </c>
      <c r="U59" s="39"/>
      <c r="V59" s="72" t="str">
        <f t="shared" si="41"/>
        <v/>
      </c>
      <c r="W59" s="72" t="str">
        <f t="shared" si="42"/>
        <v/>
      </c>
      <c r="X59" s="39"/>
      <c r="Y59" s="72" t="str">
        <f t="shared" si="43"/>
        <v/>
      </c>
      <c r="Z59" s="72" t="str">
        <f t="shared" si="44"/>
        <v/>
      </c>
      <c r="AA59" s="39"/>
      <c r="AB59" s="72" t="str">
        <f t="shared" si="45"/>
        <v/>
      </c>
      <c r="AC59" s="72" t="str">
        <f t="shared" si="46"/>
        <v/>
      </c>
      <c r="AD59" s="39"/>
      <c r="AE59" s="72" t="str">
        <f t="shared" si="47"/>
        <v/>
      </c>
      <c r="AF59" s="72" t="str">
        <f t="shared" si="48"/>
        <v/>
      </c>
      <c r="AG59" s="39"/>
      <c r="AH59" s="72" t="str">
        <f t="shared" si="49"/>
        <v/>
      </c>
      <c r="AI59" s="72" t="str">
        <f t="shared" si="50"/>
        <v/>
      </c>
      <c r="AJ59" s="39"/>
      <c r="AK59" s="72" t="str">
        <f t="shared" si="51"/>
        <v/>
      </c>
      <c r="AL59" s="72" t="str">
        <f t="shared" si="52"/>
        <v/>
      </c>
      <c r="AM59" s="39"/>
      <c r="AN59" s="72" t="str">
        <f t="shared" si="53"/>
        <v/>
      </c>
      <c r="AO59" s="72" t="str">
        <f t="shared" si="54"/>
        <v/>
      </c>
      <c r="AP59" s="39"/>
      <c r="AQ59" s="72" t="str">
        <f t="shared" si="55"/>
        <v/>
      </c>
      <c r="AR59" s="72" t="str">
        <f t="shared" si="56"/>
        <v/>
      </c>
      <c r="AS59" s="39"/>
      <c r="AT59" s="40"/>
      <c r="AU59" s="39"/>
      <c r="AV59" s="72" t="str">
        <f t="shared" si="57"/>
        <v/>
      </c>
      <c r="AW59" s="72" t="str">
        <f t="shared" si="58"/>
        <v/>
      </c>
      <c r="AX59" s="39"/>
      <c r="AY59" s="40"/>
      <c r="AZ59" s="39"/>
      <c r="BA59" s="42" t="str">
        <f t="shared" si="59"/>
        <v/>
      </c>
      <c r="BB59" s="72" t="str">
        <f t="shared" si="60"/>
        <v/>
      </c>
      <c r="BC59" s="39"/>
      <c r="BD59" s="72" t="str">
        <f t="shared" si="61"/>
        <v/>
      </c>
      <c r="BE59" s="72" t="str">
        <f t="shared" si="62"/>
        <v/>
      </c>
      <c r="BF59" s="39"/>
      <c r="BG59" s="42" t="str">
        <f t="shared" si="63"/>
        <v/>
      </c>
      <c r="BH59" s="72" t="str">
        <f t="shared" si="64"/>
        <v/>
      </c>
      <c r="BI59" s="39"/>
      <c r="BJ59" s="40" t="str">
        <f t="shared" si="65"/>
        <v/>
      </c>
      <c r="BK59" s="157" t="str">
        <f t="shared" si="66"/>
        <v/>
      </c>
      <c r="BL59" s="157" t="str">
        <f t="shared" si="67"/>
        <v/>
      </c>
      <c r="BM59" s="72"/>
      <c r="BN59" s="72" t="str">
        <f t="shared" si="68"/>
        <v/>
      </c>
      <c r="BO59" s="72" t="str">
        <f t="shared" si="69"/>
        <v/>
      </c>
      <c r="BP59" s="39"/>
      <c r="BQ59" s="72" t="str">
        <f t="shared" si="70"/>
        <v/>
      </c>
      <c r="BR59" s="72" t="str">
        <f t="shared" si="71"/>
        <v/>
      </c>
    </row>
    <row r="60" spans="1:70" x14ac:dyDescent="0.15">
      <c r="D60" s="84" t="s">
        <v>585</v>
      </c>
      <c r="F60" s="481"/>
      <c r="G60" s="84" t="s">
        <v>566</v>
      </c>
      <c r="I60" s="322">
        <f t="shared" si="72"/>
        <v>2075</v>
      </c>
      <c r="K60" s="71">
        <f t="shared" si="73"/>
        <v>46</v>
      </c>
      <c r="M60" s="7">
        <f t="shared" si="38"/>
        <v>0.25673652792674101</v>
      </c>
      <c r="O60" s="10" t="str">
        <f t="shared" si="74"/>
        <v/>
      </c>
      <c r="P60" s="29" t="str">
        <f t="shared" si="39"/>
        <v/>
      </c>
      <c r="R60" s="10" t="str">
        <f t="shared" si="75"/>
        <v/>
      </c>
      <c r="T60" s="10" t="str">
        <f t="shared" si="40"/>
        <v/>
      </c>
      <c r="V60" s="10" t="str">
        <f t="shared" si="41"/>
        <v/>
      </c>
      <c r="W60" s="10" t="str">
        <f t="shared" si="42"/>
        <v/>
      </c>
      <c r="Y60" s="10" t="str">
        <f t="shared" si="43"/>
        <v/>
      </c>
      <c r="Z60" s="10" t="str">
        <f t="shared" si="44"/>
        <v/>
      </c>
      <c r="AB60" s="10" t="str">
        <f t="shared" si="45"/>
        <v/>
      </c>
      <c r="AC60" s="10" t="str">
        <f t="shared" si="46"/>
        <v/>
      </c>
      <c r="AE60" s="10" t="str">
        <f t="shared" si="47"/>
        <v/>
      </c>
      <c r="AF60" s="10" t="str">
        <f t="shared" si="48"/>
        <v/>
      </c>
      <c r="AH60" s="10" t="str">
        <f t="shared" si="49"/>
        <v/>
      </c>
      <c r="AI60" s="10" t="str">
        <f t="shared" si="50"/>
        <v/>
      </c>
      <c r="AK60" s="10" t="str">
        <f t="shared" si="51"/>
        <v/>
      </c>
      <c r="AL60" s="10" t="str">
        <f t="shared" si="52"/>
        <v/>
      </c>
      <c r="AN60" s="10" t="str">
        <f t="shared" si="53"/>
        <v/>
      </c>
      <c r="AO60" s="10" t="str">
        <f t="shared" si="54"/>
        <v/>
      </c>
      <c r="AQ60" s="10" t="str">
        <f t="shared" si="55"/>
        <v/>
      </c>
      <c r="AR60" s="10" t="str">
        <f t="shared" si="56"/>
        <v/>
      </c>
      <c r="AT60" s="7"/>
      <c r="AV60" s="10" t="str">
        <f t="shared" si="57"/>
        <v/>
      </c>
      <c r="AW60" s="10" t="str">
        <f t="shared" si="58"/>
        <v/>
      </c>
      <c r="AY60" s="7"/>
      <c r="BA60" s="11" t="str">
        <f t="shared" si="59"/>
        <v/>
      </c>
      <c r="BB60" s="10" t="str">
        <f t="shared" si="60"/>
        <v/>
      </c>
      <c r="BD60" s="10" t="str">
        <f t="shared" si="61"/>
        <v/>
      </c>
      <c r="BE60" s="10" t="str">
        <f t="shared" si="62"/>
        <v/>
      </c>
      <c r="BG60" s="11" t="str">
        <f t="shared" si="63"/>
        <v/>
      </c>
      <c r="BH60" s="10" t="str">
        <f t="shared" si="64"/>
        <v/>
      </c>
      <c r="BJ60" s="7" t="str">
        <f t="shared" si="65"/>
        <v/>
      </c>
      <c r="BK60" s="158" t="str">
        <f t="shared" si="66"/>
        <v/>
      </c>
      <c r="BL60" s="158" t="str">
        <f t="shared" si="67"/>
        <v/>
      </c>
      <c r="BM60" s="10"/>
      <c r="BN60" s="10" t="str">
        <f t="shared" si="68"/>
        <v/>
      </c>
      <c r="BO60" s="10" t="str">
        <f t="shared" si="69"/>
        <v/>
      </c>
      <c r="BQ60" s="10" t="str">
        <f t="shared" si="70"/>
        <v/>
      </c>
      <c r="BR60" s="10" t="str">
        <f t="shared" si="71"/>
        <v/>
      </c>
    </row>
    <row r="61" spans="1:70" x14ac:dyDescent="0.15">
      <c r="D61" s="84" t="s">
        <v>586</v>
      </c>
      <c r="F61" s="475"/>
      <c r="G61" s="84" t="s">
        <v>556</v>
      </c>
      <c r="I61" s="38">
        <f t="shared" si="72"/>
        <v>2076</v>
      </c>
      <c r="J61" s="39"/>
      <c r="K61" s="39">
        <f t="shared" si="73"/>
        <v>47</v>
      </c>
      <c r="L61" s="39"/>
      <c r="M61" s="40">
        <f t="shared" si="38"/>
        <v>0.24925876497741845</v>
      </c>
      <c r="N61" s="39"/>
      <c r="O61" s="72" t="str">
        <f t="shared" si="74"/>
        <v/>
      </c>
      <c r="P61" s="41" t="str">
        <f t="shared" si="39"/>
        <v/>
      </c>
      <c r="Q61" s="39"/>
      <c r="R61" s="72" t="str">
        <f t="shared" si="75"/>
        <v/>
      </c>
      <c r="S61" s="39"/>
      <c r="T61" s="72" t="str">
        <f t="shared" si="40"/>
        <v/>
      </c>
      <c r="U61" s="39"/>
      <c r="V61" s="72" t="str">
        <f t="shared" si="41"/>
        <v/>
      </c>
      <c r="W61" s="72" t="str">
        <f t="shared" si="42"/>
        <v/>
      </c>
      <c r="X61" s="39"/>
      <c r="Y61" s="72" t="str">
        <f t="shared" si="43"/>
        <v/>
      </c>
      <c r="Z61" s="72" t="str">
        <f t="shared" si="44"/>
        <v/>
      </c>
      <c r="AA61" s="39"/>
      <c r="AB61" s="72" t="str">
        <f t="shared" si="45"/>
        <v/>
      </c>
      <c r="AC61" s="72" t="str">
        <f t="shared" si="46"/>
        <v/>
      </c>
      <c r="AD61" s="39"/>
      <c r="AE61" s="72" t="str">
        <f t="shared" si="47"/>
        <v/>
      </c>
      <c r="AF61" s="72" t="str">
        <f t="shared" si="48"/>
        <v/>
      </c>
      <c r="AG61" s="39"/>
      <c r="AH61" s="72" t="str">
        <f t="shared" si="49"/>
        <v/>
      </c>
      <c r="AI61" s="72" t="str">
        <f t="shared" si="50"/>
        <v/>
      </c>
      <c r="AJ61" s="39"/>
      <c r="AK61" s="72" t="str">
        <f t="shared" si="51"/>
        <v/>
      </c>
      <c r="AL61" s="72" t="str">
        <f t="shared" si="52"/>
        <v/>
      </c>
      <c r="AM61" s="39"/>
      <c r="AN61" s="72" t="str">
        <f t="shared" si="53"/>
        <v/>
      </c>
      <c r="AO61" s="72" t="str">
        <f t="shared" si="54"/>
        <v/>
      </c>
      <c r="AP61" s="39"/>
      <c r="AQ61" s="72" t="str">
        <f t="shared" si="55"/>
        <v/>
      </c>
      <c r="AR61" s="72" t="str">
        <f t="shared" si="56"/>
        <v/>
      </c>
      <c r="AS61" s="39"/>
      <c r="AT61" s="40"/>
      <c r="AU61" s="39"/>
      <c r="AV61" s="72" t="str">
        <f t="shared" si="57"/>
        <v/>
      </c>
      <c r="AW61" s="72" t="str">
        <f t="shared" si="58"/>
        <v/>
      </c>
      <c r="AX61" s="39"/>
      <c r="AY61" s="40"/>
      <c r="AZ61" s="39"/>
      <c r="BA61" s="42" t="str">
        <f t="shared" si="59"/>
        <v/>
      </c>
      <c r="BB61" s="72" t="str">
        <f t="shared" si="60"/>
        <v/>
      </c>
      <c r="BC61" s="39"/>
      <c r="BD61" s="72" t="str">
        <f t="shared" si="61"/>
        <v/>
      </c>
      <c r="BE61" s="72" t="str">
        <f t="shared" si="62"/>
        <v/>
      </c>
      <c r="BF61" s="39"/>
      <c r="BG61" s="42" t="str">
        <f t="shared" si="63"/>
        <v/>
      </c>
      <c r="BH61" s="72" t="str">
        <f t="shared" si="64"/>
        <v/>
      </c>
      <c r="BI61" s="39"/>
      <c r="BJ61" s="40" t="str">
        <f t="shared" si="65"/>
        <v/>
      </c>
      <c r="BK61" s="157" t="str">
        <f t="shared" si="66"/>
        <v/>
      </c>
      <c r="BL61" s="157" t="str">
        <f t="shared" si="67"/>
        <v/>
      </c>
      <c r="BM61" s="72"/>
      <c r="BN61" s="72" t="str">
        <f t="shared" si="68"/>
        <v/>
      </c>
      <c r="BO61" s="72" t="str">
        <f t="shared" si="69"/>
        <v/>
      </c>
      <c r="BP61" s="39"/>
      <c r="BQ61" s="72" t="str">
        <f t="shared" si="70"/>
        <v/>
      </c>
      <c r="BR61" s="72" t="str">
        <f t="shared" si="71"/>
        <v/>
      </c>
    </row>
    <row r="62" spans="1:70" x14ac:dyDescent="0.15">
      <c r="D62" s="84" t="s">
        <v>587</v>
      </c>
      <c r="F62" s="481"/>
      <c r="G62" s="84" t="s">
        <v>588</v>
      </c>
      <c r="I62" s="322">
        <f t="shared" si="72"/>
        <v>2077</v>
      </c>
      <c r="K62" s="71">
        <f t="shared" si="73"/>
        <v>48</v>
      </c>
      <c r="M62" s="7">
        <f t="shared" si="38"/>
        <v>0.24199880094894996</v>
      </c>
      <c r="O62" s="10" t="str">
        <f t="shared" si="74"/>
        <v/>
      </c>
      <c r="P62" s="29" t="str">
        <f t="shared" si="39"/>
        <v/>
      </c>
      <c r="R62" s="10" t="str">
        <f t="shared" si="75"/>
        <v/>
      </c>
      <c r="T62" s="10" t="str">
        <f t="shared" si="40"/>
        <v/>
      </c>
      <c r="V62" s="10" t="str">
        <f t="shared" si="41"/>
        <v/>
      </c>
      <c r="W62" s="10" t="str">
        <f t="shared" si="42"/>
        <v/>
      </c>
      <c r="Y62" s="10" t="str">
        <f t="shared" si="43"/>
        <v/>
      </c>
      <c r="Z62" s="10" t="str">
        <f t="shared" si="44"/>
        <v/>
      </c>
      <c r="AB62" s="10" t="str">
        <f t="shared" si="45"/>
        <v/>
      </c>
      <c r="AC62" s="10" t="str">
        <f t="shared" si="46"/>
        <v/>
      </c>
      <c r="AE62" s="10" t="str">
        <f t="shared" si="47"/>
        <v/>
      </c>
      <c r="AF62" s="10" t="str">
        <f t="shared" si="48"/>
        <v/>
      </c>
      <c r="AH62" s="10" t="str">
        <f t="shared" si="49"/>
        <v/>
      </c>
      <c r="AI62" s="10" t="str">
        <f t="shared" si="50"/>
        <v/>
      </c>
      <c r="AK62" s="10" t="str">
        <f t="shared" si="51"/>
        <v/>
      </c>
      <c r="AL62" s="10" t="str">
        <f t="shared" si="52"/>
        <v/>
      </c>
      <c r="AN62" s="10" t="str">
        <f t="shared" si="53"/>
        <v/>
      </c>
      <c r="AO62" s="10" t="str">
        <f t="shared" si="54"/>
        <v/>
      </c>
      <c r="AQ62" s="10" t="str">
        <f t="shared" si="55"/>
        <v/>
      </c>
      <c r="AR62" s="10" t="str">
        <f t="shared" si="56"/>
        <v/>
      </c>
      <c r="AT62" s="7"/>
      <c r="AV62" s="10" t="str">
        <f t="shared" si="57"/>
        <v/>
      </c>
      <c r="AW62" s="10" t="str">
        <f t="shared" si="58"/>
        <v/>
      </c>
      <c r="AY62" s="7"/>
      <c r="BA62" s="11" t="str">
        <f t="shared" si="59"/>
        <v/>
      </c>
      <c r="BB62" s="10" t="str">
        <f t="shared" si="60"/>
        <v/>
      </c>
      <c r="BD62" s="10" t="str">
        <f t="shared" si="61"/>
        <v/>
      </c>
      <c r="BE62" s="10" t="str">
        <f t="shared" si="62"/>
        <v/>
      </c>
      <c r="BG62" s="11" t="str">
        <f t="shared" si="63"/>
        <v/>
      </c>
      <c r="BH62" s="10" t="str">
        <f t="shared" si="64"/>
        <v/>
      </c>
      <c r="BJ62" s="7" t="str">
        <f t="shared" si="65"/>
        <v/>
      </c>
      <c r="BK62" s="158" t="str">
        <f t="shared" si="66"/>
        <v/>
      </c>
      <c r="BL62" s="158" t="str">
        <f t="shared" si="67"/>
        <v/>
      </c>
      <c r="BM62" s="10"/>
      <c r="BN62" s="10" t="str">
        <f t="shared" si="68"/>
        <v/>
      </c>
      <c r="BO62" s="10" t="str">
        <f t="shared" si="69"/>
        <v/>
      </c>
      <c r="BQ62" s="10" t="str">
        <f t="shared" si="70"/>
        <v/>
      </c>
      <c r="BR62" s="10" t="str">
        <f t="shared" si="71"/>
        <v/>
      </c>
    </row>
    <row r="63" spans="1:70" x14ac:dyDescent="0.15">
      <c r="I63" s="38">
        <f t="shared" si="72"/>
        <v>2078</v>
      </c>
      <c r="J63" s="39"/>
      <c r="K63" s="39">
        <f t="shared" si="73"/>
        <v>49</v>
      </c>
      <c r="L63" s="39"/>
      <c r="M63" s="40">
        <f t="shared" si="38"/>
        <v>0.2349502921834466</v>
      </c>
      <c r="N63" s="39"/>
      <c r="O63" s="72" t="str">
        <f t="shared" si="74"/>
        <v/>
      </c>
      <c r="P63" s="41" t="str">
        <f t="shared" si="39"/>
        <v/>
      </c>
      <c r="Q63" s="39"/>
      <c r="R63" s="72" t="str">
        <f t="shared" si="75"/>
        <v/>
      </c>
      <c r="S63" s="39"/>
      <c r="T63" s="72" t="str">
        <f t="shared" si="40"/>
        <v/>
      </c>
      <c r="U63" s="39"/>
      <c r="V63" s="72" t="str">
        <f t="shared" si="41"/>
        <v/>
      </c>
      <c r="W63" s="72" t="str">
        <f t="shared" si="42"/>
        <v/>
      </c>
      <c r="X63" s="39"/>
      <c r="Y63" s="72" t="str">
        <f t="shared" si="43"/>
        <v/>
      </c>
      <c r="Z63" s="72" t="str">
        <f t="shared" si="44"/>
        <v/>
      </c>
      <c r="AA63" s="39"/>
      <c r="AB63" s="72" t="str">
        <f t="shared" si="45"/>
        <v/>
      </c>
      <c r="AC63" s="72" t="str">
        <f t="shared" si="46"/>
        <v/>
      </c>
      <c r="AD63" s="39"/>
      <c r="AE63" s="72" t="str">
        <f t="shared" si="47"/>
        <v/>
      </c>
      <c r="AF63" s="72" t="str">
        <f t="shared" si="48"/>
        <v/>
      </c>
      <c r="AG63" s="39"/>
      <c r="AH63" s="72" t="str">
        <f t="shared" si="49"/>
        <v/>
      </c>
      <c r="AI63" s="72" t="str">
        <f t="shared" si="50"/>
        <v/>
      </c>
      <c r="AJ63" s="39"/>
      <c r="AK63" s="72" t="str">
        <f t="shared" si="51"/>
        <v/>
      </c>
      <c r="AL63" s="72" t="str">
        <f t="shared" si="52"/>
        <v/>
      </c>
      <c r="AM63" s="39"/>
      <c r="AN63" s="72" t="str">
        <f t="shared" si="53"/>
        <v/>
      </c>
      <c r="AO63" s="72" t="str">
        <f t="shared" si="54"/>
        <v/>
      </c>
      <c r="AP63" s="39"/>
      <c r="AQ63" s="72" t="str">
        <f t="shared" si="55"/>
        <v/>
      </c>
      <c r="AR63" s="72" t="str">
        <f t="shared" si="56"/>
        <v/>
      </c>
      <c r="AS63" s="39"/>
      <c r="AT63" s="40"/>
      <c r="AU63" s="39"/>
      <c r="AV63" s="72" t="str">
        <f t="shared" si="57"/>
        <v/>
      </c>
      <c r="AW63" s="72" t="str">
        <f t="shared" si="58"/>
        <v/>
      </c>
      <c r="AX63" s="39"/>
      <c r="AY63" s="40"/>
      <c r="AZ63" s="39"/>
      <c r="BA63" s="42" t="str">
        <f t="shared" si="59"/>
        <v/>
      </c>
      <c r="BB63" s="72" t="str">
        <f t="shared" si="60"/>
        <v/>
      </c>
      <c r="BC63" s="39"/>
      <c r="BD63" s="72" t="str">
        <f t="shared" si="61"/>
        <v/>
      </c>
      <c r="BE63" s="72" t="str">
        <f t="shared" si="62"/>
        <v/>
      </c>
      <c r="BF63" s="39"/>
      <c r="BG63" s="42" t="str">
        <f t="shared" si="63"/>
        <v/>
      </c>
      <c r="BH63" s="72" t="str">
        <f t="shared" si="64"/>
        <v/>
      </c>
      <c r="BI63" s="39"/>
      <c r="BJ63" s="40" t="str">
        <f t="shared" si="65"/>
        <v/>
      </c>
      <c r="BK63" s="157" t="str">
        <f t="shared" si="66"/>
        <v/>
      </c>
      <c r="BL63" s="157" t="str">
        <f t="shared" si="67"/>
        <v/>
      </c>
      <c r="BM63" s="72"/>
      <c r="BN63" s="72" t="str">
        <f t="shared" si="68"/>
        <v/>
      </c>
      <c r="BO63" s="72" t="str">
        <f t="shared" si="69"/>
        <v/>
      </c>
      <c r="BP63" s="39"/>
      <c r="BQ63" s="72" t="str">
        <f t="shared" si="70"/>
        <v/>
      </c>
      <c r="BR63" s="72" t="str">
        <f t="shared" si="71"/>
        <v/>
      </c>
    </row>
    <row r="64" spans="1:70" x14ac:dyDescent="0.15">
      <c r="C64" s="71" t="s">
        <v>589</v>
      </c>
      <c r="F64" s="478">
        <v>7.0000000000000007E-2</v>
      </c>
      <c r="G64" s="84" t="s">
        <v>590</v>
      </c>
      <c r="I64" s="322">
        <f t="shared" si="72"/>
        <v>2079</v>
      </c>
      <c r="K64" s="71">
        <f t="shared" si="73"/>
        <v>50</v>
      </c>
      <c r="M64" s="7">
        <f t="shared" si="38"/>
        <v>0.22810707978975397</v>
      </c>
      <c r="O64" s="10" t="str">
        <f t="shared" si="74"/>
        <v/>
      </c>
      <c r="P64" s="29" t="str">
        <f t="shared" si="39"/>
        <v/>
      </c>
      <c r="R64" s="10" t="str">
        <f t="shared" si="75"/>
        <v/>
      </c>
      <c r="T64" s="10" t="str">
        <f t="shared" si="40"/>
        <v/>
      </c>
      <c r="V64" s="10" t="str">
        <f t="shared" si="41"/>
        <v/>
      </c>
      <c r="W64" s="10" t="str">
        <f t="shared" si="42"/>
        <v/>
      </c>
      <c r="Y64" s="10" t="str">
        <f t="shared" si="43"/>
        <v/>
      </c>
      <c r="Z64" s="10" t="str">
        <f t="shared" si="44"/>
        <v/>
      </c>
      <c r="AB64" s="10" t="str">
        <f t="shared" si="45"/>
        <v/>
      </c>
      <c r="AC64" s="10" t="str">
        <f t="shared" si="46"/>
        <v/>
      </c>
      <c r="AE64" s="10" t="str">
        <f t="shared" si="47"/>
        <v/>
      </c>
      <c r="AF64" s="10" t="str">
        <f t="shared" si="48"/>
        <v/>
      </c>
      <c r="AH64" s="10" t="str">
        <f t="shared" si="49"/>
        <v/>
      </c>
      <c r="AI64" s="10" t="str">
        <f t="shared" si="50"/>
        <v/>
      </c>
      <c r="AK64" s="10" t="str">
        <f t="shared" si="51"/>
        <v/>
      </c>
      <c r="AL64" s="10" t="str">
        <f t="shared" si="52"/>
        <v/>
      </c>
      <c r="AN64" s="10" t="str">
        <f t="shared" si="53"/>
        <v/>
      </c>
      <c r="AO64" s="10" t="str">
        <f t="shared" si="54"/>
        <v/>
      </c>
      <c r="AQ64" s="10" t="str">
        <f t="shared" si="55"/>
        <v/>
      </c>
      <c r="AR64" s="10" t="str">
        <f t="shared" si="56"/>
        <v/>
      </c>
      <c r="AT64" s="7"/>
      <c r="AV64" s="10" t="str">
        <f t="shared" si="57"/>
        <v/>
      </c>
      <c r="AW64" s="10" t="str">
        <f t="shared" si="58"/>
        <v/>
      </c>
      <c r="AY64" s="7"/>
      <c r="BA64" s="11" t="str">
        <f t="shared" si="59"/>
        <v/>
      </c>
      <c r="BB64" s="10" t="str">
        <f t="shared" si="60"/>
        <v/>
      </c>
      <c r="BD64" s="10" t="str">
        <f t="shared" si="61"/>
        <v/>
      </c>
      <c r="BE64" s="10" t="str">
        <f t="shared" si="62"/>
        <v/>
      </c>
      <c r="BG64" s="11" t="str">
        <f t="shared" si="63"/>
        <v/>
      </c>
      <c r="BH64" s="10" t="str">
        <f t="shared" si="64"/>
        <v/>
      </c>
      <c r="BJ64" s="7" t="str">
        <f t="shared" si="65"/>
        <v/>
      </c>
      <c r="BK64" s="158" t="str">
        <f t="shared" si="66"/>
        <v/>
      </c>
      <c r="BL64" s="158" t="str">
        <f t="shared" si="67"/>
        <v/>
      </c>
      <c r="BM64" s="10"/>
      <c r="BN64" s="10" t="str">
        <f t="shared" si="68"/>
        <v/>
      </c>
      <c r="BO64" s="10" t="str">
        <f t="shared" si="69"/>
        <v/>
      </c>
      <c r="BQ64" s="10" t="str">
        <f t="shared" si="70"/>
        <v/>
      </c>
      <c r="BR64" s="10" t="str">
        <f t="shared" si="71"/>
        <v/>
      </c>
    </row>
    <row r="65" spans="2:70" x14ac:dyDescent="0.15">
      <c r="I65" s="38">
        <f t="shared" si="72"/>
        <v>2080</v>
      </c>
      <c r="J65" s="39"/>
      <c r="K65" s="39">
        <f t="shared" si="73"/>
        <v>51</v>
      </c>
      <c r="L65" s="39"/>
      <c r="M65" s="40">
        <f t="shared" si="38"/>
        <v>0.22146318426189707</v>
      </c>
      <c r="N65" s="39"/>
      <c r="O65" s="72" t="str">
        <f t="shared" si="74"/>
        <v/>
      </c>
      <c r="P65" s="41" t="str">
        <f t="shared" si="39"/>
        <v/>
      </c>
      <c r="Q65" s="39"/>
      <c r="R65" s="72" t="str">
        <f t="shared" si="75"/>
        <v/>
      </c>
      <c r="S65" s="39"/>
      <c r="T65" s="72" t="str">
        <f t="shared" si="40"/>
        <v/>
      </c>
      <c r="U65" s="39"/>
      <c r="V65" s="72" t="str">
        <f t="shared" si="41"/>
        <v/>
      </c>
      <c r="W65" s="72" t="str">
        <f t="shared" si="42"/>
        <v/>
      </c>
      <c r="X65" s="39"/>
      <c r="Y65" s="72" t="str">
        <f t="shared" si="43"/>
        <v/>
      </c>
      <c r="Z65" s="72" t="str">
        <f t="shared" si="44"/>
        <v/>
      </c>
      <c r="AA65" s="39"/>
      <c r="AB65" s="72" t="str">
        <f t="shared" si="45"/>
        <v/>
      </c>
      <c r="AC65" s="72" t="str">
        <f t="shared" si="46"/>
        <v/>
      </c>
      <c r="AD65" s="39"/>
      <c r="AE65" s="72" t="str">
        <f t="shared" si="47"/>
        <v/>
      </c>
      <c r="AF65" s="72" t="str">
        <f t="shared" si="48"/>
        <v/>
      </c>
      <c r="AG65" s="39"/>
      <c r="AH65" s="72" t="str">
        <f t="shared" si="49"/>
        <v/>
      </c>
      <c r="AI65" s="72" t="str">
        <f t="shared" si="50"/>
        <v/>
      </c>
      <c r="AJ65" s="39"/>
      <c r="AK65" s="72" t="str">
        <f t="shared" si="51"/>
        <v/>
      </c>
      <c r="AL65" s="72" t="str">
        <f t="shared" si="52"/>
        <v/>
      </c>
      <c r="AM65" s="39"/>
      <c r="AN65" s="72" t="str">
        <f t="shared" si="53"/>
        <v/>
      </c>
      <c r="AO65" s="72" t="str">
        <f t="shared" si="54"/>
        <v/>
      </c>
      <c r="AP65" s="39"/>
      <c r="AQ65" s="72" t="str">
        <f t="shared" si="55"/>
        <v/>
      </c>
      <c r="AR65" s="72" t="str">
        <f t="shared" si="56"/>
        <v/>
      </c>
      <c r="AS65" s="39"/>
      <c r="AT65" s="40"/>
      <c r="AU65" s="39"/>
      <c r="AV65" s="72" t="str">
        <f t="shared" si="57"/>
        <v/>
      </c>
      <c r="AW65" s="72" t="str">
        <f t="shared" si="58"/>
        <v/>
      </c>
      <c r="AX65" s="39"/>
      <c r="AY65" s="40"/>
      <c r="AZ65" s="39"/>
      <c r="BA65" s="42" t="str">
        <f t="shared" si="59"/>
        <v/>
      </c>
      <c r="BB65" s="72" t="str">
        <f t="shared" si="60"/>
        <v/>
      </c>
      <c r="BC65" s="39"/>
      <c r="BD65" s="72" t="str">
        <f t="shared" si="61"/>
        <v/>
      </c>
      <c r="BE65" s="72" t="str">
        <f t="shared" si="62"/>
        <v/>
      </c>
      <c r="BF65" s="39"/>
      <c r="BG65" s="42" t="str">
        <f t="shared" si="63"/>
        <v/>
      </c>
      <c r="BH65" s="72" t="str">
        <f t="shared" si="64"/>
        <v/>
      </c>
      <c r="BI65" s="39"/>
      <c r="BJ65" s="40" t="str">
        <f t="shared" si="65"/>
        <v/>
      </c>
      <c r="BK65" s="157" t="str">
        <f t="shared" si="66"/>
        <v/>
      </c>
      <c r="BL65" s="157" t="str">
        <f t="shared" si="67"/>
        <v/>
      </c>
      <c r="BM65" s="72"/>
      <c r="BN65" s="72" t="str">
        <f t="shared" si="68"/>
        <v/>
      </c>
      <c r="BO65" s="72" t="str">
        <f t="shared" si="69"/>
        <v/>
      </c>
      <c r="BP65" s="39"/>
      <c r="BQ65" s="72" t="str">
        <f t="shared" si="70"/>
        <v/>
      </c>
      <c r="BR65" s="72" t="str">
        <f t="shared" si="71"/>
        <v/>
      </c>
    </row>
    <row r="66" spans="2:70" x14ac:dyDescent="0.15">
      <c r="I66" s="322">
        <f t="shared" si="72"/>
        <v>2081</v>
      </c>
      <c r="K66" s="71">
        <f t="shared" si="73"/>
        <v>52</v>
      </c>
      <c r="M66" s="7">
        <f t="shared" si="38"/>
        <v>0.215012800254269</v>
      </c>
      <c r="O66" s="10" t="str">
        <f t="shared" si="74"/>
        <v/>
      </c>
      <c r="P66" s="29" t="str">
        <f t="shared" si="39"/>
        <v/>
      </c>
      <c r="R66" s="10" t="str">
        <f t="shared" si="75"/>
        <v/>
      </c>
      <c r="T66" s="10" t="str">
        <f t="shared" si="40"/>
        <v/>
      </c>
      <c r="V66" s="10" t="str">
        <f t="shared" si="41"/>
        <v/>
      </c>
      <c r="W66" s="10" t="str">
        <f t="shared" si="42"/>
        <v/>
      </c>
      <c r="Y66" s="10" t="str">
        <f t="shared" si="43"/>
        <v/>
      </c>
      <c r="Z66" s="10" t="str">
        <f t="shared" si="44"/>
        <v/>
      </c>
      <c r="AB66" s="10" t="str">
        <f t="shared" si="45"/>
        <v/>
      </c>
      <c r="AC66" s="10" t="str">
        <f t="shared" si="46"/>
        <v/>
      </c>
      <c r="AE66" s="10" t="str">
        <f t="shared" si="47"/>
        <v/>
      </c>
      <c r="AF66" s="10" t="str">
        <f t="shared" si="48"/>
        <v/>
      </c>
      <c r="AH66" s="10" t="str">
        <f t="shared" si="49"/>
        <v/>
      </c>
      <c r="AI66" s="10" t="str">
        <f t="shared" si="50"/>
        <v/>
      </c>
      <c r="AK66" s="10" t="str">
        <f t="shared" si="51"/>
        <v/>
      </c>
      <c r="AL66" s="10" t="str">
        <f t="shared" si="52"/>
        <v/>
      </c>
      <c r="AN66" s="10" t="str">
        <f t="shared" si="53"/>
        <v/>
      </c>
      <c r="AO66" s="10" t="str">
        <f t="shared" si="54"/>
        <v/>
      </c>
      <c r="AQ66" s="10" t="str">
        <f t="shared" si="55"/>
        <v/>
      </c>
      <c r="AR66" s="10" t="str">
        <f t="shared" si="56"/>
        <v/>
      </c>
      <c r="AT66" s="7"/>
      <c r="AV66" s="10" t="str">
        <f t="shared" si="57"/>
        <v/>
      </c>
      <c r="AW66" s="10" t="str">
        <f t="shared" si="58"/>
        <v/>
      </c>
      <c r="AY66" s="7"/>
      <c r="BA66" s="11" t="str">
        <f t="shared" si="59"/>
        <v/>
      </c>
      <c r="BB66" s="10" t="str">
        <f t="shared" si="60"/>
        <v/>
      </c>
      <c r="BD66" s="10" t="str">
        <f t="shared" si="61"/>
        <v/>
      </c>
      <c r="BE66" s="10" t="str">
        <f t="shared" si="62"/>
        <v/>
      </c>
      <c r="BG66" s="11" t="str">
        <f t="shared" si="63"/>
        <v/>
      </c>
      <c r="BH66" s="10" t="str">
        <f t="shared" si="64"/>
        <v/>
      </c>
      <c r="BJ66" s="7" t="str">
        <f t="shared" si="65"/>
        <v/>
      </c>
      <c r="BK66" s="158" t="str">
        <f t="shared" si="66"/>
        <v/>
      </c>
      <c r="BL66" s="158" t="str">
        <f t="shared" si="67"/>
        <v/>
      </c>
      <c r="BM66" s="10"/>
      <c r="BN66" s="10" t="str">
        <f t="shared" si="68"/>
        <v/>
      </c>
      <c r="BO66" s="10" t="str">
        <f t="shared" si="69"/>
        <v/>
      </c>
      <c r="BQ66" s="10" t="str">
        <f t="shared" si="70"/>
        <v/>
      </c>
      <c r="BR66" s="10" t="str">
        <f t="shared" si="71"/>
        <v/>
      </c>
    </row>
    <row r="67" spans="2:70" ht="15.75" thickBot="1" x14ac:dyDescent="0.2">
      <c r="B67" s="5" t="s">
        <v>133</v>
      </c>
      <c r="C67" s="3"/>
      <c r="D67" s="102"/>
      <c r="E67" s="102"/>
      <c r="F67" s="3"/>
      <c r="G67" s="102"/>
      <c r="I67" s="38">
        <f t="shared" si="72"/>
        <v>2082</v>
      </c>
      <c r="J67" s="39"/>
      <c r="K67" s="39">
        <f t="shared" si="73"/>
        <v>53</v>
      </c>
      <c r="L67" s="39"/>
      <c r="M67" s="40">
        <f t="shared" si="38"/>
        <v>0.20875029150899907</v>
      </c>
      <c r="N67" s="39"/>
      <c r="O67" s="72" t="str">
        <f t="shared" si="74"/>
        <v/>
      </c>
      <c r="P67" s="41" t="str">
        <f t="shared" si="39"/>
        <v/>
      </c>
      <c r="Q67" s="39"/>
      <c r="R67" s="72" t="str">
        <f t="shared" si="75"/>
        <v/>
      </c>
      <c r="S67" s="39"/>
      <c r="T67" s="72" t="str">
        <f t="shared" si="40"/>
        <v/>
      </c>
      <c r="U67" s="39"/>
      <c r="V67" s="72" t="str">
        <f t="shared" si="41"/>
        <v/>
      </c>
      <c r="W67" s="72" t="str">
        <f t="shared" si="42"/>
        <v/>
      </c>
      <c r="X67" s="39"/>
      <c r="Y67" s="72" t="str">
        <f t="shared" si="43"/>
        <v/>
      </c>
      <c r="Z67" s="72" t="str">
        <f t="shared" si="44"/>
        <v/>
      </c>
      <c r="AA67" s="39"/>
      <c r="AB67" s="72" t="str">
        <f t="shared" si="45"/>
        <v/>
      </c>
      <c r="AC67" s="72" t="str">
        <f t="shared" si="46"/>
        <v/>
      </c>
      <c r="AD67" s="39"/>
      <c r="AE67" s="72" t="str">
        <f t="shared" si="47"/>
        <v/>
      </c>
      <c r="AF67" s="72" t="str">
        <f t="shared" si="48"/>
        <v/>
      </c>
      <c r="AG67" s="39"/>
      <c r="AH67" s="72" t="str">
        <f t="shared" si="49"/>
        <v/>
      </c>
      <c r="AI67" s="72" t="str">
        <f t="shared" si="50"/>
        <v/>
      </c>
      <c r="AJ67" s="39"/>
      <c r="AK67" s="72" t="str">
        <f t="shared" si="51"/>
        <v/>
      </c>
      <c r="AL67" s="72" t="str">
        <f t="shared" si="52"/>
        <v/>
      </c>
      <c r="AM67" s="39"/>
      <c r="AN67" s="72" t="str">
        <f t="shared" si="53"/>
        <v/>
      </c>
      <c r="AO67" s="72" t="str">
        <f t="shared" si="54"/>
        <v/>
      </c>
      <c r="AP67" s="39"/>
      <c r="AQ67" s="72" t="str">
        <f t="shared" si="55"/>
        <v/>
      </c>
      <c r="AR67" s="72" t="str">
        <f t="shared" si="56"/>
        <v/>
      </c>
      <c r="AS67" s="39"/>
      <c r="AT67" s="40"/>
      <c r="AU67" s="39"/>
      <c r="AV67" s="72" t="str">
        <f t="shared" si="57"/>
        <v/>
      </c>
      <c r="AW67" s="72" t="str">
        <f t="shared" si="58"/>
        <v/>
      </c>
      <c r="AX67" s="39"/>
      <c r="AY67" s="40"/>
      <c r="AZ67" s="39"/>
      <c r="BA67" s="42" t="str">
        <f t="shared" si="59"/>
        <v/>
      </c>
      <c r="BB67" s="72" t="str">
        <f t="shared" si="60"/>
        <v/>
      </c>
      <c r="BC67" s="39"/>
      <c r="BD67" s="72" t="str">
        <f t="shared" si="61"/>
        <v/>
      </c>
      <c r="BE67" s="72" t="str">
        <f t="shared" si="62"/>
        <v/>
      </c>
      <c r="BF67" s="39"/>
      <c r="BG67" s="42" t="str">
        <f t="shared" si="63"/>
        <v/>
      </c>
      <c r="BH67" s="72" t="str">
        <f t="shared" si="64"/>
        <v/>
      </c>
      <c r="BI67" s="39"/>
      <c r="BJ67" s="40" t="str">
        <f t="shared" si="65"/>
        <v/>
      </c>
      <c r="BK67" s="157" t="str">
        <f t="shared" si="66"/>
        <v/>
      </c>
      <c r="BL67" s="157" t="str">
        <f t="shared" si="67"/>
        <v/>
      </c>
      <c r="BM67" s="72"/>
      <c r="BN67" s="72" t="str">
        <f t="shared" si="68"/>
        <v/>
      </c>
      <c r="BO67" s="72" t="str">
        <f t="shared" si="69"/>
        <v/>
      </c>
      <c r="BP67" s="39"/>
      <c r="BQ67" s="72" t="str">
        <f t="shared" si="70"/>
        <v/>
      </c>
      <c r="BR67" s="72" t="str">
        <f t="shared" si="71"/>
        <v/>
      </c>
    </row>
    <row r="68" spans="2:70" x14ac:dyDescent="0.15">
      <c r="I68" s="322">
        <f t="shared" si="72"/>
        <v>2083</v>
      </c>
      <c r="K68" s="71">
        <f t="shared" si="73"/>
        <v>54</v>
      </c>
      <c r="M68" s="7">
        <f t="shared" si="38"/>
        <v>0.20267018593106703</v>
      </c>
      <c r="O68" s="10" t="str">
        <f t="shared" si="74"/>
        <v/>
      </c>
      <c r="P68" s="29" t="str">
        <f t="shared" si="39"/>
        <v/>
      </c>
      <c r="R68" s="10" t="str">
        <f t="shared" si="75"/>
        <v/>
      </c>
      <c r="T68" s="10" t="str">
        <f t="shared" si="40"/>
        <v/>
      </c>
      <c r="V68" s="10" t="str">
        <f t="shared" si="41"/>
        <v/>
      </c>
      <c r="W68" s="10" t="str">
        <f t="shared" si="42"/>
        <v/>
      </c>
      <c r="Y68" s="10" t="str">
        <f t="shared" si="43"/>
        <v/>
      </c>
      <c r="Z68" s="10" t="str">
        <f t="shared" si="44"/>
        <v/>
      </c>
      <c r="AB68" s="10" t="str">
        <f t="shared" si="45"/>
        <v/>
      </c>
      <c r="AC68" s="10" t="str">
        <f t="shared" si="46"/>
        <v/>
      </c>
      <c r="AE68" s="10" t="str">
        <f t="shared" si="47"/>
        <v/>
      </c>
      <c r="AF68" s="10" t="str">
        <f t="shared" si="48"/>
        <v/>
      </c>
      <c r="AH68" s="10" t="str">
        <f t="shared" si="49"/>
        <v/>
      </c>
      <c r="AI68" s="10" t="str">
        <f t="shared" si="50"/>
        <v/>
      </c>
      <c r="AK68" s="10" t="str">
        <f t="shared" si="51"/>
        <v/>
      </c>
      <c r="AL68" s="10" t="str">
        <f t="shared" si="52"/>
        <v/>
      </c>
      <c r="AN68" s="10" t="str">
        <f t="shared" si="53"/>
        <v/>
      </c>
      <c r="AO68" s="10" t="str">
        <f t="shared" si="54"/>
        <v/>
      </c>
      <c r="AQ68" s="10" t="str">
        <f t="shared" si="55"/>
        <v/>
      </c>
      <c r="AR68" s="10" t="str">
        <f t="shared" si="56"/>
        <v/>
      </c>
      <c r="AT68" s="7"/>
      <c r="AV68" s="10" t="str">
        <f t="shared" si="57"/>
        <v/>
      </c>
      <c r="AW68" s="10" t="str">
        <f t="shared" si="58"/>
        <v/>
      </c>
      <c r="AY68" s="7"/>
      <c r="BA68" s="11" t="str">
        <f t="shared" si="59"/>
        <v/>
      </c>
      <c r="BB68" s="10" t="str">
        <f t="shared" si="60"/>
        <v/>
      </c>
      <c r="BD68" s="10" t="str">
        <f t="shared" si="61"/>
        <v/>
      </c>
      <c r="BE68" s="10" t="str">
        <f t="shared" si="62"/>
        <v/>
      </c>
      <c r="BG68" s="11" t="str">
        <f t="shared" si="63"/>
        <v/>
      </c>
      <c r="BH68" s="10" t="str">
        <f t="shared" si="64"/>
        <v/>
      </c>
      <c r="BJ68" s="7" t="str">
        <f t="shared" si="65"/>
        <v/>
      </c>
      <c r="BK68" s="158" t="str">
        <f t="shared" si="66"/>
        <v/>
      </c>
      <c r="BL68" s="158" t="str">
        <f t="shared" si="67"/>
        <v/>
      </c>
      <c r="BM68" s="10"/>
      <c r="BN68" s="10" t="str">
        <f t="shared" si="68"/>
        <v/>
      </c>
      <c r="BO68" s="10" t="str">
        <f t="shared" si="69"/>
        <v/>
      </c>
      <c r="BQ68" s="10" t="str">
        <f t="shared" si="70"/>
        <v/>
      </c>
      <c r="BR68" s="10" t="str">
        <f t="shared" si="71"/>
        <v/>
      </c>
    </row>
    <row r="69" spans="2:70" x14ac:dyDescent="0.15">
      <c r="C69" s="483" t="s">
        <v>134</v>
      </c>
      <c r="D69" s="71"/>
      <c r="E69" s="71"/>
      <c r="F69" s="484">
        <f>SUBTOTAL(9,F74:F112)-F105</f>
        <v>13.903015722733475</v>
      </c>
      <c r="G69" s="71" t="s">
        <v>590</v>
      </c>
      <c r="I69" s="38">
        <f t="shared" si="72"/>
        <v>2084</v>
      </c>
      <c r="J69" s="39"/>
      <c r="K69" s="39">
        <f t="shared" si="73"/>
        <v>55</v>
      </c>
      <c r="L69" s="39"/>
      <c r="M69" s="40">
        <f t="shared" si="38"/>
        <v>0.19676717080686118</v>
      </c>
      <c r="N69" s="39"/>
      <c r="O69" s="72" t="str">
        <f t="shared" si="74"/>
        <v/>
      </c>
      <c r="P69" s="41" t="str">
        <f t="shared" si="39"/>
        <v/>
      </c>
      <c r="Q69" s="39"/>
      <c r="R69" s="72" t="str">
        <f t="shared" si="75"/>
        <v/>
      </c>
      <c r="S69" s="39"/>
      <c r="T69" s="72" t="str">
        <f t="shared" si="40"/>
        <v/>
      </c>
      <c r="U69" s="39"/>
      <c r="V69" s="72" t="str">
        <f t="shared" si="41"/>
        <v/>
      </c>
      <c r="W69" s="72" t="str">
        <f t="shared" si="42"/>
        <v/>
      </c>
      <c r="X69" s="39"/>
      <c r="Y69" s="72" t="str">
        <f t="shared" si="43"/>
        <v/>
      </c>
      <c r="Z69" s="72" t="str">
        <f t="shared" si="44"/>
        <v/>
      </c>
      <c r="AA69" s="39"/>
      <c r="AB69" s="72" t="str">
        <f t="shared" si="45"/>
        <v/>
      </c>
      <c r="AC69" s="72" t="str">
        <f t="shared" si="46"/>
        <v/>
      </c>
      <c r="AD69" s="39"/>
      <c r="AE69" s="72" t="str">
        <f t="shared" si="47"/>
        <v/>
      </c>
      <c r="AF69" s="72" t="str">
        <f t="shared" si="48"/>
        <v/>
      </c>
      <c r="AG69" s="39"/>
      <c r="AH69" s="72" t="str">
        <f t="shared" si="49"/>
        <v/>
      </c>
      <c r="AI69" s="72" t="str">
        <f t="shared" si="50"/>
        <v/>
      </c>
      <c r="AJ69" s="39"/>
      <c r="AK69" s="72" t="str">
        <f t="shared" si="51"/>
        <v/>
      </c>
      <c r="AL69" s="72" t="str">
        <f t="shared" si="52"/>
        <v/>
      </c>
      <c r="AM69" s="39"/>
      <c r="AN69" s="72" t="str">
        <f t="shared" si="53"/>
        <v/>
      </c>
      <c r="AO69" s="72" t="str">
        <f t="shared" si="54"/>
        <v/>
      </c>
      <c r="AP69" s="39"/>
      <c r="AQ69" s="72" t="str">
        <f t="shared" si="55"/>
        <v/>
      </c>
      <c r="AR69" s="72" t="str">
        <f t="shared" si="56"/>
        <v/>
      </c>
      <c r="AS69" s="39"/>
      <c r="AT69" s="40"/>
      <c r="AU69" s="39"/>
      <c r="AV69" s="72" t="str">
        <f t="shared" si="57"/>
        <v/>
      </c>
      <c r="AW69" s="72" t="str">
        <f t="shared" si="58"/>
        <v/>
      </c>
      <c r="AX69" s="39"/>
      <c r="AY69" s="40"/>
      <c r="AZ69" s="39"/>
      <c r="BA69" s="42" t="str">
        <f t="shared" si="59"/>
        <v/>
      </c>
      <c r="BB69" s="72" t="str">
        <f t="shared" si="60"/>
        <v/>
      </c>
      <c r="BC69" s="39"/>
      <c r="BD69" s="72" t="str">
        <f t="shared" si="61"/>
        <v/>
      </c>
      <c r="BE69" s="72" t="str">
        <f t="shared" si="62"/>
        <v/>
      </c>
      <c r="BF69" s="39"/>
      <c r="BG69" s="42" t="str">
        <f t="shared" si="63"/>
        <v/>
      </c>
      <c r="BH69" s="72" t="str">
        <f t="shared" si="64"/>
        <v/>
      </c>
      <c r="BI69" s="39"/>
      <c r="BJ69" s="40" t="str">
        <f t="shared" si="65"/>
        <v/>
      </c>
      <c r="BK69" s="157" t="str">
        <f t="shared" si="66"/>
        <v/>
      </c>
      <c r="BL69" s="157" t="str">
        <f t="shared" si="67"/>
        <v/>
      </c>
      <c r="BM69" s="72"/>
      <c r="BN69" s="72" t="str">
        <f t="shared" si="68"/>
        <v/>
      </c>
      <c r="BO69" s="72" t="str">
        <f t="shared" si="69"/>
        <v/>
      </c>
      <c r="BP69" s="39"/>
      <c r="BQ69" s="72" t="str">
        <f t="shared" si="70"/>
        <v/>
      </c>
      <c r="BR69" s="72" t="str">
        <f t="shared" si="71"/>
        <v/>
      </c>
    </row>
    <row r="70" spans="2:70" x14ac:dyDescent="0.15">
      <c r="C70" s="483" t="s">
        <v>135</v>
      </c>
      <c r="D70" s="71"/>
      <c r="E70" s="71"/>
      <c r="F70" s="484">
        <f>SUBTOTAL(9,F74:F112)</f>
        <v>13.973015722733475</v>
      </c>
      <c r="G70" s="71" t="s">
        <v>590</v>
      </c>
      <c r="I70" s="322">
        <f t="shared" si="72"/>
        <v>2085</v>
      </c>
      <c r="K70" s="71">
        <f t="shared" si="73"/>
        <v>56</v>
      </c>
      <c r="M70" s="7">
        <f t="shared" si="38"/>
        <v>0.19103608816200118</v>
      </c>
      <c r="O70" s="10" t="str">
        <f t="shared" si="74"/>
        <v/>
      </c>
      <c r="P70" s="29" t="str">
        <f t="shared" si="39"/>
        <v/>
      </c>
      <c r="R70" s="10" t="str">
        <f t="shared" si="75"/>
        <v/>
      </c>
      <c r="T70" s="10" t="str">
        <f t="shared" si="40"/>
        <v/>
      </c>
      <c r="V70" s="10" t="str">
        <f t="shared" si="41"/>
        <v/>
      </c>
      <c r="W70" s="10" t="str">
        <f t="shared" si="42"/>
        <v/>
      </c>
      <c r="Y70" s="10" t="str">
        <f t="shared" si="43"/>
        <v/>
      </c>
      <c r="Z70" s="10" t="str">
        <f t="shared" si="44"/>
        <v/>
      </c>
      <c r="AB70" s="10" t="str">
        <f t="shared" si="45"/>
        <v/>
      </c>
      <c r="AC70" s="10" t="str">
        <f t="shared" si="46"/>
        <v/>
      </c>
      <c r="AE70" s="10" t="str">
        <f t="shared" si="47"/>
        <v/>
      </c>
      <c r="AF70" s="10" t="str">
        <f t="shared" si="48"/>
        <v/>
      </c>
      <c r="AH70" s="10" t="str">
        <f t="shared" si="49"/>
        <v/>
      </c>
      <c r="AI70" s="10" t="str">
        <f t="shared" si="50"/>
        <v/>
      </c>
      <c r="AK70" s="10" t="str">
        <f t="shared" si="51"/>
        <v/>
      </c>
      <c r="AL70" s="10" t="str">
        <f t="shared" si="52"/>
        <v/>
      </c>
      <c r="AN70" s="10" t="str">
        <f t="shared" si="53"/>
        <v/>
      </c>
      <c r="AO70" s="10" t="str">
        <f t="shared" si="54"/>
        <v/>
      </c>
      <c r="AQ70" s="10" t="str">
        <f t="shared" si="55"/>
        <v/>
      </c>
      <c r="AR70" s="10" t="str">
        <f t="shared" si="56"/>
        <v/>
      </c>
      <c r="AT70" s="7"/>
      <c r="AV70" s="10" t="str">
        <f t="shared" si="57"/>
        <v/>
      </c>
      <c r="AW70" s="10" t="str">
        <f t="shared" si="58"/>
        <v/>
      </c>
      <c r="AY70" s="7"/>
      <c r="BA70" s="11" t="str">
        <f t="shared" si="59"/>
        <v/>
      </c>
      <c r="BB70" s="10" t="str">
        <f t="shared" si="60"/>
        <v/>
      </c>
      <c r="BD70" s="10" t="str">
        <f t="shared" si="61"/>
        <v/>
      </c>
      <c r="BE70" s="10" t="str">
        <f t="shared" si="62"/>
        <v/>
      </c>
      <c r="BG70" s="11" t="str">
        <f t="shared" si="63"/>
        <v/>
      </c>
      <c r="BH70" s="10" t="str">
        <f t="shared" si="64"/>
        <v/>
      </c>
      <c r="BJ70" s="7" t="str">
        <f t="shared" si="65"/>
        <v/>
      </c>
      <c r="BK70" s="158" t="str">
        <f t="shared" si="66"/>
        <v/>
      </c>
      <c r="BL70" s="158" t="str">
        <f t="shared" si="67"/>
        <v/>
      </c>
      <c r="BM70" s="10"/>
      <c r="BN70" s="10" t="str">
        <f t="shared" si="68"/>
        <v/>
      </c>
      <c r="BO70" s="10" t="str">
        <f t="shared" si="69"/>
        <v/>
      </c>
      <c r="BQ70" s="10" t="str">
        <f t="shared" si="70"/>
        <v/>
      </c>
      <c r="BR70" s="10" t="str">
        <f t="shared" si="71"/>
        <v/>
      </c>
    </row>
    <row r="71" spans="2:70" x14ac:dyDescent="0.15">
      <c r="F71" s="485"/>
      <c r="I71" s="38">
        <f t="shared" si="72"/>
        <v>2086</v>
      </c>
      <c r="J71" s="39"/>
      <c r="K71" s="39">
        <f t="shared" si="73"/>
        <v>57</v>
      </c>
      <c r="L71" s="39"/>
      <c r="M71" s="40">
        <f t="shared" si="38"/>
        <v>0.18547193025437006</v>
      </c>
      <c r="N71" s="39"/>
      <c r="O71" s="72" t="str">
        <f t="shared" si="74"/>
        <v/>
      </c>
      <c r="P71" s="41" t="str">
        <f t="shared" si="39"/>
        <v/>
      </c>
      <c r="Q71" s="39"/>
      <c r="R71" s="72" t="str">
        <f t="shared" si="75"/>
        <v/>
      </c>
      <c r="S71" s="39"/>
      <c r="T71" s="72" t="str">
        <f t="shared" si="40"/>
        <v/>
      </c>
      <c r="U71" s="39"/>
      <c r="V71" s="72" t="str">
        <f t="shared" si="41"/>
        <v/>
      </c>
      <c r="W71" s="72" t="str">
        <f t="shared" si="42"/>
        <v/>
      </c>
      <c r="X71" s="39"/>
      <c r="Y71" s="72" t="str">
        <f t="shared" si="43"/>
        <v/>
      </c>
      <c r="Z71" s="72" t="str">
        <f t="shared" si="44"/>
        <v/>
      </c>
      <c r="AA71" s="39"/>
      <c r="AB71" s="72" t="str">
        <f t="shared" si="45"/>
        <v/>
      </c>
      <c r="AC71" s="72" t="str">
        <f t="shared" si="46"/>
        <v/>
      </c>
      <c r="AD71" s="39"/>
      <c r="AE71" s="72" t="str">
        <f t="shared" si="47"/>
        <v/>
      </c>
      <c r="AF71" s="72" t="str">
        <f t="shared" si="48"/>
        <v/>
      </c>
      <c r="AG71" s="39"/>
      <c r="AH71" s="72" t="str">
        <f t="shared" si="49"/>
        <v/>
      </c>
      <c r="AI71" s="72" t="str">
        <f t="shared" si="50"/>
        <v/>
      </c>
      <c r="AJ71" s="39"/>
      <c r="AK71" s="72" t="str">
        <f t="shared" si="51"/>
        <v/>
      </c>
      <c r="AL71" s="72" t="str">
        <f t="shared" si="52"/>
        <v/>
      </c>
      <c r="AM71" s="39"/>
      <c r="AN71" s="72" t="str">
        <f t="shared" si="53"/>
        <v/>
      </c>
      <c r="AO71" s="72" t="str">
        <f t="shared" si="54"/>
        <v/>
      </c>
      <c r="AP71" s="39"/>
      <c r="AQ71" s="72" t="str">
        <f t="shared" si="55"/>
        <v/>
      </c>
      <c r="AR71" s="72" t="str">
        <f t="shared" si="56"/>
        <v/>
      </c>
      <c r="AS71" s="39"/>
      <c r="AT71" s="40"/>
      <c r="AU71" s="39"/>
      <c r="AV71" s="72" t="str">
        <f t="shared" si="57"/>
        <v/>
      </c>
      <c r="AW71" s="72" t="str">
        <f t="shared" si="58"/>
        <v/>
      </c>
      <c r="AX71" s="39"/>
      <c r="AY71" s="40"/>
      <c r="AZ71" s="39"/>
      <c r="BA71" s="42" t="str">
        <f t="shared" si="59"/>
        <v/>
      </c>
      <c r="BB71" s="72" t="str">
        <f t="shared" si="60"/>
        <v/>
      </c>
      <c r="BC71" s="39"/>
      <c r="BD71" s="72" t="str">
        <f t="shared" si="61"/>
        <v/>
      </c>
      <c r="BE71" s="72" t="str">
        <f t="shared" si="62"/>
        <v/>
      </c>
      <c r="BF71" s="39"/>
      <c r="BG71" s="42" t="str">
        <f t="shared" si="63"/>
        <v/>
      </c>
      <c r="BH71" s="72" t="str">
        <f t="shared" si="64"/>
        <v/>
      </c>
      <c r="BI71" s="39"/>
      <c r="BJ71" s="40" t="str">
        <f t="shared" si="65"/>
        <v/>
      </c>
      <c r="BK71" s="157" t="str">
        <f t="shared" si="66"/>
        <v/>
      </c>
      <c r="BL71" s="157" t="str">
        <f t="shared" si="67"/>
        <v/>
      </c>
      <c r="BM71" s="72"/>
      <c r="BN71" s="72" t="str">
        <f t="shared" si="68"/>
        <v/>
      </c>
      <c r="BO71" s="72" t="str">
        <f t="shared" si="69"/>
        <v/>
      </c>
      <c r="BP71" s="39"/>
      <c r="BQ71" s="72" t="str">
        <f t="shared" si="70"/>
        <v/>
      </c>
      <c r="BR71" s="72" t="str">
        <f t="shared" si="71"/>
        <v/>
      </c>
    </row>
    <row r="72" spans="2:70" x14ac:dyDescent="0.15">
      <c r="C72" s="4" t="s">
        <v>136</v>
      </c>
      <c r="D72" s="100"/>
      <c r="E72" s="100"/>
      <c r="F72" s="486"/>
      <c r="G72" s="100"/>
      <c r="I72" s="322">
        <f t="shared" si="72"/>
        <v>2087</v>
      </c>
      <c r="K72" s="71">
        <f t="shared" si="73"/>
        <v>58</v>
      </c>
      <c r="M72" s="7">
        <f t="shared" si="38"/>
        <v>0.18006983519841754</v>
      </c>
      <c r="O72" s="10" t="str">
        <f t="shared" si="74"/>
        <v/>
      </c>
      <c r="P72" s="29" t="str">
        <f t="shared" si="39"/>
        <v/>
      </c>
      <c r="R72" s="10" t="str">
        <f t="shared" si="75"/>
        <v/>
      </c>
      <c r="T72" s="10" t="str">
        <f t="shared" si="40"/>
        <v/>
      </c>
      <c r="V72" s="10" t="str">
        <f t="shared" si="41"/>
        <v/>
      </c>
      <c r="W72" s="10" t="str">
        <f t="shared" si="42"/>
        <v/>
      </c>
      <c r="Y72" s="10" t="str">
        <f t="shared" si="43"/>
        <v/>
      </c>
      <c r="Z72" s="10" t="str">
        <f t="shared" si="44"/>
        <v/>
      </c>
      <c r="AB72" s="10" t="str">
        <f t="shared" si="45"/>
        <v/>
      </c>
      <c r="AC72" s="10" t="str">
        <f t="shared" si="46"/>
        <v/>
      </c>
      <c r="AE72" s="10" t="str">
        <f t="shared" si="47"/>
        <v/>
      </c>
      <c r="AF72" s="10" t="str">
        <f t="shared" si="48"/>
        <v/>
      </c>
      <c r="AH72" s="10" t="str">
        <f t="shared" si="49"/>
        <v/>
      </c>
      <c r="AI72" s="10" t="str">
        <f t="shared" si="50"/>
        <v/>
      </c>
      <c r="AK72" s="10" t="str">
        <f t="shared" si="51"/>
        <v/>
      </c>
      <c r="AL72" s="10" t="str">
        <f t="shared" si="52"/>
        <v/>
      </c>
      <c r="AN72" s="10" t="str">
        <f t="shared" si="53"/>
        <v/>
      </c>
      <c r="AO72" s="10" t="str">
        <f t="shared" si="54"/>
        <v/>
      </c>
      <c r="AQ72" s="10" t="str">
        <f t="shared" si="55"/>
        <v/>
      </c>
      <c r="AR72" s="10" t="str">
        <f t="shared" si="56"/>
        <v/>
      </c>
      <c r="AT72" s="7"/>
      <c r="AV72" s="10" t="str">
        <f t="shared" si="57"/>
        <v/>
      </c>
      <c r="AW72" s="10" t="str">
        <f t="shared" si="58"/>
        <v/>
      </c>
      <c r="AY72" s="7"/>
      <c r="BA72" s="11" t="str">
        <f t="shared" si="59"/>
        <v/>
      </c>
      <c r="BB72" s="10" t="str">
        <f t="shared" si="60"/>
        <v/>
      </c>
      <c r="BD72" s="10" t="str">
        <f t="shared" si="61"/>
        <v/>
      </c>
      <c r="BE72" s="10" t="str">
        <f t="shared" si="62"/>
        <v/>
      </c>
      <c r="BG72" s="11" t="str">
        <f t="shared" si="63"/>
        <v/>
      </c>
      <c r="BH72" s="10" t="str">
        <f t="shared" si="64"/>
        <v/>
      </c>
      <c r="BJ72" s="7" t="str">
        <f t="shared" si="65"/>
        <v/>
      </c>
      <c r="BK72" s="158" t="str">
        <f t="shared" si="66"/>
        <v/>
      </c>
      <c r="BL72" s="158" t="str">
        <f t="shared" si="67"/>
        <v/>
      </c>
      <c r="BM72" s="10"/>
      <c r="BN72" s="10" t="str">
        <f t="shared" si="68"/>
        <v/>
      </c>
      <c r="BO72" s="10" t="str">
        <f t="shared" si="69"/>
        <v/>
      </c>
      <c r="BQ72" s="10" t="str">
        <f t="shared" si="70"/>
        <v/>
      </c>
      <c r="BR72" s="10" t="str">
        <f t="shared" si="71"/>
        <v/>
      </c>
    </row>
    <row r="73" spans="2:70" x14ac:dyDescent="0.15">
      <c r="F73" s="487"/>
      <c r="I73" s="38">
        <f t="shared" si="72"/>
        <v>2088</v>
      </c>
      <c r="J73" s="39"/>
      <c r="K73" s="39">
        <f t="shared" si="73"/>
        <v>59</v>
      </c>
      <c r="L73" s="39"/>
      <c r="M73" s="40">
        <f t="shared" si="38"/>
        <v>0.17482508271691022</v>
      </c>
      <c r="N73" s="39"/>
      <c r="O73" s="72" t="str">
        <f t="shared" si="74"/>
        <v/>
      </c>
      <c r="P73" s="41" t="str">
        <f t="shared" si="39"/>
        <v/>
      </c>
      <c r="Q73" s="39"/>
      <c r="R73" s="72" t="str">
        <f t="shared" si="75"/>
        <v/>
      </c>
      <c r="S73" s="39"/>
      <c r="T73" s="72" t="str">
        <f t="shared" si="40"/>
        <v/>
      </c>
      <c r="U73" s="39"/>
      <c r="V73" s="72" t="str">
        <f t="shared" si="41"/>
        <v/>
      </c>
      <c r="W73" s="72" t="str">
        <f t="shared" si="42"/>
        <v/>
      </c>
      <c r="X73" s="39"/>
      <c r="Y73" s="72" t="str">
        <f t="shared" si="43"/>
        <v/>
      </c>
      <c r="Z73" s="72" t="str">
        <f t="shared" si="44"/>
        <v/>
      </c>
      <c r="AA73" s="39"/>
      <c r="AB73" s="72" t="str">
        <f t="shared" si="45"/>
        <v/>
      </c>
      <c r="AC73" s="72" t="str">
        <f t="shared" si="46"/>
        <v/>
      </c>
      <c r="AD73" s="39"/>
      <c r="AE73" s="72" t="str">
        <f t="shared" si="47"/>
        <v/>
      </c>
      <c r="AF73" s="72" t="str">
        <f t="shared" si="48"/>
        <v/>
      </c>
      <c r="AG73" s="39"/>
      <c r="AH73" s="72" t="str">
        <f t="shared" si="49"/>
        <v/>
      </c>
      <c r="AI73" s="72" t="str">
        <f t="shared" si="50"/>
        <v/>
      </c>
      <c r="AJ73" s="39"/>
      <c r="AK73" s="72" t="str">
        <f t="shared" si="51"/>
        <v/>
      </c>
      <c r="AL73" s="72" t="str">
        <f t="shared" si="52"/>
        <v/>
      </c>
      <c r="AM73" s="39"/>
      <c r="AN73" s="72" t="str">
        <f t="shared" si="53"/>
        <v/>
      </c>
      <c r="AO73" s="72" t="str">
        <f t="shared" si="54"/>
        <v/>
      </c>
      <c r="AP73" s="39"/>
      <c r="AQ73" s="72" t="str">
        <f t="shared" si="55"/>
        <v/>
      </c>
      <c r="AR73" s="72" t="str">
        <f t="shared" si="56"/>
        <v/>
      </c>
      <c r="AS73" s="39"/>
      <c r="AT73" s="40"/>
      <c r="AU73" s="39"/>
      <c r="AV73" s="72" t="str">
        <f t="shared" si="57"/>
        <v/>
      </c>
      <c r="AW73" s="72" t="str">
        <f t="shared" si="58"/>
        <v/>
      </c>
      <c r="AX73" s="39"/>
      <c r="AY73" s="40"/>
      <c r="AZ73" s="39"/>
      <c r="BA73" s="42" t="str">
        <f t="shared" si="59"/>
        <v/>
      </c>
      <c r="BB73" s="72" t="str">
        <f t="shared" si="60"/>
        <v/>
      </c>
      <c r="BC73" s="39"/>
      <c r="BD73" s="72" t="str">
        <f t="shared" si="61"/>
        <v/>
      </c>
      <c r="BE73" s="72" t="str">
        <f t="shared" si="62"/>
        <v/>
      </c>
      <c r="BF73" s="39"/>
      <c r="BG73" s="42" t="str">
        <f t="shared" si="63"/>
        <v/>
      </c>
      <c r="BH73" s="72" t="str">
        <f t="shared" si="64"/>
        <v/>
      </c>
      <c r="BI73" s="39"/>
      <c r="BJ73" s="40" t="str">
        <f t="shared" si="65"/>
        <v/>
      </c>
      <c r="BK73" s="157" t="str">
        <f t="shared" si="66"/>
        <v/>
      </c>
      <c r="BL73" s="157" t="str">
        <f t="shared" si="67"/>
        <v/>
      </c>
      <c r="BM73" s="72"/>
      <c r="BN73" s="72" t="str">
        <f t="shared" si="68"/>
        <v/>
      </c>
      <c r="BO73" s="72" t="str">
        <f t="shared" si="69"/>
        <v/>
      </c>
      <c r="BP73" s="39"/>
      <c r="BQ73" s="72" t="str">
        <f t="shared" si="70"/>
        <v/>
      </c>
      <c r="BR73" s="72" t="str">
        <f t="shared" si="71"/>
        <v/>
      </c>
    </row>
    <row r="74" spans="2:70" ht="15" x14ac:dyDescent="0.15">
      <c r="D74" s="103" t="s">
        <v>591</v>
      </c>
      <c r="F74" s="484">
        <f>SUBTOTAL(9,F78:F81)</f>
        <v>2.9178559464912608</v>
      </c>
      <c r="G74" s="84" t="s">
        <v>590</v>
      </c>
      <c r="I74" s="322">
        <f t="shared" si="72"/>
        <v>2089</v>
      </c>
      <c r="K74" s="71">
        <f t="shared" si="73"/>
        <v>60</v>
      </c>
      <c r="M74" s="7">
        <f t="shared" si="38"/>
        <v>0.1697330900164177</v>
      </c>
      <c r="O74" s="10" t="str">
        <f t="shared" si="74"/>
        <v/>
      </c>
      <c r="P74" s="29" t="str">
        <f t="shared" si="39"/>
        <v/>
      </c>
      <c r="R74" s="10" t="str">
        <f t="shared" si="75"/>
        <v/>
      </c>
      <c r="T74" s="10" t="str">
        <f t="shared" si="40"/>
        <v/>
      </c>
      <c r="V74" s="10" t="str">
        <f t="shared" si="41"/>
        <v/>
      </c>
      <c r="W74" s="10" t="str">
        <f t="shared" si="42"/>
        <v/>
      </c>
      <c r="Y74" s="10" t="str">
        <f t="shared" si="43"/>
        <v/>
      </c>
      <c r="Z74" s="10" t="str">
        <f t="shared" si="44"/>
        <v/>
      </c>
      <c r="AB74" s="10" t="str">
        <f t="shared" si="45"/>
        <v/>
      </c>
      <c r="AC74" s="10" t="str">
        <f t="shared" si="46"/>
        <v/>
      </c>
      <c r="AE74" s="10" t="str">
        <f t="shared" si="47"/>
        <v/>
      </c>
      <c r="AF74" s="10" t="str">
        <f t="shared" si="48"/>
        <v/>
      </c>
      <c r="AH74" s="10" t="str">
        <f t="shared" si="49"/>
        <v/>
      </c>
      <c r="AI74" s="10" t="str">
        <f t="shared" si="50"/>
        <v/>
      </c>
      <c r="AK74" s="10" t="str">
        <f t="shared" si="51"/>
        <v/>
      </c>
      <c r="AL74" s="10" t="str">
        <f t="shared" si="52"/>
        <v/>
      </c>
      <c r="AN74" s="10" t="str">
        <f t="shared" si="53"/>
        <v/>
      </c>
      <c r="AO74" s="10" t="str">
        <f t="shared" si="54"/>
        <v/>
      </c>
      <c r="AQ74" s="10" t="str">
        <f t="shared" si="55"/>
        <v/>
      </c>
      <c r="AR74" s="10" t="str">
        <f t="shared" si="56"/>
        <v/>
      </c>
      <c r="AT74" s="7"/>
      <c r="AV74" s="10" t="str">
        <f t="shared" si="57"/>
        <v/>
      </c>
      <c r="AW74" s="10" t="str">
        <f t="shared" si="58"/>
        <v/>
      </c>
      <c r="AY74" s="7"/>
      <c r="BA74" s="11" t="str">
        <f t="shared" si="59"/>
        <v/>
      </c>
      <c r="BB74" s="10" t="str">
        <f t="shared" si="60"/>
        <v/>
      </c>
      <c r="BD74" s="10" t="str">
        <f t="shared" si="61"/>
        <v/>
      </c>
      <c r="BE74" s="10" t="str">
        <f t="shared" si="62"/>
        <v/>
      </c>
      <c r="BG74" s="11" t="str">
        <f t="shared" si="63"/>
        <v/>
      </c>
      <c r="BH74" s="10" t="str">
        <f t="shared" si="64"/>
        <v/>
      </c>
      <c r="BJ74" s="7" t="str">
        <f t="shared" si="65"/>
        <v/>
      </c>
      <c r="BK74" s="158" t="str">
        <f t="shared" si="66"/>
        <v/>
      </c>
      <c r="BL74" s="158" t="str">
        <f t="shared" si="67"/>
        <v/>
      </c>
      <c r="BM74" s="10"/>
      <c r="BN74" s="10" t="str">
        <f t="shared" si="68"/>
        <v/>
      </c>
      <c r="BO74" s="10" t="str">
        <f t="shared" si="69"/>
        <v/>
      </c>
      <c r="BQ74" s="10" t="str">
        <f t="shared" si="70"/>
        <v/>
      </c>
      <c r="BR74" s="10" t="str">
        <f t="shared" si="71"/>
        <v/>
      </c>
    </row>
    <row r="75" spans="2:70" x14ac:dyDescent="0.15">
      <c r="F75" s="487"/>
      <c r="I75" s="38">
        <f t="shared" si="72"/>
        <v>2090</v>
      </c>
      <c r="J75" s="39"/>
      <c r="K75" s="39">
        <f t="shared" si="73"/>
        <v>61</v>
      </c>
      <c r="L75" s="39"/>
      <c r="M75" s="40">
        <f t="shared" si="38"/>
        <v>0.16478940778292983</v>
      </c>
      <c r="N75" s="39"/>
      <c r="O75" s="72" t="str">
        <f t="shared" si="74"/>
        <v/>
      </c>
      <c r="P75" s="41" t="str">
        <f t="shared" si="39"/>
        <v/>
      </c>
      <c r="Q75" s="39"/>
      <c r="R75" s="72" t="str">
        <f t="shared" si="75"/>
        <v/>
      </c>
      <c r="S75" s="39"/>
      <c r="T75" s="72" t="str">
        <f t="shared" si="40"/>
        <v/>
      </c>
      <c r="U75" s="39"/>
      <c r="V75" s="72" t="str">
        <f t="shared" si="41"/>
        <v/>
      </c>
      <c r="W75" s="72" t="str">
        <f t="shared" si="42"/>
        <v/>
      </c>
      <c r="X75" s="39"/>
      <c r="Y75" s="72" t="str">
        <f t="shared" si="43"/>
        <v/>
      </c>
      <c r="Z75" s="72" t="str">
        <f t="shared" si="44"/>
        <v/>
      </c>
      <c r="AA75" s="39"/>
      <c r="AB75" s="72" t="str">
        <f t="shared" si="45"/>
        <v/>
      </c>
      <c r="AC75" s="72" t="str">
        <f t="shared" si="46"/>
        <v/>
      </c>
      <c r="AD75" s="39"/>
      <c r="AE75" s="72" t="str">
        <f t="shared" si="47"/>
        <v/>
      </c>
      <c r="AF75" s="72" t="str">
        <f t="shared" si="48"/>
        <v/>
      </c>
      <c r="AG75" s="39"/>
      <c r="AH75" s="72" t="str">
        <f t="shared" si="49"/>
        <v/>
      </c>
      <c r="AI75" s="72" t="str">
        <f t="shared" si="50"/>
        <v/>
      </c>
      <c r="AJ75" s="39"/>
      <c r="AK75" s="72" t="str">
        <f t="shared" si="51"/>
        <v/>
      </c>
      <c r="AL75" s="72" t="str">
        <f t="shared" si="52"/>
        <v/>
      </c>
      <c r="AM75" s="39"/>
      <c r="AN75" s="72" t="str">
        <f t="shared" si="53"/>
        <v/>
      </c>
      <c r="AO75" s="72" t="str">
        <f t="shared" si="54"/>
        <v/>
      </c>
      <c r="AP75" s="39"/>
      <c r="AQ75" s="72" t="str">
        <f t="shared" si="55"/>
        <v/>
      </c>
      <c r="AR75" s="72" t="str">
        <f t="shared" si="56"/>
        <v/>
      </c>
      <c r="AS75" s="39"/>
      <c r="AT75" s="40"/>
      <c r="AU75" s="39"/>
      <c r="AV75" s="72" t="str">
        <f t="shared" si="57"/>
        <v/>
      </c>
      <c r="AW75" s="72" t="str">
        <f t="shared" si="58"/>
        <v/>
      </c>
      <c r="AX75" s="39"/>
      <c r="AY75" s="40"/>
      <c r="AZ75" s="39"/>
      <c r="BA75" s="42" t="str">
        <f t="shared" si="59"/>
        <v/>
      </c>
      <c r="BB75" s="72" t="str">
        <f t="shared" si="60"/>
        <v/>
      </c>
      <c r="BC75" s="39"/>
      <c r="BD75" s="72" t="str">
        <f t="shared" si="61"/>
        <v/>
      </c>
      <c r="BE75" s="72" t="str">
        <f t="shared" si="62"/>
        <v/>
      </c>
      <c r="BF75" s="39"/>
      <c r="BG75" s="42" t="str">
        <f t="shared" si="63"/>
        <v/>
      </c>
      <c r="BH75" s="72" t="str">
        <f t="shared" si="64"/>
        <v/>
      </c>
      <c r="BI75" s="39"/>
      <c r="BJ75" s="40" t="str">
        <f t="shared" si="65"/>
        <v/>
      </c>
      <c r="BK75" s="157" t="str">
        <f t="shared" si="66"/>
        <v/>
      </c>
      <c r="BL75" s="157" t="str">
        <f t="shared" si="67"/>
        <v/>
      </c>
      <c r="BM75" s="72"/>
      <c r="BN75" s="72" t="str">
        <f t="shared" si="68"/>
        <v/>
      </c>
      <c r="BO75" s="72" t="str">
        <f t="shared" si="69"/>
        <v/>
      </c>
      <c r="BP75" s="39"/>
      <c r="BQ75" s="72" t="str">
        <f t="shared" si="70"/>
        <v/>
      </c>
      <c r="BR75" s="72" t="str">
        <f t="shared" si="71"/>
        <v/>
      </c>
    </row>
    <row r="76" spans="2:70" x14ac:dyDescent="0.15">
      <c r="D76" s="100" t="s">
        <v>592</v>
      </c>
      <c r="E76" s="100"/>
      <c r="F76" s="486"/>
      <c r="G76" s="100"/>
      <c r="I76" s="322">
        <f t="shared" si="72"/>
        <v>2091</v>
      </c>
      <c r="K76" s="71">
        <f t="shared" si="73"/>
        <v>62</v>
      </c>
      <c r="M76" s="7">
        <f t="shared" si="38"/>
        <v>0.15998971629410663</v>
      </c>
      <c r="O76" s="10" t="str">
        <f t="shared" si="74"/>
        <v/>
      </c>
      <c r="P76" s="29" t="str">
        <f t="shared" si="39"/>
        <v/>
      </c>
      <c r="R76" s="10" t="str">
        <f t="shared" si="75"/>
        <v/>
      </c>
      <c r="T76" s="10" t="str">
        <f t="shared" si="40"/>
        <v/>
      </c>
      <c r="V76" s="10" t="str">
        <f t="shared" si="41"/>
        <v/>
      </c>
      <c r="W76" s="10" t="str">
        <f t="shared" si="42"/>
        <v/>
      </c>
      <c r="Y76" s="10" t="str">
        <f t="shared" si="43"/>
        <v/>
      </c>
      <c r="Z76" s="10" t="str">
        <f t="shared" si="44"/>
        <v/>
      </c>
      <c r="AB76" s="10" t="str">
        <f t="shared" si="45"/>
        <v/>
      </c>
      <c r="AC76" s="10" t="str">
        <f t="shared" si="46"/>
        <v/>
      </c>
      <c r="AE76" s="10" t="str">
        <f t="shared" si="47"/>
        <v/>
      </c>
      <c r="AF76" s="10" t="str">
        <f t="shared" si="48"/>
        <v/>
      </c>
      <c r="AH76" s="10" t="str">
        <f t="shared" si="49"/>
        <v/>
      </c>
      <c r="AI76" s="10" t="str">
        <f t="shared" si="50"/>
        <v/>
      </c>
      <c r="AK76" s="10" t="str">
        <f t="shared" si="51"/>
        <v/>
      </c>
      <c r="AL76" s="10" t="str">
        <f t="shared" si="52"/>
        <v/>
      </c>
      <c r="AN76" s="10" t="str">
        <f t="shared" si="53"/>
        <v/>
      </c>
      <c r="AO76" s="10" t="str">
        <f t="shared" si="54"/>
        <v/>
      </c>
      <c r="AQ76" s="10" t="str">
        <f t="shared" si="55"/>
        <v/>
      </c>
      <c r="AR76" s="10" t="str">
        <f t="shared" si="56"/>
        <v/>
      </c>
      <c r="AT76" s="7"/>
      <c r="AV76" s="10" t="str">
        <f t="shared" si="57"/>
        <v/>
      </c>
      <c r="AW76" s="10" t="str">
        <f t="shared" si="58"/>
        <v/>
      </c>
      <c r="AY76" s="7"/>
      <c r="BA76" s="11" t="str">
        <f t="shared" si="59"/>
        <v/>
      </c>
      <c r="BB76" s="10" t="str">
        <f t="shared" si="60"/>
        <v/>
      </c>
      <c r="BD76" s="10" t="str">
        <f t="shared" si="61"/>
        <v/>
      </c>
      <c r="BE76" s="10" t="str">
        <f t="shared" si="62"/>
        <v/>
      </c>
      <c r="BG76" s="11" t="str">
        <f t="shared" si="63"/>
        <v/>
      </c>
      <c r="BH76" s="10" t="str">
        <f t="shared" si="64"/>
        <v/>
      </c>
      <c r="BJ76" s="7" t="str">
        <f t="shared" si="65"/>
        <v/>
      </c>
      <c r="BK76" s="158" t="str">
        <f t="shared" si="66"/>
        <v/>
      </c>
      <c r="BL76" s="158" t="str">
        <f t="shared" si="67"/>
        <v/>
      </c>
      <c r="BM76" s="10"/>
      <c r="BN76" s="10" t="str">
        <f t="shared" si="68"/>
        <v/>
      </c>
      <c r="BO76" s="10" t="str">
        <f t="shared" si="69"/>
        <v/>
      </c>
      <c r="BQ76" s="10" t="str">
        <f t="shared" si="70"/>
        <v/>
      </c>
      <c r="BR76" s="10" t="str">
        <f t="shared" si="71"/>
        <v/>
      </c>
    </row>
    <row r="77" spans="2:70" x14ac:dyDescent="0.15">
      <c r="F77" s="487"/>
      <c r="I77" s="38">
        <f t="shared" si="72"/>
        <v>2092</v>
      </c>
      <c r="J77" s="39"/>
      <c r="K77" s="39">
        <f t="shared" si="73"/>
        <v>63</v>
      </c>
      <c r="L77" s="39"/>
      <c r="M77" s="40">
        <f t="shared" si="38"/>
        <v>0.15532982164476369</v>
      </c>
      <c r="N77" s="39"/>
      <c r="O77" s="72" t="str">
        <f t="shared" si="74"/>
        <v/>
      </c>
      <c r="P77" s="41" t="str">
        <f t="shared" si="39"/>
        <v/>
      </c>
      <c r="Q77" s="39"/>
      <c r="R77" s="72" t="str">
        <f t="shared" si="75"/>
        <v/>
      </c>
      <c r="S77" s="39"/>
      <c r="T77" s="72" t="str">
        <f t="shared" si="40"/>
        <v/>
      </c>
      <c r="U77" s="39"/>
      <c r="V77" s="72" t="str">
        <f t="shared" si="41"/>
        <v/>
      </c>
      <c r="W77" s="72" t="str">
        <f t="shared" si="42"/>
        <v/>
      </c>
      <c r="X77" s="39"/>
      <c r="Y77" s="72" t="str">
        <f t="shared" si="43"/>
        <v/>
      </c>
      <c r="Z77" s="72" t="str">
        <f t="shared" si="44"/>
        <v/>
      </c>
      <c r="AA77" s="39"/>
      <c r="AB77" s="72" t="str">
        <f t="shared" si="45"/>
        <v/>
      </c>
      <c r="AC77" s="72" t="str">
        <f t="shared" si="46"/>
        <v/>
      </c>
      <c r="AD77" s="39"/>
      <c r="AE77" s="72" t="str">
        <f t="shared" si="47"/>
        <v/>
      </c>
      <c r="AF77" s="72" t="str">
        <f t="shared" si="48"/>
        <v/>
      </c>
      <c r="AG77" s="39"/>
      <c r="AH77" s="72" t="str">
        <f t="shared" si="49"/>
        <v/>
      </c>
      <c r="AI77" s="72" t="str">
        <f t="shared" si="50"/>
        <v/>
      </c>
      <c r="AJ77" s="39"/>
      <c r="AK77" s="72" t="str">
        <f t="shared" si="51"/>
        <v/>
      </c>
      <c r="AL77" s="72" t="str">
        <f t="shared" si="52"/>
        <v/>
      </c>
      <c r="AM77" s="39"/>
      <c r="AN77" s="72" t="str">
        <f t="shared" si="53"/>
        <v/>
      </c>
      <c r="AO77" s="72" t="str">
        <f t="shared" si="54"/>
        <v/>
      </c>
      <c r="AP77" s="39"/>
      <c r="AQ77" s="72" t="str">
        <f t="shared" si="55"/>
        <v/>
      </c>
      <c r="AR77" s="72" t="str">
        <f t="shared" si="56"/>
        <v/>
      </c>
      <c r="AS77" s="39"/>
      <c r="AT77" s="40"/>
      <c r="AU77" s="39"/>
      <c r="AV77" s="72" t="str">
        <f t="shared" si="57"/>
        <v/>
      </c>
      <c r="AW77" s="72" t="str">
        <f t="shared" si="58"/>
        <v/>
      </c>
      <c r="AX77" s="39"/>
      <c r="AY77" s="40"/>
      <c r="AZ77" s="39"/>
      <c r="BA77" s="42" t="str">
        <f t="shared" si="59"/>
        <v/>
      </c>
      <c r="BB77" s="72" t="str">
        <f t="shared" si="60"/>
        <v/>
      </c>
      <c r="BC77" s="39"/>
      <c r="BD77" s="72" t="str">
        <f t="shared" si="61"/>
        <v/>
      </c>
      <c r="BE77" s="72" t="str">
        <f t="shared" si="62"/>
        <v/>
      </c>
      <c r="BF77" s="39"/>
      <c r="BG77" s="42" t="str">
        <f t="shared" si="63"/>
        <v/>
      </c>
      <c r="BH77" s="72" t="str">
        <f t="shared" si="64"/>
        <v/>
      </c>
      <c r="BI77" s="39"/>
      <c r="BJ77" s="40" t="str">
        <f t="shared" si="65"/>
        <v/>
      </c>
      <c r="BK77" s="157" t="str">
        <f t="shared" si="66"/>
        <v/>
      </c>
      <c r="BL77" s="157" t="str">
        <f t="shared" si="67"/>
        <v/>
      </c>
      <c r="BM77" s="72"/>
      <c r="BN77" s="72" t="str">
        <f t="shared" si="68"/>
        <v/>
      </c>
      <c r="BO77" s="72" t="str">
        <f t="shared" si="69"/>
        <v/>
      </c>
      <c r="BP77" s="39"/>
      <c r="BQ77" s="72" t="str">
        <f t="shared" si="70"/>
        <v/>
      </c>
      <c r="BR77" s="72" t="str">
        <f t="shared" si="71"/>
        <v/>
      </c>
    </row>
    <row r="78" spans="2:70" x14ac:dyDescent="0.15">
      <c r="E78" s="70" t="s">
        <v>138</v>
      </c>
      <c r="F78" s="488">
        <f>R15/$BR$116</f>
        <v>2.6530519631444966</v>
      </c>
      <c r="G78" s="84" t="s">
        <v>590</v>
      </c>
      <c r="I78" s="322">
        <f t="shared" si="72"/>
        <v>2093</v>
      </c>
      <c r="K78" s="71">
        <f t="shared" si="73"/>
        <v>64</v>
      </c>
      <c r="M78" s="7">
        <f t="shared" si="38"/>
        <v>0.15080565208229488</v>
      </c>
      <c r="O78" s="10" t="str">
        <f t="shared" si="74"/>
        <v/>
      </c>
      <c r="P78" s="29" t="str">
        <f t="shared" si="39"/>
        <v/>
      </c>
      <c r="R78" s="10" t="str">
        <f t="shared" si="75"/>
        <v/>
      </c>
      <c r="T78" s="10" t="str">
        <f t="shared" si="40"/>
        <v/>
      </c>
      <c r="V78" s="10" t="str">
        <f t="shared" si="41"/>
        <v/>
      </c>
      <c r="W78" s="10" t="str">
        <f t="shared" si="42"/>
        <v/>
      </c>
      <c r="Y78" s="10" t="str">
        <f t="shared" si="43"/>
        <v/>
      </c>
      <c r="Z78" s="10" t="str">
        <f t="shared" si="44"/>
        <v/>
      </c>
      <c r="AB78" s="10" t="str">
        <f t="shared" si="45"/>
        <v/>
      </c>
      <c r="AC78" s="10" t="str">
        <f t="shared" si="46"/>
        <v/>
      </c>
      <c r="AE78" s="10" t="str">
        <f t="shared" si="47"/>
        <v/>
      </c>
      <c r="AF78" s="10" t="str">
        <f t="shared" si="48"/>
        <v/>
      </c>
      <c r="AH78" s="10" t="str">
        <f t="shared" si="49"/>
        <v/>
      </c>
      <c r="AI78" s="10" t="str">
        <f t="shared" si="50"/>
        <v/>
      </c>
      <c r="AK78" s="10" t="str">
        <f t="shared" si="51"/>
        <v/>
      </c>
      <c r="AL78" s="10" t="str">
        <f t="shared" si="52"/>
        <v/>
      </c>
      <c r="AN78" s="10" t="str">
        <f t="shared" si="53"/>
        <v/>
      </c>
      <c r="AO78" s="10" t="str">
        <f t="shared" si="54"/>
        <v/>
      </c>
      <c r="AQ78" s="10" t="str">
        <f t="shared" si="55"/>
        <v/>
      </c>
      <c r="AR78" s="10" t="str">
        <f t="shared" si="56"/>
        <v/>
      </c>
      <c r="AT78" s="7"/>
      <c r="AV78" s="10" t="str">
        <f t="shared" si="57"/>
        <v/>
      </c>
      <c r="AW78" s="10" t="str">
        <f t="shared" si="58"/>
        <v/>
      </c>
      <c r="AY78" s="7"/>
      <c r="BA78" s="11" t="str">
        <f t="shared" si="59"/>
        <v/>
      </c>
      <c r="BB78" s="10" t="str">
        <f t="shared" si="60"/>
        <v/>
      </c>
      <c r="BD78" s="10" t="str">
        <f t="shared" si="61"/>
        <v/>
      </c>
      <c r="BE78" s="10" t="str">
        <f t="shared" si="62"/>
        <v/>
      </c>
      <c r="BG78" s="11" t="str">
        <f t="shared" si="63"/>
        <v/>
      </c>
      <c r="BH78" s="10" t="str">
        <f t="shared" si="64"/>
        <v/>
      </c>
      <c r="BJ78" s="7" t="str">
        <f t="shared" si="65"/>
        <v/>
      </c>
      <c r="BK78" s="158" t="str">
        <f t="shared" si="66"/>
        <v/>
      </c>
      <c r="BL78" s="158" t="str">
        <f t="shared" si="67"/>
        <v/>
      </c>
      <c r="BM78" s="10"/>
      <c r="BN78" s="10" t="str">
        <f t="shared" si="68"/>
        <v/>
      </c>
      <c r="BO78" s="10" t="str">
        <f t="shared" si="69"/>
        <v/>
      </c>
      <c r="BQ78" s="10" t="str">
        <f t="shared" si="70"/>
        <v/>
      </c>
      <c r="BR78" s="10" t="str">
        <f t="shared" si="71"/>
        <v/>
      </c>
    </row>
    <row r="79" spans="2:70" x14ac:dyDescent="0.15">
      <c r="E79" s="84" t="s">
        <v>139</v>
      </c>
      <c r="F79" s="488">
        <f>Z116/$BR$116</f>
        <v>0.22532285576276787</v>
      </c>
      <c r="G79" s="84" t="s">
        <v>590</v>
      </c>
      <c r="I79" s="38">
        <f t="shared" si="72"/>
        <v>2094</v>
      </c>
      <c r="J79" s="39"/>
      <c r="K79" s="39">
        <f t="shared" si="73"/>
        <v>65</v>
      </c>
      <c r="L79" s="39"/>
      <c r="M79" s="40">
        <f t="shared" ref="M79:M114" si="76">1/(1+($F$9/100))^K79</f>
        <v>0.14641325444882999</v>
      </c>
      <c r="N79" s="39"/>
      <c r="O79" s="72" t="str">
        <f t="shared" si="74"/>
        <v/>
      </c>
      <c r="P79" s="41" t="str">
        <f t="shared" ref="P79:P110" si="77">IF(K79&lt;=$F$15,IF(OR(P78=$F$124,P78="-"),"-",IF(O79*$F$123&gt;$F$127,$F$123,$F$124)),"")</f>
        <v/>
      </c>
      <c r="Q79" s="39"/>
      <c r="R79" s="72" t="str">
        <f t="shared" si="75"/>
        <v/>
      </c>
      <c r="S79" s="39"/>
      <c r="T79" s="72" t="str">
        <f t="shared" ref="T79:T114" si="78">IF(ISNUMBER(R79),ROUNDDOWN(R79,-3),"")</f>
        <v/>
      </c>
      <c r="U79" s="39"/>
      <c r="V79" s="72" t="str">
        <f t="shared" ref="V79:V114" si="79">IF(K79&lt;=$F$15,IF(K79&lt;$F$119,IF(P79="-",V78,O79*P79),IF(K79=$F$119,MIN(IF(P79="-",V78,O79*P79),O79),0)),"")</f>
        <v/>
      </c>
      <c r="W79" s="72" t="str">
        <f t="shared" ref="W79:W110" si="80">IF(ISNUMBER(V79),V79*$M79,"")</f>
        <v/>
      </c>
      <c r="X79" s="39"/>
      <c r="Y79" s="72" t="str">
        <f t="shared" ref="Y79:Y114" si="81">IF($K79&lt;=$F$15,ROUNDDOWN(T79*$F$25/100,-2),"")</f>
        <v/>
      </c>
      <c r="Z79" s="72" t="str">
        <f t="shared" ref="Z79:Z110" si="82">IF(ISNUMBER(Y79),Y79*$M79,"")</f>
        <v/>
      </c>
      <c r="AA79" s="39"/>
      <c r="AB79" s="72" t="str">
        <f t="shared" ref="AB79:AB114" si="83">IF($K79&lt;=$F$15,0,IF(AND($K79&gt;$F$15,$K79&lt;=$F$15+$F$28),$F$27*10^8/$F$28,""))</f>
        <v/>
      </c>
      <c r="AC79" s="72" t="str">
        <f t="shared" ref="AC79:AC110" si="84">IF(ISNUMBER(AB79),AB79*$M79,"")</f>
        <v/>
      </c>
      <c r="AD79" s="39"/>
      <c r="AE79" s="72" t="str">
        <f t="shared" ref="AE79:AE114" si="85">IF($K79&lt;=$F$15,$F$26,"")</f>
        <v/>
      </c>
      <c r="AF79" s="72" t="str">
        <f t="shared" ref="AF79:AF110" si="86">IF(ISNUMBER(AE79),AE79*$M79,"")</f>
        <v/>
      </c>
      <c r="AG79" s="39"/>
      <c r="AH79" s="72" t="str">
        <f t="shared" ref="AH79:AH114" si="87">IF($K79&lt;=$F$15,$F$33*10^8,"")</f>
        <v/>
      </c>
      <c r="AI79" s="72" t="str">
        <f t="shared" ref="AI79:AI110" si="88">IF(ISNUMBER(AH79),AH79*$M79,"")</f>
        <v/>
      </c>
      <c r="AJ79" s="39"/>
      <c r="AK79" s="72" t="str">
        <f t="shared" ref="AK79:AK114" si="89">IF($K79&lt;=$F$15,$F$117*$F$34/100,"")</f>
        <v/>
      </c>
      <c r="AL79" s="72" t="str">
        <f t="shared" ref="AL79:AL110" si="90">IF(ISNUMBER(AK79),AK79*$M79,"")</f>
        <v/>
      </c>
      <c r="AM79" s="39"/>
      <c r="AN79" s="72" t="str">
        <f t="shared" ref="AN79:AN114" si="91">IF($K79&lt;=$F$15,$F$117*$F$35/100,"")</f>
        <v/>
      </c>
      <c r="AO79" s="72" t="str">
        <f t="shared" ref="AO79:AO110" si="92">IF(ISNUMBER(AN79),AN79*$M79,"")</f>
        <v/>
      </c>
      <c r="AP79" s="39"/>
      <c r="AQ79" s="72" t="str">
        <f t="shared" ref="AQ79:AQ114" si="93">IF($K79&lt;=$F$15,SUM(AH79,AK79,AN79)*($F$36/100),"")</f>
        <v/>
      </c>
      <c r="AR79" s="72" t="str">
        <f t="shared" ref="AR79:AR110" si="94">IF(ISNUMBER(AQ79),AQ79*$M79,"")</f>
        <v/>
      </c>
      <c r="AS79" s="39"/>
      <c r="AT79" s="40"/>
      <c r="AU79" s="39"/>
      <c r="AV79" s="72" t="str">
        <f t="shared" ref="AV79:AV114" si="95">IF($K79&lt;=$F$15,($AT79+$F$142)*$F$137,"")</f>
        <v/>
      </c>
      <c r="AW79" s="72" t="str">
        <f t="shared" ref="AW79:AW110" si="96">IF(ISNUMBER(AV79),AV79*$M79,"")</f>
        <v/>
      </c>
      <c r="AX79" s="39"/>
      <c r="AY79" s="40"/>
      <c r="AZ79" s="39"/>
      <c r="BA79" s="42" t="str">
        <f t="shared" ref="BA79:BA114" si="97">IF($K79&lt;=$F$15,$F$145*AY79,"")</f>
        <v/>
      </c>
      <c r="BB79" s="72" t="str">
        <f t="shared" ref="BB79:BB110" si="98">IF(ISNUMBER(BA79),BA79*$M79,"")</f>
        <v/>
      </c>
      <c r="BC79" s="39"/>
      <c r="BD79" s="72" t="str">
        <f t="shared" ref="BD79:BD114" si="99">IF($K79&lt;=$F$15,($AT79+$F$152)*$F$151,"")</f>
        <v/>
      </c>
      <c r="BE79" s="72" t="str">
        <f t="shared" ref="BE79:BE110" si="100">IF(ISNUMBER(BD79),BD79*$M79,"")</f>
        <v/>
      </c>
      <c r="BF79" s="39"/>
      <c r="BG79" s="42" t="str">
        <f t="shared" ref="BG79:BG114" si="101">IF($K79&lt;=$F$15,$F$153*AY79,"")</f>
        <v/>
      </c>
      <c r="BH79" s="72" t="str">
        <f t="shared" ref="BH79:BH110" si="102">IF(ISNUMBER(BG79),BG79*$M79,"")</f>
        <v/>
      </c>
      <c r="BI79" s="39"/>
      <c r="BJ79" s="40" t="str">
        <f t="shared" ref="BJ79:BJ114" si="103">IF(ISNUMBER($F$16),IF($K79&lt;=$F$16+$F$28,1/(1+($F$17/100))^K79,""),"")</f>
        <v/>
      </c>
      <c r="BK79" s="157" t="str">
        <f t="shared" ref="BK79:BK110" si="104">IF(ISNUMBER($F$16),IF($K79&lt;=$F$16+$F$28,IF($K79&lt;=$F$16,SUM(Y79,AB79,AE79,AH79,AK79,AN79,AQ79,AV79,BA79,BD79,BG79),$F$27/$F$28*10^8)*BJ79,""),"")</f>
        <v/>
      </c>
      <c r="BL79" s="157" t="str">
        <f t="shared" ref="BL79:BL114" si="105">IF(AND(ISNUMBER(BJ79),$K79&lt;=$F$16),BQ79*BJ79,"")</f>
        <v/>
      </c>
      <c r="BM79" s="72"/>
      <c r="BN79" s="72" t="str">
        <f t="shared" ref="BN79:BN114" si="106">IF(AND(ISNUMBER($F$16),$K79&lt;=$F$16),BQ79*($O$15+$BK$116)/$BL$116,"")</f>
        <v/>
      </c>
      <c r="BO79" s="72" t="str">
        <f t="shared" ref="BO79:BO110" si="107">IF(ISNUMBER(BN79),BN79*$M79,"")</f>
        <v/>
      </c>
      <c r="BP79" s="39"/>
      <c r="BQ79" s="72" t="str">
        <f t="shared" ref="BQ79:BQ114" si="108">IF($K79&lt;=$F$15,$F$134,"")</f>
        <v/>
      </c>
      <c r="BR79" s="72" t="str">
        <f t="shared" ref="BR79:BR110" si="109">IF(ISNUMBER(BQ79),BQ79*$M79,"")</f>
        <v/>
      </c>
    </row>
    <row r="80" spans="2:70" x14ac:dyDescent="0.15">
      <c r="E80" s="84" t="s">
        <v>115</v>
      </c>
      <c r="F80" s="488">
        <f>AF116/$BR$116</f>
        <v>0</v>
      </c>
      <c r="G80" s="84" t="s">
        <v>590</v>
      </c>
      <c r="I80" s="322">
        <f t="shared" ref="I80:I114" si="110">I79+1</f>
        <v>2095</v>
      </c>
      <c r="K80" s="71">
        <f t="shared" ref="K80:K114" si="111">IF(I80&lt;&gt;"",K79+1,"")</f>
        <v>66</v>
      </c>
      <c r="M80" s="7">
        <f t="shared" si="76"/>
        <v>0.14214879072701941</v>
      </c>
      <c r="O80" s="10" t="str">
        <f t="shared" ref="O80:O114" si="112">IF(K80&lt;=$F$15,O79-V79,"")</f>
        <v/>
      </c>
      <c r="P80" s="29" t="str">
        <f t="shared" si="77"/>
        <v/>
      </c>
      <c r="R80" s="10" t="str">
        <f t="shared" ref="R80:R114" si="113">IF($K80&lt;=$F$15,MAX($F$117*5%,R79*$F$129),"")</f>
        <v/>
      </c>
      <c r="T80" s="10" t="str">
        <f t="shared" si="78"/>
        <v/>
      </c>
      <c r="V80" s="10" t="str">
        <f t="shared" si="79"/>
        <v/>
      </c>
      <c r="W80" s="10" t="str">
        <f t="shared" si="80"/>
        <v/>
      </c>
      <c r="Y80" s="10" t="str">
        <f t="shared" si="81"/>
        <v/>
      </c>
      <c r="Z80" s="10" t="str">
        <f t="shared" si="82"/>
        <v/>
      </c>
      <c r="AB80" s="10" t="str">
        <f t="shared" si="83"/>
        <v/>
      </c>
      <c r="AC80" s="10" t="str">
        <f t="shared" si="84"/>
        <v/>
      </c>
      <c r="AE80" s="10" t="str">
        <f t="shared" si="85"/>
        <v/>
      </c>
      <c r="AF80" s="10" t="str">
        <f t="shared" si="86"/>
        <v/>
      </c>
      <c r="AH80" s="10" t="str">
        <f t="shared" si="87"/>
        <v/>
      </c>
      <c r="AI80" s="10" t="str">
        <f t="shared" si="88"/>
        <v/>
      </c>
      <c r="AK80" s="10" t="str">
        <f t="shared" si="89"/>
        <v/>
      </c>
      <c r="AL80" s="10" t="str">
        <f t="shared" si="90"/>
        <v/>
      </c>
      <c r="AN80" s="10" t="str">
        <f t="shared" si="91"/>
        <v/>
      </c>
      <c r="AO80" s="10" t="str">
        <f t="shared" si="92"/>
        <v/>
      </c>
      <c r="AQ80" s="10" t="str">
        <f t="shared" si="93"/>
        <v/>
      </c>
      <c r="AR80" s="10" t="str">
        <f t="shared" si="94"/>
        <v/>
      </c>
      <c r="AT80" s="7"/>
      <c r="AV80" s="10" t="str">
        <f t="shared" si="95"/>
        <v/>
      </c>
      <c r="AW80" s="10" t="str">
        <f t="shared" si="96"/>
        <v/>
      </c>
      <c r="AY80" s="7"/>
      <c r="BA80" s="11" t="str">
        <f t="shared" si="97"/>
        <v/>
      </c>
      <c r="BB80" s="10" t="str">
        <f t="shared" si="98"/>
        <v/>
      </c>
      <c r="BD80" s="10" t="str">
        <f t="shared" si="99"/>
        <v/>
      </c>
      <c r="BE80" s="10" t="str">
        <f t="shared" si="100"/>
        <v/>
      </c>
      <c r="BG80" s="11" t="str">
        <f t="shared" si="101"/>
        <v/>
      </c>
      <c r="BH80" s="10" t="str">
        <f t="shared" si="102"/>
        <v/>
      </c>
      <c r="BJ80" s="7" t="str">
        <f t="shared" si="103"/>
        <v/>
      </c>
      <c r="BK80" s="158" t="str">
        <f t="shared" si="104"/>
        <v/>
      </c>
      <c r="BL80" s="158" t="str">
        <f t="shared" si="105"/>
        <v/>
      </c>
      <c r="BM80" s="10"/>
      <c r="BN80" s="10" t="str">
        <f t="shared" si="106"/>
        <v/>
      </c>
      <c r="BO80" s="10" t="str">
        <f t="shared" si="107"/>
        <v/>
      </c>
      <c r="BQ80" s="10" t="str">
        <f t="shared" si="108"/>
        <v/>
      </c>
      <c r="BR80" s="10" t="str">
        <f t="shared" si="109"/>
        <v/>
      </c>
    </row>
    <row r="81" spans="4:70" x14ac:dyDescent="0.15">
      <c r="E81" s="160" t="s">
        <v>86</v>
      </c>
      <c r="F81" s="488">
        <f>AC116/$BR$116</f>
        <v>3.9481127583996273E-2</v>
      </c>
      <c r="G81" s="84" t="s">
        <v>590</v>
      </c>
      <c r="I81" s="38">
        <f t="shared" si="110"/>
        <v>2096</v>
      </c>
      <c r="J81" s="39"/>
      <c r="K81" s="39">
        <f t="shared" si="111"/>
        <v>67</v>
      </c>
      <c r="L81" s="39"/>
      <c r="M81" s="40">
        <f t="shared" si="76"/>
        <v>0.1380085346864266</v>
      </c>
      <c r="N81" s="39"/>
      <c r="O81" s="72" t="str">
        <f t="shared" si="112"/>
        <v/>
      </c>
      <c r="P81" s="41" t="str">
        <f t="shared" si="77"/>
        <v/>
      </c>
      <c r="Q81" s="39"/>
      <c r="R81" s="72" t="str">
        <f t="shared" si="113"/>
        <v/>
      </c>
      <c r="S81" s="39"/>
      <c r="T81" s="72" t="str">
        <f t="shared" si="78"/>
        <v/>
      </c>
      <c r="U81" s="39"/>
      <c r="V81" s="72" t="str">
        <f t="shared" si="79"/>
        <v/>
      </c>
      <c r="W81" s="72" t="str">
        <f t="shared" si="80"/>
        <v/>
      </c>
      <c r="X81" s="39"/>
      <c r="Y81" s="72" t="str">
        <f t="shared" si="81"/>
        <v/>
      </c>
      <c r="Z81" s="72" t="str">
        <f t="shared" si="82"/>
        <v/>
      </c>
      <c r="AA81" s="39"/>
      <c r="AB81" s="72" t="str">
        <f t="shared" si="83"/>
        <v/>
      </c>
      <c r="AC81" s="72" t="str">
        <f t="shared" si="84"/>
        <v/>
      </c>
      <c r="AD81" s="39"/>
      <c r="AE81" s="72" t="str">
        <f t="shared" si="85"/>
        <v/>
      </c>
      <c r="AF81" s="72" t="str">
        <f t="shared" si="86"/>
        <v/>
      </c>
      <c r="AG81" s="39"/>
      <c r="AH81" s="72" t="str">
        <f t="shared" si="87"/>
        <v/>
      </c>
      <c r="AI81" s="72" t="str">
        <f t="shared" si="88"/>
        <v/>
      </c>
      <c r="AJ81" s="39"/>
      <c r="AK81" s="72" t="str">
        <f t="shared" si="89"/>
        <v/>
      </c>
      <c r="AL81" s="72" t="str">
        <f t="shared" si="90"/>
        <v/>
      </c>
      <c r="AM81" s="39"/>
      <c r="AN81" s="72" t="str">
        <f t="shared" si="91"/>
        <v/>
      </c>
      <c r="AO81" s="72" t="str">
        <f t="shared" si="92"/>
        <v/>
      </c>
      <c r="AP81" s="39"/>
      <c r="AQ81" s="72" t="str">
        <f t="shared" si="93"/>
        <v/>
      </c>
      <c r="AR81" s="72" t="str">
        <f t="shared" si="94"/>
        <v/>
      </c>
      <c r="AS81" s="39"/>
      <c r="AT81" s="40"/>
      <c r="AU81" s="39"/>
      <c r="AV81" s="72" t="str">
        <f t="shared" si="95"/>
        <v/>
      </c>
      <c r="AW81" s="72" t="str">
        <f t="shared" si="96"/>
        <v/>
      </c>
      <c r="AX81" s="39"/>
      <c r="AY81" s="40"/>
      <c r="AZ81" s="39"/>
      <c r="BA81" s="42" t="str">
        <f t="shared" si="97"/>
        <v/>
      </c>
      <c r="BB81" s="72" t="str">
        <f t="shared" si="98"/>
        <v/>
      </c>
      <c r="BC81" s="39"/>
      <c r="BD81" s="72" t="str">
        <f t="shared" si="99"/>
        <v/>
      </c>
      <c r="BE81" s="72" t="str">
        <f t="shared" si="100"/>
        <v/>
      </c>
      <c r="BF81" s="39"/>
      <c r="BG81" s="42" t="str">
        <f t="shared" si="101"/>
        <v/>
      </c>
      <c r="BH81" s="72" t="str">
        <f t="shared" si="102"/>
        <v/>
      </c>
      <c r="BI81" s="39"/>
      <c r="BJ81" s="40" t="str">
        <f t="shared" si="103"/>
        <v/>
      </c>
      <c r="BK81" s="157" t="str">
        <f t="shared" si="104"/>
        <v/>
      </c>
      <c r="BL81" s="157" t="str">
        <f t="shared" si="105"/>
        <v/>
      </c>
      <c r="BM81" s="72"/>
      <c r="BN81" s="72" t="str">
        <f t="shared" si="106"/>
        <v/>
      </c>
      <c r="BO81" s="72" t="str">
        <f t="shared" si="107"/>
        <v/>
      </c>
      <c r="BP81" s="39"/>
      <c r="BQ81" s="72" t="str">
        <f t="shared" si="108"/>
        <v/>
      </c>
      <c r="BR81" s="72" t="str">
        <f t="shared" si="109"/>
        <v/>
      </c>
    </row>
    <row r="82" spans="4:70" x14ac:dyDescent="0.15">
      <c r="F82" s="487"/>
      <c r="I82" s="322">
        <f t="shared" si="110"/>
        <v>2097</v>
      </c>
      <c r="K82" s="71">
        <f t="shared" si="111"/>
        <v>68</v>
      </c>
      <c r="M82" s="7">
        <f t="shared" si="76"/>
        <v>0.13398886862759865</v>
      </c>
      <c r="O82" s="10" t="str">
        <f t="shared" si="112"/>
        <v/>
      </c>
      <c r="P82" s="29" t="str">
        <f t="shared" si="77"/>
        <v/>
      </c>
      <c r="R82" s="10" t="str">
        <f t="shared" si="113"/>
        <v/>
      </c>
      <c r="T82" s="10" t="str">
        <f t="shared" si="78"/>
        <v/>
      </c>
      <c r="V82" s="10" t="str">
        <f t="shared" si="79"/>
        <v/>
      </c>
      <c r="W82" s="10" t="str">
        <f t="shared" si="80"/>
        <v/>
      </c>
      <c r="Y82" s="10" t="str">
        <f t="shared" si="81"/>
        <v/>
      </c>
      <c r="Z82" s="10" t="str">
        <f t="shared" si="82"/>
        <v/>
      </c>
      <c r="AB82" s="10" t="str">
        <f t="shared" si="83"/>
        <v/>
      </c>
      <c r="AC82" s="10" t="str">
        <f t="shared" si="84"/>
        <v/>
      </c>
      <c r="AE82" s="10" t="str">
        <f t="shared" si="85"/>
        <v/>
      </c>
      <c r="AF82" s="10" t="str">
        <f t="shared" si="86"/>
        <v/>
      </c>
      <c r="AH82" s="10" t="str">
        <f t="shared" si="87"/>
        <v/>
      </c>
      <c r="AI82" s="10" t="str">
        <f t="shared" si="88"/>
        <v/>
      </c>
      <c r="AK82" s="10" t="str">
        <f t="shared" si="89"/>
        <v/>
      </c>
      <c r="AL82" s="10" t="str">
        <f t="shared" si="90"/>
        <v/>
      </c>
      <c r="AN82" s="10" t="str">
        <f t="shared" si="91"/>
        <v/>
      </c>
      <c r="AO82" s="10" t="str">
        <f t="shared" si="92"/>
        <v/>
      </c>
      <c r="AQ82" s="10" t="str">
        <f t="shared" si="93"/>
        <v/>
      </c>
      <c r="AR82" s="10" t="str">
        <f t="shared" si="94"/>
        <v/>
      </c>
      <c r="AT82" s="7"/>
      <c r="AV82" s="10" t="str">
        <f t="shared" si="95"/>
        <v/>
      </c>
      <c r="AW82" s="10" t="str">
        <f t="shared" si="96"/>
        <v/>
      </c>
      <c r="AY82" s="7"/>
      <c r="BA82" s="11" t="str">
        <f t="shared" si="97"/>
        <v/>
      </c>
      <c r="BB82" s="10" t="str">
        <f t="shared" si="98"/>
        <v/>
      </c>
      <c r="BD82" s="10" t="str">
        <f t="shared" si="99"/>
        <v/>
      </c>
      <c r="BE82" s="10" t="str">
        <f t="shared" si="100"/>
        <v/>
      </c>
      <c r="BG82" s="11" t="str">
        <f t="shared" si="101"/>
        <v/>
      </c>
      <c r="BH82" s="10" t="str">
        <f t="shared" si="102"/>
        <v/>
      </c>
      <c r="BJ82" s="7" t="str">
        <f t="shared" si="103"/>
        <v/>
      </c>
      <c r="BK82" s="158" t="str">
        <f t="shared" si="104"/>
        <v/>
      </c>
      <c r="BL82" s="158" t="str">
        <f t="shared" si="105"/>
        <v/>
      </c>
      <c r="BM82" s="10"/>
      <c r="BN82" s="10" t="str">
        <f t="shared" si="106"/>
        <v/>
      </c>
      <c r="BO82" s="10" t="str">
        <f t="shared" si="107"/>
        <v/>
      </c>
      <c r="BQ82" s="10" t="str">
        <f t="shared" si="108"/>
        <v/>
      </c>
      <c r="BR82" s="10" t="str">
        <f t="shared" si="109"/>
        <v/>
      </c>
    </row>
    <row r="83" spans="4:70" ht="15" x14ac:dyDescent="0.15">
      <c r="D83" s="103" t="s">
        <v>593</v>
      </c>
      <c r="F83" s="484">
        <f>SUBTOTAL(9,F87:F90)</f>
        <v>3.3031892021305924</v>
      </c>
      <c r="G83" s="84" t="s">
        <v>590</v>
      </c>
      <c r="I83" s="38">
        <f t="shared" si="110"/>
        <v>2098</v>
      </c>
      <c r="J83" s="39"/>
      <c r="K83" s="39">
        <f t="shared" si="111"/>
        <v>69</v>
      </c>
      <c r="L83" s="39"/>
      <c r="M83" s="40">
        <f t="shared" si="76"/>
        <v>0.13008628022096957</v>
      </c>
      <c r="N83" s="39"/>
      <c r="O83" s="72" t="str">
        <f t="shared" si="112"/>
        <v/>
      </c>
      <c r="P83" s="41" t="str">
        <f t="shared" si="77"/>
        <v/>
      </c>
      <c r="Q83" s="39"/>
      <c r="R83" s="72" t="str">
        <f t="shared" si="113"/>
        <v/>
      </c>
      <c r="S83" s="39"/>
      <c r="T83" s="72" t="str">
        <f t="shared" si="78"/>
        <v/>
      </c>
      <c r="U83" s="39"/>
      <c r="V83" s="72" t="str">
        <f t="shared" si="79"/>
        <v/>
      </c>
      <c r="W83" s="72" t="str">
        <f t="shared" si="80"/>
        <v/>
      </c>
      <c r="X83" s="39"/>
      <c r="Y83" s="72" t="str">
        <f t="shared" si="81"/>
        <v/>
      </c>
      <c r="Z83" s="72" t="str">
        <f t="shared" si="82"/>
        <v/>
      </c>
      <c r="AA83" s="39"/>
      <c r="AB83" s="72" t="str">
        <f t="shared" si="83"/>
        <v/>
      </c>
      <c r="AC83" s="72" t="str">
        <f t="shared" si="84"/>
        <v/>
      </c>
      <c r="AD83" s="39"/>
      <c r="AE83" s="72" t="str">
        <f t="shared" si="85"/>
        <v/>
      </c>
      <c r="AF83" s="72" t="str">
        <f t="shared" si="86"/>
        <v/>
      </c>
      <c r="AG83" s="39"/>
      <c r="AH83" s="72" t="str">
        <f t="shared" si="87"/>
        <v/>
      </c>
      <c r="AI83" s="72" t="str">
        <f t="shared" si="88"/>
        <v/>
      </c>
      <c r="AJ83" s="39"/>
      <c r="AK83" s="72" t="str">
        <f t="shared" si="89"/>
        <v/>
      </c>
      <c r="AL83" s="72" t="str">
        <f t="shared" si="90"/>
        <v/>
      </c>
      <c r="AM83" s="39"/>
      <c r="AN83" s="72" t="str">
        <f t="shared" si="91"/>
        <v/>
      </c>
      <c r="AO83" s="72" t="str">
        <f t="shared" si="92"/>
        <v/>
      </c>
      <c r="AP83" s="39"/>
      <c r="AQ83" s="72" t="str">
        <f t="shared" si="93"/>
        <v/>
      </c>
      <c r="AR83" s="72" t="str">
        <f t="shared" si="94"/>
        <v/>
      </c>
      <c r="AS83" s="39"/>
      <c r="AT83" s="40"/>
      <c r="AU83" s="39"/>
      <c r="AV83" s="72" t="str">
        <f t="shared" si="95"/>
        <v/>
      </c>
      <c r="AW83" s="72" t="str">
        <f t="shared" si="96"/>
        <v/>
      </c>
      <c r="AX83" s="39"/>
      <c r="AY83" s="40"/>
      <c r="AZ83" s="39"/>
      <c r="BA83" s="42" t="str">
        <f t="shared" si="97"/>
        <v/>
      </c>
      <c r="BB83" s="72" t="str">
        <f t="shared" si="98"/>
        <v/>
      </c>
      <c r="BC83" s="39"/>
      <c r="BD83" s="72" t="str">
        <f t="shared" si="99"/>
        <v/>
      </c>
      <c r="BE83" s="72" t="str">
        <f t="shared" si="100"/>
        <v/>
      </c>
      <c r="BF83" s="39"/>
      <c r="BG83" s="42" t="str">
        <f t="shared" si="101"/>
        <v/>
      </c>
      <c r="BH83" s="72" t="str">
        <f t="shared" si="102"/>
        <v/>
      </c>
      <c r="BI83" s="39"/>
      <c r="BJ83" s="40" t="str">
        <f t="shared" si="103"/>
        <v/>
      </c>
      <c r="BK83" s="157" t="str">
        <f t="shared" si="104"/>
        <v/>
      </c>
      <c r="BL83" s="157" t="str">
        <f t="shared" si="105"/>
        <v/>
      </c>
      <c r="BM83" s="72"/>
      <c r="BN83" s="72" t="str">
        <f t="shared" si="106"/>
        <v/>
      </c>
      <c r="BO83" s="72" t="str">
        <f t="shared" si="107"/>
        <v/>
      </c>
      <c r="BP83" s="39"/>
      <c r="BQ83" s="72" t="str">
        <f t="shared" si="108"/>
        <v/>
      </c>
      <c r="BR83" s="72" t="str">
        <f t="shared" si="109"/>
        <v/>
      </c>
    </row>
    <row r="84" spans="4:70" x14ac:dyDescent="0.15">
      <c r="F84" s="487"/>
      <c r="I84" s="322">
        <f t="shared" si="110"/>
        <v>2099</v>
      </c>
      <c r="K84" s="71">
        <f t="shared" si="111"/>
        <v>70</v>
      </c>
      <c r="M84" s="7">
        <f t="shared" si="76"/>
        <v>0.12629735943783454</v>
      </c>
      <c r="O84" s="10" t="str">
        <f t="shared" si="112"/>
        <v/>
      </c>
      <c r="P84" s="29" t="str">
        <f t="shared" si="77"/>
        <v/>
      </c>
      <c r="R84" s="10" t="str">
        <f t="shared" si="113"/>
        <v/>
      </c>
      <c r="T84" s="10" t="str">
        <f t="shared" si="78"/>
        <v/>
      </c>
      <c r="V84" s="10" t="str">
        <f t="shared" si="79"/>
        <v/>
      </c>
      <c r="W84" s="10" t="str">
        <f t="shared" si="80"/>
        <v/>
      </c>
      <c r="Y84" s="10" t="str">
        <f t="shared" si="81"/>
        <v/>
      </c>
      <c r="Z84" s="10" t="str">
        <f t="shared" si="82"/>
        <v/>
      </c>
      <c r="AB84" s="10" t="str">
        <f t="shared" si="83"/>
        <v/>
      </c>
      <c r="AC84" s="10" t="str">
        <f t="shared" si="84"/>
        <v/>
      </c>
      <c r="AE84" s="10" t="str">
        <f t="shared" si="85"/>
        <v/>
      </c>
      <c r="AF84" s="10" t="str">
        <f t="shared" si="86"/>
        <v/>
      </c>
      <c r="AH84" s="10" t="str">
        <f t="shared" si="87"/>
        <v/>
      </c>
      <c r="AI84" s="10" t="str">
        <f t="shared" si="88"/>
        <v/>
      </c>
      <c r="AK84" s="10" t="str">
        <f t="shared" si="89"/>
        <v/>
      </c>
      <c r="AL84" s="10" t="str">
        <f t="shared" si="90"/>
        <v/>
      </c>
      <c r="AN84" s="10" t="str">
        <f t="shared" si="91"/>
        <v/>
      </c>
      <c r="AO84" s="10" t="str">
        <f t="shared" si="92"/>
        <v/>
      </c>
      <c r="AQ84" s="10" t="str">
        <f t="shared" si="93"/>
        <v/>
      </c>
      <c r="AR84" s="10" t="str">
        <f t="shared" si="94"/>
        <v/>
      </c>
      <c r="AT84" s="7"/>
      <c r="AV84" s="10" t="str">
        <f t="shared" si="95"/>
        <v/>
      </c>
      <c r="AW84" s="10" t="str">
        <f t="shared" si="96"/>
        <v/>
      </c>
      <c r="AY84" s="7"/>
      <c r="BA84" s="11" t="str">
        <f t="shared" si="97"/>
        <v/>
      </c>
      <c r="BB84" s="10" t="str">
        <f t="shared" si="98"/>
        <v/>
      </c>
      <c r="BD84" s="10" t="str">
        <f t="shared" si="99"/>
        <v/>
      </c>
      <c r="BE84" s="10" t="str">
        <f t="shared" si="100"/>
        <v/>
      </c>
      <c r="BG84" s="11" t="str">
        <f t="shared" si="101"/>
        <v/>
      </c>
      <c r="BH84" s="10" t="str">
        <f t="shared" si="102"/>
        <v/>
      </c>
      <c r="BJ84" s="7" t="str">
        <f t="shared" si="103"/>
        <v/>
      </c>
      <c r="BK84" s="158" t="str">
        <f t="shared" si="104"/>
        <v/>
      </c>
      <c r="BL84" s="158" t="str">
        <f t="shared" si="105"/>
        <v/>
      </c>
      <c r="BM84" s="10"/>
      <c r="BN84" s="10" t="str">
        <f t="shared" si="106"/>
        <v/>
      </c>
      <c r="BO84" s="10" t="str">
        <f t="shared" si="107"/>
        <v/>
      </c>
      <c r="BQ84" s="10" t="str">
        <f t="shared" si="108"/>
        <v/>
      </c>
      <c r="BR84" s="10" t="str">
        <f t="shared" si="109"/>
        <v/>
      </c>
    </row>
    <row r="85" spans="4:70" x14ac:dyDescent="0.15">
      <c r="D85" s="100" t="s">
        <v>594</v>
      </c>
      <c r="E85" s="489"/>
      <c r="F85" s="486"/>
      <c r="G85" s="100"/>
      <c r="I85" s="38">
        <f t="shared" si="110"/>
        <v>2100</v>
      </c>
      <c r="J85" s="39"/>
      <c r="K85" s="39">
        <f t="shared" si="111"/>
        <v>71</v>
      </c>
      <c r="L85" s="39"/>
      <c r="M85" s="40">
        <f t="shared" si="76"/>
        <v>0.12261879557071313</v>
      </c>
      <c r="N85" s="39"/>
      <c r="O85" s="72" t="str">
        <f t="shared" si="112"/>
        <v/>
      </c>
      <c r="P85" s="41" t="str">
        <f t="shared" si="77"/>
        <v/>
      </c>
      <c r="Q85" s="39"/>
      <c r="R85" s="72" t="str">
        <f t="shared" si="113"/>
        <v/>
      </c>
      <c r="S85" s="39"/>
      <c r="T85" s="72" t="str">
        <f t="shared" si="78"/>
        <v/>
      </c>
      <c r="U85" s="39"/>
      <c r="V85" s="72" t="str">
        <f t="shared" si="79"/>
        <v/>
      </c>
      <c r="W85" s="72" t="str">
        <f t="shared" si="80"/>
        <v/>
      </c>
      <c r="X85" s="39"/>
      <c r="Y85" s="72" t="str">
        <f t="shared" si="81"/>
        <v/>
      </c>
      <c r="Z85" s="72" t="str">
        <f t="shared" si="82"/>
        <v/>
      </c>
      <c r="AA85" s="39"/>
      <c r="AB85" s="72" t="str">
        <f t="shared" si="83"/>
        <v/>
      </c>
      <c r="AC85" s="72" t="str">
        <f t="shared" si="84"/>
        <v/>
      </c>
      <c r="AD85" s="39"/>
      <c r="AE85" s="72" t="str">
        <f t="shared" si="85"/>
        <v/>
      </c>
      <c r="AF85" s="72" t="str">
        <f t="shared" si="86"/>
        <v/>
      </c>
      <c r="AG85" s="39"/>
      <c r="AH85" s="72" t="str">
        <f t="shared" si="87"/>
        <v/>
      </c>
      <c r="AI85" s="72" t="str">
        <f t="shared" si="88"/>
        <v/>
      </c>
      <c r="AJ85" s="39"/>
      <c r="AK85" s="72" t="str">
        <f t="shared" si="89"/>
        <v/>
      </c>
      <c r="AL85" s="72" t="str">
        <f t="shared" si="90"/>
        <v/>
      </c>
      <c r="AM85" s="39"/>
      <c r="AN85" s="72" t="str">
        <f t="shared" si="91"/>
        <v/>
      </c>
      <c r="AO85" s="72" t="str">
        <f t="shared" si="92"/>
        <v/>
      </c>
      <c r="AP85" s="39"/>
      <c r="AQ85" s="72" t="str">
        <f t="shared" si="93"/>
        <v/>
      </c>
      <c r="AR85" s="72" t="str">
        <f t="shared" si="94"/>
        <v/>
      </c>
      <c r="AS85" s="39"/>
      <c r="AT85" s="40"/>
      <c r="AU85" s="39"/>
      <c r="AV85" s="72" t="str">
        <f t="shared" si="95"/>
        <v/>
      </c>
      <c r="AW85" s="72" t="str">
        <f t="shared" si="96"/>
        <v/>
      </c>
      <c r="AX85" s="39"/>
      <c r="AY85" s="40"/>
      <c r="AZ85" s="39"/>
      <c r="BA85" s="42" t="str">
        <f t="shared" si="97"/>
        <v/>
      </c>
      <c r="BB85" s="72" t="str">
        <f t="shared" si="98"/>
        <v/>
      </c>
      <c r="BC85" s="39"/>
      <c r="BD85" s="72" t="str">
        <f t="shared" si="99"/>
        <v/>
      </c>
      <c r="BE85" s="72" t="str">
        <f t="shared" si="100"/>
        <v/>
      </c>
      <c r="BF85" s="39"/>
      <c r="BG85" s="42" t="str">
        <f t="shared" si="101"/>
        <v/>
      </c>
      <c r="BH85" s="72" t="str">
        <f t="shared" si="102"/>
        <v/>
      </c>
      <c r="BI85" s="39"/>
      <c r="BJ85" s="40" t="str">
        <f t="shared" si="103"/>
        <v/>
      </c>
      <c r="BK85" s="157" t="str">
        <f t="shared" si="104"/>
        <v/>
      </c>
      <c r="BL85" s="157" t="str">
        <f t="shared" si="105"/>
        <v/>
      </c>
      <c r="BM85" s="72"/>
      <c r="BN85" s="72" t="str">
        <f t="shared" si="106"/>
        <v/>
      </c>
      <c r="BO85" s="72" t="str">
        <f t="shared" si="107"/>
        <v/>
      </c>
      <c r="BP85" s="39"/>
      <c r="BQ85" s="72" t="str">
        <f t="shared" si="108"/>
        <v/>
      </c>
      <c r="BR85" s="72" t="str">
        <f t="shared" si="109"/>
        <v/>
      </c>
    </row>
    <row r="86" spans="4:70" x14ac:dyDescent="0.15">
      <c r="F86" s="487"/>
      <c r="I86" s="322">
        <f t="shared" si="110"/>
        <v>2101</v>
      </c>
      <c r="K86" s="71">
        <f t="shared" si="111"/>
        <v>72</v>
      </c>
      <c r="M86" s="7">
        <f t="shared" si="76"/>
        <v>0.1190473743404982</v>
      </c>
      <c r="O86" s="10" t="str">
        <f t="shared" si="112"/>
        <v/>
      </c>
      <c r="P86" s="29" t="str">
        <f t="shared" si="77"/>
        <v/>
      </c>
      <c r="R86" s="10" t="str">
        <f t="shared" si="113"/>
        <v/>
      </c>
      <c r="T86" s="10" t="str">
        <f t="shared" si="78"/>
        <v/>
      </c>
      <c r="V86" s="10" t="str">
        <f t="shared" si="79"/>
        <v/>
      </c>
      <c r="W86" s="10" t="str">
        <f t="shared" si="80"/>
        <v/>
      </c>
      <c r="Y86" s="10" t="str">
        <f t="shared" si="81"/>
        <v/>
      </c>
      <c r="Z86" s="10" t="str">
        <f t="shared" si="82"/>
        <v/>
      </c>
      <c r="AB86" s="10" t="str">
        <f t="shared" si="83"/>
        <v/>
      </c>
      <c r="AC86" s="10" t="str">
        <f t="shared" si="84"/>
        <v/>
      </c>
      <c r="AE86" s="10" t="str">
        <f t="shared" si="85"/>
        <v/>
      </c>
      <c r="AF86" s="10" t="str">
        <f t="shared" si="86"/>
        <v/>
      </c>
      <c r="AH86" s="10" t="str">
        <f t="shared" si="87"/>
        <v/>
      </c>
      <c r="AI86" s="10" t="str">
        <f t="shared" si="88"/>
        <v/>
      </c>
      <c r="AK86" s="10" t="str">
        <f t="shared" si="89"/>
        <v/>
      </c>
      <c r="AL86" s="10" t="str">
        <f t="shared" si="90"/>
        <v/>
      </c>
      <c r="AN86" s="10" t="str">
        <f t="shared" si="91"/>
        <v/>
      </c>
      <c r="AO86" s="10" t="str">
        <f t="shared" si="92"/>
        <v/>
      </c>
      <c r="AQ86" s="10" t="str">
        <f t="shared" si="93"/>
        <v/>
      </c>
      <c r="AR86" s="10" t="str">
        <f t="shared" si="94"/>
        <v/>
      </c>
      <c r="AT86" s="7"/>
      <c r="AV86" s="10" t="str">
        <f t="shared" si="95"/>
        <v/>
      </c>
      <c r="AW86" s="10" t="str">
        <f t="shared" si="96"/>
        <v/>
      </c>
      <c r="AY86" s="7"/>
      <c r="BA86" s="11" t="str">
        <f t="shared" si="97"/>
        <v/>
      </c>
      <c r="BB86" s="10" t="str">
        <f t="shared" si="98"/>
        <v/>
      </c>
      <c r="BD86" s="10" t="str">
        <f t="shared" si="99"/>
        <v/>
      </c>
      <c r="BE86" s="10" t="str">
        <f t="shared" si="100"/>
        <v/>
      </c>
      <c r="BG86" s="11" t="str">
        <f t="shared" si="101"/>
        <v/>
      </c>
      <c r="BH86" s="10" t="str">
        <f t="shared" si="102"/>
        <v/>
      </c>
      <c r="BJ86" s="7" t="str">
        <f t="shared" si="103"/>
        <v/>
      </c>
      <c r="BK86" s="158" t="str">
        <f t="shared" si="104"/>
        <v/>
      </c>
      <c r="BL86" s="158" t="str">
        <f t="shared" si="105"/>
        <v/>
      </c>
      <c r="BM86" s="10"/>
      <c r="BN86" s="10" t="str">
        <f t="shared" si="106"/>
        <v/>
      </c>
      <c r="BO86" s="10" t="str">
        <f t="shared" si="107"/>
        <v/>
      </c>
      <c r="BQ86" s="10" t="str">
        <f t="shared" si="108"/>
        <v/>
      </c>
      <c r="BR86" s="10" t="str">
        <f t="shared" si="109"/>
        <v/>
      </c>
    </row>
    <row r="87" spans="4:70" x14ac:dyDescent="0.15">
      <c r="E87" s="84" t="s">
        <v>141</v>
      </c>
      <c r="F87" s="488">
        <f>AI116/$BR$116</f>
        <v>0.12308310319451594</v>
      </c>
      <c r="G87" s="84" t="s">
        <v>590</v>
      </c>
      <c r="I87" s="38">
        <f t="shared" si="110"/>
        <v>2102</v>
      </c>
      <c r="J87" s="39"/>
      <c r="K87" s="39">
        <f t="shared" si="111"/>
        <v>73</v>
      </c>
      <c r="L87" s="39"/>
      <c r="M87" s="40">
        <f t="shared" si="76"/>
        <v>0.11557997508786232</v>
      </c>
      <c r="N87" s="39"/>
      <c r="O87" s="72" t="str">
        <f t="shared" si="112"/>
        <v/>
      </c>
      <c r="P87" s="41" t="str">
        <f t="shared" si="77"/>
        <v/>
      </c>
      <c r="Q87" s="39"/>
      <c r="R87" s="72" t="str">
        <f t="shared" si="113"/>
        <v/>
      </c>
      <c r="S87" s="39"/>
      <c r="T87" s="72" t="str">
        <f t="shared" si="78"/>
        <v/>
      </c>
      <c r="U87" s="39"/>
      <c r="V87" s="72" t="str">
        <f t="shared" si="79"/>
        <v/>
      </c>
      <c r="W87" s="72" t="str">
        <f t="shared" si="80"/>
        <v/>
      </c>
      <c r="X87" s="39"/>
      <c r="Y87" s="72" t="str">
        <f t="shared" si="81"/>
        <v/>
      </c>
      <c r="Z87" s="72" t="str">
        <f t="shared" si="82"/>
        <v/>
      </c>
      <c r="AA87" s="39"/>
      <c r="AB87" s="72" t="str">
        <f t="shared" si="83"/>
        <v/>
      </c>
      <c r="AC87" s="72" t="str">
        <f t="shared" si="84"/>
        <v/>
      </c>
      <c r="AD87" s="39"/>
      <c r="AE87" s="72" t="str">
        <f t="shared" si="85"/>
        <v/>
      </c>
      <c r="AF87" s="72" t="str">
        <f t="shared" si="86"/>
        <v/>
      </c>
      <c r="AG87" s="39"/>
      <c r="AH87" s="72" t="str">
        <f t="shared" si="87"/>
        <v/>
      </c>
      <c r="AI87" s="72" t="str">
        <f t="shared" si="88"/>
        <v/>
      </c>
      <c r="AJ87" s="39"/>
      <c r="AK87" s="72" t="str">
        <f t="shared" si="89"/>
        <v/>
      </c>
      <c r="AL87" s="72" t="str">
        <f t="shared" si="90"/>
        <v/>
      </c>
      <c r="AM87" s="39"/>
      <c r="AN87" s="72" t="str">
        <f t="shared" si="91"/>
        <v/>
      </c>
      <c r="AO87" s="72" t="str">
        <f t="shared" si="92"/>
        <v/>
      </c>
      <c r="AP87" s="39"/>
      <c r="AQ87" s="72" t="str">
        <f t="shared" si="93"/>
        <v/>
      </c>
      <c r="AR87" s="72" t="str">
        <f t="shared" si="94"/>
        <v/>
      </c>
      <c r="AS87" s="39"/>
      <c r="AT87" s="40"/>
      <c r="AU87" s="39"/>
      <c r="AV87" s="72" t="str">
        <f t="shared" si="95"/>
        <v/>
      </c>
      <c r="AW87" s="72" t="str">
        <f t="shared" si="96"/>
        <v/>
      </c>
      <c r="AX87" s="39"/>
      <c r="AY87" s="40"/>
      <c r="AZ87" s="39"/>
      <c r="BA87" s="42" t="str">
        <f t="shared" si="97"/>
        <v/>
      </c>
      <c r="BB87" s="72" t="str">
        <f t="shared" si="98"/>
        <v/>
      </c>
      <c r="BC87" s="39"/>
      <c r="BD87" s="72" t="str">
        <f t="shared" si="99"/>
        <v/>
      </c>
      <c r="BE87" s="72" t="str">
        <f t="shared" si="100"/>
        <v/>
      </c>
      <c r="BF87" s="39"/>
      <c r="BG87" s="42" t="str">
        <f t="shared" si="101"/>
        <v/>
      </c>
      <c r="BH87" s="72" t="str">
        <f t="shared" si="102"/>
        <v/>
      </c>
      <c r="BI87" s="39"/>
      <c r="BJ87" s="40" t="str">
        <f t="shared" si="103"/>
        <v/>
      </c>
      <c r="BK87" s="157" t="str">
        <f t="shared" si="104"/>
        <v/>
      </c>
      <c r="BL87" s="157" t="str">
        <f t="shared" si="105"/>
        <v/>
      </c>
      <c r="BM87" s="72"/>
      <c r="BN87" s="72" t="str">
        <f t="shared" si="106"/>
        <v/>
      </c>
      <c r="BO87" s="72" t="str">
        <f t="shared" si="107"/>
        <v/>
      </c>
      <c r="BP87" s="39"/>
      <c r="BQ87" s="72" t="str">
        <f t="shared" si="108"/>
        <v/>
      </c>
      <c r="BR87" s="72" t="str">
        <f t="shared" si="109"/>
        <v/>
      </c>
    </row>
    <row r="88" spans="4:70" x14ac:dyDescent="0.15">
      <c r="E88" s="84" t="s">
        <v>120</v>
      </c>
      <c r="F88" s="488">
        <f>AL116/$BR$116</f>
        <v>1.4717925879313396</v>
      </c>
      <c r="G88" s="84" t="s">
        <v>590</v>
      </c>
      <c r="I88" s="322">
        <f t="shared" si="110"/>
        <v>2103</v>
      </c>
      <c r="K88" s="71">
        <f t="shared" si="111"/>
        <v>74</v>
      </c>
      <c r="M88" s="7">
        <f t="shared" si="76"/>
        <v>0.11221356804646829</v>
      </c>
      <c r="O88" s="10" t="str">
        <f t="shared" si="112"/>
        <v/>
      </c>
      <c r="P88" s="29" t="str">
        <f t="shared" si="77"/>
        <v/>
      </c>
      <c r="R88" s="10" t="str">
        <f t="shared" si="113"/>
        <v/>
      </c>
      <c r="T88" s="10" t="str">
        <f t="shared" si="78"/>
        <v/>
      </c>
      <c r="V88" s="10" t="str">
        <f t="shared" si="79"/>
        <v/>
      </c>
      <c r="W88" s="10" t="str">
        <f t="shared" si="80"/>
        <v/>
      </c>
      <c r="Y88" s="10" t="str">
        <f t="shared" si="81"/>
        <v/>
      </c>
      <c r="Z88" s="10" t="str">
        <f t="shared" si="82"/>
        <v/>
      </c>
      <c r="AB88" s="10" t="str">
        <f t="shared" si="83"/>
        <v/>
      </c>
      <c r="AC88" s="10" t="str">
        <f t="shared" si="84"/>
        <v/>
      </c>
      <c r="AE88" s="10" t="str">
        <f t="shared" si="85"/>
        <v/>
      </c>
      <c r="AF88" s="10" t="str">
        <f t="shared" si="86"/>
        <v/>
      </c>
      <c r="AH88" s="10" t="str">
        <f t="shared" si="87"/>
        <v/>
      </c>
      <c r="AI88" s="10" t="str">
        <f t="shared" si="88"/>
        <v/>
      </c>
      <c r="AK88" s="10" t="str">
        <f t="shared" si="89"/>
        <v/>
      </c>
      <c r="AL88" s="10" t="str">
        <f t="shared" si="90"/>
        <v/>
      </c>
      <c r="AN88" s="10" t="str">
        <f t="shared" si="91"/>
        <v/>
      </c>
      <c r="AO88" s="10" t="str">
        <f t="shared" si="92"/>
        <v/>
      </c>
      <c r="AQ88" s="10" t="str">
        <f t="shared" si="93"/>
        <v/>
      </c>
      <c r="AR88" s="10" t="str">
        <f t="shared" si="94"/>
        <v/>
      </c>
      <c r="AT88" s="7"/>
      <c r="AV88" s="10" t="str">
        <f t="shared" si="95"/>
        <v/>
      </c>
      <c r="AW88" s="10" t="str">
        <f t="shared" si="96"/>
        <v/>
      </c>
      <c r="AY88" s="7"/>
      <c r="BA88" s="11" t="str">
        <f t="shared" si="97"/>
        <v/>
      </c>
      <c r="BB88" s="10" t="str">
        <f t="shared" si="98"/>
        <v/>
      </c>
      <c r="BD88" s="10" t="str">
        <f t="shared" si="99"/>
        <v/>
      </c>
      <c r="BE88" s="10" t="str">
        <f t="shared" si="100"/>
        <v/>
      </c>
      <c r="BG88" s="11" t="str">
        <f t="shared" si="101"/>
        <v/>
      </c>
      <c r="BH88" s="10" t="str">
        <f t="shared" si="102"/>
        <v/>
      </c>
      <c r="BJ88" s="7" t="str">
        <f t="shared" si="103"/>
        <v/>
      </c>
      <c r="BK88" s="158" t="str">
        <f t="shared" si="104"/>
        <v/>
      </c>
      <c r="BL88" s="158" t="str">
        <f t="shared" si="105"/>
        <v/>
      </c>
      <c r="BM88" s="10"/>
      <c r="BN88" s="10" t="str">
        <f t="shared" si="106"/>
        <v/>
      </c>
      <c r="BO88" s="10" t="str">
        <f t="shared" si="107"/>
        <v/>
      </c>
      <c r="BQ88" s="10" t="str">
        <f t="shared" si="108"/>
        <v/>
      </c>
      <c r="BR88" s="10" t="str">
        <f t="shared" si="109"/>
        <v/>
      </c>
    </row>
    <row r="89" spans="4:70" x14ac:dyDescent="0.15">
      <c r="E89" s="84" t="s">
        <v>122</v>
      </c>
      <c r="F89" s="488">
        <f>AO116/$BR$116</f>
        <v>1.3491432056037278</v>
      </c>
      <c r="G89" s="84" t="s">
        <v>590</v>
      </c>
      <c r="I89" s="38">
        <f t="shared" si="110"/>
        <v>2104</v>
      </c>
      <c r="J89" s="39"/>
      <c r="K89" s="39">
        <f t="shared" si="111"/>
        <v>75</v>
      </c>
      <c r="L89" s="39"/>
      <c r="M89" s="40">
        <f t="shared" si="76"/>
        <v>0.10894521169560026</v>
      </c>
      <c r="N89" s="39"/>
      <c r="O89" s="72" t="str">
        <f t="shared" si="112"/>
        <v/>
      </c>
      <c r="P89" s="41" t="str">
        <f t="shared" si="77"/>
        <v/>
      </c>
      <c r="Q89" s="39"/>
      <c r="R89" s="72" t="str">
        <f t="shared" si="113"/>
        <v/>
      </c>
      <c r="S89" s="39"/>
      <c r="T89" s="72" t="str">
        <f t="shared" si="78"/>
        <v/>
      </c>
      <c r="U89" s="39"/>
      <c r="V89" s="72" t="str">
        <f t="shared" si="79"/>
        <v/>
      </c>
      <c r="W89" s="72" t="str">
        <f t="shared" si="80"/>
        <v/>
      </c>
      <c r="X89" s="39"/>
      <c r="Y89" s="72" t="str">
        <f t="shared" si="81"/>
        <v/>
      </c>
      <c r="Z89" s="72" t="str">
        <f t="shared" si="82"/>
        <v/>
      </c>
      <c r="AA89" s="39"/>
      <c r="AB89" s="72" t="str">
        <f t="shared" si="83"/>
        <v/>
      </c>
      <c r="AC89" s="72" t="str">
        <f t="shared" si="84"/>
        <v/>
      </c>
      <c r="AD89" s="39"/>
      <c r="AE89" s="72" t="str">
        <f t="shared" si="85"/>
        <v/>
      </c>
      <c r="AF89" s="72" t="str">
        <f t="shared" si="86"/>
        <v/>
      </c>
      <c r="AG89" s="39"/>
      <c r="AH89" s="72" t="str">
        <f t="shared" si="87"/>
        <v/>
      </c>
      <c r="AI89" s="72" t="str">
        <f t="shared" si="88"/>
        <v/>
      </c>
      <c r="AJ89" s="39"/>
      <c r="AK89" s="72" t="str">
        <f t="shared" si="89"/>
        <v/>
      </c>
      <c r="AL89" s="72" t="str">
        <f t="shared" si="90"/>
        <v/>
      </c>
      <c r="AM89" s="39"/>
      <c r="AN89" s="72" t="str">
        <f t="shared" si="91"/>
        <v/>
      </c>
      <c r="AO89" s="72" t="str">
        <f t="shared" si="92"/>
        <v/>
      </c>
      <c r="AP89" s="39"/>
      <c r="AQ89" s="72" t="str">
        <f t="shared" si="93"/>
        <v/>
      </c>
      <c r="AR89" s="72" t="str">
        <f t="shared" si="94"/>
        <v/>
      </c>
      <c r="AS89" s="39"/>
      <c r="AT89" s="40"/>
      <c r="AU89" s="39"/>
      <c r="AV89" s="72" t="str">
        <f t="shared" si="95"/>
        <v/>
      </c>
      <c r="AW89" s="72" t="str">
        <f t="shared" si="96"/>
        <v/>
      </c>
      <c r="AX89" s="39"/>
      <c r="AY89" s="40"/>
      <c r="AZ89" s="39"/>
      <c r="BA89" s="42" t="str">
        <f t="shared" si="97"/>
        <v/>
      </c>
      <c r="BB89" s="72" t="str">
        <f t="shared" si="98"/>
        <v/>
      </c>
      <c r="BC89" s="39"/>
      <c r="BD89" s="72" t="str">
        <f t="shared" si="99"/>
        <v/>
      </c>
      <c r="BE89" s="72" t="str">
        <f t="shared" si="100"/>
        <v/>
      </c>
      <c r="BF89" s="39"/>
      <c r="BG89" s="42" t="str">
        <f t="shared" si="101"/>
        <v/>
      </c>
      <c r="BH89" s="72" t="str">
        <f t="shared" si="102"/>
        <v/>
      </c>
      <c r="BI89" s="39"/>
      <c r="BJ89" s="40" t="str">
        <f t="shared" si="103"/>
        <v/>
      </c>
      <c r="BK89" s="157" t="str">
        <f t="shared" si="104"/>
        <v/>
      </c>
      <c r="BL89" s="157" t="str">
        <f t="shared" si="105"/>
        <v/>
      </c>
      <c r="BM89" s="72"/>
      <c r="BN89" s="72" t="str">
        <f t="shared" si="106"/>
        <v/>
      </c>
      <c r="BO89" s="72" t="str">
        <f t="shared" si="107"/>
        <v/>
      </c>
      <c r="BP89" s="39"/>
      <c r="BQ89" s="72" t="str">
        <f t="shared" si="108"/>
        <v/>
      </c>
      <c r="BR89" s="72" t="str">
        <f t="shared" si="109"/>
        <v/>
      </c>
    </row>
    <row r="90" spans="4:70" x14ac:dyDescent="0.15">
      <c r="E90" s="84" t="s">
        <v>142</v>
      </c>
      <c r="F90" s="488">
        <f>AR116/$BR$116</f>
        <v>0.35917030540100908</v>
      </c>
      <c r="G90" s="84" t="s">
        <v>590</v>
      </c>
      <c r="I90" s="322">
        <f t="shared" si="110"/>
        <v>2105</v>
      </c>
      <c r="K90" s="71">
        <f t="shared" si="111"/>
        <v>76</v>
      </c>
      <c r="M90" s="7">
        <f t="shared" si="76"/>
        <v>0.10577205018990318</v>
      </c>
      <c r="O90" s="10" t="str">
        <f t="shared" si="112"/>
        <v/>
      </c>
      <c r="P90" s="29" t="str">
        <f t="shared" si="77"/>
        <v/>
      </c>
      <c r="R90" s="10" t="str">
        <f t="shared" si="113"/>
        <v/>
      </c>
      <c r="T90" s="10" t="str">
        <f t="shared" si="78"/>
        <v/>
      </c>
      <c r="V90" s="10" t="str">
        <f t="shared" si="79"/>
        <v/>
      </c>
      <c r="W90" s="10" t="str">
        <f t="shared" si="80"/>
        <v/>
      </c>
      <c r="Y90" s="10" t="str">
        <f t="shared" si="81"/>
        <v/>
      </c>
      <c r="Z90" s="10" t="str">
        <f t="shared" si="82"/>
        <v/>
      </c>
      <c r="AB90" s="10" t="str">
        <f t="shared" si="83"/>
        <v/>
      </c>
      <c r="AC90" s="10" t="str">
        <f t="shared" si="84"/>
        <v/>
      </c>
      <c r="AE90" s="10" t="str">
        <f t="shared" si="85"/>
        <v/>
      </c>
      <c r="AF90" s="10" t="str">
        <f t="shared" si="86"/>
        <v/>
      </c>
      <c r="AH90" s="10" t="str">
        <f t="shared" si="87"/>
        <v/>
      </c>
      <c r="AI90" s="10" t="str">
        <f t="shared" si="88"/>
        <v/>
      </c>
      <c r="AK90" s="10" t="str">
        <f t="shared" si="89"/>
        <v/>
      </c>
      <c r="AL90" s="10" t="str">
        <f t="shared" si="90"/>
        <v/>
      </c>
      <c r="AN90" s="10" t="str">
        <f t="shared" si="91"/>
        <v/>
      </c>
      <c r="AO90" s="10" t="str">
        <f t="shared" si="92"/>
        <v/>
      </c>
      <c r="AQ90" s="10" t="str">
        <f t="shared" si="93"/>
        <v/>
      </c>
      <c r="AR90" s="10" t="str">
        <f t="shared" si="94"/>
        <v/>
      </c>
      <c r="AT90" s="7"/>
      <c r="AV90" s="10" t="str">
        <f t="shared" si="95"/>
        <v/>
      </c>
      <c r="AW90" s="10" t="str">
        <f t="shared" si="96"/>
        <v/>
      </c>
      <c r="AY90" s="7"/>
      <c r="BA90" s="11" t="str">
        <f t="shared" si="97"/>
        <v/>
      </c>
      <c r="BB90" s="10" t="str">
        <f t="shared" si="98"/>
        <v/>
      </c>
      <c r="BD90" s="10" t="str">
        <f t="shared" si="99"/>
        <v/>
      </c>
      <c r="BE90" s="10" t="str">
        <f t="shared" si="100"/>
        <v/>
      </c>
      <c r="BG90" s="11" t="str">
        <f t="shared" si="101"/>
        <v/>
      </c>
      <c r="BH90" s="10" t="str">
        <f t="shared" si="102"/>
        <v/>
      </c>
      <c r="BJ90" s="7" t="str">
        <f t="shared" si="103"/>
        <v/>
      </c>
      <c r="BK90" s="158" t="str">
        <f t="shared" si="104"/>
        <v/>
      </c>
      <c r="BL90" s="158" t="str">
        <f t="shared" si="105"/>
        <v/>
      </c>
      <c r="BM90" s="10"/>
      <c r="BN90" s="10" t="str">
        <f t="shared" si="106"/>
        <v/>
      </c>
      <c r="BO90" s="10" t="str">
        <f t="shared" si="107"/>
        <v/>
      </c>
      <c r="BQ90" s="10" t="str">
        <f t="shared" si="108"/>
        <v/>
      </c>
      <c r="BR90" s="10" t="str">
        <f t="shared" si="109"/>
        <v/>
      </c>
    </row>
    <row r="91" spans="4:70" x14ac:dyDescent="0.15">
      <c r="F91" s="487"/>
      <c r="I91" s="38">
        <f t="shared" si="110"/>
        <v>2106</v>
      </c>
      <c r="J91" s="39"/>
      <c r="K91" s="39">
        <f t="shared" si="111"/>
        <v>77</v>
      </c>
      <c r="L91" s="39"/>
      <c r="M91" s="40">
        <f t="shared" si="76"/>
        <v>0.10269131086398368</v>
      </c>
      <c r="N91" s="39"/>
      <c r="O91" s="72" t="str">
        <f t="shared" si="112"/>
        <v/>
      </c>
      <c r="P91" s="41" t="str">
        <f t="shared" si="77"/>
        <v/>
      </c>
      <c r="Q91" s="39"/>
      <c r="R91" s="72" t="str">
        <f t="shared" si="113"/>
        <v/>
      </c>
      <c r="S91" s="39"/>
      <c r="T91" s="72" t="str">
        <f t="shared" si="78"/>
        <v/>
      </c>
      <c r="U91" s="39"/>
      <c r="V91" s="72" t="str">
        <f t="shared" si="79"/>
        <v/>
      </c>
      <c r="W91" s="72" t="str">
        <f t="shared" si="80"/>
        <v/>
      </c>
      <c r="X91" s="39"/>
      <c r="Y91" s="72" t="str">
        <f t="shared" si="81"/>
        <v/>
      </c>
      <c r="Z91" s="72" t="str">
        <f t="shared" si="82"/>
        <v/>
      </c>
      <c r="AA91" s="39"/>
      <c r="AB91" s="72" t="str">
        <f t="shared" si="83"/>
        <v/>
      </c>
      <c r="AC91" s="72" t="str">
        <f t="shared" si="84"/>
        <v/>
      </c>
      <c r="AD91" s="39"/>
      <c r="AE91" s="72" t="str">
        <f t="shared" si="85"/>
        <v/>
      </c>
      <c r="AF91" s="72" t="str">
        <f t="shared" si="86"/>
        <v/>
      </c>
      <c r="AG91" s="39"/>
      <c r="AH91" s="72" t="str">
        <f t="shared" si="87"/>
        <v/>
      </c>
      <c r="AI91" s="72" t="str">
        <f t="shared" si="88"/>
        <v/>
      </c>
      <c r="AJ91" s="39"/>
      <c r="AK91" s="72" t="str">
        <f t="shared" si="89"/>
        <v/>
      </c>
      <c r="AL91" s="72" t="str">
        <f t="shared" si="90"/>
        <v/>
      </c>
      <c r="AM91" s="39"/>
      <c r="AN91" s="72" t="str">
        <f t="shared" si="91"/>
        <v/>
      </c>
      <c r="AO91" s="72" t="str">
        <f t="shared" si="92"/>
        <v/>
      </c>
      <c r="AP91" s="39"/>
      <c r="AQ91" s="72" t="str">
        <f t="shared" si="93"/>
        <v/>
      </c>
      <c r="AR91" s="72" t="str">
        <f t="shared" si="94"/>
        <v/>
      </c>
      <c r="AS91" s="39"/>
      <c r="AT91" s="40"/>
      <c r="AU91" s="39"/>
      <c r="AV91" s="72" t="str">
        <f t="shared" si="95"/>
        <v/>
      </c>
      <c r="AW91" s="72" t="str">
        <f t="shared" si="96"/>
        <v/>
      </c>
      <c r="AX91" s="39"/>
      <c r="AY91" s="40"/>
      <c r="AZ91" s="39"/>
      <c r="BA91" s="42" t="str">
        <f t="shared" si="97"/>
        <v/>
      </c>
      <c r="BB91" s="72" t="str">
        <f t="shared" si="98"/>
        <v/>
      </c>
      <c r="BC91" s="39"/>
      <c r="BD91" s="72" t="str">
        <f t="shared" si="99"/>
        <v/>
      </c>
      <c r="BE91" s="72" t="str">
        <f t="shared" si="100"/>
        <v/>
      </c>
      <c r="BF91" s="39"/>
      <c r="BG91" s="42" t="str">
        <f t="shared" si="101"/>
        <v/>
      </c>
      <c r="BH91" s="72" t="str">
        <f t="shared" si="102"/>
        <v/>
      </c>
      <c r="BI91" s="39"/>
      <c r="BJ91" s="40" t="str">
        <f t="shared" si="103"/>
        <v/>
      </c>
      <c r="BK91" s="157" t="str">
        <f t="shared" si="104"/>
        <v/>
      </c>
      <c r="BL91" s="157" t="str">
        <f t="shared" si="105"/>
        <v/>
      </c>
      <c r="BM91" s="72"/>
      <c r="BN91" s="72" t="str">
        <f t="shared" si="106"/>
        <v/>
      </c>
      <c r="BO91" s="72" t="str">
        <f t="shared" si="107"/>
        <v/>
      </c>
      <c r="BP91" s="39"/>
      <c r="BQ91" s="72" t="str">
        <f t="shared" si="108"/>
        <v/>
      </c>
      <c r="BR91" s="72" t="str">
        <f t="shared" si="109"/>
        <v/>
      </c>
    </row>
    <row r="92" spans="4:70" ht="15" x14ac:dyDescent="0.15">
      <c r="D92" s="103" t="s">
        <v>595</v>
      </c>
      <c r="F92" s="484">
        <f>SUBTOTAL(9,F96:F97)</f>
        <v>4.8643409558906914</v>
      </c>
      <c r="I92" s="322">
        <f t="shared" si="110"/>
        <v>2107</v>
      </c>
      <c r="K92" s="71">
        <f t="shared" si="111"/>
        <v>78</v>
      </c>
      <c r="M92" s="7">
        <f t="shared" si="76"/>
        <v>9.9700301809692873E-2</v>
      </c>
      <c r="O92" s="10" t="str">
        <f t="shared" si="112"/>
        <v/>
      </c>
      <c r="P92" s="29" t="str">
        <f t="shared" si="77"/>
        <v/>
      </c>
      <c r="R92" s="10" t="str">
        <f t="shared" si="113"/>
        <v/>
      </c>
      <c r="T92" s="10" t="str">
        <f t="shared" si="78"/>
        <v/>
      </c>
      <c r="V92" s="10" t="str">
        <f t="shared" si="79"/>
        <v/>
      </c>
      <c r="W92" s="10" t="str">
        <f t="shared" si="80"/>
        <v/>
      </c>
      <c r="Y92" s="10" t="str">
        <f t="shared" si="81"/>
        <v/>
      </c>
      <c r="Z92" s="10" t="str">
        <f t="shared" si="82"/>
        <v/>
      </c>
      <c r="AB92" s="10" t="str">
        <f t="shared" si="83"/>
        <v/>
      </c>
      <c r="AC92" s="10" t="str">
        <f t="shared" si="84"/>
        <v/>
      </c>
      <c r="AE92" s="10" t="str">
        <f t="shared" si="85"/>
        <v/>
      </c>
      <c r="AF92" s="10" t="str">
        <f t="shared" si="86"/>
        <v/>
      </c>
      <c r="AH92" s="10" t="str">
        <f t="shared" si="87"/>
        <v/>
      </c>
      <c r="AI92" s="10" t="str">
        <f t="shared" si="88"/>
        <v/>
      </c>
      <c r="AK92" s="10" t="str">
        <f t="shared" si="89"/>
        <v/>
      </c>
      <c r="AL92" s="10" t="str">
        <f t="shared" si="90"/>
        <v/>
      </c>
      <c r="AN92" s="10" t="str">
        <f t="shared" si="91"/>
        <v/>
      </c>
      <c r="AO92" s="10" t="str">
        <f t="shared" si="92"/>
        <v/>
      </c>
      <c r="AQ92" s="10" t="str">
        <f t="shared" si="93"/>
        <v/>
      </c>
      <c r="AR92" s="10" t="str">
        <f t="shared" si="94"/>
        <v/>
      </c>
      <c r="AT92" s="7"/>
      <c r="AV92" s="10" t="str">
        <f t="shared" si="95"/>
        <v/>
      </c>
      <c r="AW92" s="10" t="str">
        <f t="shared" si="96"/>
        <v/>
      </c>
      <c r="AY92" s="7"/>
      <c r="BA92" s="11" t="str">
        <f t="shared" si="97"/>
        <v/>
      </c>
      <c r="BB92" s="10" t="str">
        <f t="shared" si="98"/>
        <v/>
      </c>
      <c r="BD92" s="10" t="str">
        <f t="shared" si="99"/>
        <v/>
      </c>
      <c r="BE92" s="10" t="str">
        <f t="shared" si="100"/>
        <v/>
      </c>
      <c r="BG92" s="11" t="str">
        <f t="shared" si="101"/>
        <v/>
      </c>
      <c r="BH92" s="10" t="str">
        <f t="shared" si="102"/>
        <v/>
      </c>
      <c r="BJ92" s="7" t="str">
        <f t="shared" si="103"/>
        <v/>
      </c>
      <c r="BK92" s="158" t="str">
        <f t="shared" si="104"/>
        <v/>
      </c>
      <c r="BL92" s="158" t="str">
        <f t="shared" si="105"/>
        <v/>
      </c>
      <c r="BM92" s="10"/>
      <c r="BN92" s="10" t="str">
        <f t="shared" si="106"/>
        <v/>
      </c>
      <c r="BO92" s="10" t="str">
        <f t="shared" si="107"/>
        <v/>
      </c>
      <c r="BQ92" s="10" t="str">
        <f t="shared" si="108"/>
        <v/>
      </c>
      <c r="BR92" s="10" t="str">
        <f t="shared" si="109"/>
        <v/>
      </c>
    </row>
    <row r="93" spans="4:70" ht="15" x14ac:dyDescent="0.15">
      <c r="D93" s="103"/>
      <c r="F93" s="487"/>
      <c r="I93" s="38">
        <f t="shared" si="110"/>
        <v>2108</v>
      </c>
      <c r="J93" s="39"/>
      <c r="K93" s="39">
        <f t="shared" si="111"/>
        <v>79</v>
      </c>
      <c r="L93" s="39"/>
      <c r="M93" s="40">
        <f t="shared" si="76"/>
        <v>9.679640952397367E-2</v>
      </c>
      <c r="N93" s="39"/>
      <c r="O93" s="72" t="str">
        <f t="shared" si="112"/>
        <v/>
      </c>
      <c r="P93" s="41" t="str">
        <f t="shared" si="77"/>
        <v/>
      </c>
      <c r="Q93" s="39"/>
      <c r="R93" s="72" t="str">
        <f t="shared" si="113"/>
        <v/>
      </c>
      <c r="S93" s="39"/>
      <c r="T93" s="72" t="str">
        <f t="shared" si="78"/>
        <v/>
      </c>
      <c r="U93" s="39"/>
      <c r="V93" s="72" t="str">
        <f t="shared" si="79"/>
        <v/>
      </c>
      <c r="W93" s="72" t="str">
        <f t="shared" si="80"/>
        <v/>
      </c>
      <c r="X93" s="39"/>
      <c r="Y93" s="72" t="str">
        <f t="shared" si="81"/>
        <v/>
      </c>
      <c r="Z93" s="72" t="str">
        <f t="shared" si="82"/>
        <v/>
      </c>
      <c r="AA93" s="39"/>
      <c r="AB93" s="72" t="str">
        <f t="shared" si="83"/>
        <v/>
      </c>
      <c r="AC93" s="72" t="str">
        <f t="shared" si="84"/>
        <v/>
      </c>
      <c r="AD93" s="39"/>
      <c r="AE93" s="72" t="str">
        <f t="shared" si="85"/>
        <v/>
      </c>
      <c r="AF93" s="72" t="str">
        <f t="shared" si="86"/>
        <v/>
      </c>
      <c r="AG93" s="39"/>
      <c r="AH93" s="72" t="str">
        <f t="shared" si="87"/>
        <v/>
      </c>
      <c r="AI93" s="72" t="str">
        <f t="shared" si="88"/>
        <v/>
      </c>
      <c r="AJ93" s="39"/>
      <c r="AK93" s="72" t="str">
        <f t="shared" si="89"/>
        <v/>
      </c>
      <c r="AL93" s="72" t="str">
        <f t="shared" si="90"/>
        <v/>
      </c>
      <c r="AM93" s="39"/>
      <c r="AN93" s="72" t="str">
        <f t="shared" si="91"/>
        <v/>
      </c>
      <c r="AO93" s="72" t="str">
        <f t="shared" si="92"/>
        <v/>
      </c>
      <c r="AP93" s="39"/>
      <c r="AQ93" s="72" t="str">
        <f t="shared" si="93"/>
        <v/>
      </c>
      <c r="AR93" s="72" t="str">
        <f t="shared" si="94"/>
        <v/>
      </c>
      <c r="AS93" s="39"/>
      <c r="AT93" s="40"/>
      <c r="AU93" s="39"/>
      <c r="AV93" s="72" t="str">
        <f t="shared" si="95"/>
        <v/>
      </c>
      <c r="AW93" s="72" t="str">
        <f t="shared" si="96"/>
        <v/>
      </c>
      <c r="AX93" s="39"/>
      <c r="AY93" s="40"/>
      <c r="AZ93" s="39"/>
      <c r="BA93" s="42" t="str">
        <f t="shared" si="97"/>
        <v/>
      </c>
      <c r="BB93" s="72" t="str">
        <f t="shared" si="98"/>
        <v/>
      </c>
      <c r="BC93" s="39"/>
      <c r="BD93" s="72" t="str">
        <f t="shared" si="99"/>
        <v/>
      </c>
      <c r="BE93" s="72" t="str">
        <f t="shared" si="100"/>
        <v/>
      </c>
      <c r="BF93" s="39"/>
      <c r="BG93" s="42" t="str">
        <f t="shared" si="101"/>
        <v/>
      </c>
      <c r="BH93" s="72" t="str">
        <f t="shared" si="102"/>
        <v/>
      </c>
      <c r="BI93" s="39"/>
      <c r="BJ93" s="40" t="str">
        <f t="shared" si="103"/>
        <v/>
      </c>
      <c r="BK93" s="157" t="str">
        <f t="shared" si="104"/>
        <v/>
      </c>
      <c r="BL93" s="157" t="str">
        <f t="shared" si="105"/>
        <v/>
      </c>
      <c r="BM93" s="72"/>
      <c r="BN93" s="72" t="str">
        <f t="shared" si="106"/>
        <v/>
      </c>
      <c r="BO93" s="72" t="str">
        <f t="shared" si="107"/>
        <v/>
      </c>
      <c r="BP93" s="39"/>
      <c r="BQ93" s="72" t="str">
        <f t="shared" si="108"/>
        <v/>
      </c>
      <c r="BR93" s="72" t="str">
        <f t="shared" si="109"/>
        <v/>
      </c>
    </row>
    <row r="94" spans="4:70" x14ac:dyDescent="0.15">
      <c r="D94" s="100" t="s">
        <v>596</v>
      </c>
      <c r="E94" s="100"/>
      <c r="F94" s="486"/>
      <c r="G94" s="100"/>
      <c r="I94" s="322">
        <f t="shared" si="110"/>
        <v>2109</v>
      </c>
      <c r="K94" s="71">
        <f t="shared" si="111"/>
        <v>80</v>
      </c>
      <c r="M94" s="7">
        <f t="shared" si="76"/>
        <v>9.3977096625217166E-2</v>
      </c>
      <c r="O94" s="10" t="str">
        <f t="shared" si="112"/>
        <v/>
      </c>
      <c r="P94" s="29" t="str">
        <f t="shared" si="77"/>
        <v/>
      </c>
      <c r="R94" s="10" t="str">
        <f t="shared" si="113"/>
        <v/>
      </c>
      <c r="T94" s="10" t="str">
        <f t="shared" si="78"/>
        <v/>
      </c>
      <c r="V94" s="10" t="str">
        <f t="shared" si="79"/>
        <v/>
      </c>
      <c r="W94" s="10" t="str">
        <f t="shared" si="80"/>
        <v/>
      </c>
      <c r="Y94" s="10" t="str">
        <f t="shared" si="81"/>
        <v/>
      </c>
      <c r="Z94" s="10" t="str">
        <f t="shared" si="82"/>
        <v/>
      </c>
      <c r="AB94" s="10" t="str">
        <f t="shared" si="83"/>
        <v/>
      </c>
      <c r="AC94" s="10" t="str">
        <f t="shared" si="84"/>
        <v/>
      </c>
      <c r="AE94" s="10" t="str">
        <f t="shared" si="85"/>
        <v/>
      </c>
      <c r="AF94" s="10" t="str">
        <f t="shared" si="86"/>
        <v/>
      </c>
      <c r="AH94" s="10" t="str">
        <f t="shared" si="87"/>
        <v/>
      </c>
      <c r="AI94" s="10" t="str">
        <f t="shared" si="88"/>
        <v/>
      </c>
      <c r="AK94" s="10" t="str">
        <f t="shared" si="89"/>
        <v/>
      </c>
      <c r="AL94" s="10" t="str">
        <f t="shared" si="90"/>
        <v/>
      </c>
      <c r="AN94" s="10" t="str">
        <f t="shared" si="91"/>
        <v/>
      </c>
      <c r="AO94" s="10" t="str">
        <f t="shared" si="92"/>
        <v/>
      </c>
      <c r="AQ94" s="10" t="str">
        <f t="shared" si="93"/>
        <v/>
      </c>
      <c r="AR94" s="10" t="str">
        <f t="shared" si="94"/>
        <v/>
      </c>
      <c r="AT94" s="7"/>
      <c r="AV94" s="10" t="str">
        <f t="shared" si="95"/>
        <v/>
      </c>
      <c r="AW94" s="10" t="str">
        <f t="shared" si="96"/>
        <v/>
      </c>
      <c r="AY94" s="7"/>
      <c r="BA94" s="11" t="str">
        <f t="shared" si="97"/>
        <v/>
      </c>
      <c r="BB94" s="10" t="str">
        <f t="shared" si="98"/>
        <v/>
      </c>
      <c r="BD94" s="10" t="str">
        <f t="shared" si="99"/>
        <v/>
      </c>
      <c r="BE94" s="10" t="str">
        <f t="shared" si="100"/>
        <v/>
      </c>
      <c r="BG94" s="11" t="str">
        <f t="shared" si="101"/>
        <v/>
      </c>
      <c r="BH94" s="10" t="str">
        <f t="shared" si="102"/>
        <v/>
      </c>
      <c r="BJ94" s="7" t="str">
        <f t="shared" si="103"/>
        <v/>
      </c>
      <c r="BK94" s="158" t="str">
        <f t="shared" si="104"/>
        <v/>
      </c>
      <c r="BL94" s="158" t="str">
        <f t="shared" si="105"/>
        <v/>
      </c>
      <c r="BM94" s="10"/>
      <c r="BN94" s="10" t="str">
        <f t="shared" si="106"/>
        <v/>
      </c>
      <c r="BO94" s="10" t="str">
        <f t="shared" si="107"/>
        <v/>
      </c>
      <c r="BQ94" s="10" t="str">
        <f t="shared" si="108"/>
        <v/>
      </c>
      <c r="BR94" s="10" t="str">
        <f t="shared" si="109"/>
        <v/>
      </c>
    </row>
    <row r="95" spans="4:70" ht="15" x14ac:dyDescent="0.15">
      <c r="D95" s="103"/>
      <c r="F95" s="487"/>
      <c r="I95" s="38">
        <f t="shared" si="110"/>
        <v>2110</v>
      </c>
      <c r="J95" s="39"/>
      <c r="K95" s="39">
        <f t="shared" si="111"/>
        <v>81</v>
      </c>
      <c r="L95" s="39"/>
      <c r="M95" s="40">
        <f t="shared" si="76"/>
        <v>9.1239899636133173E-2</v>
      </c>
      <c r="N95" s="39"/>
      <c r="O95" s="72" t="str">
        <f t="shared" si="112"/>
        <v/>
      </c>
      <c r="P95" s="41" t="str">
        <f t="shared" si="77"/>
        <v/>
      </c>
      <c r="Q95" s="39"/>
      <c r="R95" s="72" t="str">
        <f t="shared" si="113"/>
        <v/>
      </c>
      <c r="S95" s="39"/>
      <c r="T95" s="72" t="str">
        <f t="shared" si="78"/>
        <v/>
      </c>
      <c r="U95" s="39"/>
      <c r="V95" s="72" t="str">
        <f t="shared" si="79"/>
        <v/>
      </c>
      <c r="W95" s="72" t="str">
        <f t="shared" si="80"/>
        <v/>
      </c>
      <c r="X95" s="39"/>
      <c r="Y95" s="72" t="str">
        <f t="shared" si="81"/>
        <v/>
      </c>
      <c r="Z95" s="72" t="str">
        <f t="shared" si="82"/>
        <v/>
      </c>
      <c r="AA95" s="39"/>
      <c r="AB95" s="72" t="str">
        <f t="shared" si="83"/>
        <v/>
      </c>
      <c r="AC95" s="72" t="str">
        <f t="shared" si="84"/>
        <v/>
      </c>
      <c r="AD95" s="39"/>
      <c r="AE95" s="72" t="str">
        <f t="shared" si="85"/>
        <v/>
      </c>
      <c r="AF95" s="72" t="str">
        <f t="shared" si="86"/>
        <v/>
      </c>
      <c r="AG95" s="39"/>
      <c r="AH95" s="72" t="str">
        <f t="shared" si="87"/>
        <v/>
      </c>
      <c r="AI95" s="72" t="str">
        <f t="shared" si="88"/>
        <v/>
      </c>
      <c r="AJ95" s="39"/>
      <c r="AK95" s="72" t="str">
        <f t="shared" si="89"/>
        <v/>
      </c>
      <c r="AL95" s="72" t="str">
        <f t="shared" si="90"/>
        <v/>
      </c>
      <c r="AM95" s="39"/>
      <c r="AN95" s="72" t="str">
        <f t="shared" si="91"/>
        <v/>
      </c>
      <c r="AO95" s="72" t="str">
        <f t="shared" si="92"/>
        <v/>
      </c>
      <c r="AP95" s="39"/>
      <c r="AQ95" s="72" t="str">
        <f t="shared" si="93"/>
        <v/>
      </c>
      <c r="AR95" s="72" t="str">
        <f t="shared" si="94"/>
        <v/>
      </c>
      <c r="AS95" s="39"/>
      <c r="AT95" s="40"/>
      <c r="AU95" s="39"/>
      <c r="AV95" s="72" t="str">
        <f t="shared" si="95"/>
        <v/>
      </c>
      <c r="AW95" s="72" t="str">
        <f t="shared" si="96"/>
        <v/>
      </c>
      <c r="AX95" s="39"/>
      <c r="AY95" s="40"/>
      <c r="AZ95" s="39"/>
      <c r="BA95" s="42" t="str">
        <f t="shared" si="97"/>
        <v/>
      </c>
      <c r="BB95" s="72" t="str">
        <f t="shared" si="98"/>
        <v/>
      </c>
      <c r="BC95" s="39"/>
      <c r="BD95" s="72" t="str">
        <f t="shared" si="99"/>
        <v/>
      </c>
      <c r="BE95" s="72" t="str">
        <f t="shared" si="100"/>
        <v/>
      </c>
      <c r="BF95" s="39"/>
      <c r="BG95" s="42" t="str">
        <f t="shared" si="101"/>
        <v/>
      </c>
      <c r="BH95" s="72" t="str">
        <f t="shared" si="102"/>
        <v/>
      </c>
      <c r="BI95" s="39"/>
      <c r="BJ95" s="40" t="str">
        <f t="shared" si="103"/>
        <v/>
      </c>
      <c r="BK95" s="157" t="str">
        <f t="shared" si="104"/>
        <v/>
      </c>
      <c r="BL95" s="157" t="str">
        <f t="shared" si="105"/>
        <v/>
      </c>
      <c r="BM95" s="72"/>
      <c r="BN95" s="72" t="str">
        <f t="shared" si="106"/>
        <v/>
      </c>
      <c r="BO95" s="72" t="str">
        <f t="shared" si="107"/>
        <v/>
      </c>
      <c r="BP95" s="39"/>
      <c r="BQ95" s="72" t="str">
        <f t="shared" si="108"/>
        <v/>
      </c>
      <c r="BR95" s="72" t="str">
        <f t="shared" si="109"/>
        <v/>
      </c>
    </row>
    <row r="96" spans="4:70" ht="15" x14ac:dyDescent="0.15">
      <c r="D96" s="103"/>
      <c r="E96" s="84" t="s">
        <v>597</v>
      </c>
      <c r="F96" s="488">
        <f>IF(F3&lt;&gt;"原子力",AW116/$BR$116,0)</f>
        <v>4.8643409558906914</v>
      </c>
      <c r="G96" s="84" t="s">
        <v>590</v>
      </c>
      <c r="I96" s="322">
        <f t="shared" si="110"/>
        <v>2111</v>
      </c>
      <c r="K96" s="71">
        <f t="shared" si="111"/>
        <v>82</v>
      </c>
      <c r="M96" s="7">
        <f t="shared" si="76"/>
        <v>8.8582426831197242E-2</v>
      </c>
      <c r="O96" s="10" t="str">
        <f t="shared" si="112"/>
        <v/>
      </c>
      <c r="P96" s="29" t="str">
        <f t="shared" si="77"/>
        <v/>
      </c>
      <c r="R96" s="10" t="str">
        <f t="shared" si="113"/>
        <v/>
      </c>
      <c r="T96" s="10" t="str">
        <f t="shared" si="78"/>
        <v/>
      </c>
      <c r="V96" s="10" t="str">
        <f t="shared" si="79"/>
        <v/>
      </c>
      <c r="W96" s="10" t="str">
        <f t="shared" si="80"/>
        <v/>
      </c>
      <c r="Y96" s="10" t="str">
        <f t="shared" si="81"/>
        <v/>
      </c>
      <c r="Z96" s="10" t="str">
        <f t="shared" si="82"/>
        <v/>
      </c>
      <c r="AB96" s="10" t="str">
        <f t="shared" si="83"/>
        <v/>
      </c>
      <c r="AC96" s="10" t="str">
        <f t="shared" si="84"/>
        <v/>
      </c>
      <c r="AE96" s="10" t="str">
        <f t="shared" si="85"/>
        <v/>
      </c>
      <c r="AF96" s="10" t="str">
        <f t="shared" si="86"/>
        <v/>
      </c>
      <c r="AH96" s="10" t="str">
        <f t="shared" si="87"/>
        <v/>
      </c>
      <c r="AI96" s="10" t="str">
        <f t="shared" si="88"/>
        <v/>
      </c>
      <c r="AK96" s="10" t="str">
        <f t="shared" si="89"/>
        <v/>
      </c>
      <c r="AL96" s="10" t="str">
        <f t="shared" si="90"/>
        <v/>
      </c>
      <c r="AN96" s="10" t="str">
        <f t="shared" si="91"/>
        <v/>
      </c>
      <c r="AO96" s="10" t="str">
        <f t="shared" si="92"/>
        <v/>
      </c>
      <c r="AQ96" s="10" t="str">
        <f t="shared" si="93"/>
        <v/>
      </c>
      <c r="AR96" s="10" t="str">
        <f t="shared" si="94"/>
        <v/>
      </c>
      <c r="AT96" s="7"/>
      <c r="AV96" s="10" t="str">
        <f t="shared" si="95"/>
        <v/>
      </c>
      <c r="AW96" s="10" t="str">
        <f t="shared" si="96"/>
        <v/>
      </c>
      <c r="AY96" s="7"/>
      <c r="BA96" s="11" t="str">
        <f t="shared" si="97"/>
        <v/>
      </c>
      <c r="BB96" s="10" t="str">
        <f t="shared" si="98"/>
        <v/>
      </c>
      <c r="BD96" s="10" t="str">
        <f t="shared" si="99"/>
        <v/>
      </c>
      <c r="BE96" s="10" t="str">
        <f t="shared" si="100"/>
        <v/>
      </c>
      <c r="BG96" s="11" t="str">
        <f t="shared" si="101"/>
        <v/>
      </c>
      <c r="BH96" s="10" t="str">
        <f t="shared" si="102"/>
        <v/>
      </c>
      <c r="BJ96" s="7" t="str">
        <f t="shared" si="103"/>
        <v/>
      </c>
      <c r="BK96" s="158" t="str">
        <f t="shared" si="104"/>
        <v/>
      </c>
      <c r="BL96" s="158" t="str">
        <f t="shared" si="105"/>
        <v/>
      </c>
      <c r="BM96" s="10"/>
      <c r="BN96" s="10" t="str">
        <f t="shared" si="106"/>
        <v/>
      </c>
      <c r="BO96" s="10" t="str">
        <f t="shared" si="107"/>
        <v/>
      </c>
      <c r="BQ96" s="10" t="str">
        <f t="shared" si="108"/>
        <v/>
      </c>
      <c r="BR96" s="10" t="str">
        <f t="shared" si="109"/>
        <v/>
      </c>
    </row>
    <row r="97" spans="1:70" ht="15" x14ac:dyDescent="0.15">
      <c r="D97" s="103"/>
      <c r="E97" s="84" t="s">
        <v>598</v>
      </c>
      <c r="F97" s="488">
        <f>IF(F3="原子力",'表5）核燃料サイクル費用'!B30,0)</f>
        <v>0</v>
      </c>
      <c r="G97" s="84" t="s">
        <v>590</v>
      </c>
      <c r="I97" s="38">
        <f t="shared" si="110"/>
        <v>2112</v>
      </c>
      <c r="J97" s="39"/>
      <c r="K97" s="39">
        <f t="shared" si="111"/>
        <v>83</v>
      </c>
      <c r="L97" s="39"/>
      <c r="M97" s="40">
        <f t="shared" si="76"/>
        <v>8.6002356146793454E-2</v>
      </c>
      <c r="N97" s="39"/>
      <c r="O97" s="72" t="str">
        <f t="shared" si="112"/>
        <v/>
      </c>
      <c r="P97" s="41" t="str">
        <f t="shared" si="77"/>
        <v/>
      </c>
      <c r="Q97" s="39"/>
      <c r="R97" s="72" t="str">
        <f t="shared" si="113"/>
        <v/>
      </c>
      <c r="S97" s="39"/>
      <c r="T97" s="72" t="str">
        <f t="shared" si="78"/>
        <v/>
      </c>
      <c r="U97" s="39"/>
      <c r="V97" s="72" t="str">
        <f t="shared" si="79"/>
        <v/>
      </c>
      <c r="W97" s="72" t="str">
        <f t="shared" si="80"/>
        <v/>
      </c>
      <c r="X97" s="39"/>
      <c r="Y97" s="72" t="str">
        <f t="shared" si="81"/>
        <v/>
      </c>
      <c r="Z97" s="72" t="str">
        <f t="shared" si="82"/>
        <v/>
      </c>
      <c r="AA97" s="39"/>
      <c r="AB97" s="72" t="str">
        <f t="shared" si="83"/>
        <v/>
      </c>
      <c r="AC97" s="72" t="str">
        <f t="shared" si="84"/>
        <v/>
      </c>
      <c r="AD97" s="39"/>
      <c r="AE97" s="72" t="str">
        <f t="shared" si="85"/>
        <v/>
      </c>
      <c r="AF97" s="72" t="str">
        <f t="shared" si="86"/>
        <v/>
      </c>
      <c r="AG97" s="39"/>
      <c r="AH97" s="72" t="str">
        <f t="shared" si="87"/>
        <v/>
      </c>
      <c r="AI97" s="72" t="str">
        <f t="shared" si="88"/>
        <v/>
      </c>
      <c r="AJ97" s="39"/>
      <c r="AK97" s="72" t="str">
        <f t="shared" si="89"/>
        <v/>
      </c>
      <c r="AL97" s="72" t="str">
        <f t="shared" si="90"/>
        <v/>
      </c>
      <c r="AM97" s="39"/>
      <c r="AN97" s="72" t="str">
        <f t="shared" si="91"/>
        <v/>
      </c>
      <c r="AO97" s="72" t="str">
        <f t="shared" si="92"/>
        <v/>
      </c>
      <c r="AP97" s="39"/>
      <c r="AQ97" s="72" t="str">
        <f t="shared" si="93"/>
        <v/>
      </c>
      <c r="AR97" s="72" t="str">
        <f t="shared" si="94"/>
        <v/>
      </c>
      <c r="AS97" s="39"/>
      <c r="AT97" s="40"/>
      <c r="AU97" s="39"/>
      <c r="AV97" s="72" t="str">
        <f t="shared" si="95"/>
        <v/>
      </c>
      <c r="AW97" s="72" t="str">
        <f t="shared" si="96"/>
        <v/>
      </c>
      <c r="AX97" s="39"/>
      <c r="AY97" s="40"/>
      <c r="AZ97" s="39"/>
      <c r="BA97" s="42" t="str">
        <f t="shared" si="97"/>
        <v/>
      </c>
      <c r="BB97" s="72" t="str">
        <f t="shared" si="98"/>
        <v/>
      </c>
      <c r="BC97" s="39"/>
      <c r="BD97" s="72" t="str">
        <f t="shared" si="99"/>
        <v/>
      </c>
      <c r="BE97" s="72" t="str">
        <f t="shared" si="100"/>
        <v/>
      </c>
      <c r="BF97" s="39"/>
      <c r="BG97" s="42" t="str">
        <f t="shared" si="101"/>
        <v/>
      </c>
      <c r="BH97" s="72" t="str">
        <f t="shared" si="102"/>
        <v/>
      </c>
      <c r="BI97" s="39"/>
      <c r="BJ97" s="40" t="str">
        <f t="shared" si="103"/>
        <v/>
      </c>
      <c r="BK97" s="157" t="str">
        <f t="shared" si="104"/>
        <v/>
      </c>
      <c r="BL97" s="157" t="str">
        <f t="shared" si="105"/>
        <v/>
      </c>
      <c r="BM97" s="72"/>
      <c r="BN97" s="72" t="str">
        <f t="shared" si="106"/>
        <v/>
      </c>
      <c r="BO97" s="72" t="str">
        <f t="shared" si="107"/>
        <v/>
      </c>
      <c r="BP97" s="39"/>
      <c r="BQ97" s="72" t="str">
        <f t="shared" si="108"/>
        <v/>
      </c>
      <c r="BR97" s="72" t="str">
        <f t="shared" si="109"/>
        <v/>
      </c>
    </row>
    <row r="98" spans="1:70" x14ac:dyDescent="0.15">
      <c r="F98" s="487"/>
      <c r="I98" s="322">
        <f t="shared" si="110"/>
        <v>2113</v>
      </c>
      <c r="K98" s="71">
        <f t="shared" si="111"/>
        <v>84</v>
      </c>
      <c r="M98" s="7">
        <f t="shared" si="76"/>
        <v>8.3497433152226644E-2</v>
      </c>
      <c r="O98" s="10" t="str">
        <f t="shared" si="112"/>
        <v/>
      </c>
      <c r="P98" s="29" t="str">
        <f t="shared" si="77"/>
        <v/>
      </c>
      <c r="R98" s="10" t="str">
        <f t="shared" si="113"/>
        <v/>
      </c>
      <c r="T98" s="10" t="str">
        <f t="shared" si="78"/>
        <v/>
      </c>
      <c r="V98" s="10" t="str">
        <f t="shared" si="79"/>
        <v/>
      </c>
      <c r="W98" s="10" t="str">
        <f t="shared" si="80"/>
        <v/>
      </c>
      <c r="Y98" s="10" t="str">
        <f t="shared" si="81"/>
        <v/>
      </c>
      <c r="Z98" s="10" t="str">
        <f t="shared" si="82"/>
        <v/>
      </c>
      <c r="AB98" s="10" t="str">
        <f t="shared" si="83"/>
        <v/>
      </c>
      <c r="AC98" s="10" t="str">
        <f t="shared" si="84"/>
        <v/>
      </c>
      <c r="AE98" s="10" t="str">
        <f t="shared" si="85"/>
        <v/>
      </c>
      <c r="AF98" s="10" t="str">
        <f t="shared" si="86"/>
        <v/>
      </c>
      <c r="AH98" s="10" t="str">
        <f t="shared" si="87"/>
        <v/>
      </c>
      <c r="AI98" s="10" t="str">
        <f t="shared" si="88"/>
        <v/>
      </c>
      <c r="AK98" s="10" t="str">
        <f t="shared" si="89"/>
        <v/>
      </c>
      <c r="AL98" s="10" t="str">
        <f t="shared" si="90"/>
        <v/>
      </c>
      <c r="AN98" s="10" t="str">
        <f t="shared" si="91"/>
        <v/>
      </c>
      <c r="AO98" s="10" t="str">
        <f t="shared" si="92"/>
        <v/>
      </c>
      <c r="AQ98" s="10" t="str">
        <f t="shared" si="93"/>
        <v/>
      </c>
      <c r="AR98" s="10" t="str">
        <f t="shared" si="94"/>
        <v/>
      </c>
      <c r="AT98" s="7"/>
      <c r="AV98" s="10" t="str">
        <f t="shared" si="95"/>
        <v/>
      </c>
      <c r="AW98" s="10" t="str">
        <f t="shared" si="96"/>
        <v/>
      </c>
      <c r="AY98" s="7"/>
      <c r="BA98" s="11" t="str">
        <f t="shared" si="97"/>
        <v/>
      </c>
      <c r="BB98" s="10" t="str">
        <f t="shared" si="98"/>
        <v/>
      </c>
      <c r="BD98" s="10" t="str">
        <f t="shared" si="99"/>
        <v/>
      </c>
      <c r="BE98" s="10" t="str">
        <f t="shared" si="100"/>
        <v/>
      </c>
      <c r="BG98" s="11" t="str">
        <f t="shared" si="101"/>
        <v/>
      </c>
      <c r="BH98" s="10" t="str">
        <f t="shared" si="102"/>
        <v/>
      </c>
      <c r="BJ98" s="7" t="str">
        <f t="shared" si="103"/>
        <v/>
      </c>
      <c r="BK98" s="158" t="str">
        <f t="shared" si="104"/>
        <v/>
      </c>
      <c r="BL98" s="158" t="str">
        <f t="shared" si="105"/>
        <v/>
      </c>
      <c r="BM98" s="10"/>
      <c r="BN98" s="10" t="str">
        <f t="shared" si="106"/>
        <v/>
      </c>
      <c r="BO98" s="10" t="str">
        <f t="shared" si="107"/>
        <v/>
      </c>
      <c r="BQ98" s="10" t="str">
        <f t="shared" si="108"/>
        <v/>
      </c>
      <c r="BR98" s="10" t="str">
        <f t="shared" si="109"/>
        <v/>
      </c>
    </row>
    <row r="99" spans="1:70" ht="15" x14ac:dyDescent="0.15">
      <c r="D99" s="103" t="s">
        <v>599</v>
      </c>
      <c r="F99" s="484">
        <f>SUBTOTAL(9,F103:F106)</f>
        <v>2.8876296182209309</v>
      </c>
      <c r="G99" s="84" t="s">
        <v>590</v>
      </c>
      <c r="I99" s="38">
        <f t="shared" si="110"/>
        <v>2114</v>
      </c>
      <c r="J99" s="39"/>
      <c r="K99" s="39">
        <f t="shared" si="111"/>
        <v>85</v>
      </c>
      <c r="L99" s="39"/>
      <c r="M99" s="40">
        <f t="shared" si="76"/>
        <v>8.1065469079831712E-2</v>
      </c>
      <c r="N99" s="39"/>
      <c r="O99" s="72" t="str">
        <f t="shared" si="112"/>
        <v/>
      </c>
      <c r="P99" s="41" t="str">
        <f t="shared" si="77"/>
        <v/>
      </c>
      <c r="Q99" s="39"/>
      <c r="R99" s="72" t="str">
        <f t="shared" si="113"/>
        <v/>
      </c>
      <c r="S99" s="39"/>
      <c r="T99" s="72" t="str">
        <f t="shared" si="78"/>
        <v/>
      </c>
      <c r="U99" s="39"/>
      <c r="V99" s="72" t="str">
        <f t="shared" si="79"/>
        <v/>
      </c>
      <c r="W99" s="72" t="str">
        <f t="shared" si="80"/>
        <v/>
      </c>
      <c r="X99" s="39"/>
      <c r="Y99" s="72" t="str">
        <f t="shared" si="81"/>
        <v/>
      </c>
      <c r="Z99" s="72" t="str">
        <f t="shared" si="82"/>
        <v/>
      </c>
      <c r="AA99" s="39"/>
      <c r="AB99" s="72" t="str">
        <f t="shared" si="83"/>
        <v/>
      </c>
      <c r="AC99" s="72" t="str">
        <f t="shared" si="84"/>
        <v/>
      </c>
      <c r="AD99" s="39"/>
      <c r="AE99" s="72" t="str">
        <f t="shared" si="85"/>
        <v/>
      </c>
      <c r="AF99" s="72" t="str">
        <f t="shared" si="86"/>
        <v/>
      </c>
      <c r="AG99" s="39"/>
      <c r="AH99" s="72" t="str">
        <f t="shared" si="87"/>
        <v/>
      </c>
      <c r="AI99" s="72" t="str">
        <f t="shared" si="88"/>
        <v/>
      </c>
      <c r="AJ99" s="39"/>
      <c r="AK99" s="72" t="str">
        <f t="shared" si="89"/>
        <v/>
      </c>
      <c r="AL99" s="72" t="str">
        <f t="shared" si="90"/>
        <v/>
      </c>
      <c r="AM99" s="39"/>
      <c r="AN99" s="72" t="str">
        <f t="shared" si="91"/>
        <v/>
      </c>
      <c r="AO99" s="72" t="str">
        <f t="shared" si="92"/>
        <v/>
      </c>
      <c r="AP99" s="39"/>
      <c r="AQ99" s="72" t="str">
        <f t="shared" si="93"/>
        <v/>
      </c>
      <c r="AR99" s="72" t="str">
        <f t="shared" si="94"/>
        <v/>
      </c>
      <c r="AS99" s="39"/>
      <c r="AT99" s="40"/>
      <c r="AU99" s="39"/>
      <c r="AV99" s="72" t="str">
        <f t="shared" si="95"/>
        <v/>
      </c>
      <c r="AW99" s="72" t="str">
        <f t="shared" si="96"/>
        <v/>
      </c>
      <c r="AX99" s="39"/>
      <c r="AY99" s="40"/>
      <c r="AZ99" s="39"/>
      <c r="BA99" s="42" t="str">
        <f t="shared" si="97"/>
        <v/>
      </c>
      <c r="BB99" s="72" t="str">
        <f t="shared" si="98"/>
        <v/>
      </c>
      <c r="BC99" s="39"/>
      <c r="BD99" s="72" t="str">
        <f t="shared" si="99"/>
        <v/>
      </c>
      <c r="BE99" s="72" t="str">
        <f t="shared" si="100"/>
        <v/>
      </c>
      <c r="BF99" s="39"/>
      <c r="BG99" s="42" t="str">
        <f t="shared" si="101"/>
        <v/>
      </c>
      <c r="BH99" s="72" t="str">
        <f t="shared" si="102"/>
        <v/>
      </c>
      <c r="BI99" s="39"/>
      <c r="BJ99" s="40" t="str">
        <f t="shared" si="103"/>
        <v/>
      </c>
      <c r="BK99" s="157" t="str">
        <f t="shared" si="104"/>
        <v/>
      </c>
      <c r="BL99" s="157" t="str">
        <f t="shared" si="105"/>
        <v/>
      </c>
      <c r="BM99" s="72"/>
      <c r="BN99" s="72" t="str">
        <f t="shared" si="106"/>
        <v/>
      </c>
      <c r="BO99" s="72" t="str">
        <f t="shared" si="107"/>
        <v/>
      </c>
      <c r="BP99" s="39"/>
      <c r="BQ99" s="72" t="str">
        <f t="shared" si="108"/>
        <v/>
      </c>
      <c r="BR99" s="72" t="str">
        <f t="shared" si="109"/>
        <v/>
      </c>
    </row>
    <row r="100" spans="1:70" x14ac:dyDescent="0.15">
      <c r="F100" s="487"/>
      <c r="I100" s="322">
        <f t="shared" si="110"/>
        <v>2115</v>
      </c>
      <c r="K100" s="71">
        <f t="shared" si="111"/>
        <v>86</v>
      </c>
      <c r="M100" s="7">
        <f t="shared" si="76"/>
        <v>7.8704338912457969E-2</v>
      </c>
      <c r="O100" s="10" t="str">
        <f t="shared" si="112"/>
        <v/>
      </c>
      <c r="P100" s="29" t="str">
        <f t="shared" si="77"/>
        <v/>
      </c>
      <c r="R100" s="10" t="str">
        <f t="shared" si="113"/>
        <v/>
      </c>
      <c r="T100" s="10" t="str">
        <f t="shared" si="78"/>
        <v/>
      </c>
      <c r="V100" s="10" t="str">
        <f t="shared" si="79"/>
        <v/>
      </c>
      <c r="W100" s="10" t="str">
        <f t="shared" si="80"/>
        <v/>
      </c>
      <c r="Y100" s="10" t="str">
        <f t="shared" si="81"/>
        <v/>
      </c>
      <c r="Z100" s="10" t="str">
        <f t="shared" si="82"/>
        <v/>
      </c>
      <c r="AB100" s="10" t="str">
        <f t="shared" si="83"/>
        <v/>
      </c>
      <c r="AC100" s="10" t="str">
        <f t="shared" si="84"/>
        <v/>
      </c>
      <c r="AE100" s="10" t="str">
        <f t="shared" si="85"/>
        <v/>
      </c>
      <c r="AF100" s="10" t="str">
        <f t="shared" si="86"/>
        <v/>
      </c>
      <c r="AH100" s="10" t="str">
        <f t="shared" si="87"/>
        <v/>
      </c>
      <c r="AI100" s="10" t="str">
        <f t="shared" si="88"/>
        <v/>
      </c>
      <c r="AK100" s="10" t="str">
        <f t="shared" si="89"/>
        <v/>
      </c>
      <c r="AL100" s="10" t="str">
        <f t="shared" si="90"/>
        <v/>
      </c>
      <c r="AN100" s="10" t="str">
        <f t="shared" si="91"/>
        <v/>
      </c>
      <c r="AO100" s="10" t="str">
        <f t="shared" si="92"/>
        <v/>
      </c>
      <c r="AQ100" s="10" t="str">
        <f t="shared" si="93"/>
        <v/>
      </c>
      <c r="AR100" s="10" t="str">
        <f t="shared" si="94"/>
        <v/>
      </c>
      <c r="AT100" s="7"/>
      <c r="AV100" s="10" t="str">
        <f t="shared" si="95"/>
        <v/>
      </c>
      <c r="AW100" s="10" t="str">
        <f t="shared" si="96"/>
        <v/>
      </c>
      <c r="AY100" s="7"/>
      <c r="BA100" s="11" t="str">
        <f t="shared" si="97"/>
        <v/>
      </c>
      <c r="BB100" s="10" t="str">
        <f t="shared" si="98"/>
        <v/>
      </c>
      <c r="BD100" s="10" t="str">
        <f t="shared" si="99"/>
        <v/>
      </c>
      <c r="BE100" s="10" t="str">
        <f t="shared" si="100"/>
        <v/>
      </c>
      <c r="BG100" s="11" t="str">
        <f t="shared" si="101"/>
        <v/>
      </c>
      <c r="BH100" s="10" t="str">
        <f t="shared" si="102"/>
        <v/>
      </c>
      <c r="BJ100" s="7" t="str">
        <f t="shared" si="103"/>
        <v/>
      </c>
      <c r="BK100" s="158" t="str">
        <f t="shared" si="104"/>
        <v/>
      </c>
      <c r="BL100" s="158" t="str">
        <f t="shared" si="105"/>
        <v/>
      </c>
      <c r="BM100" s="10"/>
      <c r="BN100" s="10" t="str">
        <f t="shared" si="106"/>
        <v/>
      </c>
      <c r="BO100" s="10" t="str">
        <f t="shared" si="107"/>
        <v/>
      </c>
      <c r="BQ100" s="10" t="str">
        <f t="shared" si="108"/>
        <v/>
      </c>
      <c r="BR100" s="10" t="str">
        <f t="shared" si="109"/>
        <v/>
      </c>
    </row>
    <row r="101" spans="1:70" x14ac:dyDescent="0.15">
      <c r="D101" s="100" t="s">
        <v>600</v>
      </c>
      <c r="E101" s="100"/>
      <c r="F101" s="486"/>
      <c r="G101" s="100"/>
      <c r="I101" s="38">
        <f t="shared" si="110"/>
        <v>2116</v>
      </c>
      <c r="J101" s="39"/>
      <c r="K101" s="39">
        <f t="shared" si="111"/>
        <v>87</v>
      </c>
      <c r="L101" s="39"/>
      <c r="M101" s="40">
        <f t="shared" si="76"/>
        <v>7.6411979526658208E-2</v>
      </c>
      <c r="N101" s="39"/>
      <c r="O101" s="72" t="str">
        <f t="shared" si="112"/>
        <v/>
      </c>
      <c r="P101" s="41" t="str">
        <f t="shared" si="77"/>
        <v/>
      </c>
      <c r="Q101" s="39"/>
      <c r="R101" s="72" t="str">
        <f t="shared" si="113"/>
        <v/>
      </c>
      <c r="S101" s="39"/>
      <c r="T101" s="72" t="str">
        <f t="shared" si="78"/>
        <v/>
      </c>
      <c r="U101" s="39"/>
      <c r="V101" s="72" t="str">
        <f t="shared" si="79"/>
        <v/>
      </c>
      <c r="W101" s="72" t="str">
        <f t="shared" si="80"/>
        <v/>
      </c>
      <c r="X101" s="39"/>
      <c r="Y101" s="72" t="str">
        <f t="shared" si="81"/>
        <v/>
      </c>
      <c r="Z101" s="72" t="str">
        <f t="shared" si="82"/>
        <v/>
      </c>
      <c r="AA101" s="39"/>
      <c r="AB101" s="72" t="str">
        <f t="shared" si="83"/>
        <v/>
      </c>
      <c r="AC101" s="72" t="str">
        <f t="shared" si="84"/>
        <v/>
      </c>
      <c r="AD101" s="39"/>
      <c r="AE101" s="72" t="str">
        <f t="shared" si="85"/>
        <v/>
      </c>
      <c r="AF101" s="72" t="str">
        <f t="shared" si="86"/>
        <v/>
      </c>
      <c r="AG101" s="39"/>
      <c r="AH101" s="72" t="str">
        <f t="shared" si="87"/>
        <v/>
      </c>
      <c r="AI101" s="72" t="str">
        <f t="shared" si="88"/>
        <v/>
      </c>
      <c r="AJ101" s="39"/>
      <c r="AK101" s="72" t="str">
        <f t="shared" si="89"/>
        <v/>
      </c>
      <c r="AL101" s="72" t="str">
        <f t="shared" si="90"/>
        <v/>
      </c>
      <c r="AM101" s="39"/>
      <c r="AN101" s="72" t="str">
        <f t="shared" si="91"/>
        <v/>
      </c>
      <c r="AO101" s="72" t="str">
        <f t="shared" si="92"/>
        <v/>
      </c>
      <c r="AP101" s="39"/>
      <c r="AQ101" s="72" t="str">
        <f t="shared" si="93"/>
        <v/>
      </c>
      <c r="AR101" s="72" t="str">
        <f t="shared" si="94"/>
        <v/>
      </c>
      <c r="AS101" s="39"/>
      <c r="AT101" s="40"/>
      <c r="AU101" s="39"/>
      <c r="AV101" s="72" t="str">
        <f t="shared" si="95"/>
        <v/>
      </c>
      <c r="AW101" s="72" t="str">
        <f t="shared" si="96"/>
        <v/>
      </c>
      <c r="AX101" s="39"/>
      <c r="AY101" s="40"/>
      <c r="AZ101" s="39"/>
      <c r="BA101" s="42" t="str">
        <f t="shared" si="97"/>
        <v/>
      </c>
      <c r="BB101" s="72" t="str">
        <f t="shared" si="98"/>
        <v/>
      </c>
      <c r="BC101" s="39"/>
      <c r="BD101" s="72" t="str">
        <f t="shared" si="99"/>
        <v/>
      </c>
      <c r="BE101" s="72" t="str">
        <f t="shared" si="100"/>
        <v/>
      </c>
      <c r="BF101" s="39"/>
      <c r="BG101" s="42" t="str">
        <f t="shared" si="101"/>
        <v/>
      </c>
      <c r="BH101" s="72" t="str">
        <f t="shared" si="102"/>
        <v/>
      </c>
      <c r="BI101" s="39"/>
      <c r="BJ101" s="40" t="str">
        <f t="shared" si="103"/>
        <v/>
      </c>
      <c r="BK101" s="157" t="str">
        <f t="shared" si="104"/>
        <v/>
      </c>
      <c r="BL101" s="157" t="str">
        <f t="shared" si="105"/>
        <v/>
      </c>
      <c r="BM101" s="72"/>
      <c r="BN101" s="72" t="str">
        <f t="shared" si="106"/>
        <v/>
      </c>
      <c r="BO101" s="72" t="str">
        <f t="shared" si="107"/>
        <v/>
      </c>
      <c r="BP101" s="39"/>
      <c r="BQ101" s="72" t="str">
        <f t="shared" si="108"/>
        <v/>
      </c>
      <c r="BR101" s="72" t="str">
        <f t="shared" si="109"/>
        <v/>
      </c>
    </row>
    <row r="102" spans="1:70" x14ac:dyDescent="0.15">
      <c r="F102" s="487"/>
      <c r="I102" s="322">
        <f t="shared" si="110"/>
        <v>2117</v>
      </c>
      <c r="K102" s="71">
        <f t="shared" si="111"/>
        <v>88</v>
      </c>
      <c r="M102" s="7">
        <f t="shared" si="76"/>
        <v>7.4186387889959446E-2</v>
      </c>
      <c r="O102" s="10" t="str">
        <f t="shared" si="112"/>
        <v/>
      </c>
      <c r="P102" s="29" t="str">
        <f t="shared" si="77"/>
        <v/>
      </c>
      <c r="R102" s="10" t="str">
        <f t="shared" si="113"/>
        <v/>
      </c>
      <c r="T102" s="10" t="str">
        <f t="shared" si="78"/>
        <v/>
      </c>
      <c r="V102" s="10" t="str">
        <f t="shared" si="79"/>
        <v/>
      </c>
      <c r="W102" s="10" t="str">
        <f t="shared" si="80"/>
        <v/>
      </c>
      <c r="Y102" s="10" t="str">
        <f t="shared" si="81"/>
        <v/>
      </c>
      <c r="Z102" s="10" t="str">
        <f t="shared" si="82"/>
        <v/>
      </c>
      <c r="AB102" s="10" t="str">
        <f t="shared" si="83"/>
        <v/>
      </c>
      <c r="AC102" s="10" t="str">
        <f t="shared" si="84"/>
        <v/>
      </c>
      <c r="AE102" s="10" t="str">
        <f t="shared" si="85"/>
        <v/>
      </c>
      <c r="AF102" s="10" t="str">
        <f t="shared" si="86"/>
        <v/>
      </c>
      <c r="AH102" s="10" t="str">
        <f t="shared" si="87"/>
        <v/>
      </c>
      <c r="AI102" s="10" t="str">
        <f t="shared" si="88"/>
        <v/>
      </c>
      <c r="AK102" s="10" t="str">
        <f t="shared" si="89"/>
        <v/>
      </c>
      <c r="AL102" s="10" t="str">
        <f t="shared" si="90"/>
        <v/>
      </c>
      <c r="AN102" s="10" t="str">
        <f t="shared" si="91"/>
        <v/>
      </c>
      <c r="AO102" s="10" t="str">
        <f t="shared" si="92"/>
        <v/>
      </c>
      <c r="AQ102" s="10" t="str">
        <f t="shared" si="93"/>
        <v/>
      </c>
      <c r="AR102" s="10" t="str">
        <f t="shared" si="94"/>
        <v/>
      </c>
      <c r="AT102" s="7"/>
      <c r="AV102" s="10" t="str">
        <f t="shared" si="95"/>
        <v/>
      </c>
      <c r="AW102" s="10" t="str">
        <f t="shared" si="96"/>
        <v/>
      </c>
      <c r="AY102" s="7"/>
      <c r="BA102" s="11" t="str">
        <f t="shared" si="97"/>
        <v/>
      </c>
      <c r="BB102" s="10" t="str">
        <f t="shared" si="98"/>
        <v/>
      </c>
      <c r="BD102" s="10" t="str">
        <f t="shared" si="99"/>
        <v/>
      </c>
      <c r="BE102" s="10" t="str">
        <f t="shared" si="100"/>
        <v/>
      </c>
      <c r="BG102" s="11" t="str">
        <f t="shared" si="101"/>
        <v/>
      </c>
      <c r="BH102" s="10" t="str">
        <f t="shared" si="102"/>
        <v/>
      </c>
      <c r="BJ102" s="7" t="str">
        <f t="shared" si="103"/>
        <v/>
      </c>
      <c r="BK102" s="158" t="str">
        <f t="shared" si="104"/>
        <v/>
      </c>
      <c r="BL102" s="158" t="str">
        <f t="shared" si="105"/>
        <v/>
      </c>
      <c r="BM102" s="10"/>
      <c r="BN102" s="10" t="str">
        <f t="shared" si="106"/>
        <v/>
      </c>
      <c r="BO102" s="10" t="str">
        <f t="shared" si="107"/>
        <v/>
      </c>
      <c r="BQ102" s="10" t="str">
        <f t="shared" si="108"/>
        <v/>
      </c>
      <c r="BR102" s="10" t="str">
        <f t="shared" si="109"/>
        <v/>
      </c>
    </row>
    <row r="103" spans="1:70" x14ac:dyDescent="0.15">
      <c r="E103" s="84" t="s">
        <v>601</v>
      </c>
      <c r="F103" s="488">
        <f>(BB116/$BR$116)*((F145-F146+'表４ー②）CO2輸送・貯留コスト'!H96*10000000)/F145)</f>
        <v>0.69380753646059823</v>
      </c>
      <c r="G103" s="84" t="s">
        <v>590</v>
      </c>
      <c r="I103" s="38">
        <f t="shared" si="110"/>
        <v>2118</v>
      </c>
      <c r="J103" s="39"/>
      <c r="K103" s="39">
        <f t="shared" si="111"/>
        <v>89</v>
      </c>
      <c r="L103" s="39"/>
      <c r="M103" s="40">
        <f t="shared" si="76"/>
        <v>7.2025619310640235E-2</v>
      </c>
      <c r="N103" s="39"/>
      <c r="O103" s="72" t="str">
        <f t="shared" si="112"/>
        <v/>
      </c>
      <c r="P103" s="41" t="str">
        <f t="shared" si="77"/>
        <v/>
      </c>
      <c r="Q103" s="39"/>
      <c r="R103" s="72" t="str">
        <f t="shared" si="113"/>
        <v/>
      </c>
      <c r="S103" s="39"/>
      <c r="T103" s="72" t="str">
        <f t="shared" si="78"/>
        <v/>
      </c>
      <c r="U103" s="39"/>
      <c r="V103" s="72" t="str">
        <f t="shared" si="79"/>
        <v/>
      </c>
      <c r="W103" s="72" t="str">
        <f t="shared" si="80"/>
        <v/>
      </c>
      <c r="X103" s="39"/>
      <c r="Y103" s="72" t="str">
        <f t="shared" si="81"/>
        <v/>
      </c>
      <c r="Z103" s="72" t="str">
        <f t="shared" si="82"/>
        <v/>
      </c>
      <c r="AA103" s="39"/>
      <c r="AB103" s="72" t="str">
        <f t="shared" si="83"/>
        <v/>
      </c>
      <c r="AC103" s="72" t="str">
        <f t="shared" si="84"/>
        <v/>
      </c>
      <c r="AD103" s="39"/>
      <c r="AE103" s="72" t="str">
        <f t="shared" si="85"/>
        <v/>
      </c>
      <c r="AF103" s="72" t="str">
        <f t="shared" si="86"/>
        <v/>
      </c>
      <c r="AG103" s="39"/>
      <c r="AH103" s="72" t="str">
        <f t="shared" si="87"/>
        <v/>
      </c>
      <c r="AI103" s="72" t="str">
        <f t="shared" si="88"/>
        <v/>
      </c>
      <c r="AJ103" s="39"/>
      <c r="AK103" s="72" t="str">
        <f t="shared" si="89"/>
        <v/>
      </c>
      <c r="AL103" s="72" t="str">
        <f t="shared" si="90"/>
        <v/>
      </c>
      <c r="AM103" s="39"/>
      <c r="AN103" s="72" t="str">
        <f t="shared" si="91"/>
        <v/>
      </c>
      <c r="AO103" s="72" t="str">
        <f t="shared" si="92"/>
        <v/>
      </c>
      <c r="AP103" s="39"/>
      <c r="AQ103" s="72" t="str">
        <f t="shared" si="93"/>
        <v/>
      </c>
      <c r="AR103" s="72" t="str">
        <f t="shared" si="94"/>
        <v/>
      </c>
      <c r="AS103" s="39"/>
      <c r="AT103" s="40"/>
      <c r="AU103" s="39"/>
      <c r="AV103" s="72" t="str">
        <f t="shared" si="95"/>
        <v/>
      </c>
      <c r="AW103" s="72" t="str">
        <f t="shared" si="96"/>
        <v/>
      </c>
      <c r="AX103" s="39"/>
      <c r="AY103" s="40"/>
      <c r="AZ103" s="39"/>
      <c r="BA103" s="42" t="str">
        <f t="shared" si="97"/>
        <v/>
      </c>
      <c r="BB103" s="72" t="str">
        <f t="shared" si="98"/>
        <v/>
      </c>
      <c r="BC103" s="39"/>
      <c r="BD103" s="72" t="str">
        <f t="shared" si="99"/>
        <v/>
      </c>
      <c r="BE103" s="72" t="str">
        <f t="shared" si="100"/>
        <v/>
      </c>
      <c r="BF103" s="39"/>
      <c r="BG103" s="42" t="str">
        <f t="shared" si="101"/>
        <v/>
      </c>
      <c r="BH103" s="72" t="str">
        <f t="shared" si="102"/>
        <v/>
      </c>
      <c r="BI103" s="39"/>
      <c r="BJ103" s="40" t="str">
        <f t="shared" si="103"/>
        <v/>
      </c>
      <c r="BK103" s="157" t="str">
        <f t="shared" si="104"/>
        <v/>
      </c>
      <c r="BL103" s="157" t="str">
        <f t="shared" si="105"/>
        <v/>
      </c>
      <c r="BM103" s="72"/>
      <c r="BN103" s="72" t="str">
        <f t="shared" si="106"/>
        <v/>
      </c>
      <c r="BO103" s="72" t="str">
        <f t="shared" si="107"/>
        <v/>
      </c>
      <c r="BP103" s="39"/>
      <c r="BQ103" s="72" t="str">
        <f t="shared" si="108"/>
        <v/>
      </c>
      <c r="BR103" s="72" t="str">
        <f t="shared" si="109"/>
        <v/>
      </c>
    </row>
    <row r="104" spans="1:70" x14ac:dyDescent="0.15">
      <c r="E104" s="84" t="s">
        <v>602</v>
      </c>
      <c r="F104" s="488">
        <f>IF(ISERROR(F60*(1/F61)/F62),0,F60*(1/F61)/F62)</f>
        <v>0</v>
      </c>
      <c r="G104" s="84" t="s">
        <v>590</v>
      </c>
      <c r="I104" s="322">
        <f t="shared" si="110"/>
        <v>2119</v>
      </c>
      <c r="K104" s="71">
        <f t="shared" si="111"/>
        <v>90</v>
      </c>
      <c r="M104" s="7">
        <f t="shared" si="76"/>
        <v>6.9927785738485654E-2</v>
      </c>
      <c r="O104" s="10" t="str">
        <f t="shared" si="112"/>
        <v/>
      </c>
      <c r="P104" s="29" t="str">
        <f t="shared" si="77"/>
        <v/>
      </c>
      <c r="R104" s="10" t="str">
        <f t="shared" si="113"/>
        <v/>
      </c>
      <c r="T104" s="10" t="str">
        <f t="shared" si="78"/>
        <v/>
      </c>
      <c r="V104" s="10" t="str">
        <f t="shared" si="79"/>
        <v/>
      </c>
      <c r="W104" s="10" t="str">
        <f t="shared" si="80"/>
        <v/>
      </c>
      <c r="Y104" s="10" t="str">
        <f t="shared" si="81"/>
        <v/>
      </c>
      <c r="Z104" s="10" t="str">
        <f t="shared" si="82"/>
        <v/>
      </c>
      <c r="AB104" s="10" t="str">
        <f t="shared" si="83"/>
        <v/>
      </c>
      <c r="AC104" s="10" t="str">
        <f t="shared" si="84"/>
        <v/>
      </c>
      <c r="AE104" s="10" t="str">
        <f t="shared" si="85"/>
        <v/>
      </c>
      <c r="AF104" s="10" t="str">
        <f t="shared" si="86"/>
        <v/>
      </c>
      <c r="AH104" s="10" t="str">
        <f t="shared" si="87"/>
        <v/>
      </c>
      <c r="AI104" s="10" t="str">
        <f t="shared" si="88"/>
        <v/>
      </c>
      <c r="AK104" s="10" t="str">
        <f t="shared" si="89"/>
        <v/>
      </c>
      <c r="AL104" s="10" t="str">
        <f t="shared" si="90"/>
        <v/>
      </c>
      <c r="AN104" s="10" t="str">
        <f t="shared" si="91"/>
        <v/>
      </c>
      <c r="AO104" s="10" t="str">
        <f t="shared" si="92"/>
        <v/>
      </c>
      <c r="AQ104" s="10" t="str">
        <f t="shared" si="93"/>
        <v/>
      </c>
      <c r="AR104" s="10" t="str">
        <f t="shared" si="94"/>
        <v/>
      </c>
      <c r="AT104" s="7"/>
      <c r="AV104" s="10" t="str">
        <f t="shared" si="95"/>
        <v/>
      </c>
      <c r="AW104" s="10" t="str">
        <f t="shared" si="96"/>
        <v/>
      </c>
      <c r="AY104" s="7"/>
      <c r="BA104" s="11" t="str">
        <f t="shared" si="97"/>
        <v/>
      </c>
      <c r="BB104" s="10" t="str">
        <f t="shared" si="98"/>
        <v/>
      </c>
      <c r="BD104" s="10" t="str">
        <f t="shared" si="99"/>
        <v/>
      </c>
      <c r="BE104" s="10" t="str">
        <f t="shared" si="100"/>
        <v/>
      </c>
      <c r="BG104" s="11" t="str">
        <f t="shared" si="101"/>
        <v/>
      </c>
      <c r="BH104" s="10" t="str">
        <f t="shared" si="102"/>
        <v/>
      </c>
      <c r="BJ104" s="7" t="str">
        <f t="shared" si="103"/>
        <v/>
      </c>
      <c r="BK104" s="158" t="str">
        <f t="shared" si="104"/>
        <v/>
      </c>
      <c r="BL104" s="158" t="str">
        <f t="shared" si="105"/>
        <v/>
      </c>
      <c r="BM104" s="10"/>
      <c r="BN104" s="10" t="str">
        <f t="shared" si="106"/>
        <v/>
      </c>
      <c r="BO104" s="10" t="str">
        <f t="shared" si="107"/>
        <v/>
      </c>
      <c r="BQ104" s="10" t="str">
        <f t="shared" si="108"/>
        <v/>
      </c>
      <c r="BR104" s="10" t="str">
        <f t="shared" si="109"/>
        <v/>
      </c>
    </row>
    <row r="105" spans="1:70" x14ac:dyDescent="0.15">
      <c r="E105" s="71" t="s">
        <v>603</v>
      </c>
      <c r="F105" s="488">
        <f>F64</f>
        <v>7.0000000000000007E-2</v>
      </c>
      <c r="G105" s="84" t="s">
        <v>590</v>
      </c>
      <c r="I105" s="38">
        <f t="shared" si="110"/>
        <v>2120</v>
      </c>
      <c r="J105" s="39"/>
      <c r="K105" s="39">
        <f t="shared" si="111"/>
        <v>91</v>
      </c>
      <c r="L105" s="39"/>
      <c r="M105" s="40">
        <f t="shared" si="76"/>
        <v>6.7891054115034627E-2</v>
      </c>
      <c r="N105" s="39"/>
      <c r="O105" s="72" t="str">
        <f t="shared" si="112"/>
        <v/>
      </c>
      <c r="P105" s="41" t="str">
        <f t="shared" si="77"/>
        <v/>
      </c>
      <c r="Q105" s="39"/>
      <c r="R105" s="72" t="str">
        <f t="shared" si="113"/>
        <v/>
      </c>
      <c r="S105" s="39"/>
      <c r="T105" s="72" t="str">
        <f t="shared" si="78"/>
        <v/>
      </c>
      <c r="U105" s="39"/>
      <c r="V105" s="72" t="str">
        <f t="shared" si="79"/>
        <v/>
      </c>
      <c r="W105" s="72" t="str">
        <f t="shared" si="80"/>
        <v/>
      </c>
      <c r="X105" s="39"/>
      <c r="Y105" s="72" t="str">
        <f t="shared" si="81"/>
        <v/>
      </c>
      <c r="Z105" s="72" t="str">
        <f t="shared" si="82"/>
        <v/>
      </c>
      <c r="AA105" s="39"/>
      <c r="AB105" s="72" t="str">
        <f t="shared" si="83"/>
        <v/>
      </c>
      <c r="AC105" s="72" t="str">
        <f t="shared" si="84"/>
        <v/>
      </c>
      <c r="AD105" s="39"/>
      <c r="AE105" s="72" t="str">
        <f t="shared" si="85"/>
        <v/>
      </c>
      <c r="AF105" s="72" t="str">
        <f t="shared" si="86"/>
        <v/>
      </c>
      <c r="AG105" s="39"/>
      <c r="AH105" s="72" t="str">
        <f t="shared" si="87"/>
        <v/>
      </c>
      <c r="AI105" s="72" t="str">
        <f t="shared" si="88"/>
        <v/>
      </c>
      <c r="AJ105" s="39"/>
      <c r="AK105" s="72" t="str">
        <f t="shared" si="89"/>
        <v/>
      </c>
      <c r="AL105" s="72" t="str">
        <f t="shared" si="90"/>
        <v/>
      </c>
      <c r="AM105" s="39"/>
      <c r="AN105" s="72" t="str">
        <f t="shared" si="91"/>
        <v/>
      </c>
      <c r="AO105" s="72" t="str">
        <f t="shared" si="92"/>
        <v/>
      </c>
      <c r="AP105" s="39"/>
      <c r="AQ105" s="72" t="str">
        <f t="shared" si="93"/>
        <v/>
      </c>
      <c r="AR105" s="72" t="str">
        <f t="shared" si="94"/>
        <v/>
      </c>
      <c r="AS105" s="39"/>
      <c r="AT105" s="40"/>
      <c r="AU105" s="39"/>
      <c r="AV105" s="72" t="str">
        <f t="shared" si="95"/>
        <v/>
      </c>
      <c r="AW105" s="72" t="str">
        <f t="shared" si="96"/>
        <v/>
      </c>
      <c r="AX105" s="39"/>
      <c r="AY105" s="40"/>
      <c r="AZ105" s="39"/>
      <c r="BA105" s="42" t="str">
        <f t="shared" si="97"/>
        <v/>
      </c>
      <c r="BB105" s="72" t="str">
        <f t="shared" si="98"/>
        <v/>
      </c>
      <c r="BC105" s="39"/>
      <c r="BD105" s="72" t="str">
        <f t="shared" si="99"/>
        <v/>
      </c>
      <c r="BE105" s="72" t="str">
        <f t="shared" si="100"/>
        <v/>
      </c>
      <c r="BF105" s="39"/>
      <c r="BG105" s="42" t="str">
        <f t="shared" si="101"/>
        <v/>
      </c>
      <c r="BH105" s="72" t="str">
        <f t="shared" si="102"/>
        <v/>
      </c>
      <c r="BI105" s="39"/>
      <c r="BJ105" s="40" t="str">
        <f t="shared" si="103"/>
        <v/>
      </c>
      <c r="BK105" s="157" t="str">
        <f t="shared" si="104"/>
        <v/>
      </c>
      <c r="BL105" s="157" t="str">
        <f t="shared" si="105"/>
        <v/>
      </c>
      <c r="BM105" s="72"/>
      <c r="BN105" s="72" t="str">
        <f t="shared" si="106"/>
        <v/>
      </c>
      <c r="BO105" s="72" t="str">
        <f t="shared" si="107"/>
        <v/>
      </c>
      <c r="BP105" s="39"/>
      <c r="BQ105" s="72" t="str">
        <f t="shared" si="108"/>
        <v/>
      </c>
      <c r="BR105" s="72" t="str">
        <f t="shared" si="109"/>
        <v/>
      </c>
    </row>
    <row r="106" spans="1:70" x14ac:dyDescent="0.15">
      <c r="A106" s="73"/>
      <c r="E106" s="84" t="s">
        <v>648</v>
      </c>
      <c r="F106" s="503">
        <f>F49*(F146/1000)/F134</f>
        <v>2.1238220817603328</v>
      </c>
      <c r="G106" s="71" t="s">
        <v>590</v>
      </c>
      <c r="I106" s="322">
        <f t="shared" si="110"/>
        <v>2121</v>
      </c>
      <c r="K106" s="71">
        <f t="shared" si="111"/>
        <v>92</v>
      </c>
      <c r="M106" s="7">
        <f t="shared" si="76"/>
        <v>6.5913644771878277E-2</v>
      </c>
      <c r="O106" s="10" t="str">
        <f t="shared" si="112"/>
        <v/>
      </c>
      <c r="P106" s="29" t="str">
        <f t="shared" si="77"/>
        <v/>
      </c>
      <c r="R106" s="10" t="str">
        <f t="shared" si="113"/>
        <v/>
      </c>
      <c r="T106" s="10" t="str">
        <f t="shared" si="78"/>
        <v/>
      </c>
      <c r="V106" s="10" t="str">
        <f t="shared" si="79"/>
        <v/>
      </c>
      <c r="W106" s="10" t="str">
        <f t="shared" si="80"/>
        <v/>
      </c>
      <c r="Y106" s="10" t="str">
        <f t="shared" si="81"/>
        <v/>
      </c>
      <c r="Z106" s="10" t="str">
        <f t="shared" si="82"/>
        <v/>
      </c>
      <c r="AB106" s="10" t="str">
        <f t="shared" si="83"/>
        <v/>
      </c>
      <c r="AC106" s="10" t="str">
        <f t="shared" si="84"/>
        <v/>
      </c>
      <c r="AE106" s="10" t="str">
        <f t="shared" si="85"/>
        <v/>
      </c>
      <c r="AF106" s="10" t="str">
        <f t="shared" si="86"/>
        <v/>
      </c>
      <c r="AH106" s="10" t="str">
        <f t="shared" si="87"/>
        <v/>
      </c>
      <c r="AI106" s="10" t="str">
        <f t="shared" si="88"/>
        <v/>
      </c>
      <c r="AK106" s="10" t="str">
        <f t="shared" si="89"/>
        <v/>
      </c>
      <c r="AL106" s="10" t="str">
        <f t="shared" si="90"/>
        <v/>
      </c>
      <c r="AN106" s="10" t="str">
        <f t="shared" si="91"/>
        <v/>
      </c>
      <c r="AO106" s="10" t="str">
        <f t="shared" si="92"/>
        <v/>
      </c>
      <c r="AQ106" s="10" t="str">
        <f t="shared" si="93"/>
        <v/>
      </c>
      <c r="AR106" s="10" t="str">
        <f t="shared" si="94"/>
        <v/>
      </c>
      <c r="AT106" s="7"/>
      <c r="AV106" s="10" t="str">
        <f t="shared" si="95"/>
        <v/>
      </c>
      <c r="AW106" s="10" t="str">
        <f t="shared" si="96"/>
        <v/>
      </c>
      <c r="AY106" s="7"/>
      <c r="BA106" s="11" t="str">
        <f t="shared" si="97"/>
        <v/>
      </c>
      <c r="BB106" s="10" t="str">
        <f t="shared" si="98"/>
        <v/>
      </c>
      <c r="BD106" s="10" t="str">
        <f t="shared" si="99"/>
        <v/>
      </c>
      <c r="BE106" s="10" t="str">
        <f t="shared" si="100"/>
        <v/>
      </c>
      <c r="BG106" s="11" t="str">
        <f t="shared" si="101"/>
        <v/>
      </c>
      <c r="BH106" s="10" t="str">
        <f t="shared" si="102"/>
        <v/>
      </c>
      <c r="BJ106" s="7" t="str">
        <f t="shared" si="103"/>
        <v/>
      </c>
      <c r="BK106" s="158" t="str">
        <f t="shared" si="104"/>
        <v/>
      </c>
      <c r="BL106" s="158" t="str">
        <f t="shared" si="105"/>
        <v/>
      </c>
      <c r="BM106" s="10"/>
      <c r="BN106" s="10" t="str">
        <f t="shared" si="106"/>
        <v/>
      </c>
      <c r="BO106" s="10" t="str">
        <f t="shared" si="107"/>
        <v/>
      </c>
      <c r="BQ106" s="10" t="str">
        <f t="shared" si="108"/>
        <v/>
      </c>
      <c r="BR106" s="10" t="str">
        <f t="shared" si="109"/>
        <v/>
      </c>
    </row>
    <row r="107" spans="1:70" ht="15" x14ac:dyDescent="0.15">
      <c r="D107" s="103" t="s">
        <v>604</v>
      </c>
      <c r="F107" s="484">
        <f>SUBTOTAL(9,F111:F112)</f>
        <v>0</v>
      </c>
      <c r="G107" s="84" t="s">
        <v>590</v>
      </c>
      <c r="I107" s="38">
        <f t="shared" si="110"/>
        <v>2122</v>
      </c>
      <c r="J107" s="39"/>
      <c r="K107" s="39">
        <f t="shared" si="111"/>
        <v>93</v>
      </c>
      <c r="L107" s="39"/>
      <c r="M107" s="40">
        <f t="shared" si="76"/>
        <v>6.3993829875609989E-2</v>
      </c>
      <c r="N107" s="39"/>
      <c r="O107" s="72" t="str">
        <f t="shared" si="112"/>
        <v/>
      </c>
      <c r="P107" s="41" t="str">
        <f t="shared" si="77"/>
        <v/>
      </c>
      <c r="Q107" s="39"/>
      <c r="R107" s="72" t="str">
        <f t="shared" si="113"/>
        <v/>
      </c>
      <c r="S107" s="39"/>
      <c r="T107" s="72" t="str">
        <f t="shared" si="78"/>
        <v/>
      </c>
      <c r="U107" s="39"/>
      <c r="V107" s="72" t="str">
        <f t="shared" si="79"/>
        <v/>
      </c>
      <c r="W107" s="72" t="str">
        <f t="shared" si="80"/>
        <v/>
      </c>
      <c r="X107" s="39"/>
      <c r="Y107" s="72" t="str">
        <f t="shared" si="81"/>
        <v/>
      </c>
      <c r="Z107" s="72" t="str">
        <f t="shared" si="82"/>
        <v/>
      </c>
      <c r="AA107" s="39"/>
      <c r="AB107" s="72" t="str">
        <f t="shared" si="83"/>
        <v/>
      </c>
      <c r="AC107" s="72" t="str">
        <f t="shared" si="84"/>
        <v/>
      </c>
      <c r="AD107" s="39"/>
      <c r="AE107" s="72" t="str">
        <f t="shared" si="85"/>
        <v/>
      </c>
      <c r="AF107" s="72" t="str">
        <f t="shared" si="86"/>
        <v/>
      </c>
      <c r="AG107" s="39"/>
      <c r="AH107" s="72" t="str">
        <f t="shared" si="87"/>
        <v/>
      </c>
      <c r="AI107" s="72" t="str">
        <f t="shared" si="88"/>
        <v/>
      </c>
      <c r="AJ107" s="39"/>
      <c r="AK107" s="72" t="str">
        <f t="shared" si="89"/>
        <v/>
      </c>
      <c r="AL107" s="72" t="str">
        <f t="shared" si="90"/>
        <v/>
      </c>
      <c r="AM107" s="39"/>
      <c r="AN107" s="72" t="str">
        <f t="shared" si="91"/>
        <v/>
      </c>
      <c r="AO107" s="72" t="str">
        <f t="shared" si="92"/>
        <v/>
      </c>
      <c r="AP107" s="39"/>
      <c r="AQ107" s="72" t="str">
        <f t="shared" si="93"/>
        <v/>
      </c>
      <c r="AR107" s="72" t="str">
        <f t="shared" si="94"/>
        <v/>
      </c>
      <c r="AS107" s="39"/>
      <c r="AT107" s="40"/>
      <c r="AU107" s="39"/>
      <c r="AV107" s="72" t="str">
        <f t="shared" si="95"/>
        <v/>
      </c>
      <c r="AW107" s="72" t="str">
        <f t="shared" si="96"/>
        <v/>
      </c>
      <c r="AX107" s="39"/>
      <c r="AY107" s="40"/>
      <c r="AZ107" s="39"/>
      <c r="BA107" s="42" t="str">
        <f t="shared" si="97"/>
        <v/>
      </c>
      <c r="BB107" s="72" t="str">
        <f t="shared" si="98"/>
        <v/>
      </c>
      <c r="BC107" s="39"/>
      <c r="BD107" s="72" t="str">
        <f t="shared" si="99"/>
        <v/>
      </c>
      <c r="BE107" s="72" t="str">
        <f t="shared" si="100"/>
        <v/>
      </c>
      <c r="BF107" s="39"/>
      <c r="BG107" s="42" t="str">
        <f t="shared" si="101"/>
        <v/>
      </c>
      <c r="BH107" s="72" t="str">
        <f t="shared" si="102"/>
        <v/>
      </c>
      <c r="BI107" s="39"/>
      <c r="BJ107" s="40" t="str">
        <f t="shared" si="103"/>
        <v/>
      </c>
      <c r="BK107" s="157" t="str">
        <f t="shared" si="104"/>
        <v/>
      </c>
      <c r="BL107" s="157" t="str">
        <f t="shared" si="105"/>
        <v/>
      </c>
      <c r="BM107" s="72"/>
      <c r="BN107" s="72" t="str">
        <f t="shared" si="106"/>
        <v/>
      </c>
      <c r="BO107" s="72" t="str">
        <f t="shared" si="107"/>
        <v/>
      </c>
      <c r="BP107" s="39"/>
      <c r="BQ107" s="72" t="str">
        <f t="shared" si="108"/>
        <v/>
      </c>
      <c r="BR107" s="72" t="str">
        <f t="shared" si="109"/>
        <v/>
      </c>
    </row>
    <row r="108" spans="1:70" ht="15" x14ac:dyDescent="0.15">
      <c r="D108" s="103"/>
      <c r="F108" s="487"/>
      <c r="I108" s="322">
        <f t="shared" si="110"/>
        <v>2123</v>
      </c>
      <c r="K108" s="71">
        <f t="shared" si="111"/>
        <v>94</v>
      </c>
      <c r="M108" s="7">
        <f t="shared" si="76"/>
        <v>6.212993191806794E-2</v>
      </c>
      <c r="O108" s="10" t="str">
        <f t="shared" si="112"/>
        <v/>
      </c>
      <c r="P108" s="29" t="str">
        <f t="shared" si="77"/>
        <v/>
      </c>
      <c r="R108" s="10" t="str">
        <f t="shared" si="113"/>
        <v/>
      </c>
      <c r="T108" s="10" t="str">
        <f t="shared" si="78"/>
        <v/>
      </c>
      <c r="V108" s="10" t="str">
        <f t="shared" si="79"/>
        <v/>
      </c>
      <c r="W108" s="10" t="str">
        <f t="shared" si="80"/>
        <v/>
      </c>
      <c r="Y108" s="10" t="str">
        <f t="shared" si="81"/>
        <v/>
      </c>
      <c r="Z108" s="10" t="str">
        <f t="shared" si="82"/>
        <v/>
      </c>
      <c r="AB108" s="10" t="str">
        <f t="shared" si="83"/>
        <v/>
      </c>
      <c r="AC108" s="10" t="str">
        <f t="shared" si="84"/>
        <v/>
      </c>
      <c r="AE108" s="10" t="str">
        <f t="shared" si="85"/>
        <v/>
      </c>
      <c r="AF108" s="10" t="str">
        <f t="shared" si="86"/>
        <v/>
      </c>
      <c r="AH108" s="10" t="str">
        <f t="shared" si="87"/>
        <v/>
      </c>
      <c r="AI108" s="10" t="str">
        <f t="shared" si="88"/>
        <v/>
      </c>
      <c r="AK108" s="10" t="str">
        <f t="shared" si="89"/>
        <v/>
      </c>
      <c r="AL108" s="10" t="str">
        <f t="shared" si="90"/>
        <v/>
      </c>
      <c r="AN108" s="10" t="str">
        <f t="shared" si="91"/>
        <v/>
      </c>
      <c r="AO108" s="10" t="str">
        <f t="shared" si="92"/>
        <v/>
      </c>
      <c r="AQ108" s="10" t="str">
        <f t="shared" si="93"/>
        <v/>
      </c>
      <c r="AR108" s="10" t="str">
        <f t="shared" si="94"/>
        <v/>
      </c>
      <c r="AT108" s="7"/>
      <c r="AV108" s="10" t="str">
        <f t="shared" si="95"/>
        <v/>
      </c>
      <c r="AW108" s="10" t="str">
        <f t="shared" si="96"/>
        <v/>
      </c>
      <c r="AY108" s="7"/>
      <c r="BA108" s="11" t="str">
        <f t="shared" si="97"/>
        <v/>
      </c>
      <c r="BB108" s="10" t="str">
        <f t="shared" si="98"/>
        <v/>
      </c>
      <c r="BD108" s="10" t="str">
        <f t="shared" si="99"/>
        <v/>
      </c>
      <c r="BE108" s="10" t="str">
        <f t="shared" si="100"/>
        <v/>
      </c>
      <c r="BG108" s="11" t="str">
        <f t="shared" si="101"/>
        <v/>
      </c>
      <c r="BH108" s="10" t="str">
        <f t="shared" si="102"/>
        <v/>
      </c>
      <c r="BJ108" s="7" t="str">
        <f t="shared" si="103"/>
        <v/>
      </c>
      <c r="BK108" s="158" t="str">
        <f t="shared" si="104"/>
        <v/>
      </c>
      <c r="BL108" s="158" t="str">
        <f t="shared" si="105"/>
        <v/>
      </c>
      <c r="BM108" s="10"/>
      <c r="BN108" s="10" t="str">
        <f t="shared" si="106"/>
        <v/>
      </c>
      <c r="BO108" s="10" t="str">
        <f t="shared" si="107"/>
        <v/>
      </c>
      <c r="BQ108" s="10" t="str">
        <f t="shared" si="108"/>
        <v/>
      </c>
      <c r="BR108" s="10" t="str">
        <f t="shared" si="109"/>
        <v/>
      </c>
    </row>
    <row r="109" spans="1:70" x14ac:dyDescent="0.15">
      <c r="D109" s="100" t="s">
        <v>605</v>
      </c>
      <c r="E109" s="100"/>
      <c r="F109" s="486"/>
      <c r="G109" s="100"/>
      <c r="I109" s="38">
        <f t="shared" si="110"/>
        <v>2124</v>
      </c>
      <c r="J109" s="39"/>
      <c r="K109" s="39">
        <f t="shared" si="111"/>
        <v>95</v>
      </c>
      <c r="L109" s="39"/>
      <c r="M109" s="40">
        <f t="shared" si="76"/>
        <v>6.0320322250551395E-2</v>
      </c>
      <c r="N109" s="39"/>
      <c r="O109" s="72" t="str">
        <f t="shared" si="112"/>
        <v/>
      </c>
      <c r="P109" s="41" t="str">
        <f t="shared" si="77"/>
        <v/>
      </c>
      <c r="Q109" s="39"/>
      <c r="R109" s="72" t="str">
        <f t="shared" si="113"/>
        <v/>
      </c>
      <c r="S109" s="39"/>
      <c r="T109" s="72" t="str">
        <f t="shared" si="78"/>
        <v/>
      </c>
      <c r="U109" s="39"/>
      <c r="V109" s="72" t="str">
        <f t="shared" si="79"/>
        <v/>
      </c>
      <c r="W109" s="72" t="str">
        <f t="shared" si="80"/>
        <v/>
      </c>
      <c r="X109" s="39"/>
      <c r="Y109" s="72" t="str">
        <f t="shared" si="81"/>
        <v/>
      </c>
      <c r="Z109" s="72" t="str">
        <f t="shared" si="82"/>
        <v/>
      </c>
      <c r="AA109" s="39"/>
      <c r="AB109" s="72" t="str">
        <f t="shared" si="83"/>
        <v/>
      </c>
      <c r="AC109" s="72" t="str">
        <f t="shared" si="84"/>
        <v/>
      </c>
      <c r="AD109" s="39"/>
      <c r="AE109" s="72" t="str">
        <f t="shared" si="85"/>
        <v/>
      </c>
      <c r="AF109" s="72" t="str">
        <f t="shared" si="86"/>
        <v/>
      </c>
      <c r="AG109" s="39"/>
      <c r="AH109" s="72" t="str">
        <f t="shared" si="87"/>
        <v/>
      </c>
      <c r="AI109" s="72" t="str">
        <f t="shared" si="88"/>
        <v/>
      </c>
      <c r="AJ109" s="39"/>
      <c r="AK109" s="72" t="str">
        <f t="shared" si="89"/>
        <v/>
      </c>
      <c r="AL109" s="72" t="str">
        <f t="shared" si="90"/>
        <v/>
      </c>
      <c r="AM109" s="39"/>
      <c r="AN109" s="72" t="str">
        <f t="shared" si="91"/>
        <v/>
      </c>
      <c r="AO109" s="72" t="str">
        <f t="shared" si="92"/>
        <v/>
      </c>
      <c r="AP109" s="39"/>
      <c r="AQ109" s="72" t="str">
        <f t="shared" si="93"/>
        <v/>
      </c>
      <c r="AR109" s="72" t="str">
        <f t="shared" si="94"/>
        <v/>
      </c>
      <c r="AS109" s="39"/>
      <c r="AT109" s="40"/>
      <c r="AU109" s="39"/>
      <c r="AV109" s="72" t="str">
        <f t="shared" si="95"/>
        <v/>
      </c>
      <c r="AW109" s="72" t="str">
        <f t="shared" si="96"/>
        <v/>
      </c>
      <c r="AX109" s="39"/>
      <c r="AY109" s="40"/>
      <c r="AZ109" s="39"/>
      <c r="BA109" s="42" t="str">
        <f t="shared" si="97"/>
        <v/>
      </c>
      <c r="BB109" s="72" t="str">
        <f t="shared" si="98"/>
        <v/>
      </c>
      <c r="BC109" s="39"/>
      <c r="BD109" s="72" t="str">
        <f t="shared" si="99"/>
        <v/>
      </c>
      <c r="BE109" s="72" t="str">
        <f t="shared" si="100"/>
        <v/>
      </c>
      <c r="BF109" s="39"/>
      <c r="BG109" s="42" t="str">
        <f t="shared" si="101"/>
        <v/>
      </c>
      <c r="BH109" s="72" t="str">
        <f t="shared" si="102"/>
        <v/>
      </c>
      <c r="BI109" s="39"/>
      <c r="BJ109" s="40" t="str">
        <f t="shared" si="103"/>
        <v/>
      </c>
      <c r="BK109" s="157" t="str">
        <f t="shared" si="104"/>
        <v/>
      </c>
      <c r="BL109" s="157" t="str">
        <f t="shared" si="105"/>
        <v/>
      </c>
      <c r="BM109" s="72"/>
      <c r="BN109" s="72" t="str">
        <f t="shared" si="106"/>
        <v/>
      </c>
      <c r="BO109" s="72" t="str">
        <f t="shared" si="107"/>
        <v/>
      </c>
      <c r="BP109" s="39"/>
      <c r="BQ109" s="72" t="str">
        <f t="shared" si="108"/>
        <v/>
      </c>
      <c r="BR109" s="72" t="str">
        <f t="shared" si="109"/>
        <v/>
      </c>
    </row>
    <row r="110" spans="1:70" ht="15" x14ac:dyDescent="0.15">
      <c r="D110" s="103"/>
      <c r="F110" s="487"/>
      <c r="I110" s="322">
        <f t="shared" si="110"/>
        <v>2125</v>
      </c>
      <c r="K110" s="71">
        <f t="shared" si="111"/>
        <v>96</v>
      </c>
      <c r="M110" s="7">
        <f t="shared" si="76"/>
        <v>5.8563419660729518E-2</v>
      </c>
      <c r="O110" s="10" t="str">
        <f t="shared" si="112"/>
        <v/>
      </c>
      <c r="P110" s="29" t="str">
        <f t="shared" si="77"/>
        <v/>
      </c>
      <c r="R110" s="10" t="str">
        <f t="shared" si="113"/>
        <v/>
      </c>
      <c r="T110" s="10" t="str">
        <f t="shared" si="78"/>
        <v/>
      </c>
      <c r="V110" s="10" t="str">
        <f t="shared" si="79"/>
        <v/>
      </c>
      <c r="W110" s="10" t="str">
        <f t="shared" si="80"/>
        <v/>
      </c>
      <c r="Y110" s="10" t="str">
        <f t="shared" si="81"/>
        <v/>
      </c>
      <c r="Z110" s="10" t="str">
        <f t="shared" si="82"/>
        <v/>
      </c>
      <c r="AB110" s="10" t="str">
        <f t="shared" si="83"/>
        <v/>
      </c>
      <c r="AC110" s="10" t="str">
        <f t="shared" si="84"/>
        <v/>
      </c>
      <c r="AE110" s="10" t="str">
        <f t="shared" si="85"/>
        <v/>
      </c>
      <c r="AF110" s="10" t="str">
        <f t="shared" si="86"/>
        <v/>
      </c>
      <c r="AH110" s="10" t="str">
        <f t="shared" si="87"/>
        <v/>
      </c>
      <c r="AI110" s="10" t="str">
        <f t="shared" si="88"/>
        <v/>
      </c>
      <c r="AK110" s="10" t="str">
        <f t="shared" si="89"/>
        <v/>
      </c>
      <c r="AL110" s="10" t="str">
        <f t="shared" si="90"/>
        <v/>
      </c>
      <c r="AN110" s="10" t="str">
        <f t="shared" si="91"/>
        <v/>
      </c>
      <c r="AO110" s="10" t="str">
        <f t="shared" si="92"/>
        <v/>
      </c>
      <c r="AQ110" s="10" t="str">
        <f t="shared" si="93"/>
        <v/>
      </c>
      <c r="AR110" s="10" t="str">
        <f t="shared" si="94"/>
        <v/>
      </c>
      <c r="AT110" s="7"/>
      <c r="AV110" s="10" t="str">
        <f t="shared" si="95"/>
        <v/>
      </c>
      <c r="AW110" s="10" t="str">
        <f t="shared" si="96"/>
        <v/>
      </c>
      <c r="AY110" s="7"/>
      <c r="BA110" s="11" t="str">
        <f t="shared" si="97"/>
        <v/>
      </c>
      <c r="BB110" s="10" t="str">
        <f t="shared" si="98"/>
        <v/>
      </c>
      <c r="BD110" s="10" t="str">
        <f t="shared" si="99"/>
        <v/>
      </c>
      <c r="BE110" s="10" t="str">
        <f t="shared" si="100"/>
        <v/>
      </c>
      <c r="BG110" s="11" t="str">
        <f t="shared" si="101"/>
        <v/>
      </c>
      <c r="BH110" s="10" t="str">
        <f t="shared" si="102"/>
        <v/>
      </c>
      <c r="BJ110" s="7" t="str">
        <f t="shared" si="103"/>
        <v/>
      </c>
      <c r="BK110" s="158" t="str">
        <f t="shared" si="104"/>
        <v/>
      </c>
      <c r="BL110" s="158" t="str">
        <f t="shared" si="105"/>
        <v/>
      </c>
      <c r="BM110" s="10"/>
      <c r="BN110" s="10" t="str">
        <f t="shared" si="106"/>
        <v/>
      </c>
      <c r="BO110" s="10" t="str">
        <f t="shared" si="107"/>
        <v/>
      </c>
      <c r="BQ110" s="10" t="str">
        <f t="shared" si="108"/>
        <v/>
      </c>
      <c r="BR110" s="10" t="str">
        <f t="shared" si="109"/>
        <v/>
      </c>
    </row>
    <row r="111" spans="1:70" ht="15" x14ac:dyDescent="0.15">
      <c r="D111" s="103"/>
      <c r="E111" s="84" t="s">
        <v>606</v>
      </c>
      <c r="F111" s="488">
        <f>-BE116/BR116</f>
        <v>0</v>
      </c>
      <c r="G111" s="84" t="s">
        <v>590</v>
      </c>
      <c r="I111" s="38">
        <f t="shared" si="110"/>
        <v>2126</v>
      </c>
      <c r="J111" s="39"/>
      <c r="K111" s="39">
        <f t="shared" si="111"/>
        <v>97</v>
      </c>
      <c r="L111" s="39"/>
      <c r="M111" s="40">
        <f t="shared" si="76"/>
        <v>5.6857688990999529E-2</v>
      </c>
      <c r="N111" s="39"/>
      <c r="O111" s="72" t="str">
        <f t="shared" si="112"/>
        <v/>
      </c>
      <c r="P111" s="41" t="str">
        <f t="shared" ref="P111:P114" si="114">IF(K111&lt;=$F$15,IF(OR(P110=$F$124,P110="-"),"-",IF(O111*$F$123&gt;$F$127,$F$123,$F$124)),"")</f>
        <v/>
      </c>
      <c r="Q111" s="39"/>
      <c r="R111" s="72" t="str">
        <f t="shared" si="113"/>
        <v/>
      </c>
      <c r="S111" s="39"/>
      <c r="T111" s="72" t="str">
        <f t="shared" si="78"/>
        <v/>
      </c>
      <c r="U111" s="39"/>
      <c r="V111" s="72" t="str">
        <f t="shared" si="79"/>
        <v/>
      </c>
      <c r="W111" s="72" t="str">
        <f t="shared" ref="W111:W114" si="115">IF(ISNUMBER(V111),V111*$M111,"")</f>
        <v/>
      </c>
      <c r="X111" s="39"/>
      <c r="Y111" s="72" t="str">
        <f t="shared" si="81"/>
        <v/>
      </c>
      <c r="Z111" s="72" t="str">
        <f t="shared" ref="Z111:Z114" si="116">IF(ISNUMBER(Y111),Y111*$M111,"")</f>
        <v/>
      </c>
      <c r="AA111" s="39"/>
      <c r="AB111" s="72" t="str">
        <f t="shared" si="83"/>
        <v/>
      </c>
      <c r="AC111" s="72" t="str">
        <f t="shared" ref="AC111:AC114" si="117">IF(ISNUMBER(AB111),AB111*$M111,"")</f>
        <v/>
      </c>
      <c r="AD111" s="39"/>
      <c r="AE111" s="72" t="str">
        <f t="shared" si="85"/>
        <v/>
      </c>
      <c r="AF111" s="72" t="str">
        <f t="shared" ref="AF111:AF114" si="118">IF(ISNUMBER(AE111),AE111*$M111,"")</f>
        <v/>
      </c>
      <c r="AG111" s="39"/>
      <c r="AH111" s="72" t="str">
        <f t="shared" si="87"/>
        <v/>
      </c>
      <c r="AI111" s="72" t="str">
        <f t="shared" ref="AI111:AI114" si="119">IF(ISNUMBER(AH111),AH111*$M111,"")</f>
        <v/>
      </c>
      <c r="AJ111" s="39"/>
      <c r="AK111" s="72" t="str">
        <f t="shared" si="89"/>
        <v/>
      </c>
      <c r="AL111" s="72" t="str">
        <f t="shared" ref="AL111:AL114" si="120">IF(ISNUMBER(AK111),AK111*$M111,"")</f>
        <v/>
      </c>
      <c r="AM111" s="39"/>
      <c r="AN111" s="72" t="str">
        <f t="shared" si="91"/>
        <v/>
      </c>
      <c r="AO111" s="72" t="str">
        <f t="shared" ref="AO111:AO114" si="121">IF(ISNUMBER(AN111),AN111*$M111,"")</f>
        <v/>
      </c>
      <c r="AP111" s="39"/>
      <c r="AQ111" s="72" t="str">
        <f t="shared" si="93"/>
        <v/>
      </c>
      <c r="AR111" s="72" t="str">
        <f t="shared" ref="AR111:AR114" si="122">IF(ISNUMBER(AQ111),AQ111*$M111,"")</f>
        <v/>
      </c>
      <c r="AS111" s="39"/>
      <c r="AT111" s="40"/>
      <c r="AU111" s="39"/>
      <c r="AV111" s="72" t="str">
        <f t="shared" si="95"/>
        <v/>
      </c>
      <c r="AW111" s="72" t="str">
        <f t="shared" ref="AW111:AW114" si="123">IF(ISNUMBER(AV111),AV111*$M111,"")</f>
        <v/>
      </c>
      <c r="AX111" s="39"/>
      <c r="AY111" s="40"/>
      <c r="AZ111" s="39"/>
      <c r="BA111" s="42" t="str">
        <f t="shared" si="97"/>
        <v/>
      </c>
      <c r="BB111" s="72" t="str">
        <f t="shared" ref="BB111:BB114" si="124">IF(ISNUMBER(BA111),BA111*$M111,"")</f>
        <v/>
      </c>
      <c r="BC111" s="39"/>
      <c r="BD111" s="72" t="str">
        <f t="shared" si="99"/>
        <v/>
      </c>
      <c r="BE111" s="72" t="str">
        <f t="shared" ref="BE111:BE114" si="125">IF(ISNUMBER(BD111),BD111*$M111,"")</f>
        <v/>
      </c>
      <c r="BF111" s="39"/>
      <c r="BG111" s="42" t="str">
        <f t="shared" si="101"/>
        <v/>
      </c>
      <c r="BH111" s="72" t="str">
        <f t="shared" ref="BH111:BH114" si="126">IF(ISNUMBER(BG111),BG111*$M111,"")</f>
        <v/>
      </c>
      <c r="BI111" s="39"/>
      <c r="BJ111" s="40" t="str">
        <f t="shared" si="103"/>
        <v/>
      </c>
      <c r="BK111" s="157" t="str">
        <f t="shared" ref="BK111:BK114" si="127">IF(ISNUMBER($F$16),IF($K111&lt;=$F$16+$F$28,IF($K111&lt;=$F$16,SUM(Y111,AB111,AE111,AH111,AK111,AN111,AQ111,AV111,BA111,BD111,BG111),$F$27/$F$28*10^8)*BJ111,""),"")</f>
        <v/>
      </c>
      <c r="BL111" s="157" t="str">
        <f t="shared" si="105"/>
        <v/>
      </c>
      <c r="BM111" s="72"/>
      <c r="BN111" s="72" t="str">
        <f t="shared" si="106"/>
        <v/>
      </c>
      <c r="BO111" s="72" t="str">
        <f t="shared" ref="BO111:BO114" si="128">IF(ISNUMBER(BN111),BN111*$M111,"")</f>
        <v/>
      </c>
      <c r="BP111" s="39"/>
      <c r="BQ111" s="72" t="str">
        <f t="shared" si="108"/>
        <v/>
      </c>
      <c r="BR111" s="72" t="str">
        <f t="shared" ref="BR111:BR114" si="129">IF(ISNUMBER(BQ111),BQ111*$M111,"")</f>
        <v/>
      </c>
    </row>
    <row r="112" spans="1:70" ht="15" x14ac:dyDescent="0.15">
      <c r="D112" s="103"/>
      <c r="E112" s="84" t="s">
        <v>607</v>
      </c>
      <c r="F112" s="488">
        <f>-BH116/BR116</f>
        <v>0</v>
      </c>
      <c r="G112" s="84" t="s">
        <v>590</v>
      </c>
      <c r="I112" s="322">
        <f t="shared" si="110"/>
        <v>2127</v>
      </c>
      <c r="K112" s="71">
        <f t="shared" si="111"/>
        <v>98</v>
      </c>
      <c r="M112" s="7">
        <f t="shared" si="76"/>
        <v>5.5201639797086935E-2</v>
      </c>
      <c r="O112" s="10" t="str">
        <f t="shared" si="112"/>
        <v/>
      </c>
      <c r="P112" s="29" t="str">
        <f t="shared" si="114"/>
        <v/>
      </c>
      <c r="R112" s="10" t="str">
        <f t="shared" si="113"/>
        <v/>
      </c>
      <c r="T112" s="10" t="str">
        <f t="shared" si="78"/>
        <v/>
      </c>
      <c r="V112" s="10" t="str">
        <f t="shared" si="79"/>
        <v/>
      </c>
      <c r="W112" s="10" t="str">
        <f t="shared" si="115"/>
        <v/>
      </c>
      <c r="Y112" s="10" t="str">
        <f t="shared" si="81"/>
        <v/>
      </c>
      <c r="Z112" s="10" t="str">
        <f t="shared" si="116"/>
        <v/>
      </c>
      <c r="AB112" s="10" t="str">
        <f t="shared" si="83"/>
        <v/>
      </c>
      <c r="AC112" s="10" t="str">
        <f t="shared" si="117"/>
        <v/>
      </c>
      <c r="AE112" s="10" t="str">
        <f t="shared" si="85"/>
        <v/>
      </c>
      <c r="AF112" s="10" t="str">
        <f t="shared" si="118"/>
        <v/>
      </c>
      <c r="AH112" s="10" t="str">
        <f t="shared" si="87"/>
        <v/>
      </c>
      <c r="AI112" s="10" t="str">
        <f t="shared" si="119"/>
        <v/>
      </c>
      <c r="AK112" s="10" t="str">
        <f t="shared" si="89"/>
        <v/>
      </c>
      <c r="AL112" s="10" t="str">
        <f t="shared" si="120"/>
        <v/>
      </c>
      <c r="AN112" s="10" t="str">
        <f t="shared" si="91"/>
        <v/>
      </c>
      <c r="AO112" s="10" t="str">
        <f t="shared" si="121"/>
        <v/>
      </c>
      <c r="AQ112" s="10" t="str">
        <f t="shared" si="93"/>
        <v/>
      </c>
      <c r="AR112" s="10" t="str">
        <f t="shared" si="122"/>
        <v/>
      </c>
      <c r="AT112" s="7"/>
      <c r="AV112" s="10" t="str">
        <f t="shared" si="95"/>
        <v/>
      </c>
      <c r="AW112" s="10" t="str">
        <f t="shared" si="123"/>
        <v/>
      </c>
      <c r="AY112" s="7"/>
      <c r="BA112" s="11" t="str">
        <f t="shared" si="97"/>
        <v/>
      </c>
      <c r="BB112" s="10" t="str">
        <f t="shared" si="124"/>
        <v/>
      </c>
      <c r="BD112" s="10" t="str">
        <f t="shared" si="99"/>
        <v/>
      </c>
      <c r="BE112" s="10" t="str">
        <f t="shared" si="125"/>
        <v/>
      </c>
      <c r="BG112" s="11" t="str">
        <f t="shared" si="101"/>
        <v/>
      </c>
      <c r="BH112" s="10" t="str">
        <f t="shared" si="126"/>
        <v/>
      </c>
      <c r="BJ112" s="7" t="str">
        <f t="shared" si="103"/>
        <v/>
      </c>
      <c r="BK112" s="158" t="str">
        <f t="shared" si="127"/>
        <v/>
      </c>
      <c r="BL112" s="158" t="str">
        <f t="shared" si="105"/>
        <v/>
      </c>
      <c r="BM112" s="10"/>
      <c r="BN112" s="10" t="str">
        <f t="shared" si="106"/>
        <v/>
      </c>
      <c r="BO112" s="10" t="str">
        <f t="shared" si="128"/>
        <v/>
      </c>
      <c r="BQ112" s="10" t="str">
        <f t="shared" si="108"/>
        <v/>
      </c>
      <c r="BR112" s="10" t="str">
        <f t="shared" si="129"/>
        <v/>
      </c>
    </row>
    <row r="113" spans="2:70" x14ac:dyDescent="0.15">
      <c r="I113" s="38">
        <f t="shared" si="110"/>
        <v>2128</v>
      </c>
      <c r="J113" s="39"/>
      <c r="K113" s="39">
        <f t="shared" si="111"/>
        <v>99</v>
      </c>
      <c r="L113" s="39"/>
      <c r="M113" s="40">
        <f t="shared" si="76"/>
        <v>5.3593825045715457E-2</v>
      </c>
      <c r="N113" s="39"/>
      <c r="O113" s="72" t="str">
        <f t="shared" si="112"/>
        <v/>
      </c>
      <c r="P113" s="41" t="str">
        <f t="shared" si="114"/>
        <v/>
      </c>
      <c r="Q113" s="39"/>
      <c r="R113" s="72" t="str">
        <f t="shared" si="113"/>
        <v/>
      </c>
      <c r="S113" s="39"/>
      <c r="T113" s="72" t="str">
        <f t="shared" si="78"/>
        <v/>
      </c>
      <c r="U113" s="39"/>
      <c r="V113" s="72" t="str">
        <f t="shared" si="79"/>
        <v/>
      </c>
      <c r="W113" s="72" t="str">
        <f t="shared" si="115"/>
        <v/>
      </c>
      <c r="X113" s="39"/>
      <c r="Y113" s="72" t="str">
        <f t="shared" si="81"/>
        <v/>
      </c>
      <c r="Z113" s="72" t="str">
        <f t="shared" si="116"/>
        <v/>
      </c>
      <c r="AA113" s="39"/>
      <c r="AB113" s="72" t="str">
        <f t="shared" si="83"/>
        <v/>
      </c>
      <c r="AC113" s="72" t="str">
        <f t="shared" si="117"/>
        <v/>
      </c>
      <c r="AD113" s="39"/>
      <c r="AE113" s="72" t="str">
        <f t="shared" si="85"/>
        <v/>
      </c>
      <c r="AF113" s="72" t="str">
        <f t="shared" si="118"/>
        <v/>
      </c>
      <c r="AG113" s="39"/>
      <c r="AH113" s="72" t="str">
        <f t="shared" si="87"/>
        <v/>
      </c>
      <c r="AI113" s="72" t="str">
        <f t="shared" si="119"/>
        <v/>
      </c>
      <c r="AJ113" s="39"/>
      <c r="AK113" s="72" t="str">
        <f t="shared" si="89"/>
        <v/>
      </c>
      <c r="AL113" s="72" t="str">
        <f t="shared" si="120"/>
        <v/>
      </c>
      <c r="AM113" s="39"/>
      <c r="AN113" s="72" t="str">
        <f t="shared" si="91"/>
        <v/>
      </c>
      <c r="AO113" s="72" t="str">
        <f t="shared" si="121"/>
        <v/>
      </c>
      <c r="AP113" s="39"/>
      <c r="AQ113" s="72" t="str">
        <f t="shared" si="93"/>
        <v/>
      </c>
      <c r="AR113" s="72" t="str">
        <f t="shared" si="122"/>
        <v/>
      </c>
      <c r="AS113" s="39"/>
      <c r="AT113" s="40"/>
      <c r="AU113" s="39"/>
      <c r="AV113" s="72" t="str">
        <f t="shared" si="95"/>
        <v/>
      </c>
      <c r="AW113" s="72" t="str">
        <f t="shared" si="123"/>
        <v/>
      </c>
      <c r="AX113" s="39"/>
      <c r="AY113" s="40"/>
      <c r="AZ113" s="39"/>
      <c r="BA113" s="42" t="str">
        <f t="shared" si="97"/>
        <v/>
      </c>
      <c r="BB113" s="72" t="str">
        <f t="shared" si="124"/>
        <v/>
      </c>
      <c r="BC113" s="39"/>
      <c r="BD113" s="72" t="str">
        <f t="shared" si="99"/>
        <v/>
      </c>
      <c r="BE113" s="72" t="str">
        <f t="shared" si="125"/>
        <v/>
      </c>
      <c r="BF113" s="39"/>
      <c r="BG113" s="42" t="str">
        <f t="shared" si="101"/>
        <v/>
      </c>
      <c r="BH113" s="72" t="str">
        <f t="shared" si="126"/>
        <v/>
      </c>
      <c r="BI113" s="39"/>
      <c r="BJ113" s="40" t="str">
        <f t="shared" si="103"/>
        <v/>
      </c>
      <c r="BK113" s="157" t="str">
        <f t="shared" si="127"/>
        <v/>
      </c>
      <c r="BL113" s="157" t="str">
        <f t="shared" si="105"/>
        <v/>
      </c>
      <c r="BM113" s="72"/>
      <c r="BN113" s="72" t="str">
        <f t="shared" si="106"/>
        <v/>
      </c>
      <c r="BO113" s="72" t="str">
        <f t="shared" si="128"/>
        <v/>
      </c>
      <c r="BP113" s="39"/>
      <c r="BQ113" s="72" t="str">
        <f t="shared" si="108"/>
        <v/>
      </c>
      <c r="BR113" s="72" t="str">
        <f t="shared" si="129"/>
        <v/>
      </c>
    </row>
    <row r="114" spans="2:70" x14ac:dyDescent="0.15">
      <c r="I114" s="322">
        <f t="shared" si="110"/>
        <v>2129</v>
      </c>
      <c r="K114" s="71">
        <f t="shared" si="111"/>
        <v>100</v>
      </c>
      <c r="M114" s="7">
        <f t="shared" si="76"/>
        <v>5.2032839850209185E-2</v>
      </c>
      <c r="O114" s="10" t="str">
        <f t="shared" si="112"/>
        <v/>
      </c>
      <c r="P114" s="29" t="str">
        <f t="shared" si="114"/>
        <v/>
      </c>
      <c r="R114" s="10" t="str">
        <f t="shared" si="113"/>
        <v/>
      </c>
      <c r="T114" s="10" t="str">
        <f t="shared" si="78"/>
        <v/>
      </c>
      <c r="V114" s="10" t="str">
        <f t="shared" si="79"/>
        <v/>
      </c>
      <c r="W114" s="10" t="str">
        <f t="shared" si="115"/>
        <v/>
      </c>
      <c r="Y114" s="10" t="str">
        <f t="shared" si="81"/>
        <v/>
      </c>
      <c r="Z114" s="10" t="str">
        <f t="shared" si="116"/>
        <v/>
      </c>
      <c r="AB114" s="10" t="str">
        <f t="shared" si="83"/>
        <v/>
      </c>
      <c r="AC114" s="10" t="str">
        <f t="shared" si="117"/>
        <v/>
      </c>
      <c r="AE114" s="10" t="str">
        <f t="shared" si="85"/>
        <v/>
      </c>
      <c r="AF114" s="10" t="str">
        <f t="shared" si="118"/>
        <v/>
      </c>
      <c r="AH114" s="10" t="str">
        <f t="shared" si="87"/>
        <v/>
      </c>
      <c r="AI114" s="10" t="str">
        <f t="shared" si="119"/>
        <v/>
      </c>
      <c r="AK114" s="10" t="str">
        <f t="shared" si="89"/>
        <v/>
      </c>
      <c r="AL114" s="10" t="str">
        <f t="shared" si="120"/>
        <v/>
      </c>
      <c r="AN114" s="10" t="str">
        <f t="shared" si="91"/>
        <v/>
      </c>
      <c r="AO114" s="10" t="str">
        <f t="shared" si="121"/>
        <v/>
      </c>
      <c r="AQ114" s="10" t="str">
        <f t="shared" si="93"/>
        <v/>
      </c>
      <c r="AR114" s="10" t="str">
        <f t="shared" si="122"/>
        <v/>
      </c>
      <c r="AT114" s="7"/>
      <c r="AV114" s="10" t="str">
        <f t="shared" si="95"/>
        <v/>
      </c>
      <c r="AW114" s="10" t="str">
        <f t="shared" si="123"/>
        <v/>
      </c>
      <c r="AY114" s="7"/>
      <c r="BA114" s="11" t="str">
        <f t="shared" si="97"/>
        <v/>
      </c>
      <c r="BB114" s="10" t="str">
        <f t="shared" si="124"/>
        <v/>
      </c>
      <c r="BD114" s="10" t="str">
        <f t="shared" si="99"/>
        <v/>
      </c>
      <c r="BE114" s="10" t="str">
        <f t="shared" si="125"/>
        <v/>
      </c>
      <c r="BG114" s="11" t="str">
        <f t="shared" si="101"/>
        <v/>
      </c>
      <c r="BH114" s="10" t="str">
        <f t="shared" si="126"/>
        <v/>
      </c>
      <c r="BJ114" s="7" t="str">
        <f t="shared" si="103"/>
        <v/>
      </c>
      <c r="BK114" s="158" t="str">
        <f t="shared" si="127"/>
        <v/>
      </c>
      <c r="BL114" s="158" t="str">
        <f t="shared" si="105"/>
        <v/>
      </c>
      <c r="BM114" s="10"/>
      <c r="BN114" s="10" t="str">
        <f t="shared" si="106"/>
        <v/>
      </c>
      <c r="BO114" s="10" t="str">
        <f t="shared" si="128"/>
        <v/>
      </c>
      <c r="BQ114" s="10" t="str">
        <f t="shared" si="108"/>
        <v/>
      </c>
      <c r="BR114" s="10" t="str">
        <f t="shared" si="129"/>
        <v/>
      </c>
    </row>
    <row r="115" spans="2:70" ht="15.75" thickBot="1" x14ac:dyDescent="0.2">
      <c r="B115" s="5" t="s">
        <v>608</v>
      </c>
      <c r="C115" s="3"/>
      <c r="D115" s="102"/>
      <c r="E115" s="102"/>
      <c r="F115" s="3"/>
      <c r="G115" s="102"/>
      <c r="I115" s="321"/>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71" t="s">
        <v>143</v>
      </c>
      <c r="W116" s="11"/>
      <c r="Z116" s="11">
        <f>SUM(Z15:Z114)</f>
        <v>18618689084.017162</v>
      </c>
      <c r="AC116" s="11">
        <f>SUM(AC15:AC114)</f>
        <v>3262371394.5236855</v>
      </c>
      <c r="AF116" s="11">
        <f>SUM(AF15:AF114)</f>
        <v>0</v>
      </c>
      <c r="AI116" s="11">
        <f>SUM(AI15:AI114)</f>
        <v>10170499668.650841</v>
      </c>
      <c r="AL116" s="11">
        <f>SUM(AL15:AL114)</f>
        <v>121615929720.44438</v>
      </c>
      <c r="AO116" s="11">
        <f>SUM(AO15:AO114)</f>
        <v>111481268910.40733</v>
      </c>
      <c r="AR116" s="11">
        <f>SUM(AR15:AR114)</f>
        <v>29678659192.539303</v>
      </c>
      <c r="AW116" s="11">
        <f>SUM(AW15:AW114)</f>
        <v>401946138796.2088</v>
      </c>
      <c r="BB116" s="11">
        <f>SUM(BB15:BB114)</f>
        <v>461532229505.67578</v>
      </c>
      <c r="BE116" s="11">
        <f>SUM(BE15:BE114)</f>
        <v>0</v>
      </c>
      <c r="BH116" s="11">
        <f>SUM(BH15:BH114)</f>
        <v>0</v>
      </c>
      <c r="BK116" s="11">
        <f>SUM(BK15:BK114)</f>
        <v>0</v>
      </c>
      <c r="BL116" s="11">
        <f>SUM(BL15:BL114)</f>
        <v>0</v>
      </c>
      <c r="BO116" s="11">
        <f>SUM(BO15:BO114)</f>
        <v>0</v>
      </c>
      <c r="BR116" s="11">
        <f>SUM(BR15:BR114)</f>
        <v>82631160611.686584</v>
      </c>
    </row>
    <row r="117" spans="2:70" x14ac:dyDescent="0.15">
      <c r="C117" s="71" t="s">
        <v>610</v>
      </c>
      <c r="F117" s="490">
        <f>F21*10^4*F13*10^4+F29*10^8</f>
        <v>219224762877.74332</v>
      </c>
      <c r="G117" s="84" t="s">
        <v>611</v>
      </c>
      <c r="I117" s="48" t="s">
        <v>145</v>
      </c>
      <c r="W117" s="11"/>
      <c r="Z117" s="11" t="str">
        <f ca="1">IF(ISNUMBER($F$16),SUM(INDIRECT(ADDRESS($F$16+15,COLUMN())):INDIRECT(ADDRESS(114,COLUMN()))),"")</f>
        <v/>
      </c>
      <c r="AC117" s="11" t="str">
        <f ca="1">IF(ISNUMBER($F$16),SUM(INDIRECT(ADDRESS($F$16+15,COLUMN())):INDIRECT(ADDRESS(114,COLUMN()))),"")</f>
        <v/>
      </c>
      <c r="AF117" s="11" t="str">
        <f ca="1">IF(ISNUMBER($F$16),SUM(INDIRECT(ADDRESS($F$16+15,COLUMN())):INDIRECT(ADDRESS(114,COLUMN()))),"")</f>
        <v/>
      </c>
      <c r="AI117" s="11" t="str">
        <f ca="1">IF(ISNUMBER($F$16),SUM(INDIRECT(ADDRESS($F$16+15,COLUMN())):INDIRECT(ADDRESS(114,COLUMN()))),"")</f>
        <v/>
      </c>
      <c r="AL117" s="11" t="str">
        <f ca="1">IF(ISNUMBER($F$16),SUM(INDIRECT(ADDRESS($F$16+15,COLUMN())):INDIRECT(ADDRESS(114,COLUMN()))),"")</f>
        <v/>
      </c>
      <c r="AO117" s="11" t="str">
        <f ca="1">IF(ISNUMBER($F$16),SUM(INDIRECT(ADDRESS($F$16+15,COLUMN())):INDIRECT(ADDRESS(114,COLUMN()))),"")</f>
        <v/>
      </c>
      <c r="AR117" s="11" t="str">
        <f ca="1">IF(ISNUMBER($F$16),SUM(INDIRECT(ADDRESS($F$16+15,COLUMN())):INDIRECT(ADDRESS(114,COLUMN()))),"")</f>
        <v/>
      </c>
      <c r="AW117" s="11" t="str">
        <f ca="1">IF(ISNUMBER($F$16),SUM(INDIRECT(ADDRESS($F$16+15,COLUMN())):INDIRECT(ADDRESS(114,COLUMN()))),"")</f>
        <v/>
      </c>
      <c r="BB117" s="11" t="str">
        <f ca="1">IF(ISNUMBER($F$16),SUM(INDIRECT(ADDRESS($F$16+15,COLUMN())):INDIRECT(ADDRESS(114,COLUMN()))),"")</f>
        <v/>
      </c>
      <c r="BE117" s="11" t="str">
        <f ca="1">IF(ISNUMBER($F$16),SUM(INDIRECT(ADDRESS($F$16+15,COLUMN())):INDIRECT(ADDRESS(114,COLUMN()))),"")</f>
        <v/>
      </c>
      <c r="BH117" s="11" t="str">
        <f ca="1">IF(ISNUMBER($F$16),SUM(INDIRECT(ADDRESS($F$16+15,COLUMN())):INDIRECT(ADDRESS(114,COLUMN()))),"")</f>
        <v/>
      </c>
      <c r="BK117" s="11" t="str">
        <f ca="1">IF(ISNUMBER($F$16),SUM(INDIRECT(ADDRESS($F$16+15,COLUMN())):INDIRECT(ADDRESS(114,COLUMN()))),"")</f>
        <v/>
      </c>
      <c r="BL117" s="11" t="str">
        <f ca="1">IF(ISNUMBER($F$16),SUM(INDIRECT(ADDRESS($F$16+15,COLUMN())):INDIRECT(ADDRESS(114,COLUMN()))),"")</f>
        <v/>
      </c>
      <c r="BO117" s="11" t="str">
        <f ca="1">IF(ISNUMBER($F$16),SUM(INDIRECT(ADDRESS($F$16+15,COLUMN())):INDIRECT(ADDRESS(114,COLUMN()))),"")</f>
        <v/>
      </c>
      <c r="BR117" s="11" t="str">
        <f ca="1">IF(ISNUMBER($F$16),SUM(INDIRECT(ADDRESS($F$16+15,COLUMN())):INDIRECT(ADDRESS(114,COLUMN()))),"")</f>
        <v/>
      </c>
    </row>
    <row r="119" spans="2:70" x14ac:dyDescent="0.15">
      <c r="C119" s="71" t="s">
        <v>612</v>
      </c>
      <c r="F119" s="490">
        <f>VLOOKUP(F3,'表2）法定耐用年数'!$A$2:$B$21,2,0)</f>
        <v>15</v>
      </c>
      <c r="G119" s="84" t="s">
        <v>556</v>
      </c>
    </row>
    <row r="121" spans="2:70" x14ac:dyDescent="0.15">
      <c r="C121" s="4" t="s">
        <v>613</v>
      </c>
      <c r="D121" s="100"/>
      <c r="E121" s="100"/>
      <c r="F121" s="4"/>
      <c r="G121" s="100"/>
    </row>
    <row r="123" spans="2:70" x14ac:dyDescent="0.15">
      <c r="D123" s="84" t="s">
        <v>614</v>
      </c>
      <c r="F123" s="491">
        <f>VLOOKUP($F$119,'表1）減価償却率表'!$A$9:$E$107,3,0)</f>
        <v>0.16700000000000001</v>
      </c>
    </row>
    <row r="124" spans="2:70" x14ac:dyDescent="0.15">
      <c r="D124" s="84" t="s">
        <v>615</v>
      </c>
      <c r="F124" s="491">
        <f>VLOOKUP($F$119,'表1）減価償却率表'!$A$9:$E$107,4,0)</f>
        <v>0.2</v>
      </c>
    </row>
    <row r="125" spans="2:70" x14ac:dyDescent="0.15">
      <c r="D125" s="84" t="s">
        <v>616</v>
      </c>
      <c r="F125" s="474">
        <f>VLOOKUP($F$119,'表1）減価償却率表'!$A$9:$E$107,5,0)</f>
        <v>3.2169999999999997E-2</v>
      </c>
    </row>
    <row r="126" spans="2:70" x14ac:dyDescent="0.15">
      <c r="F126" s="492"/>
    </row>
    <row r="127" spans="2:70" x14ac:dyDescent="0.15">
      <c r="C127" s="8" t="s">
        <v>617</v>
      </c>
      <c r="D127" s="493"/>
      <c r="E127" s="494"/>
      <c r="F127" s="490">
        <f>F117*F125</f>
        <v>7052460621.7770023</v>
      </c>
      <c r="G127" s="84" t="s">
        <v>611</v>
      </c>
    </row>
    <row r="129" spans="3:7" x14ac:dyDescent="0.15">
      <c r="C129" s="8" t="s">
        <v>152</v>
      </c>
      <c r="D129" s="493"/>
      <c r="E129" s="493"/>
      <c r="F129" s="491">
        <f>0.1^(1/F119)</f>
        <v>0.85769589859089412</v>
      </c>
      <c r="G129" s="493"/>
    </row>
    <row r="131" spans="3:7" x14ac:dyDescent="0.15">
      <c r="C131" s="4" t="s">
        <v>618</v>
      </c>
      <c r="D131" s="100"/>
      <c r="E131" s="100"/>
      <c r="F131" s="4"/>
      <c r="G131" s="100"/>
    </row>
    <row r="133" spans="3:7" x14ac:dyDescent="0.15">
      <c r="D133" s="84" t="s">
        <v>619</v>
      </c>
      <c r="F133" s="490">
        <f>(F13*10000*24*365*F14/100)*(F23/'石炭火力（2030年）'!F23)</f>
        <v>3928451354.9499416</v>
      </c>
      <c r="G133" s="84" t="s">
        <v>620</v>
      </c>
    </row>
    <row r="134" spans="3:7" x14ac:dyDescent="0.15">
      <c r="D134" s="84" t="s">
        <v>621</v>
      </c>
      <c r="F134" s="490">
        <f>F133*(1-F24/100)</f>
        <v>3574820495.910316</v>
      </c>
      <c r="G134" s="84" t="s">
        <v>620</v>
      </c>
    </row>
    <row r="135" spans="3:7" x14ac:dyDescent="0.15">
      <c r="F135" s="495"/>
    </row>
    <row r="137" spans="3:7" ht="16.5" x14ac:dyDescent="0.15">
      <c r="C137" s="71" t="s">
        <v>622</v>
      </c>
      <c r="F137" s="490">
        <f>IF(ISERROR(F133*3.6/(F23/100)/F22),0,F133*3.6/(F23/100)/F22)</f>
        <v>1362090120.5838802</v>
      </c>
      <c r="G137" s="71" t="s">
        <v>623</v>
      </c>
    </row>
    <row r="139" spans="3:7" x14ac:dyDescent="0.15">
      <c r="C139" s="4" t="s">
        <v>624</v>
      </c>
      <c r="D139" s="100"/>
      <c r="E139" s="100"/>
      <c r="F139" s="4"/>
      <c r="G139" s="100"/>
    </row>
    <row r="141" spans="3:7" x14ac:dyDescent="0.15">
      <c r="D141" s="84" t="s">
        <v>625</v>
      </c>
      <c r="F141" s="496">
        <f>IF(OR(F3="石炭火力",F3= "LNG火力", F3="ガスコジェネ",F3="バイオマス（石炭混焼）",F3="バイオマス（木質専焼）",F3="燃料電池"),IF($F$43="需要地価格","",1000),IF(OR(F3="石油火力",F3="石油コジェネ"),IF($F$43="需要地価格","",158.987294928),""))</f>
        <v>1000</v>
      </c>
      <c r="G141" s="84" t="s">
        <v>626</v>
      </c>
    </row>
    <row r="142" spans="3:7" x14ac:dyDescent="0.15">
      <c r="D142" s="84" t="s">
        <v>573</v>
      </c>
      <c r="F142" s="488">
        <f>IF(ISERROR(F42/1000),0,F42/1000)</f>
        <v>2</v>
      </c>
      <c r="G142" s="84" t="s">
        <v>627</v>
      </c>
    </row>
    <row r="145" spans="1:7" x14ac:dyDescent="0.15">
      <c r="C145" s="71" t="s">
        <v>628</v>
      </c>
      <c r="F145" s="496">
        <f>IF(ISERROR(F133*(F47*3.6/(F23/100)/1000*(44/12))),0,F133*(F47*3.6/(F23/100)/1000*(44/12)))</f>
        <v>3163824430.3448277</v>
      </c>
      <c r="G145" s="84" t="s">
        <v>629</v>
      </c>
    </row>
    <row r="146" spans="1:7" x14ac:dyDescent="0.15">
      <c r="A146" s="73"/>
      <c r="C146" s="71" t="s">
        <v>658</v>
      </c>
      <c r="F146" s="510">
        <f>F145*F18/100</f>
        <v>2847441987.3103447</v>
      </c>
      <c r="G146" s="84" t="s">
        <v>629</v>
      </c>
    </row>
    <row r="147" spans="1:7" x14ac:dyDescent="0.15">
      <c r="C147" s="4" t="s">
        <v>630</v>
      </c>
      <c r="D147" s="100"/>
      <c r="E147" s="100"/>
      <c r="F147" s="4"/>
      <c r="G147" s="100"/>
    </row>
    <row r="149" spans="1:7" x14ac:dyDescent="0.15">
      <c r="D149" s="84" t="s">
        <v>219</v>
      </c>
      <c r="F149" s="496">
        <f>IF(ISERROR(F52/F23),0,F52/F23)</f>
        <v>0</v>
      </c>
    </row>
    <row r="150" spans="1:7" x14ac:dyDescent="0.15">
      <c r="D150" s="84" t="s">
        <v>631</v>
      </c>
      <c r="F150" s="496">
        <f>F133*F149*(F53/100)*3.6</f>
        <v>0</v>
      </c>
      <c r="G150" s="84" t="s">
        <v>632</v>
      </c>
    </row>
    <row r="151" spans="1:7" ht="16.5" x14ac:dyDescent="0.15">
      <c r="D151" s="84" t="s">
        <v>633</v>
      </c>
      <c r="F151" s="490">
        <f>IF(ISERROR(F150/(F54/100)/F55),0,F150/(F54/100)/F55)</f>
        <v>0</v>
      </c>
      <c r="G151" s="71" t="s">
        <v>623</v>
      </c>
    </row>
    <row r="152" spans="1:7" x14ac:dyDescent="0.15">
      <c r="D152" s="84" t="s">
        <v>634</v>
      </c>
      <c r="F152" s="497">
        <f>IF(ISERROR(F56/1000),0,F56/1000)</f>
        <v>0</v>
      </c>
      <c r="G152" s="84" t="s">
        <v>627</v>
      </c>
    </row>
    <row r="153" spans="1:7" x14ac:dyDescent="0.15">
      <c r="D153" s="84" t="s">
        <v>635</v>
      </c>
      <c r="F153" s="496">
        <f>IF(ISERROR(F150*F47/1000*(44/12)/(F54/100)),0,F150*F47/1000*(44/12)/(F54/100))</f>
        <v>0</v>
      </c>
      <c r="G153" s="84" t="s">
        <v>629</v>
      </c>
    </row>
    <row r="155" spans="1:7" x14ac:dyDescent="0.15">
      <c r="A155" s="73"/>
      <c r="C155" s="517" t="s">
        <v>259</v>
      </c>
      <c r="D155" s="100"/>
      <c r="E155" s="100"/>
      <c r="F155" s="100"/>
      <c r="G155" s="100"/>
    </row>
    <row r="156" spans="1:7" x14ac:dyDescent="0.15">
      <c r="A156" s="73"/>
      <c r="F156" s="84"/>
    </row>
    <row r="157" spans="1:7" x14ac:dyDescent="0.15">
      <c r="A157" s="73"/>
      <c r="D157" s="84" t="s">
        <v>650</v>
      </c>
      <c r="F157" s="506">
        <v>300</v>
      </c>
      <c r="G157" s="84" t="s">
        <v>651</v>
      </c>
    </row>
    <row r="158" spans="1:7" x14ac:dyDescent="0.15">
      <c r="A158" s="73"/>
      <c r="D158" s="84" t="s">
        <v>652</v>
      </c>
      <c r="F158" s="507">
        <v>20</v>
      </c>
      <c r="G158" s="84" t="s">
        <v>653</v>
      </c>
    </row>
  </sheetData>
  <mergeCells count="48">
    <mergeCell ref="F3:G3"/>
    <mergeCell ref="V7:AF7"/>
    <mergeCell ref="AH7:AR7"/>
    <mergeCell ref="AT7:AW7"/>
    <mergeCell ref="AY7:BB7"/>
    <mergeCell ref="AQ9:AR10"/>
    <mergeCell ref="BJ7:BO7"/>
    <mergeCell ref="BQ7:BR7"/>
    <mergeCell ref="I9:I10"/>
    <mergeCell ref="K9:K10"/>
    <mergeCell ref="M9:M10"/>
    <mergeCell ref="O9:P10"/>
    <mergeCell ref="R9:R10"/>
    <mergeCell ref="T9:T10"/>
    <mergeCell ref="V9:W10"/>
    <mergeCell ref="Y9:Z10"/>
    <mergeCell ref="BD7:BH7"/>
    <mergeCell ref="AB9:AC10"/>
    <mergeCell ref="AE9:AF10"/>
    <mergeCell ref="AH9:AI10"/>
    <mergeCell ref="AK9:AL10"/>
    <mergeCell ref="AN9:AO10"/>
    <mergeCell ref="BJ9:BL10"/>
    <mergeCell ref="BN9:BO10"/>
    <mergeCell ref="P12:P13"/>
    <mergeCell ref="W12:W13"/>
    <mergeCell ref="Z12:Z13"/>
    <mergeCell ref="AC12:AC13"/>
    <mergeCell ref="AF12:AF13"/>
    <mergeCell ref="AI12:AI13"/>
    <mergeCell ref="AL12:AL13"/>
    <mergeCell ref="AO12:AO13"/>
    <mergeCell ref="AT9:AT10"/>
    <mergeCell ref="AV9:AW10"/>
    <mergeCell ref="AY9:AY10"/>
    <mergeCell ref="BA9:BB10"/>
    <mergeCell ref="BD9:BE10"/>
    <mergeCell ref="BG9:BH10"/>
    <mergeCell ref="BK12:BK13"/>
    <mergeCell ref="BL12:BL13"/>
    <mergeCell ref="BO12:BO13"/>
    <mergeCell ref="BR12:BR13"/>
    <mergeCell ref="BJ12:BJ13"/>
    <mergeCell ref="AR12:AR13"/>
    <mergeCell ref="AW12:AW13"/>
    <mergeCell ref="BB12:BB13"/>
    <mergeCell ref="BE12:BE13"/>
    <mergeCell ref="BH12:BH13"/>
  </mergeCells>
  <phoneticPr fontId="56"/>
  <dataValidations count="8">
    <dataValidation type="list" operator="equal" allowBlank="1" showInputMessage="1" showErrorMessage="1" sqref="WVN983197 JB157 SX157 ACT157 AMP157 AWL157 BGH157 BQD157 BZZ157 CJV157 CTR157 DDN157 DNJ157 DXF157 EHB157 EQX157 FAT157 FKP157 FUL157 GEH157 GOD157 GXZ157 HHV157 HRR157 IBN157 ILJ157 IVF157 JFB157 JOX157 JYT157 KIP157 KSL157 LCH157 LMD157 LVZ157 MFV157 MPR157 MZN157 NJJ157 NTF157 ODB157 OMX157 OWT157 PGP157 PQL157 QAH157 QKD157 QTZ157 RDV157 RNR157 RXN157 SHJ157 SRF157 TBB157 TKX157 TUT157 UEP157 UOL157 UYH157 VID157 VRZ157 WBV157 WLR157 WVN157 F65693 JB65693 SX65693 ACT65693 AMP65693 AWL65693 BGH65693 BQD65693 BZZ65693 CJV65693 CTR65693 DDN65693 DNJ65693 DXF65693 EHB65693 EQX65693 FAT65693 FKP65693 FUL65693 GEH65693 GOD65693 GXZ65693 HHV65693 HRR65693 IBN65693 ILJ65693 IVF65693 JFB65693 JOX65693 JYT65693 KIP65693 KSL65693 LCH65693 LMD65693 LVZ65693 MFV65693 MPR65693 MZN65693 NJJ65693 NTF65693 ODB65693 OMX65693 OWT65693 PGP65693 PQL65693 QAH65693 QKD65693 QTZ65693 RDV65693 RNR65693 RXN65693 SHJ65693 SRF65693 TBB65693 TKX65693 TUT65693 UEP65693 UOL65693 UYH65693 VID65693 VRZ65693 WBV65693 WLR65693 WVN65693 F131229 JB131229 SX131229 ACT131229 AMP131229 AWL131229 BGH131229 BQD131229 BZZ131229 CJV131229 CTR131229 DDN131229 DNJ131229 DXF131229 EHB131229 EQX131229 FAT131229 FKP131229 FUL131229 GEH131229 GOD131229 GXZ131229 HHV131229 HRR131229 IBN131229 ILJ131229 IVF131229 JFB131229 JOX131229 JYT131229 KIP131229 KSL131229 LCH131229 LMD131229 LVZ131229 MFV131229 MPR131229 MZN131229 NJJ131229 NTF131229 ODB131229 OMX131229 OWT131229 PGP131229 PQL131229 QAH131229 QKD131229 QTZ131229 RDV131229 RNR131229 RXN131229 SHJ131229 SRF131229 TBB131229 TKX131229 TUT131229 UEP131229 UOL131229 UYH131229 VID131229 VRZ131229 WBV131229 WLR131229 WVN131229 F196765 JB196765 SX196765 ACT196765 AMP196765 AWL196765 BGH196765 BQD196765 BZZ196765 CJV196765 CTR196765 DDN196765 DNJ196765 DXF196765 EHB196765 EQX196765 FAT196765 FKP196765 FUL196765 GEH196765 GOD196765 GXZ196765 HHV196765 HRR196765 IBN196765 ILJ196765 IVF196765 JFB196765 JOX196765 JYT196765 KIP196765 KSL196765 LCH196765 LMD196765 LVZ196765 MFV196765 MPR196765 MZN196765 NJJ196765 NTF196765 ODB196765 OMX196765 OWT196765 PGP196765 PQL196765 QAH196765 QKD196765 QTZ196765 RDV196765 RNR196765 RXN196765 SHJ196765 SRF196765 TBB196765 TKX196765 TUT196765 UEP196765 UOL196765 UYH196765 VID196765 VRZ196765 WBV196765 WLR196765 WVN196765 F262301 JB262301 SX262301 ACT262301 AMP262301 AWL262301 BGH262301 BQD262301 BZZ262301 CJV262301 CTR262301 DDN262301 DNJ262301 DXF262301 EHB262301 EQX262301 FAT262301 FKP262301 FUL262301 GEH262301 GOD262301 GXZ262301 HHV262301 HRR262301 IBN262301 ILJ262301 IVF262301 JFB262301 JOX262301 JYT262301 KIP262301 KSL262301 LCH262301 LMD262301 LVZ262301 MFV262301 MPR262301 MZN262301 NJJ262301 NTF262301 ODB262301 OMX262301 OWT262301 PGP262301 PQL262301 QAH262301 QKD262301 QTZ262301 RDV262301 RNR262301 RXN262301 SHJ262301 SRF262301 TBB262301 TKX262301 TUT262301 UEP262301 UOL262301 UYH262301 VID262301 VRZ262301 WBV262301 WLR262301 WVN262301 F327837 JB327837 SX327837 ACT327837 AMP327837 AWL327837 BGH327837 BQD327837 BZZ327837 CJV327837 CTR327837 DDN327837 DNJ327837 DXF327837 EHB327837 EQX327837 FAT327837 FKP327837 FUL327837 GEH327837 GOD327837 GXZ327837 HHV327837 HRR327837 IBN327837 ILJ327837 IVF327837 JFB327837 JOX327837 JYT327837 KIP327837 KSL327837 LCH327837 LMD327837 LVZ327837 MFV327837 MPR327837 MZN327837 NJJ327837 NTF327837 ODB327837 OMX327837 OWT327837 PGP327837 PQL327837 QAH327837 QKD327837 QTZ327837 RDV327837 RNR327837 RXN327837 SHJ327837 SRF327837 TBB327837 TKX327837 TUT327837 UEP327837 UOL327837 UYH327837 VID327837 VRZ327837 WBV327837 WLR327837 WVN327837 F393373 JB393373 SX393373 ACT393373 AMP393373 AWL393373 BGH393373 BQD393373 BZZ393373 CJV393373 CTR393373 DDN393373 DNJ393373 DXF393373 EHB393373 EQX393373 FAT393373 FKP393373 FUL393373 GEH393373 GOD393373 GXZ393373 HHV393373 HRR393373 IBN393373 ILJ393373 IVF393373 JFB393373 JOX393373 JYT393373 KIP393373 KSL393373 LCH393373 LMD393373 LVZ393373 MFV393373 MPR393373 MZN393373 NJJ393373 NTF393373 ODB393373 OMX393373 OWT393373 PGP393373 PQL393373 QAH393373 QKD393373 QTZ393373 RDV393373 RNR393373 RXN393373 SHJ393373 SRF393373 TBB393373 TKX393373 TUT393373 UEP393373 UOL393373 UYH393373 VID393373 VRZ393373 WBV393373 WLR393373 WVN393373 F458909 JB458909 SX458909 ACT458909 AMP458909 AWL458909 BGH458909 BQD458909 BZZ458909 CJV458909 CTR458909 DDN458909 DNJ458909 DXF458909 EHB458909 EQX458909 FAT458909 FKP458909 FUL458909 GEH458909 GOD458909 GXZ458909 HHV458909 HRR458909 IBN458909 ILJ458909 IVF458909 JFB458909 JOX458909 JYT458909 KIP458909 KSL458909 LCH458909 LMD458909 LVZ458909 MFV458909 MPR458909 MZN458909 NJJ458909 NTF458909 ODB458909 OMX458909 OWT458909 PGP458909 PQL458909 QAH458909 QKD458909 QTZ458909 RDV458909 RNR458909 RXN458909 SHJ458909 SRF458909 TBB458909 TKX458909 TUT458909 UEP458909 UOL458909 UYH458909 VID458909 VRZ458909 WBV458909 WLR458909 WVN458909 F524445 JB524445 SX524445 ACT524445 AMP524445 AWL524445 BGH524445 BQD524445 BZZ524445 CJV524445 CTR524445 DDN524445 DNJ524445 DXF524445 EHB524445 EQX524445 FAT524445 FKP524445 FUL524445 GEH524445 GOD524445 GXZ524445 HHV524445 HRR524445 IBN524445 ILJ524445 IVF524445 JFB524445 JOX524445 JYT524445 KIP524445 KSL524445 LCH524445 LMD524445 LVZ524445 MFV524445 MPR524445 MZN524445 NJJ524445 NTF524445 ODB524445 OMX524445 OWT524445 PGP524445 PQL524445 QAH524445 QKD524445 QTZ524445 RDV524445 RNR524445 RXN524445 SHJ524445 SRF524445 TBB524445 TKX524445 TUT524445 UEP524445 UOL524445 UYH524445 VID524445 VRZ524445 WBV524445 WLR524445 WVN524445 F589981 JB589981 SX589981 ACT589981 AMP589981 AWL589981 BGH589981 BQD589981 BZZ589981 CJV589981 CTR589981 DDN589981 DNJ589981 DXF589981 EHB589981 EQX589981 FAT589981 FKP589981 FUL589981 GEH589981 GOD589981 GXZ589981 HHV589981 HRR589981 IBN589981 ILJ589981 IVF589981 JFB589981 JOX589981 JYT589981 KIP589981 KSL589981 LCH589981 LMD589981 LVZ589981 MFV589981 MPR589981 MZN589981 NJJ589981 NTF589981 ODB589981 OMX589981 OWT589981 PGP589981 PQL589981 QAH589981 QKD589981 QTZ589981 RDV589981 RNR589981 RXN589981 SHJ589981 SRF589981 TBB589981 TKX589981 TUT589981 UEP589981 UOL589981 UYH589981 VID589981 VRZ589981 WBV589981 WLR589981 WVN589981 F655517 JB655517 SX655517 ACT655517 AMP655517 AWL655517 BGH655517 BQD655517 BZZ655517 CJV655517 CTR655517 DDN655517 DNJ655517 DXF655517 EHB655517 EQX655517 FAT655517 FKP655517 FUL655517 GEH655517 GOD655517 GXZ655517 HHV655517 HRR655517 IBN655517 ILJ655517 IVF655517 JFB655517 JOX655517 JYT655517 KIP655517 KSL655517 LCH655517 LMD655517 LVZ655517 MFV655517 MPR655517 MZN655517 NJJ655517 NTF655517 ODB655517 OMX655517 OWT655517 PGP655517 PQL655517 QAH655517 QKD655517 QTZ655517 RDV655517 RNR655517 RXN655517 SHJ655517 SRF655517 TBB655517 TKX655517 TUT655517 UEP655517 UOL655517 UYH655517 VID655517 VRZ655517 WBV655517 WLR655517 WVN655517 F721053 JB721053 SX721053 ACT721053 AMP721053 AWL721053 BGH721053 BQD721053 BZZ721053 CJV721053 CTR721053 DDN721053 DNJ721053 DXF721053 EHB721053 EQX721053 FAT721053 FKP721053 FUL721053 GEH721053 GOD721053 GXZ721053 HHV721053 HRR721053 IBN721053 ILJ721053 IVF721053 JFB721053 JOX721053 JYT721053 KIP721053 KSL721053 LCH721053 LMD721053 LVZ721053 MFV721053 MPR721053 MZN721053 NJJ721053 NTF721053 ODB721053 OMX721053 OWT721053 PGP721053 PQL721053 QAH721053 QKD721053 QTZ721053 RDV721053 RNR721053 RXN721053 SHJ721053 SRF721053 TBB721053 TKX721053 TUT721053 UEP721053 UOL721053 UYH721053 VID721053 VRZ721053 WBV721053 WLR721053 WVN721053 F786589 JB786589 SX786589 ACT786589 AMP786589 AWL786589 BGH786589 BQD786589 BZZ786589 CJV786589 CTR786589 DDN786589 DNJ786589 DXF786589 EHB786589 EQX786589 FAT786589 FKP786589 FUL786589 GEH786589 GOD786589 GXZ786589 HHV786589 HRR786589 IBN786589 ILJ786589 IVF786589 JFB786589 JOX786589 JYT786589 KIP786589 KSL786589 LCH786589 LMD786589 LVZ786589 MFV786589 MPR786589 MZN786589 NJJ786589 NTF786589 ODB786589 OMX786589 OWT786589 PGP786589 PQL786589 QAH786589 QKD786589 QTZ786589 RDV786589 RNR786589 RXN786589 SHJ786589 SRF786589 TBB786589 TKX786589 TUT786589 UEP786589 UOL786589 UYH786589 VID786589 VRZ786589 WBV786589 WLR786589 WVN786589 F852125 JB852125 SX852125 ACT852125 AMP852125 AWL852125 BGH852125 BQD852125 BZZ852125 CJV852125 CTR852125 DDN852125 DNJ852125 DXF852125 EHB852125 EQX852125 FAT852125 FKP852125 FUL852125 GEH852125 GOD852125 GXZ852125 HHV852125 HRR852125 IBN852125 ILJ852125 IVF852125 JFB852125 JOX852125 JYT852125 KIP852125 KSL852125 LCH852125 LMD852125 LVZ852125 MFV852125 MPR852125 MZN852125 NJJ852125 NTF852125 ODB852125 OMX852125 OWT852125 PGP852125 PQL852125 QAH852125 QKD852125 QTZ852125 RDV852125 RNR852125 RXN852125 SHJ852125 SRF852125 TBB852125 TKX852125 TUT852125 UEP852125 UOL852125 UYH852125 VID852125 VRZ852125 WBV852125 WLR852125 WVN852125 F917661 JB917661 SX917661 ACT917661 AMP917661 AWL917661 BGH917661 BQD917661 BZZ917661 CJV917661 CTR917661 DDN917661 DNJ917661 DXF917661 EHB917661 EQX917661 FAT917661 FKP917661 FUL917661 GEH917661 GOD917661 GXZ917661 HHV917661 HRR917661 IBN917661 ILJ917661 IVF917661 JFB917661 JOX917661 JYT917661 KIP917661 KSL917661 LCH917661 LMD917661 LVZ917661 MFV917661 MPR917661 MZN917661 NJJ917661 NTF917661 ODB917661 OMX917661 OWT917661 PGP917661 PQL917661 QAH917661 QKD917661 QTZ917661 RDV917661 RNR917661 RXN917661 SHJ917661 SRF917661 TBB917661 TKX917661 TUT917661 UEP917661 UOL917661 UYH917661 VID917661 VRZ917661 WBV917661 WLR917661 WVN917661 F983197 JB983197 SX983197 ACT983197 AMP983197 AWL983197 BGH983197 BQD983197 BZZ983197 CJV983197 CTR983197 DDN983197 DNJ983197 DXF983197 EHB983197 EQX983197 FAT983197 FKP983197 FUL983197 GEH983197 GOD983197 GXZ983197 HHV983197 HRR983197 IBN983197 ILJ983197 IVF983197 JFB983197 JOX983197 JYT983197 KIP983197 KSL983197 LCH983197 LMD983197 LVZ983197 MFV983197 MPR983197 MZN983197 NJJ983197 NTF983197 ODB983197 OMX983197 OWT983197 PGP983197 PQL983197 QAH983197 QKD983197 QTZ983197 RDV983197 RNR983197 RXN983197 SHJ983197 SRF983197 TBB983197 TKX983197 TUT983197 UEP983197 UOL983197 UYH983197 VID983197 VRZ983197 WBV983197 WLR983197" xr:uid="{00000000-0002-0000-2800-000000000000}">
      <formula1>"300,500,1000"</formula1>
    </dataValidation>
    <dataValidation type="list" allowBlank="1" showInputMessage="1" showErrorMessage="1" sqref="F158 JB158 SX158 ACT158 AMP158 AWL158 BGH158 BQD158 BZZ158 CJV158 CTR158 DDN158 DNJ158 DXF158 EHB158 EQX158 FAT158 FKP158 FUL158 GEH158 GOD158 GXZ158 HHV158 HRR158 IBN158 ILJ158 IVF158 JFB158 JOX158 JYT158 KIP158 KSL158 LCH158 LMD158 LVZ158 MFV158 MPR158 MZN158 NJJ158 NTF158 ODB158 OMX158 OWT158 PGP158 PQL158 QAH158 QKD158 QTZ158 RDV158 RNR158 RXN158 SHJ158 SRF158 TBB158 TKX158 TUT158 UEP158 UOL158 UYH158 VID158 VRZ158 WBV158 WLR158 WVN158 F65694 JB65694 SX65694 ACT65694 AMP65694 AWL65694 BGH65694 BQD65694 BZZ65694 CJV65694 CTR65694 DDN65694 DNJ65694 DXF65694 EHB65694 EQX65694 FAT65694 FKP65694 FUL65694 GEH65694 GOD65694 GXZ65694 HHV65694 HRR65694 IBN65694 ILJ65694 IVF65694 JFB65694 JOX65694 JYT65694 KIP65694 KSL65694 LCH65694 LMD65694 LVZ65694 MFV65694 MPR65694 MZN65694 NJJ65694 NTF65694 ODB65694 OMX65694 OWT65694 PGP65694 PQL65694 QAH65694 QKD65694 QTZ65694 RDV65694 RNR65694 RXN65694 SHJ65694 SRF65694 TBB65694 TKX65694 TUT65694 UEP65694 UOL65694 UYH65694 VID65694 VRZ65694 WBV65694 WLR65694 WVN65694 F131230 JB131230 SX131230 ACT131230 AMP131230 AWL131230 BGH131230 BQD131230 BZZ131230 CJV131230 CTR131230 DDN131230 DNJ131230 DXF131230 EHB131230 EQX131230 FAT131230 FKP131230 FUL131230 GEH131230 GOD131230 GXZ131230 HHV131230 HRR131230 IBN131230 ILJ131230 IVF131230 JFB131230 JOX131230 JYT131230 KIP131230 KSL131230 LCH131230 LMD131230 LVZ131230 MFV131230 MPR131230 MZN131230 NJJ131230 NTF131230 ODB131230 OMX131230 OWT131230 PGP131230 PQL131230 QAH131230 QKD131230 QTZ131230 RDV131230 RNR131230 RXN131230 SHJ131230 SRF131230 TBB131230 TKX131230 TUT131230 UEP131230 UOL131230 UYH131230 VID131230 VRZ131230 WBV131230 WLR131230 WVN131230 F196766 JB196766 SX196766 ACT196766 AMP196766 AWL196766 BGH196766 BQD196766 BZZ196766 CJV196766 CTR196766 DDN196766 DNJ196766 DXF196766 EHB196766 EQX196766 FAT196766 FKP196766 FUL196766 GEH196766 GOD196766 GXZ196766 HHV196766 HRR196766 IBN196766 ILJ196766 IVF196766 JFB196766 JOX196766 JYT196766 KIP196766 KSL196766 LCH196766 LMD196766 LVZ196766 MFV196766 MPR196766 MZN196766 NJJ196766 NTF196766 ODB196766 OMX196766 OWT196766 PGP196766 PQL196766 QAH196766 QKD196766 QTZ196766 RDV196766 RNR196766 RXN196766 SHJ196766 SRF196766 TBB196766 TKX196766 TUT196766 UEP196766 UOL196766 UYH196766 VID196766 VRZ196766 WBV196766 WLR196766 WVN196766 F262302 JB262302 SX262302 ACT262302 AMP262302 AWL262302 BGH262302 BQD262302 BZZ262302 CJV262302 CTR262302 DDN262302 DNJ262302 DXF262302 EHB262302 EQX262302 FAT262302 FKP262302 FUL262302 GEH262302 GOD262302 GXZ262302 HHV262302 HRR262302 IBN262302 ILJ262302 IVF262302 JFB262302 JOX262302 JYT262302 KIP262302 KSL262302 LCH262302 LMD262302 LVZ262302 MFV262302 MPR262302 MZN262302 NJJ262302 NTF262302 ODB262302 OMX262302 OWT262302 PGP262302 PQL262302 QAH262302 QKD262302 QTZ262302 RDV262302 RNR262302 RXN262302 SHJ262302 SRF262302 TBB262302 TKX262302 TUT262302 UEP262302 UOL262302 UYH262302 VID262302 VRZ262302 WBV262302 WLR262302 WVN262302 F327838 JB327838 SX327838 ACT327838 AMP327838 AWL327838 BGH327838 BQD327838 BZZ327838 CJV327838 CTR327838 DDN327838 DNJ327838 DXF327838 EHB327838 EQX327838 FAT327838 FKP327838 FUL327838 GEH327838 GOD327838 GXZ327838 HHV327838 HRR327838 IBN327838 ILJ327838 IVF327838 JFB327838 JOX327838 JYT327838 KIP327838 KSL327838 LCH327838 LMD327838 LVZ327838 MFV327838 MPR327838 MZN327838 NJJ327838 NTF327838 ODB327838 OMX327838 OWT327838 PGP327838 PQL327838 QAH327838 QKD327838 QTZ327838 RDV327838 RNR327838 RXN327838 SHJ327838 SRF327838 TBB327838 TKX327838 TUT327838 UEP327838 UOL327838 UYH327838 VID327838 VRZ327838 WBV327838 WLR327838 WVN327838 F393374 JB393374 SX393374 ACT393374 AMP393374 AWL393374 BGH393374 BQD393374 BZZ393374 CJV393374 CTR393374 DDN393374 DNJ393374 DXF393374 EHB393374 EQX393374 FAT393374 FKP393374 FUL393374 GEH393374 GOD393374 GXZ393374 HHV393374 HRR393374 IBN393374 ILJ393374 IVF393374 JFB393374 JOX393374 JYT393374 KIP393374 KSL393374 LCH393374 LMD393374 LVZ393374 MFV393374 MPR393374 MZN393374 NJJ393374 NTF393374 ODB393374 OMX393374 OWT393374 PGP393374 PQL393374 QAH393374 QKD393374 QTZ393374 RDV393374 RNR393374 RXN393374 SHJ393374 SRF393374 TBB393374 TKX393374 TUT393374 UEP393374 UOL393374 UYH393374 VID393374 VRZ393374 WBV393374 WLR393374 WVN393374 F458910 JB458910 SX458910 ACT458910 AMP458910 AWL458910 BGH458910 BQD458910 BZZ458910 CJV458910 CTR458910 DDN458910 DNJ458910 DXF458910 EHB458910 EQX458910 FAT458910 FKP458910 FUL458910 GEH458910 GOD458910 GXZ458910 HHV458910 HRR458910 IBN458910 ILJ458910 IVF458910 JFB458910 JOX458910 JYT458910 KIP458910 KSL458910 LCH458910 LMD458910 LVZ458910 MFV458910 MPR458910 MZN458910 NJJ458910 NTF458910 ODB458910 OMX458910 OWT458910 PGP458910 PQL458910 QAH458910 QKD458910 QTZ458910 RDV458910 RNR458910 RXN458910 SHJ458910 SRF458910 TBB458910 TKX458910 TUT458910 UEP458910 UOL458910 UYH458910 VID458910 VRZ458910 WBV458910 WLR458910 WVN458910 F524446 JB524446 SX524446 ACT524446 AMP524446 AWL524446 BGH524446 BQD524446 BZZ524446 CJV524446 CTR524446 DDN524446 DNJ524446 DXF524446 EHB524446 EQX524446 FAT524446 FKP524446 FUL524446 GEH524446 GOD524446 GXZ524446 HHV524446 HRR524446 IBN524446 ILJ524446 IVF524446 JFB524446 JOX524446 JYT524446 KIP524446 KSL524446 LCH524446 LMD524446 LVZ524446 MFV524446 MPR524446 MZN524446 NJJ524446 NTF524446 ODB524446 OMX524446 OWT524446 PGP524446 PQL524446 QAH524446 QKD524446 QTZ524446 RDV524446 RNR524446 RXN524446 SHJ524446 SRF524446 TBB524446 TKX524446 TUT524446 UEP524446 UOL524446 UYH524446 VID524446 VRZ524446 WBV524446 WLR524446 WVN524446 F589982 JB589982 SX589982 ACT589982 AMP589982 AWL589982 BGH589982 BQD589982 BZZ589982 CJV589982 CTR589982 DDN589982 DNJ589982 DXF589982 EHB589982 EQX589982 FAT589982 FKP589982 FUL589982 GEH589982 GOD589982 GXZ589982 HHV589982 HRR589982 IBN589982 ILJ589982 IVF589982 JFB589982 JOX589982 JYT589982 KIP589982 KSL589982 LCH589982 LMD589982 LVZ589982 MFV589982 MPR589982 MZN589982 NJJ589982 NTF589982 ODB589982 OMX589982 OWT589982 PGP589982 PQL589982 QAH589982 QKD589982 QTZ589982 RDV589982 RNR589982 RXN589982 SHJ589982 SRF589982 TBB589982 TKX589982 TUT589982 UEP589982 UOL589982 UYH589982 VID589982 VRZ589982 WBV589982 WLR589982 WVN589982 F655518 JB655518 SX655518 ACT655518 AMP655518 AWL655518 BGH655518 BQD655518 BZZ655518 CJV655518 CTR655518 DDN655518 DNJ655518 DXF655518 EHB655518 EQX655518 FAT655518 FKP655518 FUL655518 GEH655518 GOD655518 GXZ655518 HHV655518 HRR655518 IBN655518 ILJ655518 IVF655518 JFB655518 JOX655518 JYT655518 KIP655518 KSL655518 LCH655518 LMD655518 LVZ655518 MFV655518 MPR655518 MZN655518 NJJ655518 NTF655518 ODB655518 OMX655518 OWT655518 PGP655518 PQL655518 QAH655518 QKD655518 QTZ655518 RDV655518 RNR655518 RXN655518 SHJ655518 SRF655518 TBB655518 TKX655518 TUT655518 UEP655518 UOL655518 UYH655518 VID655518 VRZ655518 WBV655518 WLR655518 WVN655518 F721054 JB721054 SX721054 ACT721054 AMP721054 AWL721054 BGH721054 BQD721054 BZZ721054 CJV721054 CTR721054 DDN721054 DNJ721054 DXF721054 EHB721054 EQX721054 FAT721054 FKP721054 FUL721054 GEH721054 GOD721054 GXZ721054 HHV721054 HRR721054 IBN721054 ILJ721054 IVF721054 JFB721054 JOX721054 JYT721054 KIP721054 KSL721054 LCH721054 LMD721054 LVZ721054 MFV721054 MPR721054 MZN721054 NJJ721054 NTF721054 ODB721054 OMX721054 OWT721054 PGP721054 PQL721054 QAH721054 QKD721054 QTZ721054 RDV721054 RNR721054 RXN721054 SHJ721054 SRF721054 TBB721054 TKX721054 TUT721054 UEP721054 UOL721054 UYH721054 VID721054 VRZ721054 WBV721054 WLR721054 WVN721054 F786590 JB786590 SX786590 ACT786590 AMP786590 AWL786590 BGH786590 BQD786590 BZZ786590 CJV786590 CTR786590 DDN786590 DNJ786590 DXF786590 EHB786590 EQX786590 FAT786590 FKP786590 FUL786590 GEH786590 GOD786590 GXZ786590 HHV786590 HRR786590 IBN786590 ILJ786590 IVF786590 JFB786590 JOX786590 JYT786590 KIP786590 KSL786590 LCH786590 LMD786590 LVZ786590 MFV786590 MPR786590 MZN786590 NJJ786590 NTF786590 ODB786590 OMX786590 OWT786590 PGP786590 PQL786590 QAH786590 QKD786590 QTZ786590 RDV786590 RNR786590 RXN786590 SHJ786590 SRF786590 TBB786590 TKX786590 TUT786590 UEP786590 UOL786590 UYH786590 VID786590 VRZ786590 WBV786590 WLR786590 WVN786590 F852126 JB852126 SX852126 ACT852126 AMP852126 AWL852126 BGH852126 BQD852126 BZZ852126 CJV852126 CTR852126 DDN852126 DNJ852126 DXF852126 EHB852126 EQX852126 FAT852126 FKP852126 FUL852126 GEH852126 GOD852126 GXZ852126 HHV852126 HRR852126 IBN852126 ILJ852126 IVF852126 JFB852126 JOX852126 JYT852126 KIP852126 KSL852126 LCH852126 LMD852126 LVZ852126 MFV852126 MPR852126 MZN852126 NJJ852126 NTF852126 ODB852126 OMX852126 OWT852126 PGP852126 PQL852126 QAH852126 QKD852126 QTZ852126 RDV852126 RNR852126 RXN852126 SHJ852126 SRF852126 TBB852126 TKX852126 TUT852126 UEP852126 UOL852126 UYH852126 VID852126 VRZ852126 WBV852126 WLR852126 WVN852126 F917662 JB917662 SX917662 ACT917662 AMP917662 AWL917662 BGH917662 BQD917662 BZZ917662 CJV917662 CTR917662 DDN917662 DNJ917662 DXF917662 EHB917662 EQX917662 FAT917662 FKP917662 FUL917662 GEH917662 GOD917662 GXZ917662 HHV917662 HRR917662 IBN917662 ILJ917662 IVF917662 JFB917662 JOX917662 JYT917662 KIP917662 KSL917662 LCH917662 LMD917662 LVZ917662 MFV917662 MPR917662 MZN917662 NJJ917662 NTF917662 ODB917662 OMX917662 OWT917662 PGP917662 PQL917662 QAH917662 QKD917662 QTZ917662 RDV917662 RNR917662 RXN917662 SHJ917662 SRF917662 TBB917662 TKX917662 TUT917662 UEP917662 UOL917662 UYH917662 VID917662 VRZ917662 WBV917662 WLR917662 WVN917662 F983198 JB983198 SX983198 ACT983198 AMP983198 AWL983198 BGH983198 BQD983198 BZZ983198 CJV983198 CTR983198 DDN983198 DNJ983198 DXF983198 EHB983198 EQX983198 FAT983198 FKP983198 FUL983198 GEH983198 GOD983198 GXZ983198 HHV983198 HRR983198 IBN983198 ILJ983198 IVF983198 JFB983198 JOX983198 JYT983198 KIP983198 KSL983198 LCH983198 LMD983198 LVZ983198 MFV983198 MPR983198 MZN983198 NJJ983198 NTF983198 ODB983198 OMX983198 OWT983198 PGP983198 PQL983198 QAH983198 QKD983198 QTZ983198 RDV983198 RNR983198 RXN983198 SHJ983198 SRF983198 TBB983198 TKX983198 TUT983198 UEP983198 UOL983198 UYH983198 VID983198 VRZ983198 WBV983198 WLR983198 WVN983198" xr:uid="{00000000-0002-0000-2800-000001000000}">
      <formula1>"20,50,100,150,200"</formula1>
    </dataValidation>
    <dataValidation type="list" allowBlank="1" showDropDown="1" showInputMessage="1" showErrorMessage="1" sqref="WLR983081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WVN98308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ODB983081 OMX983081 OWT983081 PGP983081 PQL983081 QAH983081 QKD983081 QTZ983081 RDV983081 RNR983081 RXN983081 SHJ983081 SRF983081 TBB983081 TKX983081 TUT983081 UEP983081 UOL983081 UYH983081 VID983081 VRZ983081 WBV983081" xr:uid="{00000000-0002-0000-2800-000002000000}">
      <formula1>"現行政策シナリオ, 新政策シナリオ"</formula1>
    </dataValidation>
    <dataValidation type="whole" allowBlank="1" showInputMessage="1" showErrorMessage="1" sqref="F7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F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F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F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F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F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F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F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F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F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F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F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F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F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F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F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xr:uid="{00000000-0002-0000-2800-000003000000}">
      <formula1>2010</formula1>
      <formula2>2030</formula2>
    </dataValidation>
    <dataValidation type="list" allowBlank="1" showDropDown="1" showInputMessage="1" showErrorMessage="1" sqref="F43 JB43 SX43 ACT43 AMP43 AWL43 BGH43 BQD43 BZZ43 CJV43 CTR43 DDN43 DNJ43 DXF43 EHB43 EQX43 FAT43 FKP43 FUL43 GEH43 GOD43 GXZ43 HHV43 HRR43 IBN43 ILJ43 IVF43 JFB43 JOX43 JYT43 KIP43 KSL43 LCH43 LMD43 LVZ43 MFV43 MPR43 MZN43 NJJ43 NTF43 ODB43 OMX43 OWT43 PGP43 PQL43 QAH43 QKD43 QTZ43 RDV43 RNR43 RXN43 SHJ43 SRF43 TBB43 TKX43 TUT43 UEP43 UOL43 UYH43 VID43 VRZ43 WBV43 WLR43 WVN43 F65579 JB65579 SX65579 ACT65579 AMP65579 AWL65579 BGH65579 BQD65579 BZZ65579 CJV65579 CTR65579 DDN65579 DNJ65579 DXF65579 EHB65579 EQX65579 FAT65579 FKP65579 FUL65579 GEH65579 GOD65579 GXZ65579 HHV65579 HRR65579 IBN65579 ILJ65579 IVF65579 JFB65579 JOX65579 JYT65579 KIP65579 KSL65579 LCH65579 LMD65579 LVZ65579 MFV65579 MPR65579 MZN65579 NJJ65579 NTF65579 ODB65579 OMX65579 OWT65579 PGP65579 PQL65579 QAH65579 QKD65579 QTZ65579 RDV65579 RNR65579 RXN65579 SHJ65579 SRF65579 TBB65579 TKX65579 TUT65579 UEP65579 UOL65579 UYH65579 VID65579 VRZ65579 WBV65579 WLR65579 WVN65579 F131115 JB131115 SX131115 ACT131115 AMP131115 AWL131115 BGH131115 BQD131115 BZZ131115 CJV131115 CTR131115 DDN131115 DNJ131115 DXF131115 EHB131115 EQX131115 FAT131115 FKP131115 FUL131115 GEH131115 GOD131115 GXZ131115 HHV131115 HRR131115 IBN131115 ILJ131115 IVF131115 JFB131115 JOX131115 JYT131115 KIP131115 KSL131115 LCH131115 LMD131115 LVZ131115 MFV131115 MPR131115 MZN131115 NJJ131115 NTF131115 ODB131115 OMX131115 OWT131115 PGP131115 PQL131115 QAH131115 QKD131115 QTZ131115 RDV131115 RNR131115 RXN131115 SHJ131115 SRF131115 TBB131115 TKX131115 TUT131115 UEP131115 UOL131115 UYH131115 VID131115 VRZ131115 WBV131115 WLR131115 WVN131115 F196651 JB196651 SX196651 ACT196651 AMP196651 AWL196651 BGH196651 BQD196651 BZZ196651 CJV196651 CTR196651 DDN196651 DNJ196651 DXF196651 EHB196651 EQX196651 FAT196651 FKP196651 FUL196651 GEH196651 GOD196651 GXZ196651 HHV196651 HRR196651 IBN196651 ILJ196651 IVF196651 JFB196651 JOX196651 JYT196651 KIP196651 KSL196651 LCH196651 LMD196651 LVZ196651 MFV196651 MPR196651 MZN196651 NJJ196651 NTF196651 ODB196651 OMX196651 OWT196651 PGP196651 PQL196651 QAH196651 QKD196651 QTZ196651 RDV196651 RNR196651 RXN196651 SHJ196651 SRF196651 TBB196651 TKX196651 TUT196651 UEP196651 UOL196651 UYH196651 VID196651 VRZ196651 WBV196651 WLR196651 WVN196651 F262187 JB262187 SX262187 ACT262187 AMP262187 AWL262187 BGH262187 BQD262187 BZZ262187 CJV262187 CTR262187 DDN262187 DNJ262187 DXF262187 EHB262187 EQX262187 FAT262187 FKP262187 FUL262187 GEH262187 GOD262187 GXZ262187 HHV262187 HRR262187 IBN262187 ILJ262187 IVF262187 JFB262187 JOX262187 JYT262187 KIP262187 KSL262187 LCH262187 LMD262187 LVZ262187 MFV262187 MPR262187 MZN262187 NJJ262187 NTF262187 ODB262187 OMX262187 OWT262187 PGP262187 PQL262187 QAH262187 QKD262187 QTZ262187 RDV262187 RNR262187 RXN262187 SHJ262187 SRF262187 TBB262187 TKX262187 TUT262187 UEP262187 UOL262187 UYH262187 VID262187 VRZ262187 WBV262187 WLR262187 WVN262187 F327723 JB327723 SX327723 ACT327723 AMP327723 AWL327723 BGH327723 BQD327723 BZZ327723 CJV327723 CTR327723 DDN327723 DNJ327723 DXF327723 EHB327723 EQX327723 FAT327723 FKP327723 FUL327723 GEH327723 GOD327723 GXZ327723 HHV327723 HRR327723 IBN327723 ILJ327723 IVF327723 JFB327723 JOX327723 JYT327723 KIP327723 KSL327723 LCH327723 LMD327723 LVZ327723 MFV327723 MPR327723 MZN327723 NJJ327723 NTF327723 ODB327723 OMX327723 OWT327723 PGP327723 PQL327723 QAH327723 QKD327723 QTZ327723 RDV327723 RNR327723 RXN327723 SHJ327723 SRF327723 TBB327723 TKX327723 TUT327723 UEP327723 UOL327723 UYH327723 VID327723 VRZ327723 WBV327723 WLR327723 WVN327723 F393259 JB393259 SX393259 ACT393259 AMP393259 AWL393259 BGH393259 BQD393259 BZZ393259 CJV393259 CTR393259 DDN393259 DNJ393259 DXF393259 EHB393259 EQX393259 FAT393259 FKP393259 FUL393259 GEH393259 GOD393259 GXZ393259 HHV393259 HRR393259 IBN393259 ILJ393259 IVF393259 JFB393259 JOX393259 JYT393259 KIP393259 KSL393259 LCH393259 LMD393259 LVZ393259 MFV393259 MPR393259 MZN393259 NJJ393259 NTF393259 ODB393259 OMX393259 OWT393259 PGP393259 PQL393259 QAH393259 QKD393259 QTZ393259 RDV393259 RNR393259 RXN393259 SHJ393259 SRF393259 TBB393259 TKX393259 TUT393259 UEP393259 UOL393259 UYH393259 VID393259 VRZ393259 WBV393259 WLR393259 WVN393259 F458795 JB458795 SX458795 ACT458795 AMP458795 AWL458795 BGH458795 BQD458795 BZZ458795 CJV458795 CTR458795 DDN458795 DNJ458795 DXF458795 EHB458795 EQX458795 FAT458795 FKP458795 FUL458795 GEH458795 GOD458795 GXZ458795 HHV458795 HRR458795 IBN458795 ILJ458795 IVF458795 JFB458795 JOX458795 JYT458795 KIP458795 KSL458795 LCH458795 LMD458795 LVZ458795 MFV458795 MPR458795 MZN458795 NJJ458795 NTF458795 ODB458795 OMX458795 OWT458795 PGP458795 PQL458795 QAH458795 QKD458795 QTZ458795 RDV458795 RNR458795 RXN458795 SHJ458795 SRF458795 TBB458795 TKX458795 TUT458795 UEP458795 UOL458795 UYH458795 VID458795 VRZ458795 WBV458795 WLR458795 WVN458795 F524331 JB524331 SX524331 ACT524331 AMP524331 AWL524331 BGH524331 BQD524331 BZZ524331 CJV524331 CTR524331 DDN524331 DNJ524331 DXF524331 EHB524331 EQX524331 FAT524331 FKP524331 FUL524331 GEH524331 GOD524331 GXZ524331 HHV524331 HRR524331 IBN524331 ILJ524331 IVF524331 JFB524331 JOX524331 JYT524331 KIP524331 KSL524331 LCH524331 LMD524331 LVZ524331 MFV524331 MPR524331 MZN524331 NJJ524331 NTF524331 ODB524331 OMX524331 OWT524331 PGP524331 PQL524331 QAH524331 QKD524331 QTZ524331 RDV524331 RNR524331 RXN524331 SHJ524331 SRF524331 TBB524331 TKX524331 TUT524331 UEP524331 UOL524331 UYH524331 VID524331 VRZ524331 WBV524331 WLR524331 WVN524331 F589867 JB589867 SX589867 ACT589867 AMP589867 AWL589867 BGH589867 BQD589867 BZZ589867 CJV589867 CTR589867 DDN589867 DNJ589867 DXF589867 EHB589867 EQX589867 FAT589867 FKP589867 FUL589867 GEH589867 GOD589867 GXZ589867 HHV589867 HRR589867 IBN589867 ILJ589867 IVF589867 JFB589867 JOX589867 JYT589867 KIP589867 KSL589867 LCH589867 LMD589867 LVZ589867 MFV589867 MPR589867 MZN589867 NJJ589867 NTF589867 ODB589867 OMX589867 OWT589867 PGP589867 PQL589867 QAH589867 QKD589867 QTZ589867 RDV589867 RNR589867 RXN589867 SHJ589867 SRF589867 TBB589867 TKX589867 TUT589867 UEP589867 UOL589867 UYH589867 VID589867 VRZ589867 WBV589867 WLR589867 WVN589867 F655403 JB655403 SX655403 ACT655403 AMP655403 AWL655403 BGH655403 BQD655403 BZZ655403 CJV655403 CTR655403 DDN655403 DNJ655403 DXF655403 EHB655403 EQX655403 FAT655403 FKP655403 FUL655403 GEH655403 GOD655403 GXZ655403 HHV655403 HRR655403 IBN655403 ILJ655403 IVF655403 JFB655403 JOX655403 JYT655403 KIP655403 KSL655403 LCH655403 LMD655403 LVZ655403 MFV655403 MPR655403 MZN655403 NJJ655403 NTF655403 ODB655403 OMX655403 OWT655403 PGP655403 PQL655403 QAH655403 QKD655403 QTZ655403 RDV655403 RNR655403 RXN655403 SHJ655403 SRF655403 TBB655403 TKX655403 TUT655403 UEP655403 UOL655403 UYH655403 VID655403 VRZ655403 WBV655403 WLR655403 WVN655403 F720939 JB720939 SX720939 ACT720939 AMP720939 AWL720939 BGH720939 BQD720939 BZZ720939 CJV720939 CTR720939 DDN720939 DNJ720939 DXF720939 EHB720939 EQX720939 FAT720939 FKP720939 FUL720939 GEH720939 GOD720939 GXZ720939 HHV720939 HRR720939 IBN720939 ILJ720939 IVF720939 JFB720939 JOX720939 JYT720939 KIP720939 KSL720939 LCH720939 LMD720939 LVZ720939 MFV720939 MPR720939 MZN720939 NJJ720939 NTF720939 ODB720939 OMX720939 OWT720939 PGP720939 PQL720939 QAH720939 QKD720939 QTZ720939 RDV720939 RNR720939 RXN720939 SHJ720939 SRF720939 TBB720939 TKX720939 TUT720939 UEP720939 UOL720939 UYH720939 VID720939 VRZ720939 WBV720939 WLR720939 WVN720939 F786475 JB786475 SX786475 ACT786475 AMP786475 AWL786475 BGH786475 BQD786475 BZZ786475 CJV786475 CTR786475 DDN786475 DNJ786475 DXF786475 EHB786475 EQX786475 FAT786475 FKP786475 FUL786475 GEH786475 GOD786475 GXZ786475 HHV786475 HRR786475 IBN786475 ILJ786475 IVF786475 JFB786475 JOX786475 JYT786475 KIP786475 KSL786475 LCH786475 LMD786475 LVZ786475 MFV786475 MPR786475 MZN786475 NJJ786475 NTF786475 ODB786475 OMX786475 OWT786475 PGP786475 PQL786475 QAH786475 QKD786475 QTZ786475 RDV786475 RNR786475 RXN786475 SHJ786475 SRF786475 TBB786475 TKX786475 TUT786475 UEP786475 UOL786475 UYH786475 VID786475 VRZ786475 WBV786475 WLR786475 WVN786475 F852011 JB852011 SX852011 ACT852011 AMP852011 AWL852011 BGH852011 BQD852011 BZZ852011 CJV852011 CTR852011 DDN852011 DNJ852011 DXF852011 EHB852011 EQX852011 FAT852011 FKP852011 FUL852011 GEH852011 GOD852011 GXZ852011 HHV852011 HRR852011 IBN852011 ILJ852011 IVF852011 JFB852011 JOX852011 JYT852011 KIP852011 KSL852011 LCH852011 LMD852011 LVZ852011 MFV852011 MPR852011 MZN852011 NJJ852011 NTF852011 ODB852011 OMX852011 OWT852011 PGP852011 PQL852011 QAH852011 QKD852011 QTZ852011 RDV852011 RNR852011 RXN852011 SHJ852011 SRF852011 TBB852011 TKX852011 TUT852011 UEP852011 UOL852011 UYH852011 VID852011 VRZ852011 WBV852011 WLR852011 WVN852011 F917547 JB917547 SX917547 ACT917547 AMP917547 AWL917547 BGH917547 BQD917547 BZZ917547 CJV917547 CTR917547 DDN917547 DNJ917547 DXF917547 EHB917547 EQX917547 FAT917547 FKP917547 FUL917547 GEH917547 GOD917547 GXZ917547 HHV917547 HRR917547 IBN917547 ILJ917547 IVF917547 JFB917547 JOX917547 JYT917547 KIP917547 KSL917547 LCH917547 LMD917547 LVZ917547 MFV917547 MPR917547 MZN917547 NJJ917547 NTF917547 ODB917547 OMX917547 OWT917547 PGP917547 PQL917547 QAH917547 QKD917547 QTZ917547 RDV917547 RNR917547 RXN917547 SHJ917547 SRF917547 TBB917547 TKX917547 TUT917547 UEP917547 UOL917547 UYH917547 VID917547 VRZ917547 WBV917547 WLR917547 WVN917547 F983083 JB983083 SX983083 ACT983083 AMP983083 AWL983083 BGH983083 BQD983083 BZZ983083 CJV983083 CTR983083 DDN983083 DNJ983083 DXF983083 EHB983083 EQX983083 FAT983083 FKP983083 FUL983083 GEH983083 GOD983083 GXZ983083 HHV983083 HRR983083 IBN983083 ILJ983083 IVF983083 JFB983083 JOX983083 JYT983083 KIP983083 KSL983083 LCH983083 LMD983083 LVZ983083 MFV983083 MPR983083 MZN983083 NJJ983083 NTF983083 ODB983083 OMX983083 OWT983083 PGP983083 PQL983083 QAH983083 QKD983083 QTZ983083 RDV983083 RNR983083 RXN983083 SHJ983083 SRF983083 TBB983083 TKX983083 TUT983083 UEP983083 UOL983083 UYH983083 VID983083 VRZ983083 WBV983083 WLR983083 WVN983083" xr:uid="{00000000-0002-0000-2800-000004000000}">
      <formula1>"CIF価格, 需要地価格"</formula1>
    </dataValidation>
    <dataValidation type="list" allowBlank="1" showDropDown="1" showInputMessage="1" showErrorMessage="1" sqref="F3:G3 JB3:JC3 SX3:SY3 ACT3:ACU3 AMP3:AMQ3 AWL3:AWM3 BGH3:BGI3 BQD3:BQE3 BZZ3:CAA3 CJV3:CJW3 CTR3:CTS3 DDN3:DDO3 DNJ3:DNK3 DXF3:DXG3 EHB3:EHC3 EQX3:EQY3 FAT3:FAU3 FKP3:FKQ3 FUL3:FUM3 GEH3:GEI3 GOD3:GOE3 GXZ3:GYA3 HHV3:HHW3 HRR3:HRS3 IBN3:IBO3 ILJ3:ILK3 IVF3:IVG3 JFB3:JFC3 JOX3:JOY3 JYT3:JYU3 KIP3:KIQ3 KSL3:KSM3 LCH3:LCI3 LMD3:LME3 LVZ3:LWA3 MFV3:MFW3 MPR3:MPS3 MZN3:MZO3 NJJ3:NJK3 NTF3:NTG3 ODB3:ODC3 OMX3:OMY3 OWT3:OWU3 PGP3:PGQ3 PQL3:PQM3 QAH3:QAI3 QKD3:QKE3 QTZ3:QUA3 RDV3:RDW3 RNR3:RNS3 RXN3:RXO3 SHJ3:SHK3 SRF3:SRG3 TBB3:TBC3 TKX3:TKY3 TUT3:TUU3 UEP3:UEQ3 UOL3:UOM3 UYH3:UYI3 VID3:VIE3 VRZ3:VSA3 WBV3:WBW3 WLR3:WLS3 WVN3:WVO3 F65539:G65539 JB65539:JC65539 SX65539:SY65539 ACT65539:ACU65539 AMP65539:AMQ65539 AWL65539:AWM65539 BGH65539:BGI65539 BQD65539:BQE65539 BZZ65539:CAA65539 CJV65539:CJW65539 CTR65539:CTS65539 DDN65539:DDO65539 DNJ65539:DNK65539 DXF65539:DXG65539 EHB65539:EHC65539 EQX65539:EQY65539 FAT65539:FAU65539 FKP65539:FKQ65539 FUL65539:FUM65539 GEH65539:GEI65539 GOD65539:GOE65539 GXZ65539:GYA65539 HHV65539:HHW65539 HRR65539:HRS65539 IBN65539:IBO65539 ILJ65539:ILK65539 IVF65539:IVG65539 JFB65539:JFC65539 JOX65539:JOY65539 JYT65539:JYU65539 KIP65539:KIQ65539 KSL65539:KSM65539 LCH65539:LCI65539 LMD65539:LME65539 LVZ65539:LWA65539 MFV65539:MFW65539 MPR65539:MPS65539 MZN65539:MZO65539 NJJ65539:NJK65539 NTF65539:NTG65539 ODB65539:ODC65539 OMX65539:OMY65539 OWT65539:OWU65539 PGP65539:PGQ65539 PQL65539:PQM65539 QAH65539:QAI65539 QKD65539:QKE65539 QTZ65539:QUA65539 RDV65539:RDW65539 RNR65539:RNS65539 RXN65539:RXO65539 SHJ65539:SHK65539 SRF65539:SRG65539 TBB65539:TBC65539 TKX65539:TKY65539 TUT65539:TUU65539 UEP65539:UEQ65539 UOL65539:UOM65539 UYH65539:UYI65539 VID65539:VIE65539 VRZ65539:VSA65539 WBV65539:WBW65539 WLR65539:WLS65539 WVN65539:WVO65539 F131075:G131075 JB131075:JC131075 SX131075:SY131075 ACT131075:ACU131075 AMP131075:AMQ131075 AWL131075:AWM131075 BGH131075:BGI131075 BQD131075:BQE131075 BZZ131075:CAA131075 CJV131075:CJW131075 CTR131075:CTS131075 DDN131075:DDO131075 DNJ131075:DNK131075 DXF131075:DXG131075 EHB131075:EHC131075 EQX131075:EQY131075 FAT131075:FAU131075 FKP131075:FKQ131075 FUL131075:FUM131075 GEH131075:GEI131075 GOD131075:GOE131075 GXZ131075:GYA131075 HHV131075:HHW131075 HRR131075:HRS131075 IBN131075:IBO131075 ILJ131075:ILK131075 IVF131075:IVG131075 JFB131075:JFC131075 JOX131075:JOY131075 JYT131075:JYU131075 KIP131075:KIQ131075 KSL131075:KSM131075 LCH131075:LCI131075 LMD131075:LME131075 LVZ131075:LWA131075 MFV131075:MFW131075 MPR131075:MPS131075 MZN131075:MZO131075 NJJ131075:NJK131075 NTF131075:NTG131075 ODB131075:ODC131075 OMX131075:OMY131075 OWT131075:OWU131075 PGP131075:PGQ131075 PQL131075:PQM131075 QAH131075:QAI131075 QKD131075:QKE131075 QTZ131075:QUA131075 RDV131075:RDW131075 RNR131075:RNS131075 RXN131075:RXO131075 SHJ131075:SHK131075 SRF131075:SRG131075 TBB131075:TBC131075 TKX131075:TKY131075 TUT131075:TUU131075 UEP131075:UEQ131075 UOL131075:UOM131075 UYH131075:UYI131075 VID131075:VIE131075 VRZ131075:VSA131075 WBV131075:WBW131075 WLR131075:WLS131075 WVN131075:WVO131075 F196611:G196611 JB196611:JC196611 SX196611:SY196611 ACT196611:ACU196611 AMP196611:AMQ196611 AWL196611:AWM196611 BGH196611:BGI196611 BQD196611:BQE196611 BZZ196611:CAA196611 CJV196611:CJW196611 CTR196611:CTS196611 DDN196611:DDO196611 DNJ196611:DNK196611 DXF196611:DXG196611 EHB196611:EHC196611 EQX196611:EQY196611 FAT196611:FAU196611 FKP196611:FKQ196611 FUL196611:FUM196611 GEH196611:GEI196611 GOD196611:GOE196611 GXZ196611:GYA196611 HHV196611:HHW196611 HRR196611:HRS196611 IBN196611:IBO196611 ILJ196611:ILK196611 IVF196611:IVG196611 JFB196611:JFC196611 JOX196611:JOY196611 JYT196611:JYU196611 KIP196611:KIQ196611 KSL196611:KSM196611 LCH196611:LCI196611 LMD196611:LME196611 LVZ196611:LWA196611 MFV196611:MFW196611 MPR196611:MPS196611 MZN196611:MZO196611 NJJ196611:NJK196611 NTF196611:NTG196611 ODB196611:ODC196611 OMX196611:OMY196611 OWT196611:OWU196611 PGP196611:PGQ196611 PQL196611:PQM196611 QAH196611:QAI196611 QKD196611:QKE196611 QTZ196611:QUA196611 RDV196611:RDW196611 RNR196611:RNS196611 RXN196611:RXO196611 SHJ196611:SHK196611 SRF196611:SRG196611 TBB196611:TBC196611 TKX196611:TKY196611 TUT196611:TUU196611 UEP196611:UEQ196611 UOL196611:UOM196611 UYH196611:UYI196611 VID196611:VIE196611 VRZ196611:VSA196611 WBV196611:WBW196611 WLR196611:WLS196611 WVN196611:WVO196611 F262147:G262147 JB262147:JC262147 SX262147:SY262147 ACT262147:ACU262147 AMP262147:AMQ262147 AWL262147:AWM262147 BGH262147:BGI262147 BQD262147:BQE262147 BZZ262147:CAA262147 CJV262147:CJW262147 CTR262147:CTS262147 DDN262147:DDO262147 DNJ262147:DNK262147 DXF262147:DXG262147 EHB262147:EHC262147 EQX262147:EQY262147 FAT262147:FAU262147 FKP262147:FKQ262147 FUL262147:FUM262147 GEH262147:GEI262147 GOD262147:GOE262147 GXZ262147:GYA262147 HHV262147:HHW262147 HRR262147:HRS262147 IBN262147:IBO262147 ILJ262147:ILK262147 IVF262147:IVG262147 JFB262147:JFC262147 JOX262147:JOY262147 JYT262147:JYU262147 KIP262147:KIQ262147 KSL262147:KSM262147 LCH262147:LCI262147 LMD262147:LME262147 LVZ262147:LWA262147 MFV262147:MFW262147 MPR262147:MPS262147 MZN262147:MZO262147 NJJ262147:NJK262147 NTF262147:NTG262147 ODB262147:ODC262147 OMX262147:OMY262147 OWT262147:OWU262147 PGP262147:PGQ262147 PQL262147:PQM262147 QAH262147:QAI262147 QKD262147:QKE262147 QTZ262147:QUA262147 RDV262147:RDW262147 RNR262147:RNS262147 RXN262147:RXO262147 SHJ262147:SHK262147 SRF262147:SRG262147 TBB262147:TBC262147 TKX262147:TKY262147 TUT262147:TUU262147 UEP262147:UEQ262147 UOL262147:UOM262147 UYH262147:UYI262147 VID262147:VIE262147 VRZ262147:VSA262147 WBV262147:WBW262147 WLR262147:WLS262147 WVN262147:WVO262147 F327683:G327683 JB327683:JC327683 SX327683:SY327683 ACT327683:ACU327683 AMP327683:AMQ327683 AWL327683:AWM327683 BGH327683:BGI327683 BQD327683:BQE327683 BZZ327683:CAA327683 CJV327683:CJW327683 CTR327683:CTS327683 DDN327683:DDO327683 DNJ327683:DNK327683 DXF327683:DXG327683 EHB327683:EHC327683 EQX327683:EQY327683 FAT327683:FAU327683 FKP327683:FKQ327683 FUL327683:FUM327683 GEH327683:GEI327683 GOD327683:GOE327683 GXZ327683:GYA327683 HHV327683:HHW327683 HRR327683:HRS327683 IBN327683:IBO327683 ILJ327683:ILK327683 IVF327683:IVG327683 JFB327683:JFC327683 JOX327683:JOY327683 JYT327683:JYU327683 KIP327683:KIQ327683 KSL327683:KSM327683 LCH327683:LCI327683 LMD327683:LME327683 LVZ327683:LWA327683 MFV327683:MFW327683 MPR327683:MPS327683 MZN327683:MZO327683 NJJ327683:NJK327683 NTF327683:NTG327683 ODB327683:ODC327683 OMX327683:OMY327683 OWT327683:OWU327683 PGP327683:PGQ327683 PQL327683:PQM327683 QAH327683:QAI327683 QKD327683:QKE327683 QTZ327683:QUA327683 RDV327683:RDW327683 RNR327683:RNS327683 RXN327683:RXO327683 SHJ327683:SHK327683 SRF327683:SRG327683 TBB327683:TBC327683 TKX327683:TKY327683 TUT327683:TUU327683 UEP327683:UEQ327683 UOL327683:UOM327683 UYH327683:UYI327683 VID327683:VIE327683 VRZ327683:VSA327683 WBV327683:WBW327683 WLR327683:WLS327683 WVN327683:WVO327683 F393219:G393219 JB393219:JC393219 SX393219:SY393219 ACT393219:ACU393219 AMP393219:AMQ393219 AWL393219:AWM393219 BGH393219:BGI393219 BQD393219:BQE393219 BZZ393219:CAA393219 CJV393219:CJW393219 CTR393219:CTS393219 DDN393219:DDO393219 DNJ393219:DNK393219 DXF393219:DXG393219 EHB393219:EHC393219 EQX393219:EQY393219 FAT393219:FAU393219 FKP393219:FKQ393219 FUL393219:FUM393219 GEH393219:GEI393219 GOD393219:GOE393219 GXZ393219:GYA393219 HHV393219:HHW393219 HRR393219:HRS393219 IBN393219:IBO393219 ILJ393219:ILK393219 IVF393219:IVG393219 JFB393219:JFC393219 JOX393219:JOY393219 JYT393219:JYU393219 KIP393219:KIQ393219 KSL393219:KSM393219 LCH393219:LCI393219 LMD393219:LME393219 LVZ393219:LWA393219 MFV393219:MFW393219 MPR393219:MPS393219 MZN393219:MZO393219 NJJ393219:NJK393219 NTF393219:NTG393219 ODB393219:ODC393219 OMX393219:OMY393219 OWT393219:OWU393219 PGP393219:PGQ393219 PQL393219:PQM393219 QAH393219:QAI393219 QKD393219:QKE393219 QTZ393219:QUA393219 RDV393219:RDW393219 RNR393219:RNS393219 RXN393219:RXO393219 SHJ393219:SHK393219 SRF393219:SRG393219 TBB393219:TBC393219 TKX393219:TKY393219 TUT393219:TUU393219 UEP393219:UEQ393219 UOL393219:UOM393219 UYH393219:UYI393219 VID393219:VIE393219 VRZ393219:VSA393219 WBV393219:WBW393219 WLR393219:WLS393219 WVN393219:WVO393219 F458755:G458755 JB458755:JC458755 SX458755:SY458755 ACT458755:ACU458755 AMP458755:AMQ458755 AWL458755:AWM458755 BGH458755:BGI458755 BQD458755:BQE458755 BZZ458755:CAA458755 CJV458755:CJW458755 CTR458755:CTS458755 DDN458755:DDO458755 DNJ458755:DNK458755 DXF458755:DXG458755 EHB458755:EHC458755 EQX458755:EQY458755 FAT458755:FAU458755 FKP458755:FKQ458755 FUL458755:FUM458755 GEH458755:GEI458755 GOD458755:GOE458755 GXZ458755:GYA458755 HHV458755:HHW458755 HRR458755:HRS458755 IBN458755:IBO458755 ILJ458755:ILK458755 IVF458755:IVG458755 JFB458755:JFC458755 JOX458755:JOY458755 JYT458755:JYU458755 KIP458755:KIQ458755 KSL458755:KSM458755 LCH458755:LCI458755 LMD458755:LME458755 LVZ458755:LWA458755 MFV458755:MFW458755 MPR458755:MPS458755 MZN458755:MZO458755 NJJ458755:NJK458755 NTF458755:NTG458755 ODB458755:ODC458755 OMX458755:OMY458755 OWT458755:OWU458755 PGP458755:PGQ458755 PQL458755:PQM458755 QAH458755:QAI458755 QKD458755:QKE458755 QTZ458755:QUA458755 RDV458755:RDW458755 RNR458755:RNS458755 RXN458755:RXO458755 SHJ458755:SHK458755 SRF458755:SRG458755 TBB458755:TBC458755 TKX458755:TKY458755 TUT458755:TUU458755 UEP458755:UEQ458755 UOL458755:UOM458755 UYH458755:UYI458755 VID458755:VIE458755 VRZ458755:VSA458755 WBV458755:WBW458755 WLR458755:WLS458755 WVN458755:WVO458755 F524291:G524291 JB524291:JC524291 SX524291:SY524291 ACT524291:ACU524291 AMP524291:AMQ524291 AWL524291:AWM524291 BGH524291:BGI524291 BQD524291:BQE524291 BZZ524291:CAA524291 CJV524291:CJW524291 CTR524291:CTS524291 DDN524291:DDO524291 DNJ524291:DNK524291 DXF524291:DXG524291 EHB524291:EHC524291 EQX524291:EQY524291 FAT524291:FAU524291 FKP524291:FKQ524291 FUL524291:FUM524291 GEH524291:GEI524291 GOD524291:GOE524291 GXZ524291:GYA524291 HHV524291:HHW524291 HRR524291:HRS524291 IBN524291:IBO524291 ILJ524291:ILK524291 IVF524291:IVG524291 JFB524291:JFC524291 JOX524291:JOY524291 JYT524291:JYU524291 KIP524291:KIQ524291 KSL524291:KSM524291 LCH524291:LCI524291 LMD524291:LME524291 LVZ524291:LWA524291 MFV524291:MFW524291 MPR524291:MPS524291 MZN524291:MZO524291 NJJ524291:NJK524291 NTF524291:NTG524291 ODB524291:ODC524291 OMX524291:OMY524291 OWT524291:OWU524291 PGP524291:PGQ524291 PQL524291:PQM524291 QAH524291:QAI524291 QKD524291:QKE524291 QTZ524291:QUA524291 RDV524291:RDW524291 RNR524291:RNS524291 RXN524291:RXO524291 SHJ524291:SHK524291 SRF524291:SRG524291 TBB524291:TBC524291 TKX524291:TKY524291 TUT524291:TUU524291 UEP524291:UEQ524291 UOL524291:UOM524291 UYH524291:UYI524291 VID524291:VIE524291 VRZ524291:VSA524291 WBV524291:WBW524291 WLR524291:WLS524291 WVN524291:WVO524291 F589827:G589827 JB589827:JC589827 SX589827:SY589827 ACT589827:ACU589827 AMP589827:AMQ589827 AWL589827:AWM589827 BGH589827:BGI589827 BQD589827:BQE589827 BZZ589827:CAA589827 CJV589827:CJW589827 CTR589827:CTS589827 DDN589827:DDO589827 DNJ589827:DNK589827 DXF589827:DXG589827 EHB589827:EHC589827 EQX589827:EQY589827 FAT589827:FAU589827 FKP589827:FKQ589827 FUL589827:FUM589827 GEH589827:GEI589827 GOD589827:GOE589827 GXZ589827:GYA589827 HHV589827:HHW589827 HRR589827:HRS589827 IBN589827:IBO589827 ILJ589827:ILK589827 IVF589827:IVG589827 JFB589827:JFC589827 JOX589827:JOY589827 JYT589827:JYU589827 KIP589827:KIQ589827 KSL589827:KSM589827 LCH589827:LCI589827 LMD589827:LME589827 LVZ589827:LWA589827 MFV589827:MFW589827 MPR589827:MPS589827 MZN589827:MZO589827 NJJ589827:NJK589827 NTF589827:NTG589827 ODB589827:ODC589827 OMX589827:OMY589827 OWT589827:OWU589827 PGP589827:PGQ589827 PQL589827:PQM589827 QAH589827:QAI589827 QKD589827:QKE589827 QTZ589827:QUA589827 RDV589827:RDW589827 RNR589827:RNS589827 RXN589827:RXO589827 SHJ589827:SHK589827 SRF589827:SRG589827 TBB589827:TBC589827 TKX589827:TKY589827 TUT589827:TUU589827 UEP589827:UEQ589827 UOL589827:UOM589827 UYH589827:UYI589827 VID589827:VIE589827 VRZ589827:VSA589827 WBV589827:WBW589827 WLR589827:WLS589827 WVN589827:WVO589827 F655363:G655363 JB655363:JC655363 SX655363:SY655363 ACT655363:ACU655363 AMP655363:AMQ655363 AWL655363:AWM655363 BGH655363:BGI655363 BQD655363:BQE655363 BZZ655363:CAA655363 CJV655363:CJW655363 CTR655363:CTS655363 DDN655363:DDO655363 DNJ655363:DNK655363 DXF655363:DXG655363 EHB655363:EHC655363 EQX655363:EQY655363 FAT655363:FAU655363 FKP655363:FKQ655363 FUL655363:FUM655363 GEH655363:GEI655363 GOD655363:GOE655363 GXZ655363:GYA655363 HHV655363:HHW655363 HRR655363:HRS655363 IBN655363:IBO655363 ILJ655363:ILK655363 IVF655363:IVG655363 JFB655363:JFC655363 JOX655363:JOY655363 JYT655363:JYU655363 KIP655363:KIQ655363 KSL655363:KSM655363 LCH655363:LCI655363 LMD655363:LME655363 LVZ655363:LWA655363 MFV655363:MFW655363 MPR655363:MPS655363 MZN655363:MZO655363 NJJ655363:NJK655363 NTF655363:NTG655363 ODB655363:ODC655363 OMX655363:OMY655363 OWT655363:OWU655363 PGP655363:PGQ655363 PQL655363:PQM655363 QAH655363:QAI655363 QKD655363:QKE655363 QTZ655363:QUA655363 RDV655363:RDW655363 RNR655363:RNS655363 RXN655363:RXO655363 SHJ655363:SHK655363 SRF655363:SRG655363 TBB655363:TBC655363 TKX655363:TKY655363 TUT655363:TUU655363 UEP655363:UEQ655363 UOL655363:UOM655363 UYH655363:UYI655363 VID655363:VIE655363 VRZ655363:VSA655363 WBV655363:WBW655363 WLR655363:WLS655363 WVN655363:WVO655363 F720899:G720899 JB720899:JC720899 SX720899:SY720899 ACT720899:ACU720899 AMP720899:AMQ720899 AWL720899:AWM720899 BGH720899:BGI720899 BQD720899:BQE720899 BZZ720899:CAA720899 CJV720899:CJW720899 CTR720899:CTS720899 DDN720899:DDO720899 DNJ720899:DNK720899 DXF720899:DXG720899 EHB720899:EHC720899 EQX720899:EQY720899 FAT720899:FAU720899 FKP720899:FKQ720899 FUL720899:FUM720899 GEH720899:GEI720899 GOD720899:GOE720899 GXZ720899:GYA720899 HHV720899:HHW720899 HRR720899:HRS720899 IBN720899:IBO720899 ILJ720899:ILK720899 IVF720899:IVG720899 JFB720899:JFC720899 JOX720899:JOY720899 JYT720899:JYU720899 KIP720899:KIQ720899 KSL720899:KSM720899 LCH720899:LCI720899 LMD720899:LME720899 LVZ720899:LWA720899 MFV720899:MFW720899 MPR720899:MPS720899 MZN720899:MZO720899 NJJ720899:NJK720899 NTF720899:NTG720899 ODB720899:ODC720899 OMX720899:OMY720899 OWT720899:OWU720899 PGP720899:PGQ720899 PQL720899:PQM720899 QAH720899:QAI720899 QKD720899:QKE720899 QTZ720899:QUA720899 RDV720899:RDW720899 RNR720899:RNS720899 RXN720899:RXO720899 SHJ720899:SHK720899 SRF720899:SRG720899 TBB720899:TBC720899 TKX720899:TKY720899 TUT720899:TUU720899 UEP720899:UEQ720899 UOL720899:UOM720899 UYH720899:UYI720899 VID720899:VIE720899 VRZ720899:VSA720899 WBV720899:WBW720899 WLR720899:WLS720899 WVN720899:WVO720899 F786435:G786435 JB786435:JC786435 SX786435:SY786435 ACT786435:ACU786435 AMP786435:AMQ786435 AWL786435:AWM786435 BGH786435:BGI786435 BQD786435:BQE786435 BZZ786435:CAA786435 CJV786435:CJW786435 CTR786435:CTS786435 DDN786435:DDO786435 DNJ786435:DNK786435 DXF786435:DXG786435 EHB786435:EHC786435 EQX786435:EQY786435 FAT786435:FAU786435 FKP786435:FKQ786435 FUL786435:FUM786435 GEH786435:GEI786435 GOD786435:GOE786435 GXZ786435:GYA786435 HHV786435:HHW786435 HRR786435:HRS786435 IBN786435:IBO786435 ILJ786435:ILK786435 IVF786435:IVG786435 JFB786435:JFC786435 JOX786435:JOY786435 JYT786435:JYU786435 KIP786435:KIQ786435 KSL786435:KSM786435 LCH786435:LCI786435 LMD786435:LME786435 LVZ786435:LWA786435 MFV786435:MFW786435 MPR786435:MPS786435 MZN786435:MZO786435 NJJ786435:NJK786435 NTF786435:NTG786435 ODB786435:ODC786435 OMX786435:OMY786435 OWT786435:OWU786435 PGP786435:PGQ786435 PQL786435:PQM786435 QAH786435:QAI786435 QKD786435:QKE786435 QTZ786435:QUA786435 RDV786435:RDW786435 RNR786435:RNS786435 RXN786435:RXO786435 SHJ786435:SHK786435 SRF786435:SRG786435 TBB786435:TBC786435 TKX786435:TKY786435 TUT786435:TUU786435 UEP786435:UEQ786435 UOL786435:UOM786435 UYH786435:UYI786435 VID786435:VIE786435 VRZ786435:VSA786435 WBV786435:WBW786435 WLR786435:WLS786435 WVN786435:WVO786435 F851971:G851971 JB851971:JC851971 SX851971:SY851971 ACT851971:ACU851971 AMP851971:AMQ851971 AWL851971:AWM851971 BGH851971:BGI851971 BQD851971:BQE851971 BZZ851971:CAA851971 CJV851971:CJW851971 CTR851971:CTS851971 DDN851971:DDO851971 DNJ851971:DNK851971 DXF851971:DXG851971 EHB851971:EHC851971 EQX851971:EQY851971 FAT851971:FAU851971 FKP851971:FKQ851971 FUL851971:FUM851971 GEH851971:GEI851971 GOD851971:GOE851971 GXZ851971:GYA851971 HHV851971:HHW851971 HRR851971:HRS851971 IBN851971:IBO851971 ILJ851971:ILK851971 IVF851971:IVG851971 JFB851971:JFC851971 JOX851971:JOY851971 JYT851971:JYU851971 KIP851971:KIQ851971 KSL851971:KSM851971 LCH851971:LCI851971 LMD851971:LME851971 LVZ851971:LWA851971 MFV851971:MFW851971 MPR851971:MPS851971 MZN851971:MZO851971 NJJ851971:NJK851971 NTF851971:NTG851971 ODB851971:ODC851971 OMX851971:OMY851971 OWT851971:OWU851971 PGP851971:PGQ851971 PQL851971:PQM851971 QAH851971:QAI851971 QKD851971:QKE851971 QTZ851971:QUA851971 RDV851971:RDW851971 RNR851971:RNS851971 RXN851971:RXO851971 SHJ851971:SHK851971 SRF851971:SRG851971 TBB851971:TBC851971 TKX851971:TKY851971 TUT851971:TUU851971 UEP851971:UEQ851971 UOL851971:UOM851971 UYH851971:UYI851971 VID851971:VIE851971 VRZ851971:VSA851971 WBV851971:WBW851971 WLR851971:WLS851971 WVN851971:WVO851971 F917507:G917507 JB917507:JC917507 SX917507:SY917507 ACT917507:ACU917507 AMP917507:AMQ917507 AWL917507:AWM917507 BGH917507:BGI917507 BQD917507:BQE917507 BZZ917507:CAA917507 CJV917507:CJW917507 CTR917507:CTS917507 DDN917507:DDO917507 DNJ917507:DNK917507 DXF917507:DXG917507 EHB917507:EHC917507 EQX917507:EQY917507 FAT917507:FAU917507 FKP917507:FKQ917507 FUL917507:FUM917507 GEH917507:GEI917507 GOD917507:GOE917507 GXZ917507:GYA917507 HHV917507:HHW917507 HRR917507:HRS917507 IBN917507:IBO917507 ILJ917507:ILK917507 IVF917507:IVG917507 JFB917507:JFC917507 JOX917507:JOY917507 JYT917507:JYU917507 KIP917507:KIQ917507 KSL917507:KSM917507 LCH917507:LCI917507 LMD917507:LME917507 LVZ917507:LWA917507 MFV917507:MFW917507 MPR917507:MPS917507 MZN917507:MZO917507 NJJ917507:NJK917507 NTF917507:NTG917507 ODB917507:ODC917507 OMX917507:OMY917507 OWT917507:OWU917507 PGP917507:PGQ917507 PQL917507:PQM917507 QAH917507:QAI917507 QKD917507:QKE917507 QTZ917507:QUA917507 RDV917507:RDW917507 RNR917507:RNS917507 RXN917507:RXO917507 SHJ917507:SHK917507 SRF917507:SRG917507 TBB917507:TBC917507 TKX917507:TKY917507 TUT917507:TUU917507 UEP917507:UEQ917507 UOL917507:UOM917507 UYH917507:UYI917507 VID917507:VIE917507 VRZ917507:VSA917507 WBV917507:WBW917507 WLR917507:WLS917507 WVN917507:WVO917507 F983043:G983043 JB983043:JC983043 SX983043:SY983043 ACT983043:ACU983043 AMP983043:AMQ983043 AWL983043:AWM983043 BGH983043:BGI983043 BQD983043:BQE983043 BZZ983043:CAA983043 CJV983043:CJW983043 CTR983043:CTS983043 DDN983043:DDO983043 DNJ983043:DNK983043 DXF983043:DXG983043 EHB983043:EHC983043 EQX983043:EQY983043 FAT983043:FAU983043 FKP983043:FKQ983043 FUL983043:FUM983043 GEH983043:GEI983043 GOD983043:GOE983043 GXZ983043:GYA983043 HHV983043:HHW983043 HRR983043:HRS983043 IBN983043:IBO983043 ILJ983043:ILK983043 IVF983043:IVG983043 JFB983043:JFC983043 JOX983043:JOY983043 JYT983043:JYU983043 KIP983043:KIQ983043 KSL983043:KSM983043 LCH983043:LCI983043 LMD983043:LME983043 LVZ983043:LWA983043 MFV983043:MFW983043 MPR983043:MPS983043 MZN983043:MZO983043 NJJ983043:NJK983043 NTF983043:NTG983043 ODB983043:ODC983043 OMX983043:OMY983043 OWT983043:OWU983043 PGP983043:PGQ983043 PQL983043:PQM983043 QAH983043:QAI983043 QKD983043:QKE983043 QTZ983043:QUA983043 RDV983043:RDW983043 RNR983043:RNS983043 RXN983043:RXO983043 SHJ983043:SHK983043 SRF983043:SRG983043 TBB983043:TBC983043 TKX983043:TKY983043 TUT983043:TUU983043 UEP983043:UEQ983043 UOL983043:UOM983043 UYH983043:UYI983043 VID983043:VIE983043 VRZ983043:VSA983043 WBV983043:WBW983043 WLR983043:WLS983043 WVN983043:WVO983043" xr:uid="{00000000-0002-0000-2800-000005000000}">
      <formula1>"原子力,石炭火力,LNG火力,石油火力,一般水力,太陽光（メガソーラー）,太陽光（住宅）,風力（陸上）,風力（洋上）,小水力,地熱,バイオマス（石炭混焼）,バイオマス（木質専焼）,ガスコジェネ,石油コジェネ,燃料電池"</formula1>
    </dataValidation>
    <dataValidation showDropDown="1" showInputMessage="1" showErrorMessage="1" sqref="F41 F48" xr:uid="{00000000-0002-0000-2800-000006000000}"/>
    <dataValidation type="list" operator="equal" allowBlank="1" showInputMessage="1" showErrorMessage="1" sqref="F157" xr:uid="{00000000-0002-0000-2800-000007000000}">
      <formula1>"300,500,1000,285"</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BS153"/>
  <sheetViews>
    <sheetView showGridLines="0" topLeftCell="BE82" zoomScale="85" zoomScaleNormal="85" workbookViewId="0">
      <selection activeCell="BS116" sqref="BS116"/>
    </sheetView>
  </sheetViews>
  <sheetFormatPr defaultColWidth="9" defaultRowHeight="14.25" outlineLevelCol="1" x14ac:dyDescent="0.15"/>
  <cols>
    <col min="1" max="3" width="6.25" style="71" customWidth="1"/>
    <col min="4" max="4" width="6.25" style="84" customWidth="1"/>
    <col min="5" max="5" width="24.375" style="84" customWidth="1"/>
    <col min="6" max="6" width="18.75" style="71" customWidth="1"/>
    <col min="7" max="7" width="24.375" style="84" bestFit="1" customWidth="1"/>
    <col min="8" max="8" width="9" style="71"/>
    <col min="9" max="9" width="6.25" style="71" customWidth="1"/>
    <col min="10" max="10" width="3" style="71" customWidth="1"/>
    <col min="11" max="11" width="6.25" style="71" customWidth="1"/>
    <col min="12" max="12" width="3" style="71" customWidth="1"/>
    <col min="13" max="13" width="6.25" style="71" customWidth="1"/>
    <col min="14" max="14" width="3" style="71" customWidth="1"/>
    <col min="15" max="15" width="17.375" style="71" bestFit="1" customWidth="1"/>
    <col min="16" max="16" width="8.625" style="71" customWidth="1"/>
    <col min="17" max="17" width="3" style="71" customWidth="1"/>
    <col min="18" max="18" width="17.375" style="71" bestFit="1" customWidth="1"/>
    <col min="19" max="19" width="3" style="71" customWidth="1"/>
    <col min="20" max="20" width="17.375" style="71" bestFit="1" customWidth="1"/>
    <col min="21" max="21" width="3" style="71" customWidth="1"/>
    <col min="22" max="22" width="15" style="71" customWidth="1" outlineLevel="1"/>
    <col min="23" max="23" width="17.375" style="71" bestFit="1" customWidth="1"/>
    <col min="24" max="24" width="3" style="71" customWidth="1"/>
    <col min="25" max="25" width="15" style="71" customWidth="1" outlineLevel="1"/>
    <col min="26" max="26" width="15" style="71" customWidth="1"/>
    <col min="27" max="27" width="3" style="71" customWidth="1"/>
    <col min="28" max="28" width="15" style="71" customWidth="1" outlineLevel="1"/>
    <col min="29" max="29" width="15" style="71" customWidth="1"/>
    <col min="30" max="30" width="3" style="71" customWidth="1"/>
    <col min="31" max="31" width="15" style="71" customWidth="1" outlineLevel="1"/>
    <col min="32" max="32" width="15" style="71" customWidth="1"/>
    <col min="33" max="33" width="3" style="71" customWidth="1"/>
    <col min="34" max="34" width="14.875" style="71" customWidth="1" outlineLevel="1"/>
    <col min="35" max="35" width="15" style="71" customWidth="1"/>
    <col min="36" max="36" width="3" style="71" customWidth="1"/>
    <col min="37" max="37" width="15" style="71" customWidth="1" outlineLevel="1"/>
    <col min="38" max="38" width="15" style="71" customWidth="1"/>
    <col min="39" max="39" width="3" style="71" customWidth="1"/>
    <col min="40" max="40" width="15" style="71" customWidth="1" outlineLevel="1"/>
    <col min="41" max="41" width="15" style="71" customWidth="1"/>
    <col min="42" max="42" width="3" style="71" customWidth="1"/>
    <col min="43" max="43" width="15" style="71" customWidth="1" outlineLevel="1"/>
    <col min="44" max="44" width="15" style="71" customWidth="1"/>
    <col min="45" max="45" width="3" style="71" customWidth="1"/>
    <col min="46" max="46" width="10.75" style="71" bestFit="1" customWidth="1"/>
    <col min="47" max="47" width="3" style="71" customWidth="1"/>
    <col min="48" max="48" width="15" style="71" customWidth="1" outlineLevel="1"/>
    <col min="49" max="49" width="17.375" style="71" bestFit="1" customWidth="1"/>
    <col min="50" max="50" width="3" style="71" customWidth="1"/>
    <col min="51" max="51" width="9.625" style="71" bestFit="1" customWidth="1"/>
    <col min="52" max="52" width="3" style="71" customWidth="1"/>
    <col min="53" max="53" width="15" style="71" customWidth="1" outlineLevel="1"/>
    <col min="54" max="54" width="17.375" style="71" bestFit="1" customWidth="1"/>
    <col min="55" max="55" width="3" style="71" customWidth="1"/>
    <col min="56" max="56" width="19.25" style="71" customWidth="1" outlineLevel="1"/>
    <col min="57" max="57" width="19.25" style="71" bestFit="1" customWidth="1"/>
    <col min="58" max="58" width="3" style="71" customWidth="1"/>
    <col min="59" max="59" width="19.25" style="71" customWidth="1" outlineLevel="1"/>
    <col min="60" max="60" width="19.25" style="71"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71" customWidth="1" outlineLevel="1"/>
    <col min="70" max="70" width="17.375" style="71" bestFit="1" customWidth="1"/>
    <col min="71" max="71" width="16.25" style="71" bestFit="1" customWidth="1"/>
    <col min="72" max="16384" width="9" style="71"/>
  </cols>
  <sheetData>
    <row r="1" spans="1:70" ht="18.75" x14ac:dyDescent="0.15">
      <c r="A1" s="6" t="s">
        <v>60</v>
      </c>
    </row>
    <row r="3" spans="1:70" ht="23.25" x14ac:dyDescent="0.15">
      <c r="B3" s="1" t="s">
        <v>542</v>
      </c>
      <c r="F3" s="732" t="s">
        <v>260</v>
      </c>
      <c r="G3" s="719"/>
    </row>
    <row r="4" spans="1:70" x14ac:dyDescent="0.15">
      <c r="G4" s="472"/>
    </row>
    <row r="5" spans="1:70" ht="15.75" thickBot="1" x14ac:dyDescent="0.2">
      <c r="B5" s="5" t="s">
        <v>543</v>
      </c>
      <c r="C5" s="3"/>
      <c r="D5" s="102"/>
      <c r="E5" s="102"/>
      <c r="F5" s="3"/>
      <c r="G5" s="102"/>
      <c r="I5" s="5" t="s">
        <v>64</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71" t="s">
        <v>545</v>
      </c>
      <c r="F7" s="473">
        <v>2030</v>
      </c>
      <c r="I7" s="8"/>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71" t="s">
        <v>546</v>
      </c>
      <c r="F8" s="474">
        <f>まとめ!B3</f>
        <v>107</v>
      </c>
      <c r="G8" s="84" t="s">
        <v>547</v>
      </c>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71" t="s">
        <v>548</v>
      </c>
      <c r="F9" s="474">
        <f>まとめ!B2</f>
        <v>3</v>
      </c>
      <c r="G9" s="84" t="s">
        <v>549</v>
      </c>
      <c r="I9" s="720" t="s">
        <v>78</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07" t="s">
        <v>118</v>
      </c>
      <c r="AI9" s="707"/>
      <c r="AJ9" s="8"/>
      <c r="AK9" s="707" t="s">
        <v>89</v>
      </c>
      <c r="AL9" s="707"/>
      <c r="AM9" s="8"/>
      <c r="AN9" s="707" t="s">
        <v>90</v>
      </c>
      <c r="AO9" s="707"/>
      <c r="AP9" s="8"/>
      <c r="AQ9" s="707" t="s">
        <v>91</v>
      </c>
      <c r="AR9" s="707"/>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I10" s="708"/>
      <c r="K10" s="708"/>
      <c r="M10" s="708"/>
      <c r="O10" s="717"/>
      <c r="P10" s="717"/>
      <c r="R10" s="708"/>
      <c r="T10" s="708"/>
      <c r="V10" s="717"/>
      <c r="W10" s="717"/>
      <c r="Y10" s="717"/>
      <c r="Z10" s="717"/>
      <c r="AB10" s="723"/>
      <c r="AC10" s="723"/>
      <c r="AD10" s="81"/>
      <c r="AE10" s="723"/>
      <c r="AF10" s="723"/>
      <c r="AH10" s="717"/>
      <c r="AI10" s="717"/>
      <c r="AK10" s="717"/>
      <c r="AL10" s="717"/>
      <c r="AN10" s="717"/>
      <c r="AO10" s="717"/>
      <c r="AQ10" s="717"/>
      <c r="AR10" s="717"/>
      <c r="AT10" s="717"/>
      <c r="AV10" s="717"/>
      <c r="AW10" s="717"/>
      <c r="AX10" s="322"/>
      <c r="AY10" s="708"/>
      <c r="BA10" s="708"/>
      <c r="BB10" s="708"/>
      <c r="BD10" s="717"/>
      <c r="BE10" s="717"/>
      <c r="BG10" s="717"/>
      <c r="BH10" s="717"/>
      <c r="BJ10" s="708"/>
      <c r="BK10" s="708"/>
      <c r="BL10" s="708"/>
      <c r="BM10" s="322"/>
      <c r="BN10" s="717"/>
      <c r="BO10" s="717"/>
      <c r="BQ10" s="322"/>
      <c r="BR10" s="322"/>
    </row>
    <row r="11" spans="1:70" ht="15.75" customHeight="1" thickBot="1" x14ac:dyDescent="0.2">
      <c r="B11" s="5" t="s">
        <v>95</v>
      </c>
      <c r="C11" s="3"/>
      <c r="D11" s="102"/>
      <c r="E11" s="102"/>
      <c r="F11" s="3"/>
      <c r="G11" s="102"/>
      <c r="O11" s="322" t="s">
        <v>96</v>
      </c>
      <c r="P11" s="322"/>
      <c r="Q11" s="322"/>
      <c r="R11" s="322" t="s">
        <v>96</v>
      </c>
      <c r="S11" s="322"/>
      <c r="T11" s="322"/>
      <c r="V11" s="322"/>
      <c r="W11" s="322"/>
      <c r="Y11" s="322"/>
      <c r="Z11" s="322"/>
      <c r="AB11" s="322"/>
      <c r="AC11" s="322"/>
      <c r="AE11" s="322"/>
      <c r="AF11" s="322"/>
      <c r="AH11" s="322"/>
      <c r="AI11" s="322"/>
      <c r="AK11" s="322"/>
      <c r="AL11" s="322"/>
      <c r="AN11" s="322"/>
      <c r="AO11" s="322"/>
      <c r="AQ11" s="322"/>
      <c r="AR11" s="322"/>
      <c r="AT11" s="322"/>
      <c r="AV11" s="322"/>
      <c r="AW11" s="322"/>
      <c r="AX11" s="322"/>
      <c r="BB11" s="322"/>
      <c r="BD11" s="322"/>
      <c r="BE11" s="322"/>
      <c r="BG11" s="322"/>
      <c r="BH11" s="322"/>
      <c r="BJ11" s="156"/>
      <c r="BM11" s="322"/>
      <c r="BN11" s="322"/>
      <c r="BO11" s="322"/>
      <c r="BQ11" s="322"/>
      <c r="BR11" s="322"/>
    </row>
    <row r="12" spans="1:70" ht="14.25" customHeight="1" x14ac:dyDescent="0.15">
      <c r="O12" s="322"/>
      <c r="P12" s="707" t="s">
        <v>97</v>
      </c>
      <c r="W12" s="707" t="s">
        <v>98</v>
      </c>
      <c r="Z12" s="707" t="s">
        <v>98</v>
      </c>
      <c r="AC12" s="707" t="s">
        <v>98</v>
      </c>
      <c r="AF12" s="707" t="s">
        <v>98</v>
      </c>
      <c r="AI12" s="707" t="s">
        <v>98</v>
      </c>
      <c r="AL12" s="707" t="s">
        <v>98</v>
      </c>
      <c r="AO12" s="707" t="s">
        <v>98</v>
      </c>
      <c r="AR12" s="707" t="s">
        <v>98</v>
      </c>
      <c r="AW12" s="707" t="s">
        <v>98</v>
      </c>
      <c r="BB12" s="707" t="s">
        <v>98</v>
      </c>
      <c r="BE12" s="707" t="s">
        <v>98</v>
      </c>
      <c r="BH12" s="707" t="s">
        <v>98</v>
      </c>
      <c r="BJ12" s="709" t="s">
        <v>99</v>
      </c>
      <c r="BK12" s="709" t="s">
        <v>100</v>
      </c>
      <c r="BL12" s="709" t="s">
        <v>101</v>
      </c>
      <c r="BO12" s="709" t="s">
        <v>102</v>
      </c>
      <c r="BR12" s="707" t="s">
        <v>103</v>
      </c>
    </row>
    <row r="13" spans="1:70" ht="14.25" customHeight="1" x14ac:dyDescent="0.15">
      <c r="C13" s="71" t="s">
        <v>552</v>
      </c>
      <c r="F13" s="475">
        <v>70</v>
      </c>
      <c r="G13" s="84" t="s">
        <v>553</v>
      </c>
      <c r="O13" s="322"/>
      <c r="P13" s="708"/>
      <c r="Q13" s="322"/>
      <c r="R13" s="322"/>
      <c r="S13" s="322"/>
      <c r="T13" s="322"/>
      <c r="V13" s="322"/>
      <c r="W13" s="708"/>
      <c r="Y13" s="322"/>
      <c r="Z13" s="708"/>
      <c r="AB13" s="322"/>
      <c r="AC13" s="708"/>
      <c r="AE13" s="322"/>
      <c r="AF13" s="708"/>
      <c r="AH13" s="322"/>
      <c r="AI13" s="708"/>
      <c r="AK13" s="322"/>
      <c r="AL13" s="708"/>
      <c r="AN13" s="322"/>
      <c r="AO13" s="708"/>
      <c r="AQ13" s="322"/>
      <c r="AR13" s="708"/>
      <c r="AT13" s="322"/>
      <c r="AV13" s="322"/>
      <c r="AW13" s="708"/>
      <c r="BB13" s="708"/>
      <c r="BD13" s="322"/>
      <c r="BE13" s="708"/>
      <c r="BG13" s="322"/>
      <c r="BH13" s="708"/>
      <c r="BJ13" s="712"/>
      <c r="BK13" s="710"/>
      <c r="BL13" s="708"/>
      <c r="BM13" s="322"/>
      <c r="BO13" s="708"/>
      <c r="BQ13" s="322"/>
      <c r="BR13" s="708"/>
    </row>
    <row r="14" spans="1:70" ht="16.5" x14ac:dyDescent="0.15">
      <c r="C14" s="71" t="s">
        <v>554</v>
      </c>
      <c r="F14" s="474">
        <f>VLOOKUP(F3&amp;IF(G4&lt;&gt;"","_"&amp;G4,""),まとめ!$A$12:$G$34,IF(F7=2030,4,IF(F7=2020,3,IF(F7=2014,2,"-"))),0)</f>
        <v>70</v>
      </c>
      <c r="G14" s="84" t="s">
        <v>549</v>
      </c>
      <c r="O14" s="322"/>
      <c r="P14" s="322"/>
      <c r="Q14" s="322"/>
      <c r="R14" s="322"/>
      <c r="S14" s="322"/>
      <c r="T14" s="322"/>
      <c r="AT14" s="50" t="s">
        <v>104</v>
      </c>
      <c r="AY14" s="71" t="s">
        <v>105</v>
      </c>
    </row>
    <row r="15" spans="1:70" x14ac:dyDescent="0.15">
      <c r="C15" s="71" t="s">
        <v>555</v>
      </c>
      <c r="F15" s="474">
        <f>VLOOKUP(F3&amp;IF(G4&lt;&gt;"","_"&amp;G4,""),まとめ!$A$12:$G$34,IF(F7=2030,7,IF(F7=2020,6,IF(F7=2014,5,"-"))),0)</f>
        <v>40</v>
      </c>
      <c r="G15" s="84" t="s">
        <v>556</v>
      </c>
      <c r="I15" s="38">
        <f>F7</f>
        <v>2030</v>
      </c>
      <c r="J15" s="39"/>
      <c r="K15" s="39">
        <f>IF(I15&lt;&gt;"",1,"")</f>
        <v>1</v>
      </c>
      <c r="L15" s="39"/>
      <c r="M15" s="40">
        <f t="shared" ref="M15:M78" si="0">1/(1+($F$9/100))^K15</f>
        <v>0.970873786407767</v>
      </c>
      <c r="N15" s="39"/>
      <c r="O15" s="72">
        <f>F117</f>
        <v>170800000000</v>
      </c>
      <c r="P15" s="41">
        <f t="shared" ref="P15:P78" si="1">IF(K15&lt;=$F$15,IF(OR(P14=$F$124,P14="-"),"-",IF(O15*$F$123&gt;$F$127,$F$123,$F$124)),"")</f>
        <v>0.16700000000000001</v>
      </c>
      <c r="Q15" s="39"/>
      <c r="R15" s="72">
        <f>F117</f>
        <v>170800000000</v>
      </c>
      <c r="S15" s="39"/>
      <c r="T15" s="72">
        <f>IF(ISNUMBER(R15),ROUNDDOWN(R15,-3),"")</f>
        <v>170800000000</v>
      </c>
      <c r="U15" s="39"/>
      <c r="V15" s="72">
        <f t="shared" ref="V15:V78" si="2">IF(K15&lt;=$F$15,IF(K15&lt;$F$119,IF(P15="-",V14,O15*P15),IF(K15=$F$119,MIN(IF(P15="-",V14,O15*P15),O15),0)),"")</f>
        <v>28523600000</v>
      </c>
      <c r="W15" s="72">
        <f>IF(ISNUMBER(V15),V15*$M15,"")</f>
        <v>27692815533.980583</v>
      </c>
      <c r="X15" s="39"/>
      <c r="Y15" s="72">
        <f t="shared" ref="Y15:Y78" si="3">IF($K15&lt;=$F$15,ROUNDDOWN(T15*$F$25/100,-2),"")</f>
        <v>2391200000</v>
      </c>
      <c r="Z15" s="72">
        <f>IF(ISNUMBER(Y15),Y15*$M15,"")</f>
        <v>2321553398.0582523</v>
      </c>
      <c r="AA15" s="39"/>
      <c r="AB15" s="72">
        <f t="shared" ref="AB15:AB78" si="4">IF($K15&lt;=$F$15,0,IF(AND($K15&gt;$F$15,$K15&lt;=$F$15+$F$28),$F$27*10^8/$F$28,""))</f>
        <v>0</v>
      </c>
      <c r="AC15" s="72">
        <f>IF(ISNUMBER(AB15),AB15*$M15,"")</f>
        <v>0</v>
      </c>
      <c r="AD15" s="39"/>
      <c r="AE15" s="72">
        <f t="shared" ref="AE15:AE78" si="5">IF($K15&lt;=$F$15,$F$26,"")</f>
        <v>0</v>
      </c>
      <c r="AF15" s="72">
        <f>IF(ISNUMBER(AE15),AE15*$M15,"")</f>
        <v>0</v>
      </c>
      <c r="AG15" s="39"/>
      <c r="AH15" s="72">
        <f t="shared" ref="AH15:AH78" si="6">IF($K15&lt;=$F$15,$F$33*10^8,"")</f>
        <v>440000000.00000006</v>
      </c>
      <c r="AI15" s="72">
        <f>IF(ISNUMBER(AH15),AH15*$M15,"")</f>
        <v>427184466.01941752</v>
      </c>
      <c r="AJ15" s="39"/>
      <c r="AK15" s="72">
        <f t="shared" ref="AK15:AK78" si="7">IF($K15&lt;=$F$15,$F$117*$F$34/100,"")</f>
        <v>4099200000</v>
      </c>
      <c r="AL15" s="72">
        <f>IF(ISNUMBER(AK15),AK15*$M15,"")</f>
        <v>3979805825.2427187</v>
      </c>
      <c r="AM15" s="39"/>
      <c r="AN15" s="72">
        <f t="shared" ref="AN15:AN78" si="8">IF($K15&lt;=$F$15,$F$117*$F$35/100,"")</f>
        <v>3757600000</v>
      </c>
      <c r="AO15" s="72">
        <f>IF(ISNUMBER(AN15),AN15*$M15,"")</f>
        <v>3648155339.8058252</v>
      </c>
      <c r="AP15" s="39"/>
      <c r="AQ15" s="72">
        <f t="shared" ref="AQ15:AQ78" si="9">IF($K15&lt;=$F$15,SUM(AH15,AK15,AN15)*($F$36/100),"")</f>
        <v>1012209600</v>
      </c>
      <c r="AR15" s="72">
        <f>IF(ISNUMBER(AQ15),AQ15*$M15,"")</f>
        <v>982727766.99029124</v>
      </c>
      <c r="AS15" s="39"/>
      <c r="AT15" s="40">
        <f>IF($K15&lt;=$F$15,IF($F$40&lt;&gt;"",$F$40/1000,IF(ISERROR(VLOOKUP($F$3&amp;IF($G$4&lt;&gt;"",$G$4,"")&amp;IF($F$43&lt;&gt;"","_"&amp;$F$43,""),'表3）燃料価格'!$AF$9:$AG$25,2,0)),0,VLOOKUP($I15,'表3）燃料価格'!$A$5:$AC$56,VLOOKUP($F$3&amp;IF($G$4&lt;&gt;"",$G$4,"")&amp;IF($F$43&lt;&gt;"","_"&amp;$F$43,""),'表3）燃料価格'!$AF$9:$AG$25,2,0)+VLOOKUP($F$41,'表3）燃料価格'!$AF$28:$AG$29,2,0),0)*IF($F$43="需要地価格",1,$F$8/$F$141))),"")</f>
        <v>19.267926559999999</v>
      </c>
      <c r="AU15" s="39"/>
      <c r="AV15" s="72">
        <f>IF($K15&lt;=$F$15,($AT15+$F$142)*$F$137,"")</f>
        <v>29371849901.95145</v>
      </c>
      <c r="AW15" s="72">
        <f>IF(ISNUMBER(AV15),AV15*$M15,"")</f>
        <v>28516359128.108204</v>
      </c>
      <c r="AX15" s="39"/>
      <c r="AY15" s="40">
        <f>IF(ISERROR(IF($K15&lt;=$F$15,VLOOKUP($I15,'表4）CO2価格'!$A$7:$E$67,VLOOKUP($F$48,'表4）CO2価格'!$H$10:$I$12,2,0),0)*$F$8/1000,"")),0,IF($K15&lt;=$F$15,VLOOKUP($I15,'表4）CO2価格'!$A$7:$E$67,VLOOKUP($F$48,'表4）CO2価格'!$H$10:$I$12,2,0),0)*$F$8/1000,""))</f>
        <v>4.28</v>
      </c>
      <c r="AZ15" s="39"/>
      <c r="BA15" s="42">
        <f t="shared" ref="BA15:BA78" si="10">IF($K15&lt;=$F$15,$F$145*AY15,"")</f>
        <v>10870843431.724136</v>
      </c>
      <c r="BB15" s="72">
        <f>IF(ISNUMBER(BA15),BA15*$M15,"")</f>
        <v>10554216924.004017</v>
      </c>
      <c r="BC15" s="39"/>
      <c r="BD15" s="72">
        <f t="shared" ref="BD15:BD78" si="11">IF($K15&lt;=$F$15,($AT15+$F$152)*$F$151,"")</f>
        <v>0</v>
      </c>
      <c r="BE15" s="72">
        <f>IF(ISNUMBER(BD15),BD15*$M15,"")</f>
        <v>0</v>
      </c>
      <c r="BF15" s="39"/>
      <c r="BG15" s="42">
        <f t="shared" ref="BG15:BG78" si="12">IF($K15&lt;=$F$15,$F$153*AY15,"")</f>
        <v>0</v>
      </c>
      <c r="BH15" s="72">
        <f>IF(ISNUMBER(BG15),BG15*$M15,"")</f>
        <v>0</v>
      </c>
      <c r="BI15" s="39"/>
      <c r="BJ15" s="40" t="str">
        <f>IF(ISNUMBER($F$16),IF($K15&lt;=$F$16+$F$28,1/(1+($F$17/100))^K15,""),"")</f>
        <v/>
      </c>
      <c r="BK15" s="157" t="str">
        <f>IF(ISNUMBER($F$16),IF($K15&lt;=$F$16+$F$28,IF($K15&lt;=$F$16,SUM(Y15,AB15,AE15,AH15,AK15,AN15,AQ15,AV15,BA15,BD15,BG15),$F$27/$F$28*10^8)*BJ15,""),"")</f>
        <v/>
      </c>
      <c r="BL15" s="157" t="str">
        <f t="shared" ref="BL15:BL78" si="13">IF(AND(ISNUMBER(BJ15),$K15&lt;=$F$16),BQ15*BJ15,"")</f>
        <v/>
      </c>
      <c r="BM15" s="72"/>
      <c r="BN15" s="72" t="str">
        <f>IF(AND(ISNUMBER($F$16),$K15&lt;=$F$16),BQ15*($O$15+$BK$116)/$BL$116,"")</f>
        <v/>
      </c>
      <c r="BO15" s="72" t="str">
        <f>IF(ISNUMBER(BN15),BN15*$M15,"")</f>
        <v/>
      </c>
      <c r="BP15" s="39"/>
      <c r="BQ15" s="72">
        <f t="shared" ref="BQ15:BQ78" si="14">IF($K15&lt;=$F$15,$F$134,"")</f>
        <v>4056318000</v>
      </c>
      <c r="BR15" s="72">
        <f>IF(ISNUMBER(BQ15),BQ15*$M15,"")</f>
        <v>3938172815.5339808</v>
      </c>
    </row>
    <row r="16" spans="1:70" x14ac:dyDescent="0.15">
      <c r="C16" s="184" t="s">
        <v>107</v>
      </c>
      <c r="F16" s="474" t="str">
        <f>IF(ISERROR(VLOOKUP(F3&amp;IF(G4&lt;&gt;"","_"&amp;G4,""),'表7）買取期間・IRR'!$A$3:$A$10,1,0)),"",VLOOKUP(F3&amp;IF(G4&lt;&gt;"","_"&amp;G4,""),'表7）買取期間・IRR'!$A$3:$C$10,IF(F7=2030,4,IF(F7=2020,3,IF(F7=2014,2,"-"))),0))</f>
        <v/>
      </c>
      <c r="G16" s="84" t="s">
        <v>556</v>
      </c>
      <c r="I16" s="322">
        <f>I15+1</f>
        <v>2031</v>
      </c>
      <c r="K16" s="71">
        <f>IF(I16&lt;&gt;"",K15+1,"")</f>
        <v>2</v>
      </c>
      <c r="M16" s="7">
        <f t="shared" si="0"/>
        <v>0.94259590913375435</v>
      </c>
      <c r="O16" s="10">
        <f t="shared" ref="O16:O79" si="15">IF(K16&lt;=$F$15,O15-V15,"")</f>
        <v>142276400000</v>
      </c>
      <c r="P16" s="29">
        <f t="shared" si="1"/>
        <v>0.16700000000000001</v>
      </c>
      <c r="R16" s="10">
        <f t="shared" ref="R16:R79" si="16">IF($K16&lt;=$F$15,MAX($F$117*5%,R15*$F$129),"")</f>
        <v>146494459479.32471</v>
      </c>
      <c r="T16" s="10">
        <f t="shared" ref="T16:T79" si="17">IF(ISNUMBER(R16),ROUNDDOWN(R16,-3),"")</f>
        <v>146494459000</v>
      </c>
      <c r="V16" s="10">
        <f t="shared" si="2"/>
        <v>23760158800</v>
      </c>
      <c r="W16" s="10">
        <f t="shared" ref="W16:W79" si="18">IF(ISNUMBER(V16),V16*$M16,"")</f>
        <v>22396228485.248375</v>
      </c>
      <c r="Y16" s="10">
        <f t="shared" si="3"/>
        <v>2050922400</v>
      </c>
      <c r="Z16" s="10">
        <f t="shared" ref="Z16:Z79" si="19">IF(ISNUMBER(Y16),Y16*$M16,"")</f>
        <v>1933191064.1907814</v>
      </c>
      <c r="AB16" s="10">
        <f t="shared" si="4"/>
        <v>0</v>
      </c>
      <c r="AC16" s="10">
        <f t="shared" ref="AC16:AC79" si="20">IF(ISNUMBER(AB16),AB16*$M16,"")</f>
        <v>0</v>
      </c>
      <c r="AE16" s="10">
        <f t="shared" si="5"/>
        <v>0</v>
      </c>
      <c r="AF16" s="10">
        <f t="shared" ref="AF16:AF79" si="21">IF(ISNUMBER(AE16),AE16*$M16,"")</f>
        <v>0</v>
      </c>
      <c r="AH16" s="10">
        <f t="shared" si="6"/>
        <v>440000000.00000006</v>
      </c>
      <c r="AI16" s="10">
        <f t="shared" ref="AI16:AI79" si="22">IF(ISNUMBER(AH16),AH16*$M16,"")</f>
        <v>414742200.018852</v>
      </c>
      <c r="AK16" s="10">
        <f t="shared" si="7"/>
        <v>4099200000</v>
      </c>
      <c r="AL16" s="10">
        <f t="shared" ref="AL16:AL79" si="23">IF(ISNUMBER(AK16),AK16*$M16,"")</f>
        <v>3863889150.721086</v>
      </c>
      <c r="AN16" s="10">
        <f t="shared" si="8"/>
        <v>3757600000</v>
      </c>
      <c r="AO16" s="10">
        <f t="shared" ref="AO16:AO79" si="24">IF(ISNUMBER(AN16),AN16*$M16,"")</f>
        <v>3541898388.1609955</v>
      </c>
      <c r="AQ16" s="10">
        <f t="shared" si="9"/>
        <v>1012209600</v>
      </c>
      <c r="AR16" s="10">
        <f t="shared" ref="AR16:AR79" si="25">IF(ISNUMBER(AQ16),AQ16*$M16,"")</f>
        <v>954104628.14591384</v>
      </c>
      <c r="AT16" s="678">
        <f>IF($K16&lt;=$F$15,IF($F$40&lt;&gt;"",$F$40/1000,IF(ISERROR(VLOOKUP($F$3&amp;IF($G$4&lt;&gt;"",$G$4,"")&amp;IF($F$43&lt;&gt;"","_"&amp;$F$43,""),'表3）燃料価格'!$AF$9:$AG$25,2,0)),0,VLOOKUP($I16,'表3）燃料価格'!$A$5:$AC$56,VLOOKUP($F$3&amp;IF($G$4&lt;&gt;"",$G$4,"")&amp;IF($F$43&lt;&gt;"","_"&amp;$F$43,""),'表3）燃料価格'!$AF$9:$AG$25,2,0)+VLOOKUP($F$41,'表3）燃料価格'!$AF$28:$AG$29,2,0),0)*IF($F$43="需要地価格",1,$F$8/$F$141))),"")</f>
        <v>19.267926559999999</v>
      </c>
      <c r="AV16" s="10">
        <f t="shared" ref="AV16:AV78" si="26">IF($K16&lt;=$F$15,($AT16+$F$142)*$F$137,"")</f>
        <v>29371849901.95145</v>
      </c>
      <c r="AW16" s="10">
        <f t="shared" ref="AW16:AW79" si="27">IF(ISNUMBER(AV16),AV16*$M16,"")</f>
        <v>27685785561.2701</v>
      </c>
      <c r="AY16" s="40">
        <f>IF(ISERROR(IF($K16&lt;=$F$15,VLOOKUP($I16,'表4）CO2価格'!$A$7:$E$67,VLOOKUP($F$48,'表4）CO2価格'!$H$10:$I$12,2,0),0)*$F$8/1000,"")),0,IF($K16&lt;=$F$15,VLOOKUP($I16,'表4）CO2価格'!$A$7:$E$67,VLOOKUP($F$48,'表4）CO2価格'!$H$10:$I$12,2,0),0)*$F$8/1000,""))</f>
        <v>4.4083999999999808</v>
      </c>
      <c r="BA16" s="11">
        <f t="shared" si="10"/>
        <v>11196968734.675812</v>
      </c>
      <c r="BB16" s="10">
        <f t="shared" ref="BB16:BB79" si="28">IF(ISNUMBER(BA16),BA16*$M16,"")</f>
        <v>10554216924.003969</v>
      </c>
      <c r="BD16" s="10">
        <f t="shared" si="11"/>
        <v>0</v>
      </c>
      <c r="BE16" s="10">
        <f t="shared" ref="BE16:BE79" si="29">IF(ISNUMBER(BD16),BD16*$M16,"")</f>
        <v>0</v>
      </c>
      <c r="BG16" s="11">
        <f t="shared" si="12"/>
        <v>0</v>
      </c>
      <c r="BH16" s="10">
        <f t="shared" ref="BH16:BH79" si="30">IF(ISNUMBER(BG16),BG16*$M16,"")</f>
        <v>0</v>
      </c>
      <c r="BJ16" s="7" t="str">
        <f t="shared" ref="BJ16:BJ79" si="31">IF(ISNUMBER($F$16),IF($K16&lt;=$F$16+$F$28,1/(1+($F$17/100))^K16,""),"")</f>
        <v/>
      </c>
      <c r="BK16" s="158" t="str">
        <f t="shared" ref="BK16:BK79" si="32">IF(ISNUMBER($F$16),IF($K16&lt;=$F$16+$F$28,IF($K16&lt;=$F$16,SUM(Y16,AB16,AE16,AH16,AK16,AN16,AQ16,AV16,BA16,BD16,BG16),$F$27/$F$28*10^8)*BJ16,""),"")</f>
        <v/>
      </c>
      <c r="BL16" s="158" t="str">
        <f t="shared" si="13"/>
        <v/>
      </c>
      <c r="BM16" s="10"/>
      <c r="BN16" s="10" t="str">
        <f t="shared" ref="BN16:BN79" si="33">IF(AND(ISNUMBER($F$16),$K16&lt;=$F$16),BQ16*($O$15+$BK$116)/$BL$116,"")</f>
        <v/>
      </c>
      <c r="BO16" s="10" t="str">
        <f t="shared" ref="BO16:BO79" si="34">IF(ISNUMBER(BN16),BN16*$M16,"")</f>
        <v/>
      </c>
      <c r="BQ16" s="10">
        <f t="shared" si="14"/>
        <v>4056318000</v>
      </c>
      <c r="BR16" s="10">
        <f t="shared" ref="BR16:BR79" si="35">IF(ISNUMBER(BQ16),BQ16*$M16,"")</f>
        <v>3823468752.945612</v>
      </c>
    </row>
    <row r="17" spans="3:70" x14ac:dyDescent="0.15">
      <c r="C17" s="71" t="s">
        <v>109</v>
      </c>
      <c r="F17" s="476" t="str">
        <f>IF(ISERROR(VLOOKUP(F3&amp;IF(G4&lt;&gt;"","_"&amp;G4,""),'表7）買取期間・IRR'!$A$14:$A$21,1,0)),"",VLOOKUP(F3&amp;IF(G4&lt;&gt;"","_"&amp;G4,""),'表7）買取期間・IRR'!$A$14:$C$21,IF(F7=2030,4,IF(F7=2020,3,IF(F7=2014,2,"-"))),0))</f>
        <v/>
      </c>
      <c r="G17" s="84" t="s">
        <v>549</v>
      </c>
      <c r="I17" s="38">
        <f t="shared" ref="I17:I80" si="36">I16+1</f>
        <v>2032</v>
      </c>
      <c r="J17" s="39"/>
      <c r="K17" s="39">
        <f t="shared" ref="K17:K80" si="37">IF(I17&lt;&gt;"",K16+1,"")</f>
        <v>3</v>
      </c>
      <c r="L17" s="39"/>
      <c r="M17" s="40">
        <f t="shared" si="0"/>
        <v>0.91514165935315961</v>
      </c>
      <c r="N17" s="39"/>
      <c r="O17" s="72">
        <f t="shared" si="15"/>
        <v>118516241200</v>
      </c>
      <c r="P17" s="41">
        <f t="shared" si="1"/>
        <v>0.16700000000000001</v>
      </c>
      <c r="Q17" s="39"/>
      <c r="R17" s="72">
        <f t="shared" si="16"/>
        <v>125647697061.70673</v>
      </c>
      <c r="S17" s="39"/>
      <c r="T17" s="72">
        <f t="shared" si="17"/>
        <v>125647697000</v>
      </c>
      <c r="U17" s="39"/>
      <c r="V17" s="72">
        <f t="shared" si="2"/>
        <v>19792212280.400002</v>
      </c>
      <c r="W17" s="72">
        <f t="shared" si="18"/>
        <v>18112677988.555241</v>
      </c>
      <c r="X17" s="39"/>
      <c r="Y17" s="72">
        <f t="shared" si="3"/>
        <v>1759067700</v>
      </c>
      <c r="Z17" s="72">
        <f t="shared" si="19"/>
        <v>1609796133.8925459</v>
      </c>
      <c r="AA17" s="39"/>
      <c r="AB17" s="72">
        <f t="shared" si="4"/>
        <v>0</v>
      </c>
      <c r="AC17" s="72">
        <f t="shared" si="20"/>
        <v>0</v>
      </c>
      <c r="AD17" s="39"/>
      <c r="AE17" s="72">
        <f t="shared" si="5"/>
        <v>0</v>
      </c>
      <c r="AF17" s="72">
        <f t="shared" si="21"/>
        <v>0</v>
      </c>
      <c r="AG17" s="39"/>
      <c r="AH17" s="72">
        <f t="shared" si="6"/>
        <v>440000000.00000006</v>
      </c>
      <c r="AI17" s="72">
        <f t="shared" si="22"/>
        <v>402662330.1153903</v>
      </c>
      <c r="AJ17" s="39"/>
      <c r="AK17" s="72">
        <f t="shared" si="7"/>
        <v>4099200000</v>
      </c>
      <c r="AL17" s="72">
        <f t="shared" si="23"/>
        <v>3751348690.020472</v>
      </c>
      <c r="AM17" s="39"/>
      <c r="AN17" s="72">
        <f t="shared" si="8"/>
        <v>3757600000</v>
      </c>
      <c r="AO17" s="72">
        <f t="shared" si="24"/>
        <v>3438736299.1854324</v>
      </c>
      <c r="AP17" s="39"/>
      <c r="AQ17" s="72">
        <f t="shared" si="9"/>
        <v>1012209600</v>
      </c>
      <c r="AR17" s="72">
        <f t="shared" si="25"/>
        <v>926315172.9571979</v>
      </c>
      <c r="AS17" s="39"/>
      <c r="AT17" s="40">
        <f>IF($K17&lt;=$F$15,IF($F$40&lt;&gt;"",$F$40/1000,IF(ISERROR(VLOOKUP($F$3&amp;IF($G$4&lt;&gt;"",$G$4,"")&amp;IF($F$43&lt;&gt;"","_"&amp;$F$43,""),'表3）燃料価格'!$AF$9:$AG$25,2,0)),0,VLOOKUP($I17,'表3）燃料価格'!$A$5:$AC$56,VLOOKUP($F$3&amp;IF($G$4&lt;&gt;"",$G$4,"")&amp;IF($F$43&lt;&gt;"","_"&amp;$F$43,""),'表3）燃料価格'!$AF$9:$AG$25,2,0)+VLOOKUP($F$41,'表3）燃料価格'!$AF$28:$AG$29,2,0),0)*IF($F$43="需要地価格",1,$F$8/$F$141))),"")</f>
        <v>19.267926559999999</v>
      </c>
      <c r="AU17" s="39"/>
      <c r="AV17" s="72">
        <f t="shared" si="26"/>
        <v>29371849901.95145</v>
      </c>
      <c r="AW17" s="72">
        <f t="shared" si="27"/>
        <v>26879403457.543789</v>
      </c>
      <c r="AX17" s="39"/>
      <c r="AY17" s="40">
        <f>IF(ISERROR(IF($K17&lt;=$F$15,VLOOKUP($I17,'表4）CO2価格'!$A$7:$E$67,VLOOKUP($F$48,'表4）CO2価格'!$H$10:$I$12,2,0),0)*$F$8/1000,"")),0,IF($K17&lt;=$F$15,VLOOKUP($I17,'表4）CO2価格'!$A$7:$E$67,VLOOKUP($F$48,'表4）CO2価格'!$H$10:$I$12,2,0),0)*$F$8/1000,""))</f>
        <v>4.5368000000000102</v>
      </c>
      <c r="AZ17" s="39"/>
      <c r="BA17" s="42">
        <f t="shared" si="10"/>
        <v>11523094037.627609</v>
      </c>
      <c r="BB17" s="72">
        <f t="shared" si="28"/>
        <v>10545263398.47703</v>
      </c>
      <c r="BC17" s="39"/>
      <c r="BD17" s="72">
        <f t="shared" si="11"/>
        <v>0</v>
      </c>
      <c r="BE17" s="72">
        <f t="shared" si="29"/>
        <v>0</v>
      </c>
      <c r="BF17" s="39"/>
      <c r="BG17" s="42">
        <f t="shared" si="12"/>
        <v>0</v>
      </c>
      <c r="BH17" s="72">
        <f t="shared" si="30"/>
        <v>0</v>
      </c>
      <c r="BI17" s="39"/>
      <c r="BJ17" s="40" t="str">
        <f t="shared" si="31"/>
        <v/>
      </c>
      <c r="BK17" s="157" t="str">
        <f t="shared" si="32"/>
        <v/>
      </c>
      <c r="BL17" s="157" t="str">
        <f t="shared" si="13"/>
        <v/>
      </c>
      <c r="BM17" s="72"/>
      <c r="BN17" s="72" t="str">
        <f t="shared" si="33"/>
        <v/>
      </c>
      <c r="BO17" s="72" t="str">
        <f t="shared" si="34"/>
        <v/>
      </c>
      <c r="BP17" s="39"/>
      <c r="BQ17" s="72">
        <f t="shared" si="14"/>
        <v>4056318000</v>
      </c>
      <c r="BR17" s="72">
        <f t="shared" si="35"/>
        <v>3712105585.3840895</v>
      </c>
    </row>
    <row r="18" spans="3:70" x14ac:dyDescent="0.15">
      <c r="I18" s="322">
        <f t="shared" si="36"/>
        <v>2033</v>
      </c>
      <c r="K18" s="71">
        <f t="shared" si="37"/>
        <v>4</v>
      </c>
      <c r="M18" s="7">
        <f t="shared" si="0"/>
        <v>0.888487047915689</v>
      </c>
      <c r="O18" s="10">
        <f t="shared" si="15"/>
        <v>98724028919.600006</v>
      </c>
      <c r="P18" s="29">
        <f t="shared" si="1"/>
        <v>0.16700000000000001</v>
      </c>
      <c r="R18" s="10">
        <f t="shared" si="16"/>
        <v>107767514437.217</v>
      </c>
      <c r="T18" s="10">
        <f t="shared" si="17"/>
        <v>107767514000</v>
      </c>
      <c r="V18" s="10">
        <f t="shared" si="2"/>
        <v>16486912829.573202</v>
      </c>
      <c r="W18" s="10">
        <f t="shared" si="18"/>
        <v>14648408509.190794</v>
      </c>
      <c r="Y18" s="10">
        <f t="shared" si="3"/>
        <v>1508745100</v>
      </c>
      <c r="Z18" s="10">
        <f t="shared" si="19"/>
        <v>1340500479.9562609</v>
      </c>
      <c r="AB18" s="10">
        <f t="shared" si="4"/>
        <v>0</v>
      </c>
      <c r="AC18" s="10">
        <f t="shared" si="20"/>
        <v>0</v>
      </c>
      <c r="AE18" s="10">
        <f t="shared" si="5"/>
        <v>0</v>
      </c>
      <c r="AF18" s="10">
        <f t="shared" si="21"/>
        <v>0</v>
      </c>
      <c r="AH18" s="10">
        <f t="shared" si="6"/>
        <v>440000000.00000006</v>
      </c>
      <c r="AI18" s="10">
        <f t="shared" si="22"/>
        <v>390934301.08290321</v>
      </c>
      <c r="AK18" s="10">
        <f t="shared" si="7"/>
        <v>4099200000</v>
      </c>
      <c r="AL18" s="10">
        <f t="shared" si="23"/>
        <v>3642086106.8159924</v>
      </c>
      <c r="AN18" s="10">
        <f t="shared" si="8"/>
        <v>3757600000</v>
      </c>
      <c r="AO18" s="10">
        <f t="shared" si="24"/>
        <v>3338578931.247993</v>
      </c>
      <c r="AQ18" s="10">
        <f t="shared" si="9"/>
        <v>1012209600</v>
      </c>
      <c r="AR18" s="10">
        <f t="shared" si="25"/>
        <v>899335119.37592041</v>
      </c>
      <c r="AT18" s="678">
        <f>IF($K18&lt;=$F$15,IF($F$40&lt;&gt;"",$F$40/1000,IF(ISERROR(VLOOKUP($F$3&amp;IF($G$4&lt;&gt;"",$G$4,"")&amp;IF($F$43&lt;&gt;"","_"&amp;$F$43,""),'表3）燃料価格'!$AF$9:$AG$25,2,0)),0,VLOOKUP($I18,'表3）燃料価格'!$A$5:$AC$56,VLOOKUP($F$3&amp;IF($G$4&lt;&gt;"",$G$4,"")&amp;IF($F$43&lt;&gt;"","_"&amp;$F$43,""),'表3）燃料価格'!$AF$9:$AG$25,2,0)+VLOOKUP($F$41,'表3）燃料価格'!$AF$28:$AG$29,2,0),0)*IF($F$43="需要地価格",1,$F$8/$F$141))),"")</f>
        <v>19.267926559999999</v>
      </c>
      <c r="AV18" s="10">
        <f t="shared" si="26"/>
        <v>29371849901.95145</v>
      </c>
      <c r="AW18" s="10">
        <f t="shared" si="27"/>
        <v>26096508211.207565</v>
      </c>
      <c r="AY18" s="40">
        <f>IF(ISERROR(IF($K18&lt;=$F$15,VLOOKUP($I18,'表4）CO2価格'!$A$7:$E$67,VLOOKUP($F$48,'表4）CO2価格'!$H$10:$I$12,2,0),0)*$F$8/1000,"")),0,IF($K18&lt;=$F$15,VLOOKUP($I18,'表4）CO2価格'!$A$7:$E$67,VLOOKUP($F$48,'表4）CO2価格'!$H$10:$I$12,2,0),0)*$F$8/1000,""))</f>
        <v>4.6651999999999898</v>
      </c>
      <c r="BA18" s="11">
        <f t="shared" si="10"/>
        <v>11849219340.579283</v>
      </c>
      <c r="BB18" s="10">
        <f t="shared" si="28"/>
        <v>10527877912.016773</v>
      </c>
      <c r="BD18" s="10">
        <f t="shared" si="11"/>
        <v>0</v>
      </c>
      <c r="BE18" s="10">
        <f t="shared" si="29"/>
        <v>0</v>
      </c>
      <c r="BG18" s="11">
        <f t="shared" si="12"/>
        <v>0</v>
      </c>
      <c r="BH18" s="10">
        <f t="shared" si="30"/>
        <v>0</v>
      </c>
      <c r="BJ18" s="7" t="str">
        <f t="shared" si="31"/>
        <v/>
      </c>
      <c r="BK18" s="158" t="str">
        <f t="shared" si="32"/>
        <v/>
      </c>
      <c r="BL18" s="158" t="str">
        <f t="shared" si="13"/>
        <v/>
      </c>
      <c r="BM18" s="10"/>
      <c r="BN18" s="10" t="str">
        <f t="shared" si="33"/>
        <v/>
      </c>
      <c r="BO18" s="10" t="str">
        <f t="shared" si="34"/>
        <v/>
      </c>
      <c r="BQ18" s="10">
        <f t="shared" si="14"/>
        <v>4056318000</v>
      </c>
      <c r="BR18" s="10">
        <f t="shared" si="35"/>
        <v>3603986005.2272716</v>
      </c>
    </row>
    <row r="19" spans="3:70" x14ac:dyDescent="0.15">
      <c r="C19" s="4" t="s">
        <v>557</v>
      </c>
      <c r="D19" s="100"/>
      <c r="E19" s="100"/>
      <c r="F19" s="4"/>
      <c r="G19" s="100"/>
      <c r="I19" s="38">
        <f t="shared" si="36"/>
        <v>2034</v>
      </c>
      <c r="J19" s="39"/>
      <c r="K19" s="39">
        <f t="shared" si="37"/>
        <v>5</v>
      </c>
      <c r="L19" s="39"/>
      <c r="M19" s="40">
        <f t="shared" si="0"/>
        <v>0.86260878438416411</v>
      </c>
      <c r="N19" s="39"/>
      <c r="O19" s="72">
        <f t="shared" si="15"/>
        <v>82237116090.02681</v>
      </c>
      <c r="P19" s="41">
        <f t="shared" si="1"/>
        <v>0.16700000000000001</v>
      </c>
      <c r="Q19" s="39"/>
      <c r="R19" s="72">
        <f t="shared" si="16"/>
        <v>92431755134.135986</v>
      </c>
      <c r="S19" s="39"/>
      <c r="T19" s="72">
        <f t="shared" si="17"/>
        <v>92431755000</v>
      </c>
      <c r="U19" s="39"/>
      <c r="V19" s="72">
        <f t="shared" si="2"/>
        <v>13733598387.034477</v>
      </c>
      <c r="W19" s="72">
        <f t="shared" si="18"/>
        <v>11846722609.860126</v>
      </c>
      <c r="X19" s="39"/>
      <c r="Y19" s="72">
        <f t="shared" si="3"/>
        <v>1294044500</v>
      </c>
      <c r="Z19" s="72">
        <f t="shared" si="19"/>
        <v>1116254153.0840135</v>
      </c>
      <c r="AA19" s="39"/>
      <c r="AB19" s="72">
        <f t="shared" si="4"/>
        <v>0</v>
      </c>
      <c r="AC19" s="72">
        <f t="shared" si="20"/>
        <v>0</v>
      </c>
      <c r="AD19" s="39"/>
      <c r="AE19" s="72">
        <f t="shared" si="5"/>
        <v>0</v>
      </c>
      <c r="AF19" s="72">
        <f t="shared" si="21"/>
        <v>0</v>
      </c>
      <c r="AG19" s="39"/>
      <c r="AH19" s="72">
        <f t="shared" si="6"/>
        <v>440000000.00000006</v>
      </c>
      <c r="AI19" s="72">
        <f t="shared" si="22"/>
        <v>379547865.12903225</v>
      </c>
      <c r="AJ19" s="39"/>
      <c r="AK19" s="72">
        <f t="shared" si="7"/>
        <v>4099200000</v>
      </c>
      <c r="AL19" s="72">
        <f t="shared" si="23"/>
        <v>3536005928.9475656</v>
      </c>
      <c r="AM19" s="39"/>
      <c r="AN19" s="72">
        <f t="shared" si="8"/>
        <v>3757600000</v>
      </c>
      <c r="AO19" s="72">
        <f t="shared" si="24"/>
        <v>3241338768.2019348</v>
      </c>
      <c r="AP19" s="39"/>
      <c r="AQ19" s="72">
        <f t="shared" si="9"/>
        <v>1012209600</v>
      </c>
      <c r="AR19" s="72">
        <f t="shared" si="25"/>
        <v>873140892.59798098</v>
      </c>
      <c r="AS19" s="39"/>
      <c r="AT19" s="40">
        <f>IF($K19&lt;=$F$15,IF($F$40&lt;&gt;"",$F$40/1000,IF(ISERROR(VLOOKUP($F$3&amp;IF($G$4&lt;&gt;"",$G$4,"")&amp;IF($F$43&lt;&gt;"","_"&amp;$F$43,""),'表3）燃料価格'!$AF$9:$AG$25,2,0)),0,VLOOKUP($I19,'表3）燃料価格'!$A$5:$AC$56,VLOOKUP($F$3&amp;IF($G$4&lt;&gt;"",$G$4,"")&amp;IF($F$43&lt;&gt;"","_"&amp;$F$43,""),'表3）燃料価格'!$AF$9:$AG$25,2,0)+VLOOKUP($F$41,'表3）燃料価格'!$AF$28:$AG$29,2,0),0)*IF($F$43="需要地価格",1,$F$8/$F$141))),"")</f>
        <v>19.267926559999999</v>
      </c>
      <c r="AU19" s="39"/>
      <c r="AV19" s="72">
        <f t="shared" si="26"/>
        <v>29371849901.95145</v>
      </c>
      <c r="AW19" s="72">
        <f t="shared" si="27"/>
        <v>25336415739.036469</v>
      </c>
      <c r="AX19" s="39"/>
      <c r="AY19" s="40">
        <f>IF(ISERROR(IF($K19&lt;=$F$15,VLOOKUP($I19,'表4）CO2価格'!$A$7:$E$67,VLOOKUP($F$48,'表4）CO2価格'!$H$10:$I$12,2,0),0)*$F$8/1000,"")),0,IF($K19&lt;=$F$15,VLOOKUP($I19,'表4）CO2価格'!$A$7:$E$67,VLOOKUP($F$48,'表4）CO2価格'!$H$10:$I$12,2,0),0)*$F$8/1000,""))</f>
        <v>4.7935999999999712</v>
      </c>
      <c r="AZ19" s="39"/>
      <c r="BA19" s="42">
        <f t="shared" si="10"/>
        <v>12175344643.530958</v>
      </c>
      <c r="BB19" s="72">
        <f t="shared" si="28"/>
        <v>10502559242.414484</v>
      </c>
      <c r="BC19" s="39"/>
      <c r="BD19" s="72">
        <f t="shared" si="11"/>
        <v>0</v>
      </c>
      <c r="BE19" s="72">
        <f t="shared" si="29"/>
        <v>0</v>
      </c>
      <c r="BF19" s="39"/>
      <c r="BG19" s="42">
        <f t="shared" si="12"/>
        <v>0</v>
      </c>
      <c r="BH19" s="72">
        <f t="shared" si="30"/>
        <v>0</v>
      </c>
      <c r="BI19" s="39"/>
      <c r="BJ19" s="40" t="str">
        <f t="shared" si="31"/>
        <v/>
      </c>
      <c r="BK19" s="157" t="str">
        <f t="shared" si="32"/>
        <v/>
      </c>
      <c r="BL19" s="157" t="str">
        <f t="shared" si="13"/>
        <v/>
      </c>
      <c r="BM19" s="72"/>
      <c r="BN19" s="72" t="str">
        <f t="shared" si="33"/>
        <v/>
      </c>
      <c r="BO19" s="72" t="str">
        <f t="shared" si="34"/>
        <v/>
      </c>
      <c r="BP19" s="39"/>
      <c r="BQ19" s="72">
        <f t="shared" si="14"/>
        <v>4056318000</v>
      </c>
      <c r="BR19" s="72">
        <f t="shared" si="35"/>
        <v>3499015539.055604</v>
      </c>
    </row>
    <row r="20" spans="3:70" x14ac:dyDescent="0.15">
      <c r="I20" s="322">
        <f t="shared" si="36"/>
        <v>2035</v>
      </c>
      <c r="K20" s="71">
        <f t="shared" si="37"/>
        <v>6</v>
      </c>
      <c r="M20" s="7">
        <f t="shared" si="0"/>
        <v>0.83748425668365445</v>
      </c>
      <c r="O20" s="10">
        <f t="shared" si="15"/>
        <v>68503517702.992332</v>
      </c>
      <c r="P20" s="29">
        <f t="shared" si="1"/>
        <v>0.16700000000000001</v>
      </c>
      <c r="R20" s="10">
        <f t="shared" si="16"/>
        <v>79278337278.106262</v>
      </c>
      <c r="T20" s="10">
        <f t="shared" si="17"/>
        <v>79278337000</v>
      </c>
      <c r="V20" s="10">
        <f t="shared" si="2"/>
        <v>11440087456.399719</v>
      </c>
      <c r="W20" s="10">
        <f t="shared" si="18"/>
        <v>9580893139.8189182</v>
      </c>
      <c r="Y20" s="10">
        <f t="shared" si="3"/>
        <v>1109896700</v>
      </c>
      <c r="Z20" s="10">
        <f t="shared" si="19"/>
        <v>929521012.79514098</v>
      </c>
      <c r="AB20" s="10">
        <f t="shared" si="4"/>
        <v>0</v>
      </c>
      <c r="AC20" s="10">
        <f t="shared" si="20"/>
        <v>0</v>
      </c>
      <c r="AE20" s="10">
        <f t="shared" si="5"/>
        <v>0</v>
      </c>
      <c r="AF20" s="10">
        <f t="shared" si="21"/>
        <v>0</v>
      </c>
      <c r="AH20" s="10">
        <f t="shared" si="6"/>
        <v>440000000.00000006</v>
      </c>
      <c r="AI20" s="10">
        <f t="shared" si="22"/>
        <v>368493072.940808</v>
      </c>
      <c r="AK20" s="10">
        <f t="shared" si="7"/>
        <v>4099200000</v>
      </c>
      <c r="AL20" s="10">
        <f t="shared" si="23"/>
        <v>3433015464.9976363</v>
      </c>
      <c r="AN20" s="10">
        <f t="shared" si="8"/>
        <v>3757600000</v>
      </c>
      <c r="AO20" s="10">
        <f t="shared" si="24"/>
        <v>3146930842.9144998</v>
      </c>
      <c r="AQ20" s="10">
        <f t="shared" si="9"/>
        <v>1012209600</v>
      </c>
      <c r="AR20" s="10">
        <f t="shared" si="25"/>
        <v>847709604.46405923</v>
      </c>
      <c r="AT20" s="678">
        <f>IF($K20&lt;=$F$15,IF($F$40&lt;&gt;"",$F$40/1000,IF(ISERROR(VLOOKUP($F$3&amp;IF($G$4&lt;&gt;"",$G$4,"")&amp;IF($F$43&lt;&gt;"","_"&amp;$F$43,""),'表3）燃料価格'!$AF$9:$AG$25,2,0)),0,VLOOKUP($I20,'表3）燃料価格'!$A$5:$AC$56,VLOOKUP($F$3&amp;IF($G$4&lt;&gt;"",$G$4,"")&amp;IF($F$43&lt;&gt;"","_"&amp;$F$43,""),'表3）燃料価格'!$AF$9:$AG$25,2,0)+VLOOKUP($F$41,'表3）燃料価格'!$AF$28:$AG$29,2,0),0)*IF($F$43="需要地価格",1,$F$8/$F$141))),"")</f>
        <v>19.267926559999999</v>
      </c>
      <c r="AV20" s="10">
        <f t="shared" si="26"/>
        <v>29371849901.95145</v>
      </c>
      <c r="AW20" s="10">
        <f t="shared" si="27"/>
        <v>24598461882.559681</v>
      </c>
      <c r="AY20" s="40">
        <f>IF(ISERROR(IF($K20&lt;=$F$15,VLOOKUP($I20,'表4）CO2価格'!$A$7:$E$67,VLOOKUP($F$48,'表4）CO2価格'!$H$10:$I$12,2,0),0)*$F$8/1000,"")),0,IF($K20&lt;=$F$15,VLOOKUP($I20,'表4）CO2価格'!$A$7:$E$67,VLOOKUP($F$48,'表4）CO2価格'!$H$10:$I$12,2,0),0)*$F$8/1000,""))</f>
        <v>4.9219999999999997</v>
      </c>
      <c r="BA20" s="11">
        <f t="shared" si="10"/>
        <v>12501469946.482756</v>
      </c>
      <c r="BB20" s="10">
        <f t="shared" si="28"/>
        <v>10469784265.583157</v>
      </c>
      <c r="BD20" s="10">
        <f t="shared" si="11"/>
        <v>0</v>
      </c>
      <c r="BE20" s="10">
        <f t="shared" si="29"/>
        <v>0</v>
      </c>
      <c r="BG20" s="11">
        <f t="shared" si="12"/>
        <v>0</v>
      </c>
      <c r="BH20" s="10">
        <f t="shared" si="30"/>
        <v>0</v>
      </c>
      <c r="BJ20" s="7" t="str">
        <f t="shared" si="31"/>
        <v/>
      </c>
      <c r="BK20" s="158" t="str">
        <f t="shared" si="32"/>
        <v/>
      </c>
      <c r="BL20" s="158" t="str">
        <f t="shared" si="13"/>
        <v/>
      </c>
      <c r="BM20" s="10"/>
      <c r="BN20" s="10" t="str">
        <f t="shared" si="33"/>
        <v/>
      </c>
      <c r="BO20" s="10" t="str">
        <f t="shared" si="34"/>
        <v/>
      </c>
      <c r="BQ20" s="10">
        <f t="shared" si="14"/>
        <v>4056318000</v>
      </c>
      <c r="BR20" s="10">
        <f t="shared" si="35"/>
        <v>3397102465.1025276</v>
      </c>
    </row>
    <row r="21" spans="3:70" x14ac:dyDescent="0.15">
      <c r="D21" s="84" t="s">
        <v>558</v>
      </c>
      <c r="F21" s="477">
        <v>24.4</v>
      </c>
      <c r="G21" s="84" t="s">
        <v>559</v>
      </c>
      <c r="I21" s="38">
        <f t="shared" si="36"/>
        <v>2036</v>
      </c>
      <c r="J21" s="39"/>
      <c r="K21" s="39">
        <f t="shared" si="37"/>
        <v>7</v>
      </c>
      <c r="L21" s="39"/>
      <c r="M21" s="40">
        <f t="shared" si="0"/>
        <v>0.81309151134335378</v>
      </c>
      <c r="N21" s="39"/>
      <c r="O21" s="72">
        <f t="shared" si="15"/>
        <v>57063430246.592613</v>
      </c>
      <c r="P21" s="41">
        <f t="shared" si="1"/>
        <v>0.16700000000000001</v>
      </c>
      <c r="Q21" s="39"/>
      <c r="R21" s="72">
        <f t="shared" si="16"/>
        <v>67996704730.537331</v>
      </c>
      <c r="S21" s="39"/>
      <c r="T21" s="72">
        <f t="shared" si="17"/>
        <v>67996704000</v>
      </c>
      <c r="U21" s="39"/>
      <c r="V21" s="72">
        <f t="shared" si="2"/>
        <v>9529592851.1809673</v>
      </c>
      <c r="W21" s="72">
        <f t="shared" si="18"/>
        <v>7748431053.8535528</v>
      </c>
      <c r="X21" s="39"/>
      <c r="Y21" s="72">
        <f t="shared" si="3"/>
        <v>951953800</v>
      </c>
      <c r="Z21" s="72">
        <f t="shared" si="19"/>
        <v>774025553.97104871</v>
      </c>
      <c r="AA21" s="39"/>
      <c r="AB21" s="72">
        <f t="shared" si="4"/>
        <v>0</v>
      </c>
      <c r="AC21" s="72">
        <f t="shared" si="20"/>
        <v>0</v>
      </c>
      <c r="AD21" s="39"/>
      <c r="AE21" s="72">
        <f t="shared" si="5"/>
        <v>0</v>
      </c>
      <c r="AF21" s="72">
        <f t="shared" si="21"/>
        <v>0</v>
      </c>
      <c r="AG21" s="39"/>
      <c r="AH21" s="72">
        <f t="shared" si="6"/>
        <v>440000000.00000006</v>
      </c>
      <c r="AI21" s="72">
        <f t="shared" si="22"/>
        <v>357760264.99107569</v>
      </c>
      <c r="AJ21" s="39"/>
      <c r="AK21" s="72">
        <f t="shared" si="7"/>
        <v>4099200000</v>
      </c>
      <c r="AL21" s="72">
        <f t="shared" si="23"/>
        <v>3333024723.298676</v>
      </c>
      <c r="AM21" s="39"/>
      <c r="AN21" s="72">
        <f t="shared" si="8"/>
        <v>3757600000</v>
      </c>
      <c r="AO21" s="72">
        <f t="shared" si="24"/>
        <v>3055272663.0237861</v>
      </c>
      <c r="AP21" s="39"/>
      <c r="AQ21" s="72">
        <f t="shared" si="9"/>
        <v>1012209600</v>
      </c>
      <c r="AR21" s="72">
        <f t="shared" si="25"/>
        <v>823019033.46025157</v>
      </c>
      <c r="AS21" s="39"/>
      <c r="AT21" s="40">
        <f>IF($K21&lt;=$F$15,IF($F$40&lt;&gt;"",$F$40/1000,IF(ISERROR(VLOOKUP($F$3&amp;IF($G$4&lt;&gt;"",$G$4,"")&amp;IF($F$43&lt;&gt;"","_"&amp;$F$43,""),'表3）燃料価格'!$AF$9:$AG$25,2,0)),0,VLOOKUP($I21,'表3）燃料価格'!$A$5:$AC$56,VLOOKUP($F$3&amp;IF($G$4&lt;&gt;"",$G$4,"")&amp;IF($F$43&lt;&gt;"","_"&amp;$F$43,""),'表3）燃料価格'!$AF$9:$AG$25,2,0)+VLOOKUP($F$41,'表3）燃料価格'!$AF$28:$AG$29,2,0),0)*IF($F$43="需要地価格",1,$F$8/$F$141))),"")</f>
        <v>19.267926559999999</v>
      </c>
      <c r="AU21" s="39"/>
      <c r="AV21" s="72">
        <f t="shared" si="26"/>
        <v>29371849901.95145</v>
      </c>
      <c r="AW21" s="72">
        <f t="shared" si="27"/>
        <v>23882001827.72784</v>
      </c>
      <c r="AX21" s="39"/>
      <c r="AY21" s="40">
        <f>IF(ISERROR(IF($K21&lt;=$F$15,VLOOKUP($I21,'表4）CO2価格'!$A$7:$E$67,VLOOKUP($F$48,'表4）CO2価格'!$H$10:$I$12,2,0),0)*$F$8/1000,"")),0,IF($K21&lt;=$F$15,VLOOKUP($I21,'表4）CO2価格'!$A$7:$E$67,VLOOKUP($F$48,'表4）CO2価格'!$H$10:$I$12,2,0),0)*$F$8/1000,""))</f>
        <v>5.0503999999999802</v>
      </c>
      <c r="AZ21" s="39"/>
      <c r="BA21" s="42">
        <f t="shared" si="10"/>
        <v>12827595249.434429</v>
      </c>
      <c r="BB21" s="72">
        <f t="shared" si="28"/>
        <v>10430008808.263466</v>
      </c>
      <c r="BC21" s="39"/>
      <c r="BD21" s="72">
        <f t="shared" si="11"/>
        <v>0</v>
      </c>
      <c r="BE21" s="72">
        <f t="shared" si="29"/>
        <v>0</v>
      </c>
      <c r="BF21" s="39"/>
      <c r="BG21" s="42">
        <f t="shared" si="12"/>
        <v>0</v>
      </c>
      <c r="BH21" s="72">
        <f t="shared" si="30"/>
        <v>0</v>
      </c>
      <c r="BI21" s="39"/>
      <c r="BJ21" s="40" t="str">
        <f t="shared" si="31"/>
        <v/>
      </c>
      <c r="BK21" s="157" t="str">
        <f t="shared" si="32"/>
        <v/>
      </c>
      <c r="BL21" s="157" t="str">
        <f t="shared" si="13"/>
        <v/>
      </c>
      <c r="BM21" s="72"/>
      <c r="BN21" s="72" t="str">
        <f t="shared" si="33"/>
        <v/>
      </c>
      <c r="BO21" s="72" t="str">
        <f t="shared" si="34"/>
        <v/>
      </c>
      <c r="BP21" s="39"/>
      <c r="BQ21" s="72">
        <f t="shared" si="14"/>
        <v>4056318000</v>
      </c>
      <c r="BR21" s="72">
        <f t="shared" si="35"/>
        <v>3298157733.1092501</v>
      </c>
    </row>
    <row r="22" spans="3:70" ht="16.5" x14ac:dyDescent="0.15">
      <c r="D22" s="84" t="s">
        <v>560</v>
      </c>
      <c r="F22" s="478">
        <v>25.19</v>
      </c>
      <c r="G22" s="71" t="s">
        <v>561</v>
      </c>
      <c r="I22" s="322">
        <f t="shared" si="36"/>
        <v>2037</v>
      </c>
      <c r="K22" s="71">
        <f t="shared" si="37"/>
        <v>8</v>
      </c>
      <c r="M22" s="7">
        <f t="shared" si="0"/>
        <v>0.78940923431393573</v>
      </c>
      <c r="O22" s="10">
        <f t="shared" si="15"/>
        <v>47533837395.411644</v>
      </c>
      <c r="P22" s="29">
        <f t="shared" si="1"/>
        <v>0.16700000000000001</v>
      </c>
      <c r="R22" s="10">
        <f t="shared" si="16"/>
        <v>58320494765.077919</v>
      </c>
      <c r="T22" s="10">
        <f t="shared" si="17"/>
        <v>58320494000</v>
      </c>
      <c r="V22" s="10">
        <f t="shared" si="2"/>
        <v>7938150845.0337448</v>
      </c>
      <c r="W22" s="10">
        <f t="shared" si="18"/>
        <v>6266449580.4466105</v>
      </c>
      <c r="Y22" s="10">
        <f t="shared" si="3"/>
        <v>816486900</v>
      </c>
      <c r="Z22" s="10">
        <f t="shared" si="19"/>
        <v>644542298.55635905</v>
      </c>
      <c r="AB22" s="10">
        <f t="shared" si="4"/>
        <v>0</v>
      </c>
      <c r="AC22" s="10">
        <f t="shared" si="20"/>
        <v>0</v>
      </c>
      <c r="AE22" s="10">
        <f t="shared" si="5"/>
        <v>0</v>
      </c>
      <c r="AF22" s="10">
        <f t="shared" si="21"/>
        <v>0</v>
      </c>
      <c r="AH22" s="10">
        <f t="shared" si="6"/>
        <v>440000000.00000006</v>
      </c>
      <c r="AI22" s="10">
        <f t="shared" si="22"/>
        <v>347340063.09813178</v>
      </c>
      <c r="AK22" s="10">
        <f t="shared" si="7"/>
        <v>4099200000</v>
      </c>
      <c r="AL22" s="10">
        <f t="shared" si="23"/>
        <v>3235946333.2996855</v>
      </c>
      <c r="AN22" s="10">
        <f t="shared" si="8"/>
        <v>3757600000</v>
      </c>
      <c r="AO22" s="10">
        <f t="shared" si="24"/>
        <v>2966284138.8580451</v>
      </c>
      <c r="AQ22" s="10">
        <f t="shared" si="9"/>
        <v>1012209600</v>
      </c>
      <c r="AR22" s="10">
        <f t="shared" si="25"/>
        <v>799047605.30121517</v>
      </c>
      <c r="AT22" s="678">
        <f>IF($K22&lt;=$F$15,IF($F$40&lt;&gt;"",$F$40/1000,IF(ISERROR(VLOOKUP($F$3&amp;IF($G$4&lt;&gt;"",$G$4,"")&amp;IF($F$43&lt;&gt;"","_"&amp;$F$43,""),'表3）燃料価格'!$AF$9:$AG$25,2,0)),0,VLOOKUP($I22,'表3）燃料価格'!$A$5:$AC$56,VLOOKUP($F$3&amp;IF($G$4&lt;&gt;"",$G$4,"")&amp;IF($F$43&lt;&gt;"","_"&amp;$F$43,""),'表3）燃料価格'!$AF$9:$AG$25,2,0)+VLOOKUP($F$41,'表3）燃料価格'!$AF$28:$AG$29,2,0),0)*IF($F$43="需要地価格",1,$F$8/$F$141))),"")</f>
        <v>19.267926559999999</v>
      </c>
      <c r="AV22" s="10">
        <f t="shared" si="26"/>
        <v>29371849901.95145</v>
      </c>
      <c r="AW22" s="10">
        <f t="shared" si="27"/>
        <v>23186409541.483341</v>
      </c>
      <c r="AY22" s="40">
        <f>IF(ISERROR(IF($K22&lt;=$F$15,VLOOKUP($I22,'表4）CO2価格'!$A$7:$E$67,VLOOKUP($F$48,'表4）CO2価格'!$H$10:$I$12,2,0),0)*$F$8/1000,"")),0,IF($K22&lt;=$F$15,VLOOKUP($I22,'表4）CO2価格'!$A$7:$E$67,VLOOKUP($F$48,'表4）CO2価格'!$H$10:$I$12,2,0),0)*$F$8/1000,""))</f>
        <v>5.1788000000000105</v>
      </c>
      <c r="BA22" s="11">
        <f t="shared" si="10"/>
        <v>13153720552.38623</v>
      </c>
      <c r="BB22" s="10">
        <f t="shared" si="28"/>
        <v>10383668469.638695</v>
      </c>
      <c r="BD22" s="10">
        <f t="shared" si="11"/>
        <v>0</v>
      </c>
      <c r="BE22" s="10">
        <f t="shared" si="29"/>
        <v>0</v>
      </c>
      <c r="BG22" s="11">
        <f t="shared" si="12"/>
        <v>0</v>
      </c>
      <c r="BH22" s="10">
        <f t="shared" si="30"/>
        <v>0</v>
      </c>
      <c r="BJ22" s="7" t="str">
        <f t="shared" si="31"/>
        <v/>
      </c>
      <c r="BK22" s="158" t="str">
        <f t="shared" si="32"/>
        <v/>
      </c>
      <c r="BL22" s="158" t="str">
        <f t="shared" si="13"/>
        <v/>
      </c>
      <c r="BM22" s="10"/>
      <c r="BN22" s="10" t="str">
        <f t="shared" si="33"/>
        <v/>
      </c>
      <c r="BO22" s="10" t="str">
        <f t="shared" si="34"/>
        <v/>
      </c>
      <c r="BQ22" s="10">
        <f t="shared" si="14"/>
        <v>4056318000</v>
      </c>
      <c r="BR22" s="10">
        <f t="shared" si="35"/>
        <v>3202094886.513835</v>
      </c>
    </row>
    <row r="23" spans="3:70" x14ac:dyDescent="0.15">
      <c r="D23" s="84" t="s">
        <v>562</v>
      </c>
      <c r="F23" s="477">
        <v>43.5</v>
      </c>
      <c r="G23" s="84" t="s">
        <v>549</v>
      </c>
      <c r="I23" s="38">
        <f t="shared" si="36"/>
        <v>2038</v>
      </c>
      <c r="J23" s="39"/>
      <c r="K23" s="39">
        <f t="shared" si="37"/>
        <v>9</v>
      </c>
      <c r="L23" s="39"/>
      <c r="M23" s="40">
        <f t="shared" si="0"/>
        <v>0.76641673234362695</v>
      </c>
      <c r="N23" s="39"/>
      <c r="O23" s="72">
        <f t="shared" si="15"/>
        <v>39595686550.377899</v>
      </c>
      <c r="P23" s="41">
        <f t="shared" si="1"/>
        <v>0.16700000000000001</v>
      </c>
      <c r="Q23" s="39"/>
      <c r="R23" s="72">
        <f t="shared" si="16"/>
        <v>50021249163.799042</v>
      </c>
      <c r="S23" s="39"/>
      <c r="T23" s="72">
        <f t="shared" si="17"/>
        <v>50021249000</v>
      </c>
      <c r="U23" s="39"/>
      <c r="V23" s="72">
        <f t="shared" si="2"/>
        <v>6612479653.9131098</v>
      </c>
      <c r="W23" s="72">
        <f t="shared" si="18"/>
        <v>5067915049.040803</v>
      </c>
      <c r="X23" s="39"/>
      <c r="Y23" s="72">
        <f t="shared" si="3"/>
        <v>700297400</v>
      </c>
      <c r="Z23" s="72">
        <f t="shared" si="19"/>
        <v>536719644.97673786</v>
      </c>
      <c r="AA23" s="39"/>
      <c r="AB23" s="72">
        <f t="shared" si="4"/>
        <v>0</v>
      </c>
      <c r="AC23" s="72">
        <f t="shared" si="20"/>
        <v>0</v>
      </c>
      <c r="AD23" s="39"/>
      <c r="AE23" s="72">
        <f t="shared" si="5"/>
        <v>0</v>
      </c>
      <c r="AF23" s="72">
        <f t="shared" si="21"/>
        <v>0</v>
      </c>
      <c r="AG23" s="39"/>
      <c r="AH23" s="72">
        <f t="shared" si="6"/>
        <v>440000000.00000006</v>
      </c>
      <c r="AI23" s="72">
        <f t="shared" si="22"/>
        <v>337223362.23119593</v>
      </c>
      <c r="AJ23" s="39"/>
      <c r="AK23" s="72">
        <f t="shared" si="7"/>
        <v>4099200000</v>
      </c>
      <c r="AL23" s="72">
        <f t="shared" si="23"/>
        <v>3141695469.2229958</v>
      </c>
      <c r="AM23" s="39"/>
      <c r="AN23" s="72">
        <f t="shared" si="8"/>
        <v>3757600000</v>
      </c>
      <c r="AO23" s="72">
        <f t="shared" si="24"/>
        <v>2879887513.4544125</v>
      </c>
      <c r="AP23" s="39"/>
      <c r="AQ23" s="72">
        <f t="shared" si="9"/>
        <v>1012209600</v>
      </c>
      <c r="AR23" s="72">
        <f t="shared" si="25"/>
        <v>775774374.07884967</v>
      </c>
      <c r="AS23" s="39"/>
      <c r="AT23" s="40">
        <f>IF($K23&lt;=$F$15,IF($F$40&lt;&gt;"",$F$40/1000,IF(ISERROR(VLOOKUP($F$3&amp;IF($G$4&lt;&gt;"",$G$4,"")&amp;IF($F$43&lt;&gt;"","_"&amp;$F$43,""),'表3）燃料価格'!$AF$9:$AG$25,2,0)),0,VLOOKUP($I23,'表3）燃料価格'!$A$5:$AC$56,VLOOKUP($F$3&amp;IF($G$4&lt;&gt;"",$G$4,"")&amp;IF($F$43&lt;&gt;"","_"&amp;$F$43,""),'表3）燃料価格'!$AF$9:$AG$25,2,0)+VLOOKUP($F$41,'表3）燃料価格'!$AF$28:$AG$29,2,0),0)*IF($F$43="需要地価格",1,$F$8/$F$141))),"")</f>
        <v>19.267926559999999</v>
      </c>
      <c r="AU23" s="39"/>
      <c r="AV23" s="72">
        <f t="shared" si="26"/>
        <v>29371849901.95145</v>
      </c>
      <c r="AW23" s="72">
        <f t="shared" si="27"/>
        <v>22511077224.741112</v>
      </c>
      <c r="AX23" s="39"/>
      <c r="AY23" s="40">
        <f>IF(ISERROR(IF($K23&lt;=$F$15,VLOOKUP($I23,'表4）CO2価格'!$A$7:$E$67,VLOOKUP($F$48,'表4）CO2価格'!$H$10:$I$12,2,0),0)*$F$8/1000,"")),0,IF($K23&lt;=$F$15,VLOOKUP($I23,'表4）CO2価格'!$A$7:$E$67,VLOOKUP($F$48,'表4）CO2価格'!$H$10:$I$12,2,0),0)*$F$8/1000,""))</f>
        <v>5.3071999999999901</v>
      </c>
      <c r="AZ23" s="39"/>
      <c r="BA23" s="42">
        <f t="shared" si="10"/>
        <v>13479845855.337904</v>
      </c>
      <c r="BB23" s="72">
        <f t="shared" si="28"/>
        <v>10331179412.943859</v>
      </c>
      <c r="BC23" s="39"/>
      <c r="BD23" s="72">
        <f t="shared" si="11"/>
        <v>0</v>
      </c>
      <c r="BE23" s="72">
        <f t="shared" si="29"/>
        <v>0</v>
      </c>
      <c r="BF23" s="39"/>
      <c r="BG23" s="42">
        <f t="shared" si="12"/>
        <v>0</v>
      </c>
      <c r="BH23" s="72">
        <f t="shared" si="30"/>
        <v>0</v>
      </c>
      <c r="BI23" s="39"/>
      <c r="BJ23" s="40" t="str">
        <f t="shared" si="31"/>
        <v/>
      </c>
      <c r="BK23" s="157" t="str">
        <f t="shared" si="32"/>
        <v/>
      </c>
      <c r="BL23" s="157" t="str">
        <f t="shared" si="13"/>
        <v/>
      </c>
      <c r="BM23" s="72"/>
      <c r="BN23" s="72" t="str">
        <f t="shared" si="33"/>
        <v/>
      </c>
      <c r="BO23" s="72" t="str">
        <f t="shared" si="34"/>
        <v/>
      </c>
      <c r="BP23" s="39"/>
      <c r="BQ23" s="72">
        <f t="shared" si="14"/>
        <v>4056318000</v>
      </c>
      <c r="BR23" s="72">
        <f t="shared" si="35"/>
        <v>3108829986.9066362</v>
      </c>
    </row>
    <row r="24" spans="3:70" x14ac:dyDescent="0.15">
      <c r="D24" s="84" t="s">
        <v>563</v>
      </c>
      <c r="F24" s="480">
        <v>5.5</v>
      </c>
      <c r="G24" s="84" t="s">
        <v>549</v>
      </c>
      <c r="I24" s="322">
        <f t="shared" si="36"/>
        <v>2039</v>
      </c>
      <c r="K24" s="71">
        <f t="shared" si="37"/>
        <v>10</v>
      </c>
      <c r="M24" s="7">
        <f t="shared" si="0"/>
        <v>0.74409391489672516</v>
      </c>
      <c r="O24" s="10">
        <f t="shared" si="15"/>
        <v>32983206896.46479</v>
      </c>
      <c r="P24" s="29">
        <f t="shared" si="1"/>
        <v>0.16700000000000001</v>
      </c>
      <c r="R24" s="10">
        <f t="shared" si="16"/>
        <v>42903020250.183632</v>
      </c>
      <c r="T24" s="10">
        <f t="shared" si="17"/>
        <v>42903020000</v>
      </c>
      <c r="V24" s="10">
        <f t="shared" si="2"/>
        <v>5508195551.7096205</v>
      </c>
      <c r="W24" s="10">
        <f t="shared" si="18"/>
        <v>4098614792.0883384</v>
      </c>
      <c r="Y24" s="10">
        <f t="shared" si="3"/>
        <v>600642200</v>
      </c>
      <c r="Z24" s="10">
        <f t="shared" si="19"/>
        <v>446934206.05018175</v>
      </c>
      <c r="AB24" s="10">
        <f t="shared" si="4"/>
        <v>0</v>
      </c>
      <c r="AC24" s="10">
        <f t="shared" si="20"/>
        <v>0</v>
      </c>
      <c r="AE24" s="10">
        <f t="shared" si="5"/>
        <v>0</v>
      </c>
      <c r="AF24" s="10">
        <f t="shared" si="21"/>
        <v>0</v>
      </c>
      <c r="AH24" s="10">
        <f t="shared" si="6"/>
        <v>440000000.00000006</v>
      </c>
      <c r="AI24" s="10">
        <f t="shared" si="22"/>
        <v>327401322.55455911</v>
      </c>
      <c r="AK24" s="10">
        <f t="shared" si="7"/>
        <v>4099200000</v>
      </c>
      <c r="AL24" s="10">
        <f t="shared" si="23"/>
        <v>3050189775.9446559</v>
      </c>
      <c r="AN24" s="10">
        <f t="shared" si="8"/>
        <v>3757600000</v>
      </c>
      <c r="AO24" s="10">
        <f t="shared" si="24"/>
        <v>2796007294.6159344</v>
      </c>
      <c r="AQ24" s="10">
        <f t="shared" si="9"/>
        <v>1012209600</v>
      </c>
      <c r="AR24" s="10">
        <f t="shared" si="25"/>
        <v>753179003.9600482</v>
      </c>
      <c r="AT24" s="678">
        <f>IF($K24&lt;=$F$15,IF($F$40&lt;&gt;"",$F$40/1000,IF(ISERROR(VLOOKUP($F$3&amp;IF($G$4&lt;&gt;"",$G$4,"")&amp;IF($F$43&lt;&gt;"","_"&amp;$F$43,""),'表3）燃料価格'!$AF$9:$AG$25,2,0)),0,VLOOKUP($I24,'表3）燃料価格'!$A$5:$AC$56,VLOOKUP($F$3&amp;IF($G$4&lt;&gt;"",$G$4,"")&amp;IF($F$43&lt;&gt;"","_"&amp;$F$43,""),'表3）燃料価格'!$AF$9:$AG$25,2,0)+VLOOKUP($F$41,'表3）燃料価格'!$AF$28:$AG$29,2,0),0)*IF($F$43="需要地価格",1,$F$8/$F$141))),"")</f>
        <v>19.267926559999999</v>
      </c>
      <c r="AV24" s="10">
        <f t="shared" si="26"/>
        <v>29371849901.95145</v>
      </c>
      <c r="AW24" s="10">
        <f t="shared" si="27"/>
        <v>21855414781.302048</v>
      </c>
      <c r="AY24" s="40">
        <f>IF(ISERROR(IF($K24&lt;=$F$15,VLOOKUP($I24,'表4）CO2価格'!$A$7:$E$67,VLOOKUP($F$48,'表4）CO2価格'!$H$10:$I$12,2,0),0)*$F$8/1000,"")),0,IF($K24&lt;=$F$15,VLOOKUP($I24,'表4）CO2価格'!$A$7:$E$67,VLOOKUP($F$48,'表4）CO2価格'!$H$10:$I$12,2,0),0)*$F$8/1000,""))</f>
        <v>5.4355999999999716</v>
      </c>
      <c r="BA24" s="11">
        <f t="shared" si="10"/>
        <v>13805971158.289579</v>
      </c>
      <c r="BB24" s="10">
        <f t="shared" si="28"/>
        <v>10272939128.122969</v>
      </c>
      <c r="BD24" s="10">
        <f t="shared" si="11"/>
        <v>0</v>
      </c>
      <c r="BE24" s="10">
        <f t="shared" si="29"/>
        <v>0</v>
      </c>
      <c r="BG24" s="11">
        <f t="shared" si="12"/>
        <v>0</v>
      </c>
      <c r="BH24" s="10">
        <f t="shared" si="30"/>
        <v>0</v>
      </c>
      <c r="BJ24" s="7" t="str">
        <f t="shared" si="31"/>
        <v/>
      </c>
      <c r="BK24" s="158" t="str">
        <f t="shared" si="32"/>
        <v/>
      </c>
      <c r="BL24" s="158" t="str">
        <f t="shared" si="13"/>
        <v/>
      </c>
      <c r="BM24" s="10"/>
      <c r="BN24" s="10" t="str">
        <f t="shared" si="33"/>
        <v/>
      </c>
      <c r="BO24" s="10" t="str">
        <f t="shared" si="34"/>
        <v/>
      </c>
      <c r="BQ24" s="10">
        <f t="shared" si="14"/>
        <v>4056318000</v>
      </c>
      <c r="BR24" s="10">
        <f t="shared" si="35"/>
        <v>3018281540.6860542</v>
      </c>
    </row>
    <row r="25" spans="3:70" x14ac:dyDescent="0.15">
      <c r="D25" s="84" t="s">
        <v>564</v>
      </c>
      <c r="F25" s="475">
        <v>1.4</v>
      </c>
      <c r="G25" s="84" t="s">
        <v>549</v>
      </c>
      <c r="I25" s="38">
        <f t="shared" si="36"/>
        <v>2040</v>
      </c>
      <c r="J25" s="39"/>
      <c r="K25" s="39">
        <f t="shared" si="37"/>
        <v>11</v>
      </c>
      <c r="L25" s="39"/>
      <c r="M25" s="40">
        <f t="shared" si="0"/>
        <v>0.72242127659876232</v>
      </c>
      <c r="N25" s="39"/>
      <c r="O25" s="72">
        <f t="shared" si="15"/>
        <v>27475011344.755169</v>
      </c>
      <c r="P25" s="41">
        <f t="shared" si="1"/>
        <v>0.2</v>
      </c>
      <c r="Q25" s="39"/>
      <c r="R25" s="72">
        <f t="shared" si="16"/>
        <v>36797744505.744576</v>
      </c>
      <c r="S25" s="39"/>
      <c r="T25" s="72">
        <f t="shared" si="17"/>
        <v>36797744000</v>
      </c>
      <c r="U25" s="39"/>
      <c r="V25" s="72">
        <f t="shared" si="2"/>
        <v>5495002268.9510345</v>
      </c>
      <c r="W25" s="72">
        <f t="shared" si="18"/>
        <v>3969706554.0487018</v>
      </c>
      <c r="X25" s="39"/>
      <c r="Y25" s="72">
        <f t="shared" si="3"/>
        <v>515168400</v>
      </c>
      <c r="Z25" s="72">
        <f t="shared" si="19"/>
        <v>372168613.19134182</v>
      </c>
      <c r="AA25" s="39"/>
      <c r="AB25" s="72">
        <f t="shared" si="4"/>
        <v>0</v>
      </c>
      <c r="AC25" s="72">
        <f t="shared" si="20"/>
        <v>0</v>
      </c>
      <c r="AD25" s="39"/>
      <c r="AE25" s="72">
        <f t="shared" si="5"/>
        <v>0</v>
      </c>
      <c r="AF25" s="72">
        <f t="shared" si="21"/>
        <v>0</v>
      </c>
      <c r="AG25" s="39"/>
      <c r="AH25" s="72">
        <f t="shared" si="6"/>
        <v>440000000.00000006</v>
      </c>
      <c r="AI25" s="72">
        <f t="shared" si="22"/>
        <v>317865361.70345545</v>
      </c>
      <c r="AJ25" s="39"/>
      <c r="AK25" s="72">
        <f t="shared" si="7"/>
        <v>4099200000</v>
      </c>
      <c r="AL25" s="72">
        <f t="shared" si="23"/>
        <v>2961349297.0336466</v>
      </c>
      <c r="AM25" s="39"/>
      <c r="AN25" s="72">
        <f t="shared" si="8"/>
        <v>3757600000</v>
      </c>
      <c r="AO25" s="72">
        <f t="shared" si="24"/>
        <v>2714570188.9475093</v>
      </c>
      <c r="AP25" s="39"/>
      <c r="AQ25" s="72">
        <f t="shared" si="9"/>
        <v>1012209600</v>
      </c>
      <c r="AR25" s="72">
        <f t="shared" si="25"/>
        <v>731241751.41752255</v>
      </c>
      <c r="AS25" s="39"/>
      <c r="AT25" s="40">
        <f>IF($K25&lt;=$F$15,IF($F$40&lt;&gt;"",$F$40/1000,IF(ISERROR(VLOOKUP($F$3&amp;IF($G$4&lt;&gt;"",$G$4,"")&amp;IF($F$43&lt;&gt;"","_"&amp;$F$43,""),'表3）燃料価格'!$AF$9:$AG$25,2,0)),0,VLOOKUP($I25,'表3）燃料価格'!$A$5:$AC$56,VLOOKUP($F$3&amp;IF($G$4&lt;&gt;"",$G$4,"")&amp;IF($F$43&lt;&gt;"","_"&amp;$F$43,""),'表3）燃料価格'!$AF$9:$AG$25,2,0)+VLOOKUP($F$41,'表3）燃料価格'!$AF$28:$AG$29,2,0),0)*IF($F$43="需要地価格",1,$F$8/$F$141))),"")</f>
        <v>19.267926559999999</v>
      </c>
      <c r="AU25" s="39"/>
      <c r="AV25" s="72">
        <f t="shared" si="26"/>
        <v>29371849901.95145</v>
      </c>
      <c r="AW25" s="72">
        <f t="shared" si="27"/>
        <v>21218849302.234997</v>
      </c>
      <c r="AX25" s="39"/>
      <c r="AY25" s="40">
        <f>IF(ISERROR(IF($K25&lt;=$F$15,VLOOKUP($I25,'表4）CO2価格'!$A$7:$E$67,VLOOKUP($F$48,'表4）CO2価格'!$H$10:$I$12,2,0),0)*$F$8/1000,"")),0,IF($K25&lt;=$F$15,VLOOKUP($I25,'表4）CO2価格'!$A$7:$E$67,VLOOKUP($F$48,'表4）CO2価格'!$H$10:$I$12,2,0),0)*$F$8/1000,""))</f>
        <v>5.5640000000000001</v>
      </c>
      <c r="AZ25" s="39"/>
      <c r="BA25" s="42">
        <f t="shared" si="10"/>
        <v>14132096461.241377</v>
      </c>
      <c r="BB25" s="72">
        <f t="shared" si="28"/>
        <v>10209327166.546846</v>
      </c>
      <c r="BC25" s="39"/>
      <c r="BD25" s="72">
        <f t="shared" si="11"/>
        <v>0</v>
      </c>
      <c r="BE25" s="72">
        <f t="shared" si="29"/>
        <v>0</v>
      </c>
      <c r="BF25" s="39"/>
      <c r="BG25" s="42">
        <f t="shared" si="12"/>
        <v>0</v>
      </c>
      <c r="BH25" s="72">
        <f t="shared" si="30"/>
        <v>0</v>
      </c>
      <c r="BI25" s="39"/>
      <c r="BJ25" s="40" t="str">
        <f t="shared" si="31"/>
        <v/>
      </c>
      <c r="BK25" s="157" t="str">
        <f t="shared" si="32"/>
        <v/>
      </c>
      <c r="BL25" s="157" t="str">
        <f t="shared" si="13"/>
        <v/>
      </c>
      <c r="BM25" s="72"/>
      <c r="BN25" s="72" t="str">
        <f t="shared" si="33"/>
        <v/>
      </c>
      <c r="BO25" s="72" t="str">
        <f t="shared" si="34"/>
        <v/>
      </c>
      <c r="BP25" s="39"/>
      <c r="BQ25" s="72">
        <f t="shared" si="14"/>
        <v>4056318000</v>
      </c>
      <c r="BR25" s="72">
        <f t="shared" si="35"/>
        <v>2930370427.8505383</v>
      </c>
    </row>
    <row r="26" spans="3:70" x14ac:dyDescent="0.15">
      <c r="D26" s="84" t="s">
        <v>115</v>
      </c>
      <c r="F26" s="481"/>
      <c r="G26" s="84" t="s">
        <v>565</v>
      </c>
      <c r="I26" s="322">
        <f t="shared" si="36"/>
        <v>2041</v>
      </c>
      <c r="K26" s="71">
        <f t="shared" si="37"/>
        <v>12</v>
      </c>
      <c r="M26" s="7">
        <f t="shared" si="0"/>
        <v>0.70137988019297326</v>
      </c>
      <c r="O26" s="10">
        <f t="shared" si="15"/>
        <v>21980009075.804134</v>
      </c>
      <c r="P26" s="29" t="str">
        <f t="shared" si="1"/>
        <v>-</v>
      </c>
      <c r="R26" s="10">
        <f t="shared" si="16"/>
        <v>31561274539.972733</v>
      </c>
      <c r="T26" s="10">
        <f t="shared" si="17"/>
        <v>31561274000</v>
      </c>
      <c r="V26" s="10">
        <f t="shared" si="2"/>
        <v>5495002268.9510345</v>
      </c>
      <c r="W26" s="10">
        <f t="shared" si="18"/>
        <v>3854084033.056993</v>
      </c>
      <c r="Y26" s="10">
        <f t="shared" si="3"/>
        <v>441857800</v>
      </c>
      <c r="Z26" s="10">
        <f t="shared" si="19"/>
        <v>309910170.82633072</v>
      </c>
      <c r="AB26" s="10">
        <f t="shared" si="4"/>
        <v>0</v>
      </c>
      <c r="AC26" s="10">
        <f t="shared" si="20"/>
        <v>0</v>
      </c>
      <c r="AE26" s="10">
        <f t="shared" si="5"/>
        <v>0</v>
      </c>
      <c r="AF26" s="10">
        <f t="shared" si="21"/>
        <v>0</v>
      </c>
      <c r="AH26" s="10">
        <f t="shared" si="6"/>
        <v>440000000.00000006</v>
      </c>
      <c r="AI26" s="10">
        <f t="shared" si="22"/>
        <v>308607147.28490829</v>
      </c>
      <c r="AK26" s="10">
        <f t="shared" si="7"/>
        <v>4099200000</v>
      </c>
      <c r="AL26" s="10">
        <f t="shared" si="23"/>
        <v>2875096404.8870358</v>
      </c>
      <c r="AN26" s="10">
        <f t="shared" si="8"/>
        <v>3757600000</v>
      </c>
      <c r="AO26" s="10">
        <f t="shared" si="24"/>
        <v>2635505037.8131166</v>
      </c>
      <c r="AQ26" s="10">
        <f t="shared" si="9"/>
        <v>1012209600</v>
      </c>
      <c r="AR26" s="10">
        <f t="shared" si="25"/>
        <v>709943447.97817743</v>
      </c>
      <c r="AT26" s="678">
        <f>IF($K26&lt;=$F$15,IF($F$40&lt;&gt;"",$F$40/1000,IF(ISERROR(VLOOKUP($F$3&amp;IF($G$4&lt;&gt;"",$G$4,"")&amp;IF($F$43&lt;&gt;"","_"&amp;$F$43,""),'表3）燃料価格'!$AF$9:$AG$25,2,0)),0,VLOOKUP($I26,'表3）燃料価格'!$A$5:$AC$56,VLOOKUP($F$3&amp;IF($G$4&lt;&gt;"",$G$4,"")&amp;IF($F$43&lt;&gt;"","_"&amp;$F$43,""),'表3）燃料価格'!$AF$9:$AG$25,2,0)+VLOOKUP($F$41,'表3）燃料価格'!$AF$28:$AG$29,2,0),0)*IF($F$43="需要地価格",1,$F$8/$F$141))),"")</f>
        <v>19.254821615153535</v>
      </c>
      <c r="AV26" s="10">
        <f t="shared" si="26"/>
        <v>29353369115.018829</v>
      </c>
      <c r="AW26" s="10">
        <f t="shared" si="27"/>
        <v>20587862513.152027</v>
      </c>
      <c r="AY26" s="40">
        <f>IF(ISERROR(IF($K26&lt;=$F$15,VLOOKUP($I26,'表4）CO2価格'!$A$7:$E$67,VLOOKUP($F$48,'表4）CO2価格'!$H$10:$I$12,2,0),0)*$F$8/1000,"")),0,IF($K26&lt;=$F$15,VLOOKUP($I26,'表4）CO2価格'!$A$7:$E$67,VLOOKUP($F$48,'表4）CO2価格'!$H$10:$I$12,2,0),0)*$F$8/1000,""))</f>
        <v>5.6923999999999806</v>
      </c>
      <c r="BA26" s="11">
        <f t="shared" si="10"/>
        <v>14458221764.19305</v>
      </c>
      <c r="BB26" s="10">
        <f t="shared" si="28"/>
        <v>10140705848.773161</v>
      </c>
      <c r="BD26" s="10">
        <f t="shared" si="11"/>
        <v>0</v>
      </c>
      <c r="BE26" s="10">
        <f t="shared" si="29"/>
        <v>0</v>
      </c>
      <c r="BG26" s="11">
        <f t="shared" si="12"/>
        <v>0</v>
      </c>
      <c r="BH26" s="10">
        <f t="shared" si="30"/>
        <v>0</v>
      </c>
      <c r="BJ26" s="7" t="str">
        <f t="shared" si="31"/>
        <v/>
      </c>
      <c r="BK26" s="158" t="str">
        <f t="shared" si="32"/>
        <v/>
      </c>
      <c r="BL26" s="158" t="str">
        <f t="shared" si="13"/>
        <v/>
      </c>
      <c r="BM26" s="10"/>
      <c r="BN26" s="10" t="str">
        <f t="shared" si="33"/>
        <v/>
      </c>
      <c r="BO26" s="10" t="str">
        <f t="shared" si="34"/>
        <v/>
      </c>
      <c r="BQ26" s="10">
        <f t="shared" si="14"/>
        <v>4056318000</v>
      </c>
      <c r="BR26" s="10">
        <f t="shared" si="35"/>
        <v>2845019832.8646011</v>
      </c>
    </row>
    <row r="27" spans="3:70" x14ac:dyDescent="0.15">
      <c r="D27" s="160" t="s">
        <v>86</v>
      </c>
      <c r="F27" s="481">
        <f>F117*5%/10^8</f>
        <v>85.4</v>
      </c>
      <c r="G27" s="84" t="s">
        <v>566</v>
      </c>
      <c r="I27" s="38">
        <f t="shared" si="36"/>
        <v>2042</v>
      </c>
      <c r="J27" s="39"/>
      <c r="K27" s="39">
        <f t="shared" si="37"/>
        <v>13</v>
      </c>
      <c r="L27" s="39"/>
      <c r="M27" s="40">
        <f t="shared" si="0"/>
        <v>0.68095133999317792</v>
      </c>
      <c r="N27" s="39"/>
      <c r="O27" s="72">
        <f t="shared" si="15"/>
        <v>16485006806.8531</v>
      </c>
      <c r="P27" s="41" t="str">
        <f t="shared" si="1"/>
        <v>-</v>
      </c>
      <c r="Q27" s="39"/>
      <c r="R27" s="72">
        <f t="shared" si="16"/>
        <v>27069975727.235821</v>
      </c>
      <c r="S27" s="39"/>
      <c r="T27" s="72">
        <f t="shared" si="17"/>
        <v>27069975000</v>
      </c>
      <c r="U27" s="39"/>
      <c r="V27" s="72">
        <f t="shared" si="2"/>
        <v>5495002268.9510345</v>
      </c>
      <c r="W27" s="72">
        <f t="shared" si="18"/>
        <v>3741829158.3077602</v>
      </c>
      <c r="X27" s="39"/>
      <c r="Y27" s="72">
        <f t="shared" si="3"/>
        <v>378979600</v>
      </c>
      <c r="Z27" s="72">
        <f t="shared" si="19"/>
        <v>258066666.45007858</v>
      </c>
      <c r="AA27" s="39"/>
      <c r="AB27" s="72">
        <f t="shared" si="4"/>
        <v>0</v>
      </c>
      <c r="AC27" s="72">
        <f t="shared" si="20"/>
        <v>0</v>
      </c>
      <c r="AD27" s="39"/>
      <c r="AE27" s="72">
        <f t="shared" si="5"/>
        <v>0</v>
      </c>
      <c r="AF27" s="72">
        <f t="shared" si="21"/>
        <v>0</v>
      </c>
      <c r="AG27" s="39"/>
      <c r="AH27" s="72">
        <f t="shared" si="6"/>
        <v>440000000.00000006</v>
      </c>
      <c r="AI27" s="72">
        <f t="shared" si="22"/>
        <v>299618589.59699833</v>
      </c>
      <c r="AJ27" s="39"/>
      <c r="AK27" s="72">
        <f t="shared" si="7"/>
        <v>4099200000</v>
      </c>
      <c r="AL27" s="72">
        <f t="shared" si="23"/>
        <v>2791355732.9000349</v>
      </c>
      <c r="AM27" s="39"/>
      <c r="AN27" s="72">
        <f t="shared" si="8"/>
        <v>3757600000</v>
      </c>
      <c r="AO27" s="72">
        <f t="shared" si="24"/>
        <v>2558742755.1583652</v>
      </c>
      <c r="AP27" s="39"/>
      <c r="AQ27" s="72">
        <f t="shared" si="9"/>
        <v>1012209600</v>
      </c>
      <c r="AR27" s="72">
        <f t="shared" si="25"/>
        <v>689265483.47395861</v>
      </c>
      <c r="AS27" s="39"/>
      <c r="AT27" s="40">
        <f>IF($K27&lt;=$F$15,IF($F$40&lt;&gt;"",$F$40/1000,IF(ISERROR(VLOOKUP($F$3&amp;IF($G$4&lt;&gt;"",$G$4,"")&amp;IF($F$43&lt;&gt;"","_"&amp;$F$43,""),'表3）燃料価格'!$AF$9:$AG$25,2,0)),0,VLOOKUP($I27,'表3）燃料価格'!$A$5:$AC$56,VLOOKUP($F$3&amp;IF($G$4&lt;&gt;"",$G$4,"")&amp;IF($F$43&lt;&gt;"","_"&amp;$F$43,""),'表3）燃料価格'!$AF$9:$AG$25,2,0)+VLOOKUP($F$41,'表3）燃料価格'!$AF$28:$AG$29,2,0),0)*IF($F$43="需要地価格",1,$F$8/$F$141))),"")</f>
        <v>19.242193320792346</v>
      </c>
      <c r="AU27" s="39"/>
      <c r="AV27" s="72">
        <f t="shared" si="26"/>
        <v>29335560507.646126</v>
      </c>
      <c r="AW27" s="72">
        <f t="shared" si="27"/>
        <v>19976089237.13258</v>
      </c>
      <c r="AX27" s="39"/>
      <c r="AY27" s="40">
        <f>IF(ISERROR(IF($K27&lt;=$F$15,VLOOKUP($I27,'表4）CO2価格'!$A$7:$E$67,VLOOKUP($F$48,'表4）CO2価格'!$H$10:$I$12,2,0),0)*$F$8/1000,"")),0,IF($K27&lt;=$F$15,VLOOKUP($I27,'表4）CO2価格'!$A$7:$E$67,VLOOKUP($F$48,'表4）CO2価格'!$H$10:$I$12,2,0),0)*$F$8/1000,""))</f>
        <v>5.82080000000001</v>
      </c>
      <c r="AZ27" s="39"/>
      <c r="BA27" s="42">
        <f t="shared" si="10"/>
        <v>14784347067.14485</v>
      </c>
      <c r="BB27" s="72">
        <f t="shared" si="28"/>
        <v>10067420946.296495</v>
      </c>
      <c r="BC27" s="39"/>
      <c r="BD27" s="72">
        <f t="shared" si="11"/>
        <v>0</v>
      </c>
      <c r="BE27" s="72">
        <f t="shared" si="29"/>
        <v>0</v>
      </c>
      <c r="BF27" s="39"/>
      <c r="BG27" s="42">
        <f t="shared" si="12"/>
        <v>0</v>
      </c>
      <c r="BH27" s="72">
        <f t="shared" si="30"/>
        <v>0</v>
      </c>
      <c r="BI27" s="39"/>
      <c r="BJ27" s="40" t="str">
        <f t="shared" si="31"/>
        <v/>
      </c>
      <c r="BK27" s="157" t="str">
        <f t="shared" si="32"/>
        <v/>
      </c>
      <c r="BL27" s="157" t="str">
        <f t="shared" si="13"/>
        <v/>
      </c>
      <c r="BM27" s="72"/>
      <c r="BN27" s="72" t="str">
        <f t="shared" si="33"/>
        <v/>
      </c>
      <c r="BO27" s="72" t="str">
        <f t="shared" si="34"/>
        <v/>
      </c>
      <c r="BP27" s="39"/>
      <c r="BQ27" s="72">
        <f t="shared" si="14"/>
        <v>4056318000</v>
      </c>
      <c r="BR27" s="72">
        <f t="shared" si="35"/>
        <v>2762155177.5384474</v>
      </c>
    </row>
    <row r="28" spans="3:70" x14ac:dyDescent="0.15">
      <c r="D28" s="84" t="s">
        <v>116</v>
      </c>
      <c r="F28" s="481">
        <v>1</v>
      </c>
      <c r="G28" s="84" t="s">
        <v>556</v>
      </c>
      <c r="I28" s="322">
        <f t="shared" si="36"/>
        <v>2043</v>
      </c>
      <c r="K28" s="71">
        <f t="shared" si="37"/>
        <v>14</v>
      </c>
      <c r="M28" s="7">
        <f t="shared" si="0"/>
        <v>0.66111780581861923</v>
      </c>
      <c r="O28" s="10">
        <f t="shared" si="15"/>
        <v>10990004537.902065</v>
      </c>
      <c r="P28" s="29" t="str">
        <f t="shared" si="1"/>
        <v>-</v>
      </c>
      <c r="R28" s="10">
        <f t="shared" si="16"/>
        <v>23217807156.205219</v>
      </c>
      <c r="T28" s="10">
        <f t="shared" si="17"/>
        <v>23217807000</v>
      </c>
      <c r="V28" s="10">
        <f t="shared" si="2"/>
        <v>5495002268.9510345</v>
      </c>
      <c r="W28" s="10">
        <f t="shared" si="18"/>
        <v>3632843843.017242</v>
      </c>
      <c r="Y28" s="10">
        <f t="shared" si="3"/>
        <v>325049200</v>
      </c>
      <c r="Z28" s="10">
        <f t="shared" si="19"/>
        <v>214895813.88709754</v>
      </c>
      <c r="AB28" s="10">
        <f t="shared" si="4"/>
        <v>0</v>
      </c>
      <c r="AC28" s="10">
        <f t="shared" si="20"/>
        <v>0</v>
      </c>
      <c r="AE28" s="10">
        <f t="shared" si="5"/>
        <v>0</v>
      </c>
      <c r="AF28" s="10">
        <f t="shared" si="21"/>
        <v>0</v>
      </c>
      <c r="AH28" s="10">
        <f t="shared" si="6"/>
        <v>440000000.00000006</v>
      </c>
      <c r="AI28" s="10">
        <f t="shared" si="22"/>
        <v>290891834.56019253</v>
      </c>
      <c r="AK28" s="10">
        <f t="shared" si="7"/>
        <v>4099200000</v>
      </c>
      <c r="AL28" s="10">
        <f t="shared" si="23"/>
        <v>2710054109.6116838</v>
      </c>
      <c r="AN28" s="10">
        <f t="shared" si="8"/>
        <v>3757600000</v>
      </c>
      <c r="AO28" s="10">
        <f t="shared" si="24"/>
        <v>2484216267.1440434</v>
      </c>
      <c r="AQ28" s="10">
        <f t="shared" si="9"/>
        <v>1012209600</v>
      </c>
      <c r="AR28" s="10">
        <f t="shared" si="25"/>
        <v>669189789.78054225</v>
      </c>
      <c r="AT28" s="678">
        <f>IF($K28&lt;=$F$15,IF($F$40&lt;&gt;"",$F$40/1000,IF(ISERROR(VLOOKUP($F$3&amp;IF($G$4&lt;&gt;"",$G$4,"")&amp;IF($F$43&lt;&gt;"","_"&amp;$F$43,""),'表3）燃料価格'!$AF$9:$AG$25,2,0)),0,VLOOKUP($I28,'表3）燃料価格'!$A$5:$AC$56,VLOOKUP($F$3&amp;IF($G$4&lt;&gt;"",$G$4,"")&amp;IF($F$43&lt;&gt;"","_"&amp;$F$43,""),'表3）燃料価格'!$AF$9:$AG$25,2,0)+VLOOKUP($F$41,'表3）燃料価格'!$AF$28:$AG$29,2,0),0)*IF($F$43="需要地価格",1,$F$8/$F$141))),"")</f>
        <v>19.230008217077149</v>
      </c>
      <c r="AV28" s="10">
        <f t="shared" si="26"/>
        <v>29318376894.273403</v>
      </c>
      <c r="AW28" s="10">
        <f t="shared" si="27"/>
        <v>19382901002.505337</v>
      </c>
      <c r="AY28" s="40">
        <f>IF(ISERROR(IF($K28&lt;=$F$15,VLOOKUP($I28,'表4）CO2価格'!$A$7:$E$67,VLOOKUP($F$48,'表4）CO2価格'!$H$10:$I$12,2,0),0)*$F$8/1000,"")),0,IF($K28&lt;=$F$15,VLOOKUP($I28,'表4）CO2価格'!$A$7:$E$67,VLOOKUP($F$48,'表4）CO2価格'!$H$10:$I$12,2,0),0)*$F$8/1000,""))</f>
        <v>5.9491999999999896</v>
      </c>
      <c r="BA28" s="11">
        <f t="shared" si="10"/>
        <v>15110472370.096521</v>
      </c>
      <c r="BB28" s="10">
        <f t="shared" si="28"/>
        <v>9989802338.2010822</v>
      </c>
      <c r="BD28" s="10">
        <f t="shared" si="11"/>
        <v>0</v>
      </c>
      <c r="BE28" s="10">
        <f t="shared" si="29"/>
        <v>0</v>
      </c>
      <c r="BG28" s="11">
        <f t="shared" si="12"/>
        <v>0</v>
      </c>
      <c r="BH28" s="10">
        <f t="shared" si="30"/>
        <v>0</v>
      </c>
      <c r="BJ28" s="7" t="str">
        <f t="shared" si="31"/>
        <v/>
      </c>
      <c r="BK28" s="158" t="str">
        <f t="shared" si="32"/>
        <v/>
      </c>
      <c r="BL28" s="158" t="str">
        <f t="shared" si="13"/>
        <v/>
      </c>
      <c r="BM28" s="10"/>
      <c r="BN28" s="10" t="str">
        <f t="shared" si="33"/>
        <v/>
      </c>
      <c r="BO28" s="10" t="str">
        <f t="shared" si="34"/>
        <v/>
      </c>
      <c r="BQ28" s="10">
        <f t="shared" si="14"/>
        <v>4056318000</v>
      </c>
      <c r="BR28" s="10">
        <f t="shared" si="35"/>
        <v>2681704055.8625698</v>
      </c>
    </row>
    <row r="29" spans="3:70" x14ac:dyDescent="0.15">
      <c r="D29" s="84" t="s">
        <v>567</v>
      </c>
      <c r="F29" s="481"/>
      <c r="G29" s="84" t="s">
        <v>566</v>
      </c>
      <c r="I29" s="38">
        <f t="shared" si="36"/>
        <v>2044</v>
      </c>
      <c r="J29" s="39"/>
      <c r="K29" s="39">
        <f t="shared" si="37"/>
        <v>15</v>
      </c>
      <c r="L29" s="39"/>
      <c r="M29" s="40">
        <f t="shared" si="0"/>
        <v>0.64186194739671765</v>
      </c>
      <c r="N29" s="39"/>
      <c r="O29" s="72">
        <f t="shared" si="15"/>
        <v>5495002268.9510307</v>
      </c>
      <c r="P29" s="41" t="str">
        <f t="shared" si="1"/>
        <v>-</v>
      </c>
      <c r="Q29" s="39"/>
      <c r="R29" s="72">
        <f t="shared" si="16"/>
        <v>19913817972.151527</v>
      </c>
      <c r="S29" s="39"/>
      <c r="T29" s="72">
        <f t="shared" si="17"/>
        <v>19913817000</v>
      </c>
      <c r="U29" s="39"/>
      <c r="V29" s="72">
        <f t="shared" si="2"/>
        <v>5495002268.9510307</v>
      </c>
      <c r="W29" s="72">
        <f t="shared" si="18"/>
        <v>3527032857.2982907</v>
      </c>
      <c r="X29" s="39"/>
      <c r="Y29" s="72">
        <f t="shared" si="3"/>
        <v>278793400</v>
      </c>
      <c r="Z29" s="72">
        <f t="shared" si="19"/>
        <v>178946874.64535207</v>
      </c>
      <c r="AA29" s="39"/>
      <c r="AB29" s="72">
        <f t="shared" si="4"/>
        <v>0</v>
      </c>
      <c r="AC29" s="72">
        <f t="shared" si="20"/>
        <v>0</v>
      </c>
      <c r="AD29" s="39"/>
      <c r="AE29" s="72">
        <f t="shared" si="5"/>
        <v>0</v>
      </c>
      <c r="AF29" s="72">
        <f t="shared" si="21"/>
        <v>0</v>
      </c>
      <c r="AG29" s="39"/>
      <c r="AH29" s="72">
        <f t="shared" si="6"/>
        <v>440000000.00000006</v>
      </c>
      <c r="AI29" s="72">
        <f t="shared" si="22"/>
        <v>282419256.85455579</v>
      </c>
      <c r="AJ29" s="39"/>
      <c r="AK29" s="72">
        <f t="shared" si="7"/>
        <v>4099200000</v>
      </c>
      <c r="AL29" s="72">
        <f t="shared" si="23"/>
        <v>2631120494.7686248</v>
      </c>
      <c r="AM29" s="39"/>
      <c r="AN29" s="72">
        <f t="shared" si="8"/>
        <v>3757600000</v>
      </c>
      <c r="AO29" s="72">
        <f t="shared" si="24"/>
        <v>2411860453.5379062</v>
      </c>
      <c r="AP29" s="39"/>
      <c r="AQ29" s="72">
        <f t="shared" si="9"/>
        <v>1012209600</v>
      </c>
      <c r="AR29" s="72">
        <f t="shared" si="25"/>
        <v>649698825.0296526</v>
      </c>
      <c r="AS29" s="39"/>
      <c r="AT29" s="40">
        <f>IF($K29&lt;=$F$15,IF($F$40&lt;&gt;"",$F$40/1000,IF(ISERROR(VLOOKUP($F$3&amp;IF($G$4&lt;&gt;"",$G$4,"")&amp;IF($F$43&lt;&gt;"","_"&amp;$F$43,""),'表3）燃料価格'!$AF$9:$AG$25,2,0)),0,VLOOKUP($I29,'表3）燃料価格'!$A$5:$AC$56,VLOOKUP($F$3&amp;IF($G$4&lt;&gt;"",$G$4,"")&amp;IF($F$43&lt;&gt;"","_"&amp;$F$43,""),'表3）燃料価格'!$AF$9:$AG$25,2,0)+VLOOKUP($F$41,'表3）燃料価格'!$AF$28:$AG$29,2,0),0)*IF($F$43="需要地価格",1,$F$8/$F$141))),"")</f>
        <v>19.218236248239961</v>
      </c>
      <c r="AU29" s="39"/>
      <c r="AV29" s="72">
        <f t="shared" si="26"/>
        <v>29301775889.812386</v>
      </c>
      <c r="AW29" s="72">
        <f t="shared" si="27"/>
        <v>18807694934.817165</v>
      </c>
      <c r="AX29" s="39"/>
      <c r="AY29" s="40">
        <f>IF(ISERROR(IF($K29&lt;=$F$15,VLOOKUP($I29,'表4）CO2価格'!$A$7:$E$67,VLOOKUP($F$48,'表4）CO2価格'!$H$10:$I$12,2,0),0)*$F$8/1000,"")),0,IF($K29&lt;=$F$15,VLOOKUP($I29,'表4）CO2価格'!$A$7:$E$67,VLOOKUP($F$48,'表4）CO2価格'!$H$10:$I$12,2,0),0)*$F$8/1000,""))</f>
        <v>6.077599999999971</v>
      </c>
      <c r="AZ29" s="39"/>
      <c r="BA29" s="42">
        <f t="shared" si="10"/>
        <v>15436597673.048199</v>
      </c>
      <c r="BB29" s="72">
        <f t="shared" si="28"/>
        <v>9908164643.6023579</v>
      </c>
      <c r="BC29" s="39"/>
      <c r="BD29" s="72">
        <f t="shared" si="11"/>
        <v>0</v>
      </c>
      <c r="BE29" s="72">
        <f t="shared" si="29"/>
        <v>0</v>
      </c>
      <c r="BF29" s="39"/>
      <c r="BG29" s="42">
        <f t="shared" si="12"/>
        <v>0</v>
      </c>
      <c r="BH29" s="72">
        <f t="shared" si="30"/>
        <v>0</v>
      </c>
      <c r="BI29" s="39"/>
      <c r="BJ29" s="40" t="str">
        <f t="shared" si="31"/>
        <v/>
      </c>
      <c r="BK29" s="157" t="str">
        <f t="shared" si="32"/>
        <v/>
      </c>
      <c r="BL29" s="157" t="str">
        <f t="shared" si="13"/>
        <v/>
      </c>
      <c r="BM29" s="72"/>
      <c r="BN29" s="72" t="str">
        <f t="shared" si="33"/>
        <v/>
      </c>
      <c r="BO29" s="72" t="str">
        <f t="shared" si="34"/>
        <v/>
      </c>
      <c r="BP29" s="39"/>
      <c r="BQ29" s="72">
        <f t="shared" si="14"/>
        <v>4056318000</v>
      </c>
      <c r="BR29" s="72">
        <f t="shared" si="35"/>
        <v>2603596170.7403588</v>
      </c>
    </row>
    <row r="30" spans="3:70" x14ac:dyDescent="0.15">
      <c r="I30" s="322">
        <f t="shared" si="36"/>
        <v>2045</v>
      </c>
      <c r="K30" s="71">
        <f t="shared" si="37"/>
        <v>16</v>
      </c>
      <c r="M30" s="7">
        <f t="shared" si="0"/>
        <v>0.62316693922011435</v>
      </c>
      <c r="O30" s="10">
        <f t="shared" si="15"/>
        <v>0</v>
      </c>
      <c r="P30" s="29" t="str">
        <f t="shared" si="1"/>
        <v>-</v>
      </c>
      <c r="R30" s="10">
        <f t="shared" si="16"/>
        <v>17080000000.000002</v>
      </c>
      <c r="T30" s="10">
        <f t="shared" si="17"/>
        <v>17080000000</v>
      </c>
      <c r="V30" s="10">
        <f t="shared" si="2"/>
        <v>0</v>
      </c>
      <c r="W30" s="10">
        <f t="shared" si="18"/>
        <v>0</v>
      </c>
      <c r="Y30" s="10">
        <f t="shared" si="3"/>
        <v>239120000</v>
      </c>
      <c r="Z30" s="10">
        <f t="shared" si="19"/>
        <v>149011678.50631374</v>
      </c>
      <c r="AB30" s="10">
        <f t="shared" si="4"/>
        <v>0</v>
      </c>
      <c r="AC30" s="10">
        <f t="shared" si="20"/>
        <v>0</v>
      </c>
      <c r="AE30" s="10">
        <f t="shared" si="5"/>
        <v>0</v>
      </c>
      <c r="AF30" s="10">
        <f t="shared" si="21"/>
        <v>0</v>
      </c>
      <c r="AH30" s="10">
        <f t="shared" si="6"/>
        <v>440000000.00000006</v>
      </c>
      <c r="AI30" s="10">
        <f t="shared" si="22"/>
        <v>274193453.25685036</v>
      </c>
      <c r="AK30" s="10">
        <f t="shared" si="7"/>
        <v>4099200000</v>
      </c>
      <c r="AL30" s="10">
        <f t="shared" si="23"/>
        <v>2554485917.2510929</v>
      </c>
      <c r="AN30" s="10">
        <f t="shared" si="8"/>
        <v>3757600000</v>
      </c>
      <c r="AO30" s="10">
        <f t="shared" si="24"/>
        <v>2341612090.8135018</v>
      </c>
      <c r="AQ30" s="10">
        <f t="shared" si="9"/>
        <v>1012209600</v>
      </c>
      <c r="AR30" s="10">
        <f t="shared" si="25"/>
        <v>630775558.28121626</v>
      </c>
      <c r="AT30" s="678">
        <f>IF($K30&lt;=$F$15,IF($F$40&lt;&gt;"",$F$40/1000,IF(ISERROR(VLOOKUP($F$3&amp;IF($G$4&lt;&gt;"",$G$4,"")&amp;IF($F$43&lt;&gt;"","_"&amp;$F$43,""),'表3）燃料価格'!$AF$9:$AG$25,2,0)),0,VLOOKUP($I30,'表3）燃料価格'!$A$5:$AC$56,VLOOKUP($F$3&amp;IF($G$4&lt;&gt;"",$G$4,"")&amp;IF($F$43&lt;&gt;"","_"&amp;$F$43,""),'表3）燃料価格'!$AF$9:$AG$25,2,0)+VLOOKUP($F$41,'表3）燃料価格'!$AF$28:$AG$29,2,0),0)*IF($F$43="需要地価格",1,$F$8/$F$141))),"")</f>
        <v>19.206850315933913</v>
      </c>
      <c r="AV30" s="10">
        <f t="shared" si="26"/>
        <v>29285719279.773762</v>
      </c>
      <c r="AW30" s="10">
        <f t="shared" si="27"/>
        <v>18249892046.436108</v>
      </c>
      <c r="AY30" s="40">
        <f>IF(ISERROR(IF($K30&lt;=$F$15,VLOOKUP($I30,'表4）CO2価格'!$A$7:$E$67,VLOOKUP($F$48,'表4）CO2価格'!$H$10:$I$12,2,0),0)*$F$8/1000,"")),0,IF($K30&lt;=$F$15,VLOOKUP($I30,'表4）CO2価格'!$A$7:$E$67,VLOOKUP($F$48,'表4）CO2価格'!$H$10:$I$12,2,0),0)*$F$8/1000,""))</f>
        <v>6.2060000000000004</v>
      </c>
      <c r="BA30" s="11">
        <f t="shared" si="10"/>
        <v>15762722975.999998</v>
      </c>
      <c r="BB30" s="10">
        <f t="shared" si="28"/>
        <v>9822807830.7284908</v>
      </c>
      <c r="BD30" s="10">
        <f t="shared" si="11"/>
        <v>0</v>
      </c>
      <c r="BE30" s="10">
        <f t="shared" si="29"/>
        <v>0</v>
      </c>
      <c r="BG30" s="11">
        <f t="shared" si="12"/>
        <v>0</v>
      </c>
      <c r="BH30" s="10">
        <f t="shared" si="30"/>
        <v>0</v>
      </c>
      <c r="BJ30" s="7" t="str">
        <f t="shared" si="31"/>
        <v/>
      </c>
      <c r="BK30" s="158" t="str">
        <f t="shared" si="32"/>
        <v/>
      </c>
      <c r="BL30" s="158" t="str">
        <f t="shared" si="13"/>
        <v/>
      </c>
      <c r="BM30" s="10"/>
      <c r="BN30" s="10" t="str">
        <f t="shared" si="33"/>
        <v/>
      </c>
      <c r="BO30" s="10" t="str">
        <f t="shared" si="34"/>
        <v/>
      </c>
      <c r="BQ30" s="10">
        <f t="shared" si="14"/>
        <v>4056318000</v>
      </c>
      <c r="BR30" s="10">
        <f t="shared" si="35"/>
        <v>2527763272.5634556</v>
      </c>
    </row>
    <row r="31" spans="3:70" x14ac:dyDescent="0.15">
      <c r="C31" s="4" t="s">
        <v>568</v>
      </c>
      <c r="D31" s="100"/>
      <c r="E31" s="100"/>
      <c r="F31" s="4"/>
      <c r="G31" s="100"/>
      <c r="I31" s="38">
        <f t="shared" si="36"/>
        <v>2046</v>
      </c>
      <c r="J31" s="39"/>
      <c r="K31" s="39">
        <f t="shared" si="37"/>
        <v>17</v>
      </c>
      <c r="L31" s="39"/>
      <c r="M31" s="40">
        <f t="shared" si="0"/>
        <v>0.60501644584477121</v>
      </c>
      <c r="N31" s="39"/>
      <c r="O31" s="72">
        <f t="shared" si="15"/>
        <v>0</v>
      </c>
      <c r="P31" s="41" t="str">
        <f t="shared" si="1"/>
        <v>-</v>
      </c>
      <c r="Q31" s="39"/>
      <c r="R31" s="72">
        <f t="shared" si="16"/>
        <v>14649445947.932474</v>
      </c>
      <c r="S31" s="39"/>
      <c r="T31" s="72">
        <f t="shared" si="17"/>
        <v>14649445000</v>
      </c>
      <c r="U31" s="39"/>
      <c r="V31" s="72">
        <f t="shared" si="2"/>
        <v>0</v>
      </c>
      <c r="W31" s="72">
        <f t="shared" si="18"/>
        <v>0</v>
      </c>
      <c r="X31" s="39"/>
      <c r="Y31" s="72">
        <f t="shared" si="3"/>
        <v>205092200</v>
      </c>
      <c r="Z31" s="72">
        <f t="shared" si="19"/>
        <v>124084153.91448499</v>
      </c>
      <c r="AA31" s="39"/>
      <c r="AB31" s="72">
        <f t="shared" si="4"/>
        <v>0</v>
      </c>
      <c r="AC31" s="72">
        <f t="shared" si="20"/>
        <v>0</v>
      </c>
      <c r="AD31" s="39"/>
      <c r="AE31" s="72">
        <f t="shared" si="5"/>
        <v>0</v>
      </c>
      <c r="AF31" s="72">
        <f t="shared" si="21"/>
        <v>0</v>
      </c>
      <c r="AG31" s="39"/>
      <c r="AH31" s="72">
        <f t="shared" si="6"/>
        <v>440000000.00000006</v>
      </c>
      <c r="AI31" s="72">
        <f t="shared" si="22"/>
        <v>266207236.17169937</v>
      </c>
      <c r="AJ31" s="39"/>
      <c r="AK31" s="72">
        <f t="shared" si="7"/>
        <v>4099200000</v>
      </c>
      <c r="AL31" s="72">
        <f t="shared" si="23"/>
        <v>2480083414.8068862</v>
      </c>
      <c r="AM31" s="39"/>
      <c r="AN31" s="72">
        <f t="shared" si="8"/>
        <v>3757600000</v>
      </c>
      <c r="AO31" s="72">
        <f t="shared" si="24"/>
        <v>2273409796.9063125</v>
      </c>
      <c r="AP31" s="39"/>
      <c r="AQ31" s="72">
        <f t="shared" si="9"/>
        <v>1012209600</v>
      </c>
      <c r="AR31" s="72">
        <f t="shared" si="25"/>
        <v>612403454.64195752</v>
      </c>
      <c r="AS31" s="39"/>
      <c r="AT31" s="40">
        <f>IF($K31&lt;=$F$15,IF($F$40&lt;&gt;"",$F$40/1000,IF(ISERROR(VLOOKUP($F$3&amp;IF($G$4&lt;&gt;"",$G$4,"")&amp;IF($F$43&lt;&gt;"","_"&amp;$F$43,""),'表3）燃料価格'!$AF$9:$AG$25,2,0)),0,VLOOKUP($I31,'表3）燃料価格'!$A$5:$AC$56,VLOOKUP($F$3&amp;IF($G$4&lt;&gt;"",$G$4,"")&amp;IF($F$43&lt;&gt;"","_"&amp;$F$43,""),'表3）燃料価格'!$AF$9:$AG$25,2,0)+VLOOKUP($F$41,'表3）燃料価格'!$AF$28:$AG$29,2,0),0)*IF($F$43="需要地価格",1,$F$8/$F$141))),"")</f>
        <v>19.195825903518934</v>
      </c>
      <c r="AU31" s="39"/>
      <c r="AV31" s="72">
        <f t="shared" si="26"/>
        <v>29270172490.429314</v>
      </c>
      <c r="AW31" s="72">
        <f t="shared" si="27"/>
        <v>17708935729.422939</v>
      </c>
      <c r="AX31" s="39"/>
      <c r="AY31" s="40">
        <f>IF(ISERROR(IF($K31&lt;=$F$15,VLOOKUP($I31,'表4）CO2価格'!$A$7:$E$67,VLOOKUP($F$48,'表4）CO2価格'!$H$10:$I$12,2,0),0)*$F$8/1000,"")),0,IF($K31&lt;=$F$15,VLOOKUP($I31,'表4）CO2価格'!$A$7:$E$67,VLOOKUP($F$48,'表4）CO2価格'!$H$10:$I$12,2,0),0)*$F$8/1000,""))</f>
        <v>6.3343999999999809</v>
      </c>
      <c r="AZ31" s="39"/>
      <c r="BA31" s="42">
        <f t="shared" si="10"/>
        <v>16088848278.951672</v>
      </c>
      <c r="BB31" s="72">
        <f t="shared" si="28"/>
        <v>9734017803.467104</v>
      </c>
      <c r="BC31" s="39"/>
      <c r="BD31" s="72">
        <f t="shared" si="11"/>
        <v>0</v>
      </c>
      <c r="BE31" s="72">
        <f t="shared" si="29"/>
        <v>0</v>
      </c>
      <c r="BF31" s="39"/>
      <c r="BG31" s="42">
        <f t="shared" si="12"/>
        <v>0</v>
      </c>
      <c r="BH31" s="72">
        <f t="shared" si="30"/>
        <v>0</v>
      </c>
      <c r="BI31" s="39"/>
      <c r="BJ31" s="40" t="str">
        <f t="shared" si="31"/>
        <v/>
      </c>
      <c r="BK31" s="157" t="str">
        <f t="shared" si="32"/>
        <v/>
      </c>
      <c r="BL31" s="157" t="str">
        <f t="shared" si="13"/>
        <v/>
      </c>
      <c r="BM31" s="72"/>
      <c r="BN31" s="72" t="str">
        <f t="shared" si="33"/>
        <v/>
      </c>
      <c r="BO31" s="72" t="str">
        <f t="shared" si="34"/>
        <v/>
      </c>
      <c r="BP31" s="39"/>
      <c r="BQ31" s="72">
        <f t="shared" si="14"/>
        <v>4056318000</v>
      </c>
      <c r="BR31" s="72">
        <f t="shared" si="35"/>
        <v>2454139099.5761704</v>
      </c>
    </row>
    <row r="32" spans="3:70" x14ac:dyDescent="0.15">
      <c r="I32" s="322">
        <f t="shared" si="36"/>
        <v>2047</v>
      </c>
      <c r="K32" s="71">
        <f t="shared" si="37"/>
        <v>18</v>
      </c>
      <c r="M32" s="7">
        <f t="shared" si="0"/>
        <v>0.5873946076162827</v>
      </c>
      <c r="O32" s="10">
        <f t="shared" si="15"/>
        <v>0</v>
      </c>
      <c r="P32" s="29" t="str">
        <f t="shared" si="1"/>
        <v>-</v>
      </c>
      <c r="R32" s="10">
        <f t="shared" si="16"/>
        <v>12564769706.170675</v>
      </c>
      <c r="T32" s="10">
        <f t="shared" si="17"/>
        <v>12564769000</v>
      </c>
      <c r="V32" s="10">
        <f t="shared" si="2"/>
        <v>0</v>
      </c>
      <c r="W32" s="10">
        <f t="shared" si="18"/>
        <v>0</v>
      </c>
      <c r="Y32" s="10">
        <f t="shared" si="3"/>
        <v>175906700</v>
      </c>
      <c r="Z32" s="10">
        <f t="shared" si="19"/>
        <v>103326647.02357516</v>
      </c>
      <c r="AB32" s="10">
        <f t="shared" si="4"/>
        <v>0</v>
      </c>
      <c r="AC32" s="10">
        <f t="shared" si="20"/>
        <v>0</v>
      </c>
      <c r="AE32" s="10">
        <f t="shared" si="5"/>
        <v>0</v>
      </c>
      <c r="AF32" s="10">
        <f t="shared" si="21"/>
        <v>0</v>
      </c>
      <c r="AH32" s="10">
        <f t="shared" si="6"/>
        <v>440000000.00000006</v>
      </c>
      <c r="AI32" s="10">
        <f t="shared" si="22"/>
        <v>258453627.35116443</v>
      </c>
      <c r="AK32" s="10">
        <f t="shared" si="7"/>
        <v>4099200000</v>
      </c>
      <c r="AL32" s="10">
        <f t="shared" si="23"/>
        <v>2407847975.5406661</v>
      </c>
      <c r="AN32" s="10">
        <f t="shared" si="8"/>
        <v>3757600000</v>
      </c>
      <c r="AO32" s="10">
        <f t="shared" si="24"/>
        <v>2207193977.5789437</v>
      </c>
      <c r="AQ32" s="10">
        <f t="shared" si="9"/>
        <v>1012209600</v>
      </c>
      <c r="AR32" s="10">
        <f t="shared" si="25"/>
        <v>594566460.81743443</v>
      </c>
      <c r="AT32" s="678">
        <f>IF($K32&lt;=$F$15,IF($F$40&lt;&gt;"",$F$40/1000,IF(ISERROR(VLOOKUP($F$3&amp;IF($G$4&lt;&gt;"",$G$4,"")&amp;IF($F$43&lt;&gt;"","_"&amp;$F$43,""),'表3）燃料価格'!$AF$9:$AG$25,2,0)),0,VLOOKUP($I32,'表3）燃料価格'!$A$5:$AC$56,VLOOKUP($F$3&amp;IF($G$4&lt;&gt;"",$G$4,"")&amp;IF($F$43&lt;&gt;"","_"&amp;$F$43,""),'表3）燃料価格'!$AF$9:$AG$25,2,0)+VLOOKUP($F$41,'表3）燃料価格'!$AF$28:$AG$29,2,0),0)*IF($F$43="需要地価格",1,$F$8/$F$141))),"")</f>
        <v>19.185140758179298</v>
      </c>
      <c r="AV32" s="10">
        <f t="shared" si="26"/>
        <v>29255104140.529373</v>
      </c>
      <c r="AW32" s="10">
        <f t="shared" si="27"/>
        <v>17184290417.399738</v>
      </c>
      <c r="AY32" s="40">
        <f>IF(ISERROR(IF($K32&lt;=$F$15,VLOOKUP($I32,'表4）CO2価格'!$A$7:$E$67,VLOOKUP($F$48,'表4）CO2価格'!$H$10:$I$12,2,0),0)*$F$8/1000,"")),0,IF($K32&lt;=$F$15,VLOOKUP($I32,'表4）CO2価格'!$A$7:$E$67,VLOOKUP($F$48,'表4）CO2価格'!$H$10:$I$12,2,0),0)*$F$8/1000,""))</f>
        <v>6.4628000000000103</v>
      </c>
      <c r="BA32" s="11">
        <f t="shared" si="10"/>
        <v>16414973581.903471</v>
      </c>
      <c r="BB32" s="10">
        <f t="shared" si="28"/>
        <v>9642066966.1738358</v>
      </c>
      <c r="BD32" s="10">
        <f t="shared" si="11"/>
        <v>0</v>
      </c>
      <c r="BE32" s="10">
        <f t="shared" si="29"/>
        <v>0</v>
      </c>
      <c r="BG32" s="11">
        <f t="shared" si="12"/>
        <v>0</v>
      </c>
      <c r="BH32" s="10">
        <f t="shared" si="30"/>
        <v>0</v>
      </c>
      <c r="BJ32" s="7" t="str">
        <f t="shared" si="31"/>
        <v/>
      </c>
      <c r="BK32" s="158" t="str">
        <f t="shared" si="32"/>
        <v/>
      </c>
      <c r="BL32" s="158" t="str">
        <f t="shared" si="13"/>
        <v/>
      </c>
      <c r="BM32" s="10"/>
      <c r="BN32" s="10" t="str">
        <f t="shared" si="33"/>
        <v/>
      </c>
      <c r="BO32" s="10" t="str">
        <f t="shared" si="34"/>
        <v/>
      </c>
      <c r="BQ32" s="10">
        <f t="shared" si="14"/>
        <v>4056318000</v>
      </c>
      <c r="BR32" s="10">
        <f t="shared" si="35"/>
        <v>2382659319.9768648</v>
      </c>
    </row>
    <row r="33" spans="3:70" x14ac:dyDescent="0.15">
      <c r="D33" s="84" t="s">
        <v>636</v>
      </c>
      <c r="F33" s="475">
        <v>4.4000000000000004</v>
      </c>
      <c r="G33" s="84" t="s">
        <v>637</v>
      </c>
      <c r="I33" s="38">
        <f t="shared" si="36"/>
        <v>2048</v>
      </c>
      <c r="J33" s="39"/>
      <c r="K33" s="39">
        <f t="shared" si="37"/>
        <v>19</v>
      </c>
      <c r="L33" s="39"/>
      <c r="M33" s="40">
        <f t="shared" si="0"/>
        <v>0.57028602681192497</v>
      </c>
      <c r="N33" s="39"/>
      <c r="O33" s="72">
        <f t="shared" si="15"/>
        <v>0</v>
      </c>
      <c r="P33" s="41" t="str">
        <f t="shared" si="1"/>
        <v>-</v>
      </c>
      <c r="Q33" s="39"/>
      <c r="R33" s="72">
        <f t="shared" si="16"/>
        <v>10776751443.721703</v>
      </c>
      <c r="S33" s="39"/>
      <c r="T33" s="72">
        <f t="shared" si="17"/>
        <v>10776751000</v>
      </c>
      <c r="U33" s="39"/>
      <c r="V33" s="72">
        <f t="shared" si="2"/>
        <v>0</v>
      </c>
      <c r="W33" s="72">
        <f t="shared" si="18"/>
        <v>0</v>
      </c>
      <c r="X33" s="39"/>
      <c r="Y33" s="72">
        <f t="shared" si="3"/>
        <v>150874500</v>
      </c>
      <c r="Z33" s="72">
        <f t="shared" si="19"/>
        <v>86041619.152235776</v>
      </c>
      <c r="AA33" s="39"/>
      <c r="AB33" s="72">
        <f t="shared" si="4"/>
        <v>0</v>
      </c>
      <c r="AC33" s="72">
        <f t="shared" si="20"/>
        <v>0</v>
      </c>
      <c r="AD33" s="39"/>
      <c r="AE33" s="72">
        <f t="shared" si="5"/>
        <v>0</v>
      </c>
      <c r="AF33" s="72">
        <f t="shared" si="21"/>
        <v>0</v>
      </c>
      <c r="AG33" s="39"/>
      <c r="AH33" s="72">
        <f t="shared" si="6"/>
        <v>440000000.00000006</v>
      </c>
      <c r="AI33" s="72">
        <f t="shared" si="22"/>
        <v>250925851.79724702</v>
      </c>
      <c r="AJ33" s="39"/>
      <c r="AK33" s="72">
        <f t="shared" si="7"/>
        <v>4099200000</v>
      </c>
      <c r="AL33" s="72">
        <f t="shared" si="23"/>
        <v>2337716481.1074429</v>
      </c>
      <c r="AM33" s="39"/>
      <c r="AN33" s="72">
        <f t="shared" si="8"/>
        <v>3757600000</v>
      </c>
      <c r="AO33" s="72">
        <f t="shared" si="24"/>
        <v>2142906774.3484893</v>
      </c>
      <c r="AP33" s="39"/>
      <c r="AQ33" s="72">
        <f t="shared" si="9"/>
        <v>1012209600</v>
      </c>
      <c r="AR33" s="72">
        <f t="shared" si="25"/>
        <v>577248991.08488786</v>
      </c>
      <c r="AS33" s="39"/>
      <c r="AT33" s="40">
        <f>IF($K33&lt;=$F$15,IF($F$40&lt;&gt;"",$F$40/1000,IF(ISERROR(VLOOKUP($F$3&amp;IF($G$4&lt;&gt;"",$G$4,"")&amp;IF($F$43&lt;&gt;"","_"&amp;$F$43,""),'表3）燃料価格'!$AF$9:$AG$25,2,0)),0,VLOOKUP($I33,'表3）燃料価格'!$A$5:$AC$56,VLOOKUP($F$3&amp;IF($G$4&lt;&gt;"",$G$4,"")&amp;IF($F$43&lt;&gt;"","_"&amp;$F$43,""),'表3）燃料価格'!$AF$9:$AG$25,2,0)+VLOOKUP($F$41,'表3）燃料価格'!$AF$28:$AG$29,2,0),0)*IF($F$43="需要地価格",1,$F$8/$F$141))),"")</f>
        <v>19.174774620509325</v>
      </c>
      <c r="AU33" s="39"/>
      <c r="AV33" s="72">
        <f t="shared" si="26"/>
        <v>29240485659.96059</v>
      </c>
      <c r="AW33" s="72">
        <f t="shared" si="27"/>
        <v>16675440389.069992</v>
      </c>
      <c r="AX33" s="39"/>
      <c r="AY33" s="40">
        <f>IF(ISERROR(IF($K33&lt;=$F$15,VLOOKUP($I33,'表4）CO2価格'!$A$7:$E$67,VLOOKUP($F$48,'表4）CO2価格'!$H$10:$I$12,2,0),0)*$F$8/1000,"")),0,IF($K33&lt;=$F$15,VLOOKUP($I33,'表4）CO2価格'!$A$7:$E$67,VLOOKUP($F$48,'表4）CO2価格'!$H$10:$I$12,2,0),0)*$F$8/1000,""))</f>
        <v>6.59119999999999</v>
      </c>
      <c r="AZ33" s="39"/>
      <c r="BA33" s="42">
        <f t="shared" si="10"/>
        <v>16741098884.855143</v>
      </c>
      <c r="BB33" s="72">
        <f t="shared" si="28"/>
        <v>9547214767.5095863</v>
      </c>
      <c r="BC33" s="39"/>
      <c r="BD33" s="72">
        <f t="shared" si="11"/>
        <v>0</v>
      </c>
      <c r="BE33" s="72">
        <f t="shared" si="29"/>
        <v>0</v>
      </c>
      <c r="BF33" s="39"/>
      <c r="BG33" s="42">
        <f t="shared" si="12"/>
        <v>0</v>
      </c>
      <c r="BH33" s="72">
        <f t="shared" si="30"/>
        <v>0</v>
      </c>
      <c r="BI33" s="39"/>
      <c r="BJ33" s="40" t="str">
        <f t="shared" si="31"/>
        <v/>
      </c>
      <c r="BK33" s="157" t="str">
        <f t="shared" si="32"/>
        <v/>
      </c>
      <c r="BL33" s="157" t="str">
        <f t="shared" si="13"/>
        <v/>
      </c>
      <c r="BM33" s="72"/>
      <c r="BN33" s="72" t="str">
        <f t="shared" si="33"/>
        <v/>
      </c>
      <c r="BO33" s="72" t="str">
        <f t="shared" si="34"/>
        <v/>
      </c>
      <c r="BP33" s="39"/>
      <c r="BQ33" s="72">
        <f t="shared" si="14"/>
        <v>4056318000</v>
      </c>
      <c r="BR33" s="72">
        <f t="shared" si="35"/>
        <v>2313261475.7056937</v>
      </c>
    </row>
    <row r="34" spans="3:70" x14ac:dyDescent="0.15">
      <c r="D34" s="84" t="s">
        <v>120</v>
      </c>
      <c r="F34" s="475">
        <v>2.4</v>
      </c>
      <c r="G34" s="84" t="s">
        <v>638</v>
      </c>
      <c r="I34" s="322">
        <f t="shared" si="36"/>
        <v>2049</v>
      </c>
      <c r="K34" s="71">
        <f t="shared" si="37"/>
        <v>20</v>
      </c>
      <c r="M34" s="7">
        <f t="shared" si="0"/>
        <v>0.55367575418633497</v>
      </c>
      <c r="O34" s="10">
        <f t="shared" si="15"/>
        <v>0</v>
      </c>
      <c r="P34" s="29" t="str">
        <f t="shared" si="1"/>
        <v>-</v>
      </c>
      <c r="R34" s="10">
        <f t="shared" si="16"/>
        <v>9243175513.4136009</v>
      </c>
      <c r="T34" s="10">
        <f t="shared" si="17"/>
        <v>9243175000</v>
      </c>
      <c r="V34" s="10">
        <f t="shared" si="2"/>
        <v>0</v>
      </c>
      <c r="W34" s="10">
        <f t="shared" si="18"/>
        <v>0</v>
      </c>
      <c r="Y34" s="10">
        <f t="shared" si="3"/>
        <v>129404400</v>
      </c>
      <c r="Z34" s="10">
        <f t="shared" si="19"/>
        <v>71648078.765030161</v>
      </c>
      <c r="AB34" s="10">
        <f t="shared" si="4"/>
        <v>0</v>
      </c>
      <c r="AC34" s="10">
        <f t="shared" si="20"/>
        <v>0</v>
      </c>
      <c r="AE34" s="10">
        <f t="shared" si="5"/>
        <v>0</v>
      </c>
      <c r="AF34" s="10">
        <f t="shared" si="21"/>
        <v>0</v>
      </c>
      <c r="AH34" s="10">
        <f t="shared" si="6"/>
        <v>440000000.00000006</v>
      </c>
      <c r="AI34" s="10">
        <f t="shared" si="22"/>
        <v>243617331.84198743</v>
      </c>
      <c r="AK34" s="10">
        <f t="shared" si="7"/>
        <v>4099200000</v>
      </c>
      <c r="AL34" s="10">
        <f t="shared" si="23"/>
        <v>2269627651.5606241</v>
      </c>
      <c r="AN34" s="10">
        <f t="shared" si="8"/>
        <v>3757600000</v>
      </c>
      <c r="AO34" s="10">
        <f t="shared" si="24"/>
        <v>2080492013.9305723</v>
      </c>
      <c r="AQ34" s="10">
        <f t="shared" si="9"/>
        <v>1012209600</v>
      </c>
      <c r="AR34" s="10">
        <f t="shared" si="25"/>
        <v>560435913.6746484</v>
      </c>
      <c r="AT34" s="678">
        <f>IF($K34&lt;=$F$15,IF($F$40&lt;&gt;"",$F$40/1000,IF(ISERROR(VLOOKUP($F$3&amp;IF($G$4&lt;&gt;"",$G$4,"")&amp;IF($F$43&lt;&gt;"","_"&amp;$F$43,""),'表3）燃料価格'!$AF$9:$AG$25,2,0)),0,VLOOKUP($I34,'表3）燃料価格'!$A$5:$AC$56,VLOOKUP($F$3&amp;IF($G$4&lt;&gt;"",$G$4,"")&amp;IF($F$43&lt;&gt;"","_"&amp;$F$43,""),'表3）燃料価格'!$AF$9:$AG$25,2,0)+VLOOKUP($F$41,'表3）燃料価格'!$AF$28:$AG$29,2,0),0)*IF($F$43="需要地価格",1,$F$8/$F$141))),"")</f>
        <v>19.164708993307265</v>
      </c>
      <c r="AV34" s="10">
        <f t="shared" si="26"/>
        <v>29226290963.695637</v>
      </c>
      <c r="AW34" s="10">
        <f t="shared" si="27"/>
        <v>16181888691.393448</v>
      </c>
      <c r="AY34" s="40">
        <f>IF(ISERROR(IF($K34&lt;=$F$15,VLOOKUP($I34,'表4）CO2価格'!$A$7:$E$67,VLOOKUP($F$48,'表4）CO2価格'!$H$10:$I$12,2,0),0)*$F$8/1000,"")),0,IF($K34&lt;=$F$15,VLOOKUP($I34,'表4）CO2価格'!$A$7:$E$67,VLOOKUP($F$48,'表4）CO2価格'!$H$10:$I$12,2,0),0)*$F$8/1000,""))</f>
        <v>6.7195999999999714</v>
      </c>
      <c r="BA34" s="11">
        <f t="shared" si="10"/>
        <v>17067224187.80682</v>
      </c>
      <c r="BB34" s="10">
        <f t="shared" si="28"/>
        <v>9449708224.051199</v>
      </c>
      <c r="BD34" s="10">
        <f t="shared" si="11"/>
        <v>0</v>
      </c>
      <c r="BE34" s="10">
        <f t="shared" si="29"/>
        <v>0</v>
      </c>
      <c r="BG34" s="11">
        <f t="shared" si="12"/>
        <v>0</v>
      </c>
      <c r="BH34" s="10">
        <f t="shared" si="30"/>
        <v>0</v>
      </c>
      <c r="BJ34" s="7" t="str">
        <f t="shared" si="31"/>
        <v/>
      </c>
      <c r="BK34" s="158" t="str">
        <f t="shared" si="32"/>
        <v/>
      </c>
      <c r="BL34" s="158" t="str">
        <f t="shared" si="13"/>
        <v/>
      </c>
      <c r="BM34" s="10"/>
      <c r="BN34" s="10" t="str">
        <f t="shared" si="33"/>
        <v/>
      </c>
      <c r="BO34" s="10" t="str">
        <f t="shared" si="34"/>
        <v/>
      </c>
      <c r="BQ34" s="10">
        <f t="shared" si="14"/>
        <v>4056318000</v>
      </c>
      <c r="BR34" s="10">
        <f t="shared" si="35"/>
        <v>2245884927.869606</v>
      </c>
    </row>
    <row r="35" spans="3:70" x14ac:dyDescent="0.15">
      <c r="D35" s="84" t="s">
        <v>122</v>
      </c>
      <c r="F35" s="475">
        <v>2.2000000000000002</v>
      </c>
      <c r="G35" s="84" t="s">
        <v>638</v>
      </c>
      <c r="I35" s="38">
        <f t="shared" si="36"/>
        <v>2050</v>
      </c>
      <c r="J35" s="39"/>
      <c r="K35" s="39">
        <f t="shared" si="37"/>
        <v>21</v>
      </c>
      <c r="L35" s="39"/>
      <c r="M35" s="40">
        <f t="shared" si="0"/>
        <v>0.5375492759090631</v>
      </c>
      <c r="N35" s="39"/>
      <c r="O35" s="72">
        <f t="shared" si="15"/>
        <v>0</v>
      </c>
      <c r="P35" s="41" t="str">
        <f t="shared" si="1"/>
        <v>-</v>
      </c>
      <c r="Q35" s="39"/>
      <c r="R35" s="72">
        <f t="shared" si="16"/>
        <v>8540000000</v>
      </c>
      <c r="S35" s="39"/>
      <c r="T35" s="72">
        <f t="shared" si="17"/>
        <v>8540000000</v>
      </c>
      <c r="U35" s="39"/>
      <c r="V35" s="72">
        <f t="shared" si="2"/>
        <v>0</v>
      </c>
      <c r="W35" s="72">
        <f t="shared" si="18"/>
        <v>0</v>
      </c>
      <c r="X35" s="39"/>
      <c r="Y35" s="72">
        <f t="shared" si="3"/>
        <v>119560000</v>
      </c>
      <c r="Z35" s="72">
        <f t="shared" si="19"/>
        <v>64269391.427687585</v>
      </c>
      <c r="AA35" s="39"/>
      <c r="AB35" s="72">
        <f t="shared" si="4"/>
        <v>0</v>
      </c>
      <c r="AC35" s="72">
        <f t="shared" si="20"/>
        <v>0</v>
      </c>
      <c r="AD35" s="39"/>
      <c r="AE35" s="72">
        <f t="shared" si="5"/>
        <v>0</v>
      </c>
      <c r="AF35" s="72">
        <f t="shared" si="21"/>
        <v>0</v>
      </c>
      <c r="AG35" s="39"/>
      <c r="AH35" s="72">
        <f t="shared" si="6"/>
        <v>440000000.00000006</v>
      </c>
      <c r="AI35" s="72">
        <f t="shared" si="22"/>
        <v>236521681.39998779</v>
      </c>
      <c r="AJ35" s="39"/>
      <c r="AK35" s="72">
        <f t="shared" si="7"/>
        <v>4099200000</v>
      </c>
      <c r="AL35" s="72">
        <f t="shared" si="23"/>
        <v>2203521991.8064313</v>
      </c>
      <c r="AM35" s="39"/>
      <c r="AN35" s="72">
        <f t="shared" si="8"/>
        <v>3757600000</v>
      </c>
      <c r="AO35" s="72">
        <f t="shared" si="24"/>
        <v>2019895159.1558955</v>
      </c>
      <c r="AP35" s="39"/>
      <c r="AQ35" s="72">
        <f t="shared" si="9"/>
        <v>1012209600</v>
      </c>
      <c r="AR35" s="72">
        <f t="shared" si="25"/>
        <v>544112537.5482024</v>
      </c>
      <c r="AS35" s="39"/>
      <c r="AT35" s="40">
        <f>IF($K35&lt;=$F$15,IF($F$40&lt;&gt;"",$F$40/1000,IF(ISERROR(VLOOKUP($F$3&amp;IF($G$4&lt;&gt;"",$G$4,"")&amp;IF($F$43&lt;&gt;"","_"&amp;$F$43,""),'表3）燃料価格'!$AF$9:$AG$25,2,0)),0,VLOOKUP($I35,'表3）燃料価格'!$A$5:$AC$56,VLOOKUP($F$3&amp;IF($G$4&lt;&gt;"",$G$4,"")&amp;IF($F$43&lt;&gt;"","_"&amp;$F$43,""),'表3）燃料価格'!$AF$9:$AG$25,2,0)+VLOOKUP($F$41,'表3）燃料価格'!$AF$28:$AG$29,2,0),0)*IF($F$43="需要地価格",1,$F$8/$F$141))),"")</f>
        <v>19.154926942947423</v>
      </c>
      <c r="AU35" s="39"/>
      <c r="AV35" s="72">
        <f t="shared" si="26"/>
        <v>29212496171.685261</v>
      </c>
      <c r="AW35" s="72">
        <f t="shared" si="27"/>
        <v>15703156164.58569</v>
      </c>
      <c r="AX35" s="39"/>
      <c r="AY35" s="40">
        <f>IF(ISERROR(IF($K35&lt;=$F$15,VLOOKUP($I35,'表4）CO2価格'!$A$7:$E$67,VLOOKUP($F$48,'表4）CO2価格'!$H$10:$I$12,2,0),0)*$F$8/1000,"")),0,IF($K35&lt;=$F$15,VLOOKUP($I35,'表4）CO2価格'!$A$7:$E$67,VLOOKUP($F$48,'表4）CO2価格'!$H$10:$I$12,2,0),0)*$F$8/1000,""))</f>
        <v>6.8479999999999999</v>
      </c>
      <c r="AZ35" s="39"/>
      <c r="BA35" s="42">
        <f t="shared" si="10"/>
        <v>17393349490.758617</v>
      </c>
      <c r="BB35" s="72">
        <f t="shared" si="28"/>
        <v>9349782424.3905659</v>
      </c>
      <c r="BC35" s="39"/>
      <c r="BD35" s="72">
        <f t="shared" si="11"/>
        <v>0</v>
      </c>
      <c r="BE35" s="72">
        <f t="shared" si="29"/>
        <v>0</v>
      </c>
      <c r="BF35" s="39"/>
      <c r="BG35" s="42">
        <f t="shared" si="12"/>
        <v>0</v>
      </c>
      <c r="BH35" s="72">
        <f t="shared" si="30"/>
        <v>0</v>
      </c>
      <c r="BI35" s="39"/>
      <c r="BJ35" s="40" t="str">
        <f t="shared" si="31"/>
        <v/>
      </c>
      <c r="BK35" s="157" t="str">
        <f t="shared" si="32"/>
        <v/>
      </c>
      <c r="BL35" s="157" t="str">
        <f t="shared" si="13"/>
        <v/>
      </c>
      <c r="BM35" s="72"/>
      <c r="BN35" s="72" t="str">
        <f t="shared" si="33"/>
        <v/>
      </c>
      <c r="BO35" s="72" t="str">
        <f t="shared" si="34"/>
        <v/>
      </c>
      <c r="BP35" s="39"/>
      <c r="BQ35" s="72">
        <f t="shared" si="14"/>
        <v>4056318000</v>
      </c>
      <c r="BR35" s="72">
        <f t="shared" si="35"/>
        <v>2180470803.7568989</v>
      </c>
    </row>
    <row r="36" spans="3:70" x14ac:dyDescent="0.15">
      <c r="D36" s="84" t="s">
        <v>639</v>
      </c>
      <c r="F36" s="480">
        <v>12.2</v>
      </c>
      <c r="G36" s="84" t="s">
        <v>640</v>
      </c>
      <c r="I36" s="322">
        <f t="shared" si="36"/>
        <v>2051</v>
      </c>
      <c r="K36" s="71">
        <f t="shared" si="37"/>
        <v>22</v>
      </c>
      <c r="M36" s="7">
        <f t="shared" si="0"/>
        <v>0.52189250088258554</v>
      </c>
      <c r="O36" s="10">
        <f t="shared" si="15"/>
        <v>0</v>
      </c>
      <c r="P36" s="29" t="str">
        <f t="shared" si="1"/>
        <v>-</v>
      </c>
      <c r="R36" s="10">
        <f t="shared" si="16"/>
        <v>8540000000</v>
      </c>
      <c r="T36" s="10">
        <f t="shared" si="17"/>
        <v>8540000000</v>
      </c>
      <c r="V36" s="10">
        <f t="shared" si="2"/>
        <v>0</v>
      </c>
      <c r="W36" s="10">
        <f t="shared" si="18"/>
        <v>0</v>
      </c>
      <c r="Y36" s="10">
        <f t="shared" si="3"/>
        <v>119560000</v>
      </c>
      <c r="Z36" s="10">
        <f t="shared" si="19"/>
        <v>62397467.405521929</v>
      </c>
      <c r="AB36" s="10">
        <f t="shared" si="4"/>
        <v>0</v>
      </c>
      <c r="AC36" s="10">
        <f t="shared" si="20"/>
        <v>0</v>
      </c>
      <c r="AE36" s="10">
        <f t="shared" si="5"/>
        <v>0</v>
      </c>
      <c r="AF36" s="10">
        <f t="shared" si="21"/>
        <v>0</v>
      </c>
      <c r="AH36" s="10">
        <f t="shared" si="6"/>
        <v>440000000.00000006</v>
      </c>
      <c r="AI36" s="10">
        <f t="shared" si="22"/>
        <v>229632700.38833767</v>
      </c>
      <c r="AK36" s="10">
        <f t="shared" si="7"/>
        <v>4099200000</v>
      </c>
      <c r="AL36" s="10">
        <f t="shared" si="23"/>
        <v>2139341739.6178946</v>
      </c>
      <c r="AN36" s="10">
        <f t="shared" si="8"/>
        <v>3757600000</v>
      </c>
      <c r="AO36" s="10">
        <f t="shared" si="24"/>
        <v>1961063261.3164034</v>
      </c>
      <c r="AQ36" s="10">
        <f t="shared" si="9"/>
        <v>1012209600</v>
      </c>
      <c r="AR36" s="10">
        <f t="shared" si="25"/>
        <v>528264599.56136155</v>
      </c>
      <c r="AT36" s="678">
        <f>IF($K36&lt;=$F$15,IF($F$40&lt;&gt;"",$F$40/1000,IF(ISERROR(VLOOKUP($F$3&amp;IF($G$4&lt;&gt;"",$G$4,"")&amp;IF($F$43&lt;&gt;"","_"&amp;$F$43,""),'表3）燃料価格'!$AF$9:$AG$25,2,0)),0,VLOOKUP($I36,'表3）燃料価格'!$A$5:$AC$56,VLOOKUP($F$3&amp;IF($G$4&lt;&gt;"",$G$4,"")&amp;IF($F$43&lt;&gt;"","_"&amp;$F$43,""),'表3）燃料価格'!$AF$9:$AG$25,2,0)+VLOOKUP($F$41,'表3）燃料価格'!$AF$28:$AG$29,2,0),0)*IF($F$43="需要地価格",1,$F$8/$F$141))),"")</f>
        <v>19.145412927972558</v>
      </c>
      <c r="AV36" s="10">
        <f t="shared" si="26"/>
        <v>29199079367.13673</v>
      </c>
      <c r="AW36" s="10">
        <f t="shared" si="27"/>
        <v>15238780554.38409</v>
      </c>
      <c r="AY36" s="40">
        <f>IF(ISERROR(IF($K36&lt;=$F$15,VLOOKUP($I36,'表4）CO2価格'!$A$7:$E$67,VLOOKUP($F$48,'表4）CO2価格'!$H$10:$I$12,2,0),0)*$F$8/1000,"")),0,IF($K36&lt;=$F$15,VLOOKUP($I36,'表4）CO2価格'!$A$7:$E$67,VLOOKUP($F$48,'表4）CO2価格'!$H$10:$I$12,2,0),0)*$F$8/1000,""))</f>
        <v>7.0184806169104448</v>
      </c>
      <c r="BA36" s="11">
        <f t="shared" si="10"/>
        <v>17826356054.912167</v>
      </c>
      <c r="BB36" s="10">
        <f t="shared" si="28"/>
        <v>9303441543.1215324</v>
      </c>
      <c r="BD36" s="10">
        <f t="shared" si="11"/>
        <v>0</v>
      </c>
      <c r="BE36" s="10">
        <f t="shared" si="29"/>
        <v>0</v>
      </c>
      <c r="BG36" s="11">
        <f t="shared" si="12"/>
        <v>0</v>
      </c>
      <c r="BH36" s="10">
        <f t="shared" si="30"/>
        <v>0</v>
      </c>
      <c r="BJ36" s="7" t="str">
        <f t="shared" si="31"/>
        <v/>
      </c>
      <c r="BK36" s="158" t="str">
        <f t="shared" si="32"/>
        <v/>
      </c>
      <c r="BL36" s="158" t="str">
        <f t="shared" si="13"/>
        <v/>
      </c>
      <c r="BM36" s="10"/>
      <c r="BN36" s="10" t="str">
        <f t="shared" si="33"/>
        <v/>
      </c>
      <c r="BO36" s="10" t="str">
        <f t="shared" si="34"/>
        <v/>
      </c>
      <c r="BQ36" s="10">
        <f t="shared" si="14"/>
        <v>4056318000</v>
      </c>
      <c r="BR36" s="10">
        <f t="shared" si="35"/>
        <v>2116961945.3950477</v>
      </c>
    </row>
    <row r="37" spans="3:70" x14ac:dyDescent="0.15">
      <c r="I37" s="38">
        <f t="shared" si="36"/>
        <v>2052</v>
      </c>
      <c r="J37" s="39"/>
      <c r="K37" s="39">
        <f t="shared" si="37"/>
        <v>23</v>
      </c>
      <c r="L37" s="39"/>
      <c r="M37" s="40">
        <f t="shared" si="0"/>
        <v>0.50669174842969467</v>
      </c>
      <c r="N37" s="39"/>
      <c r="O37" s="72">
        <f t="shared" si="15"/>
        <v>0</v>
      </c>
      <c r="P37" s="41" t="str">
        <f t="shared" si="1"/>
        <v>-</v>
      </c>
      <c r="Q37" s="39"/>
      <c r="R37" s="72">
        <f t="shared" si="16"/>
        <v>8540000000</v>
      </c>
      <c r="S37" s="39"/>
      <c r="T37" s="72">
        <f t="shared" si="17"/>
        <v>8540000000</v>
      </c>
      <c r="U37" s="39"/>
      <c r="V37" s="72">
        <f t="shared" si="2"/>
        <v>0</v>
      </c>
      <c r="W37" s="72">
        <f t="shared" si="18"/>
        <v>0</v>
      </c>
      <c r="X37" s="39"/>
      <c r="Y37" s="72">
        <f t="shared" si="3"/>
        <v>119560000</v>
      </c>
      <c r="Z37" s="72">
        <f t="shared" si="19"/>
        <v>60580065.442254297</v>
      </c>
      <c r="AA37" s="39"/>
      <c r="AB37" s="72">
        <f t="shared" si="4"/>
        <v>0</v>
      </c>
      <c r="AC37" s="72">
        <f t="shared" si="20"/>
        <v>0</v>
      </c>
      <c r="AD37" s="39"/>
      <c r="AE37" s="72">
        <f t="shared" si="5"/>
        <v>0</v>
      </c>
      <c r="AF37" s="72">
        <f t="shared" si="21"/>
        <v>0</v>
      </c>
      <c r="AG37" s="39"/>
      <c r="AH37" s="72">
        <f t="shared" si="6"/>
        <v>440000000.00000006</v>
      </c>
      <c r="AI37" s="72">
        <f t="shared" si="22"/>
        <v>222944369.30906567</v>
      </c>
      <c r="AJ37" s="39"/>
      <c r="AK37" s="72">
        <f t="shared" si="7"/>
        <v>4099200000</v>
      </c>
      <c r="AL37" s="72">
        <f t="shared" si="23"/>
        <v>2077030815.1630044</v>
      </c>
      <c r="AM37" s="39"/>
      <c r="AN37" s="72">
        <f t="shared" si="8"/>
        <v>3757600000</v>
      </c>
      <c r="AO37" s="72">
        <f t="shared" si="24"/>
        <v>1903944913.8994207</v>
      </c>
      <c r="AP37" s="39"/>
      <c r="AQ37" s="72">
        <f t="shared" si="9"/>
        <v>1012209600</v>
      </c>
      <c r="AR37" s="72">
        <f t="shared" si="25"/>
        <v>512878252.00132185</v>
      </c>
      <c r="AS37" s="39"/>
      <c r="AT37" s="40">
        <f>IF($K37&lt;=$F$15,IF($F$40&lt;&gt;"",$F$40/1000,IF(ISERROR(VLOOKUP($F$3&amp;IF($G$4&lt;&gt;"",$G$4,"")&amp;IF($F$43&lt;&gt;"","_"&amp;$F$43,""),'表3）燃料価格'!$AF$9:$AG$25,2,0)),0,VLOOKUP($I37,'表3）燃料価格'!$A$5:$AC$56,VLOOKUP($F$3&amp;IF($G$4&lt;&gt;"",$G$4,"")&amp;IF($F$43&lt;&gt;"","_"&amp;$F$43,""),'表3）燃料価格'!$AF$9:$AG$25,2,0)+VLOOKUP($F$41,'表3）燃料価格'!$AF$28:$AG$29,2,0),0)*IF($F$43="需要地価格",1,$F$8/$F$141))),"")</f>
        <v>19.136152650549359</v>
      </c>
      <c r="AU37" s="39"/>
      <c r="AV37" s="72">
        <f t="shared" si="26"/>
        <v>29186020387.034172</v>
      </c>
      <c r="AW37" s="72">
        <f t="shared" si="27"/>
        <v>14788315699.611059</v>
      </c>
      <c r="AX37" s="39"/>
      <c r="AY37" s="40">
        <f>IF(ISERROR(IF($K37&lt;=$F$15,VLOOKUP($I37,'表4）CO2価格'!$A$7:$E$67,VLOOKUP($F$48,'表4）CO2価格'!$H$10:$I$12,2,0),0)*$F$8/1000,"")),0,IF($K37&lt;=$F$15,VLOOKUP($I37,'表4）CO2価格'!$A$7:$E$67,VLOOKUP($F$48,'表4）CO2価格'!$H$10:$I$12,2,0),0)*$F$8/1000,""))</f>
        <v>7.1500080975609199</v>
      </c>
      <c r="AZ37" s="39"/>
      <c r="BA37" s="42">
        <f t="shared" si="10"/>
        <v>18160424898.164604</v>
      </c>
      <c r="BB37" s="72">
        <f t="shared" si="28"/>
        <v>9201737443.8771839</v>
      </c>
      <c r="BC37" s="39"/>
      <c r="BD37" s="72">
        <f t="shared" si="11"/>
        <v>0</v>
      </c>
      <c r="BE37" s="72">
        <f t="shared" si="29"/>
        <v>0</v>
      </c>
      <c r="BF37" s="39"/>
      <c r="BG37" s="42">
        <f t="shared" si="12"/>
        <v>0</v>
      </c>
      <c r="BH37" s="72">
        <f t="shared" si="30"/>
        <v>0</v>
      </c>
      <c r="BI37" s="39"/>
      <c r="BJ37" s="40" t="str">
        <f t="shared" si="31"/>
        <v/>
      </c>
      <c r="BK37" s="157" t="str">
        <f t="shared" si="32"/>
        <v/>
      </c>
      <c r="BL37" s="157" t="str">
        <f t="shared" si="13"/>
        <v/>
      </c>
      <c r="BM37" s="72"/>
      <c r="BN37" s="72" t="str">
        <f t="shared" si="33"/>
        <v/>
      </c>
      <c r="BO37" s="72" t="str">
        <f t="shared" si="34"/>
        <v/>
      </c>
      <c r="BP37" s="39"/>
      <c r="BQ37" s="72">
        <f t="shared" si="14"/>
        <v>4056318000</v>
      </c>
      <c r="BR37" s="72">
        <f t="shared" si="35"/>
        <v>2055302859.6068423</v>
      </c>
    </row>
    <row r="38" spans="3:70" x14ac:dyDescent="0.15">
      <c r="C38" s="4" t="s">
        <v>570</v>
      </c>
      <c r="D38" s="100"/>
      <c r="E38" s="100"/>
      <c r="F38" s="4"/>
      <c r="G38" s="100"/>
      <c r="I38" s="322">
        <f t="shared" si="36"/>
        <v>2053</v>
      </c>
      <c r="K38" s="71">
        <f t="shared" si="37"/>
        <v>24</v>
      </c>
      <c r="M38" s="7">
        <f t="shared" si="0"/>
        <v>0.49193373633950943</v>
      </c>
      <c r="O38" s="10">
        <f t="shared" si="15"/>
        <v>0</v>
      </c>
      <c r="P38" s="29" t="str">
        <f t="shared" si="1"/>
        <v>-</v>
      </c>
      <c r="R38" s="10">
        <f t="shared" si="16"/>
        <v>8540000000</v>
      </c>
      <c r="T38" s="10">
        <f t="shared" si="17"/>
        <v>8540000000</v>
      </c>
      <c r="V38" s="10">
        <f t="shared" si="2"/>
        <v>0</v>
      </c>
      <c r="W38" s="10">
        <f t="shared" si="18"/>
        <v>0</v>
      </c>
      <c r="Y38" s="10">
        <f t="shared" si="3"/>
        <v>119560000</v>
      </c>
      <c r="Z38" s="10">
        <f t="shared" si="19"/>
        <v>58815597.516751744</v>
      </c>
      <c r="AB38" s="10">
        <f t="shared" si="4"/>
        <v>0</v>
      </c>
      <c r="AC38" s="10">
        <f t="shared" si="20"/>
        <v>0</v>
      </c>
      <c r="AE38" s="10">
        <f t="shared" si="5"/>
        <v>0</v>
      </c>
      <c r="AF38" s="10">
        <f t="shared" si="21"/>
        <v>0</v>
      </c>
      <c r="AH38" s="10">
        <f t="shared" si="6"/>
        <v>440000000.00000006</v>
      </c>
      <c r="AI38" s="10">
        <f t="shared" si="22"/>
        <v>216450843.98938417</v>
      </c>
      <c r="AK38" s="10">
        <f t="shared" si="7"/>
        <v>4099200000</v>
      </c>
      <c r="AL38" s="10">
        <f t="shared" si="23"/>
        <v>2016534772.0029171</v>
      </c>
      <c r="AN38" s="10">
        <f t="shared" si="8"/>
        <v>3757600000</v>
      </c>
      <c r="AO38" s="10">
        <f t="shared" si="24"/>
        <v>1848490207.6693406</v>
      </c>
      <c r="AQ38" s="10">
        <f t="shared" si="9"/>
        <v>1012209600</v>
      </c>
      <c r="AR38" s="10">
        <f t="shared" si="25"/>
        <v>497940050.48672032</v>
      </c>
      <c r="AT38" s="678">
        <f>IF($K38&lt;=$F$15,IF($F$40&lt;&gt;"",$F$40/1000,IF(ISERROR(VLOOKUP($F$3&amp;IF($G$4&lt;&gt;"",$G$4,"")&amp;IF($F$43&lt;&gt;"","_"&amp;$F$43,""),'表3）燃料価格'!$AF$9:$AG$25,2,0)),0,VLOOKUP($I38,'表3）燃料価格'!$A$5:$AC$56,VLOOKUP($F$3&amp;IF($G$4&lt;&gt;"",$G$4,"")&amp;IF($F$43&lt;&gt;"","_"&amp;$F$43,""),'表3）燃料価格'!$AF$9:$AG$25,2,0)+VLOOKUP($F$41,'表3）燃料価格'!$AF$28:$AG$29,2,0),0)*IF($F$43="需要地価格",1,$F$8/$F$141))),"")</f>
        <v>19.12713292722238</v>
      </c>
      <c r="AV38" s="10">
        <f t="shared" si="26"/>
        <v>29173300639.87384</v>
      </c>
      <c r="AW38" s="10">
        <f t="shared" si="27"/>
        <v>14351330785.128939</v>
      </c>
      <c r="AY38" s="40">
        <f>IF(ISERROR(IF($K38&lt;=$F$15,VLOOKUP($I38,'表4）CO2価格'!$A$7:$E$67,VLOOKUP($F$48,'表4）CO2価格'!$H$10:$I$12,2,0),0)*$F$8/1000,"")),0,IF($K38&lt;=$F$15,VLOOKUP($I38,'表4）CO2価格'!$A$7:$E$67,VLOOKUP($F$48,'表4）CO2価格'!$H$10:$I$12,2,0),0)*$F$8/1000,""))</f>
        <v>7.2814714966103056</v>
      </c>
      <c r="BA38" s="11">
        <f t="shared" si="10"/>
        <v>18494330979.488937</v>
      </c>
      <c r="BB38" s="10">
        <f t="shared" si="28"/>
        <v>9097985339.8395329</v>
      </c>
      <c r="BD38" s="10">
        <f t="shared" si="11"/>
        <v>0</v>
      </c>
      <c r="BE38" s="10">
        <f t="shared" si="29"/>
        <v>0</v>
      </c>
      <c r="BG38" s="11">
        <f t="shared" si="12"/>
        <v>0</v>
      </c>
      <c r="BH38" s="10">
        <f t="shared" si="30"/>
        <v>0</v>
      </c>
      <c r="BJ38" s="7" t="str">
        <f t="shared" si="31"/>
        <v/>
      </c>
      <c r="BK38" s="158" t="str">
        <f t="shared" si="32"/>
        <v/>
      </c>
      <c r="BL38" s="158" t="str">
        <f t="shared" si="13"/>
        <v/>
      </c>
      <c r="BM38" s="10"/>
      <c r="BN38" s="10" t="str">
        <f t="shared" si="33"/>
        <v/>
      </c>
      <c r="BO38" s="10" t="str">
        <f t="shared" si="34"/>
        <v/>
      </c>
      <c r="BQ38" s="10">
        <f t="shared" si="14"/>
        <v>4056318000</v>
      </c>
      <c r="BR38" s="10">
        <f t="shared" si="35"/>
        <v>1995439669.5212061</v>
      </c>
    </row>
    <row r="39" spans="3:70" x14ac:dyDescent="0.15">
      <c r="I39" s="38">
        <f t="shared" si="36"/>
        <v>2054</v>
      </c>
      <c r="J39" s="39"/>
      <c r="K39" s="39">
        <f t="shared" si="37"/>
        <v>25</v>
      </c>
      <c r="L39" s="39"/>
      <c r="M39" s="40">
        <f t="shared" si="0"/>
        <v>0.47760556926165965</v>
      </c>
      <c r="N39" s="39"/>
      <c r="O39" s="72">
        <f t="shared" si="15"/>
        <v>0</v>
      </c>
      <c r="P39" s="41" t="str">
        <f t="shared" si="1"/>
        <v>-</v>
      </c>
      <c r="Q39" s="39"/>
      <c r="R39" s="72">
        <f t="shared" si="16"/>
        <v>8540000000</v>
      </c>
      <c r="S39" s="39"/>
      <c r="T39" s="72">
        <f t="shared" si="17"/>
        <v>8540000000</v>
      </c>
      <c r="U39" s="39"/>
      <c r="V39" s="72">
        <f t="shared" si="2"/>
        <v>0</v>
      </c>
      <c r="W39" s="72">
        <f t="shared" si="18"/>
        <v>0</v>
      </c>
      <c r="X39" s="39"/>
      <c r="Y39" s="72">
        <f t="shared" si="3"/>
        <v>119560000</v>
      </c>
      <c r="Z39" s="72">
        <f t="shared" si="19"/>
        <v>57102521.860924028</v>
      </c>
      <c r="AA39" s="39"/>
      <c r="AB39" s="72">
        <f t="shared" si="4"/>
        <v>0</v>
      </c>
      <c r="AC39" s="72">
        <f t="shared" si="20"/>
        <v>0</v>
      </c>
      <c r="AD39" s="39"/>
      <c r="AE39" s="72">
        <f t="shared" si="5"/>
        <v>0</v>
      </c>
      <c r="AF39" s="72">
        <f t="shared" si="21"/>
        <v>0</v>
      </c>
      <c r="AG39" s="39"/>
      <c r="AH39" s="72">
        <f t="shared" si="6"/>
        <v>440000000.00000006</v>
      </c>
      <c r="AI39" s="72">
        <f t="shared" si="22"/>
        <v>210146450.47513026</v>
      </c>
      <c r="AJ39" s="39"/>
      <c r="AK39" s="72">
        <f t="shared" si="7"/>
        <v>4099200000</v>
      </c>
      <c r="AL39" s="72">
        <f t="shared" si="23"/>
        <v>1957800749.5173953</v>
      </c>
      <c r="AM39" s="39"/>
      <c r="AN39" s="72">
        <f t="shared" si="8"/>
        <v>3757600000</v>
      </c>
      <c r="AO39" s="72">
        <f t="shared" si="24"/>
        <v>1794650687.0576122</v>
      </c>
      <c r="AP39" s="39"/>
      <c r="AQ39" s="72">
        <f t="shared" si="9"/>
        <v>1012209600</v>
      </c>
      <c r="AR39" s="72">
        <f t="shared" si="25"/>
        <v>483436942.22011679</v>
      </c>
      <c r="AS39" s="39"/>
      <c r="AT39" s="40">
        <f>IF($K39&lt;=$F$15,IF($F$40&lt;&gt;"",$F$40/1000,IF(ISERROR(VLOOKUP($F$3&amp;IF($G$4&lt;&gt;"",$G$4,"")&amp;IF($F$43&lt;&gt;"","_"&amp;$F$43,""),'表3）燃料価格'!$AF$9:$AG$25,2,0)),0,VLOOKUP($I39,'表3）燃料価格'!$A$5:$AC$56,VLOOKUP($F$3&amp;IF($G$4&lt;&gt;"",$G$4,"")&amp;IF($F$43&lt;&gt;"","_"&amp;$F$43,""),'表3）燃料価格'!$AF$9:$AG$25,2,0)+VLOOKUP($F$41,'表3）燃料価格'!$AF$28:$AG$29,2,0),0)*IF($F$43="需要地価格",1,$F$8/$F$141))),"")</f>
        <v>19.118341576033849</v>
      </c>
      <c r="AU39" s="39"/>
      <c r="AV39" s="72">
        <f t="shared" si="26"/>
        <v>29160902946.478821</v>
      </c>
      <c r="AW39" s="72">
        <f t="shared" si="27"/>
        <v>13927409651.937025</v>
      </c>
      <c r="AX39" s="39"/>
      <c r="AY39" s="40">
        <f>IF(ISERROR(IF($K39&lt;=$F$15,VLOOKUP($I39,'表4）CO2価格'!$A$7:$E$67,VLOOKUP($F$48,'表4）CO2価格'!$H$10:$I$12,2,0),0)*$F$8/1000,"")),0,IF($K39&lt;=$F$15,VLOOKUP($I39,'表4）CO2価格'!$A$7:$E$67,VLOOKUP($F$48,'表4）CO2価格'!$H$10:$I$12,2,0),0)*$F$8/1000,""))</f>
        <v>7.4128708764708131</v>
      </c>
      <c r="AZ39" s="39"/>
      <c r="BA39" s="42">
        <f t="shared" si="10"/>
        <v>18828074457.406979</v>
      </c>
      <c r="BB39" s="72">
        <f t="shared" si="28"/>
        <v>8992393219.3307743</v>
      </c>
      <c r="BC39" s="39"/>
      <c r="BD39" s="72">
        <f t="shared" si="11"/>
        <v>0</v>
      </c>
      <c r="BE39" s="72">
        <f t="shared" si="29"/>
        <v>0</v>
      </c>
      <c r="BF39" s="39"/>
      <c r="BG39" s="42">
        <f t="shared" si="12"/>
        <v>0</v>
      </c>
      <c r="BH39" s="72">
        <f t="shared" si="30"/>
        <v>0</v>
      </c>
      <c r="BI39" s="39"/>
      <c r="BJ39" s="40" t="str">
        <f t="shared" si="31"/>
        <v/>
      </c>
      <c r="BK39" s="157" t="str">
        <f t="shared" si="32"/>
        <v/>
      </c>
      <c r="BL39" s="157" t="str">
        <f t="shared" si="13"/>
        <v/>
      </c>
      <c r="BM39" s="72"/>
      <c r="BN39" s="72" t="str">
        <f t="shared" si="33"/>
        <v/>
      </c>
      <c r="BO39" s="72" t="str">
        <f t="shared" si="34"/>
        <v/>
      </c>
      <c r="BP39" s="39"/>
      <c r="BQ39" s="72">
        <f t="shared" si="14"/>
        <v>4056318000</v>
      </c>
      <c r="BR39" s="72">
        <f t="shared" si="35"/>
        <v>1937320067.4963167</v>
      </c>
    </row>
    <row r="40" spans="3:70" x14ac:dyDescent="0.15">
      <c r="D40" s="84" t="s">
        <v>124</v>
      </c>
      <c r="F40" s="481"/>
      <c r="G40" s="160" t="s">
        <v>571</v>
      </c>
      <c r="I40" s="322">
        <f t="shared" si="36"/>
        <v>2055</v>
      </c>
      <c r="K40" s="71">
        <f t="shared" si="37"/>
        <v>26</v>
      </c>
      <c r="M40" s="7">
        <f t="shared" si="0"/>
        <v>0.46369472743850448</v>
      </c>
      <c r="O40" s="10">
        <f t="shared" si="15"/>
        <v>0</v>
      </c>
      <c r="P40" s="29" t="str">
        <f t="shared" si="1"/>
        <v>-</v>
      </c>
      <c r="R40" s="10">
        <f t="shared" si="16"/>
        <v>8540000000</v>
      </c>
      <c r="T40" s="10">
        <f t="shared" si="17"/>
        <v>8540000000</v>
      </c>
      <c r="V40" s="10">
        <f t="shared" si="2"/>
        <v>0</v>
      </c>
      <c r="W40" s="10">
        <f t="shared" si="18"/>
        <v>0</v>
      </c>
      <c r="Y40" s="10">
        <f t="shared" si="3"/>
        <v>119560000</v>
      </c>
      <c r="Z40" s="10">
        <f t="shared" si="19"/>
        <v>55439341.612547599</v>
      </c>
      <c r="AB40" s="10">
        <f t="shared" si="4"/>
        <v>0</v>
      </c>
      <c r="AC40" s="10">
        <f t="shared" si="20"/>
        <v>0</v>
      </c>
      <c r="AE40" s="10">
        <f t="shared" si="5"/>
        <v>0</v>
      </c>
      <c r="AF40" s="10">
        <f t="shared" si="21"/>
        <v>0</v>
      </c>
      <c r="AH40" s="10">
        <f t="shared" si="6"/>
        <v>440000000.00000006</v>
      </c>
      <c r="AI40" s="10">
        <f t="shared" si="22"/>
        <v>204025680.07294199</v>
      </c>
      <c r="AK40" s="10">
        <f t="shared" si="7"/>
        <v>4099200000</v>
      </c>
      <c r="AL40" s="10">
        <f t="shared" si="23"/>
        <v>1900777426.7159176</v>
      </c>
      <c r="AN40" s="10">
        <f t="shared" si="8"/>
        <v>3757600000</v>
      </c>
      <c r="AO40" s="10">
        <f t="shared" si="24"/>
        <v>1742379307.8229244</v>
      </c>
      <c r="AQ40" s="10">
        <f t="shared" si="9"/>
        <v>1012209600</v>
      </c>
      <c r="AR40" s="10">
        <f t="shared" si="25"/>
        <v>469356254.58263767</v>
      </c>
      <c r="AT40" s="678">
        <f>IF($K40&lt;=$F$15,IF($F$40&lt;&gt;"",$F$40/1000,IF(ISERROR(VLOOKUP($F$3&amp;IF($G$4&lt;&gt;"",$G$4,"")&amp;IF($F$43&lt;&gt;"","_"&amp;$F$43,""),'表3）燃料価格'!$AF$9:$AG$25,2,0)),0,VLOOKUP($I40,'表3）燃料価格'!$A$5:$AC$56,VLOOKUP($F$3&amp;IF($G$4&lt;&gt;"",$G$4,"")&amp;IF($F$43&lt;&gt;"","_"&amp;$F$43,""),'表3）燃料価格'!$AF$9:$AG$25,2,0)+VLOOKUP($F$41,'表3）燃料価格'!$AF$28:$AG$29,2,0),0)*IF($F$43="需要地価格",1,$F$8/$F$141))),"")</f>
        <v>19.10976731758387</v>
      </c>
      <c r="AV40" s="10">
        <f t="shared" si="26"/>
        <v>29148811400.472652</v>
      </c>
      <c r="AW40" s="10">
        <f t="shared" si="27"/>
        <v>13516150157.498539</v>
      </c>
      <c r="AY40" s="40">
        <f>IF(ISERROR(IF($K40&lt;=$F$15,VLOOKUP($I40,'表4）CO2価格'!$A$7:$E$67,VLOOKUP($F$48,'表4）CO2価格'!$H$10:$I$12,2,0),0)*$F$8/1000,"")),0,IF($K40&lt;=$F$15,VLOOKUP($I40,'表4）CO2価格'!$A$7:$E$67,VLOOKUP($F$48,'表4）CO2価格'!$H$10:$I$12,2,0),0)*$F$8/1000,""))</f>
        <v>7.5442062994635668</v>
      </c>
      <c r="BA40" s="11">
        <f t="shared" si="10"/>
        <v>19161655490.209198</v>
      </c>
      <c r="BB40" s="10">
        <f t="shared" si="28"/>
        <v>8885158619.8030777</v>
      </c>
      <c r="BD40" s="10">
        <f t="shared" si="11"/>
        <v>0</v>
      </c>
      <c r="BE40" s="10">
        <f t="shared" si="29"/>
        <v>0</v>
      </c>
      <c r="BG40" s="11">
        <f t="shared" si="12"/>
        <v>0</v>
      </c>
      <c r="BH40" s="10">
        <f t="shared" si="30"/>
        <v>0</v>
      </c>
      <c r="BJ40" s="7" t="str">
        <f t="shared" si="31"/>
        <v/>
      </c>
      <c r="BK40" s="158" t="str">
        <f t="shared" si="32"/>
        <v/>
      </c>
      <c r="BL40" s="158" t="str">
        <f t="shared" si="13"/>
        <v/>
      </c>
      <c r="BM40" s="10"/>
      <c r="BN40" s="10" t="str">
        <f t="shared" si="33"/>
        <v/>
      </c>
      <c r="BO40" s="10" t="str">
        <f t="shared" si="34"/>
        <v/>
      </c>
      <c r="BQ40" s="10">
        <f t="shared" si="14"/>
        <v>4056318000</v>
      </c>
      <c r="BR40" s="10">
        <f t="shared" si="35"/>
        <v>1880893269.4138997</v>
      </c>
    </row>
    <row r="41" spans="3:70" x14ac:dyDescent="0.15">
      <c r="D41" s="84" t="s">
        <v>572</v>
      </c>
      <c r="F41" s="474" t="str">
        <f>まとめ!B4</f>
        <v>WEO2020　STEPS</v>
      </c>
      <c r="I41" s="38">
        <f t="shared" si="36"/>
        <v>2056</v>
      </c>
      <c r="J41" s="39"/>
      <c r="K41" s="39">
        <f t="shared" si="37"/>
        <v>27</v>
      </c>
      <c r="L41" s="39"/>
      <c r="M41" s="40">
        <f t="shared" si="0"/>
        <v>0.45018905576553836</v>
      </c>
      <c r="N41" s="39"/>
      <c r="O41" s="72">
        <f t="shared" si="15"/>
        <v>0</v>
      </c>
      <c r="P41" s="41" t="str">
        <f t="shared" si="1"/>
        <v>-</v>
      </c>
      <c r="Q41" s="39"/>
      <c r="R41" s="72">
        <f t="shared" si="16"/>
        <v>8540000000</v>
      </c>
      <c r="S41" s="39"/>
      <c r="T41" s="72">
        <f t="shared" si="17"/>
        <v>8540000000</v>
      </c>
      <c r="U41" s="39"/>
      <c r="V41" s="72">
        <f t="shared" si="2"/>
        <v>0</v>
      </c>
      <c r="W41" s="72">
        <f t="shared" si="18"/>
        <v>0</v>
      </c>
      <c r="X41" s="39"/>
      <c r="Y41" s="72">
        <f t="shared" si="3"/>
        <v>119560000</v>
      </c>
      <c r="Z41" s="72">
        <f t="shared" si="19"/>
        <v>53824603.507327765</v>
      </c>
      <c r="AA41" s="39"/>
      <c r="AB41" s="72">
        <f t="shared" si="4"/>
        <v>0</v>
      </c>
      <c r="AC41" s="72">
        <f t="shared" si="20"/>
        <v>0</v>
      </c>
      <c r="AD41" s="39"/>
      <c r="AE41" s="72">
        <f t="shared" si="5"/>
        <v>0</v>
      </c>
      <c r="AF41" s="72">
        <f t="shared" si="21"/>
        <v>0</v>
      </c>
      <c r="AG41" s="39"/>
      <c r="AH41" s="72">
        <f t="shared" si="6"/>
        <v>440000000.00000006</v>
      </c>
      <c r="AI41" s="72">
        <f t="shared" si="22"/>
        <v>198083184.53683689</v>
      </c>
      <c r="AJ41" s="39"/>
      <c r="AK41" s="72">
        <f t="shared" si="7"/>
        <v>4099200000</v>
      </c>
      <c r="AL41" s="72">
        <f t="shared" si="23"/>
        <v>1845414977.3940949</v>
      </c>
      <c r="AM41" s="39"/>
      <c r="AN41" s="72">
        <f t="shared" si="8"/>
        <v>3757600000</v>
      </c>
      <c r="AO41" s="72">
        <f t="shared" si="24"/>
        <v>1691630395.944587</v>
      </c>
      <c r="AP41" s="39"/>
      <c r="AQ41" s="72">
        <f t="shared" si="9"/>
        <v>1012209600</v>
      </c>
      <c r="AR41" s="72">
        <f t="shared" si="25"/>
        <v>455685684.06081325</v>
      </c>
      <c r="AS41" s="39"/>
      <c r="AT41" s="40">
        <f>IF($K41&lt;=$F$15,IF($F$40&lt;&gt;"",$F$40/1000,IF(ISERROR(VLOOKUP($F$3&amp;IF($G$4&lt;&gt;"",$G$4,"")&amp;IF($F$43&lt;&gt;"","_"&amp;$F$43,""),'表3）燃料価格'!$AF$9:$AG$25,2,0)),0,VLOOKUP($I41,'表3）燃料価格'!$A$5:$AC$56,VLOOKUP($F$3&amp;IF($G$4&lt;&gt;"",$G$4,"")&amp;IF($F$43&lt;&gt;"","_"&amp;$F$43,""),'表3）燃料価格'!$AF$9:$AG$25,2,0)+VLOOKUP($F$41,'表3）燃料価格'!$AF$28:$AG$29,2,0),0)*IF($F$43="需要地価格",1,$F$8/$F$141))),"")</f>
        <v>19.101399688014723</v>
      </c>
      <c r="AU41" s="39"/>
      <c r="AV41" s="72">
        <f t="shared" si="26"/>
        <v>29137011245.568508</v>
      </c>
      <c r="AW41" s="72">
        <f t="shared" si="27"/>
        <v>13117163580.472359</v>
      </c>
      <c r="AX41" s="39"/>
      <c r="AY41" s="40">
        <f>IF(ISERROR(IF($K41&lt;=$F$15,VLOOKUP($I41,'表4）CO2価格'!$A$7:$E$67,VLOOKUP($F$48,'表4）CO2価格'!$H$10:$I$12,2,0),0)*$F$8/1000,"")),0,IF($K41&lt;=$F$15,VLOOKUP($I41,'表4）CO2価格'!$A$7:$E$67,VLOOKUP($F$48,'表4）CO2価格'!$H$10:$I$12,2,0),0)*$F$8/1000,""))</f>
        <v>7.675477827818213</v>
      </c>
      <c r="AZ41" s="39"/>
      <c r="BA41" s="42">
        <f t="shared" si="10"/>
        <v>19495074235.953705</v>
      </c>
      <c r="BB41" s="72">
        <f t="shared" si="28"/>
        <v>8776469062.3630733</v>
      </c>
      <c r="BC41" s="39"/>
      <c r="BD41" s="72">
        <f t="shared" si="11"/>
        <v>0</v>
      </c>
      <c r="BE41" s="72">
        <f t="shared" si="29"/>
        <v>0</v>
      </c>
      <c r="BF41" s="39"/>
      <c r="BG41" s="42">
        <f t="shared" si="12"/>
        <v>0</v>
      </c>
      <c r="BH41" s="72">
        <f t="shared" si="30"/>
        <v>0</v>
      </c>
      <c r="BI41" s="39"/>
      <c r="BJ41" s="40" t="str">
        <f t="shared" si="31"/>
        <v/>
      </c>
      <c r="BK41" s="157" t="str">
        <f t="shared" si="32"/>
        <v/>
      </c>
      <c r="BL41" s="157" t="str">
        <f t="shared" si="13"/>
        <v/>
      </c>
      <c r="BM41" s="72"/>
      <c r="BN41" s="72" t="str">
        <f t="shared" si="33"/>
        <v/>
      </c>
      <c r="BO41" s="72" t="str">
        <f t="shared" si="34"/>
        <v/>
      </c>
      <c r="BP41" s="39"/>
      <c r="BQ41" s="72">
        <f t="shared" si="14"/>
        <v>4056318000</v>
      </c>
      <c r="BR41" s="72">
        <f t="shared" si="35"/>
        <v>1826109970.3047571</v>
      </c>
    </row>
    <row r="42" spans="3:70" x14ac:dyDescent="0.15">
      <c r="D42" s="84" t="s">
        <v>573</v>
      </c>
      <c r="F42" s="481">
        <v>1560</v>
      </c>
      <c r="G42" s="84" t="s">
        <v>574</v>
      </c>
      <c r="I42" s="322">
        <f t="shared" si="36"/>
        <v>2057</v>
      </c>
      <c r="K42" s="71">
        <f t="shared" si="37"/>
        <v>28</v>
      </c>
      <c r="M42" s="7">
        <f t="shared" si="0"/>
        <v>0.4370767531704256</v>
      </c>
      <c r="O42" s="10">
        <f t="shared" si="15"/>
        <v>0</v>
      </c>
      <c r="P42" s="29" t="str">
        <f t="shared" si="1"/>
        <v>-</v>
      </c>
      <c r="R42" s="10">
        <f t="shared" si="16"/>
        <v>8540000000</v>
      </c>
      <c r="T42" s="10">
        <f t="shared" si="17"/>
        <v>8540000000</v>
      </c>
      <c r="V42" s="10">
        <f t="shared" si="2"/>
        <v>0</v>
      </c>
      <c r="W42" s="10">
        <f t="shared" si="18"/>
        <v>0</v>
      </c>
      <c r="Y42" s="10">
        <f t="shared" si="3"/>
        <v>119560000</v>
      </c>
      <c r="Z42" s="10">
        <f t="shared" si="19"/>
        <v>52256896.609056085</v>
      </c>
      <c r="AB42" s="10">
        <f t="shared" si="4"/>
        <v>0</v>
      </c>
      <c r="AC42" s="10">
        <f t="shared" si="20"/>
        <v>0</v>
      </c>
      <c r="AE42" s="10">
        <f t="shared" si="5"/>
        <v>0</v>
      </c>
      <c r="AF42" s="10">
        <f t="shared" si="21"/>
        <v>0</v>
      </c>
      <c r="AH42" s="10">
        <f t="shared" si="6"/>
        <v>440000000.00000006</v>
      </c>
      <c r="AI42" s="10">
        <f t="shared" si="22"/>
        <v>192313771.39498729</v>
      </c>
      <c r="AK42" s="10">
        <f t="shared" si="7"/>
        <v>4099200000</v>
      </c>
      <c r="AL42" s="10">
        <f t="shared" si="23"/>
        <v>1791665026.5962086</v>
      </c>
      <c r="AN42" s="10">
        <f t="shared" si="8"/>
        <v>3757600000</v>
      </c>
      <c r="AO42" s="10">
        <f t="shared" si="24"/>
        <v>1642359607.7131913</v>
      </c>
      <c r="AQ42" s="10">
        <f t="shared" si="9"/>
        <v>1012209600</v>
      </c>
      <c r="AR42" s="10">
        <f t="shared" si="25"/>
        <v>442413285.4959352</v>
      </c>
      <c r="AT42" s="678">
        <f>IF($K42&lt;=$F$15,IF($F$40&lt;&gt;"",$F$40/1000,IF(ISERROR(VLOOKUP($F$3&amp;IF($G$4&lt;&gt;"",$G$4,"")&amp;IF($F$43&lt;&gt;"","_"&amp;$F$43,""),'表3）燃料価格'!$AF$9:$AG$25,2,0)),0,VLOOKUP($I42,'表3）燃料価格'!$A$5:$AC$56,VLOOKUP($F$3&amp;IF($G$4&lt;&gt;"",$G$4,"")&amp;IF($F$43&lt;&gt;"","_"&amp;$F$43,""),'表3）燃料価格'!$AF$9:$AG$25,2,0)+VLOOKUP($F$41,'表3）燃料価格'!$AF$28:$AG$29,2,0),0)*IF($F$43="需要地価格",1,$F$8/$F$141))),"")</f>
        <v>19.093228962235376</v>
      </c>
      <c r="AV42" s="10">
        <f t="shared" si="26"/>
        <v>29125488767.299267</v>
      </c>
      <c r="AW42" s="10">
        <f t="shared" si="27"/>
        <v>12730074064.912865</v>
      </c>
      <c r="AY42" s="40">
        <f>IF(ISERROR(IF($K42&lt;=$F$15,VLOOKUP($I42,'表4）CO2価格'!$A$7:$E$67,VLOOKUP($F$48,'表4）CO2価格'!$H$10:$I$12,2,0),0)*$F$8/1000,"")),0,IF($K42&lt;=$F$15,VLOOKUP($I42,'表4）CO2価格'!$A$7:$E$67,VLOOKUP($F$48,'表4）CO2価格'!$H$10:$I$12,2,0),0)*$F$8/1000,""))</f>
        <v>7.8066855236744779</v>
      </c>
      <c r="BA42" s="11">
        <f t="shared" si="10"/>
        <v>19828330852.47023</v>
      </c>
      <c r="BB42" s="10">
        <f t="shared" si="28"/>
        <v>8666502469.786665</v>
      </c>
      <c r="BD42" s="10">
        <f t="shared" si="11"/>
        <v>0</v>
      </c>
      <c r="BE42" s="10">
        <f t="shared" si="29"/>
        <v>0</v>
      </c>
      <c r="BG42" s="11">
        <f t="shared" si="12"/>
        <v>0</v>
      </c>
      <c r="BH42" s="10">
        <f t="shared" si="30"/>
        <v>0</v>
      </c>
      <c r="BJ42" s="7" t="str">
        <f t="shared" si="31"/>
        <v/>
      </c>
      <c r="BK42" s="158" t="str">
        <f t="shared" si="32"/>
        <v/>
      </c>
      <c r="BL42" s="158" t="str">
        <f t="shared" si="13"/>
        <v/>
      </c>
      <c r="BM42" s="10"/>
      <c r="BN42" s="10" t="str">
        <f t="shared" si="33"/>
        <v/>
      </c>
      <c r="BO42" s="10" t="str">
        <f t="shared" si="34"/>
        <v/>
      </c>
      <c r="BQ42" s="10">
        <f t="shared" si="14"/>
        <v>4056318000</v>
      </c>
      <c r="BR42" s="10">
        <f t="shared" si="35"/>
        <v>1772922301.2667544</v>
      </c>
    </row>
    <row r="43" spans="3:70" x14ac:dyDescent="0.15">
      <c r="D43" s="160" t="s">
        <v>126</v>
      </c>
      <c r="F43" s="474"/>
      <c r="I43" s="38">
        <f t="shared" si="36"/>
        <v>2058</v>
      </c>
      <c r="J43" s="39"/>
      <c r="K43" s="39">
        <f t="shared" si="37"/>
        <v>29</v>
      </c>
      <c r="L43" s="39"/>
      <c r="M43" s="40">
        <f t="shared" si="0"/>
        <v>0.42434636230138412</v>
      </c>
      <c r="N43" s="39"/>
      <c r="O43" s="72">
        <f t="shared" si="15"/>
        <v>0</v>
      </c>
      <c r="P43" s="41" t="str">
        <f t="shared" si="1"/>
        <v>-</v>
      </c>
      <c r="Q43" s="39"/>
      <c r="R43" s="72">
        <f t="shared" si="16"/>
        <v>8540000000</v>
      </c>
      <c r="S43" s="39"/>
      <c r="T43" s="72">
        <f t="shared" si="17"/>
        <v>8540000000</v>
      </c>
      <c r="U43" s="39"/>
      <c r="V43" s="72">
        <f t="shared" si="2"/>
        <v>0</v>
      </c>
      <c r="W43" s="72">
        <f t="shared" si="18"/>
        <v>0</v>
      </c>
      <c r="X43" s="39"/>
      <c r="Y43" s="72">
        <f t="shared" si="3"/>
        <v>119560000</v>
      </c>
      <c r="Z43" s="72">
        <f t="shared" si="19"/>
        <v>50734851.076753482</v>
      </c>
      <c r="AA43" s="39"/>
      <c r="AB43" s="72">
        <f t="shared" si="4"/>
        <v>0</v>
      </c>
      <c r="AC43" s="72">
        <f t="shared" si="20"/>
        <v>0</v>
      </c>
      <c r="AD43" s="39"/>
      <c r="AE43" s="72">
        <f t="shared" si="5"/>
        <v>0</v>
      </c>
      <c r="AF43" s="72">
        <f t="shared" si="21"/>
        <v>0</v>
      </c>
      <c r="AG43" s="39"/>
      <c r="AH43" s="72">
        <f t="shared" si="6"/>
        <v>440000000.00000006</v>
      </c>
      <c r="AI43" s="72">
        <f t="shared" si="22"/>
        <v>186712399.41260904</v>
      </c>
      <c r="AJ43" s="39"/>
      <c r="AK43" s="72">
        <f t="shared" si="7"/>
        <v>4099200000</v>
      </c>
      <c r="AL43" s="72">
        <f t="shared" si="23"/>
        <v>1739480608.3458338</v>
      </c>
      <c r="AM43" s="39"/>
      <c r="AN43" s="72">
        <f t="shared" si="8"/>
        <v>3757600000</v>
      </c>
      <c r="AO43" s="72">
        <f t="shared" si="24"/>
        <v>1594523890.983681</v>
      </c>
      <c r="AP43" s="39"/>
      <c r="AQ43" s="72">
        <f t="shared" si="9"/>
        <v>1012209600</v>
      </c>
      <c r="AR43" s="72">
        <f t="shared" si="25"/>
        <v>429527461.64653909</v>
      </c>
      <c r="AS43" s="39"/>
      <c r="AT43" s="40">
        <f>IF($K43&lt;=$F$15,IF($F$40&lt;&gt;"",$F$40/1000,IF(ISERROR(VLOOKUP($F$3&amp;IF($G$4&lt;&gt;"",$G$4,"")&amp;IF($F$43&lt;&gt;"","_"&amp;$F$43,""),'表3）燃料価格'!$AF$9:$AG$25,2,0)),0,VLOOKUP($I43,'表3）燃料価格'!$A$5:$AC$56,VLOOKUP($F$3&amp;IF($G$4&lt;&gt;"",$G$4,"")&amp;IF($F$43&lt;&gt;"","_"&amp;$F$43,""),'表3）燃料価格'!$AF$9:$AG$25,2,0)+VLOOKUP($F$41,'表3）燃料価格'!$AF$28:$AG$29,2,0),0)*IF($F$43="需要地価格",1,$F$8/$F$141))),"")</f>
        <v>19.085246085973186</v>
      </c>
      <c r="AU43" s="39"/>
      <c r="AV43" s="72">
        <f t="shared" si="26"/>
        <v>29114231197.195805</v>
      </c>
      <c r="AW43" s="72">
        <f t="shared" si="27"/>
        <v>12354518099.731512</v>
      </c>
      <c r="AX43" s="39"/>
      <c r="AY43" s="40">
        <f>IF(ISERROR(IF($K43&lt;=$F$15,VLOOKUP($I43,'表4）CO2価格'!$A$7:$E$67,VLOOKUP($F$48,'表4）CO2価格'!$H$10:$I$12,2,0),0)*$F$8/1000,"")),0,IF($K43&lt;=$F$15,VLOOKUP($I43,'表4）CO2価格'!$A$7:$E$67,VLOOKUP($F$48,'表4）CO2価格'!$H$10:$I$12,2,0),0)*$F$8/1000,""))</f>
        <v>7.9378294490802217</v>
      </c>
      <c r="AZ43" s="39"/>
      <c r="BA43" s="42">
        <f t="shared" si="10"/>
        <v>20161425497.355175</v>
      </c>
      <c r="BB43" s="72">
        <f t="shared" si="28"/>
        <v>8555427568.6130428</v>
      </c>
      <c r="BC43" s="39"/>
      <c r="BD43" s="72">
        <f t="shared" si="11"/>
        <v>0</v>
      </c>
      <c r="BE43" s="72">
        <f t="shared" si="29"/>
        <v>0</v>
      </c>
      <c r="BF43" s="39"/>
      <c r="BG43" s="42">
        <f t="shared" si="12"/>
        <v>0</v>
      </c>
      <c r="BH43" s="72">
        <f t="shared" si="30"/>
        <v>0</v>
      </c>
      <c r="BI43" s="39"/>
      <c r="BJ43" s="40" t="str">
        <f t="shared" si="31"/>
        <v/>
      </c>
      <c r="BK43" s="157" t="str">
        <f t="shared" si="32"/>
        <v/>
      </c>
      <c r="BL43" s="157" t="str">
        <f t="shared" si="13"/>
        <v/>
      </c>
      <c r="BM43" s="72"/>
      <c r="BN43" s="72" t="str">
        <f t="shared" si="33"/>
        <v/>
      </c>
      <c r="BO43" s="72" t="str">
        <f t="shared" si="34"/>
        <v/>
      </c>
      <c r="BP43" s="39"/>
      <c r="BQ43" s="72">
        <f t="shared" si="14"/>
        <v>4056318000</v>
      </c>
      <c r="BR43" s="72">
        <f t="shared" si="35"/>
        <v>1721283787.6376259</v>
      </c>
    </row>
    <row r="44" spans="3:70" x14ac:dyDescent="0.15">
      <c r="I44" s="322">
        <f t="shared" si="36"/>
        <v>2059</v>
      </c>
      <c r="K44" s="71">
        <f t="shared" si="37"/>
        <v>30</v>
      </c>
      <c r="M44" s="7">
        <f t="shared" si="0"/>
        <v>0.41198675951590691</v>
      </c>
      <c r="O44" s="10">
        <f t="shared" si="15"/>
        <v>0</v>
      </c>
      <c r="P44" s="29" t="str">
        <f t="shared" si="1"/>
        <v>-</v>
      </c>
      <c r="R44" s="10">
        <f t="shared" si="16"/>
        <v>8540000000</v>
      </c>
      <c r="T44" s="10">
        <f t="shared" si="17"/>
        <v>8540000000</v>
      </c>
      <c r="V44" s="10">
        <f t="shared" si="2"/>
        <v>0</v>
      </c>
      <c r="W44" s="10">
        <f t="shared" si="18"/>
        <v>0</v>
      </c>
      <c r="Y44" s="10">
        <f t="shared" si="3"/>
        <v>119560000</v>
      </c>
      <c r="Z44" s="10">
        <f t="shared" si="19"/>
        <v>49257136.967721827</v>
      </c>
      <c r="AB44" s="10">
        <f t="shared" si="4"/>
        <v>0</v>
      </c>
      <c r="AC44" s="10">
        <f t="shared" si="20"/>
        <v>0</v>
      </c>
      <c r="AE44" s="10">
        <f t="shared" si="5"/>
        <v>0</v>
      </c>
      <c r="AF44" s="10">
        <f t="shared" si="21"/>
        <v>0</v>
      </c>
      <c r="AH44" s="10">
        <f t="shared" si="6"/>
        <v>440000000.00000006</v>
      </c>
      <c r="AI44" s="10">
        <f t="shared" si="22"/>
        <v>181274174.18699905</v>
      </c>
      <c r="AK44" s="10">
        <f t="shared" si="7"/>
        <v>4099200000</v>
      </c>
      <c r="AL44" s="10">
        <f t="shared" si="23"/>
        <v>1688816124.6076057</v>
      </c>
      <c r="AN44" s="10">
        <f t="shared" si="8"/>
        <v>3757600000</v>
      </c>
      <c r="AO44" s="10">
        <f t="shared" si="24"/>
        <v>1548081447.5569718</v>
      </c>
      <c r="AQ44" s="10">
        <f t="shared" si="9"/>
        <v>1012209600</v>
      </c>
      <c r="AR44" s="10">
        <f t="shared" si="25"/>
        <v>417016953.0548923</v>
      </c>
      <c r="AT44" s="678">
        <f>IF($K44&lt;=$F$15,IF($F$40&lt;&gt;"",$F$40/1000,IF(ISERROR(VLOOKUP($F$3&amp;IF($G$4&lt;&gt;"",$G$4,"")&amp;IF($F$43&lt;&gt;"","_"&amp;$F$43,""),'表3）燃料価格'!$AF$9:$AG$25,2,0)),0,VLOOKUP($I44,'表3）燃料価格'!$A$5:$AC$56,VLOOKUP($F$3&amp;IF($G$4&lt;&gt;"",$G$4,"")&amp;IF($F$43&lt;&gt;"","_"&amp;$F$43,""),'表3）燃料価格'!$AF$9:$AG$25,2,0)+VLOOKUP($F$41,'表3）燃料価格'!$AF$28:$AG$29,2,0),0)*IF($F$43="需要地価格",1,$F$8/$F$141))),"")</f>
        <v>19.077442615462342</v>
      </c>
      <c r="AV44" s="10">
        <f t="shared" si="26"/>
        <v>29103226627.734772</v>
      </c>
      <c r="AW44" s="10">
        <f t="shared" si="27"/>
        <v>11990144029.817503</v>
      </c>
      <c r="AY44" s="40">
        <f>IF(ISERROR(IF($K44&lt;=$F$15,VLOOKUP($I44,'表4）CO2価格'!$A$7:$E$67,VLOOKUP($F$48,'表4）CO2価格'!$H$10:$I$12,2,0),0)*$F$8/1000,"")),0,IF($K44&lt;=$F$15,VLOOKUP($I44,'表4）CO2価格'!$A$7:$E$67,VLOOKUP($F$48,'表4）CO2価格'!$H$10:$I$12,2,0),0)*$F$8/1000,""))</f>
        <v>8.0689096659945534</v>
      </c>
      <c r="BA44" s="11">
        <f t="shared" si="10"/>
        <v>20494358327.979504</v>
      </c>
      <c r="BB44" s="10">
        <f t="shared" si="28"/>
        <v>8443404275.9021158</v>
      </c>
      <c r="BD44" s="10">
        <f t="shared" si="11"/>
        <v>0</v>
      </c>
      <c r="BE44" s="10">
        <f t="shared" si="29"/>
        <v>0</v>
      </c>
      <c r="BG44" s="11">
        <f t="shared" si="12"/>
        <v>0</v>
      </c>
      <c r="BH44" s="10">
        <f t="shared" si="30"/>
        <v>0</v>
      </c>
      <c r="BJ44" s="7" t="str">
        <f t="shared" si="31"/>
        <v/>
      </c>
      <c r="BK44" s="158" t="str">
        <f t="shared" si="32"/>
        <v/>
      </c>
      <c r="BL44" s="158" t="str">
        <f t="shared" si="13"/>
        <v/>
      </c>
      <c r="BM44" s="10"/>
      <c r="BN44" s="10" t="str">
        <f t="shared" si="33"/>
        <v/>
      </c>
      <c r="BO44" s="10" t="str">
        <f t="shared" si="34"/>
        <v/>
      </c>
      <c r="BQ44" s="10">
        <f t="shared" si="14"/>
        <v>4056318000</v>
      </c>
      <c r="BR44" s="10">
        <f t="shared" si="35"/>
        <v>1671149308.3860445</v>
      </c>
    </row>
    <row r="45" spans="3:70" x14ac:dyDescent="0.15">
      <c r="C45" s="4" t="s">
        <v>575</v>
      </c>
      <c r="D45" s="100"/>
      <c r="E45" s="100"/>
      <c r="F45" s="4"/>
      <c r="G45" s="100"/>
      <c r="I45" s="38">
        <f t="shared" si="36"/>
        <v>2060</v>
      </c>
      <c r="J45" s="39"/>
      <c r="K45" s="39">
        <f t="shared" si="37"/>
        <v>31</v>
      </c>
      <c r="L45" s="39"/>
      <c r="M45" s="40">
        <f t="shared" si="0"/>
        <v>0.39998714516107459</v>
      </c>
      <c r="N45" s="39"/>
      <c r="O45" s="72">
        <f t="shared" si="15"/>
        <v>0</v>
      </c>
      <c r="P45" s="41" t="str">
        <f t="shared" si="1"/>
        <v>-</v>
      </c>
      <c r="Q45" s="39"/>
      <c r="R45" s="72">
        <f t="shared" si="16"/>
        <v>8540000000</v>
      </c>
      <c r="S45" s="39"/>
      <c r="T45" s="72">
        <f t="shared" si="17"/>
        <v>8540000000</v>
      </c>
      <c r="U45" s="39"/>
      <c r="V45" s="72">
        <f t="shared" si="2"/>
        <v>0</v>
      </c>
      <c r="W45" s="72">
        <f t="shared" si="18"/>
        <v>0</v>
      </c>
      <c r="X45" s="39"/>
      <c r="Y45" s="72">
        <f t="shared" si="3"/>
        <v>119560000</v>
      </c>
      <c r="Z45" s="72">
        <f t="shared" si="19"/>
        <v>47822463.07545808</v>
      </c>
      <c r="AA45" s="39"/>
      <c r="AB45" s="72">
        <f t="shared" si="4"/>
        <v>0</v>
      </c>
      <c r="AC45" s="72">
        <f t="shared" si="20"/>
        <v>0</v>
      </c>
      <c r="AD45" s="39"/>
      <c r="AE45" s="72">
        <f t="shared" si="5"/>
        <v>0</v>
      </c>
      <c r="AF45" s="72">
        <f t="shared" si="21"/>
        <v>0</v>
      </c>
      <c r="AG45" s="39"/>
      <c r="AH45" s="72">
        <f t="shared" si="6"/>
        <v>440000000.00000006</v>
      </c>
      <c r="AI45" s="72">
        <f t="shared" si="22"/>
        <v>175994343.87087286</v>
      </c>
      <c r="AJ45" s="39"/>
      <c r="AK45" s="72">
        <f t="shared" si="7"/>
        <v>4099200000</v>
      </c>
      <c r="AL45" s="72">
        <f t="shared" si="23"/>
        <v>1639627305.444277</v>
      </c>
      <c r="AM45" s="39"/>
      <c r="AN45" s="72">
        <f t="shared" si="8"/>
        <v>3757600000</v>
      </c>
      <c r="AO45" s="72">
        <f t="shared" si="24"/>
        <v>1502991696.657254</v>
      </c>
      <c r="AP45" s="39"/>
      <c r="AQ45" s="72">
        <f t="shared" si="9"/>
        <v>1012209600</v>
      </c>
      <c r="AR45" s="72">
        <f t="shared" si="25"/>
        <v>404870828.20863324</v>
      </c>
      <c r="AS45" s="39"/>
      <c r="AT45" s="40">
        <f>IF($K45&lt;=$F$15,IF($F$40&lt;&gt;"",$F$40/1000,IF(ISERROR(VLOOKUP($F$3&amp;IF($G$4&lt;&gt;"",$G$4,"")&amp;IF($F$43&lt;&gt;"","_"&amp;$F$43,""),'表3）燃料価格'!$AF$9:$AG$25,2,0)),0,VLOOKUP($I45,'表3）燃料価格'!$A$5:$AC$56,VLOOKUP($F$3&amp;IF($G$4&lt;&gt;"",$G$4,"")&amp;IF($F$43&lt;&gt;"","_"&amp;$F$43,""),'表3）燃料価格'!$AF$9:$AG$25,2,0)+VLOOKUP($F$41,'表3）燃料価格'!$AF$28:$AG$29,2,0),0)*IF($F$43="需要地価格",1,$F$8/$F$141))),"")</f>
        <v>19.069810663761601</v>
      </c>
      <c r="AU45" s="39"/>
      <c r="AV45" s="72">
        <f t="shared" si="26"/>
        <v>29092463936.635044</v>
      </c>
      <c r="AW45" s="72">
        <f t="shared" si="27"/>
        <v>11636611595.716169</v>
      </c>
      <c r="AX45" s="39"/>
      <c r="AY45" s="40">
        <f>IF(ISERROR(IF($K45&lt;=$F$15,VLOOKUP($I45,'表4）CO2価格'!$A$7:$E$67,VLOOKUP($F$48,'表4）CO2価格'!$H$10:$I$12,2,0),0)*$F$8/1000,"")),0,IF($K45&lt;=$F$15,VLOOKUP($I45,'表4）CO2価格'!$A$7:$E$67,VLOOKUP($F$48,'表4）CO2価格'!$H$10:$I$12,2,0),0)*$F$8/1000,""))</f>
        <v>8.1999262362847141</v>
      </c>
      <c r="AZ45" s="39"/>
      <c r="BA45" s="42">
        <f t="shared" si="10"/>
        <v>20827129501.480865</v>
      </c>
      <c r="BB45" s="72">
        <f t="shared" si="28"/>
        <v>8330584071.1973257</v>
      </c>
      <c r="BC45" s="39"/>
      <c r="BD45" s="72">
        <f t="shared" si="11"/>
        <v>0</v>
      </c>
      <c r="BE45" s="72">
        <f t="shared" si="29"/>
        <v>0</v>
      </c>
      <c r="BF45" s="39"/>
      <c r="BG45" s="42">
        <f t="shared" si="12"/>
        <v>0</v>
      </c>
      <c r="BH45" s="72">
        <f t="shared" si="30"/>
        <v>0</v>
      </c>
      <c r="BI45" s="39"/>
      <c r="BJ45" s="40" t="str">
        <f t="shared" si="31"/>
        <v/>
      </c>
      <c r="BK45" s="157" t="str">
        <f t="shared" si="32"/>
        <v/>
      </c>
      <c r="BL45" s="157" t="str">
        <f t="shared" si="13"/>
        <v/>
      </c>
      <c r="BM45" s="72"/>
      <c r="BN45" s="72" t="str">
        <f t="shared" si="33"/>
        <v/>
      </c>
      <c r="BO45" s="72" t="str">
        <f t="shared" si="34"/>
        <v/>
      </c>
      <c r="BP45" s="39"/>
      <c r="BQ45" s="72">
        <f t="shared" si="14"/>
        <v>4056318000</v>
      </c>
      <c r="BR45" s="72">
        <f t="shared" si="35"/>
        <v>1622475056.6854796</v>
      </c>
    </row>
    <row r="46" spans="3:70" x14ac:dyDescent="0.15">
      <c r="I46" s="322">
        <f t="shared" si="36"/>
        <v>2061</v>
      </c>
      <c r="K46" s="71">
        <f t="shared" si="37"/>
        <v>32</v>
      </c>
      <c r="M46" s="7">
        <f t="shared" si="0"/>
        <v>0.38833703413696569</v>
      </c>
      <c r="O46" s="10">
        <f t="shared" si="15"/>
        <v>0</v>
      </c>
      <c r="P46" s="29" t="str">
        <f t="shared" si="1"/>
        <v>-</v>
      </c>
      <c r="R46" s="10">
        <f t="shared" si="16"/>
        <v>8540000000</v>
      </c>
      <c r="T46" s="10">
        <f t="shared" si="17"/>
        <v>8540000000</v>
      </c>
      <c r="V46" s="10">
        <f t="shared" si="2"/>
        <v>0</v>
      </c>
      <c r="W46" s="10">
        <f t="shared" si="18"/>
        <v>0</v>
      </c>
      <c r="Y46" s="10">
        <f t="shared" si="3"/>
        <v>119560000</v>
      </c>
      <c r="Z46" s="10">
        <f t="shared" si="19"/>
        <v>46429575.801415615</v>
      </c>
      <c r="AB46" s="10">
        <f t="shared" si="4"/>
        <v>0</v>
      </c>
      <c r="AC46" s="10">
        <f t="shared" si="20"/>
        <v>0</v>
      </c>
      <c r="AE46" s="10">
        <f t="shared" si="5"/>
        <v>0</v>
      </c>
      <c r="AF46" s="10">
        <f t="shared" si="21"/>
        <v>0</v>
      </c>
      <c r="AH46" s="10">
        <f t="shared" si="6"/>
        <v>440000000.00000006</v>
      </c>
      <c r="AI46" s="10">
        <f t="shared" si="22"/>
        <v>170868295.02026492</v>
      </c>
      <c r="AK46" s="10">
        <f t="shared" si="7"/>
        <v>4099200000</v>
      </c>
      <c r="AL46" s="10">
        <f t="shared" si="23"/>
        <v>1591871170.3342497</v>
      </c>
      <c r="AN46" s="10">
        <f t="shared" si="8"/>
        <v>3757600000</v>
      </c>
      <c r="AO46" s="10">
        <f t="shared" si="24"/>
        <v>1459215239.4730623</v>
      </c>
      <c r="AQ46" s="10">
        <f t="shared" si="9"/>
        <v>1012209600</v>
      </c>
      <c r="AR46" s="10">
        <f t="shared" si="25"/>
        <v>393078473.98896438</v>
      </c>
      <c r="AT46" s="678">
        <f>IF($K46&lt;=$F$15,IF($F$40&lt;&gt;"",$F$40/1000,IF(ISERROR(VLOOKUP($F$3&amp;IF($G$4&lt;&gt;"",$G$4,"")&amp;IF($F$43&lt;&gt;"","_"&amp;$F$43,""),'表3）燃料価格'!$AF$9:$AG$25,2,0)),0,VLOOKUP($I46,'表3）燃料価格'!$A$5:$AC$56,VLOOKUP($F$3&amp;IF($G$4&lt;&gt;"",$G$4,"")&amp;IF($F$43&lt;&gt;"","_"&amp;$F$43,""),'表3）燃料価格'!$AF$9:$AG$25,2,0)+VLOOKUP($F$41,'表3）燃料価格'!$AF$28:$AG$29,2,0),0)*IF($F$43="需要地価格",1,$F$8/$F$141))),"")</f>
        <v>19.062342852845763</v>
      </c>
      <c r="AV46" s="10">
        <f t="shared" si="26"/>
        <v>29081932719.296425</v>
      </c>
      <c r="AW46" s="10">
        <f t="shared" si="27"/>
        <v>11293591499.182356</v>
      </c>
      <c r="AY46" s="40">
        <f>IF(ISERROR(IF($K46&lt;=$F$15,VLOOKUP($I46,'表4）CO2価格'!$A$7:$E$67,VLOOKUP($F$48,'表4）CO2価格'!$H$10:$I$12,2,0),0)*$F$8/1000,"")),0,IF($K46&lt;=$F$15,VLOOKUP($I46,'表4）CO2価格'!$A$7:$E$67,VLOOKUP($F$48,'表4）CO2価格'!$H$10:$I$12,2,0),0)*$F$8/1000,""))</f>
        <v>8.3308792217288072</v>
      </c>
      <c r="BA46" s="11">
        <f t="shared" si="10"/>
        <v>21159739174.770485</v>
      </c>
      <c r="BB46" s="10">
        <f t="shared" si="28"/>
        <v>8217110354.242136</v>
      </c>
      <c r="BD46" s="10">
        <f t="shared" si="11"/>
        <v>0</v>
      </c>
      <c r="BE46" s="10">
        <f t="shared" si="29"/>
        <v>0</v>
      </c>
      <c r="BG46" s="11">
        <f t="shared" si="12"/>
        <v>0</v>
      </c>
      <c r="BH46" s="10">
        <f t="shared" si="30"/>
        <v>0</v>
      </c>
      <c r="BJ46" s="7" t="str">
        <f t="shared" si="31"/>
        <v/>
      </c>
      <c r="BK46" s="158" t="str">
        <f t="shared" si="32"/>
        <v/>
      </c>
      <c r="BL46" s="158" t="str">
        <f t="shared" si="13"/>
        <v/>
      </c>
      <c r="BM46" s="10"/>
      <c r="BN46" s="10" t="str">
        <f t="shared" si="33"/>
        <v/>
      </c>
      <c r="BO46" s="10" t="str">
        <f t="shared" si="34"/>
        <v/>
      </c>
      <c r="BQ46" s="10">
        <f t="shared" si="14"/>
        <v>4056318000</v>
      </c>
      <c r="BR46" s="10">
        <f t="shared" si="35"/>
        <v>1575218501.6363883</v>
      </c>
    </row>
    <row r="47" spans="3:70" x14ac:dyDescent="0.15">
      <c r="D47" s="84" t="s">
        <v>576</v>
      </c>
      <c r="F47" s="475">
        <v>19.5</v>
      </c>
      <c r="G47" s="84" t="s">
        <v>647</v>
      </c>
      <c r="I47" s="38">
        <f t="shared" si="36"/>
        <v>2062</v>
      </c>
      <c r="J47" s="39"/>
      <c r="K47" s="39">
        <f t="shared" si="37"/>
        <v>33</v>
      </c>
      <c r="L47" s="39"/>
      <c r="M47" s="40">
        <f t="shared" si="0"/>
        <v>0.37702624673491814</v>
      </c>
      <c r="N47" s="39"/>
      <c r="O47" s="72">
        <f t="shared" si="15"/>
        <v>0</v>
      </c>
      <c r="P47" s="41" t="str">
        <f t="shared" si="1"/>
        <v>-</v>
      </c>
      <c r="Q47" s="39"/>
      <c r="R47" s="72">
        <f t="shared" si="16"/>
        <v>8540000000</v>
      </c>
      <c r="S47" s="39"/>
      <c r="T47" s="72">
        <f t="shared" si="17"/>
        <v>8540000000</v>
      </c>
      <c r="U47" s="39"/>
      <c r="V47" s="72">
        <f t="shared" si="2"/>
        <v>0</v>
      </c>
      <c r="W47" s="72">
        <f t="shared" si="18"/>
        <v>0</v>
      </c>
      <c r="X47" s="39"/>
      <c r="Y47" s="72">
        <f t="shared" si="3"/>
        <v>119560000</v>
      </c>
      <c r="Z47" s="72">
        <f t="shared" si="19"/>
        <v>45077258.05962681</v>
      </c>
      <c r="AA47" s="39"/>
      <c r="AB47" s="72">
        <f t="shared" si="4"/>
        <v>0</v>
      </c>
      <c r="AC47" s="72">
        <f t="shared" si="20"/>
        <v>0</v>
      </c>
      <c r="AD47" s="39"/>
      <c r="AE47" s="72">
        <f t="shared" si="5"/>
        <v>0</v>
      </c>
      <c r="AF47" s="72">
        <f t="shared" si="21"/>
        <v>0</v>
      </c>
      <c r="AG47" s="39"/>
      <c r="AH47" s="72">
        <f t="shared" si="6"/>
        <v>440000000.00000006</v>
      </c>
      <c r="AI47" s="72">
        <f t="shared" si="22"/>
        <v>165891548.563364</v>
      </c>
      <c r="AJ47" s="39"/>
      <c r="AK47" s="72">
        <f t="shared" si="7"/>
        <v>4099200000</v>
      </c>
      <c r="AL47" s="72">
        <f t="shared" si="23"/>
        <v>1545505990.6157765</v>
      </c>
      <c r="AM47" s="39"/>
      <c r="AN47" s="72">
        <f t="shared" si="8"/>
        <v>3757600000</v>
      </c>
      <c r="AO47" s="72">
        <f t="shared" si="24"/>
        <v>1416713824.7311285</v>
      </c>
      <c r="AP47" s="39"/>
      <c r="AQ47" s="72">
        <f t="shared" si="9"/>
        <v>1012209600</v>
      </c>
      <c r="AR47" s="72">
        <f t="shared" si="25"/>
        <v>381629586.39705276</v>
      </c>
      <c r="AS47" s="39"/>
      <c r="AT47" s="40">
        <f>IF($K47&lt;=$F$15,IF($F$40&lt;&gt;"",$F$40/1000,IF(ISERROR(VLOOKUP($F$3&amp;IF($G$4&lt;&gt;"",$G$4,"")&amp;IF($F$43&lt;&gt;"","_"&amp;$F$43,""),'表3）燃料価格'!$AF$9:$AG$25,2,0)),0,VLOOKUP($I47,'表3）燃料価格'!$A$5:$AC$56,VLOOKUP($F$3&amp;IF($G$4&lt;&gt;"",$G$4,"")&amp;IF($F$43&lt;&gt;"","_"&amp;$F$43,""),'表3）燃料価格'!$AF$9:$AG$25,2,0)+VLOOKUP($F$41,'表3）燃料価格'!$AF$28:$AG$29,2,0),0)*IF($F$43="需要地価格",1,$F$8/$F$141))),"")</f>
        <v>19.055032270741307</v>
      </c>
      <c r="AU47" s="39"/>
      <c r="AV47" s="72">
        <f t="shared" si="26"/>
        <v>29071623228.351688</v>
      </c>
      <c r="AW47" s="72">
        <f t="shared" si="27"/>
        <v>10960764992.277102</v>
      </c>
      <c r="AX47" s="39"/>
      <c r="AY47" s="40">
        <f>IF(ISERROR(IF($K47&lt;=$F$15,VLOOKUP($I47,'表4）CO2価格'!$A$7:$E$67,VLOOKUP($F$48,'表4）CO2価格'!$H$10:$I$12,2,0),0)*$F$8/1000,"")),0,IF($K47&lt;=$F$15,VLOOKUP($I47,'表4）CO2価格'!$A$7:$E$67,VLOOKUP($F$48,'表4）CO2価格'!$H$10:$I$12,2,0),0)*$F$8/1000,""))</f>
        <v>8.4617686840146202</v>
      </c>
      <c r="AZ47" s="39"/>
      <c r="BA47" s="42">
        <f t="shared" si="10"/>
        <v>21492187504.530212</v>
      </c>
      <c r="BB47" s="72">
        <f t="shared" si="28"/>
        <v>8103118788.9561319</v>
      </c>
      <c r="BC47" s="39"/>
      <c r="BD47" s="72">
        <f t="shared" si="11"/>
        <v>0</v>
      </c>
      <c r="BE47" s="72">
        <f t="shared" si="29"/>
        <v>0</v>
      </c>
      <c r="BF47" s="39"/>
      <c r="BG47" s="42">
        <f t="shared" si="12"/>
        <v>0</v>
      </c>
      <c r="BH47" s="72">
        <f t="shared" si="30"/>
        <v>0</v>
      </c>
      <c r="BI47" s="39"/>
      <c r="BJ47" s="40" t="str">
        <f t="shared" si="31"/>
        <v/>
      </c>
      <c r="BK47" s="157" t="str">
        <f t="shared" si="32"/>
        <v/>
      </c>
      <c r="BL47" s="157" t="str">
        <f t="shared" si="13"/>
        <v/>
      </c>
      <c r="BM47" s="72"/>
      <c r="BN47" s="72" t="str">
        <f t="shared" si="33"/>
        <v/>
      </c>
      <c r="BO47" s="72" t="str">
        <f t="shared" si="34"/>
        <v/>
      </c>
      <c r="BP47" s="39"/>
      <c r="BQ47" s="72">
        <f t="shared" si="14"/>
        <v>4056318000</v>
      </c>
      <c r="BR47" s="72">
        <f t="shared" si="35"/>
        <v>1529338351.1032896</v>
      </c>
    </row>
    <row r="48" spans="3:70" x14ac:dyDescent="0.15">
      <c r="D48" s="84" t="s">
        <v>578</v>
      </c>
      <c r="F48" s="474" t="str">
        <f>まとめ!B5</f>
        <v>WEO2020　STEPS</v>
      </c>
      <c r="I48" s="322">
        <f t="shared" si="36"/>
        <v>2063</v>
      </c>
      <c r="K48" s="71">
        <f t="shared" si="37"/>
        <v>34</v>
      </c>
      <c r="M48" s="7">
        <f t="shared" si="0"/>
        <v>0.36604489974263904</v>
      </c>
      <c r="O48" s="10">
        <f t="shared" si="15"/>
        <v>0</v>
      </c>
      <c r="P48" s="29" t="str">
        <f t="shared" si="1"/>
        <v>-</v>
      </c>
      <c r="R48" s="10">
        <f t="shared" si="16"/>
        <v>8540000000</v>
      </c>
      <c r="T48" s="10">
        <f t="shared" si="17"/>
        <v>8540000000</v>
      </c>
      <c r="V48" s="10">
        <f t="shared" si="2"/>
        <v>0</v>
      </c>
      <c r="W48" s="10">
        <f t="shared" si="18"/>
        <v>0</v>
      </c>
      <c r="Y48" s="10">
        <f t="shared" si="3"/>
        <v>119560000</v>
      </c>
      <c r="Z48" s="10">
        <f t="shared" si="19"/>
        <v>43764328.213229924</v>
      </c>
      <c r="AB48" s="10">
        <f t="shared" si="4"/>
        <v>0</v>
      </c>
      <c r="AC48" s="10">
        <f t="shared" si="20"/>
        <v>0</v>
      </c>
      <c r="AE48" s="10">
        <f t="shared" si="5"/>
        <v>0</v>
      </c>
      <c r="AF48" s="10">
        <f t="shared" si="21"/>
        <v>0</v>
      </c>
      <c r="AH48" s="10">
        <f t="shared" si="6"/>
        <v>440000000.00000006</v>
      </c>
      <c r="AI48" s="10">
        <f t="shared" si="22"/>
        <v>161059755.88676119</v>
      </c>
      <c r="AK48" s="10">
        <f t="shared" si="7"/>
        <v>4099200000</v>
      </c>
      <c r="AL48" s="10">
        <f t="shared" si="23"/>
        <v>1500491253.0250258</v>
      </c>
      <c r="AN48" s="10">
        <f t="shared" si="8"/>
        <v>3757600000</v>
      </c>
      <c r="AO48" s="10">
        <f t="shared" si="24"/>
        <v>1375450315.2729404</v>
      </c>
      <c r="AQ48" s="10">
        <f t="shared" si="9"/>
        <v>1012209600</v>
      </c>
      <c r="AR48" s="10">
        <f t="shared" si="25"/>
        <v>370514161.55053675</v>
      </c>
      <c r="AT48" s="678">
        <f>IF($K48&lt;=$F$15,IF($F$40&lt;&gt;"",$F$40/1000,IF(ISERROR(VLOOKUP($F$3&amp;IF($G$4&lt;&gt;"",$G$4,"")&amp;IF($F$43&lt;&gt;"","_"&amp;$F$43,""),'表3）燃料価格'!$AF$9:$AG$25,2,0)),0,VLOOKUP($I48,'表3）燃料価格'!$A$5:$AC$56,VLOOKUP($F$3&amp;IF($G$4&lt;&gt;"",$G$4,"")&amp;IF($F$43&lt;&gt;"","_"&amp;$F$43,""),'表3）燃料価格'!$AF$9:$AG$25,2,0)+VLOOKUP($F$41,'表3）燃料価格'!$AF$28:$AG$29,2,0),0)*IF($F$43="需要地価格",1,$F$8/$F$141))),"")</f>
        <v>19.047872433082027</v>
      </c>
      <c r="AV48" s="10">
        <f t="shared" si="26"/>
        <v>29061526319.451759</v>
      </c>
      <c r="AW48" s="10">
        <f t="shared" si="27"/>
        <v>10637823487.971785</v>
      </c>
      <c r="AY48" s="40">
        <f>IF(ISERROR(IF($K48&lt;=$F$15,VLOOKUP($I48,'表4）CO2価格'!$A$7:$E$67,VLOOKUP($F$48,'表4）CO2価格'!$H$10:$I$12,2,0),0)*$F$8/1000,"")),0,IF($K48&lt;=$F$15,VLOOKUP($I48,'表4）CO2価格'!$A$7:$E$67,VLOOKUP($F$48,'表4）CO2価格'!$H$10:$I$12,2,0),0)*$F$8/1000,""))</f>
        <v>8.5925946847404155</v>
      </c>
      <c r="BA48" s="11">
        <f t="shared" si="10"/>
        <v>21824474647.2145</v>
      </c>
      <c r="BB48" s="10">
        <f t="shared" si="28"/>
        <v>7988737634.1753998</v>
      </c>
      <c r="BD48" s="10">
        <f t="shared" si="11"/>
        <v>0</v>
      </c>
      <c r="BE48" s="10">
        <f t="shared" si="29"/>
        <v>0</v>
      </c>
      <c r="BG48" s="11">
        <f t="shared" si="12"/>
        <v>0</v>
      </c>
      <c r="BH48" s="10">
        <f t="shared" si="30"/>
        <v>0</v>
      </c>
      <c r="BJ48" s="7" t="str">
        <f t="shared" si="31"/>
        <v/>
      </c>
      <c r="BK48" s="158" t="str">
        <f t="shared" si="32"/>
        <v/>
      </c>
      <c r="BL48" s="158" t="str">
        <f t="shared" si="13"/>
        <v/>
      </c>
      <c r="BM48" s="10"/>
      <c r="BN48" s="10" t="str">
        <f t="shared" si="33"/>
        <v/>
      </c>
      <c r="BO48" s="10" t="str">
        <f t="shared" si="34"/>
        <v/>
      </c>
      <c r="BQ48" s="10">
        <f t="shared" si="14"/>
        <v>4056318000</v>
      </c>
      <c r="BR48" s="10">
        <f t="shared" si="35"/>
        <v>1484794515.6342621</v>
      </c>
    </row>
    <row r="49" spans="3:70" x14ac:dyDescent="0.15">
      <c r="I49" s="38">
        <f t="shared" si="36"/>
        <v>2064</v>
      </c>
      <c r="J49" s="39"/>
      <c r="K49" s="39">
        <f t="shared" si="37"/>
        <v>35</v>
      </c>
      <c r="L49" s="39"/>
      <c r="M49" s="40">
        <f t="shared" si="0"/>
        <v>0.35538339780838735</v>
      </c>
      <c r="N49" s="39"/>
      <c r="O49" s="72">
        <f t="shared" si="15"/>
        <v>0</v>
      </c>
      <c r="P49" s="41" t="str">
        <f t="shared" si="1"/>
        <v>-</v>
      </c>
      <c r="Q49" s="39"/>
      <c r="R49" s="72">
        <f t="shared" si="16"/>
        <v>8540000000</v>
      </c>
      <c r="S49" s="39"/>
      <c r="T49" s="72">
        <f t="shared" si="17"/>
        <v>8540000000</v>
      </c>
      <c r="U49" s="39"/>
      <c r="V49" s="72">
        <f t="shared" si="2"/>
        <v>0</v>
      </c>
      <c r="W49" s="72">
        <f t="shared" si="18"/>
        <v>0</v>
      </c>
      <c r="X49" s="39"/>
      <c r="Y49" s="72">
        <f t="shared" si="3"/>
        <v>119560000</v>
      </c>
      <c r="Z49" s="72">
        <f t="shared" si="19"/>
        <v>42489639.041970789</v>
      </c>
      <c r="AA49" s="39"/>
      <c r="AB49" s="72">
        <f t="shared" si="4"/>
        <v>0</v>
      </c>
      <c r="AC49" s="72">
        <f t="shared" si="20"/>
        <v>0</v>
      </c>
      <c r="AD49" s="39"/>
      <c r="AE49" s="72">
        <f t="shared" si="5"/>
        <v>0</v>
      </c>
      <c r="AF49" s="72">
        <f t="shared" si="21"/>
        <v>0</v>
      </c>
      <c r="AG49" s="39"/>
      <c r="AH49" s="72">
        <f t="shared" si="6"/>
        <v>440000000.00000006</v>
      </c>
      <c r="AI49" s="72">
        <f t="shared" si="22"/>
        <v>156368695.03569046</v>
      </c>
      <c r="AJ49" s="39"/>
      <c r="AK49" s="72">
        <f t="shared" si="7"/>
        <v>4099200000</v>
      </c>
      <c r="AL49" s="72">
        <f t="shared" si="23"/>
        <v>1456787624.2961414</v>
      </c>
      <c r="AM49" s="39"/>
      <c r="AN49" s="72">
        <f t="shared" si="8"/>
        <v>3757600000</v>
      </c>
      <c r="AO49" s="72">
        <f t="shared" si="24"/>
        <v>1335388655.6047964</v>
      </c>
      <c r="AP49" s="39"/>
      <c r="AQ49" s="72">
        <f t="shared" si="9"/>
        <v>1012209600</v>
      </c>
      <c r="AR49" s="72">
        <f t="shared" si="25"/>
        <v>359722486.94226861</v>
      </c>
      <c r="AS49" s="39"/>
      <c r="AT49" s="40">
        <f>IF($K49&lt;=$F$15,IF($F$40&lt;&gt;"",$F$40/1000,IF(ISERROR(VLOOKUP($F$3&amp;IF($G$4&lt;&gt;"",$G$4,"")&amp;IF($F$43&lt;&gt;"","_"&amp;$F$43,""),'表3）燃料価格'!$AF$9:$AG$25,2,0)),0,VLOOKUP($I49,'表3）燃料価格'!$A$5:$AC$56,VLOOKUP($F$3&amp;IF($G$4&lt;&gt;"",$G$4,"")&amp;IF($F$43&lt;&gt;"","_"&amp;$F$43,""),'表3）燃料価格'!$AF$9:$AG$25,2,0)+VLOOKUP($F$41,'表3）燃料価格'!$AF$28:$AG$29,2,0),0)*IF($F$43="需要地価格",1,$F$8/$F$141))),"")</f>
        <v>19.040857248548768</v>
      </c>
      <c r="AU49" s="39"/>
      <c r="AV49" s="72">
        <f t="shared" si="26"/>
        <v>29051633402.528332</v>
      </c>
      <c r="AW49" s="72">
        <f t="shared" si="27"/>
        <v>10324468190.474159</v>
      </c>
      <c r="AX49" s="39"/>
      <c r="AY49" s="40">
        <f>IF(ISERROR(IF($K49&lt;=$F$15,VLOOKUP($I49,'表4）CO2価格'!$A$7:$E$67,VLOOKUP($F$48,'表4）CO2価格'!$H$10:$I$12,2,0),0)*$F$8/1000,"")),0,IF($K49&lt;=$F$15,VLOOKUP($I49,'表4）CO2価格'!$A$7:$E$67,VLOOKUP($F$48,'表4）CO2価格'!$H$10:$I$12,2,0),0)*$F$8/1000,""))</f>
        <v>8.7233572854149237</v>
      </c>
      <c r="AZ49" s="39"/>
      <c r="BA49" s="42">
        <f t="shared" si="10"/>
        <v>22156600759.0504</v>
      </c>
      <c r="BB49" s="72">
        <f t="shared" si="28"/>
        <v>7874088061.6352253</v>
      </c>
      <c r="BC49" s="39"/>
      <c r="BD49" s="72">
        <f t="shared" si="11"/>
        <v>0</v>
      </c>
      <c r="BE49" s="72">
        <f t="shared" si="29"/>
        <v>0</v>
      </c>
      <c r="BF49" s="39"/>
      <c r="BG49" s="42">
        <f t="shared" si="12"/>
        <v>0</v>
      </c>
      <c r="BH49" s="72">
        <f t="shared" si="30"/>
        <v>0</v>
      </c>
      <c r="BI49" s="39"/>
      <c r="BJ49" s="40" t="str">
        <f t="shared" si="31"/>
        <v/>
      </c>
      <c r="BK49" s="157" t="str">
        <f t="shared" si="32"/>
        <v/>
      </c>
      <c r="BL49" s="157" t="str">
        <f t="shared" si="13"/>
        <v/>
      </c>
      <c r="BM49" s="72"/>
      <c r="BN49" s="72" t="str">
        <f t="shared" si="33"/>
        <v/>
      </c>
      <c r="BO49" s="72" t="str">
        <f t="shared" si="34"/>
        <v/>
      </c>
      <c r="BP49" s="39"/>
      <c r="BQ49" s="72">
        <f t="shared" si="14"/>
        <v>4056318000</v>
      </c>
      <c r="BR49" s="72">
        <f t="shared" si="35"/>
        <v>1441548073.4313221</v>
      </c>
    </row>
    <row r="50" spans="3:70" x14ac:dyDescent="0.15">
      <c r="C50" s="4" t="s">
        <v>579</v>
      </c>
      <c r="D50" s="100"/>
      <c r="E50" s="100"/>
      <c r="F50" s="4"/>
      <c r="G50" s="100"/>
      <c r="I50" s="322">
        <f t="shared" si="36"/>
        <v>2065</v>
      </c>
      <c r="K50" s="71">
        <f t="shared" si="37"/>
        <v>36</v>
      </c>
      <c r="M50" s="7">
        <f t="shared" si="0"/>
        <v>0.34503242505668674</v>
      </c>
      <c r="O50" s="10">
        <f t="shared" si="15"/>
        <v>0</v>
      </c>
      <c r="P50" s="29" t="str">
        <f t="shared" si="1"/>
        <v>-</v>
      </c>
      <c r="R50" s="10">
        <f t="shared" si="16"/>
        <v>8540000000</v>
      </c>
      <c r="T50" s="10">
        <f t="shared" si="17"/>
        <v>8540000000</v>
      </c>
      <c r="V50" s="10">
        <f t="shared" si="2"/>
        <v>0</v>
      </c>
      <c r="W50" s="10">
        <f t="shared" si="18"/>
        <v>0</v>
      </c>
      <c r="Y50" s="10">
        <f t="shared" si="3"/>
        <v>119560000</v>
      </c>
      <c r="Z50" s="10">
        <f t="shared" si="19"/>
        <v>41252076.739777468</v>
      </c>
      <c r="AB50" s="10">
        <f t="shared" si="4"/>
        <v>0</v>
      </c>
      <c r="AC50" s="10">
        <f t="shared" si="20"/>
        <v>0</v>
      </c>
      <c r="AE50" s="10">
        <f t="shared" si="5"/>
        <v>0</v>
      </c>
      <c r="AF50" s="10">
        <f t="shared" si="21"/>
        <v>0</v>
      </c>
      <c r="AH50" s="10">
        <f t="shared" si="6"/>
        <v>440000000.00000006</v>
      </c>
      <c r="AI50" s="10">
        <f t="shared" si="22"/>
        <v>151814267.02494219</v>
      </c>
      <c r="AK50" s="10">
        <f t="shared" si="7"/>
        <v>4099200000</v>
      </c>
      <c r="AL50" s="10">
        <f t="shared" si="23"/>
        <v>1414356916.7923703</v>
      </c>
      <c r="AN50" s="10">
        <f t="shared" si="8"/>
        <v>3757600000</v>
      </c>
      <c r="AO50" s="10">
        <f t="shared" si="24"/>
        <v>1296493840.3930061</v>
      </c>
      <c r="AQ50" s="10">
        <f t="shared" si="9"/>
        <v>1012209600</v>
      </c>
      <c r="AR50" s="10">
        <f t="shared" si="25"/>
        <v>349245132.95365888</v>
      </c>
      <c r="AT50" s="678">
        <f>IF($K50&lt;=$F$15,IF($F$40&lt;&gt;"",$F$40/1000,IF(ISERROR(VLOOKUP($F$3&amp;IF($G$4&lt;&gt;"",$G$4,"")&amp;IF($F$43&lt;&gt;"","_"&amp;$F$43,""),'表3）燃料価格'!$AF$9:$AG$25,2,0)),0,VLOOKUP($I50,'表3）燃料価格'!$A$5:$AC$56,VLOOKUP($F$3&amp;IF($G$4&lt;&gt;"",$G$4,"")&amp;IF($F$43&lt;&gt;"","_"&amp;$F$43,""),'表3）燃料価格'!$AF$9:$AG$25,2,0)+VLOOKUP($F$41,'表3）燃料価格'!$AF$28:$AG$29,2,0),0)*IF($F$43="需要地価格",1,$F$8/$F$141))),"")</f>
        <v>19.033980987731706</v>
      </c>
      <c r="AV50" s="10">
        <f t="shared" si="26"/>
        <v>29041936397.882977</v>
      </c>
      <c r="AW50" s="10">
        <f t="shared" si="27"/>
        <v>10020409743.703621</v>
      </c>
      <c r="AY50" s="40">
        <f>IF(ISERROR(IF($K50&lt;=$F$15,VLOOKUP($I50,'表4）CO2価格'!$A$7:$E$67,VLOOKUP($F$48,'表4）CO2価格'!$H$10:$I$12,2,0),0)*$F$8/1000,"")),0,IF($K50&lt;=$F$15,VLOOKUP($I50,'表4）CO2価格'!$A$7:$E$67,VLOOKUP($F$48,'表4）CO2価格'!$H$10:$I$12,2,0),0)*$F$8/1000,""))</f>
        <v>8.8540565474573452</v>
      </c>
      <c r="BA50" s="11">
        <f t="shared" si="10"/>
        <v>22488565996.03756</v>
      </c>
      <c r="BB50" s="10">
        <f t="shared" si="28"/>
        <v>7759284461.660183</v>
      </c>
      <c r="BD50" s="10">
        <f t="shared" si="11"/>
        <v>0</v>
      </c>
      <c r="BE50" s="10">
        <f t="shared" si="29"/>
        <v>0</v>
      </c>
      <c r="BG50" s="11">
        <f t="shared" si="12"/>
        <v>0</v>
      </c>
      <c r="BH50" s="10">
        <f t="shared" si="30"/>
        <v>0</v>
      </c>
      <c r="BJ50" s="7" t="str">
        <f t="shared" si="31"/>
        <v/>
      </c>
      <c r="BK50" s="158" t="str">
        <f t="shared" si="32"/>
        <v/>
      </c>
      <c r="BL50" s="158" t="str">
        <f t="shared" si="13"/>
        <v/>
      </c>
      <c r="BM50" s="10"/>
      <c r="BN50" s="10" t="str">
        <f t="shared" si="33"/>
        <v/>
      </c>
      <c r="BO50" s="10" t="str">
        <f t="shared" si="34"/>
        <v/>
      </c>
      <c r="BQ50" s="10">
        <f t="shared" si="14"/>
        <v>4056318000</v>
      </c>
      <c r="BR50" s="10">
        <f t="shared" si="35"/>
        <v>1399561236.3410895</v>
      </c>
    </row>
    <row r="51" spans="3:70" x14ac:dyDescent="0.15">
      <c r="I51" s="38">
        <f t="shared" si="36"/>
        <v>2066</v>
      </c>
      <c r="J51" s="39"/>
      <c r="K51" s="39">
        <f t="shared" si="37"/>
        <v>37</v>
      </c>
      <c r="L51" s="39"/>
      <c r="M51" s="40">
        <f t="shared" si="0"/>
        <v>0.33498293694823961</v>
      </c>
      <c r="N51" s="39"/>
      <c r="O51" s="72">
        <f t="shared" si="15"/>
        <v>0</v>
      </c>
      <c r="P51" s="41" t="str">
        <f t="shared" si="1"/>
        <v>-</v>
      </c>
      <c r="Q51" s="39"/>
      <c r="R51" s="72">
        <f t="shared" si="16"/>
        <v>8540000000</v>
      </c>
      <c r="S51" s="39"/>
      <c r="T51" s="72">
        <f t="shared" si="17"/>
        <v>8540000000</v>
      </c>
      <c r="U51" s="39"/>
      <c r="V51" s="72">
        <f t="shared" si="2"/>
        <v>0</v>
      </c>
      <c r="W51" s="72">
        <f t="shared" si="18"/>
        <v>0</v>
      </c>
      <c r="X51" s="39"/>
      <c r="Y51" s="72">
        <f t="shared" si="3"/>
        <v>119560000</v>
      </c>
      <c r="Z51" s="72">
        <f t="shared" si="19"/>
        <v>40050559.941531524</v>
      </c>
      <c r="AA51" s="39"/>
      <c r="AB51" s="72">
        <f t="shared" si="4"/>
        <v>0</v>
      </c>
      <c r="AC51" s="72">
        <f t="shared" si="20"/>
        <v>0</v>
      </c>
      <c r="AD51" s="39"/>
      <c r="AE51" s="72">
        <f t="shared" si="5"/>
        <v>0</v>
      </c>
      <c r="AF51" s="72">
        <f t="shared" si="21"/>
        <v>0</v>
      </c>
      <c r="AG51" s="39"/>
      <c r="AH51" s="72">
        <f t="shared" si="6"/>
        <v>440000000.00000006</v>
      </c>
      <c r="AI51" s="72">
        <f t="shared" si="22"/>
        <v>147392492.25722545</v>
      </c>
      <c r="AJ51" s="39"/>
      <c r="AK51" s="72">
        <f t="shared" si="7"/>
        <v>4099200000</v>
      </c>
      <c r="AL51" s="72">
        <f t="shared" si="23"/>
        <v>1373162055.1382239</v>
      </c>
      <c r="AM51" s="39"/>
      <c r="AN51" s="72">
        <f t="shared" si="8"/>
        <v>3757600000</v>
      </c>
      <c r="AO51" s="72">
        <f t="shared" si="24"/>
        <v>1258731883.8767052</v>
      </c>
      <c r="AP51" s="39"/>
      <c r="AQ51" s="72">
        <f t="shared" si="9"/>
        <v>1012209600</v>
      </c>
      <c r="AR51" s="72">
        <f t="shared" si="25"/>
        <v>339072944.61520284</v>
      </c>
      <c r="AS51" s="39"/>
      <c r="AT51" s="40">
        <f>IF($K51&lt;=$F$15,IF($F$40&lt;&gt;"",$F$40/1000,IF(ISERROR(VLOOKUP($F$3&amp;IF($G$4&lt;&gt;"",$G$4,"")&amp;IF($F$43&lt;&gt;"","_"&amp;$F$43,""),'表3）燃料価格'!$AF$9:$AG$25,2,0)),0,VLOOKUP($I51,'表3）燃料価格'!$A$5:$AC$56,VLOOKUP($F$3&amp;IF($G$4&lt;&gt;"",$G$4,"")&amp;IF($F$43&lt;&gt;"","_"&amp;$F$43,""),'表3）燃料価格'!$AF$9:$AG$25,2,0)+VLOOKUP($F$41,'表3）燃料価格'!$AF$28:$AG$29,2,0),0)*IF($F$43="需要地価格",1,$F$8/$F$141))),"")</f>
        <v>19.027238255016268</v>
      </c>
      <c r="AU51" s="39"/>
      <c r="AV51" s="72">
        <f t="shared" si="26"/>
        <v>29032427696.540272</v>
      </c>
      <c r="AW51" s="72">
        <f t="shared" si="27"/>
        <v>9725367896.5244751</v>
      </c>
      <c r="AX51" s="39"/>
      <c r="AY51" s="40">
        <f>IF(ISERROR(IF($K51&lt;=$F$15,VLOOKUP($I51,'表4）CO2価格'!$A$7:$E$67,VLOOKUP($F$48,'表4）CO2価格'!$H$10:$I$12,2,0),0)*$F$8/1000,"")),0,IF($K51&lt;=$F$15,VLOOKUP($I51,'表4）CO2価格'!$A$7:$E$67,VLOOKUP($F$48,'表4）CO2価格'!$H$10:$I$12,2,0),0)*$F$8/1000,""))</f>
        <v>8.9846925321981246</v>
      </c>
      <c r="AZ51" s="39"/>
      <c r="BA51" s="42">
        <f t="shared" si="10"/>
        <v>22820370513.950203</v>
      </c>
      <c r="BB51" s="72">
        <f t="shared" si="28"/>
        <v>7644434737.010047</v>
      </c>
      <c r="BC51" s="39"/>
      <c r="BD51" s="72">
        <f t="shared" si="11"/>
        <v>0</v>
      </c>
      <c r="BE51" s="72">
        <f t="shared" si="29"/>
        <v>0</v>
      </c>
      <c r="BF51" s="39"/>
      <c r="BG51" s="42">
        <f t="shared" si="12"/>
        <v>0</v>
      </c>
      <c r="BH51" s="72">
        <f t="shared" si="30"/>
        <v>0</v>
      </c>
      <c r="BI51" s="39"/>
      <c r="BJ51" s="40" t="str">
        <f t="shared" si="31"/>
        <v/>
      </c>
      <c r="BK51" s="157" t="str">
        <f t="shared" si="32"/>
        <v/>
      </c>
      <c r="BL51" s="157" t="str">
        <f t="shared" si="13"/>
        <v/>
      </c>
      <c r="BM51" s="72"/>
      <c r="BN51" s="72" t="str">
        <f t="shared" si="33"/>
        <v/>
      </c>
      <c r="BO51" s="72" t="str">
        <f t="shared" si="34"/>
        <v/>
      </c>
      <c r="BP51" s="39"/>
      <c r="BQ51" s="72">
        <f t="shared" si="14"/>
        <v>4056318000</v>
      </c>
      <c r="BR51" s="72">
        <f t="shared" si="35"/>
        <v>1358797316.8360095</v>
      </c>
    </row>
    <row r="52" spans="3:70" x14ac:dyDescent="0.15">
      <c r="D52" s="84" t="s">
        <v>185</v>
      </c>
      <c r="F52" s="478"/>
      <c r="G52" s="84" t="s">
        <v>549</v>
      </c>
      <c r="I52" s="322">
        <f t="shared" si="36"/>
        <v>2067</v>
      </c>
      <c r="K52" s="71">
        <f t="shared" si="37"/>
        <v>38</v>
      </c>
      <c r="M52" s="7">
        <f t="shared" si="0"/>
        <v>0.3252261523769317</v>
      </c>
      <c r="O52" s="10">
        <f t="shared" si="15"/>
        <v>0</v>
      </c>
      <c r="P52" s="29" t="str">
        <f t="shared" si="1"/>
        <v>-</v>
      </c>
      <c r="R52" s="10">
        <f t="shared" si="16"/>
        <v>8540000000</v>
      </c>
      <c r="T52" s="10">
        <f t="shared" si="17"/>
        <v>8540000000</v>
      </c>
      <c r="V52" s="10">
        <f t="shared" si="2"/>
        <v>0</v>
      </c>
      <c r="W52" s="10">
        <f t="shared" si="18"/>
        <v>0</v>
      </c>
      <c r="Y52" s="10">
        <f t="shared" si="3"/>
        <v>119560000</v>
      </c>
      <c r="Z52" s="10">
        <f t="shared" si="19"/>
        <v>38884038.778185956</v>
      </c>
      <c r="AB52" s="10">
        <f t="shared" si="4"/>
        <v>0</v>
      </c>
      <c r="AC52" s="10">
        <f t="shared" si="20"/>
        <v>0</v>
      </c>
      <c r="AE52" s="10">
        <f t="shared" si="5"/>
        <v>0</v>
      </c>
      <c r="AF52" s="10">
        <f t="shared" si="21"/>
        <v>0</v>
      </c>
      <c r="AH52" s="10">
        <f t="shared" si="6"/>
        <v>440000000.00000006</v>
      </c>
      <c r="AI52" s="10">
        <f t="shared" si="22"/>
        <v>143099507.04584998</v>
      </c>
      <c r="AK52" s="10">
        <f t="shared" si="7"/>
        <v>4099200000</v>
      </c>
      <c r="AL52" s="10">
        <f t="shared" si="23"/>
        <v>1333167043.8235185</v>
      </c>
      <c r="AN52" s="10">
        <f t="shared" si="8"/>
        <v>3757600000</v>
      </c>
      <c r="AO52" s="10">
        <f t="shared" si="24"/>
        <v>1222069790.1715586</v>
      </c>
      <c r="AQ52" s="10">
        <f t="shared" si="9"/>
        <v>1012209600</v>
      </c>
      <c r="AR52" s="10">
        <f t="shared" si="25"/>
        <v>329197033.60699308</v>
      </c>
      <c r="AT52" s="678">
        <f>IF($K52&lt;=$F$15,IF($F$40&lt;&gt;"",$F$40/1000,IF(ISERROR(VLOOKUP($F$3&amp;IF($G$4&lt;&gt;"",$G$4,"")&amp;IF($F$43&lt;&gt;"","_"&amp;$F$43,""),'表3）燃料価格'!$AF$9:$AG$25,2,0)),0,VLOOKUP($I52,'表3）燃料価格'!$A$5:$AC$56,VLOOKUP($F$3&amp;IF($G$4&lt;&gt;"",$G$4,"")&amp;IF($F$43&lt;&gt;"","_"&amp;$F$43,""),'表3）燃料価格'!$AF$9:$AG$25,2,0)+VLOOKUP($F$41,'表3）燃料価格'!$AF$28:$AG$29,2,0),0)*IF($F$43="需要地価格",1,$F$8/$F$141))),"")</f>
        <v>19.020623963147127</v>
      </c>
      <c r="AV52" s="10">
        <f t="shared" si="26"/>
        <v>29023100124.37756</v>
      </c>
      <c r="AW52" s="10">
        <f t="shared" si="27"/>
        <v>9439071183.5017624</v>
      </c>
      <c r="AY52" s="40">
        <f>IF(ISERROR(IF($K52&lt;=$F$15,VLOOKUP($I52,'表4）CO2価格'!$A$7:$E$67,VLOOKUP($F$48,'表4）CO2価格'!$H$10:$I$12,2,0),0)*$F$8/1000,"")),0,IF($K52&lt;=$F$15,VLOOKUP($I52,'表4）CO2価格'!$A$7:$E$67,VLOOKUP($F$48,'表4）CO2価格'!$H$10:$I$12,2,0),0)*$F$8/1000,""))</f>
        <v>9.1152653008777929</v>
      </c>
      <c r="BA52" s="11">
        <f t="shared" si="10"/>
        <v>23152014468.334179</v>
      </c>
      <c r="BB52" s="10">
        <f t="shared" si="28"/>
        <v>7529640585.3113794</v>
      </c>
      <c r="BD52" s="10">
        <f t="shared" si="11"/>
        <v>0</v>
      </c>
      <c r="BE52" s="10">
        <f t="shared" si="29"/>
        <v>0</v>
      </c>
      <c r="BG52" s="11">
        <f t="shared" si="12"/>
        <v>0</v>
      </c>
      <c r="BH52" s="10">
        <f t="shared" si="30"/>
        <v>0</v>
      </c>
      <c r="BJ52" s="7" t="str">
        <f t="shared" si="31"/>
        <v/>
      </c>
      <c r="BK52" s="158" t="str">
        <f t="shared" si="32"/>
        <v/>
      </c>
      <c r="BL52" s="158" t="str">
        <f t="shared" si="13"/>
        <v/>
      </c>
      <c r="BM52" s="10"/>
      <c r="BN52" s="10" t="str">
        <f t="shared" si="33"/>
        <v/>
      </c>
      <c r="BO52" s="10" t="str">
        <f t="shared" si="34"/>
        <v/>
      </c>
      <c r="BQ52" s="10">
        <f t="shared" si="14"/>
        <v>4056318000</v>
      </c>
      <c r="BR52" s="10">
        <f t="shared" si="35"/>
        <v>1319220695.9572909</v>
      </c>
    </row>
    <row r="53" spans="3:70" x14ac:dyDescent="0.15">
      <c r="D53" s="84" t="s">
        <v>580</v>
      </c>
      <c r="F53" s="475"/>
      <c r="G53" s="84" t="s">
        <v>549</v>
      </c>
      <c r="I53" s="38">
        <f t="shared" si="36"/>
        <v>2068</v>
      </c>
      <c r="J53" s="39"/>
      <c r="K53" s="39">
        <f t="shared" si="37"/>
        <v>39</v>
      </c>
      <c r="L53" s="39"/>
      <c r="M53" s="40">
        <f t="shared" si="0"/>
        <v>0.31575354599702099</v>
      </c>
      <c r="N53" s="39"/>
      <c r="O53" s="72">
        <f t="shared" si="15"/>
        <v>0</v>
      </c>
      <c r="P53" s="41" t="str">
        <f t="shared" si="1"/>
        <v>-</v>
      </c>
      <c r="Q53" s="39"/>
      <c r="R53" s="72">
        <f t="shared" si="16"/>
        <v>8540000000</v>
      </c>
      <c r="S53" s="39"/>
      <c r="T53" s="72">
        <f t="shared" si="17"/>
        <v>8540000000</v>
      </c>
      <c r="U53" s="39"/>
      <c r="V53" s="72">
        <f t="shared" si="2"/>
        <v>0</v>
      </c>
      <c r="W53" s="72">
        <f t="shared" si="18"/>
        <v>0</v>
      </c>
      <c r="X53" s="39"/>
      <c r="Y53" s="72">
        <f t="shared" si="3"/>
        <v>119560000</v>
      </c>
      <c r="Z53" s="72">
        <f t="shared" si="19"/>
        <v>37751493.959403828</v>
      </c>
      <c r="AA53" s="39"/>
      <c r="AB53" s="72">
        <f t="shared" si="4"/>
        <v>0</v>
      </c>
      <c r="AC53" s="72">
        <f t="shared" si="20"/>
        <v>0</v>
      </c>
      <c r="AD53" s="39"/>
      <c r="AE53" s="72">
        <f t="shared" si="5"/>
        <v>0</v>
      </c>
      <c r="AF53" s="72">
        <f t="shared" si="21"/>
        <v>0</v>
      </c>
      <c r="AG53" s="39"/>
      <c r="AH53" s="72">
        <f t="shared" si="6"/>
        <v>440000000.00000006</v>
      </c>
      <c r="AI53" s="72">
        <f t="shared" si="22"/>
        <v>138931560.23868924</v>
      </c>
      <c r="AJ53" s="39"/>
      <c r="AK53" s="72">
        <f t="shared" si="7"/>
        <v>4099200000</v>
      </c>
      <c r="AL53" s="72">
        <f t="shared" si="23"/>
        <v>1294336935.7509885</v>
      </c>
      <c r="AM53" s="39"/>
      <c r="AN53" s="72">
        <f t="shared" si="8"/>
        <v>3757600000</v>
      </c>
      <c r="AO53" s="72">
        <f t="shared" si="24"/>
        <v>1186475524.438406</v>
      </c>
      <c r="AP53" s="39"/>
      <c r="AQ53" s="72">
        <f t="shared" si="9"/>
        <v>1012209600</v>
      </c>
      <c r="AR53" s="72">
        <f t="shared" si="25"/>
        <v>319608770.49222624</v>
      </c>
      <c r="AS53" s="39"/>
      <c r="AT53" s="40">
        <f>IF($K53&lt;=$F$15,IF($F$40&lt;&gt;"",$F$40/1000,IF(ISERROR(VLOOKUP($F$3&amp;IF($G$4&lt;&gt;"",$G$4,"")&amp;IF($F$43&lt;&gt;"","_"&amp;$F$43,""),'表3）燃料価格'!$AF$9:$AG$25,2,0)),0,VLOOKUP($I53,'表3）燃料価格'!$A$5:$AC$56,VLOOKUP($F$3&amp;IF($G$4&lt;&gt;"",$G$4,"")&amp;IF($F$43&lt;&gt;"","_"&amp;$F$43,""),'表3）燃料価格'!$AF$9:$AG$25,2,0)+VLOOKUP($F$41,'表3）燃料価格'!$AF$28:$AG$29,2,0),0)*IF($F$43="需要地価格",1,$F$8/$F$141))),"")</f>
        <v>19.014133310169804</v>
      </c>
      <c r="AU53" s="39"/>
      <c r="AV53" s="72">
        <f t="shared" si="26"/>
        <v>29013946909.607647</v>
      </c>
      <c r="AW53" s="72">
        <f t="shared" si="27"/>
        <v>9161256620.0779228</v>
      </c>
      <c r="AX53" s="39"/>
      <c r="AY53" s="40">
        <f>IF(ISERROR(IF($K53&lt;=$F$15,VLOOKUP($I53,'表4）CO2価格'!$A$7:$E$67,VLOOKUP($F$48,'表4）CO2価格'!$H$10:$I$12,2,0),0)*$F$8/1000,"")),0,IF($K53&lt;=$F$15,VLOOKUP($I53,'表4）CO2価格'!$A$7:$E$67,VLOOKUP($F$48,'表4）CO2価格'!$H$10:$I$12,2,0),0)*$F$8/1000,""))</f>
        <v>9.2457749146488997</v>
      </c>
      <c r="AZ53" s="39"/>
      <c r="BA53" s="42">
        <f t="shared" si="10"/>
        <v>23483498014.511864</v>
      </c>
      <c r="BB53" s="72">
        <f t="shared" si="28"/>
        <v>7414997770.4961233</v>
      </c>
      <c r="BC53" s="39"/>
      <c r="BD53" s="72">
        <f t="shared" si="11"/>
        <v>0</v>
      </c>
      <c r="BE53" s="72">
        <f t="shared" si="29"/>
        <v>0</v>
      </c>
      <c r="BF53" s="39"/>
      <c r="BG53" s="42">
        <f t="shared" si="12"/>
        <v>0</v>
      </c>
      <c r="BH53" s="72">
        <f t="shared" si="30"/>
        <v>0</v>
      </c>
      <c r="BI53" s="39"/>
      <c r="BJ53" s="40" t="str">
        <f t="shared" si="31"/>
        <v/>
      </c>
      <c r="BK53" s="157" t="str">
        <f t="shared" si="32"/>
        <v/>
      </c>
      <c r="BL53" s="157" t="str">
        <f t="shared" si="13"/>
        <v/>
      </c>
      <c r="BM53" s="72"/>
      <c r="BN53" s="72" t="str">
        <f t="shared" si="33"/>
        <v/>
      </c>
      <c r="BO53" s="72" t="str">
        <f t="shared" si="34"/>
        <v/>
      </c>
      <c r="BP53" s="39"/>
      <c r="BQ53" s="72">
        <f t="shared" si="14"/>
        <v>4056318000</v>
      </c>
      <c r="BR53" s="72">
        <f t="shared" si="35"/>
        <v>1280796792.1915443</v>
      </c>
    </row>
    <row r="54" spans="3:70" x14ac:dyDescent="0.15">
      <c r="D54" s="84" t="s">
        <v>581</v>
      </c>
      <c r="F54" s="475"/>
      <c r="G54" s="84" t="s">
        <v>549</v>
      </c>
      <c r="I54" s="322">
        <f t="shared" si="36"/>
        <v>2069</v>
      </c>
      <c r="K54" s="71">
        <f t="shared" si="37"/>
        <v>40</v>
      </c>
      <c r="M54" s="7">
        <f t="shared" si="0"/>
        <v>0.30655684077380685</v>
      </c>
      <c r="O54" s="10">
        <f t="shared" si="15"/>
        <v>0</v>
      </c>
      <c r="P54" s="29" t="str">
        <f t="shared" si="1"/>
        <v>-</v>
      </c>
      <c r="R54" s="10">
        <f t="shared" si="16"/>
        <v>8540000000</v>
      </c>
      <c r="T54" s="10">
        <f t="shared" si="17"/>
        <v>8540000000</v>
      </c>
      <c r="V54" s="10">
        <f t="shared" si="2"/>
        <v>0</v>
      </c>
      <c r="W54" s="10">
        <f t="shared" si="18"/>
        <v>0</v>
      </c>
      <c r="Y54" s="10">
        <f t="shared" si="3"/>
        <v>119560000</v>
      </c>
      <c r="Z54" s="10">
        <f t="shared" si="19"/>
        <v>36651935.882916346</v>
      </c>
      <c r="AB54" s="10">
        <f t="shared" si="4"/>
        <v>0</v>
      </c>
      <c r="AC54" s="10">
        <f t="shared" si="20"/>
        <v>0</v>
      </c>
      <c r="AE54" s="10">
        <f t="shared" si="5"/>
        <v>0</v>
      </c>
      <c r="AF54" s="10">
        <f t="shared" si="21"/>
        <v>0</v>
      </c>
      <c r="AH54" s="10">
        <f t="shared" si="6"/>
        <v>440000000.00000006</v>
      </c>
      <c r="AI54" s="10">
        <f t="shared" si="22"/>
        <v>134885009.94047505</v>
      </c>
      <c r="AK54" s="10">
        <f t="shared" si="7"/>
        <v>4099200000</v>
      </c>
      <c r="AL54" s="10">
        <f t="shared" si="23"/>
        <v>1256637801.6999891</v>
      </c>
      <c r="AN54" s="10">
        <f t="shared" si="8"/>
        <v>3757600000</v>
      </c>
      <c r="AO54" s="10">
        <f t="shared" si="24"/>
        <v>1151917984.8916566</v>
      </c>
      <c r="AQ54" s="10">
        <f t="shared" si="9"/>
        <v>1012209600</v>
      </c>
      <c r="AR54" s="10">
        <f t="shared" si="25"/>
        <v>310299777.17691875</v>
      </c>
      <c r="AT54" s="678">
        <f>IF($K54&lt;=$F$15,IF($F$40&lt;&gt;"",$F$40/1000,IF(ISERROR(VLOOKUP($F$3&amp;IF($G$4&lt;&gt;"",$G$4,"")&amp;IF($F$43&lt;&gt;"","_"&amp;$F$43,""),'表3）燃料価格'!$AF$9:$AG$25,2,0)),0,VLOOKUP($I54,'表3）燃料価格'!$A$5:$AC$56,VLOOKUP($F$3&amp;IF($G$4&lt;&gt;"",$G$4,"")&amp;IF($F$43&lt;&gt;"","_"&amp;$F$43,""),'表3）燃料価格'!$AF$9:$AG$25,2,0)+VLOOKUP($F$41,'表3）燃料価格'!$AF$28:$AG$29,2,0),0)*IF($F$43="需要地価格",1,$F$8/$F$141))),"")</f>
        <v>19.007761758488105</v>
      </c>
      <c r="AV54" s="10">
        <f t="shared" si="26"/>
        <v>29004961653.245319</v>
      </c>
      <c r="AW54" s="10">
        <f t="shared" si="27"/>
        <v>8891669411.1842995</v>
      </c>
      <c r="AY54" s="40">
        <f>IF(ISERROR(IF($K54&lt;=$F$15,VLOOKUP($I54,'表4）CO2価格'!$A$7:$E$67,VLOOKUP($F$48,'表4）CO2価格'!$H$10:$I$12,2,0),0)*$F$8/1000,"")),0,IF($K54&lt;=$F$15,VLOOKUP($I54,'表4）CO2価格'!$A$7:$E$67,VLOOKUP($F$48,'表4）CO2価格'!$H$10:$I$12,2,0),0)*$F$8/1000,""))</f>
        <v>9.3762214345748625</v>
      </c>
      <c r="BA54" s="11">
        <f t="shared" si="10"/>
        <v>23814821307.57925</v>
      </c>
      <c r="BB54" s="10">
        <f t="shared" si="28"/>
        <v>7300596383.6442347</v>
      </c>
      <c r="BD54" s="10">
        <f t="shared" si="11"/>
        <v>0</v>
      </c>
      <c r="BE54" s="10">
        <f t="shared" si="29"/>
        <v>0</v>
      </c>
      <c r="BG54" s="11">
        <f t="shared" si="12"/>
        <v>0</v>
      </c>
      <c r="BH54" s="10">
        <f t="shared" si="30"/>
        <v>0</v>
      </c>
      <c r="BJ54" s="7" t="str">
        <f t="shared" si="31"/>
        <v/>
      </c>
      <c r="BK54" s="158" t="str">
        <f t="shared" si="32"/>
        <v/>
      </c>
      <c r="BL54" s="158" t="str">
        <f t="shared" si="13"/>
        <v/>
      </c>
      <c r="BM54" s="10"/>
      <c r="BN54" s="10" t="str">
        <f t="shared" si="33"/>
        <v/>
      </c>
      <c r="BO54" s="10" t="str">
        <f t="shared" si="34"/>
        <v/>
      </c>
      <c r="BQ54" s="10">
        <f t="shared" si="14"/>
        <v>4056318000</v>
      </c>
      <c r="BR54" s="10">
        <f t="shared" si="35"/>
        <v>1243492031.2539268</v>
      </c>
    </row>
    <row r="55" spans="3:70" ht="16.5" x14ac:dyDescent="0.15">
      <c r="D55" s="84" t="s">
        <v>582</v>
      </c>
      <c r="F55" s="475"/>
      <c r="G55" s="71" t="s">
        <v>561</v>
      </c>
      <c r="I55" s="38">
        <f>I54+1</f>
        <v>2070</v>
      </c>
      <c r="J55" s="39"/>
      <c r="K55" s="39">
        <f>IF(I55&lt;&gt;"",K54+1,"")</f>
        <v>41</v>
      </c>
      <c r="L55" s="39"/>
      <c r="M55" s="40">
        <f t="shared" si="0"/>
        <v>0.29762800075126877</v>
      </c>
      <c r="N55" s="39"/>
      <c r="O55" s="72" t="str">
        <f t="shared" si="15"/>
        <v/>
      </c>
      <c r="P55" s="41" t="str">
        <f t="shared" si="1"/>
        <v/>
      </c>
      <c r="Q55" s="39"/>
      <c r="R55" s="72" t="str">
        <f t="shared" si="16"/>
        <v/>
      </c>
      <c r="S55" s="39"/>
      <c r="T55" s="72" t="str">
        <f t="shared" si="17"/>
        <v/>
      </c>
      <c r="U55" s="39"/>
      <c r="V55" s="72" t="str">
        <f t="shared" si="2"/>
        <v/>
      </c>
      <c r="W55" s="72" t="str">
        <f t="shared" si="18"/>
        <v/>
      </c>
      <c r="X55" s="39"/>
      <c r="Y55" s="72" t="str">
        <f t="shared" si="3"/>
        <v/>
      </c>
      <c r="Z55" s="72" t="str">
        <f t="shared" si="19"/>
        <v/>
      </c>
      <c r="AA55" s="39"/>
      <c r="AB55" s="72">
        <f t="shared" si="4"/>
        <v>8540000000.000001</v>
      </c>
      <c r="AC55" s="72">
        <f t="shared" si="20"/>
        <v>2541743126.4158354</v>
      </c>
      <c r="AD55" s="39"/>
      <c r="AE55" s="72" t="str">
        <f t="shared" si="5"/>
        <v/>
      </c>
      <c r="AF55" s="72" t="str">
        <f t="shared" si="21"/>
        <v/>
      </c>
      <c r="AG55" s="39"/>
      <c r="AH55" s="72" t="str">
        <f t="shared" si="6"/>
        <v/>
      </c>
      <c r="AI55" s="72" t="str">
        <f t="shared" si="22"/>
        <v/>
      </c>
      <c r="AJ55" s="39"/>
      <c r="AK55" s="72" t="str">
        <f t="shared" si="7"/>
        <v/>
      </c>
      <c r="AL55" s="72" t="str">
        <f t="shared" si="23"/>
        <v/>
      </c>
      <c r="AM55" s="39"/>
      <c r="AN55" s="72" t="str">
        <f t="shared" si="8"/>
        <v/>
      </c>
      <c r="AO55" s="72" t="str">
        <f t="shared" si="24"/>
        <v/>
      </c>
      <c r="AP55" s="39"/>
      <c r="AQ55" s="72" t="str">
        <f t="shared" si="9"/>
        <v/>
      </c>
      <c r="AR55" s="72" t="str">
        <f t="shared" si="25"/>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26"/>
        <v/>
      </c>
      <c r="AW55" s="72" t="str">
        <f t="shared" si="27"/>
        <v/>
      </c>
      <c r="AX55" s="39"/>
      <c r="AY55" s="40" t="str">
        <f>IF(ISERROR(IF($K55&lt;=$F$15,VLOOKUP($I55,'表4）CO2価格'!$A$7:$E$67,VLOOKUP($F$48,'表4）CO2価格'!$H$10:$I$12,2,0),0)*$F$8/1000,"")),0,IF($K55&lt;=$F$15,VLOOKUP($I55,'表4）CO2価格'!$A$7:$E$67,VLOOKUP($F$48,'表4）CO2価格'!$H$10:$I$12,2,0),0)*$F$8/1000,""))</f>
        <v/>
      </c>
      <c r="AZ55" s="39"/>
      <c r="BA55" s="42" t="str">
        <f t="shared" si="10"/>
        <v/>
      </c>
      <c r="BB55" s="72" t="str">
        <f t="shared" si="28"/>
        <v/>
      </c>
      <c r="BC55" s="39"/>
      <c r="BD55" s="72" t="str">
        <f t="shared" si="11"/>
        <v/>
      </c>
      <c r="BE55" s="72" t="str">
        <f t="shared" si="29"/>
        <v/>
      </c>
      <c r="BF55" s="39"/>
      <c r="BG55" s="42" t="str">
        <f t="shared" si="12"/>
        <v/>
      </c>
      <c r="BH55" s="72" t="str">
        <f t="shared" si="30"/>
        <v/>
      </c>
      <c r="BI55" s="39"/>
      <c r="BJ55" s="40" t="str">
        <f t="shared" si="31"/>
        <v/>
      </c>
      <c r="BK55" s="157" t="str">
        <f t="shared" si="32"/>
        <v/>
      </c>
      <c r="BL55" s="157" t="str">
        <f t="shared" si="13"/>
        <v/>
      </c>
      <c r="BM55" s="72"/>
      <c r="BN55" s="72" t="str">
        <f t="shared" si="33"/>
        <v/>
      </c>
      <c r="BO55" s="72" t="str">
        <f t="shared" si="34"/>
        <v/>
      </c>
      <c r="BP55" s="39"/>
      <c r="BQ55" s="72" t="str">
        <f t="shared" si="14"/>
        <v/>
      </c>
      <c r="BR55" s="72" t="str">
        <f t="shared" si="35"/>
        <v/>
      </c>
    </row>
    <row r="56" spans="3:70" x14ac:dyDescent="0.15">
      <c r="D56" s="84" t="s">
        <v>583</v>
      </c>
      <c r="F56" s="481"/>
      <c r="G56" s="84" t="s">
        <v>574</v>
      </c>
      <c r="I56" s="322">
        <f t="shared" si="36"/>
        <v>2071</v>
      </c>
      <c r="K56" s="71">
        <f t="shared" si="37"/>
        <v>42</v>
      </c>
      <c r="M56" s="7">
        <f t="shared" si="0"/>
        <v>0.28895922403035801</v>
      </c>
      <c r="O56" s="10" t="str">
        <f t="shared" si="15"/>
        <v/>
      </c>
      <c r="P56" s="29" t="str">
        <f t="shared" si="1"/>
        <v/>
      </c>
      <c r="R56" s="10" t="str">
        <f t="shared" si="16"/>
        <v/>
      </c>
      <c r="T56" s="10" t="str">
        <f t="shared" si="17"/>
        <v/>
      </c>
      <c r="V56" s="10" t="str">
        <f t="shared" si="2"/>
        <v/>
      </c>
      <c r="W56" s="10" t="str">
        <f t="shared" si="18"/>
        <v/>
      </c>
      <c r="Y56" s="10" t="str">
        <f t="shared" si="3"/>
        <v/>
      </c>
      <c r="Z56" s="10" t="str">
        <f t="shared" si="19"/>
        <v/>
      </c>
      <c r="AB56" s="10" t="str">
        <f t="shared" si="4"/>
        <v/>
      </c>
      <c r="AC56" s="10" t="str">
        <f t="shared" si="20"/>
        <v/>
      </c>
      <c r="AE56" s="10" t="str">
        <f t="shared" si="5"/>
        <v/>
      </c>
      <c r="AF56" s="10" t="str">
        <f t="shared" si="21"/>
        <v/>
      </c>
      <c r="AH56" s="10" t="str">
        <f t="shared" si="6"/>
        <v/>
      </c>
      <c r="AI56" s="10" t="str">
        <f t="shared" si="22"/>
        <v/>
      </c>
      <c r="AK56" s="10" t="str">
        <f t="shared" si="7"/>
        <v/>
      </c>
      <c r="AL56" s="10" t="str">
        <f t="shared" si="23"/>
        <v/>
      </c>
      <c r="AN56" s="10" t="str">
        <f t="shared" si="8"/>
        <v/>
      </c>
      <c r="AO56" s="10" t="str">
        <f t="shared" si="24"/>
        <v/>
      </c>
      <c r="AQ56" s="10" t="str">
        <f t="shared" si="9"/>
        <v/>
      </c>
      <c r="AR56" s="10" t="str">
        <f t="shared" si="25"/>
        <v/>
      </c>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V56" s="10" t="str">
        <f t="shared" si="26"/>
        <v/>
      </c>
      <c r="AW56" s="10" t="str">
        <f t="shared" si="27"/>
        <v/>
      </c>
      <c r="AY56" s="7" t="str">
        <f>IF(ISERROR(IF($K56&lt;=$F$15,VLOOKUP($I56,'表4）CO2価格'!$A$7:$E$67,VLOOKUP($F$48,'表4）CO2価格'!$H$10:$I$12,2,0),0)*$F$8/1000,"")),0,IF($K56&lt;=$F$15,VLOOKUP($I56,'表4）CO2価格'!$A$7:$E$67,VLOOKUP($F$48,'表4）CO2価格'!$H$10:$I$12,2,0),0)*$F$8/1000,""))</f>
        <v/>
      </c>
      <c r="BA56" s="11" t="str">
        <f t="shared" si="10"/>
        <v/>
      </c>
      <c r="BB56" s="10" t="str">
        <f t="shared" si="28"/>
        <v/>
      </c>
      <c r="BD56" s="10" t="str">
        <f t="shared" si="11"/>
        <v/>
      </c>
      <c r="BE56" s="10" t="str">
        <f t="shared" si="29"/>
        <v/>
      </c>
      <c r="BG56" s="11" t="str">
        <f t="shared" si="12"/>
        <v/>
      </c>
      <c r="BH56" s="10" t="str">
        <f t="shared" si="30"/>
        <v/>
      </c>
      <c r="BJ56" s="7" t="str">
        <f t="shared" si="31"/>
        <v/>
      </c>
      <c r="BK56" s="158" t="str">
        <f t="shared" si="32"/>
        <v/>
      </c>
      <c r="BL56" s="158" t="str">
        <f t="shared" si="13"/>
        <v/>
      </c>
      <c r="BM56" s="10"/>
      <c r="BN56" s="10" t="str">
        <f t="shared" si="33"/>
        <v/>
      </c>
      <c r="BO56" s="10" t="str">
        <f t="shared" si="34"/>
        <v/>
      </c>
      <c r="BQ56" s="10" t="str">
        <f t="shared" si="14"/>
        <v/>
      </c>
      <c r="BR56" s="10" t="str">
        <f t="shared" si="35"/>
        <v/>
      </c>
    </row>
    <row r="57" spans="3:70" x14ac:dyDescent="0.15">
      <c r="I57" s="38">
        <f t="shared" si="36"/>
        <v>2072</v>
      </c>
      <c r="J57" s="39"/>
      <c r="K57" s="39">
        <f t="shared" si="37"/>
        <v>43</v>
      </c>
      <c r="L57" s="39"/>
      <c r="M57" s="40">
        <f t="shared" si="0"/>
        <v>0.28054293595180391</v>
      </c>
      <c r="N57" s="39"/>
      <c r="O57" s="72" t="str">
        <f t="shared" si="15"/>
        <v/>
      </c>
      <c r="P57" s="41" t="str">
        <f t="shared" si="1"/>
        <v/>
      </c>
      <c r="Q57" s="39"/>
      <c r="R57" s="72" t="str">
        <f t="shared" si="16"/>
        <v/>
      </c>
      <c r="S57" s="39"/>
      <c r="T57" s="72" t="str">
        <f t="shared" si="17"/>
        <v/>
      </c>
      <c r="U57" s="39"/>
      <c r="V57" s="72" t="str">
        <f t="shared" si="2"/>
        <v/>
      </c>
      <c r="W57" s="72" t="str">
        <f t="shared" si="18"/>
        <v/>
      </c>
      <c r="X57" s="39"/>
      <c r="Y57" s="72" t="str">
        <f t="shared" si="3"/>
        <v/>
      </c>
      <c r="Z57" s="72" t="str">
        <f t="shared" si="19"/>
        <v/>
      </c>
      <c r="AA57" s="39"/>
      <c r="AB57" s="72" t="str">
        <f t="shared" si="4"/>
        <v/>
      </c>
      <c r="AC57" s="72" t="str">
        <f t="shared" si="20"/>
        <v/>
      </c>
      <c r="AD57" s="39"/>
      <c r="AE57" s="72" t="str">
        <f t="shared" si="5"/>
        <v/>
      </c>
      <c r="AF57" s="72" t="str">
        <f t="shared" si="21"/>
        <v/>
      </c>
      <c r="AG57" s="39"/>
      <c r="AH57" s="72" t="str">
        <f t="shared" si="6"/>
        <v/>
      </c>
      <c r="AI57" s="72" t="str">
        <f t="shared" si="22"/>
        <v/>
      </c>
      <c r="AJ57" s="39"/>
      <c r="AK57" s="72" t="str">
        <f t="shared" si="7"/>
        <v/>
      </c>
      <c r="AL57" s="72" t="str">
        <f t="shared" si="23"/>
        <v/>
      </c>
      <c r="AM57" s="39"/>
      <c r="AN57" s="72" t="str">
        <f t="shared" si="8"/>
        <v/>
      </c>
      <c r="AO57" s="72" t="str">
        <f t="shared" si="24"/>
        <v/>
      </c>
      <c r="AP57" s="39"/>
      <c r="AQ57" s="72" t="str">
        <f t="shared" si="9"/>
        <v/>
      </c>
      <c r="AR57" s="72" t="str">
        <f t="shared" si="25"/>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26"/>
        <v/>
      </c>
      <c r="AW57" s="72" t="str">
        <f t="shared" si="27"/>
        <v/>
      </c>
      <c r="AX57" s="39"/>
      <c r="AY57" s="40" t="str">
        <f>IF(ISERROR(IF($K57&lt;=$F$15,VLOOKUP($I57,'表4）CO2価格'!$A$7:$E$67,VLOOKUP($F$48,'表4）CO2価格'!$H$10:$I$12,2,0),0)*$F$8/1000,"")),0,IF($K57&lt;=$F$15,VLOOKUP($I57,'表4）CO2価格'!$A$7:$E$67,VLOOKUP($F$48,'表4）CO2価格'!$H$10:$I$12,2,0),0)*$F$8/1000,""))</f>
        <v/>
      </c>
      <c r="AZ57" s="39"/>
      <c r="BA57" s="42" t="str">
        <f t="shared" si="10"/>
        <v/>
      </c>
      <c r="BB57" s="72" t="str">
        <f t="shared" si="28"/>
        <v/>
      </c>
      <c r="BC57" s="39"/>
      <c r="BD57" s="72" t="str">
        <f t="shared" si="11"/>
        <v/>
      </c>
      <c r="BE57" s="72" t="str">
        <f t="shared" si="29"/>
        <v/>
      </c>
      <c r="BF57" s="39"/>
      <c r="BG57" s="42" t="str">
        <f t="shared" si="12"/>
        <v/>
      </c>
      <c r="BH57" s="72" t="str">
        <f t="shared" si="30"/>
        <v/>
      </c>
      <c r="BI57" s="39"/>
      <c r="BJ57" s="40" t="str">
        <f t="shared" si="31"/>
        <v/>
      </c>
      <c r="BK57" s="157" t="str">
        <f t="shared" si="32"/>
        <v/>
      </c>
      <c r="BL57" s="157" t="str">
        <f t="shared" si="13"/>
        <v/>
      </c>
      <c r="BM57" s="72"/>
      <c r="BN57" s="72" t="str">
        <f t="shared" si="33"/>
        <v/>
      </c>
      <c r="BO57" s="72" t="str">
        <f t="shared" si="34"/>
        <v/>
      </c>
      <c r="BP57" s="39"/>
      <c r="BQ57" s="72" t="str">
        <f t="shared" si="14"/>
        <v/>
      </c>
      <c r="BR57" s="72" t="str">
        <f t="shared" si="35"/>
        <v/>
      </c>
    </row>
    <row r="58" spans="3:70" x14ac:dyDescent="0.15">
      <c r="C58" s="4" t="s">
        <v>584</v>
      </c>
      <c r="D58" s="100"/>
      <c r="E58" s="100"/>
      <c r="F58" s="4"/>
      <c r="G58" s="100"/>
      <c r="I58" s="322">
        <f t="shared" si="36"/>
        <v>2073</v>
      </c>
      <c r="K58" s="71">
        <f t="shared" si="37"/>
        <v>44</v>
      </c>
      <c r="M58" s="7">
        <f t="shared" si="0"/>
        <v>0.27237178247747956</v>
      </c>
      <c r="O58" s="10" t="str">
        <f t="shared" si="15"/>
        <v/>
      </c>
      <c r="P58" s="29" t="str">
        <f t="shared" si="1"/>
        <v/>
      </c>
      <c r="R58" s="10" t="str">
        <f t="shared" si="16"/>
        <v/>
      </c>
      <c r="T58" s="10" t="str">
        <f t="shared" si="17"/>
        <v/>
      </c>
      <c r="V58" s="10" t="str">
        <f t="shared" si="2"/>
        <v/>
      </c>
      <c r="W58" s="10" t="str">
        <f t="shared" si="18"/>
        <v/>
      </c>
      <c r="Y58" s="10" t="str">
        <f t="shared" si="3"/>
        <v/>
      </c>
      <c r="Z58" s="10" t="str">
        <f t="shared" si="19"/>
        <v/>
      </c>
      <c r="AB58" s="10" t="str">
        <f t="shared" si="4"/>
        <v/>
      </c>
      <c r="AC58" s="10" t="str">
        <f t="shared" si="20"/>
        <v/>
      </c>
      <c r="AE58" s="10" t="str">
        <f t="shared" si="5"/>
        <v/>
      </c>
      <c r="AF58" s="10" t="str">
        <f t="shared" si="21"/>
        <v/>
      </c>
      <c r="AH58" s="10" t="str">
        <f t="shared" si="6"/>
        <v/>
      </c>
      <c r="AI58" s="10" t="str">
        <f t="shared" si="22"/>
        <v/>
      </c>
      <c r="AK58" s="10" t="str">
        <f t="shared" si="7"/>
        <v/>
      </c>
      <c r="AL58" s="10" t="str">
        <f t="shared" si="23"/>
        <v/>
      </c>
      <c r="AN58" s="10" t="str">
        <f t="shared" si="8"/>
        <v/>
      </c>
      <c r="AO58" s="10" t="str">
        <f t="shared" si="24"/>
        <v/>
      </c>
      <c r="AQ58" s="10" t="str">
        <f t="shared" si="9"/>
        <v/>
      </c>
      <c r="AR58" s="10" t="str">
        <f t="shared" si="25"/>
        <v/>
      </c>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V58" s="10" t="str">
        <f t="shared" si="26"/>
        <v/>
      </c>
      <c r="AW58" s="10" t="str">
        <f t="shared" si="27"/>
        <v/>
      </c>
      <c r="AY58" s="7" t="str">
        <f>IF(ISERROR(IF($K58&lt;=$F$15,VLOOKUP($I58,'表4）CO2価格'!$A$7:$E$67,VLOOKUP($F$48,'表4）CO2価格'!$H$10:$I$12,2,0),0)*$F$8/1000,"")),0,IF($K58&lt;=$F$15,VLOOKUP($I58,'表4）CO2価格'!$A$7:$E$67,VLOOKUP($F$48,'表4）CO2価格'!$H$10:$I$12,2,0),0)*$F$8/1000,""))</f>
        <v/>
      </c>
      <c r="BA58" s="11" t="str">
        <f t="shared" si="10"/>
        <v/>
      </c>
      <c r="BB58" s="10" t="str">
        <f t="shared" si="28"/>
        <v/>
      </c>
      <c r="BD58" s="10" t="str">
        <f t="shared" si="11"/>
        <v/>
      </c>
      <c r="BE58" s="10" t="str">
        <f t="shared" si="29"/>
        <v/>
      </c>
      <c r="BG58" s="11" t="str">
        <f t="shared" si="12"/>
        <v/>
      </c>
      <c r="BH58" s="10" t="str">
        <f t="shared" si="30"/>
        <v/>
      </c>
      <c r="BJ58" s="7" t="str">
        <f t="shared" si="31"/>
        <v/>
      </c>
      <c r="BK58" s="158" t="str">
        <f t="shared" si="32"/>
        <v/>
      </c>
      <c r="BL58" s="158" t="str">
        <f t="shared" si="13"/>
        <v/>
      </c>
      <c r="BM58" s="10"/>
      <c r="BN58" s="10" t="str">
        <f t="shared" si="33"/>
        <v/>
      </c>
      <c r="BO58" s="10" t="str">
        <f t="shared" si="34"/>
        <v/>
      </c>
      <c r="BQ58" s="10" t="str">
        <f t="shared" si="14"/>
        <v/>
      </c>
      <c r="BR58" s="10" t="str">
        <f t="shared" si="35"/>
        <v/>
      </c>
    </row>
    <row r="59" spans="3:70" x14ac:dyDescent="0.15">
      <c r="I59" s="38">
        <f t="shared" si="36"/>
        <v>2074</v>
      </c>
      <c r="J59" s="39"/>
      <c r="K59" s="39">
        <f t="shared" si="37"/>
        <v>45</v>
      </c>
      <c r="L59" s="39"/>
      <c r="M59" s="40">
        <f t="shared" si="0"/>
        <v>0.26443862376454325</v>
      </c>
      <c r="N59" s="39"/>
      <c r="O59" s="72" t="str">
        <f t="shared" si="15"/>
        <v/>
      </c>
      <c r="P59" s="41" t="str">
        <f t="shared" si="1"/>
        <v/>
      </c>
      <c r="Q59" s="39"/>
      <c r="R59" s="72" t="str">
        <f t="shared" si="16"/>
        <v/>
      </c>
      <c r="S59" s="39"/>
      <c r="T59" s="72" t="str">
        <f t="shared" si="17"/>
        <v/>
      </c>
      <c r="U59" s="39"/>
      <c r="V59" s="72" t="str">
        <f t="shared" si="2"/>
        <v/>
      </c>
      <c r="W59" s="72" t="str">
        <f t="shared" si="18"/>
        <v/>
      </c>
      <c r="X59" s="39"/>
      <c r="Y59" s="72" t="str">
        <f t="shared" si="3"/>
        <v/>
      </c>
      <c r="Z59" s="72" t="str">
        <f t="shared" si="19"/>
        <v/>
      </c>
      <c r="AA59" s="39"/>
      <c r="AB59" s="72" t="str">
        <f t="shared" si="4"/>
        <v/>
      </c>
      <c r="AC59" s="72" t="str">
        <f t="shared" si="20"/>
        <v/>
      </c>
      <c r="AD59" s="39"/>
      <c r="AE59" s="72" t="str">
        <f t="shared" si="5"/>
        <v/>
      </c>
      <c r="AF59" s="72" t="str">
        <f t="shared" si="21"/>
        <v/>
      </c>
      <c r="AG59" s="39"/>
      <c r="AH59" s="72" t="str">
        <f t="shared" si="6"/>
        <v/>
      </c>
      <c r="AI59" s="72" t="str">
        <f t="shared" si="22"/>
        <v/>
      </c>
      <c r="AJ59" s="39"/>
      <c r="AK59" s="72" t="str">
        <f t="shared" si="7"/>
        <v/>
      </c>
      <c r="AL59" s="72" t="str">
        <f t="shared" si="23"/>
        <v/>
      </c>
      <c r="AM59" s="39"/>
      <c r="AN59" s="72" t="str">
        <f t="shared" si="8"/>
        <v/>
      </c>
      <c r="AO59" s="72" t="str">
        <f t="shared" si="24"/>
        <v/>
      </c>
      <c r="AP59" s="39"/>
      <c r="AQ59" s="72" t="str">
        <f t="shared" si="9"/>
        <v/>
      </c>
      <c r="AR59" s="72" t="str">
        <f t="shared" si="25"/>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26"/>
        <v/>
      </c>
      <c r="AW59" s="72" t="str">
        <f t="shared" si="27"/>
        <v/>
      </c>
      <c r="AX59" s="39"/>
      <c r="AY59" s="40" t="str">
        <f>IF(ISERROR(IF($K59&lt;=$F$15,VLOOKUP($I59,'表4）CO2価格'!$A$7:$E$67,VLOOKUP($F$48,'表4）CO2価格'!$H$10:$I$12,2,0),0)*$F$8/1000,"")),0,IF($K59&lt;=$F$15,VLOOKUP($I59,'表4）CO2価格'!$A$7:$E$67,VLOOKUP($F$48,'表4）CO2価格'!$H$10:$I$12,2,0),0)*$F$8/1000,""))</f>
        <v/>
      </c>
      <c r="AZ59" s="39"/>
      <c r="BA59" s="42" t="str">
        <f t="shared" si="10"/>
        <v/>
      </c>
      <c r="BB59" s="72" t="str">
        <f t="shared" si="28"/>
        <v/>
      </c>
      <c r="BC59" s="39"/>
      <c r="BD59" s="72" t="str">
        <f t="shared" si="11"/>
        <v/>
      </c>
      <c r="BE59" s="72" t="str">
        <f t="shared" si="29"/>
        <v/>
      </c>
      <c r="BF59" s="39"/>
      <c r="BG59" s="42" t="str">
        <f t="shared" si="12"/>
        <v/>
      </c>
      <c r="BH59" s="72" t="str">
        <f t="shared" si="30"/>
        <v/>
      </c>
      <c r="BI59" s="39"/>
      <c r="BJ59" s="40" t="str">
        <f t="shared" si="31"/>
        <v/>
      </c>
      <c r="BK59" s="157" t="str">
        <f t="shared" si="32"/>
        <v/>
      </c>
      <c r="BL59" s="157" t="str">
        <f t="shared" si="13"/>
        <v/>
      </c>
      <c r="BM59" s="72"/>
      <c r="BN59" s="72" t="str">
        <f t="shared" si="33"/>
        <v/>
      </c>
      <c r="BO59" s="72" t="str">
        <f t="shared" si="34"/>
        <v/>
      </c>
      <c r="BP59" s="39"/>
      <c r="BQ59" s="72" t="str">
        <f t="shared" si="14"/>
        <v/>
      </c>
      <c r="BR59" s="72" t="str">
        <f t="shared" si="35"/>
        <v/>
      </c>
    </row>
    <row r="60" spans="3:70" x14ac:dyDescent="0.15">
      <c r="D60" s="84" t="s">
        <v>585</v>
      </c>
      <c r="F60" s="481"/>
      <c r="G60" s="84" t="s">
        <v>566</v>
      </c>
      <c r="I60" s="322">
        <f t="shared" si="36"/>
        <v>2075</v>
      </c>
      <c r="K60" s="71">
        <f t="shared" si="37"/>
        <v>46</v>
      </c>
      <c r="M60" s="7">
        <f t="shared" si="0"/>
        <v>0.25673652792674101</v>
      </c>
      <c r="O60" s="10" t="str">
        <f t="shared" si="15"/>
        <v/>
      </c>
      <c r="P60" s="29" t="str">
        <f t="shared" si="1"/>
        <v/>
      </c>
      <c r="R60" s="10" t="str">
        <f t="shared" si="16"/>
        <v/>
      </c>
      <c r="T60" s="10" t="str">
        <f t="shared" si="17"/>
        <v/>
      </c>
      <c r="V60" s="10" t="str">
        <f t="shared" si="2"/>
        <v/>
      </c>
      <c r="W60" s="10" t="str">
        <f t="shared" si="18"/>
        <v/>
      </c>
      <c r="Y60" s="10" t="str">
        <f t="shared" si="3"/>
        <v/>
      </c>
      <c r="Z60" s="10" t="str">
        <f t="shared" si="19"/>
        <v/>
      </c>
      <c r="AB60" s="10" t="str">
        <f t="shared" si="4"/>
        <v/>
      </c>
      <c r="AC60" s="10" t="str">
        <f t="shared" si="20"/>
        <v/>
      </c>
      <c r="AE60" s="10" t="str">
        <f t="shared" si="5"/>
        <v/>
      </c>
      <c r="AF60" s="10" t="str">
        <f t="shared" si="21"/>
        <v/>
      </c>
      <c r="AH60" s="10" t="str">
        <f t="shared" si="6"/>
        <v/>
      </c>
      <c r="AI60" s="10" t="str">
        <f t="shared" si="22"/>
        <v/>
      </c>
      <c r="AK60" s="10" t="str">
        <f t="shared" si="7"/>
        <v/>
      </c>
      <c r="AL60" s="10" t="str">
        <f t="shared" si="23"/>
        <v/>
      </c>
      <c r="AN60" s="10" t="str">
        <f t="shared" si="8"/>
        <v/>
      </c>
      <c r="AO60" s="10" t="str">
        <f t="shared" si="24"/>
        <v/>
      </c>
      <c r="AQ60" s="10" t="str">
        <f t="shared" si="9"/>
        <v/>
      </c>
      <c r="AR60" s="10" t="str">
        <f t="shared" si="25"/>
        <v/>
      </c>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V60" s="10" t="str">
        <f t="shared" si="26"/>
        <v/>
      </c>
      <c r="AW60" s="10" t="str">
        <f t="shared" si="27"/>
        <v/>
      </c>
      <c r="AY60" s="7" t="str">
        <f>IF(ISERROR(IF($K60&lt;=$F$15,VLOOKUP($I60,'表4）CO2価格'!$A$7:$E$67,VLOOKUP($F$48,'表4）CO2価格'!$H$10:$I$12,2,0),0)*$F$8/1000,"")),0,IF($K60&lt;=$F$15,VLOOKUP($I60,'表4）CO2価格'!$A$7:$E$67,VLOOKUP($F$48,'表4）CO2価格'!$H$10:$I$12,2,0),0)*$F$8/1000,""))</f>
        <v/>
      </c>
      <c r="BA60" s="11" t="str">
        <f t="shared" si="10"/>
        <v/>
      </c>
      <c r="BB60" s="10" t="str">
        <f t="shared" si="28"/>
        <v/>
      </c>
      <c r="BD60" s="10" t="str">
        <f t="shared" si="11"/>
        <v/>
      </c>
      <c r="BE60" s="10" t="str">
        <f t="shared" si="29"/>
        <v/>
      </c>
      <c r="BG60" s="11" t="str">
        <f t="shared" si="12"/>
        <v/>
      </c>
      <c r="BH60" s="10" t="str">
        <f t="shared" si="30"/>
        <v/>
      </c>
      <c r="BJ60" s="7" t="str">
        <f t="shared" si="31"/>
        <v/>
      </c>
      <c r="BK60" s="158" t="str">
        <f t="shared" si="32"/>
        <v/>
      </c>
      <c r="BL60" s="158" t="str">
        <f t="shared" si="13"/>
        <v/>
      </c>
      <c r="BM60" s="10"/>
      <c r="BN60" s="10" t="str">
        <f t="shared" si="33"/>
        <v/>
      </c>
      <c r="BO60" s="10" t="str">
        <f t="shared" si="34"/>
        <v/>
      </c>
      <c r="BQ60" s="10" t="str">
        <f t="shared" si="14"/>
        <v/>
      </c>
      <c r="BR60" s="10" t="str">
        <f t="shared" si="35"/>
        <v/>
      </c>
    </row>
    <row r="61" spans="3:70" x14ac:dyDescent="0.15">
      <c r="D61" s="84" t="s">
        <v>586</v>
      </c>
      <c r="F61" s="475"/>
      <c r="G61" s="84" t="s">
        <v>556</v>
      </c>
      <c r="I61" s="38">
        <f t="shared" si="36"/>
        <v>2076</v>
      </c>
      <c r="J61" s="39"/>
      <c r="K61" s="39">
        <f t="shared" si="37"/>
        <v>47</v>
      </c>
      <c r="L61" s="39"/>
      <c r="M61" s="40">
        <f t="shared" si="0"/>
        <v>0.24925876497741845</v>
      </c>
      <c r="N61" s="39"/>
      <c r="O61" s="72" t="str">
        <f t="shared" si="15"/>
        <v/>
      </c>
      <c r="P61" s="41" t="str">
        <f t="shared" si="1"/>
        <v/>
      </c>
      <c r="Q61" s="39"/>
      <c r="R61" s="72" t="str">
        <f t="shared" si="16"/>
        <v/>
      </c>
      <c r="S61" s="39"/>
      <c r="T61" s="72" t="str">
        <f t="shared" si="17"/>
        <v/>
      </c>
      <c r="U61" s="39"/>
      <c r="V61" s="72" t="str">
        <f t="shared" si="2"/>
        <v/>
      </c>
      <c r="W61" s="72" t="str">
        <f t="shared" si="18"/>
        <v/>
      </c>
      <c r="X61" s="39"/>
      <c r="Y61" s="72" t="str">
        <f t="shared" si="3"/>
        <v/>
      </c>
      <c r="Z61" s="72" t="str">
        <f t="shared" si="19"/>
        <v/>
      </c>
      <c r="AA61" s="39"/>
      <c r="AB61" s="72" t="str">
        <f t="shared" si="4"/>
        <v/>
      </c>
      <c r="AC61" s="72" t="str">
        <f t="shared" si="20"/>
        <v/>
      </c>
      <c r="AD61" s="39"/>
      <c r="AE61" s="72" t="str">
        <f t="shared" si="5"/>
        <v/>
      </c>
      <c r="AF61" s="72" t="str">
        <f t="shared" si="21"/>
        <v/>
      </c>
      <c r="AG61" s="39"/>
      <c r="AH61" s="72" t="str">
        <f t="shared" si="6"/>
        <v/>
      </c>
      <c r="AI61" s="72" t="str">
        <f t="shared" si="22"/>
        <v/>
      </c>
      <c r="AJ61" s="39"/>
      <c r="AK61" s="72" t="str">
        <f t="shared" si="7"/>
        <v/>
      </c>
      <c r="AL61" s="72" t="str">
        <f t="shared" si="23"/>
        <v/>
      </c>
      <c r="AM61" s="39"/>
      <c r="AN61" s="72" t="str">
        <f t="shared" si="8"/>
        <v/>
      </c>
      <c r="AO61" s="72" t="str">
        <f t="shared" si="24"/>
        <v/>
      </c>
      <c r="AP61" s="39"/>
      <c r="AQ61" s="72" t="str">
        <f t="shared" si="9"/>
        <v/>
      </c>
      <c r="AR61" s="72" t="str">
        <f t="shared" si="25"/>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26"/>
        <v/>
      </c>
      <c r="AW61" s="72" t="str">
        <f t="shared" si="27"/>
        <v/>
      </c>
      <c r="AX61" s="39"/>
      <c r="AY61" s="40" t="str">
        <f>IF(ISERROR(IF($K61&lt;=$F$15,VLOOKUP($I61,'表4）CO2価格'!$A$7:$E$67,VLOOKUP($F$48,'表4）CO2価格'!$H$10:$I$12,2,0),0)*$F$8/1000,"")),0,IF($K61&lt;=$F$15,VLOOKUP($I61,'表4）CO2価格'!$A$7:$E$67,VLOOKUP($F$48,'表4）CO2価格'!$H$10:$I$12,2,0),0)*$F$8/1000,""))</f>
        <v/>
      </c>
      <c r="AZ61" s="39"/>
      <c r="BA61" s="42" t="str">
        <f t="shared" si="10"/>
        <v/>
      </c>
      <c r="BB61" s="72" t="str">
        <f t="shared" si="28"/>
        <v/>
      </c>
      <c r="BC61" s="39"/>
      <c r="BD61" s="72" t="str">
        <f t="shared" si="11"/>
        <v/>
      </c>
      <c r="BE61" s="72" t="str">
        <f t="shared" si="29"/>
        <v/>
      </c>
      <c r="BF61" s="39"/>
      <c r="BG61" s="42" t="str">
        <f t="shared" si="12"/>
        <v/>
      </c>
      <c r="BH61" s="72" t="str">
        <f t="shared" si="30"/>
        <v/>
      </c>
      <c r="BI61" s="39"/>
      <c r="BJ61" s="40" t="str">
        <f t="shared" si="31"/>
        <v/>
      </c>
      <c r="BK61" s="157" t="str">
        <f t="shared" si="32"/>
        <v/>
      </c>
      <c r="BL61" s="157" t="str">
        <f t="shared" si="13"/>
        <v/>
      </c>
      <c r="BM61" s="72"/>
      <c r="BN61" s="72" t="str">
        <f t="shared" si="33"/>
        <v/>
      </c>
      <c r="BO61" s="72" t="str">
        <f t="shared" si="34"/>
        <v/>
      </c>
      <c r="BP61" s="39"/>
      <c r="BQ61" s="72" t="str">
        <f t="shared" si="14"/>
        <v/>
      </c>
      <c r="BR61" s="72" t="str">
        <f t="shared" si="35"/>
        <v/>
      </c>
    </row>
    <row r="62" spans="3:70" x14ac:dyDescent="0.15">
      <c r="D62" s="84" t="s">
        <v>587</v>
      </c>
      <c r="F62" s="481"/>
      <c r="G62" s="84" t="s">
        <v>588</v>
      </c>
      <c r="I62" s="322">
        <f t="shared" si="36"/>
        <v>2077</v>
      </c>
      <c r="K62" s="71">
        <f t="shared" si="37"/>
        <v>48</v>
      </c>
      <c r="M62" s="7">
        <f t="shared" si="0"/>
        <v>0.24199880094894996</v>
      </c>
      <c r="O62" s="10" t="str">
        <f t="shared" si="15"/>
        <v/>
      </c>
      <c r="P62" s="29" t="str">
        <f t="shared" si="1"/>
        <v/>
      </c>
      <c r="R62" s="10" t="str">
        <f t="shared" si="16"/>
        <v/>
      </c>
      <c r="T62" s="10" t="str">
        <f t="shared" si="17"/>
        <v/>
      </c>
      <c r="V62" s="10" t="str">
        <f t="shared" si="2"/>
        <v/>
      </c>
      <c r="W62" s="10" t="str">
        <f t="shared" si="18"/>
        <v/>
      </c>
      <c r="Y62" s="10" t="str">
        <f t="shared" si="3"/>
        <v/>
      </c>
      <c r="Z62" s="10" t="str">
        <f t="shared" si="19"/>
        <v/>
      </c>
      <c r="AB62" s="10" t="str">
        <f t="shared" si="4"/>
        <v/>
      </c>
      <c r="AC62" s="10" t="str">
        <f t="shared" si="20"/>
        <v/>
      </c>
      <c r="AE62" s="10" t="str">
        <f t="shared" si="5"/>
        <v/>
      </c>
      <c r="AF62" s="10" t="str">
        <f t="shared" si="21"/>
        <v/>
      </c>
      <c r="AH62" s="10" t="str">
        <f t="shared" si="6"/>
        <v/>
      </c>
      <c r="AI62" s="10" t="str">
        <f t="shared" si="22"/>
        <v/>
      </c>
      <c r="AK62" s="10" t="str">
        <f t="shared" si="7"/>
        <v/>
      </c>
      <c r="AL62" s="10" t="str">
        <f t="shared" si="23"/>
        <v/>
      </c>
      <c r="AN62" s="10" t="str">
        <f t="shared" si="8"/>
        <v/>
      </c>
      <c r="AO62" s="10" t="str">
        <f t="shared" si="24"/>
        <v/>
      </c>
      <c r="AQ62" s="10" t="str">
        <f t="shared" si="9"/>
        <v/>
      </c>
      <c r="AR62" s="10" t="str">
        <f t="shared" si="25"/>
        <v/>
      </c>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V62" s="10" t="str">
        <f t="shared" si="26"/>
        <v/>
      </c>
      <c r="AW62" s="10" t="str">
        <f t="shared" si="27"/>
        <v/>
      </c>
      <c r="AY62" s="7" t="str">
        <f>IF(ISERROR(IF($K62&lt;=$F$15,VLOOKUP($I62,'表4）CO2価格'!$A$7:$E$67,VLOOKUP($F$48,'表4）CO2価格'!$H$10:$I$12,2,0),0)*$F$8/1000,"")),0,IF($K62&lt;=$F$15,VLOOKUP($I62,'表4）CO2価格'!$A$7:$E$67,VLOOKUP($F$48,'表4）CO2価格'!$H$10:$I$12,2,0),0)*$F$8/1000,""))</f>
        <v/>
      </c>
      <c r="BA62" s="11" t="str">
        <f t="shared" si="10"/>
        <v/>
      </c>
      <c r="BB62" s="10" t="str">
        <f t="shared" si="28"/>
        <v/>
      </c>
      <c r="BD62" s="10" t="str">
        <f t="shared" si="11"/>
        <v/>
      </c>
      <c r="BE62" s="10" t="str">
        <f t="shared" si="29"/>
        <v/>
      </c>
      <c r="BG62" s="11" t="str">
        <f t="shared" si="12"/>
        <v/>
      </c>
      <c r="BH62" s="10" t="str">
        <f t="shared" si="30"/>
        <v/>
      </c>
      <c r="BJ62" s="7" t="str">
        <f t="shared" si="31"/>
        <v/>
      </c>
      <c r="BK62" s="158" t="str">
        <f t="shared" si="32"/>
        <v/>
      </c>
      <c r="BL62" s="158" t="str">
        <f t="shared" si="13"/>
        <v/>
      </c>
      <c r="BM62" s="10"/>
      <c r="BN62" s="10" t="str">
        <f t="shared" si="33"/>
        <v/>
      </c>
      <c r="BO62" s="10" t="str">
        <f t="shared" si="34"/>
        <v/>
      </c>
      <c r="BQ62" s="10" t="str">
        <f t="shared" si="14"/>
        <v/>
      </c>
      <c r="BR62" s="10" t="str">
        <f t="shared" si="35"/>
        <v/>
      </c>
    </row>
    <row r="63" spans="3:70" x14ac:dyDescent="0.15">
      <c r="I63" s="38">
        <f t="shared" si="36"/>
        <v>2078</v>
      </c>
      <c r="J63" s="39"/>
      <c r="K63" s="39">
        <f t="shared" si="37"/>
        <v>49</v>
      </c>
      <c r="L63" s="39"/>
      <c r="M63" s="40">
        <f t="shared" si="0"/>
        <v>0.2349502921834466</v>
      </c>
      <c r="N63" s="39"/>
      <c r="O63" s="72" t="str">
        <f t="shared" si="15"/>
        <v/>
      </c>
      <c r="P63" s="41" t="str">
        <f t="shared" si="1"/>
        <v/>
      </c>
      <c r="Q63" s="39"/>
      <c r="R63" s="72" t="str">
        <f t="shared" si="16"/>
        <v/>
      </c>
      <c r="S63" s="39"/>
      <c r="T63" s="72" t="str">
        <f t="shared" si="17"/>
        <v/>
      </c>
      <c r="U63" s="39"/>
      <c r="V63" s="72" t="str">
        <f t="shared" si="2"/>
        <v/>
      </c>
      <c r="W63" s="72" t="str">
        <f t="shared" si="18"/>
        <v/>
      </c>
      <c r="X63" s="39"/>
      <c r="Y63" s="72" t="str">
        <f t="shared" si="3"/>
        <v/>
      </c>
      <c r="Z63" s="72" t="str">
        <f t="shared" si="19"/>
        <v/>
      </c>
      <c r="AA63" s="39"/>
      <c r="AB63" s="72" t="str">
        <f t="shared" si="4"/>
        <v/>
      </c>
      <c r="AC63" s="72" t="str">
        <f t="shared" si="20"/>
        <v/>
      </c>
      <c r="AD63" s="39"/>
      <c r="AE63" s="72" t="str">
        <f t="shared" si="5"/>
        <v/>
      </c>
      <c r="AF63" s="72" t="str">
        <f t="shared" si="21"/>
        <v/>
      </c>
      <c r="AG63" s="39"/>
      <c r="AH63" s="72" t="str">
        <f t="shared" si="6"/>
        <v/>
      </c>
      <c r="AI63" s="72" t="str">
        <f t="shared" si="22"/>
        <v/>
      </c>
      <c r="AJ63" s="39"/>
      <c r="AK63" s="72" t="str">
        <f t="shared" si="7"/>
        <v/>
      </c>
      <c r="AL63" s="72" t="str">
        <f t="shared" si="23"/>
        <v/>
      </c>
      <c r="AM63" s="39"/>
      <c r="AN63" s="72" t="str">
        <f t="shared" si="8"/>
        <v/>
      </c>
      <c r="AO63" s="72" t="str">
        <f t="shared" si="24"/>
        <v/>
      </c>
      <c r="AP63" s="39"/>
      <c r="AQ63" s="72" t="str">
        <f t="shared" si="9"/>
        <v/>
      </c>
      <c r="AR63" s="72" t="str">
        <f t="shared" si="25"/>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26"/>
        <v/>
      </c>
      <c r="AW63" s="72" t="str">
        <f t="shared" si="27"/>
        <v/>
      </c>
      <c r="AX63" s="39"/>
      <c r="AY63" s="40" t="str">
        <f>IF(ISERROR(IF($K63&lt;=$F$15,VLOOKUP($I63,'表4）CO2価格'!$A$7:$E$67,VLOOKUP($F$48,'表4）CO2価格'!$H$10:$I$12,2,0),0)*$F$8/1000,"")),0,IF($K63&lt;=$F$15,VLOOKUP($I63,'表4）CO2価格'!$A$7:$E$67,VLOOKUP($F$48,'表4）CO2価格'!$H$10:$I$12,2,0),0)*$F$8/1000,""))</f>
        <v/>
      </c>
      <c r="AZ63" s="39"/>
      <c r="BA63" s="42" t="str">
        <f t="shared" si="10"/>
        <v/>
      </c>
      <c r="BB63" s="72" t="str">
        <f t="shared" si="28"/>
        <v/>
      </c>
      <c r="BC63" s="39"/>
      <c r="BD63" s="72" t="str">
        <f t="shared" si="11"/>
        <v/>
      </c>
      <c r="BE63" s="72" t="str">
        <f t="shared" si="29"/>
        <v/>
      </c>
      <c r="BF63" s="39"/>
      <c r="BG63" s="42" t="str">
        <f t="shared" si="12"/>
        <v/>
      </c>
      <c r="BH63" s="72" t="str">
        <f t="shared" si="30"/>
        <v/>
      </c>
      <c r="BI63" s="39"/>
      <c r="BJ63" s="40" t="str">
        <f t="shared" si="31"/>
        <v/>
      </c>
      <c r="BK63" s="157" t="str">
        <f t="shared" si="32"/>
        <v/>
      </c>
      <c r="BL63" s="157" t="str">
        <f t="shared" si="13"/>
        <v/>
      </c>
      <c r="BM63" s="72"/>
      <c r="BN63" s="72" t="str">
        <f t="shared" si="33"/>
        <v/>
      </c>
      <c r="BO63" s="72" t="str">
        <f t="shared" si="34"/>
        <v/>
      </c>
      <c r="BP63" s="39"/>
      <c r="BQ63" s="72" t="str">
        <f t="shared" si="14"/>
        <v/>
      </c>
      <c r="BR63" s="72" t="str">
        <f t="shared" si="35"/>
        <v/>
      </c>
    </row>
    <row r="64" spans="3:70" x14ac:dyDescent="0.15">
      <c r="C64" s="71" t="s">
        <v>589</v>
      </c>
      <c r="F64" s="518">
        <v>0.05</v>
      </c>
      <c r="G64" s="84" t="s">
        <v>590</v>
      </c>
      <c r="I64" s="322">
        <f t="shared" si="36"/>
        <v>2079</v>
      </c>
      <c r="K64" s="71">
        <f t="shared" si="37"/>
        <v>50</v>
      </c>
      <c r="M64" s="7">
        <f t="shared" si="0"/>
        <v>0.22810707978975397</v>
      </c>
      <c r="O64" s="10" t="str">
        <f t="shared" si="15"/>
        <v/>
      </c>
      <c r="P64" s="29" t="str">
        <f t="shared" si="1"/>
        <v/>
      </c>
      <c r="R64" s="10" t="str">
        <f t="shared" si="16"/>
        <v/>
      </c>
      <c r="T64" s="10" t="str">
        <f t="shared" si="17"/>
        <v/>
      </c>
      <c r="V64" s="10" t="str">
        <f t="shared" si="2"/>
        <v/>
      </c>
      <c r="W64" s="10" t="str">
        <f t="shared" si="18"/>
        <v/>
      </c>
      <c r="Y64" s="10" t="str">
        <f t="shared" si="3"/>
        <v/>
      </c>
      <c r="Z64" s="10" t="str">
        <f t="shared" si="19"/>
        <v/>
      </c>
      <c r="AB64" s="10" t="str">
        <f t="shared" si="4"/>
        <v/>
      </c>
      <c r="AC64" s="10" t="str">
        <f t="shared" si="20"/>
        <v/>
      </c>
      <c r="AE64" s="10" t="str">
        <f t="shared" si="5"/>
        <v/>
      </c>
      <c r="AF64" s="10" t="str">
        <f t="shared" si="21"/>
        <v/>
      </c>
      <c r="AH64" s="10" t="str">
        <f t="shared" si="6"/>
        <v/>
      </c>
      <c r="AI64" s="10" t="str">
        <f t="shared" si="22"/>
        <v/>
      </c>
      <c r="AK64" s="10" t="str">
        <f t="shared" si="7"/>
        <v/>
      </c>
      <c r="AL64" s="10" t="str">
        <f t="shared" si="23"/>
        <v/>
      </c>
      <c r="AN64" s="10" t="str">
        <f t="shared" si="8"/>
        <v/>
      </c>
      <c r="AO64" s="10" t="str">
        <f t="shared" si="24"/>
        <v/>
      </c>
      <c r="AQ64" s="10" t="str">
        <f t="shared" si="9"/>
        <v/>
      </c>
      <c r="AR64" s="10" t="str">
        <f t="shared" si="25"/>
        <v/>
      </c>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V64" s="10" t="str">
        <f t="shared" si="26"/>
        <v/>
      </c>
      <c r="AW64" s="10" t="str">
        <f t="shared" si="27"/>
        <v/>
      </c>
      <c r="AY64" s="7" t="str">
        <f>IF(ISERROR(IF($K64&lt;=$F$15,VLOOKUP($I64,'表4）CO2価格'!$A$7:$E$67,VLOOKUP($F$48,'表4）CO2価格'!$H$10:$I$12,2,0),0)*$F$8/1000,"")),0,IF($K64&lt;=$F$15,VLOOKUP($I64,'表4）CO2価格'!$A$7:$E$67,VLOOKUP($F$48,'表4）CO2価格'!$H$10:$I$12,2,0),0)*$F$8/1000,""))</f>
        <v/>
      </c>
      <c r="BA64" s="11" t="str">
        <f t="shared" si="10"/>
        <v/>
      </c>
      <c r="BB64" s="10" t="str">
        <f t="shared" si="28"/>
        <v/>
      </c>
      <c r="BD64" s="10" t="str">
        <f t="shared" si="11"/>
        <v/>
      </c>
      <c r="BE64" s="10" t="str">
        <f t="shared" si="29"/>
        <v/>
      </c>
      <c r="BG64" s="11" t="str">
        <f t="shared" si="12"/>
        <v/>
      </c>
      <c r="BH64" s="10" t="str">
        <f t="shared" si="30"/>
        <v/>
      </c>
      <c r="BJ64" s="7" t="str">
        <f t="shared" si="31"/>
        <v/>
      </c>
      <c r="BK64" s="158" t="str">
        <f t="shared" si="32"/>
        <v/>
      </c>
      <c r="BL64" s="158" t="str">
        <f t="shared" si="13"/>
        <v/>
      </c>
      <c r="BM64" s="10"/>
      <c r="BN64" s="10" t="str">
        <f t="shared" si="33"/>
        <v/>
      </c>
      <c r="BO64" s="10" t="str">
        <f t="shared" si="34"/>
        <v/>
      </c>
      <c r="BQ64" s="10" t="str">
        <f t="shared" si="14"/>
        <v/>
      </c>
      <c r="BR64" s="10" t="str">
        <f t="shared" si="35"/>
        <v/>
      </c>
    </row>
    <row r="65" spans="2:70" x14ac:dyDescent="0.15">
      <c r="I65" s="38">
        <f t="shared" si="36"/>
        <v>2080</v>
      </c>
      <c r="J65" s="39"/>
      <c r="K65" s="39">
        <f t="shared" si="37"/>
        <v>51</v>
      </c>
      <c r="L65" s="39"/>
      <c r="M65" s="40">
        <f t="shared" si="0"/>
        <v>0.22146318426189707</v>
      </c>
      <c r="N65" s="39"/>
      <c r="O65" s="72" t="str">
        <f t="shared" si="15"/>
        <v/>
      </c>
      <c r="P65" s="41" t="str">
        <f t="shared" si="1"/>
        <v/>
      </c>
      <c r="Q65" s="39"/>
      <c r="R65" s="72" t="str">
        <f t="shared" si="16"/>
        <v/>
      </c>
      <c r="S65" s="39"/>
      <c r="T65" s="72" t="str">
        <f t="shared" si="17"/>
        <v/>
      </c>
      <c r="U65" s="39"/>
      <c r="V65" s="72" t="str">
        <f t="shared" si="2"/>
        <v/>
      </c>
      <c r="W65" s="72" t="str">
        <f t="shared" si="18"/>
        <v/>
      </c>
      <c r="X65" s="39"/>
      <c r="Y65" s="72" t="str">
        <f t="shared" si="3"/>
        <v/>
      </c>
      <c r="Z65" s="72" t="str">
        <f t="shared" si="19"/>
        <v/>
      </c>
      <c r="AA65" s="39"/>
      <c r="AB65" s="72" t="str">
        <f t="shared" si="4"/>
        <v/>
      </c>
      <c r="AC65" s="72" t="str">
        <f t="shared" si="20"/>
        <v/>
      </c>
      <c r="AD65" s="39"/>
      <c r="AE65" s="72" t="str">
        <f t="shared" si="5"/>
        <v/>
      </c>
      <c r="AF65" s="72" t="str">
        <f t="shared" si="21"/>
        <v/>
      </c>
      <c r="AG65" s="39"/>
      <c r="AH65" s="72" t="str">
        <f t="shared" si="6"/>
        <v/>
      </c>
      <c r="AI65" s="72" t="str">
        <f t="shared" si="22"/>
        <v/>
      </c>
      <c r="AJ65" s="39"/>
      <c r="AK65" s="72" t="str">
        <f t="shared" si="7"/>
        <v/>
      </c>
      <c r="AL65" s="72" t="str">
        <f t="shared" si="23"/>
        <v/>
      </c>
      <c r="AM65" s="39"/>
      <c r="AN65" s="72" t="str">
        <f t="shared" si="8"/>
        <v/>
      </c>
      <c r="AO65" s="72" t="str">
        <f t="shared" si="24"/>
        <v/>
      </c>
      <c r="AP65" s="39"/>
      <c r="AQ65" s="72" t="str">
        <f t="shared" si="9"/>
        <v/>
      </c>
      <c r="AR65" s="72" t="str">
        <f t="shared" si="25"/>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26"/>
        <v/>
      </c>
      <c r="AW65" s="72" t="str">
        <f t="shared" si="27"/>
        <v/>
      </c>
      <c r="AX65" s="39"/>
      <c r="AY65" s="40" t="str">
        <f>IF(ISERROR(IF($K65&lt;=$F$15,VLOOKUP($I65,'表4）CO2価格'!$A$7:$E$67,VLOOKUP($F$48,'表4）CO2価格'!$H$10:$I$12,2,0),0)*$F$8/1000,"")),0,IF($K65&lt;=$F$15,VLOOKUP($I65,'表4）CO2価格'!$A$7:$E$67,VLOOKUP($F$48,'表4）CO2価格'!$H$10:$I$12,2,0),0)*$F$8/1000,""))</f>
        <v/>
      </c>
      <c r="AZ65" s="39"/>
      <c r="BA65" s="42" t="str">
        <f t="shared" si="10"/>
        <v/>
      </c>
      <c r="BB65" s="72" t="str">
        <f t="shared" si="28"/>
        <v/>
      </c>
      <c r="BC65" s="39"/>
      <c r="BD65" s="72" t="str">
        <f t="shared" si="11"/>
        <v/>
      </c>
      <c r="BE65" s="72" t="str">
        <f t="shared" si="29"/>
        <v/>
      </c>
      <c r="BF65" s="39"/>
      <c r="BG65" s="42" t="str">
        <f t="shared" si="12"/>
        <v/>
      </c>
      <c r="BH65" s="72" t="str">
        <f t="shared" si="30"/>
        <v/>
      </c>
      <c r="BI65" s="39"/>
      <c r="BJ65" s="40" t="str">
        <f t="shared" si="31"/>
        <v/>
      </c>
      <c r="BK65" s="157" t="str">
        <f t="shared" si="32"/>
        <v/>
      </c>
      <c r="BL65" s="157" t="str">
        <f t="shared" si="13"/>
        <v/>
      </c>
      <c r="BM65" s="72"/>
      <c r="BN65" s="72" t="str">
        <f t="shared" si="33"/>
        <v/>
      </c>
      <c r="BO65" s="72" t="str">
        <f t="shared" si="34"/>
        <v/>
      </c>
      <c r="BP65" s="39"/>
      <c r="BQ65" s="72" t="str">
        <f t="shared" si="14"/>
        <v/>
      </c>
      <c r="BR65" s="72" t="str">
        <f t="shared" si="35"/>
        <v/>
      </c>
    </row>
    <row r="66" spans="2:70" x14ac:dyDescent="0.15">
      <c r="I66" s="322">
        <f t="shared" si="36"/>
        <v>2081</v>
      </c>
      <c r="K66" s="71">
        <f t="shared" si="37"/>
        <v>52</v>
      </c>
      <c r="M66" s="7">
        <f t="shared" si="0"/>
        <v>0.215012800254269</v>
      </c>
      <c r="O66" s="10" t="str">
        <f t="shared" si="15"/>
        <v/>
      </c>
      <c r="P66" s="29" t="str">
        <f t="shared" si="1"/>
        <v/>
      </c>
      <c r="R66" s="10" t="str">
        <f t="shared" si="16"/>
        <v/>
      </c>
      <c r="T66" s="10" t="str">
        <f t="shared" si="17"/>
        <v/>
      </c>
      <c r="V66" s="10" t="str">
        <f t="shared" si="2"/>
        <v/>
      </c>
      <c r="W66" s="10" t="str">
        <f t="shared" si="18"/>
        <v/>
      </c>
      <c r="Y66" s="10" t="str">
        <f t="shared" si="3"/>
        <v/>
      </c>
      <c r="Z66" s="10" t="str">
        <f t="shared" si="19"/>
        <v/>
      </c>
      <c r="AB66" s="10" t="str">
        <f t="shared" si="4"/>
        <v/>
      </c>
      <c r="AC66" s="10" t="str">
        <f t="shared" si="20"/>
        <v/>
      </c>
      <c r="AE66" s="10" t="str">
        <f t="shared" si="5"/>
        <v/>
      </c>
      <c r="AF66" s="10" t="str">
        <f t="shared" si="21"/>
        <v/>
      </c>
      <c r="AH66" s="10" t="str">
        <f t="shared" si="6"/>
        <v/>
      </c>
      <c r="AI66" s="10" t="str">
        <f t="shared" si="22"/>
        <v/>
      </c>
      <c r="AK66" s="10" t="str">
        <f t="shared" si="7"/>
        <v/>
      </c>
      <c r="AL66" s="10" t="str">
        <f t="shared" si="23"/>
        <v/>
      </c>
      <c r="AN66" s="10" t="str">
        <f t="shared" si="8"/>
        <v/>
      </c>
      <c r="AO66" s="10" t="str">
        <f t="shared" si="24"/>
        <v/>
      </c>
      <c r="AQ66" s="10" t="str">
        <f t="shared" si="9"/>
        <v/>
      </c>
      <c r="AR66" s="10" t="str">
        <f t="shared" si="25"/>
        <v/>
      </c>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V66" s="10" t="str">
        <f t="shared" si="26"/>
        <v/>
      </c>
      <c r="AW66" s="10" t="str">
        <f t="shared" si="27"/>
        <v/>
      </c>
      <c r="AY66" s="7" t="str">
        <f>IF(ISERROR(IF($K66&lt;=$F$15,VLOOKUP($I66,'表4）CO2価格'!$A$7:$E$67,VLOOKUP($F$48,'表4）CO2価格'!$H$10:$I$12,2,0),0)*$F$8/1000,"")),0,IF($K66&lt;=$F$15,VLOOKUP($I66,'表4）CO2価格'!$A$7:$E$67,VLOOKUP($F$48,'表4）CO2価格'!$H$10:$I$12,2,0),0)*$F$8/1000,""))</f>
        <v/>
      </c>
      <c r="BA66" s="11" t="str">
        <f t="shared" si="10"/>
        <v/>
      </c>
      <c r="BB66" s="10" t="str">
        <f t="shared" si="28"/>
        <v/>
      </c>
      <c r="BD66" s="10" t="str">
        <f t="shared" si="11"/>
        <v/>
      </c>
      <c r="BE66" s="10" t="str">
        <f t="shared" si="29"/>
        <v/>
      </c>
      <c r="BG66" s="11" t="str">
        <f t="shared" si="12"/>
        <v/>
      </c>
      <c r="BH66" s="10" t="str">
        <f t="shared" si="30"/>
        <v/>
      </c>
      <c r="BJ66" s="7" t="str">
        <f t="shared" si="31"/>
        <v/>
      </c>
      <c r="BK66" s="158" t="str">
        <f t="shared" si="32"/>
        <v/>
      </c>
      <c r="BL66" s="158" t="str">
        <f t="shared" si="13"/>
        <v/>
      </c>
      <c r="BM66" s="10"/>
      <c r="BN66" s="10" t="str">
        <f t="shared" si="33"/>
        <v/>
      </c>
      <c r="BO66" s="10" t="str">
        <f t="shared" si="34"/>
        <v/>
      </c>
      <c r="BQ66" s="10" t="str">
        <f t="shared" si="14"/>
        <v/>
      </c>
      <c r="BR66" s="10" t="str">
        <f t="shared" si="35"/>
        <v/>
      </c>
    </row>
    <row r="67" spans="2:70" ht="15.75" thickBot="1" x14ac:dyDescent="0.2">
      <c r="B67" s="5" t="s">
        <v>133</v>
      </c>
      <c r="C67" s="3"/>
      <c r="D67" s="102"/>
      <c r="E67" s="102"/>
      <c r="F67" s="3"/>
      <c r="G67" s="102"/>
      <c r="I67" s="38">
        <f t="shared" si="36"/>
        <v>2082</v>
      </c>
      <c r="J67" s="39"/>
      <c r="K67" s="39">
        <f t="shared" si="37"/>
        <v>53</v>
      </c>
      <c r="L67" s="39"/>
      <c r="M67" s="40">
        <f t="shared" si="0"/>
        <v>0.20875029150899907</v>
      </c>
      <c r="N67" s="39"/>
      <c r="O67" s="72" t="str">
        <f t="shared" si="15"/>
        <v/>
      </c>
      <c r="P67" s="41" t="str">
        <f t="shared" si="1"/>
        <v/>
      </c>
      <c r="Q67" s="39"/>
      <c r="R67" s="72" t="str">
        <f t="shared" si="16"/>
        <v/>
      </c>
      <c r="S67" s="39"/>
      <c r="T67" s="72" t="str">
        <f t="shared" si="17"/>
        <v/>
      </c>
      <c r="U67" s="39"/>
      <c r="V67" s="72" t="str">
        <f t="shared" si="2"/>
        <v/>
      </c>
      <c r="W67" s="72" t="str">
        <f t="shared" si="18"/>
        <v/>
      </c>
      <c r="X67" s="39"/>
      <c r="Y67" s="72" t="str">
        <f t="shared" si="3"/>
        <v/>
      </c>
      <c r="Z67" s="72" t="str">
        <f t="shared" si="19"/>
        <v/>
      </c>
      <c r="AA67" s="39"/>
      <c r="AB67" s="72" t="str">
        <f t="shared" si="4"/>
        <v/>
      </c>
      <c r="AC67" s="72" t="str">
        <f t="shared" si="20"/>
        <v/>
      </c>
      <c r="AD67" s="39"/>
      <c r="AE67" s="72" t="str">
        <f t="shared" si="5"/>
        <v/>
      </c>
      <c r="AF67" s="72" t="str">
        <f t="shared" si="21"/>
        <v/>
      </c>
      <c r="AG67" s="39"/>
      <c r="AH67" s="72" t="str">
        <f t="shared" si="6"/>
        <v/>
      </c>
      <c r="AI67" s="72" t="str">
        <f t="shared" si="22"/>
        <v/>
      </c>
      <c r="AJ67" s="39"/>
      <c r="AK67" s="72" t="str">
        <f t="shared" si="7"/>
        <v/>
      </c>
      <c r="AL67" s="72" t="str">
        <f t="shared" si="23"/>
        <v/>
      </c>
      <c r="AM67" s="39"/>
      <c r="AN67" s="72" t="str">
        <f t="shared" si="8"/>
        <v/>
      </c>
      <c r="AO67" s="72" t="str">
        <f t="shared" si="24"/>
        <v/>
      </c>
      <c r="AP67" s="39"/>
      <c r="AQ67" s="72" t="str">
        <f t="shared" si="9"/>
        <v/>
      </c>
      <c r="AR67" s="72" t="str">
        <f t="shared" si="25"/>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26"/>
        <v/>
      </c>
      <c r="AW67" s="72" t="str">
        <f t="shared" si="27"/>
        <v/>
      </c>
      <c r="AX67" s="39"/>
      <c r="AY67" s="40" t="str">
        <f>IF(ISERROR(IF($K67&lt;=$F$15,VLOOKUP($I67,'表4）CO2価格'!$A$7:$E$67,VLOOKUP($F$48,'表4）CO2価格'!$H$10:$I$12,2,0),0)*$F$8/1000,"")),0,IF($K67&lt;=$F$15,VLOOKUP($I67,'表4）CO2価格'!$A$7:$E$67,VLOOKUP($F$48,'表4）CO2価格'!$H$10:$I$12,2,0),0)*$F$8/1000,""))</f>
        <v/>
      </c>
      <c r="AZ67" s="39"/>
      <c r="BA67" s="42" t="str">
        <f t="shared" si="10"/>
        <v/>
      </c>
      <c r="BB67" s="72" t="str">
        <f t="shared" si="28"/>
        <v/>
      </c>
      <c r="BC67" s="39"/>
      <c r="BD67" s="72" t="str">
        <f t="shared" si="11"/>
        <v/>
      </c>
      <c r="BE67" s="72" t="str">
        <f t="shared" si="29"/>
        <v/>
      </c>
      <c r="BF67" s="39"/>
      <c r="BG67" s="42" t="str">
        <f t="shared" si="12"/>
        <v/>
      </c>
      <c r="BH67" s="72" t="str">
        <f t="shared" si="30"/>
        <v/>
      </c>
      <c r="BI67" s="39"/>
      <c r="BJ67" s="40" t="str">
        <f t="shared" si="31"/>
        <v/>
      </c>
      <c r="BK67" s="157" t="str">
        <f t="shared" si="32"/>
        <v/>
      </c>
      <c r="BL67" s="157" t="str">
        <f t="shared" si="13"/>
        <v/>
      </c>
      <c r="BM67" s="72"/>
      <c r="BN67" s="72" t="str">
        <f t="shared" si="33"/>
        <v/>
      </c>
      <c r="BO67" s="72" t="str">
        <f t="shared" si="34"/>
        <v/>
      </c>
      <c r="BP67" s="39"/>
      <c r="BQ67" s="72" t="str">
        <f t="shared" si="14"/>
        <v/>
      </c>
      <c r="BR67" s="72" t="str">
        <f t="shared" si="35"/>
        <v/>
      </c>
    </row>
    <row r="68" spans="2:70" x14ac:dyDescent="0.15">
      <c r="I68" s="322">
        <f t="shared" si="36"/>
        <v>2083</v>
      </c>
      <c r="K68" s="71">
        <f t="shared" si="37"/>
        <v>54</v>
      </c>
      <c r="M68" s="7">
        <f t="shared" si="0"/>
        <v>0.20267018593106703</v>
      </c>
      <c r="O68" s="10" t="str">
        <f t="shared" si="15"/>
        <v/>
      </c>
      <c r="P68" s="29" t="str">
        <f t="shared" si="1"/>
        <v/>
      </c>
      <c r="R68" s="10" t="str">
        <f t="shared" si="16"/>
        <v/>
      </c>
      <c r="T68" s="10" t="str">
        <f t="shared" si="17"/>
        <v/>
      </c>
      <c r="V68" s="10" t="str">
        <f t="shared" si="2"/>
        <v/>
      </c>
      <c r="W68" s="10" t="str">
        <f t="shared" si="18"/>
        <v/>
      </c>
      <c r="Y68" s="10" t="str">
        <f t="shared" si="3"/>
        <v/>
      </c>
      <c r="Z68" s="10" t="str">
        <f t="shared" si="19"/>
        <v/>
      </c>
      <c r="AB68" s="10" t="str">
        <f t="shared" si="4"/>
        <v/>
      </c>
      <c r="AC68" s="10" t="str">
        <f t="shared" si="20"/>
        <v/>
      </c>
      <c r="AE68" s="10" t="str">
        <f t="shared" si="5"/>
        <v/>
      </c>
      <c r="AF68" s="10" t="str">
        <f t="shared" si="21"/>
        <v/>
      </c>
      <c r="AH68" s="10" t="str">
        <f t="shared" si="6"/>
        <v/>
      </c>
      <c r="AI68" s="10" t="str">
        <f t="shared" si="22"/>
        <v/>
      </c>
      <c r="AK68" s="10" t="str">
        <f t="shared" si="7"/>
        <v/>
      </c>
      <c r="AL68" s="10" t="str">
        <f t="shared" si="23"/>
        <v/>
      </c>
      <c r="AN68" s="10" t="str">
        <f t="shared" si="8"/>
        <v/>
      </c>
      <c r="AO68" s="10" t="str">
        <f t="shared" si="24"/>
        <v/>
      </c>
      <c r="AQ68" s="10" t="str">
        <f t="shared" si="9"/>
        <v/>
      </c>
      <c r="AR68" s="10" t="str">
        <f t="shared" si="25"/>
        <v/>
      </c>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V68" s="10" t="str">
        <f t="shared" si="26"/>
        <v/>
      </c>
      <c r="AW68" s="10" t="str">
        <f t="shared" si="27"/>
        <v/>
      </c>
      <c r="AY68" s="7" t="str">
        <f>IF(ISERROR(IF($K68&lt;=$F$15,VLOOKUP($I68,'表4）CO2価格'!$A$7:$E$67,VLOOKUP($F$48,'表4）CO2価格'!$H$10:$I$12,2,0),0)*$F$8/1000,"")),0,IF($K68&lt;=$F$15,VLOOKUP($I68,'表4）CO2価格'!$A$7:$E$67,VLOOKUP($F$48,'表4）CO2価格'!$H$10:$I$12,2,0),0)*$F$8/1000,""))</f>
        <v/>
      </c>
      <c r="BA68" s="11" t="str">
        <f t="shared" si="10"/>
        <v/>
      </c>
      <c r="BB68" s="10" t="str">
        <f t="shared" si="28"/>
        <v/>
      </c>
      <c r="BD68" s="10" t="str">
        <f t="shared" si="11"/>
        <v/>
      </c>
      <c r="BE68" s="10" t="str">
        <f t="shared" si="29"/>
        <v/>
      </c>
      <c r="BG68" s="11" t="str">
        <f t="shared" si="12"/>
        <v/>
      </c>
      <c r="BH68" s="10" t="str">
        <f t="shared" si="30"/>
        <v/>
      </c>
      <c r="BJ68" s="7" t="str">
        <f t="shared" si="31"/>
        <v/>
      </c>
      <c r="BK68" s="158" t="str">
        <f t="shared" si="32"/>
        <v/>
      </c>
      <c r="BL68" s="158" t="str">
        <f t="shared" si="13"/>
        <v/>
      </c>
      <c r="BM68" s="10"/>
      <c r="BN68" s="10" t="str">
        <f t="shared" si="33"/>
        <v/>
      </c>
      <c r="BO68" s="10" t="str">
        <f t="shared" si="34"/>
        <v/>
      </c>
      <c r="BQ68" s="10" t="str">
        <f t="shared" si="14"/>
        <v/>
      </c>
      <c r="BR68" s="10" t="str">
        <f t="shared" si="35"/>
        <v/>
      </c>
    </row>
    <row r="69" spans="2:70" x14ac:dyDescent="0.15">
      <c r="C69" s="483" t="s">
        <v>134</v>
      </c>
      <c r="D69" s="71"/>
      <c r="E69" s="71"/>
      <c r="F69" s="484">
        <f>SUBTOTAL(9,F74:F112)-F105</f>
        <v>15.463498145432816</v>
      </c>
      <c r="G69" s="71" t="s">
        <v>590</v>
      </c>
      <c r="I69" s="38">
        <f t="shared" si="36"/>
        <v>2084</v>
      </c>
      <c r="J69" s="39"/>
      <c r="K69" s="39">
        <f t="shared" si="37"/>
        <v>55</v>
      </c>
      <c r="L69" s="39"/>
      <c r="M69" s="40">
        <f t="shared" si="0"/>
        <v>0.19676717080686118</v>
      </c>
      <c r="N69" s="39"/>
      <c r="O69" s="72" t="str">
        <f t="shared" si="15"/>
        <v/>
      </c>
      <c r="P69" s="41" t="str">
        <f t="shared" si="1"/>
        <v/>
      </c>
      <c r="Q69" s="39"/>
      <c r="R69" s="72" t="str">
        <f t="shared" si="16"/>
        <v/>
      </c>
      <c r="S69" s="39"/>
      <c r="T69" s="72" t="str">
        <f t="shared" si="17"/>
        <v/>
      </c>
      <c r="U69" s="39"/>
      <c r="V69" s="72" t="str">
        <f t="shared" si="2"/>
        <v/>
      </c>
      <c r="W69" s="72" t="str">
        <f t="shared" si="18"/>
        <v/>
      </c>
      <c r="X69" s="39"/>
      <c r="Y69" s="72" t="str">
        <f t="shared" si="3"/>
        <v/>
      </c>
      <c r="Z69" s="72" t="str">
        <f t="shared" si="19"/>
        <v/>
      </c>
      <c r="AA69" s="39"/>
      <c r="AB69" s="72" t="str">
        <f t="shared" si="4"/>
        <v/>
      </c>
      <c r="AC69" s="72" t="str">
        <f t="shared" si="20"/>
        <v/>
      </c>
      <c r="AD69" s="39"/>
      <c r="AE69" s="72" t="str">
        <f t="shared" si="5"/>
        <v/>
      </c>
      <c r="AF69" s="72" t="str">
        <f t="shared" si="21"/>
        <v/>
      </c>
      <c r="AG69" s="39"/>
      <c r="AH69" s="72" t="str">
        <f t="shared" si="6"/>
        <v/>
      </c>
      <c r="AI69" s="72" t="str">
        <f t="shared" si="22"/>
        <v/>
      </c>
      <c r="AJ69" s="39"/>
      <c r="AK69" s="72" t="str">
        <f t="shared" si="7"/>
        <v/>
      </c>
      <c r="AL69" s="72" t="str">
        <f t="shared" si="23"/>
        <v/>
      </c>
      <c r="AM69" s="39"/>
      <c r="AN69" s="72" t="str">
        <f t="shared" si="8"/>
        <v/>
      </c>
      <c r="AO69" s="72" t="str">
        <f t="shared" si="24"/>
        <v/>
      </c>
      <c r="AP69" s="39"/>
      <c r="AQ69" s="72" t="str">
        <f t="shared" si="9"/>
        <v/>
      </c>
      <c r="AR69" s="72" t="str">
        <f t="shared" si="25"/>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26"/>
        <v/>
      </c>
      <c r="AW69" s="72" t="str">
        <f t="shared" si="27"/>
        <v/>
      </c>
      <c r="AX69" s="39"/>
      <c r="AY69" s="40" t="str">
        <f>IF(ISERROR(IF($K69&lt;=$F$15,VLOOKUP($I69,'表4）CO2価格'!$A$7:$E$67,VLOOKUP($F$48,'表4）CO2価格'!$H$10:$I$12,2,0),0)*$F$8/1000,"")),0,IF($K69&lt;=$F$15,VLOOKUP($I69,'表4）CO2価格'!$A$7:$E$67,VLOOKUP($F$48,'表4）CO2価格'!$H$10:$I$12,2,0),0)*$F$8/1000,""))</f>
        <v/>
      </c>
      <c r="AZ69" s="39"/>
      <c r="BA69" s="42" t="str">
        <f t="shared" si="10"/>
        <v/>
      </c>
      <c r="BB69" s="72" t="str">
        <f t="shared" si="28"/>
        <v/>
      </c>
      <c r="BC69" s="39"/>
      <c r="BD69" s="72" t="str">
        <f t="shared" si="11"/>
        <v/>
      </c>
      <c r="BE69" s="72" t="str">
        <f t="shared" si="29"/>
        <v/>
      </c>
      <c r="BF69" s="39"/>
      <c r="BG69" s="42" t="str">
        <f t="shared" si="12"/>
        <v/>
      </c>
      <c r="BH69" s="72" t="str">
        <f t="shared" si="30"/>
        <v/>
      </c>
      <c r="BI69" s="39"/>
      <c r="BJ69" s="40" t="str">
        <f t="shared" si="31"/>
        <v/>
      </c>
      <c r="BK69" s="157" t="str">
        <f t="shared" si="32"/>
        <v/>
      </c>
      <c r="BL69" s="157" t="str">
        <f t="shared" si="13"/>
        <v/>
      </c>
      <c r="BM69" s="72"/>
      <c r="BN69" s="72" t="str">
        <f t="shared" si="33"/>
        <v/>
      </c>
      <c r="BO69" s="72" t="str">
        <f t="shared" si="34"/>
        <v/>
      </c>
      <c r="BP69" s="39"/>
      <c r="BQ69" s="72" t="str">
        <f t="shared" si="14"/>
        <v/>
      </c>
      <c r="BR69" s="72" t="str">
        <f t="shared" si="35"/>
        <v/>
      </c>
    </row>
    <row r="70" spans="2:70" x14ac:dyDescent="0.15">
      <c r="C70" s="483" t="s">
        <v>135</v>
      </c>
      <c r="D70" s="71"/>
      <c r="E70" s="71"/>
      <c r="F70" s="484">
        <f>SUBTOTAL(9,F74:F112)</f>
        <v>15.513498145432816</v>
      </c>
      <c r="G70" s="71" t="s">
        <v>590</v>
      </c>
      <c r="I70" s="322">
        <f t="shared" si="36"/>
        <v>2085</v>
      </c>
      <c r="K70" s="71">
        <f t="shared" si="37"/>
        <v>56</v>
      </c>
      <c r="M70" s="7">
        <f t="shared" si="0"/>
        <v>0.19103608816200118</v>
      </c>
      <c r="O70" s="10" t="str">
        <f t="shared" si="15"/>
        <v/>
      </c>
      <c r="P70" s="29" t="str">
        <f t="shared" si="1"/>
        <v/>
      </c>
      <c r="R70" s="10" t="str">
        <f t="shared" si="16"/>
        <v/>
      </c>
      <c r="T70" s="10" t="str">
        <f t="shared" si="17"/>
        <v/>
      </c>
      <c r="V70" s="10" t="str">
        <f t="shared" si="2"/>
        <v/>
      </c>
      <c r="W70" s="10" t="str">
        <f t="shared" si="18"/>
        <v/>
      </c>
      <c r="Y70" s="10" t="str">
        <f t="shared" si="3"/>
        <v/>
      </c>
      <c r="Z70" s="10" t="str">
        <f t="shared" si="19"/>
        <v/>
      </c>
      <c r="AB70" s="10" t="str">
        <f t="shared" si="4"/>
        <v/>
      </c>
      <c r="AC70" s="10" t="str">
        <f t="shared" si="20"/>
        <v/>
      </c>
      <c r="AE70" s="10" t="str">
        <f t="shared" si="5"/>
        <v/>
      </c>
      <c r="AF70" s="10" t="str">
        <f t="shared" si="21"/>
        <v/>
      </c>
      <c r="AH70" s="10" t="str">
        <f t="shared" si="6"/>
        <v/>
      </c>
      <c r="AI70" s="10" t="str">
        <f t="shared" si="22"/>
        <v/>
      </c>
      <c r="AK70" s="10" t="str">
        <f t="shared" si="7"/>
        <v/>
      </c>
      <c r="AL70" s="10" t="str">
        <f t="shared" si="23"/>
        <v/>
      </c>
      <c r="AN70" s="10" t="str">
        <f t="shared" si="8"/>
        <v/>
      </c>
      <c r="AO70" s="10" t="str">
        <f t="shared" si="24"/>
        <v/>
      </c>
      <c r="AQ70" s="10" t="str">
        <f t="shared" si="9"/>
        <v/>
      </c>
      <c r="AR70" s="10" t="str">
        <f t="shared" si="25"/>
        <v/>
      </c>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V70" s="10" t="str">
        <f t="shared" si="26"/>
        <v/>
      </c>
      <c r="AW70" s="10" t="str">
        <f t="shared" si="27"/>
        <v/>
      </c>
      <c r="AY70" s="7" t="str">
        <f>IF(ISERROR(IF($K70&lt;=$F$15,VLOOKUP($I70,'表4）CO2価格'!$A$7:$E$67,VLOOKUP($F$48,'表4）CO2価格'!$H$10:$I$12,2,0),0)*$F$8/1000,"")),0,IF($K70&lt;=$F$15,VLOOKUP($I70,'表4）CO2価格'!$A$7:$E$67,VLOOKUP($F$48,'表4）CO2価格'!$H$10:$I$12,2,0),0)*$F$8/1000,""))</f>
        <v/>
      </c>
      <c r="BA70" s="11" t="str">
        <f t="shared" si="10"/>
        <v/>
      </c>
      <c r="BB70" s="10" t="str">
        <f t="shared" si="28"/>
        <v/>
      </c>
      <c r="BD70" s="10" t="str">
        <f t="shared" si="11"/>
        <v/>
      </c>
      <c r="BE70" s="10" t="str">
        <f t="shared" si="29"/>
        <v/>
      </c>
      <c r="BG70" s="11" t="str">
        <f t="shared" si="12"/>
        <v/>
      </c>
      <c r="BH70" s="10" t="str">
        <f t="shared" si="30"/>
        <v/>
      </c>
      <c r="BJ70" s="7" t="str">
        <f t="shared" si="31"/>
        <v/>
      </c>
      <c r="BK70" s="158" t="str">
        <f t="shared" si="32"/>
        <v/>
      </c>
      <c r="BL70" s="158" t="str">
        <f t="shared" si="13"/>
        <v/>
      </c>
      <c r="BM70" s="10"/>
      <c r="BN70" s="10" t="str">
        <f t="shared" si="33"/>
        <v/>
      </c>
      <c r="BO70" s="10" t="str">
        <f t="shared" si="34"/>
        <v/>
      </c>
      <c r="BQ70" s="10" t="str">
        <f t="shared" si="14"/>
        <v/>
      </c>
      <c r="BR70" s="10" t="str">
        <f t="shared" si="35"/>
        <v/>
      </c>
    </row>
    <row r="71" spans="2:70" x14ac:dyDescent="0.15">
      <c r="F71" s="485"/>
      <c r="I71" s="38">
        <f t="shared" si="36"/>
        <v>2086</v>
      </c>
      <c r="J71" s="39"/>
      <c r="K71" s="39">
        <f t="shared" si="37"/>
        <v>57</v>
      </c>
      <c r="L71" s="39"/>
      <c r="M71" s="40">
        <f t="shared" si="0"/>
        <v>0.18547193025437006</v>
      </c>
      <c r="N71" s="39"/>
      <c r="O71" s="72" t="str">
        <f t="shared" si="15"/>
        <v/>
      </c>
      <c r="P71" s="41" t="str">
        <f t="shared" si="1"/>
        <v/>
      </c>
      <c r="Q71" s="39"/>
      <c r="R71" s="72" t="str">
        <f t="shared" si="16"/>
        <v/>
      </c>
      <c r="S71" s="39"/>
      <c r="T71" s="72" t="str">
        <f t="shared" si="17"/>
        <v/>
      </c>
      <c r="U71" s="39"/>
      <c r="V71" s="72" t="str">
        <f t="shared" si="2"/>
        <v/>
      </c>
      <c r="W71" s="72" t="str">
        <f t="shared" si="18"/>
        <v/>
      </c>
      <c r="X71" s="39"/>
      <c r="Y71" s="72" t="str">
        <f t="shared" si="3"/>
        <v/>
      </c>
      <c r="Z71" s="72" t="str">
        <f t="shared" si="19"/>
        <v/>
      </c>
      <c r="AA71" s="39"/>
      <c r="AB71" s="72" t="str">
        <f t="shared" si="4"/>
        <v/>
      </c>
      <c r="AC71" s="72" t="str">
        <f t="shared" si="20"/>
        <v/>
      </c>
      <c r="AD71" s="39"/>
      <c r="AE71" s="72" t="str">
        <f t="shared" si="5"/>
        <v/>
      </c>
      <c r="AF71" s="72" t="str">
        <f t="shared" si="21"/>
        <v/>
      </c>
      <c r="AG71" s="39"/>
      <c r="AH71" s="72" t="str">
        <f t="shared" si="6"/>
        <v/>
      </c>
      <c r="AI71" s="72" t="str">
        <f t="shared" si="22"/>
        <v/>
      </c>
      <c r="AJ71" s="39"/>
      <c r="AK71" s="72" t="str">
        <f t="shared" si="7"/>
        <v/>
      </c>
      <c r="AL71" s="72" t="str">
        <f t="shared" si="23"/>
        <v/>
      </c>
      <c r="AM71" s="39"/>
      <c r="AN71" s="72" t="str">
        <f t="shared" si="8"/>
        <v/>
      </c>
      <c r="AO71" s="72" t="str">
        <f t="shared" si="24"/>
        <v/>
      </c>
      <c r="AP71" s="39"/>
      <c r="AQ71" s="72" t="str">
        <f t="shared" si="9"/>
        <v/>
      </c>
      <c r="AR71" s="72" t="str">
        <f t="shared" si="25"/>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26"/>
        <v/>
      </c>
      <c r="AW71" s="72" t="str">
        <f t="shared" si="27"/>
        <v/>
      </c>
      <c r="AX71" s="39"/>
      <c r="AY71" s="40" t="str">
        <f>IF(ISERROR(IF($K71&lt;=$F$15,VLOOKUP($I71,'表4）CO2価格'!$A$7:$E$67,VLOOKUP($F$48,'表4）CO2価格'!$H$10:$I$12,2,0),0)*$F$8/1000,"")),0,IF($K71&lt;=$F$15,VLOOKUP($I71,'表4）CO2価格'!$A$7:$E$67,VLOOKUP($F$48,'表4）CO2価格'!$H$10:$I$12,2,0),0)*$F$8/1000,""))</f>
        <v/>
      </c>
      <c r="AZ71" s="39"/>
      <c r="BA71" s="42" t="str">
        <f t="shared" si="10"/>
        <v/>
      </c>
      <c r="BB71" s="72" t="str">
        <f t="shared" si="28"/>
        <v/>
      </c>
      <c r="BC71" s="39"/>
      <c r="BD71" s="72" t="str">
        <f t="shared" si="11"/>
        <v/>
      </c>
      <c r="BE71" s="72" t="str">
        <f t="shared" si="29"/>
        <v/>
      </c>
      <c r="BF71" s="39"/>
      <c r="BG71" s="42" t="str">
        <f t="shared" si="12"/>
        <v/>
      </c>
      <c r="BH71" s="72" t="str">
        <f t="shared" si="30"/>
        <v/>
      </c>
      <c r="BI71" s="39"/>
      <c r="BJ71" s="40" t="str">
        <f t="shared" si="31"/>
        <v/>
      </c>
      <c r="BK71" s="157" t="str">
        <f t="shared" si="32"/>
        <v/>
      </c>
      <c r="BL71" s="157" t="str">
        <f t="shared" si="13"/>
        <v/>
      </c>
      <c r="BM71" s="72"/>
      <c r="BN71" s="72" t="str">
        <f t="shared" si="33"/>
        <v/>
      </c>
      <c r="BO71" s="72" t="str">
        <f t="shared" si="34"/>
        <v/>
      </c>
      <c r="BP71" s="39"/>
      <c r="BQ71" s="72" t="str">
        <f t="shared" si="14"/>
        <v/>
      </c>
      <c r="BR71" s="72" t="str">
        <f t="shared" si="35"/>
        <v/>
      </c>
    </row>
    <row r="72" spans="2:70" x14ac:dyDescent="0.15">
      <c r="C72" s="4" t="s">
        <v>136</v>
      </c>
      <c r="D72" s="100"/>
      <c r="E72" s="100"/>
      <c r="F72" s="486"/>
      <c r="G72" s="100"/>
      <c r="I72" s="322">
        <f t="shared" si="36"/>
        <v>2087</v>
      </c>
      <c r="K72" s="71">
        <f t="shared" si="37"/>
        <v>58</v>
      </c>
      <c r="M72" s="7">
        <f t="shared" si="0"/>
        <v>0.18006983519841754</v>
      </c>
      <c r="O72" s="10" t="str">
        <f t="shared" si="15"/>
        <v/>
      </c>
      <c r="P72" s="29" t="str">
        <f t="shared" si="1"/>
        <v/>
      </c>
      <c r="R72" s="10" t="str">
        <f t="shared" si="16"/>
        <v/>
      </c>
      <c r="T72" s="10" t="str">
        <f t="shared" si="17"/>
        <v/>
      </c>
      <c r="V72" s="10" t="str">
        <f t="shared" si="2"/>
        <v/>
      </c>
      <c r="W72" s="10" t="str">
        <f t="shared" si="18"/>
        <v/>
      </c>
      <c r="Y72" s="10" t="str">
        <f t="shared" si="3"/>
        <v/>
      </c>
      <c r="Z72" s="10" t="str">
        <f t="shared" si="19"/>
        <v/>
      </c>
      <c r="AB72" s="10" t="str">
        <f t="shared" si="4"/>
        <v/>
      </c>
      <c r="AC72" s="10" t="str">
        <f t="shared" si="20"/>
        <v/>
      </c>
      <c r="AE72" s="10" t="str">
        <f t="shared" si="5"/>
        <v/>
      </c>
      <c r="AF72" s="10" t="str">
        <f t="shared" si="21"/>
        <v/>
      </c>
      <c r="AH72" s="10" t="str">
        <f t="shared" si="6"/>
        <v/>
      </c>
      <c r="AI72" s="10" t="str">
        <f t="shared" si="22"/>
        <v/>
      </c>
      <c r="AK72" s="10" t="str">
        <f t="shared" si="7"/>
        <v/>
      </c>
      <c r="AL72" s="10" t="str">
        <f t="shared" si="23"/>
        <v/>
      </c>
      <c r="AN72" s="10" t="str">
        <f t="shared" si="8"/>
        <v/>
      </c>
      <c r="AO72" s="10" t="str">
        <f t="shared" si="24"/>
        <v/>
      </c>
      <c r="AQ72" s="10" t="str">
        <f t="shared" si="9"/>
        <v/>
      </c>
      <c r="AR72" s="10" t="str">
        <f t="shared" si="25"/>
        <v/>
      </c>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V72" s="10" t="str">
        <f t="shared" si="26"/>
        <v/>
      </c>
      <c r="AW72" s="10" t="str">
        <f t="shared" si="27"/>
        <v/>
      </c>
      <c r="AY72" s="7" t="str">
        <f>IF(ISERROR(IF($K72&lt;=$F$15,VLOOKUP($I72,'表4）CO2価格'!$A$7:$E$67,VLOOKUP($F$48,'表4）CO2価格'!$H$10:$I$12,2,0),0)*$F$8/1000,"")),0,IF($K72&lt;=$F$15,VLOOKUP($I72,'表4）CO2価格'!$A$7:$E$67,VLOOKUP($F$48,'表4）CO2価格'!$H$10:$I$12,2,0),0)*$F$8/1000,""))</f>
        <v/>
      </c>
      <c r="BA72" s="11" t="str">
        <f t="shared" si="10"/>
        <v/>
      </c>
      <c r="BB72" s="10" t="str">
        <f t="shared" si="28"/>
        <v/>
      </c>
      <c r="BD72" s="10" t="str">
        <f t="shared" si="11"/>
        <v/>
      </c>
      <c r="BE72" s="10" t="str">
        <f t="shared" si="29"/>
        <v/>
      </c>
      <c r="BG72" s="11" t="str">
        <f t="shared" si="12"/>
        <v/>
      </c>
      <c r="BH72" s="10" t="str">
        <f t="shared" si="30"/>
        <v/>
      </c>
      <c r="BJ72" s="7" t="str">
        <f t="shared" si="31"/>
        <v/>
      </c>
      <c r="BK72" s="158" t="str">
        <f t="shared" si="32"/>
        <v/>
      </c>
      <c r="BL72" s="158" t="str">
        <f t="shared" si="13"/>
        <v/>
      </c>
      <c r="BM72" s="10"/>
      <c r="BN72" s="10" t="str">
        <f t="shared" si="33"/>
        <v/>
      </c>
      <c r="BO72" s="10" t="str">
        <f t="shared" si="34"/>
        <v/>
      </c>
      <c r="BQ72" s="10" t="str">
        <f t="shared" si="14"/>
        <v/>
      </c>
      <c r="BR72" s="10" t="str">
        <f t="shared" si="35"/>
        <v/>
      </c>
    </row>
    <row r="73" spans="2:70" x14ac:dyDescent="0.15">
      <c r="F73" s="487"/>
      <c r="I73" s="38">
        <f t="shared" si="36"/>
        <v>2088</v>
      </c>
      <c r="J73" s="39"/>
      <c r="K73" s="39">
        <f t="shared" si="37"/>
        <v>59</v>
      </c>
      <c r="L73" s="39"/>
      <c r="M73" s="40">
        <f t="shared" si="0"/>
        <v>0.17482508271691022</v>
      </c>
      <c r="N73" s="39"/>
      <c r="O73" s="72" t="str">
        <f t="shared" si="15"/>
        <v/>
      </c>
      <c r="P73" s="41" t="str">
        <f t="shared" si="1"/>
        <v/>
      </c>
      <c r="Q73" s="39"/>
      <c r="R73" s="72" t="str">
        <f t="shared" si="16"/>
        <v/>
      </c>
      <c r="S73" s="39"/>
      <c r="T73" s="72" t="str">
        <f t="shared" si="17"/>
        <v/>
      </c>
      <c r="U73" s="39"/>
      <c r="V73" s="72" t="str">
        <f t="shared" si="2"/>
        <v/>
      </c>
      <c r="W73" s="72" t="str">
        <f t="shared" si="18"/>
        <v/>
      </c>
      <c r="X73" s="39"/>
      <c r="Y73" s="72" t="str">
        <f t="shared" si="3"/>
        <v/>
      </c>
      <c r="Z73" s="72" t="str">
        <f t="shared" si="19"/>
        <v/>
      </c>
      <c r="AA73" s="39"/>
      <c r="AB73" s="72" t="str">
        <f t="shared" si="4"/>
        <v/>
      </c>
      <c r="AC73" s="72" t="str">
        <f t="shared" si="20"/>
        <v/>
      </c>
      <c r="AD73" s="39"/>
      <c r="AE73" s="72" t="str">
        <f t="shared" si="5"/>
        <v/>
      </c>
      <c r="AF73" s="72" t="str">
        <f t="shared" si="21"/>
        <v/>
      </c>
      <c r="AG73" s="39"/>
      <c r="AH73" s="72" t="str">
        <f t="shared" si="6"/>
        <v/>
      </c>
      <c r="AI73" s="72" t="str">
        <f t="shared" si="22"/>
        <v/>
      </c>
      <c r="AJ73" s="39"/>
      <c r="AK73" s="72" t="str">
        <f t="shared" si="7"/>
        <v/>
      </c>
      <c r="AL73" s="72" t="str">
        <f t="shared" si="23"/>
        <v/>
      </c>
      <c r="AM73" s="39"/>
      <c r="AN73" s="72" t="str">
        <f t="shared" si="8"/>
        <v/>
      </c>
      <c r="AO73" s="72" t="str">
        <f t="shared" si="24"/>
        <v/>
      </c>
      <c r="AP73" s="39"/>
      <c r="AQ73" s="72" t="str">
        <f t="shared" si="9"/>
        <v/>
      </c>
      <c r="AR73" s="72" t="str">
        <f t="shared" si="25"/>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26"/>
        <v/>
      </c>
      <c r="AW73" s="72" t="str">
        <f t="shared" si="27"/>
        <v/>
      </c>
      <c r="AX73" s="39"/>
      <c r="AY73" s="40" t="str">
        <f>IF(ISERROR(IF($K73&lt;=$F$15,VLOOKUP($I73,'表4）CO2価格'!$A$7:$E$67,VLOOKUP($F$48,'表4）CO2価格'!$H$10:$I$12,2,0),0)*$F$8/1000,"")),0,IF($K73&lt;=$F$15,VLOOKUP($I73,'表4）CO2価格'!$A$7:$E$67,VLOOKUP($F$48,'表4）CO2価格'!$H$10:$I$12,2,0),0)*$F$8/1000,""))</f>
        <v/>
      </c>
      <c r="AZ73" s="39"/>
      <c r="BA73" s="42" t="str">
        <f t="shared" si="10"/>
        <v/>
      </c>
      <c r="BB73" s="72" t="str">
        <f t="shared" si="28"/>
        <v/>
      </c>
      <c r="BC73" s="39"/>
      <c r="BD73" s="72" t="str">
        <f t="shared" si="11"/>
        <v/>
      </c>
      <c r="BE73" s="72" t="str">
        <f t="shared" si="29"/>
        <v/>
      </c>
      <c r="BF73" s="39"/>
      <c r="BG73" s="42" t="str">
        <f t="shared" si="12"/>
        <v/>
      </c>
      <c r="BH73" s="72" t="str">
        <f t="shared" si="30"/>
        <v/>
      </c>
      <c r="BI73" s="39"/>
      <c r="BJ73" s="40" t="str">
        <f t="shared" si="31"/>
        <v/>
      </c>
      <c r="BK73" s="157" t="str">
        <f t="shared" si="32"/>
        <v/>
      </c>
      <c r="BL73" s="157" t="str">
        <f t="shared" si="13"/>
        <v/>
      </c>
      <c r="BM73" s="72"/>
      <c r="BN73" s="72" t="str">
        <f t="shared" si="33"/>
        <v/>
      </c>
      <c r="BO73" s="72" t="str">
        <f t="shared" si="34"/>
        <v/>
      </c>
      <c r="BP73" s="39"/>
      <c r="BQ73" s="72" t="str">
        <f t="shared" si="14"/>
        <v/>
      </c>
      <c r="BR73" s="72" t="str">
        <f t="shared" si="35"/>
        <v/>
      </c>
    </row>
    <row r="74" spans="2:70" ht="15" x14ac:dyDescent="0.15">
      <c r="D74" s="103" t="s">
        <v>591</v>
      </c>
      <c r="F74" s="484">
        <f>SUBTOTAL(9,F78:F81)</f>
        <v>2.003476945091303</v>
      </c>
      <c r="G74" s="84" t="s">
        <v>590</v>
      </c>
      <c r="I74" s="322">
        <f t="shared" si="36"/>
        <v>2089</v>
      </c>
      <c r="K74" s="71">
        <f t="shared" si="37"/>
        <v>60</v>
      </c>
      <c r="M74" s="7">
        <f t="shared" si="0"/>
        <v>0.1697330900164177</v>
      </c>
      <c r="O74" s="10" t="str">
        <f t="shared" si="15"/>
        <v/>
      </c>
      <c r="P74" s="29" t="str">
        <f t="shared" si="1"/>
        <v/>
      </c>
      <c r="R74" s="10" t="str">
        <f t="shared" si="16"/>
        <v/>
      </c>
      <c r="T74" s="10" t="str">
        <f t="shared" si="17"/>
        <v/>
      </c>
      <c r="V74" s="10" t="str">
        <f t="shared" si="2"/>
        <v/>
      </c>
      <c r="W74" s="10" t="str">
        <f t="shared" si="18"/>
        <v/>
      </c>
      <c r="Y74" s="10" t="str">
        <f t="shared" si="3"/>
        <v/>
      </c>
      <c r="Z74" s="10" t="str">
        <f t="shared" si="19"/>
        <v/>
      </c>
      <c r="AB74" s="10" t="str">
        <f t="shared" si="4"/>
        <v/>
      </c>
      <c r="AC74" s="10" t="str">
        <f t="shared" si="20"/>
        <v/>
      </c>
      <c r="AE74" s="10" t="str">
        <f t="shared" si="5"/>
        <v/>
      </c>
      <c r="AF74" s="10" t="str">
        <f t="shared" si="21"/>
        <v/>
      </c>
      <c r="AH74" s="10" t="str">
        <f t="shared" si="6"/>
        <v/>
      </c>
      <c r="AI74" s="10" t="str">
        <f t="shared" si="22"/>
        <v/>
      </c>
      <c r="AK74" s="10" t="str">
        <f t="shared" si="7"/>
        <v/>
      </c>
      <c r="AL74" s="10" t="str">
        <f t="shared" si="23"/>
        <v/>
      </c>
      <c r="AN74" s="10" t="str">
        <f t="shared" si="8"/>
        <v/>
      </c>
      <c r="AO74" s="10" t="str">
        <f t="shared" si="24"/>
        <v/>
      </c>
      <c r="AQ74" s="10" t="str">
        <f t="shared" si="9"/>
        <v/>
      </c>
      <c r="AR74" s="10" t="str">
        <f t="shared" si="25"/>
        <v/>
      </c>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V74" s="10" t="str">
        <f t="shared" si="26"/>
        <v/>
      </c>
      <c r="AW74" s="10" t="str">
        <f t="shared" si="27"/>
        <v/>
      </c>
      <c r="AY74" s="7" t="str">
        <f>IF(ISERROR(IF($K74&lt;=$F$15,VLOOKUP($I74,'表4）CO2価格'!$A$7:$E$67,VLOOKUP($F$48,'表4）CO2価格'!$H$10:$I$12,2,0),0)*$F$8/1000,"")),0,IF($K74&lt;=$F$15,VLOOKUP($I74,'表4）CO2価格'!$A$7:$E$67,VLOOKUP($F$48,'表4）CO2価格'!$H$10:$I$12,2,0),0)*$F$8/1000,""))</f>
        <v/>
      </c>
      <c r="BA74" s="11" t="str">
        <f t="shared" si="10"/>
        <v/>
      </c>
      <c r="BB74" s="10" t="str">
        <f t="shared" si="28"/>
        <v/>
      </c>
      <c r="BD74" s="10" t="str">
        <f t="shared" si="11"/>
        <v/>
      </c>
      <c r="BE74" s="10" t="str">
        <f t="shared" si="29"/>
        <v/>
      </c>
      <c r="BG74" s="11" t="str">
        <f t="shared" si="12"/>
        <v/>
      </c>
      <c r="BH74" s="10" t="str">
        <f t="shared" si="30"/>
        <v/>
      </c>
      <c r="BJ74" s="7" t="str">
        <f t="shared" si="31"/>
        <v/>
      </c>
      <c r="BK74" s="158" t="str">
        <f t="shared" si="32"/>
        <v/>
      </c>
      <c r="BL74" s="158" t="str">
        <f t="shared" si="13"/>
        <v/>
      </c>
      <c r="BM74" s="10"/>
      <c r="BN74" s="10" t="str">
        <f t="shared" si="33"/>
        <v/>
      </c>
      <c r="BO74" s="10" t="str">
        <f t="shared" si="34"/>
        <v/>
      </c>
      <c r="BQ74" s="10" t="str">
        <f t="shared" si="14"/>
        <v/>
      </c>
      <c r="BR74" s="10" t="str">
        <f t="shared" si="35"/>
        <v/>
      </c>
    </row>
    <row r="75" spans="2:70" x14ac:dyDescent="0.15">
      <c r="F75" s="487"/>
      <c r="I75" s="38">
        <f t="shared" si="36"/>
        <v>2090</v>
      </c>
      <c r="J75" s="39"/>
      <c r="K75" s="39">
        <f t="shared" si="37"/>
        <v>61</v>
      </c>
      <c r="L75" s="39"/>
      <c r="M75" s="40">
        <f t="shared" si="0"/>
        <v>0.16478940778292983</v>
      </c>
      <c r="N75" s="39"/>
      <c r="O75" s="72" t="str">
        <f t="shared" si="15"/>
        <v/>
      </c>
      <c r="P75" s="41" t="str">
        <f t="shared" si="1"/>
        <v/>
      </c>
      <c r="Q75" s="39"/>
      <c r="R75" s="72" t="str">
        <f t="shared" si="16"/>
        <v/>
      </c>
      <c r="S75" s="39"/>
      <c r="T75" s="72" t="str">
        <f t="shared" si="17"/>
        <v/>
      </c>
      <c r="U75" s="39"/>
      <c r="V75" s="72" t="str">
        <f t="shared" si="2"/>
        <v/>
      </c>
      <c r="W75" s="72" t="str">
        <f t="shared" si="18"/>
        <v/>
      </c>
      <c r="X75" s="39"/>
      <c r="Y75" s="72" t="str">
        <f t="shared" si="3"/>
        <v/>
      </c>
      <c r="Z75" s="72" t="str">
        <f t="shared" si="19"/>
        <v/>
      </c>
      <c r="AA75" s="39"/>
      <c r="AB75" s="72" t="str">
        <f t="shared" si="4"/>
        <v/>
      </c>
      <c r="AC75" s="72" t="str">
        <f t="shared" si="20"/>
        <v/>
      </c>
      <c r="AD75" s="39"/>
      <c r="AE75" s="72" t="str">
        <f t="shared" si="5"/>
        <v/>
      </c>
      <c r="AF75" s="72" t="str">
        <f t="shared" si="21"/>
        <v/>
      </c>
      <c r="AG75" s="39"/>
      <c r="AH75" s="72" t="str">
        <f t="shared" si="6"/>
        <v/>
      </c>
      <c r="AI75" s="72" t="str">
        <f t="shared" si="22"/>
        <v/>
      </c>
      <c r="AJ75" s="39"/>
      <c r="AK75" s="72" t="str">
        <f t="shared" si="7"/>
        <v/>
      </c>
      <c r="AL75" s="72" t="str">
        <f t="shared" si="23"/>
        <v/>
      </c>
      <c r="AM75" s="39"/>
      <c r="AN75" s="72" t="str">
        <f t="shared" si="8"/>
        <v/>
      </c>
      <c r="AO75" s="72" t="str">
        <f t="shared" si="24"/>
        <v/>
      </c>
      <c r="AP75" s="39"/>
      <c r="AQ75" s="72" t="str">
        <f t="shared" si="9"/>
        <v/>
      </c>
      <c r="AR75" s="72" t="str">
        <f t="shared" si="25"/>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26"/>
        <v/>
      </c>
      <c r="AW75" s="72" t="str">
        <f t="shared" si="27"/>
        <v/>
      </c>
      <c r="AX75" s="39"/>
      <c r="AY75" s="40" t="str">
        <f>IF(ISERROR(IF($K75&lt;=$F$15,VLOOKUP($I75,'表4）CO2価格'!$A$7:$E$67,VLOOKUP($F$48,'表4）CO2価格'!$H$10:$I$12,2,0),0)*$F$8/1000,"")),0,IF($K75&lt;=$F$15,VLOOKUP($I75,'表4）CO2価格'!$A$7:$E$67,VLOOKUP($F$48,'表4）CO2価格'!$H$10:$I$12,2,0),0)*$F$8/1000,""))</f>
        <v/>
      </c>
      <c r="AZ75" s="39"/>
      <c r="BA75" s="42" t="str">
        <f t="shared" si="10"/>
        <v/>
      </c>
      <c r="BB75" s="72" t="str">
        <f t="shared" si="28"/>
        <v/>
      </c>
      <c r="BC75" s="39"/>
      <c r="BD75" s="72" t="str">
        <f t="shared" si="11"/>
        <v/>
      </c>
      <c r="BE75" s="72" t="str">
        <f t="shared" si="29"/>
        <v/>
      </c>
      <c r="BF75" s="39"/>
      <c r="BG75" s="42" t="str">
        <f t="shared" si="12"/>
        <v/>
      </c>
      <c r="BH75" s="72" t="str">
        <f t="shared" si="30"/>
        <v/>
      </c>
      <c r="BI75" s="39"/>
      <c r="BJ75" s="40" t="str">
        <f t="shared" si="31"/>
        <v/>
      </c>
      <c r="BK75" s="157" t="str">
        <f t="shared" si="32"/>
        <v/>
      </c>
      <c r="BL75" s="157" t="str">
        <f t="shared" si="13"/>
        <v/>
      </c>
      <c r="BM75" s="72"/>
      <c r="BN75" s="72" t="str">
        <f t="shared" si="33"/>
        <v/>
      </c>
      <c r="BO75" s="72" t="str">
        <f t="shared" si="34"/>
        <v/>
      </c>
      <c r="BP75" s="39"/>
      <c r="BQ75" s="72" t="str">
        <f t="shared" si="14"/>
        <v/>
      </c>
      <c r="BR75" s="72" t="str">
        <f t="shared" si="35"/>
        <v/>
      </c>
    </row>
    <row r="76" spans="2:70" x14ac:dyDescent="0.15">
      <c r="D76" s="100" t="s">
        <v>592</v>
      </c>
      <c r="E76" s="100"/>
      <c r="F76" s="486"/>
      <c r="G76" s="100"/>
      <c r="I76" s="322">
        <f t="shared" si="36"/>
        <v>2091</v>
      </c>
      <c r="K76" s="71">
        <f t="shared" si="37"/>
        <v>62</v>
      </c>
      <c r="M76" s="7">
        <f t="shared" si="0"/>
        <v>0.15998971629410663</v>
      </c>
      <c r="O76" s="10" t="str">
        <f t="shared" si="15"/>
        <v/>
      </c>
      <c r="P76" s="29" t="str">
        <f t="shared" si="1"/>
        <v/>
      </c>
      <c r="R76" s="10" t="str">
        <f t="shared" si="16"/>
        <v/>
      </c>
      <c r="T76" s="10" t="str">
        <f t="shared" si="17"/>
        <v/>
      </c>
      <c r="V76" s="10" t="str">
        <f t="shared" si="2"/>
        <v/>
      </c>
      <c r="W76" s="10" t="str">
        <f t="shared" si="18"/>
        <v/>
      </c>
      <c r="Y76" s="10" t="str">
        <f t="shared" si="3"/>
        <v/>
      </c>
      <c r="Z76" s="10" t="str">
        <f t="shared" si="19"/>
        <v/>
      </c>
      <c r="AB76" s="10" t="str">
        <f t="shared" si="4"/>
        <v/>
      </c>
      <c r="AC76" s="10" t="str">
        <f t="shared" si="20"/>
        <v/>
      </c>
      <c r="AE76" s="10" t="str">
        <f t="shared" si="5"/>
        <v/>
      </c>
      <c r="AF76" s="10" t="str">
        <f t="shared" si="21"/>
        <v/>
      </c>
      <c r="AH76" s="10" t="str">
        <f t="shared" si="6"/>
        <v/>
      </c>
      <c r="AI76" s="10" t="str">
        <f t="shared" si="22"/>
        <v/>
      </c>
      <c r="AK76" s="10" t="str">
        <f t="shared" si="7"/>
        <v/>
      </c>
      <c r="AL76" s="10" t="str">
        <f t="shared" si="23"/>
        <v/>
      </c>
      <c r="AN76" s="10" t="str">
        <f t="shared" si="8"/>
        <v/>
      </c>
      <c r="AO76" s="10" t="str">
        <f t="shared" si="24"/>
        <v/>
      </c>
      <c r="AQ76" s="10" t="str">
        <f t="shared" si="9"/>
        <v/>
      </c>
      <c r="AR76" s="10" t="str">
        <f t="shared" si="25"/>
        <v/>
      </c>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V76" s="10" t="str">
        <f t="shared" si="26"/>
        <v/>
      </c>
      <c r="AW76" s="10" t="str">
        <f t="shared" si="27"/>
        <v/>
      </c>
      <c r="AY76" s="7" t="str">
        <f>IF(ISERROR(IF($K76&lt;=$F$15,VLOOKUP($I76,'表4）CO2価格'!$A$7:$E$67,VLOOKUP($F$48,'表4）CO2価格'!$H$10:$I$12,2,0),0)*$F$8/1000,"")),0,IF($K76&lt;=$F$15,VLOOKUP($I76,'表4）CO2価格'!$A$7:$E$67,VLOOKUP($F$48,'表4）CO2価格'!$H$10:$I$12,2,0),0)*$F$8/1000,""))</f>
        <v/>
      </c>
      <c r="BA76" s="11" t="str">
        <f t="shared" si="10"/>
        <v/>
      </c>
      <c r="BB76" s="10" t="str">
        <f t="shared" si="28"/>
        <v/>
      </c>
      <c r="BD76" s="10" t="str">
        <f t="shared" si="11"/>
        <v/>
      </c>
      <c r="BE76" s="10" t="str">
        <f t="shared" si="29"/>
        <v/>
      </c>
      <c r="BG76" s="11" t="str">
        <f t="shared" si="12"/>
        <v/>
      </c>
      <c r="BH76" s="10" t="str">
        <f t="shared" si="30"/>
        <v/>
      </c>
      <c r="BJ76" s="7" t="str">
        <f t="shared" si="31"/>
        <v/>
      </c>
      <c r="BK76" s="158" t="str">
        <f t="shared" si="32"/>
        <v/>
      </c>
      <c r="BL76" s="158" t="str">
        <f t="shared" si="13"/>
        <v/>
      </c>
      <c r="BM76" s="10"/>
      <c r="BN76" s="10" t="str">
        <f t="shared" si="33"/>
        <v/>
      </c>
      <c r="BO76" s="10" t="str">
        <f t="shared" si="34"/>
        <v/>
      </c>
      <c r="BQ76" s="10" t="str">
        <f t="shared" si="14"/>
        <v/>
      </c>
      <c r="BR76" s="10" t="str">
        <f t="shared" si="35"/>
        <v/>
      </c>
    </row>
    <row r="77" spans="2:70" x14ac:dyDescent="0.15">
      <c r="F77" s="487"/>
      <c r="I77" s="38">
        <f t="shared" si="36"/>
        <v>2092</v>
      </c>
      <c r="J77" s="39"/>
      <c r="K77" s="39">
        <f t="shared" si="37"/>
        <v>63</v>
      </c>
      <c r="L77" s="39"/>
      <c r="M77" s="40">
        <f t="shared" si="0"/>
        <v>0.15532982164476369</v>
      </c>
      <c r="N77" s="39"/>
      <c r="O77" s="72" t="str">
        <f t="shared" si="15"/>
        <v/>
      </c>
      <c r="P77" s="41" t="str">
        <f t="shared" si="1"/>
        <v/>
      </c>
      <c r="Q77" s="39"/>
      <c r="R77" s="72" t="str">
        <f t="shared" si="16"/>
        <v/>
      </c>
      <c r="S77" s="39"/>
      <c r="T77" s="72" t="str">
        <f t="shared" si="17"/>
        <v/>
      </c>
      <c r="U77" s="39"/>
      <c r="V77" s="72" t="str">
        <f t="shared" si="2"/>
        <v/>
      </c>
      <c r="W77" s="72" t="str">
        <f t="shared" si="18"/>
        <v/>
      </c>
      <c r="X77" s="39"/>
      <c r="Y77" s="72" t="str">
        <f t="shared" si="3"/>
        <v/>
      </c>
      <c r="Z77" s="72" t="str">
        <f t="shared" si="19"/>
        <v/>
      </c>
      <c r="AA77" s="39"/>
      <c r="AB77" s="72" t="str">
        <f t="shared" si="4"/>
        <v/>
      </c>
      <c r="AC77" s="72" t="str">
        <f t="shared" si="20"/>
        <v/>
      </c>
      <c r="AD77" s="39"/>
      <c r="AE77" s="72" t="str">
        <f t="shared" si="5"/>
        <v/>
      </c>
      <c r="AF77" s="72" t="str">
        <f t="shared" si="21"/>
        <v/>
      </c>
      <c r="AG77" s="39"/>
      <c r="AH77" s="72" t="str">
        <f t="shared" si="6"/>
        <v/>
      </c>
      <c r="AI77" s="72" t="str">
        <f t="shared" si="22"/>
        <v/>
      </c>
      <c r="AJ77" s="39"/>
      <c r="AK77" s="72" t="str">
        <f t="shared" si="7"/>
        <v/>
      </c>
      <c r="AL77" s="72" t="str">
        <f t="shared" si="23"/>
        <v/>
      </c>
      <c r="AM77" s="39"/>
      <c r="AN77" s="72" t="str">
        <f t="shared" si="8"/>
        <v/>
      </c>
      <c r="AO77" s="72" t="str">
        <f t="shared" si="24"/>
        <v/>
      </c>
      <c r="AP77" s="39"/>
      <c r="AQ77" s="72" t="str">
        <f t="shared" si="9"/>
        <v/>
      </c>
      <c r="AR77" s="72" t="str">
        <f t="shared" si="25"/>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26"/>
        <v/>
      </c>
      <c r="AW77" s="72" t="str">
        <f t="shared" si="27"/>
        <v/>
      </c>
      <c r="AX77" s="39"/>
      <c r="AY77" s="40" t="str">
        <f>IF(ISERROR(IF($K77&lt;=$F$15,VLOOKUP($I77,'表4）CO2価格'!$A$7:$E$67,VLOOKUP($F$48,'表4）CO2価格'!$H$10:$I$12,2,0),0)*$F$8/1000,"")),0,IF($K77&lt;=$F$15,VLOOKUP($I77,'表4）CO2価格'!$A$7:$E$67,VLOOKUP($F$48,'表4）CO2価格'!$H$10:$I$12,2,0),0)*$F$8/1000,""))</f>
        <v/>
      </c>
      <c r="AZ77" s="39"/>
      <c r="BA77" s="42" t="str">
        <f t="shared" si="10"/>
        <v/>
      </c>
      <c r="BB77" s="72" t="str">
        <f t="shared" si="28"/>
        <v/>
      </c>
      <c r="BC77" s="39"/>
      <c r="BD77" s="72" t="str">
        <f t="shared" si="11"/>
        <v/>
      </c>
      <c r="BE77" s="72" t="str">
        <f t="shared" si="29"/>
        <v/>
      </c>
      <c r="BF77" s="39"/>
      <c r="BG77" s="42" t="str">
        <f t="shared" si="12"/>
        <v/>
      </c>
      <c r="BH77" s="72" t="str">
        <f t="shared" si="30"/>
        <v/>
      </c>
      <c r="BI77" s="39"/>
      <c r="BJ77" s="40" t="str">
        <f t="shared" si="31"/>
        <v/>
      </c>
      <c r="BK77" s="157" t="str">
        <f t="shared" si="32"/>
        <v/>
      </c>
      <c r="BL77" s="157" t="str">
        <f t="shared" si="13"/>
        <v/>
      </c>
      <c r="BM77" s="72"/>
      <c r="BN77" s="72" t="str">
        <f t="shared" si="33"/>
        <v/>
      </c>
      <c r="BO77" s="72" t="str">
        <f t="shared" si="34"/>
        <v/>
      </c>
      <c r="BP77" s="39"/>
      <c r="BQ77" s="72" t="str">
        <f t="shared" si="14"/>
        <v/>
      </c>
      <c r="BR77" s="72" t="str">
        <f t="shared" si="35"/>
        <v/>
      </c>
    </row>
    <row r="78" spans="2:70" x14ac:dyDescent="0.15">
      <c r="E78" s="70" t="s">
        <v>138</v>
      </c>
      <c r="F78" s="488">
        <f>R15/$BR$116</f>
        <v>1.8216555367924945</v>
      </c>
      <c r="G78" s="84" t="s">
        <v>590</v>
      </c>
      <c r="I78" s="322">
        <f t="shared" si="36"/>
        <v>2093</v>
      </c>
      <c r="K78" s="71">
        <f t="shared" si="37"/>
        <v>64</v>
      </c>
      <c r="M78" s="7">
        <f t="shared" si="0"/>
        <v>0.15080565208229488</v>
      </c>
      <c r="O78" s="10" t="str">
        <f t="shared" si="15"/>
        <v/>
      </c>
      <c r="P78" s="29" t="str">
        <f t="shared" si="1"/>
        <v/>
      </c>
      <c r="R78" s="10" t="str">
        <f t="shared" si="16"/>
        <v/>
      </c>
      <c r="T78" s="10" t="str">
        <f t="shared" si="17"/>
        <v/>
      </c>
      <c r="V78" s="10" t="str">
        <f t="shared" si="2"/>
        <v/>
      </c>
      <c r="W78" s="10" t="str">
        <f t="shared" si="18"/>
        <v/>
      </c>
      <c r="Y78" s="10" t="str">
        <f t="shared" si="3"/>
        <v/>
      </c>
      <c r="Z78" s="10" t="str">
        <f t="shared" si="19"/>
        <v/>
      </c>
      <c r="AB78" s="10" t="str">
        <f t="shared" si="4"/>
        <v/>
      </c>
      <c r="AC78" s="10" t="str">
        <f t="shared" si="20"/>
        <v/>
      </c>
      <c r="AE78" s="10" t="str">
        <f t="shared" si="5"/>
        <v/>
      </c>
      <c r="AF78" s="10" t="str">
        <f t="shared" si="21"/>
        <v/>
      </c>
      <c r="AH78" s="10" t="str">
        <f t="shared" si="6"/>
        <v/>
      </c>
      <c r="AI78" s="10" t="str">
        <f t="shared" si="22"/>
        <v/>
      </c>
      <c r="AK78" s="10" t="str">
        <f t="shared" si="7"/>
        <v/>
      </c>
      <c r="AL78" s="10" t="str">
        <f t="shared" si="23"/>
        <v/>
      </c>
      <c r="AN78" s="10" t="str">
        <f t="shared" si="8"/>
        <v/>
      </c>
      <c r="AO78" s="10" t="str">
        <f t="shared" si="24"/>
        <v/>
      </c>
      <c r="AQ78" s="10" t="str">
        <f t="shared" si="9"/>
        <v/>
      </c>
      <c r="AR78" s="10" t="str">
        <f t="shared" si="25"/>
        <v/>
      </c>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V78" s="10" t="str">
        <f t="shared" si="26"/>
        <v/>
      </c>
      <c r="AW78" s="10" t="str">
        <f t="shared" si="27"/>
        <v/>
      </c>
      <c r="AY78" s="7" t="str">
        <f>IF(ISERROR(IF($K78&lt;=$F$15,VLOOKUP($I78,'表4）CO2価格'!$A$7:$E$67,VLOOKUP($F$48,'表4）CO2価格'!$H$10:$I$12,2,0),0)*$F$8/1000,"")),0,IF($K78&lt;=$F$15,VLOOKUP($I78,'表4）CO2価格'!$A$7:$E$67,VLOOKUP($F$48,'表4）CO2価格'!$H$10:$I$12,2,0),0)*$F$8/1000,""))</f>
        <v/>
      </c>
      <c r="BA78" s="11" t="str">
        <f t="shared" si="10"/>
        <v/>
      </c>
      <c r="BB78" s="10" t="str">
        <f t="shared" si="28"/>
        <v/>
      </c>
      <c r="BD78" s="10" t="str">
        <f t="shared" si="11"/>
        <v/>
      </c>
      <c r="BE78" s="10" t="str">
        <f t="shared" si="29"/>
        <v/>
      </c>
      <c r="BG78" s="11" t="str">
        <f t="shared" si="12"/>
        <v/>
      </c>
      <c r="BH78" s="10" t="str">
        <f t="shared" si="30"/>
        <v/>
      </c>
      <c r="BJ78" s="7" t="str">
        <f t="shared" si="31"/>
        <v/>
      </c>
      <c r="BK78" s="158" t="str">
        <f t="shared" si="32"/>
        <v/>
      </c>
      <c r="BL78" s="158" t="str">
        <f t="shared" si="13"/>
        <v/>
      </c>
      <c r="BM78" s="10"/>
      <c r="BN78" s="10" t="str">
        <f t="shared" si="33"/>
        <v/>
      </c>
      <c r="BO78" s="10" t="str">
        <f t="shared" si="34"/>
        <v/>
      </c>
      <c r="BQ78" s="10" t="str">
        <f t="shared" si="14"/>
        <v/>
      </c>
      <c r="BR78" s="10" t="str">
        <f t="shared" si="35"/>
        <v/>
      </c>
    </row>
    <row r="79" spans="2:70" x14ac:dyDescent="0.15">
      <c r="E79" s="84" t="s">
        <v>139</v>
      </c>
      <c r="F79" s="488">
        <f>Z116/$BR$116</f>
        <v>0.15471262352515708</v>
      </c>
      <c r="G79" s="84" t="s">
        <v>590</v>
      </c>
      <c r="I79" s="38">
        <f t="shared" si="36"/>
        <v>2094</v>
      </c>
      <c r="J79" s="39"/>
      <c r="K79" s="39">
        <f t="shared" si="37"/>
        <v>65</v>
      </c>
      <c r="L79" s="39"/>
      <c r="M79" s="40">
        <f t="shared" ref="M79:M114" si="38">1/(1+($F$9/100))^K79</f>
        <v>0.14641325444882999</v>
      </c>
      <c r="N79" s="39"/>
      <c r="O79" s="72" t="str">
        <f t="shared" si="15"/>
        <v/>
      </c>
      <c r="P79" s="41" t="str">
        <f t="shared" ref="P79:P110" si="39">IF(K79&lt;=$F$15,IF(OR(P78=$F$124,P78="-"),"-",IF(O79*$F$123&gt;$F$127,$F$123,$F$124)),"")</f>
        <v/>
      </c>
      <c r="Q79" s="39"/>
      <c r="R79" s="72" t="str">
        <f t="shared" si="16"/>
        <v/>
      </c>
      <c r="S79" s="39"/>
      <c r="T79" s="72" t="str">
        <f t="shared" si="17"/>
        <v/>
      </c>
      <c r="U79" s="39"/>
      <c r="V79" s="72" t="str">
        <f t="shared" ref="V79:V114" si="40">IF(K79&lt;=$F$15,IF(K79&lt;$F$119,IF(P79="-",V78,O79*P79),IF(K79=$F$119,MIN(IF(P79="-",V78,O79*P79),O79),0)),"")</f>
        <v/>
      </c>
      <c r="W79" s="72" t="str">
        <f t="shared" si="18"/>
        <v/>
      </c>
      <c r="X79" s="39"/>
      <c r="Y79" s="72" t="str">
        <f t="shared" ref="Y79:Y114" si="41">IF($K79&lt;=$F$15,ROUNDDOWN(T79*$F$25/100,-2),"")</f>
        <v/>
      </c>
      <c r="Z79" s="72" t="str">
        <f t="shared" si="19"/>
        <v/>
      </c>
      <c r="AA79" s="39"/>
      <c r="AB79" s="72" t="str">
        <f t="shared" ref="AB79:AB114" si="42">IF($K79&lt;=$F$15,0,IF(AND($K79&gt;$F$15,$K79&lt;=$F$15+$F$28),$F$27*10^8/$F$28,""))</f>
        <v/>
      </c>
      <c r="AC79" s="72" t="str">
        <f t="shared" si="20"/>
        <v/>
      </c>
      <c r="AD79" s="39"/>
      <c r="AE79" s="72" t="str">
        <f t="shared" ref="AE79:AE114" si="43">IF($K79&lt;=$F$15,$F$26,"")</f>
        <v/>
      </c>
      <c r="AF79" s="72" t="str">
        <f t="shared" si="21"/>
        <v/>
      </c>
      <c r="AG79" s="39"/>
      <c r="AH79" s="72" t="str">
        <f t="shared" ref="AH79:AH114" si="44">IF($K79&lt;=$F$15,$F$33*10^8,"")</f>
        <v/>
      </c>
      <c r="AI79" s="72" t="str">
        <f t="shared" si="22"/>
        <v/>
      </c>
      <c r="AJ79" s="39"/>
      <c r="AK79" s="72" t="str">
        <f t="shared" ref="AK79:AK114" si="45">IF($K79&lt;=$F$15,$F$117*$F$34/100,"")</f>
        <v/>
      </c>
      <c r="AL79" s="72" t="str">
        <f t="shared" si="23"/>
        <v/>
      </c>
      <c r="AM79" s="39"/>
      <c r="AN79" s="72" t="str">
        <f t="shared" ref="AN79:AN114" si="46">IF($K79&lt;=$F$15,$F$117*$F$35/100,"")</f>
        <v/>
      </c>
      <c r="AO79" s="72" t="str">
        <f t="shared" si="24"/>
        <v/>
      </c>
      <c r="AP79" s="39"/>
      <c r="AQ79" s="72" t="str">
        <f t="shared" ref="AQ79:AQ114" si="47">IF($K79&lt;=$F$15,SUM(AH79,AK79,AN79)*($F$36/100),"")</f>
        <v/>
      </c>
      <c r="AR79" s="72" t="str">
        <f t="shared" si="25"/>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48">IF($K79&lt;=$F$15,($AT79+$F$142)*$F$137,"")</f>
        <v/>
      </c>
      <c r="AW79" s="72" t="str">
        <f t="shared" si="27"/>
        <v/>
      </c>
      <c r="AX79" s="39"/>
      <c r="AY79" s="40" t="str">
        <f>IF(ISERROR(IF($K79&lt;=$F$15,VLOOKUP($I79,'表4）CO2価格'!$A$7:$E$67,VLOOKUP($F$48,'表4）CO2価格'!$H$10:$I$12,2,0),0)*$F$8/1000,"")),0,IF($K79&lt;=$F$15,VLOOKUP($I79,'表4）CO2価格'!$A$7:$E$67,VLOOKUP($F$48,'表4）CO2価格'!$H$10:$I$12,2,0),0)*$F$8/1000,""))</f>
        <v/>
      </c>
      <c r="AZ79" s="39"/>
      <c r="BA79" s="42" t="str">
        <f t="shared" ref="BA79:BA114" si="49">IF($K79&lt;=$F$15,$F$145*AY79,"")</f>
        <v/>
      </c>
      <c r="BB79" s="72" t="str">
        <f t="shared" si="28"/>
        <v/>
      </c>
      <c r="BC79" s="39"/>
      <c r="BD79" s="72" t="str">
        <f t="shared" ref="BD79:BD114" si="50">IF($K79&lt;=$F$15,($AT79+$F$152)*$F$151,"")</f>
        <v/>
      </c>
      <c r="BE79" s="72" t="str">
        <f t="shared" si="29"/>
        <v/>
      </c>
      <c r="BF79" s="39"/>
      <c r="BG79" s="42" t="str">
        <f t="shared" ref="BG79:BG114" si="51">IF($K79&lt;=$F$15,$F$153*AY79,"")</f>
        <v/>
      </c>
      <c r="BH79" s="72" t="str">
        <f t="shared" si="30"/>
        <v/>
      </c>
      <c r="BI79" s="39"/>
      <c r="BJ79" s="40" t="str">
        <f t="shared" si="31"/>
        <v/>
      </c>
      <c r="BK79" s="157" t="str">
        <f t="shared" si="32"/>
        <v/>
      </c>
      <c r="BL79" s="157" t="str">
        <f t="shared" ref="BL79:BL114" si="52">IF(AND(ISNUMBER(BJ79),$K79&lt;=$F$16),BQ79*BJ79,"")</f>
        <v/>
      </c>
      <c r="BM79" s="72"/>
      <c r="BN79" s="72" t="str">
        <f t="shared" si="33"/>
        <v/>
      </c>
      <c r="BO79" s="72" t="str">
        <f t="shared" si="34"/>
        <v/>
      </c>
      <c r="BP79" s="39"/>
      <c r="BQ79" s="72" t="str">
        <f t="shared" ref="BQ79:BQ114" si="53">IF($K79&lt;=$F$15,$F$134,"")</f>
        <v/>
      </c>
      <c r="BR79" s="72" t="str">
        <f t="shared" si="35"/>
        <v/>
      </c>
    </row>
    <row r="80" spans="2:70" x14ac:dyDescent="0.15">
      <c r="E80" s="84" t="s">
        <v>115</v>
      </c>
      <c r="F80" s="488">
        <f>AF116/$BR$116</f>
        <v>0</v>
      </c>
      <c r="G80" s="84" t="s">
        <v>590</v>
      </c>
      <c r="I80" s="322">
        <f t="shared" si="36"/>
        <v>2095</v>
      </c>
      <c r="K80" s="71">
        <f t="shared" si="37"/>
        <v>66</v>
      </c>
      <c r="M80" s="7">
        <f t="shared" si="38"/>
        <v>0.14214879072701941</v>
      </c>
      <c r="O80" s="10" t="str">
        <f t="shared" ref="O80:O114" si="54">IF(K80&lt;=$F$15,O79-V79,"")</f>
        <v/>
      </c>
      <c r="P80" s="29" t="str">
        <f t="shared" si="39"/>
        <v/>
      </c>
      <c r="R80" s="10" t="str">
        <f t="shared" ref="R80:R114" si="55">IF($K80&lt;=$F$15,MAX($F$117*5%,R79*$F$129),"")</f>
        <v/>
      </c>
      <c r="T80" s="10" t="str">
        <f t="shared" ref="T80:T114" si="56">IF(ISNUMBER(R80),ROUNDDOWN(R80,-3),"")</f>
        <v/>
      </c>
      <c r="V80" s="10" t="str">
        <f t="shared" si="40"/>
        <v/>
      </c>
      <c r="W80" s="10" t="str">
        <f t="shared" ref="W80:W114" si="57">IF(ISNUMBER(V80),V80*$M80,"")</f>
        <v/>
      </c>
      <c r="Y80" s="10" t="str">
        <f t="shared" si="41"/>
        <v/>
      </c>
      <c r="Z80" s="10" t="str">
        <f t="shared" ref="Z80:Z114" si="58">IF(ISNUMBER(Y80),Y80*$M80,"")</f>
        <v/>
      </c>
      <c r="AB80" s="10" t="str">
        <f t="shared" si="42"/>
        <v/>
      </c>
      <c r="AC80" s="10" t="str">
        <f t="shared" ref="AC80:AC114" si="59">IF(ISNUMBER(AB80),AB80*$M80,"")</f>
        <v/>
      </c>
      <c r="AE80" s="10" t="str">
        <f t="shared" si="43"/>
        <v/>
      </c>
      <c r="AF80" s="10" t="str">
        <f t="shared" ref="AF80:AF114" si="60">IF(ISNUMBER(AE80),AE80*$M80,"")</f>
        <v/>
      </c>
      <c r="AH80" s="10" t="str">
        <f t="shared" si="44"/>
        <v/>
      </c>
      <c r="AI80" s="10" t="str">
        <f t="shared" ref="AI80:AI114" si="61">IF(ISNUMBER(AH80),AH80*$M80,"")</f>
        <v/>
      </c>
      <c r="AK80" s="10" t="str">
        <f t="shared" si="45"/>
        <v/>
      </c>
      <c r="AL80" s="10" t="str">
        <f t="shared" ref="AL80:AL114" si="62">IF(ISNUMBER(AK80),AK80*$M80,"")</f>
        <v/>
      </c>
      <c r="AN80" s="10" t="str">
        <f t="shared" si="46"/>
        <v/>
      </c>
      <c r="AO80" s="10" t="str">
        <f t="shared" ref="AO80:AO114" si="63">IF(ISNUMBER(AN80),AN80*$M80,"")</f>
        <v/>
      </c>
      <c r="AQ80" s="10" t="str">
        <f t="shared" si="47"/>
        <v/>
      </c>
      <c r="AR80" s="10" t="str">
        <f t="shared" ref="AR80:AR114" si="64">IF(ISNUMBER(AQ80),AQ80*$M80,"")</f>
        <v/>
      </c>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V80" s="10" t="str">
        <f t="shared" si="48"/>
        <v/>
      </c>
      <c r="AW80" s="10" t="str">
        <f t="shared" ref="AW80:AW114" si="65">IF(ISNUMBER(AV80),AV80*$M80,"")</f>
        <v/>
      </c>
      <c r="AY80" s="7" t="str">
        <f>IF(ISERROR(IF($K80&lt;=$F$15,VLOOKUP($I80,'表4）CO2価格'!$A$7:$E$67,VLOOKUP($F$48,'表4）CO2価格'!$H$10:$I$12,2,0),0)*$F$8/1000,"")),0,IF($K80&lt;=$F$15,VLOOKUP($I80,'表4）CO2価格'!$A$7:$E$67,VLOOKUP($F$48,'表4）CO2価格'!$H$10:$I$12,2,0),0)*$F$8/1000,""))</f>
        <v/>
      </c>
      <c r="BA80" s="11" t="str">
        <f t="shared" si="49"/>
        <v/>
      </c>
      <c r="BB80" s="10" t="str">
        <f t="shared" ref="BB80:BB114" si="66">IF(ISNUMBER(BA80),BA80*$M80,"")</f>
        <v/>
      </c>
      <c r="BD80" s="10" t="str">
        <f t="shared" si="50"/>
        <v/>
      </c>
      <c r="BE80" s="10" t="str">
        <f t="shared" ref="BE80:BE114" si="67">IF(ISNUMBER(BD80),BD80*$M80,"")</f>
        <v/>
      </c>
      <c r="BG80" s="11" t="str">
        <f t="shared" si="51"/>
        <v/>
      </c>
      <c r="BH80" s="10" t="str">
        <f t="shared" ref="BH80:BH114" si="68">IF(ISNUMBER(BG80),BG80*$M80,"")</f>
        <v/>
      </c>
      <c r="BJ80" s="7" t="str">
        <f t="shared" ref="BJ80:BJ114" si="69">IF(ISNUMBER($F$16),IF($K80&lt;=$F$16+$F$28,1/(1+($F$17/100))^K80,""),"")</f>
        <v/>
      </c>
      <c r="BK80" s="158" t="str">
        <f t="shared" ref="BK80:BK114" si="70">IF(ISNUMBER($F$16),IF($K80&lt;=$F$16+$F$28,IF($K80&lt;=$F$16,SUM(Y80,AB80,AE80,AH80,AK80,AN80,AQ80,AV80,BA80,BD80,BG80),$F$27/$F$28*10^8)*BJ80,""),"")</f>
        <v/>
      </c>
      <c r="BL80" s="158" t="str">
        <f t="shared" si="52"/>
        <v/>
      </c>
      <c r="BM80" s="10"/>
      <c r="BN80" s="10" t="str">
        <f t="shared" ref="BN80:BN114" si="71">IF(AND(ISNUMBER($F$16),$K80&lt;=$F$16),BQ80*($O$15+$BK$116)/$BL$116,"")</f>
        <v/>
      </c>
      <c r="BO80" s="10" t="str">
        <f t="shared" ref="BO80:BO114" si="72">IF(ISNUMBER(BN80),BN80*$M80,"")</f>
        <v/>
      </c>
      <c r="BQ80" s="10" t="str">
        <f t="shared" si="53"/>
        <v/>
      </c>
      <c r="BR80" s="10" t="str">
        <f t="shared" ref="BR80:BR114" si="73">IF(ISNUMBER(BQ80),BQ80*$M80,"")</f>
        <v/>
      </c>
    </row>
    <row r="81" spans="4:70" x14ac:dyDescent="0.15">
      <c r="E81" s="160" t="s">
        <v>86</v>
      </c>
      <c r="F81" s="488">
        <f>AC116/$BR$116</f>
        <v>2.7108784773651477E-2</v>
      </c>
      <c r="G81" s="84" t="s">
        <v>590</v>
      </c>
      <c r="I81" s="38">
        <f t="shared" ref="I81:I114" si="74">I80+1</f>
        <v>2096</v>
      </c>
      <c r="J81" s="39"/>
      <c r="K81" s="39">
        <f t="shared" ref="K81:K114" si="75">IF(I81&lt;&gt;"",K80+1,"")</f>
        <v>67</v>
      </c>
      <c r="L81" s="39"/>
      <c r="M81" s="40">
        <f t="shared" si="38"/>
        <v>0.1380085346864266</v>
      </c>
      <c r="N81" s="39"/>
      <c r="O81" s="72" t="str">
        <f t="shared" si="54"/>
        <v/>
      </c>
      <c r="P81" s="41" t="str">
        <f t="shared" si="39"/>
        <v/>
      </c>
      <c r="Q81" s="39"/>
      <c r="R81" s="72" t="str">
        <f t="shared" si="55"/>
        <v/>
      </c>
      <c r="S81" s="39"/>
      <c r="T81" s="72" t="str">
        <f t="shared" si="56"/>
        <v/>
      </c>
      <c r="U81" s="39"/>
      <c r="V81" s="72" t="str">
        <f t="shared" si="40"/>
        <v/>
      </c>
      <c r="W81" s="72" t="str">
        <f t="shared" si="57"/>
        <v/>
      </c>
      <c r="X81" s="39"/>
      <c r="Y81" s="72" t="str">
        <f t="shared" si="41"/>
        <v/>
      </c>
      <c r="Z81" s="72" t="str">
        <f t="shared" si="58"/>
        <v/>
      </c>
      <c r="AA81" s="39"/>
      <c r="AB81" s="72" t="str">
        <f t="shared" si="42"/>
        <v/>
      </c>
      <c r="AC81" s="72" t="str">
        <f t="shared" si="59"/>
        <v/>
      </c>
      <c r="AD81" s="39"/>
      <c r="AE81" s="72" t="str">
        <f t="shared" si="43"/>
        <v/>
      </c>
      <c r="AF81" s="72" t="str">
        <f t="shared" si="60"/>
        <v/>
      </c>
      <c r="AG81" s="39"/>
      <c r="AH81" s="72" t="str">
        <f t="shared" si="44"/>
        <v/>
      </c>
      <c r="AI81" s="72" t="str">
        <f t="shared" si="61"/>
        <v/>
      </c>
      <c r="AJ81" s="39"/>
      <c r="AK81" s="72" t="str">
        <f t="shared" si="45"/>
        <v/>
      </c>
      <c r="AL81" s="72" t="str">
        <f t="shared" si="62"/>
        <v/>
      </c>
      <c r="AM81" s="39"/>
      <c r="AN81" s="72" t="str">
        <f t="shared" si="46"/>
        <v/>
      </c>
      <c r="AO81" s="72" t="str">
        <f t="shared" si="63"/>
        <v/>
      </c>
      <c r="AP81" s="39"/>
      <c r="AQ81" s="72" t="str">
        <f t="shared" si="47"/>
        <v/>
      </c>
      <c r="AR81" s="72" t="str">
        <f t="shared" si="64"/>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48"/>
        <v/>
      </c>
      <c r="AW81" s="72" t="str">
        <f t="shared" si="65"/>
        <v/>
      </c>
      <c r="AX81" s="39"/>
      <c r="AY81" s="40" t="str">
        <f>IF(ISERROR(IF($K81&lt;=$F$15,VLOOKUP($I81,'表4）CO2価格'!$A$7:$E$67,VLOOKUP($F$48,'表4）CO2価格'!$H$10:$I$12,2,0),0)*$F$8/1000,"")),0,IF($K81&lt;=$F$15,VLOOKUP($I81,'表4）CO2価格'!$A$7:$E$67,VLOOKUP($F$48,'表4）CO2価格'!$H$10:$I$12,2,0),0)*$F$8/1000,""))</f>
        <v/>
      </c>
      <c r="AZ81" s="39"/>
      <c r="BA81" s="42" t="str">
        <f t="shared" si="49"/>
        <v/>
      </c>
      <c r="BB81" s="72" t="str">
        <f t="shared" si="66"/>
        <v/>
      </c>
      <c r="BC81" s="39"/>
      <c r="BD81" s="72" t="str">
        <f t="shared" si="50"/>
        <v/>
      </c>
      <c r="BE81" s="72" t="str">
        <f t="shared" si="67"/>
        <v/>
      </c>
      <c r="BF81" s="39"/>
      <c r="BG81" s="42" t="str">
        <f t="shared" si="51"/>
        <v/>
      </c>
      <c r="BH81" s="72" t="str">
        <f t="shared" si="68"/>
        <v/>
      </c>
      <c r="BI81" s="39"/>
      <c r="BJ81" s="40" t="str">
        <f t="shared" si="69"/>
        <v/>
      </c>
      <c r="BK81" s="157" t="str">
        <f t="shared" si="70"/>
        <v/>
      </c>
      <c r="BL81" s="157" t="str">
        <f t="shared" si="52"/>
        <v/>
      </c>
      <c r="BM81" s="72"/>
      <c r="BN81" s="72" t="str">
        <f t="shared" si="71"/>
        <v/>
      </c>
      <c r="BO81" s="72" t="str">
        <f t="shared" si="72"/>
        <v/>
      </c>
      <c r="BP81" s="39"/>
      <c r="BQ81" s="72" t="str">
        <f t="shared" si="53"/>
        <v/>
      </c>
      <c r="BR81" s="72" t="str">
        <f t="shared" si="73"/>
        <v/>
      </c>
    </row>
    <row r="82" spans="4:70" x14ac:dyDescent="0.15">
      <c r="F82" s="487"/>
      <c r="I82" s="322">
        <f t="shared" si="74"/>
        <v>2097</v>
      </c>
      <c r="K82" s="71">
        <f t="shared" si="75"/>
        <v>68</v>
      </c>
      <c r="M82" s="7">
        <f t="shared" si="38"/>
        <v>0.13398886862759865</v>
      </c>
      <c r="O82" s="10" t="str">
        <f t="shared" si="54"/>
        <v/>
      </c>
      <c r="P82" s="29" t="str">
        <f t="shared" si="39"/>
        <v/>
      </c>
      <c r="R82" s="10" t="str">
        <f t="shared" si="55"/>
        <v/>
      </c>
      <c r="T82" s="10" t="str">
        <f t="shared" si="56"/>
        <v/>
      </c>
      <c r="V82" s="10" t="str">
        <f t="shared" si="40"/>
        <v/>
      </c>
      <c r="W82" s="10" t="str">
        <f t="shared" si="57"/>
        <v/>
      </c>
      <c r="Y82" s="10" t="str">
        <f t="shared" si="41"/>
        <v/>
      </c>
      <c r="Z82" s="10" t="str">
        <f t="shared" si="58"/>
        <v/>
      </c>
      <c r="AB82" s="10" t="str">
        <f t="shared" si="42"/>
        <v/>
      </c>
      <c r="AC82" s="10" t="str">
        <f t="shared" si="59"/>
        <v/>
      </c>
      <c r="AE82" s="10" t="str">
        <f t="shared" si="43"/>
        <v/>
      </c>
      <c r="AF82" s="10" t="str">
        <f t="shared" si="60"/>
        <v/>
      </c>
      <c r="AH82" s="10" t="str">
        <f t="shared" si="44"/>
        <v/>
      </c>
      <c r="AI82" s="10" t="str">
        <f t="shared" si="61"/>
        <v/>
      </c>
      <c r="AK82" s="10" t="str">
        <f t="shared" si="45"/>
        <v/>
      </c>
      <c r="AL82" s="10" t="str">
        <f t="shared" si="62"/>
        <v/>
      </c>
      <c r="AN82" s="10" t="str">
        <f t="shared" si="46"/>
        <v/>
      </c>
      <c r="AO82" s="10" t="str">
        <f t="shared" si="63"/>
        <v/>
      </c>
      <c r="AQ82" s="10" t="str">
        <f t="shared" si="47"/>
        <v/>
      </c>
      <c r="AR82" s="10" t="str">
        <f t="shared" si="64"/>
        <v/>
      </c>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V82" s="10" t="str">
        <f t="shared" si="48"/>
        <v/>
      </c>
      <c r="AW82" s="10" t="str">
        <f t="shared" si="65"/>
        <v/>
      </c>
      <c r="AY82" s="7" t="str">
        <f>IF(ISERROR(IF($K82&lt;=$F$15,VLOOKUP($I82,'表4）CO2価格'!$A$7:$E$67,VLOOKUP($F$48,'表4）CO2価格'!$H$10:$I$12,2,0),0)*$F$8/1000,"")),0,IF($K82&lt;=$F$15,VLOOKUP($I82,'表4）CO2価格'!$A$7:$E$67,VLOOKUP($F$48,'表4）CO2価格'!$H$10:$I$12,2,0),0)*$F$8/1000,""))</f>
        <v/>
      </c>
      <c r="BA82" s="11" t="str">
        <f t="shared" si="49"/>
        <v/>
      </c>
      <c r="BB82" s="10" t="str">
        <f t="shared" si="66"/>
        <v/>
      </c>
      <c r="BD82" s="10" t="str">
        <f t="shared" si="50"/>
        <v/>
      </c>
      <c r="BE82" s="10" t="str">
        <f t="shared" si="67"/>
        <v/>
      </c>
      <c r="BG82" s="11" t="str">
        <f t="shared" si="51"/>
        <v/>
      </c>
      <c r="BH82" s="10" t="str">
        <f t="shared" si="68"/>
        <v/>
      </c>
      <c r="BJ82" s="7" t="str">
        <f t="shared" si="69"/>
        <v/>
      </c>
      <c r="BK82" s="158" t="str">
        <f t="shared" si="70"/>
        <v/>
      </c>
      <c r="BL82" s="158" t="str">
        <f t="shared" si="52"/>
        <v/>
      </c>
      <c r="BM82" s="10"/>
      <c r="BN82" s="10" t="str">
        <f t="shared" si="71"/>
        <v/>
      </c>
      <c r="BO82" s="10" t="str">
        <f t="shared" si="72"/>
        <v/>
      </c>
      <c r="BQ82" s="10" t="str">
        <f t="shared" si="53"/>
        <v/>
      </c>
      <c r="BR82" s="10" t="str">
        <f t="shared" si="73"/>
        <v/>
      </c>
    </row>
    <row r="83" spans="4:70" ht="15" x14ac:dyDescent="0.15">
      <c r="D83" s="103" t="s">
        <v>593</v>
      </c>
      <c r="F83" s="484">
        <f>SUBTOTAL(9,F87:F90)</f>
        <v>2.2949407812701077</v>
      </c>
      <c r="G83" s="84" t="s">
        <v>590</v>
      </c>
      <c r="I83" s="38">
        <f>I82+1</f>
        <v>2098</v>
      </c>
      <c r="J83" s="39"/>
      <c r="K83" s="39">
        <f>IF(I83&lt;&gt;"",K82+1,"")</f>
        <v>69</v>
      </c>
      <c r="L83" s="39"/>
      <c r="M83" s="40">
        <f t="shared" si="38"/>
        <v>0.13008628022096957</v>
      </c>
      <c r="N83" s="39"/>
      <c r="O83" s="72" t="str">
        <f t="shared" si="54"/>
        <v/>
      </c>
      <c r="P83" s="41" t="str">
        <f t="shared" si="39"/>
        <v/>
      </c>
      <c r="Q83" s="39"/>
      <c r="R83" s="72" t="str">
        <f t="shared" si="55"/>
        <v/>
      </c>
      <c r="S83" s="39"/>
      <c r="T83" s="72" t="str">
        <f t="shared" si="56"/>
        <v/>
      </c>
      <c r="U83" s="39"/>
      <c r="V83" s="72" t="str">
        <f t="shared" si="40"/>
        <v/>
      </c>
      <c r="W83" s="72" t="str">
        <f t="shared" si="57"/>
        <v/>
      </c>
      <c r="X83" s="39"/>
      <c r="Y83" s="72" t="str">
        <f t="shared" si="41"/>
        <v/>
      </c>
      <c r="Z83" s="72" t="str">
        <f t="shared" si="58"/>
        <v/>
      </c>
      <c r="AA83" s="39"/>
      <c r="AB83" s="72" t="str">
        <f t="shared" si="42"/>
        <v/>
      </c>
      <c r="AC83" s="72" t="str">
        <f t="shared" si="59"/>
        <v/>
      </c>
      <c r="AD83" s="39"/>
      <c r="AE83" s="72" t="str">
        <f t="shared" si="43"/>
        <v/>
      </c>
      <c r="AF83" s="72" t="str">
        <f t="shared" si="60"/>
        <v/>
      </c>
      <c r="AG83" s="39"/>
      <c r="AH83" s="72" t="str">
        <f t="shared" si="44"/>
        <v/>
      </c>
      <c r="AI83" s="72" t="str">
        <f t="shared" si="61"/>
        <v/>
      </c>
      <c r="AJ83" s="39"/>
      <c r="AK83" s="72" t="str">
        <f t="shared" si="45"/>
        <v/>
      </c>
      <c r="AL83" s="72" t="str">
        <f t="shared" si="62"/>
        <v/>
      </c>
      <c r="AM83" s="39"/>
      <c r="AN83" s="72" t="str">
        <f t="shared" si="46"/>
        <v/>
      </c>
      <c r="AO83" s="72" t="str">
        <f t="shared" si="63"/>
        <v/>
      </c>
      <c r="AP83" s="39"/>
      <c r="AQ83" s="72" t="str">
        <f t="shared" si="47"/>
        <v/>
      </c>
      <c r="AR83" s="72" t="str">
        <f t="shared" si="64"/>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48"/>
        <v/>
      </c>
      <c r="AW83" s="72" t="str">
        <f t="shared" si="65"/>
        <v/>
      </c>
      <c r="AX83" s="39"/>
      <c r="AY83" s="40" t="str">
        <f>IF(ISERROR(IF($K83&lt;=$F$15,VLOOKUP($I83,'表4）CO2価格'!$A$7:$E$67,VLOOKUP($F$48,'表4）CO2価格'!$H$10:$I$12,2,0),0)*$F$8/1000,"")),0,IF($K83&lt;=$F$15,VLOOKUP($I83,'表4）CO2価格'!$A$7:$E$67,VLOOKUP($F$48,'表4）CO2価格'!$H$10:$I$12,2,0),0)*$F$8/1000,""))</f>
        <v/>
      </c>
      <c r="AZ83" s="39"/>
      <c r="BA83" s="42" t="str">
        <f t="shared" si="49"/>
        <v/>
      </c>
      <c r="BB83" s="72" t="str">
        <f t="shared" si="66"/>
        <v/>
      </c>
      <c r="BC83" s="39"/>
      <c r="BD83" s="72" t="str">
        <f t="shared" si="50"/>
        <v/>
      </c>
      <c r="BE83" s="72" t="str">
        <f t="shared" si="67"/>
        <v/>
      </c>
      <c r="BF83" s="39"/>
      <c r="BG83" s="42" t="str">
        <f t="shared" si="51"/>
        <v/>
      </c>
      <c r="BH83" s="72" t="str">
        <f t="shared" si="68"/>
        <v/>
      </c>
      <c r="BI83" s="39"/>
      <c r="BJ83" s="40" t="str">
        <f t="shared" si="69"/>
        <v/>
      </c>
      <c r="BK83" s="157" t="str">
        <f t="shared" si="70"/>
        <v/>
      </c>
      <c r="BL83" s="157" t="str">
        <f t="shared" si="52"/>
        <v/>
      </c>
      <c r="BM83" s="72"/>
      <c r="BN83" s="72" t="str">
        <f t="shared" si="71"/>
        <v/>
      </c>
      <c r="BO83" s="72" t="str">
        <f t="shared" si="72"/>
        <v/>
      </c>
      <c r="BP83" s="39"/>
      <c r="BQ83" s="72" t="str">
        <f t="shared" si="53"/>
        <v/>
      </c>
      <c r="BR83" s="72" t="str">
        <f t="shared" si="73"/>
        <v/>
      </c>
    </row>
    <row r="84" spans="4:70" x14ac:dyDescent="0.15">
      <c r="F84" s="487"/>
      <c r="I84" s="322">
        <f t="shared" si="74"/>
        <v>2099</v>
      </c>
      <c r="K84" s="71">
        <f t="shared" si="75"/>
        <v>70</v>
      </c>
      <c r="M84" s="7">
        <f t="shared" si="38"/>
        <v>0.12629735943783454</v>
      </c>
      <c r="O84" s="10" t="str">
        <f t="shared" si="54"/>
        <v/>
      </c>
      <c r="P84" s="29" t="str">
        <f t="shared" si="39"/>
        <v/>
      </c>
      <c r="R84" s="10" t="str">
        <f t="shared" si="55"/>
        <v/>
      </c>
      <c r="T84" s="10" t="str">
        <f t="shared" si="56"/>
        <v/>
      </c>
      <c r="V84" s="10" t="str">
        <f t="shared" si="40"/>
        <v/>
      </c>
      <c r="W84" s="10" t="str">
        <f t="shared" si="57"/>
        <v/>
      </c>
      <c r="Y84" s="10" t="str">
        <f t="shared" si="41"/>
        <v/>
      </c>
      <c r="Z84" s="10" t="str">
        <f t="shared" si="58"/>
        <v/>
      </c>
      <c r="AB84" s="10" t="str">
        <f t="shared" si="42"/>
        <v/>
      </c>
      <c r="AC84" s="10" t="str">
        <f t="shared" si="59"/>
        <v/>
      </c>
      <c r="AE84" s="10" t="str">
        <f t="shared" si="43"/>
        <v/>
      </c>
      <c r="AF84" s="10" t="str">
        <f t="shared" si="60"/>
        <v/>
      </c>
      <c r="AH84" s="10" t="str">
        <f t="shared" si="44"/>
        <v/>
      </c>
      <c r="AI84" s="10" t="str">
        <f t="shared" si="61"/>
        <v/>
      </c>
      <c r="AK84" s="10" t="str">
        <f t="shared" si="45"/>
        <v/>
      </c>
      <c r="AL84" s="10" t="str">
        <f t="shared" si="62"/>
        <v/>
      </c>
      <c r="AN84" s="10" t="str">
        <f t="shared" si="46"/>
        <v/>
      </c>
      <c r="AO84" s="10" t="str">
        <f t="shared" si="63"/>
        <v/>
      </c>
      <c r="AQ84" s="10" t="str">
        <f t="shared" si="47"/>
        <v/>
      </c>
      <c r="AR84" s="10" t="str">
        <f t="shared" si="64"/>
        <v/>
      </c>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V84" s="10" t="str">
        <f t="shared" si="48"/>
        <v/>
      </c>
      <c r="AW84" s="10" t="str">
        <f t="shared" si="65"/>
        <v/>
      </c>
      <c r="AY84" s="7" t="str">
        <f>IF(ISERROR(IF($K84&lt;=$F$15,VLOOKUP($I84,'表4）CO2価格'!$A$7:$E$67,VLOOKUP($F$48,'表4）CO2価格'!$H$10:$I$12,2,0),0)*$F$8/1000,"")),0,IF($K84&lt;=$F$15,VLOOKUP($I84,'表4）CO2価格'!$A$7:$E$67,VLOOKUP($F$48,'表4）CO2価格'!$H$10:$I$12,2,0),0)*$F$8/1000,""))</f>
        <v/>
      </c>
      <c r="BA84" s="11" t="str">
        <f t="shared" si="49"/>
        <v/>
      </c>
      <c r="BB84" s="10" t="str">
        <f t="shared" si="66"/>
        <v/>
      </c>
      <c r="BD84" s="10" t="str">
        <f t="shared" si="50"/>
        <v/>
      </c>
      <c r="BE84" s="10" t="str">
        <f t="shared" si="67"/>
        <v/>
      </c>
      <c r="BG84" s="11" t="str">
        <f t="shared" si="51"/>
        <v/>
      </c>
      <c r="BH84" s="10" t="str">
        <f t="shared" si="68"/>
        <v/>
      </c>
      <c r="BJ84" s="7" t="str">
        <f t="shared" si="69"/>
        <v/>
      </c>
      <c r="BK84" s="158" t="str">
        <f t="shared" si="70"/>
        <v/>
      </c>
      <c r="BL84" s="158" t="str">
        <f t="shared" si="52"/>
        <v/>
      </c>
      <c r="BM84" s="10"/>
      <c r="BN84" s="10" t="str">
        <f t="shared" si="71"/>
        <v/>
      </c>
      <c r="BO84" s="10" t="str">
        <f t="shared" si="72"/>
        <v/>
      </c>
      <c r="BQ84" s="10" t="str">
        <f t="shared" si="53"/>
        <v/>
      </c>
      <c r="BR84" s="10" t="str">
        <f t="shared" si="73"/>
        <v/>
      </c>
    </row>
    <row r="85" spans="4:70" x14ac:dyDescent="0.15">
      <c r="D85" s="100" t="s">
        <v>594</v>
      </c>
      <c r="E85" s="489"/>
      <c r="F85" s="486"/>
      <c r="G85" s="100"/>
      <c r="I85" s="38">
        <f t="shared" si="74"/>
        <v>2100</v>
      </c>
      <c r="J85" s="39"/>
      <c r="K85" s="39">
        <f t="shared" si="75"/>
        <v>71</v>
      </c>
      <c r="L85" s="39"/>
      <c r="M85" s="40">
        <f t="shared" si="38"/>
        <v>0.12261879557071313</v>
      </c>
      <c r="N85" s="39"/>
      <c r="O85" s="72" t="str">
        <f t="shared" si="54"/>
        <v/>
      </c>
      <c r="P85" s="41" t="str">
        <f t="shared" si="39"/>
        <v/>
      </c>
      <c r="Q85" s="39"/>
      <c r="R85" s="72" t="str">
        <f t="shared" si="55"/>
        <v/>
      </c>
      <c r="S85" s="39"/>
      <c r="T85" s="72" t="str">
        <f t="shared" si="56"/>
        <v/>
      </c>
      <c r="U85" s="39"/>
      <c r="V85" s="72" t="str">
        <f t="shared" si="40"/>
        <v/>
      </c>
      <c r="W85" s="72" t="str">
        <f t="shared" si="57"/>
        <v/>
      </c>
      <c r="X85" s="39"/>
      <c r="Y85" s="72" t="str">
        <f t="shared" si="41"/>
        <v/>
      </c>
      <c r="Z85" s="72" t="str">
        <f t="shared" si="58"/>
        <v/>
      </c>
      <c r="AA85" s="39"/>
      <c r="AB85" s="72" t="str">
        <f t="shared" si="42"/>
        <v/>
      </c>
      <c r="AC85" s="72" t="str">
        <f t="shared" si="59"/>
        <v/>
      </c>
      <c r="AD85" s="39"/>
      <c r="AE85" s="72" t="str">
        <f t="shared" si="43"/>
        <v/>
      </c>
      <c r="AF85" s="72" t="str">
        <f t="shared" si="60"/>
        <v/>
      </c>
      <c r="AG85" s="39"/>
      <c r="AH85" s="72" t="str">
        <f t="shared" si="44"/>
        <v/>
      </c>
      <c r="AI85" s="72" t="str">
        <f t="shared" si="61"/>
        <v/>
      </c>
      <c r="AJ85" s="39"/>
      <c r="AK85" s="72" t="str">
        <f t="shared" si="45"/>
        <v/>
      </c>
      <c r="AL85" s="72" t="str">
        <f t="shared" si="62"/>
        <v/>
      </c>
      <c r="AM85" s="39"/>
      <c r="AN85" s="72" t="str">
        <f t="shared" si="46"/>
        <v/>
      </c>
      <c r="AO85" s="72" t="str">
        <f t="shared" si="63"/>
        <v/>
      </c>
      <c r="AP85" s="39"/>
      <c r="AQ85" s="72" t="str">
        <f t="shared" si="47"/>
        <v/>
      </c>
      <c r="AR85" s="72" t="str">
        <f t="shared" si="64"/>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48"/>
        <v/>
      </c>
      <c r="AW85" s="72" t="str">
        <f t="shared" si="65"/>
        <v/>
      </c>
      <c r="AX85" s="39"/>
      <c r="AY85" s="40" t="str">
        <f>IF(ISERROR(IF($K85&lt;=$F$15,VLOOKUP($I85,'表4）CO2価格'!$A$7:$E$67,VLOOKUP($F$48,'表4）CO2価格'!$H$10:$I$12,2,0),0)*$F$8/1000,"")),0,IF($K85&lt;=$F$15,VLOOKUP($I85,'表4）CO2価格'!$A$7:$E$67,VLOOKUP($F$48,'表4）CO2価格'!$H$10:$I$12,2,0),0)*$F$8/1000,""))</f>
        <v/>
      </c>
      <c r="AZ85" s="39"/>
      <c r="BA85" s="42" t="str">
        <f t="shared" si="49"/>
        <v/>
      </c>
      <c r="BB85" s="72" t="str">
        <f t="shared" si="66"/>
        <v/>
      </c>
      <c r="BC85" s="39"/>
      <c r="BD85" s="72" t="str">
        <f t="shared" si="50"/>
        <v/>
      </c>
      <c r="BE85" s="72" t="str">
        <f t="shared" si="67"/>
        <v/>
      </c>
      <c r="BF85" s="39"/>
      <c r="BG85" s="42" t="str">
        <f t="shared" si="51"/>
        <v/>
      </c>
      <c r="BH85" s="72" t="str">
        <f t="shared" si="68"/>
        <v/>
      </c>
      <c r="BI85" s="39"/>
      <c r="BJ85" s="40" t="str">
        <f t="shared" si="69"/>
        <v/>
      </c>
      <c r="BK85" s="157" t="str">
        <f t="shared" si="70"/>
        <v/>
      </c>
      <c r="BL85" s="157" t="str">
        <f t="shared" si="52"/>
        <v/>
      </c>
      <c r="BM85" s="72"/>
      <c r="BN85" s="72" t="str">
        <f t="shared" si="71"/>
        <v/>
      </c>
      <c r="BO85" s="72" t="str">
        <f t="shared" si="72"/>
        <v/>
      </c>
      <c r="BP85" s="39"/>
      <c r="BQ85" s="72" t="str">
        <f t="shared" si="53"/>
        <v/>
      </c>
      <c r="BR85" s="72" t="str">
        <f t="shared" si="73"/>
        <v/>
      </c>
    </row>
    <row r="86" spans="4:70" x14ac:dyDescent="0.15">
      <c r="F86" s="487"/>
      <c r="I86" s="322">
        <f t="shared" si="74"/>
        <v>2101</v>
      </c>
      <c r="K86" s="71">
        <f t="shared" si="75"/>
        <v>72</v>
      </c>
      <c r="M86" s="7">
        <f t="shared" si="38"/>
        <v>0.1190473743404982</v>
      </c>
      <c r="O86" s="10" t="str">
        <f t="shared" si="54"/>
        <v/>
      </c>
      <c r="P86" s="29" t="str">
        <f t="shared" si="39"/>
        <v/>
      </c>
      <c r="R86" s="10" t="str">
        <f t="shared" si="55"/>
        <v/>
      </c>
      <c r="T86" s="10" t="str">
        <f t="shared" si="56"/>
        <v/>
      </c>
      <c r="V86" s="10" t="str">
        <f t="shared" si="40"/>
        <v/>
      </c>
      <c r="W86" s="10" t="str">
        <f t="shared" si="57"/>
        <v/>
      </c>
      <c r="Y86" s="10" t="str">
        <f t="shared" si="41"/>
        <v/>
      </c>
      <c r="Z86" s="10" t="str">
        <f t="shared" si="58"/>
        <v/>
      </c>
      <c r="AB86" s="10" t="str">
        <f t="shared" si="42"/>
        <v/>
      </c>
      <c r="AC86" s="10" t="str">
        <f t="shared" si="59"/>
        <v/>
      </c>
      <c r="AE86" s="10" t="str">
        <f t="shared" si="43"/>
        <v/>
      </c>
      <c r="AF86" s="10" t="str">
        <f t="shared" si="60"/>
        <v/>
      </c>
      <c r="AH86" s="10" t="str">
        <f t="shared" si="44"/>
        <v/>
      </c>
      <c r="AI86" s="10" t="str">
        <f t="shared" si="61"/>
        <v/>
      </c>
      <c r="AK86" s="10" t="str">
        <f t="shared" si="45"/>
        <v/>
      </c>
      <c r="AL86" s="10" t="str">
        <f t="shared" si="62"/>
        <v/>
      </c>
      <c r="AN86" s="10" t="str">
        <f t="shared" si="46"/>
        <v/>
      </c>
      <c r="AO86" s="10" t="str">
        <f t="shared" si="63"/>
        <v/>
      </c>
      <c r="AQ86" s="10" t="str">
        <f t="shared" si="47"/>
        <v/>
      </c>
      <c r="AR86" s="10" t="str">
        <f t="shared" si="64"/>
        <v/>
      </c>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V86" s="10" t="str">
        <f t="shared" si="48"/>
        <v/>
      </c>
      <c r="AW86" s="10" t="str">
        <f t="shared" si="65"/>
        <v/>
      </c>
      <c r="AY86" s="7" t="str">
        <f>IF(ISERROR(IF($K86&lt;=$F$15,VLOOKUP($I86,'表4）CO2価格'!$A$7:$E$67,VLOOKUP($F$48,'表4）CO2価格'!$H$10:$I$12,2,0),0)*$F$8/1000,"")),0,IF($K86&lt;=$F$15,VLOOKUP($I86,'表4）CO2価格'!$A$7:$E$67,VLOOKUP($F$48,'表4）CO2価格'!$H$10:$I$12,2,0),0)*$F$8/1000,""))</f>
        <v/>
      </c>
      <c r="BA86" s="11" t="str">
        <f t="shared" si="49"/>
        <v/>
      </c>
      <c r="BB86" s="10" t="str">
        <f t="shared" si="66"/>
        <v/>
      </c>
      <c r="BD86" s="10" t="str">
        <f t="shared" si="50"/>
        <v/>
      </c>
      <c r="BE86" s="10" t="str">
        <f t="shared" si="67"/>
        <v/>
      </c>
      <c r="BG86" s="11" t="str">
        <f t="shared" si="51"/>
        <v/>
      </c>
      <c r="BH86" s="10" t="str">
        <f t="shared" si="68"/>
        <v/>
      </c>
      <c r="BJ86" s="7" t="str">
        <f t="shared" si="69"/>
        <v/>
      </c>
      <c r="BK86" s="158" t="str">
        <f t="shared" si="70"/>
        <v/>
      </c>
      <c r="BL86" s="158" t="str">
        <f t="shared" si="52"/>
        <v/>
      </c>
      <c r="BM86" s="10"/>
      <c r="BN86" s="10" t="str">
        <f t="shared" si="71"/>
        <v/>
      </c>
      <c r="BO86" s="10" t="str">
        <f t="shared" si="72"/>
        <v/>
      </c>
      <c r="BQ86" s="10" t="str">
        <f t="shared" si="53"/>
        <v/>
      </c>
      <c r="BR86" s="10" t="str">
        <f t="shared" si="73"/>
        <v/>
      </c>
    </row>
    <row r="87" spans="4:70" x14ac:dyDescent="0.15">
      <c r="E87" s="84" t="s">
        <v>141</v>
      </c>
      <c r="F87" s="488">
        <f>AI116/$BR$116</f>
        <v>0.10847275780646391</v>
      </c>
      <c r="G87" s="84" t="s">
        <v>590</v>
      </c>
      <c r="I87" s="38">
        <f t="shared" si="74"/>
        <v>2102</v>
      </c>
      <c r="J87" s="39"/>
      <c r="K87" s="39">
        <f t="shared" si="75"/>
        <v>73</v>
      </c>
      <c r="L87" s="39"/>
      <c r="M87" s="40">
        <f t="shared" si="38"/>
        <v>0.11557997508786232</v>
      </c>
      <c r="N87" s="39"/>
      <c r="O87" s="72" t="str">
        <f t="shared" si="54"/>
        <v/>
      </c>
      <c r="P87" s="41" t="str">
        <f t="shared" si="39"/>
        <v/>
      </c>
      <c r="Q87" s="39"/>
      <c r="R87" s="72" t="str">
        <f t="shared" si="55"/>
        <v/>
      </c>
      <c r="S87" s="39"/>
      <c r="T87" s="72" t="str">
        <f t="shared" si="56"/>
        <v/>
      </c>
      <c r="U87" s="39"/>
      <c r="V87" s="72" t="str">
        <f t="shared" si="40"/>
        <v/>
      </c>
      <c r="W87" s="72" t="str">
        <f t="shared" si="57"/>
        <v/>
      </c>
      <c r="X87" s="39"/>
      <c r="Y87" s="72" t="str">
        <f t="shared" si="41"/>
        <v/>
      </c>
      <c r="Z87" s="72" t="str">
        <f t="shared" si="58"/>
        <v/>
      </c>
      <c r="AA87" s="39"/>
      <c r="AB87" s="72" t="str">
        <f t="shared" si="42"/>
        <v/>
      </c>
      <c r="AC87" s="72" t="str">
        <f t="shared" si="59"/>
        <v/>
      </c>
      <c r="AD87" s="39"/>
      <c r="AE87" s="72" t="str">
        <f t="shared" si="43"/>
        <v/>
      </c>
      <c r="AF87" s="72" t="str">
        <f t="shared" si="60"/>
        <v/>
      </c>
      <c r="AG87" s="39"/>
      <c r="AH87" s="72" t="str">
        <f t="shared" si="44"/>
        <v/>
      </c>
      <c r="AI87" s="72" t="str">
        <f t="shared" si="61"/>
        <v/>
      </c>
      <c r="AJ87" s="39"/>
      <c r="AK87" s="72" t="str">
        <f t="shared" si="45"/>
        <v/>
      </c>
      <c r="AL87" s="72" t="str">
        <f t="shared" si="62"/>
        <v/>
      </c>
      <c r="AM87" s="39"/>
      <c r="AN87" s="72" t="str">
        <f t="shared" si="46"/>
        <v/>
      </c>
      <c r="AO87" s="72" t="str">
        <f t="shared" si="63"/>
        <v/>
      </c>
      <c r="AP87" s="39"/>
      <c r="AQ87" s="72" t="str">
        <f t="shared" si="47"/>
        <v/>
      </c>
      <c r="AR87" s="72" t="str">
        <f t="shared" si="64"/>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48"/>
        <v/>
      </c>
      <c r="AW87" s="72" t="str">
        <f t="shared" si="65"/>
        <v/>
      </c>
      <c r="AX87" s="39"/>
      <c r="AY87" s="40" t="str">
        <f>IF(ISERROR(IF($K87&lt;=$F$15,VLOOKUP($I87,'表4）CO2価格'!$A$7:$E$67,VLOOKUP($F$48,'表4）CO2価格'!$H$10:$I$12,2,0),0)*$F$8/1000,"")),0,IF($K87&lt;=$F$15,VLOOKUP($I87,'表4）CO2価格'!$A$7:$E$67,VLOOKUP($F$48,'表4）CO2価格'!$H$10:$I$12,2,0),0)*$F$8/1000,""))</f>
        <v/>
      </c>
      <c r="AZ87" s="39"/>
      <c r="BA87" s="42" t="str">
        <f t="shared" si="49"/>
        <v/>
      </c>
      <c r="BB87" s="72" t="str">
        <f t="shared" si="66"/>
        <v/>
      </c>
      <c r="BC87" s="39"/>
      <c r="BD87" s="72" t="str">
        <f t="shared" si="50"/>
        <v/>
      </c>
      <c r="BE87" s="72" t="str">
        <f t="shared" si="67"/>
        <v/>
      </c>
      <c r="BF87" s="39"/>
      <c r="BG87" s="42" t="str">
        <f t="shared" si="51"/>
        <v/>
      </c>
      <c r="BH87" s="72" t="str">
        <f t="shared" si="68"/>
        <v/>
      </c>
      <c r="BI87" s="39"/>
      <c r="BJ87" s="40" t="str">
        <f t="shared" si="69"/>
        <v/>
      </c>
      <c r="BK87" s="157" t="str">
        <f t="shared" si="70"/>
        <v/>
      </c>
      <c r="BL87" s="157" t="str">
        <f t="shared" si="52"/>
        <v/>
      </c>
      <c r="BM87" s="72"/>
      <c r="BN87" s="72" t="str">
        <f t="shared" si="71"/>
        <v/>
      </c>
      <c r="BO87" s="72" t="str">
        <f t="shared" si="72"/>
        <v/>
      </c>
      <c r="BP87" s="39"/>
      <c r="BQ87" s="72" t="str">
        <f t="shared" si="53"/>
        <v/>
      </c>
      <c r="BR87" s="72" t="str">
        <f t="shared" si="73"/>
        <v/>
      </c>
    </row>
    <row r="88" spans="4:70" x14ac:dyDescent="0.15">
      <c r="E88" s="84" t="s">
        <v>120</v>
      </c>
      <c r="F88" s="488">
        <f>AL116/$BR$116</f>
        <v>1.01057165636422</v>
      </c>
      <c r="G88" s="84" t="s">
        <v>590</v>
      </c>
      <c r="I88" s="322">
        <f t="shared" si="74"/>
        <v>2103</v>
      </c>
      <c r="K88" s="71">
        <f t="shared" si="75"/>
        <v>74</v>
      </c>
      <c r="M88" s="7">
        <f t="shared" si="38"/>
        <v>0.11221356804646829</v>
      </c>
      <c r="O88" s="10" t="str">
        <f t="shared" si="54"/>
        <v/>
      </c>
      <c r="P88" s="29" t="str">
        <f t="shared" si="39"/>
        <v/>
      </c>
      <c r="R88" s="10" t="str">
        <f t="shared" si="55"/>
        <v/>
      </c>
      <c r="T88" s="10" t="str">
        <f t="shared" si="56"/>
        <v/>
      </c>
      <c r="V88" s="10" t="str">
        <f t="shared" si="40"/>
        <v/>
      </c>
      <c r="W88" s="10" t="str">
        <f t="shared" si="57"/>
        <v/>
      </c>
      <c r="Y88" s="10" t="str">
        <f t="shared" si="41"/>
        <v/>
      </c>
      <c r="Z88" s="10" t="str">
        <f t="shared" si="58"/>
        <v/>
      </c>
      <c r="AB88" s="10" t="str">
        <f t="shared" si="42"/>
        <v/>
      </c>
      <c r="AC88" s="10" t="str">
        <f t="shared" si="59"/>
        <v/>
      </c>
      <c r="AE88" s="10" t="str">
        <f t="shared" si="43"/>
        <v/>
      </c>
      <c r="AF88" s="10" t="str">
        <f t="shared" si="60"/>
        <v/>
      </c>
      <c r="AH88" s="10" t="str">
        <f t="shared" si="44"/>
        <v/>
      </c>
      <c r="AI88" s="10" t="str">
        <f t="shared" si="61"/>
        <v/>
      </c>
      <c r="AK88" s="10" t="str">
        <f t="shared" si="45"/>
        <v/>
      </c>
      <c r="AL88" s="10" t="str">
        <f t="shared" si="62"/>
        <v/>
      </c>
      <c r="AN88" s="10" t="str">
        <f t="shared" si="46"/>
        <v/>
      </c>
      <c r="AO88" s="10" t="str">
        <f t="shared" si="63"/>
        <v/>
      </c>
      <c r="AQ88" s="10" t="str">
        <f t="shared" si="47"/>
        <v/>
      </c>
      <c r="AR88" s="10" t="str">
        <f t="shared" si="64"/>
        <v/>
      </c>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V88" s="10" t="str">
        <f t="shared" si="48"/>
        <v/>
      </c>
      <c r="AW88" s="10" t="str">
        <f t="shared" si="65"/>
        <v/>
      </c>
      <c r="AY88" s="7" t="str">
        <f>IF(ISERROR(IF($K88&lt;=$F$15,VLOOKUP($I88,'表4）CO2価格'!$A$7:$E$67,VLOOKUP($F$48,'表4）CO2価格'!$H$10:$I$12,2,0),0)*$F$8/1000,"")),0,IF($K88&lt;=$F$15,VLOOKUP($I88,'表4）CO2価格'!$A$7:$E$67,VLOOKUP($F$48,'表4）CO2価格'!$H$10:$I$12,2,0),0)*$F$8/1000,""))</f>
        <v/>
      </c>
      <c r="BA88" s="11" t="str">
        <f t="shared" si="49"/>
        <v/>
      </c>
      <c r="BB88" s="10" t="str">
        <f t="shared" si="66"/>
        <v/>
      </c>
      <c r="BD88" s="10" t="str">
        <f t="shared" si="50"/>
        <v/>
      </c>
      <c r="BE88" s="10" t="str">
        <f t="shared" si="67"/>
        <v/>
      </c>
      <c r="BG88" s="11" t="str">
        <f t="shared" si="51"/>
        <v/>
      </c>
      <c r="BH88" s="10" t="str">
        <f t="shared" si="68"/>
        <v/>
      </c>
      <c r="BJ88" s="7" t="str">
        <f t="shared" si="69"/>
        <v/>
      </c>
      <c r="BK88" s="158" t="str">
        <f t="shared" si="70"/>
        <v/>
      </c>
      <c r="BL88" s="158" t="str">
        <f t="shared" si="52"/>
        <v/>
      </c>
      <c r="BM88" s="10"/>
      <c r="BN88" s="10" t="str">
        <f t="shared" si="71"/>
        <v/>
      </c>
      <c r="BO88" s="10" t="str">
        <f t="shared" si="72"/>
        <v/>
      </c>
      <c r="BQ88" s="10" t="str">
        <f t="shared" si="53"/>
        <v/>
      </c>
      <c r="BR88" s="10" t="str">
        <f t="shared" si="73"/>
        <v/>
      </c>
    </row>
    <row r="89" spans="4:70" x14ac:dyDescent="0.15">
      <c r="E89" s="84" t="s">
        <v>122</v>
      </c>
      <c r="F89" s="488">
        <f>AO116/$BR$116</f>
        <v>0.92635735166720168</v>
      </c>
      <c r="G89" s="84" t="s">
        <v>590</v>
      </c>
      <c r="I89" s="38">
        <f t="shared" si="74"/>
        <v>2104</v>
      </c>
      <c r="J89" s="39"/>
      <c r="K89" s="39">
        <f t="shared" si="75"/>
        <v>75</v>
      </c>
      <c r="L89" s="39"/>
      <c r="M89" s="40">
        <f t="shared" si="38"/>
        <v>0.10894521169560026</v>
      </c>
      <c r="N89" s="39"/>
      <c r="O89" s="72" t="str">
        <f t="shared" si="54"/>
        <v/>
      </c>
      <c r="P89" s="41" t="str">
        <f t="shared" si="39"/>
        <v/>
      </c>
      <c r="Q89" s="39"/>
      <c r="R89" s="72" t="str">
        <f t="shared" si="55"/>
        <v/>
      </c>
      <c r="S89" s="39"/>
      <c r="T89" s="72" t="str">
        <f t="shared" si="56"/>
        <v/>
      </c>
      <c r="U89" s="39"/>
      <c r="V89" s="72" t="str">
        <f t="shared" si="40"/>
        <v/>
      </c>
      <c r="W89" s="72" t="str">
        <f t="shared" si="57"/>
        <v/>
      </c>
      <c r="X89" s="39"/>
      <c r="Y89" s="72" t="str">
        <f t="shared" si="41"/>
        <v/>
      </c>
      <c r="Z89" s="72" t="str">
        <f t="shared" si="58"/>
        <v/>
      </c>
      <c r="AA89" s="39"/>
      <c r="AB89" s="72" t="str">
        <f t="shared" si="42"/>
        <v/>
      </c>
      <c r="AC89" s="72" t="str">
        <f t="shared" si="59"/>
        <v/>
      </c>
      <c r="AD89" s="39"/>
      <c r="AE89" s="72" t="str">
        <f t="shared" si="43"/>
        <v/>
      </c>
      <c r="AF89" s="72" t="str">
        <f t="shared" si="60"/>
        <v/>
      </c>
      <c r="AG89" s="39"/>
      <c r="AH89" s="72" t="str">
        <f t="shared" si="44"/>
        <v/>
      </c>
      <c r="AI89" s="72" t="str">
        <f t="shared" si="61"/>
        <v/>
      </c>
      <c r="AJ89" s="39"/>
      <c r="AK89" s="72" t="str">
        <f t="shared" si="45"/>
        <v/>
      </c>
      <c r="AL89" s="72" t="str">
        <f t="shared" si="62"/>
        <v/>
      </c>
      <c r="AM89" s="39"/>
      <c r="AN89" s="72" t="str">
        <f t="shared" si="46"/>
        <v/>
      </c>
      <c r="AO89" s="72" t="str">
        <f t="shared" si="63"/>
        <v/>
      </c>
      <c r="AP89" s="39"/>
      <c r="AQ89" s="72" t="str">
        <f t="shared" si="47"/>
        <v/>
      </c>
      <c r="AR89" s="72" t="str">
        <f t="shared" si="64"/>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48"/>
        <v/>
      </c>
      <c r="AW89" s="72" t="str">
        <f t="shared" si="65"/>
        <v/>
      </c>
      <c r="AX89" s="39"/>
      <c r="AY89" s="40" t="str">
        <f>IF(ISERROR(IF($K89&lt;=$F$15,VLOOKUP($I89,'表4）CO2価格'!$A$7:$E$67,VLOOKUP($F$48,'表4）CO2価格'!$H$10:$I$12,2,0),0)*$F$8/1000,"")),0,IF($K89&lt;=$F$15,VLOOKUP($I89,'表4）CO2価格'!$A$7:$E$67,VLOOKUP($F$48,'表4）CO2価格'!$H$10:$I$12,2,0),0)*$F$8/1000,""))</f>
        <v/>
      </c>
      <c r="AZ89" s="39"/>
      <c r="BA89" s="42" t="str">
        <f t="shared" si="49"/>
        <v/>
      </c>
      <c r="BB89" s="72" t="str">
        <f t="shared" si="66"/>
        <v/>
      </c>
      <c r="BC89" s="39"/>
      <c r="BD89" s="72" t="str">
        <f t="shared" si="50"/>
        <v/>
      </c>
      <c r="BE89" s="72" t="str">
        <f t="shared" si="67"/>
        <v/>
      </c>
      <c r="BF89" s="39"/>
      <c r="BG89" s="42" t="str">
        <f t="shared" si="51"/>
        <v/>
      </c>
      <c r="BH89" s="72" t="str">
        <f t="shared" si="68"/>
        <v/>
      </c>
      <c r="BI89" s="39"/>
      <c r="BJ89" s="40" t="str">
        <f t="shared" si="69"/>
        <v/>
      </c>
      <c r="BK89" s="157" t="str">
        <f t="shared" si="70"/>
        <v/>
      </c>
      <c r="BL89" s="157" t="str">
        <f t="shared" si="52"/>
        <v/>
      </c>
      <c r="BM89" s="72"/>
      <c r="BN89" s="72" t="str">
        <f t="shared" si="71"/>
        <v/>
      </c>
      <c r="BO89" s="72" t="str">
        <f t="shared" si="72"/>
        <v/>
      </c>
      <c r="BP89" s="39"/>
      <c r="BQ89" s="72" t="str">
        <f t="shared" si="53"/>
        <v/>
      </c>
      <c r="BR89" s="72" t="str">
        <f t="shared" si="73"/>
        <v/>
      </c>
    </row>
    <row r="90" spans="4:70" x14ac:dyDescent="0.15">
      <c r="E90" s="84" t="s">
        <v>142</v>
      </c>
      <c r="F90" s="488">
        <f>AR116/$BR$116</f>
        <v>0.24953901543222201</v>
      </c>
      <c r="G90" s="84" t="s">
        <v>590</v>
      </c>
      <c r="I90" s="322">
        <f t="shared" si="74"/>
        <v>2105</v>
      </c>
      <c r="K90" s="71">
        <f t="shared" si="75"/>
        <v>76</v>
      </c>
      <c r="M90" s="7">
        <f t="shared" si="38"/>
        <v>0.10577205018990318</v>
      </c>
      <c r="O90" s="10" t="str">
        <f t="shared" si="54"/>
        <v/>
      </c>
      <c r="P90" s="29" t="str">
        <f t="shared" si="39"/>
        <v/>
      </c>
      <c r="R90" s="10" t="str">
        <f t="shared" si="55"/>
        <v/>
      </c>
      <c r="T90" s="10" t="str">
        <f t="shared" si="56"/>
        <v/>
      </c>
      <c r="V90" s="10" t="str">
        <f t="shared" si="40"/>
        <v/>
      </c>
      <c r="W90" s="10" t="str">
        <f t="shared" si="57"/>
        <v/>
      </c>
      <c r="Y90" s="10" t="str">
        <f t="shared" si="41"/>
        <v/>
      </c>
      <c r="Z90" s="10" t="str">
        <f t="shared" si="58"/>
        <v/>
      </c>
      <c r="AB90" s="10" t="str">
        <f t="shared" si="42"/>
        <v/>
      </c>
      <c r="AC90" s="10" t="str">
        <f t="shared" si="59"/>
        <v/>
      </c>
      <c r="AE90" s="10" t="str">
        <f t="shared" si="43"/>
        <v/>
      </c>
      <c r="AF90" s="10" t="str">
        <f t="shared" si="60"/>
        <v/>
      </c>
      <c r="AH90" s="10" t="str">
        <f t="shared" si="44"/>
        <v/>
      </c>
      <c r="AI90" s="10" t="str">
        <f t="shared" si="61"/>
        <v/>
      </c>
      <c r="AK90" s="10" t="str">
        <f t="shared" si="45"/>
        <v/>
      </c>
      <c r="AL90" s="10" t="str">
        <f t="shared" si="62"/>
        <v/>
      </c>
      <c r="AN90" s="10" t="str">
        <f t="shared" si="46"/>
        <v/>
      </c>
      <c r="AO90" s="10" t="str">
        <f t="shared" si="63"/>
        <v/>
      </c>
      <c r="AQ90" s="10" t="str">
        <f t="shared" si="47"/>
        <v/>
      </c>
      <c r="AR90" s="10" t="str">
        <f t="shared" si="64"/>
        <v/>
      </c>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V90" s="10" t="str">
        <f t="shared" si="48"/>
        <v/>
      </c>
      <c r="AW90" s="10" t="str">
        <f t="shared" si="65"/>
        <v/>
      </c>
      <c r="AY90" s="7" t="str">
        <f>IF(ISERROR(IF($K90&lt;=$F$15,VLOOKUP($I90,'表4）CO2価格'!$A$7:$E$67,VLOOKUP($F$48,'表4）CO2価格'!$H$10:$I$12,2,0),0)*$F$8/1000,"")),0,IF($K90&lt;=$F$15,VLOOKUP($I90,'表4）CO2価格'!$A$7:$E$67,VLOOKUP($F$48,'表4）CO2価格'!$H$10:$I$12,2,0),0)*$F$8/1000,""))</f>
        <v/>
      </c>
      <c r="BA90" s="11" t="str">
        <f t="shared" si="49"/>
        <v/>
      </c>
      <c r="BB90" s="10" t="str">
        <f t="shared" si="66"/>
        <v/>
      </c>
      <c r="BD90" s="10" t="str">
        <f t="shared" si="50"/>
        <v/>
      </c>
      <c r="BE90" s="10" t="str">
        <f t="shared" si="67"/>
        <v/>
      </c>
      <c r="BG90" s="11" t="str">
        <f t="shared" si="51"/>
        <v/>
      </c>
      <c r="BH90" s="10" t="str">
        <f t="shared" si="68"/>
        <v/>
      </c>
      <c r="BJ90" s="7" t="str">
        <f t="shared" si="69"/>
        <v/>
      </c>
      <c r="BK90" s="158" t="str">
        <f t="shared" si="70"/>
        <v/>
      </c>
      <c r="BL90" s="158" t="str">
        <f t="shared" si="52"/>
        <v/>
      </c>
      <c r="BM90" s="10"/>
      <c r="BN90" s="10" t="str">
        <f t="shared" si="71"/>
        <v/>
      </c>
      <c r="BO90" s="10" t="str">
        <f t="shared" si="72"/>
        <v/>
      </c>
      <c r="BQ90" s="10" t="str">
        <f t="shared" si="53"/>
        <v/>
      </c>
      <c r="BR90" s="10" t="str">
        <f t="shared" si="73"/>
        <v/>
      </c>
    </row>
    <row r="91" spans="4:70" x14ac:dyDescent="0.15">
      <c r="F91" s="487"/>
      <c r="I91" s="38">
        <f t="shared" si="74"/>
        <v>2106</v>
      </c>
      <c r="J91" s="39"/>
      <c r="K91" s="39">
        <f t="shared" si="75"/>
        <v>77</v>
      </c>
      <c r="L91" s="39"/>
      <c r="M91" s="40">
        <f t="shared" si="38"/>
        <v>0.10269131086398368</v>
      </c>
      <c r="N91" s="39"/>
      <c r="O91" s="72" t="str">
        <f t="shared" si="54"/>
        <v/>
      </c>
      <c r="P91" s="41" t="str">
        <f t="shared" si="39"/>
        <v/>
      </c>
      <c r="Q91" s="39"/>
      <c r="R91" s="72" t="str">
        <f t="shared" si="55"/>
        <v/>
      </c>
      <c r="S91" s="39"/>
      <c r="T91" s="72" t="str">
        <f t="shared" si="56"/>
        <v/>
      </c>
      <c r="U91" s="39"/>
      <c r="V91" s="72" t="str">
        <f t="shared" si="40"/>
        <v/>
      </c>
      <c r="W91" s="72" t="str">
        <f t="shared" si="57"/>
        <v/>
      </c>
      <c r="X91" s="39"/>
      <c r="Y91" s="72" t="str">
        <f t="shared" si="41"/>
        <v/>
      </c>
      <c r="Z91" s="72" t="str">
        <f t="shared" si="58"/>
        <v/>
      </c>
      <c r="AA91" s="39"/>
      <c r="AB91" s="72" t="str">
        <f t="shared" si="42"/>
        <v/>
      </c>
      <c r="AC91" s="72" t="str">
        <f t="shared" si="59"/>
        <v/>
      </c>
      <c r="AD91" s="39"/>
      <c r="AE91" s="72" t="str">
        <f t="shared" si="43"/>
        <v/>
      </c>
      <c r="AF91" s="72" t="str">
        <f t="shared" si="60"/>
        <v/>
      </c>
      <c r="AG91" s="39"/>
      <c r="AH91" s="72" t="str">
        <f t="shared" si="44"/>
        <v/>
      </c>
      <c r="AI91" s="72" t="str">
        <f t="shared" si="61"/>
        <v/>
      </c>
      <c r="AJ91" s="39"/>
      <c r="AK91" s="72" t="str">
        <f t="shared" si="45"/>
        <v/>
      </c>
      <c r="AL91" s="72" t="str">
        <f t="shared" si="62"/>
        <v/>
      </c>
      <c r="AM91" s="39"/>
      <c r="AN91" s="72" t="str">
        <f t="shared" si="46"/>
        <v/>
      </c>
      <c r="AO91" s="72" t="str">
        <f t="shared" si="63"/>
        <v/>
      </c>
      <c r="AP91" s="39"/>
      <c r="AQ91" s="72" t="str">
        <f t="shared" si="47"/>
        <v/>
      </c>
      <c r="AR91" s="72" t="str">
        <f t="shared" si="64"/>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48"/>
        <v/>
      </c>
      <c r="AW91" s="72" t="str">
        <f t="shared" si="65"/>
        <v/>
      </c>
      <c r="AX91" s="39"/>
      <c r="AY91" s="40" t="str">
        <f>IF(ISERROR(IF($K91&lt;=$F$15,VLOOKUP($I91,'表4）CO2価格'!$A$7:$E$67,VLOOKUP($F$48,'表4）CO2価格'!$H$10:$I$12,2,0),0)*$F$8/1000,"")),0,IF($K91&lt;=$F$15,VLOOKUP($I91,'表4）CO2価格'!$A$7:$E$67,VLOOKUP($F$48,'表4）CO2価格'!$H$10:$I$12,2,0),0)*$F$8/1000,""))</f>
        <v/>
      </c>
      <c r="AZ91" s="39"/>
      <c r="BA91" s="42" t="str">
        <f t="shared" si="49"/>
        <v/>
      </c>
      <c r="BB91" s="72" t="str">
        <f t="shared" si="66"/>
        <v/>
      </c>
      <c r="BC91" s="39"/>
      <c r="BD91" s="72" t="str">
        <f t="shared" si="50"/>
        <v/>
      </c>
      <c r="BE91" s="72" t="str">
        <f t="shared" si="67"/>
        <v/>
      </c>
      <c r="BF91" s="39"/>
      <c r="BG91" s="42" t="str">
        <f t="shared" si="51"/>
        <v/>
      </c>
      <c r="BH91" s="72" t="str">
        <f t="shared" si="68"/>
        <v/>
      </c>
      <c r="BI91" s="39"/>
      <c r="BJ91" s="40" t="str">
        <f t="shared" si="69"/>
        <v/>
      </c>
      <c r="BK91" s="157" t="str">
        <f t="shared" si="70"/>
        <v/>
      </c>
      <c r="BL91" s="157" t="str">
        <f t="shared" si="52"/>
        <v/>
      </c>
      <c r="BM91" s="72"/>
      <c r="BN91" s="72" t="str">
        <f t="shared" si="71"/>
        <v/>
      </c>
      <c r="BO91" s="72" t="str">
        <f t="shared" si="72"/>
        <v/>
      </c>
      <c r="BP91" s="39"/>
      <c r="BQ91" s="72" t="str">
        <f t="shared" si="53"/>
        <v/>
      </c>
      <c r="BR91" s="72" t="str">
        <f t="shared" si="73"/>
        <v/>
      </c>
    </row>
    <row r="92" spans="4:70" ht="15" x14ac:dyDescent="0.15">
      <c r="D92" s="103" t="s">
        <v>595</v>
      </c>
      <c r="F92" s="484">
        <f>SUBTOTAL(9,F96:F97)</f>
        <v>7.2133480692593732</v>
      </c>
      <c r="I92" s="322">
        <f t="shared" si="74"/>
        <v>2107</v>
      </c>
      <c r="K92" s="71">
        <f t="shared" si="75"/>
        <v>78</v>
      </c>
      <c r="M92" s="7">
        <f t="shared" si="38"/>
        <v>9.9700301809692873E-2</v>
      </c>
      <c r="O92" s="10" t="str">
        <f t="shared" si="54"/>
        <v/>
      </c>
      <c r="P92" s="29" t="str">
        <f t="shared" si="39"/>
        <v/>
      </c>
      <c r="R92" s="10" t="str">
        <f t="shared" si="55"/>
        <v/>
      </c>
      <c r="T92" s="10" t="str">
        <f t="shared" si="56"/>
        <v/>
      </c>
      <c r="V92" s="10" t="str">
        <f t="shared" si="40"/>
        <v/>
      </c>
      <c r="W92" s="10" t="str">
        <f t="shared" si="57"/>
        <v/>
      </c>
      <c r="Y92" s="10" t="str">
        <f t="shared" si="41"/>
        <v/>
      </c>
      <c r="Z92" s="10" t="str">
        <f t="shared" si="58"/>
        <v/>
      </c>
      <c r="AB92" s="10" t="str">
        <f t="shared" si="42"/>
        <v/>
      </c>
      <c r="AC92" s="10" t="str">
        <f t="shared" si="59"/>
        <v/>
      </c>
      <c r="AE92" s="10" t="str">
        <f t="shared" si="43"/>
        <v/>
      </c>
      <c r="AF92" s="10" t="str">
        <f t="shared" si="60"/>
        <v/>
      </c>
      <c r="AH92" s="10" t="str">
        <f t="shared" si="44"/>
        <v/>
      </c>
      <c r="AI92" s="10" t="str">
        <f t="shared" si="61"/>
        <v/>
      </c>
      <c r="AK92" s="10" t="str">
        <f t="shared" si="45"/>
        <v/>
      </c>
      <c r="AL92" s="10" t="str">
        <f t="shared" si="62"/>
        <v/>
      </c>
      <c r="AN92" s="10" t="str">
        <f t="shared" si="46"/>
        <v/>
      </c>
      <c r="AO92" s="10" t="str">
        <f t="shared" si="63"/>
        <v/>
      </c>
      <c r="AQ92" s="10" t="str">
        <f t="shared" si="47"/>
        <v/>
      </c>
      <c r="AR92" s="10" t="str">
        <f t="shared" si="64"/>
        <v/>
      </c>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V92" s="10" t="str">
        <f t="shared" si="48"/>
        <v/>
      </c>
      <c r="AW92" s="10" t="str">
        <f t="shared" si="65"/>
        <v/>
      </c>
      <c r="AY92" s="7" t="str">
        <f>IF(ISERROR(IF($K92&lt;=$F$15,VLOOKUP($I92,'表4）CO2価格'!$A$7:$E$67,VLOOKUP($F$48,'表4）CO2価格'!$H$10:$I$12,2,0),0)*$F$8/1000,"")),0,IF($K92&lt;=$F$15,VLOOKUP($I92,'表4）CO2価格'!$A$7:$E$67,VLOOKUP($F$48,'表4）CO2価格'!$H$10:$I$12,2,0),0)*$F$8/1000,""))</f>
        <v/>
      </c>
      <c r="BA92" s="11" t="str">
        <f t="shared" si="49"/>
        <v/>
      </c>
      <c r="BB92" s="10" t="str">
        <f t="shared" si="66"/>
        <v/>
      </c>
      <c r="BD92" s="10" t="str">
        <f t="shared" si="50"/>
        <v/>
      </c>
      <c r="BE92" s="10" t="str">
        <f t="shared" si="67"/>
        <v/>
      </c>
      <c r="BG92" s="11" t="str">
        <f t="shared" si="51"/>
        <v/>
      </c>
      <c r="BH92" s="10" t="str">
        <f t="shared" si="68"/>
        <v/>
      </c>
      <c r="BJ92" s="7" t="str">
        <f t="shared" si="69"/>
        <v/>
      </c>
      <c r="BK92" s="158" t="str">
        <f t="shared" si="70"/>
        <v/>
      </c>
      <c r="BL92" s="158" t="str">
        <f t="shared" si="52"/>
        <v/>
      </c>
      <c r="BM92" s="10"/>
      <c r="BN92" s="10" t="str">
        <f t="shared" si="71"/>
        <v/>
      </c>
      <c r="BO92" s="10" t="str">
        <f t="shared" si="72"/>
        <v/>
      </c>
      <c r="BQ92" s="10" t="str">
        <f t="shared" si="53"/>
        <v/>
      </c>
      <c r="BR92" s="10" t="str">
        <f t="shared" si="73"/>
        <v/>
      </c>
    </row>
    <row r="93" spans="4:70" ht="15" x14ac:dyDescent="0.15">
      <c r="D93" s="103"/>
      <c r="F93" s="487"/>
      <c r="I93" s="38">
        <f t="shared" si="74"/>
        <v>2108</v>
      </c>
      <c r="J93" s="39"/>
      <c r="K93" s="39">
        <f t="shared" si="75"/>
        <v>79</v>
      </c>
      <c r="L93" s="39"/>
      <c r="M93" s="40">
        <f t="shared" si="38"/>
        <v>9.679640952397367E-2</v>
      </c>
      <c r="N93" s="39"/>
      <c r="O93" s="72" t="str">
        <f t="shared" si="54"/>
        <v/>
      </c>
      <c r="P93" s="41" t="str">
        <f t="shared" si="39"/>
        <v/>
      </c>
      <c r="Q93" s="39"/>
      <c r="R93" s="72" t="str">
        <f t="shared" si="55"/>
        <v/>
      </c>
      <c r="S93" s="39"/>
      <c r="T93" s="72" t="str">
        <f t="shared" si="56"/>
        <v/>
      </c>
      <c r="U93" s="39"/>
      <c r="V93" s="72" t="str">
        <f t="shared" si="40"/>
        <v/>
      </c>
      <c r="W93" s="72" t="str">
        <f t="shared" si="57"/>
        <v/>
      </c>
      <c r="X93" s="39"/>
      <c r="Y93" s="72" t="str">
        <f t="shared" si="41"/>
        <v/>
      </c>
      <c r="Z93" s="72" t="str">
        <f t="shared" si="58"/>
        <v/>
      </c>
      <c r="AA93" s="39"/>
      <c r="AB93" s="72" t="str">
        <f t="shared" si="42"/>
        <v/>
      </c>
      <c r="AC93" s="72" t="str">
        <f t="shared" si="59"/>
        <v/>
      </c>
      <c r="AD93" s="39"/>
      <c r="AE93" s="72" t="str">
        <f t="shared" si="43"/>
        <v/>
      </c>
      <c r="AF93" s="72" t="str">
        <f t="shared" si="60"/>
        <v/>
      </c>
      <c r="AG93" s="39"/>
      <c r="AH93" s="72" t="str">
        <f t="shared" si="44"/>
        <v/>
      </c>
      <c r="AI93" s="72" t="str">
        <f t="shared" si="61"/>
        <v/>
      </c>
      <c r="AJ93" s="39"/>
      <c r="AK93" s="72" t="str">
        <f t="shared" si="45"/>
        <v/>
      </c>
      <c r="AL93" s="72" t="str">
        <f t="shared" si="62"/>
        <v/>
      </c>
      <c r="AM93" s="39"/>
      <c r="AN93" s="72" t="str">
        <f t="shared" si="46"/>
        <v/>
      </c>
      <c r="AO93" s="72" t="str">
        <f t="shared" si="63"/>
        <v/>
      </c>
      <c r="AP93" s="39"/>
      <c r="AQ93" s="72" t="str">
        <f t="shared" si="47"/>
        <v/>
      </c>
      <c r="AR93" s="72" t="str">
        <f t="shared" si="64"/>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48"/>
        <v/>
      </c>
      <c r="AW93" s="72" t="str">
        <f t="shared" si="65"/>
        <v/>
      </c>
      <c r="AX93" s="39"/>
      <c r="AY93" s="40" t="str">
        <f>IF(ISERROR(IF($K93&lt;=$F$15,VLOOKUP($I93,'表4）CO2価格'!$A$7:$E$67,VLOOKUP($F$48,'表4）CO2価格'!$H$10:$I$12,2,0),0)*$F$8/1000,"")),0,IF($K93&lt;=$F$15,VLOOKUP($I93,'表4）CO2価格'!$A$7:$E$67,VLOOKUP($F$48,'表4）CO2価格'!$H$10:$I$12,2,0),0)*$F$8/1000,""))</f>
        <v/>
      </c>
      <c r="AZ93" s="39"/>
      <c r="BA93" s="42" t="str">
        <f t="shared" si="49"/>
        <v/>
      </c>
      <c r="BB93" s="72" t="str">
        <f t="shared" si="66"/>
        <v/>
      </c>
      <c r="BC93" s="39"/>
      <c r="BD93" s="72" t="str">
        <f t="shared" si="50"/>
        <v/>
      </c>
      <c r="BE93" s="72" t="str">
        <f t="shared" si="67"/>
        <v/>
      </c>
      <c r="BF93" s="39"/>
      <c r="BG93" s="42" t="str">
        <f t="shared" si="51"/>
        <v/>
      </c>
      <c r="BH93" s="72" t="str">
        <f t="shared" si="68"/>
        <v/>
      </c>
      <c r="BI93" s="39"/>
      <c r="BJ93" s="40" t="str">
        <f t="shared" si="69"/>
        <v/>
      </c>
      <c r="BK93" s="157" t="str">
        <f t="shared" si="70"/>
        <v/>
      </c>
      <c r="BL93" s="157" t="str">
        <f t="shared" si="52"/>
        <v/>
      </c>
      <c r="BM93" s="72"/>
      <c r="BN93" s="72" t="str">
        <f t="shared" si="71"/>
        <v/>
      </c>
      <c r="BO93" s="72" t="str">
        <f t="shared" si="72"/>
        <v/>
      </c>
      <c r="BP93" s="39"/>
      <c r="BQ93" s="72" t="str">
        <f t="shared" si="53"/>
        <v/>
      </c>
      <c r="BR93" s="72" t="str">
        <f t="shared" si="73"/>
        <v/>
      </c>
    </row>
    <row r="94" spans="4:70" x14ac:dyDescent="0.15">
      <c r="D94" s="100" t="s">
        <v>596</v>
      </c>
      <c r="E94" s="100"/>
      <c r="F94" s="486"/>
      <c r="G94" s="100"/>
      <c r="I94" s="322">
        <f t="shared" si="74"/>
        <v>2109</v>
      </c>
      <c r="K94" s="71">
        <f t="shared" si="75"/>
        <v>80</v>
      </c>
      <c r="M94" s="7">
        <f t="shared" si="38"/>
        <v>9.3977096625217166E-2</v>
      </c>
      <c r="O94" s="10" t="str">
        <f t="shared" si="54"/>
        <v/>
      </c>
      <c r="P94" s="29" t="str">
        <f t="shared" si="39"/>
        <v/>
      </c>
      <c r="R94" s="10" t="str">
        <f t="shared" si="55"/>
        <v/>
      </c>
      <c r="T94" s="10" t="str">
        <f t="shared" si="56"/>
        <v/>
      </c>
      <c r="V94" s="10" t="str">
        <f t="shared" si="40"/>
        <v/>
      </c>
      <c r="W94" s="10" t="str">
        <f t="shared" si="57"/>
        <v/>
      </c>
      <c r="Y94" s="10" t="str">
        <f t="shared" si="41"/>
        <v/>
      </c>
      <c r="Z94" s="10" t="str">
        <f t="shared" si="58"/>
        <v/>
      </c>
      <c r="AB94" s="10" t="str">
        <f t="shared" si="42"/>
        <v/>
      </c>
      <c r="AC94" s="10" t="str">
        <f t="shared" si="59"/>
        <v/>
      </c>
      <c r="AE94" s="10" t="str">
        <f t="shared" si="43"/>
        <v/>
      </c>
      <c r="AF94" s="10" t="str">
        <f t="shared" si="60"/>
        <v/>
      </c>
      <c r="AH94" s="10" t="str">
        <f t="shared" si="44"/>
        <v/>
      </c>
      <c r="AI94" s="10" t="str">
        <f t="shared" si="61"/>
        <v/>
      </c>
      <c r="AK94" s="10" t="str">
        <f t="shared" si="45"/>
        <v/>
      </c>
      <c r="AL94" s="10" t="str">
        <f t="shared" si="62"/>
        <v/>
      </c>
      <c r="AN94" s="10" t="str">
        <f t="shared" si="46"/>
        <v/>
      </c>
      <c r="AO94" s="10" t="str">
        <f t="shared" si="63"/>
        <v/>
      </c>
      <c r="AQ94" s="10" t="str">
        <f t="shared" si="47"/>
        <v/>
      </c>
      <c r="AR94" s="10" t="str">
        <f t="shared" si="64"/>
        <v/>
      </c>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V94" s="10" t="str">
        <f t="shared" si="48"/>
        <v/>
      </c>
      <c r="AW94" s="10" t="str">
        <f t="shared" si="65"/>
        <v/>
      </c>
      <c r="AY94" s="7" t="str">
        <f>IF(ISERROR(IF($K94&lt;=$F$15,VLOOKUP($I94,'表4）CO2価格'!$A$7:$E$67,VLOOKUP($F$48,'表4）CO2価格'!$H$10:$I$12,2,0),0)*$F$8/1000,"")),0,IF($K94&lt;=$F$15,VLOOKUP($I94,'表4）CO2価格'!$A$7:$E$67,VLOOKUP($F$48,'表4）CO2価格'!$H$10:$I$12,2,0),0)*$F$8/1000,""))</f>
        <v/>
      </c>
      <c r="BA94" s="11" t="str">
        <f t="shared" si="49"/>
        <v/>
      </c>
      <c r="BB94" s="10" t="str">
        <f t="shared" si="66"/>
        <v/>
      </c>
      <c r="BD94" s="10" t="str">
        <f t="shared" si="50"/>
        <v/>
      </c>
      <c r="BE94" s="10" t="str">
        <f t="shared" si="67"/>
        <v/>
      </c>
      <c r="BG94" s="11" t="str">
        <f t="shared" si="51"/>
        <v/>
      </c>
      <c r="BH94" s="10" t="str">
        <f t="shared" si="68"/>
        <v/>
      </c>
      <c r="BJ94" s="7" t="str">
        <f t="shared" si="69"/>
        <v/>
      </c>
      <c r="BK94" s="158" t="str">
        <f t="shared" si="70"/>
        <v/>
      </c>
      <c r="BL94" s="158" t="str">
        <f t="shared" si="52"/>
        <v/>
      </c>
      <c r="BM94" s="10"/>
      <c r="BN94" s="10" t="str">
        <f t="shared" si="71"/>
        <v/>
      </c>
      <c r="BO94" s="10" t="str">
        <f t="shared" si="72"/>
        <v/>
      </c>
      <c r="BQ94" s="10" t="str">
        <f t="shared" si="53"/>
        <v/>
      </c>
      <c r="BR94" s="10" t="str">
        <f t="shared" si="73"/>
        <v/>
      </c>
    </row>
    <row r="95" spans="4:70" ht="15" x14ac:dyDescent="0.15">
      <c r="D95" s="103"/>
      <c r="F95" s="487"/>
      <c r="I95" s="38">
        <f t="shared" si="74"/>
        <v>2110</v>
      </c>
      <c r="J95" s="39"/>
      <c r="K95" s="39">
        <f t="shared" si="75"/>
        <v>81</v>
      </c>
      <c r="L95" s="39"/>
      <c r="M95" s="40">
        <f t="shared" si="38"/>
        <v>9.1239899636133173E-2</v>
      </c>
      <c r="N95" s="39"/>
      <c r="O95" s="72" t="str">
        <f t="shared" si="54"/>
        <v/>
      </c>
      <c r="P95" s="41" t="str">
        <f t="shared" si="39"/>
        <v/>
      </c>
      <c r="Q95" s="39"/>
      <c r="R95" s="72" t="str">
        <f t="shared" si="55"/>
        <v/>
      </c>
      <c r="S95" s="39"/>
      <c r="T95" s="72" t="str">
        <f t="shared" si="56"/>
        <v/>
      </c>
      <c r="U95" s="39"/>
      <c r="V95" s="72" t="str">
        <f t="shared" si="40"/>
        <v/>
      </c>
      <c r="W95" s="72" t="str">
        <f t="shared" si="57"/>
        <v/>
      </c>
      <c r="X95" s="39"/>
      <c r="Y95" s="72" t="str">
        <f t="shared" si="41"/>
        <v/>
      </c>
      <c r="Z95" s="72" t="str">
        <f t="shared" si="58"/>
        <v/>
      </c>
      <c r="AA95" s="39"/>
      <c r="AB95" s="72" t="str">
        <f t="shared" si="42"/>
        <v/>
      </c>
      <c r="AC95" s="72" t="str">
        <f t="shared" si="59"/>
        <v/>
      </c>
      <c r="AD95" s="39"/>
      <c r="AE95" s="72" t="str">
        <f t="shared" si="43"/>
        <v/>
      </c>
      <c r="AF95" s="72" t="str">
        <f t="shared" si="60"/>
        <v/>
      </c>
      <c r="AG95" s="39"/>
      <c r="AH95" s="72" t="str">
        <f t="shared" si="44"/>
        <v/>
      </c>
      <c r="AI95" s="72" t="str">
        <f t="shared" si="61"/>
        <v/>
      </c>
      <c r="AJ95" s="39"/>
      <c r="AK95" s="72" t="str">
        <f t="shared" si="45"/>
        <v/>
      </c>
      <c r="AL95" s="72" t="str">
        <f t="shared" si="62"/>
        <v/>
      </c>
      <c r="AM95" s="39"/>
      <c r="AN95" s="72" t="str">
        <f t="shared" si="46"/>
        <v/>
      </c>
      <c r="AO95" s="72" t="str">
        <f t="shared" si="63"/>
        <v/>
      </c>
      <c r="AP95" s="39"/>
      <c r="AQ95" s="72" t="str">
        <f t="shared" si="47"/>
        <v/>
      </c>
      <c r="AR95" s="72" t="str">
        <f t="shared" si="64"/>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48"/>
        <v/>
      </c>
      <c r="AW95" s="72" t="str">
        <f t="shared" si="65"/>
        <v/>
      </c>
      <c r="AX95" s="39"/>
      <c r="AY95" s="40" t="str">
        <f>IF(ISERROR(IF($K95&lt;=$F$15,VLOOKUP($I95,'表4）CO2価格'!$A$7:$E$67,VLOOKUP($F$48,'表4）CO2価格'!$H$10:$I$12,2,0),0)*$F$8/1000,"")),0,IF($K95&lt;=$F$15,VLOOKUP($I95,'表4）CO2価格'!$A$7:$E$67,VLOOKUP($F$48,'表4）CO2価格'!$H$10:$I$12,2,0),0)*$F$8/1000,""))</f>
        <v/>
      </c>
      <c r="AZ95" s="39"/>
      <c r="BA95" s="42" t="str">
        <f t="shared" si="49"/>
        <v/>
      </c>
      <c r="BB95" s="72" t="str">
        <f t="shared" si="66"/>
        <v/>
      </c>
      <c r="BC95" s="39"/>
      <c r="BD95" s="72" t="str">
        <f t="shared" si="50"/>
        <v/>
      </c>
      <c r="BE95" s="72" t="str">
        <f t="shared" si="67"/>
        <v/>
      </c>
      <c r="BF95" s="39"/>
      <c r="BG95" s="42" t="str">
        <f t="shared" si="51"/>
        <v/>
      </c>
      <c r="BH95" s="72" t="str">
        <f t="shared" si="68"/>
        <v/>
      </c>
      <c r="BI95" s="39"/>
      <c r="BJ95" s="40" t="str">
        <f t="shared" si="69"/>
        <v/>
      </c>
      <c r="BK95" s="157" t="str">
        <f t="shared" si="70"/>
        <v/>
      </c>
      <c r="BL95" s="157" t="str">
        <f t="shared" si="52"/>
        <v/>
      </c>
      <c r="BM95" s="72"/>
      <c r="BN95" s="72" t="str">
        <f t="shared" si="71"/>
        <v/>
      </c>
      <c r="BO95" s="72" t="str">
        <f t="shared" si="72"/>
        <v/>
      </c>
      <c r="BP95" s="39"/>
      <c r="BQ95" s="72" t="str">
        <f t="shared" si="53"/>
        <v/>
      </c>
      <c r="BR95" s="72" t="str">
        <f t="shared" si="73"/>
        <v/>
      </c>
    </row>
    <row r="96" spans="4:70" ht="15" x14ac:dyDescent="0.15">
      <c r="D96" s="103"/>
      <c r="E96" s="84" t="s">
        <v>597</v>
      </c>
      <c r="F96" s="488">
        <f>IF(F3&lt;&gt;"原子力",AW116/$BR$116,0)</f>
        <v>7.2133480692593732</v>
      </c>
      <c r="G96" s="84" t="s">
        <v>590</v>
      </c>
      <c r="I96" s="322">
        <f t="shared" si="74"/>
        <v>2111</v>
      </c>
      <c r="K96" s="71">
        <f t="shared" si="75"/>
        <v>82</v>
      </c>
      <c r="M96" s="7">
        <f t="shared" si="38"/>
        <v>8.8582426831197242E-2</v>
      </c>
      <c r="O96" s="10" t="str">
        <f t="shared" si="54"/>
        <v/>
      </c>
      <c r="P96" s="29" t="str">
        <f t="shared" si="39"/>
        <v/>
      </c>
      <c r="R96" s="10" t="str">
        <f t="shared" si="55"/>
        <v/>
      </c>
      <c r="T96" s="10" t="str">
        <f t="shared" si="56"/>
        <v/>
      </c>
      <c r="V96" s="10" t="str">
        <f t="shared" si="40"/>
        <v/>
      </c>
      <c r="W96" s="10" t="str">
        <f t="shared" si="57"/>
        <v/>
      </c>
      <c r="Y96" s="10" t="str">
        <f t="shared" si="41"/>
        <v/>
      </c>
      <c r="Z96" s="10" t="str">
        <f t="shared" si="58"/>
        <v/>
      </c>
      <c r="AB96" s="10" t="str">
        <f t="shared" si="42"/>
        <v/>
      </c>
      <c r="AC96" s="10" t="str">
        <f t="shared" si="59"/>
        <v/>
      </c>
      <c r="AE96" s="10" t="str">
        <f t="shared" si="43"/>
        <v/>
      </c>
      <c r="AF96" s="10" t="str">
        <f t="shared" si="60"/>
        <v/>
      </c>
      <c r="AH96" s="10" t="str">
        <f t="shared" si="44"/>
        <v/>
      </c>
      <c r="AI96" s="10" t="str">
        <f t="shared" si="61"/>
        <v/>
      </c>
      <c r="AK96" s="10" t="str">
        <f t="shared" si="45"/>
        <v/>
      </c>
      <c r="AL96" s="10" t="str">
        <f t="shared" si="62"/>
        <v/>
      </c>
      <c r="AN96" s="10" t="str">
        <f t="shared" si="46"/>
        <v/>
      </c>
      <c r="AO96" s="10" t="str">
        <f t="shared" si="63"/>
        <v/>
      </c>
      <c r="AQ96" s="10" t="str">
        <f t="shared" si="47"/>
        <v/>
      </c>
      <c r="AR96" s="10" t="str">
        <f t="shared" si="64"/>
        <v/>
      </c>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V96" s="10" t="str">
        <f t="shared" si="48"/>
        <v/>
      </c>
      <c r="AW96" s="10" t="str">
        <f t="shared" si="65"/>
        <v/>
      </c>
      <c r="AY96" s="7" t="str">
        <f>IF(ISERROR(IF($K96&lt;=$F$15,VLOOKUP($I96,'表4）CO2価格'!$A$7:$E$67,VLOOKUP($F$48,'表4）CO2価格'!$H$10:$I$12,2,0),0)*$F$8/1000,"")),0,IF($K96&lt;=$F$15,VLOOKUP($I96,'表4）CO2価格'!$A$7:$E$67,VLOOKUP($F$48,'表4）CO2価格'!$H$10:$I$12,2,0),0)*$F$8/1000,""))</f>
        <v/>
      </c>
      <c r="BA96" s="11" t="str">
        <f t="shared" si="49"/>
        <v/>
      </c>
      <c r="BB96" s="10" t="str">
        <f t="shared" si="66"/>
        <v/>
      </c>
      <c r="BD96" s="10" t="str">
        <f t="shared" si="50"/>
        <v/>
      </c>
      <c r="BE96" s="10" t="str">
        <f t="shared" si="67"/>
        <v/>
      </c>
      <c r="BG96" s="11" t="str">
        <f t="shared" si="51"/>
        <v/>
      </c>
      <c r="BH96" s="10" t="str">
        <f t="shared" si="68"/>
        <v/>
      </c>
      <c r="BJ96" s="7" t="str">
        <f t="shared" si="69"/>
        <v/>
      </c>
      <c r="BK96" s="158" t="str">
        <f t="shared" si="70"/>
        <v/>
      </c>
      <c r="BL96" s="158" t="str">
        <f t="shared" si="52"/>
        <v/>
      </c>
      <c r="BM96" s="10"/>
      <c r="BN96" s="10" t="str">
        <f t="shared" si="71"/>
        <v/>
      </c>
      <c r="BO96" s="10" t="str">
        <f t="shared" si="72"/>
        <v/>
      </c>
      <c r="BQ96" s="10" t="str">
        <f t="shared" si="53"/>
        <v/>
      </c>
      <c r="BR96" s="10" t="str">
        <f t="shared" si="73"/>
        <v/>
      </c>
    </row>
    <row r="97" spans="4:70" ht="15" x14ac:dyDescent="0.15">
      <c r="D97" s="103"/>
      <c r="E97" s="84" t="s">
        <v>598</v>
      </c>
      <c r="F97" s="488">
        <f>IF(F3="原子力",#REF!,0)</f>
        <v>0</v>
      </c>
      <c r="G97" s="84" t="s">
        <v>590</v>
      </c>
      <c r="I97" s="38">
        <f t="shared" si="74"/>
        <v>2112</v>
      </c>
      <c r="J97" s="39"/>
      <c r="K97" s="39">
        <f t="shared" si="75"/>
        <v>83</v>
      </c>
      <c r="L97" s="39"/>
      <c r="M97" s="40">
        <f t="shared" si="38"/>
        <v>8.6002356146793454E-2</v>
      </c>
      <c r="N97" s="39"/>
      <c r="O97" s="72" t="str">
        <f t="shared" si="54"/>
        <v/>
      </c>
      <c r="P97" s="41" t="str">
        <f t="shared" si="39"/>
        <v/>
      </c>
      <c r="Q97" s="39"/>
      <c r="R97" s="72" t="str">
        <f t="shared" si="55"/>
        <v/>
      </c>
      <c r="S97" s="39"/>
      <c r="T97" s="72" t="str">
        <f t="shared" si="56"/>
        <v/>
      </c>
      <c r="U97" s="39"/>
      <c r="V97" s="72" t="str">
        <f t="shared" si="40"/>
        <v/>
      </c>
      <c r="W97" s="72" t="str">
        <f t="shared" si="57"/>
        <v/>
      </c>
      <c r="X97" s="39"/>
      <c r="Y97" s="72" t="str">
        <f t="shared" si="41"/>
        <v/>
      </c>
      <c r="Z97" s="72" t="str">
        <f t="shared" si="58"/>
        <v/>
      </c>
      <c r="AA97" s="39"/>
      <c r="AB97" s="72" t="str">
        <f t="shared" si="42"/>
        <v/>
      </c>
      <c r="AC97" s="72" t="str">
        <f t="shared" si="59"/>
        <v/>
      </c>
      <c r="AD97" s="39"/>
      <c r="AE97" s="72" t="str">
        <f t="shared" si="43"/>
        <v/>
      </c>
      <c r="AF97" s="72" t="str">
        <f t="shared" si="60"/>
        <v/>
      </c>
      <c r="AG97" s="39"/>
      <c r="AH97" s="72" t="str">
        <f t="shared" si="44"/>
        <v/>
      </c>
      <c r="AI97" s="72" t="str">
        <f t="shared" si="61"/>
        <v/>
      </c>
      <c r="AJ97" s="39"/>
      <c r="AK97" s="72" t="str">
        <f t="shared" si="45"/>
        <v/>
      </c>
      <c r="AL97" s="72" t="str">
        <f t="shared" si="62"/>
        <v/>
      </c>
      <c r="AM97" s="39"/>
      <c r="AN97" s="72" t="str">
        <f t="shared" si="46"/>
        <v/>
      </c>
      <c r="AO97" s="72" t="str">
        <f t="shared" si="63"/>
        <v/>
      </c>
      <c r="AP97" s="39"/>
      <c r="AQ97" s="72" t="str">
        <f t="shared" si="47"/>
        <v/>
      </c>
      <c r="AR97" s="72" t="str">
        <f t="shared" si="64"/>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48"/>
        <v/>
      </c>
      <c r="AW97" s="72" t="str">
        <f t="shared" si="65"/>
        <v/>
      </c>
      <c r="AX97" s="39"/>
      <c r="AY97" s="40" t="str">
        <f>IF(ISERROR(IF($K97&lt;=$F$15,VLOOKUP($I97,'表4）CO2価格'!$A$7:$E$67,VLOOKUP($F$48,'表4）CO2価格'!$H$10:$I$12,2,0),0)*$F$8/1000,"")),0,IF($K97&lt;=$F$15,VLOOKUP($I97,'表4）CO2価格'!$A$7:$E$67,VLOOKUP($F$48,'表4）CO2価格'!$H$10:$I$12,2,0),0)*$F$8/1000,""))</f>
        <v/>
      </c>
      <c r="AZ97" s="39"/>
      <c r="BA97" s="42" t="str">
        <f t="shared" si="49"/>
        <v/>
      </c>
      <c r="BB97" s="72" t="str">
        <f t="shared" si="66"/>
        <v/>
      </c>
      <c r="BC97" s="39"/>
      <c r="BD97" s="72" t="str">
        <f t="shared" si="50"/>
        <v/>
      </c>
      <c r="BE97" s="72" t="str">
        <f t="shared" si="67"/>
        <v/>
      </c>
      <c r="BF97" s="39"/>
      <c r="BG97" s="42" t="str">
        <f t="shared" si="51"/>
        <v/>
      </c>
      <c r="BH97" s="72" t="str">
        <f t="shared" si="68"/>
        <v/>
      </c>
      <c r="BI97" s="39"/>
      <c r="BJ97" s="40" t="str">
        <f t="shared" si="69"/>
        <v/>
      </c>
      <c r="BK97" s="157" t="str">
        <f t="shared" si="70"/>
        <v/>
      </c>
      <c r="BL97" s="157" t="str">
        <f t="shared" si="52"/>
        <v/>
      </c>
      <c r="BM97" s="72"/>
      <c r="BN97" s="72" t="str">
        <f t="shared" si="71"/>
        <v/>
      </c>
      <c r="BO97" s="72" t="str">
        <f t="shared" si="72"/>
        <v/>
      </c>
      <c r="BP97" s="39"/>
      <c r="BQ97" s="72" t="str">
        <f t="shared" si="53"/>
        <v/>
      </c>
      <c r="BR97" s="72" t="str">
        <f t="shared" si="73"/>
        <v/>
      </c>
    </row>
    <row r="98" spans="4:70" x14ac:dyDescent="0.15">
      <c r="F98" s="487"/>
      <c r="I98" s="322">
        <f t="shared" si="74"/>
        <v>2113</v>
      </c>
      <c r="K98" s="71">
        <f t="shared" si="75"/>
        <v>84</v>
      </c>
      <c r="M98" s="7">
        <f t="shared" si="38"/>
        <v>8.3497433152226644E-2</v>
      </c>
      <c r="O98" s="10" t="str">
        <f t="shared" si="54"/>
        <v/>
      </c>
      <c r="P98" s="29" t="str">
        <f t="shared" si="39"/>
        <v/>
      </c>
      <c r="R98" s="10" t="str">
        <f t="shared" si="55"/>
        <v/>
      </c>
      <c r="T98" s="10" t="str">
        <f t="shared" si="56"/>
        <v/>
      </c>
      <c r="V98" s="10" t="str">
        <f t="shared" si="40"/>
        <v/>
      </c>
      <c r="W98" s="10" t="str">
        <f t="shared" si="57"/>
        <v/>
      </c>
      <c r="Y98" s="10" t="str">
        <f t="shared" si="41"/>
        <v/>
      </c>
      <c r="Z98" s="10" t="str">
        <f t="shared" si="58"/>
        <v/>
      </c>
      <c r="AB98" s="10" t="str">
        <f t="shared" si="42"/>
        <v/>
      </c>
      <c r="AC98" s="10" t="str">
        <f t="shared" si="59"/>
        <v/>
      </c>
      <c r="AE98" s="10" t="str">
        <f t="shared" si="43"/>
        <v/>
      </c>
      <c r="AF98" s="10" t="str">
        <f t="shared" si="60"/>
        <v/>
      </c>
      <c r="AH98" s="10" t="str">
        <f t="shared" si="44"/>
        <v/>
      </c>
      <c r="AI98" s="10" t="str">
        <f t="shared" si="61"/>
        <v/>
      </c>
      <c r="AK98" s="10" t="str">
        <f t="shared" si="45"/>
        <v/>
      </c>
      <c r="AL98" s="10" t="str">
        <f t="shared" si="62"/>
        <v/>
      </c>
      <c r="AN98" s="10" t="str">
        <f t="shared" si="46"/>
        <v/>
      </c>
      <c r="AO98" s="10" t="str">
        <f t="shared" si="63"/>
        <v/>
      </c>
      <c r="AQ98" s="10" t="str">
        <f t="shared" si="47"/>
        <v/>
      </c>
      <c r="AR98" s="10" t="str">
        <f t="shared" si="64"/>
        <v/>
      </c>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V98" s="10" t="str">
        <f t="shared" si="48"/>
        <v/>
      </c>
      <c r="AW98" s="10" t="str">
        <f t="shared" si="65"/>
        <v/>
      </c>
      <c r="AY98" s="7" t="str">
        <f>IF(ISERROR(IF($K98&lt;=$F$15,VLOOKUP($I98,'表4）CO2価格'!$A$7:$E$67,VLOOKUP($F$48,'表4）CO2価格'!$H$10:$I$12,2,0),0)*$F$8/1000,"")),0,IF($K98&lt;=$F$15,VLOOKUP($I98,'表4）CO2価格'!$A$7:$E$67,VLOOKUP($F$48,'表4）CO2価格'!$H$10:$I$12,2,0),0)*$F$8/1000,""))</f>
        <v/>
      </c>
      <c r="BA98" s="11" t="str">
        <f t="shared" si="49"/>
        <v/>
      </c>
      <c r="BB98" s="10" t="str">
        <f t="shared" si="66"/>
        <v/>
      </c>
      <c r="BD98" s="10" t="str">
        <f t="shared" si="50"/>
        <v/>
      </c>
      <c r="BE98" s="10" t="str">
        <f t="shared" si="67"/>
        <v/>
      </c>
      <c r="BG98" s="11" t="str">
        <f t="shared" si="51"/>
        <v/>
      </c>
      <c r="BH98" s="10" t="str">
        <f t="shared" si="68"/>
        <v/>
      </c>
      <c r="BJ98" s="7" t="str">
        <f t="shared" si="69"/>
        <v/>
      </c>
      <c r="BK98" s="158" t="str">
        <f t="shared" si="70"/>
        <v/>
      </c>
      <c r="BL98" s="158" t="str">
        <f t="shared" si="52"/>
        <v/>
      </c>
      <c r="BM98" s="10"/>
      <c r="BN98" s="10" t="str">
        <f t="shared" si="71"/>
        <v/>
      </c>
      <c r="BO98" s="10" t="str">
        <f t="shared" si="72"/>
        <v/>
      </c>
      <c r="BQ98" s="10" t="str">
        <f t="shared" si="53"/>
        <v/>
      </c>
      <c r="BR98" s="10" t="str">
        <f t="shared" si="73"/>
        <v/>
      </c>
    </row>
    <row r="99" spans="4:70" ht="15" x14ac:dyDescent="0.15">
      <c r="D99" s="103" t="s">
        <v>599</v>
      </c>
      <c r="F99" s="484">
        <f>SUBTOTAL(9,F103:F105)</f>
        <v>4.0017323498120305</v>
      </c>
      <c r="G99" s="84" t="s">
        <v>590</v>
      </c>
      <c r="I99" s="38">
        <f t="shared" si="74"/>
        <v>2114</v>
      </c>
      <c r="J99" s="39"/>
      <c r="K99" s="39">
        <f t="shared" si="75"/>
        <v>85</v>
      </c>
      <c r="L99" s="39"/>
      <c r="M99" s="40">
        <f t="shared" si="38"/>
        <v>8.1065469079831712E-2</v>
      </c>
      <c r="N99" s="39"/>
      <c r="O99" s="72" t="str">
        <f t="shared" si="54"/>
        <v/>
      </c>
      <c r="P99" s="41" t="str">
        <f t="shared" si="39"/>
        <v/>
      </c>
      <c r="Q99" s="39"/>
      <c r="R99" s="72" t="str">
        <f t="shared" si="55"/>
        <v/>
      </c>
      <c r="S99" s="39"/>
      <c r="T99" s="72" t="str">
        <f t="shared" si="56"/>
        <v/>
      </c>
      <c r="U99" s="39"/>
      <c r="V99" s="72" t="str">
        <f t="shared" si="40"/>
        <v/>
      </c>
      <c r="W99" s="72" t="str">
        <f t="shared" si="57"/>
        <v/>
      </c>
      <c r="X99" s="39"/>
      <c r="Y99" s="72" t="str">
        <f t="shared" si="41"/>
        <v/>
      </c>
      <c r="Z99" s="72" t="str">
        <f t="shared" si="58"/>
        <v/>
      </c>
      <c r="AA99" s="39"/>
      <c r="AB99" s="72" t="str">
        <f t="shared" si="42"/>
        <v/>
      </c>
      <c r="AC99" s="72" t="str">
        <f t="shared" si="59"/>
        <v/>
      </c>
      <c r="AD99" s="39"/>
      <c r="AE99" s="72" t="str">
        <f t="shared" si="43"/>
        <v/>
      </c>
      <c r="AF99" s="72" t="str">
        <f t="shared" si="60"/>
        <v/>
      </c>
      <c r="AG99" s="39"/>
      <c r="AH99" s="72" t="str">
        <f t="shared" si="44"/>
        <v/>
      </c>
      <c r="AI99" s="72" t="str">
        <f t="shared" si="61"/>
        <v/>
      </c>
      <c r="AJ99" s="39"/>
      <c r="AK99" s="72" t="str">
        <f t="shared" si="45"/>
        <v/>
      </c>
      <c r="AL99" s="72" t="str">
        <f t="shared" si="62"/>
        <v/>
      </c>
      <c r="AM99" s="39"/>
      <c r="AN99" s="72" t="str">
        <f t="shared" si="46"/>
        <v/>
      </c>
      <c r="AO99" s="72" t="str">
        <f t="shared" si="63"/>
        <v/>
      </c>
      <c r="AP99" s="39"/>
      <c r="AQ99" s="72" t="str">
        <f t="shared" si="47"/>
        <v/>
      </c>
      <c r="AR99" s="72" t="str">
        <f t="shared" si="64"/>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48"/>
        <v/>
      </c>
      <c r="AW99" s="72" t="str">
        <f t="shared" si="65"/>
        <v/>
      </c>
      <c r="AX99" s="39"/>
      <c r="AY99" s="40" t="str">
        <f>IF(ISERROR(IF($K99&lt;=$F$15,VLOOKUP($I99,'表4）CO2価格'!$A$7:$E$67,VLOOKUP($F$48,'表4）CO2価格'!$H$10:$I$12,2,0),0)*$F$8/1000,"")),0,IF($K99&lt;=$F$15,VLOOKUP($I99,'表4）CO2価格'!$A$7:$E$67,VLOOKUP($F$48,'表4）CO2価格'!$H$10:$I$12,2,0),0)*$F$8/1000,""))</f>
        <v/>
      </c>
      <c r="AZ99" s="39"/>
      <c r="BA99" s="42" t="str">
        <f t="shared" si="49"/>
        <v/>
      </c>
      <c r="BB99" s="72" t="str">
        <f t="shared" si="66"/>
        <v/>
      </c>
      <c r="BC99" s="39"/>
      <c r="BD99" s="72" t="str">
        <f t="shared" si="50"/>
        <v/>
      </c>
      <c r="BE99" s="72" t="str">
        <f t="shared" si="67"/>
        <v/>
      </c>
      <c r="BF99" s="39"/>
      <c r="BG99" s="42" t="str">
        <f t="shared" si="51"/>
        <v/>
      </c>
      <c r="BH99" s="72" t="str">
        <f t="shared" si="68"/>
        <v/>
      </c>
      <c r="BI99" s="39"/>
      <c r="BJ99" s="40" t="str">
        <f t="shared" si="69"/>
        <v/>
      </c>
      <c r="BK99" s="157" t="str">
        <f t="shared" si="70"/>
        <v/>
      </c>
      <c r="BL99" s="157" t="str">
        <f t="shared" si="52"/>
        <v/>
      </c>
      <c r="BM99" s="72"/>
      <c r="BN99" s="72" t="str">
        <f t="shared" si="71"/>
        <v/>
      </c>
      <c r="BO99" s="72" t="str">
        <f t="shared" si="72"/>
        <v/>
      </c>
      <c r="BP99" s="39"/>
      <c r="BQ99" s="72" t="str">
        <f t="shared" si="53"/>
        <v/>
      </c>
      <c r="BR99" s="72" t="str">
        <f t="shared" si="73"/>
        <v/>
      </c>
    </row>
    <row r="100" spans="4:70" x14ac:dyDescent="0.15">
      <c r="F100" s="487"/>
      <c r="I100" s="322">
        <f t="shared" si="74"/>
        <v>2115</v>
      </c>
      <c r="K100" s="71">
        <f t="shared" si="75"/>
        <v>86</v>
      </c>
      <c r="M100" s="7">
        <f t="shared" si="38"/>
        <v>7.8704338912457969E-2</v>
      </c>
      <c r="O100" s="10" t="str">
        <f t="shared" si="54"/>
        <v/>
      </c>
      <c r="P100" s="29" t="str">
        <f t="shared" si="39"/>
        <v/>
      </c>
      <c r="R100" s="10" t="str">
        <f t="shared" si="55"/>
        <v/>
      </c>
      <c r="T100" s="10" t="str">
        <f t="shared" si="56"/>
        <v/>
      </c>
      <c r="V100" s="10" t="str">
        <f t="shared" si="40"/>
        <v/>
      </c>
      <c r="W100" s="10" t="str">
        <f t="shared" si="57"/>
        <v/>
      </c>
      <c r="Y100" s="10" t="str">
        <f t="shared" si="41"/>
        <v/>
      </c>
      <c r="Z100" s="10" t="str">
        <f t="shared" si="58"/>
        <v/>
      </c>
      <c r="AB100" s="10" t="str">
        <f t="shared" si="42"/>
        <v/>
      </c>
      <c r="AC100" s="10" t="str">
        <f t="shared" si="59"/>
        <v/>
      </c>
      <c r="AE100" s="10" t="str">
        <f t="shared" si="43"/>
        <v/>
      </c>
      <c r="AF100" s="10" t="str">
        <f t="shared" si="60"/>
        <v/>
      </c>
      <c r="AH100" s="10" t="str">
        <f t="shared" si="44"/>
        <v/>
      </c>
      <c r="AI100" s="10" t="str">
        <f t="shared" si="61"/>
        <v/>
      </c>
      <c r="AK100" s="10" t="str">
        <f t="shared" si="45"/>
        <v/>
      </c>
      <c r="AL100" s="10" t="str">
        <f t="shared" si="62"/>
        <v/>
      </c>
      <c r="AN100" s="10" t="str">
        <f t="shared" si="46"/>
        <v/>
      </c>
      <c r="AO100" s="10" t="str">
        <f t="shared" si="63"/>
        <v/>
      </c>
      <c r="AQ100" s="10" t="str">
        <f t="shared" si="47"/>
        <v/>
      </c>
      <c r="AR100" s="10" t="str">
        <f t="shared" si="64"/>
        <v/>
      </c>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V100" s="10" t="str">
        <f t="shared" si="48"/>
        <v/>
      </c>
      <c r="AW100" s="10" t="str">
        <f t="shared" si="65"/>
        <v/>
      </c>
      <c r="AY100" s="7" t="str">
        <f>IF(ISERROR(IF($K100&lt;=$F$15,VLOOKUP($I100,'表4）CO2価格'!$A$7:$E$67,VLOOKUP($F$48,'表4）CO2価格'!$H$10:$I$12,2,0),0)*$F$8/1000,"")),0,IF($K100&lt;=$F$15,VLOOKUP($I100,'表4）CO2価格'!$A$7:$E$67,VLOOKUP($F$48,'表4）CO2価格'!$H$10:$I$12,2,0),0)*$F$8/1000,""))</f>
        <v/>
      </c>
      <c r="BA100" s="11" t="str">
        <f t="shared" si="49"/>
        <v/>
      </c>
      <c r="BB100" s="10" t="str">
        <f t="shared" si="66"/>
        <v/>
      </c>
      <c r="BD100" s="10" t="str">
        <f t="shared" si="50"/>
        <v/>
      </c>
      <c r="BE100" s="10" t="str">
        <f t="shared" si="67"/>
        <v/>
      </c>
      <c r="BG100" s="11" t="str">
        <f t="shared" si="51"/>
        <v/>
      </c>
      <c r="BH100" s="10" t="str">
        <f t="shared" si="68"/>
        <v/>
      </c>
      <c r="BJ100" s="7" t="str">
        <f t="shared" si="69"/>
        <v/>
      </c>
      <c r="BK100" s="158" t="str">
        <f t="shared" si="70"/>
        <v/>
      </c>
      <c r="BL100" s="158" t="str">
        <f t="shared" si="52"/>
        <v/>
      </c>
      <c r="BM100" s="10"/>
      <c r="BN100" s="10" t="str">
        <f t="shared" si="71"/>
        <v/>
      </c>
      <c r="BO100" s="10" t="str">
        <f t="shared" si="72"/>
        <v/>
      </c>
      <c r="BQ100" s="10" t="str">
        <f t="shared" si="53"/>
        <v/>
      </c>
      <c r="BR100" s="10" t="str">
        <f t="shared" si="73"/>
        <v/>
      </c>
    </row>
    <row r="101" spans="4:70" x14ac:dyDescent="0.15">
      <c r="D101" s="100" t="s">
        <v>600</v>
      </c>
      <c r="E101" s="100"/>
      <c r="F101" s="486"/>
      <c r="G101" s="100"/>
      <c r="I101" s="38">
        <f t="shared" si="74"/>
        <v>2116</v>
      </c>
      <c r="J101" s="39"/>
      <c r="K101" s="39">
        <f t="shared" si="75"/>
        <v>87</v>
      </c>
      <c r="L101" s="39"/>
      <c r="M101" s="40">
        <f t="shared" si="38"/>
        <v>7.6411979526658208E-2</v>
      </c>
      <c r="N101" s="39"/>
      <c r="O101" s="72" t="str">
        <f t="shared" si="54"/>
        <v/>
      </c>
      <c r="P101" s="41" t="str">
        <f t="shared" si="39"/>
        <v/>
      </c>
      <c r="Q101" s="39"/>
      <c r="R101" s="72" t="str">
        <f t="shared" si="55"/>
        <v/>
      </c>
      <c r="S101" s="39"/>
      <c r="T101" s="72" t="str">
        <f t="shared" si="56"/>
        <v/>
      </c>
      <c r="U101" s="39"/>
      <c r="V101" s="72" t="str">
        <f t="shared" si="40"/>
        <v/>
      </c>
      <c r="W101" s="72" t="str">
        <f t="shared" si="57"/>
        <v/>
      </c>
      <c r="X101" s="39"/>
      <c r="Y101" s="72" t="str">
        <f t="shared" si="41"/>
        <v/>
      </c>
      <c r="Z101" s="72" t="str">
        <f t="shared" si="58"/>
        <v/>
      </c>
      <c r="AA101" s="39"/>
      <c r="AB101" s="72" t="str">
        <f t="shared" si="42"/>
        <v/>
      </c>
      <c r="AC101" s="72" t="str">
        <f t="shared" si="59"/>
        <v/>
      </c>
      <c r="AD101" s="39"/>
      <c r="AE101" s="72" t="str">
        <f t="shared" si="43"/>
        <v/>
      </c>
      <c r="AF101" s="72" t="str">
        <f t="shared" si="60"/>
        <v/>
      </c>
      <c r="AG101" s="39"/>
      <c r="AH101" s="72" t="str">
        <f t="shared" si="44"/>
        <v/>
      </c>
      <c r="AI101" s="72" t="str">
        <f t="shared" si="61"/>
        <v/>
      </c>
      <c r="AJ101" s="39"/>
      <c r="AK101" s="72" t="str">
        <f t="shared" si="45"/>
        <v/>
      </c>
      <c r="AL101" s="72" t="str">
        <f t="shared" si="62"/>
        <v/>
      </c>
      <c r="AM101" s="39"/>
      <c r="AN101" s="72" t="str">
        <f t="shared" si="46"/>
        <v/>
      </c>
      <c r="AO101" s="72" t="str">
        <f t="shared" si="63"/>
        <v/>
      </c>
      <c r="AP101" s="39"/>
      <c r="AQ101" s="72" t="str">
        <f t="shared" si="47"/>
        <v/>
      </c>
      <c r="AR101" s="72" t="str">
        <f t="shared" si="64"/>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48"/>
        <v/>
      </c>
      <c r="AW101" s="72" t="str">
        <f t="shared" si="65"/>
        <v/>
      </c>
      <c r="AX101" s="39"/>
      <c r="AY101" s="40" t="str">
        <f>IF(ISERROR(IF($K101&lt;=$F$15,VLOOKUP($I101,'表4）CO2価格'!$A$7:$E$67,VLOOKUP($F$48,'表4）CO2価格'!$H$10:$I$12,2,0),0)*$F$8/1000,"")),0,IF($K101&lt;=$F$15,VLOOKUP($I101,'表4）CO2価格'!$A$7:$E$67,VLOOKUP($F$48,'表4）CO2価格'!$H$10:$I$12,2,0),0)*$F$8/1000,""))</f>
        <v/>
      </c>
      <c r="AZ101" s="39"/>
      <c r="BA101" s="42" t="str">
        <f t="shared" si="49"/>
        <v/>
      </c>
      <c r="BB101" s="72" t="str">
        <f t="shared" si="66"/>
        <v/>
      </c>
      <c r="BC101" s="39"/>
      <c r="BD101" s="72" t="str">
        <f t="shared" si="50"/>
        <v/>
      </c>
      <c r="BE101" s="72" t="str">
        <f t="shared" si="67"/>
        <v/>
      </c>
      <c r="BF101" s="39"/>
      <c r="BG101" s="42" t="str">
        <f t="shared" si="51"/>
        <v/>
      </c>
      <c r="BH101" s="72" t="str">
        <f t="shared" si="68"/>
        <v/>
      </c>
      <c r="BI101" s="39"/>
      <c r="BJ101" s="40" t="str">
        <f t="shared" si="69"/>
        <v/>
      </c>
      <c r="BK101" s="157" t="str">
        <f t="shared" si="70"/>
        <v/>
      </c>
      <c r="BL101" s="157" t="str">
        <f t="shared" si="52"/>
        <v/>
      </c>
      <c r="BM101" s="72"/>
      <c r="BN101" s="72" t="str">
        <f t="shared" si="71"/>
        <v/>
      </c>
      <c r="BO101" s="72" t="str">
        <f t="shared" si="72"/>
        <v/>
      </c>
      <c r="BP101" s="39"/>
      <c r="BQ101" s="72" t="str">
        <f t="shared" si="53"/>
        <v/>
      </c>
      <c r="BR101" s="72" t="str">
        <f t="shared" si="73"/>
        <v/>
      </c>
    </row>
    <row r="102" spans="4:70" x14ac:dyDescent="0.15">
      <c r="F102" s="487"/>
      <c r="I102" s="322">
        <f t="shared" si="74"/>
        <v>2117</v>
      </c>
      <c r="K102" s="71">
        <f t="shared" si="75"/>
        <v>88</v>
      </c>
      <c r="M102" s="7">
        <f t="shared" si="38"/>
        <v>7.4186387889959446E-2</v>
      </c>
      <c r="O102" s="10" t="str">
        <f t="shared" si="54"/>
        <v/>
      </c>
      <c r="P102" s="29" t="str">
        <f t="shared" si="39"/>
        <v/>
      </c>
      <c r="R102" s="10" t="str">
        <f t="shared" si="55"/>
        <v/>
      </c>
      <c r="T102" s="10" t="str">
        <f t="shared" si="56"/>
        <v/>
      </c>
      <c r="V102" s="10" t="str">
        <f t="shared" si="40"/>
        <v/>
      </c>
      <c r="W102" s="10" t="str">
        <f t="shared" si="57"/>
        <v/>
      </c>
      <c r="Y102" s="10" t="str">
        <f t="shared" si="41"/>
        <v/>
      </c>
      <c r="Z102" s="10" t="str">
        <f t="shared" si="58"/>
        <v/>
      </c>
      <c r="AB102" s="10" t="str">
        <f t="shared" si="42"/>
        <v/>
      </c>
      <c r="AC102" s="10" t="str">
        <f t="shared" si="59"/>
        <v/>
      </c>
      <c r="AE102" s="10" t="str">
        <f t="shared" si="43"/>
        <v/>
      </c>
      <c r="AF102" s="10" t="str">
        <f t="shared" si="60"/>
        <v/>
      </c>
      <c r="AH102" s="10" t="str">
        <f t="shared" si="44"/>
        <v/>
      </c>
      <c r="AI102" s="10" t="str">
        <f t="shared" si="61"/>
        <v/>
      </c>
      <c r="AK102" s="10" t="str">
        <f t="shared" si="45"/>
        <v/>
      </c>
      <c r="AL102" s="10" t="str">
        <f t="shared" si="62"/>
        <v/>
      </c>
      <c r="AN102" s="10" t="str">
        <f t="shared" si="46"/>
        <v/>
      </c>
      <c r="AO102" s="10" t="str">
        <f t="shared" si="63"/>
        <v/>
      </c>
      <c r="AQ102" s="10" t="str">
        <f t="shared" si="47"/>
        <v/>
      </c>
      <c r="AR102" s="10" t="str">
        <f t="shared" si="64"/>
        <v/>
      </c>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V102" s="10" t="str">
        <f t="shared" si="48"/>
        <v/>
      </c>
      <c r="AW102" s="10" t="str">
        <f t="shared" si="65"/>
        <v/>
      </c>
      <c r="AY102" s="7" t="str">
        <f>IF(ISERROR(IF($K102&lt;=$F$15,VLOOKUP($I102,'表4）CO2価格'!$A$7:$E$67,VLOOKUP($F$48,'表4）CO2価格'!$H$10:$I$12,2,0),0)*$F$8/1000,"")),0,IF($K102&lt;=$F$15,VLOOKUP($I102,'表4）CO2価格'!$A$7:$E$67,VLOOKUP($F$48,'表4）CO2価格'!$H$10:$I$12,2,0),0)*$F$8/1000,""))</f>
        <v/>
      </c>
      <c r="BA102" s="11" t="str">
        <f t="shared" si="49"/>
        <v/>
      </c>
      <c r="BB102" s="10" t="str">
        <f t="shared" si="66"/>
        <v/>
      </c>
      <c r="BD102" s="10" t="str">
        <f t="shared" si="50"/>
        <v/>
      </c>
      <c r="BE102" s="10" t="str">
        <f t="shared" si="67"/>
        <v/>
      </c>
      <c r="BG102" s="11" t="str">
        <f t="shared" si="51"/>
        <v/>
      </c>
      <c r="BH102" s="10" t="str">
        <f t="shared" si="68"/>
        <v/>
      </c>
      <c r="BJ102" s="7" t="str">
        <f t="shared" si="69"/>
        <v/>
      </c>
      <c r="BK102" s="158" t="str">
        <f t="shared" si="70"/>
        <v/>
      </c>
      <c r="BL102" s="158" t="str">
        <f t="shared" si="52"/>
        <v/>
      </c>
      <c r="BM102" s="10"/>
      <c r="BN102" s="10" t="str">
        <f t="shared" si="71"/>
        <v/>
      </c>
      <c r="BO102" s="10" t="str">
        <f t="shared" si="72"/>
        <v/>
      </c>
      <c r="BQ102" s="10" t="str">
        <f t="shared" si="53"/>
        <v/>
      </c>
      <c r="BR102" s="10" t="str">
        <f t="shared" si="73"/>
        <v/>
      </c>
    </row>
    <row r="103" spans="4:70" x14ac:dyDescent="0.15">
      <c r="E103" s="84" t="s">
        <v>601</v>
      </c>
      <c r="F103" s="488">
        <f>BB116/$BR$116</f>
        <v>3.9517323498120307</v>
      </c>
      <c r="G103" s="84" t="s">
        <v>590</v>
      </c>
      <c r="I103" s="38">
        <f t="shared" si="74"/>
        <v>2118</v>
      </c>
      <c r="J103" s="39"/>
      <c r="K103" s="39">
        <f t="shared" si="75"/>
        <v>89</v>
      </c>
      <c r="L103" s="39"/>
      <c r="M103" s="40">
        <f t="shared" si="38"/>
        <v>7.2025619310640235E-2</v>
      </c>
      <c r="N103" s="39"/>
      <c r="O103" s="72" t="str">
        <f t="shared" si="54"/>
        <v/>
      </c>
      <c r="P103" s="41" t="str">
        <f t="shared" si="39"/>
        <v/>
      </c>
      <c r="Q103" s="39"/>
      <c r="R103" s="72" t="str">
        <f t="shared" si="55"/>
        <v/>
      </c>
      <c r="S103" s="39"/>
      <c r="T103" s="72" t="str">
        <f t="shared" si="56"/>
        <v/>
      </c>
      <c r="U103" s="39"/>
      <c r="V103" s="72" t="str">
        <f t="shared" si="40"/>
        <v/>
      </c>
      <c r="W103" s="72" t="str">
        <f t="shared" si="57"/>
        <v/>
      </c>
      <c r="X103" s="39"/>
      <c r="Y103" s="72" t="str">
        <f t="shared" si="41"/>
        <v/>
      </c>
      <c r="Z103" s="72" t="str">
        <f t="shared" si="58"/>
        <v/>
      </c>
      <c r="AA103" s="39"/>
      <c r="AB103" s="72" t="str">
        <f t="shared" si="42"/>
        <v/>
      </c>
      <c r="AC103" s="72" t="str">
        <f t="shared" si="59"/>
        <v/>
      </c>
      <c r="AD103" s="39"/>
      <c r="AE103" s="72" t="str">
        <f t="shared" si="43"/>
        <v/>
      </c>
      <c r="AF103" s="72" t="str">
        <f t="shared" si="60"/>
        <v/>
      </c>
      <c r="AG103" s="39"/>
      <c r="AH103" s="72" t="str">
        <f t="shared" si="44"/>
        <v/>
      </c>
      <c r="AI103" s="72" t="str">
        <f t="shared" si="61"/>
        <v/>
      </c>
      <c r="AJ103" s="39"/>
      <c r="AK103" s="72" t="str">
        <f t="shared" si="45"/>
        <v/>
      </c>
      <c r="AL103" s="72" t="str">
        <f t="shared" si="62"/>
        <v/>
      </c>
      <c r="AM103" s="39"/>
      <c r="AN103" s="72" t="str">
        <f t="shared" si="46"/>
        <v/>
      </c>
      <c r="AO103" s="72" t="str">
        <f t="shared" si="63"/>
        <v/>
      </c>
      <c r="AP103" s="39"/>
      <c r="AQ103" s="72" t="str">
        <f t="shared" si="47"/>
        <v/>
      </c>
      <c r="AR103" s="72" t="str">
        <f t="shared" si="64"/>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48"/>
        <v/>
      </c>
      <c r="AW103" s="72" t="str">
        <f t="shared" si="65"/>
        <v/>
      </c>
      <c r="AX103" s="39"/>
      <c r="AY103" s="40" t="str">
        <f>IF(ISERROR(IF($K103&lt;=$F$15,VLOOKUP($I103,'表4）CO2価格'!$A$7:$E$67,VLOOKUP($F$48,'表4）CO2価格'!$H$10:$I$12,2,0),0)*$F$8/1000,"")),0,IF($K103&lt;=$F$15,VLOOKUP($I103,'表4）CO2価格'!$A$7:$E$67,VLOOKUP($F$48,'表4）CO2価格'!$H$10:$I$12,2,0),0)*$F$8/1000,""))</f>
        <v/>
      </c>
      <c r="AZ103" s="39"/>
      <c r="BA103" s="42" t="str">
        <f t="shared" si="49"/>
        <v/>
      </c>
      <c r="BB103" s="72" t="str">
        <f t="shared" si="66"/>
        <v/>
      </c>
      <c r="BC103" s="39"/>
      <c r="BD103" s="72" t="str">
        <f t="shared" si="50"/>
        <v/>
      </c>
      <c r="BE103" s="72" t="str">
        <f t="shared" si="67"/>
        <v/>
      </c>
      <c r="BF103" s="39"/>
      <c r="BG103" s="42" t="str">
        <f t="shared" si="51"/>
        <v/>
      </c>
      <c r="BH103" s="72" t="str">
        <f t="shared" si="68"/>
        <v/>
      </c>
      <c r="BI103" s="39"/>
      <c r="BJ103" s="40" t="str">
        <f t="shared" si="69"/>
        <v/>
      </c>
      <c r="BK103" s="157" t="str">
        <f t="shared" si="70"/>
        <v/>
      </c>
      <c r="BL103" s="157" t="str">
        <f t="shared" si="52"/>
        <v/>
      </c>
      <c r="BM103" s="72"/>
      <c r="BN103" s="72" t="str">
        <f t="shared" si="71"/>
        <v/>
      </c>
      <c r="BO103" s="72" t="str">
        <f t="shared" si="72"/>
        <v/>
      </c>
      <c r="BP103" s="39"/>
      <c r="BQ103" s="72" t="str">
        <f t="shared" si="53"/>
        <v/>
      </c>
      <c r="BR103" s="72" t="str">
        <f t="shared" si="73"/>
        <v/>
      </c>
    </row>
    <row r="104" spans="4:70" x14ac:dyDescent="0.15">
      <c r="E104" s="84" t="s">
        <v>602</v>
      </c>
      <c r="F104" s="488">
        <f>IF(ISERROR(F60*(1/F61)/F62),0,F60*(1/F61)/F62)</f>
        <v>0</v>
      </c>
      <c r="G104" s="84" t="s">
        <v>590</v>
      </c>
      <c r="I104" s="322">
        <f t="shared" si="74"/>
        <v>2119</v>
      </c>
      <c r="K104" s="71">
        <f t="shared" si="75"/>
        <v>90</v>
      </c>
      <c r="M104" s="7">
        <f t="shared" si="38"/>
        <v>6.9927785738485654E-2</v>
      </c>
      <c r="O104" s="10" t="str">
        <f t="shared" si="54"/>
        <v/>
      </c>
      <c r="P104" s="29" t="str">
        <f t="shared" si="39"/>
        <v/>
      </c>
      <c r="R104" s="10" t="str">
        <f t="shared" si="55"/>
        <v/>
      </c>
      <c r="T104" s="10" t="str">
        <f t="shared" si="56"/>
        <v/>
      </c>
      <c r="V104" s="10" t="str">
        <f t="shared" si="40"/>
        <v/>
      </c>
      <c r="W104" s="10" t="str">
        <f t="shared" si="57"/>
        <v/>
      </c>
      <c r="Y104" s="10" t="str">
        <f t="shared" si="41"/>
        <v/>
      </c>
      <c r="Z104" s="10" t="str">
        <f t="shared" si="58"/>
        <v/>
      </c>
      <c r="AB104" s="10" t="str">
        <f t="shared" si="42"/>
        <v/>
      </c>
      <c r="AC104" s="10" t="str">
        <f t="shared" si="59"/>
        <v/>
      </c>
      <c r="AE104" s="10" t="str">
        <f t="shared" si="43"/>
        <v/>
      </c>
      <c r="AF104" s="10" t="str">
        <f t="shared" si="60"/>
        <v/>
      </c>
      <c r="AH104" s="10" t="str">
        <f t="shared" si="44"/>
        <v/>
      </c>
      <c r="AI104" s="10" t="str">
        <f t="shared" si="61"/>
        <v/>
      </c>
      <c r="AK104" s="10" t="str">
        <f t="shared" si="45"/>
        <v/>
      </c>
      <c r="AL104" s="10" t="str">
        <f t="shared" si="62"/>
        <v/>
      </c>
      <c r="AN104" s="10" t="str">
        <f t="shared" si="46"/>
        <v/>
      </c>
      <c r="AO104" s="10" t="str">
        <f t="shared" si="63"/>
        <v/>
      </c>
      <c r="AQ104" s="10" t="str">
        <f t="shared" si="47"/>
        <v/>
      </c>
      <c r="AR104" s="10" t="str">
        <f t="shared" si="64"/>
        <v/>
      </c>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V104" s="10" t="str">
        <f t="shared" si="48"/>
        <v/>
      </c>
      <c r="AW104" s="10" t="str">
        <f t="shared" si="65"/>
        <v/>
      </c>
      <c r="AY104" s="7" t="str">
        <f>IF(ISERROR(IF($K104&lt;=$F$15,VLOOKUP($I104,'表4）CO2価格'!$A$7:$E$67,VLOOKUP($F$48,'表4）CO2価格'!$H$10:$I$12,2,0),0)*$F$8/1000,"")),0,IF($K104&lt;=$F$15,VLOOKUP($I104,'表4）CO2価格'!$A$7:$E$67,VLOOKUP($F$48,'表4）CO2価格'!$H$10:$I$12,2,0),0)*$F$8/1000,""))</f>
        <v/>
      </c>
      <c r="BA104" s="11" t="str">
        <f t="shared" si="49"/>
        <v/>
      </c>
      <c r="BB104" s="10" t="str">
        <f t="shared" si="66"/>
        <v/>
      </c>
      <c r="BD104" s="10" t="str">
        <f t="shared" si="50"/>
        <v/>
      </c>
      <c r="BE104" s="10" t="str">
        <f t="shared" si="67"/>
        <v/>
      </c>
      <c r="BG104" s="11" t="str">
        <f t="shared" si="51"/>
        <v/>
      </c>
      <c r="BH104" s="10" t="str">
        <f t="shared" si="68"/>
        <v/>
      </c>
      <c r="BJ104" s="7" t="str">
        <f t="shared" si="69"/>
        <v/>
      </c>
      <c r="BK104" s="158" t="str">
        <f t="shared" si="70"/>
        <v/>
      </c>
      <c r="BL104" s="158" t="str">
        <f t="shared" si="52"/>
        <v/>
      </c>
      <c r="BM104" s="10"/>
      <c r="BN104" s="10" t="str">
        <f t="shared" si="71"/>
        <v/>
      </c>
      <c r="BO104" s="10" t="str">
        <f t="shared" si="72"/>
        <v/>
      </c>
      <c r="BQ104" s="10" t="str">
        <f t="shared" si="53"/>
        <v/>
      </c>
      <c r="BR104" s="10" t="str">
        <f t="shared" si="73"/>
        <v/>
      </c>
    </row>
    <row r="105" spans="4:70" x14ac:dyDescent="0.15">
      <c r="E105" s="71" t="s">
        <v>603</v>
      </c>
      <c r="F105" s="488">
        <f>F64</f>
        <v>0.05</v>
      </c>
      <c r="G105" s="84" t="s">
        <v>590</v>
      </c>
      <c r="I105" s="38">
        <f t="shared" si="74"/>
        <v>2120</v>
      </c>
      <c r="J105" s="39"/>
      <c r="K105" s="39">
        <f t="shared" si="75"/>
        <v>91</v>
      </c>
      <c r="L105" s="39"/>
      <c r="M105" s="40">
        <f t="shared" si="38"/>
        <v>6.7891054115034627E-2</v>
      </c>
      <c r="N105" s="39"/>
      <c r="O105" s="72" t="str">
        <f t="shared" si="54"/>
        <v/>
      </c>
      <c r="P105" s="41" t="str">
        <f t="shared" si="39"/>
        <v/>
      </c>
      <c r="Q105" s="39"/>
      <c r="R105" s="72" t="str">
        <f t="shared" si="55"/>
        <v/>
      </c>
      <c r="S105" s="39"/>
      <c r="T105" s="72" t="str">
        <f t="shared" si="56"/>
        <v/>
      </c>
      <c r="U105" s="39"/>
      <c r="V105" s="72" t="str">
        <f t="shared" si="40"/>
        <v/>
      </c>
      <c r="W105" s="72" t="str">
        <f t="shared" si="57"/>
        <v/>
      </c>
      <c r="X105" s="39"/>
      <c r="Y105" s="72" t="str">
        <f t="shared" si="41"/>
        <v/>
      </c>
      <c r="Z105" s="72" t="str">
        <f t="shared" si="58"/>
        <v/>
      </c>
      <c r="AA105" s="39"/>
      <c r="AB105" s="72" t="str">
        <f t="shared" si="42"/>
        <v/>
      </c>
      <c r="AC105" s="72" t="str">
        <f t="shared" si="59"/>
        <v/>
      </c>
      <c r="AD105" s="39"/>
      <c r="AE105" s="72" t="str">
        <f t="shared" si="43"/>
        <v/>
      </c>
      <c r="AF105" s="72" t="str">
        <f t="shared" si="60"/>
        <v/>
      </c>
      <c r="AG105" s="39"/>
      <c r="AH105" s="72" t="str">
        <f t="shared" si="44"/>
        <v/>
      </c>
      <c r="AI105" s="72" t="str">
        <f t="shared" si="61"/>
        <v/>
      </c>
      <c r="AJ105" s="39"/>
      <c r="AK105" s="72" t="str">
        <f t="shared" si="45"/>
        <v/>
      </c>
      <c r="AL105" s="72" t="str">
        <f t="shared" si="62"/>
        <v/>
      </c>
      <c r="AM105" s="39"/>
      <c r="AN105" s="72" t="str">
        <f t="shared" si="46"/>
        <v/>
      </c>
      <c r="AO105" s="72" t="str">
        <f t="shared" si="63"/>
        <v/>
      </c>
      <c r="AP105" s="39"/>
      <c r="AQ105" s="72" t="str">
        <f t="shared" si="47"/>
        <v/>
      </c>
      <c r="AR105" s="72" t="str">
        <f t="shared" si="64"/>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48"/>
        <v/>
      </c>
      <c r="AW105" s="72" t="str">
        <f t="shared" si="65"/>
        <v/>
      </c>
      <c r="AX105" s="39"/>
      <c r="AY105" s="40" t="str">
        <f>IF(ISERROR(IF($K105&lt;=$F$15,VLOOKUP($I105,'表4）CO2価格'!$A$7:$E$67,VLOOKUP($F$48,'表4）CO2価格'!$H$10:$I$12,2,0),0)*$F$8/1000,"")),0,IF($K105&lt;=$F$15,VLOOKUP($I105,'表4）CO2価格'!$A$7:$E$67,VLOOKUP($F$48,'表4）CO2価格'!$H$10:$I$12,2,0),0)*$F$8/1000,""))</f>
        <v/>
      </c>
      <c r="AZ105" s="39"/>
      <c r="BA105" s="42" t="str">
        <f t="shared" si="49"/>
        <v/>
      </c>
      <c r="BB105" s="72" t="str">
        <f t="shared" si="66"/>
        <v/>
      </c>
      <c r="BC105" s="39"/>
      <c r="BD105" s="72" t="str">
        <f t="shared" si="50"/>
        <v/>
      </c>
      <c r="BE105" s="72" t="str">
        <f t="shared" si="67"/>
        <v/>
      </c>
      <c r="BF105" s="39"/>
      <c r="BG105" s="42" t="str">
        <f t="shared" si="51"/>
        <v/>
      </c>
      <c r="BH105" s="72" t="str">
        <f t="shared" si="68"/>
        <v/>
      </c>
      <c r="BI105" s="39"/>
      <c r="BJ105" s="40" t="str">
        <f t="shared" si="69"/>
        <v/>
      </c>
      <c r="BK105" s="157" t="str">
        <f t="shared" si="70"/>
        <v/>
      </c>
      <c r="BL105" s="157" t="str">
        <f t="shared" si="52"/>
        <v/>
      </c>
      <c r="BM105" s="72"/>
      <c r="BN105" s="72" t="str">
        <f t="shared" si="71"/>
        <v/>
      </c>
      <c r="BO105" s="72" t="str">
        <f t="shared" si="72"/>
        <v/>
      </c>
      <c r="BP105" s="39"/>
      <c r="BQ105" s="72" t="str">
        <f t="shared" si="53"/>
        <v/>
      </c>
      <c r="BR105" s="72" t="str">
        <f t="shared" si="73"/>
        <v/>
      </c>
    </row>
    <row r="106" spans="4:70" x14ac:dyDescent="0.15">
      <c r="F106" s="487"/>
      <c r="I106" s="322">
        <f t="shared" si="74"/>
        <v>2121</v>
      </c>
      <c r="K106" s="71">
        <f t="shared" si="75"/>
        <v>92</v>
      </c>
      <c r="M106" s="7">
        <f t="shared" si="38"/>
        <v>6.5913644771878277E-2</v>
      </c>
      <c r="O106" s="10" t="str">
        <f t="shared" si="54"/>
        <v/>
      </c>
      <c r="P106" s="29" t="str">
        <f t="shared" si="39"/>
        <v/>
      </c>
      <c r="R106" s="10" t="str">
        <f t="shared" si="55"/>
        <v/>
      </c>
      <c r="T106" s="10" t="str">
        <f t="shared" si="56"/>
        <v/>
      </c>
      <c r="V106" s="10" t="str">
        <f t="shared" si="40"/>
        <v/>
      </c>
      <c r="W106" s="10" t="str">
        <f t="shared" si="57"/>
        <v/>
      </c>
      <c r="Y106" s="10" t="str">
        <f t="shared" si="41"/>
        <v/>
      </c>
      <c r="Z106" s="10" t="str">
        <f t="shared" si="58"/>
        <v/>
      </c>
      <c r="AB106" s="10" t="str">
        <f t="shared" si="42"/>
        <v/>
      </c>
      <c r="AC106" s="10" t="str">
        <f t="shared" si="59"/>
        <v/>
      </c>
      <c r="AE106" s="10" t="str">
        <f t="shared" si="43"/>
        <v/>
      </c>
      <c r="AF106" s="10" t="str">
        <f t="shared" si="60"/>
        <v/>
      </c>
      <c r="AH106" s="10" t="str">
        <f t="shared" si="44"/>
        <v/>
      </c>
      <c r="AI106" s="10" t="str">
        <f t="shared" si="61"/>
        <v/>
      </c>
      <c r="AK106" s="10" t="str">
        <f t="shared" si="45"/>
        <v/>
      </c>
      <c r="AL106" s="10" t="str">
        <f t="shared" si="62"/>
        <v/>
      </c>
      <c r="AN106" s="10" t="str">
        <f t="shared" si="46"/>
        <v/>
      </c>
      <c r="AO106" s="10" t="str">
        <f t="shared" si="63"/>
        <v/>
      </c>
      <c r="AQ106" s="10" t="str">
        <f t="shared" si="47"/>
        <v/>
      </c>
      <c r="AR106" s="10" t="str">
        <f t="shared" si="64"/>
        <v/>
      </c>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V106" s="10" t="str">
        <f t="shared" si="48"/>
        <v/>
      </c>
      <c r="AW106" s="10" t="str">
        <f t="shared" si="65"/>
        <v/>
      </c>
      <c r="AY106" s="7" t="str">
        <f>IF(ISERROR(IF($K106&lt;=$F$15,VLOOKUP($I106,'表4）CO2価格'!$A$7:$E$67,VLOOKUP($F$48,'表4）CO2価格'!$H$10:$I$12,2,0),0)*$F$8/1000,"")),0,IF($K106&lt;=$F$15,VLOOKUP($I106,'表4）CO2価格'!$A$7:$E$67,VLOOKUP($F$48,'表4）CO2価格'!$H$10:$I$12,2,0),0)*$F$8/1000,""))</f>
        <v/>
      </c>
      <c r="BA106" s="11" t="str">
        <f t="shared" si="49"/>
        <v/>
      </c>
      <c r="BB106" s="10" t="str">
        <f t="shared" si="66"/>
        <v/>
      </c>
      <c r="BD106" s="10" t="str">
        <f t="shared" si="50"/>
        <v/>
      </c>
      <c r="BE106" s="10" t="str">
        <f t="shared" si="67"/>
        <v/>
      </c>
      <c r="BG106" s="11" t="str">
        <f t="shared" si="51"/>
        <v/>
      </c>
      <c r="BH106" s="10" t="str">
        <f t="shared" si="68"/>
        <v/>
      </c>
      <c r="BJ106" s="7" t="str">
        <f t="shared" si="69"/>
        <v/>
      </c>
      <c r="BK106" s="158" t="str">
        <f t="shared" si="70"/>
        <v/>
      </c>
      <c r="BL106" s="158" t="str">
        <f t="shared" si="52"/>
        <v/>
      </c>
      <c r="BM106" s="10"/>
      <c r="BN106" s="10" t="str">
        <f t="shared" si="71"/>
        <v/>
      </c>
      <c r="BO106" s="10" t="str">
        <f t="shared" si="72"/>
        <v/>
      </c>
      <c r="BQ106" s="10" t="str">
        <f t="shared" si="53"/>
        <v/>
      </c>
      <c r="BR106" s="10" t="str">
        <f t="shared" si="73"/>
        <v/>
      </c>
    </row>
    <row r="107" spans="4:70" ht="15" x14ac:dyDescent="0.15">
      <c r="D107" s="103" t="s">
        <v>604</v>
      </c>
      <c r="F107" s="484">
        <f>SUBTOTAL(9,F111:F112)</f>
        <v>0</v>
      </c>
      <c r="G107" s="84" t="s">
        <v>590</v>
      </c>
      <c r="I107" s="38">
        <f t="shared" si="74"/>
        <v>2122</v>
      </c>
      <c r="J107" s="39"/>
      <c r="K107" s="39">
        <f t="shared" si="75"/>
        <v>93</v>
      </c>
      <c r="L107" s="39"/>
      <c r="M107" s="40">
        <f t="shared" si="38"/>
        <v>6.3993829875609989E-2</v>
      </c>
      <c r="N107" s="39"/>
      <c r="O107" s="72" t="str">
        <f t="shared" si="54"/>
        <v/>
      </c>
      <c r="P107" s="41" t="str">
        <f t="shared" si="39"/>
        <v/>
      </c>
      <c r="Q107" s="39"/>
      <c r="R107" s="72" t="str">
        <f t="shared" si="55"/>
        <v/>
      </c>
      <c r="S107" s="39"/>
      <c r="T107" s="72" t="str">
        <f t="shared" si="56"/>
        <v/>
      </c>
      <c r="U107" s="39"/>
      <c r="V107" s="72" t="str">
        <f t="shared" si="40"/>
        <v/>
      </c>
      <c r="W107" s="72" t="str">
        <f t="shared" si="57"/>
        <v/>
      </c>
      <c r="X107" s="39"/>
      <c r="Y107" s="72" t="str">
        <f t="shared" si="41"/>
        <v/>
      </c>
      <c r="Z107" s="72" t="str">
        <f t="shared" si="58"/>
        <v/>
      </c>
      <c r="AA107" s="39"/>
      <c r="AB107" s="72" t="str">
        <f t="shared" si="42"/>
        <v/>
      </c>
      <c r="AC107" s="72" t="str">
        <f t="shared" si="59"/>
        <v/>
      </c>
      <c r="AD107" s="39"/>
      <c r="AE107" s="72" t="str">
        <f t="shared" si="43"/>
        <v/>
      </c>
      <c r="AF107" s="72" t="str">
        <f t="shared" si="60"/>
        <v/>
      </c>
      <c r="AG107" s="39"/>
      <c r="AH107" s="72" t="str">
        <f t="shared" si="44"/>
        <v/>
      </c>
      <c r="AI107" s="72" t="str">
        <f t="shared" si="61"/>
        <v/>
      </c>
      <c r="AJ107" s="39"/>
      <c r="AK107" s="72" t="str">
        <f t="shared" si="45"/>
        <v/>
      </c>
      <c r="AL107" s="72" t="str">
        <f t="shared" si="62"/>
        <v/>
      </c>
      <c r="AM107" s="39"/>
      <c r="AN107" s="72" t="str">
        <f t="shared" si="46"/>
        <v/>
      </c>
      <c r="AO107" s="72" t="str">
        <f t="shared" si="63"/>
        <v/>
      </c>
      <c r="AP107" s="39"/>
      <c r="AQ107" s="72" t="str">
        <f t="shared" si="47"/>
        <v/>
      </c>
      <c r="AR107" s="72" t="str">
        <f t="shared" si="64"/>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48"/>
        <v/>
      </c>
      <c r="AW107" s="72" t="str">
        <f t="shared" si="65"/>
        <v/>
      </c>
      <c r="AX107" s="39"/>
      <c r="AY107" s="40" t="str">
        <f>IF(ISERROR(IF($K107&lt;=$F$15,VLOOKUP($I107,'表4）CO2価格'!$A$7:$E$67,VLOOKUP($F$48,'表4）CO2価格'!$H$10:$I$12,2,0),0)*$F$8/1000,"")),0,IF($K107&lt;=$F$15,VLOOKUP($I107,'表4）CO2価格'!$A$7:$E$67,VLOOKUP($F$48,'表4）CO2価格'!$H$10:$I$12,2,0),0)*$F$8/1000,""))</f>
        <v/>
      </c>
      <c r="AZ107" s="39"/>
      <c r="BA107" s="42" t="str">
        <f t="shared" si="49"/>
        <v/>
      </c>
      <c r="BB107" s="72" t="str">
        <f t="shared" si="66"/>
        <v/>
      </c>
      <c r="BC107" s="39"/>
      <c r="BD107" s="72" t="str">
        <f t="shared" si="50"/>
        <v/>
      </c>
      <c r="BE107" s="72" t="str">
        <f t="shared" si="67"/>
        <v/>
      </c>
      <c r="BF107" s="39"/>
      <c r="BG107" s="42" t="str">
        <f t="shared" si="51"/>
        <v/>
      </c>
      <c r="BH107" s="72" t="str">
        <f t="shared" si="68"/>
        <v/>
      </c>
      <c r="BI107" s="39"/>
      <c r="BJ107" s="40" t="str">
        <f t="shared" si="69"/>
        <v/>
      </c>
      <c r="BK107" s="157" t="str">
        <f t="shared" si="70"/>
        <v/>
      </c>
      <c r="BL107" s="157" t="str">
        <f t="shared" si="52"/>
        <v/>
      </c>
      <c r="BM107" s="72"/>
      <c r="BN107" s="72" t="str">
        <f t="shared" si="71"/>
        <v/>
      </c>
      <c r="BO107" s="72" t="str">
        <f t="shared" si="72"/>
        <v/>
      </c>
      <c r="BP107" s="39"/>
      <c r="BQ107" s="72" t="str">
        <f t="shared" si="53"/>
        <v/>
      </c>
      <c r="BR107" s="72" t="str">
        <f t="shared" si="73"/>
        <v/>
      </c>
    </row>
    <row r="108" spans="4:70" ht="15" x14ac:dyDescent="0.15">
      <c r="D108" s="103"/>
      <c r="F108" s="487"/>
      <c r="I108" s="322">
        <f t="shared" si="74"/>
        <v>2123</v>
      </c>
      <c r="K108" s="71">
        <f t="shared" si="75"/>
        <v>94</v>
      </c>
      <c r="M108" s="7">
        <f t="shared" si="38"/>
        <v>6.212993191806794E-2</v>
      </c>
      <c r="O108" s="10" t="str">
        <f t="shared" si="54"/>
        <v/>
      </c>
      <c r="P108" s="29" t="str">
        <f t="shared" si="39"/>
        <v/>
      </c>
      <c r="R108" s="10" t="str">
        <f t="shared" si="55"/>
        <v/>
      </c>
      <c r="T108" s="10" t="str">
        <f t="shared" si="56"/>
        <v/>
      </c>
      <c r="V108" s="10" t="str">
        <f t="shared" si="40"/>
        <v/>
      </c>
      <c r="W108" s="10" t="str">
        <f t="shared" si="57"/>
        <v/>
      </c>
      <c r="Y108" s="10" t="str">
        <f t="shared" si="41"/>
        <v/>
      </c>
      <c r="Z108" s="10" t="str">
        <f t="shared" si="58"/>
        <v/>
      </c>
      <c r="AB108" s="10" t="str">
        <f t="shared" si="42"/>
        <v/>
      </c>
      <c r="AC108" s="10" t="str">
        <f t="shared" si="59"/>
        <v/>
      </c>
      <c r="AE108" s="10" t="str">
        <f t="shared" si="43"/>
        <v/>
      </c>
      <c r="AF108" s="10" t="str">
        <f t="shared" si="60"/>
        <v/>
      </c>
      <c r="AH108" s="10" t="str">
        <f t="shared" si="44"/>
        <v/>
      </c>
      <c r="AI108" s="10" t="str">
        <f t="shared" si="61"/>
        <v/>
      </c>
      <c r="AK108" s="10" t="str">
        <f t="shared" si="45"/>
        <v/>
      </c>
      <c r="AL108" s="10" t="str">
        <f t="shared" si="62"/>
        <v/>
      </c>
      <c r="AN108" s="10" t="str">
        <f t="shared" si="46"/>
        <v/>
      </c>
      <c r="AO108" s="10" t="str">
        <f t="shared" si="63"/>
        <v/>
      </c>
      <c r="AQ108" s="10" t="str">
        <f t="shared" si="47"/>
        <v/>
      </c>
      <c r="AR108" s="10" t="str">
        <f t="shared" si="64"/>
        <v/>
      </c>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V108" s="10" t="str">
        <f t="shared" si="48"/>
        <v/>
      </c>
      <c r="AW108" s="10" t="str">
        <f t="shared" si="65"/>
        <v/>
      </c>
      <c r="AY108" s="7" t="str">
        <f>IF(ISERROR(IF($K108&lt;=$F$15,VLOOKUP($I108,'表4）CO2価格'!$A$7:$E$67,VLOOKUP($F$48,'表4）CO2価格'!$H$10:$I$12,2,0),0)*$F$8/1000,"")),0,IF($K108&lt;=$F$15,VLOOKUP($I108,'表4）CO2価格'!$A$7:$E$67,VLOOKUP($F$48,'表4）CO2価格'!$H$10:$I$12,2,0),0)*$F$8/1000,""))</f>
        <v/>
      </c>
      <c r="BA108" s="11" t="str">
        <f t="shared" si="49"/>
        <v/>
      </c>
      <c r="BB108" s="10" t="str">
        <f t="shared" si="66"/>
        <v/>
      </c>
      <c r="BD108" s="10" t="str">
        <f t="shared" si="50"/>
        <v/>
      </c>
      <c r="BE108" s="10" t="str">
        <f t="shared" si="67"/>
        <v/>
      </c>
      <c r="BG108" s="11" t="str">
        <f t="shared" si="51"/>
        <v/>
      </c>
      <c r="BH108" s="10" t="str">
        <f t="shared" si="68"/>
        <v/>
      </c>
      <c r="BJ108" s="7" t="str">
        <f t="shared" si="69"/>
        <v/>
      </c>
      <c r="BK108" s="158" t="str">
        <f t="shared" si="70"/>
        <v/>
      </c>
      <c r="BL108" s="158" t="str">
        <f t="shared" si="52"/>
        <v/>
      </c>
      <c r="BM108" s="10"/>
      <c r="BN108" s="10" t="str">
        <f t="shared" si="71"/>
        <v/>
      </c>
      <c r="BO108" s="10" t="str">
        <f t="shared" si="72"/>
        <v/>
      </c>
      <c r="BQ108" s="10" t="str">
        <f t="shared" si="53"/>
        <v/>
      </c>
      <c r="BR108" s="10" t="str">
        <f t="shared" si="73"/>
        <v/>
      </c>
    </row>
    <row r="109" spans="4:70" x14ac:dyDescent="0.15">
      <c r="D109" s="100" t="s">
        <v>605</v>
      </c>
      <c r="E109" s="100"/>
      <c r="F109" s="486"/>
      <c r="G109" s="100"/>
      <c r="I109" s="38">
        <f t="shared" si="74"/>
        <v>2124</v>
      </c>
      <c r="J109" s="39"/>
      <c r="K109" s="39">
        <f t="shared" si="75"/>
        <v>95</v>
      </c>
      <c r="L109" s="39"/>
      <c r="M109" s="40">
        <f t="shared" si="38"/>
        <v>6.0320322250551395E-2</v>
      </c>
      <c r="N109" s="39"/>
      <c r="O109" s="72" t="str">
        <f t="shared" si="54"/>
        <v/>
      </c>
      <c r="P109" s="41" t="str">
        <f t="shared" si="39"/>
        <v/>
      </c>
      <c r="Q109" s="39"/>
      <c r="R109" s="72" t="str">
        <f t="shared" si="55"/>
        <v/>
      </c>
      <c r="S109" s="39"/>
      <c r="T109" s="72" t="str">
        <f t="shared" si="56"/>
        <v/>
      </c>
      <c r="U109" s="39"/>
      <c r="V109" s="72" t="str">
        <f t="shared" si="40"/>
        <v/>
      </c>
      <c r="W109" s="72" t="str">
        <f t="shared" si="57"/>
        <v/>
      </c>
      <c r="X109" s="39"/>
      <c r="Y109" s="72" t="str">
        <f t="shared" si="41"/>
        <v/>
      </c>
      <c r="Z109" s="72" t="str">
        <f t="shared" si="58"/>
        <v/>
      </c>
      <c r="AA109" s="39"/>
      <c r="AB109" s="72" t="str">
        <f t="shared" si="42"/>
        <v/>
      </c>
      <c r="AC109" s="72" t="str">
        <f t="shared" si="59"/>
        <v/>
      </c>
      <c r="AD109" s="39"/>
      <c r="AE109" s="72" t="str">
        <f t="shared" si="43"/>
        <v/>
      </c>
      <c r="AF109" s="72" t="str">
        <f t="shared" si="60"/>
        <v/>
      </c>
      <c r="AG109" s="39"/>
      <c r="AH109" s="72" t="str">
        <f t="shared" si="44"/>
        <v/>
      </c>
      <c r="AI109" s="72" t="str">
        <f t="shared" si="61"/>
        <v/>
      </c>
      <c r="AJ109" s="39"/>
      <c r="AK109" s="72" t="str">
        <f t="shared" si="45"/>
        <v/>
      </c>
      <c r="AL109" s="72" t="str">
        <f t="shared" si="62"/>
        <v/>
      </c>
      <c r="AM109" s="39"/>
      <c r="AN109" s="72" t="str">
        <f t="shared" si="46"/>
        <v/>
      </c>
      <c r="AO109" s="72" t="str">
        <f t="shared" si="63"/>
        <v/>
      </c>
      <c r="AP109" s="39"/>
      <c r="AQ109" s="72" t="str">
        <f t="shared" si="47"/>
        <v/>
      </c>
      <c r="AR109" s="72" t="str">
        <f t="shared" si="64"/>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48"/>
        <v/>
      </c>
      <c r="AW109" s="72" t="str">
        <f t="shared" si="65"/>
        <v/>
      </c>
      <c r="AX109" s="39"/>
      <c r="AY109" s="40" t="str">
        <f>IF(ISERROR(IF($K109&lt;=$F$15,VLOOKUP($I109,'表4）CO2価格'!$A$7:$E$67,VLOOKUP($F$48,'表4）CO2価格'!$H$10:$I$12,2,0),0)*$F$8/1000,"")),0,IF($K109&lt;=$F$15,VLOOKUP($I109,'表4）CO2価格'!$A$7:$E$67,VLOOKUP($F$48,'表4）CO2価格'!$H$10:$I$12,2,0),0)*$F$8/1000,""))</f>
        <v/>
      </c>
      <c r="AZ109" s="39"/>
      <c r="BA109" s="42" t="str">
        <f t="shared" si="49"/>
        <v/>
      </c>
      <c r="BB109" s="72" t="str">
        <f t="shared" si="66"/>
        <v/>
      </c>
      <c r="BC109" s="39"/>
      <c r="BD109" s="72" t="str">
        <f t="shared" si="50"/>
        <v/>
      </c>
      <c r="BE109" s="72" t="str">
        <f t="shared" si="67"/>
        <v/>
      </c>
      <c r="BF109" s="39"/>
      <c r="BG109" s="42" t="str">
        <f t="shared" si="51"/>
        <v/>
      </c>
      <c r="BH109" s="72" t="str">
        <f t="shared" si="68"/>
        <v/>
      </c>
      <c r="BI109" s="39"/>
      <c r="BJ109" s="40" t="str">
        <f t="shared" si="69"/>
        <v/>
      </c>
      <c r="BK109" s="157" t="str">
        <f t="shared" si="70"/>
        <v/>
      </c>
      <c r="BL109" s="157" t="str">
        <f t="shared" si="52"/>
        <v/>
      </c>
      <c r="BM109" s="72"/>
      <c r="BN109" s="72" t="str">
        <f t="shared" si="71"/>
        <v/>
      </c>
      <c r="BO109" s="72" t="str">
        <f t="shared" si="72"/>
        <v/>
      </c>
      <c r="BP109" s="39"/>
      <c r="BQ109" s="72" t="str">
        <f t="shared" si="53"/>
        <v/>
      </c>
      <c r="BR109" s="72" t="str">
        <f t="shared" si="73"/>
        <v/>
      </c>
    </row>
    <row r="110" spans="4:70" ht="15" x14ac:dyDescent="0.15">
      <c r="D110" s="103"/>
      <c r="F110" s="487"/>
      <c r="I110" s="322">
        <f t="shared" si="74"/>
        <v>2125</v>
      </c>
      <c r="K110" s="71">
        <f t="shared" si="75"/>
        <v>96</v>
      </c>
      <c r="M110" s="7">
        <f t="shared" si="38"/>
        <v>5.8563419660729518E-2</v>
      </c>
      <c r="O110" s="10" t="str">
        <f t="shared" si="54"/>
        <v/>
      </c>
      <c r="P110" s="29" t="str">
        <f t="shared" si="39"/>
        <v/>
      </c>
      <c r="R110" s="10" t="str">
        <f t="shared" si="55"/>
        <v/>
      </c>
      <c r="T110" s="10" t="str">
        <f t="shared" si="56"/>
        <v/>
      </c>
      <c r="V110" s="10" t="str">
        <f t="shared" si="40"/>
        <v/>
      </c>
      <c r="W110" s="10" t="str">
        <f t="shared" si="57"/>
        <v/>
      </c>
      <c r="Y110" s="10" t="str">
        <f t="shared" si="41"/>
        <v/>
      </c>
      <c r="Z110" s="10" t="str">
        <f t="shared" si="58"/>
        <v/>
      </c>
      <c r="AB110" s="10" t="str">
        <f t="shared" si="42"/>
        <v/>
      </c>
      <c r="AC110" s="10" t="str">
        <f t="shared" si="59"/>
        <v/>
      </c>
      <c r="AE110" s="10" t="str">
        <f t="shared" si="43"/>
        <v/>
      </c>
      <c r="AF110" s="10" t="str">
        <f t="shared" si="60"/>
        <v/>
      </c>
      <c r="AH110" s="10" t="str">
        <f t="shared" si="44"/>
        <v/>
      </c>
      <c r="AI110" s="10" t="str">
        <f t="shared" si="61"/>
        <v/>
      </c>
      <c r="AK110" s="10" t="str">
        <f t="shared" si="45"/>
        <v/>
      </c>
      <c r="AL110" s="10" t="str">
        <f t="shared" si="62"/>
        <v/>
      </c>
      <c r="AN110" s="10" t="str">
        <f t="shared" si="46"/>
        <v/>
      </c>
      <c r="AO110" s="10" t="str">
        <f t="shared" si="63"/>
        <v/>
      </c>
      <c r="AQ110" s="10" t="str">
        <f t="shared" si="47"/>
        <v/>
      </c>
      <c r="AR110" s="10" t="str">
        <f t="shared" si="64"/>
        <v/>
      </c>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V110" s="10" t="str">
        <f t="shared" si="48"/>
        <v/>
      </c>
      <c r="AW110" s="10" t="str">
        <f t="shared" si="65"/>
        <v/>
      </c>
      <c r="AY110" s="7" t="str">
        <f>IF(ISERROR(IF($K110&lt;=$F$15,VLOOKUP($I110,'表4）CO2価格'!$A$7:$E$67,VLOOKUP($F$48,'表4）CO2価格'!$H$10:$I$12,2,0),0)*$F$8/1000,"")),0,IF($K110&lt;=$F$15,VLOOKUP($I110,'表4）CO2価格'!$A$7:$E$67,VLOOKUP($F$48,'表4）CO2価格'!$H$10:$I$12,2,0),0)*$F$8/1000,""))</f>
        <v/>
      </c>
      <c r="BA110" s="11" t="str">
        <f t="shared" si="49"/>
        <v/>
      </c>
      <c r="BB110" s="10" t="str">
        <f t="shared" si="66"/>
        <v/>
      </c>
      <c r="BD110" s="10" t="str">
        <f t="shared" si="50"/>
        <v/>
      </c>
      <c r="BE110" s="10" t="str">
        <f t="shared" si="67"/>
        <v/>
      </c>
      <c r="BG110" s="11" t="str">
        <f t="shared" si="51"/>
        <v/>
      </c>
      <c r="BH110" s="10" t="str">
        <f t="shared" si="68"/>
        <v/>
      </c>
      <c r="BJ110" s="7" t="str">
        <f t="shared" si="69"/>
        <v/>
      </c>
      <c r="BK110" s="158" t="str">
        <f t="shared" si="70"/>
        <v/>
      </c>
      <c r="BL110" s="158" t="str">
        <f t="shared" si="52"/>
        <v/>
      </c>
      <c r="BM110" s="10"/>
      <c r="BN110" s="10" t="str">
        <f t="shared" si="71"/>
        <v/>
      </c>
      <c r="BO110" s="10" t="str">
        <f t="shared" si="72"/>
        <v/>
      </c>
      <c r="BQ110" s="10" t="str">
        <f t="shared" si="53"/>
        <v/>
      </c>
      <c r="BR110" s="10" t="str">
        <f t="shared" si="73"/>
        <v/>
      </c>
    </row>
    <row r="111" spans="4:70" ht="15" x14ac:dyDescent="0.15">
      <c r="D111" s="103"/>
      <c r="E111" s="84" t="s">
        <v>606</v>
      </c>
      <c r="F111" s="488">
        <f>-BE116/BR116</f>
        <v>0</v>
      </c>
      <c r="G111" s="84" t="s">
        <v>590</v>
      </c>
      <c r="I111" s="38">
        <f t="shared" si="74"/>
        <v>2126</v>
      </c>
      <c r="J111" s="39"/>
      <c r="K111" s="39">
        <f t="shared" si="75"/>
        <v>97</v>
      </c>
      <c r="L111" s="39"/>
      <c r="M111" s="40">
        <f t="shared" si="38"/>
        <v>5.6857688990999529E-2</v>
      </c>
      <c r="N111" s="39"/>
      <c r="O111" s="72" t="str">
        <f t="shared" si="54"/>
        <v/>
      </c>
      <c r="P111" s="41" t="str">
        <f>IF(K111&lt;=$F$15,IF(OR(P110=$F$124,P110="-"),"-",IF(O111*$F$123&gt;$F$127,$F$123,$F$124)),"")</f>
        <v/>
      </c>
      <c r="Q111" s="39"/>
      <c r="R111" s="72" t="str">
        <f t="shared" si="55"/>
        <v/>
      </c>
      <c r="S111" s="39"/>
      <c r="T111" s="72" t="str">
        <f t="shared" si="56"/>
        <v/>
      </c>
      <c r="U111" s="39"/>
      <c r="V111" s="72" t="str">
        <f t="shared" si="40"/>
        <v/>
      </c>
      <c r="W111" s="72" t="str">
        <f t="shared" si="57"/>
        <v/>
      </c>
      <c r="X111" s="39"/>
      <c r="Y111" s="72" t="str">
        <f t="shared" si="41"/>
        <v/>
      </c>
      <c r="Z111" s="72" t="str">
        <f t="shared" si="58"/>
        <v/>
      </c>
      <c r="AA111" s="39"/>
      <c r="AB111" s="72" t="str">
        <f t="shared" si="42"/>
        <v/>
      </c>
      <c r="AC111" s="72" t="str">
        <f t="shared" si="59"/>
        <v/>
      </c>
      <c r="AD111" s="39"/>
      <c r="AE111" s="72" t="str">
        <f t="shared" si="43"/>
        <v/>
      </c>
      <c r="AF111" s="72" t="str">
        <f t="shared" si="60"/>
        <v/>
      </c>
      <c r="AG111" s="39"/>
      <c r="AH111" s="72" t="str">
        <f t="shared" si="44"/>
        <v/>
      </c>
      <c r="AI111" s="72" t="str">
        <f t="shared" si="61"/>
        <v/>
      </c>
      <c r="AJ111" s="39"/>
      <c r="AK111" s="72" t="str">
        <f t="shared" si="45"/>
        <v/>
      </c>
      <c r="AL111" s="72" t="str">
        <f t="shared" si="62"/>
        <v/>
      </c>
      <c r="AM111" s="39"/>
      <c r="AN111" s="72" t="str">
        <f t="shared" si="46"/>
        <v/>
      </c>
      <c r="AO111" s="72" t="str">
        <f t="shared" si="63"/>
        <v/>
      </c>
      <c r="AP111" s="39"/>
      <c r="AQ111" s="72" t="str">
        <f t="shared" si="47"/>
        <v/>
      </c>
      <c r="AR111" s="72" t="str">
        <f t="shared" si="64"/>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48"/>
        <v/>
      </c>
      <c r="AW111" s="72" t="str">
        <f t="shared" si="65"/>
        <v/>
      </c>
      <c r="AX111" s="39"/>
      <c r="AY111" s="40" t="str">
        <f>IF(ISERROR(IF($K111&lt;=$F$15,VLOOKUP($I111,'表4）CO2価格'!$A$7:$E$67,VLOOKUP($F$48,'表4）CO2価格'!$H$10:$I$12,2,0),0)*$F$8/1000,"")),0,IF($K111&lt;=$F$15,VLOOKUP($I111,'表4）CO2価格'!$A$7:$E$67,VLOOKUP($F$48,'表4）CO2価格'!$H$10:$I$12,2,0),0)*$F$8/1000,""))</f>
        <v/>
      </c>
      <c r="AZ111" s="39"/>
      <c r="BA111" s="42" t="str">
        <f t="shared" si="49"/>
        <v/>
      </c>
      <c r="BB111" s="72" t="str">
        <f t="shared" si="66"/>
        <v/>
      </c>
      <c r="BC111" s="39"/>
      <c r="BD111" s="72" t="str">
        <f t="shared" si="50"/>
        <v/>
      </c>
      <c r="BE111" s="72" t="str">
        <f t="shared" si="67"/>
        <v/>
      </c>
      <c r="BF111" s="39"/>
      <c r="BG111" s="42" t="str">
        <f t="shared" si="51"/>
        <v/>
      </c>
      <c r="BH111" s="72" t="str">
        <f t="shared" si="68"/>
        <v/>
      </c>
      <c r="BI111" s="39"/>
      <c r="BJ111" s="40" t="str">
        <f t="shared" si="69"/>
        <v/>
      </c>
      <c r="BK111" s="157" t="str">
        <f t="shared" si="70"/>
        <v/>
      </c>
      <c r="BL111" s="157" t="str">
        <f t="shared" si="52"/>
        <v/>
      </c>
      <c r="BM111" s="72"/>
      <c r="BN111" s="72" t="str">
        <f t="shared" si="71"/>
        <v/>
      </c>
      <c r="BO111" s="72" t="str">
        <f t="shared" si="72"/>
        <v/>
      </c>
      <c r="BP111" s="39"/>
      <c r="BQ111" s="72" t="str">
        <f t="shared" si="53"/>
        <v/>
      </c>
      <c r="BR111" s="72" t="str">
        <f t="shared" si="73"/>
        <v/>
      </c>
    </row>
    <row r="112" spans="4:70" ht="15" x14ac:dyDescent="0.15">
      <c r="D112" s="103"/>
      <c r="E112" s="84" t="s">
        <v>607</v>
      </c>
      <c r="F112" s="488">
        <f>-BH116/BR116</f>
        <v>0</v>
      </c>
      <c r="G112" s="84" t="s">
        <v>590</v>
      </c>
      <c r="I112" s="322">
        <f t="shared" si="74"/>
        <v>2127</v>
      </c>
      <c r="K112" s="71">
        <f t="shared" si="75"/>
        <v>98</v>
      </c>
      <c r="M112" s="7">
        <f t="shared" si="38"/>
        <v>5.5201639797086935E-2</v>
      </c>
      <c r="O112" s="10" t="str">
        <f t="shared" si="54"/>
        <v/>
      </c>
      <c r="P112" s="29" t="str">
        <f>IF(K112&lt;=$F$15,IF(OR(P111=$F$124,P111="-"),"-",IF(O112*$F$123&gt;$F$127,$F$123,$F$124)),"")</f>
        <v/>
      </c>
      <c r="R112" s="10" t="str">
        <f t="shared" si="55"/>
        <v/>
      </c>
      <c r="T112" s="10" t="str">
        <f t="shared" si="56"/>
        <v/>
      </c>
      <c r="V112" s="10" t="str">
        <f t="shared" si="40"/>
        <v/>
      </c>
      <c r="W112" s="10" t="str">
        <f t="shared" si="57"/>
        <v/>
      </c>
      <c r="Y112" s="10" t="str">
        <f t="shared" si="41"/>
        <v/>
      </c>
      <c r="Z112" s="10" t="str">
        <f t="shared" si="58"/>
        <v/>
      </c>
      <c r="AB112" s="10" t="str">
        <f t="shared" si="42"/>
        <v/>
      </c>
      <c r="AC112" s="10" t="str">
        <f t="shared" si="59"/>
        <v/>
      </c>
      <c r="AE112" s="10" t="str">
        <f t="shared" si="43"/>
        <v/>
      </c>
      <c r="AF112" s="10" t="str">
        <f t="shared" si="60"/>
        <v/>
      </c>
      <c r="AH112" s="10" t="str">
        <f t="shared" si="44"/>
        <v/>
      </c>
      <c r="AI112" s="10" t="str">
        <f t="shared" si="61"/>
        <v/>
      </c>
      <c r="AK112" s="10" t="str">
        <f t="shared" si="45"/>
        <v/>
      </c>
      <c r="AL112" s="10" t="str">
        <f t="shared" si="62"/>
        <v/>
      </c>
      <c r="AN112" s="10" t="str">
        <f t="shared" si="46"/>
        <v/>
      </c>
      <c r="AO112" s="10" t="str">
        <f t="shared" si="63"/>
        <v/>
      </c>
      <c r="AQ112" s="10" t="str">
        <f t="shared" si="47"/>
        <v/>
      </c>
      <c r="AR112" s="10" t="str">
        <f t="shared" si="64"/>
        <v/>
      </c>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V112" s="10" t="str">
        <f t="shared" si="48"/>
        <v/>
      </c>
      <c r="AW112" s="10" t="str">
        <f t="shared" si="65"/>
        <v/>
      </c>
      <c r="AY112" s="7" t="str">
        <f>IF(ISERROR(IF($K112&lt;=$F$15,VLOOKUP($I112,'表4）CO2価格'!$A$7:$E$67,VLOOKUP($F$48,'表4）CO2価格'!$H$10:$I$12,2,0),0)*$F$8/1000,"")),0,IF($K112&lt;=$F$15,VLOOKUP($I112,'表4）CO2価格'!$A$7:$E$67,VLOOKUP($F$48,'表4）CO2価格'!$H$10:$I$12,2,0),0)*$F$8/1000,""))</f>
        <v/>
      </c>
      <c r="BA112" s="11" t="str">
        <f t="shared" si="49"/>
        <v/>
      </c>
      <c r="BB112" s="10" t="str">
        <f t="shared" si="66"/>
        <v/>
      </c>
      <c r="BD112" s="10" t="str">
        <f t="shared" si="50"/>
        <v/>
      </c>
      <c r="BE112" s="10" t="str">
        <f t="shared" si="67"/>
        <v/>
      </c>
      <c r="BG112" s="11" t="str">
        <f t="shared" si="51"/>
        <v/>
      </c>
      <c r="BH112" s="10" t="str">
        <f t="shared" si="68"/>
        <v/>
      </c>
      <c r="BJ112" s="7" t="str">
        <f t="shared" si="69"/>
        <v/>
      </c>
      <c r="BK112" s="158" t="str">
        <f t="shared" si="70"/>
        <v/>
      </c>
      <c r="BL112" s="158" t="str">
        <f t="shared" si="52"/>
        <v/>
      </c>
      <c r="BM112" s="10"/>
      <c r="BN112" s="10" t="str">
        <f t="shared" si="71"/>
        <v/>
      </c>
      <c r="BO112" s="10" t="str">
        <f t="shared" si="72"/>
        <v/>
      </c>
      <c r="BQ112" s="10" t="str">
        <f t="shared" si="53"/>
        <v/>
      </c>
      <c r="BR112" s="10" t="str">
        <f t="shared" si="73"/>
        <v/>
      </c>
    </row>
    <row r="113" spans="2:71" x14ac:dyDescent="0.15">
      <c r="I113" s="38">
        <f t="shared" si="74"/>
        <v>2128</v>
      </c>
      <c r="J113" s="39"/>
      <c r="K113" s="39">
        <f t="shared" si="75"/>
        <v>99</v>
      </c>
      <c r="L113" s="39"/>
      <c r="M113" s="40">
        <f t="shared" si="38"/>
        <v>5.3593825045715457E-2</v>
      </c>
      <c r="N113" s="39"/>
      <c r="O113" s="72" t="str">
        <f t="shared" si="54"/>
        <v/>
      </c>
      <c r="P113" s="41" t="str">
        <f>IF(K113&lt;=$F$15,IF(OR(P112=$F$124,P112="-"),"-",IF(O113*$F$123&gt;$F$127,$F$123,$F$124)),"")</f>
        <v/>
      </c>
      <c r="Q113" s="39"/>
      <c r="R113" s="72" t="str">
        <f t="shared" si="55"/>
        <v/>
      </c>
      <c r="S113" s="39"/>
      <c r="T113" s="72" t="str">
        <f t="shared" si="56"/>
        <v/>
      </c>
      <c r="U113" s="39"/>
      <c r="V113" s="72" t="str">
        <f t="shared" si="40"/>
        <v/>
      </c>
      <c r="W113" s="72" t="str">
        <f t="shared" si="57"/>
        <v/>
      </c>
      <c r="X113" s="39"/>
      <c r="Y113" s="72" t="str">
        <f t="shared" si="41"/>
        <v/>
      </c>
      <c r="Z113" s="72" t="str">
        <f t="shared" si="58"/>
        <v/>
      </c>
      <c r="AA113" s="39"/>
      <c r="AB113" s="72" t="str">
        <f t="shared" si="42"/>
        <v/>
      </c>
      <c r="AC113" s="72" t="str">
        <f t="shared" si="59"/>
        <v/>
      </c>
      <c r="AD113" s="39"/>
      <c r="AE113" s="72" t="str">
        <f t="shared" si="43"/>
        <v/>
      </c>
      <c r="AF113" s="72" t="str">
        <f t="shared" si="60"/>
        <v/>
      </c>
      <c r="AG113" s="39"/>
      <c r="AH113" s="72" t="str">
        <f t="shared" si="44"/>
        <v/>
      </c>
      <c r="AI113" s="72" t="str">
        <f t="shared" si="61"/>
        <v/>
      </c>
      <c r="AJ113" s="39"/>
      <c r="AK113" s="72" t="str">
        <f t="shared" si="45"/>
        <v/>
      </c>
      <c r="AL113" s="72" t="str">
        <f t="shared" si="62"/>
        <v/>
      </c>
      <c r="AM113" s="39"/>
      <c r="AN113" s="72" t="str">
        <f t="shared" si="46"/>
        <v/>
      </c>
      <c r="AO113" s="72" t="str">
        <f t="shared" si="63"/>
        <v/>
      </c>
      <c r="AP113" s="39"/>
      <c r="AQ113" s="72" t="str">
        <f t="shared" si="47"/>
        <v/>
      </c>
      <c r="AR113" s="72" t="str">
        <f t="shared" si="64"/>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48"/>
        <v/>
      </c>
      <c r="AW113" s="72" t="str">
        <f t="shared" si="65"/>
        <v/>
      </c>
      <c r="AX113" s="39"/>
      <c r="AY113" s="40" t="str">
        <f>IF(ISERROR(IF($K113&lt;=$F$15,VLOOKUP($I113,'表4）CO2価格'!$A$7:$E$67,VLOOKUP($F$48,'表4）CO2価格'!$H$10:$I$12,2,0),0)*$F$8/1000,"")),0,IF($K113&lt;=$F$15,VLOOKUP($I113,'表4）CO2価格'!$A$7:$E$67,VLOOKUP($F$48,'表4）CO2価格'!$H$10:$I$12,2,0),0)*$F$8/1000,""))</f>
        <v/>
      </c>
      <c r="AZ113" s="39"/>
      <c r="BA113" s="42" t="str">
        <f t="shared" si="49"/>
        <v/>
      </c>
      <c r="BB113" s="72" t="str">
        <f t="shared" si="66"/>
        <v/>
      </c>
      <c r="BC113" s="39"/>
      <c r="BD113" s="72" t="str">
        <f t="shared" si="50"/>
        <v/>
      </c>
      <c r="BE113" s="72" t="str">
        <f t="shared" si="67"/>
        <v/>
      </c>
      <c r="BF113" s="39"/>
      <c r="BG113" s="42" t="str">
        <f t="shared" si="51"/>
        <v/>
      </c>
      <c r="BH113" s="72" t="str">
        <f t="shared" si="68"/>
        <v/>
      </c>
      <c r="BI113" s="39"/>
      <c r="BJ113" s="40" t="str">
        <f t="shared" si="69"/>
        <v/>
      </c>
      <c r="BK113" s="157" t="str">
        <f t="shared" si="70"/>
        <v/>
      </c>
      <c r="BL113" s="157" t="str">
        <f t="shared" si="52"/>
        <v/>
      </c>
      <c r="BM113" s="72"/>
      <c r="BN113" s="72" t="str">
        <f t="shared" si="71"/>
        <v/>
      </c>
      <c r="BO113" s="72" t="str">
        <f t="shared" si="72"/>
        <v/>
      </c>
      <c r="BP113" s="39"/>
      <c r="BQ113" s="72" t="str">
        <f t="shared" si="53"/>
        <v/>
      </c>
      <c r="BR113" s="72" t="str">
        <f t="shared" si="73"/>
        <v/>
      </c>
    </row>
    <row r="114" spans="2:71" x14ac:dyDescent="0.15">
      <c r="I114" s="322">
        <f t="shared" si="74"/>
        <v>2129</v>
      </c>
      <c r="K114" s="71">
        <f t="shared" si="75"/>
        <v>100</v>
      </c>
      <c r="M114" s="7">
        <f t="shared" si="38"/>
        <v>5.2032839850209185E-2</v>
      </c>
      <c r="O114" s="10" t="str">
        <f t="shared" si="54"/>
        <v/>
      </c>
      <c r="P114" s="29" t="str">
        <f>IF(K114&lt;=$F$15,IF(OR(P113=$F$124,P113="-"),"-",IF(O114*$F$123&gt;$F$127,$F$123,$F$124)),"")</f>
        <v/>
      </c>
      <c r="R114" s="10" t="str">
        <f t="shared" si="55"/>
        <v/>
      </c>
      <c r="T114" s="10" t="str">
        <f t="shared" si="56"/>
        <v/>
      </c>
      <c r="V114" s="10" t="str">
        <f t="shared" si="40"/>
        <v/>
      </c>
      <c r="W114" s="10" t="str">
        <f t="shared" si="57"/>
        <v/>
      </c>
      <c r="Y114" s="10" t="str">
        <f t="shared" si="41"/>
        <v/>
      </c>
      <c r="Z114" s="10" t="str">
        <f t="shared" si="58"/>
        <v/>
      </c>
      <c r="AB114" s="10" t="str">
        <f t="shared" si="42"/>
        <v/>
      </c>
      <c r="AC114" s="10" t="str">
        <f t="shared" si="59"/>
        <v/>
      </c>
      <c r="AE114" s="10" t="str">
        <f t="shared" si="43"/>
        <v/>
      </c>
      <c r="AF114" s="10" t="str">
        <f t="shared" si="60"/>
        <v/>
      </c>
      <c r="AH114" s="10" t="str">
        <f t="shared" si="44"/>
        <v/>
      </c>
      <c r="AI114" s="10" t="str">
        <f t="shared" si="61"/>
        <v/>
      </c>
      <c r="AK114" s="10" t="str">
        <f t="shared" si="45"/>
        <v/>
      </c>
      <c r="AL114" s="10" t="str">
        <f t="shared" si="62"/>
        <v/>
      </c>
      <c r="AN114" s="10" t="str">
        <f t="shared" si="46"/>
        <v/>
      </c>
      <c r="AO114" s="10" t="str">
        <f t="shared" si="63"/>
        <v/>
      </c>
      <c r="AQ114" s="10" t="str">
        <f t="shared" si="47"/>
        <v/>
      </c>
      <c r="AR114" s="10" t="str">
        <f t="shared" si="64"/>
        <v/>
      </c>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V114" s="10" t="str">
        <f t="shared" si="48"/>
        <v/>
      </c>
      <c r="AW114" s="10" t="str">
        <f t="shared" si="65"/>
        <v/>
      </c>
      <c r="AY114" s="7" t="str">
        <f>IF(ISERROR(IF($K114&lt;=$F$15,VLOOKUP($I114,'表4）CO2価格'!$A$7:$E$67,VLOOKUP($F$48,'表4）CO2価格'!$H$10:$I$12,2,0),0)*$F$8/1000,"")),0,IF($K114&lt;=$F$15,VLOOKUP($I114,'表4）CO2価格'!$A$7:$E$67,VLOOKUP($F$48,'表4）CO2価格'!$H$10:$I$12,2,0),0)*$F$8/1000,""))</f>
        <v/>
      </c>
      <c r="BA114" s="11" t="str">
        <f t="shared" si="49"/>
        <v/>
      </c>
      <c r="BB114" s="10" t="str">
        <f t="shared" si="66"/>
        <v/>
      </c>
      <c r="BD114" s="10" t="str">
        <f t="shared" si="50"/>
        <v/>
      </c>
      <c r="BE114" s="10" t="str">
        <f t="shared" si="67"/>
        <v/>
      </c>
      <c r="BG114" s="11" t="str">
        <f t="shared" si="51"/>
        <v/>
      </c>
      <c r="BH114" s="10" t="str">
        <f t="shared" si="68"/>
        <v/>
      </c>
      <c r="BJ114" s="7" t="str">
        <f t="shared" si="69"/>
        <v/>
      </c>
      <c r="BK114" s="158" t="str">
        <f t="shared" si="70"/>
        <v/>
      </c>
      <c r="BL114" s="158" t="str">
        <f t="shared" si="52"/>
        <v/>
      </c>
      <c r="BM114" s="10"/>
      <c r="BN114" s="10" t="str">
        <f t="shared" si="71"/>
        <v/>
      </c>
      <c r="BO114" s="10" t="str">
        <f t="shared" si="72"/>
        <v/>
      </c>
      <c r="BQ114" s="10" t="str">
        <f t="shared" si="53"/>
        <v/>
      </c>
      <c r="BR114" s="10" t="str">
        <f t="shared" si="73"/>
        <v/>
      </c>
    </row>
    <row r="115" spans="2:71" ht="15.75" thickBot="1" x14ac:dyDescent="0.2">
      <c r="B115" s="5" t="s">
        <v>608</v>
      </c>
      <c r="C115" s="3"/>
      <c r="D115" s="102"/>
      <c r="E115" s="102"/>
      <c r="F115" s="3"/>
      <c r="G115" s="102"/>
      <c r="I115" s="321"/>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1" x14ac:dyDescent="0.15">
      <c r="I116" s="71" t="s">
        <v>143</v>
      </c>
      <c r="W116" s="11"/>
      <c r="Z116" s="11">
        <f>SUM(Z15:Z114)</f>
        <v>14505989504.813227</v>
      </c>
      <c r="AC116" s="11">
        <f>SUM(AC15:AC114)</f>
        <v>2541743126.4158354</v>
      </c>
      <c r="AF116" s="11">
        <f>SUM(AF15:AF114)</f>
        <v>0</v>
      </c>
      <c r="AI116" s="11">
        <f>SUM(AI15:AI114)</f>
        <v>10170499668.650841</v>
      </c>
      <c r="AL116" s="11">
        <f>SUM(AL15:AL114)</f>
        <v>94752073276.667084</v>
      </c>
      <c r="AO116" s="11">
        <f>SUM(AO15:AO114)</f>
        <v>86856067170.278168</v>
      </c>
      <c r="AR116" s="11">
        <f>SUM(AR15:AR114)</f>
        <v>23396994094.102722</v>
      </c>
      <c r="AW116" s="11">
        <f>SUM(AW15:AW114)</f>
        <v>676329759027.23755</v>
      </c>
      <c r="BB116" s="11">
        <f>SUM(BB15:BB114)</f>
        <v>370517845836.17432</v>
      </c>
      <c r="BE116" s="11">
        <f>SUM(BE15:BE114)</f>
        <v>0</v>
      </c>
      <c r="BH116" s="11">
        <f>SUM(BH15:BH114)</f>
        <v>0</v>
      </c>
      <c r="BK116" s="11">
        <f>SUM(BK15:BK114)</f>
        <v>0</v>
      </c>
      <c r="BL116" s="11">
        <f>SUM(BL15:BL114)</f>
        <v>0</v>
      </c>
      <c r="BO116" s="11">
        <f>SUM(BO15:BO114)</f>
        <v>0</v>
      </c>
      <c r="BR116" s="11">
        <f>SUM(BR15:BR114)</f>
        <v>93760865624.869171</v>
      </c>
      <c r="BS116" s="11">
        <f ca="1">BR116*まとめ!V34</f>
        <v>370517845836.17432</v>
      </c>
    </row>
    <row r="117" spans="2:71" x14ac:dyDescent="0.15">
      <c r="C117" s="71" t="s">
        <v>610</v>
      </c>
      <c r="F117" s="490">
        <f>F21*10^4*F13*10^4+F29*10^8</f>
        <v>170800000000</v>
      </c>
      <c r="G117" s="84" t="s">
        <v>611</v>
      </c>
      <c r="I117" s="48" t="s">
        <v>145</v>
      </c>
      <c r="W117" s="11"/>
      <c r="Z117" s="11" t="str">
        <f ca="1">IF(ISNUMBER($F$16),SUM(INDIRECT(ADDRESS($F$16+15,COLUMN())):INDIRECT(ADDRESS(114,COLUMN()))),"")</f>
        <v/>
      </c>
      <c r="AC117" s="11" t="str">
        <f ca="1">IF(ISNUMBER($F$16),SUM(INDIRECT(ADDRESS($F$16+15,COLUMN())):INDIRECT(ADDRESS(114,COLUMN()))),"")</f>
        <v/>
      </c>
      <c r="AF117" s="11" t="str">
        <f ca="1">IF(ISNUMBER($F$16),SUM(INDIRECT(ADDRESS($F$16+15,COLUMN())):INDIRECT(ADDRESS(114,COLUMN()))),"")</f>
        <v/>
      </c>
      <c r="AI117" s="11" t="str">
        <f ca="1">IF(ISNUMBER($F$16),SUM(INDIRECT(ADDRESS($F$16+15,COLUMN())):INDIRECT(ADDRESS(114,COLUMN()))),"")</f>
        <v/>
      </c>
      <c r="AL117" s="11" t="str">
        <f ca="1">IF(ISNUMBER($F$16),SUM(INDIRECT(ADDRESS($F$16+15,COLUMN())):INDIRECT(ADDRESS(114,COLUMN()))),"")</f>
        <v/>
      </c>
      <c r="AO117" s="11" t="str">
        <f ca="1">IF(ISNUMBER($F$16),SUM(INDIRECT(ADDRESS($F$16+15,COLUMN())):INDIRECT(ADDRESS(114,COLUMN()))),"")</f>
        <v/>
      </c>
      <c r="AR117" s="11" t="str">
        <f ca="1">IF(ISNUMBER($F$16),SUM(INDIRECT(ADDRESS($F$16+15,COLUMN())):INDIRECT(ADDRESS(114,COLUMN()))),"")</f>
        <v/>
      </c>
      <c r="AW117" s="11" t="str">
        <f ca="1">IF(ISNUMBER($F$16),SUM(INDIRECT(ADDRESS($F$16+15,COLUMN())):INDIRECT(ADDRESS(114,COLUMN()))),"")</f>
        <v/>
      </c>
      <c r="BB117" s="11" t="str">
        <f ca="1">IF(ISNUMBER($F$16),SUM(INDIRECT(ADDRESS($F$16+15,COLUMN())):INDIRECT(ADDRESS(114,COLUMN()))),"")</f>
        <v/>
      </c>
      <c r="BE117" s="11" t="str">
        <f ca="1">IF(ISNUMBER($F$16),SUM(INDIRECT(ADDRESS($F$16+15,COLUMN())):INDIRECT(ADDRESS(114,COLUMN()))),"")</f>
        <v/>
      </c>
      <c r="BH117" s="11" t="str">
        <f ca="1">IF(ISNUMBER($F$16),SUM(INDIRECT(ADDRESS($F$16+15,COLUMN())):INDIRECT(ADDRESS(114,COLUMN()))),"")</f>
        <v/>
      </c>
      <c r="BK117" s="11" t="str">
        <f ca="1">IF(ISNUMBER($F$16),SUM(INDIRECT(ADDRESS($F$16+15,COLUMN())):INDIRECT(ADDRESS(114,COLUMN()))),"")</f>
        <v/>
      </c>
      <c r="BL117" s="11" t="str">
        <f ca="1">IF(ISNUMBER($F$16),SUM(INDIRECT(ADDRESS($F$16+15,COLUMN())):INDIRECT(ADDRESS(114,COLUMN()))),"")</f>
        <v/>
      </c>
      <c r="BO117" s="11" t="str">
        <f ca="1">IF(ISNUMBER($F$16),SUM(INDIRECT(ADDRESS($F$16+15,COLUMN())):INDIRECT(ADDRESS(114,COLUMN()))),"")</f>
        <v/>
      </c>
      <c r="BR117" s="11" t="str">
        <f ca="1">IF(ISNUMBER($F$16),SUM(INDIRECT(ADDRESS($F$16+15,COLUMN())):INDIRECT(ADDRESS(114,COLUMN()))),"")</f>
        <v/>
      </c>
    </row>
    <row r="119" spans="2:71" x14ac:dyDescent="0.15">
      <c r="C119" s="71" t="s">
        <v>612</v>
      </c>
      <c r="F119" s="490">
        <f>VLOOKUP(F3,'表2）法定耐用年数'!$A$2:$B$24,2,0)</f>
        <v>15</v>
      </c>
      <c r="G119" s="84" t="s">
        <v>556</v>
      </c>
    </row>
    <row r="121" spans="2:71" x14ac:dyDescent="0.15">
      <c r="C121" s="4" t="s">
        <v>613</v>
      </c>
      <c r="D121" s="100"/>
      <c r="E121" s="100"/>
      <c r="F121" s="4"/>
      <c r="G121" s="100"/>
    </row>
    <row r="123" spans="2:71" x14ac:dyDescent="0.15">
      <c r="D123" s="84" t="s">
        <v>614</v>
      </c>
      <c r="F123" s="491">
        <f>VLOOKUP($F$119,'表1）減価償却率表'!$A$9:$E$107,3,0)</f>
        <v>0.16700000000000001</v>
      </c>
    </row>
    <row r="124" spans="2:71" x14ac:dyDescent="0.15">
      <c r="D124" s="84" t="s">
        <v>615</v>
      </c>
      <c r="F124" s="491">
        <f>VLOOKUP($F$119,'表1）減価償却率表'!$A$9:$E$107,4,0)</f>
        <v>0.2</v>
      </c>
    </row>
    <row r="125" spans="2:71" x14ac:dyDescent="0.15">
      <c r="D125" s="84" t="s">
        <v>616</v>
      </c>
      <c r="F125" s="474">
        <f>VLOOKUP($F$119,'表1）減価償却率表'!$A$9:$E$107,5,0)</f>
        <v>3.2169999999999997E-2</v>
      </c>
    </row>
    <row r="126" spans="2:71" x14ac:dyDescent="0.15">
      <c r="F126" s="492"/>
    </row>
    <row r="127" spans="2:71" x14ac:dyDescent="0.15">
      <c r="C127" s="8" t="s">
        <v>617</v>
      </c>
      <c r="D127" s="493"/>
      <c r="E127" s="494"/>
      <c r="F127" s="490">
        <f>F117*F125</f>
        <v>5494636000</v>
      </c>
      <c r="G127" s="84" t="s">
        <v>611</v>
      </c>
    </row>
    <row r="129" spans="3:7" x14ac:dyDescent="0.15">
      <c r="C129" s="8" t="s">
        <v>152</v>
      </c>
      <c r="D129" s="493"/>
      <c r="E129" s="493"/>
      <c r="F129" s="491">
        <f>0.1^(1/F119)</f>
        <v>0.85769589859089412</v>
      </c>
      <c r="G129" s="493"/>
    </row>
    <row r="131" spans="3:7" x14ac:dyDescent="0.15">
      <c r="C131" s="4" t="s">
        <v>618</v>
      </c>
      <c r="D131" s="100"/>
      <c r="E131" s="100"/>
      <c r="F131" s="4"/>
      <c r="G131" s="100"/>
    </row>
    <row r="133" spans="3:7" x14ac:dyDescent="0.15">
      <c r="D133" s="84" t="s">
        <v>619</v>
      </c>
      <c r="F133" s="490">
        <f>F13*10000*24*365*F14/100</f>
        <v>4292400000</v>
      </c>
      <c r="G133" s="84" t="s">
        <v>620</v>
      </c>
    </row>
    <row r="134" spans="3:7" x14ac:dyDescent="0.15">
      <c r="D134" s="84" t="s">
        <v>621</v>
      </c>
      <c r="F134" s="490">
        <f>F133*(1-F24/100)</f>
        <v>4056318000</v>
      </c>
      <c r="G134" s="84" t="s">
        <v>620</v>
      </c>
    </row>
    <row r="135" spans="3:7" x14ac:dyDescent="0.15">
      <c r="F135" s="495"/>
    </row>
    <row r="137" spans="3:7" ht="16.5" x14ac:dyDescent="0.15">
      <c r="C137" s="71" t="s">
        <v>622</v>
      </c>
      <c r="F137" s="490">
        <f>IF(ISERROR(F133*3.6/(F23/100)/F22),0,F133*3.6/(F23/100)/F22)</f>
        <v>1410214781.4540524</v>
      </c>
      <c r="G137" s="71" t="s">
        <v>623</v>
      </c>
    </row>
    <row r="139" spans="3:7" x14ac:dyDescent="0.15">
      <c r="C139" s="4" t="s">
        <v>624</v>
      </c>
      <c r="D139" s="100"/>
      <c r="E139" s="100"/>
      <c r="F139" s="4"/>
      <c r="G139" s="100"/>
    </row>
    <row r="141" spans="3:7" x14ac:dyDescent="0.15">
      <c r="D141" s="84" t="s">
        <v>625</v>
      </c>
      <c r="F141" s="496">
        <v>1000</v>
      </c>
      <c r="G141" s="84" t="s">
        <v>626</v>
      </c>
    </row>
    <row r="142" spans="3:7" x14ac:dyDescent="0.15">
      <c r="D142" s="84" t="s">
        <v>573</v>
      </c>
      <c r="F142" s="488">
        <f>IF(ISERROR(F42/1000),0,F42/1000)</f>
        <v>1.56</v>
      </c>
      <c r="G142" s="84" t="s">
        <v>627</v>
      </c>
    </row>
    <row r="145" spans="3:7" x14ac:dyDescent="0.15">
      <c r="C145" s="71" t="s">
        <v>628</v>
      </c>
      <c r="F145" s="496">
        <f>IF(ISERROR(F133*(F47*3.6/(F23/100)/1000*(44/12))),0,F133*(F47*3.6/(F23/100)/1000*(44/12)))</f>
        <v>2539916689.6551719</v>
      </c>
      <c r="G145" s="84" t="s">
        <v>629</v>
      </c>
    </row>
    <row r="147" spans="3:7" x14ac:dyDescent="0.15">
      <c r="C147" s="4" t="s">
        <v>630</v>
      </c>
      <c r="D147" s="100"/>
      <c r="E147" s="100"/>
      <c r="F147" s="4"/>
      <c r="G147" s="100"/>
    </row>
    <row r="149" spans="3:7" x14ac:dyDescent="0.15">
      <c r="D149" s="84" t="s">
        <v>219</v>
      </c>
      <c r="F149" s="496">
        <f>IF(ISERROR(F52/F23),0,F52/F23)</f>
        <v>0</v>
      </c>
    </row>
    <row r="150" spans="3:7" x14ac:dyDescent="0.15">
      <c r="D150" s="84" t="s">
        <v>631</v>
      </c>
      <c r="F150" s="496">
        <f>F133*F149*(F53/100)*3.6</f>
        <v>0</v>
      </c>
      <c r="G150" s="84" t="s">
        <v>632</v>
      </c>
    </row>
    <row r="151" spans="3:7" ht="16.5" x14ac:dyDescent="0.15">
      <c r="D151" s="84" t="s">
        <v>633</v>
      </c>
      <c r="F151" s="490">
        <f>IF(ISERROR(F150/(F54/100)/F55),0,F150/(F54/100)/F55)</f>
        <v>0</v>
      </c>
      <c r="G151" s="71" t="s">
        <v>623</v>
      </c>
    </row>
    <row r="152" spans="3:7" x14ac:dyDescent="0.15">
      <c r="D152" s="84" t="s">
        <v>634</v>
      </c>
      <c r="F152" s="497">
        <f>IF(ISERROR(F56/1000),0,F56/1000)</f>
        <v>0</v>
      </c>
      <c r="G152" s="84" t="s">
        <v>627</v>
      </c>
    </row>
    <row r="153" spans="3:7" x14ac:dyDescent="0.15">
      <c r="D153" s="84" t="s">
        <v>635</v>
      </c>
      <c r="F153" s="496">
        <f>IF(ISERROR(F150*F47/1000*(44/12)/(F54/100)),0,F150*F47/1000*(44/12)/(F54/100))</f>
        <v>0</v>
      </c>
      <c r="G153" s="84" t="s">
        <v>629</v>
      </c>
    </row>
  </sheetData>
  <mergeCells count="48">
    <mergeCell ref="F3:G3"/>
    <mergeCell ref="V7:AF7"/>
    <mergeCell ref="AH7:AR7"/>
    <mergeCell ref="AT7:AW7"/>
    <mergeCell ref="AY7:BB7"/>
    <mergeCell ref="AQ9:AR10"/>
    <mergeCell ref="BJ7:BO7"/>
    <mergeCell ref="BQ7:BR7"/>
    <mergeCell ref="I9:I10"/>
    <mergeCell ref="K9:K10"/>
    <mergeCell ref="M9:M10"/>
    <mergeCell ref="O9:P10"/>
    <mergeCell ref="R9:R10"/>
    <mergeCell ref="T9:T10"/>
    <mergeCell ref="V9:W10"/>
    <mergeCell ref="Y9:Z10"/>
    <mergeCell ref="BD7:BH7"/>
    <mergeCell ref="AB9:AC10"/>
    <mergeCell ref="AE9:AF10"/>
    <mergeCell ref="AH9:AI10"/>
    <mergeCell ref="AK9:AL10"/>
    <mergeCell ref="AN9:AO10"/>
    <mergeCell ref="BJ9:BL10"/>
    <mergeCell ref="BN9:BO10"/>
    <mergeCell ref="P12:P13"/>
    <mergeCell ref="W12:W13"/>
    <mergeCell ref="Z12:Z13"/>
    <mergeCell ref="AC12:AC13"/>
    <mergeCell ref="AF12:AF13"/>
    <mergeCell ref="AI12:AI13"/>
    <mergeCell ref="AL12:AL13"/>
    <mergeCell ref="AO12:AO13"/>
    <mergeCell ref="AT9:AT10"/>
    <mergeCell ref="AV9:AW10"/>
    <mergeCell ref="AY9:AY10"/>
    <mergeCell ref="BA9:BB10"/>
    <mergeCell ref="BD9:BE10"/>
    <mergeCell ref="BG9:BH10"/>
    <mergeCell ref="BK12:BK13"/>
    <mergeCell ref="BL12:BL13"/>
    <mergeCell ref="BO12:BO13"/>
    <mergeCell ref="BR12:BR13"/>
    <mergeCell ref="BJ12:BJ13"/>
    <mergeCell ref="AR12:AR13"/>
    <mergeCell ref="AW12:AW13"/>
    <mergeCell ref="BB12:BB13"/>
    <mergeCell ref="BE12:BE13"/>
    <mergeCell ref="BH12:BH13"/>
  </mergeCells>
  <phoneticPr fontId="56"/>
  <dataValidations count="4">
    <dataValidation type="list" allowBlank="1" showDropDown="1" showInputMessage="1" showErrorMessage="1" sqref="F3:G3" xr:uid="{00000000-0002-0000-2900-000000000000}">
      <formula1>"原子力,石炭火力,LNG火力,石油火力,一般水力,太陽光（メガソーラー）,太陽光（住宅）,風力（陸上）,風力（洋上）,小水力,地熱,バイオマス（石炭混焼）,バイオマス（木質専焼）,ガスコジェネ,石油コジェネ,燃料電池,アンモニア混焼火力"</formula1>
    </dataValidation>
    <dataValidation type="list" allowBlank="1" showDropDown="1" showInputMessage="1" showErrorMessage="1" sqref="F43" xr:uid="{00000000-0002-0000-2900-000001000000}">
      <formula1>"CIF価格, 需要地価格"</formula1>
    </dataValidation>
    <dataValidation type="whole" allowBlank="1" showInputMessage="1" showErrorMessage="1" sqref="F7" xr:uid="{00000000-0002-0000-2900-000002000000}">
      <formula1>2010</formula1>
      <formula2>2030</formula2>
    </dataValidation>
    <dataValidation type="list" allowBlank="1" showDropDown="1" showInputMessage="1" showErrorMessage="1" sqref="F48 F41" xr:uid="{00000000-0002-0000-2900-000003000000}">
      <formula1>"現行政策シナリオ, 新政策シナリオ"</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E107"/>
  <sheetViews>
    <sheetView showGridLines="0" workbookViewId="0">
      <selection activeCell="C26" sqref="C26"/>
    </sheetView>
  </sheetViews>
  <sheetFormatPr defaultColWidth="9" defaultRowHeight="14.25" x14ac:dyDescent="0.15"/>
  <cols>
    <col min="1" max="5" width="15" style="2" customWidth="1"/>
    <col min="6" max="16384" width="9" style="2"/>
  </cols>
  <sheetData>
    <row r="1" spans="1:5" x14ac:dyDescent="0.15">
      <c r="A1" s="71" t="s">
        <v>261</v>
      </c>
      <c r="B1" s="71"/>
      <c r="C1" s="71"/>
      <c r="D1" s="71"/>
      <c r="E1" s="71"/>
    </row>
    <row r="2" spans="1:5" x14ac:dyDescent="0.15">
      <c r="A2" s="71" t="s">
        <v>262</v>
      </c>
      <c r="B2" s="71"/>
      <c r="C2" s="71"/>
      <c r="D2" s="71"/>
      <c r="E2" s="71"/>
    </row>
    <row r="4" spans="1:5" x14ac:dyDescent="0.15">
      <c r="A4" s="71" t="s">
        <v>263</v>
      </c>
      <c r="B4" s="71"/>
      <c r="C4" s="71"/>
      <c r="D4" s="71"/>
      <c r="E4" s="71"/>
    </row>
    <row r="7" spans="1:5" x14ac:dyDescent="0.15">
      <c r="A7" s="733" t="s">
        <v>264</v>
      </c>
      <c r="B7" s="735" t="s">
        <v>265</v>
      </c>
      <c r="C7" s="735" t="s">
        <v>266</v>
      </c>
      <c r="D7" s="735" t="s">
        <v>267</v>
      </c>
      <c r="E7" s="737" t="s">
        <v>268</v>
      </c>
    </row>
    <row r="8" spans="1:5" x14ac:dyDescent="0.15">
      <c r="A8" s="734"/>
      <c r="B8" s="736"/>
      <c r="C8" s="736"/>
      <c r="D8" s="736"/>
      <c r="E8" s="738"/>
    </row>
    <row r="9" spans="1:5" x14ac:dyDescent="0.15">
      <c r="A9" s="18">
        <v>2</v>
      </c>
      <c r="B9" s="19">
        <v>0.5</v>
      </c>
      <c r="C9" s="19">
        <v>1</v>
      </c>
      <c r="D9" s="19" t="s">
        <v>269</v>
      </c>
      <c r="E9" s="20" t="s">
        <v>269</v>
      </c>
    </row>
    <row r="10" spans="1:5" x14ac:dyDescent="0.15">
      <c r="A10" s="12">
        <v>3</v>
      </c>
      <c r="B10" s="16">
        <v>0.33400000000000002</v>
      </c>
      <c r="C10" s="16">
        <v>0.83299999999999996</v>
      </c>
      <c r="D10" s="16">
        <v>1</v>
      </c>
      <c r="E10" s="13">
        <v>2.7890000000000002E-2</v>
      </c>
    </row>
    <row r="11" spans="1:5" x14ac:dyDescent="0.15">
      <c r="A11" s="12">
        <v>4</v>
      </c>
      <c r="B11" s="16">
        <v>0.25</v>
      </c>
      <c r="C11" s="16">
        <v>0.625</v>
      </c>
      <c r="D11" s="16">
        <v>1</v>
      </c>
      <c r="E11" s="13">
        <v>5.2740000000000002E-2</v>
      </c>
    </row>
    <row r="12" spans="1:5" x14ac:dyDescent="0.15">
      <c r="A12" s="12">
        <v>5</v>
      </c>
      <c r="B12" s="16">
        <v>0.2</v>
      </c>
      <c r="C12" s="16">
        <v>0.5</v>
      </c>
      <c r="D12" s="16">
        <v>1</v>
      </c>
      <c r="E12" s="13">
        <v>6.2489999999999997E-2</v>
      </c>
    </row>
    <row r="13" spans="1:5" x14ac:dyDescent="0.15">
      <c r="A13" s="12">
        <v>6</v>
      </c>
      <c r="B13" s="16">
        <v>0.16700000000000001</v>
      </c>
      <c r="C13" s="16">
        <v>0.41699999999999998</v>
      </c>
      <c r="D13" s="16">
        <v>0.5</v>
      </c>
      <c r="E13" s="13">
        <v>5.7759999999999999E-2</v>
      </c>
    </row>
    <row r="14" spans="1:5" x14ac:dyDescent="0.15">
      <c r="A14" s="12">
        <v>7</v>
      </c>
      <c r="B14" s="16">
        <v>0.14299999999999999</v>
      </c>
      <c r="C14" s="16">
        <v>0.35699999999999998</v>
      </c>
      <c r="D14" s="16">
        <v>0.5</v>
      </c>
      <c r="E14" s="13">
        <v>5.4960000000000002E-2</v>
      </c>
    </row>
    <row r="15" spans="1:5" x14ac:dyDescent="0.15">
      <c r="A15" s="12">
        <v>8</v>
      </c>
      <c r="B15" s="16">
        <v>0.125</v>
      </c>
      <c r="C15" s="16">
        <v>0.313</v>
      </c>
      <c r="D15" s="16">
        <v>0.33400000000000002</v>
      </c>
      <c r="E15" s="13">
        <v>5.1110000000000003E-2</v>
      </c>
    </row>
    <row r="16" spans="1:5" x14ac:dyDescent="0.15">
      <c r="A16" s="12">
        <v>9</v>
      </c>
      <c r="B16" s="16">
        <v>0.112</v>
      </c>
      <c r="C16" s="16">
        <v>0.27800000000000002</v>
      </c>
      <c r="D16" s="16">
        <v>0.33400000000000002</v>
      </c>
      <c r="E16" s="13">
        <v>4.7309999999999998E-2</v>
      </c>
    </row>
    <row r="17" spans="1:5" x14ac:dyDescent="0.15">
      <c r="A17" s="12">
        <v>10</v>
      </c>
      <c r="B17" s="16">
        <v>0.1</v>
      </c>
      <c r="C17" s="16">
        <v>0.25</v>
      </c>
      <c r="D17" s="16">
        <v>0.33400000000000002</v>
      </c>
      <c r="E17" s="13">
        <v>4.4479999999999999E-2</v>
      </c>
    </row>
    <row r="18" spans="1:5" x14ac:dyDescent="0.15">
      <c r="A18" s="12">
        <v>11</v>
      </c>
      <c r="B18" s="16">
        <v>9.0999999999999998E-2</v>
      </c>
      <c r="C18" s="16">
        <v>0.22700000000000001</v>
      </c>
      <c r="D18" s="16">
        <v>0.25</v>
      </c>
      <c r="E18" s="13">
        <v>4.1230000000000003E-2</v>
      </c>
    </row>
    <row r="19" spans="1:5" x14ac:dyDescent="0.15">
      <c r="A19" s="12">
        <v>12</v>
      </c>
      <c r="B19" s="16">
        <v>8.4000000000000005E-2</v>
      </c>
      <c r="C19" s="16">
        <v>0.20799999999999999</v>
      </c>
      <c r="D19" s="16">
        <v>0.25</v>
      </c>
      <c r="E19" s="13">
        <v>3.8699999999999998E-2</v>
      </c>
    </row>
    <row r="20" spans="1:5" x14ac:dyDescent="0.15">
      <c r="A20" s="12">
        <v>13</v>
      </c>
      <c r="B20" s="16">
        <v>7.6999999999999999E-2</v>
      </c>
      <c r="C20" s="16">
        <v>0.192</v>
      </c>
      <c r="D20" s="16">
        <v>0.2</v>
      </c>
      <c r="E20" s="13">
        <v>3.6330000000000001E-2</v>
      </c>
    </row>
    <row r="21" spans="1:5" x14ac:dyDescent="0.15">
      <c r="A21" s="12">
        <v>14</v>
      </c>
      <c r="B21" s="16">
        <v>7.1999999999999995E-2</v>
      </c>
      <c r="C21" s="16">
        <v>0.17899999999999999</v>
      </c>
      <c r="D21" s="16">
        <v>0.2</v>
      </c>
      <c r="E21" s="13">
        <v>3.3890000000000003E-2</v>
      </c>
    </row>
    <row r="22" spans="1:5" x14ac:dyDescent="0.15">
      <c r="A22" s="12">
        <v>15</v>
      </c>
      <c r="B22" s="16">
        <v>6.7000000000000004E-2</v>
      </c>
      <c r="C22" s="16">
        <v>0.16700000000000001</v>
      </c>
      <c r="D22" s="16">
        <v>0.2</v>
      </c>
      <c r="E22" s="13">
        <v>3.2169999999999997E-2</v>
      </c>
    </row>
    <row r="23" spans="1:5" x14ac:dyDescent="0.15">
      <c r="A23" s="12">
        <v>16</v>
      </c>
      <c r="B23" s="16">
        <v>6.3E-2</v>
      </c>
      <c r="C23" s="16">
        <v>0.156</v>
      </c>
      <c r="D23" s="16">
        <v>0.16700000000000001</v>
      </c>
      <c r="E23" s="13">
        <v>3.0630000000000001E-2</v>
      </c>
    </row>
    <row r="24" spans="1:5" x14ac:dyDescent="0.15">
      <c r="A24" s="12">
        <v>17</v>
      </c>
      <c r="B24" s="16">
        <v>5.8999999999999997E-2</v>
      </c>
      <c r="C24" s="16">
        <v>0.14699999999999999</v>
      </c>
      <c r="D24" s="16">
        <v>0.16700000000000001</v>
      </c>
      <c r="E24" s="13">
        <v>2.9049999999999999E-2</v>
      </c>
    </row>
    <row r="25" spans="1:5" x14ac:dyDescent="0.15">
      <c r="A25" s="12">
        <v>18</v>
      </c>
      <c r="B25" s="16">
        <v>5.6000000000000001E-2</v>
      </c>
      <c r="C25" s="16">
        <v>0.13900000000000001</v>
      </c>
      <c r="D25" s="16">
        <v>0.14299999999999999</v>
      </c>
      <c r="E25" s="13">
        <v>2.7570000000000001E-2</v>
      </c>
    </row>
    <row r="26" spans="1:5" x14ac:dyDescent="0.15">
      <c r="A26" s="12">
        <v>19</v>
      </c>
      <c r="B26" s="16">
        <v>5.2999999999999999E-2</v>
      </c>
      <c r="C26" s="16">
        <v>0.13200000000000001</v>
      </c>
      <c r="D26" s="16">
        <v>0.14299999999999999</v>
      </c>
      <c r="E26" s="13">
        <v>2.6159999999999999E-2</v>
      </c>
    </row>
    <row r="27" spans="1:5" x14ac:dyDescent="0.15">
      <c r="A27" s="12">
        <v>20</v>
      </c>
      <c r="B27" s="16">
        <v>0.05</v>
      </c>
      <c r="C27" s="16">
        <v>0.125</v>
      </c>
      <c r="D27" s="16">
        <v>0.14299999999999999</v>
      </c>
      <c r="E27" s="13">
        <v>2.5170000000000001E-2</v>
      </c>
    </row>
    <row r="28" spans="1:5" x14ac:dyDescent="0.15">
      <c r="A28" s="12">
        <v>21</v>
      </c>
      <c r="B28" s="16">
        <v>4.8000000000000001E-2</v>
      </c>
      <c r="C28" s="16">
        <v>0.11899999999999999</v>
      </c>
      <c r="D28" s="16">
        <v>0.125</v>
      </c>
      <c r="E28" s="13">
        <v>2.4080000000000001E-2</v>
      </c>
    </row>
    <row r="29" spans="1:5" x14ac:dyDescent="0.15">
      <c r="A29" s="12">
        <v>22</v>
      </c>
      <c r="B29" s="16">
        <v>4.5999999999999999E-2</v>
      </c>
      <c r="C29" s="16">
        <v>0.114</v>
      </c>
      <c r="D29" s="16">
        <v>0.125</v>
      </c>
      <c r="E29" s="13">
        <v>2.2960000000000001E-2</v>
      </c>
    </row>
    <row r="30" spans="1:5" x14ac:dyDescent="0.15">
      <c r="A30" s="12">
        <v>23</v>
      </c>
      <c r="B30" s="16">
        <v>4.3999999999999997E-2</v>
      </c>
      <c r="C30" s="16">
        <v>0.109</v>
      </c>
      <c r="D30" s="16">
        <v>0.112</v>
      </c>
      <c r="E30" s="13">
        <v>2.2259999999999999E-2</v>
      </c>
    </row>
    <row r="31" spans="1:5" x14ac:dyDescent="0.15">
      <c r="A31" s="12">
        <v>24</v>
      </c>
      <c r="B31" s="16">
        <v>4.2000000000000003E-2</v>
      </c>
      <c r="C31" s="16">
        <v>0.104</v>
      </c>
      <c r="D31" s="16">
        <v>0.112</v>
      </c>
      <c r="E31" s="13">
        <v>2.1569999999999999E-2</v>
      </c>
    </row>
    <row r="32" spans="1:5" x14ac:dyDescent="0.15">
      <c r="A32" s="12">
        <v>25</v>
      </c>
      <c r="B32" s="16">
        <v>0.04</v>
      </c>
      <c r="C32" s="16">
        <v>0.1</v>
      </c>
      <c r="D32" s="16">
        <v>0.112</v>
      </c>
      <c r="E32" s="13">
        <v>2.0580000000000001E-2</v>
      </c>
    </row>
    <row r="33" spans="1:5" x14ac:dyDescent="0.15">
      <c r="A33" s="12">
        <v>26</v>
      </c>
      <c r="B33" s="16">
        <v>3.9E-2</v>
      </c>
      <c r="C33" s="16">
        <v>9.6000000000000002E-2</v>
      </c>
      <c r="D33" s="16">
        <v>0.1</v>
      </c>
      <c r="E33" s="13">
        <v>1.9890000000000001E-2</v>
      </c>
    </row>
    <row r="34" spans="1:5" x14ac:dyDescent="0.15">
      <c r="A34" s="12">
        <v>27</v>
      </c>
      <c r="B34" s="16">
        <v>3.7999999999999999E-2</v>
      </c>
      <c r="C34" s="16">
        <v>9.2999999999999999E-2</v>
      </c>
      <c r="D34" s="16">
        <v>0.1</v>
      </c>
      <c r="E34" s="13">
        <v>1.9019999999999999E-2</v>
      </c>
    </row>
    <row r="35" spans="1:5" x14ac:dyDescent="0.15">
      <c r="A35" s="12">
        <v>28</v>
      </c>
      <c r="B35" s="16">
        <v>3.5999999999999997E-2</v>
      </c>
      <c r="C35" s="16">
        <v>8.8999999999999996E-2</v>
      </c>
      <c r="D35" s="16">
        <v>9.0999999999999998E-2</v>
      </c>
      <c r="E35" s="13">
        <v>1.866E-2</v>
      </c>
    </row>
    <row r="36" spans="1:5" x14ac:dyDescent="0.15">
      <c r="A36" s="12">
        <v>29</v>
      </c>
      <c r="B36" s="16">
        <v>3.5000000000000003E-2</v>
      </c>
      <c r="C36" s="16">
        <v>8.5999999999999993E-2</v>
      </c>
      <c r="D36" s="16">
        <v>9.0999999999999998E-2</v>
      </c>
      <c r="E36" s="13">
        <v>1.8030000000000001E-2</v>
      </c>
    </row>
    <row r="37" spans="1:5" x14ac:dyDescent="0.15">
      <c r="A37" s="12">
        <v>30</v>
      </c>
      <c r="B37" s="16">
        <v>3.4000000000000002E-2</v>
      </c>
      <c r="C37" s="16">
        <v>8.3000000000000004E-2</v>
      </c>
      <c r="D37" s="16">
        <v>8.4000000000000005E-2</v>
      </c>
      <c r="E37" s="13">
        <v>1.7659999999999999E-2</v>
      </c>
    </row>
    <row r="38" spans="1:5" x14ac:dyDescent="0.15">
      <c r="A38" s="12">
        <v>31</v>
      </c>
      <c r="B38" s="16">
        <v>3.3000000000000002E-2</v>
      </c>
      <c r="C38" s="16">
        <v>8.1000000000000003E-2</v>
      </c>
      <c r="D38" s="16">
        <v>8.4000000000000005E-2</v>
      </c>
      <c r="E38" s="13">
        <v>1.6879999999999999E-2</v>
      </c>
    </row>
    <row r="39" spans="1:5" x14ac:dyDescent="0.15">
      <c r="A39" s="12">
        <v>32</v>
      </c>
      <c r="B39" s="16">
        <v>3.2000000000000001E-2</v>
      </c>
      <c r="C39" s="16">
        <v>7.8E-2</v>
      </c>
      <c r="D39" s="16">
        <v>8.4000000000000005E-2</v>
      </c>
      <c r="E39" s="13">
        <v>1.6549999999999999E-2</v>
      </c>
    </row>
    <row r="40" spans="1:5" x14ac:dyDescent="0.15">
      <c r="A40" s="12">
        <v>33</v>
      </c>
      <c r="B40" s="16">
        <v>3.1E-2</v>
      </c>
      <c r="C40" s="16">
        <v>7.5999999999999998E-2</v>
      </c>
      <c r="D40" s="16">
        <v>7.6999999999999999E-2</v>
      </c>
      <c r="E40" s="13">
        <v>1.585E-2</v>
      </c>
    </row>
    <row r="41" spans="1:5" x14ac:dyDescent="0.15">
      <c r="A41" s="12">
        <v>34</v>
      </c>
      <c r="B41" s="16">
        <v>0.03</v>
      </c>
      <c r="C41" s="16">
        <v>7.3999999999999996E-2</v>
      </c>
      <c r="D41" s="16">
        <v>7.6999999999999999E-2</v>
      </c>
      <c r="E41" s="13">
        <v>1.532E-2</v>
      </c>
    </row>
    <row r="42" spans="1:5" x14ac:dyDescent="0.15">
      <c r="A42" s="12">
        <v>35</v>
      </c>
      <c r="B42" s="16">
        <v>2.9000000000000001E-2</v>
      </c>
      <c r="C42" s="16">
        <v>7.0999999999999994E-2</v>
      </c>
      <c r="D42" s="16">
        <v>7.1999999999999995E-2</v>
      </c>
      <c r="E42" s="13">
        <v>1.532E-2</v>
      </c>
    </row>
    <row r="43" spans="1:5" x14ac:dyDescent="0.15">
      <c r="A43" s="12">
        <v>36</v>
      </c>
      <c r="B43" s="16">
        <v>2.8000000000000001E-2</v>
      </c>
      <c r="C43" s="16">
        <v>6.9000000000000006E-2</v>
      </c>
      <c r="D43" s="16">
        <v>7.1999999999999995E-2</v>
      </c>
      <c r="E43" s="13">
        <v>1.494E-2</v>
      </c>
    </row>
    <row r="44" spans="1:5" x14ac:dyDescent="0.15">
      <c r="A44" s="12">
        <v>37</v>
      </c>
      <c r="B44" s="16">
        <v>2.8000000000000001E-2</v>
      </c>
      <c r="C44" s="16">
        <v>6.8000000000000005E-2</v>
      </c>
      <c r="D44" s="16">
        <v>7.1999999999999995E-2</v>
      </c>
      <c r="E44" s="13">
        <v>1.4250000000000001E-2</v>
      </c>
    </row>
    <row r="45" spans="1:5" x14ac:dyDescent="0.15">
      <c r="A45" s="12">
        <v>38</v>
      </c>
      <c r="B45" s="16">
        <v>2.7E-2</v>
      </c>
      <c r="C45" s="16">
        <v>6.6000000000000003E-2</v>
      </c>
      <c r="D45" s="16">
        <v>6.7000000000000004E-2</v>
      </c>
      <c r="E45" s="13">
        <v>1.393E-2</v>
      </c>
    </row>
    <row r="46" spans="1:5" x14ac:dyDescent="0.15">
      <c r="A46" s="12">
        <v>39</v>
      </c>
      <c r="B46" s="16">
        <v>2.5999999999999999E-2</v>
      </c>
      <c r="C46" s="16">
        <v>6.4000000000000001E-2</v>
      </c>
      <c r="D46" s="16">
        <v>6.7000000000000004E-2</v>
      </c>
      <c r="E46" s="13">
        <v>1.37E-2</v>
      </c>
    </row>
    <row r="47" spans="1:5" x14ac:dyDescent="0.15">
      <c r="A47" s="12">
        <v>40</v>
      </c>
      <c r="B47" s="16">
        <v>2.5000000000000001E-2</v>
      </c>
      <c r="C47" s="16">
        <v>6.3E-2</v>
      </c>
      <c r="D47" s="16">
        <v>6.7000000000000004E-2</v>
      </c>
      <c r="E47" s="13">
        <v>1.3169999999999999E-2</v>
      </c>
    </row>
    <row r="48" spans="1:5" x14ac:dyDescent="0.15">
      <c r="A48" s="12">
        <v>41</v>
      </c>
      <c r="B48" s="16">
        <v>2.5000000000000001E-2</v>
      </c>
      <c r="C48" s="16">
        <v>6.0999999999999999E-2</v>
      </c>
      <c r="D48" s="16">
        <v>6.3E-2</v>
      </c>
      <c r="E48" s="13">
        <v>1.306E-2</v>
      </c>
    </row>
    <row r="49" spans="1:5" x14ac:dyDescent="0.15">
      <c r="A49" s="12">
        <v>42</v>
      </c>
      <c r="B49" s="16">
        <v>2.4E-2</v>
      </c>
      <c r="C49" s="16">
        <v>0.06</v>
      </c>
      <c r="D49" s="16">
        <v>6.3E-2</v>
      </c>
      <c r="E49" s="13">
        <v>1.261E-2</v>
      </c>
    </row>
    <row r="50" spans="1:5" x14ac:dyDescent="0.15">
      <c r="A50" s="12">
        <v>43</v>
      </c>
      <c r="B50" s="16">
        <v>2.4E-2</v>
      </c>
      <c r="C50" s="16">
        <v>5.8000000000000003E-2</v>
      </c>
      <c r="D50" s="16">
        <v>5.8999999999999997E-2</v>
      </c>
      <c r="E50" s="13">
        <v>1.248E-2</v>
      </c>
    </row>
    <row r="51" spans="1:5" x14ac:dyDescent="0.15">
      <c r="A51" s="12">
        <v>44</v>
      </c>
      <c r="B51" s="16">
        <v>2.3E-2</v>
      </c>
      <c r="C51" s="16">
        <v>5.7000000000000002E-2</v>
      </c>
      <c r="D51" s="16">
        <v>5.8999999999999997E-2</v>
      </c>
      <c r="E51" s="13">
        <v>1.21E-2</v>
      </c>
    </row>
    <row r="52" spans="1:5" x14ac:dyDescent="0.15">
      <c r="A52" s="12">
        <v>45</v>
      </c>
      <c r="B52" s="16">
        <v>2.3E-2</v>
      </c>
      <c r="C52" s="16">
        <v>5.6000000000000001E-2</v>
      </c>
      <c r="D52" s="16">
        <v>5.8999999999999997E-2</v>
      </c>
      <c r="E52" s="13">
        <v>1.175E-2</v>
      </c>
    </row>
    <row r="53" spans="1:5" x14ac:dyDescent="0.15">
      <c r="A53" s="12">
        <v>46</v>
      </c>
      <c r="B53" s="16">
        <v>2.1999999999999999E-2</v>
      </c>
      <c r="C53" s="16">
        <v>5.3999999999999999E-2</v>
      </c>
      <c r="D53" s="16">
        <v>5.6000000000000001E-2</v>
      </c>
      <c r="E53" s="13">
        <v>1.175E-2</v>
      </c>
    </row>
    <row r="54" spans="1:5" x14ac:dyDescent="0.15">
      <c r="A54" s="12">
        <v>47</v>
      </c>
      <c r="B54" s="16">
        <v>2.1999999999999999E-2</v>
      </c>
      <c r="C54" s="16">
        <v>5.2999999999999999E-2</v>
      </c>
      <c r="D54" s="16">
        <v>5.6000000000000001E-2</v>
      </c>
      <c r="E54" s="13">
        <v>1.153E-2</v>
      </c>
    </row>
    <row r="55" spans="1:5" x14ac:dyDescent="0.15">
      <c r="A55" s="12">
        <v>48</v>
      </c>
      <c r="B55" s="16">
        <v>2.1000000000000001E-2</v>
      </c>
      <c r="C55" s="16">
        <v>5.1999999999999998E-2</v>
      </c>
      <c r="D55" s="16">
        <v>5.2999999999999999E-2</v>
      </c>
      <c r="E55" s="13">
        <v>1.1259999999999999E-2</v>
      </c>
    </row>
    <row r="56" spans="1:5" x14ac:dyDescent="0.15">
      <c r="A56" s="12">
        <v>49</v>
      </c>
      <c r="B56" s="16">
        <v>2.1000000000000001E-2</v>
      </c>
      <c r="C56" s="16">
        <v>5.0999999999999997E-2</v>
      </c>
      <c r="D56" s="16">
        <v>5.2999999999999999E-2</v>
      </c>
      <c r="E56" s="13">
        <v>1.102E-2</v>
      </c>
    </row>
    <row r="57" spans="1:5" x14ac:dyDescent="0.15">
      <c r="A57" s="12">
        <v>50</v>
      </c>
      <c r="B57" s="16">
        <v>0.02</v>
      </c>
      <c r="C57" s="16">
        <v>0.05</v>
      </c>
      <c r="D57" s="16">
        <v>5.2999999999999999E-2</v>
      </c>
      <c r="E57" s="13">
        <v>1.072E-2</v>
      </c>
    </row>
    <row r="58" spans="1:5" x14ac:dyDescent="0.15">
      <c r="A58" s="12">
        <v>51</v>
      </c>
      <c r="B58" s="16">
        <v>0.02</v>
      </c>
      <c r="C58" s="16">
        <v>4.9000000000000002E-2</v>
      </c>
      <c r="D58" s="16">
        <v>0.05</v>
      </c>
      <c r="E58" s="13">
        <v>1.0529999999999999E-2</v>
      </c>
    </row>
    <row r="59" spans="1:5" x14ac:dyDescent="0.15">
      <c r="A59" s="12">
        <v>52</v>
      </c>
      <c r="B59" s="16">
        <v>0.02</v>
      </c>
      <c r="C59" s="16">
        <v>4.8000000000000001E-2</v>
      </c>
      <c r="D59" s="16">
        <v>0.05</v>
      </c>
      <c r="E59" s="13">
        <v>1.0359999999999999E-2</v>
      </c>
    </row>
    <row r="60" spans="1:5" x14ac:dyDescent="0.15">
      <c r="A60" s="12">
        <v>53</v>
      </c>
      <c r="B60" s="16">
        <v>1.9E-2</v>
      </c>
      <c r="C60" s="16">
        <v>4.7E-2</v>
      </c>
      <c r="D60" s="16">
        <v>4.8000000000000001E-2</v>
      </c>
      <c r="E60" s="13">
        <v>1.0279999999999999E-2</v>
      </c>
    </row>
    <row r="61" spans="1:5" x14ac:dyDescent="0.15">
      <c r="A61" s="12">
        <v>54</v>
      </c>
      <c r="B61" s="16">
        <v>1.9E-2</v>
      </c>
      <c r="C61" s="16">
        <v>4.5999999999999999E-2</v>
      </c>
      <c r="D61" s="16">
        <v>4.8000000000000001E-2</v>
      </c>
      <c r="E61" s="13">
        <v>1.0149999999999999E-2</v>
      </c>
    </row>
    <row r="62" spans="1:5" x14ac:dyDescent="0.15">
      <c r="A62" s="12">
        <v>55</v>
      </c>
      <c r="B62" s="16">
        <v>1.9E-2</v>
      </c>
      <c r="C62" s="16">
        <v>4.4999999999999998E-2</v>
      </c>
      <c r="D62" s="16">
        <v>4.5999999999999999E-2</v>
      </c>
      <c r="E62" s="13">
        <v>1.0070000000000001E-2</v>
      </c>
    </row>
    <row r="63" spans="1:5" x14ac:dyDescent="0.15">
      <c r="A63" s="12">
        <v>56</v>
      </c>
      <c r="B63" s="16">
        <v>1.7999999999999999E-2</v>
      </c>
      <c r="C63" s="16">
        <v>4.4999999999999998E-2</v>
      </c>
      <c r="D63" s="16">
        <v>4.5999999999999999E-2</v>
      </c>
      <c r="E63" s="13">
        <v>9.6100000000000005E-3</v>
      </c>
    </row>
    <row r="64" spans="1:5" x14ac:dyDescent="0.15">
      <c r="A64" s="12">
        <v>57</v>
      </c>
      <c r="B64" s="16">
        <v>1.7999999999999999E-2</v>
      </c>
      <c r="C64" s="16">
        <v>4.3999999999999997E-2</v>
      </c>
      <c r="D64" s="16">
        <v>4.5999999999999999E-2</v>
      </c>
      <c r="E64" s="13">
        <v>9.5200000000000007E-3</v>
      </c>
    </row>
    <row r="65" spans="1:5" x14ac:dyDescent="0.15">
      <c r="A65" s="12">
        <v>58</v>
      </c>
      <c r="B65" s="16">
        <v>1.7999999999999999E-2</v>
      </c>
      <c r="C65" s="16">
        <v>4.2999999999999997E-2</v>
      </c>
      <c r="D65" s="16">
        <v>4.3999999999999997E-2</v>
      </c>
      <c r="E65" s="13">
        <v>9.4500000000000001E-3</v>
      </c>
    </row>
    <row r="66" spans="1:5" x14ac:dyDescent="0.15">
      <c r="A66" s="12">
        <v>59</v>
      </c>
      <c r="B66" s="16">
        <v>1.7000000000000001E-2</v>
      </c>
      <c r="C66" s="16">
        <v>4.2000000000000003E-2</v>
      </c>
      <c r="D66" s="16">
        <v>4.3999999999999997E-2</v>
      </c>
      <c r="E66" s="13">
        <v>9.3399999999999993E-3</v>
      </c>
    </row>
    <row r="67" spans="1:5" x14ac:dyDescent="0.15">
      <c r="A67" s="12">
        <v>60</v>
      </c>
      <c r="B67" s="16">
        <v>1.7000000000000001E-2</v>
      </c>
      <c r="C67" s="16">
        <v>4.2000000000000003E-2</v>
      </c>
      <c r="D67" s="16">
        <v>4.3999999999999997E-2</v>
      </c>
      <c r="E67" s="13">
        <v>8.9499999999999996E-3</v>
      </c>
    </row>
    <row r="68" spans="1:5" x14ac:dyDescent="0.15">
      <c r="A68" s="12">
        <v>61</v>
      </c>
      <c r="B68" s="16">
        <v>1.7000000000000001E-2</v>
      </c>
      <c r="C68" s="16">
        <v>4.1000000000000002E-2</v>
      </c>
      <c r="D68" s="16">
        <v>4.2000000000000003E-2</v>
      </c>
      <c r="E68" s="13">
        <v>8.9200000000000008E-3</v>
      </c>
    </row>
    <row r="69" spans="1:5" x14ac:dyDescent="0.15">
      <c r="A69" s="12">
        <v>62</v>
      </c>
      <c r="B69" s="16">
        <v>1.7000000000000001E-2</v>
      </c>
      <c r="C69" s="16">
        <v>0.04</v>
      </c>
      <c r="D69" s="16">
        <v>4.2000000000000003E-2</v>
      </c>
      <c r="E69" s="13">
        <v>8.8199999999999997E-3</v>
      </c>
    </row>
    <row r="70" spans="1:5" x14ac:dyDescent="0.15">
      <c r="A70" s="12">
        <v>63</v>
      </c>
      <c r="B70" s="16">
        <v>1.6E-2</v>
      </c>
      <c r="C70" s="16">
        <v>0.04</v>
      </c>
      <c r="D70" s="16">
        <v>4.2000000000000003E-2</v>
      </c>
      <c r="E70" s="13">
        <v>8.4700000000000001E-3</v>
      </c>
    </row>
    <row r="71" spans="1:5" x14ac:dyDescent="0.15">
      <c r="A71" s="12">
        <v>64</v>
      </c>
      <c r="B71" s="16">
        <v>1.6E-2</v>
      </c>
      <c r="C71" s="16">
        <v>3.9E-2</v>
      </c>
      <c r="D71" s="16">
        <v>0.04</v>
      </c>
      <c r="E71" s="13">
        <v>8.4700000000000001E-3</v>
      </c>
    </row>
    <row r="72" spans="1:5" x14ac:dyDescent="0.15">
      <c r="A72" s="12">
        <v>65</v>
      </c>
      <c r="B72" s="16">
        <v>1.6E-2</v>
      </c>
      <c r="C72" s="16">
        <v>3.7999999999999999E-2</v>
      </c>
      <c r="D72" s="16">
        <v>3.9E-2</v>
      </c>
      <c r="E72" s="13">
        <v>8.4700000000000001E-3</v>
      </c>
    </row>
    <row r="73" spans="1:5" x14ac:dyDescent="0.15">
      <c r="A73" s="12">
        <v>66</v>
      </c>
      <c r="B73" s="16">
        <v>1.6E-2</v>
      </c>
      <c r="C73" s="16">
        <v>3.7999999999999999E-2</v>
      </c>
      <c r="D73" s="16">
        <v>3.9E-2</v>
      </c>
      <c r="E73" s="13">
        <v>8.2799999999999992E-3</v>
      </c>
    </row>
    <row r="74" spans="1:5" x14ac:dyDescent="0.15">
      <c r="A74" s="12">
        <v>67</v>
      </c>
      <c r="B74" s="16">
        <v>1.4999999999999999E-2</v>
      </c>
      <c r="C74" s="16">
        <v>3.6999999999999998E-2</v>
      </c>
      <c r="D74" s="16">
        <v>3.7999999999999999E-2</v>
      </c>
      <c r="E74" s="13">
        <v>8.2799999999999992E-3</v>
      </c>
    </row>
    <row r="75" spans="1:5" x14ac:dyDescent="0.15">
      <c r="A75" s="12">
        <v>68</v>
      </c>
      <c r="B75" s="16">
        <v>1.4999999999999999E-2</v>
      </c>
      <c r="C75" s="16">
        <v>3.6999999999999998E-2</v>
      </c>
      <c r="D75" s="16">
        <v>3.7999999999999999E-2</v>
      </c>
      <c r="E75" s="13">
        <v>8.0999999999999996E-3</v>
      </c>
    </row>
    <row r="76" spans="1:5" x14ac:dyDescent="0.15">
      <c r="A76" s="12">
        <v>69</v>
      </c>
      <c r="B76" s="16">
        <v>1.4999999999999999E-2</v>
      </c>
      <c r="C76" s="16">
        <v>3.5999999999999997E-2</v>
      </c>
      <c r="D76" s="16">
        <v>3.7999999999999999E-2</v>
      </c>
      <c r="E76" s="13">
        <v>8.0000000000000002E-3</v>
      </c>
    </row>
    <row r="77" spans="1:5" x14ac:dyDescent="0.15">
      <c r="A77" s="12">
        <v>70</v>
      </c>
      <c r="B77" s="16">
        <v>1.4999999999999999E-2</v>
      </c>
      <c r="C77" s="16">
        <v>3.5999999999999997E-2</v>
      </c>
      <c r="D77" s="16">
        <v>3.7999999999999999E-2</v>
      </c>
      <c r="E77" s="13">
        <v>7.7099999999999998E-3</v>
      </c>
    </row>
    <row r="78" spans="1:5" x14ac:dyDescent="0.15">
      <c r="A78" s="12">
        <v>71</v>
      </c>
      <c r="B78" s="16">
        <v>1.4999999999999999E-2</v>
      </c>
      <c r="C78" s="16">
        <v>3.5000000000000003E-2</v>
      </c>
      <c r="D78" s="16">
        <v>3.5999999999999997E-2</v>
      </c>
      <c r="E78" s="13">
        <v>7.7099999999999998E-3</v>
      </c>
    </row>
    <row r="79" spans="1:5" x14ac:dyDescent="0.15">
      <c r="A79" s="12">
        <v>72</v>
      </c>
      <c r="B79" s="16">
        <v>1.4E-2</v>
      </c>
      <c r="C79" s="16">
        <v>3.5000000000000003E-2</v>
      </c>
      <c r="D79" s="16">
        <v>3.5999999999999997E-2</v>
      </c>
      <c r="E79" s="13">
        <v>7.5100000000000002E-3</v>
      </c>
    </row>
    <row r="80" spans="1:5" x14ac:dyDescent="0.15">
      <c r="A80" s="12">
        <v>73</v>
      </c>
      <c r="B80" s="16">
        <v>1.4E-2</v>
      </c>
      <c r="C80" s="16">
        <v>3.4000000000000002E-2</v>
      </c>
      <c r="D80" s="16">
        <v>3.5000000000000003E-2</v>
      </c>
      <c r="E80" s="13">
        <v>7.5100000000000002E-3</v>
      </c>
    </row>
    <row r="81" spans="1:5" x14ac:dyDescent="0.15">
      <c r="A81" s="12">
        <v>74</v>
      </c>
      <c r="B81" s="16">
        <v>1.4E-2</v>
      </c>
      <c r="C81" s="16">
        <v>3.4000000000000002E-2</v>
      </c>
      <c r="D81" s="16">
        <v>3.5000000000000003E-2</v>
      </c>
      <c r="E81" s="13">
        <v>7.3800000000000003E-3</v>
      </c>
    </row>
    <row r="82" spans="1:5" x14ac:dyDescent="0.15">
      <c r="A82" s="12">
        <v>75</v>
      </c>
      <c r="B82" s="16">
        <v>1.4E-2</v>
      </c>
      <c r="C82" s="16">
        <v>3.3000000000000002E-2</v>
      </c>
      <c r="D82" s="16">
        <v>3.4000000000000002E-2</v>
      </c>
      <c r="E82" s="13">
        <v>7.3800000000000003E-3</v>
      </c>
    </row>
    <row r="83" spans="1:5" x14ac:dyDescent="0.15">
      <c r="A83" s="12">
        <v>76</v>
      </c>
      <c r="B83" s="16">
        <v>1.4E-2</v>
      </c>
      <c r="C83" s="16">
        <v>3.3000000000000002E-2</v>
      </c>
      <c r="D83" s="16">
        <v>3.4000000000000002E-2</v>
      </c>
      <c r="E83" s="13">
        <v>7.26E-3</v>
      </c>
    </row>
    <row r="84" spans="1:5" x14ac:dyDescent="0.15">
      <c r="A84" s="12">
        <v>77</v>
      </c>
      <c r="B84" s="16">
        <v>1.2999999999999999E-2</v>
      </c>
      <c r="C84" s="16">
        <v>3.2000000000000001E-2</v>
      </c>
      <c r="D84" s="16">
        <v>3.3000000000000002E-2</v>
      </c>
      <c r="E84" s="13">
        <v>7.26E-3</v>
      </c>
    </row>
    <row r="85" spans="1:5" x14ac:dyDescent="0.15">
      <c r="A85" s="12">
        <v>78</v>
      </c>
      <c r="B85" s="16">
        <v>1.2999999999999999E-2</v>
      </c>
      <c r="C85" s="16">
        <v>3.2000000000000001E-2</v>
      </c>
      <c r="D85" s="16">
        <v>3.3000000000000002E-2</v>
      </c>
      <c r="E85" s="13">
        <v>7.1599999999999997E-3</v>
      </c>
    </row>
    <row r="86" spans="1:5" x14ac:dyDescent="0.15">
      <c r="A86" s="12">
        <v>79</v>
      </c>
      <c r="B86" s="16">
        <v>1.2999999999999999E-2</v>
      </c>
      <c r="C86" s="16">
        <v>3.2000000000000001E-2</v>
      </c>
      <c r="D86" s="16">
        <v>3.3000000000000002E-2</v>
      </c>
      <c r="E86" s="13">
        <v>6.9300000000000004E-3</v>
      </c>
    </row>
    <row r="87" spans="1:5" x14ac:dyDescent="0.15">
      <c r="A87" s="12">
        <v>80</v>
      </c>
      <c r="B87" s="16">
        <v>1.2999999999999999E-2</v>
      </c>
      <c r="C87" s="16">
        <v>3.1E-2</v>
      </c>
      <c r="D87" s="16">
        <v>3.2000000000000001E-2</v>
      </c>
      <c r="E87" s="13">
        <v>6.9300000000000004E-3</v>
      </c>
    </row>
    <row r="88" spans="1:5" x14ac:dyDescent="0.15">
      <c r="A88" s="12">
        <v>81</v>
      </c>
      <c r="B88" s="16">
        <v>1.2999999999999999E-2</v>
      </c>
      <c r="C88" s="16">
        <v>3.1E-2</v>
      </c>
      <c r="D88" s="16">
        <v>3.2000000000000001E-2</v>
      </c>
      <c r="E88" s="13">
        <v>6.8300000000000001E-3</v>
      </c>
    </row>
    <row r="89" spans="1:5" x14ac:dyDescent="0.15">
      <c r="A89" s="12">
        <v>82</v>
      </c>
      <c r="B89" s="16">
        <v>1.2999999999999999E-2</v>
      </c>
      <c r="C89" s="16">
        <v>0.03</v>
      </c>
      <c r="D89" s="16">
        <v>3.1E-2</v>
      </c>
      <c r="E89" s="13">
        <v>6.8300000000000001E-3</v>
      </c>
    </row>
    <row r="90" spans="1:5" x14ac:dyDescent="0.15">
      <c r="A90" s="12">
        <v>83</v>
      </c>
      <c r="B90" s="16">
        <v>1.2999999999999999E-2</v>
      </c>
      <c r="C90" s="16">
        <v>0.03</v>
      </c>
      <c r="D90" s="16">
        <v>3.1E-2</v>
      </c>
      <c r="E90" s="13">
        <v>6.7299999999999999E-3</v>
      </c>
    </row>
    <row r="91" spans="1:5" x14ac:dyDescent="0.15">
      <c r="A91" s="12">
        <v>84</v>
      </c>
      <c r="B91" s="16">
        <v>1.2E-2</v>
      </c>
      <c r="C91" s="16">
        <v>0.03</v>
      </c>
      <c r="D91" s="16">
        <v>3.1E-2</v>
      </c>
      <c r="E91" s="13">
        <v>6.5300000000000002E-3</v>
      </c>
    </row>
    <row r="92" spans="1:5" x14ac:dyDescent="0.15">
      <c r="A92" s="12">
        <v>85</v>
      </c>
      <c r="B92" s="16">
        <v>1.2E-2</v>
      </c>
      <c r="C92" s="16">
        <v>2.9000000000000001E-2</v>
      </c>
      <c r="D92" s="16">
        <v>0.03</v>
      </c>
      <c r="E92" s="13">
        <v>6.5300000000000002E-3</v>
      </c>
    </row>
    <row r="93" spans="1:5" x14ac:dyDescent="0.15">
      <c r="A93" s="12">
        <v>86</v>
      </c>
      <c r="B93" s="16">
        <v>1.2E-2</v>
      </c>
      <c r="C93" s="16">
        <v>2.9000000000000001E-2</v>
      </c>
      <c r="D93" s="16">
        <v>0.03</v>
      </c>
      <c r="E93" s="13">
        <v>6.45E-3</v>
      </c>
    </row>
    <row r="94" spans="1:5" x14ac:dyDescent="0.15">
      <c r="A94" s="12">
        <v>87</v>
      </c>
      <c r="B94" s="16">
        <v>1.2E-2</v>
      </c>
      <c r="C94" s="16">
        <v>2.9000000000000001E-2</v>
      </c>
      <c r="D94" s="16">
        <v>0.03</v>
      </c>
      <c r="E94" s="13">
        <v>6.2700000000000004E-3</v>
      </c>
    </row>
    <row r="95" spans="1:5" x14ac:dyDescent="0.15">
      <c r="A95" s="12">
        <v>88</v>
      </c>
      <c r="B95" s="16">
        <v>1.2E-2</v>
      </c>
      <c r="C95" s="16">
        <v>2.8000000000000001E-2</v>
      </c>
      <c r="D95" s="16">
        <v>2.9000000000000001E-2</v>
      </c>
      <c r="E95" s="13">
        <v>6.2700000000000004E-3</v>
      </c>
    </row>
    <row r="96" spans="1:5" x14ac:dyDescent="0.15">
      <c r="A96" s="12">
        <v>89</v>
      </c>
      <c r="B96" s="16">
        <v>1.2E-2</v>
      </c>
      <c r="C96" s="16">
        <v>2.8000000000000001E-2</v>
      </c>
      <c r="D96" s="16">
        <v>2.9000000000000001E-2</v>
      </c>
      <c r="E96" s="13">
        <v>6.1999999999999998E-3</v>
      </c>
    </row>
    <row r="97" spans="1:5" x14ac:dyDescent="0.15">
      <c r="A97" s="12">
        <v>90</v>
      </c>
      <c r="B97" s="16">
        <v>1.2E-2</v>
      </c>
      <c r="C97" s="16">
        <v>2.8000000000000001E-2</v>
      </c>
      <c r="D97" s="16">
        <v>2.9000000000000001E-2</v>
      </c>
      <c r="E97" s="13">
        <v>6.0299999999999998E-3</v>
      </c>
    </row>
    <row r="98" spans="1:5" x14ac:dyDescent="0.15">
      <c r="A98" s="12">
        <v>91</v>
      </c>
      <c r="B98" s="16">
        <v>1.0999999999999999E-2</v>
      </c>
      <c r="C98" s="16">
        <v>2.7E-2</v>
      </c>
      <c r="D98" s="16">
        <v>2.7E-2</v>
      </c>
      <c r="E98" s="13">
        <v>6.4900000000000001E-3</v>
      </c>
    </row>
    <row r="99" spans="1:5" x14ac:dyDescent="0.15">
      <c r="A99" s="12">
        <v>92</v>
      </c>
      <c r="B99" s="16">
        <v>1.0999999999999999E-2</v>
      </c>
      <c r="C99" s="16">
        <v>2.7E-2</v>
      </c>
      <c r="D99" s="16">
        <v>2.7E-2</v>
      </c>
      <c r="E99" s="13">
        <v>6.3200000000000001E-3</v>
      </c>
    </row>
    <row r="100" spans="1:5" x14ac:dyDescent="0.15">
      <c r="A100" s="12">
        <v>93</v>
      </c>
      <c r="B100" s="16">
        <v>1.0999999999999999E-2</v>
      </c>
      <c r="C100" s="16">
        <v>2.7E-2</v>
      </c>
      <c r="D100" s="16">
        <v>2.7E-2</v>
      </c>
      <c r="E100" s="13">
        <v>6.1500000000000001E-3</v>
      </c>
    </row>
    <row r="101" spans="1:5" x14ac:dyDescent="0.15">
      <c r="A101" s="12">
        <v>94</v>
      </c>
      <c r="B101" s="16">
        <v>1.0999999999999999E-2</v>
      </c>
      <c r="C101" s="16">
        <v>2.7E-2</v>
      </c>
      <c r="D101" s="16">
        <v>2.7E-2</v>
      </c>
      <c r="E101" s="13">
        <v>5.9800000000000001E-3</v>
      </c>
    </row>
    <row r="102" spans="1:5" x14ac:dyDescent="0.15">
      <c r="A102" s="12">
        <v>95</v>
      </c>
      <c r="B102" s="16">
        <v>1.0999999999999999E-2</v>
      </c>
      <c r="C102" s="16">
        <v>2.5999999999999999E-2</v>
      </c>
      <c r="D102" s="16">
        <v>2.7E-2</v>
      </c>
      <c r="E102" s="13">
        <v>5.94E-3</v>
      </c>
    </row>
    <row r="103" spans="1:5" x14ac:dyDescent="0.15">
      <c r="A103" s="12">
        <v>96</v>
      </c>
      <c r="B103" s="16">
        <v>1.0999999999999999E-2</v>
      </c>
      <c r="C103" s="16">
        <v>2.5999999999999999E-2</v>
      </c>
      <c r="D103" s="16">
        <v>2.7E-2</v>
      </c>
      <c r="E103" s="13">
        <v>5.7800000000000004E-3</v>
      </c>
    </row>
    <row r="104" spans="1:5" x14ac:dyDescent="0.15">
      <c r="A104" s="12">
        <v>97</v>
      </c>
      <c r="B104" s="16">
        <v>1.0999999999999999E-2</v>
      </c>
      <c r="C104" s="16">
        <v>2.5999999999999999E-2</v>
      </c>
      <c r="D104" s="16">
        <v>2.7E-2</v>
      </c>
      <c r="E104" s="13">
        <v>5.6299999999999996E-3</v>
      </c>
    </row>
    <row r="105" spans="1:5" x14ac:dyDescent="0.15">
      <c r="A105" s="12">
        <v>98</v>
      </c>
      <c r="B105" s="16">
        <v>1.0999999999999999E-2</v>
      </c>
      <c r="C105" s="16">
        <v>2.5999999999999999E-2</v>
      </c>
      <c r="D105" s="16">
        <v>2.7E-2</v>
      </c>
      <c r="E105" s="13">
        <v>5.4900000000000001E-3</v>
      </c>
    </row>
    <row r="106" spans="1:5" x14ac:dyDescent="0.15">
      <c r="A106" s="12">
        <v>99</v>
      </c>
      <c r="B106" s="16">
        <v>1.0999999999999999E-2</v>
      </c>
      <c r="C106" s="16">
        <v>2.5000000000000001E-2</v>
      </c>
      <c r="D106" s="16">
        <v>2.5999999999999999E-2</v>
      </c>
      <c r="E106" s="13">
        <v>5.4900000000000001E-3</v>
      </c>
    </row>
    <row r="107" spans="1:5" ht="15" thickBot="1" x14ac:dyDescent="0.2">
      <c r="A107" s="14">
        <v>100</v>
      </c>
      <c r="B107" s="17">
        <v>0.01</v>
      </c>
      <c r="C107" s="17">
        <v>2.5000000000000001E-2</v>
      </c>
      <c r="D107" s="17">
        <v>2.5999999999999999E-2</v>
      </c>
      <c r="E107" s="15">
        <v>5.4599999999999996E-3</v>
      </c>
    </row>
  </sheetData>
  <mergeCells count="5">
    <mergeCell ref="A7:A8"/>
    <mergeCell ref="B7:B8"/>
    <mergeCell ref="C7:C8"/>
    <mergeCell ref="D7:D8"/>
    <mergeCell ref="E7:E8"/>
  </mergeCells>
  <phoneticPr fontId="2"/>
  <pageMargins left="0.25" right="0.25" top="0.75" bottom="0.75" header="0.3" footer="0.3"/>
  <pageSetup paperSize="9" fitToHeight="0" orientation="portrait"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E24"/>
  <sheetViews>
    <sheetView showGridLines="0" workbookViewId="0">
      <selection activeCell="A19" sqref="A19"/>
    </sheetView>
  </sheetViews>
  <sheetFormatPr defaultColWidth="9" defaultRowHeight="14.25" x14ac:dyDescent="0.15"/>
  <cols>
    <col min="1" max="1" width="20.625" style="71" bestFit="1" customWidth="1"/>
    <col min="2" max="2" width="15" style="71" customWidth="1"/>
    <col min="3" max="16384" width="9" style="71"/>
  </cols>
  <sheetData>
    <row r="1" spans="1:2" x14ac:dyDescent="0.15">
      <c r="A1" s="21" t="s">
        <v>270</v>
      </c>
      <c r="B1" s="22" t="s">
        <v>271</v>
      </c>
    </row>
    <row r="2" spans="1:2" x14ac:dyDescent="0.15">
      <c r="A2" s="23" t="s">
        <v>272</v>
      </c>
      <c r="B2" s="24">
        <v>16</v>
      </c>
    </row>
    <row r="3" spans="1:2" x14ac:dyDescent="0.15">
      <c r="A3" s="25" t="s">
        <v>273</v>
      </c>
      <c r="B3" s="26">
        <v>15</v>
      </c>
    </row>
    <row r="4" spans="1:2" x14ac:dyDescent="0.15">
      <c r="A4" s="25" t="s">
        <v>274</v>
      </c>
      <c r="B4" s="26">
        <v>15</v>
      </c>
    </row>
    <row r="5" spans="1:2" x14ac:dyDescent="0.15">
      <c r="A5" s="25" t="s">
        <v>275</v>
      </c>
      <c r="B5" s="26">
        <v>15</v>
      </c>
    </row>
    <row r="6" spans="1:2" x14ac:dyDescent="0.15">
      <c r="A6" s="25" t="s">
        <v>276</v>
      </c>
      <c r="B6" s="26">
        <v>40</v>
      </c>
    </row>
    <row r="7" spans="1:2" x14ac:dyDescent="0.15">
      <c r="A7" s="151" t="s">
        <v>36</v>
      </c>
      <c r="B7" s="26">
        <v>17</v>
      </c>
    </row>
    <row r="8" spans="1:2" x14ac:dyDescent="0.15">
      <c r="A8" s="151" t="s">
        <v>277</v>
      </c>
      <c r="B8" s="26">
        <v>17</v>
      </c>
    </row>
    <row r="9" spans="1:2" x14ac:dyDescent="0.15">
      <c r="A9" s="151" t="s">
        <v>38</v>
      </c>
      <c r="B9" s="26">
        <v>17</v>
      </c>
    </row>
    <row r="10" spans="1:2" x14ac:dyDescent="0.15">
      <c r="A10" s="151" t="s">
        <v>39</v>
      </c>
      <c r="B10" s="26">
        <v>17</v>
      </c>
    </row>
    <row r="11" spans="1:2" x14ac:dyDescent="0.15">
      <c r="A11" s="151" t="s">
        <v>40</v>
      </c>
      <c r="B11" s="26">
        <v>22</v>
      </c>
    </row>
    <row r="12" spans="1:2" x14ac:dyDescent="0.15">
      <c r="A12" s="151" t="s">
        <v>41</v>
      </c>
      <c r="B12" s="26">
        <v>22</v>
      </c>
    </row>
    <row r="13" spans="1:2" x14ac:dyDescent="0.15">
      <c r="A13" s="25" t="s">
        <v>278</v>
      </c>
      <c r="B13" s="26">
        <v>15</v>
      </c>
    </row>
    <row r="14" spans="1:2" x14ac:dyDescent="0.15">
      <c r="A14" s="25" t="s">
        <v>279</v>
      </c>
      <c r="B14" s="26">
        <v>15</v>
      </c>
    </row>
    <row r="15" spans="1:2" x14ac:dyDescent="0.15">
      <c r="A15" s="25" t="s">
        <v>280</v>
      </c>
      <c r="B15" s="26">
        <v>15</v>
      </c>
    </row>
    <row r="16" spans="1:2" x14ac:dyDescent="0.15">
      <c r="A16" s="25" t="s">
        <v>281</v>
      </c>
      <c r="B16" s="26">
        <v>15</v>
      </c>
    </row>
    <row r="17" spans="1:5" x14ac:dyDescent="0.15">
      <c r="A17" s="25" t="s">
        <v>282</v>
      </c>
      <c r="B17" s="26">
        <v>15</v>
      </c>
    </row>
    <row r="18" spans="1:5" x14ac:dyDescent="0.15">
      <c r="A18" s="368" t="s">
        <v>283</v>
      </c>
      <c r="B18" s="369">
        <v>6</v>
      </c>
    </row>
    <row r="19" spans="1:5" x14ac:dyDescent="0.15">
      <c r="A19" s="366" t="s">
        <v>284</v>
      </c>
      <c r="B19" s="367">
        <v>15</v>
      </c>
      <c r="E19" s="8"/>
    </row>
    <row r="20" spans="1:5" x14ac:dyDescent="0.15">
      <c r="A20" s="239" t="s">
        <v>55</v>
      </c>
      <c r="B20" s="237">
        <v>15</v>
      </c>
    </row>
    <row r="21" spans="1:5" x14ac:dyDescent="0.15">
      <c r="A21" s="239" t="s">
        <v>285</v>
      </c>
      <c r="B21" s="237">
        <v>15</v>
      </c>
    </row>
    <row r="22" spans="1:5" x14ac:dyDescent="0.15">
      <c r="A22" s="151" t="s">
        <v>48</v>
      </c>
      <c r="B22" s="26">
        <v>15</v>
      </c>
    </row>
    <row r="23" spans="1:5" x14ac:dyDescent="0.15">
      <c r="A23" s="238" t="s">
        <v>253</v>
      </c>
      <c r="B23" s="26">
        <v>15</v>
      </c>
    </row>
    <row r="24" spans="1:5" ht="15" thickBot="1" x14ac:dyDescent="0.2">
      <c r="A24" s="324" t="s">
        <v>286</v>
      </c>
      <c r="B24" s="27">
        <v>15</v>
      </c>
    </row>
  </sheetData>
  <phoneticPr fontId="2"/>
  <pageMargins left="0.70866141732283472" right="0.70866141732283472" top="0.74803149606299213" bottom="0.74803149606299213" header="0.31496062992125984" footer="0.31496062992125984"/>
  <pageSetup paperSize="9" scale="200"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AK58"/>
  <sheetViews>
    <sheetView zoomScale="85" zoomScaleNormal="85" workbookViewId="0">
      <selection activeCell="AJ51" sqref="AJ51"/>
    </sheetView>
  </sheetViews>
  <sheetFormatPr defaultColWidth="9" defaultRowHeight="14.25" x14ac:dyDescent="0.15"/>
  <cols>
    <col min="1" max="1" width="9" style="71"/>
    <col min="2" max="7" width="9" style="71" customWidth="1"/>
    <col min="8" max="17" width="9" style="71"/>
    <col min="18" max="18" width="9.75" style="71" customWidth="1"/>
    <col min="19" max="19" width="9.625" style="71" customWidth="1"/>
    <col min="20" max="24" width="9" style="71"/>
    <col min="25" max="30" width="10.125" style="71" customWidth="1"/>
    <col min="31" max="31" width="9" style="71"/>
    <col min="32" max="32" width="34.5" style="71" customWidth="1"/>
    <col min="33" max="16384" width="9" style="71"/>
  </cols>
  <sheetData>
    <row r="1" spans="1:33" ht="30.75" customHeight="1" x14ac:dyDescent="0.15">
      <c r="A1" s="759" t="s">
        <v>660</v>
      </c>
      <c r="B1" s="519" t="s">
        <v>287</v>
      </c>
      <c r="C1" s="520"/>
      <c r="D1" s="520"/>
      <c r="E1" s="520"/>
      <c r="F1" s="520"/>
      <c r="G1" s="521"/>
      <c r="H1" s="757" t="s">
        <v>661</v>
      </c>
      <c r="I1" s="752"/>
      <c r="J1" s="762" t="s">
        <v>662</v>
      </c>
      <c r="K1" s="758"/>
      <c r="L1" s="771" t="s">
        <v>288</v>
      </c>
      <c r="M1" s="747"/>
      <c r="N1" s="747"/>
      <c r="O1" s="747"/>
      <c r="P1" s="762" t="s">
        <v>663</v>
      </c>
      <c r="Q1" s="758"/>
      <c r="R1" s="757" t="s">
        <v>289</v>
      </c>
      <c r="S1" s="758"/>
      <c r="T1" s="747" t="s">
        <v>664</v>
      </c>
      <c r="U1" s="748"/>
      <c r="V1" s="751" t="s">
        <v>290</v>
      </c>
      <c r="W1" s="752"/>
      <c r="X1" s="745" t="s">
        <v>374</v>
      </c>
      <c r="Y1" s="746"/>
      <c r="Z1" s="739" t="s">
        <v>291</v>
      </c>
      <c r="AA1" s="740"/>
      <c r="AB1" s="739" t="s">
        <v>292</v>
      </c>
      <c r="AC1" s="740"/>
      <c r="AD1" s="334"/>
      <c r="AE1" s="338"/>
    </row>
    <row r="2" spans="1:33" ht="26.45" customHeight="1" x14ac:dyDescent="0.15">
      <c r="A2" s="760"/>
      <c r="B2" s="763" t="s">
        <v>661</v>
      </c>
      <c r="C2" s="764"/>
      <c r="D2" s="765" t="s">
        <v>662</v>
      </c>
      <c r="E2" s="765"/>
      <c r="F2" s="765" t="s">
        <v>663</v>
      </c>
      <c r="G2" s="766"/>
      <c r="H2" s="749" t="s">
        <v>293</v>
      </c>
      <c r="I2" s="753" t="s">
        <v>294</v>
      </c>
      <c r="J2" s="767" t="s">
        <v>293</v>
      </c>
      <c r="K2" s="755" t="s">
        <v>295</v>
      </c>
      <c r="L2" s="769" t="s">
        <v>665</v>
      </c>
      <c r="M2" s="769"/>
      <c r="N2" s="770" t="s">
        <v>666</v>
      </c>
      <c r="O2" s="769"/>
      <c r="P2" s="767" t="s">
        <v>293</v>
      </c>
      <c r="Q2" s="755" t="s">
        <v>295</v>
      </c>
      <c r="R2" s="749" t="s">
        <v>293</v>
      </c>
      <c r="S2" s="755" t="s">
        <v>295</v>
      </c>
      <c r="T2" s="749" t="s">
        <v>293</v>
      </c>
      <c r="U2" s="755" t="s">
        <v>294</v>
      </c>
      <c r="V2" s="749" t="s">
        <v>293</v>
      </c>
      <c r="W2" s="753" t="s">
        <v>294</v>
      </c>
      <c r="X2" s="741" t="s">
        <v>363</v>
      </c>
      <c r="Y2" s="743" t="s">
        <v>364</v>
      </c>
      <c r="Z2" s="741" t="s">
        <v>363</v>
      </c>
      <c r="AA2" s="743" t="s">
        <v>364</v>
      </c>
      <c r="AB2" s="741" t="s">
        <v>363</v>
      </c>
      <c r="AC2" s="743" t="s">
        <v>364</v>
      </c>
      <c r="AD2" s="335"/>
      <c r="AE2" s="339"/>
    </row>
    <row r="3" spans="1:33" ht="14.25" customHeight="1" x14ac:dyDescent="0.15">
      <c r="A3" s="761"/>
      <c r="B3" s="522" t="s">
        <v>293</v>
      </c>
      <c r="C3" s="523" t="s">
        <v>294</v>
      </c>
      <c r="D3" s="524" t="s">
        <v>293</v>
      </c>
      <c r="E3" s="524" t="s">
        <v>294</v>
      </c>
      <c r="F3" s="524" t="s">
        <v>293</v>
      </c>
      <c r="G3" s="525" t="s">
        <v>294</v>
      </c>
      <c r="H3" s="750"/>
      <c r="I3" s="754"/>
      <c r="J3" s="768"/>
      <c r="K3" s="756"/>
      <c r="L3" s="522" t="s">
        <v>293</v>
      </c>
      <c r="M3" s="524" t="s">
        <v>294</v>
      </c>
      <c r="N3" s="524" t="s">
        <v>293</v>
      </c>
      <c r="O3" s="523" t="s">
        <v>294</v>
      </c>
      <c r="P3" s="768"/>
      <c r="Q3" s="756"/>
      <c r="R3" s="750"/>
      <c r="S3" s="756"/>
      <c r="T3" s="750"/>
      <c r="U3" s="756"/>
      <c r="V3" s="750"/>
      <c r="W3" s="754"/>
      <c r="X3" s="742"/>
      <c r="Y3" s="744"/>
      <c r="Z3" s="742"/>
      <c r="AA3" s="744"/>
      <c r="AB3" s="742"/>
      <c r="AC3" s="744"/>
      <c r="AD3" s="336"/>
      <c r="AE3" s="340"/>
    </row>
    <row r="4" spans="1:33" ht="16.5" x14ac:dyDescent="0.15">
      <c r="A4" s="761"/>
      <c r="B4" s="526" t="s">
        <v>667</v>
      </c>
      <c r="C4" s="527" t="s">
        <v>667</v>
      </c>
      <c r="D4" s="527" t="s">
        <v>667</v>
      </c>
      <c r="E4" s="527" t="s">
        <v>667</v>
      </c>
      <c r="F4" s="527" t="s">
        <v>668</v>
      </c>
      <c r="G4" s="528" t="s">
        <v>668</v>
      </c>
      <c r="H4" s="526" t="s">
        <v>667</v>
      </c>
      <c r="I4" s="529" t="s">
        <v>667</v>
      </c>
      <c r="J4" s="530" t="s">
        <v>667</v>
      </c>
      <c r="K4" s="528" t="s">
        <v>667</v>
      </c>
      <c r="L4" s="526" t="s">
        <v>669</v>
      </c>
      <c r="M4" s="527" t="s">
        <v>669</v>
      </c>
      <c r="N4" s="527" t="s">
        <v>669</v>
      </c>
      <c r="O4" s="528" t="s">
        <v>669</v>
      </c>
      <c r="P4" s="526" t="s">
        <v>668</v>
      </c>
      <c r="Q4" s="528" t="s">
        <v>668</v>
      </c>
      <c r="R4" s="526" t="s">
        <v>670</v>
      </c>
      <c r="S4" s="528" t="s">
        <v>670</v>
      </c>
      <c r="T4" s="526" t="s">
        <v>667</v>
      </c>
      <c r="U4" s="528" t="s">
        <v>667</v>
      </c>
      <c r="V4" s="526" t="s">
        <v>671</v>
      </c>
      <c r="W4" s="529" t="s">
        <v>671</v>
      </c>
      <c r="X4" s="531" t="s">
        <v>671</v>
      </c>
      <c r="Y4" s="532" t="s">
        <v>671</v>
      </c>
      <c r="Z4" s="533" t="s">
        <v>671</v>
      </c>
      <c r="AA4" s="532" t="s">
        <v>671</v>
      </c>
      <c r="AB4" s="533" t="s">
        <v>671</v>
      </c>
      <c r="AC4" s="532" t="s">
        <v>671</v>
      </c>
      <c r="AD4" s="337"/>
      <c r="AE4" s="341"/>
    </row>
    <row r="5" spans="1:33" s="358" customFormat="1" ht="15" thickBot="1" x14ac:dyDescent="0.2">
      <c r="A5" s="534">
        <v>2019</v>
      </c>
      <c r="B5" s="535">
        <v>108.58</v>
      </c>
      <c r="C5" s="536">
        <v>108.58</v>
      </c>
      <c r="D5" s="536">
        <v>512.99</v>
      </c>
      <c r="E5" s="536">
        <v>512.99</v>
      </c>
      <c r="F5" s="536">
        <v>66.819999999999993</v>
      </c>
      <c r="G5" s="537">
        <v>66.819999999999993</v>
      </c>
      <c r="H5" s="535">
        <v>108.58</v>
      </c>
      <c r="I5" s="537">
        <v>108.58</v>
      </c>
      <c r="J5" s="535">
        <v>512.99</v>
      </c>
      <c r="K5" s="537">
        <v>512.99</v>
      </c>
      <c r="L5" s="345">
        <f t="shared" ref="L5:L36" si="0">(J5-J$10)*$AG$6*$AG$41/100+$AG$39</f>
        <v>58.529192204582927</v>
      </c>
      <c r="M5" s="346">
        <f t="shared" ref="M5:M36" si="1">(K5-K$10)*$AG$6*$AG$41/100+$AG$39</f>
        <v>60.361529109162134</v>
      </c>
      <c r="N5" s="346">
        <f t="shared" ref="N5:N36" si="2">(J5-J$10)*$AG$6*$AG$41/100+$AG$40</f>
        <v>91.199192204582928</v>
      </c>
      <c r="O5" s="347">
        <f t="shared" ref="O5:O36" si="3">(K5-K$10)*$AG$6*$AG$41/100+$AG$40</f>
        <v>93.031529109162136</v>
      </c>
      <c r="P5" s="535">
        <v>66.819999999999993</v>
      </c>
      <c r="Q5" s="537">
        <v>66.819999999999993</v>
      </c>
      <c r="R5" s="538"/>
      <c r="S5" s="539"/>
      <c r="T5" s="345">
        <f>H5*(1-$AG$35)+$AG$32/まとめ!$B$3*$AG$35</f>
        <v>108.75847663551401</v>
      </c>
      <c r="U5" s="346">
        <f>I5*(1-$AG$35)+$AG$32/まとめ!$B$3*$AG$35</f>
        <v>108.75847663551401</v>
      </c>
      <c r="V5" s="540">
        <f>H5*0.817</f>
        <v>88.709859999999992</v>
      </c>
      <c r="W5" s="541">
        <f>I5*0.817</f>
        <v>88.709859999999992</v>
      </c>
      <c r="X5" s="542">
        <f>H5*(1-$AG$48)+$AG$49*$AG$48</f>
        <v>185.50608</v>
      </c>
      <c r="Y5" s="543">
        <f>I5*(1-$AG$48)+$AG$49*$AG$48</f>
        <v>185.50608</v>
      </c>
      <c r="Z5" s="542">
        <f>(J5/1000/AG55*(1-$AG$54)+$AG$52/1000/AG56*$AG$54)*AG57*1000</f>
        <v>650.77678397238697</v>
      </c>
      <c r="AA5" s="544">
        <f>K5*(1-$AG$54)+$AG$52*$AG$54</f>
        <v>848.69100000000003</v>
      </c>
      <c r="AB5" s="542">
        <f>AG52</f>
        <v>3870</v>
      </c>
      <c r="AC5" s="544">
        <v>3870</v>
      </c>
      <c r="AD5" s="343"/>
      <c r="AE5" s="357"/>
    </row>
    <row r="6" spans="1:33" s="358" customFormat="1" ht="15" thickBot="1" x14ac:dyDescent="0.2">
      <c r="A6" s="344">
        <v>2020</v>
      </c>
      <c r="B6" s="345">
        <v>107.41333333333333</v>
      </c>
      <c r="C6" s="346">
        <v>105.91333333333333</v>
      </c>
      <c r="D6" s="346">
        <v>505.16908802450001</v>
      </c>
      <c r="E6" s="346">
        <v>511.83523928550005</v>
      </c>
      <c r="F6" s="346">
        <v>68.153333333333322</v>
      </c>
      <c r="G6" s="347">
        <v>65.819999999999993</v>
      </c>
      <c r="H6" s="345">
        <v>107.41333333333333</v>
      </c>
      <c r="I6" s="348">
        <v>105.91333333333333</v>
      </c>
      <c r="J6" s="349">
        <v>505.16908802450001</v>
      </c>
      <c r="K6" s="347">
        <v>511.83523928550005</v>
      </c>
      <c r="L6" s="345">
        <f t="shared" si="0"/>
        <v>57.851353763666346</v>
      </c>
      <c r="M6" s="346">
        <f t="shared" si="1"/>
        <v>60.261445998036422</v>
      </c>
      <c r="N6" s="346">
        <f t="shared" si="2"/>
        <v>90.52135376366634</v>
      </c>
      <c r="O6" s="348">
        <f t="shared" si="3"/>
        <v>92.931445998036423</v>
      </c>
      <c r="P6" s="349">
        <v>68.153333333333322</v>
      </c>
      <c r="Q6" s="347">
        <v>65.819999999999993</v>
      </c>
      <c r="R6" s="345">
        <v>78.488843930019911</v>
      </c>
      <c r="S6" s="347">
        <v>78.488843930019911</v>
      </c>
      <c r="T6" s="345">
        <f>H6*(1-$AG$35)+$AG$32/まとめ!$B$3*$AG$35</f>
        <v>107.65014330218068</v>
      </c>
      <c r="U6" s="346">
        <f>I6*(1-$AG$35)+$AG$32/まとめ!$B$3*$AG$35</f>
        <v>106.22514330218067</v>
      </c>
      <c r="V6" s="540">
        <f>H6*0.817</f>
        <v>87.756693333333317</v>
      </c>
      <c r="W6" s="541">
        <f>I6*0.817</f>
        <v>86.53119333333332</v>
      </c>
      <c r="X6" s="542">
        <f>H6*(1-$AG$48)+$AG$49*$AG$48</f>
        <v>184.60074666666668</v>
      </c>
      <c r="Y6" s="543">
        <f>I6*(1-$AG$48)+$AG$49*$AG$48</f>
        <v>183.43674666666666</v>
      </c>
      <c r="Z6" s="542">
        <f>(J6/1000/AG55*(1-$AG$54)+$AG$52/1000/AG56*$AG$54)*AG57*1000</f>
        <v>643.27687738824272</v>
      </c>
      <c r="AA6" s="544">
        <f>K6*(1-$AG$54)+$AG$52*$AG$54</f>
        <v>847.65171535695004</v>
      </c>
      <c r="AB6" s="542">
        <v>3870</v>
      </c>
      <c r="AC6" s="544">
        <v>3870</v>
      </c>
      <c r="AD6" s="350"/>
      <c r="AE6" s="359"/>
      <c r="AF6" s="360" t="s">
        <v>296</v>
      </c>
      <c r="AG6" s="361">
        <f>まとめ!B3</f>
        <v>107</v>
      </c>
    </row>
    <row r="7" spans="1:33" s="358" customFormat="1" ht="15" thickBot="1" x14ac:dyDescent="0.2">
      <c r="A7" s="344">
        <f>A6+1</f>
        <v>2021</v>
      </c>
      <c r="B7" s="345">
        <v>106.24666666666667</v>
      </c>
      <c r="C7" s="346">
        <v>103.24666666666667</v>
      </c>
      <c r="D7" s="346">
        <v>497.34817604900002</v>
      </c>
      <c r="E7" s="346">
        <v>497.06240555400007</v>
      </c>
      <c r="F7" s="346">
        <v>69.486666666666665</v>
      </c>
      <c r="G7" s="347">
        <v>64.819999999999993</v>
      </c>
      <c r="H7" s="345">
        <v>106.24666666666667</v>
      </c>
      <c r="I7" s="348">
        <v>103.24666666666667</v>
      </c>
      <c r="J7" s="349">
        <v>497.34817604900002</v>
      </c>
      <c r="K7" s="347">
        <v>497.06240555400007</v>
      </c>
      <c r="L7" s="345">
        <f t="shared" si="0"/>
        <v>57.173515322749758</v>
      </c>
      <c r="M7" s="346">
        <f t="shared" si="1"/>
        <v>58.981084498527316</v>
      </c>
      <c r="N7" s="346">
        <f t="shared" si="2"/>
        <v>89.843515322749766</v>
      </c>
      <c r="O7" s="348">
        <f t="shared" si="3"/>
        <v>91.651084498527325</v>
      </c>
      <c r="P7" s="349">
        <v>69.486666666666665</v>
      </c>
      <c r="Q7" s="347">
        <v>64.819999999999993</v>
      </c>
      <c r="R7" s="345">
        <v>82.778213091932088</v>
      </c>
      <c r="S7" s="347">
        <v>82.778213091932088</v>
      </c>
      <c r="T7" s="345">
        <f>H7*(1-$AG$35)+$AG$32/まとめ!$B$3*$AG$35</f>
        <v>106.54180996884735</v>
      </c>
      <c r="U7" s="346">
        <f>I7*(1-$AG$35)+$AG$32/まとめ!$B$3*$AG$35</f>
        <v>103.69180996884735</v>
      </c>
      <c r="V7" s="545">
        <f t="shared" ref="V7:W56" si="4">H7*0.817</f>
        <v>86.80352666666667</v>
      </c>
      <c r="W7" s="546">
        <f t="shared" si="4"/>
        <v>84.352526666666662</v>
      </c>
      <c r="X7" s="542">
        <f>H7*(1-$AG$48)+$AG$49*$AG$48</f>
        <v>183.69541333333336</v>
      </c>
      <c r="Y7" s="543">
        <f t="shared" ref="Y7:Y56" si="5">I7*(1-$AG$48)+$AG$49*$AG$48</f>
        <v>181.36741333333333</v>
      </c>
      <c r="Z7" s="542">
        <f>(J7/1000/AG55*(1-$AG$54)+$AG$52/1000/AG56*$AG$54)*AG57*1000</f>
        <v>635.77697080409848</v>
      </c>
      <c r="AA7" s="544">
        <f t="shared" ref="AA7:AA56" si="6">K7*(1-$AG$54)+$AG$52*$AG$54</f>
        <v>834.35616499860009</v>
      </c>
      <c r="AB7" s="542">
        <v>3870</v>
      </c>
      <c r="AC7" s="544">
        <v>3870</v>
      </c>
      <c r="AD7" s="350"/>
    </row>
    <row r="8" spans="1:33" s="358" customFormat="1" x14ac:dyDescent="0.15">
      <c r="A8" s="344">
        <f t="shared" ref="A8:A56" si="7">A7+1</f>
        <v>2022</v>
      </c>
      <c r="B8" s="345">
        <v>105.08</v>
      </c>
      <c r="C8" s="346">
        <v>100.58</v>
      </c>
      <c r="D8" s="346">
        <v>489.52726407349996</v>
      </c>
      <c r="E8" s="346">
        <v>482.28957182250002</v>
      </c>
      <c r="F8" s="346">
        <v>70.819999999999993</v>
      </c>
      <c r="G8" s="347">
        <v>63.819999999999993</v>
      </c>
      <c r="H8" s="345">
        <v>105.08</v>
      </c>
      <c r="I8" s="348">
        <v>100.58</v>
      </c>
      <c r="J8" s="349">
        <v>489.52726407349996</v>
      </c>
      <c r="K8" s="347">
        <v>482.28957182250002</v>
      </c>
      <c r="L8" s="345">
        <f t="shared" si="0"/>
        <v>56.49567688183317</v>
      </c>
      <c r="M8" s="346">
        <f t="shared" si="1"/>
        <v>57.700722999018211</v>
      </c>
      <c r="N8" s="346">
        <f t="shared" si="2"/>
        <v>89.165676881833178</v>
      </c>
      <c r="O8" s="348">
        <f t="shared" si="3"/>
        <v>90.370722999018213</v>
      </c>
      <c r="P8" s="349">
        <v>70.819999999999993</v>
      </c>
      <c r="Q8" s="347">
        <v>63.82</v>
      </c>
      <c r="R8" s="345">
        <v>95.60660419653982</v>
      </c>
      <c r="S8" s="347">
        <v>95.60660419653982</v>
      </c>
      <c r="T8" s="345">
        <f>H8*(1-$AG$35)+$AG$32/まとめ!$B$3*$AG$35</f>
        <v>105.43347663551401</v>
      </c>
      <c r="U8" s="346">
        <f>I8*(1-$AG$35)+$AG$32/まとめ!$B$3*$AG$35</f>
        <v>101.15847663551401</v>
      </c>
      <c r="V8" s="545">
        <f t="shared" si="4"/>
        <v>85.850359999999995</v>
      </c>
      <c r="W8" s="546">
        <f t="shared" si="4"/>
        <v>82.173859999999991</v>
      </c>
      <c r="X8" s="542">
        <f t="shared" ref="X8:X55" si="8">H8*(1-$AG$48)+$AG$49*$AG$48</f>
        <v>182.79007999999999</v>
      </c>
      <c r="Y8" s="543">
        <f t="shared" si="5"/>
        <v>179.29808</v>
      </c>
      <c r="Z8" s="542">
        <f>(J8/1000/AG55*(1-$AG$54)+$AG$52/1000/AG56*$AG$54)*AG57*1000</f>
        <v>628.27706421995424</v>
      </c>
      <c r="AA8" s="544">
        <f t="shared" si="6"/>
        <v>821.06061464025004</v>
      </c>
      <c r="AB8" s="542">
        <v>3870</v>
      </c>
      <c r="AC8" s="544">
        <v>3870</v>
      </c>
      <c r="AD8" s="350"/>
      <c r="AF8" s="362" t="s">
        <v>297</v>
      </c>
      <c r="AG8" s="363" t="s">
        <v>298</v>
      </c>
    </row>
    <row r="9" spans="1:33" s="358" customFormat="1" x14ac:dyDescent="0.15">
      <c r="A9" s="344">
        <f t="shared" si="7"/>
        <v>2023</v>
      </c>
      <c r="B9" s="345">
        <v>103.91333333333333</v>
      </c>
      <c r="C9" s="346">
        <v>97.913333333333327</v>
      </c>
      <c r="D9" s="346">
        <v>481.70635209799997</v>
      </c>
      <c r="E9" s="346">
        <v>467.51673809100004</v>
      </c>
      <c r="F9" s="346">
        <v>72.153333333333322</v>
      </c>
      <c r="G9" s="347">
        <v>62.819999999999993</v>
      </c>
      <c r="H9" s="345">
        <v>103.91333333333333</v>
      </c>
      <c r="I9" s="348">
        <v>97.913333333333327</v>
      </c>
      <c r="J9" s="349">
        <v>481.70635209799997</v>
      </c>
      <c r="K9" s="347">
        <v>467.51673809100004</v>
      </c>
      <c r="L9" s="345">
        <f t="shared" si="0"/>
        <v>55.817838440916589</v>
      </c>
      <c r="M9" s="346">
        <f t="shared" si="1"/>
        <v>56.420361499509106</v>
      </c>
      <c r="N9" s="346">
        <f t="shared" si="2"/>
        <v>88.48783844091659</v>
      </c>
      <c r="O9" s="348">
        <f t="shared" si="3"/>
        <v>89.0903614995091</v>
      </c>
      <c r="P9" s="349">
        <v>72.153333333333322</v>
      </c>
      <c r="Q9" s="347">
        <v>62.819999999999993</v>
      </c>
      <c r="R9" s="345">
        <v>95.947958346495227</v>
      </c>
      <c r="S9" s="347">
        <v>95.947958346495227</v>
      </c>
      <c r="T9" s="345">
        <f>H9*(1-$AG$35)+$AG$32/まとめ!$B$3*$AG$35</f>
        <v>104.32514330218068</v>
      </c>
      <c r="U9" s="346">
        <f>I9*(1-$AG$35)+$AG$32/まとめ!$B$3*$AG$35</f>
        <v>98.625143302180675</v>
      </c>
      <c r="V9" s="545">
        <f t="shared" si="4"/>
        <v>84.89719333333332</v>
      </c>
      <c r="W9" s="546">
        <f t="shared" si="4"/>
        <v>79.995193333333319</v>
      </c>
      <c r="X9" s="542">
        <f t="shared" si="8"/>
        <v>181.88474666666667</v>
      </c>
      <c r="Y9" s="543">
        <f t="shared" si="5"/>
        <v>177.22874666666667</v>
      </c>
      <c r="Z9" s="542">
        <f>(J9/1000/AG55*(1-$AG$54)+$AG$52/1000/AG56*$AG$54)*AG57*1000</f>
        <v>620.77715763581</v>
      </c>
      <c r="AA9" s="544">
        <f t="shared" si="6"/>
        <v>807.7650642819001</v>
      </c>
      <c r="AB9" s="542">
        <v>3870</v>
      </c>
      <c r="AC9" s="544">
        <v>3870</v>
      </c>
      <c r="AD9" s="350"/>
      <c r="AF9" s="364" t="s">
        <v>273</v>
      </c>
      <c r="AG9" s="365">
        <v>8</v>
      </c>
    </row>
    <row r="10" spans="1:33" x14ac:dyDescent="0.15">
      <c r="A10" s="351">
        <f t="shared" si="7"/>
        <v>2024</v>
      </c>
      <c r="B10" s="352">
        <v>102.74666666666667</v>
      </c>
      <c r="C10" s="353">
        <v>95.24666666666667</v>
      </c>
      <c r="D10" s="353">
        <v>473.88544012249997</v>
      </c>
      <c r="E10" s="353">
        <v>452.74390435950005</v>
      </c>
      <c r="F10" s="353">
        <v>73.486666666666665</v>
      </c>
      <c r="G10" s="547">
        <v>61.819999999999993</v>
      </c>
      <c r="H10" s="352">
        <f>B10</f>
        <v>102.74666666666667</v>
      </c>
      <c r="I10" s="548">
        <f>C10</f>
        <v>95.24666666666667</v>
      </c>
      <c r="J10" s="549">
        <f>D10</f>
        <v>473.88544012249997</v>
      </c>
      <c r="K10" s="547">
        <f>E10</f>
        <v>452.74390435950005</v>
      </c>
      <c r="L10" s="352">
        <f t="shared" si="0"/>
        <v>55.14</v>
      </c>
      <c r="M10" s="353">
        <f t="shared" si="1"/>
        <v>55.14</v>
      </c>
      <c r="N10" s="353">
        <f t="shared" si="2"/>
        <v>87.81</v>
      </c>
      <c r="O10" s="548">
        <f t="shared" si="3"/>
        <v>87.81</v>
      </c>
      <c r="P10" s="549">
        <f>F10</f>
        <v>73.486666666666665</v>
      </c>
      <c r="Q10" s="547">
        <f>G10</f>
        <v>61.819999999999993</v>
      </c>
      <c r="R10" s="352">
        <f t="shared" ref="R10:R56" si="9">P10/158.987294928*$AG$6+$AG$44</f>
        <v>72.237243340697461</v>
      </c>
      <c r="S10" s="547">
        <f t="shared" ref="S10:S56" si="10">Q10/158.987294928*$AG$6+$AG$44</f>
        <v>64.385462895608057</v>
      </c>
      <c r="T10" s="352">
        <f>H10*(1-$AG$35)+$AG$32/まとめ!$B$3*$AG$35</f>
        <v>103.21680996884734</v>
      </c>
      <c r="U10" s="353">
        <f>I10*(1-$AG$35)+$AG$32/まとめ!$B$3*$AG$35</f>
        <v>96.091809968847357</v>
      </c>
      <c r="V10" s="550">
        <f t="shared" si="4"/>
        <v>83.944026666666659</v>
      </c>
      <c r="W10" s="551">
        <f>I10*0.817</f>
        <v>77.816526666666661</v>
      </c>
      <c r="X10" s="552">
        <f t="shared" si="8"/>
        <v>180.97941333333335</v>
      </c>
      <c r="Y10" s="553">
        <f t="shared" si="5"/>
        <v>175.15941333333336</v>
      </c>
      <c r="Z10" s="552">
        <f>(J10/1000/AG55*(1-$AG$54)+$AG$52/1000/AG56*$AG$54)*AG57*1000</f>
        <v>613.27725105166576</v>
      </c>
      <c r="AA10" s="554">
        <f t="shared" si="6"/>
        <v>794.46951392355004</v>
      </c>
      <c r="AB10" s="552">
        <v>3870</v>
      </c>
      <c r="AC10" s="554">
        <v>3870</v>
      </c>
      <c r="AD10" s="332"/>
      <c r="AE10" s="73"/>
      <c r="AF10" s="32" t="s">
        <v>274</v>
      </c>
      <c r="AG10" s="35">
        <v>10</v>
      </c>
    </row>
    <row r="11" spans="1:33" x14ac:dyDescent="0.15">
      <c r="A11" s="351">
        <f t="shared" si="7"/>
        <v>2025</v>
      </c>
      <c r="B11" s="352">
        <v>101.58</v>
      </c>
      <c r="C11" s="353">
        <v>92.58</v>
      </c>
      <c r="D11" s="353">
        <v>466.06452814699998</v>
      </c>
      <c r="E11" s="353">
        <v>424.35299761100003</v>
      </c>
      <c r="F11" s="353">
        <v>74.819999999999993</v>
      </c>
      <c r="G11" s="547">
        <v>60.819999999999993</v>
      </c>
      <c r="H11" s="352">
        <f t="shared" ref="H11:K15" si="11">B11+(H$16-B$16)*($A11-$A$10)/($A$16-$A$10)</f>
        <v>101.58</v>
      </c>
      <c r="I11" s="548">
        <f t="shared" si="11"/>
        <v>92.58</v>
      </c>
      <c r="J11" s="549">
        <f t="shared" si="11"/>
        <v>466.06452814699998</v>
      </c>
      <c r="K11" s="547">
        <f t="shared" si="11"/>
        <v>424.35299761100003</v>
      </c>
      <c r="L11" s="352">
        <f t="shared" si="0"/>
        <v>54.462161559083412</v>
      </c>
      <c r="M11" s="353">
        <f t="shared" si="1"/>
        <v>52.679360112107503</v>
      </c>
      <c r="N11" s="353">
        <f t="shared" si="2"/>
        <v>87.132161559083414</v>
      </c>
      <c r="O11" s="548">
        <f t="shared" si="3"/>
        <v>85.349360112107505</v>
      </c>
      <c r="P11" s="549">
        <f>F11+(P$16-F$16)*($A11-$A$10)/($A$16-$A$10)</f>
        <v>74.819999999999993</v>
      </c>
      <c r="Q11" s="547">
        <f>G11+(Q$16-G$16)*($A11-$A$10)/($A$16-$A$10)</f>
        <v>60.819999999999993</v>
      </c>
      <c r="R11" s="352">
        <f t="shared" si="9"/>
        <v>73.134589677279109</v>
      </c>
      <c r="S11" s="547">
        <f t="shared" si="10"/>
        <v>63.712453143171821</v>
      </c>
      <c r="T11" s="352">
        <f>H11*(1-$AG$35)+$AG$32/まとめ!$B$3*$AG$35</f>
        <v>102.10847663551401</v>
      </c>
      <c r="U11" s="353">
        <f>I11*(1-$AG$35)+$AG$32/まとめ!$B$3*$AG$35</f>
        <v>93.558476635514012</v>
      </c>
      <c r="V11" s="550">
        <f t="shared" si="4"/>
        <v>82.990859999999998</v>
      </c>
      <c r="W11" s="551">
        <f>I11*0.817</f>
        <v>75.637859999999989</v>
      </c>
      <c r="X11" s="552">
        <f t="shared" si="8"/>
        <v>180.07408000000001</v>
      </c>
      <c r="Y11" s="553">
        <f t="shared" si="5"/>
        <v>173.09008</v>
      </c>
      <c r="Z11" s="552">
        <f>(J11/1000/AG55*(1-$AG$54)+$AG$52/1000/AG56*$AG$54)*AG57*1000</f>
        <v>605.77734446752152</v>
      </c>
      <c r="AA11" s="554">
        <f t="shared" si="6"/>
        <v>768.91769784990004</v>
      </c>
      <c r="AB11" s="552">
        <v>3870</v>
      </c>
      <c r="AC11" s="554">
        <v>3870</v>
      </c>
      <c r="AD11" s="332"/>
      <c r="AE11" s="73"/>
      <c r="AF11" s="240" t="s">
        <v>299</v>
      </c>
      <c r="AG11" s="35">
        <v>26</v>
      </c>
    </row>
    <row r="12" spans="1:33" x14ac:dyDescent="0.15">
      <c r="A12" s="351">
        <f t="shared" si="7"/>
        <v>2026</v>
      </c>
      <c r="B12" s="352">
        <v>101.58</v>
      </c>
      <c r="C12" s="353">
        <v>90.48</v>
      </c>
      <c r="D12" s="353">
        <v>465.36933597139995</v>
      </c>
      <c r="E12" s="353">
        <v>424.70059369879999</v>
      </c>
      <c r="F12" s="353">
        <v>75.75333333333333</v>
      </c>
      <c r="G12" s="547">
        <v>60.553333333333327</v>
      </c>
      <c r="H12" s="352">
        <f t="shared" si="11"/>
        <v>101.58</v>
      </c>
      <c r="I12" s="548">
        <f t="shared" si="11"/>
        <v>90.48</v>
      </c>
      <c r="J12" s="549">
        <f t="shared" si="11"/>
        <v>465.36933597139995</v>
      </c>
      <c r="K12" s="547">
        <f t="shared" si="11"/>
        <v>424.70059369879999</v>
      </c>
      <c r="L12" s="352">
        <f t="shared" si="0"/>
        <v>54.401909253224161</v>
      </c>
      <c r="M12" s="353">
        <f t="shared" si="1"/>
        <v>52.709486265037128</v>
      </c>
      <c r="N12" s="353">
        <f t="shared" si="2"/>
        <v>87.071909253224163</v>
      </c>
      <c r="O12" s="548">
        <f t="shared" si="3"/>
        <v>85.37948626503713</v>
      </c>
      <c r="P12" s="549">
        <f t="shared" ref="P12:Q15" si="12">F12+(P$16-F$16)*($A12-$A$10)/($A$16-$A$10)</f>
        <v>75.75333333333333</v>
      </c>
      <c r="Q12" s="547">
        <f t="shared" si="12"/>
        <v>60.553333333333327</v>
      </c>
      <c r="R12" s="352">
        <f t="shared" si="9"/>
        <v>73.762732112886269</v>
      </c>
      <c r="S12" s="547">
        <f t="shared" si="10"/>
        <v>63.532983875855493</v>
      </c>
      <c r="T12" s="352">
        <f>H12*(1-$AG$35)+$AG$32/まとめ!$B$3*$AG$35</f>
        <v>102.10847663551401</v>
      </c>
      <c r="U12" s="353">
        <f>I12*(1-$AG$35)+$AG$32/まとめ!$B$3*$AG$35</f>
        <v>91.563476635514021</v>
      </c>
      <c r="V12" s="550">
        <f t="shared" si="4"/>
        <v>82.990859999999998</v>
      </c>
      <c r="W12" s="551">
        <f t="shared" si="4"/>
        <v>73.922160000000005</v>
      </c>
      <c r="X12" s="552">
        <f t="shared" si="8"/>
        <v>180.07408000000001</v>
      </c>
      <c r="Y12" s="553">
        <f t="shared" si="5"/>
        <v>171.46048000000002</v>
      </c>
      <c r="Z12" s="552">
        <f>(J12/1000/AG55*(1-$AG$54)+$AG$52/1000/AG56*$AG$54)*AG57*1000</f>
        <v>605.1106861044866</v>
      </c>
      <c r="AA12" s="554">
        <f t="shared" si="6"/>
        <v>769.23053432891993</v>
      </c>
      <c r="AB12" s="552">
        <v>3870</v>
      </c>
      <c r="AC12" s="554">
        <v>3870</v>
      </c>
      <c r="AD12" s="332"/>
      <c r="AE12" s="73"/>
      <c r="AF12" s="240" t="s">
        <v>300</v>
      </c>
      <c r="AG12" s="35">
        <v>28</v>
      </c>
    </row>
    <row r="13" spans="1:33" x14ac:dyDescent="0.15">
      <c r="A13" s="351">
        <f t="shared" si="7"/>
        <v>2027</v>
      </c>
      <c r="B13" s="352">
        <v>101.58</v>
      </c>
      <c r="C13" s="353">
        <v>90.13</v>
      </c>
      <c r="D13" s="353">
        <v>464.67414379579992</v>
      </c>
      <c r="E13" s="353">
        <v>425.04818978660006</v>
      </c>
      <c r="F13" s="353">
        <v>76.686666666666653</v>
      </c>
      <c r="G13" s="547">
        <v>60.286666666666662</v>
      </c>
      <c r="H13" s="352">
        <f>B13+(H$16-B$16)*($A13-$A$10)/($A$16-$A$10)</f>
        <v>101.58</v>
      </c>
      <c r="I13" s="548">
        <f t="shared" si="11"/>
        <v>90.13</v>
      </c>
      <c r="J13" s="549">
        <f t="shared" si="11"/>
        <v>464.67414379579992</v>
      </c>
      <c r="K13" s="547">
        <f t="shared" si="11"/>
        <v>425.04818978660006</v>
      </c>
      <c r="L13" s="352">
        <f t="shared" si="0"/>
        <v>54.34165694736491</v>
      </c>
      <c r="M13" s="353">
        <f t="shared" si="1"/>
        <v>52.739612417966761</v>
      </c>
      <c r="N13" s="353">
        <f t="shared" si="2"/>
        <v>87.011656947364912</v>
      </c>
      <c r="O13" s="548">
        <f t="shared" si="3"/>
        <v>85.409612417966756</v>
      </c>
      <c r="P13" s="549">
        <f t="shared" si="12"/>
        <v>76.686666666666653</v>
      </c>
      <c r="Q13" s="547">
        <f t="shared" si="12"/>
        <v>60.286666666666662</v>
      </c>
      <c r="R13" s="352">
        <f t="shared" si="9"/>
        <v>74.390874548493414</v>
      </c>
      <c r="S13" s="547">
        <f t="shared" si="10"/>
        <v>63.353514608539164</v>
      </c>
      <c r="T13" s="352">
        <f>H13*(1-$AG$35)+$AG$32/まとめ!$B$3*$AG$35</f>
        <v>102.10847663551401</v>
      </c>
      <c r="U13" s="353">
        <f>I13*(1-$AG$35)+$AG$32/まとめ!$B$3*$AG$35</f>
        <v>91.230976635514011</v>
      </c>
      <c r="V13" s="550">
        <f t="shared" si="4"/>
        <v>82.990859999999998</v>
      </c>
      <c r="W13" s="551">
        <f t="shared" si="4"/>
        <v>73.636209999999991</v>
      </c>
      <c r="X13" s="552">
        <f t="shared" si="8"/>
        <v>180.07408000000001</v>
      </c>
      <c r="Y13" s="553">
        <f t="shared" si="5"/>
        <v>171.18887999999998</v>
      </c>
      <c r="Z13" s="552">
        <f>(J13/1000/AG55*(1-$AG$54)+$AG$52/1000/AG56*$AG$54)*AG57*1000</f>
        <v>604.44402774145135</v>
      </c>
      <c r="AA13" s="554">
        <f t="shared" si="6"/>
        <v>769.54337080794005</v>
      </c>
      <c r="AB13" s="552">
        <v>3870</v>
      </c>
      <c r="AC13" s="554">
        <v>3870</v>
      </c>
      <c r="AD13" s="332"/>
      <c r="AE13" s="73"/>
      <c r="AF13" s="240" t="s">
        <v>301</v>
      </c>
      <c r="AG13" s="35">
        <v>24</v>
      </c>
    </row>
    <row r="14" spans="1:33" x14ac:dyDescent="0.15">
      <c r="A14" s="351">
        <f t="shared" si="7"/>
        <v>2028</v>
      </c>
      <c r="B14" s="352">
        <v>101.58</v>
      </c>
      <c r="C14" s="353">
        <v>89.78</v>
      </c>
      <c r="D14" s="353">
        <v>463.97895162020001</v>
      </c>
      <c r="E14" s="353">
        <v>425.39578587440002</v>
      </c>
      <c r="F14" s="353">
        <v>77.61999999999999</v>
      </c>
      <c r="G14" s="547">
        <v>60.019999999999996</v>
      </c>
      <c r="H14" s="352">
        <f t="shared" si="11"/>
        <v>101.58</v>
      </c>
      <c r="I14" s="548">
        <f t="shared" si="11"/>
        <v>89.78</v>
      </c>
      <c r="J14" s="549">
        <f t="shared" si="11"/>
        <v>463.97895162020001</v>
      </c>
      <c r="K14" s="547">
        <f t="shared" si="11"/>
        <v>425.39578587440002</v>
      </c>
      <c r="L14" s="352">
        <f t="shared" si="0"/>
        <v>54.281404641505659</v>
      </c>
      <c r="M14" s="353">
        <f t="shared" si="1"/>
        <v>52.769738570896379</v>
      </c>
      <c r="N14" s="353">
        <f t="shared" si="2"/>
        <v>86.951404641505661</v>
      </c>
      <c r="O14" s="548">
        <f t="shared" si="3"/>
        <v>85.439738570896381</v>
      </c>
      <c r="P14" s="549">
        <f t="shared" si="12"/>
        <v>77.61999999999999</v>
      </c>
      <c r="Q14" s="547">
        <f t="shared" si="12"/>
        <v>60.019999999999996</v>
      </c>
      <c r="R14" s="352">
        <f t="shared" si="9"/>
        <v>75.019016984100574</v>
      </c>
      <c r="S14" s="547">
        <f t="shared" si="10"/>
        <v>63.174045341222836</v>
      </c>
      <c r="T14" s="352">
        <f>H14*(1-$AG$35)+$AG$32/まとめ!$B$3*$AG$35</f>
        <v>102.10847663551401</v>
      </c>
      <c r="U14" s="353">
        <f>I14*(1-$AG$35)+$AG$32/まとめ!$B$3*$AG$35</f>
        <v>90.898476635514015</v>
      </c>
      <c r="V14" s="550">
        <f t="shared" si="4"/>
        <v>82.990859999999998</v>
      </c>
      <c r="W14" s="551">
        <f t="shared" si="4"/>
        <v>73.350259999999992</v>
      </c>
      <c r="X14" s="552">
        <f t="shared" si="8"/>
        <v>180.07408000000001</v>
      </c>
      <c r="Y14" s="553">
        <f t="shared" si="5"/>
        <v>170.91728000000001</v>
      </c>
      <c r="Z14" s="552">
        <f>(J14/1000/AG55*(1-$AG$54)+$AG$52/1000/AG56*$AG$54)*AG57*1000</f>
        <v>603.77736937841655</v>
      </c>
      <c r="AA14" s="554">
        <f t="shared" si="6"/>
        <v>769.85620728695994</v>
      </c>
      <c r="AB14" s="552">
        <v>3870</v>
      </c>
      <c r="AC14" s="554">
        <v>3870</v>
      </c>
      <c r="AD14" s="332"/>
      <c r="AE14" s="73"/>
      <c r="AF14" s="32" t="s">
        <v>275</v>
      </c>
      <c r="AG14" s="35">
        <v>16</v>
      </c>
    </row>
    <row r="15" spans="1:33" x14ac:dyDescent="0.15">
      <c r="A15" s="351">
        <f t="shared" si="7"/>
        <v>2029</v>
      </c>
      <c r="B15" s="352">
        <v>101.58</v>
      </c>
      <c r="C15" s="353">
        <v>89.429999999999993</v>
      </c>
      <c r="D15" s="353">
        <v>463.28375944459998</v>
      </c>
      <c r="E15" s="353">
        <v>425.74338196220003</v>
      </c>
      <c r="F15" s="353">
        <v>78.553333333333327</v>
      </c>
      <c r="G15" s="547">
        <v>59.753333333333323</v>
      </c>
      <c r="H15" s="352">
        <f t="shared" si="11"/>
        <v>101.58</v>
      </c>
      <c r="I15" s="548">
        <f t="shared" si="11"/>
        <v>89.429999999999993</v>
      </c>
      <c r="J15" s="549">
        <f t="shared" si="11"/>
        <v>463.28375944459998</v>
      </c>
      <c r="K15" s="547">
        <f t="shared" si="11"/>
        <v>425.74338196220003</v>
      </c>
      <c r="L15" s="352">
        <f t="shared" si="0"/>
        <v>54.221152335646408</v>
      </c>
      <c r="M15" s="353">
        <f t="shared" si="1"/>
        <v>52.799864723826005</v>
      </c>
      <c r="N15" s="353">
        <f t="shared" si="2"/>
        <v>86.89115233564641</v>
      </c>
      <c r="O15" s="548">
        <f t="shared" si="3"/>
        <v>85.469864723826007</v>
      </c>
      <c r="P15" s="549">
        <f t="shared" si="12"/>
        <v>78.553333333333327</v>
      </c>
      <c r="Q15" s="547">
        <f t="shared" si="12"/>
        <v>59.753333333333323</v>
      </c>
      <c r="R15" s="352">
        <f t="shared" si="9"/>
        <v>75.64715941970772</v>
      </c>
      <c r="S15" s="547">
        <f t="shared" si="10"/>
        <v>62.994576073906501</v>
      </c>
      <c r="T15" s="352">
        <f>H15*(1-$AG$35)+$AG$32/まとめ!$B$3*$AG$35</f>
        <v>102.10847663551401</v>
      </c>
      <c r="U15" s="353">
        <f>I15*(1-$AG$35)+$AG$32/まとめ!$B$3*$AG$35</f>
        <v>90.565976635514005</v>
      </c>
      <c r="V15" s="550">
        <f t="shared" si="4"/>
        <v>82.990859999999998</v>
      </c>
      <c r="W15" s="551">
        <f t="shared" si="4"/>
        <v>73.064309999999992</v>
      </c>
      <c r="X15" s="552">
        <f t="shared" si="8"/>
        <v>180.07408000000001</v>
      </c>
      <c r="Y15" s="553">
        <f t="shared" si="5"/>
        <v>170.64568</v>
      </c>
      <c r="Z15" s="552">
        <f>(J15/1000/AG55*(1-$AG$54)+$AG$52/1000/AG56*$AG$54)*AG57*1000</f>
        <v>603.11071101538141</v>
      </c>
      <c r="AA15" s="554">
        <f t="shared" si="6"/>
        <v>770.16904376598006</v>
      </c>
      <c r="AB15" s="552">
        <v>3870</v>
      </c>
      <c r="AC15" s="554">
        <v>3870</v>
      </c>
      <c r="AD15" s="332"/>
      <c r="AE15" s="73"/>
      <c r="AF15" s="138" t="s">
        <v>302</v>
      </c>
      <c r="AG15" s="35">
        <v>10</v>
      </c>
    </row>
    <row r="16" spans="1:33" s="73" customFormat="1" x14ac:dyDescent="0.15">
      <c r="A16" s="351">
        <f t="shared" si="7"/>
        <v>2030</v>
      </c>
      <c r="B16" s="352">
        <v>101.58</v>
      </c>
      <c r="C16" s="353">
        <v>89.08</v>
      </c>
      <c r="D16" s="353">
        <v>462.58856726899995</v>
      </c>
      <c r="E16" s="353">
        <v>426.09097804999999</v>
      </c>
      <c r="F16" s="353">
        <v>79.486666666666665</v>
      </c>
      <c r="G16" s="547">
        <v>59.486666666666657</v>
      </c>
      <c r="H16" s="352">
        <f>B16*(1+$AG$46)</f>
        <v>101.58</v>
      </c>
      <c r="I16" s="548">
        <f>C16*(1+$AG$46)</f>
        <v>89.08</v>
      </c>
      <c r="J16" s="549">
        <f>D16*(1+$AG$46)</f>
        <v>462.58856726899995</v>
      </c>
      <c r="K16" s="547">
        <f>E16*(1+$AG$46)</f>
        <v>426.09097804999999</v>
      </c>
      <c r="L16" s="352">
        <f t="shared" si="0"/>
        <v>54.16090002978715</v>
      </c>
      <c r="M16" s="353">
        <f t="shared" si="1"/>
        <v>52.82999087675563</v>
      </c>
      <c r="N16" s="353">
        <f t="shared" si="2"/>
        <v>86.830900029787159</v>
      </c>
      <c r="O16" s="548">
        <f t="shared" si="3"/>
        <v>85.499990876755632</v>
      </c>
      <c r="P16" s="549">
        <f>F16*(1+$AG$46)</f>
        <v>79.486666666666665</v>
      </c>
      <c r="Q16" s="547">
        <f>G16*(1+$AG$46)</f>
        <v>59.486666666666657</v>
      </c>
      <c r="R16" s="352">
        <f t="shared" si="9"/>
        <v>76.275301855314879</v>
      </c>
      <c r="S16" s="547">
        <f t="shared" si="10"/>
        <v>62.815106806590173</v>
      </c>
      <c r="T16" s="352">
        <f>H16*(1-$AG$35)+$AG$32/まとめ!$B$3*$AG$35</f>
        <v>102.10847663551401</v>
      </c>
      <c r="U16" s="353">
        <f>I16*(1-$AG$35)+$AG$32/まとめ!$B$3*$AG$35</f>
        <v>90.233476635514009</v>
      </c>
      <c r="V16" s="550">
        <f t="shared" si="4"/>
        <v>82.990859999999998</v>
      </c>
      <c r="W16" s="551">
        <f>I16*0.817</f>
        <v>72.778359999999992</v>
      </c>
      <c r="X16" s="552">
        <f t="shared" si="8"/>
        <v>180.07408000000001</v>
      </c>
      <c r="Y16" s="553">
        <f t="shared" si="5"/>
        <v>170.37407999999999</v>
      </c>
      <c r="Z16" s="552">
        <f>(J16/1000/AG55*(1-$AG$54)+$AG$52/1000/AG56*$AG$54)*AG57*1000</f>
        <v>602.44405265234639</v>
      </c>
      <c r="AA16" s="554">
        <f t="shared" si="6"/>
        <v>770.48188024499996</v>
      </c>
      <c r="AB16" s="552">
        <v>3870</v>
      </c>
      <c r="AC16" s="554">
        <v>3870</v>
      </c>
      <c r="AD16" s="332"/>
      <c r="AF16" s="325" t="s">
        <v>303</v>
      </c>
      <c r="AG16" s="326">
        <v>12</v>
      </c>
    </row>
    <row r="17" spans="1:33" x14ac:dyDescent="0.15">
      <c r="A17" s="351">
        <f t="shared" si="7"/>
        <v>2031</v>
      </c>
      <c r="B17" s="352">
        <v>101.58</v>
      </c>
      <c r="C17" s="353">
        <v>88.73</v>
      </c>
      <c r="D17" s="353">
        <v>461.89337509339998</v>
      </c>
      <c r="E17" s="353">
        <v>426.43857413779995</v>
      </c>
      <c r="F17" s="353">
        <v>80.419999999999987</v>
      </c>
      <c r="G17" s="547">
        <v>59.219999999999992</v>
      </c>
      <c r="H17" s="352">
        <f>B17+H$16-B$16</f>
        <v>101.58</v>
      </c>
      <c r="I17" s="548">
        <f>C17+I$16-C$16</f>
        <v>88.73</v>
      </c>
      <c r="J17" s="549">
        <f t="shared" ref="J17:K32" si="13">D17+J$16-D$16</f>
        <v>461.89337509339992</v>
      </c>
      <c r="K17" s="547">
        <f t="shared" si="13"/>
        <v>426.43857413779995</v>
      </c>
      <c r="L17" s="352">
        <f t="shared" si="0"/>
        <v>54.100647723927899</v>
      </c>
      <c r="M17" s="353">
        <f t="shared" si="1"/>
        <v>52.860117029685256</v>
      </c>
      <c r="N17" s="353">
        <f t="shared" si="2"/>
        <v>86.770647723927908</v>
      </c>
      <c r="O17" s="548">
        <f t="shared" si="3"/>
        <v>85.530117029685258</v>
      </c>
      <c r="P17" s="549">
        <f>F17+P$16-F$16</f>
        <v>80.419999999999973</v>
      </c>
      <c r="Q17" s="547">
        <f>G17+Q$16-G$16</f>
        <v>59.219999999999992</v>
      </c>
      <c r="R17" s="352">
        <f t="shared" si="9"/>
        <v>76.90344429092201</v>
      </c>
      <c r="S17" s="547">
        <f t="shared" si="10"/>
        <v>62.635637539273844</v>
      </c>
      <c r="T17" s="352">
        <f>H17*(1-$AG$35)+$AG$32/まとめ!$B$3*$AG$35</f>
        <v>102.10847663551401</v>
      </c>
      <c r="U17" s="353">
        <f>I17*(1-$AG$35)+$AG$32/まとめ!$B$3*$AG$35</f>
        <v>89.900976635514013</v>
      </c>
      <c r="V17" s="550">
        <f t="shared" si="4"/>
        <v>82.990859999999998</v>
      </c>
      <c r="W17" s="551">
        <f t="shared" si="4"/>
        <v>72.492409999999992</v>
      </c>
      <c r="X17" s="552">
        <f t="shared" si="8"/>
        <v>180.07408000000001</v>
      </c>
      <c r="Y17" s="553">
        <f t="shared" si="5"/>
        <v>170.10248000000001</v>
      </c>
      <c r="Z17" s="552">
        <f>(J17/1000/AG55*(1-$AG$54)+$AG$52/1000/AG56*$AG$54)*AG57*1000</f>
        <v>601.77739428931136</v>
      </c>
      <c r="AA17" s="554">
        <f t="shared" si="6"/>
        <v>770.79471672401996</v>
      </c>
      <c r="AB17" s="552">
        <v>3870</v>
      </c>
      <c r="AC17" s="554">
        <v>3870</v>
      </c>
      <c r="AD17" s="332"/>
      <c r="AE17" s="73"/>
      <c r="AF17" s="627" t="s">
        <v>710</v>
      </c>
      <c r="AG17" s="628">
        <v>16</v>
      </c>
    </row>
    <row r="18" spans="1:33" x14ac:dyDescent="0.15">
      <c r="A18" s="351">
        <f t="shared" si="7"/>
        <v>2032</v>
      </c>
      <c r="B18" s="352">
        <v>101.58</v>
      </c>
      <c r="C18" s="353">
        <v>88.38</v>
      </c>
      <c r="D18" s="353">
        <v>461.19818291779995</v>
      </c>
      <c r="E18" s="353">
        <v>426.78617022560002</v>
      </c>
      <c r="F18" s="353">
        <v>81.353333333333325</v>
      </c>
      <c r="G18" s="547">
        <v>58.953333333333326</v>
      </c>
      <c r="H18" s="352">
        <f t="shared" ref="H18:I56" si="14">B18+H$16-B$16</f>
        <v>101.58</v>
      </c>
      <c r="I18" s="548">
        <f t="shared" si="14"/>
        <v>88.379999999999981</v>
      </c>
      <c r="J18" s="549">
        <f t="shared" si="13"/>
        <v>461.19818291780001</v>
      </c>
      <c r="K18" s="547">
        <f t="shared" si="13"/>
        <v>426.78617022560002</v>
      </c>
      <c r="L18" s="352">
        <f t="shared" si="0"/>
        <v>54.040395418068655</v>
      </c>
      <c r="M18" s="353">
        <f t="shared" si="1"/>
        <v>52.890243182614881</v>
      </c>
      <c r="N18" s="353">
        <f t="shared" si="2"/>
        <v>86.710395418068657</v>
      </c>
      <c r="O18" s="548">
        <f t="shared" si="3"/>
        <v>85.560243182614883</v>
      </c>
      <c r="P18" s="549">
        <f t="shared" ref="P18:Q56" si="15">F18+P$16-F$16</f>
        <v>81.35333333333331</v>
      </c>
      <c r="Q18" s="547">
        <f t="shared" si="15"/>
        <v>58.953333333333326</v>
      </c>
      <c r="R18" s="352">
        <f t="shared" si="9"/>
        <v>77.531586726529184</v>
      </c>
      <c r="S18" s="547">
        <f t="shared" si="10"/>
        <v>62.456168271957516</v>
      </c>
      <c r="T18" s="352">
        <f>H18*(1-$AG$35)+$AG$32/まとめ!$B$3*$AG$35</f>
        <v>102.10847663551401</v>
      </c>
      <c r="U18" s="353">
        <f>I18*(1-$AG$35)+$AG$32/まとめ!$B$3*$AG$35</f>
        <v>89.568476635514003</v>
      </c>
      <c r="V18" s="550">
        <f t="shared" si="4"/>
        <v>82.990859999999998</v>
      </c>
      <c r="W18" s="551">
        <f t="shared" si="4"/>
        <v>72.206459999999979</v>
      </c>
      <c r="X18" s="552">
        <f t="shared" si="8"/>
        <v>180.07408000000001</v>
      </c>
      <c r="Y18" s="553">
        <f t="shared" si="5"/>
        <v>169.83087999999998</v>
      </c>
      <c r="Z18" s="552">
        <f>(J8/1000/AG55*(1-$AG$54)+$AG$52/1000/AG56*$AG$54)*AG57*1000</f>
        <v>628.27706421995424</v>
      </c>
      <c r="AA18" s="554">
        <f t="shared" si="6"/>
        <v>771.10755320303997</v>
      </c>
      <c r="AB18" s="552">
        <v>3870</v>
      </c>
      <c r="AC18" s="554">
        <v>3870</v>
      </c>
      <c r="AD18" s="332"/>
      <c r="AE18" s="73"/>
      <c r="AF18" s="627" t="s">
        <v>304</v>
      </c>
      <c r="AG18" s="628">
        <v>18</v>
      </c>
    </row>
    <row r="19" spans="1:33" x14ac:dyDescent="0.15">
      <c r="A19" s="351">
        <f t="shared" si="7"/>
        <v>2033</v>
      </c>
      <c r="B19" s="352">
        <v>101.58</v>
      </c>
      <c r="C19" s="353">
        <v>88.03</v>
      </c>
      <c r="D19" s="353">
        <v>460.50299074220004</v>
      </c>
      <c r="E19" s="353">
        <v>427.13376631339997</v>
      </c>
      <c r="F19" s="353">
        <v>82.286666666666662</v>
      </c>
      <c r="G19" s="547">
        <v>58.68666666666666</v>
      </c>
      <c r="H19" s="352">
        <f t="shared" si="14"/>
        <v>101.58</v>
      </c>
      <c r="I19" s="548">
        <f t="shared" si="14"/>
        <v>88.030000000000015</v>
      </c>
      <c r="J19" s="549">
        <f t="shared" si="13"/>
        <v>460.5029907422001</v>
      </c>
      <c r="K19" s="547">
        <f t="shared" si="13"/>
        <v>427.13376631339997</v>
      </c>
      <c r="L19" s="352">
        <f t="shared" si="0"/>
        <v>53.980143112209412</v>
      </c>
      <c r="M19" s="353">
        <f t="shared" si="1"/>
        <v>52.920369335544507</v>
      </c>
      <c r="N19" s="353">
        <f t="shared" si="2"/>
        <v>86.650143112209406</v>
      </c>
      <c r="O19" s="548">
        <f t="shared" si="3"/>
        <v>85.590369335544509</v>
      </c>
      <c r="P19" s="549">
        <f t="shared" si="15"/>
        <v>82.286666666666648</v>
      </c>
      <c r="Q19" s="547">
        <f t="shared" si="15"/>
        <v>58.68666666666666</v>
      </c>
      <c r="R19" s="352">
        <f t="shared" si="9"/>
        <v>78.15972916213633</v>
      </c>
      <c r="S19" s="547">
        <f t="shared" si="10"/>
        <v>62.276699004641188</v>
      </c>
      <c r="T19" s="352">
        <f>H19*(1-$AG$35)+$AG$32/まとめ!$B$3*$AG$35</f>
        <v>102.10847663551401</v>
      </c>
      <c r="U19" s="353">
        <f>I19*(1-$AG$35)+$AG$32/まとめ!$B$3*$AG$35</f>
        <v>89.235976635514035</v>
      </c>
      <c r="V19" s="550">
        <f t="shared" si="4"/>
        <v>82.990859999999998</v>
      </c>
      <c r="W19" s="551">
        <f t="shared" si="4"/>
        <v>71.920510000000007</v>
      </c>
      <c r="X19" s="552">
        <f t="shared" si="8"/>
        <v>180.07408000000001</v>
      </c>
      <c r="Y19" s="553">
        <f t="shared" si="5"/>
        <v>169.55928</v>
      </c>
      <c r="Z19" s="552">
        <f>(J19/1000/AG55*(1-$AG$54)+$AG$52/1000/AG56*$AG$54)*AG57*1000</f>
        <v>600.44407756324131</v>
      </c>
      <c r="AA19" s="554">
        <f t="shared" si="6"/>
        <v>771.42038968205998</v>
      </c>
      <c r="AB19" s="552">
        <v>3870</v>
      </c>
      <c r="AC19" s="554">
        <v>3870</v>
      </c>
      <c r="AD19" s="332"/>
      <c r="AE19" s="73"/>
      <c r="AF19" s="629" t="s">
        <v>305</v>
      </c>
      <c r="AG19" s="630">
        <v>20</v>
      </c>
    </row>
    <row r="20" spans="1:33" x14ac:dyDescent="0.15">
      <c r="A20" s="351">
        <f t="shared" si="7"/>
        <v>2034</v>
      </c>
      <c r="B20" s="352">
        <v>101.58</v>
      </c>
      <c r="C20" s="353">
        <v>87.68</v>
      </c>
      <c r="D20" s="353">
        <v>459.80779856660001</v>
      </c>
      <c r="E20" s="353">
        <v>427.48136240120004</v>
      </c>
      <c r="F20" s="353">
        <v>83.22</v>
      </c>
      <c r="G20" s="547">
        <v>58.419999999999995</v>
      </c>
      <c r="H20" s="352">
        <f t="shared" si="14"/>
        <v>101.58</v>
      </c>
      <c r="I20" s="548">
        <f t="shared" si="14"/>
        <v>87.679999999999993</v>
      </c>
      <c r="J20" s="549">
        <f t="shared" si="13"/>
        <v>459.80779856659996</v>
      </c>
      <c r="K20" s="547">
        <f t="shared" si="13"/>
        <v>427.48136240120004</v>
      </c>
      <c r="L20" s="352">
        <f t="shared" si="0"/>
        <v>53.919890806350146</v>
      </c>
      <c r="M20" s="353">
        <f t="shared" si="1"/>
        <v>52.950495488474139</v>
      </c>
      <c r="N20" s="353">
        <f t="shared" si="2"/>
        <v>86.589890806350141</v>
      </c>
      <c r="O20" s="548">
        <f t="shared" si="3"/>
        <v>85.620495488474134</v>
      </c>
      <c r="P20" s="549">
        <f t="shared" si="15"/>
        <v>83.219999999999985</v>
      </c>
      <c r="Q20" s="547">
        <f t="shared" si="15"/>
        <v>58.419999999999995</v>
      </c>
      <c r="R20" s="352">
        <f t="shared" si="9"/>
        <v>78.787871597743489</v>
      </c>
      <c r="S20" s="547">
        <f t="shared" si="10"/>
        <v>62.097229737324859</v>
      </c>
      <c r="T20" s="352">
        <f>H20*(1-$AG$35)+$AG$32/まとめ!$B$3*$AG$35</f>
        <v>102.10847663551401</v>
      </c>
      <c r="U20" s="353">
        <f>I20*(1-$AG$35)+$AG$32/まとめ!$B$3*$AG$35</f>
        <v>88.903476635514011</v>
      </c>
      <c r="V20" s="550">
        <f t="shared" si="4"/>
        <v>82.990859999999998</v>
      </c>
      <c r="W20" s="551">
        <f t="shared" si="4"/>
        <v>71.634559999999993</v>
      </c>
      <c r="X20" s="552">
        <f t="shared" si="8"/>
        <v>180.07408000000001</v>
      </c>
      <c r="Y20" s="553">
        <f t="shared" si="5"/>
        <v>169.28767999999999</v>
      </c>
      <c r="Z20" s="552">
        <f>(J20/1000/AG55*(1-$AG$54)+$AG$52/1000/AG56*$AG$54)*AG57*1000</f>
        <v>599.77741920020617</v>
      </c>
      <c r="AA20" s="554">
        <f t="shared" si="6"/>
        <v>771.73322616107998</v>
      </c>
      <c r="AB20" s="552">
        <v>3870</v>
      </c>
      <c r="AC20" s="554">
        <v>3870</v>
      </c>
      <c r="AD20" s="332"/>
      <c r="AE20" s="73"/>
      <c r="AF20" s="631" t="s">
        <v>711</v>
      </c>
      <c r="AG20" s="630">
        <v>10</v>
      </c>
    </row>
    <row r="21" spans="1:33" ht="15" thickBot="1" x14ac:dyDescent="0.2">
      <c r="A21" s="351">
        <f t="shared" si="7"/>
        <v>2035</v>
      </c>
      <c r="B21" s="352">
        <v>101.58</v>
      </c>
      <c r="C21" s="353">
        <v>87.33</v>
      </c>
      <c r="D21" s="353">
        <v>459.11260639099999</v>
      </c>
      <c r="E21" s="353">
        <v>427.828958489</v>
      </c>
      <c r="F21" s="353">
        <v>84.153333333333322</v>
      </c>
      <c r="G21" s="547">
        <v>58.153333333333329</v>
      </c>
      <c r="H21" s="352">
        <f t="shared" si="14"/>
        <v>101.58</v>
      </c>
      <c r="I21" s="548">
        <f t="shared" si="14"/>
        <v>87.33</v>
      </c>
      <c r="J21" s="549">
        <f t="shared" si="13"/>
        <v>459.11260639100004</v>
      </c>
      <c r="K21" s="547">
        <f t="shared" si="13"/>
        <v>427.828958489</v>
      </c>
      <c r="L21" s="352">
        <f t="shared" si="0"/>
        <v>53.859638500490902</v>
      </c>
      <c r="M21" s="353">
        <f t="shared" si="1"/>
        <v>52.980621641403758</v>
      </c>
      <c r="N21" s="353">
        <f t="shared" si="2"/>
        <v>86.529638500490904</v>
      </c>
      <c r="O21" s="548">
        <f t="shared" si="3"/>
        <v>85.65062164140376</v>
      </c>
      <c r="P21" s="549">
        <f t="shared" si="15"/>
        <v>84.153333333333322</v>
      </c>
      <c r="Q21" s="547">
        <f t="shared" si="15"/>
        <v>58.153333333333329</v>
      </c>
      <c r="R21" s="352">
        <f t="shared" si="9"/>
        <v>79.416014033350635</v>
      </c>
      <c r="S21" s="547">
        <f t="shared" si="10"/>
        <v>61.917760470008531</v>
      </c>
      <c r="T21" s="352">
        <f>H21*(1-$AG$35)+$AG$32/まとめ!$B$3*$AG$35</f>
        <v>102.10847663551401</v>
      </c>
      <c r="U21" s="353">
        <f>I21*(1-$AG$35)+$AG$32/まとめ!$B$3*$AG$35</f>
        <v>88.570976635514015</v>
      </c>
      <c r="V21" s="550">
        <f t="shared" si="4"/>
        <v>82.990859999999998</v>
      </c>
      <c r="W21" s="551">
        <f t="shared" si="4"/>
        <v>71.348609999999994</v>
      </c>
      <c r="X21" s="552">
        <f t="shared" si="8"/>
        <v>180.07408000000001</v>
      </c>
      <c r="Y21" s="553">
        <f t="shared" si="5"/>
        <v>169.01607999999999</v>
      </c>
      <c r="Z21" s="552">
        <f>(J21/1000/AG55*(1-$AG$54)+$AG$52/1000/AG56*$AG$54)*AG57*1000</f>
        <v>599.11076083717114</v>
      </c>
      <c r="AA21" s="554">
        <f t="shared" si="6"/>
        <v>772.04606264009999</v>
      </c>
      <c r="AB21" s="552">
        <v>3870</v>
      </c>
      <c r="AC21" s="554">
        <v>3870</v>
      </c>
      <c r="AD21" s="332"/>
      <c r="AE21" s="73"/>
      <c r="AF21" s="632" t="s">
        <v>306</v>
      </c>
      <c r="AG21" s="633">
        <v>14</v>
      </c>
    </row>
    <row r="22" spans="1:33" x14ac:dyDescent="0.15">
      <c r="A22" s="351">
        <f t="shared" si="7"/>
        <v>2036</v>
      </c>
      <c r="B22" s="352">
        <v>101.58</v>
      </c>
      <c r="C22" s="353">
        <v>86.97999999999999</v>
      </c>
      <c r="D22" s="353">
        <v>458.41741421539996</v>
      </c>
      <c r="E22" s="353">
        <v>428.17655457679996</v>
      </c>
      <c r="F22" s="353">
        <v>85.086666666666659</v>
      </c>
      <c r="G22" s="547">
        <v>57.886666666666663</v>
      </c>
      <c r="H22" s="352">
        <f t="shared" si="14"/>
        <v>101.58</v>
      </c>
      <c r="I22" s="548">
        <f t="shared" si="14"/>
        <v>86.98</v>
      </c>
      <c r="J22" s="549">
        <f t="shared" si="13"/>
        <v>458.4174142153999</v>
      </c>
      <c r="K22" s="547">
        <f t="shared" si="13"/>
        <v>428.17655457679996</v>
      </c>
      <c r="L22" s="352">
        <f t="shared" si="0"/>
        <v>53.799386194631637</v>
      </c>
      <c r="M22" s="353">
        <f t="shared" si="1"/>
        <v>53.010747794333383</v>
      </c>
      <c r="N22" s="353">
        <f t="shared" si="2"/>
        <v>86.469386194631639</v>
      </c>
      <c r="O22" s="548">
        <f t="shared" si="3"/>
        <v>85.680747794333385</v>
      </c>
      <c r="P22" s="549">
        <f t="shared" si="15"/>
        <v>85.086666666666659</v>
      </c>
      <c r="Q22" s="547">
        <f t="shared" si="15"/>
        <v>57.886666666666663</v>
      </c>
      <c r="R22" s="352">
        <f t="shared" si="9"/>
        <v>80.044156468957794</v>
      </c>
      <c r="S22" s="547">
        <f t="shared" si="10"/>
        <v>61.738291202692203</v>
      </c>
      <c r="T22" s="352">
        <f>H22*(1-$AG$35)+$AG$32/まとめ!$B$3*$AG$35</f>
        <v>102.10847663551401</v>
      </c>
      <c r="U22" s="353">
        <f>I22*(1-$AG$35)+$AG$32/まとめ!$B$3*$AG$35</f>
        <v>88.238476635514019</v>
      </c>
      <c r="V22" s="550">
        <f t="shared" si="4"/>
        <v>82.990859999999998</v>
      </c>
      <c r="W22" s="551">
        <f t="shared" si="4"/>
        <v>71.062659999999994</v>
      </c>
      <c r="X22" s="552">
        <f t="shared" si="8"/>
        <v>180.07408000000001</v>
      </c>
      <c r="Y22" s="553">
        <f t="shared" si="5"/>
        <v>168.74448000000001</v>
      </c>
      <c r="Z22" s="552">
        <f>(J22/1000/AG55*(1-$AG$54)+$AG$52/1000/AG56*$AG$54)*AG57*1000</f>
        <v>598.444102474136</v>
      </c>
      <c r="AA22" s="554">
        <f t="shared" si="6"/>
        <v>772.35889911912</v>
      </c>
      <c r="AB22" s="552">
        <v>3870</v>
      </c>
      <c r="AC22" s="554">
        <v>3870</v>
      </c>
      <c r="AD22" s="332"/>
      <c r="AE22" s="73"/>
      <c r="AF22" s="634" t="s">
        <v>712</v>
      </c>
      <c r="AG22" s="635">
        <v>22</v>
      </c>
    </row>
    <row r="23" spans="1:33" x14ac:dyDescent="0.15">
      <c r="A23" s="351">
        <f t="shared" si="7"/>
        <v>2037</v>
      </c>
      <c r="B23" s="352">
        <v>101.58</v>
      </c>
      <c r="C23" s="353">
        <v>86.63</v>
      </c>
      <c r="D23" s="353">
        <v>457.72222203979993</v>
      </c>
      <c r="E23" s="353">
        <v>428.52415066460003</v>
      </c>
      <c r="F23" s="353">
        <v>86.02</v>
      </c>
      <c r="G23" s="547">
        <v>57.61999999999999</v>
      </c>
      <c r="H23" s="352">
        <f t="shared" si="14"/>
        <v>101.58</v>
      </c>
      <c r="I23" s="548">
        <f t="shared" si="14"/>
        <v>86.629999999999981</v>
      </c>
      <c r="J23" s="549">
        <f t="shared" si="13"/>
        <v>457.72222203979999</v>
      </c>
      <c r="K23" s="547">
        <f t="shared" si="13"/>
        <v>428.52415066460003</v>
      </c>
      <c r="L23" s="352">
        <f t="shared" si="0"/>
        <v>53.739133888772393</v>
      </c>
      <c r="M23" s="353">
        <f t="shared" si="1"/>
        <v>53.040873947263016</v>
      </c>
      <c r="N23" s="353">
        <f t="shared" si="2"/>
        <v>86.409133888772388</v>
      </c>
      <c r="O23" s="548">
        <f t="shared" si="3"/>
        <v>85.710873947263011</v>
      </c>
      <c r="P23" s="549">
        <f t="shared" si="15"/>
        <v>86.02</v>
      </c>
      <c r="Q23" s="547">
        <f t="shared" si="15"/>
        <v>57.62</v>
      </c>
      <c r="R23" s="352">
        <f t="shared" si="9"/>
        <v>80.672298904564954</v>
      </c>
      <c r="S23" s="547">
        <f t="shared" si="10"/>
        <v>61.558821935375875</v>
      </c>
      <c r="T23" s="352">
        <f>H23*(1-$AG$35)+$AG$32/まとめ!$B$3*$AG$35</f>
        <v>102.10847663551401</v>
      </c>
      <c r="U23" s="353">
        <f>I23*(1-$AG$35)+$AG$32/まとめ!$B$3*$AG$35</f>
        <v>87.905976635513994</v>
      </c>
      <c r="V23" s="550">
        <f t="shared" si="4"/>
        <v>82.990859999999998</v>
      </c>
      <c r="W23" s="551">
        <f t="shared" si="4"/>
        <v>70.77670999999998</v>
      </c>
      <c r="X23" s="552">
        <f t="shared" si="8"/>
        <v>180.07408000000001</v>
      </c>
      <c r="Y23" s="553">
        <f t="shared" si="5"/>
        <v>168.47287999999998</v>
      </c>
      <c r="Z23" s="552">
        <f>(J23/1000/AG55*(1-$AG$54)+$AG$52/1000/AG56*$AG$54)*AG57*1000</f>
        <v>597.77744411110109</v>
      </c>
      <c r="AA23" s="554">
        <f t="shared" si="6"/>
        <v>772.67173559814</v>
      </c>
      <c r="AB23" s="552">
        <v>3870</v>
      </c>
      <c r="AC23" s="554">
        <v>3870</v>
      </c>
      <c r="AD23" s="332"/>
      <c r="AE23" s="73"/>
      <c r="AF23" s="634" t="s">
        <v>713</v>
      </c>
      <c r="AG23" s="635">
        <v>22</v>
      </c>
    </row>
    <row r="24" spans="1:33" x14ac:dyDescent="0.15">
      <c r="A24" s="351">
        <f t="shared" si="7"/>
        <v>2038</v>
      </c>
      <c r="B24" s="352">
        <v>101.58</v>
      </c>
      <c r="C24" s="353">
        <v>86.28</v>
      </c>
      <c r="D24" s="353">
        <v>457.02702986420002</v>
      </c>
      <c r="E24" s="353">
        <v>428.87174675239999</v>
      </c>
      <c r="F24" s="353">
        <v>86.953333333333319</v>
      </c>
      <c r="G24" s="547">
        <v>57.353333333333325</v>
      </c>
      <c r="H24" s="352">
        <f t="shared" si="14"/>
        <v>101.58</v>
      </c>
      <c r="I24" s="548">
        <f t="shared" si="14"/>
        <v>86.280000000000015</v>
      </c>
      <c r="J24" s="549">
        <f t="shared" si="13"/>
        <v>457.02702986420007</v>
      </c>
      <c r="K24" s="547">
        <f t="shared" si="13"/>
        <v>428.87174675239999</v>
      </c>
      <c r="L24" s="352">
        <f t="shared" si="0"/>
        <v>53.678881582913149</v>
      </c>
      <c r="M24" s="353">
        <f t="shared" si="1"/>
        <v>53.071000100192634</v>
      </c>
      <c r="N24" s="353">
        <f t="shared" si="2"/>
        <v>86.348881582913151</v>
      </c>
      <c r="O24" s="548">
        <f t="shared" si="3"/>
        <v>85.741000100192636</v>
      </c>
      <c r="P24" s="549">
        <f t="shared" si="15"/>
        <v>86.953333333333333</v>
      </c>
      <c r="Q24" s="547">
        <f t="shared" si="15"/>
        <v>57.353333333333318</v>
      </c>
      <c r="R24" s="352">
        <f t="shared" si="9"/>
        <v>81.3004413401721</v>
      </c>
      <c r="S24" s="547">
        <f t="shared" si="10"/>
        <v>61.379352668059532</v>
      </c>
      <c r="T24" s="352">
        <f>H24*(1-$AG$35)+$AG$32/まとめ!$B$3*$AG$35</f>
        <v>102.10847663551401</v>
      </c>
      <c r="U24" s="353">
        <f>I24*(1-$AG$35)+$AG$32/まとめ!$B$3*$AG$35</f>
        <v>87.573476635514027</v>
      </c>
      <c r="V24" s="550">
        <f t="shared" si="4"/>
        <v>82.990859999999998</v>
      </c>
      <c r="W24" s="551">
        <f t="shared" si="4"/>
        <v>70.490760000000009</v>
      </c>
      <c r="X24" s="552">
        <f t="shared" si="8"/>
        <v>180.07408000000001</v>
      </c>
      <c r="Y24" s="553">
        <f t="shared" si="5"/>
        <v>168.20128000000003</v>
      </c>
      <c r="Z24" s="552">
        <f>(J24/1000/AG55*(1-$AG$54)+$AG$52/1000/AG56*$AG$54)*AG57*1000</f>
        <v>597.11078574806606</v>
      </c>
      <c r="AA24" s="554">
        <f t="shared" si="6"/>
        <v>772.98457207716001</v>
      </c>
      <c r="AB24" s="552">
        <v>3870</v>
      </c>
      <c r="AC24" s="554">
        <v>3870</v>
      </c>
      <c r="AD24" s="332"/>
      <c r="AE24" s="73"/>
      <c r="AF24" s="636" t="s">
        <v>48</v>
      </c>
      <c r="AG24" s="635">
        <v>22</v>
      </c>
    </row>
    <row r="25" spans="1:33" ht="28.5" thickBot="1" x14ac:dyDescent="0.2">
      <c r="A25" s="351">
        <f t="shared" si="7"/>
        <v>2039</v>
      </c>
      <c r="B25" s="352">
        <v>101.58</v>
      </c>
      <c r="C25" s="353">
        <v>85.93</v>
      </c>
      <c r="D25" s="353">
        <v>456.33183768860005</v>
      </c>
      <c r="E25" s="353">
        <v>429.21934284020006</v>
      </c>
      <c r="F25" s="353">
        <v>87.886666666666656</v>
      </c>
      <c r="G25" s="547">
        <v>57.086666666666659</v>
      </c>
      <c r="H25" s="352">
        <f t="shared" si="14"/>
        <v>101.58</v>
      </c>
      <c r="I25" s="548">
        <f t="shared" si="14"/>
        <v>85.929999999999993</v>
      </c>
      <c r="J25" s="549">
        <f t="shared" si="13"/>
        <v>456.33183768860005</v>
      </c>
      <c r="K25" s="547">
        <f t="shared" si="13"/>
        <v>429.21934284020006</v>
      </c>
      <c r="L25" s="352">
        <f t="shared" si="0"/>
        <v>53.618629277053891</v>
      </c>
      <c r="M25" s="353">
        <f t="shared" si="1"/>
        <v>53.101126253122267</v>
      </c>
      <c r="N25" s="353">
        <f t="shared" si="2"/>
        <v>86.2886292770539</v>
      </c>
      <c r="O25" s="548">
        <f t="shared" si="3"/>
        <v>85.771126253122276</v>
      </c>
      <c r="P25" s="549">
        <f t="shared" si="15"/>
        <v>87.88666666666667</v>
      </c>
      <c r="Q25" s="547">
        <f t="shared" si="15"/>
        <v>57.086666666666666</v>
      </c>
      <c r="R25" s="352">
        <f t="shared" si="9"/>
        <v>81.928583775779259</v>
      </c>
      <c r="S25" s="547">
        <f t="shared" si="10"/>
        <v>61.199883400743218</v>
      </c>
      <c r="T25" s="352">
        <f>H25*(1-$AG$35)+$AG$32/まとめ!$B$3*$AG$35</f>
        <v>102.10847663551401</v>
      </c>
      <c r="U25" s="353">
        <f>I25*(1-$AG$35)+$AG$32/まとめ!$B$3*$AG$35</f>
        <v>87.240976635514002</v>
      </c>
      <c r="V25" s="550">
        <f t="shared" si="4"/>
        <v>82.990859999999998</v>
      </c>
      <c r="W25" s="551">
        <f t="shared" si="4"/>
        <v>70.204809999999995</v>
      </c>
      <c r="X25" s="552">
        <f t="shared" si="8"/>
        <v>180.07408000000001</v>
      </c>
      <c r="Y25" s="553">
        <f t="shared" si="5"/>
        <v>167.92968000000002</v>
      </c>
      <c r="Z25" s="552">
        <f>(J25/1000/AG55*(1-$AG$54)+$AG$52/1000/AG56*$AG$54)*AG57*1000</f>
        <v>596.44412738503104</v>
      </c>
      <c r="AA25" s="554">
        <f t="shared" si="6"/>
        <v>773.29740855618002</v>
      </c>
      <c r="AB25" s="552">
        <v>3870</v>
      </c>
      <c r="AC25" s="554">
        <v>3870</v>
      </c>
      <c r="AD25" s="332"/>
      <c r="AE25" s="73"/>
      <c r="AF25" s="637" t="s">
        <v>714</v>
      </c>
      <c r="AG25" s="633">
        <v>32</v>
      </c>
    </row>
    <row r="26" spans="1:33" ht="15" thickBot="1" x14ac:dyDescent="0.2">
      <c r="A26" s="351">
        <f t="shared" si="7"/>
        <v>2040</v>
      </c>
      <c r="B26" s="352">
        <v>101.58</v>
      </c>
      <c r="C26" s="353">
        <v>85.58</v>
      </c>
      <c r="D26" s="353">
        <v>455.63664551300002</v>
      </c>
      <c r="E26" s="353">
        <v>429.56693892800001</v>
      </c>
      <c r="F26" s="353">
        <v>88.82</v>
      </c>
      <c r="G26" s="547">
        <v>56.819999999999993</v>
      </c>
      <c r="H26" s="352">
        <f t="shared" si="14"/>
        <v>101.58</v>
      </c>
      <c r="I26" s="548">
        <f t="shared" si="14"/>
        <v>85.58</v>
      </c>
      <c r="J26" s="549">
        <f t="shared" si="13"/>
        <v>455.63664551300002</v>
      </c>
      <c r="K26" s="547">
        <f t="shared" si="13"/>
        <v>429.56693892800001</v>
      </c>
      <c r="L26" s="352">
        <f t="shared" si="0"/>
        <v>53.55837697119464</v>
      </c>
      <c r="M26" s="353">
        <f t="shared" si="1"/>
        <v>53.131252406051892</v>
      </c>
      <c r="N26" s="353">
        <f t="shared" si="2"/>
        <v>86.228376971194635</v>
      </c>
      <c r="O26" s="548">
        <f t="shared" si="3"/>
        <v>85.801252406051901</v>
      </c>
      <c r="P26" s="549">
        <f t="shared" si="15"/>
        <v>88.820000000000007</v>
      </c>
      <c r="Q26" s="547">
        <f t="shared" si="15"/>
        <v>56.819999999999986</v>
      </c>
      <c r="R26" s="352">
        <f t="shared" si="9"/>
        <v>82.556726211386405</v>
      </c>
      <c r="S26" s="547">
        <f t="shared" si="10"/>
        <v>61.020414133426875</v>
      </c>
      <c r="T26" s="352">
        <f>H26*(1-$AG$35)+$AG$32/まとめ!$B$3*$AG$35</f>
        <v>102.10847663551401</v>
      </c>
      <c r="U26" s="353">
        <f>I26*(1-$AG$35)+$AG$32/まとめ!$B$3*$AG$35</f>
        <v>86.908476635514006</v>
      </c>
      <c r="V26" s="550">
        <f t="shared" si="4"/>
        <v>82.990859999999998</v>
      </c>
      <c r="W26" s="551">
        <f t="shared" si="4"/>
        <v>69.918859999999995</v>
      </c>
      <c r="X26" s="552">
        <f t="shared" si="8"/>
        <v>180.07408000000001</v>
      </c>
      <c r="Y26" s="553">
        <f t="shared" si="5"/>
        <v>167.65807999999998</v>
      </c>
      <c r="Z26" s="552">
        <f>(J26/1000/AG55*(1-$AG$54)+$AG$52/1000/AG56*$AG$54)*AG57*1000</f>
        <v>595.77746902199601</v>
      </c>
      <c r="AA26" s="554">
        <f t="shared" si="6"/>
        <v>773.61024503520002</v>
      </c>
      <c r="AB26" s="552">
        <v>3870</v>
      </c>
      <c r="AC26" s="554">
        <v>3870</v>
      </c>
      <c r="AD26" s="332"/>
      <c r="AE26" s="73"/>
      <c r="AF26" s="9"/>
      <c r="AG26" s="9"/>
    </row>
    <row r="27" spans="1:33" x14ac:dyDescent="0.15">
      <c r="A27" s="351">
        <f t="shared" si="7"/>
        <v>2041</v>
      </c>
      <c r="B27" s="352">
        <v>101.42216994837572</v>
      </c>
      <c r="C27" s="353">
        <v>85.056919054157731</v>
      </c>
      <c r="D27" s="353">
        <v>454.21985935421435</v>
      </c>
      <c r="E27" s="353">
        <v>427.68969726760895</v>
      </c>
      <c r="F27" s="353">
        <v>89.325305251362337</v>
      </c>
      <c r="G27" s="547">
        <v>56.591897457671664</v>
      </c>
      <c r="H27" s="352">
        <f t="shared" si="14"/>
        <v>101.42216994837572</v>
      </c>
      <c r="I27" s="548">
        <f t="shared" si="14"/>
        <v>85.056919054157717</v>
      </c>
      <c r="J27" s="549">
        <f t="shared" si="13"/>
        <v>454.21985935421429</v>
      </c>
      <c r="K27" s="547">
        <f t="shared" si="13"/>
        <v>427.68969726760895</v>
      </c>
      <c r="L27" s="352">
        <f t="shared" si="0"/>
        <v>53.435584114812684</v>
      </c>
      <c r="M27" s="353">
        <f t="shared" si="1"/>
        <v>52.968551871345795</v>
      </c>
      <c r="N27" s="353">
        <f t="shared" si="2"/>
        <v>86.105584114812686</v>
      </c>
      <c r="O27" s="548">
        <f t="shared" si="3"/>
        <v>85.638551871345797</v>
      </c>
      <c r="P27" s="549">
        <f t="shared" si="15"/>
        <v>89.325305251362337</v>
      </c>
      <c r="Q27" s="547">
        <f t="shared" si="15"/>
        <v>56.591897457671671</v>
      </c>
      <c r="R27" s="352">
        <f t="shared" si="9"/>
        <v>82.896801573510515</v>
      </c>
      <c r="S27" s="547">
        <f t="shared" si="10"/>
        <v>60.866898897884418</v>
      </c>
      <c r="T27" s="352">
        <f>H27*(1-$AG$35)+$AG$32/まとめ!$B$3*$AG$35</f>
        <v>101.95853808647095</v>
      </c>
      <c r="U27" s="353">
        <f>I27*(1-$AG$35)+$AG$32/まとめ!$B$3*$AG$35</f>
        <v>86.411549736963849</v>
      </c>
      <c r="V27" s="550">
        <f t="shared" si="4"/>
        <v>82.861912847822964</v>
      </c>
      <c r="W27" s="551">
        <f t="shared" si="4"/>
        <v>69.491502867246851</v>
      </c>
      <c r="X27" s="552">
        <f t="shared" si="8"/>
        <v>179.95160387993957</v>
      </c>
      <c r="Y27" s="553">
        <f t="shared" si="5"/>
        <v>167.25216918602638</v>
      </c>
      <c r="Z27" s="552">
        <f>(J27/1000/AG55*(1-$AG$54)+$AG$52/1000/AG56*$AG$54)*AG57*1000</f>
        <v>594.41883413722951</v>
      </c>
      <c r="AA27" s="554">
        <f t="shared" si="6"/>
        <v>771.92072754084802</v>
      </c>
      <c r="AB27" s="552">
        <v>3870</v>
      </c>
      <c r="AC27" s="554">
        <v>3870</v>
      </c>
      <c r="AD27" s="332"/>
      <c r="AE27" s="73"/>
      <c r="AF27" s="638" t="s">
        <v>715</v>
      </c>
      <c r="AG27" s="639" t="s">
        <v>716</v>
      </c>
    </row>
    <row r="28" spans="1:33" x14ac:dyDescent="0.15">
      <c r="A28" s="351">
        <f t="shared" si="7"/>
        <v>2042</v>
      </c>
      <c r="B28" s="352">
        <v>101.27008046045313</v>
      </c>
      <c r="C28" s="353">
        <v>84.552863505949404</v>
      </c>
      <c r="D28" s="353">
        <v>452.85460426389415</v>
      </c>
      <c r="E28" s="353">
        <v>425.88073427293466</v>
      </c>
      <c r="F28" s="353">
        <v>89.812231639166185</v>
      </c>
      <c r="G28" s="547">
        <v>56.372091416302901</v>
      </c>
      <c r="H28" s="352">
        <f t="shared" si="14"/>
        <v>101.27008046045312</v>
      </c>
      <c r="I28" s="548">
        <f t="shared" si="14"/>
        <v>84.552863505949389</v>
      </c>
      <c r="J28" s="549">
        <f t="shared" si="13"/>
        <v>452.85460426389415</v>
      </c>
      <c r="K28" s="547">
        <f t="shared" si="13"/>
        <v>425.88073427293466</v>
      </c>
      <c r="L28" s="352">
        <f t="shared" si="0"/>
        <v>53.317257456134634</v>
      </c>
      <c r="M28" s="353">
        <f t="shared" si="1"/>
        <v>52.811769048597377</v>
      </c>
      <c r="N28" s="353">
        <f t="shared" si="2"/>
        <v>85.987257456134643</v>
      </c>
      <c r="O28" s="548">
        <f t="shared" si="3"/>
        <v>85.481769048597386</v>
      </c>
      <c r="P28" s="549">
        <f t="shared" si="15"/>
        <v>89.812231639166171</v>
      </c>
      <c r="Q28" s="547">
        <f t="shared" si="15"/>
        <v>56.372091416302901</v>
      </c>
      <c r="R28" s="352">
        <f t="shared" si="9"/>
        <v>83.224507781221035</v>
      </c>
      <c r="S28" s="547">
        <f t="shared" si="10"/>
        <v>60.718967288398837</v>
      </c>
      <c r="T28" s="352">
        <f>H28*(1-$AG$35)+$AG$32/まとめ!$B$3*$AG$35</f>
        <v>101.81405307294447</v>
      </c>
      <c r="U28" s="353">
        <f>I28*(1-$AG$35)+$AG$32/まとめ!$B$3*$AG$35</f>
        <v>85.932696966165935</v>
      </c>
      <c r="V28" s="550">
        <f t="shared" si="4"/>
        <v>82.737655736190192</v>
      </c>
      <c r="W28" s="551">
        <f t="shared" si="4"/>
        <v>69.079689484360642</v>
      </c>
      <c r="X28" s="552">
        <f t="shared" si="8"/>
        <v>179.83358243731163</v>
      </c>
      <c r="Y28" s="553">
        <f t="shared" si="5"/>
        <v>166.86102208061675</v>
      </c>
      <c r="Z28" s="552">
        <f>(J28/1000/AG55*(1-$AG$54)+$AG$52/1000/AG56*$AG$54)*AG57*1000</f>
        <v>593.10961525418827</v>
      </c>
      <c r="AA28" s="554">
        <f t="shared" si="6"/>
        <v>770.29266084564119</v>
      </c>
      <c r="AB28" s="552">
        <v>3870</v>
      </c>
      <c r="AC28" s="554">
        <v>3870</v>
      </c>
      <c r="AD28" s="332"/>
      <c r="AE28" s="73"/>
      <c r="AF28" s="640" t="s">
        <v>717</v>
      </c>
      <c r="AG28" s="641">
        <v>0</v>
      </c>
    </row>
    <row r="29" spans="1:33" ht="15" thickBot="1" x14ac:dyDescent="0.2">
      <c r="A29" s="351">
        <f t="shared" si="7"/>
        <v>2043</v>
      </c>
      <c r="B29" s="352">
        <v>101.1233285610024</v>
      </c>
      <c r="C29" s="353">
        <v>84.066497813365203</v>
      </c>
      <c r="D29" s="353">
        <v>451.53726287182343</v>
      </c>
      <c r="E29" s="353">
        <v>424.13525692844098</v>
      </c>
      <c r="F29" s="353">
        <v>90.282069320119277</v>
      </c>
      <c r="G29" s="547">
        <v>56.159999479363584</v>
      </c>
      <c r="H29" s="352">
        <f t="shared" si="14"/>
        <v>101.1233285610024</v>
      </c>
      <c r="I29" s="548">
        <f t="shared" si="14"/>
        <v>84.066497813365217</v>
      </c>
      <c r="J29" s="549">
        <f t="shared" si="13"/>
        <v>451.53726287182343</v>
      </c>
      <c r="K29" s="547">
        <f t="shared" si="13"/>
        <v>424.13525692844098</v>
      </c>
      <c r="L29" s="352">
        <f t="shared" si="0"/>
        <v>53.203083477683862</v>
      </c>
      <c r="M29" s="353">
        <f t="shared" si="1"/>
        <v>52.660488527150108</v>
      </c>
      <c r="N29" s="353">
        <f t="shared" si="2"/>
        <v>85.873083477683863</v>
      </c>
      <c r="O29" s="548">
        <f t="shared" si="3"/>
        <v>85.330488527150109</v>
      </c>
      <c r="P29" s="549">
        <f t="shared" si="15"/>
        <v>90.282069320119277</v>
      </c>
      <c r="Q29" s="547">
        <f t="shared" si="15"/>
        <v>56.159999479363584</v>
      </c>
      <c r="R29" s="352">
        <f t="shared" si="9"/>
        <v>83.540713122564512</v>
      </c>
      <c r="S29" s="547">
        <f t="shared" si="10"/>
        <v>60.57622734642559</v>
      </c>
      <c r="T29" s="352">
        <f>H29*(1-$AG$35)+$AG$32/まとめ!$B$3*$AG$35</f>
        <v>101.67463876846629</v>
      </c>
      <c r="U29" s="353">
        <f>I29*(1-$AG$35)+$AG$32/まとめ!$B$3*$AG$35</f>
        <v>85.470649558210965</v>
      </c>
      <c r="V29" s="550">
        <f t="shared" si="4"/>
        <v>82.61775943433895</v>
      </c>
      <c r="W29" s="551">
        <f t="shared" si="4"/>
        <v>68.682328713519382</v>
      </c>
      <c r="X29" s="552">
        <f t="shared" si="8"/>
        <v>179.71970296333785</v>
      </c>
      <c r="Y29" s="553">
        <f t="shared" si="5"/>
        <v>166.48360230317141</v>
      </c>
      <c r="Z29" s="552">
        <f>(J29/1000/AG55*(1-$AG$54)+$AG$52/1000/AG56*$AG$54)*AG57*1000</f>
        <v>591.84634347579367</v>
      </c>
      <c r="AA29" s="554">
        <f t="shared" si="6"/>
        <v>768.72173123559696</v>
      </c>
      <c r="AB29" s="552">
        <v>3870</v>
      </c>
      <c r="AC29" s="554">
        <v>3870</v>
      </c>
      <c r="AD29" s="332"/>
      <c r="AE29" s="73"/>
      <c r="AF29" s="642" t="s">
        <v>718</v>
      </c>
      <c r="AG29" s="643">
        <v>1</v>
      </c>
    </row>
    <row r="30" spans="1:33" x14ac:dyDescent="0.15">
      <c r="A30" s="351">
        <f t="shared" si="7"/>
        <v>2044</v>
      </c>
      <c r="B30" s="352">
        <v>100.9815522718947</v>
      </c>
      <c r="C30" s="353">
        <v>83.596622307140265</v>
      </c>
      <c r="D30" s="353">
        <v>450.26458582467927</v>
      </c>
      <c r="E30" s="353">
        <v>422.44895984097502</v>
      </c>
      <c r="F30" s="353">
        <v>90.735977195504972</v>
      </c>
      <c r="G30" s="547">
        <v>55.955098501035764</v>
      </c>
      <c r="H30" s="352">
        <f t="shared" si="14"/>
        <v>100.9815522718947</v>
      </c>
      <c r="I30" s="548">
        <f t="shared" si="14"/>
        <v>83.596622307140265</v>
      </c>
      <c r="J30" s="549">
        <f t="shared" si="13"/>
        <v>450.26458582467927</v>
      </c>
      <c r="K30" s="547">
        <f t="shared" si="13"/>
        <v>422.44895984097502</v>
      </c>
      <c r="L30" s="352">
        <f t="shared" si="0"/>
        <v>53.092780558007881</v>
      </c>
      <c r="M30" s="353">
        <f t="shared" si="1"/>
        <v>52.514337158579437</v>
      </c>
      <c r="N30" s="353">
        <f t="shared" si="2"/>
        <v>85.762780558007876</v>
      </c>
      <c r="O30" s="548">
        <f t="shared" si="3"/>
        <v>85.184337158579439</v>
      </c>
      <c r="P30" s="549">
        <f t="shared" si="15"/>
        <v>90.735977195504987</v>
      </c>
      <c r="Q30" s="547">
        <f t="shared" si="15"/>
        <v>55.955098501035756</v>
      </c>
      <c r="R30" s="352">
        <f t="shared" si="9"/>
        <v>83.846197549406696</v>
      </c>
      <c r="S30" s="547">
        <f t="shared" si="10"/>
        <v>60.43832698972723</v>
      </c>
      <c r="T30" s="352">
        <f>H30*(1-$AG$35)+$AG$32/まとめ!$B$3*$AG$35</f>
        <v>101.53995129381398</v>
      </c>
      <c r="U30" s="353">
        <f>I30*(1-$AG$35)+$AG$32/まとめ!$B$3*$AG$35</f>
        <v>85.024267827297265</v>
      </c>
      <c r="V30" s="550">
        <f t="shared" si="4"/>
        <v>82.501928206137961</v>
      </c>
      <c r="W30" s="551">
        <f t="shared" si="4"/>
        <v>68.298440424933588</v>
      </c>
      <c r="X30" s="552">
        <f t="shared" si="8"/>
        <v>179.60968456299031</v>
      </c>
      <c r="Y30" s="553">
        <f t="shared" si="5"/>
        <v>166.11897891034084</v>
      </c>
      <c r="Z30" s="552">
        <f>(J30/1000/AG55*(1-$AG$54)+$AG$52/1000/AG56*$AG$54)*AG57*1000</f>
        <v>590.6259028167932</v>
      </c>
      <c r="AA30" s="554">
        <f t="shared" si="6"/>
        <v>767.20406385687761</v>
      </c>
      <c r="AB30" s="552">
        <v>3870</v>
      </c>
      <c r="AC30" s="554">
        <v>3870</v>
      </c>
      <c r="AD30" s="332"/>
      <c r="AE30" s="73"/>
      <c r="AF30" s="9"/>
      <c r="AG30" s="9"/>
    </row>
    <row r="31" spans="1:33" ht="15" thickBot="1" x14ac:dyDescent="0.2">
      <c r="A31" s="351">
        <f t="shared" si="7"/>
        <v>2045</v>
      </c>
      <c r="B31" s="352">
        <v>100.84442523284895</v>
      </c>
      <c r="C31" s="353">
        <v>83.142155362813611</v>
      </c>
      <c r="D31" s="353">
        <v>449.03364349832316</v>
      </c>
      <c r="E31" s="353">
        <v>420.81796125855317</v>
      </c>
      <c r="F31" s="353">
        <v>91.175000133281998</v>
      </c>
      <c r="G31" s="547">
        <v>55.75691681189361</v>
      </c>
      <c r="H31" s="352">
        <f t="shared" si="14"/>
        <v>100.84442523284893</v>
      </c>
      <c r="I31" s="548">
        <f t="shared" si="14"/>
        <v>83.142155362813625</v>
      </c>
      <c r="J31" s="549">
        <f t="shared" si="13"/>
        <v>449.03364349832322</v>
      </c>
      <c r="K31" s="547">
        <f t="shared" si="13"/>
        <v>420.81796125855317</v>
      </c>
      <c r="L31" s="352">
        <f t="shared" si="0"/>
        <v>52.986094786582598</v>
      </c>
      <c r="M31" s="353">
        <f t="shared" si="1"/>
        <v>52.372978511440934</v>
      </c>
      <c r="N31" s="353">
        <f t="shared" si="2"/>
        <v>85.656094786582599</v>
      </c>
      <c r="O31" s="548">
        <f t="shared" si="3"/>
        <v>85.042978511440936</v>
      </c>
      <c r="P31" s="549">
        <f t="shared" si="15"/>
        <v>91.175000133281983</v>
      </c>
      <c r="Q31" s="547">
        <f t="shared" si="15"/>
        <v>55.75691681189361</v>
      </c>
      <c r="R31" s="352">
        <f t="shared" si="9"/>
        <v>84.141664268073811</v>
      </c>
      <c r="S31" s="547">
        <f t="shared" si="10"/>
        <v>60.304948780180275</v>
      </c>
      <c r="T31" s="352">
        <f>H31*(1-$AG$35)+$AG$32/まとめ!$B$3*$AG$35</f>
        <v>101.4096806067205</v>
      </c>
      <c r="U31" s="353">
        <f>I31*(1-$AG$35)+$AG$32/まとめ!$B$3*$AG$35</f>
        <v>84.592524230186953</v>
      </c>
      <c r="V31" s="550">
        <f t="shared" si="4"/>
        <v>82.389895415237575</v>
      </c>
      <c r="W31" s="551">
        <f t="shared" si="4"/>
        <v>67.927140931418734</v>
      </c>
      <c r="X31" s="552">
        <f t="shared" si="8"/>
        <v>179.50327398069078</v>
      </c>
      <c r="Y31" s="553">
        <f t="shared" si="5"/>
        <v>165.76631256154337</v>
      </c>
      <c r="Z31" s="552">
        <f>(J31/1000/AG55*(1-$AG$54)+$AG$52/1000/AG56*$AG$54)*AG57*1000</f>
        <v>589.44548389799445</v>
      </c>
      <c r="AA31" s="554">
        <f t="shared" si="6"/>
        <v>765.73616513269781</v>
      </c>
      <c r="AB31" s="552">
        <v>3870</v>
      </c>
      <c r="AC31" s="554">
        <v>3870</v>
      </c>
      <c r="AD31" s="332"/>
      <c r="AE31" s="73"/>
      <c r="AF31" s="644"/>
      <c r="AG31" s="86"/>
    </row>
    <row r="32" spans="1:33" ht="15" thickBot="1" x14ac:dyDescent="0.2">
      <c r="A32" s="351">
        <f t="shared" si="7"/>
        <v>2046</v>
      </c>
      <c r="B32" s="352">
        <v>100.71165217649738</v>
      </c>
      <c r="C32" s="353">
        <v>82.702118404173518</v>
      </c>
      <c r="D32" s="353">
        <v>447.84178537901897</v>
      </c>
      <c r="E32" s="353">
        <v>419.23874925047511</v>
      </c>
      <c r="F32" s="353">
        <v>91.60008345501592</v>
      </c>
      <c r="G32" s="547">
        <v>55.565027679280284</v>
      </c>
      <c r="H32" s="352">
        <f t="shared" si="14"/>
        <v>100.7116521764974</v>
      </c>
      <c r="I32" s="548">
        <f t="shared" si="14"/>
        <v>82.702118404173504</v>
      </c>
      <c r="J32" s="549">
        <f t="shared" si="13"/>
        <v>447.84178537901897</v>
      </c>
      <c r="K32" s="547">
        <f t="shared" si="13"/>
        <v>419.23874925047505</v>
      </c>
      <c r="L32" s="352">
        <f t="shared" si="0"/>
        <v>52.882796443382503</v>
      </c>
      <c r="M32" s="353">
        <f t="shared" si="1"/>
        <v>52.236108206700806</v>
      </c>
      <c r="N32" s="353">
        <f t="shared" si="2"/>
        <v>85.552796443382505</v>
      </c>
      <c r="O32" s="548">
        <f t="shared" si="3"/>
        <v>84.906108206700807</v>
      </c>
      <c r="P32" s="549">
        <f t="shared" si="15"/>
        <v>91.600083455015934</v>
      </c>
      <c r="Q32" s="547">
        <f t="shared" si="15"/>
        <v>55.565027679280284</v>
      </c>
      <c r="R32" s="352">
        <f t="shared" si="9"/>
        <v>84.42774948919876</v>
      </c>
      <c r="S32" s="547">
        <f t="shared" si="10"/>
        <v>60.175805522544984</v>
      </c>
      <c r="T32" s="352">
        <f>H32*(1-$AG$35)+$AG$32/まとめ!$B$3*$AG$35</f>
        <v>101.28354620318655</v>
      </c>
      <c r="U32" s="353">
        <f>I32*(1-$AG$35)+$AG$32/まとめ!$B$3*$AG$35</f>
        <v>84.174489119478849</v>
      </c>
      <c r="V32" s="550">
        <f t="shared" si="4"/>
        <v>82.281419828198366</v>
      </c>
      <c r="W32" s="551">
        <f t="shared" si="4"/>
        <v>67.56763073620975</v>
      </c>
      <c r="X32" s="552">
        <f t="shared" si="8"/>
        <v>179.40024208896199</v>
      </c>
      <c r="Y32" s="553">
        <f t="shared" si="5"/>
        <v>165.42484388163865</v>
      </c>
      <c r="Z32" s="552">
        <f>(J32/1000/AG55*(1-$AG$54)+$AG$52/1000/AG56*$AG$54)*AG57*1000</f>
        <v>588.30254499466218</v>
      </c>
      <c r="AA32" s="554">
        <f t="shared" si="6"/>
        <v>764.31487432542758</v>
      </c>
      <c r="AB32" s="552">
        <v>3870</v>
      </c>
      <c r="AC32" s="554">
        <v>3870</v>
      </c>
      <c r="AD32" s="332"/>
      <c r="AE32" s="342"/>
      <c r="AF32" s="644" t="s">
        <v>719</v>
      </c>
      <c r="AG32" s="208">
        <v>12000</v>
      </c>
    </row>
    <row r="33" spans="1:37" x14ac:dyDescent="0.15">
      <c r="A33" s="351">
        <f t="shared" si="7"/>
        <v>2047</v>
      </c>
      <c r="B33" s="352">
        <v>100.58296509995301</v>
      </c>
      <c r="C33" s="353">
        <v>82.27562321505232</v>
      </c>
      <c r="D33" s="353">
        <v>446.68660569690945</v>
      </c>
      <c r="E33" s="353">
        <v>417.70813617168005</v>
      </c>
      <c r="F33" s="353">
        <v>92.012085192905076</v>
      </c>
      <c r="G33" s="547">
        <v>55.379043774298424</v>
      </c>
      <c r="H33" s="352">
        <f t="shared" si="14"/>
        <v>100.582965099953</v>
      </c>
      <c r="I33" s="548">
        <f t="shared" si="14"/>
        <v>82.275623215052335</v>
      </c>
      <c r="J33" s="549">
        <f t="shared" ref="J33:J56" si="16">D33+J$16-D$16</f>
        <v>446.68660569690945</v>
      </c>
      <c r="K33" s="547">
        <f t="shared" ref="K33:K56" si="17">E33+K$16-E$16</f>
        <v>417.70813617168005</v>
      </c>
      <c r="L33" s="352">
        <f t="shared" si="0"/>
        <v>52.78267702033407</v>
      </c>
      <c r="M33" s="353">
        <f t="shared" si="1"/>
        <v>52.103449971161645</v>
      </c>
      <c r="N33" s="353">
        <f t="shared" si="2"/>
        <v>85.452677020334079</v>
      </c>
      <c r="O33" s="548">
        <f t="shared" si="3"/>
        <v>84.773449971161639</v>
      </c>
      <c r="P33" s="549">
        <f t="shared" si="15"/>
        <v>92.012085192905076</v>
      </c>
      <c r="Q33" s="547">
        <f t="shared" si="15"/>
        <v>55.379043774298417</v>
      </c>
      <c r="R33" s="352">
        <f t="shared" si="9"/>
        <v>84.705030676818822</v>
      </c>
      <c r="S33" s="547">
        <f t="shared" si="10"/>
        <v>60.050636540696011</v>
      </c>
      <c r="T33" s="352">
        <f>H33*(1-$AG$35)+$AG$32/まとめ!$B$3*$AG$35</f>
        <v>101.16129348046937</v>
      </c>
      <c r="U33" s="353">
        <f>I33*(1-$AG$35)+$AG$32/まとめ!$B$3*$AG$35</f>
        <v>83.76931868981373</v>
      </c>
      <c r="V33" s="550">
        <f t="shared" si="4"/>
        <v>82.176282486661592</v>
      </c>
      <c r="W33" s="551">
        <f t="shared" si="4"/>
        <v>67.219184166697758</v>
      </c>
      <c r="X33" s="552">
        <f t="shared" si="8"/>
        <v>179.30038091756353</v>
      </c>
      <c r="Y33" s="553">
        <f t="shared" si="5"/>
        <v>165.09388361488061</v>
      </c>
      <c r="Z33" s="552">
        <f>(J33/1000/AG55*(1-$AG$54)+$AG$52/1000/AG56*$AG$54)*AG57*1000</f>
        <v>587.1947790805508</v>
      </c>
      <c r="AA33" s="554">
        <f t="shared" si="6"/>
        <v>762.93732255451209</v>
      </c>
      <c r="AB33" s="552">
        <v>3870</v>
      </c>
      <c r="AC33" s="554">
        <v>3870</v>
      </c>
      <c r="AD33" s="332"/>
      <c r="AE33" s="73"/>
      <c r="AF33" s="645"/>
      <c r="AG33" s="646"/>
    </row>
    <row r="34" spans="1:37" ht="15" thickBot="1" x14ac:dyDescent="0.2">
      <c r="A34" s="351">
        <f t="shared" si="7"/>
        <v>2048</v>
      </c>
      <c r="B34" s="352">
        <v>100.45812000806104</v>
      </c>
      <c r="C34" s="353">
        <v>81.861861145797747</v>
      </c>
      <c r="D34" s="353">
        <v>445.56591419130223</v>
      </c>
      <c r="E34" s="353">
        <v>416.22321992675046</v>
      </c>
      <c r="F34" s="353">
        <v>92.411786516516159</v>
      </c>
      <c r="G34" s="547">
        <v>55.198612465021753</v>
      </c>
      <c r="H34" s="352">
        <f t="shared" si="14"/>
        <v>100.45812000806104</v>
      </c>
      <c r="I34" s="548">
        <f t="shared" si="14"/>
        <v>81.861861145797761</v>
      </c>
      <c r="J34" s="549">
        <f t="shared" si="16"/>
        <v>445.56591419130217</v>
      </c>
      <c r="K34" s="547">
        <f t="shared" si="17"/>
        <v>416.2232199267504</v>
      </c>
      <c r="L34" s="352">
        <f t="shared" si="0"/>
        <v>52.685546687543088</v>
      </c>
      <c r="M34" s="353">
        <f t="shared" si="1"/>
        <v>51.974752280213586</v>
      </c>
      <c r="N34" s="353">
        <f t="shared" si="2"/>
        <v>85.355546687543082</v>
      </c>
      <c r="O34" s="548">
        <f t="shared" si="3"/>
        <v>84.644752280213595</v>
      </c>
      <c r="P34" s="549">
        <f t="shared" si="15"/>
        <v>92.411786516516159</v>
      </c>
      <c r="Q34" s="547">
        <f t="shared" si="15"/>
        <v>55.19861246502176</v>
      </c>
      <c r="R34" s="352">
        <f t="shared" si="9"/>
        <v>84.974033565670766</v>
      </c>
      <c r="S34" s="547">
        <f t="shared" si="10"/>
        <v>59.929204509907983</v>
      </c>
      <c r="T34" s="352">
        <f>H34*(1-$AG$35)+$AG$32/まとめ!$B$3*$AG$35</f>
        <v>101.04269064317201</v>
      </c>
      <c r="U34" s="353">
        <f>I34*(1-$AG$35)+$AG$32/まとめ!$B$3*$AG$35</f>
        <v>83.376244724021888</v>
      </c>
      <c r="V34" s="550">
        <f t="shared" si="4"/>
        <v>82.074284046585873</v>
      </c>
      <c r="W34" s="551">
        <f t="shared" si="4"/>
        <v>66.881140556116762</v>
      </c>
      <c r="X34" s="552">
        <f t="shared" si="8"/>
        <v>179.20350112625539</v>
      </c>
      <c r="Y34" s="553">
        <f t="shared" si="5"/>
        <v>164.77280424913909</v>
      </c>
      <c r="Z34" s="552">
        <f>(J34/1000/AG55*(1-$AG$54)+$AG$52/1000/AG56*$AG$54)*AG57*1000</f>
        <v>586.12008579311475</v>
      </c>
      <c r="AA34" s="554">
        <f t="shared" si="6"/>
        <v>761.60089793407542</v>
      </c>
      <c r="AB34" s="552">
        <v>3870</v>
      </c>
      <c r="AC34" s="554">
        <v>3870</v>
      </c>
      <c r="AD34" s="332"/>
      <c r="AE34" s="73"/>
      <c r="AF34" s="9"/>
      <c r="AG34" s="9"/>
    </row>
    <row r="35" spans="1:37" ht="15" thickBot="1" x14ac:dyDescent="0.2">
      <c r="A35" s="351">
        <f t="shared" si="7"/>
        <v>2049</v>
      </c>
      <c r="B35" s="352">
        <v>100.33689412885711</v>
      </c>
      <c r="C35" s="353">
        <v>81.460093884734462</v>
      </c>
      <c r="D35" s="353">
        <v>444.47771111479534</v>
      </c>
      <c r="E35" s="353">
        <v>414.78135085037889</v>
      </c>
      <c r="F35" s="353">
        <v>92.799900647712136</v>
      </c>
      <c r="G35" s="547">
        <v>55.02341179215982</v>
      </c>
      <c r="H35" s="352">
        <f t="shared" si="14"/>
        <v>100.33689412885711</v>
      </c>
      <c r="I35" s="548">
        <f t="shared" si="14"/>
        <v>81.460093884734462</v>
      </c>
      <c r="J35" s="549">
        <f t="shared" si="16"/>
        <v>444.47771111479534</v>
      </c>
      <c r="K35" s="547">
        <f t="shared" si="17"/>
        <v>414.78135085037889</v>
      </c>
      <c r="L35" s="352">
        <f t="shared" si="0"/>
        <v>52.591232126902241</v>
      </c>
      <c r="M35" s="353">
        <f t="shared" si="1"/>
        <v>51.849785487364471</v>
      </c>
      <c r="N35" s="353">
        <f t="shared" si="2"/>
        <v>85.261232126902243</v>
      </c>
      <c r="O35" s="548">
        <f t="shared" si="3"/>
        <v>84.519785487364473</v>
      </c>
      <c r="P35" s="549">
        <f t="shared" si="15"/>
        <v>92.799900647712136</v>
      </c>
      <c r="Q35" s="547">
        <f t="shared" si="15"/>
        <v>55.023411792159827</v>
      </c>
      <c r="R35" s="352">
        <f t="shared" si="9"/>
        <v>85.235238161023972</v>
      </c>
      <c r="S35" s="547">
        <f t="shared" si="10"/>
        <v>59.811292748438511</v>
      </c>
      <c r="T35" s="352">
        <f>H35*(1-$AG$35)+$AG$32/まとめ!$B$3*$AG$35</f>
        <v>100.92752605792828</v>
      </c>
      <c r="U35" s="353">
        <f>I35*(1-$AG$35)+$AG$32/まとめ!$B$3*$AG$35</f>
        <v>82.994565826011751</v>
      </c>
      <c r="V35" s="550">
        <f t="shared" si="4"/>
        <v>81.975242503276249</v>
      </c>
      <c r="W35" s="551">
        <f t="shared" si="4"/>
        <v>66.552896703828054</v>
      </c>
      <c r="X35" s="552">
        <f t="shared" si="8"/>
        <v>179.10942984399313</v>
      </c>
      <c r="Y35" s="553">
        <f t="shared" si="5"/>
        <v>164.46103285455393</v>
      </c>
      <c r="Z35" s="552">
        <f>(J35/1000/AG55*(1-$AG$54)+$AG$52/1000/AG56*$AG$54)*AG57*1000</f>
        <v>585.0765474635765</v>
      </c>
      <c r="AA35" s="554">
        <f t="shared" si="6"/>
        <v>760.30321576534106</v>
      </c>
      <c r="AB35" s="552">
        <v>3870</v>
      </c>
      <c r="AC35" s="554">
        <v>3870</v>
      </c>
      <c r="AD35" s="332"/>
      <c r="AE35" s="73"/>
      <c r="AF35" s="647" t="s">
        <v>307</v>
      </c>
      <c r="AG35" s="648">
        <v>0.05</v>
      </c>
    </row>
    <row r="36" spans="1:37" x14ac:dyDescent="0.15">
      <c r="A36" s="351">
        <f t="shared" si="7"/>
        <v>2050</v>
      </c>
      <c r="B36" s="352">
        <v>100.21908352138239</v>
      </c>
      <c r="C36" s="353">
        <v>81.069645529976043</v>
      </c>
      <c r="D36" s="353">
        <v>443.42016575945536</v>
      </c>
      <c r="E36" s="353">
        <v>413.38010325455332</v>
      </c>
      <c r="F36" s="353">
        <v>93.177080519419235</v>
      </c>
      <c r="G36" s="547">
        <v>54.853147011773103</v>
      </c>
      <c r="H36" s="352">
        <f t="shared" si="14"/>
        <v>100.21908352138239</v>
      </c>
      <c r="I36" s="548">
        <f t="shared" si="14"/>
        <v>81.069645529976057</v>
      </c>
      <c r="J36" s="549">
        <f t="shared" si="16"/>
        <v>443.4201657594553</v>
      </c>
      <c r="K36" s="547">
        <f t="shared" si="17"/>
        <v>413.38010325455332</v>
      </c>
      <c r="L36" s="352">
        <f t="shared" si="0"/>
        <v>52.499574670954921</v>
      </c>
      <c r="M36" s="353">
        <f t="shared" si="1"/>
        <v>51.728339358234265</v>
      </c>
      <c r="N36" s="353">
        <f t="shared" si="2"/>
        <v>85.169574670954916</v>
      </c>
      <c r="O36" s="548">
        <f t="shared" si="3"/>
        <v>84.398339358234267</v>
      </c>
      <c r="P36" s="549">
        <f t="shared" si="15"/>
        <v>93.177080519419249</v>
      </c>
      <c r="Q36" s="547">
        <f t="shared" si="15"/>
        <v>54.853147011773096</v>
      </c>
      <c r="R36" s="352">
        <f t="shared" si="9"/>
        <v>85.489083893105501</v>
      </c>
      <c r="S36" s="547">
        <f t="shared" si="10"/>
        <v>59.696702890741825</v>
      </c>
      <c r="T36" s="352">
        <f>H36*(1-$AG$35)+$AG$32/まとめ!$B$3*$AG$35</f>
        <v>100.81560598082729</v>
      </c>
      <c r="U36" s="353">
        <f>I36*(1-$AG$35)+$AG$32/まとめ!$B$3*$AG$35</f>
        <v>82.623639888991264</v>
      </c>
      <c r="V36" s="550">
        <f t="shared" si="4"/>
        <v>81.878991236969412</v>
      </c>
      <c r="W36" s="551">
        <f t="shared" si="4"/>
        <v>66.233900397990439</v>
      </c>
      <c r="X36" s="552">
        <f>H36*(1-$AG$48)+$AG$49*$AG$48</f>
        <v>179.01800881259274</v>
      </c>
      <c r="Y36" s="553">
        <f t="shared" si="5"/>
        <v>164.15804493126143</v>
      </c>
      <c r="Z36" s="552">
        <f>(J36/1000/AG55*(1-$AG$54)+$AG$52/1000/AG56*$AG$54)*AG57*1000</f>
        <v>584.06240852448707</v>
      </c>
      <c r="AA36" s="554">
        <f t="shared" si="6"/>
        <v>759.04209292909798</v>
      </c>
      <c r="AB36" s="552">
        <v>3870</v>
      </c>
      <c r="AC36" s="554">
        <v>3870</v>
      </c>
      <c r="AD36" s="332"/>
      <c r="AE36" s="73"/>
      <c r="AF36" s="9"/>
      <c r="AG36" s="9"/>
    </row>
    <row r="37" spans="1:37" ht="15" thickBot="1" x14ac:dyDescent="0.2">
      <c r="A37" s="351">
        <f t="shared" si="7"/>
        <v>2051</v>
      </c>
      <c r="B37" s="352">
        <v>100.10450101132768</v>
      </c>
      <c r="C37" s="353">
        <v>80.689895747728784</v>
      </c>
      <c r="D37" s="353">
        <v>442.39159792580301</v>
      </c>
      <c r="E37" s="353">
        <v>412.01725087496396</v>
      </c>
      <c r="F37" s="353">
        <v>93.543925384823908</v>
      </c>
      <c r="G37" s="547">
        <v>54.68754761178014</v>
      </c>
      <c r="H37" s="352">
        <f t="shared" si="14"/>
        <v>100.10450101132768</v>
      </c>
      <c r="I37" s="548">
        <f t="shared" si="14"/>
        <v>80.689895747728784</v>
      </c>
      <c r="J37" s="549">
        <f t="shared" si="16"/>
        <v>442.39159792580307</v>
      </c>
      <c r="K37" s="547">
        <f t="shared" si="17"/>
        <v>412.01725087496391</v>
      </c>
      <c r="L37" s="352">
        <f t="shared" ref="L37:L56" si="18">(J37-J$10)*$AG$6*$AG$41/100+$AG$39</f>
        <v>52.410428696812282</v>
      </c>
      <c r="M37" s="353">
        <f t="shared" ref="M37:M56" si="19">(K37-K$10)*$AG$6*$AG$41/100+$AG$39</f>
        <v>51.610220942495253</v>
      </c>
      <c r="N37" s="353">
        <f t="shared" ref="N37:N56" si="20">(J37-J$10)*$AG$6*$AG$41/100+$AG$40</f>
        <v>85.080428696812277</v>
      </c>
      <c r="O37" s="548">
        <f t="shared" ref="O37:O56" si="21">(K37-K$10)*$AG$6*$AG$41/100+$AG$40</f>
        <v>84.280220942495248</v>
      </c>
      <c r="P37" s="549">
        <f t="shared" si="15"/>
        <v>93.543925384823908</v>
      </c>
      <c r="Q37" s="547">
        <f t="shared" si="15"/>
        <v>54.68754761178014</v>
      </c>
      <c r="R37" s="352">
        <f t="shared" si="9"/>
        <v>85.735974065153997</v>
      </c>
      <c r="S37" s="547">
        <f t="shared" si="10"/>
        <v>59.585252879548982</v>
      </c>
      <c r="T37" s="352">
        <f>H37*(1-$AG$35)+$AG$32/まとめ!$B$3*$AG$35</f>
        <v>100.70675259627531</v>
      </c>
      <c r="U37" s="353">
        <f>I37*(1-$AG$35)+$AG$32/まとめ!$B$3*$AG$35</f>
        <v>82.262877595856352</v>
      </c>
      <c r="V37" s="550">
        <f t="shared" si="4"/>
        <v>81.785377326254718</v>
      </c>
      <c r="W37" s="551">
        <f t="shared" si="4"/>
        <v>65.923644825894414</v>
      </c>
      <c r="X37" s="552">
        <f t="shared" si="8"/>
        <v>178.92909278479027</v>
      </c>
      <c r="Y37" s="553">
        <f t="shared" si="5"/>
        <v>163.86335910023755</v>
      </c>
      <c r="Z37" s="552">
        <f>(J37/1000/AG55*(1-$AG$54)+$AG$52/1000/AG56*$AG$54)*AG57*1000</f>
        <v>583.07605773930845</v>
      </c>
      <c r="AA37" s="554">
        <f t="shared" si="6"/>
        <v>757.81552578746755</v>
      </c>
      <c r="AB37" s="552">
        <v>3870</v>
      </c>
      <c r="AC37" s="554">
        <v>3870</v>
      </c>
      <c r="AD37" s="332"/>
      <c r="AE37" s="73"/>
      <c r="AF37" s="649" t="s">
        <v>308</v>
      </c>
      <c r="AG37" s="9"/>
    </row>
    <row r="38" spans="1:37" ht="16.5" x14ac:dyDescent="0.15">
      <c r="A38" s="351">
        <f t="shared" si="7"/>
        <v>2052</v>
      </c>
      <c r="B38" s="352">
        <v>99.992974402030086</v>
      </c>
      <c r="C38" s="353">
        <v>80.320273843170028</v>
      </c>
      <c r="D38" s="353">
        <v>441.39046186354477</v>
      </c>
      <c r="E38" s="353">
        <v>410.69074559247179</v>
      </c>
      <c r="F38" s="353">
        <v>93.900986545006944</v>
      </c>
      <c r="G38" s="547">
        <v>54.526364726415558</v>
      </c>
      <c r="H38" s="352">
        <f t="shared" si="14"/>
        <v>99.992974402030072</v>
      </c>
      <c r="I38" s="548">
        <f t="shared" si="14"/>
        <v>80.320273843170028</v>
      </c>
      <c r="J38" s="549">
        <f t="shared" si="16"/>
        <v>441.39046186354477</v>
      </c>
      <c r="K38" s="547">
        <f t="shared" si="17"/>
        <v>410.69074559247179</v>
      </c>
      <c r="L38" s="352">
        <f t="shared" si="18"/>
        <v>52.323660234296355</v>
      </c>
      <c r="M38" s="353">
        <f t="shared" si="19"/>
        <v>51.495252729661658</v>
      </c>
      <c r="N38" s="353">
        <f t="shared" si="20"/>
        <v>84.993660234296357</v>
      </c>
      <c r="O38" s="548">
        <f t="shared" si="21"/>
        <v>84.16525272966166</v>
      </c>
      <c r="P38" s="549">
        <f t="shared" si="15"/>
        <v>93.900986545006944</v>
      </c>
      <c r="Q38" s="547">
        <f t="shared" si="15"/>
        <v>54.526364726415558</v>
      </c>
      <c r="R38" s="352">
        <f t="shared" si="9"/>
        <v>85.976279708173379</v>
      </c>
      <c r="S38" s="547">
        <f t="shared" si="10"/>
        <v>59.476775225772798</v>
      </c>
      <c r="T38" s="352">
        <f>H38*(1-$AG$35)+$AG$32/まとめ!$B$3*$AG$35</f>
        <v>100.60080231744259</v>
      </c>
      <c r="U38" s="353">
        <f>I38*(1-$AG$35)+$AG$32/まとめ!$B$3*$AG$35</f>
        <v>81.911736786525537</v>
      </c>
      <c r="V38" s="550">
        <f t="shared" si="4"/>
        <v>81.69426008645857</v>
      </c>
      <c r="W38" s="551">
        <f t="shared" si="4"/>
        <v>65.621663729869908</v>
      </c>
      <c r="X38" s="552">
        <f t="shared" si="8"/>
        <v>178.84254813597533</v>
      </c>
      <c r="Y38" s="553">
        <f t="shared" si="5"/>
        <v>163.57653250229995</v>
      </c>
      <c r="Z38" s="552">
        <f>(J38/1000/AG55*(1-$AG$54)+$AG$52/1000/AG56*$AG$54)*AG57*1000</f>
        <v>582.11601280228865</v>
      </c>
      <c r="AA38" s="554">
        <f t="shared" si="6"/>
        <v>756.62167103322463</v>
      </c>
      <c r="AB38" s="552">
        <v>3870</v>
      </c>
      <c r="AC38" s="554">
        <v>3870</v>
      </c>
      <c r="AD38" s="332"/>
      <c r="AE38" s="73"/>
      <c r="AF38" s="650" t="s">
        <v>720</v>
      </c>
      <c r="AG38" s="651"/>
    </row>
    <row r="39" spans="1:37" x14ac:dyDescent="0.15">
      <c r="A39" s="351">
        <f t="shared" si="7"/>
        <v>2053</v>
      </c>
      <c r="B39" s="352">
        <v>99.884344917891653</v>
      </c>
      <c r="C39" s="353">
        <v>79.960253601620835</v>
      </c>
      <c r="D39" s="353">
        <v>440.41533229867736</v>
      </c>
      <c r="E39" s="353">
        <v>409.39869891902254</v>
      </c>
      <c r="F39" s="353">
        <v>94.248772332460206</v>
      </c>
      <c r="G39" s="547">
        <v>54.369368886594245</v>
      </c>
      <c r="H39" s="352">
        <f t="shared" si="14"/>
        <v>99.884344917891653</v>
      </c>
      <c r="I39" s="548">
        <f t="shared" si="14"/>
        <v>79.960253601620835</v>
      </c>
      <c r="J39" s="549">
        <f t="shared" si="16"/>
        <v>440.41533229867736</v>
      </c>
      <c r="K39" s="547">
        <f t="shared" si="17"/>
        <v>409.39869891902254</v>
      </c>
      <c r="L39" s="352">
        <f t="shared" si="18"/>
        <v>52.239145754909295</v>
      </c>
      <c r="M39" s="353">
        <f t="shared" si="19"/>
        <v>51.383271044473815</v>
      </c>
      <c r="N39" s="353">
        <f t="shared" si="20"/>
        <v>84.909145754909289</v>
      </c>
      <c r="O39" s="548">
        <f t="shared" si="21"/>
        <v>84.053271044473817</v>
      </c>
      <c r="P39" s="549">
        <f t="shared" si="15"/>
        <v>94.248772332460206</v>
      </c>
      <c r="Q39" s="547">
        <f t="shared" si="15"/>
        <v>54.369368886594252</v>
      </c>
      <c r="R39" s="352">
        <f t="shared" si="9"/>
        <v>86.210342934888132</v>
      </c>
      <c r="S39" s="547">
        <f t="shared" si="10"/>
        <v>59.371115494481145</v>
      </c>
      <c r="T39" s="352">
        <f>H39*(1-$AG$35)+$AG$32/まとめ!$B$3*$AG$35</f>
        <v>100.49760430751108</v>
      </c>
      <c r="U39" s="353">
        <f>I39*(1-$AG$35)+$AG$32/まとめ!$B$3*$AG$35</f>
        <v>81.569717557053806</v>
      </c>
      <c r="V39" s="550">
        <f t="shared" si="4"/>
        <v>81.605509797917477</v>
      </c>
      <c r="W39" s="551">
        <f t="shared" si="4"/>
        <v>65.327527192524215</v>
      </c>
      <c r="X39" s="552">
        <f t="shared" si="8"/>
        <v>178.75825165628393</v>
      </c>
      <c r="Y39" s="553">
        <f t="shared" si="5"/>
        <v>163.29715679485778</v>
      </c>
      <c r="Z39" s="552">
        <f>(J39/1000/AG55*(1-$AG$54)+$AG$52/1000/AG56*$AG$54)*AG57*1000</f>
        <v>581.18090693907834</v>
      </c>
      <c r="AA39" s="554">
        <f t="shared" si="6"/>
        <v>755.45882902712037</v>
      </c>
      <c r="AB39" s="552">
        <v>3870</v>
      </c>
      <c r="AC39" s="554">
        <v>3870</v>
      </c>
      <c r="AD39" s="332"/>
      <c r="AE39" s="73"/>
      <c r="AF39" s="652" t="s">
        <v>721</v>
      </c>
      <c r="AG39" s="653">
        <v>55.14</v>
      </c>
    </row>
    <row r="40" spans="1:37" x14ac:dyDescent="0.15">
      <c r="A40" s="351">
        <f t="shared" si="7"/>
        <v>2054</v>
      </c>
      <c r="B40" s="352">
        <v>99.778465844901348</v>
      </c>
      <c r="C40" s="353">
        <v>79.609348782958577</v>
      </c>
      <c r="D40" s="353">
        <v>439.46489222992028</v>
      </c>
      <c r="E40" s="353">
        <v>408.13936582791928</v>
      </c>
      <c r="F40" s="353">
        <v>94.58775246356187</v>
      </c>
      <c r="G40" s="547">
        <v>54.216348055137203</v>
      </c>
      <c r="H40" s="352">
        <f t="shared" si="14"/>
        <v>99.778465844901334</v>
      </c>
      <c r="I40" s="548">
        <f t="shared" si="14"/>
        <v>79.609348782958577</v>
      </c>
      <c r="J40" s="549">
        <f t="shared" si="16"/>
        <v>439.46489222992028</v>
      </c>
      <c r="K40" s="547">
        <f t="shared" si="17"/>
        <v>408.13936582791928</v>
      </c>
      <c r="L40" s="352">
        <f t="shared" si="18"/>
        <v>52.156771114150118</v>
      </c>
      <c r="M40" s="353">
        <f t="shared" si="19"/>
        <v>51.274124645467893</v>
      </c>
      <c r="N40" s="353">
        <f t="shared" si="20"/>
        <v>84.82677111415012</v>
      </c>
      <c r="O40" s="548">
        <f t="shared" si="21"/>
        <v>83.944124645467895</v>
      </c>
      <c r="P40" s="549">
        <f t="shared" si="15"/>
        <v>94.58775246356187</v>
      </c>
      <c r="Q40" s="547">
        <f t="shared" si="15"/>
        <v>54.21634805513721</v>
      </c>
      <c r="R40" s="352">
        <f t="shared" si="9"/>
        <v>86.438479869001668</v>
      </c>
      <c r="S40" s="547">
        <f t="shared" si="10"/>
        <v>59.268130982584658</v>
      </c>
      <c r="T40" s="352">
        <f>H40*(1-$AG$35)+$AG$32/まとめ!$B$3*$AG$35</f>
        <v>100.39701918817028</v>
      </c>
      <c r="U40" s="353">
        <f>I40*(1-$AG$35)+$AG$32/まとめ!$B$3*$AG$35</f>
        <v>81.236357979324666</v>
      </c>
      <c r="V40" s="550">
        <f t="shared" si="4"/>
        <v>81.519006595284381</v>
      </c>
      <c r="W40" s="551">
        <f t="shared" si="4"/>
        <v>65.040837955677148</v>
      </c>
      <c r="X40" s="552">
        <f t="shared" si="8"/>
        <v>178.67608949564345</v>
      </c>
      <c r="Y40" s="553">
        <f t="shared" si="5"/>
        <v>163.02485465557587</v>
      </c>
      <c r="Z40" s="552">
        <f>(J40/1000/AG55*(1-$AG$54)+$AG$52/1000/AG56*$AG$54)*AG57*1000</f>
        <v>580.26947720405065</v>
      </c>
      <c r="AA40" s="554">
        <f t="shared" si="6"/>
        <v>754.32542924512734</v>
      </c>
      <c r="AB40" s="552">
        <v>3870</v>
      </c>
      <c r="AC40" s="554">
        <v>3870</v>
      </c>
      <c r="AD40" s="332"/>
      <c r="AE40" s="73"/>
      <c r="AF40" s="654" t="s">
        <v>373</v>
      </c>
      <c r="AG40" s="653">
        <v>87.81</v>
      </c>
    </row>
    <row r="41" spans="1:37" ht="15" thickBot="1" x14ac:dyDescent="0.2">
      <c r="A41" s="351">
        <f t="shared" si="7"/>
        <v>2055</v>
      </c>
      <c r="B41" s="352">
        <v>99.675201339048414</v>
      </c>
      <c r="C41" s="353">
        <v>79.267109172456031</v>
      </c>
      <c r="D41" s="353">
        <v>438.53792223225099</v>
      </c>
      <c r="E41" s="353">
        <v>406.91113058100763</v>
      </c>
      <c r="F41" s="353">
        <v>94.91836185353435</v>
      </c>
      <c r="G41" s="547">
        <v>54.067105904640997</v>
      </c>
      <c r="H41" s="352">
        <f t="shared" si="14"/>
        <v>99.675201339048428</v>
      </c>
      <c r="I41" s="548">
        <f t="shared" si="14"/>
        <v>79.267109172456045</v>
      </c>
      <c r="J41" s="549">
        <f t="shared" si="16"/>
        <v>438.53792223225099</v>
      </c>
      <c r="K41" s="547">
        <f t="shared" si="17"/>
        <v>406.91113058100757</v>
      </c>
      <c r="L41" s="352">
        <f t="shared" si="18"/>
        <v>52.076430624452122</v>
      </c>
      <c r="M41" s="353">
        <f t="shared" si="19"/>
        <v>51.167673496618058</v>
      </c>
      <c r="N41" s="353">
        <f t="shared" si="20"/>
        <v>84.746430624452117</v>
      </c>
      <c r="O41" s="548">
        <f t="shared" si="21"/>
        <v>83.837673496618052</v>
      </c>
      <c r="P41" s="549">
        <f t="shared" si="15"/>
        <v>94.918361853534364</v>
      </c>
      <c r="Q41" s="547">
        <f t="shared" si="15"/>
        <v>54.067105904641004</v>
      </c>
      <c r="R41" s="352">
        <f t="shared" si="9"/>
        <v>86.66098321270016</v>
      </c>
      <c r="S41" s="547">
        <f t="shared" si="10"/>
        <v>59.167689559826151</v>
      </c>
      <c r="T41" s="352">
        <f>H41*(1-$AG$35)+$AG$32/まとめ!$B$3*$AG$35</f>
        <v>100.29891790761002</v>
      </c>
      <c r="U41" s="353">
        <f>I41*(1-$AG$35)+$AG$32/まとめ!$B$3*$AG$35</f>
        <v>80.911230349347264</v>
      </c>
      <c r="V41" s="550">
        <f t="shared" si="4"/>
        <v>81.434639494002568</v>
      </c>
      <c r="W41" s="551">
        <f t="shared" si="4"/>
        <v>64.761228193896585</v>
      </c>
      <c r="X41" s="552">
        <f t="shared" si="8"/>
        <v>178.59595623910158</v>
      </c>
      <c r="Y41" s="553">
        <f t="shared" si="5"/>
        <v>162.75927671782591</v>
      </c>
      <c r="Z41" s="552">
        <f>(J41/1000/AG55*(1-$AG$54)+$AG$52/1000/AG56*$AG$54)*AG57*1000</f>
        <v>579.38055422286834</v>
      </c>
      <c r="AA41" s="554">
        <f t="shared" si="6"/>
        <v>753.2200175229068</v>
      </c>
      <c r="AB41" s="552">
        <v>3870</v>
      </c>
      <c r="AC41" s="554">
        <v>3870</v>
      </c>
      <c r="AD41" s="332"/>
      <c r="AE41" s="73"/>
      <c r="AF41" s="655" t="s">
        <v>722</v>
      </c>
      <c r="AG41" s="656">
        <v>8.1000000000000003E-2</v>
      </c>
    </row>
    <row r="42" spans="1:37" x14ac:dyDescent="0.15">
      <c r="A42" s="351">
        <f t="shared" si="7"/>
        <v>2056</v>
      </c>
      <c r="B42" s="352">
        <v>99.574425378344785</v>
      </c>
      <c r="C42" s="353">
        <v>78.933117107570254</v>
      </c>
      <c r="D42" s="353">
        <v>437.63329104957154</v>
      </c>
      <c r="E42" s="353">
        <v>405.71249426395718</v>
      </c>
      <c r="F42" s="353">
        <v>95.241003971626398</v>
      </c>
      <c r="G42" s="547">
        <v>53.921460302897152</v>
      </c>
      <c r="H42" s="352">
        <f t="shared" si="14"/>
        <v>99.574425378344799</v>
      </c>
      <c r="I42" s="548">
        <f t="shared" si="14"/>
        <v>78.933117107570254</v>
      </c>
      <c r="J42" s="549">
        <f t="shared" si="16"/>
        <v>437.6332910495716</v>
      </c>
      <c r="K42" s="547">
        <f t="shared" si="17"/>
        <v>405.71249426395718</v>
      </c>
      <c r="L42" s="352">
        <f t="shared" si="18"/>
        <v>51.998026239849295</v>
      </c>
      <c r="M42" s="353">
        <f t="shared" si="19"/>
        <v>51.0637876870193</v>
      </c>
      <c r="N42" s="353">
        <f t="shared" si="20"/>
        <v>84.668026239849297</v>
      </c>
      <c r="O42" s="548">
        <f t="shared" si="21"/>
        <v>83.733787687019301</v>
      </c>
      <c r="P42" s="549">
        <f t="shared" si="15"/>
        <v>95.241003971626398</v>
      </c>
      <c r="Q42" s="547">
        <f t="shared" si="15"/>
        <v>53.921460302897152</v>
      </c>
      <c r="R42" s="352">
        <f t="shared" si="9"/>
        <v>86.878124504722777</v>
      </c>
      <c r="S42" s="547">
        <f t="shared" si="10"/>
        <v>59.069668649453099</v>
      </c>
      <c r="T42" s="352">
        <f>H42*(1-$AG$35)+$AG$32/まとめ!$B$3*$AG$35</f>
        <v>100.20318074494158</v>
      </c>
      <c r="U42" s="353">
        <f>I42*(1-$AG$35)+$AG$32/まとめ!$B$3*$AG$35</f>
        <v>80.593937887705764</v>
      </c>
      <c r="V42" s="550">
        <f t="shared" si="4"/>
        <v>81.3523055341077</v>
      </c>
      <c r="W42" s="551">
        <f t="shared" si="4"/>
        <v>64.488356676884891</v>
      </c>
      <c r="X42" s="552">
        <f t="shared" si="8"/>
        <v>178.51775409359556</v>
      </c>
      <c r="Y42" s="553">
        <f t="shared" si="5"/>
        <v>162.50009887547452</v>
      </c>
      <c r="Z42" s="552">
        <f>(J42/1000/AG55*(1-$AG$54)+$AG$52/1000/AG56*$AG$54)*AG57*1000</f>
        <v>578.51305317127083</v>
      </c>
      <c r="AA42" s="554">
        <f t="shared" si="6"/>
        <v>752.14124483756154</v>
      </c>
      <c r="AB42" s="552">
        <v>3870</v>
      </c>
      <c r="AC42" s="554">
        <v>3870</v>
      </c>
      <c r="AD42" s="332"/>
      <c r="AE42" s="73"/>
      <c r="AF42" s="657"/>
      <c r="AG42" s="9"/>
    </row>
    <row r="43" spans="1:37" ht="15" thickBot="1" x14ac:dyDescent="0.2">
      <c r="A43" s="351">
        <f t="shared" si="7"/>
        <v>2057</v>
      </c>
      <c r="B43" s="352">
        <v>99.476020838175359</v>
      </c>
      <c r="C43" s="353">
        <v>78.606984413464971</v>
      </c>
      <c r="D43" s="353">
        <v>436.74994729444415</v>
      </c>
      <c r="E43" s="353">
        <v>404.54206378841349</v>
      </c>
      <c r="F43" s="353">
        <v>95.556053801451483</v>
      </c>
      <c r="G43" s="547">
        <v>53.77924197654994</v>
      </c>
      <c r="H43" s="352">
        <f t="shared" si="14"/>
        <v>99.476020838175359</v>
      </c>
      <c r="I43" s="548">
        <f t="shared" si="14"/>
        <v>78.606984413464986</v>
      </c>
      <c r="J43" s="549">
        <f t="shared" si="16"/>
        <v>436.7499472944441</v>
      </c>
      <c r="K43" s="547">
        <f t="shared" si="17"/>
        <v>404.54206378841343</v>
      </c>
      <c r="L43" s="352">
        <f t="shared" si="18"/>
        <v>51.921466836592401</v>
      </c>
      <c r="M43" s="353">
        <f t="shared" si="19"/>
        <v>50.962346477703925</v>
      </c>
      <c r="N43" s="353">
        <f t="shared" si="20"/>
        <v>84.591466836592403</v>
      </c>
      <c r="O43" s="548">
        <f t="shared" si="21"/>
        <v>83.632346477703919</v>
      </c>
      <c r="P43" s="549">
        <f t="shared" si="15"/>
        <v>95.556053801451483</v>
      </c>
      <c r="Q43" s="547">
        <f t="shared" si="15"/>
        <v>53.779241976549933</v>
      </c>
      <c r="R43" s="352">
        <f t="shared" si="9"/>
        <v>87.090156112698438</v>
      </c>
      <c r="S43" s="547">
        <f t="shared" si="10"/>
        <v>58.973954328846261</v>
      </c>
      <c r="T43" s="352">
        <f>H43*(1-$AG$35)+$AG$32/まとめ!$B$3*$AG$35</f>
        <v>100.10969643178061</v>
      </c>
      <c r="U43" s="353">
        <f>I43*(1-$AG$35)+$AG$32/まとめ!$B$3*$AG$35</f>
        <v>80.284111828305754</v>
      </c>
      <c r="V43" s="550">
        <f t="shared" si="4"/>
        <v>81.271909024789267</v>
      </c>
      <c r="W43" s="551">
        <f t="shared" si="4"/>
        <v>64.221906265800882</v>
      </c>
      <c r="X43" s="552">
        <f t="shared" si="8"/>
        <v>178.44139217042408</v>
      </c>
      <c r="Y43" s="553">
        <f t="shared" si="5"/>
        <v>162.24701990484883</v>
      </c>
      <c r="Z43" s="552">
        <f>(J43/1000/AG55*(1-$AG$54)+$AG$52/1000/AG56*$AG$54)*AG57*1000</f>
        <v>577.66596581548708</v>
      </c>
      <c r="AA43" s="554">
        <f t="shared" si="6"/>
        <v>751.08785740957205</v>
      </c>
      <c r="AB43" s="552">
        <v>3870</v>
      </c>
      <c r="AC43" s="554">
        <v>3870</v>
      </c>
      <c r="AD43" s="332"/>
      <c r="AE43" s="73"/>
      <c r="AF43" s="649" t="s">
        <v>309</v>
      </c>
      <c r="AG43" s="9"/>
    </row>
    <row r="44" spans="1:37" ht="15" thickBot="1" x14ac:dyDescent="0.2">
      <c r="A44" s="351">
        <f t="shared" si="7"/>
        <v>2058</v>
      </c>
      <c r="B44" s="352">
        <v>99.379878672959663</v>
      </c>
      <c r="C44" s="353">
        <v>78.288349690870632</v>
      </c>
      <c r="D44" s="353">
        <v>435.88691210215046</v>
      </c>
      <c r="E44" s="353">
        <v>403.39854215862431</v>
      </c>
      <c r="F44" s="353">
        <v>95.863860460961973</v>
      </c>
      <c r="G44" s="547">
        <v>53.640293328399864</v>
      </c>
      <c r="H44" s="352">
        <f t="shared" si="14"/>
        <v>99.379878672959663</v>
      </c>
      <c r="I44" s="548">
        <f t="shared" si="14"/>
        <v>78.288349690870618</v>
      </c>
      <c r="J44" s="549">
        <f t="shared" si="16"/>
        <v>435.88691210215046</v>
      </c>
      <c r="K44" s="547">
        <f t="shared" si="17"/>
        <v>403.39854215862431</v>
      </c>
      <c r="L44" s="352">
        <f t="shared" si="18"/>
        <v>51.846667576476307</v>
      </c>
      <c r="M44" s="353">
        <f t="shared" si="19"/>
        <v>50.863237458050101</v>
      </c>
      <c r="N44" s="353">
        <f t="shared" si="20"/>
        <v>84.516667576476308</v>
      </c>
      <c r="O44" s="548">
        <f t="shared" si="21"/>
        <v>83.533237458050095</v>
      </c>
      <c r="P44" s="549">
        <f t="shared" si="15"/>
        <v>95.863860460961988</v>
      </c>
      <c r="Q44" s="547">
        <f t="shared" si="15"/>
        <v>53.640293328399871</v>
      </c>
      <c r="R44" s="352">
        <f t="shared" si="9"/>
        <v>87.297312996413822</v>
      </c>
      <c r="S44" s="547">
        <f t="shared" si="10"/>
        <v>58.88044053355344</v>
      </c>
      <c r="T44" s="352">
        <f>H44*(1-$AG$35)+$AG$32/まとめ!$B$3*$AG$35</f>
        <v>100.01836137482569</v>
      </c>
      <c r="U44" s="353">
        <f>I44*(1-$AG$35)+$AG$32/まとめ!$B$3*$AG$35</f>
        <v>79.981408841841102</v>
      </c>
      <c r="V44" s="550">
        <f t="shared" si="4"/>
        <v>81.19336087580804</v>
      </c>
      <c r="W44" s="551">
        <f t="shared" si="4"/>
        <v>63.961581697441289</v>
      </c>
      <c r="X44" s="552">
        <f t="shared" si="8"/>
        <v>178.3667858502167</v>
      </c>
      <c r="Y44" s="553">
        <f t="shared" si="5"/>
        <v>161.9997593601156</v>
      </c>
      <c r="Z44" s="552">
        <f>(J44/1000/AG55*(1-$AG$54)+$AG$52/1000/AG56*$AG$54)*AG57*1000</f>
        <v>576.83835346780847</v>
      </c>
      <c r="AA44" s="554">
        <f t="shared" si="6"/>
        <v>750.05868794276194</v>
      </c>
      <c r="AB44" s="552">
        <v>3870</v>
      </c>
      <c r="AC44" s="554">
        <v>3870</v>
      </c>
      <c r="AD44" s="332"/>
      <c r="AE44" s="73"/>
      <c r="AF44" s="647" t="s">
        <v>723</v>
      </c>
      <c r="AG44" s="658">
        <v>22.78</v>
      </c>
    </row>
    <row r="45" spans="1:37" ht="15" thickBot="1" x14ac:dyDescent="0.2">
      <c r="A45" s="351">
        <f t="shared" si="7"/>
        <v>2059</v>
      </c>
      <c r="B45" s="352">
        <v>99.285897189786354</v>
      </c>
      <c r="C45" s="353">
        <v>77.976875908761102</v>
      </c>
      <c r="D45" s="353">
        <v>435.04327261035667</v>
      </c>
      <c r="E45" s="353">
        <v>402.28071983199749</v>
      </c>
      <c r="F45" s="353">
        <v>96.164749527965185</v>
      </c>
      <c r="G45" s="547">
        <v>53.504467387630015</v>
      </c>
      <c r="H45" s="352">
        <f t="shared" si="14"/>
        <v>99.285897189786354</v>
      </c>
      <c r="I45" s="548">
        <f t="shared" si="14"/>
        <v>77.976875908761102</v>
      </c>
      <c r="J45" s="549">
        <f t="shared" si="16"/>
        <v>435.04327261035672</v>
      </c>
      <c r="K45" s="547">
        <f t="shared" si="17"/>
        <v>402.28071983199754</v>
      </c>
      <c r="L45" s="352">
        <f t="shared" si="18"/>
        <v>51.773549341722543</v>
      </c>
      <c r="M45" s="353">
        <f t="shared" si="19"/>
        <v>50.76635579700136</v>
      </c>
      <c r="N45" s="353">
        <f t="shared" si="20"/>
        <v>84.443549341722544</v>
      </c>
      <c r="O45" s="548">
        <f t="shared" si="21"/>
        <v>83.436355797001355</v>
      </c>
      <c r="P45" s="549">
        <f t="shared" si="15"/>
        <v>96.164749527965185</v>
      </c>
      <c r="Q45" s="547">
        <f t="shared" si="15"/>
        <v>53.504467387630022</v>
      </c>
      <c r="R45" s="352">
        <f t="shared" si="9"/>
        <v>87.499814272908424</v>
      </c>
      <c r="S45" s="547">
        <f t="shared" si="10"/>
        <v>58.7890283507815</v>
      </c>
      <c r="T45" s="352">
        <f>H45*(1-$AG$35)+$AG$32/まとめ!$B$3*$AG$35</f>
        <v>99.929078965811044</v>
      </c>
      <c r="U45" s="353">
        <f>I45*(1-$AG$35)+$AG$32/まとめ!$B$3*$AG$35</f>
        <v>79.685508748837066</v>
      </c>
      <c r="V45" s="550">
        <f t="shared" si="4"/>
        <v>81.116578004055441</v>
      </c>
      <c r="W45" s="551">
        <f t="shared" si="4"/>
        <v>63.707107617457815</v>
      </c>
      <c r="X45" s="552">
        <f t="shared" si="8"/>
        <v>178.29385621927423</v>
      </c>
      <c r="Y45" s="553">
        <f t="shared" si="5"/>
        <v>161.75805570519861</v>
      </c>
      <c r="Z45" s="552">
        <f>(J45/1000/AG55*(1-$AG$54)+$AG$52/1000/AG56*$AG$54)*AG57*1000</f>
        <v>576.02934073387542</v>
      </c>
      <c r="AA45" s="554">
        <f t="shared" si="6"/>
        <v>749.05264784879773</v>
      </c>
      <c r="AB45" s="552">
        <v>3870</v>
      </c>
      <c r="AC45" s="554">
        <v>3870</v>
      </c>
      <c r="AD45" s="332"/>
      <c r="AE45" s="73"/>
      <c r="AF45" s="9"/>
      <c r="AG45" s="9"/>
      <c r="AK45" s="8"/>
    </row>
    <row r="46" spans="1:37" ht="15" thickBot="1" x14ac:dyDescent="0.2">
      <c r="A46" s="351">
        <f t="shared" si="7"/>
        <v>2060</v>
      </c>
      <c r="B46" s="352">
        <v>99.193981401888436</v>
      </c>
      <c r="C46" s="353">
        <v>77.672248261638885</v>
      </c>
      <c r="D46" s="353">
        <v>434.21817615548338</v>
      </c>
      <c r="E46" s="353">
        <v>401.18746702929042</v>
      </c>
      <c r="F46" s="353">
        <v>96.459025110022864</v>
      </c>
      <c r="G46" s="547">
        <v>53.37162687542174</v>
      </c>
      <c r="H46" s="352">
        <f t="shared" si="14"/>
        <v>99.193981401888422</v>
      </c>
      <c r="I46" s="548">
        <f t="shared" si="14"/>
        <v>77.672248261638899</v>
      </c>
      <c r="J46" s="549">
        <f t="shared" si="16"/>
        <v>434.21817615548338</v>
      </c>
      <c r="K46" s="547">
        <f t="shared" si="17"/>
        <v>401.18746702929036</v>
      </c>
      <c r="L46" s="352">
        <f t="shared" si="18"/>
        <v>51.702038231978669</v>
      </c>
      <c r="M46" s="353">
        <f t="shared" si="19"/>
        <v>50.671603576590726</v>
      </c>
      <c r="N46" s="353">
        <f t="shared" si="20"/>
        <v>84.372038231978678</v>
      </c>
      <c r="O46" s="548">
        <f t="shared" si="21"/>
        <v>83.341603576590728</v>
      </c>
      <c r="P46" s="549">
        <f t="shared" si="15"/>
        <v>96.459025110022864</v>
      </c>
      <c r="Q46" s="547">
        <f t="shared" si="15"/>
        <v>53.371626875421747</v>
      </c>
      <c r="R46" s="352">
        <f t="shared" si="9"/>
        <v>87.697864609537078</v>
      </c>
      <c r="S46" s="547">
        <f t="shared" si="10"/>
        <v>58.699625390546707</v>
      </c>
      <c r="T46" s="352">
        <f>H46*(1-$AG$35)+$AG$32/まとめ!$B$3*$AG$35</f>
        <v>99.84175896730801</v>
      </c>
      <c r="U46" s="353">
        <f>I46*(1-$AG$35)+$AG$32/まとめ!$B$3*$AG$35</f>
        <v>79.396112484070969</v>
      </c>
      <c r="V46" s="550">
        <f t="shared" si="4"/>
        <v>81.041482805342838</v>
      </c>
      <c r="W46" s="551">
        <f t="shared" si="4"/>
        <v>63.458226829758978</v>
      </c>
      <c r="X46" s="552">
        <f t="shared" si="8"/>
        <v>178.22252956786542</v>
      </c>
      <c r="Y46" s="553">
        <f t="shared" si="5"/>
        <v>161.52166465103178</v>
      </c>
      <c r="Z46" s="552">
        <f>(J46/1000/AG55*(1-$AG$54)+$AG$52/1000/AG56*$AG$54)*AG57*1000</f>
        <v>575.23810994725579</v>
      </c>
      <c r="AA46" s="554">
        <f t="shared" si="6"/>
        <v>748.06872032636136</v>
      </c>
      <c r="AB46" s="552">
        <v>3870</v>
      </c>
      <c r="AC46" s="554">
        <v>3870</v>
      </c>
      <c r="AD46" s="332"/>
      <c r="AE46" s="73"/>
      <c r="AF46" s="647" t="s">
        <v>724</v>
      </c>
      <c r="AG46" s="659">
        <v>0</v>
      </c>
      <c r="AK46" s="8"/>
    </row>
    <row r="47" spans="1:37" ht="15" thickBot="1" x14ac:dyDescent="0.2">
      <c r="A47" s="351">
        <f t="shared" si="7"/>
        <v>2061</v>
      </c>
      <c r="B47" s="352">
        <v>99.104042451654365</v>
      </c>
      <c r="C47" s="353">
        <v>77.374172257276314</v>
      </c>
      <c r="D47" s="353">
        <v>433.41082509327441</v>
      </c>
      <c r="E47" s="353">
        <v>400.11772687186362</v>
      </c>
      <c r="F47" s="353">
        <v>96.746971691726358</v>
      </c>
      <c r="G47" s="547">
        <v>53.241643371066239</v>
      </c>
      <c r="H47" s="352">
        <f t="shared" si="14"/>
        <v>99.104042451654365</v>
      </c>
      <c r="I47" s="548">
        <f t="shared" si="14"/>
        <v>77.3741722572763</v>
      </c>
      <c r="J47" s="549">
        <f t="shared" si="16"/>
        <v>433.41082509327447</v>
      </c>
      <c r="K47" s="547">
        <f t="shared" si="17"/>
        <v>400.11772687186362</v>
      </c>
      <c r="L47" s="352">
        <f t="shared" si="18"/>
        <v>51.632065115417028</v>
      </c>
      <c r="M47" s="353">
        <f t="shared" si="19"/>
        <v>50.578889197146552</v>
      </c>
      <c r="N47" s="353">
        <f t="shared" si="20"/>
        <v>84.302065115417022</v>
      </c>
      <c r="O47" s="548">
        <f t="shared" si="21"/>
        <v>83.248889197146553</v>
      </c>
      <c r="P47" s="549">
        <f t="shared" si="15"/>
        <v>96.746971691726358</v>
      </c>
      <c r="Q47" s="547">
        <f t="shared" si="15"/>
        <v>53.241643371066239</v>
      </c>
      <c r="R47" s="352">
        <f t="shared" si="9"/>
        <v>87.891655467204217</v>
      </c>
      <c r="S47" s="547">
        <f t="shared" si="10"/>
        <v>58.612145224459617</v>
      </c>
      <c r="T47" s="352">
        <f>H47*(1-$AG$35)+$AG$32/まとめ!$B$3*$AG$35</f>
        <v>99.756316964585665</v>
      </c>
      <c r="U47" s="353">
        <f>I47*(1-$AG$35)+$AG$32/まとめ!$B$3*$AG$35</f>
        <v>79.112940279926505</v>
      </c>
      <c r="V47" s="550">
        <f t="shared" si="4"/>
        <v>80.968002683001615</v>
      </c>
      <c r="W47" s="551">
        <f t="shared" si="4"/>
        <v>63.214698734194734</v>
      </c>
      <c r="X47" s="552">
        <f t="shared" si="8"/>
        <v>178.15273694248378</v>
      </c>
      <c r="Y47" s="553">
        <f t="shared" si="5"/>
        <v>161.2903576716464</v>
      </c>
      <c r="Z47" s="552">
        <f>(J47/1000/AG55*(1-$AG$54)+$AG$52/1000/AG56*$AG$54)*AG57*1000</f>
        <v>574.46389620259981</v>
      </c>
      <c r="AA47" s="554">
        <f t="shared" si="6"/>
        <v>747.10595418467733</v>
      </c>
      <c r="AB47" s="552">
        <v>3870</v>
      </c>
      <c r="AC47" s="554">
        <v>3870</v>
      </c>
      <c r="AD47" s="332"/>
      <c r="AE47" s="73"/>
      <c r="AF47" s="9"/>
      <c r="AG47" s="9"/>
      <c r="AK47" s="8"/>
    </row>
    <row r="48" spans="1:37" x14ac:dyDescent="0.15">
      <c r="A48" s="351">
        <f t="shared" si="7"/>
        <v>2062</v>
      </c>
      <c r="B48" s="352">
        <v>99.015997094389036</v>
      </c>
      <c r="C48" s="353">
        <v>77.082372005794369</v>
      </c>
      <c r="D48" s="353">
        <v>432.62047216469637</v>
      </c>
      <c r="E48" s="353">
        <v>399.07050924149763</v>
      </c>
      <c r="F48" s="353">
        <v>97.028855787476132</v>
      </c>
      <c r="G48" s="547">
        <v>53.114396565874543</v>
      </c>
      <c r="H48" s="352">
        <f t="shared" si="14"/>
        <v>99.015997094389022</v>
      </c>
      <c r="I48" s="548">
        <f t="shared" si="14"/>
        <v>77.082372005794369</v>
      </c>
      <c r="J48" s="549">
        <f t="shared" si="16"/>
        <v>432.62047216469631</v>
      </c>
      <c r="K48" s="547">
        <f t="shared" si="17"/>
        <v>399.07050924149769</v>
      </c>
      <c r="L48" s="352">
        <f t="shared" si="18"/>
        <v>51.563565227097158</v>
      </c>
      <c r="M48" s="353">
        <f t="shared" si="19"/>
        <v>50.488126845122736</v>
      </c>
      <c r="N48" s="353">
        <f t="shared" si="20"/>
        <v>84.233565227097159</v>
      </c>
      <c r="O48" s="548">
        <f t="shared" si="21"/>
        <v>83.158126845122737</v>
      </c>
      <c r="P48" s="549">
        <f t="shared" si="15"/>
        <v>97.028855787476132</v>
      </c>
      <c r="Q48" s="547">
        <f t="shared" si="15"/>
        <v>53.11439656587455</v>
      </c>
      <c r="R48" s="352">
        <f t="shared" si="9"/>
        <v>88.081366212700473</v>
      </c>
      <c r="S48" s="547">
        <f t="shared" si="10"/>
        <v>58.526506883599254</v>
      </c>
      <c r="T48" s="352">
        <f>H48*(1-$AG$35)+$AG$32/まとめ!$B$3*$AG$35</f>
        <v>99.672673875183591</v>
      </c>
      <c r="U48" s="353">
        <f>I48*(1-$AG$35)+$AG$32/まとめ!$B$3*$AG$35</f>
        <v>78.835730041018664</v>
      </c>
      <c r="V48" s="550">
        <f t="shared" si="4"/>
        <v>80.896069626115832</v>
      </c>
      <c r="W48" s="551">
        <f t="shared" si="4"/>
        <v>62.976297928733999</v>
      </c>
      <c r="X48" s="552">
        <f t="shared" si="8"/>
        <v>178.08441374524588</v>
      </c>
      <c r="Y48" s="553">
        <f t="shared" si="5"/>
        <v>161.06392067649642</v>
      </c>
      <c r="Z48" s="552">
        <f>(J48/1000/AG55*(1-$AG$54)+$AG$52/1000/AG56*$AG$54)*AG57*1000</f>
        <v>573.70598291174451</v>
      </c>
      <c r="AA48" s="554">
        <f t="shared" si="6"/>
        <v>746.16345831734793</v>
      </c>
      <c r="AB48" s="552">
        <v>3870</v>
      </c>
      <c r="AC48" s="554">
        <v>3870</v>
      </c>
      <c r="AD48" s="332"/>
      <c r="AE48" s="73"/>
      <c r="AF48" s="660" t="s">
        <v>310</v>
      </c>
      <c r="AG48" s="661">
        <v>0.224</v>
      </c>
    </row>
    <row r="49" spans="1:33" x14ac:dyDescent="0.15">
      <c r="A49" s="351">
        <f t="shared" si="7"/>
        <v>2063</v>
      </c>
      <c r="B49" s="352">
        <v>98.929767235307196</v>
      </c>
      <c r="C49" s="353">
        <v>76.796588685164451</v>
      </c>
      <c r="D49" s="353">
        <v>431.84641633968761</v>
      </c>
      <c r="E49" s="353">
        <v>398.0448852733611</v>
      </c>
      <c r="F49" s="353">
        <v>97.304927423833561</v>
      </c>
      <c r="G49" s="547">
        <v>52.989773594021202</v>
      </c>
      <c r="H49" s="352">
        <f t="shared" si="14"/>
        <v>98.92976723530721</v>
      </c>
      <c r="I49" s="548">
        <f t="shared" si="14"/>
        <v>76.796588685164451</v>
      </c>
      <c r="J49" s="549">
        <f t="shared" si="16"/>
        <v>431.84641633968766</v>
      </c>
      <c r="K49" s="547">
        <f t="shared" si="17"/>
        <v>398.04488527336105</v>
      </c>
      <c r="L49" s="352">
        <f t="shared" si="18"/>
        <v>51.496477808743656</v>
      </c>
      <c r="M49" s="353">
        <f t="shared" si="19"/>
        <v>50.399236015804334</v>
      </c>
      <c r="N49" s="353">
        <f t="shared" si="20"/>
        <v>84.166477808743664</v>
      </c>
      <c r="O49" s="548">
        <f t="shared" si="21"/>
        <v>83.069236015804336</v>
      </c>
      <c r="P49" s="549">
        <f t="shared" si="15"/>
        <v>97.304927423833547</v>
      </c>
      <c r="Q49" s="547">
        <f t="shared" si="15"/>
        <v>52.989773594021209</v>
      </c>
      <c r="R49" s="352">
        <f t="shared" si="9"/>
        <v>88.267165116340053</v>
      </c>
      <c r="S49" s="547">
        <f t="shared" si="10"/>
        <v>58.442634408164366</v>
      </c>
      <c r="T49" s="352">
        <f>H49*(1-$AG$35)+$AG$32/まとめ!$B$3*$AG$35</f>
        <v>99.590755509055867</v>
      </c>
      <c r="U49" s="353">
        <f>I49*(1-$AG$35)+$AG$32/まとめ!$B$3*$AG$35</f>
        <v>78.564235886420249</v>
      </c>
      <c r="V49" s="550">
        <f t="shared" si="4"/>
        <v>80.825619831245987</v>
      </c>
      <c r="W49" s="551">
        <f t="shared" si="4"/>
        <v>62.74281295577935</v>
      </c>
      <c r="X49" s="552">
        <f t="shared" si="8"/>
        <v>178.0174993745984</v>
      </c>
      <c r="Y49" s="553">
        <f t="shared" si="5"/>
        <v>160.84215281968761</v>
      </c>
      <c r="Z49" s="552">
        <f>(J49/1000/AG55*(1-$AG$54)+$AG$52/1000/AG56*$AG$54)*AG57*1000</f>
        <v>572.96369781805424</v>
      </c>
      <c r="AA49" s="554">
        <f t="shared" si="6"/>
        <v>745.240396746025</v>
      </c>
      <c r="AB49" s="552">
        <v>3870</v>
      </c>
      <c r="AC49" s="554">
        <v>3870</v>
      </c>
      <c r="AD49" s="332"/>
      <c r="AE49" s="73"/>
      <c r="AF49" s="662" t="s">
        <v>311</v>
      </c>
      <c r="AG49" s="663">
        <v>452</v>
      </c>
    </row>
    <row r="50" spans="1:33" ht="15" thickBot="1" x14ac:dyDescent="0.2">
      <c r="A50" s="351">
        <f t="shared" si="7"/>
        <v>2064</v>
      </c>
      <c r="B50" s="352">
        <v>98.845279513305329</v>
      </c>
      <c r="C50" s="353">
        <v>76.516579161743635</v>
      </c>
      <c r="D50" s="353">
        <v>431.08799908082148</v>
      </c>
      <c r="E50" s="353">
        <v>397.0399824053635</v>
      </c>
      <c r="F50" s="353">
        <v>97.575421472107834</v>
      </c>
      <c r="G50" s="547">
        <v>52.867668430994115</v>
      </c>
      <c r="H50" s="352">
        <f t="shared" si="14"/>
        <v>98.845279513305329</v>
      </c>
      <c r="I50" s="548">
        <f t="shared" si="14"/>
        <v>76.51657916174365</v>
      </c>
      <c r="J50" s="549">
        <f t="shared" si="16"/>
        <v>431.08799908082148</v>
      </c>
      <c r="K50" s="547">
        <f t="shared" si="17"/>
        <v>397.0399824053635</v>
      </c>
      <c r="L50" s="352">
        <f t="shared" si="18"/>
        <v>51.430745784917725</v>
      </c>
      <c r="M50" s="353">
        <f t="shared" si="19"/>
        <v>50.312141084234987</v>
      </c>
      <c r="N50" s="353">
        <f t="shared" si="20"/>
        <v>84.100745784917734</v>
      </c>
      <c r="O50" s="548">
        <f t="shared" si="21"/>
        <v>82.982141084234982</v>
      </c>
      <c r="P50" s="549">
        <f t="shared" si="15"/>
        <v>97.575421472107834</v>
      </c>
      <c r="Q50" s="547">
        <f t="shared" si="15"/>
        <v>52.867668430994108</v>
      </c>
      <c r="R50" s="352">
        <f t="shared" si="9"/>
        <v>88.449210248804604</v>
      </c>
      <c r="S50" s="547">
        <f t="shared" si="10"/>
        <v>58.360456442624312</v>
      </c>
      <c r="T50" s="352">
        <f>H50*(1-$AG$35)+$AG$32/まとめ!$B$3*$AG$35</f>
        <v>99.510492173154077</v>
      </c>
      <c r="U50" s="353">
        <f>I50*(1-$AG$35)+$AG$32/まとめ!$B$3*$AG$35</f>
        <v>78.298226839170482</v>
      </c>
      <c r="V50" s="550">
        <f t="shared" si="4"/>
        <v>80.756593362370452</v>
      </c>
      <c r="W50" s="551">
        <f t="shared" si="4"/>
        <v>62.51404517514456</v>
      </c>
      <c r="X50" s="552">
        <f t="shared" si="8"/>
        <v>177.95193690232495</v>
      </c>
      <c r="Y50" s="553">
        <f t="shared" si="5"/>
        <v>160.62486542951308</v>
      </c>
      <c r="Z50" s="552">
        <f>(J50/1000/AG55*(1-$AG$54)+$AG$52/1000/AG56*$AG$54)*AG57*1000</f>
        <v>572.23640941343865</v>
      </c>
      <c r="AA50" s="554">
        <f t="shared" si="6"/>
        <v>744.3359841648271</v>
      </c>
      <c r="AB50" s="552">
        <v>3870</v>
      </c>
      <c r="AC50" s="554">
        <v>3870</v>
      </c>
      <c r="AD50" s="332"/>
      <c r="AE50" s="73"/>
      <c r="AF50" s="664" t="s">
        <v>312</v>
      </c>
      <c r="AG50" s="665">
        <v>765</v>
      </c>
    </row>
    <row r="51" spans="1:33" ht="15" thickBot="1" x14ac:dyDescent="0.2">
      <c r="A51" s="351">
        <f t="shared" si="7"/>
        <v>2065</v>
      </c>
      <c r="B51" s="352">
        <v>98.762464925952699</v>
      </c>
      <c r="C51" s="353">
        <v>76.242114747418583</v>
      </c>
      <c r="D51" s="353">
        <v>430.34460097697962</v>
      </c>
      <c r="E51" s="353">
        <v>396.05497991777304</v>
      </c>
      <c r="F51" s="353">
        <v>97.840558848976372</v>
      </c>
      <c r="G51" s="547">
        <v>52.747981351616005</v>
      </c>
      <c r="H51" s="352">
        <f t="shared" si="14"/>
        <v>98.762464925952699</v>
      </c>
      <c r="I51" s="548">
        <f t="shared" si="14"/>
        <v>76.242114747418597</v>
      </c>
      <c r="J51" s="549">
        <f t="shared" si="16"/>
        <v>430.34460097697962</v>
      </c>
      <c r="K51" s="547">
        <f t="shared" si="17"/>
        <v>396.05497991777304</v>
      </c>
      <c r="L51" s="352">
        <f t="shared" si="18"/>
        <v>51.366315471257749</v>
      </c>
      <c r="M51" s="353">
        <f t="shared" si="19"/>
        <v>50.226770918635523</v>
      </c>
      <c r="N51" s="353">
        <f t="shared" si="20"/>
        <v>84.036315471257751</v>
      </c>
      <c r="O51" s="548">
        <f t="shared" si="21"/>
        <v>82.896770918635525</v>
      </c>
      <c r="P51" s="549">
        <f t="shared" si="15"/>
        <v>97.840558848976357</v>
      </c>
      <c r="Q51" s="547">
        <f t="shared" si="15"/>
        <v>52.747981351615998</v>
      </c>
      <c r="R51" s="352">
        <f t="shared" si="9"/>
        <v>88.627650289172493</v>
      </c>
      <c r="S51" s="547">
        <f t="shared" si="10"/>
        <v>58.279905870962239</v>
      </c>
      <c r="T51" s="352">
        <f>H51*(1-$AG$35)+$AG$32/まとめ!$B$3*$AG$35</f>
        <v>99.431818315169082</v>
      </c>
      <c r="U51" s="353">
        <f>I51*(1-$AG$35)+$AG$32/まとめ!$B$3*$AG$35</f>
        <v>78.037485645561688</v>
      </c>
      <c r="V51" s="550">
        <f t="shared" si="4"/>
        <v>80.688933844503353</v>
      </c>
      <c r="W51" s="551">
        <f t="shared" si="4"/>
        <v>62.289807748640989</v>
      </c>
      <c r="X51" s="552">
        <f t="shared" si="8"/>
        <v>177.88767278253931</v>
      </c>
      <c r="Y51" s="553">
        <f t="shared" si="5"/>
        <v>160.41188104399683</v>
      </c>
      <c r="Z51" s="552">
        <f>(J51/1000/AG55*(1-$AG$54)+$AG$52/1000/AG56*$AG$54)*AG57*1000</f>
        <v>571.52352371019731</v>
      </c>
      <c r="AA51" s="554">
        <f t="shared" si="6"/>
        <v>743.44948192599577</v>
      </c>
      <c r="AB51" s="552">
        <v>3870</v>
      </c>
      <c r="AC51" s="554">
        <v>3870</v>
      </c>
      <c r="AD51" s="332"/>
      <c r="AE51" s="73"/>
      <c r="AF51" s="9"/>
      <c r="AG51" s="9"/>
    </row>
    <row r="52" spans="1:33" x14ac:dyDescent="0.15">
      <c r="A52" s="351">
        <f t="shared" si="7"/>
        <v>2066</v>
      </c>
      <c r="B52" s="352">
        <v>98.681258490898301</v>
      </c>
      <c r="C52" s="353">
        <v>75.972980077439161</v>
      </c>
      <c r="D52" s="353">
        <v>429.61563870391836</v>
      </c>
      <c r="E52" s="353">
        <v>395.08910490596685</v>
      </c>
      <c r="F52" s="353">
        <v>98.100547600517103</v>
      </c>
      <c r="G52" s="547">
        <v>52.630618440695685</v>
      </c>
      <c r="H52" s="352">
        <f t="shared" si="14"/>
        <v>98.681258490898287</v>
      </c>
      <c r="I52" s="548">
        <f t="shared" si="14"/>
        <v>75.972980077439146</v>
      </c>
      <c r="J52" s="549">
        <f t="shared" si="16"/>
        <v>429.61563870391836</v>
      </c>
      <c r="K52" s="547">
        <f t="shared" si="17"/>
        <v>395.08910490596679</v>
      </c>
      <c r="L52" s="352">
        <f t="shared" si="18"/>
        <v>51.303136311051531</v>
      </c>
      <c r="M52" s="353">
        <f t="shared" si="19"/>
        <v>50.143058531362271</v>
      </c>
      <c r="N52" s="353">
        <f t="shared" si="20"/>
        <v>83.973136311051533</v>
      </c>
      <c r="O52" s="548">
        <f t="shared" si="21"/>
        <v>82.813058531362273</v>
      </c>
      <c r="P52" s="549">
        <f t="shared" si="15"/>
        <v>98.100547600517089</v>
      </c>
      <c r="Q52" s="547">
        <f t="shared" si="15"/>
        <v>52.630618440695677</v>
      </c>
      <c r="R52" s="352">
        <f t="shared" si="9"/>
        <v>88.802625254483118</v>
      </c>
      <c r="S52" s="547">
        <f t="shared" si="10"/>
        <v>58.200919487338552</v>
      </c>
      <c r="T52" s="352">
        <f>H52*(1-$AG$35)+$AG$32/まとめ!$B$3*$AG$35</f>
        <v>99.354672201867388</v>
      </c>
      <c r="U52" s="353">
        <f>I52*(1-$AG$35)+$AG$32/まとめ!$B$3*$AG$35</f>
        <v>77.781807709081207</v>
      </c>
      <c r="V52" s="550">
        <f t="shared" si="4"/>
        <v>80.622588187063897</v>
      </c>
      <c r="W52" s="551">
        <f t="shared" si="4"/>
        <v>62.069924723267782</v>
      </c>
      <c r="X52" s="552">
        <f t="shared" si="8"/>
        <v>177.82465658893707</v>
      </c>
      <c r="Y52" s="553">
        <f t="shared" si="5"/>
        <v>160.20303254009278</v>
      </c>
      <c r="Z52" s="552">
        <f>(J52/1000/AG55*(1-$AG$54)+$AG$52/1000/AG56*$AG$54)*AG57*1000</f>
        <v>570.82448132633579</v>
      </c>
      <c r="AA52" s="554">
        <f t="shared" si="6"/>
        <v>742.5801944153701</v>
      </c>
      <c r="AB52" s="552">
        <v>3870</v>
      </c>
      <c r="AC52" s="554">
        <v>3870</v>
      </c>
      <c r="AD52" s="332"/>
      <c r="AE52" s="73"/>
      <c r="AF52" s="666" t="s">
        <v>313</v>
      </c>
      <c r="AG52" s="667">
        <v>3870</v>
      </c>
    </row>
    <row r="53" spans="1:33" x14ac:dyDescent="0.15">
      <c r="A53" s="351">
        <f t="shared" si="7"/>
        <v>2067</v>
      </c>
      <c r="B53" s="352">
        <v>98.601598939530859</v>
      </c>
      <c r="C53" s="353">
        <v>75.708972095145327</v>
      </c>
      <c r="D53" s="353">
        <v>428.90056227436014</v>
      </c>
      <c r="E53" s="353">
        <v>394.14162863680218</v>
      </c>
      <c r="F53" s="353">
        <v>98.35558388297973</v>
      </c>
      <c r="G53" s="547">
        <v>52.51549115029281</v>
      </c>
      <c r="H53" s="352">
        <f t="shared" si="14"/>
        <v>98.601598939530859</v>
      </c>
      <c r="I53" s="548">
        <f t="shared" si="14"/>
        <v>75.708972095145313</v>
      </c>
      <c r="J53" s="549">
        <f t="shared" si="16"/>
        <v>428.9005622743602</v>
      </c>
      <c r="K53" s="547">
        <f t="shared" si="17"/>
        <v>394.14162863680224</v>
      </c>
      <c r="L53" s="352">
        <f t="shared" si="18"/>
        <v>51.241160636901725</v>
      </c>
      <c r="M53" s="353">
        <f t="shared" si="19"/>
        <v>50.060940763113777</v>
      </c>
      <c r="N53" s="353">
        <f t="shared" si="20"/>
        <v>83.911160636901727</v>
      </c>
      <c r="O53" s="548">
        <f t="shared" si="21"/>
        <v>82.730940763113779</v>
      </c>
      <c r="P53" s="549">
        <f t="shared" si="15"/>
        <v>98.35558388297973</v>
      </c>
      <c r="Q53" s="547">
        <f t="shared" si="15"/>
        <v>52.51549115029281</v>
      </c>
      <c r="R53" s="352">
        <f t="shared" si="9"/>
        <v>88.974267159805549</v>
      </c>
      <c r="S53" s="547">
        <f t="shared" si="10"/>
        <v>58.123437698125862</v>
      </c>
      <c r="T53" s="352">
        <f>H53*(1-$AG$35)+$AG$32/まとめ!$B$3*$AG$35</f>
        <v>99.27899562806833</v>
      </c>
      <c r="U53" s="353">
        <f>I53*(1-$AG$35)+$AG$32/まとめ!$B$3*$AG$35</f>
        <v>77.531000125902068</v>
      </c>
      <c r="V53" s="550">
        <f t="shared" si="4"/>
        <v>80.557506333596706</v>
      </c>
      <c r="W53" s="551">
        <f t="shared" si="4"/>
        <v>61.854230201733714</v>
      </c>
      <c r="X53" s="552">
        <f t="shared" si="8"/>
        <v>177.76284077707595</v>
      </c>
      <c r="Y53" s="553">
        <f t="shared" si="5"/>
        <v>159.99816234583278</v>
      </c>
      <c r="Z53" s="552">
        <f>(J53/1000/AG55*(1-$AG$54)+$AG$52/1000/AG56*$AG$54)*AG57*1000</f>
        <v>570.13875484852724</v>
      </c>
      <c r="AA53" s="554">
        <f t="shared" si="6"/>
        <v>741.72746577312205</v>
      </c>
      <c r="AB53" s="552">
        <v>3870</v>
      </c>
      <c r="AC53" s="554">
        <v>3870</v>
      </c>
      <c r="AD53" s="332"/>
      <c r="AE53" s="73"/>
      <c r="AF53" s="668" t="s">
        <v>725</v>
      </c>
      <c r="AG53" s="669">
        <v>5835</v>
      </c>
    </row>
    <row r="54" spans="1:33" ht="15" thickBot="1" x14ac:dyDescent="0.2">
      <c r="A54" s="351">
        <f t="shared" si="7"/>
        <v>2068</v>
      </c>
      <c r="B54" s="352">
        <v>98.523428439274042</v>
      </c>
      <c r="C54" s="353">
        <v>75.449899131596894</v>
      </c>
      <c r="D54" s="353">
        <v>428.19885254513275</v>
      </c>
      <c r="E54" s="353">
        <v>393.21186324557584</v>
      </c>
      <c r="F54" s="353">
        <v>98.605852851879447</v>
      </c>
      <c r="G54" s="547">
        <v>52.402515898367355</v>
      </c>
      <c r="H54" s="352">
        <f t="shared" si="14"/>
        <v>98.523428439274042</v>
      </c>
      <c r="I54" s="548">
        <f t="shared" si="14"/>
        <v>75.449899131596894</v>
      </c>
      <c r="J54" s="549">
        <f t="shared" si="16"/>
        <v>428.19885254513275</v>
      </c>
      <c r="K54" s="547">
        <f t="shared" si="17"/>
        <v>393.21186324557584</v>
      </c>
      <c r="L54" s="352">
        <f t="shared" si="18"/>
        <v>51.180343454669583</v>
      </c>
      <c r="M54" s="353">
        <f t="shared" si="19"/>
        <v>49.980357996656188</v>
      </c>
      <c r="N54" s="353">
        <f t="shared" si="20"/>
        <v>83.850343454669584</v>
      </c>
      <c r="O54" s="548">
        <f t="shared" si="21"/>
        <v>82.650357996656197</v>
      </c>
      <c r="P54" s="549">
        <f t="shared" si="15"/>
        <v>98.605852851879447</v>
      </c>
      <c r="Q54" s="547">
        <f t="shared" si="15"/>
        <v>52.402515898367362</v>
      </c>
      <c r="R54" s="352">
        <f t="shared" si="9"/>
        <v>89.142700616607229</v>
      </c>
      <c r="S54" s="547">
        <f t="shared" si="10"/>
        <v>58.047404251796095</v>
      </c>
      <c r="T54" s="352">
        <f>H54*(1-$AG$35)+$AG$32/まとめ!$B$3*$AG$35</f>
        <v>99.204733652824359</v>
      </c>
      <c r="U54" s="353">
        <f>I54*(1-$AG$35)+$AG$32/まとめ!$B$3*$AG$35</f>
        <v>77.284880810531064</v>
      </c>
      <c r="V54" s="550">
        <f t="shared" si="4"/>
        <v>80.493641034886892</v>
      </c>
      <c r="W54" s="551">
        <f t="shared" si="4"/>
        <v>61.642567590514659</v>
      </c>
      <c r="X54" s="552">
        <f t="shared" si="8"/>
        <v>177.70218046887666</v>
      </c>
      <c r="Y54" s="553">
        <f t="shared" si="5"/>
        <v>159.7971217261192</v>
      </c>
      <c r="Z54" s="552">
        <f>(J54/1000/AG55*(1-$AG$54)+$AG$52/1000/AG56*$AG$54)*AG57*1000</f>
        <v>569.46584644156951</v>
      </c>
      <c r="AA54" s="554">
        <f t="shared" si="6"/>
        <v>740.89067692101821</v>
      </c>
      <c r="AB54" s="552">
        <v>3870</v>
      </c>
      <c r="AC54" s="554">
        <v>3870</v>
      </c>
      <c r="AD54" s="332"/>
      <c r="AE54" s="73"/>
      <c r="AF54" s="670" t="s">
        <v>726</v>
      </c>
      <c r="AG54" s="671">
        <v>0.1</v>
      </c>
    </row>
    <row r="55" spans="1:33" x14ac:dyDescent="0.15">
      <c r="A55" s="351">
        <f t="shared" si="7"/>
        <v>2069</v>
      </c>
      <c r="B55" s="352">
        <v>98.446692341363644</v>
      </c>
      <c r="C55" s="353">
        <v>75.195580069655691</v>
      </c>
      <c r="D55" s="353">
        <v>427.51001895305177</v>
      </c>
      <c r="E55" s="353">
        <v>392.29915873606848</v>
      </c>
      <c r="F55" s="353">
        <v>98.851529469507923</v>
      </c>
      <c r="G55" s="547">
        <v>52.291613704256775</v>
      </c>
      <c r="H55" s="352">
        <f t="shared" si="14"/>
        <v>98.446692341363629</v>
      </c>
      <c r="I55" s="548">
        <f t="shared" si="14"/>
        <v>75.195580069655691</v>
      </c>
      <c r="J55" s="549">
        <f t="shared" si="16"/>
        <v>427.51001895305177</v>
      </c>
      <c r="K55" s="547">
        <f t="shared" si="17"/>
        <v>392.29915873606853</v>
      </c>
      <c r="L55" s="352">
        <f t="shared" si="18"/>
        <v>51.120642247243921</v>
      </c>
      <c r="M55" s="353">
        <f t="shared" si="19"/>
        <v>49.901253896817195</v>
      </c>
      <c r="N55" s="353">
        <f t="shared" si="20"/>
        <v>83.790642247243923</v>
      </c>
      <c r="O55" s="548">
        <f t="shared" si="21"/>
        <v>82.571253896817197</v>
      </c>
      <c r="P55" s="549">
        <f t="shared" si="15"/>
        <v>98.851529469507923</v>
      </c>
      <c r="Q55" s="547">
        <f t="shared" si="15"/>
        <v>52.291613704256768</v>
      </c>
      <c r="R55" s="352">
        <f t="shared" si="9"/>
        <v>89.308043376216744</v>
      </c>
      <c r="S55" s="547">
        <f t="shared" si="10"/>
        <v>57.972765993593093</v>
      </c>
      <c r="T55" s="352">
        <f>H55*(1-$AG$35)+$AG$32/まとめ!$B$3*$AG$35</f>
        <v>99.13183435980946</v>
      </c>
      <c r="U55" s="353">
        <f>I55*(1-$AG$35)+$AG$32/まとめ!$B$3*$AG$35</f>
        <v>77.043277701686918</v>
      </c>
      <c r="V55" s="550">
        <f t="shared" si="4"/>
        <v>80.430947642894083</v>
      </c>
      <c r="W55" s="551">
        <f t="shared" si="4"/>
        <v>61.434788916908694</v>
      </c>
      <c r="X55" s="552">
        <f t="shared" si="8"/>
        <v>177.64263325689819</v>
      </c>
      <c r="Y55" s="553">
        <f t="shared" si="5"/>
        <v>159.59977013405282</v>
      </c>
      <c r="Z55" s="552">
        <f>(J55/1000/AG55*(1-$AG$54)+$AG$52/1000/AG56*$AG$54)*AG57*1000</f>
        <v>568.80528567719682</v>
      </c>
      <c r="AA55" s="554">
        <f t="shared" si="6"/>
        <v>740.06924286246169</v>
      </c>
      <c r="AB55" s="552">
        <v>3870</v>
      </c>
      <c r="AC55" s="554">
        <v>3870</v>
      </c>
      <c r="AD55" s="332"/>
      <c r="AE55" s="73"/>
      <c r="AF55" s="672" t="s">
        <v>375</v>
      </c>
      <c r="AG55" s="673">
        <v>54.7</v>
      </c>
    </row>
    <row r="56" spans="1:33" ht="15" thickBot="1" x14ac:dyDescent="0.2">
      <c r="A56" s="354">
        <f t="shared" si="7"/>
        <v>2070</v>
      </c>
      <c r="B56" s="355">
        <v>98.371338951351433</v>
      </c>
      <c r="C56" s="356">
        <v>74.94584358338858</v>
      </c>
      <c r="D56" s="356">
        <v>426.83359745481255</v>
      </c>
      <c r="E56" s="356">
        <v>391.40290025090155</v>
      </c>
      <c r="F56" s="356">
        <v>99.092779239683281</v>
      </c>
      <c r="G56" s="555">
        <v>52.182709856998592</v>
      </c>
      <c r="H56" s="355">
        <f t="shared" si="14"/>
        <v>98.371338951351433</v>
      </c>
      <c r="I56" s="556">
        <f t="shared" si="14"/>
        <v>74.945843583388566</v>
      </c>
      <c r="J56" s="557">
        <f t="shared" si="16"/>
        <v>426.8335974548126</v>
      </c>
      <c r="K56" s="555">
        <f t="shared" si="17"/>
        <v>391.40290025090155</v>
      </c>
      <c r="L56" s="355">
        <f t="shared" si="18"/>
        <v>51.062016795991539</v>
      </c>
      <c r="M56" s="356">
        <f t="shared" si="19"/>
        <v>49.82357517390777</v>
      </c>
      <c r="N56" s="356">
        <f t="shared" si="20"/>
        <v>83.732016795991541</v>
      </c>
      <c r="O56" s="556">
        <f t="shared" si="21"/>
        <v>82.493575173907772</v>
      </c>
      <c r="P56" s="557">
        <f t="shared" si="15"/>
        <v>99.092779239683281</v>
      </c>
      <c r="Q56" s="555">
        <f t="shared" si="15"/>
        <v>52.182709856998592</v>
      </c>
      <c r="R56" s="355">
        <f t="shared" si="9"/>
        <v>89.470406824317763</v>
      </c>
      <c r="S56" s="555">
        <f t="shared" si="10"/>
        <v>57.899472642310513</v>
      </c>
      <c r="T56" s="355">
        <f>H56*(1-$AG$35)+$AG$32/まとめ!$B$3*$AG$35</f>
        <v>99.060248639297882</v>
      </c>
      <c r="U56" s="356">
        <f>I56*(1-$AG$35)+$AG$32/まとめ!$B$3*$AG$35</f>
        <v>76.80602803973315</v>
      </c>
      <c r="V56" s="558">
        <f t="shared" si="4"/>
        <v>80.369383923254119</v>
      </c>
      <c r="W56" s="559">
        <f t="shared" si="4"/>
        <v>61.230754207628458</v>
      </c>
      <c r="X56" s="560">
        <f>H56*(1-$AG$48)+$AG$49*$AG$48</f>
        <v>177.5841590262487</v>
      </c>
      <c r="Y56" s="561">
        <f t="shared" si="5"/>
        <v>159.40597462070954</v>
      </c>
      <c r="Z56" s="560">
        <f>(J56/1000/AG55*(1-$AG$54)+$AG$52/1000/AG56*$AG$54)*AG57*1000</f>
        <v>568.15662755852827</v>
      </c>
      <c r="AA56" s="562">
        <f t="shared" si="6"/>
        <v>739.26261022581139</v>
      </c>
      <c r="AB56" s="560">
        <v>3870</v>
      </c>
      <c r="AC56" s="562">
        <v>3870</v>
      </c>
      <c r="AD56" s="333"/>
      <c r="AE56" s="73"/>
      <c r="AF56" s="674" t="s">
        <v>376</v>
      </c>
      <c r="AG56" s="675">
        <v>142</v>
      </c>
    </row>
    <row r="57" spans="1:33" ht="15" thickBot="1" x14ac:dyDescent="0.2">
      <c r="AF57" s="676" t="s">
        <v>377</v>
      </c>
      <c r="AG57" s="677">
        <f>1/((1/AG55)*(1-AG54)+(1/AG56)*AG54)</f>
        <v>58.283184512643508</v>
      </c>
    </row>
    <row r="58" spans="1:33" x14ac:dyDescent="0.15">
      <c r="AF58" s="9"/>
      <c r="AG58" s="9"/>
    </row>
  </sheetData>
  <mergeCells count="34">
    <mergeCell ref="P2:P3"/>
    <mergeCell ref="J2:J3"/>
    <mergeCell ref="P1:Q1"/>
    <mergeCell ref="L2:M2"/>
    <mergeCell ref="N2:O2"/>
    <mergeCell ref="Q2:Q3"/>
    <mergeCell ref="L1:O1"/>
    <mergeCell ref="A1:A4"/>
    <mergeCell ref="H1:I1"/>
    <mergeCell ref="J1:K1"/>
    <mergeCell ref="K2:K3"/>
    <mergeCell ref="B2:C2"/>
    <mergeCell ref="D2:E2"/>
    <mergeCell ref="F2:G2"/>
    <mergeCell ref="H2:H3"/>
    <mergeCell ref="I2:I3"/>
    <mergeCell ref="T1:U1"/>
    <mergeCell ref="R2:R3"/>
    <mergeCell ref="V1:W1"/>
    <mergeCell ref="V2:V3"/>
    <mergeCell ref="W2:W3"/>
    <mergeCell ref="T2:T3"/>
    <mergeCell ref="U2:U3"/>
    <mergeCell ref="S2:S3"/>
    <mergeCell ref="R1:S1"/>
    <mergeCell ref="AB1:AC1"/>
    <mergeCell ref="AB2:AB3"/>
    <mergeCell ref="AC2:AC3"/>
    <mergeCell ref="X1:Y1"/>
    <mergeCell ref="Z1:AA1"/>
    <mergeCell ref="X2:X3"/>
    <mergeCell ref="Y2:Y3"/>
    <mergeCell ref="Z2:Z3"/>
    <mergeCell ref="AA2:AA3"/>
  </mergeCells>
  <phoneticPr fontId="13"/>
  <dataValidations count="4">
    <dataValidation type="list" allowBlank="1" showInputMessage="1" showErrorMessage="1" sqref="AG46" xr:uid="{00000000-0002-0000-2C00-000000000000}">
      <formula1>"-50%,-40%,-30%,-20%,-10%,0%,+10%,+20%,+30%,+40%,+50%"</formula1>
    </dataValidation>
    <dataValidation type="list" allowBlank="1" showInputMessage="1" showErrorMessage="1" sqref="AG49" xr:uid="{00000000-0002-0000-2C00-000001000000}">
      <formula1>"452,501,851"</formula1>
    </dataValidation>
    <dataValidation type="list" allowBlank="1" showInputMessage="1" showErrorMessage="1" sqref="AG54" xr:uid="{00000000-0002-0000-2C00-000002000000}">
      <formula1>"10%,100%"</formula1>
    </dataValidation>
    <dataValidation type="list" allowBlank="1" showInputMessage="1" showErrorMessage="1" sqref="AG52" xr:uid="{00000000-0002-0000-2C00-000003000000}">
      <formula1>"3870,5835"</formula1>
    </dataValidation>
  </dataValidations>
  <pageMargins left="0.23622047244094491" right="0.23622047244094491" top="0.35433070866141736" bottom="0.35433070866141736" header="0.31496062992125984" footer="0.31496062992125984"/>
  <pageSetup paperSize="9" fitToWidth="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O67"/>
  <sheetViews>
    <sheetView zoomScale="85" zoomScaleNormal="85" workbookViewId="0">
      <selection activeCell="I11" sqref="I11"/>
    </sheetView>
  </sheetViews>
  <sheetFormatPr defaultColWidth="9" defaultRowHeight="14.25" x14ac:dyDescent="0.15"/>
  <cols>
    <col min="1" max="1" width="13" style="30" customWidth="1"/>
    <col min="2" max="3" width="9" style="30" customWidth="1"/>
    <col min="4" max="5" width="9.375" style="30" customWidth="1"/>
    <col min="6" max="6" width="31.25" style="30" bestFit="1" customWidth="1"/>
    <col min="7" max="7" width="3.25" style="30" customWidth="1"/>
    <col min="8" max="8" width="29.75" style="30" customWidth="1"/>
    <col min="9" max="9" width="10.125" style="30" bestFit="1" customWidth="1"/>
    <col min="10" max="16384" width="9" style="30"/>
  </cols>
  <sheetData>
    <row r="1" spans="1:15" ht="15" x14ac:dyDescent="0.15">
      <c r="A1" s="51" t="s">
        <v>314</v>
      </c>
      <c r="B1" s="155"/>
      <c r="C1" s="155"/>
    </row>
    <row r="3" spans="1:15" ht="15" thickBot="1" x14ac:dyDescent="0.2"/>
    <row r="4" spans="1:15" ht="15" x14ac:dyDescent="0.15">
      <c r="A4" s="775" t="s">
        <v>315</v>
      </c>
      <c r="B4" s="778" t="s">
        <v>316</v>
      </c>
      <c r="C4" s="778"/>
      <c r="D4" s="778" t="s">
        <v>317</v>
      </c>
      <c r="E4" s="778"/>
      <c r="F4" s="779" t="s">
        <v>318</v>
      </c>
    </row>
    <row r="5" spans="1:15" x14ac:dyDescent="0.15">
      <c r="A5" s="776"/>
      <c r="B5" s="328" t="s">
        <v>319</v>
      </c>
      <c r="C5" s="328" t="s">
        <v>59</v>
      </c>
      <c r="D5" s="328" t="s">
        <v>319</v>
      </c>
      <c r="E5" s="328" t="s">
        <v>59</v>
      </c>
      <c r="F5" s="780"/>
    </row>
    <row r="6" spans="1:15" ht="14.25" customHeight="1" thickBot="1" x14ac:dyDescent="0.2">
      <c r="A6" s="777"/>
      <c r="B6" s="52" t="s">
        <v>320</v>
      </c>
      <c r="C6" s="52" t="s">
        <v>320</v>
      </c>
      <c r="D6" s="52" t="s">
        <v>320</v>
      </c>
      <c r="E6" s="52" t="s">
        <v>320</v>
      </c>
      <c r="F6" s="781"/>
    </row>
    <row r="7" spans="1:15" ht="15" customHeight="1" thickTop="1" x14ac:dyDescent="0.15">
      <c r="A7" s="178">
        <v>2018</v>
      </c>
      <c r="B7" s="179">
        <v>17.352249999999998</v>
      </c>
      <c r="C7" s="179">
        <v>17.352249999999998</v>
      </c>
      <c r="D7" s="179">
        <v>19.5</v>
      </c>
      <c r="E7" s="179">
        <v>19.5</v>
      </c>
      <c r="F7" s="782" t="s">
        <v>321</v>
      </c>
    </row>
    <row r="8" spans="1:15" ht="15" thickBot="1" x14ac:dyDescent="0.2">
      <c r="A8" s="180">
        <f t="shared" ref="A8:A66" si="0">A7+1</f>
        <v>2019</v>
      </c>
      <c r="B8" s="181">
        <v>27.674039999999998</v>
      </c>
      <c r="C8" s="181">
        <v>27.674039999999998</v>
      </c>
      <c r="D8" s="181">
        <v>20.55</v>
      </c>
      <c r="E8" s="181">
        <v>20.55</v>
      </c>
      <c r="F8" s="783"/>
    </row>
    <row r="9" spans="1:15" x14ac:dyDescent="0.15">
      <c r="A9" s="180">
        <f t="shared" si="0"/>
        <v>2020</v>
      </c>
      <c r="B9" s="182">
        <v>28</v>
      </c>
      <c r="C9" s="182">
        <v>31.980582524271085</v>
      </c>
      <c r="D9" s="182">
        <v>17.100000000000001</v>
      </c>
      <c r="E9" s="182">
        <v>17.131436960958172</v>
      </c>
      <c r="F9" s="783"/>
      <c r="H9" s="137" t="s">
        <v>322</v>
      </c>
      <c r="I9" s="150" t="s">
        <v>323</v>
      </c>
    </row>
    <row r="10" spans="1:15" x14ac:dyDescent="0.15">
      <c r="A10" s="180">
        <f t="shared" si="0"/>
        <v>2021</v>
      </c>
      <c r="B10" s="182">
        <v>29.199999999999818</v>
      </c>
      <c r="C10" s="182">
        <v>37.443203883494789</v>
      </c>
      <c r="D10" s="182">
        <f>B10</f>
        <v>29.199999999999818</v>
      </c>
      <c r="E10" s="182">
        <f>C10</f>
        <v>37.443203883494789</v>
      </c>
      <c r="F10" s="783"/>
      <c r="H10" s="327" t="s">
        <v>365</v>
      </c>
      <c r="I10" s="34">
        <v>4</v>
      </c>
    </row>
    <row r="11" spans="1:15" ht="15" thickBot="1" x14ac:dyDescent="0.2">
      <c r="A11" s="32">
        <f t="shared" si="0"/>
        <v>2022</v>
      </c>
      <c r="B11" s="164">
        <v>30.400000000000091</v>
      </c>
      <c r="C11" s="164">
        <v>42.905825242718493</v>
      </c>
      <c r="D11" s="63">
        <f>B11</f>
        <v>30.400000000000091</v>
      </c>
      <c r="E11" s="63">
        <f>C11</f>
        <v>42.905825242718493</v>
      </c>
      <c r="F11" s="783"/>
      <c r="H11" s="140" t="s">
        <v>366</v>
      </c>
      <c r="I11" s="36">
        <v>5</v>
      </c>
      <c r="K11" s="163"/>
      <c r="L11" s="163"/>
      <c r="N11" s="163"/>
      <c r="O11" s="163"/>
    </row>
    <row r="12" spans="1:15" x14ac:dyDescent="0.15">
      <c r="A12" s="32">
        <f>A11+1</f>
        <v>2023</v>
      </c>
      <c r="B12" s="164">
        <v>31.599999999999909</v>
      </c>
      <c r="C12" s="164">
        <v>48.368446601942196</v>
      </c>
      <c r="D12" s="63">
        <f>B12+($D$17-$B$17)*($A12-$A$11)/($A$17-$A$11)</f>
        <v>31.599999999999909</v>
      </c>
      <c r="E12" s="63">
        <f>C12+($E$17-$C$17)*($A12-$A$11)/($A$17-$A$11)</f>
        <v>48.368446601942196</v>
      </c>
      <c r="F12" s="783"/>
      <c r="K12" s="163"/>
      <c r="L12" s="163"/>
      <c r="N12" s="163"/>
      <c r="O12" s="163"/>
    </row>
    <row r="13" spans="1:15" ht="15" thickBot="1" x14ac:dyDescent="0.2">
      <c r="A13" s="32">
        <f t="shared" si="0"/>
        <v>2024</v>
      </c>
      <c r="B13" s="164">
        <v>32.799999999999727</v>
      </c>
      <c r="C13" s="164">
        <v>53.831067961164081</v>
      </c>
      <c r="D13" s="63">
        <f>B13+($D$17-$B$17)*($A13-$A$11)/($A$17-$A$11)</f>
        <v>32.799999999999727</v>
      </c>
      <c r="E13" s="63">
        <f>C13+($E$17-$C$17)*($A13-$A$11)/($A$17-$A$11)</f>
        <v>53.831067961164081</v>
      </c>
      <c r="F13" s="783"/>
      <c r="K13" s="163"/>
      <c r="L13" s="163"/>
      <c r="N13" s="163"/>
      <c r="O13" s="163"/>
    </row>
    <row r="14" spans="1:15" ht="15" thickBot="1" x14ac:dyDescent="0.2">
      <c r="A14" s="32">
        <f t="shared" si="0"/>
        <v>2025</v>
      </c>
      <c r="B14" s="164">
        <v>34</v>
      </c>
      <c r="C14" s="164">
        <v>63</v>
      </c>
      <c r="D14" s="63">
        <f>B14+($D$17-$B$17)*($A14-$A$11)/($A$17-$A$11)</f>
        <v>34</v>
      </c>
      <c r="E14" s="63">
        <f>C14+($E$17-$C$17)*($A14-$A$11)/($A$17-$A$11)</f>
        <v>63</v>
      </c>
      <c r="F14" s="783"/>
      <c r="H14" s="141" t="s">
        <v>324</v>
      </c>
      <c r="I14" s="154">
        <v>0</v>
      </c>
      <c r="K14" s="163"/>
      <c r="L14" s="163"/>
      <c r="N14" s="163"/>
      <c r="O14" s="163"/>
    </row>
    <row r="15" spans="1:15" x14ac:dyDescent="0.15">
      <c r="A15" s="32">
        <f t="shared" si="0"/>
        <v>2026</v>
      </c>
      <c r="B15" s="164">
        <v>35.199999999999818</v>
      </c>
      <c r="C15" s="164">
        <v>64.756310679611488</v>
      </c>
      <c r="D15" s="63">
        <f>B15+($D$17-$B$17)*($A15-$A$11)/($A$17-$A$11)</f>
        <v>35.199999999999818</v>
      </c>
      <c r="E15" s="63">
        <f>C15+($E$17-$C$17)*($A15-$A$11)/($A$17-$A$11)</f>
        <v>64.756310679611488</v>
      </c>
      <c r="F15" s="783"/>
      <c r="K15" s="163"/>
      <c r="L15" s="163"/>
      <c r="N15" s="163"/>
      <c r="O15" s="163"/>
    </row>
    <row r="16" spans="1:15" x14ac:dyDescent="0.15">
      <c r="A16" s="32">
        <f t="shared" si="0"/>
        <v>2027</v>
      </c>
      <c r="B16" s="164">
        <v>36.400000000000091</v>
      </c>
      <c r="C16" s="164">
        <v>70.218932038835192</v>
      </c>
      <c r="D16" s="63">
        <f>B16+($D$17-$B$17)*($A16-$A$11)/($A$17-$A$11)</f>
        <v>36.400000000000091</v>
      </c>
      <c r="E16" s="63">
        <f>C16+($E$17-$C$17)*($A16-$A$11)/($A$17-$A$11)</f>
        <v>70.218932038835192</v>
      </c>
      <c r="F16" s="783"/>
      <c r="K16" s="163"/>
      <c r="L16" s="163"/>
      <c r="N16" s="163"/>
      <c r="O16" s="163"/>
    </row>
    <row r="17" spans="1:15" x14ac:dyDescent="0.15">
      <c r="A17" s="32">
        <f t="shared" si="0"/>
        <v>2028</v>
      </c>
      <c r="B17" s="164">
        <v>37.599999999999909</v>
      </c>
      <c r="C17" s="164">
        <v>75.681553398057076</v>
      </c>
      <c r="D17" s="63">
        <f>B17*(1+$I$14)</f>
        <v>37.599999999999909</v>
      </c>
      <c r="E17" s="63">
        <f>C17*(1+$I$14)</f>
        <v>75.681553398057076</v>
      </c>
      <c r="F17" s="783"/>
      <c r="K17" s="163"/>
      <c r="L17" s="163"/>
      <c r="N17" s="163"/>
      <c r="O17" s="163"/>
    </row>
    <row r="18" spans="1:15" x14ac:dyDescent="0.15">
      <c r="A18" s="32">
        <f t="shared" si="0"/>
        <v>2029</v>
      </c>
      <c r="B18" s="164">
        <v>38.799999999999727</v>
      </c>
      <c r="C18" s="164">
        <v>81.14417475728078</v>
      </c>
      <c r="D18" s="63">
        <f t="shared" ref="D18:D49" si="1">B18+$D$17-$B$17</f>
        <v>38.799999999999727</v>
      </c>
      <c r="E18" s="63">
        <f t="shared" ref="E18:E49" si="2">C18+$E$17-$C$17</f>
        <v>81.14417475728078</v>
      </c>
      <c r="F18" s="783"/>
      <c r="K18" s="163"/>
      <c r="L18" s="163"/>
      <c r="N18" s="163"/>
      <c r="O18" s="163"/>
    </row>
    <row r="19" spans="1:15" x14ac:dyDescent="0.15">
      <c r="A19" s="32">
        <f t="shared" si="0"/>
        <v>2030</v>
      </c>
      <c r="B19" s="164">
        <v>40</v>
      </c>
      <c r="C19" s="164">
        <v>86.606796116504484</v>
      </c>
      <c r="D19" s="63">
        <f>B19+$D$17-$B$17</f>
        <v>40</v>
      </c>
      <c r="E19" s="63">
        <f t="shared" si="2"/>
        <v>86.606796116504484</v>
      </c>
      <c r="F19" s="783"/>
      <c r="K19" s="163"/>
      <c r="L19" s="163"/>
      <c r="N19" s="163"/>
      <c r="O19" s="163"/>
    </row>
    <row r="20" spans="1:15" x14ac:dyDescent="0.15">
      <c r="A20" s="32">
        <f t="shared" si="0"/>
        <v>2031</v>
      </c>
      <c r="B20" s="164">
        <v>41.199999999999818</v>
      </c>
      <c r="C20" s="164">
        <v>92.069417475728187</v>
      </c>
      <c r="D20" s="63">
        <f t="shared" si="1"/>
        <v>41.199999999999818</v>
      </c>
      <c r="E20" s="63">
        <f t="shared" si="2"/>
        <v>92.069417475728187</v>
      </c>
      <c r="F20" s="783"/>
      <c r="K20" s="163"/>
      <c r="L20" s="163"/>
    </row>
    <row r="21" spans="1:15" x14ac:dyDescent="0.15">
      <c r="A21" s="32">
        <f t="shared" si="0"/>
        <v>2032</v>
      </c>
      <c r="B21" s="164">
        <v>42.400000000000091</v>
      </c>
      <c r="C21" s="164">
        <v>97.532038834951891</v>
      </c>
      <c r="D21" s="63">
        <f t="shared" si="1"/>
        <v>42.400000000000091</v>
      </c>
      <c r="E21" s="63">
        <f t="shared" si="2"/>
        <v>97.532038834951891</v>
      </c>
      <c r="F21" s="783"/>
      <c r="K21" s="163"/>
      <c r="L21" s="163"/>
    </row>
    <row r="22" spans="1:15" x14ac:dyDescent="0.15">
      <c r="A22" s="32">
        <f t="shared" si="0"/>
        <v>2033</v>
      </c>
      <c r="B22" s="164">
        <v>43.599999999999909</v>
      </c>
      <c r="C22" s="164">
        <v>102.99466019417378</v>
      </c>
      <c r="D22" s="63">
        <f t="shared" si="1"/>
        <v>43.599999999999909</v>
      </c>
      <c r="E22" s="63">
        <f t="shared" si="2"/>
        <v>102.99466019417378</v>
      </c>
      <c r="F22" s="783"/>
      <c r="K22" s="163"/>
      <c r="L22" s="163"/>
    </row>
    <row r="23" spans="1:15" x14ac:dyDescent="0.15">
      <c r="A23" s="32">
        <f t="shared" si="0"/>
        <v>2034</v>
      </c>
      <c r="B23" s="164">
        <v>44.799999999999727</v>
      </c>
      <c r="C23" s="164">
        <v>108.45728155339748</v>
      </c>
      <c r="D23" s="63">
        <f t="shared" si="1"/>
        <v>44.799999999999727</v>
      </c>
      <c r="E23" s="63">
        <f t="shared" si="2"/>
        <v>108.45728155339748</v>
      </c>
      <c r="F23" s="783"/>
      <c r="K23" s="163"/>
      <c r="L23" s="163"/>
    </row>
    <row r="24" spans="1:15" x14ac:dyDescent="0.15">
      <c r="A24" s="32">
        <f t="shared" si="0"/>
        <v>2035</v>
      </c>
      <c r="B24" s="164">
        <v>46</v>
      </c>
      <c r="C24" s="164">
        <v>113.91990291262118</v>
      </c>
      <c r="D24" s="63">
        <f t="shared" si="1"/>
        <v>46</v>
      </c>
      <c r="E24" s="63">
        <f t="shared" si="2"/>
        <v>113.91990291262118</v>
      </c>
      <c r="F24" s="783"/>
      <c r="K24" s="163"/>
      <c r="L24" s="163"/>
    </row>
    <row r="25" spans="1:15" x14ac:dyDescent="0.15">
      <c r="A25" s="32">
        <f t="shared" si="0"/>
        <v>2036</v>
      </c>
      <c r="B25" s="164">
        <v>47.199999999999818</v>
      </c>
      <c r="C25" s="164">
        <v>119.38252427184489</v>
      </c>
      <c r="D25" s="63">
        <f t="shared" si="1"/>
        <v>47.199999999999818</v>
      </c>
      <c r="E25" s="63">
        <f t="shared" si="2"/>
        <v>119.38252427184489</v>
      </c>
      <c r="F25" s="783"/>
      <c r="K25" s="163"/>
      <c r="L25" s="163"/>
    </row>
    <row r="26" spans="1:15" x14ac:dyDescent="0.15">
      <c r="A26" s="32">
        <f t="shared" si="0"/>
        <v>2037</v>
      </c>
      <c r="B26" s="164">
        <v>48.400000000000091</v>
      </c>
      <c r="C26" s="164">
        <v>124.84514563106677</v>
      </c>
      <c r="D26" s="63">
        <f t="shared" si="1"/>
        <v>48.400000000000091</v>
      </c>
      <c r="E26" s="63">
        <f t="shared" si="2"/>
        <v>124.84514563106677</v>
      </c>
      <c r="F26" s="783"/>
      <c r="K26" s="163"/>
      <c r="L26" s="163"/>
    </row>
    <row r="27" spans="1:15" x14ac:dyDescent="0.15">
      <c r="A27" s="32">
        <f t="shared" si="0"/>
        <v>2038</v>
      </c>
      <c r="B27" s="164">
        <v>49.599999999999909</v>
      </c>
      <c r="C27" s="164">
        <v>130.30776699029047</v>
      </c>
      <c r="D27" s="63">
        <f t="shared" si="1"/>
        <v>49.599999999999909</v>
      </c>
      <c r="E27" s="63">
        <f t="shared" si="2"/>
        <v>130.30776699029047</v>
      </c>
      <c r="F27" s="783"/>
      <c r="K27" s="163"/>
      <c r="L27" s="163"/>
    </row>
    <row r="28" spans="1:15" x14ac:dyDescent="0.15">
      <c r="A28" s="32">
        <f t="shared" si="0"/>
        <v>2039</v>
      </c>
      <c r="B28" s="164">
        <v>50.799999999999727</v>
      </c>
      <c r="C28" s="164">
        <v>135.77038834951418</v>
      </c>
      <c r="D28" s="63">
        <f t="shared" si="1"/>
        <v>50.799999999999727</v>
      </c>
      <c r="E28" s="63">
        <f t="shared" si="2"/>
        <v>135.77038834951418</v>
      </c>
      <c r="F28" s="783"/>
      <c r="K28" s="163"/>
      <c r="L28" s="163"/>
    </row>
    <row r="29" spans="1:15" x14ac:dyDescent="0.15">
      <c r="A29" s="32">
        <f t="shared" si="0"/>
        <v>2040</v>
      </c>
      <c r="B29" s="164">
        <v>52</v>
      </c>
      <c r="C29" s="164">
        <v>140</v>
      </c>
      <c r="D29" s="63">
        <f t="shared" si="1"/>
        <v>52</v>
      </c>
      <c r="E29" s="63">
        <f t="shared" si="2"/>
        <v>140</v>
      </c>
      <c r="F29" s="783"/>
      <c r="K29" s="163"/>
      <c r="L29" s="163"/>
    </row>
    <row r="30" spans="1:15" x14ac:dyDescent="0.15">
      <c r="A30" s="32">
        <f t="shared" si="0"/>
        <v>2041</v>
      </c>
      <c r="B30" s="164">
        <v>53.199999999999818</v>
      </c>
      <c r="C30" s="164">
        <v>146.69563106796159</v>
      </c>
      <c r="D30" s="63">
        <f t="shared" si="1"/>
        <v>53.199999999999818</v>
      </c>
      <c r="E30" s="63">
        <f t="shared" si="2"/>
        <v>146.69563106796159</v>
      </c>
      <c r="F30" s="783"/>
      <c r="K30" s="163"/>
      <c r="L30" s="163"/>
    </row>
    <row r="31" spans="1:15" x14ac:dyDescent="0.15">
      <c r="A31" s="32">
        <f t="shared" si="0"/>
        <v>2042</v>
      </c>
      <c r="B31" s="164">
        <v>54.400000000000091</v>
      </c>
      <c r="C31" s="164">
        <v>152.15825242718347</v>
      </c>
      <c r="D31" s="63">
        <f t="shared" si="1"/>
        <v>54.400000000000091</v>
      </c>
      <c r="E31" s="63">
        <f t="shared" si="2"/>
        <v>152.15825242718347</v>
      </c>
      <c r="F31" s="783"/>
      <c r="K31" s="163"/>
      <c r="L31" s="163"/>
    </row>
    <row r="32" spans="1:15" x14ac:dyDescent="0.15">
      <c r="A32" s="175">
        <f t="shared" si="0"/>
        <v>2043</v>
      </c>
      <c r="B32" s="176">
        <v>55.599999999999909</v>
      </c>
      <c r="C32" s="176">
        <v>157.62087378640717</v>
      </c>
      <c r="D32" s="177">
        <f t="shared" si="1"/>
        <v>55.599999999999909</v>
      </c>
      <c r="E32" s="177">
        <f t="shared" si="2"/>
        <v>157.62087378640717</v>
      </c>
      <c r="F32" s="783"/>
      <c r="K32" s="163"/>
      <c r="L32" s="163"/>
    </row>
    <row r="33" spans="1:12" x14ac:dyDescent="0.15">
      <c r="A33" s="31">
        <f t="shared" si="0"/>
        <v>2044</v>
      </c>
      <c r="B33" s="166">
        <v>56.799999999999727</v>
      </c>
      <c r="C33" s="166">
        <v>163.08349514563088</v>
      </c>
      <c r="D33" s="65">
        <f t="shared" si="1"/>
        <v>56.799999999999727</v>
      </c>
      <c r="E33" s="65">
        <f t="shared" si="2"/>
        <v>163.08349514563088</v>
      </c>
      <c r="F33" s="783"/>
      <c r="K33" s="163"/>
      <c r="L33" s="163"/>
    </row>
    <row r="34" spans="1:12" x14ac:dyDescent="0.15">
      <c r="A34" s="32">
        <f t="shared" si="0"/>
        <v>2045</v>
      </c>
      <c r="B34" s="164">
        <v>58</v>
      </c>
      <c r="C34" s="164">
        <v>168.54611650485458</v>
      </c>
      <c r="D34" s="63">
        <f t="shared" si="1"/>
        <v>58</v>
      </c>
      <c r="E34" s="63">
        <f t="shared" si="2"/>
        <v>168.54611650485458</v>
      </c>
      <c r="F34" s="783"/>
      <c r="K34" s="163"/>
      <c r="L34" s="163"/>
    </row>
    <row r="35" spans="1:12" x14ac:dyDescent="0.15">
      <c r="A35" s="32">
        <f t="shared" si="0"/>
        <v>2046</v>
      </c>
      <c r="B35" s="164">
        <v>59.199999999999818</v>
      </c>
      <c r="C35" s="164">
        <v>174.00873786407647</v>
      </c>
      <c r="D35" s="63">
        <f t="shared" si="1"/>
        <v>59.199999999999818</v>
      </c>
      <c r="E35" s="63">
        <f t="shared" si="2"/>
        <v>174.00873786407647</v>
      </c>
      <c r="F35" s="783"/>
      <c r="K35" s="163"/>
      <c r="L35" s="163"/>
    </row>
    <row r="36" spans="1:12" x14ac:dyDescent="0.15">
      <c r="A36" s="32">
        <f t="shared" si="0"/>
        <v>2047</v>
      </c>
      <c r="B36" s="164">
        <v>60.400000000000091</v>
      </c>
      <c r="C36" s="164">
        <v>179.47135922330017</v>
      </c>
      <c r="D36" s="63">
        <f t="shared" si="1"/>
        <v>60.400000000000091</v>
      </c>
      <c r="E36" s="63">
        <f t="shared" si="2"/>
        <v>179.47135922330017</v>
      </c>
      <c r="F36" s="783"/>
    </row>
    <row r="37" spans="1:12" x14ac:dyDescent="0.15">
      <c r="A37" s="139">
        <f t="shared" si="0"/>
        <v>2048</v>
      </c>
      <c r="B37" s="176">
        <v>61.599999999999909</v>
      </c>
      <c r="C37" s="176">
        <v>184.93398058252387</v>
      </c>
      <c r="D37" s="177">
        <f t="shared" si="1"/>
        <v>61.599999999999909</v>
      </c>
      <c r="E37" s="189">
        <f t="shared" si="2"/>
        <v>184.93398058252387</v>
      </c>
      <c r="F37" s="783"/>
    </row>
    <row r="38" spans="1:12" x14ac:dyDescent="0.15">
      <c r="A38" s="31">
        <f t="shared" si="0"/>
        <v>2049</v>
      </c>
      <c r="B38" s="166">
        <v>62.799999999999727</v>
      </c>
      <c r="C38" s="166">
        <v>190.39660194174758</v>
      </c>
      <c r="D38" s="65">
        <f t="shared" si="1"/>
        <v>62.799999999999727</v>
      </c>
      <c r="E38" s="65">
        <f t="shared" si="2"/>
        <v>190.39660194174758</v>
      </c>
      <c r="F38" s="783"/>
    </row>
    <row r="39" spans="1:12" ht="15" thickBot="1" x14ac:dyDescent="0.2">
      <c r="A39" s="33">
        <f t="shared" si="0"/>
        <v>2050</v>
      </c>
      <c r="B39" s="165">
        <v>64</v>
      </c>
      <c r="C39" s="165">
        <v>195.85922330097128</v>
      </c>
      <c r="D39" s="64">
        <f t="shared" si="1"/>
        <v>64</v>
      </c>
      <c r="E39" s="64">
        <f t="shared" si="2"/>
        <v>195.85922330097128</v>
      </c>
      <c r="F39" s="784"/>
    </row>
    <row r="40" spans="1:12" x14ac:dyDescent="0.15">
      <c r="A40" s="31">
        <f t="shared" si="0"/>
        <v>2051</v>
      </c>
      <c r="B40" s="166">
        <v>65.59327679355556</v>
      </c>
      <c r="C40" s="166">
        <v>201.06094477859733</v>
      </c>
      <c r="D40" s="65">
        <f t="shared" si="1"/>
        <v>65.59327679355556</v>
      </c>
      <c r="E40" s="65">
        <f t="shared" si="2"/>
        <v>201.06094477859733</v>
      </c>
      <c r="F40" s="772" t="s">
        <v>325</v>
      </c>
    </row>
    <row r="41" spans="1:12" x14ac:dyDescent="0.15">
      <c r="A41" s="32">
        <f t="shared" si="0"/>
        <v>2052</v>
      </c>
      <c r="B41" s="164">
        <v>66.822505584681494</v>
      </c>
      <c r="C41" s="164">
        <v>206.47729047061875</v>
      </c>
      <c r="D41" s="63">
        <f t="shared" si="1"/>
        <v>66.822505584681494</v>
      </c>
      <c r="E41" s="63">
        <f t="shared" si="2"/>
        <v>206.47729047061875</v>
      </c>
      <c r="F41" s="773"/>
    </row>
    <row r="42" spans="1:12" x14ac:dyDescent="0.15">
      <c r="A42" s="32">
        <f t="shared" si="0"/>
        <v>2053</v>
      </c>
      <c r="B42" s="164">
        <v>68.051135482339305</v>
      </c>
      <c r="C42" s="164">
        <v>211.8909972608526</v>
      </c>
      <c r="D42" s="63">
        <f t="shared" si="1"/>
        <v>68.051135482339305</v>
      </c>
      <c r="E42" s="63">
        <f t="shared" si="2"/>
        <v>211.8909972608526</v>
      </c>
      <c r="F42" s="773"/>
    </row>
    <row r="43" spans="1:12" x14ac:dyDescent="0.15">
      <c r="A43" s="32">
        <f t="shared" si="0"/>
        <v>2054</v>
      </c>
      <c r="B43" s="164">
        <v>69.279167069820687</v>
      </c>
      <c r="C43" s="164">
        <v>217.30206771944358</v>
      </c>
      <c r="D43" s="63">
        <f t="shared" si="1"/>
        <v>69.279167069820687</v>
      </c>
      <c r="E43" s="63">
        <f t="shared" si="2"/>
        <v>217.30206771944358</v>
      </c>
      <c r="F43" s="773"/>
    </row>
    <row r="44" spans="1:12" x14ac:dyDescent="0.15">
      <c r="A44" s="32">
        <f t="shared" si="0"/>
        <v>2055</v>
      </c>
      <c r="B44" s="164">
        <v>70.506600929566048</v>
      </c>
      <c r="C44" s="164">
        <v>222.71050441281113</v>
      </c>
      <c r="D44" s="63">
        <f t="shared" si="1"/>
        <v>70.506600929566048</v>
      </c>
      <c r="E44" s="63">
        <f t="shared" si="2"/>
        <v>222.71050441281113</v>
      </c>
      <c r="F44" s="773"/>
    </row>
    <row r="45" spans="1:12" x14ac:dyDescent="0.15">
      <c r="A45" s="32">
        <f t="shared" si="0"/>
        <v>2056</v>
      </c>
      <c r="B45" s="164">
        <v>71.733437643160869</v>
      </c>
      <c r="C45" s="164">
        <v>228.11630990360572</v>
      </c>
      <c r="D45" s="63">
        <f t="shared" si="1"/>
        <v>71.733437643160869</v>
      </c>
      <c r="E45" s="63">
        <f t="shared" si="2"/>
        <v>228.11630990360572</v>
      </c>
      <c r="F45" s="773"/>
    </row>
    <row r="46" spans="1:12" x14ac:dyDescent="0.15">
      <c r="A46" s="32">
        <f t="shared" si="0"/>
        <v>2057</v>
      </c>
      <c r="B46" s="164">
        <v>72.959677791350259</v>
      </c>
      <c r="C46" s="164">
        <v>233.51948675072344</v>
      </c>
      <c r="D46" s="63">
        <f t="shared" si="1"/>
        <v>72.959677791350259</v>
      </c>
      <c r="E46" s="63">
        <f t="shared" si="2"/>
        <v>233.51948675072344</v>
      </c>
      <c r="F46" s="773"/>
    </row>
    <row r="47" spans="1:12" x14ac:dyDescent="0.15">
      <c r="A47" s="32">
        <f t="shared" si="0"/>
        <v>2058</v>
      </c>
      <c r="B47" s="164">
        <v>74.185321954020765</v>
      </c>
      <c r="C47" s="164">
        <v>238.92003750934964</v>
      </c>
      <c r="D47" s="63">
        <f t="shared" si="1"/>
        <v>74.185321954020765</v>
      </c>
      <c r="E47" s="63">
        <f t="shared" si="2"/>
        <v>238.92003750934964</v>
      </c>
      <c r="F47" s="773"/>
    </row>
    <row r="48" spans="1:12" x14ac:dyDescent="0.15">
      <c r="A48" s="32">
        <f t="shared" si="0"/>
        <v>2059</v>
      </c>
      <c r="B48" s="164">
        <v>75.410370710229472</v>
      </c>
      <c r="C48" s="164">
        <v>244.31796473095892</v>
      </c>
      <c r="D48" s="63">
        <f t="shared" si="1"/>
        <v>75.410370710229472</v>
      </c>
      <c r="E48" s="63">
        <f t="shared" si="2"/>
        <v>244.31796473095892</v>
      </c>
      <c r="F48" s="773"/>
    </row>
    <row r="49" spans="1:6" x14ac:dyDescent="0.15">
      <c r="A49" s="32">
        <f t="shared" si="0"/>
        <v>2060</v>
      </c>
      <c r="B49" s="164">
        <v>76.634824638174905</v>
      </c>
      <c r="C49" s="164">
        <v>249.71327096328605</v>
      </c>
      <c r="D49" s="63">
        <f t="shared" si="1"/>
        <v>76.634824638174905</v>
      </c>
      <c r="E49" s="63">
        <f t="shared" si="2"/>
        <v>249.71327096328605</v>
      </c>
      <c r="F49" s="773"/>
    </row>
    <row r="50" spans="1:6" x14ac:dyDescent="0.15">
      <c r="A50" s="32">
        <f t="shared" si="0"/>
        <v>2061</v>
      </c>
      <c r="B50" s="164">
        <v>77.85868431522249</v>
      </c>
      <c r="C50" s="164">
        <v>255.10595875034051</v>
      </c>
      <c r="D50" s="63">
        <f t="shared" ref="D50:D67" si="3">B50+$D$17-$B$17</f>
        <v>77.85868431522249</v>
      </c>
      <c r="E50" s="63">
        <f t="shared" ref="E50:E67" si="4">C50+$E$17-$C$17</f>
        <v>255.10595875034051</v>
      </c>
      <c r="F50" s="773"/>
    </row>
    <row r="51" spans="1:6" x14ac:dyDescent="0.15">
      <c r="A51" s="32">
        <f t="shared" si="0"/>
        <v>2062</v>
      </c>
      <c r="B51" s="164">
        <v>79.081950317893643</v>
      </c>
      <c r="C51" s="164">
        <v>260.49603063249378</v>
      </c>
      <c r="D51" s="63">
        <f t="shared" si="3"/>
        <v>79.081950317893643</v>
      </c>
      <c r="E51" s="63">
        <f t="shared" si="4"/>
        <v>260.49603063249378</v>
      </c>
      <c r="F51" s="773"/>
    </row>
    <row r="52" spans="1:6" x14ac:dyDescent="0.15">
      <c r="A52" s="32">
        <f t="shared" si="0"/>
        <v>2063</v>
      </c>
      <c r="B52" s="164">
        <v>80.304623221873044</v>
      </c>
      <c r="C52" s="164">
        <v>265.88348914634844</v>
      </c>
      <c r="D52" s="63">
        <f t="shared" si="3"/>
        <v>80.304623221873044</v>
      </c>
      <c r="E52" s="63">
        <f t="shared" si="4"/>
        <v>265.88348914634844</v>
      </c>
      <c r="F52" s="773"/>
    </row>
    <row r="53" spans="1:6" x14ac:dyDescent="0.15">
      <c r="A53" s="32">
        <f t="shared" si="0"/>
        <v>2064</v>
      </c>
      <c r="B53" s="164">
        <v>81.526703602008638</v>
      </c>
      <c r="C53" s="164">
        <v>271.26833682485449</v>
      </c>
      <c r="D53" s="63">
        <f t="shared" si="3"/>
        <v>81.526703602008638</v>
      </c>
      <c r="E53" s="63">
        <f t="shared" si="4"/>
        <v>271.26833682485449</v>
      </c>
      <c r="F53" s="773"/>
    </row>
    <row r="54" spans="1:6" x14ac:dyDescent="0.15">
      <c r="A54" s="32">
        <f t="shared" si="0"/>
        <v>2065</v>
      </c>
      <c r="B54" s="164">
        <v>82.748192032311636</v>
      </c>
      <c r="C54" s="164">
        <v>276.65057619729487</v>
      </c>
      <c r="D54" s="63">
        <f t="shared" si="3"/>
        <v>82.748192032311636</v>
      </c>
      <c r="E54" s="63">
        <f t="shared" si="4"/>
        <v>276.65057619729487</v>
      </c>
      <c r="F54" s="773"/>
    </row>
    <row r="55" spans="1:6" x14ac:dyDescent="0.15">
      <c r="A55" s="32">
        <f t="shared" si="0"/>
        <v>2066</v>
      </c>
      <c r="B55" s="164">
        <v>83.969089085963788</v>
      </c>
      <c r="C55" s="164">
        <v>282.03020978925633</v>
      </c>
      <c r="D55" s="63">
        <f t="shared" si="3"/>
        <v>83.969089085963788</v>
      </c>
      <c r="E55" s="63">
        <f t="shared" si="4"/>
        <v>282.03020978925633</v>
      </c>
      <c r="F55" s="773"/>
    </row>
    <row r="56" spans="1:6" x14ac:dyDescent="0.15">
      <c r="A56" s="32">
        <f t="shared" si="0"/>
        <v>2067</v>
      </c>
      <c r="B56" s="164">
        <v>85.189395335306472</v>
      </c>
      <c r="C56" s="164">
        <v>287.40724012265855</v>
      </c>
      <c r="D56" s="63">
        <f t="shared" si="3"/>
        <v>85.189395335306472</v>
      </c>
      <c r="E56" s="63">
        <f t="shared" si="4"/>
        <v>287.40724012265855</v>
      </c>
      <c r="F56" s="773"/>
    </row>
    <row r="57" spans="1:6" x14ac:dyDescent="0.15">
      <c r="A57" s="32">
        <f t="shared" si="0"/>
        <v>2068</v>
      </c>
      <c r="B57" s="164">
        <v>86.409111351858883</v>
      </c>
      <c r="C57" s="164">
        <v>292.78166971578321</v>
      </c>
      <c r="D57" s="63">
        <f t="shared" si="3"/>
        <v>86.409111351858883</v>
      </c>
      <c r="E57" s="63">
        <f t="shared" si="4"/>
        <v>292.78166971578321</v>
      </c>
      <c r="F57" s="773"/>
    </row>
    <row r="58" spans="1:6" x14ac:dyDescent="0.15">
      <c r="A58" s="32">
        <f t="shared" si="0"/>
        <v>2069</v>
      </c>
      <c r="B58" s="164">
        <v>87.628237706307118</v>
      </c>
      <c r="C58" s="164">
        <v>298.15350108323037</v>
      </c>
      <c r="D58" s="63">
        <f t="shared" si="3"/>
        <v>87.628237706307118</v>
      </c>
      <c r="E58" s="63">
        <f t="shared" si="4"/>
        <v>298.15350108323037</v>
      </c>
      <c r="F58" s="773"/>
    </row>
    <row r="59" spans="1:6" x14ac:dyDescent="0.15">
      <c r="A59" s="32">
        <f t="shared" si="0"/>
        <v>2070</v>
      </c>
      <c r="B59" s="164">
        <v>88.846774968507816</v>
      </c>
      <c r="C59" s="164">
        <v>303.52273673597665</v>
      </c>
      <c r="D59" s="63">
        <f t="shared" si="3"/>
        <v>88.846774968507816</v>
      </c>
      <c r="E59" s="63">
        <f t="shared" si="4"/>
        <v>303.52273673597665</v>
      </c>
      <c r="F59" s="773"/>
    </row>
    <row r="60" spans="1:6" x14ac:dyDescent="0.15">
      <c r="A60" s="32">
        <f t="shared" si="0"/>
        <v>2071</v>
      </c>
      <c r="B60" s="164">
        <v>90.06472370749907</v>
      </c>
      <c r="C60" s="164">
        <v>308.88937918136071</v>
      </c>
      <c r="D60" s="63">
        <f t="shared" si="3"/>
        <v>90.06472370749907</v>
      </c>
      <c r="E60" s="63">
        <f t="shared" si="4"/>
        <v>308.88937918136071</v>
      </c>
      <c r="F60" s="773"/>
    </row>
    <row r="61" spans="1:6" x14ac:dyDescent="0.15">
      <c r="A61" s="32">
        <f t="shared" si="0"/>
        <v>2072</v>
      </c>
      <c r="B61" s="164">
        <v>91.282084491485875</v>
      </c>
      <c r="C61" s="164">
        <v>314.25343092305411</v>
      </c>
      <c r="D61" s="63">
        <f t="shared" si="3"/>
        <v>91.282084491485875</v>
      </c>
      <c r="E61" s="63">
        <f t="shared" si="4"/>
        <v>314.25343092305411</v>
      </c>
      <c r="F61" s="773"/>
    </row>
    <row r="62" spans="1:6" x14ac:dyDescent="0.15">
      <c r="A62" s="32">
        <f t="shared" si="0"/>
        <v>2073</v>
      </c>
      <c r="B62" s="164">
        <v>92.498857887858321</v>
      </c>
      <c r="C62" s="164">
        <v>319.6148944611632</v>
      </c>
      <c r="D62" s="63">
        <f t="shared" si="3"/>
        <v>92.498857887858321</v>
      </c>
      <c r="E62" s="63">
        <f t="shared" si="4"/>
        <v>319.6148944611632</v>
      </c>
      <c r="F62" s="773"/>
    </row>
    <row r="63" spans="1:6" x14ac:dyDescent="0.15">
      <c r="A63" s="32">
        <f t="shared" si="0"/>
        <v>2074</v>
      </c>
      <c r="B63" s="164">
        <v>93.715044463184313</v>
      </c>
      <c r="C63" s="164">
        <v>324.9737722921418</v>
      </c>
      <c r="D63" s="63">
        <f t="shared" si="3"/>
        <v>93.715044463184313</v>
      </c>
      <c r="E63" s="63">
        <f t="shared" si="4"/>
        <v>324.9737722921418</v>
      </c>
      <c r="F63" s="773"/>
    </row>
    <row r="64" spans="1:6" x14ac:dyDescent="0.15">
      <c r="A64" s="32">
        <f t="shared" si="0"/>
        <v>2075</v>
      </c>
      <c r="B64" s="164">
        <v>94.930644783205935</v>
      </c>
      <c r="C64" s="164">
        <v>330.3300669088203</v>
      </c>
      <c r="D64" s="63">
        <f t="shared" si="3"/>
        <v>94.930644783205935</v>
      </c>
      <c r="E64" s="63">
        <f t="shared" si="4"/>
        <v>330.3300669088203</v>
      </c>
      <c r="F64" s="773"/>
    </row>
    <row r="65" spans="1:6" x14ac:dyDescent="0.15">
      <c r="A65" s="32">
        <f t="shared" si="0"/>
        <v>2076</v>
      </c>
      <c r="B65" s="164">
        <v>96.14565941285764</v>
      </c>
      <c r="C65" s="164">
        <v>335.68378080046386</v>
      </c>
      <c r="D65" s="63">
        <f t="shared" si="3"/>
        <v>96.14565941285764</v>
      </c>
      <c r="E65" s="63">
        <f t="shared" si="4"/>
        <v>335.68378080046386</v>
      </c>
      <c r="F65" s="773"/>
    </row>
    <row r="66" spans="1:6" x14ac:dyDescent="0.15">
      <c r="A66" s="32">
        <f t="shared" si="0"/>
        <v>2077</v>
      </c>
      <c r="B66" s="164">
        <v>97.360088916251698</v>
      </c>
      <c r="C66" s="164">
        <v>341.03491645271424</v>
      </c>
      <c r="D66" s="63">
        <f t="shared" si="3"/>
        <v>97.360088916251698</v>
      </c>
      <c r="E66" s="63">
        <f t="shared" si="4"/>
        <v>341.03491645271424</v>
      </c>
      <c r="F66" s="773"/>
    </row>
    <row r="67" spans="1:6" ht="15" thickBot="1" x14ac:dyDescent="0.2">
      <c r="A67" s="33">
        <f>A66+1</f>
        <v>2078</v>
      </c>
      <c r="B67" s="165">
        <v>98.573933856685471</v>
      </c>
      <c r="C67" s="165">
        <v>346.3834763476334</v>
      </c>
      <c r="D67" s="64">
        <f t="shared" si="3"/>
        <v>98.573933856685471</v>
      </c>
      <c r="E67" s="64">
        <f t="shared" si="4"/>
        <v>346.3834763476334</v>
      </c>
      <c r="F67" s="774"/>
    </row>
  </sheetData>
  <mergeCells count="6">
    <mergeCell ref="F40:F67"/>
    <mergeCell ref="A4:A6"/>
    <mergeCell ref="D4:E4"/>
    <mergeCell ref="F4:F6"/>
    <mergeCell ref="B4:C4"/>
    <mergeCell ref="F7:F39"/>
  </mergeCells>
  <phoneticPr fontId="2"/>
  <dataValidations count="1">
    <dataValidation type="list" allowBlank="1" showInputMessage="1" showErrorMessage="1" sqref="I14" xr:uid="{00000000-0002-0000-2D00-000000000000}">
      <formula1>"-50%,-40%,-30%,-20%,-10%,0%,+10%,+20%,+30%,+40%,+50%"</formula1>
    </dataValidation>
  </dataValidations>
  <pageMargins left="1.0236220472440944" right="1.0236220472440944" top="0.55118110236220474" bottom="0.35433070866141736" header="0.31496062992125984" footer="0.31496062992125984"/>
  <pageSetup paperSize="9" scale="65"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Q117"/>
  <sheetViews>
    <sheetView zoomScale="80" zoomScaleNormal="80" workbookViewId="0">
      <selection activeCell="L15" sqref="L15"/>
    </sheetView>
  </sheetViews>
  <sheetFormatPr defaultColWidth="9" defaultRowHeight="12.75" x14ac:dyDescent="0.15"/>
  <cols>
    <col min="1" max="1" width="12.625" style="161" customWidth="1"/>
    <col min="2" max="2" width="12.375" style="161" bestFit="1" customWidth="1"/>
    <col min="3" max="21" width="12.625" style="161" customWidth="1"/>
    <col min="22" max="23" width="12.625" style="219" customWidth="1"/>
    <col min="24" max="24" width="12.625" style="221" customWidth="1"/>
    <col min="25" max="27" width="12.625" style="219" customWidth="1"/>
    <col min="28" max="28" width="12.625" style="221" customWidth="1"/>
    <col min="29" max="31" width="12.625" style="219" customWidth="1"/>
    <col min="32" max="32" width="12.625" style="220" customWidth="1"/>
    <col min="33" max="33" width="12.625" style="219" customWidth="1"/>
    <col min="34" max="16384" width="9" style="161"/>
  </cols>
  <sheetData>
    <row r="1" spans="1:35" x14ac:dyDescent="0.15">
      <c r="A1" s="225" t="s">
        <v>386</v>
      </c>
      <c r="B1" s="219"/>
      <c r="C1" s="220"/>
      <c r="D1" s="220"/>
      <c r="E1" s="220"/>
      <c r="F1" s="220"/>
      <c r="G1" s="219"/>
      <c r="I1" s="222" t="s">
        <v>387</v>
      </c>
      <c r="K1" s="376"/>
      <c r="W1" s="223"/>
      <c r="X1" s="223"/>
      <c r="Y1" s="223"/>
      <c r="Z1" s="223"/>
      <c r="AA1" s="223"/>
      <c r="AB1" s="233"/>
      <c r="AC1" s="223"/>
      <c r="AD1" s="223"/>
      <c r="AE1" s="223"/>
      <c r="AF1" s="232"/>
      <c r="AG1" s="223"/>
      <c r="AH1" s="225"/>
      <c r="AI1" s="225"/>
    </row>
    <row r="2" spans="1:35" x14ac:dyDescent="0.15">
      <c r="A2" s="229"/>
      <c r="B2" s="219" t="s">
        <v>388</v>
      </c>
      <c r="C2" s="377" t="s">
        <v>328</v>
      </c>
      <c r="D2" s="231">
        <v>151</v>
      </c>
      <c r="E2" s="231">
        <v>184</v>
      </c>
      <c r="F2" s="231">
        <v>285</v>
      </c>
      <c r="G2" s="231">
        <v>300</v>
      </c>
      <c r="H2" s="378">
        <v>500</v>
      </c>
      <c r="I2" s="378">
        <v>1000</v>
      </c>
      <c r="J2" s="219" t="s">
        <v>389</v>
      </c>
      <c r="K2" s="379"/>
      <c r="L2" s="219"/>
      <c r="M2" s="245" t="s">
        <v>390</v>
      </c>
      <c r="N2" s="380">
        <f>まとめ!B2/100</f>
        <v>0.03</v>
      </c>
      <c r="W2" s="379"/>
      <c r="X2" s="379"/>
      <c r="Y2" s="379"/>
      <c r="Z2" s="379"/>
      <c r="AA2" s="379"/>
      <c r="AB2" s="381"/>
      <c r="AC2" s="379"/>
      <c r="AD2" s="379"/>
      <c r="AE2" s="379"/>
      <c r="AF2" s="382"/>
      <c r="AG2" s="379"/>
    </row>
    <row r="3" spans="1:35" x14ac:dyDescent="0.15">
      <c r="A3" s="219"/>
      <c r="B3" s="219"/>
      <c r="C3" s="383">
        <v>20</v>
      </c>
      <c r="D3" s="231">
        <f>D$31*100/$D$21</f>
        <v>1357.9900077560017</v>
      </c>
      <c r="E3" s="231">
        <f>I$31*100/$I$21</f>
        <v>1286.9836311106319</v>
      </c>
      <c r="F3" s="231">
        <f>N$31*100/$N$21</f>
        <v>1180.0554179253047</v>
      </c>
      <c r="G3" s="231">
        <f>S$31*100/$S$21</f>
        <v>1166.7528080062179</v>
      </c>
      <c r="H3" s="378">
        <f>X$31*100/$X$21</f>
        <v>1064.008125286746</v>
      </c>
      <c r="I3" s="378">
        <f>AC31*100/$AC$21</f>
        <v>966.16760310201084</v>
      </c>
      <c r="J3" s="219"/>
      <c r="K3" s="379"/>
      <c r="L3" s="219"/>
      <c r="M3" s="245" t="s">
        <v>391</v>
      </c>
      <c r="N3" s="380">
        <v>0.03</v>
      </c>
      <c r="W3" s="379"/>
      <c r="X3" s="379"/>
      <c r="Y3" s="379"/>
      <c r="Z3" s="379"/>
      <c r="AA3" s="379"/>
      <c r="AB3" s="381"/>
      <c r="AC3" s="379"/>
      <c r="AD3" s="379"/>
      <c r="AE3" s="379"/>
      <c r="AF3" s="382"/>
      <c r="AG3" s="379"/>
    </row>
    <row r="4" spans="1:35" x14ac:dyDescent="0.15">
      <c r="A4" s="219"/>
      <c r="B4" s="223"/>
      <c r="C4" s="383">
        <v>50</v>
      </c>
      <c r="D4" s="231">
        <f>E$31*100/$E$21</f>
        <v>1729.1334646679193</v>
      </c>
      <c r="E4" s="231">
        <f>J$31*100/$J$21</f>
        <v>1639.6514904678932</v>
      </c>
      <c r="F4" s="231">
        <f>O$31*100/$O$21</f>
        <v>1420.1612978303947</v>
      </c>
      <c r="G4" s="378">
        <f>T$31*100/$T$21</f>
        <v>1394.8533939160536</v>
      </c>
      <c r="H4" s="378">
        <f>Y$31*100/$X$21</f>
        <v>1211.4863457862914</v>
      </c>
      <c r="I4" s="378">
        <f>AD31*100/$AC$21</f>
        <v>1059.3728064334639</v>
      </c>
      <c r="J4" s="219"/>
      <c r="K4" s="379"/>
      <c r="L4" s="219"/>
      <c r="M4" s="245" t="s">
        <v>392</v>
      </c>
      <c r="N4" s="380">
        <f>($N$2*(1+$N$2)^O4)/((1+$N$2)^O4-1)</f>
        <v>4.3262377890462896E-2</v>
      </c>
      <c r="O4" s="161">
        <v>40</v>
      </c>
      <c r="P4" s="161" t="s">
        <v>393</v>
      </c>
      <c r="W4" s="379"/>
      <c r="X4" s="379"/>
      <c r="Y4" s="379"/>
      <c r="Z4" s="379"/>
      <c r="AA4" s="379"/>
      <c r="AB4" s="381"/>
      <c r="AC4" s="379"/>
      <c r="AD4" s="379"/>
      <c r="AE4" s="379"/>
      <c r="AF4" s="382"/>
      <c r="AG4" s="379"/>
    </row>
    <row r="5" spans="1:35" x14ac:dyDescent="0.15">
      <c r="A5" s="219"/>
      <c r="B5" s="219"/>
      <c r="C5" s="383">
        <v>100</v>
      </c>
      <c r="D5" s="231">
        <f>F$31*100/$F$21</f>
        <v>2445.3684108239463</v>
      </c>
      <c r="E5" s="231">
        <f>K$31*100/$K$21</f>
        <v>2275.5194306722233</v>
      </c>
      <c r="F5" s="231">
        <f>P$31*100/$P$21</f>
        <v>1861.7329649378808</v>
      </c>
      <c r="G5" s="231">
        <f>U$31*100/$U$21</f>
        <v>1814.3464776681651</v>
      </c>
      <c r="H5" s="378">
        <f>Z$31*100/$X$21</f>
        <v>1480.8786442936314</v>
      </c>
      <c r="I5" s="378">
        <f>AE31*100/$AC$21</f>
        <v>1220.613628071244</v>
      </c>
      <c r="J5" s="221"/>
      <c r="K5" s="379"/>
      <c r="L5" s="219"/>
      <c r="M5" s="245" t="s">
        <v>394</v>
      </c>
      <c r="N5" s="380">
        <f>($N$2*(1+$N$2)^O5)/((1+$N$2)^O5-1)</f>
        <v>6.7215707596859159E-2</v>
      </c>
      <c r="O5" s="161">
        <v>20</v>
      </c>
      <c r="P5" s="161" t="s">
        <v>393</v>
      </c>
      <c r="W5" s="379"/>
      <c r="X5" s="379"/>
      <c r="Y5" s="379"/>
      <c r="Z5" s="379"/>
      <c r="AA5" s="379"/>
      <c r="AB5" s="381"/>
      <c r="AC5" s="379"/>
      <c r="AD5" s="379"/>
      <c r="AE5" s="379"/>
      <c r="AF5" s="382"/>
      <c r="AG5" s="379"/>
    </row>
    <row r="6" spans="1:35" x14ac:dyDescent="0.15">
      <c r="A6" s="219"/>
      <c r="B6" s="234"/>
      <c r="C6" s="383">
        <v>150</v>
      </c>
      <c r="D6" s="231">
        <f>G$31*100/$G$21</f>
        <v>3278.798378543373</v>
      </c>
      <c r="E6" s="231">
        <f>L$31*100/$L$21</f>
        <v>2863.2991962676592</v>
      </c>
      <c r="F6" s="231">
        <f>Q$31*100/$Q$21</f>
        <v>2272.2582315961145</v>
      </c>
      <c r="G6" s="231">
        <f>V$31*100/$V$21</f>
        <v>2204.3454809934874</v>
      </c>
      <c r="H6" s="378">
        <f>AA$31*100/$X$21</f>
        <v>1785.6638393131175</v>
      </c>
      <c r="I6" s="378">
        <f>AF31*100/$AC$21</f>
        <v>1399.550897965097</v>
      </c>
      <c r="J6" s="221"/>
      <c r="K6" s="379"/>
      <c r="L6" s="219"/>
      <c r="M6" s="219"/>
      <c r="N6" s="248"/>
      <c r="W6" s="379"/>
      <c r="X6" s="379"/>
      <c r="Y6" s="379"/>
      <c r="Z6" s="379"/>
      <c r="AA6" s="379"/>
      <c r="AB6" s="381"/>
      <c r="AC6" s="379"/>
      <c r="AD6" s="379"/>
      <c r="AE6" s="379"/>
      <c r="AF6" s="382"/>
      <c r="AG6" s="379"/>
    </row>
    <row r="7" spans="1:35" x14ac:dyDescent="0.15">
      <c r="A7" s="219"/>
      <c r="B7" s="219"/>
      <c r="C7" s="383">
        <v>200</v>
      </c>
      <c r="D7" s="231">
        <f>H$31*100/$H$21</f>
        <v>3995.0333246994001</v>
      </c>
      <c r="E7" s="231">
        <f>M$31*100/$M$21</f>
        <v>3451.0789618630947</v>
      </c>
      <c r="F7" s="231">
        <f>R$31*100/$R$21</f>
        <v>2806.969100051354</v>
      </c>
      <c r="G7" s="231">
        <f>W$31*100/$W$21</f>
        <v>2712.3208060259649</v>
      </c>
      <c r="H7" s="378">
        <f>AB$31*100/$X$21</f>
        <v>2125.8419308447501</v>
      </c>
      <c r="I7" s="378">
        <f>AG31*100/AC21</f>
        <v>1596.1846161150229</v>
      </c>
      <c r="J7" s="221"/>
      <c r="K7" s="379"/>
      <c r="L7" s="219"/>
      <c r="M7" s="247" t="s">
        <v>395</v>
      </c>
      <c r="N7" s="384">
        <v>10</v>
      </c>
      <c r="O7" s="161" t="s">
        <v>396</v>
      </c>
      <c r="W7" s="379"/>
      <c r="X7" s="379"/>
      <c r="Y7" s="379"/>
      <c r="Z7" s="379"/>
      <c r="AA7" s="379"/>
      <c r="AB7" s="381"/>
      <c r="AC7" s="379"/>
      <c r="AD7" s="379"/>
      <c r="AE7" s="379"/>
      <c r="AF7" s="382"/>
      <c r="AG7" s="379"/>
    </row>
    <row r="8" spans="1:35" x14ac:dyDescent="0.15">
      <c r="A8" s="219"/>
      <c r="B8" s="219"/>
      <c r="D8" s="248"/>
      <c r="E8" s="248"/>
      <c r="F8" s="248"/>
      <c r="G8" s="221"/>
      <c r="H8" s="248"/>
      <c r="I8" s="248" t="s">
        <v>387</v>
      </c>
      <c r="J8" s="221"/>
      <c r="K8" s="379"/>
      <c r="L8" s="219"/>
      <c r="M8" s="385" t="s">
        <v>397</v>
      </c>
      <c r="N8" s="384">
        <v>0.37</v>
      </c>
      <c r="O8" s="161" t="s">
        <v>329</v>
      </c>
      <c r="W8" s="386"/>
      <c r="X8" s="386"/>
      <c r="Y8" s="386"/>
      <c r="Z8" s="386"/>
      <c r="AA8" s="386"/>
      <c r="AB8" s="387"/>
      <c r="AC8" s="386"/>
      <c r="AD8" s="386"/>
      <c r="AE8" s="386"/>
      <c r="AF8" s="388"/>
      <c r="AG8" s="386"/>
      <c r="AH8" s="225"/>
    </row>
    <row r="9" spans="1:35" x14ac:dyDescent="0.15">
      <c r="A9" s="229"/>
      <c r="B9" s="219" t="s">
        <v>398</v>
      </c>
      <c r="C9" s="385" t="s">
        <v>399</v>
      </c>
      <c r="D9" s="231">
        <v>151</v>
      </c>
      <c r="E9" s="231">
        <v>184</v>
      </c>
      <c r="F9" s="231">
        <v>285</v>
      </c>
      <c r="G9" s="231">
        <v>300</v>
      </c>
      <c r="H9" s="378">
        <v>500</v>
      </c>
      <c r="I9" s="378">
        <v>1000</v>
      </c>
      <c r="K9" s="389"/>
      <c r="N9" s="161" t="s">
        <v>400</v>
      </c>
      <c r="W9" s="379"/>
      <c r="X9" s="379"/>
      <c r="Y9" s="379"/>
      <c r="Z9" s="379"/>
      <c r="AA9" s="379"/>
      <c r="AB9" s="381"/>
      <c r="AC9" s="379"/>
      <c r="AD9" s="379"/>
      <c r="AE9" s="379"/>
      <c r="AF9" s="382"/>
      <c r="AG9" s="379"/>
    </row>
    <row r="10" spans="1:35" x14ac:dyDescent="0.15">
      <c r="B10" s="219"/>
      <c r="C10" s="390"/>
      <c r="D10" s="231">
        <f>D54*100/D34</f>
        <v>2365.2502622758857</v>
      </c>
      <c r="E10" s="231">
        <f t="shared" ref="E10:F10" si="0">E54*100/E34</f>
        <v>2026.7825125035179</v>
      </c>
      <c r="F10" s="231">
        <f t="shared" si="0"/>
        <v>1560.2138815464361</v>
      </c>
      <c r="G10" s="231">
        <f>G54*100/G34</f>
        <v>1499.5992165051996</v>
      </c>
      <c r="H10" s="378">
        <f>H54*100/H34</f>
        <v>1150.5610708402496</v>
      </c>
      <c r="I10" s="378">
        <f>I54*100/I34</f>
        <v>900.46837100477876</v>
      </c>
      <c r="K10" s="391"/>
      <c r="N10" s="161" t="s">
        <v>401</v>
      </c>
      <c r="W10" s="379"/>
      <c r="X10" s="379"/>
      <c r="Y10" s="379"/>
      <c r="Z10" s="379"/>
      <c r="AA10" s="379"/>
      <c r="AB10" s="381"/>
      <c r="AC10" s="379"/>
      <c r="AD10" s="379"/>
      <c r="AE10" s="379"/>
      <c r="AF10" s="382"/>
      <c r="AG10" s="379"/>
    </row>
    <row r="11" spans="1:35" x14ac:dyDescent="0.15">
      <c r="A11" s="219"/>
      <c r="B11" s="219"/>
      <c r="C11" s="220"/>
      <c r="D11" s="221"/>
      <c r="E11" s="221"/>
      <c r="F11" s="221"/>
      <c r="G11" s="221"/>
      <c r="H11" s="248"/>
      <c r="I11" s="248" t="s">
        <v>387</v>
      </c>
      <c r="K11" s="392"/>
      <c r="N11" s="161" t="s">
        <v>402</v>
      </c>
      <c r="W11" s="379"/>
      <c r="X11" s="379"/>
      <c r="Y11" s="379"/>
      <c r="Z11" s="379"/>
      <c r="AA11" s="379"/>
      <c r="AB11" s="381"/>
      <c r="AC11" s="379"/>
      <c r="AD11" s="379"/>
      <c r="AE11" s="379"/>
      <c r="AF11" s="382"/>
      <c r="AG11" s="379"/>
    </row>
    <row r="12" spans="1:35" x14ac:dyDescent="0.15">
      <c r="A12" s="229"/>
      <c r="B12" s="219" t="s">
        <v>403</v>
      </c>
      <c r="C12" s="377" t="s">
        <v>328</v>
      </c>
      <c r="D12" s="231">
        <v>151</v>
      </c>
      <c r="E12" s="231">
        <v>184</v>
      </c>
      <c r="F12" s="231">
        <v>285</v>
      </c>
      <c r="G12" s="231">
        <v>300</v>
      </c>
      <c r="H12" s="378">
        <v>500</v>
      </c>
      <c r="I12" s="378">
        <v>1000</v>
      </c>
      <c r="J12" s="161" t="s">
        <v>389</v>
      </c>
      <c r="K12" s="392"/>
      <c r="N12" s="161" t="s">
        <v>330</v>
      </c>
      <c r="W12" s="379"/>
      <c r="X12" s="379"/>
      <c r="Y12" s="379"/>
      <c r="Z12" s="379"/>
      <c r="AA12" s="379"/>
      <c r="AB12" s="381"/>
      <c r="AC12" s="379"/>
      <c r="AD12" s="379"/>
      <c r="AE12" s="379"/>
      <c r="AF12" s="382"/>
      <c r="AG12" s="379"/>
    </row>
    <row r="13" spans="1:35" x14ac:dyDescent="0.15">
      <c r="A13" s="219"/>
      <c r="B13" s="219"/>
      <c r="C13" s="383">
        <v>20</v>
      </c>
      <c r="D13" s="231">
        <f>D3+$D$10</f>
        <v>3723.2402700318871</v>
      </c>
      <c r="E13" s="231">
        <f>E3+$E$10</f>
        <v>3313.7661436141498</v>
      </c>
      <c r="F13" s="231">
        <f>F3+$F$10</f>
        <v>2740.2692994717409</v>
      </c>
      <c r="G13" s="231">
        <f>G3+$G$10</f>
        <v>2666.3520245114178</v>
      </c>
      <c r="H13" s="378">
        <f>H3+$H$10</f>
        <v>2214.5691961269958</v>
      </c>
      <c r="I13" s="378">
        <f>I3+$I$10</f>
        <v>1866.6359741067895</v>
      </c>
      <c r="K13" s="313"/>
      <c r="W13" s="379"/>
      <c r="X13" s="379"/>
      <c r="Y13" s="379"/>
      <c r="Z13" s="379"/>
      <c r="AA13" s="379"/>
      <c r="AB13" s="381"/>
      <c r="AC13" s="379"/>
      <c r="AD13" s="379"/>
      <c r="AE13" s="379"/>
      <c r="AF13" s="382"/>
      <c r="AG13" s="379"/>
    </row>
    <row r="14" spans="1:35" x14ac:dyDescent="0.15">
      <c r="A14" s="219"/>
      <c r="B14" s="219"/>
      <c r="C14" s="383">
        <v>50</v>
      </c>
      <c r="D14" s="231">
        <f>D4+$D$10</f>
        <v>4094.383726943805</v>
      </c>
      <c r="E14" s="231">
        <f>E4+$E$10</f>
        <v>3666.4340029714112</v>
      </c>
      <c r="F14" s="231">
        <f>F4+$F$10</f>
        <v>2980.3751793768306</v>
      </c>
      <c r="G14" s="231">
        <f>G4+$G$10</f>
        <v>2894.4526104212532</v>
      </c>
      <c r="H14" s="378">
        <f>H4+$H$10</f>
        <v>2362.0474166265412</v>
      </c>
      <c r="I14" s="378">
        <f>I4+$I$10</f>
        <v>1959.8411774382425</v>
      </c>
      <c r="K14" s="313"/>
      <c r="W14" s="379"/>
      <c r="X14" s="379"/>
      <c r="Y14" s="379"/>
      <c r="Z14" s="379"/>
      <c r="AA14" s="379"/>
      <c r="AB14" s="381"/>
      <c r="AC14" s="379"/>
      <c r="AD14" s="379"/>
      <c r="AE14" s="379"/>
      <c r="AF14" s="382"/>
      <c r="AG14" s="379"/>
    </row>
    <row r="15" spans="1:35" x14ac:dyDescent="0.15">
      <c r="A15" s="219"/>
      <c r="B15" s="219"/>
      <c r="C15" s="383">
        <v>100</v>
      </c>
      <c r="D15" s="231">
        <f>D5+$D$10</f>
        <v>4810.6186730998324</v>
      </c>
      <c r="E15" s="231">
        <f>E5+$E$10</f>
        <v>4302.3019431757411</v>
      </c>
      <c r="F15" s="231">
        <f t="shared" ref="F15:F17" si="1">F5+$F$10</f>
        <v>3421.9468464843167</v>
      </c>
      <c r="G15" s="231">
        <f>G5+$G$10</f>
        <v>3313.9456941733647</v>
      </c>
      <c r="H15" s="378">
        <f>H5+$H$10</f>
        <v>2631.4397151338808</v>
      </c>
      <c r="I15" s="378">
        <f>I5+$I$10</f>
        <v>2121.0819990760228</v>
      </c>
      <c r="W15" s="393"/>
      <c r="X15" s="379"/>
      <c r="Y15" s="379"/>
      <c r="Z15" s="379"/>
      <c r="AA15" s="393"/>
      <c r="AB15" s="381"/>
      <c r="AC15" s="379"/>
      <c r="AD15" s="379"/>
      <c r="AE15" s="393"/>
      <c r="AF15" s="382"/>
      <c r="AG15" s="379"/>
    </row>
    <row r="16" spans="1:35" x14ac:dyDescent="0.15">
      <c r="A16" s="219"/>
      <c r="B16" s="223"/>
      <c r="C16" s="383">
        <v>150</v>
      </c>
      <c r="D16" s="231">
        <f>D6+$D$10</f>
        <v>5644.0486408192592</v>
      </c>
      <c r="E16" s="231">
        <f>E6+$E$10</f>
        <v>4890.0817087711766</v>
      </c>
      <c r="F16" s="231">
        <f t="shared" si="1"/>
        <v>3832.4721131425504</v>
      </c>
      <c r="G16" s="231">
        <f>G6+$G$10</f>
        <v>3703.9446974986868</v>
      </c>
      <c r="H16" s="378">
        <f>H6+$H$10</f>
        <v>2936.2249101533671</v>
      </c>
      <c r="I16" s="378">
        <f>I6+$I$10</f>
        <v>2300.0192689698756</v>
      </c>
      <c r="W16" s="386"/>
      <c r="X16" s="379"/>
      <c r="Y16" s="379"/>
      <c r="Z16" s="379"/>
      <c r="AA16" s="386"/>
      <c r="AB16" s="381"/>
      <c r="AC16" s="379"/>
      <c r="AD16" s="379"/>
      <c r="AE16" s="386"/>
      <c r="AF16" s="382"/>
      <c r="AG16" s="379"/>
    </row>
    <row r="17" spans="1:43" x14ac:dyDescent="0.15">
      <c r="A17" s="219"/>
      <c r="B17" s="219"/>
      <c r="C17" s="383">
        <v>200</v>
      </c>
      <c r="D17" s="231">
        <f>D7+$D$10</f>
        <v>6360.2835869752853</v>
      </c>
      <c r="E17" s="231">
        <f>E7+$E$10</f>
        <v>5477.861474366613</v>
      </c>
      <c r="F17" s="231">
        <f t="shared" si="1"/>
        <v>4367.1829815977899</v>
      </c>
      <c r="G17" s="231">
        <f>G7+$G$10</f>
        <v>4211.9200225311642</v>
      </c>
      <c r="H17" s="378">
        <f>H7+$H$10</f>
        <v>3276.4030016849997</v>
      </c>
      <c r="I17" s="378">
        <f>I7+$I$10</f>
        <v>2496.6529871198018</v>
      </c>
      <c r="W17" s="379"/>
      <c r="X17" s="379"/>
      <c r="Y17" s="379"/>
      <c r="Z17" s="379"/>
      <c r="AA17" s="379"/>
      <c r="AB17" s="381"/>
      <c r="AC17" s="379"/>
      <c r="AD17" s="379"/>
      <c r="AE17" s="379"/>
      <c r="AF17" s="382"/>
      <c r="AG17" s="379"/>
    </row>
    <row r="18" spans="1:43" x14ac:dyDescent="0.15">
      <c r="C18" s="248"/>
      <c r="D18" s="248"/>
      <c r="E18" s="248"/>
      <c r="F18" s="248"/>
      <c r="W18" s="379"/>
      <c r="X18" s="379"/>
      <c r="Y18" s="379"/>
      <c r="Z18" s="379"/>
      <c r="AA18" s="379"/>
      <c r="AB18" s="381"/>
      <c r="AC18" s="379"/>
      <c r="AD18" s="379"/>
      <c r="AE18" s="379"/>
      <c r="AF18" s="382"/>
      <c r="AG18" s="379"/>
      <c r="AI18" s="225"/>
    </row>
    <row r="19" spans="1:43" x14ac:dyDescent="0.15">
      <c r="G19" s="219"/>
      <c r="W19" s="379"/>
      <c r="X19" s="379"/>
      <c r="Y19" s="379"/>
      <c r="Z19" s="379"/>
      <c r="AA19" s="379"/>
      <c r="AB19" s="381"/>
      <c r="AC19" s="379"/>
      <c r="AD19" s="379"/>
      <c r="AE19" s="379"/>
      <c r="AF19" s="379"/>
      <c r="AG19" s="379"/>
    </row>
    <row r="20" spans="1:43" s="225" customFormat="1" x14ac:dyDescent="0.15">
      <c r="A20" s="124" t="s">
        <v>404</v>
      </c>
      <c r="D20" s="248"/>
      <c r="E20" s="248"/>
      <c r="F20" s="248"/>
      <c r="G20" s="248"/>
      <c r="H20" s="248"/>
      <c r="I20" s="248"/>
      <c r="J20" s="248"/>
      <c r="K20" s="248"/>
      <c r="L20" s="248"/>
      <c r="M20" s="248"/>
      <c r="N20" s="248"/>
      <c r="O20" s="248"/>
      <c r="P20" s="248"/>
      <c r="Q20" s="248"/>
      <c r="R20" s="248"/>
      <c r="V20" s="223"/>
      <c r="W20" s="394"/>
      <c r="X20" s="379"/>
      <c r="Y20" s="379"/>
      <c r="Z20" s="386"/>
      <c r="AA20" s="379"/>
      <c r="AB20" s="381"/>
      <c r="AC20" s="379"/>
      <c r="AD20" s="379"/>
      <c r="AE20" s="379"/>
      <c r="AF20" s="379"/>
      <c r="AG20" s="379"/>
      <c r="AH20" s="161"/>
      <c r="AI20" s="161"/>
    </row>
    <row r="21" spans="1:43" x14ac:dyDescent="0.15">
      <c r="A21" s="385"/>
      <c r="B21" s="385"/>
      <c r="C21" s="395" t="s">
        <v>405</v>
      </c>
      <c r="D21" s="396">
        <v>151</v>
      </c>
      <c r="E21" s="396">
        <v>151</v>
      </c>
      <c r="F21" s="396">
        <v>151</v>
      </c>
      <c r="G21" s="396">
        <v>151</v>
      </c>
      <c r="H21" s="396">
        <v>151</v>
      </c>
      <c r="I21" s="396">
        <v>184</v>
      </c>
      <c r="J21" s="396">
        <v>184</v>
      </c>
      <c r="K21" s="396">
        <v>184</v>
      </c>
      <c r="L21" s="396">
        <v>184</v>
      </c>
      <c r="M21" s="396">
        <v>184</v>
      </c>
      <c r="N21" s="396">
        <v>285</v>
      </c>
      <c r="O21" s="396">
        <v>285</v>
      </c>
      <c r="P21" s="396">
        <v>285</v>
      </c>
      <c r="Q21" s="396">
        <v>285</v>
      </c>
      <c r="R21" s="396">
        <v>285</v>
      </c>
      <c r="S21" s="378">
        <v>300</v>
      </c>
      <c r="T21" s="378">
        <v>300</v>
      </c>
      <c r="U21" s="378">
        <v>300</v>
      </c>
      <c r="V21" s="231">
        <v>300</v>
      </c>
      <c r="W21" s="397">
        <v>300</v>
      </c>
      <c r="X21" s="397">
        <v>500</v>
      </c>
      <c r="Y21" s="397">
        <v>500</v>
      </c>
      <c r="Z21" s="397">
        <v>500</v>
      </c>
      <c r="AA21" s="397">
        <v>500</v>
      </c>
      <c r="AB21" s="397">
        <v>500</v>
      </c>
      <c r="AC21" s="397">
        <v>1000</v>
      </c>
      <c r="AD21" s="397">
        <v>1000</v>
      </c>
      <c r="AE21" s="397">
        <v>1000</v>
      </c>
      <c r="AF21" s="397">
        <v>1000</v>
      </c>
      <c r="AG21" s="397">
        <v>1000</v>
      </c>
      <c r="AQ21" s="398"/>
    </row>
    <row r="22" spans="1:43" x14ac:dyDescent="0.15">
      <c r="A22" s="385"/>
      <c r="B22" s="385"/>
      <c r="C22" s="395" t="s">
        <v>406</v>
      </c>
      <c r="D22" s="396">
        <v>20</v>
      </c>
      <c r="E22" s="396">
        <v>50</v>
      </c>
      <c r="F22" s="396">
        <v>100</v>
      </c>
      <c r="G22" s="396">
        <v>150</v>
      </c>
      <c r="H22" s="396">
        <v>200</v>
      </c>
      <c r="I22" s="396">
        <v>20</v>
      </c>
      <c r="J22" s="396">
        <v>50</v>
      </c>
      <c r="K22" s="396">
        <v>100</v>
      </c>
      <c r="L22" s="396">
        <v>150</v>
      </c>
      <c r="M22" s="396">
        <v>200</v>
      </c>
      <c r="N22" s="396">
        <v>20</v>
      </c>
      <c r="O22" s="396">
        <v>50</v>
      </c>
      <c r="P22" s="396">
        <v>100</v>
      </c>
      <c r="Q22" s="396">
        <v>150</v>
      </c>
      <c r="R22" s="396">
        <v>200</v>
      </c>
      <c r="S22" s="378">
        <v>20</v>
      </c>
      <c r="T22" s="378">
        <v>50</v>
      </c>
      <c r="U22" s="378">
        <v>100</v>
      </c>
      <c r="V22" s="231">
        <v>150</v>
      </c>
      <c r="W22" s="397">
        <v>200</v>
      </c>
      <c r="X22" s="397">
        <v>20</v>
      </c>
      <c r="Y22" s="397">
        <v>50</v>
      </c>
      <c r="Z22" s="397">
        <v>100</v>
      </c>
      <c r="AA22" s="397">
        <v>150</v>
      </c>
      <c r="AB22" s="397">
        <v>200</v>
      </c>
      <c r="AC22" s="397">
        <v>20</v>
      </c>
      <c r="AD22" s="397">
        <v>50</v>
      </c>
      <c r="AE22" s="397">
        <v>100</v>
      </c>
      <c r="AF22" s="397">
        <v>150</v>
      </c>
      <c r="AG22" s="397">
        <v>200</v>
      </c>
      <c r="AQ22" s="248"/>
    </row>
    <row r="23" spans="1:43" x14ac:dyDescent="0.15">
      <c r="A23" s="385" t="s">
        <v>407</v>
      </c>
      <c r="B23" s="385" t="s">
        <v>408</v>
      </c>
      <c r="C23" s="399" t="s">
        <v>409</v>
      </c>
      <c r="D23" s="230">
        <v>8702.5942692677891</v>
      </c>
      <c r="E23" s="230">
        <v>8702.5942692677891</v>
      </c>
      <c r="F23" s="230">
        <v>8702.5942692677891</v>
      </c>
      <c r="G23" s="230">
        <v>8702.5942692677891</v>
      </c>
      <c r="H23" s="230">
        <v>8702.5942692677891</v>
      </c>
      <c r="I23" s="230">
        <v>9847.6730228997658</v>
      </c>
      <c r="J23" s="230">
        <v>9847.6730228997658</v>
      </c>
      <c r="K23" s="230">
        <v>9847.6730228997658</v>
      </c>
      <c r="L23" s="230">
        <v>9847.6730228997658</v>
      </c>
      <c r="M23" s="230">
        <v>9847.6730228997658</v>
      </c>
      <c r="N23" s="230">
        <v>12947.220041307017</v>
      </c>
      <c r="O23" s="230">
        <v>12947.220041307017</v>
      </c>
      <c r="P23" s="230">
        <v>12947.220041307017</v>
      </c>
      <c r="Q23" s="230">
        <v>12947.220041307017</v>
      </c>
      <c r="R23" s="230">
        <v>12947.220041307017</v>
      </c>
      <c r="S23" s="230">
        <v>13369.285147567425</v>
      </c>
      <c r="T23" s="230">
        <v>13369.285147567425</v>
      </c>
      <c r="U23" s="230">
        <v>13369.285147567425</v>
      </c>
      <c r="V23" s="390">
        <v>13369.285147567425</v>
      </c>
      <c r="W23" s="400">
        <v>13369.285147567425</v>
      </c>
      <c r="X23" s="400">
        <v>18401.464758545841</v>
      </c>
      <c r="Y23" s="400">
        <v>18401.464758545841</v>
      </c>
      <c r="Z23" s="400">
        <v>18401.464758545841</v>
      </c>
      <c r="AA23" s="400">
        <v>18401.464758545841</v>
      </c>
      <c r="AB23" s="400">
        <v>18401.464758545841</v>
      </c>
      <c r="AC23" s="400">
        <v>28386.80755726013</v>
      </c>
      <c r="AD23" s="400">
        <v>28386.80755726013</v>
      </c>
      <c r="AE23" s="400">
        <v>28386.80755726013</v>
      </c>
      <c r="AF23" s="400">
        <v>28386.80755726013</v>
      </c>
      <c r="AG23" s="400">
        <v>28386.80755726013</v>
      </c>
    </row>
    <row r="24" spans="1:43" x14ac:dyDescent="0.15">
      <c r="A24" s="385"/>
      <c r="B24" s="385" t="s">
        <v>410</v>
      </c>
      <c r="C24" s="399" t="s">
        <v>409</v>
      </c>
      <c r="D24" s="230">
        <v>4697.1402799999996</v>
      </c>
      <c r="E24" s="230">
        <v>12346.723</v>
      </c>
      <c r="F24" s="230">
        <v>27108.935199999996</v>
      </c>
      <c r="G24" s="230">
        <v>44286.636600000005</v>
      </c>
      <c r="H24" s="230">
        <v>59048.848799999992</v>
      </c>
      <c r="I24" s="230">
        <v>4697.1402799999996</v>
      </c>
      <c r="J24" s="230">
        <v>13554.467599999998</v>
      </c>
      <c r="K24" s="230">
        <v>29524.424399999996</v>
      </c>
      <c r="L24" s="230">
        <v>44286.636600000005</v>
      </c>
      <c r="M24" s="230">
        <v>59048.848799999992</v>
      </c>
      <c r="N24" s="230">
        <v>5421.7870399999993</v>
      </c>
      <c r="O24" s="230">
        <v>14762.212199999998</v>
      </c>
      <c r="P24" s="230">
        <v>31939.9136</v>
      </c>
      <c r="Q24" s="230">
        <v>47909.8704</v>
      </c>
      <c r="R24" s="230">
        <v>68710.805600000007</v>
      </c>
      <c r="S24" s="230">
        <v>5421.7870399999993</v>
      </c>
      <c r="T24" s="401">
        <v>14762.212199999998</v>
      </c>
      <c r="U24" s="230">
        <v>31939.9136</v>
      </c>
      <c r="V24" s="390">
        <v>47909.8704</v>
      </c>
      <c r="W24" s="400">
        <v>68710.805600000007</v>
      </c>
      <c r="X24" s="400">
        <v>5904.8848800000005</v>
      </c>
      <c r="Y24" s="400">
        <v>15969.9568</v>
      </c>
      <c r="Z24" s="400">
        <v>34355.402800000003</v>
      </c>
      <c r="AA24" s="400">
        <v>55156.338000000003</v>
      </c>
      <c r="AB24" s="400">
        <v>78372.762399999992</v>
      </c>
      <c r="AC24" s="400">
        <v>6871.0805600000003</v>
      </c>
      <c r="AD24" s="400">
        <v>19593.190599999998</v>
      </c>
      <c r="AE24" s="400">
        <v>41601.870399999993</v>
      </c>
      <c r="AF24" s="400">
        <v>66026.039400000009</v>
      </c>
      <c r="AG24" s="400">
        <v>92865.697599999985</v>
      </c>
    </row>
    <row r="25" spans="1:43" x14ac:dyDescent="0.15">
      <c r="A25" s="385" t="s">
        <v>411</v>
      </c>
      <c r="B25" s="385" t="s">
        <v>408</v>
      </c>
      <c r="C25" s="399" t="s">
        <v>412</v>
      </c>
      <c r="D25" s="230">
        <v>106886.84955312147</v>
      </c>
      <c r="E25" s="230">
        <v>106886.84955312147</v>
      </c>
      <c r="F25" s="230">
        <v>106886.84955312147</v>
      </c>
      <c r="G25" s="230">
        <v>106886.84955312147</v>
      </c>
      <c r="H25" s="230">
        <v>106886.84955312147</v>
      </c>
      <c r="I25" s="230">
        <v>130246.2272700288</v>
      </c>
      <c r="J25" s="230">
        <v>130246.2272700288</v>
      </c>
      <c r="K25" s="230">
        <v>130246.2272700288</v>
      </c>
      <c r="L25" s="230">
        <v>130246.2272700288</v>
      </c>
      <c r="M25" s="230">
        <v>130246.2272700288</v>
      </c>
      <c r="N25" s="230">
        <v>201740.08028238144</v>
      </c>
      <c r="O25" s="230">
        <v>201740.08028238144</v>
      </c>
      <c r="P25" s="230">
        <v>201740.08028238144</v>
      </c>
      <c r="Q25" s="230">
        <v>201740.08028238144</v>
      </c>
      <c r="R25" s="230">
        <v>201740.08028238144</v>
      </c>
      <c r="S25" s="230">
        <v>212357.97924461216</v>
      </c>
      <c r="T25" s="401">
        <v>212357.97924461216</v>
      </c>
      <c r="U25" s="230">
        <v>212357.97924461216</v>
      </c>
      <c r="V25" s="390">
        <v>212357.97924461216</v>
      </c>
      <c r="W25" s="400">
        <v>212357.97924461216</v>
      </c>
      <c r="X25" s="400">
        <v>353929.96540768683</v>
      </c>
      <c r="Y25" s="400">
        <v>353929.96540768683</v>
      </c>
      <c r="Z25" s="400">
        <v>353929.96540768683</v>
      </c>
      <c r="AA25" s="402">
        <v>353929.96540768683</v>
      </c>
      <c r="AB25" s="400">
        <v>353929.96540768683</v>
      </c>
      <c r="AC25" s="400">
        <v>707859.93081537366</v>
      </c>
      <c r="AD25" s="400">
        <v>707859.93081537366</v>
      </c>
      <c r="AE25" s="402">
        <v>707859.93081537366</v>
      </c>
      <c r="AF25" s="400">
        <v>707859.93081537366</v>
      </c>
      <c r="AG25" s="400">
        <v>707859.93081537366</v>
      </c>
    </row>
    <row r="26" spans="1:43" x14ac:dyDescent="0.15">
      <c r="A26" s="385" t="s">
        <v>408</v>
      </c>
      <c r="B26" s="403" t="s">
        <v>413</v>
      </c>
      <c r="C26" s="399" t="s">
        <v>414</v>
      </c>
      <c r="D26" s="230">
        <f t="shared" ref="D26:H26" si="2">D23*$AI26</f>
        <v>376.49492190443988</v>
      </c>
      <c r="E26" s="230">
        <f t="shared" si="2"/>
        <v>376.49492190443988</v>
      </c>
      <c r="F26" s="230">
        <f t="shared" si="2"/>
        <v>376.49492190443988</v>
      </c>
      <c r="G26" s="230">
        <f t="shared" si="2"/>
        <v>376.49492190443988</v>
      </c>
      <c r="H26" s="230">
        <f t="shared" si="2"/>
        <v>376.49492190443988</v>
      </c>
      <c r="I26" s="230">
        <f>I23*$AI26</f>
        <v>426.03375165840674</v>
      </c>
      <c r="J26" s="230">
        <f>J23*$AI26</f>
        <v>426.03375165840674</v>
      </c>
      <c r="K26" s="230">
        <f>K23*$AI26</f>
        <v>426.03375165840674</v>
      </c>
      <c r="L26" s="230">
        <f>L23*$AI26</f>
        <v>426.03375165840674</v>
      </c>
      <c r="M26" s="230">
        <f>M23*$AI26</f>
        <v>426.03375165840674</v>
      </c>
      <c r="N26" s="230">
        <f t="shared" ref="N26:AG26" si="3">N23*$AI26</f>
        <v>560.12752605799881</v>
      </c>
      <c r="O26" s="230">
        <f t="shared" si="3"/>
        <v>560.12752605799881</v>
      </c>
      <c r="P26" s="230">
        <f t="shared" si="3"/>
        <v>560.12752605799881</v>
      </c>
      <c r="Q26" s="230">
        <f t="shared" si="3"/>
        <v>560.12752605799881</v>
      </c>
      <c r="R26" s="230">
        <f t="shared" si="3"/>
        <v>560.12752605799881</v>
      </c>
      <c r="S26" s="230">
        <f t="shared" si="3"/>
        <v>578.38706617941489</v>
      </c>
      <c r="T26" s="404">
        <f t="shared" si="3"/>
        <v>578.38706617941489</v>
      </c>
      <c r="U26" s="390">
        <f t="shared" si="3"/>
        <v>578.38706617941489</v>
      </c>
      <c r="V26" s="390">
        <f t="shared" si="3"/>
        <v>578.38706617941489</v>
      </c>
      <c r="W26" s="400">
        <f t="shared" si="3"/>
        <v>578.38706617941489</v>
      </c>
      <c r="X26" s="400">
        <f t="shared" si="3"/>
        <v>796.09112212224568</v>
      </c>
      <c r="Y26" s="400">
        <f t="shared" si="3"/>
        <v>796.09112212224568</v>
      </c>
      <c r="Z26" s="400">
        <f t="shared" si="3"/>
        <v>796.09112212224568</v>
      </c>
      <c r="AA26" s="400">
        <f t="shared" si="3"/>
        <v>796.09112212224568</v>
      </c>
      <c r="AB26" s="400">
        <f t="shared" si="3"/>
        <v>796.09112212224568</v>
      </c>
      <c r="AC26" s="400">
        <f t="shared" si="3"/>
        <v>1228.0807956460358</v>
      </c>
      <c r="AD26" s="400">
        <f t="shared" si="3"/>
        <v>1228.0807956460358</v>
      </c>
      <c r="AE26" s="400">
        <f t="shared" si="3"/>
        <v>1228.0807956460358</v>
      </c>
      <c r="AF26" s="400">
        <f t="shared" si="3"/>
        <v>1228.0807956460358</v>
      </c>
      <c r="AG26" s="400">
        <f t="shared" si="3"/>
        <v>1228.0807956460358</v>
      </c>
      <c r="AH26" s="161" t="s">
        <v>415</v>
      </c>
      <c r="AI26" s="405">
        <f>$N$4</f>
        <v>4.3262377890462896E-2</v>
      </c>
      <c r="AJ26" s="161" t="s">
        <v>416</v>
      </c>
      <c r="AK26" s="161" t="s">
        <v>417</v>
      </c>
    </row>
    <row r="27" spans="1:43" x14ac:dyDescent="0.15">
      <c r="A27" s="385"/>
      <c r="B27" s="385" t="s">
        <v>418</v>
      </c>
      <c r="C27" s="399" t="s">
        <v>414</v>
      </c>
      <c r="D27" s="230">
        <f t="shared" ref="D27:AG27" si="4">D23*$AI27</f>
        <v>261.07782807803369</v>
      </c>
      <c r="E27" s="230">
        <f t="shared" si="4"/>
        <v>261.07782807803369</v>
      </c>
      <c r="F27" s="230">
        <f t="shared" si="4"/>
        <v>261.07782807803369</v>
      </c>
      <c r="G27" s="230">
        <f t="shared" si="4"/>
        <v>261.07782807803369</v>
      </c>
      <c r="H27" s="230">
        <f t="shared" si="4"/>
        <v>261.07782807803369</v>
      </c>
      <c r="I27" s="230">
        <f t="shared" si="4"/>
        <v>295.43019068699294</v>
      </c>
      <c r="J27" s="230">
        <f t="shared" si="4"/>
        <v>295.43019068699294</v>
      </c>
      <c r="K27" s="230">
        <f t="shared" si="4"/>
        <v>295.43019068699294</v>
      </c>
      <c r="L27" s="230">
        <f t="shared" si="4"/>
        <v>295.43019068699294</v>
      </c>
      <c r="M27" s="230">
        <f t="shared" si="4"/>
        <v>295.43019068699294</v>
      </c>
      <c r="N27" s="230">
        <f t="shared" si="4"/>
        <v>388.41660123921048</v>
      </c>
      <c r="O27" s="230">
        <f t="shared" si="4"/>
        <v>388.41660123921048</v>
      </c>
      <c r="P27" s="230">
        <f t="shared" si="4"/>
        <v>388.41660123921048</v>
      </c>
      <c r="Q27" s="230">
        <f t="shared" si="4"/>
        <v>388.41660123921048</v>
      </c>
      <c r="R27" s="230">
        <f t="shared" si="4"/>
        <v>388.41660123921048</v>
      </c>
      <c r="S27" s="230">
        <f t="shared" si="4"/>
        <v>401.07855442702277</v>
      </c>
      <c r="T27" s="404">
        <f t="shared" si="4"/>
        <v>401.07855442702277</v>
      </c>
      <c r="U27" s="230">
        <f t="shared" si="4"/>
        <v>401.07855442702277</v>
      </c>
      <c r="V27" s="390">
        <f t="shared" si="4"/>
        <v>401.07855442702277</v>
      </c>
      <c r="W27" s="400">
        <f t="shared" si="4"/>
        <v>401.07855442702277</v>
      </c>
      <c r="X27" s="400">
        <f t="shared" si="4"/>
        <v>552.04394275637515</v>
      </c>
      <c r="Y27" s="400">
        <f t="shared" si="4"/>
        <v>552.04394275637515</v>
      </c>
      <c r="Z27" s="400">
        <f t="shared" si="4"/>
        <v>552.04394275637515</v>
      </c>
      <c r="AA27" s="400">
        <f t="shared" si="4"/>
        <v>552.04394275637515</v>
      </c>
      <c r="AB27" s="400">
        <f t="shared" si="4"/>
        <v>552.04394275637515</v>
      </c>
      <c r="AC27" s="400">
        <f t="shared" si="4"/>
        <v>851.60422671780384</v>
      </c>
      <c r="AD27" s="400">
        <f t="shared" si="4"/>
        <v>851.60422671780384</v>
      </c>
      <c r="AE27" s="400">
        <f t="shared" si="4"/>
        <v>851.60422671780384</v>
      </c>
      <c r="AF27" s="400">
        <f t="shared" si="4"/>
        <v>851.60422671780384</v>
      </c>
      <c r="AG27" s="400">
        <f t="shared" si="4"/>
        <v>851.60422671780384</v>
      </c>
      <c r="AH27" s="161" t="s">
        <v>415</v>
      </c>
      <c r="AI27" s="406">
        <f>$N$3</f>
        <v>0.03</v>
      </c>
      <c r="AJ27" s="161" t="s">
        <v>419</v>
      </c>
    </row>
    <row r="28" spans="1:43" x14ac:dyDescent="0.15">
      <c r="A28" s="395"/>
      <c r="B28" s="385" t="s">
        <v>420</v>
      </c>
      <c r="C28" s="399" t="s">
        <v>414</v>
      </c>
      <c r="D28" s="230">
        <f t="shared" ref="D28:AG28" si="5">D25*$N$7/1000</f>
        <v>1068.8684955312146</v>
      </c>
      <c r="E28" s="230">
        <f t="shared" si="5"/>
        <v>1068.8684955312146</v>
      </c>
      <c r="F28" s="230">
        <f t="shared" si="5"/>
        <v>1068.8684955312146</v>
      </c>
      <c r="G28" s="230">
        <f t="shared" si="5"/>
        <v>1068.8684955312146</v>
      </c>
      <c r="H28" s="230">
        <f t="shared" si="5"/>
        <v>1068.8684955312146</v>
      </c>
      <c r="I28" s="230">
        <f t="shared" si="5"/>
        <v>1302.4622727002882</v>
      </c>
      <c r="J28" s="230">
        <f t="shared" si="5"/>
        <v>1302.4622727002882</v>
      </c>
      <c r="K28" s="230">
        <f t="shared" si="5"/>
        <v>1302.4622727002882</v>
      </c>
      <c r="L28" s="230">
        <f t="shared" si="5"/>
        <v>1302.4622727002882</v>
      </c>
      <c r="M28" s="230">
        <f t="shared" si="5"/>
        <v>1302.4622727002882</v>
      </c>
      <c r="N28" s="230">
        <f t="shared" si="5"/>
        <v>2017.4008028238145</v>
      </c>
      <c r="O28" s="230">
        <f t="shared" si="5"/>
        <v>2017.4008028238145</v>
      </c>
      <c r="P28" s="230">
        <f t="shared" si="5"/>
        <v>2017.4008028238145</v>
      </c>
      <c r="Q28" s="230">
        <f t="shared" si="5"/>
        <v>2017.4008028238145</v>
      </c>
      <c r="R28" s="230">
        <f t="shared" si="5"/>
        <v>2017.4008028238145</v>
      </c>
      <c r="S28" s="230">
        <f t="shared" si="5"/>
        <v>2123.5797924461217</v>
      </c>
      <c r="T28" s="401">
        <f t="shared" si="5"/>
        <v>2123.5797924461217</v>
      </c>
      <c r="U28" s="230">
        <f t="shared" si="5"/>
        <v>2123.5797924461217</v>
      </c>
      <c r="V28" s="390">
        <f t="shared" si="5"/>
        <v>2123.5797924461217</v>
      </c>
      <c r="W28" s="400">
        <f t="shared" si="5"/>
        <v>2123.5797924461217</v>
      </c>
      <c r="X28" s="400">
        <f t="shared" si="5"/>
        <v>3539.2996540768681</v>
      </c>
      <c r="Y28" s="400">
        <f t="shared" si="5"/>
        <v>3539.2996540768681</v>
      </c>
      <c r="Z28" s="400">
        <f t="shared" si="5"/>
        <v>3539.2996540768681</v>
      </c>
      <c r="AA28" s="400">
        <f t="shared" si="5"/>
        <v>3539.2996540768681</v>
      </c>
      <c r="AB28" s="400">
        <f t="shared" si="5"/>
        <v>3539.2996540768681</v>
      </c>
      <c r="AC28" s="400">
        <f t="shared" si="5"/>
        <v>7078.5993081537363</v>
      </c>
      <c r="AD28" s="400">
        <f t="shared" si="5"/>
        <v>7078.5993081537363</v>
      </c>
      <c r="AE28" s="400">
        <f t="shared" si="5"/>
        <v>7078.5993081537363</v>
      </c>
      <c r="AF28" s="400">
        <f t="shared" si="5"/>
        <v>7078.5993081537363</v>
      </c>
      <c r="AG28" s="400">
        <f t="shared" si="5"/>
        <v>7078.5993081537363</v>
      </c>
      <c r="AH28" s="161" t="s">
        <v>421</v>
      </c>
    </row>
    <row r="29" spans="1:43" x14ac:dyDescent="0.15">
      <c r="A29" s="385" t="s">
        <v>422</v>
      </c>
      <c r="B29" s="403" t="s">
        <v>413</v>
      </c>
      <c r="C29" s="399" t="s">
        <v>414</v>
      </c>
      <c r="D29" s="230">
        <f t="shared" ref="D29:AG29" si="6">D24*$AI26</f>
        <v>203.20945779787468</v>
      </c>
      <c r="E29" s="230">
        <f t="shared" si="6"/>
        <v>534.14859613486976</v>
      </c>
      <c r="F29" s="230">
        <f t="shared" si="6"/>
        <v>1172.7969988304712</v>
      </c>
      <c r="G29" s="230">
        <f t="shared" si="6"/>
        <v>1915.945208086805</v>
      </c>
      <c r="H29" s="230">
        <f t="shared" si="6"/>
        <v>2554.5936107824064</v>
      </c>
      <c r="I29" s="230">
        <f t="shared" si="6"/>
        <v>203.20945779787468</v>
      </c>
      <c r="J29" s="230">
        <f t="shared" si="6"/>
        <v>586.39849941523562</v>
      </c>
      <c r="K29" s="230">
        <f t="shared" si="6"/>
        <v>1277.2968053912032</v>
      </c>
      <c r="L29" s="230">
        <f t="shared" si="6"/>
        <v>1915.945208086805</v>
      </c>
      <c r="M29" s="230">
        <f t="shared" si="6"/>
        <v>2554.5936107824064</v>
      </c>
      <c r="N29" s="230">
        <f t="shared" si="6"/>
        <v>234.55939976609423</v>
      </c>
      <c r="O29" s="230">
        <f t="shared" si="6"/>
        <v>638.64840269560159</v>
      </c>
      <c r="P29" s="230">
        <f t="shared" si="6"/>
        <v>1381.7966119519351</v>
      </c>
      <c r="Q29" s="230">
        <f t="shared" si="6"/>
        <v>2072.6949179279027</v>
      </c>
      <c r="R29" s="230">
        <f t="shared" si="6"/>
        <v>2972.5928370253346</v>
      </c>
      <c r="S29" s="230">
        <f t="shared" si="6"/>
        <v>234.55939976609423</v>
      </c>
      <c r="T29" s="404">
        <f t="shared" si="6"/>
        <v>638.64840269560159</v>
      </c>
      <c r="U29" s="390">
        <f t="shared" si="6"/>
        <v>1381.7966119519351</v>
      </c>
      <c r="V29" s="390">
        <f t="shared" si="6"/>
        <v>2072.6949179279027</v>
      </c>
      <c r="W29" s="400">
        <f t="shared" si="6"/>
        <v>2972.5928370253346</v>
      </c>
      <c r="X29" s="400">
        <f t="shared" si="6"/>
        <v>255.45936107824068</v>
      </c>
      <c r="Y29" s="400">
        <f t="shared" si="6"/>
        <v>690.89830597596756</v>
      </c>
      <c r="Z29" s="400">
        <f t="shared" si="6"/>
        <v>1486.2964185126673</v>
      </c>
      <c r="AA29" s="400">
        <f t="shared" si="6"/>
        <v>2386.1943376100985</v>
      </c>
      <c r="AB29" s="400">
        <f t="shared" si="6"/>
        <v>3390.5920632682614</v>
      </c>
      <c r="AC29" s="400">
        <f t="shared" si="6"/>
        <v>297.25928370253342</v>
      </c>
      <c r="AD29" s="400">
        <f t="shared" si="6"/>
        <v>847.64801581706536</v>
      </c>
      <c r="AE29" s="400">
        <f t="shared" si="6"/>
        <v>1799.7958381948624</v>
      </c>
      <c r="AF29" s="400">
        <f t="shared" si="6"/>
        <v>2856.4434671333925</v>
      </c>
      <c r="AG29" s="400">
        <f t="shared" si="6"/>
        <v>4017.5909026326526</v>
      </c>
      <c r="AH29" s="161" t="s">
        <v>415</v>
      </c>
      <c r="AI29" s="405">
        <f>$N$4</f>
        <v>4.3262377890462896E-2</v>
      </c>
      <c r="AJ29" s="161" t="s">
        <v>416</v>
      </c>
      <c r="AK29" s="161" t="s">
        <v>417</v>
      </c>
    </row>
    <row r="30" spans="1:43" x14ac:dyDescent="0.15">
      <c r="A30" s="385"/>
      <c r="B30" s="385" t="s">
        <v>418</v>
      </c>
      <c r="C30" s="399" t="s">
        <v>414</v>
      </c>
      <c r="D30" s="230">
        <f t="shared" ref="D30:AG30" si="7">D24*$AI27</f>
        <v>140.91420839999998</v>
      </c>
      <c r="E30" s="230">
        <f t="shared" si="7"/>
        <v>370.40168999999997</v>
      </c>
      <c r="F30" s="230">
        <f t="shared" si="7"/>
        <v>813.26805599999989</v>
      </c>
      <c r="G30" s="230">
        <f t="shared" si="7"/>
        <v>1328.5990980000001</v>
      </c>
      <c r="H30" s="230">
        <f t="shared" si="7"/>
        <v>1771.4654639999997</v>
      </c>
      <c r="I30" s="230">
        <f t="shared" si="7"/>
        <v>140.91420839999998</v>
      </c>
      <c r="J30" s="230">
        <f t="shared" si="7"/>
        <v>406.63402799999994</v>
      </c>
      <c r="K30" s="230">
        <f t="shared" si="7"/>
        <v>885.73273199999983</v>
      </c>
      <c r="L30" s="230">
        <f t="shared" si="7"/>
        <v>1328.5990980000001</v>
      </c>
      <c r="M30" s="230">
        <f t="shared" si="7"/>
        <v>1771.4654639999997</v>
      </c>
      <c r="N30" s="230">
        <f t="shared" si="7"/>
        <v>162.65361119999997</v>
      </c>
      <c r="O30" s="230">
        <f t="shared" si="7"/>
        <v>442.86636599999991</v>
      </c>
      <c r="P30" s="230">
        <f t="shared" si="7"/>
        <v>958.197408</v>
      </c>
      <c r="Q30" s="230">
        <f t="shared" si="7"/>
        <v>1437.296112</v>
      </c>
      <c r="R30" s="230">
        <f t="shared" si="7"/>
        <v>2061.3241680000001</v>
      </c>
      <c r="S30" s="230">
        <f t="shared" si="7"/>
        <v>162.65361119999997</v>
      </c>
      <c r="T30" s="404">
        <f t="shared" si="7"/>
        <v>442.86636599999991</v>
      </c>
      <c r="U30" s="230">
        <f t="shared" si="7"/>
        <v>958.197408</v>
      </c>
      <c r="V30" s="390">
        <f t="shared" si="7"/>
        <v>1437.296112</v>
      </c>
      <c r="W30" s="400">
        <f t="shared" si="7"/>
        <v>2061.3241680000001</v>
      </c>
      <c r="X30" s="400">
        <f t="shared" si="7"/>
        <v>177.14654640000001</v>
      </c>
      <c r="Y30" s="400">
        <f t="shared" si="7"/>
        <v>479.098704</v>
      </c>
      <c r="Z30" s="400">
        <f t="shared" si="7"/>
        <v>1030.662084</v>
      </c>
      <c r="AA30" s="400">
        <f t="shared" si="7"/>
        <v>1654.6901399999999</v>
      </c>
      <c r="AB30" s="400">
        <f t="shared" si="7"/>
        <v>2351.1828719999999</v>
      </c>
      <c r="AC30" s="400">
        <f t="shared" si="7"/>
        <v>206.13241680000002</v>
      </c>
      <c r="AD30" s="400">
        <f t="shared" si="7"/>
        <v>587.79571799999997</v>
      </c>
      <c r="AE30" s="400">
        <f t="shared" si="7"/>
        <v>1248.0561119999998</v>
      </c>
      <c r="AF30" s="400">
        <f t="shared" si="7"/>
        <v>1980.7811820000002</v>
      </c>
      <c r="AG30" s="400">
        <f t="shared" si="7"/>
        <v>2785.9709279999993</v>
      </c>
      <c r="AH30" s="161" t="s">
        <v>415</v>
      </c>
      <c r="AI30" s="406">
        <f>$N$3</f>
        <v>0.03</v>
      </c>
      <c r="AJ30" s="161" t="s">
        <v>419</v>
      </c>
    </row>
    <row r="31" spans="1:43" x14ac:dyDescent="0.15">
      <c r="A31" s="385"/>
      <c r="B31" s="385" t="s">
        <v>423</v>
      </c>
      <c r="C31" s="399" t="s">
        <v>414</v>
      </c>
      <c r="D31" s="230">
        <f t="shared" ref="D31" si="8">SUM(D26:D30)</f>
        <v>2050.5649117115627</v>
      </c>
      <c r="E31" s="230">
        <f t="shared" ref="E31:R31" si="9">SUM(E26:E30)</f>
        <v>2610.9915316485581</v>
      </c>
      <c r="F31" s="230">
        <f t="shared" si="9"/>
        <v>3692.5063003441592</v>
      </c>
      <c r="G31" s="230">
        <f t="shared" si="9"/>
        <v>4950.9855516004936</v>
      </c>
      <c r="H31" s="230">
        <f t="shared" si="9"/>
        <v>6032.5003202960943</v>
      </c>
      <c r="I31" s="230">
        <f t="shared" si="9"/>
        <v>2368.0498812435626</v>
      </c>
      <c r="J31" s="230">
        <f t="shared" si="9"/>
        <v>3016.9587424609235</v>
      </c>
      <c r="K31" s="230">
        <f t="shared" si="9"/>
        <v>4186.9557524368911</v>
      </c>
      <c r="L31" s="230">
        <f t="shared" si="9"/>
        <v>5268.4705211324926</v>
      </c>
      <c r="M31" s="230">
        <f t="shared" si="9"/>
        <v>6349.9852898280942</v>
      </c>
      <c r="N31" s="230">
        <f t="shared" si="9"/>
        <v>3363.1579410871182</v>
      </c>
      <c r="O31" s="230">
        <f t="shared" si="9"/>
        <v>4047.4596988166254</v>
      </c>
      <c r="P31" s="230">
        <f t="shared" si="9"/>
        <v>5305.9389500729594</v>
      </c>
      <c r="Q31" s="230">
        <f t="shared" si="9"/>
        <v>6475.9359600489261</v>
      </c>
      <c r="R31" s="230">
        <f t="shared" si="9"/>
        <v>7999.8619351463585</v>
      </c>
      <c r="S31" s="230">
        <f>SUM(S26:S30)</f>
        <v>3500.2584240186538</v>
      </c>
      <c r="T31" s="404">
        <f t="shared" ref="T31:AG31" si="10">SUM(T26:T30)</f>
        <v>4184.5601817481611</v>
      </c>
      <c r="U31" s="230">
        <f t="shared" si="10"/>
        <v>5443.0394330044946</v>
      </c>
      <c r="V31" s="390">
        <f t="shared" si="10"/>
        <v>6613.0364429804622</v>
      </c>
      <c r="W31" s="400">
        <f t="shared" si="10"/>
        <v>8136.9624180778947</v>
      </c>
      <c r="X31" s="400">
        <f t="shared" si="10"/>
        <v>5320.0406264337298</v>
      </c>
      <c r="Y31" s="400">
        <f t="shared" si="10"/>
        <v>6057.4317289314567</v>
      </c>
      <c r="Z31" s="400">
        <f t="shared" si="10"/>
        <v>7404.3932214681572</v>
      </c>
      <c r="AA31" s="400">
        <f t="shared" si="10"/>
        <v>8928.3191965655878</v>
      </c>
      <c r="AB31" s="400">
        <f t="shared" si="10"/>
        <v>10629.20965422375</v>
      </c>
      <c r="AC31" s="400">
        <f t="shared" si="10"/>
        <v>9661.676031020108</v>
      </c>
      <c r="AD31" s="400">
        <f t="shared" si="10"/>
        <v>10593.72806433464</v>
      </c>
      <c r="AE31" s="400">
        <f t="shared" si="10"/>
        <v>12206.136280712439</v>
      </c>
      <c r="AF31" s="400">
        <f t="shared" si="10"/>
        <v>13995.508979650969</v>
      </c>
      <c r="AG31" s="400">
        <f t="shared" si="10"/>
        <v>15961.846161150228</v>
      </c>
      <c r="AI31" s="406"/>
    </row>
    <row r="32" spans="1:43" x14ac:dyDescent="0.15">
      <c r="C32" s="227"/>
      <c r="D32" s="222"/>
      <c r="E32" s="222"/>
      <c r="F32" s="222"/>
      <c r="G32" s="222"/>
      <c r="H32" s="222"/>
      <c r="I32" s="222"/>
      <c r="J32" s="222"/>
      <c r="K32" s="222"/>
      <c r="L32" s="222"/>
      <c r="M32" s="222"/>
      <c r="N32" s="222"/>
      <c r="O32" s="222"/>
      <c r="P32" s="222"/>
      <c r="Q32" s="222"/>
      <c r="R32" s="222"/>
      <c r="T32" s="226"/>
      <c r="W32" s="379"/>
      <c r="X32" s="379"/>
      <c r="Y32" s="379"/>
      <c r="Z32" s="379"/>
      <c r="AA32" s="379"/>
      <c r="AB32" s="379"/>
      <c r="AC32" s="379"/>
      <c r="AD32" s="379"/>
      <c r="AE32" s="379"/>
      <c r="AF32" s="379"/>
      <c r="AG32" s="379"/>
    </row>
    <row r="33" spans="1:35" s="219" customFormat="1" x14ac:dyDescent="0.15">
      <c r="A33" s="225" t="s">
        <v>424</v>
      </c>
      <c r="B33" s="161"/>
      <c r="C33" s="161"/>
      <c r="D33" s="161"/>
      <c r="E33" s="161"/>
      <c r="F33" s="161"/>
      <c r="G33" s="161"/>
      <c r="H33" s="161"/>
      <c r="I33" s="161"/>
      <c r="J33" s="161"/>
      <c r="K33" s="161"/>
      <c r="L33" s="161"/>
      <c r="M33" s="161"/>
      <c r="N33" s="161"/>
      <c r="O33" s="161"/>
      <c r="P33" s="161"/>
      <c r="Q33" s="161"/>
      <c r="R33" s="161"/>
      <c r="S33" s="161"/>
      <c r="T33" s="161"/>
      <c r="U33" s="161"/>
      <c r="W33" s="379"/>
      <c r="X33" s="379"/>
      <c r="Y33" s="379"/>
      <c r="Z33" s="379"/>
      <c r="AA33" s="379"/>
      <c r="AB33" s="379"/>
      <c r="AC33" s="379"/>
      <c r="AD33" s="379"/>
      <c r="AE33" s="379"/>
      <c r="AF33" s="379"/>
      <c r="AG33" s="379"/>
    </row>
    <row r="34" spans="1:35" s="219" customFormat="1" x14ac:dyDescent="0.15">
      <c r="A34" s="245"/>
      <c r="B34" s="385"/>
      <c r="C34" s="395" t="s">
        <v>425</v>
      </c>
      <c r="D34" s="399">
        <v>151</v>
      </c>
      <c r="E34" s="399">
        <v>184</v>
      </c>
      <c r="F34" s="399">
        <v>285</v>
      </c>
      <c r="G34" s="378">
        <v>300</v>
      </c>
      <c r="H34" s="378">
        <v>500</v>
      </c>
      <c r="I34" s="378">
        <v>1000</v>
      </c>
      <c r="J34" s="222"/>
      <c r="K34" s="222"/>
      <c r="L34" s="161"/>
      <c r="M34" s="222"/>
      <c r="N34" s="222"/>
      <c r="O34" s="222"/>
      <c r="P34" s="222"/>
      <c r="Q34" s="161"/>
      <c r="R34" s="222"/>
      <c r="S34" s="222"/>
      <c r="T34" s="222"/>
      <c r="U34" s="222"/>
      <c r="W34" s="379"/>
      <c r="X34" s="379"/>
      <c r="Y34" s="379"/>
      <c r="Z34" s="379"/>
      <c r="AA34" s="379"/>
      <c r="AB34" s="379"/>
      <c r="AC34" s="379"/>
      <c r="AD34" s="379"/>
      <c r="AE34" s="379"/>
      <c r="AF34" s="379"/>
      <c r="AG34" s="379"/>
    </row>
    <row r="35" spans="1:35" s="219" customFormat="1" x14ac:dyDescent="0.15">
      <c r="A35" s="245" t="s">
        <v>426</v>
      </c>
      <c r="B35" s="385"/>
      <c r="C35" s="399" t="s">
        <v>409</v>
      </c>
      <c r="D35" s="230">
        <v>9421.9167948874692</v>
      </c>
      <c r="E35" s="230">
        <v>9751.9167948874674</v>
      </c>
      <c r="F35" s="230">
        <v>14085.136212488869</v>
      </c>
      <c r="G35" s="378">
        <v>14232.835874054395</v>
      </c>
      <c r="H35" s="378">
        <v>23100.99434338422</v>
      </c>
      <c r="I35" s="378">
        <v>50755.037117179374</v>
      </c>
      <c r="J35" s="161"/>
      <c r="K35" s="161"/>
      <c r="L35" s="161"/>
      <c r="M35" s="161"/>
      <c r="N35" s="161"/>
      <c r="O35" s="161"/>
      <c r="P35" s="161"/>
      <c r="Q35" s="161"/>
      <c r="R35" s="161"/>
      <c r="S35" s="161"/>
      <c r="T35" s="161"/>
      <c r="U35" s="161"/>
      <c r="W35" s="379"/>
      <c r="X35" s="379"/>
      <c r="Y35" s="379"/>
      <c r="Z35" s="379"/>
      <c r="AA35" s="379"/>
      <c r="AB35" s="379"/>
      <c r="AC35" s="379"/>
      <c r="AD35" s="379"/>
      <c r="AE35" s="379"/>
      <c r="AF35" s="379"/>
      <c r="AG35" s="379"/>
    </row>
    <row r="36" spans="1:35" s="219" customFormat="1" x14ac:dyDescent="0.15">
      <c r="A36" s="245" t="s">
        <v>427</v>
      </c>
      <c r="B36" s="385" t="s">
        <v>428</v>
      </c>
      <c r="C36" s="399" t="s">
        <v>409</v>
      </c>
      <c r="D36" s="230">
        <v>980</v>
      </c>
      <c r="E36" s="230">
        <v>980</v>
      </c>
      <c r="F36" s="230">
        <v>980</v>
      </c>
      <c r="G36" s="378">
        <v>980</v>
      </c>
      <c r="H36" s="378">
        <v>980</v>
      </c>
      <c r="I36" s="378">
        <v>980</v>
      </c>
      <c r="J36" s="161"/>
      <c r="K36" s="161"/>
      <c r="L36" s="161"/>
      <c r="M36" s="161"/>
      <c r="N36" s="161"/>
      <c r="O36" s="161"/>
      <c r="P36" s="161"/>
      <c r="Q36" s="161"/>
      <c r="R36" s="161"/>
      <c r="S36" s="161"/>
      <c r="T36" s="161"/>
      <c r="U36" s="161"/>
      <c r="W36" s="379"/>
      <c r="X36" s="379"/>
      <c r="Y36" s="379"/>
      <c r="Z36" s="379"/>
      <c r="AA36" s="379"/>
      <c r="AB36" s="379"/>
      <c r="AC36" s="379"/>
      <c r="AD36" s="379"/>
      <c r="AE36" s="379"/>
      <c r="AF36" s="379"/>
      <c r="AG36" s="379"/>
    </row>
    <row r="37" spans="1:35" s="219" customFormat="1" x14ac:dyDescent="0.15">
      <c r="A37" s="245"/>
      <c r="B37" s="385" t="s">
        <v>429</v>
      </c>
      <c r="C37" s="399" t="s">
        <v>409</v>
      </c>
      <c r="D37" s="230">
        <v>3391.8058797227118</v>
      </c>
      <c r="E37" s="230">
        <v>3556.5817763833861</v>
      </c>
      <c r="F37" s="230">
        <v>3950.3837649038501</v>
      </c>
      <c r="G37" s="378">
        <v>3999.3150962381646</v>
      </c>
      <c r="H37" s="378">
        <v>4520.9460282171194</v>
      </c>
      <c r="I37" s="378">
        <v>5339.2040820434004</v>
      </c>
      <c r="J37" s="161"/>
      <c r="K37" s="161"/>
      <c r="L37" s="161"/>
      <c r="M37" s="161"/>
      <c r="N37" s="161"/>
      <c r="O37" s="161"/>
      <c r="P37" s="161"/>
      <c r="Q37" s="161"/>
      <c r="R37" s="161"/>
      <c r="S37" s="161"/>
      <c r="T37" s="161"/>
      <c r="U37" s="161"/>
      <c r="W37" s="379"/>
      <c r="X37" s="379"/>
      <c r="Y37" s="379"/>
      <c r="Z37" s="379"/>
      <c r="AA37" s="381"/>
      <c r="AB37" s="379"/>
      <c r="AC37" s="379"/>
      <c r="AD37" s="379"/>
      <c r="AE37" s="381"/>
      <c r="AF37" s="379"/>
      <c r="AG37" s="379"/>
      <c r="AI37" s="220"/>
    </row>
    <row r="38" spans="1:35" s="219" customFormat="1" x14ac:dyDescent="0.15">
      <c r="A38" s="247" t="s">
        <v>430</v>
      </c>
      <c r="B38" s="385" t="s">
        <v>431</v>
      </c>
      <c r="C38" s="399" t="s">
        <v>409</v>
      </c>
      <c r="D38" s="230">
        <v>980</v>
      </c>
      <c r="E38" s="230">
        <v>980</v>
      </c>
      <c r="F38" s="230">
        <v>980</v>
      </c>
      <c r="G38" s="378">
        <v>980</v>
      </c>
      <c r="H38" s="378">
        <v>980</v>
      </c>
      <c r="I38" s="378">
        <v>980</v>
      </c>
      <c r="J38" s="161"/>
      <c r="K38" s="161"/>
      <c r="L38" s="161"/>
      <c r="M38" s="161"/>
      <c r="N38" s="161"/>
      <c r="O38" s="161"/>
      <c r="P38" s="161"/>
      <c r="Q38" s="161"/>
      <c r="R38" s="161"/>
      <c r="S38" s="161"/>
      <c r="T38" s="161"/>
      <c r="U38" s="161"/>
      <c r="W38" s="379"/>
      <c r="X38" s="379"/>
      <c r="Y38" s="379"/>
      <c r="Z38" s="379"/>
      <c r="AA38" s="381"/>
      <c r="AB38" s="379"/>
      <c r="AC38" s="379"/>
      <c r="AD38" s="379"/>
      <c r="AE38" s="381"/>
      <c r="AF38" s="379"/>
      <c r="AG38" s="379"/>
      <c r="AI38" s="220"/>
    </row>
    <row r="39" spans="1:35" s="219" customFormat="1" x14ac:dyDescent="0.15">
      <c r="A39" s="245"/>
      <c r="B39" s="385" t="s">
        <v>429</v>
      </c>
      <c r="C39" s="399" t="s">
        <v>409</v>
      </c>
      <c r="D39" s="230">
        <v>41381.916244670712</v>
      </c>
      <c r="E39" s="230">
        <v>43392.273734619397</v>
      </c>
      <c r="F39" s="230">
        <v>48196.876793822441</v>
      </c>
      <c r="G39" s="378">
        <v>48793.86622270519</v>
      </c>
      <c r="H39" s="378">
        <v>55158.053414793954</v>
      </c>
      <c r="I39" s="378">
        <v>65141.256301609705</v>
      </c>
      <c r="J39" s="161"/>
      <c r="K39" s="161"/>
      <c r="L39" s="161"/>
      <c r="M39" s="161"/>
      <c r="N39" s="161"/>
      <c r="O39" s="161"/>
      <c r="P39" s="161"/>
      <c r="Q39" s="161"/>
      <c r="R39" s="161"/>
      <c r="S39" s="161"/>
      <c r="T39" s="161"/>
      <c r="U39" s="161"/>
      <c r="W39" s="379"/>
      <c r="X39" s="379"/>
      <c r="Y39" s="379"/>
      <c r="Z39" s="379"/>
      <c r="AA39" s="381"/>
      <c r="AB39" s="379"/>
      <c r="AC39" s="379"/>
      <c r="AD39" s="379"/>
      <c r="AE39" s="381"/>
      <c r="AF39" s="379"/>
      <c r="AG39" s="379"/>
      <c r="AI39" s="220"/>
    </row>
    <row r="40" spans="1:35" s="219" customFormat="1" x14ac:dyDescent="0.15">
      <c r="A40" s="247" t="s">
        <v>432</v>
      </c>
      <c r="B40" s="385" t="s">
        <v>429</v>
      </c>
      <c r="C40" s="399" t="s">
        <v>409</v>
      </c>
      <c r="D40" s="230">
        <v>13548.657957170841</v>
      </c>
      <c r="E40" s="230">
        <v>14206.859618058379</v>
      </c>
      <c r="F40" s="230">
        <v>15779.912037483298</v>
      </c>
      <c r="G40" s="378">
        <v>15975.369529788792</v>
      </c>
      <c r="H40" s="378">
        <v>18059.038032020671</v>
      </c>
      <c r="I40" s="378">
        <v>21327.5913882932</v>
      </c>
      <c r="J40" s="161"/>
      <c r="K40" s="161"/>
      <c r="L40" s="161"/>
      <c r="M40" s="161"/>
      <c r="N40" s="161"/>
      <c r="O40" s="161"/>
      <c r="P40" s="161"/>
      <c r="Q40" s="161"/>
      <c r="R40" s="161"/>
      <c r="S40" s="161"/>
      <c r="T40" s="161"/>
      <c r="U40" s="161"/>
      <c r="W40" s="379"/>
      <c r="X40" s="379"/>
      <c r="Y40" s="379"/>
      <c r="Z40" s="379"/>
      <c r="AA40" s="381"/>
      <c r="AB40" s="379"/>
      <c r="AC40" s="379"/>
      <c r="AD40" s="379"/>
      <c r="AE40" s="381"/>
      <c r="AF40" s="379"/>
      <c r="AG40" s="379"/>
      <c r="AI40" s="220"/>
    </row>
    <row r="41" spans="1:35" s="219" customFormat="1" x14ac:dyDescent="0.15">
      <c r="A41" s="245" t="s">
        <v>433</v>
      </c>
      <c r="B41" s="385" t="s">
        <v>434</v>
      </c>
      <c r="C41" s="399" t="s">
        <v>409</v>
      </c>
      <c r="D41" s="230">
        <v>800</v>
      </c>
      <c r="E41" s="230">
        <v>800</v>
      </c>
      <c r="F41" s="230">
        <v>1200</v>
      </c>
      <c r="G41" s="378">
        <v>1200</v>
      </c>
      <c r="H41" s="378">
        <v>2000</v>
      </c>
      <c r="I41" s="378">
        <v>4000</v>
      </c>
      <c r="J41" s="161"/>
      <c r="K41" s="161"/>
      <c r="L41" s="161"/>
      <c r="M41" s="161"/>
      <c r="N41" s="161"/>
      <c r="O41" s="161"/>
      <c r="P41" s="161"/>
      <c r="Q41" s="161"/>
      <c r="R41" s="161"/>
      <c r="S41" s="161"/>
      <c r="T41" s="161"/>
      <c r="U41" s="161"/>
      <c r="W41" s="379"/>
      <c r="X41" s="379"/>
      <c r="Y41" s="379"/>
      <c r="Z41" s="379"/>
      <c r="AA41" s="381"/>
      <c r="AB41" s="379"/>
      <c r="AC41" s="379"/>
      <c r="AD41" s="379"/>
      <c r="AE41" s="381"/>
      <c r="AF41" s="379"/>
      <c r="AG41" s="379"/>
      <c r="AI41" s="220"/>
    </row>
    <row r="42" spans="1:35" s="219" customFormat="1" x14ac:dyDescent="0.15">
      <c r="A42" s="245" t="s">
        <v>411</v>
      </c>
      <c r="B42" s="385" t="s">
        <v>435</v>
      </c>
      <c r="C42" s="399" t="s">
        <v>332</v>
      </c>
      <c r="D42" s="230">
        <v>2925.7082549111269</v>
      </c>
      <c r="E42" s="230">
        <v>3565.1014496930293</v>
      </c>
      <c r="F42" s="230">
        <v>5522.0321367527849</v>
      </c>
      <c r="G42" s="378">
        <v>5812.6654071081985</v>
      </c>
      <c r="H42" s="378">
        <v>9687.7756785136644</v>
      </c>
      <c r="I42" s="378">
        <v>19375.551357027329</v>
      </c>
      <c r="J42" s="161"/>
      <c r="K42" s="161"/>
      <c r="L42" s="161"/>
      <c r="M42" s="161"/>
      <c r="N42" s="161"/>
      <c r="O42" s="161"/>
      <c r="P42" s="161"/>
      <c r="Q42" s="161"/>
      <c r="R42" s="161"/>
      <c r="S42" s="161"/>
      <c r="T42" s="161"/>
      <c r="U42" s="161"/>
      <c r="W42" s="379"/>
      <c r="X42" s="379"/>
      <c r="Y42" s="379"/>
      <c r="Z42" s="379"/>
      <c r="AA42" s="381"/>
      <c r="AB42" s="379"/>
      <c r="AC42" s="379"/>
      <c r="AD42" s="379"/>
      <c r="AE42" s="381"/>
      <c r="AF42" s="379"/>
      <c r="AG42" s="379"/>
      <c r="AI42" s="220"/>
    </row>
    <row r="43" spans="1:35" s="219" customFormat="1" x14ac:dyDescent="0.15">
      <c r="A43" s="245" t="s">
        <v>426</v>
      </c>
      <c r="B43" s="403" t="s">
        <v>413</v>
      </c>
      <c r="C43" s="399" t="s">
        <v>414</v>
      </c>
      <c r="D43" s="230">
        <f t="shared" ref="D43:F43" si="11">D35*$K43</f>
        <v>633.30080428709255</v>
      </c>
      <c r="E43" s="230">
        <f t="shared" si="11"/>
        <v>655.48198779405595</v>
      </c>
      <c r="F43" s="230">
        <f t="shared" si="11"/>
        <v>946.74239712058409</v>
      </c>
      <c r="G43" s="231">
        <f>G35*$K43</f>
        <v>956.67013438452761</v>
      </c>
      <c r="H43" s="407">
        <f>H35*$K43</f>
        <v>1552.7496809816112</v>
      </c>
      <c r="I43" s="408">
        <f>I35*$K43</f>
        <v>3411.5357339360621</v>
      </c>
      <c r="J43" s="229" t="s">
        <v>415</v>
      </c>
      <c r="K43" s="405">
        <f>$N$5</f>
        <v>6.7215707596859159E-2</v>
      </c>
      <c r="L43" s="161" t="s">
        <v>416</v>
      </c>
      <c r="M43" s="161" t="s">
        <v>436</v>
      </c>
      <c r="N43" s="161"/>
      <c r="O43" s="161"/>
      <c r="P43" s="161"/>
      <c r="Q43" s="161"/>
      <c r="R43" s="161"/>
      <c r="S43" s="161"/>
      <c r="T43" s="161"/>
      <c r="U43" s="161"/>
      <c r="W43" s="379"/>
      <c r="X43" s="379"/>
      <c r="Y43" s="379"/>
      <c r="Z43" s="379"/>
      <c r="AA43" s="381"/>
      <c r="AB43" s="379"/>
      <c r="AC43" s="379"/>
      <c r="AD43" s="379"/>
      <c r="AE43" s="381"/>
      <c r="AF43" s="379"/>
      <c r="AG43" s="379"/>
      <c r="AI43" s="220"/>
    </row>
    <row r="44" spans="1:35" s="219" customFormat="1" x14ac:dyDescent="0.15">
      <c r="A44" s="245"/>
      <c r="B44" s="385" t="s">
        <v>418</v>
      </c>
      <c r="C44" s="399" t="s">
        <v>414</v>
      </c>
      <c r="D44" s="230">
        <f t="shared" ref="D44:F44" si="12">D35*$K44</f>
        <v>188.4383358977494</v>
      </c>
      <c r="E44" s="230">
        <f t="shared" si="12"/>
        <v>195.03833589774936</v>
      </c>
      <c r="F44" s="230">
        <f t="shared" si="12"/>
        <v>281.70272424977742</v>
      </c>
      <c r="G44" s="231">
        <f>G35*$K44</f>
        <v>284.65671748108792</v>
      </c>
      <c r="H44" s="407">
        <f>H35*$K44</f>
        <v>462.01988686768442</v>
      </c>
      <c r="I44" s="231">
        <f>I35*$K44</f>
        <v>1015.1007423435875</v>
      </c>
      <c r="J44" s="219" t="s">
        <v>415</v>
      </c>
      <c r="K44" s="405">
        <v>0.02</v>
      </c>
      <c r="L44" s="161" t="s">
        <v>419</v>
      </c>
      <c r="M44" s="161"/>
      <c r="N44" s="161"/>
      <c r="O44" s="161"/>
      <c r="P44" s="161"/>
      <c r="Q44" s="161"/>
      <c r="R44" s="161"/>
      <c r="S44" s="161"/>
      <c r="T44" s="161"/>
      <c r="U44" s="161"/>
      <c r="W44" s="379"/>
      <c r="X44" s="379"/>
      <c r="Y44" s="379"/>
      <c r="Z44" s="379"/>
      <c r="AA44" s="381"/>
      <c r="AB44" s="379"/>
      <c r="AC44" s="379"/>
      <c r="AD44" s="379"/>
      <c r="AE44" s="381"/>
      <c r="AF44" s="379"/>
      <c r="AG44" s="379"/>
      <c r="AI44" s="220"/>
    </row>
    <row r="45" spans="1:35" s="219" customFormat="1" x14ac:dyDescent="0.15">
      <c r="A45" s="245"/>
      <c r="B45" s="385" t="s">
        <v>437</v>
      </c>
      <c r="C45" s="399" t="s">
        <v>414</v>
      </c>
      <c r="D45" s="230">
        <f t="shared" ref="D45:F45" si="13">D42*$N$7/1000</f>
        <v>29.257082549111271</v>
      </c>
      <c r="E45" s="230">
        <f t="shared" si="13"/>
        <v>35.651014496930294</v>
      </c>
      <c r="F45" s="230">
        <f t="shared" si="13"/>
        <v>55.220321367527852</v>
      </c>
      <c r="G45" s="231">
        <f>G42*$N$7/1000</f>
        <v>58.12665407108198</v>
      </c>
      <c r="H45" s="231">
        <f>H42*$N$7/1000</f>
        <v>96.877756785136654</v>
      </c>
      <c r="I45" s="231">
        <f>I42*$N$7/1000</f>
        <v>193.75551357027331</v>
      </c>
      <c r="J45" s="219" t="s">
        <v>421</v>
      </c>
      <c r="K45" s="405"/>
      <c r="L45" s="161"/>
      <c r="M45" s="161"/>
      <c r="N45" s="161"/>
      <c r="O45" s="161"/>
      <c r="P45" s="161"/>
      <c r="Q45" s="161"/>
      <c r="R45" s="161"/>
      <c r="S45" s="161"/>
      <c r="T45" s="161"/>
      <c r="U45" s="161"/>
      <c r="W45" s="379"/>
      <c r="X45" s="379"/>
      <c r="Y45" s="379"/>
      <c r="Z45" s="379"/>
      <c r="AA45" s="381"/>
      <c r="AB45" s="379"/>
      <c r="AC45" s="379"/>
      <c r="AD45" s="379"/>
      <c r="AE45" s="381"/>
      <c r="AF45" s="379"/>
      <c r="AG45" s="379"/>
      <c r="AI45" s="220"/>
    </row>
    <row r="46" spans="1:35" s="219" customFormat="1" x14ac:dyDescent="0.15">
      <c r="A46" s="245" t="s">
        <v>427</v>
      </c>
      <c r="B46" s="403" t="s">
        <v>413</v>
      </c>
      <c r="C46" s="399" t="s">
        <v>414</v>
      </c>
      <c r="D46" s="230">
        <f t="shared" ref="D46:F46" si="14">D36*$K46</f>
        <v>42.397130332653639</v>
      </c>
      <c r="E46" s="230">
        <f t="shared" si="14"/>
        <v>42.397130332653639</v>
      </c>
      <c r="F46" s="230">
        <f t="shared" si="14"/>
        <v>42.397130332653639</v>
      </c>
      <c r="G46" s="231">
        <f>G36*$K46</f>
        <v>42.397130332653639</v>
      </c>
      <c r="H46" s="407">
        <f>H36*$K46</f>
        <v>42.397130332653639</v>
      </c>
      <c r="I46" s="408">
        <f>I36*$K46</f>
        <v>42.397130332653639</v>
      </c>
      <c r="J46" s="229" t="s">
        <v>415</v>
      </c>
      <c r="K46" s="405">
        <f>$N$4</f>
        <v>4.3262377890462896E-2</v>
      </c>
      <c r="L46" s="161" t="s">
        <v>416</v>
      </c>
      <c r="M46" s="161" t="s">
        <v>417</v>
      </c>
      <c r="N46" s="161"/>
      <c r="O46" s="161"/>
      <c r="P46" s="161"/>
      <c r="Q46" s="161"/>
      <c r="R46" s="161"/>
      <c r="S46" s="161"/>
      <c r="T46" s="161"/>
      <c r="U46" s="161"/>
      <c r="W46" s="379"/>
      <c r="X46" s="379"/>
      <c r="Y46" s="379"/>
      <c r="Z46" s="379"/>
      <c r="AA46" s="381"/>
      <c r="AB46" s="379"/>
      <c r="AC46" s="379"/>
      <c r="AD46" s="379"/>
      <c r="AE46" s="381"/>
      <c r="AF46" s="379"/>
      <c r="AG46" s="379"/>
      <c r="AI46" s="220"/>
    </row>
    <row r="47" spans="1:35" s="219" customFormat="1" x14ac:dyDescent="0.15">
      <c r="A47" s="245"/>
      <c r="B47" s="385" t="s">
        <v>418</v>
      </c>
      <c r="C47" s="399" t="s">
        <v>414</v>
      </c>
      <c r="D47" s="230">
        <f t="shared" ref="D47:I49" si="15">D36*$K47</f>
        <v>29.4</v>
      </c>
      <c r="E47" s="230">
        <f t="shared" si="15"/>
        <v>29.4</v>
      </c>
      <c r="F47" s="230">
        <f t="shared" si="15"/>
        <v>29.4</v>
      </c>
      <c r="G47" s="231">
        <f t="shared" si="15"/>
        <v>29.4</v>
      </c>
      <c r="H47" s="407">
        <f t="shared" si="15"/>
        <v>29.4</v>
      </c>
      <c r="I47" s="231">
        <f t="shared" si="15"/>
        <v>29.4</v>
      </c>
      <c r="J47" s="219" t="s">
        <v>415</v>
      </c>
      <c r="K47" s="405">
        <f>$N$3</f>
        <v>0.03</v>
      </c>
      <c r="L47" s="161" t="s">
        <v>419</v>
      </c>
      <c r="M47" s="161"/>
      <c r="N47" s="161"/>
      <c r="O47" s="161"/>
      <c r="P47" s="161"/>
      <c r="Q47" s="161"/>
      <c r="R47" s="161"/>
      <c r="S47" s="161"/>
      <c r="T47" s="161"/>
      <c r="U47" s="161"/>
      <c r="W47" s="379"/>
      <c r="X47" s="379"/>
      <c r="Y47" s="379"/>
      <c r="Z47" s="379"/>
      <c r="AA47" s="381"/>
      <c r="AB47" s="379"/>
      <c r="AC47" s="379"/>
      <c r="AD47" s="379"/>
      <c r="AE47" s="381"/>
      <c r="AF47" s="379"/>
      <c r="AG47" s="379"/>
      <c r="AI47" s="220"/>
    </row>
    <row r="48" spans="1:35" s="219" customFormat="1" x14ac:dyDescent="0.15">
      <c r="A48" s="245"/>
      <c r="B48" s="385" t="s">
        <v>438</v>
      </c>
      <c r="C48" s="399" t="s">
        <v>414</v>
      </c>
      <c r="D48" s="230">
        <f t="shared" si="15"/>
        <v>146.73758769965789</v>
      </c>
      <c r="E48" s="230">
        <f t="shared" si="15"/>
        <v>153.86618480823185</v>
      </c>
      <c r="F48" s="230">
        <f t="shared" si="15"/>
        <v>170.90299524961989</v>
      </c>
      <c r="G48" s="231">
        <f t="shared" si="15"/>
        <v>173.01988099648847</v>
      </c>
      <c r="H48" s="407">
        <f t="shared" si="15"/>
        <v>195.58687549511635</v>
      </c>
      <c r="I48" s="408">
        <f t="shared" si="15"/>
        <v>230.98666463166364</v>
      </c>
      <c r="J48" s="229" t="s">
        <v>439</v>
      </c>
      <c r="K48" s="405">
        <f>$N$4</f>
        <v>4.3262377890462896E-2</v>
      </c>
      <c r="L48" s="161" t="s">
        <v>416</v>
      </c>
      <c r="M48" s="161" t="s">
        <v>417</v>
      </c>
      <c r="N48" s="161"/>
      <c r="O48" s="161"/>
      <c r="P48" s="161"/>
      <c r="Q48" s="161"/>
      <c r="R48" s="161"/>
      <c r="S48" s="161"/>
      <c r="T48" s="161"/>
      <c r="U48" s="161"/>
      <c r="W48" s="379"/>
      <c r="X48" s="379"/>
      <c r="Y48" s="379"/>
      <c r="Z48" s="379"/>
      <c r="AA48" s="381"/>
      <c r="AB48" s="379"/>
      <c r="AC48" s="379"/>
      <c r="AD48" s="379"/>
      <c r="AE48" s="381"/>
      <c r="AF48" s="379"/>
      <c r="AG48" s="379"/>
      <c r="AI48" s="220"/>
    </row>
    <row r="49" spans="1:37" x14ac:dyDescent="0.15">
      <c r="A49" s="247" t="s">
        <v>430</v>
      </c>
      <c r="B49" s="403" t="s">
        <v>413</v>
      </c>
      <c r="C49" s="399" t="s">
        <v>414</v>
      </c>
      <c r="D49" s="230">
        <f t="shared" si="15"/>
        <v>42.397130332653639</v>
      </c>
      <c r="E49" s="230">
        <f t="shared" si="15"/>
        <v>42.397130332653639</v>
      </c>
      <c r="F49" s="230">
        <f t="shared" si="15"/>
        <v>42.397130332653639</v>
      </c>
      <c r="G49" s="231">
        <f t="shared" si="15"/>
        <v>42.397130332653639</v>
      </c>
      <c r="H49" s="407">
        <f t="shared" si="15"/>
        <v>42.397130332653639</v>
      </c>
      <c r="I49" s="408">
        <f t="shared" si="15"/>
        <v>42.397130332653639</v>
      </c>
      <c r="J49" s="229" t="s">
        <v>415</v>
      </c>
      <c r="K49" s="405">
        <f>$N$4</f>
        <v>4.3262377890462896E-2</v>
      </c>
      <c r="L49" s="161" t="s">
        <v>416</v>
      </c>
      <c r="M49" s="161" t="s">
        <v>417</v>
      </c>
      <c r="W49" s="379"/>
      <c r="X49" s="379"/>
      <c r="Y49" s="379"/>
      <c r="Z49" s="379"/>
      <c r="AA49" s="381"/>
      <c r="AB49" s="379"/>
      <c r="AC49" s="379"/>
      <c r="AD49" s="379"/>
      <c r="AE49" s="381"/>
      <c r="AF49" s="379"/>
      <c r="AG49" s="379"/>
      <c r="AI49" s="222"/>
    </row>
    <row r="50" spans="1:37" x14ac:dyDescent="0.15">
      <c r="A50" s="245"/>
      <c r="B50" s="385" t="s">
        <v>418</v>
      </c>
      <c r="C50" s="399" t="s">
        <v>414</v>
      </c>
      <c r="D50" s="230">
        <f t="shared" ref="D50:I53" si="16">D38*$K50</f>
        <v>29.4</v>
      </c>
      <c r="E50" s="230">
        <f t="shared" si="16"/>
        <v>29.4</v>
      </c>
      <c r="F50" s="230">
        <f t="shared" si="16"/>
        <v>29.4</v>
      </c>
      <c r="G50" s="231">
        <f t="shared" si="16"/>
        <v>29.4</v>
      </c>
      <c r="H50" s="407">
        <f t="shared" si="16"/>
        <v>29.4</v>
      </c>
      <c r="I50" s="231">
        <f t="shared" si="16"/>
        <v>29.4</v>
      </c>
      <c r="J50" s="219" t="s">
        <v>415</v>
      </c>
      <c r="K50" s="405">
        <f>$N$3</f>
        <v>0.03</v>
      </c>
      <c r="L50" s="161" t="s">
        <v>419</v>
      </c>
      <c r="W50" s="379"/>
      <c r="X50" s="379"/>
      <c r="Y50" s="379"/>
      <c r="Z50" s="379"/>
      <c r="AA50" s="379"/>
      <c r="AB50" s="379"/>
      <c r="AC50" s="379"/>
      <c r="AD50" s="379"/>
      <c r="AE50" s="379"/>
      <c r="AF50" s="379"/>
      <c r="AG50" s="379"/>
    </row>
    <row r="51" spans="1:37" x14ac:dyDescent="0.15">
      <c r="A51" s="247"/>
      <c r="B51" s="385" t="s">
        <v>438</v>
      </c>
      <c r="C51" s="399" t="s">
        <v>414</v>
      </c>
      <c r="D51" s="230">
        <f t="shared" si="16"/>
        <v>1790.2800984084295</v>
      </c>
      <c r="E51" s="230">
        <f t="shared" si="16"/>
        <v>1877.2529438335121</v>
      </c>
      <c r="F51" s="230">
        <f t="shared" si="16"/>
        <v>2085.1114969944283</v>
      </c>
      <c r="G51" s="231">
        <f t="shared" si="16"/>
        <v>2110.9386792633654</v>
      </c>
      <c r="H51" s="407">
        <f t="shared" si="16"/>
        <v>2386.2685505331533</v>
      </c>
      <c r="I51" s="408">
        <f t="shared" si="16"/>
        <v>2818.1656463797362</v>
      </c>
      <c r="J51" s="229" t="s">
        <v>415</v>
      </c>
      <c r="K51" s="405">
        <f>$N$4</f>
        <v>4.3262377890462896E-2</v>
      </c>
      <c r="L51" s="161" t="s">
        <v>416</v>
      </c>
      <c r="M51" s="161" t="s">
        <v>417</v>
      </c>
      <c r="X51" s="219"/>
      <c r="AB51" s="219"/>
      <c r="AF51" s="219"/>
    </row>
    <row r="52" spans="1:37" x14ac:dyDescent="0.15">
      <c r="A52" s="247" t="s">
        <v>432</v>
      </c>
      <c r="B52" s="385" t="s">
        <v>438</v>
      </c>
      <c r="C52" s="399" t="s">
        <v>414</v>
      </c>
      <c r="D52" s="230">
        <f t="shared" si="16"/>
        <v>586.14716045175192</v>
      </c>
      <c r="E52" s="230">
        <f t="shared" si="16"/>
        <v>614.62252943319891</v>
      </c>
      <c r="F52" s="230">
        <f t="shared" si="16"/>
        <v>682.67651764386676</v>
      </c>
      <c r="G52" s="231">
        <f t="shared" si="16"/>
        <v>691.13247353750921</v>
      </c>
      <c r="H52" s="407">
        <f t="shared" si="16"/>
        <v>781.27692767951964</v>
      </c>
      <c r="I52" s="408">
        <f t="shared" si="16"/>
        <v>922.68231813372256</v>
      </c>
      <c r="J52" s="229" t="s">
        <v>415</v>
      </c>
      <c r="K52" s="405">
        <f>$N$4</f>
        <v>4.3262377890462896E-2</v>
      </c>
      <c r="L52" s="161" t="s">
        <v>416</v>
      </c>
      <c r="M52" s="161" t="s">
        <v>417</v>
      </c>
      <c r="X52" s="219"/>
      <c r="AB52" s="219"/>
      <c r="AF52" s="219"/>
    </row>
    <row r="53" spans="1:37" x14ac:dyDescent="0.15">
      <c r="A53" s="245" t="s">
        <v>433</v>
      </c>
      <c r="B53" s="385" t="s">
        <v>438</v>
      </c>
      <c r="C53" s="399" t="s">
        <v>414</v>
      </c>
      <c r="D53" s="230">
        <f t="shared" si="16"/>
        <v>53.772566077487326</v>
      </c>
      <c r="E53" s="230">
        <f t="shared" si="16"/>
        <v>53.772566077487326</v>
      </c>
      <c r="F53" s="230">
        <f t="shared" si="16"/>
        <v>80.658849116230996</v>
      </c>
      <c r="G53" s="231">
        <f t="shared" si="16"/>
        <v>80.658849116230996</v>
      </c>
      <c r="H53" s="407">
        <f t="shared" si="16"/>
        <v>134.43141519371832</v>
      </c>
      <c r="I53" s="408">
        <f t="shared" si="16"/>
        <v>268.86283038743665</v>
      </c>
      <c r="J53" s="229" t="s">
        <v>415</v>
      </c>
      <c r="K53" s="405">
        <f>$N$5</f>
        <v>6.7215707596859159E-2</v>
      </c>
      <c r="L53" s="161" t="s">
        <v>416</v>
      </c>
      <c r="M53" s="161" t="s">
        <v>436</v>
      </c>
      <c r="X53" s="219"/>
      <c r="AB53" s="219"/>
      <c r="AF53" s="219"/>
    </row>
    <row r="54" spans="1:37" x14ac:dyDescent="0.15">
      <c r="A54" s="245"/>
      <c r="B54" s="385" t="s">
        <v>423</v>
      </c>
      <c r="C54" s="399" t="s">
        <v>414</v>
      </c>
      <c r="D54" s="230">
        <f t="shared" ref="D54:F54" si="17">SUM(D43:D53)</f>
        <v>3571.5278960365872</v>
      </c>
      <c r="E54" s="230">
        <f t="shared" si="17"/>
        <v>3729.2798230064732</v>
      </c>
      <c r="F54" s="230">
        <f t="shared" si="17"/>
        <v>4446.6095624073432</v>
      </c>
      <c r="G54" s="378">
        <f>SUM(G43:G53)</f>
        <v>4498.797649515599</v>
      </c>
      <c r="H54" s="378">
        <f>SUM(H43:H53)</f>
        <v>5752.8053542012476</v>
      </c>
      <c r="I54" s="378">
        <f>SUM(I43:I53)</f>
        <v>9004.6837100477878</v>
      </c>
      <c r="X54" s="219"/>
      <c r="AB54" s="219"/>
      <c r="AF54" s="219"/>
    </row>
    <row r="55" spans="1:37" x14ac:dyDescent="0.15">
      <c r="X55" s="219"/>
      <c r="AB55" s="219"/>
      <c r="AF55" s="219"/>
    </row>
    <row r="56" spans="1:37" x14ac:dyDescent="0.15">
      <c r="A56" s="224"/>
      <c r="B56" s="219"/>
      <c r="C56" s="220"/>
      <c r="D56" s="220"/>
      <c r="E56" s="220"/>
      <c r="F56" s="219"/>
      <c r="G56" s="219"/>
      <c r="I56" s="313"/>
      <c r="J56" s="313"/>
      <c r="K56" s="313"/>
      <c r="L56" s="313"/>
      <c r="M56" s="313"/>
      <c r="N56" s="313"/>
      <c r="O56" s="313"/>
      <c r="P56" s="313"/>
      <c r="Q56" s="313"/>
      <c r="R56" s="313"/>
      <c r="S56" s="313"/>
      <c r="T56" s="313"/>
      <c r="U56" s="313"/>
      <c r="V56" s="409"/>
      <c r="W56" s="409"/>
      <c r="X56" s="409"/>
      <c r="Y56" s="410"/>
      <c r="AB56" s="219"/>
      <c r="AF56" s="219"/>
    </row>
    <row r="57" spans="1:37" s="219" customFormat="1" x14ac:dyDescent="0.15">
      <c r="A57" s="225" t="s">
        <v>440</v>
      </c>
      <c r="H57" s="225"/>
      <c r="I57" s="411" t="s">
        <v>672</v>
      </c>
      <c r="J57" s="409"/>
      <c r="K57" s="409"/>
      <c r="L57" s="409"/>
      <c r="M57" s="409"/>
      <c r="N57" s="409"/>
      <c r="O57" s="411"/>
      <c r="P57" s="409"/>
      <c r="Q57" s="412" t="s">
        <v>441</v>
      </c>
      <c r="R57" s="409"/>
      <c r="S57" s="409"/>
      <c r="T57" s="409"/>
      <c r="U57" s="409"/>
      <c r="V57" s="409"/>
      <c r="W57" s="409"/>
      <c r="X57" s="409"/>
      <c r="Y57" s="409"/>
    </row>
    <row r="58" spans="1:37" s="219" customFormat="1" ht="14.25" x14ac:dyDescent="0.15">
      <c r="A58" s="413" t="s">
        <v>442</v>
      </c>
      <c r="B58" s="245"/>
      <c r="C58" s="245"/>
      <c r="D58" s="245" t="s">
        <v>443</v>
      </c>
      <c r="E58" s="245" t="s">
        <v>444</v>
      </c>
      <c r="F58" s="245" t="s">
        <v>445</v>
      </c>
      <c r="G58" s="245" t="s">
        <v>446</v>
      </c>
      <c r="H58" s="225"/>
      <c r="I58" s="414" t="s">
        <v>447</v>
      </c>
      <c r="J58" s="245"/>
      <c r="K58" s="245"/>
      <c r="L58" s="231" t="s">
        <v>448</v>
      </c>
      <c r="M58" s="245" t="s">
        <v>444</v>
      </c>
      <c r="N58" s="245" t="s">
        <v>445</v>
      </c>
      <c r="O58" s="413" t="s">
        <v>446</v>
      </c>
      <c r="P58" s="409"/>
      <c r="Q58" s="415" t="s">
        <v>449</v>
      </c>
      <c r="R58" s="245"/>
      <c r="S58" s="245"/>
      <c r="T58" s="245" t="s">
        <v>450</v>
      </c>
      <c r="U58" s="245" t="s">
        <v>444</v>
      </c>
      <c r="V58" s="416" t="s">
        <v>445</v>
      </c>
      <c r="W58" s="245" t="s">
        <v>446</v>
      </c>
      <c r="X58" s="409"/>
      <c r="Y58" s="409"/>
    </row>
    <row r="59" spans="1:37" s="219" customFormat="1" x14ac:dyDescent="0.15">
      <c r="A59" s="417" t="s">
        <v>451</v>
      </c>
      <c r="B59" s="244"/>
      <c r="C59" s="244" t="s">
        <v>333</v>
      </c>
      <c r="D59" s="418">
        <f>('ＩＧＣＣ（2030年）'!F134-'CO2分離回収型IGCC（2030年）'!F134)/('ＩＧＣＣ（2030年）'!F145-'CO2分離回収型IGCC（2030年）'!F145)*1000</f>
        <v>150.46037773310502</v>
      </c>
      <c r="E59" s="418">
        <f>('ＩＧＣＣ（2030年）'!F134-'CO2分離回収型IGCC（2030年）'!F134)/('ＩＧＣＣ（2030年）'!F145-'CO2分離回収型IGCC（2030年）'!F145)*1000</f>
        <v>150.46037773310502</v>
      </c>
      <c r="F59" s="418">
        <f>('ＩＧＣＣ（2030年）'!F134-'CO2分離回収型IGCC（2030年）'!F134)/('ＩＧＣＣ（2030年）'!F145-'CO2分離回収型IGCC（2030年）'!F145)*1000</f>
        <v>150.46037773310502</v>
      </c>
      <c r="G59" s="418">
        <f>('ＩＧＣＣ（2030年）'!F134-'CO2分離回収型IGCC（2030年）'!F134)/('ＩＧＣＣ（2030年）'!F145-'CO2分離回収型IGCC（2030年）'!F145)*1000</f>
        <v>150.46037773310502</v>
      </c>
      <c r="H59" s="225"/>
      <c r="I59" s="247" t="s">
        <v>451</v>
      </c>
      <c r="J59" s="244" t="s">
        <v>452</v>
      </c>
      <c r="K59" s="245" t="s">
        <v>333</v>
      </c>
      <c r="L59" s="418">
        <v>127.81599999999999</v>
      </c>
      <c r="M59" s="418">
        <v>127.81599999999999</v>
      </c>
      <c r="N59" s="246">
        <v>127.81599999999999</v>
      </c>
      <c r="O59" s="419">
        <v>127.81599999999999</v>
      </c>
      <c r="P59" s="420"/>
      <c r="Q59" s="244" t="s">
        <v>451</v>
      </c>
      <c r="R59" s="245" t="s">
        <v>452</v>
      </c>
      <c r="S59" s="245" t="s">
        <v>333</v>
      </c>
      <c r="T59" s="418">
        <v>287.74200000000002</v>
      </c>
      <c r="U59" s="418">
        <v>287.74200000000002</v>
      </c>
      <c r="V59" s="418">
        <v>287.74200000000002</v>
      </c>
      <c r="W59" s="418">
        <v>287.74200000000002</v>
      </c>
      <c r="X59" s="409"/>
      <c r="Y59" s="409"/>
      <c r="AA59" s="220"/>
      <c r="AE59" s="220"/>
      <c r="AI59" s="220"/>
    </row>
    <row r="60" spans="1:37" s="219" customFormat="1" x14ac:dyDescent="0.15">
      <c r="A60" s="244"/>
      <c r="B60" s="245"/>
      <c r="C60" s="244"/>
      <c r="D60" s="418"/>
      <c r="E60" s="418"/>
      <c r="F60" s="418"/>
      <c r="G60" s="418"/>
      <c r="H60" s="225"/>
      <c r="I60" s="245"/>
      <c r="J60" s="244" t="s">
        <v>453</v>
      </c>
      <c r="K60" s="245" t="s">
        <v>333</v>
      </c>
      <c r="L60" s="418">
        <v>41.28226652675761</v>
      </c>
      <c r="M60" s="418">
        <v>41.28226652675761</v>
      </c>
      <c r="N60" s="246">
        <v>41.28226652675761</v>
      </c>
      <c r="O60" s="421">
        <v>41.28226652675761</v>
      </c>
      <c r="P60" s="409"/>
      <c r="Q60" s="244"/>
      <c r="R60" s="245" t="s">
        <v>453</v>
      </c>
      <c r="S60" s="245" t="s">
        <v>333</v>
      </c>
      <c r="T60" s="418">
        <v>69.386733416770966</v>
      </c>
      <c r="U60" s="418">
        <v>69.386733416770966</v>
      </c>
      <c r="V60" s="418">
        <v>69.386733416770966</v>
      </c>
      <c r="W60" s="418">
        <v>69.386733416770966</v>
      </c>
      <c r="X60" s="409"/>
      <c r="Y60" s="409"/>
      <c r="AA60" s="220"/>
      <c r="AE60" s="220"/>
      <c r="AI60" s="220"/>
      <c r="AK60" s="242"/>
    </row>
    <row r="61" spans="1:37" s="219" customFormat="1" x14ac:dyDescent="0.15">
      <c r="A61" s="417" t="s">
        <v>454</v>
      </c>
      <c r="B61" s="245" t="s">
        <v>455</v>
      </c>
      <c r="C61" s="244" t="s">
        <v>332</v>
      </c>
      <c r="D61" s="390">
        <v>130246.2272700288</v>
      </c>
      <c r="E61" s="243">
        <v>212357.97924461216</v>
      </c>
      <c r="F61" s="243">
        <v>353929.96540768683</v>
      </c>
      <c r="G61" s="243">
        <v>707859.93081537366</v>
      </c>
      <c r="H61" s="225"/>
      <c r="I61" s="245" t="s">
        <v>454</v>
      </c>
      <c r="J61" s="244" t="s">
        <v>455</v>
      </c>
      <c r="K61" s="245" t="s">
        <v>332</v>
      </c>
      <c r="L61" s="231">
        <v>201740.08028238144</v>
      </c>
      <c r="M61" s="243">
        <v>212357.97924461216</v>
      </c>
      <c r="N61" s="243">
        <v>353929.96540768683</v>
      </c>
      <c r="O61" s="422">
        <v>707859.93081537366</v>
      </c>
      <c r="P61" s="409"/>
      <c r="Q61" s="244" t="s">
        <v>454</v>
      </c>
      <c r="R61" s="245" t="s">
        <v>455</v>
      </c>
      <c r="S61" s="245" t="s">
        <v>332</v>
      </c>
      <c r="T61" s="390">
        <v>106886.84955312147</v>
      </c>
      <c r="U61" s="243">
        <f t="shared" ref="U61:W62" si="18">M61</f>
        <v>212357.97924461216</v>
      </c>
      <c r="V61" s="243">
        <f t="shared" si="18"/>
        <v>353929.96540768683</v>
      </c>
      <c r="W61" s="243">
        <f t="shared" si="18"/>
        <v>707859.93081537366</v>
      </c>
      <c r="X61" s="409"/>
      <c r="Y61" s="409"/>
    </row>
    <row r="62" spans="1:37" s="219" customFormat="1" x14ac:dyDescent="0.15">
      <c r="A62" s="417" t="s">
        <v>426</v>
      </c>
      <c r="B62" s="247" t="s">
        <v>456</v>
      </c>
      <c r="C62" s="244" t="s">
        <v>332</v>
      </c>
      <c r="D62" s="390">
        <v>3565.1014496930293</v>
      </c>
      <c r="E62" s="243">
        <v>5812.6654071081985</v>
      </c>
      <c r="F62" s="243">
        <v>9687.7756785136644</v>
      </c>
      <c r="G62" s="243">
        <v>19375.551357027329</v>
      </c>
      <c r="H62" s="225"/>
      <c r="I62" s="247" t="s">
        <v>426</v>
      </c>
      <c r="J62" s="244" t="s">
        <v>456</v>
      </c>
      <c r="K62" s="245" t="s">
        <v>332</v>
      </c>
      <c r="L62" s="231">
        <v>5522.0321367527849</v>
      </c>
      <c r="M62" s="243">
        <v>5812.6654071081985</v>
      </c>
      <c r="N62" s="243">
        <v>9687.7756785136644</v>
      </c>
      <c r="O62" s="422">
        <v>19375.551357027329</v>
      </c>
      <c r="P62" s="420"/>
      <c r="Q62" s="244" t="s">
        <v>426</v>
      </c>
      <c r="R62" s="245" t="s">
        <v>456</v>
      </c>
      <c r="S62" s="245" t="s">
        <v>332</v>
      </c>
      <c r="T62" s="390">
        <v>2925.7082549111269</v>
      </c>
      <c r="U62" s="243">
        <f t="shared" si="18"/>
        <v>5812.6654071081985</v>
      </c>
      <c r="V62" s="243">
        <f t="shared" si="18"/>
        <v>9687.7756785136644</v>
      </c>
      <c r="W62" s="243">
        <f t="shared" si="18"/>
        <v>19375.551357027329</v>
      </c>
      <c r="X62" s="409"/>
      <c r="Y62" s="409"/>
      <c r="AA62" s="220"/>
      <c r="AE62" s="220"/>
      <c r="AI62" s="220"/>
    </row>
    <row r="63" spans="1:37" s="219" customFormat="1" x14ac:dyDescent="0.15">
      <c r="D63" s="220"/>
      <c r="E63" s="242"/>
      <c r="I63" s="409"/>
      <c r="J63" s="409"/>
      <c r="K63" s="409"/>
      <c r="L63" s="228"/>
      <c r="M63" s="410"/>
      <c r="N63" s="409"/>
      <c r="O63" s="409"/>
      <c r="P63" s="409"/>
      <c r="Q63" s="409"/>
      <c r="R63" s="409"/>
      <c r="S63" s="409"/>
      <c r="T63" s="423"/>
      <c r="U63" s="409"/>
      <c r="V63" s="409"/>
      <c r="W63" s="410"/>
      <c r="X63" s="409"/>
      <c r="Y63" s="409"/>
      <c r="AA63" s="220"/>
      <c r="AE63" s="220"/>
      <c r="AI63" s="220"/>
      <c r="AK63" s="242"/>
    </row>
    <row r="64" spans="1:37" s="219" customFormat="1" x14ac:dyDescent="0.15">
      <c r="B64" s="247" t="s">
        <v>457</v>
      </c>
      <c r="C64" s="244" t="s">
        <v>458</v>
      </c>
      <c r="D64" s="390">
        <v>1840000</v>
      </c>
      <c r="E64" s="390">
        <v>3000000</v>
      </c>
      <c r="F64" s="390">
        <v>5000000</v>
      </c>
      <c r="G64" s="424">
        <v>10000000</v>
      </c>
      <c r="I64" s="420"/>
      <c r="J64" s="244" t="s">
        <v>457</v>
      </c>
      <c r="K64" s="245" t="s">
        <v>458</v>
      </c>
      <c r="L64" s="231">
        <v>2850000</v>
      </c>
      <c r="M64" s="390">
        <v>3000000</v>
      </c>
      <c r="N64" s="424">
        <v>5000000</v>
      </c>
      <c r="O64" s="390">
        <v>10000000</v>
      </c>
      <c r="P64" s="420"/>
      <c r="Q64" s="425"/>
      <c r="R64" s="245" t="s">
        <v>457</v>
      </c>
      <c r="S64" s="245" t="s">
        <v>458</v>
      </c>
      <c r="T64" s="390">
        <v>1510000</v>
      </c>
      <c r="U64" s="390">
        <v>3000000</v>
      </c>
      <c r="V64" s="390">
        <v>5000000</v>
      </c>
      <c r="W64" s="390">
        <v>10000000</v>
      </c>
      <c r="X64" s="409"/>
      <c r="Y64" s="409"/>
    </row>
    <row r="65" spans="1:35" s="219" customFormat="1" x14ac:dyDescent="0.15">
      <c r="A65" s="229"/>
      <c r="B65" s="247" t="s">
        <v>451</v>
      </c>
      <c r="C65" s="244" t="s">
        <v>459</v>
      </c>
      <c r="D65" s="390">
        <f>D64*(D59+D60)/1000</f>
        <v>276847.09502891323</v>
      </c>
      <c r="E65" s="390">
        <f>E64*(E59+E60)/1000</f>
        <v>451381.13319931505</v>
      </c>
      <c r="F65" s="390">
        <f>F64*(E59+E60)/1000</f>
        <v>752301.88866552513</v>
      </c>
      <c r="G65" s="424">
        <f>G64*(E59+E60)/1000</f>
        <v>1504603.7773310503</v>
      </c>
      <c r="H65" s="229"/>
      <c r="I65" s="420"/>
      <c r="J65" s="244" t="s">
        <v>451</v>
      </c>
      <c r="K65" s="245" t="s">
        <v>459</v>
      </c>
      <c r="L65" s="231">
        <f>L64*(L59+L60)/1000</f>
        <v>481930.05960125913</v>
      </c>
      <c r="M65" s="390">
        <f>M64*(M59+M60)/1000</f>
        <v>507294.79958027275</v>
      </c>
      <c r="N65" s="424">
        <f>N64*(M59+M60)/1000</f>
        <v>845491.33263378788</v>
      </c>
      <c r="O65" s="424">
        <f>O64*(M59+M60)/1000</f>
        <v>1690982.6652675758</v>
      </c>
      <c r="P65" s="420"/>
      <c r="Q65" s="425"/>
      <c r="R65" s="245" t="s">
        <v>451</v>
      </c>
      <c r="S65" s="245" t="s">
        <v>459</v>
      </c>
      <c r="T65" s="390">
        <f>T64*(T59+T60)/1000</f>
        <v>539264.38745932409</v>
      </c>
      <c r="U65" s="390">
        <f>U64*(U59+U60)/1000</f>
        <v>1071386.2002503129</v>
      </c>
      <c r="V65" s="390">
        <f>V64*(V59+V60)/1000</f>
        <v>1785643.6670838548</v>
      </c>
      <c r="W65" s="390">
        <f>W64*(W59+W60)/1000</f>
        <v>3571287.3341677096</v>
      </c>
      <c r="X65" s="409"/>
      <c r="Y65" s="409"/>
      <c r="AA65" s="220"/>
      <c r="AE65" s="220"/>
      <c r="AI65" s="220"/>
    </row>
    <row r="66" spans="1:35" s="219" customFormat="1" x14ac:dyDescent="0.15">
      <c r="B66" s="390" t="s">
        <v>460</v>
      </c>
      <c r="C66" s="244" t="s">
        <v>334</v>
      </c>
      <c r="D66" s="426">
        <f>'ＩＧＣＣ（2030年）'!F145/'ＩＧＣＣ（2030年）'!F134</f>
        <v>0.70689473684210524</v>
      </c>
      <c r="E66" s="426">
        <f>'ＩＧＣＣ（2030年）'!F145/'ＩＧＣＣ（2030年）'!F134</f>
        <v>0.70689473684210524</v>
      </c>
      <c r="F66" s="426">
        <f>'ＩＧＣＣ（2030年）'!F145/'ＩＧＣＣ（2030年）'!F134</f>
        <v>0.70689473684210524</v>
      </c>
      <c r="G66" s="426">
        <f>'ＩＧＣＣ（2030年）'!F145/'ＩＧＣＣ（2030年）'!F134</f>
        <v>0.70689473684210524</v>
      </c>
      <c r="H66" s="220"/>
      <c r="I66" s="409"/>
      <c r="J66" s="377" t="s">
        <v>460</v>
      </c>
      <c r="K66" s="245" t="s">
        <v>334</v>
      </c>
      <c r="L66" s="427">
        <v>0.77997445721583647</v>
      </c>
      <c r="M66" s="427">
        <v>0.77997445721583647</v>
      </c>
      <c r="N66" s="427">
        <v>0.77997445721583647</v>
      </c>
      <c r="O66" s="427">
        <v>0.77997445721583647</v>
      </c>
      <c r="P66" s="423"/>
      <c r="Q66" s="425"/>
      <c r="R66" s="390" t="s">
        <v>460</v>
      </c>
      <c r="S66" s="245" t="s">
        <v>334</v>
      </c>
      <c r="T66" s="427">
        <v>0.32876151484135108</v>
      </c>
      <c r="U66" s="427">
        <v>0.32876151484135108</v>
      </c>
      <c r="V66" s="427">
        <v>0.32876151484135108</v>
      </c>
      <c r="W66" s="427">
        <v>0.32876151484135108</v>
      </c>
      <c r="X66" s="409"/>
      <c r="Y66" s="409"/>
      <c r="AA66" s="220"/>
      <c r="AE66" s="220"/>
      <c r="AI66" s="220"/>
    </row>
    <row r="67" spans="1:35" s="219" customFormat="1" x14ac:dyDescent="0.15">
      <c r="B67" s="390" t="s">
        <v>461</v>
      </c>
      <c r="C67" s="244" t="s">
        <v>458</v>
      </c>
      <c r="D67" s="390">
        <f>D65*D66</f>
        <v>195701.75438596492</v>
      </c>
      <c r="E67" s="390">
        <f>E65*E66</f>
        <v>319078.94736842107</v>
      </c>
      <c r="F67" s="390">
        <f>F65*F66</f>
        <v>531798.24561403517</v>
      </c>
      <c r="G67" s="390">
        <f>G65*G66</f>
        <v>1063596.4912280703</v>
      </c>
      <c r="H67" s="220"/>
      <c r="I67" s="409"/>
      <c r="J67" s="377" t="s">
        <v>461</v>
      </c>
      <c r="K67" s="245" t="s">
        <v>458</v>
      </c>
      <c r="L67" s="231">
        <f>L65*L66</f>
        <v>375893.1366534878</v>
      </c>
      <c r="M67" s="390">
        <f>M65*M66</f>
        <v>395676.98595103977</v>
      </c>
      <c r="N67" s="390">
        <f>N65*N66</f>
        <v>659461.64325173292</v>
      </c>
      <c r="O67" s="390">
        <f>O65*O66</f>
        <v>1318923.2865034658</v>
      </c>
      <c r="P67" s="423"/>
      <c r="Q67" s="425"/>
      <c r="R67" s="390" t="s">
        <v>461</v>
      </c>
      <c r="S67" s="245" t="s">
        <v>458</v>
      </c>
      <c r="T67" s="390">
        <f>T65*T66</f>
        <v>177289.37692112068</v>
      </c>
      <c r="U67" s="390">
        <f>U65*U66</f>
        <v>352230.55017441197</v>
      </c>
      <c r="V67" s="390">
        <f>V65*V66</f>
        <v>587050.91695735324</v>
      </c>
      <c r="W67" s="390">
        <f>W65*W66</f>
        <v>1174101.8339147065</v>
      </c>
      <c r="X67" s="409"/>
      <c r="Y67" s="409"/>
    </row>
    <row r="68" spans="1:35" s="219" customFormat="1" x14ac:dyDescent="0.15">
      <c r="B68" s="247" t="s">
        <v>408</v>
      </c>
      <c r="C68" s="244" t="s">
        <v>459</v>
      </c>
      <c r="D68" s="390">
        <f>D61</f>
        <v>130246.2272700288</v>
      </c>
      <c r="E68" s="390">
        <f>E61</f>
        <v>212357.97924461216</v>
      </c>
      <c r="F68" s="390">
        <f>F61</f>
        <v>353929.96540768683</v>
      </c>
      <c r="G68" s="390">
        <f>G61</f>
        <v>707859.93081537366</v>
      </c>
      <c r="I68" s="420"/>
      <c r="J68" s="244" t="s">
        <v>408</v>
      </c>
      <c r="K68" s="245" t="s">
        <v>459</v>
      </c>
      <c r="L68" s="231">
        <f>L61</f>
        <v>201740.08028238144</v>
      </c>
      <c r="M68" s="390">
        <f>M61</f>
        <v>212357.97924461216</v>
      </c>
      <c r="N68" s="390">
        <f>N61</f>
        <v>353929.96540768683</v>
      </c>
      <c r="O68" s="390">
        <f>O61</f>
        <v>707859.93081537366</v>
      </c>
      <c r="P68" s="420"/>
      <c r="Q68" s="425"/>
      <c r="R68" s="245" t="s">
        <v>408</v>
      </c>
      <c r="S68" s="245" t="s">
        <v>459</v>
      </c>
      <c r="T68" s="390">
        <f>T61</f>
        <v>106886.84955312147</v>
      </c>
      <c r="U68" s="390">
        <f>U61</f>
        <v>212357.97924461216</v>
      </c>
      <c r="V68" s="390">
        <f>V61</f>
        <v>353929.96540768683</v>
      </c>
      <c r="W68" s="390">
        <f>W61</f>
        <v>707859.93081537366</v>
      </c>
      <c r="X68" s="409"/>
      <c r="Y68" s="409"/>
    </row>
    <row r="69" spans="1:35" s="219" customFormat="1" x14ac:dyDescent="0.15">
      <c r="B69" s="390" t="s">
        <v>460</v>
      </c>
      <c r="C69" s="244" t="s">
        <v>334</v>
      </c>
      <c r="D69" s="428">
        <v>0.37</v>
      </c>
      <c r="E69" s="428">
        <f>$N$8</f>
        <v>0.37</v>
      </c>
      <c r="F69" s="428">
        <f>$N$8</f>
        <v>0.37</v>
      </c>
      <c r="G69" s="428">
        <f>$N$8</f>
        <v>0.37</v>
      </c>
      <c r="H69" s="220"/>
      <c r="I69" s="409"/>
      <c r="J69" s="377" t="s">
        <v>460</v>
      </c>
      <c r="K69" s="245" t="s">
        <v>334</v>
      </c>
      <c r="L69" s="428">
        <f>$N$8</f>
        <v>0.37</v>
      </c>
      <c r="M69" s="427">
        <f>$N$8</f>
        <v>0.37</v>
      </c>
      <c r="N69" s="427">
        <f>$N$8</f>
        <v>0.37</v>
      </c>
      <c r="O69" s="427">
        <f>$N$8</f>
        <v>0.37</v>
      </c>
      <c r="P69" s="423"/>
      <c r="Q69" s="425"/>
      <c r="R69" s="390" t="s">
        <v>460</v>
      </c>
      <c r="S69" s="245" t="s">
        <v>334</v>
      </c>
      <c r="T69" s="429">
        <f>$N$8</f>
        <v>0.37</v>
      </c>
      <c r="U69" s="427">
        <f>$N$8</f>
        <v>0.37</v>
      </c>
      <c r="V69" s="427">
        <f>$N$8</f>
        <v>0.37</v>
      </c>
      <c r="W69" s="427">
        <f>$N$8</f>
        <v>0.37</v>
      </c>
      <c r="X69" s="409"/>
      <c r="Y69" s="409"/>
      <c r="AA69" s="161"/>
    </row>
    <row r="70" spans="1:35" s="219" customFormat="1" x14ac:dyDescent="0.15">
      <c r="B70" s="390" t="s">
        <v>461</v>
      </c>
      <c r="C70" s="244" t="s">
        <v>458</v>
      </c>
      <c r="D70" s="390">
        <f>D68*D69</f>
        <v>48191.104089910659</v>
      </c>
      <c r="E70" s="390">
        <f>E68*E69</f>
        <v>78572.452320506491</v>
      </c>
      <c r="F70" s="390">
        <f>F68*F69</f>
        <v>130954.08720084412</v>
      </c>
      <c r="G70" s="390">
        <f>G68*G69</f>
        <v>261908.17440168824</v>
      </c>
      <c r="H70" s="220"/>
      <c r="I70" s="409"/>
      <c r="J70" s="377" t="s">
        <v>461</v>
      </c>
      <c r="K70" s="245" t="s">
        <v>458</v>
      </c>
      <c r="L70" s="231">
        <f>L68*L69</f>
        <v>74643.829704481133</v>
      </c>
      <c r="M70" s="390">
        <f>M68*M69</f>
        <v>78572.452320506491</v>
      </c>
      <c r="N70" s="390">
        <f>N68*N69</f>
        <v>130954.08720084412</v>
      </c>
      <c r="O70" s="390">
        <f>O68*O69</f>
        <v>261908.17440168824</v>
      </c>
      <c r="P70" s="423"/>
      <c r="Q70" s="425"/>
      <c r="R70" s="390" t="s">
        <v>461</v>
      </c>
      <c r="S70" s="245" t="s">
        <v>458</v>
      </c>
      <c r="T70" s="390">
        <f>T68*T69</f>
        <v>39548.134334654947</v>
      </c>
      <c r="U70" s="390">
        <f>U68*U69</f>
        <v>78572.452320506491</v>
      </c>
      <c r="V70" s="390">
        <f>V68*V69</f>
        <v>130954.08720084412</v>
      </c>
      <c r="W70" s="390">
        <f>W68*W69</f>
        <v>261908.17440168824</v>
      </c>
      <c r="X70" s="409"/>
      <c r="Y70" s="409"/>
    </row>
    <row r="71" spans="1:35" s="219" customFormat="1" x14ac:dyDescent="0.15">
      <c r="B71" s="245" t="s">
        <v>456</v>
      </c>
      <c r="C71" s="244" t="s">
        <v>459</v>
      </c>
      <c r="D71" s="390">
        <f>D62</f>
        <v>3565.1014496930293</v>
      </c>
      <c r="E71" s="390">
        <f>E62</f>
        <v>5812.6654071081985</v>
      </c>
      <c r="F71" s="390">
        <f>F62</f>
        <v>9687.7756785136644</v>
      </c>
      <c r="G71" s="390">
        <f>G62</f>
        <v>19375.551357027329</v>
      </c>
      <c r="I71" s="409"/>
      <c r="J71" s="244" t="s">
        <v>456</v>
      </c>
      <c r="K71" s="245" t="s">
        <v>459</v>
      </c>
      <c r="L71" s="231">
        <f>L62</f>
        <v>5522.0321367527849</v>
      </c>
      <c r="M71" s="390">
        <f>M62</f>
        <v>5812.6654071081985</v>
      </c>
      <c r="N71" s="390">
        <f>N62</f>
        <v>9687.7756785136644</v>
      </c>
      <c r="O71" s="390">
        <f>O62</f>
        <v>19375.551357027329</v>
      </c>
      <c r="P71" s="409"/>
      <c r="Q71" s="425"/>
      <c r="R71" s="245" t="s">
        <v>456</v>
      </c>
      <c r="S71" s="245" t="s">
        <v>459</v>
      </c>
      <c r="T71" s="390">
        <f>T62</f>
        <v>2925.7082549111269</v>
      </c>
      <c r="U71" s="390">
        <f>U62</f>
        <v>5812.6654071081985</v>
      </c>
      <c r="V71" s="390">
        <f>V62</f>
        <v>9687.7756785136644</v>
      </c>
      <c r="W71" s="390">
        <f>W62</f>
        <v>19375.551357027329</v>
      </c>
      <c r="X71" s="409"/>
      <c r="Y71" s="409"/>
    </row>
    <row r="72" spans="1:35" s="219" customFormat="1" x14ac:dyDescent="0.15">
      <c r="B72" s="390" t="s">
        <v>460</v>
      </c>
      <c r="C72" s="244" t="s">
        <v>334</v>
      </c>
      <c r="D72" s="426">
        <f>$N$8</f>
        <v>0.37</v>
      </c>
      <c r="E72" s="426">
        <f>$N$8</f>
        <v>0.37</v>
      </c>
      <c r="F72" s="426">
        <f>$N$8</f>
        <v>0.37</v>
      </c>
      <c r="G72" s="426">
        <f>$N$8</f>
        <v>0.37</v>
      </c>
      <c r="H72" s="220"/>
      <c r="I72" s="409"/>
      <c r="J72" s="377" t="s">
        <v>460</v>
      </c>
      <c r="K72" s="245" t="s">
        <v>334</v>
      </c>
      <c r="L72" s="426">
        <f>$N$8</f>
        <v>0.37</v>
      </c>
      <c r="M72" s="426">
        <f>$N$8</f>
        <v>0.37</v>
      </c>
      <c r="N72" s="426">
        <f>$N$8</f>
        <v>0.37</v>
      </c>
      <c r="O72" s="426">
        <f>$N$8</f>
        <v>0.37</v>
      </c>
      <c r="P72" s="423"/>
      <c r="Q72" s="425"/>
      <c r="R72" s="390" t="s">
        <v>460</v>
      </c>
      <c r="S72" s="245" t="s">
        <v>334</v>
      </c>
      <c r="T72" s="429">
        <f>$N$8</f>
        <v>0.37</v>
      </c>
      <c r="U72" s="427">
        <f>$N$8</f>
        <v>0.37</v>
      </c>
      <c r="V72" s="427">
        <f>$N$8</f>
        <v>0.37</v>
      </c>
      <c r="W72" s="427">
        <f>$N$8</f>
        <v>0.37</v>
      </c>
      <c r="X72" s="409"/>
      <c r="Y72" s="409"/>
      <c r="AA72" s="161"/>
    </row>
    <row r="73" spans="1:35" s="219" customFormat="1" x14ac:dyDescent="0.15">
      <c r="B73" s="390" t="s">
        <v>461</v>
      </c>
      <c r="C73" s="244" t="s">
        <v>458</v>
      </c>
      <c r="D73" s="390">
        <f>D71*D72</f>
        <v>1319.0875363864209</v>
      </c>
      <c r="E73" s="390">
        <f>E71*E72</f>
        <v>2150.6862006300335</v>
      </c>
      <c r="F73" s="390">
        <f>F71*F72</f>
        <v>3584.4770010500556</v>
      </c>
      <c r="G73" s="390">
        <f>G71*G72</f>
        <v>7168.9540021001112</v>
      </c>
      <c r="H73" s="220"/>
      <c r="I73" s="409"/>
      <c r="J73" s="377" t="s">
        <v>461</v>
      </c>
      <c r="K73" s="245" t="s">
        <v>458</v>
      </c>
      <c r="L73" s="231">
        <f>L71*L72</f>
        <v>2043.1518905985304</v>
      </c>
      <c r="M73" s="390">
        <f>M71*M72</f>
        <v>2150.6862006300335</v>
      </c>
      <c r="N73" s="390">
        <f>N71*N72</f>
        <v>3584.4770010500556</v>
      </c>
      <c r="O73" s="390">
        <f>O71*O72</f>
        <v>7168.9540021001112</v>
      </c>
      <c r="P73" s="423"/>
      <c r="Q73" s="425"/>
      <c r="R73" s="390" t="s">
        <v>461</v>
      </c>
      <c r="S73" s="245" t="s">
        <v>458</v>
      </c>
      <c r="T73" s="390">
        <f>T71*T72</f>
        <v>1082.512054317117</v>
      </c>
      <c r="U73" s="390">
        <f>U71*U72</f>
        <v>2150.6862006300335</v>
      </c>
      <c r="V73" s="390">
        <f>V71*V72</f>
        <v>3584.4770010500556</v>
      </c>
      <c r="W73" s="390">
        <f>W71*W72</f>
        <v>7168.9540021001112</v>
      </c>
      <c r="X73" s="409"/>
      <c r="Y73" s="409"/>
    </row>
    <row r="74" spans="1:35" s="219" customFormat="1" x14ac:dyDescent="0.15">
      <c r="B74" s="245"/>
      <c r="C74" s="244" t="s">
        <v>462</v>
      </c>
      <c r="D74" s="430">
        <f>D64-D67-D70-D73</f>
        <v>1594788.053987738</v>
      </c>
      <c r="E74" s="430">
        <f>E64-E67-E70-E73</f>
        <v>2600197.9141104426</v>
      </c>
      <c r="F74" s="430">
        <f>F64-F67-F70-F73</f>
        <v>4333663.1901840707</v>
      </c>
      <c r="G74" s="390">
        <f>G64-G67-G70-G73</f>
        <v>8667326.3803681415</v>
      </c>
      <c r="I74" s="409"/>
      <c r="J74" s="244"/>
      <c r="K74" s="416" t="s">
        <v>462</v>
      </c>
      <c r="L74" s="431">
        <f>L64-L67-L70-L73</f>
        <v>2397419.8817514325</v>
      </c>
      <c r="M74" s="430">
        <f>M64-M67-M70-M73</f>
        <v>2523599.8755278238</v>
      </c>
      <c r="N74" s="390">
        <f>N64-N67-N70-N73</f>
        <v>4205999.7925463729</v>
      </c>
      <c r="O74" s="390">
        <f>O64-O67-O70-O73</f>
        <v>8411999.5850927457</v>
      </c>
      <c r="P74" s="409"/>
      <c r="Q74" s="425"/>
      <c r="R74" s="416"/>
      <c r="S74" s="416" t="s">
        <v>462</v>
      </c>
      <c r="T74" s="430">
        <f>T64-T67-T70-T73</f>
        <v>1292079.9766899073</v>
      </c>
      <c r="U74" s="390">
        <f>U64-U67-U70-U73</f>
        <v>2567046.3113044519</v>
      </c>
      <c r="V74" s="390">
        <f>V64-V67-V70-V73</f>
        <v>4278410.5188407525</v>
      </c>
      <c r="W74" s="390">
        <f>W64-W67-W70-W73</f>
        <v>8556821.0376815051</v>
      </c>
      <c r="X74" s="409"/>
      <c r="Y74" s="409"/>
      <c r="AH74" s="221"/>
    </row>
    <row r="75" spans="1:35" s="219" customFormat="1" x14ac:dyDescent="0.15">
      <c r="I75" s="409"/>
      <c r="J75" s="409"/>
      <c r="K75" s="409"/>
      <c r="L75" s="228"/>
      <c r="M75" s="409"/>
      <c r="N75" s="409"/>
      <c r="O75" s="409"/>
      <c r="P75" s="409"/>
      <c r="Q75" s="409"/>
      <c r="R75" s="409"/>
      <c r="S75" s="409"/>
      <c r="T75" s="409"/>
      <c r="U75" s="409"/>
      <c r="V75" s="409"/>
      <c r="W75" s="409"/>
      <c r="X75" s="409"/>
      <c r="Y75" s="409"/>
      <c r="AH75" s="221"/>
    </row>
    <row r="76" spans="1:35" s="219" customFormat="1" x14ac:dyDescent="0.15">
      <c r="I76" s="409"/>
      <c r="J76" s="409"/>
      <c r="K76" s="409"/>
      <c r="L76" s="228"/>
      <c r="M76" s="409"/>
      <c r="N76" s="409"/>
      <c r="O76" s="409"/>
      <c r="P76" s="409"/>
      <c r="Q76" s="409"/>
      <c r="R76" s="409"/>
      <c r="S76" s="409"/>
      <c r="T76" s="409"/>
      <c r="U76" s="409"/>
      <c r="V76" s="409"/>
      <c r="W76" s="409"/>
      <c r="X76" s="409"/>
      <c r="Y76" s="409"/>
      <c r="AH76" s="221"/>
    </row>
    <row r="77" spans="1:35" s="219" customFormat="1" x14ac:dyDescent="0.15">
      <c r="A77" s="124" t="s">
        <v>463</v>
      </c>
      <c r="G77" s="220" t="s">
        <v>387</v>
      </c>
      <c r="H77" s="124"/>
      <c r="I77" s="412" t="s">
        <v>463</v>
      </c>
      <c r="J77" s="432"/>
      <c r="K77" s="432"/>
      <c r="L77" s="433"/>
      <c r="M77" s="432"/>
      <c r="N77" s="432"/>
      <c r="O77" s="434" t="s">
        <v>387</v>
      </c>
      <c r="P77" s="432"/>
      <c r="Q77" s="412" t="s">
        <v>463</v>
      </c>
      <c r="R77" s="432"/>
      <c r="S77" s="409"/>
      <c r="T77" s="409"/>
      <c r="U77" s="409"/>
      <c r="V77" s="409"/>
      <c r="W77" s="423" t="s">
        <v>387</v>
      </c>
      <c r="X77" s="409"/>
      <c r="Y77" s="409"/>
      <c r="AA77" s="221"/>
      <c r="AE77" s="221"/>
      <c r="AI77" s="220"/>
    </row>
    <row r="78" spans="1:35" s="219" customFormat="1" x14ac:dyDescent="0.15">
      <c r="B78" s="220"/>
      <c r="C78" s="377" t="s">
        <v>328</v>
      </c>
      <c r="D78" s="390">
        <v>184</v>
      </c>
      <c r="E78" s="231">
        <v>300</v>
      </c>
      <c r="F78" s="231">
        <v>500</v>
      </c>
      <c r="G78" s="231">
        <v>1000</v>
      </c>
      <c r="H78" s="219" t="s">
        <v>389</v>
      </c>
      <c r="I78" s="409"/>
      <c r="J78" s="435"/>
      <c r="K78" s="390" t="s">
        <v>328</v>
      </c>
      <c r="L78" s="231">
        <v>285</v>
      </c>
      <c r="M78" s="231">
        <v>300</v>
      </c>
      <c r="N78" s="231">
        <v>500</v>
      </c>
      <c r="O78" s="231">
        <v>1000</v>
      </c>
      <c r="P78" s="409" t="s">
        <v>389</v>
      </c>
      <c r="Q78" s="425"/>
      <c r="R78" s="423"/>
      <c r="S78" s="390" t="s">
        <v>328</v>
      </c>
      <c r="T78" s="390">
        <v>151</v>
      </c>
      <c r="U78" s="231">
        <v>300</v>
      </c>
      <c r="V78" s="231">
        <v>500</v>
      </c>
      <c r="W78" s="231">
        <v>1000</v>
      </c>
      <c r="X78" s="409" t="s">
        <v>389</v>
      </c>
      <c r="Y78" s="409"/>
      <c r="AA78" s="221"/>
      <c r="AE78" s="221"/>
      <c r="AI78" s="220"/>
    </row>
    <row r="79" spans="1:35" s="219" customFormat="1" x14ac:dyDescent="0.15">
      <c r="C79" s="383">
        <v>20</v>
      </c>
      <c r="D79" s="231">
        <f>E13*$D$64/$D$74</f>
        <v>3823.2852879752736</v>
      </c>
      <c r="E79" s="231">
        <f>G13*$E$64/$E$74</f>
        <v>3076.3258558611765</v>
      </c>
      <c r="F79" s="231">
        <f>H13*$F$64/$F$74</f>
        <v>2555.0776547922414</v>
      </c>
      <c r="G79" s="231">
        <f>I13*$G$64/$G$74</f>
        <v>2153.6468020112848</v>
      </c>
      <c r="I79" s="409"/>
      <c r="J79" s="425"/>
      <c r="K79" s="231">
        <v>20</v>
      </c>
      <c r="L79" s="231">
        <f>F13*$L$64/$L$74</f>
        <v>3257.5718433556344</v>
      </c>
      <c r="M79" s="231">
        <f>G13*$M$64/$M$74</f>
        <v>3169.7006134386538</v>
      </c>
      <c r="N79" s="231">
        <f>H13*N$64/$N$74</f>
        <v>2632.6311285743832</v>
      </c>
      <c r="O79" s="231">
        <f>I13*$O$64/$O$74</f>
        <v>2219.0157705365709</v>
      </c>
      <c r="P79" s="409"/>
      <c r="Q79" s="425"/>
      <c r="R79" s="409"/>
      <c r="S79" s="231">
        <v>20</v>
      </c>
      <c r="T79" s="231">
        <f>D13*$T$64/$T$74</f>
        <v>4351.1956760997191</v>
      </c>
      <c r="U79" s="231">
        <f>G13*$U$64/$U$74</f>
        <v>3116.054446820443</v>
      </c>
      <c r="V79" s="231">
        <f>H13*$V$64/$V$74</f>
        <v>2588.0746907931589</v>
      </c>
      <c r="W79" s="231">
        <f>I13*$W$64/$W$74</f>
        <v>2181.4596400774553</v>
      </c>
      <c r="X79" s="409"/>
      <c r="Y79" s="409"/>
      <c r="AA79" s="221"/>
      <c r="AE79" s="221"/>
      <c r="AI79" s="220"/>
    </row>
    <row r="80" spans="1:35" s="219" customFormat="1" x14ac:dyDescent="0.15">
      <c r="C80" s="383">
        <v>50</v>
      </c>
      <c r="D80" s="231">
        <f>E14*$D$64/$D$74</f>
        <v>4230.1787680178268</v>
      </c>
      <c r="E80" s="231">
        <f>G14*$E$64/$E$74</f>
        <v>3339.4988066646592</v>
      </c>
      <c r="F80" s="231">
        <f>H14*$F$64/$F$74</f>
        <v>2725.2318800139774</v>
      </c>
      <c r="G80" s="231">
        <f>I14*$G$64/$G$74</f>
        <v>2261.1830816448373</v>
      </c>
      <c r="I80" s="409"/>
      <c r="J80" s="425"/>
      <c r="K80" s="231">
        <v>50</v>
      </c>
      <c r="L80" s="231">
        <f t="shared" ref="L80:L82" si="19">F14*$L$64/$L$74</f>
        <v>3543.004429836727</v>
      </c>
      <c r="M80" s="231">
        <f>G14*$M$64/$M$74</f>
        <v>3440.8615705956918</v>
      </c>
      <c r="N80" s="231">
        <f>H14*N$64/$N$74</f>
        <v>2807.9499918335987</v>
      </c>
      <c r="O80" s="231">
        <f>I14*$O$64/$O$74</f>
        <v>2329.8160652686656</v>
      </c>
      <c r="P80" s="409"/>
      <c r="Q80" s="425"/>
      <c r="R80" s="409"/>
      <c r="S80" s="231">
        <v>50</v>
      </c>
      <c r="T80" s="231">
        <f>D14*$T$64/$T$74</f>
        <v>4784.9355606637646</v>
      </c>
      <c r="U80" s="231">
        <f>G14*$U$64/$U$74</f>
        <v>3382.626091716782</v>
      </c>
      <c r="V80" s="231">
        <f>H14*$V$64/$V$74</f>
        <v>2760.42633850216</v>
      </c>
      <c r="W80" s="231">
        <f>I14*$W$64/$W$74</f>
        <v>2290.3846753458188</v>
      </c>
      <c r="X80" s="409"/>
      <c r="Y80" s="409"/>
      <c r="AA80" s="221"/>
      <c r="AE80" s="221"/>
      <c r="AI80" s="220"/>
    </row>
    <row r="81" spans="1:42" x14ac:dyDescent="0.15">
      <c r="A81" s="219"/>
      <c r="B81" s="219"/>
      <c r="C81" s="383">
        <v>100</v>
      </c>
      <c r="D81" s="231">
        <f>E15*$D$64/$D$74</f>
        <v>4963.8167000617814</v>
      </c>
      <c r="E81" s="231">
        <f>G15*$E$64/$E$74</f>
        <v>3823.492445928413</v>
      </c>
      <c r="F81" s="231">
        <f>H15*$F$64/$F$74</f>
        <v>3036.0454881383052</v>
      </c>
      <c r="G81" s="231">
        <f>I15*$G$64/$G$74</f>
        <v>2447.2160225561165</v>
      </c>
      <c r="H81" s="219"/>
      <c r="I81" s="409"/>
      <c r="J81" s="425"/>
      <c r="K81" s="231">
        <v>100</v>
      </c>
      <c r="L81" s="231">
        <f t="shared" si="19"/>
        <v>4067.9351108724386</v>
      </c>
      <c r="M81" s="231">
        <f>G15*$M$64/$M$74</f>
        <v>3939.5457175796173</v>
      </c>
      <c r="N81" s="231">
        <f>H15*N$64/$N$74</f>
        <v>3128.1976282989413</v>
      </c>
      <c r="O81" s="231">
        <f>I15*$O$64/$O$74</f>
        <v>2521.495605913819</v>
      </c>
      <c r="P81" s="409"/>
      <c r="Q81" s="425"/>
      <c r="R81" s="409"/>
      <c r="S81" s="231">
        <v>100</v>
      </c>
      <c r="T81" s="231">
        <f>D15*$T$64/$T$74</f>
        <v>5621.9694813242031</v>
      </c>
      <c r="U81" s="231">
        <f>G15*$U$64/$U$74</f>
        <v>3872.8701694003025</v>
      </c>
      <c r="V81" s="378">
        <f>H15*$V$64/$V$74</f>
        <v>3075.2538863976015</v>
      </c>
      <c r="W81" s="378">
        <f>I15*$W$64/$W$74</f>
        <v>2478.820101221535</v>
      </c>
      <c r="X81" s="313"/>
      <c r="Y81" s="313"/>
      <c r="Z81" s="161"/>
      <c r="AA81" s="248"/>
      <c r="AB81" s="161"/>
      <c r="AE81" s="221"/>
      <c r="AF81" s="219"/>
      <c r="AH81" s="219"/>
      <c r="AI81" s="220"/>
      <c r="AJ81" s="219"/>
      <c r="AK81" s="219"/>
      <c r="AL81" s="221"/>
      <c r="AM81" s="219"/>
      <c r="AN81" s="219"/>
      <c r="AP81" s="222"/>
    </row>
    <row r="82" spans="1:42" x14ac:dyDescent="0.15">
      <c r="A82" s="219"/>
      <c r="B82" s="223"/>
      <c r="C82" s="383">
        <v>150</v>
      </c>
      <c r="D82" s="231">
        <f>E16*$D$64/$D$74</f>
        <v>5641.9725001327024</v>
      </c>
      <c r="E82" s="231">
        <f>G16*$E$64/$E$74</f>
        <v>4273.4570442487047</v>
      </c>
      <c r="F82" s="231">
        <f>H16*$F$64/$F$74</f>
        <v>3387.6939453947875</v>
      </c>
      <c r="G82" s="231">
        <f>I16*$G$64/$G$74</f>
        <v>2653.6663880334727</v>
      </c>
      <c r="H82" s="219"/>
      <c r="I82" s="436"/>
      <c r="J82" s="425"/>
      <c r="K82" s="231">
        <v>150</v>
      </c>
      <c r="L82" s="231">
        <f t="shared" si="19"/>
        <v>4555.9585142327314</v>
      </c>
      <c r="M82" s="231">
        <f>G16*$M$64/$M$74</f>
        <v>4403.1679507718954</v>
      </c>
      <c r="N82" s="231">
        <f>H16*N$64/$N$74</f>
        <v>3490.5195613142605</v>
      </c>
      <c r="O82" s="231">
        <f>I16*$O$64/$O$74</f>
        <v>2734.2122948339602</v>
      </c>
      <c r="P82" s="436"/>
      <c r="Q82" s="425"/>
      <c r="R82" s="409"/>
      <c r="S82" s="231">
        <v>150</v>
      </c>
      <c r="T82" s="231">
        <f>D16*$T$64/$T$74</f>
        <v>6595.9643376490785</v>
      </c>
      <c r="U82" s="231">
        <f>G16*$U$64/$U$74</f>
        <v>4328.6457449416057</v>
      </c>
      <c r="V82" s="378">
        <f>H16*$V$64/$V$74</f>
        <v>3431.4436368637034</v>
      </c>
      <c r="W82" s="378">
        <f>I16*$W$64/$W$74</f>
        <v>2687.9366283825802</v>
      </c>
      <c r="X82" s="313"/>
      <c r="Y82" s="313"/>
      <c r="Z82" s="161"/>
      <c r="AA82" s="248"/>
      <c r="AB82" s="161"/>
      <c r="AE82" s="221"/>
      <c r="AF82" s="219"/>
      <c r="AH82" s="219"/>
      <c r="AI82" s="220"/>
      <c r="AJ82" s="219"/>
      <c r="AK82" s="219"/>
      <c r="AL82" s="221"/>
      <c r="AM82" s="219"/>
      <c r="AN82" s="219"/>
      <c r="AP82" s="222"/>
    </row>
    <row r="83" spans="1:42" x14ac:dyDescent="0.15">
      <c r="A83" s="219"/>
      <c r="B83" s="219"/>
      <c r="C83" s="383">
        <v>200</v>
      </c>
      <c r="D83" s="231">
        <f>E17*$D$64/$D$74</f>
        <v>6320.1283002036243</v>
      </c>
      <c r="E83" s="231">
        <f>G17*$E$64/$E$74</f>
        <v>4859.5378063428416</v>
      </c>
      <c r="F83" s="231">
        <f>H17*$F$64/$F$74</f>
        <v>3780.1772517834224</v>
      </c>
      <c r="G83" s="231">
        <f>I17*$G$64/$G$74</f>
        <v>2880.5341780769045</v>
      </c>
      <c r="H83" s="219"/>
      <c r="I83" s="409"/>
      <c r="J83" s="425"/>
      <c r="K83" s="231">
        <v>200</v>
      </c>
      <c r="L83" s="231">
        <f>F17*$L$64/$L$74</f>
        <v>5191.6110282946956</v>
      </c>
      <c r="M83" s="231">
        <f>G17*$M$64/$M$74</f>
        <v>5007.0378391307613</v>
      </c>
      <c r="N83" s="231">
        <f>H17*N$64/$N$74</f>
        <v>3894.9157908795546</v>
      </c>
      <c r="O83" s="231">
        <f>I17*$O$64/$O$74</f>
        <v>2967.9661320290888</v>
      </c>
      <c r="P83" s="409"/>
      <c r="Q83" s="425"/>
      <c r="R83" s="409"/>
      <c r="S83" s="231">
        <v>200</v>
      </c>
      <c r="T83" s="231">
        <f>D17*$T$64/$T$74</f>
        <v>7432.998258309517</v>
      </c>
      <c r="U83" s="231">
        <f>G17*$U$64/$U$74</f>
        <v>4922.2953290517753</v>
      </c>
      <c r="V83" s="378">
        <f>H17*$V$64/$V$74</f>
        <v>3828.9955899004644</v>
      </c>
      <c r="W83" s="378">
        <f>I17*$W$64/$W$74</f>
        <v>2917.7342568289555</v>
      </c>
      <c r="X83" s="313"/>
      <c r="Y83" s="313"/>
      <c r="Z83" s="161"/>
      <c r="AA83" s="248"/>
      <c r="AB83" s="161"/>
      <c r="AE83" s="221"/>
      <c r="AF83" s="219"/>
      <c r="AH83" s="219"/>
      <c r="AI83" s="220"/>
      <c r="AJ83" s="219"/>
      <c r="AK83" s="219"/>
      <c r="AL83" s="221"/>
      <c r="AM83" s="219"/>
      <c r="AN83" s="219"/>
      <c r="AP83" s="222"/>
    </row>
    <row r="84" spans="1:42" x14ac:dyDescent="0.15">
      <c r="I84" s="313"/>
      <c r="J84" s="313"/>
      <c r="K84" s="313"/>
      <c r="L84" s="313"/>
      <c r="M84" s="313"/>
      <c r="N84" s="313"/>
      <c r="O84" s="313"/>
      <c r="P84" s="313"/>
      <c r="Q84" s="313"/>
      <c r="R84" s="313"/>
      <c r="S84" s="313"/>
      <c r="T84" s="313"/>
      <c r="U84" s="313"/>
      <c r="V84" s="409"/>
      <c r="W84" s="409"/>
      <c r="X84" s="228"/>
      <c r="Y84" s="409"/>
    </row>
    <row r="86" spans="1:42" x14ac:dyDescent="0.15">
      <c r="C86" s="222"/>
      <c r="D86" s="241"/>
      <c r="E86" s="241"/>
      <c r="F86" s="241"/>
    </row>
    <row r="87" spans="1:42" x14ac:dyDescent="0.15">
      <c r="D87" s="409" t="s">
        <v>326</v>
      </c>
      <c r="E87" s="228"/>
      <c r="F87" s="409"/>
      <c r="H87" s="161" t="s">
        <v>464</v>
      </c>
      <c r="I87" s="248"/>
      <c r="L87" s="161" t="s">
        <v>327</v>
      </c>
      <c r="M87" s="222"/>
    </row>
    <row r="88" spans="1:42" x14ac:dyDescent="0.15">
      <c r="C88" s="385" t="s">
        <v>465</v>
      </c>
      <c r="D88" s="378">
        <f>'CO2分離回収型IGCC（2030年）'!F157</f>
        <v>300</v>
      </c>
      <c r="E88" s="385" t="s">
        <v>389</v>
      </c>
      <c r="F88" s="313"/>
      <c r="G88" s="385" t="s">
        <v>465</v>
      </c>
      <c r="H88" s="378">
        <f>'CO2分離回収型石炭火力（2030年）'!F157</f>
        <v>300</v>
      </c>
      <c r="I88" s="385" t="s">
        <v>389</v>
      </c>
      <c r="K88" s="385" t="s">
        <v>465</v>
      </c>
      <c r="L88" s="378">
        <f>'CO2分離回収型LNG火力（2030年）'!F157</f>
        <v>300</v>
      </c>
      <c r="M88" s="385" t="s">
        <v>389</v>
      </c>
    </row>
    <row r="89" spans="1:42" x14ac:dyDescent="0.15">
      <c r="C89" s="385" t="s">
        <v>466</v>
      </c>
      <c r="D89" s="378">
        <f>'CO2分離回収型IGCC（2030年）'!F158</f>
        <v>20</v>
      </c>
      <c r="E89" s="385" t="s">
        <v>328</v>
      </c>
      <c r="G89" s="385" t="s">
        <v>466</v>
      </c>
      <c r="H89" s="378">
        <f>'CO2分離回収型石炭火力（2030年）'!F158</f>
        <v>20</v>
      </c>
      <c r="I89" s="385" t="s">
        <v>328</v>
      </c>
      <c r="K89" s="385" t="s">
        <v>466</v>
      </c>
      <c r="L89" s="378">
        <f>'CO2分離回収型LNG火力（2030年）'!F158</f>
        <v>20</v>
      </c>
      <c r="M89" s="385" t="s">
        <v>328</v>
      </c>
    </row>
    <row r="90" spans="1:42" x14ac:dyDescent="0.15">
      <c r="C90" s="385" t="s">
        <v>467</v>
      </c>
      <c r="D90" s="378">
        <f>VLOOKUP(D89,$C$13:$I$17, MATCH(D88,$C$12:$I$12,0), FALSE)</f>
        <v>2666.3520245114178</v>
      </c>
      <c r="E90" s="385" t="s">
        <v>468</v>
      </c>
      <c r="G90" s="385" t="s">
        <v>467</v>
      </c>
      <c r="H90" s="378">
        <f>VLOOKUP(H89,$C$13:$I$17, MATCH(H88,$C$12:$I$12,0), FALSE)</f>
        <v>2666.3520245114178</v>
      </c>
      <c r="I90" s="385" t="s">
        <v>468</v>
      </c>
      <c r="K90" s="385" t="s">
        <v>467</v>
      </c>
      <c r="L90" s="378">
        <f>VLOOKUP(L89,$C$13:$I$17, MATCH(L88,$C$12:$I$12,0), FALSE)</f>
        <v>2666.3520245114178</v>
      </c>
      <c r="M90" s="385" t="s">
        <v>468</v>
      </c>
    </row>
    <row r="91" spans="1:42" x14ac:dyDescent="0.15">
      <c r="C91" s="385" t="s">
        <v>469</v>
      </c>
      <c r="D91" s="378">
        <f>VLOOKUP(D89,C79:G83, MATCH(D88,C78:G78,0), FALSE)</f>
        <v>3076.3258558611765</v>
      </c>
      <c r="E91" s="385" t="s">
        <v>468</v>
      </c>
      <c r="G91" s="385" t="s">
        <v>469</v>
      </c>
      <c r="H91" s="378">
        <f>VLOOKUP(H89,K79:O83, MATCH(H88,K78:O78,0), FALSE)</f>
        <v>3169.7006134386538</v>
      </c>
      <c r="I91" s="385" t="s">
        <v>468</v>
      </c>
      <c r="K91" s="385" t="s">
        <v>469</v>
      </c>
      <c r="L91" s="378">
        <f>VLOOKUP(L89,S79:W83, MATCH(L88,S78:W78,0), FALSE)</f>
        <v>3116.054446820443</v>
      </c>
      <c r="M91" s="385" t="s">
        <v>468</v>
      </c>
    </row>
    <row r="92" spans="1:42" x14ac:dyDescent="0.15">
      <c r="C92" s="385" t="s">
        <v>470</v>
      </c>
      <c r="D92" s="437">
        <f>(D70+D73)*$D$101/D64</f>
        <v>4.9347970495892719</v>
      </c>
      <c r="E92" s="385" t="s">
        <v>399</v>
      </c>
      <c r="G92" s="385" t="s">
        <v>471</v>
      </c>
      <c r="H92" s="437">
        <f>(L70+L73)*$H$101/L64</f>
        <v>7.6618151324184387</v>
      </c>
      <c r="I92" s="385" t="s">
        <v>399</v>
      </c>
      <c r="K92" s="385" t="s">
        <v>472</v>
      </c>
      <c r="L92" s="437">
        <f>(T70+T73)*$L$101/T64</f>
        <v>4.0543001940923267</v>
      </c>
      <c r="M92" s="385" t="s">
        <v>399</v>
      </c>
    </row>
    <row r="93" spans="1:42" x14ac:dyDescent="0.15">
      <c r="C93" s="385" t="s">
        <v>473</v>
      </c>
      <c r="D93" s="437">
        <f>(E70+E73)*$D$101/E64</f>
        <v>4.934797049589271</v>
      </c>
      <c r="E93" s="385" t="s">
        <v>399</v>
      </c>
      <c r="G93" s="385" t="s">
        <v>473</v>
      </c>
      <c r="H93" s="437">
        <f>(M70+M73)*$H$101/M64</f>
        <v>7.6618151324184414</v>
      </c>
      <c r="I93" s="385" t="s">
        <v>399</v>
      </c>
      <c r="K93" s="385" t="s">
        <v>473</v>
      </c>
      <c r="L93" s="437">
        <f>(U70+U73)*$L$101/U64</f>
        <v>4.0543001940923258</v>
      </c>
      <c r="M93" s="385" t="s">
        <v>399</v>
      </c>
    </row>
    <row r="94" spans="1:42" x14ac:dyDescent="0.15">
      <c r="C94" s="385" t="s">
        <v>474</v>
      </c>
      <c r="D94" s="437">
        <f>(F70+F73)*$D$101/F64</f>
        <v>4.9347970495892701</v>
      </c>
      <c r="E94" s="385" t="s">
        <v>399</v>
      </c>
      <c r="G94" s="385" t="s">
        <v>474</v>
      </c>
      <c r="H94" s="437">
        <f>(N70+N73)*$H$101/N64</f>
        <v>7.6618151324184405</v>
      </c>
      <c r="I94" s="385" t="s">
        <v>399</v>
      </c>
      <c r="K94" s="385" t="s">
        <v>474</v>
      </c>
      <c r="L94" s="437">
        <f>(V70+V73)*$L$101/V64</f>
        <v>4.0543001940923249</v>
      </c>
      <c r="M94" s="385" t="s">
        <v>399</v>
      </c>
    </row>
    <row r="95" spans="1:42" x14ac:dyDescent="0.15">
      <c r="C95" s="385" t="s">
        <v>475</v>
      </c>
      <c r="D95" s="437">
        <f>(G70+G73)*$D$101/G64</f>
        <v>4.9347970495892701</v>
      </c>
      <c r="E95" s="385" t="s">
        <v>399</v>
      </c>
      <c r="G95" s="385" t="s">
        <v>475</v>
      </c>
      <c r="H95" s="437">
        <f>(O70+O73)*$H$101/O64</f>
        <v>7.6618151324184405</v>
      </c>
      <c r="I95" s="385" t="s">
        <v>399</v>
      </c>
      <c r="K95" s="385" t="s">
        <v>475</v>
      </c>
      <c r="L95" s="437">
        <f>(W70+W73)*$L$101/W64</f>
        <v>4.0543001940923249</v>
      </c>
      <c r="M95" s="385" t="s">
        <v>399</v>
      </c>
    </row>
    <row r="96" spans="1:42" x14ac:dyDescent="0.15">
      <c r="C96" s="385" t="s">
        <v>476</v>
      </c>
      <c r="D96" s="437">
        <f>AVERAGE(D92:D95)</f>
        <v>4.934797049589271</v>
      </c>
      <c r="E96" s="385" t="s">
        <v>399</v>
      </c>
      <c r="G96" s="385" t="s">
        <v>476</v>
      </c>
      <c r="H96" s="437">
        <f>AVERAGE(H92:H95)</f>
        <v>7.6618151324184396</v>
      </c>
      <c r="I96" s="385" t="s">
        <v>399</v>
      </c>
      <c r="K96" s="385" t="s">
        <v>476</v>
      </c>
      <c r="L96" s="437">
        <f>AVERAGE(L92:L95)</f>
        <v>4.0543001940923249</v>
      </c>
      <c r="M96" s="385" t="s">
        <v>399</v>
      </c>
    </row>
    <row r="97" spans="3:13" x14ac:dyDescent="0.15">
      <c r="D97" s="248"/>
      <c r="H97" s="248"/>
      <c r="L97" s="222"/>
    </row>
    <row r="98" spans="3:13" x14ac:dyDescent="0.15">
      <c r="D98" s="248"/>
      <c r="H98" s="248"/>
      <c r="L98" s="222"/>
    </row>
    <row r="99" spans="3:13" x14ac:dyDescent="0.15">
      <c r="C99" s="161" t="s">
        <v>326</v>
      </c>
      <c r="D99" s="248"/>
      <c r="G99" s="161" t="s">
        <v>464</v>
      </c>
      <c r="H99" s="248"/>
      <c r="K99" s="161" t="s">
        <v>327</v>
      </c>
      <c r="L99" s="222"/>
    </row>
    <row r="100" spans="3:13" x14ac:dyDescent="0.15">
      <c r="C100" s="385" t="s">
        <v>477</v>
      </c>
      <c r="D100" s="231">
        <f>'CO2分離回収型IGCC（2030年）'!F134</f>
        <v>2529450000</v>
      </c>
      <c r="E100" s="385" t="s">
        <v>331</v>
      </c>
      <c r="G100" s="385" t="s">
        <v>477</v>
      </c>
      <c r="H100" s="231">
        <f>'CO2分離回収型石炭火力（2030年）'!F134</f>
        <v>3574820495.910316</v>
      </c>
      <c r="I100" s="385" t="s">
        <v>478</v>
      </c>
      <c r="K100" s="385" t="s">
        <v>477</v>
      </c>
      <c r="L100" s="231">
        <f>'CO2分離回収型LNG火力（2030年）'!F134</f>
        <v>4554218260.8222504</v>
      </c>
      <c r="M100" s="385" t="s">
        <v>478</v>
      </c>
    </row>
    <row r="101" spans="3:13" x14ac:dyDescent="0.15">
      <c r="C101" s="385" t="s">
        <v>479</v>
      </c>
      <c r="D101" s="378">
        <f>(('CO2分離回収型IGCC（2030年）'!F145/0.1)*0.9)/10000000</f>
        <v>183.39712032989692</v>
      </c>
      <c r="E101" s="385" t="s">
        <v>389</v>
      </c>
      <c r="G101" s="385" t="s">
        <v>479</v>
      </c>
      <c r="H101" s="378">
        <f>'CO2分離回収型石炭火力（2030年）'!F146/10000000</f>
        <v>284.74419873103449</v>
      </c>
      <c r="I101" s="385" t="s">
        <v>389</v>
      </c>
      <c r="K101" s="385" t="s">
        <v>479</v>
      </c>
      <c r="L101" s="378">
        <f>'CO2分離回収型LNG火力（2030年）'!F146/10000000</f>
        <v>150.67427759999998</v>
      </c>
      <c r="M101" s="385" t="s">
        <v>389</v>
      </c>
    </row>
    <row r="102" spans="3:13" x14ac:dyDescent="0.15">
      <c r="C102" s="385" t="s">
        <v>480</v>
      </c>
      <c r="D102" s="378">
        <f>D90</f>
        <v>2666.3520245114178</v>
      </c>
      <c r="E102" s="385" t="s">
        <v>468</v>
      </c>
      <c r="G102" s="385" t="s">
        <v>480</v>
      </c>
      <c r="H102" s="378">
        <f>H90</f>
        <v>2666.3520245114178</v>
      </c>
      <c r="I102" s="385" t="s">
        <v>468</v>
      </c>
      <c r="K102" s="385" t="s">
        <v>480</v>
      </c>
      <c r="L102" s="378">
        <f>L90</f>
        <v>2666.3520245114178</v>
      </c>
      <c r="M102" s="385" t="s">
        <v>468</v>
      </c>
    </row>
    <row r="103" spans="3:13" x14ac:dyDescent="0.15">
      <c r="C103" s="385" t="s">
        <v>481</v>
      </c>
      <c r="D103" s="437">
        <f>(D102*D101*10000)/D100</f>
        <v>1.9332316633307034</v>
      </c>
      <c r="E103" s="385" t="s">
        <v>396</v>
      </c>
      <c r="G103" s="385" t="s">
        <v>481</v>
      </c>
      <c r="H103" s="437">
        <f>(H102*H101*10000)/H100</f>
        <v>2.1238220817603328</v>
      </c>
      <c r="I103" s="385" t="s">
        <v>396</v>
      </c>
      <c r="K103" s="385" t="s">
        <v>481</v>
      </c>
      <c r="L103" s="437">
        <f>(L102*L101*10000)/L100</f>
        <v>0.88215066145736376</v>
      </c>
      <c r="M103" s="385" t="s">
        <v>396</v>
      </c>
    </row>
    <row r="104" spans="3:13" x14ac:dyDescent="0.15">
      <c r="D104" s="248"/>
      <c r="H104" s="248"/>
      <c r="L104" s="248"/>
    </row>
    <row r="105" spans="3:13" x14ac:dyDescent="0.15">
      <c r="D105" s="248"/>
      <c r="H105" s="248"/>
      <c r="L105" s="222"/>
    </row>
    <row r="106" spans="3:13" x14ac:dyDescent="0.15">
      <c r="C106" s="161" t="s">
        <v>482</v>
      </c>
      <c r="D106" s="248"/>
      <c r="G106" s="161" t="s">
        <v>482</v>
      </c>
      <c r="H106" s="248"/>
      <c r="K106" s="161" t="s">
        <v>482</v>
      </c>
      <c r="L106" s="222"/>
    </row>
    <row r="107" spans="3:13" x14ac:dyDescent="0.15">
      <c r="C107" s="438" t="s">
        <v>326</v>
      </c>
      <c r="D107" s="439"/>
      <c r="E107" s="313"/>
      <c r="G107" s="161" t="s">
        <v>464</v>
      </c>
      <c r="H107" s="248"/>
      <c r="K107" s="161" t="s">
        <v>327</v>
      </c>
      <c r="L107" s="248"/>
    </row>
    <row r="108" spans="3:13" x14ac:dyDescent="0.15">
      <c r="C108" s="385" t="s">
        <v>483</v>
      </c>
      <c r="D108" s="231">
        <f>('CO2分離回収型IGCC（2030年）'!F21-'ＩＧＣＣ（2030年）'!F21)*10000*'CO2分離回収型IGCC（2030年）'!F13*10000</f>
        <v>31000000000.000015</v>
      </c>
      <c r="E108" s="385" t="s">
        <v>484</v>
      </c>
      <c r="G108" s="440" t="s">
        <v>483</v>
      </c>
      <c r="H108" s="231">
        <f>((((H101*10000/(365*24*'CO2分離回収型石炭火力（2030年）'!F14/100))/603)^0.6)*56643000000)</f>
        <v>48424762877.743324</v>
      </c>
      <c r="I108" s="385" t="s">
        <v>484</v>
      </c>
      <c r="K108" s="440" t="s">
        <v>483</v>
      </c>
      <c r="L108" s="231">
        <f>((((L101*10000/(365*24*'CO2分離回収型LNG火力（2030年）'!F14/100))/279)^0.6)*49000000000)</f>
        <v>45404170005.376625</v>
      </c>
      <c r="M108" s="385" t="s">
        <v>484</v>
      </c>
    </row>
    <row r="109" spans="3:13" x14ac:dyDescent="0.15">
      <c r="C109" s="385" t="s">
        <v>485</v>
      </c>
      <c r="D109" s="231">
        <f>D108*N4</f>
        <v>1341133714.6043503</v>
      </c>
      <c r="E109" s="385" t="s">
        <v>486</v>
      </c>
      <c r="G109" s="440" t="s">
        <v>485</v>
      </c>
      <c r="H109" s="231">
        <f>H108*N4</f>
        <v>2094970390.8729911</v>
      </c>
      <c r="I109" s="385" t="s">
        <v>486</v>
      </c>
      <c r="K109" s="440" t="s">
        <v>485</v>
      </c>
      <c r="L109" s="231">
        <f>L108*N4</f>
        <v>1964292360.5754242</v>
      </c>
      <c r="M109" s="385" t="s">
        <v>486</v>
      </c>
    </row>
    <row r="110" spans="3:13" x14ac:dyDescent="0.15">
      <c r="C110" s="385" t="s">
        <v>487</v>
      </c>
      <c r="D110" s="231">
        <f>D108*('CO2分離回収型IGCC（2030年）'!F34/100)</f>
        <v>744000000.00000036</v>
      </c>
      <c r="E110" s="385" t="s">
        <v>486</v>
      </c>
      <c r="G110" s="440" t="s">
        <v>487</v>
      </c>
      <c r="H110" s="231">
        <f>H108*'CO2分離回収型石炭火力（2030年）'!F34/100</f>
        <v>1162194309.0658398</v>
      </c>
      <c r="I110" s="385" t="s">
        <v>486</v>
      </c>
      <c r="K110" s="440" t="s">
        <v>487</v>
      </c>
      <c r="L110" s="231">
        <f>L108*'CO2分離回収型LNG火力（2030年）'!F34/100</f>
        <v>1089700080.129039</v>
      </c>
      <c r="M110" s="385" t="s">
        <v>486</v>
      </c>
    </row>
    <row r="111" spans="3:13" x14ac:dyDescent="0.15">
      <c r="C111" s="385" t="s">
        <v>488</v>
      </c>
      <c r="D111" s="231">
        <f>D108*('CO2分離回収型IGCC（2030年）'!F35/100)</f>
        <v>682000000.00000036</v>
      </c>
      <c r="E111" s="385" t="s">
        <v>486</v>
      </c>
      <c r="G111" s="440" t="s">
        <v>488</v>
      </c>
      <c r="H111" s="231">
        <f>H108*'CO2分離回収型石炭火力（2030年）'!F35/100</f>
        <v>1065344783.3103533</v>
      </c>
      <c r="I111" s="385" t="s">
        <v>486</v>
      </c>
      <c r="K111" s="440" t="s">
        <v>488</v>
      </c>
      <c r="L111" s="231">
        <f>L108*'CO2分離回収型LNG火力（2030年）'!F35/100</f>
        <v>499445870.05914289</v>
      </c>
      <c r="M111" s="385" t="s">
        <v>486</v>
      </c>
    </row>
    <row r="112" spans="3:13" x14ac:dyDescent="0.15">
      <c r="C112" s="385" t="s">
        <v>489</v>
      </c>
      <c r="D112" s="231">
        <f>D59*D101*10000*D117</f>
        <v>2576823240.6961846</v>
      </c>
      <c r="E112" s="385" t="s">
        <v>486</v>
      </c>
      <c r="G112" s="440" t="s">
        <v>489</v>
      </c>
      <c r="H112" s="231">
        <f>169.098266526758*H101*10000*H117</f>
        <v>4133822840.1528873</v>
      </c>
      <c r="I112" s="385" t="s">
        <v>486</v>
      </c>
      <c r="K112" s="440" t="s">
        <v>489</v>
      </c>
      <c r="L112" s="231">
        <f>357.128733416771*L101*10000*L117</f>
        <v>4573791833.5269852</v>
      </c>
      <c r="M112" s="385" t="s">
        <v>486</v>
      </c>
    </row>
    <row r="113" spans="3:13" x14ac:dyDescent="0.15">
      <c r="C113" s="385" t="s">
        <v>490</v>
      </c>
      <c r="D113" s="378">
        <f>(D109+D110+D111+D112)/(D101*10000)</f>
        <v>2913.8717912733646</v>
      </c>
      <c r="E113" s="385" t="s">
        <v>468</v>
      </c>
      <c r="G113" s="440" t="s">
        <v>490</v>
      </c>
      <c r="H113" s="378">
        <f>(H109+H110+H111+H112)/(H101*10000)</f>
        <v>2969.7996872588819</v>
      </c>
      <c r="I113" s="385" t="s">
        <v>468</v>
      </c>
      <c r="K113" s="440" t="s">
        <v>490</v>
      </c>
      <c r="L113" s="231">
        <f>(L109+L110+L111+L112)/(L101*10000)</f>
        <v>5393.9068258659381</v>
      </c>
      <c r="M113" s="385" t="s">
        <v>468</v>
      </c>
    </row>
    <row r="114" spans="3:13" x14ac:dyDescent="0.15">
      <c r="C114" s="385" t="s">
        <v>491</v>
      </c>
      <c r="D114" s="378">
        <f>D113*D64/D74</f>
        <v>3361.9038483117552</v>
      </c>
      <c r="E114" s="385" t="s">
        <v>468</v>
      </c>
      <c r="G114" s="440" t="s">
        <v>491</v>
      </c>
      <c r="H114" s="378">
        <f>H113*L64/L74</f>
        <v>3530.4325175215031</v>
      </c>
      <c r="I114" s="385" t="s">
        <v>468</v>
      </c>
      <c r="K114" s="440" t="s">
        <v>491</v>
      </c>
      <c r="L114" s="231">
        <f>L113*T64/T74</f>
        <v>6303.6340273016067</v>
      </c>
      <c r="M114" s="385" t="s">
        <v>468</v>
      </c>
    </row>
    <row r="115" spans="3:13" x14ac:dyDescent="0.15">
      <c r="C115" s="385" t="s">
        <v>492</v>
      </c>
      <c r="D115" s="437">
        <f>(D109+D110+D111+D112)/(D100)</f>
        <v>2.1126952322839094</v>
      </c>
      <c r="E115" s="385" t="s">
        <v>396</v>
      </c>
      <c r="G115" s="440" t="s">
        <v>492</v>
      </c>
      <c r="H115" s="437">
        <f>(H109+H110+H111+H112)/(H100)</f>
        <v>2.3655264182009494</v>
      </c>
      <c r="I115" s="385" t="s">
        <v>396</v>
      </c>
      <c r="K115" s="440" t="s">
        <v>492</v>
      </c>
      <c r="L115" s="437">
        <f>(L109+L110+L111+L112)/(L100)</f>
        <v>1.7845499883493166</v>
      </c>
      <c r="M115" s="385" t="s">
        <v>396</v>
      </c>
    </row>
    <row r="117" spans="3:13" x14ac:dyDescent="0.15">
      <c r="C117" s="441" t="s">
        <v>493</v>
      </c>
      <c r="D117" s="437">
        <f>'ＩＧＣＣ（2030年）'!F70-'ＩＧＣＣ（2030年）'!F99</f>
        <v>9.3383461647321298</v>
      </c>
      <c r="E117" s="385" t="s">
        <v>494</v>
      </c>
      <c r="G117" s="442" t="s">
        <v>495</v>
      </c>
      <c r="H117" s="443">
        <f>('石炭火力（2030年）'!F70-'石炭火力（2030年）'!F99)</f>
        <v>8.5853463518325945</v>
      </c>
      <c r="I117" s="385" t="s">
        <v>494</v>
      </c>
      <c r="J117" s="313"/>
      <c r="K117" s="442" t="s">
        <v>496</v>
      </c>
      <c r="L117" s="443">
        <f>('LNG火力（2030年）'!F70-'LNG火力（2030年）'!F99)</f>
        <v>8.4998739094215843</v>
      </c>
      <c r="M117" s="385" t="s">
        <v>494</v>
      </c>
    </row>
  </sheetData>
  <phoneticPr fontId="56"/>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V408"/>
  <sheetViews>
    <sheetView topLeftCell="A46" zoomScale="90" zoomScaleNormal="90" workbookViewId="0">
      <selection activeCell="Q125" sqref="Q125"/>
    </sheetView>
  </sheetViews>
  <sheetFormatPr defaultRowHeight="12.75" x14ac:dyDescent="0.15"/>
  <cols>
    <col min="1" max="1" width="16.375" style="161" bestFit="1" customWidth="1"/>
    <col min="2" max="2" width="7.5" style="282" bestFit="1" customWidth="1"/>
    <col min="3" max="5" width="8.625" style="161" customWidth="1"/>
    <col min="6" max="7" width="2.625" style="161" customWidth="1"/>
    <col min="8" max="8" width="3.75" style="161" customWidth="1"/>
    <col min="9" max="9" width="8.25" style="161" customWidth="1"/>
    <col min="10" max="10" width="9.125" style="161" customWidth="1"/>
    <col min="11" max="16" width="8.25" style="161" customWidth="1"/>
    <col min="17" max="17" width="8.625" style="161" bestFit="1" customWidth="1"/>
    <col min="18" max="18" width="9.375" style="161" bestFit="1" customWidth="1"/>
    <col min="19" max="19" width="3.625" style="161" customWidth="1"/>
    <col min="20" max="21" width="9" style="161"/>
    <col min="22" max="22" width="2.625" style="161" customWidth="1"/>
    <col min="23" max="248" width="9" style="161"/>
    <col min="249" max="249" width="16.375" style="161" bestFit="1" customWidth="1"/>
    <col min="250" max="250" width="7.5" style="161" bestFit="1" customWidth="1"/>
    <col min="251" max="253" width="8.625" style="161" customWidth="1"/>
    <col min="254" max="254" width="2.625" style="161" customWidth="1"/>
    <col min="255" max="255" width="3.75" style="161" customWidth="1"/>
    <col min="256" max="256" width="8.5" style="161" bestFit="1" customWidth="1"/>
    <col min="257" max="257" width="9" style="161" bestFit="1" customWidth="1"/>
    <col min="258" max="258" width="3.625" style="161" customWidth="1"/>
    <col min="259" max="260" width="9" style="161"/>
    <col min="261" max="263" width="2.625" style="161" customWidth="1"/>
    <col min="264" max="264" width="3.75" style="161" customWidth="1"/>
    <col min="265" max="265" width="8.25" style="161" customWidth="1"/>
    <col min="266" max="266" width="9.125" style="161" customWidth="1"/>
    <col min="267" max="272" width="8.25" style="161" customWidth="1"/>
    <col min="273" max="273" width="8.625" style="161" bestFit="1" customWidth="1"/>
    <col min="274" max="274" width="9.375" style="161" bestFit="1" customWidth="1"/>
    <col min="275" max="275" width="3.625" style="161" customWidth="1"/>
    <col min="276" max="277" width="9" style="161"/>
    <col min="278" max="278" width="2.625" style="161" customWidth="1"/>
    <col min="279" max="504" width="9" style="161"/>
    <col min="505" max="505" width="16.375" style="161" bestFit="1" customWidth="1"/>
    <col min="506" max="506" width="7.5" style="161" bestFit="1" customWidth="1"/>
    <col min="507" max="509" width="8.625" style="161" customWidth="1"/>
    <col min="510" max="510" width="2.625" style="161" customWidth="1"/>
    <col min="511" max="511" width="3.75" style="161" customWidth="1"/>
    <col min="512" max="512" width="8.5" style="161" bestFit="1" customWidth="1"/>
    <col min="513" max="513" width="9" style="161" bestFit="1" customWidth="1"/>
    <col min="514" max="514" width="3.625" style="161" customWidth="1"/>
    <col min="515" max="516" width="9" style="161"/>
    <col min="517" max="519" width="2.625" style="161" customWidth="1"/>
    <col min="520" max="520" width="3.75" style="161" customWidth="1"/>
    <col min="521" max="521" width="8.25" style="161" customWidth="1"/>
    <col min="522" max="522" width="9.125" style="161" customWidth="1"/>
    <col min="523" max="528" width="8.25" style="161" customWidth="1"/>
    <col min="529" max="529" width="8.625" style="161" bestFit="1" customWidth="1"/>
    <col min="530" max="530" width="9.375" style="161" bestFit="1" customWidth="1"/>
    <col min="531" max="531" width="3.625" style="161" customWidth="1"/>
    <col min="532" max="533" width="9" style="161"/>
    <col min="534" max="534" width="2.625" style="161" customWidth="1"/>
    <col min="535" max="760" width="9" style="161"/>
    <col min="761" max="761" width="16.375" style="161" bestFit="1" customWidth="1"/>
    <col min="762" max="762" width="7.5" style="161" bestFit="1" customWidth="1"/>
    <col min="763" max="765" width="8.625" style="161" customWidth="1"/>
    <col min="766" max="766" width="2.625" style="161" customWidth="1"/>
    <col min="767" max="767" width="3.75" style="161" customWidth="1"/>
    <col min="768" max="768" width="8.5" style="161" bestFit="1" customWidth="1"/>
    <col min="769" max="769" width="9" style="161" bestFit="1" customWidth="1"/>
    <col min="770" max="770" width="3.625" style="161" customWidth="1"/>
    <col min="771" max="772" width="9" style="161"/>
    <col min="773" max="775" width="2.625" style="161" customWidth="1"/>
    <col min="776" max="776" width="3.75" style="161" customWidth="1"/>
    <col min="777" max="777" width="8.25" style="161" customWidth="1"/>
    <col min="778" max="778" width="9.125" style="161" customWidth="1"/>
    <col min="779" max="784" width="8.25" style="161" customWidth="1"/>
    <col min="785" max="785" width="8.625" style="161" bestFit="1" customWidth="1"/>
    <col min="786" max="786" width="9.375" style="161" bestFit="1" customWidth="1"/>
    <col min="787" max="787" width="3.625" style="161" customWidth="1"/>
    <col min="788" max="789" width="9" style="161"/>
    <col min="790" max="790" width="2.625" style="161" customWidth="1"/>
    <col min="791" max="1016" width="9" style="161"/>
    <col min="1017" max="1017" width="16.375" style="161" bestFit="1" customWidth="1"/>
    <col min="1018" max="1018" width="7.5" style="161" bestFit="1" customWidth="1"/>
    <col min="1019" max="1021" width="8.625" style="161" customWidth="1"/>
    <col min="1022" max="1022" width="2.625" style="161" customWidth="1"/>
    <col min="1023" max="1023" width="3.75" style="161" customWidth="1"/>
    <col min="1024" max="1024" width="8.5" style="161" bestFit="1" customWidth="1"/>
    <col min="1025" max="1025" width="9" style="161" bestFit="1" customWidth="1"/>
    <col min="1026" max="1026" width="3.625" style="161" customWidth="1"/>
    <col min="1027" max="1028" width="9" style="161"/>
    <col min="1029" max="1031" width="2.625" style="161" customWidth="1"/>
    <col min="1032" max="1032" width="3.75" style="161" customWidth="1"/>
    <col min="1033" max="1033" width="8.25" style="161" customWidth="1"/>
    <col min="1034" max="1034" width="9.125" style="161" customWidth="1"/>
    <col min="1035" max="1040" width="8.25" style="161" customWidth="1"/>
    <col min="1041" max="1041" width="8.625" style="161" bestFit="1" customWidth="1"/>
    <col min="1042" max="1042" width="9.375" style="161" bestFit="1" customWidth="1"/>
    <col min="1043" max="1043" width="3.625" style="161" customWidth="1"/>
    <col min="1044" max="1045" width="9" style="161"/>
    <col min="1046" max="1046" width="2.625" style="161" customWidth="1"/>
    <col min="1047" max="1272" width="9" style="161"/>
    <col min="1273" max="1273" width="16.375" style="161" bestFit="1" customWidth="1"/>
    <col min="1274" max="1274" width="7.5" style="161" bestFit="1" customWidth="1"/>
    <col min="1275" max="1277" width="8.625" style="161" customWidth="1"/>
    <col min="1278" max="1278" width="2.625" style="161" customWidth="1"/>
    <col min="1279" max="1279" width="3.75" style="161" customWidth="1"/>
    <col min="1280" max="1280" width="8.5" style="161" bestFit="1" customWidth="1"/>
    <col min="1281" max="1281" width="9" style="161" bestFit="1" customWidth="1"/>
    <col min="1282" max="1282" width="3.625" style="161" customWidth="1"/>
    <col min="1283" max="1284" width="9" style="161"/>
    <col min="1285" max="1287" width="2.625" style="161" customWidth="1"/>
    <col min="1288" max="1288" width="3.75" style="161" customWidth="1"/>
    <col min="1289" max="1289" width="8.25" style="161" customWidth="1"/>
    <col min="1290" max="1290" width="9.125" style="161" customWidth="1"/>
    <col min="1291" max="1296" width="8.25" style="161" customWidth="1"/>
    <col min="1297" max="1297" width="8.625" style="161" bestFit="1" customWidth="1"/>
    <col min="1298" max="1298" width="9.375" style="161" bestFit="1" customWidth="1"/>
    <col min="1299" max="1299" width="3.625" style="161" customWidth="1"/>
    <col min="1300" max="1301" width="9" style="161"/>
    <col min="1302" max="1302" width="2.625" style="161" customWidth="1"/>
    <col min="1303" max="1528" width="9" style="161"/>
    <col min="1529" max="1529" width="16.375" style="161" bestFit="1" customWidth="1"/>
    <col min="1530" max="1530" width="7.5" style="161" bestFit="1" customWidth="1"/>
    <col min="1531" max="1533" width="8.625" style="161" customWidth="1"/>
    <col min="1534" max="1534" width="2.625" style="161" customWidth="1"/>
    <col min="1535" max="1535" width="3.75" style="161" customWidth="1"/>
    <col min="1536" max="1536" width="8.5" style="161" bestFit="1" customWidth="1"/>
    <col min="1537" max="1537" width="9" style="161" bestFit="1" customWidth="1"/>
    <col min="1538" max="1538" width="3.625" style="161" customWidth="1"/>
    <col min="1539" max="1540" width="9" style="161"/>
    <col min="1541" max="1543" width="2.625" style="161" customWidth="1"/>
    <col min="1544" max="1544" width="3.75" style="161" customWidth="1"/>
    <col min="1545" max="1545" width="8.25" style="161" customWidth="1"/>
    <col min="1546" max="1546" width="9.125" style="161" customWidth="1"/>
    <col min="1547" max="1552" width="8.25" style="161" customWidth="1"/>
    <col min="1553" max="1553" width="8.625" style="161" bestFit="1" customWidth="1"/>
    <col min="1554" max="1554" width="9.375" style="161" bestFit="1" customWidth="1"/>
    <col min="1555" max="1555" width="3.625" style="161" customWidth="1"/>
    <col min="1556" max="1557" width="9" style="161"/>
    <col min="1558" max="1558" width="2.625" style="161" customWidth="1"/>
    <col min="1559" max="1784" width="9" style="161"/>
    <col min="1785" max="1785" width="16.375" style="161" bestFit="1" customWidth="1"/>
    <col min="1786" max="1786" width="7.5" style="161" bestFit="1" customWidth="1"/>
    <col min="1787" max="1789" width="8.625" style="161" customWidth="1"/>
    <col min="1790" max="1790" width="2.625" style="161" customWidth="1"/>
    <col min="1791" max="1791" width="3.75" style="161" customWidth="1"/>
    <col min="1792" max="1792" width="8.5" style="161" bestFit="1" customWidth="1"/>
    <col min="1793" max="1793" width="9" style="161" bestFit="1" customWidth="1"/>
    <col min="1794" max="1794" width="3.625" style="161" customWidth="1"/>
    <col min="1795" max="1796" width="9" style="161"/>
    <col min="1797" max="1799" width="2.625" style="161" customWidth="1"/>
    <col min="1800" max="1800" width="3.75" style="161" customWidth="1"/>
    <col min="1801" max="1801" width="8.25" style="161" customWidth="1"/>
    <col min="1802" max="1802" width="9.125" style="161" customWidth="1"/>
    <col min="1803" max="1808" width="8.25" style="161" customWidth="1"/>
    <col min="1809" max="1809" width="8.625" style="161" bestFit="1" customWidth="1"/>
    <col min="1810" max="1810" width="9.375" style="161" bestFit="1" customWidth="1"/>
    <col min="1811" max="1811" width="3.625" style="161" customWidth="1"/>
    <col min="1812" max="1813" width="9" style="161"/>
    <col min="1814" max="1814" width="2.625" style="161" customWidth="1"/>
    <col min="1815" max="2040" width="9" style="161"/>
    <col min="2041" max="2041" width="16.375" style="161" bestFit="1" customWidth="1"/>
    <col min="2042" max="2042" width="7.5" style="161" bestFit="1" customWidth="1"/>
    <col min="2043" max="2045" width="8.625" style="161" customWidth="1"/>
    <col min="2046" max="2046" width="2.625" style="161" customWidth="1"/>
    <col min="2047" max="2047" width="3.75" style="161" customWidth="1"/>
    <col min="2048" max="2048" width="8.5" style="161" bestFit="1" customWidth="1"/>
    <col min="2049" max="2049" width="9" style="161" bestFit="1" customWidth="1"/>
    <col min="2050" max="2050" width="3.625" style="161" customWidth="1"/>
    <col min="2051" max="2052" width="9" style="161"/>
    <col min="2053" max="2055" width="2.625" style="161" customWidth="1"/>
    <col min="2056" max="2056" width="3.75" style="161" customWidth="1"/>
    <col min="2057" max="2057" width="8.25" style="161" customWidth="1"/>
    <col min="2058" max="2058" width="9.125" style="161" customWidth="1"/>
    <col min="2059" max="2064" width="8.25" style="161" customWidth="1"/>
    <col min="2065" max="2065" width="8.625" style="161" bestFit="1" customWidth="1"/>
    <col min="2066" max="2066" width="9.375" style="161" bestFit="1" customWidth="1"/>
    <col min="2067" max="2067" width="3.625" style="161" customWidth="1"/>
    <col min="2068" max="2069" width="9" style="161"/>
    <col min="2070" max="2070" width="2.625" style="161" customWidth="1"/>
    <col min="2071" max="2296" width="9" style="161"/>
    <col min="2297" max="2297" width="16.375" style="161" bestFit="1" customWidth="1"/>
    <col min="2298" max="2298" width="7.5" style="161" bestFit="1" customWidth="1"/>
    <col min="2299" max="2301" width="8.625" style="161" customWidth="1"/>
    <col min="2302" max="2302" width="2.625" style="161" customWidth="1"/>
    <col min="2303" max="2303" width="3.75" style="161" customWidth="1"/>
    <col min="2304" max="2304" width="8.5" style="161" bestFit="1" customWidth="1"/>
    <col min="2305" max="2305" width="9" style="161" bestFit="1" customWidth="1"/>
    <col min="2306" max="2306" width="3.625" style="161" customWidth="1"/>
    <col min="2307" max="2308" width="9" style="161"/>
    <col min="2309" max="2311" width="2.625" style="161" customWidth="1"/>
    <col min="2312" max="2312" width="3.75" style="161" customWidth="1"/>
    <col min="2313" max="2313" width="8.25" style="161" customWidth="1"/>
    <col min="2314" max="2314" width="9.125" style="161" customWidth="1"/>
    <col min="2315" max="2320" width="8.25" style="161" customWidth="1"/>
    <col min="2321" max="2321" width="8.625" style="161" bestFit="1" customWidth="1"/>
    <col min="2322" max="2322" width="9.375" style="161" bestFit="1" customWidth="1"/>
    <col min="2323" max="2323" width="3.625" style="161" customWidth="1"/>
    <col min="2324" max="2325" width="9" style="161"/>
    <col min="2326" max="2326" width="2.625" style="161" customWidth="1"/>
    <col min="2327" max="2552" width="9" style="161"/>
    <col min="2553" max="2553" width="16.375" style="161" bestFit="1" customWidth="1"/>
    <col min="2554" max="2554" width="7.5" style="161" bestFit="1" customWidth="1"/>
    <col min="2555" max="2557" width="8.625" style="161" customWidth="1"/>
    <col min="2558" max="2558" width="2.625" style="161" customWidth="1"/>
    <col min="2559" max="2559" width="3.75" style="161" customWidth="1"/>
    <col min="2560" max="2560" width="8.5" style="161" bestFit="1" customWidth="1"/>
    <col min="2561" max="2561" width="9" style="161" bestFit="1" customWidth="1"/>
    <col min="2562" max="2562" width="3.625" style="161" customWidth="1"/>
    <col min="2563" max="2564" width="9" style="161"/>
    <col min="2565" max="2567" width="2.625" style="161" customWidth="1"/>
    <col min="2568" max="2568" width="3.75" style="161" customWidth="1"/>
    <col min="2569" max="2569" width="8.25" style="161" customWidth="1"/>
    <col min="2570" max="2570" width="9.125" style="161" customWidth="1"/>
    <col min="2571" max="2576" width="8.25" style="161" customWidth="1"/>
    <col min="2577" max="2577" width="8.625" style="161" bestFit="1" customWidth="1"/>
    <col min="2578" max="2578" width="9.375" style="161" bestFit="1" customWidth="1"/>
    <col min="2579" max="2579" width="3.625" style="161" customWidth="1"/>
    <col min="2580" max="2581" width="9" style="161"/>
    <col min="2582" max="2582" width="2.625" style="161" customWidth="1"/>
    <col min="2583" max="2808" width="9" style="161"/>
    <col min="2809" max="2809" width="16.375" style="161" bestFit="1" customWidth="1"/>
    <col min="2810" max="2810" width="7.5" style="161" bestFit="1" customWidth="1"/>
    <col min="2811" max="2813" width="8.625" style="161" customWidth="1"/>
    <col min="2814" max="2814" width="2.625" style="161" customWidth="1"/>
    <col min="2815" max="2815" width="3.75" style="161" customWidth="1"/>
    <col min="2816" max="2816" width="8.5" style="161" bestFit="1" customWidth="1"/>
    <col min="2817" max="2817" width="9" style="161" bestFit="1" customWidth="1"/>
    <col min="2818" max="2818" width="3.625" style="161" customWidth="1"/>
    <col min="2819" max="2820" width="9" style="161"/>
    <col min="2821" max="2823" width="2.625" style="161" customWidth="1"/>
    <col min="2824" max="2824" width="3.75" style="161" customWidth="1"/>
    <col min="2825" max="2825" width="8.25" style="161" customWidth="1"/>
    <col min="2826" max="2826" width="9.125" style="161" customWidth="1"/>
    <col min="2827" max="2832" width="8.25" style="161" customWidth="1"/>
    <col min="2833" max="2833" width="8.625" style="161" bestFit="1" customWidth="1"/>
    <col min="2834" max="2834" width="9.375" style="161" bestFit="1" customWidth="1"/>
    <col min="2835" max="2835" width="3.625" style="161" customWidth="1"/>
    <col min="2836" max="2837" width="9" style="161"/>
    <col min="2838" max="2838" width="2.625" style="161" customWidth="1"/>
    <col min="2839" max="3064" width="9" style="161"/>
    <col min="3065" max="3065" width="16.375" style="161" bestFit="1" customWidth="1"/>
    <col min="3066" max="3066" width="7.5" style="161" bestFit="1" customWidth="1"/>
    <col min="3067" max="3069" width="8.625" style="161" customWidth="1"/>
    <col min="3070" max="3070" width="2.625" style="161" customWidth="1"/>
    <col min="3071" max="3071" width="3.75" style="161" customWidth="1"/>
    <col min="3072" max="3072" width="8.5" style="161" bestFit="1" customWidth="1"/>
    <col min="3073" max="3073" width="9" style="161" bestFit="1" customWidth="1"/>
    <col min="3074" max="3074" width="3.625" style="161" customWidth="1"/>
    <col min="3075" max="3076" width="9" style="161"/>
    <col min="3077" max="3079" width="2.625" style="161" customWidth="1"/>
    <col min="3080" max="3080" width="3.75" style="161" customWidth="1"/>
    <col min="3081" max="3081" width="8.25" style="161" customWidth="1"/>
    <col min="3082" max="3082" width="9.125" style="161" customWidth="1"/>
    <col min="3083" max="3088" width="8.25" style="161" customWidth="1"/>
    <col min="3089" max="3089" width="8.625" style="161" bestFit="1" customWidth="1"/>
    <col min="3090" max="3090" width="9.375" style="161" bestFit="1" customWidth="1"/>
    <col min="3091" max="3091" width="3.625" style="161" customWidth="1"/>
    <col min="3092" max="3093" width="9" style="161"/>
    <col min="3094" max="3094" width="2.625" style="161" customWidth="1"/>
    <col min="3095" max="3320" width="9" style="161"/>
    <col min="3321" max="3321" width="16.375" style="161" bestFit="1" customWidth="1"/>
    <col min="3322" max="3322" width="7.5" style="161" bestFit="1" customWidth="1"/>
    <col min="3323" max="3325" width="8.625" style="161" customWidth="1"/>
    <col min="3326" max="3326" width="2.625" style="161" customWidth="1"/>
    <col min="3327" max="3327" width="3.75" style="161" customWidth="1"/>
    <col min="3328" max="3328" width="8.5" style="161" bestFit="1" customWidth="1"/>
    <col min="3329" max="3329" width="9" style="161" bestFit="1" customWidth="1"/>
    <col min="3330" max="3330" width="3.625" style="161" customWidth="1"/>
    <col min="3331" max="3332" width="9" style="161"/>
    <col min="3333" max="3335" width="2.625" style="161" customWidth="1"/>
    <col min="3336" max="3336" width="3.75" style="161" customWidth="1"/>
    <col min="3337" max="3337" width="8.25" style="161" customWidth="1"/>
    <col min="3338" max="3338" width="9.125" style="161" customWidth="1"/>
    <col min="3339" max="3344" width="8.25" style="161" customWidth="1"/>
    <col min="3345" max="3345" width="8.625" style="161" bestFit="1" customWidth="1"/>
    <col min="3346" max="3346" width="9.375" style="161" bestFit="1" customWidth="1"/>
    <col min="3347" max="3347" width="3.625" style="161" customWidth="1"/>
    <col min="3348" max="3349" width="9" style="161"/>
    <col min="3350" max="3350" width="2.625" style="161" customWidth="1"/>
    <col min="3351" max="3576" width="9" style="161"/>
    <col min="3577" max="3577" width="16.375" style="161" bestFit="1" customWidth="1"/>
    <col min="3578" max="3578" width="7.5" style="161" bestFit="1" customWidth="1"/>
    <col min="3579" max="3581" width="8.625" style="161" customWidth="1"/>
    <col min="3582" max="3582" width="2.625" style="161" customWidth="1"/>
    <col min="3583" max="3583" width="3.75" style="161" customWidth="1"/>
    <col min="3584" max="3584" width="8.5" style="161" bestFit="1" customWidth="1"/>
    <col min="3585" max="3585" width="9" style="161" bestFit="1" customWidth="1"/>
    <col min="3586" max="3586" width="3.625" style="161" customWidth="1"/>
    <col min="3587" max="3588" width="9" style="161"/>
    <col min="3589" max="3591" width="2.625" style="161" customWidth="1"/>
    <col min="3592" max="3592" width="3.75" style="161" customWidth="1"/>
    <col min="3593" max="3593" width="8.25" style="161" customWidth="1"/>
    <col min="3594" max="3594" width="9.125" style="161" customWidth="1"/>
    <col min="3595" max="3600" width="8.25" style="161" customWidth="1"/>
    <col min="3601" max="3601" width="8.625" style="161" bestFit="1" customWidth="1"/>
    <col min="3602" max="3602" width="9.375" style="161" bestFit="1" customWidth="1"/>
    <col min="3603" max="3603" width="3.625" style="161" customWidth="1"/>
    <col min="3604" max="3605" width="9" style="161"/>
    <col min="3606" max="3606" width="2.625" style="161" customWidth="1"/>
    <col min="3607" max="3832" width="9" style="161"/>
    <col min="3833" max="3833" width="16.375" style="161" bestFit="1" customWidth="1"/>
    <col min="3834" max="3834" width="7.5" style="161" bestFit="1" customWidth="1"/>
    <col min="3835" max="3837" width="8.625" style="161" customWidth="1"/>
    <col min="3838" max="3838" width="2.625" style="161" customWidth="1"/>
    <col min="3839" max="3839" width="3.75" style="161" customWidth="1"/>
    <col min="3840" max="3840" width="8.5" style="161" bestFit="1" customWidth="1"/>
    <col min="3841" max="3841" width="9" style="161" bestFit="1" customWidth="1"/>
    <col min="3842" max="3842" width="3.625" style="161" customWidth="1"/>
    <col min="3843" max="3844" width="9" style="161"/>
    <col min="3845" max="3847" width="2.625" style="161" customWidth="1"/>
    <col min="3848" max="3848" width="3.75" style="161" customWidth="1"/>
    <col min="3849" max="3849" width="8.25" style="161" customWidth="1"/>
    <col min="3850" max="3850" width="9.125" style="161" customWidth="1"/>
    <col min="3851" max="3856" width="8.25" style="161" customWidth="1"/>
    <col min="3857" max="3857" width="8.625" style="161" bestFit="1" customWidth="1"/>
    <col min="3858" max="3858" width="9.375" style="161" bestFit="1" customWidth="1"/>
    <col min="3859" max="3859" width="3.625" style="161" customWidth="1"/>
    <col min="3860" max="3861" width="9" style="161"/>
    <col min="3862" max="3862" width="2.625" style="161" customWidth="1"/>
    <col min="3863" max="4088" width="9" style="161"/>
    <col min="4089" max="4089" width="16.375" style="161" bestFit="1" customWidth="1"/>
    <col min="4090" max="4090" width="7.5" style="161" bestFit="1" customWidth="1"/>
    <col min="4091" max="4093" width="8.625" style="161" customWidth="1"/>
    <col min="4094" max="4094" width="2.625" style="161" customWidth="1"/>
    <col min="4095" max="4095" width="3.75" style="161" customWidth="1"/>
    <col min="4096" max="4096" width="8.5" style="161" bestFit="1" customWidth="1"/>
    <col min="4097" max="4097" width="9" style="161" bestFit="1" customWidth="1"/>
    <col min="4098" max="4098" width="3.625" style="161" customWidth="1"/>
    <col min="4099" max="4100" width="9" style="161"/>
    <col min="4101" max="4103" width="2.625" style="161" customWidth="1"/>
    <col min="4104" max="4104" width="3.75" style="161" customWidth="1"/>
    <col min="4105" max="4105" width="8.25" style="161" customWidth="1"/>
    <col min="4106" max="4106" width="9.125" style="161" customWidth="1"/>
    <col min="4107" max="4112" width="8.25" style="161" customWidth="1"/>
    <col min="4113" max="4113" width="8.625" style="161" bestFit="1" customWidth="1"/>
    <col min="4114" max="4114" width="9.375" style="161" bestFit="1" customWidth="1"/>
    <col min="4115" max="4115" width="3.625" style="161" customWidth="1"/>
    <col min="4116" max="4117" width="9" style="161"/>
    <col min="4118" max="4118" width="2.625" style="161" customWidth="1"/>
    <col min="4119" max="4344" width="9" style="161"/>
    <col min="4345" max="4345" width="16.375" style="161" bestFit="1" customWidth="1"/>
    <col min="4346" max="4346" width="7.5" style="161" bestFit="1" customWidth="1"/>
    <col min="4347" max="4349" width="8.625" style="161" customWidth="1"/>
    <col min="4350" max="4350" width="2.625" style="161" customWidth="1"/>
    <col min="4351" max="4351" width="3.75" style="161" customWidth="1"/>
    <col min="4352" max="4352" width="8.5" style="161" bestFit="1" customWidth="1"/>
    <col min="4353" max="4353" width="9" style="161" bestFit="1" customWidth="1"/>
    <col min="4354" max="4354" width="3.625" style="161" customWidth="1"/>
    <col min="4355" max="4356" width="9" style="161"/>
    <col min="4357" max="4359" width="2.625" style="161" customWidth="1"/>
    <col min="4360" max="4360" width="3.75" style="161" customWidth="1"/>
    <col min="4361" max="4361" width="8.25" style="161" customWidth="1"/>
    <col min="4362" max="4362" width="9.125" style="161" customWidth="1"/>
    <col min="4363" max="4368" width="8.25" style="161" customWidth="1"/>
    <col min="4369" max="4369" width="8.625" style="161" bestFit="1" customWidth="1"/>
    <col min="4370" max="4370" width="9.375" style="161" bestFit="1" customWidth="1"/>
    <col min="4371" max="4371" width="3.625" style="161" customWidth="1"/>
    <col min="4372" max="4373" width="9" style="161"/>
    <col min="4374" max="4374" width="2.625" style="161" customWidth="1"/>
    <col min="4375" max="4600" width="9" style="161"/>
    <col min="4601" max="4601" width="16.375" style="161" bestFit="1" customWidth="1"/>
    <col min="4602" max="4602" width="7.5" style="161" bestFit="1" customWidth="1"/>
    <col min="4603" max="4605" width="8.625" style="161" customWidth="1"/>
    <col min="4606" max="4606" width="2.625" style="161" customWidth="1"/>
    <col min="4607" max="4607" width="3.75" style="161" customWidth="1"/>
    <col min="4608" max="4608" width="8.5" style="161" bestFit="1" customWidth="1"/>
    <col min="4609" max="4609" width="9" style="161" bestFit="1" customWidth="1"/>
    <col min="4610" max="4610" width="3.625" style="161" customWidth="1"/>
    <col min="4611" max="4612" width="9" style="161"/>
    <col min="4613" max="4615" width="2.625" style="161" customWidth="1"/>
    <col min="4616" max="4616" width="3.75" style="161" customWidth="1"/>
    <col min="4617" max="4617" width="8.25" style="161" customWidth="1"/>
    <col min="4618" max="4618" width="9.125" style="161" customWidth="1"/>
    <col min="4619" max="4624" width="8.25" style="161" customWidth="1"/>
    <col min="4625" max="4625" width="8.625" style="161" bestFit="1" customWidth="1"/>
    <col min="4626" max="4626" width="9.375" style="161" bestFit="1" customWidth="1"/>
    <col min="4627" max="4627" width="3.625" style="161" customWidth="1"/>
    <col min="4628" max="4629" width="9" style="161"/>
    <col min="4630" max="4630" width="2.625" style="161" customWidth="1"/>
    <col min="4631" max="4856" width="9" style="161"/>
    <col min="4857" max="4857" width="16.375" style="161" bestFit="1" customWidth="1"/>
    <col min="4858" max="4858" width="7.5" style="161" bestFit="1" customWidth="1"/>
    <col min="4859" max="4861" width="8.625" style="161" customWidth="1"/>
    <col min="4862" max="4862" width="2.625" style="161" customWidth="1"/>
    <col min="4863" max="4863" width="3.75" style="161" customWidth="1"/>
    <col min="4864" max="4864" width="8.5" style="161" bestFit="1" customWidth="1"/>
    <col min="4865" max="4865" width="9" style="161" bestFit="1" customWidth="1"/>
    <col min="4866" max="4866" width="3.625" style="161" customWidth="1"/>
    <col min="4867" max="4868" width="9" style="161"/>
    <col min="4869" max="4871" width="2.625" style="161" customWidth="1"/>
    <col min="4872" max="4872" width="3.75" style="161" customWidth="1"/>
    <col min="4873" max="4873" width="8.25" style="161" customWidth="1"/>
    <col min="4874" max="4874" width="9.125" style="161" customWidth="1"/>
    <col min="4875" max="4880" width="8.25" style="161" customWidth="1"/>
    <col min="4881" max="4881" width="8.625" style="161" bestFit="1" customWidth="1"/>
    <col min="4882" max="4882" width="9.375" style="161" bestFit="1" customWidth="1"/>
    <col min="4883" max="4883" width="3.625" style="161" customWidth="1"/>
    <col min="4884" max="4885" width="9" style="161"/>
    <col min="4886" max="4886" width="2.625" style="161" customWidth="1"/>
    <col min="4887" max="5112" width="9" style="161"/>
    <col min="5113" max="5113" width="16.375" style="161" bestFit="1" customWidth="1"/>
    <col min="5114" max="5114" width="7.5" style="161" bestFit="1" customWidth="1"/>
    <col min="5115" max="5117" width="8.625" style="161" customWidth="1"/>
    <col min="5118" max="5118" width="2.625" style="161" customWidth="1"/>
    <col min="5119" max="5119" width="3.75" style="161" customWidth="1"/>
    <col min="5120" max="5120" width="8.5" style="161" bestFit="1" customWidth="1"/>
    <col min="5121" max="5121" width="9" style="161" bestFit="1" customWidth="1"/>
    <col min="5122" max="5122" width="3.625" style="161" customWidth="1"/>
    <col min="5123" max="5124" width="9" style="161"/>
    <col min="5125" max="5127" width="2.625" style="161" customWidth="1"/>
    <col min="5128" max="5128" width="3.75" style="161" customWidth="1"/>
    <col min="5129" max="5129" width="8.25" style="161" customWidth="1"/>
    <col min="5130" max="5130" width="9.125" style="161" customWidth="1"/>
    <col min="5131" max="5136" width="8.25" style="161" customWidth="1"/>
    <col min="5137" max="5137" width="8.625" style="161" bestFit="1" customWidth="1"/>
    <col min="5138" max="5138" width="9.375" style="161" bestFit="1" customWidth="1"/>
    <col min="5139" max="5139" width="3.625" style="161" customWidth="1"/>
    <col min="5140" max="5141" width="9" style="161"/>
    <col min="5142" max="5142" width="2.625" style="161" customWidth="1"/>
    <col min="5143" max="5368" width="9" style="161"/>
    <col min="5369" max="5369" width="16.375" style="161" bestFit="1" customWidth="1"/>
    <col min="5370" max="5370" width="7.5" style="161" bestFit="1" customWidth="1"/>
    <col min="5371" max="5373" width="8.625" style="161" customWidth="1"/>
    <col min="5374" max="5374" width="2.625" style="161" customWidth="1"/>
    <col min="5375" max="5375" width="3.75" style="161" customWidth="1"/>
    <col min="5376" max="5376" width="8.5" style="161" bestFit="1" customWidth="1"/>
    <col min="5377" max="5377" width="9" style="161" bestFit="1" customWidth="1"/>
    <col min="5378" max="5378" width="3.625" style="161" customWidth="1"/>
    <col min="5379" max="5380" width="9" style="161"/>
    <col min="5381" max="5383" width="2.625" style="161" customWidth="1"/>
    <col min="5384" max="5384" width="3.75" style="161" customWidth="1"/>
    <col min="5385" max="5385" width="8.25" style="161" customWidth="1"/>
    <col min="5386" max="5386" width="9.125" style="161" customWidth="1"/>
    <col min="5387" max="5392" width="8.25" style="161" customWidth="1"/>
    <col min="5393" max="5393" width="8.625" style="161" bestFit="1" customWidth="1"/>
    <col min="5394" max="5394" width="9.375" style="161" bestFit="1" customWidth="1"/>
    <col min="5395" max="5395" width="3.625" style="161" customWidth="1"/>
    <col min="5396" max="5397" width="9" style="161"/>
    <col min="5398" max="5398" width="2.625" style="161" customWidth="1"/>
    <col min="5399" max="5624" width="9" style="161"/>
    <col min="5625" max="5625" width="16.375" style="161" bestFit="1" customWidth="1"/>
    <col min="5626" max="5626" width="7.5" style="161" bestFit="1" customWidth="1"/>
    <col min="5627" max="5629" width="8.625" style="161" customWidth="1"/>
    <col min="5630" max="5630" width="2.625" style="161" customWidth="1"/>
    <col min="5631" max="5631" width="3.75" style="161" customWidth="1"/>
    <col min="5632" max="5632" width="8.5" style="161" bestFit="1" customWidth="1"/>
    <col min="5633" max="5633" width="9" style="161" bestFit="1" customWidth="1"/>
    <col min="5634" max="5634" width="3.625" style="161" customWidth="1"/>
    <col min="5635" max="5636" width="9" style="161"/>
    <col min="5637" max="5639" width="2.625" style="161" customWidth="1"/>
    <col min="5640" max="5640" width="3.75" style="161" customWidth="1"/>
    <col min="5641" max="5641" width="8.25" style="161" customWidth="1"/>
    <col min="5642" max="5642" width="9.125" style="161" customWidth="1"/>
    <col min="5643" max="5648" width="8.25" style="161" customWidth="1"/>
    <col min="5649" max="5649" width="8.625" style="161" bestFit="1" customWidth="1"/>
    <col min="5650" max="5650" width="9.375" style="161" bestFit="1" customWidth="1"/>
    <col min="5651" max="5651" width="3.625" style="161" customWidth="1"/>
    <col min="5652" max="5653" width="9" style="161"/>
    <col min="5654" max="5654" width="2.625" style="161" customWidth="1"/>
    <col min="5655" max="5880" width="9" style="161"/>
    <col min="5881" max="5881" width="16.375" style="161" bestFit="1" customWidth="1"/>
    <col min="5882" max="5882" width="7.5" style="161" bestFit="1" customWidth="1"/>
    <col min="5883" max="5885" width="8.625" style="161" customWidth="1"/>
    <col min="5886" max="5886" width="2.625" style="161" customWidth="1"/>
    <col min="5887" max="5887" width="3.75" style="161" customWidth="1"/>
    <col min="5888" max="5888" width="8.5" style="161" bestFit="1" customWidth="1"/>
    <col min="5889" max="5889" width="9" style="161" bestFit="1" customWidth="1"/>
    <col min="5890" max="5890" width="3.625" style="161" customWidth="1"/>
    <col min="5891" max="5892" width="9" style="161"/>
    <col min="5893" max="5895" width="2.625" style="161" customWidth="1"/>
    <col min="5896" max="5896" width="3.75" style="161" customWidth="1"/>
    <col min="5897" max="5897" width="8.25" style="161" customWidth="1"/>
    <col min="5898" max="5898" width="9.125" style="161" customWidth="1"/>
    <col min="5899" max="5904" width="8.25" style="161" customWidth="1"/>
    <col min="5905" max="5905" width="8.625" style="161" bestFit="1" customWidth="1"/>
    <col min="5906" max="5906" width="9.375" style="161" bestFit="1" customWidth="1"/>
    <col min="5907" max="5907" width="3.625" style="161" customWidth="1"/>
    <col min="5908" max="5909" width="9" style="161"/>
    <col min="5910" max="5910" width="2.625" style="161" customWidth="1"/>
    <col min="5911" max="6136" width="9" style="161"/>
    <col min="6137" max="6137" width="16.375" style="161" bestFit="1" customWidth="1"/>
    <col min="6138" max="6138" width="7.5" style="161" bestFit="1" customWidth="1"/>
    <col min="6139" max="6141" width="8.625" style="161" customWidth="1"/>
    <col min="6142" max="6142" width="2.625" style="161" customWidth="1"/>
    <col min="6143" max="6143" width="3.75" style="161" customWidth="1"/>
    <col min="6144" max="6144" width="8.5" style="161" bestFit="1" customWidth="1"/>
    <col min="6145" max="6145" width="9" style="161" bestFit="1" customWidth="1"/>
    <col min="6146" max="6146" width="3.625" style="161" customWidth="1"/>
    <col min="6147" max="6148" width="9" style="161"/>
    <col min="6149" max="6151" width="2.625" style="161" customWidth="1"/>
    <col min="6152" max="6152" width="3.75" style="161" customWidth="1"/>
    <col min="6153" max="6153" width="8.25" style="161" customWidth="1"/>
    <col min="6154" max="6154" width="9.125" style="161" customWidth="1"/>
    <col min="6155" max="6160" width="8.25" style="161" customWidth="1"/>
    <col min="6161" max="6161" width="8.625" style="161" bestFit="1" customWidth="1"/>
    <col min="6162" max="6162" width="9.375" style="161" bestFit="1" customWidth="1"/>
    <col min="6163" max="6163" width="3.625" style="161" customWidth="1"/>
    <col min="6164" max="6165" width="9" style="161"/>
    <col min="6166" max="6166" width="2.625" style="161" customWidth="1"/>
    <col min="6167" max="6392" width="9" style="161"/>
    <col min="6393" max="6393" width="16.375" style="161" bestFit="1" customWidth="1"/>
    <col min="6394" max="6394" width="7.5" style="161" bestFit="1" customWidth="1"/>
    <col min="6395" max="6397" width="8.625" style="161" customWidth="1"/>
    <col min="6398" max="6398" width="2.625" style="161" customWidth="1"/>
    <col min="6399" max="6399" width="3.75" style="161" customWidth="1"/>
    <col min="6400" max="6400" width="8.5" style="161" bestFit="1" customWidth="1"/>
    <col min="6401" max="6401" width="9" style="161" bestFit="1" customWidth="1"/>
    <col min="6402" max="6402" width="3.625" style="161" customWidth="1"/>
    <col min="6403" max="6404" width="9" style="161"/>
    <col min="6405" max="6407" width="2.625" style="161" customWidth="1"/>
    <col min="6408" max="6408" width="3.75" style="161" customWidth="1"/>
    <col min="6409" max="6409" width="8.25" style="161" customWidth="1"/>
    <col min="6410" max="6410" width="9.125" style="161" customWidth="1"/>
    <col min="6411" max="6416" width="8.25" style="161" customWidth="1"/>
    <col min="6417" max="6417" width="8.625" style="161" bestFit="1" customWidth="1"/>
    <col min="6418" max="6418" width="9.375" style="161" bestFit="1" customWidth="1"/>
    <col min="6419" max="6419" width="3.625" style="161" customWidth="1"/>
    <col min="6420" max="6421" width="9" style="161"/>
    <col min="6422" max="6422" width="2.625" style="161" customWidth="1"/>
    <col min="6423" max="6648" width="9" style="161"/>
    <col min="6649" max="6649" width="16.375" style="161" bestFit="1" customWidth="1"/>
    <col min="6650" max="6650" width="7.5" style="161" bestFit="1" customWidth="1"/>
    <col min="6651" max="6653" width="8.625" style="161" customWidth="1"/>
    <col min="6654" max="6654" width="2.625" style="161" customWidth="1"/>
    <col min="6655" max="6655" width="3.75" style="161" customWidth="1"/>
    <col min="6656" max="6656" width="8.5" style="161" bestFit="1" customWidth="1"/>
    <col min="6657" max="6657" width="9" style="161" bestFit="1" customWidth="1"/>
    <col min="6658" max="6658" width="3.625" style="161" customWidth="1"/>
    <col min="6659" max="6660" width="9" style="161"/>
    <col min="6661" max="6663" width="2.625" style="161" customWidth="1"/>
    <col min="6664" max="6664" width="3.75" style="161" customWidth="1"/>
    <col min="6665" max="6665" width="8.25" style="161" customWidth="1"/>
    <col min="6666" max="6666" width="9.125" style="161" customWidth="1"/>
    <col min="6667" max="6672" width="8.25" style="161" customWidth="1"/>
    <col min="6673" max="6673" width="8.625" style="161" bestFit="1" customWidth="1"/>
    <col min="6674" max="6674" width="9.375" style="161" bestFit="1" customWidth="1"/>
    <col min="6675" max="6675" width="3.625" style="161" customWidth="1"/>
    <col min="6676" max="6677" width="9" style="161"/>
    <col min="6678" max="6678" width="2.625" style="161" customWidth="1"/>
    <col min="6679" max="6904" width="9" style="161"/>
    <col min="6905" max="6905" width="16.375" style="161" bestFit="1" customWidth="1"/>
    <col min="6906" max="6906" width="7.5" style="161" bestFit="1" customWidth="1"/>
    <col min="6907" max="6909" width="8.625" style="161" customWidth="1"/>
    <col min="6910" max="6910" width="2.625" style="161" customWidth="1"/>
    <col min="6911" max="6911" width="3.75" style="161" customWidth="1"/>
    <col min="6912" max="6912" width="8.5" style="161" bestFit="1" customWidth="1"/>
    <col min="6913" max="6913" width="9" style="161" bestFit="1" customWidth="1"/>
    <col min="6914" max="6914" width="3.625" style="161" customWidth="1"/>
    <col min="6915" max="6916" width="9" style="161"/>
    <col min="6917" max="6919" width="2.625" style="161" customWidth="1"/>
    <col min="6920" max="6920" width="3.75" style="161" customWidth="1"/>
    <col min="6921" max="6921" width="8.25" style="161" customWidth="1"/>
    <col min="6922" max="6922" width="9.125" style="161" customWidth="1"/>
    <col min="6923" max="6928" width="8.25" style="161" customWidth="1"/>
    <col min="6929" max="6929" width="8.625" style="161" bestFit="1" customWidth="1"/>
    <col min="6930" max="6930" width="9.375" style="161" bestFit="1" customWidth="1"/>
    <col min="6931" max="6931" width="3.625" style="161" customWidth="1"/>
    <col min="6932" max="6933" width="9" style="161"/>
    <col min="6934" max="6934" width="2.625" style="161" customWidth="1"/>
    <col min="6935" max="7160" width="9" style="161"/>
    <col min="7161" max="7161" width="16.375" style="161" bestFit="1" customWidth="1"/>
    <col min="7162" max="7162" width="7.5" style="161" bestFit="1" customWidth="1"/>
    <col min="7163" max="7165" width="8.625" style="161" customWidth="1"/>
    <col min="7166" max="7166" width="2.625" style="161" customWidth="1"/>
    <col min="7167" max="7167" width="3.75" style="161" customWidth="1"/>
    <col min="7168" max="7168" width="8.5" style="161" bestFit="1" customWidth="1"/>
    <col min="7169" max="7169" width="9" style="161" bestFit="1" customWidth="1"/>
    <col min="7170" max="7170" width="3.625" style="161" customWidth="1"/>
    <col min="7171" max="7172" width="9" style="161"/>
    <col min="7173" max="7175" width="2.625" style="161" customWidth="1"/>
    <col min="7176" max="7176" width="3.75" style="161" customWidth="1"/>
    <col min="7177" max="7177" width="8.25" style="161" customWidth="1"/>
    <col min="7178" max="7178" width="9.125" style="161" customWidth="1"/>
    <col min="7179" max="7184" width="8.25" style="161" customWidth="1"/>
    <col min="7185" max="7185" width="8.625" style="161" bestFit="1" customWidth="1"/>
    <col min="7186" max="7186" width="9.375" style="161" bestFit="1" customWidth="1"/>
    <col min="7187" max="7187" width="3.625" style="161" customWidth="1"/>
    <col min="7188" max="7189" width="9" style="161"/>
    <col min="7190" max="7190" width="2.625" style="161" customWidth="1"/>
    <col min="7191" max="7416" width="9" style="161"/>
    <col min="7417" max="7417" width="16.375" style="161" bestFit="1" customWidth="1"/>
    <col min="7418" max="7418" width="7.5" style="161" bestFit="1" customWidth="1"/>
    <col min="7419" max="7421" width="8.625" style="161" customWidth="1"/>
    <col min="7422" max="7422" width="2.625" style="161" customWidth="1"/>
    <col min="7423" max="7423" width="3.75" style="161" customWidth="1"/>
    <col min="7424" max="7424" width="8.5" style="161" bestFit="1" customWidth="1"/>
    <col min="7425" max="7425" width="9" style="161" bestFit="1" customWidth="1"/>
    <col min="7426" max="7426" width="3.625" style="161" customWidth="1"/>
    <col min="7427" max="7428" width="9" style="161"/>
    <col min="7429" max="7431" width="2.625" style="161" customWidth="1"/>
    <col min="7432" max="7432" width="3.75" style="161" customWidth="1"/>
    <col min="7433" max="7433" width="8.25" style="161" customWidth="1"/>
    <col min="7434" max="7434" width="9.125" style="161" customWidth="1"/>
    <col min="7435" max="7440" width="8.25" style="161" customWidth="1"/>
    <col min="7441" max="7441" width="8.625" style="161" bestFit="1" customWidth="1"/>
    <col min="7442" max="7442" width="9.375" style="161" bestFit="1" customWidth="1"/>
    <col min="7443" max="7443" width="3.625" style="161" customWidth="1"/>
    <col min="7444" max="7445" width="9" style="161"/>
    <col min="7446" max="7446" width="2.625" style="161" customWidth="1"/>
    <col min="7447" max="7672" width="9" style="161"/>
    <col min="7673" max="7673" width="16.375" style="161" bestFit="1" customWidth="1"/>
    <col min="7674" max="7674" width="7.5" style="161" bestFit="1" customWidth="1"/>
    <col min="7675" max="7677" width="8.625" style="161" customWidth="1"/>
    <col min="7678" max="7678" width="2.625" style="161" customWidth="1"/>
    <col min="7679" max="7679" width="3.75" style="161" customWidth="1"/>
    <col min="7680" max="7680" width="8.5" style="161" bestFit="1" customWidth="1"/>
    <col min="7681" max="7681" width="9" style="161" bestFit="1" customWidth="1"/>
    <col min="7682" max="7682" width="3.625" style="161" customWidth="1"/>
    <col min="7683" max="7684" width="9" style="161"/>
    <col min="7685" max="7687" width="2.625" style="161" customWidth="1"/>
    <col min="7688" max="7688" width="3.75" style="161" customWidth="1"/>
    <col min="7689" max="7689" width="8.25" style="161" customWidth="1"/>
    <col min="7690" max="7690" width="9.125" style="161" customWidth="1"/>
    <col min="7691" max="7696" width="8.25" style="161" customWidth="1"/>
    <col min="7697" max="7697" width="8.625" style="161" bestFit="1" customWidth="1"/>
    <col min="7698" max="7698" width="9.375" style="161" bestFit="1" customWidth="1"/>
    <col min="7699" max="7699" width="3.625" style="161" customWidth="1"/>
    <col min="7700" max="7701" width="9" style="161"/>
    <col min="7702" max="7702" width="2.625" style="161" customWidth="1"/>
    <col min="7703" max="7928" width="9" style="161"/>
    <col min="7929" max="7929" width="16.375" style="161" bestFit="1" customWidth="1"/>
    <col min="7930" max="7930" width="7.5" style="161" bestFit="1" customWidth="1"/>
    <col min="7931" max="7933" width="8.625" style="161" customWidth="1"/>
    <col min="7934" max="7934" width="2.625" style="161" customWidth="1"/>
    <col min="7935" max="7935" width="3.75" style="161" customWidth="1"/>
    <col min="7936" max="7936" width="8.5" style="161" bestFit="1" customWidth="1"/>
    <col min="7937" max="7937" width="9" style="161" bestFit="1" customWidth="1"/>
    <col min="7938" max="7938" width="3.625" style="161" customWidth="1"/>
    <col min="7939" max="7940" width="9" style="161"/>
    <col min="7941" max="7943" width="2.625" style="161" customWidth="1"/>
    <col min="7944" max="7944" width="3.75" style="161" customWidth="1"/>
    <col min="7945" max="7945" width="8.25" style="161" customWidth="1"/>
    <col min="7946" max="7946" width="9.125" style="161" customWidth="1"/>
    <col min="7947" max="7952" width="8.25" style="161" customWidth="1"/>
    <col min="7953" max="7953" width="8.625" style="161" bestFit="1" customWidth="1"/>
    <col min="7954" max="7954" width="9.375" style="161" bestFit="1" customWidth="1"/>
    <col min="7955" max="7955" width="3.625" style="161" customWidth="1"/>
    <col min="7956" max="7957" width="9" style="161"/>
    <col min="7958" max="7958" width="2.625" style="161" customWidth="1"/>
    <col min="7959" max="8184" width="9" style="161"/>
    <col min="8185" max="8185" width="16.375" style="161" bestFit="1" customWidth="1"/>
    <col min="8186" max="8186" width="7.5" style="161" bestFit="1" customWidth="1"/>
    <col min="8187" max="8189" width="8.625" style="161" customWidth="1"/>
    <col min="8190" max="8190" width="2.625" style="161" customWidth="1"/>
    <col min="8191" max="8191" width="3.75" style="161" customWidth="1"/>
    <col min="8192" max="8192" width="8.5" style="161" bestFit="1" customWidth="1"/>
    <col min="8193" max="8193" width="9" style="161" bestFit="1" customWidth="1"/>
    <col min="8194" max="8194" width="3.625" style="161" customWidth="1"/>
    <col min="8195" max="8196" width="9" style="161"/>
    <col min="8197" max="8199" width="2.625" style="161" customWidth="1"/>
    <col min="8200" max="8200" width="3.75" style="161" customWidth="1"/>
    <col min="8201" max="8201" width="8.25" style="161" customWidth="1"/>
    <col min="8202" max="8202" width="9.125" style="161" customWidth="1"/>
    <col min="8203" max="8208" width="8.25" style="161" customWidth="1"/>
    <col min="8209" max="8209" width="8.625" style="161" bestFit="1" customWidth="1"/>
    <col min="8210" max="8210" width="9.375" style="161" bestFit="1" customWidth="1"/>
    <col min="8211" max="8211" width="3.625" style="161" customWidth="1"/>
    <col min="8212" max="8213" width="9" style="161"/>
    <col min="8214" max="8214" width="2.625" style="161" customWidth="1"/>
    <col min="8215" max="8440" width="9" style="161"/>
    <col min="8441" max="8441" width="16.375" style="161" bestFit="1" customWidth="1"/>
    <col min="8442" max="8442" width="7.5" style="161" bestFit="1" customWidth="1"/>
    <col min="8443" max="8445" width="8.625" style="161" customWidth="1"/>
    <col min="8446" max="8446" width="2.625" style="161" customWidth="1"/>
    <col min="8447" max="8447" width="3.75" style="161" customWidth="1"/>
    <col min="8448" max="8448" width="8.5" style="161" bestFit="1" customWidth="1"/>
    <col min="8449" max="8449" width="9" style="161" bestFit="1" customWidth="1"/>
    <col min="8450" max="8450" width="3.625" style="161" customWidth="1"/>
    <col min="8451" max="8452" width="9" style="161"/>
    <col min="8453" max="8455" width="2.625" style="161" customWidth="1"/>
    <col min="8456" max="8456" width="3.75" style="161" customWidth="1"/>
    <col min="8457" max="8457" width="8.25" style="161" customWidth="1"/>
    <col min="8458" max="8458" width="9.125" style="161" customWidth="1"/>
    <col min="8459" max="8464" width="8.25" style="161" customWidth="1"/>
    <col min="8465" max="8465" width="8.625" style="161" bestFit="1" customWidth="1"/>
    <col min="8466" max="8466" width="9.375" style="161" bestFit="1" customWidth="1"/>
    <col min="8467" max="8467" width="3.625" style="161" customWidth="1"/>
    <col min="8468" max="8469" width="9" style="161"/>
    <col min="8470" max="8470" width="2.625" style="161" customWidth="1"/>
    <col min="8471" max="8696" width="9" style="161"/>
    <col min="8697" max="8697" width="16.375" style="161" bestFit="1" customWidth="1"/>
    <col min="8698" max="8698" width="7.5" style="161" bestFit="1" customWidth="1"/>
    <col min="8699" max="8701" width="8.625" style="161" customWidth="1"/>
    <col min="8702" max="8702" width="2.625" style="161" customWidth="1"/>
    <col min="8703" max="8703" width="3.75" style="161" customWidth="1"/>
    <col min="8704" max="8704" width="8.5" style="161" bestFit="1" customWidth="1"/>
    <col min="8705" max="8705" width="9" style="161" bestFit="1" customWidth="1"/>
    <col min="8706" max="8706" width="3.625" style="161" customWidth="1"/>
    <col min="8707" max="8708" width="9" style="161"/>
    <col min="8709" max="8711" width="2.625" style="161" customWidth="1"/>
    <col min="8712" max="8712" width="3.75" style="161" customWidth="1"/>
    <col min="8713" max="8713" width="8.25" style="161" customWidth="1"/>
    <col min="8714" max="8714" width="9.125" style="161" customWidth="1"/>
    <col min="8715" max="8720" width="8.25" style="161" customWidth="1"/>
    <col min="8721" max="8721" width="8.625" style="161" bestFit="1" customWidth="1"/>
    <col min="8722" max="8722" width="9.375" style="161" bestFit="1" customWidth="1"/>
    <col min="8723" max="8723" width="3.625" style="161" customWidth="1"/>
    <col min="8724" max="8725" width="9" style="161"/>
    <col min="8726" max="8726" width="2.625" style="161" customWidth="1"/>
    <col min="8727" max="8952" width="9" style="161"/>
    <col min="8953" max="8953" width="16.375" style="161" bestFit="1" customWidth="1"/>
    <col min="8954" max="8954" width="7.5" style="161" bestFit="1" customWidth="1"/>
    <col min="8955" max="8957" width="8.625" style="161" customWidth="1"/>
    <col min="8958" max="8958" width="2.625" style="161" customWidth="1"/>
    <col min="8959" max="8959" width="3.75" style="161" customWidth="1"/>
    <col min="8960" max="8960" width="8.5" style="161" bestFit="1" customWidth="1"/>
    <col min="8961" max="8961" width="9" style="161" bestFit="1" customWidth="1"/>
    <col min="8962" max="8962" width="3.625" style="161" customWidth="1"/>
    <col min="8963" max="8964" width="9" style="161"/>
    <col min="8965" max="8967" width="2.625" style="161" customWidth="1"/>
    <col min="8968" max="8968" width="3.75" style="161" customWidth="1"/>
    <col min="8969" max="8969" width="8.25" style="161" customWidth="1"/>
    <col min="8970" max="8970" width="9.125" style="161" customWidth="1"/>
    <col min="8971" max="8976" width="8.25" style="161" customWidth="1"/>
    <col min="8977" max="8977" width="8.625" style="161" bestFit="1" customWidth="1"/>
    <col min="8978" max="8978" width="9.375" style="161" bestFit="1" customWidth="1"/>
    <col min="8979" max="8979" width="3.625" style="161" customWidth="1"/>
    <col min="8980" max="8981" width="9" style="161"/>
    <col min="8982" max="8982" width="2.625" style="161" customWidth="1"/>
    <col min="8983" max="9208" width="9" style="161"/>
    <col min="9209" max="9209" width="16.375" style="161" bestFit="1" customWidth="1"/>
    <col min="9210" max="9210" width="7.5" style="161" bestFit="1" customWidth="1"/>
    <col min="9211" max="9213" width="8.625" style="161" customWidth="1"/>
    <col min="9214" max="9214" width="2.625" style="161" customWidth="1"/>
    <col min="9215" max="9215" width="3.75" style="161" customWidth="1"/>
    <col min="9216" max="9216" width="8.5" style="161" bestFit="1" customWidth="1"/>
    <col min="9217" max="9217" width="9" style="161" bestFit="1" customWidth="1"/>
    <col min="9218" max="9218" width="3.625" style="161" customWidth="1"/>
    <col min="9219" max="9220" width="9" style="161"/>
    <col min="9221" max="9223" width="2.625" style="161" customWidth="1"/>
    <col min="9224" max="9224" width="3.75" style="161" customWidth="1"/>
    <col min="9225" max="9225" width="8.25" style="161" customWidth="1"/>
    <col min="9226" max="9226" width="9.125" style="161" customWidth="1"/>
    <col min="9227" max="9232" width="8.25" style="161" customWidth="1"/>
    <col min="9233" max="9233" width="8.625" style="161" bestFit="1" customWidth="1"/>
    <col min="9234" max="9234" width="9.375" style="161" bestFit="1" customWidth="1"/>
    <col min="9235" max="9235" width="3.625" style="161" customWidth="1"/>
    <col min="9236" max="9237" width="9" style="161"/>
    <col min="9238" max="9238" width="2.625" style="161" customWidth="1"/>
    <col min="9239" max="9464" width="9" style="161"/>
    <col min="9465" max="9465" width="16.375" style="161" bestFit="1" customWidth="1"/>
    <col min="9466" max="9466" width="7.5" style="161" bestFit="1" customWidth="1"/>
    <col min="9467" max="9469" width="8.625" style="161" customWidth="1"/>
    <col min="9470" max="9470" width="2.625" style="161" customWidth="1"/>
    <col min="9471" max="9471" width="3.75" style="161" customWidth="1"/>
    <col min="9472" max="9472" width="8.5" style="161" bestFit="1" customWidth="1"/>
    <col min="9473" max="9473" width="9" style="161" bestFit="1" customWidth="1"/>
    <col min="9474" max="9474" width="3.625" style="161" customWidth="1"/>
    <col min="9475" max="9476" width="9" style="161"/>
    <col min="9477" max="9479" width="2.625" style="161" customWidth="1"/>
    <col min="9480" max="9480" width="3.75" style="161" customWidth="1"/>
    <col min="9481" max="9481" width="8.25" style="161" customWidth="1"/>
    <col min="9482" max="9482" width="9.125" style="161" customWidth="1"/>
    <col min="9483" max="9488" width="8.25" style="161" customWidth="1"/>
    <col min="9489" max="9489" width="8.625" style="161" bestFit="1" customWidth="1"/>
    <col min="9490" max="9490" width="9.375" style="161" bestFit="1" customWidth="1"/>
    <col min="9491" max="9491" width="3.625" style="161" customWidth="1"/>
    <col min="9492" max="9493" width="9" style="161"/>
    <col min="9494" max="9494" width="2.625" style="161" customWidth="1"/>
    <col min="9495" max="9720" width="9" style="161"/>
    <col min="9721" max="9721" width="16.375" style="161" bestFit="1" customWidth="1"/>
    <col min="9722" max="9722" width="7.5" style="161" bestFit="1" customWidth="1"/>
    <col min="9723" max="9725" width="8.625" style="161" customWidth="1"/>
    <col min="9726" max="9726" width="2.625" style="161" customWidth="1"/>
    <col min="9727" max="9727" width="3.75" style="161" customWidth="1"/>
    <col min="9728" max="9728" width="8.5" style="161" bestFit="1" customWidth="1"/>
    <col min="9729" max="9729" width="9" style="161" bestFit="1" customWidth="1"/>
    <col min="9730" max="9730" width="3.625" style="161" customWidth="1"/>
    <col min="9731" max="9732" width="9" style="161"/>
    <col min="9733" max="9735" width="2.625" style="161" customWidth="1"/>
    <col min="9736" max="9736" width="3.75" style="161" customWidth="1"/>
    <col min="9737" max="9737" width="8.25" style="161" customWidth="1"/>
    <col min="9738" max="9738" width="9.125" style="161" customWidth="1"/>
    <col min="9739" max="9744" width="8.25" style="161" customWidth="1"/>
    <col min="9745" max="9745" width="8.625" style="161" bestFit="1" customWidth="1"/>
    <col min="9746" max="9746" width="9.375" style="161" bestFit="1" customWidth="1"/>
    <col min="9747" max="9747" width="3.625" style="161" customWidth="1"/>
    <col min="9748" max="9749" width="9" style="161"/>
    <col min="9750" max="9750" width="2.625" style="161" customWidth="1"/>
    <col min="9751" max="9976" width="9" style="161"/>
    <col min="9977" max="9977" width="16.375" style="161" bestFit="1" customWidth="1"/>
    <col min="9978" max="9978" width="7.5" style="161" bestFit="1" customWidth="1"/>
    <col min="9979" max="9981" width="8.625" style="161" customWidth="1"/>
    <col min="9982" max="9982" width="2.625" style="161" customWidth="1"/>
    <col min="9983" max="9983" width="3.75" style="161" customWidth="1"/>
    <col min="9984" max="9984" width="8.5" style="161" bestFit="1" customWidth="1"/>
    <col min="9985" max="9985" width="9" style="161" bestFit="1" customWidth="1"/>
    <col min="9986" max="9986" width="3.625" style="161" customWidth="1"/>
    <col min="9987" max="9988" width="9" style="161"/>
    <col min="9989" max="9991" width="2.625" style="161" customWidth="1"/>
    <col min="9992" max="9992" width="3.75" style="161" customWidth="1"/>
    <col min="9993" max="9993" width="8.25" style="161" customWidth="1"/>
    <col min="9994" max="9994" width="9.125" style="161" customWidth="1"/>
    <col min="9995" max="10000" width="8.25" style="161" customWidth="1"/>
    <col min="10001" max="10001" width="8.625" style="161" bestFit="1" customWidth="1"/>
    <col min="10002" max="10002" width="9.375" style="161" bestFit="1" customWidth="1"/>
    <col min="10003" max="10003" width="3.625" style="161" customWidth="1"/>
    <col min="10004" max="10005" width="9" style="161"/>
    <col min="10006" max="10006" width="2.625" style="161" customWidth="1"/>
    <col min="10007" max="10232" width="9" style="161"/>
    <col min="10233" max="10233" width="16.375" style="161" bestFit="1" customWidth="1"/>
    <col min="10234" max="10234" width="7.5" style="161" bestFit="1" customWidth="1"/>
    <col min="10235" max="10237" width="8.625" style="161" customWidth="1"/>
    <col min="10238" max="10238" width="2.625" style="161" customWidth="1"/>
    <col min="10239" max="10239" width="3.75" style="161" customWidth="1"/>
    <col min="10240" max="10240" width="8.5" style="161" bestFit="1" customWidth="1"/>
    <col min="10241" max="10241" width="9" style="161" bestFit="1" customWidth="1"/>
    <col min="10242" max="10242" width="3.625" style="161" customWidth="1"/>
    <col min="10243" max="10244" width="9" style="161"/>
    <col min="10245" max="10247" width="2.625" style="161" customWidth="1"/>
    <col min="10248" max="10248" width="3.75" style="161" customWidth="1"/>
    <col min="10249" max="10249" width="8.25" style="161" customWidth="1"/>
    <col min="10250" max="10250" width="9.125" style="161" customWidth="1"/>
    <col min="10251" max="10256" width="8.25" style="161" customWidth="1"/>
    <col min="10257" max="10257" width="8.625" style="161" bestFit="1" customWidth="1"/>
    <col min="10258" max="10258" width="9.375" style="161" bestFit="1" customWidth="1"/>
    <col min="10259" max="10259" width="3.625" style="161" customWidth="1"/>
    <col min="10260" max="10261" width="9" style="161"/>
    <col min="10262" max="10262" width="2.625" style="161" customWidth="1"/>
    <col min="10263" max="10488" width="9" style="161"/>
    <col min="10489" max="10489" width="16.375" style="161" bestFit="1" customWidth="1"/>
    <col min="10490" max="10490" width="7.5" style="161" bestFit="1" customWidth="1"/>
    <col min="10491" max="10493" width="8.625" style="161" customWidth="1"/>
    <col min="10494" max="10494" width="2.625" style="161" customWidth="1"/>
    <col min="10495" max="10495" width="3.75" style="161" customWidth="1"/>
    <col min="10496" max="10496" width="8.5" style="161" bestFit="1" customWidth="1"/>
    <col min="10497" max="10497" width="9" style="161" bestFit="1" customWidth="1"/>
    <col min="10498" max="10498" width="3.625" style="161" customWidth="1"/>
    <col min="10499" max="10500" width="9" style="161"/>
    <col min="10501" max="10503" width="2.625" style="161" customWidth="1"/>
    <col min="10504" max="10504" width="3.75" style="161" customWidth="1"/>
    <col min="10505" max="10505" width="8.25" style="161" customWidth="1"/>
    <col min="10506" max="10506" width="9.125" style="161" customWidth="1"/>
    <col min="10507" max="10512" width="8.25" style="161" customWidth="1"/>
    <col min="10513" max="10513" width="8.625" style="161" bestFit="1" customWidth="1"/>
    <col min="10514" max="10514" width="9.375" style="161" bestFit="1" customWidth="1"/>
    <col min="10515" max="10515" width="3.625" style="161" customWidth="1"/>
    <col min="10516" max="10517" width="9" style="161"/>
    <col min="10518" max="10518" width="2.625" style="161" customWidth="1"/>
    <col min="10519" max="10744" width="9" style="161"/>
    <col min="10745" max="10745" width="16.375" style="161" bestFit="1" customWidth="1"/>
    <col min="10746" max="10746" width="7.5" style="161" bestFit="1" customWidth="1"/>
    <col min="10747" max="10749" width="8.625" style="161" customWidth="1"/>
    <col min="10750" max="10750" width="2.625" style="161" customWidth="1"/>
    <col min="10751" max="10751" width="3.75" style="161" customWidth="1"/>
    <col min="10752" max="10752" width="8.5" style="161" bestFit="1" customWidth="1"/>
    <col min="10753" max="10753" width="9" style="161" bestFit="1" customWidth="1"/>
    <col min="10754" max="10754" width="3.625" style="161" customWidth="1"/>
    <col min="10755" max="10756" width="9" style="161"/>
    <col min="10757" max="10759" width="2.625" style="161" customWidth="1"/>
    <col min="10760" max="10760" width="3.75" style="161" customWidth="1"/>
    <col min="10761" max="10761" width="8.25" style="161" customWidth="1"/>
    <col min="10762" max="10762" width="9.125" style="161" customWidth="1"/>
    <col min="10763" max="10768" width="8.25" style="161" customWidth="1"/>
    <col min="10769" max="10769" width="8.625" style="161" bestFit="1" customWidth="1"/>
    <col min="10770" max="10770" width="9.375" style="161" bestFit="1" customWidth="1"/>
    <col min="10771" max="10771" width="3.625" style="161" customWidth="1"/>
    <col min="10772" max="10773" width="9" style="161"/>
    <col min="10774" max="10774" width="2.625" style="161" customWidth="1"/>
    <col min="10775" max="11000" width="9" style="161"/>
    <col min="11001" max="11001" width="16.375" style="161" bestFit="1" customWidth="1"/>
    <col min="11002" max="11002" width="7.5" style="161" bestFit="1" customWidth="1"/>
    <col min="11003" max="11005" width="8.625" style="161" customWidth="1"/>
    <col min="11006" max="11006" width="2.625" style="161" customWidth="1"/>
    <col min="11007" max="11007" width="3.75" style="161" customWidth="1"/>
    <col min="11008" max="11008" width="8.5" style="161" bestFit="1" customWidth="1"/>
    <col min="11009" max="11009" width="9" style="161" bestFit="1" customWidth="1"/>
    <col min="11010" max="11010" width="3.625" style="161" customWidth="1"/>
    <col min="11011" max="11012" width="9" style="161"/>
    <col min="11013" max="11015" width="2.625" style="161" customWidth="1"/>
    <col min="11016" max="11016" width="3.75" style="161" customWidth="1"/>
    <col min="11017" max="11017" width="8.25" style="161" customWidth="1"/>
    <col min="11018" max="11018" width="9.125" style="161" customWidth="1"/>
    <col min="11019" max="11024" width="8.25" style="161" customWidth="1"/>
    <col min="11025" max="11025" width="8.625" style="161" bestFit="1" customWidth="1"/>
    <col min="11026" max="11026" width="9.375" style="161" bestFit="1" customWidth="1"/>
    <col min="11027" max="11027" width="3.625" style="161" customWidth="1"/>
    <col min="11028" max="11029" width="9" style="161"/>
    <col min="11030" max="11030" width="2.625" style="161" customWidth="1"/>
    <col min="11031" max="11256" width="9" style="161"/>
    <col min="11257" max="11257" width="16.375" style="161" bestFit="1" customWidth="1"/>
    <col min="11258" max="11258" width="7.5" style="161" bestFit="1" customWidth="1"/>
    <col min="11259" max="11261" width="8.625" style="161" customWidth="1"/>
    <col min="11262" max="11262" width="2.625" style="161" customWidth="1"/>
    <col min="11263" max="11263" width="3.75" style="161" customWidth="1"/>
    <col min="11264" max="11264" width="8.5" style="161" bestFit="1" customWidth="1"/>
    <col min="11265" max="11265" width="9" style="161" bestFit="1" customWidth="1"/>
    <col min="11266" max="11266" width="3.625" style="161" customWidth="1"/>
    <col min="11267" max="11268" width="9" style="161"/>
    <col min="11269" max="11271" width="2.625" style="161" customWidth="1"/>
    <col min="11272" max="11272" width="3.75" style="161" customWidth="1"/>
    <col min="11273" max="11273" width="8.25" style="161" customWidth="1"/>
    <col min="11274" max="11274" width="9.125" style="161" customWidth="1"/>
    <col min="11275" max="11280" width="8.25" style="161" customWidth="1"/>
    <col min="11281" max="11281" width="8.625" style="161" bestFit="1" customWidth="1"/>
    <col min="11282" max="11282" width="9.375" style="161" bestFit="1" customWidth="1"/>
    <col min="11283" max="11283" width="3.625" style="161" customWidth="1"/>
    <col min="11284" max="11285" width="9" style="161"/>
    <col min="11286" max="11286" width="2.625" style="161" customWidth="1"/>
    <col min="11287" max="11512" width="9" style="161"/>
    <col min="11513" max="11513" width="16.375" style="161" bestFit="1" customWidth="1"/>
    <col min="11514" max="11514" width="7.5" style="161" bestFit="1" customWidth="1"/>
    <col min="11515" max="11517" width="8.625" style="161" customWidth="1"/>
    <col min="11518" max="11518" width="2.625" style="161" customWidth="1"/>
    <col min="11519" max="11519" width="3.75" style="161" customWidth="1"/>
    <col min="11520" max="11520" width="8.5" style="161" bestFit="1" customWidth="1"/>
    <col min="11521" max="11521" width="9" style="161" bestFit="1" customWidth="1"/>
    <col min="11522" max="11522" width="3.625" style="161" customWidth="1"/>
    <col min="11523" max="11524" width="9" style="161"/>
    <col min="11525" max="11527" width="2.625" style="161" customWidth="1"/>
    <col min="11528" max="11528" width="3.75" style="161" customWidth="1"/>
    <col min="11529" max="11529" width="8.25" style="161" customWidth="1"/>
    <col min="11530" max="11530" width="9.125" style="161" customWidth="1"/>
    <col min="11531" max="11536" width="8.25" style="161" customWidth="1"/>
    <col min="11537" max="11537" width="8.625" style="161" bestFit="1" customWidth="1"/>
    <col min="11538" max="11538" width="9.375" style="161" bestFit="1" customWidth="1"/>
    <col min="11539" max="11539" width="3.625" style="161" customWidth="1"/>
    <col min="11540" max="11541" width="9" style="161"/>
    <col min="11542" max="11542" width="2.625" style="161" customWidth="1"/>
    <col min="11543" max="11768" width="9" style="161"/>
    <col min="11769" max="11769" width="16.375" style="161" bestFit="1" customWidth="1"/>
    <col min="11770" max="11770" width="7.5" style="161" bestFit="1" customWidth="1"/>
    <col min="11771" max="11773" width="8.625" style="161" customWidth="1"/>
    <col min="11774" max="11774" width="2.625" style="161" customWidth="1"/>
    <col min="11775" max="11775" width="3.75" style="161" customWidth="1"/>
    <col min="11776" max="11776" width="8.5" style="161" bestFit="1" customWidth="1"/>
    <col min="11777" max="11777" width="9" style="161" bestFit="1" customWidth="1"/>
    <col min="11778" max="11778" width="3.625" style="161" customWidth="1"/>
    <col min="11779" max="11780" width="9" style="161"/>
    <col min="11781" max="11783" width="2.625" style="161" customWidth="1"/>
    <col min="11784" max="11784" width="3.75" style="161" customWidth="1"/>
    <col min="11785" max="11785" width="8.25" style="161" customWidth="1"/>
    <col min="11786" max="11786" width="9.125" style="161" customWidth="1"/>
    <col min="11787" max="11792" width="8.25" style="161" customWidth="1"/>
    <col min="11793" max="11793" width="8.625" style="161" bestFit="1" customWidth="1"/>
    <col min="11794" max="11794" width="9.375" style="161" bestFit="1" customWidth="1"/>
    <col min="11795" max="11795" width="3.625" style="161" customWidth="1"/>
    <col min="11796" max="11797" width="9" style="161"/>
    <col min="11798" max="11798" width="2.625" style="161" customWidth="1"/>
    <col min="11799" max="12024" width="9" style="161"/>
    <col min="12025" max="12025" width="16.375" style="161" bestFit="1" customWidth="1"/>
    <col min="12026" max="12026" width="7.5" style="161" bestFit="1" customWidth="1"/>
    <col min="12027" max="12029" width="8.625" style="161" customWidth="1"/>
    <col min="12030" max="12030" width="2.625" style="161" customWidth="1"/>
    <col min="12031" max="12031" width="3.75" style="161" customWidth="1"/>
    <col min="12032" max="12032" width="8.5" style="161" bestFit="1" customWidth="1"/>
    <col min="12033" max="12033" width="9" style="161" bestFit="1" customWidth="1"/>
    <col min="12034" max="12034" width="3.625" style="161" customWidth="1"/>
    <col min="12035" max="12036" width="9" style="161"/>
    <col min="12037" max="12039" width="2.625" style="161" customWidth="1"/>
    <col min="12040" max="12040" width="3.75" style="161" customWidth="1"/>
    <col min="12041" max="12041" width="8.25" style="161" customWidth="1"/>
    <col min="12042" max="12042" width="9.125" style="161" customWidth="1"/>
    <col min="12043" max="12048" width="8.25" style="161" customWidth="1"/>
    <col min="12049" max="12049" width="8.625" style="161" bestFit="1" customWidth="1"/>
    <col min="12050" max="12050" width="9.375" style="161" bestFit="1" customWidth="1"/>
    <col min="12051" max="12051" width="3.625" style="161" customWidth="1"/>
    <col min="12052" max="12053" width="9" style="161"/>
    <col min="12054" max="12054" width="2.625" style="161" customWidth="1"/>
    <col min="12055" max="12280" width="9" style="161"/>
    <col min="12281" max="12281" width="16.375" style="161" bestFit="1" customWidth="1"/>
    <col min="12282" max="12282" width="7.5" style="161" bestFit="1" customWidth="1"/>
    <col min="12283" max="12285" width="8.625" style="161" customWidth="1"/>
    <col min="12286" max="12286" width="2.625" style="161" customWidth="1"/>
    <col min="12287" max="12287" width="3.75" style="161" customWidth="1"/>
    <col min="12288" max="12288" width="8.5" style="161" bestFit="1" customWidth="1"/>
    <col min="12289" max="12289" width="9" style="161" bestFit="1" customWidth="1"/>
    <col min="12290" max="12290" width="3.625" style="161" customWidth="1"/>
    <col min="12291" max="12292" width="9" style="161"/>
    <col min="12293" max="12295" width="2.625" style="161" customWidth="1"/>
    <col min="12296" max="12296" width="3.75" style="161" customWidth="1"/>
    <col min="12297" max="12297" width="8.25" style="161" customWidth="1"/>
    <col min="12298" max="12298" width="9.125" style="161" customWidth="1"/>
    <col min="12299" max="12304" width="8.25" style="161" customWidth="1"/>
    <col min="12305" max="12305" width="8.625" style="161" bestFit="1" customWidth="1"/>
    <col min="12306" max="12306" width="9.375" style="161" bestFit="1" customWidth="1"/>
    <col min="12307" max="12307" width="3.625" style="161" customWidth="1"/>
    <col min="12308" max="12309" width="9" style="161"/>
    <col min="12310" max="12310" width="2.625" style="161" customWidth="1"/>
    <col min="12311" max="12536" width="9" style="161"/>
    <col min="12537" max="12537" width="16.375" style="161" bestFit="1" customWidth="1"/>
    <col min="12538" max="12538" width="7.5" style="161" bestFit="1" customWidth="1"/>
    <col min="12539" max="12541" width="8.625" style="161" customWidth="1"/>
    <col min="12542" max="12542" width="2.625" style="161" customWidth="1"/>
    <col min="12543" max="12543" width="3.75" style="161" customWidth="1"/>
    <col min="12544" max="12544" width="8.5" style="161" bestFit="1" customWidth="1"/>
    <col min="12545" max="12545" width="9" style="161" bestFit="1" customWidth="1"/>
    <col min="12546" max="12546" width="3.625" style="161" customWidth="1"/>
    <col min="12547" max="12548" width="9" style="161"/>
    <col min="12549" max="12551" width="2.625" style="161" customWidth="1"/>
    <col min="12552" max="12552" width="3.75" style="161" customWidth="1"/>
    <col min="12553" max="12553" width="8.25" style="161" customWidth="1"/>
    <col min="12554" max="12554" width="9.125" style="161" customWidth="1"/>
    <col min="12555" max="12560" width="8.25" style="161" customWidth="1"/>
    <col min="12561" max="12561" width="8.625" style="161" bestFit="1" customWidth="1"/>
    <col min="12562" max="12562" width="9.375" style="161" bestFit="1" customWidth="1"/>
    <col min="12563" max="12563" width="3.625" style="161" customWidth="1"/>
    <col min="12564" max="12565" width="9" style="161"/>
    <col min="12566" max="12566" width="2.625" style="161" customWidth="1"/>
    <col min="12567" max="12792" width="9" style="161"/>
    <col min="12793" max="12793" width="16.375" style="161" bestFit="1" customWidth="1"/>
    <col min="12794" max="12794" width="7.5" style="161" bestFit="1" customWidth="1"/>
    <col min="12795" max="12797" width="8.625" style="161" customWidth="1"/>
    <col min="12798" max="12798" width="2.625" style="161" customWidth="1"/>
    <col min="12799" max="12799" width="3.75" style="161" customWidth="1"/>
    <col min="12800" max="12800" width="8.5" style="161" bestFit="1" customWidth="1"/>
    <col min="12801" max="12801" width="9" style="161" bestFit="1" customWidth="1"/>
    <col min="12802" max="12802" width="3.625" style="161" customWidth="1"/>
    <col min="12803" max="12804" width="9" style="161"/>
    <col min="12805" max="12807" width="2.625" style="161" customWidth="1"/>
    <col min="12808" max="12808" width="3.75" style="161" customWidth="1"/>
    <col min="12809" max="12809" width="8.25" style="161" customWidth="1"/>
    <col min="12810" max="12810" width="9.125" style="161" customWidth="1"/>
    <col min="12811" max="12816" width="8.25" style="161" customWidth="1"/>
    <col min="12817" max="12817" width="8.625" style="161" bestFit="1" customWidth="1"/>
    <col min="12818" max="12818" width="9.375" style="161" bestFit="1" customWidth="1"/>
    <col min="12819" max="12819" width="3.625" style="161" customWidth="1"/>
    <col min="12820" max="12821" width="9" style="161"/>
    <col min="12822" max="12822" width="2.625" style="161" customWidth="1"/>
    <col min="12823" max="13048" width="9" style="161"/>
    <col min="13049" max="13049" width="16.375" style="161" bestFit="1" customWidth="1"/>
    <col min="13050" max="13050" width="7.5" style="161" bestFit="1" customWidth="1"/>
    <col min="13051" max="13053" width="8.625" style="161" customWidth="1"/>
    <col min="13054" max="13054" width="2.625" style="161" customWidth="1"/>
    <col min="13055" max="13055" width="3.75" style="161" customWidth="1"/>
    <col min="13056" max="13056" width="8.5" style="161" bestFit="1" customWidth="1"/>
    <col min="13057" max="13057" width="9" style="161" bestFit="1" customWidth="1"/>
    <col min="13058" max="13058" width="3.625" style="161" customWidth="1"/>
    <col min="13059" max="13060" width="9" style="161"/>
    <col min="13061" max="13063" width="2.625" style="161" customWidth="1"/>
    <col min="13064" max="13064" width="3.75" style="161" customWidth="1"/>
    <col min="13065" max="13065" width="8.25" style="161" customWidth="1"/>
    <col min="13066" max="13066" width="9.125" style="161" customWidth="1"/>
    <col min="13067" max="13072" width="8.25" style="161" customWidth="1"/>
    <col min="13073" max="13073" width="8.625" style="161" bestFit="1" customWidth="1"/>
    <col min="13074" max="13074" width="9.375" style="161" bestFit="1" customWidth="1"/>
    <col min="13075" max="13075" width="3.625" style="161" customWidth="1"/>
    <col min="13076" max="13077" width="9" style="161"/>
    <col min="13078" max="13078" width="2.625" style="161" customWidth="1"/>
    <col min="13079" max="13304" width="9" style="161"/>
    <col min="13305" max="13305" width="16.375" style="161" bestFit="1" customWidth="1"/>
    <col min="13306" max="13306" width="7.5" style="161" bestFit="1" customWidth="1"/>
    <col min="13307" max="13309" width="8.625" style="161" customWidth="1"/>
    <col min="13310" max="13310" width="2.625" style="161" customWidth="1"/>
    <col min="13311" max="13311" width="3.75" style="161" customWidth="1"/>
    <col min="13312" max="13312" width="8.5" style="161" bestFit="1" customWidth="1"/>
    <col min="13313" max="13313" width="9" style="161" bestFit="1" customWidth="1"/>
    <col min="13314" max="13314" width="3.625" style="161" customWidth="1"/>
    <col min="13315" max="13316" width="9" style="161"/>
    <col min="13317" max="13319" width="2.625" style="161" customWidth="1"/>
    <col min="13320" max="13320" width="3.75" style="161" customWidth="1"/>
    <col min="13321" max="13321" width="8.25" style="161" customWidth="1"/>
    <col min="13322" max="13322" width="9.125" style="161" customWidth="1"/>
    <col min="13323" max="13328" width="8.25" style="161" customWidth="1"/>
    <col min="13329" max="13329" width="8.625" style="161" bestFit="1" customWidth="1"/>
    <col min="13330" max="13330" width="9.375" style="161" bestFit="1" customWidth="1"/>
    <col min="13331" max="13331" width="3.625" style="161" customWidth="1"/>
    <col min="13332" max="13333" width="9" style="161"/>
    <col min="13334" max="13334" width="2.625" style="161" customWidth="1"/>
    <col min="13335" max="13560" width="9" style="161"/>
    <col min="13561" max="13561" width="16.375" style="161" bestFit="1" customWidth="1"/>
    <col min="13562" max="13562" width="7.5" style="161" bestFit="1" customWidth="1"/>
    <col min="13563" max="13565" width="8.625" style="161" customWidth="1"/>
    <col min="13566" max="13566" width="2.625" style="161" customWidth="1"/>
    <col min="13567" max="13567" width="3.75" style="161" customWidth="1"/>
    <col min="13568" max="13568" width="8.5" style="161" bestFit="1" customWidth="1"/>
    <col min="13569" max="13569" width="9" style="161" bestFit="1" customWidth="1"/>
    <col min="13570" max="13570" width="3.625" style="161" customWidth="1"/>
    <col min="13571" max="13572" width="9" style="161"/>
    <col min="13573" max="13575" width="2.625" style="161" customWidth="1"/>
    <col min="13576" max="13576" width="3.75" style="161" customWidth="1"/>
    <col min="13577" max="13577" width="8.25" style="161" customWidth="1"/>
    <col min="13578" max="13578" width="9.125" style="161" customWidth="1"/>
    <col min="13579" max="13584" width="8.25" style="161" customWidth="1"/>
    <col min="13585" max="13585" width="8.625" style="161" bestFit="1" customWidth="1"/>
    <col min="13586" max="13586" width="9.375" style="161" bestFit="1" customWidth="1"/>
    <col min="13587" max="13587" width="3.625" style="161" customWidth="1"/>
    <col min="13588" max="13589" width="9" style="161"/>
    <col min="13590" max="13590" width="2.625" style="161" customWidth="1"/>
    <col min="13591" max="13816" width="9" style="161"/>
    <col min="13817" max="13817" width="16.375" style="161" bestFit="1" customWidth="1"/>
    <col min="13818" max="13818" width="7.5" style="161" bestFit="1" customWidth="1"/>
    <col min="13819" max="13821" width="8.625" style="161" customWidth="1"/>
    <col min="13822" max="13822" width="2.625" style="161" customWidth="1"/>
    <col min="13823" max="13823" width="3.75" style="161" customWidth="1"/>
    <col min="13824" max="13824" width="8.5" style="161" bestFit="1" customWidth="1"/>
    <col min="13825" max="13825" width="9" style="161" bestFit="1" customWidth="1"/>
    <col min="13826" max="13826" width="3.625" style="161" customWidth="1"/>
    <col min="13827" max="13828" width="9" style="161"/>
    <col min="13829" max="13831" width="2.625" style="161" customWidth="1"/>
    <col min="13832" max="13832" width="3.75" style="161" customWidth="1"/>
    <col min="13833" max="13833" width="8.25" style="161" customWidth="1"/>
    <col min="13834" max="13834" width="9.125" style="161" customWidth="1"/>
    <col min="13835" max="13840" width="8.25" style="161" customWidth="1"/>
    <col min="13841" max="13841" width="8.625" style="161" bestFit="1" customWidth="1"/>
    <col min="13842" max="13842" width="9.375" style="161" bestFit="1" customWidth="1"/>
    <col min="13843" max="13843" width="3.625" style="161" customWidth="1"/>
    <col min="13844" max="13845" width="9" style="161"/>
    <col min="13846" max="13846" width="2.625" style="161" customWidth="1"/>
    <col min="13847" max="14072" width="9" style="161"/>
    <col min="14073" max="14073" width="16.375" style="161" bestFit="1" customWidth="1"/>
    <col min="14074" max="14074" width="7.5" style="161" bestFit="1" customWidth="1"/>
    <col min="14075" max="14077" width="8.625" style="161" customWidth="1"/>
    <col min="14078" max="14078" width="2.625" style="161" customWidth="1"/>
    <col min="14079" max="14079" width="3.75" style="161" customWidth="1"/>
    <col min="14080" max="14080" width="8.5" style="161" bestFit="1" customWidth="1"/>
    <col min="14081" max="14081" width="9" style="161" bestFit="1" customWidth="1"/>
    <col min="14082" max="14082" width="3.625" style="161" customWidth="1"/>
    <col min="14083" max="14084" width="9" style="161"/>
    <col min="14085" max="14087" width="2.625" style="161" customWidth="1"/>
    <col min="14088" max="14088" width="3.75" style="161" customWidth="1"/>
    <col min="14089" max="14089" width="8.25" style="161" customWidth="1"/>
    <col min="14090" max="14090" width="9.125" style="161" customWidth="1"/>
    <col min="14091" max="14096" width="8.25" style="161" customWidth="1"/>
    <col min="14097" max="14097" width="8.625" style="161" bestFit="1" customWidth="1"/>
    <col min="14098" max="14098" width="9.375" style="161" bestFit="1" customWidth="1"/>
    <col min="14099" max="14099" width="3.625" style="161" customWidth="1"/>
    <col min="14100" max="14101" width="9" style="161"/>
    <col min="14102" max="14102" width="2.625" style="161" customWidth="1"/>
    <col min="14103" max="14328" width="9" style="161"/>
    <col min="14329" max="14329" width="16.375" style="161" bestFit="1" customWidth="1"/>
    <col min="14330" max="14330" width="7.5" style="161" bestFit="1" customWidth="1"/>
    <col min="14331" max="14333" width="8.625" style="161" customWidth="1"/>
    <col min="14334" max="14334" width="2.625" style="161" customWidth="1"/>
    <col min="14335" max="14335" width="3.75" style="161" customWidth="1"/>
    <col min="14336" max="14336" width="8.5" style="161" bestFit="1" customWidth="1"/>
    <col min="14337" max="14337" width="9" style="161" bestFit="1" customWidth="1"/>
    <col min="14338" max="14338" width="3.625" style="161" customWidth="1"/>
    <col min="14339" max="14340" width="9" style="161"/>
    <col min="14341" max="14343" width="2.625" style="161" customWidth="1"/>
    <col min="14344" max="14344" width="3.75" style="161" customWidth="1"/>
    <col min="14345" max="14345" width="8.25" style="161" customWidth="1"/>
    <col min="14346" max="14346" width="9.125" style="161" customWidth="1"/>
    <col min="14347" max="14352" width="8.25" style="161" customWidth="1"/>
    <col min="14353" max="14353" width="8.625" style="161" bestFit="1" customWidth="1"/>
    <col min="14354" max="14354" width="9.375" style="161" bestFit="1" customWidth="1"/>
    <col min="14355" max="14355" width="3.625" style="161" customWidth="1"/>
    <col min="14356" max="14357" width="9" style="161"/>
    <col min="14358" max="14358" width="2.625" style="161" customWidth="1"/>
    <col min="14359" max="14584" width="9" style="161"/>
    <col min="14585" max="14585" width="16.375" style="161" bestFit="1" customWidth="1"/>
    <col min="14586" max="14586" width="7.5" style="161" bestFit="1" customWidth="1"/>
    <col min="14587" max="14589" width="8.625" style="161" customWidth="1"/>
    <col min="14590" max="14590" width="2.625" style="161" customWidth="1"/>
    <col min="14591" max="14591" width="3.75" style="161" customWidth="1"/>
    <col min="14592" max="14592" width="8.5" style="161" bestFit="1" customWidth="1"/>
    <col min="14593" max="14593" width="9" style="161" bestFit="1" customWidth="1"/>
    <col min="14594" max="14594" width="3.625" style="161" customWidth="1"/>
    <col min="14595" max="14596" width="9" style="161"/>
    <col min="14597" max="14599" width="2.625" style="161" customWidth="1"/>
    <col min="14600" max="14600" width="3.75" style="161" customWidth="1"/>
    <col min="14601" max="14601" width="8.25" style="161" customWidth="1"/>
    <col min="14602" max="14602" width="9.125" style="161" customWidth="1"/>
    <col min="14603" max="14608" width="8.25" style="161" customWidth="1"/>
    <col min="14609" max="14609" width="8.625" style="161" bestFit="1" customWidth="1"/>
    <col min="14610" max="14610" width="9.375" style="161" bestFit="1" customWidth="1"/>
    <col min="14611" max="14611" width="3.625" style="161" customWidth="1"/>
    <col min="14612" max="14613" width="9" style="161"/>
    <col min="14614" max="14614" width="2.625" style="161" customWidth="1"/>
    <col min="14615" max="14840" width="9" style="161"/>
    <col min="14841" max="14841" width="16.375" style="161" bestFit="1" customWidth="1"/>
    <col min="14842" max="14842" width="7.5" style="161" bestFit="1" customWidth="1"/>
    <col min="14843" max="14845" width="8.625" style="161" customWidth="1"/>
    <col min="14846" max="14846" width="2.625" style="161" customWidth="1"/>
    <col min="14847" max="14847" width="3.75" style="161" customWidth="1"/>
    <col min="14848" max="14848" width="8.5" style="161" bestFit="1" customWidth="1"/>
    <col min="14849" max="14849" width="9" style="161" bestFit="1" customWidth="1"/>
    <col min="14850" max="14850" width="3.625" style="161" customWidth="1"/>
    <col min="14851" max="14852" width="9" style="161"/>
    <col min="14853" max="14855" width="2.625" style="161" customWidth="1"/>
    <col min="14856" max="14856" width="3.75" style="161" customWidth="1"/>
    <col min="14857" max="14857" width="8.25" style="161" customWidth="1"/>
    <col min="14858" max="14858" width="9.125" style="161" customWidth="1"/>
    <col min="14859" max="14864" width="8.25" style="161" customWidth="1"/>
    <col min="14865" max="14865" width="8.625" style="161" bestFit="1" customWidth="1"/>
    <col min="14866" max="14866" width="9.375" style="161" bestFit="1" customWidth="1"/>
    <col min="14867" max="14867" width="3.625" style="161" customWidth="1"/>
    <col min="14868" max="14869" width="9" style="161"/>
    <col min="14870" max="14870" width="2.625" style="161" customWidth="1"/>
    <col min="14871" max="15096" width="9" style="161"/>
    <col min="15097" max="15097" width="16.375" style="161" bestFit="1" customWidth="1"/>
    <col min="15098" max="15098" width="7.5" style="161" bestFit="1" customWidth="1"/>
    <col min="15099" max="15101" width="8.625" style="161" customWidth="1"/>
    <col min="15102" max="15102" width="2.625" style="161" customWidth="1"/>
    <col min="15103" max="15103" width="3.75" style="161" customWidth="1"/>
    <col min="15104" max="15104" width="8.5" style="161" bestFit="1" customWidth="1"/>
    <col min="15105" max="15105" width="9" style="161" bestFit="1" customWidth="1"/>
    <col min="15106" max="15106" width="3.625" style="161" customWidth="1"/>
    <col min="15107" max="15108" width="9" style="161"/>
    <col min="15109" max="15111" width="2.625" style="161" customWidth="1"/>
    <col min="15112" max="15112" width="3.75" style="161" customWidth="1"/>
    <col min="15113" max="15113" width="8.25" style="161" customWidth="1"/>
    <col min="15114" max="15114" width="9.125" style="161" customWidth="1"/>
    <col min="15115" max="15120" width="8.25" style="161" customWidth="1"/>
    <col min="15121" max="15121" width="8.625" style="161" bestFit="1" customWidth="1"/>
    <col min="15122" max="15122" width="9.375" style="161" bestFit="1" customWidth="1"/>
    <col min="15123" max="15123" width="3.625" style="161" customWidth="1"/>
    <col min="15124" max="15125" width="9" style="161"/>
    <col min="15126" max="15126" width="2.625" style="161" customWidth="1"/>
    <col min="15127" max="15352" width="9" style="161"/>
    <col min="15353" max="15353" width="16.375" style="161" bestFit="1" customWidth="1"/>
    <col min="15354" max="15354" width="7.5" style="161" bestFit="1" customWidth="1"/>
    <col min="15355" max="15357" width="8.625" style="161" customWidth="1"/>
    <col min="15358" max="15358" width="2.625" style="161" customWidth="1"/>
    <col min="15359" max="15359" width="3.75" style="161" customWidth="1"/>
    <col min="15360" max="15360" width="8.5" style="161" bestFit="1" customWidth="1"/>
    <col min="15361" max="15361" width="9" style="161" bestFit="1" customWidth="1"/>
    <col min="15362" max="15362" width="3.625" style="161" customWidth="1"/>
    <col min="15363" max="15364" width="9" style="161"/>
    <col min="15365" max="15367" width="2.625" style="161" customWidth="1"/>
    <col min="15368" max="15368" width="3.75" style="161" customWidth="1"/>
    <col min="15369" max="15369" width="8.25" style="161" customWidth="1"/>
    <col min="15370" max="15370" width="9.125" style="161" customWidth="1"/>
    <col min="15371" max="15376" width="8.25" style="161" customWidth="1"/>
    <col min="15377" max="15377" width="8.625" style="161" bestFit="1" customWidth="1"/>
    <col min="15378" max="15378" width="9.375" style="161" bestFit="1" customWidth="1"/>
    <col min="15379" max="15379" width="3.625" style="161" customWidth="1"/>
    <col min="15380" max="15381" width="9" style="161"/>
    <col min="15382" max="15382" width="2.625" style="161" customWidth="1"/>
    <col min="15383" max="15608" width="9" style="161"/>
    <col min="15609" max="15609" width="16.375" style="161" bestFit="1" customWidth="1"/>
    <col min="15610" max="15610" width="7.5" style="161" bestFit="1" customWidth="1"/>
    <col min="15611" max="15613" width="8.625" style="161" customWidth="1"/>
    <col min="15614" max="15614" width="2.625" style="161" customWidth="1"/>
    <col min="15615" max="15615" width="3.75" style="161" customWidth="1"/>
    <col min="15616" max="15616" width="8.5" style="161" bestFit="1" customWidth="1"/>
    <col min="15617" max="15617" width="9" style="161" bestFit="1" customWidth="1"/>
    <col min="15618" max="15618" width="3.625" style="161" customWidth="1"/>
    <col min="15619" max="15620" width="9" style="161"/>
    <col min="15621" max="15623" width="2.625" style="161" customWidth="1"/>
    <col min="15624" max="15624" width="3.75" style="161" customWidth="1"/>
    <col min="15625" max="15625" width="8.25" style="161" customWidth="1"/>
    <col min="15626" max="15626" width="9.125" style="161" customWidth="1"/>
    <col min="15627" max="15632" width="8.25" style="161" customWidth="1"/>
    <col min="15633" max="15633" width="8.625" style="161" bestFit="1" customWidth="1"/>
    <col min="15634" max="15634" width="9.375" style="161" bestFit="1" customWidth="1"/>
    <col min="15635" max="15635" width="3.625" style="161" customWidth="1"/>
    <col min="15636" max="15637" width="9" style="161"/>
    <col min="15638" max="15638" width="2.625" style="161" customWidth="1"/>
    <col min="15639" max="15864" width="9" style="161"/>
    <col min="15865" max="15865" width="16.375" style="161" bestFit="1" customWidth="1"/>
    <col min="15866" max="15866" width="7.5" style="161" bestFit="1" customWidth="1"/>
    <col min="15867" max="15869" width="8.625" style="161" customWidth="1"/>
    <col min="15870" max="15870" width="2.625" style="161" customWidth="1"/>
    <col min="15871" max="15871" width="3.75" style="161" customWidth="1"/>
    <col min="15872" max="15872" width="8.5" style="161" bestFit="1" customWidth="1"/>
    <col min="15873" max="15873" width="9" style="161" bestFit="1" customWidth="1"/>
    <col min="15874" max="15874" width="3.625" style="161" customWidth="1"/>
    <col min="15875" max="15876" width="9" style="161"/>
    <col min="15877" max="15879" width="2.625" style="161" customWidth="1"/>
    <col min="15880" max="15880" width="3.75" style="161" customWidth="1"/>
    <col min="15881" max="15881" width="8.25" style="161" customWidth="1"/>
    <col min="15882" max="15882" width="9.125" style="161" customWidth="1"/>
    <col min="15883" max="15888" width="8.25" style="161" customWidth="1"/>
    <col min="15889" max="15889" width="8.625" style="161" bestFit="1" customWidth="1"/>
    <col min="15890" max="15890" width="9.375" style="161" bestFit="1" customWidth="1"/>
    <col min="15891" max="15891" width="3.625" style="161" customWidth="1"/>
    <col min="15892" max="15893" width="9" style="161"/>
    <col min="15894" max="15894" width="2.625" style="161" customWidth="1"/>
    <col min="15895" max="16120" width="9" style="161"/>
    <col min="16121" max="16121" width="16.375" style="161" bestFit="1" customWidth="1"/>
    <col min="16122" max="16122" width="7.5" style="161" bestFit="1" customWidth="1"/>
    <col min="16123" max="16125" width="8.625" style="161" customWidth="1"/>
    <col min="16126" max="16126" width="2.625" style="161" customWidth="1"/>
    <col min="16127" max="16127" width="3.75" style="161" customWidth="1"/>
    <col min="16128" max="16128" width="8.5" style="161" bestFit="1" customWidth="1"/>
    <col min="16129" max="16129" width="9" style="161" bestFit="1" customWidth="1"/>
    <col min="16130" max="16130" width="3.625" style="161" customWidth="1"/>
    <col min="16131" max="16132" width="9" style="161"/>
    <col min="16133" max="16135" width="2.625" style="161" customWidth="1"/>
    <col min="16136" max="16136" width="3.75" style="161" customWidth="1"/>
    <col min="16137" max="16137" width="8.25" style="161" customWidth="1"/>
    <col min="16138" max="16138" width="9.125" style="161" customWidth="1"/>
    <col min="16139" max="16144" width="8.25" style="161" customWidth="1"/>
    <col min="16145" max="16145" width="8.625" style="161" bestFit="1" customWidth="1"/>
    <col min="16146" max="16146" width="9.375" style="161" bestFit="1" customWidth="1"/>
    <col min="16147" max="16147" width="3.625" style="161" customWidth="1"/>
    <col min="16148" max="16149" width="9" style="161"/>
    <col min="16150" max="16150" width="2.625" style="161" customWidth="1"/>
    <col min="16151" max="16384" width="9" style="161"/>
  </cols>
  <sheetData>
    <row r="1" spans="1:22" ht="13.5" x14ac:dyDescent="0.15">
      <c r="A1" s="162" t="s">
        <v>335</v>
      </c>
    </row>
    <row r="2" spans="1:22" ht="14.25" thickBot="1" x14ac:dyDescent="0.2">
      <c r="A2" s="171"/>
    </row>
    <row r="3" spans="1:22" x14ac:dyDescent="0.15">
      <c r="A3" s="563" t="s">
        <v>673</v>
      </c>
      <c r="B3" s="564">
        <f>まとめ!B2/100</f>
        <v>0.03</v>
      </c>
      <c r="F3" s="313"/>
      <c r="G3" s="316"/>
      <c r="H3" s="315"/>
      <c r="I3" s="315"/>
      <c r="J3" s="315"/>
      <c r="K3" s="315"/>
      <c r="L3" s="315"/>
      <c r="M3" s="315"/>
      <c r="N3" s="315"/>
      <c r="O3" s="315"/>
      <c r="P3" s="315"/>
      <c r="Q3" s="315"/>
      <c r="R3" s="315"/>
      <c r="S3" s="315"/>
      <c r="T3" s="315"/>
      <c r="U3" s="315"/>
      <c r="V3" s="314"/>
    </row>
    <row r="4" spans="1:22" ht="13.5" thickBot="1" x14ac:dyDescent="0.2">
      <c r="A4" s="565" t="s">
        <v>674</v>
      </c>
      <c r="B4" s="566">
        <f>まとめ!B3</f>
        <v>107</v>
      </c>
      <c r="C4" s="43" t="s">
        <v>675</v>
      </c>
      <c r="D4" s="43"/>
      <c r="F4" s="313"/>
      <c r="G4" s="290"/>
      <c r="H4" s="788" t="s">
        <v>676</v>
      </c>
      <c r="I4" s="788"/>
      <c r="J4" s="788"/>
      <c r="K4" s="788"/>
      <c r="L4" s="788"/>
      <c r="M4" s="788"/>
      <c r="N4" s="788"/>
      <c r="O4" s="788"/>
      <c r="P4" s="788"/>
      <c r="Q4" s="788"/>
      <c r="R4" s="788"/>
      <c r="S4" s="788"/>
      <c r="T4" s="788"/>
      <c r="U4" s="788"/>
      <c r="V4" s="286"/>
    </row>
    <row r="5" spans="1:22" x14ac:dyDescent="0.15">
      <c r="A5" s="567"/>
      <c r="B5" s="568"/>
      <c r="F5" s="313"/>
      <c r="G5" s="290"/>
      <c r="H5" s="305"/>
      <c r="I5" s="305"/>
      <c r="J5" s="305"/>
      <c r="K5" s="305"/>
      <c r="L5" s="305"/>
      <c r="M5" s="305"/>
      <c r="N5" s="305"/>
      <c r="O5" s="305"/>
      <c r="P5" s="305"/>
      <c r="Q5" s="305"/>
      <c r="R5" s="305"/>
      <c r="S5" s="305"/>
      <c r="T5" s="305"/>
      <c r="U5" s="305"/>
      <c r="V5" s="286"/>
    </row>
    <row r="6" spans="1:22" ht="14.25" customHeight="1" thickBot="1" x14ac:dyDescent="0.2">
      <c r="A6" s="569" t="s">
        <v>677</v>
      </c>
      <c r="B6" s="570"/>
      <c r="C6" s="571"/>
      <c r="D6" s="571"/>
      <c r="F6" s="312"/>
      <c r="G6" s="290"/>
      <c r="H6" s="305"/>
      <c r="I6" s="789" t="s">
        <v>678</v>
      </c>
      <c r="J6" s="789"/>
      <c r="K6" s="789"/>
      <c r="L6" s="789"/>
      <c r="M6" s="789"/>
      <c r="N6" s="789"/>
      <c r="O6" s="789"/>
      <c r="P6" s="789"/>
      <c r="Q6" s="789"/>
      <c r="R6" s="789"/>
      <c r="S6" s="305"/>
      <c r="T6" s="790" t="s">
        <v>679</v>
      </c>
      <c r="U6" s="790"/>
      <c r="V6" s="286"/>
    </row>
    <row r="7" spans="1:22" x14ac:dyDescent="0.2">
      <c r="A7" s="572" t="s">
        <v>680</v>
      </c>
      <c r="B7" s="311">
        <f>IF($B$3=0,ROUND((1932962*$B$4+92387233)/1000000,0),IF($B$3=0.01,ROUND((1973552*$B$4+93375088)/1000000,0),IF($B$3=0.03,ROUND((2056109*$B$4+95358235)/1000000,0),IF($B$3=0.05,ROUND((2140506*$B$4+97351299)/1000000,0),"ERR"))))</f>
        <v>315</v>
      </c>
      <c r="C7" s="573" t="s">
        <v>681</v>
      </c>
      <c r="D7" s="573"/>
      <c r="F7" s="310"/>
      <c r="G7" s="290"/>
      <c r="H7" s="305"/>
      <c r="I7" s="305"/>
      <c r="J7" s="305"/>
      <c r="K7" s="305"/>
      <c r="L7" s="305"/>
      <c r="M7" s="305"/>
      <c r="N7" s="305"/>
      <c r="O7" s="305"/>
      <c r="P7" s="305"/>
      <c r="Q7" s="309"/>
      <c r="R7" s="309"/>
      <c r="S7" s="305"/>
      <c r="T7" s="305"/>
      <c r="U7" s="308"/>
      <c r="V7" s="286"/>
    </row>
    <row r="8" spans="1:22" x14ac:dyDescent="0.2">
      <c r="A8" s="574" t="s">
        <v>682</v>
      </c>
      <c r="B8" s="300">
        <v>782</v>
      </c>
      <c r="C8" s="573" t="s">
        <v>683</v>
      </c>
      <c r="D8" s="573"/>
      <c r="F8" s="306"/>
      <c r="G8" s="290"/>
      <c r="H8" s="575"/>
      <c r="I8" s="308"/>
      <c r="J8" s="308"/>
      <c r="K8" s="308"/>
      <c r="L8" s="308"/>
      <c r="M8" s="308"/>
      <c r="N8" s="308"/>
      <c r="O8" s="308"/>
      <c r="P8" s="308"/>
      <c r="Q8" s="305"/>
      <c r="R8" s="307" t="s">
        <v>684</v>
      </c>
      <c r="S8" s="302"/>
      <c r="T8" s="305"/>
      <c r="U8" s="307" t="s">
        <v>684</v>
      </c>
      <c r="V8" s="286"/>
    </row>
    <row r="9" spans="1:22" ht="12.75" customHeight="1" x14ac:dyDescent="0.2">
      <c r="A9" s="574" t="s">
        <v>685</v>
      </c>
      <c r="B9" s="300">
        <v>531</v>
      </c>
      <c r="C9" s="573" t="s">
        <v>681</v>
      </c>
      <c r="D9" s="573"/>
      <c r="F9" s="306"/>
      <c r="G9" s="290"/>
      <c r="H9" s="575" t="s">
        <v>686</v>
      </c>
      <c r="I9" s="785" t="s">
        <v>336</v>
      </c>
      <c r="J9" s="785" t="s">
        <v>337</v>
      </c>
      <c r="K9" s="785" t="s">
        <v>338</v>
      </c>
      <c r="L9" s="786" t="s">
        <v>339</v>
      </c>
      <c r="M9" s="785" t="s">
        <v>340</v>
      </c>
      <c r="N9" s="785" t="s">
        <v>341</v>
      </c>
      <c r="O9" s="785" t="s">
        <v>342</v>
      </c>
      <c r="P9" s="786" t="s">
        <v>343</v>
      </c>
      <c r="Q9" s="787" t="s">
        <v>344</v>
      </c>
      <c r="R9" s="304"/>
      <c r="S9" s="302"/>
      <c r="T9" s="305"/>
      <c r="U9" s="304"/>
      <c r="V9" s="286"/>
    </row>
    <row r="10" spans="1:22" x14ac:dyDescent="0.2">
      <c r="A10" s="574" t="s">
        <v>687</v>
      </c>
      <c r="B10" s="300">
        <v>17</v>
      </c>
      <c r="C10" s="573" t="s">
        <v>681</v>
      </c>
      <c r="D10" s="573"/>
      <c r="E10" s="571"/>
      <c r="F10" s="303"/>
      <c r="G10" s="290"/>
      <c r="H10" s="575"/>
      <c r="I10" s="785"/>
      <c r="J10" s="785"/>
      <c r="K10" s="785"/>
      <c r="L10" s="786"/>
      <c r="M10" s="785"/>
      <c r="N10" s="785"/>
      <c r="O10" s="785"/>
      <c r="P10" s="786"/>
      <c r="Q10" s="787"/>
      <c r="R10" s="301"/>
      <c r="S10" s="302"/>
      <c r="T10" s="302"/>
      <c r="U10" s="301"/>
      <c r="V10" s="286"/>
    </row>
    <row r="11" spans="1:22" x14ac:dyDescent="0.2">
      <c r="A11" s="574" t="s">
        <v>688</v>
      </c>
      <c r="B11" s="300">
        <v>17</v>
      </c>
      <c r="C11" s="573" t="s">
        <v>681</v>
      </c>
      <c r="D11" s="573"/>
      <c r="E11" s="573"/>
      <c r="F11" s="576"/>
      <c r="G11" s="290"/>
      <c r="H11" s="577">
        <v>1</v>
      </c>
      <c r="I11" s="578">
        <v>1.3181825183762699</v>
      </c>
      <c r="J11" s="578">
        <v>2.4371647320466199</v>
      </c>
      <c r="K11" s="578">
        <v>0</v>
      </c>
      <c r="L11" s="578">
        <v>0</v>
      </c>
      <c r="M11" s="578">
        <v>0</v>
      </c>
      <c r="N11" s="578">
        <v>0</v>
      </c>
      <c r="O11" s="578">
        <v>1.0032320000000001</v>
      </c>
      <c r="P11" s="578">
        <v>0.18776736252114501</v>
      </c>
      <c r="Q11" s="293">
        <f t="shared" ref="Q11:Q74" si="0">SUM(I11:P11)</f>
        <v>4.9463466129440352</v>
      </c>
      <c r="R11" s="579">
        <f t="shared" ref="R11:R74" si="1">$Q11/(1+$B$3)^($H11-37)</f>
        <v>14.3358891910851</v>
      </c>
      <c r="S11" s="292"/>
      <c r="T11" s="291"/>
      <c r="U11" s="580">
        <f t="shared" ref="U11:U74" si="2">$T11/(1+$B$3)^($H11-37)</f>
        <v>0</v>
      </c>
      <c r="V11" s="286"/>
    </row>
    <row r="12" spans="1:22" x14ac:dyDescent="0.2">
      <c r="A12" s="574" t="s">
        <v>689</v>
      </c>
      <c r="B12" s="300">
        <v>123</v>
      </c>
      <c r="C12" s="573" t="s">
        <v>681</v>
      </c>
      <c r="D12" s="573"/>
      <c r="E12" s="573"/>
      <c r="F12" s="576"/>
      <c r="G12" s="290"/>
      <c r="H12" s="575">
        <v>2</v>
      </c>
      <c r="I12" s="581">
        <v>1.3181825183762699</v>
      </c>
      <c r="J12" s="581">
        <v>2.4371647320466199</v>
      </c>
      <c r="K12" s="581">
        <v>0</v>
      </c>
      <c r="L12" s="581">
        <v>0</v>
      </c>
      <c r="M12" s="581">
        <v>0</v>
      </c>
      <c r="N12" s="581">
        <v>0</v>
      </c>
      <c r="O12" s="581">
        <v>1.0032320000000001</v>
      </c>
      <c r="P12" s="581">
        <v>0.18776736252114501</v>
      </c>
      <c r="Q12" s="289">
        <f t="shared" si="0"/>
        <v>4.9463466129440352</v>
      </c>
      <c r="R12" s="582">
        <f t="shared" si="1"/>
        <v>13.91833902047097</v>
      </c>
      <c r="S12" s="288"/>
      <c r="T12" s="287"/>
      <c r="U12" s="583">
        <f t="shared" si="2"/>
        <v>0</v>
      </c>
      <c r="V12" s="286"/>
    </row>
    <row r="13" spans="1:22" ht="13.5" thickBot="1" x14ac:dyDescent="0.25">
      <c r="A13" s="584" t="s">
        <v>690</v>
      </c>
      <c r="B13" s="299">
        <f>ROUND(R407/U407*100,0)</f>
        <v>129</v>
      </c>
      <c r="C13" s="573" t="s">
        <v>681</v>
      </c>
      <c r="D13" s="573"/>
      <c r="E13" s="573"/>
      <c r="F13" s="576"/>
      <c r="G13" s="290"/>
      <c r="H13" s="577">
        <v>3</v>
      </c>
      <c r="I13" s="578">
        <v>1.3181825183762699</v>
      </c>
      <c r="J13" s="578">
        <v>2.4371647320466199</v>
      </c>
      <c r="K13" s="578">
        <v>0</v>
      </c>
      <c r="L13" s="578">
        <v>0</v>
      </c>
      <c r="M13" s="578">
        <v>0</v>
      </c>
      <c r="N13" s="578">
        <v>0</v>
      </c>
      <c r="O13" s="578">
        <v>1.0032320000000001</v>
      </c>
      <c r="P13" s="578">
        <v>0.18776736252114501</v>
      </c>
      <c r="Q13" s="293">
        <f t="shared" si="0"/>
        <v>4.9463466129440352</v>
      </c>
      <c r="R13" s="579">
        <f t="shared" si="1"/>
        <v>13.512950505311618</v>
      </c>
      <c r="S13" s="292"/>
      <c r="T13" s="291"/>
      <c r="U13" s="580">
        <f t="shared" si="2"/>
        <v>0</v>
      </c>
      <c r="V13" s="286"/>
    </row>
    <row r="14" spans="1:22" x14ac:dyDescent="0.2">
      <c r="A14" s="570"/>
      <c r="B14" s="570"/>
      <c r="C14" s="570"/>
      <c r="D14" s="570"/>
      <c r="E14" s="585"/>
      <c r="F14" s="576"/>
      <c r="G14" s="290"/>
      <c r="H14" s="575">
        <v>4</v>
      </c>
      <c r="I14" s="581">
        <v>10.759752251118901</v>
      </c>
      <c r="J14" s="581">
        <v>11.668198894385601</v>
      </c>
      <c r="K14" s="581">
        <v>0</v>
      </c>
      <c r="L14" s="581">
        <v>0</v>
      </c>
      <c r="M14" s="581">
        <v>0</v>
      </c>
      <c r="N14" s="581">
        <v>0</v>
      </c>
      <c r="O14" s="581">
        <v>2.0064640000000002</v>
      </c>
      <c r="P14" s="581">
        <v>1.1213975572752299</v>
      </c>
      <c r="Q14" s="289">
        <f t="shared" si="0"/>
        <v>25.555812702779733</v>
      </c>
      <c r="R14" s="582">
        <f t="shared" si="1"/>
        <v>67.78258257639996</v>
      </c>
      <c r="S14" s="288"/>
      <c r="T14" s="287"/>
      <c r="U14" s="583">
        <f t="shared" si="2"/>
        <v>0</v>
      </c>
      <c r="V14" s="286"/>
    </row>
    <row r="15" spans="1:22" ht="13.5" thickBot="1" x14ac:dyDescent="0.25">
      <c r="A15" s="569" t="s">
        <v>691</v>
      </c>
      <c r="B15" s="570"/>
      <c r="C15" s="570"/>
      <c r="D15" s="570"/>
      <c r="E15" s="585"/>
      <c r="F15" s="576"/>
      <c r="G15" s="290"/>
      <c r="H15" s="577">
        <v>5</v>
      </c>
      <c r="I15" s="578">
        <v>10.759752251118901</v>
      </c>
      <c r="J15" s="578">
        <v>11.668198894385601</v>
      </c>
      <c r="K15" s="578">
        <v>0</v>
      </c>
      <c r="L15" s="578">
        <v>0</v>
      </c>
      <c r="M15" s="578">
        <v>0</v>
      </c>
      <c r="N15" s="578">
        <v>0</v>
      </c>
      <c r="O15" s="578">
        <v>2.0064640000000002</v>
      </c>
      <c r="P15" s="578">
        <v>1.1213975572752299</v>
      </c>
      <c r="Q15" s="293">
        <f t="shared" si="0"/>
        <v>25.555812702779733</v>
      </c>
      <c r="R15" s="579">
        <f t="shared" si="1"/>
        <v>65.808332598446555</v>
      </c>
      <c r="S15" s="292"/>
      <c r="T15" s="291"/>
      <c r="U15" s="580">
        <f t="shared" si="2"/>
        <v>0</v>
      </c>
      <c r="V15" s="286"/>
    </row>
    <row r="16" spans="1:22" x14ac:dyDescent="0.2">
      <c r="A16" s="586" t="s">
        <v>692</v>
      </c>
      <c r="B16" s="587">
        <v>45750</v>
      </c>
      <c r="C16" s="570" t="s">
        <v>693</v>
      </c>
      <c r="D16" s="570"/>
      <c r="E16" s="585"/>
      <c r="F16" s="576"/>
      <c r="G16" s="290"/>
      <c r="H16" s="575">
        <v>6</v>
      </c>
      <c r="I16" s="581">
        <v>10.759752251118901</v>
      </c>
      <c r="J16" s="581">
        <v>11.668198894385601</v>
      </c>
      <c r="K16" s="581">
        <v>0</v>
      </c>
      <c r="L16" s="581">
        <v>0</v>
      </c>
      <c r="M16" s="581">
        <v>0</v>
      </c>
      <c r="N16" s="581">
        <v>0</v>
      </c>
      <c r="O16" s="581">
        <v>2.0064640000000002</v>
      </c>
      <c r="P16" s="581">
        <v>1.1213975572752299</v>
      </c>
      <c r="Q16" s="289">
        <f t="shared" si="0"/>
        <v>25.555812702779733</v>
      </c>
      <c r="R16" s="582">
        <f t="shared" si="1"/>
        <v>63.891585047035505</v>
      </c>
      <c r="S16" s="288"/>
      <c r="T16" s="287"/>
      <c r="U16" s="583">
        <f t="shared" si="2"/>
        <v>0</v>
      </c>
      <c r="V16" s="286"/>
    </row>
    <row r="17" spans="1:22" x14ac:dyDescent="0.2">
      <c r="A17" s="588" t="s">
        <v>694</v>
      </c>
      <c r="B17" s="589">
        <v>40000</v>
      </c>
      <c r="C17" s="570" t="s">
        <v>693</v>
      </c>
      <c r="D17" s="570"/>
      <c r="E17" s="585"/>
      <c r="F17" s="576"/>
      <c r="G17" s="290"/>
      <c r="H17" s="577">
        <v>7</v>
      </c>
      <c r="I17" s="578">
        <v>69.583542779504995</v>
      </c>
      <c r="J17" s="578">
        <v>72.884657500879598</v>
      </c>
      <c r="K17" s="578">
        <v>0</v>
      </c>
      <c r="L17" s="578">
        <v>0</v>
      </c>
      <c r="M17" s="578">
        <v>0</v>
      </c>
      <c r="N17" s="578">
        <v>0</v>
      </c>
      <c r="O17" s="578">
        <v>5.0161600000000002</v>
      </c>
      <c r="P17" s="578">
        <v>7.1234100140192291</v>
      </c>
      <c r="Q17" s="293">
        <f t="shared" si="0"/>
        <v>154.60777029440385</v>
      </c>
      <c r="R17" s="579">
        <f t="shared" si="1"/>
        <v>375.27363858991788</v>
      </c>
      <c r="S17" s="292"/>
      <c r="T17" s="291"/>
      <c r="U17" s="580">
        <f t="shared" si="2"/>
        <v>0</v>
      </c>
      <c r="V17" s="286"/>
    </row>
    <row r="18" spans="1:22" x14ac:dyDescent="0.2">
      <c r="A18" s="588" t="s">
        <v>695</v>
      </c>
      <c r="B18" s="590">
        <v>0.35099999999999998</v>
      </c>
      <c r="C18" s="570"/>
      <c r="D18" s="570"/>
      <c r="E18" s="591"/>
      <c r="F18" s="576"/>
      <c r="G18" s="290"/>
      <c r="H18" s="575">
        <v>8</v>
      </c>
      <c r="I18" s="581">
        <v>69.583542779504995</v>
      </c>
      <c r="J18" s="581">
        <v>72.884657500879598</v>
      </c>
      <c r="K18" s="581">
        <v>0</v>
      </c>
      <c r="L18" s="581">
        <v>0</v>
      </c>
      <c r="M18" s="581">
        <v>0</v>
      </c>
      <c r="N18" s="581">
        <v>0</v>
      </c>
      <c r="O18" s="581">
        <v>5.0161600000000002</v>
      </c>
      <c r="P18" s="581">
        <v>7.1234100140192291</v>
      </c>
      <c r="Q18" s="289">
        <f t="shared" si="0"/>
        <v>154.60777029440385</v>
      </c>
      <c r="R18" s="582">
        <f t="shared" si="1"/>
        <v>364.34333843681344</v>
      </c>
      <c r="S18" s="288"/>
      <c r="T18" s="287"/>
      <c r="U18" s="583">
        <f t="shared" si="2"/>
        <v>0</v>
      </c>
      <c r="V18" s="286"/>
    </row>
    <row r="19" spans="1:22" x14ac:dyDescent="0.2">
      <c r="A19" s="588" t="s">
        <v>696</v>
      </c>
      <c r="B19" s="590">
        <v>0.04</v>
      </c>
      <c r="C19" s="570"/>
      <c r="D19" s="570"/>
      <c r="E19" s="591"/>
      <c r="F19" s="576"/>
      <c r="G19" s="290"/>
      <c r="H19" s="577">
        <v>9</v>
      </c>
      <c r="I19" s="578">
        <v>69.583542779504995</v>
      </c>
      <c r="J19" s="578">
        <v>83.446882098027103</v>
      </c>
      <c r="K19" s="578">
        <v>0</v>
      </c>
      <c r="L19" s="578">
        <v>0</v>
      </c>
      <c r="M19" s="578">
        <v>0</v>
      </c>
      <c r="N19" s="578">
        <v>0</v>
      </c>
      <c r="O19" s="578">
        <v>5.0161600000000002</v>
      </c>
      <c r="P19" s="578">
        <v>7.6515212438766103</v>
      </c>
      <c r="Q19" s="293">
        <f t="shared" si="0"/>
        <v>165.6981061214087</v>
      </c>
      <c r="R19" s="579">
        <f t="shared" si="1"/>
        <v>379.10528281242046</v>
      </c>
      <c r="S19" s="292"/>
      <c r="T19" s="291"/>
      <c r="U19" s="580">
        <f t="shared" si="2"/>
        <v>0</v>
      </c>
      <c r="V19" s="286"/>
    </row>
    <row r="20" spans="1:22" ht="13.5" thickBot="1" x14ac:dyDescent="0.25">
      <c r="A20" s="592" t="s">
        <v>697</v>
      </c>
      <c r="B20" s="593">
        <v>0.11</v>
      </c>
      <c r="C20" s="570"/>
      <c r="D20" s="570"/>
      <c r="E20" s="591"/>
      <c r="F20" s="576"/>
      <c r="G20" s="290"/>
      <c r="H20" s="575">
        <v>10</v>
      </c>
      <c r="I20" s="581">
        <v>69.583542779504995</v>
      </c>
      <c r="J20" s="581">
        <v>83.446882098027103</v>
      </c>
      <c r="K20" s="581">
        <v>0</v>
      </c>
      <c r="L20" s="581">
        <v>0</v>
      </c>
      <c r="M20" s="581">
        <v>0</v>
      </c>
      <c r="N20" s="581">
        <v>0</v>
      </c>
      <c r="O20" s="581">
        <v>5.0161600000000002</v>
      </c>
      <c r="P20" s="581">
        <v>7.6515212438766103</v>
      </c>
      <c r="Q20" s="289">
        <f t="shared" si="0"/>
        <v>165.6981061214087</v>
      </c>
      <c r="R20" s="582">
        <f t="shared" si="1"/>
        <v>368.06338137128205</v>
      </c>
      <c r="S20" s="288"/>
      <c r="T20" s="287"/>
      <c r="U20" s="583">
        <f t="shared" si="2"/>
        <v>0</v>
      </c>
      <c r="V20" s="286"/>
    </row>
    <row r="21" spans="1:22" x14ac:dyDescent="0.2">
      <c r="A21" s="570"/>
      <c r="B21" s="570"/>
      <c r="C21" s="570"/>
      <c r="D21" s="570"/>
      <c r="E21" s="591"/>
      <c r="F21" s="576"/>
      <c r="G21" s="290"/>
      <c r="H21" s="577">
        <v>11</v>
      </c>
      <c r="I21" s="578">
        <v>71.65957679380351</v>
      </c>
      <c r="J21" s="578">
        <v>280.91892685711701</v>
      </c>
      <c r="K21" s="578">
        <v>0</v>
      </c>
      <c r="L21" s="578">
        <v>0</v>
      </c>
      <c r="M21" s="578">
        <v>0</v>
      </c>
      <c r="N21" s="578">
        <v>0</v>
      </c>
      <c r="O21" s="578">
        <v>13.9355195</v>
      </c>
      <c r="P21" s="578">
        <v>17.628925182546002</v>
      </c>
      <c r="Q21" s="293">
        <f t="shared" si="0"/>
        <v>384.14294833346656</v>
      </c>
      <c r="R21" s="579">
        <f t="shared" si="1"/>
        <v>828.43932786449864</v>
      </c>
      <c r="S21" s="292"/>
      <c r="T21" s="291"/>
      <c r="U21" s="580">
        <f t="shared" si="2"/>
        <v>0</v>
      </c>
      <c r="V21" s="286"/>
    </row>
    <row r="22" spans="1:22" ht="13.5" thickBot="1" x14ac:dyDescent="0.25">
      <c r="A22" s="569" t="s">
        <v>698</v>
      </c>
      <c r="B22" s="570"/>
      <c r="C22" s="570"/>
      <c r="D22" s="570"/>
      <c r="E22" s="591"/>
      <c r="F22" s="576"/>
      <c r="G22" s="290"/>
      <c r="H22" s="575">
        <v>12</v>
      </c>
      <c r="I22" s="581">
        <v>71.351219572231102</v>
      </c>
      <c r="J22" s="581">
        <v>166.56768100073799</v>
      </c>
      <c r="K22" s="581">
        <v>0</v>
      </c>
      <c r="L22" s="581">
        <v>0</v>
      </c>
      <c r="M22" s="581">
        <v>0</v>
      </c>
      <c r="N22" s="581">
        <v>0</v>
      </c>
      <c r="O22" s="581">
        <v>13.9355195</v>
      </c>
      <c r="P22" s="581">
        <v>11.8959450286484</v>
      </c>
      <c r="Q22" s="289">
        <f t="shared" si="0"/>
        <v>263.75036510161749</v>
      </c>
      <c r="R22" s="582">
        <f t="shared" si="1"/>
        <v>552.23469338800771</v>
      </c>
      <c r="S22" s="288"/>
      <c r="T22" s="287"/>
      <c r="U22" s="583">
        <f t="shared" si="2"/>
        <v>0</v>
      </c>
      <c r="V22" s="286"/>
    </row>
    <row r="23" spans="1:22" x14ac:dyDescent="0.2">
      <c r="A23" s="167" t="s">
        <v>699</v>
      </c>
      <c r="B23" s="329">
        <f>($B$7/(IF($B$3=0,$B$16*24*$B$18*(1-$B$19)*1000,$B$16*24*$B$18*(1-$B$19)*1000*(((1/(1+$B$3))^5-1)/LN(1/(1+$B$3)))/5)+IF($B$3=0,$B$17*24*$B$18*(1-$B$19)*1000,$B$17*24*$B$18*(1-$B$19)*1000*(((1/(1+$B$3))^5-1)/LN(1/(1+$B$3)))/5)*(((1+$B$3)^29)/(((1+$B$3)^29)-$B$20))-IF($B$3=0,$B$17*24*$B$18*(1-$B$19)*1000,$B$17*24*$B$18*(1-$B$19)*1000*(((1/(1+$B$3))^5-1)/LN(1/(1+$B$3)))/5))*1000000+$B$7/(IF($B$3=0,$B$16*24*$B$18*(1-$B$19)*1000,$B$16*24*$B$18*(1-$B$19)*1000*(((1/(1+$B$3))^5-1)/LN(1/(1+$B$3)))/5)+IF($B$3=0,$B$17*24*$B$18*(1-$B$19)*1000,$B$17*24*$B$18*(1-$B$19)*1000*(((1/(1+$B$3))^5-1)/LN(1/(1+$B$3)))/5)*(((1+$B$3)^54)/(((1+$B$3)^54)-$B$20))-IF($B$3=0,$B$17*24*$B$18*(1-$B$19)*1000,$B$17*24*$B$18*(1-$B$19)*1000*(((1/(1+$B$3))^5-1)/LN(1/(1+$B$3)))/5))*1000000)/2</f>
        <v>0.8881071981343398</v>
      </c>
      <c r="C23" s="161" t="s">
        <v>700</v>
      </c>
      <c r="E23" s="591"/>
      <c r="F23" s="576"/>
      <c r="G23" s="290"/>
      <c r="H23" s="577">
        <v>13</v>
      </c>
      <c r="I23" s="578">
        <v>73.321263057828901</v>
      </c>
      <c r="J23" s="578">
        <v>148.720583488568</v>
      </c>
      <c r="K23" s="578">
        <v>55.617012000000003</v>
      </c>
      <c r="L23" s="578">
        <v>0</v>
      </c>
      <c r="M23" s="578">
        <v>0</v>
      </c>
      <c r="N23" s="578">
        <v>0</v>
      </c>
      <c r="O23" s="578">
        <v>25.864575000000002</v>
      </c>
      <c r="P23" s="578">
        <v>13.882942927319801</v>
      </c>
      <c r="Q23" s="293">
        <f t="shared" si="0"/>
        <v>317.4063764737167</v>
      </c>
      <c r="R23" s="579">
        <f t="shared" si="1"/>
        <v>645.22181144872286</v>
      </c>
      <c r="S23" s="292"/>
      <c r="T23" s="291"/>
      <c r="U23" s="580">
        <f t="shared" si="2"/>
        <v>0</v>
      </c>
      <c r="V23" s="286"/>
    </row>
    <row r="24" spans="1:22" ht="13.5" thickBot="1" x14ac:dyDescent="0.25">
      <c r="A24" s="169" t="s">
        <v>701</v>
      </c>
      <c r="B24" s="594">
        <f>($B$8*$B$20*(1+$B$3)^(29-27)/((1+$B$3)^29-$B$20)/(IF($B$3=0,$B$16*24*$B$18*(1-$B$19)*1000,$B$16*24*$B$18*(1-$B$19)*1000*(((1/(1+$B$3))^5-1)/LN(1/(1+$B$3)))/5)+IF($B$3=0,$B$17*24*$B$18*(1-$B$19)*1000,$B$17*24*$B$18*(1-$B$19)*1000*(((1/(1+$B$3))^5-1)/LN(1/(1+$B$3)))/5)*(((1+$B$3)^29)/(((1+$B$3)^29)-$B$20))-IF($B$3=0,$B$17*24*$B$18*(1-$B$19)*1000,$B$17*24*$B$18*(1-$B$19)*1000*(((1/(1+$B$3))^5-1)/LN(1/(1+$B$3)))/5))*1000000+$B$8*$B$20*(1+$B$3)^(54-52)/((1+$B$3)^(54)-$B$20)/(IF($B$3=0,$B$16*24*$B$18*(1-$B$19)*1000,$B$16*24*$B$18*(1-$B$19)*1000*(((1/(1+$B$3))^5-1)/LN(1/(1+$B$3)))/5)+IF($B$3=0,$B$17*24*$B$18*(1-$B$19)*1000,$B$17*24*$B$18*(1-$B$19)*1000*(((1/(1+$B$3))^5-1)/LN(1/(1+$B$3)))/5)*(((1+$B$3)^54)/(((1+$B$3)^54)-$B$20))-IF($B$3=0,$B$17*24*$B$18*(1-$B$19)*1000,$B$17*24*$B$18*(1-$B$19)*1000*(((1/(1+$B$3))^5-1)/LN(1/(1+$B$3)))/5))*1000000)/2</f>
        <v>8.3591822552294234E-2</v>
      </c>
      <c r="C24" s="161" t="s">
        <v>700</v>
      </c>
      <c r="E24" s="591"/>
      <c r="F24" s="576"/>
      <c r="G24" s="290"/>
      <c r="H24" s="575">
        <v>14</v>
      </c>
      <c r="I24" s="581">
        <v>60.698551099430702</v>
      </c>
      <c r="J24" s="581">
        <v>41.927866381486503</v>
      </c>
      <c r="K24" s="581">
        <v>0</v>
      </c>
      <c r="L24" s="581">
        <v>0</v>
      </c>
      <c r="M24" s="581">
        <v>0</v>
      </c>
      <c r="N24" s="581">
        <v>0</v>
      </c>
      <c r="O24" s="581">
        <v>11.9290555</v>
      </c>
      <c r="P24" s="581">
        <v>5.1313208740458602</v>
      </c>
      <c r="Q24" s="289">
        <f t="shared" si="0"/>
        <v>119.68679385496307</v>
      </c>
      <c r="R24" s="582">
        <f t="shared" si="1"/>
        <v>236.21224191214563</v>
      </c>
      <c r="S24" s="288"/>
      <c r="T24" s="287"/>
      <c r="U24" s="583">
        <f t="shared" si="2"/>
        <v>0</v>
      </c>
      <c r="V24" s="286"/>
    </row>
    <row r="25" spans="1:22" ht="13.5" thickBot="1" x14ac:dyDescent="0.25">
      <c r="A25" s="595" t="s">
        <v>345</v>
      </c>
      <c r="B25" s="296">
        <f>SUM(B23:B24)</f>
        <v>0.97169902068663405</v>
      </c>
      <c r="C25" s="161" t="s">
        <v>700</v>
      </c>
      <c r="E25" s="591"/>
      <c r="F25" s="576"/>
      <c r="G25" s="290"/>
      <c r="H25" s="577">
        <v>15</v>
      </c>
      <c r="I25" s="578">
        <v>58.833915319530405</v>
      </c>
      <c r="J25" s="578">
        <v>374.92425435805296</v>
      </c>
      <c r="K25" s="578">
        <v>0</v>
      </c>
      <c r="L25" s="578">
        <v>0</v>
      </c>
      <c r="M25" s="578">
        <v>0</v>
      </c>
      <c r="N25" s="578">
        <v>13.6142206700508</v>
      </c>
      <c r="O25" s="578">
        <v>20.409500999999999</v>
      </c>
      <c r="P25" s="578">
        <v>10.2697912278107</v>
      </c>
      <c r="Q25" s="293">
        <f t="shared" si="0"/>
        <v>478.05168257544489</v>
      </c>
      <c r="R25" s="579">
        <f t="shared" si="1"/>
        <v>915.99645859444172</v>
      </c>
      <c r="S25" s="292"/>
      <c r="T25" s="291"/>
      <c r="U25" s="580">
        <f t="shared" si="2"/>
        <v>0</v>
      </c>
      <c r="V25" s="286"/>
    </row>
    <row r="26" spans="1:22" x14ac:dyDescent="0.2">
      <c r="A26" s="167" t="s">
        <v>702</v>
      </c>
      <c r="B26" s="298">
        <f>(($B$9*(1+$B$3)^(29-25)/((1+$B$3)^(29)-$B$20)+$B$10*(1+$B$3)^(29-6)/((1+$B$3)^(29)-$B$20))/(IF($B$3=0,$B$16*24*$B$18*(1-$B$19)*1000,$B$16*24*$B$18*(1-$B$19)*1000*(((1/(1+$B$3))^5-1)/LN(1/(1+$B$3)))/5)+IF($B$3=0,$B$17*24*$B$18*(1-$B$19)*1000,$B$17*24*$B$18*(1-$B$19)*1000*(((1/(1+$B$3))^5-1)/LN(1/(1+$B$3)))/5)*(((1+$B$3)^29)/(((1+$B$3)^29)-$B$20))-IF($B$3=0,$B$17*24*$B$18*(1-$B$19)*1000,$B$17*24*$B$18*(1-$B$19)*1000*(((1/(1+$B$3))^5-1)/LN(1/(1+$B$3)))/5))*1000000+($B$9*(1+$B$3)^(54-50)/((1+$B$3)^54-$B$20)+$B$10*(1+$B$3)^(54-50)/((1+$B$3)^54-$B$20))/(IF($B$3=0,$B$16*24*$B$18*(1-$B$19)*1000,$B$16*24*$B$18*(1-$B$19)*1000*(((1/(1+$B$3))^5-1)/LN(1/(1+$B$3)))/5)+IF($B$3=0,$B$17*24*$B$18*(1-$B$19)*1000,$B$17*24*$B$18*(1-$B$19)*1000*(((1/(1+$B$3))^5-1)/LN(1/(1+$B$3)))/5)*(((1+$B$3)^54)/(((1+$B$3)^54)-$B$20))-IF($B$3=0,$B$17*24*$B$18*(1-$B$19)*1000,$B$17*24*$B$18*(1-$B$19)*1000*(((1/(1+$B$3))^5-1)/LN(1/(1+$B$3)))/5))*1000000)/2</f>
        <v>0.57390854939069325</v>
      </c>
      <c r="C26" s="161" t="s">
        <v>700</v>
      </c>
      <c r="E26" s="591"/>
      <c r="F26" s="576"/>
      <c r="G26" s="290"/>
      <c r="H26" s="575">
        <v>16</v>
      </c>
      <c r="I26" s="581">
        <v>58.833915319530405</v>
      </c>
      <c r="J26" s="581">
        <v>49.262473672792105</v>
      </c>
      <c r="K26" s="581">
        <v>0</v>
      </c>
      <c r="L26" s="581">
        <v>0</v>
      </c>
      <c r="M26" s="581">
        <v>0</v>
      </c>
      <c r="N26" s="581">
        <v>45.412604060913701</v>
      </c>
      <c r="O26" s="581">
        <v>23.0507708922365</v>
      </c>
      <c r="P26" s="581">
        <v>12.280719444258899</v>
      </c>
      <c r="Q26" s="289">
        <f t="shared" si="0"/>
        <v>188.84048338973162</v>
      </c>
      <c r="R26" s="582">
        <f t="shared" si="1"/>
        <v>351.29892616891487</v>
      </c>
      <c r="S26" s="288"/>
      <c r="T26" s="287"/>
      <c r="U26" s="583">
        <f t="shared" si="2"/>
        <v>0</v>
      </c>
      <c r="V26" s="286"/>
    </row>
    <row r="27" spans="1:22" x14ac:dyDescent="0.2">
      <c r="A27" s="168" t="s">
        <v>703</v>
      </c>
      <c r="B27" s="596">
        <f>((B11*(1+$B$3)^(54-10)/((1+$B$3)^54-$B$20)+$B$12*(1+$B$3)^(54-30)/((1+$B$3)^54-$B$20))/(IF($B$3=0,$B$16*24*$B$18*(1-$B$19)*1000,$B$16*24*$B$18*(1-$B$19)*1000*(((1/(1+$B$3))^5-1)/LN(1/(1+$B$3)))/5)+IF($B$3=0,$B$17*24*$B$18*(1-$B$19)*1000,$B$17*24*$B$18*(1-$B$19)*1000*(((1/(1+$B$3))^5-1)/LN(1/(1+$B$3)))/5)*(((1+$B$3)^54)/(((1+$B$3)^54)-$B$20))-IF($B$3=0,$B$17*24*$B$18*(1-$B$19)*1000,$B$17*24*$B$18*(1-$B$19)*1000*(((1/(1+$B$3))^5-1)/LN(1/(1+$B$3)))/5))*1000000)/2</f>
        <v>9.2315341760438485E-2</v>
      </c>
      <c r="C27" s="161" t="s">
        <v>700</v>
      </c>
      <c r="E27" s="591"/>
      <c r="F27" s="576"/>
      <c r="G27" s="290"/>
      <c r="H27" s="577">
        <v>17</v>
      </c>
      <c r="I27" s="578">
        <v>59.909398536474001</v>
      </c>
      <c r="J27" s="578">
        <v>49.941159204873898</v>
      </c>
      <c r="K27" s="578">
        <v>0</v>
      </c>
      <c r="L27" s="578">
        <v>0</v>
      </c>
      <c r="M27" s="578">
        <v>0</v>
      </c>
      <c r="N27" s="578">
        <v>0</v>
      </c>
      <c r="O27" s="578">
        <v>23.681666778369198</v>
      </c>
      <c r="P27" s="578">
        <v>8.788044619307831</v>
      </c>
      <c r="Q27" s="293">
        <f t="shared" si="0"/>
        <v>142.32026913902493</v>
      </c>
      <c r="R27" s="579">
        <f t="shared" si="1"/>
        <v>257.04623701316751</v>
      </c>
      <c r="S27" s="292"/>
      <c r="T27" s="291"/>
      <c r="U27" s="580">
        <f t="shared" si="2"/>
        <v>0</v>
      </c>
      <c r="V27" s="286"/>
    </row>
    <row r="28" spans="1:22" ht="13.5" thickBot="1" x14ac:dyDescent="0.25">
      <c r="A28" s="169" t="s">
        <v>704</v>
      </c>
      <c r="B28" s="297">
        <f>($B$13*(1+$B$3)^(29-65)/((1+$B$3)^(29)-$B$20)/(IF($B$3=0,$B$16*24*$B$18*(1-$B$19)*1000,$B$16*24*$B$18*(1-$B$19)*1000*(((1/(1+$B$3))^5-1)/LN(1/(1+$B$3)))/5)+IF($B$3=0,$B$17*24*$B$18*(1-$B$19)*1000,$B$17*24*$B$18*(1-$B$19)*1000*(((1/(1+$B$3))^5-1)/LN(1/(1+$B$3)))/5)*(((1+$B$3)^29)/(((1+$B$3)^29)-$B$20))-IF($B$3=0,$B$17*24*$B$18*(1-$B$19)*1000,$B$17*24*$B$18*(1-$B$19)*1000*(((1/(1+$B$3))^5-1)/LN(1/(1+$B$3)))/5))*1000000+$B$13*(1+$B$3)^(29-90)/((1+$B$3)^(29)-$B$20)/(IF($B$3=0,$B$16*24*$B$18*(1-$B$19)*1000,$B$16*24*$B$18*(1-$B$19)*1000*(((1/(1+$B$3))^5-1)/LN(1/(1+$B$3)))/5)+IF($B$3=0,$B$17*24*$B$18*(1-$B$19)*1000,$B$17*24*$B$18*(1-$B$19)*1000*(((1/(1+$B$3))^5-1)/LN(1/(1+$B$3)))/5)*(((1+$B$3)^54)/(((1+$B$3)^54)-$B$20))-IF($B$3=0,$B$17*24*$B$18*(1-$B$19)*1000,$B$17*24*$B$18*(1-$B$19)*1000*(((1/(1+$B$3))^5-1)/LN(1/(1+$B$3)))/5))*1000000)/2</f>
        <v>4.1106258959393252E-2</v>
      </c>
      <c r="C28" s="161" t="s">
        <v>700</v>
      </c>
      <c r="E28" s="591"/>
      <c r="F28" s="576"/>
      <c r="G28" s="290"/>
      <c r="H28" s="575">
        <v>18</v>
      </c>
      <c r="I28" s="581">
        <v>59.909398536474001</v>
      </c>
      <c r="J28" s="581">
        <v>40.568147635488401</v>
      </c>
      <c r="K28" s="581">
        <v>0</v>
      </c>
      <c r="L28" s="581">
        <v>0</v>
      </c>
      <c r="M28" s="581">
        <v>0</v>
      </c>
      <c r="N28" s="581">
        <v>4.3022467005076104</v>
      </c>
      <c r="O28" s="581">
        <v>23.493309137847902</v>
      </c>
      <c r="P28" s="581">
        <v>8.382383429797601</v>
      </c>
      <c r="Q28" s="289">
        <f t="shared" si="0"/>
        <v>136.65548544011554</v>
      </c>
      <c r="R28" s="582">
        <f t="shared" si="1"/>
        <v>239.62622090543215</v>
      </c>
      <c r="S28" s="288"/>
      <c r="T28" s="287"/>
      <c r="U28" s="583">
        <f t="shared" si="2"/>
        <v>0</v>
      </c>
      <c r="V28" s="286"/>
    </row>
    <row r="29" spans="1:22" ht="13.5" thickBot="1" x14ac:dyDescent="0.25">
      <c r="A29" s="595" t="s">
        <v>346</v>
      </c>
      <c r="B29" s="296">
        <f>SUM(B26:B28)</f>
        <v>0.70733015011052502</v>
      </c>
      <c r="C29" s="161" t="s">
        <v>700</v>
      </c>
      <c r="E29" s="591"/>
      <c r="F29" s="576"/>
      <c r="G29" s="290"/>
      <c r="H29" s="577">
        <v>19</v>
      </c>
      <c r="I29" s="578">
        <v>58.690843741844503</v>
      </c>
      <c r="J29" s="578">
        <v>77.328389672693504</v>
      </c>
      <c r="K29" s="578">
        <v>0</v>
      </c>
      <c r="L29" s="578">
        <v>0.65520062797840606</v>
      </c>
      <c r="M29" s="578">
        <v>0</v>
      </c>
      <c r="N29" s="578">
        <v>0</v>
      </c>
      <c r="O29" s="578">
        <v>19.492607370636701</v>
      </c>
      <c r="P29" s="578">
        <v>10.933954723401301</v>
      </c>
      <c r="Q29" s="293">
        <f t="shared" si="0"/>
        <v>167.10099613655444</v>
      </c>
      <c r="R29" s="579">
        <f t="shared" si="1"/>
        <v>284.47826038899166</v>
      </c>
      <c r="S29" s="292"/>
      <c r="T29" s="291"/>
      <c r="U29" s="580">
        <f t="shared" si="2"/>
        <v>0</v>
      </c>
      <c r="V29" s="286"/>
    </row>
    <row r="30" spans="1:22" ht="13.5" thickBot="1" x14ac:dyDescent="0.25">
      <c r="A30" s="170" t="s">
        <v>705</v>
      </c>
      <c r="B30" s="295">
        <f>B25+B29</f>
        <v>1.679029170797159</v>
      </c>
      <c r="C30" s="161" t="s">
        <v>700</v>
      </c>
      <c r="E30" s="591"/>
      <c r="F30" s="576"/>
      <c r="G30" s="290"/>
      <c r="H30" s="575">
        <v>20</v>
      </c>
      <c r="I30" s="581">
        <v>54.363368204370097</v>
      </c>
      <c r="J30" s="581">
        <v>93.299714085259396</v>
      </c>
      <c r="K30" s="581">
        <v>0</v>
      </c>
      <c r="L30" s="581">
        <v>0.65520062797840606</v>
      </c>
      <c r="M30" s="581">
        <v>0</v>
      </c>
      <c r="N30" s="581">
        <v>10.2297865989848</v>
      </c>
      <c r="O30" s="581">
        <v>20.093095538334403</v>
      </c>
      <c r="P30" s="581">
        <v>14.269326256493299</v>
      </c>
      <c r="Q30" s="289">
        <f t="shared" si="0"/>
        <v>192.9104913114204</v>
      </c>
      <c r="R30" s="582">
        <f t="shared" si="1"/>
        <v>318.85164880446138</v>
      </c>
      <c r="S30" s="288"/>
      <c r="T30" s="287"/>
      <c r="U30" s="583">
        <f t="shared" si="2"/>
        <v>0</v>
      </c>
      <c r="V30" s="286"/>
    </row>
    <row r="31" spans="1:22" x14ac:dyDescent="0.2">
      <c r="F31" s="576"/>
      <c r="G31" s="290"/>
      <c r="H31" s="577">
        <v>21</v>
      </c>
      <c r="I31" s="578">
        <v>59.577927198453196</v>
      </c>
      <c r="J31" s="578">
        <v>46.9155705597584</v>
      </c>
      <c r="K31" s="578">
        <v>0</v>
      </c>
      <c r="L31" s="578">
        <v>0.65520062797840606</v>
      </c>
      <c r="M31" s="578">
        <v>0</v>
      </c>
      <c r="N31" s="578">
        <v>2.8681644670050699</v>
      </c>
      <c r="O31" s="578">
        <v>20.901411234498401</v>
      </c>
      <c r="P31" s="578">
        <v>11.001686285319501</v>
      </c>
      <c r="Q31" s="293">
        <f t="shared" si="0"/>
        <v>141.91996037301297</v>
      </c>
      <c r="R31" s="579">
        <f t="shared" si="1"/>
        <v>227.73987424721861</v>
      </c>
      <c r="S31" s="292"/>
      <c r="T31" s="291"/>
      <c r="U31" s="580">
        <f t="shared" si="2"/>
        <v>0</v>
      </c>
      <c r="V31" s="286"/>
    </row>
    <row r="32" spans="1:22" x14ac:dyDescent="0.2">
      <c r="F32" s="576"/>
      <c r="G32" s="290"/>
      <c r="H32" s="575">
        <v>22</v>
      </c>
      <c r="I32" s="581">
        <v>31.3064213922984</v>
      </c>
      <c r="J32" s="581">
        <v>46.9155705597584</v>
      </c>
      <c r="K32" s="581">
        <v>0</v>
      </c>
      <c r="L32" s="581">
        <v>0.65520062797840606</v>
      </c>
      <c r="M32" s="581">
        <v>0</v>
      </c>
      <c r="N32" s="581">
        <v>4.3022467005076104</v>
      </c>
      <c r="O32" s="581">
        <v>20.654383938799501</v>
      </c>
      <c r="P32" s="581">
        <v>8.3179439280542802</v>
      </c>
      <c r="Q32" s="289">
        <f t="shared" si="0"/>
        <v>112.15176714739658</v>
      </c>
      <c r="R32" s="582">
        <f t="shared" si="1"/>
        <v>174.72879892983994</v>
      </c>
      <c r="S32" s="288"/>
      <c r="T32" s="287"/>
      <c r="U32" s="583">
        <f t="shared" si="2"/>
        <v>0</v>
      </c>
      <c r="V32" s="286"/>
    </row>
    <row r="33" spans="6:22" x14ac:dyDescent="0.2">
      <c r="F33" s="576"/>
      <c r="G33" s="290"/>
      <c r="H33" s="577">
        <v>23</v>
      </c>
      <c r="I33" s="578">
        <v>31.3064213922984</v>
      </c>
      <c r="J33" s="578">
        <v>46.926785984177904</v>
      </c>
      <c r="K33" s="578">
        <v>0</v>
      </c>
      <c r="L33" s="578">
        <v>0.65520062797840606</v>
      </c>
      <c r="M33" s="578">
        <v>0</v>
      </c>
      <c r="N33" s="578">
        <v>0</v>
      </c>
      <c r="O33" s="578">
        <v>20.947492985161102</v>
      </c>
      <c r="P33" s="578">
        <v>7.8888408004454806</v>
      </c>
      <c r="Q33" s="293">
        <f t="shared" si="0"/>
        <v>107.72474179006129</v>
      </c>
      <c r="R33" s="579">
        <f t="shared" si="1"/>
        <v>162.94333754431668</v>
      </c>
      <c r="S33" s="292"/>
      <c r="T33" s="291"/>
      <c r="U33" s="580">
        <f t="shared" si="2"/>
        <v>0</v>
      </c>
      <c r="V33" s="286"/>
    </row>
    <row r="34" spans="6:22" x14ac:dyDescent="0.2">
      <c r="F34" s="576"/>
      <c r="G34" s="290"/>
      <c r="H34" s="575">
        <v>24</v>
      </c>
      <c r="I34" s="581">
        <v>31.3064213922984</v>
      </c>
      <c r="J34" s="581">
        <v>27.884763557504701</v>
      </c>
      <c r="K34" s="581">
        <v>5.1431775119393901</v>
      </c>
      <c r="L34" s="581">
        <v>0.65520062797840606</v>
      </c>
      <c r="M34" s="581">
        <v>0</v>
      </c>
      <c r="N34" s="581">
        <v>4.3022467005076104</v>
      </c>
      <c r="O34" s="581">
        <v>20.721399511283</v>
      </c>
      <c r="P34" s="581">
        <v>6.92918097902285</v>
      </c>
      <c r="Q34" s="289">
        <f t="shared" si="0"/>
        <v>96.94239028053434</v>
      </c>
      <c r="R34" s="582">
        <f t="shared" si="1"/>
        <v>142.36316838954389</v>
      </c>
      <c r="S34" s="288"/>
      <c r="T34" s="287"/>
      <c r="U34" s="583">
        <f t="shared" si="2"/>
        <v>0</v>
      </c>
      <c r="V34" s="286"/>
    </row>
    <row r="35" spans="6:22" x14ac:dyDescent="0.2">
      <c r="F35" s="576"/>
      <c r="G35" s="290"/>
      <c r="H35" s="577">
        <v>25</v>
      </c>
      <c r="I35" s="578">
        <v>31.3064213922984</v>
      </c>
      <c r="J35" s="578">
        <v>16.906851557504698</v>
      </c>
      <c r="K35" s="578">
        <v>25.267838103909103</v>
      </c>
      <c r="L35" s="578">
        <v>0.65520062797840606</v>
      </c>
      <c r="M35" s="578">
        <v>0</v>
      </c>
      <c r="N35" s="578">
        <v>10.5548452385787</v>
      </c>
      <c r="O35" s="578">
        <v>20.607057265781499</v>
      </c>
      <c r="P35" s="578">
        <v>8.4691156920269304</v>
      </c>
      <c r="Q35" s="293">
        <f t="shared" si="0"/>
        <v>113.76732987807772</v>
      </c>
      <c r="R35" s="579">
        <f t="shared" si="1"/>
        <v>162.20500914108982</v>
      </c>
      <c r="S35" s="292"/>
      <c r="T35" s="291"/>
      <c r="U35" s="580">
        <f t="shared" si="2"/>
        <v>0</v>
      </c>
      <c r="V35" s="286"/>
    </row>
    <row r="36" spans="6:22" x14ac:dyDescent="0.2">
      <c r="F36" s="576"/>
      <c r="G36" s="290"/>
      <c r="H36" s="575">
        <v>26</v>
      </c>
      <c r="I36" s="581">
        <v>31.3064213922984</v>
      </c>
      <c r="J36" s="581">
        <v>6.4703855215989305</v>
      </c>
      <c r="K36" s="581">
        <v>25.267838103909103</v>
      </c>
      <c r="L36" s="581">
        <v>0.65520062797840606</v>
      </c>
      <c r="M36" s="581">
        <v>0</v>
      </c>
      <c r="N36" s="581">
        <v>26.291507614213199</v>
      </c>
      <c r="O36" s="581">
        <v>20.565645725269402</v>
      </c>
      <c r="P36" s="581">
        <v>8.9991353259998004</v>
      </c>
      <c r="Q36" s="289">
        <f t="shared" si="0"/>
        <v>119.55613431126724</v>
      </c>
      <c r="R36" s="582">
        <f t="shared" si="1"/>
        <v>165.49365056653713</v>
      </c>
      <c r="S36" s="288"/>
      <c r="T36" s="287"/>
      <c r="U36" s="583">
        <f t="shared" si="2"/>
        <v>0</v>
      </c>
      <c r="V36" s="286"/>
    </row>
    <row r="37" spans="6:22" x14ac:dyDescent="0.2">
      <c r="F37" s="576"/>
      <c r="G37" s="290"/>
      <c r="H37" s="577">
        <v>27</v>
      </c>
      <c r="I37" s="578">
        <v>31.3064213922984</v>
      </c>
      <c r="J37" s="578">
        <v>25.1593492715926</v>
      </c>
      <c r="K37" s="578">
        <v>99.213074612507</v>
      </c>
      <c r="L37" s="578">
        <v>0.71161815389810201</v>
      </c>
      <c r="M37" s="578">
        <v>0</v>
      </c>
      <c r="N37" s="578">
        <v>0</v>
      </c>
      <c r="O37" s="578">
        <v>20.901732464531801</v>
      </c>
      <c r="P37" s="578">
        <v>15.6390463430296</v>
      </c>
      <c r="Q37" s="293">
        <f t="shared" si="0"/>
        <v>192.9312422378575</v>
      </c>
      <c r="R37" s="579">
        <f t="shared" si="1"/>
        <v>259.28345653066515</v>
      </c>
      <c r="S37" s="292"/>
      <c r="T37" s="291"/>
      <c r="U37" s="580">
        <f t="shared" si="2"/>
        <v>0</v>
      </c>
      <c r="V37" s="286"/>
    </row>
    <row r="38" spans="6:22" x14ac:dyDescent="0.2">
      <c r="F38" s="576"/>
      <c r="G38" s="290"/>
      <c r="H38" s="575">
        <v>28</v>
      </c>
      <c r="I38" s="581">
        <v>0</v>
      </c>
      <c r="J38" s="581">
        <v>23.432206941524701</v>
      </c>
      <c r="K38" s="581">
        <v>339.721816445493</v>
      </c>
      <c r="L38" s="581">
        <v>0.75276357399361804</v>
      </c>
      <c r="M38" s="581">
        <v>0</v>
      </c>
      <c r="N38" s="581">
        <v>4.3022467005076104</v>
      </c>
      <c r="O38" s="581">
        <v>20.960616331020301</v>
      </c>
      <c r="P38" s="581">
        <v>36.820903366151903</v>
      </c>
      <c r="Q38" s="289">
        <f t="shared" si="0"/>
        <v>425.99055335869116</v>
      </c>
      <c r="R38" s="582">
        <f t="shared" si="1"/>
        <v>555.82105058700108</v>
      </c>
      <c r="S38" s="288"/>
      <c r="T38" s="287"/>
      <c r="U38" s="583">
        <f t="shared" si="2"/>
        <v>0</v>
      </c>
      <c r="V38" s="286"/>
    </row>
    <row r="39" spans="6:22" x14ac:dyDescent="0.2">
      <c r="F39" s="576"/>
      <c r="G39" s="290"/>
      <c r="H39" s="577">
        <v>29</v>
      </c>
      <c r="I39" s="578">
        <v>0</v>
      </c>
      <c r="J39" s="578">
        <v>5.5936472873904304</v>
      </c>
      <c r="K39" s="578">
        <v>221.70324336508202</v>
      </c>
      <c r="L39" s="578">
        <v>20.623408084103602</v>
      </c>
      <c r="M39" s="578">
        <v>0</v>
      </c>
      <c r="N39" s="578">
        <v>0</v>
      </c>
      <c r="O39" s="578">
        <v>40.273895529208801</v>
      </c>
      <c r="P39" s="578">
        <v>24.444029873657598</v>
      </c>
      <c r="Q39" s="293">
        <f t="shared" si="0"/>
        <v>312.63822413944246</v>
      </c>
      <c r="R39" s="579">
        <f t="shared" si="1"/>
        <v>396.04074863800128</v>
      </c>
      <c r="S39" s="292"/>
      <c r="T39" s="291"/>
      <c r="U39" s="580">
        <f t="shared" si="2"/>
        <v>0</v>
      </c>
      <c r="V39" s="286"/>
    </row>
    <row r="40" spans="6:22" x14ac:dyDescent="0.2">
      <c r="F40" s="576"/>
      <c r="G40" s="290"/>
      <c r="H40" s="575">
        <v>30</v>
      </c>
      <c r="I40" s="581">
        <v>0</v>
      </c>
      <c r="J40" s="581">
        <v>0</v>
      </c>
      <c r="K40" s="581">
        <v>295.94655173965498</v>
      </c>
      <c r="L40" s="581">
        <v>21.362483343664898</v>
      </c>
      <c r="M40" s="581">
        <v>0</v>
      </c>
      <c r="N40" s="581">
        <v>10.2297865989848</v>
      </c>
      <c r="O40" s="581">
        <v>40.521463707111501</v>
      </c>
      <c r="P40" s="581">
        <v>32.753882168230504</v>
      </c>
      <c r="Q40" s="289">
        <f t="shared" si="0"/>
        <v>400.81416755764667</v>
      </c>
      <c r="R40" s="582">
        <f t="shared" si="1"/>
        <v>492.95086957117439</v>
      </c>
      <c r="S40" s="288"/>
      <c r="T40" s="287"/>
      <c r="U40" s="583">
        <f t="shared" si="2"/>
        <v>0</v>
      </c>
      <c r="V40" s="286"/>
    </row>
    <row r="41" spans="6:22" x14ac:dyDescent="0.2">
      <c r="F41" s="576"/>
      <c r="G41" s="290"/>
      <c r="H41" s="577">
        <v>31</v>
      </c>
      <c r="I41" s="578">
        <v>0</v>
      </c>
      <c r="J41" s="578">
        <v>0</v>
      </c>
      <c r="K41" s="578">
        <v>782.01049407577102</v>
      </c>
      <c r="L41" s="578">
        <v>39.299355198537505</v>
      </c>
      <c r="M41" s="578">
        <v>0</v>
      </c>
      <c r="N41" s="578">
        <v>2.8681644670050699</v>
      </c>
      <c r="O41" s="578">
        <v>42.691643983427504</v>
      </c>
      <c r="P41" s="578">
        <v>82.4178013741315</v>
      </c>
      <c r="Q41" s="293">
        <f t="shared" si="0"/>
        <v>949.28745909887255</v>
      </c>
      <c r="R41" s="579">
        <f t="shared" si="1"/>
        <v>1133.4988706031877</v>
      </c>
      <c r="S41" s="292"/>
      <c r="T41" s="291"/>
      <c r="U41" s="580">
        <f t="shared" si="2"/>
        <v>0</v>
      </c>
      <c r="V41" s="286"/>
    </row>
    <row r="42" spans="6:22" x14ac:dyDescent="0.2">
      <c r="F42" s="576"/>
      <c r="G42" s="290"/>
      <c r="H42" s="575">
        <v>32</v>
      </c>
      <c r="I42" s="581">
        <v>0</v>
      </c>
      <c r="J42" s="581">
        <v>0</v>
      </c>
      <c r="K42" s="581">
        <v>348.68819322120902</v>
      </c>
      <c r="L42" s="581">
        <v>55.182084991835502</v>
      </c>
      <c r="M42" s="581">
        <v>0</v>
      </c>
      <c r="N42" s="581">
        <v>4.3022467005076104</v>
      </c>
      <c r="O42" s="581">
        <v>48.699611204376602</v>
      </c>
      <c r="P42" s="581">
        <v>40.817252491355198</v>
      </c>
      <c r="Q42" s="289">
        <f t="shared" si="0"/>
        <v>497.68938860928392</v>
      </c>
      <c r="R42" s="582">
        <f t="shared" si="1"/>
        <v>576.95840526896052</v>
      </c>
      <c r="S42" s="288"/>
      <c r="T42" s="287"/>
      <c r="U42" s="583">
        <f t="shared" si="2"/>
        <v>0</v>
      </c>
      <c r="V42" s="286"/>
    </row>
    <row r="43" spans="6:22" x14ac:dyDescent="0.2">
      <c r="F43" s="576"/>
      <c r="G43" s="290"/>
      <c r="H43" s="577">
        <v>33</v>
      </c>
      <c r="I43" s="578">
        <v>0</v>
      </c>
      <c r="J43" s="578">
        <v>0</v>
      </c>
      <c r="K43" s="578">
        <v>351.62279419961902</v>
      </c>
      <c r="L43" s="578">
        <v>57.956157020784701</v>
      </c>
      <c r="M43" s="578">
        <v>0.21548975933901801</v>
      </c>
      <c r="N43" s="578">
        <v>0</v>
      </c>
      <c r="O43" s="578">
        <v>51.372351869213603</v>
      </c>
      <c r="P43" s="578">
        <v>40.979444097974302</v>
      </c>
      <c r="Q43" s="293">
        <f t="shared" si="0"/>
        <v>502.14623694693063</v>
      </c>
      <c r="R43" s="579">
        <f t="shared" si="1"/>
        <v>565.17001359211781</v>
      </c>
      <c r="S43" s="292"/>
      <c r="T43" s="291"/>
      <c r="U43" s="580">
        <f t="shared" si="2"/>
        <v>0</v>
      </c>
      <c r="V43" s="286"/>
    </row>
    <row r="44" spans="6:22" x14ac:dyDescent="0.2">
      <c r="F44" s="576"/>
      <c r="G44" s="290"/>
      <c r="H44" s="575">
        <v>34</v>
      </c>
      <c r="I44" s="581">
        <v>0</v>
      </c>
      <c r="J44" s="581">
        <v>0</v>
      </c>
      <c r="K44" s="581">
        <v>441.62466790199699</v>
      </c>
      <c r="L44" s="581">
        <v>59.897047627697802</v>
      </c>
      <c r="M44" s="581">
        <v>0.21548975933901801</v>
      </c>
      <c r="N44" s="581">
        <v>4.3022467005076104</v>
      </c>
      <c r="O44" s="581">
        <v>49.650982589746597</v>
      </c>
      <c r="P44" s="581">
        <v>50.6039451989542</v>
      </c>
      <c r="Q44" s="289">
        <f t="shared" si="0"/>
        <v>606.29437977824216</v>
      </c>
      <c r="R44" s="582">
        <f t="shared" si="1"/>
        <v>662.51423873193914</v>
      </c>
      <c r="S44" s="288"/>
      <c r="T44" s="287"/>
      <c r="U44" s="583">
        <f t="shared" si="2"/>
        <v>0</v>
      </c>
      <c r="V44" s="286"/>
    </row>
    <row r="45" spans="6:22" x14ac:dyDescent="0.2">
      <c r="F45" s="576"/>
      <c r="G45" s="290"/>
      <c r="H45" s="577">
        <v>35</v>
      </c>
      <c r="I45" s="578">
        <v>0</v>
      </c>
      <c r="J45" s="578">
        <v>0</v>
      </c>
      <c r="K45" s="578">
        <v>650.72595121067104</v>
      </c>
      <c r="L45" s="578">
        <v>59.897047627697802</v>
      </c>
      <c r="M45" s="578">
        <v>0.21548975933901801</v>
      </c>
      <c r="N45" s="578">
        <v>13.6142206700508</v>
      </c>
      <c r="O45" s="578">
        <v>48.272249784813297</v>
      </c>
      <c r="P45" s="578">
        <v>72.445270926775905</v>
      </c>
      <c r="Q45" s="293">
        <f t="shared" si="0"/>
        <v>845.17022997934794</v>
      </c>
      <c r="R45" s="579">
        <f t="shared" si="1"/>
        <v>896.64109698509026</v>
      </c>
      <c r="S45" s="292"/>
      <c r="T45" s="291"/>
      <c r="U45" s="580">
        <f t="shared" si="2"/>
        <v>0</v>
      </c>
      <c r="V45" s="286"/>
    </row>
    <row r="46" spans="6:22" x14ac:dyDescent="0.2">
      <c r="F46" s="576"/>
      <c r="G46" s="290"/>
      <c r="H46" s="575">
        <v>36</v>
      </c>
      <c r="I46" s="581">
        <v>0</v>
      </c>
      <c r="J46" s="581">
        <v>0</v>
      </c>
      <c r="K46" s="581">
        <v>440.63123352327796</v>
      </c>
      <c r="L46" s="581">
        <v>71.207684564649298</v>
      </c>
      <c r="M46" s="581">
        <v>0.583424366513003</v>
      </c>
      <c r="N46" s="581">
        <v>45.412604060913701</v>
      </c>
      <c r="O46" s="581">
        <v>65.3752221456445</v>
      </c>
      <c r="P46" s="581">
        <v>55.783494651535399</v>
      </c>
      <c r="Q46" s="289">
        <f t="shared" si="0"/>
        <v>678.99366331253395</v>
      </c>
      <c r="R46" s="582">
        <f t="shared" si="1"/>
        <v>699.36347321190999</v>
      </c>
      <c r="S46" s="288"/>
      <c r="T46" s="287"/>
      <c r="U46" s="583">
        <f t="shared" si="2"/>
        <v>0</v>
      </c>
      <c r="V46" s="286"/>
    </row>
    <row r="47" spans="6:22" x14ac:dyDescent="0.2">
      <c r="F47" s="576"/>
      <c r="G47" s="290"/>
      <c r="H47" s="577">
        <v>37</v>
      </c>
      <c r="I47" s="578">
        <v>0</v>
      </c>
      <c r="J47" s="578">
        <v>0</v>
      </c>
      <c r="K47" s="578">
        <v>154.35641617452902</v>
      </c>
      <c r="L47" s="578">
        <v>138.16416382193401</v>
      </c>
      <c r="M47" s="578">
        <v>1.0279277278328101</v>
      </c>
      <c r="N47" s="578">
        <v>110.902359390863</v>
      </c>
      <c r="O47" s="578">
        <v>72.123939746303506</v>
      </c>
      <c r="P47" s="578">
        <v>40.445086711515899</v>
      </c>
      <c r="Q47" s="293">
        <f t="shared" si="0"/>
        <v>517.01989357297828</v>
      </c>
      <c r="R47" s="579">
        <f t="shared" si="1"/>
        <v>517.01989357297828</v>
      </c>
      <c r="S47" s="292"/>
      <c r="T47" s="291">
        <v>800</v>
      </c>
      <c r="U47" s="580">
        <f t="shared" si="2"/>
        <v>800</v>
      </c>
      <c r="V47" s="286"/>
    </row>
    <row r="48" spans="6:22" x14ac:dyDescent="0.2">
      <c r="F48" s="576"/>
      <c r="G48" s="290"/>
      <c r="H48" s="575">
        <v>38</v>
      </c>
      <c r="I48" s="581">
        <v>0</v>
      </c>
      <c r="J48" s="581">
        <v>0</v>
      </c>
      <c r="K48" s="581">
        <v>206.88624580524399</v>
      </c>
      <c r="L48" s="581">
        <v>137.528317962518</v>
      </c>
      <c r="M48" s="581">
        <v>0.365223452409145</v>
      </c>
      <c r="N48" s="581">
        <v>4.3022467005076104</v>
      </c>
      <c r="O48" s="581">
        <v>70.829658084111301</v>
      </c>
      <c r="P48" s="581">
        <v>34.908203392067904</v>
      </c>
      <c r="Q48" s="289">
        <f t="shared" si="0"/>
        <v>454.81989539685799</v>
      </c>
      <c r="R48" s="582">
        <f t="shared" si="1"/>
        <v>441.57271397753203</v>
      </c>
      <c r="S48" s="288"/>
      <c r="T48" s="287">
        <v>800</v>
      </c>
      <c r="U48" s="583">
        <f t="shared" si="2"/>
        <v>776.69902912621353</v>
      </c>
      <c r="V48" s="286"/>
    </row>
    <row r="49" spans="6:22" x14ac:dyDescent="0.2">
      <c r="F49" s="576"/>
      <c r="G49" s="290"/>
      <c r="H49" s="577">
        <v>39</v>
      </c>
      <c r="I49" s="578">
        <v>0</v>
      </c>
      <c r="J49" s="578">
        <v>0</v>
      </c>
      <c r="K49" s="578">
        <v>202.84350947647599</v>
      </c>
      <c r="L49" s="578">
        <v>137.528132363596</v>
      </c>
      <c r="M49" s="578">
        <v>0.365223452409145</v>
      </c>
      <c r="N49" s="578">
        <v>1.52968771573604</v>
      </c>
      <c r="O49" s="578">
        <v>68.265152539599512</v>
      </c>
      <c r="P49" s="578">
        <v>34.226655300821697</v>
      </c>
      <c r="Q49" s="293">
        <f t="shared" si="0"/>
        <v>444.7583608486384</v>
      </c>
      <c r="R49" s="579">
        <f t="shared" si="1"/>
        <v>419.22741148896074</v>
      </c>
      <c r="S49" s="292"/>
      <c r="T49" s="291">
        <v>800</v>
      </c>
      <c r="U49" s="580">
        <f t="shared" si="2"/>
        <v>754.07672730700347</v>
      </c>
      <c r="V49" s="286"/>
    </row>
    <row r="50" spans="6:22" x14ac:dyDescent="0.2">
      <c r="F50" s="576"/>
      <c r="G50" s="290"/>
      <c r="H50" s="575">
        <v>40</v>
      </c>
      <c r="I50" s="581">
        <v>0</v>
      </c>
      <c r="J50" s="581">
        <v>0</v>
      </c>
      <c r="K50" s="581">
        <v>202.61654769684398</v>
      </c>
      <c r="L50" s="581">
        <v>137.58756898773001</v>
      </c>
      <c r="M50" s="581">
        <v>0.365223452409145</v>
      </c>
      <c r="N50" s="581">
        <v>10.2297865989848</v>
      </c>
      <c r="O50" s="581">
        <v>65.889635537401304</v>
      </c>
      <c r="P50" s="581">
        <v>35.079912673596802</v>
      </c>
      <c r="Q50" s="289">
        <f t="shared" si="0"/>
        <v>451.76867494696609</v>
      </c>
      <c r="R50" s="582">
        <f t="shared" si="1"/>
        <v>413.43233483474472</v>
      </c>
      <c r="S50" s="288"/>
      <c r="T50" s="287">
        <v>800</v>
      </c>
      <c r="U50" s="583">
        <f t="shared" si="2"/>
        <v>732.11332748252767</v>
      </c>
      <c r="V50" s="286"/>
    </row>
    <row r="51" spans="6:22" x14ac:dyDescent="0.2">
      <c r="F51" s="576"/>
      <c r="G51" s="290"/>
      <c r="H51" s="577">
        <v>41</v>
      </c>
      <c r="I51" s="578">
        <v>0</v>
      </c>
      <c r="J51" s="578">
        <v>0</v>
      </c>
      <c r="K51" s="578">
        <v>203.96194678484798</v>
      </c>
      <c r="L51" s="578">
        <v>137.58756898773001</v>
      </c>
      <c r="M51" s="578">
        <v>0.365223452409145</v>
      </c>
      <c r="N51" s="578">
        <v>4.3978521827411097</v>
      </c>
      <c r="O51" s="578">
        <v>63.887539663622199</v>
      </c>
      <c r="P51" s="578">
        <v>34.631259140772904</v>
      </c>
      <c r="Q51" s="293">
        <f t="shared" si="0"/>
        <v>444.83139021212338</v>
      </c>
      <c r="R51" s="579">
        <f t="shared" si="1"/>
        <v>395.22692870980143</v>
      </c>
      <c r="S51" s="292"/>
      <c r="T51" s="291">
        <v>800</v>
      </c>
      <c r="U51" s="580">
        <f t="shared" si="2"/>
        <v>710.78963833255114</v>
      </c>
      <c r="V51" s="286"/>
    </row>
    <row r="52" spans="6:22" x14ac:dyDescent="0.2">
      <c r="F52" s="576"/>
      <c r="G52" s="290"/>
      <c r="H52" s="575">
        <v>42</v>
      </c>
      <c r="I52" s="581">
        <v>0</v>
      </c>
      <c r="J52" s="581">
        <v>0</v>
      </c>
      <c r="K52" s="581">
        <v>88.022185648249405</v>
      </c>
      <c r="L52" s="581">
        <v>136.02880684729499</v>
      </c>
      <c r="M52" s="581">
        <v>0.365223452409145</v>
      </c>
      <c r="N52" s="581">
        <v>10.0385756345178</v>
      </c>
      <c r="O52" s="581">
        <v>70.075361447594105</v>
      </c>
      <c r="P52" s="581">
        <v>23.4454791582471</v>
      </c>
      <c r="Q52" s="289">
        <f t="shared" si="0"/>
        <v>327.97563218831255</v>
      </c>
      <c r="R52" s="582">
        <f t="shared" si="1"/>
        <v>282.91466138958799</v>
      </c>
      <c r="S52" s="288"/>
      <c r="T52" s="287">
        <v>800</v>
      </c>
      <c r="U52" s="583">
        <f t="shared" si="2"/>
        <v>690.0870275073313</v>
      </c>
      <c r="V52" s="286"/>
    </row>
    <row r="53" spans="6:22" x14ac:dyDescent="0.2">
      <c r="F53" s="576"/>
      <c r="G53" s="290"/>
      <c r="H53" s="577">
        <v>43</v>
      </c>
      <c r="I53" s="578">
        <v>0</v>
      </c>
      <c r="J53" s="578">
        <v>0</v>
      </c>
      <c r="K53" s="578">
        <v>61.469318058805598</v>
      </c>
      <c r="L53" s="578">
        <v>138.03025453895299</v>
      </c>
      <c r="M53" s="578">
        <v>0.365223452409145</v>
      </c>
      <c r="N53" s="578">
        <v>1.52968771573604</v>
      </c>
      <c r="O53" s="578">
        <v>70.671688193754804</v>
      </c>
      <c r="P53" s="578">
        <v>20.139448376590401</v>
      </c>
      <c r="Q53" s="293">
        <f t="shared" si="0"/>
        <v>292.20562033624896</v>
      </c>
      <c r="R53" s="579">
        <f t="shared" si="1"/>
        <v>244.71760674608959</v>
      </c>
      <c r="S53" s="292"/>
      <c r="T53" s="291">
        <v>800</v>
      </c>
      <c r="U53" s="580">
        <f t="shared" si="2"/>
        <v>669.98740534692354</v>
      </c>
      <c r="V53" s="286"/>
    </row>
    <row r="54" spans="6:22" x14ac:dyDescent="0.2">
      <c r="F54" s="576"/>
      <c r="G54" s="290"/>
      <c r="H54" s="575">
        <v>44</v>
      </c>
      <c r="I54" s="581">
        <v>0</v>
      </c>
      <c r="J54" s="581">
        <v>0</v>
      </c>
      <c r="K54" s="581">
        <v>64.272071738733899</v>
      </c>
      <c r="L54" s="581">
        <v>135.864513101927</v>
      </c>
      <c r="M54" s="581">
        <v>0.365223452409145</v>
      </c>
      <c r="N54" s="581">
        <v>4.3022467005076104</v>
      </c>
      <c r="O54" s="581">
        <v>68.774876298557402</v>
      </c>
      <c r="P54" s="581">
        <v>20.480405499357701</v>
      </c>
      <c r="Q54" s="289">
        <f t="shared" si="0"/>
        <v>294.05933679149274</v>
      </c>
      <c r="R54" s="582">
        <f t="shared" si="1"/>
        <v>239.0971505764191</v>
      </c>
      <c r="S54" s="288"/>
      <c r="T54" s="287">
        <v>800</v>
      </c>
      <c r="U54" s="583">
        <f t="shared" si="2"/>
        <v>650.47320907468304</v>
      </c>
      <c r="V54" s="286"/>
    </row>
    <row r="55" spans="6:22" x14ac:dyDescent="0.2">
      <c r="F55" s="576"/>
      <c r="G55" s="290"/>
      <c r="H55" s="577">
        <v>45</v>
      </c>
      <c r="I55" s="578">
        <v>0</v>
      </c>
      <c r="J55" s="578">
        <v>0</v>
      </c>
      <c r="K55" s="578">
        <v>42.283135819190505</v>
      </c>
      <c r="L55" s="578">
        <v>135.104869724331</v>
      </c>
      <c r="M55" s="578">
        <v>0.365223452409145</v>
      </c>
      <c r="N55" s="578">
        <v>12.0845329543147</v>
      </c>
      <c r="O55" s="578">
        <v>67.113417810446506</v>
      </c>
      <c r="P55" s="578">
        <v>18.9837761950245</v>
      </c>
      <c r="Q55" s="293">
        <f t="shared" si="0"/>
        <v>275.93495595571636</v>
      </c>
      <c r="R55" s="579">
        <f t="shared" si="1"/>
        <v>217.82560230145165</v>
      </c>
      <c r="S55" s="292"/>
      <c r="T55" s="291">
        <v>800</v>
      </c>
      <c r="U55" s="580">
        <f t="shared" si="2"/>
        <v>631.52738745114857</v>
      </c>
      <c r="V55" s="286"/>
    </row>
    <row r="56" spans="6:22" x14ac:dyDescent="0.2">
      <c r="F56" s="576"/>
      <c r="G56" s="290"/>
      <c r="H56" s="575">
        <v>46</v>
      </c>
      <c r="I56" s="581">
        <v>0</v>
      </c>
      <c r="J56" s="581">
        <v>0</v>
      </c>
      <c r="K56" s="581">
        <v>43.990018148870803</v>
      </c>
      <c r="L56" s="581">
        <v>134.04782761152001</v>
      </c>
      <c r="M56" s="581">
        <v>0.365223452409145</v>
      </c>
      <c r="N56" s="581">
        <v>26.291507614213199</v>
      </c>
      <c r="O56" s="581">
        <v>65.704406458713109</v>
      </c>
      <c r="P56" s="581">
        <v>20.4694576827013</v>
      </c>
      <c r="Q56" s="289">
        <f t="shared" si="0"/>
        <v>290.86844096842759</v>
      </c>
      <c r="R56" s="582">
        <f t="shared" si="1"/>
        <v>222.92644006890743</v>
      </c>
      <c r="S56" s="288"/>
      <c r="T56" s="287">
        <v>800</v>
      </c>
      <c r="U56" s="583">
        <f t="shared" si="2"/>
        <v>613.13338587490159</v>
      </c>
      <c r="V56" s="286"/>
    </row>
    <row r="57" spans="6:22" x14ac:dyDescent="0.2">
      <c r="F57" s="576"/>
      <c r="G57" s="290"/>
      <c r="H57" s="577">
        <v>47</v>
      </c>
      <c r="I57" s="578">
        <v>0</v>
      </c>
      <c r="J57" s="578">
        <v>0</v>
      </c>
      <c r="K57" s="578">
        <v>123.16919086332301</v>
      </c>
      <c r="L57" s="578">
        <v>161.410262896614</v>
      </c>
      <c r="M57" s="578">
        <v>0.365223452409145</v>
      </c>
      <c r="N57" s="578">
        <v>28.2992227411168</v>
      </c>
      <c r="O57" s="578">
        <v>59.194060201877207</v>
      </c>
      <c r="P57" s="578">
        <v>31.324389995346397</v>
      </c>
      <c r="Q57" s="293">
        <f t="shared" si="0"/>
        <v>403.76235015068659</v>
      </c>
      <c r="R57" s="579">
        <f t="shared" si="1"/>
        <v>300.43710781152674</v>
      </c>
      <c r="S57" s="292"/>
      <c r="T57" s="291">
        <v>800</v>
      </c>
      <c r="U57" s="580">
        <f t="shared" si="2"/>
        <v>595.27513191738012</v>
      </c>
      <c r="V57" s="286"/>
    </row>
    <row r="58" spans="6:22" x14ac:dyDescent="0.2">
      <c r="F58" s="576"/>
      <c r="G58" s="290"/>
      <c r="H58" s="575">
        <v>48</v>
      </c>
      <c r="I58" s="581">
        <v>0</v>
      </c>
      <c r="J58" s="581">
        <v>0</v>
      </c>
      <c r="K58" s="581">
        <v>211.78068398028199</v>
      </c>
      <c r="L58" s="581">
        <v>165.14996644884999</v>
      </c>
      <c r="M58" s="581">
        <v>0.365223452409145</v>
      </c>
      <c r="N58" s="581">
        <v>4.3022467005076104</v>
      </c>
      <c r="O58" s="581">
        <v>58.034480143701799</v>
      </c>
      <c r="P58" s="581">
        <v>38.159812058204899</v>
      </c>
      <c r="Q58" s="289">
        <f t="shared" si="0"/>
        <v>477.79241278395551</v>
      </c>
      <c r="R58" s="582">
        <f t="shared" si="1"/>
        <v>345.16740479258794</v>
      </c>
      <c r="S58" s="288"/>
      <c r="T58" s="287">
        <v>800</v>
      </c>
      <c r="U58" s="583">
        <f t="shared" si="2"/>
        <v>577.93702127900985</v>
      </c>
      <c r="V58" s="286"/>
    </row>
    <row r="59" spans="6:22" x14ac:dyDescent="0.2">
      <c r="F59" s="576"/>
      <c r="G59" s="290"/>
      <c r="H59" s="577">
        <v>49</v>
      </c>
      <c r="I59" s="578">
        <v>0</v>
      </c>
      <c r="J59" s="578">
        <v>0</v>
      </c>
      <c r="K59" s="578">
        <v>164.06314994164802</v>
      </c>
      <c r="L59" s="578">
        <v>165.14996644884999</v>
      </c>
      <c r="M59" s="578">
        <v>0.365223452409145</v>
      </c>
      <c r="N59" s="578">
        <v>1.52968771573604</v>
      </c>
      <c r="O59" s="578">
        <v>57.548051976384002</v>
      </c>
      <c r="P59" s="578">
        <v>33.110802755864398</v>
      </c>
      <c r="Q59" s="293">
        <f t="shared" si="0"/>
        <v>421.76688229089166</v>
      </c>
      <c r="R59" s="579">
        <f t="shared" si="1"/>
        <v>295.8188053705494</v>
      </c>
      <c r="S59" s="292"/>
      <c r="T59" s="291">
        <v>800</v>
      </c>
      <c r="U59" s="580">
        <f t="shared" si="2"/>
        <v>561.1039041543786</v>
      </c>
      <c r="V59" s="286"/>
    </row>
    <row r="60" spans="6:22" x14ac:dyDescent="0.2">
      <c r="F60" s="576"/>
      <c r="G60" s="290"/>
      <c r="H60" s="575">
        <v>50</v>
      </c>
      <c r="I60" s="581">
        <v>0</v>
      </c>
      <c r="J60" s="581">
        <v>0</v>
      </c>
      <c r="K60" s="581">
        <v>176.447090861992</v>
      </c>
      <c r="L60" s="581">
        <v>185.372902640783</v>
      </c>
      <c r="M60" s="581">
        <v>0.52555605554215101</v>
      </c>
      <c r="N60" s="581">
        <v>10.2297865989848</v>
      </c>
      <c r="O60" s="581">
        <v>54.939167751149306</v>
      </c>
      <c r="P60" s="581">
        <v>37.257533615730303</v>
      </c>
      <c r="Q60" s="289">
        <f t="shared" si="0"/>
        <v>464.77203752418154</v>
      </c>
      <c r="R60" s="582">
        <f t="shared" si="1"/>
        <v>316.48714174345099</v>
      </c>
      <c r="S60" s="288"/>
      <c r="T60" s="287">
        <v>800</v>
      </c>
      <c r="U60" s="583">
        <f t="shared" si="2"/>
        <v>544.76107199454236</v>
      </c>
      <c r="V60" s="286"/>
    </row>
    <row r="61" spans="6:22" x14ac:dyDescent="0.2">
      <c r="F61" s="576"/>
      <c r="G61" s="290"/>
      <c r="H61" s="577">
        <v>51</v>
      </c>
      <c r="I61" s="578">
        <v>0</v>
      </c>
      <c r="J61" s="578">
        <v>0</v>
      </c>
      <c r="K61" s="578">
        <v>213.58236884505502</v>
      </c>
      <c r="L61" s="578">
        <v>183.49804111301702</v>
      </c>
      <c r="M61" s="578">
        <v>0.52555605554215101</v>
      </c>
      <c r="N61" s="578">
        <v>4.3978521827411097</v>
      </c>
      <c r="O61" s="578">
        <v>53.838237691762401</v>
      </c>
      <c r="P61" s="578">
        <v>40.200381819635503</v>
      </c>
      <c r="Q61" s="293">
        <f t="shared" si="0"/>
        <v>496.04243770775321</v>
      </c>
      <c r="R61" s="579">
        <f t="shared" si="1"/>
        <v>327.9424880102689</v>
      </c>
      <c r="S61" s="292"/>
      <c r="T61" s="291">
        <v>800</v>
      </c>
      <c r="U61" s="580">
        <f t="shared" si="2"/>
        <v>528.89424465489537</v>
      </c>
      <c r="V61" s="286"/>
    </row>
    <row r="62" spans="6:22" x14ac:dyDescent="0.2">
      <c r="F62" s="576"/>
      <c r="G62" s="290"/>
      <c r="H62" s="575">
        <v>52</v>
      </c>
      <c r="I62" s="581">
        <v>0</v>
      </c>
      <c r="J62" s="581">
        <v>0</v>
      </c>
      <c r="K62" s="581">
        <v>90.62485978773951</v>
      </c>
      <c r="L62" s="581">
        <v>184.12476646783</v>
      </c>
      <c r="M62" s="581">
        <v>0.52555605554215101</v>
      </c>
      <c r="N62" s="581">
        <v>10.0385756345178</v>
      </c>
      <c r="O62" s="581">
        <v>61.028422416717</v>
      </c>
      <c r="P62" s="581">
        <v>28.531375794562898</v>
      </c>
      <c r="Q62" s="289">
        <f t="shared" si="0"/>
        <v>374.87355615690939</v>
      </c>
      <c r="R62" s="582">
        <f t="shared" si="1"/>
        <v>240.61707078240667</v>
      </c>
      <c r="S62" s="288"/>
      <c r="T62" s="287">
        <v>800</v>
      </c>
      <c r="U62" s="583">
        <f t="shared" si="2"/>
        <v>513.4895579173741</v>
      </c>
      <c r="V62" s="286"/>
    </row>
    <row r="63" spans="6:22" x14ac:dyDescent="0.2">
      <c r="F63" s="576"/>
      <c r="G63" s="290"/>
      <c r="H63" s="577">
        <v>53</v>
      </c>
      <c r="I63" s="578">
        <v>0</v>
      </c>
      <c r="J63" s="578">
        <v>0</v>
      </c>
      <c r="K63" s="578">
        <v>400.276613257316</v>
      </c>
      <c r="L63" s="578">
        <v>184.065323194873</v>
      </c>
      <c r="M63" s="578">
        <v>0.52555605554215101</v>
      </c>
      <c r="N63" s="578">
        <v>1.52968771573604</v>
      </c>
      <c r="O63" s="578">
        <v>59.923428726206801</v>
      </c>
      <c r="P63" s="578">
        <v>58.639718022346699</v>
      </c>
      <c r="Q63" s="293">
        <f t="shared" si="0"/>
        <v>704.96032697202054</v>
      </c>
      <c r="R63" s="579">
        <f t="shared" si="1"/>
        <v>439.30796923076508</v>
      </c>
      <c r="S63" s="292"/>
      <c r="T63" s="291">
        <v>800</v>
      </c>
      <c r="U63" s="580">
        <f t="shared" si="2"/>
        <v>498.53355137609151</v>
      </c>
      <c r="V63" s="286"/>
    </row>
    <row r="64" spans="6:22" x14ac:dyDescent="0.2">
      <c r="F64" s="576"/>
      <c r="G64" s="290"/>
      <c r="H64" s="575">
        <v>54</v>
      </c>
      <c r="I64" s="581">
        <v>0</v>
      </c>
      <c r="J64" s="581">
        <v>0</v>
      </c>
      <c r="K64" s="581">
        <v>98.320277305223499</v>
      </c>
      <c r="L64" s="581">
        <v>184.03102230889002</v>
      </c>
      <c r="M64" s="581">
        <v>0.52555605554215101</v>
      </c>
      <c r="N64" s="581">
        <v>4.3022467005076104</v>
      </c>
      <c r="O64" s="581">
        <v>62.968402432636402</v>
      </c>
      <c r="P64" s="581">
        <v>28.717910237016302</v>
      </c>
      <c r="Q64" s="289">
        <f t="shared" si="0"/>
        <v>378.86541503981601</v>
      </c>
      <c r="R64" s="582">
        <f t="shared" si="1"/>
        <v>229.21980686089361</v>
      </c>
      <c r="S64" s="288"/>
      <c r="T64" s="287">
        <v>800</v>
      </c>
      <c r="U64" s="583">
        <f t="shared" si="2"/>
        <v>484.01315667581696</v>
      </c>
      <c r="V64" s="286"/>
    </row>
    <row r="65" spans="6:22" x14ac:dyDescent="0.2">
      <c r="F65" s="576"/>
      <c r="G65" s="290"/>
      <c r="H65" s="577">
        <v>55</v>
      </c>
      <c r="I65" s="578">
        <v>0</v>
      </c>
      <c r="J65" s="578">
        <v>0</v>
      </c>
      <c r="K65" s="578">
        <v>126.42480260756399</v>
      </c>
      <c r="L65" s="578">
        <v>181.33573198146198</v>
      </c>
      <c r="M65" s="578">
        <v>0.52555605554215101</v>
      </c>
      <c r="N65" s="578">
        <v>15.143908385786801</v>
      </c>
      <c r="O65" s="578">
        <v>61.469278972971203</v>
      </c>
      <c r="P65" s="578">
        <v>32.342999903035498</v>
      </c>
      <c r="Q65" s="293">
        <f t="shared" si="0"/>
        <v>417.24227790636161</v>
      </c>
      <c r="R65" s="579">
        <f t="shared" si="1"/>
        <v>245.08586411173127</v>
      </c>
      <c r="S65" s="292"/>
      <c r="T65" s="291">
        <v>800</v>
      </c>
      <c r="U65" s="580">
        <f t="shared" si="2"/>
        <v>469.91568609302618</v>
      </c>
      <c r="V65" s="286"/>
    </row>
    <row r="66" spans="6:22" x14ac:dyDescent="0.2">
      <c r="F66" s="576"/>
      <c r="G66" s="290"/>
      <c r="H66" s="575">
        <v>56</v>
      </c>
      <c r="I66" s="581">
        <v>0</v>
      </c>
      <c r="J66" s="581">
        <v>0</v>
      </c>
      <c r="K66" s="581">
        <v>490.87413078397202</v>
      </c>
      <c r="L66" s="581">
        <v>181.42389092302</v>
      </c>
      <c r="M66" s="581">
        <v>7.3472864867166603</v>
      </c>
      <c r="N66" s="581">
        <v>45.412604060913701</v>
      </c>
      <c r="O66" s="581">
        <v>63.399224443355706</v>
      </c>
      <c r="P66" s="581">
        <v>72.505791225462204</v>
      </c>
      <c r="Q66" s="289">
        <f t="shared" si="0"/>
        <v>860.96292792344036</v>
      </c>
      <c r="R66" s="582">
        <f t="shared" si="1"/>
        <v>490.99512739782057</v>
      </c>
      <c r="S66" s="288"/>
      <c r="T66" s="287">
        <v>800</v>
      </c>
      <c r="U66" s="583">
        <f t="shared" si="2"/>
        <v>456.22882144954002</v>
      </c>
      <c r="V66" s="286"/>
    </row>
    <row r="67" spans="6:22" x14ac:dyDescent="0.2">
      <c r="F67" s="576"/>
      <c r="G67" s="290"/>
      <c r="H67" s="577">
        <v>57</v>
      </c>
      <c r="I67" s="578">
        <v>0</v>
      </c>
      <c r="J67" s="578">
        <v>0</v>
      </c>
      <c r="K67" s="578">
        <v>148.78430895311001</v>
      </c>
      <c r="L67" s="578">
        <v>181.50765542206102</v>
      </c>
      <c r="M67" s="578">
        <v>0.52555605554215101</v>
      </c>
      <c r="N67" s="578">
        <v>28.2992227411168</v>
      </c>
      <c r="O67" s="578">
        <v>63.332687499385408</v>
      </c>
      <c r="P67" s="578">
        <v>35.911674317183</v>
      </c>
      <c r="Q67" s="293">
        <f t="shared" si="0"/>
        <v>458.36110498839838</v>
      </c>
      <c r="R67" s="579">
        <f t="shared" si="1"/>
        <v>253.78343049413334</v>
      </c>
      <c r="S67" s="292"/>
      <c r="T67" s="291">
        <v>800</v>
      </c>
      <c r="U67" s="580">
        <f t="shared" si="2"/>
        <v>442.940603349068</v>
      </c>
      <c r="V67" s="286"/>
    </row>
    <row r="68" spans="6:22" x14ac:dyDescent="0.2">
      <c r="F68" s="576"/>
      <c r="G68" s="290"/>
      <c r="H68" s="575">
        <v>58</v>
      </c>
      <c r="I68" s="581">
        <v>0</v>
      </c>
      <c r="J68" s="581">
        <v>0</v>
      </c>
      <c r="K68" s="581">
        <v>181.72545329644299</v>
      </c>
      <c r="L68" s="581">
        <v>181.90017306292401</v>
      </c>
      <c r="M68" s="581">
        <v>0.52555605554215101</v>
      </c>
      <c r="N68" s="581">
        <v>4.3022467005076104</v>
      </c>
      <c r="O68" s="581">
        <v>61.320929973430104</v>
      </c>
      <c r="P68" s="581">
        <v>36.845342911541699</v>
      </c>
      <c r="Q68" s="289">
        <f t="shared" si="0"/>
        <v>466.6197020003886</v>
      </c>
      <c r="R68" s="582">
        <f t="shared" si="1"/>
        <v>250.83108293521173</v>
      </c>
      <c r="S68" s="288"/>
      <c r="T68" s="287">
        <v>800</v>
      </c>
      <c r="U68" s="583">
        <f t="shared" si="2"/>
        <v>430.0394207272505</v>
      </c>
      <c r="V68" s="286"/>
    </row>
    <row r="69" spans="6:22" x14ac:dyDescent="0.2">
      <c r="F69" s="576"/>
      <c r="G69" s="290"/>
      <c r="H69" s="577">
        <v>59</v>
      </c>
      <c r="I69" s="578">
        <v>0</v>
      </c>
      <c r="J69" s="578">
        <v>0</v>
      </c>
      <c r="K69" s="578">
        <v>175.713446787896</v>
      </c>
      <c r="L69" s="578">
        <v>181.89766306731499</v>
      </c>
      <c r="M69" s="578">
        <v>0.52555605554215101</v>
      </c>
      <c r="N69" s="578">
        <v>1.52968771573604</v>
      </c>
      <c r="O69" s="578">
        <v>59.361531604779799</v>
      </c>
      <c r="P69" s="578">
        <v>35.966635362648901</v>
      </c>
      <c r="Q69" s="293">
        <f t="shared" si="0"/>
        <v>454.99452059391791</v>
      </c>
      <c r="R69" s="579">
        <f t="shared" si="1"/>
        <v>237.45822824063288</v>
      </c>
      <c r="S69" s="292"/>
      <c r="T69" s="291">
        <v>800</v>
      </c>
      <c r="U69" s="580">
        <f t="shared" si="2"/>
        <v>417.51400070606843</v>
      </c>
      <c r="V69" s="286"/>
    </row>
    <row r="70" spans="6:22" x14ac:dyDescent="0.2">
      <c r="F70" s="576"/>
      <c r="G70" s="290"/>
      <c r="H70" s="575">
        <v>60</v>
      </c>
      <c r="I70" s="581">
        <v>0</v>
      </c>
      <c r="J70" s="581">
        <v>0</v>
      </c>
      <c r="K70" s="581">
        <v>410.50536205360197</v>
      </c>
      <c r="L70" s="581">
        <v>181.861870148299</v>
      </c>
      <c r="M70" s="581">
        <v>0.99456317880942602</v>
      </c>
      <c r="N70" s="581">
        <v>10.2297865989848</v>
      </c>
      <c r="O70" s="581">
        <v>57.477051784951399</v>
      </c>
      <c r="P70" s="581">
        <v>60.359158197969599</v>
      </c>
      <c r="Q70" s="289">
        <f t="shared" si="0"/>
        <v>721.4277919626162</v>
      </c>
      <c r="R70" s="582">
        <f t="shared" si="1"/>
        <v>365.54150927531202</v>
      </c>
      <c r="S70" s="288"/>
      <c r="T70" s="287">
        <v>800</v>
      </c>
      <c r="U70" s="583">
        <f t="shared" si="2"/>
        <v>405.35339874375575</v>
      </c>
      <c r="V70" s="286"/>
    </row>
    <row r="71" spans="6:22" x14ac:dyDescent="0.2">
      <c r="F71" s="576"/>
      <c r="G71" s="290"/>
      <c r="H71" s="577">
        <v>61</v>
      </c>
      <c r="I71" s="578">
        <v>0</v>
      </c>
      <c r="J71" s="578">
        <v>0</v>
      </c>
      <c r="K71" s="578">
        <v>273.13435425800702</v>
      </c>
      <c r="L71" s="578">
        <v>168.44268407668503</v>
      </c>
      <c r="M71" s="578">
        <v>0.48873619241706107</v>
      </c>
      <c r="N71" s="578">
        <v>4.3978521827411097</v>
      </c>
      <c r="O71" s="578">
        <v>59.395292092418202</v>
      </c>
      <c r="P71" s="578">
        <v>44.646362670985006</v>
      </c>
      <c r="Q71" s="293">
        <f t="shared" si="0"/>
        <v>550.50528147325338</v>
      </c>
      <c r="R71" s="579">
        <f t="shared" si="1"/>
        <v>270.81211998977085</v>
      </c>
      <c r="S71" s="292"/>
      <c r="T71" s="291">
        <v>800</v>
      </c>
      <c r="U71" s="580">
        <f t="shared" si="2"/>
        <v>393.54698907160758</v>
      </c>
      <c r="V71" s="286"/>
    </row>
    <row r="72" spans="6:22" x14ac:dyDescent="0.2">
      <c r="F72" s="576"/>
      <c r="G72" s="290"/>
      <c r="H72" s="575">
        <v>62</v>
      </c>
      <c r="I72" s="581">
        <v>0</v>
      </c>
      <c r="J72" s="581">
        <v>0</v>
      </c>
      <c r="K72" s="581">
        <v>29.399466161881801</v>
      </c>
      <c r="L72" s="581">
        <v>169.50043557036599</v>
      </c>
      <c r="M72" s="581">
        <v>0.51033263437277598</v>
      </c>
      <c r="N72" s="581">
        <v>10.0385756345178</v>
      </c>
      <c r="O72" s="581">
        <v>67.249071642974002</v>
      </c>
      <c r="P72" s="581">
        <v>20.944881000113899</v>
      </c>
      <c r="Q72" s="289">
        <f t="shared" si="0"/>
        <v>297.64276264422631</v>
      </c>
      <c r="R72" s="582">
        <f t="shared" si="1"/>
        <v>142.15584108930875</v>
      </c>
      <c r="S72" s="288"/>
      <c r="T72" s="287">
        <v>800</v>
      </c>
      <c r="U72" s="583">
        <f t="shared" si="2"/>
        <v>382.08445540932775</v>
      </c>
      <c r="V72" s="286"/>
    </row>
    <row r="73" spans="6:22" x14ac:dyDescent="0.2">
      <c r="F73" s="576"/>
      <c r="G73" s="290"/>
      <c r="H73" s="577">
        <v>63</v>
      </c>
      <c r="I73" s="578">
        <v>0</v>
      </c>
      <c r="J73" s="578">
        <v>0</v>
      </c>
      <c r="K73" s="578">
        <v>39.569816669034402</v>
      </c>
      <c r="L73" s="578">
        <v>184.73566094652099</v>
      </c>
      <c r="M73" s="578">
        <v>0.32570706488192003</v>
      </c>
      <c r="N73" s="578">
        <v>1.52968771573604</v>
      </c>
      <c r="O73" s="578">
        <v>63.565140717004603</v>
      </c>
      <c r="P73" s="578">
        <v>22.6160872396174</v>
      </c>
      <c r="Q73" s="293">
        <f t="shared" si="0"/>
        <v>312.34210035279534</v>
      </c>
      <c r="R73" s="579">
        <f t="shared" si="1"/>
        <v>144.83138509065944</v>
      </c>
      <c r="S73" s="292"/>
      <c r="T73" s="291">
        <v>800</v>
      </c>
      <c r="U73" s="580">
        <f t="shared" si="2"/>
        <v>370.95578195080355</v>
      </c>
      <c r="V73" s="286"/>
    </row>
    <row r="74" spans="6:22" x14ac:dyDescent="0.2">
      <c r="F74" s="576"/>
      <c r="G74" s="290"/>
      <c r="H74" s="575">
        <v>64</v>
      </c>
      <c r="I74" s="581">
        <v>0</v>
      </c>
      <c r="J74" s="581">
        <v>0</v>
      </c>
      <c r="K74" s="581">
        <v>29.891641176480498</v>
      </c>
      <c r="L74" s="581">
        <v>182.26827162707298</v>
      </c>
      <c r="M74" s="581">
        <v>0.50437696109584895</v>
      </c>
      <c r="N74" s="581">
        <v>4.3022467005076104</v>
      </c>
      <c r="O74" s="581">
        <v>61.554479220838303</v>
      </c>
      <c r="P74" s="581">
        <v>21.696653646515699</v>
      </c>
      <c r="Q74" s="289">
        <f t="shared" si="0"/>
        <v>300.21766933251098</v>
      </c>
      <c r="R74" s="582">
        <f t="shared" si="1"/>
        <v>135.15470908093374</v>
      </c>
      <c r="S74" s="288"/>
      <c r="T74" s="287">
        <v>800</v>
      </c>
      <c r="U74" s="583">
        <f t="shared" si="2"/>
        <v>360.15124461243067</v>
      </c>
      <c r="V74" s="286"/>
    </row>
    <row r="75" spans="6:22" x14ac:dyDescent="0.2">
      <c r="F75" s="576"/>
      <c r="G75" s="290"/>
      <c r="H75" s="577">
        <v>65</v>
      </c>
      <c r="I75" s="578">
        <v>0</v>
      </c>
      <c r="J75" s="578">
        <v>0</v>
      </c>
      <c r="K75" s="578">
        <v>106.838537718163</v>
      </c>
      <c r="L75" s="578">
        <v>179.10630457795202</v>
      </c>
      <c r="M75" s="578">
        <v>2.0786021410514199</v>
      </c>
      <c r="N75" s="578">
        <v>12.0845329543147</v>
      </c>
      <c r="O75" s="578">
        <v>59.743891963582605</v>
      </c>
      <c r="P75" s="578">
        <v>30.010797739148202</v>
      </c>
      <c r="Q75" s="293">
        <f t="shared" ref="Q75:Q138" si="3">SUM(I75:P75)</f>
        <v>389.86266709421187</v>
      </c>
      <c r="R75" s="579">
        <f t="shared" ref="R75:R138" si="4">$Q75/(1+$B$3)^($H75-37)</f>
        <v>170.39990871590064</v>
      </c>
      <c r="S75" s="292"/>
      <c r="T75" s="291">
        <v>800</v>
      </c>
      <c r="U75" s="580">
        <f t="shared" ref="U75:U138" si="5">$T75/(1+$B$3)^($H75-37)</f>
        <v>349.66140253634046</v>
      </c>
      <c r="V75" s="286"/>
    </row>
    <row r="76" spans="6:22" x14ac:dyDescent="0.2">
      <c r="F76" s="576"/>
      <c r="G76" s="290"/>
      <c r="H76" s="575">
        <v>66</v>
      </c>
      <c r="I76" s="581">
        <v>0</v>
      </c>
      <c r="J76" s="581">
        <v>0</v>
      </c>
      <c r="K76" s="581">
        <v>36.0025773615898</v>
      </c>
      <c r="L76" s="581">
        <v>179.045658255733</v>
      </c>
      <c r="M76" s="581">
        <v>0.59468729982719304</v>
      </c>
      <c r="N76" s="581">
        <v>26.291507614213199</v>
      </c>
      <c r="O76" s="581">
        <v>59.627381193617701</v>
      </c>
      <c r="P76" s="581">
        <v>24.193443053136303</v>
      </c>
      <c r="Q76" s="289">
        <f t="shared" si="3"/>
        <v>325.75525477811721</v>
      </c>
      <c r="R76" s="582">
        <f t="shared" si="4"/>
        <v>138.23305736565462</v>
      </c>
      <c r="S76" s="288"/>
      <c r="T76" s="287">
        <v>800</v>
      </c>
      <c r="U76" s="583">
        <f t="shared" si="5"/>
        <v>339.47708984110727</v>
      </c>
      <c r="V76" s="286"/>
    </row>
    <row r="77" spans="6:22" x14ac:dyDescent="0.2">
      <c r="F77" s="576"/>
      <c r="G77" s="290"/>
      <c r="H77" s="577">
        <v>67</v>
      </c>
      <c r="I77" s="578">
        <v>0</v>
      </c>
      <c r="J77" s="578">
        <v>0</v>
      </c>
      <c r="K77" s="578">
        <v>2.9192236583732201</v>
      </c>
      <c r="L77" s="578">
        <v>178.222387952085</v>
      </c>
      <c r="M77" s="578">
        <v>0.40068479082359004</v>
      </c>
      <c r="N77" s="578">
        <v>28.2992227411168</v>
      </c>
      <c r="O77" s="578">
        <v>53.572002537351906</v>
      </c>
      <c r="P77" s="578">
        <v>20.984151914239902</v>
      </c>
      <c r="Q77" s="293">
        <f t="shared" si="3"/>
        <v>284.39767359399048</v>
      </c>
      <c r="R77" s="579">
        <f t="shared" si="4"/>
        <v>117.16807595785075</v>
      </c>
      <c r="S77" s="292"/>
      <c r="T77" s="291">
        <v>800</v>
      </c>
      <c r="U77" s="580">
        <f t="shared" si="5"/>
        <v>329.58940761272555</v>
      </c>
      <c r="V77" s="286"/>
    </row>
    <row r="78" spans="6:22" x14ac:dyDescent="0.2">
      <c r="F78" s="576"/>
      <c r="G78" s="290"/>
      <c r="H78" s="575">
        <v>68</v>
      </c>
      <c r="I78" s="581">
        <v>0</v>
      </c>
      <c r="J78" s="581">
        <v>0</v>
      </c>
      <c r="K78" s="581">
        <v>70.009055034528899</v>
      </c>
      <c r="L78" s="581">
        <v>178.222387952085</v>
      </c>
      <c r="M78" s="581">
        <v>0.31006629620313203</v>
      </c>
      <c r="N78" s="581">
        <v>4.3022467005076104</v>
      </c>
      <c r="O78" s="581">
        <v>52.407210724063596</v>
      </c>
      <c r="P78" s="581">
        <v>25.284375598332502</v>
      </c>
      <c r="Q78" s="289">
        <f t="shared" si="3"/>
        <v>330.53534230572075</v>
      </c>
      <c r="R78" s="582">
        <f t="shared" si="4"/>
        <v>132.20988794370382</v>
      </c>
      <c r="S78" s="288"/>
      <c r="T78" s="287">
        <v>800</v>
      </c>
      <c r="U78" s="583">
        <f t="shared" si="5"/>
        <v>319.9897161288597</v>
      </c>
      <c r="V78" s="286"/>
    </row>
    <row r="79" spans="6:22" x14ac:dyDescent="0.2">
      <c r="F79" s="576"/>
      <c r="G79" s="290"/>
      <c r="H79" s="577">
        <v>69</v>
      </c>
      <c r="I79" s="578">
        <v>0</v>
      </c>
      <c r="J79" s="578">
        <v>0</v>
      </c>
      <c r="K79" s="578">
        <v>3.4094605389433097</v>
      </c>
      <c r="L79" s="578">
        <v>178.222387952085</v>
      </c>
      <c r="M79" s="578">
        <v>0.31006629620313203</v>
      </c>
      <c r="N79" s="578">
        <v>1.52968771573604</v>
      </c>
      <c r="O79" s="578">
        <v>51.951562555042202</v>
      </c>
      <c r="P79" s="578">
        <v>18.347160250296799</v>
      </c>
      <c r="Q79" s="293">
        <f t="shared" si="3"/>
        <v>253.77032530830647</v>
      </c>
      <c r="R79" s="579">
        <f t="shared" si="4"/>
        <v>98.548415482200696</v>
      </c>
      <c r="S79" s="292"/>
      <c r="T79" s="291">
        <v>800</v>
      </c>
      <c r="U79" s="580">
        <f t="shared" si="5"/>
        <v>310.66962730957255</v>
      </c>
      <c r="V79" s="286"/>
    </row>
    <row r="80" spans="6:22" x14ac:dyDescent="0.2">
      <c r="F80" s="576"/>
      <c r="G80" s="290"/>
      <c r="H80" s="575">
        <v>70</v>
      </c>
      <c r="I80" s="581">
        <v>0</v>
      </c>
      <c r="J80" s="581">
        <v>0</v>
      </c>
      <c r="K80" s="581">
        <v>23.6110593701227</v>
      </c>
      <c r="L80" s="581">
        <v>180.38812938911201</v>
      </c>
      <c r="M80" s="581">
        <v>0.31006629620313203</v>
      </c>
      <c r="N80" s="581">
        <v>10.2297865989848</v>
      </c>
      <c r="O80" s="581">
        <v>50.585394689365799</v>
      </c>
      <c r="P80" s="581">
        <v>21.4539041654422</v>
      </c>
      <c r="Q80" s="289">
        <f t="shared" si="3"/>
        <v>286.57834050923066</v>
      </c>
      <c r="R80" s="582">
        <f t="shared" si="4"/>
        <v>108.04755611771658</v>
      </c>
      <c r="S80" s="288"/>
      <c r="T80" s="287">
        <v>800</v>
      </c>
      <c r="U80" s="583">
        <f t="shared" si="5"/>
        <v>301.62099738793449</v>
      </c>
      <c r="V80" s="286"/>
    </row>
    <row r="81" spans="6:22" x14ac:dyDescent="0.2">
      <c r="F81" s="576"/>
      <c r="G81" s="290"/>
      <c r="H81" s="577">
        <v>71</v>
      </c>
      <c r="I81" s="578">
        <v>0</v>
      </c>
      <c r="J81" s="578">
        <v>0</v>
      </c>
      <c r="K81" s="578">
        <v>49.089829020274806</v>
      </c>
      <c r="L81" s="578">
        <v>178.49310563171301</v>
      </c>
      <c r="M81" s="578">
        <v>0.31006629620313203</v>
      </c>
      <c r="N81" s="578">
        <v>4.3978521827411097</v>
      </c>
      <c r="O81" s="578">
        <v>49.786215156706803</v>
      </c>
      <c r="P81" s="578">
        <v>23.2290853130933</v>
      </c>
      <c r="Q81" s="293">
        <f t="shared" si="3"/>
        <v>305.30615360073216</v>
      </c>
      <c r="R81" s="579">
        <f t="shared" si="4"/>
        <v>111.75576038559076</v>
      </c>
      <c r="S81" s="292"/>
      <c r="T81" s="291">
        <v>800</v>
      </c>
      <c r="U81" s="580">
        <f t="shared" si="5"/>
        <v>292.83591979411125</v>
      </c>
      <c r="V81" s="286"/>
    </row>
    <row r="82" spans="6:22" x14ac:dyDescent="0.2">
      <c r="F82" s="576"/>
      <c r="G82" s="290"/>
      <c r="H82" s="575">
        <v>72</v>
      </c>
      <c r="I82" s="581">
        <v>0</v>
      </c>
      <c r="J82" s="581">
        <v>0</v>
      </c>
      <c r="K82" s="581">
        <v>2.5034806988137399</v>
      </c>
      <c r="L82" s="581">
        <v>178.49310563171301</v>
      </c>
      <c r="M82" s="581">
        <v>0.31006629620313203</v>
      </c>
      <c r="N82" s="581">
        <v>10.0385756345178</v>
      </c>
      <c r="O82" s="581">
        <v>49.289394382969398</v>
      </c>
      <c r="P82" s="581">
        <v>19.134522826124801</v>
      </c>
      <c r="Q82" s="289">
        <f t="shared" si="3"/>
        <v>259.76914547034187</v>
      </c>
      <c r="R82" s="582">
        <f t="shared" si="4"/>
        <v>92.317641563031344</v>
      </c>
      <c r="S82" s="288"/>
      <c r="T82" s="287">
        <v>800</v>
      </c>
      <c r="U82" s="583">
        <f t="shared" si="5"/>
        <v>284.30671824670986</v>
      </c>
      <c r="V82" s="286"/>
    </row>
    <row r="83" spans="6:22" x14ac:dyDescent="0.2">
      <c r="F83" s="576"/>
      <c r="G83" s="290"/>
      <c r="H83" s="577">
        <v>73</v>
      </c>
      <c r="I83" s="578">
        <v>0</v>
      </c>
      <c r="J83" s="578">
        <v>0</v>
      </c>
      <c r="K83" s="578">
        <v>1.92659007490053</v>
      </c>
      <c r="L83" s="578">
        <v>178.49310563171301</v>
      </c>
      <c r="M83" s="578">
        <v>0.31006629620313203</v>
      </c>
      <c r="N83" s="578">
        <v>1.52968771573604</v>
      </c>
      <c r="O83" s="578">
        <v>48.271027855346297</v>
      </c>
      <c r="P83" s="578">
        <v>18.225944971855299</v>
      </c>
      <c r="Q83" s="293">
        <f t="shared" si="3"/>
        <v>248.75642254575428</v>
      </c>
      <c r="R83" s="579">
        <f t="shared" si="4"/>
        <v>85.829031719387473</v>
      </c>
      <c r="S83" s="292"/>
      <c r="T83" s="291">
        <v>800</v>
      </c>
      <c r="U83" s="580">
        <f t="shared" si="5"/>
        <v>276.02594004534944</v>
      </c>
      <c r="V83" s="286"/>
    </row>
    <row r="84" spans="6:22" x14ac:dyDescent="0.2">
      <c r="F84" s="576"/>
      <c r="G84" s="290"/>
      <c r="H84" s="575">
        <v>74</v>
      </c>
      <c r="I84" s="581">
        <v>0</v>
      </c>
      <c r="J84" s="581">
        <v>0</v>
      </c>
      <c r="K84" s="581">
        <v>15.5805919098558</v>
      </c>
      <c r="L84" s="581">
        <v>165.13097962111001</v>
      </c>
      <c r="M84" s="581">
        <v>0.31006629620313203</v>
      </c>
      <c r="N84" s="581">
        <v>4.3022467005076104</v>
      </c>
      <c r="O84" s="581">
        <v>47.234100163356302</v>
      </c>
      <c r="P84" s="581">
        <v>18.532388452767702</v>
      </c>
      <c r="Q84" s="289">
        <f t="shared" si="3"/>
        <v>251.09037314380055</v>
      </c>
      <c r="R84" s="582">
        <f t="shared" si="4"/>
        <v>84.1109906351397</v>
      </c>
      <c r="S84" s="288"/>
      <c r="T84" s="287">
        <v>800</v>
      </c>
      <c r="U84" s="583">
        <f t="shared" si="5"/>
        <v>267.98634955859171</v>
      </c>
      <c r="V84" s="286"/>
    </row>
    <row r="85" spans="6:22" x14ac:dyDescent="0.2">
      <c r="F85" s="576"/>
      <c r="G85" s="290"/>
      <c r="H85" s="577">
        <v>75</v>
      </c>
      <c r="I85" s="578">
        <v>0</v>
      </c>
      <c r="J85" s="578">
        <v>0</v>
      </c>
      <c r="K85" s="578">
        <v>0.52061150329054107</v>
      </c>
      <c r="L85" s="578">
        <v>165.13097962111001</v>
      </c>
      <c r="M85" s="578">
        <v>0.31006629620313203</v>
      </c>
      <c r="N85" s="578">
        <v>15.143908385786801</v>
      </c>
      <c r="O85" s="578">
        <v>46.564095296045402</v>
      </c>
      <c r="P85" s="578">
        <v>18.110556580639102</v>
      </c>
      <c r="Q85" s="293">
        <f t="shared" si="3"/>
        <v>245.78021768307499</v>
      </c>
      <c r="R85" s="579">
        <f t="shared" si="4"/>
        <v>79.93415452743119</v>
      </c>
      <c r="S85" s="292"/>
      <c r="T85" s="291">
        <v>800</v>
      </c>
      <c r="U85" s="580">
        <f t="shared" si="5"/>
        <v>260.18092190154533</v>
      </c>
      <c r="V85" s="286"/>
    </row>
    <row r="86" spans="6:22" x14ac:dyDescent="0.2">
      <c r="F86" s="576"/>
      <c r="G86" s="290"/>
      <c r="H86" s="575">
        <v>76</v>
      </c>
      <c r="I86" s="581">
        <v>0</v>
      </c>
      <c r="J86" s="581">
        <v>0</v>
      </c>
      <c r="K86" s="581">
        <v>29.164558487130201</v>
      </c>
      <c r="L86" s="581">
        <v>165.10920823056802</v>
      </c>
      <c r="M86" s="581">
        <v>0.39038802189166005</v>
      </c>
      <c r="N86" s="581">
        <v>45.412604060913701</v>
      </c>
      <c r="O86" s="581">
        <v>45.871761322991105</v>
      </c>
      <c r="P86" s="581">
        <v>24.007675880050304</v>
      </c>
      <c r="Q86" s="289">
        <f t="shared" si="3"/>
        <v>309.95619600354502</v>
      </c>
      <c r="R86" s="582">
        <f t="shared" si="4"/>
        <v>97.869767991867008</v>
      </c>
      <c r="S86" s="288"/>
      <c r="T86" s="287">
        <v>800</v>
      </c>
      <c r="U86" s="583">
        <f t="shared" si="5"/>
        <v>252.60283679761679</v>
      </c>
      <c r="V86" s="286"/>
    </row>
    <row r="87" spans="6:22" x14ac:dyDescent="0.2">
      <c r="F87" s="576"/>
      <c r="G87" s="290"/>
      <c r="H87" s="577">
        <v>77</v>
      </c>
      <c r="I87" s="578">
        <v>0</v>
      </c>
      <c r="J87" s="578">
        <v>0</v>
      </c>
      <c r="K87" s="578">
        <v>3.5735894543474402</v>
      </c>
      <c r="L87" s="578">
        <v>102.872666925377</v>
      </c>
      <c r="M87" s="578">
        <v>124.37223207161401</v>
      </c>
      <c r="N87" s="578">
        <v>28.2992227411168</v>
      </c>
      <c r="O87" s="578">
        <v>38.7579715389912</v>
      </c>
      <c r="P87" s="578">
        <v>25.9117711192455</v>
      </c>
      <c r="Q87" s="293">
        <f t="shared" si="3"/>
        <v>323.78745385069192</v>
      </c>
      <c r="R87" s="579">
        <f t="shared" si="4"/>
        <v>99.259258934662896</v>
      </c>
      <c r="S87" s="292"/>
      <c r="T87" s="291"/>
      <c r="U87" s="580">
        <f t="shared" si="5"/>
        <v>0</v>
      </c>
      <c r="V87" s="286"/>
    </row>
    <row r="88" spans="6:22" x14ac:dyDescent="0.2">
      <c r="F88" s="576"/>
      <c r="G88" s="290"/>
      <c r="H88" s="575">
        <v>78</v>
      </c>
      <c r="I88" s="581">
        <v>0</v>
      </c>
      <c r="J88" s="581">
        <v>0</v>
      </c>
      <c r="K88" s="581">
        <v>315.53994732825998</v>
      </c>
      <c r="L88" s="581">
        <v>102.872666925377</v>
      </c>
      <c r="M88" s="581">
        <v>22.9146809350569</v>
      </c>
      <c r="N88" s="581">
        <v>4.3022467005076104</v>
      </c>
      <c r="O88" s="581">
        <v>38.4977359502628</v>
      </c>
      <c r="P88" s="581">
        <v>44.562954188920202</v>
      </c>
      <c r="Q88" s="289">
        <f t="shared" si="3"/>
        <v>528.69023202838446</v>
      </c>
      <c r="R88" s="582">
        <f t="shared" si="4"/>
        <v>157.35301677533246</v>
      </c>
      <c r="S88" s="288"/>
      <c r="T88" s="287"/>
      <c r="U88" s="583">
        <f t="shared" si="5"/>
        <v>0</v>
      </c>
      <c r="V88" s="286"/>
    </row>
    <row r="89" spans="6:22" x14ac:dyDescent="0.2">
      <c r="F89" s="576"/>
      <c r="G89" s="290"/>
      <c r="H89" s="577">
        <v>79</v>
      </c>
      <c r="I89" s="578">
        <v>0</v>
      </c>
      <c r="J89" s="578">
        <v>0</v>
      </c>
      <c r="K89" s="578">
        <v>0.92774233184171395</v>
      </c>
      <c r="L89" s="578">
        <v>102.872666925377</v>
      </c>
      <c r="M89" s="578">
        <v>1.51696486403444</v>
      </c>
      <c r="N89" s="578">
        <v>1.52968771573604</v>
      </c>
      <c r="O89" s="578">
        <v>42.139902165843999</v>
      </c>
      <c r="P89" s="578">
        <v>10.6847061836989</v>
      </c>
      <c r="Q89" s="293">
        <f t="shared" si="3"/>
        <v>159.67167018653208</v>
      </c>
      <c r="R89" s="579">
        <f t="shared" si="4"/>
        <v>46.13860191673156</v>
      </c>
      <c r="S89" s="292"/>
      <c r="T89" s="291"/>
      <c r="U89" s="580">
        <f t="shared" si="5"/>
        <v>0</v>
      </c>
      <c r="V89" s="286"/>
    </row>
    <row r="90" spans="6:22" x14ac:dyDescent="0.2">
      <c r="F90" s="576"/>
      <c r="G90" s="290"/>
      <c r="H90" s="575">
        <v>80</v>
      </c>
      <c r="I90" s="581">
        <v>0</v>
      </c>
      <c r="J90" s="581">
        <v>0</v>
      </c>
      <c r="K90" s="581">
        <v>37.803980298814601</v>
      </c>
      <c r="L90" s="581">
        <v>102.61640896813201</v>
      </c>
      <c r="M90" s="581">
        <v>1.51696486403444</v>
      </c>
      <c r="N90" s="581">
        <v>10.2297865989848</v>
      </c>
      <c r="O90" s="581">
        <v>41.012262357071798</v>
      </c>
      <c r="P90" s="581">
        <v>15.2167140729966</v>
      </c>
      <c r="Q90" s="289">
        <f t="shared" si="3"/>
        <v>208.39611716003424</v>
      </c>
      <c r="R90" s="582">
        <f t="shared" si="4"/>
        <v>58.46405854903211</v>
      </c>
      <c r="S90" s="288"/>
      <c r="T90" s="287"/>
      <c r="U90" s="583">
        <f t="shared" si="5"/>
        <v>0</v>
      </c>
      <c r="V90" s="286"/>
    </row>
    <row r="91" spans="6:22" x14ac:dyDescent="0.2">
      <c r="F91" s="576"/>
      <c r="G91" s="290"/>
      <c r="H91" s="577">
        <v>81</v>
      </c>
      <c r="I91" s="578">
        <v>0</v>
      </c>
      <c r="J91" s="578">
        <v>0</v>
      </c>
      <c r="K91" s="578">
        <v>461.93239104681999</v>
      </c>
      <c r="L91" s="578">
        <v>102.61640896813201</v>
      </c>
      <c r="M91" s="578">
        <v>1.51696486403444</v>
      </c>
      <c r="N91" s="578">
        <v>4.3978521827411097</v>
      </c>
      <c r="O91" s="578">
        <v>40.670143518427601</v>
      </c>
      <c r="P91" s="578">
        <v>57.046361706172803</v>
      </c>
      <c r="Q91" s="293">
        <f t="shared" si="3"/>
        <v>668.1801222863279</v>
      </c>
      <c r="R91" s="579">
        <f t="shared" si="4"/>
        <v>181.99341092314739</v>
      </c>
      <c r="S91" s="292"/>
      <c r="T91" s="291"/>
      <c r="U91" s="580">
        <f t="shared" si="5"/>
        <v>0</v>
      </c>
      <c r="V91" s="286"/>
    </row>
    <row r="92" spans="6:22" x14ac:dyDescent="0.2">
      <c r="F92" s="576"/>
      <c r="G92" s="290"/>
      <c r="H92" s="575">
        <v>82</v>
      </c>
      <c r="I92" s="581">
        <v>0</v>
      </c>
      <c r="J92" s="581">
        <v>0</v>
      </c>
      <c r="K92" s="581">
        <v>0.40813584586756801</v>
      </c>
      <c r="L92" s="581">
        <v>102.419587635021</v>
      </c>
      <c r="M92" s="581">
        <v>0.16033260313300601</v>
      </c>
      <c r="N92" s="581">
        <v>5.7363289340101602</v>
      </c>
      <c r="O92" s="581">
        <v>45.906853085530905</v>
      </c>
      <c r="P92" s="581">
        <v>10.872438501803201</v>
      </c>
      <c r="Q92" s="289">
        <f t="shared" si="3"/>
        <v>165.50367660536583</v>
      </c>
      <c r="R92" s="582">
        <f t="shared" si="4"/>
        <v>43.765564469494976</v>
      </c>
      <c r="S92" s="288"/>
      <c r="T92" s="287"/>
      <c r="U92" s="583">
        <f t="shared" si="5"/>
        <v>0</v>
      </c>
      <c r="V92" s="286"/>
    </row>
    <row r="93" spans="6:22" x14ac:dyDescent="0.2">
      <c r="F93" s="576"/>
      <c r="G93" s="290"/>
      <c r="H93" s="577">
        <v>83</v>
      </c>
      <c r="I93" s="578">
        <v>0</v>
      </c>
      <c r="J93" s="578">
        <v>0</v>
      </c>
      <c r="K93" s="578">
        <v>4.85022607180795</v>
      </c>
      <c r="L93" s="578">
        <v>102.40513044669501</v>
      </c>
      <c r="M93" s="578">
        <v>0.25095109775346397</v>
      </c>
      <c r="N93" s="578">
        <v>1.52968771573604</v>
      </c>
      <c r="O93" s="578">
        <v>44.236350345657598</v>
      </c>
      <c r="P93" s="578">
        <v>10.903599533199301</v>
      </c>
      <c r="Q93" s="293">
        <f t="shared" si="3"/>
        <v>164.17594521084936</v>
      </c>
      <c r="R93" s="579">
        <f t="shared" si="4"/>
        <v>42.14996214252433</v>
      </c>
      <c r="S93" s="292"/>
      <c r="T93" s="291"/>
      <c r="U93" s="580">
        <f t="shared" si="5"/>
        <v>0</v>
      </c>
      <c r="V93" s="286"/>
    </row>
    <row r="94" spans="6:22" x14ac:dyDescent="0.2">
      <c r="F94" s="597"/>
      <c r="G94" s="290"/>
      <c r="H94" s="575">
        <v>84</v>
      </c>
      <c r="I94" s="581">
        <v>0</v>
      </c>
      <c r="J94" s="581">
        <v>0</v>
      </c>
      <c r="K94" s="581">
        <v>4.64753908040674</v>
      </c>
      <c r="L94" s="581">
        <v>102.428034152957</v>
      </c>
      <c r="M94" s="581">
        <v>0.16033260313300601</v>
      </c>
      <c r="N94" s="581">
        <v>0</v>
      </c>
      <c r="O94" s="581">
        <v>42.830466045314395</v>
      </c>
      <c r="P94" s="581">
        <v>10.723590583649599</v>
      </c>
      <c r="Q94" s="289">
        <f t="shared" si="3"/>
        <v>160.78996246546075</v>
      </c>
      <c r="R94" s="582">
        <f t="shared" si="4"/>
        <v>40.07830746490621</v>
      </c>
      <c r="S94" s="288"/>
      <c r="T94" s="287"/>
      <c r="U94" s="583">
        <f t="shared" si="5"/>
        <v>0</v>
      </c>
      <c r="V94" s="286"/>
    </row>
    <row r="95" spans="6:22" x14ac:dyDescent="0.2">
      <c r="F95" s="294"/>
      <c r="G95" s="290"/>
      <c r="H95" s="577">
        <v>85</v>
      </c>
      <c r="I95" s="578">
        <v>0</v>
      </c>
      <c r="J95" s="578">
        <v>0</v>
      </c>
      <c r="K95" s="578">
        <v>61.307587950458803</v>
      </c>
      <c r="L95" s="578">
        <v>102.428034152957</v>
      </c>
      <c r="M95" s="578">
        <v>0.16033260313300601</v>
      </c>
      <c r="N95" s="578">
        <v>12.0845329543147</v>
      </c>
      <c r="O95" s="578">
        <v>41.5940969307009</v>
      </c>
      <c r="P95" s="578">
        <v>17.598048766086301</v>
      </c>
      <c r="Q95" s="293">
        <f t="shared" si="3"/>
        <v>235.17263335765071</v>
      </c>
      <c r="R95" s="579">
        <f t="shared" si="4"/>
        <v>56.911495288558505</v>
      </c>
      <c r="S95" s="292"/>
      <c r="T95" s="291"/>
      <c r="U95" s="580">
        <f t="shared" si="5"/>
        <v>0</v>
      </c>
      <c r="V95" s="286"/>
    </row>
    <row r="96" spans="6:22" x14ac:dyDescent="0.2">
      <c r="G96" s="290"/>
      <c r="H96" s="575">
        <v>86</v>
      </c>
      <c r="I96" s="581">
        <v>0</v>
      </c>
      <c r="J96" s="581">
        <v>0</v>
      </c>
      <c r="K96" s="581">
        <v>103.981729528271</v>
      </c>
      <c r="L96" s="581">
        <v>102.406262762414</v>
      </c>
      <c r="M96" s="581">
        <v>0.24065432882153298</v>
      </c>
      <c r="N96" s="581">
        <v>21.989260913705603</v>
      </c>
      <c r="O96" s="581">
        <v>41.213180596507705</v>
      </c>
      <c r="P96" s="581">
        <v>22.861790753321198</v>
      </c>
      <c r="Q96" s="289">
        <f t="shared" si="3"/>
        <v>292.69287888304109</v>
      </c>
      <c r="R96" s="582">
        <f t="shared" si="4"/>
        <v>68.768277413584656</v>
      </c>
      <c r="S96" s="288"/>
      <c r="T96" s="287"/>
      <c r="U96" s="583">
        <f t="shared" si="5"/>
        <v>0</v>
      </c>
      <c r="V96" s="286"/>
    </row>
    <row r="97" spans="7:22" x14ac:dyDescent="0.2">
      <c r="G97" s="290"/>
      <c r="H97" s="577">
        <v>87</v>
      </c>
      <c r="I97" s="578">
        <v>0</v>
      </c>
      <c r="J97" s="578">
        <v>0</v>
      </c>
      <c r="K97" s="578">
        <v>0</v>
      </c>
      <c r="L97" s="578">
        <v>55.471133111339597</v>
      </c>
      <c r="M97" s="578">
        <v>52.001153437618001</v>
      </c>
      <c r="N97" s="578">
        <v>2.8681644670050801</v>
      </c>
      <c r="O97" s="578">
        <v>26.212511427079402</v>
      </c>
      <c r="P97" s="578">
        <v>11.0340451015963</v>
      </c>
      <c r="Q97" s="293">
        <f t="shared" si="3"/>
        <v>147.58700754463837</v>
      </c>
      <c r="R97" s="579">
        <f t="shared" si="4"/>
        <v>33.665641305915848</v>
      </c>
      <c r="S97" s="292"/>
      <c r="T97" s="291"/>
      <c r="U97" s="580">
        <f t="shared" si="5"/>
        <v>0</v>
      </c>
      <c r="V97" s="286"/>
    </row>
    <row r="98" spans="7:22" x14ac:dyDescent="0.2">
      <c r="G98" s="290"/>
      <c r="H98" s="575">
        <v>88</v>
      </c>
      <c r="I98" s="581">
        <v>0</v>
      </c>
      <c r="J98" s="581">
        <v>0</v>
      </c>
      <c r="K98" s="581">
        <v>71.135236507779197</v>
      </c>
      <c r="L98" s="581">
        <v>55.018606083524602</v>
      </c>
      <c r="M98" s="581">
        <v>108.525067762503</v>
      </c>
      <c r="N98" s="581">
        <v>0</v>
      </c>
      <c r="O98" s="581">
        <v>24.623364873192401</v>
      </c>
      <c r="P98" s="581">
        <v>23.467891035380603</v>
      </c>
      <c r="Q98" s="289">
        <f t="shared" si="3"/>
        <v>282.7701662623798</v>
      </c>
      <c r="R98" s="582">
        <f t="shared" si="4"/>
        <v>62.623181434732686</v>
      </c>
      <c r="S98" s="288"/>
      <c r="T98" s="287"/>
      <c r="U98" s="583">
        <f t="shared" si="5"/>
        <v>0</v>
      </c>
      <c r="V98" s="286"/>
    </row>
    <row r="99" spans="7:22" x14ac:dyDescent="0.2">
      <c r="G99" s="290"/>
      <c r="H99" s="577">
        <v>89</v>
      </c>
      <c r="I99" s="578">
        <v>0</v>
      </c>
      <c r="J99" s="578">
        <v>0</v>
      </c>
      <c r="K99" s="578">
        <v>13.996659066670201</v>
      </c>
      <c r="L99" s="578">
        <v>39.953860297574401</v>
      </c>
      <c r="M99" s="578">
        <v>175.78341995025903</v>
      </c>
      <c r="N99" s="578">
        <v>2.8681644670050801</v>
      </c>
      <c r="O99" s="578">
        <v>22.337658578980299</v>
      </c>
      <c r="P99" s="578">
        <v>23.260210378150902</v>
      </c>
      <c r="Q99" s="293">
        <f t="shared" si="3"/>
        <v>278.19997273863987</v>
      </c>
      <c r="R99" s="579">
        <f t="shared" si="4"/>
        <v>59.816555169196256</v>
      </c>
      <c r="S99" s="292"/>
      <c r="T99" s="291"/>
      <c r="U99" s="580">
        <f t="shared" si="5"/>
        <v>0</v>
      </c>
      <c r="V99" s="286"/>
    </row>
    <row r="100" spans="7:22" x14ac:dyDescent="0.2">
      <c r="G100" s="290"/>
      <c r="H100" s="575">
        <v>90</v>
      </c>
      <c r="I100" s="581">
        <v>0</v>
      </c>
      <c r="J100" s="581">
        <v>0</v>
      </c>
      <c r="K100" s="581">
        <v>27.993318133340402</v>
      </c>
      <c r="L100" s="581">
        <v>29.254140586368099</v>
      </c>
      <c r="M100" s="581">
        <v>76.189156376548297</v>
      </c>
      <c r="N100" s="581">
        <v>5.9275398984771703</v>
      </c>
      <c r="O100" s="581">
        <v>21.852794206885502</v>
      </c>
      <c r="P100" s="581">
        <v>13.9364154994734</v>
      </c>
      <c r="Q100" s="289">
        <f t="shared" si="3"/>
        <v>175.15336470109287</v>
      </c>
      <c r="R100" s="582">
        <f t="shared" si="4"/>
        <v>36.563315940135162</v>
      </c>
      <c r="S100" s="288"/>
      <c r="T100" s="287"/>
      <c r="U100" s="583">
        <f t="shared" si="5"/>
        <v>0</v>
      </c>
      <c r="V100" s="286"/>
    </row>
    <row r="101" spans="7:22" x14ac:dyDescent="0.2">
      <c r="G101" s="290"/>
      <c r="H101" s="577">
        <v>91</v>
      </c>
      <c r="I101" s="578">
        <v>0</v>
      </c>
      <c r="J101" s="578">
        <v>0</v>
      </c>
      <c r="K101" s="578">
        <v>0</v>
      </c>
      <c r="L101" s="578">
        <v>25.411781365630798</v>
      </c>
      <c r="M101" s="578">
        <v>121.32038365394699</v>
      </c>
      <c r="N101" s="578">
        <v>5.7363289340101504</v>
      </c>
      <c r="O101" s="578">
        <v>20.596626297259199</v>
      </c>
      <c r="P101" s="578">
        <v>15.246849395358801</v>
      </c>
      <c r="Q101" s="293">
        <f t="shared" si="3"/>
        <v>188.31196964620594</v>
      </c>
      <c r="R101" s="579">
        <f t="shared" si="4"/>
        <v>38.165221901242006</v>
      </c>
      <c r="S101" s="292"/>
      <c r="T101" s="291"/>
      <c r="U101" s="580">
        <f t="shared" si="5"/>
        <v>0</v>
      </c>
      <c r="V101" s="286"/>
    </row>
    <row r="102" spans="7:22" x14ac:dyDescent="0.2">
      <c r="G102" s="290"/>
      <c r="H102" s="575">
        <v>92</v>
      </c>
      <c r="I102" s="581">
        <v>0</v>
      </c>
      <c r="J102" s="581">
        <v>0</v>
      </c>
      <c r="K102" s="581">
        <v>0.54863074125243705</v>
      </c>
      <c r="L102" s="581">
        <v>13.7629773364218</v>
      </c>
      <c r="M102" s="581">
        <v>82.838982456862297</v>
      </c>
      <c r="N102" s="581">
        <v>0</v>
      </c>
      <c r="O102" s="581">
        <v>19.066222640950301</v>
      </c>
      <c r="P102" s="581">
        <v>9.7150590534536505</v>
      </c>
      <c r="Q102" s="289">
        <f t="shared" si="3"/>
        <v>125.93187222894048</v>
      </c>
      <c r="R102" s="582">
        <f t="shared" si="4"/>
        <v>24.779258212899748</v>
      </c>
      <c r="S102" s="288"/>
      <c r="T102" s="287"/>
      <c r="U102" s="583">
        <f t="shared" si="5"/>
        <v>0</v>
      </c>
      <c r="V102" s="286"/>
    </row>
    <row r="103" spans="7:22" x14ac:dyDescent="0.2">
      <c r="G103" s="290"/>
      <c r="H103" s="577">
        <v>93</v>
      </c>
      <c r="I103" s="578">
        <v>0</v>
      </c>
      <c r="J103" s="578">
        <v>0</v>
      </c>
      <c r="K103" s="578">
        <v>7.2156072382862799E-2</v>
      </c>
      <c r="L103" s="578">
        <v>10.9385378436082</v>
      </c>
      <c r="M103" s="578">
        <v>55.858859060577601</v>
      </c>
      <c r="N103" s="578">
        <v>2.8681644670050801</v>
      </c>
      <c r="O103" s="578">
        <v>18.6878963878405</v>
      </c>
      <c r="P103" s="578">
        <v>6.9737717443573706</v>
      </c>
      <c r="Q103" s="293">
        <f t="shared" si="3"/>
        <v>95.399385575771589</v>
      </c>
      <c r="R103" s="579">
        <f t="shared" si="4"/>
        <v>18.224725433453845</v>
      </c>
      <c r="S103" s="292"/>
      <c r="T103" s="291"/>
      <c r="U103" s="580">
        <f t="shared" si="5"/>
        <v>0</v>
      </c>
      <c r="V103" s="286"/>
    </row>
    <row r="104" spans="7:22" x14ac:dyDescent="0.2">
      <c r="G104" s="290"/>
      <c r="H104" s="575">
        <v>94</v>
      </c>
      <c r="I104" s="581">
        <v>0</v>
      </c>
      <c r="J104" s="581">
        <v>0</v>
      </c>
      <c r="K104" s="581">
        <v>0.13873502196330501</v>
      </c>
      <c r="L104" s="581">
        <v>10.840397877848302</v>
      </c>
      <c r="M104" s="581">
        <v>31.031373147133198</v>
      </c>
      <c r="N104" s="581">
        <v>0</v>
      </c>
      <c r="O104" s="581">
        <v>18.511351875790702</v>
      </c>
      <c r="P104" s="581">
        <v>4.2010506046944798</v>
      </c>
      <c r="Q104" s="289">
        <f t="shared" si="3"/>
        <v>64.722908527429979</v>
      </c>
      <c r="R104" s="582">
        <f t="shared" si="4"/>
        <v>12.004282776259465</v>
      </c>
      <c r="S104" s="288"/>
      <c r="T104" s="287"/>
      <c r="U104" s="583">
        <f t="shared" si="5"/>
        <v>0</v>
      </c>
      <c r="V104" s="286"/>
    </row>
    <row r="105" spans="7:22" x14ac:dyDescent="0.2">
      <c r="G105" s="290"/>
      <c r="H105" s="577">
        <v>95</v>
      </c>
      <c r="I105" s="578">
        <v>0</v>
      </c>
      <c r="J105" s="578">
        <v>0</v>
      </c>
      <c r="K105" s="578">
        <v>3.7442261823553302</v>
      </c>
      <c r="L105" s="578">
        <v>10.780244040247</v>
      </c>
      <c r="M105" s="578">
        <v>30.976988194322001</v>
      </c>
      <c r="N105" s="578">
        <v>16.4823851370559</v>
      </c>
      <c r="O105" s="578">
        <v>18.319710454692</v>
      </c>
      <c r="P105" s="578">
        <v>6.1983843553980194</v>
      </c>
      <c r="Q105" s="293">
        <f t="shared" si="3"/>
        <v>86.501938364070242</v>
      </c>
      <c r="R105" s="579">
        <f t="shared" si="4"/>
        <v>15.576389785561799</v>
      </c>
      <c r="S105" s="292"/>
      <c r="T105" s="291"/>
      <c r="U105" s="580">
        <f t="shared" si="5"/>
        <v>0</v>
      </c>
      <c r="V105" s="286"/>
    </row>
    <row r="106" spans="7:22" x14ac:dyDescent="0.2">
      <c r="G106" s="290"/>
      <c r="H106" s="575">
        <v>96</v>
      </c>
      <c r="I106" s="581">
        <v>0</v>
      </c>
      <c r="J106" s="581">
        <v>0</v>
      </c>
      <c r="K106" s="581">
        <v>0</v>
      </c>
      <c r="L106" s="581">
        <v>9.6647418668817693</v>
      </c>
      <c r="M106" s="581">
        <v>35.705953228256696</v>
      </c>
      <c r="N106" s="581">
        <v>41.110357360406098</v>
      </c>
      <c r="O106" s="581">
        <v>18.252968903871</v>
      </c>
      <c r="P106" s="581">
        <v>8.6481052455544596</v>
      </c>
      <c r="Q106" s="289">
        <f t="shared" si="3"/>
        <v>113.38212660497001</v>
      </c>
      <c r="R106" s="582">
        <f t="shared" si="4"/>
        <v>19.822039662333069</v>
      </c>
      <c r="S106" s="288"/>
      <c r="T106" s="287"/>
      <c r="U106" s="583">
        <f t="shared" si="5"/>
        <v>0</v>
      </c>
      <c r="V106" s="286"/>
    </row>
    <row r="107" spans="7:22" x14ac:dyDescent="0.2">
      <c r="G107" s="290"/>
      <c r="H107" s="577">
        <v>97</v>
      </c>
      <c r="I107" s="578">
        <v>0</v>
      </c>
      <c r="J107" s="578">
        <v>0</v>
      </c>
      <c r="K107" s="578">
        <v>0</v>
      </c>
      <c r="L107" s="578">
        <v>0</v>
      </c>
      <c r="M107" s="578">
        <v>13.0724110536118</v>
      </c>
      <c r="N107" s="578">
        <v>6.8262314314720802</v>
      </c>
      <c r="O107" s="578">
        <v>5.2949954254036102</v>
      </c>
      <c r="P107" s="578">
        <v>1.9898642485083899</v>
      </c>
      <c r="Q107" s="293">
        <f t="shared" si="3"/>
        <v>27.183502158995879</v>
      </c>
      <c r="R107" s="579">
        <f t="shared" si="4"/>
        <v>4.6139398189143321</v>
      </c>
      <c r="S107" s="292"/>
      <c r="T107" s="291"/>
      <c r="U107" s="580">
        <f t="shared" si="5"/>
        <v>0</v>
      </c>
      <c r="V107" s="286"/>
    </row>
    <row r="108" spans="7:22" x14ac:dyDescent="0.2">
      <c r="G108" s="290"/>
      <c r="H108" s="575">
        <v>98</v>
      </c>
      <c r="I108" s="581">
        <v>0</v>
      </c>
      <c r="J108" s="581">
        <v>0</v>
      </c>
      <c r="K108" s="581">
        <v>0</v>
      </c>
      <c r="L108" s="581">
        <v>0</v>
      </c>
      <c r="M108" s="581">
        <v>0</v>
      </c>
      <c r="N108" s="581">
        <v>0</v>
      </c>
      <c r="O108" s="581">
        <v>4.9242191620182698</v>
      </c>
      <c r="P108" s="581">
        <v>0</v>
      </c>
      <c r="Q108" s="289">
        <f t="shared" si="3"/>
        <v>4.9242191620182698</v>
      </c>
      <c r="R108" s="582">
        <f t="shared" si="4"/>
        <v>0.81145915950234571</v>
      </c>
      <c r="S108" s="288"/>
      <c r="T108" s="287"/>
      <c r="U108" s="583">
        <f t="shared" si="5"/>
        <v>0</v>
      </c>
      <c r="V108" s="286"/>
    </row>
    <row r="109" spans="7:22" x14ac:dyDescent="0.2">
      <c r="G109" s="290"/>
      <c r="H109" s="577">
        <v>99</v>
      </c>
      <c r="I109" s="578">
        <v>0</v>
      </c>
      <c r="J109" s="578">
        <v>0</v>
      </c>
      <c r="K109" s="578">
        <v>0</v>
      </c>
      <c r="L109" s="578">
        <v>0</v>
      </c>
      <c r="M109" s="578">
        <v>0</v>
      </c>
      <c r="N109" s="578">
        <v>0</v>
      </c>
      <c r="O109" s="578">
        <v>4.8682074301715206</v>
      </c>
      <c r="P109" s="578">
        <v>0</v>
      </c>
      <c r="Q109" s="293">
        <f t="shared" si="3"/>
        <v>4.8682074301715206</v>
      </c>
      <c r="R109" s="579">
        <f t="shared" si="4"/>
        <v>0.7788631256140035</v>
      </c>
      <c r="S109" s="292"/>
      <c r="T109" s="291"/>
      <c r="U109" s="580">
        <f t="shared" si="5"/>
        <v>0</v>
      </c>
      <c r="V109" s="286"/>
    </row>
    <row r="110" spans="7:22" x14ac:dyDescent="0.2">
      <c r="G110" s="290"/>
      <c r="H110" s="575">
        <v>100</v>
      </c>
      <c r="I110" s="581">
        <v>0</v>
      </c>
      <c r="J110" s="581">
        <v>0</v>
      </c>
      <c r="K110" s="581">
        <v>0</v>
      </c>
      <c r="L110" s="581">
        <v>0</v>
      </c>
      <c r="M110" s="581">
        <v>0</v>
      </c>
      <c r="N110" s="581">
        <v>0</v>
      </c>
      <c r="O110" s="581">
        <v>4.8236368936351299</v>
      </c>
      <c r="P110" s="581">
        <v>0</v>
      </c>
      <c r="Q110" s="289">
        <f t="shared" si="3"/>
        <v>4.8236368936351299</v>
      </c>
      <c r="R110" s="582">
        <f t="shared" si="4"/>
        <v>0.74925465836744676</v>
      </c>
      <c r="S110" s="288"/>
      <c r="T110" s="287"/>
      <c r="U110" s="583">
        <f t="shared" si="5"/>
        <v>0</v>
      </c>
      <c r="V110" s="286"/>
    </row>
    <row r="111" spans="7:22" x14ac:dyDescent="0.2">
      <c r="G111" s="290"/>
      <c r="H111" s="577">
        <v>101</v>
      </c>
      <c r="I111" s="578">
        <v>0</v>
      </c>
      <c r="J111" s="578">
        <v>0</v>
      </c>
      <c r="K111" s="578">
        <v>0</v>
      </c>
      <c r="L111" s="578">
        <v>0</v>
      </c>
      <c r="M111" s="578">
        <v>0</v>
      </c>
      <c r="N111" s="578">
        <v>2.8681644670050699</v>
      </c>
      <c r="O111" s="578">
        <v>4.7874719925120504</v>
      </c>
      <c r="P111" s="578">
        <v>0.28681644670050699</v>
      </c>
      <c r="Q111" s="293">
        <f t="shared" si="3"/>
        <v>7.9424529062176275</v>
      </c>
      <c r="R111" s="579">
        <f t="shared" si="4"/>
        <v>1.1977667896550674</v>
      </c>
      <c r="S111" s="292"/>
      <c r="T111" s="291"/>
      <c r="U111" s="580">
        <f t="shared" si="5"/>
        <v>0</v>
      </c>
      <c r="V111" s="286"/>
    </row>
    <row r="112" spans="7:22" x14ac:dyDescent="0.2">
      <c r="G112" s="290"/>
      <c r="H112" s="575">
        <v>102</v>
      </c>
      <c r="I112" s="581">
        <v>0</v>
      </c>
      <c r="J112" s="581">
        <v>0</v>
      </c>
      <c r="K112" s="581">
        <v>0</v>
      </c>
      <c r="L112" s="581">
        <v>0</v>
      </c>
      <c r="M112" s="581">
        <v>0</v>
      </c>
      <c r="N112" s="581">
        <v>1.3384767512690301</v>
      </c>
      <c r="O112" s="581">
        <v>4.7937683233950406</v>
      </c>
      <c r="P112" s="581">
        <v>0.13384767512690302</v>
      </c>
      <c r="Q112" s="289">
        <f t="shared" si="3"/>
        <v>6.2660927497909737</v>
      </c>
      <c r="R112" s="582">
        <f t="shared" si="4"/>
        <v>0.91743903217511458</v>
      </c>
      <c r="S112" s="288"/>
      <c r="T112" s="287"/>
      <c r="U112" s="583">
        <f t="shared" si="5"/>
        <v>0</v>
      </c>
      <c r="V112" s="286"/>
    </row>
    <row r="113" spans="7:22" x14ac:dyDescent="0.2">
      <c r="G113" s="290"/>
      <c r="H113" s="577">
        <v>103</v>
      </c>
      <c r="I113" s="578">
        <v>0</v>
      </c>
      <c r="J113" s="578">
        <v>0</v>
      </c>
      <c r="K113" s="578">
        <v>0</v>
      </c>
      <c r="L113" s="578">
        <v>0</v>
      </c>
      <c r="M113" s="578">
        <v>0</v>
      </c>
      <c r="N113" s="578">
        <v>0</v>
      </c>
      <c r="O113" s="578">
        <v>4.7723259223208698</v>
      </c>
      <c r="P113" s="578">
        <v>0</v>
      </c>
      <c r="Q113" s="293">
        <f t="shared" si="3"/>
        <v>4.7723259223208698</v>
      </c>
      <c r="R113" s="579">
        <f t="shared" si="4"/>
        <v>0.6783803588131192</v>
      </c>
      <c r="S113" s="292"/>
      <c r="T113" s="291"/>
      <c r="U113" s="580">
        <f t="shared" si="5"/>
        <v>0</v>
      </c>
      <c r="V113" s="286"/>
    </row>
    <row r="114" spans="7:22" x14ac:dyDescent="0.2">
      <c r="G114" s="290"/>
      <c r="H114" s="575">
        <v>104</v>
      </c>
      <c r="I114" s="581">
        <v>0</v>
      </c>
      <c r="J114" s="581">
        <v>0</v>
      </c>
      <c r="K114" s="581">
        <v>0</v>
      </c>
      <c r="L114" s="581">
        <v>0</v>
      </c>
      <c r="M114" s="581">
        <v>0</v>
      </c>
      <c r="N114" s="581">
        <v>0</v>
      </c>
      <c r="O114" s="581">
        <v>4.7365493758844801</v>
      </c>
      <c r="P114" s="581">
        <v>0</v>
      </c>
      <c r="Q114" s="289">
        <f t="shared" si="3"/>
        <v>4.7365493758844801</v>
      </c>
      <c r="R114" s="582">
        <f t="shared" si="4"/>
        <v>0.65368423883572557</v>
      </c>
      <c r="S114" s="288"/>
      <c r="T114" s="287"/>
      <c r="U114" s="583">
        <f t="shared" si="5"/>
        <v>0</v>
      </c>
      <c r="V114" s="286"/>
    </row>
    <row r="115" spans="7:22" x14ac:dyDescent="0.2">
      <c r="G115" s="290"/>
      <c r="H115" s="577">
        <v>105</v>
      </c>
      <c r="I115" s="578">
        <v>0</v>
      </c>
      <c r="J115" s="578">
        <v>0</v>
      </c>
      <c r="K115" s="578">
        <v>0</v>
      </c>
      <c r="L115" s="578">
        <v>0</v>
      </c>
      <c r="M115" s="578">
        <v>0</v>
      </c>
      <c r="N115" s="578">
        <v>0</v>
      </c>
      <c r="O115" s="578">
        <v>4.7092505521583501</v>
      </c>
      <c r="P115" s="578">
        <v>0</v>
      </c>
      <c r="Q115" s="293">
        <f t="shared" si="3"/>
        <v>4.7092505521583501</v>
      </c>
      <c r="R115" s="579">
        <f t="shared" si="4"/>
        <v>0.63098715356759161</v>
      </c>
      <c r="S115" s="292"/>
      <c r="T115" s="291"/>
      <c r="U115" s="580">
        <f t="shared" si="5"/>
        <v>0</v>
      </c>
      <c r="V115" s="286"/>
    </row>
    <row r="116" spans="7:22" x14ac:dyDescent="0.2">
      <c r="G116" s="290"/>
      <c r="H116" s="575">
        <v>106</v>
      </c>
      <c r="I116" s="581">
        <v>0</v>
      </c>
      <c r="J116" s="581">
        <v>0</v>
      </c>
      <c r="K116" s="581">
        <v>0</v>
      </c>
      <c r="L116" s="581">
        <v>0</v>
      </c>
      <c r="M116" s="581">
        <v>0</v>
      </c>
      <c r="N116" s="581">
        <v>2.8681644670050699</v>
      </c>
      <c r="O116" s="581">
        <v>4.6878730242612701</v>
      </c>
      <c r="P116" s="581">
        <v>0.28681644670050699</v>
      </c>
      <c r="Q116" s="289">
        <f t="shared" si="3"/>
        <v>7.8428539379668463</v>
      </c>
      <c r="R116" s="582">
        <f t="shared" si="4"/>
        <v>1.0202476951064898</v>
      </c>
      <c r="S116" s="288"/>
      <c r="T116" s="287"/>
      <c r="U116" s="583">
        <f t="shared" si="5"/>
        <v>0</v>
      </c>
      <c r="V116" s="286"/>
    </row>
    <row r="117" spans="7:22" x14ac:dyDescent="0.2">
      <c r="G117" s="290"/>
      <c r="H117" s="577">
        <v>107</v>
      </c>
      <c r="I117" s="578">
        <v>0</v>
      </c>
      <c r="J117" s="578">
        <v>0</v>
      </c>
      <c r="K117" s="578">
        <v>0</v>
      </c>
      <c r="L117" s="578">
        <v>0</v>
      </c>
      <c r="M117" s="578">
        <v>0</v>
      </c>
      <c r="N117" s="578">
        <v>5.29654371573604</v>
      </c>
      <c r="O117" s="578">
        <v>4.7068671367155899</v>
      </c>
      <c r="P117" s="578">
        <v>0.52965437157360395</v>
      </c>
      <c r="Q117" s="293">
        <f t="shared" si="3"/>
        <v>10.533065224025234</v>
      </c>
      <c r="R117" s="579">
        <f t="shared" si="4"/>
        <v>1.3302983245808702</v>
      </c>
      <c r="S117" s="292"/>
      <c r="T117" s="291"/>
      <c r="U117" s="580">
        <f t="shared" si="5"/>
        <v>0</v>
      </c>
      <c r="V117" s="286"/>
    </row>
    <row r="118" spans="7:22" x14ac:dyDescent="0.2">
      <c r="G118" s="290"/>
      <c r="H118" s="575">
        <v>108</v>
      </c>
      <c r="I118" s="581">
        <v>0</v>
      </c>
      <c r="J118" s="581">
        <v>0</v>
      </c>
      <c r="K118" s="581">
        <v>0</v>
      </c>
      <c r="L118" s="581">
        <v>0</v>
      </c>
      <c r="M118" s="581">
        <v>0</v>
      </c>
      <c r="N118" s="581">
        <v>0</v>
      </c>
      <c r="O118" s="581">
        <v>4.7462536103735502</v>
      </c>
      <c r="P118" s="581">
        <v>0</v>
      </c>
      <c r="Q118" s="289">
        <f t="shared" si="3"/>
        <v>4.7462536103735502</v>
      </c>
      <c r="R118" s="582">
        <f t="shared" si="4"/>
        <v>0.58197990117715348</v>
      </c>
      <c r="S118" s="288"/>
      <c r="T118" s="287"/>
      <c r="U118" s="583">
        <f t="shared" si="5"/>
        <v>0</v>
      </c>
      <c r="V118" s="286"/>
    </row>
    <row r="119" spans="7:22" x14ac:dyDescent="0.2">
      <c r="G119" s="290"/>
      <c r="H119" s="577">
        <v>109</v>
      </c>
      <c r="I119" s="578">
        <v>0</v>
      </c>
      <c r="J119" s="578">
        <v>0</v>
      </c>
      <c r="K119" s="578">
        <v>0</v>
      </c>
      <c r="L119" s="578">
        <v>0</v>
      </c>
      <c r="M119" s="578">
        <v>0</v>
      </c>
      <c r="N119" s="578">
        <v>0</v>
      </c>
      <c r="O119" s="578">
        <v>4.7096401236560705</v>
      </c>
      <c r="P119" s="578">
        <v>0</v>
      </c>
      <c r="Q119" s="293">
        <f t="shared" si="3"/>
        <v>4.7096401236560705</v>
      </c>
      <c r="R119" s="579">
        <f t="shared" si="4"/>
        <v>0.56067029080991448</v>
      </c>
      <c r="S119" s="292"/>
      <c r="T119" s="291"/>
      <c r="U119" s="580">
        <f t="shared" si="5"/>
        <v>0</v>
      </c>
      <c r="V119" s="286"/>
    </row>
    <row r="120" spans="7:22" x14ac:dyDescent="0.2">
      <c r="G120" s="290"/>
      <c r="H120" s="575">
        <v>110</v>
      </c>
      <c r="I120" s="581">
        <v>0</v>
      </c>
      <c r="J120" s="581">
        <v>0</v>
      </c>
      <c r="K120" s="581">
        <v>0</v>
      </c>
      <c r="L120" s="581">
        <v>0</v>
      </c>
      <c r="M120" s="581">
        <v>0</v>
      </c>
      <c r="N120" s="581">
        <v>0</v>
      </c>
      <c r="O120" s="581">
        <v>4.6823534235298601</v>
      </c>
      <c r="P120" s="581">
        <v>0</v>
      </c>
      <c r="Q120" s="289">
        <f t="shared" si="3"/>
        <v>4.6823534235298601</v>
      </c>
      <c r="R120" s="582">
        <f t="shared" si="4"/>
        <v>0.54118629204414803</v>
      </c>
      <c r="S120" s="288"/>
      <c r="T120" s="287"/>
      <c r="U120" s="583">
        <f t="shared" si="5"/>
        <v>0</v>
      </c>
      <c r="V120" s="286"/>
    </row>
    <row r="121" spans="7:22" x14ac:dyDescent="0.2">
      <c r="G121" s="290"/>
      <c r="H121" s="577">
        <v>111</v>
      </c>
      <c r="I121" s="578">
        <v>0</v>
      </c>
      <c r="J121" s="578">
        <v>0</v>
      </c>
      <c r="K121" s="578">
        <v>0</v>
      </c>
      <c r="L121" s="578">
        <v>0</v>
      </c>
      <c r="M121" s="578">
        <v>0</v>
      </c>
      <c r="N121" s="578">
        <v>2.8681644670050699</v>
      </c>
      <c r="O121" s="578">
        <v>4.6615884206482603</v>
      </c>
      <c r="P121" s="578">
        <v>0.28681644670050699</v>
      </c>
      <c r="Q121" s="293">
        <f t="shared" si="3"/>
        <v>7.8165693343538374</v>
      </c>
      <c r="R121" s="579">
        <f t="shared" si="4"/>
        <v>0.87712513489045163</v>
      </c>
      <c r="S121" s="292"/>
      <c r="T121" s="291"/>
      <c r="U121" s="580">
        <f t="shared" si="5"/>
        <v>0</v>
      </c>
      <c r="V121" s="286"/>
    </row>
    <row r="122" spans="7:22" x14ac:dyDescent="0.2">
      <c r="G122" s="290"/>
      <c r="H122" s="575">
        <v>112</v>
      </c>
      <c r="I122" s="581">
        <v>0</v>
      </c>
      <c r="J122" s="581">
        <v>0</v>
      </c>
      <c r="K122" s="581">
        <v>0</v>
      </c>
      <c r="L122" s="581">
        <v>0</v>
      </c>
      <c r="M122" s="581">
        <v>0</v>
      </c>
      <c r="N122" s="581">
        <v>1.3384767512690301</v>
      </c>
      <c r="O122" s="581">
        <v>4.6816060608644099</v>
      </c>
      <c r="P122" s="581">
        <v>0.13384767512690302</v>
      </c>
      <c r="Q122" s="289">
        <f t="shared" si="3"/>
        <v>6.1539304872603431</v>
      </c>
      <c r="R122" s="582">
        <f t="shared" si="4"/>
        <v>0.67044125969458657</v>
      </c>
      <c r="S122" s="288"/>
      <c r="T122" s="287"/>
      <c r="U122" s="583">
        <f t="shared" si="5"/>
        <v>0</v>
      </c>
      <c r="V122" s="286"/>
    </row>
    <row r="123" spans="7:22" x14ac:dyDescent="0.2">
      <c r="G123" s="290"/>
      <c r="H123" s="577">
        <v>113</v>
      </c>
      <c r="I123" s="578">
        <v>0</v>
      </c>
      <c r="J123" s="578">
        <v>0</v>
      </c>
      <c r="K123" s="578">
        <v>0</v>
      </c>
      <c r="L123" s="578">
        <v>0</v>
      </c>
      <c r="M123" s="578">
        <v>0</v>
      </c>
      <c r="N123" s="578">
        <v>0</v>
      </c>
      <c r="O123" s="578">
        <v>4.67238934640607</v>
      </c>
      <c r="P123" s="578">
        <v>0</v>
      </c>
      <c r="Q123" s="293">
        <f t="shared" si="3"/>
        <v>4.67238934640607</v>
      </c>
      <c r="R123" s="579">
        <f t="shared" si="4"/>
        <v>0.49420820045483177</v>
      </c>
      <c r="S123" s="292"/>
      <c r="T123" s="291"/>
      <c r="U123" s="580">
        <f t="shared" si="5"/>
        <v>0</v>
      </c>
      <c r="V123" s="286"/>
    </row>
    <row r="124" spans="7:22" x14ac:dyDescent="0.2">
      <c r="G124" s="290"/>
      <c r="H124" s="575">
        <v>114</v>
      </c>
      <c r="I124" s="581">
        <v>0</v>
      </c>
      <c r="J124" s="581">
        <v>0</v>
      </c>
      <c r="K124" s="581">
        <v>0</v>
      </c>
      <c r="L124" s="581">
        <v>0</v>
      </c>
      <c r="M124" s="581">
        <v>0</v>
      </c>
      <c r="N124" s="581">
        <v>0</v>
      </c>
      <c r="O124" s="581">
        <v>4.6475058867444003</v>
      </c>
      <c r="P124" s="581">
        <v>0</v>
      </c>
      <c r="Q124" s="289">
        <f t="shared" si="3"/>
        <v>4.6475058867444003</v>
      </c>
      <c r="R124" s="582">
        <f t="shared" si="4"/>
        <v>0.47725847175786335</v>
      </c>
      <c r="S124" s="288"/>
      <c r="T124" s="287"/>
      <c r="U124" s="583">
        <f t="shared" si="5"/>
        <v>0</v>
      </c>
      <c r="V124" s="286"/>
    </row>
    <row r="125" spans="7:22" x14ac:dyDescent="0.2">
      <c r="G125" s="290"/>
      <c r="H125" s="577">
        <v>115</v>
      </c>
      <c r="I125" s="578">
        <v>0</v>
      </c>
      <c r="J125" s="578">
        <v>0</v>
      </c>
      <c r="K125" s="578">
        <v>0</v>
      </c>
      <c r="L125" s="578">
        <v>0</v>
      </c>
      <c r="M125" s="578">
        <v>0</v>
      </c>
      <c r="N125" s="578">
        <v>0</v>
      </c>
      <c r="O125" s="578">
        <v>4.6299128033345402</v>
      </c>
      <c r="P125" s="578">
        <v>0</v>
      </c>
      <c r="Q125" s="293">
        <f t="shared" si="3"/>
        <v>4.6299128033345402</v>
      </c>
      <c r="R125" s="579">
        <f t="shared" si="4"/>
        <v>0.46160370384501487</v>
      </c>
      <c r="S125" s="292"/>
      <c r="T125" s="291"/>
      <c r="U125" s="580">
        <f t="shared" si="5"/>
        <v>0</v>
      </c>
      <c r="V125" s="286"/>
    </row>
    <row r="126" spans="7:22" x14ac:dyDescent="0.2">
      <c r="G126" s="290"/>
      <c r="H126" s="575">
        <v>116</v>
      </c>
      <c r="I126" s="581">
        <v>0</v>
      </c>
      <c r="J126" s="581">
        <v>0</v>
      </c>
      <c r="K126" s="581">
        <v>0</v>
      </c>
      <c r="L126" s="581">
        <v>0</v>
      </c>
      <c r="M126" s="581">
        <v>0</v>
      </c>
      <c r="N126" s="581">
        <v>21.989260913705603</v>
      </c>
      <c r="O126" s="581">
        <v>4.6171830900592497</v>
      </c>
      <c r="P126" s="581">
        <v>2.1989260913705602</v>
      </c>
      <c r="Q126" s="289">
        <f t="shared" si="3"/>
        <v>28.805370095135412</v>
      </c>
      <c r="R126" s="582">
        <f t="shared" si="4"/>
        <v>2.7882564002183514</v>
      </c>
      <c r="S126" s="288"/>
      <c r="T126" s="287"/>
      <c r="U126" s="583">
        <f t="shared" si="5"/>
        <v>0</v>
      </c>
      <c r="V126" s="286"/>
    </row>
    <row r="127" spans="7:22" x14ac:dyDescent="0.2">
      <c r="G127" s="290"/>
      <c r="H127" s="577">
        <v>117</v>
      </c>
      <c r="I127" s="578">
        <v>0</v>
      </c>
      <c r="J127" s="578">
        <v>0</v>
      </c>
      <c r="K127" s="578">
        <v>0</v>
      </c>
      <c r="L127" s="578">
        <v>0</v>
      </c>
      <c r="M127" s="578">
        <v>0</v>
      </c>
      <c r="N127" s="578">
        <v>6.8262314314720802</v>
      </c>
      <c r="O127" s="578">
        <v>4.8849585611592605</v>
      </c>
      <c r="P127" s="578">
        <v>0.68262314314720896</v>
      </c>
      <c r="Q127" s="293">
        <f t="shared" si="3"/>
        <v>12.393813135778549</v>
      </c>
      <c r="R127" s="579">
        <f t="shared" si="4"/>
        <v>1.1647345746159465</v>
      </c>
      <c r="S127" s="292"/>
      <c r="T127" s="291"/>
      <c r="U127" s="580">
        <f t="shared" si="5"/>
        <v>0</v>
      </c>
      <c r="V127" s="286"/>
    </row>
    <row r="128" spans="7:22" x14ac:dyDescent="0.2">
      <c r="G128" s="290"/>
      <c r="H128" s="575">
        <v>118</v>
      </c>
      <c r="I128" s="581">
        <v>0</v>
      </c>
      <c r="J128" s="581">
        <v>0</v>
      </c>
      <c r="K128" s="581">
        <v>0</v>
      </c>
      <c r="L128" s="581">
        <v>0</v>
      </c>
      <c r="M128" s="581">
        <v>0</v>
      </c>
      <c r="N128" s="581">
        <v>0</v>
      </c>
      <c r="O128" s="581">
        <v>4.9242191620182698</v>
      </c>
      <c r="P128" s="581">
        <v>0</v>
      </c>
      <c r="Q128" s="289">
        <f t="shared" si="3"/>
        <v>4.9242191620182698</v>
      </c>
      <c r="R128" s="582">
        <f t="shared" si="4"/>
        <v>0.44928526212887071</v>
      </c>
      <c r="S128" s="288"/>
      <c r="T128" s="287"/>
      <c r="U128" s="583">
        <f t="shared" si="5"/>
        <v>0</v>
      </c>
      <c r="V128" s="286"/>
    </row>
    <row r="129" spans="7:22" x14ac:dyDescent="0.2">
      <c r="G129" s="290"/>
      <c r="H129" s="577">
        <v>119</v>
      </c>
      <c r="I129" s="578">
        <v>0</v>
      </c>
      <c r="J129" s="578">
        <v>0</v>
      </c>
      <c r="K129" s="578">
        <v>0</v>
      </c>
      <c r="L129" s="578">
        <v>0</v>
      </c>
      <c r="M129" s="578">
        <v>0</v>
      </c>
      <c r="N129" s="578">
        <v>0</v>
      </c>
      <c r="O129" s="578">
        <v>4.8682074301715206</v>
      </c>
      <c r="P129" s="578">
        <v>0</v>
      </c>
      <c r="Q129" s="293">
        <f t="shared" si="3"/>
        <v>4.8682074301715206</v>
      </c>
      <c r="R129" s="579">
        <f t="shared" si="4"/>
        <v>0.43123762848225949</v>
      </c>
      <c r="S129" s="292"/>
      <c r="T129" s="291"/>
      <c r="U129" s="580">
        <f t="shared" si="5"/>
        <v>0</v>
      </c>
      <c r="V129" s="286"/>
    </row>
    <row r="130" spans="7:22" x14ac:dyDescent="0.2">
      <c r="G130" s="290"/>
      <c r="H130" s="575">
        <v>120</v>
      </c>
      <c r="I130" s="581">
        <v>0</v>
      </c>
      <c r="J130" s="581">
        <v>0</v>
      </c>
      <c r="K130" s="581">
        <v>0</v>
      </c>
      <c r="L130" s="581">
        <v>0</v>
      </c>
      <c r="M130" s="581">
        <v>0</v>
      </c>
      <c r="N130" s="581">
        <v>0</v>
      </c>
      <c r="O130" s="581">
        <v>4.8236368936351299</v>
      </c>
      <c r="P130" s="581">
        <v>0</v>
      </c>
      <c r="Q130" s="289">
        <f t="shared" si="3"/>
        <v>4.8236368936351299</v>
      </c>
      <c r="R130" s="582">
        <f t="shared" si="4"/>
        <v>0.41484413804922088</v>
      </c>
      <c r="S130" s="288"/>
      <c r="T130" s="287"/>
      <c r="U130" s="583">
        <f t="shared" si="5"/>
        <v>0</v>
      </c>
      <c r="V130" s="286"/>
    </row>
    <row r="131" spans="7:22" x14ac:dyDescent="0.2">
      <c r="G131" s="290"/>
      <c r="H131" s="577">
        <v>121</v>
      </c>
      <c r="I131" s="578">
        <v>0</v>
      </c>
      <c r="J131" s="578">
        <v>0</v>
      </c>
      <c r="K131" s="578">
        <v>0</v>
      </c>
      <c r="L131" s="578">
        <v>0</v>
      </c>
      <c r="M131" s="578">
        <v>0</v>
      </c>
      <c r="N131" s="578">
        <v>2.8681644670050699</v>
      </c>
      <c r="O131" s="578">
        <v>4.7874719925120504</v>
      </c>
      <c r="P131" s="578">
        <v>0.28681644670050699</v>
      </c>
      <c r="Q131" s="293">
        <f t="shared" si="3"/>
        <v>7.9424529062176275</v>
      </c>
      <c r="R131" s="579">
        <f t="shared" si="4"/>
        <v>0.66317443060161463</v>
      </c>
      <c r="S131" s="292"/>
      <c r="T131" s="291"/>
      <c r="U131" s="580">
        <f t="shared" si="5"/>
        <v>0</v>
      </c>
      <c r="V131" s="286"/>
    </row>
    <row r="132" spans="7:22" x14ac:dyDescent="0.2">
      <c r="G132" s="290"/>
      <c r="H132" s="575">
        <v>122</v>
      </c>
      <c r="I132" s="581">
        <v>0</v>
      </c>
      <c r="J132" s="581">
        <v>0</v>
      </c>
      <c r="K132" s="581">
        <v>0</v>
      </c>
      <c r="L132" s="581">
        <v>0</v>
      </c>
      <c r="M132" s="581">
        <v>0</v>
      </c>
      <c r="N132" s="581">
        <v>1.3384767512690301</v>
      </c>
      <c r="O132" s="581">
        <v>4.7937683233950406</v>
      </c>
      <c r="P132" s="581">
        <v>0.13384767512690302</v>
      </c>
      <c r="Q132" s="289">
        <f t="shared" si="3"/>
        <v>6.2660927497909737</v>
      </c>
      <c r="R132" s="582">
        <f t="shared" si="4"/>
        <v>0.50796374805953781</v>
      </c>
      <c r="S132" s="288"/>
      <c r="T132" s="287"/>
      <c r="U132" s="583">
        <f t="shared" si="5"/>
        <v>0</v>
      </c>
      <c r="V132" s="286"/>
    </row>
    <row r="133" spans="7:22" x14ac:dyDescent="0.2">
      <c r="G133" s="290"/>
      <c r="H133" s="577">
        <v>123</v>
      </c>
      <c r="I133" s="578">
        <v>0</v>
      </c>
      <c r="J133" s="578">
        <v>0</v>
      </c>
      <c r="K133" s="578">
        <v>0</v>
      </c>
      <c r="L133" s="578">
        <v>0</v>
      </c>
      <c r="M133" s="578">
        <v>0</v>
      </c>
      <c r="N133" s="578">
        <v>0</v>
      </c>
      <c r="O133" s="578">
        <v>4.7723259223208698</v>
      </c>
      <c r="P133" s="578">
        <v>0</v>
      </c>
      <c r="Q133" s="293">
        <f t="shared" si="3"/>
        <v>4.7723259223208698</v>
      </c>
      <c r="R133" s="579">
        <f t="shared" si="4"/>
        <v>0.37560275679105032</v>
      </c>
      <c r="S133" s="292"/>
      <c r="T133" s="291"/>
      <c r="U133" s="580">
        <f t="shared" si="5"/>
        <v>0</v>
      </c>
      <c r="V133" s="286"/>
    </row>
    <row r="134" spans="7:22" x14ac:dyDescent="0.2">
      <c r="G134" s="290"/>
      <c r="H134" s="575">
        <v>124</v>
      </c>
      <c r="I134" s="581">
        <v>0</v>
      </c>
      <c r="J134" s="581">
        <v>0</v>
      </c>
      <c r="K134" s="581">
        <v>0</v>
      </c>
      <c r="L134" s="581">
        <v>0</v>
      </c>
      <c r="M134" s="581">
        <v>0</v>
      </c>
      <c r="N134" s="581">
        <v>0</v>
      </c>
      <c r="O134" s="581">
        <v>4.7365493758844801</v>
      </c>
      <c r="P134" s="581">
        <v>0</v>
      </c>
      <c r="Q134" s="289">
        <f t="shared" si="3"/>
        <v>4.7365493758844801</v>
      </c>
      <c r="R134" s="582">
        <f t="shared" si="4"/>
        <v>0.3619291139370906</v>
      </c>
      <c r="S134" s="288"/>
      <c r="T134" s="287"/>
      <c r="U134" s="583">
        <f t="shared" si="5"/>
        <v>0</v>
      </c>
      <c r="V134" s="286"/>
    </row>
    <row r="135" spans="7:22" x14ac:dyDescent="0.2">
      <c r="G135" s="290"/>
      <c r="H135" s="577">
        <v>125</v>
      </c>
      <c r="I135" s="578">
        <v>0</v>
      </c>
      <c r="J135" s="578">
        <v>0</v>
      </c>
      <c r="K135" s="578">
        <v>0</v>
      </c>
      <c r="L135" s="578">
        <v>0</v>
      </c>
      <c r="M135" s="578">
        <v>0</v>
      </c>
      <c r="N135" s="578">
        <v>0</v>
      </c>
      <c r="O135" s="578">
        <v>4.7092505521583501</v>
      </c>
      <c r="P135" s="578">
        <v>0</v>
      </c>
      <c r="Q135" s="293">
        <f t="shared" si="3"/>
        <v>4.7092505521583501</v>
      </c>
      <c r="R135" s="579">
        <f t="shared" si="4"/>
        <v>0.34936228813342507</v>
      </c>
      <c r="S135" s="292"/>
      <c r="T135" s="291"/>
      <c r="U135" s="580">
        <f t="shared" si="5"/>
        <v>0</v>
      </c>
      <c r="V135" s="286"/>
    </row>
    <row r="136" spans="7:22" x14ac:dyDescent="0.2">
      <c r="G136" s="290"/>
      <c r="H136" s="575">
        <v>126</v>
      </c>
      <c r="I136" s="581">
        <v>0</v>
      </c>
      <c r="J136" s="581">
        <v>0</v>
      </c>
      <c r="K136" s="581">
        <v>0</v>
      </c>
      <c r="L136" s="581">
        <v>0</v>
      </c>
      <c r="M136" s="581">
        <v>0</v>
      </c>
      <c r="N136" s="581">
        <v>2.8681644670050699</v>
      </c>
      <c r="O136" s="581">
        <v>4.6878730242612701</v>
      </c>
      <c r="P136" s="581">
        <v>0.28681644670050699</v>
      </c>
      <c r="Q136" s="289">
        <f t="shared" si="3"/>
        <v>7.8428539379668463</v>
      </c>
      <c r="R136" s="582">
        <f t="shared" si="4"/>
        <v>0.56488641204495571</v>
      </c>
      <c r="S136" s="288"/>
      <c r="T136" s="287"/>
      <c r="U136" s="583">
        <f t="shared" si="5"/>
        <v>0</v>
      </c>
      <c r="V136" s="286"/>
    </row>
    <row r="137" spans="7:22" x14ac:dyDescent="0.2">
      <c r="G137" s="290"/>
      <c r="H137" s="577">
        <v>127</v>
      </c>
      <c r="I137" s="578">
        <v>0</v>
      </c>
      <c r="J137" s="578">
        <v>0</v>
      </c>
      <c r="K137" s="578">
        <v>0</v>
      </c>
      <c r="L137" s="578">
        <v>0</v>
      </c>
      <c r="M137" s="578">
        <v>0</v>
      </c>
      <c r="N137" s="578">
        <v>5.29654371573604</v>
      </c>
      <c r="O137" s="578">
        <v>4.7068671367155899</v>
      </c>
      <c r="P137" s="578">
        <v>0.52965437157360395</v>
      </c>
      <c r="Q137" s="293">
        <f t="shared" si="3"/>
        <v>10.533065224025234</v>
      </c>
      <c r="R137" s="579">
        <f t="shared" si="4"/>
        <v>0.73655392815513099</v>
      </c>
      <c r="S137" s="292"/>
      <c r="T137" s="291"/>
      <c r="U137" s="580">
        <f t="shared" si="5"/>
        <v>0</v>
      </c>
      <c r="V137" s="286"/>
    </row>
    <row r="138" spans="7:22" x14ac:dyDescent="0.2">
      <c r="G138" s="290"/>
      <c r="H138" s="575">
        <v>128</v>
      </c>
      <c r="I138" s="581">
        <v>0</v>
      </c>
      <c r="J138" s="581">
        <v>0</v>
      </c>
      <c r="K138" s="581">
        <v>0</v>
      </c>
      <c r="L138" s="581">
        <v>0</v>
      </c>
      <c r="M138" s="581">
        <v>0</v>
      </c>
      <c r="N138" s="581">
        <v>0</v>
      </c>
      <c r="O138" s="581">
        <v>4.7462536103735502</v>
      </c>
      <c r="P138" s="581">
        <v>0</v>
      </c>
      <c r="Q138" s="289">
        <f t="shared" si="3"/>
        <v>4.7462536103735502</v>
      </c>
      <c r="R138" s="582">
        <f t="shared" si="4"/>
        <v>0.32222816070554916</v>
      </c>
      <c r="S138" s="288"/>
      <c r="T138" s="287"/>
      <c r="U138" s="583">
        <f t="shared" si="5"/>
        <v>0</v>
      </c>
      <c r="V138" s="286"/>
    </row>
    <row r="139" spans="7:22" x14ac:dyDescent="0.2">
      <c r="G139" s="290"/>
      <c r="H139" s="577">
        <v>129</v>
      </c>
      <c r="I139" s="578">
        <v>0</v>
      </c>
      <c r="J139" s="578">
        <v>0</v>
      </c>
      <c r="K139" s="578">
        <v>0</v>
      </c>
      <c r="L139" s="578">
        <v>0</v>
      </c>
      <c r="M139" s="578">
        <v>0</v>
      </c>
      <c r="N139" s="578">
        <v>0</v>
      </c>
      <c r="O139" s="578">
        <v>4.7096401236560705</v>
      </c>
      <c r="P139" s="578">
        <v>0</v>
      </c>
      <c r="Q139" s="293">
        <f t="shared" ref="Q139:Q202" si="6">SUM(I139:P139)</f>
        <v>4.7096401236560705</v>
      </c>
      <c r="R139" s="579">
        <f t="shared" ref="R139:R202" si="7">$Q139/(1+$B$3)^($H139-37)</f>
        <v>0.3104295461140511</v>
      </c>
      <c r="S139" s="292"/>
      <c r="T139" s="291"/>
      <c r="U139" s="580">
        <f t="shared" ref="U139:U202" si="8">$T139/(1+$B$3)^($H139-37)</f>
        <v>0</v>
      </c>
      <c r="V139" s="286"/>
    </row>
    <row r="140" spans="7:22" x14ac:dyDescent="0.2">
      <c r="G140" s="290"/>
      <c r="H140" s="575">
        <v>130</v>
      </c>
      <c r="I140" s="581">
        <v>0</v>
      </c>
      <c r="J140" s="581">
        <v>0</v>
      </c>
      <c r="K140" s="581">
        <v>0</v>
      </c>
      <c r="L140" s="581">
        <v>0</v>
      </c>
      <c r="M140" s="581">
        <v>0</v>
      </c>
      <c r="N140" s="581">
        <v>0</v>
      </c>
      <c r="O140" s="581">
        <v>4.6823534235298601</v>
      </c>
      <c r="P140" s="581">
        <v>0</v>
      </c>
      <c r="Q140" s="289">
        <f t="shared" si="6"/>
        <v>4.6823534235298601</v>
      </c>
      <c r="R140" s="582">
        <f t="shared" si="7"/>
        <v>0.29964172840284986</v>
      </c>
      <c r="S140" s="288"/>
      <c r="T140" s="287"/>
      <c r="U140" s="583">
        <f t="shared" si="8"/>
        <v>0</v>
      </c>
      <c r="V140" s="286"/>
    </row>
    <row r="141" spans="7:22" x14ac:dyDescent="0.2">
      <c r="G141" s="290"/>
      <c r="H141" s="577">
        <v>131</v>
      </c>
      <c r="I141" s="578">
        <v>0</v>
      </c>
      <c r="J141" s="578">
        <v>0</v>
      </c>
      <c r="K141" s="578">
        <v>0</v>
      </c>
      <c r="L141" s="578">
        <v>0</v>
      </c>
      <c r="M141" s="578">
        <v>0</v>
      </c>
      <c r="N141" s="578">
        <v>2.8681644670050699</v>
      </c>
      <c r="O141" s="578">
        <v>4.6615884206482603</v>
      </c>
      <c r="P141" s="578">
        <v>0.28681644670050699</v>
      </c>
      <c r="Q141" s="293">
        <f t="shared" si="6"/>
        <v>7.8165693343538374</v>
      </c>
      <c r="R141" s="579">
        <f t="shared" si="7"/>
        <v>0.48564292057626157</v>
      </c>
      <c r="S141" s="292"/>
      <c r="T141" s="291"/>
      <c r="U141" s="580">
        <f t="shared" si="8"/>
        <v>0</v>
      </c>
      <c r="V141" s="286"/>
    </row>
    <row r="142" spans="7:22" x14ac:dyDescent="0.2">
      <c r="G142" s="290"/>
      <c r="H142" s="575">
        <v>132</v>
      </c>
      <c r="I142" s="581">
        <v>0</v>
      </c>
      <c r="J142" s="581">
        <v>0</v>
      </c>
      <c r="K142" s="581">
        <v>0</v>
      </c>
      <c r="L142" s="581">
        <v>0</v>
      </c>
      <c r="M142" s="581">
        <v>0</v>
      </c>
      <c r="N142" s="581">
        <v>1.3384767512690301</v>
      </c>
      <c r="O142" s="581">
        <v>4.6816060608644099</v>
      </c>
      <c r="P142" s="581">
        <v>0.13384767512690302</v>
      </c>
      <c r="Q142" s="289">
        <f t="shared" si="6"/>
        <v>6.1539304872603431</v>
      </c>
      <c r="R142" s="582">
        <f t="shared" si="7"/>
        <v>0.3712070700990367</v>
      </c>
      <c r="S142" s="288"/>
      <c r="T142" s="287"/>
      <c r="U142" s="583">
        <f t="shared" si="8"/>
        <v>0</v>
      </c>
      <c r="V142" s="286"/>
    </row>
    <row r="143" spans="7:22" x14ac:dyDescent="0.2">
      <c r="G143" s="290"/>
      <c r="H143" s="577">
        <v>133</v>
      </c>
      <c r="I143" s="578">
        <v>0</v>
      </c>
      <c r="J143" s="578">
        <v>0</v>
      </c>
      <c r="K143" s="578">
        <v>0</v>
      </c>
      <c r="L143" s="578">
        <v>0</v>
      </c>
      <c r="M143" s="578">
        <v>0</v>
      </c>
      <c r="N143" s="578">
        <v>0</v>
      </c>
      <c r="O143" s="578">
        <v>4.67238934640607</v>
      </c>
      <c r="P143" s="578">
        <v>0</v>
      </c>
      <c r="Q143" s="293">
        <f t="shared" si="6"/>
        <v>4.67238934640607</v>
      </c>
      <c r="R143" s="579">
        <f t="shared" si="7"/>
        <v>0.27363109811190039</v>
      </c>
      <c r="S143" s="292"/>
      <c r="T143" s="291"/>
      <c r="U143" s="580">
        <f t="shared" si="8"/>
        <v>0</v>
      </c>
      <c r="V143" s="286"/>
    </row>
    <row r="144" spans="7:22" x14ac:dyDescent="0.2">
      <c r="G144" s="290"/>
      <c r="H144" s="575">
        <v>134</v>
      </c>
      <c r="I144" s="581">
        <v>0</v>
      </c>
      <c r="J144" s="581">
        <v>0</v>
      </c>
      <c r="K144" s="581">
        <v>0</v>
      </c>
      <c r="L144" s="581">
        <v>0</v>
      </c>
      <c r="M144" s="581">
        <v>0</v>
      </c>
      <c r="N144" s="581">
        <v>0</v>
      </c>
      <c r="O144" s="581">
        <v>4.6475058867444003</v>
      </c>
      <c r="P144" s="581">
        <v>0</v>
      </c>
      <c r="Q144" s="289">
        <f t="shared" si="6"/>
        <v>4.6475058867444003</v>
      </c>
      <c r="R144" s="582">
        <f t="shared" si="7"/>
        <v>0.26424644429235261</v>
      </c>
      <c r="S144" s="288"/>
      <c r="T144" s="287"/>
      <c r="U144" s="583">
        <f t="shared" si="8"/>
        <v>0</v>
      </c>
      <c r="V144" s="286"/>
    </row>
    <row r="145" spans="7:22" x14ac:dyDescent="0.2">
      <c r="G145" s="290"/>
      <c r="H145" s="577">
        <v>135</v>
      </c>
      <c r="I145" s="578">
        <v>0</v>
      </c>
      <c r="J145" s="578">
        <v>0</v>
      </c>
      <c r="K145" s="578">
        <v>0</v>
      </c>
      <c r="L145" s="578">
        <v>0</v>
      </c>
      <c r="M145" s="578">
        <v>0</v>
      </c>
      <c r="N145" s="578">
        <v>0</v>
      </c>
      <c r="O145" s="578">
        <v>4.6299128033345402</v>
      </c>
      <c r="P145" s="578">
        <v>0</v>
      </c>
      <c r="Q145" s="293">
        <f t="shared" si="6"/>
        <v>4.6299128033345402</v>
      </c>
      <c r="R145" s="579">
        <f t="shared" si="7"/>
        <v>0.2555787788615943</v>
      </c>
      <c r="S145" s="292"/>
      <c r="T145" s="291"/>
      <c r="U145" s="580">
        <f t="shared" si="8"/>
        <v>0</v>
      </c>
      <c r="V145" s="286"/>
    </row>
    <row r="146" spans="7:22" x14ac:dyDescent="0.2">
      <c r="G146" s="290"/>
      <c r="H146" s="575">
        <v>136</v>
      </c>
      <c r="I146" s="581">
        <v>0</v>
      </c>
      <c r="J146" s="581">
        <v>0</v>
      </c>
      <c r="K146" s="581">
        <v>0</v>
      </c>
      <c r="L146" s="581">
        <v>0</v>
      </c>
      <c r="M146" s="581">
        <v>0</v>
      </c>
      <c r="N146" s="581">
        <v>21.989260913705603</v>
      </c>
      <c r="O146" s="581">
        <v>4.6171830900592497</v>
      </c>
      <c r="P146" s="581">
        <v>2.1989260913705602</v>
      </c>
      <c r="Q146" s="289">
        <f t="shared" si="6"/>
        <v>28.805370095135412</v>
      </c>
      <c r="R146" s="582">
        <f t="shared" si="7"/>
        <v>1.5437899652557714</v>
      </c>
      <c r="S146" s="288"/>
      <c r="T146" s="287"/>
      <c r="U146" s="583">
        <f t="shared" si="8"/>
        <v>0</v>
      </c>
      <c r="V146" s="286"/>
    </row>
    <row r="147" spans="7:22" x14ac:dyDescent="0.2">
      <c r="G147" s="290"/>
      <c r="H147" s="577">
        <v>137</v>
      </c>
      <c r="I147" s="578">
        <v>0</v>
      </c>
      <c r="J147" s="578">
        <v>0</v>
      </c>
      <c r="K147" s="578">
        <v>0</v>
      </c>
      <c r="L147" s="578">
        <v>0</v>
      </c>
      <c r="M147" s="578">
        <v>0</v>
      </c>
      <c r="N147" s="578">
        <v>6.8262314314720802</v>
      </c>
      <c r="O147" s="578">
        <v>4.8849585611592605</v>
      </c>
      <c r="P147" s="578">
        <v>0.68262314314720896</v>
      </c>
      <c r="Q147" s="293">
        <f t="shared" si="6"/>
        <v>12.393813135778549</v>
      </c>
      <c r="R147" s="579">
        <f t="shared" si="7"/>
        <v>0.64488529402738415</v>
      </c>
      <c r="S147" s="292"/>
      <c r="T147" s="291"/>
      <c r="U147" s="580">
        <f t="shared" si="8"/>
        <v>0</v>
      </c>
      <c r="V147" s="286"/>
    </row>
    <row r="148" spans="7:22" x14ac:dyDescent="0.2">
      <c r="G148" s="290"/>
      <c r="H148" s="575">
        <v>138</v>
      </c>
      <c r="I148" s="581">
        <v>0</v>
      </c>
      <c r="J148" s="581">
        <v>0</v>
      </c>
      <c r="K148" s="581">
        <v>0</v>
      </c>
      <c r="L148" s="581">
        <v>0</v>
      </c>
      <c r="M148" s="581">
        <v>0</v>
      </c>
      <c r="N148" s="581">
        <v>0</v>
      </c>
      <c r="O148" s="581">
        <v>4.9242191620182698</v>
      </c>
      <c r="P148" s="581">
        <v>0</v>
      </c>
      <c r="Q148" s="289">
        <f t="shared" si="6"/>
        <v>4.9242191620182698</v>
      </c>
      <c r="R148" s="582">
        <f t="shared" si="7"/>
        <v>0.24875835635400773</v>
      </c>
      <c r="S148" s="288"/>
      <c r="T148" s="287"/>
      <c r="U148" s="583">
        <f t="shared" si="8"/>
        <v>0</v>
      </c>
      <c r="V148" s="286"/>
    </row>
    <row r="149" spans="7:22" x14ac:dyDescent="0.2">
      <c r="G149" s="290"/>
      <c r="H149" s="577">
        <v>139</v>
      </c>
      <c r="I149" s="578">
        <v>0</v>
      </c>
      <c r="J149" s="578">
        <v>0</v>
      </c>
      <c r="K149" s="578">
        <v>0</v>
      </c>
      <c r="L149" s="578">
        <v>0</v>
      </c>
      <c r="M149" s="578">
        <v>0</v>
      </c>
      <c r="N149" s="578">
        <v>0</v>
      </c>
      <c r="O149" s="578">
        <v>4.8682074301715206</v>
      </c>
      <c r="P149" s="578">
        <v>0</v>
      </c>
      <c r="Q149" s="293">
        <f t="shared" si="6"/>
        <v>4.8682074301715206</v>
      </c>
      <c r="R149" s="579">
        <f t="shared" si="7"/>
        <v>0.23876581918344161</v>
      </c>
      <c r="S149" s="292"/>
      <c r="T149" s="291"/>
      <c r="U149" s="580">
        <f t="shared" si="8"/>
        <v>0</v>
      </c>
      <c r="V149" s="286"/>
    </row>
    <row r="150" spans="7:22" x14ac:dyDescent="0.2">
      <c r="G150" s="290"/>
      <c r="H150" s="575">
        <v>140</v>
      </c>
      <c r="I150" s="581">
        <v>0</v>
      </c>
      <c r="J150" s="581">
        <v>0</v>
      </c>
      <c r="K150" s="581">
        <v>0</v>
      </c>
      <c r="L150" s="581">
        <v>0</v>
      </c>
      <c r="M150" s="581">
        <v>0</v>
      </c>
      <c r="N150" s="581">
        <v>0</v>
      </c>
      <c r="O150" s="581">
        <v>4.8236368936351299</v>
      </c>
      <c r="P150" s="581">
        <v>0</v>
      </c>
      <c r="Q150" s="289">
        <f t="shared" si="6"/>
        <v>4.8236368936351299</v>
      </c>
      <c r="R150" s="582">
        <f t="shared" si="7"/>
        <v>0.22968914100418242</v>
      </c>
      <c r="S150" s="288"/>
      <c r="T150" s="287"/>
      <c r="U150" s="583">
        <f t="shared" si="8"/>
        <v>0</v>
      </c>
      <c r="V150" s="286"/>
    </row>
    <row r="151" spans="7:22" x14ac:dyDescent="0.2">
      <c r="G151" s="290"/>
      <c r="H151" s="577">
        <v>141</v>
      </c>
      <c r="I151" s="578">
        <v>0</v>
      </c>
      <c r="J151" s="578">
        <v>0</v>
      </c>
      <c r="K151" s="578">
        <v>0</v>
      </c>
      <c r="L151" s="578">
        <v>0</v>
      </c>
      <c r="M151" s="578">
        <v>0</v>
      </c>
      <c r="N151" s="578">
        <v>2.8681644670050699</v>
      </c>
      <c r="O151" s="578">
        <v>4.7874719925120504</v>
      </c>
      <c r="P151" s="578">
        <v>0.28681644670050699</v>
      </c>
      <c r="Q151" s="293">
        <f t="shared" si="6"/>
        <v>7.9424529062176275</v>
      </c>
      <c r="R151" s="579">
        <f t="shared" si="7"/>
        <v>0.36718360302044228</v>
      </c>
      <c r="S151" s="292"/>
      <c r="T151" s="291"/>
      <c r="U151" s="580">
        <f t="shared" si="8"/>
        <v>0</v>
      </c>
      <c r="V151" s="286"/>
    </row>
    <row r="152" spans="7:22" x14ac:dyDescent="0.2">
      <c r="G152" s="290"/>
      <c r="H152" s="575">
        <v>142</v>
      </c>
      <c r="I152" s="581">
        <v>0</v>
      </c>
      <c r="J152" s="581">
        <v>0</v>
      </c>
      <c r="K152" s="581">
        <v>0</v>
      </c>
      <c r="L152" s="581">
        <v>0</v>
      </c>
      <c r="M152" s="581">
        <v>0</v>
      </c>
      <c r="N152" s="581">
        <v>1.3384767512690301</v>
      </c>
      <c r="O152" s="581">
        <v>4.7937683233950406</v>
      </c>
      <c r="P152" s="581">
        <v>0.13384767512690302</v>
      </c>
      <c r="Q152" s="289">
        <f t="shared" si="6"/>
        <v>6.2660927497909737</v>
      </c>
      <c r="R152" s="582">
        <f t="shared" si="7"/>
        <v>0.28124721130618202</v>
      </c>
      <c r="S152" s="288"/>
      <c r="T152" s="287"/>
      <c r="U152" s="583">
        <f t="shared" si="8"/>
        <v>0</v>
      </c>
      <c r="V152" s="286"/>
    </row>
    <row r="153" spans="7:22" x14ac:dyDescent="0.2">
      <c r="G153" s="290"/>
      <c r="H153" s="577">
        <v>143</v>
      </c>
      <c r="I153" s="578">
        <v>0</v>
      </c>
      <c r="J153" s="578">
        <v>0</v>
      </c>
      <c r="K153" s="578">
        <v>0</v>
      </c>
      <c r="L153" s="578">
        <v>0</v>
      </c>
      <c r="M153" s="578">
        <v>0</v>
      </c>
      <c r="N153" s="578">
        <v>0</v>
      </c>
      <c r="O153" s="578">
        <v>4.7723259223208698</v>
      </c>
      <c r="P153" s="578">
        <v>0</v>
      </c>
      <c r="Q153" s="293">
        <f t="shared" si="6"/>
        <v>4.7723259223208698</v>
      </c>
      <c r="R153" s="579">
        <f t="shared" si="7"/>
        <v>0.20796213964075128</v>
      </c>
      <c r="S153" s="292"/>
      <c r="T153" s="291"/>
      <c r="U153" s="580">
        <f t="shared" si="8"/>
        <v>0</v>
      </c>
      <c r="V153" s="286"/>
    </row>
    <row r="154" spans="7:22" x14ac:dyDescent="0.2">
      <c r="G154" s="290"/>
      <c r="H154" s="575">
        <v>144</v>
      </c>
      <c r="I154" s="581">
        <v>0</v>
      </c>
      <c r="J154" s="581">
        <v>0</v>
      </c>
      <c r="K154" s="581">
        <v>0</v>
      </c>
      <c r="L154" s="581">
        <v>0</v>
      </c>
      <c r="M154" s="581">
        <v>0</v>
      </c>
      <c r="N154" s="581">
        <v>0</v>
      </c>
      <c r="O154" s="581">
        <v>4.7365493758844801</v>
      </c>
      <c r="P154" s="581">
        <v>0</v>
      </c>
      <c r="Q154" s="289">
        <f t="shared" si="6"/>
        <v>4.7365493758844801</v>
      </c>
      <c r="R154" s="582">
        <f t="shared" si="7"/>
        <v>0.2003913751211106</v>
      </c>
      <c r="S154" s="288"/>
      <c r="T154" s="287"/>
      <c r="U154" s="583">
        <f t="shared" si="8"/>
        <v>0</v>
      </c>
      <c r="V154" s="286"/>
    </row>
    <row r="155" spans="7:22" x14ac:dyDescent="0.2">
      <c r="G155" s="290"/>
      <c r="H155" s="577">
        <v>145</v>
      </c>
      <c r="I155" s="578">
        <v>0</v>
      </c>
      <c r="J155" s="578">
        <v>0</v>
      </c>
      <c r="K155" s="578">
        <v>0</v>
      </c>
      <c r="L155" s="578">
        <v>0</v>
      </c>
      <c r="M155" s="578">
        <v>0</v>
      </c>
      <c r="N155" s="578">
        <v>0</v>
      </c>
      <c r="O155" s="578">
        <v>4.7092505521583501</v>
      </c>
      <c r="P155" s="578">
        <v>0</v>
      </c>
      <c r="Q155" s="293">
        <f t="shared" si="6"/>
        <v>4.7092505521583501</v>
      </c>
      <c r="R155" s="579">
        <f t="shared" si="7"/>
        <v>0.19343342836653779</v>
      </c>
      <c r="S155" s="292"/>
      <c r="T155" s="291"/>
      <c r="U155" s="580">
        <f t="shared" si="8"/>
        <v>0</v>
      </c>
      <c r="V155" s="286"/>
    </row>
    <row r="156" spans="7:22" x14ac:dyDescent="0.2">
      <c r="G156" s="290"/>
      <c r="H156" s="575">
        <v>146</v>
      </c>
      <c r="I156" s="581">
        <v>0</v>
      </c>
      <c r="J156" s="581">
        <v>0</v>
      </c>
      <c r="K156" s="581">
        <v>0</v>
      </c>
      <c r="L156" s="581">
        <v>0</v>
      </c>
      <c r="M156" s="581">
        <v>0</v>
      </c>
      <c r="N156" s="581">
        <v>2.8681644670050699</v>
      </c>
      <c r="O156" s="581">
        <v>4.6878730242612701</v>
      </c>
      <c r="P156" s="581">
        <v>0.28681644670050699</v>
      </c>
      <c r="Q156" s="289">
        <f t="shared" si="6"/>
        <v>7.8428539379668463</v>
      </c>
      <c r="R156" s="582">
        <f t="shared" si="7"/>
        <v>0.31276391021860361</v>
      </c>
      <c r="S156" s="288"/>
      <c r="T156" s="287"/>
      <c r="U156" s="583">
        <f t="shared" si="8"/>
        <v>0</v>
      </c>
      <c r="V156" s="286"/>
    </row>
    <row r="157" spans="7:22" x14ac:dyDescent="0.2">
      <c r="G157" s="290"/>
      <c r="H157" s="577">
        <v>147</v>
      </c>
      <c r="I157" s="578">
        <v>0</v>
      </c>
      <c r="J157" s="578">
        <v>0</v>
      </c>
      <c r="K157" s="578">
        <v>0</v>
      </c>
      <c r="L157" s="578">
        <v>0</v>
      </c>
      <c r="M157" s="578">
        <v>0</v>
      </c>
      <c r="N157" s="578">
        <v>5.29654371573604</v>
      </c>
      <c r="O157" s="578">
        <v>4.7068671367155899</v>
      </c>
      <c r="P157" s="578">
        <v>0.52965437157360395</v>
      </c>
      <c r="Q157" s="293">
        <f t="shared" si="6"/>
        <v>10.533065224025234</v>
      </c>
      <c r="R157" s="579">
        <f t="shared" si="7"/>
        <v>0.40781205167019979</v>
      </c>
      <c r="S157" s="292"/>
      <c r="T157" s="291"/>
      <c r="U157" s="580">
        <f t="shared" si="8"/>
        <v>0</v>
      </c>
      <c r="V157" s="286"/>
    </row>
    <row r="158" spans="7:22" x14ac:dyDescent="0.2">
      <c r="G158" s="290"/>
      <c r="H158" s="575">
        <v>148</v>
      </c>
      <c r="I158" s="581">
        <v>0</v>
      </c>
      <c r="J158" s="581">
        <v>0</v>
      </c>
      <c r="K158" s="581">
        <v>0</v>
      </c>
      <c r="L158" s="581">
        <v>0</v>
      </c>
      <c r="M158" s="581">
        <v>0</v>
      </c>
      <c r="N158" s="581">
        <v>0</v>
      </c>
      <c r="O158" s="581">
        <v>4.7462536103735502</v>
      </c>
      <c r="P158" s="581">
        <v>0</v>
      </c>
      <c r="Q158" s="289">
        <f t="shared" si="6"/>
        <v>4.7462536103735502</v>
      </c>
      <c r="R158" s="582">
        <f t="shared" si="7"/>
        <v>0.17840991989872046</v>
      </c>
      <c r="S158" s="288"/>
      <c r="T158" s="287"/>
      <c r="U158" s="583">
        <f t="shared" si="8"/>
        <v>0</v>
      </c>
      <c r="V158" s="286"/>
    </row>
    <row r="159" spans="7:22" x14ac:dyDescent="0.2">
      <c r="G159" s="290"/>
      <c r="H159" s="577">
        <v>149</v>
      </c>
      <c r="I159" s="578">
        <v>0</v>
      </c>
      <c r="J159" s="578">
        <v>0</v>
      </c>
      <c r="K159" s="578">
        <v>0</v>
      </c>
      <c r="L159" s="578">
        <v>0</v>
      </c>
      <c r="M159" s="578">
        <v>0</v>
      </c>
      <c r="N159" s="578">
        <v>0</v>
      </c>
      <c r="O159" s="578">
        <v>4.7096401236560705</v>
      </c>
      <c r="P159" s="578">
        <v>0</v>
      </c>
      <c r="Q159" s="293">
        <f t="shared" si="6"/>
        <v>4.7096401236560705</v>
      </c>
      <c r="R159" s="579">
        <f t="shared" si="7"/>
        <v>0.1718773130664189</v>
      </c>
      <c r="S159" s="292"/>
      <c r="T159" s="291"/>
      <c r="U159" s="580">
        <f t="shared" si="8"/>
        <v>0</v>
      </c>
      <c r="V159" s="286"/>
    </row>
    <row r="160" spans="7:22" x14ac:dyDescent="0.2">
      <c r="G160" s="290"/>
      <c r="H160" s="575">
        <v>150</v>
      </c>
      <c r="I160" s="581">
        <v>0</v>
      </c>
      <c r="J160" s="581">
        <v>0</v>
      </c>
      <c r="K160" s="581">
        <v>0</v>
      </c>
      <c r="L160" s="581">
        <v>0</v>
      </c>
      <c r="M160" s="581">
        <v>0</v>
      </c>
      <c r="N160" s="581">
        <v>0</v>
      </c>
      <c r="O160" s="581">
        <v>4.6823534235298601</v>
      </c>
      <c r="P160" s="581">
        <v>0</v>
      </c>
      <c r="Q160" s="289">
        <f t="shared" si="6"/>
        <v>4.6823534235298601</v>
      </c>
      <c r="R160" s="582">
        <f t="shared" si="7"/>
        <v>0.16590435995914485</v>
      </c>
      <c r="S160" s="288"/>
      <c r="T160" s="287"/>
      <c r="U160" s="583">
        <f t="shared" si="8"/>
        <v>0</v>
      </c>
      <c r="V160" s="286"/>
    </row>
    <row r="161" spans="7:22" x14ac:dyDescent="0.2">
      <c r="G161" s="290"/>
      <c r="H161" s="577">
        <v>151</v>
      </c>
      <c r="I161" s="578">
        <v>0</v>
      </c>
      <c r="J161" s="578">
        <v>0</v>
      </c>
      <c r="K161" s="578">
        <v>0</v>
      </c>
      <c r="L161" s="578">
        <v>0</v>
      </c>
      <c r="M161" s="578">
        <v>0</v>
      </c>
      <c r="N161" s="578">
        <v>2.8681644670050699</v>
      </c>
      <c r="O161" s="578">
        <v>4.6615884206482603</v>
      </c>
      <c r="P161" s="578">
        <v>0.28681644670050699</v>
      </c>
      <c r="Q161" s="293">
        <f t="shared" si="6"/>
        <v>7.8165693343538374</v>
      </c>
      <c r="R161" s="579">
        <f t="shared" si="7"/>
        <v>0.26888871031531603</v>
      </c>
      <c r="S161" s="292"/>
      <c r="T161" s="291"/>
      <c r="U161" s="580">
        <f t="shared" si="8"/>
        <v>0</v>
      </c>
      <c r="V161" s="286"/>
    </row>
    <row r="162" spans="7:22" x14ac:dyDescent="0.2">
      <c r="G162" s="290"/>
      <c r="H162" s="575">
        <v>152</v>
      </c>
      <c r="I162" s="581">
        <v>0</v>
      </c>
      <c r="J162" s="581">
        <v>0</v>
      </c>
      <c r="K162" s="581">
        <v>0</v>
      </c>
      <c r="L162" s="581">
        <v>0</v>
      </c>
      <c r="M162" s="581">
        <v>0</v>
      </c>
      <c r="N162" s="581">
        <v>1.3384767512690301</v>
      </c>
      <c r="O162" s="581">
        <v>4.6816060608644099</v>
      </c>
      <c r="P162" s="581">
        <v>0.13384767512690302</v>
      </c>
      <c r="Q162" s="289">
        <f t="shared" si="6"/>
        <v>6.1539304872603431</v>
      </c>
      <c r="R162" s="582">
        <f t="shared" si="7"/>
        <v>0.20552835449638387</v>
      </c>
      <c r="S162" s="288"/>
      <c r="T162" s="287"/>
      <c r="U162" s="583">
        <f t="shared" si="8"/>
        <v>0</v>
      </c>
      <c r="V162" s="286"/>
    </row>
    <row r="163" spans="7:22" x14ac:dyDescent="0.2">
      <c r="G163" s="290"/>
      <c r="H163" s="577">
        <v>153</v>
      </c>
      <c r="I163" s="578">
        <v>0</v>
      </c>
      <c r="J163" s="578">
        <v>0</v>
      </c>
      <c r="K163" s="578">
        <v>0</v>
      </c>
      <c r="L163" s="578">
        <v>0</v>
      </c>
      <c r="M163" s="578">
        <v>0</v>
      </c>
      <c r="N163" s="578">
        <v>0</v>
      </c>
      <c r="O163" s="578">
        <v>4.67238934640607</v>
      </c>
      <c r="P163" s="578">
        <v>0</v>
      </c>
      <c r="Q163" s="293">
        <f t="shared" si="6"/>
        <v>4.67238934640607</v>
      </c>
      <c r="R163" s="579">
        <f t="shared" si="7"/>
        <v>0.15150290461594146</v>
      </c>
      <c r="S163" s="292"/>
      <c r="T163" s="291"/>
      <c r="U163" s="580">
        <f t="shared" si="8"/>
        <v>0</v>
      </c>
      <c r="V163" s="286"/>
    </row>
    <row r="164" spans="7:22" x14ac:dyDescent="0.2">
      <c r="G164" s="290"/>
      <c r="H164" s="575">
        <v>154</v>
      </c>
      <c r="I164" s="581">
        <v>0</v>
      </c>
      <c r="J164" s="581">
        <v>0</v>
      </c>
      <c r="K164" s="581">
        <v>0</v>
      </c>
      <c r="L164" s="581">
        <v>0</v>
      </c>
      <c r="M164" s="581">
        <v>0</v>
      </c>
      <c r="N164" s="581">
        <v>0</v>
      </c>
      <c r="O164" s="581">
        <v>4.6475058867444003</v>
      </c>
      <c r="P164" s="581">
        <v>0</v>
      </c>
      <c r="Q164" s="289">
        <f t="shared" si="6"/>
        <v>4.6475058867444003</v>
      </c>
      <c r="R164" s="582">
        <f t="shared" si="7"/>
        <v>0.1463068493346257</v>
      </c>
      <c r="S164" s="288"/>
      <c r="T164" s="287"/>
      <c r="U164" s="583">
        <f t="shared" si="8"/>
        <v>0</v>
      </c>
      <c r="V164" s="286"/>
    </row>
    <row r="165" spans="7:22" x14ac:dyDescent="0.2">
      <c r="G165" s="290"/>
      <c r="H165" s="577">
        <v>155</v>
      </c>
      <c r="I165" s="578">
        <v>0</v>
      </c>
      <c r="J165" s="578">
        <v>0</v>
      </c>
      <c r="K165" s="578">
        <v>0</v>
      </c>
      <c r="L165" s="578">
        <v>0</v>
      </c>
      <c r="M165" s="578">
        <v>0</v>
      </c>
      <c r="N165" s="578">
        <v>0</v>
      </c>
      <c r="O165" s="578">
        <v>4.6299128033345402</v>
      </c>
      <c r="P165" s="578">
        <v>0</v>
      </c>
      <c r="Q165" s="293">
        <f t="shared" si="6"/>
        <v>4.6299128033345402</v>
      </c>
      <c r="R165" s="579">
        <f t="shared" si="7"/>
        <v>0.14150777314021573</v>
      </c>
      <c r="S165" s="292"/>
      <c r="T165" s="291"/>
      <c r="U165" s="580">
        <f t="shared" si="8"/>
        <v>0</v>
      </c>
      <c r="V165" s="286"/>
    </row>
    <row r="166" spans="7:22" x14ac:dyDescent="0.2">
      <c r="G166" s="290"/>
      <c r="H166" s="575">
        <v>156</v>
      </c>
      <c r="I166" s="581">
        <v>0</v>
      </c>
      <c r="J166" s="581">
        <v>0</v>
      </c>
      <c r="K166" s="581">
        <v>0</v>
      </c>
      <c r="L166" s="581">
        <v>0</v>
      </c>
      <c r="M166" s="581">
        <v>0</v>
      </c>
      <c r="N166" s="581">
        <v>21.989260913705603</v>
      </c>
      <c r="O166" s="581">
        <v>4.6171830900592497</v>
      </c>
      <c r="P166" s="581">
        <v>2.1989260913705602</v>
      </c>
      <c r="Q166" s="289">
        <f t="shared" si="6"/>
        <v>28.805370095135412</v>
      </c>
      <c r="R166" s="582">
        <f t="shared" si="7"/>
        <v>0.85475907331828505</v>
      </c>
      <c r="S166" s="288"/>
      <c r="T166" s="287"/>
      <c r="U166" s="583">
        <f t="shared" si="8"/>
        <v>0</v>
      </c>
      <c r="V166" s="286"/>
    </row>
    <row r="167" spans="7:22" x14ac:dyDescent="0.2">
      <c r="G167" s="290"/>
      <c r="H167" s="577">
        <v>157</v>
      </c>
      <c r="I167" s="578">
        <v>0</v>
      </c>
      <c r="J167" s="578">
        <v>0</v>
      </c>
      <c r="K167" s="578">
        <v>0</v>
      </c>
      <c r="L167" s="578">
        <v>0</v>
      </c>
      <c r="M167" s="578">
        <v>0</v>
      </c>
      <c r="N167" s="578">
        <v>6.8262314314720802</v>
      </c>
      <c r="O167" s="578">
        <v>4.8849585611592605</v>
      </c>
      <c r="P167" s="578">
        <v>0.68262314314720896</v>
      </c>
      <c r="Q167" s="293">
        <f t="shared" si="6"/>
        <v>12.393813135778549</v>
      </c>
      <c r="R167" s="579">
        <f t="shared" si="7"/>
        <v>0.35705735153428836</v>
      </c>
      <c r="S167" s="292"/>
      <c r="T167" s="291"/>
      <c r="U167" s="580">
        <f t="shared" si="8"/>
        <v>0</v>
      </c>
      <c r="V167" s="286"/>
    </row>
    <row r="168" spans="7:22" x14ac:dyDescent="0.2">
      <c r="G168" s="290"/>
      <c r="H168" s="575">
        <v>158</v>
      </c>
      <c r="I168" s="581">
        <v>0</v>
      </c>
      <c r="J168" s="581">
        <v>0</v>
      </c>
      <c r="K168" s="581">
        <v>0</v>
      </c>
      <c r="L168" s="581">
        <v>0</v>
      </c>
      <c r="M168" s="581">
        <v>0</v>
      </c>
      <c r="N168" s="581">
        <v>0</v>
      </c>
      <c r="O168" s="581">
        <v>4.9242191620182698</v>
      </c>
      <c r="P168" s="581">
        <v>0</v>
      </c>
      <c r="Q168" s="289">
        <f t="shared" si="6"/>
        <v>4.9242191620182698</v>
      </c>
      <c r="R168" s="582">
        <f t="shared" si="7"/>
        <v>0.13773147056445828</v>
      </c>
      <c r="S168" s="288"/>
      <c r="T168" s="287"/>
      <c r="U168" s="583">
        <f t="shared" si="8"/>
        <v>0</v>
      </c>
      <c r="V168" s="286"/>
    </row>
    <row r="169" spans="7:22" x14ac:dyDescent="0.2">
      <c r="G169" s="290"/>
      <c r="H169" s="577">
        <v>159</v>
      </c>
      <c r="I169" s="578">
        <v>0</v>
      </c>
      <c r="J169" s="578">
        <v>0</v>
      </c>
      <c r="K169" s="578">
        <v>0</v>
      </c>
      <c r="L169" s="578">
        <v>0</v>
      </c>
      <c r="M169" s="578">
        <v>0</v>
      </c>
      <c r="N169" s="578">
        <v>0</v>
      </c>
      <c r="O169" s="578">
        <v>4.8682074301715206</v>
      </c>
      <c r="P169" s="578">
        <v>0</v>
      </c>
      <c r="Q169" s="293">
        <f t="shared" si="6"/>
        <v>4.8682074301715206</v>
      </c>
      <c r="R169" s="579">
        <f t="shared" si="7"/>
        <v>0.1321988450103101</v>
      </c>
      <c r="S169" s="292"/>
      <c r="T169" s="291"/>
      <c r="U169" s="580">
        <f t="shared" si="8"/>
        <v>0</v>
      </c>
      <c r="V169" s="286"/>
    </row>
    <row r="170" spans="7:22" x14ac:dyDescent="0.2">
      <c r="G170" s="290"/>
      <c r="H170" s="575">
        <v>160</v>
      </c>
      <c r="I170" s="581">
        <v>0</v>
      </c>
      <c r="J170" s="581">
        <v>0</v>
      </c>
      <c r="K170" s="581">
        <v>0</v>
      </c>
      <c r="L170" s="581">
        <v>0</v>
      </c>
      <c r="M170" s="581">
        <v>0</v>
      </c>
      <c r="N170" s="581">
        <v>0</v>
      </c>
      <c r="O170" s="581">
        <v>4.8236368936351299</v>
      </c>
      <c r="P170" s="581">
        <v>0</v>
      </c>
      <c r="Q170" s="289">
        <f t="shared" si="6"/>
        <v>4.8236368936351299</v>
      </c>
      <c r="R170" s="582">
        <f t="shared" si="7"/>
        <v>0.12717330837390214</v>
      </c>
      <c r="S170" s="288"/>
      <c r="T170" s="287"/>
      <c r="U170" s="583">
        <f t="shared" si="8"/>
        <v>0</v>
      </c>
      <c r="V170" s="286"/>
    </row>
    <row r="171" spans="7:22" x14ac:dyDescent="0.2">
      <c r="G171" s="290"/>
      <c r="H171" s="577">
        <v>161</v>
      </c>
      <c r="I171" s="578">
        <v>0</v>
      </c>
      <c r="J171" s="578">
        <v>0</v>
      </c>
      <c r="K171" s="578">
        <v>0</v>
      </c>
      <c r="L171" s="578">
        <v>0</v>
      </c>
      <c r="M171" s="578">
        <v>0</v>
      </c>
      <c r="N171" s="578">
        <v>2.8681644670050699</v>
      </c>
      <c r="O171" s="578">
        <v>4.7874719925120504</v>
      </c>
      <c r="P171" s="578">
        <v>0.28681644670050699</v>
      </c>
      <c r="Q171" s="293">
        <f t="shared" si="6"/>
        <v>7.9424529062176275</v>
      </c>
      <c r="R171" s="579">
        <f t="shared" si="7"/>
        <v>0.20330065832719918</v>
      </c>
      <c r="S171" s="292"/>
      <c r="T171" s="291"/>
      <c r="U171" s="580">
        <f t="shared" si="8"/>
        <v>0</v>
      </c>
      <c r="V171" s="286"/>
    </row>
    <row r="172" spans="7:22" x14ac:dyDescent="0.2">
      <c r="G172" s="290"/>
      <c r="H172" s="575">
        <v>162</v>
      </c>
      <c r="I172" s="581">
        <v>0</v>
      </c>
      <c r="J172" s="581">
        <v>0</v>
      </c>
      <c r="K172" s="581">
        <v>0</v>
      </c>
      <c r="L172" s="581">
        <v>0</v>
      </c>
      <c r="M172" s="581">
        <v>0</v>
      </c>
      <c r="N172" s="581">
        <v>1.3384767512690301</v>
      </c>
      <c r="O172" s="581">
        <v>4.7937683233950406</v>
      </c>
      <c r="P172" s="581">
        <v>0.13384767512690302</v>
      </c>
      <c r="Q172" s="289">
        <f t="shared" si="6"/>
        <v>6.2660927497909737</v>
      </c>
      <c r="R172" s="582">
        <f t="shared" si="7"/>
        <v>0.15571976183275388</v>
      </c>
      <c r="S172" s="288"/>
      <c r="T172" s="287"/>
      <c r="U172" s="583">
        <f t="shared" si="8"/>
        <v>0</v>
      </c>
      <c r="V172" s="286"/>
    </row>
    <row r="173" spans="7:22" x14ac:dyDescent="0.2">
      <c r="G173" s="290"/>
      <c r="H173" s="577">
        <v>163</v>
      </c>
      <c r="I173" s="578">
        <v>0</v>
      </c>
      <c r="J173" s="578">
        <v>0</v>
      </c>
      <c r="K173" s="578">
        <v>0</v>
      </c>
      <c r="L173" s="578">
        <v>0</v>
      </c>
      <c r="M173" s="578">
        <v>0</v>
      </c>
      <c r="N173" s="578">
        <v>0</v>
      </c>
      <c r="O173" s="578">
        <v>4.7723259223208698</v>
      </c>
      <c r="P173" s="578">
        <v>0</v>
      </c>
      <c r="Q173" s="293">
        <f t="shared" si="6"/>
        <v>4.7723259223208698</v>
      </c>
      <c r="R173" s="579">
        <f t="shared" si="7"/>
        <v>0.11514359450779692</v>
      </c>
      <c r="S173" s="292"/>
      <c r="T173" s="291"/>
      <c r="U173" s="580">
        <f t="shared" si="8"/>
        <v>0</v>
      </c>
      <c r="V173" s="286"/>
    </row>
    <row r="174" spans="7:22" x14ac:dyDescent="0.2">
      <c r="G174" s="290"/>
      <c r="H174" s="575">
        <v>164</v>
      </c>
      <c r="I174" s="581">
        <v>0</v>
      </c>
      <c r="J174" s="581">
        <v>0</v>
      </c>
      <c r="K174" s="581">
        <v>0</v>
      </c>
      <c r="L174" s="581">
        <v>0</v>
      </c>
      <c r="M174" s="581">
        <v>0</v>
      </c>
      <c r="N174" s="581">
        <v>0</v>
      </c>
      <c r="O174" s="581">
        <v>4.7365493758844801</v>
      </c>
      <c r="P174" s="581">
        <v>0</v>
      </c>
      <c r="Q174" s="289">
        <f t="shared" si="6"/>
        <v>4.7365493758844801</v>
      </c>
      <c r="R174" s="582">
        <f t="shared" si="7"/>
        <v>0.11095184575261768</v>
      </c>
      <c r="S174" s="288"/>
      <c r="T174" s="287"/>
      <c r="U174" s="583">
        <f t="shared" si="8"/>
        <v>0</v>
      </c>
      <c r="V174" s="286"/>
    </row>
    <row r="175" spans="7:22" x14ac:dyDescent="0.2">
      <c r="G175" s="290"/>
      <c r="H175" s="577">
        <v>165</v>
      </c>
      <c r="I175" s="578">
        <v>0</v>
      </c>
      <c r="J175" s="578">
        <v>0</v>
      </c>
      <c r="K175" s="578">
        <v>0</v>
      </c>
      <c r="L175" s="578">
        <v>0</v>
      </c>
      <c r="M175" s="578">
        <v>0</v>
      </c>
      <c r="N175" s="578">
        <v>0</v>
      </c>
      <c r="O175" s="578">
        <v>4.7092505521583501</v>
      </c>
      <c r="P175" s="578">
        <v>0</v>
      </c>
      <c r="Q175" s="293">
        <f t="shared" si="6"/>
        <v>4.7092505521583501</v>
      </c>
      <c r="R175" s="579">
        <f t="shared" si="7"/>
        <v>0.10709939933569121</v>
      </c>
      <c r="S175" s="292"/>
      <c r="T175" s="291"/>
      <c r="U175" s="580">
        <f t="shared" si="8"/>
        <v>0</v>
      </c>
      <c r="V175" s="286"/>
    </row>
    <row r="176" spans="7:22" x14ac:dyDescent="0.2">
      <c r="G176" s="290"/>
      <c r="H176" s="575">
        <v>166</v>
      </c>
      <c r="I176" s="581">
        <v>0</v>
      </c>
      <c r="J176" s="581">
        <v>0</v>
      </c>
      <c r="K176" s="581">
        <v>0</v>
      </c>
      <c r="L176" s="581">
        <v>0</v>
      </c>
      <c r="M176" s="581">
        <v>0</v>
      </c>
      <c r="N176" s="581">
        <v>2.8681644670050699</v>
      </c>
      <c r="O176" s="581">
        <v>4.6878730242612701</v>
      </c>
      <c r="P176" s="581">
        <v>0.28681644670050699</v>
      </c>
      <c r="Q176" s="289">
        <f t="shared" si="6"/>
        <v>7.8428539379668463</v>
      </c>
      <c r="R176" s="582">
        <f t="shared" si="7"/>
        <v>0.17316979387255255</v>
      </c>
      <c r="S176" s="288"/>
      <c r="T176" s="287"/>
      <c r="U176" s="583">
        <f t="shared" si="8"/>
        <v>0</v>
      </c>
      <c r="V176" s="286"/>
    </row>
    <row r="177" spans="7:22" x14ac:dyDescent="0.2">
      <c r="G177" s="290"/>
      <c r="H177" s="577">
        <v>167</v>
      </c>
      <c r="I177" s="578">
        <v>0</v>
      </c>
      <c r="J177" s="578">
        <v>0</v>
      </c>
      <c r="K177" s="578">
        <v>0</v>
      </c>
      <c r="L177" s="578">
        <v>0</v>
      </c>
      <c r="M177" s="578">
        <v>0</v>
      </c>
      <c r="N177" s="578">
        <v>5.29654371573604</v>
      </c>
      <c r="O177" s="578">
        <v>4.7068671367155899</v>
      </c>
      <c r="P177" s="578">
        <v>0.52965437157360395</v>
      </c>
      <c r="Q177" s="293">
        <f t="shared" si="6"/>
        <v>10.533065224025234</v>
      </c>
      <c r="R177" s="579">
        <f t="shared" si="7"/>
        <v>0.22579564527477453</v>
      </c>
      <c r="S177" s="292"/>
      <c r="T177" s="291"/>
      <c r="U177" s="580">
        <f t="shared" si="8"/>
        <v>0</v>
      </c>
      <c r="V177" s="286"/>
    </row>
    <row r="178" spans="7:22" x14ac:dyDescent="0.2">
      <c r="G178" s="290"/>
      <c r="H178" s="575">
        <v>168</v>
      </c>
      <c r="I178" s="581">
        <v>0</v>
      </c>
      <c r="J178" s="581">
        <v>0</v>
      </c>
      <c r="K178" s="581">
        <v>0</v>
      </c>
      <c r="L178" s="581">
        <v>0</v>
      </c>
      <c r="M178" s="581">
        <v>0</v>
      </c>
      <c r="N178" s="581">
        <v>0</v>
      </c>
      <c r="O178" s="581">
        <v>4.7462536103735502</v>
      </c>
      <c r="P178" s="581">
        <v>0</v>
      </c>
      <c r="Q178" s="289">
        <f t="shared" si="6"/>
        <v>4.7462536103735502</v>
      </c>
      <c r="R178" s="582">
        <f t="shared" si="7"/>
        <v>9.8781246954247684E-2</v>
      </c>
      <c r="S178" s="288"/>
      <c r="T178" s="287"/>
      <c r="U178" s="583">
        <f t="shared" si="8"/>
        <v>0</v>
      </c>
      <c r="V178" s="286"/>
    </row>
    <row r="179" spans="7:22" x14ac:dyDescent="0.2">
      <c r="G179" s="290"/>
      <c r="H179" s="577">
        <v>169</v>
      </c>
      <c r="I179" s="578">
        <v>0</v>
      </c>
      <c r="J179" s="578">
        <v>0</v>
      </c>
      <c r="K179" s="578">
        <v>0</v>
      </c>
      <c r="L179" s="578">
        <v>0</v>
      </c>
      <c r="M179" s="578">
        <v>0</v>
      </c>
      <c r="N179" s="578">
        <v>0</v>
      </c>
      <c r="O179" s="578">
        <v>4.7096401236560705</v>
      </c>
      <c r="P179" s="578">
        <v>0</v>
      </c>
      <c r="Q179" s="293">
        <f t="shared" si="6"/>
        <v>4.7096401236560705</v>
      </c>
      <c r="R179" s="579">
        <f t="shared" si="7"/>
        <v>9.5164300939570318E-2</v>
      </c>
      <c r="S179" s="292"/>
      <c r="T179" s="291"/>
      <c r="U179" s="580">
        <f t="shared" si="8"/>
        <v>0</v>
      </c>
      <c r="V179" s="286"/>
    </row>
    <row r="180" spans="7:22" x14ac:dyDescent="0.2">
      <c r="G180" s="290"/>
      <c r="H180" s="575">
        <v>170</v>
      </c>
      <c r="I180" s="581">
        <v>0</v>
      </c>
      <c r="J180" s="581">
        <v>0</v>
      </c>
      <c r="K180" s="581">
        <v>0</v>
      </c>
      <c r="L180" s="581">
        <v>0</v>
      </c>
      <c r="M180" s="581">
        <v>0</v>
      </c>
      <c r="N180" s="581">
        <v>0</v>
      </c>
      <c r="O180" s="581">
        <v>4.6823534235298601</v>
      </c>
      <c r="P180" s="581">
        <v>0</v>
      </c>
      <c r="Q180" s="289">
        <f t="shared" si="6"/>
        <v>4.6823534235298601</v>
      </c>
      <c r="R180" s="582">
        <f t="shared" si="7"/>
        <v>9.1857221623180732E-2</v>
      </c>
      <c r="S180" s="288"/>
      <c r="T180" s="287"/>
      <c r="U180" s="583">
        <f t="shared" si="8"/>
        <v>0</v>
      </c>
      <c r="V180" s="286"/>
    </row>
    <row r="181" spans="7:22" x14ac:dyDescent="0.2">
      <c r="G181" s="290"/>
      <c r="H181" s="577">
        <v>171</v>
      </c>
      <c r="I181" s="578">
        <v>0</v>
      </c>
      <c r="J181" s="578">
        <v>0</v>
      </c>
      <c r="K181" s="578">
        <v>0</v>
      </c>
      <c r="L181" s="578">
        <v>0</v>
      </c>
      <c r="M181" s="578">
        <v>0</v>
      </c>
      <c r="N181" s="578">
        <v>2.8681644670050699</v>
      </c>
      <c r="O181" s="578">
        <v>4.6615884206482603</v>
      </c>
      <c r="P181" s="578">
        <v>0.28681644670050699</v>
      </c>
      <c r="Q181" s="293">
        <f t="shared" si="6"/>
        <v>7.8165693343538374</v>
      </c>
      <c r="R181" s="579">
        <f t="shared" si="7"/>
        <v>0.14887715947602356</v>
      </c>
      <c r="S181" s="292"/>
      <c r="T181" s="291"/>
      <c r="U181" s="580">
        <f t="shared" si="8"/>
        <v>0</v>
      </c>
      <c r="V181" s="286"/>
    </row>
    <row r="182" spans="7:22" x14ac:dyDescent="0.2">
      <c r="G182" s="290"/>
      <c r="H182" s="575">
        <v>172</v>
      </c>
      <c r="I182" s="581">
        <v>0</v>
      </c>
      <c r="J182" s="581">
        <v>0</v>
      </c>
      <c r="K182" s="581">
        <v>0</v>
      </c>
      <c r="L182" s="581">
        <v>0</v>
      </c>
      <c r="M182" s="581">
        <v>0</v>
      </c>
      <c r="N182" s="581">
        <v>1.3384767512690301</v>
      </c>
      <c r="O182" s="581">
        <v>4.6816060608644099</v>
      </c>
      <c r="P182" s="581">
        <v>0.13384767512690302</v>
      </c>
      <c r="Q182" s="289">
        <f t="shared" si="6"/>
        <v>6.1539304872603431</v>
      </c>
      <c r="R182" s="582">
        <f t="shared" si="7"/>
        <v>0.11379606668246176</v>
      </c>
      <c r="S182" s="288"/>
      <c r="T182" s="287"/>
      <c r="U182" s="583">
        <f t="shared" si="8"/>
        <v>0</v>
      </c>
      <c r="V182" s="286"/>
    </row>
    <row r="183" spans="7:22" x14ac:dyDescent="0.2">
      <c r="G183" s="290"/>
      <c r="H183" s="577">
        <v>173</v>
      </c>
      <c r="I183" s="578">
        <v>0</v>
      </c>
      <c r="J183" s="578">
        <v>0</v>
      </c>
      <c r="K183" s="578">
        <v>0</v>
      </c>
      <c r="L183" s="578">
        <v>0</v>
      </c>
      <c r="M183" s="578">
        <v>0</v>
      </c>
      <c r="N183" s="578">
        <v>0</v>
      </c>
      <c r="O183" s="578">
        <v>4.67238934640607</v>
      </c>
      <c r="P183" s="578">
        <v>0</v>
      </c>
      <c r="Q183" s="293">
        <f t="shared" si="6"/>
        <v>4.67238934640607</v>
      </c>
      <c r="R183" s="579">
        <f t="shared" si="7"/>
        <v>8.388348497465177E-2</v>
      </c>
      <c r="S183" s="292"/>
      <c r="T183" s="291"/>
      <c r="U183" s="580">
        <f t="shared" si="8"/>
        <v>0</v>
      </c>
      <c r="V183" s="286"/>
    </row>
    <row r="184" spans="7:22" x14ac:dyDescent="0.2">
      <c r="G184" s="290"/>
      <c r="H184" s="575">
        <v>174</v>
      </c>
      <c r="I184" s="581">
        <v>0</v>
      </c>
      <c r="J184" s="581">
        <v>0</v>
      </c>
      <c r="K184" s="581">
        <v>0</v>
      </c>
      <c r="L184" s="581">
        <v>0</v>
      </c>
      <c r="M184" s="581">
        <v>0</v>
      </c>
      <c r="N184" s="581">
        <v>0</v>
      </c>
      <c r="O184" s="581">
        <v>4.6475058867444003</v>
      </c>
      <c r="P184" s="581">
        <v>0</v>
      </c>
      <c r="Q184" s="289">
        <f t="shared" si="6"/>
        <v>4.6475058867444003</v>
      </c>
      <c r="R184" s="582">
        <f t="shared" si="7"/>
        <v>8.1006555147975362E-2</v>
      </c>
      <c r="S184" s="288"/>
      <c r="T184" s="287"/>
      <c r="U184" s="583">
        <f t="shared" si="8"/>
        <v>0</v>
      </c>
      <c r="V184" s="286"/>
    </row>
    <row r="185" spans="7:22" x14ac:dyDescent="0.2">
      <c r="G185" s="290"/>
      <c r="H185" s="577">
        <v>175</v>
      </c>
      <c r="I185" s="578">
        <v>0</v>
      </c>
      <c r="J185" s="578">
        <v>0</v>
      </c>
      <c r="K185" s="578">
        <v>0</v>
      </c>
      <c r="L185" s="578">
        <v>0</v>
      </c>
      <c r="M185" s="578">
        <v>0</v>
      </c>
      <c r="N185" s="578">
        <v>0</v>
      </c>
      <c r="O185" s="578">
        <v>4.6299128033345402</v>
      </c>
      <c r="P185" s="578">
        <v>0</v>
      </c>
      <c r="Q185" s="293">
        <f t="shared" si="6"/>
        <v>4.6299128033345402</v>
      </c>
      <c r="R185" s="579">
        <f t="shared" si="7"/>
        <v>7.8349423016637748E-2</v>
      </c>
      <c r="S185" s="292"/>
      <c r="T185" s="291"/>
      <c r="U185" s="580">
        <f t="shared" si="8"/>
        <v>0</v>
      </c>
      <c r="V185" s="286"/>
    </row>
    <row r="186" spans="7:22" x14ac:dyDescent="0.2">
      <c r="G186" s="290"/>
      <c r="H186" s="575">
        <v>176</v>
      </c>
      <c r="I186" s="581">
        <v>0</v>
      </c>
      <c r="J186" s="581">
        <v>0</v>
      </c>
      <c r="K186" s="581">
        <v>0</v>
      </c>
      <c r="L186" s="581">
        <v>0</v>
      </c>
      <c r="M186" s="581">
        <v>0</v>
      </c>
      <c r="N186" s="581">
        <v>21.989260913705603</v>
      </c>
      <c r="O186" s="581">
        <v>4.6171830900592497</v>
      </c>
      <c r="P186" s="581">
        <v>2.1989260913705602</v>
      </c>
      <c r="Q186" s="289">
        <f t="shared" si="6"/>
        <v>28.805370095135412</v>
      </c>
      <c r="R186" s="582">
        <f t="shared" si="7"/>
        <v>0.47325937456711431</v>
      </c>
      <c r="S186" s="288"/>
      <c r="T186" s="287"/>
      <c r="U186" s="583">
        <f t="shared" si="8"/>
        <v>0</v>
      </c>
      <c r="V186" s="286"/>
    </row>
    <row r="187" spans="7:22" x14ac:dyDescent="0.2">
      <c r="G187" s="290"/>
      <c r="H187" s="577">
        <v>177</v>
      </c>
      <c r="I187" s="578">
        <v>0</v>
      </c>
      <c r="J187" s="578">
        <v>0</v>
      </c>
      <c r="K187" s="578">
        <v>0</v>
      </c>
      <c r="L187" s="578">
        <v>0</v>
      </c>
      <c r="M187" s="578">
        <v>0</v>
      </c>
      <c r="N187" s="578">
        <v>6.8262314314720802</v>
      </c>
      <c r="O187" s="578">
        <v>4.8849585611592605</v>
      </c>
      <c r="P187" s="578">
        <v>0.68262314314720896</v>
      </c>
      <c r="Q187" s="293">
        <f t="shared" si="6"/>
        <v>12.393813135778549</v>
      </c>
      <c r="R187" s="579">
        <f t="shared" si="7"/>
        <v>0.19769399839852245</v>
      </c>
      <c r="S187" s="292"/>
      <c r="T187" s="291"/>
      <c r="U187" s="580">
        <f t="shared" si="8"/>
        <v>0</v>
      </c>
      <c r="V187" s="286"/>
    </row>
    <row r="188" spans="7:22" x14ac:dyDescent="0.2">
      <c r="G188" s="290"/>
      <c r="H188" s="575">
        <v>178</v>
      </c>
      <c r="I188" s="581">
        <v>0</v>
      </c>
      <c r="J188" s="581">
        <v>0</v>
      </c>
      <c r="K188" s="581">
        <v>0</v>
      </c>
      <c r="L188" s="581">
        <v>0</v>
      </c>
      <c r="M188" s="581">
        <v>0</v>
      </c>
      <c r="N188" s="581">
        <v>0</v>
      </c>
      <c r="O188" s="581">
        <v>4.9242191620182698</v>
      </c>
      <c r="P188" s="581">
        <v>0</v>
      </c>
      <c r="Q188" s="289">
        <f t="shared" si="6"/>
        <v>4.9242191620182698</v>
      </c>
      <c r="R188" s="582">
        <f t="shared" si="7"/>
        <v>7.6258575839969464E-2</v>
      </c>
      <c r="S188" s="288"/>
      <c r="T188" s="287"/>
      <c r="U188" s="583">
        <f t="shared" si="8"/>
        <v>0</v>
      </c>
      <c r="V188" s="286"/>
    </row>
    <row r="189" spans="7:22" x14ac:dyDescent="0.2">
      <c r="G189" s="290"/>
      <c r="H189" s="577">
        <v>179</v>
      </c>
      <c r="I189" s="578">
        <v>0</v>
      </c>
      <c r="J189" s="578">
        <v>0</v>
      </c>
      <c r="K189" s="578">
        <v>0</v>
      </c>
      <c r="L189" s="578">
        <v>0</v>
      </c>
      <c r="M189" s="578">
        <v>0</v>
      </c>
      <c r="N189" s="578">
        <v>0</v>
      </c>
      <c r="O189" s="578">
        <v>4.8682074301715206</v>
      </c>
      <c r="P189" s="578">
        <v>0</v>
      </c>
      <c r="Q189" s="293">
        <f t="shared" si="6"/>
        <v>4.8682074301715206</v>
      </c>
      <c r="R189" s="579">
        <f t="shared" si="7"/>
        <v>7.3195295213645858E-2</v>
      </c>
      <c r="S189" s="292"/>
      <c r="T189" s="291"/>
      <c r="U189" s="580">
        <f t="shared" si="8"/>
        <v>0</v>
      </c>
      <c r="V189" s="286"/>
    </row>
    <row r="190" spans="7:22" x14ac:dyDescent="0.2">
      <c r="G190" s="290"/>
      <c r="H190" s="575">
        <v>180</v>
      </c>
      <c r="I190" s="581">
        <v>0</v>
      </c>
      <c r="J190" s="581">
        <v>0</v>
      </c>
      <c r="K190" s="581">
        <v>0</v>
      </c>
      <c r="L190" s="581">
        <v>0</v>
      </c>
      <c r="M190" s="581">
        <v>0</v>
      </c>
      <c r="N190" s="581">
        <v>0</v>
      </c>
      <c r="O190" s="581">
        <v>4.8236368936351299</v>
      </c>
      <c r="P190" s="581">
        <v>0</v>
      </c>
      <c r="Q190" s="289">
        <f t="shared" si="6"/>
        <v>4.8236368936351299</v>
      </c>
      <c r="R190" s="582">
        <f t="shared" si="7"/>
        <v>7.0412777426291623E-2</v>
      </c>
      <c r="S190" s="288"/>
      <c r="T190" s="287"/>
      <c r="U190" s="583">
        <f t="shared" si="8"/>
        <v>0</v>
      </c>
      <c r="V190" s="286"/>
    </row>
    <row r="191" spans="7:22" x14ac:dyDescent="0.2">
      <c r="G191" s="290"/>
      <c r="H191" s="577">
        <v>181</v>
      </c>
      <c r="I191" s="578">
        <v>0</v>
      </c>
      <c r="J191" s="578">
        <v>0</v>
      </c>
      <c r="K191" s="578">
        <v>0</v>
      </c>
      <c r="L191" s="578">
        <v>0</v>
      </c>
      <c r="M191" s="578">
        <v>0</v>
      </c>
      <c r="N191" s="578">
        <v>2.8681644670050699</v>
      </c>
      <c r="O191" s="578">
        <v>4.7874719925120504</v>
      </c>
      <c r="P191" s="578">
        <v>0.28681644670050699</v>
      </c>
      <c r="Q191" s="293">
        <f t="shared" si="6"/>
        <v>7.9424529062176275</v>
      </c>
      <c r="R191" s="579">
        <f t="shared" si="7"/>
        <v>0.11256264532589043</v>
      </c>
      <c r="S191" s="292"/>
      <c r="T191" s="291"/>
      <c r="U191" s="580">
        <f t="shared" si="8"/>
        <v>0</v>
      </c>
      <c r="V191" s="286"/>
    </row>
    <row r="192" spans="7:22" x14ac:dyDescent="0.2">
      <c r="G192" s="290"/>
      <c r="H192" s="575">
        <v>182</v>
      </c>
      <c r="I192" s="581">
        <v>0</v>
      </c>
      <c r="J192" s="581">
        <v>0</v>
      </c>
      <c r="K192" s="581">
        <v>0</v>
      </c>
      <c r="L192" s="581">
        <v>0</v>
      </c>
      <c r="M192" s="581">
        <v>0</v>
      </c>
      <c r="N192" s="581">
        <v>1.3384767512690301</v>
      </c>
      <c r="O192" s="581">
        <v>4.7937683233950406</v>
      </c>
      <c r="P192" s="581">
        <v>0.13384767512690302</v>
      </c>
      <c r="Q192" s="289">
        <f t="shared" si="6"/>
        <v>6.2660927497909737</v>
      </c>
      <c r="R192" s="582">
        <f t="shared" si="7"/>
        <v>8.6218256574466468E-2</v>
      </c>
      <c r="S192" s="288"/>
      <c r="T192" s="287"/>
      <c r="U192" s="583">
        <f t="shared" si="8"/>
        <v>0</v>
      </c>
      <c r="V192" s="286"/>
    </row>
    <row r="193" spans="7:22" x14ac:dyDescent="0.2">
      <c r="G193" s="290"/>
      <c r="H193" s="577">
        <v>183</v>
      </c>
      <c r="I193" s="578">
        <v>0</v>
      </c>
      <c r="J193" s="578">
        <v>0</v>
      </c>
      <c r="K193" s="578">
        <v>0</v>
      </c>
      <c r="L193" s="578">
        <v>0</v>
      </c>
      <c r="M193" s="578">
        <v>0</v>
      </c>
      <c r="N193" s="578">
        <v>0</v>
      </c>
      <c r="O193" s="578">
        <v>4.7723259223208698</v>
      </c>
      <c r="P193" s="578">
        <v>0</v>
      </c>
      <c r="Q193" s="293">
        <f t="shared" si="6"/>
        <v>4.7723259223208698</v>
      </c>
      <c r="R193" s="579">
        <f t="shared" si="7"/>
        <v>6.375221652882998E-2</v>
      </c>
      <c r="S193" s="292"/>
      <c r="T193" s="291"/>
      <c r="U193" s="580">
        <f t="shared" si="8"/>
        <v>0</v>
      </c>
      <c r="V193" s="286"/>
    </row>
    <row r="194" spans="7:22" x14ac:dyDescent="0.2">
      <c r="G194" s="290"/>
      <c r="H194" s="575">
        <v>184</v>
      </c>
      <c r="I194" s="581">
        <v>0</v>
      </c>
      <c r="J194" s="581">
        <v>0</v>
      </c>
      <c r="K194" s="581">
        <v>0</v>
      </c>
      <c r="L194" s="581">
        <v>0</v>
      </c>
      <c r="M194" s="581">
        <v>0</v>
      </c>
      <c r="N194" s="581">
        <v>0</v>
      </c>
      <c r="O194" s="581">
        <v>4.7365493758844801</v>
      </c>
      <c r="P194" s="581">
        <v>0</v>
      </c>
      <c r="Q194" s="289">
        <f t="shared" si="6"/>
        <v>4.7365493758844801</v>
      </c>
      <c r="R194" s="582">
        <f t="shared" si="7"/>
        <v>6.1431346875446526E-2</v>
      </c>
      <c r="S194" s="288"/>
      <c r="T194" s="287"/>
      <c r="U194" s="583">
        <f t="shared" si="8"/>
        <v>0</v>
      </c>
      <c r="V194" s="286"/>
    </row>
    <row r="195" spans="7:22" x14ac:dyDescent="0.2">
      <c r="G195" s="290"/>
      <c r="H195" s="577">
        <v>185</v>
      </c>
      <c r="I195" s="578">
        <v>0</v>
      </c>
      <c r="J195" s="578">
        <v>0</v>
      </c>
      <c r="K195" s="578">
        <v>0</v>
      </c>
      <c r="L195" s="578">
        <v>0</v>
      </c>
      <c r="M195" s="578">
        <v>0</v>
      </c>
      <c r="N195" s="578">
        <v>0</v>
      </c>
      <c r="O195" s="578">
        <v>4.7092505521583501</v>
      </c>
      <c r="P195" s="578">
        <v>0</v>
      </c>
      <c r="Q195" s="293">
        <f t="shared" si="6"/>
        <v>4.7092505521583501</v>
      </c>
      <c r="R195" s="579">
        <f t="shared" si="7"/>
        <v>5.9298340700092295E-2</v>
      </c>
      <c r="S195" s="292"/>
      <c r="T195" s="291"/>
      <c r="U195" s="580">
        <f t="shared" si="8"/>
        <v>0</v>
      </c>
      <c r="V195" s="286"/>
    </row>
    <row r="196" spans="7:22" x14ac:dyDescent="0.2">
      <c r="G196" s="290"/>
      <c r="H196" s="575">
        <v>186</v>
      </c>
      <c r="I196" s="581">
        <v>0</v>
      </c>
      <c r="J196" s="581">
        <v>0</v>
      </c>
      <c r="K196" s="581">
        <v>0</v>
      </c>
      <c r="L196" s="581">
        <v>0</v>
      </c>
      <c r="M196" s="581">
        <v>0</v>
      </c>
      <c r="N196" s="581">
        <v>2.8681644670050699</v>
      </c>
      <c r="O196" s="581">
        <v>4.6878730242612701</v>
      </c>
      <c r="P196" s="581">
        <v>0.28681644670050699</v>
      </c>
      <c r="Q196" s="289">
        <f t="shared" si="6"/>
        <v>7.8428539379668463</v>
      </c>
      <c r="R196" s="582">
        <f t="shared" si="7"/>
        <v>9.5879916224677703E-2</v>
      </c>
      <c r="S196" s="288"/>
      <c r="T196" s="287"/>
      <c r="U196" s="583">
        <f t="shared" si="8"/>
        <v>0</v>
      </c>
      <c r="V196" s="286"/>
    </row>
    <row r="197" spans="7:22" x14ac:dyDescent="0.2">
      <c r="G197" s="290"/>
      <c r="H197" s="577">
        <v>187</v>
      </c>
      <c r="I197" s="578">
        <v>0</v>
      </c>
      <c r="J197" s="578">
        <v>0</v>
      </c>
      <c r="K197" s="578">
        <v>0</v>
      </c>
      <c r="L197" s="578">
        <v>0</v>
      </c>
      <c r="M197" s="578">
        <v>0</v>
      </c>
      <c r="N197" s="578">
        <v>5.29654371573604</v>
      </c>
      <c r="O197" s="578">
        <v>4.7068671367155899</v>
      </c>
      <c r="P197" s="578">
        <v>0.52965437157360395</v>
      </c>
      <c r="Q197" s="293">
        <f t="shared" si="6"/>
        <v>10.533065224025234</v>
      </c>
      <c r="R197" s="579">
        <f t="shared" si="7"/>
        <v>0.12501757418950094</v>
      </c>
      <c r="S197" s="292"/>
      <c r="T197" s="291"/>
      <c r="U197" s="580">
        <f t="shared" si="8"/>
        <v>0</v>
      </c>
      <c r="V197" s="286"/>
    </row>
    <row r="198" spans="7:22" x14ac:dyDescent="0.2">
      <c r="G198" s="290"/>
      <c r="H198" s="575">
        <v>188</v>
      </c>
      <c r="I198" s="581">
        <v>0</v>
      </c>
      <c r="J198" s="581">
        <v>0</v>
      </c>
      <c r="K198" s="581">
        <v>0</v>
      </c>
      <c r="L198" s="581">
        <v>0</v>
      </c>
      <c r="M198" s="581">
        <v>0</v>
      </c>
      <c r="N198" s="581">
        <v>0</v>
      </c>
      <c r="O198" s="581">
        <v>4.7462536103735502</v>
      </c>
      <c r="P198" s="581">
        <v>0</v>
      </c>
      <c r="Q198" s="289">
        <f t="shared" si="6"/>
        <v>4.7462536103735502</v>
      </c>
      <c r="R198" s="582">
        <f t="shared" si="7"/>
        <v>5.4692781406859688E-2</v>
      </c>
      <c r="S198" s="288"/>
      <c r="T198" s="287"/>
      <c r="U198" s="583">
        <f t="shared" si="8"/>
        <v>0</v>
      </c>
      <c r="V198" s="286"/>
    </row>
    <row r="199" spans="7:22" x14ac:dyDescent="0.2">
      <c r="G199" s="290"/>
      <c r="H199" s="577">
        <v>189</v>
      </c>
      <c r="I199" s="578">
        <v>0</v>
      </c>
      <c r="J199" s="578">
        <v>0</v>
      </c>
      <c r="K199" s="578">
        <v>0</v>
      </c>
      <c r="L199" s="578">
        <v>0</v>
      </c>
      <c r="M199" s="578">
        <v>0</v>
      </c>
      <c r="N199" s="578">
        <v>0</v>
      </c>
      <c r="O199" s="578">
        <v>4.7096401236560705</v>
      </c>
      <c r="P199" s="578">
        <v>0</v>
      </c>
      <c r="Q199" s="293">
        <f t="shared" si="6"/>
        <v>4.7096401236560705</v>
      </c>
      <c r="R199" s="579">
        <f t="shared" si="7"/>
        <v>5.2690166094331942E-2</v>
      </c>
      <c r="S199" s="292"/>
      <c r="T199" s="291"/>
      <c r="U199" s="580">
        <f t="shared" si="8"/>
        <v>0</v>
      </c>
      <c r="V199" s="286"/>
    </row>
    <row r="200" spans="7:22" x14ac:dyDescent="0.2">
      <c r="G200" s="290"/>
      <c r="H200" s="575">
        <v>190</v>
      </c>
      <c r="I200" s="581">
        <v>0</v>
      </c>
      <c r="J200" s="581">
        <v>0</v>
      </c>
      <c r="K200" s="581">
        <v>0</v>
      </c>
      <c r="L200" s="581">
        <v>0</v>
      </c>
      <c r="M200" s="581">
        <v>0</v>
      </c>
      <c r="N200" s="581">
        <v>0</v>
      </c>
      <c r="O200" s="581">
        <v>4.6823534235298601</v>
      </c>
      <c r="P200" s="581">
        <v>0</v>
      </c>
      <c r="Q200" s="289">
        <f t="shared" si="6"/>
        <v>4.6823534235298601</v>
      </c>
      <c r="R200" s="582">
        <f t="shared" si="7"/>
        <v>5.0859116459675911E-2</v>
      </c>
      <c r="S200" s="288"/>
      <c r="T200" s="287"/>
      <c r="U200" s="583">
        <f t="shared" si="8"/>
        <v>0</v>
      </c>
      <c r="V200" s="286"/>
    </row>
    <row r="201" spans="7:22" x14ac:dyDescent="0.2">
      <c r="G201" s="290"/>
      <c r="H201" s="577">
        <v>191</v>
      </c>
      <c r="I201" s="578">
        <v>0</v>
      </c>
      <c r="J201" s="578">
        <v>0</v>
      </c>
      <c r="K201" s="578">
        <v>0</v>
      </c>
      <c r="L201" s="578">
        <v>0</v>
      </c>
      <c r="M201" s="578">
        <v>0</v>
      </c>
      <c r="N201" s="578">
        <v>2.8681644670050699</v>
      </c>
      <c r="O201" s="578">
        <v>4.6615884206482603</v>
      </c>
      <c r="P201" s="578">
        <v>0.28681644670050699</v>
      </c>
      <c r="Q201" s="293">
        <f t="shared" si="6"/>
        <v>7.8165693343538374</v>
      </c>
      <c r="R201" s="579">
        <f t="shared" si="7"/>
        <v>8.2429673554006599E-2</v>
      </c>
      <c r="S201" s="292"/>
      <c r="T201" s="291"/>
      <c r="U201" s="580">
        <f t="shared" si="8"/>
        <v>0</v>
      </c>
      <c r="V201" s="286"/>
    </row>
    <row r="202" spans="7:22" x14ac:dyDescent="0.2">
      <c r="G202" s="290"/>
      <c r="H202" s="575">
        <v>192</v>
      </c>
      <c r="I202" s="581">
        <v>0</v>
      </c>
      <c r="J202" s="581">
        <v>0</v>
      </c>
      <c r="K202" s="581">
        <v>0</v>
      </c>
      <c r="L202" s="581">
        <v>0</v>
      </c>
      <c r="M202" s="581">
        <v>0</v>
      </c>
      <c r="N202" s="581">
        <v>1.3384767512690301</v>
      </c>
      <c r="O202" s="581">
        <v>4.6816060608644099</v>
      </c>
      <c r="P202" s="581">
        <v>0.13384767512690302</v>
      </c>
      <c r="Q202" s="289">
        <f t="shared" si="6"/>
        <v>6.1539304872603431</v>
      </c>
      <c r="R202" s="582">
        <f t="shared" si="7"/>
        <v>6.3006123043850476E-2</v>
      </c>
      <c r="S202" s="288"/>
      <c r="T202" s="287"/>
      <c r="U202" s="583">
        <f t="shared" si="8"/>
        <v>0</v>
      </c>
      <c r="V202" s="286"/>
    </row>
    <row r="203" spans="7:22" x14ac:dyDescent="0.2">
      <c r="G203" s="290"/>
      <c r="H203" s="577">
        <v>193</v>
      </c>
      <c r="I203" s="578">
        <v>0</v>
      </c>
      <c r="J203" s="578">
        <v>0</v>
      </c>
      <c r="K203" s="578">
        <v>0</v>
      </c>
      <c r="L203" s="578">
        <v>0</v>
      </c>
      <c r="M203" s="578">
        <v>0</v>
      </c>
      <c r="N203" s="578">
        <v>0</v>
      </c>
      <c r="O203" s="578">
        <v>4.67238934640607</v>
      </c>
      <c r="P203" s="578">
        <v>0</v>
      </c>
      <c r="Q203" s="293">
        <f t="shared" ref="Q203:Q266" si="9">SUM(I203:P203)</f>
        <v>4.67238934640607</v>
      </c>
      <c r="R203" s="579">
        <f t="shared" ref="R203:R266" si="10">$Q203/(1+$B$3)^($H203-37)</f>
        <v>4.6444251807118413E-2</v>
      </c>
      <c r="S203" s="292"/>
      <c r="T203" s="291"/>
      <c r="U203" s="580">
        <f t="shared" ref="U203:U266" si="11">$T203/(1+$B$3)^($H203-37)</f>
        <v>0</v>
      </c>
      <c r="V203" s="286"/>
    </row>
    <row r="204" spans="7:22" x14ac:dyDescent="0.2">
      <c r="G204" s="290"/>
      <c r="H204" s="575">
        <v>194</v>
      </c>
      <c r="I204" s="581">
        <v>0</v>
      </c>
      <c r="J204" s="581">
        <v>0</v>
      </c>
      <c r="K204" s="581">
        <v>0</v>
      </c>
      <c r="L204" s="581">
        <v>0</v>
      </c>
      <c r="M204" s="581">
        <v>0</v>
      </c>
      <c r="N204" s="581">
        <v>0</v>
      </c>
      <c r="O204" s="581">
        <v>4.6475058867444003</v>
      </c>
      <c r="P204" s="581">
        <v>0</v>
      </c>
      <c r="Q204" s="289">
        <f t="shared" si="9"/>
        <v>4.6475058867444003</v>
      </c>
      <c r="R204" s="582">
        <f t="shared" si="10"/>
        <v>4.4851365515592198E-2</v>
      </c>
      <c r="S204" s="288"/>
      <c r="T204" s="287"/>
      <c r="U204" s="583">
        <f t="shared" si="11"/>
        <v>0</v>
      </c>
      <c r="V204" s="286"/>
    </row>
    <row r="205" spans="7:22" x14ac:dyDescent="0.2">
      <c r="G205" s="290"/>
      <c r="H205" s="577">
        <v>195</v>
      </c>
      <c r="I205" s="578">
        <v>0</v>
      </c>
      <c r="J205" s="578">
        <v>0</v>
      </c>
      <c r="K205" s="578">
        <v>0</v>
      </c>
      <c r="L205" s="578">
        <v>0</v>
      </c>
      <c r="M205" s="578">
        <v>0</v>
      </c>
      <c r="N205" s="578">
        <v>0</v>
      </c>
      <c r="O205" s="578">
        <v>4.6299128033345402</v>
      </c>
      <c r="P205" s="578">
        <v>0</v>
      </c>
      <c r="Q205" s="293">
        <f t="shared" si="9"/>
        <v>4.6299128033345402</v>
      </c>
      <c r="R205" s="579">
        <f t="shared" si="10"/>
        <v>4.3380175878801101E-2</v>
      </c>
      <c r="S205" s="292"/>
      <c r="T205" s="291"/>
      <c r="U205" s="580">
        <f t="shared" si="11"/>
        <v>0</v>
      </c>
      <c r="V205" s="286"/>
    </row>
    <row r="206" spans="7:22" x14ac:dyDescent="0.2">
      <c r="G206" s="290"/>
      <c r="H206" s="575">
        <v>196</v>
      </c>
      <c r="I206" s="581">
        <v>0</v>
      </c>
      <c r="J206" s="581">
        <v>0</v>
      </c>
      <c r="K206" s="581">
        <v>0</v>
      </c>
      <c r="L206" s="581">
        <v>0</v>
      </c>
      <c r="M206" s="581">
        <v>0</v>
      </c>
      <c r="N206" s="581">
        <v>21.989260913705603</v>
      </c>
      <c r="O206" s="581">
        <v>4.6171830900592497</v>
      </c>
      <c r="P206" s="581">
        <v>2.1989260913705602</v>
      </c>
      <c r="Q206" s="289">
        <f t="shared" si="9"/>
        <v>28.805370095135412</v>
      </c>
      <c r="R206" s="582">
        <f t="shared" si="10"/>
        <v>0.26203224113920021</v>
      </c>
      <c r="S206" s="288"/>
      <c r="T206" s="287"/>
      <c r="U206" s="583">
        <f t="shared" si="11"/>
        <v>0</v>
      </c>
      <c r="V206" s="286"/>
    </row>
    <row r="207" spans="7:22" x14ac:dyDescent="0.2">
      <c r="G207" s="290"/>
      <c r="H207" s="577">
        <v>197</v>
      </c>
      <c r="I207" s="578">
        <v>0</v>
      </c>
      <c r="J207" s="578">
        <v>0</v>
      </c>
      <c r="K207" s="578">
        <v>0</v>
      </c>
      <c r="L207" s="578">
        <v>0</v>
      </c>
      <c r="M207" s="578">
        <v>0</v>
      </c>
      <c r="N207" s="578">
        <v>4.0536724467005101</v>
      </c>
      <c r="O207" s="578">
        <v>4.8849585611592605</v>
      </c>
      <c r="P207" s="578">
        <v>0.40536724467005097</v>
      </c>
      <c r="Q207" s="293">
        <f t="shared" si="9"/>
        <v>9.343998252529822</v>
      </c>
      <c r="R207" s="579">
        <f t="shared" si="10"/>
        <v>8.2523339751221794E-2</v>
      </c>
      <c r="S207" s="292"/>
      <c r="T207" s="291"/>
      <c r="U207" s="580">
        <f t="shared" si="11"/>
        <v>0</v>
      </c>
      <c r="V207" s="286"/>
    </row>
    <row r="208" spans="7:22" x14ac:dyDescent="0.2">
      <c r="G208" s="290"/>
      <c r="H208" s="575">
        <v>198</v>
      </c>
      <c r="I208" s="581">
        <v>0</v>
      </c>
      <c r="J208" s="581">
        <v>0</v>
      </c>
      <c r="K208" s="581">
        <v>0</v>
      </c>
      <c r="L208" s="581">
        <v>0</v>
      </c>
      <c r="M208" s="581">
        <v>0</v>
      </c>
      <c r="N208" s="581">
        <v>0</v>
      </c>
      <c r="O208" s="581">
        <v>4.6215494142538098</v>
      </c>
      <c r="P208" s="581">
        <v>0</v>
      </c>
      <c r="Q208" s="289">
        <f t="shared" si="9"/>
        <v>4.6215494142538098</v>
      </c>
      <c r="R208" s="582">
        <f t="shared" si="10"/>
        <v>3.9627294584393312E-2</v>
      </c>
      <c r="S208" s="288"/>
      <c r="T208" s="287"/>
      <c r="U208" s="583">
        <f t="shared" si="11"/>
        <v>0</v>
      </c>
      <c r="V208" s="286"/>
    </row>
    <row r="209" spans="7:22" x14ac:dyDescent="0.2">
      <c r="G209" s="290"/>
      <c r="H209" s="577">
        <v>199</v>
      </c>
      <c r="I209" s="578">
        <v>0</v>
      </c>
      <c r="J209" s="578">
        <v>0</v>
      </c>
      <c r="K209" s="578">
        <v>0</v>
      </c>
      <c r="L209" s="578">
        <v>0</v>
      </c>
      <c r="M209" s="578">
        <v>0</v>
      </c>
      <c r="N209" s="578">
        <v>0</v>
      </c>
      <c r="O209" s="578">
        <v>4.6085495926547804</v>
      </c>
      <c r="P209" s="578">
        <v>0</v>
      </c>
      <c r="Q209" s="293">
        <f t="shared" si="9"/>
        <v>4.6085495926547804</v>
      </c>
      <c r="R209" s="579">
        <f t="shared" si="10"/>
        <v>3.8364881672670985E-2</v>
      </c>
      <c r="S209" s="292"/>
      <c r="T209" s="291"/>
      <c r="U209" s="580">
        <f t="shared" si="11"/>
        <v>0</v>
      </c>
      <c r="V209" s="286"/>
    </row>
    <row r="210" spans="7:22" x14ac:dyDescent="0.2">
      <c r="G210" s="290"/>
      <c r="H210" s="575">
        <v>200</v>
      </c>
      <c r="I210" s="581">
        <v>0</v>
      </c>
      <c r="J210" s="581">
        <v>0</v>
      </c>
      <c r="K210" s="581">
        <v>0</v>
      </c>
      <c r="L210" s="581">
        <v>0</v>
      </c>
      <c r="M210" s="581">
        <v>0</v>
      </c>
      <c r="N210" s="581">
        <v>0</v>
      </c>
      <c r="O210" s="581">
        <v>4.5987107664721103</v>
      </c>
      <c r="P210" s="581">
        <v>0</v>
      </c>
      <c r="Q210" s="289">
        <f t="shared" si="9"/>
        <v>4.5987107664721103</v>
      </c>
      <c r="R210" s="582">
        <f t="shared" si="10"/>
        <v>3.7167938064660511E-2</v>
      </c>
      <c r="S210" s="288"/>
      <c r="T210" s="287"/>
      <c r="U210" s="583">
        <f t="shared" si="11"/>
        <v>0</v>
      </c>
      <c r="V210" s="286"/>
    </row>
    <row r="211" spans="7:22" x14ac:dyDescent="0.2">
      <c r="G211" s="290"/>
      <c r="H211" s="577">
        <v>201</v>
      </c>
      <c r="I211" s="578">
        <v>0</v>
      </c>
      <c r="J211" s="578">
        <v>0</v>
      </c>
      <c r="K211" s="578">
        <v>0</v>
      </c>
      <c r="L211" s="578">
        <v>0</v>
      </c>
      <c r="M211" s="578">
        <v>0</v>
      </c>
      <c r="N211" s="578">
        <v>0</v>
      </c>
      <c r="O211" s="578">
        <v>4.5912035317804101</v>
      </c>
      <c r="P211" s="578">
        <v>0</v>
      </c>
      <c r="Q211" s="293">
        <f t="shared" si="9"/>
        <v>4.5912035317804101</v>
      </c>
      <c r="R211" s="579">
        <f t="shared" si="10"/>
        <v>3.6026468644717424E-2</v>
      </c>
      <c r="S211" s="292"/>
      <c r="T211" s="291"/>
      <c r="U211" s="580">
        <f t="shared" si="11"/>
        <v>0</v>
      </c>
      <c r="V211" s="286"/>
    </row>
    <row r="212" spans="7:22" x14ac:dyDescent="0.2">
      <c r="G212" s="290"/>
      <c r="H212" s="575">
        <v>202</v>
      </c>
      <c r="I212" s="581">
        <v>0</v>
      </c>
      <c r="J212" s="581">
        <v>0</v>
      </c>
      <c r="K212" s="581">
        <v>0</v>
      </c>
      <c r="L212" s="581">
        <v>0</v>
      </c>
      <c r="M212" s="581">
        <v>0</v>
      </c>
      <c r="N212" s="581">
        <v>0.57363289340101509</v>
      </c>
      <c r="O212" s="581">
        <v>4.5854351120058299</v>
      </c>
      <c r="P212" s="581">
        <v>5.73632893401015E-2</v>
      </c>
      <c r="Q212" s="289">
        <f t="shared" si="9"/>
        <v>5.2164312947469469</v>
      </c>
      <c r="R212" s="582">
        <f t="shared" si="10"/>
        <v>3.9740325077945442E-2</v>
      </c>
      <c r="S212" s="288"/>
      <c r="T212" s="287"/>
      <c r="U212" s="583">
        <f t="shared" si="11"/>
        <v>0</v>
      </c>
      <c r="V212" s="286"/>
    </row>
    <row r="213" spans="7:22" x14ac:dyDescent="0.2">
      <c r="G213" s="290"/>
      <c r="H213" s="577">
        <v>203</v>
      </c>
      <c r="I213" s="578">
        <v>0</v>
      </c>
      <c r="J213" s="578">
        <v>0</v>
      </c>
      <c r="K213" s="578">
        <v>0</v>
      </c>
      <c r="L213" s="578">
        <v>0</v>
      </c>
      <c r="M213" s="578">
        <v>0</v>
      </c>
      <c r="N213" s="578">
        <v>0</v>
      </c>
      <c r="O213" s="578">
        <v>4.5882038464680903</v>
      </c>
      <c r="P213" s="578">
        <v>0</v>
      </c>
      <c r="Q213" s="293">
        <f t="shared" si="9"/>
        <v>4.5882038464680903</v>
      </c>
      <c r="R213" s="579">
        <f t="shared" si="10"/>
        <v>3.3936215076815338E-2</v>
      </c>
      <c r="S213" s="292"/>
      <c r="T213" s="291"/>
      <c r="U213" s="580">
        <f t="shared" si="11"/>
        <v>0</v>
      </c>
      <c r="V213" s="286"/>
    </row>
    <row r="214" spans="7:22" x14ac:dyDescent="0.2">
      <c r="G214" s="290"/>
      <c r="H214" s="575">
        <v>204</v>
      </c>
      <c r="I214" s="581">
        <v>0</v>
      </c>
      <c r="J214" s="581">
        <v>0</v>
      </c>
      <c r="K214" s="581">
        <v>0</v>
      </c>
      <c r="L214" s="581">
        <v>0</v>
      </c>
      <c r="M214" s="581">
        <v>0</v>
      </c>
      <c r="N214" s="581">
        <v>0</v>
      </c>
      <c r="O214" s="581">
        <v>4.5820732118329301</v>
      </c>
      <c r="P214" s="581">
        <v>0</v>
      </c>
      <c r="Q214" s="289">
        <f t="shared" si="9"/>
        <v>4.5820732118329301</v>
      </c>
      <c r="R214" s="582">
        <f t="shared" si="10"/>
        <v>3.2903757687898577E-2</v>
      </c>
      <c r="S214" s="288"/>
      <c r="T214" s="287"/>
      <c r="U214" s="583">
        <f t="shared" si="11"/>
        <v>0</v>
      </c>
      <c r="V214" s="286"/>
    </row>
    <row r="215" spans="7:22" x14ac:dyDescent="0.2">
      <c r="G215" s="290"/>
      <c r="H215" s="577">
        <v>205</v>
      </c>
      <c r="I215" s="578">
        <v>0</v>
      </c>
      <c r="J215" s="578">
        <v>0</v>
      </c>
      <c r="K215" s="578">
        <v>0</v>
      </c>
      <c r="L215" s="578">
        <v>0</v>
      </c>
      <c r="M215" s="578">
        <v>0</v>
      </c>
      <c r="N215" s="578">
        <v>0</v>
      </c>
      <c r="O215" s="578">
        <v>4.5776885200995503</v>
      </c>
      <c r="P215" s="578">
        <v>0</v>
      </c>
      <c r="Q215" s="293">
        <f t="shared" si="9"/>
        <v>4.5776885200995503</v>
      </c>
      <c r="R215" s="579">
        <f t="shared" si="10"/>
        <v>3.1914826526084468E-2</v>
      </c>
      <c r="S215" s="292"/>
      <c r="T215" s="291"/>
      <c r="U215" s="580">
        <f t="shared" si="11"/>
        <v>0</v>
      </c>
      <c r="V215" s="286"/>
    </row>
    <row r="216" spans="7:22" x14ac:dyDescent="0.2">
      <c r="G216" s="290"/>
      <c r="H216" s="575">
        <v>206</v>
      </c>
      <c r="I216" s="581">
        <v>0</v>
      </c>
      <c r="J216" s="581">
        <v>0</v>
      </c>
      <c r="K216" s="581">
        <v>0</v>
      </c>
      <c r="L216" s="581">
        <v>0</v>
      </c>
      <c r="M216" s="581">
        <v>0</v>
      </c>
      <c r="N216" s="581">
        <v>0</v>
      </c>
      <c r="O216" s="581">
        <v>4.5745118681606005</v>
      </c>
      <c r="P216" s="581">
        <v>0</v>
      </c>
      <c r="Q216" s="289">
        <f t="shared" si="9"/>
        <v>4.5745118681606005</v>
      </c>
      <c r="R216" s="582">
        <f t="shared" si="10"/>
        <v>3.0963766481841924E-2</v>
      </c>
      <c r="S216" s="288"/>
      <c r="T216" s="287"/>
      <c r="U216" s="583">
        <f t="shared" si="11"/>
        <v>0</v>
      </c>
      <c r="V216" s="286"/>
    </row>
    <row r="217" spans="7:22" x14ac:dyDescent="0.2">
      <c r="G217" s="290"/>
      <c r="H217" s="577">
        <v>207</v>
      </c>
      <c r="I217" s="578">
        <v>0</v>
      </c>
      <c r="J217" s="578">
        <v>0</v>
      </c>
      <c r="K217" s="578">
        <v>0</v>
      </c>
      <c r="L217" s="578">
        <v>0</v>
      </c>
      <c r="M217" s="578">
        <v>0</v>
      </c>
      <c r="N217" s="578">
        <v>4.0536724467005101</v>
      </c>
      <c r="O217" s="578">
        <v>4.5721819310917002</v>
      </c>
      <c r="P217" s="578">
        <v>0.40536724467005097</v>
      </c>
      <c r="Q217" s="293">
        <f t="shared" si="9"/>
        <v>9.0312216224622617</v>
      </c>
      <c r="R217" s="579">
        <f t="shared" si="10"/>
        <v>5.9349668829240115E-2</v>
      </c>
      <c r="S217" s="292"/>
      <c r="T217" s="291"/>
      <c r="U217" s="580">
        <f t="shared" si="11"/>
        <v>0</v>
      </c>
      <c r="V217" s="286"/>
    </row>
    <row r="218" spans="7:22" x14ac:dyDescent="0.2">
      <c r="G218" s="290"/>
      <c r="H218" s="575">
        <v>208</v>
      </c>
      <c r="I218" s="581">
        <v>0</v>
      </c>
      <c r="J218" s="581">
        <v>0</v>
      </c>
      <c r="K218" s="581">
        <v>0</v>
      </c>
      <c r="L218" s="581">
        <v>0</v>
      </c>
      <c r="M218" s="581">
        <v>0</v>
      </c>
      <c r="N218" s="581">
        <v>0</v>
      </c>
      <c r="O218" s="581">
        <v>4.6215494142538098</v>
      </c>
      <c r="P218" s="581">
        <v>0</v>
      </c>
      <c r="Q218" s="289">
        <f t="shared" si="9"/>
        <v>4.6215494142538098</v>
      </c>
      <c r="R218" s="582">
        <f t="shared" si="10"/>
        <v>2.9486428764067017E-2</v>
      </c>
      <c r="S218" s="288"/>
      <c r="T218" s="287"/>
      <c r="U218" s="583">
        <f t="shared" si="11"/>
        <v>0</v>
      </c>
      <c r="V218" s="286"/>
    </row>
    <row r="219" spans="7:22" x14ac:dyDescent="0.2">
      <c r="G219" s="290"/>
      <c r="H219" s="577">
        <v>209</v>
      </c>
      <c r="I219" s="578">
        <v>0</v>
      </c>
      <c r="J219" s="578">
        <v>0</v>
      </c>
      <c r="K219" s="578">
        <v>0</v>
      </c>
      <c r="L219" s="578">
        <v>0</v>
      </c>
      <c r="M219" s="578">
        <v>0</v>
      </c>
      <c r="N219" s="578">
        <v>0</v>
      </c>
      <c r="O219" s="578">
        <v>4.6085495926547804</v>
      </c>
      <c r="P219" s="578">
        <v>0</v>
      </c>
      <c r="Q219" s="293">
        <f t="shared" si="9"/>
        <v>4.6085495926547804</v>
      </c>
      <c r="R219" s="579">
        <f t="shared" si="10"/>
        <v>2.8547074998367377E-2</v>
      </c>
      <c r="S219" s="292"/>
      <c r="T219" s="291"/>
      <c r="U219" s="580">
        <f t="shared" si="11"/>
        <v>0</v>
      </c>
      <c r="V219" s="286"/>
    </row>
    <row r="220" spans="7:22" x14ac:dyDescent="0.2">
      <c r="G220" s="290"/>
      <c r="H220" s="575">
        <v>210</v>
      </c>
      <c r="I220" s="581">
        <v>0</v>
      </c>
      <c r="J220" s="581">
        <v>0</v>
      </c>
      <c r="K220" s="581">
        <v>0</v>
      </c>
      <c r="L220" s="581">
        <v>0</v>
      </c>
      <c r="M220" s="581">
        <v>0</v>
      </c>
      <c r="N220" s="581">
        <v>0</v>
      </c>
      <c r="O220" s="581">
        <v>4.5987107664721103</v>
      </c>
      <c r="P220" s="581">
        <v>0</v>
      </c>
      <c r="Q220" s="289">
        <f t="shared" si="9"/>
        <v>4.5987107664721103</v>
      </c>
      <c r="R220" s="582">
        <f t="shared" si="10"/>
        <v>2.7656436543172257E-2</v>
      </c>
      <c r="S220" s="288"/>
      <c r="T220" s="287"/>
      <c r="U220" s="583">
        <f t="shared" si="11"/>
        <v>0</v>
      </c>
      <c r="V220" s="286"/>
    </row>
    <row r="221" spans="7:22" x14ac:dyDescent="0.2">
      <c r="G221" s="290"/>
      <c r="H221" s="577">
        <v>211</v>
      </c>
      <c r="I221" s="578">
        <v>0</v>
      </c>
      <c r="J221" s="578">
        <v>0</v>
      </c>
      <c r="K221" s="578">
        <v>0</v>
      </c>
      <c r="L221" s="578">
        <v>0</v>
      </c>
      <c r="M221" s="578">
        <v>0</v>
      </c>
      <c r="N221" s="578">
        <v>0</v>
      </c>
      <c r="O221" s="578">
        <v>4.5912035317804101</v>
      </c>
      <c r="P221" s="578">
        <v>0</v>
      </c>
      <c r="Q221" s="293">
        <f t="shared" si="9"/>
        <v>4.5912035317804101</v>
      </c>
      <c r="R221" s="579">
        <f t="shared" si="10"/>
        <v>2.6807076093751912E-2</v>
      </c>
      <c r="S221" s="292"/>
      <c r="T221" s="291"/>
      <c r="U221" s="580">
        <f t="shared" si="11"/>
        <v>0</v>
      </c>
      <c r="V221" s="286"/>
    </row>
    <row r="222" spans="7:22" x14ac:dyDescent="0.2">
      <c r="G222" s="290"/>
      <c r="H222" s="575">
        <v>212</v>
      </c>
      <c r="I222" s="581">
        <v>0</v>
      </c>
      <c r="J222" s="581">
        <v>0</v>
      </c>
      <c r="K222" s="581">
        <v>0</v>
      </c>
      <c r="L222" s="581">
        <v>0</v>
      </c>
      <c r="M222" s="581">
        <v>0</v>
      </c>
      <c r="N222" s="581">
        <v>0.57363289340101509</v>
      </c>
      <c r="O222" s="581">
        <v>4.5854351120058299</v>
      </c>
      <c r="P222" s="581">
        <v>5.73632893401015E-2</v>
      </c>
      <c r="Q222" s="289">
        <f t="shared" si="9"/>
        <v>5.2164312947469469</v>
      </c>
      <c r="R222" s="582">
        <f t="shared" si="10"/>
        <v>2.9570534066516923E-2</v>
      </c>
      <c r="S222" s="288"/>
      <c r="T222" s="287"/>
      <c r="U222" s="583">
        <f t="shared" si="11"/>
        <v>0</v>
      </c>
      <c r="V222" s="286"/>
    </row>
    <row r="223" spans="7:22" x14ac:dyDescent="0.2">
      <c r="G223" s="290"/>
      <c r="H223" s="577">
        <v>213</v>
      </c>
      <c r="I223" s="578">
        <v>0</v>
      </c>
      <c r="J223" s="578">
        <v>0</v>
      </c>
      <c r="K223" s="578">
        <v>0</v>
      </c>
      <c r="L223" s="578">
        <v>0</v>
      </c>
      <c r="M223" s="578">
        <v>0</v>
      </c>
      <c r="N223" s="578">
        <v>0</v>
      </c>
      <c r="O223" s="578">
        <v>4.5882038464680903</v>
      </c>
      <c r="P223" s="578">
        <v>0</v>
      </c>
      <c r="Q223" s="293">
        <f t="shared" si="9"/>
        <v>4.5882038464680903</v>
      </c>
      <c r="R223" s="579">
        <f t="shared" si="10"/>
        <v>2.5251731133284792E-2</v>
      </c>
      <c r="S223" s="292"/>
      <c r="T223" s="291"/>
      <c r="U223" s="580">
        <f t="shared" si="11"/>
        <v>0</v>
      </c>
      <c r="V223" s="286"/>
    </row>
    <row r="224" spans="7:22" x14ac:dyDescent="0.2">
      <c r="G224" s="290"/>
      <c r="H224" s="575">
        <v>214</v>
      </c>
      <c r="I224" s="581">
        <v>0</v>
      </c>
      <c r="J224" s="581">
        <v>0</v>
      </c>
      <c r="K224" s="581">
        <v>0</v>
      </c>
      <c r="L224" s="581">
        <v>0</v>
      </c>
      <c r="M224" s="581">
        <v>0</v>
      </c>
      <c r="N224" s="581">
        <v>0</v>
      </c>
      <c r="O224" s="581">
        <v>4.5820732118329301</v>
      </c>
      <c r="P224" s="581">
        <v>0</v>
      </c>
      <c r="Q224" s="289">
        <f t="shared" si="9"/>
        <v>4.5820732118329301</v>
      </c>
      <c r="R224" s="582">
        <f t="shared" si="10"/>
        <v>2.4483485872801674E-2</v>
      </c>
      <c r="S224" s="288"/>
      <c r="T224" s="287"/>
      <c r="U224" s="583">
        <f t="shared" si="11"/>
        <v>0</v>
      </c>
      <c r="V224" s="286"/>
    </row>
    <row r="225" spans="7:22" x14ac:dyDescent="0.2">
      <c r="G225" s="290"/>
      <c r="H225" s="577">
        <v>215</v>
      </c>
      <c r="I225" s="578">
        <v>0</v>
      </c>
      <c r="J225" s="578">
        <v>0</v>
      </c>
      <c r="K225" s="578">
        <v>0</v>
      </c>
      <c r="L225" s="578">
        <v>0</v>
      </c>
      <c r="M225" s="578">
        <v>0</v>
      </c>
      <c r="N225" s="578">
        <v>0</v>
      </c>
      <c r="O225" s="578">
        <v>4.5776885200995503</v>
      </c>
      <c r="P225" s="578">
        <v>0</v>
      </c>
      <c r="Q225" s="293">
        <f t="shared" si="9"/>
        <v>4.5776885200995503</v>
      </c>
      <c r="R225" s="579">
        <f t="shared" si="10"/>
        <v>2.3747628213044044E-2</v>
      </c>
      <c r="S225" s="292"/>
      <c r="T225" s="291"/>
      <c r="U225" s="580">
        <f t="shared" si="11"/>
        <v>0</v>
      </c>
      <c r="V225" s="286"/>
    </row>
    <row r="226" spans="7:22" x14ac:dyDescent="0.2">
      <c r="G226" s="290"/>
      <c r="H226" s="575">
        <v>216</v>
      </c>
      <c r="I226" s="581">
        <v>0</v>
      </c>
      <c r="J226" s="581">
        <v>0</v>
      </c>
      <c r="K226" s="581">
        <v>0</v>
      </c>
      <c r="L226" s="581">
        <v>0</v>
      </c>
      <c r="M226" s="581">
        <v>0</v>
      </c>
      <c r="N226" s="581">
        <v>0</v>
      </c>
      <c r="O226" s="581">
        <v>4.5745118681606005</v>
      </c>
      <c r="P226" s="581">
        <v>0</v>
      </c>
      <c r="Q226" s="289">
        <f t="shared" si="9"/>
        <v>4.5745118681606005</v>
      </c>
      <c r="R226" s="582">
        <f t="shared" si="10"/>
        <v>2.3039950221421756E-2</v>
      </c>
      <c r="S226" s="288"/>
      <c r="T226" s="287"/>
      <c r="U226" s="583">
        <f t="shared" si="11"/>
        <v>0</v>
      </c>
      <c r="V226" s="286"/>
    </row>
    <row r="227" spans="7:22" x14ac:dyDescent="0.2">
      <c r="G227" s="290"/>
      <c r="H227" s="577">
        <v>217</v>
      </c>
      <c r="I227" s="578">
        <v>0</v>
      </c>
      <c r="J227" s="578">
        <v>0</v>
      </c>
      <c r="K227" s="578">
        <v>0</v>
      </c>
      <c r="L227" s="578">
        <v>0</v>
      </c>
      <c r="M227" s="578">
        <v>0</v>
      </c>
      <c r="N227" s="578">
        <v>4.0536724467005101</v>
      </c>
      <c r="O227" s="578">
        <v>4.5721819310917002</v>
      </c>
      <c r="P227" s="578">
        <v>0.40536724467005097</v>
      </c>
      <c r="Q227" s="293">
        <f t="shared" si="9"/>
        <v>9.0312216224622617</v>
      </c>
      <c r="R227" s="579">
        <f t="shared" si="10"/>
        <v>4.4161727426973427E-2</v>
      </c>
      <c r="S227" s="292"/>
      <c r="T227" s="291"/>
      <c r="U227" s="580">
        <f t="shared" si="11"/>
        <v>0</v>
      </c>
      <c r="V227" s="286"/>
    </row>
    <row r="228" spans="7:22" x14ac:dyDescent="0.2">
      <c r="G228" s="290"/>
      <c r="H228" s="575">
        <v>218</v>
      </c>
      <c r="I228" s="581">
        <v>0</v>
      </c>
      <c r="J228" s="581">
        <v>0</v>
      </c>
      <c r="K228" s="581">
        <v>0</v>
      </c>
      <c r="L228" s="581">
        <v>0</v>
      </c>
      <c r="M228" s="581">
        <v>0</v>
      </c>
      <c r="N228" s="581">
        <v>0</v>
      </c>
      <c r="O228" s="581">
        <v>4.6215494142538098</v>
      </c>
      <c r="P228" s="581">
        <v>0</v>
      </c>
      <c r="Q228" s="289">
        <f t="shared" si="9"/>
        <v>4.6215494142538098</v>
      </c>
      <c r="R228" s="582">
        <f t="shared" si="10"/>
        <v>2.1940672215378036E-2</v>
      </c>
      <c r="S228" s="288"/>
      <c r="T228" s="287"/>
      <c r="U228" s="583">
        <f t="shared" si="11"/>
        <v>0</v>
      </c>
      <c r="V228" s="286"/>
    </row>
    <row r="229" spans="7:22" x14ac:dyDescent="0.2">
      <c r="G229" s="290"/>
      <c r="H229" s="577">
        <v>219</v>
      </c>
      <c r="I229" s="578">
        <v>0</v>
      </c>
      <c r="J229" s="578">
        <v>0</v>
      </c>
      <c r="K229" s="578">
        <v>0</v>
      </c>
      <c r="L229" s="578">
        <v>0</v>
      </c>
      <c r="M229" s="578">
        <v>0</v>
      </c>
      <c r="N229" s="578">
        <v>0</v>
      </c>
      <c r="O229" s="578">
        <v>4.6085495926547804</v>
      </c>
      <c r="P229" s="578">
        <v>0</v>
      </c>
      <c r="Q229" s="293">
        <f t="shared" si="9"/>
        <v>4.6085495926547804</v>
      </c>
      <c r="R229" s="579">
        <f t="shared" si="10"/>
        <v>2.124170479438561E-2</v>
      </c>
      <c r="S229" s="292"/>
      <c r="T229" s="291"/>
      <c r="U229" s="580">
        <f t="shared" si="11"/>
        <v>0</v>
      </c>
      <c r="V229" s="286"/>
    </row>
    <row r="230" spans="7:22" x14ac:dyDescent="0.2">
      <c r="G230" s="290"/>
      <c r="H230" s="575">
        <v>220</v>
      </c>
      <c r="I230" s="581">
        <v>0</v>
      </c>
      <c r="J230" s="581">
        <v>0</v>
      </c>
      <c r="K230" s="581">
        <v>0</v>
      </c>
      <c r="L230" s="581">
        <v>0</v>
      </c>
      <c r="M230" s="581">
        <v>0</v>
      </c>
      <c r="N230" s="581">
        <v>0</v>
      </c>
      <c r="O230" s="581">
        <v>4.5987107664721103</v>
      </c>
      <c r="P230" s="581">
        <v>0</v>
      </c>
      <c r="Q230" s="289">
        <f t="shared" si="9"/>
        <v>4.5987107664721103</v>
      </c>
      <c r="R230" s="582">
        <f t="shared" si="10"/>
        <v>2.0578986139501897E-2</v>
      </c>
      <c r="S230" s="288"/>
      <c r="T230" s="287"/>
      <c r="U230" s="583">
        <f t="shared" si="11"/>
        <v>0</v>
      </c>
      <c r="V230" s="286"/>
    </row>
    <row r="231" spans="7:22" x14ac:dyDescent="0.2">
      <c r="G231" s="290"/>
      <c r="H231" s="577">
        <v>221</v>
      </c>
      <c r="I231" s="578">
        <v>0</v>
      </c>
      <c r="J231" s="578">
        <v>0</v>
      </c>
      <c r="K231" s="578">
        <v>0</v>
      </c>
      <c r="L231" s="578">
        <v>0</v>
      </c>
      <c r="M231" s="578">
        <v>0</v>
      </c>
      <c r="N231" s="578">
        <v>0</v>
      </c>
      <c r="O231" s="578">
        <v>4.5912035317804101</v>
      </c>
      <c r="P231" s="578">
        <v>0</v>
      </c>
      <c r="Q231" s="293">
        <f t="shared" si="9"/>
        <v>4.5912035317804101</v>
      </c>
      <c r="R231" s="579">
        <f t="shared" si="10"/>
        <v>1.9946982197534276E-2</v>
      </c>
      <c r="S231" s="292"/>
      <c r="T231" s="291"/>
      <c r="U231" s="580">
        <f t="shared" si="11"/>
        <v>0</v>
      </c>
      <c r="V231" s="286"/>
    </row>
    <row r="232" spans="7:22" x14ac:dyDescent="0.2">
      <c r="G232" s="290"/>
      <c r="H232" s="575">
        <v>222</v>
      </c>
      <c r="I232" s="581">
        <v>0</v>
      </c>
      <c r="J232" s="581">
        <v>0</v>
      </c>
      <c r="K232" s="581">
        <v>0</v>
      </c>
      <c r="L232" s="581">
        <v>0</v>
      </c>
      <c r="M232" s="581">
        <v>0</v>
      </c>
      <c r="N232" s="581">
        <v>0.57363289340101509</v>
      </c>
      <c r="O232" s="581">
        <v>4.5854351120058299</v>
      </c>
      <c r="P232" s="581">
        <v>5.73632893401015E-2</v>
      </c>
      <c r="Q232" s="289">
        <f t="shared" si="9"/>
        <v>5.2164312947469469</v>
      </c>
      <c r="R232" s="582">
        <f t="shared" si="10"/>
        <v>2.2003254459141561E-2</v>
      </c>
      <c r="S232" s="288"/>
      <c r="T232" s="287"/>
      <c r="U232" s="583">
        <f t="shared" si="11"/>
        <v>0</v>
      </c>
      <c r="V232" s="286"/>
    </row>
    <row r="233" spans="7:22" x14ac:dyDescent="0.2">
      <c r="G233" s="290"/>
      <c r="H233" s="577">
        <v>223</v>
      </c>
      <c r="I233" s="578">
        <v>0</v>
      </c>
      <c r="J233" s="578">
        <v>0</v>
      </c>
      <c r="K233" s="578">
        <v>0</v>
      </c>
      <c r="L233" s="578">
        <v>0</v>
      </c>
      <c r="M233" s="578">
        <v>0</v>
      </c>
      <c r="N233" s="578">
        <v>0</v>
      </c>
      <c r="O233" s="578">
        <v>4.5882038464680903</v>
      </c>
      <c r="P233" s="578">
        <v>0</v>
      </c>
      <c r="Q233" s="293">
        <f t="shared" si="9"/>
        <v>4.5882038464680903</v>
      </c>
      <c r="R233" s="579">
        <f t="shared" si="10"/>
        <v>1.8789659476885403E-2</v>
      </c>
      <c r="S233" s="292"/>
      <c r="T233" s="291"/>
      <c r="U233" s="580">
        <f t="shared" si="11"/>
        <v>0</v>
      </c>
      <c r="V233" s="286"/>
    </row>
    <row r="234" spans="7:22" x14ac:dyDescent="0.2">
      <c r="G234" s="290"/>
      <c r="H234" s="575">
        <v>224</v>
      </c>
      <c r="I234" s="581">
        <v>0</v>
      </c>
      <c r="J234" s="581">
        <v>0</v>
      </c>
      <c r="K234" s="581">
        <v>0</v>
      </c>
      <c r="L234" s="581">
        <v>0</v>
      </c>
      <c r="M234" s="581">
        <v>0</v>
      </c>
      <c r="N234" s="581">
        <v>0</v>
      </c>
      <c r="O234" s="581">
        <v>4.5820732118329301</v>
      </c>
      <c r="P234" s="581">
        <v>0</v>
      </c>
      <c r="Q234" s="289">
        <f t="shared" si="9"/>
        <v>4.5820732118329301</v>
      </c>
      <c r="R234" s="582">
        <f t="shared" si="10"/>
        <v>1.8218012853411659E-2</v>
      </c>
      <c r="S234" s="288"/>
      <c r="T234" s="287"/>
      <c r="U234" s="583">
        <f t="shared" si="11"/>
        <v>0</v>
      </c>
      <c r="V234" s="286"/>
    </row>
    <row r="235" spans="7:22" x14ac:dyDescent="0.2">
      <c r="G235" s="290"/>
      <c r="H235" s="577">
        <v>225</v>
      </c>
      <c r="I235" s="578">
        <v>0</v>
      </c>
      <c r="J235" s="578">
        <v>0</v>
      </c>
      <c r="K235" s="578">
        <v>0</v>
      </c>
      <c r="L235" s="578">
        <v>0</v>
      </c>
      <c r="M235" s="578">
        <v>0</v>
      </c>
      <c r="N235" s="578">
        <v>0</v>
      </c>
      <c r="O235" s="578">
        <v>4.5776885200995503</v>
      </c>
      <c r="P235" s="578">
        <v>0</v>
      </c>
      <c r="Q235" s="293">
        <f t="shared" si="9"/>
        <v>4.5776885200995503</v>
      </c>
      <c r="R235" s="579">
        <f t="shared" si="10"/>
        <v>1.7670465646555864E-2</v>
      </c>
      <c r="S235" s="292"/>
      <c r="T235" s="291"/>
      <c r="U235" s="580">
        <f t="shared" si="11"/>
        <v>0</v>
      </c>
      <c r="V235" s="286"/>
    </row>
    <row r="236" spans="7:22" x14ac:dyDescent="0.2">
      <c r="G236" s="290"/>
      <c r="H236" s="575">
        <v>226</v>
      </c>
      <c r="I236" s="581">
        <v>0</v>
      </c>
      <c r="J236" s="581">
        <v>0</v>
      </c>
      <c r="K236" s="581">
        <v>0</v>
      </c>
      <c r="L236" s="581">
        <v>0</v>
      </c>
      <c r="M236" s="581">
        <v>0</v>
      </c>
      <c r="N236" s="581">
        <v>0</v>
      </c>
      <c r="O236" s="581">
        <v>4.5745118681606005</v>
      </c>
      <c r="P236" s="581">
        <v>0</v>
      </c>
      <c r="Q236" s="289">
        <f t="shared" si="9"/>
        <v>4.5745118681606005</v>
      </c>
      <c r="R236" s="582">
        <f t="shared" si="10"/>
        <v>1.714388675928339E-2</v>
      </c>
      <c r="S236" s="288"/>
      <c r="T236" s="287"/>
      <c r="U236" s="583">
        <f t="shared" si="11"/>
        <v>0</v>
      </c>
      <c r="V236" s="286"/>
    </row>
    <row r="237" spans="7:22" x14ac:dyDescent="0.2">
      <c r="G237" s="290"/>
      <c r="H237" s="577">
        <v>227</v>
      </c>
      <c r="I237" s="578">
        <v>0</v>
      </c>
      <c r="J237" s="578">
        <v>0</v>
      </c>
      <c r="K237" s="578">
        <v>0</v>
      </c>
      <c r="L237" s="578">
        <v>0</v>
      </c>
      <c r="M237" s="578">
        <v>0</v>
      </c>
      <c r="N237" s="578">
        <v>4.0536724467005101</v>
      </c>
      <c r="O237" s="578">
        <v>4.5721819310917002</v>
      </c>
      <c r="P237" s="578">
        <v>0.40536724467005097</v>
      </c>
      <c r="Q237" s="293">
        <f t="shared" si="9"/>
        <v>9.0312216224622617</v>
      </c>
      <c r="R237" s="579">
        <f t="shared" si="10"/>
        <v>3.2860472649738744E-2</v>
      </c>
      <c r="S237" s="292"/>
      <c r="T237" s="291"/>
      <c r="U237" s="580">
        <f t="shared" si="11"/>
        <v>0</v>
      </c>
      <c r="V237" s="286"/>
    </row>
    <row r="238" spans="7:22" x14ac:dyDescent="0.2">
      <c r="G238" s="290"/>
      <c r="H238" s="575">
        <v>228</v>
      </c>
      <c r="I238" s="581">
        <v>0</v>
      </c>
      <c r="J238" s="581">
        <v>0</v>
      </c>
      <c r="K238" s="581">
        <v>0</v>
      </c>
      <c r="L238" s="581">
        <v>0</v>
      </c>
      <c r="M238" s="581">
        <v>0</v>
      </c>
      <c r="N238" s="581">
        <v>0</v>
      </c>
      <c r="O238" s="581">
        <v>4.6215494142538098</v>
      </c>
      <c r="P238" s="581">
        <v>0</v>
      </c>
      <c r="Q238" s="289">
        <f t="shared" si="9"/>
        <v>4.6215494142538098</v>
      </c>
      <c r="R238" s="582">
        <f t="shared" si="10"/>
        <v>1.6325920684206446E-2</v>
      </c>
      <c r="S238" s="288"/>
      <c r="T238" s="287"/>
      <c r="U238" s="583">
        <f t="shared" si="11"/>
        <v>0</v>
      </c>
      <c r="V238" s="286"/>
    </row>
    <row r="239" spans="7:22" x14ac:dyDescent="0.2">
      <c r="G239" s="290"/>
      <c r="H239" s="577">
        <v>229</v>
      </c>
      <c r="I239" s="578">
        <v>0</v>
      </c>
      <c r="J239" s="578">
        <v>0</v>
      </c>
      <c r="K239" s="578">
        <v>0</v>
      </c>
      <c r="L239" s="578">
        <v>0</v>
      </c>
      <c r="M239" s="578">
        <v>0</v>
      </c>
      <c r="N239" s="578">
        <v>0</v>
      </c>
      <c r="O239" s="578">
        <v>4.6085495926547804</v>
      </c>
      <c r="P239" s="578">
        <v>0</v>
      </c>
      <c r="Q239" s="293">
        <f t="shared" si="9"/>
        <v>4.6085495926547804</v>
      </c>
      <c r="R239" s="579">
        <f t="shared" si="10"/>
        <v>1.5805823279534927E-2</v>
      </c>
      <c r="S239" s="292"/>
      <c r="T239" s="291"/>
      <c r="U239" s="580">
        <f t="shared" si="11"/>
        <v>0</v>
      </c>
      <c r="V239" s="286"/>
    </row>
    <row r="240" spans="7:22" x14ac:dyDescent="0.2">
      <c r="G240" s="290"/>
      <c r="H240" s="575">
        <v>230</v>
      </c>
      <c r="I240" s="581">
        <v>0</v>
      </c>
      <c r="J240" s="581">
        <v>0</v>
      </c>
      <c r="K240" s="581">
        <v>0</v>
      </c>
      <c r="L240" s="581">
        <v>0</v>
      </c>
      <c r="M240" s="581">
        <v>0</v>
      </c>
      <c r="N240" s="581">
        <v>0</v>
      </c>
      <c r="O240" s="581">
        <v>4.5987107664721103</v>
      </c>
      <c r="P240" s="581">
        <v>0</v>
      </c>
      <c r="Q240" s="289">
        <f t="shared" si="9"/>
        <v>4.5987107664721103</v>
      </c>
      <c r="R240" s="582">
        <f t="shared" si="10"/>
        <v>1.5312698361147415E-2</v>
      </c>
      <c r="S240" s="288"/>
      <c r="T240" s="287"/>
      <c r="U240" s="583">
        <f t="shared" si="11"/>
        <v>0</v>
      </c>
      <c r="V240" s="286"/>
    </row>
    <row r="241" spans="7:22" x14ac:dyDescent="0.2">
      <c r="G241" s="290"/>
      <c r="H241" s="577">
        <v>231</v>
      </c>
      <c r="I241" s="578">
        <v>0</v>
      </c>
      <c r="J241" s="578">
        <v>0</v>
      </c>
      <c r="K241" s="578">
        <v>0</v>
      </c>
      <c r="L241" s="578">
        <v>0</v>
      </c>
      <c r="M241" s="578">
        <v>0</v>
      </c>
      <c r="N241" s="578">
        <v>0</v>
      </c>
      <c r="O241" s="578">
        <v>4.5912035317804101</v>
      </c>
      <c r="P241" s="578">
        <v>0</v>
      </c>
      <c r="Q241" s="293">
        <f t="shared" si="9"/>
        <v>4.5912035317804101</v>
      </c>
      <c r="R241" s="579">
        <f t="shared" si="10"/>
        <v>1.484242807373856E-2</v>
      </c>
      <c r="S241" s="292"/>
      <c r="T241" s="291"/>
      <c r="U241" s="580">
        <f t="shared" si="11"/>
        <v>0</v>
      </c>
      <c r="V241" s="286"/>
    </row>
    <row r="242" spans="7:22" x14ac:dyDescent="0.2">
      <c r="G242" s="290"/>
      <c r="H242" s="575">
        <v>232</v>
      </c>
      <c r="I242" s="581">
        <v>0</v>
      </c>
      <c r="J242" s="581">
        <v>0</v>
      </c>
      <c r="K242" s="581">
        <v>0</v>
      </c>
      <c r="L242" s="581">
        <v>0</v>
      </c>
      <c r="M242" s="581">
        <v>0</v>
      </c>
      <c r="N242" s="581">
        <v>0.57363289340101509</v>
      </c>
      <c r="O242" s="581">
        <v>4.5854351120058299</v>
      </c>
      <c r="P242" s="581">
        <v>5.73632893401015E-2</v>
      </c>
      <c r="Q242" s="289">
        <f t="shared" si="9"/>
        <v>5.2164312947469469</v>
      </c>
      <c r="R242" s="582">
        <f t="shared" si="10"/>
        <v>1.6372487750971471E-2</v>
      </c>
      <c r="S242" s="288"/>
      <c r="T242" s="287"/>
      <c r="U242" s="583">
        <f t="shared" si="11"/>
        <v>0</v>
      </c>
      <c r="V242" s="286"/>
    </row>
    <row r="243" spans="7:22" x14ac:dyDescent="0.2">
      <c r="G243" s="290"/>
      <c r="H243" s="577">
        <v>233</v>
      </c>
      <c r="I243" s="578">
        <v>0</v>
      </c>
      <c r="J243" s="578">
        <v>0</v>
      </c>
      <c r="K243" s="578">
        <v>0</v>
      </c>
      <c r="L243" s="578">
        <v>0</v>
      </c>
      <c r="M243" s="578">
        <v>0</v>
      </c>
      <c r="N243" s="578">
        <v>0</v>
      </c>
      <c r="O243" s="578">
        <v>4.5882038464680903</v>
      </c>
      <c r="P243" s="578">
        <v>0</v>
      </c>
      <c r="Q243" s="293">
        <f t="shared" si="9"/>
        <v>4.5882038464680903</v>
      </c>
      <c r="R243" s="579">
        <f t="shared" si="10"/>
        <v>1.3981271279732015E-2</v>
      </c>
      <c r="S243" s="292"/>
      <c r="T243" s="291"/>
      <c r="U243" s="580">
        <f t="shared" si="11"/>
        <v>0</v>
      </c>
      <c r="V243" s="286"/>
    </row>
    <row r="244" spans="7:22" x14ac:dyDescent="0.2">
      <c r="G244" s="290"/>
      <c r="H244" s="575">
        <v>234</v>
      </c>
      <c r="I244" s="581">
        <v>0</v>
      </c>
      <c r="J244" s="581">
        <v>0</v>
      </c>
      <c r="K244" s="581">
        <v>0</v>
      </c>
      <c r="L244" s="581">
        <v>0</v>
      </c>
      <c r="M244" s="581">
        <v>0</v>
      </c>
      <c r="N244" s="581">
        <v>0</v>
      </c>
      <c r="O244" s="581">
        <v>4.5820732118329301</v>
      </c>
      <c r="P244" s="581">
        <v>0</v>
      </c>
      <c r="Q244" s="289">
        <f t="shared" si="9"/>
        <v>4.5820732118329301</v>
      </c>
      <c r="R244" s="582">
        <f t="shared" si="10"/>
        <v>1.3555912505733948E-2</v>
      </c>
      <c r="S244" s="288"/>
      <c r="T244" s="287"/>
      <c r="U244" s="583">
        <f t="shared" si="11"/>
        <v>0</v>
      </c>
      <c r="V244" s="286"/>
    </row>
    <row r="245" spans="7:22" x14ac:dyDescent="0.2">
      <c r="G245" s="290"/>
      <c r="H245" s="577">
        <v>235</v>
      </c>
      <c r="I245" s="578">
        <v>0</v>
      </c>
      <c r="J245" s="578">
        <v>0</v>
      </c>
      <c r="K245" s="578">
        <v>0</v>
      </c>
      <c r="L245" s="578">
        <v>0</v>
      </c>
      <c r="M245" s="578">
        <v>0</v>
      </c>
      <c r="N245" s="578">
        <v>0</v>
      </c>
      <c r="O245" s="578">
        <v>4.5776885200995503</v>
      </c>
      <c r="P245" s="578">
        <v>0</v>
      </c>
      <c r="Q245" s="293">
        <f t="shared" si="9"/>
        <v>4.5776885200995503</v>
      </c>
      <c r="R245" s="579">
        <f t="shared" si="10"/>
        <v>1.3148485960993848E-2</v>
      </c>
      <c r="S245" s="292"/>
      <c r="T245" s="291"/>
      <c r="U245" s="580">
        <f t="shared" si="11"/>
        <v>0</v>
      </c>
      <c r="V245" s="286"/>
    </row>
    <row r="246" spans="7:22" x14ac:dyDescent="0.2">
      <c r="G246" s="290"/>
      <c r="H246" s="575">
        <v>236</v>
      </c>
      <c r="I246" s="581">
        <v>0</v>
      </c>
      <c r="J246" s="581">
        <v>0</v>
      </c>
      <c r="K246" s="581">
        <v>0</v>
      </c>
      <c r="L246" s="581">
        <v>0</v>
      </c>
      <c r="M246" s="581">
        <v>0</v>
      </c>
      <c r="N246" s="581">
        <v>0</v>
      </c>
      <c r="O246" s="581">
        <v>4.5745118681606005</v>
      </c>
      <c r="P246" s="581">
        <v>0</v>
      </c>
      <c r="Q246" s="289">
        <f t="shared" si="9"/>
        <v>4.5745118681606005</v>
      </c>
      <c r="R246" s="582">
        <f t="shared" si="10"/>
        <v>1.2756661815261307E-2</v>
      </c>
      <c r="S246" s="288"/>
      <c r="T246" s="287"/>
      <c r="U246" s="583">
        <f t="shared" si="11"/>
        <v>0</v>
      </c>
      <c r="V246" s="286"/>
    </row>
    <row r="247" spans="7:22" x14ac:dyDescent="0.2">
      <c r="G247" s="290"/>
      <c r="H247" s="577">
        <v>237</v>
      </c>
      <c r="I247" s="578">
        <v>0</v>
      </c>
      <c r="J247" s="578">
        <v>0</v>
      </c>
      <c r="K247" s="578">
        <v>0</v>
      </c>
      <c r="L247" s="578">
        <v>0</v>
      </c>
      <c r="M247" s="578">
        <v>0</v>
      </c>
      <c r="N247" s="578">
        <v>4.0536724467005101</v>
      </c>
      <c r="O247" s="578">
        <v>4.5721819310917002</v>
      </c>
      <c r="P247" s="578">
        <v>0.40536724467005097</v>
      </c>
      <c r="Q247" s="293">
        <f t="shared" si="9"/>
        <v>9.0312216224622617</v>
      </c>
      <c r="R247" s="579">
        <f t="shared" si="10"/>
        <v>2.4451277739300871E-2</v>
      </c>
      <c r="S247" s="292"/>
      <c r="T247" s="291"/>
      <c r="U247" s="580">
        <f t="shared" si="11"/>
        <v>0</v>
      </c>
      <c r="V247" s="286"/>
    </row>
    <row r="248" spans="7:22" x14ac:dyDescent="0.2">
      <c r="G248" s="290"/>
      <c r="H248" s="575">
        <v>238</v>
      </c>
      <c r="I248" s="581">
        <v>0</v>
      </c>
      <c r="J248" s="581">
        <v>0</v>
      </c>
      <c r="K248" s="581">
        <v>0</v>
      </c>
      <c r="L248" s="581">
        <v>0</v>
      </c>
      <c r="M248" s="581">
        <v>0</v>
      </c>
      <c r="N248" s="581">
        <v>0</v>
      </c>
      <c r="O248" s="581">
        <v>4.6215494142538098</v>
      </c>
      <c r="P248" s="581">
        <v>0</v>
      </c>
      <c r="Q248" s="289">
        <f t="shared" si="9"/>
        <v>4.6215494142538098</v>
      </c>
      <c r="R248" s="582">
        <f t="shared" si="10"/>
        <v>1.2148018236204599E-2</v>
      </c>
      <c r="S248" s="288"/>
      <c r="T248" s="287"/>
      <c r="U248" s="583">
        <f t="shared" si="11"/>
        <v>0</v>
      </c>
      <c r="V248" s="286"/>
    </row>
    <row r="249" spans="7:22" x14ac:dyDescent="0.2">
      <c r="G249" s="290"/>
      <c r="H249" s="577">
        <v>239</v>
      </c>
      <c r="I249" s="578">
        <v>0</v>
      </c>
      <c r="J249" s="578">
        <v>0</v>
      </c>
      <c r="K249" s="578">
        <v>0</v>
      </c>
      <c r="L249" s="578">
        <v>0</v>
      </c>
      <c r="M249" s="578">
        <v>0</v>
      </c>
      <c r="N249" s="578">
        <v>0</v>
      </c>
      <c r="O249" s="578">
        <v>4.6085495926547804</v>
      </c>
      <c r="P249" s="578">
        <v>0</v>
      </c>
      <c r="Q249" s="293">
        <f t="shared" si="9"/>
        <v>4.6085495926547804</v>
      </c>
      <c r="R249" s="579">
        <f t="shared" si="10"/>
        <v>1.1761016922234939E-2</v>
      </c>
      <c r="S249" s="292"/>
      <c r="T249" s="291"/>
      <c r="U249" s="580">
        <f t="shared" si="11"/>
        <v>0</v>
      </c>
      <c r="V249" s="286"/>
    </row>
    <row r="250" spans="7:22" x14ac:dyDescent="0.2">
      <c r="G250" s="290"/>
      <c r="H250" s="575">
        <v>240</v>
      </c>
      <c r="I250" s="581">
        <v>0</v>
      </c>
      <c r="J250" s="581">
        <v>0</v>
      </c>
      <c r="K250" s="581">
        <v>0</v>
      </c>
      <c r="L250" s="581">
        <v>0</v>
      </c>
      <c r="M250" s="581">
        <v>0</v>
      </c>
      <c r="N250" s="581">
        <v>0</v>
      </c>
      <c r="O250" s="581">
        <v>4.5987107664721103</v>
      </c>
      <c r="P250" s="581">
        <v>0</v>
      </c>
      <c r="Q250" s="289">
        <f t="shared" si="9"/>
        <v>4.5987107664721103</v>
      </c>
      <c r="R250" s="582">
        <f t="shared" si="10"/>
        <v>1.1394085671178849E-2</v>
      </c>
      <c r="S250" s="288"/>
      <c r="T250" s="287"/>
      <c r="U250" s="583">
        <f t="shared" si="11"/>
        <v>0</v>
      </c>
      <c r="V250" s="286"/>
    </row>
    <row r="251" spans="7:22" x14ac:dyDescent="0.2">
      <c r="G251" s="290"/>
      <c r="H251" s="577">
        <v>241</v>
      </c>
      <c r="I251" s="578">
        <v>0</v>
      </c>
      <c r="J251" s="578">
        <v>0</v>
      </c>
      <c r="K251" s="578">
        <v>0</v>
      </c>
      <c r="L251" s="578">
        <v>0</v>
      </c>
      <c r="M251" s="578">
        <v>0</v>
      </c>
      <c r="N251" s="578">
        <v>0</v>
      </c>
      <c r="O251" s="578">
        <v>4.5912035317804101</v>
      </c>
      <c r="P251" s="578">
        <v>0</v>
      </c>
      <c r="Q251" s="293">
        <f t="shared" si="9"/>
        <v>4.5912035317804101</v>
      </c>
      <c r="R251" s="579">
        <f t="shared" si="10"/>
        <v>1.1044160411961186E-2</v>
      </c>
      <c r="S251" s="292"/>
      <c r="T251" s="291"/>
      <c r="U251" s="580">
        <f t="shared" si="11"/>
        <v>0</v>
      </c>
      <c r="V251" s="286"/>
    </row>
    <row r="252" spans="7:22" x14ac:dyDescent="0.2">
      <c r="G252" s="290"/>
      <c r="H252" s="575">
        <v>242</v>
      </c>
      <c r="I252" s="581">
        <v>0</v>
      </c>
      <c r="J252" s="581">
        <v>0</v>
      </c>
      <c r="K252" s="581">
        <v>0</v>
      </c>
      <c r="L252" s="581">
        <v>0</v>
      </c>
      <c r="M252" s="581">
        <v>0</v>
      </c>
      <c r="N252" s="581">
        <v>0.57363289340101509</v>
      </c>
      <c r="O252" s="581">
        <v>4.5854351120058299</v>
      </c>
      <c r="P252" s="581">
        <v>5.73632893401015E-2</v>
      </c>
      <c r="Q252" s="289">
        <f t="shared" si="9"/>
        <v>5.2164312947469469</v>
      </c>
      <c r="R252" s="582">
        <f t="shared" si="10"/>
        <v>1.2182668507219045E-2</v>
      </c>
      <c r="S252" s="288"/>
      <c r="T252" s="287"/>
      <c r="U252" s="583">
        <f t="shared" si="11"/>
        <v>0</v>
      </c>
      <c r="V252" s="286"/>
    </row>
    <row r="253" spans="7:22" x14ac:dyDescent="0.2">
      <c r="G253" s="290"/>
      <c r="H253" s="577">
        <v>243</v>
      </c>
      <c r="I253" s="578">
        <v>0</v>
      </c>
      <c r="J253" s="578">
        <v>0</v>
      </c>
      <c r="K253" s="578">
        <v>0</v>
      </c>
      <c r="L253" s="578">
        <v>0</v>
      </c>
      <c r="M253" s="578">
        <v>0</v>
      </c>
      <c r="N253" s="578">
        <v>0</v>
      </c>
      <c r="O253" s="578">
        <v>4.5882038464680903</v>
      </c>
      <c r="P253" s="578">
        <v>0</v>
      </c>
      <c r="Q253" s="293">
        <f t="shared" si="9"/>
        <v>4.5882038464680903</v>
      </c>
      <c r="R253" s="579">
        <f t="shared" si="10"/>
        <v>1.040337888176894E-2</v>
      </c>
      <c r="S253" s="292"/>
      <c r="T253" s="291"/>
      <c r="U253" s="580">
        <f t="shared" si="11"/>
        <v>0</v>
      </c>
      <c r="V253" s="286"/>
    </row>
    <row r="254" spans="7:22" x14ac:dyDescent="0.2">
      <c r="G254" s="290"/>
      <c r="H254" s="575">
        <v>244</v>
      </c>
      <c r="I254" s="581">
        <v>0</v>
      </c>
      <c r="J254" s="581">
        <v>0</v>
      </c>
      <c r="K254" s="581">
        <v>0</v>
      </c>
      <c r="L254" s="581">
        <v>0</v>
      </c>
      <c r="M254" s="581">
        <v>0</v>
      </c>
      <c r="N254" s="581">
        <v>0</v>
      </c>
      <c r="O254" s="581">
        <v>4.5820732118329301</v>
      </c>
      <c r="P254" s="581">
        <v>0</v>
      </c>
      <c r="Q254" s="289">
        <f t="shared" si="9"/>
        <v>4.5820732118329301</v>
      </c>
      <c r="R254" s="582">
        <f t="shared" si="10"/>
        <v>1.0086872006389046E-2</v>
      </c>
      <c r="S254" s="288"/>
      <c r="T254" s="287"/>
      <c r="U254" s="583">
        <f t="shared" si="11"/>
        <v>0</v>
      </c>
      <c r="V254" s="286"/>
    </row>
    <row r="255" spans="7:22" x14ac:dyDescent="0.2">
      <c r="G255" s="290"/>
      <c r="H255" s="577">
        <v>245</v>
      </c>
      <c r="I255" s="578">
        <v>0</v>
      </c>
      <c r="J255" s="578">
        <v>0</v>
      </c>
      <c r="K255" s="578">
        <v>0</v>
      </c>
      <c r="L255" s="578">
        <v>0</v>
      </c>
      <c r="M255" s="578">
        <v>0</v>
      </c>
      <c r="N255" s="578">
        <v>0</v>
      </c>
      <c r="O255" s="578">
        <v>4.5776885200995503</v>
      </c>
      <c r="P255" s="578">
        <v>0</v>
      </c>
      <c r="Q255" s="293">
        <f t="shared" si="9"/>
        <v>4.5776885200995503</v>
      </c>
      <c r="R255" s="579">
        <f t="shared" si="10"/>
        <v>9.7837083936805434E-3</v>
      </c>
      <c r="S255" s="292"/>
      <c r="T255" s="291"/>
      <c r="U255" s="580">
        <f t="shared" si="11"/>
        <v>0</v>
      </c>
      <c r="V255" s="286"/>
    </row>
    <row r="256" spans="7:22" x14ac:dyDescent="0.2">
      <c r="G256" s="290"/>
      <c r="H256" s="575">
        <v>246</v>
      </c>
      <c r="I256" s="581">
        <v>0</v>
      </c>
      <c r="J256" s="581">
        <v>0</v>
      </c>
      <c r="K256" s="581">
        <v>0</v>
      </c>
      <c r="L256" s="581">
        <v>0</v>
      </c>
      <c r="M256" s="581">
        <v>0</v>
      </c>
      <c r="N256" s="581">
        <v>0</v>
      </c>
      <c r="O256" s="581">
        <v>4.5745118681606005</v>
      </c>
      <c r="P256" s="581">
        <v>0</v>
      </c>
      <c r="Q256" s="289">
        <f t="shared" si="9"/>
        <v>4.5745118681606005</v>
      </c>
      <c r="R256" s="582">
        <f t="shared" si="10"/>
        <v>9.492154431131352E-3</v>
      </c>
      <c r="S256" s="288"/>
      <c r="T256" s="287"/>
      <c r="U256" s="583">
        <f t="shared" si="11"/>
        <v>0</v>
      </c>
      <c r="V256" s="286"/>
    </row>
    <row r="257" spans="7:22" x14ac:dyDescent="0.2">
      <c r="G257" s="290"/>
      <c r="H257" s="577">
        <v>247</v>
      </c>
      <c r="I257" s="578">
        <v>0</v>
      </c>
      <c r="J257" s="578">
        <v>0</v>
      </c>
      <c r="K257" s="578">
        <v>0</v>
      </c>
      <c r="L257" s="578">
        <v>0</v>
      </c>
      <c r="M257" s="578">
        <v>0</v>
      </c>
      <c r="N257" s="578">
        <v>4.0536724467005101</v>
      </c>
      <c r="O257" s="578">
        <v>4.5721819310917002</v>
      </c>
      <c r="P257" s="578">
        <v>0.40536724467005097</v>
      </c>
      <c r="Q257" s="293">
        <f t="shared" si="9"/>
        <v>9.0312216224622617</v>
      </c>
      <c r="R257" s="579">
        <f t="shared" si="10"/>
        <v>1.8194046977263532E-2</v>
      </c>
      <c r="S257" s="292"/>
      <c r="T257" s="291"/>
      <c r="U257" s="580">
        <f t="shared" si="11"/>
        <v>0</v>
      </c>
      <c r="V257" s="286"/>
    </row>
    <row r="258" spans="7:22" x14ac:dyDescent="0.2">
      <c r="G258" s="290"/>
      <c r="H258" s="575">
        <v>248</v>
      </c>
      <c r="I258" s="581">
        <v>0</v>
      </c>
      <c r="J258" s="581">
        <v>0</v>
      </c>
      <c r="K258" s="581">
        <v>0</v>
      </c>
      <c r="L258" s="581">
        <v>0</v>
      </c>
      <c r="M258" s="581">
        <v>0</v>
      </c>
      <c r="N258" s="581">
        <v>0</v>
      </c>
      <c r="O258" s="581">
        <v>4.6215494142538098</v>
      </c>
      <c r="P258" s="581">
        <v>0</v>
      </c>
      <c r="Q258" s="289">
        <f t="shared" si="9"/>
        <v>4.6215494142538098</v>
      </c>
      <c r="R258" s="582">
        <f t="shared" si="10"/>
        <v>9.0392664476142918E-3</v>
      </c>
      <c r="S258" s="288"/>
      <c r="T258" s="287"/>
      <c r="U258" s="583">
        <f t="shared" si="11"/>
        <v>0</v>
      </c>
      <c r="V258" s="286"/>
    </row>
    <row r="259" spans="7:22" x14ac:dyDescent="0.2">
      <c r="G259" s="290"/>
      <c r="H259" s="577">
        <v>249</v>
      </c>
      <c r="I259" s="578">
        <v>0</v>
      </c>
      <c r="J259" s="578">
        <v>0</v>
      </c>
      <c r="K259" s="578">
        <v>0</v>
      </c>
      <c r="L259" s="578">
        <v>0</v>
      </c>
      <c r="M259" s="578">
        <v>0</v>
      </c>
      <c r="N259" s="578">
        <v>0</v>
      </c>
      <c r="O259" s="578">
        <v>4.6085495926547804</v>
      </c>
      <c r="P259" s="578">
        <v>0</v>
      </c>
      <c r="Q259" s="293">
        <f t="shared" si="9"/>
        <v>4.6085495926547804</v>
      </c>
      <c r="R259" s="579">
        <f t="shared" si="10"/>
        <v>8.7513011248324304E-3</v>
      </c>
      <c r="S259" s="292"/>
      <c r="T259" s="291"/>
      <c r="U259" s="580">
        <f t="shared" si="11"/>
        <v>0</v>
      </c>
      <c r="V259" s="286"/>
    </row>
    <row r="260" spans="7:22" x14ac:dyDescent="0.2">
      <c r="G260" s="290"/>
      <c r="H260" s="575">
        <v>250</v>
      </c>
      <c r="I260" s="581">
        <v>0</v>
      </c>
      <c r="J260" s="581">
        <v>0</v>
      </c>
      <c r="K260" s="581">
        <v>0</v>
      </c>
      <c r="L260" s="581">
        <v>0</v>
      </c>
      <c r="M260" s="581">
        <v>0</v>
      </c>
      <c r="N260" s="581">
        <v>0</v>
      </c>
      <c r="O260" s="581">
        <v>4.5987107664721103</v>
      </c>
      <c r="P260" s="581">
        <v>0</v>
      </c>
      <c r="Q260" s="289">
        <f t="shared" si="9"/>
        <v>4.5987107664721103</v>
      </c>
      <c r="R260" s="582">
        <f t="shared" si="10"/>
        <v>8.4782698137361515E-3</v>
      </c>
      <c r="S260" s="288"/>
      <c r="T260" s="287"/>
      <c r="U260" s="583">
        <f t="shared" si="11"/>
        <v>0</v>
      </c>
      <c r="V260" s="286"/>
    </row>
    <row r="261" spans="7:22" x14ac:dyDescent="0.2">
      <c r="G261" s="290"/>
      <c r="H261" s="577">
        <v>251</v>
      </c>
      <c r="I261" s="578">
        <v>0</v>
      </c>
      <c r="J261" s="578">
        <v>0</v>
      </c>
      <c r="K261" s="578">
        <v>0</v>
      </c>
      <c r="L261" s="578">
        <v>0</v>
      </c>
      <c r="M261" s="578">
        <v>0</v>
      </c>
      <c r="N261" s="578">
        <v>0</v>
      </c>
      <c r="O261" s="578">
        <v>4.5912035317804101</v>
      </c>
      <c r="P261" s="578">
        <v>0</v>
      </c>
      <c r="Q261" s="293">
        <f t="shared" si="9"/>
        <v>4.5912035317804101</v>
      </c>
      <c r="R261" s="579">
        <f t="shared" si="10"/>
        <v>8.2178925576836294E-3</v>
      </c>
      <c r="S261" s="292"/>
      <c r="T261" s="291"/>
      <c r="U261" s="580">
        <f t="shared" si="11"/>
        <v>0</v>
      </c>
      <c r="V261" s="286"/>
    </row>
    <row r="262" spans="7:22" x14ac:dyDescent="0.2">
      <c r="G262" s="290"/>
      <c r="H262" s="575">
        <v>252</v>
      </c>
      <c r="I262" s="581">
        <v>0</v>
      </c>
      <c r="J262" s="581">
        <v>0</v>
      </c>
      <c r="K262" s="581">
        <v>0</v>
      </c>
      <c r="L262" s="581">
        <v>0</v>
      </c>
      <c r="M262" s="581">
        <v>0</v>
      </c>
      <c r="N262" s="581">
        <v>0.57363289340101509</v>
      </c>
      <c r="O262" s="581">
        <v>4.5854351120058299</v>
      </c>
      <c r="P262" s="581">
        <v>5.73632893401015E-2</v>
      </c>
      <c r="Q262" s="289">
        <f t="shared" si="9"/>
        <v>5.2164312947469469</v>
      </c>
      <c r="R262" s="582">
        <f t="shared" si="10"/>
        <v>9.0650495034256609E-3</v>
      </c>
      <c r="S262" s="288"/>
      <c r="T262" s="287"/>
      <c r="U262" s="583">
        <f t="shared" si="11"/>
        <v>0</v>
      </c>
      <c r="V262" s="286"/>
    </row>
    <row r="263" spans="7:22" x14ac:dyDescent="0.2">
      <c r="G263" s="290"/>
      <c r="H263" s="577">
        <v>253</v>
      </c>
      <c r="I263" s="578">
        <v>0</v>
      </c>
      <c r="J263" s="578">
        <v>0</v>
      </c>
      <c r="K263" s="578">
        <v>0</v>
      </c>
      <c r="L263" s="578">
        <v>0</v>
      </c>
      <c r="M263" s="578">
        <v>0</v>
      </c>
      <c r="N263" s="578">
        <v>0</v>
      </c>
      <c r="O263" s="578">
        <v>4.5882038464680903</v>
      </c>
      <c r="P263" s="578">
        <v>0</v>
      </c>
      <c r="Q263" s="293">
        <f t="shared" si="9"/>
        <v>4.5882038464680903</v>
      </c>
      <c r="R263" s="579">
        <f t="shared" si="10"/>
        <v>7.741090920289369E-3</v>
      </c>
      <c r="S263" s="292"/>
      <c r="T263" s="291"/>
      <c r="U263" s="580">
        <f t="shared" si="11"/>
        <v>0</v>
      </c>
      <c r="V263" s="286"/>
    </row>
    <row r="264" spans="7:22" x14ac:dyDescent="0.2">
      <c r="G264" s="290"/>
      <c r="H264" s="575">
        <v>254</v>
      </c>
      <c r="I264" s="581">
        <v>0</v>
      </c>
      <c r="J264" s="581">
        <v>0</v>
      </c>
      <c r="K264" s="581">
        <v>0</v>
      </c>
      <c r="L264" s="581">
        <v>0</v>
      </c>
      <c r="M264" s="581">
        <v>0</v>
      </c>
      <c r="N264" s="581">
        <v>0</v>
      </c>
      <c r="O264" s="581">
        <v>4.5820732118329301</v>
      </c>
      <c r="P264" s="581">
        <v>0</v>
      </c>
      <c r="Q264" s="289">
        <f t="shared" si="9"/>
        <v>4.5820732118329301</v>
      </c>
      <c r="R264" s="582">
        <f t="shared" si="10"/>
        <v>7.5055800802962137E-3</v>
      </c>
      <c r="S264" s="288"/>
      <c r="T264" s="287"/>
      <c r="U264" s="583">
        <f t="shared" si="11"/>
        <v>0</v>
      </c>
      <c r="V264" s="286"/>
    </row>
    <row r="265" spans="7:22" x14ac:dyDescent="0.2">
      <c r="G265" s="290"/>
      <c r="H265" s="577">
        <v>255</v>
      </c>
      <c r="I265" s="578">
        <v>0</v>
      </c>
      <c r="J265" s="578">
        <v>0</v>
      </c>
      <c r="K265" s="578">
        <v>0</v>
      </c>
      <c r="L265" s="578">
        <v>0</v>
      </c>
      <c r="M265" s="578">
        <v>0</v>
      </c>
      <c r="N265" s="578">
        <v>0</v>
      </c>
      <c r="O265" s="578">
        <v>4.5776885200995503</v>
      </c>
      <c r="P265" s="578">
        <v>0</v>
      </c>
      <c r="Q265" s="293">
        <f t="shared" si="9"/>
        <v>4.5776885200995503</v>
      </c>
      <c r="R265" s="579">
        <f t="shared" si="10"/>
        <v>7.2799978808617055E-3</v>
      </c>
      <c r="S265" s="292"/>
      <c r="T265" s="291"/>
      <c r="U265" s="580">
        <f t="shared" si="11"/>
        <v>0</v>
      </c>
      <c r="V265" s="286"/>
    </row>
    <row r="266" spans="7:22" x14ac:dyDescent="0.2">
      <c r="G266" s="290"/>
      <c r="H266" s="575">
        <v>256</v>
      </c>
      <c r="I266" s="581">
        <v>0</v>
      </c>
      <c r="J266" s="581">
        <v>0</v>
      </c>
      <c r="K266" s="581">
        <v>0</v>
      </c>
      <c r="L266" s="581">
        <v>0</v>
      </c>
      <c r="M266" s="581">
        <v>0</v>
      </c>
      <c r="N266" s="581">
        <v>0</v>
      </c>
      <c r="O266" s="581">
        <v>4.5745118681606005</v>
      </c>
      <c r="P266" s="581">
        <v>0</v>
      </c>
      <c r="Q266" s="289">
        <f t="shared" si="9"/>
        <v>4.5745118681606005</v>
      </c>
      <c r="R266" s="582">
        <f t="shared" si="10"/>
        <v>7.063054351464826E-3</v>
      </c>
      <c r="S266" s="288"/>
      <c r="T266" s="287"/>
      <c r="U266" s="583">
        <f t="shared" si="11"/>
        <v>0</v>
      </c>
      <c r="V266" s="286"/>
    </row>
    <row r="267" spans="7:22" x14ac:dyDescent="0.2">
      <c r="G267" s="290"/>
      <c r="H267" s="577">
        <v>257</v>
      </c>
      <c r="I267" s="578">
        <v>0</v>
      </c>
      <c r="J267" s="578">
        <v>0</v>
      </c>
      <c r="K267" s="578">
        <v>0</v>
      </c>
      <c r="L267" s="578">
        <v>0</v>
      </c>
      <c r="M267" s="578">
        <v>0</v>
      </c>
      <c r="N267" s="578">
        <v>4.0536724467005101</v>
      </c>
      <c r="O267" s="578">
        <v>4.5721819310917002</v>
      </c>
      <c r="P267" s="578">
        <v>0.40536724467005097</v>
      </c>
      <c r="Q267" s="293">
        <f t="shared" ref="Q267:Q330" si="12">SUM(I267:P267)</f>
        <v>9.0312216224622617</v>
      </c>
      <c r="R267" s="579">
        <f t="shared" ref="R267:R330" si="13">$Q267/(1+$B$3)^($H267-37)</f>
        <v>1.3538079643126952E-2</v>
      </c>
      <c r="S267" s="292"/>
      <c r="T267" s="291"/>
      <c r="U267" s="580">
        <f t="shared" ref="U267:U330" si="14">$T267/(1+$B$3)^($H267-37)</f>
        <v>0</v>
      </c>
      <c r="V267" s="286"/>
    </row>
    <row r="268" spans="7:22" x14ac:dyDescent="0.2">
      <c r="G268" s="290"/>
      <c r="H268" s="575">
        <v>258</v>
      </c>
      <c r="I268" s="581">
        <v>0</v>
      </c>
      <c r="J268" s="581">
        <v>0</v>
      </c>
      <c r="K268" s="581">
        <v>0</v>
      </c>
      <c r="L268" s="581">
        <v>0</v>
      </c>
      <c r="M268" s="581">
        <v>0</v>
      </c>
      <c r="N268" s="581">
        <v>0</v>
      </c>
      <c r="O268" s="581">
        <v>4.6215494142538098</v>
      </c>
      <c r="P268" s="581">
        <v>0</v>
      </c>
      <c r="Q268" s="289">
        <f t="shared" si="12"/>
        <v>4.6215494142538098</v>
      </c>
      <c r="R268" s="582">
        <f t="shared" si="13"/>
        <v>6.7260631587999324E-3</v>
      </c>
      <c r="S268" s="288"/>
      <c r="T268" s="287"/>
      <c r="U268" s="583">
        <f t="shared" si="14"/>
        <v>0</v>
      </c>
      <c r="V268" s="286"/>
    </row>
    <row r="269" spans="7:22" x14ac:dyDescent="0.2">
      <c r="G269" s="290"/>
      <c r="H269" s="577">
        <v>259</v>
      </c>
      <c r="I269" s="578">
        <v>0</v>
      </c>
      <c r="J269" s="578">
        <v>0</v>
      </c>
      <c r="K269" s="578">
        <v>0</v>
      </c>
      <c r="L269" s="578">
        <v>0</v>
      </c>
      <c r="M269" s="578">
        <v>0</v>
      </c>
      <c r="N269" s="578">
        <v>0</v>
      </c>
      <c r="O269" s="578">
        <v>4.6085495926547804</v>
      </c>
      <c r="P269" s="578">
        <v>0</v>
      </c>
      <c r="Q269" s="293">
        <f t="shared" si="12"/>
        <v>4.6085495926547804</v>
      </c>
      <c r="R269" s="579">
        <f t="shared" si="13"/>
        <v>6.5117899144166774E-3</v>
      </c>
      <c r="S269" s="292"/>
      <c r="T269" s="291"/>
      <c r="U269" s="580">
        <f t="shared" si="14"/>
        <v>0</v>
      </c>
      <c r="V269" s="286"/>
    </row>
    <row r="270" spans="7:22" x14ac:dyDescent="0.2">
      <c r="G270" s="290"/>
      <c r="H270" s="575">
        <v>260</v>
      </c>
      <c r="I270" s="581">
        <v>0</v>
      </c>
      <c r="J270" s="581">
        <v>0</v>
      </c>
      <c r="K270" s="581">
        <v>0</v>
      </c>
      <c r="L270" s="581">
        <v>0</v>
      </c>
      <c r="M270" s="581">
        <v>0</v>
      </c>
      <c r="N270" s="581">
        <v>0</v>
      </c>
      <c r="O270" s="581">
        <v>4.5987107664721103</v>
      </c>
      <c r="P270" s="581">
        <v>0</v>
      </c>
      <c r="Q270" s="289">
        <f t="shared" si="12"/>
        <v>4.5987107664721103</v>
      </c>
      <c r="R270" s="582">
        <f t="shared" si="13"/>
        <v>6.308628977253661E-3</v>
      </c>
      <c r="S270" s="288"/>
      <c r="T270" s="287"/>
      <c r="U270" s="583">
        <f t="shared" si="14"/>
        <v>0</v>
      </c>
      <c r="V270" s="286"/>
    </row>
    <row r="271" spans="7:22" x14ac:dyDescent="0.2">
      <c r="G271" s="290"/>
      <c r="H271" s="577">
        <v>261</v>
      </c>
      <c r="I271" s="578">
        <v>0</v>
      </c>
      <c r="J271" s="578">
        <v>0</v>
      </c>
      <c r="K271" s="578">
        <v>0</v>
      </c>
      <c r="L271" s="578">
        <v>0</v>
      </c>
      <c r="M271" s="578">
        <v>0</v>
      </c>
      <c r="N271" s="578">
        <v>0</v>
      </c>
      <c r="O271" s="578">
        <v>4.5912035317804101</v>
      </c>
      <c r="P271" s="578">
        <v>0</v>
      </c>
      <c r="Q271" s="293">
        <f t="shared" si="12"/>
        <v>4.5912035317804101</v>
      </c>
      <c r="R271" s="579">
        <f t="shared" si="13"/>
        <v>6.114883845447474E-3</v>
      </c>
      <c r="S271" s="292"/>
      <c r="T271" s="291"/>
      <c r="U271" s="580">
        <f t="shared" si="14"/>
        <v>0</v>
      </c>
      <c r="V271" s="286"/>
    </row>
    <row r="272" spans="7:22" x14ac:dyDescent="0.2">
      <c r="G272" s="290"/>
      <c r="H272" s="575">
        <v>262</v>
      </c>
      <c r="I272" s="581">
        <v>0</v>
      </c>
      <c r="J272" s="581">
        <v>0</v>
      </c>
      <c r="K272" s="581">
        <v>0</v>
      </c>
      <c r="L272" s="581">
        <v>0</v>
      </c>
      <c r="M272" s="581">
        <v>0</v>
      </c>
      <c r="N272" s="581">
        <v>0.57363289340101509</v>
      </c>
      <c r="O272" s="581">
        <v>4.5854351120058299</v>
      </c>
      <c r="P272" s="581">
        <v>5.73632893401015E-2</v>
      </c>
      <c r="Q272" s="289">
        <f t="shared" si="12"/>
        <v>5.2164312947469469</v>
      </c>
      <c r="R272" s="582">
        <f t="shared" si="13"/>
        <v>6.7452481737366151E-3</v>
      </c>
      <c r="S272" s="288"/>
      <c r="T272" s="287"/>
      <c r="U272" s="583">
        <f t="shared" si="14"/>
        <v>0</v>
      </c>
      <c r="V272" s="286"/>
    </row>
    <row r="273" spans="7:22" x14ac:dyDescent="0.2">
      <c r="G273" s="290"/>
      <c r="H273" s="577">
        <v>263</v>
      </c>
      <c r="I273" s="578">
        <v>0</v>
      </c>
      <c r="J273" s="578">
        <v>0</v>
      </c>
      <c r="K273" s="578">
        <v>0</v>
      </c>
      <c r="L273" s="578">
        <v>0</v>
      </c>
      <c r="M273" s="578">
        <v>0</v>
      </c>
      <c r="N273" s="578">
        <v>0</v>
      </c>
      <c r="O273" s="578">
        <v>4.5882038464680903</v>
      </c>
      <c r="P273" s="578">
        <v>0</v>
      </c>
      <c r="Q273" s="293">
        <f t="shared" si="12"/>
        <v>4.5882038464680903</v>
      </c>
      <c r="R273" s="579">
        <f t="shared" si="13"/>
        <v>5.7600986484496108E-3</v>
      </c>
      <c r="S273" s="292"/>
      <c r="T273" s="291"/>
      <c r="U273" s="580">
        <f t="shared" si="14"/>
        <v>0</v>
      </c>
      <c r="V273" s="286"/>
    </row>
    <row r="274" spans="7:22" x14ac:dyDescent="0.2">
      <c r="G274" s="290"/>
      <c r="H274" s="575">
        <v>264</v>
      </c>
      <c r="I274" s="581">
        <v>0</v>
      </c>
      <c r="J274" s="581">
        <v>0</v>
      </c>
      <c r="K274" s="581">
        <v>0</v>
      </c>
      <c r="L274" s="581">
        <v>0</v>
      </c>
      <c r="M274" s="581">
        <v>0</v>
      </c>
      <c r="N274" s="581">
        <v>0</v>
      </c>
      <c r="O274" s="581">
        <v>4.5820732118329301</v>
      </c>
      <c r="P274" s="581">
        <v>0</v>
      </c>
      <c r="Q274" s="289">
        <f t="shared" si="12"/>
        <v>4.5820732118329301</v>
      </c>
      <c r="R274" s="582">
        <f t="shared" si="13"/>
        <v>5.5848564655184858E-3</v>
      </c>
      <c r="S274" s="288"/>
      <c r="T274" s="287"/>
      <c r="U274" s="583">
        <f t="shared" si="14"/>
        <v>0</v>
      </c>
      <c r="V274" s="286"/>
    </row>
    <row r="275" spans="7:22" x14ac:dyDescent="0.2">
      <c r="G275" s="290"/>
      <c r="H275" s="577">
        <v>265</v>
      </c>
      <c r="I275" s="578">
        <v>0</v>
      </c>
      <c r="J275" s="578">
        <v>0</v>
      </c>
      <c r="K275" s="578">
        <v>0</v>
      </c>
      <c r="L275" s="578">
        <v>0</v>
      </c>
      <c r="M275" s="578">
        <v>0</v>
      </c>
      <c r="N275" s="578">
        <v>0</v>
      </c>
      <c r="O275" s="578">
        <v>4.5776885200995503</v>
      </c>
      <c r="P275" s="578">
        <v>0</v>
      </c>
      <c r="Q275" s="293">
        <f t="shared" si="12"/>
        <v>4.5776885200995503</v>
      </c>
      <c r="R275" s="579">
        <f t="shared" si="13"/>
        <v>5.4170021236102503E-3</v>
      </c>
      <c r="S275" s="292"/>
      <c r="T275" s="291"/>
      <c r="U275" s="580">
        <f t="shared" si="14"/>
        <v>0</v>
      </c>
      <c r="V275" s="286"/>
    </row>
    <row r="276" spans="7:22" x14ac:dyDescent="0.2">
      <c r="G276" s="290"/>
      <c r="H276" s="575">
        <v>266</v>
      </c>
      <c r="I276" s="581">
        <v>0</v>
      </c>
      <c r="J276" s="581">
        <v>0</v>
      </c>
      <c r="K276" s="581">
        <v>0</v>
      </c>
      <c r="L276" s="581">
        <v>0</v>
      </c>
      <c r="M276" s="581">
        <v>0</v>
      </c>
      <c r="N276" s="581">
        <v>0</v>
      </c>
      <c r="O276" s="581">
        <v>4.5745118681606005</v>
      </c>
      <c r="P276" s="581">
        <v>0</v>
      </c>
      <c r="Q276" s="289">
        <f t="shared" si="12"/>
        <v>4.5745118681606005</v>
      </c>
      <c r="R276" s="582">
        <f t="shared" si="13"/>
        <v>5.2555757635098137E-3</v>
      </c>
      <c r="S276" s="288"/>
      <c r="T276" s="287"/>
      <c r="U276" s="583">
        <f t="shared" si="14"/>
        <v>0</v>
      </c>
      <c r="V276" s="286"/>
    </row>
    <row r="277" spans="7:22" x14ac:dyDescent="0.2">
      <c r="G277" s="290"/>
      <c r="H277" s="577">
        <v>267</v>
      </c>
      <c r="I277" s="578">
        <v>0</v>
      </c>
      <c r="J277" s="578">
        <v>0</v>
      </c>
      <c r="K277" s="578">
        <v>0</v>
      </c>
      <c r="L277" s="578">
        <v>0</v>
      </c>
      <c r="M277" s="578">
        <v>0</v>
      </c>
      <c r="N277" s="578">
        <v>4.0536724467005101</v>
      </c>
      <c r="O277" s="578">
        <v>4.5721819310917002</v>
      </c>
      <c r="P277" s="578">
        <v>0.40536724467005097</v>
      </c>
      <c r="Q277" s="293">
        <f t="shared" si="12"/>
        <v>9.0312216224622617</v>
      </c>
      <c r="R277" s="579">
        <f t="shared" si="13"/>
        <v>1.0073602681837995E-2</v>
      </c>
      <c r="S277" s="292"/>
      <c r="T277" s="291"/>
      <c r="U277" s="580">
        <f t="shared" si="14"/>
        <v>0</v>
      </c>
      <c r="V277" s="286"/>
    </row>
    <row r="278" spans="7:22" x14ac:dyDescent="0.2">
      <c r="G278" s="290"/>
      <c r="H278" s="575">
        <v>268</v>
      </c>
      <c r="I278" s="581">
        <v>0</v>
      </c>
      <c r="J278" s="581">
        <v>0</v>
      </c>
      <c r="K278" s="581">
        <v>0</v>
      </c>
      <c r="L278" s="581">
        <v>0</v>
      </c>
      <c r="M278" s="581">
        <v>0</v>
      </c>
      <c r="N278" s="581">
        <v>0</v>
      </c>
      <c r="O278" s="581">
        <v>4.6215494142538098</v>
      </c>
      <c r="P278" s="581">
        <v>0</v>
      </c>
      <c r="Q278" s="289">
        <f t="shared" si="12"/>
        <v>4.6215494142538098</v>
      </c>
      <c r="R278" s="582">
        <f t="shared" si="13"/>
        <v>5.0048226676740757E-3</v>
      </c>
      <c r="S278" s="288"/>
      <c r="T278" s="287"/>
      <c r="U278" s="583">
        <f t="shared" si="14"/>
        <v>0</v>
      </c>
      <c r="V278" s="286"/>
    </row>
    <row r="279" spans="7:22" x14ac:dyDescent="0.2">
      <c r="G279" s="290"/>
      <c r="H279" s="577">
        <v>269</v>
      </c>
      <c r="I279" s="578">
        <v>0</v>
      </c>
      <c r="J279" s="578">
        <v>0</v>
      </c>
      <c r="K279" s="578">
        <v>0</v>
      </c>
      <c r="L279" s="578">
        <v>0</v>
      </c>
      <c r="M279" s="578">
        <v>0</v>
      </c>
      <c r="N279" s="578">
        <v>0</v>
      </c>
      <c r="O279" s="578">
        <v>4.6085495926547804</v>
      </c>
      <c r="P279" s="578">
        <v>0</v>
      </c>
      <c r="Q279" s="293">
        <f t="shared" si="12"/>
        <v>4.6085495926547804</v>
      </c>
      <c r="R279" s="579">
        <f t="shared" si="13"/>
        <v>4.8453832504033179E-3</v>
      </c>
      <c r="S279" s="292"/>
      <c r="T279" s="291"/>
      <c r="U279" s="580">
        <f t="shared" si="14"/>
        <v>0</v>
      </c>
      <c r="V279" s="286"/>
    </row>
    <row r="280" spans="7:22" x14ac:dyDescent="0.2">
      <c r="G280" s="290"/>
      <c r="H280" s="575">
        <v>270</v>
      </c>
      <c r="I280" s="581">
        <v>0</v>
      </c>
      <c r="J280" s="581">
        <v>0</v>
      </c>
      <c r="K280" s="581">
        <v>0</v>
      </c>
      <c r="L280" s="581">
        <v>0</v>
      </c>
      <c r="M280" s="581">
        <v>0</v>
      </c>
      <c r="N280" s="581">
        <v>0</v>
      </c>
      <c r="O280" s="581">
        <v>4.5987107664721103</v>
      </c>
      <c r="P280" s="581">
        <v>0</v>
      </c>
      <c r="Q280" s="289">
        <f t="shared" si="12"/>
        <v>4.5987107664721103</v>
      </c>
      <c r="R280" s="582">
        <f t="shared" si="13"/>
        <v>4.694212433315601E-3</v>
      </c>
      <c r="S280" s="288"/>
      <c r="T280" s="287"/>
      <c r="U280" s="583">
        <f t="shared" si="14"/>
        <v>0</v>
      </c>
      <c r="V280" s="286"/>
    </row>
    <row r="281" spans="7:22" x14ac:dyDescent="0.2">
      <c r="G281" s="290"/>
      <c r="H281" s="577">
        <v>271</v>
      </c>
      <c r="I281" s="578">
        <v>0</v>
      </c>
      <c r="J281" s="578">
        <v>0</v>
      </c>
      <c r="K281" s="578">
        <v>0</v>
      </c>
      <c r="L281" s="578">
        <v>0</v>
      </c>
      <c r="M281" s="578">
        <v>0</v>
      </c>
      <c r="N281" s="578">
        <v>0</v>
      </c>
      <c r="O281" s="578">
        <v>4.5912035317804101</v>
      </c>
      <c r="P281" s="578">
        <v>0</v>
      </c>
      <c r="Q281" s="293">
        <f t="shared" si="12"/>
        <v>4.5912035317804101</v>
      </c>
      <c r="R281" s="579">
        <f t="shared" si="13"/>
        <v>4.550047859697752E-3</v>
      </c>
      <c r="S281" s="292"/>
      <c r="T281" s="291"/>
      <c r="U281" s="580">
        <f t="shared" si="14"/>
        <v>0</v>
      </c>
      <c r="V281" s="286"/>
    </row>
    <row r="282" spans="7:22" x14ac:dyDescent="0.2">
      <c r="G282" s="290"/>
      <c r="H282" s="575">
        <v>272</v>
      </c>
      <c r="I282" s="581">
        <v>0</v>
      </c>
      <c r="J282" s="581">
        <v>0</v>
      </c>
      <c r="K282" s="581">
        <v>0</v>
      </c>
      <c r="L282" s="581">
        <v>0</v>
      </c>
      <c r="M282" s="581">
        <v>0</v>
      </c>
      <c r="N282" s="581">
        <v>0.57363289340101509</v>
      </c>
      <c r="O282" s="581">
        <v>4.5854351120058299</v>
      </c>
      <c r="P282" s="581">
        <v>5.73632893401015E-2</v>
      </c>
      <c r="Q282" s="289">
        <f t="shared" si="12"/>
        <v>5.2164312947469469</v>
      </c>
      <c r="R282" s="582">
        <f t="shared" si="13"/>
        <v>5.0190981205456642E-3</v>
      </c>
      <c r="S282" s="288"/>
      <c r="T282" s="287"/>
      <c r="U282" s="583">
        <f t="shared" si="14"/>
        <v>0</v>
      </c>
      <c r="V282" s="286"/>
    </row>
    <row r="283" spans="7:22" x14ac:dyDescent="0.2">
      <c r="G283" s="290"/>
      <c r="H283" s="577">
        <v>273</v>
      </c>
      <c r="I283" s="578">
        <v>0</v>
      </c>
      <c r="J283" s="578">
        <v>0</v>
      </c>
      <c r="K283" s="578">
        <v>0</v>
      </c>
      <c r="L283" s="578">
        <v>0</v>
      </c>
      <c r="M283" s="578">
        <v>0</v>
      </c>
      <c r="N283" s="578">
        <v>0</v>
      </c>
      <c r="O283" s="578">
        <v>4.5882038464680903</v>
      </c>
      <c r="P283" s="578">
        <v>0</v>
      </c>
      <c r="Q283" s="293">
        <f t="shared" si="12"/>
        <v>4.5882038464680903</v>
      </c>
      <c r="R283" s="579">
        <f t="shared" si="13"/>
        <v>4.286054353516206E-3</v>
      </c>
      <c r="S283" s="292"/>
      <c r="T283" s="291"/>
      <c r="U283" s="580">
        <f t="shared" si="14"/>
        <v>0</v>
      </c>
      <c r="V283" s="286"/>
    </row>
    <row r="284" spans="7:22" x14ac:dyDescent="0.2">
      <c r="G284" s="290"/>
      <c r="H284" s="575">
        <v>274</v>
      </c>
      <c r="I284" s="581">
        <v>0</v>
      </c>
      <c r="J284" s="581">
        <v>0</v>
      </c>
      <c r="K284" s="581">
        <v>0</v>
      </c>
      <c r="L284" s="581">
        <v>0</v>
      </c>
      <c r="M284" s="581">
        <v>0</v>
      </c>
      <c r="N284" s="581">
        <v>0</v>
      </c>
      <c r="O284" s="581">
        <v>4.5820732118329301</v>
      </c>
      <c r="P284" s="581">
        <v>0</v>
      </c>
      <c r="Q284" s="289">
        <f t="shared" si="12"/>
        <v>4.5820732118329301</v>
      </c>
      <c r="R284" s="582">
        <f t="shared" si="13"/>
        <v>4.1556577115639381E-3</v>
      </c>
      <c r="S284" s="288"/>
      <c r="T284" s="287"/>
      <c r="U284" s="583">
        <f t="shared" si="14"/>
        <v>0</v>
      </c>
      <c r="V284" s="286"/>
    </row>
    <row r="285" spans="7:22" x14ac:dyDescent="0.2">
      <c r="G285" s="290"/>
      <c r="H285" s="577">
        <v>275</v>
      </c>
      <c r="I285" s="578">
        <v>0</v>
      </c>
      <c r="J285" s="578">
        <v>0</v>
      </c>
      <c r="K285" s="578">
        <v>0</v>
      </c>
      <c r="L285" s="578">
        <v>0</v>
      </c>
      <c r="M285" s="578">
        <v>0</v>
      </c>
      <c r="N285" s="578">
        <v>0</v>
      </c>
      <c r="O285" s="578">
        <v>4.5776885200995503</v>
      </c>
      <c r="P285" s="578">
        <v>0</v>
      </c>
      <c r="Q285" s="293">
        <f t="shared" si="12"/>
        <v>4.5776885200995503</v>
      </c>
      <c r="R285" s="579">
        <f t="shared" si="13"/>
        <v>4.0307583171610255E-3</v>
      </c>
      <c r="S285" s="292"/>
      <c r="T285" s="291"/>
      <c r="U285" s="580">
        <f t="shared" si="14"/>
        <v>0</v>
      </c>
      <c r="V285" s="286"/>
    </row>
    <row r="286" spans="7:22" x14ac:dyDescent="0.2">
      <c r="G286" s="290"/>
      <c r="H286" s="575">
        <v>276</v>
      </c>
      <c r="I286" s="581">
        <v>0</v>
      </c>
      <c r="J286" s="581">
        <v>0</v>
      </c>
      <c r="K286" s="581">
        <v>0</v>
      </c>
      <c r="L286" s="581">
        <v>0</v>
      </c>
      <c r="M286" s="581">
        <v>0</v>
      </c>
      <c r="N286" s="581">
        <v>0</v>
      </c>
      <c r="O286" s="581">
        <v>4.5745118681606005</v>
      </c>
      <c r="P286" s="581">
        <v>0</v>
      </c>
      <c r="Q286" s="289">
        <f t="shared" si="12"/>
        <v>4.5745118681606005</v>
      </c>
      <c r="R286" s="582">
        <f t="shared" si="13"/>
        <v>3.9106419449063626E-3</v>
      </c>
      <c r="S286" s="288"/>
      <c r="T286" s="287"/>
      <c r="U286" s="583">
        <f t="shared" si="14"/>
        <v>0</v>
      </c>
      <c r="V286" s="286"/>
    </row>
    <row r="287" spans="7:22" x14ac:dyDescent="0.2">
      <c r="G287" s="290"/>
      <c r="H287" s="577">
        <v>277</v>
      </c>
      <c r="I287" s="578">
        <v>0</v>
      </c>
      <c r="J287" s="578">
        <v>0</v>
      </c>
      <c r="K287" s="578">
        <v>0</v>
      </c>
      <c r="L287" s="578">
        <v>0</v>
      </c>
      <c r="M287" s="578">
        <v>0</v>
      </c>
      <c r="N287" s="578">
        <v>4.0536724467005101</v>
      </c>
      <c r="O287" s="578">
        <v>4.5721819310917002</v>
      </c>
      <c r="P287" s="578">
        <v>0.40536724467005097</v>
      </c>
      <c r="Q287" s="293">
        <f t="shared" si="12"/>
        <v>9.0312216224622617</v>
      </c>
      <c r="R287" s="579">
        <f t="shared" si="13"/>
        <v>7.4957064566429834E-3</v>
      </c>
      <c r="S287" s="292"/>
      <c r="T287" s="291"/>
      <c r="U287" s="580">
        <f t="shared" si="14"/>
        <v>0</v>
      </c>
      <c r="V287" s="286"/>
    </row>
    <row r="288" spans="7:22" x14ac:dyDescent="0.2">
      <c r="G288" s="290"/>
      <c r="H288" s="575">
        <v>278</v>
      </c>
      <c r="I288" s="581">
        <v>0</v>
      </c>
      <c r="J288" s="581">
        <v>0</v>
      </c>
      <c r="K288" s="581">
        <v>0</v>
      </c>
      <c r="L288" s="581">
        <v>0</v>
      </c>
      <c r="M288" s="581">
        <v>0</v>
      </c>
      <c r="N288" s="581">
        <v>0</v>
      </c>
      <c r="O288" s="581">
        <v>4.6215494142538098</v>
      </c>
      <c r="P288" s="581">
        <v>0</v>
      </c>
      <c r="Q288" s="289">
        <f t="shared" si="12"/>
        <v>4.6215494142538098</v>
      </c>
      <c r="R288" s="582">
        <f t="shared" si="13"/>
        <v>3.724058092153476E-3</v>
      </c>
      <c r="S288" s="288"/>
      <c r="T288" s="287"/>
      <c r="U288" s="583">
        <f t="shared" si="14"/>
        <v>0</v>
      </c>
      <c r="V288" s="286"/>
    </row>
    <row r="289" spans="7:22" x14ac:dyDescent="0.2">
      <c r="G289" s="290"/>
      <c r="H289" s="577">
        <v>279</v>
      </c>
      <c r="I289" s="578">
        <v>0</v>
      </c>
      <c r="J289" s="578">
        <v>0</v>
      </c>
      <c r="K289" s="578">
        <v>0</v>
      </c>
      <c r="L289" s="578">
        <v>0</v>
      </c>
      <c r="M289" s="578">
        <v>0</v>
      </c>
      <c r="N289" s="578">
        <v>0</v>
      </c>
      <c r="O289" s="578">
        <v>4.6085495926547804</v>
      </c>
      <c r="P289" s="578">
        <v>0</v>
      </c>
      <c r="Q289" s="293">
        <f t="shared" si="12"/>
        <v>4.6085495926547804</v>
      </c>
      <c r="R289" s="579">
        <f t="shared" si="13"/>
        <v>3.6054201919676243E-3</v>
      </c>
      <c r="S289" s="292"/>
      <c r="T289" s="291"/>
      <c r="U289" s="580">
        <f t="shared" si="14"/>
        <v>0</v>
      </c>
      <c r="V289" s="286"/>
    </row>
    <row r="290" spans="7:22" x14ac:dyDescent="0.2">
      <c r="G290" s="290"/>
      <c r="H290" s="575">
        <v>280</v>
      </c>
      <c r="I290" s="581">
        <v>0</v>
      </c>
      <c r="J290" s="581">
        <v>0</v>
      </c>
      <c r="K290" s="581">
        <v>0</v>
      </c>
      <c r="L290" s="581">
        <v>0</v>
      </c>
      <c r="M290" s="581">
        <v>0</v>
      </c>
      <c r="N290" s="581">
        <v>0</v>
      </c>
      <c r="O290" s="581">
        <v>4.5987107664721103</v>
      </c>
      <c r="P290" s="581">
        <v>0</v>
      </c>
      <c r="Q290" s="289">
        <f t="shared" si="12"/>
        <v>4.5987107664721103</v>
      </c>
      <c r="R290" s="582">
        <f t="shared" si="13"/>
        <v>3.4929349068626883E-3</v>
      </c>
      <c r="S290" s="288"/>
      <c r="T290" s="287"/>
      <c r="U290" s="583">
        <f t="shared" si="14"/>
        <v>0</v>
      </c>
      <c r="V290" s="286"/>
    </row>
    <row r="291" spans="7:22" x14ac:dyDescent="0.2">
      <c r="G291" s="290"/>
      <c r="H291" s="577">
        <v>281</v>
      </c>
      <c r="I291" s="578">
        <v>0</v>
      </c>
      <c r="J291" s="578">
        <v>0</v>
      </c>
      <c r="K291" s="578">
        <v>0</v>
      </c>
      <c r="L291" s="578">
        <v>0</v>
      </c>
      <c r="M291" s="578">
        <v>0</v>
      </c>
      <c r="N291" s="578">
        <v>0</v>
      </c>
      <c r="O291" s="578">
        <v>4.5912035317804101</v>
      </c>
      <c r="P291" s="578">
        <v>0</v>
      </c>
      <c r="Q291" s="293">
        <f t="shared" si="12"/>
        <v>4.5912035317804101</v>
      </c>
      <c r="R291" s="579">
        <f t="shared" si="13"/>
        <v>3.3856629248899656E-3</v>
      </c>
      <c r="S291" s="292"/>
      <c r="T291" s="291"/>
      <c r="U291" s="580">
        <f t="shared" si="14"/>
        <v>0</v>
      </c>
      <c r="V291" s="286"/>
    </row>
    <row r="292" spans="7:22" x14ac:dyDescent="0.2">
      <c r="G292" s="290"/>
      <c r="H292" s="575">
        <v>282</v>
      </c>
      <c r="I292" s="581">
        <v>0</v>
      </c>
      <c r="J292" s="581">
        <v>0</v>
      </c>
      <c r="K292" s="581">
        <v>0</v>
      </c>
      <c r="L292" s="581">
        <v>0</v>
      </c>
      <c r="M292" s="581">
        <v>0</v>
      </c>
      <c r="N292" s="581">
        <v>0.57363289340101509</v>
      </c>
      <c r="O292" s="581">
        <v>4.5854351120058299</v>
      </c>
      <c r="P292" s="581">
        <v>5.73632893401015E-2</v>
      </c>
      <c r="Q292" s="289">
        <f t="shared" si="12"/>
        <v>5.2164312947469469</v>
      </c>
      <c r="R292" s="582">
        <f t="shared" si="13"/>
        <v>3.7346803697676199E-3</v>
      </c>
      <c r="S292" s="288"/>
      <c r="T292" s="287"/>
      <c r="U292" s="583">
        <f t="shared" si="14"/>
        <v>0</v>
      </c>
      <c r="V292" s="286"/>
    </row>
    <row r="293" spans="7:22" x14ac:dyDescent="0.2">
      <c r="G293" s="290"/>
      <c r="H293" s="577">
        <v>283</v>
      </c>
      <c r="I293" s="578">
        <v>0</v>
      </c>
      <c r="J293" s="578">
        <v>0</v>
      </c>
      <c r="K293" s="578">
        <v>0</v>
      </c>
      <c r="L293" s="578">
        <v>0</v>
      </c>
      <c r="M293" s="578">
        <v>0</v>
      </c>
      <c r="N293" s="578">
        <v>0</v>
      </c>
      <c r="O293" s="578">
        <v>4.5882038464680903</v>
      </c>
      <c r="P293" s="578">
        <v>0</v>
      </c>
      <c r="Q293" s="293">
        <f t="shared" si="12"/>
        <v>4.5882038464680903</v>
      </c>
      <c r="R293" s="579">
        <f t="shared" si="13"/>
        <v>3.1892269633680263E-3</v>
      </c>
      <c r="S293" s="292"/>
      <c r="T293" s="291"/>
      <c r="U293" s="580">
        <f t="shared" si="14"/>
        <v>0</v>
      </c>
      <c r="V293" s="286"/>
    </row>
    <row r="294" spans="7:22" x14ac:dyDescent="0.2">
      <c r="G294" s="290"/>
      <c r="H294" s="575">
        <v>284</v>
      </c>
      <c r="I294" s="581">
        <v>0</v>
      </c>
      <c r="J294" s="581">
        <v>0</v>
      </c>
      <c r="K294" s="581">
        <v>0</v>
      </c>
      <c r="L294" s="581">
        <v>0</v>
      </c>
      <c r="M294" s="581">
        <v>0</v>
      </c>
      <c r="N294" s="581">
        <v>0</v>
      </c>
      <c r="O294" s="581">
        <v>4.5820732118329301</v>
      </c>
      <c r="P294" s="581">
        <v>0</v>
      </c>
      <c r="Q294" s="289">
        <f t="shared" si="12"/>
        <v>4.5820732118329301</v>
      </c>
      <c r="R294" s="582">
        <f t="shared" si="13"/>
        <v>3.0921996155683766E-3</v>
      </c>
      <c r="S294" s="288"/>
      <c r="T294" s="287"/>
      <c r="U294" s="583">
        <f t="shared" si="14"/>
        <v>0</v>
      </c>
      <c r="V294" s="286"/>
    </row>
    <row r="295" spans="7:22" x14ac:dyDescent="0.2">
      <c r="G295" s="290"/>
      <c r="H295" s="577">
        <v>285</v>
      </c>
      <c r="I295" s="578">
        <v>0</v>
      </c>
      <c r="J295" s="578">
        <v>0</v>
      </c>
      <c r="K295" s="578">
        <v>0</v>
      </c>
      <c r="L295" s="578">
        <v>0</v>
      </c>
      <c r="M295" s="578">
        <v>0</v>
      </c>
      <c r="N295" s="578">
        <v>0</v>
      </c>
      <c r="O295" s="578">
        <v>4.5776885200995503</v>
      </c>
      <c r="P295" s="578">
        <v>0</v>
      </c>
      <c r="Q295" s="293">
        <f t="shared" si="12"/>
        <v>4.5776885200995503</v>
      </c>
      <c r="R295" s="579">
        <f t="shared" si="13"/>
        <v>2.9992627362188835E-3</v>
      </c>
      <c r="S295" s="292"/>
      <c r="T295" s="291"/>
      <c r="U295" s="580">
        <f t="shared" si="14"/>
        <v>0</v>
      </c>
      <c r="V295" s="286"/>
    </row>
    <row r="296" spans="7:22" x14ac:dyDescent="0.2">
      <c r="G296" s="290"/>
      <c r="H296" s="575">
        <v>286</v>
      </c>
      <c r="I296" s="581">
        <v>0</v>
      </c>
      <c r="J296" s="581">
        <v>0</v>
      </c>
      <c r="K296" s="581">
        <v>0</v>
      </c>
      <c r="L296" s="581">
        <v>0</v>
      </c>
      <c r="M296" s="581">
        <v>0</v>
      </c>
      <c r="N296" s="581">
        <v>0</v>
      </c>
      <c r="O296" s="581">
        <v>4.5745118681606005</v>
      </c>
      <c r="P296" s="581">
        <v>0</v>
      </c>
      <c r="Q296" s="289">
        <f t="shared" si="12"/>
        <v>4.5745118681606005</v>
      </c>
      <c r="R296" s="582">
        <f t="shared" si="13"/>
        <v>2.9098848745447189E-3</v>
      </c>
      <c r="S296" s="288"/>
      <c r="T296" s="287"/>
      <c r="U296" s="583">
        <f t="shared" si="14"/>
        <v>0</v>
      </c>
      <c r="V296" s="286"/>
    </row>
    <row r="297" spans="7:22" x14ac:dyDescent="0.2">
      <c r="G297" s="290"/>
      <c r="H297" s="577">
        <v>287</v>
      </c>
      <c r="I297" s="578">
        <v>0</v>
      </c>
      <c r="J297" s="578">
        <v>0</v>
      </c>
      <c r="K297" s="578">
        <v>0</v>
      </c>
      <c r="L297" s="578">
        <v>0</v>
      </c>
      <c r="M297" s="578">
        <v>0</v>
      </c>
      <c r="N297" s="578">
        <v>4.0536724467005101</v>
      </c>
      <c r="O297" s="578">
        <v>4.5721819310917002</v>
      </c>
      <c r="P297" s="578">
        <v>0.40536724467005097</v>
      </c>
      <c r="Q297" s="293">
        <f t="shared" si="12"/>
        <v>9.0312216224622617</v>
      </c>
      <c r="R297" s="579">
        <f t="shared" si="13"/>
        <v>5.5775095622401377E-3</v>
      </c>
      <c r="S297" s="292"/>
      <c r="T297" s="291"/>
      <c r="U297" s="580">
        <f t="shared" si="14"/>
        <v>0</v>
      </c>
      <c r="V297" s="286"/>
    </row>
    <row r="298" spans="7:22" x14ac:dyDescent="0.2">
      <c r="G298" s="290"/>
      <c r="H298" s="575">
        <v>288</v>
      </c>
      <c r="I298" s="581">
        <v>0</v>
      </c>
      <c r="J298" s="581">
        <v>0</v>
      </c>
      <c r="K298" s="581">
        <v>0</v>
      </c>
      <c r="L298" s="581">
        <v>0</v>
      </c>
      <c r="M298" s="581">
        <v>0</v>
      </c>
      <c r="N298" s="581">
        <v>0</v>
      </c>
      <c r="O298" s="581">
        <v>4.6215494142538098</v>
      </c>
      <c r="P298" s="581">
        <v>0</v>
      </c>
      <c r="Q298" s="289">
        <f t="shared" si="12"/>
        <v>4.6215494142538098</v>
      </c>
      <c r="R298" s="582">
        <f t="shared" si="13"/>
        <v>2.7710489650933086E-3</v>
      </c>
      <c r="S298" s="288"/>
      <c r="T298" s="287"/>
      <c r="U298" s="583">
        <f t="shared" si="14"/>
        <v>0</v>
      </c>
      <c r="V298" s="286"/>
    </row>
    <row r="299" spans="7:22" x14ac:dyDescent="0.2">
      <c r="G299" s="290"/>
      <c r="H299" s="577">
        <v>289</v>
      </c>
      <c r="I299" s="578">
        <v>0</v>
      </c>
      <c r="J299" s="578">
        <v>0</v>
      </c>
      <c r="K299" s="578">
        <v>0</v>
      </c>
      <c r="L299" s="578">
        <v>0</v>
      </c>
      <c r="M299" s="578">
        <v>0</v>
      </c>
      <c r="N299" s="578">
        <v>0</v>
      </c>
      <c r="O299" s="578">
        <v>4.6085495926547804</v>
      </c>
      <c r="P299" s="578">
        <v>0</v>
      </c>
      <c r="Q299" s="293">
        <f t="shared" si="12"/>
        <v>4.6085495926547804</v>
      </c>
      <c r="R299" s="579">
        <f t="shared" si="13"/>
        <v>2.6827712254888919E-3</v>
      </c>
      <c r="S299" s="292"/>
      <c r="T299" s="291"/>
      <c r="U299" s="580">
        <f t="shared" si="14"/>
        <v>0</v>
      </c>
      <c r="V299" s="286"/>
    </row>
    <row r="300" spans="7:22" x14ac:dyDescent="0.2">
      <c r="G300" s="290"/>
      <c r="H300" s="575">
        <v>290</v>
      </c>
      <c r="I300" s="581">
        <v>0</v>
      </c>
      <c r="J300" s="581">
        <v>0</v>
      </c>
      <c r="K300" s="581">
        <v>0</v>
      </c>
      <c r="L300" s="581">
        <v>0</v>
      </c>
      <c r="M300" s="581">
        <v>0</v>
      </c>
      <c r="N300" s="581">
        <v>0</v>
      </c>
      <c r="O300" s="581">
        <v>4.5987107664721103</v>
      </c>
      <c r="P300" s="581">
        <v>0</v>
      </c>
      <c r="Q300" s="289">
        <f t="shared" si="12"/>
        <v>4.5987107664721103</v>
      </c>
      <c r="R300" s="582">
        <f t="shared" si="13"/>
        <v>2.5990716093268859E-3</v>
      </c>
      <c r="S300" s="288"/>
      <c r="T300" s="287"/>
      <c r="U300" s="583">
        <f t="shared" si="14"/>
        <v>0</v>
      </c>
      <c r="V300" s="286"/>
    </row>
    <row r="301" spans="7:22" x14ac:dyDescent="0.2">
      <c r="G301" s="290"/>
      <c r="H301" s="577">
        <v>291</v>
      </c>
      <c r="I301" s="578">
        <v>0</v>
      </c>
      <c r="J301" s="578">
        <v>0</v>
      </c>
      <c r="K301" s="578">
        <v>0</v>
      </c>
      <c r="L301" s="578">
        <v>0</v>
      </c>
      <c r="M301" s="578">
        <v>0</v>
      </c>
      <c r="N301" s="578">
        <v>0</v>
      </c>
      <c r="O301" s="578">
        <v>4.5912035317804101</v>
      </c>
      <c r="P301" s="578">
        <v>0</v>
      </c>
      <c r="Q301" s="293">
        <f t="shared" si="12"/>
        <v>4.5912035317804101</v>
      </c>
      <c r="R301" s="579">
        <f t="shared" si="13"/>
        <v>2.5192511803020729E-3</v>
      </c>
      <c r="S301" s="292"/>
      <c r="T301" s="291"/>
      <c r="U301" s="580">
        <f t="shared" si="14"/>
        <v>0</v>
      </c>
      <c r="V301" s="286"/>
    </row>
    <row r="302" spans="7:22" x14ac:dyDescent="0.2">
      <c r="G302" s="290"/>
      <c r="H302" s="575">
        <v>292</v>
      </c>
      <c r="I302" s="581">
        <v>0</v>
      </c>
      <c r="J302" s="581">
        <v>0</v>
      </c>
      <c r="K302" s="581">
        <v>0</v>
      </c>
      <c r="L302" s="581">
        <v>0</v>
      </c>
      <c r="M302" s="581">
        <v>0</v>
      </c>
      <c r="N302" s="581">
        <v>0.57363289340101509</v>
      </c>
      <c r="O302" s="581">
        <v>4.5854351120058299</v>
      </c>
      <c r="P302" s="581">
        <v>5.73632893401015E-2</v>
      </c>
      <c r="Q302" s="289">
        <f t="shared" si="12"/>
        <v>5.2164312947469469</v>
      </c>
      <c r="R302" s="582">
        <f t="shared" si="13"/>
        <v>2.7789529372283369E-3</v>
      </c>
      <c r="S302" s="288"/>
      <c r="T302" s="287"/>
      <c r="U302" s="583">
        <f t="shared" si="14"/>
        <v>0</v>
      </c>
      <c r="V302" s="286"/>
    </row>
    <row r="303" spans="7:22" x14ac:dyDescent="0.2">
      <c r="G303" s="290"/>
      <c r="H303" s="577">
        <v>293</v>
      </c>
      <c r="I303" s="578">
        <v>0</v>
      </c>
      <c r="J303" s="578">
        <v>0</v>
      </c>
      <c r="K303" s="578">
        <v>0</v>
      </c>
      <c r="L303" s="578">
        <v>0</v>
      </c>
      <c r="M303" s="578">
        <v>0</v>
      </c>
      <c r="N303" s="578">
        <v>0</v>
      </c>
      <c r="O303" s="578">
        <v>4.5882038464680903</v>
      </c>
      <c r="P303" s="578">
        <v>0</v>
      </c>
      <c r="Q303" s="293">
        <f t="shared" si="12"/>
        <v>4.5882038464680903</v>
      </c>
      <c r="R303" s="579">
        <f t="shared" si="13"/>
        <v>2.3730843766667101E-3</v>
      </c>
      <c r="S303" s="292"/>
      <c r="T303" s="291"/>
      <c r="U303" s="580">
        <f t="shared" si="14"/>
        <v>0</v>
      </c>
      <c r="V303" s="286"/>
    </row>
    <row r="304" spans="7:22" x14ac:dyDescent="0.2">
      <c r="G304" s="290"/>
      <c r="H304" s="575">
        <v>294</v>
      </c>
      <c r="I304" s="581">
        <v>0</v>
      </c>
      <c r="J304" s="581">
        <v>0</v>
      </c>
      <c r="K304" s="581">
        <v>0</v>
      </c>
      <c r="L304" s="581">
        <v>0</v>
      </c>
      <c r="M304" s="581">
        <v>0</v>
      </c>
      <c r="N304" s="581">
        <v>0</v>
      </c>
      <c r="O304" s="581">
        <v>4.5820732118329301</v>
      </c>
      <c r="P304" s="581">
        <v>0</v>
      </c>
      <c r="Q304" s="289">
        <f t="shared" si="12"/>
        <v>4.5820732118329301</v>
      </c>
      <c r="R304" s="582">
        <f t="shared" si="13"/>
        <v>2.3008869175904223E-3</v>
      </c>
      <c r="S304" s="288"/>
      <c r="T304" s="287"/>
      <c r="U304" s="583">
        <f t="shared" si="14"/>
        <v>0</v>
      </c>
      <c r="V304" s="286"/>
    </row>
    <row r="305" spans="7:22" x14ac:dyDescent="0.2">
      <c r="G305" s="290"/>
      <c r="H305" s="577">
        <v>295</v>
      </c>
      <c r="I305" s="578">
        <v>0</v>
      </c>
      <c r="J305" s="578">
        <v>0</v>
      </c>
      <c r="K305" s="578">
        <v>0</v>
      </c>
      <c r="L305" s="578">
        <v>0</v>
      </c>
      <c r="M305" s="578">
        <v>0</v>
      </c>
      <c r="N305" s="578">
        <v>0</v>
      </c>
      <c r="O305" s="578">
        <v>4.5776885200995503</v>
      </c>
      <c r="P305" s="578">
        <v>0</v>
      </c>
      <c r="Q305" s="293">
        <f t="shared" si="12"/>
        <v>4.5776885200995503</v>
      </c>
      <c r="R305" s="579">
        <f t="shared" si="13"/>
        <v>2.2317331511969734E-3</v>
      </c>
      <c r="S305" s="292"/>
      <c r="T305" s="291"/>
      <c r="U305" s="580">
        <f t="shared" si="14"/>
        <v>0</v>
      </c>
      <c r="V305" s="286"/>
    </row>
    <row r="306" spans="7:22" x14ac:dyDescent="0.2">
      <c r="G306" s="290"/>
      <c r="H306" s="575">
        <v>296</v>
      </c>
      <c r="I306" s="581">
        <v>0</v>
      </c>
      <c r="J306" s="581">
        <v>0</v>
      </c>
      <c r="K306" s="581">
        <v>0</v>
      </c>
      <c r="L306" s="581">
        <v>0</v>
      </c>
      <c r="M306" s="581">
        <v>0</v>
      </c>
      <c r="N306" s="581">
        <v>0</v>
      </c>
      <c r="O306" s="581">
        <v>4.5745118681606005</v>
      </c>
      <c r="P306" s="581">
        <v>0</v>
      </c>
      <c r="Q306" s="289">
        <f t="shared" si="12"/>
        <v>4.5745118681606005</v>
      </c>
      <c r="R306" s="582">
        <f t="shared" si="13"/>
        <v>2.1652276281987465E-3</v>
      </c>
      <c r="S306" s="288"/>
      <c r="T306" s="287"/>
      <c r="U306" s="583">
        <f t="shared" si="14"/>
        <v>0</v>
      </c>
      <c r="V306" s="286"/>
    </row>
    <row r="307" spans="7:22" x14ac:dyDescent="0.2">
      <c r="G307" s="290"/>
      <c r="H307" s="577">
        <v>297</v>
      </c>
      <c r="I307" s="578">
        <v>0</v>
      </c>
      <c r="J307" s="578">
        <v>0</v>
      </c>
      <c r="K307" s="578">
        <v>0</v>
      </c>
      <c r="L307" s="578">
        <v>0</v>
      </c>
      <c r="M307" s="578">
        <v>0</v>
      </c>
      <c r="N307" s="578">
        <v>4.0536724467005101</v>
      </c>
      <c r="O307" s="578">
        <v>4.5721819310917002</v>
      </c>
      <c r="P307" s="578">
        <v>0.40536724467005097</v>
      </c>
      <c r="Q307" s="293">
        <f t="shared" si="12"/>
        <v>9.0312216224622617</v>
      </c>
      <c r="R307" s="579">
        <f t="shared" si="13"/>
        <v>4.1501909255411851E-3</v>
      </c>
      <c r="S307" s="292"/>
      <c r="T307" s="291"/>
      <c r="U307" s="580">
        <f t="shared" si="14"/>
        <v>0</v>
      </c>
      <c r="V307" s="286"/>
    </row>
    <row r="308" spans="7:22" x14ac:dyDescent="0.2">
      <c r="G308" s="290"/>
      <c r="H308" s="575">
        <v>298</v>
      </c>
      <c r="I308" s="581">
        <v>0</v>
      </c>
      <c r="J308" s="581">
        <v>0</v>
      </c>
      <c r="K308" s="581">
        <v>0</v>
      </c>
      <c r="L308" s="581">
        <v>0</v>
      </c>
      <c r="M308" s="581">
        <v>0</v>
      </c>
      <c r="N308" s="581">
        <v>0</v>
      </c>
      <c r="O308" s="581">
        <v>4.6215494142538098</v>
      </c>
      <c r="P308" s="581">
        <v>0</v>
      </c>
      <c r="Q308" s="289">
        <f t="shared" si="12"/>
        <v>4.6215494142538098</v>
      </c>
      <c r="R308" s="582">
        <f t="shared" si="13"/>
        <v>2.0619206728067995E-3</v>
      </c>
      <c r="S308" s="288"/>
      <c r="T308" s="287"/>
      <c r="U308" s="583">
        <f t="shared" si="14"/>
        <v>0</v>
      </c>
      <c r="V308" s="286"/>
    </row>
    <row r="309" spans="7:22" x14ac:dyDescent="0.2">
      <c r="G309" s="290"/>
      <c r="H309" s="577">
        <v>299</v>
      </c>
      <c r="I309" s="578">
        <v>0</v>
      </c>
      <c r="J309" s="578">
        <v>0</v>
      </c>
      <c r="K309" s="578">
        <v>0</v>
      </c>
      <c r="L309" s="578">
        <v>0</v>
      </c>
      <c r="M309" s="578">
        <v>0</v>
      </c>
      <c r="N309" s="578">
        <v>0</v>
      </c>
      <c r="O309" s="578">
        <v>4.6085495926547804</v>
      </c>
      <c r="P309" s="578">
        <v>0</v>
      </c>
      <c r="Q309" s="293">
        <f t="shared" si="12"/>
        <v>4.6085495926547804</v>
      </c>
      <c r="R309" s="579">
        <f t="shared" si="13"/>
        <v>1.9962337439463152E-3</v>
      </c>
      <c r="S309" s="292"/>
      <c r="T309" s="291"/>
      <c r="U309" s="580">
        <f t="shared" si="14"/>
        <v>0</v>
      </c>
      <c r="V309" s="286"/>
    </row>
    <row r="310" spans="7:22" x14ac:dyDescent="0.2">
      <c r="G310" s="290"/>
      <c r="H310" s="575">
        <v>300</v>
      </c>
      <c r="I310" s="581">
        <v>0</v>
      </c>
      <c r="J310" s="581">
        <v>0</v>
      </c>
      <c r="K310" s="581">
        <v>0</v>
      </c>
      <c r="L310" s="581">
        <v>0</v>
      </c>
      <c r="M310" s="581">
        <v>0</v>
      </c>
      <c r="N310" s="581">
        <v>0</v>
      </c>
      <c r="O310" s="581">
        <v>4.5987107664721103</v>
      </c>
      <c r="P310" s="581">
        <v>0</v>
      </c>
      <c r="Q310" s="289">
        <f t="shared" si="12"/>
        <v>4.5987107664721103</v>
      </c>
      <c r="R310" s="582">
        <f t="shared" si="13"/>
        <v>1.9339533688809746E-3</v>
      </c>
      <c r="S310" s="288"/>
      <c r="T310" s="287"/>
      <c r="U310" s="583">
        <f t="shared" si="14"/>
        <v>0</v>
      </c>
      <c r="V310" s="286"/>
    </row>
    <row r="311" spans="7:22" x14ac:dyDescent="0.2">
      <c r="G311" s="290"/>
      <c r="H311" s="577">
        <v>301</v>
      </c>
      <c r="I311" s="578">
        <v>0</v>
      </c>
      <c r="J311" s="578">
        <v>0</v>
      </c>
      <c r="K311" s="578">
        <v>0</v>
      </c>
      <c r="L311" s="578">
        <v>0</v>
      </c>
      <c r="M311" s="578">
        <v>0</v>
      </c>
      <c r="N311" s="578">
        <v>0</v>
      </c>
      <c r="O311" s="578">
        <v>4.5912035317804101</v>
      </c>
      <c r="P311" s="578">
        <v>0</v>
      </c>
      <c r="Q311" s="293">
        <f t="shared" si="12"/>
        <v>4.5912035317804101</v>
      </c>
      <c r="R311" s="579">
        <f t="shared" si="13"/>
        <v>1.8745594733591651E-3</v>
      </c>
      <c r="S311" s="292"/>
      <c r="T311" s="291"/>
      <c r="U311" s="580">
        <f t="shared" si="14"/>
        <v>0</v>
      </c>
      <c r="V311" s="286"/>
    </row>
    <row r="312" spans="7:22" x14ac:dyDescent="0.2">
      <c r="G312" s="290"/>
      <c r="H312" s="575">
        <v>302</v>
      </c>
      <c r="I312" s="581">
        <v>0</v>
      </c>
      <c r="J312" s="581">
        <v>0</v>
      </c>
      <c r="K312" s="581">
        <v>0</v>
      </c>
      <c r="L312" s="581">
        <v>0</v>
      </c>
      <c r="M312" s="581">
        <v>0</v>
      </c>
      <c r="N312" s="581">
        <v>0.57363289340101509</v>
      </c>
      <c r="O312" s="581">
        <v>4.5854351120058299</v>
      </c>
      <c r="P312" s="581">
        <v>5.73632893401015E-2</v>
      </c>
      <c r="Q312" s="289">
        <f t="shared" si="12"/>
        <v>5.2164312947469469</v>
      </c>
      <c r="R312" s="582">
        <f t="shared" si="13"/>
        <v>2.0678019703759868E-3</v>
      </c>
      <c r="S312" s="288"/>
      <c r="T312" s="287"/>
      <c r="U312" s="583">
        <f t="shared" si="14"/>
        <v>0</v>
      </c>
      <c r="V312" s="286"/>
    </row>
    <row r="313" spans="7:22" x14ac:dyDescent="0.2">
      <c r="G313" s="290"/>
      <c r="H313" s="577">
        <v>303</v>
      </c>
      <c r="I313" s="578">
        <v>0</v>
      </c>
      <c r="J313" s="578">
        <v>0</v>
      </c>
      <c r="K313" s="578">
        <v>0</v>
      </c>
      <c r="L313" s="578">
        <v>0</v>
      </c>
      <c r="M313" s="578">
        <v>0</v>
      </c>
      <c r="N313" s="578">
        <v>0</v>
      </c>
      <c r="O313" s="578">
        <v>4.5882038464680903</v>
      </c>
      <c r="P313" s="578">
        <v>0</v>
      </c>
      <c r="Q313" s="293">
        <f t="shared" si="12"/>
        <v>4.5882038464680903</v>
      </c>
      <c r="R313" s="579">
        <f t="shared" si="13"/>
        <v>1.7657976442141871E-3</v>
      </c>
      <c r="S313" s="292"/>
      <c r="T313" s="291"/>
      <c r="U313" s="580">
        <f t="shared" si="14"/>
        <v>0</v>
      </c>
      <c r="V313" s="286"/>
    </row>
    <row r="314" spans="7:22" x14ac:dyDescent="0.2">
      <c r="G314" s="290"/>
      <c r="H314" s="575">
        <v>304</v>
      </c>
      <c r="I314" s="581">
        <v>0</v>
      </c>
      <c r="J314" s="581">
        <v>0</v>
      </c>
      <c r="K314" s="581">
        <v>0</v>
      </c>
      <c r="L314" s="581">
        <v>0</v>
      </c>
      <c r="M314" s="581">
        <v>0</v>
      </c>
      <c r="N314" s="581">
        <v>0</v>
      </c>
      <c r="O314" s="581">
        <v>4.5820732118329301</v>
      </c>
      <c r="P314" s="581">
        <v>0</v>
      </c>
      <c r="Q314" s="289">
        <f t="shared" si="12"/>
        <v>4.5820732118329301</v>
      </c>
      <c r="R314" s="582">
        <f t="shared" si="13"/>
        <v>1.7120759542445161E-3</v>
      </c>
      <c r="S314" s="288"/>
      <c r="T314" s="287"/>
      <c r="U314" s="583">
        <f t="shared" si="14"/>
        <v>0</v>
      </c>
      <c r="V314" s="286"/>
    </row>
    <row r="315" spans="7:22" x14ac:dyDescent="0.2">
      <c r="G315" s="290"/>
      <c r="H315" s="577">
        <v>305</v>
      </c>
      <c r="I315" s="578">
        <v>0</v>
      </c>
      <c r="J315" s="578">
        <v>0</v>
      </c>
      <c r="K315" s="578">
        <v>0</v>
      </c>
      <c r="L315" s="578">
        <v>0</v>
      </c>
      <c r="M315" s="578">
        <v>0</v>
      </c>
      <c r="N315" s="578">
        <v>0</v>
      </c>
      <c r="O315" s="578">
        <v>4.5776885200995503</v>
      </c>
      <c r="P315" s="578">
        <v>0</v>
      </c>
      <c r="Q315" s="293">
        <f t="shared" si="12"/>
        <v>4.5776885200995503</v>
      </c>
      <c r="R315" s="579">
        <f t="shared" si="13"/>
        <v>1.6606190574789614E-3</v>
      </c>
      <c r="S315" s="292"/>
      <c r="T315" s="291"/>
      <c r="U315" s="580">
        <f t="shared" si="14"/>
        <v>0</v>
      </c>
      <c r="V315" s="286"/>
    </row>
    <row r="316" spans="7:22" x14ac:dyDescent="0.2">
      <c r="G316" s="290"/>
      <c r="H316" s="575">
        <v>306</v>
      </c>
      <c r="I316" s="581">
        <v>0</v>
      </c>
      <c r="J316" s="581">
        <v>0</v>
      </c>
      <c r="K316" s="581">
        <v>0</v>
      </c>
      <c r="L316" s="581">
        <v>0</v>
      </c>
      <c r="M316" s="581">
        <v>0</v>
      </c>
      <c r="N316" s="581">
        <v>0</v>
      </c>
      <c r="O316" s="581">
        <v>4.5745118681606005</v>
      </c>
      <c r="P316" s="581">
        <v>0</v>
      </c>
      <c r="Q316" s="289">
        <f t="shared" si="12"/>
        <v>4.5745118681606005</v>
      </c>
      <c r="R316" s="582">
        <f t="shared" si="13"/>
        <v>1.6111327025089563E-3</v>
      </c>
      <c r="S316" s="288"/>
      <c r="T316" s="287"/>
      <c r="U316" s="583">
        <f t="shared" si="14"/>
        <v>0</v>
      </c>
      <c r="V316" s="286"/>
    </row>
    <row r="317" spans="7:22" x14ac:dyDescent="0.2">
      <c r="G317" s="290"/>
      <c r="H317" s="577">
        <v>307</v>
      </c>
      <c r="I317" s="578">
        <v>0</v>
      </c>
      <c r="J317" s="578">
        <v>0</v>
      </c>
      <c r="K317" s="578">
        <v>0</v>
      </c>
      <c r="L317" s="578">
        <v>0</v>
      </c>
      <c r="M317" s="578">
        <v>0</v>
      </c>
      <c r="N317" s="578">
        <v>4.0536724467005101</v>
      </c>
      <c r="O317" s="578">
        <v>4.5721819310917002</v>
      </c>
      <c r="P317" s="578">
        <v>0.40536724467005097</v>
      </c>
      <c r="Q317" s="293">
        <f t="shared" si="12"/>
        <v>9.0312216224622617</v>
      </c>
      <c r="R317" s="579">
        <f t="shared" si="13"/>
        <v>3.0881318133548041E-3</v>
      </c>
      <c r="S317" s="292"/>
      <c r="T317" s="291"/>
      <c r="U317" s="580">
        <f t="shared" si="14"/>
        <v>0</v>
      </c>
      <c r="V317" s="286"/>
    </row>
    <row r="318" spans="7:22" x14ac:dyDescent="0.2">
      <c r="G318" s="290"/>
      <c r="H318" s="575">
        <v>308</v>
      </c>
      <c r="I318" s="581">
        <v>0</v>
      </c>
      <c r="J318" s="581">
        <v>0</v>
      </c>
      <c r="K318" s="581">
        <v>0</v>
      </c>
      <c r="L318" s="581">
        <v>0</v>
      </c>
      <c r="M318" s="581">
        <v>0</v>
      </c>
      <c r="N318" s="581">
        <v>0</v>
      </c>
      <c r="O318" s="581">
        <v>4.6215494142538098</v>
      </c>
      <c r="P318" s="581">
        <v>0</v>
      </c>
      <c r="Q318" s="289">
        <f t="shared" si="12"/>
        <v>4.6215494142538098</v>
      </c>
      <c r="R318" s="582">
        <f t="shared" si="13"/>
        <v>1.5342626256353007E-3</v>
      </c>
      <c r="S318" s="288"/>
      <c r="T318" s="287"/>
      <c r="U318" s="583">
        <f t="shared" si="14"/>
        <v>0</v>
      </c>
      <c r="V318" s="286"/>
    </row>
    <row r="319" spans="7:22" x14ac:dyDescent="0.2">
      <c r="G319" s="290"/>
      <c r="H319" s="577">
        <v>309</v>
      </c>
      <c r="I319" s="578">
        <v>0</v>
      </c>
      <c r="J319" s="578">
        <v>0</v>
      </c>
      <c r="K319" s="578">
        <v>0</v>
      </c>
      <c r="L319" s="578">
        <v>0</v>
      </c>
      <c r="M319" s="578">
        <v>0</v>
      </c>
      <c r="N319" s="578">
        <v>0</v>
      </c>
      <c r="O319" s="578">
        <v>4.6085495926547804</v>
      </c>
      <c r="P319" s="578">
        <v>0</v>
      </c>
      <c r="Q319" s="293">
        <f t="shared" si="12"/>
        <v>4.6085495926547804</v>
      </c>
      <c r="R319" s="579">
        <f t="shared" si="13"/>
        <v>1.4853853815819606E-3</v>
      </c>
      <c r="S319" s="292"/>
      <c r="T319" s="291"/>
      <c r="U319" s="580">
        <f t="shared" si="14"/>
        <v>0</v>
      </c>
      <c r="V319" s="286"/>
    </row>
    <row r="320" spans="7:22" x14ac:dyDescent="0.2">
      <c r="G320" s="290"/>
      <c r="H320" s="575">
        <v>310</v>
      </c>
      <c r="I320" s="581">
        <v>0</v>
      </c>
      <c r="J320" s="581">
        <v>0</v>
      </c>
      <c r="K320" s="581">
        <v>0</v>
      </c>
      <c r="L320" s="581">
        <v>0</v>
      </c>
      <c r="M320" s="581">
        <v>0</v>
      </c>
      <c r="N320" s="581">
        <v>0</v>
      </c>
      <c r="O320" s="581">
        <v>4.5987107664721103</v>
      </c>
      <c r="P320" s="581">
        <v>0</v>
      </c>
      <c r="Q320" s="289">
        <f t="shared" si="12"/>
        <v>4.5987107664721103</v>
      </c>
      <c r="R320" s="582">
        <f t="shared" si="13"/>
        <v>1.4390429334783551E-3</v>
      </c>
      <c r="S320" s="288"/>
      <c r="T320" s="287"/>
      <c r="U320" s="583">
        <f t="shared" si="14"/>
        <v>0</v>
      </c>
      <c r="V320" s="286"/>
    </row>
    <row r="321" spans="7:22" x14ac:dyDescent="0.2">
      <c r="G321" s="290"/>
      <c r="H321" s="577">
        <v>311</v>
      </c>
      <c r="I321" s="578">
        <v>0</v>
      </c>
      <c r="J321" s="578">
        <v>0</v>
      </c>
      <c r="K321" s="578">
        <v>0</v>
      </c>
      <c r="L321" s="578">
        <v>0</v>
      </c>
      <c r="M321" s="578">
        <v>0</v>
      </c>
      <c r="N321" s="578">
        <v>0</v>
      </c>
      <c r="O321" s="578">
        <v>4.5912035317804101</v>
      </c>
      <c r="P321" s="578">
        <v>0</v>
      </c>
      <c r="Q321" s="293">
        <f t="shared" si="12"/>
        <v>4.5912035317804101</v>
      </c>
      <c r="R321" s="579">
        <f t="shared" si="13"/>
        <v>1.3948482972385647E-3</v>
      </c>
      <c r="S321" s="292"/>
      <c r="T321" s="291"/>
      <c r="U321" s="580">
        <f t="shared" si="14"/>
        <v>0</v>
      </c>
      <c r="V321" s="286"/>
    </row>
    <row r="322" spans="7:22" x14ac:dyDescent="0.2">
      <c r="G322" s="290"/>
      <c r="H322" s="575">
        <v>312</v>
      </c>
      <c r="I322" s="581">
        <v>0</v>
      </c>
      <c r="J322" s="581">
        <v>0</v>
      </c>
      <c r="K322" s="581">
        <v>0</v>
      </c>
      <c r="L322" s="581">
        <v>0</v>
      </c>
      <c r="M322" s="581">
        <v>0</v>
      </c>
      <c r="N322" s="581">
        <v>0.57363289340101509</v>
      </c>
      <c r="O322" s="581">
        <v>4.5854351120058299</v>
      </c>
      <c r="P322" s="581">
        <v>5.73632893401015E-2</v>
      </c>
      <c r="Q322" s="289">
        <f t="shared" si="12"/>
        <v>5.2164312947469469</v>
      </c>
      <c r="R322" s="582">
        <f t="shared" si="13"/>
        <v>1.5386388633682304E-3</v>
      </c>
      <c r="S322" s="288"/>
      <c r="T322" s="287"/>
      <c r="U322" s="583">
        <f t="shared" si="14"/>
        <v>0</v>
      </c>
      <c r="V322" s="286"/>
    </row>
    <row r="323" spans="7:22" x14ac:dyDescent="0.2">
      <c r="G323" s="290"/>
      <c r="H323" s="577">
        <v>313</v>
      </c>
      <c r="I323" s="578">
        <v>0</v>
      </c>
      <c r="J323" s="578">
        <v>0</v>
      </c>
      <c r="K323" s="578">
        <v>0</v>
      </c>
      <c r="L323" s="578">
        <v>0</v>
      </c>
      <c r="M323" s="578">
        <v>0</v>
      </c>
      <c r="N323" s="578">
        <v>0</v>
      </c>
      <c r="O323" s="578">
        <v>4.5882038464680903</v>
      </c>
      <c r="P323" s="578">
        <v>0</v>
      </c>
      <c r="Q323" s="293">
        <f t="shared" si="12"/>
        <v>4.5882038464680903</v>
      </c>
      <c r="R323" s="579">
        <f t="shared" si="13"/>
        <v>1.3139192819987492E-3</v>
      </c>
      <c r="S323" s="292"/>
      <c r="T323" s="291"/>
      <c r="U323" s="580">
        <f t="shared" si="14"/>
        <v>0</v>
      </c>
      <c r="V323" s="286"/>
    </row>
    <row r="324" spans="7:22" x14ac:dyDescent="0.2">
      <c r="G324" s="290"/>
      <c r="H324" s="575">
        <v>314</v>
      </c>
      <c r="I324" s="581">
        <v>0</v>
      </c>
      <c r="J324" s="581">
        <v>0</v>
      </c>
      <c r="K324" s="581">
        <v>0</v>
      </c>
      <c r="L324" s="581">
        <v>0</v>
      </c>
      <c r="M324" s="581">
        <v>0</v>
      </c>
      <c r="N324" s="581">
        <v>0</v>
      </c>
      <c r="O324" s="581">
        <v>4.5820732118329301</v>
      </c>
      <c r="P324" s="581">
        <v>0</v>
      </c>
      <c r="Q324" s="289">
        <f t="shared" si="12"/>
        <v>4.5820732118329301</v>
      </c>
      <c r="R324" s="582">
        <f t="shared" si="13"/>
        <v>1.2739452993943488E-3</v>
      </c>
      <c r="S324" s="288"/>
      <c r="T324" s="287"/>
      <c r="U324" s="583">
        <f t="shared" si="14"/>
        <v>0</v>
      </c>
      <c r="V324" s="286"/>
    </row>
    <row r="325" spans="7:22" x14ac:dyDescent="0.2">
      <c r="G325" s="290"/>
      <c r="H325" s="577">
        <v>315</v>
      </c>
      <c r="I325" s="578">
        <v>0</v>
      </c>
      <c r="J325" s="578">
        <v>0</v>
      </c>
      <c r="K325" s="578">
        <v>0</v>
      </c>
      <c r="L325" s="578">
        <v>0</v>
      </c>
      <c r="M325" s="578">
        <v>0</v>
      </c>
      <c r="N325" s="578">
        <v>0</v>
      </c>
      <c r="O325" s="578">
        <v>4.5776885200995503</v>
      </c>
      <c r="P325" s="578">
        <v>0</v>
      </c>
      <c r="Q325" s="293">
        <f t="shared" si="12"/>
        <v>4.5776885200995503</v>
      </c>
      <c r="R325" s="579">
        <f t="shared" si="13"/>
        <v>1.2356565356316303E-3</v>
      </c>
      <c r="S325" s="292"/>
      <c r="T325" s="291"/>
      <c r="U325" s="580">
        <f t="shared" si="14"/>
        <v>0</v>
      </c>
      <c r="V325" s="286"/>
    </row>
    <row r="326" spans="7:22" x14ac:dyDescent="0.2">
      <c r="G326" s="290"/>
      <c r="H326" s="575">
        <v>316</v>
      </c>
      <c r="I326" s="581">
        <v>0</v>
      </c>
      <c r="J326" s="581">
        <v>0</v>
      </c>
      <c r="K326" s="581">
        <v>0</v>
      </c>
      <c r="L326" s="581">
        <v>0</v>
      </c>
      <c r="M326" s="581">
        <v>0</v>
      </c>
      <c r="N326" s="581">
        <v>0</v>
      </c>
      <c r="O326" s="581">
        <v>4.5745118681606005</v>
      </c>
      <c r="P326" s="581">
        <v>0</v>
      </c>
      <c r="Q326" s="289">
        <f t="shared" si="12"/>
        <v>4.5745118681606005</v>
      </c>
      <c r="R326" s="582">
        <f t="shared" si="13"/>
        <v>1.1988340400280299E-3</v>
      </c>
      <c r="S326" s="288"/>
      <c r="T326" s="287"/>
      <c r="U326" s="583">
        <f t="shared" si="14"/>
        <v>0</v>
      </c>
      <c r="V326" s="286"/>
    </row>
    <row r="327" spans="7:22" x14ac:dyDescent="0.2">
      <c r="G327" s="290"/>
      <c r="H327" s="577">
        <v>317</v>
      </c>
      <c r="I327" s="578">
        <v>0</v>
      </c>
      <c r="J327" s="578">
        <v>0</v>
      </c>
      <c r="K327" s="578">
        <v>0</v>
      </c>
      <c r="L327" s="578">
        <v>0</v>
      </c>
      <c r="M327" s="578">
        <v>0</v>
      </c>
      <c r="N327" s="578">
        <v>4.0536724467005101</v>
      </c>
      <c r="O327" s="578">
        <v>4.5721819310917002</v>
      </c>
      <c r="P327" s="578">
        <v>0.40536724467005097</v>
      </c>
      <c r="Q327" s="293">
        <f t="shared" si="12"/>
        <v>9.0312216224622617</v>
      </c>
      <c r="R327" s="579">
        <f t="shared" si="13"/>
        <v>2.2978600907162996E-3</v>
      </c>
      <c r="S327" s="292"/>
      <c r="T327" s="291"/>
      <c r="U327" s="580">
        <f t="shared" si="14"/>
        <v>0</v>
      </c>
      <c r="V327" s="286"/>
    </row>
    <row r="328" spans="7:22" x14ac:dyDescent="0.2">
      <c r="G328" s="290"/>
      <c r="H328" s="575">
        <v>318</v>
      </c>
      <c r="I328" s="581">
        <v>0</v>
      </c>
      <c r="J328" s="581">
        <v>0</v>
      </c>
      <c r="K328" s="581">
        <v>0</v>
      </c>
      <c r="L328" s="581">
        <v>0</v>
      </c>
      <c r="M328" s="581">
        <v>0</v>
      </c>
      <c r="N328" s="581">
        <v>0</v>
      </c>
      <c r="O328" s="581">
        <v>4.6215494142538098</v>
      </c>
      <c r="P328" s="581">
        <v>0</v>
      </c>
      <c r="Q328" s="289">
        <f t="shared" si="12"/>
        <v>4.6215494142538098</v>
      </c>
      <c r="R328" s="582">
        <f t="shared" si="13"/>
        <v>1.1416354835886999E-3</v>
      </c>
      <c r="S328" s="288"/>
      <c r="T328" s="287"/>
      <c r="U328" s="583">
        <f t="shared" si="14"/>
        <v>0</v>
      </c>
      <c r="V328" s="286"/>
    </row>
    <row r="329" spans="7:22" x14ac:dyDescent="0.2">
      <c r="G329" s="290"/>
      <c r="H329" s="577">
        <v>319</v>
      </c>
      <c r="I329" s="578">
        <v>0</v>
      </c>
      <c r="J329" s="578">
        <v>0</v>
      </c>
      <c r="K329" s="578">
        <v>0</v>
      </c>
      <c r="L329" s="578">
        <v>0</v>
      </c>
      <c r="M329" s="578">
        <v>0</v>
      </c>
      <c r="N329" s="578">
        <v>0</v>
      </c>
      <c r="O329" s="578">
        <v>4.6085495926547804</v>
      </c>
      <c r="P329" s="578">
        <v>0</v>
      </c>
      <c r="Q329" s="293">
        <f t="shared" si="12"/>
        <v>4.6085495926547804</v>
      </c>
      <c r="R329" s="579">
        <f t="shared" si="13"/>
        <v>1.1052662237116869E-3</v>
      </c>
      <c r="S329" s="292"/>
      <c r="T329" s="291"/>
      <c r="U329" s="580">
        <f t="shared" si="14"/>
        <v>0</v>
      </c>
      <c r="V329" s="286"/>
    </row>
    <row r="330" spans="7:22" x14ac:dyDescent="0.2">
      <c r="G330" s="290"/>
      <c r="H330" s="575">
        <v>320</v>
      </c>
      <c r="I330" s="581">
        <v>0</v>
      </c>
      <c r="J330" s="581">
        <v>0</v>
      </c>
      <c r="K330" s="581">
        <v>0</v>
      </c>
      <c r="L330" s="581">
        <v>0</v>
      </c>
      <c r="M330" s="581">
        <v>0</v>
      </c>
      <c r="N330" s="581">
        <v>0</v>
      </c>
      <c r="O330" s="581">
        <v>4.5987107664721103</v>
      </c>
      <c r="P330" s="581">
        <v>0</v>
      </c>
      <c r="Q330" s="289">
        <f t="shared" si="12"/>
        <v>4.5987107664721103</v>
      </c>
      <c r="R330" s="582">
        <f t="shared" si="13"/>
        <v>1.070783090076377E-3</v>
      </c>
      <c r="S330" s="288"/>
      <c r="T330" s="287"/>
      <c r="U330" s="583">
        <f t="shared" si="14"/>
        <v>0</v>
      </c>
      <c r="V330" s="286"/>
    </row>
    <row r="331" spans="7:22" x14ac:dyDescent="0.2">
      <c r="G331" s="290"/>
      <c r="H331" s="577">
        <v>321</v>
      </c>
      <c r="I331" s="578">
        <v>0</v>
      </c>
      <c r="J331" s="578">
        <v>0</v>
      </c>
      <c r="K331" s="578">
        <v>0</v>
      </c>
      <c r="L331" s="578">
        <v>0</v>
      </c>
      <c r="M331" s="578">
        <v>0</v>
      </c>
      <c r="N331" s="578">
        <v>0</v>
      </c>
      <c r="O331" s="578">
        <v>4.5912035317804101</v>
      </c>
      <c r="P331" s="578">
        <v>0</v>
      </c>
      <c r="Q331" s="293">
        <f t="shared" ref="Q331:Q394" si="15">SUM(I331:P331)</f>
        <v>4.5912035317804101</v>
      </c>
      <c r="R331" s="579">
        <f t="shared" ref="R331:R394" si="16">$Q331/(1+$B$3)^($H331-37)</f>
        <v>1.0378981301792747E-3</v>
      </c>
      <c r="S331" s="292"/>
      <c r="T331" s="291"/>
      <c r="U331" s="580">
        <f t="shared" ref="U331:U394" si="17">$T331/(1+$B$3)^($H331-37)</f>
        <v>0</v>
      </c>
      <c r="V331" s="286"/>
    </row>
    <row r="332" spans="7:22" x14ac:dyDescent="0.2">
      <c r="G332" s="290"/>
      <c r="H332" s="575">
        <v>322</v>
      </c>
      <c r="I332" s="581">
        <v>0</v>
      </c>
      <c r="J332" s="581">
        <v>0</v>
      </c>
      <c r="K332" s="581">
        <v>0</v>
      </c>
      <c r="L332" s="581">
        <v>0</v>
      </c>
      <c r="M332" s="581">
        <v>0</v>
      </c>
      <c r="N332" s="581">
        <v>0.57363289340101509</v>
      </c>
      <c r="O332" s="581">
        <v>4.5854351120058299</v>
      </c>
      <c r="P332" s="581">
        <v>5.73632893401015E-2</v>
      </c>
      <c r="Q332" s="289">
        <f t="shared" si="15"/>
        <v>5.2164312947469469</v>
      </c>
      <c r="R332" s="582">
        <f t="shared" si="16"/>
        <v>1.1448918154559143E-3</v>
      </c>
      <c r="S332" s="288"/>
      <c r="T332" s="287"/>
      <c r="U332" s="583">
        <f t="shared" si="17"/>
        <v>0</v>
      </c>
      <c r="V332" s="286"/>
    </row>
    <row r="333" spans="7:22" x14ac:dyDescent="0.2">
      <c r="G333" s="290"/>
      <c r="H333" s="577">
        <v>323</v>
      </c>
      <c r="I333" s="578">
        <v>0</v>
      </c>
      <c r="J333" s="578">
        <v>0</v>
      </c>
      <c r="K333" s="578">
        <v>0</v>
      </c>
      <c r="L333" s="578">
        <v>0</v>
      </c>
      <c r="M333" s="578">
        <v>0</v>
      </c>
      <c r="N333" s="578">
        <v>0</v>
      </c>
      <c r="O333" s="578">
        <v>4.5882038464680903</v>
      </c>
      <c r="P333" s="578">
        <v>0</v>
      </c>
      <c r="Q333" s="293">
        <f t="shared" si="15"/>
        <v>4.5882038464680903</v>
      </c>
      <c r="R333" s="579">
        <f t="shared" si="16"/>
        <v>9.7767934240074357E-4</v>
      </c>
      <c r="S333" s="292"/>
      <c r="T333" s="291"/>
      <c r="U333" s="580">
        <f t="shared" si="17"/>
        <v>0</v>
      </c>
      <c r="V333" s="286"/>
    </row>
    <row r="334" spans="7:22" x14ac:dyDescent="0.2">
      <c r="G334" s="290"/>
      <c r="H334" s="575">
        <v>324</v>
      </c>
      <c r="I334" s="581">
        <v>0</v>
      </c>
      <c r="J334" s="581">
        <v>0</v>
      </c>
      <c r="K334" s="581">
        <v>0</v>
      </c>
      <c r="L334" s="581">
        <v>0</v>
      </c>
      <c r="M334" s="581">
        <v>0</v>
      </c>
      <c r="N334" s="581">
        <v>0</v>
      </c>
      <c r="O334" s="581">
        <v>4.5820732118329301</v>
      </c>
      <c r="P334" s="581">
        <v>0</v>
      </c>
      <c r="Q334" s="289">
        <f t="shared" si="15"/>
        <v>4.5820732118329301</v>
      </c>
      <c r="R334" s="582">
        <f t="shared" si="16"/>
        <v>9.4793494519062151E-4</v>
      </c>
      <c r="S334" s="288"/>
      <c r="T334" s="287"/>
      <c r="U334" s="583">
        <f t="shared" si="17"/>
        <v>0</v>
      </c>
      <c r="V334" s="286"/>
    </row>
    <row r="335" spans="7:22" x14ac:dyDescent="0.2">
      <c r="G335" s="290"/>
      <c r="H335" s="577">
        <v>325</v>
      </c>
      <c r="I335" s="578">
        <v>0</v>
      </c>
      <c r="J335" s="578">
        <v>0</v>
      </c>
      <c r="K335" s="578">
        <v>0</v>
      </c>
      <c r="L335" s="578">
        <v>0</v>
      </c>
      <c r="M335" s="578">
        <v>0</v>
      </c>
      <c r="N335" s="578">
        <v>0</v>
      </c>
      <c r="O335" s="578">
        <v>4.5776885200995503</v>
      </c>
      <c r="P335" s="578">
        <v>0</v>
      </c>
      <c r="Q335" s="293">
        <f t="shared" si="15"/>
        <v>4.5776885200995503</v>
      </c>
      <c r="R335" s="579">
        <f t="shared" si="16"/>
        <v>9.1944450906586471E-4</v>
      </c>
      <c r="S335" s="292"/>
      <c r="T335" s="291"/>
      <c r="U335" s="580">
        <f t="shared" si="17"/>
        <v>0</v>
      </c>
      <c r="V335" s="286"/>
    </row>
    <row r="336" spans="7:22" x14ac:dyDescent="0.2">
      <c r="G336" s="290"/>
      <c r="H336" s="575">
        <v>326</v>
      </c>
      <c r="I336" s="581">
        <v>0</v>
      </c>
      <c r="J336" s="581">
        <v>0</v>
      </c>
      <c r="K336" s="581">
        <v>0</v>
      </c>
      <c r="L336" s="581">
        <v>0</v>
      </c>
      <c r="M336" s="581">
        <v>0</v>
      </c>
      <c r="N336" s="581">
        <v>0</v>
      </c>
      <c r="O336" s="581">
        <v>4.5745118681606005</v>
      </c>
      <c r="P336" s="581">
        <v>0</v>
      </c>
      <c r="Q336" s="289">
        <f t="shared" si="15"/>
        <v>4.5745118681606005</v>
      </c>
      <c r="R336" s="582">
        <f t="shared" si="16"/>
        <v>8.9204511415591438E-4</v>
      </c>
      <c r="S336" s="288"/>
      <c r="T336" s="287"/>
      <c r="U336" s="583">
        <f t="shared" si="17"/>
        <v>0</v>
      </c>
      <c r="V336" s="286"/>
    </row>
    <row r="337" spans="7:22" x14ac:dyDescent="0.2">
      <c r="G337" s="290"/>
      <c r="H337" s="577">
        <v>327</v>
      </c>
      <c r="I337" s="578">
        <v>0</v>
      </c>
      <c r="J337" s="578">
        <v>0</v>
      </c>
      <c r="K337" s="578">
        <v>0</v>
      </c>
      <c r="L337" s="578">
        <v>0</v>
      </c>
      <c r="M337" s="578">
        <v>0</v>
      </c>
      <c r="N337" s="578">
        <v>4.0536724467005101</v>
      </c>
      <c r="O337" s="578">
        <v>4.5721819310917002</v>
      </c>
      <c r="P337" s="578">
        <v>0.40536724467005097</v>
      </c>
      <c r="Q337" s="293">
        <f t="shared" si="15"/>
        <v>9.0312216224622617</v>
      </c>
      <c r="R337" s="579">
        <f t="shared" si="16"/>
        <v>1.7098237107860356E-3</v>
      </c>
      <c r="S337" s="292"/>
      <c r="T337" s="291"/>
      <c r="U337" s="580">
        <f t="shared" si="17"/>
        <v>0</v>
      </c>
      <c r="V337" s="286"/>
    </row>
    <row r="338" spans="7:22" x14ac:dyDescent="0.2">
      <c r="G338" s="290"/>
      <c r="H338" s="575">
        <v>328</v>
      </c>
      <c r="I338" s="581">
        <v>0</v>
      </c>
      <c r="J338" s="581">
        <v>0</v>
      </c>
      <c r="K338" s="581">
        <v>0</v>
      </c>
      <c r="L338" s="581">
        <v>0</v>
      </c>
      <c r="M338" s="581">
        <v>0</v>
      </c>
      <c r="N338" s="581">
        <v>0</v>
      </c>
      <c r="O338" s="581">
        <v>4.6215494142538098</v>
      </c>
      <c r="P338" s="581">
        <v>0</v>
      </c>
      <c r="Q338" s="289">
        <f t="shared" si="15"/>
        <v>4.6215494142538098</v>
      </c>
      <c r="R338" s="582">
        <f t="shared" si="16"/>
        <v>8.4948401636853182E-4</v>
      </c>
      <c r="S338" s="288"/>
      <c r="T338" s="287"/>
      <c r="U338" s="583">
        <f t="shared" si="17"/>
        <v>0</v>
      </c>
      <c r="V338" s="286"/>
    </row>
    <row r="339" spans="7:22" x14ac:dyDescent="0.2">
      <c r="G339" s="290"/>
      <c r="H339" s="577">
        <v>329</v>
      </c>
      <c r="I339" s="578">
        <v>0</v>
      </c>
      <c r="J339" s="578">
        <v>0</v>
      </c>
      <c r="K339" s="578">
        <v>0</v>
      </c>
      <c r="L339" s="578">
        <v>0</v>
      </c>
      <c r="M339" s="578">
        <v>0</v>
      </c>
      <c r="N339" s="578">
        <v>0</v>
      </c>
      <c r="O339" s="578">
        <v>4.6085495926547804</v>
      </c>
      <c r="P339" s="578">
        <v>0</v>
      </c>
      <c r="Q339" s="293">
        <f t="shared" si="15"/>
        <v>4.6085495926547804</v>
      </c>
      <c r="R339" s="579">
        <f t="shared" si="16"/>
        <v>8.2242187140474897E-4</v>
      </c>
      <c r="S339" s="292"/>
      <c r="T339" s="291"/>
      <c r="U339" s="580">
        <f t="shared" si="17"/>
        <v>0</v>
      </c>
      <c r="V339" s="286"/>
    </row>
    <row r="340" spans="7:22" x14ac:dyDescent="0.2">
      <c r="G340" s="290"/>
      <c r="H340" s="575">
        <v>330</v>
      </c>
      <c r="I340" s="581">
        <v>0</v>
      </c>
      <c r="J340" s="581">
        <v>0</v>
      </c>
      <c r="K340" s="581">
        <v>0</v>
      </c>
      <c r="L340" s="581">
        <v>0</v>
      </c>
      <c r="M340" s="581">
        <v>0</v>
      </c>
      <c r="N340" s="581">
        <v>0</v>
      </c>
      <c r="O340" s="581">
        <v>4.5987107664721103</v>
      </c>
      <c r="P340" s="581">
        <v>0</v>
      </c>
      <c r="Q340" s="289">
        <f t="shared" si="15"/>
        <v>4.5987107664721103</v>
      </c>
      <c r="R340" s="582">
        <f t="shared" si="16"/>
        <v>7.9676318150014426E-4</v>
      </c>
      <c r="S340" s="288"/>
      <c r="T340" s="287"/>
      <c r="U340" s="583">
        <f t="shared" si="17"/>
        <v>0</v>
      </c>
      <c r="V340" s="286"/>
    </row>
    <row r="341" spans="7:22" x14ac:dyDescent="0.2">
      <c r="G341" s="290"/>
      <c r="H341" s="577">
        <v>331</v>
      </c>
      <c r="I341" s="578">
        <v>0</v>
      </c>
      <c r="J341" s="578">
        <v>0</v>
      </c>
      <c r="K341" s="578">
        <v>0</v>
      </c>
      <c r="L341" s="578">
        <v>0</v>
      </c>
      <c r="M341" s="578">
        <v>0</v>
      </c>
      <c r="N341" s="578">
        <v>0</v>
      </c>
      <c r="O341" s="578">
        <v>4.5912035317804101</v>
      </c>
      <c r="P341" s="578">
        <v>0</v>
      </c>
      <c r="Q341" s="293">
        <f t="shared" si="15"/>
        <v>4.5912035317804101</v>
      </c>
      <c r="R341" s="579">
        <f t="shared" si="16"/>
        <v>7.7229368294908754E-4</v>
      </c>
      <c r="S341" s="292"/>
      <c r="T341" s="291"/>
      <c r="U341" s="580">
        <f t="shared" si="17"/>
        <v>0</v>
      </c>
      <c r="V341" s="286"/>
    </row>
    <row r="342" spans="7:22" x14ac:dyDescent="0.2">
      <c r="G342" s="290"/>
      <c r="H342" s="575">
        <v>332</v>
      </c>
      <c r="I342" s="581">
        <v>0</v>
      </c>
      <c r="J342" s="581">
        <v>0</v>
      </c>
      <c r="K342" s="581">
        <v>0</v>
      </c>
      <c r="L342" s="581">
        <v>0</v>
      </c>
      <c r="M342" s="581">
        <v>0</v>
      </c>
      <c r="N342" s="581">
        <v>0.57363289340101509</v>
      </c>
      <c r="O342" s="581">
        <v>4.5854351120058299</v>
      </c>
      <c r="P342" s="581">
        <v>5.73632893401015E-2</v>
      </c>
      <c r="Q342" s="289">
        <f t="shared" si="15"/>
        <v>5.2164312947469469</v>
      </c>
      <c r="R342" s="582">
        <f t="shared" si="16"/>
        <v>8.5190703309581011E-4</v>
      </c>
      <c r="S342" s="288"/>
      <c r="T342" s="287"/>
      <c r="U342" s="583">
        <f t="shared" si="17"/>
        <v>0</v>
      </c>
      <c r="V342" s="286"/>
    </row>
    <row r="343" spans="7:22" x14ac:dyDescent="0.2">
      <c r="G343" s="290"/>
      <c r="H343" s="577">
        <v>333</v>
      </c>
      <c r="I343" s="578">
        <v>0</v>
      </c>
      <c r="J343" s="578">
        <v>0</v>
      </c>
      <c r="K343" s="578">
        <v>0</v>
      </c>
      <c r="L343" s="578">
        <v>0</v>
      </c>
      <c r="M343" s="578">
        <v>0</v>
      </c>
      <c r="N343" s="578">
        <v>0</v>
      </c>
      <c r="O343" s="578">
        <v>4.5882038464680903</v>
      </c>
      <c r="P343" s="578">
        <v>0</v>
      </c>
      <c r="Q343" s="293">
        <f t="shared" si="15"/>
        <v>4.5882038464680903</v>
      </c>
      <c r="R343" s="579">
        <f t="shared" si="16"/>
        <v>7.2748524940062531E-4</v>
      </c>
      <c r="S343" s="292"/>
      <c r="T343" s="291"/>
      <c r="U343" s="580">
        <f t="shared" si="17"/>
        <v>0</v>
      </c>
      <c r="V343" s="286"/>
    </row>
    <row r="344" spans="7:22" x14ac:dyDescent="0.2">
      <c r="G344" s="290"/>
      <c r="H344" s="575">
        <v>334</v>
      </c>
      <c r="I344" s="581">
        <v>0</v>
      </c>
      <c r="J344" s="581">
        <v>0</v>
      </c>
      <c r="K344" s="581">
        <v>0</v>
      </c>
      <c r="L344" s="581">
        <v>0</v>
      </c>
      <c r="M344" s="581">
        <v>0</v>
      </c>
      <c r="N344" s="581">
        <v>0</v>
      </c>
      <c r="O344" s="581">
        <v>4.5820732118329301</v>
      </c>
      <c r="P344" s="581">
        <v>0</v>
      </c>
      <c r="Q344" s="289">
        <f t="shared" si="15"/>
        <v>4.5820732118329301</v>
      </c>
      <c r="R344" s="582">
        <f t="shared" si="16"/>
        <v>7.0535262443430235E-4</v>
      </c>
      <c r="S344" s="288"/>
      <c r="T344" s="287"/>
      <c r="U344" s="583">
        <f t="shared" si="17"/>
        <v>0</v>
      </c>
      <c r="V344" s="286"/>
    </row>
    <row r="345" spans="7:22" x14ac:dyDescent="0.2">
      <c r="G345" s="290"/>
      <c r="H345" s="577">
        <v>335</v>
      </c>
      <c r="I345" s="578">
        <v>0</v>
      </c>
      <c r="J345" s="578">
        <v>0</v>
      </c>
      <c r="K345" s="578">
        <v>0</v>
      </c>
      <c r="L345" s="578">
        <v>0</v>
      </c>
      <c r="M345" s="578">
        <v>0</v>
      </c>
      <c r="N345" s="578">
        <v>0</v>
      </c>
      <c r="O345" s="578">
        <v>4.5776885200995503</v>
      </c>
      <c r="P345" s="578">
        <v>0</v>
      </c>
      <c r="Q345" s="293">
        <f t="shared" si="15"/>
        <v>4.5776885200995503</v>
      </c>
      <c r="R345" s="579">
        <f t="shared" si="16"/>
        <v>6.8415306428111673E-4</v>
      </c>
      <c r="S345" s="292"/>
      <c r="T345" s="291"/>
      <c r="U345" s="580">
        <f t="shared" si="17"/>
        <v>0</v>
      </c>
      <c r="V345" s="286"/>
    </row>
    <row r="346" spans="7:22" x14ac:dyDescent="0.2">
      <c r="G346" s="290"/>
      <c r="H346" s="575">
        <v>336</v>
      </c>
      <c r="I346" s="581">
        <v>0</v>
      </c>
      <c r="J346" s="581">
        <v>0</v>
      </c>
      <c r="K346" s="581">
        <v>0</v>
      </c>
      <c r="L346" s="581">
        <v>0</v>
      </c>
      <c r="M346" s="581">
        <v>0</v>
      </c>
      <c r="N346" s="581">
        <v>0</v>
      </c>
      <c r="O346" s="581">
        <v>4.5745118681606005</v>
      </c>
      <c r="P346" s="581">
        <v>0</v>
      </c>
      <c r="Q346" s="289">
        <f t="shared" si="15"/>
        <v>4.5745118681606005</v>
      </c>
      <c r="R346" s="582">
        <f t="shared" si="16"/>
        <v>6.6376534125677043E-4</v>
      </c>
      <c r="S346" s="288"/>
      <c r="T346" s="287"/>
      <c r="U346" s="583">
        <f t="shared" si="17"/>
        <v>0</v>
      </c>
      <c r="V346" s="286"/>
    </row>
    <row r="347" spans="7:22" x14ac:dyDescent="0.2">
      <c r="G347" s="290"/>
      <c r="H347" s="577">
        <v>337</v>
      </c>
      <c r="I347" s="578">
        <v>0</v>
      </c>
      <c r="J347" s="578">
        <v>0</v>
      </c>
      <c r="K347" s="578">
        <v>0</v>
      </c>
      <c r="L347" s="578">
        <v>0</v>
      </c>
      <c r="M347" s="578">
        <v>0</v>
      </c>
      <c r="N347" s="578">
        <v>4.0536724467005101</v>
      </c>
      <c r="O347" s="578">
        <v>4.5721819310917002</v>
      </c>
      <c r="P347" s="578">
        <v>0.40536724467005097</v>
      </c>
      <c r="Q347" s="293">
        <f t="shared" si="15"/>
        <v>9.0312216224622617</v>
      </c>
      <c r="R347" s="579">
        <f t="shared" si="16"/>
        <v>1.2722694187420271E-3</v>
      </c>
      <c r="S347" s="292"/>
      <c r="T347" s="291"/>
      <c r="U347" s="580">
        <f t="shared" si="17"/>
        <v>0</v>
      </c>
      <c r="V347" s="286"/>
    </row>
    <row r="348" spans="7:22" x14ac:dyDescent="0.2">
      <c r="G348" s="290"/>
      <c r="H348" s="575">
        <v>338</v>
      </c>
      <c r="I348" s="581">
        <v>0</v>
      </c>
      <c r="J348" s="581">
        <v>0</v>
      </c>
      <c r="K348" s="581">
        <v>0</v>
      </c>
      <c r="L348" s="581">
        <v>0</v>
      </c>
      <c r="M348" s="581">
        <v>0</v>
      </c>
      <c r="N348" s="581">
        <v>0</v>
      </c>
      <c r="O348" s="581">
        <v>4.6215494142538098</v>
      </c>
      <c r="P348" s="581">
        <v>0</v>
      </c>
      <c r="Q348" s="289">
        <f t="shared" si="15"/>
        <v>4.6215494142538098</v>
      </c>
      <c r="R348" s="582">
        <f t="shared" si="16"/>
        <v>6.3209588738185468E-4</v>
      </c>
      <c r="S348" s="288"/>
      <c r="T348" s="287"/>
      <c r="U348" s="583">
        <f t="shared" si="17"/>
        <v>0</v>
      </c>
      <c r="V348" s="286"/>
    </row>
    <row r="349" spans="7:22" x14ac:dyDescent="0.2">
      <c r="G349" s="290"/>
      <c r="H349" s="577">
        <v>339</v>
      </c>
      <c r="I349" s="578">
        <v>0</v>
      </c>
      <c r="J349" s="578">
        <v>0</v>
      </c>
      <c r="K349" s="578">
        <v>0</v>
      </c>
      <c r="L349" s="578">
        <v>0</v>
      </c>
      <c r="M349" s="578">
        <v>0</v>
      </c>
      <c r="N349" s="578">
        <v>0</v>
      </c>
      <c r="O349" s="578">
        <v>4.6085495926547804</v>
      </c>
      <c r="P349" s="578">
        <v>0</v>
      </c>
      <c r="Q349" s="293">
        <f t="shared" si="15"/>
        <v>4.6085495926547804</v>
      </c>
      <c r="R349" s="579">
        <f t="shared" si="16"/>
        <v>6.1195910999025088E-4</v>
      </c>
      <c r="S349" s="292"/>
      <c r="T349" s="291"/>
      <c r="U349" s="580">
        <f t="shared" si="17"/>
        <v>0</v>
      </c>
      <c r="V349" s="286"/>
    </row>
    <row r="350" spans="7:22" x14ac:dyDescent="0.2">
      <c r="G350" s="290"/>
      <c r="H350" s="575">
        <v>340</v>
      </c>
      <c r="I350" s="581">
        <v>0</v>
      </c>
      <c r="J350" s="581">
        <v>0</v>
      </c>
      <c r="K350" s="581">
        <v>0</v>
      </c>
      <c r="L350" s="581">
        <v>0</v>
      </c>
      <c r="M350" s="581">
        <v>0</v>
      </c>
      <c r="N350" s="581">
        <v>0</v>
      </c>
      <c r="O350" s="581">
        <v>4.5987107664721103</v>
      </c>
      <c r="P350" s="581">
        <v>0</v>
      </c>
      <c r="Q350" s="289">
        <f t="shared" si="15"/>
        <v>4.5987107664721103</v>
      </c>
      <c r="R350" s="582">
        <f t="shared" si="16"/>
        <v>5.9286663496801225E-4</v>
      </c>
      <c r="S350" s="288"/>
      <c r="T350" s="287"/>
      <c r="U350" s="583">
        <f t="shared" si="17"/>
        <v>0</v>
      </c>
      <c r="V350" s="286"/>
    </row>
    <row r="351" spans="7:22" x14ac:dyDescent="0.2">
      <c r="G351" s="290"/>
      <c r="H351" s="577">
        <v>341</v>
      </c>
      <c r="I351" s="578">
        <v>0</v>
      </c>
      <c r="J351" s="578">
        <v>0</v>
      </c>
      <c r="K351" s="578">
        <v>0</v>
      </c>
      <c r="L351" s="578">
        <v>0</v>
      </c>
      <c r="M351" s="578">
        <v>0</v>
      </c>
      <c r="N351" s="578">
        <v>0</v>
      </c>
      <c r="O351" s="578">
        <v>4.5912035317804101</v>
      </c>
      <c r="P351" s="578">
        <v>0</v>
      </c>
      <c r="Q351" s="293">
        <f t="shared" si="15"/>
        <v>4.5912035317804101</v>
      </c>
      <c r="R351" s="579">
        <f t="shared" si="16"/>
        <v>5.7465902999559676E-4</v>
      </c>
      <c r="S351" s="292"/>
      <c r="T351" s="291"/>
      <c r="U351" s="580">
        <f t="shared" si="17"/>
        <v>0</v>
      </c>
      <c r="V351" s="286"/>
    </row>
    <row r="352" spans="7:22" x14ac:dyDescent="0.2">
      <c r="G352" s="290"/>
      <c r="H352" s="575">
        <v>342</v>
      </c>
      <c r="I352" s="581">
        <v>0</v>
      </c>
      <c r="J352" s="581">
        <v>0</v>
      </c>
      <c r="K352" s="581">
        <v>0</v>
      </c>
      <c r="L352" s="581">
        <v>0</v>
      </c>
      <c r="M352" s="581">
        <v>0</v>
      </c>
      <c r="N352" s="581">
        <v>0.57363289340101509</v>
      </c>
      <c r="O352" s="581">
        <v>4.5854351120058299</v>
      </c>
      <c r="P352" s="581">
        <v>5.73632893401015E-2</v>
      </c>
      <c r="Q352" s="289">
        <f t="shared" si="15"/>
        <v>5.2164312947469469</v>
      </c>
      <c r="R352" s="582">
        <f t="shared" si="16"/>
        <v>6.3389883938431556E-4</v>
      </c>
      <c r="S352" s="288"/>
      <c r="T352" s="287"/>
      <c r="U352" s="583">
        <f t="shared" si="17"/>
        <v>0</v>
      </c>
      <c r="V352" s="286"/>
    </row>
    <row r="353" spans="7:22" x14ac:dyDescent="0.2">
      <c r="G353" s="290"/>
      <c r="H353" s="577">
        <v>343</v>
      </c>
      <c r="I353" s="578">
        <v>0</v>
      </c>
      <c r="J353" s="578">
        <v>0</v>
      </c>
      <c r="K353" s="578">
        <v>0</v>
      </c>
      <c r="L353" s="578">
        <v>0</v>
      </c>
      <c r="M353" s="578">
        <v>0</v>
      </c>
      <c r="N353" s="578">
        <v>0</v>
      </c>
      <c r="O353" s="578">
        <v>4.5882038464680903</v>
      </c>
      <c r="P353" s="578">
        <v>0</v>
      </c>
      <c r="Q353" s="293">
        <f t="shared" si="15"/>
        <v>4.5882038464680903</v>
      </c>
      <c r="R353" s="579">
        <f t="shared" si="16"/>
        <v>5.4131734725613176E-4</v>
      </c>
      <c r="S353" s="292"/>
      <c r="T353" s="291"/>
      <c r="U353" s="580">
        <f t="shared" si="17"/>
        <v>0</v>
      </c>
      <c r="V353" s="286"/>
    </row>
    <row r="354" spans="7:22" x14ac:dyDescent="0.2">
      <c r="G354" s="290"/>
      <c r="H354" s="575">
        <v>344</v>
      </c>
      <c r="I354" s="581">
        <v>0</v>
      </c>
      <c r="J354" s="581">
        <v>0</v>
      </c>
      <c r="K354" s="581">
        <v>0</v>
      </c>
      <c r="L354" s="581">
        <v>0</v>
      </c>
      <c r="M354" s="581">
        <v>0</v>
      </c>
      <c r="N354" s="581">
        <v>0</v>
      </c>
      <c r="O354" s="581">
        <v>4.5820732118329301</v>
      </c>
      <c r="P354" s="581">
        <v>0</v>
      </c>
      <c r="Q354" s="289">
        <f t="shared" si="15"/>
        <v>4.5820732118329301</v>
      </c>
      <c r="R354" s="582">
        <f t="shared" si="16"/>
        <v>5.2484859569799957E-4</v>
      </c>
      <c r="S354" s="288"/>
      <c r="T354" s="287"/>
      <c r="U354" s="583">
        <f t="shared" si="17"/>
        <v>0</v>
      </c>
      <c r="V354" s="286"/>
    </row>
    <row r="355" spans="7:22" x14ac:dyDescent="0.2">
      <c r="G355" s="290"/>
      <c r="H355" s="577">
        <v>345</v>
      </c>
      <c r="I355" s="578">
        <v>0</v>
      </c>
      <c r="J355" s="578">
        <v>0</v>
      </c>
      <c r="K355" s="578">
        <v>0</v>
      </c>
      <c r="L355" s="578">
        <v>0</v>
      </c>
      <c r="M355" s="578">
        <v>0</v>
      </c>
      <c r="N355" s="578">
        <v>0</v>
      </c>
      <c r="O355" s="578">
        <v>4.5776885200995503</v>
      </c>
      <c r="P355" s="578">
        <v>0</v>
      </c>
      <c r="Q355" s="293">
        <f t="shared" si="15"/>
        <v>4.5776885200995503</v>
      </c>
      <c r="R355" s="579">
        <f t="shared" si="16"/>
        <v>5.0907413198952715E-4</v>
      </c>
      <c r="S355" s="292"/>
      <c r="T355" s="291"/>
      <c r="U355" s="580">
        <f t="shared" si="17"/>
        <v>0</v>
      </c>
      <c r="V355" s="286"/>
    </row>
    <row r="356" spans="7:22" x14ac:dyDescent="0.2">
      <c r="G356" s="290"/>
      <c r="H356" s="575">
        <v>346</v>
      </c>
      <c r="I356" s="581">
        <v>0</v>
      </c>
      <c r="J356" s="581">
        <v>0</v>
      </c>
      <c r="K356" s="581">
        <v>0</v>
      </c>
      <c r="L356" s="581">
        <v>0</v>
      </c>
      <c r="M356" s="581">
        <v>0</v>
      </c>
      <c r="N356" s="581">
        <v>0</v>
      </c>
      <c r="O356" s="581">
        <v>4.5745118681606005</v>
      </c>
      <c r="P356" s="581">
        <v>0</v>
      </c>
      <c r="Q356" s="289">
        <f t="shared" si="15"/>
        <v>4.5745118681606005</v>
      </c>
      <c r="R356" s="582">
        <f t="shared" si="16"/>
        <v>4.9390375134851126E-4</v>
      </c>
      <c r="S356" s="288"/>
      <c r="T356" s="287"/>
      <c r="U356" s="583">
        <f t="shared" si="17"/>
        <v>0</v>
      </c>
      <c r="V356" s="286"/>
    </row>
    <row r="357" spans="7:22" x14ac:dyDescent="0.2">
      <c r="G357" s="290"/>
      <c r="H357" s="577">
        <v>347</v>
      </c>
      <c r="I357" s="578">
        <v>0</v>
      </c>
      <c r="J357" s="578">
        <v>0</v>
      </c>
      <c r="K357" s="578">
        <v>0</v>
      </c>
      <c r="L357" s="578">
        <v>0</v>
      </c>
      <c r="M357" s="578">
        <v>0</v>
      </c>
      <c r="N357" s="578">
        <v>4.0536724467005101</v>
      </c>
      <c r="O357" s="578">
        <v>4.5721819310917002</v>
      </c>
      <c r="P357" s="578">
        <v>0.40536724467005097</v>
      </c>
      <c r="Q357" s="293">
        <f t="shared" si="15"/>
        <v>9.0312216224622617</v>
      </c>
      <c r="R357" s="579">
        <f t="shared" si="16"/>
        <v>9.4668793259513597E-4</v>
      </c>
      <c r="S357" s="292"/>
      <c r="T357" s="291"/>
      <c r="U357" s="580">
        <f t="shared" si="17"/>
        <v>0</v>
      </c>
      <c r="V357" s="286"/>
    </row>
    <row r="358" spans="7:22" x14ac:dyDescent="0.2">
      <c r="G358" s="290"/>
      <c r="H358" s="575">
        <v>348</v>
      </c>
      <c r="I358" s="581">
        <v>0</v>
      </c>
      <c r="J358" s="581">
        <v>0</v>
      </c>
      <c r="K358" s="581">
        <v>0</v>
      </c>
      <c r="L358" s="581">
        <v>0</v>
      </c>
      <c r="M358" s="581">
        <v>0</v>
      </c>
      <c r="N358" s="581">
        <v>0</v>
      </c>
      <c r="O358" s="581">
        <v>4.6215494142538098</v>
      </c>
      <c r="P358" s="581">
        <v>0</v>
      </c>
      <c r="Q358" s="289">
        <f t="shared" si="15"/>
        <v>4.6215494142538098</v>
      </c>
      <c r="R358" s="582">
        <f t="shared" si="16"/>
        <v>4.7033870343208379E-4</v>
      </c>
      <c r="S358" s="288"/>
      <c r="T358" s="287"/>
      <c r="U358" s="583">
        <f t="shared" si="17"/>
        <v>0</v>
      </c>
      <c r="V358" s="286"/>
    </row>
    <row r="359" spans="7:22" x14ac:dyDescent="0.2">
      <c r="G359" s="290"/>
      <c r="H359" s="577">
        <v>349</v>
      </c>
      <c r="I359" s="578">
        <v>0</v>
      </c>
      <c r="J359" s="578">
        <v>0</v>
      </c>
      <c r="K359" s="578">
        <v>0</v>
      </c>
      <c r="L359" s="578">
        <v>0</v>
      </c>
      <c r="M359" s="578">
        <v>0</v>
      </c>
      <c r="N359" s="578">
        <v>0</v>
      </c>
      <c r="O359" s="578">
        <v>4.6085495926547804</v>
      </c>
      <c r="P359" s="578">
        <v>0</v>
      </c>
      <c r="Q359" s="293">
        <f t="shared" si="15"/>
        <v>4.6085495926547804</v>
      </c>
      <c r="R359" s="579">
        <f t="shared" si="16"/>
        <v>4.5535504990936148E-4</v>
      </c>
      <c r="S359" s="292"/>
      <c r="T359" s="291"/>
      <c r="U359" s="580">
        <f t="shared" si="17"/>
        <v>0</v>
      </c>
      <c r="V359" s="286"/>
    </row>
    <row r="360" spans="7:22" x14ac:dyDescent="0.2">
      <c r="G360" s="290"/>
      <c r="H360" s="575">
        <v>350</v>
      </c>
      <c r="I360" s="581">
        <v>0</v>
      </c>
      <c r="J360" s="581">
        <v>0</v>
      </c>
      <c r="K360" s="581">
        <v>0</v>
      </c>
      <c r="L360" s="581">
        <v>0</v>
      </c>
      <c r="M360" s="581">
        <v>0</v>
      </c>
      <c r="N360" s="581">
        <v>0</v>
      </c>
      <c r="O360" s="581">
        <v>4.5987107664721103</v>
      </c>
      <c r="P360" s="581">
        <v>0</v>
      </c>
      <c r="Q360" s="289">
        <f t="shared" si="15"/>
        <v>4.5987107664721103</v>
      </c>
      <c r="R360" s="582">
        <f t="shared" si="16"/>
        <v>4.4114845542499604E-4</v>
      </c>
      <c r="S360" s="288"/>
      <c r="T360" s="287"/>
      <c r="U360" s="583">
        <f t="shared" si="17"/>
        <v>0</v>
      </c>
      <c r="V360" s="286"/>
    </row>
    <row r="361" spans="7:22" x14ac:dyDescent="0.2">
      <c r="G361" s="290"/>
      <c r="H361" s="577">
        <v>351</v>
      </c>
      <c r="I361" s="578">
        <v>0</v>
      </c>
      <c r="J361" s="578">
        <v>0</v>
      </c>
      <c r="K361" s="578">
        <v>0</v>
      </c>
      <c r="L361" s="578">
        <v>0</v>
      </c>
      <c r="M361" s="578">
        <v>0</v>
      </c>
      <c r="N361" s="578">
        <v>0</v>
      </c>
      <c r="O361" s="578">
        <v>4.5912035317804101</v>
      </c>
      <c r="P361" s="578">
        <v>0</v>
      </c>
      <c r="Q361" s="293">
        <f t="shared" si="15"/>
        <v>4.5912035317804101</v>
      </c>
      <c r="R361" s="579">
        <f t="shared" si="16"/>
        <v>4.2760028736017828E-4</v>
      </c>
      <c r="S361" s="292"/>
      <c r="T361" s="291"/>
      <c r="U361" s="580">
        <f t="shared" si="17"/>
        <v>0</v>
      </c>
      <c r="V361" s="286"/>
    </row>
    <row r="362" spans="7:22" x14ac:dyDescent="0.2">
      <c r="G362" s="290"/>
      <c r="H362" s="575">
        <v>352</v>
      </c>
      <c r="I362" s="581">
        <v>0</v>
      </c>
      <c r="J362" s="581">
        <v>0</v>
      </c>
      <c r="K362" s="581">
        <v>0</v>
      </c>
      <c r="L362" s="581">
        <v>0</v>
      </c>
      <c r="M362" s="581">
        <v>0</v>
      </c>
      <c r="N362" s="581">
        <v>0.57363289340101509</v>
      </c>
      <c r="O362" s="581">
        <v>4.5854351120058299</v>
      </c>
      <c r="P362" s="581">
        <v>5.73632893401015E-2</v>
      </c>
      <c r="Q362" s="289">
        <f t="shared" si="15"/>
        <v>5.2164312947469469</v>
      </c>
      <c r="R362" s="582">
        <f t="shared" si="16"/>
        <v>4.7168026904596577E-4</v>
      </c>
      <c r="S362" s="288"/>
      <c r="T362" s="287"/>
      <c r="U362" s="583">
        <f t="shared" si="17"/>
        <v>0</v>
      </c>
      <c r="V362" s="286"/>
    </row>
    <row r="363" spans="7:22" x14ac:dyDescent="0.2">
      <c r="G363" s="290"/>
      <c r="H363" s="577">
        <v>353</v>
      </c>
      <c r="I363" s="578">
        <v>0</v>
      </c>
      <c r="J363" s="578">
        <v>0</v>
      </c>
      <c r="K363" s="578">
        <v>0</v>
      </c>
      <c r="L363" s="578">
        <v>0</v>
      </c>
      <c r="M363" s="578">
        <v>0</v>
      </c>
      <c r="N363" s="578">
        <v>0</v>
      </c>
      <c r="O363" s="578">
        <v>4.5882038464680903</v>
      </c>
      <c r="P363" s="578">
        <v>0</v>
      </c>
      <c r="Q363" s="293">
        <f t="shared" si="15"/>
        <v>4.5882038464680903</v>
      </c>
      <c r="R363" s="579">
        <f t="shared" si="16"/>
        <v>4.0279094412132516E-4</v>
      </c>
      <c r="S363" s="292"/>
      <c r="T363" s="291"/>
      <c r="U363" s="580">
        <f t="shared" si="17"/>
        <v>0</v>
      </c>
      <c r="V363" s="286"/>
    </row>
    <row r="364" spans="7:22" x14ac:dyDescent="0.2">
      <c r="G364" s="290"/>
      <c r="H364" s="575">
        <v>354</v>
      </c>
      <c r="I364" s="581">
        <v>0</v>
      </c>
      <c r="J364" s="581">
        <v>0</v>
      </c>
      <c r="K364" s="581">
        <v>0</v>
      </c>
      <c r="L364" s="581">
        <v>0</v>
      </c>
      <c r="M364" s="581">
        <v>0</v>
      </c>
      <c r="N364" s="581">
        <v>0</v>
      </c>
      <c r="O364" s="581">
        <v>4.5820732118329301</v>
      </c>
      <c r="P364" s="581">
        <v>0</v>
      </c>
      <c r="Q364" s="289">
        <f t="shared" si="15"/>
        <v>4.5820732118329301</v>
      </c>
      <c r="R364" s="582">
        <f t="shared" si="16"/>
        <v>3.9053664630097311E-4</v>
      </c>
      <c r="S364" s="288"/>
      <c r="T364" s="287"/>
      <c r="U364" s="583">
        <f t="shared" si="17"/>
        <v>0</v>
      </c>
      <c r="V364" s="286"/>
    </row>
    <row r="365" spans="7:22" x14ac:dyDescent="0.2">
      <c r="G365" s="290"/>
      <c r="H365" s="577">
        <v>355</v>
      </c>
      <c r="I365" s="578">
        <v>0</v>
      </c>
      <c r="J365" s="578">
        <v>0</v>
      </c>
      <c r="K365" s="578">
        <v>0</v>
      </c>
      <c r="L365" s="578">
        <v>0</v>
      </c>
      <c r="M365" s="578">
        <v>0</v>
      </c>
      <c r="N365" s="578">
        <v>0</v>
      </c>
      <c r="O365" s="578">
        <v>4.5776885200995503</v>
      </c>
      <c r="P365" s="578">
        <v>0</v>
      </c>
      <c r="Q365" s="293">
        <f t="shared" si="15"/>
        <v>4.5776885200995503</v>
      </c>
      <c r="R365" s="579">
        <f t="shared" si="16"/>
        <v>3.787989638447395E-4</v>
      </c>
      <c r="S365" s="292"/>
      <c r="T365" s="291"/>
      <c r="U365" s="580">
        <f t="shared" si="17"/>
        <v>0</v>
      </c>
      <c r="V365" s="286"/>
    </row>
    <row r="366" spans="7:22" x14ac:dyDescent="0.2">
      <c r="G366" s="290"/>
      <c r="H366" s="575">
        <v>356</v>
      </c>
      <c r="I366" s="581">
        <v>0</v>
      </c>
      <c r="J366" s="581">
        <v>0</v>
      </c>
      <c r="K366" s="581">
        <v>0</v>
      </c>
      <c r="L366" s="581">
        <v>0</v>
      </c>
      <c r="M366" s="581">
        <v>0</v>
      </c>
      <c r="N366" s="581">
        <v>0</v>
      </c>
      <c r="O366" s="581">
        <v>4.5745118681606005</v>
      </c>
      <c r="P366" s="581">
        <v>0</v>
      </c>
      <c r="Q366" s="289">
        <f t="shared" si="15"/>
        <v>4.5745118681606005</v>
      </c>
      <c r="R366" s="582">
        <f t="shared" si="16"/>
        <v>3.6751077592309236E-4</v>
      </c>
      <c r="S366" s="288"/>
      <c r="T366" s="287"/>
      <c r="U366" s="583">
        <f t="shared" si="17"/>
        <v>0</v>
      </c>
      <c r="V366" s="286"/>
    </row>
    <row r="367" spans="7:22" x14ac:dyDescent="0.2">
      <c r="G367" s="290"/>
      <c r="H367" s="577">
        <v>357</v>
      </c>
      <c r="I367" s="578">
        <v>0</v>
      </c>
      <c r="J367" s="578">
        <v>0</v>
      </c>
      <c r="K367" s="578">
        <v>0</v>
      </c>
      <c r="L367" s="578">
        <v>0</v>
      </c>
      <c r="M367" s="578">
        <v>0</v>
      </c>
      <c r="N367" s="578">
        <v>4.0536724467005101</v>
      </c>
      <c r="O367" s="578">
        <v>4.5721819310917002</v>
      </c>
      <c r="P367" s="578">
        <v>0.40536724467005097</v>
      </c>
      <c r="Q367" s="293">
        <f t="shared" si="15"/>
        <v>9.0312216224622617</v>
      </c>
      <c r="R367" s="579">
        <f t="shared" si="16"/>
        <v>7.04424729950202E-4</v>
      </c>
      <c r="S367" s="292"/>
      <c r="T367" s="291"/>
      <c r="U367" s="580">
        <f t="shared" si="17"/>
        <v>0</v>
      </c>
      <c r="V367" s="286"/>
    </row>
    <row r="368" spans="7:22" x14ac:dyDescent="0.2">
      <c r="G368" s="290"/>
      <c r="H368" s="575">
        <v>358</v>
      </c>
      <c r="I368" s="581">
        <v>0</v>
      </c>
      <c r="J368" s="581">
        <v>0</v>
      </c>
      <c r="K368" s="581">
        <v>0</v>
      </c>
      <c r="L368" s="581">
        <v>0</v>
      </c>
      <c r="M368" s="581">
        <v>0</v>
      </c>
      <c r="N368" s="581">
        <v>0</v>
      </c>
      <c r="O368" s="581">
        <v>4.6215494142538098</v>
      </c>
      <c r="P368" s="581">
        <v>0</v>
      </c>
      <c r="Q368" s="289">
        <f t="shared" si="15"/>
        <v>4.6215494142538098</v>
      </c>
      <c r="R368" s="582">
        <f t="shared" si="16"/>
        <v>3.4997616716422907E-4</v>
      </c>
      <c r="S368" s="288"/>
      <c r="T368" s="287"/>
      <c r="U368" s="583">
        <f t="shared" si="17"/>
        <v>0</v>
      </c>
      <c r="V368" s="286"/>
    </row>
    <row r="369" spans="7:22" x14ac:dyDescent="0.2">
      <c r="G369" s="290"/>
      <c r="H369" s="577">
        <v>359</v>
      </c>
      <c r="I369" s="578">
        <v>0</v>
      </c>
      <c r="J369" s="578">
        <v>0</v>
      </c>
      <c r="K369" s="578">
        <v>0</v>
      </c>
      <c r="L369" s="578">
        <v>0</v>
      </c>
      <c r="M369" s="578">
        <v>0</v>
      </c>
      <c r="N369" s="578">
        <v>0</v>
      </c>
      <c r="O369" s="578">
        <v>4.6085495926547804</v>
      </c>
      <c r="P369" s="578">
        <v>0</v>
      </c>
      <c r="Q369" s="293">
        <f t="shared" si="15"/>
        <v>4.6085495926547804</v>
      </c>
      <c r="R369" s="579">
        <f t="shared" si="16"/>
        <v>3.3882692175505051E-4</v>
      </c>
      <c r="S369" s="292"/>
      <c r="T369" s="291"/>
      <c r="U369" s="580">
        <f t="shared" si="17"/>
        <v>0</v>
      </c>
      <c r="V369" s="286"/>
    </row>
    <row r="370" spans="7:22" x14ac:dyDescent="0.2">
      <c r="G370" s="290"/>
      <c r="H370" s="575">
        <v>360</v>
      </c>
      <c r="I370" s="581">
        <v>0</v>
      </c>
      <c r="J370" s="581">
        <v>0</v>
      </c>
      <c r="K370" s="581">
        <v>0</v>
      </c>
      <c r="L370" s="581">
        <v>0</v>
      </c>
      <c r="M370" s="581">
        <v>0</v>
      </c>
      <c r="N370" s="581">
        <v>0</v>
      </c>
      <c r="O370" s="581">
        <v>4.5987107664721103</v>
      </c>
      <c r="P370" s="581">
        <v>0</v>
      </c>
      <c r="Q370" s="289">
        <f t="shared" si="15"/>
        <v>4.5987107664721103</v>
      </c>
      <c r="R370" s="582">
        <f t="shared" si="16"/>
        <v>3.2825588124782879E-4</v>
      </c>
      <c r="S370" s="288"/>
      <c r="T370" s="287"/>
      <c r="U370" s="583">
        <f t="shared" si="17"/>
        <v>0</v>
      </c>
      <c r="V370" s="286"/>
    </row>
    <row r="371" spans="7:22" x14ac:dyDescent="0.2">
      <c r="G371" s="290"/>
      <c r="H371" s="577">
        <v>361</v>
      </c>
      <c r="I371" s="578">
        <v>0</v>
      </c>
      <c r="J371" s="578">
        <v>0</v>
      </c>
      <c r="K371" s="578">
        <v>0</v>
      </c>
      <c r="L371" s="578">
        <v>0</v>
      </c>
      <c r="M371" s="578">
        <v>0</v>
      </c>
      <c r="N371" s="578">
        <v>0</v>
      </c>
      <c r="O371" s="578">
        <v>4.5912035317804101</v>
      </c>
      <c r="P371" s="578">
        <v>0</v>
      </c>
      <c r="Q371" s="293">
        <f t="shared" si="15"/>
        <v>4.5912035317804101</v>
      </c>
      <c r="R371" s="579">
        <f t="shared" si="16"/>
        <v>3.1817477183279977E-4</v>
      </c>
      <c r="S371" s="292"/>
      <c r="T371" s="291"/>
      <c r="U371" s="580">
        <f t="shared" si="17"/>
        <v>0</v>
      </c>
      <c r="V371" s="286"/>
    </row>
    <row r="372" spans="7:22" x14ac:dyDescent="0.2">
      <c r="G372" s="290"/>
      <c r="H372" s="575">
        <v>362</v>
      </c>
      <c r="I372" s="581">
        <v>0</v>
      </c>
      <c r="J372" s="581">
        <v>0</v>
      </c>
      <c r="K372" s="581">
        <v>0</v>
      </c>
      <c r="L372" s="581">
        <v>0</v>
      </c>
      <c r="M372" s="581">
        <v>0</v>
      </c>
      <c r="N372" s="581">
        <v>0.57363289340101509</v>
      </c>
      <c r="O372" s="581">
        <v>4.5854351120058299</v>
      </c>
      <c r="P372" s="581">
        <v>5.73632893401015E-2</v>
      </c>
      <c r="Q372" s="289">
        <f t="shared" si="15"/>
        <v>5.2164312947469469</v>
      </c>
      <c r="R372" s="582">
        <f t="shared" si="16"/>
        <v>3.509744179739534E-4</v>
      </c>
      <c r="S372" s="288"/>
      <c r="T372" s="287"/>
      <c r="U372" s="583">
        <f t="shared" si="17"/>
        <v>0</v>
      </c>
      <c r="V372" s="286"/>
    </row>
    <row r="373" spans="7:22" x14ac:dyDescent="0.2">
      <c r="G373" s="290"/>
      <c r="H373" s="577">
        <v>363</v>
      </c>
      <c r="I373" s="578">
        <v>0</v>
      </c>
      <c r="J373" s="578">
        <v>0</v>
      </c>
      <c r="K373" s="578">
        <v>0</v>
      </c>
      <c r="L373" s="578">
        <v>0</v>
      </c>
      <c r="M373" s="578">
        <v>0</v>
      </c>
      <c r="N373" s="578">
        <v>0</v>
      </c>
      <c r="O373" s="578">
        <v>4.5882038464680903</v>
      </c>
      <c r="P373" s="578">
        <v>0</v>
      </c>
      <c r="Q373" s="293">
        <f t="shared" si="15"/>
        <v>4.5882038464680903</v>
      </c>
      <c r="R373" s="579">
        <f t="shared" si="16"/>
        <v>2.9971429049618497E-4</v>
      </c>
      <c r="S373" s="292"/>
      <c r="T373" s="291"/>
      <c r="U373" s="580">
        <f t="shared" si="17"/>
        <v>0</v>
      </c>
      <c r="V373" s="286"/>
    </row>
    <row r="374" spans="7:22" x14ac:dyDescent="0.2">
      <c r="G374" s="290"/>
      <c r="H374" s="575">
        <v>364</v>
      </c>
      <c r="I374" s="581">
        <v>0</v>
      </c>
      <c r="J374" s="581">
        <v>0</v>
      </c>
      <c r="K374" s="581">
        <v>0</v>
      </c>
      <c r="L374" s="581">
        <v>0</v>
      </c>
      <c r="M374" s="581">
        <v>0</v>
      </c>
      <c r="N374" s="581">
        <v>0</v>
      </c>
      <c r="O374" s="581">
        <v>4.5820732118329301</v>
      </c>
      <c r="P374" s="581">
        <v>0</v>
      </c>
      <c r="Q374" s="289">
        <f t="shared" si="15"/>
        <v>4.5820732118329301</v>
      </c>
      <c r="R374" s="582">
        <f t="shared" si="16"/>
        <v>2.9059594205672873E-4</v>
      </c>
      <c r="S374" s="288"/>
      <c r="T374" s="287"/>
      <c r="U374" s="583">
        <f t="shared" si="17"/>
        <v>0</v>
      </c>
      <c r="V374" s="286"/>
    </row>
    <row r="375" spans="7:22" x14ac:dyDescent="0.2">
      <c r="G375" s="290"/>
      <c r="H375" s="577">
        <v>365</v>
      </c>
      <c r="I375" s="578">
        <v>0</v>
      </c>
      <c r="J375" s="578">
        <v>0</v>
      </c>
      <c r="K375" s="578">
        <v>0</v>
      </c>
      <c r="L375" s="578">
        <v>0</v>
      </c>
      <c r="M375" s="578">
        <v>0</v>
      </c>
      <c r="N375" s="578">
        <v>0</v>
      </c>
      <c r="O375" s="578">
        <v>4.5776885200995503</v>
      </c>
      <c r="P375" s="578">
        <v>0</v>
      </c>
      <c r="Q375" s="293">
        <f t="shared" si="15"/>
        <v>4.5776885200995503</v>
      </c>
      <c r="R375" s="579">
        <f t="shared" si="16"/>
        <v>2.8186200396605526E-4</v>
      </c>
      <c r="S375" s="292"/>
      <c r="T375" s="291"/>
      <c r="U375" s="580">
        <f t="shared" si="17"/>
        <v>0</v>
      </c>
      <c r="V375" s="286"/>
    </row>
    <row r="376" spans="7:22" x14ac:dyDescent="0.2">
      <c r="G376" s="290"/>
      <c r="H376" s="575">
        <v>366</v>
      </c>
      <c r="I376" s="581">
        <v>0</v>
      </c>
      <c r="J376" s="581">
        <v>0</v>
      </c>
      <c r="K376" s="581">
        <v>0</v>
      </c>
      <c r="L376" s="581">
        <v>0</v>
      </c>
      <c r="M376" s="581">
        <v>0</v>
      </c>
      <c r="N376" s="581">
        <v>0</v>
      </c>
      <c r="O376" s="581">
        <v>4.5745118681606005</v>
      </c>
      <c r="P376" s="581">
        <v>0</v>
      </c>
      <c r="Q376" s="289">
        <f t="shared" si="15"/>
        <v>4.5745118681606005</v>
      </c>
      <c r="R376" s="582">
        <f t="shared" si="16"/>
        <v>2.7346253202334701E-4</v>
      </c>
      <c r="S376" s="288"/>
      <c r="T376" s="287"/>
      <c r="U376" s="583">
        <f t="shared" si="17"/>
        <v>0</v>
      </c>
      <c r="V376" s="286"/>
    </row>
    <row r="377" spans="7:22" x14ac:dyDescent="0.2">
      <c r="G377" s="290"/>
      <c r="H377" s="577">
        <v>367</v>
      </c>
      <c r="I377" s="578">
        <v>0</v>
      </c>
      <c r="J377" s="578">
        <v>0</v>
      </c>
      <c r="K377" s="578">
        <v>0</v>
      </c>
      <c r="L377" s="578">
        <v>0</v>
      </c>
      <c r="M377" s="578">
        <v>0</v>
      </c>
      <c r="N377" s="578">
        <v>4.0536724467005101</v>
      </c>
      <c r="O377" s="578">
        <v>4.5721819310917002</v>
      </c>
      <c r="P377" s="578">
        <v>0.40536724467005097</v>
      </c>
      <c r="Q377" s="293">
        <f t="shared" si="15"/>
        <v>9.0312216224622617</v>
      </c>
      <c r="R377" s="579">
        <f t="shared" si="16"/>
        <v>5.2415815505871429E-4</v>
      </c>
      <c r="S377" s="292"/>
      <c r="T377" s="291"/>
      <c r="U377" s="580">
        <f t="shared" si="17"/>
        <v>0</v>
      </c>
      <c r="V377" s="286"/>
    </row>
    <row r="378" spans="7:22" x14ac:dyDescent="0.2">
      <c r="G378" s="290"/>
      <c r="H378" s="575">
        <v>368</v>
      </c>
      <c r="I378" s="581">
        <v>0</v>
      </c>
      <c r="J378" s="581">
        <v>0</v>
      </c>
      <c r="K378" s="581">
        <v>0</v>
      </c>
      <c r="L378" s="581">
        <v>0</v>
      </c>
      <c r="M378" s="581">
        <v>0</v>
      </c>
      <c r="N378" s="581">
        <v>0</v>
      </c>
      <c r="O378" s="581">
        <v>4.6215494142538098</v>
      </c>
      <c r="P378" s="581">
        <v>0</v>
      </c>
      <c r="Q378" s="289">
        <f t="shared" si="15"/>
        <v>4.6215494142538098</v>
      </c>
      <c r="R378" s="582">
        <f t="shared" si="16"/>
        <v>2.6041513634578189E-4</v>
      </c>
      <c r="S378" s="288"/>
      <c r="T378" s="287"/>
      <c r="U378" s="583">
        <f t="shared" si="17"/>
        <v>0</v>
      </c>
      <c r="V378" s="286"/>
    </row>
    <row r="379" spans="7:22" x14ac:dyDescent="0.2">
      <c r="G379" s="290"/>
      <c r="H379" s="577">
        <v>369</v>
      </c>
      <c r="I379" s="578">
        <v>0</v>
      </c>
      <c r="J379" s="578">
        <v>0</v>
      </c>
      <c r="K379" s="578">
        <v>0</v>
      </c>
      <c r="L379" s="578">
        <v>0</v>
      </c>
      <c r="M379" s="578">
        <v>0</v>
      </c>
      <c r="N379" s="578">
        <v>0</v>
      </c>
      <c r="O379" s="578">
        <v>4.6085495926547804</v>
      </c>
      <c r="P379" s="578">
        <v>0</v>
      </c>
      <c r="Q379" s="293">
        <f t="shared" si="15"/>
        <v>4.6085495926547804</v>
      </c>
      <c r="R379" s="579">
        <f t="shared" si="16"/>
        <v>2.5211905068112193E-4</v>
      </c>
      <c r="S379" s="292"/>
      <c r="T379" s="291"/>
      <c r="U379" s="580">
        <f t="shared" si="17"/>
        <v>0</v>
      </c>
      <c r="V379" s="286"/>
    </row>
    <row r="380" spans="7:22" x14ac:dyDescent="0.2">
      <c r="G380" s="290"/>
      <c r="H380" s="575">
        <v>370</v>
      </c>
      <c r="I380" s="581">
        <v>0</v>
      </c>
      <c r="J380" s="581">
        <v>0</v>
      </c>
      <c r="K380" s="581">
        <v>0</v>
      </c>
      <c r="L380" s="581">
        <v>0</v>
      </c>
      <c r="M380" s="581">
        <v>0</v>
      </c>
      <c r="N380" s="581">
        <v>0</v>
      </c>
      <c r="O380" s="581">
        <v>4.5987107664721103</v>
      </c>
      <c r="P380" s="581">
        <v>0</v>
      </c>
      <c r="Q380" s="289">
        <f t="shared" si="15"/>
        <v>4.5987107664721103</v>
      </c>
      <c r="R380" s="582">
        <f t="shared" si="16"/>
        <v>2.4425320376557147E-4</v>
      </c>
      <c r="S380" s="288"/>
      <c r="T380" s="287"/>
      <c r="U380" s="583">
        <f t="shared" si="17"/>
        <v>0</v>
      </c>
      <c r="V380" s="286"/>
    </row>
    <row r="381" spans="7:22" x14ac:dyDescent="0.2">
      <c r="G381" s="290"/>
      <c r="H381" s="577">
        <v>371</v>
      </c>
      <c r="I381" s="578">
        <v>0</v>
      </c>
      <c r="J381" s="578">
        <v>0</v>
      </c>
      <c r="K381" s="578">
        <v>0</v>
      </c>
      <c r="L381" s="578">
        <v>0</v>
      </c>
      <c r="M381" s="578">
        <v>0</v>
      </c>
      <c r="N381" s="578">
        <v>0</v>
      </c>
      <c r="O381" s="578">
        <v>4.5912035317804101</v>
      </c>
      <c r="P381" s="578">
        <v>0</v>
      </c>
      <c r="Q381" s="293">
        <f t="shared" si="15"/>
        <v>4.5912035317804101</v>
      </c>
      <c r="R381" s="579">
        <f t="shared" si="16"/>
        <v>2.3675191159444026E-4</v>
      </c>
      <c r="S381" s="292"/>
      <c r="T381" s="291"/>
      <c r="U381" s="580">
        <f t="shared" si="17"/>
        <v>0</v>
      </c>
      <c r="V381" s="286"/>
    </row>
    <row r="382" spans="7:22" x14ac:dyDescent="0.2">
      <c r="G382" s="290"/>
      <c r="H382" s="575">
        <v>372</v>
      </c>
      <c r="I382" s="581">
        <v>0</v>
      </c>
      <c r="J382" s="581">
        <v>0</v>
      </c>
      <c r="K382" s="581">
        <v>0</v>
      </c>
      <c r="L382" s="581">
        <v>0</v>
      </c>
      <c r="M382" s="581">
        <v>0</v>
      </c>
      <c r="N382" s="581">
        <v>0.57363289340101509</v>
      </c>
      <c r="O382" s="581">
        <v>4.5854351120058299</v>
      </c>
      <c r="P382" s="581">
        <v>5.73632893401015E-2</v>
      </c>
      <c r="Q382" s="289">
        <f t="shared" si="15"/>
        <v>5.2164312947469469</v>
      </c>
      <c r="R382" s="582">
        <f t="shared" si="16"/>
        <v>2.6115792869883846E-4</v>
      </c>
      <c r="S382" s="288"/>
      <c r="T382" s="287"/>
      <c r="U382" s="583">
        <f t="shared" si="17"/>
        <v>0</v>
      </c>
      <c r="V382" s="286"/>
    </row>
    <row r="383" spans="7:22" x14ac:dyDescent="0.2">
      <c r="G383" s="290"/>
      <c r="H383" s="577">
        <v>373</v>
      </c>
      <c r="I383" s="578">
        <v>0</v>
      </c>
      <c r="J383" s="578">
        <v>0</v>
      </c>
      <c r="K383" s="578">
        <v>0</v>
      </c>
      <c r="L383" s="578">
        <v>0</v>
      </c>
      <c r="M383" s="578">
        <v>0</v>
      </c>
      <c r="N383" s="578">
        <v>0</v>
      </c>
      <c r="O383" s="578">
        <v>4.5882038464680903</v>
      </c>
      <c r="P383" s="578">
        <v>0</v>
      </c>
      <c r="Q383" s="293">
        <f t="shared" si="15"/>
        <v>4.5882038464680903</v>
      </c>
      <c r="R383" s="579">
        <f t="shared" si="16"/>
        <v>2.2301557976580068E-4</v>
      </c>
      <c r="S383" s="292"/>
      <c r="T383" s="291"/>
      <c r="U383" s="580">
        <f t="shared" si="17"/>
        <v>0</v>
      </c>
      <c r="V383" s="286"/>
    </row>
    <row r="384" spans="7:22" x14ac:dyDescent="0.2">
      <c r="G384" s="290"/>
      <c r="H384" s="575">
        <v>374</v>
      </c>
      <c r="I384" s="581">
        <v>0</v>
      </c>
      <c r="J384" s="581">
        <v>0</v>
      </c>
      <c r="K384" s="581">
        <v>0</v>
      </c>
      <c r="L384" s="581">
        <v>0</v>
      </c>
      <c r="M384" s="581">
        <v>0</v>
      </c>
      <c r="N384" s="581">
        <v>0</v>
      </c>
      <c r="O384" s="581">
        <v>4.5820732118329301</v>
      </c>
      <c r="P384" s="581">
        <v>0</v>
      </c>
      <c r="Q384" s="289">
        <f t="shared" si="15"/>
        <v>4.5820732118329301</v>
      </c>
      <c r="R384" s="582">
        <f t="shared" si="16"/>
        <v>2.162306721780932E-4</v>
      </c>
      <c r="S384" s="288"/>
      <c r="T384" s="287"/>
      <c r="U384" s="583">
        <f t="shared" si="17"/>
        <v>0</v>
      </c>
      <c r="V384" s="286"/>
    </row>
    <row r="385" spans="7:22" x14ac:dyDescent="0.2">
      <c r="G385" s="290"/>
      <c r="H385" s="577">
        <v>375</v>
      </c>
      <c r="I385" s="578">
        <v>0</v>
      </c>
      <c r="J385" s="578">
        <v>0</v>
      </c>
      <c r="K385" s="578">
        <v>0</v>
      </c>
      <c r="L385" s="578">
        <v>0</v>
      </c>
      <c r="M385" s="578">
        <v>0</v>
      </c>
      <c r="N385" s="578">
        <v>0</v>
      </c>
      <c r="O385" s="578">
        <v>4.5776885200995503</v>
      </c>
      <c r="P385" s="578">
        <v>0</v>
      </c>
      <c r="Q385" s="293">
        <f t="shared" si="15"/>
        <v>4.5776885200995503</v>
      </c>
      <c r="R385" s="579">
        <f t="shared" si="16"/>
        <v>2.0973180199173835E-4</v>
      </c>
      <c r="S385" s="292"/>
      <c r="T385" s="291"/>
      <c r="U385" s="580">
        <f t="shared" si="17"/>
        <v>0</v>
      </c>
      <c r="V385" s="286"/>
    </row>
    <row r="386" spans="7:22" x14ac:dyDescent="0.2">
      <c r="G386" s="290"/>
      <c r="H386" s="575">
        <v>376</v>
      </c>
      <c r="I386" s="581">
        <v>0</v>
      </c>
      <c r="J386" s="581">
        <v>0</v>
      </c>
      <c r="K386" s="581">
        <v>0</v>
      </c>
      <c r="L386" s="581">
        <v>0</v>
      </c>
      <c r="M386" s="581">
        <v>0</v>
      </c>
      <c r="N386" s="581">
        <v>0</v>
      </c>
      <c r="O386" s="581">
        <v>4.5745118681606005</v>
      </c>
      <c r="P386" s="581">
        <v>0</v>
      </c>
      <c r="Q386" s="289">
        <f t="shared" si="15"/>
        <v>4.5745118681606005</v>
      </c>
      <c r="R386" s="582">
        <f t="shared" si="16"/>
        <v>2.0348180603082337E-4</v>
      </c>
      <c r="S386" s="288"/>
      <c r="T386" s="287"/>
      <c r="U386" s="583">
        <f t="shared" si="17"/>
        <v>0</v>
      </c>
      <c r="V386" s="286"/>
    </row>
    <row r="387" spans="7:22" x14ac:dyDescent="0.2">
      <c r="G387" s="290"/>
      <c r="H387" s="577">
        <v>377</v>
      </c>
      <c r="I387" s="578">
        <v>0</v>
      </c>
      <c r="J387" s="578">
        <v>0</v>
      </c>
      <c r="K387" s="578">
        <v>0</v>
      </c>
      <c r="L387" s="578">
        <v>0</v>
      </c>
      <c r="M387" s="578">
        <v>0</v>
      </c>
      <c r="N387" s="578">
        <v>4.0536724467005101</v>
      </c>
      <c r="O387" s="578">
        <v>4.5721819310917002</v>
      </c>
      <c r="P387" s="578">
        <v>0.40536724467005097</v>
      </c>
      <c r="Q387" s="293">
        <f t="shared" si="15"/>
        <v>9.0312216224622617</v>
      </c>
      <c r="R387" s="579">
        <f t="shared" si="16"/>
        <v>3.9002289362268341E-4</v>
      </c>
      <c r="S387" s="292"/>
      <c r="T387" s="291"/>
      <c r="U387" s="580">
        <f t="shared" si="17"/>
        <v>0</v>
      </c>
      <c r="V387" s="286"/>
    </row>
    <row r="388" spans="7:22" x14ac:dyDescent="0.2">
      <c r="G388" s="290"/>
      <c r="H388" s="575">
        <v>378</v>
      </c>
      <c r="I388" s="581">
        <v>0</v>
      </c>
      <c r="J388" s="581">
        <v>0</v>
      </c>
      <c r="K388" s="581">
        <v>0</v>
      </c>
      <c r="L388" s="581">
        <v>0</v>
      </c>
      <c r="M388" s="581">
        <v>0</v>
      </c>
      <c r="N388" s="581">
        <v>0</v>
      </c>
      <c r="O388" s="581">
        <v>4.6215494142538098</v>
      </c>
      <c r="P388" s="581">
        <v>0</v>
      </c>
      <c r="Q388" s="289">
        <f t="shared" si="15"/>
        <v>4.6215494142538098</v>
      </c>
      <c r="R388" s="582">
        <f t="shared" si="16"/>
        <v>1.9377331830189738E-4</v>
      </c>
      <c r="S388" s="288"/>
      <c r="T388" s="287"/>
      <c r="U388" s="583">
        <f t="shared" si="17"/>
        <v>0</v>
      </c>
      <c r="V388" s="286"/>
    </row>
    <row r="389" spans="7:22" x14ac:dyDescent="0.2">
      <c r="G389" s="290"/>
      <c r="H389" s="577">
        <v>379</v>
      </c>
      <c r="I389" s="578">
        <v>0</v>
      </c>
      <c r="J389" s="578">
        <v>0</v>
      </c>
      <c r="K389" s="578">
        <v>0</v>
      </c>
      <c r="L389" s="578">
        <v>0</v>
      </c>
      <c r="M389" s="578">
        <v>0</v>
      </c>
      <c r="N389" s="578">
        <v>0</v>
      </c>
      <c r="O389" s="578">
        <v>4.6085495926547804</v>
      </c>
      <c r="P389" s="578">
        <v>0</v>
      </c>
      <c r="Q389" s="293">
        <f t="shared" si="15"/>
        <v>4.6085495926547804</v>
      </c>
      <c r="R389" s="579">
        <f t="shared" si="16"/>
        <v>1.8760025144136191E-4</v>
      </c>
      <c r="S389" s="292"/>
      <c r="T389" s="291"/>
      <c r="U389" s="580">
        <f t="shared" si="17"/>
        <v>0</v>
      </c>
      <c r="V389" s="286"/>
    </row>
    <row r="390" spans="7:22" x14ac:dyDescent="0.2">
      <c r="G390" s="290"/>
      <c r="H390" s="575">
        <v>380</v>
      </c>
      <c r="I390" s="581">
        <v>0</v>
      </c>
      <c r="J390" s="581">
        <v>0</v>
      </c>
      <c r="K390" s="581">
        <v>0</v>
      </c>
      <c r="L390" s="581">
        <v>0</v>
      </c>
      <c r="M390" s="581">
        <v>0</v>
      </c>
      <c r="N390" s="581">
        <v>0</v>
      </c>
      <c r="O390" s="581">
        <v>4.5987107664721103</v>
      </c>
      <c r="P390" s="581">
        <v>0</v>
      </c>
      <c r="Q390" s="289">
        <f t="shared" si="15"/>
        <v>4.5987107664721103</v>
      </c>
      <c r="R390" s="582">
        <f t="shared" si="16"/>
        <v>1.817473226159916E-4</v>
      </c>
      <c r="S390" s="288"/>
      <c r="T390" s="287"/>
      <c r="U390" s="583">
        <f t="shared" si="17"/>
        <v>0</v>
      </c>
      <c r="V390" s="286"/>
    </row>
    <row r="391" spans="7:22" x14ac:dyDescent="0.2">
      <c r="G391" s="290"/>
      <c r="H391" s="577">
        <v>381</v>
      </c>
      <c r="I391" s="578">
        <v>0</v>
      </c>
      <c r="J391" s="578">
        <v>0</v>
      </c>
      <c r="K391" s="578">
        <v>0</v>
      </c>
      <c r="L391" s="578">
        <v>0</v>
      </c>
      <c r="M391" s="578">
        <v>0</v>
      </c>
      <c r="N391" s="578">
        <v>0</v>
      </c>
      <c r="O391" s="578">
        <v>4.5912035317804101</v>
      </c>
      <c r="P391" s="578">
        <v>0</v>
      </c>
      <c r="Q391" s="293">
        <f t="shared" si="15"/>
        <v>4.5912035317804101</v>
      </c>
      <c r="R391" s="579">
        <f t="shared" si="16"/>
        <v>1.7616565675759047E-4</v>
      </c>
      <c r="S391" s="292"/>
      <c r="T391" s="291"/>
      <c r="U391" s="580">
        <f t="shared" si="17"/>
        <v>0</v>
      </c>
      <c r="V391" s="286"/>
    </row>
    <row r="392" spans="7:22" x14ac:dyDescent="0.2">
      <c r="G392" s="290"/>
      <c r="H392" s="575">
        <v>382</v>
      </c>
      <c r="I392" s="581">
        <v>0</v>
      </c>
      <c r="J392" s="581">
        <v>0</v>
      </c>
      <c r="K392" s="581">
        <v>0</v>
      </c>
      <c r="L392" s="581">
        <v>0</v>
      </c>
      <c r="M392" s="581">
        <v>0</v>
      </c>
      <c r="N392" s="581">
        <v>0.57363289340101509</v>
      </c>
      <c r="O392" s="581">
        <v>4.5854351120058299</v>
      </c>
      <c r="P392" s="581">
        <v>5.73632893401015E-2</v>
      </c>
      <c r="Q392" s="289">
        <f t="shared" si="15"/>
        <v>5.2164312947469469</v>
      </c>
      <c r="R392" s="582">
        <f t="shared" si="16"/>
        <v>1.943260255718386E-4</v>
      </c>
      <c r="S392" s="288"/>
      <c r="T392" s="287"/>
      <c r="U392" s="583">
        <f t="shared" si="17"/>
        <v>0</v>
      </c>
      <c r="V392" s="286"/>
    </row>
    <row r="393" spans="7:22" x14ac:dyDescent="0.2">
      <c r="G393" s="290"/>
      <c r="H393" s="577">
        <v>383</v>
      </c>
      <c r="I393" s="578">
        <v>0</v>
      </c>
      <c r="J393" s="578">
        <v>0</v>
      </c>
      <c r="K393" s="578">
        <v>0</v>
      </c>
      <c r="L393" s="578">
        <v>0</v>
      </c>
      <c r="M393" s="578">
        <v>0</v>
      </c>
      <c r="N393" s="578">
        <v>0</v>
      </c>
      <c r="O393" s="578">
        <v>4.5882038464680903</v>
      </c>
      <c r="P393" s="578">
        <v>0</v>
      </c>
      <c r="Q393" s="293">
        <f t="shared" si="15"/>
        <v>4.5882038464680903</v>
      </c>
      <c r="R393" s="579">
        <f t="shared" si="16"/>
        <v>1.6594453583089748E-4</v>
      </c>
      <c r="S393" s="292"/>
      <c r="T393" s="291"/>
      <c r="U393" s="580">
        <f t="shared" si="17"/>
        <v>0</v>
      </c>
      <c r="V393" s="286"/>
    </row>
    <row r="394" spans="7:22" x14ac:dyDescent="0.2">
      <c r="G394" s="290"/>
      <c r="H394" s="575">
        <v>384</v>
      </c>
      <c r="I394" s="581">
        <v>0</v>
      </c>
      <c r="J394" s="581">
        <v>0</v>
      </c>
      <c r="K394" s="581">
        <v>0</v>
      </c>
      <c r="L394" s="581">
        <v>0</v>
      </c>
      <c r="M394" s="581">
        <v>0</v>
      </c>
      <c r="N394" s="581">
        <v>0</v>
      </c>
      <c r="O394" s="581">
        <v>4.5820732118329301</v>
      </c>
      <c r="P394" s="581">
        <v>0</v>
      </c>
      <c r="Q394" s="289">
        <f t="shared" si="15"/>
        <v>4.5820732118329301</v>
      </c>
      <c r="R394" s="582">
        <f t="shared" si="16"/>
        <v>1.6089592738174779E-4</v>
      </c>
      <c r="S394" s="288"/>
      <c r="T394" s="287"/>
      <c r="U394" s="583">
        <f t="shared" si="17"/>
        <v>0</v>
      </c>
      <c r="V394" s="286"/>
    </row>
    <row r="395" spans="7:22" x14ac:dyDescent="0.2">
      <c r="G395" s="290"/>
      <c r="H395" s="577">
        <v>385</v>
      </c>
      <c r="I395" s="578">
        <v>0</v>
      </c>
      <c r="J395" s="578">
        <v>0</v>
      </c>
      <c r="K395" s="578">
        <v>0</v>
      </c>
      <c r="L395" s="578">
        <v>0</v>
      </c>
      <c r="M395" s="578">
        <v>0</v>
      </c>
      <c r="N395" s="578">
        <v>0</v>
      </c>
      <c r="O395" s="578">
        <v>4.5776885200995503</v>
      </c>
      <c r="P395" s="578">
        <v>0</v>
      </c>
      <c r="Q395" s="293">
        <f t="shared" ref="Q395:Q406" si="18">SUM(I395:P395)</f>
        <v>4.5776885200995503</v>
      </c>
      <c r="R395" s="579">
        <f t="shared" ref="R395:R406" si="19">$Q395/(1+$B$3)^($H395-37)</f>
        <v>1.5606015762237741E-4</v>
      </c>
      <c r="S395" s="292"/>
      <c r="T395" s="291"/>
      <c r="U395" s="580">
        <f t="shared" ref="U395:U406" si="20">$T395/(1+$B$3)^($H395-37)</f>
        <v>0</v>
      </c>
      <c r="V395" s="286"/>
    </row>
    <row r="396" spans="7:22" x14ac:dyDescent="0.2">
      <c r="G396" s="290"/>
      <c r="H396" s="575">
        <v>386</v>
      </c>
      <c r="I396" s="581">
        <v>0</v>
      </c>
      <c r="J396" s="581">
        <v>0</v>
      </c>
      <c r="K396" s="581">
        <v>0</v>
      </c>
      <c r="L396" s="581">
        <v>0</v>
      </c>
      <c r="M396" s="581">
        <v>0</v>
      </c>
      <c r="N396" s="581">
        <v>0</v>
      </c>
      <c r="O396" s="581">
        <v>4.5745118681606005</v>
      </c>
      <c r="P396" s="581">
        <v>0</v>
      </c>
      <c r="Q396" s="289">
        <f t="shared" si="18"/>
        <v>4.5745118681606005</v>
      </c>
      <c r="R396" s="582">
        <f t="shared" si="19"/>
        <v>1.5140957365973145E-4</v>
      </c>
      <c r="S396" s="288"/>
      <c r="T396" s="287"/>
      <c r="U396" s="583">
        <f t="shared" si="20"/>
        <v>0</v>
      </c>
      <c r="V396" s="286"/>
    </row>
    <row r="397" spans="7:22" x14ac:dyDescent="0.2">
      <c r="G397" s="290"/>
      <c r="H397" s="577">
        <v>387</v>
      </c>
      <c r="I397" s="578">
        <v>0</v>
      </c>
      <c r="J397" s="578">
        <v>0</v>
      </c>
      <c r="K397" s="578">
        <v>0</v>
      </c>
      <c r="L397" s="578">
        <v>0</v>
      </c>
      <c r="M397" s="578">
        <v>0</v>
      </c>
      <c r="N397" s="578">
        <v>4.0536724467005101</v>
      </c>
      <c r="O397" s="578">
        <v>4.5721819310917002</v>
      </c>
      <c r="P397" s="578">
        <v>0.40536724467005097</v>
      </c>
      <c r="Q397" s="293">
        <f t="shared" si="18"/>
        <v>9.0312216224622617</v>
      </c>
      <c r="R397" s="579">
        <f t="shared" si="19"/>
        <v>2.9021366181505149E-4</v>
      </c>
      <c r="S397" s="292"/>
      <c r="T397" s="291"/>
      <c r="U397" s="580">
        <f t="shared" si="20"/>
        <v>0</v>
      </c>
      <c r="V397" s="286"/>
    </row>
    <row r="398" spans="7:22" x14ac:dyDescent="0.2">
      <c r="G398" s="290"/>
      <c r="H398" s="575">
        <v>388</v>
      </c>
      <c r="I398" s="581">
        <v>0</v>
      </c>
      <c r="J398" s="581">
        <v>0</v>
      </c>
      <c r="K398" s="581">
        <v>0</v>
      </c>
      <c r="L398" s="581">
        <v>0</v>
      </c>
      <c r="M398" s="581">
        <v>0</v>
      </c>
      <c r="N398" s="581">
        <v>0</v>
      </c>
      <c r="O398" s="581">
        <v>4.6215494142538098</v>
      </c>
      <c r="P398" s="581">
        <v>0</v>
      </c>
      <c r="Q398" s="289">
        <f t="shared" si="18"/>
        <v>4.6215494142538098</v>
      </c>
      <c r="R398" s="582">
        <f t="shared" si="19"/>
        <v>1.4418554701778804E-4</v>
      </c>
      <c r="S398" s="288"/>
      <c r="T398" s="287"/>
      <c r="U398" s="583">
        <f t="shared" si="20"/>
        <v>0</v>
      </c>
      <c r="V398" s="286"/>
    </row>
    <row r="399" spans="7:22" x14ac:dyDescent="0.2">
      <c r="G399" s="290"/>
      <c r="H399" s="577">
        <v>389</v>
      </c>
      <c r="I399" s="578">
        <v>0</v>
      </c>
      <c r="J399" s="578">
        <v>0</v>
      </c>
      <c r="K399" s="578">
        <v>0</v>
      </c>
      <c r="L399" s="578">
        <v>0</v>
      </c>
      <c r="M399" s="578">
        <v>0</v>
      </c>
      <c r="N399" s="578">
        <v>0</v>
      </c>
      <c r="O399" s="578">
        <v>4.6085495926547804</v>
      </c>
      <c r="P399" s="578">
        <v>0</v>
      </c>
      <c r="Q399" s="293">
        <f t="shared" si="18"/>
        <v>4.6085495926547804</v>
      </c>
      <c r="R399" s="579">
        <f t="shared" si="19"/>
        <v>1.3959220553061297E-4</v>
      </c>
      <c r="S399" s="292"/>
      <c r="T399" s="291"/>
      <c r="U399" s="580">
        <f t="shared" si="20"/>
        <v>0</v>
      </c>
      <c r="V399" s="286"/>
    </row>
    <row r="400" spans="7:22" x14ac:dyDescent="0.2">
      <c r="G400" s="290"/>
      <c r="H400" s="575">
        <v>390</v>
      </c>
      <c r="I400" s="581">
        <v>0</v>
      </c>
      <c r="J400" s="581">
        <v>0</v>
      </c>
      <c r="K400" s="581">
        <v>0</v>
      </c>
      <c r="L400" s="581">
        <v>0</v>
      </c>
      <c r="M400" s="581">
        <v>0</v>
      </c>
      <c r="N400" s="581">
        <v>0</v>
      </c>
      <c r="O400" s="581">
        <v>4.5987107664721103</v>
      </c>
      <c r="P400" s="581">
        <v>0</v>
      </c>
      <c r="Q400" s="289">
        <f t="shared" si="18"/>
        <v>4.5987107664721103</v>
      </c>
      <c r="R400" s="582">
        <f t="shared" si="19"/>
        <v>1.3523707680733132E-4</v>
      </c>
      <c r="S400" s="288"/>
      <c r="T400" s="287"/>
      <c r="U400" s="583">
        <f t="shared" si="20"/>
        <v>0</v>
      </c>
      <c r="V400" s="286"/>
    </row>
    <row r="401" spans="7:22" x14ac:dyDescent="0.2">
      <c r="G401" s="290"/>
      <c r="H401" s="577">
        <v>391</v>
      </c>
      <c r="I401" s="578">
        <v>0</v>
      </c>
      <c r="J401" s="578">
        <v>0</v>
      </c>
      <c r="K401" s="578">
        <v>0</v>
      </c>
      <c r="L401" s="578">
        <v>0</v>
      </c>
      <c r="M401" s="578">
        <v>0</v>
      </c>
      <c r="N401" s="578">
        <v>0</v>
      </c>
      <c r="O401" s="578">
        <v>4.5912035317804101</v>
      </c>
      <c r="P401" s="578">
        <v>0</v>
      </c>
      <c r="Q401" s="293">
        <f t="shared" si="18"/>
        <v>4.5912035317804101</v>
      </c>
      <c r="R401" s="579">
        <f t="shared" si="19"/>
        <v>1.3108379320710825E-4</v>
      </c>
      <c r="S401" s="292"/>
      <c r="T401" s="291"/>
      <c r="U401" s="580">
        <f t="shared" si="20"/>
        <v>0</v>
      </c>
      <c r="V401" s="286"/>
    </row>
    <row r="402" spans="7:22" x14ac:dyDescent="0.2">
      <c r="G402" s="290"/>
      <c r="H402" s="575">
        <v>392</v>
      </c>
      <c r="I402" s="581">
        <v>0</v>
      </c>
      <c r="J402" s="581">
        <v>0</v>
      </c>
      <c r="K402" s="581">
        <v>0</v>
      </c>
      <c r="L402" s="581">
        <v>0</v>
      </c>
      <c r="M402" s="581">
        <v>0</v>
      </c>
      <c r="N402" s="581">
        <v>0.57363289340101509</v>
      </c>
      <c r="O402" s="581">
        <v>4.5854351120058299</v>
      </c>
      <c r="P402" s="581">
        <v>5.73632893401015E-2</v>
      </c>
      <c r="Q402" s="289">
        <f t="shared" si="18"/>
        <v>5.2164312947469469</v>
      </c>
      <c r="R402" s="582">
        <f t="shared" si="19"/>
        <v>1.4459681313407048E-4</v>
      </c>
      <c r="S402" s="288"/>
      <c r="T402" s="287"/>
      <c r="U402" s="583">
        <f t="shared" si="20"/>
        <v>0</v>
      </c>
      <c r="V402" s="286"/>
    </row>
    <row r="403" spans="7:22" x14ac:dyDescent="0.2">
      <c r="G403" s="290"/>
      <c r="H403" s="577">
        <v>393</v>
      </c>
      <c r="I403" s="578">
        <v>0</v>
      </c>
      <c r="J403" s="578">
        <v>0</v>
      </c>
      <c r="K403" s="578">
        <v>0</v>
      </c>
      <c r="L403" s="578">
        <v>0</v>
      </c>
      <c r="M403" s="578">
        <v>0</v>
      </c>
      <c r="N403" s="578">
        <v>0</v>
      </c>
      <c r="O403" s="578">
        <v>4.5882038464680903</v>
      </c>
      <c r="P403" s="578">
        <v>0</v>
      </c>
      <c r="Q403" s="293">
        <f t="shared" si="18"/>
        <v>4.5882038464680903</v>
      </c>
      <c r="R403" s="579">
        <f t="shared" si="19"/>
        <v>1.234783193221324E-4</v>
      </c>
      <c r="S403" s="292"/>
      <c r="T403" s="291"/>
      <c r="U403" s="580">
        <f t="shared" si="20"/>
        <v>0</v>
      </c>
      <c r="V403" s="286"/>
    </row>
    <row r="404" spans="7:22" x14ac:dyDescent="0.2">
      <c r="G404" s="290"/>
      <c r="H404" s="575">
        <v>394</v>
      </c>
      <c r="I404" s="581">
        <v>0</v>
      </c>
      <c r="J404" s="581">
        <v>0</v>
      </c>
      <c r="K404" s="581">
        <v>0</v>
      </c>
      <c r="L404" s="581">
        <v>0</v>
      </c>
      <c r="M404" s="581">
        <v>0</v>
      </c>
      <c r="N404" s="581">
        <v>0</v>
      </c>
      <c r="O404" s="581">
        <v>4.5820732118329301</v>
      </c>
      <c r="P404" s="581">
        <v>0</v>
      </c>
      <c r="Q404" s="289">
        <f t="shared" si="18"/>
        <v>4.5820732118329301</v>
      </c>
      <c r="R404" s="582">
        <f t="shared" si="19"/>
        <v>1.1972168049642393E-4</v>
      </c>
      <c r="S404" s="288"/>
      <c r="T404" s="287"/>
      <c r="U404" s="583">
        <f t="shared" si="20"/>
        <v>0</v>
      </c>
      <c r="V404" s="286"/>
    </row>
    <row r="405" spans="7:22" x14ac:dyDescent="0.2">
      <c r="G405" s="290"/>
      <c r="H405" s="577">
        <v>395</v>
      </c>
      <c r="I405" s="578">
        <v>0</v>
      </c>
      <c r="J405" s="578">
        <v>0</v>
      </c>
      <c r="K405" s="578">
        <v>0</v>
      </c>
      <c r="L405" s="578">
        <v>0</v>
      </c>
      <c r="M405" s="578">
        <v>0</v>
      </c>
      <c r="N405" s="578">
        <v>0</v>
      </c>
      <c r="O405" s="578">
        <v>4.5776885200995503</v>
      </c>
      <c r="P405" s="578">
        <v>0</v>
      </c>
      <c r="Q405" s="293">
        <f t="shared" si="18"/>
        <v>4.5776885200995503</v>
      </c>
      <c r="R405" s="579">
        <f t="shared" si="19"/>
        <v>1.1612341364463482E-4</v>
      </c>
      <c r="S405" s="292"/>
      <c r="T405" s="291"/>
      <c r="U405" s="580">
        <f t="shared" si="20"/>
        <v>0</v>
      </c>
      <c r="V405" s="286"/>
    </row>
    <row r="406" spans="7:22" x14ac:dyDescent="0.2">
      <c r="G406" s="290"/>
      <c r="H406" s="575">
        <v>396</v>
      </c>
      <c r="I406" s="581">
        <v>0</v>
      </c>
      <c r="J406" s="581">
        <v>0</v>
      </c>
      <c r="K406" s="581">
        <v>0</v>
      </c>
      <c r="L406" s="581">
        <v>0</v>
      </c>
      <c r="M406" s="581">
        <v>0</v>
      </c>
      <c r="N406" s="581">
        <v>0</v>
      </c>
      <c r="O406" s="581">
        <v>4.5745118681606005</v>
      </c>
      <c r="P406" s="581">
        <v>0</v>
      </c>
      <c r="Q406" s="289">
        <f t="shared" si="18"/>
        <v>4.5745118681606005</v>
      </c>
      <c r="R406" s="582">
        <f t="shared" si="19"/>
        <v>1.1266294241731365E-4</v>
      </c>
      <c r="S406" s="288"/>
      <c r="T406" s="287"/>
      <c r="U406" s="583">
        <f t="shared" si="20"/>
        <v>0</v>
      </c>
      <c r="V406" s="286"/>
    </row>
    <row r="407" spans="7:22" x14ac:dyDescent="0.2">
      <c r="G407" s="290"/>
      <c r="H407" s="308"/>
      <c r="I407" s="581"/>
      <c r="J407" s="581"/>
      <c r="K407" s="581"/>
      <c r="L407" s="581"/>
      <c r="M407" s="581"/>
      <c r="N407" s="581"/>
      <c r="O407" s="581"/>
      <c r="P407" s="581" t="s">
        <v>706</v>
      </c>
      <c r="Q407" s="289"/>
      <c r="R407" s="598">
        <f>SUM(R11:R406)</f>
        <v>24530.30606791177</v>
      </c>
      <c r="S407" s="288"/>
      <c r="T407" s="287"/>
      <c r="U407" s="598">
        <f>SUM(U11:U406)</f>
        <v>19046.572106746116</v>
      </c>
      <c r="V407" s="286"/>
    </row>
    <row r="408" spans="7:22" ht="13.5" thickBot="1" x14ac:dyDescent="0.2">
      <c r="G408" s="285"/>
      <c r="H408" s="284"/>
      <c r="I408" s="284"/>
      <c r="J408" s="284"/>
      <c r="K408" s="284"/>
      <c r="L408" s="284"/>
      <c r="M408" s="284"/>
      <c r="N408" s="284"/>
      <c r="O408" s="284"/>
      <c r="P408" s="284"/>
      <c r="Q408" s="284"/>
      <c r="R408" s="284"/>
      <c r="S408" s="284"/>
      <c r="T408" s="284"/>
      <c r="U408" s="284"/>
      <c r="V408" s="283"/>
    </row>
  </sheetData>
  <protectedRanges>
    <protectedRange sqref="B3:B5" name="範囲1_1_2_1"/>
  </protectedRanges>
  <mergeCells count="12">
    <mergeCell ref="N9:N10"/>
    <mergeCell ref="O9:O10"/>
    <mergeCell ref="P9:P10"/>
    <mergeCell ref="Q9:Q10"/>
    <mergeCell ref="H4:U4"/>
    <mergeCell ref="I6:R6"/>
    <mergeCell ref="T6:U6"/>
    <mergeCell ref="I9:I10"/>
    <mergeCell ref="J9:J10"/>
    <mergeCell ref="K9:K10"/>
    <mergeCell ref="L9:L10"/>
    <mergeCell ref="M9:M10"/>
  </mergeCells>
  <phoneticPr fontId="56"/>
  <dataValidations count="1">
    <dataValidation showDropDown="1" showInputMessage="1" showErrorMessage="1" sqref="B10:B11 IP10:IP11 SL10:SL11 ACH10:ACH11 AMD10:AMD11 AVZ10:AVZ11 BFV10:BFV11 BPR10:BPR11 BZN10:BZN11 CJJ10:CJJ11 CTF10:CTF11 DDB10:DDB11 DMX10:DMX11 DWT10:DWT11 EGP10:EGP11 EQL10:EQL11 FAH10:FAH11 FKD10:FKD11 FTZ10:FTZ11 GDV10:GDV11 GNR10:GNR11 GXN10:GXN11 HHJ10:HHJ11 HRF10:HRF11 IBB10:IBB11 IKX10:IKX11 IUT10:IUT11 JEP10:JEP11 JOL10:JOL11 JYH10:JYH11 KID10:KID11 KRZ10:KRZ11 LBV10:LBV11 LLR10:LLR11 LVN10:LVN11 MFJ10:MFJ11 MPF10:MPF11 MZB10:MZB11 NIX10:NIX11 NST10:NST11 OCP10:OCP11 OML10:OML11 OWH10:OWH11 PGD10:PGD11 PPZ10:PPZ11 PZV10:PZV11 QJR10:QJR11 QTN10:QTN11 RDJ10:RDJ11 RNF10:RNF11 RXB10:RXB11 SGX10:SGX11 SQT10:SQT11 TAP10:TAP11 TKL10:TKL11 TUH10:TUH11 UED10:UED11 UNZ10:UNZ11 UXV10:UXV11 VHR10:VHR11 VRN10:VRN11 WBJ10:WBJ11 WLF10:WLF11 WVB10:WVB11 B65546:B65547 IP65546:IP65547 SL65546:SL65547 ACH65546:ACH65547 AMD65546:AMD65547 AVZ65546:AVZ65547 BFV65546:BFV65547 BPR65546:BPR65547 BZN65546:BZN65547 CJJ65546:CJJ65547 CTF65546:CTF65547 DDB65546:DDB65547 DMX65546:DMX65547 DWT65546:DWT65547 EGP65546:EGP65547 EQL65546:EQL65547 FAH65546:FAH65547 FKD65546:FKD65547 FTZ65546:FTZ65547 GDV65546:GDV65547 GNR65546:GNR65547 GXN65546:GXN65547 HHJ65546:HHJ65547 HRF65546:HRF65547 IBB65546:IBB65547 IKX65546:IKX65547 IUT65546:IUT65547 JEP65546:JEP65547 JOL65546:JOL65547 JYH65546:JYH65547 KID65546:KID65547 KRZ65546:KRZ65547 LBV65546:LBV65547 LLR65546:LLR65547 LVN65546:LVN65547 MFJ65546:MFJ65547 MPF65546:MPF65547 MZB65546:MZB65547 NIX65546:NIX65547 NST65546:NST65547 OCP65546:OCP65547 OML65546:OML65547 OWH65546:OWH65547 PGD65546:PGD65547 PPZ65546:PPZ65547 PZV65546:PZV65547 QJR65546:QJR65547 QTN65546:QTN65547 RDJ65546:RDJ65547 RNF65546:RNF65547 RXB65546:RXB65547 SGX65546:SGX65547 SQT65546:SQT65547 TAP65546:TAP65547 TKL65546:TKL65547 TUH65546:TUH65547 UED65546:UED65547 UNZ65546:UNZ65547 UXV65546:UXV65547 VHR65546:VHR65547 VRN65546:VRN65547 WBJ65546:WBJ65547 WLF65546:WLF65547 WVB65546:WVB65547 B131082:B131083 IP131082:IP131083 SL131082:SL131083 ACH131082:ACH131083 AMD131082:AMD131083 AVZ131082:AVZ131083 BFV131082:BFV131083 BPR131082:BPR131083 BZN131082:BZN131083 CJJ131082:CJJ131083 CTF131082:CTF131083 DDB131082:DDB131083 DMX131082:DMX131083 DWT131082:DWT131083 EGP131082:EGP131083 EQL131082:EQL131083 FAH131082:FAH131083 FKD131082:FKD131083 FTZ131082:FTZ131083 GDV131082:GDV131083 GNR131082:GNR131083 GXN131082:GXN131083 HHJ131082:HHJ131083 HRF131082:HRF131083 IBB131082:IBB131083 IKX131082:IKX131083 IUT131082:IUT131083 JEP131082:JEP131083 JOL131082:JOL131083 JYH131082:JYH131083 KID131082:KID131083 KRZ131082:KRZ131083 LBV131082:LBV131083 LLR131082:LLR131083 LVN131082:LVN131083 MFJ131082:MFJ131083 MPF131082:MPF131083 MZB131082:MZB131083 NIX131082:NIX131083 NST131082:NST131083 OCP131082:OCP131083 OML131082:OML131083 OWH131082:OWH131083 PGD131082:PGD131083 PPZ131082:PPZ131083 PZV131082:PZV131083 QJR131082:QJR131083 QTN131082:QTN131083 RDJ131082:RDJ131083 RNF131082:RNF131083 RXB131082:RXB131083 SGX131082:SGX131083 SQT131082:SQT131083 TAP131082:TAP131083 TKL131082:TKL131083 TUH131082:TUH131083 UED131082:UED131083 UNZ131082:UNZ131083 UXV131082:UXV131083 VHR131082:VHR131083 VRN131082:VRN131083 WBJ131082:WBJ131083 WLF131082:WLF131083 WVB131082:WVB131083 B196618:B196619 IP196618:IP196619 SL196618:SL196619 ACH196618:ACH196619 AMD196618:AMD196619 AVZ196618:AVZ196619 BFV196618:BFV196619 BPR196618:BPR196619 BZN196618:BZN196619 CJJ196618:CJJ196619 CTF196618:CTF196619 DDB196618:DDB196619 DMX196618:DMX196619 DWT196618:DWT196619 EGP196618:EGP196619 EQL196618:EQL196619 FAH196618:FAH196619 FKD196618:FKD196619 FTZ196618:FTZ196619 GDV196618:GDV196619 GNR196618:GNR196619 GXN196618:GXN196619 HHJ196618:HHJ196619 HRF196618:HRF196619 IBB196618:IBB196619 IKX196618:IKX196619 IUT196618:IUT196619 JEP196618:JEP196619 JOL196618:JOL196619 JYH196618:JYH196619 KID196618:KID196619 KRZ196618:KRZ196619 LBV196618:LBV196619 LLR196618:LLR196619 LVN196618:LVN196619 MFJ196618:MFJ196619 MPF196618:MPF196619 MZB196618:MZB196619 NIX196618:NIX196619 NST196618:NST196619 OCP196618:OCP196619 OML196618:OML196619 OWH196618:OWH196619 PGD196618:PGD196619 PPZ196618:PPZ196619 PZV196618:PZV196619 QJR196618:QJR196619 QTN196618:QTN196619 RDJ196618:RDJ196619 RNF196618:RNF196619 RXB196618:RXB196619 SGX196618:SGX196619 SQT196618:SQT196619 TAP196618:TAP196619 TKL196618:TKL196619 TUH196618:TUH196619 UED196618:UED196619 UNZ196618:UNZ196619 UXV196618:UXV196619 VHR196618:VHR196619 VRN196618:VRN196619 WBJ196618:WBJ196619 WLF196618:WLF196619 WVB196618:WVB196619 B262154:B262155 IP262154:IP262155 SL262154:SL262155 ACH262154:ACH262155 AMD262154:AMD262155 AVZ262154:AVZ262155 BFV262154:BFV262155 BPR262154:BPR262155 BZN262154:BZN262155 CJJ262154:CJJ262155 CTF262154:CTF262155 DDB262154:DDB262155 DMX262154:DMX262155 DWT262154:DWT262155 EGP262154:EGP262155 EQL262154:EQL262155 FAH262154:FAH262155 FKD262154:FKD262155 FTZ262154:FTZ262155 GDV262154:GDV262155 GNR262154:GNR262155 GXN262154:GXN262155 HHJ262154:HHJ262155 HRF262154:HRF262155 IBB262154:IBB262155 IKX262154:IKX262155 IUT262154:IUT262155 JEP262154:JEP262155 JOL262154:JOL262155 JYH262154:JYH262155 KID262154:KID262155 KRZ262154:KRZ262155 LBV262154:LBV262155 LLR262154:LLR262155 LVN262154:LVN262155 MFJ262154:MFJ262155 MPF262154:MPF262155 MZB262154:MZB262155 NIX262154:NIX262155 NST262154:NST262155 OCP262154:OCP262155 OML262154:OML262155 OWH262154:OWH262155 PGD262154:PGD262155 PPZ262154:PPZ262155 PZV262154:PZV262155 QJR262154:QJR262155 QTN262154:QTN262155 RDJ262154:RDJ262155 RNF262154:RNF262155 RXB262154:RXB262155 SGX262154:SGX262155 SQT262154:SQT262155 TAP262154:TAP262155 TKL262154:TKL262155 TUH262154:TUH262155 UED262154:UED262155 UNZ262154:UNZ262155 UXV262154:UXV262155 VHR262154:VHR262155 VRN262154:VRN262155 WBJ262154:WBJ262155 WLF262154:WLF262155 WVB262154:WVB262155 B327690:B327691 IP327690:IP327691 SL327690:SL327691 ACH327690:ACH327691 AMD327690:AMD327691 AVZ327690:AVZ327691 BFV327690:BFV327691 BPR327690:BPR327691 BZN327690:BZN327691 CJJ327690:CJJ327691 CTF327690:CTF327691 DDB327690:DDB327691 DMX327690:DMX327691 DWT327690:DWT327691 EGP327690:EGP327691 EQL327690:EQL327691 FAH327690:FAH327691 FKD327690:FKD327691 FTZ327690:FTZ327691 GDV327690:GDV327691 GNR327690:GNR327691 GXN327690:GXN327691 HHJ327690:HHJ327691 HRF327690:HRF327691 IBB327690:IBB327691 IKX327690:IKX327691 IUT327690:IUT327691 JEP327690:JEP327691 JOL327690:JOL327691 JYH327690:JYH327691 KID327690:KID327691 KRZ327690:KRZ327691 LBV327690:LBV327691 LLR327690:LLR327691 LVN327690:LVN327691 MFJ327690:MFJ327691 MPF327690:MPF327691 MZB327690:MZB327691 NIX327690:NIX327691 NST327690:NST327691 OCP327690:OCP327691 OML327690:OML327691 OWH327690:OWH327691 PGD327690:PGD327691 PPZ327690:PPZ327691 PZV327690:PZV327691 QJR327690:QJR327691 QTN327690:QTN327691 RDJ327690:RDJ327691 RNF327690:RNF327691 RXB327690:RXB327691 SGX327690:SGX327691 SQT327690:SQT327691 TAP327690:TAP327691 TKL327690:TKL327691 TUH327690:TUH327691 UED327690:UED327691 UNZ327690:UNZ327691 UXV327690:UXV327691 VHR327690:VHR327691 VRN327690:VRN327691 WBJ327690:WBJ327691 WLF327690:WLF327691 WVB327690:WVB327691 B393226:B393227 IP393226:IP393227 SL393226:SL393227 ACH393226:ACH393227 AMD393226:AMD393227 AVZ393226:AVZ393227 BFV393226:BFV393227 BPR393226:BPR393227 BZN393226:BZN393227 CJJ393226:CJJ393227 CTF393226:CTF393227 DDB393226:DDB393227 DMX393226:DMX393227 DWT393226:DWT393227 EGP393226:EGP393227 EQL393226:EQL393227 FAH393226:FAH393227 FKD393226:FKD393227 FTZ393226:FTZ393227 GDV393226:GDV393227 GNR393226:GNR393227 GXN393226:GXN393227 HHJ393226:HHJ393227 HRF393226:HRF393227 IBB393226:IBB393227 IKX393226:IKX393227 IUT393226:IUT393227 JEP393226:JEP393227 JOL393226:JOL393227 JYH393226:JYH393227 KID393226:KID393227 KRZ393226:KRZ393227 LBV393226:LBV393227 LLR393226:LLR393227 LVN393226:LVN393227 MFJ393226:MFJ393227 MPF393226:MPF393227 MZB393226:MZB393227 NIX393226:NIX393227 NST393226:NST393227 OCP393226:OCP393227 OML393226:OML393227 OWH393226:OWH393227 PGD393226:PGD393227 PPZ393226:PPZ393227 PZV393226:PZV393227 QJR393226:QJR393227 QTN393226:QTN393227 RDJ393226:RDJ393227 RNF393226:RNF393227 RXB393226:RXB393227 SGX393226:SGX393227 SQT393226:SQT393227 TAP393226:TAP393227 TKL393226:TKL393227 TUH393226:TUH393227 UED393226:UED393227 UNZ393226:UNZ393227 UXV393226:UXV393227 VHR393226:VHR393227 VRN393226:VRN393227 WBJ393226:WBJ393227 WLF393226:WLF393227 WVB393226:WVB393227 B458762:B458763 IP458762:IP458763 SL458762:SL458763 ACH458762:ACH458763 AMD458762:AMD458763 AVZ458762:AVZ458763 BFV458762:BFV458763 BPR458762:BPR458763 BZN458762:BZN458763 CJJ458762:CJJ458763 CTF458762:CTF458763 DDB458762:DDB458763 DMX458762:DMX458763 DWT458762:DWT458763 EGP458762:EGP458763 EQL458762:EQL458763 FAH458762:FAH458763 FKD458762:FKD458763 FTZ458762:FTZ458763 GDV458762:GDV458763 GNR458762:GNR458763 GXN458762:GXN458763 HHJ458762:HHJ458763 HRF458762:HRF458763 IBB458762:IBB458763 IKX458762:IKX458763 IUT458762:IUT458763 JEP458762:JEP458763 JOL458762:JOL458763 JYH458762:JYH458763 KID458762:KID458763 KRZ458762:KRZ458763 LBV458762:LBV458763 LLR458762:LLR458763 LVN458762:LVN458763 MFJ458762:MFJ458763 MPF458762:MPF458763 MZB458762:MZB458763 NIX458762:NIX458763 NST458762:NST458763 OCP458762:OCP458763 OML458762:OML458763 OWH458762:OWH458763 PGD458762:PGD458763 PPZ458762:PPZ458763 PZV458762:PZV458763 QJR458762:QJR458763 QTN458762:QTN458763 RDJ458762:RDJ458763 RNF458762:RNF458763 RXB458762:RXB458763 SGX458762:SGX458763 SQT458762:SQT458763 TAP458762:TAP458763 TKL458762:TKL458763 TUH458762:TUH458763 UED458762:UED458763 UNZ458762:UNZ458763 UXV458762:UXV458763 VHR458762:VHR458763 VRN458762:VRN458763 WBJ458762:WBJ458763 WLF458762:WLF458763 WVB458762:WVB458763 B524298:B524299 IP524298:IP524299 SL524298:SL524299 ACH524298:ACH524299 AMD524298:AMD524299 AVZ524298:AVZ524299 BFV524298:BFV524299 BPR524298:BPR524299 BZN524298:BZN524299 CJJ524298:CJJ524299 CTF524298:CTF524299 DDB524298:DDB524299 DMX524298:DMX524299 DWT524298:DWT524299 EGP524298:EGP524299 EQL524298:EQL524299 FAH524298:FAH524299 FKD524298:FKD524299 FTZ524298:FTZ524299 GDV524298:GDV524299 GNR524298:GNR524299 GXN524298:GXN524299 HHJ524298:HHJ524299 HRF524298:HRF524299 IBB524298:IBB524299 IKX524298:IKX524299 IUT524298:IUT524299 JEP524298:JEP524299 JOL524298:JOL524299 JYH524298:JYH524299 KID524298:KID524299 KRZ524298:KRZ524299 LBV524298:LBV524299 LLR524298:LLR524299 LVN524298:LVN524299 MFJ524298:MFJ524299 MPF524298:MPF524299 MZB524298:MZB524299 NIX524298:NIX524299 NST524298:NST524299 OCP524298:OCP524299 OML524298:OML524299 OWH524298:OWH524299 PGD524298:PGD524299 PPZ524298:PPZ524299 PZV524298:PZV524299 QJR524298:QJR524299 QTN524298:QTN524299 RDJ524298:RDJ524299 RNF524298:RNF524299 RXB524298:RXB524299 SGX524298:SGX524299 SQT524298:SQT524299 TAP524298:TAP524299 TKL524298:TKL524299 TUH524298:TUH524299 UED524298:UED524299 UNZ524298:UNZ524299 UXV524298:UXV524299 VHR524298:VHR524299 VRN524298:VRN524299 WBJ524298:WBJ524299 WLF524298:WLF524299 WVB524298:WVB524299 B589834:B589835 IP589834:IP589835 SL589834:SL589835 ACH589834:ACH589835 AMD589834:AMD589835 AVZ589834:AVZ589835 BFV589834:BFV589835 BPR589834:BPR589835 BZN589834:BZN589835 CJJ589834:CJJ589835 CTF589834:CTF589835 DDB589834:DDB589835 DMX589834:DMX589835 DWT589834:DWT589835 EGP589834:EGP589835 EQL589834:EQL589835 FAH589834:FAH589835 FKD589834:FKD589835 FTZ589834:FTZ589835 GDV589834:GDV589835 GNR589834:GNR589835 GXN589834:GXN589835 HHJ589834:HHJ589835 HRF589834:HRF589835 IBB589834:IBB589835 IKX589834:IKX589835 IUT589834:IUT589835 JEP589834:JEP589835 JOL589834:JOL589835 JYH589834:JYH589835 KID589834:KID589835 KRZ589834:KRZ589835 LBV589834:LBV589835 LLR589834:LLR589835 LVN589834:LVN589835 MFJ589834:MFJ589835 MPF589834:MPF589835 MZB589834:MZB589835 NIX589834:NIX589835 NST589834:NST589835 OCP589834:OCP589835 OML589834:OML589835 OWH589834:OWH589835 PGD589834:PGD589835 PPZ589834:PPZ589835 PZV589834:PZV589835 QJR589834:QJR589835 QTN589834:QTN589835 RDJ589834:RDJ589835 RNF589834:RNF589835 RXB589834:RXB589835 SGX589834:SGX589835 SQT589834:SQT589835 TAP589834:TAP589835 TKL589834:TKL589835 TUH589834:TUH589835 UED589834:UED589835 UNZ589834:UNZ589835 UXV589834:UXV589835 VHR589834:VHR589835 VRN589834:VRN589835 WBJ589834:WBJ589835 WLF589834:WLF589835 WVB589834:WVB589835 B655370:B655371 IP655370:IP655371 SL655370:SL655371 ACH655370:ACH655371 AMD655370:AMD655371 AVZ655370:AVZ655371 BFV655370:BFV655371 BPR655370:BPR655371 BZN655370:BZN655371 CJJ655370:CJJ655371 CTF655370:CTF655371 DDB655370:DDB655371 DMX655370:DMX655371 DWT655370:DWT655371 EGP655370:EGP655371 EQL655370:EQL655371 FAH655370:FAH655371 FKD655370:FKD655371 FTZ655370:FTZ655371 GDV655370:GDV655371 GNR655370:GNR655371 GXN655370:GXN655371 HHJ655370:HHJ655371 HRF655370:HRF655371 IBB655370:IBB655371 IKX655370:IKX655371 IUT655370:IUT655371 JEP655370:JEP655371 JOL655370:JOL655371 JYH655370:JYH655371 KID655370:KID655371 KRZ655370:KRZ655371 LBV655370:LBV655371 LLR655370:LLR655371 LVN655370:LVN655371 MFJ655370:MFJ655371 MPF655370:MPF655371 MZB655370:MZB655371 NIX655370:NIX655371 NST655370:NST655371 OCP655370:OCP655371 OML655370:OML655371 OWH655370:OWH655371 PGD655370:PGD655371 PPZ655370:PPZ655371 PZV655370:PZV655371 QJR655370:QJR655371 QTN655370:QTN655371 RDJ655370:RDJ655371 RNF655370:RNF655371 RXB655370:RXB655371 SGX655370:SGX655371 SQT655370:SQT655371 TAP655370:TAP655371 TKL655370:TKL655371 TUH655370:TUH655371 UED655370:UED655371 UNZ655370:UNZ655371 UXV655370:UXV655371 VHR655370:VHR655371 VRN655370:VRN655371 WBJ655370:WBJ655371 WLF655370:WLF655371 WVB655370:WVB655371 B720906:B720907 IP720906:IP720907 SL720906:SL720907 ACH720906:ACH720907 AMD720906:AMD720907 AVZ720906:AVZ720907 BFV720906:BFV720907 BPR720906:BPR720907 BZN720906:BZN720907 CJJ720906:CJJ720907 CTF720906:CTF720907 DDB720906:DDB720907 DMX720906:DMX720907 DWT720906:DWT720907 EGP720906:EGP720907 EQL720906:EQL720907 FAH720906:FAH720907 FKD720906:FKD720907 FTZ720906:FTZ720907 GDV720906:GDV720907 GNR720906:GNR720907 GXN720906:GXN720907 HHJ720906:HHJ720907 HRF720906:HRF720907 IBB720906:IBB720907 IKX720906:IKX720907 IUT720906:IUT720907 JEP720906:JEP720907 JOL720906:JOL720907 JYH720906:JYH720907 KID720906:KID720907 KRZ720906:KRZ720907 LBV720906:LBV720907 LLR720906:LLR720907 LVN720906:LVN720907 MFJ720906:MFJ720907 MPF720906:MPF720907 MZB720906:MZB720907 NIX720906:NIX720907 NST720906:NST720907 OCP720906:OCP720907 OML720906:OML720907 OWH720906:OWH720907 PGD720906:PGD720907 PPZ720906:PPZ720907 PZV720906:PZV720907 QJR720906:QJR720907 QTN720906:QTN720907 RDJ720906:RDJ720907 RNF720906:RNF720907 RXB720906:RXB720907 SGX720906:SGX720907 SQT720906:SQT720907 TAP720906:TAP720907 TKL720906:TKL720907 TUH720906:TUH720907 UED720906:UED720907 UNZ720906:UNZ720907 UXV720906:UXV720907 VHR720906:VHR720907 VRN720906:VRN720907 WBJ720906:WBJ720907 WLF720906:WLF720907 WVB720906:WVB720907 B786442:B786443 IP786442:IP786443 SL786442:SL786443 ACH786442:ACH786443 AMD786442:AMD786443 AVZ786442:AVZ786443 BFV786442:BFV786443 BPR786442:BPR786443 BZN786442:BZN786443 CJJ786442:CJJ786443 CTF786442:CTF786443 DDB786442:DDB786443 DMX786442:DMX786443 DWT786442:DWT786443 EGP786442:EGP786443 EQL786442:EQL786443 FAH786442:FAH786443 FKD786442:FKD786443 FTZ786442:FTZ786443 GDV786442:GDV786443 GNR786442:GNR786443 GXN786442:GXN786443 HHJ786442:HHJ786443 HRF786442:HRF786443 IBB786442:IBB786443 IKX786442:IKX786443 IUT786442:IUT786443 JEP786442:JEP786443 JOL786442:JOL786443 JYH786442:JYH786443 KID786442:KID786443 KRZ786442:KRZ786443 LBV786442:LBV786443 LLR786442:LLR786443 LVN786442:LVN786443 MFJ786442:MFJ786443 MPF786442:MPF786443 MZB786442:MZB786443 NIX786442:NIX786443 NST786442:NST786443 OCP786442:OCP786443 OML786442:OML786443 OWH786442:OWH786443 PGD786442:PGD786443 PPZ786442:PPZ786443 PZV786442:PZV786443 QJR786442:QJR786443 QTN786442:QTN786443 RDJ786442:RDJ786443 RNF786442:RNF786443 RXB786442:RXB786443 SGX786442:SGX786443 SQT786442:SQT786443 TAP786442:TAP786443 TKL786442:TKL786443 TUH786442:TUH786443 UED786442:UED786443 UNZ786442:UNZ786443 UXV786442:UXV786443 VHR786442:VHR786443 VRN786442:VRN786443 WBJ786442:WBJ786443 WLF786442:WLF786443 WVB786442:WVB786443 B851978:B851979 IP851978:IP851979 SL851978:SL851979 ACH851978:ACH851979 AMD851978:AMD851979 AVZ851978:AVZ851979 BFV851978:BFV851979 BPR851978:BPR851979 BZN851978:BZN851979 CJJ851978:CJJ851979 CTF851978:CTF851979 DDB851978:DDB851979 DMX851978:DMX851979 DWT851978:DWT851979 EGP851978:EGP851979 EQL851978:EQL851979 FAH851978:FAH851979 FKD851978:FKD851979 FTZ851978:FTZ851979 GDV851978:GDV851979 GNR851978:GNR851979 GXN851978:GXN851979 HHJ851978:HHJ851979 HRF851978:HRF851979 IBB851978:IBB851979 IKX851978:IKX851979 IUT851978:IUT851979 JEP851978:JEP851979 JOL851978:JOL851979 JYH851978:JYH851979 KID851978:KID851979 KRZ851978:KRZ851979 LBV851978:LBV851979 LLR851978:LLR851979 LVN851978:LVN851979 MFJ851978:MFJ851979 MPF851978:MPF851979 MZB851978:MZB851979 NIX851978:NIX851979 NST851978:NST851979 OCP851978:OCP851979 OML851978:OML851979 OWH851978:OWH851979 PGD851978:PGD851979 PPZ851978:PPZ851979 PZV851978:PZV851979 QJR851978:QJR851979 QTN851978:QTN851979 RDJ851978:RDJ851979 RNF851978:RNF851979 RXB851978:RXB851979 SGX851978:SGX851979 SQT851978:SQT851979 TAP851978:TAP851979 TKL851978:TKL851979 TUH851978:TUH851979 UED851978:UED851979 UNZ851978:UNZ851979 UXV851978:UXV851979 VHR851978:VHR851979 VRN851978:VRN851979 WBJ851978:WBJ851979 WLF851978:WLF851979 WVB851978:WVB851979 B917514:B917515 IP917514:IP917515 SL917514:SL917515 ACH917514:ACH917515 AMD917514:AMD917515 AVZ917514:AVZ917515 BFV917514:BFV917515 BPR917514:BPR917515 BZN917514:BZN917515 CJJ917514:CJJ917515 CTF917514:CTF917515 DDB917514:DDB917515 DMX917514:DMX917515 DWT917514:DWT917515 EGP917514:EGP917515 EQL917514:EQL917515 FAH917514:FAH917515 FKD917514:FKD917515 FTZ917514:FTZ917515 GDV917514:GDV917515 GNR917514:GNR917515 GXN917514:GXN917515 HHJ917514:HHJ917515 HRF917514:HRF917515 IBB917514:IBB917515 IKX917514:IKX917515 IUT917514:IUT917515 JEP917514:JEP917515 JOL917514:JOL917515 JYH917514:JYH917515 KID917514:KID917515 KRZ917514:KRZ917515 LBV917514:LBV917515 LLR917514:LLR917515 LVN917514:LVN917515 MFJ917514:MFJ917515 MPF917514:MPF917515 MZB917514:MZB917515 NIX917514:NIX917515 NST917514:NST917515 OCP917514:OCP917515 OML917514:OML917515 OWH917514:OWH917515 PGD917514:PGD917515 PPZ917514:PPZ917515 PZV917514:PZV917515 QJR917514:QJR917515 QTN917514:QTN917515 RDJ917514:RDJ917515 RNF917514:RNF917515 RXB917514:RXB917515 SGX917514:SGX917515 SQT917514:SQT917515 TAP917514:TAP917515 TKL917514:TKL917515 TUH917514:TUH917515 UED917514:UED917515 UNZ917514:UNZ917515 UXV917514:UXV917515 VHR917514:VHR917515 VRN917514:VRN917515 WBJ917514:WBJ917515 WLF917514:WLF917515 WVB917514:WVB917515 B983050:B983051 IP983050:IP983051 SL983050:SL983051 ACH983050:ACH983051 AMD983050:AMD983051 AVZ983050:AVZ983051 BFV983050:BFV983051 BPR983050:BPR983051 BZN983050:BZN983051 CJJ983050:CJJ983051 CTF983050:CTF983051 DDB983050:DDB983051 DMX983050:DMX983051 DWT983050:DWT983051 EGP983050:EGP983051 EQL983050:EQL983051 FAH983050:FAH983051 FKD983050:FKD983051 FTZ983050:FTZ983051 GDV983050:GDV983051 GNR983050:GNR983051 GXN983050:GXN983051 HHJ983050:HHJ983051 HRF983050:HRF983051 IBB983050:IBB983051 IKX983050:IKX983051 IUT983050:IUT983051 JEP983050:JEP983051 JOL983050:JOL983051 JYH983050:JYH983051 KID983050:KID983051 KRZ983050:KRZ983051 LBV983050:LBV983051 LLR983050:LLR983051 LVN983050:LVN983051 MFJ983050:MFJ983051 MPF983050:MPF983051 MZB983050:MZB983051 NIX983050:NIX983051 NST983050:NST983051 OCP983050:OCP983051 OML983050:OML983051 OWH983050:OWH983051 PGD983050:PGD983051 PPZ983050:PPZ983051 PZV983050:PZV983051 QJR983050:QJR983051 QTN983050:QTN983051 RDJ983050:RDJ983051 RNF983050:RNF983051 RXB983050:RXB983051 SGX983050:SGX983051 SQT983050:SQT983051 TAP983050:TAP983051 TKL983050:TKL983051 TUH983050:TUH983051 UED983050:UED983051 UNZ983050:UNZ983051 UXV983050:UXV983051 VHR983050:VHR983051 VRN983050:VRN983051 WBJ983050:WBJ983051 WLF983050:WLF983051 WVB983050:WVB983051 B16:B20 IP16:IP20 SL16:SL20 ACH16:ACH20 AMD16:AMD20 AVZ16:AVZ20 BFV16:BFV20 BPR16:BPR20 BZN16:BZN20 CJJ16:CJJ20 CTF16:CTF20 DDB16:DDB20 DMX16:DMX20 DWT16:DWT20 EGP16:EGP20 EQL16:EQL20 FAH16:FAH20 FKD16:FKD20 FTZ16:FTZ20 GDV16:GDV20 GNR16:GNR20 GXN16:GXN20 HHJ16:HHJ20 HRF16:HRF20 IBB16:IBB20 IKX16:IKX20 IUT16:IUT20 JEP16:JEP20 JOL16:JOL20 JYH16:JYH20 KID16:KID20 KRZ16:KRZ20 LBV16:LBV20 LLR16:LLR20 LVN16:LVN20 MFJ16:MFJ20 MPF16:MPF20 MZB16:MZB20 NIX16:NIX20 NST16:NST20 OCP16:OCP20 OML16:OML20 OWH16:OWH20 PGD16:PGD20 PPZ16:PPZ20 PZV16:PZV20 QJR16:QJR20 QTN16:QTN20 RDJ16:RDJ20 RNF16:RNF20 RXB16:RXB20 SGX16:SGX20 SQT16:SQT20 TAP16:TAP20 TKL16:TKL20 TUH16:TUH20 UED16:UED20 UNZ16:UNZ20 UXV16:UXV20 VHR16:VHR20 VRN16:VRN20 WBJ16:WBJ20 WLF16:WLF20 WVB16:WVB20 B65552:B65556 IP65552:IP65556 SL65552:SL65556 ACH65552:ACH65556 AMD65552:AMD65556 AVZ65552:AVZ65556 BFV65552:BFV65556 BPR65552:BPR65556 BZN65552:BZN65556 CJJ65552:CJJ65556 CTF65552:CTF65556 DDB65552:DDB65556 DMX65552:DMX65556 DWT65552:DWT65556 EGP65552:EGP65556 EQL65552:EQL65556 FAH65552:FAH65556 FKD65552:FKD65556 FTZ65552:FTZ65556 GDV65552:GDV65556 GNR65552:GNR65556 GXN65552:GXN65556 HHJ65552:HHJ65556 HRF65552:HRF65556 IBB65552:IBB65556 IKX65552:IKX65556 IUT65552:IUT65556 JEP65552:JEP65556 JOL65552:JOL65556 JYH65552:JYH65556 KID65552:KID65556 KRZ65552:KRZ65556 LBV65552:LBV65556 LLR65552:LLR65556 LVN65552:LVN65556 MFJ65552:MFJ65556 MPF65552:MPF65556 MZB65552:MZB65556 NIX65552:NIX65556 NST65552:NST65556 OCP65552:OCP65556 OML65552:OML65556 OWH65552:OWH65556 PGD65552:PGD65556 PPZ65552:PPZ65556 PZV65552:PZV65556 QJR65552:QJR65556 QTN65552:QTN65556 RDJ65552:RDJ65556 RNF65552:RNF65556 RXB65552:RXB65556 SGX65552:SGX65556 SQT65552:SQT65556 TAP65552:TAP65556 TKL65552:TKL65556 TUH65552:TUH65556 UED65552:UED65556 UNZ65552:UNZ65556 UXV65552:UXV65556 VHR65552:VHR65556 VRN65552:VRN65556 WBJ65552:WBJ65556 WLF65552:WLF65556 WVB65552:WVB65556 B131088:B131092 IP131088:IP131092 SL131088:SL131092 ACH131088:ACH131092 AMD131088:AMD131092 AVZ131088:AVZ131092 BFV131088:BFV131092 BPR131088:BPR131092 BZN131088:BZN131092 CJJ131088:CJJ131092 CTF131088:CTF131092 DDB131088:DDB131092 DMX131088:DMX131092 DWT131088:DWT131092 EGP131088:EGP131092 EQL131088:EQL131092 FAH131088:FAH131092 FKD131088:FKD131092 FTZ131088:FTZ131092 GDV131088:GDV131092 GNR131088:GNR131092 GXN131088:GXN131092 HHJ131088:HHJ131092 HRF131088:HRF131092 IBB131088:IBB131092 IKX131088:IKX131092 IUT131088:IUT131092 JEP131088:JEP131092 JOL131088:JOL131092 JYH131088:JYH131092 KID131088:KID131092 KRZ131088:KRZ131092 LBV131088:LBV131092 LLR131088:LLR131092 LVN131088:LVN131092 MFJ131088:MFJ131092 MPF131088:MPF131092 MZB131088:MZB131092 NIX131088:NIX131092 NST131088:NST131092 OCP131088:OCP131092 OML131088:OML131092 OWH131088:OWH131092 PGD131088:PGD131092 PPZ131088:PPZ131092 PZV131088:PZV131092 QJR131088:QJR131092 QTN131088:QTN131092 RDJ131088:RDJ131092 RNF131088:RNF131092 RXB131088:RXB131092 SGX131088:SGX131092 SQT131088:SQT131092 TAP131088:TAP131092 TKL131088:TKL131092 TUH131088:TUH131092 UED131088:UED131092 UNZ131088:UNZ131092 UXV131088:UXV131092 VHR131088:VHR131092 VRN131088:VRN131092 WBJ131088:WBJ131092 WLF131088:WLF131092 WVB131088:WVB131092 B196624:B196628 IP196624:IP196628 SL196624:SL196628 ACH196624:ACH196628 AMD196624:AMD196628 AVZ196624:AVZ196628 BFV196624:BFV196628 BPR196624:BPR196628 BZN196624:BZN196628 CJJ196624:CJJ196628 CTF196624:CTF196628 DDB196624:DDB196628 DMX196624:DMX196628 DWT196624:DWT196628 EGP196624:EGP196628 EQL196624:EQL196628 FAH196624:FAH196628 FKD196624:FKD196628 FTZ196624:FTZ196628 GDV196624:GDV196628 GNR196624:GNR196628 GXN196624:GXN196628 HHJ196624:HHJ196628 HRF196624:HRF196628 IBB196624:IBB196628 IKX196624:IKX196628 IUT196624:IUT196628 JEP196624:JEP196628 JOL196624:JOL196628 JYH196624:JYH196628 KID196624:KID196628 KRZ196624:KRZ196628 LBV196624:LBV196628 LLR196624:LLR196628 LVN196624:LVN196628 MFJ196624:MFJ196628 MPF196624:MPF196628 MZB196624:MZB196628 NIX196624:NIX196628 NST196624:NST196628 OCP196624:OCP196628 OML196624:OML196628 OWH196624:OWH196628 PGD196624:PGD196628 PPZ196624:PPZ196628 PZV196624:PZV196628 QJR196624:QJR196628 QTN196624:QTN196628 RDJ196624:RDJ196628 RNF196624:RNF196628 RXB196624:RXB196628 SGX196624:SGX196628 SQT196624:SQT196628 TAP196624:TAP196628 TKL196624:TKL196628 TUH196624:TUH196628 UED196624:UED196628 UNZ196624:UNZ196628 UXV196624:UXV196628 VHR196624:VHR196628 VRN196624:VRN196628 WBJ196624:WBJ196628 WLF196624:WLF196628 WVB196624:WVB196628 B262160:B262164 IP262160:IP262164 SL262160:SL262164 ACH262160:ACH262164 AMD262160:AMD262164 AVZ262160:AVZ262164 BFV262160:BFV262164 BPR262160:BPR262164 BZN262160:BZN262164 CJJ262160:CJJ262164 CTF262160:CTF262164 DDB262160:DDB262164 DMX262160:DMX262164 DWT262160:DWT262164 EGP262160:EGP262164 EQL262160:EQL262164 FAH262160:FAH262164 FKD262160:FKD262164 FTZ262160:FTZ262164 GDV262160:GDV262164 GNR262160:GNR262164 GXN262160:GXN262164 HHJ262160:HHJ262164 HRF262160:HRF262164 IBB262160:IBB262164 IKX262160:IKX262164 IUT262160:IUT262164 JEP262160:JEP262164 JOL262160:JOL262164 JYH262160:JYH262164 KID262160:KID262164 KRZ262160:KRZ262164 LBV262160:LBV262164 LLR262160:LLR262164 LVN262160:LVN262164 MFJ262160:MFJ262164 MPF262160:MPF262164 MZB262160:MZB262164 NIX262160:NIX262164 NST262160:NST262164 OCP262160:OCP262164 OML262160:OML262164 OWH262160:OWH262164 PGD262160:PGD262164 PPZ262160:PPZ262164 PZV262160:PZV262164 QJR262160:QJR262164 QTN262160:QTN262164 RDJ262160:RDJ262164 RNF262160:RNF262164 RXB262160:RXB262164 SGX262160:SGX262164 SQT262160:SQT262164 TAP262160:TAP262164 TKL262160:TKL262164 TUH262160:TUH262164 UED262160:UED262164 UNZ262160:UNZ262164 UXV262160:UXV262164 VHR262160:VHR262164 VRN262160:VRN262164 WBJ262160:WBJ262164 WLF262160:WLF262164 WVB262160:WVB262164 B327696:B327700 IP327696:IP327700 SL327696:SL327700 ACH327696:ACH327700 AMD327696:AMD327700 AVZ327696:AVZ327700 BFV327696:BFV327700 BPR327696:BPR327700 BZN327696:BZN327700 CJJ327696:CJJ327700 CTF327696:CTF327700 DDB327696:DDB327700 DMX327696:DMX327700 DWT327696:DWT327700 EGP327696:EGP327700 EQL327696:EQL327700 FAH327696:FAH327700 FKD327696:FKD327700 FTZ327696:FTZ327700 GDV327696:GDV327700 GNR327696:GNR327700 GXN327696:GXN327700 HHJ327696:HHJ327700 HRF327696:HRF327700 IBB327696:IBB327700 IKX327696:IKX327700 IUT327696:IUT327700 JEP327696:JEP327700 JOL327696:JOL327700 JYH327696:JYH327700 KID327696:KID327700 KRZ327696:KRZ327700 LBV327696:LBV327700 LLR327696:LLR327700 LVN327696:LVN327700 MFJ327696:MFJ327700 MPF327696:MPF327700 MZB327696:MZB327700 NIX327696:NIX327700 NST327696:NST327700 OCP327696:OCP327700 OML327696:OML327700 OWH327696:OWH327700 PGD327696:PGD327700 PPZ327696:PPZ327700 PZV327696:PZV327700 QJR327696:QJR327700 QTN327696:QTN327700 RDJ327696:RDJ327700 RNF327696:RNF327700 RXB327696:RXB327700 SGX327696:SGX327700 SQT327696:SQT327700 TAP327696:TAP327700 TKL327696:TKL327700 TUH327696:TUH327700 UED327696:UED327700 UNZ327696:UNZ327700 UXV327696:UXV327700 VHR327696:VHR327700 VRN327696:VRN327700 WBJ327696:WBJ327700 WLF327696:WLF327700 WVB327696:WVB327700 B393232:B393236 IP393232:IP393236 SL393232:SL393236 ACH393232:ACH393236 AMD393232:AMD393236 AVZ393232:AVZ393236 BFV393232:BFV393236 BPR393232:BPR393236 BZN393232:BZN393236 CJJ393232:CJJ393236 CTF393232:CTF393236 DDB393232:DDB393236 DMX393232:DMX393236 DWT393232:DWT393236 EGP393232:EGP393236 EQL393232:EQL393236 FAH393232:FAH393236 FKD393232:FKD393236 FTZ393232:FTZ393236 GDV393232:GDV393236 GNR393232:GNR393236 GXN393232:GXN393236 HHJ393232:HHJ393236 HRF393232:HRF393236 IBB393232:IBB393236 IKX393232:IKX393236 IUT393232:IUT393236 JEP393232:JEP393236 JOL393232:JOL393236 JYH393232:JYH393236 KID393232:KID393236 KRZ393232:KRZ393236 LBV393232:LBV393236 LLR393232:LLR393236 LVN393232:LVN393236 MFJ393232:MFJ393236 MPF393232:MPF393236 MZB393232:MZB393236 NIX393232:NIX393236 NST393232:NST393236 OCP393232:OCP393236 OML393232:OML393236 OWH393232:OWH393236 PGD393232:PGD393236 PPZ393232:PPZ393236 PZV393232:PZV393236 QJR393232:QJR393236 QTN393232:QTN393236 RDJ393232:RDJ393236 RNF393232:RNF393236 RXB393232:RXB393236 SGX393232:SGX393236 SQT393232:SQT393236 TAP393232:TAP393236 TKL393232:TKL393236 TUH393232:TUH393236 UED393232:UED393236 UNZ393232:UNZ393236 UXV393232:UXV393236 VHR393232:VHR393236 VRN393232:VRN393236 WBJ393232:WBJ393236 WLF393232:WLF393236 WVB393232:WVB393236 B458768:B458772 IP458768:IP458772 SL458768:SL458772 ACH458768:ACH458772 AMD458768:AMD458772 AVZ458768:AVZ458772 BFV458768:BFV458772 BPR458768:BPR458772 BZN458768:BZN458772 CJJ458768:CJJ458772 CTF458768:CTF458772 DDB458768:DDB458772 DMX458768:DMX458772 DWT458768:DWT458772 EGP458768:EGP458772 EQL458768:EQL458772 FAH458768:FAH458772 FKD458768:FKD458772 FTZ458768:FTZ458772 GDV458768:GDV458772 GNR458768:GNR458772 GXN458768:GXN458772 HHJ458768:HHJ458772 HRF458768:HRF458772 IBB458768:IBB458772 IKX458768:IKX458772 IUT458768:IUT458772 JEP458768:JEP458772 JOL458768:JOL458772 JYH458768:JYH458772 KID458768:KID458772 KRZ458768:KRZ458772 LBV458768:LBV458772 LLR458768:LLR458772 LVN458768:LVN458772 MFJ458768:MFJ458772 MPF458768:MPF458772 MZB458768:MZB458772 NIX458768:NIX458772 NST458768:NST458772 OCP458768:OCP458772 OML458768:OML458772 OWH458768:OWH458772 PGD458768:PGD458772 PPZ458768:PPZ458772 PZV458768:PZV458772 QJR458768:QJR458772 QTN458768:QTN458772 RDJ458768:RDJ458772 RNF458768:RNF458772 RXB458768:RXB458772 SGX458768:SGX458772 SQT458768:SQT458772 TAP458768:TAP458772 TKL458768:TKL458772 TUH458768:TUH458772 UED458768:UED458772 UNZ458768:UNZ458772 UXV458768:UXV458772 VHR458768:VHR458772 VRN458768:VRN458772 WBJ458768:WBJ458772 WLF458768:WLF458772 WVB458768:WVB458772 B524304:B524308 IP524304:IP524308 SL524304:SL524308 ACH524304:ACH524308 AMD524304:AMD524308 AVZ524304:AVZ524308 BFV524304:BFV524308 BPR524304:BPR524308 BZN524304:BZN524308 CJJ524304:CJJ524308 CTF524304:CTF524308 DDB524304:DDB524308 DMX524304:DMX524308 DWT524304:DWT524308 EGP524304:EGP524308 EQL524304:EQL524308 FAH524304:FAH524308 FKD524304:FKD524308 FTZ524304:FTZ524308 GDV524304:GDV524308 GNR524304:GNR524308 GXN524304:GXN524308 HHJ524304:HHJ524308 HRF524304:HRF524308 IBB524304:IBB524308 IKX524304:IKX524308 IUT524304:IUT524308 JEP524304:JEP524308 JOL524304:JOL524308 JYH524304:JYH524308 KID524304:KID524308 KRZ524304:KRZ524308 LBV524304:LBV524308 LLR524304:LLR524308 LVN524304:LVN524308 MFJ524304:MFJ524308 MPF524304:MPF524308 MZB524304:MZB524308 NIX524304:NIX524308 NST524304:NST524308 OCP524304:OCP524308 OML524304:OML524308 OWH524304:OWH524308 PGD524304:PGD524308 PPZ524304:PPZ524308 PZV524304:PZV524308 QJR524304:QJR524308 QTN524304:QTN524308 RDJ524304:RDJ524308 RNF524304:RNF524308 RXB524304:RXB524308 SGX524304:SGX524308 SQT524304:SQT524308 TAP524304:TAP524308 TKL524304:TKL524308 TUH524304:TUH524308 UED524304:UED524308 UNZ524304:UNZ524308 UXV524304:UXV524308 VHR524304:VHR524308 VRN524304:VRN524308 WBJ524304:WBJ524308 WLF524304:WLF524308 WVB524304:WVB524308 B589840:B589844 IP589840:IP589844 SL589840:SL589844 ACH589840:ACH589844 AMD589840:AMD589844 AVZ589840:AVZ589844 BFV589840:BFV589844 BPR589840:BPR589844 BZN589840:BZN589844 CJJ589840:CJJ589844 CTF589840:CTF589844 DDB589840:DDB589844 DMX589840:DMX589844 DWT589840:DWT589844 EGP589840:EGP589844 EQL589840:EQL589844 FAH589840:FAH589844 FKD589840:FKD589844 FTZ589840:FTZ589844 GDV589840:GDV589844 GNR589840:GNR589844 GXN589840:GXN589844 HHJ589840:HHJ589844 HRF589840:HRF589844 IBB589840:IBB589844 IKX589840:IKX589844 IUT589840:IUT589844 JEP589840:JEP589844 JOL589840:JOL589844 JYH589840:JYH589844 KID589840:KID589844 KRZ589840:KRZ589844 LBV589840:LBV589844 LLR589840:LLR589844 LVN589840:LVN589844 MFJ589840:MFJ589844 MPF589840:MPF589844 MZB589840:MZB589844 NIX589840:NIX589844 NST589840:NST589844 OCP589840:OCP589844 OML589840:OML589844 OWH589840:OWH589844 PGD589840:PGD589844 PPZ589840:PPZ589844 PZV589840:PZV589844 QJR589840:QJR589844 QTN589840:QTN589844 RDJ589840:RDJ589844 RNF589840:RNF589844 RXB589840:RXB589844 SGX589840:SGX589844 SQT589840:SQT589844 TAP589840:TAP589844 TKL589840:TKL589844 TUH589840:TUH589844 UED589840:UED589844 UNZ589840:UNZ589844 UXV589840:UXV589844 VHR589840:VHR589844 VRN589840:VRN589844 WBJ589840:WBJ589844 WLF589840:WLF589844 WVB589840:WVB589844 B655376:B655380 IP655376:IP655380 SL655376:SL655380 ACH655376:ACH655380 AMD655376:AMD655380 AVZ655376:AVZ655380 BFV655376:BFV655380 BPR655376:BPR655380 BZN655376:BZN655380 CJJ655376:CJJ655380 CTF655376:CTF655380 DDB655376:DDB655380 DMX655376:DMX655380 DWT655376:DWT655380 EGP655376:EGP655380 EQL655376:EQL655380 FAH655376:FAH655380 FKD655376:FKD655380 FTZ655376:FTZ655380 GDV655376:GDV655380 GNR655376:GNR655380 GXN655376:GXN655380 HHJ655376:HHJ655380 HRF655376:HRF655380 IBB655376:IBB655380 IKX655376:IKX655380 IUT655376:IUT655380 JEP655376:JEP655380 JOL655376:JOL655380 JYH655376:JYH655380 KID655376:KID655380 KRZ655376:KRZ655380 LBV655376:LBV655380 LLR655376:LLR655380 LVN655376:LVN655380 MFJ655376:MFJ655380 MPF655376:MPF655380 MZB655376:MZB655380 NIX655376:NIX655380 NST655376:NST655380 OCP655376:OCP655380 OML655376:OML655380 OWH655376:OWH655380 PGD655376:PGD655380 PPZ655376:PPZ655380 PZV655376:PZV655380 QJR655376:QJR655380 QTN655376:QTN655380 RDJ655376:RDJ655380 RNF655376:RNF655380 RXB655376:RXB655380 SGX655376:SGX655380 SQT655376:SQT655380 TAP655376:TAP655380 TKL655376:TKL655380 TUH655376:TUH655380 UED655376:UED655380 UNZ655376:UNZ655380 UXV655376:UXV655380 VHR655376:VHR655380 VRN655376:VRN655380 WBJ655376:WBJ655380 WLF655376:WLF655380 WVB655376:WVB655380 B720912:B720916 IP720912:IP720916 SL720912:SL720916 ACH720912:ACH720916 AMD720912:AMD720916 AVZ720912:AVZ720916 BFV720912:BFV720916 BPR720912:BPR720916 BZN720912:BZN720916 CJJ720912:CJJ720916 CTF720912:CTF720916 DDB720912:DDB720916 DMX720912:DMX720916 DWT720912:DWT720916 EGP720912:EGP720916 EQL720912:EQL720916 FAH720912:FAH720916 FKD720912:FKD720916 FTZ720912:FTZ720916 GDV720912:GDV720916 GNR720912:GNR720916 GXN720912:GXN720916 HHJ720912:HHJ720916 HRF720912:HRF720916 IBB720912:IBB720916 IKX720912:IKX720916 IUT720912:IUT720916 JEP720912:JEP720916 JOL720912:JOL720916 JYH720912:JYH720916 KID720912:KID720916 KRZ720912:KRZ720916 LBV720912:LBV720916 LLR720912:LLR720916 LVN720912:LVN720916 MFJ720912:MFJ720916 MPF720912:MPF720916 MZB720912:MZB720916 NIX720912:NIX720916 NST720912:NST720916 OCP720912:OCP720916 OML720912:OML720916 OWH720912:OWH720916 PGD720912:PGD720916 PPZ720912:PPZ720916 PZV720912:PZV720916 QJR720912:QJR720916 QTN720912:QTN720916 RDJ720912:RDJ720916 RNF720912:RNF720916 RXB720912:RXB720916 SGX720912:SGX720916 SQT720912:SQT720916 TAP720912:TAP720916 TKL720912:TKL720916 TUH720912:TUH720916 UED720912:UED720916 UNZ720912:UNZ720916 UXV720912:UXV720916 VHR720912:VHR720916 VRN720912:VRN720916 WBJ720912:WBJ720916 WLF720912:WLF720916 WVB720912:WVB720916 B786448:B786452 IP786448:IP786452 SL786448:SL786452 ACH786448:ACH786452 AMD786448:AMD786452 AVZ786448:AVZ786452 BFV786448:BFV786452 BPR786448:BPR786452 BZN786448:BZN786452 CJJ786448:CJJ786452 CTF786448:CTF786452 DDB786448:DDB786452 DMX786448:DMX786452 DWT786448:DWT786452 EGP786448:EGP786452 EQL786448:EQL786452 FAH786448:FAH786452 FKD786448:FKD786452 FTZ786448:FTZ786452 GDV786448:GDV786452 GNR786448:GNR786452 GXN786448:GXN786452 HHJ786448:HHJ786452 HRF786448:HRF786452 IBB786448:IBB786452 IKX786448:IKX786452 IUT786448:IUT786452 JEP786448:JEP786452 JOL786448:JOL786452 JYH786448:JYH786452 KID786448:KID786452 KRZ786448:KRZ786452 LBV786448:LBV786452 LLR786448:LLR786452 LVN786448:LVN786452 MFJ786448:MFJ786452 MPF786448:MPF786452 MZB786448:MZB786452 NIX786448:NIX786452 NST786448:NST786452 OCP786448:OCP786452 OML786448:OML786452 OWH786448:OWH786452 PGD786448:PGD786452 PPZ786448:PPZ786452 PZV786448:PZV786452 QJR786448:QJR786452 QTN786448:QTN786452 RDJ786448:RDJ786452 RNF786448:RNF786452 RXB786448:RXB786452 SGX786448:SGX786452 SQT786448:SQT786452 TAP786448:TAP786452 TKL786448:TKL786452 TUH786448:TUH786452 UED786448:UED786452 UNZ786448:UNZ786452 UXV786448:UXV786452 VHR786448:VHR786452 VRN786448:VRN786452 WBJ786448:WBJ786452 WLF786448:WLF786452 WVB786448:WVB786452 B851984:B851988 IP851984:IP851988 SL851984:SL851988 ACH851984:ACH851988 AMD851984:AMD851988 AVZ851984:AVZ851988 BFV851984:BFV851988 BPR851984:BPR851988 BZN851984:BZN851988 CJJ851984:CJJ851988 CTF851984:CTF851988 DDB851984:DDB851988 DMX851984:DMX851988 DWT851984:DWT851988 EGP851984:EGP851988 EQL851984:EQL851988 FAH851984:FAH851988 FKD851984:FKD851988 FTZ851984:FTZ851988 GDV851984:GDV851988 GNR851984:GNR851988 GXN851984:GXN851988 HHJ851984:HHJ851988 HRF851984:HRF851988 IBB851984:IBB851988 IKX851984:IKX851988 IUT851984:IUT851988 JEP851984:JEP851988 JOL851984:JOL851988 JYH851984:JYH851988 KID851984:KID851988 KRZ851984:KRZ851988 LBV851984:LBV851988 LLR851984:LLR851988 LVN851984:LVN851988 MFJ851984:MFJ851988 MPF851984:MPF851988 MZB851984:MZB851988 NIX851984:NIX851988 NST851984:NST851988 OCP851984:OCP851988 OML851984:OML851988 OWH851984:OWH851988 PGD851984:PGD851988 PPZ851984:PPZ851988 PZV851984:PZV851988 QJR851984:QJR851988 QTN851984:QTN851988 RDJ851984:RDJ851988 RNF851984:RNF851988 RXB851984:RXB851988 SGX851984:SGX851988 SQT851984:SQT851988 TAP851984:TAP851988 TKL851984:TKL851988 TUH851984:TUH851988 UED851984:UED851988 UNZ851984:UNZ851988 UXV851984:UXV851988 VHR851984:VHR851988 VRN851984:VRN851988 WBJ851984:WBJ851988 WLF851984:WLF851988 WVB851984:WVB851988 B917520:B917524 IP917520:IP917524 SL917520:SL917524 ACH917520:ACH917524 AMD917520:AMD917524 AVZ917520:AVZ917524 BFV917520:BFV917524 BPR917520:BPR917524 BZN917520:BZN917524 CJJ917520:CJJ917524 CTF917520:CTF917524 DDB917520:DDB917524 DMX917520:DMX917524 DWT917520:DWT917524 EGP917520:EGP917524 EQL917520:EQL917524 FAH917520:FAH917524 FKD917520:FKD917524 FTZ917520:FTZ917524 GDV917520:GDV917524 GNR917520:GNR917524 GXN917520:GXN917524 HHJ917520:HHJ917524 HRF917520:HRF917524 IBB917520:IBB917524 IKX917520:IKX917524 IUT917520:IUT917524 JEP917520:JEP917524 JOL917520:JOL917524 JYH917520:JYH917524 KID917520:KID917524 KRZ917520:KRZ917524 LBV917520:LBV917524 LLR917520:LLR917524 LVN917520:LVN917524 MFJ917520:MFJ917524 MPF917520:MPF917524 MZB917520:MZB917524 NIX917520:NIX917524 NST917520:NST917524 OCP917520:OCP917524 OML917520:OML917524 OWH917520:OWH917524 PGD917520:PGD917524 PPZ917520:PPZ917524 PZV917520:PZV917524 QJR917520:QJR917524 QTN917520:QTN917524 RDJ917520:RDJ917524 RNF917520:RNF917524 RXB917520:RXB917524 SGX917520:SGX917524 SQT917520:SQT917524 TAP917520:TAP917524 TKL917520:TKL917524 TUH917520:TUH917524 UED917520:UED917524 UNZ917520:UNZ917524 UXV917520:UXV917524 VHR917520:VHR917524 VRN917520:VRN917524 WBJ917520:WBJ917524 WLF917520:WLF917524 WVB917520:WVB917524 B983056:B983060 IP983056:IP983060 SL983056:SL983060 ACH983056:ACH983060 AMD983056:AMD983060 AVZ983056:AVZ983060 BFV983056:BFV983060 BPR983056:BPR983060 BZN983056:BZN983060 CJJ983056:CJJ983060 CTF983056:CTF983060 DDB983056:DDB983060 DMX983056:DMX983060 DWT983056:DWT983060 EGP983056:EGP983060 EQL983056:EQL983060 FAH983056:FAH983060 FKD983056:FKD983060 FTZ983056:FTZ983060 GDV983056:GDV983060 GNR983056:GNR983060 GXN983056:GXN983060 HHJ983056:HHJ983060 HRF983056:HRF983060 IBB983056:IBB983060 IKX983056:IKX983060 IUT983056:IUT983060 JEP983056:JEP983060 JOL983056:JOL983060 JYH983056:JYH983060 KID983056:KID983060 KRZ983056:KRZ983060 LBV983056:LBV983060 LLR983056:LLR983060 LVN983056:LVN983060 MFJ983056:MFJ983060 MPF983056:MPF983060 MZB983056:MZB983060 NIX983056:NIX983060 NST983056:NST983060 OCP983056:OCP983060 OML983056:OML983060 OWH983056:OWH983060 PGD983056:PGD983060 PPZ983056:PPZ983060 PZV983056:PZV983060 QJR983056:QJR983060 QTN983056:QTN983060 RDJ983056:RDJ983060 RNF983056:RNF983060 RXB983056:RXB983060 SGX983056:SGX983060 SQT983056:SQT983060 TAP983056:TAP983060 TKL983056:TKL983060 TUH983056:TUH983060 UED983056:UED983060 UNZ983056:UNZ983060 UXV983056:UXV983060 VHR983056:VHR983060 VRN983056:VRN983060 WBJ983056:WBJ983060 WLF983056:WLF983060 WVB983056:WVB983060" xr:uid="{00000000-0002-0000-2F00-000000000000}"/>
  </dataValidations>
  <pageMargins left="0.7" right="0.7" top="0.75" bottom="0.75" header="0.3" footer="0.3"/>
  <pageSetup paperSize="8" scale="23"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L57"/>
  <sheetViews>
    <sheetView zoomScale="90" zoomScaleNormal="90" workbookViewId="0">
      <selection activeCell="B11" sqref="B11"/>
    </sheetView>
  </sheetViews>
  <sheetFormatPr defaultColWidth="9" defaultRowHeight="14.25" x14ac:dyDescent="0.15"/>
  <cols>
    <col min="1" max="1" width="32.625" style="149" customWidth="1"/>
    <col min="2" max="2" width="18.75" style="149" customWidth="1"/>
    <col min="3" max="3" width="29.125" style="149" customWidth="1"/>
    <col min="4" max="4" width="18.375" style="149" customWidth="1"/>
    <col min="5" max="12" width="9.125" style="149" customWidth="1"/>
    <col min="13" max="13" width="9" style="149" customWidth="1"/>
    <col min="14" max="14" width="9" style="149"/>
    <col min="15" max="16" width="9" style="149" customWidth="1"/>
    <col min="17" max="17" width="9" style="149"/>
    <col min="18" max="18" width="9" style="149" customWidth="1"/>
    <col min="19" max="16384" width="9" style="149"/>
  </cols>
  <sheetData>
    <row r="1" spans="1:4" ht="15" thickBot="1" x14ac:dyDescent="0.2">
      <c r="A1" s="599" t="s">
        <v>347</v>
      </c>
      <c r="D1" s="201"/>
    </row>
    <row r="2" spans="1:4" x14ac:dyDescent="0.15">
      <c r="A2" s="172" t="s">
        <v>348</v>
      </c>
      <c r="B2" s="203">
        <f>まとめ!B3</f>
        <v>107</v>
      </c>
      <c r="C2" s="204" t="s">
        <v>547</v>
      </c>
    </row>
    <row r="3" spans="1:4" x14ac:dyDescent="0.15">
      <c r="A3" s="793" t="s">
        <v>7</v>
      </c>
      <c r="B3" s="202" t="str">
        <f>まとめ!B6</f>
        <v>WEO2020　STEPS</v>
      </c>
      <c r="C3" s="205"/>
    </row>
    <row r="4" spans="1:4" x14ac:dyDescent="0.15">
      <c r="A4" s="794"/>
      <c r="B4" s="202" t="str">
        <f>まとめ!E6</f>
        <v>収斂なし</v>
      </c>
      <c r="C4" s="205"/>
    </row>
    <row r="5" spans="1:4" x14ac:dyDescent="0.15">
      <c r="A5" s="795" t="s">
        <v>9</v>
      </c>
      <c r="B5" s="202" t="str">
        <f>まとめ!B7</f>
        <v>低減率10%と低減率47%の平均</v>
      </c>
      <c r="C5" s="205"/>
    </row>
    <row r="6" spans="1:4" ht="15" thickBot="1" x14ac:dyDescent="0.2">
      <c r="A6" s="796"/>
      <c r="B6" s="206" t="str">
        <f>まとめ!F7</f>
        <v>建設費が国際価格と同率で低減</v>
      </c>
      <c r="C6" s="207"/>
    </row>
    <row r="8" spans="1:4" ht="15" thickBot="1" x14ac:dyDescent="0.2">
      <c r="A8" s="599" t="s">
        <v>497</v>
      </c>
    </row>
    <row r="9" spans="1:4" ht="20.25" customHeight="1" x14ac:dyDescent="0.15">
      <c r="A9" s="600"/>
      <c r="B9" s="601" t="s">
        <v>707</v>
      </c>
      <c r="C9" s="602" t="s">
        <v>708</v>
      </c>
    </row>
    <row r="10" spans="1:4" x14ac:dyDescent="0.15">
      <c r="A10" s="603"/>
      <c r="B10" s="254" t="s">
        <v>349</v>
      </c>
      <c r="C10" s="255" t="s">
        <v>349</v>
      </c>
    </row>
    <row r="11" spans="1:4" x14ac:dyDescent="0.15">
      <c r="A11" s="604"/>
      <c r="B11" s="256" t="s">
        <v>350</v>
      </c>
      <c r="C11" s="257" t="s">
        <v>350</v>
      </c>
    </row>
    <row r="12" spans="1:4" x14ac:dyDescent="0.15">
      <c r="A12" s="605" t="s">
        <v>277</v>
      </c>
      <c r="B12" s="606">
        <v>30.1</v>
      </c>
      <c r="C12" s="607">
        <f>IF($B$4="収斂なし",VLOOKUP($B$3,$A$23:$D$24,2,FALSE),((VLOOKUP($B$3,$A$23:$D$24,3,FALSE)-VLOOKUP($B$3,$A$23:$D$24,4,FALSE))/107*$B$2+VLOOKUP($B$3,$A$23:$D$24,4,FALSE)))</f>
        <v>23.4</v>
      </c>
    </row>
    <row r="13" spans="1:4" x14ac:dyDescent="0.15">
      <c r="A13" s="605" t="s">
        <v>36</v>
      </c>
      <c r="B13" s="606">
        <v>20.8</v>
      </c>
      <c r="C13" s="607">
        <f>IF($B$4="収斂なし",VLOOKUP($B$3,$A$39:$D$40,2,FALSE),((VLOOKUP($B$3,$A$39:$D$40,3,FALSE)-VLOOKUP($B$3,$A$39:$D$40,4,FALSE))/107*$B$2+VLOOKUP($B$3,$A$39:$D$40,4,FALSE)))</f>
        <v>17.2</v>
      </c>
    </row>
    <row r="14" spans="1:4" ht="14.25" customHeight="1" thickBot="1" x14ac:dyDescent="0.2">
      <c r="A14" s="608" t="s">
        <v>38</v>
      </c>
      <c r="B14" s="453">
        <v>34.700000000000003</v>
      </c>
      <c r="C14" s="455">
        <f>IF($B$6="建設費が国際価格と同率で低減",VLOOKUP($B$5,$A$55:$D$57,2,FALSE),((VLOOKUP($B$5,$A$55:$D$57,3,FALSE)+VLOOKUP($B$5,$A$55:$D$57,4,FALSE))/107*$B$2-VLOOKUP($B$5,$A$55:$D$57,4,FALSE)))</f>
        <v>24.8</v>
      </c>
    </row>
    <row r="15" spans="1:4" x14ac:dyDescent="0.15">
      <c r="A15" s="609"/>
      <c r="B15" s="610"/>
      <c r="C15" s="611"/>
    </row>
    <row r="16" spans="1:4" x14ac:dyDescent="0.15">
      <c r="A16" s="610"/>
      <c r="B16" s="610"/>
      <c r="C16" s="611"/>
    </row>
    <row r="17" spans="1:11" x14ac:dyDescent="0.15">
      <c r="A17" s="599" t="s">
        <v>351</v>
      </c>
    </row>
    <row r="18" spans="1:11" ht="15" thickBot="1" x14ac:dyDescent="0.2">
      <c r="A18" s="612" t="s">
        <v>383</v>
      </c>
    </row>
    <row r="19" spans="1:11" ht="21" customHeight="1" x14ac:dyDescent="0.15">
      <c r="A19" s="613"/>
      <c r="B19" s="797" t="s">
        <v>708</v>
      </c>
      <c r="C19" s="798"/>
      <c r="D19" s="799"/>
    </row>
    <row r="20" spans="1:11" x14ac:dyDescent="0.15">
      <c r="A20" s="614"/>
      <c r="B20" s="615" t="s">
        <v>709</v>
      </c>
      <c r="C20" s="800" t="s">
        <v>352</v>
      </c>
      <c r="D20" s="801"/>
    </row>
    <row r="21" spans="1:11" x14ac:dyDescent="0.15">
      <c r="A21" s="616"/>
      <c r="B21" s="254" t="s">
        <v>349</v>
      </c>
      <c r="C21" s="254" t="s">
        <v>498</v>
      </c>
      <c r="D21" s="255" t="s">
        <v>500</v>
      </c>
    </row>
    <row r="22" spans="1:11" x14ac:dyDescent="0.15">
      <c r="A22" s="616"/>
      <c r="B22" s="276" t="s">
        <v>350</v>
      </c>
      <c r="C22" s="276" t="s">
        <v>350</v>
      </c>
      <c r="D22" s="257" t="s">
        <v>350</v>
      </c>
    </row>
    <row r="23" spans="1:11" x14ac:dyDescent="0.15">
      <c r="A23" s="617" t="s">
        <v>380</v>
      </c>
      <c r="B23" s="277">
        <v>23.4</v>
      </c>
      <c r="C23" s="446">
        <v>16.3</v>
      </c>
      <c r="D23" s="447">
        <v>6.1</v>
      </c>
    </row>
    <row r="24" spans="1:11" ht="15" thickBot="1" x14ac:dyDescent="0.2">
      <c r="A24" s="618" t="s">
        <v>381</v>
      </c>
      <c r="B24" s="278">
        <v>21.8</v>
      </c>
      <c r="C24" s="448">
        <v>14.9</v>
      </c>
      <c r="D24" s="449">
        <v>6.1</v>
      </c>
    </row>
    <row r="25" spans="1:11" x14ac:dyDescent="0.15">
      <c r="A25" s="619"/>
      <c r="B25" s="610"/>
      <c r="C25" s="620"/>
      <c r="D25" s="610"/>
      <c r="E25" s="620"/>
      <c r="F25" s="610"/>
      <c r="G25" s="620"/>
      <c r="H25" s="620"/>
      <c r="I25" s="610"/>
      <c r="J25" s="620"/>
      <c r="K25" s="620"/>
    </row>
    <row r="26" spans="1:11" ht="15" thickBot="1" x14ac:dyDescent="0.2">
      <c r="A26" s="612" t="s">
        <v>379</v>
      </c>
    </row>
    <row r="27" spans="1:11" ht="21" customHeight="1" x14ac:dyDescent="0.15">
      <c r="A27" s="613"/>
      <c r="B27" s="797" t="s">
        <v>708</v>
      </c>
      <c r="C27" s="798"/>
      <c r="D27" s="799"/>
    </row>
    <row r="28" spans="1:11" x14ac:dyDescent="0.15">
      <c r="A28" s="614"/>
      <c r="B28" s="615" t="s">
        <v>709</v>
      </c>
      <c r="C28" s="800" t="s">
        <v>352</v>
      </c>
      <c r="D28" s="801"/>
    </row>
    <row r="29" spans="1:11" x14ac:dyDescent="0.15">
      <c r="A29" s="616"/>
      <c r="B29" s="254" t="s">
        <v>349</v>
      </c>
      <c r="C29" s="254" t="s">
        <v>499</v>
      </c>
      <c r="D29" s="445" t="s">
        <v>500</v>
      </c>
    </row>
    <row r="30" spans="1:11" x14ac:dyDescent="0.15">
      <c r="A30" s="616"/>
      <c r="B30" s="276" t="s">
        <v>350</v>
      </c>
      <c r="C30" s="276" t="s">
        <v>350</v>
      </c>
      <c r="D30" s="257" t="s">
        <v>350</v>
      </c>
    </row>
    <row r="31" spans="1:11" x14ac:dyDescent="0.15">
      <c r="A31" s="617" t="s">
        <v>380</v>
      </c>
      <c r="B31" s="277">
        <v>19.8</v>
      </c>
      <c r="C31" s="446">
        <v>13.9</v>
      </c>
      <c r="D31" s="447">
        <v>6.1</v>
      </c>
    </row>
    <row r="32" spans="1:11" ht="15" thickBot="1" x14ac:dyDescent="0.2">
      <c r="A32" s="618" t="s">
        <v>381</v>
      </c>
      <c r="B32" s="278">
        <v>17.8</v>
      </c>
      <c r="C32" s="448">
        <v>12.4</v>
      </c>
      <c r="D32" s="449">
        <v>6.1</v>
      </c>
    </row>
    <row r="33" spans="1:12" x14ac:dyDescent="0.15">
      <c r="A33" s="619"/>
      <c r="B33" s="610"/>
      <c r="C33" s="620"/>
      <c r="D33" s="610"/>
      <c r="E33" s="620"/>
      <c r="F33" s="610"/>
      <c r="G33" s="620"/>
      <c r="H33" s="620"/>
      <c r="I33" s="610"/>
      <c r="J33" s="620"/>
      <c r="K33" s="620"/>
    </row>
    <row r="34" spans="1:12" ht="15" thickBot="1" x14ac:dyDescent="0.2">
      <c r="A34" s="621" t="s">
        <v>384</v>
      </c>
      <c r="B34" s="622"/>
      <c r="C34" s="622"/>
      <c r="D34" s="622"/>
      <c r="E34" s="622"/>
      <c r="F34" s="622"/>
      <c r="G34" s="622"/>
      <c r="H34" s="622"/>
      <c r="I34" s="622"/>
      <c r="J34" s="622"/>
      <c r="K34" s="622"/>
      <c r="L34" s="622"/>
    </row>
    <row r="35" spans="1:12" ht="21" customHeight="1" x14ac:dyDescent="0.15">
      <c r="A35" s="613"/>
      <c r="B35" s="797" t="s">
        <v>708</v>
      </c>
      <c r="C35" s="798"/>
      <c r="D35" s="799"/>
    </row>
    <row r="36" spans="1:12" x14ac:dyDescent="0.15">
      <c r="A36" s="614"/>
      <c r="B36" s="615" t="s">
        <v>709</v>
      </c>
      <c r="C36" s="800" t="s">
        <v>352</v>
      </c>
      <c r="D36" s="801"/>
    </row>
    <row r="37" spans="1:12" x14ac:dyDescent="0.15">
      <c r="A37" s="616"/>
      <c r="B37" s="254" t="s">
        <v>349</v>
      </c>
      <c r="C37" s="254" t="s">
        <v>499</v>
      </c>
      <c r="D37" s="255" t="s">
        <v>500</v>
      </c>
    </row>
    <row r="38" spans="1:12" x14ac:dyDescent="0.15">
      <c r="A38" s="616"/>
      <c r="B38" s="276" t="s">
        <v>350</v>
      </c>
      <c r="C38" s="276" t="s">
        <v>350</v>
      </c>
      <c r="D38" s="257" t="s">
        <v>350</v>
      </c>
    </row>
    <row r="39" spans="1:12" x14ac:dyDescent="0.15">
      <c r="A39" s="617" t="s">
        <v>380</v>
      </c>
      <c r="B39" s="277">
        <v>17.2</v>
      </c>
      <c r="C39" s="446">
        <v>12.2</v>
      </c>
      <c r="D39" s="447">
        <v>7.8</v>
      </c>
    </row>
    <row r="40" spans="1:12" ht="15" thickBot="1" x14ac:dyDescent="0.2">
      <c r="A40" s="618" t="s">
        <v>381</v>
      </c>
      <c r="B40" s="278">
        <v>16.3</v>
      </c>
      <c r="C40" s="448">
        <v>11.6</v>
      </c>
      <c r="D40" s="449">
        <v>7.8</v>
      </c>
    </row>
    <row r="42" spans="1:12" ht="15" thickBot="1" x14ac:dyDescent="0.2">
      <c r="A42" s="621" t="s">
        <v>382</v>
      </c>
      <c r="B42" s="622"/>
      <c r="C42" s="622"/>
      <c r="D42" s="622"/>
      <c r="E42" s="622"/>
      <c r="F42" s="622"/>
      <c r="G42" s="622"/>
      <c r="H42" s="622"/>
      <c r="I42" s="622"/>
      <c r="J42" s="622"/>
      <c r="K42" s="622"/>
      <c r="L42" s="622"/>
    </row>
    <row r="43" spans="1:12" ht="21" customHeight="1" x14ac:dyDescent="0.15">
      <c r="A43" s="613"/>
      <c r="B43" s="797" t="s">
        <v>708</v>
      </c>
      <c r="C43" s="798"/>
      <c r="D43" s="799"/>
    </row>
    <row r="44" spans="1:12" x14ac:dyDescent="0.15">
      <c r="A44" s="614"/>
      <c r="B44" s="615" t="s">
        <v>709</v>
      </c>
      <c r="C44" s="800" t="s">
        <v>352</v>
      </c>
      <c r="D44" s="801"/>
    </row>
    <row r="45" spans="1:12" x14ac:dyDescent="0.15">
      <c r="A45" s="616"/>
      <c r="B45" s="254" t="s">
        <v>349</v>
      </c>
      <c r="C45" s="254" t="s">
        <v>499</v>
      </c>
      <c r="D45" s="445" t="s">
        <v>500</v>
      </c>
    </row>
    <row r="46" spans="1:12" x14ac:dyDescent="0.15">
      <c r="A46" s="616"/>
      <c r="B46" s="276" t="s">
        <v>350</v>
      </c>
      <c r="C46" s="276" t="s">
        <v>350</v>
      </c>
      <c r="D46" s="257" t="s">
        <v>350</v>
      </c>
    </row>
    <row r="47" spans="1:12" x14ac:dyDescent="0.15">
      <c r="A47" s="617" t="s">
        <v>380</v>
      </c>
      <c r="B47" s="277">
        <v>15.8</v>
      </c>
      <c r="C47" s="446">
        <v>11.2</v>
      </c>
      <c r="D47" s="447">
        <v>7.8</v>
      </c>
    </row>
    <row r="48" spans="1:12" ht="15" thickBot="1" x14ac:dyDescent="0.2">
      <c r="A48" s="618" t="s">
        <v>381</v>
      </c>
      <c r="B48" s="278">
        <v>14.8</v>
      </c>
      <c r="C48" s="448">
        <v>10.6</v>
      </c>
      <c r="D48" s="449">
        <v>7.8</v>
      </c>
    </row>
    <row r="50" spans="1:4" ht="15" thickBot="1" x14ac:dyDescent="0.2">
      <c r="A50" s="599" t="s">
        <v>353</v>
      </c>
    </row>
    <row r="51" spans="1:4" ht="21" customHeight="1" x14ac:dyDescent="0.15">
      <c r="A51" s="623"/>
      <c r="B51" s="797" t="s">
        <v>708</v>
      </c>
      <c r="C51" s="798"/>
      <c r="D51" s="799"/>
    </row>
    <row r="52" spans="1:4" ht="40.5" customHeight="1" x14ac:dyDescent="0.15">
      <c r="A52" s="614"/>
      <c r="B52" s="624" t="s">
        <v>354</v>
      </c>
      <c r="C52" s="791" t="s">
        <v>501</v>
      </c>
      <c r="D52" s="792"/>
    </row>
    <row r="53" spans="1:4" ht="28.5" customHeight="1" x14ac:dyDescent="0.15">
      <c r="A53" s="616"/>
      <c r="B53" s="444" t="s">
        <v>349</v>
      </c>
      <c r="C53" s="450" t="s">
        <v>499</v>
      </c>
      <c r="D53" s="451" t="s">
        <v>502</v>
      </c>
    </row>
    <row r="54" spans="1:4" x14ac:dyDescent="0.15">
      <c r="A54" s="616"/>
      <c r="B54" s="256" t="s">
        <v>350</v>
      </c>
      <c r="C54" s="276" t="s">
        <v>350</v>
      </c>
      <c r="D54" s="257" t="s">
        <v>350</v>
      </c>
    </row>
    <row r="55" spans="1:4" x14ac:dyDescent="0.15">
      <c r="A55" s="625" t="s">
        <v>355</v>
      </c>
      <c r="B55" s="277">
        <v>31.2</v>
      </c>
      <c r="C55" s="446">
        <v>16.5</v>
      </c>
      <c r="D55" s="447">
        <v>0.8</v>
      </c>
    </row>
    <row r="56" spans="1:4" x14ac:dyDescent="0.15">
      <c r="A56" s="279" t="s">
        <v>356</v>
      </c>
      <c r="B56" s="277">
        <v>24.8</v>
      </c>
      <c r="C56" s="446">
        <v>14.5</v>
      </c>
      <c r="D56" s="447">
        <v>0.8</v>
      </c>
    </row>
    <row r="57" spans="1:4" ht="15" thickBot="1" x14ac:dyDescent="0.2">
      <c r="A57" s="626" t="s">
        <v>357</v>
      </c>
      <c r="B57" s="278">
        <v>18.399999999999999</v>
      </c>
      <c r="C57" s="448">
        <v>12.5</v>
      </c>
      <c r="D57" s="452">
        <v>0.8</v>
      </c>
    </row>
  </sheetData>
  <mergeCells count="12">
    <mergeCell ref="C52:D52"/>
    <mergeCell ref="A3:A4"/>
    <mergeCell ref="A5:A6"/>
    <mergeCell ref="B19:D19"/>
    <mergeCell ref="C20:D20"/>
    <mergeCell ref="B27:D27"/>
    <mergeCell ref="C28:D28"/>
    <mergeCell ref="B35:D35"/>
    <mergeCell ref="C36:D36"/>
    <mergeCell ref="B43:D43"/>
    <mergeCell ref="C44:D44"/>
    <mergeCell ref="B51:D51"/>
  </mergeCells>
  <phoneticPr fontId="56"/>
  <pageMargins left="0.7" right="0.7" top="0.75" bottom="0.75" header="0.3" footer="0.3"/>
  <pageSetup paperSize="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R153"/>
  <sheetViews>
    <sheetView showGridLines="0" zoomScale="85" zoomScaleNormal="85" workbookViewId="0">
      <pane xSplit="10" ySplit="14" topLeftCell="BF24" activePane="bottomRight" state="frozen"/>
      <selection pane="topRight" activeCell="G43" sqref="G43"/>
      <selection pane="bottomLeft" activeCell="G43" sqref="G43"/>
      <selection pane="bottomRight" sqref="A1:H1048576"/>
    </sheetView>
  </sheetViews>
  <sheetFormatPr defaultColWidth="9" defaultRowHeight="14.25" outlineLevelCol="1" x14ac:dyDescent="0.15"/>
  <cols>
    <col min="1" max="3" width="6.25" style="9" customWidth="1"/>
    <col min="4" max="4" width="6.25" style="81" customWidth="1"/>
    <col min="5" max="5" width="24.375" style="81" customWidth="1"/>
    <col min="6" max="6" width="18.75" style="9" customWidth="1"/>
    <col min="7" max="7" width="24.375" style="81" bestFit="1" customWidth="1"/>
    <col min="8" max="8" width="9" style="9"/>
    <col min="9" max="9" width="6.25" style="2" customWidth="1"/>
    <col min="10" max="10" width="3" style="2" customWidth="1"/>
    <col min="11" max="11" width="6.25" style="2" customWidth="1"/>
    <col min="12" max="12" width="3" style="2" customWidth="1"/>
    <col min="13" max="13" width="6.25" style="2" customWidth="1"/>
    <col min="14" max="14" width="3" style="2" customWidth="1"/>
    <col min="15" max="15" width="17.375" style="2" bestFit="1" customWidth="1"/>
    <col min="16" max="16" width="8.625" style="2" customWidth="1"/>
    <col min="17" max="17" width="3" style="2" customWidth="1"/>
    <col min="18" max="18" width="17.375" style="2" bestFit="1" customWidth="1"/>
    <col min="19" max="19" width="3" style="2" customWidth="1"/>
    <col min="20" max="20" width="17.375" style="2" bestFit="1" customWidth="1"/>
    <col min="21" max="21" width="3" style="2" customWidth="1"/>
    <col min="22" max="22" width="15" style="2" customWidth="1" outlineLevel="1"/>
    <col min="23" max="23" width="17.375" style="2" bestFit="1" customWidth="1"/>
    <col min="24" max="24" width="3" style="2" customWidth="1"/>
    <col min="25" max="25" width="15" style="2" customWidth="1" outlineLevel="1"/>
    <col min="26" max="26" width="15" style="2" customWidth="1"/>
    <col min="27" max="27" width="3" style="2" customWidth="1"/>
    <col min="28" max="28" width="15" style="2" customWidth="1" outlineLevel="1"/>
    <col min="29" max="29" width="15" style="2" customWidth="1"/>
    <col min="30" max="30" width="3" style="2" customWidth="1"/>
    <col min="31" max="31" width="15" style="2" customWidth="1" outlineLevel="1"/>
    <col min="32" max="32" width="15" style="2" customWidth="1"/>
    <col min="33" max="33" width="3" style="2" customWidth="1"/>
    <col min="34" max="34" width="14.875" style="2" customWidth="1" outlineLevel="1"/>
    <col min="35" max="35" width="15" style="2" customWidth="1"/>
    <col min="36" max="36" width="3" style="2" customWidth="1"/>
    <col min="37" max="37" width="15" style="2" customWidth="1" outlineLevel="1"/>
    <col min="38" max="38" width="15" style="2" customWidth="1"/>
    <col min="39" max="39" width="3" style="2" customWidth="1"/>
    <col min="40" max="40" width="15" style="2" customWidth="1" outlineLevel="1"/>
    <col min="41" max="41" width="15" style="2" customWidth="1"/>
    <col min="42" max="42" width="3" style="2" customWidth="1"/>
    <col min="43" max="43" width="15" style="2" customWidth="1" outlineLevel="1"/>
    <col min="44" max="44" width="15" style="2" customWidth="1"/>
    <col min="45" max="45" width="3" style="2" customWidth="1"/>
    <col min="46" max="46" width="10.75" style="2" bestFit="1" customWidth="1"/>
    <col min="47" max="47" width="3" style="2" customWidth="1"/>
    <col min="48" max="48" width="15" style="2" customWidth="1" outlineLevel="1"/>
    <col min="49" max="49" width="17.375" style="2" bestFit="1" customWidth="1"/>
    <col min="50" max="50" width="3" style="2" customWidth="1"/>
    <col min="51" max="51" width="9.625" style="2" bestFit="1" customWidth="1"/>
    <col min="52" max="52" width="3" style="2" customWidth="1"/>
    <col min="53" max="53" width="15" style="2" customWidth="1" outlineLevel="1"/>
    <col min="54" max="54" width="17.375" style="2" bestFit="1" customWidth="1"/>
    <col min="55" max="55" width="3" style="2" customWidth="1"/>
    <col min="56" max="56" width="19.25" style="2" customWidth="1" outlineLevel="1"/>
    <col min="57" max="57" width="19.25" style="2" bestFit="1" customWidth="1"/>
    <col min="58" max="58" width="3" style="2" customWidth="1"/>
    <col min="59" max="59" width="19.25" style="2" customWidth="1" outlineLevel="1"/>
    <col min="60" max="60" width="19.25" style="2"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2" customWidth="1" outlineLevel="1"/>
    <col min="70" max="70" width="17.375" style="2" bestFit="1" customWidth="1"/>
    <col min="71" max="16384" width="9" style="2"/>
  </cols>
  <sheetData>
    <row r="1" spans="1:70" ht="18.75" x14ac:dyDescent="0.15">
      <c r="A1" s="465" t="s">
        <v>60</v>
      </c>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Q1" s="71"/>
      <c r="BR1" s="71"/>
    </row>
    <row r="3" spans="1:70" ht="23.25" x14ac:dyDescent="0.15">
      <c r="B3" s="462" t="s">
        <v>517</v>
      </c>
      <c r="F3" s="724" t="s">
        <v>528</v>
      </c>
      <c r="G3" s="725"/>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Q3" s="71"/>
      <c r="BR3" s="71"/>
    </row>
    <row r="4" spans="1:70" x14ac:dyDescent="0.15">
      <c r="G4" s="112"/>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Q4" s="71"/>
      <c r="BR4" s="71"/>
    </row>
    <row r="5" spans="1:70" ht="15.75" thickBot="1" x14ac:dyDescent="0.2">
      <c r="B5" s="460" t="s">
        <v>518</v>
      </c>
      <c r="C5" s="86"/>
      <c r="D5" s="104"/>
      <c r="E5" s="104"/>
      <c r="F5" s="86"/>
      <c r="G5" s="104"/>
      <c r="I5" s="5" t="s">
        <v>64</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9" t="s">
        <v>65</v>
      </c>
      <c r="F7" s="87">
        <v>2030</v>
      </c>
      <c r="I7" s="8"/>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9" t="s">
        <v>519</v>
      </c>
      <c r="F8" s="88">
        <f>まとめ!B3</f>
        <v>107</v>
      </c>
      <c r="G8" s="81" t="s">
        <v>171</v>
      </c>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9" t="s">
        <v>520</v>
      </c>
      <c r="F9" s="88">
        <f>まとめ!B2</f>
        <v>3</v>
      </c>
      <c r="G9" s="81" t="s">
        <v>172</v>
      </c>
      <c r="I9" s="720" t="s">
        <v>78</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07" t="s">
        <v>118</v>
      </c>
      <c r="AI9" s="707"/>
      <c r="AJ9" s="8"/>
      <c r="AK9" s="707" t="s">
        <v>89</v>
      </c>
      <c r="AL9" s="707"/>
      <c r="AM9" s="8"/>
      <c r="AN9" s="707" t="s">
        <v>90</v>
      </c>
      <c r="AO9" s="707"/>
      <c r="AP9" s="8"/>
      <c r="AQ9" s="707" t="s">
        <v>91</v>
      </c>
      <c r="AR9" s="707"/>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I10" s="708"/>
      <c r="J10" s="71"/>
      <c r="K10" s="708"/>
      <c r="L10" s="71"/>
      <c r="M10" s="708"/>
      <c r="N10" s="71"/>
      <c r="O10" s="717"/>
      <c r="P10" s="717"/>
      <c r="Q10" s="71"/>
      <c r="R10" s="708"/>
      <c r="S10" s="71"/>
      <c r="T10" s="708"/>
      <c r="U10" s="71"/>
      <c r="V10" s="717"/>
      <c r="W10" s="717"/>
      <c r="X10" s="71"/>
      <c r="Y10" s="717"/>
      <c r="Z10" s="717"/>
      <c r="AA10" s="71"/>
      <c r="AB10" s="723"/>
      <c r="AC10" s="723"/>
      <c r="AD10" s="81"/>
      <c r="AE10" s="723"/>
      <c r="AF10" s="723"/>
      <c r="AG10" s="71"/>
      <c r="AH10" s="717"/>
      <c r="AI10" s="717"/>
      <c r="AJ10" s="71"/>
      <c r="AK10" s="717"/>
      <c r="AL10" s="717"/>
      <c r="AM10" s="71"/>
      <c r="AN10" s="717"/>
      <c r="AO10" s="717"/>
      <c r="AP10" s="71"/>
      <c r="AQ10" s="717"/>
      <c r="AR10" s="717"/>
      <c r="AS10" s="71"/>
      <c r="AT10" s="717"/>
      <c r="AU10" s="71"/>
      <c r="AV10" s="717"/>
      <c r="AW10" s="717"/>
      <c r="AX10" s="322"/>
      <c r="AY10" s="708"/>
      <c r="AZ10" s="71"/>
      <c r="BA10" s="708"/>
      <c r="BB10" s="708"/>
      <c r="BC10" s="71"/>
      <c r="BD10" s="717"/>
      <c r="BE10" s="717"/>
      <c r="BF10" s="71"/>
      <c r="BG10" s="717"/>
      <c r="BH10" s="717"/>
      <c r="BJ10" s="708"/>
      <c r="BK10" s="708"/>
      <c r="BL10" s="708"/>
      <c r="BM10" s="322"/>
      <c r="BN10" s="717"/>
      <c r="BO10" s="717"/>
      <c r="BQ10" s="322"/>
      <c r="BR10" s="322"/>
    </row>
    <row r="11" spans="1:70" ht="15.75" customHeight="1" thickBot="1" x14ac:dyDescent="0.2">
      <c r="B11" s="460" t="s">
        <v>95</v>
      </c>
      <c r="C11" s="86"/>
      <c r="D11" s="104"/>
      <c r="E11" s="104"/>
      <c r="F11" s="86"/>
      <c r="G11" s="104"/>
      <c r="I11" s="71"/>
      <c r="J11" s="71"/>
      <c r="K11" s="71"/>
      <c r="L11" s="71"/>
      <c r="M11" s="71"/>
      <c r="N11" s="71"/>
      <c r="O11" s="322" t="s">
        <v>96</v>
      </c>
      <c r="P11" s="322"/>
      <c r="Q11" s="322"/>
      <c r="R11" s="322" t="s">
        <v>96</v>
      </c>
      <c r="S11" s="322"/>
      <c r="T11" s="322"/>
      <c r="U11" s="71"/>
      <c r="V11" s="322"/>
      <c r="W11" s="322"/>
      <c r="X11" s="71"/>
      <c r="Y11" s="322"/>
      <c r="Z11" s="322"/>
      <c r="AA11" s="71"/>
      <c r="AB11" s="322"/>
      <c r="AC11" s="322"/>
      <c r="AD11" s="71"/>
      <c r="AE11" s="322"/>
      <c r="AF11" s="322"/>
      <c r="AG11" s="71"/>
      <c r="AH11" s="322"/>
      <c r="AI11" s="322"/>
      <c r="AJ11" s="71"/>
      <c r="AK11" s="322"/>
      <c r="AL11" s="322"/>
      <c r="AM11" s="71"/>
      <c r="AN11" s="322"/>
      <c r="AO11" s="322"/>
      <c r="AP11" s="71"/>
      <c r="AQ11" s="322"/>
      <c r="AR11" s="322"/>
      <c r="AS11" s="71"/>
      <c r="AT11" s="322"/>
      <c r="AU11" s="71"/>
      <c r="AV11" s="322"/>
      <c r="AW11" s="322"/>
      <c r="AX11" s="322"/>
      <c r="AY11" s="71"/>
      <c r="AZ11" s="71"/>
      <c r="BA11" s="71"/>
      <c r="BB11" s="322"/>
      <c r="BC11" s="71"/>
      <c r="BD11" s="322"/>
      <c r="BE11" s="322"/>
      <c r="BF11" s="71"/>
      <c r="BG11" s="322"/>
      <c r="BH11" s="322"/>
      <c r="BJ11" s="156"/>
      <c r="BM11" s="322"/>
      <c r="BN11" s="322"/>
      <c r="BO11" s="322"/>
      <c r="BQ11" s="322"/>
      <c r="BR11" s="322"/>
    </row>
    <row r="12" spans="1:70" ht="14.25" customHeight="1" x14ac:dyDescent="0.15">
      <c r="I12" s="71"/>
      <c r="J12" s="71"/>
      <c r="K12" s="71"/>
      <c r="L12" s="71"/>
      <c r="M12" s="71"/>
      <c r="N12" s="71"/>
      <c r="O12" s="322"/>
      <c r="P12" s="707" t="s">
        <v>97</v>
      </c>
      <c r="Q12" s="71"/>
      <c r="R12" s="71"/>
      <c r="S12" s="71"/>
      <c r="T12" s="71"/>
      <c r="U12" s="71"/>
      <c r="V12" s="71"/>
      <c r="W12" s="707" t="s">
        <v>98</v>
      </c>
      <c r="X12" s="71"/>
      <c r="Y12" s="71"/>
      <c r="Z12" s="707" t="s">
        <v>98</v>
      </c>
      <c r="AA12" s="71"/>
      <c r="AB12" s="71"/>
      <c r="AC12" s="707" t="s">
        <v>98</v>
      </c>
      <c r="AD12" s="71"/>
      <c r="AE12" s="71"/>
      <c r="AF12" s="707" t="s">
        <v>98</v>
      </c>
      <c r="AG12" s="71"/>
      <c r="AH12" s="71"/>
      <c r="AI12" s="707" t="s">
        <v>98</v>
      </c>
      <c r="AJ12" s="71"/>
      <c r="AK12" s="71"/>
      <c r="AL12" s="707" t="s">
        <v>98</v>
      </c>
      <c r="AM12" s="71"/>
      <c r="AN12" s="71"/>
      <c r="AO12" s="707" t="s">
        <v>98</v>
      </c>
      <c r="AP12" s="71"/>
      <c r="AQ12" s="71"/>
      <c r="AR12" s="707" t="s">
        <v>98</v>
      </c>
      <c r="AS12" s="71"/>
      <c r="AT12" s="71"/>
      <c r="AU12" s="71"/>
      <c r="AV12" s="71"/>
      <c r="AW12" s="707" t="s">
        <v>98</v>
      </c>
      <c r="AX12" s="71"/>
      <c r="AY12" s="71"/>
      <c r="AZ12" s="71"/>
      <c r="BA12" s="71"/>
      <c r="BB12" s="707" t="s">
        <v>98</v>
      </c>
      <c r="BC12" s="71"/>
      <c r="BD12" s="71"/>
      <c r="BE12" s="707" t="s">
        <v>98</v>
      </c>
      <c r="BF12" s="71"/>
      <c r="BG12" s="71"/>
      <c r="BH12" s="707" t="s">
        <v>98</v>
      </c>
      <c r="BJ12" s="709" t="s">
        <v>99</v>
      </c>
      <c r="BK12" s="709" t="s">
        <v>100</v>
      </c>
      <c r="BL12" s="709" t="s">
        <v>101</v>
      </c>
      <c r="BO12" s="709" t="s">
        <v>102</v>
      </c>
      <c r="BQ12" s="71"/>
      <c r="BR12" s="707" t="s">
        <v>103</v>
      </c>
    </row>
    <row r="13" spans="1:70" ht="14.25" customHeight="1" x14ac:dyDescent="0.15">
      <c r="C13" s="9" t="s">
        <v>504</v>
      </c>
      <c r="F13" s="66">
        <v>70</v>
      </c>
      <c r="G13" s="81" t="s">
        <v>173</v>
      </c>
      <c r="I13" s="71"/>
      <c r="J13" s="71"/>
      <c r="K13" s="71"/>
      <c r="L13" s="71"/>
      <c r="M13" s="71"/>
      <c r="N13" s="71"/>
      <c r="O13" s="322"/>
      <c r="P13" s="708"/>
      <c r="Q13" s="322"/>
      <c r="R13" s="322"/>
      <c r="S13" s="322"/>
      <c r="T13" s="322"/>
      <c r="U13" s="71"/>
      <c r="V13" s="322"/>
      <c r="W13" s="708"/>
      <c r="X13" s="71"/>
      <c r="Y13" s="322"/>
      <c r="Z13" s="708"/>
      <c r="AA13" s="71"/>
      <c r="AB13" s="322"/>
      <c r="AC13" s="708"/>
      <c r="AD13" s="71"/>
      <c r="AE13" s="322"/>
      <c r="AF13" s="708"/>
      <c r="AG13" s="71"/>
      <c r="AH13" s="322"/>
      <c r="AI13" s="708"/>
      <c r="AJ13" s="71"/>
      <c r="AK13" s="322"/>
      <c r="AL13" s="708"/>
      <c r="AM13" s="71"/>
      <c r="AN13" s="322"/>
      <c r="AO13" s="708"/>
      <c r="AP13" s="71"/>
      <c r="AQ13" s="322"/>
      <c r="AR13" s="708"/>
      <c r="AS13" s="71"/>
      <c r="AT13" s="322"/>
      <c r="AU13" s="71"/>
      <c r="AV13" s="322"/>
      <c r="AW13" s="708"/>
      <c r="AX13" s="71"/>
      <c r="AY13" s="71"/>
      <c r="AZ13" s="71"/>
      <c r="BA13" s="71"/>
      <c r="BB13" s="708"/>
      <c r="BC13" s="71"/>
      <c r="BD13" s="322"/>
      <c r="BE13" s="708"/>
      <c r="BF13" s="71"/>
      <c r="BG13" s="322"/>
      <c r="BH13" s="708"/>
      <c r="BJ13" s="712"/>
      <c r="BK13" s="710"/>
      <c r="BL13" s="708"/>
      <c r="BM13" s="322"/>
      <c r="BO13" s="708"/>
      <c r="BQ13" s="322"/>
      <c r="BR13" s="708"/>
    </row>
    <row r="14" spans="1:70" ht="16.5" x14ac:dyDescent="0.15">
      <c r="C14" s="9" t="s">
        <v>505</v>
      </c>
      <c r="F14" s="88">
        <f>VLOOKUP(F3&amp;IF(G4&lt;&gt;"","_"&amp;G4,""),まとめ!$A$12:$G$34,IF(F7=2030,4,IF(F7=2020,3,IF(F7=2014,2,"-"))),0)</f>
        <v>70</v>
      </c>
      <c r="G14" s="81" t="s">
        <v>172</v>
      </c>
      <c r="I14" s="71"/>
      <c r="J14" s="71"/>
      <c r="K14" s="71"/>
      <c r="L14" s="71"/>
      <c r="M14" s="71"/>
      <c r="N14" s="71"/>
      <c r="O14" s="322"/>
      <c r="P14" s="322"/>
      <c r="Q14" s="322"/>
      <c r="R14" s="322"/>
      <c r="S14" s="322"/>
      <c r="T14" s="322"/>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50" t="s">
        <v>104</v>
      </c>
      <c r="AU14" s="71"/>
      <c r="AV14" s="71"/>
      <c r="AW14" s="71"/>
      <c r="AX14" s="71"/>
      <c r="AY14" s="71" t="s">
        <v>105</v>
      </c>
      <c r="AZ14" s="71"/>
      <c r="BA14" s="71"/>
      <c r="BB14" s="71"/>
      <c r="BC14" s="71"/>
      <c r="BD14" s="71"/>
      <c r="BE14" s="71"/>
      <c r="BF14" s="71"/>
      <c r="BG14" s="71"/>
      <c r="BH14" s="71"/>
      <c r="BQ14" s="71"/>
      <c r="BR14" s="71"/>
    </row>
    <row r="15" spans="1:70" x14ac:dyDescent="0.15">
      <c r="C15" s="9" t="s">
        <v>506</v>
      </c>
      <c r="F15" s="88">
        <f>VLOOKUP(F3&amp;IF(G4&lt;&gt;"","_"&amp;G4,""),まとめ!$A$12:$G$34,IF(F7=2030,7,IF(F7=2020,6,IF(F7=2014,5,"-"))),0)</f>
        <v>40</v>
      </c>
      <c r="G15" s="81" t="s">
        <v>108</v>
      </c>
      <c r="I15" s="38">
        <f>F7</f>
        <v>2030</v>
      </c>
      <c r="J15" s="39"/>
      <c r="K15" s="39">
        <f>IF(I15&lt;&gt;"",1,"")</f>
        <v>1</v>
      </c>
      <c r="L15" s="39"/>
      <c r="M15" s="40">
        <f t="shared" ref="M15:M46" si="0">1/(1+($F$9/100))^K15</f>
        <v>0.970873786407767</v>
      </c>
      <c r="N15" s="39"/>
      <c r="O15" s="72">
        <f>F117</f>
        <v>170800000000</v>
      </c>
      <c r="P15" s="41">
        <f t="shared" ref="P15:P46" si="1">IF(K15&lt;=$F$15,IF(OR(P14=$F$124,P14="-"),"-",IF(O15*$F$123&gt;$F$127,$F$123,$F$124)),"")</f>
        <v>0.16700000000000001</v>
      </c>
      <c r="Q15" s="39"/>
      <c r="R15" s="72">
        <f>F117</f>
        <v>170800000000</v>
      </c>
      <c r="S15" s="39"/>
      <c r="T15" s="72">
        <f>IF(ISNUMBER(R15),ROUNDDOWN(R15,-3),"")</f>
        <v>170800000000</v>
      </c>
      <c r="U15" s="39"/>
      <c r="V15" s="72">
        <f t="shared" ref="V15:V46" si="2">IF(K15&lt;=$F$15,IF(K15&lt;$F$119,IF(P15="-",V14,O15*P15),IF(K15=$F$119,MIN(IF(P15="-",V14,O15*P15),O15),0)),"")</f>
        <v>28523600000</v>
      </c>
      <c r="W15" s="72">
        <f>IF(ISNUMBER(V15),V15*$M15,"")</f>
        <v>27692815533.980583</v>
      </c>
      <c r="X15" s="39"/>
      <c r="Y15" s="72">
        <f t="shared" ref="Y15:Y46" si="3">IF($K15&lt;=$F$15,ROUNDDOWN(T15*$F$25/100,-2),"")</f>
        <v>2391200000</v>
      </c>
      <c r="Z15" s="72">
        <f>IF(ISNUMBER(Y15),Y15*$M15,"")</f>
        <v>2321553398.0582523</v>
      </c>
      <c r="AA15" s="39"/>
      <c r="AB15" s="72">
        <f t="shared" ref="AB15:AB78" si="4">IF($K15&lt;=$F$15,0,IF(AND($K15&gt;$F$15,$K15&lt;=$F$15+$F$28),$F$27*10^8/$F$28,""))</f>
        <v>0</v>
      </c>
      <c r="AC15" s="72">
        <f>IF(ISNUMBER(AB15),AB15*$M15,"")</f>
        <v>0</v>
      </c>
      <c r="AD15" s="39"/>
      <c r="AE15" s="72">
        <f t="shared" ref="AE15:AE46" si="5">IF($K15&lt;=$F$15,$F$26,"")</f>
        <v>0</v>
      </c>
      <c r="AF15" s="72">
        <f>IF(ISNUMBER(AE15),AE15*$M15,"")</f>
        <v>0</v>
      </c>
      <c r="AG15" s="39"/>
      <c r="AH15" s="72">
        <f t="shared" ref="AH15:AH46" si="6">IF($K15&lt;=$F$15,$F$33*10^8,"")</f>
        <v>440000000.00000006</v>
      </c>
      <c r="AI15" s="72">
        <f>IF(ISNUMBER(AH15),AH15*$M15,"")</f>
        <v>427184466.01941752</v>
      </c>
      <c r="AJ15" s="39"/>
      <c r="AK15" s="72">
        <f t="shared" ref="AK15:AK46" si="7">IF($K15&lt;=$F$15,$F$117*$F$34/100,"")</f>
        <v>4099200000</v>
      </c>
      <c r="AL15" s="72">
        <f>IF(ISNUMBER(AK15),AK15*$M15,"")</f>
        <v>3979805825.2427187</v>
      </c>
      <c r="AM15" s="39"/>
      <c r="AN15" s="72">
        <f t="shared" ref="AN15:AN46" si="8">IF($K15&lt;=$F$15,$F$117*$F$35/100,"")</f>
        <v>3757600000</v>
      </c>
      <c r="AO15" s="72">
        <f>IF(ISNUMBER(AN15),AN15*$M15,"")</f>
        <v>3648155339.8058252</v>
      </c>
      <c r="AP15" s="39"/>
      <c r="AQ15" s="72">
        <f t="shared" ref="AQ15:AQ46" si="9">IF($K15&lt;=$F$15,SUM(AH15,AK15,AN15)*($F$36/100),"")</f>
        <v>1012209600</v>
      </c>
      <c r="AR15" s="72">
        <f>IF(ISNUMBER(AQ15),AQ15*$M15,"")</f>
        <v>982727766.99029124</v>
      </c>
      <c r="AS15" s="39"/>
      <c r="AT15" s="40">
        <f>IF($K15&lt;=$F$15,IF($F$40&lt;&gt;"",$F$40/1000,IF(ISERROR(VLOOKUP($F$3&amp;IF($G$4&lt;&gt;"",$G$4,"")&amp;IF($F$43&lt;&gt;"","_"&amp;$F$43,""),'表3）燃料価格'!$AF$9:$AG$25,2,0)),0,VLOOKUP($I15,'表3）燃料価格'!$A$6:$U$66,VLOOKUP($F$3&amp;IF($G$4&lt;&gt;"",$G$4,"")&amp;IF($F$43&lt;&gt;"","_"&amp;$F$43,""),'表3）燃料価格'!$AF$9:$AG$25,2,0)+VLOOKUP($F$41,'表3）燃料価格'!$AF$28:$AG$29,2,0),0)*IF($F$43="需要地価格",1,$F$8/$F$141))),"")</f>
        <v>10.869059999999999</v>
      </c>
      <c r="AU15" s="39"/>
      <c r="AV15" s="72">
        <f t="shared" ref="AV15:AV46" si="10">IF($K15&lt;=$F$15,($AT15+$F$142)*$F$137,"")</f>
        <v>17528819487.201183</v>
      </c>
      <c r="AW15" s="72">
        <f>IF(ISNUMBER(AV15),AV15*$M15,"")</f>
        <v>17018271346.797266</v>
      </c>
      <c r="AX15" s="39"/>
      <c r="AY15" s="40">
        <f>IF(ISERROR(IF($K15&lt;=$F$15,VLOOKUP($I15,'表4）CO2価格'!$A$7:$E$67,VLOOKUP($F$48,'表4）CO2価格'!$H$10:$I$12,2,0),0)*$F$8/1000,"")),0,IF($K15&lt;=$F$15,VLOOKUP($I15,'表4）CO2価格'!$A$7:$E$67,VLOOKUP($F$48,'表4）CO2価格'!$H$10:$I$12,2,0),0)*$F$8/1000,""))</f>
        <v>4.28</v>
      </c>
      <c r="AZ15" s="39"/>
      <c r="BA15" s="42">
        <f t="shared" ref="BA15:BA46" si="11">IF($K15&lt;=$F$15,$F$145*AY15,"")</f>
        <v>13541168561.87586</v>
      </c>
      <c r="BB15" s="72">
        <f>IF(ISNUMBER(BA15),BA15*$M15,"")</f>
        <v>13146765594.054234</v>
      </c>
      <c r="BC15" s="39"/>
      <c r="BD15" s="72">
        <f t="shared" ref="BD15:BD46" si="12">IF($K15&lt;=$F$15,($AT15+$F$152)*$F$151,"")</f>
        <v>0</v>
      </c>
      <c r="BE15" s="72">
        <f>IF(ISNUMBER(BD15),BD15*$M15,"")</f>
        <v>0</v>
      </c>
      <c r="BF15" s="39"/>
      <c r="BG15" s="42">
        <f t="shared" ref="BG15:BG46" si="13">IF($K15&lt;=$F$15,$F$153*AY15,"")</f>
        <v>0</v>
      </c>
      <c r="BH15" s="72">
        <f>IF(ISNUMBER(BG15),BG15*$M15,"")</f>
        <v>0</v>
      </c>
      <c r="BI15" s="39"/>
      <c r="BJ15" s="40" t="str">
        <f>IF(ISNUMBER($F$16),IF($K15&lt;=$F$16+$F$28,1/(1+($F$17/100))^K15,""),"")</f>
        <v/>
      </c>
      <c r="BK15" s="157" t="str">
        <f>IF(ISNUMBER($F$16),IF($K15&lt;=$F$16+$F$28,IF($K15&lt;=$F$16,SUM(Y15,AB15,AE15,AH15,AK15,AN15,AQ15,AV15,BA15,BD15,BG15),$F$27/$F$28*10^8)*BJ15,""),"")</f>
        <v/>
      </c>
      <c r="BL15" s="157" t="str">
        <f t="shared" ref="BL15:BL78" si="14">IF(AND(ISNUMBER(BJ15),$K15&lt;=$F$16),BQ15*BJ15,"")</f>
        <v/>
      </c>
      <c r="BM15" s="72"/>
      <c r="BN15" s="72" t="str">
        <f>IF(AND(ISNUMBER($F$16),$K15&lt;=$F$16),BQ15*($O$15+$BK$116)/$BL$116,"")</f>
        <v/>
      </c>
      <c r="BO15" s="72" t="str">
        <f>IF(ISNUMBER(BN15),BN15*$M15,"")</f>
        <v/>
      </c>
      <c r="BP15" s="39"/>
      <c r="BQ15" s="72">
        <f t="shared" ref="BQ15:BQ46" si="15">IF($K15&lt;=$F$15,$F$134,"")</f>
        <v>4056318000</v>
      </c>
      <c r="BR15" s="72">
        <f>IF(ISNUMBER(BQ15),BQ15*$M15,"")</f>
        <v>3938172815.5339808</v>
      </c>
    </row>
    <row r="16" spans="1:70" x14ac:dyDescent="0.15">
      <c r="C16" s="236" t="s">
        <v>107</v>
      </c>
      <c r="F16" s="88" t="str">
        <f>IF(ISERROR(VLOOKUP(F3&amp;IF(G4&lt;&gt;"","_"&amp;G4,""),'表7）買取期間・IRR'!$A$3:$A$10,1,0)),"",VLOOKUP(F3&amp;IF(G4&lt;&gt;"","_"&amp;G4,""),'表7）買取期間・IRR'!$A$3:$C$10,IF(F7=2030,4,IF(F7=2020,3,IF(F7=2014,2,"-"))),0))</f>
        <v/>
      </c>
      <c r="G16" s="81" t="s">
        <v>108</v>
      </c>
      <c r="I16" s="322">
        <f>I15+1</f>
        <v>2031</v>
      </c>
      <c r="J16" s="71"/>
      <c r="K16" s="71">
        <f>IF(I16&lt;&gt;"",K15+1,"")</f>
        <v>2</v>
      </c>
      <c r="L16" s="71"/>
      <c r="M16" s="7">
        <f t="shared" si="0"/>
        <v>0.94259590913375435</v>
      </c>
      <c r="N16" s="71"/>
      <c r="O16" s="10">
        <f t="shared" ref="O16:O47" si="16">IF(K16&lt;=$F$15,O15-V15,"")</f>
        <v>142276400000</v>
      </c>
      <c r="P16" s="29">
        <f t="shared" si="1"/>
        <v>0.16700000000000001</v>
      </c>
      <c r="Q16" s="71"/>
      <c r="R16" s="10">
        <f t="shared" ref="R16:R47" si="17">IF($K16&lt;=$F$15,MAX($F$117*5%,R15*$F$129),"")</f>
        <v>146494459479.32471</v>
      </c>
      <c r="S16" s="71"/>
      <c r="T16" s="10">
        <f t="shared" ref="T16:T79" si="18">IF(ISNUMBER(R16),ROUNDDOWN(R16,-3),"")</f>
        <v>146494459000</v>
      </c>
      <c r="U16" s="71"/>
      <c r="V16" s="10">
        <f t="shared" si="2"/>
        <v>23760158800</v>
      </c>
      <c r="W16" s="10">
        <f t="shared" ref="W16:W54" si="19">IF(ISNUMBER(V16),V16*$M16,"")</f>
        <v>22396228485.248375</v>
      </c>
      <c r="X16" s="71"/>
      <c r="Y16" s="10">
        <f t="shared" si="3"/>
        <v>2050922400</v>
      </c>
      <c r="Z16" s="10">
        <f t="shared" ref="Z16:Z54" si="20">IF(ISNUMBER(Y16),Y16*$M16,"")</f>
        <v>1933191064.1907814</v>
      </c>
      <c r="AA16" s="71"/>
      <c r="AB16" s="10">
        <f t="shared" si="4"/>
        <v>0</v>
      </c>
      <c r="AC16" s="10">
        <f t="shared" ref="AC16:AC54" si="21">IF(ISNUMBER(AB16),AB16*$M16,"")</f>
        <v>0</v>
      </c>
      <c r="AD16" s="71"/>
      <c r="AE16" s="10">
        <f t="shared" si="5"/>
        <v>0</v>
      </c>
      <c r="AF16" s="10">
        <f t="shared" ref="AF16:AF54" si="22">IF(ISNUMBER(AE16),AE16*$M16,"")</f>
        <v>0</v>
      </c>
      <c r="AG16" s="71"/>
      <c r="AH16" s="10">
        <f t="shared" si="6"/>
        <v>440000000.00000006</v>
      </c>
      <c r="AI16" s="10">
        <f t="shared" ref="AI16:AI54" si="23">IF(ISNUMBER(AH16),AH16*$M16,"")</f>
        <v>414742200.018852</v>
      </c>
      <c r="AJ16" s="71"/>
      <c r="AK16" s="10">
        <f t="shared" si="7"/>
        <v>4099200000</v>
      </c>
      <c r="AL16" s="10">
        <f t="shared" ref="AL16:AL54" si="24">IF(ISNUMBER(AK16),AK16*$M16,"")</f>
        <v>3863889150.721086</v>
      </c>
      <c r="AM16" s="71"/>
      <c r="AN16" s="10">
        <f t="shared" si="8"/>
        <v>3757600000</v>
      </c>
      <c r="AO16" s="10">
        <f t="shared" ref="AO16:AO54" si="25">IF(ISNUMBER(AN16),AN16*$M16,"")</f>
        <v>3541898388.1609955</v>
      </c>
      <c r="AP16" s="71"/>
      <c r="AQ16" s="10">
        <f t="shared" si="9"/>
        <v>1012209600</v>
      </c>
      <c r="AR16" s="10">
        <f t="shared" ref="AR16:AR79" si="26">IF(ISNUMBER(AQ16),AQ16*$M16,"")</f>
        <v>954104628.14591384</v>
      </c>
      <c r="AS16" s="71"/>
      <c r="AT16" s="7">
        <f>IF($K16&lt;=$F$15,IF($F$40&lt;&gt;"",$F$40/1000,IF(ISERROR(VLOOKUP($F$3&amp;IF($G$4&lt;&gt;"",$G$4,"")&amp;IF($F$43&lt;&gt;"","_"&amp;$F$43,""),'表3）燃料価格'!$AF$9:$AG$25,2,0)),0,VLOOKUP($I16,'表3）燃料価格'!$A$6:$U$66,VLOOKUP($F$3&amp;IF($G$4&lt;&gt;"",$G$4,"")&amp;IF($F$43&lt;&gt;"","_"&amp;$F$43,""),'表3）燃料価格'!$AF$9:$AG$25,2,0)+VLOOKUP($F$41,'表3）燃料価格'!$AF$28:$AG$29,2,0),0)*IF($F$43="需要地価格",1,$F$8/$F$141))),"")</f>
        <v>10.869059999999999</v>
      </c>
      <c r="AU16" s="71"/>
      <c r="AV16" s="10">
        <f t="shared" si="10"/>
        <v>17528819487.201183</v>
      </c>
      <c r="AW16" s="10">
        <f t="shared" ref="AW16:AW79" si="27">IF(ISNUMBER(AV16),AV16*$M16,"")</f>
        <v>16522593540.579868</v>
      </c>
      <c r="AX16" s="71"/>
      <c r="AY16" s="7">
        <f>IF(ISERROR(IF($K16&lt;=$F$15,VLOOKUP($I16,'表4）CO2価格'!$A$7:$E$67,VLOOKUP($F$48,'表4）CO2価格'!$H$10:$I$12,2,0),0)*$F$8/1000,"")),0,IF($K16&lt;=$F$15,VLOOKUP($I16,'表4）CO2価格'!$A$7:$E$67,VLOOKUP($F$48,'表4）CO2価格'!$H$10:$I$12,2,0),0)*$F$8/1000,""))</f>
        <v>4.4083999999999808</v>
      </c>
      <c r="AZ16" s="71"/>
      <c r="BA16" s="11">
        <f>IF($K16&lt;=$F$15,$F$145*AY16,"")</f>
        <v>13947403618.732075</v>
      </c>
      <c r="BB16" s="10">
        <f t="shared" ref="BB16:BB79" si="28">IF(ISNUMBER(BA16),BA16*$M16,"")</f>
        <v>13146765594.054174</v>
      </c>
      <c r="BC16" s="71"/>
      <c r="BD16" s="10">
        <f t="shared" si="12"/>
        <v>0</v>
      </c>
      <c r="BE16" s="10">
        <f t="shared" ref="BE16:BE79" si="29">IF(ISNUMBER(BD16),BD16*$M16,"")</f>
        <v>0</v>
      </c>
      <c r="BF16" s="71"/>
      <c r="BG16" s="11">
        <f t="shared" si="13"/>
        <v>0</v>
      </c>
      <c r="BH16" s="10">
        <f t="shared" ref="BH16:BH79" si="30">IF(ISNUMBER(BG16),BG16*$M16,"")</f>
        <v>0</v>
      </c>
      <c r="BJ16" s="7" t="str">
        <f t="shared" ref="BJ16:BJ79" si="31">IF(ISNUMBER($F$16),IF($K16&lt;=$F$16+$F$28,1/(1+($F$17/100))^K16,""),"")</f>
        <v/>
      </c>
      <c r="BK16" s="158" t="str">
        <f t="shared" ref="BK16:BK79" si="32">IF(ISNUMBER($F$16),IF($K16&lt;=$F$16+$F$28,IF($K16&lt;=$F$16,SUM(Y16,AB16,AE16,AH16,AK16,AN16,AQ16,AV16,BA16,BD16,BG16),$F$27/$F$28*10^8)*BJ16,""),"")</f>
        <v/>
      </c>
      <c r="BL16" s="158" t="str">
        <f t="shared" si="14"/>
        <v/>
      </c>
      <c r="BM16" s="10"/>
      <c r="BN16" s="10" t="str">
        <f t="shared" ref="BN16:BN79" si="33">IF(AND(ISNUMBER($F$16),$K16&lt;=$F$16),BQ16*($O$15+$BK$116)/$BL$116,"")</f>
        <v/>
      </c>
      <c r="BO16" s="10" t="str">
        <f t="shared" ref="BO16:BO79" si="34">IF(ISNUMBER(BN16),BN16*$M16,"")</f>
        <v/>
      </c>
      <c r="BQ16" s="10">
        <f t="shared" si="15"/>
        <v>4056318000</v>
      </c>
      <c r="BR16" s="10">
        <f t="shared" ref="BR16:BR79" si="35">IF(ISNUMBER(BQ16),BQ16*$M16,"")</f>
        <v>3823468752.945612</v>
      </c>
    </row>
    <row r="17" spans="3:70" x14ac:dyDescent="0.15">
      <c r="C17" s="9" t="s">
        <v>109</v>
      </c>
      <c r="F17" s="143" t="str">
        <f>IF(ISERROR(VLOOKUP(F3&amp;IF(G4&lt;&gt;"","_"&amp;G4,""),'表7）買取期間・IRR'!$A$14:$A$21,1,0)),"",VLOOKUP(F3&amp;IF(G4&lt;&gt;"","_"&amp;G4,""),'表7）買取期間・IRR'!$A$14:$C$21,IF(F7=2030,4,IF(F7=2020,3,IF(F7=2014,2,"-"))),0))</f>
        <v/>
      </c>
      <c r="G17" s="81" t="s">
        <v>172</v>
      </c>
      <c r="I17" s="38">
        <f t="shared" ref="I17:I80" si="36">I16+1</f>
        <v>2032</v>
      </c>
      <c r="J17" s="39"/>
      <c r="K17" s="39">
        <f t="shared" ref="K17:K80" si="37">IF(I17&lt;&gt;"",K16+1,"")</f>
        <v>3</v>
      </c>
      <c r="L17" s="39"/>
      <c r="M17" s="40">
        <f t="shared" si="0"/>
        <v>0.91514165935315961</v>
      </c>
      <c r="N17" s="39"/>
      <c r="O17" s="72">
        <f t="shared" si="16"/>
        <v>118516241200</v>
      </c>
      <c r="P17" s="41">
        <f t="shared" si="1"/>
        <v>0.16700000000000001</v>
      </c>
      <c r="Q17" s="39"/>
      <c r="R17" s="72">
        <f t="shared" si="17"/>
        <v>125647697061.70673</v>
      </c>
      <c r="S17" s="39"/>
      <c r="T17" s="72">
        <f t="shared" si="18"/>
        <v>125647697000</v>
      </c>
      <c r="U17" s="39"/>
      <c r="V17" s="72">
        <f t="shared" si="2"/>
        <v>19792212280.400002</v>
      </c>
      <c r="W17" s="72">
        <f t="shared" si="19"/>
        <v>18112677988.555241</v>
      </c>
      <c r="X17" s="39"/>
      <c r="Y17" s="72">
        <f t="shared" si="3"/>
        <v>1759067700</v>
      </c>
      <c r="Z17" s="72">
        <f t="shared" si="20"/>
        <v>1609796133.8925459</v>
      </c>
      <c r="AA17" s="39"/>
      <c r="AB17" s="72">
        <f t="shared" si="4"/>
        <v>0</v>
      </c>
      <c r="AC17" s="72">
        <f t="shared" si="21"/>
        <v>0</v>
      </c>
      <c r="AD17" s="39"/>
      <c r="AE17" s="72">
        <f t="shared" si="5"/>
        <v>0</v>
      </c>
      <c r="AF17" s="72">
        <f t="shared" si="22"/>
        <v>0</v>
      </c>
      <c r="AG17" s="39"/>
      <c r="AH17" s="72">
        <f t="shared" si="6"/>
        <v>440000000.00000006</v>
      </c>
      <c r="AI17" s="72">
        <f t="shared" si="23"/>
        <v>402662330.1153903</v>
      </c>
      <c r="AJ17" s="39"/>
      <c r="AK17" s="72">
        <f t="shared" si="7"/>
        <v>4099200000</v>
      </c>
      <c r="AL17" s="72">
        <f t="shared" si="24"/>
        <v>3751348690.020472</v>
      </c>
      <c r="AM17" s="39"/>
      <c r="AN17" s="72">
        <f t="shared" si="8"/>
        <v>3757600000</v>
      </c>
      <c r="AO17" s="72">
        <f t="shared" si="25"/>
        <v>3438736299.1854324</v>
      </c>
      <c r="AP17" s="39"/>
      <c r="AQ17" s="72">
        <f t="shared" si="9"/>
        <v>1012209600</v>
      </c>
      <c r="AR17" s="72">
        <f t="shared" si="26"/>
        <v>926315172.9571979</v>
      </c>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10.869059999999999</v>
      </c>
      <c r="AU17" s="39"/>
      <c r="AV17" s="72">
        <f t="shared" si="10"/>
        <v>17528819487.201183</v>
      </c>
      <c r="AW17" s="72">
        <f t="shared" si="27"/>
        <v>16041352952.019291</v>
      </c>
      <c r="AX17" s="39"/>
      <c r="AY17" s="40">
        <f>IF(ISERROR(IF($K17&lt;=$F$15,VLOOKUP($I17,'表4）CO2価格'!$A$7:$E$67,VLOOKUP($F$48,'表4）CO2価格'!$H$10:$I$12,2,0),0)*$F$8/1000,"")),0,IF($K17&lt;=$F$15,VLOOKUP($I17,'表4）CO2価格'!$A$7:$E$67,VLOOKUP($F$48,'表4）CO2価格'!$H$10:$I$12,2,0),0)*$F$8/1000,""))</f>
        <v>4.5368000000000102</v>
      </c>
      <c r="AZ17" s="39"/>
      <c r="BA17" s="42">
        <f t="shared" si="11"/>
        <v>14353638675.588444</v>
      </c>
      <c r="BB17" s="72">
        <f t="shared" si="28"/>
        <v>13135612715.333696</v>
      </c>
      <c r="BC17" s="39"/>
      <c r="BD17" s="72">
        <f t="shared" si="12"/>
        <v>0</v>
      </c>
      <c r="BE17" s="72">
        <f t="shared" si="29"/>
        <v>0</v>
      </c>
      <c r="BF17" s="39"/>
      <c r="BG17" s="42">
        <f t="shared" si="13"/>
        <v>0</v>
      </c>
      <c r="BH17" s="72">
        <f t="shared" si="30"/>
        <v>0</v>
      </c>
      <c r="BI17" s="39"/>
      <c r="BJ17" s="40" t="str">
        <f t="shared" si="31"/>
        <v/>
      </c>
      <c r="BK17" s="157" t="str">
        <f t="shared" si="32"/>
        <v/>
      </c>
      <c r="BL17" s="157" t="str">
        <f t="shared" si="14"/>
        <v/>
      </c>
      <c r="BM17" s="72"/>
      <c r="BN17" s="72" t="str">
        <f t="shared" si="33"/>
        <v/>
      </c>
      <c r="BO17" s="72" t="str">
        <f t="shared" si="34"/>
        <v/>
      </c>
      <c r="BP17" s="39"/>
      <c r="BQ17" s="72">
        <f t="shared" si="15"/>
        <v>4056318000</v>
      </c>
      <c r="BR17" s="72">
        <f t="shared" si="35"/>
        <v>3712105585.3840895</v>
      </c>
    </row>
    <row r="18" spans="3:70" x14ac:dyDescent="0.15">
      <c r="I18" s="322">
        <f t="shared" si="36"/>
        <v>2033</v>
      </c>
      <c r="J18" s="71"/>
      <c r="K18" s="71">
        <f t="shared" si="37"/>
        <v>4</v>
      </c>
      <c r="L18" s="71"/>
      <c r="M18" s="7">
        <f t="shared" si="0"/>
        <v>0.888487047915689</v>
      </c>
      <c r="N18" s="71"/>
      <c r="O18" s="10">
        <f t="shared" si="16"/>
        <v>98724028919.600006</v>
      </c>
      <c r="P18" s="29">
        <f t="shared" si="1"/>
        <v>0.16700000000000001</v>
      </c>
      <c r="Q18" s="71"/>
      <c r="R18" s="10">
        <f t="shared" si="17"/>
        <v>107767514437.217</v>
      </c>
      <c r="S18" s="71"/>
      <c r="T18" s="10">
        <f t="shared" si="18"/>
        <v>107767514000</v>
      </c>
      <c r="U18" s="71"/>
      <c r="V18" s="10">
        <f t="shared" si="2"/>
        <v>16486912829.573202</v>
      </c>
      <c r="W18" s="10">
        <f t="shared" si="19"/>
        <v>14648408509.190794</v>
      </c>
      <c r="X18" s="71"/>
      <c r="Y18" s="10">
        <f t="shared" si="3"/>
        <v>1508745100</v>
      </c>
      <c r="Z18" s="10">
        <f t="shared" si="20"/>
        <v>1340500479.9562609</v>
      </c>
      <c r="AA18" s="71"/>
      <c r="AB18" s="10">
        <f t="shared" si="4"/>
        <v>0</v>
      </c>
      <c r="AC18" s="10">
        <f t="shared" si="21"/>
        <v>0</v>
      </c>
      <c r="AD18" s="71"/>
      <c r="AE18" s="10">
        <f t="shared" si="5"/>
        <v>0</v>
      </c>
      <c r="AF18" s="10">
        <f t="shared" si="22"/>
        <v>0</v>
      </c>
      <c r="AG18" s="71"/>
      <c r="AH18" s="10">
        <f t="shared" si="6"/>
        <v>440000000.00000006</v>
      </c>
      <c r="AI18" s="10">
        <f t="shared" si="23"/>
        <v>390934301.08290321</v>
      </c>
      <c r="AJ18" s="71"/>
      <c r="AK18" s="10">
        <f t="shared" si="7"/>
        <v>4099200000</v>
      </c>
      <c r="AL18" s="10">
        <f t="shared" si="24"/>
        <v>3642086106.8159924</v>
      </c>
      <c r="AM18" s="71"/>
      <c r="AN18" s="10">
        <f t="shared" si="8"/>
        <v>3757600000</v>
      </c>
      <c r="AO18" s="10">
        <f t="shared" si="25"/>
        <v>3338578931.247993</v>
      </c>
      <c r="AP18" s="71"/>
      <c r="AQ18" s="10">
        <f t="shared" si="9"/>
        <v>1012209600</v>
      </c>
      <c r="AR18" s="10">
        <f t="shared" si="26"/>
        <v>899335119.37592041</v>
      </c>
      <c r="AS18" s="71"/>
      <c r="AT18" s="7">
        <f>IF($K18&lt;=$F$15,IF($F$40&lt;&gt;"",$F$40/1000,IF(ISERROR(VLOOKUP($F$3&amp;IF($G$4&lt;&gt;"",$G$4,"")&amp;IF($F$43&lt;&gt;"","_"&amp;$F$43,""),'表3）燃料価格'!$AF$9:$AG$25,2,0)),0,VLOOKUP($I18,'表3）燃料価格'!$A$6:$U$66,VLOOKUP($F$3&amp;IF($G$4&lt;&gt;"",$G$4,"")&amp;IF($F$43&lt;&gt;"","_"&amp;$F$43,""),'表3）燃料価格'!$AF$9:$AG$25,2,0)+VLOOKUP($F$41,'表3）燃料価格'!$AF$28:$AG$29,2,0),0)*IF($F$43="需要地価格",1,$F$8/$F$141))),"")</f>
        <v>10.869059999999999</v>
      </c>
      <c r="AU18" s="71"/>
      <c r="AV18" s="10">
        <f t="shared" si="10"/>
        <v>17528819487.201183</v>
      </c>
      <c r="AW18" s="10">
        <f t="shared" si="27"/>
        <v>15574129079.630381</v>
      </c>
      <c r="AX18" s="71"/>
      <c r="AY18" s="7">
        <f>IF(ISERROR(IF($K18&lt;=$F$15,VLOOKUP($I18,'表4）CO2価格'!$A$7:$E$67,VLOOKUP($F$48,'表4）CO2価格'!$H$10:$I$12,2,0),0)*$F$8/1000,"")),0,IF($K18&lt;=$F$15,VLOOKUP($I18,'表4）CO2価格'!$A$7:$E$67,VLOOKUP($F$48,'表4）CO2価格'!$H$10:$I$12,2,0),0)*$F$8/1000,""))</f>
        <v>4.6651999999999898</v>
      </c>
      <c r="AZ18" s="71"/>
      <c r="BA18" s="11">
        <f t="shared" si="11"/>
        <v>14759873732.444656</v>
      </c>
      <c r="BB18" s="10">
        <f t="shared" si="28"/>
        <v>13113956640.148075</v>
      </c>
      <c r="BC18" s="71"/>
      <c r="BD18" s="10">
        <f t="shared" si="12"/>
        <v>0</v>
      </c>
      <c r="BE18" s="10">
        <f t="shared" si="29"/>
        <v>0</v>
      </c>
      <c r="BF18" s="71"/>
      <c r="BG18" s="11">
        <f t="shared" si="13"/>
        <v>0</v>
      </c>
      <c r="BH18" s="10">
        <f t="shared" si="30"/>
        <v>0</v>
      </c>
      <c r="BJ18" s="7" t="str">
        <f t="shared" si="31"/>
        <v/>
      </c>
      <c r="BK18" s="158" t="str">
        <f t="shared" si="32"/>
        <v/>
      </c>
      <c r="BL18" s="158" t="str">
        <f t="shared" si="14"/>
        <v/>
      </c>
      <c r="BM18" s="10"/>
      <c r="BN18" s="10" t="str">
        <f t="shared" si="33"/>
        <v/>
      </c>
      <c r="BO18" s="10" t="str">
        <f t="shared" si="34"/>
        <v/>
      </c>
      <c r="BQ18" s="10">
        <f t="shared" si="15"/>
        <v>4056318000</v>
      </c>
      <c r="BR18" s="10">
        <f t="shared" si="35"/>
        <v>3603986005.2272716</v>
      </c>
    </row>
    <row r="19" spans="3:70" x14ac:dyDescent="0.15">
      <c r="C19" s="89" t="s">
        <v>371</v>
      </c>
      <c r="D19" s="101"/>
      <c r="E19" s="101"/>
      <c r="F19" s="89"/>
      <c r="G19" s="101"/>
      <c r="I19" s="38">
        <f t="shared" si="36"/>
        <v>2034</v>
      </c>
      <c r="J19" s="39"/>
      <c r="K19" s="39">
        <f t="shared" si="37"/>
        <v>5</v>
      </c>
      <c r="L19" s="39"/>
      <c r="M19" s="40">
        <f t="shared" si="0"/>
        <v>0.86260878438416411</v>
      </c>
      <c r="N19" s="39"/>
      <c r="O19" s="72">
        <f t="shared" si="16"/>
        <v>82237116090.02681</v>
      </c>
      <c r="P19" s="41">
        <f t="shared" si="1"/>
        <v>0.16700000000000001</v>
      </c>
      <c r="Q19" s="39"/>
      <c r="R19" s="72">
        <f t="shared" si="17"/>
        <v>92431755134.135986</v>
      </c>
      <c r="S19" s="39"/>
      <c r="T19" s="72">
        <f t="shared" si="18"/>
        <v>92431755000</v>
      </c>
      <c r="U19" s="39"/>
      <c r="V19" s="72">
        <f t="shared" si="2"/>
        <v>13733598387.034477</v>
      </c>
      <c r="W19" s="72">
        <f t="shared" si="19"/>
        <v>11846722609.860126</v>
      </c>
      <c r="X19" s="39"/>
      <c r="Y19" s="72">
        <f t="shared" si="3"/>
        <v>1294044500</v>
      </c>
      <c r="Z19" s="72">
        <f t="shared" si="20"/>
        <v>1116254153.0840135</v>
      </c>
      <c r="AA19" s="39"/>
      <c r="AB19" s="72">
        <f t="shared" si="4"/>
        <v>0</v>
      </c>
      <c r="AC19" s="72">
        <f t="shared" si="21"/>
        <v>0</v>
      </c>
      <c r="AD19" s="39"/>
      <c r="AE19" s="72">
        <f t="shared" si="5"/>
        <v>0</v>
      </c>
      <c r="AF19" s="72">
        <f t="shared" si="22"/>
        <v>0</v>
      </c>
      <c r="AG19" s="39"/>
      <c r="AH19" s="72">
        <f t="shared" si="6"/>
        <v>440000000.00000006</v>
      </c>
      <c r="AI19" s="72">
        <f t="shared" si="23"/>
        <v>379547865.12903225</v>
      </c>
      <c r="AJ19" s="39"/>
      <c r="AK19" s="72">
        <f t="shared" si="7"/>
        <v>4099200000</v>
      </c>
      <c r="AL19" s="72">
        <f t="shared" si="24"/>
        <v>3536005928.9475656</v>
      </c>
      <c r="AM19" s="39"/>
      <c r="AN19" s="72">
        <f t="shared" si="8"/>
        <v>3757600000</v>
      </c>
      <c r="AO19" s="72">
        <f t="shared" si="25"/>
        <v>3241338768.2019348</v>
      </c>
      <c r="AP19" s="39"/>
      <c r="AQ19" s="72">
        <f t="shared" si="9"/>
        <v>1012209600</v>
      </c>
      <c r="AR19" s="72">
        <f t="shared" si="26"/>
        <v>873140892.59798098</v>
      </c>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10.869059999999999</v>
      </c>
      <c r="AU19" s="39"/>
      <c r="AV19" s="72">
        <f t="shared" si="10"/>
        <v>17528819487.201183</v>
      </c>
      <c r="AW19" s="72">
        <f t="shared" si="27"/>
        <v>15120513669.54406</v>
      </c>
      <c r="AX19" s="39"/>
      <c r="AY19" s="40">
        <f>IF(ISERROR(IF($K19&lt;=$F$15,VLOOKUP($I19,'表4）CO2価格'!$A$7:$E$67,VLOOKUP($F$48,'表4）CO2価格'!$H$10:$I$12,2,0),0)*$F$8/1000,"")),0,IF($K19&lt;=$F$15,VLOOKUP($I19,'表4）CO2価格'!$A$7:$E$67,VLOOKUP($F$48,'表4）CO2価格'!$H$10:$I$12,2,0),0)*$F$8/1000,""))</f>
        <v>4.7935999999999712</v>
      </c>
      <c r="AZ19" s="39"/>
      <c r="BA19" s="42">
        <f t="shared" si="11"/>
        <v>15166108789.300873</v>
      </c>
      <c r="BB19" s="72">
        <f t="shared" si="28"/>
        <v>13082418666.576813</v>
      </c>
      <c r="BC19" s="39"/>
      <c r="BD19" s="72">
        <f t="shared" si="12"/>
        <v>0</v>
      </c>
      <c r="BE19" s="72">
        <f t="shared" si="29"/>
        <v>0</v>
      </c>
      <c r="BF19" s="39"/>
      <c r="BG19" s="42">
        <f t="shared" si="13"/>
        <v>0</v>
      </c>
      <c r="BH19" s="72">
        <f t="shared" si="30"/>
        <v>0</v>
      </c>
      <c r="BI19" s="39"/>
      <c r="BJ19" s="40" t="str">
        <f t="shared" si="31"/>
        <v/>
      </c>
      <c r="BK19" s="157" t="str">
        <f t="shared" si="32"/>
        <v/>
      </c>
      <c r="BL19" s="157" t="str">
        <f t="shared" si="14"/>
        <v/>
      </c>
      <c r="BM19" s="72"/>
      <c r="BN19" s="72" t="str">
        <f t="shared" si="33"/>
        <v/>
      </c>
      <c r="BO19" s="72" t="str">
        <f t="shared" si="34"/>
        <v/>
      </c>
      <c r="BP19" s="39"/>
      <c r="BQ19" s="72">
        <f t="shared" si="15"/>
        <v>4056318000</v>
      </c>
      <c r="BR19" s="72">
        <f t="shared" si="35"/>
        <v>3499015539.055604</v>
      </c>
    </row>
    <row r="20" spans="3:70" x14ac:dyDescent="0.15">
      <c r="I20" s="322">
        <f t="shared" si="36"/>
        <v>2035</v>
      </c>
      <c r="J20" s="71"/>
      <c r="K20" s="71">
        <f t="shared" si="37"/>
        <v>6</v>
      </c>
      <c r="L20" s="71"/>
      <c r="M20" s="7">
        <f t="shared" si="0"/>
        <v>0.83748425668365445</v>
      </c>
      <c r="N20" s="71"/>
      <c r="O20" s="10">
        <f t="shared" si="16"/>
        <v>68503517702.992332</v>
      </c>
      <c r="P20" s="29">
        <f t="shared" si="1"/>
        <v>0.16700000000000001</v>
      </c>
      <c r="Q20" s="71"/>
      <c r="R20" s="10">
        <f t="shared" si="17"/>
        <v>79278337278.106262</v>
      </c>
      <c r="S20" s="71"/>
      <c r="T20" s="10">
        <f t="shared" si="18"/>
        <v>79278337000</v>
      </c>
      <c r="U20" s="71"/>
      <c r="V20" s="10">
        <f t="shared" si="2"/>
        <v>11440087456.399719</v>
      </c>
      <c r="W20" s="10">
        <f t="shared" si="19"/>
        <v>9580893139.8189182</v>
      </c>
      <c r="X20" s="71"/>
      <c r="Y20" s="10">
        <f t="shared" si="3"/>
        <v>1109896700</v>
      </c>
      <c r="Z20" s="10">
        <f t="shared" si="20"/>
        <v>929521012.79514098</v>
      </c>
      <c r="AA20" s="71"/>
      <c r="AB20" s="10">
        <f t="shared" si="4"/>
        <v>0</v>
      </c>
      <c r="AC20" s="10">
        <f t="shared" si="21"/>
        <v>0</v>
      </c>
      <c r="AD20" s="71"/>
      <c r="AE20" s="10">
        <f t="shared" si="5"/>
        <v>0</v>
      </c>
      <c r="AF20" s="10">
        <f t="shared" si="22"/>
        <v>0</v>
      </c>
      <c r="AG20" s="71"/>
      <c r="AH20" s="10">
        <f t="shared" si="6"/>
        <v>440000000.00000006</v>
      </c>
      <c r="AI20" s="10">
        <f t="shared" si="23"/>
        <v>368493072.940808</v>
      </c>
      <c r="AJ20" s="71"/>
      <c r="AK20" s="10">
        <f t="shared" si="7"/>
        <v>4099200000</v>
      </c>
      <c r="AL20" s="10">
        <f t="shared" si="24"/>
        <v>3433015464.9976363</v>
      </c>
      <c r="AM20" s="71"/>
      <c r="AN20" s="10">
        <f t="shared" si="8"/>
        <v>3757600000</v>
      </c>
      <c r="AO20" s="10">
        <f t="shared" si="25"/>
        <v>3146930842.9144998</v>
      </c>
      <c r="AP20" s="71"/>
      <c r="AQ20" s="10">
        <f t="shared" si="9"/>
        <v>1012209600</v>
      </c>
      <c r="AR20" s="10">
        <f t="shared" si="26"/>
        <v>847709604.46405923</v>
      </c>
      <c r="AS20" s="71"/>
      <c r="AT20" s="7">
        <f>IF($K20&lt;=$F$15,IF($F$40&lt;&gt;"",$F$40/1000,IF(ISERROR(VLOOKUP($F$3&amp;IF($G$4&lt;&gt;"",$G$4,"")&amp;IF($F$43&lt;&gt;"","_"&amp;$F$43,""),'表3）燃料価格'!$AF$9:$AG$25,2,0)),0,VLOOKUP($I20,'表3）燃料価格'!$A$6:$U$66,VLOOKUP($F$3&amp;IF($G$4&lt;&gt;"",$G$4,"")&amp;IF($F$43&lt;&gt;"","_"&amp;$F$43,""),'表3）燃料価格'!$AF$9:$AG$25,2,0)+VLOOKUP($F$41,'表3）燃料価格'!$AF$28:$AG$29,2,0),0)*IF($F$43="需要地価格",1,$F$8/$F$141))),"")</f>
        <v>10.869059999999999</v>
      </c>
      <c r="AU20" s="71"/>
      <c r="AV20" s="10">
        <f t="shared" si="10"/>
        <v>17528819487.201183</v>
      </c>
      <c r="AW20" s="10">
        <f t="shared" si="27"/>
        <v>14680110358.78064</v>
      </c>
      <c r="AX20" s="71"/>
      <c r="AY20" s="7">
        <f>IF(ISERROR(IF($K20&lt;=$F$15,VLOOKUP($I20,'表4）CO2価格'!$A$7:$E$67,VLOOKUP($F$48,'表4）CO2価格'!$H$10:$I$12,2,0),0)*$F$8/1000,"")),0,IF($K20&lt;=$F$15,VLOOKUP($I20,'表4）CO2価格'!$A$7:$E$67,VLOOKUP($F$48,'表4）CO2価格'!$H$10:$I$12,2,0),0)*$F$8/1000,""))</f>
        <v>4.9219999999999997</v>
      </c>
      <c r="AZ20" s="71"/>
      <c r="BA20" s="11">
        <f t="shared" si="11"/>
        <v>15572343846.157238</v>
      </c>
      <c r="BB20" s="10">
        <f t="shared" si="28"/>
        <v>13041592810.821276</v>
      </c>
      <c r="BC20" s="71"/>
      <c r="BD20" s="10">
        <f t="shared" si="12"/>
        <v>0</v>
      </c>
      <c r="BE20" s="10">
        <f t="shared" si="29"/>
        <v>0</v>
      </c>
      <c r="BF20" s="71"/>
      <c r="BG20" s="11">
        <f t="shared" si="13"/>
        <v>0</v>
      </c>
      <c r="BH20" s="10">
        <f t="shared" si="30"/>
        <v>0</v>
      </c>
      <c r="BJ20" s="7" t="str">
        <f t="shared" si="31"/>
        <v/>
      </c>
      <c r="BK20" s="158" t="str">
        <f t="shared" si="32"/>
        <v/>
      </c>
      <c r="BL20" s="158" t="str">
        <f t="shared" si="14"/>
        <v/>
      </c>
      <c r="BM20" s="10"/>
      <c r="BN20" s="10" t="str">
        <f t="shared" si="33"/>
        <v/>
      </c>
      <c r="BO20" s="10" t="str">
        <f t="shared" si="34"/>
        <v/>
      </c>
      <c r="BQ20" s="10">
        <f t="shared" si="15"/>
        <v>4056318000</v>
      </c>
      <c r="BR20" s="10">
        <f t="shared" si="35"/>
        <v>3397102465.1025276</v>
      </c>
    </row>
    <row r="21" spans="3:70" x14ac:dyDescent="0.15">
      <c r="D21" s="81" t="s">
        <v>110</v>
      </c>
      <c r="F21" s="67">
        <v>24.4</v>
      </c>
      <c r="G21" s="81" t="s">
        <v>174</v>
      </c>
      <c r="I21" s="38">
        <f t="shared" si="36"/>
        <v>2036</v>
      </c>
      <c r="J21" s="39"/>
      <c r="K21" s="39">
        <f t="shared" si="37"/>
        <v>7</v>
      </c>
      <c r="L21" s="39"/>
      <c r="M21" s="40">
        <f t="shared" si="0"/>
        <v>0.81309151134335378</v>
      </c>
      <c r="N21" s="39"/>
      <c r="O21" s="72">
        <f t="shared" si="16"/>
        <v>57063430246.592613</v>
      </c>
      <c r="P21" s="41">
        <f t="shared" si="1"/>
        <v>0.16700000000000001</v>
      </c>
      <c r="Q21" s="39"/>
      <c r="R21" s="72">
        <f t="shared" si="17"/>
        <v>67996704730.537331</v>
      </c>
      <c r="S21" s="39"/>
      <c r="T21" s="72">
        <f t="shared" si="18"/>
        <v>67996704000</v>
      </c>
      <c r="U21" s="39"/>
      <c r="V21" s="72">
        <f t="shared" si="2"/>
        <v>9529592851.1809673</v>
      </c>
      <c r="W21" s="72">
        <f t="shared" si="19"/>
        <v>7748431053.8535528</v>
      </c>
      <c r="X21" s="39"/>
      <c r="Y21" s="72">
        <f t="shared" si="3"/>
        <v>951953800</v>
      </c>
      <c r="Z21" s="72">
        <f t="shared" si="20"/>
        <v>774025553.97104871</v>
      </c>
      <c r="AA21" s="39"/>
      <c r="AB21" s="72">
        <f t="shared" si="4"/>
        <v>0</v>
      </c>
      <c r="AC21" s="72">
        <f t="shared" si="21"/>
        <v>0</v>
      </c>
      <c r="AD21" s="39"/>
      <c r="AE21" s="72">
        <f t="shared" si="5"/>
        <v>0</v>
      </c>
      <c r="AF21" s="72">
        <f t="shared" si="22"/>
        <v>0</v>
      </c>
      <c r="AG21" s="39"/>
      <c r="AH21" s="72">
        <f t="shared" si="6"/>
        <v>440000000.00000006</v>
      </c>
      <c r="AI21" s="72">
        <f t="shared" si="23"/>
        <v>357760264.99107569</v>
      </c>
      <c r="AJ21" s="39"/>
      <c r="AK21" s="72">
        <f t="shared" si="7"/>
        <v>4099200000</v>
      </c>
      <c r="AL21" s="72">
        <f t="shared" si="24"/>
        <v>3333024723.298676</v>
      </c>
      <c r="AM21" s="39"/>
      <c r="AN21" s="72">
        <f t="shared" si="8"/>
        <v>3757600000</v>
      </c>
      <c r="AO21" s="72">
        <f t="shared" si="25"/>
        <v>3055272663.0237861</v>
      </c>
      <c r="AP21" s="39"/>
      <c r="AQ21" s="72">
        <f t="shared" si="9"/>
        <v>1012209600</v>
      </c>
      <c r="AR21" s="72">
        <f t="shared" si="26"/>
        <v>823019033.46025157</v>
      </c>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10.869059999999999</v>
      </c>
      <c r="AU21" s="39"/>
      <c r="AV21" s="72">
        <f t="shared" si="10"/>
        <v>17528819487.201183</v>
      </c>
      <c r="AW21" s="72">
        <f t="shared" si="27"/>
        <v>14252534328.913242</v>
      </c>
      <c r="AX21" s="39"/>
      <c r="AY21" s="40">
        <f>IF(ISERROR(IF($K21&lt;=$F$15,VLOOKUP($I21,'表4）CO2価格'!$A$7:$E$67,VLOOKUP($F$48,'表4）CO2価格'!$H$10:$I$12,2,0),0)*$F$8/1000,"")),0,IF($K21&lt;=$F$15,VLOOKUP($I21,'表4）CO2価格'!$A$7:$E$67,VLOOKUP($F$48,'表4）CO2価格'!$H$10:$I$12,2,0),0)*$F$8/1000,""))</f>
        <v>5.0503999999999802</v>
      </c>
      <c r="AZ21" s="39"/>
      <c r="BA21" s="42">
        <f t="shared" si="11"/>
        <v>15978578903.013453</v>
      </c>
      <c r="BB21" s="72">
        <f t="shared" si="28"/>
        <v>12992046869.370235</v>
      </c>
      <c r="BC21" s="39"/>
      <c r="BD21" s="72">
        <f t="shared" si="12"/>
        <v>0</v>
      </c>
      <c r="BE21" s="72">
        <f t="shared" si="29"/>
        <v>0</v>
      </c>
      <c r="BF21" s="39"/>
      <c r="BG21" s="42">
        <f t="shared" si="13"/>
        <v>0</v>
      </c>
      <c r="BH21" s="72">
        <f t="shared" si="30"/>
        <v>0</v>
      </c>
      <c r="BI21" s="39"/>
      <c r="BJ21" s="40" t="str">
        <f t="shared" si="31"/>
        <v/>
      </c>
      <c r="BK21" s="157" t="str">
        <f t="shared" si="32"/>
        <v/>
      </c>
      <c r="BL21" s="157" t="str">
        <f t="shared" si="14"/>
        <v/>
      </c>
      <c r="BM21" s="72"/>
      <c r="BN21" s="72" t="str">
        <f t="shared" si="33"/>
        <v/>
      </c>
      <c r="BO21" s="72" t="str">
        <f t="shared" si="34"/>
        <v/>
      </c>
      <c r="BP21" s="39"/>
      <c r="BQ21" s="72">
        <f t="shared" si="15"/>
        <v>4056318000</v>
      </c>
      <c r="BR21" s="72">
        <f t="shared" si="35"/>
        <v>3298157733.1092501</v>
      </c>
    </row>
    <row r="22" spans="3:70" ht="16.5" x14ac:dyDescent="0.15">
      <c r="D22" s="81" t="s">
        <v>111</v>
      </c>
      <c r="F22" s="90">
        <v>26.08</v>
      </c>
      <c r="G22" s="9" t="s">
        <v>372</v>
      </c>
      <c r="I22" s="322">
        <f t="shared" si="36"/>
        <v>2037</v>
      </c>
      <c r="J22" s="71"/>
      <c r="K22" s="71">
        <f t="shared" si="37"/>
        <v>8</v>
      </c>
      <c r="L22" s="71"/>
      <c r="M22" s="7">
        <f t="shared" si="0"/>
        <v>0.78940923431393573</v>
      </c>
      <c r="N22" s="71"/>
      <c r="O22" s="10">
        <f t="shared" si="16"/>
        <v>47533837395.411644</v>
      </c>
      <c r="P22" s="29">
        <f t="shared" si="1"/>
        <v>0.16700000000000001</v>
      </c>
      <c r="Q22" s="71"/>
      <c r="R22" s="10">
        <f t="shared" si="17"/>
        <v>58320494765.077919</v>
      </c>
      <c r="S22" s="71"/>
      <c r="T22" s="10">
        <f t="shared" si="18"/>
        <v>58320494000</v>
      </c>
      <c r="U22" s="71"/>
      <c r="V22" s="10">
        <f t="shared" si="2"/>
        <v>7938150845.0337448</v>
      </c>
      <c r="W22" s="10">
        <f t="shared" si="19"/>
        <v>6266449580.4466105</v>
      </c>
      <c r="X22" s="71"/>
      <c r="Y22" s="10">
        <f t="shared" si="3"/>
        <v>816486900</v>
      </c>
      <c r="Z22" s="10">
        <f t="shared" si="20"/>
        <v>644542298.55635905</v>
      </c>
      <c r="AA22" s="71"/>
      <c r="AB22" s="10">
        <f t="shared" si="4"/>
        <v>0</v>
      </c>
      <c r="AC22" s="10">
        <f t="shared" si="21"/>
        <v>0</v>
      </c>
      <c r="AD22" s="71"/>
      <c r="AE22" s="10">
        <f t="shared" si="5"/>
        <v>0</v>
      </c>
      <c r="AF22" s="10">
        <f t="shared" si="22"/>
        <v>0</v>
      </c>
      <c r="AG22" s="71"/>
      <c r="AH22" s="10">
        <f t="shared" si="6"/>
        <v>440000000.00000006</v>
      </c>
      <c r="AI22" s="10">
        <f t="shared" si="23"/>
        <v>347340063.09813178</v>
      </c>
      <c r="AJ22" s="71"/>
      <c r="AK22" s="10">
        <f t="shared" si="7"/>
        <v>4099200000</v>
      </c>
      <c r="AL22" s="10">
        <f t="shared" si="24"/>
        <v>3235946333.2996855</v>
      </c>
      <c r="AM22" s="71"/>
      <c r="AN22" s="10">
        <f t="shared" si="8"/>
        <v>3757600000</v>
      </c>
      <c r="AO22" s="10">
        <f t="shared" si="25"/>
        <v>2966284138.8580451</v>
      </c>
      <c r="AP22" s="71"/>
      <c r="AQ22" s="10">
        <f t="shared" si="9"/>
        <v>1012209600</v>
      </c>
      <c r="AR22" s="10">
        <f t="shared" si="26"/>
        <v>799047605.30121517</v>
      </c>
      <c r="AS22" s="71"/>
      <c r="AT22" s="7">
        <f>IF($K22&lt;=$F$15,IF($F$40&lt;&gt;"",$F$40/1000,IF(ISERROR(VLOOKUP($F$3&amp;IF($G$4&lt;&gt;"",$G$4,"")&amp;IF($F$43&lt;&gt;"","_"&amp;$F$43,""),'表3）燃料価格'!$AF$9:$AG$25,2,0)),0,VLOOKUP($I22,'表3）燃料価格'!$A$6:$U$66,VLOOKUP($F$3&amp;IF($G$4&lt;&gt;"",$G$4,"")&amp;IF($F$43&lt;&gt;"","_"&amp;$F$43,""),'表3）燃料価格'!$AF$9:$AG$25,2,0)+VLOOKUP($F$41,'表3）燃料価格'!$AF$28:$AG$29,2,0),0)*IF($F$43="需要地価格",1,$F$8/$F$141))),"")</f>
        <v>10.869059999999999</v>
      </c>
      <c r="AU22" s="71"/>
      <c r="AV22" s="10">
        <f t="shared" si="10"/>
        <v>17528819487.201183</v>
      </c>
      <c r="AW22" s="10">
        <f t="shared" si="27"/>
        <v>13837411969.818682</v>
      </c>
      <c r="AX22" s="71"/>
      <c r="AY22" s="7">
        <f>IF(ISERROR(IF($K22&lt;=$F$15,VLOOKUP($I22,'表4）CO2価格'!$A$7:$E$67,VLOOKUP($F$48,'表4）CO2価格'!$H$10:$I$12,2,0),0)*$F$8/1000,"")),0,IF($K22&lt;=$F$15,VLOOKUP($I22,'表4）CO2価格'!$A$7:$E$67,VLOOKUP($F$48,'表4）CO2価格'!$H$10:$I$12,2,0),0)*$F$8/1000,""))</f>
        <v>5.1788000000000105</v>
      </c>
      <c r="AZ22" s="71"/>
      <c r="BA22" s="11">
        <f t="shared" si="11"/>
        <v>16384813959.869823</v>
      </c>
      <c r="BB22" s="10">
        <f t="shared" si="28"/>
        <v>12934323442.437122</v>
      </c>
      <c r="BC22" s="71"/>
      <c r="BD22" s="10">
        <f t="shared" si="12"/>
        <v>0</v>
      </c>
      <c r="BE22" s="10">
        <f t="shared" si="29"/>
        <v>0</v>
      </c>
      <c r="BF22" s="71"/>
      <c r="BG22" s="11">
        <f t="shared" si="13"/>
        <v>0</v>
      </c>
      <c r="BH22" s="10">
        <f t="shared" si="30"/>
        <v>0</v>
      </c>
      <c r="BJ22" s="7" t="str">
        <f t="shared" si="31"/>
        <v/>
      </c>
      <c r="BK22" s="158" t="str">
        <f t="shared" si="32"/>
        <v/>
      </c>
      <c r="BL22" s="158" t="str">
        <f t="shared" si="14"/>
        <v/>
      </c>
      <c r="BM22" s="10"/>
      <c r="BN22" s="10" t="str">
        <f t="shared" si="33"/>
        <v/>
      </c>
      <c r="BO22" s="10" t="str">
        <f t="shared" si="34"/>
        <v/>
      </c>
      <c r="BQ22" s="10">
        <f t="shared" si="15"/>
        <v>4056318000</v>
      </c>
      <c r="BR22" s="10">
        <f t="shared" si="35"/>
        <v>3202094886.513835</v>
      </c>
    </row>
    <row r="23" spans="3:70" x14ac:dyDescent="0.15">
      <c r="D23" s="81" t="s">
        <v>112</v>
      </c>
      <c r="F23" s="67">
        <v>43.5</v>
      </c>
      <c r="G23" s="81" t="s">
        <v>172</v>
      </c>
      <c r="I23" s="38">
        <f t="shared" si="36"/>
        <v>2038</v>
      </c>
      <c r="J23" s="39"/>
      <c r="K23" s="39">
        <f t="shared" si="37"/>
        <v>9</v>
      </c>
      <c r="L23" s="39"/>
      <c r="M23" s="40">
        <f t="shared" si="0"/>
        <v>0.76641673234362695</v>
      </c>
      <c r="N23" s="39"/>
      <c r="O23" s="72">
        <f t="shared" si="16"/>
        <v>39595686550.377899</v>
      </c>
      <c r="P23" s="41">
        <f t="shared" si="1"/>
        <v>0.16700000000000001</v>
      </c>
      <c r="Q23" s="39"/>
      <c r="R23" s="72">
        <f t="shared" si="17"/>
        <v>50021249163.799042</v>
      </c>
      <c r="S23" s="39"/>
      <c r="T23" s="72">
        <f t="shared" si="18"/>
        <v>50021249000</v>
      </c>
      <c r="U23" s="39"/>
      <c r="V23" s="72">
        <f t="shared" si="2"/>
        <v>6612479653.9131098</v>
      </c>
      <c r="W23" s="72">
        <f t="shared" si="19"/>
        <v>5067915049.040803</v>
      </c>
      <c r="X23" s="39"/>
      <c r="Y23" s="72">
        <f t="shared" si="3"/>
        <v>700297400</v>
      </c>
      <c r="Z23" s="72">
        <f t="shared" si="20"/>
        <v>536719644.97673786</v>
      </c>
      <c r="AA23" s="39"/>
      <c r="AB23" s="72">
        <f t="shared" si="4"/>
        <v>0</v>
      </c>
      <c r="AC23" s="72">
        <f t="shared" si="21"/>
        <v>0</v>
      </c>
      <c r="AD23" s="39"/>
      <c r="AE23" s="72">
        <f t="shared" si="5"/>
        <v>0</v>
      </c>
      <c r="AF23" s="72">
        <f t="shared" si="22"/>
        <v>0</v>
      </c>
      <c r="AG23" s="39"/>
      <c r="AH23" s="72">
        <f t="shared" si="6"/>
        <v>440000000.00000006</v>
      </c>
      <c r="AI23" s="72">
        <f t="shared" si="23"/>
        <v>337223362.23119593</v>
      </c>
      <c r="AJ23" s="39"/>
      <c r="AK23" s="72">
        <f t="shared" si="7"/>
        <v>4099200000</v>
      </c>
      <c r="AL23" s="72">
        <f t="shared" si="24"/>
        <v>3141695469.2229958</v>
      </c>
      <c r="AM23" s="39"/>
      <c r="AN23" s="72">
        <f t="shared" si="8"/>
        <v>3757600000</v>
      </c>
      <c r="AO23" s="72">
        <f t="shared" si="25"/>
        <v>2879887513.4544125</v>
      </c>
      <c r="AP23" s="39"/>
      <c r="AQ23" s="72">
        <f t="shared" si="9"/>
        <v>1012209600</v>
      </c>
      <c r="AR23" s="72">
        <f t="shared" si="26"/>
        <v>775774374.07884967</v>
      </c>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10.869059999999999</v>
      </c>
      <c r="AU23" s="39"/>
      <c r="AV23" s="72">
        <f t="shared" si="10"/>
        <v>17528819487.201183</v>
      </c>
      <c r="AW23" s="72">
        <f t="shared" si="27"/>
        <v>13434380553.222021</v>
      </c>
      <c r="AX23" s="39"/>
      <c r="AY23" s="40">
        <f>IF(ISERROR(IF($K23&lt;=$F$15,VLOOKUP($I23,'表4）CO2価格'!$A$7:$E$67,VLOOKUP($F$48,'表4）CO2価格'!$H$10:$I$12,2,0),0)*$F$8/1000,"")),0,IF($K23&lt;=$F$15,VLOOKUP($I23,'表4）CO2価格'!$A$7:$E$67,VLOOKUP($F$48,'表4）CO2価格'!$H$10:$I$12,2,0),0)*$F$8/1000,""))</f>
        <v>5.3071999999999901</v>
      </c>
      <c r="AZ23" s="39"/>
      <c r="BA23" s="42">
        <f t="shared" si="11"/>
        <v>16791049016.726036</v>
      </c>
      <c r="BB23" s="72">
        <f t="shared" si="28"/>
        <v>12868940920.02084</v>
      </c>
      <c r="BC23" s="39"/>
      <c r="BD23" s="72">
        <f t="shared" si="12"/>
        <v>0</v>
      </c>
      <c r="BE23" s="72">
        <f t="shared" si="29"/>
        <v>0</v>
      </c>
      <c r="BF23" s="39"/>
      <c r="BG23" s="42">
        <f t="shared" si="13"/>
        <v>0</v>
      </c>
      <c r="BH23" s="72">
        <f t="shared" si="30"/>
        <v>0</v>
      </c>
      <c r="BI23" s="39"/>
      <c r="BJ23" s="40" t="str">
        <f t="shared" si="31"/>
        <v/>
      </c>
      <c r="BK23" s="157" t="str">
        <f t="shared" si="32"/>
        <v/>
      </c>
      <c r="BL23" s="157" t="str">
        <f t="shared" si="14"/>
        <v/>
      </c>
      <c r="BM23" s="72"/>
      <c r="BN23" s="72" t="str">
        <f t="shared" si="33"/>
        <v/>
      </c>
      <c r="BO23" s="72" t="str">
        <f t="shared" si="34"/>
        <v/>
      </c>
      <c r="BP23" s="39"/>
      <c r="BQ23" s="72">
        <f t="shared" si="15"/>
        <v>4056318000</v>
      </c>
      <c r="BR23" s="72">
        <f t="shared" si="35"/>
        <v>3108829986.9066362</v>
      </c>
    </row>
    <row r="24" spans="3:70" x14ac:dyDescent="0.15">
      <c r="D24" s="81" t="s">
        <v>113</v>
      </c>
      <c r="F24" s="68">
        <v>5.5</v>
      </c>
      <c r="G24" s="81" t="s">
        <v>172</v>
      </c>
      <c r="I24" s="322">
        <f t="shared" si="36"/>
        <v>2039</v>
      </c>
      <c r="J24" s="71"/>
      <c r="K24" s="71">
        <f t="shared" si="37"/>
        <v>10</v>
      </c>
      <c r="L24" s="71"/>
      <c r="M24" s="7">
        <f t="shared" si="0"/>
        <v>0.74409391489672516</v>
      </c>
      <c r="N24" s="71"/>
      <c r="O24" s="10">
        <f t="shared" si="16"/>
        <v>32983206896.46479</v>
      </c>
      <c r="P24" s="29">
        <f t="shared" si="1"/>
        <v>0.16700000000000001</v>
      </c>
      <c r="Q24" s="71"/>
      <c r="R24" s="10">
        <f t="shared" si="17"/>
        <v>42903020250.183632</v>
      </c>
      <c r="S24" s="71"/>
      <c r="T24" s="10">
        <f t="shared" si="18"/>
        <v>42903020000</v>
      </c>
      <c r="U24" s="71"/>
      <c r="V24" s="10">
        <f t="shared" si="2"/>
        <v>5508195551.7096205</v>
      </c>
      <c r="W24" s="10">
        <f t="shared" si="19"/>
        <v>4098614792.0883384</v>
      </c>
      <c r="X24" s="71"/>
      <c r="Y24" s="10">
        <f t="shared" si="3"/>
        <v>600642200</v>
      </c>
      <c r="Z24" s="10">
        <f t="shared" si="20"/>
        <v>446934206.05018175</v>
      </c>
      <c r="AA24" s="71"/>
      <c r="AB24" s="10">
        <f t="shared" si="4"/>
        <v>0</v>
      </c>
      <c r="AC24" s="10">
        <f t="shared" si="21"/>
        <v>0</v>
      </c>
      <c r="AD24" s="71"/>
      <c r="AE24" s="10">
        <f t="shared" si="5"/>
        <v>0</v>
      </c>
      <c r="AF24" s="10">
        <f t="shared" si="22"/>
        <v>0</v>
      </c>
      <c r="AG24" s="71"/>
      <c r="AH24" s="10">
        <f t="shared" si="6"/>
        <v>440000000.00000006</v>
      </c>
      <c r="AI24" s="10">
        <f t="shared" si="23"/>
        <v>327401322.55455911</v>
      </c>
      <c r="AJ24" s="71"/>
      <c r="AK24" s="10">
        <f t="shared" si="7"/>
        <v>4099200000</v>
      </c>
      <c r="AL24" s="10">
        <f t="shared" si="24"/>
        <v>3050189775.9446559</v>
      </c>
      <c r="AM24" s="71"/>
      <c r="AN24" s="10">
        <f t="shared" si="8"/>
        <v>3757600000</v>
      </c>
      <c r="AO24" s="10">
        <f t="shared" si="25"/>
        <v>2796007294.6159344</v>
      </c>
      <c r="AP24" s="71"/>
      <c r="AQ24" s="10">
        <f t="shared" si="9"/>
        <v>1012209600</v>
      </c>
      <c r="AR24" s="10">
        <f t="shared" si="26"/>
        <v>753179003.9600482</v>
      </c>
      <c r="AS24" s="71"/>
      <c r="AT24" s="7">
        <f>IF($K24&lt;=$F$15,IF($F$40&lt;&gt;"",$F$40/1000,IF(ISERROR(VLOOKUP($F$3&amp;IF($G$4&lt;&gt;"",$G$4,"")&amp;IF($F$43&lt;&gt;"","_"&amp;$F$43,""),'表3）燃料価格'!$AF$9:$AG$25,2,0)),0,VLOOKUP($I24,'表3）燃料価格'!$A$6:$U$66,VLOOKUP($F$3&amp;IF($G$4&lt;&gt;"",$G$4,"")&amp;IF($F$43&lt;&gt;"","_"&amp;$F$43,""),'表3）燃料価格'!$AF$9:$AG$25,2,0)+VLOOKUP($F$41,'表3）燃料価格'!$AF$28:$AG$29,2,0),0)*IF($F$43="需要地価格",1,$F$8/$F$141))),"")</f>
        <v>10.869059999999999</v>
      </c>
      <c r="AU24" s="71"/>
      <c r="AV24" s="10">
        <f t="shared" si="10"/>
        <v>17528819487.201183</v>
      </c>
      <c r="AW24" s="10">
        <f t="shared" si="27"/>
        <v>13043087915.749535</v>
      </c>
      <c r="AX24" s="71"/>
      <c r="AY24" s="7">
        <f>IF(ISERROR(IF($K24&lt;=$F$15,VLOOKUP($I24,'表4）CO2価格'!$A$7:$E$67,VLOOKUP($F$48,'表4）CO2価格'!$H$10:$I$12,2,0),0)*$F$8/1000,"")),0,IF($K24&lt;=$F$15,VLOOKUP($I24,'表4）CO2価格'!$A$7:$E$67,VLOOKUP($F$48,'表4）CO2価格'!$H$10:$I$12,2,0),0)*$F$8/1000,""))</f>
        <v>5.4355999999999716</v>
      </c>
      <c r="AZ24" s="71"/>
      <c r="BA24" s="11">
        <f t="shared" si="11"/>
        <v>17197284073.582253</v>
      </c>
      <c r="BB24" s="10">
        <f t="shared" si="28"/>
        <v>12796394431.90292</v>
      </c>
      <c r="BC24" s="71"/>
      <c r="BD24" s="10">
        <f t="shared" si="12"/>
        <v>0</v>
      </c>
      <c r="BE24" s="10">
        <f t="shared" si="29"/>
        <v>0</v>
      </c>
      <c r="BF24" s="71"/>
      <c r="BG24" s="11">
        <f t="shared" si="13"/>
        <v>0</v>
      </c>
      <c r="BH24" s="10">
        <f t="shared" si="30"/>
        <v>0</v>
      </c>
      <c r="BJ24" s="7" t="str">
        <f t="shared" si="31"/>
        <v/>
      </c>
      <c r="BK24" s="158" t="str">
        <f t="shared" si="32"/>
        <v/>
      </c>
      <c r="BL24" s="158" t="str">
        <f t="shared" si="14"/>
        <v/>
      </c>
      <c r="BM24" s="10"/>
      <c r="BN24" s="10" t="str">
        <f t="shared" si="33"/>
        <v/>
      </c>
      <c r="BO24" s="10" t="str">
        <f t="shared" si="34"/>
        <v/>
      </c>
      <c r="BQ24" s="10">
        <f t="shared" si="15"/>
        <v>4056318000</v>
      </c>
      <c r="BR24" s="10">
        <f t="shared" si="35"/>
        <v>3018281540.6860542</v>
      </c>
    </row>
    <row r="25" spans="3:70" x14ac:dyDescent="0.15">
      <c r="D25" s="81" t="s">
        <v>114</v>
      </c>
      <c r="F25" s="66">
        <v>1.4</v>
      </c>
      <c r="G25" s="81" t="s">
        <v>172</v>
      </c>
      <c r="I25" s="38">
        <f t="shared" si="36"/>
        <v>2040</v>
      </c>
      <c r="J25" s="39"/>
      <c r="K25" s="39">
        <f t="shared" si="37"/>
        <v>11</v>
      </c>
      <c r="L25" s="39"/>
      <c r="M25" s="40">
        <f t="shared" si="0"/>
        <v>0.72242127659876232</v>
      </c>
      <c r="N25" s="39"/>
      <c r="O25" s="72">
        <f t="shared" si="16"/>
        <v>27475011344.755169</v>
      </c>
      <c r="P25" s="41">
        <f t="shared" si="1"/>
        <v>0.2</v>
      </c>
      <c r="Q25" s="39"/>
      <c r="R25" s="72">
        <f t="shared" si="17"/>
        <v>36797744505.744576</v>
      </c>
      <c r="S25" s="39"/>
      <c r="T25" s="72">
        <f t="shared" si="18"/>
        <v>36797744000</v>
      </c>
      <c r="U25" s="39"/>
      <c r="V25" s="72">
        <f t="shared" si="2"/>
        <v>5495002268.9510345</v>
      </c>
      <c r="W25" s="72">
        <f t="shared" si="19"/>
        <v>3969706554.0487018</v>
      </c>
      <c r="X25" s="39"/>
      <c r="Y25" s="72">
        <f t="shared" si="3"/>
        <v>515168400</v>
      </c>
      <c r="Z25" s="72">
        <f t="shared" si="20"/>
        <v>372168613.19134182</v>
      </c>
      <c r="AA25" s="39"/>
      <c r="AB25" s="72">
        <f t="shared" si="4"/>
        <v>0</v>
      </c>
      <c r="AC25" s="72">
        <f t="shared" si="21"/>
        <v>0</v>
      </c>
      <c r="AD25" s="39"/>
      <c r="AE25" s="72">
        <f t="shared" si="5"/>
        <v>0</v>
      </c>
      <c r="AF25" s="72">
        <f t="shared" si="22"/>
        <v>0</v>
      </c>
      <c r="AG25" s="39"/>
      <c r="AH25" s="72">
        <f t="shared" si="6"/>
        <v>440000000.00000006</v>
      </c>
      <c r="AI25" s="72">
        <f t="shared" si="23"/>
        <v>317865361.70345545</v>
      </c>
      <c r="AJ25" s="39"/>
      <c r="AK25" s="72">
        <f t="shared" si="7"/>
        <v>4099200000</v>
      </c>
      <c r="AL25" s="72">
        <f t="shared" si="24"/>
        <v>2961349297.0336466</v>
      </c>
      <c r="AM25" s="39"/>
      <c r="AN25" s="72">
        <f t="shared" si="8"/>
        <v>3757600000</v>
      </c>
      <c r="AO25" s="72">
        <f t="shared" si="25"/>
        <v>2714570188.9475093</v>
      </c>
      <c r="AP25" s="39"/>
      <c r="AQ25" s="72">
        <f t="shared" si="9"/>
        <v>1012209600</v>
      </c>
      <c r="AR25" s="72">
        <f t="shared" si="26"/>
        <v>731241751.41752255</v>
      </c>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10.869059999999999</v>
      </c>
      <c r="AU25" s="39"/>
      <c r="AV25" s="72">
        <f t="shared" si="10"/>
        <v>17528819487.201183</v>
      </c>
      <c r="AW25" s="72">
        <f t="shared" si="27"/>
        <v>12663192151.21314</v>
      </c>
      <c r="AX25" s="39"/>
      <c r="AY25" s="40">
        <f>IF(ISERROR(IF($K25&lt;=$F$15,VLOOKUP($I25,'表4）CO2価格'!$A$7:$E$67,VLOOKUP($F$48,'表4）CO2価格'!$H$10:$I$12,2,0),0)*$F$8/1000,"")),0,IF($K25&lt;=$F$15,VLOOKUP($I25,'表4）CO2価格'!$A$7:$E$67,VLOOKUP($F$48,'表4）CO2価格'!$H$10:$I$12,2,0),0)*$F$8/1000,""))</f>
        <v>5.5640000000000001</v>
      </c>
      <c r="AZ25" s="39"/>
      <c r="BA25" s="42">
        <f t="shared" si="11"/>
        <v>17603519130.438618</v>
      </c>
      <c r="BB25" s="72">
        <f t="shared" si="28"/>
        <v>12717156762.842201</v>
      </c>
      <c r="BC25" s="39"/>
      <c r="BD25" s="72">
        <f t="shared" si="12"/>
        <v>0</v>
      </c>
      <c r="BE25" s="72">
        <f t="shared" si="29"/>
        <v>0</v>
      </c>
      <c r="BF25" s="39"/>
      <c r="BG25" s="42">
        <f t="shared" si="13"/>
        <v>0</v>
      </c>
      <c r="BH25" s="72">
        <f t="shared" si="30"/>
        <v>0</v>
      </c>
      <c r="BI25" s="39"/>
      <c r="BJ25" s="40" t="str">
        <f t="shared" si="31"/>
        <v/>
      </c>
      <c r="BK25" s="157" t="str">
        <f t="shared" si="32"/>
        <v/>
      </c>
      <c r="BL25" s="157" t="str">
        <f t="shared" si="14"/>
        <v/>
      </c>
      <c r="BM25" s="72"/>
      <c r="BN25" s="72" t="str">
        <f t="shared" si="33"/>
        <v/>
      </c>
      <c r="BO25" s="72" t="str">
        <f t="shared" si="34"/>
        <v/>
      </c>
      <c r="BP25" s="39"/>
      <c r="BQ25" s="72">
        <f t="shared" si="15"/>
        <v>4056318000</v>
      </c>
      <c r="BR25" s="72">
        <f t="shared" si="35"/>
        <v>2930370427.8505383</v>
      </c>
    </row>
    <row r="26" spans="3:70" x14ac:dyDescent="0.15">
      <c r="D26" s="81" t="s">
        <v>115</v>
      </c>
      <c r="F26" s="59"/>
      <c r="G26" s="81" t="s">
        <v>175</v>
      </c>
      <c r="I26" s="322">
        <f t="shared" si="36"/>
        <v>2041</v>
      </c>
      <c r="J26" s="71"/>
      <c r="K26" s="71">
        <f t="shared" si="37"/>
        <v>12</v>
      </c>
      <c r="L26" s="71"/>
      <c r="M26" s="7">
        <f t="shared" si="0"/>
        <v>0.70137988019297326</v>
      </c>
      <c r="N26" s="71"/>
      <c r="O26" s="10">
        <f t="shared" si="16"/>
        <v>21980009075.804134</v>
      </c>
      <c r="P26" s="29" t="str">
        <f t="shared" si="1"/>
        <v>-</v>
      </c>
      <c r="Q26" s="71"/>
      <c r="R26" s="10">
        <f t="shared" si="17"/>
        <v>31561274539.972733</v>
      </c>
      <c r="S26" s="71"/>
      <c r="T26" s="10">
        <f t="shared" si="18"/>
        <v>31561274000</v>
      </c>
      <c r="U26" s="71"/>
      <c r="V26" s="10">
        <f t="shared" si="2"/>
        <v>5495002268.9510345</v>
      </c>
      <c r="W26" s="10">
        <f t="shared" si="19"/>
        <v>3854084033.056993</v>
      </c>
      <c r="X26" s="71"/>
      <c r="Y26" s="10">
        <f t="shared" si="3"/>
        <v>441857800</v>
      </c>
      <c r="Z26" s="10">
        <f t="shared" si="20"/>
        <v>309910170.82633072</v>
      </c>
      <c r="AA26" s="71"/>
      <c r="AB26" s="10">
        <f t="shared" si="4"/>
        <v>0</v>
      </c>
      <c r="AC26" s="10">
        <f t="shared" si="21"/>
        <v>0</v>
      </c>
      <c r="AD26" s="71"/>
      <c r="AE26" s="10">
        <f t="shared" si="5"/>
        <v>0</v>
      </c>
      <c r="AF26" s="10">
        <f t="shared" si="22"/>
        <v>0</v>
      </c>
      <c r="AG26" s="71"/>
      <c r="AH26" s="10">
        <f t="shared" si="6"/>
        <v>440000000.00000006</v>
      </c>
      <c r="AI26" s="10">
        <f t="shared" si="23"/>
        <v>308607147.28490829</v>
      </c>
      <c r="AJ26" s="71"/>
      <c r="AK26" s="10">
        <f t="shared" si="7"/>
        <v>4099200000</v>
      </c>
      <c r="AL26" s="10">
        <f t="shared" si="24"/>
        <v>2875096404.8870358</v>
      </c>
      <c r="AM26" s="71"/>
      <c r="AN26" s="10">
        <f t="shared" si="8"/>
        <v>3757600000</v>
      </c>
      <c r="AO26" s="10">
        <f t="shared" si="25"/>
        <v>2635505037.8131166</v>
      </c>
      <c r="AP26" s="71"/>
      <c r="AQ26" s="10">
        <f t="shared" si="9"/>
        <v>1012209600</v>
      </c>
      <c r="AR26" s="10">
        <f t="shared" si="26"/>
        <v>709943447.97817743</v>
      </c>
      <c r="AS26" s="71"/>
      <c r="AT26" s="7">
        <f>IF($K26&lt;=$F$15,IF($F$40&lt;&gt;"",$F$40/1000,IF(ISERROR(VLOOKUP($F$3&amp;IF($G$4&lt;&gt;"",$G$4,"")&amp;IF($F$43&lt;&gt;"","_"&amp;$F$43,""),'表3）燃料価格'!$AF$9:$AG$25,2,0)),0,VLOOKUP($I26,'表3）燃料価格'!$A$6:$U$66,VLOOKUP($F$3&amp;IF($G$4&lt;&gt;"",$G$4,"")&amp;IF($F$43&lt;&gt;"","_"&amp;$F$43,""),'表3）燃料価格'!$AF$9:$AG$25,2,0)+VLOOKUP($F$41,'表3）燃料価格'!$AF$28:$AG$29,2,0),0)*IF($F$43="需要地価格",1,$F$8/$F$141))),"")</f>
        <v>10.852172184476203</v>
      </c>
      <c r="AU26" s="71"/>
      <c r="AV26" s="10">
        <f t="shared" si="10"/>
        <v>17505816760.517975</v>
      </c>
      <c r="AW26" s="10">
        <f t="shared" si="27"/>
        <v>12278227662.172241</v>
      </c>
      <c r="AX26" s="71"/>
      <c r="AY26" s="7">
        <f>IF(ISERROR(IF($K26&lt;=$F$15,VLOOKUP($I26,'表4）CO2価格'!$A$7:$E$67,VLOOKUP($F$48,'表4）CO2価格'!$H$10:$I$12,2,0),0)*$F$8/1000,"")),0,IF($K26&lt;=$F$15,VLOOKUP($I26,'表4）CO2価格'!$A$7:$E$67,VLOOKUP($F$48,'表4）CO2価格'!$H$10:$I$12,2,0),0)*$F$8/1000,""))</f>
        <v>5.6923999999999806</v>
      </c>
      <c r="AZ26" s="71"/>
      <c r="BA26" s="11">
        <f t="shared" si="11"/>
        <v>18009754187.294834</v>
      </c>
      <c r="BB26" s="10">
        <f t="shared" si="28"/>
        <v>12631679234.189749</v>
      </c>
      <c r="BC26" s="71"/>
      <c r="BD26" s="10">
        <f t="shared" si="12"/>
        <v>0</v>
      </c>
      <c r="BE26" s="10">
        <f t="shared" si="29"/>
        <v>0</v>
      </c>
      <c r="BF26" s="71"/>
      <c r="BG26" s="11">
        <f t="shared" si="13"/>
        <v>0</v>
      </c>
      <c r="BH26" s="10">
        <f t="shared" si="30"/>
        <v>0</v>
      </c>
      <c r="BJ26" s="7" t="str">
        <f t="shared" si="31"/>
        <v/>
      </c>
      <c r="BK26" s="158" t="str">
        <f t="shared" si="32"/>
        <v/>
      </c>
      <c r="BL26" s="158" t="str">
        <f t="shared" si="14"/>
        <v/>
      </c>
      <c r="BM26" s="10"/>
      <c r="BN26" s="10" t="str">
        <f t="shared" si="33"/>
        <v/>
      </c>
      <c r="BO26" s="10" t="str">
        <f t="shared" si="34"/>
        <v/>
      </c>
      <c r="BQ26" s="10">
        <f t="shared" si="15"/>
        <v>4056318000</v>
      </c>
      <c r="BR26" s="10">
        <f t="shared" si="35"/>
        <v>2845019832.8646011</v>
      </c>
    </row>
    <row r="27" spans="3:70" x14ac:dyDescent="0.15">
      <c r="D27" s="82" t="s">
        <v>86</v>
      </c>
      <c r="F27" s="59">
        <f>F117*5%/10^8</f>
        <v>85.4</v>
      </c>
      <c r="G27" s="81" t="s">
        <v>176</v>
      </c>
      <c r="I27" s="38">
        <f t="shared" si="36"/>
        <v>2042</v>
      </c>
      <c r="J27" s="39"/>
      <c r="K27" s="39">
        <f t="shared" si="37"/>
        <v>13</v>
      </c>
      <c r="L27" s="39"/>
      <c r="M27" s="40">
        <f t="shared" si="0"/>
        <v>0.68095133999317792</v>
      </c>
      <c r="N27" s="39"/>
      <c r="O27" s="72">
        <f t="shared" si="16"/>
        <v>16485006806.8531</v>
      </c>
      <c r="P27" s="41" t="str">
        <f t="shared" si="1"/>
        <v>-</v>
      </c>
      <c r="Q27" s="39"/>
      <c r="R27" s="72">
        <f t="shared" si="17"/>
        <v>27069975727.235821</v>
      </c>
      <c r="S27" s="39"/>
      <c r="T27" s="72">
        <f t="shared" si="18"/>
        <v>27069975000</v>
      </c>
      <c r="U27" s="39"/>
      <c r="V27" s="72">
        <f t="shared" si="2"/>
        <v>5495002268.9510345</v>
      </c>
      <c r="W27" s="72">
        <f t="shared" si="19"/>
        <v>3741829158.3077602</v>
      </c>
      <c r="X27" s="39"/>
      <c r="Y27" s="72">
        <f t="shared" si="3"/>
        <v>378979600</v>
      </c>
      <c r="Z27" s="72">
        <f t="shared" si="20"/>
        <v>258066666.45007858</v>
      </c>
      <c r="AA27" s="39"/>
      <c r="AB27" s="72">
        <f t="shared" si="4"/>
        <v>0</v>
      </c>
      <c r="AC27" s="72">
        <f t="shared" si="21"/>
        <v>0</v>
      </c>
      <c r="AD27" s="39"/>
      <c r="AE27" s="72">
        <f t="shared" si="5"/>
        <v>0</v>
      </c>
      <c r="AF27" s="72">
        <f t="shared" si="22"/>
        <v>0</v>
      </c>
      <c r="AG27" s="39"/>
      <c r="AH27" s="72">
        <f t="shared" si="6"/>
        <v>440000000.00000006</v>
      </c>
      <c r="AI27" s="72">
        <f t="shared" si="23"/>
        <v>299618589.59699833</v>
      </c>
      <c r="AJ27" s="39"/>
      <c r="AK27" s="72">
        <f t="shared" si="7"/>
        <v>4099200000</v>
      </c>
      <c r="AL27" s="72">
        <f t="shared" si="24"/>
        <v>2791355732.9000349</v>
      </c>
      <c r="AM27" s="39"/>
      <c r="AN27" s="72">
        <f t="shared" si="8"/>
        <v>3757600000</v>
      </c>
      <c r="AO27" s="72">
        <f t="shared" si="25"/>
        <v>2558742755.1583652</v>
      </c>
      <c r="AP27" s="39"/>
      <c r="AQ27" s="72">
        <f t="shared" si="9"/>
        <v>1012209600</v>
      </c>
      <c r="AR27" s="72">
        <f t="shared" si="26"/>
        <v>689265483.47395861</v>
      </c>
      <c r="AS27" s="39"/>
      <c r="AT27" s="40">
        <f>IF($K27&lt;=$F$15,IF($F$40&lt;&gt;"",$F$40/1000,IF(ISERROR(VLOOKUP($F$3&amp;IF($G$4&lt;&gt;"",$G$4,"")&amp;IF($F$43&lt;&gt;"","_"&amp;$F$43,""),'表3）燃料価格'!$AF$9:$AG$25,2,0)),0,VLOOKUP($I27,'表3）燃料価格'!$A$6:$U$66,VLOOKUP($F$3&amp;IF($G$4&lt;&gt;"",$G$4,"")&amp;IF($F$43&lt;&gt;"","_"&amp;$F$43,""),'表3）燃料価格'!$AF$9:$AG$25,2,0)+VLOOKUP($F$41,'表3）燃料価格'!$AF$28:$AG$29,2,0),0)*IF($F$43="需要地価格",1,$F$8/$F$141))),"")</f>
        <v>10.835898609268483</v>
      </c>
      <c r="AU27" s="39"/>
      <c r="AV27" s="72">
        <f t="shared" si="10"/>
        <v>17483650684.500961</v>
      </c>
      <c r="AW27" s="72">
        <f t="shared" si="27"/>
        <v>11905515361.583572</v>
      </c>
      <c r="AX27" s="39"/>
      <c r="AY27" s="40">
        <f>IF(ISERROR(IF($K27&lt;=$F$15,VLOOKUP($I27,'表4）CO2価格'!$A$7:$E$67,VLOOKUP($F$48,'表4）CO2価格'!$H$10:$I$12,2,0),0)*$F$8/1000,"")),0,IF($K27&lt;=$F$15,VLOOKUP($I27,'表4）CO2価格'!$A$7:$E$67,VLOOKUP($F$48,'表4）CO2価格'!$H$10:$I$12,2,0),0)*$F$8/1000,""))</f>
        <v>5.82080000000001</v>
      </c>
      <c r="AZ27" s="39"/>
      <c r="BA27" s="42">
        <f t="shared" si="11"/>
        <v>18415989244.151203</v>
      </c>
      <c r="BB27" s="72">
        <f t="shared" si="28"/>
        <v>12540392553.104713</v>
      </c>
      <c r="BC27" s="39"/>
      <c r="BD27" s="72">
        <f t="shared" si="12"/>
        <v>0</v>
      </c>
      <c r="BE27" s="72">
        <f t="shared" si="29"/>
        <v>0</v>
      </c>
      <c r="BF27" s="39"/>
      <c r="BG27" s="42">
        <f t="shared" si="13"/>
        <v>0</v>
      </c>
      <c r="BH27" s="72">
        <f t="shared" si="30"/>
        <v>0</v>
      </c>
      <c r="BI27" s="39"/>
      <c r="BJ27" s="40" t="str">
        <f t="shared" si="31"/>
        <v/>
      </c>
      <c r="BK27" s="157" t="str">
        <f t="shared" si="32"/>
        <v/>
      </c>
      <c r="BL27" s="157" t="str">
        <f t="shared" si="14"/>
        <v/>
      </c>
      <c r="BM27" s="72"/>
      <c r="BN27" s="72" t="str">
        <f t="shared" si="33"/>
        <v/>
      </c>
      <c r="BO27" s="72" t="str">
        <f t="shared" si="34"/>
        <v/>
      </c>
      <c r="BP27" s="39"/>
      <c r="BQ27" s="72">
        <f t="shared" si="15"/>
        <v>4056318000</v>
      </c>
      <c r="BR27" s="72">
        <f t="shared" si="35"/>
        <v>2762155177.5384474</v>
      </c>
    </row>
    <row r="28" spans="3:70" x14ac:dyDescent="0.15">
      <c r="D28" s="81" t="s">
        <v>116</v>
      </c>
      <c r="F28" s="59">
        <v>1</v>
      </c>
      <c r="G28" s="81" t="s">
        <v>108</v>
      </c>
      <c r="I28" s="322">
        <f t="shared" si="36"/>
        <v>2043</v>
      </c>
      <c r="J28" s="71"/>
      <c r="K28" s="71">
        <f t="shared" si="37"/>
        <v>14</v>
      </c>
      <c r="L28" s="71"/>
      <c r="M28" s="7">
        <f t="shared" si="0"/>
        <v>0.66111780581861923</v>
      </c>
      <c r="N28" s="71"/>
      <c r="O28" s="10">
        <f t="shared" si="16"/>
        <v>10990004537.902065</v>
      </c>
      <c r="P28" s="29" t="str">
        <f t="shared" si="1"/>
        <v>-</v>
      </c>
      <c r="Q28" s="71"/>
      <c r="R28" s="10">
        <f t="shared" si="17"/>
        <v>23217807156.205219</v>
      </c>
      <c r="S28" s="71"/>
      <c r="T28" s="10">
        <f t="shared" si="18"/>
        <v>23217807000</v>
      </c>
      <c r="U28" s="71"/>
      <c r="V28" s="10">
        <f t="shared" si="2"/>
        <v>5495002268.9510345</v>
      </c>
      <c r="W28" s="10">
        <f t="shared" si="19"/>
        <v>3632843843.017242</v>
      </c>
      <c r="X28" s="71"/>
      <c r="Y28" s="10">
        <f t="shared" si="3"/>
        <v>325049200</v>
      </c>
      <c r="Z28" s="10">
        <f t="shared" si="20"/>
        <v>214895813.88709754</v>
      </c>
      <c r="AA28" s="71"/>
      <c r="AB28" s="10">
        <f t="shared" si="4"/>
        <v>0</v>
      </c>
      <c r="AC28" s="10">
        <f t="shared" si="21"/>
        <v>0</v>
      </c>
      <c r="AD28" s="71"/>
      <c r="AE28" s="10">
        <f t="shared" si="5"/>
        <v>0</v>
      </c>
      <c r="AF28" s="10">
        <f t="shared" si="22"/>
        <v>0</v>
      </c>
      <c r="AG28" s="71"/>
      <c r="AH28" s="10">
        <f t="shared" si="6"/>
        <v>440000000.00000006</v>
      </c>
      <c r="AI28" s="10">
        <f t="shared" si="23"/>
        <v>290891834.56019253</v>
      </c>
      <c r="AJ28" s="71"/>
      <c r="AK28" s="10">
        <f t="shared" si="7"/>
        <v>4099200000</v>
      </c>
      <c r="AL28" s="10">
        <f t="shared" si="24"/>
        <v>2710054109.6116838</v>
      </c>
      <c r="AM28" s="71"/>
      <c r="AN28" s="10">
        <f t="shared" si="8"/>
        <v>3757600000</v>
      </c>
      <c r="AO28" s="10">
        <f t="shared" si="25"/>
        <v>2484216267.1440434</v>
      </c>
      <c r="AP28" s="71"/>
      <c r="AQ28" s="10">
        <f t="shared" si="9"/>
        <v>1012209600</v>
      </c>
      <c r="AR28" s="10">
        <f t="shared" si="26"/>
        <v>669189789.78054225</v>
      </c>
      <c r="AS28" s="71"/>
      <c r="AT28" s="7">
        <f>IF($K28&lt;=$F$15,IF($F$40&lt;&gt;"",$F$40/1000,IF(ISERROR(VLOOKUP($F$3&amp;IF($G$4&lt;&gt;"",$G$4,"")&amp;IF($F$43&lt;&gt;"","_"&amp;$F$43,""),'表3）燃料価格'!$AF$9:$AG$25,2,0)),0,VLOOKUP($I28,'表3）燃料価格'!$A$6:$U$66,VLOOKUP($F$3&amp;IF($G$4&lt;&gt;"",$G$4,"")&amp;IF($F$43&lt;&gt;"","_"&amp;$F$43,""),'表3）燃料価格'!$AF$9:$AG$25,2,0)+VLOOKUP($F$41,'表3）燃料価格'!$AF$28:$AG$29,2,0),0)*IF($F$43="需要地価格",1,$F$8/$F$141))),"")</f>
        <v>10.820196156027256</v>
      </c>
      <c r="AU28" s="71"/>
      <c r="AV28" s="10">
        <f t="shared" si="10"/>
        <v>17462262528.072155</v>
      </c>
      <c r="AW28" s="10">
        <f t="shared" si="27"/>
        <v>11544612687.187757</v>
      </c>
      <c r="AX28" s="71"/>
      <c r="AY28" s="7">
        <f>IF(ISERROR(IF($K28&lt;=$F$15,VLOOKUP($I28,'表4）CO2価格'!$A$7:$E$67,VLOOKUP($F$48,'表4）CO2価格'!$H$10:$I$12,2,0),0)*$F$8/1000,"")),0,IF($K28&lt;=$F$15,VLOOKUP($I28,'表4）CO2価格'!$A$7:$E$67,VLOOKUP($F$48,'表4）CO2価格'!$H$10:$I$12,2,0),0)*$F$8/1000,""))</f>
        <v>5.9491999999999896</v>
      </c>
      <c r="AZ28" s="71"/>
      <c r="BA28" s="11">
        <f t="shared" si="11"/>
        <v>18822224301.007412</v>
      </c>
      <c r="BB28" s="10">
        <f t="shared" si="28"/>
        <v>12443707630.507914</v>
      </c>
      <c r="BC28" s="71"/>
      <c r="BD28" s="10">
        <f t="shared" si="12"/>
        <v>0</v>
      </c>
      <c r="BE28" s="10">
        <f t="shared" si="29"/>
        <v>0</v>
      </c>
      <c r="BF28" s="71"/>
      <c r="BG28" s="11">
        <f t="shared" si="13"/>
        <v>0</v>
      </c>
      <c r="BH28" s="10">
        <f t="shared" si="30"/>
        <v>0</v>
      </c>
      <c r="BJ28" s="7" t="str">
        <f t="shared" si="31"/>
        <v/>
      </c>
      <c r="BK28" s="158" t="str">
        <f t="shared" si="32"/>
        <v/>
      </c>
      <c r="BL28" s="158" t="str">
        <f t="shared" si="14"/>
        <v/>
      </c>
      <c r="BM28" s="10"/>
      <c r="BN28" s="10" t="str">
        <f t="shared" si="33"/>
        <v/>
      </c>
      <c r="BO28" s="10" t="str">
        <f t="shared" si="34"/>
        <v/>
      </c>
      <c r="BQ28" s="10">
        <f t="shared" si="15"/>
        <v>4056318000</v>
      </c>
      <c r="BR28" s="10">
        <f t="shared" si="35"/>
        <v>2681704055.8625698</v>
      </c>
    </row>
    <row r="29" spans="3:70" x14ac:dyDescent="0.15">
      <c r="D29" s="81" t="s">
        <v>117</v>
      </c>
      <c r="F29" s="59"/>
      <c r="G29" s="81" t="s">
        <v>176</v>
      </c>
      <c r="I29" s="38">
        <f t="shared" si="36"/>
        <v>2044</v>
      </c>
      <c r="J29" s="39"/>
      <c r="K29" s="39">
        <f t="shared" si="37"/>
        <v>15</v>
      </c>
      <c r="L29" s="39"/>
      <c r="M29" s="40">
        <f t="shared" si="0"/>
        <v>0.64186194739671765</v>
      </c>
      <c r="N29" s="39"/>
      <c r="O29" s="72">
        <f t="shared" si="16"/>
        <v>5495002268.9510307</v>
      </c>
      <c r="P29" s="41" t="str">
        <f t="shared" si="1"/>
        <v>-</v>
      </c>
      <c r="Q29" s="39"/>
      <c r="R29" s="72">
        <f t="shared" si="17"/>
        <v>19913817972.151527</v>
      </c>
      <c r="S29" s="39"/>
      <c r="T29" s="72">
        <f t="shared" si="18"/>
        <v>19913817000</v>
      </c>
      <c r="U29" s="39"/>
      <c r="V29" s="72">
        <f t="shared" si="2"/>
        <v>5495002268.9510307</v>
      </c>
      <c r="W29" s="72">
        <f t="shared" si="19"/>
        <v>3527032857.2982907</v>
      </c>
      <c r="X29" s="39"/>
      <c r="Y29" s="72">
        <f t="shared" si="3"/>
        <v>278793400</v>
      </c>
      <c r="Z29" s="72">
        <f t="shared" si="20"/>
        <v>178946874.64535207</v>
      </c>
      <c r="AA29" s="39"/>
      <c r="AB29" s="72">
        <f t="shared" si="4"/>
        <v>0</v>
      </c>
      <c r="AC29" s="72">
        <f t="shared" si="21"/>
        <v>0</v>
      </c>
      <c r="AD29" s="39"/>
      <c r="AE29" s="72">
        <f t="shared" si="5"/>
        <v>0</v>
      </c>
      <c r="AF29" s="72">
        <f t="shared" si="22"/>
        <v>0</v>
      </c>
      <c r="AG29" s="39"/>
      <c r="AH29" s="72">
        <f t="shared" si="6"/>
        <v>440000000.00000006</v>
      </c>
      <c r="AI29" s="72">
        <f t="shared" si="23"/>
        <v>282419256.85455579</v>
      </c>
      <c r="AJ29" s="39"/>
      <c r="AK29" s="72">
        <f t="shared" si="7"/>
        <v>4099200000</v>
      </c>
      <c r="AL29" s="72">
        <f t="shared" si="24"/>
        <v>2631120494.7686248</v>
      </c>
      <c r="AM29" s="39"/>
      <c r="AN29" s="72">
        <f t="shared" si="8"/>
        <v>3757600000</v>
      </c>
      <c r="AO29" s="72">
        <f t="shared" si="25"/>
        <v>2411860453.5379062</v>
      </c>
      <c r="AP29" s="39"/>
      <c r="AQ29" s="72">
        <f t="shared" si="9"/>
        <v>1012209600</v>
      </c>
      <c r="AR29" s="72">
        <f t="shared" si="26"/>
        <v>649698825.0296526</v>
      </c>
      <c r="AS29" s="39"/>
      <c r="AT29" s="40">
        <f>IF($K29&lt;=$F$15,IF($F$40&lt;&gt;"",$F$40/1000,IF(ISERROR(VLOOKUP($F$3&amp;IF($G$4&lt;&gt;"",$G$4,"")&amp;IF($F$43&lt;&gt;"","_"&amp;$F$43,""),'表3）燃料価格'!$AF$9:$AG$25,2,0)),0,VLOOKUP($I29,'表3）燃料価格'!$A$6:$U$66,VLOOKUP($F$3&amp;IF($G$4&lt;&gt;"",$G$4,"")&amp;IF($F$43&lt;&gt;"","_"&amp;$F$43,""),'表3）燃料価格'!$AF$9:$AG$25,2,0)+VLOOKUP($F$41,'表3）燃料価格'!$AF$28:$AG$29,2,0),0)*IF($F$43="需要地価格",1,$F$8/$F$141))),"")</f>
        <v>10.805026093092733</v>
      </c>
      <c r="AU29" s="39"/>
      <c r="AV29" s="72">
        <f t="shared" si="10"/>
        <v>17441599535.220406</v>
      </c>
      <c r="AW29" s="72">
        <f t="shared" si="27"/>
        <v>11195099043.390255</v>
      </c>
      <c r="AX29" s="39"/>
      <c r="AY29" s="40">
        <f>IF(ISERROR(IF($K29&lt;=$F$15,VLOOKUP($I29,'表4）CO2価格'!$A$7:$E$67,VLOOKUP($F$48,'表4）CO2価格'!$H$10:$I$12,2,0),0)*$F$8/1000,"")),0,IF($K29&lt;=$F$15,VLOOKUP($I29,'表4）CO2価格'!$A$7:$E$67,VLOOKUP($F$48,'表4）CO2価格'!$H$10:$I$12,2,0),0)*$F$8/1000,""))</f>
        <v>6.077599999999971</v>
      </c>
      <c r="AZ29" s="39"/>
      <c r="BA29" s="42">
        <f t="shared" si="11"/>
        <v>19228459357.863628</v>
      </c>
      <c r="BB29" s="72">
        <f t="shared" si="28"/>
        <v>12342016368.876987</v>
      </c>
      <c r="BC29" s="39"/>
      <c r="BD29" s="72">
        <f t="shared" si="12"/>
        <v>0</v>
      </c>
      <c r="BE29" s="72">
        <f t="shared" si="29"/>
        <v>0</v>
      </c>
      <c r="BF29" s="39"/>
      <c r="BG29" s="42">
        <f t="shared" si="13"/>
        <v>0</v>
      </c>
      <c r="BH29" s="72">
        <f t="shared" si="30"/>
        <v>0</v>
      </c>
      <c r="BI29" s="39"/>
      <c r="BJ29" s="40" t="str">
        <f t="shared" si="31"/>
        <v/>
      </c>
      <c r="BK29" s="157" t="str">
        <f t="shared" si="32"/>
        <v/>
      </c>
      <c r="BL29" s="157" t="str">
        <f t="shared" si="14"/>
        <v/>
      </c>
      <c r="BM29" s="72"/>
      <c r="BN29" s="72" t="str">
        <f t="shared" si="33"/>
        <v/>
      </c>
      <c r="BO29" s="72" t="str">
        <f t="shared" si="34"/>
        <v/>
      </c>
      <c r="BP29" s="39"/>
      <c r="BQ29" s="72">
        <f t="shared" si="15"/>
        <v>4056318000</v>
      </c>
      <c r="BR29" s="72">
        <f t="shared" si="35"/>
        <v>2603596170.7403588</v>
      </c>
    </row>
    <row r="30" spans="3:70" x14ac:dyDescent="0.15">
      <c r="I30" s="322">
        <f t="shared" si="36"/>
        <v>2045</v>
      </c>
      <c r="J30" s="71"/>
      <c r="K30" s="71">
        <f t="shared" si="37"/>
        <v>16</v>
      </c>
      <c r="L30" s="71"/>
      <c r="M30" s="7">
        <f t="shared" si="0"/>
        <v>0.62316693922011435</v>
      </c>
      <c r="N30" s="71"/>
      <c r="O30" s="10">
        <f t="shared" si="16"/>
        <v>0</v>
      </c>
      <c r="P30" s="29" t="str">
        <f t="shared" si="1"/>
        <v>-</v>
      </c>
      <c r="Q30" s="71"/>
      <c r="R30" s="10">
        <f t="shared" si="17"/>
        <v>17080000000.000002</v>
      </c>
      <c r="S30" s="71"/>
      <c r="T30" s="10">
        <f t="shared" si="18"/>
        <v>17080000000</v>
      </c>
      <c r="U30" s="71"/>
      <c r="V30" s="10">
        <f t="shared" si="2"/>
        <v>0</v>
      </c>
      <c r="W30" s="10">
        <f t="shared" si="19"/>
        <v>0</v>
      </c>
      <c r="X30" s="71"/>
      <c r="Y30" s="10">
        <f t="shared" si="3"/>
        <v>239120000</v>
      </c>
      <c r="Z30" s="10">
        <f t="shared" si="20"/>
        <v>149011678.50631374</v>
      </c>
      <c r="AA30" s="71"/>
      <c r="AB30" s="10">
        <f t="shared" si="4"/>
        <v>0</v>
      </c>
      <c r="AC30" s="10">
        <f t="shared" si="21"/>
        <v>0</v>
      </c>
      <c r="AD30" s="71"/>
      <c r="AE30" s="10">
        <f t="shared" si="5"/>
        <v>0</v>
      </c>
      <c r="AF30" s="10">
        <f t="shared" si="22"/>
        <v>0</v>
      </c>
      <c r="AG30" s="71"/>
      <c r="AH30" s="10">
        <f t="shared" si="6"/>
        <v>440000000.00000006</v>
      </c>
      <c r="AI30" s="10">
        <f t="shared" si="23"/>
        <v>274193453.25685036</v>
      </c>
      <c r="AJ30" s="71"/>
      <c r="AK30" s="10">
        <f t="shared" si="7"/>
        <v>4099200000</v>
      </c>
      <c r="AL30" s="10">
        <f t="shared" si="24"/>
        <v>2554485917.2510929</v>
      </c>
      <c r="AM30" s="71"/>
      <c r="AN30" s="10">
        <f t="shared" si="8"/>
        <v>3757600000</v>
      </c>
      <c r="AO30" s="10">
        <f t="shared" si="25"/>
        <v>2341612090.8135018</v>
      </c>
      <c r="AP30" s="71"/>
      <c r="AQ30" s="10">
        <f t="shared" si="9"/>
        <v>1012209600</v>
      </c>
      <c r="AR30" s="10">
        <f t="shared" si="26"/>
        <v>630775558.28121626</v>
      </c>
      <c r="AS30" s="71"/>
      <c r="AT30" s="7">
        <f>IF($K30&lt;=$F$15,IF($F$40&lt;&gt;"",$F$40/1000,IF(ISERROR(VLOOKUP($F$3&amp;IF($G$4&lt;&gt;"",$G$4,"")&amp;IF($F$43&lt;&gt;"","_"&amp;$F$43,""),'表3）燃料価格'!$AF$9:$AG$25,2,0)),0,VLOOKUP($I30,'表3）燃料価格'!$A$6:$U$66,VLOOKUP($F$3&amp;IF($G$4&lt;&gt;"",$G$4,"")&amp;IF($F$43&lt;&gt;"","_"&amp;$F$43,""),'表3）燃料価格'!$AF$9:$AG$25,2,0)+VLOOKUP($F$41,'表3）燃料価格'!$AF$28:$AG$29,2,0),0)*IF($F$43="需要地価格",1,$F$8/$F$141))),"")</f>
        <v>10.790353499914836</v>
      </c>
      <c r="AU30" s="71"/>
      <c r="AV30" s="10">
        <f t="shared" si="10"/>
        <v>17421614141.009449</v>
      </c>
      <c r="AW30" s="10">
        <f t="shared" si="27"/>
        <v>10856573960.52672</v>
      </c>
      <c r="AX30" s="71"/>
      <c r="AY30" s="7">
        <f>IF(ISERROR(IF($K30&lt;=$F$15,VLOOKUP($I30,'表4）CO2価格'!$A$7:$E$67,VLOOKUP($F$48,'表4）CO2価格'!$H$10:$I$12,2,0),0)*$F$8/1000,"")),0,IF($K30&lt;=$F$15,VLOOKUP($I30,'表4）CO2価格'!$A$7:$E$67,VLOOKUP($F$48,'表4）CO2価格'!$H$10:$I$12,2,0),0)*$F$8/1000,""))</f>
        <v>6.2060000000000004</v>
      </c>
      <c r="AZ30" s="71"/>
      <c r="BA30" s="11">
        <f t="shared" si="11"/>
        <v>19634694414.719997</v>
      </c>
      <c r="BB30" s="10">
        <f t="shared" si="28"/>
        <v>12235692420.943335</v>
      </c>
      <c r="BC30" s="71"/>
      <c r="BD30" s="10">
        <f t="shared" si="12"/>
        <v>0</v>
      </c>
      <c r="BE30" s="10">
        <f t="shared" si="29"/>
        <v>0</v>
      </c>
      <c r="BF30" s="71"/>
      <c r="BG30" s="11">
        <f t="shared" si="13"/>
        <v>0</v>
      </c>
      <c r="BH30" s="10">
        <f t="shared" si="30"/>
        <v>0</v>
      </c>
      <c r="BJ30" s="7" t="str">
        <f t="shared" si="31"/>
        <v/>
      </c>
      <c r="BK30" s="158" t="str">
        <f t="shared" si="32"/>
        <v/>
      </c>
      <c r="BL30" s="158" t="str">
        <f t="shared" si="14"/>
        <v/>
      </c>
      <c r="BM30" s="10"/>
      <c r="BN30" s="10" t="str">
        <f t="shared" si="33"/>
        <v/>
      </c>
      <c r="BO30" s="10" t="str">
        <f t="shared" si="34"/>
        <v/>
      </c>
      <c r="BQ30" s="10">
        <f t="shared" si="15"/>
        <v>4056318000</v>
      </c>
      <c r="BR30" s="10">
        <f t="shared" si="35"/>
        <v>2527763272.5634556</v>
      </c>
    </row>
    <row r="31" spans="3:70" x14ac:dyDescent="0.15">
      <c r="C31" s="89" t="s">
        <v>507</v>
      </c>
      <c r="D31" s="101"/>
      <c r="E31" s="101"/>
      <c r="F31" s="89"/>
      <c r="G31" s="101"/>
      <c r="I31" s="38">
        <f t="shared" si="36"/>
        <v>2046</v>
      </c>
      <c r="J31" s="39"/>
      <c r="K31" s="39">
        <f t="shared" si="37"/>
        <v>17</v>
      </c>
      <c r="L31" s="39"/>
      <c r="M31" s="40">
        <f t="shared" si="0"/>
        <v>0.60501644584477121</v>
      </c>
      <c r="N31" s="39"/>
      <c r="O31" s="72">
        <f t="shared" si="16"/>
        <v>0</v>
      </c>
      <c r="P31" s="41" t="str">
        <f t="shared" si="1"/>
        <v>-</v>
      </c>
      <c r="Q31" s="39"/>
      <c r="R31" s="72">
        <f t="shared" si="17"/>
        <v>14649445947.932474</v>
      </c>
      <c r="S31" s="39"/>
      <c r="T31" s="72">
        <f t="shared" si="18"/>
        <v>14649445000</v>
      </c>
      <c r="U31" s="39"/>
      <c r="V31" s="72">
        <f t="shared" si="2"/>
        <v>0</v>
      </c>
      <c r="W31" s="72">
        <f t="shared" si="19"/>
        <v>0</v>
      </c>
      <c r="X31" s="39"/>
      <c r="Y31" s="72">
        <f t="shared" si="3"/>
        <v>205092200</v>
      </c>
      <c r="Z31" s="72">
        <f t="shared" si="20"/>
        <v>124084153.91448499</v>
      </c>
      <c r="AA31" s="39"/>
      <c r="AB31" s="72">
        <f t="shared" si="4"/>
        <v>0</v>
      </c>
      <c r="AC31" s="72">
        <f t="shared" si="21"/>
        <v>0</v>
      </c>
      <c r="AD31" s="39"/>
      <c r="AE31" s="72">
        <f t="shared" si="5"/>
        <v>0</v>
      </c>
      <c r="AF31" s="72">
        <f t="shared" si="22"/>
        <v>0</v>
      </c>
      <c r="AG31" s="39"/>
      <c r="AH31" s="72">
        <f t="shared" si="6"/>
        <v>440000000.00000006</v>
      </c>
      <c r="AI31" s="72">
        <f t="shared" si="23"/>
        <v>266207236.17169937</v>
      </c>
      <c r="AJ31" s="39"/>
      <c r="AK31" s="72">
        <f t="shared" si="7"/>
        <v>4099200000</v>
      </c>
      <c r="AL31" s="72">
        <f t="shared" si="24"/>
        <v>2480083414.8068862</v>
      </c>
      <c r="AM31" s="39"/>
      <c r="AN31" s="72">
        <f t="shared" si="8"/>
        <v>3757600000</v>
      </c>
      <c r="AO31" s="72">
        <f t="shared" si="25"/>
        <v>2273409796.9063125</v>
      </c>
      <c r="AP31" s="39"/>
      <c r="AQ31" s="72">
        <f t="shared" si="9"/>
        <v>1012209600</v>
      </c>
      <c r="AR31" s="72">
        <f t="shared" si="26"/>
        <v>612403454.64195752</v>
      </c>
      <c r="AS31" s="39"/>
      <c r="AT31" s="40">
        <f>IF($K31&lt;=$F$15,IF($F$40&lt;&gt;"",$F$40/1000,IF(ISERROR(VLOOKUP($F$3&amp;IF($G$4&lt;&gt;"",$G$4,"")&amp;IF($F$43&lt;&gt;"","_"&amp;$F$43,""),'表3）燃料価格'!$AF$9:$AG$25,2,0)),0,VLOOKUP($I31,'表3）燃料価格'!$A$6:$U$66,VLOOKUP($F$3&amp;IF($G$4&lt;&gt;"",$G$4,"")&amp;IF($F$43&lt;&gt;"","_"&amp;$F$43,""),'表3）燃料価格'!$AF$9:$AG$25,2,0)+VLOOKUP($F$41,'表3）燃料価格'!$AF$28:$AG$29,2,0),0)*IF($F$43="需要地価格",1,$F$8/$F$141))),"")</f>
        <v>10.77614678288522</v>
      </c>
      <c r="AU31" s="39"/>
      <c r="AV31" s="72">
        <f t="shared" si="10"/>
        <v>17402263312.097477</v>
      </c>
      <c r="AW31" s="72">
        <f t="shared" si="27"/>
        <v>10528655498.740072</v>
      </c>
      <c r="AX31" s="39"/>
      <c r="AY31" s="40">
        <f>IF(ISERROR(IF($K31&lt;=$F$15,VLOOKUP($I31,'表4）CO2価格'!$A$7:$E$67,VLOOKUP($F$48,'表4）CO2価格'!$H$10:$I$12,2,0),0)*$F$8/1000,"")),0,IF($K31&lt;=$F$15,VLOOKUP($I31,'表4）CO2価格'!$A$7:$E$67,VLOOKUP($F$48,'表4）CO2価格'!$H$10:$I$12,2,0),0)*$F$8/1000,""))</f>
        <v>6.3343999999999809</v>
      </c>
      <c r="AZ31" s="39"/>
      <c r="BA31" s="42">
        <f t="shared" si="11"/>
        <v>20040929471.576214</v>
      </c>
      <c r="BB31" s="72">
        <f t="shared" si="28"/>
        <v>12125091920.318769</v>
      </c>
      <c r="BC31" s="39"/>
      <c r="BD31" s="72">
        <f t="shared" si="12"/>
        <v>0</v>
      </c>
      <c r="BE31" s="72">
        <f t="shared" si="29"/>
        <v>0</v>
      </c>
      <c r="BF31" s="39"/>
      <c r="BG31" s="42">
        <f t="shared" si="13"/>
        <v>0</v>
      </c>
      <c r="BH31" s="72">
        <f t="shared" si="30"/>
        <v>0</v>
      </c>
      <c r="BI31" s="39"/>
      <c r="BJ31" s="40" t="str">
        <f t="shared" si="31"/>
        <v/>
      </c>
      <c r="BK31" s="157" t="str">
        <f t="shared" si="32"/>
        <v/>
      </c>
      <c r="BL31" s="157" t="str">
        <f t="shared" si="14"/>
        <v/>
      </c>
      <c r="BM31" s="72"/>
      <c r="BN31" s="72" t="str">
        <f t="shared" si="33"/>
        <v/>
      </c>
      <c r="BO31" s="72" t="str">
        <f t="shared" si="34"/>
        <v/>
      </c>
      <c r="BP31" s="39"/>
      <c r="BQ31" s="72">
        <f t="shared" si="15"/>
        <v>4056318000</v>
      </c>
      <c r="BR31" s="72">
        <f t="shared" si="35"/>
        <v>2454139099.5761704</v>
      </c>
    </row>
    <row r="32" spans="3:70" x14ac:dyDescent="0.15">
      <c r="I32" s="322">
        <f t="shared" si="36"/>
        <v>2047</v>
      </c>
      <c r="J32" s="71"/>
      <c r="K32" s="71">
        <f t="shared" si="37"/>
        <v>18</v>
      </c>
      <c r="L32" s="71"/>
      <c r="M32" s="7">
        <f t="shared" si="0"/>
        <v>0.5873946076162827</v>
      </c>
      <c r="N32" s="71"/>
      <c r="O32" s="10">
        <f t="shared" si="16"/>
        <v>0</v>
      </c>
      <c r="P32" s="29" t="str">
        <f t="shared" si="1"/>
        <v>-</v>
      </c>
      <c r="Q32" s="71"/>
      <c r="R32" s="10">
        <f t="shared" si="17"/>
        <v>12564769706.170675</v>
      </c>
      <c r="S32" s="71"/>
      <c r="T32" s="10">
        <f t="shared" si="18"/>
        <v>12564769000</v>
      </c>
      <c r="U32" s="71"/>
      <c r="V32" s="10">
        <f t="shared" si="2"/>
        <v>0</v>
      </c>
      <c r="W32" s="10">
        <f t="shared" si="19"/>
        <v>0</v>
      </c>
      <c r="X32" s="71"/>
      <c r="Y32" s="10">
        <f t="shared" si="3"/>
        <v>175906700</v>
      </c>
      <c r="Z32" s="10">
        <f t="shared" si="20"/>
        <v>103326647.02357516</v>
      </c>
      <c r="AA32" s="71"/>
      <c r="AB32" s="10">
        <f t="shared" si="4"/>
        <v>0</v>
      </c>
      <c r="AC32" s="10">
        <f t="shared" si="21"/>
        <v>0</v>
      </c>
      <c r="AD32" s="71"/>
      <c r="AE32" s="10">
        <f t="shared" si="5"/>
        <v>0</v>
      </c>
      <c r="AF32" s="10">
        <f t="shared" si="22"/>
        <v>0</v>
      </c>
      <c r="AG32" s="71"/>
      <c r="AH32" s="10">
        <f t="shared" si="6"/>
        <v>440000000.00000006</v>
      </c>
      <c r="AI32" s="10">
        <f t="shared" si="23"/>
        <v>258453627.35116443</v>
      </c>
      <c r="AJ32" s="71"/>
      <c r="AK32" s="10">
        <f t="shared" si="7"/>
        <v>4099200000</v>
      </c>
      <c r="AL32" s="10">
        <f t="shared" si="24"/>
        <v>2407847975.5406661</v>
      </c>
      <c r="AM32" s="71"/>
      <c r="AN32" s="10">
        <f t="shared" si="8"/>
        <v>3757600000</v>
      </c>
      <c r="AO32" s="10">
        <f t="shared" si="25"/>
        <v>2207193977.5789437</v>
      </c>
      <c r="AP32" s="71"/>
      <c r="AQ32" s="10">
        <f t="shared" si="9"/>
        <v>1012209600</v>
      </c>
      <c r="AR32" s="10">
        <f t="shared" si="26"/>
        <v>594566460.81743443</v>
      </c>
      <c r="AS32" s="71"/>
      <c r="AT32" s="7">
        <f>IF($K32&lt;=$F$15,IF($F$40&lt;&gt;"",$F$40/1000,IF(ISERROR(VLOOKUP($F$3&amp;IF($G$4&lt;&gt;"",$G$4,"")&amp;IF($F$43&lt;&gt;"","_"&amp;$F$43,""),'表3）燃料価格'!$AF$9:$AG$25,2,0)),0,VLOOKUP($I32,'表3）燃料価格'!$A$6:$U$66,VLOOKUP($F$3&amp;IF($G$4&lt;&gt;"",$G$4,"")&amp;IF($F$43&lt;&gt;"","_"&amp;$F$43,""),'表3）燃料価格'!$AF$9:$AG$25,2,0)+VLOOKUP($F$41,'表3）燃料価格'!$AF$28:$AG$29,2,0),0)*IF($F$43="需要地価格",1,$F$8/$F$141))),"")</f>
        <v>10.762377265694971</v>
      </c>
      <c r="AU32" s="71"/>
      <c r="AV32" s="10">
        <f t="shared" si="10"/>
        <v>17383507988.767429</v>
      </c>
      <c r="AW32" s="10">
        <f t="shared" si="27"/>
        <v>10210978854.056561</v>
      </c>
      <c r="AX32" s="71"/>
      <c r="AY32" s="7">
        <f>IF(ISERROR(IF($K32&lt;=$F$15,VLOOKUP($I32,'表4）CO2価格'!$A$7:$E$67,VLOOKUP($F$48,'表4）CO2価格'!$H$10:$I$12,2,0),0)*$F$8/1000,"")),0,IF($K32&lt;=$F$15,VLOOKUP($I32,'表4）CO2価格'!$A$7:$E$67,VLOOKUP($F$48,'表4）CO2価格'!$H$10:$I$12,2,0),0)*$F$8/1000,""))</f>
        <v>6.4628000000000103</v>
      </c>
      <c r="AZ32" s="71"/>
      <c r="BA32" s="11">
        <f t="shared" si="11"/>
        <v>20447164528.432583</v>
      </c>
      <c r="BB32" s="10">
        <f t="shared" si="28"/>
        <v>12010554185.044231</v>
      </c>
      <c r="BC32" s="71"/>
      <c r="BD32" s="10">
        <f t="shared" si="12"/>
        <v>0</v>
      </c>
      <c r="BE32" s="10">
        <f t="shared" si="29"/>
        <v>0</v>
      </c>
      <c r="BF32" s="71"/>
      <c r="BG32" s="11">
        <f t="shared" si="13"/>
        <v>0</v>
      </c>
      <c r="BH32" s="10">
        <f t="shared" si="30"/>
        <v>0</v>
      </c>
      <c r="BJ32" s="7" t="str">
        <f t="shared" si="31"/>
        <v/>
      </c>
      <c r="BK32" s="158" t="str">
        <f t="shared" si="32"/>
        <v/>
      </c>
      <c r="BL32" s="158" t="str">
        <f t="shared" si="14"/>
        <v/>
      </c>
      <c r="BM32" s="10"/>
      <c r="BN32" s="10" t="str">
        <f t="shared" si="33"/>
        <v/>
      </c>
      <c r="BO32" s="10" t="str">
        <f t="shared" si="34"/>
        <v/>
      </c>
      <c r="BQ32" s="10">
        <f t="shared" si="15"/>
        <v>4056318000</v>
      </c>
      <c r="BR32" s="10">
        <f t="shared" si="35"/>
        <v>2382659319.9768648</v>
      </c>
    </row>
    <row r="33" spans="3:70" x14ac:dyDescent="0.15">
      <c r="D33" s="81" t="s">
        <v>88</v>
      </c>
      <c r="F33" s="66">
        <v>4.4000000000000004</v>
      </c>
      <c r="G33" s="81" t="s">
        <v>119</v>
      </c>
      <c r="I33" s="38">
        <f t="shared" si="36"/>
        <v>2048</v>
      </c>
      <c r="J33" s="39"/>
      <c r="K33" s="39">
        <f t="shared" si="37"/>
        <v>19</v>
      </c>
      <c r="L33" s="39"/>
      <c r="M33" s="40">
        <f t="shared" si="0"/>
        <v>0.57028602681192497</v>
      </c>
      <c r="N33" s="39"/>
      <c r="O33" s="72">
        <f t="shared" si="16"/>
        <v>0</v>
      </c>
      <c r="P33" s="41" t="str">
        <f t="shared" si="1"/>
        <v>-</v>
      </c>
      <c r="Q33" s="39"/>
      <c r="R33" s="72">
        <f t="shared" si="17"/>
        <v>10776751443.721703</v>
      </c>
      <c r="S33" s="39"/>
      <c r="T33" s="72">
        <f t="shared" si="18"/>
        <v>10776751000</v>
      </c>
      <c r="U33" s="39"/>
      <c r="V33" s="72">
        <f t="shared" si="2"/>
        <v>0</v>
      </c>
      <c r="W33" s="72">
        <f t="shared" si="19"/>
        <v>0</v>
      </c>
      <c r="X33" s="39"/>
      <c r="Y33" s="72">
        <f t="shared" si="3"/>
        <v>150874500</v>
      </c>
      <c r="Z33" s="72">
        <f t="shared" si="20"/>
        <v>86041619.152235776</v>
      </c>
      <c r="AA33" s="39"/>
      <c r="AB33" s="72">
        <f t="shared" si="4"/>
        <v>0</v>
      </c>
      <c r="AC33" s="72">
        <f t="shared" si="21"/>
        <v>0</v>
      </c>
      <c r="AD33" s="39"/>
      <c r="AE33" s="72">
        <f t="shared" si="5"/>
        <v>0</v>
      </c>
      <c r="AF33" s="72">
        <f t="shared" si="22"/>
        <v>0</v>
      </c>
      <c r="AG33" s="39"/>
      <c r="AH33" s="72">
        <f t="shared" si="6"/>
        <v>440000000.00000006</v>
      </c>
      <c r="AI33" s="72">
        <f t="shared" si="23"/>
        <v>250925851.79724702</v>
      </c>
      <c r="AJ33" s="39"/>
      <c r="AK33" s="72">
        <f t="shared" si="7"/>
        <v>4099200000</v>
      </c>
      <c r="AL33" s="72">
        <f t="shared" si="24"/>
        <v>2337716481.1074429</v>
      </c>
      <c r="AM33" s="39"/>
      <c r="AN33" s="72">
        <f t="shared" si="8"/>
        <v>3757600000</v>
      </c>
      <c r="AO33" s="72">
        <f t="shared" si="25"/>
        <v>2142906774.3484893</v>
      </c>
      <c r="AP33" s="39"/>
      <c r="AQ33" s="72">
        <f t="shared" si="9"/>
        <v>1012209600</v>
      </c>
      <c r="AR33" s="72">
        <f t="shared" si="26"/>
        <v>577248991.08488786</v>
      </c>
      <c r="AS33" s="39"/>
      <c r="AT33" s="40">
        <f>IF($K33&lt;=$F$15,IF($F$40&lt;&gt;"",$F$40/1000,IF(ISERROR(VLOOKUP($F$3&amp;IF($G$4&lt;&gt;"",$G$4,"")&amp;IF($F$43&lt;&gt;"","_"&amp;$F$43,""),'表3）燃料価格'!$AF$9:$AG$25,2,0)),0,VLOOKUP($I33,'表3）燃料価格'!$A$6:$U$66,VLOOKUP($F$3&amp;IF($G$4&lt;&gt;"",$G$4,"")&amp;IF($F$43&lt;&gt;"","_"&amp;$F$43,""),'表3）燃料価格'!$AF$9:$AG$25,2,0)+VLOOKUP($F$41,'表3）燃料価格'!$AF$28:$AG$29,2,0),0)*IF($F$43="需要地価格",1,$F$8/$F$141))),"")</f>
        <v>10.749018840862531</v>
      </c>
      <c r="AU33" s="39"/>
      <c r="AV33" s="72">
        <f t="shared" si="10"/>
        <v>17365312610.2766</v>
      </c>
      <c r="AW33" s="72">
        <f t="shared" si="27"/>
        <v>9903195132.86166</v>
      </c>
      <c r="AX33" s="39"/>
      <c r="AY33" s="40">
        <f>IF(ISERROR(IF($K33&lt;=$F$15,VLOOKUP($I33,'表4）CO2価格'!$A$7:$E$67,VLOOKUP($F$48,'表4）CO2価格'!$H$10:$I$12,2,0),0)*$F$8/1000,"")),0,IF($K33&lt;=$F$15,VLOOKUP($I33,'表4）CO2価格'!$A$7:$E$67,VLOOKUP($F$48,'表4）CO2価格'!$H$10:$I$12,2,0),0)*$F$8/1000,""))</f>
        <v>6.59119999999999</v>
      </c>
      <c r="AZ33" s="39"/>
      <c r="BA33" s="42">
        <f t="shared" si="11"/>
        <v>20853399585.288792</v>
      </c>
      <c r="BB33" s="72">
        <f t="shared" si="28"/>
        <v>11892402395.015789</v>
      </c>
      <c r="BC33" s="39"/>
      <c r="BD33" s="72">
        <f t="shared" si="12"/>
        <v>0</v>
      </c>
      <c r="BE33" s="72">
        <f t="shared" si="29"/>
        <v>0</v>
      </c>
      <c r="BF33" s="39"/>
      <c r="BG33" s="42">
        <f t="shared" si="13"/>
        <v>0</v>
      </c>
      <c r="BH33" s="72">
        <f t="shared" si="30"/>
        <v>0</v>
      </c>
      <c r="BI33" s="39"/>
      <c r="BJ33" s="40" t="str">
        <f t="shared" si="31"/>
        <v/>
      </c>
      <c r="BK33" s="157" t="str">
        <f t="shared" si="32"/>
        <v/>
      </c>
      <c r="BL33" s="157" t="str">
        <f t="shared" si="14"/>
        <v/>
      </c>
      <c r="BM33" s="72"/>
      <c r="BN33" s="72" t="str">
        <f t="shared" si="33"/>
        <v/>
      </c>
      <c r="BO33" s="72" t="str">
        <f t="shared" si="34"/>
        <v/>
      </c>
      <c r="BP33" s="39"/>
      <c r="BQ33" s="72">
        <f t="shared" si="15"/>
        <v>4056318000</v>
      </c>
      <c r="BR33" s="72">
        <f t="shared" si="35"/>
        <v>2313261475.7056937</v>
      </c>
    </row>
    <row r="34" spans="3:70" x14ac:dyDescent="0.15">
      <c r="D34" s="81" t="s">
        <v>120</v>
      </c>
      <c r="F34" s="66">
        <v>2.4</v>
      </c>
      <c r="G34" s="81" t="s">
        <v>121</v>
      </c>
      <c r="I34" s="322">
        <f t="shared" si="36"/>
        <v>2049</v>
      </c>
      <c r="J34" s="71"/>
      <c r="K34" s="71">
        <f t="shared" si="37"/>
        <v>20</v>
      </c>
      <c r="L34" s="71"/>
      <c r="M34" s="7">
        <f t="shared" si="0"/>
        <v>0.55367575418633497</v>
      </c>
      <c r="N34" s="71"/>
      <c r="O34" s="10">
        <f t="shared" si="16"/>
        <v>0</v>
      </c>
      <c r="P34" s="29" t="str">
        <f t="shared" si="1"/>
        <v>-</v>
      </c>
      <c r="Q34" s="71"/>
      <c r="R34" s="10">
        <f t="shared" si="17"/>
        <v>9243175513.4136009</v>
      </c>
      <c r="S34" s="71"/>
      <c r="T34" s="10">
        <f t="shared" si="18"/>
        <v>9243175000</v>
      </c>
      <c r="U34" s="71"/>
      <c r="V34" s="10">
        <f t="shared" si="2"/>
        <v>0</v>
      </c>
      <c r="W34" s="10">
        <f t="shared" si="19"/>
        <v>0</v>
      </c>
      <c r="X34" s="71"/>
      <c r="Y34" s="10">
        <f t="shared" si="3"/>
        <v>129404400</v>
      </c>
      <c r="Z34" s="10">
        <f t="shared" si="20"/>
        <v>71648078.765030161</v>
      </c>
      <c r="AA34" s="71"/>
      <c r="AB34" s="10">
        <f t="shared" si="4"/>
        <v>0</v>
      </c>
      <c r="AC34" s="10">
        <f t="shared" si="21"/>
        <v>0</v>
      </c>
      <c r="AD34" s="71"/>
      <c r="AE34" s="10">
        <f t="shared" si="5"/>
        <v>0</v>
      </c>
      <c r="AF34" s="10">
        <f t="shared" si="22"/>
        <v>0</v>
      </c>
      <c r="AG34" s="71"/>
      <c r="AH34" s="10">
        <f t="shared" si="6"/>
        <v>440000000.00000006</v>
      </c>
      <c r="AI34" s="10">
        <f t="shared" si="23"/>
        <v>243617331.84198743</v>
      </c>
      <c r="AJ34" s="71"/>
      <c r="AK34" s="10">
        <f t="shared" si="7"/>
        <v>4099200000</v>
      </c>
      <c r="AL34" s="10">
        <f t="shared" si="24"/>
        <v>2269627651.5606241</v>
      </c>
      <c r="AM34" s="71"/>
      <c r="AN34" s="10">
        <f t="shared" si="8"/>
        <v>3757600000</v>
      </c>
      <c r="AO34" s="10">
        <f t="shared" si="25"/>
        <v>2080492013.9305723</v>
      </c>
      <c r="AP34" s="71"/>
      <c r="AQ34" s="10">
        <f t="shared" si="9"/>
        <v>1012209600</v>
      </c>
      <c r="AR34" s="10">
        <f t="shared" si="26"/>
        <v>560435913.6746484</v>
      </c>
      <c r="AS34" s="71"/>
      <c r="AT34" s="7">
        <f>IF($K34&lt;=$F$15,IF($F$40&lt;&gt;"",$F$40/1000,IF(ISERROR(VLOOKUP($F$3&amp;IF($G$4&lt;&gt;"",$G$4,"")&amp;IF($F$43&lt;&gt;"","_"&amp;$F$43,""),'表3）燃料価格'!$AF$9:$AG$25,2,0)),0,VLOOKUP($I34,'表3）燃料価格'!$A$6:$U$66,VLOOKUP($F$3&amp;IF($G$4&lt;&gt;"",$G$4,"")&amp;IF($F$43&lt;&gt;"","_"&amp;$F$43,""),'表3）燃料価格'!$AF$9:$AG$25,2,0)+VLOOKUP($F$41,'表3）燃料価格'!$AF$28:$AG$29,2,0),0)*IF($F$43="需要地価格",1,$F$8/$F$141))),"")</f>
        <v>10.736047671787711</v>
      </c>
      <c r="AU34" s="71"/>
      <c r="AV34" s="10">
        <f t="shared" si="10"/>
        <v>17347644709.027363</v>
      </c>
      <c r="AW34" s="10">
        <f t="shared" si="27"/>
        <v>9604970267.6273079</v>
      </c>
      <c r="AX34" s="71"/>
      <c r="AY34" s="7">
        <f>IF(ISERROR(IF($K34&lt;=$F$15,VLOOKUP($I34,'表4）CO2価格'!$A$7:$E$67,VLOOKUP($F$48,'表4）CO2価格'!$H$10:$I$12,2,0),0)*$F$8/1000,"")),0,IF($K34&lt;=$F$15,VLOOKUP($I34,'表4）CO2価格'!$A$7:$E$67,VLOOKUP($F$48,'表4）CO2価格'!$H$10:$I$12,2,0),0)*$F$8/1000,""))</f>
        <v>6.7195999999999714</v>
      </c>
      <c r="AZ34" s="71"/>
      <c r="BA34" s="11">
        <f t="shared" si="11"/>
        <v>21259634642.145012</v>
      </c>
      <c r="BB34" s="10">
        <f t="shared" si="28"/>
        <v>11770944244.215572</v>
      </c>
      <c r="BC34" s="71"/>
      <c r="BD34" s="10">
        <f t="shared" si="12"/>
        <v>0</v>
      </c>
      <c r="BE34" s="10">
        <f t="shared" si="29"/>
        <v>0</v>
      </c>
      <c r="BF34" s="71"/>
      <c r="BG34" s="11">
        <f t="shared" si="13"/>
        <v>0</v>
      </c>
      <c r="BH34" s="10">
        <f t="shared" si="30"/>
        <v>0</v>
      </c>
      <c r="BJ34" s="7" t="str">
        <f t="shared" si="31"/>
        <v/>
      </c>
      <c r="BK34" s="158" t="str">
        <f t="shared" si="32"/>
        <v/>
      </c>
      <c r="BL34" s="158" t="str">
        <f t="shared" si="14"/>
        <v/>
      </c>
      <c r="BM34" s="10"/>
      <c r="BN34" s="10" t="str">
        <f t="shared" si="33"/>
        <v/>
      </c>
      <c r="BO34" s="10" t="str">
        <f t="shared" si="34"/>
        <v/>
      </c>
      <c r="BQ34" s="10">
        <f t="shared" si="15"/>
        <v>4056318000</v>
      </c>
      <c r="BR34" s="10">
        <f t="shared" si="35"/>
        <v>2245884927.869606</v>
      </c>
    </row>
    <row r="35" spans="3:70" x14ac:dyDescent="0.15">
      <c r="D35" s="81" t="s">
        <v>122</v>
      </c>
      <c r="F35" s="66">
        <v>2.2000000000000002</v>
      </c>
      <c r="G35" s="81" t="s">
        <v>121</v>
      </c>
      <c r="I35" s="38">
        <f t="shared" si="36"/>
        <v>2050</v>
      </c>
      <c r="J35" s="39"/>
      <c r="K35" s="39">
        <f t="shared" si="37"/>
        <v>21</v>
      </c>
      <c r="L35" s="39"/>
      <c r="M35" s="40">
        <f t="shared" si="0"/>
        <v>0.5375492759090631</v>
      </c>
      <c r="N35" s="39"/>
      <c r="O35" s="72">
        <f t="shared" si="16"/>
        <v>0</v>
      </c>
      <c r="P35" s="41" t="str">
        <f t="shared" si="1"/>
        <v>-</v>
      </c>
      <c r="Q35" s="39"/>
      <c r="R35" s="72">
        <f t="shared" si="17"/>
        <v>8540000000</v>
      </c>
      <c r="S35" s="39"/>
      <c r="T35" s="72">
        <f t="shared" si="18"/>
        <v>8540000000</v>
      </c>
      <c r="U35" s="39"/>
      <c r="V35" s="72">
        <f t="shared" si="2"/>
        <v>0</v>
      </c>
      <c r="W35" s="72">
        <f t="shared" si="19"/>
        <v>0</v>
      </c>
      <c r="X35" s="39"/>
      <c r="Y35" s="72">
        <f t="shared" si="3"/>
        <v>119560000</v>
      </c>
      <c r="Z35" s="72">
        <f t="shared" si="20"/>
        <v>64269391.427687585</v>
      </c>
      <c r="AA35" s="39"/>
      <c r="AB35" s="72">
        <f t="shared" si="4"/>
        <v>0</v>
      </c>
      <c r="AC35" s="72">
        <f t="shared" si="21"/>
        <v>0</v>
      </c>
      <c r="AD35" s="39"/>
      <c r="AE35" s="72">
        <f t="shared" si="5"/>
        <v>0</v>
      </c>
      <c r="AF35" s="72">
        <f t="shared" si="22"/>
        <v>0</v>
      </c>
      <c r="AG35" s="39"/>
      <c r="AH35" s="72">
        <f t="shared" si="6"/>
        <v>440000000.00000006</v>
      </c>
      <c r="AI35" s="72">
        <f t="shared" si="23"/>
        <v>236521681.39998779</v>
      </c>
      <c r="AJ35" s="39"/>
      <c r="AK35" s="72">
        <f t="shared" si="7"/>
        <v>4099200000</v>
      </c>
      <c r="AL35" s="72">
        <f t="shared" si="24"/>
        <v>2203521991.8064313</v>
      </c>
      <c r="AM35" s="39"/>
      <c r="AN35" s="72">
        <f t="shared" si="8"/>
        <v>3757600000</v>
      </c>
      <c r="AO35" s="72">
        <f t="shared" si="25"/>
        <v>2019895159.1558955</v>
      </c>
      <c r="AP35" s="39"/>
      <c r="AQ35" s="72">
        <f t="shared" si="9"/>
        <v>1012209600</v>
      </c>
      <c r="AR35" s="72">
        <f t="shared" si="26"/>
        <v>544112537.5482024</v>
      </c>
      <c r="AS35" s="39"/>
      <c r="AT35" s="40">
        <f>IF($K35&lt;=$F$15,IF($F$40&lt;&gt;"",$F$40/1000,IF(ISERROR(VLOOKUP($F$3&amp;IF($G$4&lt;&gt;"",$G$4,"")&amp;IF($F$43&lt;&gt;"","_"&amp;$F$43,""),'表3）燃料価格'!$AF$9:$AG$25,2,0)),0,VLOOKUP($I35,'表3）燃料価格'!$A$6:$U$66,VLOOKUP($F$3&amp;IF($G$4&lt;&gt;"",$G$4,"")&amp;IF($F$43&lt;&gt;"","_"&amp;$F$43,""),'表3）燃料価格'!$AF$9:$AG$25,2,0)+VLOOKUP($F$41,'表3）燃料価格'!$AF$28:$AG$29,2,0),0)*IF($F$43="需要地価格",1,$F$8/$F$141))),"")</f>
        <v>10.723441936787916</v>
      </c>
      <c r="AU35" s="39"/>
      <c r="AV35" s="72">
        <f t="shared" si="10"/>
        <v>17330474561.921444</v>
      </c>
      <c r="AW35" s="72">
        <f t="shared" si="27"/>
        <v>9315984051.9213104</v>
      </c>
      <c r="AX35" s="39"/>
      <c r="AY35" s="40">
        <f>IF(ISERROR(IF($K35&lt;=$F$15,VLOOKUP($I35,'表4）CO2価格'!$A$7:$E$67,VLOOKUP($F$48,'表4）CO2価格'!$H$10:$I$12,2,0),0)*$F$8/1000,"")),0,IF($K35&lt;=$F$15,VLOOKUP($I35,'表4）CO2価格'!$A$7:$E$67,VLOOKUP($F$48,'表4）CO2価格'!$H$10:$I$12,2,0),0)*$F$8/1000,""))</f>
        <v>6.8479999999999999</v>
      </c>
      <c r="AZ35" s="39"/>
      <c r="BA35" s="42">
        <f t="shared" si="11"/>
        <v>21665869699.001377</v>
      </c>
      <c r="BB35" s="72">
        <f t="shared" si="28"/>
        <v>11646472568.638302</v>
      </c>
      <c r="BC35" s="39"/>
      <c r="BD35" s="72">
        <f t="shared" si="12"/>
        <v>0</v>
      </c>
      <c r="BE35" s="72">
        <f t="shared" si="29"/>
        <v>0</v>
      </c>
      <c r="BF35" s="39"/>
      <c r="BG35" s="42">
        <f t="shared" si="13"/>
        <v>0</v>
      </c>
      <c r="BH35" s="72">
        <f t="shared" si="30"/>
        <v>0</v>
      </c>
      <c r="BI35" s="39"/>
      <c r="BJ35" s="40" t="str">
        <f t="shared" si="31"/>
        <v/>
      </c>
      <c r="BK35" s="157" t="str">
        <f t="shared" si="32"/>
        <v/>
      </c>
      <c r="BL35" s="157" t="str">
        <f t="shared" si="14"/>
        <v/>
      </c>
      <c r="BM35" s="72"/>
      <c r="BN35" s="72" t="str">
        <f t="shared" si="33"/>
        <v/>
      </c>
      <c r="BO35" s="72" t="str">
        <f t="shared" si="34"/>
        <v/>
      </c>
      <c r="BP35" s="39"/>
      <c r="BQ35" s="72">
        <f t="shared" si="15"/>
        <v>4056318000</v>
      </c>
      <c r="BR35" s="72">
        <f t="shared" si="35"/>
        <v>2180470803.7568989</v>
      </c>
    </row>
    <row r="36" spans="3:70" x14ac:dyDescent="0.15">
      <c r="D36" s="81" t="s">
        <v>177</v>
      </c>
      <c r="F36" s="68">
        <v>12.2</v>
      </c>
      <c r="G36" s="81" t="s">
        <v>123</v>
      </c>
      <c r="I36" s="322">
        <f t="shared" si="36"/>
        <v>2051</v>
      </c>
      <c r="J36" s="71"/>
      <c r="K36" s="71">
        <f t="shared" si="37"/>
        <v>22</v>
      </c>
      <c r="L36" s="71"/>
      <c r="M36" s="7">
        <f t="shared" si="0"/>
        <v>0.52189250088258554</v>
      </c>
      <c r="N36" s="71"/>
      <c r="O36" s="10">
        <f t="shared" si="16"/>
        <v>0</v>
      </c>
      <c r="P36" s="29" t="str">
        <f t="shared" si="1"/>
        <v>-</v>
      </c>
      <c r="Q36" s="71"/>
      <c r="R36" s="10">
        <f t="shared" si="17"/>
        <v>8540000000</v>
      </c>
      <c r="S36" s="71"/>
      <c r="T36" s="10">
        <f t="shared" si="18"/>
        <v>8540000000</v>
      </c>
      <c r="U36" s="71"/>
      <c r="V36" s="10">
        <f t="shared" si="2"/>
        <v>0</v>
      </c>
      <c r="W36" s="10">
        <f t="shared" si="19"/>
        <v>0</v>
      </c>
      <c r="X36" s="71"/>
      <c r="Y36" s="10">
        <f t="shared" si="3"/>
        <v>119560000</v>
      </c>
      <c r="Z36" s="10">
        <f t="shared" si="20"/>
        <v>62397467.405521929</v>
      </c>
      <c r="AA36" s="71"/>
      <c r="AB36" s="10">
        <f t="shared" si="4"/>
        <v>0</v>
      </c>
      <c r="AC36" s="10">
        <f t="shared" si="21"/>
        <v>0</v>
      </c>
      <c r="AD36" s="71"/>
      <c r="AE36" s="10">
        <f t="shared" si="5"/>
        <v>0</v>
      </c>
      <c r="AF36" s="10">
        <f t="shared" si="22"/>
        <v>0</v>
      </c>
      <c r="AG36" s="71"/>
      <c r="AH36" s="10">
        <f t="shared" si="6"/>
        <v>440000000.00000006</v>
      </c>
      <c r="AI36" s="10">
        <f t="shared" si="23"/>
        <v>229632700.38833767</v>
      </c>
      <c r="AJ36" s="71"/>
      <c r="AK36" s="10">
        <f t="shared" si="7"/>
        <v>4099200000</v>
      </c>
      <c r="AL36" s="10">
        <f t="shared" si="24"/>
        <v>2139341739.6178946</v>
      </c>
      <c r="AM36" s="71"/>
      <c r="AN36" s="10">
        <f t="shared" si="8"/>
        <v>3757600000</v>
      </c>
      <c r="AO36" s="10">
        <f t="shared" si="25"/>
        <v>1961063261.3164034</v>
      </c>
      <c r="AP36" s="71"/>
      <c r="AQ36" s="10">
        <f t="shared" si="9"/>
        <v>1012209600</v>
      </c>
      <c r="AR36" s="10">
        <f t="shared" si="26"/>
        <v>528264599.56136155</v>
      </c>
      <c r="AS36" s="71"/>
      <c r="AT36" s="7">
        <f>IF($K36&lt;=$F$15,IF($F$40&lt;&gt;"",$F$40/1000,IF(ISERROR(VLOOKUP($F$3&amp;IF($G$4&lt;&gt;"",$G$4,"")&amp;IF($F$43&lt;&gt;"","_"&amp;$F$43,""),'表3）燃料価格'!$AF$9:$AG$25,2,0)),0,VLOOKUP($I36,'表3）燃料価格'!$A$6:$U$66,VLOOKUP($F$3&amp;IF($G$4&lt;&gt;"",$G$4,"")&amp;IF($F$43&lt;&gt;"","_"&amp;$F$43,""),'表3）燃料価格'!$AF$9:$AG$25,2,0)+VLOOKUP($F$41,'表3）燃料価格'!$AF$28:$AG$29,2,0),0)*IF($F$43="需要地価格",1,$F$8/$F$141))),"")</f>
        <v>10.711181608212062</v>
      </c>
      <c r="AU36" s="71"/>
      <c r="AV36" s="10">
        <f t="shared" si="10"/>
        <v>17313774889.49316</v>
      </c>
      <c r="AW36" s="10">
        <f t="shared" si="27"/>
        <v>9035929276.7956963</v>
      </c>
      <c r="AX36" s="71"/>
      <c r="AY36" s="7">
        <f>IF(ISERROR(IF($K36&lt;=$F$15,VLOOKUP($I36,'表4）CO2価格'!$A$7:$E$67,VLOOKUP($F$48,'表4）CO2価格'!$H$10:$I$12,2,0),0)*$F$8/1000,"")),0,IF($K36&lt;=$F$15,VLOOKUP($I36,'表4）CO2価格'!$A$7:$E$67,VLOOKUP($F$48,'表4）CO2価格'!$H$10:$I$12,2,0),0)*$F$8/1000,""))</f>
        <v>7.0184806169104448</v>
      </c>
      <c r="AZ36" s="71"/>
      <c r="BA36" s="11">
        <f t="shared" si="11"/>
        <v>22205240439.682899</v>
      </c>
      <c r="BB36" s="10">
        <f t="shared" si="28"/>
        <v>11588748465.765232</v>
      </c>
      <c r="BC36" s="71"/>
      <c r="BD36" s="10">
        <f t="shared" si="12"/>
        <v>0</v>
      </c>
      <c r="BE36" s="10">
        <f t="shared" si="29"/>
        <v>0</v>
      </c>
      <c r="BF36" s="71"/>
      <c r="BG36" s="11">
        <f t="shared" si="13"/>
        <v>0</v>
      </c>
      <c r="BH36" s="10">
        <f t="shared" si="30"/>
        <v>0</v>
      </c>
      <c r="BJ36" s="7" t="str">
        <f t="shared" si="31"/>
        <v/>
      </c>
      <c r="BK36" s="158" t="str">
        <f t="shared" si="32"/>
        <v/>
      </c>
      <c r="BL36" s="158" t="str">
        <f t="shared" si="14"/>
        <v/>
      </c>
      <c r="BM36" s="10"/>
      <c r="BN36" s="10" t="str">
        <f t="shared" si="33"/>
        <v/>
      </c>
      <c r="BO36" s="10" t="str">
        <f t="shared" si="34"/>
        <v/>
      </c>
      <c r="BQ36" s="10">
        <f t="shared" si="15"/>
        <v>4056318000</v>
      </c>
      <c r="BR36" s="10">
        <f t="shared" si="35"/>
        <v>2116961945.3950477</v>
      </c>
    </row>
    <row r="37" spans="3:70" x14ac:dyDescent="0.15">
      <c r="I37" s="38">
        <f t="shared" si="36"/>
        <v>2052</v>
      </c>
      <c r="J37" s="39"/>
      <c r="K37" s="39">
        <f t="shared" si="37"/>
        <v>23</v>
      </c>
      <c r="L37" s="39"/>
      <c r="M37" s="40">
        <f t="shared" si="0"/>
        <v>0.50669174842969467</v>
      </c>
      <c r="N37" s="39"/>
      <c r="O37" s="72">
        <f t="shared" si="16"/>
        <v>0</v>
      </c>
      <c r="P37" s="41" t="str">
        <f t="shared" si="1"/>
        <v>-</v>
      </c>
      <c r="Q37" s="39"/>
      <c r="R37" s="72">
        <f t="shared" si="17"/>
        <v>8540000000</v>
      </c>
      <c r="S37" s="39"/>
      <c r="T37" s="72">
        <f t="shared" si="18"/>
        <v>8540000000</v>
      </c>
      <c r="U37" s="39"/>
      <c r="V37" s="72">
        <f t="shared" si="2"/>
        <v>0</v>
      </c>
      <c r="W37" s="72">
        <f t="shared" si="19"/>
        <v>0</v>
      </c>
      <c r="X37" s="39"/>
      <c r="Y37" s="72">
        <f t="shared" si="3"/>
        <v>119560000</v>
      </c>
      <c r="Z37" s="72">
        <f t="shared" si="20"/>
        <v>60580065.442254297</v>
      </c>
      <c r="AA37" s="39"/>
      <c r="AB37" s="72">
        <f t="shared" si="4"/>
        <v>0</v>
      </c>
      <c r="AC37" s="72">
        <f t="shared" si="21"/>
        <v>0</v>
      </c>
      <c r="AD37" s="39"/>
      <c r="AE37" s="72">
        <f t="shared" si="5"/>
        <v>0</v>
      </c>
      <c r="AF37" s="72">
        <f t="shared" si="22"/>
        <v>0</v>
      </c>
      <c r="AG37" s="39"/>
      <c r="AH37" s="72">
        <f t="shared" si="6"/>
        <v>440000000.00000006</v>
      </c>
      <c r="AI37" s="72">
        <f t="shared" si="23"/>
        <v>222944369.30906567</v>
      </c>
      <c r="AJ37" s="39"/>
      <c r="AK37" s="72">
        <f t="shared" si="7"/>
        <v>4099200000</v>
      </c>
      <c r="AL37" s="72">
        <f t="shared" si="24"/>
        <v>2077030815.1630044</v>
      </c>
      <c r="AM37" s="39"/>
      <c r="AN37" s="72">
        <f t="shared" si="8"/>
        <v>3757600000</v>
      </c>
      <c r="AO37" s="72">
        <f t="shared" si="25"/>
        <v>1903944913.8994207</v>
      </c>
      <c r="AP37" s="39"/>
      <c r="AQ37" s="72">
        <f t="shared" si="9"/>
        <v>1012209600</v>
      </c>
      <c r="AR37" s="72">
        <f t="shared" si="26"/>
        <v>512878252.00132185</v>
      </c>
      <c r="AS37" s="39"/>
      <c r="AT37" s="40">
        <f>IF($K37&lt;=$F$15,IF($F$40&lt;&gt;"",$F$40/1000,IF(ISERROR(VLOOKUP($F$3&amp;IF($G$4&lt;&gt;"",$G$4,"")&amp;IF($F$43&lt;&gt;"","_"&amp;$F$43,""),'表3）燃料価格'!$AF$9:$AG$25,2,0)),0,VLOOKUP($I37,'表3）燃料価格'!$A$6:$U$66,VLOOKUP($F$3&amp;IF($G$4&lt;&gt;"",$G$4,"")&amp;IF($F$43&lt;&gt;"","_"&amp;$F$43,""),'表3）燃料価格'!$AF$9:$AG$25,2,0)+VLOOKUP($F$41,'表3）燃料価格'!$AF$28:$AG$29,2,0),0)*IF($F$43="需要地価格",1,$F$8/$F$141))),"")</f>
        <v>10.699248261017217</v>
      </c>
      <c r="AU37" s="39"/>
      <c r="AV37" s="72">
        <f t="shared" si="10"/>
        <v>17297520595.173565</v>
      </c>
      <c r="AW37" s="72">
        <f t="shared" si="27"/>
        <v>8764510953.8671455</v>
      </c>
      <c r="AX37" s="39"/>
      <c r="AY37" s="40">
        <f>IF(ISERROR(IF($K37&lt;=$F$15,VLOOKUP($I37,'表4）CO2価格'!$A$7:$E$67,VLOOKUP($F$48,'表4）CO2価格'!$H$10:$I$12,2,0),0)*$F$8/1000,"")),0,IF($K37&lt;=$F$15,VLOOKUP($I37,'表4）CO2価格'!$A$7:$E$67,VLOOKUP($F$48,'表4）CO2価格'!$H$10:$I$12,2,0),0)*$F$8/1000,""))</f>
        <v>7.1500080975609199</v>
      </c>
      <c r="AZ37" s="39"/>
      <c r="BA37" s="42">
        <f t="shared" si="11"/>
        <v>22621370296.226578</v>
      </c>
      <c r="BB37" s="72">
        <f t="shared" si="28"/>
        <v>11462061667.270605</v>
      </c>
      <c r="BC37" s="39"/>
      <c r="BD37" s="72">
        <f t="shared" si="12"/>
        <v>0</v>
      </c>
      <c r="BE37" s="72">
        <f t="shared" si="29"/>
        <v>0</v>
      </c>
      <c r="BF37" s="39"/>
      <c r="BG37" s="42">
        <f t="shared" si="13"/>
        <v>0</v>
      </c>
      <c r="BH37" s="72">
        <f t="shared" si="30"/>
        <v>0</v>
      </c>
      <c r="BI37" s="39"/>
      <c r="BJ37" s="40" t="str">
        <f t="shared" si="31"/>
        <v/>
      </c>
      <c r="BK37" s="157" t="str">
        <f t="shared" si="32"/>
        <v/>
      </c>
      <c r="BL37" s="157" t="str">
        <f t="shared" si="14"/>
        <v/>
      </c>
      <c r="BM37" s="72"/>
      <c r="BN37" s="72" t="str">
        <f t="shared" si="33"/>
        <v/>
      </c>
      <c r="BO37" s="72" t="str">
        <f t="shared" si="34"/>
        <v/>
      </c>
      <c r="BP37" s="39"/>
      <c r="BQ37" s="72">
        <f t="shared" si="15"/>
        <v>4056318000</v>
      </c>
      <c r="BR37" s="72">
        <f t="shared" si="35"/>
        <v>2055302859.6068423</v>
      </c>
    </row>
    <row r="38" spans="3:70" x14ac:dyDescent="0.15">
      <c r="C38" s="89" t="s">
        <v>508</v>
      </c>
      <c r="D38" s="101"/>
      <c r="E38" s="101"/>
      <c r="F38" s="89"/>
      <c r="G38" s="101"/>
      <c r="I38" s="322">
        <f t="shared" si="36"/>
        <v>2053</v>
      </c>
      <c r="J38" s="71"/>
      <c r="K38" s="71">
        <f t="shared" si="37"/>
        <v>24</v>
      </c>
      <c r="L38" s="71"/>
      <c r="M38" s="7">
        <f t="shared" si="0"/>
        <v>0.49193373633950943</v>
      </c>
      <c r="N38" s="71"/>
      <c r="O38" s="10">
        <f t="shared" si="16"/>
        <v>0</v>
      </c>
      <c r="P38" s="29" t="str">
        <f t="shared" si="1"/>
        <v>-</v>
      </c>
      <c r="Q38" s="71"/>
      <c r="R38" s="10">
        <f t="shared" si="17"/>
        <v>8540000000</v>
      </c>
      <c r="S38" s="71"/>
      <c r="T38" s="10">
        <f t="shared" si="18"/>
        <v>8540000000</v>
      </c>
      <c r="U38" s="71"/>
      <c r="V38" s="10">
        <f t="shared" si="2"/>
        <v>0</v>
      </c>
      <c r="W38" s="10">
        <f t="shared" si="19"/>
        <v>0</v>
      </c>
      <c r="X38" s="71"/>
      <c r="Y38" s="10">
        <f t="shared" si="3"/>
        <v>119560000</v>
      </c>
      <c r="Z38" s="10">
        <f t="shared" si="20"/>
        <v>58815597.516751744</v>
      </c>
      <c r="AA38" s="71"/>
      <c r="AB38" s="10">
        <f t="shared" si="4"/>
        <v>0</v>
      </c>
      <c r="AC38" s="10">
        <f t="shared" si="21"/>
        <v>0</v>
      </c>
      <c r="AD38" s="71"/>
      <c r="AE38" s="10">
        <f t="shared" si="5"/>
        <v>0</v>
      </c>
      <c r="AF38" s="10">
        <f t="shared" si="22"/>
        <v>0</v>
      </c>
      <c r="AG38" s="71"/>
      <c r="AH38" s="10">
        <f t="shared" si="6"/>
        <v>440000000.00000006</v>
      </c>
      <c r="AI38" s="10">
        <f t="shared" si="23"/>
        <v>216450843.98938417</v>
      </c>
      <c r="AJ38" s="71"/>
      <c r="AK38" s="10">
        <f t="shared" si="7"/>
        <v>4099200000</v>
      </c>
      <c r="AL38" s="10">
        <f t="shared" si="24"/>
        <v>2016534772.0029171</v>
      </c>
      <c r="AM38" s="71"/>
      <c r="AN38" s="10">
        <f t="shared" si="8"/>
        <v>3757600000</v>
      </c>
      <c r="AO38" s="10">
        <f t="shared" si="25"/>
        <v>1848490207.6693406</v>
      </c>
      <c r="AP38" s="71"/>
      <c r="AQ38" s="10">
        <f t="shared" si="9"/>
        <v>1012209600</v>
      </c>
      <c r="AR38" s="10">
        <f t="shared" si="26"/>
        <v>497940050.48672032</v>
      </c>
      <c r="AS38" s="71"/>
      <c r="AT38" s="7">
        <f>IF($K38&lt;=$F$15,IF($F$40&lt;&gt;"",$F$40/1000,IF(ISERROR(VLOOKUP($F$3&amp;IF($G$4&lt;&gt;"",$G$4,"")&amp;IF($F$43&lt;&gt;"","_"&amp;$F$43,""),'表3）燃料価格'!$AF$9:$AG$25,2,0)),0,VLOOKUP($I38,'表3）燃料価格'!$A$6:$U$66,VLOOKUP($F$3&amp;IF($G$4&lt;&gt;"",$G$4,"")&amp;IF($F$43&lt;&gt;"","_"&amp;$F$43,""),'表3）燃料価格'!$AF$9:$AG$25,2,0)+VLOOKUP($F$41,'表3）燃料価格'!$AF$28:$AG$29,2,0),0)*IF($F$43="需要地価格",1,$F$8/$F$141))),"")</f>
        <v>10.687624906214406</v>
      </c>
      <c r="AU38" s="71"/>
      <c r="AV38" s="10">
        <f t="shared" si="10"/>
        <v>17281688538.428616</v>
      </c>
      <c r="AW38" s="10">
        <f t="shared" si="27"/>
        <v>8501445612.9648647</v>
      </c>
      <c r="AX38" s="71"/>
      <c r="AY38" s="7">
        <f>IF(ISERROR(IF($K38&lt;=$F$15,VLOOKUP($I38,'表4）CO2価格'!$A$7:$E$67,VLOOKUP($F$48,'表4）CO2価格'!$H$10:$I$12,2,0),0)*$F$8/1000,"")),0,IF($K38&lt;=$F$15,VLOOKUP($I38,'表4）CO2価格'!$A$7:$E$67,VLOOKUP($F$48,'表4）CO2価格'!$H$10:$I$12,2,0),0)*$F$8/1000,""))</f>
        <v>7.2814714966103056</v>
      </c>
      <c r="AZ38" s="71"/>
      <c r="BA38" s="11">
        <f t="shared" si="11"/>
        <v>23037297409.835197</v>
      </c>
      <c r="BB38" s="10">
        <f t="shared" si="28"/>
        <v>11332823789.984732</v>
      </c>
      <c r="BC38" s="71"/>
      <c r="BD38" s="10">
        <f t="shared" si="12"/>
        <v>0</v>
      </c>
      <c r="BE38" s="10">
        <f t="shared" si="29"/>
        <v>0</v>
      </c>
      <c r="BF38" s="71"/>
      <c r="BG38" s="11">
        <f t="shared" si="13"/>
        <v>0</v>
      </c>
      <c r="BH38" s="10">
        <f t="shared" si="30"/>
        <v>0</v>
      </c>
      <c r="BJ38" s="7" t="str">
        <f t="shared" si="31"/>
        <v/>
      </c>
      <c r="BK38" s="158" t="str">
        <f t="shared" si="32"/>
        <v/>
      </c>
      <c r="BL38" s="158" t="str">
        <f t="shared" si="14"/>
        <v/>
      </c>
      <c r="BM38" s="10"/>
      <c r="BN38" s="10" t="str">
        <f t="shared" si="33"/>
        <v/>
      </c>
      <c r="BO38" s="10" t="str">
        <f t="shared" si="34"/>
        <v/>
      </c>
      <c r="BQ38" s="10">
        <f t="shared" si="15"/>
        <v>4056318000</v>
      </c>
      <c r="BR38" s="10">
        <f t="shared" si="35"/>
        <v>1995439669.5212061</v>
      </c>
    </row>
    <row r="39" spans="3:70" x14ac:dyDescent="0.15">
      <c r="I39" s="38">
        <f t="shared" si="36"/>
        <v>2054</v>
      </c>
      <c r="J39" s="39"/>
      <c r="K39" s="39">
        <f t="shared" si="37"/>
        <v>25</v>
      </c>
      <c r="L39" s="39"/>
      <c r="M39" s="40">
        <f t="shared" si="0"/>
        <v>0.47760556926165965</v>
      </c>
      <c r="N39" s="39"/>
      <c r="O39" s="72">
        <f t="shared" si="16"/>
        <v>0</v>
      </c>
      <c r="P39" s="41" t="str">
        <f t="shared" si="1"/>
        <v>-</v>
      </c>
      <c r="Q39" s="39"/>
      <c r="R39" s="72">
        <f t="shared" si="17"/>
        <v>8540000000</v>
      </c>
      <c r="S39" s="39"/>
      <c r="T39" s="72">
        <f t="shared" si="18"/>
        <v>8540000000</v>
      </c>
      <c r="U39" s="39"/>
      <c r="V39" s="72">
        <f t="shared" si="2"/>
        <v>0</v>
      </c>
      <c r="W39" s="72">
        <f t="shared" si="19"/>
        <v>0</v>
      </c>
      <c r="X39" s="39"/>
      <c r="Y39" s="72">
        <f t="shared" si="3"/>
        <v>119560000</v>
      </c>
      <c r="Z39" s="72">
        <f t="shared" si="20"/>
        <v>57102521.860924028</v>
      </c>
      <c r="AA39" s="39"/>
      <c r="AB39" s="72">
        <f t="shared" si="4"/>
        <v>0</v>
      </c>
      <c r="AC39" s="72">
        <f t="shared" si="21"/>
        <v>0</v>
      </c>
      <c r="AD39" s="39"/>
      <c r="AE39" s="72">
        <f t="shared" si="5"/>
        <v>0</v>
      </c>
      <c r="AF39" s="72">
        <f t="shared" si="22"/>
        <v>0</v>
      </c>
      <c r="AG39" s="39"/>
      <c r="AH39" s="72">
        <f t="shared" si="6"/>
        <v>440000000.00000006</v>
      </c>
      <c r="AI39" s="72">
        <f t="shared" si="23"/>
        <v>210146450.47513026</v>
      </c>
      <c r="AJ39" s="39"/>
      <c r="AK39" s="72">
        <f t="shared" si="7"/>
        <v>4099200000</v>
      </c>
      <c r="AL39" s="72">
        <f t="shared" si="24"/>
        <v>1957800749.5173953</v>
      </c>
      <c r="AM39" s="39"/>
      <c r="AN39" s="72">
        <f t="shared" si="8"/>
        <v>3757600000</v>
      </c>
      <c r="AO39" s="72">
        <f t="shared" si="25"/>
        <v>1794650687.0576122</v>
      </c>
      <c r="AP39" s="39"/>
      <c r="AQ39" s="72">
        <f t="shared" si="9"/>
        <v>1012209600</v>
      </c>
      <c r="AR39" s="72">
        <f t="shared" si="26"/>
        <v>483436942.22011679</v>
      </c>
      <c r="AS39" s="39"/>
      <c r="AT39" s="40">
        <f>IF($K39&lt;=$F$15,IF($F$40&lt;&gt;"",$F$40/1000,IF(ISERROR(VLOOKUP($F$3&amp;IF($G$4&lt;&gt;"",$G$4,"")&amp;IF($F$43&lt;&gt;"","_"&amp;$F$43,""),'表3）燃料価格'!$AF$9:$AG$25,2,0)),0,VLOOKUP($I39,'表3）燃料価格'!$A$6:$U$66,VLOOKUP($F$3&amp;IF($G$4&lt;&gt;"",$G$4,"")&amp;IF($F$43&lt;&gt;"","_"&amp;$F$43,""),'表3）燃料価格'!$AF$9:$AG$25,2,0)+VLOOKUP($F$41,'表3）燃料価格'!$AF$28:$AG$29,2,0),0)*IF($F$43="需要地価格",1,$F$8/$F$141))),"")</f>
        <v>10.676295845404443</v>
      </c>
      <c r="AU39" s="39"/>
      <c r="AV39" s="72">
        <f t="shared" si="10"/>
        <v>17266257336.623871</v>
      </c>
      <c r="AW39" s="72">
        <f t="shared" si="27"/>
        <v>8246460664.2765512</v>
      </c>
      <c r="AX39" s="39"/>
      <c r="AY39" s="40">
        <f>IF(ISERROR(IF($K39&lt;=$F$15,VLOOKUP($I39,'表4）CO2価格'!$A$7:$E$67,VLOOKUP($F$48,'表4）CO2価格'!$H$10:$I$12,2,0),0)*$F$8/1000,"")),0,IF($K39&lt;=$F$15,VLOOKUP($I39,'表4）CO2価格'!$A$7:$E$67,VLOOKUP($F$48,'表4）CO2価格'!$H$10:$I$12,2,0),0)*$F$8/1000,""))</f>
        <v>7.4128708764708131</v>
      </c>
      <c r="AZ39" s="39"/>
      <c r="BA39" s="42">
        <f t="shared" si="11"/>
        <v>23453021977.970032</v>
      </c>
      <c r="BB39" s="72">
        <f t="shared" si="28"/>
        <v>11201293912.694592</v>
      </c>
      <c r="BC39" s="39"/>
      <c r="BD39" s="72">
        <f t="shared" si="12"/>
        <v>0</v>
      </c>
      <c r="BE39" s="72">
        <f t="shared" si="29"/>
        <v>0</v>
      </c>
      <c r="BF39" s="39"/>
      <c r="BG39" s="42">
        <f t="shared" si="13"/>
        <v>0</v>
      </c>
      <c r="BH39" s="72">
        <f t="shared" si="30"/>
        <v>0</v>
      </c>
      <c r="BI39" s="39"/>
      <c r="BJ39" s="40" t="str">
        <f t="shared" si="31"/>
        <v/>
      </c>
      <c r="BK39" s="157" t="str">
        <f t="shared" si="32"/>
        <v/>
      </c>
      <c r="BL39" s="157" t="str">
        <f t="shared" si="14"/>
        <v/>
      </c>
      <c r="BM39" s="72"/>
      <c r="BN39" s="72" t="str">
        <f t="shared" si="33"/>
        <v/>
      </c>
      <c r="BO39" s="72" t="str">
        <f t="shared" si="34"/>
        <v/>
      </c>
      <c r="BP39" s="39"/>
      <c r="BQ39" s="72">
        <f t="shared" si="15"/>
        <v>4056318000</v>
      </c>
      <c r="BR39" s="72">
        <f t="shared" si="35"/>
        <v>1937320067.4963167</v>
      </c>
    </row>
    <row r="40" spans="3:70" x14ac:dyDescent="0.15">
      <c r="D40" s="81" t="s">
        <v>124</v>
      </c>
      <c r="F40" s="59"/>
      <c r="G40" s="82" t="s">
        <v>178</v>
      </c>
      <c r="I40" s="322">
        <f t="shared" si="36"/>
        <v>2055</v>
      </c>
      <c r="J40" s="71"/>
      <c r="K40" s="71">
        <f t="shared" si="37"/>
        <v>26</v>
      </c>
      <c r="L40" s="71"/>
      <c r="M40" s="7">
        <f t="shared" si="0"/>
        <v>0.46369472743850448</v>
      </c>
      <c r="N40" s="71"/>
      <c r="O40" s="10">
        <f t="shared" si="16"/>
        <v>0</v>
      </c>
      <c r="P40" s="29" t="str">
        <f t="shared" si="1"/>
        <v>-</v>
      </c>
      <c r="Q40" s="71"/>
      <c r="R40" s="10">
        <f t="shared" si="17"/>
        <v>8540000000</v>
      </c>
      <c r="S40" s="71"/>
      <c r="T40" s="10">
        <f t="shared" si="18"/>
        <v>8540000000</v>
      </c>
      <c r="U40" s="71"/>
      <c r="V40" s="10">
        <f t="shared" si="2"/>
        <v>0</v>
      </c>
      <c r="W40" s="10">
        <f t="shared" si="19"/>
        <v>0</v>
      </c>
      <c r="X40" s="71"/>
      <c r="Y40" s="10">
        <f t="shared" si="3"/>
        <v>119560000</v>
      </c>
      <c r="Z40" s="10">
        <f t="shared" si="20"/>
        <v>55439341.612547599</v>
      </c>
      <c r="AA40" s="71"/>
      <c r="AB40" s="10">
        <f t="shared" si="4"/>
        <v>0</v>
      </c>
      <c r="AC40" s="10">
        <f t="shared" si="21"/>
        <v>0</v>
      </c>
      <c r="AD40" s="71"/>
      <c r="AE40" s="10">
        <f t="shared" si="5"/>
        <v>0</v>
      </c>
      <c r="AF40" s="10">
        <f t="shared" si="22"/>
        <v>0</v>
      </c>
      <c r="AG40" s="71"/>
      <c r="AH40" s="10">
        <f t="shared" si="6"/>
        <v>440000000.00000006</v>
      </c>
      <c r="AI40" s="10">
        <f t="shared" si="23"/>
        <v>204025680.07294199</v>
      </c>
      <c r="AJ40" s="71"/>
      <c r="AK40" s="10">
        <f t="shared" si="7"/>
        <v>4099200000</v>
      </c>
      <c r="AL40" s="10">
        <f t="shared" si="24"/>
        <v>1900777426.7159176</v>
      </c>
      <c r="AM40" s="71"/>
      <c r="AN40" s="10">
        <f t="shared" si="8"/>
        <v>3757600000</v>
      </c>
      <c r="AO40" s="10">
        <f t="shared" si="25"/>
        <v>1742379307.8229244</v>
      </c>
      <c r="AP40" s="71"/>
      <c r="AQ40" s="10">
        <f t="shared" si="9"/>
        <v>1012209600</v>
      </c>
      <c r="AR40" s="10">
        <f t="shared" si="26"/>
        <v>469356254.58263767</v>
      </c>
      <c r="AS40" s="71"/>
      <c r="AT40" s="7">
        <f>IF($K40&lt;=$F$15,IF($F$40&lt;&gt;"",$F$40/1000,IF(ISERROR(VLOOKUP($F$3&amp;IF($G$4&lt;&gt;"",$G$4,"")&amp;IF($F$43&lt;&gt;"","_"&amp;$F$43,""),'表3）燃料価格'!$AF$9:$AG$25,2,0)),0,VLOOKUP($I40,'表3）燃料価格'!$A$6:$U$66,VLOOKUP($F$3&amp;IF($G$4&lt;&gt;"",$G$4,"")&amp;IF($F$43&lt;&gt;"","_"&amp;$F$43,""),'表3）燃料価格'!$AF$9:$AG$25,2,0)+VLOOKUP($F$41,'表3）燃料価格'!$AF$28:$AG$29,2,0),0)*IF($F$43="需要地価格",1,$F$8/$F$141))),"")</f>
        <v>10.665246543278181</v>
      </c>
      <c r="AU40" s="71"/>
      <c r="AV40" s="10">
        <f t="shared" si="10"/>
        <v>17251207191.358345</v>
      </c>
      <c r="AW40" s="10">
        <f t="shared" si="27"/>
        <v>7999293816.5820761</v>
      </c>
      <c r="AX40" s="71"/>
      <c r="AY40" s="7">
        <f>IF(ISERROR(IF($K40&lt;=$F$15,VLOOKUP($I40,'表4）CO2価格'!$A$7:$E$67,VLOOKUP($F$48,'表4）CO2価格'!$H$10:$I$12,2,0),0)*$F$8/1000,"")),0,IF($K40&lt;=$F$15,VLOOKUP($I40,'表4）CO2価格'!$A$7:$E$67,VLOOKUP($F$48,'表4）CO2価格'!$H$10:$I$12,2,0),0)*$F$8/1000,""))</f>
        <v>7.5442062994635668</v>
      </c>
      <c r="AZ40" s="71"/>
      <c r="BA40" s="11">
        <f t="shared" si="11"/>
        <v>23868544197.804176</v>
      </c>
      <c r="BB40" s="10">
        <f t="shared" si="28"/>
        <v>11067718096.154705</v>
      </c>
      <c r="BC40" s="71"/>
      <c r="BD40" s="10">
        <f t="shared" si="12"/>
        <v>0</v>
      </c>
      <c r="BE40" s="10">
        <f t="shared" si="29"/>
        <v>0</v>
      </c>
      <c r="BF40" s="71"/>
      <c r="BG40" s="11">
        <f t="shared" si="13"/>
        <v>0</v>
      </c>
      <c r="BH40" s="10">
        <f t="shared" si="30"/>
        <v>0</v>
      </c>
      <c r="BJ40" s="7" t="str">
        <f t="shared" si="31"/>
        <v/>
      </c>
      <c r="BK40" s="158" t="str">
        <f t="shared" si="32"/>
        <v/>
      </c>
      <c r="BL40" s="158" t="str">
        <f t="shared" si="14"/>
        <v/>
      </c>
      <c r="BM40" s="10"/>
      <c r="BN40" s="10" t="str">
        <f t="shared" si="33"/>
        <v/>
      </c>
      <c r="BO40" s="10" t="str">
        <f t="shared" si="34"/>
        <v/>
      </c>
      <c r="BQ40" s="10">
        <f t="shared" si="15"/>
        <v>4056318000</v>
      </c>
      <c r="BR40" s="10">
        <f t="shared" si="35"/>
        <v>1880893269.4138997</v>
      </c>
    </row>
    <row r="41" spans="3:70" x14ac:dyDescent="0.15">
      <c r="D41" s="81" t="s">
        <v>179</v>
      </c>
      <c r="F41" s="88" t="str">
        <f>まとめ!B4</f>
        <v>WEO2020　STEPS</v>
      </c>
      <c r="I41" s="38">
        <f t="shared" si="36"/>
        <v>2056</v>
      </c>
      <c r="J41" s="39"/>
      <c r="K41" s="39">
        <f t="shared" si="37"/>
        <v>27</v>
      </c>
      <c r="L41" s="39"/>
      <c r="M41" s="40">
        <f t="shared" si="0"/>
        <v>0.45018905576553836</v>
      </c>
      <c r="N41" s="39"/>
      <c r="O41" s="72">
        <f t="shared" si="16"/>
        <v>0</v>
      </c>
      <c r="P41" s="41" t="str">
        <f t="shared" si="1"/>
        <v>-</v>
      </c>
      <c r="Q41" s="39"/>
      <c r="R41" s="72">
        <f t="shared" si="17"/>
        <v>8540000000</v>
      </c>
      <c r="S41" s="39"/>
      <c r="T41" s="72">
        <f t="shared" si="18"/>
        <v>8540000000</v>
      </c>
      <c r="U41" s="39"/>
      <c r="V41" s="72">
        <f t="shared" si="2"/>
        <v>0</v>
      </c>
      <c r="W41" s="72">
        <f t="shared" si="19"/>
        <v>0</v>
      </c>
      <c r="X41" s="39"/>
      <c r="Y41" s="72">
        <f t="shared" si="3"/>
        <v>119560000</v>
      </c>
      <c r="Z41" s="72">
        <f t="shared" si="20"/>
        <v>53824603.507327765</v>
      </c>
      <c r="AA41" s="39"/>
      <c r="AB41" s="72">
        <f t="shared" si="4"/>
        <v>0</v>
      </c>
      <c r="AC41" s="72">
        <f t="shared" si="21"/>
        <v>0</v>
      </c>
      <c r="AD41" s="39"/>
      <c r="AE41" s="72">
        <f t="shared" si="5"/>
        <v>0</v>
      </c>
      <c r="AF41" s="72">
        <f t="shared" si="22"/>
        <v>0</v>
      </c>
      <c r="AG41" s="39"/>
      <c r="AH41" s="72">
        <f t="shared" si="6"/>
        <v>440000000.00000006</v>
      </c>
      <c r="AI41" s="72">
        <f t="shared" si="23"/>
        <v>198083184.53683689</v>
      </c>
      <c r="AJ41" s="39"/>
      <c r="AK41" s="72">
        <f t="shared" si="7"/>
        <v>4099200000</v>
      </c>
      <c r="AL41" s="72">
        <f t="shared" si="24"/>
        <v>1845414977.3940949</v>
      </c>
      <c r="AM41" s="39"/>
      <c r="AN41" s="72">
        <f t="shared" si="8"/>
        <v>3757600000</v>
      </c>
      <c r="AO41" s="72">
        <f t="shared" si="25"/>
        <v>1691630395.944587</v>
      </c>
      <c r="AP41" s="39"/>
      <c r="AQ41" s="72">
        <f t="shared" si="9"/>
        <v>1012209600</v>
      </c>
      <c r="AR41" s="72">
        <f t="shared" si="26"/>
        <v>455685684.06081325</v>
      </c>
      <c r="AS41" s="39"/>
      <c r="AT41" s="40">
        <f>IF($K41&lt;=$F$15,IF($F$40&lt;&gt;"",$F$40/1000,IF(ISERROR(VLOOKUP($F$3&amp;IF($G$4&lt;&gt;"",$G$4,"")&amp;IF($F$43&lt;&gt;"","_"&amp;$F$43,""),'表3）燃料価格'!$AF$9:$AG$25,2,0)),0,VLOOKUP($I41,'表3）燃料価格'!$A$6:$U$66,VLOOKUP($F$3&amp;IF($G$4&lt;&gt;"",$G$4,"")&amp;IF($F$43&lt;&gt;"","_"&amp;$F$43,""),'表3）燃料価格'!$AF$9:$AG$25,2,0)+VLOOKUP($F$41,'表3）燃料価格'!$AF$28:$AG$29,2,0),0)*IF($F$43="需要地価格",1,$F$8/$F$141))),"")</f>
        <v>10.654463515482893</v>
      </c>
      <c r="AU41" s="39"/>
      <c r="AV41" s="72">
        <f t="shared" si="10"/>
        <v>17236519735.728401</v>
      </c>
      <c r="AW41" s="72">
        <f t="shared" si="27"/>
        <v>7759692544.5116358</v>
      </c>
      <c r="AX41" s="39"/>
      <c r="AY41" s="40">
        <f>IF(ISERROR(IF($K41&lt;=$F$15,VLOOKUP($I41,'表4）CO2価格'!$A$7:$E$67,VLOOKUP($F$48,'表4）CO2価格'!$H$10:$I$12,2,0),0)*$F$8/1000,"")),0,IF($K41&lt;=$F$15,VLOOKUP($I41,'表4）CO2価格'!$A$7:$E$67,VLOOKUP($F$48,'表4）CO2価格'!$H$10:$I$12,2,0),0)*$F$8/1000,""))</f>
        <v>7.675477827818213</v>
      </c>
      <c r="AZ41" s="39"/>
      <c r="BA41" s="42">
        <f t="shared" si="11"/>
        <v>24283864266.22131</v>
      </c>
      <c r="BB41" s="72">
        <f t="shared" si="28"/>
        <v>10932329924.348669</v>
      </c>
      <c r="BC41" s="39"/>
      <c r="BD41" s="72">
        <f t="shared" si="12"/>
        <v>0</v>
      </c>
      <c r="BE41" s="72">
        <f t="shared" si="29"/>
        <v>0</v>
      </c>
      <c r="BF41" s="39"/>
      <c r="BG41" s="42">
        <f t="shared" si="13"/>
        <v>0</v>
      </c>
      <c r="BH41" s="72">
        <f t="shared" si="30"/>
        <v>0</v>
      </c>
      <c r="BI41" s="39"/>
      <c r="BJ41" s="40" t="str">
        <f t="shared" si="31"/>
        <v/>
      </c>
      <c r="BK41" s="157" t="str">
        <f t="shared" si="32"/>
        <v/>
      </c>
      <c r="BL41" s="157" t="str">
        <f t="shared" si="14"/>
        <v/>
      </c>
      <c r="BM41" s="72"/>
      <c r="BN41" s="72" t="str">
        <f t="shared" si="33"/>
        <v/>
      </c>
      <c r="BO41" s="72" t="str">
        <f t="shared" si="34"/>
        <v/>
      </c>
      <c r="BP41" s="39"/>
      <c r="BQ41" s="72">
        <f t="shared" si="15"/>
        <v>4056318000</v>
      </c>
      <c r="BR41" s="72">
        <f t="shared" si="35"/>
        <v>1826109970.3047571</v>
      </c>
    </row>
    <row r="42" spans="3:70" x14ac:dyDescent="0.15">
      <c r="D42" s="81" t="s">
        <v>180</v>
      </c>
      <c r="F42" s="59">
        <v>2000</v>
      </c>
      <c r="G42" s="81" t="s">
        <v>181</v>
      </c>
      <c r="I42" s="322">
        <f t="shared" si="36"/>
        <v>2057</v>
      </c>
      <c r="J42" s="71"/>
      <c r="K42" s="71">
        <f t="shared" si="37"/>
        <v>28</v>
      </c>
      <c r="L42" s="71"/>
      <c r="M42" s="7">
        <f t="shared" si="0"/>
        <v>0.4370767531704256</v>
      </c>
      <c r="N42" s="71"/>
      <c r="O42" s="10">
        <f t="shared" si="16"/>
        <v>0</v>
      </c>
      <c r="P42" s="29" t="str">
        <f t="shared" si="1"/>
        <v>-</v>
      </c>
      <c r="Q42" s="71"/>
      <c r="R42" s="10">
        <f t="shared" si="17"/>
        <v>8540000000</v>
      </c>
      <c r="S42" s="71"/>
      <c r="T42" s="10">
        <f t="shared" si="18"/>
        <v>8540000000</v>
      </c>
      <c r="U42" s="71"/>
      <c r="V42" s="10">
        <f t="shared" si="2"/>
        <v>0</v>
      </c>
      <c r="W42" s="10">
        <f t="shared" si="19"/>
        <v>0</v>
      </c>
      <c r="X42" s="71"/>
      <c r="Y42" s="10">
        <f t="shared" si="3"/>
        <v>119560000</v>
      </c>
      <c r="Z42" s="10">
        <f t="shared" si="20"/>
        <v>52256896.609056085</v>
      </c>
      <c r="AA42" s="71"/>
      <c r="AB42" s="10">
        <f t="shared" si="4"/>
        <v>0</v>
      </c>
      <c r="AC42" s="10">
        <f t="shared" si="21"/>
        <v>0</v>
      </c>
      <c r="AD42" s="71"/>
      <c r="AE42" s="10">
        <f t="shared" si="5"/>
        <v>0</v>
      </c>
      <c r="AF42" s="10">
        <f t="shared" si="22"/>
        <v>0</v>
      </c>
      <c r="AG42" s="71"/>
      <c r="AH42" s="10">
        <f t="shared" si="6"/>
        <v>440000000.00000006</v>
      </c>
      <c r="AI42" s="10">
        <f t="shared" si="23"/>
        <v>192313771.39498729</v>
      </c>
      <c r="AJ42" s="71"/>
      <c r="AK42" s="10">
        <f t="shared" si="7"/>
        <v>4099200000</v>
      </c>
      <c r="AL42" s="10">
        <f t="shared" si="24"/>
        <v>1791665026.5962086</v>
      </c>
      <c r="AM42" s="71"/>
      <c r="AN42" s="10">
        <f t="shared" si="8"/>
        <v>3757600000</v>
      </c>
      <c r="AO42" s="10">
        <f t="shared" si="25"/>
        <v>1642359607.7131913</v>
      </c>
      <c r="AP42" s="71"/>
      <c r="AQ42" s="10">
        <f t="shared" si="9"/>
        <v>1012209600</v>
      </c>
      <c r="AR42" s="10">
        <f t="shared" si="26"/>
        <v>442413285.4959352</v>
      </c>
      <c r="AS42" s="71"/>
      <c r="AT42" s="7">
        <f>IF($K42&lt;=$F$15,IF($F$40&lt;&gt;"",$F$40/1000,IF(ISERROR(VLOOKUP($F$3&amp;IF($G$4&lt;&gt;"",$G$4,"")&amp;IF($F$43&lt;&gt;"","_"&amp;$F$43,""),'表3）燃料価格'!$AF$9:$AG$25,2,0)),0,VLOOKUP($I42,'表3）燃料価格'!$A$6:$U$66,VLOOKUP($F$3&amp;IF($G$4&lt;&gt;"",$G$4,"")&amp;IF($F$43&lt;&gt;"","_"&amp;$F$43,""),'表3）燃料価格'!$AF$9:$AG$25,2,0)+VLOOKUP($F$41,'表3）燃料価格'!$AF$28:$AG$29,2,0),0)*IF($F$43="需要地価格",1,$F$8/$F$141))),"")</f>
        <v>10.643934229684763</v>
      </c>
      <c r="AU42" s="71"/>
      <c r="AV42" s="10">
        <f t="shared" si="10"/>
        <v>17222177899.565964</v>
      </c>
      <c r="AW42" s="10">
        <f t="shared" si="27"/>
        <v>7527413598.8657513</v>
      </c>
      <c r="AX42" s="71"/>
      <c r="AY42" s="7">
        <f>IF(ISERROR(IF($K42&lt;=$F$15,VLOOKUP($I42,'表4）CO2価格'!$A$7:$E$67,VLOOKUP($F$48,'表4）CO2価格'!$H$10:$I$12,2,0),0)*$F$8/1000,"")),0,IF($K42&lt;=$F$15,VLOOKUP($I42,'表4）CO2価格'!$A$7:$E$67,VLOOKUP($F$48,'表4）CO2価格'!$H$10:$I$12,2,0),0)*$F$8/1000,""))</f>
        <v>7.8066855236744779</v>
      </c>
      <c r="AZ42" s="71"/>
      <c r="BA42" s="11">
        <f t="shared" si="11"/>
        <v>24698982379.820614</v>
      </c>
      <c r="BB42" s="10">
        <f t="shared" si="28"/>
        <v>10795351025.185545</v>
      </c>
      <c r="BC42" s="71"/>
      <c r="BD42" s="10">
        <f t="shared" si="12"/>
        <v>0</v>
      </c>
      <c r="BE42" s="10">
        <f t="shared" si="29"/>
        <v>0</v>
      </c>
      <c r="BF42" s="71"/>
      <c r="BG42" s="11">
        <f t="shared" si="13"/>
        <v>0</v>
      </c>
      <c r="BH42" s="10">
        <f t="shared" si="30"/>
        <v>0</v>
      </c>
      <c r="BJ42" s="7" t="str">
        <f t="shared" si="31"/>
        <v/>
      </c>
      <c r="BK42" s="158" t="str">
        <f t="shared" si="32"/>
        <v/>
      </c>
      <c r="BL42" s="158" t="str">
        <f t="shared" si="14"/>
        <v/>
      </c>
      <c r="BM42" s="10"/>
      <c r="BN42" s="10" t="str">
        <f t="shared" si="33"/>
        <v/>
      </c>
      <c r="BO42" s="10" t="str">
        <f t="shared" si="34"/>
        <v/>
      </c>
      <c r="BQ42" s="10">
        <f t="shared" si="15"/>
        <v>4056318000</v>
      </c>
      <c r="BR42" s="10">
        <f t="shared" si="35"/>
        <v>1772922301.2667544</v>
      </c>
    </row>
    <row r="43" spans="3:70" x14ac:dyDescent="0.15">
      <c r="D43" s="82" t="s">
        <v>126</v>
      </c>
      <c r="F43" s="88"/>
      <c r="I43" s="38">
        <f t="shared" si="36"/>
        <v>2058</v>
      </c>
      <c r="J43" s="39"/>
      <c r="K43" s="39">
        <f t="shared" si="37"/>
        <v>29</v>
      </c>
      <c r="L43" s="39"/>
      <c r="M43" s="40">
        <f t="shared" si="0"/>
        <v>0.42434636230138412</v>
      </c>
      <c r="N43" s="39"/>
      <c r="O43" s="72">
        <f t="shared" si="16"/>
        <v>0</v>
      </c>
      <c r="P43" s="41" t="str">
        <f t="shared" si="1"/>
        <v>-</v>
      </c>
      <c r="Q43" s="39"/>
      <c r="R43" s="72">
        <f t="shared" si="17"/>
        <v>8540000000</v>
      </c>
      <c r="S43" s="39"/>
      <c r="T43" s="72">
        <f t="shared" si="18"/>
        <v>8540000000</v>
      </c>
      <c r="U43" s="39"/>
      <c r="V43" s="72">
        <f t="shared" si="2"/>
        <v>0</v>
      </c>
      <c r="W43" s="72">
        <f t="shared" si="19"/>
        <v>0</v>
      </c>
      <c r="X43" s="39"/>
      <c r="Y43" s="72">
        <f t="shared" si="3"/>
        <v>119560000</v>
      </c>
      <c r="Z43" s="72">
        <f t="shared" si="20"/>
        <v>50734851.076753482</v>
      </c>
      <c r="AA43" s="39"/>
      <c r="AB43" s="72">
        <f t="shared" si="4"/>
        <v>0</v>
      </c>
      <c r="AC43" s="72">
        <f t="shared" si="21"/>
        <v>0</v>
      </c>
      <c r="AD43" s="39"/>
      <c r="AE43" s="72">
        <f t="shared" si="5"/>
        <v>0</v>
      </c>
      <c r="AF43" s="72">
        <f t="shared" si="22"/>
        <v>0</v>
      </c>
      <c r="AG43" s="39"/>
      <c r="AH43" s="72">
        <f t="shared" si="6"/>
        <v>440000000.00000006</v>
      </c>
      <c r="AI43" s="72">
        <f t="shared" si="23"/>
        <v>186712399.41260904</v>
      </c>
      <c r="AJ43" s="39"/>
      <c r="AK43" s="72">
        <f t="shared" si="7"/>
        <v>4099200000</v>
      </c>
      <c r="AL43" s="72">
        <f t="shared" si="24"/>
        <v>1739480608.3458338</v>
      </c>
      <c r="AM43" s="39"/>
      <c r="AN43" s="72">
        <f t="shared" si="8"/>
        <v>3757600000</v>
      </c>
      <c r="AO43" s="72">
        <f t="shared" si="25"/>
        <v>1594523890.983681</v>
      </c>
      <c r="AP43" s="39"/>
      <c r="AQ43" s="72">
        <f t="shared" si="9"/>
        <v>1012209600</v>
      </c>
      <c r="AR43" s="72">
        <f t="shared" si="26"/>
        <v>429527461.64653909</v>
      </c>
      <c r="AS43" s="39"/>
      <c r="AT43" s="40">
        <f>IF($K43&lt;=$F$15,IF($F$40&lt;&gt;"",$F$40/1000,IF(ISERROR(VLOOKUP($F$3&amp;IF($G$4&lt;&gt;"",$G$4,"")&amp;IF($F$43&lt;&gt;"","_"&amp;$F$43,""),'表3）燃料価格'!$AF$9:$AG$25,2,0)),0,VLOOKUP($I43,'表3）燃料価格'!$A$6:$U$66,VLOOKUP($F$3&amp;IF($G$4&lt;&gt;"",$G$4,"")&amp;IF($F$43&lt;&gt;"","_"&amp;$F$43,""),'表3）燃料価格'!$AF$9:$AG$25,2,0)+VLOOKUP($F$41,'表3）燃料価格'!$AF$28:$AG$29,2,0),0)*IF($F$43="需要地価格",1,$F$8/$F$141))),"")</f>
        <v>10.633647018006684</v>
      </c>
      <c r="AU43" s="39"/>
      <c r="AV43" s="72">
        <f t="shared" si="10"/>
        <v>17208165790.170895</v>
      </c>
      <c r="AW43" s="72">
        <f t="shared" si="27"/>
        <v>7302222554.9381428</v>
      </c>
      <c r="AX43" s="39"/>
      <c r="AY43" s="40">
        <f>IF(ISERROR(IF($K43&lt;=$F$15,VLOOKUP($I43,'表4）CO2価格'!$A$7:$E$67,VLOOKUP($F$48,'表4）CO2価格'!$H$10:$I$12,2,0),0)*$F$8/1000,"")),0,IF($K43&lt;=$F$15,VLOOKUP($I43,'表4）CO2価格'!$A$7:$E$67,VLOOKUP($F$48,'表4）CO2価格'!$H$10:$I$12,2,0),0)*$F$8/1000,""))</f>
        <v>7.9378294490802217</v>
      </c>
      <c r="AZ43" s="39"/>
      <c r="BA43" s="42">
        <f t="shared" si="11"/>
        <v>25113898734.910625</v>
      </c>
      <c r="BB43" s="72">
        <f t="shared" si="28"/>
        <v>10656991571.364656</v>
      </c>
      <c r="BC43" s="39"/>
      <c r="BD43" s="72">
        <f t="shared" si="12"/>
        <v>0</v>
      </c>
      <c r="BE43" s="72">
        <f t="shared" si="29"/>
        <v>0</v>
      </c>
      <c r="BF43" s="39"/>
      <c r="BG43" s="42">
        <f t="shared" si="13"/>
        <v>0</v>
      </c>
      <c r="BH43" s="72">
        <f t="shared" si="30"/>
        <v>0</v>
      </c>
      <c r="BI43" s="39"/>
      <c r="BJ43" s="40" t="str">
        <f t="shared" si="31"/>
        <v/>
      </c>
      <c r="BK43" s="157" t="str">
        <f t="shared" si="32"/>
        <v/>
      </c>
      <c r="BL43" s="157" t="str">
        <f t="shared" si="14"/>
        <v/>
      </c>
      <c r="BM43" s="72"/>
      <c r="BN43" s="72" t="str">
        <f t="shared" si="33"/>
        <v/>
      </c>
      <c r="BO43" s="72" t="str">
        <f t="shared" si="34"/>
        <v/>
      </c>
      <c r="BP43" s="39"/>
      <c r="BQ43" s="72">
        <f t="shared" si="15"/>
        <v>4056318000</v>
      </c>
      <c r="BR43" s="72">
        <f t="shared" si="35"/>
        <v>1721283787.6376259</v>
      </c>
    </row>
    <row r="44" spans="3:70" x14ac:dyDescent="0.15">
      <c r="I44" s="322">
        <f t="shared" si="36"/>
        <v>2059</v>
      </c>
      <c r="J44" s="71"/>
      <c r="K44" s="71">
        <f t="shared" si="37"/>
        <v>30</v>
      </c>
      <c r="L44" s="71"/>
      <c r="M44" s="7">
        <f t="shared" si="0"/>
        <v>0.41198675951590691</v>
      </c>
      <c r="N44" s="71"/>
      <c r="O44" s="10">
        <f t="shared" si="16"/>
        <v>0</v>
      </c>
      <c r="P44" s="29" t="str">
        <f t="shared" si="1"/>
        <v>-</v>
      </c>
      <c r="Q44" s="71"/>
      <c r="R44" s="10">
        <f t="shared" si="17"/>
        <v>8540000000</v>
      </c>
      <c r="S44" s="71"/>
      <c r="T44" s="10">
        <f t="shared" si="18"/>
        <v>8540000000</v>
      </c>
      <c r="U44" s="71"/>
      <c r="V44" s="10">
        <f t="shared" si="2"/>
        <v>0</v>
      </c>
      <c r="W44" s="10">
        <f t="shared" si="19"/>
        <v>0</v>
      </c>
      <c r="X44" s="71"/>
      <c r="Y44" s="10">
        <f t="shared" si="3"/>
        <v>119560000</v>
      </c>
      <c r="Z44" s="10">
        <f t="shared" si="20"/>
        <v>49257136.967721827</v>
      </c>
      <c r="AA44" s="71"/>
      <c r="AB44" s="10">
        <f t="shared" si="4"/>
        <v>0</v>
      </c>
      <c r="AC44" s="10">
        <f t="shared" si="21"/>
        <v>0</v>
      </c>
      <c r="AD44" s="71"/>
      <c r="AE44" s="10">
        <f t="shared" si="5"/>
        <v>0</v>
      </c>
      <c r="AF44" s="10">
        <f t="shared" si="22"/>
        <v>0</v>
      </c>
      <c r="AG44" s="71"/>
      <c r="AH44" s="10">
        <f t="shared" si="6"/>
        <v>440000000.00000006</v>
      </c>
      <c r="AI44" s="10">
        <f t="shared" si="23"/>
        <v>181274174.18699905</v>
      </c>
      <c r="AJ44" s="71"/>
      <c r="AK44" s="10">
        <f t="shared" si="7"/>
        <v>4099200000</v>
      </c>
      <c r="AL44" s="10">
        <f t="shared" si="24"/>
        <v>1688816124.6076057</v>
      </c>
      <c r="AM44" s="71"/>
      <c r="AN44" s="10">
        <f t="shared" si="8"/>
        <v>3757600000</v>
      </c>
      <c r="AO44" s="10">
        <f t="shared" si="25"/>
        <v>1548081447.5569718</v>
      </c>
      <c r="AP44" s="71"/>
      <c r="AQ44" s="10">
        <f t="shared" si="9"/>
        <v>1012209600</v>
      </c>
      <c r="AR44" s="10">
        <f t="shared" si="26"/>
        <v>417016953.0548923</v>
      </c>
      <c r="AS44" s="71"/>
      <c r="AT44" s="7">
        <f>IF($K44&lt;=$F$15,IF($F$40&lt;&gt;"",$F$40/1000,IF(ISERROR(VLOOKUP($F$3&amp;IF($G$4&lt;&gt;"",$G$4,"")&amp;IF($F$43&lt;&gt;"","_"&amp;$F$43,""),'表3）燃料価格'!$AF$9:$AG$25,2,0)),0,VLOOKUP($I44,'表3）燃料価格'!$A$6:$U$66,VLOOKUP($F$3&amp;IF($G$4&lt;&gt;"",$G$4,"")&amp;IF($F$43&lt;&gt;"","_"&amp;$F$43,""),'表3）燃料価格'!$AF$9:$AG$25,2,0)+VLOOKUP($F$41,'表3）燃料価格'!$AF$28:$AG$29,2,0),0)*IF($F$43="需要地価格",1,$F$8/$F$141))),"")</f>
        <v>10.62359099930714</v>
      </c>
      <c r="AU44" s="71"/>
      <c r="AV44" s="10">
        <f t="shared" si="10"/>
        <v>17194468586.447842</v>
      </c>
      <c r="AW44" s="10">
        <f t="shared" si="27"/>
        <v>7083893394.5287027</v>
      </c>
      <c r="AX44" s="71"/>
      <c r="AY44" s="7">
        <f>IF(ISERROR(IF($K44&lt;=$F$15,VLOOKUP($I44,'表4）CO2価格'!$A$7:$E$67,VLOOKUP($F$48,'表4）CO2価格'!$H$10:$I$12,2,0),0)*$F$8/1000,"")),0,IF($K44&lt;=$F$15,VLOOKUP($I44,'表4）CO2価格'!$A$7:$E$67,VLOOKUP($F$48,'表4）CO2価格'!$H$10:$I$12,2,0),0)*$F$8/1000,""))</f>
        <v>8.0689096659945534</v>
      </c>
      <c r="AZ44" s="71"/>
      <c r="BA44" s="11">
        <f t="shared" si="11"/>
        <v>25528613527.519089</v>
      </c>
      <c r="BB44" s="10">
        <f t="shared" si="28"/>
        <v>10517450762.136536</v>
      </c>
      <c r="BC44" s="71"/>
      <c r="BD44" s="10">
        <f t="shared" si="12"/>
        <v>0</v>
      </c>
      <c r="BE44" s="10">
        <f t="shared" si="29"/>
        <v>0</v>
      </c>
      <c r="BF44" s="71"/>
      <c r="BG44" s="11">
        <f t="shared" si="13"/>
        <v>0</v>
      </c>
      <c r="BH44" s="10">
        <f t="shared" si="30"/>
        <v>0</v>
      </c>
      <c r="BJ44" s="7" t="str">
        <f t="shared" si="31"/>
        <v/>
      </c>
      <c r="BK44" s="158" t="str">
        <f t="shared" si="32"/>
        <v/>
      </c>
      <c r="BL44" s="158" t="str">
        <f t="shared" si="14"/>
        <v/>
      </c>
      <c r="BM44" s="10"/>
      <c r="BN44" s="10" t="str">
        <f t="shared" si="33"/>
        <v/>
      </c>
      <c r="BO44" s="10" t="str">
        <f t="shared" si="34"/>
        <v/>
      </c>
      <c r="BQ44" s="10">
        <f t="shared" si="15"/>
        <v>4056318000</v>
      </c>
      <c r="BR44" s="10">
        <f t="shared" si="35"/>
        <v>1671149308.3860445</v>
      </c>
    </row>
    <row r="45" spans="3:70" x14ac:dyDescent="0.15">
      <c r="C45" s="89" t="s">
        <v>509</v>
      </c>
      <c r="D45" s="101"/>
      <c r="E45" s="101"/>
      <c r="F45" s="89"/>
      <c r="G45" s="101"/>
      <c r="I45" s="38">
        <f t="shared" si="36"/>
        <v>2060</v>
      </c>
      <c r="J45" s="39"/>
      <c r="K45" s="39">
        <f t="shared" si="37"/>
        <v>31</v>
      </c>
      <c r="L45" s="39"/>
      <c r="M45" s="40">
        <f t="shared" si="0"/>
        <v>0.39998714516107459</v>
      </c>
      <c r="N45" s="39"/>
      <c r="O45" s="72">
        <f t="shared" si="16"/>
        <v>0</v>
      </c>
      <c r="P45" s="41" t="str">
        <f t="shared" si="1"/>
        <v>-</v>
      </c>
      <c r="Q45" s="39"/>
      <c r="R45" s="72">
        <f t="shared" si="17"/>
        <v>8540000000</v>
      </c>
      <c r="S45" s="39"/>
      <c r="T45" s="72">
        <f t="shared" si="18"/>
        <v>8540000000</v>
      </c>
      <c r="U45" s="39"/>
      <c r="V45" s="72">
        <f t="shared" si="2"/>
        <v>0</v>
      </c>
      <c r="W45" s="72">
        <f t="shared" si="19"/>
        <v>0</v>
      </c>
      <c r="X45" s="39"/>
      <c r="Y45" s="72">
        <f t="shared" si="3"/>
        <v>119560000</v>
      </c>
      <c r="Z45" s="72">
        <f t="shared" si="20"/>
        <v>47822463.07545808</v>
      </c>
      <c r="AA45" s="39"/>
      <c r="AB45" s="72">
        <f t="shared" si="4"/>
        <v>0</v>
      </c>
      <c r="AC45" s="72">
        <f t="shared" si="21"/>
        <v>0</v>
      </c>
      <c r="AD45" s="39"/>
      <c r="AE45" s="72">
        <f t="shared" si="5"/>
        <v>0</v>
      </c>
      <c r="AF45" s="72">
        <f t="shared" si="22"/>
        <v>0</v>
      </c>
      <c r="AG45" s="39"/>
      <c r="AH45" s="72">
        <f t="shared" si="6"/>
        <v>440000000.00000006</v>
      </c>
      <c r="AI45" s="72">
        <f t="shared" si="23"/>
        <v>175994343.87087286</v>
      </c>
      <c r="AJ45" s="39"/>
      <c r="AK45" s="72">
        <f t="shared" si="7"/>
        <v>4099200000</v>
      </c>
      <c r="AL45" s="72">
        <f t="shared" si="24"/>
        <v>1639627305.444277</v>
      </c>
      <c r="AM45" s="39"/>
      <c r="AN45" s="72">
        <f t="shared" si="8"/>
        <v>3757600000</v>
      </c>
      <c r="AO45" s="72">
        <f t="shared" si="25"/>
        <v>1502991696.657254</v>
      </c>
      <c r="AP45" s="39"/>
      <c r="AQ45" s="72">
        <f t="shared" si="9"/>
        <v>1012209600</v>
      </c>
      <c r="AR45" s="72">
        <f t="shared" si="26"/>
        <v>404870828.20863324</v>
      </c>
      <c r="AS45" s="39"/>
      <c r="AT45" s="40">
        <f>IF($K45&lt;=$F$15,IF($F$40&lt;&gt;"",$F$40/1000,IF(ISERROR(VLOOKUP($F$3&amp;IF($G$4&lt;&gt;"",$G$4,"")&amp;IF($F$43&lt;&gt;"","_"&amp;$F$43,""),'表3）燃料価格'!$AF$9:$AG$25,2,0)),0,VLOOKUP($I45,'表3）燃料価格'!$A$6:$U$66,VLOOKUP($F$3&amp;IF($G$4&lt;&gt;"",$G$4,"")&amp;IF($F$43&lt;&gt;"","_"&amp;$F$43,""),'表3）燃料価格'!$AF$9:$AG$25,2,0)+VLOOKUP($F$41,'表3）燃料価格'!$AF$28:$AG$29,2,0),0)*IF($F$43="需要地価格",1,$F$8/$F$141))),"")</f>
        <v>10.613756010002062</v>
      </c>
      <c r="AU45" s="39"/>
      <c r="AV45" s="72">
        <f t="shared" si="10"/>
        <v>17181072444.679344</v>
      </c>
      <c r="AW45" s="72">
        <f t="shared" si="27"/>
        <v>6872208117.9528952</v>
      </c>
      <c r="AX45" s="39"/>
      <c r="AY45" s="40">
        <f>IF(ISERROR(IF($K45&lt;=$F$15,VLOOKUP($I45,'表4）CO2価格'!$A$7:$E$67,VLOOKUP($F$48,'表4）CO2価格'!$H$10:$I$12,2,0),0)*$F$8/1000,"")),0,IF($K45&lt;=$F$15,VLOOKUP($I45,'表4）CO2価格'!$A$7:$E$67,VLOOKUP($F$48,'表4）CO2価格'!$H$10:$I$12,2,0),0)*$F$8/1000,""))</f>
        <v>8.1999262362847141</v>
      </c>
      <c r="AZ45" s="39"/>
      <c r="BA45" s="42">
        <f t="shared" si="11"/>
        <v>25943126953.383087</v>
      </c>
      <c r="BB45" s="72">
        <f t="shared" si="28"/>
        <v>10376917286.635027</v>
      </c>
      <c r="BC45" s="39"/>
      <c r="BD45" s="72">
        <f t="shared" si="12"/>
        <v>0</v>
      </c>
      <c r="BE45" s="72">
        <f t="shared" si="29"/>
        <v>0</v>
      </c>
      <c r="BF45" s="39"/>
      <c r="BG45" s="42">
        <f t="shared" si="13"/>
        <v>0</v>
      </c>
      <c r="BH45" s="72">
        <f t="shared" si="30"/>
        <v>0</v>
      </c>
      <c r="BI45" s="39"/>
      <c r="BJ45" s="40" t="str">
        <f t="shared" si="31"/>
        <v/>
      </c>
      <c r="BK45" s="157" t="str">
        <f t="shared" si="32"/>
        <v/>
      </c>
      <c r="BL45" s="157" t="str">
        <f t="shared" si="14"/>
        <v/>
      </c>
      <c r="BM45" s="72"/>
      <c r="BN45" s="72" t="str">
        <f t="shared" si="33"/>
        <v/>
      </c>
      <c r="BO45" s="72" t="str">
        <f t="shared" si="34"/>
        <v/>
      </c>
      <c r="BP45" s="39"/>
      <c r="BQ45" s="72">
        <f t="shared" si="15"/>
        <v>4056318000</v>
      </c>
      <c r="BR45" s="72">
        <f t="shared" si="35"/>
        <v>1622475056.6854796</v>
      </c>
    </row>
    <row r="46" spans="3:70" x14ac:dyDescent="0.15">
      <c r="I46" s="322">
        <f t="shared" si="36"/>
        <v>2061</v>
      </c>
      <c r="J46" s="71"/>
      <c r="K46" s="71">
        <f t="shared" si="37"/>
        <v>32</v>
      </c>
      <c r="L46" s="71"/>
      <c r="M46" s="7">
        <f t="shared" si="0"/>
        <v>0.38833703413696569</v>
      </c>
      <c r="N46" s="71"/>
      <c r="O46" s="10">
        <f t="shared" si="16"/>
        <v>0</v>
      </c>
      <c r="P46" s="29" t="str">
        <f t="shared" si="1"/>
        <v>-</v>
      </c>
      <c r="Q46" s="71"/>
      <c r="R46" s="10">
        <f t="shared" si="17"/>
        <v>8540000000</v>
      </c>
      <c r="S46" s="71"/>
      <c r="T46" s="10">
        <f t="shared" si="18"/>
        <v>8540000000</v>
      </c>
      <c r="U46" s="71"/>
      <c r="V46" s="10">
        <f t="shared" si="2"/>
        <v>0</v>
      </c>
      <c r="W46" s="10">
        <f t="shared" si="19"/>
        <v>0</v>
      </c>
      <c r="X46" s="71"/>
      <c r="Y46" s="10">
        <f t="shared" si="3"/>
        <v>119560000</v>
      </c>
      <c r="Z46" s="10">
        <f t="shared" si="20"/>
        <v>46429575.801415615</v>
      </c>
      <c r="AA46" s="71"/>
      <c r="AB46" s="10">
        <f t="shared" si="4"/>
        <v>0</v>
      </c>
      <c r="AC46" s="10">
        <f t="shared" si="21"/>
        <v>0</v>
      </c>
      <c r="AD46" s="71"/>
      <c r="AE46" s="10">
        <f t="shared" si="5"/>
        <v>0</v>
      </c>
      <c r="AF46" s="10">
        <f t="shared" si="22"/>
        <v>0</v>
      </c>
      <c r="AG46" s="71"/>
      <c r="AH46" s="10">
        <f t="shared" si="6"/>
        <v>440000000.00000006</v>
      </c>
      <c r="AI46" s="10">
        <f t="shared" si="23"/>
        <v>170868295.02026492</v>
      </c>
      <c r="AJ46" s="71"/>
      <c r="AK46" s="10">
        <f t="shared" si="7"/>
        <v>4099200000</v>
      </c>
      <c r="AL46" s="10">
        <f t="shared" si="24"/>
        <v>1591871170.3342497</v>
      </c>
      <c r="AM46" s="71"/>
      <c r="AN46" s="10">
        <f t="shared" si="8"/>
        <v>3757600000</v>
      </c>
      <c r="AO46" s="10">
        <f t="shared" si="25"/>
        <v>1459215239.4730623</v>
      </c>
      <c r="AP46" s="71"/>
      <c r="AQ46" s="10">
        <f t="shared" si="9"/>
        <v>1012209600</v>
      </c>
      <c r="AR46" s="10">
        <f t="shared" si="26"/>
        <v>393078473.98896438</v>
      </c>
      <c r="AS46" s="71"/>
      <c r="AT46" s="7">
        <f>IF($K46&lt;=$F$15,IF($F$40&lt;&gt;"",$F$40/1000,IF(ISERROR(VLOOKUP($F$3&amp;IF($G$4&lt;&gt;"",$G$4,"")&amp;IF($F$43&lt;&gt;"","_"&amp;$F$43,""),'表3）燃料価格'!$AF$9:$AG$25,2,0)),0,VLOOKUP($I46,'表3）燃料価格'!$A$6:$U$66,VLOOKUP($F$3&amp;IF($G$4&lt;&gt;"",$G$4,"")&amp;IF($F$43&lt;&gt;"","_"&amp;$F$43,""),'表3）燃料価格'!$AF$9:$AG$25,2,0)+VLOOKUP($F$41,'表3）燃料価格'!$AF$28:$AG$29,2,0),0)*IF($F$43="需要地価格",1,$F$8/$F$141))),"")</f>
        <v>10.604132542327017</v>
      </c>
      <c r="AU46" s="71"/>
      <c r="AV46" s="10">
        <f t="shared" si="10"/>
        <v>17167964414.433409</v>
      </c>
      <c r="AW46" s="10">
        <f t="shared" si="27"/>
        <v>6666956382.870039</v>
      </c>
      <c r="AX46" s="71"/>
      <c r="AY46" s="7">
        <f>IF(ISERROR(IF($K46&lt;=$F$15,VLOOKUP($I46,'表4）CO2価格'!$A$7:$E$67,VLOOKUP($F$48,'表4）CO2価格'!$H$10:$I$12,2,0),0)*$F$8/1000,"")),0,IF($K46&lt;=$F$15,VLOOKUP($I46,'表4）CO2価格'!$A$7:$E$67,VLOOKUP($F$48,'表4）CO2価格'!$H$10:$I$12,2,0),0)*$F$8/1000,""))</f>
        <v>8.3308792217288072</v>
      </c>
      <c r="AZ46" s="71"/>
      <c r="BA46" s="11">
        <f t="shared" si="11"/>
        <v>26357439207.957699</v>
      </c>
      <c r="BB46" s="10">
        <f t="shared" si="28"/>
        <v>10235569769.463667</v>
      </c>
      <c r="BC46" s="71"/>
      <c r="BD46" s="10">
        <f t="shared" si="12"/>
        <v>0</v>
      </c>
      <c r="BE46" s="10">
        <f t="shared" si="29"/>
        <v>0</v>
      </c>
      <c r="BF46" s="71"/>
      <c r="BG46" s="11">
        <f t="shared" si="13"/>
        <v>0</v>
      </c>
      <c r="BH46" s="10">
        <f t="shared" si="30"/>
        <v>0</v>
      </c>
      <c r="BJ46" s="7" t="str">
        <f t="shared" si="31"/>
        <v/>
      </c>
      <c r="BK46" s="158" t="str">
        <f t="shared" si="32"/>
        <v/>
      </c>
      <c r="BL46" s="158" t="str">
        <f t="shared" si="14"/>
        <v/>
      </c>
      <c r="BM46" s="10"/>
      <c r="BN46" s="10" t="str">
        <f t="shared" si="33"/>
        <v/>
      </c>
      <c r="BO46" s="10" t="str">
        <f t="shared" si="34"/>
        <v/>
      </c>
      <c r="BQ46" s="10">
        <f t="shared" si="15"/>
        <v>4056318000</v>
      </c>
      <c r="BR46" s="10">
        <f t="shared" si="35"/>
        <v>1575218501.6363883</v>
      </c>
    </row>
    <row r="47" spans="3:70" x14ac:dyDescent="0.15">
      <c r="D47" s="81" t="s">
        <v>182</v>
      </c>
      <c r="F47" s="66">
        <v>24.29</v>
      </c>
      <c r="G47" s="81" t="s">
        <v>183</v>
      </c>
      <c r="I47" s="38">
        <f t="shared" si="36"/>
        <v>2062</v>
      </c>
      <c r="J47" s="39"/>
      <c r="K47" s="39">
        <f t="shared" si="37"/>
        <v>33</v>
      </c>
      <c r="L47" s="39"/>
      <c r="M47" s="40">
        <f t="shared" ref="M47:M78" si="38">1/(1+($F$9/100))^K47</f>
        <v>0.37702624673491814</v>
      </c>
      <c r="N47" s="39"/>
      <c r="O47" s="72">
        <f t="shared" si="16"/>
        <v>0</v>
      </c>
      <c r="P47" s="41" t="str">
        <f t="shared" ref="P47:P78" si="39">IF(K47&lt;=$F$15,IF(OR(P46=$F$124,P46="-"),"-",IF(O47*$F$123&gt;$F$127,$F$123,$F$124)),"")</f>
        <v>-</v>
      </c>
      <c r="Q47" s="39"/>
      <c r="R47" s="72">
        <f t="shared" si="17"/>
        <v>8540000000</v>
      </c>
      <c r="S47" s="39"/>
      <c r="T47" s="72">
        <f t="shared" si="18"/>
        <v>8540000000</v>
      </c>
      <c r="U47" s="39"/>
      <c r="V47" s="72">
        <f t="shared" ref="V47:V78" si="40">IF(K47&lt;=$F$15,IF(K47&lt;$F$119,IF(P47="-",V46,O47*P47),IF(K47=$F$119,MIN(IF(P47="-",V46,O47*P47),O47),0)),"")</f>
        <v>0</v>
      </c>
      <c r="W47" s="72">
        <f t="shared" si="19"/>
        <v>0</v>
      </c>
      <c r="X47" s="39"/>
      <c r="Y47" s="72">
        <f t="shared" ref="Y47:Y78" si="41">IF($K47&lt;=$F$15,ROUNDDOWN(T47*$F$25/100,-2),"")</f>
        <v>119560000</v>
      </c>
      <c r="Z47" s="72">
        <f t="shared" si="20"/>
        <v>45077258.05962681</v>
      </c>
      <c r="AA47" s="39"/>
      <c r="AB47" s="72">
        <f t="shared" si="4"/>
        <v>0</v>
      </c>
      <c r="AC47" s="72">
        <f t="shared" si="21"/>
        <v>0</v>
      </c>
      <c r="AD47" s="39"/>
      <c r="AE47" s="72">
        <f t="shared" ref="AE47:AE78" si="42">IF($K47&lt;=$F$15,$F$26,"")</f>
        <v>0</v>
      </c>
      <c r="AF47" s="72">
        <f t="shared" si="22"/>
        <v>0</v>
      </c>
      <c r="AG47" s="39"/>
      <c r="AH47" s="72">
        <f t="shared" ref="AH47:AH78" si="43">IF($K47&lt;=$F$15,$F$33*10^8,"")</f>
        <v>440000000.00000006</v>
      </c>
      <c r="AI47" s="72">
        <f t="shared" si="23"/>
        <v>165891548.563364</v>
      </c>
      <c r="AJ47" s="39"/>
      <c r="AK47" s="72">
        <f t="shared" ref="AK47:AK78" si="44">IF($K47&lt;=$F$15,$F$117*$F$34/100,"")</f>
        <v>4099200000</v>
      </c>
      <c r="AL47" s="72">
        <f t="shared" si="24"/>
        <v>1545505990.6157765</v>
      </c>
      <c r="AM47" s="39"/>
      <c r="AN47" s="72">
        <f t="shared" ref="AN47:AN78" si="45">IF($K47&lt;=$F$15,$F$117*$F$35/100,"")</f>
        <v>3757600000</v>
      </c>
      <c r="AO47" s="72">
        <f t="shared" si="25"/>
        <v>1416713824.7311285</v>
      </c>
      <c r="AP47" s="39"/>
      <c r="AQ47" s="72">
        <f t="shared" ref="AQ47:AQ78" si="46">IF($K47&lt;=$F$15,SUM(AH47,AK47,AN47)*($F$36/100),"")</f>
        <v>1012209600</v>
      </c>
      <c r="AR47" s="72">
        <f t="shared" si="26"/>
        <v>381629586.39705276</v>
      </c>
      <c r="AS47" s="39"/>
      <c r="AT47" s="40">
        <f>IF($K47&lt;=$F$15,IF($F$40&lt;&gt;"",$F$40/1000,IF(ISERROR(VLOOKUP($F$3&amp;IF($G$4&lt;&gt;"",$G$4,"")&amp;IF($F$43&lt;&gt;"","_"&amp;$F$43,""),'表3）燃料価格'!$AF$9:$AG$25,2,0)),0,VLOOKUP($I47,'表3）燃料価格'!$A$6:$U$66,VLOOKUP($F$3&amp;IF($G$4&lt;&gt;"",$G$4,"")&amp;IF($F$43&lt;&gt;"","_"&amp;$F$43,""),'表3）燃料価格'!$AF$9:$AG$25,2,0)+VLOOKUP($F$41,'表3）燃料価格'!$AF$28:$AG$29,2,0),0)*IF($F$43="需要地価格",1,$F$8/$F$141))),"")</f>
        <v>10.594711689099626</v>
      </c>
      <c r="AU47" s="39"/>
      <c r="AV47" s="72">
        <f t="shared" ref="AV47:AV78" si="47">IF($K47&lt;=$F$15,($AT47+$F$142)*$F$137,"")</f>
        <v>17155132363.324909</v>
      </c>
      <c r="AW47" s="72">
        <f t="shared" si="27"/>
        <v>6467935167.1851168</v>
      </c>
      <c r="AX47" s="39"/>
      <c r="AY47" s="40">
        <f>IF(ISERROR(IF($K47&lt;=$F$15,VLOOKUP($I47,'表4）CO2価格'!$A$7:$E$67,VLOOKUP($F$48,'表4）CO2価格'!$H$10:$I$12,2,0),0)*$F$8/1000,"")),0,IF($K47&lt;=$F$15,VLOOKUP($I47,'表4）CO2価格'!$A$7:$E$67,VLOOKUP($F$48,'表4）CO2価格'!$H$10:$I$12,2,0),0)*$F$8/1000,""))</f>
        <v>8.4617686840146202</v>
      </c>
      <c r="AZ47" s="39"/>
      <c r="BA47" s="42">
        <f t="shared" ref="BA47:BA78" si="48">IF($K47&lt;=$F$15,$F$145*AY47,"")</f>
        <v>26771550486.412254</v>
      </c>
      <c r="BB47" s="72">
        <f t="shared" si="28"/>
        <v>10093577199.166384</v>
      </c>
      <c r="BC47" s="39"/>
      <c r="BD47" s="72">
        <f t="shared" ref="BD47:BD78" si="49">IF($K47&lt;=$F$15,($AT47+$F$152)*$F$151,"")</f>
        <v>0</v>
      </c>
      <c r="BE47" s="72">
        <f t="shared" si="29"/>
        <v>0</v>
      </c>
      <c r="BF47" s="39"/>
      <c r="BG47" s="42">
        <f t="shared" ref="BG47:BG78" si="50">IF($K47&lt;=$F$15,$F$153*AY47,"")</f>
        <v>0</v>
      </c>
      <c r="BH47" s="72">
        <f t="shared" si="30"/>
        <v>0</v>
      </c>
      <c r="BI47" s="39"/>
      <c r="BJ47" s="40" t="str">
        <f t="shared" si="31"/>
        <v/>
      </c>
      <c r="BK47" s="157" t="str">
        <f t="shared" si="32"/>
        <v/>
      </c>
      <c r="BL47" s="157" t="str">
        <f t="shared" si="14"/>
        <v/>
      </c>
      <c r="BM47" s="72"/>
      <c r="BN47" s="72" t="str">
        <f t="shared" si="33"/>
        <v/>
      </c>
      <c r="BO47" s="72" t="str">
        <f t="shared" si="34"/>
        <v/>
      </c>
      <c r="BP47" s="39"/>
      <c r="BQ47" s="72">
        <f t="shared" ref="BQ47:BQ78" si="51">IF($K47&lt;=$F$15,$F$134,"")</f>
        <v>4056318000</v>
      </c>
      <c r="BR47" s="72">
        <f t="shared" si="35"/>
        <v>1529338351.1032896</v>
      </c>
    </row>
    <row r="48" spans="3:70" x14ac:dyDescent="0.15">
      <c r="D48" s="81" t="s">
        <v>184</v>
      </c>
      <c r="F48" s="88" t="str">
        <f>まとめ!B5</f>
        <v>WEO2020　STEPS</v>
      </c>
      <c r="I48" s="322">
        <f t="shared" si="36"/>
        <v>2063</v>
      </c>
      <c r="J48" s="71"/>
      <c r="K48" s="71">
        <f t="shared" si="37"/>
        <v>34</v>
      </c>
      <c r="L48" s="71"/>
      <c r="M48" s="7">
        <f t="shared" si="38"/>
        <v>0.36604489974263904</v>
      </c>
      <c r="N48" s="71"/>
      <c r="O48" s="10">
        <f t="shared" ref="O48:O79" si="52">IF(K48&lt;=$F$15,O47-V47,"")</f>
        <v>0</v>
      </c>
      <c r="P48" s="29" t="str">
        <f t="shared" si="39"/>
        <v>-</v>
      </c>
      <c r="Q48" s="71"/>
      <c r="R48" s="10">
        <f t="shared" ref="R48:R79" si="53">IF($K48&lt;=$F$15,MAX($F$117*5%,R47*$F$129),"")</f>
        <v>8540000000</v>
      </c>
      <c r="S48" s="71"/>
      <c r="T48" s="10">
        <f t="shared" si="18"/>
        <v>8540000000</v>
      </c>
      <c r="U48" s="71"/>
      <c r="V48" s="10">
        <f t="shared" si="40"/>
        <v>0</v>
      </c>
      <c r="W48" s="10">
        <f t="shared" si="19"/>
        <v>0</v>
      </c>
      <c r="X48" s="71"/>
      <c r="Y48" s="10">
        <f t="shared" si="41"/>
        <v>119560000</v>
      </c>
      <c r="Z48" s="10">
        <f t="shared" si="20"/>
        <v>43764328.213229924</v>
      </c>
      <c r="AA48" s="71"/>
      <c r="AB48" s="10">
        <f t="shared" si="4"/>
        <v>0</v>
      </c>
      <c r="AC48" s="10">
        <f t="shared" si="21"/>
        <v>0</v>
      </c>
      <c r="AD48" s="71"/>
      <c r="AE48" s="10">
        <f t="shared" si="42"/>
        <v>0</v>
      </c>
      <c r="AF48" s="10">
        <f t="shared" si="22"/>
        <v>0</v>
      </c>
      <c r="AG48" s="71"/>
      <c r="AH48" s="10">
        <f t="shared" si="43"/>
        <v>440000000.00000006</v>
      </c>
      <c r="AI48" s="10">
        <f t="shared" si="23"/>
        <v>161059755.88676119</v>
      </c>
      <c r="AJ48" s="71"/>
      <c r="AK48" s="10">
        <f t="shared" si="44"/>
        <v>4099200000</v>
      </c>
      <c r="AL48" s="10">
        <f t="shared" si="24"/>
        <v>1500491253.0250258</v>
      </c>
      <c r="AM48" s="71"/>
      <c r="AN48" s="10">
        <f t="shared" si="45"/>
        <v>3757600000</v>
      </c>
      <c r="AO48" s="10">
        <f t="shared" si="25"/>
        <v>1375450315.2729404</v>
      </c>
      <c r="AP48" s="71"/>
      <c r="AQ48" s="10">
        <f t="shared" si="46"/>
        <v>1012209600</v>
      </c>
      <c r="AR48" s="10">
        <f t="shared" si="26"/>
        <v>370514161.55053675</v>
      </c>
      <c r="AS48" s="71"/>
      <c r="AT48" s="7">
        <f>IF($K48&lt;=$F$15,IF($F$40&lt;&gt;"",$F$40/1000,IF(ISERROR(VLOOKUP($F$3&amp;IF($G$4&lt;&gt;"",$G$4,"")&amp;IF($F$43&lt;&gt;"","_"&amp;$F$43,""),'表3）燃料価格'!$AF$9:$AG$25,2,0)),0,VLOOKUP($I48,'表3）燃料価格'!$A$6:$U$66,VLOOKUP($F$3&amp;IF($G$4&lt;&gt;"",$G$4,"")&amp;IF($F$43&lt;&gt;"","_"&amp;$F$43,""),'表3）燃料価格'!$AF$9:$AG$25,2,0)+VLOOKUP($F$41,'表3）燃料価格'!$AF$28:$AG$29,2,0),0)*IF($F$43="需要地価格",1,$F$8/$F$141))),"")</f>
        <v>10.585485094177871</v>
      </c>
      <c r="AU48" s="71"/>
      <c r="AV48" s="10">
        <f t="shared" si="47"/>
        <v>17142564909.535357</v>
      </c>
      <c r="AW48" s="10">
        <f t="shared" si="27"/>
        <v>6274948453.6425514</v>
      </c>
      <c r="AX48" s="71"/>
      <c r="AY48" s="7">
        <f>IF(ISERROR(IF($K48&lt;=$F$15,VLOOKUP($I48,'表4）CO2価格'!$A$7:$E$67,VLOOKUP($F$48,'表4）CO2価格'!$H$10:$I$12,2,0),0)*$F$8/1000,"")),0,IF($K48&lt;=$F$15,VLOOKUP($I48,'表4）CO2価格'!$A$7:$E$67,VLOOKUP($F$48,'表4）CO2価格'!$H$10:$I$12,2,0),0)*$F$8/1000,""))</f>
        <v>8.5925946847404155</v>
      </c>
      <c r="AZ48" s="71"/>
      <c r="BA48" s="11">
        <f t="shared" si="48"/>
        <v>27185460983.632835</v>
      </c>
      <c r="BB48" s="10">
        <f t="shared" si="28"/>
        <v>9951099340.2113056</v>
      </c>
      <c r="BC48" s="71"/>
      <c r="BD48" s="10">
        <f t="shared" si="49"/>
        <v>0</v>
      </c>
      <c r="BE48" s="10">
        <f t="shared" si="29"/>
        <v>0</v>
      </c>
      <c r="BF48" s="71"/>
      <c r="BG48" s="11">
        <f t="shared" si="50"/>
        <v>0</v>
      </c>
      <c r="BH48" s="10">
        <f t="shared" si="30"/>
        <v>0</v>
      </c>
      <c r="BJ48" s="7" t="str">
        <f t="shared" si="31"/>
        <v/>
      </c>
      <c r="BK48" s="158" t="str">
        <f t="shared" si="32"/>
        <v/>
      </c>
      <c r="BL48" s="158" t="str">
        <f t="shared" si="14"/>
        <v/>
      </c>
      <c r="BM48" s="10"/>
      <c r="BN48" s="10" t="str">
        <f t="shared" si="33"/>
        <v/>
      </c>
      <c r="BO48" s="10" t="str">
        <f t="shared" si="34"/>
        <v/>
      </c>
      <c r="BQ48" s="10">
        <f t="shared" si="51"/>
        <v>4056318000</v>
      </c>
      <c r="BR48" s="10">
        <f t="shared" si="35"/>
        <v>1484794515.6342621</v>
      </c>
    </row>
    <row r="49" spans="3:70" x14ac:dyDescent="0.15">
      <c r="I49" s="38">
        <f t="shared" si="36"/>
        <v>2064</v>
      </c>
      <c r="J49" s="39"/>
      <c r="K49" s="39">
        <f t="shared" si="37"/>
        <v>35</v>
      </c>
      <c r="L49" s="39"/>
      <c r="M49" s="40">
        <f t="shared" si="38"/>
        <v>0.35538339780838735</v>
      </c>
      <c r="N49" s="39"/>
      <c r="O49" s="72">
        <f t="shared" si="52"/>
        <v>0</v>
      </c>
      <c r="P49" s="41" t="str">
        <f t="shared" si="39"/>
        <v>-</v>
      </c>
      <c r="Q49" s="39"/>
      <c r="R49" s="72">
        <f t="shared" si="53"/>
        <v>8540000000</v>
      </c>
      <c r="S49" s="39"/>
      <c r="T49" s="72">
        <f t="shared" si="18"/>
        <v>8540000000</v>
      </c>
      <c r="U49" s="39"/>
      <c r="V49" s="72">
        <f t="shared" si="40"/>
        <v>0</v>
      </c>
      <c r="W49" s="72">
        <f t="shared" si="19"/>
        <v>0</v>
      </c>
      <c r="X49" s="39"/>
      <c r="Y49" s="72">
        <f t="shared" si="41"/>
        <v>119560000</v>
      </c>
      <c r="Z49" s="72">
        <f t="shared" si="20"/>
        <v>42489639.041970789</v>
      </c>
      <c r="AA49" s="39"/>
      <c r="AB49" s="72">
        <f t="shared" si="4"/>
        <v>0</v>
      </c>
      <c r="AC49" s="72">
        <f t="shared" si="21"/>
        <v>0</v>
      </c>
      <c r="AD49" s="39"/>
      <c r="AE49" s="72">
        <f t="shared" si="42"/>
        <v>0</v>
      </c>
      <c r="AF49" s="72">
        <f t="shared" si="22"/>
        <v>0</v>
      </c>
      <c r="AG49" s="39"/>
      <c r="AH49" s="72">
        <f t="shared" si="43"/>
        <v>440000000.00000006</v>
      </c>
      <c r="AI49" s="72">
        <f t="shared" si="23"/>
        <v>156368695.03569046</v>
      </c>
      <c r="AJ49" s="39"/>
      <c r="AK49" s="72">
        <f t="shared" si="44"/>
        <v>4099200000</v>
      </c>
      <c r="AL49" s="72">
        <f t="shared" si="24"/>
        <v>1456787624.2961414</v>
      </c>
      <c r="AM49" s="39"/>
      <c r="AN49" s="72">
        <f t="shared" si="45"/>
        <v>3757600000</v>
      </c>
      <c r="AO49" s="72">
        <f t="shared" si="25"/>
        <v>1335388655.6047964</v>
      </c>
      <c r="AP49" s="39"/>
      <c r="AQ49" s="72">
        <f t="shared" si="46"/>
        <v>1012209600</v>
      </c>
      <c r="AR49" s="72">
        <f t="shared" si="26"/>
        <v>359722486.94226861</v>
      </c>
      <c r="AS49" s="39"/>
      <c r="AT49" s="40">
        <f>IF($K49&lt;=$F$15,IF($F$40&lt;&gt;"",$F$40/1000,IF(ISERROR(VLOOKUP($F$3&amp;IF($G$4&lt;&gt;"",$G$4,"")&amp;IF($F$43&lt;&gt;"","_"&amp;$F$43,""),'表3）燃料価格'!$AF$9:$AG$25,2,0)),0,VLOOKUP($I49,'表3）燃料価格'!$A$6:$U$66,VLOOKUP($F$3&amp;IF($G$4&lt;&gt;"",$G$4,"")&amp;IF($F$43&lt;&gt;"","_"&amp;$F$43,""),'表3）燃料価格'!$AF$9:$AG$25,2,0)+VLOOKUP($F$41,'表3）燃料価格'!$AF$28:$AG$29,2,0),0)*IF($F$43="需要地価格",1,$F$8/$F$141))),"")</f>
        <v>10.576444907923669</v>
      </c>
      <c r="AU49" s="39"/>
      <c r="AV49" s="72">
        <f t="shared" si="47"/>
        <v>17130251361.15027</v>
      </c>
      <c r="AW49" s="72">
        <f t="shared" si="27"/>
        <v>6087806934.0373354</v>
      </c>
      <c r="AX49" s="39"/>
      <c r="AY49" s="40">
        <f>IF(ISERROR(IF($K49&lt;=$F$15,VLOOKUP($I49,'表4）CO2価格'!$A$7:$E$67,VLOOKUP($F$48,'表4）CO2価格'!$H$10:$I$12,2,0),0)*$F$8/1000,"")),0,IF($K49&lt;=$F$15,VLOOKUP($I49,'表4）CO2価格'!$A$7:$E$67,VLOOKUP($F$48,'表4）CO2価格'!$H$10:$I$12,2,0),0)*$F$8/1000,""))</f>
        <v>8.7233572854149237</v>
      </c>
      <c r="AZ49" s="39"/>
      <c r="BA49" s="42">
        <f t="shared" si="48"/>
        <v>27599170894.222267</v>
      </c>
      <c r="BB49" s="72">
        <f t="shared" si="28"/>
        <v>9808287129.0830574</v>
      </c>
      <c r="BC49" s="39"/>
      <c r="BD49" s="72">
        <f t="shared" si="49"/>
        <v>0</v>
      </c>
      <c r="BE49" s="72">
        <f t="shared" si="29"/>
        <v>0</v>
      </c>
      <c r="BF49" s="39"/>
      <c r="BG49" s="42">
        <f t="shared" si="50"/>
        <v>0</v>
      </c>
      <c r="BH49" s="72">
        <f t="shared" si="30"/>
        <v>0</v>
      </c>
      <c r="BI49" s="39"/>
      <c r="BJ49" s="40" t="str">
        <f t="shared" si="31"/>
        <v/>
      </c>
      <c r="BK49" s="157" t="str">
        <f t="shared" si="32"/>
        <v/>
      </c>
      <c r="BL49" s="157" t="str">
        <f t="shared" si="14"/>
        <v/>
      </c>
      <c r="BM49" s="72"/>
      <c r="BN49" s="72" t="str">
        <f t="shared" si="33"/>
        <v/>
      </c>
      <c r="BO49" s="72" t="str">
        <f t="shared" si="34"/>
        <v/>
      </c>
      <c r="BP49" s="39"/>
      <c r="BQ49" s="72">
        <f t="shared" si="51"/>
        <v>4056318000</v>
      </c>
      <c r="BR49" s="72">
        <f t="shared" si="35"/>
        <v>1441548073.4313221</v>
      </c>
    </row>
    <row r="50" spans="3:70" x14ac:dyDescent="0.15">
      <c r="C50" s="89" t="s">
        <v>510</v>
      </c>
      <c r="D50" s="101"/>
      <c r="E50" s="101"/>
      <c r="F50" s="89"/>
      <c r="G50" s="101"/>
      <c r="I50" s="322">
        <f t="shared" si="36"/>
        <v>2065</v>
      </c>
      <c r="J50" s="71"/>
      <c r="K50" s="71">
        <f t="shared" si="37"/>
        <v>36</v>
      </c>
      <c r="L50" s="71"/>
      <c r="M50" s="7">
        <f t="shared" si="38"/>
        <v>0.34503242505668674</v>
      </c>
      <c r="N50" s="71"/>
      <c r="O50" s="10">
        <f t="shared" si="52"/>
        <v>0</v>
      </c>
      <c r="P50" s="29" t="str">
        <f t="shared" si="39"/>
        <v>-</v>
      </c>
      <c r="Q50" s="71"/>
      <c r="R50" s="10">
        <f t="shared" si="53"/>
        <v>8540000000</v>
      </c>
      <c r="S50" s="71"/>
      <c r="T50" s="10">
        <f t="shared" si="18"/>
        <v>8540000000</v>
      </c>
      <c r="U50" s="71"/>
      <c r="V50" s="10">
        <f t="shared" si="40"/>
        <v>0</v>
      </c>
      <c r="W50" s="10">
        <f t="shared" si="19"/>
        <v>0</v>
      </c>
      <c r="X50" s="71"/>
      <c r="Y50" s="10">
        <f t="shared" si="41"/>
        <v>119560000</v>
      </c>
      <c r="Z50" s="10">
        <f t="shared" si="20"/>
        <v>41252076.739777468</v>
      </c>
      <c r="AA50" s="71"/>
      <c r="AB50" s="10">
        <f t="shared" si="4"/>
        <v>0</v>
      </c>
      <c r="AC50" s="10">
        <f t="shared" si="21"/>
        <v>0</v>
      </c>
      <c r="AD50" s="71"/>
      <c r="AE50" s="10">
        <f t="shared" si="42"/>
        <v>0</v>
      </c>
      <c r="AF50" s="10">
        <f t="shared" si="22"/>
        <v>0</v>
      </c>
      <c r="AG50" s="71"/>
      <c r="AH50" s="10">
        <f t="shared" si="43"/>
        <v>440000000.00000006</v>
      </c>
      <c r="AI50" s="10">
        <f t="shared" si="23"/>
        <v>151814267.02494219</v>
      </c>
      <c r="AJ50" s="71"/>
      <c r="AK50" s="10">
        <f t="shared" si="44"/>
        <v>4099200000</v>
      </c>
      <c r="AL50" s="10">
        <f t="shared" si="24"/>
        <v>1414356916.7923703</v>
      </c>
      <c r="AM50" s="71"/>
      <c r="AN50" s="10">
        <f t="shared" si="45"/>
        <v>3757600000</v>
      </c>
      <c r="AO50" s="10">
        <f t="shared" si="25"/>
        <v>1296493840.3930061</v>
      </c>
      <c r="AP50" s="71"/>
      <c r="AQ50" s="10">
        <f t="shared" si="46"/>
        <v>1012209600</v>
      </c>
      <c r="AR50" s="10">
        <f t="shared" si="26"/>
        <v>349245132.95365888</v>
      </c>
      <c r="AS50" s="71"/>
      <c r="AT50" s="7">
        <f>IF($K50&lt;=$F$15,IF($F$40&lt;&gt;"",$F$40/1000,IF(ISERROR(VLOOKUP($F$3&amp;IF($G$4&lt;&gt;"",$G$4,"")&amp;IF($F$43&lt;&gt;"","_"&amp;$F$43,""),'表3）燃料価格'!$AF$9:$AG$25,2,0)),0,VLOOKUP($I50,'表3）燃料価格'!$A$6:$U$66,VLOOKUP($F$3&amp;IF($G$4&lt;&gt;"",$G$4,"")&amp;IF($F$43&lt;&gt;"","_"&amp;$F$43,""),'表3）燃料価格'!$AF$9:$AG$25,2,0)+VLOOKUP($F$41,'表3）燃料価格'!$AF$28:$AG$29,2,0),0)*IF($F$43="需要地価格",1,$F$8/$F$141))),"")</f>
        <v>10.567583747076938</v>
      </c>
      <c r="AU50" s="71"/>
      <c r="AV50" s="10">
        <f t="shared" si="47"/>
        <v>17118181661.504034</v>
      </c>
      <c r="AW50" s="10">
        <f t="shared" si="27"/>
        <v>5906327731.22964</v>
      </c>
      <c r="AX50" s="71"/>
      <c r="AY50" s="7">
        <f>IF(ISERROR(IF($K50&lt;=$F$15,VLOOKUP($I50,'表4）CO2価格'!$A$7:$E$67,VLOOKUP($F$48,'表4）CO2価格'!$H$10:$I$12,2,0),0)*$F$8/1000,"")),0,IF($K50&lt;=$F$15,VLOOKUP($I50,'表4）CO2価格'!$A$7:$E$67,VLOOKUP($F$48,'表4）CO2価格'!$H$10:$I$12,2,0),0)*$F$8/1000,""))</f>
        <v>8.8540565474573452</v>
      </c>
      <c r="AZ50" s="71"/>
      <c r="BA50" s="11">
        <f t="shared" si="48"/>
        <v>28012680412.500122</v>
      </c>
      <c r="BB50" s="10">
        <f t="shared" si="28"/>
        <v>9665283055.0628643</v>
      </c>
      <c r="BC50" s="71"/>
      <c r="BD50" s="10">
        <f t="shared" si="49"/>
        <v>0</v>
      </c>
      <c r="BE50" s="10">
        <f t="shared" si="29"/>
        <v>0</v>
      </c>
      <c r="BF50" s="71"/>
      <c r="BG50" s="11">
        <f t="shared" si="50"/>
        <v>0</v>
      </c>
      <c r="BH50" s="10">
        <f t="shared" si="30"/>
        <v>0</v>
      </c>
      <c r="BJ50" s="7" t="str">
        <f t="shared" si="31"/>
        <v/>
      </c>
      <c r="BK50" s="158" t="str">
        <f t="shared" si="32"/>
        <v/>
      </c>
      <c r="BL50" s="158" t="str">
        <f t="shared" si="14"/>
        <v/>
      </c>
      <c r="BM50" s="10"/>
      <c r="BN50" s="10" t="str">
        <f t="shared" si="33"/>
        <v/>
      </c>
      <c r="BO50" s="10" t="str">
        <f t="shared" si="34"/>
        <v/>
      </c>
      <c r="BQ50" s="10">
        <f t="shared" si="51"/>
        <v>4056318000</v>
      </c>
      <c r="BR50" s="10">
        <f t="shared" si="35"/>
        <v>1399561236.3410895</v>
      </c>
    </row>
    <row r="51" spans="3:70" x14ac:dyDescent="0.15">
      <c r="I51" s="38">
        <f t="shared" si="36"/>
        <v>2066</v>
      </c>
      <c r="J51" s="39"/>
      <c r="K51" s="39">
        <f t="shared" si="37"/>
        <v>37</v>
      </c>
      <c r="L51" s="39"/>
      <c r="M51" s="40">
        <f t="shared" si="38"/>
        <v>0.33498293694823961</v>
      </c>
      <c r="N51" s="39"/>
      <c r="O51" s="72">
        <f t="shared" si="52"/>
        <v>0</v>
      </c>
      <c r="P51" s="41" t="str">
        <f t="shared" si="39"/>
        <v>-</v>
      </c>
      <c r="Q51" s="39"/>
      <c r="R51" s="72">
        <f t="shared" si="53"/>
        <v>8540000000</v>
      </c>
      <c r="S51" s="39"/>
      <c r="T51" s="72">
        <f t="shared" si="18"/>
        <v>8540000000</v>
      </c>
      <c r="U51" s="39"/>
      <c r="V51" s="72">
        <f t="shared" si="40"/>
        <v>0</v>
      </c>
      <c r="W51" s="72">
        <f t="shared" si="19"/>
        <v>0</v>
      </c>
      <c r="X51" s="39"/>
      <c r="Y51" s="72">
        <f t="shared" si="41"/>
        <v>119560000</v>
      </c>
      <c r="Z51" s="72">
        <f t="shared" si="20"/>
        <v>40050559.941531524</v>
      </c>
      <c r="AA51" s="39"/>
      <c r="AB51" s="72">
        <f t="shared" si="4"/>
        <v>0</v>
      </c>
      <c r="AC51" s="72">
        <f t="shared" si="21"/>
        <v>0</v>
      </c>
      <c r="AD51" s="39"/>
      <c r="AE51" s="72">
        <f t="shared" si="42"/>
        <v>0</v>
      </c>
      <c r="AF51" s="72">
        <f t="shared" si="22"/>
        <v>0</v>
      </c>
      <c r="AG51" s="39"/>
      <c r="AH51" s="72">
        <f t="shared" si="43"/>
        <v>440000000.00000006</v>
      </c>
      <c r="AI51" s="72">
        <f t="shared" si="23"/>
        <v>147392492.25722545</v>
      </c>
      <c r="AJ51" s="39"/>
      <c r="AK51" s="72">
        <f t="shared" si="44"/>
        <v>4099200000</v>
      </c>
      <c r="AL51" s="72">
        <f t="shared" si="24"/>
        <v>1373162055.1382239</v>
      </c>
      <c r="AM51" s="39"/>
      <c r="AN51" s="72">
        <f t="shared" si="45"/>
        <v>3757600000</v>
      </c>
      <c r="AO51" s="72">
        <f t="shared" si="25"/>
        <v>1258731883.8767052</v>
      </c>
      <c r="AP51" s="39"/>
      <c r="AQ51" s="72">
        <f t="shared" si="46"/>
        <v>1012209600</v>
      </c>
      <c r="AR51" s="72">
        <f t="shared" si="26"/>
        <v>339072944.61520284</v>
      </c>
      <c r="AS51" s="39"/>
      <c r="AT51" s="40">
        <f>IF($K51&lt;=$F$15,IF($F$40&lt;&gt;"",$F$40/1000,IF(ISERROR(VLOOKUP($F$3&amp;IF($G$4&lt;&gt;"",$G$4,"")&amp;IF($F$43&lt;&gt;"","_"&amp;$F$43,""),'表3）燃料価格'!$AF$9:$AG$25,2,0)),0,VLOOKUP($I51,'表3）燃料価格'!$A$6:$U$66,VLOOKUP($F$3&amp;IF($G$4&lt;&gt;"",$G$4,"")&amp;IF($F$43&lt;&gt;"","_"&amp;$F$43,""),'表3）燃料価格'!$AF$9:$AG$25,2,0)+VLOOKUP($F$41,'表3）燃料価格'!$AF$28:$AG$29,2,0),0)*IF($F$43="需要地価格",1,$F$8/$F$141))),"")</f>
        <v>10.558894658526116</v>
      </c>
      <c r="AU51" s="39"/>
      <c r="AV51" s="72">
        <f t="shared" si="47"/>
        <v>17106346339.832081</v>
      </c>
      <c r="AW51" s="72">
        <f t="shared" si="27"/>
        <v>5730334137.370719</v>
      </c>
      <c r="AX51" s="39"/>
      <c r="AY51" s="40">
        <f>IF(ISERROR(IF($K51&lt;=$F$15,VLOOKUP($I51,'表4）CO2価格'!$A$7:$E$67,VLOOKUP($F$48,'表4）CO2価格'!$H$10:$I$12,2,0),0)*$F$8/1000,"")),0,IF($K51&lt;=$F$15,VLOOKUP($I51,'表4）CO2価格'!$A$7:$E$67,VLOOKUP($F$48,'表4）CO2価格'!$H$10:$I$12,2,0),0)*$F$8/1000,""))</f>
        <v>8.9846925321981246</v>
      </c>
      <c r="AZ51" s="39"/>
      <c r="BA51" s="42">
        <f t="shared" si="48"/>
        <v>28425989732.505154</v>
      </c>
      <c r="BB51" s="72">
        <f t="shared" si="28"/>
        <v>9522221526.2550812</v>
      </c>
      <c r="BC51" s="39"/>
      <c r="BD51" s="72">
        <f t="shared" si="49"/>
        <v>0</v>
      </c>
      <c r="BE51" s="72">
        <f t="shared" si="29"/>
        <v>0</v>
      </c>
      <c r="BF51" s="39"/>
      <c r="BG51" s="42">
        <f t="shared" si="50"/>
        <v>0</v>
      </c>
      <c r="BH51" s="72">
        <f t="shared" si="30"/>
        <v>0</v>
      </c>
      <c r="BI51" s="39"/>
      <c r="BJ51" s="40" t="str">
        <f t="shared" si="31"/>
        <v/>
      </c>
      <c r="BK51" s="157" t="str">
        <f t="shared" si="32"/>
        <v/>
      </c>
      <c r="BL51" s="157" t="str">
        <f t="shared" si="14"/>
        <v/>
      </c>
      <c r="BM51" s="72"/>
      <c r="BN51" s="72" t="str">
        <f t="shared" si="33"/>
        <v/>
      </c>
      <c r="BO51" s="72" t="str">
        <f t="shared" si="34"/>
        <v/>
      </c>
      <c r="BP51" s="39"/>
      <c r="BQ51" s="72">
        <f t="shared" si="51"/>
        <v>4056318000</v>
      </c>
      <c r="BR51" s="72">
        <f t="shared" si="35"/>
        <v>1358797316.8360095</v>
      </c>
    </row>
    <row r="52" spans="3:70" x14ac:dyDescent="0.15">
      <c r="D52" s="81" t="s">
        <v>185</v>
      </c>
      <c r="F52" s="90"/>
      <c r="G52" s="81" t="s">
        <v>172</v>
      </c>
      <c r="I52" s="322">
        <f t="shared" si="36"/>
        <v>2067</v>
      </c>
      <c r="J52" s="71"/>
      <c r="K52" s="71">
        <f t="shared" si="37"/>
        <v>38</v>
      </c>
      <c r="L52" s="71"/>
      <c r="M52" s="7">
        <f t="shared" si="38"/>
        <v>0.3252261523769317</v>
      </c>
      <c r="N52" s="71"/>
      <c r="O52" s="10">
        <f t="shared" si="52"/>
        <v>0</v>
      </c>
      <c r="P52" s="29" t="str">
        <f t="shared" si="39"/>
        <v>-</v>
      </c>
      <c r="Q52" s="71"/>
      <c r="R52" s="10">
        <f t="shared" si="53"/>
        <v>8540000000</v>
      </c>
      <c r="S52" s="71"/>
      <c r="T52" s="10">
        <f t="shared" si="18"/>
        <v>8540000000</v>
      </c>
      <c r="U52" s="71"/>
      <c r="V52" s="10">
        <f t="shared" si="40"/>
        <v>0</v>
      </c>
      <c r="W52" s="10">
        <f t="shared" si="19"/>
        <v>0</v>
      </c>
      <c r="X52" s="71"/>
      <c r="Y52" s="10">
        <f t="shared" si="41"/>
        <v>119560000</v>
      </c>
      <c r="Z52" s="10">
        <f t="shared" si="20"/>
        <v>38884038.778185956</v>
      </c>
      <c r="AA52" s="71"/>
      <c r="AB52" s="10">
        <f t="shared" si="4"/>
        <v>0</v>
      </c>
      <c r="AC52" s="10">
        <f t="shared" si="21"/>
        <v>0</v>
      </c>
      <c r="AD52" s="71"/>
      <c r="AE52" s="10">
        <f t="shared" si="42"/>
        <v>0</v>
      </c>
      <c r="AF52" s="10">
        <f t="shared" si="22"/>
        <v>0</v>
      </c>
      <c r="AG52" s="71"/>
      <c r="AH52" s="10">
        <f t="shared" si="43"/>
        <v>440000000.00000006</v>
      </c>
      <c r="AI52" s="10">
        <f t="shared" si="23"/>
        <v>143099507.04584998</v>
      </c>
      <c r="AJ52" s="71"/>
      <c r="AK52" s="10">
        <f t="shared" si="44"/>
        <v>4099200000</v>
      </c>
      <c r="AL52" s="10">
        <f t="shared" si="24"/>
        <v>1333167043.8235185</v>
      </c>
      <c r="AM52" s="71"/>
      <c r="AN52" s="10">
        <f t="shared" si="45"/>
        <v>3757600000</v>
      </c>
      <c r="AO52" s="10">
        <f t="shared" si="25"/>
        <v>1222069790.1715586</v>
      </c>
      <c r="AP52" s="71"/>
      <c r="AQ52" s="10">
        <f t="shared" si="46"/>
        <v>1012209600</v>
      </c>
      <c r="AR52" s="10">
        <f t="shared" si="26"/>
        <v>329197033.60699308</v>
      </c>
      <c r="AS52" s="71"/>
      <c r="AT52" s="7">
        <f>IF($K52&lt;=$F$15,IF($F$40&lt;&gt;"",$F$40/1000,IF(ISERROR(VLOOKUP($F$3&amp;IF($G$4&lt;&gt;"",$G$4,"")&amp;IF($F$43&lt;&gt;"","_"&amp;$F$43,""),'表3）燃料価格'!$AF$9:$AG$25,2,0)),0,VLOOKUP($I52,'表3）燃料価格'!$A$6:$U$66,VLOOKUP($F$3&amp;IF($G$4&lt;&gt;"",$G$4,"")&amp;IF($F$43&lt;&gt;"","_"&amp;$F$43,""),'表3）燃料価格'!$AF$9:$AG$25,2,0)+VLOOKUP($F$41,'表3）燃料価格'!$AF$28:$AG$29,2,0),0)*IF($F$43="需要地価格",1,$F$8/$F$141))),"")</f>
        <v>10.550371086529802</v>
      </c>
      <c r="AU52" s="71"/>
      <c r="AV52" s="10">
        <f t="shared" si="47"/>
        <v>17094736466.623816</v>
      </c>
      <c r="AW52" s="10">
        <f t="shared" si="27"/>
        <v>5559655366.9376879</v>
      </c>
      <c r="AX52" s="71"/>
      <c r="AY52" s="7">
        <f>IF(ISERROR(IF($K52&lt;=$F$15,VLOOKUP($I52,'表4）CO2価格'!$A$7:$E$67,VLOOKUP($F$48,'表4）CO2価格'!$H$10:$I$12,2,0),0)*$F$8/1000,"")),0,IF($K52&lt;=$F$15,VLOOKUP($I52,'表4）CO2価格'!$A$7:$E$67,VLOOKUP($F$48,'表4）CO2価格'!$H$10:$I$12,2,0),0)*$F$8/1000,""))</f>
        <v>9.1152653008777929</v>
      </c>
      <c r="AZ52" s="71"/>
      <c r="BA52" s="11">
        <f t="shared" si="48"/>
        <v>28839099047.991653</v>
      </c>
      <c r="BB52" s="10">
        <f t="shared" si="28"/>
        <v>9379229221.3955593</v>
      </c>
      <c r="BC52" s="71"/>
      <c r="BD52" s="10">
        <f t="shared" si="49"/>
        <v>0</v>
      </c>
      <c r="BE52" s="10">
        <f t="shared" si="29"/>
        <v>0</v>
      </c>
      <c r="BF52" s="71"/>
      <c r="BG52" s="11">
        <f t="shared" si="50"/>
        <v>0</v>
      </c>
      <c r="BH52" s="10">
        <f t="shared" si="30"/>
        <v>0</v>
      </c>
      <c r="BJ52" s="7" t="str">
        <f t="shared" si="31"/>
        <v/>
      </c>
      <c r="BK52" s="158" t="str">
        <f t="shared" si="32"/>
        <v/>
      </c>
      <c r="BL52" s="158" t="str">
        <f t="shared" si="14"/>
        <v/>
      </c>
      <c r="BM52" s="10"/>
      <c r="BN52" s="10" t="str">
        <f t="shared" si="33"/>
        <v/>
      </c>
      <c r="BO52" s="10" t="str">
        <f t="shared" si="34"/>
        <v/>
      </c>
      <c r="BQ52" s="10">
        <f t="shared" si="51"/>
        <v>4056318000</v>
      </c>
      <c r="BR52" s="10">
        <f t="shared" si="35"/>
        <v>1319220695.9572909</v>
      </c>
    </row>
    <row r="53" spans="3:70" x14ac:dyDescent="0.15">
      <c r="D53" s="81" t="s">
        <v>186</v>
      </c>
      <c r="F53" s="66"/>
      <c r="G53" s="81" t="s">
        <v>172</v>
      </c>
      <c r="I53" s="38">
        <f t="shared" si="36"/>
        <v>2068</v>
      </c>
      <c r="J53" s="39"/>
      <c r="K53" s="39">
        <f t="shared" si="37"/>
        <v>39</v>
      </c>
      <c r="L53" s="39"/>
      <c r="M53" s="40">
        <f t="shared" si="38"/>
        <v>0.31575354599702099</v>
      </c>
      <c r="N53" s="39"/>
      <c r="O53" s="72">
        <f t="shared" si="52"/>
        <v>0</v>
      </c>
      <c r="P53" s="41" t="str">
        <f t="shared" si="39"/>
        <v>-</v>
      </c>
      <c r="Q53" s="39"/>
      <c r="R53" s="72">
        <f t="shared" si="53"/>
        <v>8540000000</v>
      </c>
      <c r="S53" s="39"/>
      <c r="T53" s="72">
        <f t="shared" si="18"/>
        <v>8540000000</v>
      </c>
      <c r="U53" s="39"/>
      <c r="V53" s="72">
        <f t="shared" si="40"/>
        <v>0</v>
      </c>
      <c r="W53" s="72">
        <f t="shared" si="19"/>
        <v>0</v>
      </c>
      <c r="X53" s="39"/>
      <c r="Y53" s="72">
        <f t="shared" si="41"/>
        <v>119560000</v>
      </c>
      <c r="Z53" s="72">
        <f t="shared" si="20"/>
        <v>37751493.959403828</v>
      </c>
      <c r="AA53" s="39"/>
      <c r="AB53" s="72">
        <f t="shared" si="4"/>
        <v>0</v>
      </c>
      <c r="AC53" s="72">
        <f t="shared" si="21"/>
        <v>0</v>
      </c>
      <c r="AD53" s="39"/>
      <c r="AE53" s="72">
        <f t="shared" si="42"/>
        <v>0</v>
      </c>
      <c r="AF53" s="72">
        <f t="shared" si="22"/>
        <v>0</v>
      </c>
      <c r="AG53" s="39"/>
      <c r="AH53" s="72">
        <f t="shared" si="43"/>
        <v>440000000.00000006</v>
      </c>
      <c r="AI53" s="72">
        <f t="shared" si="23"/>
        <v>138931560.23868924</v>
      </c>
      <c r="AJ53" s="39"/>
      <c r="AK53" s="72">
        <f t="shared" si="44"/>
        <v>4099200000</v>
      </c>
      <c r="AL53" s="72">
        <f t="shared" si="24"/>
        <v>1294336935.7509885</v>
      </c>
      <c r="AM53" s="39"/>
      <c r="AN53" s="72">
        <f t="shared" si="45"/>
        <v>3757600000</v>
      </c>
      <c r="AO53" s="72">
        <f t="shared" si="25"/>
        <v>1186475524.438406</v>
      </c>
      <c r="AP53" s="39"/>
      <c r="AQ53" s="72">
        <f t="shared" si="46"/>
        <v>1012209600</v>
      </c>
      <c r="AR53" s="72">
        <f t="shared" si="26"/>
        <v>319608770.49222624</v>
      </c>
      <c r="AS53" s="39"/>
      <c r="AT53" s="40">
        <f>IF($K53&lt;=$F$15,IF($F$40&lt;&gt;"",$F$40/1000,IF(ISERROR(VLOOKUP($F$3&amp;IF($G$4&lt;&gt;"",$G$4,"")&amp;IF($F$43&lt;&gt;"","_"&amp;$F$43,""),'表3）燃料価格'!$AF$9:$AG$25,2,0)),0,VLOOKUP($I53,'表3）燃料価格'!$A$6:$U$66,VLOOKUP($F$3&amp;IF($G$4&lt;&gt;"",$G$4,"")&amp;IF($F$43&lt;&gt;"","_"&amp;$F$43,""),'表3）燃料価格'!$AF$9:$AG$25,2,0)+VLOOKUP($F$41,'表3）燃料価格'!$AF$28:$AG$29,2,0),0)*IF($F$43="需要地価格",1,$F$8/$F$141))),"")</f>
        <v>10.542006843002323</v>
      </c>
      <c r="AU53" s="39"/>
      <c r="AV53" s="72">
        <f t="shared" si="47"/>
        <v>17083343613.148878</v>
      </c>
      <c r="AW53" s="72">
        <f t="shared" si="27"/>
        <v>5394126323.3373194</v>
      </c>
      <c r="AX53" s="39"/>
      <c r="AY53" s="40">
        <f>IF(ISERROR(IF($K53&lt;=$F$15,VLOOKUP($I53,'表4）CO2価格'!$A$7:$E$67,VLOOKUP($F$48,'表4）CO2価格'!$H$10:$I$12,2,0),0)*$F$8/1000,"")),0,IF($K53&lt;=$F$15,VLOOKUP($I53,'表4）CO2価格'!$A$7:$E$67,VLOOKUP($F$48,'表4）CO2価格'!$H$10:$I$12,2,0),0)*$F$8/1000,""))</f>
        <v>9.2457749146488997</v>
      </c>
      <c r="AZ53" s="39"/>
      <c r="BA53" s="42">
        <f t="shared" si="48"/>
        <v>29252008552.435547</v>
      </c>
      <c r="BB53" s="72">
        <f t="shared" si="28"/>
        <v>9236425427.9667091</v>
      </c>
      <c r="BC53" s="39"/>
      <c r="BD53" s="72">
        <f t="shared" si="49"/>
        <v>0</v>
      </c>
      <c r="BE53" s="72">
        <f t="shared" si="29"/>
        <v>0</v>
      </c>
      <c r="BF53" s="39"/>
      <c r="BG53" s="42">
        <f t="shared" si="50"/>
        <v>0</v>
      </c>
      <c r="BH53" s="72">
        <f t="shared" si="30"/>
        <v>0</v>
      </c>
      <c r="BI53" s="39"/>
      <c r="BJ53" s="40" t="str">
        <f t="shared" si="31"/>
        <v/>
      </c>
      <c r="BK53" s="157" t="str">
        <f t="shared" si="32"/>
        <v/>
      </c>
      <c r="BL53" s="157" t="str">
        <f t="shared" si="14"/>
        <v/>
      </c>
      <c r="BM53" s="72"/>
      <c r="BN53" s="72" t="str">
        <f t="shared" si="33"/>
        <v/>
      </c>
      <c r="BO53" s="72" t="str">
        <f t="shared" si="34"/>
        <v/>
      </c>
      <c r="BP53" s="39"/>
      <c r="BQ53" s="72">
        <f t="shared" si="51"/>
        <v>4056318000</v>
      </c>
      <c r="BR53" s="72">
        <f t="shared" si="35"/>
        <v>1280796792.1915443</v>
      </c>
    </row>
    <row r="54" spans="3:70" x14ac:dyDescent="0.15">
      <c r="D54" s="81" t="s">
        <v>187</v>
      </c>
      <c r="F54" s="66"/>
      <c r="G54" s="81" t="s">
        <v>172</v>
      </c>
      <c r="I54" s="322">
        <f t="shared" si="36"/>
        <v>2069</v>
      </c>
      <c r="J54" s="71"/>
      <c r="K54" s="71">
        <f t="shared" si="37"/>
        <v>40</v>
      </c>
      <c r="L54" s="71"/>
      <c r="M54" s="7">
        <f t="shared" si="38"/>
        <v>0.30655684077380685</v>
      </c>
      <c r="N54" s="71"/>
      <c r="O54" s="10">
        <f t="shared" si="52"/>
        <v>0</v>
      </c>
      <c r="P54" s="29" t="str">
        <f t="shared" si="39"/>
        <v>-</v>
      </c>
      <c r="Q54" s="71"/>
      <c r="R54" s="10">
        <f t="shared" si="53"/>
        <v>8540000000</v>
      </c>
      <c r="S54" s="71"/>
      <c r="T54" s="10">
        <f t="shared" si="18"/>
        <v>8540000000</v>
      </c>
      <c r="U54" s="71"/>
      <c r="V54" s="10">
        <f t="shared" si="40"/>
        <v>0</v>
      </c>
      <c r="W54" s="10">
        <f t="shared" si="19"/>
        <v>0</v>
      </c>
      <c r="X54" s="71"/>
      <c r="Y54" s="10">
        <f t="shared" si="41"/>
        <v>119560000</v>
      </c>
      <c r="Z54" s="10">
        <f t="shared" si="20"/>
        <v>36651935.882916346</v>
      </c>
      <c r="AA54" s="71"/>
      <c r="AB54" s="10">
        <f t="shared" si="4"/>
        <v>0</v>
      </c>
      <c r="AC54" s="10">
        <f t="shared" si="21"/>
        <v>0</v>
      </c>
      <c r="AD54" s="71"/>
      <c r="AE54" s="10">
        <f t="shared" si="42"/>
        <v>0</v>
      </c>
      <c r="AF54" s="10">
        <f t="shared" si="22"/>
        <v>0</v>
      </c>
      <c r="AG54" s="71"/>
      <c r="AH54" s="10">
        <f t="shared" si="43"/>
        <v>440000000.00000006</v>
      </c>
      <c r="AI54" s="10">
        <f t="shared" si="23"/>
        <v>134885009.94047505</v>
      </c>
      <c r="AJ54" s="71"/>
      <c r="AK54" s="10">
        <f t="shared" si="44"/>
        <v>4099200000</v>
      </c>
      <c r="AL54" s="10">
        <f t="shared" si="24"/>
        <v>1256637801.6999891</v>
      </c>
      <c r="AM54" s="71"/>
      <c r="AN54" s="10">
        <f t="shared" si="45"/>
        <v>3757600000</v>
      </c>
      <c r="AO54" s="10">
        <f t="shared" si="25"/>
        <v>1151917984.8916566</v>
      </c>
      <c r="AP54" s="71"/>
      <c r="AQ54" s="10">
        <f t="shared" si="46"/>
        <v>1012209600</v>
      </c>
      <c r="AR54" s="10">
        <f t="shared" si="26"/>
        <v>310299777.17691875</v>
      </c>
      <c r="AS54" s="71"/>
      <c r="AT54" s="7">
        <f>IF($K54&lt;=$F$15,IF($F$40&lt;&gt;"",$F$40/1000,IF(ISERROR(VLOOKUP($F$3&amp;IF($G$4&lt;&gt;"",$G$4,"")&amp;IF($F$43&lt;&gt;"","_"&amp;$F$43,""),'表3）燃料価格'!$AF$9:$AG$25,2,0)),0,VLOOKUP($I54,'表3）燃料価格'!$A$6:$U$66,VLOOKUP($F$3&amp;IF($G$4&lt;&gt;"",$G$4,"")&amp;IF($F$43&lt;&gt;"","_"&amp;$F$43,""),'表3）燃料価格'!$AF$9:$AG$25,2,0)+VLOOKUP($F$41,'表3）燃料価格'!$AF$28:$AG$29,2,0),0)*IF($F$43="需要地価格",1,$F$8/$F$141))),"")</f>
        <v>10.533796080525908</v>
      </c>
      <c r="AU54" s="71"/>
      <c r="AV54" s="10">
        <f t="shared" si="47"/>
        <v>17072159814.697294</v>
      </c>
      <c r="AW54" s="10">
        <f t="shared" si="27"/>
        <v>5233587377.9791422</v>
      </c>
      <c r="AX54" s="71"/>
      <c r="AY54" s="7">
        <f>IF(ISERROR(IF($K54&lt;=$F$15,VLOOKUP($I54,'表4）CO2価格'!$A$7:$E$67,VLOOKUP($F$48,'表4）CO2価格'!$H$10:$I$12,2,0),0)*$F$8/1000,"")),0,IF($K54&lt;=$F$15,VLOOKUP($I54,'表4）CO2価格'!$A$7:$E$67,VLOOKUP($F$48,'表4）CO2価格'!$H$10:$I$12,2,0),0)*$F$8/1000,""))</f>
        <v>9.3762214345748625</v>
      </c>
      <c r="AZ54" s="71"/>
      <c r="BA54" s="11">
        <f t="shared" si="48"/>
        <v>29664718439.030773</v>
      </c>
      <c r="BB54" s="10">
        <f t="shared" si="28"/>
        <v>9093922367.1137695</v>
      </c>
      <c r="BC54" s="71"/>
      <c r="BD54" s="10">
        <f t="shared" si="49"/>
        <v>0</v>
      </c>
      <c r="BE54" s="10">
        <f t="shared" si="29"/>
        <v>0</v>
      </c>
      <c r="BF54" s="71"/>
      <c r="BG54" s="11">
        <f t="shared" si="50"/>
        <v>0</v>
      </c>
      <c r="BH54" s="10">
        <f t="shared" si="30"/>
        <v>0</v>
      </c>
      <c r="BJ54" s="7" t="str">
        <f t="shared" si="31"/>
        <v/>
      </c>
      <c r="BK54" s="158" t="str">
        <f t="shared" si="32"/>
        <v/>
      </c>
      <c r="BL54" s="158" t="str">
        <f t="shared" si="14"/>
        <v/>
      </c>
      <c r="BM54" s="10"/>
      <c r="BN54" s="10" t="str">
        <f t="shared" si="33"/>
        <v/>
      </c>
      <c r="BO54" s="10" t="str">
        <f t="shared" si="34"/>
        <v/>
      </c>
      <c r="BQ54" s="10">
        <f t="shared" si="51"/>
        <v>4056318000</v>
      </c>
      <c r="BR54" s="10">
        <f t="shared" si="35"/>
        <v>1243492031.2539268</v>
      </c>
    </row>
    <row r="55" spans="3:70" ht="16.5" x14ac:dyDescent="0.15">
      <c r="D55" s="81" t="s">
        <v>188</v>
      </c>
      <c r="F55" s="66"/>
      <c r="G55" s="9" t="s">
        <v>372</v>
      </c>
      <c r="I55" s="38">
        <f>I54+1</f>
        <v>2070</v>
      </c>
      <c r="J55" s="39"/>
      <c r="K55" s="39">
        <f>IF(I55&lt;&gt;"",K54+1,"")</f>
        <v>41</v>
      </c>
      <c r="L55" s="39"/>
      <c r="M55" s="40">
        <f t="shared" si="38"/>
        <v>0.29762800075126877</v>
      </c>
      <c r="N55" s="39"/>
      <c r="O55" s="72" t="str">
        <f t="shared" si="52"/>
        <v/>
      </c>
      <c r="P55" s="41" t="str">
        <f t="shared" si="39"/>
        <v/>
      </c>
      <c r="Q55" s="39"/>
      <c r="R55" s="72" t="str">
        <f t="shared" si="53"/>
        <v/>
      </c>
      <c r="S55" s="39"/>
      <c r="T55" s="72" t="str">
        <f t="shared" si="18"/>
        <v/>
      </c>
      <c r="U55" s="39"/>
      <c r="V55" s="72" t="str">
        <f t="shared" si="40"/>
        <v/>
      </c>
      <c r="W55" s="72" t="str">
        <f t="shared" ref="W55:W82" si="54">IF(ISNUMBER(V55),V55*$M55,"")</f>
        <v/>
      </c>
      <c r="X55" s="39"/>
      <c r="Y55" s="72" t="str">
        <f t="shared" si="41"/>
        <v/>
      </c>
      <c r="Z55" s="72" t="str">
        <f t="shared" ref="Z55:Z82" si="55">IF(ISNUMBER(Y55),Y55*$M55,"")</f>
        <v/>
      </c>
      <c r="AA55" s="39"/>
      <c r="AB55" s="72">
        <f t="shared" si="4"/>
        <v>8540000000.000001</v>
      </c>
      <c r="AC55" s="72">
        <f t="shared" ref="AC55:AC82" si="56">IF(ISNUMBER(AB55),AB55*$M55,"")</f>
        <v>2541743126.4158354</v>
      </c>
      <c r="AD55" s="39"/>
      <c r="AE55" s="72" t="str">
        <f t="shared" si="42"/>
        <v/>
      </c>
      <c r="AF55" s="72" t="str">
        <f t="shared" ref="AF55:AF82" si="57">IF(ISNUMBER(AE55),AE55*$M55,"")</f>
        <v/>
      </c>
      <c r="AG55" s="39"/>
      <c r="AH55" s="72" t="str">
        <f t="shared" si="43"/>
        <v/>
      </c>
      <c r="AI55" s="72" t="str">
        <f t="shared" ref="AI55:AI82" si="58">IF(ISNUMBER(AH55),AH55*$M55,"")</f>
        <v/>
      </c>
      <c r="AJ55" s="39"/>
      <c r="AK55" s="72" t="str">
        <f t="shared" si="44"/>
        <v/>
      </c>
      <c r="AL55" s="72" t="str">
        <f t="shared" ref="AL55:AL82" si="59">IF(ISNUMBER(AK55),AK55*$M55,"")</f>
        <v/>
      </c>
      <c r="AM55" s="39"/>
      <c r="AN55" s="72" t="str">
        <f t="shared" si="45"/>
        <v/>
      </c>
      <c r="AO55" s="72" t="str">
        <f t="shared" ref="AO55:AO82" si="60">IF(ISNUMBER(AN55),AN55*$M55,"")</f>
        <v/>
      </c>
      <c r="AP55" s="39"/>
      <c r="AQ55" s="72" t="str">
        <f t="shared" si="46"/>
        <v/>
      </c>
      <c r="AR55" s="72" t="str">
        <f t="shared" si="26"/>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47"/>
        <v/>
      </c>
      <c r="AW55" s="72" t="str">
        <f t="shared" si="27"/>
        <v/>
      </c>
      <c r="AX55" s="39"/>
      <c r="AY55" s="40" t="str">
        <f>IF(ISERROR(IF($K55&lt;=$F$15,VLOOKUP($I55,'表4）CO2価格'!$A$7:$E$67,VLOOKUP($F$48,'表4）CO2価格'!$H$10:$I$12,2,0),0)*$F$8/1000,"")),0,IF($K55&lt;=$F$15,VLOOKUP($I55,'表4）CO2価格'!$A$7:$E$67,VLOOKUP($F$48,'表4）CO2価格'!$H$10:$I$12,2,0),0)*$F$8/1000,""))</f>
        <v/>
      </c>
      <c r="AZ55" s="39"/>
      <c r="BA55" s="42" t="str">
        <f t="shared" si="48"/>
        <v/>
      </c>
      <c r="BB55" s="72" t="str">
        <f t="shared" si="28"/>
        <v/>
      </c>
      <c r="BC55" s="39"/>
      <c r="BD55" s="72" t="str">
        <f t="shared" si="49"/>
        <v/>
      </c>
      <c r="BE55" s="72" t="str">
        <f t="shared" si="29"/>
        <v/>
      </c>
      <c r="BF55" s="39"/>
      <c r="BG55" s="42" t="str">
        <f t="shared" si="50"/>
        <v/>
      </c>
      <c r="BH55" s="72" t="str">
        <f t="shared" si="30"/>
        <v/>
      </c>
      <c r="BI55" s="39"/>
      <c r="BJ55" s="40" t="str">
        <f t="shared" si="31"/>
        <v/>
      </c>
      <c r="BK55" s="157" t="str">
        <f t="shared" si="32"/>
        <v/>
      </c>
      <c r="BL55" s="157" t="str">
        <f t="shared" si="14"/>
        <v/>
      </c>
      <c r="BM55" s="72"/>
      <c r="BN55" s="72" t="str">
        <f t="shared" si="33"/>
        <v/>
      </c>
      <c r="BO55" s="72" t="str">
        <f t="shared" si="34"/>
        <v/>
      </c>
      <c r="BP55" s="39"/>
      <c r="BQ55" s="72" t="str">
        <f t="shared" si="51"/>
        <v/>
      </c>
      <c r="BR55" s="72" t="str">
        <f t="shared" si="35"/>
        <v/>
      </c>
    </row>
    <row r="56" spans="3:70" x14ac:dyDescent="0.15">
      <c r="D56" s="81" t="s">
        <v>189</v>
      </c>
      <c r="F56" s="59"/>
      <c r="G56" s="81" t="s">
        <v>181</v>
      </c>
      <c r="I56" s="322">
        <f t="shared" si="36"/>
        <v>2071</v>
      </c>
      <c r="J56" s="71"/>
      <c r="K56" s="71">
        <f t="shared" si="37"/>
        <v>42</v>
      </c>
      <c r="L56" s="71"/>
      <c r="M56" s="7">
        <f t="shared" si="38"/>
        <v>0.28895922403035801</v>
      </c>
      <c r="N56" s="71"/>
      <c r="O56" s="10" t="str">
        <f t="shared" si="52"/>
        <v/>
      </c>
      <c r="P56" s="29" t="str">
        <f t="shared" si="39"/>
        <v/>
      </c>
      <c r="Q56" s="71"/>
      <c r="R56" s="10" t="str">
        <f t="shared" si="53"/>
        <v/>
      </c>
      <c r="S56" s="71"/>
      <c r="T56" s="10" t="str">
        <f t="shared" si="18"/>
        <v/>
      </c>
      <c r="U56" s="71"/>
      <c r="V56" s="10" t="str">
        <f t="shared" si="40"/>
        <v/>
      </c>
      <c r="W56" s="10" t="str">
        <f t="shared" si="54"/>
        <v/>
      </c>
      <c r="X56" s="71"/>
      <c r="Y56" s="10" t="str">
        <f t="shared" si="41"/>
        <v/>
      </c>
      <c r="Z56" s="10" t="str">
        <f t="shared" si="55"/>
        <v/>
      </c>
      <c r="AA56" s="71"/>
      <c r="AB56" s="10" t="str">
        <f t="shared" si="4"/>
        <v/>
      </c>
      <c r="AC56" s="10" t="str">
        <f t="shared" si="56"/>
        <v/>
      </c>
      <c r="AD56" s="71"/>
      <c r="AE56" s="10" t="str">
        <f t="shared" si="42"/>
        <v/>
      </c>
      <c r="AF56" s="10" t="str">
        <f t="shared" si="57"/>
        <v/>
      </c>
      <c r="AG56" s="71"/>
      <c r="AH56" s="10" t="str">
        <f t="shared" si="43"/>
        <v/>
      </c>
      <c r="AI56" s="10" t="str">
        <f t="shared" si="58"/>
        <v/>
      </c>
      <c r="AJ56" s="71"/>
      <c r="AK56" s="10" t="str">
        <f t="shared" si="44"/>
        <v/>
      </c>
      <c r="AL56" s="10" t="str">
        <f t="shared" si="59"/>
        <v/>
      </c>
      <c r="AM56" s="71"/>
      <c r="AN56" s="10" t="str">
        <f t="shared" si="45"/>
        <v/>
      </c>
      <c r="AO56" s="10" t="str">
        <f t="shared" si="60"/>
        <v/>
      </c>
      <c r="AP56" s="71"/>
      <c r="AQ56" s="10" t="str">
        <f t="shared" si="46"/>
        <v/>
      </c>
      <c r="AR56" s="10" t="str">
        <f t="shared" si="26"/>
        <v/>
      </c>
      <c r="AS56" s="71"/>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U56" s="71"/>
      <c r="AV56" s="10" t="str">
        <f t="shared" si="47"/>
        <v/>
      </c>
      <c r="AW56" s="10" t="str">
        <f t="shared" si="27"/>
        <v/>
      </c>
      <c r="AX56" s="71"/>
      <c r="AY56" s="7" t="str">
        <f>IF(ISERROR(IF($K56&lt;=$F$15,VLOOKUP($I56,'表4）CO2価格'!$A$7:$E$67,VLOOKUP($F$48,'表4）CO2価格'!$H$10:$I$12,2,0),0)*$F$8/1000,"")),0,IF($K56&lt;=$F$15,VLOOKUP($I56,'表4）CO2価格'!$A$7:$E$67,VLOOKUP($F$48,'表4）CO2価格'!$H$10:$I$12,2,0),0)*$F$8/1000,""))</f>
        <v/>
      </c>
      <c r="AZ56" s="71"/>
      <c r="BA56" s="11" t="str">
        <f t="shared" si="48"/>
        <v/>
      </c>
      <c r="BB56" s="10" t="str">
        <f t="shared" si="28"/>
        <v/>
      </c>
      <c r="BC56" s="71"/>
      <c r="BD56" s="10" t="str">
        <f t="shared" si="49"/>
        <v/>
      </c>
      <c r="BE56" s="10" t="str">
        <f t="shared" si="29"/>
        <v/>
      </c>
      <c r="BF56" s="71"/>
      <c r="BG56" s="11" t="str">
        <f t="shared" si="50"/>
        <v/>
      </c>
      <c r="BH56" s="10" t="str">
        <f t="shared" si="30"/>
        <v/>
      </c>
      <c r="BJ56" s="7" t="str">
        <f t="shared" si="31"/>
        <v/>
      </c>
      <c r="BK56" s="158" t="str">
        <f t="shared" si="32"/>
        <v/>
      </c>
      <c r="BL56" s="158" t="str">
        <f t="shared" si="14"/>
        <v/>
      </c>
      <c r="BM56" s="10"/>
      <c r="BN56" s="10" t="str">
        <f t="shared" si="33"/>
        <v/>
      </c>
      <c r="BO56" s="10" t="str">
        <f t="shared" si="34"/>
        <v/>
      </c>
      <c r="BQ56" s="10" t="str">
        <f t="shared" si="51"/>
        <v/>
      </c>
      <c r="BR56" s="10" t="str">
        <f t="shared" si="35"/>
        <v/>
      </c>
    </row>
    <row r="57" spans="3:70" x14ac:dyDescent="0.15">
      <c r="I57" s="38">
        <f t="shared" si="36"/>
        <v>2072</v>
      </c>
      <c r="J57" s="39"/>
      <c r="K57" s="39">
        <f t="shared" si="37"/>
        <v>43</v>
      </c>
      <c r="L57" s="39"/>
      <c r="M57" s="40">
        <f t="shared" si="38"/>
        <v>0.28054293595180391</v>
      </c>
      <c r="N57" s="39"/>
      <c r="O57" s="72" t="str">
        <f t="shared" si="52"/>
        <v/>
      </c>
      <c r="P57" s="41" t="str">
        <f t="shared" si="39"/>
        <v/>
      </c>
      <c r="Q57" s="39"/>
      <c r="R57" s="72" t="str">
        <f t="shared" si="53"/>
        <v/>
      </c>
      <c r="S57" s="39"/>
      <c r="T57" s="72" t="str">
        <f t="shared" si="18"/>
        <v/>
      </c>
      <c r="U57" s="39"/>
      <c r="V57" s="72" t="str">
        <f t="shared" si="40"/>
        <v/>
      </c>
      <c r="W57" s="72" t="str">
        <f t="shared" si="54"/>
        <v/>
      </c>
      <c r="X57" s="39"/>
      <c r="Y57" s="72" t="str">
        <f t="shared" si="41"/>
        <v/>
      </c>
      <c r="Z57" s="72" t="str">
        <f t="shared" si="55"/>
        <v/>
      </c>
      <c r="AA57" s="39"/>
      <c r="AB57" s="72" t="str">
        <f t="shared" si="4"/>
        <v/>
      </c>
      <c r="AC57" s="72" t="str">
        <f t="shared" si="56"/>
        <v/>
      </c>
      <c r="AD57" s="39"/>
      <c r="AE57" s="72" t="str">
        <f t="shared" si="42"/>
        <v/>
      </c>
      <c r="AF57" s="72" t="str">
        <f t="shared" si="57"/>
        <v/>
      </c>
      <c r="AG57" s="39"/>
      <c r="AH57" s="72" t="str">
        <f t="shared" si="43"/>
        <v/>
      </c>
      <c r="AI57" s="72" t="str">
        <f t="shared" si="58"/>
        <v/>
      </c>
      <c r="AJ57" s="39"/>
      <c r="AK57" s="72" t="str">
        <f t="shared" si="44"/>
        <v/>
      </c>
      <c r="AL57" s="72" t="str">
        <f t="shared" si="59"/>
        <v/>
      </c>
      <c r="AM57" s="39"/>
      <c r="AN57" s="72" t="str">
        <f t="shared" si="45"/>
        <v/>
      </c>
      <c r="AO57" s="72" t="str">
        <f t="shared" si="60"/>
        <v/>
      </c>
      <c r="AP57" s="39"/>
      <c r="AQ57" s="72" t="str">
        <f t="shared" si="46"/>
        <v/>
      </c>
      <c r="AR57" s="72" t="str">
        <f t="shared" si="26"/>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47"/>
        <v/>
      </c>
      <c r="AW57" s="72" t="str">
        <f t="shared" si="27"/>
        <v/>
      </c>
      <c r="AX57" s="39"/>
      <c r="AY57" s="40" t="str">
        <f>IF(ISERROR(IF($K57&lt;=$F$15,VLOOKUP($I57,'表4）CO2価格'!$A$7:$E$67,VLOOKUP($F$48,'表4）CO2価格'!$H$10:$I$12,2,0),0)*$F$8/1000,"")),0,IF($K57&lt;=$F$15,VLOOKUP($I57,'表4）CO2価格'!$A$7:$E$67,VLOOKUP($F$48,'表4）CO2価格'!$H$10:$I$12,2,0),0)*$F$8/1000,""))</f>
        <v/>
      </c>
      <c r="AZ57" s="39"/>
      <c r="BA57" s="42" t="str">
        <f t="shared" si="48"/>
        <v/>
      </c>
      <c r="BB57" s="72" t="str">
        <f t="shared" si="28"/>
        <v/>
      </c>
      <c r="BC57" s="39"/>
      <c r="BD57" s="72" t="str">
        <f t="shared" si="49"/>
        <v/>
      </c>
      <c r="BE57" s="72" t="str">
        <f t="shared" si="29"/>
        <v/>
      </c>
      <c r="BF57" s="39"/>
      <c r="BG57" s="42" t="str">
        <f t="shared" si="50"/>
        <v/>
      </c>
      <c r="BH57" s="72" t="str">
        <f t="shared" si="30"/>
        <v/>
      </c>
      <c r="BI57" s="39"/>
      <c r="BJ57" s="40" t="str">
        <f t="shared" si="31"/>
        <v/>
      </c>
      <c r="BK57" s="157" t="str">
        <f t="shared" si="32"/>
        <v/>
      </c>
      <c r="BL57" s="157" t="str">
        <f t="shared" si="14"/>
        <v/>
      </c>
      <c r="BM57" s="72"/>
      <c r="BN57" s="72" t="str">
        <f t="shared" si="33"/>
        <v/>
      </c>
      <c r="BO57" s="72" t="str">
        <f t="shared" si="34"/>
        <v/>
      </c>
      <c r="BP57" s="39"/>
      <c r="BQ57" s="72" t="str">
        <f t="shared" si="51"/>
        <v/>
      </c>
      <c r="BR57" s="72" t="str">
        <f t="shared" si="35"/>
        <v/>
      </c>
    </row>
    <row r="58" spans="3:70" x14ac:dyDescent="0.15">
      <c r="C58" s="89" t="s">
        <v>512</v>
      </c>
      <c r="D58" s="101"/>
      <c r="E58" s="101"/>
      <c r="F58" s="89"/>
      <c r="G58" s="101"/>
      <c r="I58" s="322">
        <f t="shared" si="36"/>
        <v>2073</v>
      </c>
      <c r="J58" s="71"/>
      <c r="K58" s="71">
        <f t="shared" si="37"/>
        <v>44</v>
      </c>
      <c r="L58" s="71"/>
      <c r="M58" s="7">
        <f t="shared" si="38"/>
        <v>0.27237178247747956</v>
      </c>
      <c r="N58" s="71"/>
      <c r="O58" s="10" t="str">
        <f t="shared" si="52"/>
        <v/>
      </c>
      <c r="P58" s="29" t="str">
        <f t="shared" si="39"/>
        <v/>
      </c>
      <c r="Q58" s="71"/>
      <c r="R58" s="10" t="str">
        <f t="shared" si="53"/>
        <v/>
      </c>
      <c r="S58" s="71"/>
      <c r="T58" s="10" t="str">
        <f t="shared" si="18"/>
        <v/>
      </c>
      <c r="U58" s="71"/>
      <c r="V58" s="10" t="str">
        <f t="shared" si="40"/>
        <v/>
      </c>
      <c r="W58" s="10" t="str">
        <f t="shared" si="54"/>
        <v/>
      </c>
      <c r="X58" s="71"/>
      <c r="Y58" s="10" t="str">
        <f t="shared" si="41"/>
        <v/>
      </c>
      <c r="Z58" s="10" t="str">
        <f t="shared" si="55"/>
        <v/>
      </c>
      <c r="AA58" s="71"/>
      <c r="AB58" s="10" t="str">
        <f t="shared" si="4"/>
        <v/>
      </c>
      <c r="AC58" s="10" t="str">
        <f t="shared" si="56"/>
        <v/>
      </c>
      <c r="AD58" s="71"/>
      <c r="AE58" s="10" t="str">
        <f t="shared" si="42"/>
        <v/>
      </c>
      <c r="AF58" s="10" t="str">
        <f t="shared" si="57"/>
        <v/>
      </c>
      <c r="AG58" s="71"/>
      <c r="AH58" s="10" t="str">
        <f t="shared" si="43"/>
        <v/>
      </c>
      <c r="AI58" s="10" t="str">
        <f t="shared" si="58"/>
        <v/>
      </c>
      <c r="AJ58" s="71"/>
      <c r="AK58" s="10" t="str">
        <f t="shared" si="44"/>
        <v/>
      </c>
      <c r="AL58" s="10" t="str">
        <f t="shared" si="59"/>
        <v/>
      </c>
      <c r="AM58" s="71"/>
      <c r="AN58" s="10" t="str">
        <f t="shared" si="45"/>
        <v/>
      </c>
      <c r="AO58" s="10" t="str">
        <f t="shared" si="60"/>
        <v/>
      </c>
      <c r="AP58" s="71"/>
      <c r="AQ58" s="10" t="str">
        <f t="shared" si="46"/>
        <v/>
      </c>
      <c r="AR58" s="10" t="str">
        <f t="shared" si="26"/>
        <v/>
      </c>
      <c r="AS58" s="71"/>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U58" s="71"/>
      <c r="AV58" s="10" t="str">
        <f t="shared" si="47"/>
        <v/>
      </c>
      <c r="AW58" s="10" t="str">
        <f t="shared" si="27"/>
        <v/>
      </c>
      <c r="AX58" s="71"/>
      <c r="AY58" s="7" t="str">
        <f>IF(ISERROR(IF($K58&lt;=$F$15,VLOOKUP($I58,'表4）CO2価格'!$A$7:$E$67,VLOOKUP($F$48,'表4）CO2価格'!$H$10:$I$12,2,0),0)*$F$8/1000,"")),0,IF($K58&lt;=$F$15,VLOOKUP($I58,'表4）CO2価格'!$A$7:$E$67,VLOOKUP($F$48,'表4）CO2価格'!$H$10:$I$12,2,0),0)*$F$8/1000,""))</f>
        <v/>
      </c>
      <c r="AZ58" s="71"/>
      <c r="BA58" s="11" t="str">
        <f t="shared" si="48"/>
        <v/>
      </c>
      <c r="BB58" s="10" t="str">
        <f t="shared" si="28"/>
        <v/>
      </c>
      <c r="BC58" s="71"/>
      <c r="BD58" s="10" t="str">
        <f t="shared" si="49"/>
        <v/>
      </c>
      <c r="BE58" s="10" t="str">
        <f t="shared" si="29"/>
        <v/>
      </c>
      <c r="BF58" s="71"/>
      <c r="BG58" s="11" t="str">
        <f t="shared" si="50"/>
        <v/>
      </c>
      <c r="BH58" s="10" t="str">
        <f t="shared" si="30"/>
        <v/>
      </c>
      <c r="BJ58" s="7" t="str">
        <f t="shared" si="31"/>
        <v/>
      </c>
      <c r="BK58" s="158" t="str">
        <f t="shared" si="32"/>
        <v/>
      </c>
      <c r="BL58" s="158" t="str">
        <f t="shared" si="14"/>
        <v/>
      </c>
      <c r="BM58" s="10"/>
      <c r="BN58" s="10" t="str">
        <f t="shared" si="33"/>
        <v/>
      </c>
      <c r="BO58" s="10" t="str">
        <f t="shared" si="34"/>
        <v/>
      </c>
      <c r="BQ58" s="10" t="str">
        <f t="shared" si="51"/>
        <v/>
      </c>
      <c r="BR58" s="10" t="str">
        <f t="shared" si="35"/>
        <v/>
      </c>
    </row>
    <row r="59" spans="3:70" x14ac:dyDescent="0.15">
      <c r="I59" s="38">
        <f t="shared" si="36"/>
        <v>2074</v>
      </c>
      <c r="J59" s="39"/>
      <c r="K59" s="39">
        <f t="shared" si="37"/>
        <v>45</v>
      </c>
      <c r="L59" s="39"/>
      <c r="M59" s="40">
        <f t="shared" si="38"/>
        <v>0.26443862376454325</v>
      </c>
      <c r="N59" s="39"/>
      <c r="O59" s="72" t="str">
        <f t="shared" si="52"/>
        <v/>
      </c>
      <c r="P59" s="41" t="str">
        <f t="shared" si="39"/>
        <v/>
      </c>
      <c r="Q59" s="39"/>
      <c r="R59" s="72" t="str">
        <f t="shared" si="53"/>
        <v/>
      </c>
      <c r="S59" s="39"/>
      <c r="T59" s="72" t="str">
        <f t="shared" si="18"/>
        <v/>
      </c>
      <c r="U59" s="39"/>
      <c r="V59" s="72" t="str">
        <f t="shared" si="40"/>
        <v/>
      </c>
      <c r="W59" s="72" t="str">
        <f t="shared" si="54"/>
        <v/>
      </c>
      <c r="X59" s="39"/>
      <c r="Y59" s="72" t="str">
        <f t="shared" si="41"/>
        <v/>
      </c>
      <c r="Z59" s="72" t="str">
        <f t="shared" si="55"/>
        <v/>
      </c>
      <c r="AA59" s="39"/>
      <c r="AB59" s="72" t="str">
        <f t="shared" si="4"/>
        <v/>
      </c>
      <c r="AC59" s="72" t="str">
        <f t="shared" si="56"/>
        <v/>
      </c>
      <c r="AD59" s="39"/>
      <c r="AE59" s="72" t="str">
        <f t="shared" si="42"/>
        <v/>
      </c>
      <c r="AF59" s="72" t="str">
        <f t="shared" si="57"/>
        <v/>
      </c>
      <c r="AG59" s="39"/>
      <c r="AH59" s="72" t="str">
        <f t="shared" si="43"/>
        <v/>
      </c>
      <c r="AI59" s="72" t="str">
        <f t="shared" si="58"/>
        <v/>
      </c>
      <c r="AJ59" s="39"/>
      <c r="AK59" s="72" t="str">
        <f t="shared" si="44"/>
        <v/>
      </c>
      <c r="AL59" s="72" t="str">
        <f t="shared" si="59"/>
        <v/>
      </c>
      <c r="AM59" s="39"/>
      <c r="AN59" s="72" t="str">
        <f t="shared" si="45"/>
        <v/>
      </c>
      <c r="AO59" s="72" t="str">
        <f t="shared" si="60"/>
        <v/>
      </c>
      <c r="AP59" s="39"/>
      <c r="AQ59" s="72" t="str">
        <f t="shared" si="46"/>
        <v/>
      </c>
      <c r="AR59" s="72" t="str">
        <f t="shared" si="26"/>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47"/>
        <v/>
      </c>
      <c r="AW59" s="72" t="str">
        <f t="shared" si="27"/>
        <v/>
      </c>
      <c r="AX59" s="39"/>
      <c r="AY59" s="40" t="str">
        <f>IF(ISERROR(IF($K59&lt;=$F$15,VLOOKUP($I59,'表4）CO2価格'!$A$7:$E$67,VLOOKUP($F$48,'表4）CO2価格'!$H$10:$I$12,2,0),0)*$F$8/1000,"")),0,IF($K59&lt;=$F$15,VLOOKUP($I59,'表4）CO2価格'!$A$7:$E$67,VLOOKUP($F$48,'表4）CO2価格'!$H$10:$I$12,2,0),0)*$F$8/1000,""))</f>
        <v/>
      </c>
      <c r="AZ59" s="39"/>
      <c r="BA59" s="42" t="str">
        <f t="shared" si="48"/>
        <v/>
      </c>
      <c r="BB59" s="72" t="str">
        <f t="shared" si="28"/>
        <v/>
      </c>
      <c r="BC59" s="39"/>
      <c r="BD59" s="72" t="str">
        <f t="shared" si="49"/>
        <v/>
      </c>
      <c r="BE59" s="72" t="str">
        <f t="shared" si="29"/>
        <v/>
      </c>
      <c r="BF59" s="39"/>
      <c r="BG59" s="42" t="str">
        <f t="shared" si="50"/>
        <v/>
      </c>
      <c r="BH59" s="72" t="str">
        <f t="shared" si="30"/>
        <v/>
      </c>
      <c r="BI59" s="39"/>
      <c r="BJ59" s="40" t="str">
        <f t="shared" si="31"/>
        <v/>
      </c>
      <c r="BK59" s="157" t="str">
        <f t="shared" si="32"/>
        <v/>
      </c>
      <c r="BL59" s="157" t="str">
        <f t="shared" si="14"/>
        <v/>
      </c>
      <c r="BM59" s="72"/>
      <c r="BN59" s="72" t="str">
        <f t="shared" si="33"/>
        <v/>
      </c>
      <c r="BO59" s="72" t="str">
        <f t="shared" si="34"/>
        <v/>
      </c>
      <c r="BP59" s="39"/>
      <c r="BQ59" s="72" t="str">
        <f t="shared" si="51"/>
        <v/>
      </c>
      <c r="BR59" s="72" t="str">
        <f t="shared" si="35"/>
        <v/>
      </c>
    </row>
    <row r="60" spans="3:70" x14ac:dyDescent="0.15">
      <c r="D60" s="81" t="s">
        <v>128</v>
      </c>
      <c r="F60" s="59"/>
      <c r="G60" s="81" t="s">
        <v>176</v>
      </c>
      <c r="I60" s="322">
        <f t="shared" si="36"/>
        <v>2075</v>
      </c>
      <c r="J60" s="71"/>
      <c r="K60" s="71">
        <f t="shared" si="37"/>
        <v>46</v>
      </c>
      <c r="L60" s="71"/>
      <c r="M60" s="7">
        <f t="shared" si="38"/>
        <v>0.25673652792674101</v>
      </c>
      <c r="N60" s="71"/>
      <c r="O60" s="10" t="str">
        <f t="shared" si="52"/>
        <v/>
      </c>
      <c r="P60" s="29" t="str">
        <f t="shared" si="39"/>
        <v/>
      </c>
      <c r="Q60" s="71"/>
      <c r="R60" s="10" t="str">
        <f t="shared" si="53"/>
        <v/>
      </c>
      <c r="S60" s="71"/>
      <c r="T60" s="10" t="str">
        <f t="shared" si="18"/>
        <v/>
      </c>
      <c r="U60" s="71"/>
      <c r="V60" s="10" t="str">
        <f t="shared" si="40"/>
        <v/>
      </c>
      <c r="W60" s="10" t="str">
        <f t="shared" si="54"/>
        <v/>
      </c>
      <c r="X60" s="71"/>
      <c r="Y60" s="10" t="str">
        <f t="shared" si="41"/>
        <v/>
      </c>
      <c r="Z60" s="10" t="str">
        <f t="shared" si="55"/>
        <v/>
      </c>
      <c r="AA60" s="71"/>
      <c r="AB60" s="10" t="str">
        <f t="shared" si="4"/>
        <v/>
      </c>
      <c r="AC60" s="10" t="str">
        <f t="shared" si="56"/>
        <v/>
      </c>
      <c r="AD60" s="71"/>
      <c r="AE60" s="10" t="str">
        <f t="shared" si="42"/>
        <v/>
      </c>
      <c r="AF60" s="10" t="str">
        <f t="shared" si="57"/>
        <v/>
      </c>
      <c r="AG60" s="71"/>
      <c r="AH60" s="10" t="str">
        <f t="shared" si="43"/>
        <v/>
      </c>
      <c r="AI60" s="10" t="str">
        <f t="shared" si="58"/>
        <v/>
      </c>
      <c r="AJ60" s="71"/>
      <c r="AK60" s="10" t="str">
        <f t="shared" si="44"/>
        <v/>
      </c>
      <c r="AL60" s="10" t="str">
        <f t="shared" si="59"/>
        <v/>
      </c>
      <c r="AM60" s="71"/>
      <c r="AN60" s="10" t="str">
        <f t="shared" si="45"/>
        <v/>
      </c>
      <c r="AO60" s="10" t="str">
        <f t="shared" si="60"/>
        <v/>
      </c>
      <c r="AP60" s="71"/>
      <c r="AQ60" s="10" t="str">
        <f t="shared" si="46"/>
        <v/>
      </c>
      <c r="AR60" s="10" t="str">
        <f t="shared" si="26"/>
        <v/>
      </c>
      <c r="AS60" s="71"/>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U60" s="71"/>
      <c r="AV60" s="10" t="str">
        <f t="shared" si="47"/>
        <v/>
      </c>
      <c r="AW60" s="10" t="str">
        <f t="shared" si="27"/>
        <v/>
      </c>
      <c r="AX60" s="71"/>
      <c r="AY60" s="7" t="str">
        <f>IF(ISERROR(IF($K60&lt;=$F$15,VLOOKUP($I60,'表4）CO2価格'!$A$7:$E$67,VLOOKUP($F$48,'表4）CO2価格'!$H$10:$I$12,2,0),0)*$F$8/1000,"")),0,IF($K60&lt;=$F$15,VLOOKUP($I60,'表4）CO2価格'!$A$7:$E$67,VLOOKUP($F$48,'表4）CO2価格'!$H$10:$I$12,2,0),0)*$F$8/1000,""))</f>
        <v/>
      </c>
      <c r="AZ60" s="71"/>
      <c r="BA60" s="11" t="str">
        <f t="shared" si="48"/>
        <v/>
      </c>
      <c r="BB60" s="10" t="str">
        <f t="shared" si="28"/>
        <v/>
      </c>
      <c r="BC60" s="71"/>
      <c r="BD60" s="10" t="str">
        <f t="shared" si="49"/>
        <v/>
      </c>
      <c r="BE60" s="10" t="str">
        <f t="shared" si="29"/>
        <v/>
      </c>
      <c r="BF60" s="71"/>
      <c r="BG60" s="11" t="str">
        <f t="shared" si="50"/>
        <v/>
      </c>
      <c r="BH60" s="10" t="str">
        <f t="shared" si="30"/>
        <v/>
      </c>
      <c r="BJ60" s="7" t="str">
        <f t="shared" si="31"/>
        <v/>
      </c>
      <c r="BK60" s="158" t="str">
        <f t="shared" si="32"/>
        <v/>
      </c>
      <c r="BL60" s="158" t="str">
        <f t="shared" si="14"/>
        <v/>
      </c>
      <c r="BM60" s="10"/>
      <c r="BN60" s="10" t="str">
        <f t="shared" si="33"/>
        <v/>
      </c>
      <c r="BO60" s="10" t="str">
        <f t="shared" si="34"/>
        <v/>
      </c>
      <c r="BQ60" s="10" t="str">
        <f t="shared" si="51"/>
        <v/>
      </c>
      <c r="BR60" s="10" t="str">
        <f t="shared" si="35"/>
        <v/>
      </c>
    </row>
    <row r="61" spans="3:70" x14ac:dyDescent="0.15">
      <c r="D61" s="81" t="s">
        <v>190</v>
      </c>
      <c r="F61" s="66"/>
      <c r="G61" s="81" t="s">
        <v>108</v>
      </c>
      <c r="I61" s="38">
        <f t="shared" si="36"/>
        <v>2076</v>
      </c>
      <c r="J61" s="39"/>
      <c r="K61" s="39">
        <f t="shared" si="37"/>
        <v>47</v>
      </c>
      <c r="L61" s="39"/>
      <c r="M61" s="40">
        <f t="shared" si="38"/>
        <v>0.24925876497741845</v>
      </c>
      <c r="N61" s="39"/>
      <c r="O61" s="72" t="str">
        <f t="shared" si="52"/>
        <v/>
      </c>
      <c r="P61" s="41" t="str">
        <f t="shared" si="39"/>
        <v/>
      </c>
      <c r="Q61" s="39"/>
      <c r="R61" s="72" t="str">
        <f t="shared" si="53"/>
        <v/>
      </c>
      <c r="S61" s="39"/>
      <c r="T61" s="72" t="str">
        <f t="shared" si="18"/>
        <v/>
      </c>
      <c r="U61" s="39"/>
      <c r="V61" s="72" t="str">
        <f t="shared" si="40"/>
        <v/>
      </c>
      <c r="W61" s="72" t="str">
        <f t="shared" si="54"/>
        <v/>
      </c>
      <c r="X61" s="39"/>
      <c r="Y61" s="72" t="str">
        <f t="shared" si="41"/>
        <v/>
      </c>
      <c r="Z61" s="72" t="str">
        <f t="shared" si="55"/>
        <v/>
      </c>
      <c r="AA61" s="39"/>
      <c r="AB61" s="72" t="str">
        <f t="shared" si="4"/>
        <v/>
      </c>
      <c r="AC61" s="72" t="str">
        <f t="shared" si="56"/>
        <v/>
      </c>
      <c r="AD61" s="39"/>
      <c r="AE61" s="72" t="str">
        <f t="shared" si="42"/>
        <v/>
      </c>
      <c r="AF61" s="72" t="str">
        <f t="shared" si="57"/>
        <v/>
      </c>
      <c r="AG61" s="39"/>
      <c r="AH61" s="72" t="str">
        <f t="shared" si="43"/>
        <v/>
      </c>
      <c r="AI61" s="72" t="str">
        <f t="shared" si="58"/>
        <v/>
      </c>
      <c r="AJ61" s="39"/>
      <c r="AK61" s="72" t="str">
        <f t="shared" si="44"/>
        <v/>
      </c>
      <c r="AL61" s="72" t="str">
        <f t="shared" si="59"/>
        <v/>
      </c>
      <c r="AM61" s="39"/>
      <c r="AN61" s="72" t="str">
        <f t="shared" si="45"/>
        <v/>
      </c>
      <c r="AO61" s="72" t="str">
        <f t="shared" si="60"/>
        <v/>
      </c>
      <c r="AP61" s="39"/>
      <c r="AQ61" s="72" t="str">
        <f t="shared" si="46"/>
        <v/>
      </c>
      <c r="AR61" s="72" t="str">
        <f t="shared" si="26"/>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47"/>
        <v/>
      </c>
      <c r="AW61" s="72" t="str">
        <f t="shared" si="27"/>
        <v/>
      </c>
      <c r="AX61" s="39"/>
      <c r="AY61" s="40" t="str">
        <f>IF(ISERROR(IF($K61&lt;=$F$15,VLOOKUP($I61,'表4）CO2価格'!$A$7:$E$67,VLOOKUP($F$48,'表4）CO2価格'!$H$10:$I$12,2,0),0)*$F$8/1000,"")),0,IF($K61&lt;=$F$15,VLOOKUP($I61,'表4）CO2価格'!$A$7:$E$67,VLOOKUP($F$48,'表4）CO2価格'!$H$10:$I$12,2,0),0)*$F$8/1000,""))</f>
        <v/>
      </c>
      <c r="AZ61" s="39"/>
      <c r="BA61" s="42" t="str">
        <f t="shared" si="48"/>
        <v/>
      </c>
      <c r="BB61" s="72" t="str">
        <f t="shared" si="28"/>
        <v/>
      </c>
      <c r="BC61" s="39"/>
      <c r="BD61" s="72" t="str">
        <f t="shared" si="49"/>
        <v/>
      </c>
      <c r="BE61" s="72" t="str">
        <f t="shared" si="29"/>
        <v/>
      </c>
      <c r="BF61" s="39"/>
      <c r="BG61" s="42" t="str">
        <f t="shared" si="50"/>
        <v/>
      </c>
      <c r="BH61" s="72" t="str">
        <f t="shared" si="30"/>
        <v/>
      </c>
      <c r="BI61" s="39"/>
      <c r="BJ61" s="40" t="str">
        <f t="shared" si="31"/>
        <v/>
      </c>
      <c r="BK61" s="157" t="str">
        <f t="shared" si="32"/>
        <v/>
      </c>
      <c r="BL61" s="157" t="str">
        <f t="shared" si="14"/>
        <v/>
      </c>
      <c r="BM61" s="72"/>
      <c r="BN61" s="72" t="str">
        <f t="shared" si="33"/>
        <v/>
      </c>
      <c r="BO61" s="72" t="str">
        <f t="shared" si="34"/>
        <v/>
      </c>
      <c r="BP61" s="39"/>
      <c r="BQ61" s="72" t="str">
        <f t="shared" si="51"/>
        <v/>
      </c>
      <c r="BR61" s="72" t="str">
        <f t="shared" si="35"/>
        <v/>
      </c>
    </row>
    <row r="62" spans="3:70" x14ac:dyDescent="0.15">
      <c r="D62" s="81" t="s">
        <v>131</v>
      </c>
      <c r="F62" s="59"/>
      <c r="G62" s="81" t="s">
        <v>191</v>
      </c>
      <c r="I62" s="322">
        <f t="shared" si="36"/>
        <v>2077</v>
      </c>
      <c r="J62" s="71"/>
      <c r="K62" s="71">
        <f t="shared" si="37"/>
        <v>48</v>
      </c>
      <c r="L62" s="71"/>
      <c r="M62" s="7">
        <f t="shared" si="38"/>
        <v>0.24199880094894996</v>
      </c>
      <c r="N62" s="71"/>
      <c r="O62" s="10" t="str">
        <f t="shared" si="52"/>
        <v/>
      </c>
      <c r="P62" s="29" t="str">
        <f t="shared" si="39"/>
        <v/>
      </c>
      <c r="Q62" s="71"/>
      <c r="R62" s="10" t="str">
        <f t="shared" si="53"/>
        <v/>
      </c>
      <c r="S62" s="71"/>
      <c r="T62" s="10" t="str">
        <f t="shared" si="18"/>
        <v/>
      </c>
      <c r="U62" s="71"/>
      <c r="V62" s="10" t="str">
        <f t="shared" si="40"/>
        <v/>
      </c>
      <c r="W62" s="10" t="str">
        <f t="shared" si="54"/>
        <v/>
      </c>
      <c r="X62" s="71"/>
      <c r="Y62" s="10" t="str">
        <f t="shared" si="41"/>
        <v/>
      </c>
      <c r="Z62" s="10" t="str">
        <f t="shared" si="55"/>
        <v/>
      </c>
      <c r="AA62" s="71"/>
      <c r="AB62" s="10" t="str">
        <f t="shared" si="4"/>
        <v/>
      </c>
      <c r="AC62" s="10" t="str">
        <f t="shared" si="56"/>
        <v/>
      </c>
      <c r="AD62" s="71"/>
      <c r="AE62" s="10" t="str">
        <f t="shared" si="42"/>
        <v/>
      </c>
      <c r="AF62" s="10" t="str">
        <f t="shared" si="57"/>
        <v/>
      </c>
      <c r="AG62" s="71"/>
      <c r="AH62" s="10" t="str">
        <f t="shared" si="43"/>
        <v/>
      </c>
      <c r="AI62" s="10" t="str">
        <f t="shared" si="58"/>
        <v/>
      </c>
      <c r="AJ62" s="71"/>
      <c r="AK62" s="10" t="str">
        <f t="shared" si="44"/>
        <v/>
      </c>
      <c r="AL62" s="10" t="str">
        <f t="shared" si="59"/>
        <v/>
      </c>
      <c r="AM62" s="71"/>
      <c r="AN62" s="10" t="str">
        <f t="shared" si="45"/>
        <v/>
      </c>
      <c r="AO62" s="10" t="str">
        <f t="shared" si="60"/>
        <v/>
      </c>
      <c r="AP62" s="71"/>
      <c r="AQ62" s="10" t="str">
        <f t="shared" si="46"/>
        <v/>
      </c>
      <c r="AR62" s="10" t="str">
        <f t="shared" si="26"/>
        <v/>
      </c>
      <c r="AS62" s="71"/>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U62" s="71"/>
      <c r="AV62" s="10" t="str">
        <f t="shared" si="47"/>
        <v/>
      </c>
      <c r="AW62" s="10" t="str">
        <f t="shared" si="27"/>
        <v/>
      </c>
      <c r="AX62" s="71"/>
      <c r="AY62" s="7" t="str">
        <f>IF(ISERROR(IF($K62&lt;=$F$15,VLOOKUP($I62,'表4）CO2価格'!$A$7:$E$67,VLOOKUP($F$48,'表4）CO2価格'!$H$10:$I$12,2,0),0)*$F$8/1000,"")),0,IF($K62&lt;=$F$15,VLOOKUP($I62,'表4）CO2価格'!$A$7:$E$67,VLOOKUP($F$48,'表4）CO2価格'!$H$10:$I$12,2,0),0)*$F$8/1000,""))</f>
        <v/>
      </c>
      <c r="AZ62" s="71"/>
      <c r="BA62" s="11" t="str">
        <f t="shared" si="48"/>
        <v/>
      </c>
      <c r="BB62" s="10" t="str">
        <f t="shared" si="28"/>
        <v/>
      </c>
      <c r="BC62" s="71"/>
      <c r="BD62" s="10" t="str">
        <f t="shared" si="49"/>
        <v/>
      </c>
      <c r="BE62" s="10" t="str">
        <f t="shared" si="29"/>
        <v/>
      </c>
      <c r="BF62" s="71"/>
      <c r="BG62" s="11" t="str">
        <f t="shared" si="50"/>
        <v/>
      </c>
      <c r="BH62" s="10" t="str">
        <f t="shared" si="30"/>
        <v/>
      </c>
      <c r="BJ62" s="7" t="str">
        <f t="shared" si="31"/>
        <v/>
      </c>
      <c r="BK62" s="158" t="str">
        <f t="shared" si="32"/>
        <v/>
      </c>
      <c r="BL62" s="158" t="str">
        <f t="shared" si="14"/>
        <v/>
      </c>
      <c r="BM62" s="10"/>
      <c r="BN62" s="10" t="str">
        <f t="shared" si="33"/>
        <v/>
      </c>
      <c r="BO62" s="10" t="str">
        <f t="shared" si="34"/>
        <v/>
      </c>
      <c r="BQ62" s="10" t="str">
        <f t="shared" si="51"/>
        <v/>
      </c>
      <c r="BR62" s="10" t="str">
        <f t="shared" si="35"/>
        <v/>
      </c>
    </row>
    <row r="63" spans="3:70" x14ac:dyDescent="0.15">
      <c r="I63" s="38">
        <f t="shared" si="36"/>
        <v>2078</v>
      </c>
      <c r="J63" s="39"/>
      <c r="K63" s="39">
        <f t="shared" si="37"/>
        <v>49</v>
      </c>
      <c r="L63" s="39"/>
      <c r="M63" s="40">
        <f t="shared" si="38"/>
        <v>0.2349502921834466</v>
      </c>
      <c r="N63" s="39"/>
      <c r="O63" s="72" t="str">
        <f t="shared" si="52"/>
        <v/>
      </c>
      <c r="P63" s="41" t="str">
        <f t="shared" si="39"/>
        <v/>
      </c>
      <c r="Q63" s="39"/>
      <c r="R63" s="72" t="str">
        <f t="shared" si="53"/>
        <v/>
      </c>
      <c r="S63" s="39"/>
      <c r="T63" s="72" t="str">
        <f t="shared" si="18"/>
        <v/>
      </c>
      <c r="U63" s="39"/>
      <c r="V63" s="72" t="str">
        <f t="shared" si="40"/>
        <v/>
      </c>
      <c r="W63" s="72" t="str">
        <f t="shared" si="54"/>
        <v/>
      </c>
      <c r="X63" s="39"/>
      <c r="Y63" s="72" t="str">
        <f t="shared" si="41"/>
        <v/>
      </c>
      <c r="Z63" s="72" t="str">
        <f t="shared" si="55"/>
        <v/>
      </c>
      <c r="AA63" s="39"/>
      <c r="AB63" s="72" t="str">
        <f t="shared" si="4"/>
        <v/>
      </c>
      <c r="AC63" s="72" t="str">
        <f t="shared" si="56"/>
        <v/>
      </c>
      <c r="AD63" s="39"/>
      <c r="AE63" s="72" t="str">
        <f t="shared" si="42"/>
        <v/>
      </c>
      <c r="AF63" s="72" t="str">
        <f t="shared" si="57"/>
        <v/>
      </c>
      <c r="AG63" s="39"/>
      <c r="AH63" s="72" t="str">
        <f t="shared" si="43"/>
        <v/>
      </c>
      <c r="AI63" s="72" t="str">
        <f t="shared" si="58"/>
        <v/>
      </c>
      <c r="AJ63" s="39"/>
      <c r="AK63" s="72" t="str">
        <f t="shared" si="44"/>
        <v/>
      </c>
      <c r="AL63" s="72" t="str">
        <f t="shared" si="59"/>
        <v/>
      </c>
      <c r="AM63" s="39"/>
      <c r="AN63" s="72" t="str">
        <f t="shared" si="45"/>
        <v/>
      </c>
      <c r="AO63" s="72" t="str">
        <f t="shared" si="60"/>
        <v/>
      </c>
      <c r="AP63" s="39"/>
      <c r="AQ63" s="72" t="str">
        <f t="shared" si="46"/>
        <v/>
      </c>
      <c r="AR63" s="72" t="str">
        <f t="shared" si="26"/>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47"/>
        <v/>
      </c>
      <c r="AW63" s="72" t="str">
        <f t="shared" si="27"/>
        <v/>
      </c>
      <c r="AX63" s="39"/>
      <c r="AY63" s="40" t="str">
        <f>IF(ISERROR(IF($K63&lt;=$F$15,VLOOKUP($I63,'表4）CO2価格'!$A$7:$E$67,VLOOKUP($F$48,'表4）CO2価格'!$H$10:$I$12,2,0),0)*$F$8/1000,"")),0,IF($K63&lt;=$F$15,VLOOKUP($I63,'表4）CO2価格'!$A$7:$E$67,VLOOKUP($F$48,'表4）CO2価格'!$H$10:$I$12,2,0),0)*$F$8/1000,""))</f>
        <v/>
      </c>
      <c r="AZ63" s="39"/>
      <c r="BA63" s="42" t="str">
        <f t="shared" si="48"/>
        <v/>
      </c>
      <c r="BB63" s="72" t="str">
        <f t="shared" si="28"/>
        <v/>
      </c>
      <c r="BC63" s="39"/>
      <c r="BD63" s="72" t="str">
        <f t="shared" si="49"/>
        <v/>
      </c>
      <c r="BE63" s="72" t="str">
        <f t="shared" si="29"/>
        <v/>
      </c>
      <c r="BF63" s="39"/>
      <c r="BG63" s="42" t="str">
        <f t="shared" si="50"/>
        <v/>
      </c>
      <c r="BH63" s="72" t="str">
        <f t="shared" si="30"/>
        <v/>
      </c>
      <c r="BI63" s="39"/>
      <c r="BJ63" s="40" t="str">
        <f t="shared" si="31"/>
        <v/>
      </c>
      <c r="BK63" s="157" t="str">
        <f t="shared" si="32"/>
        <v/>
      </c>
      <c r="BL63" s="157" t="str">
        <f t="shared" si="14"/>
        <v/>
      </c>
      <c r="BM63" s="72"/>
      <c r="BN63" s="72" t="str">
        <f t="shared" si="33"/>
        <v/>
      </c>
      <c r="BO63" s="72" t="str">
        <f t="shared" si="34"/>
        <v/>
      </c>
      <c r="BP63" s="39"/>
      <c r="BQ63" s="72" t="str">
        <f t="shared" si="51"/>
        <v/>
      </c>
      <c r="BR63" s="72" t="str">
        <f t="shared" si="35"/>
        <v/>
      </c>
    </row>
    <row r="64" spans="3:70" x14ac:dyDescent="0.15">
      <c r="C64" s="9" t="s">
        <v>513</v>
      </c>
      <c r="F64" s="90">
        <v>7.0000000000000007E-2</v>
      </c>
      <c r="G64" s="81" t="s">
        <v>132</v>
      </c>
      <c r="I64" s="322">
        <f t="shared" si="36"/>
        <v>2079</v>
      </c>
      <c r="J64" s="71"/>
      <c r="K64" s="71">
        <f t="shared" si="37"/>
        <v>50</v>
      </c>
      <c r="L64" s="71"/>
      <c r="M64" s="7">
        <f t="shared" si="38"/>
        <v>0.22810707978975397</v>
      </c>
      <c r="N64" s="71"/>
      <c r="O64" s="10" t="str">
        <f t="shared" si="52"/>
        <v/>
      </c>
      <c r="P64" s="29" t="str">
        <f t="shared" si="39"/>
        <v/>
      </c>
      <c r="Q64" s="71"/>
      <c r="R64" s="10" t="str">
        <f t="shared" si="53"/>
        <v/>
      </c>
      <c r="S64" s="71"/>
      <c r="T64" s="10" t="str">
        <f t="shared" si="18"/>
        <v/>
      </c>
      <c r="U64" s="71"/>
      <c r="V64" s="10" t="str">
        <f t="shared" si="40"/>
        <v/>
      </c>
      <c r="W64" s="10" t="str">
        <f t="shared" si="54"/>
        <v/>
      </c>
      <c r="X64" s="71"/>
      <c r="Y64" s="10" t="str">
        <f t="shared" si="41"/>
        <v/>
      </c>
      <c r="Z64" s="10" t="str">
        <f t="shared" si="55"/>
        <v/>
      </c>
      <c r="AA64" s="71"/>
      <c r="AB64" s="10" t="str">
        <f t="shared" si="4"/>
        <v/>
      </c>
      <c r="AC64" s="10" t="str">
        <f t="shared" si="56"/>
        <v/>
      </c>
      <c r="AD64" s="71"/>
      <c r="AE64" s="10" t="str">
        <f t="shared" si="42"/>
        <v/>
      </c>
      <c r="AF64" s="10" t="str">
        <f t="shared" si="57"/>
        <v/>
      </c>
      <c r="AG64" s="71"/>
      <c r="AH64" s="10" t="str">
        <f t="shared" si="43"/>
        <v/>
      </c>
      <c r="AI64" s="10" t="str">
        <f t="shared" si="58"/>
        <v/>
      </c>
      <c r="AJ64" s="71"/>
      <c r="AK64" s="10" t="str">
        <f t="shared" si="44"/>
        <v/>
      </c>
      <c r="AL64" s="10" t="str">
        <f t="shared" si="59"/>
        <v/>
      </c>
      <c r="AM64" s="71"/>
      <c r="AN64" s="10" t="str">
        <f t="shared" si="45"/>
        <v/>
      </c>
      <c r="AO64" s="10" t="str">
        <f t="shared" si="60"/>
        <v/>
      </c>
      <c r="AP64" s="71"/>
      <c r="AQ64" s="10" t="str">
        <f t="shared" si="46"/>
        <v/>
      </c>
      <c r="AR64" s="10" t="str">
        <f t="shared" si="26"/>
        <v/>
      </c>
      <c r="AS64" s="71"/>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U64" s="71"/>
      <c r="AV64" s="10" t="str">
        <f t="shared" si="47"/>
        <v/>
      </c>
      <c r="AW64" s="10" t="str">
        <f t="shared" si="27"/>
        <v/>
      </c>
      <c r="AX64" s="71"/>
      <c r="AY64" s="7" t="str">
        <f>IF(ISERROR(IF($K64&lt;=$F$15,VLOOKUP($I64,'表4）CO2価格'!$A$7:$E$67,VLOOKUP($F$48,'表4）CO2価格'!$H$10:$I$12,2,0),0)*$F$8/1000,"")),0,IF($K64&lt;=$F$15,VLOOKUP($I64,'表4）CO2価格'!$A$7:$E$67,VLOOKUP($F$48,'表4）CO2価格'!$H$10:$I$12,2,0),0)*$F$8/1000,""))</f>
        <v/>
      </c>
      <c r="AZ64" s="71"/>
      <c r="BA64" s="11" t="str">
        <f t="shared" si="48"/>
        <v/>
      </c>
      <c r="BB64" s="10" t="str">
        <f t="shared" si="28"/>
        <v/>
      </c>
      <c r="BC64" s="71"/>
      <c r="BD64" s="10" t="str">
        <f t="shared" si="49"/>
        <v/>
      </c>
      <c r="BE64" s="10" t="str">
        <f t="shared" si="29"/>
        <v/>
      </c>
      <c r="BF64" s="71"/>
      <c r="BG64" s="11" t="str">
        <f t="shared" si="50"/>
        <v/>
      </c>
      <c r="BH64" s="10" t="str">
        <f t="shared" si="30"/>
        <v/>
      </c>
      <c r="BJ64" s="7" t="str">
        <f t="shared" si="31"/>
        <v/>
      </c>
      <c r="BK64" s="158" t="str">
        <f t="shared" si="32"/>
        <v/>
      </c>
      <c r="BL64" s="158" t="str">
        <f t="shared" si="14"/>
        <v/>
      </c>
      <c r="BM64" s="10"/>
      <c r="BN64" s="10" t="str">
        <f t="shared" si="33"/>
        <v/>
      </c>
      <c r="BO64" s="10" t="str">
        <f t="shared" si="34"/>
        <v/>
      </c>
      <c r="BQ64" s="10" t="str">
        <f t="shared" si="51"/>
        <v/>
      </c>
      <c r="BR64" s="10" t="str">
        <f t="shared" si="35"/>
        <v/>
      </c>
    </row>
    <row r="65" spans="2:70" x14ac:dyDescent="0.15">
      <c r="I65" s="38">
        <f t="shared" si="36"/>
        <v>2080</v>
      </c>
      <c r="J65" s="39"/>
      <c r="K65" s="39">
        <f t="shared" si="37"/>
        <v>51</v>
      </c>
      <c r="L65" s="39"/>
      <c r="M65" s="40">
        <f t="shared" si="38"/>
        <v>0.22146318426189707</v>
      </c>
      <c r="N65" s="39"/>
      <c r="O65" s="72" t="str">
        <f t="shared" si="52"/>
        <v/>
      </c>
      <c r="P65" s="41" t="str">
        <f t="shared" si="39"/>
        <v/>
      </c>
      <c r="Q65" s="39"/>
      <c r="R65" s="72" t="str">
        <f t="shared" si="53"/>
        <v/>
      </c>
      <c r="S65" s="39"/>
      <c r="T65" s="72" t="str">
        <f t="shared" si="18"/>
        <v/>
      </c>
      <c r="U65" s="39"/>
      <c r="V65" s="72" t="str">
        <f t="shared" si="40"/>
        <v/>
      </c>
      <c r="W65" s="72" t="str">
        <f t="shared" si="54"/>
        <v/>
      </c>
      <c r="X65" s="39"/>
      <c r="Y65" s="72" t="str">
        <f t="shared" si="41"/>
        <v/>
      </c>
      <c r="Z65" s="72" t="str">
        <f t="shared" si="55"/>
        <v/>
      </c>
      <c r="AA65" s="39"/>
      <c r="AB65" s="72" t="str">
        <f t="shared" si="4"/>
        <v/>
      </c>
      <c r="AC65" s="72" t="str">
        <f t="shared" si="56"/>
        <v/>
      </c>
      <c r="AD65" s="39"/>
      <c r="AE65" s="72" t="str">
        <f t="shared" si="42"/>
        <v/>
      </c>
      <c r="AF65" s="72" t="str">
        <f t="shared" si="57"/>
        <v/>
      </c>
      <c r="AG65" s="39"/>
      <c r="AH65" s="72" t="str">
        <f t="shared" si="43"/>
        <v/>
      </c>
      <c r="AI65" s="72" t="str">
        <f t="shared" si="58"/>
        <v/>
      </c>
      <c r="AJ65" s="39"/>
      <c r="AK65" s="72" t="str">
        <f t="shared" si="44"/>
        <v/>
      </c>
      <c r="AL65" s="72" t="str">
        <f t="shared" si="59"/>
        <v/>
      </c>
      <c r="AM65" s="39"/>
      <c r="AN65" s="72" t="str">
        <f t="shared" si="45"/>
        <v/>
      </c>
      <c r="AO65" s="72" t="str">
        <f t="shared" si="60"/>
        <v/>
      </c>
      <c r="AP65" s="39"/>
      <c r="AQ65" s="72" t="str">
        <f t="shared" si="46"/>
        <v/>
      </c>
      <c r="AR65" s="72" t="str">
        <f t="shared" si="26"/>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47"/>
        <v/>
      </c>
      <c r="AW65" s="72" t="str">
        <f t="shared" si="27"/>
        <v/>
      </c>
      <c r="AX65" s="39"/>
      <c r="AY65" s="40" t="str">
        <f>IF(ISERROR(IF($K65&lt;=$F$15,VLOOKUP($I65,'表4）CO2価格'!$A$7:$E$67,VLOOKUP($F$48,'表4）CO2価格'!$H$10:$I$12,2,0),0)*$F$8/1000,"")),0,IF($K65&lt;=$F$15,VLOOKUP($I65,'表4）CO2価格'!$A$7:$E$67,VLOOKUP($F$48,'表4）CO2価格'!$H$10:$I$12,2,0),0)*$F$8/1000,""))</f>
        <v/>
      </c>
      <c r="AZ65" s="39"/>
      <c r="BA65" s="42" t="str">
        <f t="shared" si="48"/>
        <v/>
      </c>
      <c r="BB65" s="72" t="str">
        <f t="shared" si="28"/>
        <v/>
      </c>
      <c r="BC65" s="39"/>
      <c r="BD65" s="72" t="str">
        <f t="shared" si="49"/>
        <v/>
      </c>
      <c r="BE65" s="72" t="str">
        <f t="shared" si="29"/>
        <v/>
      </c>
      <c r="BF65" s="39"/>
      <c r="BG65" s="42" t="str">
        <f t="shared" si="50"/>
        <v/>
      </c>
      <c r="BH65" s="72" t="str">
        <f t="shared" si="30"/>
        <v/>
      </c>
      <c r="BI65" s="39"/>
      <c r="BJ65" s="40" t="str">
        <f t="shared" si="31"/>
        <v/>
      </c>
      <c r="BK65" s="157" t="str">
        <f t="shared" si="32"/>
        <v/>
      </c>
      <c r="BL65" s="157" t="str">
        <f t="shared" si="14"/>
        <v/>
      </c>
      <c r="BM65" s="72"/>
      <c r="BN65" s="72" t="str">
        <f t="shared" si="33"/>
        <v/>
      </c>
      <c r="BO65" s="72" t="str">
        <f t="shared" si="34"/>
        <v/>
      </c>
      <c r="BP65" s="39"/>
      <c r="BQ65" s="72" t="str">
        <f t="shared" si="51"/>
        <v/>
      </c>
      <c r="BR65" s="72" t="str">
        <f t="shared" si="35"/>
        <v/>
      </c>
    </row>
    <row r="66" spans="2:70" x14ac:dyDescent="0.15">
      <c r="I66" s="322">
        <f t="shared" si="36"/>
        <v>2081</v>
      </c>
      <c r="J66" s="71"/>
      <c r="K66" s="71">
        <f t="shared" si="37"/>
        <v>52</v>
      </c>
      <c r="L66" s="71"/>
      <c r="M66" s="7">
        <f t="shared" si="38"/>
        <v>0.215012800254269</v>
      </c>
      <c r="N66" s="71"/>
      <c r="O66" s="10" t="str">
        <f t="shared" si="52"/>
        <v/>
      </c>
      <c r="P66" s="29" t="str">
        <f t="shared" si="39"/>
        <v/>
      </c>
      <c r="Q66" s="71"/>
      <c r="R66" s="10" t="str">
        <f t="shared" si="53"/>
        <v/>
      </c>
      <c r="S66" s="71"/>
      <c r="T66" s="10" t="str">
        <f t="shared" si="18"/>
        <v/>
      </c>
      <c r="U66" s="71"/>
      <c r="V66" s="10" t="str">
        <f t="shared" si="40"/>
        <v/>
      </c>
      <c r="W66" s="10" t="str">
        <f t="shared" si="54"/>
        <v/>
      </c>
      <c r="X66" s="71"/>
      <c r="Y66" s="10" t="str">
        <f t="shared" si="41"/>
        <v/>
      </c>
      <c r="Z66" s="10" t="str">
        <f t="shared" si="55"/>
        <v/>
      </c>
      <c r="AA66" s="71"/>
      <c r="AB66" s="10" t="str">
        <f t="shared" si="4"/>
        <v/>
      </c>
      <c r="AC66" s="10" t="str">
        <f t="shared" si="56"/>
        <v/>
      </c>
      <c r="AD66" s="71"/>
      <c r="AE66" s="10" t="str">
        <f t="shared" si="42"/>
        <v/>
      </c>
      <c r="AF66" s="10" t="str">
        <f t="shared" si="57"/>
        <v/>
      </c>
      <c r="AG66" s="71"/>
      <c r="AH66" s="10" t="str">
        <f t="shared" si="43"/>
        <v/>
      </c>
      <c r="AI66" s="10" t="str">
        <f t="shared" si="58"/>
        <v/>
      </c>
      <c r="AJ66" s="71"/>
      <c r="AK66" s="10" t="str">
        <f t="shared" si="44"/>
        <v/>
      </c>
      <c r="AL66" s="10" t="str">
        <f t="shared" si="59"/>
        <v/>
      </c>
      <c r="AM66" s="71"/>
      <c r="AN66" s="10" t="str">
        <f t="shared" si="45"/>
        <v/>
      </c>
      <c r="AO66" s="10" t="str">
        <f t="shared" si="60"/>
        <v/>
      </c>
      <c r="AP66" s="71"/>
      <c r="AQ66" s="10" t="str">
        <f t="shared" si="46"/>
        <v/>
      </c>
      <c r="AR66" s="10" t="str">
        <f t="shared" si="26"/>
        <v/>
      </c>
      <c r="AS66" s="71"/>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U66" s="71"/>
      <c r="AV66" s="10" t="str">
        <f t="shared" si="47"/>
        <v/>
      </c>
      <c r="AW66" s="10" t="str">
        <f t="shared" si="27"/>
        <v/>
      </c>
      <c r="AX66" s="71"/>
      <c r="AY66" s="7" t="str">
        <f>IF(ISERROR(IF($K66&lt;=$F$15,VLOOKUP($I66,'表4）CO2価格'!$A$7:$E$67,VLOOKUP($F$48,'表4）CO2価格'!$H$10:$I$12,2,0),0)*$F$8/1000,"")),0,IF($K66&lt;=$F$15,VLOOKUP($I66,'表4）CO2価格'!$A$7:$E$67,VLOOKUP($F$48,'表4）CO2価格'!$H$10:$I$12,2,0),0)*$F$8/1000,""))</f>
        <v/>
      </c>
      <c r="AZ66" s="71"/>
      <c r="BA66" s="11" t="str">
        <f t="shared" si="48"/>
        <v/>
      </c>
      <c r="BB66" s="10" t="str">
        <f t="shared" si="28"/>
        <v/>
      </c>
      <c r="BC66" s="71"/>
      <c r="BD66" s="10" t="str">
        <f t="shared" si="49"/>
        <v/>
      </c>
      <c r="BE66" s="10" t="str">
        <f t="shared" si="29"/>
        <v/>
      </c>
      <c r="BF66" s="71"/>
      <c r="BG66" s="11" t="str">
        <f t="shared" si="50"/>
        <v/>
      </c>
      <c r="BH66" s="10" t="str">
        <f t="shared" si="30"/>
        <v/>
      </c>
      <c r="BJ66" s="7" t="str">
        <f t="shared" si="31"/>
        <v/>
      </c>
      <c r="BK66" s="158" t="str">
        <f t="shared" si="32"/>
        <v/>
      </c>
      <c r="BL66" s="158" t="str">
        <f t="shared" si="14"/>
        <v/>
      </c>
      <c r="BM66" s="10"/>
      <c r="BN66" s="10" t="str">
        <f t="shared" si="33"/>
        <v/>
      </c>
      <c r="BO66" s="10" t="str">
        <f t="shared" si="34"/>
        <v/>
      </c>
      <c r="BQ66" s="10" t="str">
        <f t="shared" si="51"/>
        <v/>
      </c>
      <c r="BR66" s="10" t="str">
        <f t="shared" si="35"/>
        <v/>
      </c>
    </row>
    <row r="67" spans="2:70" ht="15.75" thickBot="1" x14ac:dyDescent="0.2">
      <c r="B67" s="460" t="s">
        <v>133</v>
      </c>
      <c r="C67" s="86"/>
      <c r="D67" s="104"/>
      <c r="E67" s="104"/>
      <c r="F67" s="86"/>
      <c r="G67" s="104"/>
      <c r="I67" s="38">
        <f t="shared" si="36"/>
        <v>2082</v>
      </c>
      <c r="J67" s="39"/>
      <c r="K67" s="39">
        <f t="shared" si="37"/>
        <v>53</v>
      </c>
      <c r="L67" s="39"/>
      <c r="M67" s="40">
        <f t="shared" si="38"/>
        <v>0.20875029150899907</v>
      </c>
      <c r="N67" s="39"/>
      <c r="O67" s="72" t="str">
        <f t="shared" si="52"/>
        <v/>
      </c>
      <c r="P67" s="41" t="str">
        <f t="shared" si="39"/>
        <v/>
      </c>
      <c r="Q67" s="39"/>
      <c r="R67" s="72" t="str">
        <f t="shared" si="53"/>
        <v/>
      </c>
      <c r="S67" s="39"/>
      <c r="T67" s="72" t="str">
        <f t="shared" si="18"/>
        <v/>
      </c>
      <c r="U67" s="39"/>
      <c r="V67" s="72" t="str">
        <f t="shared" si="40"/>
        <v/>
      </c>
      <c r="W67" s="72" t="str">
        <f t="shared" si="54"/>
        <v/>
      </c>
      <c r="X67" s="39"/>
      <c r="Y67" s="72" t="str">
        <f t="shared" si="41"/>
        <v/>
      </c>
      <c r="Z67" s="72" t="str">
        <f t="shared" si="55"/>
        <v/>
      </c>
      <c r="AA67" s="39"/>
      <c r="AB67" s="72" t="str">
        <f t="shared" si="4"/>
        <v/>
      </c>
      <c r="AC67" s="72" t="str">
        <f t="shared" si="56"/>
        <v/>
      </c>
      <c r="AD67" s="39"/>
      <c r="AE67" s="72" t="str">
        <f t="shared" si="42"/>
        <v/>
      </c>
      <c r="AF67" s="72" t="str">
        <f t="shared" si="57"/>
        <v/>
      </c>
      <c r="AG67" s="39"/>
      <c r="AH67" s="72" t="str">
        <f t="shared" si="43"/>
        <v/>
      </c>
      <c r="AI67" s="72" t="str">
        <f t="shared" si="58"/>
        <v/>
      </c>
      <c r="AJ67" s="39"/>
      <c r="AK67" s="72" t="str">
        <f t="shared" si="44"/>
        <v/>
      </c>
      <c r="AL67" s="72" t="str">
        <f t="shared" si="59"/>
        <v/>
      </c>
      <c r="AM67" s="39"/>
      <c r="AN67" s="72" t="str">
        <f t="shared" si="45"/>
        <v/>
      </c>
      <c r="AO67" s="72" t="str">
        <f t="shared" si="60"/>
        <v/>
      </c>
      <c r="AP67" s="39"/>
      <c r="AQ67" s="72" t="str">
        <f t="shared" si="46"/>
        <v/>
      </c>
      <c r="AR67" s="72" t="str">
        <f t="shared" si="26"/>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47"/>
        <v/>
      </c>
      <c r="AW67" s="72" t="str">
        <f t="shared" si="27"/>
        <v/>
      </c>
      <c r="AX67" s="39"/>
      <c r="AY67" s="40" t="str">
        <f>IF(ISERROR(IF($K67&lt;=$F$15,VLOOKUP($I67,'表4）CO2価格'!$A$7:$E$67,VLOOKUP($F$48,'表4）CO2価格'!$H$10:$I$12,2,0),0)*$F$8/1000,"")),0,IF($K67&lt;=$F$15,VLOOKUP($I67,'表4）CO2価格'!$A$7:$E$67,VLOOKUP($F$48,'表4）CO2価格'!$H$10:$I$12,2,0),0)*$F$8/1000,""))</f>
        <v/>
      </c>
      <c r="AZ67" s="39"/>
      <c r="BA67" s="42" t="str">
        <f t="shared" si="48"/>
        <v/>
      </c>
      <c r="BB67" s="72" t="str">
        <f t="shared" si="28"/>
        <v/>
      </c>
      <c r="BC67" s="39"/>
      <c r="BD67" s="72" t="str">
        <f t="shared" si="49"/>
        <v/>
      </c>
      <c r="BE67" s="72" t="str">
        <f t="shared" si="29"/>
        <v/>
      </c>
      <c r="BF67" s="39"/>
      <c r="BG67" s="42" t="str">
        <f t="shared" si="50"/>
        <v/>
      </c>
      <c r="BH67" s="72" t="str">
        <f t="shared" si="30"/>
        <v/>
      </c>
      <c r="BI67" s="39"/>
      <c r="BJ67" s="40" t="str">
        <f t="shared" si="31"/>
        <v/>
      </c>
      <c r="BK67" s="157" t="str">
        <f t="shared" si="32"/>
        <v/>
      </c>
      <c r="BL67" s="157" t="str">
        <f t="shared" si="14"/>
        <v/>
      </c>
      <c r="BM67" s="72"/>
      <c r="BN67" s="72" t="str">
        <f t="shared" si="33"/>
        <v/>
      </c>
      <c r="BO67" s="72" t="str">
        <f t="shared" si="34"/>
        <v/>
      </c>
      <c r="BP67" s="39"/>
      <c r="BQ67" s="72" t="str">
        <f t="shared" si="51"/>
        <v/>
      </c>
      <c r="BR67" s="72" t="str">
        <f t="shared" si="35"/>
        <v/>
      </c>
    </row>
    <row r="68" spans="2:70" x14ac:dyDescent="0.15">
      <c r="I68" s="322">
        <f t="shared" si="36"/>
        <v>2083</v>
      </c>
      <c r="J68" s="71"/>
      <c r="K68" s="71">
        <f t="shared" si="37"/>
        <v>54</v>
      </c>
      <c r="L68" s="71"/>
      <c r="M68" s="7">
        <f t="shared" si="38"/>
        <v>0.20267018593106703</v>
      </c>
      <c r="N68" s="71"/>
      <c r="O68" s="10" t="str">
        <f t="shared" si="52"/>
        <v/>
      </c>
      <c r="P68" s="29" t="str">
        <f t="shared" si="39"/>
        <v/>
      </c>
      <c r="Q68" s="71"/>
      <c r="R68" s="10" t="str">
        <f t="shared" si="53"/>
        <v/>
      </c>
      <c r="S68" s="71"/>
      <c r="T68" s="10" t="str">
        <f t="shared" si="18"/>
        <v/>
      </c>
      <c r="U68" s="71"/>
      <c r="V68" s="10" t="str">
        <f t="shared" si="40"/>
        <v/>
      </c>
      <c r="W68" s="10" t="str">
        <f t="shared" si="54"/>
        <v/>
      </c>
      <c r="X68" s="71"/>
      <c r="Y68" s="10" t="str">
        <f t="shared" si="41"/>
        <v/>
      </c>
      <c r="Z68" s="10" t="str">
        <f t="shared" si="55"/>
        <v/>
      </c>
      <c r="AA68" s="71"/>
      <c r="AB68" s="10" t="str">
        <f t="shared" si="4"/>
        <v/>
      </c>
      <c r="AC68" s="10" t="str">
        <f t="shared" si="56"/>
        <v/>
      </c>
      <c r="AD68" s="71"/>
      <c r="AE68" s="10" t="str">
        <f t="shared" si="42"/>
        <v/>
      </c>
      <c r="AF68" s="10" t="str">
        <f t="shared" si="57"/>
        <v/>
      </c>
      <c r="AG68" s="71"/>
      <c r="AH68" s="10" t="str">
        <f t="shared" si="43"/>
        <v/>
      </c>
      <c r="AI68" s="10" t="str">
        <f t="shared" si="58"/>
        <v/>
      </c>
      <c r="AJ68" s="71"/>
      <c r="AK68" s="10" t="str">
        <f t="shared" si="44"/>
        <v/>
      </c>
      <c r="AL68" s="10" t="str">
        <f t="shared" si="59"/>
        <v/>
      </c>
      <c r="AM68" s="71"/>
      <c r="AN68" s="10" t="str">
        <f t="shared" si="45"/>
        <v/>
      </c>
      <c r="AO68" s="10" t="str">
        <f t="shared" si="60"/>
        <v/>
      </c>
      <c r="AP68" s="71"/>
      <c r="AQ68" s="10" t="str">
        <f t="shared" si="46"/>
        <v/>
      </c>
      <c r="AR68" s="10" t="str">
        <f t="shared" si="26"/>
        <v/>
      </c>
      <c r="AS68" s="71"/>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U68" s="71"/>
      <c r="AV68" s="10" t="str">
        <f t="shared" si="47"/>
        <v/>
      </c>
      <c r="AW68" s="10" t="str">
        <f t="shared" si="27"/>
        <v/>
      </c>
      <c r="AX68" s="71"/>
      <c r="AY68" s="7" t="str">
        <f>IF(ISERROR(IF($K68&lt;=$F$15,VLOOKUP($I68,'表4）CO2価格'!$A$7:$E$67,VLOOKUP($F$48,'表4）CO2価格'!$H$10:$I$12,2,0),0)*$F$8/1000,"")),0,IF($K68&lt;=$F$15,VLOOKUP($I68,'表4）CO2価格'!$A$7:$E$67,VLOOKUP($F$48,'表4）CO2価格'!$H$10:$I$12,2,0),0)*$F$8/1000,""))</f>
        <v/>
      </c>
      <c r="AZ68" s="71"/>
      <c r="BA68" s="11" t="str">
        <f t="shared" si="48"/>
        <v/>
      </c>
      <c r="BB68" s="10" t="str">
        <f t="shared" si="28"/>
        <v/>
      </c>
      <c r="BC68" s="71"/>
      <c r="BD68" s="10" t="str">
        <f t="shared" si="49"/>
        <v/>
      </c>
      <c r="BE68" s="10" t="str">
        <f t="shared" si="29"/>
        <v/>
      </c>
      <c r="BF68" s="71"/>
      <c r="BG68" s="11" t="str">
        <f t="shared" si="50"/>
        <v/>
      </c>
      <c r="BH68" s="10" t="str">
        <f t="shared" si="30"/>
        <v/>
      </c>
      <c r="BJ68" s="7" t="str">
        <f t="shared" si="31"/>
        <v/>
      </c>
      <c r="BK68" s="158" t="str">
        <f t="shared" si="32"/>
        <v/>
      </c>
      <c r="BL68" s="158" t="str">
        <f t="shared" si="14"/>
        <v/>
      </c>
      <c r="BM68" s="10"/>
      <c r="BN68" s="10" t="str">
        <f t="shared" si="33"/>
        <v/>
      </c>
      <c r="BO68" s="10" t="str">
        <f t="shared" si="34"/>
        <v/>
      </c>
      <c r="BQ68" s="10" t="str">
        <f t="shared" si="51"/>
        <v/>
      </c>
      <c r="BR68" s="10" t="str">
        <f t="shared" si="35"/>
        <v/>
      </c>
    </row>
    <row r="69" spans="2:70" x14ac:dyDescent="0.15">
      <c r="C69" s="461" t="s">
        <v>134</v>
      </c>
      <c r="D69" s="9"/>
      <c r="E69" s="9"/>
      <c r="F69" s="94">
        <f>SUBTOTAL(9,F74:F112)-F105</f>
        <v>13.507786289111273</v>
      </c>
      <c r="G69" s="9" t="s">
        <v>132</v>
      </c>
      <c r="I69" s="38">
        <f t="shared" si="36"/>
        <v>2084</v>
      </c>
      <c r="J69" s="39"/>
      <c r="K69" s="39">
        <f t="shared" si="37"/>
        <v>55</v>
      </c>
      <c r="L69" s="39"/>
      <c r="M69" s="40">
        <f t="shared" si="38"/>
        <v>0.19676717080686118</v>
      </c>
      <c r="N69" s="39"/>
      <c r="O69" s="72" t="str">
        <f t="shared" si="52"/>
        <v/>
      </c>
      <c r="P69" s="41" t="str">
        <f t="shared" si="39"/>
        <v/>
      </c>
      <c r="Q69" s="39"/>
      <c r="R69" s="72" t="str">
        <f t="shared" si="53"/>
        <v/>
      </c>
      <c r="S69" s="39"/>
      <c r="T69" s="72" t="str">
        <f t="shared" si="18"/>
        <v/>
      </c>
      <c r="U69" s="39"/>
      <c r="V69" s="72" t="str">
        <f t="shared" si="40"/>
        <v/>
      </c>
      <c r="W69" s="72" t="str">
        <f t="shared" si="54"/>
        <v/>
      </c>
      <c r="X69" s="39"/>
      <c r="Y69" s="72" t="str">
        <f t="shared" si="41"/>
        <v/>
      </c>
      <c r="Z69" s="72" t="str">
        <f t="shared" si="55"/>
        <v/>
      </c>
      <c r="AA69" s="39"/>
      <c r="AB69" s="72" t="str">
        <f t="shared" si="4"/>
        <v/>
      </c>
      <c r="AC69" s="72" t="str">
        <f t="shared" si="56"/>
        <v/>
      </c>
      <c r="AD69" s="39"/>
      <c r="AE69" s="72" t="str">
        <f t="shared" si="42"/>
        <v/>
      </c>
      <c r="AF69" s="72" t="str">
        <f t="shared" si="57"/>
        <v/>
      </c>
      <c r="AG69" s="39"/>
      <c r="AH69" s="72" t="str">
        <f t="shared" si="43"/>
        <v/>
      </c>
      <c r="AI69" s="72" t="str">
        <f t="shared" si="58"/>
        <v/>
      </c>
      <c r="AJ69" s="39"/>
      <c r="AK69" s="72" t="str">
        <f t="shared" si="44"/>
        <v/>
      </c>
      <c r="AL69" s="72" t="str">
        <f t="shared" si="59"/>
        <v/>
      </c>
      <c r="AM69" s="39"/>
      <c r="AN69" s="72" t="str">
        <f t="shared" si="45"/>
        <v/>
      </c>
      <c r="AO69" s="72" t="str">
        <f t="shared" si="60"/>
        <v/>
      </c>
      <c r="AP69" s="39"/>
      <c r="AQ69" s="72" t="str">
        <f t="shared" si="46"/>
        <v/>
      </c>
      <c r="AR69" s="72" t="str">
        <f t="shared" si="26"/>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47"/>
        <v/>
      </c>
      <c r="AW69" s="72" t="str">
        <f t="shared" si="27"/>
        <v/>
      </c>
      <c r="AX69" s="39"/>
      <c r="AY69" s="40" t="str">
        <f>IF(ISERROR(IF($K69&lt;=$F$15,VLOOKUP($I69,'表4）CO2価格'!$A$7:$E$67,VLOOKUP($F$48,'表4）CO2価格'!$H$10:$I$12,2,0),0)*$F$8/1000,"")),0,IF($K69&lt;=$F$15,VLOOKUP($I69,'表4）CO2価格'!$A$7:$E$67,VLOOKUP($F$48,'表4）CO2価格'!$H$10:$I$12,2,0),0)*$F$8/1000,""))</f>
        <v/>
      </c>
      <c r="AZ69" s="39"/>
      <c r="BA69" s="42" t="str">
        <f t="shared" si="48"/>
        <v/>
      </c>
      <c r="BB69" s="72" t="str">
        <f t="shared" si="28"/>
        <v/>
      </c>
      <c r="BC69" s="39"/>
      <c r="BD69" s="72" t="str">
        <f t="shared" si="49"/>
        <v/>
      </c>
      <c r="BE69" s="72" t="str">
        <f t="shared" si="29"/>
        <v/>
      </c>
      <c r="BF69" s="39"/>
      <c r="BG69" s="42" t="str">
        <f t="shared" si="50"/>
        <v/>
      </c>
      <c r="BH69" s="72" t="str">
        <f t="shared" si="30"/>
        <v/>
      </c>
      <c r="BI69" s="39"/>
      <c r="BJ69" s="40" t="str">
        <f t="shared" si="31"/>
        <v/>
      </c>
      <c r="BK69" s="157" t="str">
        <f t="shared" si="32"/>
        <v/>
      </c>
      <c r="BL69" s="157" t="str">
        <f t="shared" si="14"/>
        <v/>
      </c>
      <c r="BM69" s="72"/>
      <c r="BN69" s="72" t="str">
        <f t="shared" si="33"/>
        <v/>
      </c>
      <c r="BO69" s="72" t="str">
        <f t="shared" si="34"/>
        <v/>
      </c>
      <c r="BP69" s="39"/>
      <c r="BQ69" s="72" t="str">
        <f t="shared" si="51"/>
        <v/>
      </c>
      <c r="BR69" s="72" t="str">
        <f t="shared" si="35"/>
        <v/>
      </c>
    </row>
    <row r="70" spans="2:70" x14ac:dyDescent="0.15">
      <c r="C70" s="461" t="s">
        <v>135</v>
      </c>
      <c r="D70" s="9"/>
      <c r="E70" s="9"/>
      <c r="F70" s="94">
        <f>SUBTOTAL(9,F74:F112)</f>
        <v>13.577786289111273</v>
      </c>
      <c r="G70" s="9" t="s">
        <v>132</v>
      </c>
      <c r="I70" s="322">
        <f t="shared" si="36"/>
        <v>2085</v>
      </c>
      <c r="J70" s="71"/>
      <c r="K70" s="71">
        <f t="shared" si="37"/>
        <v>56</v>
      </c>
      <c r="L70" s="71"/>
      <c r="M70" s="7">
        <f t="shared" si="38"/>
        <v>0.19103608816200118</v>
      </c>
      <c r="N70" s="71"/>
      <c r="O70" s="10" t="str">
        <f t="shared" si="52"/>
        <v/>
      </c>
      <c r="P70" s="29" t="str">
        <f t="shared" si="39"/>
        <v/>
      </c>
      <c r="Q70" s="71"/>
      <c r="R70" s="10" t="str">
        <f t="shared" si="53"/>
        <v/>
      </c>
      <c r="S70" s="71"/>
      <c r="T70" s="10" t="str">
        <f t="shared" si="18"/>
        <v/>
      </c>
      <c r="U70" s="71"/>
      <c r="V70" s="10" t="str">
        <f t="shared" si="40"/>
        <v/>
      </c>
      <c r="W70" s="10" t="str">
        <f t="shared" si="54"/>
        <v/>
      </c>
      <c r="X70" s="71"/>
      <c r="Y70" s="10" t="str">
        <f t="shared" si="41"/>
        <v/>
      </c>
      <c r="Z70" s="10" t="str">
        <f t="shared" si="55"/>
        <v/>
      </c>
      <c r="AA70" s="71"/>
      <c r="AB70" s="10" t="str">
        <f t="shared" si="4"/>
        <v/>
      </c>
      <c r="AC70" s="10" t="str">
        <f t="shared" si="56"/>
        <v/>
      </c>
      <c r="AD70" s="71"/>
      <c r="AE70" s="10" t="str">
        <f t="shared" si="42"/>
        <v/>
      </c>
      <c r="AF70" s="10" t="str">
        <f t="shared" si="57"/>
        <v/>
      </c>
      <c r="AG70" s="71"/>
      <c r="AH70" s="10" t="str">
        <f t="shared" si="43"/>
        <v/>
      </c>
      <c r="AI70" s="10" t="str">
        <f t="shared" si="58"/>
        <v/>
      </c>
      <c r="AJ70" s="71"/>
      <c r="AK70" s="10" t="str">
        <f t="shared" si="44"/>
        <v/>
      </c>
      <c r="AL70" s="10" t="str">
        <f t="shared" si="59"/>
        <v/>
      </c>
      <c r="AM70" s="71"/>
      <c r="AN70" s="10" t="str">
        <f t="shared" si="45"/>
        <v/>
      </c>
      <c r="AO70" s="10" t="str">
        <f t="shared" si="60"/>
        <v/>
      </c>
      <c r="AP70" s="71"/>
      <c r="AQ70" s="10" t="str">
        <f t="shared" si="46"/>
        <v/>
      </c>
      <c r="AR70" s="10" t="str">
        <f t="shared" si="26"/>
        <v/>
      </c>
      <c r="AS70" s="71"/>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U70" s="71"/>
      <c r="AV70" s="10" t="str">
        <f t="shared" si="47"/>
        <v/>
      </c>
      <c r="AW70" s="10" t="str">
        <f t="shared" si="27"/>
        <v/>
      </c>
      <c r="AX70" s="71"/>
      <c r="AY70" s="7" t="str">
        <f>IF(ISERROR(IF($K70&lt;=$F$15,VLOOKUP($I70,'表4）CO2価格'!$A$7:$E$67,VLOOKUP($F$48,'表4）CO2価格'!$H$10:$I$12,2,0),0)*$F$8/1000,"")),0,IF($K70&lt;=$F$15,VLOOKUP($I70,'表4）CO2価格'!$A$7:$E$67,VLOOKUP($F$48,'表4）CO2価格'!$H$10:$I$12,2,0),0)*$F$8/1000,""))</f>
        <v/>
      </c>
      <c r="AZ70" s="71"/>
      <c r="BA70" s="11" t="str">
        <f t="shared" si="48"/>
        <v/>
      </c>
      <c r="BB70" s="10" t="str">
        <f t="shared" si="28"/>
        <v/>
      </c>
      <c r="BC70" s="71"/>
      <c r="BD70" s="10" t="str">
        <f t="shared" si="49"/>
        <v/>
      </c>
      <c r="BE70" s="10" t="str">
        <f t="shared" si="29"/>
        <v/>
      </c>
      <c r="BF70" s="71"/>
      <c r="BG70" s="11" t="str">
        <f t="shared" si="50"/>
        <v/>
      </c>
      <c r="BH70" s="10" t="str">
        <f t="shared" si="30"/>
        <v/>
      </c>
      <c r="BJ70" s="7" t="str">
        <f t="shared" si="31"/>
        <v/>
      </c>
      <c r="BK70" s="158" t="str">
        <f t="shared" si="32"/>
        <v/>
      </c>
      <c r="BL70" s="158" t="str">
        <f t="shared" si="14"/>
        <v/>
      </c>
      <c r="BM70" s="10"/>
      <c r="BN70" s="10" t="str">
        <f t="shared" si="33"/>
        <v/>
      </c>
      <c r="BO70" s="10" t="str">
        <f t="shared" si="34"/>
        <v/>
      </c>
      <c r="BQ70" s="10" t="str">
        <f t="shared" si="51"/>
        <v/>
      </c>
      <c r="BR70" s="10" t="str">
        <f t="shared" si="35"/>
        <v/>
      </c>
    </row>
    <row r="71" spans="2:70" x14ac:dyDescent="0.15">
      <c r="F71" s="145"/>
      <c r="I71" s="38">
        <f t="shared" si="36"/>
        <v>2086</v>
      </c>
      <c r="J71" s="39"/>
      <c r="K71" s="39">
        <f t="shared" si="37"/>
        <v>57</v>
      </c>
      <c r="L71" s="39"/>
      <c r="M71" s="40">
        <f t="shared" si="38"/>
        <v>0.18547193025437006</v>
      </c>
      <c r="N71" s="39"/>
      <c r="O71" s="72" t="str">
        <f t="shared" si="52"/>
        <v/>
      </c>
      <c r="P71" s="41" t="str">
        <f t="shared" si="39"/>
        <v/>
      </c>
      <c r="Q71" s="39"/>
      <c r="R71" s="72" t="str">
        <f t="shared" si="53"/>
        <v/>
      </c>
      <c r="S71" s="39"/>
      <c r="T71" s="72" t="str">
        <f t="shared" si="18"/>
        <v/>
      </c>
      <c r="U71" s="39"/>
      <c r="V71" s="72" t="str">
        <f t="shared" si="40"/>
        <v/>
      </c>
      <c r="W71" s="72" t="str">
        <f t="shared" si="54"/>
        <v/>
      </c>
      <c r="X71" s="39"/>
      <c r="Y71" s="72" t="str">
        <f t="shared" si="41"/>
        <v/>
      </c>
      <c r="Z71" s="72" t="str">
        <f t="shared" si="55"/>
        <v/>
      </c>
      <c r="AA71" s="39"/>
      <c r="AB71" s="72" t="str">
        <f t="shared" si="4"/>
        <v/>
      </c>
      <c r="AC71" s="72" t="str">
        <f t="shared" si="56"/>
        <v/>
      </c>
      <c r="AD71" s="39"/>
      <c r="AE71" s="72" t="str">
        <f t="shared" si="42"/>
        <v/>
      </c>
      <c r="AF71" s="72" t="str">
        <f t="shared" si="57"/>
        <v/>
      </c>
      <c r="AG71" s="39"/>
      <c r="AH71" s="72" t="str">
        <f t="shared" si="43"/>
        <v/>
      </c>
      <c r="AI71" s="72" t="str">
        <f t="shared" si="58"/>
        <v/>
      </c>
      <c r="AJ71" s="39"/>
      <c r="AK71" s="72" t="str">
        <f t="shared" si="44"/>
        <v/>
      </c>
      <c r="AL71" s="72" t="str">
        <f t="shared" si="59"/>
        <v/>
      </c>
      <c r="AM71" s="39"/>
      <c r="AN71" s="72" t="str">
        <f t="shared" si="45"/>
        <v/>
      </c>
      <c r="AO71" s="72" t="str">
        <f t="shared" si="60"/>
        <v/>
      </c>
      <c r="AP71" s="39"/>
      <c r="AQ71" s="72" t="str">
        <f t="shared" si="46"/>
        <v/>
      </c>
      <c r="AR71" s="72" t="str">
        <f t="shared" si="26"/>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47"/>
        <v/>
      </c>
      <c r="AW71" s="72" t="str">
        <f t="shared" si="27"/>
        <v/>
      </c>
      <c r="AX71" s="39"/>
      <c r="AY71" s="40" t="str">
        <f>IF(ISERROR(IF($K71&lt;=$F$15,VLOOKUP($I71,'表4）CO2価格'!$A$7:$E$67,VLOOKUP($F$48,'表4）CO2価格'!$H$10:$I$12,2,0),0)*$F$8/1000,"")),0,IF($K71&lt;=$F$15,VLOOKUP($I71,'表4）CO2価格'!$A$7:$E$67,VLOOKUP($F$48,'表4）CO2価格'!$H$10:$I$12,2,0),0)*$F$8/1000,""))</f>
        <v/>
      </c>
      <c r="AZ71" s="39"/>
      <c r="BA71" s="42" t="str">
        <f t="shared" si="48"/>
        <v/>
      </c>
      <c r="BB71" s="72" t="str">
        <f t="shared" si="28"/>
        <v/>
      </c>
      <c r="BC71" s="39"/>
      <c r="BD71" s="72" t="str">
        <f t="shared" si="49"/>
        <v/>
      </c>
      <c r="BE71" s="72" t="str">
        <f t="shared" si="29"/>
        <v/>
      </c>
      <c r="BF71" s="39"/>
      <c r="BG71" s="42" t="str">
        <f t="shared" si="50"/>
        <v/>
      </c>
      <c r="BH71" s="72" t="str">
        <f t="shared" si="30"/>
        <v/>
      </c>
      <c r="BI71" s="39"/>
      <c r="BJ71" s="40" t="str">
        <f t="shared" si="31"/>
        <v/>
      </c>
      <c r="BK71" s="157" t="str">
        <f t="shared" si="32"/>
        <v/>
      </c>
      <c r="BL71" s="157" t="str">
        <f t="shared" si="14"/>
        <v/>
      </c>
      <c r="BM71" s="72"/>
      <c r="BN71" s="72" t="str">
        <f t="shared" si="33"/>
        <v/>
      </c>
      <c r="BO71" s="72" t="str">
        <f t="shared" si="34"/>
        <v/>
      </c>
      <c r="BP71" s="39"/>
      <c r="BQ71" s="72" t="str">
        <f t="shared" si="51"/>
        <v/>
      </c>
      <c r="BR71" s="72" t="str">
        <f t="shared" si="35"/>
        <v/>
      </c>
    </row>
    <row r="72" spans="2:70" x14ac:dyDescent="0.15">
      <c r="C72" s="89" t="s">
        <v>136</v>
      </c>
      <c r="D72" s="101"/>
      <c r="E72" s="101"/>
      <c r="F72" s="92"/>
      <c r="G72" s="101"/>
      <c r="I72" s="322">
        <f t="shared" si="36"/>
        <v>2087</v>
      </c>
      <c r="J72" s="71"/>
      <c r="K72" s="71">
        <f t="shared" si="37"/>
        <v>58</v>
      </c>
      <c r="L72" s="71"/>
      <c r="M72" s="7">
        <f t="shared" si="38"/>
        <v>0.18006983519841754</v>
      </c>
      <c r="N72" s="71"/>
      <c r="O72" s="10" t="str">
        <f t="shared" si="52"/>
        <v/>
      </c>
      <c r="P72" s="29" t="str">
        <f t="shared" si="39"/>
        <v/>
      </c>
      <c r="Q72" s="71"/>
      <c r="R72" s="10" t="str">
        <f t="shared" si="53"/>
        <v/>
      </c>
      <c r="S72" s="71"/>
      <c r="T72" s="10" t="str">
        <f t="shared" si="18"/>
        <v/>
      </c>
      <c r="U72" s="71"/>
      <c r="V72" s="10" t="str">
        <f t="shared" si="40"/>
        <v/>
      </c>
      <c r="W72" s="10" t="str">
        <f t="shared" si="54"/>
        <v/>
      </c>
      <c r="X72" s="71"/>
      <c r="Y72" s="10" t="str">
        <f t="shared" si="41"/>
        <v/>
      </c>
      <c r="Z72" s="10" t="str">
        <f t="shared" si="55"/>
        <v/>
      </c>
      <c r="AA72" s="71"/>
      <c r="AB72" s="10" t="str">
        <f t="shared" si="4"/>
        <v/>
      </c>
      <c r="AC72" s="10" t="str">
        <f t="shared" si="56"/>
        <v/>
      </c>
      <c r="AD72" s="71"/>
      <c r="AE72" s="10" t="str">
        <f t="shared" si="42"/>
        <v/>
      </c>
      <c r="AF72" s="10" t="str">
        <f t="shared" si="57"/>
        <v/>
      </c>
      <c r="AG72" s="71"/>
      <c r="AH72" s="10" t="str">
        <f t="shared" si="43"/>
        <v/>
      </c>
      <c r="AI72" s="10" t="str">
        <f t="shared" si="58"/>
        <v/>
      </c>
      <c r="AJ72" s="71"/>
      <c r="AK72" s="10" t="str">
        <f t="shared" si="44"/>
        <v/>
      </c>
      <c r="AL72" s="10" t="str">
        <f t="shared" si="59"/>
        <v/>
      </c>
      <c r="AM72" s="71"/>
      <c r="AN72" s="10" t="str">
        <f t="shared" si="45"/>
        <v/>
      </c>
      <c r="AO72" s="10" t="str">
        <f t="shared" si="60"/>
        <v/>
      </c>
      <c r="AP72" s="71"/>
      <c r="AQ72" s="10" t="str">
        <f t="shared" si="46"/>
        <v/>
      </c>
      <c r="AR72" s="10" t="str">
        <f t="shared" si="26"/>
        <v/>
      </c>
      <c r="AS72" s="71"/>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U72" s="71"/>
      <c r="AV72" s="10" t="str">
        <f t="shared" si="47"/>
        <v/>
      </c>
      <c r="AW72" s="10" t="str">
        <f t="shared" si="27"/>
        <v/>
      </c>
      <c r="AX72" s="71"/>
      <c r="AY72" s="7" t="str">
        <f>IF(ISERROR(IF($K72&lt;=$F$15,VLOOKUP($I72,'表4）CO2価格'!$A$7:$E$67,VLOOKUP($F$48,'表4）CO2価格'!$H$10:$I$12,2,0),0)*$F$8/1000,"")),0,IF($K72&lt;=$F$15,VLOOKUP($I72,'表4）CO2価格'!$A$7:$E$67,VLOOKUP($F$48,'表4）CO2価格'!$H$10:$I$12,2,0),0)*$F$8/1000,""))</f>
        <v/>
      </c>
      <c r="AZ72" s="71"/>
      <c r="BA72" s="11" t="str">
        <f t="shared" si="48"/>
        <v/>
      </c>
      <c r="BB72" s="10" t="str">
        <f t="shared" si="28"/>
        <v/>
      </c>
      <c r="BC72" s="71"/>
      <c r="BD72" s="10" t="str">
        <f t="shared" si="49"/>
        <v/>
      </c>
      <c r="BE72" s="10" t="str">
        <f t="shared" si="29"/>
        <v/>
      </c>
      <c r="BF72" s="71"/>
      <c r="BG72" s="11" t="str">
        <f t="shared" si="50"/>
        <v/>
      </c>
      <c r="BH72" s="10" t="str">
        <f t="shared" si="30"/>
        <v/>
      </c>
      <c r="BJ72" s="7" t="str">
        <f t="shared" si="31"/>
        <v/>
      </c>
      <c r="BK72" s="158" t="str">
        <f t="shared" si="32"/>
        <v/>
      </c>
      <c r="BL72" s="158" t="str">
        <f t="shared" si="14"/>
        <v/>
      </c>
      <c r="BM72" s="10"/>
      <c r="BN72" s="10" t="str">
        <f t="shared" si="33"/>
        <v/>
      </c>
      <c r="BO72" s="10" t="str">
        <f t="shared" si="34"/>
        <v/>
      </c>
      <c r="BQ72" s="10" t="str">
        <f t="shared" si="51"/>
        <v/>
      </c>
      <c r="BR72" s="10" t="str">
        <f t="shared" si="35"/>
        <v/>
      </c>
    </row>
    <row r="73" spans="2:70" x14ac:dyDescent="0.15">
      <c r="F73" s="93"/>
      <c r="I73" s="38">
        <f t="shared" si="36"/>
        <v>2088</v>
      </c>
      <c r="J73" s="39"/>
      <c r="K73" s="39">
        <f t="shared" si="37"/>
        <v>59</v>
      </c>
      <c r="L73" s="39"/>
      <c r="M73" s="40">
        <f t="shared" si="38"/>
        <v>0.17482508271691022</v>
      </c>
      <c r="N73" s="39"/>
      <c r="O73" s="72" t="str">
        <f t="shared" si="52"/>
        <v/>
      </c>
      <c r="P73" s="41" t="str">
        <f t="shared" si="39"/>
        <v/>
      </c>
      <c r="Q73" s="39"/>
      <c r="R73" s="72" t="str">
        <f t="shared" si="53"/>
        <v/>
      </c>
      <c r="S73" s="39"/>
      <c r="T73" s="72" t="str">
        <f t="shared" si="18"/>
        <v/>
      </c>
      <c r="U73" s="39"/>
      <c r="V73" s="72" t="str">
        <f t="shared" si="40"/>
        <v/>
      </c>
      <c r="W73" s="72" t="str">
        <f t="shared" si="54"/>
        <v/>
      </c>
      <c r="X73" s="39"/>
      <c r="Y73" s="72" t="str">
        <f t="shared" si="41"/>
        <v/>
      </c>
      <c r="Z73" s="72" t="str">
        <f t="shared" si="55"/>
        <v/>
      </c>
      <c r="AA73" s="39"/>
      <c r="AB73" s="72" t="str">
        <f t="shared" si="4"/>
        <v/>
      </c>
      <c r="AC73" s="72" t="str">
        <f t="shared" si="56"/>
        <v/>
      </c>
      <c r="AD73" s="39"/>
      <c r="AE73" s="72" t="str">
        <f t="shared" si="42"/>
        <v/>
      </c>
      <c r="AF73" s="72" t="str">
        <f t="shared" si="57"/>
        <v/>
      </c>
      <c r="AG73" s="39"/>
      <c r="AH73" s="72" t="str">
        <f t="shared" si="43"/>
        <v/>
      </c>
      <c r="AI73" s="72" t="str">
        <f t="shared" si="58"/>
        <v/>
      </c>
      <c r="AJ73" s="39"/>
      <c r="AK73" s="72" t="str">
        <f t="shared" si="44"/>
        <v/>
      </c>
      <c r="AL73" s="72" t="str">
        <f t="shared" si="59"/>
        <v/>
      </c>
      <c r="AM73" s="39"/>
      <c r="AN73" s="72" t="str">
        <f t="shared" si="45"/>
        <v/>
      </c>
      <c r="AO73" s="72" t="str">
        <f t="shared" si="60"/>
        <v/>
      </c>
      <c r="AP73" s="39"/>
      <c r="AQ73" s="72" t="str">
        <f t="shared" si="46"/>
        <v/>
      </c>
      <c r="AR73" s="72" t="str">
        <f t="shared" si="26"/>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47"/>
        <v/>
      </c>
      <c r="AW73" s="72" t="str">
        <f t="shared" si="27"/>
        <v/>
      </c>
      <c r="AX73" s="39"/>
      <c r="AY73" s="40" t="str">
        <f>IF(ISERROR(IF($K73&lt;=$F$15,VLOOKUP($I73,'表4）CO2価格'!$A$7:$E$67,VLOOKUP($F$48,'表4）CO2価格'!$H$10:$I$12,2,0),0)*$F$8/1000,"")),0,IF($K73&lt;=$F$15,VLOOKUP($I73,'表4）CO2価格'!$A$7:$E$67,VLOOKUP($F$48,'表4）CO2価格'!$H$10:$I$12,2,0),0)*$F$8/1000,""))</f>
        <v/>
      </c>
      <c r="AZ73" s="39"/>
      <c r="BA73" s="42" t="str">
        <f t="shared" si="48"/>
        <v/>
      </c>
      <c r="BB73" s="72" t="str">
        <f t="shared" si="28"/>
        <v/>
      </c>
      <c r="BC73" s="39"/>
      <c r="BD73" s="72" t="str">
        <f t="shared" si="49"/>
        <v/>
      </c>
      <c r="BE73" s="72" t="str">
        <f t="shared" si="29"/>
        <v/>
      </c>
      <c r="BF73" s="39"/>
      <c r="BG73" s="42" t="str">
        <f t="shared" si="50"/>
        <v/>
      </c>
      <c r="BH73" s="72" t="str">
        <f t="shared" si="30"/>
        <v/>
      </c>
      <c r="BI73" s="39"/>
      <c r="BJ73" s="40" t="str">
        <f t="shared" si="31"/>
        <v/>
      </c>
      <c r="BK73" s="157" t="str">
        <f t="shared" si="32"/>
        <v/>
      </c>
      <c r="BL73" s="157" t="str">
        <f t="shared" si="14"/>
        <v/>
      </c>
      <c r="BM73" s="72"/>
      <c r="BN73" s="72" t="str">
        <f t="shared" si="33"/>
        <v/>
      </c>
      <c r="BO73" s="72" t="str">
        <f t="shared" si="34"/>
        <v/>
      </c>
      <c r="BP73" s="39"/>
      <c r="BQ73" s="72" t="str">
        <f t="shared" si="51"/>
        <v/>
      </c>
      <c r="BR73" s="72" t="str">
        <f t="shared" si="35"/>
        <v/>
      </c>
    </row>
    <row r="74" spans="2:70" ht="15" x14ac:dyDescent="0.15">
      <c r="D74" s="116" t="s">
        <v>192</v>
      </c>
      <c r="F74" s="94">
        <f>SUBTOTAL(9,F78:F81)</f>
        <v>2.003476945091303</v>
      </c>
      <c r="G74" s="81" t="s">
        <v>132</v>
      </c>
      <c r="I74" s="322">
        <f t="shared" si="36"/>
        <v>2089</v>
      </c>
      <c r="J74" s="71"/>
      <c r="K74" s="71">
        <f t="shared" si="37"/>
        <v>60</v>
      </c>
      <c r="L74" s="71"/>
      <c r="M74" s="7">
        <f t="shared" si="38"/>
        <v>0.1697330900164177</v>
      </c>
      <c r="N74" s="71"/>
      <c r="O74" s="10" t="str">
        <f t="shared" si="52"/>
        <v/>
      </c>
      <c r="P74" s="29" t="str">
        <f t="shared" si="39"/>
        <v/>
      </c>
      <c r="Q74" s="71"/>
      <c r="R74" s="10" t="str">
        <f t="shared" si="53"/>
        <v/>
      </c>
      <c r="S74" s="71"/>
      <c r="T74" s="10" t="str">
        <f t="shared" si="18"/>
        <v/>
      </c>
      <c r="U74" s="71"/>
      <c r="V74" s="10" t="str">
        <f t="shared" si="40"/>
        <v/>
      </c>
      <c r="W74" s="10" t="str">
        <f t="shared" si="54"/>
        <v/>
      </c>
      <c r="X74" s="71"/>
      <c r="Y74" s="10" t="str">
        <f t="shared" si="41"/>
        <v/>
      </c>
      <c r="Z74" s="10" t="str">
        <f t="shared" si="55"/>
        <v/>
      </c>
      <c r="AA74" s="71"/>
      <c r="AB74" s="10" t="str">
        <f t="shared" si="4"/>
        <v/>
      </c>
      <c r="AC74" s="10" t="str">
        <f t="shared" si="56"/>
        <v/>
      </c>
      <c r="AD74" s="71"/>
      <c r="AE74" s="10" t="str">
        <f t="shared" si="42"/>
        <v/>
      </c>
      <c r="AF74" s="10" t="str">
        <f t="shared" si="57"/>
        <v/>
      </c>
      <c r="AG74" s="71"/>
      <c r="AH74" s="10" t="str">
        <f t="shared" si="43"/>
        <v/>
      </c>
      <c r="AI74" s="10" t="str">
        <f t="shared" si="58"/>
        <v/>
      </c>
      <c r="AJ74" s="71"/>
      <c r="AK74" s="10" t="str">
        <f t="shared" si="44"/>
        <v/>
      </c>
      <c r="AL74" s="10" t="str">
        <f t="shared" si="59"/>
        <v/>
      </c>
      <c r="AM74" s="71"/>
      <c r="AN74" s="10" t="str">
        <f t="shared" si="45"/>
        <v/>
      </c>
      <c r="AO74" s="10" t="str">
        <f t="shared" si="60"/>
        <v/>
      </c>
      <c r="AP74" s="71"/>
      <c r="AQ74" s="10" t="str">
        <f t="shared" si="46"/>
        <v/>
      </c>
      <c r="AR74" s="10" t="str">
        <f t="shared" si="26"/>
        <v/>
      </c>
      <c r="AS74" s="71"/>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U74" s="71"/>
      <c r="AV74" s="10" t="str">
        <f t="shared" si="47"/>
        <v/>
      </c>
      <c r="AW74" s="10" t="str">
        <f t="shared" si="27"/>
        <v/>
      </c>
      <c r="AX74" s="71"/>
      <c r="AY74" s="7" t="str">
        <f>IF(ISERROR(IF($K74&lt;=$F$15,VLOOKUP($I74,'表4）CO2価格'!$A$7:$E$67,VLOOKUP($F$48,'表4）CO2価格'!$H$10:$I$12,2,0),0)*$F$8/1000,"")),0,IF($K74&lt;=$F$15,VLOOKUP($I74,'表4）CO2価格'!$A$7:$E$67,VLOOKUP($F$48,'表4）CO2価格'!$H$10:$I$12,2,0),0)*$F$8/1000,""))</f>
        <v/>
      </c>
      <c r="AZ74" s="71"/>
      <c r="BA74" s="11" t="str">
        <f t="shared" si="48"/>
        <v/>
      </c>
      <c r="BB74" s="10" t="str">
        <f t="shared" si="28"/>
        <v/>
      </c>
      <c r="BC74" s="71"/>
      <c r="BD74" s="10" t="str">
        <f t="shared" si="49"/>
        <v/>
      </c>
      <c r="BE74" s="10" t="str">
        <f t="shared" si="29"/>
        <v/>
      </c>
      <c r="BF74" s="71"/>
      <c r="BG74" s="11" t="str">
        <f t="shared" si="50"/>
        <v/>
      </c>
      <c r="BH74" s="10" t="str">
        <f t="shared" si="30"/>
        <v/>
      </c>
      <c r="BJ74" s="7" t="str">
        <f t="shared" si="31"/>
        <v/>
      </c>
      <c r="BK74" s="158" t="str">
        <f t="shared" si="32"/>
        <v/>
      </c>
      <c r="BL74" s="158" t="str">
        <f t="shared" si="14"/>
        <v/>
      </c>
      <c r="BM74" s="10"/>
      <c r="BN74" s="10" t="str">
        <f t="shared" si="33"/>
        <v/>
      </c>
      <c r="BO74" s="10" t="str">
        <f t="shared" si="34"/>
        <v/>
      </c>
      <c r="BQ74" s="10" t="str">
        <f t="shared" si="51"/>
        <v/>
      </c>
      <c r="BR74" s="10" t="str">
        <f t="shared" si="35"/>
        <v/>
      </c>
    </row>
    <row r="75" spans="2:70" x14ac:dyDescent="0.15">
      <c r="F75" s="93"/>
      <c r="I75" s="38">
        <f t="shared" si="36"/>
        <v>2090</v>
      </c>
      <c r="J75" s="39"/>
      <c r="K75" s="39">
        <f t="shared" si="37"/>
        <v>61</v>
      </c>
      <c r="L75" s="39"/>
      <c r="M75" s="40">
        <f t="shared" si="38"/>
        <v>0.16478940778292983</v>
      </c>
      <c r="N75" s="39"/>
      <c r="O75" s="72" t="str">
        <f t="shared" si="52"/>
        <v/>
      </c>
      <c r="P75" s="41" t="str">
        <f t="shared" si="39"/>
        <v/>
      </c>
      <c r="Q75" s="39"/>
      <c r="R75" s="72" t="str">
        <f t="shared" si="53"/>
        <v/>
      </c>
      <c r="S75" s="39"/>
      <c r="T75" s="72" t="str">
        <f t="shared" si="18"/>
        <v/>
      </c>
      <c r="U75" s="39"/>
      <c r="V75" s="72" t="str">
        <f t="shared" si="40"/>
        <v/>
      </c>
      <c r="W75" s="72" t="str">
        <f t="shared" si="54"/>
        <v/>
      </c>
      <c r="X75" s="39"/>
      <c r="Y75" s="72" t="str">
        <f t="shared" si="41"/>
        <v/>
      </c>
      <c r="Z75" s="72" t="str">
        <f t="shared" si="55"/>
        <v/>
      </c>
      <c r="AA75" s="39"/>
      <c r="AB75" s="72" t="str">
        <f t="shared" si="4"/>
        <v/>
      </c>
      <c r="AC75" s="72" t="str">
        <f t="shared" si="56"/>
        <v/>
      </c>
      <c r="AD75" s="39"/>
      <c r="AE75" s="72" t="str">
        <f t="shared" si="42"/>
        <v/>
      </c>
      <c r="AF75" s="72" t="str">
        <f t="shared" si="57"/>
        <v/>
      </c>
      <c r="AG75" s="39"/>
      <c r="AH75" s="72" t="str">
        <f t="shared" si="43"/>
        <v/>
      </c>
      <c r="AI75" s="72" t="str">
        <f t="shared" si="58"/>
        <v/>
      </c>
      <c r="AJ75" s="39"/>
      <c r="AK75" s="72" t="str">
        <f t="shared" si="44"/>
        <v/>
      </c>
      <c r="AL75" s="72" t="str">
        <f t="shared" si="59"/>
        <v/>
      </c>
      <c r="AM75" s="39"/>
      <c r="AN75" s="72" t="str">
        <f t="shared" si="45"/>
        <v/>
      </c>
      <c r="AO75" s="72" t="str">
        <f t="shared" si="60"/>
        <v/>
      </c>
      <c r="AP75" s="39"/>
      <c r="AQ75" s="72" t="str">
        <f t="shared" si="46"/>
        <v/>
      </c>
      <c r="AR75" s="72" t="str">
        <f t="shared" si="26"/>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47"/>
        <v/>
      </c>
      <c r="AW75" s="72" t="str">
        <f t="shared" si="27"/>
        <v/>
      </c>
      <c r="AX75" s="39"/>
      <c r="AY75" s="40" t="str">
        <f>IF(ISERROR(IF($K75&lt;=$F$15,VLOOKUP($I75,'表4）CO2価格'!$A$7:$E$67,VLOOKUP($F$48,'表4）CO2価格'!$H$10:$I$12,2,0),0)*$F$8/1000,"")),0,IF($K75&lt;=$F$15,VLOOKUP($I75,'表4）CO2価格'!$A$7:$E$67,VLOOKUP($F$48,'表4）CO2価格'!$H$10:$I$12,2,0),0)*$F$8/1000,""))</f>
        <v/>
      </c>
      <c r="AZ75" s="39"/>
      <c r="BA75" s="42" t="str">
        <f t="shared" si="48"/>
        <v/>
      </c>
      <c r="BB75" s="72" t="str">
        <f t="shared" si="28"/>
        <v/>
      </c>
      <c r="BC75" s="39"/>
      <c r="BD75" s="72" t="str">
        <f t="shared" si="49"/>
        <v/>
      </c>
      <c r="BE75" s="72" t="str">
        <f t="shared" si="29"/>
        <v/>
      </c>
      <c r="BF75" s="39"/>
      <c r="BG75" s="42" t="str">
        <f t="shared" si="50"/>
        <v/>
      </c>
      <c r="BH75" s="72" t="str">
        <f t="shared" si="30"/>
        <v/>
      </c>
      <c r="BI75" s="39"/>
      <c r="BJ75" s="40" t="str">
        <f t="shared" si="31"/>
        <v/>
      </c>
      <c r="BK75" s="157" t="str">
        <f t="shared" si="32"/>
        <v/>
      </c>
      <c r="BL75" s="157" t="str">
        <f t="shared" si="14"/>
        <v/>
      </c>
      <c r="BM75" s="72"/>
      <c r="BN75" s="72" t="str">
        <f t="shared" si="33"/>
        <v/>
      </c>
      <c r="BO75" s="72" t="str">
        <f t="shared" si="34"/>
        <v/>
      </c>
      <c r="BP75" s="39"/>
      <c r="BQ75" s="72" t="str">
        <f t="shared" si="51"/>
        <v/>
      </c>
      <c r="BR75" s="72" t="str">
        <f t="shared" si="35"/>
        <v/>
      </c>
    </row>
    <row r="76" spans="2:70" x14ac:dyDescent="0.15">
      <c r="D76" s="101" t="s">
        <v>193</v>
      </c>
      <c r="E76" s="101"/>
      <c r="F76" s="92"/>
      <c r="G76" s="101"/>
      <c r="I76" s="322">
        <f t="shared" si="36"/>
        <v>2091</v>
      </c>
      <c r="J76" s="71"/>
      <c r="K76" s="71">
        <f t="shared" si="37"/>
        <v>62</v>
      </c>
      <c r="L76" s="71"/>
      <c r="M76" s="7">
        <f t="shared" si="38"/>
        <v>0.15998971629410663</v>
      </c>
      <c r="N76" s="71"/>
      <c r="O76" s="10" t="str">
        <f t="shared" si="52"/>
        <v/>
      </c>
      <c r="P76" s="29" t="str">
        <f t="shared" si="39"/>
        <v/>
      </c>
      <c r="Q76" s="71"/>
      <c r="R76" s="10" t="str">
        <f t="shared" si="53"/>
        <v/>
      </c>
      <c r="S76" s="71"/>
      <c r="T76" s="10" t="str">
        <f t="shared" si="18"/>
        <v/>
      </c>
      <c r="U76" s="71"/>
      <c r="V76" s="10" t="str">
        <f t="shared" si="40"/>
        <v/>
      </c>
      <c r="W76" s="10" t="str">
        <f t="shared" si="54"/>
        <v/>
      </c>
      <c r="X76" s="71"/>
      <c r="Y76" s="10" t="str">
        <f t="shared" si="41"/>
        <v/>
      </c>
      <c r="Z76" s="10" t="str">
        <f t="shared" si="55"/>
        <v/>
      </c>
      <c r="AA76" s="71"/>
      <c r="AB76" s="10" t="str">
        <f t="shared" si="4"/>
        <v/>
      </c>
      <c r="AC76" s="10" t="str">
        <f t="shared" si="56"/>
        <v/>
      </c>
      <c r="AD76" s="71"/>
      <c r="AE76" s="10" t="str">
        <f t="shared" si="42"/>
        <v/>
      </c>
      <c r="AF76" s="10" t="str">
        <f t="shared" si="57"/>
        <v/>
      </c>
      <c r="AG76" s="71"/>
      <c r="AH76" s="10" t="str">
        <f t="shared" si="43"/>
        <v/>
      </c>
      <c r="AI76" s="10" t="str">
        <f t="shared" si="58"/>
        <v/>
      </c>
      <c r="AJ76" s="71"/>
      <c r="AK76" s="10" t="str">
        <f t="shared" si="44"/>
        <v/>
      </c>
      <c r="AL76" s="10" t="str">
        <f t="shared" si="59"/>
        <v/>
      </c>
      <c r="AM76" s="71"/>
      <c r="AN76" s="10" t="str">
        <f t="shared" si="45"/>
        <v/>
      </c>
      <c r="AO76" s="10" t="str">
        <f t="shared" si="60"/>
        <v/>
      </c>
      <c r="AP76" s="71"/>
      <c r="AQ76" s="10" t="str">
        <f t="shared" si="46"/>
        <v/>
      </c>
      <c r="AR76" s="10" t="str">
        <f t="shared" si="26"/>
        <v/>
      </c>
      <c r="AS76" s="71"/>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U76" s="71"/>
      <c r="AV76" s="10" t="str">
        <f t="shared" si="47"/>
        <v/>
      </c>
      <c r="AW76" s="10" t="str">
        <f t="shared" si="27"/>
        <v/>
      </c>
      <c r="AX76" s="71"/>
      <c r="AY76" s="7" t="str">
        <f>IF(ISERROR(IF($K76&lt;=$F$15,VLOOKUP($I76,'表4）CO2価格'!$A$7:$E$67,VLOOKUP($F$48,'表4）CO2価格'!$H$10:$I$12,2,0),0)*$F$8/1000,"")),0,IF($K76&lt;=$F$15,VLOOKUP($I76,'表4）CO2価格'!$A$7:$E$67,VLOOKUP($F$48,'表4）CO2価格'!$H$10:$I$12,2,0),0)*$F$8/1000,""))</f>
        <v/>
      </c>
      <c r="AZ76" s="71"/>
      <c r="BA76" s="11" t="str">
        <f t="shared" si="48"/>
        <v/>
      </c>
      <c r="BB76" s="10" t="str">
        <f t="shared" si="28"/>
        <v/>
      </c>
      <c r="BC76" s="71"/>
      <c r="BD76" s="10" t="str">
        <f t="shared" si="49"/>
        <v/>
      </c>
      <c r="BE76" s="10" t="str">
        <f t="shared" si="29"/>
        <v/>
      </c>
      <c r="BF76" s="71"/>
      <c r="BG76" s="11" t="str">
        <f t="shared" si="50"/>
        <v/>
      </c>
      <c r="BH76" s="10" t="str">
        <f t="shared" si="30"/>
        <v/>
      </c>
      <c r="BJ76" s="7" t="str">
        <f t="shared" si="31"/>
        <v/>
      </c>
      <c r="BK76" s="158" t="str">
        <f t="shared" si="32"/>
        <v/>
      </c>
      <c r="BL76" s="158" t="str">
        <f t="shared" si="14"/>
        <v/>
      </c>
      <c r="BM76" s="10"/>
      <c r="BN76" s="10" t="str">
        <f t="shared" si="33"/>
        <v/>
      </c>
      <c r="BO76" s="10" t="str">
        <f t="shared" si="34"/>
        <v/>
      </c>
      <c r="BQ76" s="10" t="str">
        <f t="shared" si="51"/>
        <v/>
      </c>
      <c r="BR76" s="10" t="str">
        <f t="shared" si="35"/>
        <v/>
      </c>
    </row>
    <row r="77" spans="2:70" x14ac:dyDescent="0.15">
      <c r="F77" s="93"/>
      <c r="I77" s="38">
        <f t="shared" si="36"/>
        <v>2092</v>
      </c>
      <c r="J77" s="39"/>
      <c r="K77" s="39">
        <f t="shared" si="37"/>
        <v>63</v>
      </c>
      <c r="L77" s="39"/>
      <c r="M77" s="40">
        <f t="shared" si="38"/>
        <v>0.15532982164476369</v>
      </c>
      <c r="N77" s="39"/>
      <c r="O77" s="72" t="str">
        <f t="shared" si="52"/>
        <v/>
      </c>
      <c r="P77" s="41" t="str">
        <f t="shared" si="39"/>
        <v/>
      </c>
      <c r="Q77" s="39"/>
      <c r="R77" s="72" t="str">
        <f t="shared" si="53"/>
        <v/>
      </c>
      <c r="S77" s="39"/>
      <c r="T77" s="72" t="str">
        <f t="shared" si="18"/>
        <v/>
      </c>
      <c r="U77" s="39"/>
      <c r="V77" s="72" t="str">
        <f t="shared" si="40"/>
        <v/>
      </c>
      <c r="W77" s="72" t="str">
        <f t="shared" si="54"/>
        <v/>
      </c>
      <c r="X77" s="39"/>
      <c r="Y77" s="72" t="str">
        <f t="shared" si="41"/>
        <v/>
      </c>
      <c r="Z77" s="72" t="str">
        <f t="shared" si="55"/>
        <v/>
      </c>
      <c r="AA77" s="39"/>
      <c r="AB77" s="72" t="str">
        <f t="shared" si="4"/>
        <v/>
      </c>
      <c r="AC77" s="72" t="str">
        <f t="shared" si="56"/>
        <v/>
      </c>
      <c r="AD77" s="39"/>
      <c r="AE77" s="72" t="str">
        <f t="shared" si="42"/>
        <v/>
      </c>
      <c r="AF77" s="72" t="str">
        <f t="shared" si="57"/>
        <v/>
      </c>
      <c r="AG77" s="39"/>
      <c r="AH77" s="72" t="str">
        <f t="shared" si="43"/>
        <v/>
      </c>
      <c r="AI77" s="72" t="str">
        <f t="shared" si="58"/>
        <v/>
      </c>
      <c r="AJ77" s="39"/>
      <c r="AK77" s="72" t="str">
        <f t="shared" si="44"/>
        <v/>
      </c>
      <c r="AL77" s="72" t="str">
        <f t="shared" si="59"/>
        <v/>
      </c>
      <c r="AM77" s="39"/>
      <c r="AN77" s="72" t="str">
        <f t="shared" si="45"/>
        <v/>
      </c>
      <c r="AO77" s="72" t="str">
        <f t="shared" si="60"/>
        <v/>
      </c>
      <c r="AP77" s="39"/>
      <c r="AQ77" s="72" t="str">
        <f t="shared" si="46"/>
        <v/>
      </c>
      <c r="AR77" s="72" t="str">
        <f t="shared" si="26"/>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47"/>
        <v/>
      </c>
      <c r="AW77" s="72" t="str">
        <f t="shared" si="27"/>
        <v/>
      </c>
      <c r="AX77" s="39"/>
      <c r="AY77" s="40" t="str">
        <f>IF(ISERROR(IF($K77&lt;=$F$15,VLOOKUP($I77,'表4）CO2価格'!$A$7:$E$67,VLOOKUP($F$48,'表4）CO2価格'!$H$10:$I$12,2,0),0)*$F$8/1000,"")),0,IF($K77&lt;=$F$15,VLOOKUP($I77,'表4）CO2価格'!$A$7:$E$67,VLOOKUP($F$48,'表4）CO2価格'!$H$10:$I$12,2,0),0)*$F$8/1000,""))</f>
        <v/>
      </c>
      <c r="AZ77" s="39"/>
      <c r="BA77" s="42" t="str">
        <f t="shared" si="48"/>
        <v/>
      </c>
      <c r="BB77" s="72" t="str">
        <f t="shared" si="28"/>
        <v/>
      </c>
      <c r="BC77" s="39"/>
      <c r="BD77" s="72" t="str">
        <f t="shared" si="49"/>
        <v/>
      </c>
      <c r="BE77" s="72" t="str">
        <f t="shared" si="29"/>
        <v/>
      </c>
      <c r="BF77" s="39"/>
      <c r="BG77" s="42" t="str">
        <f t="shared" si="50"/>
        <v/>
      </c>
      <c r="BH77" s="72" t="str">
        <f t="shared" si="30"/>
        <v/>
      </c>
      <c r="BI77" s="39"/>
      <c r="BJ77" s="40" t="str">
        <f t="shared" si="31"/>
        <v/>
      </c>
      <c r="BK77" s="157" t="str">
        <f t="shared" si="32"/>
        <v/>
      </c>
      <c r="BL77" s="157" t="str">
        <f t="shared" si="14"/>
        <v/>
      </c>
      <c r="BM77" s="72"/>
      <c r="BN77" s="72" t="str">
        <f t="shared" si="33"/>
        <v/>
      </c>
      <c r="BO77" s="72" t="str">
        <f t="shared" si="34"/>
        <v/>
      </c>
      <c r="BP77" s="39"/>
      <c r="BQ77" s="72" t="str">
        <f t="shared" si="51"/>
        <v/>
      </c>
      <c r="BR77" s="72" t="str">
        <f t="shared" si="35"/>
        <v/>
      </c>
    </row>
    <row r="78" spans="2:70" x14ac:dyDescent="0.15">
      <c r="E78" s="74" t="s">
        <v>138</v>
      </c>
      <c r="F78" s="91">
        <f>R15/$BR$116</f>
        <v>1.8216555367924945</v>
      </c>
      <c r="G78" s="81" t="s">
        <v>132</v>
      </c>
      <c r="I78" s="322">
        <f t="shared" si="36"/>
        <v>2093</v>
      </c>
      <c r="J78" s="71"/>
      <c r="K78" s="71">
        <f t="shared" si="37"/>
        <v>64</v>
      </c>
      <c r="L78" s="71"/>
      <c r="M78" s="7">
        <f t="shared" si="38"/>
        <v>0.15080565208229488</v>
      </c>
      <c r="N78" s="71"/>
      <c r="O78" s="10" t="str">
        <f t="shared" si="52"/>
        <v/>
      </c>
      <c r="P78" s="29" t="str">
        <f t="shared" si="39"/>
        <v/>
      </c>
      <c r="Q78" s="71"/>
      <c r="R78" s="10" t="str">
        <f t="shared" si="53"/>
        <v/>
      </c>
      <c r="S78" s="71"/>
      <c r="T78" s="10" t="str">
        <f t="shared" si="18"/>
        <v/>
      </c>
      <c r="U78" s="71"/>
      <c r="V78" s="10" t="str">
        <f t="shared" si="40"/>
        <v/>
      </c>
      <c r="W78" s="10" t="str">
        <f t="shared" si="54"/>
        <v/>
      </c>
      <c r="X78" s="71"/>
      <c r="Y78" s="10" t="str">
        <f t="shared" si="41"/>
        <v/>
      </c>
      <c r="Z78" s="10" t="str">
        <f t="shared" si="55"/>
        <v/>
      </c>
      <c r="AA78" s="71"/>
      <c r="AB78" s="10" t="str">
        <f t="shared" si="4"/>
        <v/>
      </c>
      <c r="AC78" s="10" t="str">
        <f t="shared" si="56"/>
        <v/>
      </c>
      <c r="AD78" s="71"/>
      <c r="AE78" s="10" t="str">
        <f t="shared" si="42"/>
        <v/>
      </c>
      <c r="AF78" s="10" t="str">
        <f t="shared" si="57"/>
        <v/>
      </c>
      <c r="AG78" s="71"/>
      <c r="AH78" s="10" t="str">
        <f t="shared" si="43"/>
        <v/>
      </c>
      <c r="AI78" s="10" t="str">
        <f t="shared" si="58"/>
        <v/>
      </c>
      <c r="AJ78" s="71"/>
      <c r="AK78" s="10" t="str">
        <f t="shared" si="44"/>
        <v/>
      </c>
      <c r="AL78" s="10" t="str">
        <f t="shared" si="59"/>
        <v/>
      </c>
      <c r="AM78" s="71"/>
      <c r="AN78" s="10" t="str">
        <f t="shared" si="45"/>
        <v/>
      </c>
      <c r="AO78" s="10" t="str">
        <f t="shared" si="60"/>
        <v/>
      </c>
      <c r="AP78" s="71"/>
      <c r="AQ78" s="10" t="str">
        <f t="shared" si="46"/>
        <v/>
      </c>
      <c r="AR78" s="10" t="str">
        <f t="shared" si="26"/>
        <v/>
      </c>
      <c r="AS78" s="71"/>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U78" s="71"/>
      <c r="AV78" s="10" t="str">
        <f t="shared" si="47"/>
        <v/>
      </c>
      <c r="AW78" s="10" t="str">
        <f t="shared" si="27"/>
        <v/>
      </c>
      <c r="AX78" s="71"/>
      <c r="AY78" s="7" t="str">
        <f>IF(ISERROR(IF($K78&lt;=$F$15,VLOOKUP($I78,'表4）CO2価格'!$A$7:$E$67,VLOOKUP($F$48,'表4）CO2価格'!$H$10:$I$12,2,0),0)*$F$8/1000,"")),0,IF($K78&lt;=$F$15,VLOOKUP($I78,'表4）CO2価格'!$A$7:$E$67,VLOOKUP($F$48,'表4）CO2価格'!$H$10:$I$12,2,0),0)*$F$8/1000,""))</f>
        <v/>
      </c>
      <c r="AZ78" s="71"/>
      <c r="BA78" s="11" t="str">
        <f t="shared" si="48"/>
        <v/>
      </c>
      <c r="BB78" s="10" t="str">
        <f t="shared" si="28"/>
        <v/>
      </c>
      <c r="BC78" s="71"/>
      <c r="BD78" s="10" t="str">
        <f t="shared" si="49"/>
        <v/>
      </c>
      <c r="BE78" s="10" t="str">
        <f t="shared" si="29"/>
        <v/>
      </c>
      <c r="BF78" s="71"/>
      <c r="BG78" s="11" t="str">
        <f t="shared" si="50"/>
        <v/>
      </c>
      <c r="BH78" s="10" t="str">
        <f t="shared" si="30"/>
        <v/>
      </c>
      <c r="BJ78" s="7" t="str">
        <f t="shared" si="31"/>
        <v/>
      </c>
      <c r="BK78" s="158" t="str">
        <f t="shared" si="32"/>
        <v/>
      </c>
      <c r="BL78" s="158" t="str">
        <f t="shared" si="14"/>
        <v/>
      </c>
      <c r="BM78" s="10"/>
      <c r="BN78" s="10" t="str">
        <f t="shared" si="33"/>
        <v/>
      </c>
      <c r="BO78" s="10" t="str">
        <f t="shared" si="34"/>
        <v/>
      </c>
      <c r="BQ78" s="10" t="str">
        <f t="shared" si="51"/>
        <v/>
      </c>
      <c r="BR78" s="10" t="str">
        <f t="shared" si="35"/>
        <v/>
      </c>
    </row>
    <row r="79" spans="2:70" x14ac:dyDescent="0.15">
      <c r="E79" s="81" t="s">
        <v>139</v>
      </c>
      <c r="F79" s="91">
        <f>Z116/$BR$116</f>
        <v>0.15471262352515708</v>
      </c>
      <c r="G79" s="81" t="s">
        <v>132</v>
      </c>
      <c r="I79" s="38">
        <f t="shared" si="36"/>
        <v>2094</v>
      </c>
      <c r="J79" s="39"/>
      <c r="K79" s="39">
        <f t="shared" si="37"/>
        <v>65</v>
      </c>
      <c r="L79" s="39"/>
      <c r="M79" s="40">
        <f t="shared" ref="M79:M114" si="61">1/(1+($F$9/100))^K79</f>
        <v>0.14641325444882999</v>
      </c>
      <c r="N79" s="39"/>
      <c r="O79" s="72" t="str">
        <f t="shared" si="52"/>
        <v/>
      </c>
      <c r="P79" s="41" t="str">
        <f t="shared" ref="P79:P110" si="62">IF(K79&lt;=$F$15,IF(OR(P78=$F$124,P78="-"),"-",IF(O79*$F$123&gt;$F$127,$F$123,$F$124)),"")</f>
        <v/>
      </c>
      <c r="Q79" s="39"/>
      <c r="R79" s="72" t="str">
        <f t="shared" si="53"/>
        <v/>
      </c>
      <c r="S79" s="39"/>
      <c r="T79" s="72" t="str">
        <f t="shared" si="18"/>
        <v/>
      </c>
      <c r="U79" s="39"/>
      <c r="V79" s="72" t="str">
        <f t="shared" ref="V79:V114" si="63">IF(K79&lt;=$F$15,IF(K79&lt;$F$119,IF(P79="-",V78,O79*P79),IF(K79=$F$119,MIN(IF(P79="-",V78,O79*P79),O79),0)),"")</f>
        <v/>
      </c>
      <c r="W79" s="72" t="str">
        <f t="shared" si="54"/>
        <v/>
      </c>
      <c r="X79" s="39"/>
      <c r="Y79" s="72" t="str">
        <f t="shared" ref="Y79:Y114" si="64">IF($K79&lt;=$F$15,ROUNDDOWN(T79*$F$25/100,-2),"")</f>
        <v/>
      </c>
      <c r="Z79" s="72" t="str">
        <f t="shared" si="55"/>
        <v/>
      </c>
      <c r="AA79" s="39"/>
      <c r="AB79" s="72" t="str">
        <f t="shared" ref="AB79:AB114" si="65">IF($K79&lt;=$F$15,0,IF(AND($K79&gt;$F$15,$K79&lt;=$F$15+$F$28),$F$27*10^8/$F$28,""))</f>
        <v/>
      </c>
      <c r="AC79" s="72" t="str">
        <f t="shared" si="56"/>
        <v/>
      </c>
      <c r="AD79" s="39"/>
      <c r="AE79" s="72" t="str">
        <f t="shared" ref="AE79:AE114" si="66">IF($K79&lt;=$F$15,$F$26,"")</f>
        <v/>
      </c>
      <c r="AF79" s="72" t="str">
        <f t="shared" si="57"/>
        <v/>
      </c>
      <c r="AG79" s="39"/>
      <c r="AH79" s="72" t="str">
        <f t="shared" ref="AH79:AH114" si="67">IF($K79&lt;=$F$15,$F$33*10^8,"")</f>
        <v/>
      </c>
      <c r="AI79" s="72" t="str">
        <f t="shared" si="58"/>
        <v/>
      </c>
      <c r="AJ79" s="39"/>
      <c r="AK79" s="72" t="str">
        <f t="shared" ref="AK79:AK114" si="68">IF($K79&lt;=$F$15,$F$117*$F$34/100,"")</f>
        <v/>
      </c>
      <c r="AL79" s="72" t="str">
        <f t="shared" si="59"/>
        <v/>
      </c>
      <c r="AM79" s="39"/>
      <c r="AN79" s="72" t="str">
        <f t="shared" ref="AN79:AN114" si="69">IF($K79&lt;=$F$15,$F$117*$F$35/100,"")</f>
        <v/>
      </c>
      <c r="AO79" s="72" t="str">
        <f t="shared" si="60"/>
        <v/>
      </c>
      <c r="AP79" s="39"/>
      <c r="AQ79" s="72" t="str">
        <f t="shared" ref="AQ79:AQ114" si="70">IF($K79&lt;=$F$15,SUM(AH79,AK79,AN79)*($F$36/100),"")</f>
        <v/>
      </c>
      <c r="AR79" s="72" t="str">
        <f t="shared" si="26"/>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71">IF($K79&lt;=$F$15,($AT79+$F$142)*$F$137,"")</f>
        <v/>
      </c>
      <c r="AW79" s="72" t="str">
        <f t="shared" si="27"/>
        <v/>
      </c>
      <c r="AX79" s="39"/>
      <c r="AY79" s="40" t="str">
        <f>IF(ISERROR(IF($K79&lt;=$F$15,VLOOKUP($I79,'表4）CO2価格'!$A$7:$E$67,VLOOKUP($F$48,'表4）CO2価格'!$H$10:$I$12,2,0),0)*$F$8/1000,"")),0,IF($K79&lt;=$F$15,VLOOKUP($I79,'表4）CO2価格'!$A$7:$E$67,VLOOKUP($F$48,'表4）CO2価格'!$H$10:$I$12,2,0),0)*$F$8/1000,""))</f>
        <v/>
      </c>
      <c r="AZ79" s="39"/>
      <c r="BA79" s="42" t="str">
        <f t="shared" ref="BA79:BA114" si="72">IF($K79&lt;=$F$15,$F$145*AY79,"")</f>
        <v/>
      </c>
      <c r="BB79" s="72" t="str">
        <f t="shared" si="28"/>
        <v/>
      </c>
      <c r="BC79" s="39"/>
      <c r="BD79" s="72" t="str">
        <f t="shared" ref="BD79:BD114" si="73">IF($K79&lt;=$F$15,($AT79+$F$152)*$F$151,"")</f>
        <v/>
      </c>
      <c r="BE79" s="72" t="str">
        <f t="shared" si="29"/>
        <v/>
      </c>
      <c r="BF79" s="39"/>
      <c r="BG79" s="42" t="str">
        <f t="shared" ref="BG79:BG114" si="74">IF($K79&lt;=$F$15,$F$153*AY79,"")</f>
        <v/>
      </c>
      <c r="BH79" s="72" t="str">
        <f t="shared" si="30"/>
        <v/>
      </c>
      <c r="BI79" s="39"/>
      <c r="BJ79" s="40" t="str">
        <f t="shared" si="31"/>
        <v/>
      </c>
      <c r="BK79" s="157" t="str">
        <f t="shared" si="32"/>
        <v/>
      </c>
      <c r="BL79" s="157" t="str">
        <f t="shared" ref="BL79:BL114" si="75">IF(AND(ISNUMBER(BJ79),$K79&lt;=$F$16),BQ79*BJ79,"")</f>
        <v/>
      </c>
      <c r="BM79" s="72"/>
      <c r="BN79" s="72" t="str">
        <f t="shared" si="33"/>
        <v/>
      </c>
      <c r="BO79" s="72" t="str">
        <f t="shared" si="34"/>
        <v/>
      </c>
      <c r="BP79" s="39"/>
      <c r="BQ79" s="72" t="str">
        <f t="shared" ref="BQ79:BQ114" si="76">IF($K79&lt;=$F$15,$F$134,"")</f>
        <v/>
      </c>
      <c r="BR79" s="72" t="str">
        <f t="shared" si="35"/>
        <v/>
      </c>
    </row>
    <row r="80" spans="2:70" x14ac:dyDescent="0.15">
      <c r="E80" s="81" t="s">
        <v>115</v>
      </c>
      <c r="F80" s="91">
        <f>AF116/$BR$116</f>
        <v>0</v>
      </c>
      <c r="G80" s="81" t="s">
        <v>132</v>
      </c>
      <c r="I80" s="322">
        <f t="shared" si="36"/>
        <v>2095</v>
      </c>
      <c r="J80" s="71"/>
      <c r="K80" s="71">
        <f t="shared" si="37"/>
        <v>66</v>
      </c>
      <c r="L80" s="71"/>
      <c r="M80" s="7">
        <f t="shared" si="61"/>
        <v>0.14214879072701941</v>
      </c>
      <c r="N80" s="71"/>
      <c r="O80" s="10" t="str">
        <f t="shared" ref="O80:O114" si="77">IF(K80&lt;=$F$15,O79-V79,"")</f>
        <v/>
      </c>
      <c r="P80" s="29" t="str">
        <f t="shared" si="62"/>
        <v/>
      </c>
      <c r="Q80" s="71"/>
      <c r="R80" s="10" t="str">
        <f t="shared" ref="R80:R114" si="78">IF($K80&lt;=$F$15,MAX($F$117*5%,R79*$F$129),"")</f>
        <v/>
      </c>
      <c r="S80" s="71"/>
      <c r="T80" s="10" t="str">
        <f t="shared" ref="T80:T114" si="79">IF(ISNUMBER(R80),ROUNDDOWN(R80,-3),"")</f>
        <v/>
      </c>
      <c r="U80" s="71"/>
      <c r="V80" s="10" t="str">
        <f t="shared" si="63"/>
        <v/>
      </c>
      <c r="W80" s="10" t="str">
        <f t="shared" si="54"/>
        <v/>
      </c>
      <c r="X80" s="71"/>
      <c r="Y80" s="10" t="str">
        <f t="shared" si="64"/>
        <v/>
      </c>
      <c r="Z80" s="10" t="str">
        <f t="shared" si="55"/>
        <v/>
      </c>
      <c r="AA80" s="71"/>
      <c r="AB80" s="10" t="str">
        <f t="shared" si="65"/>
        <v/>
      </c>
      <c r="AC80" s="10" t="str">
        <f t="shared" si="56"/>
        <v/>
      </c>
      <c r="AD80" s="71"/>
      <c r="AE80" s="10" t="str">
        <f t="shared" si="66"/>
        <v/>
      </c>
      <c r="AF80" s="10" t="str">
        <f t="shared" si="57"/>
        <v/>
      </c>
      <c r="AG80" s="71"/>
      <c r="AH80" s="10" t="str">
        <f t="shared" si="67"/>
        <v/>
      </c>
      <c r="AI80" s="10" t="str">
        <f t="shared" si="58"/>
        <v/>
      </c>
      <c r="AJ80" s="71"/>
      <c r="AK80" s="10" t="str">
        <f t="shared" si="68"/>
        <v/>
      </c>
      <c r="AL80" s="10" t="str">
        <f t="shared" si="59"/>
        <v/>
      </c>
      <c r="AM80" s="71"/>
      <c r="AN80" s="10" t="str">
        <f t="shared" si="69"/>
        <v/>
      </c>
      <c r="AO80" s="10" t="str">
        <f t="shared" si="60"/>
        <v/>
      </c>
      <c r="AP80" s="71"/>
      <c r="AQ80" s="10" t="str">
        <f t="shared" si="70"/>
        <v/>
      </c>
      <c r="AR80" s="10" t="str">
        <f t="shared" ref="AR80:AR114" si="80">IF(ISNUMBER(AQ80),AQ80*$M80,"")</f>
        <v/>
      </c>
      <c r="AS80" s="71"/>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U80" s="71"/>
      <c r="AV80" s="10" t="str">
        <f t="shared" si="71"/>
        <v/>
      </c>
      <c r="AW80" s="10" t="str">
        <f t="shared" ref="AW80:AW114" si="81">IF(ISNUMBER(AV80),AV80*$M80,"")</f>
        <v/>
      </c>
      <c r="AX80" s="71"/>
      <c r="AY80" s="7" t="str">
        <f>IF(ISERROR(IF($K80&lt;=$F$15,VLOOKUP($I80,'表4）CO2価格'!$A$7:$E$67,VLOOKUP($F$48,'表4）CO2価格'!$H$10:$I$12,2,0),0)*$F$8/1000,"")),0,IF($K80&lt;=$F$15,VLOOKUP($I80,'表4）CO2価格'!$A$7:$E$67,VLOOKUP($F$48,'表4）CO2価格'!$H$10:$I$12,2,0),0)*$F$8/1000,""))</f>
        <v/>
      </c>
      <c r="AZ80" s="71"/>
      <c r="BA80" s="11" t="str">
        <f t="shared" si="72"/>
        <v/>
      </c>
      <c r="BB80" s="10" t="str">
        <f t="shared" ref="BB80:BB114" si="82">IF(ISNUMBER(BA80),BA80*$M80,"")</f>
        <v/>
      </c>
      <c r="BC80" s="71"/>
      <c r="BD80" s="10" t="str">
        <f t="shared" si="73"/>
        <v/>
      </c>
      <c r="BE80" s="10" t="str">
        <f t="shared" ref="BE80:BE114" si="83">IF(ISNUMBER(BD80),BD80*$M80,"")</f>
        <v/>
      </c>
      <c r="BF80" s="71"/>
      <c r="BG80" s="11" t="str">
        <f t="shared" si="74"/>
        <v/>
      </c>
      <c r="BH80" s="10" t="str">
        <f t="shared" ref="BH80:BH114" si="84">IF(ISNUMBER(BG80),BG80*$M80,"")</f>
        <v/>
      </c>
      <c r="BJ80" s="7" t="str">
        <f t="shared" ref="BJ80:BJ114" si="85">IF(ISNUMBER($F$16),IF($K80&lt;=$F$16+$F$28,1/(1+($F$17/100))^K80,""),"")</f>
        <v/>
      </c>
      <c r="BK80" s="158" t="str">
        <f t="shared" ref="BK80:BK114" si="86">IF(ISNUMBER($F$16),IF($K80&lt;=$F$16+$F$28,IF($K80&lt;=$F$16,SUM(Y80,AB80,AE80,AH80,AK80,AN80,AQ80,AV80,BA80,BD80,BG80),$F$27/$F$28*10^8)*BJ80,""),"")</f>
        <v/>
      </c>
      <c r="BL80" s="158" t="str">
        <f t="shared" si="75"/>
        <v/>
      </c>
      <c r="BM80" s="10"/>
      <c r="BN80" s="10" t="str">
        <f t="shared" ref="BN80:BN114" si="87">IF(AND(ISNUMBER($F$16),$K80&lt;=$F$16),BQ80*($O$15+$BK$116)/$BL$116,"")</f>
        <v/>
      </c>
      <c r="BO80" s="10" t="str">
        <f t="shared" ref="BO80:BO114" si="88">IF(ISNUMBER(BN80),BN80*$M80,"")</f>
        <v/>
      </c>
      <c r="BQ80" s="10" t="str">
        <f t="shared" si="76"/>
        <v/>
      </c>
      <c r="BR80" s="10" t="str">
        <f t="shared" ref="BR80:BR114" si="89">IF(ISNUMBER(BQ80),BQ80*$M80,"")</f>
        <v/>
      </c>
    </row>
    <row r="81" spans="4:70" x14ac:dyDescent="0.15">
      <c r="E81" s="82" t="s">
        <v>86</v>
      </c>
      <c r="F81" s="91">
        <f>AC116/$BR$116</f>
        <v>2.7108784773651477E-2</v>
      </c>
      <c r="G81" s="81" t="s">
        <v>132</v>
      </c>
      <c r="I81" s="38">
        <f t="shared" ref="I81:I114" si="90">I80+1</f>
        <v>2096</v>
      </c>
      <c r="J81" s="39"/>
      <c r="K81" s="39">
        <f t="shared" ref="K81:K114" si="91">IF(I81&lt;&gt;"",K80+1,"")</f>
        <v>67</v>
      </c>
      <c r="L81" s="39"/>
      <c r="M81" s="40">
        <f t="shared" si="61"/>
        <v>0.1380085346864266</v>
      </c>
      <c r="N81" s="39"/>
      <c r="O81" s="72" t="str">
        <f t="shared" si="77"/>
        <v/>
      </c>
      <c r="P81" s="41" t="str">
        <f t="shared" si="62"/>
        <v/>
      </c>
      <c r="Q81" s="39"/>
      <c r="R81" s="72" t="str">
        <f t="shared" si="78"/>
        <v/>
      </c>
      <c r="S81" s="39"/>
      <c r="T81" s="72" t="str">
        <f t="shared" si="79"/>
        <v/>
      </c>
      <c r="U81" s="39"/>
      <c r="V81" s="72" t="str">
        <f t="shared" si="63"/>
        <v/>
      </c>
      <c r="W81" s="72" t="str">
        <f t="shared" si="54"/>
        <v/>
      </c>
      <c r="X81" s="39"/>
      <c r="Y81" s="72" t="str">
        <f t="shared" si="64"/>
        <v/>
      </c>
      <c r="Z81" s="72" t="str">
        <f t="shared" si="55"/>
        <v/>
      </c>
      <c r="AA81" s="39"/>
      <c r="AB81" s="72" t="str">
        <f t="shared" si="65"/>
        <v/>
      </c>
      <c r="AC81" s="72" t="str">
        <f t="shared" si="56"/>
        <v/>
      </c>
      <c r="AD81" s="39"/>
      <c r="AE81" s="72" t="str">
        <f t="shared" si="66"/>
        <v/>
      </c>
      <c r="AF81" s="72" t="str">
        <f t="shared" si="57"/>
        <v/>
      </c>
      <c r="AG81" s="39"/>
      <c r="AH81" s="72" t="str">
        <f t="shared" si="67"/>
        <v/>
      </c>
      <c r="AI81" s="72" t="str">
        <f t="shared" si="58"/>
        <v/>
      </c>
      <c r="AJ81" s="39"/>
      <c r="AK81" s="72" t="str">
        <f t="shared" si="68"/>
        <v/>
      </c>
      <c r="AL81" s="72" t="str">
        <f t="shared" si="59"/>
        <v/>
      </c>
      <c r="AM81" s="39"/>
      <c r="AN81" s="72" t="str">
        <f t="shared" si="69"/>
        <v/>
      </c>
      <c r="AO81" s="72" t="str">
        <f t="shared" si="60"/>
        <v/>
      </c>
      <c r="AP81" s="39"/>
      <c r="AQ81" s="72" t="str">
        <f t="shared" si="70"/>
        <v/>
      </c>
      <c r="AR81" s="72" t="str">
        <f t="shared" si="80"/>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71"/>
        <v/>
      </c>
      <c r="AW81" s="72" t="str">
        <f t="shared" si="81"/>
        <v/>
      </c>
      <c r="AX81" s="39"/>
      <c r="AY81" s="40" t="str">
        <f>IF(ISERROR(IF($K81&lt;=$F$15,VLOOKUP($I81,'表4）CO2価格'!$A$7:$E$67,VLOOKUP($F$48,'表4）CO2価格'!$H$10:$I$12,2,0),0)*$F$8/1000,"")),0,IF($K81&lt;=$F$15,VLOOKUP($I81,'表4）CO2価格'!$A$7:$E$67,VLOOKUP($F$48,'表4）CO2価格'!$H$10:$I$12,2,0),0)*$F$8/1000,""))</f>
        <v/>
      </c>
      <c r="AZ81" s="39"/>
      <c r="BA81" s="42" t="str">
        <f t="shared" si="72"/>
        <v/>
      </c>
      <c r="BB81" s="72" t="str">
        <f t="shared" si="82"/>
        <v/>
      </c>
      <c r="BC81" s="39"/>
      <c r="BD81" s="72" t="str">
        <f t="shared" si="73"/>
        <v/>
      </c>
      <c r="BE81" s="72" t="str">
        <f t="shared" si="83"/>
        <v/>
      </c>
      <c r="BF81" s="39"/>
      <c r="BG81" s="42" t="str">
        <f t="shared" si="74"/>
        <v/>
      </c>
      <c r="BH81" s="72" t="str">
        <f t="shared" si="84"/>
        <v/>
      </c>
      <c r="BI81" s="39"/>
      <c r="BJ81" s="40" t="str">
        <f t="shared" si="85"/>
        <v/>
      </c>
      <c r="BK81" s="157" t="str">
        <f t="shared" si="86"/>
        <v/>
      </c>
      <c r="BL81" s="157" t="str">
        <f t="shared" si="75"/>
        <v/>
      </c>
      <c r="BM81" s="72"/>
      <c r="BN81" s="72" t="str">
        <f t="shared" si="87"/>
        <v/>
      </c>
      <c r="BO81" s="72" t="str">
        <f t="shared" si="88"/>
        <v/>
      </c>
      <c r="BP81" s="39"/>
      <c r="BQ81" s="72" t="str">
        <f t="shared" si="76"/>
        <v/>
      </c>
      <c r="BR81" s="72" t="str">
        <f t="shared" si="89"/>
        <v/>
      </c>
    </row>
    <row r="82" spans="4:70" x14ac:dyDescent="0.15">
      <c r="F82" s="93"/>
      <c r="I82" s="322">
        <f t="shared" si="90"/>
        <v>2097</v>
      </c>
      <c r="J82" s="71"/>
      <c r="K82" s="71">
        <f t="shared" si="91"/>
        <v>68</v>
      </c>
      <c r="L82" s="71"/>
      <c r="M82" s="7">
        <f t="shared" si="61"/>
        <v>0.13398886862759865</v>
      </c>
      <c r="N82" s="71"/>
      <c r="O82" s="10" t="str">
        <f t="shared" si="77"/>
        <v/>
      </c>
      <c r="P82" s="29" t="str">
        <f t="shared" si="62"/>
        <v/>
      </c>
      <c r="Q82" s="71"/>
      <c r="R82" s="10" t="str">
        <f t="shared" si="78"/>
        <v/>
      </c>
      <c r="S82" s="71"/>
      <c r="T82" s="10" t="str">
        <f t="shared" si="79"/>
        <v/>
      </c>
      <c r="U82" s="71"/>
      <c r="V82" s="10" t="str">
        <f t="shared" si="63"/>
        <v/>
      </c>
      <c r="W82" s="10" t="str">
        <f t="shared" si="54"/>
        <v/>
      </c>
      <c r="X82" s="71"/>
      <c r="Y82" s="10" t="str">
        <f t="shared" si="64"/>
        <v/>
      </c>
      <c r="Z82" s="10" t="str">
        <f t="shared" si="55"/>
        <v/>
      </c>
      <c r="AA82" s="71"/>
      <c r="AB82" s="10" t="str">
        <f t="shared" si="65"/>
        <v/>
      </c>
      <c r="AC82" s="10" t="str">
        <f t="shared" si="56"/>
        <v/>
      </c>
      <c r="AD82" s="71"/>
      <c r="AE82" s="10" t="str">
        <f t="shared" si="66"/>
        <v/>
      </c>
      <c r="AF82" s="10" t="str">
        <f t="shared" si="57"/>
        <v/>
      </c>
      <c r="AG82" s="71"/>
      <c r="AH82" s="10" t="str">
        <f t="shared" si="67"/>
        <v/>
      </c>
      <c r="AI82" s="10" t="str">
        <f t="shared" si="58"/>
        <v/>
      </c>
      <c r="AJ82" s="71"/>
      <c r="AK82" s="10" t="str">
        <f t="shared" si="68"/>
        <v/>
      </c>
      <c r="AL82" s="10" t="str">
        <f t="shared" si="59"/>
        <v/>
      </c>
      <c r="AM82" s="71"/>
      <c r="AN82" s="10" t="str">
        <f t="shared" si="69"/>
        <v/>
      </c>
      <c r="AO82" s="10" t="str">
        <f t="shared" si="60"/>
        <v/>
      </c>
      <c r="AP82" s="71"/>
      <c r="AQ82" s="10" t="str">
        <f t="shared" si="70"/>
        <v/>
      </c>
      <c r="AR82" s="10" t="str">
        <f t="shared" si="80"/>
        <v/>
      </c>
      <c r="AS82" s="71"/>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U82" s="71"/>
      <c r="AV82" s="10" t="str">
        <f t="shared" si="71"/>
        <v/>
      </c>
      <c r="AW82" s="10" t="str">
        <f t="shared" si="81"/>
        <v/>
      </c>
      <c r="AX82" s="71"/>
      <c r="AY82" s="7" t="str">
        <f>IF(ISERROR(IF($K82&lt;=$F$15,VLOOKUP($I82,'表4）CO2価格'!$A$7:$E$67,VLOOKUP($F$48,'表4）CO2価格'!$H$10:$I$12,2,0),0)*$F$8/1000,"")),0,IF($K82&lt;=$F$15,VLOOKUP($I82,'表4）CO2価格'!$A$7:$E$67,VLOOKUP($F$48,'表4）CO2価格'!$H$10:$I$12,2,0),0)*$F$8/1000,""))</f>
        <v/>
      </c>
      <c r="AZ82" s="71"/>
      <c r="BA82" s="11" t="str">
        <f t="shared" si="72"/>
        <v/>
      </c>
      <c r="BB82" s="10" t="str">
        <f t="shared" si="82"/>
        <v/>
      </c>
      <c r="BC82" s="71"/>
      <c r="BD82" s="10" t="str">
        <f t="shared" si="73"/>
        <v/>
      </c>
      <c r="BE82" s="10" t="str">
        <f t="shared" si="83"/>
        <v/>
      </c>
      <c r="BF82" s="71"/>
      <c r="BG82" s="11" t="str">
        <f t="shared" si="74"/>
        <v/>
      </c>
      <c r="BH82" s="10" t="str">
        <f t="shared" si="84"/>
        <v/>
      </c>
      <c r="BJ82" s="7" t="str">
        <f t="shared" si="85"/>
        <v/>
      </c>
      <c r="BK82" s="158" t="str">
        <f t="shared" si="86"/>
        <v/>
      </c>
      <c r="BL82" s="158" t="str">
        <f t="shared" si="75"/>
        <v/>
      </c>
      <c r="BM82" s="10"/>
      <c r="BN82" s="10" t="str">
        <f t="shared" si="87"/>
        <v/>
      </c>
      <c r="BO82" s="10" t="str">
        <f t="shared" si="88"/>
        <v/>
      </c>
      <c r="BQ82" s="10" t="str">
        <f t="shared" si="76"/>
        <v/>
      </c>
      <c r="BR82" s="10" t="str">
        <f t="shared" si="89"/>
        <v/>
      </c>
    </row>
    <row r="83" spans="4:70" ht="15" x14ac:dyDescent="0.15">
      <c r="D83" s="116" t="s">
        <v>194</v>
      </c>
      <c r="F83" s="94">
        <f>SUBTOTAL(9,F87:F90)</f>
        <v>2.2949407812701077</v>
      </c>
      <c r="G83" s="81" t="s">
        <v>132</v>
      </c>
      <c r="I83" s="38">
        <f>I82+1</f>
        <v>2098</v>
      </c>
      <c r="J83" s="39"/>
      <c r="K83" s="39">
        <f>IF(I83&lt;&gt;"",K82+1,"")</f>
        <v>69</v>
      </c>
      <c r="L83" s="39"/>
      <c r="M83" s="40">
        <f t="shared" si="61"/>
        <v>0.13008628022096957</v>
      </c>
      <c r="N83" s="39"/>
      <c r="O83" s="72" t="str">
        <f t="shared" si="77"/>
        <v/>
      </c>
      <c r="P83" s="41" t="str">
        <f t="shared" si="62"/>
        <v/>
      </c>
      <c r="Q83" s="39"/>
      <c r="R83" s="72" t="str">
        <f t="shared" si="78"/>
        <v/>
      </c>
      <c r="S83" s="39"/>
      <c r="T83" s="72" t="str">
        <f t="shared" si="79"/>
        <v/>
      </c>
      <c r="U83" s="39"/>
      <c r="V83" s="72" t="str">
        <f t="shared" si="63"/>
        <v/>
      </c>
      <c r="W83" s="72" t="str">
        <f t="shared" ref="W83:W114" si="92">IF(ISNUMBER(V83),V83*$M83,"")</f>
        <v/>
      </c>
      <c r="X83" s="39"/>
      <c r="Y83" s="72" t="str">
        <f t="shared" si="64"/>
        <v/>
      </c>
      <c r="Z83" s="72" t="str">
        <f t="shared" ref="Z83:Z114" si="93">IF(ISNUMBER(Y83),Y83*$M83,"")</f>
        <v/>
      </c>
      <c r="AA83" s="39"/>
      <c r="AB83" s="72" t="str">
        <f t="shared" si="65"/>
        <v/>
      </c>
      <c r="AC83" s="72" t="str">
        <f t="shared" ref="AC83:AC114" si="94">IF(ISNUMBER(AB83),AB83*$M83,"")</f>
        <v/>
      </c>
      <c r="AD83" s="39"/>
      <c r="AE83" s="72" t="str">
        <f t="shared" si="66"/>
        <v/>
      </c>
      <c r="AF83" s="72" t="str">
        <f t="shared" ref="AF83:AF114" si="95">IF(ISNUMBER(AE83),AE83*$M83,"")</f>
        <v/>
      </c>
      <c r="AG83" s="39"/>
      <c r="AH83" s="72" t="str">
        <f t="shared" si="67"/>
        <v/>
      </c>
      <c r="AI83" s="72" t="str">
        <f t="shared" ref="AI83:AI114" si="96">IF(ISNUMBER(AH83),AH83*$M83,"")</f>
        <v/>
      </c>
      <c r="AJ83" s="39"/>
      <c r="AK83" s="72" t="str">
        <f t="shared" si="68"/>
        <v/>
      </c>
      <c r="AL83" s="72" t="str">
        <f t="shared" ref="AL83:AL114" si="97">IF(ISNUMBER(AK83),AK83*$M83,"")</f>
        <v/>
      </c>
      <c r="AM83" s="39"/>
      <c r="AN83" s="72" t="str">
        <f t="shared" si="69"/>
        <v/>
      </c>
      <c r="AO83" s="72" t="str">
        <f t="shared" ref="AO83:AO114" si="98">IF(ISNUMBER(AN83),AN83*$M83,"")</f>
        <v/>
      </c>
      <c r="AP83" s="39"/>
      <c r="AQ83" s="72" t="str">
        <f t="shared" si="70"/>
        <v/>
      </c>
      <c r="AR83" s="72" t="str">
        <f t="shared" si="80"/>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71"/>
        <v/>
      </c>
      <c r="AW83" s="72" t="str">
        <f t="shared" si="81"/>
        <v/>
      </c>
      <c r="AX83" s="39"/>
      <c r="AY83" s="40" t="str">
        <f>IF(ISERROR(IF($K83&lt;=$F$15,VLOOKUP($I83,'表4）CO2価格'!$A$7:$E$67,VLOOKUP($F$48,'表4）CO2価格'!$H$10:$I$12,2,0),0)*$F$8/1000,"")),0,IF($K83&lt;=$F$15,VLOOKUP($I83,'表4）CO2価格'!$A$7:$E$67,VLOOKUP($F$48,'表4）CO2価格'!$H$10:$I$12,2,0),0)*$F$8/1000,""))</f>
        <v/>
      </c>
      <c r="AZ83" s="39"/>
      <c r="BA83" s="42" t="str">
        <f t="shared" si="72"/>
        <v/>
      </c>
      <c r="BB83" s="72" t="str">
        <f t="shared" si="82"/>
        <v/>
      </c>
      <c r="BC83" s="39"/>
      <c r="BD83" s="72" t="str">
        <f t="shared" si="73"/>
        <v/>
      </c>
      <c r="BE83" s="72" t="str">
        <f t="shared" si="83"/>
        <v/>
      </c>
      <c r="BF83" s="39"/>
      <c r="BG83" s="42" t="str">
        <f t="shared" si="74"/>
        <v/>
      </c>
      <c r="BH83" s="72" t="str">
        <f t="shared" si="84"/>
        <v/>
      </c>
      <c r="BI83" s="39"/>
      <c r="BJ83" s="40" t="str">
        <f t="shared" si="85"/>
        <v/>
      </c>
      <c r="BK83" s="157" t="str">
        <f t="shared" si="86"/>
        <v/>
      </c>
      <c r="BL83" s="157" t="str">
        <f t="shared" si="75"/>
        <v/>
      </c>
      <c r="BM83" s="72"/>
      <c r="BN83" s="72" t="str">
        <f t="shared" si="87"/>
        <v/>
      </c>
      <c r="BO83" s="72" t="str">
        <f t="shared" si="88"/>
        <v/>
      </c>
      <c r="BP83" s="39"/>
      <c r="BQ83" s="72" t="str">
        <f t="shared" si="76"/>
        <v/>
      </c>
      <c r="BR83" s="72" t="str">
        <f t="shared" si="89"/>
        <v/>
      </c>
    </row>
    <row r="84" spans="4:70" x14ac:dyDescent="0.15">
      <c r="F84" s="93"/>
      <c r="I84" s="322">
        <f t="shared" si="90"/>
        <v>2099</v>
      </c>
      <c r="J84" s="71"/>
      <c r="K84" s="71">
        <f t="shared" si="91"/>
        <v>70</v>
      </c>
      <c r="L84" s="71"/>
      <c r="M84" s="7">
        <f t="shared" si="61"/>
        <v>0.12629735943783454</v>
      </c>
      <c r="N84" s="71"/>
      <c r="O84" s="10" t="str">
        <f t="shared" si="77"/>
        <v/>
      </c>
      <c r="P84" s="29" t="str">
        <f t="shared" si="62"/>
        <v/>
      </c>
      <c r="Q84" s="71"/>
      <c r="R84" s="10" t="str">
        <f t="shared" si="78"/>
        <v/>
      </c>
      <c r="S84" s="71"/>
      <c r="T84" s="10" t="str">
        <f t="shared" si="79"/>
        <v/>
      </c>
      <c r="U84" s="71"/>
      <c r="V84" s="10" t="str">
        <f t="shared" si="63"/>
        <v/>
      </c>
      <c r="W84" s="10" t="str">
        <f t="shared" si="92"/>
        <v/>
      </c>
      <c r="X84" s="71"/>
      <c r="Y84" s="10" t="str">
        <f t="shared" si="64"/>
        <v/>
      </c>
      <c r="Z84" s="10" t="str">
        <f t="shared" si="93"/>
        <v/>
      </c>
      <c r="AA84" s="71"/>
      <c r="AB84" s="10" t="str">
        <f t="shared" si="65"/>
        <v/>
      </c>
      <c r="AC84" s="10" t="str">
        <f t="shared" si="94"/>
        <v/>
      </c>
      <c r="AD84" s="71"/>
      <c r="AE84" s="10" t="str">
        <f t="shared" si="66"/>
        <v/>
      </c>
      <c r="AF84" s="10" t="str">
        <f t="shared" si="95"/>
        <v/>
      </c>
      <c r="AG84" s="71"/>
      <c r="AH84" s="10" t="str">
        <f t="shared" si="67"/>
        <v/>
      </c>
      <c r="AI84" s="10" t="str">
        <f t="shared" si="96"/>
        <v/>
      </c>
      <c r="AJ84" s="71"/>
      <c r="AK84" s="10" t="str">
        <f t="shared" si="68"/>
        <v/>
      </c>
      <c r="AL84" s="10" t="str">
        <f t="shared" si="97"/>
        <v/>
      </c>
      <c r="AM84" s="71"/>
      <c r="AN84" s="10" t="str">
        <f t="shared" si="69"/>
        <v/>
      </c>
      <c r="AO84" s="10" t="str">
        <f t="shared" si="98"/>
        <v/>
      </c>
      <c r="AP84" s="71"/>
      <c r="AQ84" s="10" t="str">
        <f t="shared" si="70"/>
        <v/>
      </c>
      <c r="AR84" s="10" t="str">
        <f t="shared" si="80"/>
        <v/>
      </c>
      <c r="AS84" s="71"/>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U84" s="71"/>
      <c r="AV84" s="10" t="str">
        <f t="shared" si="71"/>
        <v/>
      </c>
      <c r="AW84" s="10" t="str">
        <f t="shared" si="81"/>
        <v/>
      </c>
      <c r="AX84" s="71"/>
      <c r="AY84" s="7" t="str">
        <f>IF(ISERROR(IF($K84&lt;=$F$15,VLOOKUP($I84,'表4）CO2価格'!$A$7:$E$67,VLOOKUP($F$48,'表4）CO2価格'!$H$10:$I$12,2,0),0)*$F$8/1000,"")),0,IF($K84&lt;=$F$15,VLOOKUP($I84,'表4）CO2価格'!$A$7:$E$67,VLOOKUP($F$48,'表4）CO2価格'!$H$10:$I$12,2,0),0)*$F$8/1000,""))</f>
        <v/>
      </c>
      <c r="AZ84" s="71"/>
      <c r="BA84" s="11" t="str">
        <f t="shared" si="72"/>
        <v/>
      </c>
      <c r="BB84" s="10" t="str">
        <f t="shared" si="82"/>
        <v/>
      </c>
      <c r="BC84" s="71"/>
      <c r="BD84" s="10" t="str">
        <f t="shared" si="73"/>
        <v/>
      </c>
      <c r="BE84" s="10" t="str">
        <f t="shared" si="83"/>
        <v/>
      </c>
      <c r="BF84" s="71"/>
      <c r="BG84" s="11" t="str">
        <f t="shared" si="74"/>
        <v/>
      </c>
      <c r="BH84" s="10" t="str">
        <f t="shared" si="84"/>
        <v/>
      </c>
      <c r="BJ84" s="7" t="str">
        <f t="shared" si="85"/>
        <v/>
      </c>
      <c r="BK84" s="158" t="str">
        <f t="shared" si="86"/>
        <v/>
      </c>
      <c r="BL84" s="158" t="str">
        <f t="shared" si="75"/>
        <v/>
      </c>
      <c r="BM84" s="10"/>
      <c r="BN84" s="10" t="str">
        <f t="shared" si="87"/>
        <v/>
      </c>
      <c r="BO84" s="10" t="str">
        <f t="shared" si="88"/>
        <v/>
      </c>
      <c r="BQ84" s="10" t="str">
        <f t="shared" si="76"/>
        <v/>
      </c>
      <c r="BR84" s="10" t="str">
        <f t="shared" si="89"/>
        <v/>
      </c>
    </row>
    <row r="85" spans="4:70" x14ac:dyDescent="0.15">
      <c r="D85" s="101" t="s">
        <v>195</v>
      </c>
      <c r="E85" s="113"/>
      <c r="F85" s="92"/>
      <c r="G85" s="101"/>
      <c r="I85" s="38">
        <f t="shared" si="90"/>
        <v>2100</v>
      </c>
      <c r="J85" s="39"/>
      <c r="K85" s="39">
        <f t="shared" si="91"/>
        <v>71</v>
      </c>
      <c r="L85" s="39"/>
      <c r="M85" s="40">
        <f t="shared" si="61"/>
        <v>0.12261879557071313</v>
      </c>
      <c r="N85" s="39"/>
      <c r="O85" s="72" t="str">
        <f t="shared" si="77"/>
        <v/>
      </c>
      <c r="P85" s="41" t="str">
        <f t="shared" si="62"/>
        <v/>
      </c>
      <c r="Q85" s="39"/>
      <c r="R85" s="72" t="str">
        <f t="shared" si="78"/>
        <v/>
      </c>
      <c r="S85" s="39"/>
      <c r="T85" s="72" t="str">
        <f t="shared" si="79"/>
        <v/>
      </c>
      <c r="U85" s="39"/>
      <c r="V85" s="72" t="str">
        <f t="shared" si="63"/>
        <v/>
      </c>
      <c r="W85" s="72" t="str">
        <f t="shared" si="92"/>
        <v/>
      </c>
      <c r="X85" s="39"/>
      <c r="Y85" s="72" t="str">
        <f t="shared" si="64"/>
        <v/>
      </c>
      <c r="Z85" s="72" t="str">
        <f t="shared" si="93"/>
        <v/>
      </c>
      <c r="AA85" s="39"/>
      <c r="AB85" s="72" t="str">
        <f t="shared" si="65"/>
        <v/>
      </c>
      <c r="AC85" s="72" t="str">
        <f t="shared" si="94"/>
        <v/>
      </c>
      <c r="AD85" s="39"/>
      <c r="AE85" s="72" t="str">
        <f t="shared" si="66"/>
        <v/>
      </c>
      <c r="AF85" s="72" t="str">
        <f t="shared" si="95"/>
        <v/>
      </c>
      <c r="AG85" s="39"/>
      <c r="AH85" s="72" t="str">
        <f t="shared" si="67"/>
        <v/>
      </c>
      <c r="AI85" s="72" t="str">
        <f t="shared" si="96"/>
        <v/>
      </c>
      <c r="AJ85" s="39"/>
      <c r="AK85" s="72" t="str">
        <f t="shared" si="68"/>
        <v/>
      </c>
      <c r="AL85" s="72" t="str">
        <f t="shared" si="97"/>
        <v/>
      </c>
      <c r="AM85" s="39"/>
      <c r="AN85" s="72" t="str">
        <f t="shared" si="69"/>
        <v/>
      </c>
      <c r="AO85" s="72" t="str">
        <f t="shared" si="98"/>
        <v/>
      </c>
      <c r="AP85" s="39"/>
      <c r="AQ85" s="72" t="str">
        <f t="shared" si="70"/>
        <v/>
      </c>
      <c r="AR85" s="72" t="str">
        <f t="shared" si="80"/>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71"/>
        <v/>
      </c>
      <c r="AW85" s="72" t="str">
        <f t="shared" si="81"/>
        <v/>
      </c>
      <c r="AX85" s="39"/>
      <c r="AY85" s="40" t="str">
        <f>IF(ISERROR(IF($K85&lt;=$F$15,VLOOKUP($I85,'表4）CO2価格'!$A$7:$E$67,VLOOKUP($F$48,'表4）CO2価格'!$H$10:$I$12,2,0),0)*$F$8/1000,"")),0,IF($K85&lt;=$F$15,VLOOKUP($I85,'表4）CO2価格'!$A$7:$E$67,VLOOKUP($F$48,'表4）CO2価格'!$H$10:$I$12,2,0),0)*$F$8/1000,""))</f>
        <v/>
      </c>
      <c r="AZ85" s="39"/>
      <c r="BA85" s="42" t="str">
        <f t="shared" si="72"/>
        <v/>
      </c>
      <c r="BB85" s="72" t="str">
        <f t="shared" si="82"/>
        <v/>
      </c>
      <c r="BC85" s="39"/>
      <c r="BD85" s="72" t="str">
        <f t="shared" si="73"/>
        <v/>
      </c>
      <c r="BE85" s="72" t="str">
        <f t="shared" si="83"/>
        <v/>
      </c>
      <c r="BF85" s="39"/>
      <c r="BG85" s="42" t="str">
        <f t="shared" si="74"/>
        <v/>
      </c>
      <c r="BH85" s="72" t="str">
        <f t="shared" si="84"/>
        <v/>
      </c>
      <c r="BI85" s="39"/>
      <c r="BJ85" s="40" t="str">
        <f t="shared" si="85"/>
        <v/>
      </c>
      <c r="BK85" s="157" t="str">
        <f t="shared" si="86"/>
        <v/>
      </c>
      <c r="BL85" s="157" t="str">
        <f t="shared" si="75"/>
        <v/>
      </c>
      <c r="BM85" s="72"/>
      <c r="BN85" s="72" t="str">
        <f t="shared" si="87"/>
        <v/>
      </c>
      <c r="BO85" s="72" t="str">
        <f t="shared" si="88"/>
        <v/>
      </c>
      <c r="BP85" s="39"/>
      <c r="BQ85" s="72" t="str">
        <f t="shared" si="76"/>
        <v/>
      </c>
      <c r="BR85" s="72" t="str">
        <f t="shared" si="89"/>
        <v/>
      </c>
    </row>
    <row r="86" spans="4:70" x14ac:dyDescent="0.15">
      <c r="F86" s="93"/>
      <c r="I86" s="322">
        <f t="shared" si="90"/>
        <v>2101</v>
      </c>
      <c r="J86" s="71"/>
      <c r="K86" s="71">
        <f t="shared" si="91"/>
        <v>72</v>
      </c>
      <c r="L86" s="71"/>
      <c r="M86" s="7">
        <f t="shared" si="61"/>
        <v>0.1190473743404982</v>
      </c>
      <c r="N86" s="71"/>
      <c r="O86" s="10" t="str">
        <f t="shared" si="77"/>
        <v/>
      </c>
      <c r="P86" s="29" t="str">
        <f t="shared" si="62"/>
        <v/>
      </c>
      <c r="Q86" s="71"/>
      <c r="R86" s="10" t="str">
        <f t="shared" si="78"/>
        <v/>
      </c>
      <c r="S86" s="71"/>
      <c r="T86" s="10" t="str">
        <f t="shared" si="79"/>
        <v/>
      </c>
      <c r="U86" s="71"/>
      <c r="V86" s="10" t="str">
        <f t="shared" si="63"/>
        <v/>
      </c>
      <c r="W86" s="10" t="str">
        <f t="shared" si="92"/>
        <v/>
      </c>
      <c r="X86" s="71"/>
      <c r="Y86" s="10" t="str">
        <f t="shared" si="64"/>
        <v/>
      </c>
      <c r="Z86" s="10" t="str">
        <f t="shared" si="93"/>
        <v/>
      </c>
      <c r="AA86" s="71"/>
      <c r="AB86" s="10" t="str">
        <f t="shared" si="65"/>
        <v/>
      </c>
      <c r="AC86" s="10" t="str">
        <f t="shared" si="94"/>
        <v/>
      </c>
      <c r="AD86" s="71"/>
      <c r="AE86" s="10" t="str">
        <f t="shared" si="66"/>
        <v/>
      </c>
      <c r="AF86" s="10" t="str">
        <f t="shared" si="95"/>
        <v/>
      </c>
      <c r="AG86" s="71"/>
      <c r="AH86" s="10" t="str">
        <f t="shared" si="67"/>
        <v/>
      </c>
      <c r="AI86" s="10" t="str">
        <f t="shared" si="96"/>
        <v/>
      </c>
      <c r="AJ86" s="71"/>
      <c r="AK86" s="10" t="str">
        <f t="shared" si="68"/>
        <v/>
      </c>
      <c r="AL86" s="10" t="str">
        <f t="shared" si="97"/>
        <v/>
      </c>
      <c r="AM86" s="71"/>
      <c r="AN86" s="10" t="str">
        <f t="shared" si="69"/>
        <v/>
      </c>
      <c r="AO86" s="10" t="str">
        <f t="shared" si="98"/>
        <v/>
      </c>
      <c r="AP86" s="71"/>
      <c r="AQ86" s="10" t="str">
        <f t="shared" si="70"/>
        <v/>
      </c>
      <c r="AR86" s="10" t="str">
        <f t="shared" si="80"/>
        <v/>
      </c>
      <c r="AS86" s="71"/>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U86" s="71"/>
      <c r="AV86" s="10" t="str">
        <f t="shared" si="71"/>
        <v/>
      </c>
      <c r="AW86" s="10" t="str">
        <f t="shared" si="81"/>
        <v/>
      </c>
      <c r="AX86" s="71"/>
      <c r="AY86" s="7" t="str">
        <f>IF(ISERROR(IF($K86&lt;=$F$15,VLOOKUP($I86,'表4）CO2価格'!$A$7:$E$67,VLOOKUP($F$48,'表4）CO2価格'!$H$10:$I$12,2,0),0)*$F$8/1000,"")),0,IF($K86&lt;=$F$15,VLOOKUP($I86,'表4）CO2価格'!$A$7:$E$67,VLOOKUP($F$48,'表4）CO2価格'!$H$10:$I$12,2,0),0)*$F$8/1000,""))</f>
        <v/>
      </c>
      <c r="AZ86" s="71"/>
      <c r="BA86" s="11" t="str">
        <f t="shared" si="72"/>
        <v/>
      </c>
      <c r="BB86" s="10" t="str">
        <f t="shared" si="82"/>
        <v/>
      </c>
      <c r="BC86" s="71"/>
      <c r="BD86" s="10" t="str">
        <f t="shared" si="73"/>
        <v/>
      </c>
      <c r="BE86" s="10" t="str">
        <f t="shared" si="83"/>
        <v/>
      </c>
      <c r="BF86" s="71"/>
      <c r="BG86" s="11" t="str">
        <f t="shared" si="74"/>
        <v/>
      </c>
      <c r="BH86" s="10" t="str">
        <f t="shared" si="84"/>
        <v/>
      </c>
      <c r="BJ86" s="7" t="str">
        <f t="shared" si="85"/>
        <v/>
      </c>
      <c r="BK86" s="158" t="str">
        <f t="shared" si="86"/>
        <v/>
      </c>
      <c r="BL86" s="158" t="str">
        <f t="shared" si="75"/>
        <v/>
      </c>
      <c r="BM86" s="10"/>
      <c r="BN86" s="10" t="str">
        <f t="shared" si="87"/>
        <v/>
      </c>
      <c r="BO86" s="10" t="str">
        <f t="shared" si="88"/>
        <v/>
      </c>
      <c r="BQ86" s="10" t="str">
        <f t="shared" si="76"/>
        <v/>
      </c>
      <c r="BR86" s="10" t="str">
        <f t="shared" si="89"/>
        <v/>
      </c>
    </row>
    <row r="87" spans="4:70" x14ac:dyDescent="0.15">
      <c r="E87" s="81" t="s">
        <v>141</v>
      </c>
      <c r="F87" s="91">
        <f>AI116/$BR$116</f>
        <v>0.10847275780646391</v>
      </c>
      <c r="G87" s="81" t="s">
        <v>132</v>
      </c>
      <c r="I87" s="38">
        <f t="shared" si="90"/>
        <v>2102</v>
      </c>
      <c r="J87" s="39"/>
      <c r="K87" s="39">
        <f t="shared" si="91"/>
        <v>73</v>
      </c>
      <c r="L87" s="39"/>
      <c r="M87" s="40">
        <f t="shared" si="61"/>
        <v>0.11557997508786232</v>
      </c>
      <c r="N87" s="39"/>
      <c r="O87" s="72" t="str">
        <f t="shared" si="77"/>
        <v/>
      </c>
      <c r="P87" s="41" t="str">
        <f t="shared" si="62"/>
        <v/>
      </c>
      <c r="Q87" s="39"/>
      <c r="R87" s="72" t="str">
        <f t="shared" si="78"/>
        <v/>
      </c>
      <c r="S87" s="39"/>
      <c r="T87" s="72" t="str">
        <f t="shared" si="79"/>
        <v/>
      </c>
      <c r="U87" s="39"/>
      <c r="V87" s="72" t="str">
        <f t="shared" si="63"/>
        <v/>
      </c>
      <c r="W87" s="72" t="str">
        <f t="shared" si="92"/>
        <v/>
      </c>
      <c r="X87" s="39"/>
      <c r="Y87" s="72" t="str">
        <f t="shared" si="64"/>
        <v/>
      </c>
      <c r="Z87" s="72" t="str">
        <f t="shared" si="93"/>
        <v/>
      </c>
      <c r="AA87" s="39"/>
      <c r="AB87" s="72" t="str">
        <f t="shared" si="65"/>
        <v/>
      </c>
      <c r="AC87" s="72" t="str">
        <f t="shared" si="94"/>
        <v/>
      </c>
      <c r="AD87" s="39"/>
      <c r="AE87" s="72" t="str">
        <f t="shared" si="66"/>
        <v/>
      </c>
      <c r="AF87" s="72" t="str">
        <f t="shared" si="95"/>
        <v/>
      </c>
      <c r="AG87" s="39"/>
      <c r="AH87" s="72" t="str">
        <f t="shared" si="67"/>
        <v/>
      </c>
      <c r="AI87" s="72" t="str">
        <f t="shared" si="96"/>
        <v/>
      </c>
      <c r="AJ87" s="39"/>
      <c r="AK87" s="72" t="str">
        <f t="shared" si="68"/>
        <v/>
      </c>
      <c r="AL87" s="72" t="str">
        <f t="shared" si="97"/>
        <v/>
      </c>
      <c r="AM87" s="39"/>
      <c r="AN87" s="72" t="str">
        <f t="shared" si="69"/>
        <v/>
      </c>
      <c r="AO87" s="72" t="str">
        <f t="shared" si="98"/>
        <v/>
      </c>
      <c r="AP87" s="39"/>
      <c r="AQ87" s="72" t="str">
        <f t="shared" si="70"/>
        <v/>
      </c>
      <c r="AR87" s="72" t="str">
        <f t="shared" si="80"/>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71"/>
        <v/>
      </c>
      <c r="AW87" s="72" t="str">
        <f t="shared" si="81"/>
        <v/>
      </c>
      <c r="AX87" s="39"/>
      <c r="AY87" s="40" t="str">
        <f>IF(ISERROR(IF($K87&lt;=$F$15,VLOOKUP($I87,'表4）CO2価格'!$A$7:$E$67,VLOOKUP($F$48,'表4）CO2価格'!$H$10:$I$12,2,0),0)*$F$8/1000,"")),0,IF($K87&lt;=$F$15,VLOOKUP($I87,'表4）CO2価格'!$A$7:$E$67,VLOOKUP($F$48,'表4）CO2価格'!$H$10:$I$12,2,0),0)*$F$8/1000,""))</f>
        <v/>
      </c>
      <c r="AZ87" s="39"/>
      <c r="BA87" s="42" t="str">
        <f t="shared" si="72"/>
        <v/>
      </c>
      <c r="BB87" s="72" t="str">
        <f t="shared" si="82"/>
        <v/>
      </c>
      <c r="BC87" s="39"/>
      <c r="BD87" s="72" t="str">
        <f t="shared" si="73"/>
        <v/>
      </c>
      <c r="BE87" s="72" t="str">
        <f t="shared" si="83"/>
        <v/>
      </c>
      <c r="BF87" s="39"/>
      <c r="BG87" s="42" t="str">
        <f t="shared" si="74"/>
        <v/>
      </c>
      <c r="BH87" s="72" t="str">
        <f t="shared" si="84"/>
        <v/>
      </c>
      <c r="BI87" s="39"/>
      <c r="BJ87" s="40" t="str">
        <f t="shared" si="85"/>
        <v/>
      </c>
      <c r="BK87" s="157" t="str">
        <f t="shared" si="86"/>
        <v/>
      </c>
      <c r="BL87" s="157" t="str">
        <f t="shared" si="75"/>
        <v/>
      </c>
      <c r="BM87" s="72"/>
      <c r="BN87" s="72" t="str">
        <f t="shared" si="87"/>
        <v/>
      </c>
      <c r="BO87" s="72" t="str">
        <f t="shared" si="88"/>
        <v/>
      </c>
      <c r="BP87" s="39"/>
      <c r="BQ87" s="72" t="str">
        <f t="shared" si="76"/>
        <v/>
      </c>
      <c r="BR87" s="72" t="str">
        <f t="shared" si="89"/>
        <v/>
      </c>
    </row>
    <row r="88" spans="4:70" x14ac:dyDescent="0.15">
      <c r="E88" s="81" t="s">
        <v>120</v>
      </c>
      <c r="F88" s="91">
        <f>AL116/$BR$116</f>
        <v>1.01057165636422</v>
      </c>
      <c r="G88" s="81" t="s">
        <v>132</v>
      </c>
      <c r="I88" s="322">
        <f t="shared" si="90"/>
        <v>2103</v>
      </c>
      <c r="J88" s="71"/>
      <c r="K88" s="71">
        <f t="shared" si="91"/>
        <v>74</v>
      </c>
      <c r="L88" s="71"/>
      <c r="M88" s="7">
        <f t="shared" si="61"/>
        <v>0.11221356804646829</v>
      </c>
      <c r="N88" s="71"/>
      <c r="O88" s="10" t="str">
        <f t="shared" si="77"/>
        <v/>
      </c>
      <c r="P88" s="29" t="str">
        <f t="shared" si="62"/>
        <v/>
      </c>
      <c r="Q88" s="71"/>
      <c r="R88" s="10" t="str">
        <f t="shared" si="78"/>
        <v/>
      </c>
      <c r="S88" s="71"/>
      <c r="T88" s="10" t="str">
        <f t="shared" si="79"/>
        <v/>
      </c>
      <c r="U88" s="71"/>
      <c r="V88" s="10" t="str">
        <f t="shared" si="63"/>
        <v/>
      </c>
      <c r="W88" s="10" t="str">
        <f t="shared" si="92"/>
        <v/>
      </c>
      <c r="X88" s="71"/>
      <c r="Y88" s="10" t="str">
        <f t="shared" si="64"/>
        <v/>
      </c>
      <c r="Z88" s="10" t="str">
        <f t="shared" si="93"/>
        <v/>
      </c>
      <c r="AA88" s="71"/>
      <c r="AB88" s="10" t="str">
        <f t="shared" si="65"/>
        <v/>
      </c>
      <c r="AC88" s="10" t="str">
        <f t="shared" si="94"/>
        <v/>
      </c>
      <c r="AD88" s="71"/>
      <c r="AE88" s="10" t="str">
        <f t="shared" si="66"/>
        <v/>
      </c>
      <c r="AF88" s="10" t="str">
        <f t="shared" si="95"/>
        <v/>
      </c>
      <c r="AG88" s="71"/>
      <c r="AH88" s="10" t="str">
        <f t="shared" si="67"/>
        <v/>
      </c>
      <c r="AI88" s="10" t="str">
        <f t="shared" si="96"/>
        <v/>
      </c>
      <c r="AJ88" s="71"/>
      <c r="AK88" s="10" t="str">
        <f t="shared" si="68"/>
        <v/>
      </c>
      <c r="AL88" s="10" t="str">
        <f t="shared" si="97"/>
        <v/>
      </c>
      <c r="AM88" s="71"/>
      <c r="AN88" s="10" t="str">
        <f t="shared" si="69"/>
        <v/>
      </c>
      <c r="AO88" s="10" t="str">
        <f t="shared" si="98"/>
        <v/>
      </c>
      <c r="AP88" s="71"/>
      <c r="AQ88" s="10" t="str">
        <f t="shared" si="70"/>
        <v/>
      </c>
      <c r="AR88" s="10" t="str">
        <f t="shared" si="80"/>
        <v/>
      </c>
      <c r="AS88" s="71"/>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U88" s="71"/>
      <c r="AV88" s="10" t="str">
        <f t="shared" si="71"/>
        <v/>
      </c>
      <c r="AW88" s="10" t="str">
        <f t="shared" si="81"/>
        <v/>
      </c>
      <c r="AX88" s="71"/>
      <c r="AY88" s="7" t="str">
        <f>IF(ISERROR(IF($K88&lt;=$F$15,VLOOKUP($I88,'表4）CO2価格'!$A$7:$E$67,VLOOKUP($F$48,'表4）CO2価格'!$H$10:$I$12,2,0),0)*$F$8/1000,"")),0,IF($K88&lt;=$F$15,VLOOKUP($I88,'表4）CO2価格'!$A$7:$E$67,VLOOKUP($F$48,'表4）CO2価格'!$H$10:$I$12,2,0),0)*$F$8/1000,""))</f>
        <v/>
      </c>
      <c r="AZ88" s="71"/>
      <c r="BA88" s="11" t="str">
        <f t="shared" si="72"/>
        <v/>
      </c>
      <c r="BB88" s="10" t="str">
        <f t="shared" si="82"/>
        <v/>
      </c>
      <c r="BC88" s="71"/>
      <c r="BD88" s="10" t="str">
        <f t="shared" si="73"/>
        <v/>
      </c>
      <c r="BE88" s="10" t="str">
        <f t="shared" si="83"/>
        <v/>
      </c>
      <c r="BF88" s="71"/>
      <c r="BG88" s="11" t="str">
        <f t="shared" si="74"/>
        <v/>
      </c>
      <c r="BH88" s="10" t="str">
        <f t="shared" si="84"/>
        <v/>
      </c>
      <c r="BJ88" s="7" t="str">
        <f t="shared" si="85"/>
        <v/>
      </c>
      <c r="BK88" s="158" t="str">
        <f t="shared" si="86"/>
        <v/>
      </c>
      <c r="BL88" s="158" t="str">
        <f t="shared" si="75"/>
        <v/>
      </c>
      <c r="BM88" s="10"/>
      <c r="BN88" s="10" t="str">
        <f t="shared" si="87"/>
        <v/>
      </c>
      <c r="BO88" s="10" t="str">
        <f t="shared" si="88"/>
        <v/>
      </c>
      <c r="BQ88" s="10" t="str">
        <f t="shared" si="76"/>
        <v/>
      </c>
      <c r="BR88" s="10" t="str">
        <f t="shared" si="89"/>
        <v/>
      </c>
    </row>
    <row r="89" spans="4:70" x14ac:dyDescent="0.15">
      <c r="E89" s="81" t="s">
        <v>122</v>
      </c>
      <c r="F89" s="91">
        <f>AO116/$BR$116</f>
        <v>0.92635735166720168</v>
      </c>
      <c r="G89" s="81" t="s">
        <v>132</v>
      </c>
      <c r="I89" s="38">
        <f t="shared" si="90"/>
        <v>2104</v>
      </c>
      <c r="J89" s="39"/>
      <c r="K89" s="39">
        <f t="shared" si="91"/>
        <v>75</v>
      </c>
      <c r="L89" s="39"/>
      <c r="M89" s="40">
        <f t="shared" si="61"/>
        <v>0.10894521169560026</v>
      </c>
      <c r="N89" s="39"/>
      <c r="O89" s="72" t="str">
        <f t="shared" si="77"/>
        <v/>
      </c>
      <c r="P89" s="41" t="str">
        <f t="shared" si="62"/>
        <v/>
      </c>
      <c r="Q89" s="39"/>
      <c r="R89" s="72" t="str">
        <f t="shared" si="78"/>
        <v/>
      </c>
      <c r="S89" s="39"/>
      <c r="T89" s="72" t="str">
        <f t="shared" si="79"/>
        <v/>
      </c>
      <c r="U89" s="39"/>
      <c r="V89" s="72" t="str">
        <f t="shared" si="63"/>
        <v/>
      </c>
      <c r="W89" s="72" t="str">
        <f t="shared" si="92"/>
        <v/>
      </c>
      <c r="X89" s="39"/>
      <c r="Y89" s="72" t="str">
        <f t="shared" si="64"/>
        <v/>
      </c>
      <c r="Z89" s="72" t="str">
        <f t="shared" si="93"/>
        <v/>
      </c>
      <c r="AA89" s="39"/>
      <c r="AB89" s="72" t="str">
        <f t="shared" si="65"/>
        <v/>
      </c>
      <c r="AC89" s="72" t="str">
        <f t="shared" si="94"/>
        <v/>
      </c>
      <c r="AD89" s="39"/>
      <c r="AE89" s="72" t="str">
        <f t="shared" si="66"/>
        <v/>
      </c>
      <c r="AF89" s="72" t="str">
        <f t="shared" si="95"/>
        <v/>
      </c>
      <c r="AG89" s="39"/>
      <c r="AH89" s="72" t="str">
        <f t="shared" si="67"/>
        <v/>
      </c>
      <c r="AI89" s="72" t="str">
        <f t="shared" si="96"/>
        <v/>
      </c>
      <c r="AJ89" s="39"/>
      <c r="AK89" s="72" t="str">
        <f t="shared" si="68"/>
        <v/>
      </c>
      <c r="AL89" s="72" t="str">
        <f t="shared" si="97"/>
        <v/>
      </c>
      <c r="AM89" s="39"/>
      <c r="AN89" s="72" t="str">
        <f t="shared" si="69"/>
        <v/>
      </c>
      <c r="AO89" s="72" t="str">
        <f t="shared" si="98"/>
        <v/>
      </c>
      <c r="AP89" s="39"/>
      <c r="AQ89" s="72" t="str">
        <f t="shared" si="70"/>
        <v/>
      </c>
      <c r="AR89" s="72" t="str">
        <f t="shared" si="80"/>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71"/>
        <v/>
      </c>
      <c r="AW89" s="72" t="str">
        <f t="shared" si="81"/>
        <v/>
      </c>
      <c r="AX89" s="39"/>
      <c r="AY89" s="40" t="str">
        <f>IF(ISERROR(IF($K89&lt;=$F$15,VLOOKUP($I89,'表4）CO2価格'!$A$7:$E$67,VLOOKUP($F$48,'表4）CO2価格'!$H$10:$I$12,2,0),0)*$F$8/1000,"")),0,IF($K89&lt;=$F$15,VLOOKUP($I89,'表4）CO2価格'!$A$7:$E$67,VLOOKUP($F$48,'表4）CO2価格'!$H$10:$I$12,2,0),0)*$F$8/1000,""))</f>
        <v/>
      </c>
      <c r="AZ89" s="39"/>
      <c r="BA89" s="42" t="str">
        <f t="shared" si="72"/>
        <v/>
      </c>
      <c r="BB89" s="72" t="str">
        <f t="shared" si="82"/>
        <v/>
      </c>
      <c r="BC89" s="39"/>
      <c r="BD89" s="72" t="str">
        <f t="shared" si="73"/>
        <v/>
      </c>
      <c r="BE89" s="72" t="str">
        <f t="shared" si="83"/>
        <v/>
      </c>
      <c r="BF89" s="39"/>
      <c r="BG89" s="42" t="str">
        <f t="shared" si="74"/>
        <v/>
      </c>
      <c r="BH89" s="72" t="str">
        <f t="shared" si="84"/>
        <v/>
      </c>
      <c r="BI89" s="39"/>
      <c r="BJ89" s="40" t="str">
        <f t="shared" si="85"/>
        <v/>
      </c>
      <c r="BK89" s="157" t="str">
        <f t="shared" si="86"/>
        <v/>
      </c>
      <c r="BL89" s="157" t="str">
        <f t="shared" si="75"/>
        <v/>
      </c>
      <c r="BM89" s="72"/>
      <c r="BN89" s="72" t="str">
        <f t="shared" si="87"/>
        <v/>
      </c>
      <c r="BO89" s="72" t="str">
        <f t="shared" si="88"/>
        <v/>
      </c>
      <c r="BP89" s="39"/>
      <c r="BQ89" s="72" t="str">
        <f t="shared" si="76"/>
        <v/>
      </c>
      <c r="BR89" s="72" t="str">
        <f t="shared" si="89"/>
        <v/>
      </c>
    </row>
    <row r="90" spans="4:70" x14ac:dyDescent="0.15">
      <c r="E90" s="81" t="s">
        <v>142</v>
      </c>
      <c r="F90" s="91">
        <f>AR116/$BR$116</f>
        <v>0.24953901543222201</v>
      </c>
      <c r="G90" s="81" t="s">
        <v>132</v>
      </c>
      <c r="I90" s="322">
        <f t="shared" si="90"/>
        <v>2105</v>
      </c>
      <c r="J90" s="71"/>
      <c r="K90" s="71">
        <f t="shared" si="91"/>
        <v>76</v>
      </c>
      <c r="L90" s="71"/>
      <c r="M90" s="7">
        <f t="shared" si="61"/>
        <v>0.10577205018990318</v>
      </c>
      <c r="N90" s="71"/>
      <c r="O90" s="10" t="str">
        <f t="shared" si="77"/>
        <v/>
      </c>
      <c r="P90" s="29" t="str">
        <f t="shared" si="62"/>
        <v/>
      </c>
      <c r="Q90" s="71"/>
      <c r="R90" s="10" t="str">
        <f t="shared" si="78"/>
        <v/>
      </c>
      <c r="S90" s="71"/>
      <c r="T90" s="10" t="str">
        <f t="shared" si="79"/>
        <v/>
      </c>
      <c r="U90" s="71"/>
      <c r="V90" s="10" t="str">
        <f t="shared" si="63"/>
        <v/>
      </c>
      <c r="W90" s="10" t="str">
        <f t="shared" si="92"/>
        <v/>
      </c>
      <c r="X90" s="71"/>
      <c r="Y90" s="10" t="str">
        <f t="shared" si="64"/>
        <v/>
      </c>
      <c r="Z90" s="10" t="str">
        <f t="shared" si="93"/>
        <v/>
      </c>
      <c r="AA90" s="71"/>
      <c r="AB90" s="10" t="str">
        <f t="shared" si="65"/>
        <v/>
      </c>
      <c r="AC90" s="10" t="str">
        <f t="shared" si="94"/>
        <v/>
      </c>
      <c r="AD90" s="71"/>
      <c r="AE90" s="10" t="str">
        <f t="shared" si="66"/>
        <v/>
      </c>
      <c r="AF90" s="10" t="str">
        <f t="shared" si="95"/>
        <v/>
      </c>
      <c r="AG90" s="71"/>
      <c r="AH90" s="10" t="str">
        <f t="shared" si="67"/>
        <v/>
      </c>
      <c r="AI90" s="10" t="str">
        <f t="shared" si="96"/>
        <v/>
      </c>
      <c r="AJ90" s="71"/>
      <c r="AK90" s="10" t="str">
        <f t="shared" si="68"/>
        <v/>
      </c>
      <c r="AL90" s="10" t="str">
        <f t="shared" si="97"/>
        <v/>
      </c>
      <c r="AM90" s="71"/>
      <c r="AN90" s="10" t="str">
        <f t="shared" si="69"/>
        <v/>
      </c>
      <c r="AO90" s="10" t="str">
        <f t="shared" si="98"/>
        <v/>
      </c>
      <c r="AP90" s="71"/>
      <c r="AQ90" s="10" t="str">
        <f t="shared" si="70"/>
        <v/>
      </c>
      <c r="AR90" s="10" t="str">
        <f t="shared" si="80"/>
        <v/>
      </c>
      <c r="AS90" s="71"/>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U90" s="71"/>
      <c r="AV90" s="10" t="str">
        <f t="shared" si="71"/>
        <v/>
      </c>
      <c r="AW90" s="10" t="str">
        <f t="shared" si="81"/>
        <v/>
      </c>
      <c r="AX90" s="71"/>
      <c r="AY90" s="7" t="str">
        <f>IF(ISERROR(IF($K90&lt;=$F$15,VLOOKUP($I90,'表4）CO2価格'!$A$7:$E$67,VLOOKUP($F$48,'表4）CO2価格'!$H$10:$I$12,2,0),0)*$F$8/1000,"")),0,IF($K90&lt;=$F$15,VLOOKUP($I90,'表4）CO2価格'!$A$7:$E$67,VLOOKUP($F$48,'表4）CO2価格'!$H$10:$I$12,2,0),0)*$F$8/1000,""))</f>
        <v/>
      </c>
      <c r="AZ90" s="71"/>
      <c r="BA90" s="11" t="str">
        <f t="shared" si="72"/>
        <v/>
      </c>
      <c r="BB90" s="10" t="str">
        <f t="shared" si="82"/>
        <v/>
      </c>
      <c r="BC90" s="71"/>
      <c r="BD90" s="10" t="str">
        <f t="shared" si="73"/>
        <v/>
      </c>
      <c r="BE90" s="10" t="str">
        <f t="shared" si="83"/>
        <v/>
      </c>
      <c r="BF90" s="71"/>
      <c r="BG90" s="11" t="str">
        <f t="shared" si="74"/>
        <v/>
      </c>
      <c r="BH90" s="10" t="str">
        <f t="shared" si="84"/>
        <v/>
      </c>
      <c r="BJ90" s="7" t="str">
        <f t="shared" si="85"/>
        <v/>
      </c>
      <c r="BK90" s="158" t="str">
        <f t="shared" si="86"/>
        <v/>
      </c>
      <c r="BL90" s="158" t="str">
        <f t="shared" si="75"/>
        <v/>
      </c>
      <c r="BM90" s="10"/>
      <c r="BN90" s="10" t="str">
        <f t="shared" si="87"/>
        <v/>
      </c>
      <c r="BO90" s="10" t="str">
        <f t="shared" si="88"/>
        <v/>
      </c>
      <c r="BQ90" s="10" t="str">
        <f t="shared" si="76"/>
        <v/>
      </c>
      <c r="BR90" s="10" t="str">
        <f t="shared" si="89"/>
        <v/>
      </c>
    </row>
    <row r="91" spans="4:70" x14ac:dyDescent="0.15">
      <c r="F91" s="93"/>
      <c r="I91" s="38">
        <f t="shared" si="90"/>
        <v>2106</v>
      </c>
      <c r="J91" s="39"/>
      <c r="K91" s="39">
        <f t="shared" si="91"/>
        <v>77</v>
      </c>
      <c r="L91" s="39"/>
      <c r="M91" s="40">
        <f t="shared" si="61"/>
        <v>0.10269131086398368</v>
      </c>
      <c r="N91" s="39"/>
      <c r="O91" s="72" t="str">
        <f t="shared" si="77"/>
        <v/>
      </c>
      <c r="P91" s="41" t="str">
        <f t="shared" si="62"/>
        <v/>
      </c>
      <c r="Q91" s="39"/>
      <c r="R91" s="72" t="str">
        <f t="shared" si="78"/>
        <v/>
      </c>
      <c r="S91" s="39"/>
      <c r="T91" s="72" t="str">
        <f t="shared" si="79"/>
        <v/>
      </c>
      <c r="U91" s="39"/>
      <c r="V91" s="72" t="str">
        <f t="shared" si="63"/>
        <v/>
      </c>
      <c r="W91" s="72" t="str">
        <f t="shared" si="92"/>
        <v/>
      </c>
      <c r="X91" s="39"/>
      <c r="Y91" s="72" t="str">
        <f t="shared" si="64"/>
        <v/>
      </c>
      <c r="Z91" s="72" t="str">
        <f t="shared" si="93"/>
        <v/>
      </c>
      <c r="AA91" s="39"/>
      <c r="AB91" s="72" t="str">
        <f t="shared" si="65"/>
        <v/>
      </c>
      <c r="AC91" s="72" t="str">
        <f t="shared" si="94"/>
        <v/>
      </c>
      <c r="AD91" s="39"/>
      <c r="AE91" s="72" t="str">
        <f t="shared" si="66"/>
        <v/>
      </c>
      <c r="AF91" s="72" t="str">
        <f t="shared" si="95"/>
        <v/>
      </c>
      <c r="AG91" s="39"/>
      <c r="AH91" s="72" t="str">
        <f t="shared" si="67"/>
        <v/>
      </c>
      <c r="AI91" s="72" t="str">
        <f t="shared" si="96"/>
        <v/>
      </c>
      <c r="AJ91" s="39"/>
      <c r="AK91" s="72" t="str">
        <f t="shared" si="68"/>
        <v/>
      </c>
      <c r="AL91" s="72" t="str">
        <f t="shared" si="97"/>
        <v/>
      </c>
      <c r="AM91" s="39"/>
      <c r="AN91" s="72" t="str">
        <f t="shared" si="69"/>
        <v/>
      </c>
      <c r="AO91" s="72" t="str">
        <f t="shared" si="98"/>
        <v/>
      </c>
      <c r="AP91" s="39"/>
      <c r="AQ91" s="72" t="str">
        <f t="shared" si="70"/>
        <v/>
      </c>
      <c r="AR91" s="72" t="str">
        <f t="shared" si="80"/>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71"/>
        <v/>
      </c>
      <c r="AW91" s="72" t="str">
        <f t="shared" si="81"/>
        <v/>
      </c>
      <c r="AX91" s="39"/>
      <c r="AY91" s="40" t="str">
        <f>IF(ISERROR(IF($K91&lt;=$F$15,VLOOKUP($I91,'表4）CO2価格'!$A$7:$E$67,VLOOKUP($F$48,'表4）CO2価格'!$H$10:$I$12,2,0),0)*$F$8/1000,"")),0,IF($K91&lt;=$F$15,VLOOKUP($I91,'表4）CO2価格'!$A$7:$E$67,VLOOKUP($F$48,'表4）CO2価格'!$H$10:$I$12,2,0),0)*$F$8/1000,""))</f>
        <v/>
      </c>
      <c r="AZ91" s="39"/>
      <c r="BA91" s="42" t="str">
        <f t="shared" si="72"/>
        <v/>
      </c>
      <c r="BB91" s="72" t="str">
        <f t="shared" si="82"/>
        <v/>
      </c>
      <c r="BC91" s="39"/>
      <c r="BD91" s="72" t="str">
        <f t="shared" si="73"/>
        <v/>
      </c>
      <c r="BE91" s="72" t="str">
        <f t="shared" si="83"/>
        <v/>
      </c>
      <c r="BF91" s="39"/>
      <c r="BG91" s="42" t="str">
        <f t="shared" si="74"/>
        <v/>
      </c>
      <c r="BH91" s="72" t="str">
        <f t="shared" si="84"/>
        <v/>
      </c>
      <c r="BI91" s="39"/>
      <c r="BJ91" s="40" t="str">
        <f t="shared" si="85"/>
        <v/>
      </c>
      <c r="BK91" s="157" t="str">
        <f t="shared" si="86"/>
        <v/>
      </c>
      <c r="BL91" s="157" t="str">
        <f t="shared" si="75"/>
        <v/>
      </c>
      <c r="BM91" s="72"/>
      <c r="BN91" s="72" t="str">
        <f t="shared" si="87"/>
        <v/>
      </c>
      <c r="BO91" s="72" t="str">
        <f t="shared" si="88"/>
        <v/>
      </c>
      <c r="BP91" s="39"/>
      <c r="BQ91" s="72" t="str">
        <f t="shared" si="76"/>
        <v/>
      </c>
      <c r="BR91" s="72" t="str">
        <f t="shared" si="89"/>
        <v/>
      </c>
    </row>
    <row r="92" spans="4:70" ht="15" x14ac:dyDescent="0.15">
      <c r="D92" s="116" t="s">
        <v>196</v>
      </c>
      <c r="F92" s="94">
        <f>SUBTOTAL(9,F96:F97)</f>
        <v>4.286928625471182</v>
      </c>
      <c r="I92" s="322">
        <f t="shared" si="90"/>
        <v>2107</v>
      </c>
      <c r="J92" s="71"/>
      <c r="K92" s="71">
        <f t="shared" si="91"/>
        <v>78</v>
      </c>
      <c r="L92" s="71"/>
      <c r="M92" s="7">
        <f t="shared" si="61"/>
        <v>9.9700301809692873E-2</v>
      </c>
      <c r="N92" s="71"/>
      <c r="O92" s="10" t="str">
        <f t="shared" si="77"/>
        <v/>
      </c>
      <c r="P92" s="29" t="str">
        <f t="shared" si="62"/>
        <v/>
      </c>
      <c r="Q92" s="71"/>
      <c r="R92" s="10" t="str">
        <f t="shared" si="78"/>
        <v/>
      </c>
      <c r="S92" s="71"/>
      <c r="T92" s="10" t="str">
        <f t="shared" si="79"/>
        <v/>
      </c>
      <c r="U92" s="71"/>
      <c r="V92" s="10" t="str">
        <f t="shared" si="63"/>
        <v/>
      </c>
      <c r="W92" s="10" t="str">
        <f t="shared" si="92"/>
        <v/>
      </c>
      <c r="X92" s="71"/>
      <c r="Y92" s="10" t="str">
        <f t="shared" si="64"/>
        <v/>
      </c>
      <c r="Z92" s="10" t="str">
        <f t="shared" si="93"/>
        <v/>
      </c>
      <c r="AA92" s="71"/>
      <c r="AB92" s="10" t="str">
        <f t="shared" si="65"/>
        <v/>
      </c>
      <c r="AC92" s="10" t="str">
        <f t="shared" si="94"/>
        <v/>
      </c>
      <c r="AD92" s="71"/>
      <c r="AE92" s="10" t="str">
        <f t="shared" si="66"/>
        <v/>
      </c>
      <c r="AF92" s="10" t="str">
        <f t="shared" si="95"/>
        <v/>
      </c>
      <c r="AG92" s="71"/>
      <c r="AH92" s="10" t="str">
        <f t="shared" si="67"/>
        <v/>
      </c>
      <c r="AI92" s="10" t="str">
        <f t="shared" si="96"/>
        <v/>
      </c>
      <c r="AJ92" s="71"/>
      <c r="AK92" s="10" t="str">
        <f t="shared" si="68"/>
        <v/>
      </c>
      <c r="AL92" s="10" t="str">
        <f t="shared" si="97"/>
        <v/>
      </c>
      <c r="AM92" s="71"/>
      <c r="AN92" s="10" t="str">
        <f t="shared" si="69"/>
        <v/>
      </c>
      <c r="AO92" s="10" t="str">
        <f t="shared" si="98"/>
        <v/>
      </c>
      <c r="AP92" s="71"/>
      <c r="AQ92" s="10" t="str">
        <f t="shared" si="70"/>
        <v/>
      </c>
      <c r="AR92" s="10" t="str">
        <f t="shared" si="80"/>
        <v/>
      </c>
      <c r="AS92" s="71"/>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U92" s="71"/>
      <c r="AV92" s="10" t="str">
        <f t="shared" si="71"/>
        <v/>
      </c>
      <c r="AW92" s="10" t="str">
        <f t="shared" si="81"/>
        <v/>
      </c>
      <c r="AX92" s="71"/>
      <c r="AY92" s="7" t="str">
        <f>IF(ISERROR(IF($K92&lt;=$F$15,VLOOKUP($I92,'表4）CO2価格'!$A$7:$E$67,VLOOKUP($F$48,'表4）CO2価格'!$H$10:$I$12,2,0),0)*$F$8/1000,"")),0,IF($K92&lt;=$F$15,VLOOKUP($I92,'表4）CO2価格'!$A$7:$E$67,VLOOKUP($F$48,'表4）CO2価格'!$H$10:$I$12,2,0),0)*$F$8/1000,""))</f>
        <v/>
      </c>
      <c r="AZ92" s="71"/>
      <c r="BA92" s="11" t="str">
        <f t="shared" si="72"/>
        <v/>
      </c>
      <c r="BB92" s="10" t="str">
        <f t="shared" si="82"/>
        <v/>
      </c>
      <c r="BC92" s="71"/>
      <c r="BD92" s="10" t="str">
        <f t="shared" si="73"/>
        <v/>
      </c>
      <c r="BE92" s="10" t="str">
        <f t="shared" si="83"/>
        <v/>
      </c>
      <c r="BF92" s="71"/>
      <c r="BG92" s="11" t="str">
        <f t="shared" si="74"/>
        <v/>
      </c>
      <c r="BH92" s="10" t="str">
        <f t="shared" si="84"/>
        <v/>
      </c>
      <c r="BJ92" s="7" t="str">
        <f t="shared" si="85"/>
        <v/>
      </c>
      <c r="BK92" s="158" t="str">
        <f t="shared" si="86"/>
        <v/>
      </c>
      <c r="BL92" s="158" t="str">
        <f t="shared" si="75"/>
        <v/>
      </c>
      <c r="BM92" s="10"/>
      <c r="BN92" s="10" t="str">
        <f t="shared" si="87"/>
        <v/>
      </c>
      <c r="BO92" s="10" t="str">
        <f t="shared" si="88"/>
        <v/>
      </c>
      <c r="BQ92" s="10" t="str">
        <f t="shared" si="76"/>
        <v/>
      </c>
      <c r="BR92" s="10" t="str">
        <f t="shared" si="89"/>
        <v/>
      </c>
    </row>
    <row r="93" spans="4:70" ht="15" x14ac:dyDescent="0.15">
      <c r="D93" s="116"/>
      <c r="F93" s="93"/>
      <c r="I93" s="38">
        <f t="shared" si="90"/>
        <v>2108</v>
      </c>
      <c r="J93" s="39"/>
      <c r="K93" s="39">
        <f t="shared" si="91"/>
        <v>79</v>
      </c>
      <c r="L93" s="39"/>
      <c r="M93" s="40">
        <f t="shared" si="61"/>
        <v>9.679640952397367E-2</v>
      </c>
      <c r="N93" s="39"/>
      <c r="O93" s="72" t="str">
        <f t="shared" si="77"/>
        <v/>
      </c>
      <c r="P93" s="41" t="str">
        <f t="shared" si="62"/>
        <v/>
      </c>
      <c r="Q93" s="39"/>
      <c r="R93" s="72" t="str">
        <f t="shared" si="78"/>
        <v/>
      </c>
      <c r="S93" s="39"/>
      <c r="T93" s="72" t="str">
        <f t="shared" si="79"/>
        <v/>
      </c>
      <c r="U93" s="39"/>
      <c r="V93" s="72" t="str">
        <f t="shared" si="63"/>
        <v/>
      </c>
      <c r="W93" s="72" t="str">
        <f t="shared" si="92"/>
        <v/>
      </c>
      <c r="X93" s="39"/>
      <c r="Y93" s="72" t="str">
        <f t="shared" si="64"/>
        <v/>
      </c>
      <c r="Z93" s="72" t="str">
        <f t="shared" si="93"/>
        <v/>
      </c>
      <c r="AA93" s="39"/>
      <c r="AB93" s="72" t="str">
        <f t="shared" si="65"/>
        <v/>
      </c>
      <c r="AC93" s="72" t="str">
        <f t="shared" si="94"/>
        <v/>
      </c>
      <c r="AD93" s="39"/>
      <c r="AE93" s="72" t="str">
        <f t="shared" si="66"/>
        <v/>
      </c>
      <c r="AF93" s="72" t="str">
        <f t="shared" si="95"/>
        <v/>
      </c>
      <c r="AG93" s="39"/>
      <c r="AH93" s="72" t="str">
        <f t="shared" si="67"/>
        <v/>
      </c>
      <c r="AI93" s="72" t="str">
        <f t="shared" si="96"/>
        <v/>
      </c>
      <c r="AJ93" s="39"/>
      <c r="AK93" s="72" t="str">
        <f t="shared" si="68"/>
        <v/>
      </c>
      <c r="AL93" s="72" t="str">
        <f t="shared" si="97"/>
        <v/>
      </c>
      <c r="AM93" s="39"/>
      <c r="AN93" s="72" t="str">
        <f t="shared" si="69"/>
        <v/>
      </c>
      <c r="AO93" s="72" t="str">
        <f t="shared" si="98"/>
        <v/>
      </c>
      <c r="AP93" s="39"/>
      <c r="AQ93" s="72" t="str">
        <f t="shared" si="70"/>
        <v/>
      </c>
      <c r="AR93" s="72" t="str">
        <f t="shared" si="80"/>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71"/>
        <v/>
      </c>
      <c r="AW93" s="72" t="str">
        <f t="shared" si="81"/>
        <v/>
      </c>
      <c r="AX93" s="39"/>
      <c r="AY93" s="40" t="str">
        <f>IF(ISERROR(IF($K93&lt;=$F$15,VLOOKUP($I93,'表4）CO2価格'!$A$7:$E$67,VLOOKUP($F$48,'表4）CO2価格'!$H$10:$I$12,2,0),0)*$F$8/1000,"")),0,IF($K93&lt;=$F$15,VLOOKUP($I93,'表4）CO2価格'!$A$7:$E$67,VLOOKUP($F$48,'表4）CO2価格'!$H$10:$I$12,2,0),0)*$F$8/1000,""))</f>
        <v/>
      </c>
      <c r="AZ93" s="39"/>
      <c r="BA93" s="42" t="str">
        <f t="shared" si="72"/>
        <v/>
      </c>
      <c r="BB93" s="72" t="str">
        <f t="shared" si="82"/>
        <v/>
      </c>
      <c r="BC93" s="39"/>
      <c r="BD93" s="72" t="str">
        <f t="shared" si="73"/>
        <v/>
      </c>
      <c r="BE93" s="72" t="str">
        <f t="shared" si="83"/>
        <v/>
      </c>
      <c r="BF93" s="39"/>
      <c r="BG93" s="42" t="str">
        <f t="shared" si="74"/>
        <v/>
      </c>
      <c r="BH93" s="72" t="str">
        <f t="shared" si="84"/>
        <v/>
      </c>
      <c r="BI93" s="39"/>
      <c r="BJ93" s="40" t="str">
        <f t="shared" si="85"/>
        <v/>
      </c>
      <c r="BK93" s="157" t="str">
        <f t="shared" si="86"/>
        <v/>
      </c>
      <c r="BL93" s="157" t="str">
        <f t="shared" si="75"/>
        <v/>
      </c>
      <c r="BM93" s="72"/>
      <c r="BN93" s="72" t="str">
        <f t="shared" si="87"/>
        <v/>
      </c>
      <c r="BO93" s="72" t="str">
        <f t="shared" si="88"/>
        <v/>
      </c>
      <c r="BP93" s="39"/>
      <c r="BQ93" s="72" t="str">
        <f t="shared" si="76"/>
        <v/>
      </c>
      <c r="BR93" s="72" t="str">
        <f t="shared" si="89"/>
        <v/>
      </c>
    </row>
    <row r="94" spans="4:70" x14ac:dyDescent="0.15">
      <c r="D94" s="101" t="s">
        <v>197</v>
      </c>
      <c r="E94" s="101"/>
      <c r="F94" s="92"/>
      <c r="G94" s="101"/>
      <c r="I94" s="322">
        <f t="shared" si="90"/>
        <v>2109</v>
      </c>
      <c r="J94" s="71"/>
      <c r="K94" s="71">
        <f t="shared" si="91"/>
        <v>80</v>
      </c>
      <c r="L94" s="71"/>
      <c r="M94" s="7">
        <f t="shared" si="61"/>
        <v>9.3977096625217166E-2</v>
      </c>
      <c r="N94" s="71"/>
      <c r="O94" s="10" t="str">
        <f t="shared" si="77"/>
        <v/>
      </c>
      <c r="P94" s="29" t="str">
        <f t="shared" si="62"/>
        <v/>
      </c>
      <c r="Q94" s="71"/>
      <c r="R94" s="10" t="str">
        <f t="shared" si="78"/>
        <v/>
      </c>
      <c r="S94" s="71"/>
      <c r="T94" s="10" t="str">
        <f t="shared" si="79"/>
        <v/>
      </c>
      <c r="U94" s="71"/>
      <c r="V94" s="10" t="str">
        <f t="shared" si="63"/>
        <v/>
      </c>
      <c r="W94" s="10" t="str">
        <f t="shared" si="92"/>
        <v/>
      </c>
      <c r="X94" s="71"/>
      <c r="Y94" s="10" t="str">
        <f t="shared" si="64"/>
        <v/>
      </c>
      <c r="Z94" s="10" t="str">
        <f t="shared" si="93"/>
        <v/>
      </c>
      <c r="AA94" s="71"/>
      <c r="AB94" s="10" t="str">
        <f t="shared" si="65"/>
        <v/>
      </c>
      <c r="AC94" s="10" t="str">
        <f t="shared" si="94"/>
        <v/>
      </c>
      <c r="AD94" s="71"/>
      <c r="AE94" s="10" t="str">
        <f t="shared" si="66"/>
        <v/>
      </c>
      <c r="AF94" s="10" t="str">
        <f t="shared" si="95"/>
        <v/>
      </c>
      <c r="AG94" s="71"/>
      <c r="AH94" s="10" t="str">
        <f t="shared" si="67"/>
        <v/>
      </c>
      <c r="AI94" s="10" t="str">
        <f t="shared" si="96"/>
        <v/>
      </c>
      <c r="AJ94" s="71"/>
      <c r="AK94" s="10" t="str">
        <f t="shared" si="68"/>
        <v/>
      </c>
      <c r="AL94" s="10" t="str">
        <f t="shared" si="97"/>
        <v/>
      </c>
      <c r="AM94" s="71"/>
      <c r="AN94" s="10" t="str">
        <f t="shared" si="69"/>
        <v/>
      </c>
      <c r="AO94" s="10" t="str">
        <f t="shared" si="98"/>
        <v/>
      </c>
      <c r="AP94" s="71"/>
      <c r="AQ94" s="10" t="str">
        <f t="shared" si="70"/>
        <v/>
      </c>
      <c r="AR94" s="10" t="str">
        <f t="shared" si="80"/>
        <v/>
      </c>
      <c r="AS94" s="71"/>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U94" s="71"/>
      <c r="AV94" s="10" t="str">
        <f t="shared" si="71"/>
        <v/>
      </c>
      <c r="AW94" s="10" t="str">
        <f t="shared" si="81"/>
        <v/>
      </c>
      <c r="AX94" s="71"/>
      <c r="AY94" s="7" t="str">
        <f>IF(ISERROR(IF($K94&lt;=$F$15,VLOOKUP($I94,'表4）CO2価格'!$A$7:$E$67,VLOOKUP($F$48,'表4）CO2価格'!$H$10:$I$12,2,0),0)*$F$8/1000,"")),0,IF($K94&lt;=$F$15,VLOOKUP($I94,'表4）CO2価格'!$A$7:$E$67,VLOOKUP($F$48,'表4）CO2価格'!$H$10:$I$12,2,0),0)*$F$8/1000,""))</f>
        <v/>
      </c>
      <c r="AZ94" s="71"/>
      <c r="BA94" s="11" t="str">
        <f t="shared" si="72"/>
        <v/>
      </c>
      <c r="BB94" s="10" t="str">
        <f t="shared" si="82"/>
        <v/>
      </c>
      <c r="BC94" s="71"/>
      <c r="BD94" s="10" t="str">
        <f t="shared" si="73"/>
        <v/>
      </c>
      <c r="BE94" s="10" t="str">
        <f t="shared" si="83"/>
        <v/>
      </c>
      <c r="BF94" s="71"/>
      <c r="BG94" s="11" t="str">
        <f t="shared" si="74"/>
        <v/>
      </c>
      <c r="BH94" s="10" t="str">
        <f t="shared" si="84"/>
        <v/>
      </c>
      <c r="BJ94" s="7" t="str">
        <f t="shared" si="85"/>
        <v/>
      </c>
      <c r="BK94" s="158" t="str">
        <f t="shared" si="86"/>
        <v/>
      </c>
      <c r="BL94" s="158" t="str">
        <f t="shared" si="75"/>
        <v/>
      </c>
      <c r="BM94" s="10"/>
      <c r="BN94" s="10" t="str">
        <f t="shared" si="87"/>
        <v/>
      </c>
      <c r="BO94" s="10" t="str">
        <f t="shared" si="88"/>
        <v/>
      </c>
      <c r="BQ94" s="10" t="str">
        <f t="shared" si="76"/>
        <v/>
      </c>
      <c r="BR94" s="10" t="str">
        <f t="shared" si="89"/>
        <v/>
      </c>
    </row>
    <row r="95" spans="4:70" ht="15" x14ac:dyDescent="0.15">
      <c r="D95" s="116"/>
      <c r="F95" s="93"/>
      <c r="I95" s="38">
        <f t="shared" si="90"/>
        <v>2110</v>
      </c>
      <c r="J95" s="39"/>
      <c r="K95" s="39">
        <f t="shared" si="91"/>
        <v>81</v>
      </c>
      <c r="L95" s="39"/>
      <c r="M95" s="40">
        <f t="shared" si="61"/>
        <v>9.1239899636133173E-2</v>
      </c>
      <c r="N95" s="39"/>
      <c r="O95" s="72" t="str">
        <f t="shared" si="77"/>
        <v/>
      </c>
      <c r="P95" s="41" t="str">
        <f t="shared" si="62"/>
        <v/>
      </c>
      <c r="Q95" s="39"/>
      <c r="R95" s="72" t="str">
        <f t="shared" si="78"/>
        <v/>
      </c>
      <c r="S95" s="39"/>
      <c r="T95" s="72" t="str">
        <f t="shared" si="79"/>
        <v/>
      </c>
      <c r="U95" s="39"/>
      <c r="V95" s="72" t="str">
        <f t="shared" si="63"/>
        <v/>
      </c>
      <c r="W95" s="72" t="str">
        <f t="shared" si="92"/>
        <v/>
      </c>
      <c r="X95" s="39"/>
      <c r="Y95" s="72" t="str">
        <f t="shared" si="64"/>
        <v/>
      </c>
      <c r="Z95" s="72" t="str">
        <f t="shared" si="93"/>
        <v/>
      </c>
      <c r="AA95" s="39"/>
      <c r="AB95" s="72" t="str">
        <f t="shared" si="65"/>
        <v/>
      </c>
      <c r="AC95" s="72" t="str">
        <f t="shared" si="94"/>
        <v/>
      </c>
      <c r="AD95" s="39"/>
      <c r="AE95" s="72" t="str">
        <f t="shared" si="66"/>
        <v/>
      </c>
      <c r="AF95" s="72" t="str">
        <f t="shared" si="95"/>
        <v/>
      </c>
      <c r="AG95" s="39"/>
      <c r="AH95" s="72" t="str">
        <f t="shared" si="67"/>
        <v/>
      </c>
      <c r="AI95" s="72" t="str">
        <f t="shared" si="96"/>
        <v/>
      </c>
      <c r="AJ95" s="39"/>
      <c r="AK95" s="72" t="str">
        <f t="shared" si="68"/>
        <v/>
      </c>
      <c r="AL95" s="72" t="str">
        <f t="shared" si="97"/>
        <v/>
      </c>
      <c r="AM95" s="39"/>
      <c r="AN95" s="72" t="str">
        <f t="shared" si="69"/>
        <v/>
      </c>
      <c r="AO95" s="72" t="str">
        <f t="shared" si="98"/>
        <v/>
      </c>
      <c r="AP95" s="39"/>
      <c r="AQ95" s="72" t="str">
        <f t="shared" si="70"/>
        <v/>
      </c>
      <c r="AR95" s="72" t="str">
        <f t="shared" si="80"/>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71"/>
        <v/>
      </c>
      <c r="AW95" s="72" t="str">
        <f t="shared" si="81"/>
        <v/>
      </c>
      <c r="AX95" s="39"/>
      <c r="AY95" s="40" t="str">
        <f>IF(ISERROR(IF($K95&lt;=$F$15,VLOOKUP($I95,'表4）CO2価格'!$A$7:$E$67,VLOOKUP($F$48,'表4）CO2価格'!$H$10:$I$12,2,0),0)*$F$8/1000,"")),0,IF($K95&lt;=$F$15,VLOOKUP($I95,'表4）CO2価格'!$A$7:$E$67,VLOOKUP($F$48,'表4）CO2価格'!$H$10:$I$12,2,0),0)*$F$8/1000,""))</f>
        <v/>
      </c>
      <c r="AZ95" s="39"/>
      <c r="BA95" s="42" t="str">
        <f t="shared" si="72"/>
        <v/>
      </c>
      <c r="BB95" s="72" t="str">
        <f t="shared" si="82"/>
        <v/>
      </c>
      <c r="BC95" s="39"/>
      <c r="BD95" s="72" t="str">
        <f t="shared" si="73"/>
        <v/>
      </c>
      <c r="BE95" s="72" t="str">
        <f t="shared" si="83"/>
        <v/>
      </c>
      <c r="BF95" s="39"/>
      <c r="BG95" s="42" t="str">
        <f t="shared" si="74"/>
        <v/>
      </c>
      <c r="BH95" s="72" t="str">
        <f t="shared" si="84"/>
        <v/>
      </c>
      <c r="BI95" s="39"/>
      <c r="BJ95" s="40" t="str">
        <f t="shared" si="85"/>
        <v/>
      </c>
      <c r="BK95" s="157" t="str">
        <f t="shared" si="86"/>
        <v/>
      </c>
      <c r="BL95" s="157" t="str">
        <f t="shared" si="75"/>
        <v/>
      </c>
      <c r="BM95" s="72"/>
      <c r="BN95" s="72" t="str">
        <f t="shared" si="87"/>
        <v/>
      </c>
      <c r="BO95" s="72" t="str">
        <f t="shared" si="88"/>
        <v/>
      </c>
      <c r="BP95" s="39"/>
      <c r="BQ95" s="72" t="str">
        <f t="shared" si="76"/>
        <v/>
      </c>
      <c r="BR95" s="72" t="str">
        <f t="shared" si="89"/>
        <v/>
      </c>
    </row>
    <row r="96" spans="4:70" ht="15" x14ac:dyDescent="0.15">
      <c r="D96" s="116"/>
      <c r="E96" s="81" t="s">
        <v>198</v>
      </c>
      <c r="F96" s="91">
        <f>IF(F3&lt;&gt;"原子力",AW116/$BR$116,0)</f>
        <v>4.286928625471182</v>
      </c>
      <c r="G96" s="81" t="s">
        <v>132</v>
      </c>
      <c r="I96" s="322">
        <f t="shared" si="90"/>
        <v>2111</v>
      </c>
      <c r="J96" s="71"/>
      <c r="K96" s="71">
        <f t="shared" si="91"/>
        <v>82</v>
      </c>
      <c r="L96" s="71"/>
      <c r="M96" s="7">
        <f t="shared" si="61"/>
        <v>8.8582426831197242E-2</v>
      </c>
      <c r="N96" s="71"/>
      <c r="O96" s="10" t="str">
        <f t="shared" si="77"/>
        <v/>
      </c>
      <c r="P96" s="29" t="str">
        <f t="shared" si="62"/>
        <v/>
      </c>
      <c r="Q96" s="71"/>
      <c r="R96" s="10" t="str">
        <f t="shared" si="78"/>
        <v/>
      </c>
      <c r="S96" s="71"/>
      <c r="T96" s="10" t="str">
        <f t="shared" si="79"/>
        <v/>
      </c>
      <c r="U96" s="71"/>
      <c r="V96" s="10" t="str">
        <f t="shared" si="63"/>
        <v/>
      </c>
      <c r="W96" s="10" t="str">
        <f t="shared" si="92"/>
        <v/>
      </c>
      <c r="X96" s="71"/>
      <c r="Y96" s="10" t="str">
        <f t="shared" si="64"/>
        <v/>
      </c>
      <c r="Z96" s="10" t="str">
        <f t="shared" si="93"/>
        <v/>
      </c>
      <c r="AA96" s="71"/>
      <c r="AB96" s="10" t="str">
        <f t="shared" si="65"/>
        <v/>
      </c>
      <c r="AC96" s="10" t="str">
        <f t="shared" si="94"/>
        <v/>
      </c>
      <c r="AD96" s="71"/>
      <c r="AE96" s="10" t="str">
        <f t="shared" si="66"/>
        <v/>
      </c>
      <c r="AF96" s="10" t="str">
        <f t="shared" si="95"/>
        <v/>
      </c>
      <c r="AG96" s="71"/>
      <c r="AH96" s="10" t="str">
        <f t="shared" si="67"/>
        <v/>
      </c>
      <c r="AI96" s="10" t="str">
        <f t="shared" si="96"/>
        <v/>
      </c>
      <c r="AJ96" s="71"/>
      <c r="AK96" s="10" t="str">
        <f t="shared" si="68"/>
        <v/>
      </c>
      <c r="AL96" s="10" t="str">
        <f t="shared" si="97"/>
        <v/>
      </c>
      <c r="AM96" s="71"/>
      <c r="AN96" s="10" t="str">
        <f t="shared" si="69"/>
        <v/>
      </c>
      <c r="AO96" s="10" t="str">
        <f t="shared" si="98"/>
        <v/>
      </c>
      <c r="AP96" s="71"/>
      <c r="AQ96" s="10" t="str">
        <f t="shared" si="70"/>
        <v/>
      </c>
      <c r="AR96" s="10" t="str">
        <f t="shared" si="80"/>
        <v/>
      </c>
      <c r="AS96" s="71"/>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U96" s="71"/>
      <c r="AV96" s="10" t="str">
        <f t="shared" si="71"/>
        <v/>
      </c>
      <c r="AW96" s="10" t="str">
        <f t="shared" si="81"/>
        <v/>
      </c>
      <c r="AX96" s="71"/>
      <c r="AY96" s="7" t="str">
        <f>IF(ISERROR(IF($K96&lt;=$F$15,VLOOKUP($I96,'表4）CO2価格'!$A$7:$E$67,VLOOKUP($F$48,'表4）CO2価格'!$H$10:$I$12,2,0),0)*$F$8/1000,"")),0,IF($K96&lt;=$F$15,VLOOKUP($I96,'表4）CO2価格'!$A$7:$E$67,VLOOKUP($F$48,'表4）CO2価格'!$H$10:$I$12,2,0),0)*$F$8/1000,""))</f>
        <v/>
      </c>
      <c r="AZ96" s="71"/>
      <c r="BA96" s="11" t="str">
        <f t="shared" si="72"/>
        <v/>
      </c>
      <c r="BB96" s="10" t="str">
        <f t="shared" si="82"/>
        <v/>
      </c>
      <c r="BC96" s="71"/>
      <c r="BD96" s="10" t="str">
        <f t="shared" si="73"/>
        <v/>
      </c>
      <c r="BE96" s="10" t="str">
        <f t="shared" si="83"/>
        <v/>
      </c>
      <c r="BF96" s="71"/>
      <c r="BG96" s="11" t="str">
        <f t="shared" si="74"/>
        <v/>
      </c>
      <c r="BH96" s="10" t="str">
        <f t="shared" si="84"/>
        <v/>
      </c>
      <c r="BJ96" s="7" t="str">
        <f t="shared" si="85"/>
        <v/>
      </c>
      <c r="BK96" s="158" t="str">
        <f t="shared" si="86"/>
        <v/>
      </c>
      <c r="BL96" s="158" t="str">
        <f t="shared" si="75"/>
        <v/>
      </c>
      <c r="BM96" s="10"/>
      <c r="BN96" s="10" t="str">
        <f t="shared" si="87"/>
        <v/>
      </c>
      <c r="BO96" s="10" t="str">
        <f t="shared" si="88"/>
        <v/>
      </c>
      <c r="BQ96" s="10" t="str">
        <f t="shared" si="76"/>
        <v/>
      </c>
      <c r="BR96" s="10" t="str">
        <f t="shared" si="89"/>
        <v/>
      </c>
    </row>
    <row r="97" spans="4:70" ht="15" x14ac:dyDescent="0.15">
      <c r="D97" s="116"/>
      <c r="E97" s="81" t="s">
        <v>199</v>
      </c>
      <c r="F97" s="91">
        <f>IF(F3="原子力",#REF!,0)</f>
        <v>0</v>
      </c>
      <c r="G97" s="81" t="s">
        <v>132</v>
      </c>
      <c r="I97" s="38">
        <f t="shared" si="90"/>
        <v>2112</v>
      </c>
      <c r="J97" s="39"/>
      <c r="K97" s="39">
        <f t="shared" si="91"/>
        <v>83</v>
      </c>
      <c r="L97" s="39"/>
      <c r="M97" s="40">
        <f t="shared" si="61"/>
        <v>8.6002356146793454E-2</v>
      </c>
      <c r="N97" s="39"/>
      <c r="O97" s="72" t="str">
        <f t="shared" si="77"/>
        <v/>
      </c>
      <c r="P97" s="41" t="str">
        <f t="shared" si="62"/>
        <v/>
      </c>
      <c r="Q97" s="39"/>
      <c r="R97" s="72" t="str">
        <f t="shared" si="78"/>
        <v/>
      </c>
      <c r="S97" s="39"/>
      <c r="T97" s="72" t="str">
        <f t="shared" si="79"/>
        <v/>
      </c>
      <c r="U97" s="39"/>
      <c r="V97" s="72" t="str">
        <f t="shared" si="63"/>
        <v/>
      </c>
      <c r="W97" s="72" t="str">
        <f t="shared" si="92"/>
        <v/>
      </c>
      <c r="X97" s="39"/>
      <c r="Y97" s="72" t="str">
        <f t="shared" si="64"/>
        <v/>
      </c>
      <c r="Z97" s="72" t="str">
        <f t="shared" si="93"/>
        <v/>
      </c>
      <c r="AA97" s="39"/>
      <c r="AB97" s="72" t="str">
        <f t="shared" si="65"/>
        <v/>
      </c>
      <c r="AC97" s="72" t="str">
        <f t="shared" si="94"/>
        <v/>
      </c>
      <c r="AD97" s="39"/>
      <c r="AE97" s="72" t="str">
        <f t="shared" si="66"/>
        <v/>
      </c>
      <c r="AF97" s="72" t="str">
        <f t="shared" si="95"/>
        <v/>
      </c>
      <c r="AG97" s="39"/>
      <c r="AH97" s="72" t="str">
        <f t="shared" si="67"/>
        <v/>
      </c>
      <c r="AI97" s="72" t="str">
        <f t="shared" si="96"/>
        <v/>
      </c>
      <c r="AJ97" s="39"/>
      <c r="AK97" s="72" t="str">
        <f t="shared" si="68"/>
        <v/>
      </c>
      <c r="AL97" s="72" t="str">
        <f t="shared" si="97"/>
        <v/>
      </c>
      <c r="AM97" s="39"/>
      <c r="AN97" s="72" t="str">
        <f t="shared" si="69"/>
        <v/>
      </c>
      <c r="AO97" s="72" t="str">
        <f t="shared" si="98"/>
        <v/>
      </c>
      <c r="AP97" s="39"/>
      <c r="AQ97" s="72" t="str">
        <f t="shared" si="70"/>
        <v/>
      </c>
      <c r="AR97" s="72" t="str">
        <f t="shared" si="80"/>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71"/>
        <v/>
      </c>
      <c r="AW97" s="72" t="str">
        <f t="shared" si="81"/>
        <v/>
      </c>
      <c r="AX97" s="39"/>
      <c r="AY97" s="40" t="str">
        <f>IF(ISERROR(IF($K97&lt;=$F$15,VLOOKUP($I97,'表4）CO2価格'!$A$7:$E$67,VLOOKUP($F$48,'表4）CO2価格'!$H$10:$I$12,2,0),0)*$F$8/1000,"")),0,IF($K97&lt;=$F$15,VLOOKUP($I97,'表4）CO2価格'!$A$7:$E$67,VLOOKUP($F$48,'表4）CO2価格'!$H$10:$I$12,2,0),0)*$F$8/1000,""))</f>
        <v/>
      </c>
      <c r="AZ97" s="39"/>
      <c r="BA97" s="42" t="str">
        <f t="shared" si="72"/>
        <v/>
      </c>
      <c r="BB97" s="72" t="str">
        <f t="shared" si="82"/>
        <v/>
      </c>
      <c r="BC97" s="39"/>
      <c r="BD97" s="72" t="str">
        <f t="shared" si="73"/>
        <v/>
      </c>
      <c r="BE97" s="72" t="str">
        <f t="shared" si="83"/>
        <v/>
      </c>
      <c r="BF97" s="39"/>
      <c r="BG97" s="42" t="str">
        <f t="shared" si="74"/>
        <v/>
      </c>
      <c r="BH97" s="72" t="str">
        <f t="shared" si="84"/>
        <v/>
      </c>
      <c r="BI97" s="39"/>
      <c r="BJ97" s="40" t="str">
        <f t="shared" si="85"/>
        <v/>
      </c>
      <c r="BK97" s="157" t="str">
        <f t="shared" si="86"/>
        <v/>
      </c>
      <c r="BL97" s="157" t="str">
        <f t="shared" si="75"/>
        <v/>
      </c>
      <c r="BM97" s="72"/>
      <c r="BN97" s="72" t="str">
        <f t="shared" si="87"/>
        <v/>
      </c>
      <c r="BO97" s="72" t="str">
        <f t="shared" si="88"/>
        <v/>
      </c>
      <c r="BP97" s="39"/>
      <c r="BQ97" s="72" t="str">
        <f t="shared" si="76"/>
        <v/>
      </c>
      <c r="BR97" s="72" t="str">
        <f t="shared" si="89"/>
        <v/>
      </c>
    </row>
    <row r="98" spans="4:70" x14ac:dyDescent="0.15">
      <c r="F98" s="93"/>
      <c r="I98" s="322">
        <f t="shared" si="90"/>
        <v>2113</v>
      </c>
      <c r="J98" s="71"/>
      <c r="K98" s="71">
        <f t="shared" si="91"/>
        <v>84</v>
      </c>
      <c r="L98" s="71"/>
      <c r="M98" s="7">
        <f t="shared" si="61"/>
        <v>8.3497433152226644E-2</v>
      </c>
      <c r="N98" s="71"/>
      <c r="O98" s="10" t="str">
        <f t="shared" si="77"/>
        <v/>
      </c>
      <c r="P98" s="29" t="str">
        <f t="shared" si="62"/>
        <v/>
      </c>
      <c r="Q98" s="71"/>
      <c r="R98" s="10" t="str">
        <f t="shared" si="78"/>
        <v/>
      </c>
      <c r="S98" s="71"/>
      <c r="T98" s="10" t="str">
        <f t="shared" si="79"/>
        <v/>
      </c>
      <c r="U98" s="71"/>
      <c r="V98" s="10" t="str">
        <f t="shared" si="63"/>
        <v/>
      </c>
      <c r="W98" s="10" t="str">
        <f t="shared" si="92"/>
        <v/>
      </c>
      <c r="X98" s="71"/>
      <c r="Y98" s="10" t="str">
        <f t="shared" si="64"/>
        <v/>
      </c>
      <c r="Z98" s="10" t="str">
        <f t="shared" si="93"/>
        <v/>
      </c>
      <c r="AA98" s="71"/>
      <c r="AB98" s="10" t="str">
        <f t="shared" si="65"/>
        <v/>
      </c>
      <c r="AC98" s="10" t="str">
        <f t="shared" si="94"/>
        <v/>
      </c>
      <c r="AD98" s="71"/>
      <c r="AE98" s="10" t="str">
        <f t="shared" si="66"/>
        <v/>
      </c>
      <c r="AF98" s="10" t="str">
        <f t="shared" si="95"/>
        <v/>
      </c>
      <c r="AG98" s="71"/>
      <c r="AH98" s="10" t="str">
        <f t="shared" si="67"/>
        <v/>
      </c>
      <c r="AI98" s="10" t="str">
        <f t="shared" si="96"/>
        <v/>
      </c>
      <c r="AJ98" s="71"/>
      <c r="AK98" s="10" t="str">
        <f t="shared" si="68"/>
        <v/>
      </c>
      <c r="AL98" s="10" t="str">
        <f t="shared" si="97"/>
        <v/>
      </c>
      <c r="AM98" s="71"/>
      <c r="AN98" s="10" t="str">
        <f t="shared" si="69"/>
        <v/>
      </c>
      <c r="AO98" s="10" t="str">
        <f t="shared" si="98"/>
        <v/>
      </c>
      <c r="AP98" s="71"/>
      <c r="AQ98" s="10" t="str">
        <f t="shared" si="70"/>
        <v/>
      </c>
      <c r="AR98" s="10" t="str">
        <f t="shared" si="80"/>
        <v/>
      </c>
      <c r="AS98" s="71"/>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U98" s="71"/>
      <c r="AV98" s="10" t="str">
        <f t="shared" si="71"/>
        <v/>
      </c>
      <c r="AW98" s="10" t="str">
        <f t="shared" si="81"/>
        <v/>
      </c>
      <c r="AX98" s="71"/>
      <c r="AY98" s="7" t="str">
        <f>IF(ISERROR(IF($K98&lt;=$F$15,VLOOKUP($I98,'表4）CO2価格'!$A$7:$E$67,VLOOKUP($F$48,'表4）CO2価格'!$H$10:$I$12,2,0),0)*$F$8/1000,"")),0,IF($K98&lt;=$F$15,VLOOKUP($I98,'表4）CO2価格'!$A$7:$E$67,VLOOKUP($F$48,'表4）CO2価格'!$H$10:$I$12,2,0),0)*$F$8/1000,""))</f>
        <v/>
      </c>
      <c r="AZ98" s="71"/>
      <c r="BA98" s="11" t="str">
        <f t="shared" si="72"/>
        <v/>
      </c>
      <c r="BB98" s="10" t="str">
        <f t="shared" si="82"/>
        <v/>
      </c>
      <c r="BC98" s="71"/>
      <c r="BD98" s="10" t="str">
        <f t="shared" si="73"/>
        <v/>
      </c>
      <c r="BE98" s="10" t="str">
        <f t="shared" si="83"/>
        <v/>
      </c>
      <c r="BF98" s="71"/>
      <c r="BG98" s="11" t="str">
        <f t="shared" si="74"/>
        <v/>
      </c>
      <c r="BH98" s="10" t="str">
        <f t="shared" si="84"/>
        <v/>
      </c>
      <c r="BJ98" s="7" t="str">
        <f t="shared" si="85"/>
        <v/>
      </c>
      <c r="BK98" s="158" t="str">
        <f t="shared" si="86"/>
        <v/>
      </c>
      <c r="BL98" s="158" t="str">
        <f t="shared" si="75"/>
        <v/>
      </c>
      <c r="BM98" s="10"/>
      <c r="BN98" s="10" t="str">
        <f t="shared" si="87"/>
        <v/>
      </c>
      <c r="BO98" s="10" t="str">
        <f t="shared" si="88"/>
        <v/>
      </c>
      <c r="BQ98" s="10" t="str">
        <f t="shared" si="76"/>
        <v/>
      </c>
      <c r="BR98" s="10" t="str">
        <f t="shared" si="89"/>
        <v/>
      </c>
    </row>
    <row r="99" spans="4:70" ht="15" x14ac:dyDescent="0.15">
      <c r="D99" s="116" t="s">
        <v>200</v>
      </c>
      <c r="F99" s="94">
        <f>SUBTOTAL(9,F103:F105)</f>
        <v>4.9924399372786796</v>
      </c>
      <c r="G99" s="81" t="s">
        <v>132</v>
      </c>
      <c r="I99" s="38">
        <f t="shared" si="90"/>
        <v>2114</v>
      </c>
      <c r="J99" s="39"/>
      <c r="K99" s="39">
        <f t="shared" si="91"/>
        <v>85</v>
      </c>
      <c r="L99" s="39"/>
      <c r="M99" s="40">
        <f t="shared" si="61"/>
        <v>8.1065469079831712E-2</v>
      </c>
      <c r="N99" s="39"/>
      <c r="O99" s="72" t="str">
        <f t="shared" si="77"/>
        <v/>
      </c>
      <c r="P99" s="41" t="str">
        <f t="shared" si="62"/>
        <v/>
      </c>
      <c r="Q99" s="39"/>
      <c r="R99" s="72" t="str">
        <f t="shared" si="78"/>
        <v/>
      </c>
      <c r="S99" s="39"/>
      <c r="T99" s="72" t="str">
        <f t="shared" si="79"/>
        <v/>
      </c>
      <c r="U99" s="39"/>
      <c r="V99" s="72" t="str">
        <f t="shared" si="63"/>
        <v/>
      </c>
      <c r="W99" s="72" t="str">
        <f t="shared" si="92"/>
        <v/>
      </c>
      <c r="X99" s="39"/>
      <c r="Y99" s="72" t="str">
        <f t="shared" si="64"/>
        <v/>
      </c>
      <c r="Z99" s="72" t="str">
        <f t="shared" si="93"/>
        <v/>
      </c>
      <c r="AA99" s="39"/>
      <c r="AB99" s="72" t="str">
        <f t="shared" si="65"/>
        <v/>
      </c>
      <c r="AC99" s="72" t="str">
        <f t="shared" si="94"/>
        <v/>
      </c>
      <c r="AD99" s="39"/>
      <c r="AE99" s="72" t="str">
        <f t="shared" si="66"/>
        <v/>
      </c>
      <c r="AF99" s="72" t="str">
        <f t="shared" si="95"/>
        <v/>
      </c>
      <c r="AG99" s="39"/>
      <c r="AH99" s="72" t="str">
        <f t="shared" si="67"/>
        <v/>
      </c>
      <c r="AI99" s="72" t="str">
        <f t="shared" si="96"/>
        <v/>
      </c>
      <c r="AJ99" s="39"/>
      <c r="AK99" s="72" t="str">
        <f t="shared" si="68"/>
        <v/>
      </c>
      <c r="AL99" s="72" t="str">
        <f t="shared" si="97"/>
        <v/>
      </c>
      <c r="AM99" s="39"/>
      <c r="AN99" s="72" t="str">
        <f t="shared" si="69"/>
        <v/>
      </c>
      <c r="AO99" s="72" t="str">
        <f t="shared" si="98"/>
        <v/>
      </c>
      <c r="AP99" s="39"/>
      <c r="AQ99" s="72" t="str">
        <f t="shared" si="70"/>
        <v/>
      </c>
      <c r="AR99" s="72" t="str">
        <f t="shared" si="80"/>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71"/>
        <v/>
      </c>
      <c r="AW99" s="72" t="str">
        <f t="shared" si="81"/>
        <v/>
      </c>
      <c r="AX99" s="39"/>
      <c r="AY99" s="40" t="str">
        <f>IF(ISERROR(IF($K99&lt;=$F$15,VLOOKUP($I99,'表4）CO2価格'!$A$7:$E$67,VLOOKUP($F$48,'表4）CO2価格'!$H$10:$I$12,2,0),0)*$F$8/1000,"")),0,IF($K99&lt;=$F$15,VLOOKUP($I99,'表4）CO2価格'!$A$7:$E$67,VLOOKUP($F$48,'表4）CO2価格'!$H$10:$I$12,2,0),0)*$F$8/1000,""))</f>
        <v/>
      </c>
      <c r="AZ99" s="39"/>
      <c r="BA99" s="42" t="str">
        <f t="shared" si="72"/>
        <v/>
      </c>
      <c r="BB99" s="72" t="str">
        <f t="shared" si="82"/>
        <v/>
      </c>
      <c r="BC99" s="39"/>
      <c r="BD99" s="72" t="str">
        <f t="shared" si="73"/>
        <v/>
      </c>
      <c r="BE99" s="72" t="str">
        <f t="shared" si="83"/>
        <v/>
      </c>
      <c r="BF99" s="39"/>
      <c r="BG99" s="42" t="str">
        <f t="shared" si="74"/>
        <v/>
      </c>
      <c r="BH99" s="72" t="str">
        <f t="shared" si="84"/>
        <v/>
      </c>
      <c r="BI99" s="39"/>
      <c r="BJ99" s="40" t="str">
        <f t="shared" si="85"/>
        <v/>
      </c>
      <c r="BK99" s="157" t="str">
        <f t="shared" si="86"/>
        <v/>
      </c>
      <c r="BL99" s="157" t="str">
        <f t="shared" si="75"/>
        <v/>
      </c>
      <c r="BM99" s="72"/>
      <c r="BN99" s="72" t="str">
        <f t="shared" si="87"/>
        <v/>
      </c>
      <c r="BO99" s="72" t="str">
        <f t="shared" si="88"/>
        <v/>
      </c>
      <c r="BP99" s="39"/>
      <c r="BQ99" s="72" t="str">
        <f t="shared" si="76"/>
        <v/>
      </c>
      <c r="BR99" s="72" t="str">
        <f t="shared" si="89"/>
        <v/>
      </c>
    </row>
    <row r="100" spans="4:70" x14ac:dyDescent="0.15">
      <c r="F100" s="93"/>
      <c r="I100" s="322">
        <f t="shared" si="90"/>
        <v>2115</v>
      </c>
      <c r="J100" s="71"/>
      <c r="K100" s="71">
        <f t="shared" si="91"/>
        <v>86</v>
      </c>
      <c r="L100" s="71"/>
      <c r="M100" s="7">
        <f t="shared" si="61"/>
        <v>7.8704338912457969E-2</v>
      </c>
      <c r="N100" s="71"/>
      <c r="O100" s="10" t="str">
        <f t="shared" si="77"/>
        <v/>
      </c>
      <c r="P100" s="29" t="str">
        <f t="shared" si="62"/>
        <v/>
      </c>
      <c r="Q100" s="71"/>
      <c r="R100" s="10" t="str">
        <f t="shared" si="78"/>
        <v/>
      </c>
      <c r="S100" s="71"/>
      <c r="T100" s="10" t="str">
        <f t="shared" si="79"/>
        <v/>
      </c>
      <c r="U100" s="71"/>
      <c r="V100" s="10" t="str">
        <f t="shared" si="63"/>
        <v/>
      </c>
      <c r="W100" s="10" t="str">
        <f t="shared" si="92"/>
        <v/>
      </c>
      <c r="X100" s="71"/>
      <c r="Y100" s="10" t="str">
        <f t="shared" si="64"/>
        <v/>
      </c>
      <c r="Z100" s="10" t="str">
        <f t="shared" si="93"/>
        <v/>
      </c>
      <c r="AA100" s="71"/>
      <c r="AB100" s="10" t="str">
        <f t="shared" si="65"/>
        <v/>
      </c>
      <c r="AC100" s="10" t="str">
        <f t="shared" si="94"/>
        <v/>
      </c>
      <c r="AD100" s="71"/>
      <c r="AE100" s="10" t="str">
        <f t="shared" si="66"/>
        <v/>
      </c>
      <c r="AF100" s="10" t="str">
        <f t="shared" si="95"/>
        <v/>
      </c>
      <c r="AG100" s="71"/>
      <c r="AH100" s="10" t="str">
        <f t="shared" si="67"/>
        <v/>
      </c>
      <c r="AI100" s="10" t="str">
        <f t="shared" si="96"/>
        <v/>
      </c>
      <c r="AJ100" s="71"/>
      <c r="AK100" s="10" t="str">
        <f t="shared" si="68"/>
        <v/>
      </c>
      <c r="AL100" s="10" t="str">
        <f t="shared" si="97"/>
        <v/>
      </c>
      <c r="AM100" s="71"/>
      <c r="AN100" s="10" t="str">
        <f t="shared" si="69"/>
        <v/>
      </c>
      <c r="AO100" s="10" t="str">
        <f t="shared" si="98"/>
        <v/>
      </c>
      <c r="AP100" s="71"/>
      <c r="AQ100" s="10" t="str">
        <f t="shared" si="70"/>
        <v/>
      </c>
      <c r="AR100" s="10" t="str">
        <f t="shared" si="80"/>
        <v/>
      </c>
      <c r="AS100" s="71"/>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U100" s="71"/>
      <c r="AV100" s="10" t="str">
        <f t="shared" si="71"/>
        <v/>
      </c>
      <c r="AW100" s="10" t="str">
        <f t="shared" si="81"/>
        <v/>
      </c>
      <c r="AX100" s="71"/>
      <c r="AY100" s="7" t="str">
        <f>IF(ISERROR(IF($K100&lt;=$F$15,VLOOKUP($I100,'表4）CO2価格'!$A$7:$E$67,VLOOKUP($F$48,'表4）CO2価格'!$H$10:$I$12,2,0),0)*$F$8/1000,"")),0,IF($K100&lt;=$F$15,VLOOKUP($I100,'表4）CO2価格'!$A$7:$E$67,VLOOKUP($F$48,'表4）CO2価格'!$H$10:$I$12,2,0),0)*$F$8/1000,""))</f>
        <v/>
      </c>
      <c r="AZ100" s="71"/>
      <c r="BA100" s="11" t="str">
        <f t="shared" si="72"/>
        <v/>
      </c>
      <c r="BB100" s="10" t="str">
        <f t="shared" si="82"/>
        <v/>
      </c>
      <c r="BC100" s="71"/>
      <c r="BD100" s="10" t="str">
        <f t="shared" si="73"/>
        <v/>
      </c>
      <c r="BE100" s="10" t="str">
        <f t="shared" si="83"/>
        <v/>
      </c>
      <c r="BF100" s="71"/>
      <c r="BG100" s="11" t="str">
        <f t="shared" si="74"/>
        <v/>
      </c>
      <c r="BH100" s="10" t="str">
        <f t="shared" si="84"/>
        <v/>
      </c>
      <c r="BJ100" s="7" t="str">
        <f t="shared" si="85"/>
        <v/>
      </c>
      <c r="BK100" s="158" t="str">
        <f t="shared" si="86"/>
        <v/>
      </c>
      <c r="BL100" s="158" t="str">
        <f t="shared" si="75"/>
        <v/>
      </c>
      <c r="BM100" s="10"/>
      <c r="BN100" s="10" t="str">
        <f t="shared" si="87"/>
        <v/>
      </c>
      <c r="BO100" s="10" t="str">
        <f t="shared" si="88"/>
        <v/>
      </c>
      <c r="BQ100" s="10" t="str">
        <f t="shared" si="76"/>
        <v/>
      </c>
      <c r="BR100" s="10" t="str">
        <f t="shared" si="89"/>
        <v/>
      </c>
    </row>
    <row r="101" spans="4:70" x14ac:dyDescent="0.15">
      <c r="D101" s="101" t="s">
        <v>201</v>
      </c>
      <c r="E101" s="101"/>
      <c r="F101" s="92"/>
      <c r="G101" s="101"/>
      <c r="I101" s="38">
        <f t="shared" si="90"/>
        <v>2116</v>
      </c>
      <c r="J101" s="39"/>
      <c r="K101" s="39">
        <f t="shared" si="91"/>
        <v>87</v>
      </c>
      <c r="L101" s="39"/>
      <c r="M101" s="40">
        <f t="shared" si="61"/>
        <v>7.6411979526658208E-2</v>
      </c>
      <c r="N101" s="39"/>
      <c r="O101" s="72" t="str">
        <f t="shared" si="77"/>
        <v/>
      </c>
      <c r="P101" s="41" t="str">
        <f t="shared" si="62"/>
        <v/>
      </c>
      <c r="Q101" s="39"/>
      <c r="R101" s="72" t="str">
        <f t="shared" si="78"/>
        <v/>
      </c>
      <c r="S101" s="39"/>
      <c r="T101" s="72" t="str">
        <f t="shared" si="79"/>
        <v/>
      </c>
      <c r="U101" s="39"/>
      <c r="V101" s="72" t="str">
        <f t="shared" si="63"/>
        <v/>
      </c>
      <c r="W101" s="72" t="str">
        <f t="shared" si="92"/>
        <v/>
      </c>
      <c r="X101" s="39"/>
      <c r="Y101" s="72" t="str">
        <f t="shared" si="64"/>
        <v/>
      </c>
      <c r="Z101" s="72" t="str">
        <f t="shared" si="93"/>
        <v/>
      </c>
      <c r="AA101" s="39"/>
      <c r="AB101" s="72" t="str">
        <f t="shared" si="65"/>
        <v/>
      </c>
      <c r="AC101" s="72" t="str">
        <f t="shared" si="94"/>
        <v/>
      </c>
      <c r="AD101" s="39"/>
      <c r="AE101" s="72" t="str">
        <f t="shared" si="66"/>
        <v/>
      </c>
      <c r="AF101" s="72" t="str">
        <f t="shared" si="95"/>
        <v/>
      </c>
      <c r="AG101" s="39"/>
      <c r="AH101" s="72" t="str">
        <f t="shared" si="67"/>
        <v/>
      </c>
      <c r="AI101" s="72" t="str">
        <f t="shared" si="96"/>
        <v/>
      </c>
      <c r="AJ101" s="39"/>
      <c r="AK101" s="72" t="str">
        <f t="shared" si="68"/>
        <v/>
      </c>
      <c r="AL101" s="72" t="str">
        <f t="shared" si="97"/>
        <v/>
      </c>
      <c r="AM101" s="39"/>
      <c r="AN101" s="72" t="str">
        <f t="shared" si="69"/>
        <v/>
      </c>
      <c r="AO101" s="72" t="str">
        <f t="shared" si="98"/>
        <v/>
      </c>
      <c r="AP101" s="39"/>
      <c r="AQ101" s="72" t="str">
        <f t="shared" si="70"/>
        <v/>
      </c>
      <c r="AR101" s="72" t="str">
        <f t="shared" si="80"/>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71"/>
        <v/>
      </c>
      <c r="AW101" s="72" t="str">
        <f t="shared" si="81"/>
        <v/>
      </c>
      <c r="AX101" s="39"/>
      <c r="AY101" s="40" t="str">
        <f>IF(ISERROR(IF($K101&lt;=$F$15,VLOOKUP($I101,'表4）CO2価格'!$A$7:$E$67,VLOOKUP($F$48,'表4）CO2価格'!$H$10:$I$12,2,0),0)*$F$8/1000,"")),0,IF($K101&lt;=$F$15,VLOOKUP($I101,'表4）CO2価格'!$A$7:$E$67,VLOOKUP($F$48,'表4）CO2価格'!$H$10:$I$12,2,0),0)*$F$8/1000,""))</f>
        <v/>
      </c>
      <c r="AZ101" s="39"/>
      <c r="BA101" s="42" t="str">
        <f t="shared" si="72"/>
        <v/>
      </c>
      <c r="BB101" s="72" t="str">
        <f t="shared" si="82"/>
        <v/>
      </c>
      <c r="BC101" s="39"/>
      <c r="BD101" s="72" t="str">
        <f t="shared" si="73"/>
        <v/>
      </c>
      <c r="BE101" s="72" t="str">
        <f t="shared" si="83"/>
        <v/>
      </c>
      <c r="BF101" s="39"/>
      <c r="BG101" s="42" t="str">
        <f t="shared" si="74"/>
        <v/>
      </c>
      <c r="BH101" s="72" t="str">
        <f t="shared" si="84"/>
        <v/>
      </c>
      <c r="BI101" s="39"/>
      <c r="BJ101" s="40" t="str">
        <f t="shared" si="85"/>
        <v/>
      </c>
      <c r="BK101" s="157" t="str">
        <f t="shared" si="86"/>
        <v/>
      </c>
      <c r="BL101" s="157" t="str">
        <f t="shared" si="75"/>
        <v/>
      </c>
      <c r="BM101" s="72"/>
      <c r="BN101" s="72" t="str">
        <f t="shared" si="87"/>
        <v/>
      </c>
      <c r="BO101" s="72" t="str">
        <f t="shared" si="88"/>
        <v/>
      </c>
      <c r="BP101" s="39"/>
      <c r="BQ101" s="72" t="str">
        <f t="shared" si="76"/>
        <v/>
      </c>
      <c r="BR101" s="72" t="str">
        <f t="shared" si="89"/>
        <v/>
      </c>
    </row>
    <row r="102" spans="4:70" x14ac:dyDescent="0.15">
      <c r="F102" s="93"/>
      <c r="I102" s="322">
        <f t="shared" si="90"/>
        <v>2117</v>
      </c>
      <c r="J102" s="71"/>
      <c r="K102" s="71">
        <f t="shared" si="91"/>
        <v>88</v>
      </c>
      <c r="L102" s="71"/>
      <c r="M102" s="7">
        <f t="shared" si="61"/>
        <v>7.4186387889959446E-2</v>
      </c>
      <c r="N102" s="71"/>
      <c r="O102" s="10" t="str">
        <f t="shared" si="77"/>
        <v/>
      </c>
      <c r="P102" s="29" t="str">
        <f t="shared" si="62"/>
        <v/>
      </c>
      <c r="Q102" s="71"/>
      <c r="R102" s="10" t="str">
        <f t="shared" si="78"/>
        <v/>
      </c>
      <c r="S102" s="71"/>
      <c r="T102" s="10" t="str">
        <f t="shared" si="79"/>
        <v/>
      </c>
      <c r="U102" s="71"/>
      <c r="V102" s="10" t="str">
        <f t="shared" si="63"/>
        <v/>
      </c>
      <c r="W102" s="10" t="str">
        <f t="shared" si="92"/>
        <v/>
      </c>
      <c r="X102" s="71"/>
      <c r="Y102" s="10" t="str">
        <f t="shared" si="64"/>
        <v/>
      </c>
      <c r="Z102" s="10" t="str">
        <f t="shared" si="93"/>
        <v/>
      </c>
      <c r="AA102" s="71"/>
      <c r="AB102" s="10" t="str">
        <f t="shared" si="65"/>
        <v/>
      </c>
      <c r="AC102" s="10" t="str">
        <f t="shared" si="94"/>
        <v/>
      </c>
      <c r="AD102" s="71"/>
      <c r="AE102" s="10" t="str">
        <f t="shared" si="66"/>
        <v/>
      </c>
      <c r="AF102" s="10" t="str">
        <f t="shared" si="95"/>
        <v/>
      </c>
      <c r="AG102" s="71"/>
      <c r="AH102" s="10" t="str">
        <f t="shared" si="67"/>
        <v/>
      </c>
      <c r="AI102" s="10" t="str">
        <f t="shared" si="96"/>
        <v/>
      </c>
      <c r="AJ102" s="71"/>
      <c r="AK102" s="10" t="str">
        <f t="shared" si="68"/>
        <v/>
      </c>
      <c r="AL102" s="10" t="str">
        <f t="shared" si="97"/>
        <v/>
      </c>
      <c r="AM102" s="71"/>
      <c r="AN102" s="10" t="str">
        <f t="shared" si="69"/>
        <v/>
      </c>
      <c r="AO102" s="10" t="str">
        <f t="shared" si="98"/>
        <v/>
      </c>
      <c r="AP102" s="71"/>
      <c r="AQ102" s="10" t="str">
        <f t="shared" si="70"/>
        <v/>
      </c>
      <c r="AR102" s="10" t="str">
        <f t="shared" si="80"/>
        <v/>
      </c>
      <c r="AS102" s="71"/>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U102" s="71"/>
      <c r="AV102" s="10" t="str">
        <f t="shared" si="71"/>
        <v/>
      </c>
      <c r="AW102" s="10" t="str">
        <f t="shared" si="81"/>
        <v/>
      </c>
      <c r="AX102" s="71"/>
      <c r="AY102" s="7" t="str">
        <f>IF(ISERROR(IF($K102&lt;=$F$15,VLOOKUP($I102,'表4）CO2価格'!$A$7:$E$67,VLOOKUP($F$48,'表4）CO2価格'!$H$10:$I$12,2,0),0)*$F$8/1000,"")),0,IF($K102&lt;=$F$15,VLOOKUP($I102,'表4）CO2価格'!$A$7:$E$67,VLOOKUP($F$48,'表4）CO2価格'!$H$10:$I$12,2,0),0)*$F$8/1000,""))</f>
        <v/>
      </c>
      <c r="AZ102" s="71"/>
      <c r="BA102" s="11" t="str">
        <f t="shared" si="72"/>
        <v/>
      </c>
      <c r="BB102" s="10" t="str">
        <f t="shared" si="82"/>
        <v/>
      </c>
      <c r="BC102" s="71"/>
      <c r="BD102" s="10" t="str">
        <f t="shared" si="73"/>
        <v/>
      </c>
      <c r="BE102" s="10" t="str">
        <f t="shared" si="83"/>
        <v/>
      </c>
      <c r="BF102" s="71"/>
      <c r="BG102" s="11" t="str">
        <f t="shared" si="74"/>
        <v/>
      </c>
      <c r="BH102" s="10" t="str">
        <f t="shared" si="84"/>
        <v/>
      </c>
      <c r="BJ102" s="7" t="str">
        <f t="shared" si="85"/>
        <v/>
      </c>
      <c r="BK102" s="158" t="str">
        <f t="shared" si="86"/>
        <v/>
      </c>
      <c r="BL102" s="158" t="str">
        <f t="shared" si="75"/>
        <v/>
      </c>
      <c r="BM102" s="10"/>
      <c r="BN102" s="10" t="str">
        <f t="shared" si="87"/>
        <v/>
      </c>
      <c r="BO102" s="10" t="str">
        <f t="shared" si="88"/>
        <v/>
      </c>
      <c r="BQ102" s="10" t="str">
        <f t="shared" si="76"/>
        <v/>
      </c>
      <c r="BR102" s="10" t="str">
        <f t="shared" si="89"/>
        <v/>
      </c>
    </row>
    <row r="103" spans="4:70" x14ac:dyDescent="0.15">
      <c r="E103" s="81" t="s">
        <v>202</v>
      </c>
      <c r="F103" s="91">
        <f>BB116/$BR$116</f>
        <v>4.9224399372786793</v>
      </c>
      <c r="G103" s="81" t="s">
        <v>132</v>
      </c>
      <c r="I103" s="38">
        <f t="shared" si="90"/>
        <v>2118</v>
      </c>
      <c r="J103" s="39"/>
      <c r="K103" s="39">
        <f t="shared" si="91"/>
        <v>89</v>
      </c>
      <c r="L103" s="39"/>
      <c r="M103" s="40">
        <f t="shared" si="61"/>
        <v>7.2025619310640235E-2</v>
      </c>
      <c r="N103" s="39"/>
      <c r="O103" s="72" t="str">
        <f t="shared" si="77"/>
        <v/>
      </c>
      <c r="P103" s="41" t="str">
        <f t="shared" si="62"/>
        <v/>
      </c>
      <c r="Q103" s="39"/>
      <c r="R103" s="72" t="str">
        <f t="shared" si="78"/>
        <v/>
      </c>
      <c r="S103" s="39"/>
      <c r="T103" s="72" t="str">
        <f t="shared" si="79"/>
        <v/>
      </c>
      <c r="U103" s="39"/>
      <c r="V103" s="72" t="str">
        <f t="shared" si="63"/>
        <v/>
      </c>
      <c r="W103" s="72" t="str">
        <f t="shared" si="92"/>
        <v/>
      </c>
      <c r="X103" s="39"/>
      <c r="Y103" s="72" t="str">
        <f t="shared" si="64"/>
        <v/>
      </c>
      <c r="Z103" s="72" t="str">
        <f t="shared" si="93"/>
        <v/>
      </c>
      <c r="AA103" s="39"/>
      <c r="AB103" s="72" t="str">
        <f t="shared" si="65"/>
        <v/>
      </c>
      <c r="AC103" s="72" t="str">
        <f t="shared" si="94"/>
        <v/>
      </c>
      <c r="AD103" s="39"/>
      <c r="AE103" s="72" t="str">
        <f t="shared" si="66"/>
        <v/>
      </c>
      <c r="AF103" s="72" t="str">
        <f t="shared" si="95"/>
        <v/>
      </c>
      <c r="AG103" s="39"/>
      <c r="AH103" s="72" t="str">
        <f t="shared" si="67"/>
        <v/>
      </c>
      <c r="AI103" s="72" t="str">
        <f t="shared" si="96"/>
        <v/>
      </c>
      <c r="AJ103" s="39"/>
      <c r="AK103" s="72" t="str">
        <f t="shared" si="68"/>
        <v/>
      </c>
      <c r="AL103" s="72" t="str">
        <f t="shared" si="97"/>
        <v/>
      </c>
      <c r="AM103" s="39"/>
      <c r="AN103" s="72" t="str">
        <f t="shared" si="69"/>
        <v/>
      </c>
      <c r="AO103" s="72" t="str">
        <f t="shared" si="98"/>
        <v/>
      </c>
      <c r="AP103" s="39"/>
      <c r="AQ103" s="72" t="str">
        <f t="shared" si="70"/>
        <v/>
      </c>
      <c r="AR103" s="72" t="str">
        <f t="shared" si="80"/>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71"/>
        <v/>
      </c>
      <c r="AW103" s="72" t="str">
        <f t="shared" si="81"/>
        <v/>
      </c>
      <c r="AX103" s="39"/>
      <c r="AY103" s="40" t="str">
        <f>IF(ISERROR(IF($K103&lt;=$F$15,VLOOKUP($I103,'表4）CO2価格'!$A$7:$E$67,VLOOKUP($F$48,'表4）CO2価格'!$H$10:$I$12,2,0),0)*$F$8/1000,"")),0,IF($K103&lt;=$F$15,VLOOKUP($I103,'表4）CO2価格'!$A$7:$E$67,VLOOKUP($F$48,'表4）CO2価格'!$H$10:$I$12,2,0),0)*$F$8/1000,""))</f>
        <v/>
      </c>
      <c r="AZ103" s="39"/>
      <c r="BA103" s="42" t="str">
        <f t="shared" si="72"/>
        <v/>
      </c>
      <c r="BB103" s="72" t="str">
        <f t="shared" si="82"/>
        <v/>
      </c>
      <c r="BC103" s="39"/>
      <c r="BD103" s="72" t="str">
        <f t="shared" si="73"/>
        <v/>
      </c>
      <c r="BE103" s="72" t="str">
        <f t="shared" si="83"/>
        <v/>
      </c>
      <c r="BF103" s="39"/>
      <c r="BG103" s="42" t="str">
        <f t="shared" si="74"/>
        <v/>
      </c>
      <c r="BH103" s="72" t="str">
        <f t="shared" si="84"/>
        <v/>
      </c>
      <c r="BI103" s="39"/>
      <c r="BJ103" s="40" t="str">
        <f t="shared" si="85"/>
        <v/>
      </c>
      <c r="BK103" s="157" t="str">
        <f t="shared" si="86"/>
        <v/>
      </c>
      <c r="BL103" s="157" t="str">
        <f t="shared" si="75"/>
        <v/>
      </c>
      <c r="BM103" s="72"/>
      <c r="BN103" s="72" t="str">
        <f t="shared" si="87"/>
        <v/>
      </c>
      <c r="BO103" s="72" t="str">
        <f t="shared" si="88"/>
        <v/>
      </c>
      <c r="BP103" s="39"/>
      <c r="BQ103" s="72" t="str">
        <f t="shared" si="76"/>
        <v/>
      </c>
      <c r="BR103" s="72" t="str">
        <f t="shared" si="89"/>
        <v/>
      </c>
    </row>
    <row r="104" spans="4:70" x14ac:dyDescent="0.15">
      <c r="E104" s="81" t="s">
        <v>203</v>
      </c>
      <c r="F104" s="91">
        <f>IF(ISERROR(F60*(1/F61)/F62),0,F60*(1/F61)/F62)</f>
        <v>0</v>
      </c>
      <c r="G104" s="81" t="s">
        <v>132</v>
      </c>
      <c r="I104" s="322">
        <f t="shared" si="90"/>
        <v>2119</v>
      </c>
      <c r="J104" s="71"/>
      <c r="K104" s="71">
        <f t="shared" si="91"/>
        <v>90</v>
      </c>
      <c r="L104" s="71"/>
      <c r="M104" s="7">
        <f t="shared" si="61"/>
        <v>6.9927785738485654E-2</v>
      </c>
      <c r="N104" s="71"/>
      <c r="O104" s="10" t="str">
        <f t="shared" si="77"/>
        <v/>
      </c>
      <c r="P104" s="29" t="str">
        <f t="shared" si="62"/>
        <v/>
      </c>
      <c r="Q104" s="71"/>
      <c r="R104" s="10" t="str">
        <f t="shared" si="78"/>
        <v/>
      </c>
      <c r="S104" s="71"/>
      <c r="T104" s="10" t="str">
        <f t="shared" si="79"/>
        <v/>
      </c>
      <c r="U104" s="71"/>
      <c r="V104" s="10" t="str">
        <f t="shared" si="63"/>
        <v/>
      </c>
      <c r="W104" s="10" t="str">
        <f t="shared" si="92"/>
        <v/>
      </c>
      <c r="X104" s="71"/>
      <c r="Y104" s="10" t="str">
        <f t="shared" si="64"/>
        <v/>
      </c>
      <c r="Z104" s="10" t="str">
        <f t="shared" si="93"/>
        <v/>
      </c>
      <c r="AA104" s="71"/>
      <c r="AB104" s="10" t="str">
        <f t="shared" si="65"/>
        <v/>
      </c>
      <c r="AC104" s="10" t="str">
        <f t="shared" si="94"/>
        <v/>
      </c>
      <c r="AD104" s="71"/>
      <c r="AE104" s="10" t="str">
        <f t="shared" si="66"/>
        <v/>
      </c>
      <c r="AF104" s="10" t="str">
        <f t="shared" si="95"/>
        <v/>
      </c>
      <c r="AG104" s="71"/>
      <c r="AH104" s="10" t="str">
        <f t="shared" si="67"/>
        <v/>
      </c>
      <c r="AI104" s="10" t="str">
        <f t="shared" si="96"/>
        <v/>
      </c>
      <c r="AJ104" s="71"/>
      <c r="AK104" s="10" t="str">
        <f t="shared" si="68"/>
        <v/>
      </c>
      <c r="AL104" s="10" t="str">
        <f t="shared" si="97"/>
        <v/>
      </c>
      <c r="AM104" s="71"/>
      <c r="AN104" s="10" t="str">
        <f t="shared" si="69"/>
        <v/>
      </c>
      <c r="AO104" s="10" t="str">
        <f t="shared" si="98"/>
        <v/>
      </c>
      <c r="AP104" s="71"/>
      <c r="AQ104" s="10" t="str">
        <f t="shared" si="70"/>
        <v/>
      </c>
      <c r="AR104" s="10" t="str">
        <f t="shared" si="80"/>
        <v/>
      </c>
      <c r="AS104" s="71"/>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U104" s="71"/>
      <c r="AV104" s="10" t="str">
        <f t="shared" si="71"/>
        <v/>
      </c>
      <c r="AW104" s="10" t="str">
        <f t="shared" si="81"/>
        <v/>
      </c>
      <c r="AX104" s="71"/>
      <c r="AY104" s="7" t="str">
        <f>IF(ISERROR(IF($K104&lt;=$F$15,VLOOKUP($I104,'表4）CO2価格'!$A$7:$E$67,VLOOKUP($F$48,'表4）CO2価格'!$H$10:$I$12,2,0),0)*$F$8/1000,"")),0,IF($K104&lt;=$F$15,VLOOKUP($I104,'表4）CO2価格'!$A$7:$E$67,VLOOKUP($F$48,'表4）CO2価格'!$H$10:$I$12,2,0),0)*$F$8/1000,""))</f>
        <v/>
      </c>
      <c r="AZ104" s="71"/>
      <c r="BA104" s="11" t="str">
        <f t="shared" si="72"/>
        <v/>
      </c>
      <c r="BB104" s="10" t="str">
        <f t="shared" si="82"/>
        <v/>
      </c>
      <c r="BC104" s="71"/>
      <c r="BD104" s="10" t="str">
        <f t="shared" si="73"/>
        <v/>
      </c>
      <c r="BE104" s="10" t="str">
        <f t="shared" si="83"/>
        <v/>
      </c>
      <c r="BF104" s="71"/>
      <c r="BG104" s="11" t="str">
        <f t="shared" si="74"/>
        <v/>
      </c>
      <c r="BH104" s="10" t="str">
        <f t="shared" si="84"/>
        <v/>
      </c>
      <c r="BJ104" s="7" t="str">
        <f t="shared" si="85"/>
        <v/>
      </c>
      <c r="BK104" s="158" t="str">
        <f t="shared" si="86"/>
        <v/>
      </c>
      <c r="BL104" s="158" t="str">
        <f t="shared" si="75"/>
        <v/>
      </c>
      <c r="BM104" s="10"/>
      <c r="BN104" s="10" t="str">
        <f t="shared" si="87"/>
        <v/>
      </c>
      <c r="BO104" s="10" t="str">
        <f t="shared" si="88"/>
        <v/>
      </c>
      <c r="BQ104" s="10" t="str">
        <f t="shared" si="76"/>
        <v/>
      </c>
      <c r="BR104" s="10" t="str">
        <f t="shared" si="89"/>
        <v/>
      </c>
    </row>
    <row r="105" spans="4:70" x14ac:dyDescent="0.15">
      <c r="E105" s="9" t="s">
        <v>367</v>
      </c>
      <c r="F105" s="91">
        <f>F64</f>
        <v>7.0000000000000007E-2</v>
      </c>
      <c r="G105" s="81" t="s">
        <v>132</v>
      </c>
      <c r="I105" s="38">
        <f t="shared" si="90"/>
        <v>2120</v>
      </c>
      <c r="J105" s="39"/>
      <c r="K105" s="39">
        <f t="shared" si="91"/>
        <v>91</v>
      </c>
      <c r="L105" s="39"/>
      <c r="M105" s="40">
        <f t="shared" si="61"/>
        <v>6.7891054115034627E-2</v>
      </c>
      <c r="N105" s="39"/>
      <c r="O105" s="72" t="str">
        <f t="shared" si="77"/>
        <v/>
      </c>
      <c r="P105" s="41" t="str">
        <f t="shared" si="62"/>
        <v/>
      </c>
      <c r="Q105" s="39"/>
      <c r="R105" s="72" t="str">
        <f t="shared" si="78"/>
        <v/>
      </c>
      <c r="S105" s="39"/>
      <c r="T105" s="72" t="str">
        <f t="shared" si="79"/>
        <v/>
      </c>
      <c r="U105" s="39"/>
      <c r="V105" s="72" t="str">
        <f t="shared" si="63"/>
        <v/>
      </c>
      <c r="W105" s="72" t="str">
        <f t="shared" si="92"/>
        <v/>
      </c>
      <c r="X105" s="39"/>
      <c r="Y105" s="72" t="str">
        <f t="shared" si="64"/>
        <v/>
      </c>
      <c r="Z105" s="72" t="str">
        <f t="shared" si="93"/>
        <v/>
      </c>
      <c r="AA105" s="39"/>
      <c r="AB105" s="72" t="str">
        <f t="shared" si="65"/>
        <v/>
      </c>
      <c r="AC105" s="72" t="str">
        <f t="shared" si="94"/>
        <v/>
      </c>
      <c r="AD105" s="39"/>
      <c r="AE105" s="72" t="str">
        <f t="shared" si="66"/>
        <v/>
      </c>
      <c r="AF105" s="72" t="str">
        <f t="shared" si="95"/>
        <v/>
      </c>
      <c r="AG105" s="39"/>
      <c r="AH105" s="72" t="str">
        <f t="shared" si="67"/>
        <v/>
      </c>
      <c r="AI105" s="72" t="str">
        <f t="shared" si="96"/>
        <v/>
      </c>
      <c r="AJ105" s="39"/>
      <c r="AK105" s="72" t="str">
        <f t="shared" si="68"/>
        <v/>
      </c>
      <c r="AL105" s="72" t="str">
        <f t="shared" si="97"/>
        <v/>
      </c>
      <c r="AM105" s="39"/>
      <c r="AN105" s="72" t="str">
        <f t="shared" si="69"/>
        <v/>
      </c>
      <c r="AO105" s="72" t="str">
        <f t="shared" si="98"/>
        <v/>
      </c>
      <c r="AP105" s="39"/>
      <c r="AQ105" s="72" t="str">
        <f t="shared" si="70"/>
        <v/>
      </c>
      <c r="AR105" s="72" t="str">
        <f t="shared" si="80"/>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71"/>
        <v/>
      </c>
      <c r="AW105" s="72" t="str">
        <f t="shared" si="81"/>
        <v/>
      </c>
      <c r="AX105" s="39"/>
      <c r="AY105" s="40" t="str">
        <f>IF(ISERROR(IF($K105&lt;=$F$15,VLOOKUP($I105,'表4）CO2価格'!$A$7:$E$67,VLOOKUP($F$48,'表4）CO2価格'!$H$10:$I$12,2,0),0)*$F$8/1000,"")),0,IF($K105&lt;=$F$15,VLOOKUP($I105,'表4）CO2価格'!$A$7:$E$67,VLOOKUP($F$48,'表4）CO2価格'!$H$10:$I$12,2,0),0)*$F$8/1000,""))</f>
        <v/>
      </c>
      <c r="AZ105" s="39"/>
      <c r="BA105" s="42" t="str">
        <f t="shared" si="72"/>
        <v/>
      </c>
      <c r="BB105" s="72" t="str">
        <f t="shared" si="82"/>
        <v/>
      </c>
      <c r="BC105" s="39"/>
      <c r="BD105" s="72" t="str">
        <f t="shared" si="73"/>
        <v/>
      </c>
      <c r="BE105" s="72" t="str">
        <f t="shared" si="83"/>
        <v/>
      </c>
      <c r="BF105" s="39"/>
      <c r="BG105" s="42" t="str">
        <f t="shared" si="74"/>
        <v/>
      </c>
      <c r="BH105" s="72" t="str">
        <f t="shared" si="84"/>
        <v/>
      </c>
      <c r="BI105" s="39"/>
      <c r="BJ105" s="40" t="str">
        <f t="shared" si="85"/>
        <v/>
      </c>
      <c r="BK105" s="157" t="str">
        <f t="shared" si="86"/>
        <v/>
      </c>
      <c r="BL105" s="157" t="str">
        <f t="shared" si="75"/>
        <v/>
      </c>
      <c r="BM105" s="72"/>
      <c r="BN105" s="72" t="str">
        <f t="shared" si="87"/>
        <v/>
      </c>
      <c r="BO105" s="72" t="str">
        <f t="shared" si="88"/>
        <v/>
      </c>
      <c r="BP105" s="39"/>
      <c r="BQ105" s="72" t="str">
        <f t="shared" si="76"/>
        <v/>
      </c>
      <c r="BR105" s="72" t="str">
        <f t="shared" si="89"/>
        <v/>
      </c>
    </row>
    <row r="106" spans="4:70" x14ac:dyDescent="0.15">
      <c r="F106" s="93"/>
      <c r="I106" s="322">
        <f t="shared" si="90"/>
        <v>2121</v>
      </c>
      <c r="J106" s="71"/>
      <c r="K106" s="71">
        <f t="shared" si="91"/>
        <v>92</v>
      </c>
      <c r="L106" s="71"/>
      <c r="M106" s="7">
        <f t="shared" si="61"/>
        <v>6.5913644771878277E-2</v>
      </c>
      <c r="N106" s="71"/>
      <c r="O106" s="10" t="str">
        <f t="shared" si="77"/>
        <v/>
      </c>
      <c r="P106" s="29" t="str">
        <f t="shared" si="62"/>
        <v/>
      </c>
      <c r="Q106" s="71"/>
      <c r="R106" s="10" t="str">
        <f t="shared" si="78"/>
        <v/>
      </c>
      <c r="S106" s="71"/>
      <c r="T106" s="10" t="str">
        <f t="shared" si="79"/>
        <v/>
      </c>
      <c r="U106" s="71"/>
      <c r="V106" s="10" t="str">
        <f t="shared" si="63"/>
        <v/>
      </c>
      <c r="W106" s="10" t="str">
        <f t="shared" si="92"/>
        <v/>
      </c>
      <c r="X106" s="71"/>
      <c r="Y106" s="10" t="str">
        <f t="shared" si="64"/>
        <v/>
      </c>
      <c r="Z106" s="10" t="str">
        <f t="shared" si="93"/>
        <v/>
      </c>
      <c r="AA106" s="71"/>
      <c r="AB106" s="10" t="str">
        <f t="shared" si="65"/>
        <v/>
      </c>
      <c r="AC106" s="10" t="str">
        <f t="shared" si="94"/>
        <v/>
      </c>
      <c r="AD106" s="71"/>
      <c r="AE106" s="10" t="str">
        <f t="shared" si="66"/>
        <v/>
      </c>
      <c r="AF106" s="10" t="str">
        <f t="shared" si="95"/>
        <v/>
      </c>
      <c r="AG106" s="71"/>
      <c r="AH106" s="10" t="str">
        <f t="shared" si="67"/>
        <v/>
      </c>
      <c r="AI106" s="10" t="str">
        <f t="shared" si="96"/>
        <v/>
      </c>
      <c r="AJ106" s="71"/>
      <c r="AK106" s="10" t="str">
        <f t="shared" si="68"/>
        <v/>
      </c>
      <c r="AL106" s="10" t="str">
        <f t="shared" si="97"/>
        <v/>
      </c>
      <c r="AM106" s="71"/>
      <c r="AN106" s="10" t="str">
        <f t="shared" si="69"/>
        <v/>
      </c>
      <c r="AO106" s="10" t="str">
        <f t="shared" si="98"/>
        <v/>
      </c>
      <c r="AP106" s="71"/>
      <c r="AQ106" s="10" t="str">
        <f t="shared" si="70"/>
        <v/>
      </c>
      <c r="AR106" s="10" t="str">
        <f t="shared" si="80"/>
        <v/>
      </c>
      <c r="AS106" s="71"/>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U106" s="71"/>
      <c r="AV106" s="10" t="str">
        <f t="shared" si="71"/>
        <v/>
      </c>
      <c r="AW106" s="10" t="str">
        <f t="shared" si="81"/>
        <v/>
      </c>
      <c r="AX106" s="71"/>
      <c r="AY106" s="7" t="str">
        <f>IF(ISERROR(IF($K106&lt;=$F$15,VLOOKUP($I106,'表4）CO2価格'!$A$7:$E$67,VLOOKUP($F$48,'表4）CO2価格'!$H$10:$I$12,2,0),0)*$F$8/1000,"")),0,IF($K106&lt;=$F$15,VLOOKUP($I106,'表4）CO2価格'!$A$7:$E$67,VLOOKUP($F$48,'表4）CO2価格'!$H$10:$I$12,2,0),0)*$F$8/1000,""))</f>
        <v/>
      </c>
      <c r="AZ106" s="71"/>
      <c r="BA106" s="11" t="str">
        <f t="shared" si="72"/>
        <v/>
      </c>
      <c r="BB106" s="10" t="str">
        <f t="shared" si="82"/>
        <v/>
      </c>
      <c r="BC106" s="71"/>
      <c r="BD106" s="10" t="str">
        <f t="shared" si="73"/>
        <v/>
      </c>
      <c r="BE106" s="10" t="str">
        <f t="shared" si="83"/>
        <v/>
      </c>
      <c r="BF106" s="71"/>
      <c r="BG106" s="11" t="str">
        <f t="shared" si="74"/>
        <v/>
      </c>
      <c r="BH106" s="10" t="str">
        <f t="shared" si="84"/>
        <v/>
      </c>
      <c r="BJ106" s="7" t="str">
        <f t="shared" si="85"/>
        <v/>
      </c>
      <c r="BK106" s="158" t="str">
        <f t="shared" si="86"/>
        <v/>
      </c>
      <c r="BL106" s="158" t="str">
        <f t="shared" si="75"/>
        <v/>
      </c>
      <c r="BM106" s="10"/>
      <c r="BN106" s="10" t="str">
        <f t="shared" si="87"/>
        <v/>
      </c>
      <c r="BO106" s="10" t="str">
        <f t="shared" si="88"/>
        <v/>
      </c>
      <c r="BQ106" s="10" t="str">
        <f t="shared" si="76"/>
        <v/>
      </c>
      <c r="BR106" s="10" t="str">
        <f t="shared" si="89"/>
        <v/>
      </c>
    </row>
    <row r="107" spans="4:70" ht="15" x14ac:dyDescent="0.15">
      <c r="D107" s="116" t="s">
        <v>204</v>
      </c>
      <c r="F107" s="94">
        <f>SUBTOTAL(9,F111:F112)</f>
        <v>0</v>
      </c>
      <c r="G107" s="81" t="s">
        <v>132</v>
      </c>
      <c r="I107" s="38">
        <f t="shared" si="90"/>
        <v>2122</v>
      </c>
      <c r="J107" s="39"/>
      <c r="K107" s="39">
        <f t="shared" si="91"/>
        <v>93</v>
      </c>
      <c r="L107" s="39"/>
      <c r="M107" s="40">
        <f t="shared" si="61"/>
        <v>6.3993829875609989E-2</v>
      </c>
      <c r="N107" s="39"/>
      <c r="O107" s="72" t="str">
        <f t="shared" si="77"/>
        <v/>
      </c>
      <c r="P107" s="41" t="str">
        <f t="shared" si="62"/>
        <v/>
      </c>
      <c r="Q107" s="39"/>
      <c r="R107" s="72" t="str">
        <f t="shared" si="78"/>
        <v/>
      </c>
      <c r="S107" s="39"/>
      <c r="T107" s="72" t="str">
        <f t="shared" si="79"/>
        <v/>
      </c>
      <c r="U107" s="39"/>
      <c r="V107" s="72" t="str">
        <f t="shared" si="63"/>
        <v/>
      </c>
      <c r="W107" s="72" t="str">
        <f t="shared" si="92"/>
        <v/>
      </c>
      <c r="X107" s="39"/>
      <c r="Y107" s="72" t="str">
        <f t="shared" si="64"/>
        <v/>
      </c>
      <c r="Z107" s="72" t="str">
        <f t="shared" si="93"/>
        <v/>
      </c>
      <c r="AA107" s="39"/>
      <c r="AB107" s="72" t="str">
        <f t="shared" si="65"/>
        <v/>
      </c>
      <c r="AC107" s="72" t="str">
        <f t="shared" si="94"/>
        <v/>
      </c>
      <c r="AD107" s="39"/>
      <c r="AE107" s="72" t="str">
        <f t="shared" si="66"/>
        <v/>
      </c>
      <c r="AF107" s="72" t="str">
        <f t="shared" si="95"/>
        <v/>
      </c>
      <c r="AG107" s="39"/>
      <c r="AH107" s="72" t="str">
        <f t="shared" si="67"/>
        <v/>
      </c>
      <c r="AI107" s="72" t="str">
        <f t="shared" si="96"/>
        <v/>
      </c>
      <c r="AJ107" s="39"/>
      <c r="AK107" s="72" t="str">
        <f t="shared" si="68"/>
        <v/>
      </c>
      <c r="AL107" s="72" t="str">
        <f t="shared" si="97"/>
        <v/>
      </c>
      <c r="AM107" s="39"/>
      <c r="AN107" s="72" t="str">
        <f t="shared" si="69"/>
        <v/>
      </c>
      <c r="AO107" s="72" t="str">
        <f t="shared" si="98"/>
        <v/>
      </c>
      <c r="AP107" s="39"/>
      <c r="AQ107" s="72" t="str">
        <f t="shared" si="70"/>
        <v/>
      </c>
      <c r="AR107" s="72" t="str">
        <f t="shared" si="80"/>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71"/>
        <v/>
      </c>
      <c r="AW107" s="72" t="str">
        <f t="shared" si="81"/>
        <v/>
      </c>
      <c r="AX107" s="39"/>
      <c r="AY107" s="40" t="str">
        <f>IF(ISERROR(IF($K107&lt;=$F$15,VLOOKUP($I107,'表4）CO2価格'!$A$7:$E$67,VLOOKUP($F$48,'表4）CO2価格'!$H$10:$I$12,2,0),0)*$F$8/1000,"")),0,IF($K107&lt;=$F$15,VLOOKUP($I107,'表4）CO2価格'!$A$7:$E$67,VLOOKUP($F$48,'表4）CO2価格'!$H$10:$I$12,2,0),0)*$F$8/1000,""))</f>
        <v/>
      </c>
      <c r="AZ107" s="39"/>
      <c r="BA107" s="42" t="str">
        <f t="shared" si="72"/>
        <v/>
      </c>
      <c r="BB107" s="72" t="str">
        <f t="shared" si="82"/>
        <v/>
      </c>
      <c r="BC107" s="39"/>
      <c r="BD107" s="72" t="str">
        <f t="shared" si="73"/>
        <v/>
      </c>
      <c r="BE107" s="72" t="str">
        <f t="shared" si="83"/>
        <v/>
      </c>
      <c r="BF107" s="39"/>
      <c r="BG107" s="42" t="str">
        <f t="shared" si="74"/>
        <v/>
      </c>
      <c r="BH107" s="72" t="str">
        <f t="shared" si="84"/>
        <v/>
      </c>
      <c r="BI107" s="39"/>
      <c r="BJ107" s="40" t="str">
        <f t="shared" si="85"/>
        <v/>
      </c>
      <c r="BK107" s="157" t="str">
        <f t="shared" si="86"/>
        <v/>
      </c>
      <c r="BL107" s="157" t="str">
        <f t="shared" si="75"/>
        <v/>
      </c>
      <c r="BM107" s="72"/>
      <c r="BN107" s="72" t="str">
        <f t="shared" si="87"/>
        <v/>
      </c>
      <c r="BO107" s="72" t="str">
        <f t="shared" si="88"/>
        <v/>
      </c>
      <c r="BP107" s="39"/>
      <c r="BQ107" s="72" t="str">
        <f t="shared" si="76"/>
        <v/>
      </c>
      <c r="BR107" s="72" t="str">
        <f t="shared" si="89"/>
        <v/>
      </c>
    </row>
    <row r="108" spans="4:70" ht="15" x14ac:dyDescent="0.15">
      <c r="D108" s="116"/>
      <c r="F108" s="93"/>
      <c r="I108" s="322">
        <f t="shared" si="90"/>
        <v>2123</v>
      </c>
      <c r="J108" s="71"/>
      <c r="K108" s="71">
        <f t="shared" si="91"/>
        <v>94</v>
      </c>
      <c r="L108" s="71"/>
      <c r="M108" s="7">
        <f t="shared" si="61"/>
        <v>6.212993191806794E-2</v>
      </c>
      <c r="N108" s="71"/>
      <c r="O108" s="10" t="str">
        <f t="shared" si="77"/>
        <v/>
      </c>
      <c r="P108" s="29" t="str">
        <f t="shared" si="62"/>
        <v/>
      </c>
      <c r="Q108" s="71"/>
      <c r="R108" s="10" t="str">
        <f t="shared" si="78"/>
        <v/>
      </c>
      <c r="S108" s="71"/>
      <c r="T108" s="10" t="str">
        <f t="shared" si="79"/>
        <v/>
      </c>
      <c r="U108" s="71"/>
      <c r="V108" s="10" t="str">
        <f t="shared" si="63"/>
        <v/>
      </c>
      <c r="W108" s="10" t="str">
        <f t="shared" si="92"/>
        <v/>
      </c>
      <c r="X108" s="71"/>
      <c r="Y108" s="10" t="str">
        <f t="shared" si="64"/>
        <v/>
      </c>
      <c r="Z108" s="10" t="str">
        <f t="shared" si="93"/>
        <v/>
      </c>
      <c r="AA108" s="71"/>
      <c r="AB108" s="10" t="str">
        <f t="shared" si="65"/>
        <v/>
      </c>
      <c r="AC108" s="10" t="str">
        <f t="shared" si="94"/>
        <v/>
      </c>
      <c r="AD108" s="71"/>
      <c r="AE108" s="10" t="str">
        <f t="shared" si="66"/>
        <v/>
      </c>
      <c r="AF108" s="10" t="str">
        <f t="shared" si="95"/>
        <v/>
      </c>
      <c r="AG108" s="71"/>
      <c r="AH108" s="10" t="str">
        <f t="shared" si="67"/>
        <v/>
      </c>
      <c r="AI108" s="10" t="str">
        <f t="shared" si="96"/>
        <v/>
      </c>
      <c r="AJ108" s="71"/>
      <c r="AK108" s="10" t="str">
        <f t="shared" si="68"/>
        <v/>
      </c>
      <c r="AL108" s="10" t="str">
        <f t="shared" si="97"/>
        <v/>
      </c>
      <c r="AM108" s="71"/>
      <c r="AN108" s="10" t="str">
        <f t="shared" si="69"/>
        <v/>
      </c>
      <c r="AO108" s="10" t="str">
        <f t="shared" si="98"/>
        <v/>
      </c>
      <c r="AP108" s="71"/>
      <c r="AQ108" s="10" t="str">
        <f t="shared" si="70"/>
        <v/>
      </c>
      <c r="AR108" s="10" t="str">
        <f t="shared" si="80"/>
        <v/>
      </c>
      <c r="AS108" s="71"/>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U108" s="71"/>
      <c r="AV108" s="10" t="str">
        <f t="shared" si="71"/>
        <v/>
      </c>
      <c r="AW108" s="10" t="str">
        <f t="shared" si="81"/>
        <v/>
      </c>
      <c r="AX108" s="71"/>
      <c r="AY108" s="7" t="str">
        <f>IF(ISERROR(IF($K108&lt;=$F$15,VLOOKUP($I108,'表4）CO2価格'!$A$7:$E$67,VLOOKUP($F$48,'表4）CO2価格'!$H$10:$I$12,2,0),0)*$F$8/1000,"")),0,IF($K108&lt;=$F$15,VLOOKUP($I108,'表4）CO2価格'!$A$7:$E$67,VLOOKUP($F$48,'表4）CO2価格'!$H$10:$I$12,2,0),0)*$F$8/1000,""))</f>
        <v/>
      </c>
      <c r="AZ108" s="71"/>
      <c r="BA108" s="11" t="str">
        <f t="shared" si="72"/>
        <v/>
      </c>
      <c r="BB108" s="10" t="str">
        <f t="shared" si="82"/>
        <v/>
      </c>
      <c r="BC108" s="71"/>
      <c r="BD108" s="10" t="str">
        <f t="shared" si="73"/>
        <v/>
      </c>
      <c r="BE108" s="10" t="str">
        <f t="shared" si="83"/>
        <v/>
      </c>
      <c r="BF108" s="71"/>
      <c r="BG108" s="11" t="str">
        <f t="shared" si="74"/>
        <v/>
      </c>
      <c r="BH108" s="10" t="str">
        <f t="shared" si="84"/>
        <v/>
      </c>
      <c r="BJ108" s="7" t="str">
        <f t="shared" si="85"/>
        <v/>
      </c>
      <c r="BK108" s="158" t="str">
        <f t="shared" si="86"/>
        <v/>
      </c>
      <c r="BL108" s="158" t="str">
        <f t="shared" si="75"/>
        <v/>
      </c>
      <c r="BM108" s="10"/>
      <c r="BN108" s="10" t="str">
        <f t="shared" si="87"/>
        <v/>
      </c>
      <c r="BO108" s="10" t="str">
        <f t="shared" si="88"/>
        <v/>
      </c>
      <c r="BQ108" s="10" t="str">
        <f t="shared" si="76"/>
        <v/>
      </c>
      <c r="BR108" s="10" t="str">
        <f t="shared" si="89"/>
        <v/>
      </c>
    </row>
    <row r="109" spans="4:70" x14ac:dyDescent="0.15">
      <c r="D109" s="101" t="s">
        <v>205</v>
      </c>
      <c r="E109" s="101"/>
      <c r="F109" s="92"/>
      <c r="G109" s="101"/>
      <c r="I109" s="38">
        <f t="shared" si="90"/>
        <v>2124</v>
      </c>
      <c r="J109" s="39"/>
      <c r="K109" s="39">
        <f t="shared" si="91"/>
        <v>95</v>
      </c>
      <c r="L109" s="39"/>
      <c r="M109" s="40">
        <f t="shared" si="61"/>
        <v>6.0320322250551395E-2</v>
      </c>
      <c r="N109" s="39"/>
      <c r="O109" s="72" t="str">
        <f t="shared" si="77"/>
        <v/>
      </c>
      <c r="P109" s="41" t="str">
        <f t="shared" si="62"/>
        <v/>
      </c>
      <c r="Q109" s="39"/>
      <c r="R109" s="72" t="str">
        <f t="shared" si="78"/>
        <v/>
      </c>
      <c r="S109" s="39"/>
      <c r="T109" s="72" t="str">
        <f t="shared" si="79"/>
        <v/>
      </c>
      <c r="U109" s="39"/>
      <c r="V109" s="72" t="str">
        <f t="shared" si="63"/>
        <v/>
      </c>
      <c r="W109" s="72" t="str">
        <f t="shared" si="92"/>
        <v/>
      </c>
      <c r="X109" s="39"/>
      <c r="Y109" s="72" t="str">
        <f t="shared" si="64"/>
        <v/>
      </c>
      <c r="Z109" s="72" t="str">
        <f t="shared" si="93"/>
        <v/>
      </c>
      <c r="AA109" s="39"/>
      <c r="AB109" s="72" t="str">
        <f t="shared" si="65"/>
        <v/>
      </c>
      <c r="AC109" s="72" t="str">
        <f t="shared" si="94"/>
        <v/>
      </c>
      <c r="AD109" s="39"/>
      <c r="AE109" s="72" t="str">
        <f t="shared" si="66"/>
        <v/>
      </c>
      <c r="AF109" s="72" t="str">
        <f t="shared" si="95"/>
        <v/>
      </c>
      <c r="AG109" s="39"/>
      <c r="AH109" s="72" t="str">
        <f t="shared" si="67"/>
        <v/>
      </c>
      <c r="AI109" s="72" t="str">
        <f t="shared" si="96"/>
        <v/>
      </c>
      <c r="AJ109" s="39"/>
      <c r="AK109" s="72" t="str">
        <f t="shared" si="68"/>
        <v/>
      </c>
      <c r="AL109" s="72" t="str">
        <f t="shared" si="97"/>
        <v/>
      </c>
      <c r="AM109" s="39"/>
      <c r="AN109" s="72" t="str">
        <f t="shared" si="69"/>
        <v/>
      </c>
      <c r="AO109" s="72" t="str">
        <f t="shared" si="98"/>
        <v/>
      </c>
      <c r="AP109" s="39"/>
      <c r="AQ109" s="72" t="str">
        <f t="shared" si="70"/>
        <v/>
      </c>
      <c r="AR109" s="72" t="str">
        <f t="shared" si="80"/>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71"/>
        <v/>
      </c>
      <c r="AW109" s="72" t="str">
        <f t="shared" si="81"/>
        <v/>
      </c>
      <c r="AX109" s="39"/>
      <c r="AY109" s="40" t="str">
        <f>IF(ISERROR(IF($K109&lt;=$F$15,VLOOKUP($I109,'表4）CO2価格'!$A$7:$E$67,VLOOKUP($F$48,'表4）CO2価格'!$H$10:$I$12,2,0),0)*$F$8/1000,"")),0,IF($K109&lt;=$F$15,VLOOKUP($I109,'表4）CO2価格'!$A$7:$E$67,VLOOKUP($F$48,'表4）CO2価格'!$H$10:$I$12,2,0),0)*$F$8/1000,""))</f>
        <v/>
      </c>
      <c r="AZ109" s="39"/>
      <c r="BA109" s="42" t="str">
        <f t="shared" si="72"/>
        <v/>
      </c>
      <c r="BB109" s="72" t="str">
        <f t="shared" si="82"/>
        <v/>
      </c>
      <c r="BC109" s="39"/>
      <c r="BD109" s="72" t="str">
        <f t="shared" si="73"/>
        <v/>
      </c>
      <c r="BE109" s="72" t="str">
        <f t="shared" si="83"/>
        <v/>
      </c>
      <c r="BF109" s="39"/>
      <c r="BG109" s="42" t="str">
        <f t="shared" si="74"/>
        <v/>
      </c>
      <c r="BH109" s="72" t="str">
        <f t="shared" si="84"/>
        <v/>
      </c>
      <c r="BI109" s="39"/>
      <c r="BJ109" s="40" t="str">
        <f t="shared" si="85"/>
        <v/>
      </c>
      <c r="BK109" s="157" t="str">
        <f t="shared" si="86"/>
        <v/>
      </c>
      <c r="BL109" s="157" t="str">
        <f t="shared" si="75"/>
        <v/>
      </c>
      <c r="BM109" s="72"/>
      <c r="BN109" s="72" t="str">
        <f t="shared" si="87"/>
        <v/>
      </c>
      <c r="BO109" s="72" t="str">
        <f t="shared" si="88"/>
        <v/>
      </c>
      <c r="BP109" s="39"/>
      <c r="BQ109" s="72" t="str">
        <f t="shared" si="76"/>
        <v/>
      </c>
      <c r="BR109" s="72" t="str">
        <f t="shared" si="89"/>
        <v/>
      </c>
    </row>
    <row r="110" spans="4:70" ht="15" x14ac:dyDescent="0.15">
      <c r="D110" s="116"/>
      <c r="F110" s="93"/>
      <c r="I110" s="322">
        <f t="shared" si="90"/>
        <v>2125</v>
      </c>
      <c r="J110" s="71"/>
      <c r="K110" s="71">
        <f t="shared" si="91"/>
        <v>96</v>
      </c>
      <c r="L110" s="71"/>
      <c r="M110" s="7">
        <f t="shared" si="61"/>
        <v>5.8563419660729518E-2</v>
      </c>
      <c r="N110" s="71"/>
      <c r="O110" s="10" t="str">
        <f t="shared" si="77"/>
        <v/>
      </c>
      <c r="P110" s="29" t="str">
        <f t="shared" si="62"/>
        <v/>
      </c>
      <c r="Q110" s="71"/>
      <c r="R110" s="10" t="str">
        <f t="shared" si="78"/>
        <v/>
      </c>
      <c r="S110" s="71"/>
      <c r="T110" s="10" t="str">
        <f t="shared" si="79"/>
        <v/>
      </c>
      <c r="U110" s="71"/>
      <c r="V110" s="10" t="str">
        <f t="shared" si="63"/>
        <v/>
      </c>
      <c r="W110" s="10" t="str">
        <f t="shared" si="92"/>
        <v/>
      </c>
      <c r="X110" s="71"/>
      <c r="Y110" s="10" t="str">
        <f t="shared" si="64"/>
        <v/>
      </c>
      <c r="Z110" s="10" t="str">
        <f t="shared" si="93"/>
        <v/>
      </c>
      <c r="AA110" s="71"/>
      <c r="AB110" s="10" t="str">
        <f t="shared" si="65"/>
        <v/>
      </c>
      <c r="AC110" s="10" t="str">
        <f t="shared" si="94"/>
        <v/>
      </c>
      <c r="AD110" s="71"/>
      <c r="AE110" s="10" t="str">
        <f t="shared" si="66"/>
        <v/>
      </c>
      <c r="AF110" s="10" t="str">
        <f t="shared" si="95"/>
        <v/>
      </c>
      <c r="AG110" s="71"/>
      <c r="AH110" s="10" t="str">
        <f t="shared" si="67"/>
        <v/>
      </c>
      <c r="AI110" s="10" t="str">
        <f t="shared" si="96"/>
        <v/>
      </c>
      <c r="AJ110" s="71"/>
      <c r="AK110" s="10" t="str">
        <f t="shared" si="68"/>
        <v/>
      </c>
      <c r="AL110" s="10" t="str">
        <f t="shared" si="97"/>
        <v/>
      </c>
      <c r="AM110" s="71"/>
      <c r="AN110" s="10" t="str">
        <f t="shared" si="69"/>
        <v/>
      </c>
      <c r="AO110" s="10" t="str">
        <f t="shared" si="98"/>
        <v/>
      </c>
      <c r="AP110" s="71"/>
      <c r="AQ110" s="10" t="str">
        <f t="shared" si="70"/>
        <v/>
      </c>
      <c r="AR110" s="10" t="str">
        <f t="shared" si="80"/>
        <v/>
      </c>
      <c r="AS110" s="71"/>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U110" s="71"/>
      <c r="AV110" s="10" t="str">
        <f t="shared" si="71"/>
        <v/>
      </c>
      <c r="AW110" s="10" t="str">
        <f t="shared" si="81"/>
        <v/>
      </c>
      <c r="AX110" s="71"/>
      <c r="AY110" s="7" t="str">
        <f>IF(ISERROR(IF($K110&lt;=$F$15,VLOOKUP($I110,'表4）CO2価格'!$A$7:$E$67,VLOOKUP($F$48,'表4）CO2価格'!$H$10:$I$12,2,0),0)*$F$8/1000,"")),0,IF($K110&lt;=$F$15,VLOOKUP($I110,'表4）CO2価格'!$A$7:$E$67,VLOOKUP($F$48,'表4）CO2価格'!$H$10:$I$12,2,0),0)*$F$8/1000,""))</f>
        <v/>
      </c>
      <c r="AZ110" s="71"/>
      <c r="BA110" s="11" t="str">
        <f t="shared" si="72"/>
        <v/>
      </c>
      <c r="BB110" s="10" t="str">
        <f t="shared" si="82"/>
        <v/>
      </c>
      <c r="BC110" s="71"/>
      <c r="BD110" s="10" t="str">
        <f t="shared" si="73"/>
        <v/>
      </c>
      <c r="BE110" s="10" t="str">
        <f t="shared" si="83"/>
        <v/>
      </c>
      <c r="BF110" s="71"/>
      <c r="BG110" s="11" t="str">
        <f t="shared" si="74"/>
        <v/>
      </c>
      <c r="BH110" s="10" t="str">
        <f t="shared" si="84"/>
        <v/>
      </c>
      <c r="BJ110" s="7" t="str">
        <f t="shared" si="85"/>
        <v/>
      </c>
      <c r="BK110" s="158" t="str">
        <f t="shared" si="86"/>
        <v/>
      </c>
      <c r="BL110" s="158" t="str">
        <f t="shared" si="75"/>
        <v/>
      </c>
      <c r="BM110" s="10"/>
      <c r="BN110" s="10" t="str">
        <f t="shared" si="87"/>
        <v/>
      </c>
      <c r="BO110" s="10" t="str">
        <f t="shared" si="88"/>
        <v/>
      </c>
      <c r="BQ110" s="10" t="str">
        <f t="shared" si="76"/>
        <v/>
      </c>
      <c r="BR110" s="10" t="str">
        <f t="shared" si="89"/>
        <v/>
      </c>
    </row>
    <row r="111" spans="4:70" ht="15" x14ac:dyDescent="0.15">
      <c r="D111" s="116"/>
      <c r="E111" s="81" t="s">
        <v>206</v>
      </c>
      <c r="F111" s="91">
        <f>-BE116/BR116</f>
        <v>0</v>
      </c>
      <c r="G111" s="81" t="s">
        <v>132</v>
      </c>
      <c r="I111" s="38">
        <f t="shared" si="90"/>
        <v>2126</v>
      </c>
      <c r="J111" s="39"/>
      <c r="K111" s="39">
        <f t="shared" si="91"/>
        <v>97</v>
      </c>
      <c r="L111" s="39"/>
      <c r="M111" s="40">
        <f t="shared" si="61"/>
        <v>5.6857688990999529E-2</v>
      </c>
      <c r="N111" s="39"/>
      <c r="O111" s="72" t="str">
        <f t="shared" si="77"/>
        <v/>
      </c>
      <c r="P111" s="41" t="str">
        <f>IF(K111&lt;=$F$15,IF(OR(P110=$F$124,P110="-"),"-",IF(O111*$F$123&gt;$F$127,$F$123,$F$124)),"")</f>
        <v/>
      </c>
      <c r="Q111" s="39"/>
      <c r="R111" s="72" t="str">
        <f t="shared" si="78"/>
        <v/>
      </c>
      <c r="S111" s="39"/>
      <c r="T111" s="72" t="str">
        <f t="shared" si="79"/>
        <v/>
      </c>
      <c r="U111" s="39"/>
      <c r="V111" s="72" t="str">
        <f t="shared" si="63"/>
        <v/>
      </c>
      <c r="W111" s="72" t="str">
        <f t="shared" si="92"/>
        <v/>
      </c>
      <c r="X111" s="39"/>
      <c r="Y111" s="72" t="str">
        <f t="shared" si="64"/>
        <v/>
      </c>
      <c r="Z111" s="72" t="str">
        <f t="shared" si="93"/>
        <v/>
      </c>
      <c r="AA111" s="39"/>
      <c r="AB111" s="72" t="str">
        <f t="shared" si="65"/>
        <v/>
      </c>
      <c r="AC111" s="72" t="str">
        <f t="shared" si="94"/>
        <v/>
      </c>
      <c r="AD111" s="39"/>
      <c r="AE111" s="72" t="str">
        <f t="shared" si="66"/>
        <v/>
      </c>
      <c r="AF111" s="72" t="str">
        <f t="shared" si="95"/>
        <v/>
      </c>
      <c r="AG111" s="39"/>
      <c r="AH111" s="72" t="str">
        <f t="shared" si="67"/>
        <v/>
      </c>
      <c r="AI111" s="72" t="str">
        <f t="shared" si="96"/>
        <v/>
      </c>
      <c r="AJ111" s="39"/>
      <c r="AK111" s="72" t="str">
        <f t="shared" si="68"/>
        <v/>
      </c>
      <c r="AL111" s="72" t="str">
        <f t="shared" si="97"/>
        <v/>
      </c>
      <c r="AM111" s="39"/>
      <c r="AN111" s="72" t="str">
        <f t="shared" si="69"/>
        <v/>
      </c>
      <c r="AO111" s="72" t="str">
        <f t="shared" si="98"/>
        <v/>
      </c>
      <c r="AP111" s="39"/>
      <c r="AQ111" s="72" t="str">
        <f t="shared" si="70"/>
        <v/>
      </c>
      <c r="AR111" s="72" t="str">
        <f t="shared" si="80"/>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71"/>
        <v/>
      </c>
      <c r="AW111" s="72" t="str">
        <f t="shared" si="81"/>
        <v/>
      </c>
      <c r="AX111" s="39"/>
      <c r="AY111" s="40" t="str">
        <f>IF(ISERROR(IF($K111&lt;=$F$15,VLOOKUP($I111,'表4）CO2価格'!$A$7:$E$67,VLOOKUP($F$48,'表4）CO2価格'!$H$10:$I$12,2,0),0)*$F$8/1000,"")),0,IF($K111&lt;=$F$15,VLOOKUP($I111,'表4）CO2価格'!$A$7:$E$67,VLOOKUP($F$48,'表4）CO2価格'!$H$10:$I$12,2,0),0)*$F$8/1000,""))</f>
        <v/>
      </c>
      <c r="AZ111" s="39"/>
      <c r="BA111" s="42" t="str">
        <f t="shared" si="72"/>
        <v/>
      </c>
      <c r="BB111" s="72" t="str">
        <f t="shared" si="82"/>
        <v/>
      </c>
      <c r="BC111" s="39"/>
      <c r="BD111" s="72" t="str">
        <f t="shared" si="73"/>
        <v/>
      </c>
      <c r="BE111" s="72" t="str">
        <f t="shared" si="83"/>
        <v/>
      </c>
      <c r="BF111" s="39"/>
      <c r="BG111" s="42" t="str">
        <f t="shared" si="74"/>
        <v/>
      </c>
      <c r="BH111" s="72" t="str">
        <f t="shared" si="84"/>
        <v/>
      </c>
      <c r="BI111" s="39"/>
      <c r="BJ111" s="40" t="str">
        <f t="shared" si="85"/>
        <v/>
      </c>
      <c r="BK111" s="157" t="str">
        <f t="shared" si="86"/>
        <v/>
      </c>
      <c r="BL111" s="157" t="str">
        <f t="shared" si="75"/>
        <v/>
      </c>
      <c r="BM111" s="72"/>
      <c r="BN111" s="72" t="str">
        <f t="shared" si="87"/>
        <v/>
      </c>
      <c r="BO111" s="72" t="str">
        <f t="shared" si="88"/>
        <v/>
      </c>
      <c r="BP111" s="39"/>
      <c r="BQ111" s="72" t="str">
        <f t="shared" si="76"/>
        <v/>
      </c>
      <c r="BR111" s="72" t="str">
        <f t="shared" si="89"/>
        <v/>
      </c>
    </row>
    <row r="112" spans="4:70" ht="15" x14ac:dyDescent="0.15">
      <c r="D112" s="116"/>
      <c r="E112" s="81" t="s">
        <v>207</v>
      </c>
      <c r="F112" s="91">
        <f>-BH116/BR116</f>
        <v>0</v>
      </c>
      <c r="G112" s="81" t="s">
        <v>132</v>
      </c>
      <c r="I112" s="322">
        <f t="shared" si="90"/>
        <v>2127</v>
      </c>
      <c r="J112" s="71"/>
      <c r="K112" s="71">
        <f t="shared" si="91"/>
        <v>98</v>
      </c>
      <c r="L112" s="71"/>
      <c r="M112" s="7">
        <f t="shared" si="61"/>
        <v>5.5201639797086935E-2</v>
      </c>
      <c r="N112" s="71"/>
      <c r="O112" s="10" t="str">
        <f t="shared" si="77"/>
        <v/>
      </c>
      <c r="P112" s="29" t="str">
        <f>IF(K112&lt;=$F$15,IF(OR(P111=$F$124,P111="-"),"-",IF(O112*$F$123&gt;$F$127,$F$123,$F$124)),"")</f>
        <v/>
      </c>
      <c r="Q112" s="71"/>
      <c r="R112" s="10" t="str">
        <f t="shared" si="78"/>
        <v/>
      </c>
      <c r="S112" s="71"/>
      <c r="T112" s="10" t="str">
        <f t="shared" si="79"/>
        <v/>
      </c>
      <c r="U112" s="71"/>
      <c r="V112" s="10" t="str">
        <f t="shared" si="63"/>
        <v/>
      </c>
      <c r="W112" s="10" t="str">
        <f t="shared" si="92"/>
        <v/>
      </c>
      <c r="X112" s="71"/>
      <c r="Y112" s="10" t="str">
        <f t="shared" si="64"/>
        <v/>
      </c>
      <c r="Z112" s="10" t="str">
        <f t="shared" si="93"/>
        <v/>
      </c>
      <c r="AA112" s="71"/>
      <c r="AB112" s="10" t="str">
        <f t="shared" si="65"/>
        <v/>
      </c>
      <c r="AC112" s="10" t="str">
        <f t="shared" si="94"/>
        <v/>
      </c>
      <c r="AD112" s="71"/>
      <c r="AE112" s="10" t="str">
        <f t="shared" si="66"/>
        <v/>
      </c>
      <c r="AF112" s="10" t="str">
        <f t="shared" si="95"/>
        <v/>
      </c>
      <c r="AG112" s="71"/>
      <c r="AH112" s="10" t="str">
        <f t="shared" si="67"/>
        <v/>
      </c>
      <c r="AI112" s="10" t="str">
        <f t="shared" si="96"/>
        <v/>
      </c>
      <c r="AJ112" s="71"/>
      <c r="AK112" s="10" t="str">
        <f t="shared" si="68"/>
        <v/>
      </c>
      <c r="AL112" s="10" t="str">
        <f t="shared" si="97"/>
        <v/>
      </c>
      <c r="AM112" s="71"/>
      <c r="AN112" s="10" t="str">
        <f t="shared" si="69"/>
        <v/>
      </c>
      <c r="AO112" s="10" t="str">
        <f t="shared" si="98"/>
        <v/>
      </c>
      <c r="AP112" s="71"/>
      <c r="AQ112" s="10" t="str">
        <f t="shared" si="70"/>
        <v/>
      </c>
      <c r="AR112" s="10" t="str">
        <f t="shared" si="80"/>
        <v/>
      </c>
      <c r="AS112" s="71"/>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U112" s="71"/>
      <c r="AV112" s="10" t="str">
        <f t="shared" si="71"/>
        <v/>
      </c>
      <c r="AW112" s="10" t="str">
        <f t="shared" si="81"/>
        <v/>
      </c>
      <c r="AX112" s="71"/>
      <c r="AY112" s="7" t="str">
        <f>IF(ISERROR(IF($K112&lt;=$F$15,VLOOKUP($I112,'表4）CO2価格'!$A$7:$E$67,VLOOKUP($F$48,'表4）CO2価格'!$H$10:$I$12,2,0),0)*$F$8/1000,"")),0,IF($K112&lt;=$F$15,VLOOKUP($I112,'表4）CO2価格'!$A$7:$E$67,VLOOKUP($F$48,'表4）CO2価格'!$H$10:$I$12,2,0),0)*$F$8/1000,""))</f>
        <v/>
      </c>
      <c r="AZ112" s="71"/>
      <c r="BA112" s="11" t="str">
        <f t="shared" si="72"/>
        <v/>
      </c>
      <c r="BB112" s="10" t="str">
        <f t="shared" si="82"/>
        <v/>
      </c>
      <c r="BC112" s="71"/>
      <c r="BD112" s="10" t="str">
        <f t="shared" si="73"/>
        <v/>
      </c>
      <c r="BE112" s="10" t="str">
        <f t="shared" si="83"/>
        <v/>
      </c>
      <c r="BF112" s="71"/>
      <c r="BG112" s="11" t="str">
        <f t="shared" si="74"/>
        <v/>
      </c>
      <c r="BH112" s="10" t="str">
        <f t="shared" si="84"/>
        <v/>
      </c>
      <c r="BJ112" s="7" t="str">
        <f t="shared" si="85"/>
        <v/>
      </c>
      <c r="BK112" s="158" t="str">
        <f t="shared" si="86"/>
        <v/>
      </c>
      <c r="BL112" s="158" t="str">
        <f t="shared" si="75"/>
        <v/>
      </c>
      <c r="BM112" s="10"/>
      <c r="BN112" s="10" t="str">
        <f t="shared" si="87"/>
        <v/>
      </c>
      <c r="BO112" s="10" t="str">
        <f t="shared" si="88"/>
        <v/>
      </c>
      <c r="BQ112" s="10" t="str">
        <f t="shared" si="76"/>
        <v/>
      </c>
      <c r="BR112" s="10" t="str">
        <f t="shared" si="89"/>
        <v/>
      </c>
    </row>
    <row r="113" spans="2:70" x14ac:dyDescent="0.15">
      <c r="I113" s="38">
        <f t="shared" si="90"/>
        <v>2128</v>
      </c>
      <c r="J113" s="39"/>
      <c r="K113" s="39">
        <f t="shared" si="91"/>
        <v>99</v>
      </c>
      <c r="L113" s="39"/>
      <c r="M113" s="40">
        <f t="shared" si="61"/>
        <v>5.3593825045715457E-2</v>
      </c>
      <c r="N113" s="39"/>
      <c r="O113" s="72" t="str">
        <f t="shared" si="77"/>
        <v/>
      </c>
      <c r="P113" s="41" t="str">
        <f>IF(K113&lt;=$F$15,IF(OR(P112=$F$124,P112="-"),"-",IF(O113*$F$123&gt;$F$127,$F$123,$F$124)),"")</f>
        <v/>
      </c>
      <c r="Q113" s="39"/>
      <c r="R113" s="72" t="str">
        <f t="shared" si="78"/>
        <v/>
      </c>
      <c r="S113" s="39"/>
      <c r="T113" s="72" t="str">
        <f t="shared" si="79"/>
        <v/>
      </c>
      <c r="U113" s="39"/>
      <c r="V113" s="72" t="str">
        <f t="shared" si="63"/>
        <v/>
      </c>
      <c r="W113" s="72" t="str">
        <f t="shared" si="92"/>
        <v/>
      </c>
      <c r="X113" s="39"/>
      <c r="Y113" s="72" t="str">
        <f t="shared" si="64"/>
        <v/>
      </c>
      <c r="Z113" s="72" t="str">
        <f t="shared" si="93"/>
        <v/>
      </c>
      <c r="AA113" s="39"/>
      <c r="AB113" s="72" t="str">
        <f t="shared" si="65"/>
        <v/>
      </c>
      <c r="AC113" s="72" t="str">
        <f t="shared" si="94"/>
        <v/>
      </c>
      <c r="AD113" s="39"/>
      <c r="AE113" s="72" t="str">
        <f t="shared" si="66"/>
        <v/>
      </c>
      <c r="AF113" s="72" t="str">
        <f t="shared" si="95"/>
        <v/>
      </c>
      <c r="AG113" s="39"/>
      <c r="AH113" s="72" t="str">
        <f t="shared" si="67"/>
        <v/>
      </c>
      <c r="AI113" s="72" t="str">
        <f t="shared" si="96"/>
        <v/>
      </c>
      <c r="AJ113" s="39"/>
      <c r="AK113" s="72" t="str">
        <f t="shared" si="68"/>
        <v/>
      </c>
      <c r="AL113" s="72" t="str">
        <f t="shared" si="97"/>
        <v/>
      </c>
      <c r="AM113" s="39"/>
      <c r="AN113" s="72" t="str">
        <f t="shared" si="69"/>
        <v/>
      </c>
      <c r="AO113" s="72" t="str">
        <f t="shared" si="98"/>
        <v/>
      </c>
      <c r="AP113" s="39"/>
      <c r="AQ113" s="72" t="str">
        <f t="shared" si="70"/>
        <v/>
      </c>
      <c r="AR113" s="72" t="str">
        <f t="shared" si="80"/>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71"/>
        <v/>
      </c>
      <c r="AW113" s="72" t="str">
        <f t="shared" si="81"/>
        <v/>
      </c>
      <c r="AX113" s="39"/>
      <c r="AY113" s="40" t="str">
        <f>IF(ISERROR(IF($K113&lt;=$F$15,VLOOKUP($I113,'表4）CO2価格'!$A$7:$E$67,VLOOKUP($F$48,'表4）CO2価格'!$H$10:$I$12,2,0),0)*$F$8/1000,"")),0,IF($K113&lt;=$F$15,VLOOKUP($I113,'表4）CO2価格'!$A$7:$E$67,VLOOKUP($F$48,'表4）CO2価格'!$H$10:$I$12,2,0),0)*$F$8/1000,""))</f>
        <v/>
      </c>
      <c r="AZ113" s="39"/>
      <c r="BA113" s="42" t="str">
        <f t="shared" si="72"/>
        <v/>
      </c>
      <c r="BB113" s="72" t="str">
        <f t="shared" si="82"/>
        <v/>
      </c>
      <c r="BC113" s="39"/>
      <c r="BD113" s="72" t="str">
        <f t="shared" si="73"/>
        <v/>
      </c>
      <c r="BE113" s="72" t="str">
        <f t="shared" si="83"/>
        <v/>
      </c>
      <c r="BF113" s="39"/>
      <c r="BG113" s="42" t="str">
        <f t="shared" si="74"/>
        <v/>
      </c>
      <c r="BH113" s="72" t="str">
        <f t="shared" si="84"/>
        <v/>
      </c>
      <c r="BI113" s="39"/>
      <c r="BJ113" s="40" t="str">
        <f t="shared" si="85"/>
        <v/>
      </c>
      <c r="BK113" s="157" t="str">
        <f t="shared" si="86"/>
        <v/>
      </c>
      <c r="BL113" s="157" t="str">
        <f t="shared" si="75"/>
        <v/>
      </c>
      <c r="BM113" s="72"/>
      <c r="BN113" s="72" t="str">
        <f t="shared" si="87"/>
        <v/>
      </c>
      <c r="BO113" s="72" t="str">
        <f t="shared" si="88"/>
        <v/>
      </c>
      <c r="BP113" s="39"/>
      <c r="BQ113" s="72" t="str">
        <f t="shared" si="76"/>
        <v/>
      </c>
      <c r="BR113" s="72" t="str">
        <f t="shared" si="89"/>
        <v/>
      </c>
    </row>
    <row r="114" spans="2:70" x14ac:dyDescent="0.15">
      <c r="I114" s="322">
        <f t="shared" si="90"/>
        <v>2129</v>
      </c>
      <c r="J114" s="71"/>
      <c r="K114" s="71">
        <f t="shared" si="91"/>
        <v>100</v>
      </c>
      <c r="L114" s="71"/>
      <c r="M114" s="7">
        <f t="shared" si="61"/>
        <v>5.2032839850209185E-2</v>
      </c>
      <c r="N114" s="71"/>
      <c r="O114" s="10" t="str">
        <f t="shared" si="77"/>
        <v/>
      </c>
      <c r="P114" s="29" t="str">
        <f>IF(K114&lt;=$F$15,IF(OR(P113=$F$124,P113="-"),"-",IF(O114*$F$123&gt;$F$127,$F$123,$F$124)),"")</f>
        <v/>
      </c>
      <c r="Q114" s="71"/>
      <c r="R114" s="10" t="str">
        <f t="shared" si="78"/>
        <v/>
      </c>
      <c r="S114" s="71"/>
      <c r="T114" s="10" t="str">
        <f t="shared" si="79"/>
        <v/>
      </c>
      <c r="U114" s="71"/>
      <c r="V114" s="10" t="str">
        <f t="shared" si="63"/>
        <v/>
      </c>
      <c r="W114" s="10" t="str">
        <f t="shared" si="92"/>
        <v/>
      </c>
      <c r="X114" s="71"/>
      <c r="Y114" s="10" t="str">
        <f t="shared" si="64"/>
        <v/>
      </c>
      <c r="Z114" s="10" t="str">
        <f t="shared" si="93"/>
        <v/>
      </c>
      <c r="AA114" s="71"/>
      <c r="AB114" s="10" t="str">
        <f t="shared" si="65"/>
        <v/>
      </c>
      <c r="AC114" s="10" t="str">
        <f t="shared" si="94"/>
        <v/>
      </c>
      <c r="AD114" s="71"/>
      <c r="AE114" s="10" t="str">
        <f t="shared" si="66"/>
        <v/>
      </c>
      <c r="AF114" s="10" t="str">
        <f t="shared" si="95"/>
        <v/>
      </c>
      <c r="AG114" s="71"/>
      <c r="AH114" s="10" t="str">
        <f t="shared" si="67"/>
        <v/>
      </c>
      <c r="AI114" s="10" t="str">
        <f t="shared" si="96"/>
        <v/>
      </c>
      <c r="AJ114" s="71"/>
      <c r="AK114" s="10" t="str">
        <f t="shared" si="68"/>
        <v/>
      </c>
      <c r="AL114" s="10" t="str">
        <f t="shared" si="97"/>
        <v/>
      </c>
      <c r="AM114" s="71"/>
      <c r="AN114" s="10" t="str">
        <f t="shared" si="69"/>
        <v/>
      </c>
      <c r="AO114" s="10" t="str">
        <f t="shared" si="98"/>
        <v/>
      </c>
      <c r="AP114" s="71"/>
      <c r="AQ114" s="10" t="str">
        <f t="shared" si="70"/>
        <v/>
      </c>
      <c r="AR114" s="10" t="str">
        <f t="shared" si="80"/>
        <v/>
      </c>
      <c r="AS114" s="71"/>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U114" s="71"/>
      <c r="AV114" s="10" t="str">
        <f t="shared" si="71"/>
        <v/>
      </c>
      <c r="AW114" s="10" t="str">
        <f t="shared" si="81"/>
        <v/>
      </c>
      <c r="AX114" s="71"/>
      <c r="AY114" s="7" t="str">
        <f>IF(ISERROR(IF($K114&lt;=$F$15,VLOOKUP($I114,'表4）CO2価格'!$A$7:$E$67,VLOOKUP($F$48,'表4）CO2価格'!$H$10:$I$12,2,0),0)*$F$8/1000,"")),0,IF($K114&lt;=$F$15,VLOOKUP($I114,'表4）CO2価格'!$A$7:$E$67,VLOOKUP($F$48,'表4）CO2価格'!$H$10:$I$12,2,0),0)*$F$8/1000,""))</f>
        <v/>
      </c>
      <c r="AZ114" s="71"/>
      <c r="BA114" s="11" t="str">
        <f t="shared" si="72"/>
        <v/>
      </c>
      <c r="BB114" s="10" t="str">
        <f t="shared" si="82"/>
        <v/>
      </c>
      <c r="BC114" s="71"/>
      <c r="BD114" s="10" t="str">
        <f t="shared" si="73"/>
        <v/>
      </c>
      <c r="BE114" s="10" t="str">
        <f t="shared" si="83"/>
        <v/>
      </c>
      <c r="BF114" s="71"/>
      <c r="BG114" s="11" t="str">
        <f t="shared" si="74"/>
        <v/>
      </c>
      <c r="BH114" s="10" t="str">
        <f t="shared" si="84"/>
        <v/>
      </c>
      <c r="BJ114" s="7" t="str">
        <f t="shared" si="85"/>
        <v/>
      </c>
      <c r="BK114" s="158" t="str">
        <f t="shared" si="86"/>
        <v/>
      </c>
      <c r="BL114" s="158" t="str">
        <f t="shared" si="75"/>
        <v/>
      </c>
      <c r="BM114" s="10"/>
      <c r="BN114" s="10" t="str">
        <f t="shared" si="87"/>
        <v/>
      </c>
      <c r="BO114" s="10" t="str">
        <f t="shared" si="88"/>
        <v/>
      </c>
      <c r="BQ114" s="10" t="str">
        <f t="shared" si="76"/>
        <v/>
      </c>
      <c r="BR114" s="10" t="str">
        <f t="shared" si="89"/>
        <v/>
      </c>
    </row>
    <row r="115" spans="2:70" ht="15.75" thickBot="1" x14ac:dyDescent="0.2">
      <c r="B115" s="460" t="s">
        <v>515</v>
      </c>
      <c r="C115" s="86"/>
      <c r="D115" s="104"/>
      <c r="E115" s="104"/>
      <c r="F115" s="86"/>
      <c r="G115" s="104"/>
      <c r="I115" s="321"/>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71" t="s">
        <v>143</v>
      </c>
      <c r="J116" s="71"/>
      <c r="K116" s="71"/>
      <c r="L116" s="71"/>
      <c r="M116" s="71"/>
      <c r="N116" s="71"/>
      <c r="O116" s="71"/>
      <c r="P116" s="71"/>
      <c r="Q116" s="71"/>
      <c r="R116" s="71"/>
      <c r="S116" s="71"/>
      <c r="T116" s="71"/>
      <c r="U116" s="71"/>
      <c r="V116" s="71"/>
      <c r="W116" s="11"/>
      <c r="X116" s="71"/>
      <c r="Y116" s="71"/>
      <c r="Z116" s="11">
        <f>SUM(Z15:Z114)</f>
        <v>14505989504.813227</v>
      </c>
      <c r="AA116" s="71"/>
      <c r="AB116" s="71"/>
      <c r="AC116" s="11">
        <f>SUM(AC15:AC114)</f>
        <v>2541743126.4158354</v>
      </c>
      <c r="AD116" s="71"/>
      <c r="AE116" s="71"/>
      <c r="AF116" s="11">
        <f>SUM(AF15:AF114)</f>
        <v>0</v>
      </c>
      <c r="AG116" s="71"/>
      <c r="AH116" s="71"/>
      <c r="AI116" s="11">
        <f>SUM(AI15:AI114)</f>
        <v>10170499668.650841</v>
      </c>
      <c r="AJ116" s="71"/>
      <c r="AK116" s="71"/>
      <c r="AL116" s="11">
        <f>SUM(AL15:AL114)</f>
        <v>94752073276.667084</v>
      </c>
      <c r="AM116" s="71"/>
      <c r="AN116" s="71"/>
      <c r="AO116" s="11">
        <f>SUM(AO15:AO114)</f>
        <v>86856067170.278168</v>
      </c>
      <c r="AP116" s="71"/>
      <c r="AQ116" s="71"/>
      <c r="AR116" s="11">
        <f>SUM(AR15:AR114)</f>
        <v>23396994094.102722</v>
      </c>
      <c r="AS116" s="71"/>
      <c r="AT116" s="71"/>
      <c r="AU116" s="71"/>
      <c r="AV116" s="71"/>
      <c r="AW116" s="11">
        <f>SUM(AW15:AW114)</f>
        <v>401946138796.20862</v>
      </c>
      <c r="AX116" s="71"/>
      <c r="AY116" s="71"/>
      <c r="AZ116" s="71"/>
      <c r="BA116" s="71"/>
      <c r="BB116" s="11">
        <f>SUM(BB15:BB114)</f>
        <v>461532229505.67572</v>
      </c>
      <c r="BC116" s="71"/>
      <c r="BD116" s="71"/>
      <c r="BE116" s="11">
        <f>SUM(BE15:BE114)</f>
        <v>0</v>
      </c>
      <c r="BF116" s="71"/>
      <c r="BG116" s="71"/>
      <c r="BH116" s="11">
        <f>SUM(BH15:BH114)</f>
        <v>0</v>
      </c>
      <c r="BK116" s="11">
        <f>SUM(BK15:BK114)</f>
        <v>0</v>
      </c>
      <c r="BL116" s="11">
        <f>SUM(BL15:BL114)</f>
        <v>0</v>
      </c>
      <c r="BO116" s="11">
        <f>SUM(BO15:BO114)</f>
        <v>0</v>
      </c>
      <c r="BQ116" s="71"/>
      <c r="BR116" s="11">
        <f>SUM(BR15:BR114)</f>
        <v>93760865624.869171</v>
      </c>
    </row>
    <row r="117" spans="2:70" x14ac:dyDescent="0.15">
      <c r="C117" s="9" t="s">
        <v>529</v>
      </c>
      <c r="F117" s="44">
        <f>F21*10^4*F13*10^4+F29*10^8</f>
        <v>170800000000</v>
      </c>
      <c r="G117" s="81" t="s">
        <v>208</v>
      </c>
      <c r="I117" s="48" t="s">
        <v>145</v>
      </c>
      <c r="J117" s="71"/>
      <c r="K117" s="71"/>
      <c r="L117" s="71"/>
      <c r="M117" s="71"/>
      <c r="N117" s="71"/>
      <c r="O117" s="71"/>
      <c r="P117" s="71"/>
      <c r="Q117" s="71"/>
      <c r="R117" s="71"/>
      <c r="S117" s="71"/>
      <c r="T117" s="71"/>
      <c r="U117" s="71"/>
      <c r="V117" s="71"/>
      <c r="W117" s="11"/>
      <c r="X117" s="71"/>
      <c r="Y117" s="71"/>
      <c r="Z117" s="11" t="str">
        <f ca="1">IF(ISNUMBER($F$16),SUM(INDIRECT(ADDRESS($F$16+15,COLUMN())):INDIRECT(ADDRESS(114,COLUMN()))),"")</f>
        <v/>
      </c>
      <c r="AA117" s="71"/>
      <c r="AB117" s="71"/>
      <c r="AC117" s="11" t="str">
        <f ca="1">IF(ISNUMBER($F$16),SUM(INDIRECT(ADDRESS($F$16+15,COLUMN())):INDIRECT(ADDRESS(114,COLUMN()))),"")</f>
        <v/>
      </c>
      <c r="AD117" s="71"/>
      <c r="AE117" s="71"/>
      <c r="AF117" s="11" t="str">
        <f ca="1">IF(ISNUMBER($F$16),SUM(INDIRECT(ADDRESS($F$16+15,COLUMN())):INDIRECT(ADDRESS(114,COLUMN()))),"")</f>
        <v/>
      </c>
      <c r="AG117" s="71"/>
      <c r="AH117" s="71"/>
      <c r="AI117" s="11" t="str">
        <f ca="1">IF(ISNUMBER($F$16),SUM(INDIRECT(ADDRESS($F$16+15,COLUMN())):INDIRECT(ADDRESS(114,COLUMN()))),"")</f>
        <v/>
      </c>
      <c r="AJ117" s="71"/>
      <c r="AK117" s="71"/>
      <c r="AL117" s="11" t="str">
        <f ca="1">IF(ISNUMBER($F$16),SUM(INDIRECT(ADDRESS($F$16+15,COLUMN())):INDIRECT(ADDRESS(114,COLUMN()))),"")</f>
        <v/>
      </c>
      <c r="AM117" s="71"/>
      <c r="AN117" s="71"/>
      <c r="AO117" s="11" t="str">
        <f ca="1">IF(ISNUMBER($F$16),SUM(INDIRECT(ADDRESS($F$16+15,COLUMN())):INDIRECT(ADDRESS(114,COLUMN()))),"")</f>
        <v/>
      </c>
      <c r="AP117" s="71"/>
      <c r="AQ117" s="71"/>
      <c r="AR117" s="11" t="str">
        <f ca="1">IF(ISNUMBER($F$16),SUM(INDIRECT(ADDRESS($F$16+15,COLUMN())):INDIRECT(ADDRESS(114,COLUMN()))),"")</f>
        <v/>
      </c>
      <c r="AS117" s="71"/>
      <c r="AT117" s="71"/>
      <c r="AU117" s="71"/>
      <c r="AV117" s="71"/>
      <c r="AW117" s="11" t="str">
        <f ca="1">IF(ISNUMBER($F$16),SUM(INDIRECT(ADDRESS($F$16+15,COLUMN())):INDIRECT(ADDRESS(114,COLUMN()))),"")</f>
        <v/>
      </c>
      <c r="AX117" s="71"/>
      <c r="AY117" s="71"/>
      <c r="AZ117" s="71"/>
      <c r="BA117" s="71"/>
      <c r="BB117" s="11" t="str">
        <f ca="1">IF(ISNUMBER($F$16),SUM(INDIRECT(ADDRESS($F$16+15,COLUMN())):INDIRECT(ADDRESS(114,COLUMN()))),"")</f>
        <v/>
      </c>
      <c r="BC117" s="71"/>
      <c r="BD117" s="71"/>
      <c r="BE117" s="11" t="str">
        <f ca="1">IF(ISNUMBER($F$16),SUM(INDIRECT(ADDRESS($F$16+15,COLUMN())):INDIRECT(ADDRESS(114,COLUMN()))),"")</f>
        <v/>
      </c>
      <c r="BF117" s="71"/>
      <c r="BG117" s="71"/>
      <c r="BH117" s="11" t="str">
        <f ca="1">IF(ISNUMBER($F$16),SUM(INDIRECT(ADDRESS($F$16+15,COLUMN())):INDIRECT(ADDRESS(114,COLUMN()))),"")</f>
        <v/>
      </c>
      <c r="BK117" s="11" t="str">
        <f ca="1">IF(ISNUMBER($F$16),SUM(INDIRECT(ADDRESS($F$16+15,COLUMN())):INDIRECT(ADDRESS(114,COLUMN()))),"")</f>
        <v/>
      </c>
      <c r="BL117" s="11" t="str">
        <f ca="1">IF(ISNUMBER($F$16),SUM(INDIRECT(ADDRESS($F$16+15,COLUMN())):INDIRECT(ADDRESS(114,COLUMN()))),"")</f>
        <v/>
      </c>
      <c r="BO117" s="11" t="str">
        <f ca="1">IF(ISNUMBER($F$16),SUM(INDIRECT(ADDRESS($F$16+15,COLUMN())):INDIRECT(ADDRESS(114,COLUMN()))),"")</f>
        <v/>
      </c>
      <c r="BQ117" s="71"/>
      <c r="BR117" s="11" t="str">
        <f ca="1">IF(ISNUMBER($F$16),SUM(INDIRECT(ADDRESS($F$16+15,COLUMN())):INDIRECT(ADDRESS(114,COLUMN()))),"")</f>
        <v/>
      </c>
    </row>
    <row r="119" spans="2:70" x14ac:dyDescent="0.15">
      <c r="C119" s="9" t="s">
        <v>521</v>
      </c>
      <c r="F119" s="44">
        <f>VLOOKUP(F3,'表2）法定耐用年数'!$A$2:$B$24,2,0)</f>
        <v>15</v>
      </c>
      <c r="G119" s="81" t="s">
        <v>108</v>
      </c>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Q119" s="71"/>
      <c r="BR119" s="71"/>
    </row>
    <row r="121" spans="2:70" x14ac:dyDescent="0.15">
      <c r="C121" s="89" t="s">
        <v>522</v>
      </c>
      <c r="D121" s="101"/>
      <c r="E121" s="101"/>
      <c r="F121" s="89"/>
      <c r="G121" s="10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Q121" s="71"/>
      <c r="BR121" s="71"/>
    </row>
    <row r="123" spans="2:70" x14ac:dyDescent="0.15">
      <c r="D123" s="81" t="s">
        <v>209</v>
      </c>
      <c r="F123" s="95">
        <f>VLOOKUP($F$119,'表1）減価償却率表'!$A$9:$E$107,3,0)</f>
        <v>0.16700000000000001</v>
      </c>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Q123" s="71"/>
      <c r="BR123" s="71"/>
    </row>
    <row r="124" spans="2:70" x14ac:dyDescent="0.15">
      <c r="D124" s="81" t="s">
        <v>210</v>
      </c>
      <c r="F124" s="95">
        <f>VLOOKUP($F$119,'表1）減価償却率表'!$A$9:$E$107,4,0)</f>
        <v>0.2</v>
      </c>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Q124" s="71"/>
      <c r="BR124" s="71"/>
    </row>
    <row r="125" spans="2:70" x14ac:dyDescent="0.15">
      <c r="D125" s="81" t="s">
        <v>211</v>
      </c>
      <c r="F125" s="88">
        <f>VLOOKUP($F$119,'表1）減価償却率表'!$A$9:$E$107,5,0)</f>
        <v>3.2169999999999997E-2</v>
      </c>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Q125" s="71"/>
      <c r="BR125" s="71"/>
    </row>
    <row r="126" spans="2:70" x14ac:dyDescent="0.15">
      <c r="F126" s="96"/>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Q126" s="71"/>
      <c r="BR126" s="71"/>
    </row>
    <row r="127" spans="2:70" x14ac:dyDescent="0.15">
      <c r="C127" s="111" t="s">
        <v>523</v>
      </c>
      <c r="D127" s="85"/>
      <c r="E127" s="114"/>
      <c r="F127" s="44">
        <f>F117*F125</f>
        <v>5494636000</v>
      </c>
      <c r="G127" s="81" t="s">
        <v>208</v>
      </c>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Q127" s="71"/>
      <c r="BR127" s="71"/>
    </row>
    <row r="129" spans="3:7" x14ac:dyDescent="0.15">
      <c r="C129" s="111" t="s">
        <v>152</v>
      </c>
      <c r="D129" s="85"/>
      <c r="E129" s="85"/>
      <c r="F129" s="95">
        <f>0.1^(1/F119)</f>
        <v>0.85769589859089412</v>
      </c>
      <c r="G129" s="85"/>
    </row>
    <row r="131" spans="3:7" x14ac:dyDescent="0.15">
      <c r="C131" s="89" t="s">
        <v>524</v>
      </c>
      <c r="D131" s="101"/>
      <c r="E131" s="101"/>
      <c r="F131" s="89"/>
      <c r="G131" s="101"/>
    </row>
    <row r="133" spans="3:7" x14ac:dyDescent="0.15">
      <c r="D133" s="81" t="s">
        <v>212</v>
      </c>
      <c r="F133" s="44">
        <f>F13*10000*24*365*F14/100</f>
        <v>4292400000</v>
      </c>
      <c r="G133" s="81" t="s">
        <v>213</v>
      </c>
    </row>
    <row r="134" spans="3:7" x14ac:dyDescent="0.15">
      <c r="D134" s="81" t="s">
        <v>214</v>
      </c>
      <c r="F134" s="44">
        <f>F133*(1-F24/100)</f>
        <v>4056318000</v>
      </c>
      <c r="G134" s="81" t="s">
        <v>213</v>
      </c>
    </row>
    <row r="135" spans="3:7" x14ac:dyDescent="0.15">
      <c r="F135" s="97"/>
    </row>
    <row r="137" spans="3:7" ht="16.5" x14ac:dyDescent="0.15">
      <c r="C137" s="9" t="s">
        <v>525</v>
      </c>
      <c r="F137" s="44">
        <f>IF(ISERROR(F133*3.6/(F23/100)/F22),0,F133*3.6/(F23/100)/F22)</f>
        <v>1362090120.5838797</v>
      </c>
      <c r="G137" s="9" t="s">
        <v>370</v>
      </c>
    </row>
    <row r="139" spans="3:7" x14ac:dyDescent="0.15">
      <c r="C139" s="89" t="s">
        <v>526</v>
      </c>
      <c r="D139" s="101"/>
      <c r="E139" s="101"/>
      <c r="F139" s="89"/>
      <c r="G139" s="101"/>
    </row>
    <row r="141" spans="3:7" x14ac:dyDescent="0.15">
      <c r="D141" s="81" t="s">
        <v>215</v>
      </c>
      <c r="F141" s="98">
        <f>IF(OR(F3="石炭火力",F3= "LNG火力", F3="ガスコジェネ",F3="バイオマス（石炭混焼）",F3="バイオマス（木質専焼）",F3="燃料電池"),IF($F$43="需要地価格","",1000),IF(OR(F3="石油火力",F3="石油コジェネ"),IF($F$43="需要地価格","",158.987294928),""))</f>
        <v>1000</v>
      </c>
      <c r="G141" s="81" t="s">
        <v>216</v>
      </c>
    </row>
    <row r="142" spans="3:7" x14ac:dyDescent="0.15">
      <c r="D142" s="81" t="s">
        <v>180</v>
      </c>
      <c r="F142" s="91">
        <f>IF(ISERROR(F42/1000),0,F42/1000)</f>
        <v>2</v>
      </c>
      <c r="G142" s="81" t="s">
        <v>217</v>
      </c>
    </row>
    <row r="145" spans="3:7" x14ac:dyDescent="0.15">
      <c r="C145" s="9" t="s">
        <v>368</v>
      </c>
      <c r="F145" s="98">
        <f>IF(ISERROR(F133*(F47*3.6/(F23/100)/1000*(44/12))),0,F133*(F47*3.6/(F23/100)/1000*(44/12)))</f>
        <v>3163824430.3448272</v>
      </c>
      <c r="G145" s="81" t="s">
        <v>218</v>
      </c>
    </row>
    <row r="147" spans="3:7" x14ac:dyDescent="0.15">
      <c r="C147" s="89" t="s">
        <v>369</v>
      </c>
      <c r="D147" s="101"/>
      <c r="E147" s="101"/>
      <c r="F147" s="89"/>
      <c r="G147" s="101"/>
    </row>
    <row r="149" spans="3:7" x14ac:dyDescent="0.15">
      <c r="D149" s="81" t="s">
        <v>219</v>
      </c>
      <c r="F149" s="98">
        <f>IF(ISERROR(F52/F23),0,F52/F23)</f>
        <v>0</v>
      </c>
    </row>
    <row r="150" spans="3:7" x14ac:dyDescent="0.15">
      <c r="D150" s="81" t="s">
        <v>220</v>
      </c>
      <c r="F150" s="98">
        <f>F133*F149*(F53/100)*3.6</f>
        <v>0</v>
      </c>
      <c r="G150" s="81" t="s">
        <v>221</v>
      </c>
    </row>
    <row r="151" spans="3:7" ht="16.5" x14ac:dyDescent="0.15">
      <c r="D151" s="81" t="s">
        <v>222</v>
      </c>
      <c r="F151" s="44">
        <f>IF(ISERROR(F150/(F54/100)/F55),0,F150/(F54/100)/F55)</f>
        <v>0</v>
      </c>
      <c r="G151" s="9" t="s">
        <v>370</v>
      </c>
    </row>
    <row r="152" spans="3:7" x14ac:dyDescent="0.15">
      <c r="D152" s="81" t="s">
        <v>223</v>
      </c>
      <c r="F152" s="146">
        <f>IF(ISERROR(F56/1000),0,F56/1000)</f>
        <v>0</v>
      </c>
      <c r="G152" s="81" t="s">
        <v>217</v>
      </c>
    </row>
    <row r="153" spans="3:7" x14ac:dyDescent="0.15">
      <c r="D153" s="81" t="s">
        <v>224</v>
      </c>
      <c r="F153" s="98">
        <f>IF(ISERROR(F150*F47/1000*(44/12)/(F54/100)),0,F150*F47/1000*(44/12)/(F54/100))</f>
        <v>0</v>
      </c>
      <c r="G153" s="81" t="s">
        <v>218</v>
      </c>
    </row>
  </sheetData>
  <mergeCells count="48">
    <mergeCell ref="BQ7:BR7"/>
    <mergeCell ref="BJ7:BO7"/>
    <mergeCell ref="I9:I10"/>
    <mergeCell ref="K9:K10"/>
    <mergeCell ref="M9:M10"/>
    <mergeCell ref="O9:P10"/>
    <mergeCell ref="R9:R10"/>
    <mergeCell ref="AE9:AF10"/>
    <mergeCell ref="AH9:AI10"/>
    <mergeCell ref="BD9:BE10"/>
    <mergeCell ref="BG9:BH10"/>
    <mergeCell ref="V7:AF7"/>
    <mergeCell ref="AH7:AR7"/>
    <mergeCell ref="AT7:AW7"/>
    <mergeCell ref="AY7:BB7"/>
    <mergeCell ref="BD7:BH7"/>
    <mergeCell ref="AN9:AO10"/>
    <mergeCell ref="AQ9:AR10"/>
    <mergeCell ref="F3:G3"/>
    <mergeCell ref="T9:T10"/>
    <mergeCell ref="V9:W10"/>
    <mergeCell ref="Y9:Z10"/>
    <mergeCell ref="AB9:AC10"/>
    <mergeCell ref="P12:P13"/>
    <mergeCell ref="W12:W13"/>
    <mergeCell ref="Z12:Z13"/>
    <mergeCell ref="AW12:AW13"/>
    <mergeCell ref="BB12:BB13"/>
    <mergeCell ref="AF12:AF13"/>
    <mergeCell ref="AI12:AI13"/>
    <mergeCell ref="AL12:AL13"/>
    <mergeCell ref="AO12:AO13"/>
    <mergeCell ref="BE12:BE13"/>
    <mergeCell ref="AC12:AC13"/>
    <mergeCell ref="AT9:AT10"/>
    <mergeCell ref="BR12:BR13"/>
    <mergeCell ref="BL12:BL13"/>
    <mergeCell ref="AR12:AR13"/>
    <mergeCell ref="BJ12:BJ13"/>
    <mergeCell ref="BJ9:BL10"/>
    <mergeCell ref="BN9:BO10"/>
    <mergeCell ref="BK12:BK13"/>
    <mergeCell ref="BO12:BO13"/>
    <mergeCell ref="BH12:BH13"/>
    <mergeCell ref="AY9:AY10"/>
    <mergeCell ref="BA9:BB10"/>
    <mergeCell ref="AV9:AW10"/>
    <mergeCell ref="AK9:AL10"/>
  </mergeCells>
  <phoneticPr fontId="2"/>
  <dataValidations count="4">
    <dataValidation type="list" allowBlank="1" showDropDown="1" showInputMessage="1" showErrorMessage="1" sqref="F48 F41" xr:uid="{00000000-0002-0000-0400-000000000000}">
      <formula1>"現行政策シナリオ, 新政策シナリオ"</formula1>
    </dataValidation>
    <dataValidation type="whole" allowBlank="1" showInputMessage="1" showErrorMessage="1" sqref="F7" xr:uid="{00000000-0002-0000-0400-000001000000}">
      <formula1>2010</formula1>
      <formula2>2030</formula2>
    </dataValidation>
    <dataValidation type="list" allowBlank="1" showDropDown="1" showInputMessage="1" showErrorMessage="1" sqref="F43" xr:uid="{00000000-0002-0000-0400-000002000000}">
      <formula1>"CIF価格, 需要地価格"</formula1>
    </dataValidation>
    <dataValidation type="list" allowBlank="1" showDropDown="1" showInputMessage="1" showErrorMessage="1" sqref="F3:G3" xr:uid="{00000000-0002-0000-0400-000003000000}">
      <formula1>"原子力,石炭火力,LNG火力,石油火力,一般水力,太陽光（メガソーラー）,太陽光（住宅）,風力（陸上）,風力（洋上）,小水力,地熱,バイオマス（石炭混焼）,バイオマス（木質専焼）,ガスコジェネ,石油コジェネ,燃料電池"</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C34"/>
  <sheetViews>
    <sheetView zoomScaleNormal="100" workbookViewId="0">
      <selection activeCell="H18" sqref="H18"/>
    </sheetView>
  </sheetViews>
  <sheetFormatPr defaultColWidth="9" defaultRowHeight="14.25" x14ac:dyDescent="0.15"/>
  <cols>
    <col min="1" max="1" width="24.75" style="84" customWidth="1"/>
    <col min="2" max="3" width="9.875" style="118" customWidth="1"/>
    <col min="4" max="16384" width="9" style="118"/>
  </cols>
  <sheetData>
    <row r="1" spans="1:3" ht="15" thickBot="1" x14ac:dyDescent="0.2">
      <c r="A1" s="117" t="s">
        <v>358</v>
      </c>
    </row>
    <row r="2" spans="1:3" ht="18" customHeight="1" x14ac:dyDescent="0.15">
      <c r="A2" s="21" t="s">
        <v>270</v>
      </c>
      <c r="B2" s="152">
        <v>2020</v>
      </c>
      <c r="C2" s="153">
        <v>2030</v>
      </c>
    </row>
    <row r="3" spans="1:3" x14ac:dyDescent="0.15">
      <c r="A3" s="197" t="s">
        <v>359</v>
      </c>
      <c r="B3" s="122">
        <v>20</v>
      </c>
      <c r="C3" s="119">
        <v>20</v>
      </c>
    </row>
    <row r="4" spans="1:3" x14ac:dyDescent="0.15">
      <c r="A4" s="151" t="s">
        <v>277</v>
      </c>
      <c r="B4" s="37">
        <v>10</v>
      </c>
      <c r="C4" s="120">
        <v>10</v>
      </c>
    </row>
    <row r="5" spans="1:3" x14ac:dyDescent="0.15">
      <c r="A5" s="151" t="s">
        <v>38</v>
      </c>
      <c r="B5" s="37">
        <v>20</v>
      </c>
      <c r="C5" s="120">
        <v>20</v>
      </c>
    </row>
    <row r="6" spans="1:3" x14ac:dyDescent="0.15">
      <c r="A6" s="151" t="s">
        <v>39</v>
      </c>
      <c r="B6" s="37">
        <v>20</v>
      </c>
      <c r="C6" s="120">
        <v>20</v>
      </c>
    </row>
    <row r="7" spans="1:3" x14ac:dyDescent="0.15">
      <c r="A7" s="151" t="s">
        <v>40</v>
      </c>
      <c r="B7" s="37">
        <v>20</v>
      </c>
      <c r="C7" s="120">
        <v>20</v>
      </c>
    </row>
    <row r="8" spans="1:3" x14ac:dyDescent="0.15">
      <c r="A8" s="151" t="s">
        <v>360</v>
      </c>
      <c r="B8" s="37">
        <v>20</v>
      </c>
      <c r="C8" s="120">
        <v>20</v>
      </c>
    </row>
    <row r="9" spans="1:3" x14ac:dyDescent="0.15">
      <c r="A9" s="25" t="s">
        <v>278</v>
      </c>
      <c r="B9" s="37">
        <v>15</v>
      </c>
      <c r="C9" s="120">
        <v>15</v>
      </c>
    </row>
    <row r="10" spans="1:3" ht="15" thickBot="1" x14ac:dyDescent="0.2">
      <c r="A10" s="185" t="s">
        <v>44</v>
      </c>
      <c r="B10" s="75">
        <v>20</v>
      </c>
      <c r="C10" s="121">
        <v>20</v>
      </c>
    </row>
    <row r="12" spans="1:3" ht="15" thickBot="1" x14ac:dyDescent="0.2">
      <c r="A12" s="117" t="s">
        <v>361</v>
      </c>
    </row>
    <row r="13" spans="1:3" ht="18" customHeight="1" x14ac:dyDescent="0.15">
      <c r="A13" s="21" t="s">
        <v>270</v>
      </c>
      <c r="B13" s="152">
        <v>2020</v>
      </c>
      <c r="C13" s="153">
        <v>2030</v>
      </c>
    </row>
    <row r="14" spans="1:3" x14ac:dyDescent="0.15">
      <c r="A14" s="197" t="s">
        <v>359</v>
      </c>
      <c r="B14" s="131">
        <v>4</v>
      </c>
      <c r="C14" s="132">
        <v>4</v>
      </c>
    </row>
    <row r="15" spans="1:3" ht="14.25" customHeight="1" x14ac:dyDescent="0.15">
      <c r="A15" s="151" t="s">
        <v>277</v>
      </c>
      <c r="B15" s="200">
        <v>3.2</v>
      </c>
      <c r="C15" s="323">
        <v>3.2</v>
      </c>
    </row>
    <row r="16" spans="1:3" x14ac:dyDescent="0.15">
      <c r="A16" s="151" t="s">
        <v>38</v>
      </c>
      <c r="B16" s="133">
        <v>8</v>
      </c>
      <c r="C16" s="134">
        <v>7</v>
      </c>
    </row>
    <row r="17" spans="1:3" x14ac:dyDescent="0.15">
      <c r="A17" s="151" t="s">
        <v>39</v>
      </c>
      <c r="B17" s="133">
        <v>10</v>
      </c>
      <c r="C17" s="134">
        <v>10</v>
      </c>
    </row>
    <row r="18" spans="1:3" x14ac:dyDescent="0.15">
      <c r="A18" s="151" t="s">
        <v>40</v>
      </c>
      <c r="B18" s="209">
        <v>7</v>
      </c>
      <c r="C18" s="210">
        <v>7</v>
      </c>
    </row>
    <row r="19" spans="1:3" x14ac:dyDescent="0.15">
      <c r="A19" s="151" t="s">
        <v>360</v>
      </c>
      <c r="B19" s="209">
        <v>7</v>
      </c>
      <c r="C19" s="210">
        <v>7</v>
      </c>
    </row>
    <row r="20" spans="1:3" x14ac:dyDescent="0.15">
      <c r="A20" s="25" t="s">
        <v>278</v>
      </c>
      <c r="B20" s="133">
        <v>13</v>
      </c>
      <c r="C20" s="134">
        <v>13</v>
      </c>
    </row>
    <row r="21" spans="1:3" ht="15" thickBot="1" x14ac:dyDescent="0.2">
      <c r="A21" s="185" t="s">
        <v>44</v>
      </c>
      <c r="B21" s="135">
        <v>8</v>
      </c>
      <c r="C21" s="136">
        <v>8</v>
      </c>
    </row>
    <row r="23" spans="1:3" ht="13.5" x14ac:dyDescent="0.15">
      <c r="A23" s="160" t="s">
        <v>385</v>
      </c>
    </row>
    <row r="24" spans="1:3" x14ac:dyDescent="0.15">
      <c r="A24" s="84" t="s">
        <v>362</v>
      </c>
      <c r="B24" s="84"/>
      <c r="C24" s="84"/>
    </row>
    <row r="25" spans="1:3" x14ac:dyDescent="0.15">
      <c r="B25" s="84"/>
      <c r="C25" s="84"/>
    </row>
    <row r="26" spans="1:3" x14ac:dyDescent="0.15">
      <c r="B26" s="84"/>
      <c r="C26" s="84"/>
    </row>
    <row r="27" spans="1:3" x14ac:dyDescent="0.15">
      <c r="B27" s="84"/>
      <c r="C27" s="84"/>
    </row>
    <row r="28" spans="1:3" x14ac:dyDescent="0.15">
      <c r="B28" s="84"/>
      <c r="C28" s="84"/>
    </row>
    <row r="29" spans="1:3" x14ac:dyDescent="0.15">
      <c r="B29" s="84"/>
      <c r="C29" s="84"/>
    </row>
    <row r="30" spans="1:3" x14ac:dyDescent="0.15">
      <c r="B30" s="84"/>
      <c r="C30" s="84"/>
    </row>
    <row r="31" spans="1:3" x14ac:dyDescent="0.15">
      <c r="B31" s="84"/>
      <c r="C31" s="84"/>
    </row>
    <row r="34" spans="2:3" x14ac:dyDescent="0.15">
      <c r="B34" s="84"/>
      <c r="C34" s="84"/>
    </row>
  </sheetData>
  <phoneticPr fontId="25"/>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R153"/>
  <sheetViews>
    <sheetView showGridLines="0" zoomScale="85" zoomScaleNormal="85" workbookViewId="0">
      <pane xSplit="10" ySplit="14" topLeftCell="AM15" activePane="bottomRight" state="frozen"/>
      <selection pane="topRight" activeCell="AF12" sqref="AF12:AF13"/>
      <selection pane="bottomLeft" activeCell="AF12" sqref="AF12:AF13"/>
      <selection pane="bottomRight" sqref="A1:J1048576"/>
    </sheetView>
  </sheetViews>
  <sheetFormatPr defaultColWidth="9" defaultRowHeight="14.25" outlineLevelCol="1" x14ac:dyDescent="0.15"/>
  <cols>
    <col min="1" max="3" width="6.25" style="9" customWidth="1"/>
    <col min="4" max="4" width="6.25" style="81" customWidth="1"/>
    <col min="5" max="5" width="24.375" style="81" customWidth="1"/>
    <col min="6" max="6" width="18.75" style="9" customWidth="1"/>
    <col min="7" max="7" width="24.375" style="81" bestFit="1" customWidth="1"/>
    <col min="8" max="8" width="9" style="9"/>
    <col min="9" max="9" width="6.25" style="9" customWidth="1"/>
    <col min="10" max="10" width="3" style="9" customWidth="1"/>
    <col min="11" max="11" width="6.25" style="2" customWidth="1"/>
    <col min="12" max="12" width="3" style="2" customWidth="1"/>
    <col min="13" max="13" width="6.25" style="2" customWidth="1"/>
    <col min="14" max="14" width="3" style="2" customWidth="1"/>
    <col min="15" max="15" width="17.375" style="2" bestFit="1" customWidth="1"/>
    <col min="16" max="16" width="8.625" style="2" customWidth="1"/>
    <col min="17" max="17" width="3" style="2" customWidth="1"/>
    <col min="18" max="18" width="17.375" style="2" bestFit="1" customWidth="1"/>
    <col min="19" max="19" width="3" style="2" customWidth="1"/>
    <col min="20" max="20" width="17.375" style="2" bestFit="1" customWidth="1"/>
    <col min="21" max="21" width="3" style="2" customWidth="1"/>
    <col min="22" max="22" width="15" style="2" customWidth="1" outlineLevel="1"/>
    <col min="23" max="23" width="17.375" style="2" bestFit="1" customWidth="1"/>
    <col min="24" max="24" width="3" style="2" customWidth="1"/>
    <col min="25" max="25" width="15" style="2" customWidth="1" outlineLevel="1"/>
    <col min="26" max="26" width="15" style="2" customWidth="1"/>
    <col min="27" max="27" width="3" style="2" customWidth="1"/>
    <col min="28" max="28" width="15" style="2" customWidth="1" outlineLevel="1"/>
    <col min="29" max="29" width="15" style="2" customWidth="1"/>
    <col min="30" max="30" width="3" style="2" customWidth="1"/>
    <col min="31" max="31" width="15" style="2" customWidth="1" outlineLevel="1"/>
    <col min="32" max="32" width="15" style="2" customWidth="1"/>
    <col min="33" max="33" width="3" style="2" customWidth="1"/>
    <col min="34" max="34" width="14.875" style="2" customWidth="1" outlineLevel="1"/>
    <col min="35" max="35" width="15" style="2" customWidth="1"/>
    <col min="36" max="36" width="3" style="2" customWidth="1"/>
    <col min="37" max="37" width="15" style="2" customWidth="1" outlineLevel="1"/>
    <col min="38" max="38" width="15" style="2" customWidth="1"/>
    <col min="39" max="39" width="3" style="2" customWidth="1"/>
    <col min="40" max="40" width="15" style="2" customWidth="1" outlineLevel="1"/>
    <col min="41" max="41" width="15" style="2" customWidth="1"/>
    <col min="42" max="42" width="3" style="2" customWidth="1"/>
    <col min="43" max="43" width="15" style="2" customWidth="1" outlineLevel="1"/>
    <col min="44" max="44" width="15" style="2" customWidth="1"/>
    <col min="45" max="45" width="3" style="2" customWidth="1"/>
    <col min="46" max="46" width="10.75" style="2" bestFit="1" customWidth="1"/>
    <col min="47" max="47" width="3" style="2" customWidth="1"/>
    <col min="48" max="48" width="15" style="2" customWidth="1" outlineLevel="1"/>
    <col min="49" max="49" width="17.375" style="2" bestFit="1" customWidth="1"/>
    <col min="50" max="50" width="3" style="2" customWidth="1"/>
    <col min="51" max="51" width="9.625" style="2" bestFit="1" customWidth="1"/>
    <col min="52" max="52" width="3" style="2" customWidth="1"/>
    <col min="53" max="53" width="15" style="2" customWidth="1" outlineLevel="1"/>
    <col min="54" max="54" width="17.375" style="2" bestFit="1" customWidth="1"/>
    <col min="55" max="55" width="3" style="2" customWidth="1"/>
    <col min="56" max="56" width="19.25" style="2" customWidth="1" outlineLevel="1"/>
    <col min="57" max="57" width="19.25" style="2" bestFit="1" customWidth="1"/>
    <col min="58" max="58" width="3" style="2" customWidth="1"/>
    <col min="59" max="59" width="19.25" style="2" customWidth="1" outlineLevel="1"/>
    <col min="60" max="60" width="19.25" style="2"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2" customWidth="1" outlineLevel="1"/>
    <col min="70" max="70" width="17.375" style="2" bestFit="1" customWidth="1"/>
    <col min="71" max="16384" width="9" style="2"/>
  </cols>
  <sheetData>
    <row r="1" spans="1:70" ht="18.75" x14ac:dyDescent="0.15">
      <c r="A1" s="465" t="s">
        <v>60</v>
      </c>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Q1" s="71"/>
      <c r="BR1" s="71"/>
    </row>
    <row r="3" spans="1:70" ht="23.25" x14ac:dyDescent="0.15">
      <c r="B3" s="462" t="s">
        <v>517</v>
      </c>
      <c r="F3" s="724" t="s">
        <v>530</v>
      </c>
      <c r="G3" s="725"/>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Q3" s="71"/>
      <c r="BR3" s="71"/>
    </row>
    <row r="4" spans="1:70" x14ac:dyDescent="0.15">
      <c r="G4" s="112"/>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Q4" s="71"/>
      <c r="BR4" s="71"/>
    </row>
    <row r="5" spans="1:70" ht="15.75" thickBot="1" x14ac:dyDescent="0.2">
      <c r="B5" s="460" t="s">
        <v>518</v>
      </c>
      <c r="C5" s="86"/>
      <c r="D5" s="104"/>
      <c r="E5" s="104"/>
      <c r="F5" s="86"/>
      <c r="G5" s="104"/>
      <c r="I5" s="460" t="s">
        <v>531</v>
      </c>
      <c r="J5" s="460"/>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111"/>
      <c r="J6" s="111"/>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9" t="s">
        <v>65</v>
      </c>
      <c r="F7" s="87">
        <v>2020</v>
      </c>
      <c r="I7" s="111"/>
      <c r="J7" s="111"/>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9" t="s">
        <v>519</v>
      </c>
      <c r="F8" s="88">
        <f>まとめ!B3</f>
        <v>107</v>
      </c>
      <c r="G8" s="81" t="s">
        <v>171</v>
      </c>
      <c r="I8" s="111"/>
      <c r="J8" s="111"/>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9" t="s">
        <v>520</v>
      </c>
      <c r="F9" s="88">
        <f>まとめ!B2</f>
        <v>3</v>
      </c>
      <c r="G9" s="81" t="s">
        <v>172</v>
      </c>
      <c r="I9" s="726" t="s">
        <v>532</v>
      </c>
      <c r="J9" s="111"/>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07" t="s">
        <v>118</v>
      </c>
      <c r="AI9" s="707"/>
      <c r="AJ9" s="8"/>
      <c r="AK9" s="707" t="s">
        <v>89</v>
      </c>
      <c r="AL9" s="707"/>
      <c r="AM9" s="8"/>
      <c r="AN9" s="707" t="s">
        <v>90</v>
      </c>
      <c r="AO9" s="707"/>
      <c r="AP9" s="8"/>
      <c r="AQ9" s="707" t="s">
        <v>91</v>
      </c>
      <c r="AR9" s="707"/>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I10" s="727"/>
      <c r="K10" s="708"/>
      <c r="L10" s="71"/>
      <c r="M10" s="708"/>
      <c r="N10" s="71"/>
      <c r="O10" s="717"/>
      <c r="P10" s="717"/>
      <c r="Q10" s="71"/>
      <c r="R10" s="708"/>
      <c r="S10" s="71"/>
      <c r="T10" s="708"/>
      <c r="U10" s="71"/>
      <c r="V10" s="717"/>
      <c r="W10" s="717"/>
      <c r="X10" s="71"/>
      <c r="Y10" s="717"/>
      <c r="Z10" s="717"/>
      <c r="AA10" s="71"/>
      <c r="AB10" s="723"/>
      <c r="AC10" s="723"/>
      <c r="AD10" s="81"/>
      <c r="AE10" s="723"/>
      <c r="AF10" s="723"/>
      <c r="AG10" s="71"/>
      <c r="AH10" s="717"/>
      <c r="AI10" s="717"/>
      <c r="AJ10" s="71"/>
      <c r="AK10" s="717"/>
      <c r="AL10" s="717"/>
      <c r="AM10" s="71"/>
      <c r="AN10" s="717"/>
      <c r="AO10" s="717"/>
      <c r="AP10" s="71"/>
      <c r="AQ10" s="717"/>
      <c r="AR10" s="717"/>
      <c r="AS10" s="71"/>
      <c r="AT10" s="717"/>
      <c r="AU10" s="71"/>
      <c r="AV10" s="717"/>
      <c r="AW10" s="717"/>
      <c r="AX10" s="322"/>
      <c r="AY10" s="708"/>
      <c r="AZ10" s="71"/>
      <c r="BA10" s="708"/>
      <c r="BB10" s="708"/>
      <c r="BC10" s="71"/>
      <c r="BD10" s="717"/>
      <c r="BE10" s="717"/>
      <c r="BF10" s="71"/>
      <c r="BG10" s="717"/>
      <c r="BH10" s="717"/>
      <c r="BJ10" s="708"/>
      <c r="BK10" s="708"/>
      <c r="BL10" s="708"/>
      <c r="BM10" s="322"/>
      <c r="BN10" s="717"/>
      <c r="BO10" s="717"/>
      <c r="BQ10" s="322"/>
      <c r="BR10" s="322"/>
    </row>
    <row r="11" spans="1:70" ht="15.75" customHeight="1" thickBot="1" x14ac:dyDescent="0.2">
      <c r="B11" s="460" t="s">
        <v>95</v>
      </c>
      <c r="C11" s="86"/>
      <c r="D11" s="104"/>
      <c r="E11" s="104"/>
      <c r="F11" s="86"/>
      <c r="G11" s="104"/>
      <c r="K11" s="71"/>
      <c r="L11" s="71"/>
      <c r="M11" s="71"/>
      <c r="N11" s="71"/>
      <c r="O11" s="322" t="s">
        <v>96</v>
      </c>
      <c r="P11" s="322"/>
      <c r="Q11" s="322"/>
      <c r="R11" s="322" t="s">
        <v>96</v>
      </c>
      <c r="S11" s="322"/>
      <c r="T11" s="322"/>
      <c r="U11" s="71"/>
      <c r="V11" s="322"/>
      <c r="W11" s="322"/>
      <c r="X11" s="71"/>
      <c r="Y11" s="322"/>
      <c r="Z11" s="322"/>
      <c r="AA11" s="71"/>
      <c r="AB11" s="322"/>
      <c r="AC11" s="322"/>
      <c r="AD11" s="71"/>
      <c r="AE11" s="322"/>
      <c r="AF11" s="322"/>
      <c r="AG11" s="71"/>
      <c r="AH11" s="322"/>
      <c r="AI11" s="322"/>
      <c r="AJ11" s="71"/>
      <c r="AK11" s="322"/>
      <c r="AL11" s="322"/>
      <c r="AM11" s="71"/>
      <c r="AN11" s="322"/>
      <c r="AO11" s="322"/>
      <c r="AP11" s="71"/>
      <c r="AQ11" s="322"/>
      <c r="AR11" s="322"/>
      <c r="AS11" s="71"/>
      <c r="AT11" s="322"/>
      <c r="AU11" s="71"/>
      <c r="AV11" s="322"/>
      <c r="AW11" s="322"/>
      <c r="AX11" s="322"/>
      <c r="AY11" s="71"/>
      <c r="AZ11" s="71"/>
      <c r="BA11" s="71"/>
      <c r="BB11" s="322"/>
      <c r="BC11" s="71"/>
      <c r="BD11" s="322"/>
      <c r="BE11" s="322"/>
      <c r="BF11" s="71"/>
      <c r="BG11" s="322"/>
      <c r="BH11" s="322"/>
      <c r="BJ11" s="156"/>
      <c r="BM11" s="322"/>
      <c r="BN11" s="322"/>
      <c r="BO11" s="322"/>
      <c r="BQ11" s="322"/>
      <c r="BR11" s="322"/>
    </row>
    <row r="12" spans="1:70" ht="14.25" customHeight="1" x14ac:dyDescent="0.15">
      <c r="K12" s="71"/>
      <c r="L12" s="71"/>
      <c r="M12" s="71"/>
      <c r="N12" s="71"/>
      <c r="O12" s="322"/>
      <c r="P12" s="707" t="s">
        <v>97</v>
      </c>
      <c r="Q12" s="71"/>
      <c r="R12" s="71"/>
      <c r="S12" s="71"/>
      <c r="T12" s="71"/>
      <c r="U12" s="71"/>
      <c r="V12" s="71"/>
      <c r="W12" s="707" t="s">
        <v>98</v>
      </c>
      <c r="X12" s="71"/>
      <c r="Y12" s="71"/>
      <c r="Z12" s="707" t="s">
        <v>98</v>
      </c>
      <c r="AA12" s="71"/>
      <c r="AB12" s="71"/>
      <c r="AC12" s="707" t="s">
        <v>98</v>
      </c>
      <c r="AD12" s="71"/>
      <c r="AE12" s="71"/>
      <c r="AF12" s="707" t="s">
        <v>98</v>
      </c>
      <c r="AG12" s="71"/>
      <c r="AH12" s="71"/>
      <c r="AI12" s="707" t="s">
        <v>98</v>
      </c>
      <c r="AJ12" s="71"/>
      <c r="AK12" s="71"/>
      <c r="AL12" s="707" t="s">
        <v>98</v>
      </c>
      <c r="AM12" s="71"/>
      <c r="AN12" s="71"/>
      <c r="AO12" s="707" t="s">
        <v>98</v>
      </c>
      <c r="AP12" s="71"/>
      <c r="AQ12" s="71"/>
      <c r="AR12" s="707" t="s">
        <v>98</v>
      </c>
      <c r="AS12" s="71"/>
      <c r="AT12" s="71"/>
      <c r="AU12" s="71"/>
      <c r="AV12" s="71"/>
      <c r="AW12" s="707" t="s">
        <v>98</v>
      </c>
      <c r="AX12" s="71"/>
      <c r="AY12" s="71"/>
      <c r="AZ12" s="71"/>
      <c r="BA12" s="71"/>
      <c r="BB12" s="707" t="s">
        <v>98</v>
      </c>
      <c r="BC12" s="71"/>
      <c r="BD12" s="71"/>
      <c r="BE12" s="707" t="s">
        <v>98</v>
      </c>
      <c r="BF12" s="71"/>
      <c r="BG12" s="71"/>
      <c r="BH12" s="707" t="s">
        <v>98</v>
      </c>
      <c r="BJ12" s="709" t="s">
        <v>99</v>
      </c>
      <c r="BK12" s="709" t="s">
        <v>100</v>
      </c>
      <c r="BL12" s="709" t="s">
        <v>101</v>
      </c>
      <c r="BO12" s="709" t="s">
        <v>102</v>
      </c>
      <c r="BQ12" s="71"/>
      <c r="BR12" s="707" t="s">
        <v>103</v>
      </c>
    </row>
    <row r="13" spans="1:70" ht="14.25" customHeight="1" x14ac:dyDescent="0.15">
      <c r="C13" s="9" t="s">
        <v>504</v>
      </c>
      <c r="F13" s="66">
        <v>85</v>
      </c>
      <c r="G13" s="81" t="s">
        <v>173</v>
      </c>
      <c r="K13" s="71"/>
      <c r="L13" s="71"/>
      <c r="M13" s="71"/>
      <c r="N13" s="71"/>
      <c r="O13" s="322"/>
      <c r="P13" s="708"/>
      <c r="Q13" s="322"/>
      <c r="R13" s="322"/>
      <c r="S13" s="322"/>
      <c r="T13" s="322"/>
      <c r="U13" s="71"/>
      <c r="V13" s="322"/>
      <c r="W13" s="708"/>
      <c r="X13" s="71"/>
      <c r="Y13" s="322"/>
      <c r="Z13" s="708"/>
      <c r="AA13" s="71"/>
      <c r="AB13" s="322"/>
      <c r="AC13" s="708"/>
      <c r="AD13" s="71"/>
      <c r="AE13" s="322"/>
      <c r="AF13" s="708"/>
      <c r="AG13" s="71"/>
      <c r="AH13" s="322"/>
      <c r="AI13" s="708"/>
      <c r="AJ13" s="71"/>
      <c r="AK13" s="322"/>
      <c r="AL13" s="708"/>
      <c r="AM13" s="71"/>
      <c r="AN13" s="322"/>
      <c r="AO13" s="708"/>
      <c r="AP13" s="71"/>
      <c r="AQ13" s="322"/>
      <c r="AR13" s="708"/>
      <c r="AS13" s="71"/>
      <c r="AT13" s="322"/>
      <c r="AU13" s="71"/>
      <c r="AV13" s="322"/>
      <c r="AW13" s="708"/>
      <c r="AX13" s="71"/>
      <c r="AY13" s="71"/>
      <c r="AZ13" s="71"/>
      <c r="BA13" s="71"/>
      <c r="BB13" s="708"/>
      <c r="BC13" s="71"/>
      <c r="BD13" s="322"/>
      <c r="BE13" s="708"/>
      <c r="BF13" s="71"/>
      <c r="BG13" s="322"/>
      <c r="BH13" s="708"/>
      <c r="BJ13" s="712"/>
      <c r="BK13" s="710"/>
      <c r="BL13" s="708"/>
      <c r="BM13" s="322"/>
      <c r="BO13" s="708"/>
      <c r="BQ13" s="322"/>
      <c r="BR13" s="708"/>
    </row>
    <row r="14" spans="1:70" ht="16.5" x14ac:dyDescent="0.15">
      <c r="C14" s="9" t="s">
        <v>505</v>
      </c>
      <c r="F14" s="88">
        <f>VLOOKUP(F3&amp;IF(G4&lt;&gt;"","_"&amp;G4,""),まとめ!$A$12:$G$34,IF(F7=2030,4,IF(F7=2020,3,IF(F7=2014,2,"-"))),0)</f>
        <v>70</v>
      </c>
      <c r="G14" s="81" t="s">
        <v>172</v>
      </c>
      <c r="K14" s="71"/>
      <c r="L14" s="71"/>
      <c r="M14" s="71"/>
      <c r="N14" s="71"/>
      <c r="O14" s="322"/>
      <c r="P14" s="322"/>
      <c r="Q14" s="322"/>
      <c r="R14" s="322"/>
      <c r="S14" s="322"/>
      <c r="T14" s="322"/>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50" t="s">
        <v>104</v>
      </c>
      <c r="AU14" s="71"/>
      <c r="AV14" s="71"/>
      <c r="AW14" s="71"/>
      <c r="AX14" s="71"/>
      <c r="AY14" s="71" t="s">
        <v>105</v>
      </c>
      <c r="AZ14" s="71"/>
      <c r="BA14" s="71"/>
      <c r="BB14" s="71"/>
      <c r="BC14" s="71"/>
      <c r="BD14" s="71"/>
      <c r="BE14" s="71"/>
      <c r="BF14" s="71"/>
      <c r="BG14" s="71"/>
      <c r="BH14" s="71"/>
      <c r="BQ14" s="71"/>
      <c r="BR14" s="71"/>
    </row>
    <row r="15" spans="1:70" x14ac:dyDescent="0.15">
      <c r="C15" s="9" t="s">
        <v>506</v>
      </c>
      <c r="F15" s="88">
        <f>VLOOKUP(F3&amp;IF(G4&lt;&gt;"","_"&amp;G4,""),まとめ!$A$12:$G$34,IF(F7=2030,7,IF(F7=2020,6,IF(F7=2014,5,"-"))),0)</f>
        <v>40</v>
      </c>
      <c r="G15" s="81" t="s">
        <v>108</v>
      </c>
      <c r="I15" s="458">
        <f>F7</f>
        <v>2020</v>
      </c>
      <c r="J15" s="470"/>
      <c r="K15" s="39">
        <f>IF(I15&lt;&gt;"",1,"")</f>
        <v>1</v>
      </c>
      <c r="L15" s="39"/>
      <c r="M15" s="40">
        <f t="shared" ref="M15:M46" si="0">1/(1+($F$9/100))^K15</f>
        <v>0.970873786407767</v>
      </c>
      <c r="N15" s="39"/>
      <c r="O15" s="72">
        <f>F117</f>
        <v>138550000000</v>
      </c>
      <c r="P15" s="41">
        <f t="shared" ref="P15:P46" si="1">IF(K15&lt;=$F$15,IF(OR(P14=$F$124,P14="-"),"-",IF(O15*$F$123&gt;$F$127,$F$123,$F$124)),"")</f>
        <v>0.16700000000000001</v>
      </c>
      <c r="Q15" s="39"/>
      <c r="R15" s="72">
        <f>F117</f>
        <v>138550000000</v>
      </c>
      <c r="S15" s="39"/>
      <c r="T15" s="72">
        <f>IF(ISNUMBER(R15),ROUNDDOWN(R15,-3),"")</f>
        <v>138550000000</v>
      </c>
      <c r="U15" s="39"/>
      <c r="V15" s="72">
        <f t="shared" ref="V15:V46" si="2">IF(K15&lt;=$F$15,IF(K15&lt;$F$119,IF(P15="-",V14,O15*P15),IF(K15=$F$119,MIN(IF(P15="-",V14,O15*P15),O15),0)),"")</f>
        <v>23137850000</v>
      </c>
      <c r="W15" s="72">
        <f>IF(ISNUMBER(V15),V15*$M15,"")</f>
        <v>22463932038.834953</v>
      </c>
      <c r="X15" s="39"/>
      <c r="Y15" s="72">
        <f t="shared" ref="Y15:Y46" si="3">IF($K15&lt;=$F$15,ROUNDDOWN(T15*$F$25/100,-2),"")</f>
        <v>1939700000</v>
      </c>
      <c r="Z15" s="72">
        <f>IF(ISNUMBER(Y15),Y15*$M15,"")</f>
        <v>1883203883.4951456</v>
      </c>
      <c r="AA15" s="39"/>
      <c r="AB15" s="72">
        <f t="shared" ref="AB15:AB78" si="4">IF($K15&lt;=$F$15,0,IF(AND($K15&gt;$F$15,$K15&lt;=$F$15+$F$28),$F$27*10^8/$F$28,""))</f>
        <v>0</v>
      </c>
      <c r="AC15" s="72">
        <f>IF(ISNUMBER(AB15),AB15*$M15,"")</f>
        <v>0</v>
      </c>
      <c r="AD15" s="39"/>
      <c r="AE15" s="72">
        <f t="shared" ref="AE15:AE46" si="5">IF($K15&lt;=$F$15,$F$26,"")</f>
        <v>0</v>
      </c>
      <c r="AF15" s="72">
        <f>IF(ISNUMBER(AE15),AE15*$M15,"")</f>
        <v>0</v>
      </c>
      <c r="AG15" s="39"/>
      <c r="AH15" s="72">
        <f t="shared" ref="AH15:AH46" si="6">IF($K15&lt;=$F$15,$F$33*10^8,"")</f>
        <v>620000000</v>
      </c>
      <c r="AI15" s="72">
        <f>IF(ISNUMBER(AH15),AH15*$M15,"")</f>
        <v>601941747.57281554</v>
      </c>
      <c r="AJ15" s="39"/>
      <c r="AK15" s="72">
        <f t="shared" ref="AK15:AK46" si="7">IF($K15&lt;=$F$15,$F$117*$F$34/100,"")</f>
        <v>3325200000</v>
      </c>
      <c r="AL15" s="72">
        <f>IF(ISNUMBER(AK15),AK15*$M15,"")</f>
        <v>3228349514.563107</v>
      </c>
      <c r="AM15" s="39"/>
      <c r="AN15" s="72">
        <f t="shared" ref="AN15:AN46" si="8">IF($K15&lt;=$F$15,$F$117*$F$35/100,"")</f>
        <v>1524050000</v>
      </c>
      <c r="AO15" s="72">
        <f>IF(ISNUMBER(AN15),AN15*$M15,"")</f>
        <v>1479660194.1747572</v>
      </c>
      <c r="AP15" s="39"/>
      <c r="AQ15" s="72">
        <f t="shared" ref="AQ15:AQ46" si="9">IF($K15&lt;=$F$15,SUM(AH15,AK15,AN15)*($F$36/100),"")</f>
        <v>656310000</v>
      </c>
      <c r="AR15" s="72">
        <f>IF(ISNUMBER(AQ15),AQ15*$M15,"")</f>
        <v>637194174.75728154</v>
      </c>
      <c r="AS15" s="39"/>
      <c r="AT15" s="40">
        <f>IF($K15&lt;=$F$15,IF($F$40&lt;&gt;"",$F$40/1000,IF(ISERROR(VLOOKUP($F$3&amp;IF($G$4&lt;&gt;"",$G$4,"")&amp;IF($F$43&lt;&gt;"","_"&amp;$F$43,""),'表3）燃料価格'!$AF$9:$AG$25,2,0)),0,VLOOKUP($I15,'表3）燃料価格'!$A$6:$U$66,VLOOKUP($F$3&amp;IF($G$4&lt;&gt;"",$G$4,"")&amp;IF($F$43&lt;&gt;"","_"&amp;$F$43,""),'表3）燃料価格'!$AF$9:$AG$25,2,0)+VLOOKUP($F$41,'表3）燃料価格'!$AF$28:$AG$29,2,0),0)*IF($F$43="需要地価格",1,$F$8/$F$141))),"")</f>
        <v>54.053092418621503</v>
      </c>
      <c r="AU15" s="39"/>
      <c r="AV15" s="72">
        <f t="shared" ref="AV15:AV46" si="10">IF($K15&lt;=$F$15,($AT15+$F$142)*$F$137,"")</f>
        <v>35784407959.868507</v>
      </c>
      <c r="AW15" s="72">
        <f>IF(ISNUMBER(AV15),AV15*$M15,"")</f>
        <v>34742143650.357773</v>
      </c>
      <c r="AX15" s="39"/>
      <c r="AY15" s="40">
        <f>IF(ISERROR(IF($K15&lt;=$F$15,VLOOKUP($I15,'表4）CO2価格'!$A$7:$E$67,VLOOKUP($F$48,'表4）CO2価格'!$H$10:$I$12,2,0),0)*$F$8/1000,"")),0,IF($K15&lt;=$F$15,VLOOKUP($I15,'表4）CO2価格'!$A$7:$E$67,VLOOKUP($F$48,'表4）CO2価格'!$H$10:$I$12,2,0),0)*$F$8/1000,""))</f>
        <v>1.8297000000000001</v>
      </c>
      <c r="AZ15" s="39"/>
      <c r="BA15" s="42">
        <f t="shared" ref="BA15:BA46" si="11">IF($K15&lt;=$F$15,$F$145*AY15,"")</f>
        <v>3203722194.9661646</v>
      </c>
      <c r="BB15" s="72">
        <f>IF(ISNUMBER(BA15),BA15*$M15,"")</f>
        <v>3110409898.0254025</v>
      </c>
      <c r="BC15" s="39"/>
      <c r="BD15" s="72">
        <f t="shared" ref="BD15:BD46" si="12">IF($K15&lt;=$F$15,($AT15+$F$152)*$F$151,"")</f>
        <v>0</v>
      </c>
      <c r="BE15" s="72">
        <f>IF(ISNUMBER(BD15),BD15*$M15,"")</f>
        <v>0</v>
      </c>
      <c r="BF15" s="39"/>
      <c r="BG15" s="42">
        <f t="shared" ref="BG15:BG46" si="13">IF($K15&lt;=$F$15,$F$153*AY15,"")</f>
        <v>0</v>
      </c>
      <c r="BH15" s="72">
        <f>IF(ISNUMBER(BG15),BG15*$M15,"")</f>
        <v>0</v>
      </c>
      <c r="BI15" s="39"/>
      <c r="BJ15" s="40" t="str">
        <f>IF(ISNUMBER($F$16),IF($K15&lt;=$F$16+$F$28,1/(1+($F$17/100))^K15,""),"")</f>
        <v/>
      </c>
      <c r="BK15" s="157" t="str">
        <f>IF(ISNUMBER($F$16),IF($K15&lt;=$F$16+$F$28,IF($K15&lt;=$F$16,SUM(Y15,AB15,AE15,AH15,AK15,AN15,AQ15,AV15,BA15,BD15,BG15),$F$27/$F$28*10^8)*BJ15,""),"")</f>
        <v/>
      </c>
      <c r="BL15" s="157" t="str">
        <f t="shared" ref="BL15:BL78" si="14">IF(AND(ISNUMBER(BJ15),$K15&lt;=$F$16),BQ15*BJ15,"")</f>
        <v/>
      </c>
      <c r="BM15" s="72"/>
      <c r="BN15" s="72" t="str">
        <f>IF(AND(ISNUMBER($F$16),$K15&lt;=$F$16),BQ15*($O$15+$BK$116)/$BL$116,"")</f>
        <v/>
      </c>
      <c r="BO15" s="72" t="str">
        <f>IF(ISNUMBER(BN15),BN15*$M15,"")</f>
        <v/>
      </c>
      <c r="BP15" s="39"/>
      <c r="BQ15" s="72">
        <f t="shared" ref="BQ15:BQ46" si="15">IF($K15&lt;=$F$15,$F$134,"")</f>
        <v>5092319400</v>
      </c>
      <c r="BR15" s="72">
        <f>IF(ISNUMBER(BQ15),BQ15*$M15,"")</f>
        <v>4943999417.475728</v>
      </c>
    </row>
    <row r="16" spans="1:70" x14ac:dyDescent="0.15">
      <c r="C16" s="236" t="s">
        <v>107</v>
      </c>
      <c r="F16" s="88" t="str">
        <f>IF(ISERROR(VLOOKUP(F3&amp;IF(G4&lt;&gt;"","_"&amp;G4,""),'表7）買取期間・IRR'!$A$3:$A$10,1,0)),"",VLOOKUP(F3&amp;IF(G4&lt;&gt;"","_"&amp;G4,""),'表7）買取期間・IRR'!$A$3:$C$10,IF(F7=2030,4,IF(F7=2020,3,IF(F7=2014,2,"-"))),0))</f>
        <v/>
      </c>
      <c r="G16" s="81" t="s">
        <v>108</v>
      </c>
      <c r="I16" s="459">
        <f>I15+1</f>
        <v>2021</v>
      </c>
      <c r="K16" s="71">
        <f>IF(I16&lt;&gt;"",K15+1,"")</f>
        <v>2</v>
      </c>
      <c r="L16" s="71"/>
      <c r="M16" s="7">
        <f t="shared" si="0"/>
        <v>0.94259590913375435</v>
      </c>
      <c r="N16" s="71"/>
      <c r="O16" s="10">
        <f t="shared" ref="O16:O47" si="16">IF(K16&lt;=$F$15,O15-V15,"")</f>
        <v>115412150000</v>
      </c>
      <c r="P16" s="29">
        <f t="shared" si="1"/>
        <v>0.16700000000000001</v>
      </c>
      <c r="Q16" s="71"/>
      <c r="R16" s="10">
        <f t="shared" ref="R16:R47" si="17">IF($K16&lt;=$F$15,MAX($F$117*5%,R15*$F$129),"")</f>
        <v>118833766749.76839</v>
      </c>
      <c r="S16" s="71"/>
      <c r="T16" s="10">
        <f t="shared" ref="T16:T79" si="18">IF(ISNUMBER(R16),ROUNDDOWN(R16,-3),"")</f>
        <v>118833766000</v>
      </c>
      <c r="U16" s="71"/>
      <c r="V16" s="10">
        <f t="shared" si="2"/>
        <v>19273829050</v>
      </c>
      <c r="W16" s="10">
        <f t="shared" ref="W16:W79" si="19">IF(ISNUMBER(V16),V16*$M16,"")</f>
        <v>18167432415.873314</v>
      </c>
      <c r="X16" s="71"/>
      <c r="Y16" s="10">
        <f t="shared" si="3"/>
        <v>1663672700</v>
      </c>
      <c r="Z16" s="10">
        <f t="shared" ref="Z16:Z79" si="20">IF(ISNUMBER(Y16),Y16*$M16,"")</f>
        <v>1568171081.1575077</v>
      </c>
      <c r="AA16" s="71"/>
      <c r="AB16" s="10">
        <f t="shared" si="4"/>
        <v>0</v>
      </c>
      <c r="AC16" s="10">
        <f t="shared" ref="AC16:AC79" si="21">IF(ISNUMBER(AB16),AB16*$M16,"")</f>
        <v>0</v>
      </c>
      <c r="AD16" s="71"/>
      <c r="AE16" s="10">
        <f t="shared" si="5"/>
        <v>0</v>
      </c>
      <c r="AF16" s="10">
        <f t="shared" ref="AF16:AF79" si="22">IF(ISNUMBER(AE16),AE16*$M16,"")</f>
        <v>0</v>
      </c>
      <c r="AG16" s="71"/>
      <c r="AH16" s="10">
        <f t="shared" si="6"/>
        <v>620000000</v>
      </c>
      <c r="AI16" s="10">
        <f t="shared" ref="AI16:AI79" si="23">IF(ISNUMBER(AH16),AH16*$M16,"")</f>
        <v>584409463.66292775</v>
      </c>
      <c r="AJ16" s="71"/>
      <c r="AK16" s="10">
        <f t="shared" si="7"/>
        <v>3325200000</v>
      </c>
      <c r="AL16" s="10">
        <f t="shared" ref="AL16:AL79" si="24">IF(ISNUMBER(AK16),AK16*$M16,"")</f>
        <v>3134319917.0515599</v>
      </c>
      <c r="AM16" s="71"/>
      <c r="AN16" s="10">
        <f t="shared" si="8"/>
        <v>1524050000</v>
      </c>
      <c r="AO16" s="10">
        <f t="shared" ref="AO16:AO79" si="25">IF(ISNUMBER(AN16),AN16*$M16,"")</f>
        <v>1436563295.3152983</v>
      </c>
      <c r="AP16" s="71"/>
      <c r="AQ16" s="10">
        <f t="shared" si="9"/>
        <v>656310000</v>
      </c>
      <c r="AR16" s="10">
        <f t="shared" ref="AR16:AR79" si="26">IF(ISNUMBER(AQ16),AQ16*$M16,"")</f>
        <v>618635121.12357438</v>
      </c>
      <c r="AS16" s="71"/>
      <c r="AT16" s="7">
        <f>IF($K16&lt;=$F$15,IF($F$40&lt;&gt;"",$F$40/1000,IF(ISERROR(VLOOKUP($F$3&amp;IF($G$4&lt;&gt;"",$G$4,"")&amp;IF($F$43&lt;&gt;"","_"&amp;$F$43,""),'表3）燃料価格'!$AF$9:$AG$25,2,0)),0,VLOOKUP($I16,'表3）燃料価格'!$A$6:$U$66,VLOOKUP($F$3&amp;IF($G$4&lt;&gt;"",$G$4,"")&amp;IF($F$43&lt;&gt;"","_"&amp;$F$43,""),'表3）燃料価格'!$AF$9:$AG$25,2,0)+VLOOKUP($F$41,'表3）燃料価格'!$AF$28:$AG$29,2,0),0)*IF($F$43="需要地価格",1,$F$8/$F$141))),"")</f>
        <v>53.216254837243</v>
      </c>
      <c r="AU16" s="71"/>
      <c r="AV16" s="10">
        <f t="shared" si="10"/>
        <v>35257686613.073494</v>
      </c>
      <c r="AW16" s="10">
        <f t="shared" ref="AW16:AW79" si="27">IF(ISNUMBER(AV16),AV16*$M16,"")</f>
        <v>33233751167.00301</v>
      </c>
      <c r="AX16" s="71"/>
      <c r="AY16" s="7">
        <f>IF(ISERROR(IF($K16&lt;=$F$15,VLOOKUP($I16,'表4）CO2価格'!$A$7:$E$67,VLOOKUP($F$48,'表4）CO2価格'!$H$10:$I$12,2,0),0)*$F$8/1000,"")),0,IF($K16&lt;=$F$15,VLOOKUP($I16,'表4）CO2価格'!$A$7:$E$67,VLOOKUP($F$48,'表4）CO2価格'!$H$10:$I$12,2,0),0)*$F$8/1000,""))</f>
        <v>3.1243999999999805</v>
      </c>
      <c r="AZ16" s="71"/>
      <c r="BA16" s="11">
        <f t="shared" si="11"/>
        <v>5470683514.211194</v>
      </c>
      <c r="BB16" s="10">
        <f t="shared" ref="BB16:BB79" si="28">IF(ISNUMBER(BA16),BA16*$M16,"")</f>
        <v>5156643900.660943</v>
      </c>
      <c r="BC16" s="71"/>
      <c r="BD16" s="10">
        <f t="shared" si="12"/>
        <v>0</v>
      </c>
      <c r="BE16" s="10">
        <f t="shared" ref="BE16:BE79" si="29">IF(ISNUMBER(BD16),BD16*$M16,"")</f>
        <v>0</v>
      </c>
      <c r="BF16" s="71"/>
      <c r="BG16" s="11">
        <f t="shared" si="13"/>
        <v>0</v>
      </c>
      <c r="BH16" s="10">
        <f t="shared" ref="BH16:BH79" si="30">IF(ISNUMBER(BG16),BG16*$M16,"")</f>
        <v>0</v>
      </c>
      <c r="BJ16" s="7" t="str">
        <f t="shared" ref="BJ16:BJ79" si="31">IF(ISNUMBER($F$16),IF($K16&lt;=$F$16+$F$28,1/(1+($F$17/100))^K16,""),"")</f>
        <v/>
      </c>
      <c r="BK16" s="158" t="str">
        <f t="shared" ref="BK16:BK79" si="32">IF(ISNUMBER($F$16),IF($K16&lt;=$F$16+$F$28,IF($K16&lt;=$F$16,SUM(Y16,AB16,AE16,AH16,AK16,AN16,AQ16,AV16,BA16,BD16,BG16),$F$27/$F$28*10^8)*BJ16,""),"")</f>
        <v/>
      </c>
      <c r="BL16" s="158" t="str">
        <f t="shared" si="14"/>
        <v/>
      </c>
      <c r="BM16" s="10"/>
      <c r="BN16" s="10" t="str">
        <f t="shared" ref="BN16:BN79" si="33">IF(AND(ISNUMBER($F$16),$K16&lt;=$F$16),BQ16*($O$15+$BK$116)/$BL$116,"")</f>
        <v/>
      </c>
      <c r="BO16" s="10" t="str">
        <f t="shared" ref="BO16:BO79" si="34">IF(ISNUMBER(BN16),BN16*$M16,"")</f>
        <v/>
      </c>
      <c r="BQ16" s="10">
        <f t="shared" si="15"/>
        <v>5092319400</v>
      </c>
      <c r="BR16" s="10">
        <f t="shared" ref="BR16:BR79" si="35">IF(ISNUMBER(BQ16),BQ16*$M16,"")</f>
        <v>4799999434.4424543</v>
      </c>
    </row>
    <row r="17" spans="3:70" x14ac:dyDescent="0.15">
      <c r="C17" s="9" t="s">
        <v>109</v>
      </c>
      <c r="F17" s="143" t="str">
        <f>IF(ISERROR(VLOOKUP(F3&amp;IF(G4&lt;&gt;"","_"&amp;G4,""),'表7）買取期間・IRR'!$A$14:$A$21,1,0)),"",VLOOKUP(F3&amp;IF(G4&lt;&gt;"","_"&amp;G4,""),'表7）買取期間・IRR'!$A$14:$C$21,IF(F7=2030,4,IF(F7=2020,3,IF(F7=2014,2,"-"))),0))</f>
        <v/>
      </c>
      <c r="G17" s="81" t="s">
        <v>172</v>
      </c>
      <c r="I17" s="458">
        <f t="shared" ref="I17:I80" si="36">I16+1</f>
        <v>2022</v>
      </c>
      <c r="J17" s="470"/>
      <c r="K17" s="39">
        <f t="shared" ref="K17:K80" si="37">IF(I17&lt;&gt;"",K16+1,"")</f>
        <v>3</v>
      </c>
      <c r="L17" s="39"/>
      <c r="M17" s="40">
        <f t="shared" si="0"/>
        <v>0.91514165935315961</v>
      </c>
      <c r="N17" s="39"/>
      <c r="O17" s="72">
        <f t="shared" si="16"/>
        <v>96138320950</v>
      </c>
      <c r="P17" s="41">
        <f t="shared" si="1"/>
        <v>0.16700000000000001</v>
      </c>
      <c r="Q17" s="39"/>
      <c r="R17" s="72">
        <f t="shared" si="17"/>
        <v>101923234355.38332</v>
      </c>
      <c r="S17" s="39"/>
      <c r="T17" s="72">
        <f t="shared" si="18"/>
        <v>101923234000</v>
      </c>
      <c r="U17" s="39"/>
      <c r="V17" s="72">
        <f t="shared" si="2"/>
        <v>16055099598.650002</v>
      </c>
      <c r="W17" s="72">
        <f t="shared" si="19"/>
        <v>14692690487.788809</v>
      </c>
      <c r="X17" s="39"/>
      <c r="Y17" s="72">
        <f t="shared" si="3"/>
        <v>1426925200</v>
      </c>
      <c r="Z17" s="72">
        <f t="shared" si="20"/>
        <v>1305838695.3008392</v>
      </c>
      <c r="AA17" s="39"/>
      <c r="AB17" s="72">
        <f t="shared" si="4"/>
        <v>0</v>
      </c>
      <c r="AC17" s="72">
        <f t="shared" si="21"/>
        <v>0</v>
      </c>
      <c r="AD17" s="39"/>
      <c r="AE17" s="72">
        <f t="shared" si="5"/>
        <v>0</v>
      </c>
      <c r="AF17" s="72">
        <f t="shared" si="22"/>
        <v>0</v>
      </c>
      <c r="AG17" s="39"/>
      <c r="AH17" s="72">
        <f t="shared" si="6"/>
        <v>620000000</v>
      </c>
      <c r="AI17" s="72">
        <f t="shared" si="23"/>
        <v>567387828.79895902</v>
      </c>
      <c r="AJ17" s="39"/>
      <c r="AK17" s="72">
        <f t="shared" si="7"/>
        <v>3325200000</v>
      </c>
      <c r="AL17" s="72">
        <f t="shared" si="24"/>
        <v>3043029045.6811261</v>
      </c>
      <c r="AM17" s="39"/>
      <c r="AN17" s="72">
        <f t="shared" si="8"/>
        <v>1524050000</v>
      </c>
      <c r="AO17" s="72">
        <f t="shared" si="25"/>
        <v>1394721645.9371829</v>
      </c>
      <c r="AP17" s="39"/>
      <c r="AQ17" s="72">
        <f t="shared" si="9"/>
        <v>656310000</v>
      </c>
      <c r="AR17" s="72">
        <f t="shared" si="26"/>
        <v>600616622.45007217</v>
      </c>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52.379417255864496</v>
      </c>
      <c r="AU17" s="39"/>
      <c r="AV17" s="72">
        <f t="shared" si="10"/>
        <v>34730965266.278473</v>
      </c>
      <c r="AW17" s="72">
        <f t="shared" si="27"/>
        <v>31783753184.719032</v>
      </c>
      <c r="AX17" s="39"/>
      <c r="AY17" s="40">
        <f>IF(ISERROR(IF($K17&lt;=$F$15,VLOOKUP($I17,'表4）CO2価格'!$A$7:$E$67,VLOOKUP($F$48,'表4）CO2価格'!$H$10:$I$12,2,0),0)*$F$8/1000,"")),0,IF($K17&lt;=$F$15,VLOOKUP($I17,'表4）CO2価格'!$A$7:$E$67,VLOOKUP($F$48,'表4）CO2価格'!$H$10:$I$12,2,0),0)*$F$8/1000,""))</f>
        <v>3.2528000000000099</v>
      </c>
      <c r="AZ17" s="39"/>
      <c r="BA17" s="42">
        <f t="shared" si="11"/>
        <v>5695506124.3843098</v>
      </c>
      <c r="BB17" s="72">
        <f t="shared" si="28"/>
        <v>5212194925.5251408</v>
      </c>
      <c r="BC17" s="39"/>
      <c r="BD17" s="72">
        <f t="shared" si="12"/>
        <v>0</v>
      </c>
      <c r="BE17" s="72">
        <f t="shared" si="29"/>
        <v>0</v>
      </c>
      <c r="BF17" s="39"/>
      <c r="BG17" s="42">
        <f t="shared" si="13"/>
        <v>0</v>
      </c>
      <c r="BH17" s="72">
        <f t="shared" si="30"/>
        <v>0</v>
      </c>
      <c r="BI17" s="39"/>
      <c r="BJ17" s="40" t="str">
        <f t="shared" si="31"/>
        <v/>
      </c>
      <c r="BK17" s="157" t="str">
        <f t="shared" si="32"/>
        <v/>
      </c>
      <c r="BL17" s="157" t="str">
        <f t="shared" si="14"/>
        <v/>
      </c>
      <c r="BM17" s="72"/>
      <c r="BN17" s="72" t="str">
        <f t="shared" si="33"/>
        <v/>
      </c>
      <c r="BO17" s="72" t="str">
        <f t="shared" si="34"/>
        <v/>
      </c>
      <c r="BP17" s="39"/>
      <c r="BQ17" s="72">
        <f t="shared" si="15"/>
        <v>5092319400</v>
      </c>
      <c r="BR17" s="72">
        <f t="shared" si="35"/>
        <v>4660193625.672286</v>
      </c>
    </row>
    <row r="18" spans="3:70" x14ac:dyDescent="0.15">
      <c r="I18" s="459">
        <f t="shared" si="36"/>
        <v>2023</v>
      </c>
      <c r="K18" s="71">
        <f t="shared" si="37"/>
        <v>4</v>
      </c>
      <c r="L18" s="71"/>
      <c r="M18" s="7">
        <f t="shared" si="0"/>
        <v>0.888487047915689</v>
      </c>
      <c r="N18" s="71"/>
      <c r="O18" s="10">
        <f t="shared" si="16"/>
        <v>80083221351.350006</v>
      </c>
      <c r="P18" s="29">
        <f t="shared" si="1"/>
        <v>0.16700000000000001</v>
      </c>
      <c r="Q18" s="71"/>
      <c r="R18" s="10">
        <f t="shared" si="17"/>
        <v>87419140077.730789</v>
      </c>
      <c r="S18" s="71"/>
      <c r="T18" s="10">
        <f t="shared" si="18"/>
        <v>87419140000</v>
      </c>
      <c r="U18" s="71"/>
      <c r="V18" s="10">
        <f t="shared" si="2"/>
        <v>13373897965.675451</v>
      </c>
      <c r="W18" s="10">
        <f t="shared" si="19"/>
        <v>11882535122.648621</v>
      </c>
      <c r="X18" s="71"/>
      <c r="Y18" s="10">
        <f t="shared" si="3"/>
        <v>1223867900</v>
      </c>
      <c r="Z18" s="10">
        <f t="shared" si="20"/>
        <v>1087390777.5097737</v>
      </c>
      <c r="AA18" s="71"/>
      <c r="AB18" s="10">
        <f t="shared" si="4"/>
        <v>0</v>
      </c>
      <c r="AC18" s="10">
        <f t="shared" si="21"/>
        <v>0</v>
      </c>
      <c r="AD18" s="71"/>
      <c r="AE18" s="10">
        <f t="shared" si="5"/>
        <v>0</v>
      </c>
      <c r="AF18" s="10">
        <f t="shared" si="22"/>
        <v>0</v>
      </c>
      <c r="AG18" s="71"/>
      <c r="AH18" s="10">
        <f t="shared" si="6"/>
        <v>620000000</v>
      </c>
      <c r="AI18" s="10">
        <f t="shared" si="23"/>
        <v>550861969.70772719</v>
      </c>
      <c r="AJ18" s="71"/>
      <c r="AK18" s="10">
        <f t="shared" si="7"/>
        <v>3325200000</v>
      </c>
      <c r="AL18" s="10">
        <f t="shared" si="24"/>
        <v>2954397131.729249</v>
      </c>
      <c r="AM18" s="71"/>
      <c r="AN18" s="10">
        <f t="shared" si="8"/>
        <v>1524050000</v>
      </c>
      <c r="AO18" s="10">
        <f t="shared" si="25"/>
        <v>1354098685.3759058</v>
      </c>
      <c r="AP18" s="71"/>
      <c r="AQ18" s="10">
        <f t="shared" si="9"/>
        <v>656310000</v>
      </c>
      <c r="AR18" s="10">
        <f t="shared" si="26"/>
        <v>583122934.4175458</v>
      </c>
      <c r="AS18" s="71"/>
      <c r="AT18" s="7">
        <f>IF($K18&lt;=$F$15,IF($F$40&lt;&gt;"",$F$40/1000,IF(ISERROR(VLOOKUP($F$3&amp;IF($G$4&lt;&gt;"",$G$4,"")&amp;IF($F$43&lt;&gt;"","_"&amp;$F$43,""),'表3）燃料価格'!$AF$9:$AG$25,2,0)),0,VLOOKUP($I18,'表3）燃料価格'!$A$6:$U$66,VLOOKUP($F$3&amp;IF($G$4&lt;&gt;"",$G$4,"")&amp;IF($F$43&lt;&gt;"","_"&amp;$F$43,""),'表3）燃料価格'!$AF$9:$AG$25,2,0)+VLOOKUP($F$41,'表3）燃料価格'!$AF$28:$AG$29,2,0),0)*IF($F$43="需要地価格",1,$F$8/$F$141))),"")</f>
        <v>51.542579674485992</v>
      </c>
      <c r="AU18" s="71"/>
      <c r="AV18" s="10">
        <f t="shared" si="10"/>
        <v>34204243919.483452</v>
      </c>
      <c r="AW18" s="10">
        <f t="shared" si="27"/>
        <v>30390027706.210007</v>
      </c>
      <c r="AX18" s="71"/>
      <c r="AY18" s="7">
        <f>IF(ISERROR(IF($K18&lt;=$F$15,VLOOKUP($I18,'表4）CO2価格'!$A$7:$E$67,VLOOKUP($F$48,'表4）CO2価格'!$H$10:$I$12,2,0),0)*$F$8/1000,"")),0,IF($K18&lt;=$F$15,VLOOKUP($I18,'表4）CO2価格'!$A$7:$E$67,VLOOKUP($F$48,'表4）CO2価格'!$H$10:$I$12,2,0),0)*$F$8/1000,""))</f>
        <v>3.3811999999999904</v>
      </c>
      <c r="AZ18" s="71"/>
      <c r="BA18" s="11">
        <f t="shared" si="11"/>
        <v>5920328734.5573397</v>
      </c>
      <c r="BB18" s="10">
        <f t="shared" si="28"/>
        <v>5260135400.0572777</v>
      </c>
      <c r="BC18" s="71"/>
      <c r="BD18" s="10">
        <f t="shared" si="12"/>
        <v>0</v>
      </c>
      <c r="BE18" s="10">
        <f t="shared" si="29"/>
        <v>0</v>
      </c>
      <c r="BF18" s="71"/>
      <c r="BG18" s="11">
        <f t="shared" si="13"/>
        <v>0</v>
      </c>
      <c r="BH18" s="10">
        <f t="shared" si="30"/>
        <v>0</v>
      </c>
      <c r="BJ18" s="7" t="str">
        <f t="shared" si="31"/>
        <v/>
      </c>
      <c r="BK18" s="158" t="str">
        <f t="shared" si="32"/>
        <v/>
      </c>
      <c r="BL18" s="158" t="str">
        <f t="shared" si="14"/>
        <v/>
      </c>
      <c r="BM18" s="10"/>
      <c r="BN18" s="10" t="str">
        <f t="shared" si="33"/>
        <v/>
      </c>
      <c r="BO18" s="10" t="str">
        <f t="shared" si="34"/>
        <v/>
      </c>
      <c r="BQ18" s="10">
        <f t="shared" si="15"/>
        <v>5092319400</v>
      </c>
      <c r="BR18" s="10">
        <f t="shared" si="35"/>
        <v>4524459830.7497931</v>
      </c>
    </row>
    <row r="19" spans="3:70" x14ac:dyDescent="0.15">
      <c r="C19" s="89" t="s">
        <v>371</v>
      </c>
      <c r="D19" s="101"/>
      <c r="E19" s="101"/>
      <c r="F19" s="89"/>
      <c r="G19" s="101"/>
      <c r="I19" s="458">
        <f t="shared" si="36"/>
        <v>2024</v>
      </c>
      <c r="J19" s="470"/>
      <c r="K19" s="39">
        <f t="shared" si="37"/>
        <v>5</v>
      </c>
      <c r="L19" s="39"/>
      <c r="M19" s="40">
        <f t="shared" si="0"/>
        <v>0.86260878438416411</v>
      </c>
      <c r="N19" s="39"/>
      <c r="O19" s="72">
        <f t="shared" si="16"/>
        <v>66709323385.674553</v>
      </c>
      <c r="P19" s="41">
        <f t="shared" si="1"/>
        <v>0.16700000000000001</v>
      </c>
      <c r="Q19" s="39"/>
      <c r="R19" s="72">
        <f t="shared" si="17"/>
        <v>74979037903.012558</v>
      </c>
      <c r="S19" s="39"/>
      <c r="T19" s="72">
        <f t="shared" si="18"/>
        <v>74979037000</v>
      </c>
      <c r="U19" s="39"/>
      <c r="V19" s="72">
        <f t="shared" si="2"/>
        <v>11140457005.407652</v>
      </c>
      <c r="W19" s="72">
        <f t="shared" si="19"/>
        <v>9609856074.9187393</v>
      </c>
      <c r="X19" s="39"/>
      <c r="Y19" s="72">
        <f t="shared" si="3"/>
        <v>1049706500</v>
      </c>
      <c r="Z19" s="72">
        <f t="shared" si="20"/>
        <v>905486047.92515552</v>
      </c>
      <c r="AA19" s="39"/>
      <c r="AB19" s="72">
        <f t="shared" si="4"/>
        <v>0</v>
      </c>
      <c r="AC19" s="72">
        <f t="shared" si="21"/>
        <v>0</v>
      </c>
      <c r="AD19" s="39"/>
      <c r="AE19" s="72">
        <f t="shared" si="5"/>
        <v>0</v>
      </c>
      <c r="AF19" s="72">
        <f t="shared" si="22"/>
        <v>0</v>
      </c>
      <c r="AG19" s="39"/>
      <c r="AH19" s="72">
        <f t="shared" si="6"/>
        <v>620000000</v>
      </c>
      <c r="AI19" s="72">
        <f t="shared" si="23"/>
        <v>534817446.31818175</v>
      </c>
      <c r="AJ19" s="39"/>
      <c r="AK19" s="72">
        <f t="shared" si="7"/>
        <v>3325200000</v>
      </c>
      <c r="AL19" s="72">
        <f t="shared" si="24"/>
        <v>2868346729.8342223</v>
      </c>
      <c r="AM19" s="39"/>
      <c r="AN19" s="72">
        <f t="shared" si="8"/>
        <v>1524050000</v>
      </c>
      <c r="AO19" s="72">
        <f t="shared" si="25"/>
        <v>1314658917.8406854</v>
      </c>
      <c r="AP19" s="39"/>
      <c r="AQ19" s="72">
        <f t="shared" si="9"/>
        <v>656310000</v>
      </c>
      <c r="AR19" s="72">
        <f t="shared" si="26"/>
        <v>566138771.27917075</v>
      </c>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50.705742093107496</v>
      </c>
      <c r="AU19" s="39"/>
      <c r="AV19" s="72">
        <f t="shared" si="10"/>
        <v>33677522572.688438</v>
      </c>
      <c r="AW19" s="72">
        <f t="shared" si="27"/>
        <v>29050526807.497021</v>
      </c>
      <c r="AX19" s="39"/>
      <c r="AY19" s="40">
        <f>IF(ISERROR(IF($K19&lt;=$F$15,VLOOKUP($I19,'表4）CO2価格'!$A$7:$E$67,VLOOKUP($F$48,'表4）CO2価格'!$H$10:$I$12,2,0),0)*$F$8/1000,"")),0,IF($K19&lt;=$F$15,VLOOKUP($I19,'表4）CO2価格'!$A$7:$E$67,VLOOKUP($F$48,'表4）CO2価格'!$H$10:$I$12,2,0),0)*$F$8/1000,""))</f>
        <v>3.509599999999971</v>
      </c>
      <c r="AZ19" s="39"/>
      <c r="BA19" s="42">
        <f t="shared" si="11"/>
        <v>6145151344.7303696</v>
      </c>
      <c r="BB19" s="72">
        <f t="shared" si="28"/>
        <v>5300861531.3345757</v>
      </c>
      <c r="BC19" s="39"/>
      <c r="BD19" s="72">
        <f t="shared" si="12"/>
        <v>0</v>
      </c>
      <c r="BE19" s="72">
        <f t="shared" si="29"/>
        <v>0</v>
      </c>
      <c r="BF19" s="39"/>
      <c r="BG19" s="42">
        <f t="shared" si="13"/>
        <v>0</v>
      </c>
      <c r="BH19" s="72">
        <f t="shared" si="30"/>
        <v>0</v>
      </c>
      <c r="BI19" s="39"/>
      <c r="BJ19" s="40" t="str">
        <f t="shared" si="31"/>
        <v/>
      </c>
      <c r="BK19" s="157" t="str">
        <f t="shared" si="32"/>
        <v/>
      </c>
      <c r="BL19" s="157" t="str">
        <f t="shared" si="14"/>
        <v/>
      </c>
      <c r="BM19" s="72"/>
      <c r="BN19" s="72" t="str">
        <f t="shared" si="33"/>
        <v/>
      </c>
      <c r="BO19" s="72" t="str">
        <f t="shared" si="34"/>
        <v/>
      </c>
      <c r="BP19" s="39"/>
      <c r="BQ19" s="72">
        <f t="shared" si="15"/>
        <v>5092319400</v>
      </c>
      <c r="BR19" s="72">
        <f t="shared" si="35"/>
        <v>4392679447.329896</v>
      </c>
    </row>
    <row r="20" spans="3:70" x14ac:dyDescent="0.15">
      <c r="I20" s="459">
        <f t="shared" si="36"/>
        <v>2025</v>
      </c>
      <c r="K20" s="71">
        <f t="shared" si="37"/>
        <v>6</v>
      </c>
      <c r="L20" s="71"/>
      <c r="M20" s="7">
        <f t="shared" si="0"/>
        <v>0.83748425668365445</v>
      </c>
      <c r="N20" s="71"/>
      <c r="O20" s="10">
        <f t="shared" si="16"/>
        <v>55568866380.266899</v>
      </c>
      <c r="P20" s="29">
        <f t="shared" si="1"/>
        <v>0.16700000000000001</v>
      </c>
      <c r="Q20" s="71"/>
      <c r="R20" s="10">
        <f t="shared" si="17"/>
        <v>64309213289.705063</v>
      </c>
      <c r="S20" s="71"/>
      <c r="T20" s="10">
        <f t="shared" si="18"/>
        <v>64309213000</v>
      </c>
      <c r="U20" s="71"/>
      <c r="V20" s="10">
        <f t="shared" si="2"/>
        <v>9280000685.5045719</v>
      </c>
      <c r="W20" s="10">
        <f t="shared" si="19"/>
        <v>7771854476.1236</v>
      </c>
      <c r="X20" s="71"/>
      <c r="Y20" s="10">
        <f t="shared" si="3"/>
        <v>900328900</v>
      </c>
      <c r="Z20" s="10">
        <f t="shared" si="20"/>
        <v>754011279.58731222</v>
      </c>
      <c r="AA20" s="71"/>
      <c r="AB20" s="10">
        <f t="shared" si="4"/>
        <v>0</v>
      </c>
      <c r="AC20" s="10">
        <f t="shared" si="21"/>
        <v>0</v>
      </c>
      <c r="AD20" s="71"/>
      <c r="AE20" s="10">
        <f t="shared" si="5"/>
        <v>0</v>
      </c>
      <c r="AF20" s="10">
        <f t="shared" si="22"/>
        <v>0</v>
      </c>
      <c r="AG20" s="71"/>
      <c r="AH20" s="10">
        <f t="shared" si="6"/>
        <v>620000000</v>
      </c>
      <c r="AI20" s="10">
        <f t="shared" si="23"/>
        <v>519240239.14386576</v>
      </c>
      <c r="AJ20" s="71"/>
      <c r="AK20" s="10">
        <f t="shared" si="7"/>
        <v>3325200000</v>
      </c>
      <c r="AL20" s="10">
        <f t="shared" si="24"/>
        <v>2784802650.3244877</v>
      </c>
      <c r="AM20" s="71"/>
      <c r="AN20" s="10">
        <f t="shared" si="8"/>
        <v>1524050000</v>
      </c>
      <c r="AO20" s="10">
        <f t="shared" si="25"/>
        <v>1276367881.3987236</v>
      </c>
      <c r="AP20" s="71"/>
      <c r="AQ20" s="10">
        <f t="shared" si="9"/>
        <v>656310000</v>
      </c>
      <c r="AR20" s="10">
        <f t="shared" si="26"/>
        <v>549649292.5040493</v>
      </c>
      <c r="AS20" s="71"/>
      <c r="AT20" s="7">
        <f>IF($K20&lt;=$F$15,IF($F$40&lt;&gt;"",$F$40/1000,IF(ISERROR(VLOOKUP($F$3&amp;IF($G$4&lt;&gt;"",$G$4,"")&amp;IF($F$43&lt;&gt;"","_"&amp;$F$43,""),'表3）燃料価格'!$AF$9:$AG$25,2,0)),0,VLOOKUP($I20,'表3）燃料価格'!$A$6:$U$66,VLOOKUP($F$3&amp;IF($G$4&lt;&gt;"",$G$4,"")&amp;IF($F$43&lt;&gt;"","_"&amp;$F$43,""),'表3）燃料価格'!$AF$9:$AG$25,2,0)+VLOOKUP($F$41,'表3）燃料価格'!$AF$28:$AG$29,2,0),0)*IF($F$43="需要地価格",1,$F$8/$F$141))),"")</f>
        <v>49.868904511728999</v>
      </c>
      <c r="AU20" s="71"/>
      <c r="AV20" s="10">
        <f t="shared" si="10"/>
        <v>33150801225.893421</v>
      </c>
      <c r="AW20" s="10">
        <f t="shared" si="27"/>
        <v>27763274123.134933</v>
      </c>
      <c r="AX20" s="71"/>
      <c r="AY20" s="7">
        <f>IF(ISERROR(IF($K20&lt;=$F$15,VLOOKUP($I20,'表4）CO2価格'!$A$7:$E$67,VLOOKUP($F$48,'表4）CO2価格'!$H$10:$I$12,2,0),0)*$F$8/1000,"")),0,IF($K20&lt;=$F$15,VLOOKUP($I20,'表4）CO2価格'!$A$7:$E$67,VLOOKUP($F$48,'表4）CO2価格'!$H$10:$I$12,2,0),0)*$F$8/1000,""))</f>
        <v>3.6379999999999999</v>
      </c>
      <c r="AZ20" s="71"/>
      <c r="BA20" s="11">
        <f t="shared" si="11"/>
        <v>6369973954.9034843</v>
      </c>
      <c r="BB20" s="10">
        <f t="shared" si="28"/>
        <v>5334752902.7165833</v>
      </c>
      <c r="BC20" s="71"/>
      <c r="BD20" s="10">
        <f t="shared" si="12"/>
        <v>0</v>
      </c>
      <c r="BE20" s="10">
        <f t="shared" si="29"/>
        <v>0</v>
      </c>
      <c r="BF20" s="71"/>
      <c r="BG20" s="11">
        <f t="shared" si="13"/>
        <v>0</v>
      </c>
      <c r="BH20" s="10">
        <f t="shared" si="30"/>
        <v>0</v>
      </c>
      <c r="BJ20" s="7" t="str">
        <f t="shared" si="31"/>
        <v/>
      </c>
      <c r="BK20" s="158" t="str">
        <f t="shared" si="32"/>
        <v/>
      </c>
      <c r="BL20" s="158" t="str">
        <f t="shared" si="14"/>
        <v/>
      </c>
      <c r="BM20" s="10"/>
      <c r="BN20" s="10" t="str">
        <f t="shared" si="33"/>
        <v/>
      </c>
      <c r="BO20" s="10" t="str">
        <f t="shared" si="34"/>
        <v/>
      </c>
      <c r="BQ20" s="10">
        <f t="shared" si="15"/>
        <v>5092319400</v>
      </c>
      <c r="BR20" s="10">
        <f t="shared" si="35"/>
        <v>4264737327.5047531</v>
      </c>
    </row>
    <row r="21" spans="3:70" x14ac:dyDescent="0.15">
      <c r="D21" s="81" t="s">
        <v>110</v>
      </c>
      <c r="F21" s="147">
        <v>16.3</v>
      </c>
      <c r="G21" s="81" t="s">
        <v>174</v>
      </c>
      <c r="I21" s="458">
        <f t="shared" si="36"/>
        <v>2026</v>
      </c>
      <c r="J21" s="470"/>
      <c r="K21" s="39">
        <f t="shared" si="37"/>
        <v>7</v>
      </c>
      <c r="L21" s="39"/>
      <c r="M21" s="40">
        <f t="shared" si="0"/>
        <v>0.81309151134335378</v>
      </c>
      <c r="N21" s="39"/>
      <c r="O21" s="72">
        <f t="shared" si="16"/>
        <v>46288865694.762329</v>
      </c>
      <c r="P21" s="41">
        <f t="shared" si="1"/>
        <v>0.16700000000000001</v>
      </c>
      <c r="Q21" s="39"/>
      <c r="R21" s="72">
        <f t="shared" si="17"/>
        <v>55157748480.187057</v>
      </c>
      <c r="S21" s="39"/>
      <c r="T21" s="72">
        <f t="shared" si="18"/>
        <v>55157748000</v>
      </c>
      <c r="U21" s="39"/>
      <c r="V21" s="72">
        <f t="shared" si="2"/>
        <v>7730240571.0253096</v>
      </c>
      <c r="W21" s="72">
        <f t="shared" si="19"/>
        <v>6285392988.9426794</v>
      </c>
      <c r="X21" s="39"/>
      <c r="Y21" s="72">
        <f t="shared" si="3"/>
        <v>772208400</v>
      </c>
      <c r="Z21" s="72">
        <f t="shared" si="20"/>
        <v>627876095.02803302</v>
      </c>
      <c r="AA21" s="39"/>
      <c r="AB21" s="72">
        <f t="shared" si="4"/>
        <v>0</v>
      </c>
      <c r="AC21" s="72">
        <f t="shared" si="21"/>
        <v>0</v>
      </c>
      <c r="AD21" s="39"/>
      <c r="AE21" s="72">
        <f t="shared" si="5"/>
        <v>0</v>
      </c>
      <c r="AF21" s="72">
        <f t="shared" si="22"/>
        <v>0</v>
      </c>
      <c r="AG21" s="39"/>
      <c r="AH21" s="72">
        <f t="shared" si="6"/>
        <v>620000000</v>
      </c>
      <c r="AI21" s="72">
        <f t="shared" si="23"/>
        <v>504116737.03287935</v>
      </c>
      <c r="AJ21" s="39"/>
      <c r="AK21" s="72">
        <f t="shared" si="7"/>
        <v>3325200000</v>
      </c>
      <c r="AL21" s="72">
        <f t="shared" si="24"/>
        <v>2703691893.5189199</v>
      </c>
      <c r="AM21" s="39"/>
      <c r="AN21" s="72">
        <f t="shared" si="8"/>
        <v>1524050000</v>
      </c>
      <c r="AO21" s="72">
        <f t="shared" si="25"/>
        <v>1239192117.8628383</v>
      </c>
      <c r="AP21" s="39"/>
      <c r="AQ21" s="72">
        <f t="shared" si="9"/>
        <v>656310000</v>
      </c>
      <c r="AR21" s="72">
        <f t="shared" si="26"/>
        <v>533640089.80975652</v>
      </c>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49.794518948939796</v>
      </c>
      <c r="AU21" s="39"/>
      <c r="AV21" s="72">
        <f t="shared" si="10"/>
        <v>33103981550.622749</v>
      </c>
      <c r="AW21" s="72">
        <f t="shared" si="27"/>
        <v>26916566390.478352</v>
      </c>
      <c r="AX21" s="39"/>
      <c r="AY21" s="40">
        <f>IF(ISERROR(IF($K21&lt;=$F$15,VLOOKUP($I21,'表4）CO2価格'!$A$7:$E$67,VLOOKUP($F$48,'表4）CO2価格'!$H$10:$I$12,2,0),0)*$F$8/1000,"")),0,IF($K21&lt;=$F$15,VLOOKUP($I21,'表4）CO2価格'!$A$7:$E$67,VLOOKUP($F$48,'表4）CO2価格'!$H$10:$I$12,2,0),0)*$F$8/1000,""))</f>
        <v>3.7663999999999804</v>
      </c>
      <c r="AZ21" s="39"/>
      <c r="BA21" s="42">
        <f t="shared" si="11"/>
        <v>6594796565.0765142</v>
      </c>
      <c r="BB21" s="72">
        <f t="shared" si="28"/>
        <v>5362173106.1000214</v>
      </c>
      <c r="BC21" s="39"/>
      <c r="BD21" s="72">
        <f t="shared" si="12"/>
        <v>0</v>
      </c>
      <c r="BE21" s="72">
        <f t="shared" si="29"/>
        <v>0</v>
      </c>
      <c r="BF21" s="39"/>
      <c r="BG21" s="42">
        <f t="shared" si="13"/>
        <v>0</v>
      </c>
      <c r="BH21" s="72">
        <f t="shared" si="30"/>
        <v>0</v>
      </c>
      <c r="BI21" s="39"/>
      <c r="BJ21" s="40" t="str">
        <f t="shared" si="31"/>
        <v/>
      </c>
      <c r="BK21" s="157" t="str">
        <f t="shared" si="32"/>
        <v/>
      </c>
      <c r="BL21" s="157" t="str">
        <f t="shared" si="14"/>
        <v/>
      </c>
      <c r="BM21" s="72"/>
      <c r="BN21" s="72" t="str">
        <f t="shared" si="33"/>
        <v/>
      </c>
      <c r="BO21" s="72" t="str">
        <f t="shared" si="34"/>
        <v/>
      </c>
      <c r="BP21" s="39"/>
      <c r="BQ21" s="72">
        <f t="shared" si="15"/>
        <v>5092319400</v>
      </c>
      <c r="BR21" s="72">
        <f t="shared" si="35"/>
        <v>4140521677.1890807</v>
      </c>
    </row>
    <row r="22" spans="3:70" ht="16.5" x14ac:dyDescent="0.15">
      <c r="D22" s="81" t="s">
        <v>111</v>
      </c>
      <c r="F22" s="90">
        <v>54.7</v>
      </c>
      <c r="G22" s="9" t="s">
        <v>372</v>
      </c>
      <c r="I22" s="459">
        <f t="shared" si="36"/>
        <v>2027</v>
      </c>
      <c r="K22" s="71">
        <f t="shared" si="37"/>
        <v>8</v>
      </c>
      <c r="L22" s="71"/>
      <c r="M22" s="7">
        <f t="shared" si="0"/>
        <v>0.78940923431393573</v>
      </c>
      <c r="N22" s="71"/>
      <c r="O22" s="10">
        <f t="shared" si="16"/>
        <v>38558625123.737022</v>
      </c>
      <c r="P22" s="29">
        <f t="shared" si="1"/>
        <v>0.16700000000000001</v>
      </c>
      <c r="Q22" s="71"/>
      <c r="R22" s="10">
        <f t="shared" si="17"/>
        <v>47308574646.964561</v>
      </c>
      <c r="S22" s="71"/>
      <c r="T22" s="10">
        <f t="shared" si="18"/>
        <v>47308574000</v>
      </c>
      <c r="U22" s="71"/>
      <c r="V22" s="10">
        <f t="shared" si="2"/>
        <v>6439290395.6640835</v>
      </c>
      <c r="W22" s="10">
        <f t="shared" si="19"/>
        <v>5083235300.766264</v>
      </c>
      <c r="X22" s="71"/>
      <c r="Y22" s="10">
        <f t="shared" si="3"/>
        <v>662320000</v>
      </c>
      <c r="Z22" s="10">
        <f t="shared" si="20"/>
        <v>522841524.07080591</v>
      </c>
      <c r="AA22" s="71"/>
      <c r="AB22" s="10">
        <f t="shared" si="4"/>
        <v>0</v>
      </c>
      <c r="AC22" s="10">
        <f t="shared" si="21"/>
        <v>0</v>
      </c>
      <c r="AD22" s="71"/>
      <c r="AE22" s="10">
        <f t="shared" si="5"/>
        <v>0</v>
      </c>
      <c r="AF22" s="10">
        <f t="shared" si="22"/>
        <v>0</v>
      </c>
      <c r="AG22" s="71"/>
      <c r="AH22" s="10">
        <f t="shared" si="6"/>
        <v>620000000</v>
      </c>
      <c r="AI22" s="10">
        <f t="shared" si="23"/>
        <v>489433725.27464014</v>
      </c>
      <c r="AJ22" s="71"/>
      <c r="AK22" s="10">
        <f t="shared" si="7"/>
        <v>3325200000</v>
      </c>
      <c r="AL22" s="10">
        <f t="shared" si="24"/>
        <v>2624943585.9406991</v>
      </c>
      <c r="AM22" s="71"/>
      <c r="AN22" s="10">
        <f t="shared" si="8"/>
        <v>1524050000</v>
      </c>
      <c r="AO22" s="10">
        <f t="shared" si="25"/>
        <v>1203099143.5561538</v>
      </c>
      <c r="AP22" s="71"/>
      <c r="AQ22" s="10">
        <f t="shared" si="9"/>
        <v>656310000</v>
      </c>
      <c r="AR22" s="10">
        <f t="shared" si="26"/>
        <v>518097174.57257915</v>
      </c>
      <c r="AS22" s="71"/>
      <c r="AT22" s="7">
        <f>IF($K22&lt;=$F$15,IF($F$40&lt;&gt;"",$F$40/1000,IF(ISERROR(VLOOKUP($F$3&amp;IF($G$4&lt;&gt;"",$G$4,"")&amp;IF($F$43&lt;&gt;"","_"&amp;$F$43,""),'表3）燃料価格'!$AF$9:$AG$25,2,0)),0,VLOOKUP($I22,'表3）燃料価格'!$A$6:$U$66,VLOOKUP($F$3&amp;IF($G$4&lt;&gt;"",$G$4,"")&amp;IF($F$43&lt;&gt;"","_"&amp;$F$43,""),'表3）燃料価格'!$AF$9:$AG$25,2,0)+VLOOKUP($F$41,'表3）燃料価格'!$AF$28:$AG$29,2,0),0)*IF($F$43="需要地価格",1,$F$8/$F$141))),"")</f>
        <v>49.720133386150593</v>
      </c>
      <c r="AU22" s="71"/>
      <c r="AV22" s="10">
        <f t="shared" si="10"/>
        <v>33057161875.352081</v>
      </c>
      <c r="AW22" s="10">
        <f t="shared" si="27"/>
        <v>26095628844.613514</v>
      </c>
      <c r="AX22" s="71"/>
      <c r="AY22" s="7">
        <f>IF(ISERROR(IF($K22&lt;=$F$15,VLOOKUP($I22,'表4）CO2価格'!$A$7:$E$67,VLOOKUP($F$48,'表4）CO2価格'!$H$10:$I$12,2,0),0)*$F$8/1000,"")),0,IF($K22&lt;=$F$15,VLOOKUP($I22,'表4）CO2価格'!$A$7:$E$67,VLOOKUP($F$48,'表4）CO2価格'!$H$10:$I$12,2,0),0)*$F$8/1000,""))</f>
        <v>3.8948000000000098</v>
      </c>
      <c r="AZ22" s="71"/>
      <c r="BA22" s="11">
        <f t="shared" si="11"/>
        <v>6819619175.24963</v>
      </c>
      <c r="BB22" s="10">
        <f t="shared" si="28"/>
        <v>5383470351.4464445</v>
      </c>
      <c r="BC22" s="71"/>
      <c r="BD22" s="10">
        <f t="shared" si="12"/>
        <v>0</v>
      </c>
      <c r="BE22" s="10">
        <f t="shared" si="29"/>
        <v>0</v>
      </c>
      <c r="BF22" s="71"/>
      <c r="BG22" s="11">
        <f t="shared" si="13"/>
        <v>0</v>
      </c>
      <c r="BH22" s="10">
        <f t="shared" si="30"/>
        <v>0</v>
      </c>
      <c r="BJ22" s="7" t="str">
        <f t="shared" si="31"/>
        <v/>
      </c>
      <c r="BK22" s="158" t="str">
        <f t="shared" si="32"/>
        <v/>
      </c>
      <c r="BL22" s="158" t="str">
        <f t="shared" si="14"/>
        <v/>
      </c>
      <c r="BM22" s="10"/>
      <c r="BN22" s="10" t="str">
        <f t="shared" si="33"/>
        <v/>
      </c>
      <c r="BO22" s="10" t="str">
        <f t="shared" si="34"/>
        <v/>
      </c>
      <c r="BQ22" s="10">
        <f t="shared" si="15"/>
        <v>5092319400</v>
      </c>
      <c r="BR22" s="10">
        <f t="shared" si="35"/>
        <v>4019923958.4360008</v>
      </c>
    </row>
    <row r="23" spans="3:70" x14ac:dyDescent="0.15">
      <c r="D23" s="81" t="s">
        <v>112</v>
      </c>
      <c r="F23" s="67">
        <v>54.5</v>
      </c>
      <c r="G23" s="81" t="s">
        <v>172</v>
      </c>
      <c r="I23" s="458">
        <f t="shared" si="36"/>
        <v>2028</v>
      </c>
      <c r="J23" s="470"/>
      <c r="K23" s="39">
        <f t="shared" si="37"/>
        <v>9</v>
      </c>
      <c r="L23" s="39"/>
      <c r="M23" s="40">
        <f t="shared" si="0"/>
        <v>0.76641673234362695</v>
      </c>
      <c r="N23" s="39"/>
      <c r="O23" s="72">
        <f t="shared" si="16"/>
        <v>32119334728.072937</v>
      </c>
      <c r="P23" s="41">
        <f t="shared" si="1"/>
        <v>0.16700000000000001</v>
      </c>
      <c r="Q23" s="39"/>
      <c r="R23" s="72">
        <f t="shared" si="17"/>
        <v>40576370442.88266</v>
      </c>
      <c r="S23" s="39"/>
      <c r="T23" s="72">
        <f t="shared" si="18"/>
        <v>40576370000</v>
      </c>
      <c r="U23" s="39"/>
      <c r="V23" s="72">
        <f t="shared" si="2"/>
        <v>5363928899.5881805</v>
      </c>
      <c r="W23" s="72">
        <f t="shared" si="19"/>
        <v>4111004859.7459202</v>
      </c>
      <c r="X23" s="39"/>
      <c r="Y23" s="72">
        <f t="shared" si="3"/>
        <v>568069100</v>
      </c>
      <c r="Z23" s="72">
        <f t="shared" si="20"/>
        <v>435377663.36738503</v>
      </c>
      <c r="AA23" s="39"/>
      <c r="AB23" s="72">
        <f t="shared" si="4"/>
        <v>0</v>
      </c>
      <c r="AC23" s="72">
        <f t="shared" si="21"/>
        <v>0</v>
      </c>
      <c r="AD23" s="39"/>
      <c r="AE23" s="72">
        <f t="shared" si="5"/>
        <v>0</v>
      </c>
      <c r="AF23" s="72">
        <f t="shared" si="22"/>
        <v>0</v>
      </c>
      <c r="AG23" s="39"/>
      <c r="AH23" s="72">
        <f t="shared" si="6"/>
        <v>620000000</v>
      </c>
      <c r="AI23" s="72">
        <f t="shared" si="23"/>
        <v>475178374.05304873</v>
      </c>
      <c r="AJ23" s="39"/>
      <c r="AK23" s="72">
        <f t="shared" si="7"/>
        <v>3325200000</v>
      </c>
      <c r="AL23" s="72">
        <f t="shared" si="24"/>
        <v>2548488918.3890285</v>
      </c>
      <c r="AM23" s="39"/>
      <c r="AN23" s="72">
        <f t="shared" si="8"/>
        <v>1524050000</v>
      </c>
      <c r="AO23" s="72">
        <f t="shared" si="25"/>
        <v>1168057420.9283047</v>
      </c>
      <c r="AP23" s="39"/>
      <c r="AQ23" s="72">
        <f t="shared" si="9"/>
        <v>656310000</v>
      </c>
      <c r="AR23" s="72">
        <f t="shared" si="26"/>
        <v>503006965.60444582</v>
      </c>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49.645747823361397</v>
      </c>
      <c r="AU23" s="39"/>
      <c r="AV23" s="72">
        <f t="shared" si="10"/>
        <v>33010342200.081417</v>
      </c>
      <c r="AW23" s="72">
        <f t="shared" si="27"/>
        <v>25299678602.531334</v>
      </c>
      <c r="AX23" s="39"/>
      <c r="AY23" s="40">
        <f>IF(ISERROR(IF($K23&lt;=$F$15,VLOOKUP($I23,'表4）CO2価格'!$A$7:$E$67,VLOOKUP($F$48,'表4）CO2価格'!$H$10:$I$12,2,0),0)*$F$8/1000,"")),0,IF($K23&lt;=$F$15,VLOOKUP($I23,'表4）CO2価格'!$A$7:$E$67,VLOOKUP($F$48,'表4）CO2価格'!$H$10:$I$12,2,0),0)*$F$8/1000,""))</f>
        <v>4.0231999999999903</v>
      </c>
      <c r="AZ23" s="39"/>
      <c r="BA23" s="42">
        <f t="shared" si="11"/>
        <v>7044441785.4226599</v>
      </c>
      <c r="BB23" s="72">
        <f t="shared" si="28"/>
        <v>5398978054.3685398</v>
      </c>
      <c r="BC23" s="39"/>
      <c r="BD23" s="72">
        <f t="shared" si="12"/>
        <v>0</v>
      </c>
      <c r="BE23" s="72">
        <f t="shared" si="29"/>
        <v>0</v>
      </c>
      <c r="BF23" s="39"/>
      <c r="BG23" s="42">
        <f t="shared" si="13"/>
        <v>0</v>
      </c>
      <c r="BH23" s="72">
        <f t="shared" si="30"/>
        <v>0</v>
      </c>
      <c r="BI23" s="39"/>
      <c r="BJ23" s="40" t="str">
        <f t="shared" si="31"/>
        <v/>
      </c>
      <c r="BK23" s="157" t="str">
        <f t="shared" si="32"/>
        <v/>
      </c>
      <c r="BL23" s="157" t="str">
        <f t="shared" si="14"/>
        <v/>
      </c>
      <c r="BM23" s="72"/>
      <c r="BN23" s="72" t="str">
        <f t="shared" si="33"/>
        <v/>
      </c>
      <c r="BO23" s="72" t="str">
        <f t="shared" si="34"/>
        <v/>
      </c>
      <c r="BP23" s="39"/>
      <c r="BQ23" s="72">
        <f t="shared" si="15"/>
        <v>5092319400</v>
      </c>
      <c r="BR23" s="72">
        <f t="shared" si="35"/>
        <v>3902838794.5980592</v>
      </c>
    </row>
    <row r="24" spans="3:70" x14ac:dyDescent="0.15">
      <c r="D24" s="81" t="s">
        <v>113</v>
      </c>
      <c r="F24" s="68">
        <v>2.2999999999999998</v>
      </c>
      <c r="G24" s="81" t="s">
        <v>172</v>
      </c>
      <c r="I24" s="459">
        <f t="shared" si="36"/>
        <v>2029</v>
      </c>
      <c r="K24" s="71">
        <f t="shared" si="37"/>
        <v>10</v>
      </c>
      <c r="L24" s="71"/>
      <c r="M24" s="7">
        <f t="shared" si="0"/>
        <v>0.74409391489672516</v>
      </c>
      <c r="N24" s="71"/>
      <c r="O24" s="10">
        <f t="shared" si="16"/>
        <v>26755405828.484756</v>
      </c>
      <c r="P24" s="29">
        <f t="shared" si="1"/>
        <v>0.16700000000000001</v>
      </c>
      <c r="Q24" s="71"/>
      <c r="R24" s="10">
        <f t="shared" si="17"/>
        <v>34802186508.565239</v>
      </c>
      <c r="S24" s="71"/>
      <c r="T24" s="10">
        <f t="shared" si="18"/>
        <v>34802186000</v>
      </c>
      <c r="U24" s="71"/>
      <c r="V24" s="10">
        <f t="shared" si="2"/>
        <v>4468152773.3569546</v>
      </c>
      <c r="W24" s="10">
        <f t="shared" si="19"/>
        <v>3324725289.4838362</v>
      </c>
      <c r="X24" s="71"/>
      <c r="Y24" s="10">
        <f t="shared" si="3"/>
        <v>487230600</v>
      </c>
      <c r="Z24" s="10">
        <f t="shared" si="20"/>
        <v>362545324.61148036</v>
      </c>
      <c r="AA24" s="71"/>
      <c r="AB24" s="10">
        <f t="shared" si="4"/>
        <v>0</v>
      </c>
      <c r="AC24" s="10">
        <f t="shared" si="21"/>
        <v>0</v>
      </c>
      <c r="AD24" s="71"/>
      <c r="AE24" s="10">
        <f t="shared" si="5"/>
        <v>0</v>
      </c>
      <c r="AF24" s="10">
        <f t="shared" si="22"/>
        <v>0</v>
      </c>
      <c r="AG24" s="71"/>
      <c r="AH24" s="10">
        <f t="shared" si="6"/>
        <v>620000000</v>
      </c>
      <c r="AI24" s="10">
        <f t="shared" si="23"/>
        <v>461338227.2359696</v>
      </c>
      <c r="AJ24" s="71"/>
      <c r="AK24" s="10">
        <f t="shared" si="7"/>
        <v>3325200000</v>
      </c>
      <c r="AL24" s="10">
        <f t="shared" si="24"/>
        <v>2474261085.8145905</v>
      </c>
      <c r="AM24" s="71"/>
      <c r="AN24" s="10">
        <f t="shared" si="8"/>
        <v>1524050000</v>
      </c>
      <c r="AO24" s="10">
        <f t="shared" si="25"/>
        <v>1134036330.998354</v>
      </c>
      <c r="AP24" s="71"/>
      <c r="AQ24" s="10">
        <f t="shared" si="9"/>
        <v>656310000</v>
      </c>
      <c r="AR24" s="10">
        <f t="shared" si="26"/>
        <v>488356277.28586972</v>
      </c>
      <c r="AS24" s="71"/>
      <c r="AT24" s="7">
        <f>IF($K24&lt;=$F$15,IF($F$40&lt;&gt;"",$F$40/1000,IF(ISERROR(VLOOKUP($F$3&amp;IF($G$4&lt;&gt;"",$G$4,"")&amp;IF($F$43&lt;&gt;"","_"&amp;$F$43,""),'表3）燃料価格'!$AF$9:$AG$25,2,0)),0,VLOOKUP($I24,'表3）燃料価格'!$A$6:$U$66,VLOOKUP($F$3&amp;IF($G$4&lt;&gt;"",$G$4,"")&amp;IF($F$43&lt;&gt;"","_"&amp;$F$43,""),'表3）燃料価格'!$AF$9:$AG$25,2,0)+VLOOKUP($F$41,'表3）燃料価格'!$AF$28:$AG$29,2,0),0)*IF($F$43="需要地価格",1,$F$8/$F$141))),"")</f>
        <v>49.571362260572194</v>
      </c>
      <c r="AU24" s="71"/>
      <c r="AV24" s="10">
        <f t="shared" si="10"/>
        <v>32963522524.810745</v>
      </c>
      <c r="AW24" s="10">
        <f t="shared" si="27"/>
        <v>24527956524.272808</v>
      </c>
      <c r="AX24" s="71"/>
      <c r="AY24" s="7">
        <f>IF(ISERROR(IF($K24&lt;=$F$15,VLOOKUP($I24,'表4）CO2価格'!$A$7:$E$67,VLOOKUP($F$48,'表4）CO2価格'!$H$10:$I$12,2,0),0)*$F$8/1000,"")),0,IF($K24&lt;=$F$15,VLOOKUP($I24,'表4）CO2価格'!$A$7:$E$67,VLOOKUP($F$48,'表4）CO2価格'!$H$10:$I$12,2,0),0)*$F$8/1000,""))</f>
        <v>4.1515999999999709</v>
      </c>
      <c r="AZ24" s="71"/>
      <c r="BA24" s="11">
        <f t="shared" si="11"/>
        <v>7269264395.5956907</v>
      </c>
      <c r="BB24" s="10">
        <f t="shared" si="28"/>
        <v>5409015402.5381746</v>
      </c>
      <c r="BC24" s="71"/>
      <c r="BD24" s="10">
        <f t="shared" si="12"/>
        <v>0</v>
      </c>
      <c r="BE24" s="10">
        <f t="shared" si="29"/>
        <v>0</v>
      </c>
      <c r="BF24" s="71"/>
      <c r="BG24" s="11">
        <f t="shared" si="13"/>
        <v>0</v>
      </c>
      <c r="BH24" s="10">
        <f t="shared" si="30"/>
        <v>0</v>
      </c>
      <c r="BJ24" s="7" t="str">
        <f t="shared" si="31"/>
        <v/>
      </c>
      <c r="BK24" s="158" t="str">
        <f t="shared" si="32"/>
        <v/>
      </c>
      <c r="BL24" s="158" t="str">
        <f t="shared" si="14"/>
        <v/>
      </c>
      <c r="BM24" s="10"/>
      <c r="BN24" s="10" t="str">
        <f t="shared" si="33"/>
        <v/>
      </c>
      <c r="BO24" s="10" t="str">
        <f t="shared" si="34"/>
        <v/>
      </c>
      <c r="BQ24" s="10">
        <f t="shared" si="15"/>
        <v>5092319400</v>
      </c>
      <c r="BR24" s="10">
        <f t="shared" si="35"/>
        <v>3789163878.2505426</v>
      </c>
    </row>
    <row r="25" spans="3:70" x14ac:dyDescent="0.15">
      <c r="D25" s="81" t="s">
        <v>114</v>
      </c>
      <c r="F25" s="66">
        <v>1.4</v>
      </c>
      <c r="G25" s="81" t="s">
        <v>172</v>
      </c>
      <c r="I25" s="458">
        <f t="shared" si="36"/>
        <v>2030</v>
      </c>
      <c r="J25" s="470"/>
      <c r="K25" s="39">
        <f t="shared" si="37"/>
        <v>11</v>
      </c>
      <c r="L25" s="39"/>
      <c r="M25" s="40">
        <f t="shared" si="0"/>
        <v>0.72242127659876232</v>
      </c>
      <c r="N25" s="39"/>
      <c r="O25" s="72">
        <f t="shared" si="16"/>
        <v>22287253055.1278</v>
      </c>
      <c r="P25" s="41">
        <f t="shared" si="1"/>
        <v>0.2</v>
      </c>
      <c r="Q25" s="39"/>
      <c r="R25" s="72">
        <f t="shared" si="17"/>
        <v>29849692630.391754</v>
      </c>
      <c r="S25" s="39"/>
      <c r="T25" s="72">
        <f t="shared" si="18"/>
        <v>29849692000</v>
      </c>
      <c r="U25" s="39"/>
      <c r="V25" s="72">
        <f t="shared" si="2"/>
        <v>4457450611.0255604</v>
      </c>
      <c r="W25" s="72">
        <f t="shared" si="19"/>
        <v>3220157160.7930183</v>
      </c>
      <c r="X25" s="39"/>
      <c r="Y25" s="72">
        <f t="shared" si="3"/>
        <v>417895600</v>
      </c>
      <c r="Z25" s="72">
        <f t="shared" si="20"/>
        <v>301896672.83700573</v>
      </c>
      <c r="AA25" s="39"/>
      <c r="AB25" s="72">
        <f t="shared" si="4"/>
        <v>0</v>
      </c>
      <c r="AC25" s="72">
        <f t="shared" si="21"/>
        <v>0</v>
      </c>
      <c r="AD25" s="39"/>
      <c r="AE25" s="72">
        <f t="shared" si="5"/>
        <v>0</v>
      </c>
      <c r="AF25" s="72">
        <f t="shared" si="22"/>
        <v>0</v>
      </c>
      <c r="AG25" s="39"/>
      <c r="AH25" s="72">
        <f t="shared" si="6"/>
        <v>620000000</v>
      </c>
      <c r="AI25" s="72">
        <f t="shared" si="23"/>
        <v>447901191.49123263</v>
      </c>
      <c r="AJ25" s="39"/>
      <c r="AK25" s="72">
        <f t="shared" si="7"/>
        <v>3325200000</v>
      </c>
      <c r="AL25" s="72">
        <f t="shared" si="24"/>
        <v>2402195228.9462047</v>
      </c>
      <c r="AM25" s="39"/>
      <c r="AN25" s="72">
        <f t="shared" si="8"/>
        <v>1524050000</v>
      </c>
      <c r="AO25" s="72">
        <f t="shared" si="25"/>
        <v>1101006146.6003437</v>
      </c>
      <c r="AP25" s="39"/>
      <c r="AQ25" s="72">
        <f t="shared" si="9"/>
        <v>656310000</v>
      </c>
      <c r="AR25" s="72">
        <f t="shared" si="26"/>
        <v>474132308.04453367</v>
      </c>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49.496976697782991</v>
      </c>
      <c r="AU25" s="39"/>
      <c r="AV25" s="72">
        <f t="shared" si="10"/>
        <v>32916702849.540073</v>
      </c>
      <c r="AW25" s="72">
        <f t="shared" si="27"/>
        <v>23779726493.986858</v>
      </c>
      <c r="AX25" s="39"/>
      <c r="AY25" s="40">
        <f>IF(ISERROR(IF($K25&lt;=$F$15,VLOOKUP($I25,'表4）CO2価格'!$A$7:$E$67,VLOOKUP($F$48,'表4）CO2価格'!$H$10:$I$12,2,0),0)*$F$8/1000,"")),0,IF($K25&lt;=$F$15,VLOOKUP($I25,'表4）CO2価格'!$A$7:$E$67,VLOOKUP($F$48,'表4）CO2価格'!$H$10:$I$12,2,0),0)*$F$8/1000,""))</f>
        <v>4.28</v>
      </c>
      <c r="AZ25" s="39"/>
      <c r="BA25" s="42">
        <f t="shared" si="11"/>
        <v>7494087005.7688055</v>
      </c>
      <c r="BB25" s="72">
        <f t="shared" si="28"/>
        <v>5413887901.6496964</v>
      </c>
      <c r="BC25" s="39"/>
      <c r="BD25" s="72">
        <f t="shared" si="12"/>
        <v>0</v>
      </c>
      <c r="BE25" s="72">
        <f t="shared" si="29"/>
        <v>0</v>
      </c>
      <c r="BF25" s="39"/>
      <c r="BG25" s="42">
        <f t="shared" si="13"/>
        <v>0</v>
      </c>
      <c r="BH25" s="72">
        <f t="shared" si="30"/>
        <v>0</v>
      </c>
      <c r="BI25" s="39"/>
      <c r="BJ25" s="40" t="str">
        <f t="shared" si="31"/>
        <v/>
      </c>
      <c r="BK25" s="157" t="str">
        <f t="shared" si="32"/>
        <v/>
      </c>
      <c r="BL25" s="157" t="str">
        <f t="shared" si="14"/>
        <v/>
      </c>
      <c r="BM25" s="72"/>
      <c r="BN25" s="72" t="str">
        <f t="shared" si="33"/>
        <v/>
      </c>
      <c r="BO25" s="72" t="str">
        <f t="shared" si="34"/>
        <v/>
      </c>
      <c r="BP25" s="39"/>
      <c r="BQ25" s="72">
        <f t="shared" si="15"/>
        <v>5092319400</v>
      </c>
      <c r="BR25" s="72">
        <f t="shared" si="35"/>
        <v>3678799881.7966433</v>
      </c>
    </row>
    <row r="26" spans="3:70" x14ac:dyDescent="0.15">
      <c r="D26" s="81" t="s">
        <v>115</v>
      </c>
      <c r="F26" s="59"/>
      <c r="G26" s="81" t="s">
        <v>175</v>
      </c>
      <c r="I26" s="459">
        <f t="shared" si="36"/>
        <v>2031</v>
      </c>
      <c r="K26" s="71">
        <f t="shared" si="37"/>
        <v>12</v>
      </c>
      <c r="L26" s="71"/>
      <c r="M26" s="7">
        <f t="shared" si="0"/>
        <v>0.70137988019297326</v>
      </c>
      <c r="N26" s="71"/>
      <c r="O26" s="10">
        <f t="shared" si="16"/>
        <v>17829802444.102242</v>
      </c>
      <c r="P26" s="29" t="str">
        <f t="shared" si="1"/>
        <v>-</v>
      </c>
      <c r="Q26" s="71"/>
      <c r="R26" s="10">
        <f t="shared" si="17"/>
        <v>25601958943.285847</v>
      </c>
      <c r="S26" s="71"/>
      <c r="T26" s="10">
        <f t="shared" si="18"/>
        <v>25601958000</v>
      </c>
      <c r="U26" s="71"/>
      <c r="V26" s="10">
        <f t="shared" si="2"/>
        <v>4457450611.0255604</v>
      </c>
      <c r="W26" s="10">
        <f t="shared" si="19"/>
        <v>3126366175.5272031</v>
      </c>
      <c r="X26" s="71"/>
      <c r="Y26" s="10">
        <f t="shared" si="3"/>
        <v>358427400</v>
      </c>
      <c r="Z26" s="10">
        <f t="shared" si="20"/>
        <v>251393766.86987892</v>
      </c>
      <c r="AA26" s="71"/>
      <c r="AB26" s="10">
        <f t="shared" si="4"/>
        <v>0</v>
      </c>
      <c r="AC26" s="10">
        <f t="shared" si="21"/>
        <v>0</v>
      </c>
      <c r="AD26" s="71"/>
      <c r="AE26" s="10">
        <f t="shared" si="5"/>
        <v>0</v>
      </c>
      <c r="AF26" s="10">
        <f t="shared" si="22"/>
        <v>0</v>
      </c>
      <c r="AG26" s="71"/>
      <c r="AH26" s="10">
        <f t="shared" si="6"/>
        <v>620000000</v>
      </c>
      <c r="AI26" s="10">
        <f t="shared" si="23"/>
        <v>434855525.71964341</v>
      </c>
      <c r="AJ26" s="71"/>
      <c r="AK26" s="10">
        <f t="shared" si="7"/>
        <v>3325200000</v>
      </c>
      <c r="AL26" s="10">
        <f t="shared" si="24"/>
        <v>2332228377.6176748</v>
      </c>
      <c r="AM26" s="71"/>
      <c r="AN26" s="10">
        <f t="shared" si="8"/>
        <v>1524050000</v>
      </c>
      <c r="AO26" s="10">
        <f t="shared" si="25"/>
        <v>1068938006.4081008</v>
      </c>
      <c r="AP26" s="71"/>
      <c r="AQ26" s="10">
        <f t="shared" si="9"/>
        <v>656310000</v>
      </c>
      <c r="AR26" s="10">
        <f t="shared" si="26"/>
        <v>460322629.16945028</v>
      </c>
      <c r="AS26" s="71"/>
      <c r="AT26" s="7">
        <f>IF($K26&lt;=$F$15,IF($F$40&lt;&gt;"",$F$40/1000,IF(ISERROR(VLOOKUP($F$3&amp;IF($G$4&lt;&gt;"",$G$4,"")&amp;IF($F$43&lt;&gt;"","_"&amp;$F$43,""),'表3）燃料価格'!$AF$9:$AG$25,2,0)),0,VLOOKUP($I26,'表3）燃料価格'!$A$6:$U$66,VLOOKUP($F$3&amp;IF($G$4&lt;&gt;"",$G$4,"")&amp;IF($F$43&lt;&gt;"","_"&amp;$F$43,""),'表3）燃料価格'!$AF$9:$AG$25,2,0)+VLOOKUP($F$41,'表3）燃料価格'!$AF$28:$AG$29,2,0),0)*IF($F$43="需要地価格",1,$F$8/$F$141))),"")</f>
        <v>49.422591134993795</v>
      </c>
      <c r="AU26" s="71"/>
      <c r="AV26" s="10">
        <f t="shared" si="10"/>
        <v>32869883174.269409</v>
      </c>
      <c r="AW26" s="10">
        <f t="shared" si="27"/>
        <v>23054274722.726105</v>
      </c>
      <c r="AX26" s="71"/>
      <c r="AY26" s="7">
        <f>IF(ISERROR(IF($K26&lt;=$F$15,VLOOKUP($I26,'表4）CO2価格'!$A$7:$E$67,VLOOKUP($F$48,'表4）CO2価格'!$H$10:$I$12,2,0),0)*$F$8/1000,"")),0,IF($K26&lt;=$F$15,VLOOKUP($I26,'表4）CO2価格'!$A$7:$E$67,VLOOKUP($F$48,'表4）CO2価格'!$H$10:$I$12,2,0),0)*$F$8/1000,""))</f>
        <v>4.4083999999999808</v>
      </c>
      <c r="AZ26" s="71"/>
      <c r="BA26" s="11">
        <f t="shared" si="11"/>
        <v>7718909615.9418364</v>
      </c>
      <c r="BB26" s="10">
        <f t="shared" si="28"/>
        <v>5413887901.6496744</v>
      </c>
      <c r="BC26" s="71"/>
      <c r="BD26" s="10">
        <f t="shared" si="12"/>
        <v>0</v>
      </c>
      <c r="BE26" s="10">
        <f t="shared" si="29"/>
        <v>0</v>
      </c>
      <c r="BF26" s="71"/>
      <c r="BG26" s="11">
        <f t="shared" si="13"/>
        <v>0</v>
      </c>
      <c r="BH26" s="10">
        <f t="shared" si="30"/>
        <v>0</v>
      </c>
      <c r="BJ26" s="7" t="str">
        <f t="shared" si="31"/>
        <v/>
      </c>
      <c r="BK26" s="158" t="str">
        <f t="shared" si="32"/>
        <v/>
      </c>
      <c r="BL26" s="158" t="str">
        <f t="shared" si="14"/>
        <v/>
      </c>
      <c r="BM26" s="10"/>
      <c r="BN26" s="10" t="str">
        <f t="shared" si="33"/>
        <v/>
      </c>
      <c r="BO26" s="10" t="str">
        <f t="shared" si="34"/>
        <v/>
      </c>
      <c r="BQ26" s="10">
        <f t="shared" si="15"/>
        <v>5092319400</v>
      </c>
      <c r="BR26" s="10">
        <f t="shared" si="35"/>
        <v>3571650370.6763535</v>
      </c>
    </row>
    <row r="27" spans="3:70" x14ac:dyDescent="0.15">
      <c r="D27" s="82" t="s">
        <v>86</v>
      </c>
      <c r="F27" s="59">
        <f>F117*5%/10^8</f>
        <v>69.275000000000006</v>
      </c>
      <c r="G27" s="81" t="s">
        <v>176</v>
      </c>
      <c r="I27" s="458">
        <f t="shared" si="36"/>
        <v>2032</v>
      </c>
      <c r="J27" s="470"/>
      <c r="K27" s="39">
        <f t="shared" si="37"/>
        <v>13</v>
      </c>
      <c r="L27" s="39"/>
      <c r="M27" s="40">
        <f t="shared" si="0"/>
        <v>0.68095133999317792</v>
      </c>
      <c r="N27" s="39"/>
      <c r="O27" s="72">
        <f t="shared" si="16"/>
        <v>13372351833.076681</v>
      </c>
      <c r="P27" s="41" t="str">
        <f t="shared" si="1"/>
        <v>-</v>
      </c>
      <c r="Q27" s="39"/>
      <c r="R27" s="72">
        <f t="shared" si="17"/>
        <v>21958695181.548733</v>
      </c>
      <c r="S27" s="39"/>
      <c r="T27" s="72">
        <f t="shared" si="18"/>
        <v>21958695000</v>
      </c>
      <c r="U27" s="39"/>
      <c r="V27" s="72">
        <f t="shared" si="2"/>
        <v>4457450611.0255604</v>
      </c>
      <c r="W27" s="72">
        <f t="shared" si="19"/>
        <v>3035306966.5312648</v>
      </c>
      <c r="X27" s="39"/>
      <c r="Y27" s="72">
        <f t="shared" si="3"/>
        <v>307421700</v>
      </c>
      <c r="Z27" s="72">
        <f t="shared" si="20"/>
        <v>209339218.55798075</v>
      </c>
      <c r="AA27" s="39"/>
      <c r="AB27" s="72">
        <f t="shared" si="4"/>
        <v>0</v>
      </c>
      <c r="AC27" s="72">
        <f t="shared" si="21"/>
        <v>0</v>
      </c>
      <c r="AD27" s="39"/>
      <c r="AE27" s="72">
        <f t="shared" si="5"/>
        <v>0</v>
      </c>
      <c r="AF27" s="72">
        <f t="shared" si="22"/>
        <v>0</v>
      </c>
      <c r="AG27" s="39"/>
      <c r="AH27" s="72">
        <f t="shared" si="6"/>
        <v>620000000</v>
      </c>
      <c r="AI27" s="72">
        <f t="shared" si="23"/>
        <v>422189830.79577029</v>
      </c>
      <c r="AJ27" s="39"/>
      <c r="AK27" s="72">
        <f t="shared" si="7"/>
        <v>3325200000</v>
      </c>
      <c r="AL27" s="72">
        <f t="shared" si="24"/>
        <v>2264299395.7453151</v>
      </c>
      <c r="AM27" s="39"/>
      <c r="AN27" s="72">
        <f t="shared" si="8"/>
        <v>1524050000</v>
      </c>
      <c r="AO27" s="72">
        <f t="shared" si="25"/>
        <v>1037803889.7166028</v>
      </c>
      <c r="AP27" s="39"/>
      <c r="AQ27" s="72">
        <f t="shared" si="9"/>
        <v>656310000</v>
      </c>
      <c r="AR27" s="72">
        <f t="shared" si="26"/>
        <v>446915173.95092261</v>
      </c>
      <c r="AS27" s="39"/>
      <c r="AT27" s="40">
        <f>IF($K27&lt;=$F$15,IF($F$40&lt;&gt;"",$F$40/1000,IF(ISERROR(VLOOKUP($F$3&amp;IF($G$4&lt;&gt;"",$G$4,"")&amp;IF($F$43&lt;&gt;"","_"&amp;$F$43,""),'表3）燃料価格'!$AF$9:$AG$25,2,0)),0,VLOOKUP($I27,'表3）燃料価格'!$A$6:$U$66,VLOOKUP($F$3&amp;IF($G$4&lt;&gt;"",$G$4,"")&amp;IF($F$43&lt;&gt;"","_"&amp;$F$43,""),'表3）燃料価格'!$AF$9:$AG$25,2,0)+VLOOKUP($F$41,'表3）燃料価格'!$AF$28:$AG$29,2,0),0)*IF($F$43="需要地価格",1,$F$8/$F$141))),"")</f>
        <v>49.348205572204598</v>
      </c>
      <c r="AU27" s="39"/>
      <c r="AV27" s="72">
        <f t="shared" si="10"/>
        <v>32823063498.998745</v>
      </c>
      <c r="AW27" s="72">
        <f t="shared" si="27"/>
        <v>22350909072.324364</v>
      </c>
      <c r="AX27" s="39"/>
      <c r="AY27" s="40">
        <f>IF(ISERROR(IF($K27&lt;=$F$15,VLOOKUP($I27,'表4）CO2価格'!$A$7:$E$67,VLOOKUP($F$48,'表4）CO2価格'!$H$10:$I$12,2,0),0)*$F$8/1000,"")),0,IF($K27&lt;=$F$15,VLOOKUP($I27,'表4）CO2価格'!$A$7:$E$67,VLOOKUP($F$48,'表4）CO2価格'!$H$10:$I$12,2,0),0)*$F$8/1000,""))</f>
        <v>4.5368000000000102</v>
      </c>
      <c r="AZ27" s="39"/>
      <c r="BA27" s="42">
        <f t="shared" si="11"/>
        <v>7943732226.1149521</v>
      </c>
      <c r="BB27" s="72">
        <f t="shared" si="28"/>
        <v>5409295103.9199667</v>
      </c>
      <c r="BC27" s="39"/>
      <c r="BD27" s="72">
        <f t="shared" si="12"/>
        <v>0</v>
      </c>
      <c r="BE27" s="72">
        <f t="shared" si="29"/>
        <v>0</v>
      </c>
      <c r="BF27" s="39"/>
      <c r="BG27" s="42">
        <f t="shared" si="13"/>
        <v>0</v>
      </c>
      <c r="BH27" s="72">
        <f t="shared" si="30"/>
        <v>0</v>
      </c>
      <c r="BI27" s="39"/>
      <c r="BJ27" s="40" t="str">
        <f t="shared" si="31"/>
        <v/>
      </c>
      <c r="BK27" s="157" t="str">
        <f t="shared" si="32"/>
        <v/>
      </c>
      <c r="BL27" s="157" t="str">
        <f t="shared" si="14"/>
        <v/>
      </c>
      <c r="BM27" s="72"/>
      <c r="BN27" s="72" t="str">
        <f t="shared" si="33"/>
        <v/>
      </c>
      <c r="BO27" s="72" t="str">
        <f t="shared" si="34"/>
        <v/>
      </c>
      <c r="BP27" s="39"/>
      <c r="BQ27" s="72">
        <f t="shared" si="15"/>
        <v>5092319400</v>
      </c>
      <c r="BR27" s="72">
        <f t="shared" si="35"/>
        <v>3467621719.1032557</v>
      </c>
    </row>
    <row r="28" spans="3:70" x14ac:dyDescent="0.15">
      <c r="D28" s="81" t="s">
        <v>116</v>
      </c>
      <c r="F28" s="59">
        <v>1</v>
      </c>
      <c r="G28" s="81" t="s">
        <v>108</v>
      </c>
      <c r="I28" s="459">
        <f t="shared" si="36"/>
        <v>2033</v>
      </c>
      <c r="K28" s="71">
        <f t="shared" si="37"/>
        <v>14</v>
      </c>
      <c r="L28" s="71"/>
      <c r="M28" s="7">
        <f t="shared" si="0"/>
        <v>0.66111780581861923</v>
      </c>
      <c r="N28" s="71"/>
      <c r="O28" s="10">
        <f t="shared" si="16"/>
        <v>8914901222.0511208</v>
      </c>
      <c r="P28" s="29" t="str">
        <f t="shared" si="1"/>
        <v>-</v>
      </c>
      <c r="Q28" s="71"/>
      <c r="R28" s="10">
        <f t="shared" si="17"/>
        <v>18833882795.621979</v>
      </c>
      <c r="S28" s="71"/>
      <c r="T28" s="10">
        <f t="shared" si="18"/>
        <v>18833882000</v>
      </c>
      <c r="U28" s="71"/>
      <c r="V28" s="10">
        <f t="shared" si="2"/>
        <v>4457450611.0255604</v>
      </c>
      <c r="W28" s="10">
        <f t="shared" si="19"/>
        <v>2946899967.5060821</v>
      </c>
      <c r="X28" s="71"/>
      <c r="Y28" s="10">
        <f t="shared" si="3"/>
        <v>263674300</v>
      </c>
      <c r="Z28" s="10">
        <f t="shared" si="20"/>
        <v>174319774.66676036</v>
      </c>
      <c r="AA28" s="71"/>
      <c r="AB28" s="10">
        <f t="shared" si="4"/>
        <v>0</v>
      </c>
      <c r="AC28" s="10">
        <f t="shared" si="21"/>
        <v>0</v>
      </c>
      <c r="AD28" s="71"/>
      <c r="AE28" s="10">
        <f t="shared" si="5"/>
        <v>0</v>
      </c>
      <c r="AF28" s="10">
        <f t="shared" si="22"/>
        <v>0</v>
      </c>
      <c r="AG28" s="71"/>
      <c r="AH28" s="10">
        <f t="shared" si="6"/>
        <v>620000000</v>
      </c>
      <c r="AI28" s="10">
        <f t="shared" si="23"/>
        <v>409893039.60754395</v>
      </c>
      <c r="AJ28" s="71"/>
      <c r="AK28" s="10">
        <f t="shared" si="7"/>
        <v>3325200000</v>
      </c>
      <c r="AL28" s="10">
        <f t="shared" si="24"/>
        <v>2198348927.9080725</v>
      </c>
      <c r="AM28" s="71"/>
      <c r="AN28" s="10">
        <f t="shared" si="8"/>
        <v>1524050000</v>
      </c>
      <c r="AO28" s="10">
        <f t="shared" si="25"/>
        <v>1007576591.9578667</v>
      </c>
      <c r="AP28" s="71"/>
      <c r="AQ28" s="10">
        <f t="shared" si="9"/>
        <v>656310000</v>
      </c>
      <c r="AR28" s="10">
        <f t="shared" si="26"/>
        <v>433898227.13681799</v>
      </c>
      <c r="AS28" s="71"/>
      <c r="AT28" s="7">
        <f>IF($K28&lt;=$F$15,IF($F$40&lt;&gt;"",$F$40/1000,IF(ISERROR(VLOOKUP($F$3&amp;IF($G$4&lt;&gt;"",$G$4,"")&amp;IF($F$43&lt;&gt;"","_"&amp;$F$43,""),'表3）燃料価格'!$AF$9:$AG$25,2,0)),0,VLOOKUP($I28,'表3）燃料価格'!$A$6:$U$66,VLOOKUP($F$3&amp;IF($G$4&lt;&gt;"",$G$4,"")&amp;IF($F$43&lt;&gt;"","_"&amp;$F$43,""),'表3）燃料価格'!$AF$9:$AG$25,2,0)+VLOOKUP($F$41,'表3）燃料価格'!$AF$28:$AG$29,2,0),0)*IF($F$43="需要地価格",1,$F$8/$F$141))),"")</f>
        <v>49.27382000941541</v>
      </c>
      <c r="AU28" s="71"/>
      <c r="AV28" s="10">
        <f t="shared" si="10"/>
        <v>32776243823.728081</v>
      </c>
      <c r="AW28" s="10">
        <f t="shared" si="27"/>
        <v>21668958399.719181</v>
      </c>
      <c r="AX28" s="71"/>
      <c r="AY28" s="7">
        <f>IF(ISERROR(IF($K28&lt;=$F$15,VLOOKUP($I28,'表4）CO2価格'!$A$7:$E$67,VLOOKUP($F$48,'表4）CO2価格'!$H$10:$I$12,2,0),0)*$F$8/1000,"")),0,IF($K28&lt;=$F$15,VLOOKUP($I28,'表4）CO2価格'!$A$7:$E$67,VLOOKUP($F$48,'表4）CO2価格'!$H$10:$I$12,2,0),0)*$F$8/1000,""))</f>
        <v>4.6651999999999898</v>
      </c>
      <c r="AZ28" s="71"/>
      <c r="BA28" s="11">
        <f t="shared" si="11"/>
        <v>8168554836.2879801</v>
      </c>
      <c r="BB28" s="10">
        <f t="shared" si="28"/>
        <v>5400377050.0757799</v>
      </c>
      <c r="BC28" s="71"/>
      <c r="BD28" s="10">
        <f t="shared" si="12"/>
        <v>0</v>
      </c>
      <c r="BE28" s="10">
        <f t="shared" si="29"/>
        <v>0</v>
      </c>
      <c r="BF28" s="71"/>
      <c r="BG28" s="11">
        <f t="shared" si="13"/>
        <v>0</v>
      </c>
      <c r="BH28" s="10">
        <f t="shared" si="30"/>
        <v>0</v>
      </c>
      <c r="BJ28" s="7" t="str">
        <f t="shared" si="31"/>
        <v/>
      </c>
      <c r="BK28" s="158" t="str">
        <f t="shared" si="32"/>
        <v/>
      </c>
      <c r="BL28" s="158" t="str">
        <f t="shared" si="14"/>
        <v/>
      </c>
      <c r="BM28" s="10"/>
      <c r="BN28" s="10" t="str">
        <f t="shared" si="33"/>
        <v/>
      </c>
      <c r="BO28" s="10" t="str">
        <f t="shared" si="34"/>
        <v/>
      </c>
      <c r="BQ28" s="10">
        <f t="shared" si="15"/>
        <v>5092319400</v>
      </c>
      <c r="BR28" s="10">
        <f t="shared" si="35"/>
        <v>3366623028.2555876</v>
      </c>
    </row>
    <row r="29" spans="3:70" x14ac:dyDescent="0.15">
      <c r="D29" s="81" t="s">
        <v>117</v>
      </c>
      <c r="F29" s="59"/>
      <c r="G29" s="81" t="s">
        <v>176</v>
      </c>
      <c r="I29" s="458">
        <f t="shared" si="36"/>
        <v>2034</v>
      </c>
      <c r="J29" s="470"/>
      <c r="K29" s="39">
        <f t="shared" si="37"/>
        <v>15</v>
      </c>
      <c r="L29" s="39"/>
      <c r="M29" s="40">
        <f t="shared" si="0"/>
        <v>0.64186194739671765</v>
      </c>
      <c r="N29" s="39"/>
      <c r="O29" s="72">
        <f t="shared" si="16"/>
        <v>4457450611.0255604</v>
      </c>
      <c r="P29" s="41" t="str">
        <f t="shared" si="1"/>
        <v>-</v>
      </c>
      <c r="Q29" s="39"/>
      <c r="R29" s="72">
        <f t="shared" si="17"/>
        <v>16153744028.346575</v>
      </c>
      <c r="S29" s="39"/>
      <c r="T29" s="72">
        <f t="shared" si="18"/>
        <v>16153744000</v>
      </c>
      <c r="U29" s="39"/>
      <c r="V29" s="72">
        <f t="shared" si="2"/>
        <v>4457450611.0255604</v>
      </c>
      <c r="W29" s="72">
        <f t="shared" si="19"/>
        <v>2861067929.6175551</v>
      </c>
      <c r="X29" s="39"/>
      <c r="Y29" s="72">
        <f t="shared" si="3"/>
        <v>226152400</v>
      </c>
      <c r="Z29" s="72">
        <f t="shared" si="20"/>
        <v>145158619.87244144</v>
      </c>
      <c r="AA29" s="39"/>
      <c r="AB29" s="72">
        <f t="shared" si="4"/>
        <v>0</v>
      </c>
      <c r="AC29" s="72">
        <f t="shared" si="21"/>
        <v>0</v>
      </c>
      <c r="AD29" s="39"/>
      <c r="AE29" s="72">
        <f t="shared" si="5"/>
        <v>0</v>
      </c>
      <c r="AF29" s="72">
        <f t="shared" si="22"/>
        <v>0</v>
      </c>
      <c r="AG29" s="39"/>
      <c r="AH29" s="72">
        <f t="shared" si="6"/>
        <v>620000000</v>
      </c>
      <c r="AI29" s="72">
        <f t="shared" si="23"/>
        <v>397954407.38596493</v>
      </c>
      <c r="AJ29" s="39"/>
      <c r="AK29" s="72">
        <f t="shared" si="7"/>
        <v>3325200000</v>
      </c>
      <c r="AL29" s="72">
        <f t="shared" si="24"/>
        <v>2134319347.4835656</v>
      </c>
      <c r="AM29" s="39"/>
      <c r="AN29" s="72">
        <f t="shared" si="8"/>
        <v>1524050000</v>
      </c>
      <c r="AO29" s="72">
        <f t="shared" si="25"/>
        <v>978229700.92996752</v>
      </c>
      <c r="AP29" s="39"/>
      <c r="AQ29" s="72">
        <f t="shared" si="9"/>
        <v>656310000</v>
      </c>
      <c r="AR29" s="72">
        <f t="shared" si="26"/>
        <v>421260414.69593978</v>
      </c>
      <c r="AS29" s="39"/>
      <c r="AT29" s="40">
        <f>IF($K29&lt;=$F$15,IF($F$40&lt;&gt;"",$F$40/1000,IF(ISERROR(VLOOKUP($F$3&amp;IF($G$4&lt;&gt;"",$G$4,"")&amp;IF($F$43&lt;&gt;"","_"&amp;$F$43,""),'表3）燃料価格'!$AF$9:$AG$25,2,0)),0,VLOOKUP($I29,'表3）燃料価格'!$A$6:$U$66,VLOOKUP($F$3&amp;IF($G$4&lt;&gt;"",$G$4,"")&amp;IF($F$43&lt;&gt;"","_"&amp;$F$43,""),'表3）燃料価格'!$AF$9:$AG$25,2,0)+VLOOKUP($F$41,'表3）燃料価格'!$AF$28:$AG$29,2,0),0)*IF($F$43="需要地価格",1,$F$8/$F$141))),"")</f>
        <v>49.199434446626192</v>
      </c>
      <c r="AU29" s="39"/>
      <c r="AV29" s="72">
        <f t="shared" si="10"/>
        <v>32729424148.457401</v>
      </c>
      <c r="AW29" s="72">
        <f t="shared" si="27"/>
        <v>21007771921.102024</v>
      </c>
      <c r="AX29" s="39"/>
      <c r="AY29" s="40">
        <f>IF(ISERROR(IF($K29&lt;=$F$15,VLOOKUP($I29,'表4）CO2価格'!$A$7:$E$67,VLOOKUP($F$48,'表4）CO2価格'!$H$10:$I$12,2,0),0)*$F$8/1000,"")),0,IF($K29&lt;=$F$15,VLOOKUP($I29,'表4）CO2価格'!$A$7:$E$67,VLOOKUP($F$48,'表4）CO2価格'!$H$10:$I$12,2,0),0)*$F$8/1000,""))</f>
        <v>4.7935999999999712</v>
      </c>
      <c r="AZ29" s="39"/>
      <c r="BA29" s="42">
        <f t="shared" si="11"/>
        <v>8393377446.4610119</v>
      </c>
      <c r="BB29" s="72">
        <f t="shared" si="28"/>
        <v>5387389593.0211544</v>
      </c>
      <c r="BC29" s="39"/>
      <c r="BD29" s="72">
        <f t="shared" si="12"/>
        <v>0</v>
      </c>
      <c r="BE29" s="72">
        <f t="shared" si="29"/>
        <v>0</v>
      </c>
      <c r="BF29" s="39"/>
      <c r="BG29" s="42">
        <f t="shared" si="13"/>
        <v>0</v>
      </c>
      <c r="BH29" s="72">
        <f t="shared" si="30"/>
        <v>0</v>
      </c>
      <c r="BI29" s="39"/>
      <c r="BJ29" s="40" t="str">
        <f t="shared" si="31"/>
        <v/>
      </c>
      <c r="BK29" s="157" t="str">
        <f t="shared" si="32"/>
        <v/>
      </c>
      <c r="BL29" s="157" t="str">
        <f t="shared" si="14"/>
        <v/>
      </c>
      <c r="BM29" s="72"/>
      <c r="BN29" s="72" t="str">
        <f t="shared" si="33"/>
        <v/>
      </c>
      <c r="BO29" s="72" t="str">
        <f t="shared" si="34"/>
        <v/>
      </c>
      <c r="BP29" s="39"/>
      <c r="BQ29" s="72">
        <f t="shared" si="15"/>
        <v>5092319400</v>
      </c>
      <c r="BR29" s="72">
        <f t="shared" si="35"/>
        <v>3268566046.8500848</v>
      </c>
    </row>
    <row r="30" spans="3:70" x14ac:dyDescent="0.15">
      <c r="I30" s="459">
        <f t="shared" si="36"/>
        <v>2035</v>
      </c>
      <c r="K30" s="71">
        <f t="shared" si="37"/>
        <v>16</v>
      </c>
      <c r="L30" s="71"/>
      <c r="M30" s="7">
        <f t="shared" si="0"/>
        <v>0.62316693922011435</v>
      </c>
      <c r="N30" s="71"/>
      <c r="O30" s="10">
        <f t="shared" si="16"/>
        <v>0</v>
      </c>
      <c r="P30" s="29" t="str">
        <f t="shared" si="1"/>
        <v>-</v>
      </c>
      <c r="Q30" s="71"/>
      <c r="R30" s="10">
        <f t="shared" si="17"/>
        <v>13855000000.000006</v>
      </c>
      <c r="S30" s="71"/>
      <c r="T30" s="10">
        <f t="shared" si="18"/>
        <v>13855000000</v>
      </c>
      <c r="U30" s="71"/>
      <c r="V30" s="10">
        <f t="shared" si="2"/>
        <v>0</v>
      </c>
      <c r="W30" s="10">
        <f t="shared" si="19"/>
        <v>0</v>
      </c>
      <c r="X30" s="71"/>
      <c r="Y30" s="10">
        <f t="shared" si="3"/>
        <v>193970000</v>
      </c>
      <c r="Z30" s="10">
        <f t="shared" si="20"/>
        <v>120875691.20052558</v>
      </c>
      <c r="AA30" s="71"/>
      <c r="AB30" s="10">
        <f t="shared" si="4"/>
        <v>0</v>
      </c>
      <c r="AC30" s="10">
        <f t="shared" si="21"/>
        <v>0</v>
      </c>
      <c r="AD30" s="71"/>
      <c r="AE30" s="10">
        <f t="shared" si="5"/>
        <v>0</v>
      </c>
      <c r="AF30" s="10">
        <f t="shared" si="22"/>
        <v>0</v>
      </c>
      <c r="AG30" s="71"/>
      <c r="AH30" s="10">
        <f t="shared" si="6"/>
        <v>620000000</v>
      </c>
      <c r="AI30" s="10">
        <f t="shared" si="23"/>
        <v>386363502.31647092</v>
      </c>
      <c r="AJ30" s="71"/>
      <c r="AK30" s="10">
        <f t="shared" si="7"/>
        <v>3325200000</v>
      </c>
      <c r="AL30" s="10">
        <f t="shared" si="24"/>
        <v>2072154706.2947242</v>
      </c>
      <c r="AM30" s="71"/>
      <c r="AN30" s="10">
        <f t="shared" si="8"/>
        <v>1524050000</v>
      </c>
      <c r="AO30" s="10">
        <f t="shared" si="25"/>
        <v>949737573.71841526</v>
      </c>
      <c r="AP30" s="71"/>
      <c r="AQ30" s="10">
        <f t="shared" si="9"/>
        <v>656310000</v>
      </c>
      <c r="AR30" s="10">
        <f t="shared" si="26"/>
        <v>408990693.87955326</v>
      </c>
      <c r="AS30" s="71"/>
      <c r="AT30" s="7">
        <f>IF($K30&lt;=$F$15,IF($F$40&lt;&gt;"",$F$40/1000,IF(ISERROR(VLOOKUP($F$3&amp;IF($G$4&lt;&gt;"",$G$4,"")&amp;IF($F$43&lt;&gt;"","_"&amp;$F$43,""),'表3）燃料価格'!$AF$9:$AG$25,2,0)),0,VLOOKUP($I30,'表3）燃料価格'!$A$6:$U$66,VLOOKUP($F$3&amp;IF($G$4&lt;&gt;"",$G$4,"")&amp;IF($F$43&lt;&gt;"","_"&amp;$F$43,""),'表3）燃料価格'!$AF$9:$AG$25,2,0)+VLOOKUP($F$41,'表3）燃料価格'!$AF$28:$AG$29,2,0),0)*IF($F$43="需要地価格",1,$F$8/$F$141))),"")</f>
        <v>49.125048883837003</v>
      </c>
      <c r="AU30" s="71"/>
      <c r="AV30" s="10">
        <f t="shared" si="10"/>
        <v>32682604473.186741</v>
      </c>
      <c r="AW30" s="10">
        <f t="shared" si="27"/>
        <v>20366718595.297398</v>
      </c>
      <c r="AX30" s="71"/>
      <c r="AY30" s="7">
        <f>IF(ISERROR(IF($K30&lt;=$F$15,VLOOKUP($I30,'表4）CO2価格'!$A$7:$E$67,VLOOKUP($F$48,'表4）CO2価格'!$H$10:$I$12,2,0),0)*$F$8/1000,"")),0,IF($K30&lt;=$F$15,VLOOKUP($I30,'表4）CO2価格'!$A$7:$E$67,VLOOKUP($F$48,'表4）CO2価格'!$H$10:$I$12,2,0),0)*$F$8/1000,""))</f>
        <v>4.9219999999999997</v>
      </c>
      <c r="AZ30" s="71"/>
      <c r="BA30" s="11">
        <f t="shared" si="11"/>
        <v>8618200056.6341267</v>
      </c>
      <c r="BB30" s="10">
        <f t="shared" si="28"/>
        <v>5370577350.8793049</v>
      </c>
      <c r="BC30" s="71"/>
      <c r="BD30" s="10">
        <f t="shared" si="12"/>
        <v>0</v>
      </c>
      <c r="BE30" s="10">
        <f t="shared" si="29"/>
        <v>0</v>
      </c>
      <c r="BF30" s="71"/>
      <c r="BG30" s="11">
        <f t="shared" si="13"/>
        <v>0</v>
      </c>
      <c r="BH30" s="10">
        <f t="shared" si="30"/>
        <v>0</v>
      </c>
      <c r="BJ30" s="7" t="str">
        <f t="shared" si="31"/>
        <v/>
      </c>
      <c r="BK30" s="158" t="str">
        <f t="shared" si="32"/>
        <v/>
      </c>
      <c r="BL30" s="158" t="str">
        <f t="shared" si="14"/>
        <v/>
      </c>
      <c r="BM30" s="10"/>
      <c r="BN30" s="10" t="str">
        <f t="shared" si="33"/>
        <v/>
      </c>
      <c r="BO30" s="10" t="str">
        <f t="shared" si="34"/>
        <v/>
      </c>
      <c r="BQ30" s="10">
        <f t="shared" si="15"/>
        <v>5092319400</v>
      </c>
      <c r="BR30" s="10">
        <f t="shared" si="35"/>
        <v>3173365094.0292091</v>
      </c>
    </row>
    <row r="31" spans="3:70" x14ac:dyDescent="0.15">
      <c r="C31" s="89" t="s">
        <v>507</v>
      </c>
      <c r="D31" s="101"/>
      <c r="E31" s="101"/>
      <c r="F31" s="89"/>
      <c r="G31" s="101"/>
      <c r="I31" s="458">
        <f t="shared" si="36"/>
        <v>2036</v>
      </c>
      <c r="J31" s="470"/>
      <c r="K31" s="39">
        <f t="shared" si="37"/>
        <v>17</v>
      </c>
      <c r="L31" s="39"/>
      <c r="M31" s="40">
        <f t="shared" si="0"/>
        <v>0.60501644584477121</v>
      </c>
      <c r="N31" s="39"/>
      <c r="O31" s="72">
        <f t="shared" si="16"/>
        <v>0</v>
      </c>
      <c r="P31" s="41" t="str">
        <f t="shared" si="1"/>
        <v>-</v>
      </c>
      <c r="Q31" s="39"/>
      <c r="R31" s="72">
        <f t="shared" si="17"/>
        <v>11883376674.976843</v>
      </c>
      <c r="S31" s="39"/>
      <c r="T31" s="72">
        <f t="shared" si="18"/>
        <v>11883376000</v>
      </c>
      <c r="U31" s="39"/>
      <c r="V31" s="72">
        <f t="shared" si="2"/>
        <v>0</v>
      </c>
      <c r="W31" s="72">
        <f t="shared" si="19"/>
        <v>0</v>
      </c>
      <c r="X31" s="39"/>
      <c r="Y31" s="72">
        <f t="shared" si="3"/>
        <v>166367200</v>
      </c>
      <c r="Z31" s="72">
        <f t="shared" si="20"/>
        <v>100654892.04914622</v>
      </c>
      <c r="AA31" s="39"/>
      <c r="AB31" s="72">
        <f t="shared" si="4"/>
        <v>0</v>
      </c>
      <c r="AC31" s="72">
        <f t="shared" si="21"/>
        <v>0</v>
      </c>
      <c r="AD31" s="39"/>
      <c r="AE31" s="72">
        <f t="shared" si="5"/>
        <v>0</v>
      </c>
      <c r="AF31" s="72">
        <f t="shared" si="22"/>
        <v>0</v>
      </c>
      <c r="AG31" s="39"/>
      <c r="AH31" s="72">
        <f t="shared" si="6"/>
        <v>620000000</v>
      </c>
      <c r="AI31" s="72">
        <f t="shared" si="23"/>
        <v>375110196.42375815</v>
      </c>
      <c r="AJ31" s="39"/>
      <c r="AK31" s="72">
        <f t="shared" si="7"/>
        <v>3325200000</v>
      </c>
      <c r="AL31" s="72">
        <f t="shared" si="24"/>
        <v>2011800685.7230332</v>
      </c>
      <c r="AM31" s="39"/>
      <c r="AN31" s="72">
        <f t="shared" si="8"/>
        <v>1524050000</v>
      </c>
      <c r="AO31" s="72">
        <f t="shared" si="25"/>
        <v>922075314.28972352</v>
      </c>
      <c r="AP31" s="39"/>
      <c r="AQ31" s="72">
        <f t="shared" si="9"/>
        <v>656310000</v>
      </c>
      <c r="AR31" s="72">
        <f t="shared" si="26"/>
        <v>397078343.57238179</v>
      </c>
      <c r="AS31" s="39"/>
      <c r="AT31" s="40">
        <f>IF($K31&lt;=$F$15,IF($F$40&lt;&gt;"",$F$40/1000,IF(ISERROR(VLOOKUP($F$3&amp;IF($G$4&lt;&gt;"",$G$4,"")&amp;IF($F$43&lt;&gt;"","_"&amp;$F$43,""),'表3）燃料価格'!$AF$9:$AG$25,2,0)),0,VLOOKUP($I31,'表3）燃料価格'!$A$6:$U$66,VLOOKUP($F$3&amp;IF($G$4&lt;&gt;"",$G$4,"")&amp;IF($F$43&lt;&gt;"","_"&amp;$F$43,""),'表3）燃料価格'!$AF$9:$AG$25,2,0)+VLOOKUP($F$41,'表3）燃料価格'!$AF$28:$AG$29,2,0),0)*IF($F$43="需要地価格",1,$F$8/$F$141))),"")</f>
        <v>49.050663321047786</v>
      </c>
      <c r="AU31" s="39"/>
      <c r="AV31" s="72">
        <f t="shared" si="10"/>
        <v>32635784797.916061</v>
      </c>
      <c r="AW31" s="72">
        <f t="shared" si="27"/>
        <v>19745186525.789989</v>
      </c>
      <c r="AX31" s="39"/>
      <c r="AY31" s="40">
        <f>IF(ISERROR(IF($K31&lt;=$F$15,VLOOKUP($I31,'表4）CO2価格'!$A$7:$E$67,VLOOKUP($F$48,'表4）CO2価格'!$H$10:$I$12,2,0),0)*$F$8/1000,"")),0,IF($K31&lt;=$F$15,VLOOKUP($I31,'表4）CO2価格'!$A$7:$E$67,VLOOKUP($F$48,'表4）CO2価格'!$H$10:$I$12,2,0),0)*$F$8/1000,""))</f>
        <v>5.0503999999999802</v>
      </c>
      <c r="AZ31" s="39"/>
      <c r="BA31" s="42">
        <f t="shared" si="11"/>
        <v>8843022666.8071556</v>
      </c>
      <c r="BB31" s="72">
        <f t="shared" si="28"/>
        <v>5350174144.3964157</v>
      </c>
      <c r="BC31" s="39"/>
      <c r="BD31" s="72">
        <f t="shared" si="12"/>
        <v>0</v>
      </c>
      <c r="BE31" s="72">
        <f t="shared" si="29"/>
        <v>0</v>
      </c>
      <c r="BF31" s="39"/>
      <c r="BG31" s="42">
        <f t="shared" si="13"/>
        <v>0</v>
      </c>
      <c r="BH31" s="72">
        <f t="shared" si="30"/>
        <v>0</v>
      </c>
      <c r="BI31" s="39"/>
      <c r="BJ31" s="40" t="str">
        <f t="shared" si="31"/>
        <v/>
      </c>
      <c r="BK31" s="157" t="str">
        <f t="shared" si="32"/>
        <v/>
      </c>
      <c r="BL31" s="157" t="str">
        <f t="shared" si="14"/>
        <v/>
      </c>
      <c r="BM31" s="72"/>
      <c r="BN31" s="72" t="str">
        <f t="shared" si="33"/>
        <v/>
      </c>
      <c r="BO31" s="72" t="str">
        <f t="shared" si="34"/>
        <v/>
      </c>
      <c r="BP31" s="39"/>
      <c r="BQ31" s="72">
        <f t="shared" si="15"/>
        <v>5092319400</v>
      </c>
      <c r="BR31" s="72">
        <f t="shared" si="35"/>
        <v>3080936984.4943776</v>
      </c>
    </row>
    <row r="32" spans="3:70" x14ac:dyDescent="0.15">
      <c r="I32" s="459">
        <f t="shared" si="36"/>
        <v>2037</v>
      </c>
      <c r="K32" s="71">
        <f t="shared" si="37"/>
        <v>18</v>
      </c>
      <c r="L32" s="71"/>
      <c r="M32" s="7">
        <f t="shared" si="0"/>
        <v>0.5873946076162827</v>
      </c>
      <c r="N32" s="71"/>
      <c r="O32" s="10">
        <f t="shared" si="16"/>
        <v>0</v>
      </c>
      <c r="P32" s="29" t="str">
        <f t="shared" si="1"/>
        <v>-</v>
      </c>
      <c r="Q32" s="71"/>
      <c r="R32" s="10">
        <f t="shared" si="17"/>
        <v>10192323435.538334</v>
      </c>
      <c r="S32" s="71"/>
      <c r="T32" s="10">
        <f t="shared" si="18"/>
        <v>10192323000</v>
      </c>
      <c r="U32" s="71"/>
      <c r="V32" s="10">
        <f t="shared" si="2"/>
        <v>0</v>
      </c>
      <c r="W32" s="10">
        <f t="shared" si="19"/>
        <v>0</v>
      </c>
      <c r="X32" s="71"/>
      <c r="Y32" s="10">
        <f t="shared" si="3"/>
        <v>142692500</v>
      </c>
      <c r="Z32" s="10">
        <f t="shared" si="20"/>
        <v>83816805.047286421</v>
      </c>
      <c r="AA32" s="71"/>
      <c r="AB32" s="10">
        <f t="shared" si="4"/>
        <v>0</v>
      </c>
      <c r="AC32" s="10">
        <f t="shared" si="21"/>
        <v>0</v>
      </c>
      <c r="AD32" s="71"/>
      <c r="AE32" s="10">
        <f t="shared" si="5"/>
        <v>0</v>
      </c>
      <c r="AF32" s="10">
        <f t="shared" si="22"/>
        <v>0</v>
      </c>
      <c r="AG32" s="71"/>
      <c r="AH32" s="10">
        <f t="shared" si="6"/>
        <v>620000000</v>
      </c>
      <c r="AI32" s="10">
        <f t="shared" si="23"/>
        <v>364184656.72209525</v>
      </c>
      <c r="AJ32" s="71"/>
      <c r="AK32" s="10">
        <f t="shared" si="7"/>
        <v>3325200000</v>
      </c>
      <c r="AL32" s="10">
        <f t="shared" si="24"/>
        <v>1953204549.2456632</v>
      </c>
      <c r="AM32" s="71"/>
      <c r="AN32" s="10">
        <f t="shared" si="8"/>
        <v>1524050000</v>
      </c>
      <c r="AO32" s="10">
        <f t="shared" si="25"/>
        <v>895218751.73759568</v>
      </c>
      <c r="AP32" s="71"/>
      <c r="AQ32" s="10">
        <f t="shared" si="9"/>
        <v>656310000</v>
      </c>
      <c r="AR32" s="10">
        <f t="shared" si="26"/>
        <v>385512954.9246425</v>
      </c>
      <c r="AS32" s="71"/>
      <c r="AT32" s="7">
        <f>IF($K32&lt;=$F$15,IF($F$40&lt;&gt;"",$F$40/1000,IF(ISERROR(VLOOKUP($F$3&amp;IF($G$4&lt;&gt;"",$G$4,"")&amp;IF($F$43&lt;&gt;"","_"&amp;$F$43,""),'表3）燃料価格'!$AF$9:$AG$25,2,0)),0,VLOOKUP($I32,'表3）燃料価格'!$A$6:$U$66,VLOOKUP($F$3&amp;IF($G$4&lt;&gt;"",$G$4,"")&amp;IF($F$43&lt;&gt;"","_"&amp;$F$43,""),'表3）燃料価格'!$AF$9:$AG$25,2,0)+VLOOKUP($F$41,'表3）燃料価格'!$AF$28:$AG$29,2,0),0)*IF($F$43="需要地価格",1,$F$8/$F$141))),"")</f>
        <v>48.976277758258597</v>
      </c>
      <c r="AU32" s="71"/>
      <c r="AV32" s="10">
        <f t="shared" si="10"/>
        <v>32588965122.645401</v>
      </c>
      <c r="AW32" s="10">
        <f t="shared" si="27"/>
        <v>19142582380.837017</v>
      </c>
      <c r="AX32" s="71"/>
      <c r="AY32" s="7">
        <f>IF(ISERROR(IF($K32&lt;=$F$15,VLOOKUP($I32,'表4）CO2価格'!$A$7:$E$67,VLOOKUP($F$48,'表4）CO2価格'!$H$10:$I$12,2,0),0)*$F$8/1000,"")),0,IF($K32&lt;=$F$15,VLOOKUP($I32,'表4）CO2価格'!$A$7:$E$67,VLOOKUP($F$48,'表4）CO2価格'!$H$10:$I$12,2,0),0)*$F$8/1000,""))</f>
        <v>5.1788000000000105</v>
      </c>
      <c r="AZ32" s="71"/>
      <c r="BA32" s="11">
        <f t="shared" si="11"/>
        <v>9067845276.9802723</v>
      </c>
      <c r="BB32" s="10">
        <f t="shared" si="28"/>
        <v>5326403418.3969898</v>
      </c>
      <c r="BC32" s="71"/>
      <c r="BD32" s="10">
        <f t="shared" si="12"/>
        <v>0</v>
      </c>
      <c r="BE32" s="10">
        <f t="shared" si="29"/>
        <v>0</v>
      </c>
      <c r="BF32" s="71"/>
      <c r="BG32" s="11">
        <f t="shared" si="13"/>
        <v>0</v>
      </c>
      <c r="BH32" s="10">
        <f t="shared" si="30"/>
        <v>0</v>
      </c>
      <c r="BJ32" s="7" t="str">
        <f t="shared" si="31"/>
        <v/>
      </c>
      <c r="BK32" s="158" t="str">
        <f t="shared" si="32"/>
        <v/>
      </c>
      <c r="BL32" s="158" t="str">
        <f t="shared" si="14"/>
        <v/>
      </c>
      <c r="BM32" s="10"/>
      <c r="BN32" s="10" t="str">
        <f t="shared" si="33"/>
        <v/>
      </c>
      <c r="BO32" s="10" t="str">
        <f t="shared" si="34"/>
        <v/>
      </c>
      <c r="BQ32" s="10">
        <f t="shared" si="15"/>
        <v>5092319400</v>
      </c>
      <c r="BR32" s="10">
        <f t="shared" si="35"/>
        <v>2991200955.8197842</v>
      </c>
    </row>
    <row r="33" spans="3:70" x14ac:dyDescent="0.15">
      <c r="D33" s="81" t="s">
        <v>88</v>
      </c>
      <c r="F33" s="66">
        <v>6.2</v>
      </c>
      <c r="G33" s="81" t="s">
        <v>119</v>
      </c>
      <c r="I33" s="458">
        <f t="shared" si="36"/>
        <v>2038</v>
      </c>
      <c r="J33" s="470"/>
      <c r="K33" s="39">
        <f t="shared" si="37"/>
        <v>19</v>
      </c>
      <c r="L33" s="39"/>
      <c r="M33" s="40">
        <f t="shared" si="0"/>
        <v>0.57028602681192497</v>
      </c>
      <c r="N33" s="39"/>
      <c r="O33" s="72">
        <f t="shared" si="16"/>
        <v>0</v>
      </c>
      <c r="P33" s="41" t="str">
        <f t="shared" si="1"/>
        <v>-</v>
      </c>
      <c r="Q33" s="39"/>
      <c r="R33" s="72">
        <f t="shared" si="17"/>
        <v>8741914007.7730808</v>
      </c>
      <c r="S33" s="39"/>
      <c r="T33" s="72">
        <f t="shared" si="18"/>
        <v>8741914000</v>
      </c>
      <c r="U33" s="39"/>
      <c r="V33" s="72">
        <f t="shared" si="2"/>
        <v>0</v>
      </c>
      <c r="W33" s="72">
        <f t="shared" si="19"/>
        <v>0</v>
      </c>
      <c r="X33" s="39"/>
      <c r="Y33" s="72">
        <f t="shared" si="3"/>
        <v>122386700</v>
      </c>
      <c r="Z33" s="72">
        <f t="shared" si="20"/>
        <v>69795424.877623022</v>
      </c>
      <c r="AA33" s="39"/>
      <c r="AB33" s="72">
        <f t="shared" si="4"/>
        <v>0</v>
      </c>
      <c r="AC33" s="72">
        <f t="shared" si="21"/>
        <v>0</v>
      </c>
      <c r="AD33" s="39"/>
      <c r="AE33" s="72">
        <f t="shared" si="5"/>
        <v>0</v>
      </c>
      <c r="AF33" s="72">
        <f t="shared" si="22"/>
        <v>0</v>
      </c>
      <c r="AG33" s="39"/>
      <c r="AH33" s="72">
        <f t="shared" si="6"/>
        <v>620000000</v>
      </c>
      <c r="AI33" s="72">
        <f t="shared" si="23"/>
        <v>353577336.62339348</v>
      </c>
      <c r="AJ33" s="39"/>
      <c r="AK33" s="72">
        <f t="shared" si="7"/>
        <v>3325200000</v>
      </c>
      <c r="AL33" s="72">
        <f t="shared" si="24"/>
        <v>1896315096.3550129</v>
      </c>
      <c r="AM33" s="39"/>
      <c r="AN33" s="72">
        <f t="shared" si="8"/>
        <v>1524050000</v>
      </c>
      <c r="AO33" s="72">
        <f t="shared" si="25"/>
        <v>869144419.16271424</v>
      </c>
      <c r="AP33" s="39"/>
      <c r="AQ33" s="72">
        <f t="shared" si="9"/>
        <v>656310000</v>
      </c>
      <c r="AR33" s="72">
        <f t="shared" si="26"/>
        <v>374284422.25693446</v>
      </c>
      <c r="AS33" s="39"/>
      <c r="AT33" s="40">
        <f>IF($K33&lt;=$F$15,IF($F$40&lt;&gt;"",$F$40/1000,IF(ISERROR(VLOOKUP($F$3&amp;IF($G$4&lt;&gt;"",$G$4,"")&amp;IF($F$43&lt;&gt;"","_"&amp;$F$43,""),'表3）燃料価格'!$AF$9:$AG$25,2,0)),0,VLOOKUP($I33,'表3）燃料価格'!$A$6:$U$66,VLOOKUP($F$3&amp;IF($G$4&lt;&gt;"",$G$4,"")&amp;IF($F$43&lt;&gt;"","_"&amp;$F$43,""),'表3）燃料価格'!$AF$9:$AG$25,2,0)+VLOOKUP($F$41,'表3）燃料価格'!$AF$28:$AG$29,2,0),0)*IF($F$43="需要地価格",1,$F$8/$F$141))),"")</f>
        <v>48.901892195469408</v>
      </c>
      <c r="AU33" s="39"/>
      <c r="AV33" s="72">
        <f t="shared" si="10"/>
        <v>32542145447.374741</v>
      </c>
      <c r="AW33" s="72">
        <f t="shared" si="27"/>
        <v>18558330831.119114</v>
      </c>
      <c r="AX33" s="39"/>
      <c r="AY33" s="40">
        <f>IF(ISERROR(IF($K33&lt;=$F$15,VLOOKUP($I33,'表4）CO2価格'!$A$7:$E$67,VLOOKUP($F$48,'表4）CO2価格'!$H$10:$I$12,2,0),0)*$F$8/1000,"")),0,IF($K33&lt;=$F$15,VLOOKUP($I33,'表4）CO2価格'!$A$7:$E$67,VLOOKUP($F$48,'表4）CO2価格'!$H$10:$I$12,2,0),0)*$F$8/1000,""))</f>
        <v>5.3071999999999901</v>
      </c>
      <c r="AZ33" s="39"/>
      <c r="BA33" s="42">
        <f t="shared" si="11"/>
        <v>9292667887.1533012</v>
      </c>
      <c r="BB33" s="72">
        <f t="shared" si="28"/>
        <v>5299478647.8474216</v>
      </c>
      <c r="BC33" s="39"/>
      <c r="BD33" s="72">
        <f t="shared" si="12"/>
        <v>0</v>
      </c>
      <c r="BE33" s="72">
        <f t="shared" si="29"/>
        <v>0</v>
      </c>
      <c r="BF33" s="39"/>
      <c r="BG33" s="42">
        <f t="shared" si="13"/>
        <v>0</v>
      </c>
      <c r="BH33" s="72">
        <f t="shared" si="30"/>
        <v>0</v>
      </c>
      <c r="BI33" s="39"/>
      <c r="BJ33" s="40" t="str">
        <f t="shared" si="31"/>
        <v/>
      </c>
      <c r="BK33" s="157" t="str">
        <f t="shared" si="32"/>
        <v/>
      </c>
      <c r="BL33" s="157" t="str">
        <f t="shared" si="14"/>
        <v/>
      </c>
      <c r="BM33" s="72"/>
      <c r="BN33" s="72" t="str">
        <f t="shared" si="33"/>
        <v/>
      </c>
      <c r="BO33" s="72" t="str">
        <f t="shared" si="34"/>
        <v/>
      </c>
      <c r="BP33" s="39"/>
      <c r="BQ33" s="72">
        <f t="shared" si="15"/>
        <v>5092319400</v>
      </c>
      <c r="BR33" s="72">
        <f t="shared" si="35"/>
        <v>2904078597.8832855</v>
      </c>
    </row>
    <row r="34" spans="3:70" x14ac:dyDescent="0.15">
      <c r="D34" s="81" t="s">
        <v>120</v>
      </c>
      <c r="F34" s="66">
        <v>2.4</v>
      </c>
      <c r="G34" s="81" t="s">
        <v>121</v>
      </c>
      <c r="I34" s="459">
        <f t="shared" si="36"/>
        <v>2039</v>
      </c>
      <c r="K34" s="71">
        <f t="shared" si="37"/>
        <v>20</v>
      </c>
      <c r="L34" s="71"/>
      <c r="M34" s="7">
        <f t="shared" si="0"/>
        <v>0.55367575418633497</v>
      </c>
      <c r="N34" s="71"/>
      <c r="O34" s="10">
        <f t="shared" si="16"/>
        <v>0</v>
      </c>
      <c r="P34" s="29" t="str">
        <f t="shared" si="1"/>
        <v>-</v>
      </c>
      <c r="Q34" s="71"/>
      <c r="R34" s="10">
        <f t="shared" si="17"/>
        <v>7497903790.3012571</v>
      </c>
      <c r="S34" s="71"/>
      <c r="T34" s="10">
        <f t="shared" si="18"/>
        <v>7497903000</v>
      </c>
      <c r="U34" s="71"/>
      <c r="V34" s="10">
        <f t="shared" si="2"/>
        <v>0</v>
      </c>
      <c r="W34" s="10">
        <f t="shared" si="19"/>
        <v>0</v>
      </c>
      <c r="X34" s="71"/>
      <c r="Y34" s="10">
        <f t="shared" si="3"/>
        <v>104970600</v>
      </c>
      <c r="Z34" s="10">
        <f t="shared" si="20"/>
        <v>58119676.122392096</v>
      </c>
      <c r="AA34" s="71"/>
      <c r="AB34" s="10">
        <f t="shared" si="4"/>
        <v>0</v>
      </c>
      <c r="AC34" s="10">
        <f t="shared" si="21"/>
        <v>0</v>
      </c>
      <c r="AD34" s="71"/>
      <c r="AE34" s="10">
        <f t="shared" si="5"/>
        <v>0</v>
      </c>
      <c r="AF34" s="10">
        <f t="shared" si="22"/>
        <v>0</v>
      </c>
      <c r="AG34" s="71"/>
      <c r="AH34" s="10">
        <f t="shared" si="6"/>
        <v>620000000</v>
      </c>
      <c r="AI34" s="10">
        <f t="shared" si="23"/>
        <v>343278967.59552771</v>
      </c>
      <c r="AJ34" s="71"/>
      <c r="AK34" s="10">
        <f t="shared" si="7"/>
        <v>3325200000</v>
      </c>
      <c r="AL34" s="10">
        <f t="shared" si="24"/>
        <v>1841082617.820401</v>
      </c>
      <c r="AM34" s="71"/>
      <c r="AN34" s="10">
        <f t="shared" si="8"/>
        <v>1524050000</v>
      </c>
      <c r="AO34" s="10">
        <f t="shared" si="25"/>
        <v>843829533.16768384</v>
      </c>
      <c r="AP34" s="71"/>
      <c r="AQ34" s="10">
        <f t="shared" si="9"/>
        <v>656310000</v>
      </c>
      <c r="AR34" s="10">
        <f t="shared" si="26"/>
        <v>363382934.23003352</v>
      </c>
      <c r="AS34" s="71"/>
      <c r="AT34" s="7">
        <f>IF($K34&lt;=$F$15,IF($F$40&lt;&gt;"",$F$40/1000,IF(ISERROR(VLOOKUP($F$3&amp;IF($G$4&lt;&gt;"",$G$4,"")&amp;IF($F$43&lt;&gt;"","_"&amp;$F$43,""),'表3）燃料価格'!$AF$9:$AG$25,2,0)),0,VLOOKUP($I34,'表3）燃料価格'!$A$6:$U$66,VLOOKUP($F$3&amp;IF($G$4&lt;&gt;"",$G$4,"")&amp;IF($F$43&lt;&gt;"","_"&amp;$F$43,""),'表3）燃料価格'!$AF$9:$AG$25,2,0)+VLOOKUP($F$41,'表3）燃料価格'!$AF$28:$AG$29,2,0),0)*IF($F$43="需要地価格",1,$F$8/$F$141))),"")</f>
        <v>48.827506632680205</v>
      </c>
      <c r="AU34" s="71"/>
      <c r="AV34" s="10">
        <f t="shared" si="10"/>
        <v>32495325772.104069</v>
      </c>
      <c r="AW34" s="10">
        <f t="shared" si="27"/>
        <v>17991874004.400368</v>
      </c>
      <c r="AX34" s="71"/>
      <c r="AY34" s="7">
        <f>IF(ISERROR(IF($K34&lt;=$F$15,VLOOKUP($I34,'表4）CO2価格'!$A$7:$E$67,VLOOKUP($F$48,'表4）CO2価格'!$H$10:$I$12,2,0),0)*$F$8/1000,"")),0,IF($K34&lt;=$F$15,VLOOKUP($I34,'表4）CO2価格'!$A$7:$E$67,VLOOKUP($F$48,'表4）CO2価格'!$H$10:$I$12,2,0),0)*$F$8/1000,""))</f>
        <v>5.4355999999999716</v>
      </c>
      <c r="AZ34" s="71"/>
      <c r="BA34" s="11">
        <f t="shared" si="11"/>
        <v>9517490497.326334</v>
      </c>
      <c r="BB34" s="10">
        <f t="shared" si="28"/>
        <v>5269603729.0684347</v>
      </c>
      <c r="BC34" s="71"/>
      <c r="BD34" s="10">
        <f t="shared" si="12"/>
        <v>0</v>
      </c>
      <c r="BE34" s="10">
        <f t="shared" si="29"/>
        <v>0</v>
      </c>
      <c r="BF34" s="71"/>
      <c r="BG34" s="11">
        <f t="shared" si="13"/>
        <v>0</v>
      </c>
      <c r="BH34" s="10">
        <f t="shared" si="30"/>
        <v>0</v>
      </c>
      <c r="BJ34" s="7" t="str">
        <f t="shared" si="31"/>
        <v/>
      </c>
      <c r="BK34" s="158" t="str">
        <f t="shared" si="32"/>
        <v/>
      </c>
      <c r="BL34" s="158" t="str">
        <f t="shared" si="14"/>
        <v/>
      </c>
      <c r="BM34" s="10"/>
      <c r="BN34" s="10" t="str">
        <f t="shared" si="33"/>
        <v/>
      </c>
      <c r="BO34" s="10" t="str">
        <f t="shared" si="34"/>
        <v/>
      </c>
      <c r="BQ34" s="10">
        <f t="shared" si="15"/>
        <v>5092319400</v>
      </c>
      <c r="BR34" s="10">
        <f t="shared" si="35"/>
        <v>2819493784.352705</v>
      </c>
    </row>
    <row r="35" spans="3:70" x14ac:dyDescent="0.15">
      <c r="D35" s="81" t="s">
        <v>122</v>
      </c>
      <c r="F35" s="66">
        <v>1.1000000000000001</v>
      </c>
      <c r="G35" s="81" t="s">
        <v>121</v>
      </c>
      <c r="I35" s="458">
        <f t="shared" si="36"/>
        <v>2040</v>
      </c>
      <c r="J35" s="470"/>
      <c r="K35" s="39">
        <f t="shared" si="37"/>
        <v>21</v>
      </c>
      <c r="L35" s="39"/>
      <c r="M35" s="40">
        <f t="shared" si="0"/>
        <v>0.5375492759090631</v>
      </c>
      <c r="N35" s="39"/>
      <c r="O35" s="72">
        <f t="shared" si="16"/>
        <v>0</v>
      </c>
      <c r="P35" s="41" t="str">
        <f t="shared" si="1"/>
        <v>-</v>
      </c>
      <c r="Q35" s="39"/>
      <c r="R35" s="72">
        <f t="shared" si="17"/>
        <v>6927500000</v>
      </c>
      <c r="S35" s="39"/>
      <c r="T35" s="72">
        <f t="shared" si="18"/>
        <v>6927500000</v>
      </c>
      <c r="U35" s="39"/>
      <c r="V35" s="72">
        <f t="shared" si="2"/>
        <v>0</v>
      </c>
      <c r="W35" s="72">
        <f t="shared" si="19"/>
        <v>0</v>
      </c>
      <c r="X35" s="39"/>
      <c r="Y35" s="72">
        <f t="shared" si="3"/>
        <v>96985000</v>
      </c>
      <c r="Z35" s="72">
        <f t="shared" si="20"/>
        <v>52134216.524040483</v>
      </c>
      <c r="AA35" s="39"/>
      <c r="AB35" s="72">
        <f t="shared" si="4"/>
        <v>0</v>
      </c>
      <c r="AC35" s="72">
        <f t="shared" si="21"/>
        <v>0</v>
      </c>
      <c r="AD35" s="39"/>
      <c r="AE35" s="72">
        <f t="shared" si="5"/>
        <v>0</v>
      </c>
      <c r="AF35" s="72">
        <f t="shared" si="22"/>
        <v>0</v>
      </c>
      <c r="AG35" s="39"/>
      <c r="AH35" s="72">
        <f t="shared" si="6"/>
        <v>620000000</v>
      </c>
      <c r="AI35" s="72">
        <f t="shared" si="23"/>
        <v>333280551.06361914</v>
      </c>
      <c r="AJ35" s="39"/>
      <c r="AK35" s="72">
        <f t="shared" si="7"/>
        <v>3325200000</v>
      </c>
      <c r="AL35" s="72">
        <f t="shared" si="24"/>
        <v>1787458852.2528167</v>
      </c>
      <c r="AM35" s="39"/>
      <c r="AN35" s="72">
        <f t="shared" si="8"/>
        <v>1524050000</v>
      </c>
      <c r="AO35" s="72">
        <f t="shared" si="25"/>
        <v>819251973.94920766</v>
      </c>
      <c r="AP35" s="39"/>
      <c r="AQ35" s="72">
        <f t="shared" si="9"/>
        <v>656310000</v>
      </c>
      <c r="AR35" s="72">
        <f t="shared" si="26"/>
        <v>352798965.27187723</v>
      </c>
      <c r="AS35" s="39"/>
      <c r="AT35" s="40">
        <f>IF($K35&lt;=$F$15,IF($F$40&lt;&gt;"",$F$40/1000,IF(ISERROR(VLOOKUP($F$3&amp;IF($G$4&lt;&gt;"",$G$4,"")&amp;IF($F$43&lt;&gt;"","_"&amp;$F$43,""),'表3）燃料価格'!$AF$9:$AG$25,2,0)),0,VLOOKUP($I35,'表3）燃料価格'!$A$6:$U$66,VLOOKUP($F$3&amp;IF($G$4&lt;&gt;"",$G$4,"")&amp;IF($F$43&lt;&gt;"","_"&amp;$F$43,""),'表3）燃料価格'!$AF$9:$AG$25,2,0)+VLOOKUP($F$41,'表3）燃料価格'!$AF$28:$AG$29,2,0),0)*IF($F$43="需要地価格",1,$F$8/$F$141))),"")</f>
        <v>48.753121069891002</v>
      </c>
      <c r="AU35" s="39"/>
      <c r="AV35" s="72">
        <f t="shared" si="10"/>
        <v>32448506096.833401</v>
      </c>
      <c r="AW35" s="72">
        <f t="shared" si="27"/>
        <v>17442670956.683613</v>
      </c>
      <c r="AX35" s="39"/>
      <c r="AY35" s="40">
        <f>IF(ISERROR(IF($K35&lt;=$F$15,VLOOKUP($I35,'表4）CO2価格'!$A$7:$E$67,VLOOKUP($F$48,'表4）CO2価格'!$H$10:$I$12,2,0),0)*$F$8/1000,"")),0,IF($K35&lt;=$F$15,VLOOKUP($I35,'表4）CO2価格'!$A$7:$E$67,VLOOKUP($F$48,'表4）CO2価格'!$H$10:$I$12,2,0),0)*$F$8/1000,""))</f>
        <v>5.5640000000000001</v>
      </c>
      <c r="AZ35" s="39"/>
      <c r="BA35" s="42">
        <f t="shared" si="11"/>
        <v>9742313107.4994469</v>
      </c>
      <c r="BB35" s="72">
        <f t="shared" si="28"/>
        <v>5236973356.6157017</v>
      </c>
      <c r="BC35" s="39"/>
      <c r="BD35" s="72">
        <f t="shared" si="12"/>
        <v>0</v>
      </c>
      <c r="BE35" s="72">
        <f t="shared" si="29"/>
        <v>0</v>
      </c>
      <c r="BF35" s="39"/>
      <c r="BG35" s="42">
        <f t="shared" si="13"/>
        <v>0</v>
      </c>
      <c r="BH35" s="72">
        <f t="shared" si="30"/>
        <v>0</v>
      </c>
      <c r="BI35" s="39"/>
      <c r="BJ35" s="40" t="str">
        <f t="shared" si="31"/>
        <v/>
      </c>
      <c r="BK35" s="157" t="str">
        <f t="shared" si="32"/>
        <v/>
      </c>
      <c r="BL35" s="157" t="str">
        <f t="shared" si="14"/>
        <v/>
      </c>
      <c r="BM35" s="72"/>
      <c r="BN35" s="72" t="str">
        <f t="shared" si="33"/>
        <v/>
      </c>
      <c r="BO35" s="72" t="str">
        <f t="shared" si="34"/>
        <v/>
      </c>
      <c r="BP35" s="39"/>
      <c r="BQ35" s="72">
        <f t="shared" si="15"/>
        <v>5092319400</v>
      </c>
      <c r="BR35" s="72">
        <f t="shared" si="35"/>
        <v>2737372606.1676745</v>
      </c>
    </row>
    <row r="36" spans="3:70" x14ac:dyDescent="0.15">
      <c r="D36" s="81" t="s">
        <v>177</v>
      </c>
      <c r="F36" s="68">
        <v>12</v>
      </c>
      <c r="G36" s="81" t="s">
        <v>123</v>
      </c>
      <c r="I36" s="459">
        <f t="shared" si="36"/>
        <v>2041</v>
      </c>
      <c r="K36" s="71">
        <f t="shared" si="37"/>
        <v>22</v>
      </c>
      <c r="L36" s="71"/>
      <c r="M36" s="7">
        <f t="shared" si="0"/>
        <v>0.52189250088258554</v>
      </c>
      <c r="N36" s="71"/>
      <c r="O36" s="10">
        <f t="shared" si="16"/>
        <v>0</v>
      </c>
      <c r="P36" s="29" t="str">
        <f t="shared" si="1"/>
        <v>-</v>
      </c>
      <c r="Q36" s="71"/>
      <c r="R36" s="10">
        <f t="shared" si="17"/>
        <v>6927500000</v>
      </c>
      <c r="S36" s="71"/>
      <c r="T36" s="10">
        <f t="shared" si="18"/>
        <v>6927500000</v>
      </c>
      <c r="U36" s="71"/>
      <c r="V36" s="10">
        <f t="shared" si="2"/>
        <v>0</v>
      </c>
      <c r="W36" s="10">
        <f t="shared" si="19"/>
        <v>0</v>
      </c>
      <c r="X36" s="71"/>
      <c r="Y36" s="10">
        <f t="shared" si="3"/>
        <v>96985000</v>
      </c>
      <c r="Z36" s="10">
        <f t="shared" si="20"/>
        <v>50615744.198097557</v>
      </c>
      <c r="AA36" s="71"/>
      <c r="AB36" s="10">
        <f t="shared" si="4"/>
        <v>0</v>
      </c>
      <c r="AC36" s="10">
        <f t="shared" si="21"/>
        <v>0</v>
      </c>
      <c r="AD36" s="71"/>
      <c r="AE36" s="10">
        <f t="shared" si="5"/>
        <v>0</v>
      </c>
      <c r="AF36" s="10">
        <f t="shared" si="22"/>
        <v>0</v>
      </c>
      <c r="AG36" s="71"/>
      <c r="AH36" s="10">
        <f t="shared" si="6"/>
        <v>620000000</v>
      </c>
      <c r="AI36" s="10">
        <f t="shared" si="23"/>
        <v>323573350.54720306</v>
      </c>
      <c r="AJ36" s="71"/>
      <c r="AK36" s="10">
        <f t="shared" si="7"/>
        <v>3325200000</v>
      </c>
      <c r="AL36" s="10">
        <f t="shared" si="24"/>
        <v>1735396943.9347734</v>
      </c>
      <c r="AM36" s="71"/>
      <c r="AN36" s="10">
        <f t="shared" si="8"/>
        <v>1524050000</v>
      </c>
      <c r="AO36" s="10">
        <f t="shared" si="25"/>
        <v>795390265.97010446</v>
      </c>
      <c r="AP36" s="71"/>
      <c r="AQ36" s="10">
        <f t="shared" si="9"/>
        <v>656310000</v>
      </c>
      <c r="AR36" s="10">
        <f t="shared" si="26"/>
        <v>342523267.25424969</v>
      </c>
      <c r="AS36" s="71"/>
      <c r="AT36" s="7">
        <f>IF($K36&lt;=$F$15,IF($F$40&lt;&gt;"",$F$40/1000,IF(ISERROR(VLOOKUP($F$3&amp;IF($G$4&lt;&gt;"",$G$4,"")&amp;IF($F$43&lt;&gt;"","_"&amp;$F$43,""),'表3）燃料価格'!$AF$9:$AG$25,2,0)),0,VLOOKUP($I36,'表3）燃料価格'!$A$6:$U$66,VLOOKUP($F$3&amp;IF($G$4&lt;&gt;"",$G$4,"")&amp;IF($F$43&lt;&gt;"","_"&amp;$F$43,""),'表3）燃料価格'!$AF$9:$AG$25,2,0)+VLOOKUP($F$41,'表3）燃料価格'!$AF$28:$AG$29,2,0),0)*IF($F$43="需要地価格",1,$F$8/$F$141))),"")</f>
        <v>48.601524950900931</v>
      </c>
      <c r="AU36" s="71"/>
      <c r="AV36" s="10">
        <f t="shared" si="10"/>
        <v>32353088642.192066</v>
      </c>
      <c r="AW36" s="10">
        <f t="shared" si="27"/>
        <v>16884834342.749592</v>
      </c>
      <c r="AX36" s="71"/>
      <c r="AY36" s="7">
        <f>IF(ISERROR(IF($K36&lt;=$F$15,VLOOKUP($I36,'表4）CO2価格'!$A$7:$E$67,VLOOKUP($F$48,'表4）CO2価格'!$H$10:$I$12,2,0),0)*$F$8/1000,"")),0,IF($K36&lt;=$F$15,VLOOKUP($I36,'表4）CO2価格'!$A$7:$E$67,VLOOKUP($F$48,'表4）CO2価格'!$H$10:$I$12,2,0),0)*$F$8/1000,""))</f>
        <v>5.6923999999999806</v>
      </c>
      <c r="AZ36" s="71"/>
      <c r="BA36" s="11">
        <f t="shared" si="11"/>
        <v>9967135717.6724777</v>
      </c>
      <c r="BB36" s="10">
        <f t="shared" si="28"/>
        <v>5201773386.3322334</v>
      </c>
      <c r="BC36" s="71"/>
      <c r="BD36" s="10">
        <f t="shared" si="12"/>
        <v>0</v>
      </c>
      <c r="BE36" s="10">
        <f t="shared" si="29"/>
        <v>0</v>
      </c>
      <c r="BF36" s="71"/>
      <c r="BG36" s="11">
        <f t="shared" si="13"/>
        <v>0</v>
      </c>
      <c r="BH36" s="10">
        <f t="shared" si="30"/>
        <v>0</v>
      </c>
      <c r="BJ36" s="7" t="str">
        <f t="shared" si="31"/>
        <v/>
      </c>
      <c r="BK36" s="158" t="str">
        <f t="shared" si="32"/>
        <v/>
      </c>
      <c r="BL36" s="158" t="str">
        <f t="shared" si="14"/>
        <v/>
      </c>
      <c r="BM36" s="10"/>
      <c r="BN36" s="10" t="str">
        <f t="shared" si="33"/>
        <v/>
      </c>
      <c r="BO36" s="10" t="str">
        <f t="shared" si="34"/>
        <v/>
      </c>
      <c r="BQ36" s="10">
        <f t="shared" si="15"/>
        <v>5092319400</v>
      </c>
      <c r="BR36" s="10">
        <f t="shared" si="35"/>
        <v>2657643306.9589076</v>
      </c>
    </row>
    <row r="37" spans="3:70" x14ac:dyDescent="0.15">
      <c r="I37" s="458">
        <f t="shared" si="36"/>
        <v>2042</v>
      </c>
      <c r="J37" s="470"/>
      <c r="K37" s="39">
        <f t="shared" si="37"/>
        <v>23</v>
      </c>
      <c r="L37" s="39"/>
      <c r="M37" s="40">
        <f t="shared" si="0"/>
        <v>0.50669174842969467</v>
      </c>
      <c r="N37" s="39"/>
      <c r="O37" s="72">
        <f t="shared" si="16"/>
        <v>0</v>
      </c>
      <c r="P37" s="41" t="str">
        <f t="shared" si="1"/>
        <v>-</v>
      </c>
      <c r="Q37" s="39"/>
      <c r="R37" s="72">
        <f t="shared" si="17"/>
        <v>6927500000</v>
      </c>
      <c r="S37" s="39"/>
      <c r="T37" s="72">
        <f t="shared" si="18"/>
        <v>6927500000</v>
      </c>
      <c r="U37" s="39"/>
      <c r="V37" s="72">
        <f t="shared" si="2"/>
        <v>0</v>
      </c>
      <c r="W37" s="72">
        <f t="shared" si="19"/>
        <v>0</v>
      </c>
      <c r="X37" s="39"/>
      <c r="Y37" s="72">
        <f t="shared" si="3"/>
        <v>96985000</v>
      </c>
      <c r="Z37" s="72">
        <f t="shared" si="20"/>
        <v>49141499.221453935</v>
      </c>
      <c r="AA37" s="39"/>
      <c r="AB37" s="72">
        <f t="shared" si="4"/>
        <v>0</v>
      </c>
      <c r="AC37" s="72">
        <f t="shared" si="21"/>
        <v>0</v>
      </c>
      <c r="AD37" s="39"/>
      <c r="AE37" s="72">
        <f t="shared" si="5"/>
        <v>0</v>
      </c>
      <c r="AF37" s="72">
        <f t="shared" si="22"/>
        <v>0</v>
      </c>
      <c r="AG37" s="39"/>
      <c r="AH37" s="72">
        <f t="shared" si="6"/>
        <v>620000000</v>
      </c>
      <c r="AI37" s="72">
        <f t="shared" si="23"/>
        <v>314148884.0264107</v>
      </c>
      <c r="AJ37" s="39"/>
      <c r="AK37" s="72">
        <f t="shared" si="7"/>
        <v>3325200000</v>
      </c>
      <c r="AL37" s="72">
        <f t="shared" si="24"/>
        <v>1684851401.8784206</v>
      </c>
      <c r="AM37" s="39"/>
      <c r="AN37" s="72">
        <f t="shared" si="8"/>
        <v>1524050000</v>
      </c>
      <c r="AO37" s="72">
        <f t="shared" si="25"/>
        <v>772223559.19427621</v>
      </c>
      <c r="AP37" s="39"/>
      <c r="AQ37" s="72">
        <f t="shared" si="9"/>
        <v>656310000</v>
      </c>
      <c r="AR37" s="72">
        <f t="shared" si="26"/>
        <v>332546861.41189289</v>
      </c>
      <c r="AS37" s="39"/>
      <c r="AT37" s="40">
        <f>IF($K37&lt;=$F$15,IF($F$40&lt;&gt;"",$F$40/1000,IF(ISERROR(VLOOKUP($F$3&amp;IF($G$4&lt;&gt;"",$G$4,"")&amp;IF($F$43&lt;&gt;"","_"&amp;$F$43,""),'表3）燃料価格'!$AF$9:$AG$25,2,0)),0,VLOOKUP($I37,'表3）燃料価格'!$A$6:$U$66,VLOOKUP($F$3&amp;IF($G$4&lt;&gt;"",$G$4,"")&amp;IF($F$43&lt;&gt;"","_"&amp;$F$43,""),'表3）燃料価格'!$AF$9:$AG$25,2,0)+VLOOKUP($F$41,'表3）燃料価格'!$AF$28:$AG$29,2,0),0)*IF($F$43="需要地価格",1,$F$8/$F$141))),"")</f>
        <v>48.45544265623667</v>
      </c>
      <c r="AU37" s="39"/>
      <c r="AV37" s="72">
        <f t="shared" si="10"/>
        <v>32261141692.508331</v>
      </c>
      <c r="AW37" s="72">
        <f t="shared" si="27"/>
        <v>16346454290.515165</v>
      </c>
      <c r="AX37" s="39"/>
      <c r="AY37" s="40">
        <f>IF(ISERROR(IF($K37&lt;=$F$15,VLOOKUP($I37,'表4）CO2価格'!$A$7:$E$67,VLOOKUP($F$48,'表4）CO2価格'!$H$10:$I$12,2,0),0)*$F$8/1000,"")),0,IF($K37&lt;=$F$15,VLOOKUP($I37,'表4）CO2価格'!$A$7:$E$67,VLOOKUP($F$48,'表4）CO2価格'!$H$10:$I$12,2,0),0)*$F$8/1000,""))</f>
        <v>5.82080000000001</v>
      </c>
      <c r="AZ37" s="39"/>
      <c r="BA37" s="42">
        <f t="shared" si="11"/>
        <v>10191958327.845592</v>
      </c>
      <c r="BB37" s="72">
        <f t="shared" si="28"/>
        <v>5164181185.05867</v>
      </c>
      <c r="BC37" s="39"/>
      <c r="BD37" s="72">
        <f t="shared" si="12"/>
        <v>0</v>
      </c>
      <c r="BE37" s="72">
        <f t="shared" si="29"/>
        <v>0</v>
      </c>
      <c r="BF37" s="39"/>
      <c r="BG37" s="42">
        <f t="shared" si="13"/>
        <v>0</v>
      </c>
      <c r="BH37" s="72">
        <f t="shared" si="30"/>
        <v>0</v>
      </c>
      <c r="BI37" s="39"/>
      <c r="BJ37" s="40" t="str">
        <f t="shared" si="31"/>
        <v/>
      </c>
      <c r="BK37" s="157" t="str">
        <f t="shared" si="32"/>
        <v/>
      </c>
      <c r="BL37" s="157" t="str">
        <f t="shared" si="14"/>
        <v/>
      </c>
      <c r="BM37" s="72"/>
      <c r="BN37" s="72" t="str">
        <f t="shared" si="33"/>
        <v/>
      </c>
      <c r="BO37" s="72" t="str">
        <f t="shared" si="34"/>
        <v/>
      </c>
      <c r="BP37" s="39"/>
      <c r="BQ37" s="72">
        <f t="shared" si="15"/>
        <v>5092319400</v>
      </c>
      <c r="BR37" s="72">
        <f t="shared" si="35"/>
        <v>2580236220.3484535</v>
      </c>
    </row>
    <row r="38" spans="3:70" x14ac:dyDescent="0.15">
      <c r="C38" s="89" t="s">
        <v>508</v>
      </c>
      <c r="D38" s="101"/>
      <c r="E38" s="101"/>
      <c r="F38" s="89"/>
      <c r="G38" s="101"/>
      <c r="I38" s="459">
        <f t="shared" si="36"/>
        <v>2043</v>
      </c>
      <c r="K38" s="71">
        <f t="shared" si="37"/>
        <v>24</v>
      </c>
      <c r="L38" s="71"/>
      <c r="M38" s="7">
        <f t="shared" si="0"/>
        <v>0.49193373633950943</v>
      </c>
      <c r="N38" s="71"/>
      <c r="O38" s="10">
        <f t="shared" si="16"/>
        <v>0</v>
      </c>
      <c r="P38" s="29" t="str">
        <f t="shared" si="1"/>
        <v>-</v>
      </c>
      <c r="Q38" s="71"/>
      <c r="R38" s="10">
        <f t="shared" si="17"/>
        <v>6927500000</v>
      </c>
      <c r="S38" s="71"/>
      <c r="T38" s="10">
        <f t="shared" si="18"/>
        <v>6927500000</v>
      </c>
      <c r="U38" s="71"/>
      <c r="V38" s="10">
        <f t="shared" si="2"/>
        <v>0</v>
      </c>
      <c r="W38" s="10">
        <f t="shared" si="19"/>
        <v>0</v>
      </c>
      <c r="X38" s="71"/>
      <c r="Y38" s="10">
        <f t="shared" si="3"/>
        <v>96985000</v>
      </c>
      <c r="Z38" s="10">
        <f t="shared" si="20"/>
        <v>47710193.418887325</v>
      </c>
      <c r="AA38" s="71"/>
      <c r="AB38" s="10">
        <f t="shared" si="4"/>
        <v>0</v>
      </c>
      <c r="AC38" s="10">
        <f t="shared" si="21"/>
        <v>0</v>
      </c>
      <c r="AD38" s="71"/>
      <c r="AE38" s="10">
        <f t="shared" si="5"/>
        <v>0</v>
      </c>
      <c r="AF38" s="10">
        <f t="shared" si="22"/>
        <v>0</v>
      </c>
      <c r="AG38" s="71"/>
      <c r="AH38" s="10">
        <f t="shared" si="6"/>
        <v>620000000</v>
      </c>
      <c r="AI38" s="10">
        <f t="shared" si="23"/>
        <v>304998916.53049582</v>
      </c>
      <c r="AJ38" s="71"/>
      <c r="AK38" s="10">
        <f t="shared" si="7"/>
        <v>3325200000</v>
      </c>
      <c r="AL38" s="10">
        <f t="shared" si="24"/>
        <v>1635778060.0761368</v>
      </c>
      <c r="AM38" s="71"/>
      <c r="AN38" s="10">
        <f t="shared" si="8"/>
        <v>1524050000</v>
      </c>
      <c r="AO38" s="10">
        <f t="shared" si="25"/>
        <v>749731610.86822939</v>
      </c>
      <c r="AP38" s="71"/>
      <c r="AQ38" s="10">
        <f t="shared" si="9"/>
        <v>656310000</v>
      </c>
      <c r="AR38" s="10">
        <f t="shared" si="26"/>
        <v>322861030.49698341</v>
      </c>
      <c r="AS38" s="71"/>
      <c r="AT38" s="7">
        <f>IF($K38&lt;=$F$15,IF($F$40&lt;&gt;"",$F$40/1000,IF(ISERROR(VLOOKUP($F$3&amp;IF($G$4&lt;&gt;"",$G$4,"")&amp;IF($F$43&lt;&gt;"","_"&amp;$F$43,""),'表3）燃料価格'!$AF$9:$AG$25,2,0)),0,VLOOKUP($I38,'表3）燃料価格'!$A$6:$U$66,VLOOKUP($F$3&amp;IF($G$4&lt;&gt;"",$G$4,"")&amp;IF($F$43&lt;&gt;"","_"&amp;$F$43,""),'表3）燃料価格'!$AF$9:$AG$25,2,0)+VLOOKUP($F$41,'表3）燃料価格'!$AF$28:$AG$29,2,0),0)*IF($F$43="需要地価格",1,$F$8/$F$141))),"")</f>
        <v>48.314487127285105</v>
      </c>
      <c r="AU38" s="71"/>
      <c r="AV38" s="10">
        <f t="shared" si="10"/>
        <v>32172421625.795658</v>
      </c>
      <c r="AW38" s="10">
        <f t="shared" si="27"/>
        <v>15826699577.467693</v>
      </c>
      <c r="AX38" s="71"/>
      <c r="AY38" s="7">
        <f>IF(ISERROR(IF($K38&lt;=$F$15,VLOOKUP($I38,'表4）CO2価格'!$A$7:$E$67,VLOOKUP($F$48,'表4）CO2価格'!$H$10:$I$12,2,0),0)*$F$8/1000,"")),0,IF($K38&lt;=$F$15,VLOOKUP($I38,'表4）CO2価格'!$A$7:$E$67,VLOOKUP($F$48,'表4）CO2価格'!$H$10:$I$12,2,0),0)*$F$8/1000,""))</f>
        <v>5.9491999999999896</v>
      </c>
      <c r="AZ38" s="71"/>
      <c r="BA38" s="11">
        <f t="shared" si="11"/>
        <v>10416780938.018621</v>
      </c>
      <c r="BB38" s="10">
        <f t="shared" si="28"/>
        <v>5124365967.4696798</v>
      </c>
      <c r="BC38" s="71"/>
      <c r="BD38" s="10">
        <f t="shared" si="12"/>
        <v>0</v>
      </c>
      <c r="BE38" s="10">
        <f t="shared" si="29"/>
        <v>0</v>
      </c>
      <c r="BF38" s="71"/>
      <c r="BG38" s="11">
        <f t="shared" si="13"/>
        <v>0</v>
      </c>
      <c r="BH38" s="10">
        <f t="shared" si="30"/>
        <v>0</v>
      </c>
      <c r="BJ38" s="7" t="str">
        <f t="shared" si="31"/>
        <v/>
      </c>
      <c r="BK38" s="158" t="str">
        <f t="shared" si="32"/>
        <v/>
      </c>
      <c r="BL38" s="158" t="str">
        <f t="shared" si="14"/>
        <v/>
      </c>
      <c r="BM38" s="10"/>
      <c r="BN38" s="10" t="str">
        <f t="shared" si="33"/>
        <v/>
      </c>
      <c r="BO38" s="10" t="str">
        <f t="shared" si="34"/>
        <v/>
      </c>
      <c r="BQ38" s="10">
        <f t="shared" si="15"/>
        <v>5092319400</v>
      </c>
      <c r="BR38" s="10">
        <f t="shared" si="35"/>
        <v>2505083709.076169</v>
      </c>
    </row>
    <row r="39" spans="3:70" x14ac:dyDescent="0.15">
      <c r="I39" s="458">
        <f t="shared" si="36"/>
        <v>2044</v>
      </c>
      <c r="J39" s="470"/>
      <c r="K39" s="39">
        <f t="shared" si="37"/>
        <v>25</v>
      </c>
      <c r="L39" s="39"/>
      <c r="M39" s="40">
        <f t="shared" si="0"/>
        <v>0.47760556926165965</v>
      </c>
      <c r="N39" s="39"/>
      <c r="O39" s="72">
        <f t="shared" si="16"/>
        <v>0</v>
      </c>
      <c r="P39" s="41" t="str">
        <f t="shared" si="1"/>
        <v>-</v>
      </c>
      <c r="Q39" s="39"/>
      <c r="R39" s="72">
        <f t="shared" si="17"/>
        <v>6927500000</v>
      </c>
      <c r="S39" s="39"/>
      <c r="T39" s="72">
        <f t="shared" si="18"/>
        <v>6927500000</v>
      </c>
      <c r="U39" s="39"/>
      <c r="V39" s="72">
        <f t="shared" si="2"/>
        <v>0</v>
      </c>
      <c r="W39" s="72">
        <f t="shared" si="19"/>
        <v>0</v>
      </c>
      <c r="X39" s="39"/>
      <c r="Y39" s="72">
        <f t="shared" si="3"/>
        <v>96985000</v>
      </c>
      <c r="Z39" s="72">
        <f t="shared" si="20"/>
        <v>46320576.134842061</v>
      </c>
      <c r="AA39" s="39"/>
      <c r="AB39" s="72">
        <f t="shared" si="4"/>
        <v>0</v>
      </c>
      <c r="AC39" s="72">
        <f t="shared" si="21"/>
        <v>0</v>
      </c>
      <c r="AD39" s="39"/>
      <c r="AE39" s="72">
        <f t="shared" si="5"/>
        <v>0</v>
      </c>
      <c r="AF39" s="72">
        <f t="shared" si="22"/>
        <v>0</v>
      </c>
      <c r="AG39" s="39"/>
      <c r="AH39" s="72">
        <f t="shared" si="6"/>
        <v>620000000</v>
      </c>
      <c r="AI39" s="72">
        <f t="shared" si="23"/>
        <v>296115452.94222897</v>
      </c>
      <c r="AJ39" s="39"/>
      <c r="AK39" s="72">
        <f t="shared" si="7"/>
        <v>3325200000</v>
      </c>
      <c r="AL39" s="72">
        <f t="shared" si="24"/>
        <v>1588134038.9088707</v>
      </c>
      <c r="AM39" s="39"/>
      <c r="AN39" s="72">
        <f t="shared" si="8"/>
        <v>1524050000</v>
      </c>
      <c r="AO39" s="72">
        <f t="shared" si="25"/>
        <v>727894767.8332324</v>
      </c>
      <c r="AP39" s="39"/>
      <c r="AQ39" s="72">
        <f t="shared" si="9"/>
        <v>656310000</v>
      </c>
      <c r="AR39" s="72">
        <f t="shared" si="26"/>
        <v>313457311.16211987</v>
      </c>
      <c r="AS39" s="39"/>
      <c r="AT39" s="40">
        <f>IF($K39&lt;=$F$15,IF($F$40&lt;&gt;"",$F$40/1000,IF(ISERROR(VLOOKUP($F$3&amp;IF($G$4&lt;&gt;"",$G$4,"")&amp;IF($F$43&lt;&gt;"","_"&amp;$F$43,""),'表3）燃料価格'!$AF$9:$AG$25,2,0)),0,VLOOKUP($I39,'表3）燃料価格'!$A$6:$U$66,VLOOKUP($F$3&amp;IF($G$4&lt;&gt;"",$G$4,"")&amp;IF($F$43&lt;&gt;"","_"&amp;$F$43,""),'表3）燃料価格'!$AF$9:$AG$25,2,0)+VLOOKUP($F$41,'表3）燃料価格'!$AF$28:$AG$29,2,0),0)*IF($F$43="需要地価格",1,$F$8/$F$141))),"")</f>
        <v>48.178310683240682</v>
      </c>
      <c r="AU39" s="39"/>
      <c r="AV39" s="72">
        <f t="shared" si="10"/>
        <v>32086709605.201794</v>
      </c>
      <c r="AW39" s="72">
        <f t="shared" si="27"/>
        <v>15324791206.725965</v>
      </c>
      <c r="AX39" s="39"/>
      <c r="AY39" s="40">
        <f>IF(ISERROR(IF($K39&lt;=$F$15,VLOOKUP($I39,'表4）CO2価格'!$A$7:$E$67,VLOOKUP($F$48,'表4）CO2価格'!$H$10:$I$12,2,0),0)*$F$8/1000,"")),0,IF($K39&lt;=$F$15,VLOOKUP($I39,'表4）CO2価格'!$A$7:$E$67,VLOOKUP($F$48,'表4）CO2価格'!$H$10:$I$12,2,0),0)*$F$8/1000,""))</f>
        <v>6.077599999999971</v>
      </c>
      <c r="AZ39" s="39"/>
      <c r="BA39" s="42">
        <f t="shared" si="11"/>
        <v>10641603548.191652</v>
      </c>
      <c r="BB39" s="72">
        <f t="shared" si="28"/>
        <v>5082489120.4909716</v>
      </c>
      <c r="BC39" s="39"/>
      <c r="BD39" s="72">
        <f t="shared" si="12"/>
        <v>0</v>
      </c>
      <c r="BE39" s="72">
        <f t="shared" si="29"/>
        <v>0</v>
      </c>
      <c r="BF39" s="39"/>
      <c r="BG39" s="42">
        <f t="shared" si="13"/>
        <v>0</v>
      </c>
      <c r="BH39" s="72">
        <f t="shared" si="30"/>
        <v>0</v>
      </c>
      <c r="BI39" s="39"/>
      <c r="BJ39" s="40" t="str">
        <f t="shared" si="31"/>
        <v/>
      </c>
      <c r="BK39" s="157" t="str">
        <f t="shared" si="32"/>
        <v/>
      </c>
      <c r="BL39" s="157" t="str">
        <f t="shared" si="14"/>
        <v/>
      </c>
      <c r="BM39" s="72"/>
      <c r="BN39" s="72" t="str">
        <f t="shared" si="33"/>
        <v/>
      </c>
      <c r="BO39" s="72" t="str">
        <f t="shared" si="34"/>
        <v/>
      </c>
      <c r="BP39" s="39"/>
      <c r="BQ39" s="72">
        <f t="shared" si="15"/>
        <v>5092319400</v>
      </c>
      <c r="BR39" s="72">
        <f t="shared" si="35"/>
        <v>2432120105.8991933</v>
      </c>
    </row>
    <row r="40" spans="3:70" x14ac:dyDescent="0.15">
      <c r="D40" s="81" t="s">
        <v>124</v>
      </c>
      <c r="F40" s="108"/>
      <c r="G40" s="82" t="s">
        <v>178</v>
      </c>
      <c r="I40" s="459">
        <f t="shared" si="36"/>
        <v>2045</v>
      </c>
      <c r="K40" s="71">
        <f t="shared" si="37"/>
        <v>26</v>
      </c>
      <c r="L40" s="71"/>
      <c r="M40" s="7">
        <f t="shared" si="0"/>
        <v>0.46369472743850448</v>
      </c>
      <c r="N40" s="71"/>
      <c r="O40" s="10">
        <f t="shared" si="16"/>
        <v>0</v>
      </c>
      <c r="P40" s="29" t="str">
        <f t="shared" si="1"/>
        <v>-</v>
      </c>
      <c r="Q40" s="71"/>
      <c r="R40" s="10">
        <f t="shared" si="17"/>
        <v>6927500000</v>
      </c>
      <c r="S40" s="71"/>
      <c r="T40" s="10">
        <f t="shared" si="18"/>
        <v>6927500000</v>
      </c>
      <c r="U40" s="71"/>
      <c r="V40" s="10">
        <f t="shared" si="2"/>
        <v>0</v>
      </c>
      <c r="W40" s="10">
        <f t="shared" si="19"/>
        <v>0</v>
      </c>
      <c r="X40" s="71"/>
      <c r="Y40" s="10">
        <f t="shared" si="3"/>
        <v>96985000</v>
      </c>
      <c r="Z40" s="10">
        <f t="shared" si="20"/>
        <v>44971433.140623361</v>
      </c>
      <c r="AA40" s="71"/>
      <c r="AB40" s="10">
        <f t="shared" si="4"/>
        <v>0</v>
      </c>
      <c r="AC40" s="10">
        <f t="shared" si="21"/>
        <v>0</v>
      </c>
      <c r="AD40" s="71"/>
      <c r="AE40" s="10">
        <f t="shared" si="5"/>
        <v>0</v>
      </c>
      <c r="AF40" s="10">
        <f t="shared" si="22"/>
        <v>0</v>
      </c>
      <c r="AG40" s="71"/>
      <c r="AH40" s="10">
        <f t="shared" si="6"/>
        <v>620000000</v>
      </c>
      <c r="AI40" s="10">
        <f t="shared" si="23"/>
        <v>287490731.01187277</v>
      </c>
      <c r="AJ40" s="71"/>
      <c r="AK40" s="10">
        <f t="shared" si="7"/>
        <v>3325200000</v>
      </c>
      <c r="AL40" s="10">
        <f t="shared" si="24"/>
        <v>1541877707.6785152</v>
      </c>
      <c r="AM40" s="71"/>
      <c r="AN40" s="10">
        <f t="shared" si="8"/>
        <v>1524050000</v>
      </c>
      <c r="AO40" s="10">
        <f t="shared" si="25"/>
        <v>706693949.35265279</v>
      </c>
      <c r="AP40" s="71"/>
      <c r="AQ40" s="10">
        <f t="shared" si="9"/>
        <v>656310000</v>
      </c>
      <c r="AR40" s="10">
        <f t="shared" si="26"/>
        <v>304327486.56516486</v>
      </c>
      <c r="AS40" s="71"/>
      <c r="AT40" s="7">
        <f>IF($K40&lt;=$F$15,IF($F$40&lt;&gt;"",$F$40/1000,IF(ISERROR(VLOOKUP($F$3&amp;IF($G$4&lt;&gt;"",$G$4,"")&amp;IF($F$43&lt;&gt;"","_"&amp;$F$43,""),'表3）燃料価格'!$AF$9:$AG$25,2,0)),0,VLOOKUP($I40,'表3）燃料価格'!$A$6:$U$66,VLOOKUP($F$3&amp;IF($G$4&lt;&gt;"",$G$4,"")&amp;IF($F$43&lt;&gt;"","_"&amp;$F$43,""),'表3）燃料価格'!$AF$9:$AG$25,2,0)+VLOOKUP($F$41,'表3）燃料価格'!$AF$28:$AG$29,2,0),0)*IF($F$43="需要地価格",1,$F$8/$F$141))),"")</f>
        <v>48.046599854320583</v>
      </c>
      <c r="AU40" s="71"/>
      <c r="AV40" s="10">
        <f t="shared" si="10"/>
        <v>32003808326.937016</v>
      </c>
      <c r="AW40" s="10">
        <f t="shared" si="27"/>
        <v>14839997179.1532</v>
      </c>
      <c r="AX40" s="71"/>
      <c r="AY40" s="7">
        <f>IF(ISERROR(IF($K40&lt;=$F$15,VLOOKUP($I40,'表4）CO2価格'!$A$7:$E$67,VLOOKUP($F$48,'表4）CO2価格'!$H$10:$I$12,2,0),0)*$F$8/1000,"")),0,IF($K40&lt;=$F$15,VLOOKUP($I40,'表4）CO2価格'!$A$7:$E$67,VLOOKUP($F$48,'表4）CO2価格'!$H$10:$I$12,2,0),0)*$F$8/1000,""))</f>
        <v>6.2060000000000004</v>
      </c>
      <c r="AZ40" s="71"/>
      <c r="BA40" s="11">
        <f t="shared" si="11"/>
        <v>10866426158.364769</v>
      </c>
      <c r="BB40" s="10">
        <f t="shared" si="28"/>
        <v>5038704515.7335873</v>
      </c>
      <c r="BC40" s="71"/>
      <c r="BD40" s="10">
        <f t="shared" si="12"/>
        <v>0</v>
      </c>
      <c r="BE40" s="10">
        <f t="shared" si="29"/>
        <v>0</v>
      </c>
      <c r="BF40" s="71"/>
      <c r="BG40" s="11">
        <f t="shared" si="13"/>
        <v>0</v>
      </c>
      <c r="BH40" s="10">
        <f t="shared" si="30"/>
        <v>0</v>
      </c>
      <c r="BJ40" s="7" t="str">
        <f t="shared" si="31"/>
        <v/>
      </c>
      <c r="BK40" s="158" t="str">
        <f t="shared" si="32"/>
        <v/>
      </c>
      <c r="BL40" s="158" t="str">
        <f t="shared" si="14"/>
        <v/>
      </c>
      <c r="BM40" s="10"/>
      <c r="BN40" s="10" t="str">
        <f t="shared" si="33"/>
        <v/>
      </c>
      <c r="BO40" s="10" t="str">
        <f t="shared" si="34"/>
        <v/>
      </c>
      <c r="BQ40" s="10">
        <f t="shared" si="15"/>
        <v>5092319400</v>
      </c>
      <c r="BR40" s="10">
        <f t="shared" si="35"/>
        <v>2361281656.2128086</v>
      </c>
    </row>
    <row r="41" spans="3:70" x14ac:dyDescent="0.15">
      <c r="D41" s="81" t="s">
        <v>179</v>
      </c>
      <c r="F41" s="88" t="str">
        <f>まとめ!B4</f>
        <v>WEO2020　STEPS</v>
      </c>
      <c r="I41" s="458">
        <f t="shared" si="36"/>
        <v>2046</v>
      </c>
      <c r="J41" s="470"/>
      <c r="K41" s="39">
        <f t="shared" si="37"/>
        <v>27</v>
      </c>
      <c r="L41" s="39"/>
      <c r="M41" s="40">
        <f t="shared" si="0"/>
        <v>0.45018905576553836</v>
      </c>
      <c r="N41" s="39"/>
      <c r="O41" s="72">
        <f t="shared" si="16"/>
        <v>0</v>
      </c>
      <c r="P41" s="41" t="str">
        <f t="shared" si="1"/>
        <v>-</v>
      </c>
      <c r="Q41" s="39"/>
      <c r="R41" s="72">
        <f t="shared" si="17"/>
        <v>6927500000</v>
      </c>
      <c r="S41" s="39"/>
      <c r="T41" s="72">
        <f t="shared" si="18"/>
        <v>6927500000</v>
      </c>
      <c r="U41" s="39"/>
      <c r="V41" s="72">
        <f t="shared" si="2"/>
        <v>0</v>
      </c>
      <c r="W41" s="72">
        <f t="shared" si="19"/>
        <v>0</v>
      </c>
      <c r="X41" s="39"/>
      <c r="Y41" s="72">
        <f t="shared" si="3"/>
        <v>96985000</v>
      </c>
      <c r="Z41" s="72">
        <f t="shared" si="20"/>
        <v>43661585.573420741</v>
      </c>
      <c r="AA41" s="39"/>
      <c r="AB41" s="72">
        <f t="shared" si="4"/>
        <v>0</v>
      </c>
      <c r="AC41" s="72">
        <f t="shared" si="21"/>
        <v>0</v>
      </c>
      <c r="AD41" s="39"/>
      <c r="AE41" s="72">
        <f t="shared" si="5"/>
        <v>0</v>
      </c>
      <c r="AF41" s="72">
        <f t="shared" si="22"/>
        <v>0</v>
      </c>
      <c r="AG41" s="39"/>
      <c r="AH41" s="72">
        <f t="shared" si="6"/>
        <v>620000000</v>
      </c>
      <c r="AI41" s="72">
        <f t="shared" si="23"/>
        <v>279117214.57463378</v>
      </c>
      <c r="AJ41" s="39"/>
      <c r="AK41" s="72">
        <f t="shared" si="7"/>
        <v>3325200000</v>
      </c>
      <c r="AL41" s="72">
        <f t="shared" si="24"/>
        <v>1496968648.2315681</v>
      </c>
      <c r="AM41" s="39"/>
      <c r="AN41" s="72">
        <f t="shared" si="8"/>
        <v>1524050000</v>
      </c>
      <c r="AO41" s="72">
        <f t="shared" si="25"/>
        <v>686110630.43946874</v>
      </c>
      <c r="AP41" s="39"/>
      <c r="AQ41" s="72">
        <f t="shared" si="9"/>
        <v>656310000</v>
      </c>
      <c r="AR41" s="72">
        <f t="shared" si="26"/>
        <v>295463579.18948048</v>
      </c>
      <c r="AS41" s="39"/>
      <c r="AT41" s="40">
        <f>IF($K41&lt;=$F$15,IF($F$40&lt;&gt;"",$F$40/1000,IF(ISERROR(VLOOKUP($F$3&amp;IF($G$4&lt;&gt;"",$G$4,"")&amp;IF($F$43&lt;&gt;"","_"&amp;$F$43,""),'表3）燃料価格'!$AF$9:$AG$25,2,0)),0,VLOOKUP($I41,'表3）燃料価格'!$A$6:$U$66,VLOOKUP($F$3&amp;IF($G$4&lt;&gt;"",$G$4,"")&amp;IF($F$43&lt;&gt;"","_"&amp;$F$43,""),'表3）燃料価格'!$AF$9:$AG$25,2,0)+VLOOKUP($F$41,'表3）燃料価格'!$AF$28:$AG$29,2,0),0)*IF($F$43="需要地価格",1,$F$8/$F$141))),"")</f>
        <v>47.919071035555028</v>
      </c>
      <c r="AU41" s="39"/>
      <c r="AV41" s="72">
        <f t="shared" si="10"/>
        <v>31923539284.687836</v>
      </c>
      <c r="AW41" s="72">
        <f t="shared" si="27"/>
        <v>14371628007.267687</v>
      </c>
      <c r="AX41" s="39"/>
      <c r="AY41" s="40">
        <f>IF(ISERROR(IF($K41&lt;=$F$15,VLOOKUP($I41,'表4）CO2価格'!$A$7:$E$67,VLOOKUP($F$48,'表4）CO2価格'!$H$10:$I$12,2,0),0)*$F$8/1000,"")),0,IF($K41&lt;=$F$15,VLOOKUP($I41,'表4）CO2価格'!$A$7:$E$67,VLOOKUP($F$48,'表4）CO2価格'!$H$10:$I$12,2,0),0)*$F$8/1000,""))</f>
        <v>6.3343999999999809</v>
      </c>
      <c r="AZ41" s="39"/>
      <c r="BA41" s="42">
        <f t="shared" si="11"/>
        <v>11091248768.537798</v>
      </c>
      <c r="BB41" s="72">
        <f t="shared" si="28"/>
        <v>4993158810.368721</v>
      </c>
      <c r="BC41" s="39"/>
      <c r="BD41" s="72">
        <f t="shared" si="12"/>
        <v>0</v>
      </c>
      <c r="BE41" s="72">
        <f t="shared" si="29"/>
        <v>0</v>
      </c>
      <c r="BF41" s="39"/>
      <c r="BG41" s="42">
        <f t="shared" si="13"/>
        <v>0</v>
      </c>
      <c r="BH41" s="72">
        <f t="shared" si="30"/>
        <v>0</v>
      </c>
      <c r="BI41" s="39"/>
      <c r="BJ41" s="40" t="str">
        <f t="shared" si="31"/>
        <v/>
      </c>
      <c r="BK41" s="157" t="str">
        <f t="shared" si="32"/>
        <v/>
      </c>
      <c r="BL41" s="157" t="str">
        <f t="shared" si="14"/>
        <v/>
      </c>
      <c r="BM41" s="72"/>
      <c r="BN41" s="72" t="str">
        <f t="shared" si="33"/>
        <v/>
      </c>
      <c r="BO41" s="72" t="str">
        <f t="shared" si="34"/>
        <v/>
      </c>
      <c r="BP41" s="39"/>
      <c r="BQ41" s="72">
        <f t="shared" si="15"/>
        <v>5092319400</v>
      </c>
      <c r="BR41" s="72">
        <f t="shared" si="35"/>
        <v>2292506462.3425326</v>
      </c>
    </row>
    <row r="42" spans="3:70" x14ac:dyDescent="0.15">
      <c r="D42" s="81" t="s">
        <v>180</v>
      </c>
      <c r="F42" s="59">
        <v>2800</v>
      </c>
      <c r="G42" s="81" t="s">
        <v>181</v>
      </c>
      <c r="I42" s="459">
        <f t="shared" si="36"/>
        <v>2047</v>
      </c>
      <c r="K42" s="71">
        <f t="shared" si="37"/>
        <v>28</v>
      </c>
      <c r="L42" s="71"/>
      <c r="M42" s="7">
        <f t="shared" si="0"/>
        <v>0.4370767531704256</v>
      </c>
      <c r="N42" s="71"/>
      <c r="O42" s="10">
        <f t="shared" si="16"/>
        <v>0</v>
      </c>
      <c r="P42" s="29" t="str">
        <f t="shared" si="1"/>
        <v>-</v>
      </c>
      <c r="Q42" s="71"/>
      <c r="R42" s="10">
        <f t="shared" si="17"/>
        <v>6927500000</v>
      </c>
      <c r="S42" s="71"/>
      <c r="T42" s="10">
        <f t="shared" si="18"/>
        <v>6927500000</v>
      </c>
      <c r="U42" s="71"/>
      <c r="V42" s="10">
        <f t="shared" si="2"/>
        <v>0</v>
      </c>
      <c r="W42" s="10">
        <f t="shared" si="19"/>
        <v>0</v>
      </c>
      <c r="X42" s="71"/>
      <c r="Y42" s="10">
        <f t="shared" si="3"/>
        <v>96985000</v>
      </c>
      <c r="Z42" s="10">
        <f t="shared" si="20"/>
        <v>42389888.906233728</v>
      </c>
      <c r="AA42" s="71"/>
      <c r="AB42" s="10">
        <f t="shared" si="4"/>
        <v>0</v>
      </c>
      <c r="AC42" s="10">
        <f t="shared" si="21"/>
        <v>0</v>
      </c>
      <c r="AD42" s="71"/>
      <c r="AE42" s="10">
        <f t="shared" si="5"/>
        <v>0</v>
      </c>
      <c r="AF42" s="10">
        <f t="shared" si="22"/>
        <v>0</v>
      </c>
      <c r="AG42" s="71"/>
      <c r="AH42" s="10">
        <f t="shared" si="6"/>
        <v>620000000</v>
      </c>
      <c r="AI42" s="10">
        <f t="shared" si="23"/>
        <v>270987586.96566385</v>
      </c>
      <c r="AJ42" s="71"/>
      <c r="AK42" s="10">
        <f t="shared" si="7"/>
        <v>3325200000</v>
      </c>
      <c r="AL42" s="10">
        <f t="shared" si="24"/>
        <v>1453367619.6422992</v>
      </c>
      <c r="AM42" s="71"/>
      <c r="AN42" s="10">
        <f t="shared" si="8"/>
        <v>1524050000</v>
      </c>
      <c r="AO42" s="10">
        <f t="shared" si="25"/>
        <v>666126825.6693871</v>
      </c>
      <c r="AP42" s="71"/>
      <c r="AQ42" s="10">
        <f t="shared" si="9"/>
        <v>656310000</v>
      </c>
      <c r="AR42" s="10">
        <f t="shared" si="26"/>
        <v>286857843.87328202</v>
      </c>
      <c r="AS42" s="71"/>
      <c r="AT42" s="7">
        <f>IF($K42&lt;=$F$15,IF($F$40&lt;&gt;"",$F$40/1000,IF(ISERROR(VLOOKUP($F$3&amp;IF($G$4&lt;&gt;"",$G$4,"")&amp;IF($F$43&lt;&gt;"","_"&amp;$F$43,""),'表3）燃料価格'!$AF$9:$AG$25,2,0)),0,VLOOKUP($I42,'表3）燃料価格'!$A$6:$U$66,VLOOKUP($F$3&amp;IF($G$4&lt;&gt;"",$G$4,"")&amp;IF($F$43&lt;&gt;"","_"&amp;$F$43,""),'表3）燃料価格'!$AF$9:$AG$25,2,0)+VLOOKUP($F$41,'表3）燃料価格'!$AF$28:$AG$29,2,0),0)*IF($F$43="需要地価格",1,$F$8/$F$141))),"")</f>
        <v>47.795466809569312</v>
      </c>
      <c r="AU42" s="71"/>
      <c r="AV42" s="10">
        <f t="shared" si="10"/>
        <v>31845740455.106705</v>
      </c>
      <c r="AW42" s="10">
        <f t="shared" si="27"/>
        <v>13919032840.426111</v>
      </c>
      <c r="AX42" s="71"/>
      <c r="AY42" s="7">
        <f>IF(ISERROR(IF($K42&lt;=$F$15,VLOOKUP($I42,'表4）CO2価格'!$A$7:$E$67,VLOOKUP($F$48,'表4）CO2価格'!$H$10:$I$12,2,0),0)*$F$8/1000,"")),0,IF($K42&lt;=$F$15,VLOOKUP($I42,'表4）CO2価格'!$A$7:$E$67,VLOOKUP($F$48,'表4）CO2価格'!$H$10:$I$12,2,0),0)*$F$8/1000,""))</f>
        <v>6.4628000000000103</v>
      </c>
      <c r="AZ42" s="71"/>
      <c r="BA42" s="11">
        <f t="shared" si="11"/>
        <v>11316071378.710915</v>
      </c>
      <c r="BB42" s="10">
        <f t="shared" si="28"/>
        <v>4945991736.8517485</v>
      </c>
      <c r="BC42" s="71"/>
      <c r="BD42" s="10">
        <f t="shared" si="12"/>
        <v>0</v>
      </c>
      <c r="BE42" s="10">
        <f t="shared" si="29"/>
        <v>0</v>
      </c>
      <c r="BF42" s="71"/>
      <c r="BG42" s="11">
        <f t="shared" si="13"/>
        <v>0</v>
      </c>
      <c r="BH42" s="10">
        <f t="shared" si="30"/>
        <v>0</v>
      </c>
      <c r="BJ42" s="7" t="str">
        <f t="shared" si="31"/>
        <v/>
      </c>
      <c r="BK42" s="158" t="str">
        <f t="shared" si="32"/>
        <v/>
      </c>
      <c r="BL42" s="158" t="str">
        <f t="shared" si="14"/>
        <v/>
      </c>
      <c r="BM42" s="10"/>
      <c r="BN42" s="10" t="str">
        <f t="shared" si="33"/>
        <v/>
      </c>
      <c r="BO42" s="10" t="str">
        <f t="shared" si="34"/>
        <v/>
      </c>
      <c r="BQ42" s="10">
        <f t="shared" si="15"/>
        <v>5092319400</v>
      </c>
      <c r="BR42" s="10">
        <f t="shared" si="35"/>
        <v>2225734429.4587698</v>
      </c>
    </row>
    <row r="43" spans="3:70" x14ac:dyDescent="0.15">
      <c r="D43" s="82" t="s">
        <v>126</v>
      </c>
      <c r="F43" s="88"/>
      <c r="I43" s="458">
        <f t="shared" si="36"/>
        <v>2048</v>
      </c>
      <c r="J43" s="470"/>
      <c r="K43" s="39">
        <f t="shared" si="37"/>
        <v>29</v>
      </c>
      <c r="L43" s="39"/>
      <c r="M43" s="40">
        <f t="shared" si="0"/>
        <v>0.42434636230138412</v>
      </c>
      <c r="N43" s="39"/>
      <c r="O43" s="72">
        <f t="shared" si="16"/>
        <v>0</v>
      </c>
      <c r="P43" s="41" t="str">
        <f t="shared" si="1"/>
        <v>-</v>
      </c>
      <c r="Q43" s="39"/>
      <c r="R43" s="72">
        <f t="shared" si="17"/>
        <v>6927500000</v>
      </c>
      <c r="S43" s="39"/>
      <c r="T43" s="72">
        <f t="shared" si="18"/>
        <v>6927500000</v>
      </c>
      <c r="U43" s="39"/>
      <c r="V43" s="72">
        <f t="shared" si="2"/>
        <v>0</v>
      </c>
      <c r="W43" s="72">
        <f t="shared" si="19"/>
        <v>0</v>
      </c>
      <c r="X43" s="39"/>
      <c r="Y43" s="72">
        <f t="shared" si="3"/>
        <v>96985000</v>
      </c>
      <c r="Z43" s="72">
        <f t="shared" si="20"/>
        <v>41155231.947799742</v>
      </c>
      <c r="AA43" s="39"/>
      <c r="AB43" s="72">
        <f t="shared" si="4"/>
        <v>0</v>
      </c>
      <c r="AC43" s="72">
        <f t="shared" si="21"/>
        <v>0</v>
      </c>
      <c r="AD43" s="39"/>
      <c r="AE43" s="72">
        <f t="shared" si="5"/>
        <v>0</v>
      </c>
      <c r="AF43" s="72">
        <f t="shared" si="22"/>
        <v>0</v>
      </c>
      <c r="AG43" s="39"/>
      <c r="AH43" s="72">
        <f t="shared" si="6"/>
        <v>620000000</v>
      </c>
      <c r="AI43" s="72">
        <f t="shared" si="23"/>
        <v>263094744.62685814</v>
      </c>
      <c r="AJ43" s="39"/>
      <c r="AK43" s="72">
        <f t="shared" si="7"/>
        <v>3325200000</v>
      </c>
      <c r="AL43" s="72">
        <f t="shared" si="24"/>
        <v>1411036523.9245625</v>
      </c>
      <c r="AM43" s="39"/>
      <c r="AN43" s="72">
        <f t="shared" si="8"/>
        <v>1524050000</v>
      </c>
      <c r="AO43" s="72">
        <f t="shared" si="25"/>
        <v>646725073.46542442</v>
      </c>
      <c r="AP43" s="39"/>
      <c r="AQ43" s="72">
        <f t="shared" si="9"/>
        <v>656310000</v>
      </c>
      <c r="AR43" s="72">
        <f t="shared" si="26"/>
        <v>278502761.04202139</v>
      </c>
      <c r="AS43" s="39"/>
      <c r="AT43" s="40">
        <f>IF($K43&lt;=$F$15,IF($F$40&lt;&gt;"",$F$40/1000,IF(ISERROR(VLOOKUP($F$3&amp;IF($G$4&lt;&gt;"",$G$4,"")&amp;IF($F$43&lt;&gt;"","_"&amp;$F$43,""),'表3）燃料価格'!$AF$9:$AG$25,2,0)),0,VLOOKUP($I43,'表3）燃料価格'!$A$6:$U$66,VLOOKUP($F$3&amp;IF($G$4&lt;&gt;"",$G$4,"")&amp;IF($F$43&lt;&gt;"","_"&amp;$F$43,""),'表3）燃料価格'!$AF$9:$AG$25,2,0)+VLOOKUP($F$41,'表3）燃料価格'!$AF$28:$AG$29,2,0),0)*IF($F$43="需要地価格",1,$F$8/$F$141))),"")</f>
        <v>47.675552818469335</v>
      </c>
      <c r="AU43" s="39"/>
      <c r="AV43" s="72">
        <f t="shared" si="10"/>
        <v>31770264328.917797</v>
      </c>
      <c r="AW43" s="72">
        <f t="shared" si="27"/>
        <v>13481596097.329691</v>
      </c>
      <c r="AX43" s="39"/>
      <c r="AY43" s="40">
        <f>IF(ISERROR(IF($K43&lt;=$F$15,VLOOKUP($I43,'表4）CO2価格'!$A$7:$E$67,VLOOKUP($F$48,'表4）CO2価格'!$H$10:$I$12,2,0),0)*$F$8/1000,"")),0,IF($K43&lt;=$F$15,VLOOKUP($I43,'表4）CO2価格'!$A$7:$E$67,VLOOKUP($F$48,'表4）CO2価格'!$H$10:$I$12,2,0),0)*$F$8/1000,""))</f>
        <v>6.59119999999999</v>
      </c>
      <c r="AZ43" s="39"/>
      <c r="BA43" s="42">
        <f t="shared" si="11"/>
        <v>11540893988.883944</v>
      </c>
      <c r="BB43" s="72">
        <f t="shared" si="28"/>
        <v>4897336381.8888121</v>
      </c>
      <c r="BC43" s="39"/>
      <c r="BD43" s="72">
        <f t="shared" si="12"/>
        <v>0</v>
      </c>
      <c r="BE43" s="72">
        <f t="shared" si="29"/>
        <v>0</v>
      </c>
      <c r="BF43" s="39"/>
      <c r="BG43" s="42">
        <f t="shared" si="13"/>
        <v>0</v>
      </c>
      <c r="BH43" s="72">
        <f t="shared" si="30"/>
        <v>0</v>
      </c>
      <c r="BI43" s="39"/>
      <c r="BJ43" s="40" t="str">
        <f t="shared" si="31"/>
        <v/>
      </c>
      <c r="BK43" s="157" t="str">
        <f t="shared" si="32"/>
        <v/>
      </c>
      <c r="BL43" s="157" t="str">
        <f t="shared" si="14"/>
        <v/>
      </c>
      <c r="BM43" s="72"/>
      <c r="BN43" s="72" t="str">
        <f t="shared" si="33"/>
        <v/>
      </c>
      <c r="BO43" s="72" t="str">
        <f t="shared" si="34"/>
        <v/>
      </c>
      <c r="BP43" s="39"/>
      <c r="BQ43" s="72">
        <f t="shared" si="15"/>
        <v>5092319400</v>
      </c>
      <c r="BR43" s="72">
        <f t="shared" si="35"/>
        <v>2160907213.0667672</v>
      </c>
    </row>
    <row r="44" spans="3:70" x14ac:dyDescent="0.15">
      <c r="I44" s="459">
        <f t="shared" si="36"/>
        <v>2049</v>
      </c>
      <c r="K44" s="71">
        <f t="shared" si="37"/>
        <v>30</v>
      </c>
      <c r="L44" s="71"/>
      <c r="M44" s="7">
        <f t="shared" si="0"/>
        <v>0.41198675951590691</v>
      </c>
      <c r="N44" s="71"/>
      <c r="O44" s="10">
        <f t="shared" si="16"/>
        <v>0</v>
      </c>
      <c r="P44" s="29" t="str">
        <f t="shared" si="1"/>
        <v>-</v>
      </c>
      <c r="Q44" s="71"/>
      <c r="R44" s="10">
        <f t="shared" si="17"/>
        <v>6927500000</v>
      </c>
      <c r="S44" s="71"/>
      <c r="T44" s="10">
        <f t="shared" si="18"/>
        <v>6927500000</v>
      </c>
      <c r="U44" s="71"/>
      <c r="V44" s="10">
        <f t="shared" si="2"/>
        <v>0</v>
      </c>
      <c r="W44" s="10">
        <f t="shared" si="19"/>
        <v>0</v>
      </c>
      <c r="X44" s="71"/>
      <c r="Y44" s="10">
        <f t="shared" si="3"/>
        <v>96985000</v>
      </c>
      <c r="Z44" s="10">
        <f t="shared" si="20"/>
        <v>39956535.871650234</v>
      </c>
      <c r="AA44" s="71"/>
      <c r="AB44" s="10">
        <f t="shared" si="4"/>
        <v>0</v>
      </c>
      <c r="AC44" s="10">
        <f t="shared" si="21"/>
        <v>0</v>
      </c>
      <c r="AD44" s="71"/>
      <c r="AE44" s="10">
        <f t="shared" si="5"/>
        <v>0</v>
      </c>
      <c r="AF44" s="10">
        <f t="shared" si="22"/>
        <v>0</v>
      </c>
      <c r="AG44" s="71"/>
      <c r="AH44" s="10">
        <f t="shared" si="6"/>
        <v>620000000</v>
      </c>
      <c r="AI44" s="10">
        <f t="shared" si="23"/>
        <v>255431790.89986229</v>
      </c>
      <c r="AJ44" s="71"/>
      <c r="AK44" s="10">
        <f t="shared" si="7"/>
        <v>3325200000</v>
      </c>
      <c r="AL44" s="10">
        <f t="shared" si="24"/>
        <v>1369938372.7422936</v>
      </c>
      <c r="AM44" s="71"/>
      <c r="AN44" s="10">
        <f t="shared" si="8"/>
        <v>1524050000</v>
      </c>
      <c r="AO44" s="10">
        <f t="shared" si="25"/>
        <v>627888420.84021795</v>
      </c>
      <c r="AP44" s="71"/>
      <c r="AQ44" s="10">
        <f t="shared" si="9"/>
        <v>656310000</v>
      </c>
      <c r="AR44" s="10">
        <f t="shared" si="26"/>
        <v>270391030.13788486</v>
      </c>
      <c r="AS44" s="71"/>
      <c r="AT44" s="7">
        <f>IF($K44&lt;=$F$15,IF($F$40&lt;&gt;"",$F$40/1000,IF(ISERROR(VLOOKUP($F$3&amp;IF($G$4&lt;&gt;"",$G$4,"")&amp;IF($F$43&lt;&gt;"","_"&amp;$F$43,""),'表3）燃料価格'!$AF$9:$AG$25,2,0)),0,VLOOKUP($I44,'表3）燃料価格'!$A$6:$U$66,VLOOKUP($F$3&amp;IF($G$4&lt;&gt;"",$G$4,"")&amp;IF($F$43&lt;&gt;"","_"&amp;$F$43,""),'表3）燃料価格'!$AF$9:$AG$25,2,0)+VLOOKUP($F$41,'表3）燃料価格'!$AF$28:$AG$29,2,0),0)*IF($F$43="需要地価格",1,$F$8/$F$141))),"")</f>
        <v>47.559115089283104</v>
      </c>
      <c r="AU44" s="71"/>
      <c r="AV44" s="10">
        <f t="shared" si="10"/>
        <v>31696976227.499481</v>
      </c>
      <c r="AW44" s="10">
        <f t="shared" si="27"/>
        <v>13058734522.420246</v>
      </c>
      <c r="AX44" s="71"/>
      <c r="AY44" s="7">
        <f>IF(ISERROR(IF($K44&lt;=$F$15,VLOOKUP($I44,'表4）CO2価格'!$A$7:$E$67,VLOOKUP($F$48,'表4）CO2価格'!$H$10:$I$12,2,0),0)*$F$8/1000,"")),0,IF($K44&lt;=$F$15,VLOOKUP($I44,'表4）CO2価格'!$A$7:$E$67,VLOOKUP($F$48,'表4）CO2価格'!$H$10:$I$12,2,0),0)*$F$8/1000,""))</f>
        <v>6.7195999999999714</v>
      </c>
      <c r="AZ44" s="71"/>
      <c r="BA44" s="11">
        <f t="shared" si="11"/>
        <v>11765716599.056974</v>
      </c>
      <c r="BB44" s="10">
        <f t="shared" si="28"/>
        <v>4847319455.0279999</v>
      </c>
      <c r="BC44" s="71"/>
      <c r="BD44" s="10">
        <f t="shared" si="12"/>
        <v>0</v>
      </c>
      <c r="BE44" s="10">
        <f t="shared" si="29"/>
        <v>0</v>
      </c>
      <c r="BF44" s="71"/>
      <c r="BG44" s="11">
        <f t="shared" si="13"/>
        <v>0</v>
      </c>
      <c r="BH44" s="10">
        <f t="shared" si="30"/>
        <v>0</v>
      </c>
      <c r="BJ44" s="7" t="str">
        <f t="shared" si="31"/>
        <v/>
      </c>
      <c r="BK44" s="158" t="str">
        <f t="shared" si="32"/>
        <v/>
      </c>
      <c r="BL44" s="158" t="str">
        <f t="shared" si="14"/>
        <v/>
      </c>
      <c r="BM44" s="10"/>
      <c r="BN44" s="10" t="str">
        <f t="shared" si="33"/>
        <v/>
      </c>
      <c r="BO44" s="10" t="str">
        <f t="shared" si="34"/>
        <v/>
      </c>
      <c r="BQ44" s="10">
        <f t="shared" si="15"/>
        <v>5092319400</v>
      </c>
      <c r="BR44" s="10">
        <f t="shared" si="35"/>
        <v>2097968168.0259874</v>
      </c>
    </row>
    <row r="45" spans="3:70" x14ac:dyDescent="0.15">
      <c r="C45" s="89" t="s">
        <v>509</v>
      </c>
      <c r="D45" s="101"/>
      <c r="E45" s="101"/>
      <c r="F45" s="89"/>
      <c r="G45" s="101"/>
      <c r="I45" s="458">
        <f t="shared" si="36"/>
        <v>2050</v>
      </c>
      <c r="J45" s="470"/>
      <c r="K45" s="39">
        <f t="shared" si="37"/>
        <v>31</v>
      </c>
      <c r="L45" s="39"/>
      <c r="M45" s="40">
        <f t="shared" si="0"/>
        <v>0.39998714516107459</v>
      </c>
      <c r="N45" s="39"/>
      <c r="O45" s="72">
        <f t="shared" si="16"/>
        <v>0</v>
      </c>
      <c r="P45" s="41" t="str">
        <f t="shared" si="1"/>
        <v>-</v>
      </c>
      <c r="Q45" s="39"/>
      <c r="R45" s="72">
        <f t="shared" si="17"/>
        <v>6927500000</v>
      </c>
      <c r="S45" s="39"/>
      <c r="T45" s="72">
        <f t="shared" si="18"/>
        <v>6927500000</v>
      </c>
      <c r="U45" s="39"/>
      <c r="V45" s="72">
        <f t="shared" si="2"/>
        <v>0</v>
      </c>
      <c r="W45" s="72">
        <f t="shared" si="19"/>
        <v>0</v>
      </c>
      <c r="X45" s="39"/>
      <c r="Y45" s="72">
        <f t="shared" si="3"/>
        <v>96985000</v>
      </c>
      <c r="Z45" s="72">
        <f t="shared" si="20"/>
        <v>38792753.273446821</v>
      </c>
      <c r="AA45" s="39"/>
      <c r="AB45" s="72">
        <f t="shared" si="4"/>
        <v>0</v>
      </c>
      <c r="AC45" s="72">
        <f t="shared" si="21"/>
        <v>0</v>
      </c>
      <c r="AD45" s="39"/>
      <c r="AE45" s="72">
        <f t="shared" si="5"/>
        <v>0</v>
      </c>
      <c r="AF45" s="72">
        <f t="shared" si="22"/>
        <v>0</v>
      </c>
      <c r="AG45" s="39"/>
      <c r="AH45" s="72">
        <f t="shared" si="6"/>
        <v>620000000</v>
      </c>
      <c r="AI45" s="72">
        <f t="shared" si="23"/>
        <v>247992029.99986625</v>
      </c>
      <c r="AJ45" s="39"/>
      <c r="AK45" s="72">
        <f t="shared" si="7"/>
        <v>3325200000</v>
      </c>
      <c r="AL45" s="72">
        <f t="shared" si="24"/>
        <v>1330037255.0896053</v>
      </c>
      <c r="AM45" s="39"/>
      <c r="AN45" s="72">
        <f t="shared" si="8"/>
        <v>1524050000</v>
      </c>
      <c r="AO45" s="72">
        <f t="shared" si="25"/>
        <v>609600408.58273578</v>
      </c>
      <c r="AP45" s="39"/>
      <c r="AQ45" s="72">
        <f t="shared" si="9"/>
        <v>656310000</v>
      </c>
      <c r="AR45" s="72">
        <f t="shared" si="26"/>
        <v>262515563.24066487</v>
      </c>
      <c r="AS45" s="39"/>
      <c r="AT45" s="40">
        <f>IF($K45&lt;=$F$15,IF($F$40&lt;&gt;"",$F$40/1000,IF(ISERROR(VLOOKUP($F$3&amp;IF($G$4&lt;&gt;"",$G$4,"")&amp;IF($F$43&lt;&gt;"","_"&amp;$F$43,""),'表3）燃料価格'!$AF$9:$AG$25,2,0)),0,VLOOKUP($I45,'表3）燃料価格'!$A$6:$U$66,VLOOKUP($F$3&amp;IF($G$4&lt;&gt;"",$G$4,"")&amp;IF($F$43&lt;&gt;"","_"&amp;$F$43,""),'表3）燃料価格'!$AF$9:$AG$25,2,0)+VLOOKUP($F$41,'表3）燃料価格'!$AF$28:$AG$29,2,0),0)*IF($F$43="需要地価格",1,$F$8/$F$141))),"")</f>
        <v>47.445957736261718</v>
      </c>
      <c r="AU45" s="39"/>
      <c r="AV45" s="72">
        <f t="shared" si="10"/>
        <v>31625752856.669262</v>
      </c>
      <c r="AW45" s="72">
        <f t="shared" si="27"/>
        <v>12649894598.708838</v>
      </c>
      <c r="AX45" s="39"/>
      <c r="AY45" s="40">
        <f>IF(ISERROR(IF($K45&lt;=$F$15,VLOOKUP($I45,'表4）CO2価格'!$A$7:$E$67,VLOOKUP($F$48,'表4）CO2価格'!$H$10:$I$12,2,0),0)*$F$8/1000,"")),0,IF($K45&lt;=$F$15,VLOOKUP($I45,'表4）CO2価格'!$A$7:$E$67,VLOOKUP($F$48,'表4）CO2価格'!$H$10:$I$12,2,0),0)*$F$8/1000,""))</f>
        <v>6.8479999999999999</v>
      </c>
      <c r="AZ45" s="39"/>
      <c r="BA45" s="42">
        <f t="shared" si="11"/>
        <v>11990539209.230089</v>
      </c>
      <c r="BB45" s="72">
        <f t="shared" si="28"/>
        <v>4796061547.2418718</v>
      </c>
      <c r="BC45" s="39"/>
      <c r="BD45" s="72">
        <f t="shared" si="12"/>
        <v>0</v>
      </c>
      <c r="BE45" s="72">
        <f t="shared" si="29"/>
        <v>0</v>
      </c>
      <c r="BF45" s="39"/>
      <c r="BG45" s="42">
        <f t="shared" si="13"/>
        <v>0</v>
      </c>
      <c r="BH45" s="72">
        <f t="shared" si="30"/>
        <v>0</v>
      </c>
      <c r="BI45" s="39"/>
      <c r="BJ45" s="40" t="str">
        <f t="shared" si="31"/>
        <v/>
      </c>
      <c r="BK45" s="157" t="str">
        <f t="shared" si="32"/>
        <v/>
      </c>
      <c r="BL45" s="157" t="str">
        <f t="shared" si="14"/>
        <v/>
      </c>
      <c r="BM45" s="72"/>
      <c r="BN45" s="72" t="str">
        <f t="shared" si="33"/>
        <v/>
      </c>
      <c r="BO45" s="72" t="str">
        <f t="shared" si="34"/>
        <v/>
      </c>
      <c r="BP45" s="39"/>
      <c r="BQ45" s="72">
        <f t="shared" si="15"/>
        <v>5092319400</v>
      </c>
      <c r="BR45" s="72">
        <f t="shared" si="35"/>
        <v>2036862299.0543563</v>
      </c>
    </row>
    <row r="46" spans="3:70" x14ac:dyDescent="0.15">
      <c r="I46" s="459">
        <f t="shared" si="36"/>
        <v>2051</v>
      </c>
      <c r="K46" s="71">
        <f t="shared" si="37"/>
        <v>32</v>
      </c>
      <c r="L46" s="71"/>
      <c r="M46" s="7">
        <f t="shared" si="0"/>
        <v>0.38833703413696569</v>
      </c>
      <c r="N46" s="71"/>
      <c r="O46" s="10">
        <f t="shared" si="16"/>
        <v>0</v>
      </c>
      <c r="P46" s="29" t="str">
        <f t="shared" si="1"/>
        <v>-</v>
      </c>
      <c r="Q46" s="71"/>
      <c r="R46" s="10">
        <f t="shared" si="17"/>
        <v>6927500000</v>
      </c>
      <c r="S46" s="71"/>
      <c r="T46" s="10">
        <f t="shared" si="18"/>
        <v>6927500000</v>
      </c>
      <c r="U46" s="71"/>
      <c r="V46" s="10">
        <f t="shared" si="2"/>
        <v>0</v>
      </c>
      <c r="W46" s="10">
        <f t="shared" si="19"/>
        <v>0</v>
      </c>
      <c r="X46" s="71"/>
      <c r="Y46" s="10">
        <f t="shared" si="3"/>
        <v>96985000</v>
      </c>
      <c r="Z46" s="10">
        <f t="shared" si="20"/>
        <v>37662867.255773619</v>
      </c>
      <c r="AA46" s="71"/>
      <c r="AB46" s="10">
        <f t="shared" si="4"/>
        <v>0</v>
      </c>
      <c r="AC46" s="10">
        <f t="shared" si="21"/>
        <v>0</v>
      </c>
      <c r="AD46" s="71"/>
      <c r="AE46" s="10">
        <f t="shared" si="5"/>
        <v>0</v>
      </c>
      <c r="AF46" s="10">
        <f t="shared" si="22"/>
        <v>0</v>
      </c>
      <c r="AG46" s="71"/>
      <c r="AH46" s="10">
        <f t="shared" si="6"/>
        <v>620000000</v>
      </c>
      <c r="AI46" s="10">
        <f t="shared" si="23"/>
        <v>240768961.16491872</v>
      </c>
      <c r="AJ46" s="71"/>
      <c r="AK46" s="10">
        <f t="shared" si="7"/>
        <v>3325200000</v>
      </c>
      <c r="AL46" s="10">
        <f t="shared" si="24"/>
        <v>1291298305.9122384</v>
      </c>
      <c r="AM46" s="71"/>
      <c r="AN46" s="10">
        <f t="shared" si="8"/>
        <v>1524050000</v>
      </c>
      <c r="AO46" s="10">
        <f t="shared" si="25"/>
        <v>591845056.87644255</v>
      </c>
      <c r="AP46" s="71"/>
      <c r="AQ46" s="10">
        <f t="shared" si="9"/>
        <v>656310000</v>
      </c>
      <c r="AR46" s="10">
        <f t="shared" si="26"/>
        <v>254869478.87443194</v>
      </c>
      <c r="AS46" s="71"/>
      <c r="AT46" s="7">
        <f>IF($K46&lt;=$F$15,IF($F$40&lt;&gt;"",$F$40/1000,IF(ISERROR(VLOOKUP($F$3&amp;IF($G$4&lt;&gt;"",$G$4,"")&amp;IF($F$43&lt;&gt;"","_"&amp;$F$43,""),'表3）燃料価格'!$AF$9:$AG$25,2,0)),0,VLOOKUP($I46,'表3）燃料価格'!$A$6:$U$66,VLOOKUP($F$3&amp;IF($G$4&lt;&gt;"",$G$4,"")&amp;IF($F$43&lt;&gt;"","_"&amp;$F$43,""),'表3）燃料価格'!$AF$9:$AG$25,2,0)+VLOOKUP($F$41,'表3）燃料価格'!$AF$28:$AG$29,2,0),0)*IF($F$43="需要地価格",1,$F$8/$F$141))),"")</f>
        <v>47.335900978060927</v>
      </c>
      <c r="AU46" s="71"/>
      <c r="AV46" s="10">
        <f t="shared" si="10"/>
        <v>31556481058.660473</v>
      </c>
      <c r="AW46" s="10">
        <f t="shared" si="27"/>
        <v>12254550262.119543</v>
      </c>
      <c r="AX46" s="71"/>
      <c r="AY46" s="7">
        <f>IF(ISERROR(IF($K46&lt;=$F$15,VLOOKUP($I46,'表4）CO2価格'!$A$7:$E$67,VLOOKUP($F$48,'表4）CO2価格'!$H$10:$I$12,2,0),0)*$F$8/1000,"")),0,IF($K46&lt;=$F$15,VLOOKUP($I46,'表4）CO2価格'!$A$7:$E$67,VLOOKUP($F$48,'表4）CO2価格'!$H$10:$I$12,2,0),0)*$F$8/1000,""))</f>
        <v>7.0184806169104448</v>
      </c>
      <c r="AZ46" s="71"/>
      <c r="BA46" s="11">
        <f t="shared" si="11"/>
        <v>12289043082.109531</v>
      </c>
      <c r="BB46" s="10">
        <f t="shared" si="28"/>
        <v>4772290542.8878107</v>
      </c>
      <c r="BC46" s="71"/>
      <c r="BD46" s="10">
        <f t="shared" si="12"/>
        <v>0</v>
      </c>
      <c r="BE46" s="10">
        <f t="shared" si="29"/>
        <v>0</v>
      </c>
      <c r="BF46" s="71"/>
      <c r="BG46" s="11">
        <f t="shared" si="13"/>
        <v>0</v>
      </c>
      <c r="BH46" s="10">
        <f t="shared" si="30"/>
        <v>0</v>
      </c>
      <c r="BJ46" s="7" t="str">
        <f t="shared" si="31"/>
        <v/>
      </c>
      <c r="BK46" s="158" t="str">
        <f t="shared" si="32"/>
        <v/>
      </c>
      <c r="BL46" s="158" t="str">
        <f t="shared" si="14"/>
        <v/>
      </c>
      <c r="BM46" s="10"/>
      <c r="BN46" s="10" t="str">
        <f t="shared" si="33"/>
        <v/>
      </c>
      <c r="BO46" s="10" t="str">
        <f t="shared" si="34"/>
        <v/>
      </c>
      <c r="BQ46" s="10">
        <f t="shared" si="15"/>
        <v>5092319400</v>
      </c>
      <c r="BR46" s="10">
        <f t="shared" si="35"/>
        <v>1977536212.6741326</v>
      </c>
    </row>
    <row r="47" spans="3:70" x14ac:dyDescent="0.15">
      <c r="D47" s="81" t="s">
        <v>182</v>
      </c>
      <c r="F47" s="109">
        <v>13.87</v>
      </c>
      <c r="G47" s="81" t="s">
        <v>183</v>
      </c>
      <c r="I47" s="458">
        <f t="shared" si="36"/>
        <v>2052</v>
      </c>
      <c r="J47" s="470"/>
      <c r="K47" s="39">
        <f t="shared" si="37"/>
        <v>33</v>
      </c>
      <c r="L47" s="39"/>
      <c r="M47" s="40">
        <f t="shared" ref="M47:M78" si="38">1/(1+($F$9/100))^K47</f>
        <v>0.37702624673491814</v>
      </c>
      <c r="N47" s="39"/>
      <c r="O47" s="72">
        <f t="shared" si="16"/>
        <v>0</v>
      </c>
      <c r="P47" s="41" t="str">
        <f t="shared" ref="P47:P78" si="39">IF(K47&lt;=$F$15,IF(OR(P46=$F$124,P46="-"),"-",IF(O47*$F$123&gt;$F$127,$F$123,$F$124)),"")</f>
        <v>-</v>
      </c>
      <c r="Q47" s="39"/>
      <c r="R47" s="72">
        <f t="shared" si="17"/>
        <v>6927500000</v>
      </c>
      <c r="S47" s="39"/>
      <c r="T47" s="72">
        <f t="shared" si="18"/>
        <v>6927500000</v>
      </c>
      <c r="U47" s="39"/>
      <c r="V47" s="72">
        <f t="shared" ref="V47:V78" si="40">IF(K47&lt;=$F$15,IF(K47&lt;$F$119,IF(P47="-",V46,O47*P47),IF(K47=$F$119,MIN(IF(P47="-",V46,O47*P47),O47),0)),"")</f>
        <v>0</v>
      </c>
      <c r="W47" s="72">
        <f t="shared" si="19"/>
        <v>0</v>
      </c>
      <c r="X47" s="39"/>
      <c r="Y47" s="72">
        <f t="shared" ref="Y47:Y78" si="41">IF($K47&lt;=$F$15,ROUNDDOWN(T47*$F$25/100,-2),"")</f>
        <v>96985000</v>
      </c>
      <c r="Z47" s="72">
        <f t="shared" si="20"/>
        <v>36565890.539586037</v>
      </c>
      <c r="AA47" s="39"/>
      <c r="AB47" s="72">
        <f t="shared" si="4"/>
        <v>0</v>
      </c>
      <c r="AC47" s="72">
        <f t="shared" si="21"/>
        <v>0</v>
      </c>
      <c r="AD47" s="39"/>
      <c r="AE47" s="72">
        <f t="shared" ref="AE47:AE78" si="42">IF($K47&lt;=$F$15,$F$26,"")</f>
        <v>0</v>
      </c>
      <c r="AF47" s="72">
        <f t="shared" si="22"/>
        <v>0</v>
      </c>
      <c r="AG47" s="39"/>
      <c r="AH47" s="72">
        <f t="shared" ref="AH47:AH78" si="43">IF($K47&lt;=$F$15,$F$33*10^8,"")</f>
        <v>620000000</v>
      </c>
      <c r="AI47" s="72">
        <f t="shared" si="23"/>
        <v>233756272.97564924</v>
      </c>
      <c r="AJ47" s="39"/>
      <c r="AK47" s="72">
        <f t="shared" ref="AK47:AK78" si="44">IF($K47&lt;=$F$15,$F$117*$F$34/100,"")</f>
        <v>3325200000</v>
      </c>
      <c r="AL47" s="72">
        <f t="shared" si="24"/>
        <v>1253687675.6429498</v>
      </c>
      <c r="AM47" s="39"/>
      <c r="AN47" s="72">
        <f t="shared" ref="AN47:AN78" si="45">IF($K47&lt;=$F$15,$F$117*$F$35/100,"")</f>
        <v>1524050000</v>
      </c>
      <c r="AO47" s="72">
        <f t="shared" si="25"/>
        <v>574606851.33635199</v>
      </c>
      <c r="AP47" s="39"/>
      <c r="AQ47" s="72">
        <f t="shared" ref="AQ47:AQ78" si="46">IF($K47&lt;=$F$15,SUM(AH47,AK47,AN47)*($F$36/100),"")</f>
        <v>656310000</v>
      </c>
      <c r="AR47" s="72">
        <f t="shared" si="26"/>
        <v>247446095.99459413</v>
      </c>
      <c r="AS47" s="39"/>
      <c r="AT47" s="40">
        <f>IF($K47&lt;=$F$15,IF($F$40&lt;&gt;"",$F$40/1000,IF(ISERROR(VLOOKUP($F$3&amp;IF($G$4&lt;&gt;"",$G$4,"")&amp;IF($F$43&lt;&gt;"","_"&amp;$F$43,""),'表3）燃料価格'!$AF$9:$AG$25,2,0)),0,VLOOKUP($I47,'表3）燃料価格'!$A$6:$U$66,VLOOKUP($F$3&amp;IF($G$4&lt;&gt;"",$G$4,"")&amp;IF($F$43&lt;&gt;"","_"&amp;$F$43,""),'表3）燃料価格'!$AF$9:$AG$25,2,0)+VLOOKUP($F$41,'表3）燃料価格'!$AF$28:$AG$29,2,0),0)*IF($F$43="需要地価格",1,$F$8/$F$141))),"")</f>
        <v>47.228779419399288</v>
      </c>
      <c r="AU47" s="39"/>
      <c r="AV47" s="72">
        <f t="shared" ref="AV47:AV78" si="47">IF($K47&lt;=$F$15,($AT47+$F$142)*$F$137,"")</f>
        <v>31489056730.565533</v>
      </c>
      <c r="AW47" s="72">
        <f t="shared" si="27"/>
        <v>11872200872.348036</v>
      </c>
      <c r="AX47" s="39"/>
      <c r="AY47" s="40">
        <f>IF(ISERROR(IF($K47&lt;=$F$15,VLOOKUP($I47,'表4）CO2価格'!$A$7:$E$67,VLOOKUP($F$48,'表4）CO2価格'!$H$10:$I$12,2,0),0)*$F$8/1000,"")),0,IF($K47&lt;=$F$15,VLOOKUP($I47,'表4）CO2価格'!$A$7:$E$67,VLOOKUP($F$48,'表4）CO2価格'!$H$10:$I$12,2,0),0)*$F$8/1000,""))</f>
        <v>7.1500080975609199</v>
      </c>
      <c r="AZ47" s="39"/>
      <c r="BA47" s="42">
        <f t="shared" ref="BA47:BA78" si="48">IF($K47&lt;=$F$15,$F$145*AY47,"")</f>
        <v>12519341769.876875</v>
      </c>
      <c r="BB47" s="72">
        <f t="shared" si="28"/>
        <v>4720120439.0883656</v>
      </c>
      <c r="BC47" s="39"/>
      <c r="BD47" s="72">
        <f t="shared" ref="BD47:BD78" si="49">IF($K47&lt;=$F$15,($AT47+$F$152)*$F$151,"")</f>
        <v>0</v>
      </c>
      <c r="BE47" s="72">
        <f t="shared" si="29"/>
        <v>0</v>
      </c>
      <c r="BF47" s="39"/>
      <c r="BG47" s="42">
        <f t="shared" ref="BG47:BG78" si="50">IF($K47&lt;=$F$15,$F$153*AY47,"")</f>
        <v>0</v>
      </c>
      <c r="BH47" s="72">
        <f t="shared" si="30"/>
        <v>0</v>
      </c>
      <c r="BI47" s="39"/>
      <c r="BJ47" s="40" t="str">
        <f t="shared" si="31"/>
        <v/>
      </c>
      <c r="BK47" s="157" t="str">
        <f t="shared" si="32"/>
        <v/>
      </c>
      <c r="BL47" s="157" t="str">
        <f t="shared" si="14"/>
        <v/>
      </c>
      <c r="BM47" s="72"/>
      <c r="BN47" s="72" t="str">
        <f t="shared" si="33"/>
        <v/>
      </c>
      <c r="BO47" s="72" t="str">
        <f t="shared" si="34"/>
        <v/>
      </c>
      <c r="BP47" s="39"/>
      <c r="BQ47" s="72">
        <f t="shared" ref="BQ47:BQ78" si="51">IF($K47&lt;=$F$15,$F$134,"")</f>
        <v>5092319400</v>
      </c>
      <c r="BR47" s="72">
        <f t="shared" si="35"/>
        <v>1919938070.5574102</v>
      </c>
    </row>
    <row r="48" spans="3:70" x14ac:dyDescent="0.15">
      <c r="D48" s="81" t="s">
        <v>184</v>
      </c>
      <c r="F48" s="88" t="str">
        <f>まとめ!B5</f>
        <v>WEO2020　STEPS</v>
      </c>
      <c r="I48" s="459">
        <f t="shared" si="36"/>
        <v>2053</v>
      </c>
      <c r="K48" s="71">
        <f t="shared" si="37"/>
        <v>34</v>
      </c>
      <c r="L48" s="71"/>
      <c r="M48" s="7">
        <f t="shared" si="38"/>
        <v>0.36604489974263904</v>
      </c>
      <c r="N48" s="71"/>
      <c r="O48" s="10">
        <f t="shared" ref="O48:O79" si="52">IF(K48&lt;=$F$15,O47-V47,"")</f>
        <v>0</v>
      </c>
      <c r="P48" s="29" t="str">
        <f t="shared" si="39"/>
        <v>-</v>
      </c>
      <c r="Q48" s="71"/>
      <c r="R48" s="10">
        <f t="shared" ref="R48:R79" si="53">IF($K48&lt;=$F$15,MAX($F$117*5%,R47*$F$129),"")</f>
        <v>6927500000</v>
      </c>
      <c r="S48" s="71"/>
      <c r="T48" s="10">
        <f t="shared" si="18"/>
        <v>6927500000</v>
      </c>
      <c r="U48" s="71"/>
      <c r="V48" s="10">
        <f t="shared" si="40"/>
        <v>0</v>
      </c>
      <c r="W48" s="10">
        <f t="shared" si="19"/>
        <v>0</v>
      </c>
      <c r="X48" s="71"/>
      <c r="Y48" s="10">
        <f t="shared" si="41"/>
        <v>96985000</v>
      </c>
      <c r="Z48" s="10">
        <f t="shared" si="20"/>
        <v>35500864.60153985</v>
      </c>
      <c r="AA48" s="71"/>
      <c r="AB48" s="10">
        <f t="shared" si="4"/>
        <v>0</v>
      </c>
      <c r="AC48" s="10">
        <f t="shared" si="21"/>
        <v>0</v>
      </c>
      <c r="AD48" s="71"/>
      <c r="AE48" s="10">
        <f t="shared" si="42"/>
        <v>0</v>
      </c>
      <c r="AF48" s="10">
        <f t="shared" si="22"/>
        <v>0</v>
      </c>
      <c r="AG48" s="71"/>
      <c r="AH48" s="10">
        <f t="shared" si="43"/>
        <v>620000000</v>
      </c>
      <c r="AI48" s="10">
        <f t="shared" si="23"/>
        <v>226947837.84043619</v>
      </c>
      <c r="AJ48" s="71"/>
      <c r="AK48" s="10">
        <f t="shared" si="44"/>
        <v>3325200000</v>
      </c>
      <c r="AL48" s="10">
        <f t="shared" si="24"/>
        <v>1217172500.6242232</v>
      </c>
      <c r="AM48" s="71"/>
      <c r="AN48" s="10">
        <f t="shared" si="45"/>
        <v>1524050000</v>
      </c>
      <c r="AO48" s="10">
        <f t="shared" si="25"/>
        <v>557870729.45276904</v>
      </c>
      <c r="AP48" s="71"/>
      <c r="AQ48" s="10">
        <f t="shared" si="46"/>
        <v>656310000</v>
      </c>
      <c r="AR48" s="10">
        <f t="shared" si="26"/>
        <v>240238928.15009144</v>
      </c>
      <c r="AS48" s="71"/>
      <c r="AT48" s="7">
        <f>IF($K48&lt;=$F$15,IF($F$40&lt;&gt;"",$F$40/1000,IF(ISERROR(VLOOKUP($F$3&amp;IF($G$4&lt;&gt;"",$G$4,"")&amp;IF($F$43&lt;&gt;"","_"&amp;$F$43,""),'表3）燃料価格'!$AF$9:$AG$25,2,0)),0,VLOOKUP($I48,'表3）燃料価格'!$A$6:$U$66,VLOOKUP($F$3&amp;IF($G$4&lt;&gt;"",$G$4,"")&amp;IF($F$43&lt;&gt;"","_"&amp;$F$43,""),'表3）燃料価格'!$AF$9:$AG$25,2,0)+VLOOKUP($F$41,'表3）燃料価格'!$AF$28:$AG$29,2,0),0)*IF($F$43="需要地価格",1,$F$8/$F$141))),"")</f>
        <v>47.124440555958479</v>
      </c>
      <c r="AU48" s="71"/>
      <c r="AV48" s="10">
        <f t="shared" si="47"/>
        <v>31423383883.292023</v>
      </c>
      <c r="AW48" s="10">
        <f t="shared" si="27"/>
        <v>11502369403.134089</v>
      </c>
      <c r="AX48" s="71"/>
      <c r="AY48" s="7">
        <f>IF(ISERROR(IF($K48&lt;=$F$15,VLOOKUP($I48,'表4）CO2価格'!$A$7:$E$67,VLOOKUP($F$48,'表4）CO2価格'!$H$10:$I$12,2,0),0)*$F$8/1000,"")),0,IF($K48&lt;=$F$15,VLOOKUP($I48,'表4）CO2価格'!$A$7:$E$67,VLOOKUP($F$48,'表4）CO2価格'!$H$10:$I$12,2,0),0)*$F$8/1000,""))</f>
        <v>7.2814714966103056</v>
      </c>
      <c r="AZ48" s="71"/>
      <c r="BA48" s="11">
        <f t="shared" si="48"/>
        <v>12749528253.650288</v>
      </c>
      <c r="BB48" s="10">
        <f t="shared" si="28"/>
        <v>4666899791.3733635</v>
      </c>
      <c r="BC48" s="71"/>
      <c r="BD48" s="10">
        <f t="shared" si="49"/>
        <v>0</v>
      </c>
      <c r="BE48" s="10">
        <f t="shared" si="29"/>
        <v>0</v>
      </c>
      <c r="BF48" s="71"/>
      <c r="BG48" s="11">
        <f t="shared" si="50"/>
        <v>0</v>
      </c>
      <c r="BH48" s="10">
        <f t="shared" si="30"/>
        <v>0</v>
      </c>
      <c r="BJ48" s="7" t="str">
        <f t="shared" si="31"/>
        <v/>
      </c>
      <c r="BK48" s="158" t="str">
        <f t="shared" si="32"/>
        <v/>
      </c>
      <c r="BL48" s="158" t="str">
        <f t="shared" si="14"/>
        <v/>
      </c>
      <c r="BM48" s="10"/>
      <c r="BN48" s="10" t="str">
        <f t="shared" si="33"/>
        <v/>
      </c>
      <c r="BO48" s="10" t="str">
        <f t="shared" si="34"/>
        <v/>
      </c>
      <c r="BQ48" s="10">
        <f t="shared" si="51"/>
        <v>5092319400</v>
      </c>
      <c r="BR48" s="10">
        <f t="shared" si="35"/>
        <v>1864017544.2304957</v>
      </c>
    </row>
    <row r="49" spans="3:70" x14ac:dyDescent="0.15">
      <c r="I49" s="458">
        <f t="shared" si="36"/>
        <v>2054</v>
      </c>
      <c r="J49" s="470"/>
      <c r="K49" s="39">
        <f t="shared" si="37"/>
        <v>35</v>
      </c>
      <c r="L49" s="39"/>
      <c r="M49" s="40">
        <f t="shared" si="38"/>
        <v>0.35538339780838735</v>
      </c>
      <c r="N49" s="39"/>
      <c r="O49" s="72">
        <f t="shared" si="52"/>
        <v>0</v>
      </c>
      <c r="P49" s="41" t="str">
        <f t="shared" si="39"/>
        <v>-</v>
      </c>
      <c r="Q49" s="39"/>
      <c r="R49" s="72">
        <f t="shared" si="53"/>
        <v>6927500000</v>
      </c>
      <c r="S49" s="39"/>
      <c r="T49" s="72">
        <f t="shared" si="18"/>
        <v>6927500000</v>
      </c>
      <c r="U49" s="39"/>
      <c r="V49" s="72">
        <f t="shared" si="40"/>
        <v>0</v>
      </c>
      <c r="W49" s="72">
        <f t="shared" si="19"/>
        <v>0</v>
      </c>
      <c r="X49" s="39"/>
      <c r="Y49" s="72">
        <f t="shared" si="41"/>
        <v>96985000</v>
      </c>
      <c r="Z49" s="72">
        <f t="shared" si="20"/>
        <v>34466858.836446449</v>
      </c>
      <c r="AA49" s="39"/>
      <c r="AB49" s="72">
        <f t="shared" si="4"/>
        <v>0</v>
      </c>
      <c r="AC49" s="72">
        <f t="shared" si="21"/>
        <v>0</v>
      </c>
      <c r="AD49" s="39"/>
      <c r="AE49" s="72">
        <f t="shared" si="42"/>
        <v>0</v>
      </c>
      <c r="AF49" s="72">
        <f t="shared" si="22"/>
        <v>0</v>
      </c>
      <c r="AG49" s="39"/>
      <c r="AH49" s="72">
        <f t="shared" si="43"/>
        <v>620000000</v>
      </c>
      <c r="AI49" s="72">
        <f t="shared" si="23"/>
        <v>220337706.64120016</v>
      </c>
      <c r="AJ49" s="39"/>
      <c r="AK49" s="72">
        <f t="shared" si="44"/>
        <v>3325200000</v>
      </c>
      <c r="AL49" s="72">
        <f t="shared" si="24"/>
        <v>1181720874.3924496</v>
      </c>
      <c r="AM49" s="39"/>
      <c r="AN49" s="72">
        <f t="shared" si="45"/>
        <v>1524050000</v>
      </c>
      <c r="AO49" s="72">
        <f t="shared" si="25"/>
        <v>541622067.42987275</v>
      </c>
      <c r="AP49" s="39"/>
      <c r="AQ49" s="72">
        <f t="shared" si="46"/>
        <v>656310000</v>
      </c>
      <c r="AR49" s="72">
        <f t="shared" si="26"/>
        <v>233241677.81562269</v>
      </c>
      <c r="AS49" s="39"/>
      <c r="AT49" s="40">
        <f>IF($K49&lt;=$F$15,IF($F$40&lt;&gt;"",$F$40/1000,IF(ISERROR(VLOOKUP($F$3&amp;IF($G$4&lt;&gt;"",$G$4,"")&amp;IF($F$43&lt;&gt;"","_"&amp;$F$43,""),'表3）燃料価格'!$AF$9:$AG$25,2,0)),0,VLOOKUP($I49,'表3）燃料価格'!$A$6:$U$66,VLOOKUP($F$3&amp;IF($G$4&lt;&gt;"",$G$4,"")&amp;IF($F$43&lt;&gt;"","_"&amp;$F$43,""),'表3）燃料価格'!$AF$9:$AG$25,2,0)+VLOOKUP($F$41,'表3）燃料価格'!$AF$28:$AG$29,2,0),0)*IF($F$43="需要地価格",1,$F$8/$F$141))),"")</f>
        <v>47.022743468601469</v>
      </c>
      <c r="AU49" s="39"/>
      <c r="AV49" s="72">
        <f t="shared" si="47"/>
        <v>31359373819.678989</v>
      </c>
      <c r="AW49" s="72">
        <f t="shared" si="27"/>
        <v>11144600821.180906</v>
      </c>
      <c r="AX49" s="39"/>
      <c r="AY49" s="40">
        <f>IF(ISERROR(IF($K49&lt;=$F$15,VLOOKUP($I49,'表4）CO2価格'!$A$7:$E$67,VLOOKUP($F$48,'表4）CO2価格'!$H$10:$I$12,2,0),0)*$F$8/1000,"")),0,IF($K49&lt;=$F$15,VLOOKUP($I49,'表4）CO2価格'!$A$7:$E$67,VLOOKUP($F$48,'表4）CO2価格'!$H$10:$I$12,2,0),0)*$F$8/1000,""))</f>
        <v>7.4128708764708131</v>
      </c>
      <c r="AZ49" s="39"/>
      <c r="BA49" s="42">
        <f t="shared" si="48"/>
        <v>12979602642.710733</v>
      </c>
      <c r="BB49" s="72">
        <f t="shared" si="28"/>
        <v>4612735289.3692646</v>
      </c>
      <c r="BC49" s="39"/>
      <c r="BD49" s="72">
        <f t="shared" si="49"/>
        <v>0</v>
      </c>
      <c r="BE49" s="72">
        <f t="shared" si="29"/>
        <v>0</v>
      </c>
      <c r="BF49" s="39"/>
      <c r="BG49" s="42">
        <f t="shared" si="50"/>
        <v>0</v>
      </c>
      <c r="BH49" s="72">
        <f t="shared" si="30"/>
        <v>0</v>
      </c>
      <c r="BI49" s="39"/>
      <c r="BJ49" s="40" t="str">
        <f t="shared" si="31"/>
        <v/>
      </c>
      <c r="BK49" s="157" t="str">
        <f t="shared" si="32"/>
        <v/>
      </c>
      <c r="BL49" s="157" t="str">
        <f t="shared" si="14"/>
        <v/>
      </c>
      <c r="BM49" s="72"/>
      <c r="BN49" s="72" t="str">
        <f t="shared" si="33"/>
        <v/>
      </c>
      <c r="BO49" s="72" t="str">
        <f t="shared" si="34"/>
        <v/>
      </c>
      <c r="BP49" s="39"/>
      <c r="BQ49" s="72">
        <f t="shared" si="51"/>
        <v>5092319400</v>
      </c>
      <c r="BR49" s="72">
        <f t="shared" si="35"/>
        <v>1809725771.0975683</v>
      </c>
    </row>
    <row r="50" spans="3:70" x14ac:dyDescent="0.15">
      <c r="C50" s="89" t="s">
        <v>510</v>
      </c>
      <c r="D50" s="101"/>
      <c r="E50" s="101"/>
      <c r="F50" s="89"/>
      <c r="G50" s="101"/>
      <c r="I50" s="459">
        <f t="shared" si="36"/>
        <v>2055</v>
      </c>
      <c r="K50" s="71">
        <f t="shared" si="37"/>
        <v>36</v>
      </c>
      <c r="L50" s="71"/>
      <c r="M50" s="7">
        <f t="shared" si="38"/>
        <v>0.34503242505668674</v>
      </c>
      <c r="N50" s="71"/>
      <c r="O50" s="10">
        <f t="shared" si="52"/>
        <v>0</v>
      </c>
      <c r="P50" s="29" t="str">
        <f t="shared" si="39"/>
        <v>-</v>
      </c>
      <c r="Q50" s="71"/>
      <c r="R50" s="10">
        <f t="shared" si="53"/>
        <v>6927500000</v>
      </c>
      <c r="S50" s="71"/>
      <c r="T50" s="10">
        <f t="shared" si="18"/>
        <v>6927500000</v>
      </c>
      <c r="U50" s="71"/>
      <c r="V50" s="10">
        <f t="shared" si="40"/>
        <v>0</v>
      </c>
      <c r="W50" s="10">
        <f t="shared" si="19"/>
        <v>0</v>
      </c>
      <c r="X50" s="71"/>
      <c r="Y50" s="10">
        <f t="shared" si="41"/>
        <v>96985000</v>
      </c>
      <c r="Z50" s="10">
        <f t="shared" si="20"/>
        <v>33462969.744122762</v>
      </c>
      <c r="AA50" s="71"/>
      <c r="AB50" s="10">
        <f t="shared" si="4"/>
        <v>0</v>
      </c>
      <c r="AC50" s="10">
        <f t="shared" si="21"/>
        <v>0</v>
      </c>
      <c r="AD50" s="71"/>
      <c r="AE50" s="10">
        <f t="shared" si="42"/>
        <v>0</v>
      </c>
      <c r="AF50" s="10">
        <f t="shared" si="22"/>
        <v>0</v>
      </c>
      <c r="AG50" s="71"/>
      <c r="AH50" s="10">
        <f t="shared" si="43"/>
        <v>620000000</v>
      </c>
      <c r="AI50" s="10">
        <f t="shared" si="23"/>
        <v>213920103.53514579</v>
      </c>
      <c r="AJ50" s="71"/>
      <c r="AK50" s="10">
        <f t="shared" si="44"/>
        <v>3325200000</v>
      </c>
      <c r="AL50" s="10">
        <f t="shared" si="24"/>
        <v>1147301819.7984948</v>
      </c>
      <c r="AM50" s="71"/>
      <c r="AN50" s="10">
        <f t="shared" si="45"/>
        <v>1524050000</v>
      </c>
      <c r="AO50" s="10">
        <f t="shared" si="25"/>
        <v>525846667.40764344</v>
      </c>
      <c r="AP50" s="71"/>
      <c r="AQ50" s="10">
        <f t="shared" si="46"/>
        <v>656310000</v>
      </c>
      <c r="AR50" s="10">
        <f t="shared" si="26"/>
        <v>226448230.88895407</v>
      </c>
      <c r="AS50" s="71"/>
      <c r="AT50" s="7">
        <f>IF($K50&lt;=$F$15,IF($F$40&lt;&gt;"",$F$40/1000,IF(ISERROR(VLOOKUP($F$3&amp;IF($G$4&lt;&gt;"",$G$4,"")&amp;IF($F$43&lt;&gt;"","_"&amp;$F$43,""),'表3）燃料価格'!$AF$9:$AG$25,2,0)),0,VLOOKUP($I50,'表3）燃料価格'!$A$6:$U$66,VLOOKUP($F$3&amp;IF($G$4&lt;&gt;"",$G$4,"")&amp;IF($F$43&lt;&gt;"","_"&amp;$F$43,""),'表3）燃料価格'!$AF$9:$AG$25,2,0)+VLOOKUP($F$41,'表3）燃料価格'!$AF$28:$AG$29,2,0),0)*IF($F$43="需要地価格",1,$F$8/$F$141))),"")</f>
        <v>46.923557678850855</v>
      </c>
      <c r="AU50" s="71"/>
      <c r="AV50" s="10">
        <f t="shared" si="47"/>
        <v>31296944414.113441</v>
      </c>
      <c r="AW50" s="10">
        <f t="shared" si="27"/>
        <v>10798460628.065887</v>
      </c>
      <c r="AX50" s="71"/>
      <c r="AY50" s="7">
        <f>IF(ISERROR(IF($K50&lt;=$F$15,VLOOKUP($I50,'表4）CO2価格'!$A$7:$E$67,VLOOKUP($F$48,'表4）CO2価格'!$H$10:$I$12,2,0),0)*$F$8/1000,"")),0,IF($K50&lt;=$F$15,VLOOKUP($I50,'表4）CO2価格'!$A$7:$E$67,VLOOKUP($F$48,'表4）CO2価格'!$H$10:$I$12,2,0),0)*$F$8/1000,""))</f>
        <v>7.5442062994635668</v>
      </c>
      <c r="AZ50" s="71"/>
      <c r="BA50" s="11">
        <f t="shared" si="48"/>
        <v>13209565046.179691</v>
      </c>
      <c r="BB50" s="10">
        <f t="shared" si="28"/>
        <v>4557728261.8274231</v>
      </c>
      <c r="BC50" s="71"/>
      <c r="BD50" s="10">
        <f t="shared" si="49"/>
        <v>0</v>
      </c>
      <c r="BE50" s="10">
        <f t="shared" si="29"/>
        <v>0</v>
      </c>
      <c r="BF50" s="71"/>
      <c r="BG50" s="11">
        <f t="shared" si="50"/>
        <v>0</v>
      </c>
      <c r="BH50" s="10">
        <f t="shared" si="30"/>
        <v>0</v>
      </c>
      <c r="BJ50" s="7" t="str">
        <f t="shared" si="31"/>
        <v/>
      </c>
      <c r="BK50" s="158" t="str">
        <f t="shared" si="32"/>
        <v/>
      </c>
      <c r="BL50" s="158" t="str">
        <f t="shared" si="14"/>
        <v/>
      </c>
      <c r="BM50" s="10"/>
      <c r="BN50" s="10" t="str">
        <f t="shared" si="33"/>
        <v/>
      </c>
      <c r="BO50" s="10" t="str">
        <f t="shared" si="34"/>
        <v/>
      </c>
      <c r="BQ50" s="10">
        <f t="shared" si="51"/>
        <v>5092319400</v>
      </c>
      <c r="BR50" s="10">
        <f t="shared" si="35"/>
        <v>1757015311.7452121</v>
      </c>
    </row>
    <row r="51" spans="3:70" x14ac:dyDescent="0.15">
      <c r="I51" s="458">
        <f t="shared" si="36"/>
        <v>2056</v>
      </c>
      <c r="J51" s="470"/>
      <c r="K51" s="39">
        <f t="shared" si="37"/>
        <v>37</v>
      </c>
      <c r="L51" s="39"/>
      <c r="M51" s="40">
        <f t="shared" si="38"/>
        <v>0.33498293694823961</v>
      </c>
      <c r="N51" s="39"/>
      <c r="O51" s="72">
        <f t="shared" si="52"/>
        <v>0</v>
      </c>
      <c r="P51" s="41" t="str">
        <f t="shared" si="39"/>
        <v>-</v>
      </c>
      <c r="Q51" s="39"/>
      <c r="R51" s="72">
        <f t="shared" si="53"/>
        <v>6927500000</v>
      </c>
      <c r="S51" s="39"/>
      <c r="T51" s="72">
        <f t="shared" si="18"/>
        <v>6927500000</v>
      </c>
      <c r="U51" s="39"/>
      <c r="V51" s="72">
        <f t="shared" si="40"/>
        <v>0</v>
      </c>
      <c r="W51" s="72">
        <f t="shared" si="19"/>
        <v>0</v>
      </c>
      <c r="X51" s="39"/>
      <c r="Y51" s="72">
        <f t="shared" si="41"/>
        <v>96985000</v>
      </c>
      <c r="Z51" s="72">
        <f t="shared" si="20"/>
        <v>32488320.139925018</v>
      </c>
      <c r="AA51" s="39"/>
      <c r="AB51" s="72">
        <f t="shared" si="4"/>
        <v>0</v>
      </c>
      <c r="AC51" s="72">
        <f t="shared" si="21"/>
        <v>0</v>
      </c>
      <c r="AD51" s="39"/>
      <c r="AE51" s="72">
        <f t="shared" si="42"/>
        <v>0</v>
      </c>
      <c r="AF51" s="72">
        <f t="shared" si="22"/>
        <v>0</v>
      </c>
      <c r="AG51" s="39"/>
      <c r="AH51" s="72">
        <f t="shared" si="43"/>
        <v>620000000</v>
      </c>
      <c r="AI51" s="72">
        <f t="shared" si="23"/>
        <v>207689420.90790856</v>
      </c>
      <c r="AJ51" s="39"/>
      <c r="AK51" s="72">
        <f t="shared" si="44"/>
        <v>3325200000</v>
      </c>
      <c r="AL51" s="72">
        <f t="shared" si="24"/>
        <v>1113885261.9402864</v>
      </c>
      <c r="AM51" s="39"/>
      <c r="AN51" s="72">
        <f t="shared" si="45"/>
        <v>1524050000</v>
      </c>
      <c r="AO51" s="72">
        <f t="shared" si="25"/>
        <v>510530745.05596459</v>
      </c>
      <c r="AP51" s="39"/>
      <c r="AQ51" s="72">
        <f t="shared" si="46"/>
        <v>656310000</v>
      </c>
      <c r="AR51" s="72">
        <f t="shared" si="26"/>
        <v>219852651.34849915</v>
      </c>
      <c r="AS51" s="39"/>
      <c r="AT51" s="40">
        <f>IF($K51&lt;=$F$15,IF($F$40&lt;&gt;"",$F$40/1000,IF(ISERROR(VLOOKUP($F$3&amp;IF($G$4&lt;&gt;"",$G$4,"")&amp;IF($F$43&lt;&gt;"","_"&amp;$F$43,""),'表3）燃料価格'!$AF$9:$AG$25,2,0)),0,VLOOKUP($I51,'表3）燃料価格'!$A$6:$U$66,VLOOKUP($F$3&amp;IF($G$4&lt;&gt;"",$G$4,"")&amp;IF($F$43&lt;&gt;"","_"&amp;$F$43,""),'表3）燃料価格'!$AF$9:$AG$25,2,0)+VLOOKUP($F$41,'表3）燃料価格'!$AF$28:$AG$29,2,0),0)*IF($F$43="需要地価格",1,$F$8/$F$141))),"")</f>
        <v>46.826762142304162</v>
      </c>
      <c r="AU51" s="39"/>
      <c r="AV51" s="72">
        <f t="shared" si="47"/>
        <v>31236019478.966965</v>
      </c>
      <c r="AW51" s="72">
        <f t="shared" si="27"/>
        <v>10463533543.636774</v>
      </c>
      <c r="AX51" s="39"/>
      <c r="AY51" s="40">
        <f>IF(ISERROR(IF($K51&lt;=$F$15,VLOOKUP($I51,'表4）CO2価格'!$A$7:$E$67,VLOOKUP($F$48,'表4）CO2価格'!$H$10:$I$12,2,0),0)*$F$8/1000,"")),0,IF($K51&lt;=$F$15,VLOOKUP($I51,'表4）CO2価格'!$A$7:$E$67,VLOOKUP($F$48,'表4）CO2価格'!$H$10:$I$12,2,0),0)*$F$8/1000,""))</f>
        <v>7.675477827818213</v>
      </c>
      <c r="AZ51" s="39"/>
      <c r="BA51" s="42">
        <f t="shared" si="48"/>
        <v>13439415573.018469</v>
      </c>
      <c r="BB51" s="72">
        <f t="shared" si="28"/>
        <v>4501974899.5176353</v>
      </c>
      <c r="BC51" s="39"/>
      <c r="BD51" s="72">
        <f t="shared" si="49"/>
        <v>0</v>
      </c>
      <c r="BE51" s="72">
        <f t="shared" si="29"/>
        <v>0</v>
      </c>
      <c r="BF51" s="39"/>
      <c r="BG51" s="42">
        <f t="shared" si="50"/>
        <v>0</v>
      </c>
      <c r="BH51" s="72">
        <f t="shared" si="30"/>
        <v>0</v>
      </c>
      <c r="BI51" s="39"/>
      <c r="BJ51" s="40" t="str">
        <f t="shared" si="31"/>
        <v/>
      </c>
      <c r="BK51" s="157" t="str">
        <f t="shared" si="32"/>
        <v/>
      </c>
      <c r="BL51" s="157" t="str">
        <f t="shared" si="14"/>
        <v/>
      </c>
      <c r="BM51" s="72"/>
      <c r="BN51" s="72" t="str">
        <f t="shared" si="33"/>
        <v/>
      </c>
      <c r="BO51" s="72" t="str">
        <f t="shared" si="34"/>
        <v/>
      </c>
      <c r="BP51" s="39"/>
      <c r="BQ51" s="72">
        <f t="shared" si="51"/>
        <v>5092319400</v>
      </c>
      <c r="BR51" s="72">
        <f t="shared" si="35"/>
        <v>1705840108.4904974</v>
      </c>
    </row>
    <row r="52" spans="3:70" x14ac:dyDescent="0.15">
      <c r="D52" s="81" t="s">
        <v>185</v>
      </c>
      <c r="F52" s="90"/>
      <c r="G52" s="81" t="s">
        <v>172</v>
      </c>
      <c r="I52" s="459">
        <f t="shared" si="36"/>
        <v>2057</v>
      </c>
      <c r="K52" s="71">
        <f t="shared" si="37"/>
        <v>38</v>
      </c>
      <c r="L52" s="71"/>
      <c r="M52" s="7">
        <f t="shared" si="38"/>
        <v>0.3252261523769317</v>
      </c>
      <c r="N52" s="71"/>
      <c r="O52" s="10">
        <f t="shared" si="52"/>
        <v>0</v>
      </c>
      <c r="P52" s="29" t="str">
        <f t="shared" si="39"/>
        <v>-</v>
      </c>
      <c r="Q52" s="71"/>
      <c r="R52" s="10">
        <f t="shared" si="53"/>
        <v>6927500000</v>
      </c>
      <c r="S52" s="71"/>
      <c r="T52" s="10">
        <f t="shared" si="18"/>
        <v>6927500000</v>
      </c>
      <c r="U52" s="71"/>
      <c r="V52" s="10">
        <f t="shared" si="40"/>
        <v>0</v>
      </c>
      <c r="W52" s="10">
        <f t="shared" si="19"/>
        <v>0</v>
      </c>
      <c r="X52" s="71"/>
      <c r="Y52" s="10">
        <f t="shared" si="41"/>
        <v>96985000</v>
      </c>
      <c r="Z52" s="10">
        <f t="shared" si="20"/>
        <v>31542058.388276722</v>
      </c>
      <c r="AA52" s="71"/>
      <c r="AB52" s="10">
        <f t="shared" si="4"/>
        <v>0</v>
      </c>
      <c r="AC52" s="10">
        <f t="shared" si="21"/>
        <v>0</v>
      </c>
      <c r="AD52" s="71"/>
      <c r="AE52" s="10">
        <f t="shared" si="42"/>
        <v>0</v>
      </c>
      <c r="AF52" s="10">
        <f t="shared" si="22"/>
        <v>0</v>
      </c>
      <c r="AG52" s="71"/>
      <c r="AH52" s="10">
        <f t="shared" si="43"/>
        <v>620000000</v>
      </c>
      <c r="AI52" s="10">
        <f t="shared" si="23"/>
        <v>201640214.47369766</v>
      </c>
      <c r="AJ52" s="71"/>
      <c r="AK52" s="10">
        <f t="shared" si="44"/>
        <v>3325200000</v>
      </c>
      <c r="AL52" s="10">
        <f t="shared" si="24"/>
        <v>1081442001.8837733</v>
      </c>
      <c r="AM52" s="71"/>
      <c r="AN52" s="10">
        <f t="shared" si="45"/>
        <v>1524050000</v>
      </c>
      <c r="AO52" s="10">
        <f t="shared" si="25"/>
        <v>495660917.53006274</v>
      </c>
      <c r="AP52" s="71"/>
      <c r="AQ52" s="10">
        <f t="shared" si="46"/>
        <v>656310000</v>
      </c>
      <c r="AR52" s="10">
        <f t="shared" si="26"/>
        <v>213449176.06650403</v>
      </c>
      <c r="AS52" s="71"/>
      <c r="AT52" s="7">
        <f>IF($K52&lt;=$F$15,IF($F$40&lt;&gt;"",$F$40/1000,IF(ISERROR(VLOOKUP($F$3&amp;IF($G$4&lt;&gt;"",$G$4,"")&amp;IF($F$43&lt;&gt;"","_"&amp;$F$43,""),'表3）燃料価格'!$AF$9:$AG$25,2,0)),0,VLOOKUP($I52,'表3）燃料価格'!$A$6:$U$66,VLOOKUP($F$3&amp;IF($G$4&lt;&gt;"",$G$4,"")&amp;IF($F$43&lt;&gt;"","_"&amp;$F$43,""),'表3）燃料価格'!$AF$9:$AG$25,2,0)+VLOOKUP($F$41,'表3）燃料価格'!$AF$28:$AG$29,2,0),0)*IF($F$43="需要地価格",1,$F$8/$F$141))),"")</f>
        <v>46.732244360505518</v>
      </c>
      <c r="AU52" s="71"/>
      <c r="AV52" s="10">
        <f t="shared" si="47"/>
        <v>31176528205.591011</v>
      </c>
      <c r="AW52" s="10">
        <f t="shared" si="27"/>
        <v>10139422312.775251</v>
      </c>
      <c r="AX52" s="71"/>
      <c r="AY52" s="7">
        <f>IF(ISERROR(IF($K52&lt;=$F$15,VLOOKUP($I52,'表4）CO2価格'!$A$7:$E$67,VLOOKUP($F$48,'表4）CO2価格'!$H$10:$I$12,2,0),0)*$F$8/1000,"")),0,IF($K52&lt;=$F$15,VLOOKUP($I52,'表4）CO2価格'!$A$7:$E$67,VLOOKUP($F$48,'表4）CO2価格'!$H$10:$I$12,2,0),0)*$F$8/1000,""))</f>
        <v>7.8066855236744779</v>
      </c>
      <c r="AZ52" s="71"/>
      <c r="BA52" s="11">
        <f t="shared" si="48"/>
        <v>13669154332.030922</v>
      </c>
      <c r="BB52" s="10">
        <f t="shared" si="28"/>
        <v>4445566469.6528845</v>
      </c>
      <c r="BC52" s="71"/>
      <c r="BD52" s="10">
        <f t="shared" si="49"/>
        <v>0</v>
      </c>
      <c r="BE52" s="10">
        <f t="shared" si="29"/>
        <v>0</v>
      </c>
      <c r="BF52" s="71"/>
      <c r="BG52" s="11">
        <f t="shared" si="50"/>
        <v>0</v>
      </c>
      <c r="BH52" s="10">
        <f t="shared" si="30"/>
        <v>0</v>
      </c>
      <c r="BJ52" s="7" t="str">
        <f t="shared" si="31"/>
        <v/>
      </c>
      <c r="BK52" s="158" t="str">
        <f t="shared" si="32"/>
        <v/>
      </c>
      <c r="BL52" s="158" t="str">
        <f t="shared" si="14"/>
        <v/>
      </c>
      <c r="BM52" s="10"/>
      <c r="BN52" s="10" t="str">
        <f t="shared" si="33"/>
        <v/>
      </c>
      <c r="BO52" s="10" t="str">
        <f t="shared" si="34"/>
        <v/>
      </c>
      <c r="BQ52" s="10">
        <f t="shared" si="51"/>
        <v>5092319400</v>
      </c>
      <c r="BR52" s="10">
        <f t="shared" si="35"/>
        <v>1656155445.1364055</v>
      </c>
    </row>
    <row r="53" spans="3:70" x14ac:dyDescent="0.15">
      <c r="D53" s="81" t="s">
        <v>186</v>
      </c>
      <c r="F53" s="66"/>
      <c r="G53" s="81" t="s">
        <v>172</v>
      </c>
      <c r="I53" s="458">
        <f t="shared" si="36"/>
        <v>2058</v>
      </c>
      <c r="J53" s="470"/>
      <c r="K53" s="39">
        <f t="shared" si="37"/>
        <v>39</v>
      </c>
      <c r="L53" s="39"/>
      <c r="M53" s="40">
        <f t="shared" si="38"/>
        <v>0.31575354599702099</v>
      </c>
      <c r="N53" s="39"/>
      <c r="O53" s="72">
        <f t="shared" si="52"/>
        <v>0</v>
      </c>
      <c r="P53" s="41" t="str">
        <f t="shared" si="39"/>
        <v>-</v>
      </c>
      <c r="Q53" s="39"/>
      <c r="R53" s="72">
        <f t="shared" si="53"/>
        <v>6927500000</v>
      </c>
      <c r="S53" s="39"/>
      <c r="T53" s="72">
        <f t="shared" si="18"/>
        <v>6927500000</v>
      </c>
      <c r="U53" s="39"/>
      <c r="V53" s="72">
        <f t="shared" si="40"/>
        <v>0</v>
      </c>
      <c r="W53" s="72">
        <f t="shared" si="19"/>
        <v>0</v>
      </c>
      <c r="X53" s="39"/>
      <c r="Y53" s="72">
        <f t="shared" si="41"/>
        <v>96985000</v>
      </c>
      <c r="Z53" s="72">
        <f t="shared" si="20"/>
        <v>30623357.658521082</v>
      </c>
      <c r="AA53" s="39"/>
      <c r="AB53" s="72">
        <f t="shared" si="4"/>
        <v>0</v>
      </c>
      <c r="AC53" s="72">
        <f t="shared" si="21"/>
        <v>0</v>
      </c>
      <c r="AD53" s="39"/>
      <c r="AE53" s="72">
        <f t="shared" si="42"/>
        <v>0</v>
      </c>
      <c r="AF53" s="72">
        <f t="shared" si="22"/>
        <v>0</v>
      </c>
      <c r="AG53" s="39"/>
      <c r="AH53" s="72">
        <f t="shared" si="43"/>
        <v>620000000</v>
      </c>
      <c r="AI53" s="72">
        <f t="shared" si="23"/>
        <v>195767198.51815301</v>
      </c>
      <c r="AJ53" s="39"/>
      <c r="AK53" s="72">
        <f t="shared" si="44"/>
        <v>3325200000</v>
      </c>
      <c r="AL53" s="72">
        <f t="shared" si="24"/>
        <v>1049943691.1492941</v>
      </c>
      <c r="AM53" s="39"/>
      <c r="AN53" s="72">
        <f t="shared" si="45"/>
        <v>1524050000</v>
      </c>
      <c r="AO53" s="72">
        <f t="shared" si="25"/>
        <v>481224191.77675986</v>
      </c>
      <c r="AP53" s="39"/>
      <c r="AQ53" s="72">
        <f t="shared" si="46"/>
        <v>656310000</v>
      </c>
      <c r="AR53" s="72">
        <f t="shared" si="26"/>
        <v>207232209.77330485</v>
      </c>
      <c r="AS53" s="39"/>
      <c r="AT53" s="40">
        <f>IF($K53&lt;=$F$15,IF($F$40&lt;&gt;"",$F$40/1000,IF(ISERROR(VLOOKUP($F$3&amp;IF($G$4&lt;&gt;"",$G$4,"")&amp;IF($F$43&lt;&gt;"","_"&amp;$F$43,""),'表3）燃料価格'!$AF$9:$AG$25,2,0)),0,VLOOKUP($I53,'表3）燃料価格'!$A$6:$U$66,VLOOKUP($F$3&amp;IF($G$4&lt;&gt;"",$G$4,"")&amp;IF($F$43&lt;&gt;"","_"&amp;$F$43,""),'表3）燃料価格'!$AF$9:$AG$25,2,0)+VLOOKUP($F$41,'表3）燃料価格'!$AF$28:$AG$29,2,0),0)*IF($F$43="需要地価格",1,$F$8/$F$141))),"")</f>
        <v>46.6398995949301</v>
      </c>
      <c r="AU53" s="39"/>
      <c r="AV53" s="72">
        <f t="shared" si="47"/>
        <v>31118404669.583904</v>
      </c>
      <c r="AW53" s="72">
        <f t="shared" si="27"/>
        <v>9825746620.1913738</v>
      </c>
      <c r="AX53" s="39"/>
      <c r="AY53" s="40">
        <f>IF(ISERROR(IF($K53&lt;=$F$15,VLOOKUP($I53,'表4）CO2価格'!$A$7:$E$67,VLOOKUP($F$48,'表4）CO2価格'!$H$10:$I$12,2,0),0)*$F$8/1000,"")),0,IF($K53&lt;=$F$15,VLOOKUP($I53,'表4）CO2価格'!$A$7:$E$67,VLOOKUP($F$48,'表4）CO2価格'!$H$10:$I$12,2,0),0)*$F$8/1000,""))</f>
        <v>7.9378294490802217</v>
      </c>
      <c r="AZ53" s="39"/>
      <c r="BA53" s="42">
        <f t="shared" si="48"/>
        <v>13898781431.860058</v>
      </c>
      <c r="BB53" s="72">
        <f t="shared" si="28"/>
        <v>4388589522.1473656</v>
      </c>
      <c r="BC53" s="39"/>
      <c r="BD53" s="72">
        <f t="shared" si="49"/>
        <v>0</v>
      </c>
      <c r="BE53" s="72">
        <f t="shared" si="29"/>
        <v>0</v>
      </c>
      <c r="BF53" s="39"/>
      <c r="BG53" s="42">
        <f t="shared" si="50"/>
        <v>0</v>
      </c>
      <c r="BH53" s="72">
        <f t="shared" si="30"/>
        <v>0</v>
      </c>
      <c r="BI53" s="39"/>
      <c r="BJ53" s="40" t="str">
        <f t="shared" si="31"/>
        <v/>
      </c>
      <c r="BK53" s="157" t="str">
        <f t="shared" si="32"/>
        <v/>
      </c>
      <c r="BL53" s="157" t="str">
        <f t="shared" si="14"/>
        <v/>
      </c>
      <c r="BM53" s="72"/>
      <c r="BN53" s="72" t="str">
        <f t="shared" si="33"/>
        <v/>
      </c>
      <c r="BO53" s="72" t="str">
        <f t="shared" si="34"/>
        <v/>
      </c>
      <c r="BP53" s="39"/>
      <c r="BQ53" s="72">
        <f t="shared" si="51"/>
        <v>5092319400</v>
      </c>
      <c r="BR53" s="72">
        <f t="shared" si="35"/>
        <v>1607917907.8994224</v>
      </c>
    </row>
    <row r="54" spans="3:70" x14ac:dyDescent="0.15">
      <c r="D54" s="81" t="s">
        <v>187</v>
      </c>
      <c r="F54" s="66"/>
      <c r="G54" s="81" t="s">
        <v>172</v>
      </c>
      <c r="I54" s="459">
        <f t="shared" si="36"/>
        <v>2059</v>
      </c>
      <c r="K54" s="71">
        <f t="shared" si="37"/>
        <v>40</v>
      </c>
      <c r="L54" s="71"/>
      <c r="M54" s="7">
        <f t="shared" si="38"/>
        <v>0.30655684077380685</v>
      </c>
      <c r="N54" s="71"/>
      <c r="O54" s="10">
        <f t="shared" si="52"/>
        <v>0</v>
      </c>
      <c r="P54" s="29" t="str">
        <f t="shared" si="39"/>
        <v>-</v>
      </c>
      <c r="Q54" s="71"/>
      <c r="R54" s="10">
        <f t="shared" si="53"/>
        <v>6927500000</v>
      </c>
      <c r="S54" s="71"/>
      <c r="T54" s="10">
        <f t="shared" si="18"/>
        <v>6927500000</v>
      </c>
      <c r="U54" s="71"/>
      <c r="V54" s="10">
        <f t="shared" si="40"/>
        <v>0</v>
      </c>
      <c r="W54" s="10">
        <f t="shared" si="19"/>
        <v>0</v>
      </c>
      <c r="X54" s="71"/>
      <c r="Y54" s="10">
        <f t="shared" si="41"/>
        <v>96985000</v>
      </c>
      <c r="Z54" s="10">
        <f t="shared" si="20"/>
        <v>29731415.202447657</v>
      </c>
      <c r="AA54" s="71"/>
      <c r="AB54" s="10">
        <f t="shared" si="4"/>
        <v>0</v>
      </c>
      <c r="AC54" s="10">
        <f t="shared" si="21"/>
        <v>0</v>
      </c>
      <c r="AD54" s="71"/>
      <c r="AE54" s="10">
        <f t="shared" si="42"/>
        <v>0</v>
      </c>
      <c r="AF54" s="10">
        <f t="shared" si="22"/>
        <v>0</v>
      </c>
      <c r="AG54" s="71"/>
      <c r="AH54" s="10">
        <f t="shared" si="43"/>
        <v>620000000</v>
      </c>
      <c r="AI54" s="10">
        <f t="shared" si="23"/>
        <v>190065241.27976024</v>
      </c>
      <c r="AJ54" s="71"/>
      <c r="AK54" s="10">
        <f t="shared" si="44"/>
        <v>3325200000</v>
      </c>
      <c r="AL54" s="10">
        <f t="shared" si="24"/>
        <v>1019362806.9410626</v>
      </c>
      <c r="AM54" s="71"/>
      <c r="AN54" s="10">
        <f t="shared" si="45"/>
        <v>1524050000</v>
      </c>
      <c r="AO54" s="10">
        <f t="shared" si="25"/>
        <v>467207953.18132031</v>
      </c>
      <c r="AP54" s="71"/>
      <c r="AQ54" s="10">
        <f t="shared" si="46"/>
        <v>656310000</v>
      </c>
      <c r="AR54" s="10">
        <f t="shared" si="26"/>
        <v>201196320.16825718</v>
      </c>
      <c r="AS54" s="71"/>
      <c r="AT54" s="7">
        <f>IF($K54&lt;=$F$15,IF($F$40&lt;&gt;"",$F$40/1000,IF(ISERROR(VLOOKUP($F$3&amp;IF($G$4&lt;&gt;"",$G$4,"")&amp;IF($F$43&lt;&gt;"","_"&amp;$F$43,""),'表3）燃料価格'!$AF$9:$AG$25,2,0)),0,VLOOKUP($I54,'表3）燃料価格'!$A$6:$U$66,VLOOKUP($F$3&amp;IF($G$4&lt;&gt;"",$G$4,"")&amp;IF($F$43&lt;&gt;"","_"&amp;$F$43,""),'表3）燃料価格'!$AF$9:$AG$25,2,0)+VLOOKUP($F$41,'表3）燃料価格'!$AF$28:$AG$29,2,0),0)*IF($F$43="需要地価格",1,$F$8/$F$141))),"")</f>
        <v>46.549630169308166</v>
      </c>
      <c r="AU54" s="71"/>
      <c r="AV54" s="10">
        <f t="shared" si="47"/>
        <v>31061587391.660419</v>
      </c>
      <c r="AW54" s="10">
        <f t="shared" si="27"/>
        <v>9522142100.2069302</v>
      </c>
      <c r="AX54" s="71"/>
      <c r="AY54" s="7">
        <f>IF(ISERROR(IF($K54&lt;=$F$15,VLOOKUP($I54,'表4）CO2価格'!$A$7:$E$67,VLOOKUP($F$48,'表4）CO2価格'!$H$10:$I$12,2,0),0)*$F$8/1000,"")),0,IF($K54&lt;=$F$15,VLOOKUP($I54,'表4）CO2価格'!$A$7:$E$67,VLOOKUP($F$48,'表4）CO2価格'!$H$10:$I$12,2,0),0)*$F$8/1000,""))</f>
        <v>8.0689096659945534</v>
      </c>
      <c r="AZ54" s="71"/>
      <c r="BA54" s="11">
        <f t="shared" si="48"/>
        <v>14128296980.993481</v>
      </c>
      <c r="BB54" s="10">
        <f t="shared" si="28"/>
        <v>4331126088.0074749</v>
      </c>
      <c r="BC54" s="71"/>
      <c r="BD54" s="10">
        <f t="shared" si="49"/>
        <v>0</v>
      </c>
      <c r="BE54" s="10">
        <f t="shared" si="29"/>
        <v>0</v>
      </c>
      <c r="BF54" s="71"/>
      <c r="BG54" s="11">
        <f t="shared" si="50"/>
        <v>0</v>
      </c>
      <c r="BH54" s="10">
        <f t="shared" si="30"/>
        <v>0</v>
      </c>
      <c r="BJ54" s="7" t="str">
        <f t="shared" si="31"/>
        <v/>
      </c>
      <c r="BK54" s="158" t="str">
        <f t="shared" si="32"/>
        <v/>
      </c>
      <c r="BL54" s="158" t="str">
        <f t="shared" si="14"/>
        <v/>
      </c>
      <c r="BM54" s="10"/>
      <c r="BN54" s="10" t="str">
        <f t="shared" si="33"/>
        <v/>
      </c>
      <c r="BO54" s="10" t="str">
        <f t="shared" si="34"/>
        <v/>
      </c>
      <c r="BQ54" s="10">
        <f t="shared" si="51"/>
        <v>5092319400</v>
      </c>
      <c r="BR54" s="10">
        <f t="shared" si="35"/>
        <v>1561085347.4751675</v>
      </c>
    </row>
    <row r="55" spans="3:70" ht="16.5" x14ac:dyDescent="0.15">
      <c r="D55" s="81" t="s">
        <v>188</v>
      </c>
      <c r="F55" s="66"/>
      <c r="G55" s="9" t="s">
        <v>372</v>
      </c>
      <c r="I55" s="458">
        <f>I54+1</f>
        <v>2060</v>
      </c>
      <c r="J55" s="470"/>
      <c r="K55" s="39">
        <f>IF(I55&lt;&gt;"",K54+1,"")</f>
        <v>41</v>
      </c>
      <c r="L55" s="39"/>
      <c r="M55" s="40">
        <f t="shared" si="38"/>
        <v>0.29762800075126877</v>
      </c>
      <c r="N55" s="39"/>
      <c r="O55" s="72" t="str">
        <f t="shared" si="52"/>
        <v/>
      </c>
      <c r="P55" s="41" t="str">
        <f t="shared" si="39"/>
        <v/>
      </c>
      <c r="Q55" s="39"/>
      <c r="R55" s="72" t="str">
        <f t="shared" si="53"/>
        <v/>
      </c>
      <c r="S55" s="39"/>
      <c r="T55" s="72" t="str">
        <f t="shared" si="18"/>
        <v/>
      </c>
      <c r="U55" s="39"/>
      <c r="V55" s="72" t="str">
        <f t="shared" si="40"/>
        <v/>
      </c>
      <c r="W55" s="72" t="str">
        <f t="shared" si="19"/>
        <v/>
      </c>
      <c r="X55" s="39"/>
      <c r="Y55" s="72" t="str">
        <f t="shared" si="41"/>
        <v/>
      </c>
      <c r="Z55" s="72" t="str">
        <f t="shared" si="20"/>
        <v/>
      </c>
      <c r="AA55" s="39"/>
      <c r="AB55" s="72">
        <f t="shared" si="4"/>
        <v>6927500000.000001</v>
      </c>
      <c r="AC55" s="72">
        <f t="shared" si="21"/>
        <v>2061817975.2044146</v>
      </c>
      <c r="AD55" s="39"/>
      <c r="AE55" s="72" t="str">
        <f t="shared" si="42"/>
        <v/>
      </c>
      <c r="AF55" s="72" t="str">
        <f t="shared" si="22"/>
        <v/>
      </c>
      <c r="AG55" s="39"/>
      <c r="AH55" s="72" t="str">
        <f t="shared" si="43"/>
        <v/>
      </c>
      <c r="AI55" s="72" t="str">
        <f t="shared" si="23"/>
        <v/>
      </c>
      <c r="AJ55" s="39"/>
      <c r="AK55" s="72" t="str">
        <f t="shared" si="44"/>
        <v/>
      </c>
      <c r="AL55" s="72" t="str">
        <f t="shared" si="24"/>
        <v/>
      </c>
      <c r="AM55" s="39"/>
      <c r="AN55" s="72" t="str">
        <f t="shared" si="45"/>
        <v/>
      </c>
      <c r="AO55" s="72" t="str">
        <f t="shared" si="25"/>
        <v/>
      </c>
      <c r="AP55" s="39"/>
      <c r="AQ55" s="72" t="str">
        <f t="shared" si="46"/>
        <v/>
      </c>
      <c r="AR55" s="72" t="str">
        <f t="shared" si="26"/>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47"/>
        <v/>
      </c>
      <c r="AW55" s="72" t="str">
        <f t="shared" si="27"/>
        <v/>
      </c>
      <c r="AX55" s="39"/>
      <c r="AY55" s="40" t="str">
        <f>IF(ISERROR(IF($K55&lt;=$F$15,VLOOKUP($I55,'表4）CO2価格'!$A$7:$E$67,VLOOKUP($F$48,'表4）CO2価格'!$H$10:$I$12,2,0),0)*$F$8/1000,"")),0,IF($K55&lt;=$F$15,VLOOKUP($I55,'表4）CO2価格'!$A$7:$E$67,VLOOKUP($F$48,'表4）CO2価格'!$H$10:$I$12,2,0),0)*$F$8/1000,""))</f>
        <v/>
      </c>
      <c r="AZ55" s="39"/>
      <c r="BA55" s="42" t="str">
        <f t="shared" si="48"/>
        <v/>
      </c>
      <c r="BB55" s="72" t="str">
        <f t="shared" si="28"/>
        <v/>
      </c>
      <c r="BC55" s="39"/>
      <c r="BD55" s="72" t="str">
        <f t="shared" si="49"/>
        <v/>
      </c>
      <c r="BE55" s="72" t="str">
        <f t="shared" si="29"/>
        <v/>
      </c>
      <c r="BF55" s="39"/>
      <c r="BG55" s="42" t="str">
        <f t="shared" si="50"/>
        <v/>
      </c>
      <c r="BH55" s="72" t="str">
        <f t="shared" si="30"/>
        <v/>
      </c>
      <c r="BI55" s="39"/>
      <c r="BJ55" s="40" t="str">
        <f t="shared" si="31"/>
        <v/>
      </c>
      <c r="BK55" s="157" t="str">
        <f t="shared" si="32"/>
        <v/>
      </c>
      <c r="BL55" s="157" t="str">
        <f t="shared" si="14"/>
        <v/>
      </c>
      <c r="BM55" s="72"/>
      <c r="BN55" s="72" t="str">
        <f t="shared" si="33"/>
        <v/>
      </c>
      <c r="BO55" s="72" t="str">
        <f t="shared" si="34"/>
        <v/>
      </c>
      <c r="BP55" s="39"/>
      <c r="BQ55" s="72" t="str">
        <f t="shared" si="51"/>
        <v/>
      </c>
      <c r="BR55" s="72" t="str">
        <f t="shared" si="35"/>
        <v/>
      </c>
    </row>
    <row r="56" spans="3:70" x14ac:dyDescent="0.15">
      <c r="D56" s="81" t="s">
        <v>189</v>
      </c>
      <c r="F56" s="59"/>
      <c r="G56" s="81" t="s">
        <v>181</v>
      </c>
      <c r="I56" s="459">
        <f t="shared" si="36"/>
        <v>2061</v>
      </c>
      <c r="K56" s="71">
        <f t="shared" si="37"/>
        <v>42</v>
      </c>
      <c r="L56" s="71"/>
      <c r="M56" s="7">
        <f t="shared" si="38"/>
        <v>0.28895922403035801</v>
      </c>
      <c r="N56" s="71"/>
      <c r="O56" s="10" t="str">
        <f t="shared" si="52"/>
        <v/>
      </c>
      <c r="P56" s="29" t="str">
        <f t="shared" si="39"/>
        <v/>
      </c>
      <c r="Q56" s="71"/>
      <c r="R56" s="10" t="str">
        <f t="shared" si="53"/>
        <v/>
      </c>
      <c r="S56" s="71"/>
      <c r="T56" s="10" t="str">
        <f t="shared" si="18"/>
        <v/>
      </c>
      <c r="U56" s="71"/>
      <c r="V56" s="10" t="str">
        <f t="shared" si="40"/>
        <v/>
      </c>
      <c r="W56" s="10" t="str">
        <f t="shared" si="19"/>
        <v/>
      </c>
      <c r="X56" s="71"/>
      <c r="Y56" s="10" t="str">
        <f t="shared" si="41"/>
        <v/>
      </c>
      <c r="Z56" s="10" t="str">
        <f t="shared" si="20"/>
        <v/>
      </c>
      <c r="AA56" s="71"/>
      <c r="AB56" s="10" t="str">
        <f t="shared" si="4"/>
        <v/>
      </c>
      <c r="AC56" s="10" t="str">
        <f t="shared" si="21"/>
        <v/>
      </c>
      <c r="AD56" s="71"/>
      <c r="AE56" s="10" t="str">
        <f t="shared" si="42"/>
        <v/>
      </c>
      <c r="AF56" s="10" t="str">
        <f t="shared" si="22"/>
        <v/>
      </c>
      <c r="AG56" s="71"/>
      <c r="AH56" s="10" t="str">
        <f t="shared" si="43"/>
        <v/>
      </c>
      <c r="AI56" s="10" t="str">
        <f t="shared" si="23"/>
        <v/>
      </c>
      <c r="AJ56" s="71"/>
      <c r="AK56" s="10" t="str">
        <f t="shared" si="44"/>
        <v/>
      </c>
      <c r="AL56" s="10" t="str">
        <f t="shared" si="24"/>
        <v/>
      </c>
      <c r="AM56" s="71"/>
      <c r="AN56" s="10" t="str">
        <f t="shared" si="45"/>
        <v/>
      </c>
      <c r="AO56" s="10" t="str">
        <f t="shared" si="25"/>
        <v/>
      </c>
      <c r="AP56" s="71"/>
      <c r="AQ56" s="10" t="str">
        <f t="shared" si="46"/>
        <v/>
      </c>
      <c r="AR56" s="10" t="str">
        <f t="shared" si="26"/>
        <v/>
      </c>
      <c r="AS56" s="71"/>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U56" s="71"/>
      <c r="AV56" s="10" t="str">
        <f t="shared" si="47"/>
        <v/>
      </c>
      <c r="AW56" s="10" t="str">
        <f t="shared" si="27"/>
        <v/>
      </c>
      <c r="AX56" s="71"/>
      <c r="AY56" s="7" t="str">
        <f>IF(ISERROR(IF($K56&lt;=$F$15,VLOOKUP($I56,'表4）CO2価格'!$A$7:$E$67,VLOOKUP($F$48,'表4）CO2価格'!$H$10:$I$12,2,0),0)*$F$8/1000,"")),0,IF($K56&lt;=$F$15,VLOOKUP($I56,'表4）CO2価格'!$A$7:$E$67,VLOOKUP($F$48,'表4）CO2価格'!$H$10:$I$12,2,0),0)*$F$8/1000,""))</f>
        <v/>
      </c>
      <c r="AZ56" s="71"/>
      <c r="BA56" s="11" t="str">
        <f t="shared" si="48"/>
        <v/>
      </c>
      <c r="BB56" s="10" t="str">
        <f t="shared" si="28"/>
        <v/>
      </c>
      <c r="BC56" s="71"/>
      <c r="BD56" s="10" t="str">
        <f t="shared" si="49"/>
        <v/>
      </c>
      <c r="BE56" s="10" t="str">
        <f t="shared" si="29"/>
        <v/>
      </c>
      <c r="BF56" s="71"/>
      <c r="BG56" s="11" t="str">
        <f t="shared" si="50"/>
        <v/>
      </c>
      <c r="BH56" s="10" t="str">
        <f t="shared" si="30"/>
        <v/>
      </c>
      <c r="BJ56" s="7" t="str">
        <f t="shared" si="31"/>
        <v/>
      </c>
      <c r="BK56" s="158" t="str">
        <f t="shared" si="32"/>
        <v/>
      </c>
      <c r="BL56" s="158" t="str">
        <f t="shared" si="14"/>
        <v/>
      </c>
      <c r="BM56" s="10"/>
      <c r="BN56" s="10" t="str">
        <f t="shared" si="33"/>
        <v/>
      </c>
      <c r="BO56" s="10" t="str">
        <f t="shared" si="34"/>
        <v/>
      </c>
      <c r="BQ56" s="10" t="str">
        <f t="shared" si="51"/>
        <v/>
      </c>
      <c r="BR56" s="10" t="str">
        <f t="shared" si="35"/>
        <v/>
      </c>
    </row>
    <row r="57" spans="3:70" x14ac:dyDescent="0.15">
      <c r="I57" s="458">
        <f t="shared" si="36"/>
        <v>2062</v>
      </c>
      <c r="J57" s="470"/>
      <c r="K57" s="39">
        <f t="shared" si="37"/>
        <v>43</v>
      </c>
      <c r="L57" s="39"/>
      <c r="M57" s="40">
        <f t="shared" si="38"/>
        <v>0.28054293595180391</v>
      </c>
      <c r="N57" s="39"/>
      <c r="O57" s="72" t="str">
        <f t="shared" si="52"/>
        <v/>
      </c>
      <c r="P57" s="41" t="str">
        <f t="shared" si="39"/>
        <v/>
      </c>
      <c r="Q57" s="39"/>
      <c r="R57" s="72" t="str">
        <f t="shared" si="53"/>
        <v/>
      </c>
      <c r="S57" s="39"/>
      <c r="T57" s="72" t="str">
        <f t="shared" si="18"/>
        <v/>
      </c>
      <c r="U57" s="39"/>
      <c r="V57" s="72" t="str">
        <f t="shared" si="40"/>
        <v/>
      </c>
      <c r="W57" s="72" t="str">
        <f t="shared" si="19"/>
        <v/>
      </c>
      <c r="X57" s="39"/>
      <c r="Y57" s="72" t="str">
        <f t="shared" si="41"/>
        <v/>
      </c>
      <c r="Z57" s="72" t="str">
        <f t="shared" si="20"/>
        <v/>
      </c>
      <c r="AA57" s="39"/>
      <c r="AB57" s="72" t="str">
        <f t="shared" si="4"/>
        <v/>
      </c>
      <c r="AC57" s="72" t="str">
        <f t="shared" si="21"/>
        <v/>
      </c>
      <c r="AD57" s="39"/>
      <c r="AE57" s="72" t="str">
        <f t="shared" si="42"/>
        <v/>
      </c>
      <c r="AF57" s="72" t="str">
        <f t="shared" si="22"/>
        <v/>
      </c>
      <c r="AG57" s="39"/>
      <c r="AH57" s="72" t="str">
        <f t="shared" si="43"/>
        <v/>
      </c>
      <c r="AI57" s="72" t="str">
        <f t="shared" si="23"/>
        <v/>
      </c>
      <c r="AJ57" s="39"/>
      <c r="AK57" s="72" t="str">
        <f t="shared" si="44"/>
        <v/>
      </c>
      <c r="AL57" s="72" t="str">
        <f t="shared" si="24"/>
        <v/>
      </c>
      <c r="AM57" s="39"/>
      <c r="AN57" s="72" t="str">
        <f t="shared" si="45"/>
        <v/>
      </c>
      <c r="AO57" s="72" t="str">
        <f t="shared" si="25"/>
        <v/>
      </c>
      <c r="AP57" s="39"/>
      <c r="AQ57" s="72" t="str">
        <f t="shared" si="46"/>
        <v/>
      </c>
      <c r="AR57" s="72" t="str">
        <f t="shared" si="26"/>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47"/>
        <v/>
      </c>
      <c r="AW57" s="72" t="str">
        <f t="shared" si="27"/>
        <v/>
      </c>
      <c r="AX57" s="39"/>
      <c r="AY57" s="40" t="str">
        <f>IF(ISERROR(IF($K57&lt;=$F$15,VLOOKUP($I57,'表4）CO2価格'!$A$7:$E$67,VLOOKUP($F$48,'表4）CO2価格'!$H$10:$I$12,2,0),0)*$F$8/1000,"")),0,IF($K57&lt;=$F$15,VLOOKUP($I57,'表4）CO2価格'!$A$7:$E$67,VLOOKUP($F$48,'表4）CO2価格'!$H$10:$I$12,2,0),0)*$F$8/1000,""))</f>
        <v/>
      </c>
      <c r="AZ57" s="39"/>
      <c r="BA57" s="42" t="str">
        <f t="shared" si="48"/>
        <v/>
      </c>
      <c r="BB57" s="72" t="str">
        <f t="shared" si="28"/>
        <v/>
      </c>
      <c r="BC57" s="39"/>
      <c r="BD57" s="72" t="str">
        <f t="shared" si="49"/>
        <v/>
      </c>
      <c r="BE57" s="72" t="str">
        <f t="shared" si="29"/>
        <v/>
      </c>
      <c r="BF57" s="39"/>
      <c r="BG57" s="42" t="str">
        <f t="shared" si="50"/>
        <v/>
      </c>
      <c r="BH57" s="72" t="str">
        <f t="shared" si="30"/>
        <v/>
      </c>
      <c r="BI57" s="39"/>
      <c r="BJ57" s="40" t="str">
        <f t="shared" si="31"/>
        <v/>
      </c>
      <c r="BK57" s="157" t="str">
        <f t="shared" si="32"/>
        <v/>
      </c>
      <c r="BL57" s="157" t="str">
        <f t="shared" si="14"/>
        <v/>
      </c>
      <c r="BM57" s="72"/>
      <c r="BN57" s="72" t="str">
        <f t="shared" si="33"/>
        <v/>
      </c>
      <c r="BO57" s="72" t="str">
        <f t="shared" si="34"/>
        <v/>
      </c>
      <c r="BP57" s="39"/>
      <c r="BQ57" s="72" t="str">
        <f t="shared" si="51"/>
        <v/>
      </c>
      <c r="BR57" s="72" t="str">
        <f t="shared" si="35"/>
        <v/>
      </c>
    </row>
    <row r="58" spans="3:70" x14ac:dyDescent="0.15">
      <c r="C58" s="89" t="s">
        <v>512</v>
      </c>
      <c r="D58" s="101"/>
      <c r="E58" s="101"/>
      <c r="F58" s="89"/>
      <c r="G58" s="101"/>
      <c r="I58" s="459">
        <f t="shared" si="36"/>
        <v>2063</v>
      </c>
      <c r="K58" s="71">
        <f t="shared" si="37"/>
        <v>44</v>
      </c>
      <c r="L58" s="71"/>
      <c r="M58" s="7">
        <f t="shared" si="38"/>
        <v>0.27237178247747956</v>
      </c>
      <c r="N58" s="71"/>
      <c r="O58" s="10" t="str">
        <f t="shared" si="52"/>
        <v/>
      </c>
      <c r="P58" s="29" t="str">
        <f t="shared" si="39"/>
        <v/>
      </c>
      <c r="Q58" s="71"/>
      <c r="R58" s="10" t="str">
        <f t="shared" si="53"/>
        <v/>
      </c>
      <c r="S58" s="71"/>
      <c r="T58" s="10" t="str">
        <f t="shared" si="18"/>
        <v/>
      </c>
      <c r="U58" s="71"/>
      <c r="V58" s="10" t="str">
        <f t="shared" si="40"/>
        <v/>
      </c>
      <c r="W58" s="10" t="str">
        <f t="shared" si="19"/>
        <v/>
      </c>
      <c r="X58" s="71"/>
      <c r="Y58" s="10" t="str">
        <f t="shared" si="41"/>
        <v/>
      </c>
      <c r="Z58" s="10" t="str">
        <f t="shared" si="20"/>
        <v/>
      </c>
      <c r="AA58" s="71"/>
      <c r="AB58" s="10" t="str">
        <f t="shared" si="4"/>
        <v/>
      </c>
      <c r="AC58" s="10" t="str">
        <f t="shared" si="21"/>
        <v/>
      </c>
      <c r="AD58" s="71"/>
      <c r="AE58" s="10" t="str">
        <f t="shared" si="42"/>
        <v/>
      </c>
      <c r="AF58" s="10" t="str">
        <f t="shared" si="22"/>
        <v/>
      </c>
      <c r="AG58" s="71"/>
      <c r="AH58" s="10" t="str">
        <f t="shared" si="43"/>
        <v/>
      </c>
      <c r="AI58" s="10" t="str">
        <f t="shared" si="23"/>
        <v/>
      </c>
      <c r="AJ58" s="71"/>
      <c r="AK58" s="10" t="str">
        <f t="shared" si="44"/>
        <v/>
      </c>
      <c r="AL58" s="10" t="str">
        <f t="shared" si="24"/>
        <v/>
      </c>
      <c r="AM58" s="71"/>
      <c r="AN58" s="10" t="str">
        <f t="shared" si="45"/>
        <v/>
      </c>
      <c r="AO58" s="10" t="str">
        <f t="shared" si="25"/>
        <v/>
      </c>
      <c r="AP58" s="71"/>
      <c r="AQ58" s="10" t="str">
        <f t="shared" si="46"/>
        <v/>
      </c>
      <c r="AR58" s="10" t="str">
        <f t="shared" si="26"/>
        <v/>
      </c>
      <c r="AS58" s="71"/>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U58" s="71"/>
      <c r="AV58" s="10" t="str">
        <f t="shared" si="47"/>
        <v/>
      </c>
      <c r="AW58" s="10" t="str">
        <f t="shared" si="27"/>
        <v/>
      </c>
      <c r="AX58" s="71"/>
      <c r="AY58" s="7" t="str">
        <f>IF(ISERROR(IF($K58&lt;=$F$15,VLOOKUP($I58,'表4）CO2価格'!$A$7:$E$67,VLOOKUP($F$48,'表4）CO2価格'!$H$10:$I$12,2,0),0)*$F$8/1000,"")),0,IF($K58&lt;=$F$15,VLOOKUP($I58,'表4）CO2価格'!$A$7:$E$67,VLOOKUP($F$48,'表4）CO2価格'!$H$10:$I$12,2,0),0)*$F$8/1000,""))</f>
        <v/>
      </c>
      <c r="AZ58" s="71"/>
      <c r="BA58" s="11" t="str">
        <f t="shared" si="48"/>
        <v/>
      </c>
      <c r="BB58" s="10" t="str">
        <f t="shared" si="28"/>
        <v/>
      </c>
      <c r="BC58" s="71"/>
      <c r="BD58" s="10" t="str">
        <f t="shared" si="49"/>
        <v/>
      </c>
      <c r="BE58" s="10" t="str">
        <f t="shared" si="29"/>
        <v/>
      </c>
      <c r="BF58" s="71"/>
      <c r="BG58" s="11" t="str">
        <f t="shared" si="50"/>
        <v/>
      </c>
      <c r="BH58" s="10" t="str">
        <f t="shared" si="30"/>
        <v/>
      </c>
      <c r="BJ58" s="7" t="str">
        <f t="shared" si="31"/>
        <v/>
      </c>
      <c r="BK58" s="158" t="str">
        <f t="shared" si="32"/>
        <v/>
      </c>
      <c r="BL58" s="158" t="str">
        <f t="shared" si="14"/>
        <v/>
      </c>
      <c r="BM58" s="10"/>
      <c r="BN58" s="10" t="str">
        <f t="shared" si="33"/>
        <v/>
      </c>
      <c r="BO58" s="10" t="str">
        <f t="shared" si="34"/>
        <v/>
      </c>
      <c r="BQ58" s="10" t="str">
        <f t="shared" si="51"/>
        <v/>
      </c>
      <c r="BR58" s="10" t="str">
        <f t="shared" si="35"/>
        <v/>
      </c>
    </row>
    <row r="59" spans="3:70" x14ac:dyDescent="0.15">
      <c r="I59" s="458">
        <f t="shared" si="36"/>
        <v>2064</v>
      </c>
      <c r="J59" s="470"/>
      <c r="K59" s="39">
        <f t="shared" si="37"/>
        <v>45</v>
      </c>
      <c r="L59" s="39"/>
      <c r="M59" s="40">
        <f t="shared" si="38"/>
        <v>0.26443862376454325</v>
      </c>
      <c r="N59" s="39"/>
      <c r="O59" s="72" t="str">
        <f t="shared" si="52"/>
        <v/>
      </c>
      <c r="P59" s="41" t="str">
        <f t="shared" si="39"/>
        <v/>
      </c>
      <c r="Q59" s="39"/>
      <c r="R59" s="72" t="str">
        <f t="shared" si="53"/>
        <v/>
      </c>
      <c r="S59" s="39"/>
      <c r="T59" s="72" t="str">
        <f t="shared" si="18"/>
        <v/>
      </c>
      <c r="U59" s="39"/>
      <c r="V59" s="72" t="str">
        <f t="shared" si="40"/>
        <v/>
      </c>
      <c r="W59" s="72" t="str">
        <f t="shared" si="19"/>
        <v/>
      </c>
      <c r="X59" s="39"/>
      <c r="Y59" s="72" t="str">
        <f t="shared" si="41"/>
        <v/>
      </c>
      <c r="Z59" s="72" t="str">
        <f t="shared" si="20"/>
        <v/>
      </c>
      <c r="AA59" s="39"/>
      <c r="AB59" s="72" t="str">
        <f t="shared" si="4"/>
        <v/>
      </c>
      <c r="AC59" s="72" t="str">
        <f t="shared" si="21"/>
        <v/>
      </c>
      <c r="AD59" s="39"/>
      <c r="AE59" s="72" t="str">
        <f t="shared" si="42"/>
        <v/>
      </c>
      <c r="AF59" s="72" t="str">
        <f t="shared" si="22"/>
        <v/>
      </c>
      <c r="AG59" s="39"/>
      <c r="AH59" s="72" t="str">
        <f t="shared" si="43"/>
        <v/>
      </c>
      <c r="AI59" s="72" t="str">
        <f t="shared" si="23"/>
        <v/>
      </c>
      <c r="AJ59" s="39"/>
      <c r="AK59" s="72" t="str">
        <f t="shared" si="44"/>
        <v/>
      </c>
      <c r="AL59" s="72" t="str">
        <f t="shared" si="24"/>
        <v/>
      </c>
      <c r="AM59" s="39"/>
      <c r="AN59" s="72" t="str">
        <f t="shared" si="45"/>
        <v/>
      </c>
      <c r="AO59" s="72" t="str">
        <f t="shared" si="25"/>
        <v/>
      </c>
      <c r="AP59" s="39"/>
      <c r="AQ59" s="72" t="str">
        <f t="shared" si="46"/>
        <v/>
      </c>
      <c r="AR59" s="72" t="str">
        <f t="shared" si="26"/>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47"/>
        <v/>
      </c>
      <c r="AW59" s="72" t="str">
        <f t="shared" si="27"/>
        <v/>
      </c>
      <c r="AX59" s="39"/>
      <c r="AY59" s="40" t="str">
        <f>IF(ISERROR(IF($K59&lt;=$F$15,VLOOKUP($I59,'表4）CO2価格'!$A$7:$E$67,VLOOKUP($F$48,'表4）CO2価格'!$H$10:$I$12,2,0),0)*$F$8/1000,"")),0,IF($K59&lt;=$F$15,VLOOKUP($I59,'表4）CO2価格'!$A$7:$E$67,VLOOKUP($F$48,'表4）CO2価格'!$H$10:$I$12,2,0),0)*$F$8/1000,""))</f>
        <v/>
      </c>
      <c r="AZ59" s="39"/>
      <c r="BA59" s="42" t="str">
        <f t="shared" si="48"/>
        <v/>
      </c>
      <c r="BB59" s="72" t="str">
        <f t="shared" si="28"/>
        <v/>
      </c>
      <c r="BC59" s="39"/>
      <c r="BD59" s="72" t="str">
        <f t="shared" si="49"/>
        <v/>
      </c>
      <c r="BE59" s="72" t="str">
        <f t="shared" si="29"/>
        <v/>
      </c>
      <c r="BF59" s="39"/>
      <c r="BG59" s="42" t="str">
        <f t="shared" si="50"/>
        <v/>
      </c>
      <c r="BH59" s="72" t="str">
        <f t="shared" si="30"/>
        <v/>
      </c>
      <c r="BI59" s="39"/>
      <c r="BJ59" s="40" t="str">
        <f t="shared" si="31"/>
        <v/>
      </c>
      <c r="BK59" s="157" t="str">
        <f t="shared" si="32"/>
        <v/>
      </c>
      <c r="BL59" s="157" t="str">
        <f t="shared" si="14"/>
        <v/>
      </c>
      <c r="BM59" s="72"/>
      <c r="BN59" s="72" t="str">
        <f t="shared" si="33"/>
        <v/>
      </c>
      <c r="BO59" s="72" t="str">
        <f t="shared" si="34"/>
        <v/>
      </c>
      <c r="BP59" s="39"/>
      <c r="BQ59" s="72" t="str">
        <f t="shared" si="51"/>
        <v/>
      </c>
      <c r="BR59" s="72" t="str">
        <f t="shared" si="35"/>
        <v/>
      </c>
    </row>
    <row r="60" spans="3:70" x14ac:dyDescent="0.15">
      <c r="D60" s="81" t="s">
        <v>128</v>
      </c>
      <c r="F60" s="59"/>
      <c r="G60" s="81" t="s">
        <v>176</v>
      </c>
      <c r="I60" s="459">
        <f t="shared" si="36"/>
        <v>2065</v>
      </c>
      <c r="K60" s="71">
        <f t="shared" si="37"/>
        <v>46</v>
      </c>
      <c r="L60" s="71"/>
      <c r="M60" s="7">
        <f t="shared" si="38"/>
        <v>0.25673652792674101</v>
      </c>
      <c r="N60" s="71"/>
      <c r="O60" s="10" t="str">
        <f t="shared" si="52"/>
        <v/>
      </c>
      <c r="P60" s="29" t="str">
        <f t="shared" si="39"/>
        <v/>
      </c>
      <c r="Q60" s="71"/>
      <c r="R60" s="10" t="str">
        <f t="shared" si="53"/>
        <v/>
      </c>
      <c r="S60" s="71"/>
      <c r="T60" s="10" t="str">
        <f t="shared" si="18"/>
        <v/>
      </c>
      <c r="U60" s="71"/>
      <c r="V60" s="10" t="str">
        <f t="shared" si="40"/>
        <v/>
      </c>
      <c r="W60" s="10" t="str">
        <f t="shared" si="19"/>
        <v/>
      </c>
      <c r="X60" s="71"/>
      <c r="Y60" s="10" t="str">
        <f t="shared" si="41"/>
        <v/>
      </c>
      <c r="Z60" s="10" t="str">
        <f t="shared" si="20"/>
        <v/>
      </c>
      <c r="AA60" s="71"/>
      <c r="AB60" s="10" t="str">
        <f t="shared" si="4"/>
        <v/>
      </c>
      <c r="AC60" s="10" t="str">
        <f t="shared" si="21"/>
        <v/>
      </c>
      <c r="AD60" s="71"/>
      <c r="AE60" s="10" t="str">
        <f t="shared" si="42"/>
        <v/>
      </c>
      <c r="AF60" s="10" t="str">
        <f t="shared" si="22"/>
        <v/>
      </c>
      <c r="AG60" s="71"/>
      <c r="AH60" s="10" t="str">
        <f t="shared" si="43"/>
        <v/>
      </c>
      <c r="AI60" s="10" t="str">
        <f t="shared" si="23"/>
        <v/>
      </c>
      <c r="AJ60" s="71"/>
      <c r="AK60" s="10" t="str">
        <f t="shared" si="44"/>
        <v/>
      </c>
      <c r="AL60" s="10" t="str">
        <f t="shared" si="24"/>
        <v/>
      </c>
      <c r="AM60" s="71"/>
      <c r="AN60" s="10" t="str">
        <f t="shared" si="45"/>
        <v/>
      </c>
      <c r="AO60" s="10" t="str">
        <f t="shared" si="25"/>
        <v/>
      </c>
      <c r="AP60" s="71"/>
      <c r="AQ60" s="10" t="str">
        <f t="shared" si="46"/>
        <v/>
      </c>
      <c r="AR60" s="10" t="str">
        <f t="shared" si="26"/>
        <v/>
      </c>
      <c r="AS60" s="71"/>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U60" s="71"/>
      <c r="AV60" s="10" t="str">
        <f t="shared" si="47"/>
        <v/>
      </c>
      <c r="AW60" s="10" t="str">
        <f t="shared" si="27"/>
        <v/>
      </c>
      <c r="AX60" s="71"/>
      <c r="AY60" s="7" t="str">
        <f>IF(ISERROR(IF($K60&lt;=$F$15,VLOOKUP($I60,'表4）CO2価格'!$A$7:$E$67,VLOOKUP($F$48,'表4）CO2価格'!$H$10:$I$12,2,0),0)*$F$8/1000,"")),0,IF($K60&lt;=$F$15,VLOOKUP($I60,'表4）CO2価格'!$A$7:$E$67,VLOOKUP($F$48,'表4）CO2価格'!$H$10:$I$12,2,0),0)*$F$8/1000,""))</f>
        <v/>
      </c>
      <c r="AZ60" s="71"/>
      <c r="BA60" s="11" t="str">
        <f t="shared" si="48"/>
        <v/>
      </c>
      <c r="BB60" s="10" t="str">
        <f t="shared" si="28"/>
        <v/>
      </c>
      <c r="BC60" s="71"/>
      <c r="BD60" s="10" t="str">
        <f t="shared" si="49"/>
        <v/>
      </c>
      <c r="BE60" s="10" t="str">
        <f t="shared" si="29"/>
        <v/>
      </c>
      <c r="BF60" s="71"/>
      <c r="BG60" s="11" t="str">
        <f t="shared" si="50"/>
        <v/>
      </c>
      <c r="BH60" s="10" t="str">
        <f t="shared" si="30"/>
        <v/>
      </c>
      <c r="BJ60" s="7" t="str">
        <f t="shared" si="31"/>
        <v/>
      </c>
      <c r="BK60" s="158" t="str">
        <f t="shared" si="32"/>
        <v/>
      </c>
      <c r="BL60" s="158" t="str">
        <f t="shared" si="14"/>
        <v/>
      </c>
      <c r="BM60" s="10"/>
      <c r="BN60" s="10" t="str">
        <f t="shared" si="33"/>
        <v/>
      </c>
      <c r="BO60" s="10" t="str">
        <f t="shared" si="34"/>
        <v/>
      </c>
      <c r="BQ60" s="10" t="str">
        <f t="shared" si="51"/>
        <v/>
      </c>
      <c r="BR60" s="10" t="str">
        <f t="shared" si="35"/>
        <v/>
      </c>
    </row>
    <row r="61" spans="3:70" x14ac:dyDescent="0.15">
      <c r="D61" s="81" t="s">
        <v>190</v>
      </c>
      <c r="F61" s="66"/>
      <c r="G61" s="81" t="s">
        <v>108</v>
      </c>
      <c r="I61" s="458">
        <f t="shared" si="36"/>
        <v>2066</v>
      </c>
      <c r="J61" s="470"/>
      <c r="K61" s="39">
        <f t="shared" si="37"/>
        <v>47</v>
      </c>
      <c r="L61" s="39"/>
      <c r="M61" s="40">
        <f t="shared" si="38"/>
        <v>0.24925876497741845</v>
      </c>
      <c r="N61" s="39"/>
      <c r="O61" s="72" t="str">
        <f t="shared" si="52"/>
        <v/>
      </c>
      <c r="P61" s="41" t="str">
        <f t="shared" si="39"/>
        <v/>
      </c>
      <c r="Q61" s="39"/>
      <c r="R61" s="72" t="str">
        <f t="shared" si="53"/>
        <v/>
      </c>
      <c r="S61" s="39"/>
      <c r="T61" s="72" t="str">
        <f t="shared" si="18"/>
        <v/>
      </c>
      <c r="U61" s="39"/>
      <c r="V61" s="72" t="str">
        <f t="shared" si="40"/>
        <v/>
      </c>
      <c r="W61" s="72" t="str">
        <f t="shared" si="19"/>
        <v/>
      </c>
      <c r="X61" s="39"/>
      <c r="Y61" s="72" t="str">
        <f t="shared" si="41"/>
        <v/>
      </c>
      <c r="Z61" s="72" t="str">
        <f t="shared" si="20"/>
        <v/>
      </c>
      <c r="AA61" s="39"/>
      <c r="AB61" s="72" t="str">
        <f t="shared" si="4"/>
        <v/>
      </c>
      <c r="AC61" s="72" t="str">
        <f t="shared" si="21"/>
        <v/>
      </c>
      <c r="AD61" s="39"/>
      <c r="AE61" s="72" t="str">
        <f t="shared" si="42"/>
        <v/>
      </c>
      <c r="AF61" s="72" t="str">
        <f t="shared" si="22"/>
        <v/>
      </c>
      <c r="AG61" s="39"/>
      <c r="AH61" s="72" t="str">
        <f t="shared" si="43"/>
        <v/>
      </c>
      <c r="AI61" s="72" t="str">
        <f t="shared" si="23"/>
        <v/>
      </c>
      <c r="AJ61" s="39"/>
      <c r="AK61" s="72" t="str">
        <f t="shared" si="44"/>
        <v/>
      </c>
      <c r="AL61" s="72" t="str">
        <f t="shared" si="24"/>
        <v/>
      </c>
      <c r="AM61" s="39"/>
      <c r="AN61" s="72" t="str">
        <f t="shared" si="45"/>
        <v/>
      </c>
      <c r="AO61" s="72" t="str">
        <f t="shared" si="25"/>
        <v/>
      </c>
      <c r="AP61" s="39"/>
      <c r="AQ61" s="72" t="str">
        <f t="shared" si="46"/>
        <v/>
      </c>
      <c r="AR61" s="72" t="str">
        <f t="shared" si="26"/>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47"/>
        <v/>
      </c>
      <c r="AW61" s="72" t="str">
        <f t="shared" si="27"/>
        <v/>
      </c>
      <c r="AX61" s="39"/>
      <c r="AY61" s="40" t="str">
        <f>IF(ISERROR(IF($K61&lt;=$F$15,VLOOKUP($I61,'表4）CO2価格'!$A$7:$E$67,VLOOKUP($F$48,'表4）CO2価格'!$H$10:$I$12,2,0),0)*$F$8/1000,"")),0,IF($K61&lt;=$F$15,VLOOKUP($I61,'表4）CO2価格'!$A$7:$E$67,VLOOKUP($F$48,'表4）CO2価格'!$H$10:$I$12,2,0),0)*$F$8/1000,""))</f>
        <v/>
      </c>
      <c r="AZ61" s="39"/>
      <c r="BA61" s="42" t="str">
        <f t="shared" si="48"/>
        <v/>
      </c>
      <c r="BB61" s="72" t="str">
        <f t="shared" si="28"/>
        <v/>
      </c>
      <c r="BC61" s="39"/>
      <c r="BD61" s="72" t="str">
        <f t="shared" si="49"/>
        <v/>
      </c>
      <c r="BE61" s="72" t="str">
        <f t="shared" si="29"/>
        <v/>
      </c>
      <c r="BF61" s="39"/>
      <c r="BG61" s="42" t="str">
        <f t="shared" si="50"/>
        <v/>
      </c>
      <c r="BH61" s="72" t="str">
        <f t="shared" si="30"/>
        <v/>
      </c>
      <c r="BI61" s="39"/>
      <c r="BJ61" s="40" t="str">
        <f t="shared" si="31"/>
        <v/>
      </c>
      <c r="BK61" s="157" t="str">
        <f t="shared" si="32"/>
        <v/>
      </c>
      <c r="BL61" s="157" t="str">
        <f t="shared" si="14"/>
        <v/>
      </c>
      <c r="BM61" s="72"/>
      <c r="BN61" s="72" t="str">
        <f t="shared" si="33"/>
        <v/>
      </c>
      <c r="BO61" s="72" t="str">
        <f t="shared" si="34"/>
        <v/>
      </c>
      <c r="BP61" s="39"/>
      <c r="BQ61" s="72" t="str">
        <f t="shared" si="51"/>
        <v/>
      </c>
      <c r="BR61" s="72" t="str">
        <f t="shared" si="35"/>
        <v/>
      </c>
    </row>
    <row r="62" spans="3:70" x14ac:dyDescent="0.15">
      <c r="D62" s="81" t="s">
        <v>131</v>
      </c>
      <c r="F62" s="59"/>
      <c r="G62" s="81" t="s">
        <v>191</v>
      </c>
      <c r="I62" s="459">
        <f t="shared" si="36"/>
        <v>2067</v>
      </c>
      <c r="K62" s="71">
        <f t="shared" si="37"/>
        <v>48</v>
      </c>
      <c r="L62" s="71"/>
      <c r="M62" s="7">
        <f t="shared" si="38"/>
        <v>0.24199880094894996</v>
      </c>
      <c r="N62" s="71"/>
      <c r="O62" s="10" t="str">
        <f t="shared" si="52"/>
        <v/>
      </c>
      <c r="P62" s="29" t="str">
        <f t="shared" si="39"/>
        <v/>
      </c>
      <c r="Q62" s="71"/>
      <c r="R62" s="10" t="str">
        <f t="shared" si="53"/>
        <v/>
      </c>
      <c r="S62" s="71"/>
      <c r="T62" s="10" t="str">
        <f t="shared" si="18"/>
        <v/>
      </c>
      <c r="U62" s="71"/>
      <c r="V62" s="10" t="str">
        <f t="shared" si="40"/>
        <v/>
      </c>
      <c r="W62" s="10" t="str">
        <f t="shared" si="19"/>
        <v/>
      </c>
      <c r="X62" s="71"/>
      <c r="Y62" s="10" t="str">
        <f t="shared" si="41"/>
        <v/>
      </c>
      <c r="Z62" s="10" t="str">
        <f t="shared" si="20"/>
        <v/>
      </c>
      <c r="AA62" s="71"/>
      <c r="AB62" s="10" t="str">
        <f t="shared" si="4"/>
        <v/>
      </c>
      <c r="AC62" s="10" t="str">
        <f t="shared" si="21"/>
        <v/>
      </c>
      <c r="AD62" s="71"/>
      <c r="AE62" s="10" t="str">
        <f t="shared" si="42"/>
        <v/>
      </c>
      <c r="AF62" s="10" t="str">
        <f t="shared" si="22"/>
        <v/>
      </c>
      <c r="AG62" s="71"/>
      <c r="AH62" s="10" t="str">
        <f t="shared" si="43"/>
        <v/>
      </c>
      <c r="AI62" s="10" t="str">
        <f t="shared" si="23"/>
        <v/>
      </c>
      <c r="AJ62" s="71"/>
      <c r="AK62" s="10" t="str">
        <f t="shared" si="44"/>
        <v/>
      </c>
      <c r="AL62" s="10" t="str">
        <f t="shared" si="24"/>
        <v/>
      </c>
      <c r="AM62" s="71"/>
      <c r="AN62" s="10" t="str">
        <f t="shared" si="45"/>
        <v/>
      </c>
      <c r="AO62" s="10" t="str">
        <f t="shared" si="25"/>
        <v/>
      </c>
      <c r="AP62" s="71"/>
      <c r="AQ62" s="10" t="str">
        <f t="shared" si="46"/>
        <v/>
      </c>
      <c r="AR62" s="10" t="str">
        <f t="shared" si="26"/>
        <v/>
      </c>
      <c r="AS62" s="71"/>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U62" s="71"/>
      <c r="AV62" s="10" t="str">
        <f t="shared" si="47"/>
        <v/>
      </c>
      <c r="AW62" s="10" t="str">
        <f t="shared" si="27"/>
        <v/>
      </c>
      <c r="AX62" s="71"/>
      <c r="AY62" s="7" t="str">
        <f>IF(ISERROR(IF($K62&lt;=$F$15,VLOOKUP($I62,'表4）CO2価格'!$A$7:$E$67,VLOOKUP($F$48,'表4）CO2価格'!$H$10:$I$12,2,0),0)*$F$8/1000,"")),0,IF($K62&lt;=$F$15,VLOOKUP($I62,'表4）CO2価格'!$A$7:$E$67,VLOOKUP($F$48,'表4）CO2価格'!$H$10:$I$12,2,0),0)*$F$8/1000,""))</f>
        <v/>
      </c>
      <c r="AZ62" s="71"/>
      <c r="BA62" s="11" t="str">
        <f t="shared" si="48"/>
        <v/>
      </c>
      <c r="BB62" s="10" t="str">
        <f t="shared" si="28"/>
        <v/>
      </c>
      <c r="BC62" s="71"/>
      <c r="BD62" s="10" t="str">
        <f t="shared" si="49"/>
        <v/>
      </c>
      <c r="BE62" s="10" t="str">
        <f t="shared" si="29"/>
        <v/>
      </c>
      <c r="BF62" s="71"/>
      <c r="BG62" s="11" t="str">
        <f t="shared" si="50"/>
        <v/>
      </c>
      <c r="BH62" s="10" t="str">
        <f t="shared" si="30"/>
        <v/>
      </c>
      <c r="BJ62" s="7" t="str">
        <f t="shared" si="31"/>
        <v/>
      </c>
      <c r="BK62" s="158" t="str">
        <f t="shared" si="32"/>
        <v/>
      </c>
      <c r="BL62" s="158" t="str">
        <f t="shared" si="14"/>
        <v/>
      </c>
      <c r="BM62" s="10"/>
      <c r="BN62" s="10" t="str">
        <f t="shared" si="33"/>
        <v/>
      </c>
      <c r="BO62" s="10" t="str">
        <f t="shared" si="34"/>
        <v/>
      </c>
      <c r="BQ62" s="10" t="str">
        <f t="shared" si="51"/>
        <v/>
      </c>
      <c r="BR62" s="10" t="str">
        <f t="shared" si="35"/>
        <v/>
      </c>
    </row>
    <row r="63" spans="3:70" x14ac:dyDescent="0.15">
      <c r="I63" s="458">
        <f t="shared" si="36"/>
        <v>2068</v>
      </c>
      <c r="J63" s="470"/>
      <c r="K63" s="39">
        <f t="shared" si="37"/>
        <v>49</v>
      </c>
      <c r="L63" s="39"/>
      <c r="M63" s="40">
        <f t="shared" si="38"/>
        <v>0.2349502921834466</v>
      </c>
      <c r="N63" s="39"/>
      <c r="O63" s="72" t="str">
        <f t="shared" si="52"/>
        <v/>
      </c>
      <c r="P63" s="41" t="str">
        <f t="shared" si="39"/>
        <v/>
      </c>
      <c r="Q63" s="39"/>
      <c r="R63" s="72" t="str">
        <f t="shared" si="53"/>
        <v/>
      </c>
      <c r="S63" s="39"/>
      <c r="T63" s="72" t="str">
        <f t="shared" si="18"/>
        <v/>
      </c>
      <c r="U63" s="39"/>
      <c r="V63" s="72" t="str">
        <f t="shared" si="40"/>
        <v/>
      </c>
      <c r="W63" s="72" t="str">
        <f t="shared" si="19"/>
        <v/>
      </c>
      <c r="X63" s="39"/>
      <c r="Y63" s="72" t="str">
        <f t="shared" si="41"/>
        <v/>
      </c>
      <c r="Z63" s="72" t="str">
        <f t="shared" si="20"/>
        <v/>
      </c>
      <c r="AA63" s="39"/>
      <c r="AB63" s="72" t="str">
        <f t="shared" si="4"/>
        <v/>
      </c>
      <c r="AC63" s="72" t="str">
        <f t="shared" si="21"/>
        <v/>
      </c>
      <c r="AD63" s="39"/>
      <c r="AE63" s="72" t="str">
        <f t="shared" si="42"/>
        <v/>
      </c>
      <c r="AF63" s="72" t="str">
        <f t="shared" si="22"/>
        <v/>
      </c>
      <c r="AG63" s="39"/>
      <c r="AH63" s="72" t="str">
        <f t="shared" si="43"/>
        <v/>
      </c>
      <c r="AI63" s="72" t="str">
        <f t="shared" si="23"/>
        <v/>
      </c>
      <c r="AJ63" s="39"/>
      <c r="AK63" s="72" t="str">
        <f t="shared" si="44"/>
        <v/>
      </c>
      <c r="AL63" s="72" t="str">
        <f t="shared" si="24"/>
        <v/>
      </c>
      <c r="AM63" s="39"/>
      <c r="AN63" s="72" t="str">
        <f t="shared" si="45"/>
        <v/>
      </c>
      <c r="AO63" s="72" t="str">
        <f t="shared" si="25"/>
        <v/>
      </c>
      <c r="AP63" s="39"/>
      <c r="AQ63" s="72" t="str">
        <f t="shared" si="46"/>
        <v/>
      </c>
      <c r="AR63" s="72" t="str">
        <f t="shared" si="26"/>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47"/>
        <v/>
      </c>
      <c r="AW63" s="72" t="str">
        <f t="shared" si="27"/>
        <v/>
      </c>
      <c r="AX63" s="39"/>
      <c r="AY63" s="40" t="str">
        <f>IF(ISERROR(IF($K63&lt;=$F$15,VLOOKUP($I63,'表4）CO2価格'!$A$7:$E$67,VLOOKUP($F$48,'表4）CO2価格'!$H$10:$I$12,2,0),0)*$F$8/1000,"")),0,IF($K63&lt;=$F$15,VLOOKUP($I63,'表4）CO2価格'!$A$7:$E$67,VLOOKUP($F$48,'表4）CO2価格'!$H$10:$I$12,2,0),0)*$F$8/1000,""))</f>
        <v/>
      </c>
      <c r="AZ63" s="39"/>
      <c r="BA63" s="42" t="str">
        <f t="shared" si="48"/>
        <v/>
      </c>
      <c r="BB63" s="72" t="str">
        <f t="shared" si="28"/>
        <v/>
      </c>
      <c r="BC63" s="39"/>
      <c r="BD63" s="72" t="str">
        <f t="shared" si="49"/>
        <v/>
      </c>
      <c r="BE63" s="72" t="str">
        <f t="shared" si="29"/>
        <v/>
      </c>
      <c r="BF63" s="39"/>
      <c r="BG63" s="42" t="str">
        <f t="shared" si="50"/>
        <v/>
      </c>
      <c r="BH63" s="72" t="str">
        <f t="shared" si="30"/>
        <v/>
      </c>
      <c r="BI63" s="39"/>
      <c r="BJ63" s="40" t="str">
        <f t="shared" si="31"/>
        <v/>
      </c>
      <c r="BK63" s="157" t="str">
        <f t="shared" si="32"/>
        <v/>
      </c>
      <c r="BL63" s="157" t="str">
        <f t="shared" si="14"/>
        <v/>
      </c>
      <c r="BM63" s="72"/>
      <c r="BN63" s="72" t="str">
        <f t="shared" si="33"/>
        <v/>
      </c>
      <c r="BO63" s="72" t="str">
        <f t="shared" si="34"/>
        <v/>
      </c>
      <c r="BP63" s="39"/>
      <c r="BQ63" s="72" t="str">
        <f t="shared" si="51"/>
        <v/>
      </c>
      <c r="BR63" s="72" t="str">
        <f t="shared" si="35"/>
        <v/>
      </c>
    </row>
    <row r="64" spans="3:70" x14ac:dyDescent="0.15">
      <c r="C64" s="9" t="s">
        <v>513</v>
      </c>
      <c r="F64" s="90">
        <v>7.648644963462449E-2</v>
      </c>
      <c r="G64" s="81" t="s">
        <v>132</v>
      </c>
      <c r="I64" s="459">
        <f t="shared" si="36"/>
        <v>2069</v>
      </c>
      <c r="K64" s="71">
        <f t="shared" si="37"/>
        <v>50</v>
      </c>
      <c r="L64" s="71"/>
      <c r="M64" s="7">
        <f t="shared" si="38"/>
        <v>0.22810707978975397</v>
      </c>
      <c r="N64" s="71"/>
      <c r="O64" s="10" t="str">
        <f t="shared" si="52"/>
        <v/>
      </c>
      <c r="P64" s="29" t="str">
        <f t="shared" si="39"/>
        <v/>
      </c>
      <c r="Q64" s="71"/>
      <c r="R64" s="10" t="str">
        <f t="shared" si="53"/>
        <v/>
      </c>
      <c r="S64" s="71"/>
      <c r="T64" s="10" t="str">
        <f t="shared" si="18"/>
        <v/>
      </c>
      <c r="U64" s="71"/>
      <c r="V64" s="10" t="str">
        <f t="shared" si="40"/>
        <v/>
      </c>
      <c r="W64" s="10" t="str">
        <f t="shared" si="19"/>
        <v/>
      </c>
      <c r="X64" s="71"/>
      <c r="Y64" s="10" t="str">
        <f t="shared" si="41"/>
        <v/>
      </c>
      <c r="Z64" s="10" t="str">
        <f t="shared" si="20"/>
        <v/>
      </c>
      <c r="AA64" s="71"/>
      <c r="AB64" s="10" t="str">
        <f t="shared" si="4"/>
        <v/>
      </c>
      <c r="AC64" s="10" t="str">
        <f t="shared" si="21"/>
        <v/>
      </c>
      <c r="AD64" s="71"/>
      <c r="AE64" s="10" t="str">
        <f t="shared" si="42"/>
        <v/>
      </c>
      <c r="AF64" s="10" t="str">
        <f t="shared" si="22"/>
        <v/>
      </c>
      <c r="AG64" s="71"/>
      <c r="AH64" s="10" t="str">
        <f t="shared" si="43"/>
        <v/>
      </c>
      <c r="AI64" s="10" t="str">
        <f t="shared" si="23"/>
        <v/>
      </c>
      <c r="AJ64" s="71"/>
      <c r="AK64" s="10" t="str">
        <f t="shared" si="44"/>
        <v/>
      </c>
      <c r="AL64" s="10" t="str">
        <f t="shared" si="24"/>
        <v/>
      </c>
      <c r="AM64" s="71"/>
      <c r="AN64" s="10" t="str">
        <f t="shared" si="45"/>
        <v/>
      </c>
      <c r="AO64" s="10" t="str">
        <f t="shared" si="25"/>
        <v/>
      </c>
      <c r="AP64" s="71"/>
      <c r="AQ64" s="10" t="str">
        <f t="shared" si="46"/>
        <v/>
      </c>
      <c r="AR64" s="10" t="str">
        <f t="shared" si="26"/>
        <v/>
      </c>
      <c r="AS64" s="71"/>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U64" s="71"/>
      <c r="AV64" s="10" t="str">
        <f t="shared" si="47"/>
        <v/>
      </c>
      <c r="AW64" s="10" t="str">
        <f t="shared" si="27"/>
        <v/>
      </c>
      <c r="AX64" s="71"/>
      <c r="AY64" s="7" t="str">
        <f>IF(ISERROR(IF($K64&lt;=$F$15,VLOOKUP($I64,'表4）CO2価格'!$A$7:$E$67,VLOOKUP($F$48,'表4）CO2価格'!$H$10:$I$12,2,0),0)*$F$8/1000,"")),0,IF($K64&lt;=$F$15,VLOOKUP($I64,'表4）CO2価格'!$A$7:$E$67,VLOOKUP($F$48,'表4）CO2価格'!$H$10:$I$12,2,0),0)*$F$8/1000,""))</f>
        <v/>
      </c>
      <c r="AZ64" s="71"/>
      <c r="BA64" s="11" t="str">
        <f t="shared" si="48"/>
        <v/>
      </c>
      <c r="BB64" s="10" t="str">
        <f t="shared" si="28"/>
        <v/>
      </c>
      <c r="BC64" s="71"/>
      <c r="BD64" s="10" t="str">
        <f t="shared" si="49"/>
        <v/>
      </c>
      <c r="BE64" s="10" t="str">
        <f t="shared" si="29"/>
        <v/>
      </c>
      <c r="BF64" s="71"/>
      <c r="BG64" s="11" t="str">
        <f t="shared" si="50"/>
        <v/>
      </c>
      <c r="BH64" s="10" t="str">
        <f t="shared" si="30"/>
        <v/>
      </c>
      <c r="BJ64" s="7" t="str">
        <f t="shared" si="31"/>
        <v/>
      </c>
      <c r="BK64" s="158" t="str">
        <f t="shared" si="32"/>
        <v/>
      </c>
      <c r="BL64" s="158" t="str">
        <f t="shared" si="14"/>
        <v/>
      </c>
      <c r="BM64" s="10"/>
      <c r="BN64" s="10" t="str">
        <f t="shared" si="33"/>
        <v/>
      </c>
      <c r="BO64" s="10" t="str">
        <f t="shared" si="34"/>
        <v/>
      </c>
      <c r="BQ64" s="10" t="str">
        <f t="shared" si="51"/>
        <v/>
      </c>
      <c r="BR64" s="10" t="str">
        <f t="shared" si="35"/>
        <v/>
      </c>
    </row>
    <row r="65" spans="2:70" x14ac:dyDescent="0.15">
      <c r="I65" s="458">
        <f t="shared" si="36"/>
        <v>2070</v>
      </c>
      <c r="J65" s="470"/>
      <c r="K65" s="39">
        <f t="shared" si="37"/>
        <v>51</v>
      </c>
      <c r="L65" s="39"/>
      <c r="M65" s="40">
        <f t="shared" si="38"/>
        <v>0.22146318426189707</v>
      </c>
      <c r="N65" s="39"/>
      <c r="O65" s="72" t="str">
        <f t="shared" si="52"/>
        <v/>
      </c>
      <c r="P65" s="41" t="str">
        <f t="shared" si="39"/>
        <v/>
      </c>
      <c r="Q65" s="39"/>
      <c r="R65" s="72" t="str">
        <f t="shared" si="53"/>
        <v/>
      </c>
      <c r="S65" s="39"/>
      <c r="T65" s="72" t="str">
        <f t="shared" si="18"/>
        <v/>
      </c>
      <c r="U65" s="39"/>
      <c r="V65" s="72" t="str">
        <f t="shared" si="40"/>
        <v/>
      </c>
      <c r="W65" s="72" t="str">
        <f t="shared" si="19"/>
        <v/>
      </c>
      <c r="X65" s="39"/>
      <c r="Y65" s="72" t="str">
        <f t="shared" si="41"/>
        <v/>
      </c>
      <c r="Z65" s="72" t="str">
        <f t="shared" si="20"/>
        <v/>
      </c>
      <c r="AA65" s="39"/>
      <c r="AB65" s="72" t="str">
        <f t="shared" si="4"/>
        <v/>
      </c>
      <c r="AC65" s="72" t="str">
        <f t="shared" si="21"/>
        <v/>
      </c>
      <c r="AD65" s="39"/>
      <c r="AE65" s="72" t="str">
        <f t="shared" si="42"/>
        <v/>
      </c>
      <c r="AF65" s="72" t="str">
        <f t="shared" si="22"/>
        <v/>
      </c>
      <c r="AG65" s="39"/>
      <c r="AH65" s="72" t="str">
        <f t="shared" si="43"/>
        <v/>
      </c>
      <c r="AI65" s="72" t="str">
        <f t="shared" si="23"/>
        <v/>
      </c>
      <c r="AJ65" s="39"/>
      <c r="AK65" s="72" t="str">
        <f t="shared" si="44"/>
        <v/>
      </c>
      <c r="AL65" s="72" t="str">
        <f t="shared" si="24"/>
        <v/>
      </c>
      <c r="AM65" s="39"/>
      <c r="AN65" s="72" t="str">
        <f t="shared" si="45"/>
        <v/>
      </c>
      <c r="AO65" s="72" t="str">
        <f t="shared" si="25"/>
        <v/>
      </c>
      <c r="AP65" s="39"/>
      <c r="AQ65" s="72" t="str">
        <f t="shared" si="46"/>
        <v/>
      </c>
      <c r="AR65" s="72" t="str">
        <f t="shared" si="26"/>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47"/>
        <v/>
      </c>
      <c r="AW65" s="72" t="str">
        <f t="shared" si="27"/>
        <v/>
      </c>
      <c r="AX65" s="39"/>
      <c r="AY65" s="40" t="str">
        <f>IF(ISERROR(IF($K65&lt;=$F$15,VLOOKUP($I65,'表4）CO2価格'!$A$7:$E$67,VLOOKUP($F$48,'表4）CO2価格'!$H$10:$I$12,2,0),0)*$F$8/1000,"")),0,IF($K65&lt;=$F$15,VLOOKUP($I65,'表4）CO2価格'!$A$7:$E$67,VLOOKUP($F$48,'表4）CO2価格'!$H$10:$I$12,2,0),0)*$F$8/1000,""))</f>
        <v/>
      </c>
      <c r="AZ65" s="39"/>
      <c r="BA65" s="42" t="str">
        <f t="shared" si="48"/>
        <v/>
      </c>
      <c r="BB65" s="72" t="str">
        <f t="shared" si="28"/>
        <v/>
      </c>
      <c r="BC65" s="39"/>
      <c r="BD65" s="72" t="str">
        <f t="shared" si="49"/>
        <v/>
      </c>
      <c r="BE65" s="72" t="str">
        <f t="shared" si="29"/>
        <v/>
      </c>
      <c r="BF65" s="39"/>
      <c r="BG65" s="42" t="str">
        <f t="shared" si="50"/>
        <v/>
      </c>
      <c r="BH65" s="72" t="str">
        <f t="shared" si="30"/>
        <v/>
      </c>
      <c r="BI65" s="39"/>
      <c r="BJ65" s="40" t="str">
        <f t="shared" si="31"/>
        <v/>
      </c>
      <c r="BK65" s="157" t="str">
        <f t="shared" si="32"/>
        <v/>
      </c>
      <c r="BL65" s="157" t="str">
        <f t="shared" si="14"/>
        <v/>
      </c>
      <c r="BM65" s="72"/>
      <c r="BN65" s="72" t="str">
        <f t="shared" si="33"/>
        <v/>
      </c>
      <c r="BO65" s="72" t="str">
        <f t="shared" si="34"/>
        <v/>
      </c>
      <c r="BP65" s="39"/>
      <c r="BQ65" s="72" t="str">
        <f t="shared" si="51"/>
        <v/>
      </c>
      <c r="BR65" s="72" t="str">
        <f t="shared" si="35"/>
        <v/>
      </c>
    </row>
    <row r="66" spans="2:70" x14ac:dyDescent="0.15">
      <c r="I66" s="459">
        <f t="shared" si="36"/>
        <v>2071</v>
      </c>
      <c r="K66" s="71">
        <f t="shared" si="37"/>
        <v>52</v>
      </c>
      <c r="L66" s="71"/>
      <c r="M66" s="7">
        <f t="shared" si="38"/>
        <v>0.215012800254269</v>
      </c>
      <c r="N66" s="71"/>
      <c r="O66" s="10" t="str">
        <f t="shared" si="52"/>
        <v/>
      </c>
      <c r="P66" s="29" t="str">
        <f t="shared" si="39"/>
        <v/>
      </c>
      <c r="Q66" s="71"/>
      <c r="R66" s="10" t="str">
        <f t="shared" si="53"/>
        <v/>
      </c>
      <c r="S66" s="71"/>
      <c r="T66" s="10" t="str">
        <f t="shared" si="18"/>
        <v/>
      </c>
      <c r="U66" s="71"/>
      <c r="V66" s="10" t="str">
        <f t="shared" si="40"/>
        <v/>
      </c>
      <c r="W66" s="10" t="str">
        <f t="shared" si="19"/>
        <v/>
      </c>
      <c r="X66" s="71"/>
      <c r="Y66" s="10" t="str">
        <f t="shared" si="41"/>
        <v/>
      </c>
      <c r="Z66" s="10" t="str">
        <f t="shared" si="20"/>
        <v/>
      </c>
      <c r="AA66" s="71"/>
      <c r="AB66" s="10" t="str">
        <f t="shared" si="4"/>
        <v/>
      </c>
      <c r="AC66" s="10" t="str">
        <f t="shared" si="21"/>
        <v/>
      </c>
      <c r="AD66" s="71"/>
      <c r="AE66" s="10" t="str">
        <f t="shared" si="42"/>
        <v/>
      </c>
      <c r="AF66" s="10" t="str">
        <f t="shared" si="22"/>
        <v/>
      </c>
      <c r="AG66" s="71"/>
      <c r="AH66" s="10" t="str">
        <f t="shared" si="43"/>
        <v/>
      </c>
      <c r="AI66" s="10" t="str">
        <f t="shared" si="23"/>
        <v/>
      </c>
      <c r="AJ66" s="71"/>
      <c r="AK66" s="10" t="str">
        <f t="shared" si="44"/>
        <v/>
      </c>
      <c r="AL66" s="10" t="str">
        <f t="shared" si="24"/>
        <v/>
      </c>
      <c r="AM66" s="71"/>
      <c r="AN66" s="10" t="str">
        <f t="shared" si="45"/>
        <v/>
      </c>
      <c r="AO66" s="10" t="str">
        <f t="shared" si="25"/>
        <v/>
      </c>
      <c r="AP66" s="71"/>
      <c r="AQ66" s="10" t="str">
        <f t="shared" si="46"/>
        <v/>
      </c>
      <c r="AR66" s="10" t="str">
        <f t="shared" si="26"/>
        <v/>
      </c>
      <c r="AS66" s="71"/>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U66" s="71"/>
      <c r="AV66" s="10" t="str">
        <f t="shared" si="47"/>
        <v/>
      </c>
      <c r="AW66" s="10" t="str">
        <f t="shared" si="27"/>
        <v/>
      </c>
      <c r="AX66" s="71"/>
      <c r="AY66" s="7" t="str">
        <f>IF(ISERROR(IF($K66&lt;=$F$15,VLOOKUP($I66,'表4）CO2価格'!$A$7:$E$67,VLOOKUP($F$48,'表4）CO2価格'!$H$10:$I$12,2,0),0)*$F$8/1000,"")),0,IF($K66&lt;=$F$15,VLOOKUP($I66,'表4）CO2価格'!$A$7:$E$67,VLOOKUP($F$48,'表4）CO2価格'!$H$10:$I$12,2,0),0)*$F$8/1000,""))</f>
        <v/>
      </c>
      <c r="AZ66" s="71"/>
      <c r="BA66" s="11" t="str">
        <f t="shared" si="48"/>
        <v/>
      </c>
      <c r="BB66" s="10" t="str">
        <f t="shared" si="28"/>
        <v/>
      </c>
      <c r="BC66" s="71"/>
      <c r="BD66" s="10" t="str">
        <f t="shared" si="49"/>
        <v/>
      </c>
      <c r="BE66" s="10" t="str">
        <f t="shared" si="29"/>
        <v/>
      </c>
      <c r="BF66" s="71"/>
      <c r="BG66" s="11" t="str">
        <f t="shared" si="50"/>
        <v/>
      </c>
      <c r="BH66" s="10" t="str">
        <f t="shared" si="30"/>
        <v/>
      </c>
      <c r="BJ66" s="7" t="str">
        <f t="shared" si="31"/>
        <v/>
      </c>
      <c r="BK66" s="158" t="str">
        <f t="shared" si="32"/>
        <v/>
      </c>
      <c r="BL66" s="158" t="str">
        <f t="shared" si="14"/>
        <v/>
      </c>
      <c r="BM66" s="10"/>
      <c r="BN66" s="10" t="str">
        <f t="shared" si="33"/>
        <v/>
      </c>
      <c r="BO66" s="10" t="str">
        <f t="shared" si="34"/>
        <v/>
      </c>
      <c r="BQ66" s="10" t="str">
        <f t="shared" si="51"/>
        <v/>
      </c>
      <c r="BR66" s="10" t="str">
        <f t="shared" si="35"/>
        <v/>
      </c>
    </row>
    <row r="67" spans="2:70" ht="15.75" thickBot="1" x14ac:dyDescent="0.2">
      <c r="B67" s="460" t="s">
        <v>133</v>
      </c>
      <c r="C67" s="86"/>
      <c r="D67" s="104"/>
      <c r="E67" s="104"/>
      <c r="F67" s="86"/>
      <c r="G67" s="104"/>
      <c r="I67" s="458">
        <f t="shared" si="36"/>
        <v>2072</v>
      </c>
      <c r="J67" s="470"/>
      <c r="K67" s="39">
        <f t="shared" si="37"/>
        <v>53</v>
      </c>
      <c r="L67" s="39"/>
      <c r="M67" s="40">
        <f t="shared" si="38"/>
        <v>0.20875029150899907</v>
      </c>
      <c r="N67" s="39"/>
      <c r="O67" s="72" t="str">
        <f t="shared" si="52"/>
        <v/>
      </c>
      <c r="P67" s="41" t="str">
        <f t="shared" si="39"/>
        <v/>
      </c>
      <c r="Q67" s="39"/>
      <c r="R67" s="72" t="str">
        <f t="shared" si="53"/>
        <v/>
      </c>
      <c r="S67" s="39"/>
      <c r="T67" s="72" t="str">
        <f t="shared" si="18"/>
        <v/>
      </c>
      <c r="U67" s="39"/>
      <c r="V67" s="72" t="str">
        <f t="shared" si="40"/>
        <v/>
      </c>
      <c r="W67" s="72" t="str">
        <f t="shared" si="19"/>
        <v/>
      </c>
      <c r="X67" s="39"/>
      <c r="Y67" s="72" t="str">
        <f t="shared" si="41"/>
        <v/>
      </c>
      <c r="Z67" s="72" t="str">
        <f t="shared" si="20"/>
        <v/>
      </c>
      <c r="AA67" s="39"/>
      <c r="AB67" s="72" t="str">
        <f t="shared" si="4"/>
        <v/>
      </c>
      <c r="AC67" s="72" t="str">
        <f t="shared" si="21"/>
        <v/>
      </c>
      <c r="AD67" s="39"/>
      <c r="AE67" s="72" t="str">
        <f t="shared" si="42"/>
        <v/>
      </c>
      <c r="AF67" s="72" t="str">
        <f t="shared" si="22"/>
        <v/>
      </c>
      <c r="AG67" s="39"/>
      <c r="AH67" s="72" t="str">
        <f t="shared" si="43"/>
        <v/>
      </c>
      <c r="AI67" s="72" t="str">
        <f t="shared" si="23"/>
        <v/>
      </c>
      <c r="AJ67" s="39"/>
      <c r="AK67" s="72" t="str">
        <f t="shared" si="44"/>
        <v/>
      </c>
      <c r="AL67" s="72" t="str">
        <f t="shared" si="24"/>
        <v/>
      </c>
      <c r="AM67" s="39"/>
      <c r="AN67" s="72" t="str">
        <f t="shared" si="45"/>
        <v/>
      </c>
      <c r="AO67" s="72" t="str">
        <f t="shared" si="25"/>
        <v/>
      </c>
      <c r="AP67" s="39"/>
      <c r="AQ67" s="72" t="str">
        <f t="shared" si="46"/>
        <v/>
      </c>
      <c r="AR67" s="72" t="str">
        <f t="shared" si="26"/>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47"/>
        <v/>
      </c>
      <c r="AW67" s="72" t="str">
        <f t="shared" si="27"/>
        <v/>
      </c>
      <c r="AX67" s="39"/>
      <c r="AY67" s="40" t="str">
        <f>IF(ISERROR(IF($K67&lt;=$F$15,VLOOKUP($I67,'表4）CO2価格'!$A$7:$E$67,VLOOKUP($F$48,'表4）CO2価格'!$H$10:$I$12,2,0),0)*$F$8/1000,"")),0,IF($K67&lt;=$F$15,VLOOKUP($I67,'表4）CO2価格'!$A$7:$E$67,VLOOKUP($F$48,'表4）CO2価格'!$H$10:$I$12,2,0),0)*$F$8/1000,""))</f>
        <v/>
      </c>
      <c r="AZ67" s="39"/>
      <c r="BA67" s="42" t="str">
        <f t="shared" si="48"/>
        <v/>
      </c>
      <c r="BB67" s="72" t="str">
        <f t="shared" si="28"/>
        <v/>
      </c>
      <c r="BC67" s="39"/>
      <c r="BD67" s="72" t="str">
        <f t="shared" si="49"/>
        <v/>
      </c>
      <c r="BE67" s="72" t="str">
        <f t="shared" si="29"/>
        <v/>
      </c>
      <c r="BF67" s="39"/>
      <c r="BG67" s="42" t="str">
        <f t="shared" si="50"/>
        <v/>
      </c>
      <c r="BH67" s="72" t="str">
        <f t="shared" si="30"/>
        <v/>
      </c>
      <c r="BI67" s="39"/>
      <c r="BJ67" s="40" t="str">
        <f t="shared" si="31"/>
        <v/>
      </c>
      <c r="BK67" s="157" t="str">
        <f t="shared" si="32"/>
        <v/>
      </c>
      <c r="BL67" s="157" t="str">
        <f t="shared" si="14"/>
        <v/>
      </c>
      <c r="BM67" s="72"/>
      <c r="BN67" s="72" t="str">
        <f t="shared" si="33"/>
        <v/>
      </c>
      <c r="BO67" s="72" t="str">
        <f t="shared" si="34"/>
        <v/>
      </c>
      <c r="BP67" s="39"/>
      <c r="BQ67" s="72" t="str">
        <f t="shared" si="51"/>
        <v/>
      </c>
      <c r="BR67" s="72" t="str">
        <f t="shared" si="35"/>
        <v/>
      </c>
    </row>
    <row r="68" spans="2:70" x14ac:dyDescent="0.15">
      <c r="I68" s="459">
        <f t="shared" si="36"/>
        <v>2073</v>
      </c>
      <c r="K68" s="71">
        <f t="shared" si="37"/>
        <v>54</v>
      </c>
      <c r="L68" s="71"/>
      <c r="M68" s="7">
        <f t="shared" si="38"/>
        <v>0.20267018593106703</v>
      </c>
      <c r="N68" s="71"/>
      <c r="O68" s="10" t="str">
        <f t="shared" si="52"/>
        <v/>
      </c>
      <c r="P68" s="29" t="str">
        <f t="shared" si="39"/>
        <v/>
      </c>
      <c r="Q68" s="71"/>
      <c r="R68" s="10" t="str">
        <f t="shared" si="53"/>
        <v/>
      </c>
      <c r="S68" s="71"/>
      <c r="T68" s="10" t="str">
        <f t="shared" si="18"/>
        <v/>
      </c>
      <c r="U68" s="71"/>
      <c r="V68" s="10" t="str">
        <f t="shared" si="40"/>
        <v/>
      </c>
      <c r="W68" s="10" t="str">
        <f t="shared" si="19"/>
        <v/>
      </c>
      <c r="X68" s="71"/>
      <c r="Y68" s="10" t="str">
        <f t="shared" si="41"/>
        <v/>
      </c>
      <c r="Z68" s="10" t="str">
        <f t="shared" si="20"/>
        <v/>
      </c>
      <c r="AA68" s="71"/>
      <c r="AB68" s="10" t="str">
        <f t="shared" si="4"/>
        <v/>
      </c>
      <c r="AC68" s="10" t="str">
        <f t="shared" si="21"/>
        <v/>
      </c>
      <c r="AD68" s="71"/>
      <c r="AE68" s="10" t="str">
        <f t="shared" si="42"/>
        <v/>
      </c>
      <c r="AF68" s="10" t="str">
        <f t="shared" si="22"/>
        <v/>
      </c>
      <c r="AG68" s="71"/>
      <c r="AH68" s="10" t="str">
        <f t="shared" si="43"/>
        <v/>
      </c>
      <c r="AI68" s="10" t="str">
        <f t="shared" si="23"/>
        <v/>
      </c>
      <c r="AJ68" s="71"/>
      <c r="AK68" s="10" t="str">
        <f t="shared" si="44"/>
        <v/>
      </c>
      <c r="AL68" s="10" t="str">
        <f t="shared" si="24"/>
        <v/>
      </c>
      <c r="AM68" s="71"/>
      <c r="AN68" s="10" t="str">
        <f t="shared" si="45"/>
        <v/>
      </c>
      <c r="AO68" s="10" t="str">
        <f t="shared" si="25"/>
        <v/>
      </c>
      <c r="AP68" s="71"/>
      <c r="AQ68" s="10" t="str">
        <f t="shared" si="46"/>
        <v/>
      </c>
      <c r="AR68" s="10" t="str">
        <f t="shared" si="26"/>
        <v/>
      </c>
      <c r="AS68" s="71"/>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U68" s="71"/>
      <c r="AV68" s="10" t="str">
        <f t="shared" si="47"/>
        <v/>
      </c>
      <c r="AW68" s="10" t="str">
        <f t="shared" si="27"/>
        <v/>
      </c>
      <c r="AX68" s="71"/>
      <c r="AY68" s="7" t="str">
        <f>IF(ISERROR(IF($K68&lt;=$F$15,VLOOKUP($I68,'表4）CO2価格'!$A$7:$E$67,VLOOKUP($F$48,'表4）CO2価格'!$H$10:$I$12,2,0),0)*$F$8/1000,"")),0,IF($K68&lt;=$F$15,VLOOKUP($I68,'表4）CO2価格'!$A$7:$E$67,VLOOKUP($F$48,'表4）CO2価格'!$H$10:$I$12,2,0),0)*$F$8/1000,""))</f>
        <v/>
      </c>
      <c r="AZ68" s="71"/>
      <c r="BA68" s="11" t="str">
        <f t="shared" si="48"/>
        <v/>
      </c>
      <c r="BB68" s="10" t="str">
        <f t="shared" si="28"/>
        <v/>
      </c>
      <c r="BC68" s="71"/>
      <c r="BD68" s="10" t="str">
        <f t="shared" si="49"/>
        <v/>
      </c>
      <c r="BE68" s="10" t="str">
        <f t="shared" si="29"/>
        <v/>
      </c>
      <c r="BF68" s="71"/>
      <c r="BG68" s="11" t="str">
        <f t="shared" si="50"/>
        <v/>
      </c>
      <c r="BH68" s="10" t="str">
        <f t="shared" si="30"/>
        <v/>
      </c>
      <c r="BJ68" s="7" t="str">
        <f t="shared" si="31"/>
        <v/>
      </c>
      <c r="BK68" s="158" t="str">
        <f t="shared" si="32"/>
        <v/>
      </c>
      <c r="BL68" s="158" t="str">
        <f t="shared" si="14"/>
        <v/>
      </c>
      <c r="BM68" s="10"/>
      <c r="BN68" s="10" t="str">
        <f t="shared" si="33"/>
        <v/>
      </c>
      <c r="BO68" s="10" t="str">
        <f t="shared" si="34"/>
        <v/>
      </c>
      <c r="BQ68" s="10" t="str">
        <f t="shared" si="51"/>
        <v/>
      </c>
      <c r="BR68" s="10" t="str">
        <f t="shared" si="35"/>
        <v/>
      </c>
    </row>
    <row r="69" spans="2:70" x14ac:dyDescent="0.15">
      <c r="C69" s="461" t="s">
        <v>134</v>
      </c>
      <c r="D69" s="9"/>
      <c r="E69" s="9"/>
      <c r="F69" s="94">
        <f>SUBTOTAL(9,F74:F112)-F105</f>
        <v>10.653532105124826</v>
      </c>
      <c r="G69" s="9" t="s">
        <v>132</v>
      </c>
      <c r="I69" s="458">
        <f t="shared" si="36"/>
        <v>2074</v>
      </c>
      <c r="J69" s="470"/>
      <c r="K69" s="39">
        <f t="shared" si="37"/>
        <v>55</v>
      </c>
      <c r="L69" s="39"/>
      <c r="M69" s="40">
        <f t="shared" si="38"/>
        <v>0.19676717080686118</v>
      </c>
      <c r="N69" s="39"/>
      <c r="O69" s="72" t="str">
        <f t="shared" si="52"/>
        <v/>
      </c>
      <c r="P69" s="41" t="str">
        <f t="shared" si="39"/>
        <v/>
      </c>
      <c r="Q69" s="39"/>
      <c r="R69" s="72" t="str">
        <f t="shared" si="53"/>
        <v/>
      </c>
      <c r="S69" s="39"/>
      <c r="T69" s="72" t="str">
        <f t="shared" si="18"/>
        <v/>
      </c>
      <c r="U69" s="39"/>
      <c r="V69" s="72" t="str">
        <f t="shared" si="40"/>
        <v/>
      </c>
      <c r="W69" s="72" t="str">
        <f t="shared" si="19"/>
        <v/>
      </c>
      <c r="X69" s="39"/>
      <c r="Y69" s="72" t="str">
        <f t="shared" si="41"/>
        <v/>
      </c>
      <c r="Z69" s="72" t="str">
        <f t="shared" si="20"/>
        <v/>
      </c>
      <c r="AA69" s="39"/>
      <c r="AB69" s="72" t="str">
        <f t="shared" si="4"/>
        <v/>
      </c>
      <c r="AC69" s="72" t="str">
        <f t="shared" si="21"/>
        <v/>
      </c>
      <c r="AD69" s="39"/>
      <c r="AE69" s="72" t="str">
        <f t="shared" si="42"/>
        <v/>
      </c>
      <c r="AF69" s="72" t="str">
        <f t="shared" si="22"/>
        <v/>
      </c>
      <c r="AG69" s="39"/>
      <c r="AH69" s="72" t="str">
        <f t="shared" si="43"/>
        <v/>
      </c>
      <c r="AI69" s="72" t="str">
        <f t="shared" si="23"/>
        <v/>
      </c>
      <c r="AJ69" s="39"/>
      <c r="AK69" s="72" t="str">
        <f t="shared" si="44"/>
        <v/>
      </c>
      <c r="AL69" s="72" t="str">
        <f t="shared" si="24"/>
        <v/>
      </c>
      <c r="AM69" s="39"/>
      <c r="AN69" s="72" t="str">
        <f t="shared" si="45"/>
        <v/>
      </c>
      <c r="AO69" s="72" t="str">
        <f t="shared" si="25"/>
        <v/>
      </c>
      <c r="AP69" s="39"/>
      <c r="AQ69" s="72" t="str">
        <f t="shared" si="46"/>
        <v/>
      </c>
      <c r="AR69" s="72" t="str">
        <f t="shared" si="26"/>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47"/>
        <v/>
      </c>
      <c r="AW69" s="72" t="str">
        <f t="shared" si="27"/>
        <v/>
      </c>
      <c r="AX69" s="39"/>
      <c r="AY69" s="40" t="str">
        <f>IF(ISERROR(IF($K69&lt;=$F$15,VLOOKUP($I69,'表4）CO2価格'!$A$7:$E$67,VLOOKUP($F$48,'表4）CO2価格'!$H$10:$I$12,2,0),0)*$F$8/1000,"")),0,IF($K69&lt;=$F$15,VLOOKUP($I69,'表4）CO2価格'!$A$7:$E$67,VLOOKUP($F$48,'表4）CO2価格'!$H$10:$I$12,2,0),0)*$F$8/1000,""))</f>
        <v/>
      </c>
      <c r="AZ69" s="39"/>
      <c r="BA69" s="42" t="str">
        <f t="shared" si="48"/>
        <v/>
      </c>
      <c r="BB69" s="72" t="str">
        <f t="shared" si="28"/>
        <v/>
      </c>
      <c r="BC69" s="39"/>
      <c r="BD69" s="72" t="str">
        <f t="shared" si="49"/>
        <v/>
      </c>
      <c r="BE69" s="72" t="str">
        <f t="shared" si="29"/>
        <v/>
      </c>
      <c r="BF69" s="39"/>
      <c r="BG69" s="42" t="str">
        <f t="shared" si="50"/>
        <v/>
      </c>
      <c r="BH69" s="72" t="str">
        <f t="shared" si="30"/>
        <v/>
      </c>
      <c r="BI69" s="39"/>
      <c r="BJ69" s="40" t="str">
        <f t="shared" si="31"/>
        <v/>
      </c>
      <c r="BK69" s="157" t="str">
        <f t="shared" si="32"/>
        <v/>
      </c>
      <c r="BL69" s="157" t="str">
        <f t="shared" si="14"/>
        <v/>
      </c>
      <c r="BM69" s="72"/>
      <c r="BN69" s="72" t="str">
        <f t="shared" si="33"/>
        <v/>
      </c>
      <c r="BO69" s="72" t="str">
        <f t="shared" si="34"/>
        <v/>
      </c>
      <c r="BP69" s="39"/>
      <c r="BQ69" s="72" t="str">
        <f t="shared" si="51"/>
        <v/>
      </c>
      <c r="BR69" s="72" t="str">
        <f t="shared" si="35"/>
        <v/>
      </c>
    </row>
    <row r="70" spans="2:70" x14ac:dyDescent="0.15">
      <c r="C70" s="461" t="s">
        <v>135</v>
      </c>
      <c r="D70" s="9"/>
      <c r="E70" s="9"/>
      <c r="F70" s="94">
        <f>SUBTOTAL(9,F74:F112)</f>
        <v>10.73001855475945</v>
      </c>
      <c r="G70" s="9" t="s">
        <v>132</v>
      </c>
      <c r="I70" s="459">
        <f t="shared" si="36"/>
        <v>2075</v>
      </c>
      <c r="K70" s="71">
        <f t="shared" si="37"/>
        <v>56</v>
      </c>
      <c r="L70" s="71"/>
      <c r="M70" s="7">
        <f t="shared" si="38"/>
        <v>0.19103608816200118</v>
      </c>
      <c r="N70" s="71"/>
      <c r="O70" s="10" t="str">
        <f t="shared" si="52"/>
        <v/>
      </c>
      <c r="P70" s="29" t="str">
        <f t="shared" si="39"/>
        <v/>
      </c>
      <c r="Q70" s="71"/>
      <c r="R70" s="10" t="str">
        <f t="shared" si="53"/>
        <v/>
      </c>
      <c r="S70" s="71"/>
      <c r="T70" s="10" t="str">
        <f t="shared" si="18"/>
        <v/>
      </c>
      <c r="U70" s="71"/>
      <c r="V70" s="10" t="str">
        <f t="shared" si="40"/>
        <v/>
      </c>
      <c r="W70" s="10" t="str">
        <f t="shared" si="19"/>
        <v/>
      </c>
      <c r="X70" s="71"/>
      <c r="Y70" s="10" t="str">
        <f t="shared" si="41"/>
        <v/>
      </c>
      <c r="Z70" s="10" t="str">
        <f t="shared" si="20"/>
        <v/>
      </c>
      <c r="AA70" s="71"/>
      <c r="AB70" s="10" t="str">
        <f t="shared" si="4"/>
        <v/>
      </c>
      <c r="AC70" s="10" t="str">
        <f t="shared" si="21"/>
        <v/>
      </c>
      <c r="AD70" s="71"/>
      <c r="AE70" s="10" t="str">
        <f t="shared" si="42"/>
        <v/>
      </c>
      <c r="AF70" s="10" t="str">
        <f t="shared" si="22"/>
        <v/>
      </c>
      <c r="AG70" s="71"/>
      <c r="AH70" s="10" t="str">
        <f t="shared" si="43"/>
        <v/>
      </c>
      <c r="AI70" s="10" t="str">
        <f t="shared" si="23"/>
        <v/>
      </c>
      <c r="AJ70" s="71"/>
      <c r="AK70" s="10" t="str">
        <f t="shared" si="44"/>
        <v/>
      </c>
      <c r="AL70" s="10" t="str">
        <f t="shared" si="24"/>
        <v/>
      </c>
      <c r="AM70" s="71"/>
      <c r="AN70" s="10" t="str">
        <f t="shared" si="45"/>
        <v/>
      </c>
      <c r="AO70" s="10" t="str">
        <f t="shared" si="25"/>
        <v/>
      </c>
      <c r="AP70" s="71"/>
      <c r="AQ70" s="10" t="str">
        <f t="shared" si="46"/>
        <v/>
      </c>
      <c r="AR70" s="10" t="str">
        <f t="shared" si="26"/>
        <v/>
      </c>
      <c r="AS70" s="71"/>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U70" s="71"/>
      <c r="AV70" s="10" t="str">
        <f t="shared" si="47"/>
        <v/>
      </c>
      <c r="AW70" s="10" t="str">
        <f t="shared" si="27"/>
        <v/>
      </c>
      <c r="AX70" s="71"/>
      <c r="AY70" s="7" t="str">
        <f>IF(ISERROR(IF($K70&lt;=$F$15,VLOOKUP($I70,'表4）CO2価格'!$A$7:$E$67,VLOOKUP($F$48,'表4）CO2価格'!$H$10:$I$12,2,0),0)*$F$8/1000,"")),0,IF($K70&lt;=$F$15,VLOOKUP($I70,'表4）CO2価格'!$A$7:$E$67,VLOOKUP($F$48,'表4）CO2価格'!$H$10:$I$12,2,0),0)*$F$8/1000,""))</f>
        <v/>
      </c>
      <c r="AZ70" s="71"/>
      <c r="BA70" s="11" t="str">
        <f t="shared" si="48"/>
        <v/>
      </c>
      <c r="BB70" s="10" t="str">
        <f t="shared" si="28"/>
        <v/>
      </c>
      <c r="BC70" s="71"/>
      <c r="BD70" s="10" t="str">
        <f t="shared" si="49"/>
        <v/>
      </c>
      <c r="BE70" s="10" t="str">
        <f t="shared" si="29"/>
        <v/>
      </c>
      <c r="BF70" s="71"/>
      <c r="BG70" s="11" t="str">
        <f t="shared" si="50"/>
        <v/>
      </c>
      <c r="BH70" s="10" t="str">
        <f t="shared" si="30"/>
        <v/>
      </c>
      <c r="BJ70" s="7" t="str">
        <f t="shared" si="31"/>
        <v/>
      </c>
      <c r="BK70" s="158" t="str">
        <f t="shared" si="32"/>
        <v/>
      </c>
      <c r="BL70" s="158" t="str">
        <f t="shared" si="14"/>
        <v/>
      </c>
      <c r="BM70" s="10"/>
      <c r="BN70" s="10" t="str">
        <f t="shared" si="33"/>
        <v/>
      </c>
      <c r="BO70" s="10" t="str">
        <f t="shared" si="34"/>
        <v/>
      </c>
      <c r="BQ70" s="10" t="str">
        <f t="shared" si="51"/>
        <v/>
      </c>
      <c r="BR70" s="10" t="str">
        <f t="shared" si="35"/>
        <v/>
      </c>
    </row>
    <row r="71" spans="2:70" x14ac:dyDescent="0.15">
      <c r="F71" s="145"/>
      <c r="I71" s="458">
        <f t="shared" si="36"/>
        <v>2076</v>
      </c>
      <c r="J71" s="470"/>
      <c r="K71" s="39">
        <f t="shared" si="37"/>
        <v>57</v>
      </c>
      <c r="L71" s="39"/>
      <c r="M71" s="40">
        <f t="shared" si="38"/>
        <v>0.18547193025437006</v>
      </c>
      <c r="N71" s="39"/>
      <c r="O71" s="72" t="str">
        <f t="shared" si="52"/>
        <v/>
      </c>
      <c r="P71" s="41" t="str">
        <f t="shared" si="39"/>
        <v/>
      </c>
      <c r="Q71" s="39"/>
      <c r="R71" s="72" t="str">
        <f t="shared" si="53"/>
        <v/>
      </c>
      <c r="S71" s="39"/>
      <c r="T71" s="72" t="str">
        <f t="shared" si="18"/>
        <v/>
      </c>
      <c r="U71" s="39"/>
      <c r="V71" s="72" t="str">
        <f t="shared" si="40"/>
        <v/>
      </c>
      <c r="W71" s="72" t="str">
        <f t="shared" si="19"/>
        <v/>
      </c>
      <c r="X71" s="39"/>
      <c r="Y71" s="72" t="str">
        <f t="shared" si="41"/>
        <v/>
      </c>
      <c r="Z71" s="72" t="str">
        <f t="shared" si="20"/>
        <v/>
      </c>
      <c r="AA71" s="39"/>
      <c r="AB71" s="72" t="str">
        <f t="shared" si="4"/>
        <v/>
      </c>
      <c r="AC71" s="72" t="str">
        <f t="shared" si="21"/>
        <v/>
      </c>
      <c r="AD71" s="39"/>
      <c r="AE71" s="72" t="str">
        <f t="shared" si="42"/>
        <v/>
      </c>
      <c r="AF71" s="72" t="str">
        <f t="shared" si="22"/>
        <v/>
      </c>
      <c r="AG71" s="39"/>
      <c r="AH71" s="72" t="str">
        <f t="shared" si="43"/>
        <v/>
      </c>
      <c r="AI71" s="72" t="str">
        <f t="shared" si="23"/>
        <v/>
      </c>
      <c r="AJ71" s="39"/>
      <c r="AK71" s="72" t="str">
        <f t="shared" si="44"/>
        <v/>
      </c>
      <c r="AL71" s="72" t="str">
        <f t="shared" si="24"/>
        <v/>
      </c>
      <c r="AM71" s="39"/>
      <c r="AN71" s="72" t="str">
        <f t="shared" si="45"/>
        <v/>
      </c>
      <c r="AO71" s="72" t="str">
        <f t="shared" si="25"/>
        <v/>
      </c>
      <c r="AP71" s="39"/>
      <c r="AQ71" s="72" t="str">
        <f t="shared" si="46"/>
        <v/>
      </c>
      <c r="AR71" s="72" t="str">
        <f t="shared" si="26"/>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47"/>
        <v/>
      </c>
      <c r="AW71" s="72" t="str">
        <f t="shared" si="27"/>
        <v/>
      </c>
      <c r="AX71" s="39"/>
      <c r="AY71" s="40" t="str">
        <f>IF(ISERROR(IF($K71&lt;=$F$15,VLOOKUP($I71,'表4）CO2価格'!$A$7:$E$67,VLOOKUP($F$48,'表4）CO2価格'!$H$10:$I$12,2,0),0)*$F$8/1000,"")),0,IF($K71&lt;=$F$15,VLOOKUP($I71,'表4）CO2価格'!$A$7:$E$67,VLOOKUP($F$48,'表4）CO2価格'!$H$10:$I$12,2,0),0)*$F$8/1000,""))</f>
        <v/>
      </c>
      <c r="AZ71" s="39"/>
      <c r="BA71" s="42" t="str">
        <f t="shared" si="48"/>
        <v/>
      </c>
      <c r="BB71" s="72" t="str">
        <f t="shared" si="28"/>
        <v/>
      </c>
      <c r="BC71" s="39"/>
      <c r="BD71" s="72" t="str">
        <f t="shared" si="49"/>
        <v/>
      </c>
      <c r="BE71" s="72" t="str">
        <f t="shared" si="29"/>
        <v/>
      </c>
      <c r="BF71" s="39"/>
      <c r="BG71" s="42" t="str">
        <f t="shared" si="50"/>
        <v/>
      </c>
      <c r="BH71" s="72" t="str">
        <f t="shared" si="30"/>
        <v/>
      </c>
      <c r="BI71" s="39"/>
      <c r="BJ71" s="40" t="str">
        <f t="shared" si="31"/>
        <v/>
      </c>
      <c r="BK71" s="157" t="str">
        <f t="shared" si="32"/>
        <v/>
      </c>
      <c r="BL71" s="157" t="str">
        <f t="shared" si="14"/>
        <v/>
      </c>
      <c r="BM71" s="72"/>
      <c r="BN71" s="72" t="str">
        <f t="shared" si="33"/>
        <v/>
      </c>
      <c r="BO71" s="72" t="str">
        <f t="shared" si="34"/>
        <v/>
      </c>
      <c r="BP71" s="39"/>
      <c r="BQ71" s="72" t="str">
        <f t="shared" si="51"/>
        <v/>
      </c>
      <c r="BR71" s="72" t="str">
        <f t="shared" si="35"/>
        <v/>
      </c>
    </row>
    <row r="72" spans="2:70" x14ac:dyDescent="0.15">
      <c r="C72" s="89" t="s">
        <v>136</v>
      </c>
      <c r="D72" s="101"/>
      <c r="E72" s="101"/>
      <c r="F72" s="92"/>
      <c r="G72" s="101"/>
      <c r="I72" s="459">
        <f t="shared" si="36"/>
        <v>2077</v>
      </c>
      <c r="K72" s="71">
        <f t="shared" si="37"/>
        <v>58</v>
      </c>
      <c r="L72" s="71"/>
      <c r="M72" s="7">
        <f t="shared" si="38"/>
        <v>0.18006983519841754</v>
      </c>
      <c r="N72" s="71"/>
      <c r="O72" s="10" t="str">
        <f t="shared" si="52"/>
        <v/>
      </c>
      <c r="P72" s="29" t="str">
        <f t="shared" si="39"/>
        <v/>
      </c>
      <c r="Q72" s="71"/>
      <c r="R72" s="10" t="str">
        <f t="shared" si="53"/>
        <v/>
      </c>
      <c r="S72" s="71"/>
      <c r="T72" s="10" t="str">
        <f t="shared" si="18"/>
        <v/>
      </c>
      <c r="U72" s="71"/>
      <c r="V72" s="10" t="str">
        <f t="shared" si="40"/>
        <v/>
      </c>
      <c r="W72" s="10" t="str">
        <f t="shared" si="19"/>
        <v/>
      </c>
      <c r="X72" s="71"/>
      <c r="Y72" s="10" t="str">
        <f t="shared" si="41"/>
        <v/>
      </c>
      <c r="Z72" s="10" t="str">
        <f t="shared" si="20"/>
        <v/>
      </c>
      <c r="AA72" s="71"/>
      <c r="AB72" s="10" t="str">
        <f t="shared" si="4"/>
        <v/>
      </c>
      <c r="AC72" s="10" t="str">
        <f t="shared" si="21"/>
        <v/>
      </c>
      <c r="AD72" s="71"/>
      <c r="AE72" s="10" t="str">
        <f t="shared" si="42"/>
        <v/>
      </c>
      <c r="AF72" s="10" t="str">
        <f t="shared" si="22"/>
        <v/>
      </c>
      <c r="AG72" s="71"/>
      <c r="AH72" s="10" t="str">
        <f t="shared" si="43"/>
        <v/>
      </c>
      <c r="AI72" s="10" t="str">
        <f t="shared" si="23"/>
        <v/>
      </c>
      <c r="AJ72" s="71"/>
      <c r="AK72" s="10" t="str">
        <f t="shared" si="44"/>
        <v/>
      </c>
      <c r="AL72" s="10" t="str">
        <f t="shared" si="24"/>
        <v/>
      </c>
      <c r="AM72" s="71"/>
      <c r="AN72" s="10" t="str">
        <f t="shared" si="45"/>
        <v/>
      </c>
      <c r="AO72" s="10" t="str">
        <f t="shared" si="25"/>
        <v/>
      </c>
      <c r="AP72" s="71"/>
      <c r="AQ72" s="10" t="str">
        <f t="shared" si="46"/>
        <v/>
      </c>
      <c r="AR72" s="10" t="str">
        <f t="shared" si="26"/>
        <v/>
      </c>
      <c r="AS72" s="71"/>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U72" s="71"/>
      <c r="AV72" s="10" t="str">
        <f t="shared" si="47"/>
        <v/>
      </c>
      <c r="AW72" s="10" t="str">
        <f t="shared" si="27"/>
        <v/>
      </c>
      <c r="AX72" s="71"/>
      <c r="AY72" s="7" t="str">
        <f>IF(ISERROR(IF($K72&lt;=$F$15,VLOOKUP($I72,'表4）CO2価格'!$A$7:$E$67,VLOOKUP($F$48,'表4）CO2価格'!$H$10:$I$12,2,0),0)*$F$8/1000,"")),0,IF($K72&lt;=$F$15,VLOOKUP($I72,'表4）CO2価格'!$A$7:$E$67,VLOOKUP($F$48,'表4）CO2価格'!$H$10:$I$12,2,0),0)*$F$8/1000,""))</f>
        <v/>
      </c>
      <c r="AZ72" s="71"/>
      <c r="BA72" s="11" t="str">
        <f t="shared" si="48"/>
        <v/>
      </c>
      <c r="BB72" s="10" t="str">
        <f t="shared" si="28"/>
        <v/>
      </c>
      <c r="BC72" s="71"/>
      <c r="BD72" s="10" t="str">
        <f t="shared" si="49"/>
        <v/>
      </c>
      <c r="BE72" s="10" t="str">
        <f t="shared" si="29"/>
        <v/>
      </c>
      <c r="BF72" s="71"/>
      <c r="BG72" s="11" t="str">
        <f t="shared" si="50"/>
        <v/>
      </c>
      <c r="BH72" s="10" t="str">
        <f t="shared" si="30"/>
        <v/>
      </c>
      <c r="BJ72" s="7" t="str">
        <f t="shared" si="31"/>
        <v/>
      </c>
      <c r="BK72" s="158" t="str">
        <f t="shared" si="32"/>
        <v/>
      </c>
      <c r="BL72" s="158" t="str">
        <f t="shared" si="14"/>
        <v/>
      </c>
      <c r="BM72" s="10"/>
      <c r="BN72" s="10" t="str">
        <f t="shared" si="33"/>
        <v/>
      </c>
      <c r="BO72" s="10" t="str">
        <f t="shared" si="34"/>
        <v/>
      </c>
      <c r="BQ72" s="10" t="str">
        <f t="shared" si="51"/>
        <v/>
      </c>
      <c r="BR72" s="10" t="str">
        <f t="shared" si="35"/>
        <v/>
      </c>
    </row>
    <row r="73" spans="2:70" x14ac:dyDescent="0.15">
      <c r="F73" s="93"/>
      <c r="I73" s="458">
        <f t="shared" si="36"/>
        <v>2078</v>
      </c>
      <c r="J73" s="470"/>
      <c r="K73" s="39">
        <f t="shared" si="37"/>
        <v>59</v>
      </c>
      <c r="L73" s="39"/>
      <c r="M73" s="40">
        <f t="shared" si="38"/>
        <v>0.17482508271691022</v>
      </c>
      <c r="N73" s="39"/>
      <c r="O73" s="72" t="str">
        <f t="shared" si="52"/>
        <v/>
      </c>
      <c r="P73" s="41" t="str">
        <f t="shared" si="39"/>
        <v/>
      </c>
      <c r="Q73" s="39"/>
      <c r="R73" s="72" t="str">
        <f t="shared" si="53"/>
        <v/>
      </c>
      <c r="S73" s="39"/>
      <c r="T73" s="72" t="str">
        <f t="shared" si="18"/>
        <v/>
      </c>
      <c r="U73" s="39"/>
      <c r="V73" s="72" t="str">
        <f t="shared" si="40"/>
        <v/>
      </c>
      <c r="W73" s="72" t="str">
        <f t="shared" si="19"/>
        <v/>
      </c>
      <c r="X73" s="39"/>
      <c r="Y73" s="72" t="str">
        <f t="shared" si="41"/>
        <v/>
      </c>
      <c r="Z73" s="72" t="str">
        <f t="shared" si="20"/>
        <v/>
      </c>
      <c r="AA73" s="39"/>
      <c r="AB73" s="72" t="str">
        <f t="shared" si="4"/>
        <v/>
      </c>
      <c r="AC73" s="72" t="str">
        <f t="shared" si="21"/>
        <v/>
      </c>
      <c r="AD73" s="39"/>
      <c r="AE73" s="72" t="str">
        <f t="shared" si="42"/>
        <v/>
      </c>
      <c r="AF73" s="72" t="str">
        <f t="shared" si="22"/>
        <v/>
      </c>
      <c r="AG73" s="39"/>
      <c r="AH73" s="72" t="str">
        <f t="shared" si="43"/>
        <v/>
      </c>
      <c r="AI73" s="72" t="str">
        <f t="shared" si="23"/>
        <v/>
      </c>
      <c r="AJ73" s="39"/>
      <c r="AK73" s="72" t="str">
        <f t="shared" si="44"/>
        <v/>
      </c>
      <c r="AL73" s="72" t="str">
        <f t="shared" si="24"/>
        <v/>
      </c>
      <c r="AM73" s="39"/>
      <c r="AN73" s="72" t="str">
        <f t="shared" si="45"/>
        <v/>
      </c>
      <c r="AO73" s="72" t="str">
        <f t="shared" si="25"/>
        <v/>
      </c>
      <c r="AP73" s="39"/>
      <c r="AQ73" s="72" t="str">
        <f t="shared" si="46"/>
        <v/>
      </c>
      <c r="AR73" s="72" t="str">
        <f t="shared" si="26"/>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47"/>
        <v/>
      </c>
      <c r="AW73" s="72" t="str">
        <f t="shared" si="27"/>
        <v/>
      </c>
      <c r="AX73" s="39"/>
      <c r="AY73" s="40" t="str">
        <f>IF(ISERROR(IF($K73&lt;=$F$15,VLOOKUP($I73,'表4）CO2価格'!$A$7:$E$67,VLOOKUP($F$48,'表4）CO2価格'!$H$10:$I$12,2,0),0)*$F$8/1000,"")),0,IF($K73&lt;=$F$15,VLOOKUP($I73,'表4）CO2価格'!$A$7:$E$67,VLOOKUP($F$48,'表4）CO2価格'!$H$10:$I$12,2,0),0)*$F$8/1000,""))</f>
        <v/>
      </c>
      <c r="AZ73" s="39"/>
      <c r="BA73" s="42" t="str">
        <f t="shared" si="48"/>
        <v/>
      </c>
      <c r="BB73" s="72" t="str">
        <f t="shared" si="28"/>
        <v/>
      </c>
      <c r="BC73" s="39"/>
      <c r="BD73" s="72" t="str">
        <f t="shared" si="49"/>
        <v/>
      </c>
      <c r="BE73" s="72" t="str">
        <f t="shared" si="29"/>
        <v/>
      </c>
      <c r="BF73" s="39"/>
      <c r="BG73" s="42" t="str">
        <f t="shared" si="50"/>
        <v/>
      </c>
      <c r="BH73" s="72" t="str">
        <f t="shared" si="30"/>
        <v/>
      </c>
      <c r="BI73" s="39"/>
      <c r="BJ73" s="40" t="str">
        <f t="shared" si="31"/>
        <v/>
      </c>
      <c r="BK73" s="157" t="str">
        <f t="shared" si="32"/>
        <v/>
      </c>
      <c r="BL73" s="157" t="str">
        <f t="shared" si="14"/>
        <v/>
      </c>
      <c r="BM73" s="72"/>
      <c r="BN73" s="72" t="str">
        <f t="shared" si="33"/>
        <v/>
      </c>
      <c r="BO73" s="72" t="str">
        <f t="shared" si="34"/>
        <v/>
      </c>
      <c r="BP73" s="39"/>
      <c r="BQ73" s="72" t="str">
        <f t="shared" si="51"/>
        <v/>
      </c>
      <c r="BR73" s="72" t="str">
        <f t="shared" si="35"/>
        <v/>
      </c>
    </row>
    <row r="74" spans="2:70" ht="15" x14ac:dyDescent="0.15">
      <c r="D74" s="116" t="s">
        <v>192</v>
      </c>
      <c r="F74" s="94">
        <f>SUBTOTAL(9,F78:F81)</f>
        <v>1.2945516175087721</v>
      </c>
      <c r="G74" s="81" t="s">
        <v>132</v>
      </c>
      <c r="I74" s="459">
        <f t="shared" si="36"/>
        <v>2079</v>
      </c>
      <c r="K74" s="71">
        <f t="shared" si="37"/>
        <v>60</v>
      </c>
      <c r="L74" s="71"/>
      <c r="M74" s="7">
        <f t="shared" si="38"/>
        <v>0.1697330900164177</v>
      </c>
      <c r="N74" s="71"/>
      <c r="O74" s="10" t="str">
        <f t="shared" si="52"/>
        <v/>
      </c>
      <c r="P74" s="29" t="str">
        <f t="shared" si="39"/>
        <v/>
      </c>
      <c r="Q74" s="71"/>
      <c r="R74" s="10" t="str">
        <f t="shared" si="53"/>
        <v/>
      </c>
      <c r="S74" s="71"/>
      <c r="T74" s="10" t="str">
        <f t="shared" si="18"/>
        <v/>
      </c>
      <c r="U74" s="71"/>
      <c r="V74" s="10" t="str">
        <f t="shared" si="40"/>
        <v/>
      </c>
      <c r="W74" s="10" t="str">
        <f t="shared" si="19"/>
        <v/>
      </c>
      <c r="X74" s="71"/>
      <c r="Y74" s="10" t="str">
        <f t="shared" si="41"/>
        <v/>
      </c>
      <c r="Z74" s="10" t="str">
        <f t="shared" si="20"/>
        <v/>
      </c>
      <c r="AA74" s="71"/>
      <c r="AB74" s="10" t="str">
        <f t="shared" si="4"/>
        <v/>
      </c>
      <c r="AC74" s="10" t="str">
        <f t="shared" si="21"/>
        <v/>
      </c>
      <c r="AD74" s="71"/>
      <c r="AE74" s="10" t="str">
        <f t="shared" si="42"/>
        <v/>
      </c>
      <c r="AF74" s="10" t="str">
        <f t="shared" si="22"/>
        <v/>
      </c>
      <c r="AG74" s="71"/>
      <c r="AH74" s="10" t="str">
        <f t="shared" si="43"/>
        <v/>
      </c>
      <c r="AI74" s="10" t="str">
        <f t="shared" si="23"/>
        <v/>
      </c>
      <c r="AJ74" s="71"/>
      <c r="AK74" s="10" t="str">
        <f t="shared" si="44"/>
        <v/>
      </c>
      <c r="AL74" s="10" t="str">
        <f t="shared" si="24"/>
        <v/>
      </c>
      <c r="AM74" s="71"/>
      <c r="AN74" s="10" t="str">
        <f t="shared" si="45"/>
        <v/>
      </c>
      <c r="AO74" s="10" t="str">
        <f t="shared" si="25"/>
        <v/>
      </c>
      <c r="AP74" s="71"/>
      <c r="AQ74" s="10" t="str">
        <f t="shared" si="46"/>
        <v/>
      </c>
      <c r="AR74" s="10" t="str">
        <f t="shared" si="26"/>
        <v/>
      </c>
      <c r="AS74" s="71"/>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U74" s="71"/>
      <c r="AV74" s="10" t="str">
        <f t="shared" si="47"/>
        <v/>
      </c>
      <c r="AW74" s="10" t="str">
        <f t="shared" si="27"/>
        <v/>
      </c>
      <c r="AX74" s="71"/>
      <c r="AY74" s="7" t="str">
        <f>IF(ISERROR(IF($K74&lt;=$F$15,VLOOKUP($I74,'表4）CO2価格'!$A$7:$E$67,VLOOKUP($F$48,'表4）CO2価格'!$H$10:$I$12,2,0),0)*$F$8/1000,"")),0,IF($K74&lt;=$F$15,VLOOKUP($I74,'表4）CO2価格'!$A$7:$E$67,VLOOKUP($F$48,'表4）CO2価格'!$H$10:$I$12,2,0),0)*$F$8/1000,""))</f>
        <v/>
      </c>
      <c r="AZ74" s="71"/>
      <c r="BA74" s="11" t="str">
        <f t="shared" si="48"/>
        <v/>
      </c>
      <c r="BB74" s="10" t="str">
        <f t="shared" si="28"/>
        <v/>
      </c>
      <c r="BC74" s="71"/>
      <c r="BD74" s="10" t="str">
        <f t="shared" si="49"/>
        <v/>
      </c>
      <c r="BE74" s="10" t="str">
        <f t="shared" si="29"/>
        <v/>
      </c>
      <c r="BF74" s="71"/>
      <c r="BG74" s="11" t="str">
        <f t="shared" si="50"/>
        <v/>
      </c>
      <c r="BH74" s="10" t="str">
        <f t="shared" si="30"/>
        <v/>
      </c>
      <c r="BJ74" s="7" t="str">
        <f t="shared" si="31"/>
        <v/>
      </c>
      <c r="BK74" s="158" t="str">
        <f t="shared" si="32"/>
        <v/>
      </c>
      <c r="BL74" s="158" t="str">
        <f t="shared" si="14"/>
        <v/>
      </c>
      <c r="BM74" s="10"/>
      <c r="BN74" s="10" t="str">
        <f t="shared" si="33"/>
        <v/>
      </c>
      <c r="BO74" s="10" t="str">
        <f t="shared" si="34"/>
        <v/>
      </c>
      <c r="BQ74" s="10" t="str">
        <f t="shared" si="51"/>
        <v/>
      </c>
      <c r="BR74" s="10" t="str">
        <f t="shared" si="35"/>
        <v/>
      </c>
    </row>
    <row r="75" spans="2:70" x14ac:dyDescent="0.15">
      <c r="F75" s="93"/>
      <c r="I75" s="458">
        <f t="shared" si="36"/>
        <v>2080</v>
      </c>
      <c r="J75" s="470"/>
      <c r="K75" s="39">
        <f t="shared" si="37"/>
        <v>61</v>
      </c>
      <c r="L75" s="39"/>
      <c r="M75" s="40">
        <f t="shared" si="38"/>
        <v>0.16478940778292983</v>
      </c>
      <c r="N75" s="39"/>
      <c r="O75" s="72" t="str">
        <f t="shared" si="52"/>
        <v/>
      </c>
      <c r="P75" s="41" t="str">
        <f t="shared" si="39"/>
        <v/>
      </c>
      <c r="Q75" s="39"/>
      <c r="R75" s="72" t="str">
        <f t="shared" si="53"/>
        <v/>
      </c>
      <c r="S75" s="39"/>
      <c r="T75" s="72" t="str">
        <f t="shared" si="18"/>
        <v/>
      </c>
      <c r="U75" s="39"/>
      <c r="V75" s="72" t="str">
        <f t="shared" si="40"/>
        <v/>
      </c>
      <c r="W75" s="72" t="str">
        <f t="shared" si="19"/>
        <v/>
      </c>
      <c r="X75" s="39"/>
      <c r="Y75" s="72" t="str">
        <f t="shared" si="41"/>
        <v/>
      </c>
      <c r="Z75" s="72" t="str">
        <f t="shared" si="20"/>
        <v/>
      </c>
      <c r="AA75" s="39"/>
      <c r="AB75" s="72" t="str">
        <f t="shared" si="4"/>
        <v/>
      </c>
      <c r="AC75" s="72" t="str">
        <f t="shared" si="21"/>
        <v/>
      </c>
      <c r="AD75" s="39"/>
      <c r="AE75" s="72" t="str">
        <f t="shared" si="42"/>
        <v/>
      </c>
      <c r="AF75" s="72" t="str">
        <f t="shared" si="22"/>
        <v/>
      </c>
      <c r="AG75" s="39"/>
      <c r="AH75" s="72" t="str">
        <f t="shared" si="43"/>
        <v/>
      </c>
      <c r="AI75" s="72" t="str">
        <f t="shared" si="23"/>
        <v/>
      </c>
      <c r="AJ75" s="39"/>
      <c r="AK75" s="72" t="str">
        <f t="shared" si="44"/>
        <v/>
      </c>
      <c r="AL75" s="72" t="str">
        <f t="shared" si="24"/>
        <v/>
      </c>
      <c r="AM75" s="39"/>
      <c r="AN75" s="72" t="str">
        <f t="shared" si="45"/>
        <v/>
      </c>
      <c r="AO75" s="72" t="str">
        <f t="shared" si="25"/>
        <v/>
      </c>
      <c r="AP75" s="39"/>
      <c r="AQ75" s="72" t="str">
        <f t="shared" si="46"/>
        <v/>
      </c>
      <c r="AR75" s="72" t="str">
        <f t="shared" si="26"/>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47"/>
        <v/>
      </c>
      <c r="AW75" s="72" t="str">
        <f t="shared" si="27"/>
        <v/>
      </c>
      <c r="AX75" s="39"/>
      <c r="AY75" s="40" t="str">
        <f>IF(ISERROR(IF($K75&lt;=$F$15,VLOOKUP($I75,'表4）CO2価格'!$A$7:$E$67,VLOOKUP($F$48,'表4）CO2価格'!$H$10:$I$12,2,0),0)*$F$8/1000,"")),0,IF($K75&lt;=$F$15,VLOOKUP($I75,'表4）CO2価格'!$A$7:$E$67,VLOOKUP($F$48,'表4）CO2価格'!$H$10:$I$12,2,0),0)*$F$8/1000,""))</f>
        <v/>
      </c>
      <c r="AZ75" s="39"/>
      <c r="BA75" s="42" t="str">
        <f t="shared" si="48"/>
        <v/>
      </c>
      <c r="BB75" s="72" t="str">
        <f t="shared" si="28"/>
        <v/>
      </c>
      <c r="BC75" s="39"/>
      <c r="BD75" s="72" t="str">
        <f t="shared" si="49"/>
        <v/>
      </c>
      <c r="BE75" s="72" t="str">
        <f t="shared" si="29"/>
        <v/>
      </c>
      <c r="BF75" s="39"/>
      <c r="BG75" s="42" t="str">
        <f t="shared" si="50"/>
        <v/>
      </c>
      <c r="BH75" s="72" t="str">
        <f t="shared" si="30"/>
        <v/>
      </c>
      <c r="BI75" s="39"/>
      <c r="BJ75" s="40" t="str">
        <f t="shared" si="31"/>
        <v/>
      </c>
      <c r="BK75" s="157" t="str">
        <f t="shared" si="32"/>
        <v/>
      </c>
      <c r="BL75" s="157" t="str">
        <f t="shared" si="14"/>
        <v/>
      </c>
      <c r="BM75" s="72"/>
      <c r="BN75" s="72" t="str">
        <f t="shared" si="33"/>
        <v/>
      </c>
      <c r="BO75" s="72" t="str">
        <f t="shared" si="34"/>
        <v/>
      </c>
      <c r="BP75" s="39"/>
      <c r="BQ75" s="72" t="str">
        <f t="shared" si="51"/>
        <v/>
      </c>
      <c r="BR75" s="72" t="str">
        <f t="shared" si="35"/>
        <v/>
      </c>
    </row>
    <row r="76" spans="2:70" x14ac:dyDescent="0.15">
      <c r="D76" s="101" t="s">
        <v>193</v>
      </c>
      <c r="E76" s="101"/>
      <c r="F76" s="92"/>
      <c r="G76" s="101"/>
      <c r="I76" s="459">
        <f t="shared" si="36"/>
        <v>2081</v>
      </c>
      <c r="K76" s="71">
        <f t="shared" si="37"/>
        <v>62</v>
      </c>
      <c r="L76" s="71"/>
      <c r="M76" s="7">
        <f t="shared" si="38"/>
        <v>0.15998971629410663</v>
      </c>
      <c r="N76" s="71"/>
      <c r="O76" s="10" t="str">
        <f t="shared" si="52"/>
        <v/>
      </c>
      <c r="P76" s="29" t="str">
        <f t="shared" si="39"/>
        <v/>
      </c>
      <c r="Q76" s="71"/>
      <c r="R76" s="10" t="str">
        <f t="shared" si="53"/>
        <v/>
      </c>
      <c r="S76" s="71"/>
      <c r="T76" s="10" t="str">
        <f t="shared" si="18"/>
        <v/>
      </c>
      <c r="U76" s="71"/>
      <c r="V76" s="10" t="str">
        <f t="shared" si="40"/>
        <v/>
      </c>
      <c r="W76" s="10" t="str">
        <f t="shared" si="19"/>
        <v/>
      </c>
      <c r="X76" s="71"/>
      <c r="Y76" s="10" t="str">
        <f t="shared" si="41"/>
        <v/>
      </c>
      <c r="Z76" s="10" t="str">
        <f t="shared" si="20"/>
        <v/>
      </c>
      <c r="AA76" s="71"/>
      <c r="AB76" s="10" t="str">
        <f t="shared" si="4"/>
        <v/>
      </c>
      <c r="AC76" s="10" t="str">
        <f t="shared" si="21"/>
        <v/>
      </c>
      <c r="AD76" s="71"/>
      <c r="AE76" s="10" t="str">
        <f t="shared" si="42"/>
        <v/>
      </c>
      <c r="AF76" s="10" t="str">
        <f t="shared" si="22"/>
        <v/>
      </c>
      <c r="AG76" s="71"/>
      <c r="AH76" s="10" t="str">
        <f t="shared" si="43"/>
        <v/>
      </c>
      <c r="AI76" s="10" t="str">
        <f t="shared" si="23"/>
        <v/>
      </c>
      <c r="AJ76" s="71"/>
      <c r="AK76" s="10" t="str">
        <f t="shared" si="44"/>
        <v/>
      </c>
      <c r="AL76" s="10" t="str">
        <f t="shared" si="24"/>
        <v/>
      </c>
      <c r="AM76" s="71"/>
      <c r="AN76" s="10" t="str">
        <f t="shared" si="45"/>
        <v/>
      </c>
      <c r="AO76" s="10" t="str">
        <f t="shared" si="25"/>
        <v/>
      </c>
      <c r="AP76" s="71"/>
      <c r="AQ76" s="10" t="str">
        <f t="shared" si="46"/>
        <v/>
      </c>
      <c r="AR76" s="10" t="str">
        <f t="shared" si="26"/>
        <v/>
      </c>
      <c r="AS76" s="71"/>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U76" s="71"/>
      <c r="AV76" s="10" t="str">
        <f t="shared" si="47"/>
        <v/>
      </c>
      <c r="AW76" s="10" t="str">
        <f t="shared" si="27"/>
        <v/>
      </c>
      <c r="AX76" s="71"/>
      <c r="AY76" s="7" t="str">
        <f>IF(ISERROR(IF($K76&lt;=$F$15,VLOOKUP($I76,'表4）CO2価格'!$A$7:$E$67,VLOOKUP($F$48,'表4）CO2価格'!$H$10:$I$12,2,0),0)*$F$8/1000,"")),0,IF($K76&lt;=$F$15,VLOOKUP($I76,'表4）CO2価格'!$A$7:$E$67,VLOOKUP($F$48,'表4）CO2価格'!$H$10:$I$12,2,0),0)*$F$8/1000,""))</f>
        <v/>
      </c>
      <c r="AZ76" s="71"/>
      <c r="BA76" s="11" t="str">
        <f t="shared" si="48"/>
        <v/>
      </c>
      <c r="BB76" s="10" t="str">
        <f t="shared" si="28"/>
        <v/>
      </c>
      <c r="BC76" s="71"/>
      <c r="BD76" s="10" t="str">
        <f t="shared" si="49"/>
        <v/>
      </c>
      <c r="BE76" s="10" t="str">
        <f t="shared" si="29"/>
        <v/>
      </c>
      <c r="BF76" s="71"/>
      <c r="BG76" s="11" t="str">
        <f t="shared" si="50"/>
        <v/>
      </c>
      <c r="BH76" s="10" t="str">
        <f t="shared" si="30"/>
        <v/>
      </c>
      <c r="BJ76" s="7" t="str">
        <f t="shared" si="31"/>
        <v/>
      </c>
      <c r="BK76" s="158" t="str">
        <f t="shared" si="32"/>
        <v/>
      </c>
      <c r="BL76" s="158" t="str">
        <f t="shared" si="14"/>
        <v/>
      </c>
      <c r="BM76" s="10"/>
      <c r="BN76" s="10" t="str">
        <f t="shared" si="33"/>
        <v/>
      </c>
      <c r="BO76" s="10" t="str">
        <f t="shared" si="34"/>
        <v/>
      </c>
      <c r="BQ76" s="10" t="str">
        <f t="shared" si="51"/>
        <v/>
      </c>
      <c r="BR76" s="10" t="str">
        <f t="shared" si="35"/>
        <v/>
      </c>
    </row>
    <row r="77" spans="2:70" x14ac:dyDescent="0.15">
      <c r="F77" s="93"/>
      <c r="I77" s="458">
        <f t="shared" si="36"/>
        <v>2082</v>
      </c>
      <c r="J77" s="470"/>
      <c r="K77" s="39">
        <f t="shared" si="37"/>
        <v>63</v>
      </c>
      <c r="L77" s="39"/>
      <c r="M77" s="40">
        <f t="shared" si="38"/>
        <v>0.15532982164476369</v>
      </c>
      <c r="N77" s="39"/>
      <c r="O77" s="72" t="str">
        <f t="shared" si="52"/>
        <v/>
      </c>
      <c r="P77" s="41" t="str">
        <f t="shared" si="39"/>
        <v/>
      </c>
      <c r="Q77" s="39"/>
      <c r="R77" s="72" t="str">
        <f t="shared" si="53"/>
        <v/>
      </c>
      <c r="S77" s="39"/>
      <c r="T77" s="72" t="str">
        <f t="shared" si="18"/>
        <v/>
      </c>
      <c r="U77" s="39"/>
      <c r="V77" s="72" t="str">
        <f t="shared" si="40"/>
        <v/>
      </c>
      <c r="W77" s="72" t="str">
        <f t="shared" si="19"/>
        <v/>
      </c>
      <c r="X77" s="39"/>
      <c r="Y77" s="72" t="str">
        <f t="shared" si="41"/>
        <v/>
      </c>
      <c r="Z77" s="72" t="str">
        <f t="shared" si="20"/>
        <v/>
      </c>
      <c r="AA77" s="39"/>
      <c r="AB77" s="72" t="str">
        <f t="shared" si="4"/>
        <v/>
      </c>
      <c r="AC77" s="72" t="str">
        <f t="shared" si="21"/>
        <v/>
      </c>
      <c r="AD77" s="39"/>
      <c r="AE77" s="72" t="str">
        <f t="shared" si="42"/>
        <v/>
      </c>
      <c r="AF77" s="72" t="str">
        <f t="shared" si="22"/>
        <v/>
      </c>
      <c r="AG77" s="39"/>
      <c r="AH77" s="72" t="str">
        <f t="shared" si="43"/>
        <v/>
      </c>
      <c r="AI77" s="72" t="str">
        <f t="shared" si="23"/>
        <v/>
      </c>
      <c r="AJ77" s="39"/>
      <c r="AK77" s="72" t="str">
        <f t="shared" si="44"/>
        <v/>
      </c>
      <c r="AL77" s="72" t="str">
        <f t="shared" si="24"/>
        <v/>
      </c>
      <c r="AM77" s="39"/>
      <c r="AN77" s="72" t="str">
        <f t="shared" si="45"/>
        <v/>
      </c>
      <c r="AO77" s="72" t="str">
        <f t="shared" si="25"/>
        <v/>
      </c>
      <c r="AP77" s="39"/>
      <c r="AQ77" s="72" t="str">
        <f t="shared" si="46"/>
        <v/>
      </c>
      <c r="AR77" s="72" t="str">
        <f t="shared" si="26"/>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47"/>
        <v/>
      </c>
      <c r="AW77" s="72" t="str">
        <f t="shared" si="27"/>
        <v/>
      </c>
      <c r="AX77" s="39"/>
      <c r="AY77" s="40" t="str">
        <f>IF(ISERROR(IF($K77&lt;=$F$15,VLOOKUP($I77,'表4）CO2価格'!$A$7:$E$67,VLOOKUP($F$48,'表4）CO2価格'!$H$10:$I$12,2,0),0)*$F$8/1000,"")),0,IF($K77&lt;=$F$15,VLOOKUP($I77,'表4）CO2価格'!$A$7:$E$67,VLOOKUP($F$48,'表4）CO2価格'!$H$10:$I$12,2,0),0)*$F$8/1000,""))</f>
        <v/>
      </c>
      <c r="AZ77" s="39"/>
      <c r="BA77" s="42" t="str">
        <f t="shared" si="48"/>
        <v/>
      </c>
      <c r="BB77" s="72" t="str">
        <f t="shared" si="28"/>
        <v/>
      </c>
      <c r="BC77" s="39"/>
      <c r="BD77" s="72" t="str">
        <f t="shared" si="49"/>
        <v/>
      </c>
      <c r="BE77" s="72" t="str">
        <f t="shared" si="29"/>
        <v/>
      </c>
      <c r="BF77" s="39"/>
      <c r="BG77" s="42" t="str">
        <f t="shared" si="50"/>
        <v/>
      </c>
      <c r="BH77" s="72" t="str">
        <f t="shared" si="30"/>
        <v/>
      </c>
      <c r="BI77" s="39"/>
      <c r="BJ77" s="40" t="str">
        <f t="shared" si="31"/>
        <v/>
      </c>
      <c r="BK77" s="157" t="str">
        <f t="shared" si="32"/>
        <v/>
      </c>
      <c r="BL77" s="157" t="str">
        <f t="shared" si="14"/>
        <v/>
      </c>
      <c r="BM77" s="72"/>
      <c r="BN77" s="72" t="str">
        <f t="shared" si="33"/>
        <v/>
      </c>
      <c r="BO77" s="72" t="str">
        <f t="shared" si="34"/>
        <v/>
      </c>
      <c r="BP77" s="39"/>
      <c r="BQ77" s="72" t="str">
        <f t="shared" si="51"/>
        <v/>
      </c>
      <c r="BR77" s="72" t="str">
        <f t="shared" si="35"/>
        <v/>
      </c>
    </row>
    <row r="78" spans="2:70" x14ac:dyDescent="0.15">
      <c r="E78" s="74" t="s">
        <v>138</v>
      </c>
      <c r="F78" s="91">
        <f>R15/$BR$116</f>
        <v>1.1770672626551333</v>
      </c>
      <c r="G78" s="81" t="s">
        <v>132</v>
      </c>
      <c r="I78" s="459">
        <f t="shared" si="36"/>
        <v>2083</v>
      </c>
      <c r="K78" s="71">
        <f t="shared" si="37"/>
        <v>64</v>
      </c>
      <c r="L78" s="71"/>
      <c r="M78" s="7">
        <f t="shared" si="38"/>
        <v>0.15080565208229488</v>
      </c>
      <c r="N78" s="71"/>
      <c r="O78" s="10" t="str">
        <f t="shared" si="52"/>
        <v/>
      </c>
      <c r="P78" s="29" t="str">
        <f t="shared" si="39"/>
        <v/>
      </c>
      <c r="Q78" s="71"/>
      <c r="R78" s="10" t="str">
        <f t="shared" si="53"/>
        <v/>
      </c>
      <c r="S78" s="71"/>
      <c r="T78" s="10" t="str">
        <f t="shared" si="18"/>
        <v/>
      </c>
      <c r="U78" s="71"/>
      <c r="V78" s="10" t="str">
        <f t="shared" si="40"/>
        <v/>
      </c>
      <c r="W78" s="10" t="str">
        <f t="shared" si="19"/>
        <v/>
      </c>
      <c r="X78" s="71"/>
      <c r="Y78" s="10" t="str">
        <f t="shared" si="41"/>
        <v/>
      </c>
      <c r="Z78" s="10" t="str">
        <f t="shared" si="20"/>
        <v/>
      </c>
      <c r="AA78" s="71"/>
      <c r="AB78" s="10" t="str">
        <f t="shared" si="4"/>
        <v/>
      </c>
      <c r="AC78" s="10" t="str">
        <f t="shared" si="21"/>
        <v/>
      </c>
      <c r="AD78" s="71"/>
      <c r="AE78" s="10" t="str">
        <f t="shared" si="42"/>
        <v/>
      </c>
      <c r="AF78" s="10" t="str">
        <f t="shared" si="22"/>
        <v/>
      </c>
      <c r="AG78" s="71"/>
      <c r="AH78" s="10" t="str">
        <f t="shared" si="43"/>
        <v/>
      </c>
      <c r="AI78" s="10" t="str">
        <f t="shared" si="23"/>
        <v/>
      </c>
      <c r="AJ78" s="71"/>
      <c r="AK78" s="10" t="str">
        <f t="shared" si="44"/>
        <v/>
      </c>
      <c r="AL78" s="10" t="str">
        <f t="shared" si="24"/>
        <v/>
      </c>
      <c r="AM78" s="71"/>
      <c r="AN78" s="10" t="str">
        <f t="shared" si="45"/>
        <v/>
      </c>
      <c r="AO78" s="10" t="str">
        <f t="shared" si="25"/>
        <v/>
      </c>
      <c r="AP78" s="71"/>
      <c r="AQ78" s="10" t="str">
        <f t="shared" si="46"/>
        <v/>
      </c>
      <c r="AR78" s="10" t="str">
        <f t="shared" si="26"/>
        <v/>
      </c>
      <c r="AS78" s="71"/>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U78" s="71"/>
      <c r="AV78" s="10" t="str">
        <f t="shared" si="47"/>
        <v/>
      </c>
      <c r="AW78" s="10" t="str">
        <f t="shared" si="27"/>
        <v/>
      </c>
      <c r="AX78" s="71"/>
      <c r="AY78" s="7" t="str">
        <f>IF(ISERROR(IF($K78&lt;=$F$15,VLOOKUP($I78,'表4）CO2価格'!$A$7:$E$67,VLOOKUP($F$48,'表4）CO2価格'!$H$10:$I$12,2,0),0)*$F$8/1000,"")),0,IF($K78&lt;=$F$15,VLOOKUP($I78,'表4）CO2価格'!$A$7:$E$67,VLOOKUP($F$48,'表4）CO2価格'!$H$10:$I$12,2,0),0)*$F$8/1000,""))</f>
        <v/>
      </c>
      <c r="AZ78" s="71"/>
      <c r="BA78" s="11" t="str">
        <f t="shared" si="48"/>
        <v/>
      </c>
      <c r="BB78" s="10" t="str">
        <f t="shared" si="28"/>
        <v/>
      </c>
      <c r="BC78" s="71"/>
      <c r="BD78" s="10" t="str">
        <f t="shared" si="49"/>
        <v/>
      </c>
      <c r="BE78" s="10" t="str">
        <f t="shared" si="29"/>
        <v/>
      </c>
      <c r="BF78" s="71"/>
      <c r="BG78" s="11" t="str">
        <f t="shared" si="50"/>
        <v/>
      </c>
      <c r="BH78" s="10" t="str">
        <f t="shared" si="30"/>
        <v/>
      </c>
      <c r="BJ78" s="7" t="str">
        <f t="shared" si="31"/>
        <v/>
      </c>
      <c r="BK78" s="158" t="str">
        <f t="shared" si="32"/>
        <v/>
      </c>
      <c r="BL78" s="158" t="str">
        <f t="shared" si="14"/>
        <v/>
      </c>
      <c r="BM78" s="10"/>
      <c r="BN78" s="10" t="str">
        <f t="shared" si="33"/>
        <v/>
      </c>
      <c r="BO78" s="10" t="str">
        <f t="shared" si="34"/>
        <v/>
      </c>
      <c r="BQ78" s="10" t="str">
        <f t="shared" si="51"/>
        <v/>
      </c>
      <c r="BR78" s="10" t="str">
        <f t="shared" si="35"/>
        <v/>
      </c>
    </row>
    <row r="79" spans="2:70" x14ac:dyDescent="0.15">
      <c r="E79" s="81" t="s">
        <v>139</v>
      </c>
      <c r="F79" s="91">
        <f>Z116/$BR$116</f>
        <v>9.99679460469481E-2</v>
      </c>
      <c r="G79" s="81" t="s">
        <v>132</v>
      </c>
      <c r="I79" s="458">
        <f t="shared" si="36"/>
        <v>2084</v>
      </c>
      <c r="J79" s="470"/>
      <c r="K79" s="39">
        <f t="shared" si="37"/>
        <v>65</v>
      </c>
      <c r="L79" s="39"/>
      <c r="M79" s="40">
        <f t="shared" ref="M79:M114" si="54">1/(1+($F$9/100))^K79</f>
        <v>0.14641325444882999</v>
      </c>
      <c r="N79" s="39"/>
      <c r="O79" s="72" t="str">
        <f t="shared" si="52"/>
        <v/>
      </c>
      <c r="P79" s="41" t="str">
        <f t="shared" ref="P79:P110" si="55">IF(K79&lt;=$F$15,IF(OR(P78=$F$124,P78="-"),"-",IF(O79*$F$123&gt;$F$127,$F$123,$F$124)),"")</f>
        <v/>
      </c>
      <c r="Q79" s="39"/>
      <c r="R79" s="72" t="str">
        <f t="shared" si="53"/>
        <v/>
      </c>
      <c r="S79" s="39"/>
      <c r="T79" s="72" t="str">
        <f t="shared" si="18"/>
        <v/>
      </c>
      <c r="U79" s="39"/>
      <c r="V79" s="72" t="str">
        <f t="shared" ref="V79:V114" si="56">IF(K79&lt;=$F$15,IF(K79&lt;$F$119,IF(P79="-",V78,O79*P79),IF(K79=$F$119,MIN(IF(P79="-",V78,O79*P79),O79),0)),"")</f>
        <v/>
      </c>
      <c r="W79" s="72" t="str">
        <f t="shared" si="19"/>
        <v/>
      </c>
      <c r="X79" s="39"/>
      <c r="Y79" s="72" t="str">
        <f t="shared" ref="Y79:Y114" si="57">IF($K79&lt;=$F$15,ROUNDDOWN(T79*$F$25/100,-2),"")</f>
        <v/>
      </c>
      <c r="Z79" s="72" t="str">
        <f t="shared" si="20"/>
        <v/>
      </c>
      <c r="AA79" s="39"/>
      <c r="AB79" s="72" t="str">
        <f t="shared" ref="AB79:AB114" si="58">IF($K79&lt;=$F$15,0,IF(AND($K79&gt;$F$15,$K79&lt;=$F$15+$F$28),$F$27*10^8/$F$28,""))</f>
        <v/>
      </c>
      <c r="AC79" s="72" t="str">
        <f t="shared" si="21"/>
        <v/>
      </c>
      <c r="AD79" s="39"/>
      <c r="AE79" s="72" t="str">
        <f t="shared" ref="AE79:AE114" si="59">IF($K79&lt;=$F$15,$F$26,"")</f>
        <v/>
      </c>
      <c r="AF79" s="72" t="str">
        <f t="shared" si="22"/>
        <v/>
      </c>
      <c r="AG79" s="39"/>
      <c r="AH79" s="72" t="str">
        <f t="shared" ref="AH79:AH114" si="60">IF($K79&lt;=$F$15,$F$33*10^8,"")</f>
        <v/>
      </c>
      <c r="AI79" s="72" t="str">
        <f t="shared" si="23"/>
        <v/>
      </c>
      <c r="AJ79" s="39"/>
      <c r="AK79" s="72" t="str">
        <f t="shared" ref="AK79:AK114" si="61">IF($K79&lt;=$F$15,$F$117*$F$34/100,"")</f>
        <v/>
      </c>
      <c r="AL79" s="72" t="str">
        <f t="shared" si="24"/>
        <v/>
      </c>
      <c r="AM79" s="39"/>
      <c r="AN79" s="72" t="str">
        <f t="shared" ref="AN79:AN114" si="62">IF($K79&lt;=$F$15,$F$117*$F$35/100,"")</f>
        <v/>
      </c>
      <c r="AO79" s="72" t="str">
        <f t="shared" si="25"/>
        <v/>
      </c>
      <c r="AP79" s="39"/>
      <c r="AQ79" s="72" t="str">
        <f t="shared" ref="AQ79:AQ114" si="63">IF($K79&lt;=$F$15,SUM(AH79,AK79,AN79)*($F$36/100),"")</f>
        <v/>
      </c>
      <c r="AR79" s="72" t="str">
        <f t="shared" si="26"/>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64">IF($K79&lt;=$F$15,($AT79+$F$142)*$F$137,"")</f>
        <v/>
      </c>
      <c r="AW79" s="72" t="str">
        <f t="shared" si="27"/>
        <v/>
      </c>
      <c r="AX79" s="39"/>
      <c r="AY79" s="40" t="str">
        <f>IF(ISERROR(IF($K79&lt;=$F$15,VLOOKUP($I79,'表4）CO2価格'!$A$7:$E$67,VLOOKUP($F$48,'表4）CO2価格'!$H$10:$I$12,2,0),0)*$F$8/1000,"")),0,IF($K79&lt;=$F$15,VLOOKUP($I79,'表4）CO2価格'!$A$7:$E$67,VLOOKUP($F$48,'表4）CO2価格'!$H$10:$I$12,2,0),0)*$F$8/1000,""))</f>
        <v/>
      </c>
      <c r="AZ79" s="39"/>
      <c r="BA79" s="42" t="str">
        <f t="shared" ref="BA79:BA114" si="65">IF($K79&lt;=$F$15,$F$145*AY79,"")</f>
        <v/>
      </c>
      <c r="BB79" s="72" t="str">
        <f t="shared" si="28"/>
        <v/>
      </c>
      <c r="BC79" s="39"/>
      <c r="BD79" s="72" t="str">
        <f t="shared" ref="BD79:BD114" si="66">IF($K79&lt;=$F$15,($AT79+$F$152)*$F$151,"")</f>
        <v/>
      </c>
      <c r="BE79" s="72" t="str">
        <f t="shared" si="29"/>
        <v/>
      </c>
      <c r="BF79" s="39"/>
      <c r="BG79" s="42" t="str">
        <f t="shared" ref="BG79:BG114" si="67">IF($K79&lt;=$F$15,$F$153*AY79,"")</f>
        <v/>
      </c>
      <c r="BH79" s="72" t="str">
        <f t="shared" si="30"/>
        <v/>
      </c>
      <c r="BI79" s="39"/>
      <c r="BJ79" s="40" t="str">
        <f t="shared" si="31"/>
        <v/>
      </c>
      <c r="BK79" s="157" t="str">
        <f t="shared" si="32"/>
        <v/>
      </c>
      <c r="BL79" s="157" t="str">
        <f t="shared" ref="BL79:BL114" si="68">IF(AND(ISNUMBER(BJ79),$K79&lt;=$F$16),BQ79*BJ79,"")</f>
        <v/>
      </c>
      <c r="BM79" s="72"/>
      <c r="BN79" s="72" t="str">
        <f t="shared" si="33"/>
        <v/>
      </c>
      <c r="BO79" s="72" t="str">
        <f t="shared" si="34"/>
        <v/>
      </c>
      <c r="BP79" s="39"/>
      <c r="BQ79" s="72" t="str">
        <f t="shared" ref="BQ79:BQ114" si="69">IF($K79&lt;=$F$15,$F$134,"")</f>
        <v/>
      </c>
      <c r="BR79" s="72" t="str">
        <f t="shared" si="35"/>
        <v/>
      </c>
    </row>
    <row r="80" spans="2:70" x14ac:dyDescent="0.15">
      <c r="E80" s="81" t="s">
        <v>115</v>
      </c>
      <c r="F80" s="91">
        <f>AF116/$BR$116</f>
        <v>0</v>
      </c>
      <c r="G80" s="81" t="s">
        <v>132</v>
      </c>
      <c r="I80" s="459">
        <f t="shared" si="36"/>
        <v>2085</v>
      </c>
      <c r="K80" s="71">
        <f t="shared" si="37"/>
        <v>66</v>
      </c>
      <c r="L80" s="71"/>
      <c r="M80" s="7">
        <f t="shared" si="54"/>
        <v>0.14214879072701941</v>
      </c>
      <c r="N80" s="71"/>
      <c r="O80" s="10" t="str">
        <f t="shared" ref="O80:O114" si="70">IF(K80&lt;=$F$15,O79-V79,"")</f>
        <v/>
      </c>
      <c r="P80" s="29" t="str">
        <f t="shared" si="55"/>
        <v/>
      </c>
      <c r="Q80" s="71"/>
      <c r="R80" s="10" t="str">
        <f t="shared" ref="R80:R114" si="71">IF($K80&lt;=$F$15,MAX($F$117*5%,R79*$F$129),"")</f>
        <v/>
      </c>
      <c r="S80" s="71"/>
      <c r="T80" s="10" t="str">
        <f t="shared" ref="T80:T114" si="72">IF(ISNUMBER(R80),ROUNDDOWN(R80,-3),"")</f>
        <v/>
      </c>
      <c r="U80" s="71"/>
      <c r="V80" s="10" t="str">
        <f t="shared" si="56"/>
        <v/>
      </c>
      <c r="W80" s="10" t="str">
        <f t="shared" ref="W80:W114" si="73">IF(ISNUMBER(V80),V80*$M80,"")</f>
        <v/>
      </c>
      <c r="X80" s="71"/>
      <c r="Y80" s="10" t="str">
        <f t="shared" si="57"/>
        <v/>
      </c>
      <c r="Z80" s="10" t="str">
        <f t="shared" ref="Z80:Z114" si="74">IF(ISNUMBER(Y80),Y80*$M80,"")</f>
        <v/>
      </c>
      <c r="AA80" s="71"/>
      <c r="AB80" s="10" t="str">
        <f t="shared" si="58"/>
        <v/>
      </c>
      <c r="AC80" s="10" t="str">
        <f t="shared" ref="AC80:AC114" si="75">IF(ISNUMBER(AB80),AB80*$M80,"")</f>
        <v/>
      </c>
      <c r="AD80" s="71"/>
      <c r="AE80" s="10" t="str">
        <f t="shared" si="59"/>
        <v/>
      </c>
      <c r="AF80" s="10" t="str">
        <f t="shared" ref="AF80:AF114" si="76">IF(ISNUMBER(AE80),AE80*$M80,"")</f>
        <v/>
      </c>
      <c r="AG80" s="71"/>
      <c r="AH80" s="10" t="str">
        <f t="shared" si="60"/>
        <v/>
      </c>
      <c r="AI80" s="10" t="str">
        <f t="shared" ref="AI80:AI114" si="77">IF(ISNUMBER(AH80),AH80*$M80,"")</f>
        <v/>
      </c>
      <c r="AJ80" s="71"/>
      <c r="AK80" s="10" t="str">
        <f t="shared" si="61"/>
        <v/>
      </c>
      <c r="AL80" s="10" t="str">
        <f t="shared" ref="AL80:AL114" si="78">IF(ISNUMBER(AK80),AK80*$M80,"")</f>
        <v/>
      </c>
      <c r="AM80" s="71"/>
      <c r="AN80" s="10" t="str">
        <f t="shared" si="62"/>
        <v/>
      </c>
      <c r="AO80" s="10" t="str">
        <f t="shared" ref="AO80:AO114" si="79">IF(ISNUMBER(AN80),AN80*$M80,"")</f>
        <v/>
      </c>
      <c r="AP80" s="71"/>
      <c r="AQ80" s="10" t="str">
        <f t="shared" si="63"/>
        <v/>
      </c>
      <c r="AR80" s="10" t="str">
        <f t="shared" ref="AR80:AR114" si="80">IF(ISNUMBER(AQ80),AQ80*$M80,"")</f>
        <v/>
      </c>
      <c r="AS80" s="71"/>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U80" s="71"/>
      <c r="AV80" s="10" t="str">
        <f t="shared" si="64"/>
        <v/>
      </c>
      <c r="AW80" s="10" t="str">
        <f t="shared" ref="AW80:AW114" si="81">IF(ISNUMBER(AV80),AV80*$M80,"")</f>
        <v/>
      </c>
      <c r="AX80" s="71"/>
      <c r="AY80" s="7" t="str">
        <f>IF(ISERROR(IF($K80&lt;=$F$15,VLOOKUP($I80,'表4）CO2価格'!$A$7:$E$67,VLOOKUP($F$48,'表4）CO2価格'!$H$10:$I$12,2,0),0)*$F$8/1000,"")),0,IF($K80&lt;=$F$15,VLOOKUP($I80,'表4）CO2価格'!$A$7:$E$67,VLOOKUP($F$48,'表4）CO2価格'!$H$10:$I$12,2,0),0)*$F$8/1000,""))</f>
        <v/>
      </c>
      <c r="AZ80" s="71"/>
      <c r="BA80" s="11" t="str">
        <f t="shared" si="65"/>
        <v/>
      </c>
      <c r="BB80" s="10" t="str">
        <f t="shared" ref="BB80:BB114" si="82">IF(ISNUMBER(BA80),BA80*$M80,"")</f>
        <v/>
      </c>
      <c r="BC80" s="71"/>
      <c r="BD80" s="10" t="str">
        <f t="shared" si="66"/>
        <v/>
      </c>
      <c r="BE80" s="10" t="str">
        <f t="shared" ref="BE80:BE114" si="83">IF(ISNUMBER(BD80),BD80*$M80,"")</f>
        <v/>
      </c>
      <c r="BF80" s="71"/>
      <c r="BG80" s="11" t="str">
        <f t="shared" si="67"/>
        <v/>
      </c>
      <c r="BH80" s="10" t="str">
        <f t="shared" ref="BH80:BH114" si="84">IF(ISNUMBER(BG80),BG80*$M80,"")</f>
        <v/>
      </c>
      <c r="BJ80" s="7" t="str">
        <f t="shared" ref="BJ80:BJ114" si="85">IF(ISNUMBER($F$16),IF($K80&lt;=$F$16+$F$28,1/(1+($F$17/100))^K80,""),"")</f>
        <v/>
      </c>
      <c r="BK80" s="158" t="str">
        <f t="shared" ref="BK80:BK114" si="86">IF(ISNUMBER($F$16),IF($K80&lt;=$F$16+$F$28,IF($K80&lt;=$F$16,SUM(Y80,AB80,AE80,AH80,AK80,AN80,AQ80,AV80,BA80,BD80,BG80),$F$27/$F$28*10^8)*BJ80,""),"")</f>
        <v/>
      </c>
      <c r="BL80" s="158" t="str">
        <f t="shared" si="68"/>
        <v/>
      </c>
      <c r="BM80" s="10"/>
      <c r="BN80" s="10" t="str">
        <f t="shared" ref="BN80:BN114" si="87">IF(AND(ISNUMBER($F$16),$K80&lt;=$F$16),BQ80*($O$15+$BK$116)/$BL$116,"")</f>
        <v/>
      </c>
      <c r="BO80" s="10" t="str">
        <f t="shared" ref="BO80:BO114" si="88">IF(ISNUMBER(BN80),BN80*$M80,"")</f>
        <v/>
      </c>
      <c r="BQ80" s="10" t="str">
        <f t="shared" si="69"/>
        <v/>
      </c>
      <c r="BR80" s="10" t="str">
        <f t="shared" ref="BR80:BR114" si="89">IF(ISNUMBER(BQ80),BQ80*$M80,"")</f>
        <v/>
      </c>
    </row>
    <row r="81" spans="4:70" x14ac:dyDescent="0.15">
      <c r="E81" s="82" t="s">
        <v>86</v>
      </c>
      <c r="F81" s="91">
        <f>AC116/$BR$116</f>
        <v>1.7516408806690795E-2</v>
      </c>
      <c r="G81" s="81" t="s">
        <v>132</v>
      </c>
      <c r="I81" s="458">
        <f t="shared" ref="I81:I114" si="90">I80+1</f>
        <v>2086</v>
      </c>
      <c r="J81" s="470"/>
      <c r="K81" s="39">
        <f t="shared" ref="K81:K114" si="91">IF(I81&lt;&gt;"",K80+1,"")</f>
        <v>67</v>
      </c>
      <c r="L81" s="39"/>
      <c r="M81" s="40">
        <f t="shared" si="54"/>
        <v>0.1380085346864266</v>
      </c>
      <c r="N81" s="39"/>
      <c r="O81" s="72" t="str">
        <f t="shared" si="70"/>
        <v/>
      </c>
      <c r="P81" s="41" t="str">
        <f t="shared" si="55"/>
        <v/>
      </c>
      <c r="Q81" s="39"/>
      <c r="R81" s="72" t="str">
        <f t="shared" si="71"/>
        <v/>
      </c>
      <c r="S81" s="39"/>
      <c r="T81" s="72" t="str">
        <f t="shared" si="72"/>
        <v/>
      </c>
      <c r="U81" s="39"/>
      <c r="V81" s="72" t="str">
        <f t="shared" si="56"/>
        <v/>
      </c>
      <c r="W81" s="72" t="str">
        <f t="shared" si="73"/>
        <v/>
      </c>
      <c r="X81" s="39"/>
      <c r="Y81" s="72" t="str">
        <f t="shared" si="57"/>
        <v/>
      </c>
      <c r="Z81" s="72" t="str">
        <f t="shared" si="74"/>
        <v/>
      </c>
      <c r="AA81" s="39"/>
      <c r="AB81" s="72" t="str">
        <f t="shared" si="58"/>
        <v/>
      </c>
      <c r="AC81" s="72" t="str">
        <f t="shared" si="75"/>
        <v/>
      </c>
      <c r="AD81" s="39"/>
      <c r="AE81" s="72" t="str">
        <f t="shared" si="59"/>
        <v/>
      </c>
      <c r="AF81" s="72" t="str">
        <f t="shared" si="76"/>
        <v/>
      </c>
      <c r="AG81" s="39"/>
      <c r="AH81" s="72" t="str">
        <f t="shared" si="60"/>
        <v/>
      </c>
      <c r="AI81" s="72" t="str">
        <f t="shared" si="77"/>
        <v/>
      </c>
      <c r="AJ81" s="39"/>
      <c r="AK81" s="72" t="str">
        <f t="shared" si="61"/>
        <v/>
      </c>
      <c r="AL81" s="72" t="str">
        <f t="shared" si="78"/>
        <v/>
      </c>
      <c r="AM81" s="39"/>
      <c r="AN81" s="72" t="str">
        <f t="shared" si="62"/>
        <v/>
      </c>
      <c r="AO81" s="72" t="str">
        <f t="shared" si="79"/>
        <v/>
      </c>
      <c r="AP81" s="39"/>
      <c r="AQ81" s="72" t="str">
        <f t="shared" si="63"/>
        <v/>
      </c>
      <c r="AR81" s="72" t="str">
        <f t="shared" si="80"/>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64"/>
        <v/>
      </c>
      <c r="AW81" s="72" t="str">
        <f t="shared" si="81"/>
        <v/>
      </c>
      <c r="AX81" s="39"/>
      <c r="AY81" s="40" t="str">
        <f>IF(ISERROR(IF($K81&lt;=$F$15,VLOOKUP($I81,'表4）CO2価格'!$A$7:$E$67,VLOOKUP($F$48,'表4）CO2価格'!$H$10:$I$12,2,0),0)*$F$8/1000,"")),0,IF($K81&lt;=$F$15,VLOOKUP($I81,'表4）CO2価格'!$A$7:$E$67,VLOOKUP($F$48,'表4）CO2価格'!$H$10:$I$12,2,0),0)*$F$8/1000,""))</f>
        <v/>
      </c>
      <c r="AZ81" s="39"/>
      <c r="BA81" s="42" t="str">
        <f t="shared" si="65"/>
        <v/>
      </c>
      <c r="BB81" s="72" t="str">
        <f t="shared" si="82"/>
        <v/>
      </c>
      <c r="BC81" s="39"/>
      <c r="BD81" s="72" t="str">
        <f t="shared" si="66"/>
        <v/>
      </c>
      <c r="BE81" s="72" t="str">
        <f t="shared" si="83"/>
        <v/>
      </c>
      <c r="BF81" s="39"/>
      <c r="BG81" s="42" t="str">
        <f t="shared" si="67"/>
        <v/>
      </c>
      <c r="BH81" s="72" t="str">
        <f t="shared" si="84"/>
        <v/>
      </c>
      <c r="BI81" s="39"/>
      <c r="BJ81" s="40" t="str">
        <f t="shared" si="85"/>
        <v/>
      </c>
      <c r="BK81" s="157" t="str">
        <f t="shared" si="86"/>
        <v/>
      </c>
      <c r="BL81" s="157" t="str">
        <f t="shared" si="68"/>
        <v/>
      </c>
      <c r="BM81" s="72"/>
      <c r="BN81" s="72" t="str">
        <f t="shared" si="87"/>
        <v/>
      </c>
      <c r="BO81" s="72" t="str">
        <f t="shared" si="88"/>
        <v/>
      </c>
      <c r="BP81" s="39"/>
      <c r="BQ81" s="72" t="str">
        <f t="shared" si="69"/>
        <v/>
      </c>
      <c r="BR81" s="72" t="str">
        <f t="shared" si="89"/>
        <v/>
      </c>
    </row>
    <row r="82" spans="4:70" x14ac:dyDescent="0.15">
      <c r="F82" s="93"/>
      <c r="I82" s="459">
        <f t="shared" si="90"/>
        <v>2087</v>
      </c>
      <c r="K82" s="71">
        <f t="shared" si="91"/>
        <v>68</v>
      </c>
      <c r="L82" s="71"/>
      <c r="M82" s="7">
        <f t="shared" si="54"/>
        <v>0.13398886862759865</v>
      </c>
      <c r="N82" s="71"/>
      <c r="O82" s="10" t="str">
        <f t="shared" si="70"/>
        <v/>
      </c>
      <c r="P82" s="29" t="str">
        <f t="shared" si="55"/>
        <v/>
      </c>
      <c r="Q82" s="71"/>
      <c r="R82" s="10" t="str">
        <f t="shared" si="71"/>
        <v/>
      </c>
      <c r="S82" s="71"/>
      <c r="T82" s="10" t="str">
        <f t="shared" si="72"/>
        <v/>
      </c>
      <c r="U82" s="71"/>
      <c r="V82" s="10" t="str">
        <f t="shared" si="56"/>
        <v/>
      </c>
      <c r="W82" s="10" t="str">
        <f t="shared" si="73"/>
        <v/>
      </c>
      <c r="X82" s="71"/>
      <c r="Y82" s="10" t="str">
        <f t="shared" si="57"/>
        <v/>
      </c>
      <c r="Z82" s="10" t="str">
        <f t="shared" si="74"/>
        <v/>
      </c>
      <c r="AA82" s="71"/>
      <c r="AB82" s="10" t="str">
        <f t="shared" si="58"/>
        <v/>
      </c>
      <c r="AC82" s="10" t="str">
        <f t="shared" si="75"/>
        <v/>
      </c>
      <c r="AD82" s="71"/>
      <c r="AE82" s="10" t="str">
        <f t="shared" si="59"/>
        <v/>
      </c>
      <c r="AF82" s="10" t="str">
        <f t="shared" si="76"/>
        <v/>
      </c>
      <c r="AG82" s="71"/>
      <c r="AH82" s="10" t="str">
        <f t="shared" si="60"/>
        <v/>
      </c>
      <c r="AI82" s="10" t="str">
        <f t="shared" si="77"/>
        <v/>
      </c>
      <c r="AJ82" s="71"/>
      <c r="AK82" s="10" t="str">
        <f t="shared" si="61"/>
        <v/>
      </c>
      <c r="AL82" s="10" t="str">
        <f t="shared" si="78"/>
        <v/>
      </c>
      <c r="AM82" s="71"/>
      <c r="AN82" s="10" t="str">
        <f t="shared" si="62"/>
        <v/>
      </c>
      <c r="AO82" s="10" t="str">
        <f t="shared" si="79"/>
        <v/>
      </c>
      <c r="AP82" s="71"/>
      <c r="AQ82" s="10" t="str">
        <f t="shared" si="63"/>
        <v/>
      </c>
      <c r="AR82" s="10" t="str">
        <f t="shared" si="80"/>
        <v/>
      </c>
      <c r="AS82" s="71"/>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U82" s="71"/>
      <c r="AV82" s="10" t="str">
        <f t="shared" si="64"/>
        <v/>
      </c>
      <c r="AW82" s="10" t="str">
        <f t="shared" si="81"/>
        <v/>
      </c>
      <c r="AX82" s="71"/>
      <c r="AY82" s="7" t="str">
        <f>IF(ISERROR(IF($K82&lt;=$F$15,VLOOKUP($I82,'表4）CO2価格'!$A$7:$E$67,VLOOKUP($F$48,'表4）CO2価格'!$H$10:$I$12,2,0),0)*$F$8/1000,"")),0,IF($K82&lt;=$F$15,VLOOKUP($I82,'表4）CO2価格'!$A$7:$E$67,VLOOKUP($F$48,'表4）CO2価格'!$H$10:$I$12,2,0),0)*$F$8/1000,""))</f>
        <v/>
      </c>
      <c r="AZ82" s="71"/>
      <c r="BA82" s="11" t="str">
        <f t="shared" si="65"/>
        <v/>
      </c>
      <c r="BB82" s="10" t="str">
        <f t="shared" si="82"/>
        <v/>
      </c>
      <c r="BC82" s="71"/>
      <c r="BD82" s="10" t="str">
        <f t="shared" si="66"/>
        <v/>
      </c>
      <c r="BE82" s="10" t="str">
        <f t="shared" si="83"/>
        <v/>
      </c>
      <c r="BF82" s="71"/>
      <c r="BG82" s="11" t="str">
        <f t="shared" si="67"/>
        <v/>
      </c>
      <c r="BH82" s="10" t="str">
        <f t="shared" si="84"/>
        <v/>
      </c>
      <c r="BJ82" s="7" t="str">
        <f t="shared" si="85"/>
        <v/>
      </c>
      <c r="BK82" s="158" t="str">
        <f t="shared" si="86"/>
        <v/>
      </c>
      <c r="BL82" s="158" t="str">
        <f t="shared" si="68"/>
        <v/>
      </c>
      <c r="BM82" s="10"/>
      <c r="BN82" s="10" t="str">
        <f t="shared" si="87"/>
        <v/>
      </c>
      <c r="BO82" s="10" t="str">
        <f t="shared" si="88"/>
        <v/>
      </c>
      <c r="BQ82" s="10" t="str">
        <f t="shared" si="69"/>
        <v/>
      </c>
      <c r="BR82" s="10" t="str">
        <f t="shared" si="89"/>
        <v/>
      </c>
    </row>
    <row r="83" spans="4:70" ht="15" x14ac:dyDescent="0.15">
      <c r="D83" s="116" t="s">
        <v>194</v>
      </c>
      <c r="F83" s="94">
        <f>SUBTOTAL(9,F87:F90)</f>
        <v>1.2029017661382355</v>
      </c>
      <c r="G83" s="81" t="s">
        <v>132</v>
      </c>
      <c r="I83" s="458">
        <f>I82+1</f>
        <v>2088</v>
      </c>
      <c r="J83" s="470"/>
      <c r="K83" s="39">
        <f>IF(I83&lt;&gt;"",K82+1,"")</f>
        <v>69</v>
      </c>
      <c r="L83" s="39"/>
      <c r="M83" s="40">
        <f t="shared" si="54"/>
        <v>0.13008628022096957</v>
      </c>
      <c r="N83" s="39"/>
      <c r="O83" s="72" t="str">
        <f t="shared" si="70"/>
        <v/>
      </c>
      <c r="P83" s="41" t="str">
        <f t="shared" si="55"/>
        <v/>
      </c>
      <c r="Q83" s="39"/>
      <c r="R83" s="72" t="str">
        <f t="shared" si="71"/>
        <v/>
      </c>
      <c r="S83" s="39"/>
      <c r="T83" s="72" t="str">
        <f t="shared" si="72"/>
        <v/>
      </c>
      <c r="U83" s="39"/>
      <c r="V83" s="72" t="str">
        <f t="shared" si="56"/>
        <v/>
      </c>
      <c r="W83" s="72" t="str">
        <f t="shared" si="73"/>
        <v/>
      </c>
      <c r="X83" s="39"/>
      <c r="Y83" s="72" t="str">
        <f t="shared" si="57"/>
        <v/>
      </c>
      <c r="Z83" s="72" t="str">
        <f t="shared" si="74"/>
        <v/>
      </c>
      <c r="AA83" s="39"/>
      <c r="AB83" s="72" t="str">
        <f t="shared" si="58"/>
        <v/>
      </c>
      <c r="AC83" s="72" t="str">
        <f t="shared" si="75"/>
        <v/>
      </c>
      <c r="AD83" s="39"/>
      <c r="AE83" s="72" t="str">
        <f t="shared" si="59"/>
        <v/>
      </c>
      <c r="AF83" s="72" t="str">
        <f t="shared" si="76"/>
        <v/>
      </c>
      <c r="AG83" s="39"/>
      <c r="AH83" s="72" t="str">
        <f t="shared" si="60"/>
        <v/>
      </c>
      <c r="AI83" s="72" t="str">
        <f t="shared" si="77"/>
        <v/>
      </c>
      <c r="AJ83" s="39"/>
      <c r="AK83" s="72" t="str">
        <f t="shared" si="61"/>
        <v/>
      </c>
      <c r="AL83" s="72" t="str">
        <f t="shared" si="78"/>
        <v/>
      </c>
      <c r="AM83" s="39"/>
      <c r="AN83" s="72" t="str">
        <f t="shared" si="62"/>
        <v/>
      </c>
      <c r="AO83" s="72" t="str">
        <f t="shared" si="79"/>
        <v/>
      </c>
      <c r="AP83" s="39"/>
      <c r="AQ83" s="72" t="str">
        <f t="shared" si="63"/>
        <v/>
      </c>
      <c r="AR83" s="72" t="str">
        <f t="shared" si="80"/>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64"/>
        <v/>
      </c>
      <c r="AW83" s="72" t="str">
        <f t="shared" si="81"/>
        <v/>
      </c>
      <c r="AX83" s="39"/>
      <c r="AY83" s="40" t="str">
        <f>IF(ISERROR(IF($K83&lt;=$F$15,VLOOKUP($I83,'表4）CO2価格'!$A$7:$E$67,VLOOKUP($F$48,'表4）CO2価格'!$H$10:$I$12,2,0),0)*$F$8/1000,"")),0,IF($K83&lt;=$F$15,VLOOKUP($I83,'表4）CO2価格'!$A$7:$E$67,VLOOKUP($F$48,'表4）CO2価格'!$H$10:$I$12,2,0),0)*$F$8/1000,""))</f>
        <v/>
      </c>
      <c r="AZ83" s="39"/>
      <c r="BA83" s="42" t="str">
        <f t="shared" si="65"/>
        <v/>
      </c>
      <c r="BB83" s="72" t="str">
        <f t="shared" si="82"/>
        <v/>
      </c>
      <c r="BC83" s="39"/>
      <c r="BD83" s="72" t="str">
        <f t="shared" si="66"/>
        <v/>
      </c>
      <c r="BE83" s="72" t="str">
        <f t="shared" si="83"/>
        <v/>
      </c>
      <c r="BF83" s="39"/>
      <c r="BG83" s="42" t="str">
        <f t="shared" si="67"/>
        <v/>
      </c>
      <c r="BH83" s="72" t="str">
        <f t="shared" si="84"/>
        <v/>
      </c>
      <c r="BI83" s="39"/>
      <c r="BJ83" s="40" t="str">
        <f t="shared" si="85"/>
        <v/>
      </c>
      <c r="BK83" s="157" t="str">
        <f t="shared" si="86"/>
        <v/>
      </c>
      <c r="BL83" s="157" t="str">
        <f t="shared" si="68"/>
        <v/>
      </c>
      <c r="BM83" s="72"/>
      <c r="BN83" s="72" t="str">
        <f t="shared" si="87"/>
        <v/>
      </c>
      <c r="BO83" s="72" t="str">
        <f t="shared" si="88"/>
        <v/>
      </c>
      <c r="BP83" s="39"/>
      <c r="BQ83" s="72" t="str">
        <f t="shared" si="69"/>
        <v/>
      </c>
      <c r="BR83" s="72" t="str">
        <f t="shared" si="89"/>
        <v/>
      </c>
    </row>
    <row r="84" spans="4:70" x14ac:dyDescent="0.15">
      <c r="F84" s="93"/>
      <c r="I84" s="459">
        <f t="shared" si="90"/>
        <v>2089</v>
      </c>
      <c r="K84" s="71">
        <f t="shared" si="91"/>
        <v>70</v>
      </c>
      <c r="L84" s="71"/>
      <c r="M84" s="7">
        <f t="shared" si="54"/>
        <v>0.12629735943783454</v>
      </c>
      <c r="N84" s="71"/>
      <c r="O84" s="10" t="str">
        <f t="shared" si="70"/>
        <v/>
      </c>
      <c r="P84" s="29" t="str">
        <f t="shared" si="55"/>
        <v/>
      </c>
      <c r="Q84" s="71"/>
      <c r="R84" s="10" t="str">
        <f t="shared" si="71"/>
        <v/>
      </c>
      <c r="S84" s="71"/>
      <c r="T84" s="10" t="str">
        <f t="shared" si="72"/>
        <v/>
      </c>
      <c r="U84" s="71"/>
      <c r="V84" s="10" t="str">
        <f t="shared" si="56"/>
        <v/>
      </c>
      <c r="W84" s="10" t="str">
        <f t="shared" si="73"/>
        <v/>
      </c>
      <c r="X84" s="71"/>
      <c r="Y84" s="10" t="str">
        <f t="shared" si="57"/>
        <v/>
      </c>
      <c r="Z84" s="10" t="str">
        <f t="shared" si="74"/>
        <v/>
      </c>
      <c r="AA84" s="71"/>
      <c r="AB84" s="10" t="str">
        <f t="shared" si="58"/>
        <v/>
      </c>
      <c r="AC84" s="10" t="str">
        <f t="shared" si="75"/>
        <v/>
      </c>
      <c r="AD84" s="71"/>
      <c r="AE84" s="10" t="str">
        <f t="shared" si="59"/>
        <v/>
      </c>
      <c r="AF84" s="10" t="str">
        <f t="shared" si="76"/>
        <v/>
      </c>
      <c r="AG84" s="71"/>
      <c r="AH84" s="10" t="str">
        <f t="shared" si="60"/>
        <v/>
      </c>
      <c r="AI84" s="10" t="str">
        <f t="shared" si="77"/>
        <v/>
      </c>
      <c r="AJ84" s="71"/>
      <c r="AK84" s="10" t="str">
        <f t="shared" si="61"/>
        <v/>
      </c>
      <c r="AL84" s="10" t="str">
        <f t="shared" si="78"/>
        <v/>
      </c>
      <c r="AM84" s="71"/>
      <c r="AN84" s="10" t="str">
        <f t="shared" si="62"/>
        <v/>
      </c>
      <c r="AO84" s="10" t="str">
        <f t="shared" si="79"/>
        <v/>
      </c>
      <c r="AP84" s="71"/>
      <c r="AQ84" s="10" t="str">
        <f t="shared" si="63"/>
        <v/>
      </c>
      <c r="AR84" s="10" t="str">
        <f t="shared" si="80"/>
        <v/>
      </c>
      <c r="AS84" s="71"/>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U84" s="71"/>
      <c r="AV84" s="10" t="str">
        <f t="shared" si="64"/>
        <v/>
      </c>
      <c r="AW84" s="10" t="str">
        <f t="shared" si="81"/>
        <v/>
      </c>
      <c r="AX84" s="71"/>
      <c r="AY84" s="7" t="str">
        <f>IF(ISERROR(IF($K84&lt;=$F$15,VLOOKUP($I84,'表4）CO2価格'!$A$7:$E$67,VLOOKUP($F$48,'表4）CO2価格'!$H$10:$I$12,2,0),0)*$F$8/1000,"")),0,IF($K84&lt;=$F$15,VLOOKUP($I84,'表4）CO2価格'!$A$7:$E$67,VLOOKUP($F$48,'表4）CO2価格'!$H$10:$I$12,2,0),0)*$F$8/1000,""))</f>
        <v/>
      </c>
      <c r="AZ84" s="71"/>
      <c r="BA84" s="11" t="str">
        <f t="shared" si="65"/>
        <v/>
      </c>
      <c r="BB84" s="10" t="str">
        <f t="shared" si="82"/>
        <v/>
      </c>
      <c r="BC84" s="71"/>
      <c r="BD84" s="10" t="str">
        <f t="shared" si="66"/>
        <v/>
      </c>
      <c r="BE84" s="10" t="str">
        <f t="shared" si="83"/>
        <v/>
      </c>
      <c r="BF84" s="71"/>
      <c r="BG84" s="11" t="str">
        <f t="shared" si="67"/>
        <v/>
      </c>
      <c r="BH84" s="10" t="str">
        <f t="shared" si="84"/>
        <v/>
      </c>
      <c r="BJ84" s="7" t="str">
        <f t="shared" si="85"/>
        <v/>
      </c>
      <c r="BK84" s="158" t="str">
        <f t="shared" si="86"/>
        <v/>
      </c>
      <c r="BL84" s="158" t="str">
        <f t="shared" si="68"/>
        <v/>
      </c>
      <c r="BM84" s="10"/>
      <c r="BN84" s="10" t="str">
        <f t="shared" si="87"/>
        <v/>
      </c>
      <c r="BO84" s="10" t="str">
        <f t="shared" si="88"/>
        <v/>
      </c>
      <c r="BQ84" s="10" t="str">
        <f t="shared" si="69"/>
        <v/>
      </c>
      <c r="BR84" s="10" t="str">
        <f t="shared" si="89"/>
        <v/>
      </c>
    </row>
    <row r="85" spans="4:70" x14ac:dyDescent="0.15">
      <c r="D85" s="101" t="s">
        <v>195</v>
      </c>
      <c r="E85" s="113"/>
      <c r="F85" s="92"/>
      <c r="G85" s="101"/>
      <c r="I85" s="458">
        <f t="shared" si="90"/>
        <v>2090</v>
      </c>
      <c r="J85" s="470"/>
      <c r="K85" s="39">
        <f t="shared" si="91"/>
        <v>71</v>
      </c>
      <c r="L85" s="39"/>
      <c r="M85" s="40">
        <f t="shared" si="54"/>
        <v>0.12261879557071313</v>
      </c>
      <c r="N85" s="39"/>
      <c r="O85" s="72" t="str">
        <f t="shared" si="70"/>
        <v/>
      </c>
      <c r="P85" s="41" t="str">
        <f t="shared" si="55"/>
        <v/>
      </c>
      <c r="Q85" s="39"/>
      <c r="R85" s="72" t="str">
        <f t="shared" si="71"/>
        <v/>
      </c>
      <c r="S85" s="39"/>
      <c r="T85" s="72" t="str">
        <f t="shared" si="72"/>
        <v/>
      </c>
      <c r="U85" s="39"/>
      <c r="V85" s="72" t="str">
        <f t="shared" si="56"/>
        <v/>
      </c>
      <c r="W85" s="72" t="str">
        <f t="shared" si="73"/>
        <v/>
      </c>
      <c r="X85" s="39"/>
      <c r="Y85" s="72" t="str">
        <f t="shared" si="57"/>
        <v/>
      </c>
      <c r="Z85" s="72" t="str">
        <f t="shared" si="74"/>
        <v/>
      </c>
      <c r="AA85" s="39"/>
      <c r="AB85" s="72" t="str">
        <f t="shared" si="58"/>
        <v/>
      </c>
      <c r="AC85" s="72" t="str">
        <f t="shared" si="75"/>
        <v/>
      </c>
      <c r="AD85" s="39"/>
      <c r="AE85" s="72" t="str">
        <f t="shared" si="59"/>
        <v/>
      </c>
      <c r="AF85" s="72" t="str">
        <f t="shared" si="76"/>
        <v/>
      </c>
      <c r="AG85" s="39"/>
      <c r="AH85" s="72" t="str">
        <f t="shared" si="60"/>
        <v/>
      </c>
      <c r="AI85" s="72" t="str">
        <f t="shared" si="77"/>
        <v/>
      </c>
      <c r="AJ85" s="39"/>
      <c r="AK85" s="72" t="str">
        <f t="shared" si="61"/>
        <v/>
      </c>
      <c r="AL85" s="72" t="str">
        <f t="shared" si="78"/>
        <v/>
      </c>
      <c r="AM85" s="39"/>
      <c r="AN85" s="72" t="str">
        <f t="shared" si="62"/>
        <v/>
      </c>
      <c r="AO85" s="72" t="str">
        <f t="shared" si="79"/>
        <v/>
      </c>
      <c r="AP85" s="39"/>
      <c r="AQ85" s="72" t="str">
        <f t="shared" si="63"/>
        <v/>
      </c>
      <c r="AR85" s="72" t="str">
        <f t="shared" si="80"/>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64"/>
        <v/>
      </c>
      <c r="AW85" s="72" t="str">
        <f t="shared" si="81"/>
        <v/>
      </c>
      <c r="AX85" s="39"/>
      <c r="AY85" s="40" t="str">
        <f>IF(ISERROR(IF($K85&lt;=$F$15,VLOOKUP($I85,'表4）CO2価格'!$A$7:$E$67,VLOOKUP($F$48,'表4）CO2価格'!$H$10:$I$12,2,0),0)*$F$8/1000,"")),0,IF($K85&lt;=$F$15,VLOOKUP($I85,'表4）CO2価格'!$A$7:$E$67,VLOOKUP($F$48,'表4）CO2価格'!$H$10:$I$12,2,0),0)*$F$8/1000,""))</f>
        <v/>
      </c>
      <c r="AZ85" s="39"/>
      <c r="BA85" s="42" t="str">
        <f t="shared" si="65"/>
        <v/>
      </c>
      <c r="BB85" s="72" t="str">
        <f t="shared" si="82"/>
        <v/>
      </c>
      <c r="BC85" s="39"/>
      <c r="BD85" s="72" t="str">
        <f t="shared" si="66"/>
        <v/>
      </c>
      <c r="BE85" s="72" t="str">
        <f t="shared" si="83"/>
        <v/>
      </c>
      <c r="BF85" s="39"/>
      <c r="BG85" s="42" t="str">
        <f t="shared" si="67"/>
        <v/>
      </c>
      <c r="BH85" s="72" t="str">
        <f t="shared" si="84"/>
        <v/>
      </c>
      <c r="BI85" s="39"/>
      <c r="BJ85" s="40" t="str">
        <f t="shared" si="85"/>
        <v/>
      </c>
      <c r="BK85" s="157" t="str">
        <f t="shared" si="86"/>
        <v/>
      </c>
      <c r="BL85" s="157" t="str">
        <f t="shared" si="68"/>
        <v/>
      </c>
      <c r="BM85" s="72"/>
      <c r="BN85" s="72" t="str">
        <f t="shared" si="87"/>
        <v/>
      </c>
      <c r="BO85" s="72" t="str">
        <f t="shared" si="88"/>
        <v/>
      </c>
      <c r="BP85" s="39"/>
      <c r="BQ85" s="72" t="str">
        <f t="shared" si="69"/>
        <v/>
      </c>
      <c r="BR85" s="72" t="str">
        <f t="shared" si="89"/>
        <v/>
      </c>
    </row>
    <row r="86" spans="4:70" x14ac:dyDescent="0.15">
      <c r="F86" s="93"/>
      <c r="I86" s="459">
        <f t="shared" si="90"/>
        <v>2091</v>
      </c>
      <c r="K86" s="71">
        <f t="shared" si="91"/>
        <v>72</v>
      </c>
      <c r="L86" s="71"/>
      <c r="M86" s="7">
        <f t="shared" si="54"/>
        <v>0.1190473743404982</v>
      </c>
      <c r="N86" s="71"/>
      <c r="O86" s="10" t="str">
        <f t="shared" si="70"/>
        <v/>
      </c>
      <c r="P86" s="29" t="str">
        <f t="shared" si="55"/>
        <v/>
      </c>
      <c r="Q86" s="71"/>
      <c r="R86" s="10" t="str">
        <f t="shared" si="71"/>
        <v/>
      </c>
      <c r="S86" s="71"/>
      <c r="T86" s="10" t="str">
        <f t="shared" si="72"/>
        <v/>
      </c>
      <c r="U86" s="71"/>
      <c r="V86" s="10" t="str">
        <f t="shared" si="56"/>
        <v/>
      </c>
      <c r="W86" s="10" t="str">
        <f t="shared" si="73"/>
        <v/>
      </c>
      <c r="X86" s="71"/>
      <c r="Y86" s="10" t="str">
        <f t="shared" si="57"/>
        <v/>
      </c>
      <c r="Z86" s="10" t="str">
        <f t="shared" si="74"/>
        <v/>
      </c>
      <c r="AA86" s="71"/>
      <c r="AB86" s="10" t="str">
        <f t="shared" si="58"/>
        <v/>
      </c>
      <c r="AC86" s="10" t="str">
        <f t="shared" si="75"/>
        <v/>
      </c>
      <c r="AD86" s="71"/>
      <c r="AE86" s="10" t="str">
        <f t="shared" si="59"/>
        <v/>
      </c>
      <c r="AF86" s="10" t="str">
        <f t="shared" si="76"/>
        <v/>
      </c>
      <c r="AG86" s="71"/>
      <c r="AH86" s="10" t="str">
        <f t="shared" si="60"/>
        <v/>
      </c>
      <c r="AI86" s="10" t="str">
        <f t="shared" si="77"/>
        <v/>
      </c>
      <c r="AJ86" s="71"/>
      <c r="AK86" s="10" t="str">
        <f t="shared" si="61"/>
        <v/>
      </c>
      <c r="AL86" s="10" t="str">
        <f t="shared" si="78"/>
        <v/>
      </c>
      <c r="AM86" s="71"/>
      <c r="AN86" s="10" t="str">
        <f t="shared" si="62"/>
        <v/>
      </c>
      <c r="AO86" s="10" t="str">
        <f t="shared" si="79"/>
        <v/>
      </c>
      <c r="AP86" s="71"/>
      <c r="AQ86" s="10" t="str">
        <f t="shared" si="63"/>
        <v/>
      </c>
      <c r="AR86" s="10" t="str">
        <f t="shared" si="80"/>
        <v/>
      </c>
      <c r="AS86" s="71"/>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U86" s="71"/>
      <c r="AV86" s="10" t="str">
        <f t="shared" si="64"/>
        <v/>
      </c>
      <c r="AW86" s="10" t="str">
        <f t="shared" si="81"/>
        <v/>
      </c>
      <c r="AX86" s="71"/>
      <c r="AY86" s="7" t="str">
        <f>IF(ISERROR(IF($K86&lt;=$F$15,VLOOKUP($I86,'表4）CO2価格'!$A$7:$E$67,VLOOKUP($F$48,'表4）CO2価格'!$H$10:$I$12,2,0),0)*$F$8/1000,"")),0,IF($K86&lt;=$F$15,VLOOKUP($I86,'表4）CO2価格'!$A$7:$E$67,VLOOKUP($F$48,'表4）CO2価格'!$H$10:$I$12,2,0),0)*$F$8/1000,""))</f>
        <v/>
      </c>
      <c r="AZ86" s="71"/>
      <c r="BA86" s="11" t="str">
        <f t="shared" si="65"/>
        <v/>
      </c>
      <c r="BB86" s="10" t="str">
        <f t="shared" si="82"/>
        <v/>
      </c>
      <c r="BC86" s="71"/>
      <c r="BD86" s="10" t="str">
        <f t="shared" si="66"/>
        <v/>
      </c>
      <c r="BE86" s="10" t="str">
        <f t="shared" si="83"/>
        <v/>
      </c>
      <c r="BF86" s="71"/>
      <c r="BG86" s="11" t="str">
        <f t="shared" si="67"/>
        <v/>
      </c>
      <c r="BH86" s="10" t="str">
        <f t="shared" si="84"/>
        <v/>
      </c>
      <c r="BJ86" s="7" t="str">
        <f t="shared" si="85"/>
        <v/>
      </c>
      <c r="BK86" s="158" t="str">
        <f t="shared" si="86"/>
        <v/>
      </c>
      <c r="BL86" s="158" t="str">
        <f t="shared" si="68"/>
        <v/>
      </c>
      <c r="BM86" s="10"/>
      <c r="BN86" s="10" t="str">
        <f t="shared" si="87"/>
        <v/>
      </c>
      <c r="BO86" s="10" t="str">
        <f t="shared" si="88"/>
        <v/>
      </c>
      <c r="BQ86" s="10" t="str">
        <f t="shared" si="69"/>
        <v/>
      </c>
      <c r="BR86" s="10" t="str">
        <f t="shared" si="89"/>
        <v/>
      </c>
    </row>
    <row r="87" spans="4:70" x14ac:dyDescent="0.15">
      <c r="E87" s="81" t="s">
        <v>141</v>
      </c>
      <c r="F87" s="91">
        <f>AI116/$BR$116</f>
        <v>0.1217519859418088</v>
      </c>
      <c r="G87" s="81" t="s">
        <v>132</v>
      </c>
      <c r="I87" s="458">
        <f t="shared" si="90"/>
        <v>2092</v>
      </c>
      <c r="J87" s="470"/>
      <c r="K87" s="39">
        <f t="shared" si="91"/>
        <v>73</v>
      </c>
      <c r="L87" s="39"/>
      <c r="M87" s="40">
        <f t="shared" si="54"/>
        <v>0.11557997508786232</v>
      </c>
      <c r="N87" s="39"/>
      <c r="O87" s="72" t="str">
        <f t="shared" si="70"/>
        <v/>
      </c>
      <c r="P87" s="41" t="str">
        <f t="shared" si="55"/>
        <v/>
      </c>
      <c r="Q87" s="39"/>
      <c r="R87" s="72" t="str">
        <f t="shared" si="71"/>
        <v/>
      </c>
      <c r="S87" s="39"/>
      <c r="T87" s="72" t="str">
        <f t="shared" si="72"/>
        <v/>
      </c>
      <c r="U87" s="39"/>
      <c r="V87" s="72" t="str">
        <f t="shared" si="56"/>
        <v/>
      </c>
      <c r="W87" s="72" t="str">
        <f t="shared" si="73"/>
        <v/>
      </c>
      <c r="X87" s="39"/>
      <c r="Y87" s="72" t="str">
        <f t="shared" si="57"/>
        <v/>
      </c>
      <c r="Z87" s="72" t="str">
        <f t="shared" si="74"/>
        <v/>
      </c>
      <c r="AA87" s="39"/>
      <c r="AB87" s="72" t="str">
        <f t="shared" si="58"/>
        <v/>
      </c>
      <c r="AC87" s="72" t="str">
        <f t="shared" si="75"/>
        <v/>
      </c>
      <c r="AD87" s="39"/>
      <c r="AE87" s="72" t="str">
        <f t="shared" si="59"/>
        <v/>
      </c>
      <c r="AF87" s="72" t="str">
        <f t="shared" si="76"/>
        <v/>
      </c>
      <c r="AG87" s="39"/>
      <c r="AH87" s="72" t="str">
        <f t="shared" si="60"/>
        <v/>
      </c>
      <c r="AI87" s="72" t="str">
        <f t="shared" si="77"/>
        <v/>
      </c>
      <c r="AJ87" s="39"/>
      <c r="AK87" s="72" t="str">
        <f t="shared" si="61"/>
        <v/>
      </c>
      <c r="AL87" s="72" t="str">
        <f t="shared" si="78"/>
        <v/>
      </c>
      <c r="AM87" s="39"/>
      <c r="AN87" s="72" t="str">
        <f t="shared" si="62"/>
        <v/>
      </c>
      <c r="AO87" s="72" t="str">
        <f t="shared" si="79"/>
        <v/>
      </c>
      <c r="AP87" s="39"/>
      <c r="AQ87" s="72" t="str">
        <f t="shared" si="63"/>
        <v/>
      </c>
      <c r="AR87" s="72" t="str">
        <f t="shared" si="80"/>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64"/>
        <v/>
      </c>
      <c r="AW87" s="72" t="str">
        <f t="shared" si="81"/>
        <v/>
      </c>
      <c r="AX87" s="39"/>
      <c r="AY87" s="40" t="str">
        <f>IF(ISERROR(IF($K87&lt;=$F$15,VLOOKUP($I87,'表4）CO2価格'!$A$7:$E$67,VLOOKUP($F$48,'表4）CO2価格'!$H$10:$I$12,2,0),0)*$F$8/1000,"")),0,IF($K87&lt;=$F$15,VLOOKUP($I87,'表4）CO2価格'!$A$7:$E$67,VLOOKUP($F$48,'表4）CO2価格'!$H$10:$I$12,2,0),0)*$F$8/1000,""))</f>
        <v/>
      </c>
      <c r="AZ87" s="39"/>
      <c r="BA87" s="42" t="str">
        <f t="shared" si="65"/>
        <v/>
      </c>
      <c r="BB87" s="72" t="str">
        <f t="shared" si="82"/>
        <v/>
      </c>
      <c r="BC87" s="39"/>
      <c r="BD87" s="72" t="str">
        <f t="shared" si="66"/>
        <v/>
      </c>
      <c r="BE87" s="72" t="str">
        <f t="shared" si="83"/>
        <v/>
      </c>
      <c r="BF87" s="39"/>
      <c r="BG87" s="42" t="str">
        <f t="shared" si="67"/>
        <v/>
      </c>
      <c r="BH87" s="72" t="str">
        <f t="shared" si="84"/>
        <v/>
      </c>
      <c r="BI87" s="39"/>
      <c r="BJ87" s="40" t="str">
        <f t="shared" si="85"/>
        <v/>
      </c>
      <c r="BK87" s="157" t="str">
        <f t="shared" si="86"/>
        <v/>
      </c>
      <c r="BL87" s="157" t="str">
        <f t="shared" si="68"/>
        <v/>
      </c>
      <c r="BM87" s="72"/>
      <c r="BN87" s="72" t="str">
        <f t="shared" si="87"/>
        <v/>
      </c>
      <c r="BO87" s="72" t="str">
        <f t="shared" si="88"/>
        <v/>
      </c>
      <c r="BP87" s="39"/>
      <c r="BQ87" s="72" t="str">
        <f t="shared" si="69"/>
        <v/>
      </c>
      <c r="BR87" s="72" t="str">
        <f t="shared" si="89"/>
        <v/>
      </c>
    </row>
    <row r="88" spans="4:70" x14ac:dyDescent="0.15">
      <c r="E88" s="81" t="s">
        <v>120</v>
      </c>
      <c r="F88" s="91">
        <f>AL116/$BR$116</f>
        <v>0.65298339298984265</v>
      </c>
      <c r="G88" s="81" t="s">
        <v>132</v>
      </c>
      <c r="I88" s="459">
        <f t="shared" si="90"/>
        <v>2093</v>
      </c>
      <c r="K88" s="71">
        <f t="shared" si="91"/>
        <v>74</v>
      </c>
      <c r="L88" s="71"/>
      <c r="M88" s="7">
        <f t="shared" si="54"/>
        <v>0.11221356804646829</v>
      </c>
      <c r="N88" s="71"/>
      <c r="O88" s="10" t="str">
        <f t="shared" si="70"/>
        <v/>
      </c>
      <c r="P88" s="29" t="str">
        <f t="shared" si="55"/>
        <v/>
      </c>
      <c r="Q88" s="71"/>
      <c r="R88" s="10" t="str">
        <f t="shared" si="71"/>
        <v/>
      </c>
      <c r="S88" s="71"/>
      <c r="T88" s="10" t="str">
        <f t="shared" si="72"/>
        <v/>
      </c>
      <c r="U88" s="71"/>
      <c r="V88" s="10" t="str">
        <f t="shared" si="56"/>
        <v/>
      </c>
      <c r="W88" s="10" t="str">
        <f t="shared" si="73"/>
        <v/>
      </c>
      <c r="X88" s="71"/>
      <c r="Y88" s="10" t="str">
        <f t="shared" si="57"/>
        <v/>
      </c>
      <c r="Z88" s="10" t="str">
        <f t="shared" si="74"/>
        <v/>
      </c>
      <c r="AA88" s="71"/>
      <c r="AB88" s="10" t="str">
        <f t="shared" si="58"/>
        <v/>
      </c>
      <c r="AC88" s="10" t="str">
        <f t="shared" si="75"/>
        <v/>
      </c>
      <c r="AD88" s="71"/>
      <c r="AE88" s="10" t="str">
        <f t="shared" si="59"/>
        <v/>
      </c>
      <c r="AF88" s="10" t="str">
        <f t="shared" si="76"/>
        <v/>
      </c>
      <c r="AG88" s="71"/>
      <c r="AH88" s="10" t="str">
        <f t="shared" si="60"/>
        <v/>
      </c>
      <c r="AI88" s="10" t="str">
        <f t="shared" si="77"/>
        <v/>
      </c>
      <c r="AJ88" s="71"/>
      <c r="AK88" s="10" t="str">
        <f t="shared" si="61"/>
        <v/>
      </c>
      <c r="AL88" s="10" t="str">
        <f t="shared" si="78"/>
        <v/>
      </c>
      <c r="AM88" s="71"/>
      <c r="AN88" s="10" t="str">
        <f t="shared" si="62"/>
        <v/>
      </c>
      <c r="AO88" s="10" t="str">
        <f t="shared" si="79"/>
        <v/>
      </c>
      <c r="AP88" s="71"/>
      <c r="AQ88" s="10" t="str">
        <f t="shared" si="63"/>
        <v/>
      </c>
      <c r="AR88" s="10" t="str">
        <f t="shared" si="80"/>
        <v/>
      </c>
      <c r="AS88" s="71"/>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U88" s="71"/>
      <c r="AV88" s="10" t="str">
        <f t="shared" si="64"/>
        <v/>
      </c>
      <c r="AW88" s="10" t="str">
        <f t="shared" si="81"/>
        <v/>
      </c>
      <c r="AX88" s="71"/>
      <c r="AY88" s="7" t="str">
        <f>IF(ISERROR(IF($K88&lt;=$F$15,VLOOKUP($I88,'表4）CO2価格'!$A$7:$E$67,VLOOKUP($F$48,'表4）CO2価格'!$H$10:$I$12,2,0),0)*$F$8/1000,"")),0,IF($K88&lt;=$F$15,VLOOKUP($I88,'表4）CO2価格'!$A$7:$E$67,VLOOKUP($F$48,'表4）CO2価格'!$H$10:$I$12,2,0),0)*$F$8/1000,""))</f>
        <v/>
      </c>
      <c r="AZ88" s="71"/>
      <c r="BA88" s="11" t="str">
        <f t="shared" si="65"/>
        <v/>
      </c>
      <c r="BB88" s="10" t="str">
        <f t="shared" si="82"/>
        <v/>
      </c>
      <c r="BC88" s="71"/>
      <c r="BD88" s="10" t="str">
        <f t="shared" si="66"/>
        <v/>
      </c>
      <c r="BE88" s="10" t="str">
        <f t="shared" si="83"/>
        <v/>
      </c>
      <c r="BF88" s="71"/>
      <c r="BG88" s="11" t="str">
        <f t="shared" si="67"/>
        <v/>
      </c>
      <c r="BH88" s="10" t="str">
        <f t="shared" si="84"/>
        <v/>
      </c>
      <c r="BJ88" s="7" t="str">
        <f t="shared" si="85"/>
        <v/>
      </c>
      <c r="BK88" s="158" t="str">
        <f t="shared" si="86"/>
        <v/>
      </c>
      <c r="BL88" s="158" t="str">
        <f t="shared" si="68"/>
        <v/>
      </c>
      <c r="BM88" s="10"/>
      <c r="BN88" s="10" t="str">
        <f t="shared" si="87"/>
        <v/>
      </c>
      <c r="BO88" s="10" t="str">
        <f t="shared" si="88"/>
        <v/>
      </c>
      <c r="BQ88" s="10" t="str">
        <f t="shared" si="69"/>
        <v/>
      </c>
      <c r="BR88" s="10" t="str">
        <f t="shared" si="89"/>
        <v/>
      </c>
    </row>
    <row r="89" spans="4:70" x14ac:dyDescent="0.15">
      <c r="E89" s="81" t="s">
        <v>122</v>
      </c>
      <c r="F89" s="91">
        <f>AO116/$BR$116</f>
        <v>0.29928405512034451</v>
      </c>
      <c r="G89" s="81" t="s">
        <v>132</v>
      </c>
      <c r="I89" s="458">
        <f t="shared" si="90"/>
        <v>2094</v>
      </c>
      <c r="J89" s="470"/>
      <c r="K89" s="39">
        <f t="shared" si="91"/>
        <v>75</v>
      </c>
      <c r="L89" s="39"/>
      <c r="M89" s="40">
        <f t="shared" si="54"/>
        <v>0.10894521169560026</v>
      </c>
      <c r="N89" s="39"/>
      <c r="O89" s="72" t="str">
        <f t="shared" si="70"/>
        <v/>
      </c>
      <c r="P89" s="41" t="str">
        <f t="shared" si="55"/>
        <v/>
      </c>
      <c r="Q89" s="39"/>
      <c r="R89" s="72" t="str">
        <f t="shared" si="71"/>
        <v/>
      </c>
      <c r="S89" s="39"/>
      <c r="T89" s="72" t="str">
        <f t="shared" si="72"/>
        <v/>
      </c>
      <c r="U89" s="39"/>
      <c r="V89" s="72" t="str">
        <f t="shared" si="56"/>
        <v/>
      </c>
      <c r="W89" s="72" t="str">
        <f t="shared" si="73"/>
        <v/>
      </c>
      <c r="X89" s="39"/>
      <c r="Y89" s="72" t="str">
        <f t="shared" si="57"/>
        <v/>
      </c>
      <c r="Z89" s="72" t="str">
        <f t="shared" si="74"/>
        <v/>
      </c>
      <c r="AA89" s="39"/>
      <c r="AB89" s="72" t="str">
        <f t="shared" si="58"/>
        <v/>
      </c>
      <c r="AC89" s="72" t="str">
        <f t="shared" si="75"/>
        <v/>
      </c>
      <c r="AD89" s="39"/>
      <c r="AE89" s="72" t="str">
        <f t="shared" si="59"/>
        <v/>
      </c>
      <c r="AF89" s="72" t="str">
        <f t="shared" si="76"/>
        <v/>
      </c>
      <c r="AG89" s="39"/>
      <c r="AH89" s="72" t="str">
        <f t="shared" si="60"/>
        <v/>
      </c>
      <c r="AI89" s="72" t="str">
        <f t="shared" si="77"/>
        <v/>
      </c>
      <c r="AJ89" s="39"/>
      <c r="AK89" s="72" t="str">
        <f t="shared" si="61"/>
        <v/>
      </c>
      <c r="AL89" s="72" t="str">
        <f t="shared" si="78"/>
        <v/>
      </c>
      <c r="AM89" s="39"/>
      <c r="AN89" s="72" t="str">
        <f t="shared" si="62"/>
        <v/>
      </c>
      <c r="AO89" s="72" t="str">
        <f t="shared" si="79"/>
        <v/>
      </c>
      <c r="AP89" s="39"/>
      <c r="AQ89" s="72" t="str">
        <f t="shared" si="63"/>
        <v/>
      </c>
      <c r="AR89" s="72" t="str">
        <f t="shared" si="80"/>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64"/>
        <v/>
      </c>
      <c r="AW89" s="72" t="str">
        <f t="shared" si="81"/>
        <v/>
      </c>
      <c r="AX89" s="39"/>
      <c r="AY89" s="40" t="str">
        <f>IF(ISERROR(IF($K89&lt;=$F$15,VLOOKUP($I89,'表4）CO2価格'!$A$7:$E$67,VLOOKUP($F$48,'表4）CO2価格'!$H$10:$I$12,2,0),0)*$F$8/1000,"")),0,IF($K89&lt;=$F$15,VLOOKUP($I89,'表4）CO2価格'!$A$7:$E$67,VLOOKUP($F$48,'表4）CO2価格'!$H$10:$I$12,2,0),0)*$F$8/1000,""))</f>
        <v/>
      </c>
      <c r="AZ89" s="39"/>
      <c r="BA89" s="42" t="str">
        <f t="shared" si="65"/>
        <v/>
      </c>
      <c r="BB89" s="72" t="str">
        <f t="shared" si="82"/>
        <v/>
      </c>
      <c r="BC89" s="39"/>
      <c r="BD89" s="72" t="str">
        <f t="shared" si="66"/>
        <v/>
      </c>
      <c r="BE89" s="72" t="str">
        <f t="shared" si="83"/>
        <v/>
      </c>
      <c r="BF89" s="39"/>
      <c r="BG89" s="42" t="str">
        <f t="shared" si="67"/>
        <v/>
      </c>
      <c r="BH89" s="72" t="str">
        <f t="shared" si="84"/>
        <v/>
      </c>
      <c r="BI89" s="39"/>
      <c r="BJ89" s="40" t="str">
        <f t="shared" si="85"/>
        <v/>
      </c>
      <c r="BK89" s="157" t="str">
        <f t="shared" si="86"/>
        <v/>
      </c>
      <c r="BL89" s="157" t="str">
        <f t="shared" si="68"/>
        <v/>
      </c>
      <c r="BM89" s="72"/>
      <c r="BN89" s="72" t="str">
        <f t="shared" si="87"/>
        <v/>
      </c>
      <c r="BO89" s="72" t="str">
        <f t="shared" si="88"/>
        <v/>
      </c>
      <c r="BP89" s="39"/>
      <c r="BQ89" s="72" t="str">
        <f t="shared" si="69"/>
        <v/>
      </c>
      <c r="BR89" s="72" t="str">
        <f t="shared" si="89"/>
        <v/>
      </c>
    </row>
    <row r="90" spans="4:70" x14ac:dyDescent="0.15">
      <c r="E90" s="81" t="s">
        <v>142</v>
      </c>
      <c r="F90" s="91">
        <f>AR116/$BR$116</f>
        <v>0.1288823320862395</v>
      </c>
      <c r="G90" s="81" t="s">
        <v>132</v>
      </c>
      <c r="I90" s="459">
        <f t="shared" si="90"/>
        <v>2095</v>
      </c>
      <c r="K90" s="71">
        <f t="shared" si="91"/>
        <v>76</v>
      </c>
      <c r="L90" s="71"/>
      <c r="M90" s="7">
        <f t="shared" si="54"/>
        <v>0.10577205018990318</v>
      </c>
      <c r="N90" s="71"/>
      <c r="O90" s="10" t="str">
        <f t="shared" si="70"/>
        <v/>
      </c>
      <c r="P90" s="29" t="str">
        <f t="shared" si="55"/>
        <v/>
      </c>
      <c r="Q90" s="71"/>
      <c r="R90" s="10" t="str">
        <f t="shared" si="71"/>
        <v/>
      </c>
      <c r="S90" s="71"/>
      <c r="T90" s="10" t="str">
        <f t="shared" si="72"/>
        <v/>
      </c>
      <c r="U90" s="71"/>
      <c r="V90" s="10" t="str">
        <f t="shared" si="56"/>
        <v/>
      </c>
      <c r="W90" s="10" t="str">
        <f t="shared" si="73"/>
        <v/>
      </c>
      <c r="X90" s="71"/>
      <c r="Y90" s="10" t="str">
        <f t="shared" si="57"/>
        <v/>
      </c>
      <c r="Z90" s="10" t="str">
        <f t="shared" si="74"/>
        <v/>
      </c>
      <c r="AA90" s="71"/>
      <c r="AB90" s="10" t="str">
        <f t="shared" si="58"/>
        <v/>
      </c>
      <c r="AC90" s="10" t="str">
        <f t="shared" si="75"/>
        <v/>
      </c>
      <c r="AD90" s="71"/>
      <c r="AE90" s="10" t="str">
        <f t="shared" si="59"/>
        <v/>
      </c>
      <c r="AF90" s="10" t="str">
        <f t="shared" si="76"/>
        <v/>
      </c>
      <c r="AG90" s="71"/>
      <c r="AH90" s="10" t="str">
        <f t="shared" si="60"/>
        <v/>
      </c>
      <c r="AI90" s="10" t="str">
        <f t="shared" si="77"/>
        <v/>
      </c>
      <c r="AJ90" s="71"/>
      <c r="AK90" s="10" t="str">
        <f t="shared" si="61"/>
        <v/>
      </c>
      <c r="AL90" s="10" t="str">
        <f t="shared" si="78"/>
        <v/>
      </c>
      <c r="AM90" s="71"/>
      <c r="AN90" s="10" t="str">
        <f t="shared" si="62"/>
        <v/>
      </c>
      <c r="AO90" s="10" t="str">
        <f t="shared" si="79"/>
        <v/>
      </c>
      <c r="AP90" s="71"/>
      <c r="AQ90" s="10" t="str">
        <f t="shared" si="63"/>
        <v/>
      </c>
      <c r="AR90" s="10" t="str">
        <f t="shared" si="80"/>
        <v/>
      </c>
      <c r="AS90" s="71"/>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U90" s="71"/>
      <c r="AV90" s="10" t="str">
        <f t="shared" si="64"/>
        <v/>
      </c>
      <c r="AW90" s="10" t="str">
        <f t="shared" si="81"/>
        <v/>
      </c>
      <c r="AX90" s="71"/>
      <c r="AY90" s="7" t="str">
        <f>IF(ISERROR(IF($K90&lt;=$F$15,VLOOKUP($I90,'表4）CO2価格'!$A$7:$E$67,VLOOKUP($F$48,'表4）CO2価格'!$H$10:$I$12,2,0),0)*$F$8/1000,"")),0,IF($K90&lt;=$F$15,VLOOKUP($I90,'表4）CO2価格'!$A$7:$E$67,VLOOKUP($F$48,'表4）CO2価格'!$H$10:$I$12,2,0),0)*$F$8/1000,""))</f>
        <v/>
      </c>
      <c r="AZ90" s="71"/>
      <c r="BA90" s="11" t="str">
        <f t="shared" si="65"/>
        <v/>
      </c>
      <c r="BB90" s="10" t="str">
        <f t="shared" si="82"/>
        <v/>
      </c>
      <c r="BC90" s="71"/>
      <c r="BD90" s="10" t="str">
        <f t="shared" si="66"/>
        <v/>
      </c>
      <c r="BE90" s="10" t="str">
        <f t="shared" si="83"/>
        <v/>
      </c>
      <c r="BF90" s="71"/>
      <c r="BG90" s="11" t="str">
        <f t="shared" si="67"/>
        <v/>
      </c>
      <c r="BH90" s="10" t="str">
        <f t="shared" si="84"/>
        <v/>
      </c>
      <c r="BJ90" s="7" t="str">
        <f t="shared" si="85"/>
        <v/>
      </c>
      <c r="BK90" s="158" t="str">
        <f t="shared" si="86"/>
        <v/>
      </c>
      <c r="BL90" s="158" t="str">
        <f t="shared" si="68"/>
        <v/>
      </c>
      <c r="BM90" s="10"/>
      <c r="BN90" s="10" t="str">
        <f t="shared" si="87"/>
        <v/>
      </c>
      <c r="BO90" s="10" t="str">
        <f t="shared" si="88"/>
        <v/>
      </c>
      <c r="BQ90" s="10" t="str">
        <f t="shared" si="69"/>
        <v/>
      </c>
      <c r="BR90" s="10" t="str">
        <f t="shared" si="89"/>
        <v/>
      </c>
    </row>
    <row r="91" spans="4:70" x14ac:dyDescent="0.15">
      <c r="F91" s="93"/>
      <c r="I91" s="458">
        <f t="shared" si="90"/>
        <v>2096</v>
      </c>
      <c r="J91" s="470"/>
      <c r="K91" s="39">
        <f t="shared" si="91"/>
        <v>77</v>
      </c>
      <c r="L91" s="39"/>
      <c r="M91" s="40">
        <f t="shared" si="54"/>
        <v>0.10269131086398368</v>
      </c>
      <c r="N91" s="39"/>
      <c r="O91" s="72" t="str">
        <f t="shared" si="70"/>
        <v/>
      </c>
      <c r="P91" s="41" t="str">
        <f t="shared" si="55"/>
        <v/>
      </c>
      <c r="Q91" s="39"/>
      <c r="R91" s="72" t="str">
        <f t="shared" si="71"/>
        <v/>
      </c>
      <c r="S91" s="39"/>
      <c r="T91" s="72" t="str">
        <f t="shared" si="72"/>
        <v/>
      </c>
      <c r="U91" s="39"/>
      <c r="V91" s="72" t="str">
        <f t="shared" si="56"/>
        <v/>
      </c>
      <c r="W91" s="72" t="str">
        <f t="shared" si="73"/>
        <v/>
      </c>
      <c r="X91" s="39"/>
      <c r="Y91" s="72" t="str">
        <f t="shared" si="57"/>
        <v/>
      </c>
      <c r="Z91" s="72" t="str">
        <f t="shared" si="74"/>
        <v/>
      </c>
      <c r="AA91" s="39"/>
      <c r="AB91" s="72" t="str">
        <f t="shared" si="58"/>
        <v/>
      </c>
      <c r="AC91" s="72" t="str">
        <f t="shared" si="75"/>
        <v/>
      </c>
      <c r="AD91" s="39"/>
      <c r="AE91" s="72" t="str">
        <f t="shared" si="59"/>
        <v/>
      </c>
      <c r="AF91" s="72" t="str">
        <f t="shared" si="76"/>
        <v/>
      </c>
      <c r="AG91" s="39"/>
      <c r="AH91" s="72" t="str">
        <f t="shared" si="60"/>
        <v/>
      </c>
      <c r="AI91" s="72" t="str">
        <f t="shared" si="77"/>
        <v/>
      </c>
      <c r="AJ91" s="39"/>
      <c r="AK91" s="72" t="str">
        <f t="shared" si="61"/>
        <v/>
      </c>
      <c r="AL91" s="72" t="str">
        <f t="shared" si="78"/>
        <v/>
      </c>
      <c r="AM91" s="39"/>
      <c r="AN91" s="72" t="str">
        <f t="shared" si="62"/>
        <v/>
      </c>
      <c r="AO91" s="72" t="str">
        <f t="shared" si="79"/>
        <v/>
      </c>
      <c r="AP91" s="39"/>
      <c r="AQ91" s="72" t="str">
        <f t="shared" si="63"/>
        <v/>
      </c>
      <c r="AR91" s="72" t="str">
        <f t="shared" si="80"/>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64"/>
        <v/>
      </c>
      <c r="AW91" s="72" t="str">
        <f t="shared" si="81"/>
        <v/>
      </c>
      <c r="AX91" s="39"/>
      <c r="AY91" s="40" t="str">
        <f>IF(ISERROR(IF($K91&lt;=$F$15,VLOOKUP($I91,'表4）CO2価格'!$A$7:$E$67,VLOOKUP($F$48,'表4）CO2価格'!$H$10:$I$12,2,0),0)*$F$8/1000,"")),0,IF($K91&lt;=$F$15,VLOOKUP($I91,'表4）CO2価格'!$A$7:$E$67,VLOOKUP($F$48,'表4）CO2価格'!$H$10:$I$12,2,0),0)*$F$8/1000,""))</f>
        <v/>
      </c>
      <c r="AZ91" s="39"/>
      <c r="BA91" s="42" t="str">
        <f t="shared" si="65"/>
        <v/>
      </c>
      <c r="BB91" s="72" t="str">
        <f t="shared" si="82"/>
        <v/>
      </c>
      <c r="BC91" s="39"/>
      <c r="BD91" s="72" t="str">
        <f t="shared" si="66"/>
        <v/>
      </c>
      <c r="BE91" s="72" t="str">
        <f t="shared" si="83"/>
        <v/>
      </c>
      <c r="BF91" s="39"/>
      <c r="BG91" s="42" t="str">
        <f t="shared" si="67"/>
        <v/>
      </c>
      <c r="BH91" s="72" t="str">
        <f t="shared" si="84"/>
        <v/>
      </c>
      <c r="BI91" s="39"/>
      <c r="BJ91" s="40" t="str">
        <f t="shared" si="85"/>
        <v/>
      </c>
      <c r="BK91" s="157" t="str">
        <f t="shared" si="86"/>
        <v/>
      </c>
      <c r="BL91" s="157" t="str">
        <f t="shared" si="68"/>
        <v/>
      </c>
      <c r="BM91" s="72"/>
      <c r="BN91" s="72" t="str">
        <f t="shared" si="87"/>
        <v/>
      </c>
      <c r="BO91" s="72" t="str">
        <f t="shared" si="88"/>
        <v/>
      </c>
      <c r="BP91" s="39"/>
      <c r="BQ91" s="72" t="str">
        <f t="shared" si="69"/>
        <v/>
      </c>
      <c r="BR91" s="72" t="str">
        <f t="shared" si="89"/>
        <v/>
      </c>
    </row>
    <row r="92" spans="4:70" ht="15" x14ac:dyDescent="0.15">
      <c r="D92" s="116" t="s">
        <v>196</v>
      </c>
      <c r="F92" s="94">
        <f>SUBTOTAL(9,F96:F97)</f>
        <v>6.4493516049023309</v>
      </c>
      <c r="I92" s="459">
        <f t="shared" si="90"/>
        <v>2097</v>
      </c>
      <c r="K92" s="71">
        <f t="shared" si="91"/>
        <v>78</v>
      </c>
      <c r="L92" s="71"/>
      <c r="M92" s="7">
        <f t="shared" si="54"/>
        <v>9.9700301809692873E-2</v>
      </c>
      <c r="N92" s="71"/>
      <c r="O92" s="10" t="str">
        <f t="shared" si="70"/>
        <v/>
      </c>
      <c r="P92" s="29" t="str">
        <f t="shared" si="55"/>
        <v/>
      </c>
      <c r="Q92" s="71"/>
      <c r="R92" s="10" t="str">
        <f t="shared" si="71"/>
        <v/>
      </c>
      <c r="S92" s="71"/>
      <c r="T92" s="10" t="str">
        <f t="shared" si="72"/>
        <v/>
      </c>
      <c r="U92" s="71"/>
      <c r="V92" s="10" t="str">
        <f t="shared" si="56"/>
        <v/>
      </c>
      <c r="W92" s="10" t="str">
        <f t="shared" si="73"/>
        <v/>
      </c>
      <c r="X92" s="71"/>
      <c r="Y92" s="10" t="str">
        <f t="shared" si="57"/>
        <v/>
      </c>
      <c r="Z92" s="10" t="str">
        <f t="shared" si="74"/>
        <v/>
      </c>
      <c r="AA92" s="71"/>
      <c r="AB92" s="10" t="str">
        <f t="shared" si="58"/>
        <v/>
      </c>
      <c r="AC92" s="10" t="str">
        <f t="shared" si="75"/>
        <v/>
      </c>
      <c r="AD92" s="71"/>
      <c r="AE92" s="10" t="str">
        <f t="shared" si="59"/>
        <v/>
      </c>
      <c r="AF92" s="10" t="str">
        <f t="shared" si="76"/>
        <v/>
      </c>
      <c r="AG92" s="71"/>
      <c r="AH92" s="10" t="str">
        <f t="shared" si="60"/>
        <v/>
      </c>
      <c r="AI92" s="10" t="str">
        <f t="shared" si="77"/>
        <v/>
      </c>
      <c r="AJ92" s="71"/>
      <c r="AK92" s="10" t="str">
        <f t="shared" si="61"/>
        <v/>
      </c>
      <c r="AL92" s="10" t="str">
        <f t="shared" si="78"/>
        <v/>
      </c>
      <c r="AM92" s="71"/>
      <c r="AN92" s="10" t="str">
        <f t="shared" si="62"/>
        <v/>
      </c>
      <c r="AO92" s="10" t="str">
        <f t="shared" si="79"/>
        <v/>
      </c>
      <c r="AP92" s="71"/>
      <c r="AQ92" s="10" t="str">
        <f t="shared" si="63"/>
        <v/>
      </c>
      <c r="AR92" s="10" t="str">
        <f t="shared" si="80"/>
        <v/>
      </c>
      <c r="AS92" s="71"/>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U92" s="71"/>
      <c r="AV92" s="10" t="str">
        <f t="shared" si="64"/>
        <v/>
      </c>
      <c r="AW92" s="10" t="str">
        <f t="shared" si="81"/>
        <v/>
      </c>
      <c r="AX92" s="71"/>
      <c r="AY92" s="7" t="str">
        <f>IF(ISERROR(IF($K92&lt;=$F$15,VLOOKUP($I92,'表4）CO2価格'!$A$7:$E$67,VLOOKUP($F$48,'表4）CO2価格'!$H$10:$I$12,2,0),0)*$F$8/1000,"")),0,IF($K92&lt;=$F$15,VLOOKUP($I92,'表4）CO2価格'!$A$7:$E$67,VLOOKUP($F$48,'表4）CO2価格'!$H$10:$I$12,2,0),0)*$F$8/1000,""))</f>
        <v/>
      </c>
      <c r="AZ92" s="71"/>
      <c r="BA92" s="11" t="str">
        <f t="shared" si="65"/>
        <v/>
      </c>
      <c r="BB92" s="10" t="str">
        <f t="shared" si="82"/>
        <v/>
      </c>
      <c r="BC92" s="71"/>
      <c r="BD92" s="10" t="str">
        <f t="shared" si="66"/>
        <v/>
      </c>
      <c r="BE92" s="10" t="str">
        <f t="shared" si="83"/>
        <v/>
      </c>
      <c r="BF92" s="71"/>
      <c r="BG92" s="11" t="str">
        <f t="shared" si="67"/>
        <v/>
      </c>
      <c r="BH92" s="10" t="str">
        <f t="shared" si="84"/>
        <v/>
      </c>
      <c r="BJ92" s="7" t="str">
        <f t="shared" si="85"/>
        <v/>
      </c>
      <c r="BK92" s="158" t="str">
        <f t="shared" si="86"/>
        <v/>
      </c>
      <c r="BL92" s="158" t="str">
        <f t="shared" si="68"/>
        <v/>
      </c>
      <c r="BM92" s="10"/>
      <c r="BN92" s="10" t="str">
        <f t="shared" si="87"/>
        <v/>
      </c>
      <c r="BO92" s="10" t="str">
        <f t="shared" si="88"/>
        <v/>
      </c>
      <c r="BQ92" s="10" t="str">
        <f t="shared" si="69"/>
        <v/>
      </c>
      <c r="BR92" s="10" t="str">
        <f t="shared" si="89"/>
        <v/>
      </c>
    </row>
    <row r="93" spans="4:70" ht="15" x14ac:dyDescent="0.15">
      <c r="D93" s="116"/>
      <c r="F93" s="93"/>
      <c r="I93" s="458">
        <f t="shared" si="90"/>
        <v>2098</v>
      </c>
      <c r="J93" s="470"/>
      <c r="K93" s="39">
        <f t="shared" si="91"/>
        <v>79</v>
      </c>
      <c r="L93" s="39"/>
      <c r="M93" s="40">
        <f t="shared" si="54"/>
        <v>9.679640952397367E-2</v>
      </c>
      <c r="N93" s="39"/>
      <c r="O93" s="72" t="str">
        <f t="shared" si="70"/>
        <v/>
      </c>
      <c r="P93" s="41" t="str">
        <f t="shared" si="55"/>
        <v/>
      </c>
      <c r="Q93" s="39"/>
      <c r="R93" s="72" t="str">
        <f t="shared" si="71"/>
        <v/>
      </c>
      <c r="S93" s="39"/>
      <c r="T93" s="72" t="str">
        <f t="shared" si="72"/>
        <v/>
      </c>
      <c r="U93" s="39"/>
      <c r="V93" s="72" t="str">
        <f t="shared" si="56"/>
        <v/>
      </c>
      <c r="W93" s="72" t="str">
        <f t="shared" si="73"/>
        <v/>
      </c>
      <c r="X93" s="39"/>
      <c r="Y93" s="72" t="str">
        <f t="shared" si="57"/>
        <v/>
      </c>
      <c r="Z93" s="72" t="str">
        <f t="shared" si="74"/>
        <v/>
      </c>
      <c r="AA93" s="39"/>
      <c r="AB93" s="72" t="str">
        <f t="shared" si="58"/>
        <v/>
      </c>
      <c r="AC93" s="72" t="str">
        <f t="shared" si="75"/>
        <v/>
      </c>
      <c r="AD93" s="39"/>
      <c r="AE93" s="72" t="str">
        <f t="shared" si="59"/>
        <v/>
      </c>
      <c r="AF93" s="72" t="str">
        <f t="shared" si="76"/>
        <v/>
      </c>
      <c r="AG93" s="39"/>
      <c r="AH93" s="72" t="str">
        <f t="shared" si="60"/>
        <v/>
      </c>
      <c r="AI93" s="72" t="str">
        <f t="shared" si="77"/>
        <v/>
      </c>
      <c r="AJ93" s="39"/>
      <c r="AK93" s="72" t="str">
        <f t="shared" si="61"/>
        <v/>
      </c>
      <c r="AL93" s="72" t="str">
        <f t="shared" si="78"/>
        <v/>
      </c>
      <c r="AM93" s="39"/>
      <c r="AN93" s="72" t="str">
        <f t="shared" si="62"/>
        <v/>
      </c>
      <c r="AO93" s="72" t="str">
        <f t="shared" si="79"/>
        <v/>
      </c>
      <c r="AP93" s="39"/>
      <c r="AQ93" s="72" t="str">
        <f t="shared" si="63"/>
        <v/>
      </c>
      <c r="AR93" s="72" t="str">
        <f t="shared" si="80"/>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64"/>
        <v/>
      </c>
      <c r="AW93" s="72" t="str">
        <f t="shared" si="81"/>
        <v/>
      </c>
      <c r="AX93" s="39"/>
      <c r="AY93" s="40" t="str">
        <f>IF(ISERROR(IF($K93&lt;=$F$15,VLOOKUP($I93,'表4）CO2価格'!$A$7:$E$67,VLOOKUP($F$48,'表4）CO2価格'!$H$10:$I$12,2,0),0)*$F$8/1000,"")),0,IF($K93&lt;=$F$15,VLOOKUP($I93,'表4）CO2価格'!$A$7:$E$67,VLOOKUP($F$48,'表4）CO2価格'!$H$10:$I$12,2,0),0)*$F$8/1000,""))</f>
        <v/>
      </c>
      <c r="AZ93" s="39"/>
      <c r="BA93" s="42" t="str">
        <f t="shared" si="65"/>
        <v/>
      </c>
      <c r="BB93" s="72" t="str">
        <f t="shared" si="82"/>
        <v/>
      </c>
      <c r="BC93" s="39"/>
      <c r="BD93" s="72" t="str">
        <f t="shared" si="66"/>
        <v/>
      </c>
      <c r="BE93" s="72" t="str">
        <f t="shared" si="83"/>
        <v/>
      </c>
      <c r="BF93" s="39"/>
      <c r="BG93" s="42" t="str">
        <f t="shared" si="67"/>
        <v/>
      </c>
      <c r="BH93" s="72" t="str">
        <f t="shared" si="84"/>
        <v/>
      </c>
      <c r="BI93" s="39"/>
      <c r="BJ93" s="40" t="str">
        <f t="shared" si="85"/>
        <v/>
      </c>
      <c r="BK93" s="157" t="str">
        <f t="shared" si="86"/>
        <v/>
      </c>
      <c r="BL93" s="157" t="str">
        <f t="shared" si="68"/>
        <v/>
      </c>
      <c r="BM93" s="72"/>
      <c r="BN93" s="72" t="str">
        <f t="shared" si="87"/>
        <v/>
      </c>
      <c r="BO93" s="72" t="str">
        <f t="shared" si="88"/>
        <v/>
      </c>
      <c r="BP93" s="39"/>
      <c r="BQ93" s="72" t="str">
        <f t="shared" si="69"/>
        <v/>
      </c>
      <c r="BR93" s="72" t="str">
        <f t="shared" si="89"/>
        <v/>
      </c>
    </row>
    <row r="94" spans="4:70" x14ac:dyDescent="0.15">
      <c r="D94" s="101" t="s">
        <v>197</v>
      </c>
      <c r="E94" s="101"/>
      <c r="F94" s="92"/>
      <c r="G94" s="101"/>
      <c r="I94" s="459">
        <f t="shared" si="90"/>
        <v>2099</v>
      </c>
      <c r="K94" s="71">
        <f t="shared" si="91"/>
        <v>80</v>
      </c>
      <c r="L94" s="71"/>
      <c r="M94" s="7">
        <f t="shared" si="54"/>
        <v>9.3977096625217166E-2</v>
      </c>
      <c r="N94" s="71"/>
      <c r="O94" s="10" t="str">
        <f t="shared" si="70"/>
        <v/>
      </c>
      <c r="P94" s="29" t="str">
        <f t="shared" si="55"/>
        <v/>
      </c>
      <c r="Q94" s="71"/>
      <c r="R94" s="10" t="str">
        <f t="shared" si="71"/>
        <v/>
      </c>
      <c r="S94" s="71"/>
      <c r="T94" s="10" t="str">
        <f t="shared" si="72"/>
        <v/>
      </c>
      <c r="U94" s="71"/>
      <c r="V94" s="10" t="str">
        <f t="shared" si="56"/>
        <v/>
      </c>
      <c r="W94" s="10" t="str">
        <f t="shared" si="73"/>
        <v/>
      </c>
      <c r="X94" s="71"/>
      <c r="Y94" s="10" t="str">
        <f t="shared" si="57"/>
        <v/>
      </c>
      <c r="Z94" s="10" t="str">
        <f t="shared" si="74"/>
        <v/>
      </c>
      <c r="AA94" s="71"/>
      <c r="AB94" s="10" t="str">
        <f t="shared" si="58"/>
        <v/>
      </c>
      <c r="AC94" s="10" t="str">
        <f t="shared" si="75"/>
        <v/>
      </c>
      <c r="AD94" s="71"/>
      <c r="AE94" s="10" t="str">
        <f t="shared" si="59"/>
        <v/>
      </c>
      <c r="AF94" s="10" t="str">
        <f t="shared" si="76"/>
        <v/>
      </c>
      <c r="AG94" s="71"/>
      <c r="AH94" s="10" t="str">
        <f t="shared" si="60"/>
        <v/>
      </c>
      <c r="AI94" s="10" t="str">
        <f t="shared" si="77"/>
        <v/>
      </c>
      <c r="AJ94" s="71"/>
      <c r="AK94" s="10" t="str">
        <f t="shared" si="61"/>
        <v/>
      </c>
      <c r="AL94" s="10" t="str">
        <f t="shared" si="78"/>
        <v/>
      </c>
      <c r="AM94" s="71"/>
      <c r="AN94" s="10" t="str">
        <f t="shared" si="62"/>
        <v/>
      </c>
      <c r="AO94" s="10" t="str">
        <f t="shared" si="79"/>
        <v/>
      </c>
      <c r="AP94" s="71"/>
      <c r="AQ94" s="10" t="str">
        <f t="shared" si="63"/>
        <v/>
      </c>
      <c r="AR94" s="10" t="str">
        <f t="shared" si="80"/>
        <v/>
      </c>
      <c r="AS94" s="71"/>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U94" s="71"/>
      <c r="AV94" s="10" t="str">
        <f t="shared" si="64"/>
        <v/>
      </c>
      <c r="AW94" s="10" t="str">
        <f t="shared" si="81"/>
        <v/>
      </c>
      <c r="AX94" s="71"/>
      <c r="AY94" s="7" t="str">
        <f>IF(ISERROR(IF($K94&lt;=$F$15,VLOOKUP($I94,'表4）CO2価格'!$A$7:$E$67,VLOOKUP($F$48,'表4）CO2価格'!$H$10:$I$12,2,0),0)*$F$8/1000,"")),0,IF($K94&lt;=$F$15,VLOOKUP($I94,'表4）CO2価格'!$A$7:$E$67,VLOOKUP($F$48,'表4）CO2価格'!$H$10:$I$12,2,0),0)*$F$8/1000,""))</f>
        <v/>
      </c>
      <c r="AZ94" s="71"/>
      <c r="BA94" s="11" t="str">
        <f t="shared" si="65"/>
        <v/>
      </c>
      <c r="BB94" s="10" t="str">
        <f t="shared" si="82"/>
        <v/>
      </c>
      <c r="BC94" s="71"/>
      <c r="BD94" s="10" t="str">
        <f t="shared" si="66"/>
        <v/>
      </c>
      <c r="BE94" s="10" t="str">
        <f t="shared" si="83"/>
        <v/>
      </c>
      <c r="BF94" s="71"/>
      <c r="BG94" s="11" t="str">
        <f t="shared" si="67"/>
        <v/>
      </c>
      <c r="BH94" s="10" t="str">
        <f t="shared" si="84"/>
        <v/>
      </c>
      <c r="BJ94" s="7" t="str">
        <f t="shared" si="85"/>
        <v/>
      </c>
      <c r="BK94" s="158" t="str">
        <f t="shared" si="86"/>
        <v/>
      </c>
      <c r="BL94" s="158" t="str">
        <f t="shared" si="68"/>
        <v/>
      </c>
      <c r="BM94" s="10"/>
      <c r="BN94" s="10" t="str">
        <f t="shared" si="87"/>
        <v/>
      </c>
      <c r="BO94" s="10" t="str">
        <f t="shared" si="88"/>
        <v/>
      </c>
      <c r="BQ94" s="10" t="str">
        <f t="shared" si="69"/>
        <v/>
      </c>
      <c r="BR94" s="10" t="str">
        <f t="shared" si="89"/>
        <v/>
      </c>
    </row>
    <row r="95" spans="4:70" ht="15" x14ac:dyDescent="0.15">
      <c r="D95" s="116"/>
      <c r="F95" s="93"/>
      <c r="I95" s="458">
        <f t="shared" si="90"/>
        <v>2100</v>
      </c>
      <c r="J95" s="470"/>
      <c r="K95" s="39">
        <f t="shared" si="91"/>
        <v>81</v>
      </c>
      <c r="L95" s="39"/>
      <c r="M95" s="40">
        <f t="shared" si="54"/>
        <v>9.1239899636133173E-2</v>
      </c>
      <c r="N95" s="39"/>
      <c r="O95" s="72" t="str">
        <f t="shared" si="70"/>
        <v/>
      </c>
      <c r="P95" s="41" t="str">
        <f t="shared" si="55"/>
        <v/>
      </c>
      <c r="Q95" s="39"/>
      <c r="R95" s="72" t="str">
        <f t="shared" si="71"/>
        <v/>
      </c>
      <c r="S95" s="39"/>
      <c r="T95" s="72" t="str">
        <f t="shared" si="72"/>
        <v/>
      </c>
      <c r="U95" s="39"/>
      <c r="V95" s="72" t="str">
        <f t="shared" si="56"/>
        <v/>
      </c>
      <c r="W95" s="72" t="str">
        <f t="shared" si="73"/>
        <v/>
      </c>
      <c r="X95" s="39"/>
      <c r="Y95" s="72" t="str">
        <f t="shared" si="57"/>
        <v/>
      </c>
      <c r="Z95" s="72" t="str">
        <f t="shared" si="74"/>
        <v/>
      </c>
      <c r="AA95" s="39"/>
      <c r="AB95" s="72" t="str">
        <f t="shared" si="58"/>
        <v/>
      </c>
      <c r="AC95" s="72" t="str">
        <f t="shared" si="75"/>
        <v/>
      </c>
      <c r="AD95" s="39"/>
      <c r="AE95" s="72" t="str">
        <f t="shared" si="59"/>
        <v/>
      </c>
      <c r="AF95" s="72" t="str">
        <f t="shared" si="76"/>
        <v/>
      </c>
      <c r="AG95" s="39"/>
      <c r="AH95" s="72" t="str">
        <f t="shared" si="60"/>
        <v/>
      </c>
      <c r="AI95" s="72" t="str">
        <f t="shared" si="77"/>
        <v/>
      </c>
      <c r="AJ95" s="39"/>
      <c r="AK95" s="72" t="str">
        <f t="shared" si="61"/>
        <v/>
      </c>
      <c r="AL95" s="72" t="str">
        <f t="shared" si="78"/>
        <v/>
      </c>
      <c r="AM95" s="39"/>
      <c r="AN95" s="72" t="str">
        <f t="shared" si="62"/>
        <v/>
      </c>
      <c r="AO95" s="72" t="str">
        <f t="shared" si="79"/>
        <v/>
      </c>
      <c r="AP95" s="39"/>
      <c r="AQ95" s="72" t="str">
        <f t="shared" si="63"/>
        <v/>
      </c>
      <c r="AR95" s="72" t="str">
        <f t="shared" si="80"/>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64"/>
        <v/>
      </c>
      <c r="AW95" s="72" t="str">
        <f t="shared" si="81"/>
        <v/>
      </c>
      <c r="AX95" s="39"/>
      <c r="AY95" s="40" t="str">
        <f>IF(ISERROR(IF($K95&lt;=$F$15,VLOOKUP($I95,'表4）CO2価格'!$A$7:$E$67,VLOOKUP($F$48,'表4）CO2価格'!$H$10:$I$12,2,0),0)*$F$8/1000,"")),0,IF($K95&lt;=$F$15,VLOOKUP($I95,'表4）CO2価格'!$A$7:$E$67,VLOOKUP($F$48,'表4）CO2価格'!$H$10:$I$12,2,0),0)*$F$8/1000,""))</f>
        <v/>
      </c>
      <c r="AZ95" s="39"/>
      <c r="BA95" s="42" t="str">
        <f t="shared" si="65"/>
        <v/>
      </c>
      <c r="BB95" s="72" t="str">
        <f t="shared" si="82"/>
        <v/>
      </c>
      <c r="BC95" s="39"/>
      <c r="BD95" s="72" t="str">
        <f t="shared" si="66"/>
        <v/>
      </c>
      <c r="BE95" s="72" t="str">
        <f t="shared" si="83"/>
        <v/>
      </c>
      <c r="BF95" s="39"/>
      <c r="BG95" s="42" t="str">
        <f t="shared" si="67"/>
        <v/>
      </c>
      <c r="BH95" s="72" t="str">
        <f t="shared" si="84"/>
        <v/>
      </c>
      <c r="BI95" s="39"/>
      <c r="BJ95" s="40" t="str">
        <f t="shared" si="85"/>
        <v/>
      </c>
      <c r="BK95" s="157" t="str">
        <f t="shared" si="86"/>
        <v/>
      </c>
      <c r="BL95" s="157" t="str">
        <f t="shared" si="68"/>
        <v/>
      </c>
      <c r="BM95" s="72"/>
      <c r="BN95" s="72" t="str">
        <f t="shared" si="87"/>
        <v/>
      </c>
      <c r="BO95" s="72" t="str">
        <f t="shared" si="88"/>
        <v/>
      </c>
      <c r="BP95" s="39"/>
      <c r="BQ95" s="72" t="str">
        <f t="shared" si="69"/>
        <v/>
      </c>
      <c r="BR95" s="72" t="str">
        <f t="shared" si="89"/>
        <v/>
      </c>
    </row>
    <row r="96" spans="4:70" ht="15" x14ac:dyDescent="0.15">
      <c r="D96" s="116"/>
      <c r="E96" s="81" t="s">
        <v>198</v>
      </c>
      <c r="F96" s="91">
        <f>IF(F3&lt;&gt;"原子力",AW116/$BR$116,0)</f>
        <v>6.4493516049023309</v>
      </c>
      <c r="G96" s="81" t="s">
        <v>132</v>
      </c>
      <c r="I96" s="459">
        <f t="shared" si="90"/>
        <v>2101</v>
      </c>
      <c r="K96" s="71">
        <f t="shared" si="91"/>
        <v>82</v>
      </c>
      <c r="L96" s="71"/>
      <c r="M96" s="7">
        <f t="shared" si="54"/>
        <v>8.8582426831197242E-2</v>
      </c>
      <c r="N96" s="71"/>
      <c r="O96" s="10" t="str">
        <f t="shared" si="70"/>
        <v/>
      </c>
      <c r="P96" s="29" t="str">
        <f t="shared" si="55"/>
        <v/>
      </c>
      <c r="Q96" s="71"/>
      <c r="R96" s="10" t="str">
        <f t="shared" si="71"/>
        <v/>
      </c>
      <c r="S96" s="71"/>
      <c r="T96" s="10" t="str">
        <f t="shared" si="72"/>
        <v/>
      </c>
      <c r="U96" s="71"/>
      <c r="V96" s="10" t="str">
        <f t="shared" si="56"/>
        <v/>
      </c>
      <c r="W96" s="10" t="str">
        <f t="shared" si="73"/>
        <v/>
      </c>
      <c r="X96" s="71"/>
      <c r="Y96" s="10" t="str">
        <f t="shared" si="57"/>
        <v/>
      </c>
      <c r="Z96" s="10" t="str">
        <f t="shared" si="74"/>
        <v/>
      </c>
      <c r="AA96" s="71"/>
      <c r="AB96" s="10" t="str">
        <f t="shared" si="58"/>
        <v/>
      </c>
      <c r="AC96" s="10" t="str">
        <f t="shared" si="75"/>
        <v/>
      </c>
      <c r="AD96" s="71"/>
      <c r="AE96" s="10" t="str">
        <f t="shared" si="59"/>
        <v/>
      </c>
      <c r="AF96" s="10" t="str">
        <f t="shared" si="76"/>
        <v/>
      </c>
      <c r="AG96" s="71"/>
      <c r="AH96" s="10" t="str">
        <f t="shared" si="60"/>
        <v/>
      </c>
      <c r="AI96" s="10" t="str">
        <f t="shared" si="77"/>
        <v/>
      </c>
      <c r="AJ96" s="71"/>
      <c r="AK96" s="10" t="str">
        <f t="shared" si="61"/>
        <v/>
      </c>
      <c r="AL96" s="10" t="str">
        <f t="shared" si="78"/>
        <v/>
      </c>
      <c r="AM96" s="71"/>
      <c r="AN96" s="10" t="str">
        <f t="shared" si="62"/>
        <v/>
      </c>
      <c r="AO96" s="10" t="str">
        <f t="shared" si="79"/>
        <v/>
      </c>
      <c r="AP96" s="71"/>
      <c r="AQ96" s="10" t="str">
        <f t="shared" si="63"/>
        <v/>
      </c>
      <c r="AR96" s="10" t="str">
        <f t="shared" si="80"/>
        <v/>
      </c>
      <c r="AS96" s="71"/>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U96" s="71"/>
      <c r="AV96" s="10" t="str">
        <f t="shared" si="64"/>
        <v/>
      </c>
      <c r="AW96" s="10" t="str">
        <f t="shared" si="81"/>
        <v/>
      </c>
      <c r="AX96" s="71"/>
      <c r="AY96" s="7" t="str">
        <f>IF(ISERROR(IF($K96&lt;=$F$15,VLOOKUP($I96,'表4）CO2価格'!$A$7:$E$67,VLOOKUP($F$48,'表4）CO2価格'!$H$10:$I$12,2,0),0)*$F$8/1000,"")),0,IF($K96&lt;=$F$15,VLOOKUP($I96,'表4）CO2価格'!$A$7:$E$67,VLOOKUP($F$48,'表4）CO2価格'!$H$10:$I$12,2,0),0)*$F$8/1000,""))</f>
        <v/>
      </c>
      <c r="AZ96" s="71"/>
      <c r="BA96" s="11" t="str">
        <f t="shared" si="65"/>
        <v/>
      </c>
      <c r="BB96" s="10" t="str">
        <f t="shared" si="82"/>
        <v/>
      </c>
      <c r="BC96" s="71"/>
      <c r="BD96" s="10" t="str">
        <f t="shared" si="66"/>
        <v/>
      </c>
      <c r="BE96" s="10" t="str">
        <f t="shared" si="83"/>
        <v/>
      </c>
      <c r="BF96" s="71"/>
      <c r="BG96" s="11" t="str">
        <f t="shared" si="67"/>
        <v/>
      </c>
      <c r="BH96" s="10" t="str">
        <f t="shared" si="84"/>
        <v/>
      </c>
      <c r="BJ96" s="7" t="str">
        <f t="shared" si="85"/>
        <v/>
      </c>
      <c r="BK96" s="158" t="str">
        <f t="shared" si="86"/>
        <v/>
      </c>
      <c r="BL96" s="158" t="str">
        <f t="shared" si="68"/>
        <v/>
      </c>
      <c r="BM96" s="10"/>
      <c r="BN96" s="10" t="str">
        <f t="shared" si="87"/>
        <v/>
      </c>
      <c r="BO96" s="10" t="str">
        <f t="shared" si="88"/>
        <v/>
      </c>
      <c r="BQ96" s="10" t="str">
        <f t="shared" si="69"/>
        <v/>
      </c>
      <c r="BR96" s="10" t="str">
        <f t="shared" si="89"/>
        <v/>
      </c>
    </row>
    <row r="97" spans="4:70" ht="15" x14ac:dyDescent="0.15">
      <c r="D97" s="116"/>
      <c r="E97" s="81" t="s">
        <v>199</v>
      </c>
      <c r="F97" s="91">
        <f>IF(F3="原子力",#REF!,0)</f>
        <v>0</v>
      </c>
      <c r="G97" s="81" t="s">
        <v>132</v>
      </c>
      <c r="I97" s="458">
        <f t="shared" si="90"/>
        <v>2102</v>
      </c>
      <c r="J97" s="470"/>
      <c r="K97" s="39">
        <f t="shared" si="91"/>
        <v>83</v>
      </c>
      <c r="L97" s="39"/>
      <c r="M97" s="40">
        <f t="shared" si="54"/>
        <v>8.6002356146793454E-2</v>
      </c>
      <c r="N97" s="39"/>
      <c r="O97" s="72" t="str">
        <f t="shared" si="70"/>
        <v/>
      </c>
      <c r="P97" s="41" t="str">
        <f t="shared" si="55"/>
        <v/>
      </c>
      <c r="Q97" s="39"/>
      <c r="R97" s="72" t="str">
        <f t="shared" si="71"/>
        <v/>
      </c>
      <c r="S97" s="39"/>
      <c r="T97" s="72" t="str">
        <f t="shared" si="72"/>
        <v/>
      </c>
      <c r="U97" s="39"/>
      <c r="V97" s="72" t="str">
        <f t="shared" si="56"/>
        <v/>
      </c>
      <c r="W97" s="72" t="str">
        <f t="shared" si="73"/>
        <v/>
      </c>
      <c r="X97" s="39"/>
      <c r="Y97" s="72" t="str">
        <f t="shared" si="57"/>
        <v/>
      </c>
      <c r="Z97" s="72" t="str">
        <f t="shared" si="74"/>
        <v/>
      </c>
      <c r="AA97" s="39"/>
      <c r="AB97" s="72" t="str">
        <f t="shared" si="58"/>
        <v/>
      </c>
      <c r="AC97" s="72" t="str">
        <f t="shared" si="75"/>
        <v/>
      </c>
      <c r="AD97" s="39"/>
      <c r="AE97" s="72" t="str">
        <f t="shared" si="59"/>
        <v/>
      </c>
      <c r="AF97" s="72" t="str">
        <f t="shared" si="76"/>
        <v/>
      </c>
      <c r="AG97" s="39"/>
      <c r="AH97" s="72" t="str">
        <f t="shared" si="60"/>
        <v/>
      </c>
      <c r="AI97" s="72" t="str">
        <f t="shared" si="77"/>
        <v/>
      </c>
      <c r="AJ97" s="39"/>
      <c r="AK97" s="72" t="str">
        <f t="shared" si="61"/>
        <v/>
      </c>
      <c r="AL97" s="72" t="str">
        <f t="shared" si="78"/>
        <v/>
      </c>
      <c r="AM97" s="39"/>
      <c r="AN97" s="72" t="str">
        <f t="shared" si="62"/>
        <v/>
      </c>
      <c r="AO97" s="72" t="str">
        <f t="shared" si="79"/>
        <v/>
      </c>
      <c r="AP97" s="39"/>
      <c r="AQ97" s="72" t="str">
        <f t="shared" si="63"/>
        <v/>
      </c>
      <c r="AR97" s="72" t="str">
        <f t="shared" si="80"/>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64"/>
        <v/>
      </c>
      <c r="AW97" s="72" t="str">
        <f t="shared" si="81"/>
        <v/>
      </c>
      <c r="AX97" s="39"/>
      <c r="AY97" s="40" t="str">
        <f>IF(ISERROR(IF($K97&lt;=$F$15,VLOOKUP($I97,'表4）CO2価格'!$A$7:$E$67,VLOOKUP($F$48,'表4）CO2価格'!$H$10:$I$12,2,0),0)*$F$8/1000,"")),0,IF($K97&lt;=$F$15,VLOOKUP($I97,'表4）CO2価格'!$A$7:$E$67,VLOOKUP($F$48,'表4）CO2価格'!$H$10:$I$12,2,0),0)*$F$8/1000,""))</f>
        <v/>
      </c>
      <c r="AZ97" s="39"/>
      <c r="BA97" s="42" t="str">
        <f t="shared" si="65"/>
        <v/>
      </c>
      <c r="BB97" s="72" t="str">
        <f t="shared" si="82"/>
        <v/>
      </c>
      <c r="BC97" s="39"/>
      <c r="BD97" s="72" t="str">
        <f t="shared" si="66"/>
        <v/>
      </c>
      <c r="BE97" s="72" t="str">
        <f t="shared" si="83"/>
        <v/>
      </c>
      <c r="BF97" s="39"/>
      <c r="BG97" s="42" t="str">
        <f t="shared" si="67"/>
        <v/>
      </c>
      <c r="BH97" s="72" t="str">
        <f t="shared" si="84"/>
        <v/>
      </c>
      <c r="BI97" s="39"/>
      <c r="BJ97" s="40" t="str">
        <f t="shared" si="85"/>
        <v/>
      </c>
      <c r="BK97" s="157" t="str">
        <f t="shared" si="86"/>
        <v/>
      </c>
      <c r="BL97" s="157" t="str">
        <f t="shared" si="68"/>
        <v/>
      </c>
      <c r="BM97" s="72"/>
      <c r="BN97" s="72" t="str">
        <f t="shared" si="87"/>
        <v/>
      </c>
      <c r="BO97" s="72" t="str">
        <f t="shared" si="88"/>
        <v/>
      </c>
      <c r="BP97" s="39"/>
      <c r="BQ97" s="72" t="str">
        <f t="shared" si="69"/>
        <v/>
      </c>
      <c r="BR97" s="72" t="str">
        <f t="shared" si="89"/>
        <v/>
      </c>
    </row>
    <row r="98" spans="4:70" x14ac:dyDescent="0.15">
      <c r="F98" s="93"/>
      <c r="I98" s="459">
        <f t="shared" si="90"/>
        <v>2103</v>
      </c>
      <c r="K98" s="71">
        <f t="shared" si="91"/>
        <v>84</v>
      </c>
      <c r="L98" s="71"/>
      <c r="M98" s="7">
        <f t="shared" si="54"/>
        <v>8.3497433152226644E-2</v>
      </c>
      <c r="N98" s="71"/>
      <c r="O98" s="10" t="str">
        <f t="shared" si="70"/>
        <v/>
      </c>
      <c r="P98" s="29" t="str">
        <f t="shared" si="55"/>
        <v/>
      </c>
      <c r="Q98" s="71"/>
      <c r="R98" s="10" t="str">
        <f t="shared" si="71"/>
        <v/>
      </c>
      <c r="S98" s="71"/>
      <c r="T98" s="10" t="str">
        <f t="shared" si="72"/>
        <v/>
      </c>
      <c r="U98" s="71"/>
      <c r="V98" s="10" t="str">
        <f t="shared" si="56"/>
        <v/>
      </c>
      <c r="W98" s="10" t="str">
        <f t="shared" si="73"/>
        <v/>
      </c>
      <c r="X98" s="71"/>
      <c r="Y98" s="10" t="str">
        <f t="shared" si="57"/>
        <v/>
      </c>
      <c r="Z98" s="10" t="str">
        <f t="shared" si="74"/>
        <v/>
      </c>
      <c r="AA98" s="71"/>
      <c r="AB98" s="10" t="str">
        <f t="shared" si="58"/>
        <v/>
      </c>
      <c r="AC98" s="10" t="str">
        <f t="shared" si="75"/>
        <v/>
      </c>
      <c r="AD98" s="71"/>
      <c r="AE98" s="10" t="str">
        <f t="shared" si="59"/>
        <v/>
      </c>
      <c r="AF98" s="10" t="str">
        <f t="shared" si="76"/>
        <v/>
      </c>
      <c r="AG98" s="71"/>
      <c r="AH98" s="10" t="str">
        <f t="shared" si="60"/>
        <v/>
      </c>
      <c r="AI98" s="10" t="str">
        <f t="shared" si="77"/>
        <v/>
      </c>
      <c r="AJ98" s="71"/>
      <c r="AK98" s="10" t="str">
        <f t="shared" si="61"/>
        <v/>
      </c>
      <c r="AL98" s="10" t="str">
        <f t="shared" si="78"/>
        <v/>
      </c>
      <c r="AM98" s="71"/>
      <c r="AN98" s="10" t="str">
        <f t="shared" si="62"/>
        <v/>
      </c>
      <c r="AO98" s="10" t="str">
        <f t="shared" si="79"/>
        <v/>
      </c>
      <c r="AP98" s="71"/>
      <c r="AQ98" s="10" t="str">
        <f t="shared" si="63"/>
        <v/>
      </c>
      <c r="AR98" s="10" t="str">
        <f t="shared" si="80"/>
        <v/>
      </c>
      <c r="AS98" s="71"/>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U98" s="71"/>
      <c r="AV98" s="10" t="str">
        <f t="shared" si="64"/>
        <v/>
      </c>
      <c r="AW98" s="10" t="str">
        <f t="shared" si="81"/>
        <v/>
      </c>
      <c r="AX98" s="71"/>
      <c r="AY98" s="7" t="str">
        <f>IF(ISERROR(IF($K98&lt;=$F$15,VLOOKUP($I98,'表4）CO2価格'!$A$7:$E$67,VLOOKUP($F$48,'表4）CO2価格'!$H$10:$I$12,2,0),0)*$F$8/1000,"")),0,IF($K98&lt;=$F$15,VLOOKUP($I98,'表4）CO2価格'!$A$7:$E$67,VLOOKUP($F$48,'表4）CO2価格'!$H$10:$I$12,2,0),0)*$F$8/1000,""))</f>
        <v/>
      </c>
      <c r="AZ98" s="71"/>
      <c r="BA98" s="11" t="str">
        <f t="shared" si="65"/>
        <v/>
      </c>
      <c r="BB98" s="10" t="str">
        <f t="shared" si="82"/>
        <v/>
      </c>
      <c r="BC98" s="71"/>
      <c r="BD98" s="10" t="str">
        <f t="shared" si="66"/>
        <v/>
      </c>
      <c r="BE98" s="10" t="str">
        <f t="shared" si="83"/>
        <v/>
      </c>
      <c r="BF98" s="71"/>
      <c r="BG98" s="11" t="str">
        <f t="shared" si="67"/>
        <v/>
      </c>
      <c r="BH98" s="10" t="str">
        <f t="shared" si="84"/>
        <v/>
      </c>
      <c r="BJ98" s="7" t="str">
        <f t="shared" si="85"/>
        <v/>
      </c>
      <c r="BK98" s="158" t="str">
        <f t="shared" si="86"/>
        <v/>
      </c>
      <c r="BL98" s="158" t="str">
        <f t="shared" si="68"/>
        <v/>
      </c>
      <c r="BM98" s="10"/>
      <c r="BN98" s="10" t="str">
        <f t="shared" si="87"/>
        <v/>
      </c>
      <c r="BO98" s="10" t="str">
        <f t="shared" si="88"/>
        <v/>
      </c>
      <c r="BQ98" s="10" t="str">
        <f t="shared" si="69"/>
        <v/>
      </c>
      <c r="BR98" s="10" t="str">
        <f t="shared" si="89"/>
        <v/>
      </c>
    </row>
    <row r="99" spans="4:70" ht="15" x14ac:dyDescent="0.15">
      <c r="D99" s="116" t="s">
        <v>200</v>
      </c>
      <c r="F99" s="94">
        <f>SUBTOTAL(9,F103:F105)</f>
        <v>1.7832135662101125</v>
      </c>
      <c r="G99" s="81" t="s">
        <v>132</v>
      </c>
      <c r="I99" s="458">
        <f t="shared" si="90"/>
        <v>2104</v>
      </c>
      <c r="J99" s="470"/>
      <c r="K99" s="39">
        <f t="shared" si="91"/>
        <v>85</v>
      </c>
      <c r="L99" s="39"/>
      <c r="M99" s="40">
        <f t="shared" si="54"/>
        <v>8.1065469079831712E-2</v>
      </c>
      <c r="N99" s="39"/>
      <c r="O99" s="72" t="str">
        <f t="shared" si="70"/>
        <v/>
      </c>
      <c r="P99" s="41" t="str">
        <f t="shared" si="55"/>
        <v/>
      </c>
      <c r="Q99" s="39"/>
      <c r="R99" s="72" t="str">
        <f t="shared" si="71"/>
        <v/>
      </c>
      <c r="S99" s="39"/>
      <c r="T99" s="72" t="str">
        <f t="shared" si="72"/>
        <v/>
      </c>
      <c r="U99" s="39"/>
      <c r="V99" s="72" t="str">
        <f t="shared" si="56"/>
        <v/>
      </c>
      <c r="W99" s="72" t="str">
        <f t="shared" si="73"/>
        <v/>
      </c>
      <c r="X99" s="39"/>
      <c r="Y99" s="72" t="str">
        <f t="shared" si="57"/>
        <v/>
      </c>
      <c r="Z99" s="72" t="str">
        <f t="shared" si="74"/>
        <v/>
      </c>
      <c r="AA99" s="39"/>
      <c r="AB99" s="72" t="str">
        <f t="shared" si="58"/>
        <v/>
      </c>
      <c r="AC99" s="72" t="str">
        <f t="shared" si="75"/>
        <v/>
      </c>
      <c r="AD99" s="39"/>
      <c r="AE99" s="72" t="str">
        <f t="shared" si="59"/>
        <v/>
      </c>
      <c r="AF99" s="72" t="str">
        <f t="shared" si="76"/>
        <v/>
      </c>
      <c r="AG99" s="39"/>
      <c r="AH99" s="72" t="str">
        <f t="shared" si="60"/>
        <v/>
      </c>
      <c r="AI99" s="72" t="str">
        <f t="shared" si="77"/>
        <v/>
      </c>
      <c r="AJ99" s="39"/>
      <c r="AK99" s="72" t="str">
        <f t="shared" si="61"/>
        <v/>
      </c>
      <c r="AL99" s="72" t="str">
        <f t="shared" si="78"/>
        <v/>
      </c>
      <c r="AM99" s="39"/>
      <c r="AN99" s="72" t="str">
        <f t="shared" si="62"/>
        <v/>
      </c>
      <c r="AO99" s="72" t="str">
        <f t="shared" si="79"/>
        <v/>
      </c>
      <c r="AP99" s="39"/>
      <c r="AQ99" s="72" t="str">
        <f t="shared" si="63"/>
        <v/>
      </c>
      <c r="AR99" s="72" t="str">
        <f t="shared" si="80"/>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64"/>
        <v/>
      </c>
      <c r="AW99" s="72" t="str">
        <f t="shared" si="81"/>
        <v/>
      </c>
      <c r="AX99" s="39"/>
      <c r="AY99" s="40" t="str">
        <f>IF(ISERROR(IF($K99&lt;=$F$15,VLOOKUP($I99,'表4）CO2価格'!$A$7:$E$67,VLOOKUP($F$48,'表4）CO2価格'!$H$10:$I$12,2,0),0)*$F$8/1000,"")),0,IF($K99&lt;=$F$15,VLOOKUP($I99,'表4）CO2価格'!$A$7:$E$67,VLOOKUP($F$48,'表4）CO2価格'!$H$10:$I$12,2,0),0)*$F$8/1000,""))</f>
        <v/>
      </c>
      <c r="AZ99" s="39"/>
      <c r="BA99" s="42" t="str">
        <f t="shared" si="65"/>
        <v/>
      </c>
      <c r="BB99" s="72" t="str">
        <f t="shared" si="82"/>
        <v/>
      </c>
      <c r="BC99" s="39"/>
      <c r="BD99" s="72" t="str">
        <f t="shared" si="66"/>
        <v/>
      </c>
      <c r="BE99" s="72" t="str">
        <f t="shared" si="83"/>
        <v/>
      </c>
      <c r="BF99" s="39"/>
      <c r="BG99" s="42" t="str">
        <f t="shared" si="67"/>
        <v/>
      </c>
      <c r="BH99" s="72" t="str">
        <f t="shared" si="84"/>
        <v/>
      </c>
      <c r="BI99" s="39"/>
      <c r="BJ99" s="40" t="str">
        <f t="shared" si="85"/>
        <v/>
      </c>
      <c r="BK99" s="157" t="str">
        <f t="shared" si="86"/>
        <v/>
      </c>
      <c r="BL99" s="157" t="str">
        <f t="shared" si="68"/>
        <v/>
      </c>
      <c r="BM99" s="72"/>
      <c r="BN99" s="72" t="str">
        <f t="shared" si="87"/>
        <v/>
      </c>
      <c r="BO99" s="72" t="str">
        <f t="shared" si="88"/>
        <v/>
      </c>
      <c r="BP99" s="39"/>
      <c r="BQ99" s="72" t="str">
        <f t="shared" si="69"/>
        <v/>
      </c>
      <c r="BR99" s="72" t="str">
        <f t="shared" si="89"/>
        <v/>
      </c>
    </row>
    <row r="100" spans="4:70" x14ac:dyDescent="0.15">
      <c r="F100" s="93"/>
      <c r="I100" s="459">
        <f t="shared" si="90"/>
        <v>2105</v>
      </c>
      <c r="K100" s="71">
        <f t="shared" si="91"/>
        <v>86</v>
      </c>
      <c r="L100" s="71"/>
      <c r="M100" s="7">
        <f t="shared" si="54"/>
        <v>7.8704338912457969E-2</v>
      </c>
      <c r="N100" s="71"/>
      <c r="O100" s="10" t="str">
        <f t="shared" si="70"/>
        <v/>
      </c>
      <c r="P100" s="29" t="str">
        <f t="shared" si="55"/>
        <v/>
      </c>
      <c r="Q100" s="71"/>
      <c r="R100" s="10" t="str">
        <f t="shared" si="71"/>
        <v/>
      </c>
      <c r="S100" s="71"/>
      <c r="T100" s="10" t="str">
        <f t="shared" si="72"/>
        <v/>
      </c>
      <c r="U100" s="71"/>
      <c r="V100" s="10" t="str">
        <f t="shared" si="56"/>
        <v/>
      </c>
      <c r="W100" s="10" t="str">
        <f t="shared" si="73"/>
        <v/>
      </c>
      <c r="X100" s="71"/>
      <c r="Y100" s="10" t="str">
        <f t="shared" si="57"/>
        <v/>
      </c>
      <c r="Z100" s="10" t="str">
        <f t="shared" si="74"/>
        <v/>
      </c>
      <c r="AA100" s="71"/>
      <c r="AB100" s="10" t="str">
        <f t="shared" si="58"/>
        <v/>
      </c>
      <c r="AC100" s="10" t="str">
        <f t="shared" si="75"/>
        <v/>
      </c>
      <c r="AD100" s="71"/>
      <c r="AE100" s="10" t="str">
        <f t="shared" si="59"/>
        <v/>
      </c>
      <c r="AF100" s="10" t="str">
        <f t="shared" si="76"/>
        <v/>
      </c>
      <c r="AG100" s="71"/>
      <c r="AH100" s="10" t="str">
        <f t="shared" si="60"/>
        <v/>
      </c>
      <c r="AI100" s="10" t="str">
        <f t="shared" si="77"/>
        <v/>
      </c>
      <c r="AJ100" s="71"/>
      <c r="AK100" s="10" t="str">
        <f t="shared" si="61"/>
        <v/>
      </c>
      <c r="AL100" s="10" t="str">
        <f t="shared" si="78"/>
        <v/>
      </c>
      <c r="AM100" s="71"/>
      <c r="AN100" s="10" t="str">
        <f t="shared" si="62"/>
        <v/>
      </c>
      <c r="AO100" s="10" t="str">
        <f t="shared" si="79"/>
        <v/>
      </c>
      <c r="AP100" s="71"/>
      <c r="AQ100" s="10" t="str">
        <f t="shared" si="63"/>
        <v/>
      </c>
      <c r="AR100" s="10" t="str">
        <f t="shared" si="80"/>
        <v/>
      </c>
      <c r="AS100" s="71"/>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U100" s="71"/>
      <c r="AV100" s="10" t="str">
        <f t="shared" si="64"/>
        <v/>
      </c>
      <c r="AW100" s="10" t="str">
        <f t="shared" si="81"/>
        <v/>
      </c>
      <c r="AX100" s="71"/>
      <c r="AY100" s="7" t="str">
        <f>IF(ISERROR(IF($K100&lt;=$F$15,VLOOKUP($I100,'表4）CO2価格'!$A$7:$E$67,VLOOKUP($F$48,'表4）CO2価格'!$H$10:$I$12,2,0),0)*$F$8/1000,"")),0,IF($K100&lt;=$F$15,VLOOKUP($I100,'表4）CO2価格'!$A$7:$E$67,VLOOKUP($F$48,'表4）CO2価格'!$H$10:$I$12,2,0),0)*$F$8/1000,""))</f>
        <v/>
      </c>
      <c r="AZ100" s="71"/>
      <c r="BA100" s="11" t="str">
        <f t="shared" si="65"/>
        <v/>
      </c>
      <c r="BB100" s="10" t="str">
        <f t="shared" si="82"/>
        <v/>
      </c>
      <c r="BC100" s="71"/>
      <c r="BD100" s="10" t="str">
        <f t="shared" si="66"/>
        <v/>
      </c>
      <c r="BE100" s="10" t="str">
        <f t="shared" si="83"/>
        <v/>
      </c>
      <c r="BF100" s="71"/>
      <c r="BG100" s="11" t="str">
        <f t="shared" si="67"/>
        <v/>
      </c>
      <c r="BH100" s="10" t="str">
        <f t="shared" si="84"/>
        <v/>
      </c>
      <c r="BJ100" s="7" t="str">
        <f t="shared" si="85"/>
        <v/>
      </c>
      <c r="BK100" s="158" t="str">
        <f t="shared" si="86"/>
        <v/>
      </c>
      <c r="BL100" s="158" t="str">
        <f t="shared" si="68"/>
        <v/>
      </c>
      <c r="BM100" s="10"/>
      <c r="BN100" s="10" t="str">
        <f t="shared" si="87"/>
        <v/>
      </c>
      <c r="BO100" s="10" t="str">
        <f t="shared" si="88"/>
        <v/>
      </c>
      <c r="BQ100" s="10" t="str">
        <f t="shared" si="69"/>
        <v/>
      </c>
      <c r="BR100" s="10" t="str">
        <f t="shared" si="89"/>
        <v/>
      </c>
    </row>
    <row r="101" spans="4:70" x14ac:dyDescent="0.15">
      <c r="D101" s="101" t="s">
        <v>201</v>
      </c>
      <c r="E101" s="101"/>
      <c r="F101" s="92"/>
      <c r="G101" s="101"/>
      <c r="I101" s="458">
        <f t="shared" si="90"/>
        <v>2106</v>
      </c>
      <c r="J101" s="470"/>
      <c r="K101" s="39">
        <f t="shared" si="91"/>
        <v>87</v>
      </c>
      <c r="L101" s="39"/>
      <c r="M101" s="40">
        <f t="shared" si="54"/>
        <v>7.6411979526658208E-2</v>
      </c>
      <c r="N101" s="39"/>
      <c r="O101" s="72" t="str">
        <f t="shared" si="70"/>
        <v/>
      </c>
      <c r="P101" s="41" t="str">
        <f t="shared" si="55"/>
        <v/>
      </c>
      <c r="Q101" s="39"/>
      <c r="R101" s="72" t="str">
        <f t="shared" si="71"/>
        <v/>
      </c>
      <c r="S101" s="39"/>
      <c r="T101" s="72" t="str">
        <f t="shared" si="72"/>
        <v/>
      </c>
      <c r="U101" s="39"/>
      <c r="V101" s="72" t="str">
        <f t="shared" si="56"/>
        <v/>
      </c>
      <c r="W101" s="72" t="str">
        <f t="shared" si="73"/>
        <v/>
      </c>
      <c r="X101" s="39"/>
      <c r="Y101" s="72" t="str">
        <f t="shared" si="57"/>
        <v/>
      </c>
      <c r="Z101" s="72" t="str">
        <f t="shared" si="74"/>
        <v/>
      </c>
      <c r="AA101" s="39"/>
      <c r="AB101" s="72" t="str">
        <f t="shared" si="58"/>
        <v/>
      </c>
      <c r="AC101" s="72" t="str">
        <f t="shared" si="75"/>
        <v/>
      </c>
      <c r="AD101" s="39"/>
      <c r="AE101" s="72" t="str">
        <f t="shared" si="59"/>
        <v/>
      </c>
      <c r="AF101" s="72" t="str">
        <f t="shared" si="76"/>
        <v/>
      </c>
      <c r="AG101" s="39"/>
      <c r="AH101" s="72" t="str">
        <f t="shared" si="60"/>
        <v/>
      </c>
      <c r="AI101" s="72" t="str">
        <f t="shared" si="77"/>
        <v/>
      </c>
      <c r="AJ101" s="39"/>
      <c r="AK101" s="72" t="str">
        <f t="shared" si="61"/>
        <v/>
      </c>
      <c r="AL101" s="72" t="str">
        <f t="shared" si="78"/>
        <v/>
      </c>
      <c r="AM101" s="39"/>
      <c r="AN101" s="72" t="str">
        <f t="shared" si="62"/>
        <v/>
      </c>
      <c r="AO101" s="72" t="str">
        <f t="shared" si="79"/>
        <v/>
      </c>
      <c r="AP101" s="39"/>
      <c r="AQ101" s="72" t="str">
        <f t="shared" si="63"/>
        <v/>
      </c>
      <c r="AR101" s="72" t="str">
        <f t="shared" si="80"/>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64"/>
        <v/>
      </c>
      <c r="AW101" s="72" t="str">
        <f t="shared" si="81"/>
        <v/>
      </c>
      <c r="AX101" s="39"/>
      <c r="AY101" s="40" t="str">
        <f>IF(ISERROR(IF($K101&lt;=$F$15,VLOOKUP($I101,'表4）CO2価格'!$A$7:$E$67,VLOOKUP($F$48,'表4）CO2価格'!$H$10:$I$12,2,0),0)*$F$8/1000,"")),0,IF($K101&lt;=$F$15,VLOOKUP($I101,'表4）CO2価格'!$A$7:$E$67,VLOOKUP($F$48,'表4）CO2価格'!$H$10:$I$12,2,0),0)*$F$8/1000,""))</f>
        <v/>
      </c>
      <c r="AZ101" s="39"/>
      <c r="BA101" s="42" t="str">
        <f t="shared" si="65"/>
        <v/>
      </c>
      <c r="BB101" s="72" t="str">
        <f t="shared" si="82"/>
        <v/>
      </c>
      <c r="BC101" s="39"/>
      <c r="BD101" s="72" t="str">
        <f t="shared" si="66"/>
        <v/>
      </c>
      <c r="BE101" s="72" t="str">
        <f t="shared" si="83"/>
        <v/>
      </c>
      <c r="BF101" s="39"/>
      <c r="BG101" s="42" t="str">
        <f t="shared" si="67"/>
        <v/>
      </c>
      <c r="BH101" s="72" t="str">
        <f t="shared" si="84"/>
        <v/>
      </c>
      <c r="BI101" s="39"/>
      <c r="BJ101" s="40" t="str">
        <f t="shared" si="85"/>
        <v/>
      </c>
      <c r="BK101" s="157" t="str">
        <f t="shared" si="86"/>
        <v/>
      </c>
      <c r="BL101" s="157" t="str">
        <f t="shared" si="68"/>
        <v/>
      </c>
      <c r="BM101" s="72"/>
      <c r="BN101" s="72" t="str">
        <f t="shared" si="87"/>
        <v/>
      </c>
      <c r="BO101" s="72" t="str">
        <f t="shared" si="88"/>
        <v/>
      </c>
      <c r="BP101" s="39"/>
      <c r="BQ101" s="72" t="str">
        <f t="shared" si="69"/>
        <v/>
      </c>
      <c r="BR101" s="72" t="str">
        <f t="shared" si="89"/>
        <v/>
      </c>
    </row>
    <row r="102" spans="4:70" x14ac:dyDescent="0.15">
      <c r="F102" s="93"/>
      <c r="I102" s="459">
        <f t="shared" si="90"/>
        <v>2107</v>
      </c>
      <c r="K102" s="71">
        <f t="shared" si="91"/>
        <v>88</v>
      </c>
      <c r="L102" s="71"/>
      <c r="M102" s="7">
        <f t="shared" si="54"/>
        <v>7.4186387889959446E-2</v>
      </c>
      <c r="N102" s="71"/>
      <c r="O102" s="10" t="str">
        <f t="shared" si="70"/>
        <v/>
      </c>
      <c r="P102" s="29" t="str">
        <f t="shared" si="55"/>
        <v/>
      </c>
      <c r="Q102" s="71"/>
      <c r="R102" s="10" t="str">
        <f t="shared" si="71"/>
        <v/>
      </c>
      <c r="S102" s="71"/>
      <c r="T102" s="10" t="str">
        <f t="shared" si="72"/>
        <v/>
      </c>
      <c r="U102" s="71"/>
      <c r="V102" s="10" t="str">
        <f t="shared" si="56"/>
        <v/>
      </c>
      <c r="W102" s="10" t="str">
        <f t="shared" si="73"/>
        <v/>
      </c>
      <c r="X102" s="71"/>
      <c r="Y102" s="10" t="str">
        <f t="shared" si="57"/>
        <v/>
      </c>
      <c r="Z102" s="10" t="str">
        <f t="shared" si="74"/>
        <v/>
      </c>
      <c r="AA102" s="71"/>
      <c r="AB102" s="10" t="str">
        <f t="shared" si="58"/>
        <v/>
      </c>
      <c r="AC102" s="10" t="str">
        <f t="shared" si="75"/>
        <v/>
      </c>
      <c r="AD102" s="71"/>
      <c r="AE102" s="10" t="str">
        <f t="shared" si="59"/>
        <v/>
      </c>
      <c r="AF102" s="10" t="str">
        <f t="shared" si="76"/>
        <v/>
      </c>
      <c r="AG102" s="71"/>
      <c r="AH102" s="10" t="str">
        <f t="shared" si="60"/>
        <v/>
      </c>
      <c r="AI102" s="10" t="str">
        <f t="shared" si="77"/>
        <v/>
      </c>
      <c r="AJ102" s="71"/>
      <c r="AK102" s="10" t="str">
        <f t="shared" si="61"/>
        <v/>
      </c>
      <c r="AL102" s="10" t="str">
        <f t="shared" si="78"/>
        <v/>
      </c>
      <c r="AM102" s="71"/>
      <c r="AN102" s="10" t="str">
        <f t="shared" si="62"/>
        <v/>
      </c>
      <c r="AO102" s="10" t="str">
        <f t="shared" si="79"/>
        <v/>
      </c>
      <c r="AP102" s="71"/>
      <c r="AQ102" s="10" t="str">
        <f t="shared" si="63"/>
        <v/>
      </c>
      <c r="AR102" s="10" t="str">
        <f t="shared" si="80"/>
        <v/>
      </c>
      <c r="AS102" s="71"/>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U102" s="71"/>
      <c r="AV102" s="10" t="str">
        <f t="shared" si="64"/>
        <v/>
      </c>
      <c r="AW102" s="10" t="str">
        <f t="shared" si="81"/>
        <v/>
      </c>
      <c r="AX102" s="71"/>
      <c r="AY102" s="7" t="str">
        <f>IF(ISERROR(IF($K102&lt;=$F$15,VLOOKUP($I102,'表4）CO2価格'!$A$7:$E$67,VLOOKUP($F$48,'表4）CO2価格'!$H$10:$I$12,2,0),0)*$F$8/1000,"")),0,IF($K102&lt;=$F$15,VLOOKUP($I102,'表4）CO2価格'!$A$7:$E$67,VLOOKUP($F$48,'表4）CO2価格'!$H$10:$I$12,2,0),0)*$F$8/1000,""))</f>
        <v/>
      </c>
      <c r="AZ102" s="71"/>
      <c r="BA102" s="11" t="str">
        <f t="shared" si="65"/>
        <v/>
      </c>
      <c r="BB102" s="10" t="str">
        <f t="shared" si="82"/>
        <v/>
      </c>
      <c r="BC102" s="71"/>
      <c r="BD102" s="10" t="str">
        <f t="shared" si="66"/>
        <v/>
      </c>
      <c r="BE102" s="10" t="str">
        <f t="shared" si="83"/>
        <v/>
      </c>
      <c r="BF102" s="71"/>
      <c r="BG102" s="11" t="str">
        <f t="shared" si="67"/>
        <v/>
      </c>
      <c r="BH102" s="10" t="str">
        <f t="shared" si="84"/>
        <v/>
      </c>
      <c r="BJ102" s="7" t="str">
        <f t="shared" si="85"/>
        <v/>
      </c>
      <c r="BK102" s="158" t="str">
        <f t="shared" si="86"/>
        <v/>
      </c>
      <c r="BL102" s="158" t="str">
        <f t="shared" si="68"/>
        <v/>
      </c>
      <c r="BM102" s="10"/>
      <c r="BN102" s="10" t="str">
        <f t="shared" si="87"/>
        <v/>
      </c>
      <c r="BO102" s="10" t="str">
        <f t="shared" si="88"/>
        <v/>
      </c>
      <c r="BQ102" s="10" t="str">
        <f t="shared" si="69"/>
        <v/>
      </c>
      <c r="BR102" s="10" t="str">
        <f t="shared" si="89"/>
        <v/>
      </c>
    </row>
    <row r="103" spans="4:70" x14ac:dyDescent="0.15">
      <c r="E103" s="81" t="s">
        <v>202</v>
      </c>
      <c r="F103" s="91">
        <f>BB116/$BR$116</f>
        <v>1.706727116575488</v>
      </c>
      <c r="G103" s="81" t="s">
        <v>132</v>
      </c>
      <c r="I103" s="458">
        <f t="shared" si="90"/>
        <v>2108</v>
      </c>
      <c r="J103" s="470"/>
      <c r="K103" s="39">
        <f t="shared" si="91"/>
        <v>89</v>
      </c>
      <c r="L103" s="39"/>
      <c r="M103" s="40">
        <f t="shared" si="54"/>
        <v>7.2025619310640235E-2</v>
      </c>
      <c r="N103" s="39"/>
      <c r="O103" s="72" t="str">
        <f t="shared" si="70"/>
        <v/>
      </c>
      <c r="P103" s="41" t="str">
        <f t="shared" si="55"/>
        <v/>
      </c>
      <c r="Q103" s="39"/>
      <c r="R103" s="72" t="str">
        <f t="shared" si="71"/>
        <v/>
      </c>
      <c r="S103" s="39"/>
      <c r="T103" s="72" t="str">
        <f t="shared" si="72"/>
        <v/>
      </c>
      <c r="U103" s="39"/>
      <c r="V103" s="72" t="str">
        <f t="shared" si="56"/>
        <v/>
      </c>
      <c r="W103" s="72" t="str">
        <f t="shared" si="73"/>
        <v/>
      </c>
      <c r="X103" s="39"/>
      <c r="Y103" s="72" t="str">
        <f t="shared" si="57"/>
        <v/>
      </c>
      <c r="Z103" s="72" t="str">
        <f t="shared" si="74"/>
        <v/>
      </c>
      <c r="AA103" s="39"/>
      <c r="AB103" s="72" t="str">
        <f t="shared" si="58"/>
        <v/>
      </c>
      <c r="AC103" s="72" t="str">
        <f t="shared" si="75"/>
        <v/>
      </c>
      <c r="AD103" s="39"/>
      <c r="AE103" s="72" t="str">
        <f t="shared" si="59"/>
        <v/>
      </c>
      <c r="AF103" s="72" t="str">
        <f t="shared" si="76"/>
        <v/>
      </c>
      <c r="AG103" s="39"/>
      <c r="AH103" s="72" t="str">
        <f t="shared" si="60"/>
        <v/>
      </c>
      <c r="AI103" s="72" t="str">
        <f t="shared" si="77"/>
        <v/>
      </c>
      <c r="AJ103" s="39"/>
      <c r="AK103" s="72" t="str">
        <f t="shared" si="61"/>
        <v/>
      </c>
      <c r="AL103" s="72" t="str">
        <f t="shared" si="78"/>
        <v/>
      </c>
      <c r="AM103" s="39"/>
      <c r="AN103" s="72" t="str">
        <f t="shared" si="62"/>
        <v/>
      </c>
      <c r="AO103" s="72" t="str">
        <f t="shared" si="79"/>
        <v/>
      </c>
      <c r="AP103" s="39"/>
      <c r="AQ103" s="72" t="str">
        <f t="shared" si="63"/>
        <v/>
      </c>
      <c r="AR103" s="72" t="str">
        <f t="shared" si="80"/>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64"/>
        <v/>
      </c>
      <c r="AW103" s="72" t="str">
        <f t="shared" si="81"/>
        <v/>
      </c>
      <c r="AX103" s="39"/>
      <c r="AY103" s="40" t="str">
        <f>IF(ISERROR(IF($K103&lt;=$F$15,VLOOKUP($I103,'表4）CO2価格'!$A$7:$E$67,VLOOKUP($F$48,'表4）CO2価格'!$H$10:$I$12,2,0),0)*$F$8/1000,"")),0,IF($K103&lt;=$F$15,VLOOKUP($I103,'表4）CO2価格'!$A$7:$E$67,VLOOKUP($F$48,'表4）CO2価格'!$H$10:$I$12,2,0),0)*$F$8/1000,""))</f>
        <v/>
      </c>
      <c r="AZ103" s="39"/>
      <c r="BA103" s="42" t="str">
        <f t="shared" si="65"/>
        <v/>
      </c>
      <c r="BB103" s="72" t="str">
        <f t="shared" si="82"/>
        <v/>
      </c>
      <c r="BC103" s="39"/>
      <c r="BD103" s="72" t="str">
        <f t="shared" si="66"/>
        <v/>
      </c>
      <c r="BE103" s="72" t="str">
        <f t="shared" si="83"/>
        <v/>
      </c>
      <c r="BF103" s="39"/>
      <c r="BG103" s="42" t="str">
        <f t="shared" si="67"/>
        <v/>
      </c>
      <c r="BH103" s="72" t="str">
        <f t="shared" si="84"/>
        <v/>
      </c>
      <c r="BI103" s="39"/>
      <c r="BJ103" s="40" t="str">
        <f t="shared" si="85"/>
        <v/>
      </c>
      <c r="BK103" s="157" t="str">
        <f t="shared" si="86"/>
        <v/>
      </c>
      <c r="BL103" s="157" t="str">
        <f t="shared" si="68"/>
        <v/>
      </c>
      <c r="BM103" s="72"/>
      <c r="BN103" s="72" t="str">
        <f t="shared" si="87"/>
        <v/>
      </c>
      <c r="BO103" s="72" t="str">
        <f t="shared" si="88"/>
        <v/>
      </c>
      <c r="BP103" s="39"/>
      <c r="BQ103" s="72" t="str">
        <f t="shared" si="69"/>
        <v/>
      </c>
      <c r="BR103" s="72" t="str">
        <f t="shared" si="89"/>
        <v/>
      </c>
    </row>
    <row r="104" spans="4:70" x14ac:dyDescent="0.15">
      <c r="E104" s="81" t="s">
        <v>203</v>
      </c>
      <c r="F104" s="91">
        <f>IF(ISERROR(F60*(1/F61)/F62),0,F60*(1/F61)/F62)</f>
        <v>0</v>
      </c>
      <c r="G104" s="81" t="s">
        <v>132</v>
      </c>
      <c r="I104" s="459">
        <f t="shared" si="90"/>
        <v>2109</v>
      </c>
      <c r="K104" s="71">
        <f t="shared" si="91"/>
        <v>90</v>
      </c>
      <c r="L104" s="71"/>
      <c r="M104" s="7">
        <f t="shared" si="54"/>
        <v>6.9927785738485654E-2</v>
      </c>
      <c r="N104" s="71"/>
      <c r="O104" s="10" t="str">
        <f t="shared" si="70"/>
        <v/>
      </c>
      <c r="P104" s="29" t="str">
        <f t="shared" si="55"/>
        <v/>
      </c>
      <c r="Q104" s="71"/>
      <c r="R104" s="10" t="str">
        <f t="shared" si="71"/>
        <v/>
      </c>
      <c r="S104" s="71"/>
      <c r="T104" s="10" t="str">
        <f t="shared" si="72"/>
        <v/>
      </c>
      <c r="U104" s="71"/>
      <c r="V104" s="10" t="str">
        <f t="shared" si="56"/>
        <v/>
      </c>
      <c r="W104" s="10" t="str">
        <f t="shared" si="73"/>
        <v/>
      </c>
      <c r="X104" s="71"/>
      <c r="Y104" s="10" t="str">
        <f t="shared" si="57"/>
        <v/>
      </c>
      <c r="Z104" s="10" t="str">
        <f t="shared" si="74"/>
        <v/>
      </c>
      <c r="AA104" s="71"/>
      <c r="AB104" s="10" t="str">
        <f t="shared" si="58"/>
        <v/>
      </c>
      <c r="AC104" s="10" t="str">
        <f t="shared" si="75"/>
        <v/>
      </c>
      <c r="AD104" s="71"/>
      <c r="AE104" s="10" t="str">
        <f t="shared" si="59"/>
        <v/>
      </c>
      <c r="AF104" s="10" t="str">
        <f t="shared" si="76"/>
        <v/>
      </c>
      <c r="AG104" s="71"/>
      <c r="AH104" s="10" t="str">
        <f t="shared" si="60"/>
        <v/>
      </c>
      <c r="AI104" s="10" t="str">
        <f t="shared" si="77"/>
        <v/>
      </c>
      <c r="AJ104" s="71"/>
      <c r="AK104" s="10" t="str">
        <f t="shared" si="61"/>
        <v/>
      </c>
      <c r="AL104" s="10" t="str">
        <f t="shared" si="78"/>
        <v/>
      </c>
      <c r="AM104" s="71"/>
      <c r="AN104" s="10" t="str">
        <f t="shared" si="62"/>
        <v/>
      </c>
      <c r="AO104" s="10" t="str">
        <f t="shared" si="79"/>
        <v/>
      </c>
      <c r="AP104" s="71"/>
      <c r="AQ104" s="10" t="str">
        <f t="shared" si="63"/>
        <v/>
      </c>
      <c r="AR104" s="10" t="str">
        <f t="shared" si="80"/>
        <v/>
      </c>
      <c r="AS104" s="71"/>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U104" s="71"/>
      <c r="AV104" s="10" t="str">
        <f t="shared" si="64"/>
        <v/>
      </c>
      <c r="AW104" s="10" t="str">
        <f t="shared" si="81"/>
        <v/>
      </c>
      <c r="AX104" s="71"/>
      <c r="AY104" s="7" t="str">
        <f>IF(ISERROR(IF($K104&lt;=$F$15,VLOOKUP($I104,'表4）CO2価格'!$A$7:$E$67,VLOOKUP($F$48,'表4）CO2価格'!$H$10:$I$12,2,0),0)*$F$8/1000,"")),0,IF($K104&lt;=$F$15,VLOOKUP($I104,'表4）CO2価格'!$A$7:$E$67,VLOOKUP($F$48,'表4）CO2価格'!$H$10:$I$12,2,0),0)*$F$8/1000,""))</f>
        <v/>
      </c>
      <c r="AZ104" s="71"/>
      <c r="BA104" s="11" t="str">
        <f t="shared" si="65"/>
        <v/>
      </c>
      <c r="BB104" s="10" t="str">
        <f t="shared" si="82"/>
        <v/>
      </c>
      <c r="BC104" s="71"/>
      <c r="BD104" s="10" t="str">
        <f t="shared" si="66"/>
        <v/>
      </c>
      <c r="BE104" s="10" t="str">
        <f t="shared" si="83"/>
        <v/>
      </c>
      <c r="BF104" s="71"/>
      <c r="BG104" s="11" t="str">
        <f t="shared" si="67"/>
        <v/>
      </c>
      <c r="BH104" s="10" t="str">
        <f t="shared" si="84"/>
        <v/>
      </c>
      <c r="BJ104" s="7" t="str">
        <f t="shared" si="85"/>
        <v/>
      </c>
      <c r="BK104" s="158" t="str">
        <f t="shared" si="86"/>
        <v/>
      </c>
      <c r="BL104" s="158" t="str">
        <f t="shared" si="68"/>
        <v/>
      </c>
      <c r="BM104" s="10"/>
      <c r="BN104" s="10" t="str">
        <f t="shared" si="87"/>
        <v/>
      </c>
      <c r="BO104" s="10" t="str">
        <f t="shared" si="88"/>
        <v/>
      </c>
      <c r="BQ104" s="10" t="str">
        <f t="shared" si="69"/>
        <v/>
      </c>
      <c r="BR104" s="10" t="str">
        <f t="shared" si="89"/>
        <v/>
      </c>
    </row>
    <row r="105" spans="4:70" x14ac:dyDescent="0.15">
      <c r="E105" s="9" t="s">
        <v>367</v>
      </c>
      <c r="F105" s="91">
        <f>F64</f>
        <v>7.648644963462449E-2</v>
      </c>
      <c r="G105" s="81" t="s">
        <v>132</v>
      </c>
      <c r="I105" s="458">
        <f t="shared" si="90"/>
        <v>2110</v>
      </c>
      <c r="J105" s="470"/>
      <c r="K105" s="39">
        <f t="shared" si="91"/>
        <v>91</v>
      </c>
      <c r="L105" s="39"/>
      <c r="M105" s="40">
        <f t="shared" si="54"/>
        <v>6.7891054115034627E-2</v>
      </c>
      <c r="N105" s="39"/>
      <c r="O105" s="72" t="str">
        <f t="shared" si="70"/>
        <v/>
      </c>
      <c r="P105" s="41" t="str">
        <f t="shared" si="55"/>
        <v/>
      </c>
      <c r="Q105" s="39"/>
      <c r="R105" s="72" t="str">
        <f t="shared" si="71"/>
        <v/>
      </c>
      <c r="S105" s="39"/>
      <c r="T105" s="72" t="str">
        <f t="shared" si="72"/>
        <v/>
      </c>
      <c r="U105" s="39"/>
      <c r="V105" s="72" t="str">
        <f t="shared" si="56"/>
        <v/>
      </c>
      <c r="W105" s="72" t="str">
        <f t="shared" si="73"/>
        <v/>
      </c>
      <c r="X105" s="39"/>
      <c r="Y105" s="72" t="str">
        <f t="shared" si="57"/>
        <v/>
      </c>
      <c r="Z105" s="72" t="str">
        <f t="shared" si="74"/>
        <v/>
      </c>
      <c r="AA105" s="39"/>
      <c r="AB105" s="72" t="str">
        <f t="shared" si="58"/>
        <v/>
      </c>
      <c r="AC105" s="72" t="str">
        <f t="shared" si="75"/>
        <v/>
      </c>
      <c r="AD105" s="39"/>
      <c r="AE105" s="72" t="str">
        <f t="shared" si="59"/>
        <v/>
      </c>
      <c r="AF105" s="72" t="str">
        <f t="shared" si="76"/>
        <v/>
      </c>
      <c r="AG105" s="39"/>
      <c r="AH105" s="72" t="str">
        <f t="shared" si="60"/>
        <v/>
      </c>
      <c r="AI105" s="72" t="str">
        <f t="shared" si="77"/>
        <v/>
      </c>
      <c r="AJ105" s="39"/>
      <c r="AK105" s="72" t="str">
        <f t="shared" si="61"/>
        <v/>
      </c>
      <c r="AL105" s="72" t="str">
        <f t="shared" si="78"/>
        <v/>
      </c>
      <c r="AM105" s="39"/>
      <c r="AN105" s="72" t="str">
        <f t="shared" si="62"/>
        <v/>
      </c>
      <c r="AO105" s="72" t="str">
        <f t="shared" si="79"/>
        <v/>
      </c>
      <c r="AP105" s="39"/>
      <c r="AQ105" s="72" t="str">
        <f t="shared" si="63"/>
        <v/>
      </c>
      <c r="AR105" s="72" t="str">
        <f t="shared" si="80"/>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64"/>
        <v/>
      </c>
      <c r="AW105" s="72" t="str">
        <f t="shared" si="81"/>
        <v/>
      </c>
      <c r="AX105" s="39"/>
      <c r="AY105" s="40" t="str">
        <f>IF(ISERROR(IF($K105&lt;=$F$15,VLOOKUP($I105,'表4）CO2価格'!$A$7:$E$67,VLOOKUP($F$48,'表4）CO2価格'!$H$10:$I$12,2,0),0)*$F$8/1000,"")),0,IF($K105&lt;=$F$15,VLOOKUP($I105,'表4）CO2価格'!$A$7:$E$67,VLOOKUP($F$48,'表4）CO2価格'!$H$10:$I$12,2,0),0)*$F$8/1000,""))</f>
        <v/>
      </c>
      <c r="AZ105" s="39"/>
      <c r="BA105" s="42" t="str">
        <f t="shared" si="65"/>
        <v/>
      </c>
      <c r="BB105" s="72" t="str">
        <f t="shared" si="82"/>
        <v/>
      </c>
      <c r="BC105" s="39"/>
      <c r="BD105" s="72" t="str">
        <f t="shared" si="66"/>
        <v/>
      </c>
      <c r="BE105" s="72" t="str">
        <f t="shared" si="83"/>
        <v/>
      </c>
      <c r="BF105" s="39"/>
      <c r="BG105" s="42" t="str">
        <f t="shared" si="67"/>
        <v/>
      </c>
      <c r="BH105" s="72" t="str">
        <f t="shared" si="84"/>
        <v/>
      </c>
      <c r="BI105" s="39"/>
      <c r="BJ105" s="40" t="str">
        <f t="shared" si="85"/>
        <v/>
      </c>
      <c r="BK105" s="157" t="str">
        <f t="shared" si="86"/>
        <v/>
      </c>
      <c r="BL105" s="157" t="str">
        <f t="shared" si="68"/>
        <v/>
      </c>
      <c r="BM105" s="72"/>
      <c r="BN105" s="72" t="str">
        <f t="shared" si="87"/>
        <v/>
      </c>
      <c r="BO105" s="72" t="str">
        <f t="shared" si="88"/>
        <v/>
      </c>
      <c r="BP105" s="39"/>
      <c r="BQ105" s="72" t="str">
        <f t="shared" si="69"/>
        <v/>
      </c>
      <c r="BR105" s="72" t="str">
        <f t="shared" si="89"/>
        <v/>
      </c>
    </row>
    <row r="106" spans="4:70" x14ac:dyDescent="0.15">
      <c r="F106" s="93"/>
      <c r="I106" s="459">
        <f t="shared" si="90"/>
        <v>2111</v>
      </c>
      <c r="K106" s="71">
        <f t="shared" si="91"/>
        <v>92</v>
      </c>
      <c r="L106" s="71"/>
      <c r="M106" s="7">
        <f t="shared" si="54"/>
        <v>6.5913644771878277E-2</v>
      </c>
      <c r="N106" s="71"/>
      <c r="O106" s="10" t="str">
        <f t="shared" si="70"/>
        <v/>
      </c>
      <c r="P106" s="29" t="str">
        <f t="shared" si="55"/>
        <v/>
      </c>
      <c r="Q106" s="71"/>
      <c r="R106" s="10" t="str">
        <f t="shared" si="71"/>
        <v/>
      </c>
      <c r="S106" s="71"/>
      <c r="T106" s="10" t="str">
        <f t="shared" si="72"/>
        <v/>
      </c>
      <c r="U106" s="71"/>
      <c r="V106" s="10" t="str">
        <f t="shared" si="56"/>
        <v/>
      </c>
      <c r="W106" s="10" t="str">
        <f t="shared" si="73"/>
        <v/>
      </c>
      <c r="X106" s="71"/>
      <c r="Y106" s="10" t="str">
        <f t="shared" si="57"/>
        <v/>
      </c>
      <c r="Z106" s="10" t="str">
        <f t="shared" si="74"/>
        <v/>
      </c>
      <c r="AA106" s="71"/>
      <c r="AB106" s="10" t="str">
        <f t="shared" si="58"/>
        <v/>
      </c>
      <c r="AC106" s="10" t="str">
        <f t="shared" si="75"/>
        <v/>
      </c>
      <c r="AD106" s="71"/>
      <c r="AE106" s="10" t="str">
        <f t="shared" si="59"/>
        <v/>
      </c>
      <c r="AF106" s="10" t="str">
        <f t="shared" si="76"/>
        <v/>
      </c>
      <c r="AG106" s="71"/>
      <c r="AH106" s="10" t="str">
        <f t="shared" si="60"/>
        <v/>
      </c>
      <c r="AI106" s="10" t="str">
        <f t="shared" si="77"/>
        <v/>
      </c>
      <c r="AJ106" s="71"/>
      <c r="AK106" s="10" t="str">
        <f t="shared" si="61"/>
        <v/>
      </c>
      <c r="AL106" s="10" t="str">
        <f t="shared" si="78"/>
        <v/>
      </c>
      <c r="AM106" s="71"/>
      <c r="AN106" s="10" t="str">
        <f t="shared" si="62"/>
        <v/>
      </c>
      <c r="AO106" s="10" t="str">
        <f t="shared" si="79"/>
        <v/>
      </c>
      <c r="AP106" s="71"/>
      <c r="AQ106" s="10" t="str">
        <f t="shared" si="63"/>
        <v/>
      </c>
      <c r="AR106" s="10" t="str">
        <f t="shared" si="80"/>
        <v/>
      </c>
      <c r="AS106" s="71"/>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U106" s="71"/>
      <c r="AV106" s="10" t="str">
        <f t="shared" si="64"/>
        <v/>
      </c>
      <c r="AW106" s="10" t="str">
        <f t="shared" si="81"/>
        <v/>
      </c>
      <c r="AX106" s="71"/>
      <c r="AY106" s="7" t="str">
        <f>IF(ISERROR(IF($K106&lt;=$F$15,VLOOKUP($I106,'表4）CO2価格'!$A$7:$E$67,VLOOKUP($F$48,'表4）CO2価格'!$H$10:$I$12,2,0),0)*$F$8/1000,"")),0,IF($K106&lt;=$F$15,VLOOKUP($I106,'表4）CO2価格'!$A$7:$E$67,VLOOKUP($F$48,'表4）CO2価格'!$H$10:$I$12,2,0),0)*$F$8/1000,""))</f>
        <v/>
      </c>
      <c r="AZ106" s="71"/>
      <c r="BA106" s="11" t="str">
        <f t="shared" si="65"/>
        <v/>
      </c>
      <c r="BB106" s="10" t="str">
        <f t="shared" si="82"/>
        <v/>
      </c>
      <c r="BC106" s="71"/>
      <c r="BD106" s="10" t="str">
        <f t="shared" si="66"/>
        <v/>
      </c>
      <c r="BE106" s="10" t="str">
        <f t="shared" si="83"/>
        <v/>
      </c>
      <c r="BF106" s="71"/>
      <c r="BG106" s="11" t="str">
        <f t="shared" si="67"/>
        <v/>
      </c>
      <c r="BH106" s="10" t="str">
        <f t="shared" si="84"/>
        <v/>
      </c>
      <c r="BJ106" s="7" t="str">
        <f t="shared" si="85"/>
        <v/>
      </c>
      <c r="BK106" s="158" t="str">
        <f t="shared" si="86"/>
        <v/>
      </c>
      <c r="BL106" s="158" t="str">
        <f t="shared" si="68"/>
        <v/>
      </c>
      <c r="BM106" s="10"/>
      <c r="BN106" s="10" t="str">
        <f t="shared" si="87"/>
        <v/>
      </c>
      <c r="BO106" s="10" t="str">
        <f t="shared" si="88"/>
        <v/>
      </c>
      <c r="BQ106" s="10" t="str">
        <f t="shared" si="69"/>
        <v/>
      </c>
      <c r="BR106" s="10" t="str">
        <f t="shared" si="89"/>
        <v/>
      </c>
    </row>
    <row r="107" spans="4:70" ht="15" x14ac:dyDescent="0.15">
      <c r="D107" s="116" t="s">
        <v>204</v>
      </c>
      <c r="F107" s="94">
        <f>SUBTOTAL(9,F111:F112)</f>
        <v>0</v>
      </c>
      <c r="G107" s="81" t="s">
        <v>132</v>
      </c>
      <c r="I107" s="458">
        <f t="shared" si="90"/>
        <v>2112</v>
      </c>
      <c r="J107" s="470"/>
      <c r="K107" s="39">
        <f t="shared" si="91"/>
        <v>93</v>
      </c>
      <c r="L107" s="39"/>
      <c r="M107" s="40">
        <f t="shared" si="54"/>
        <v>6.3993829875609989E-2</v>
      </c>
      <c r="N107" s="39"/>
      <c r="O107" s="72" t="str">
        <f t="shared" si="70"/>
        <v/>
      </c>
      <c r="P107" s="41" t="str">
        <f t="shared" si="55"/>
        <v/>
      </c>
      <c r="Q107" s="39"/>
      <c r="R107" s="72" t="str">
        <f t="shared" si="71"/>
        <v/>
      </c>
      <c r="S107" s="39"/>
      <c r="T107" s="72" t="str">
        <f t="shared" si="72"/>
        <v/>
      </c>
      <c r="U107" s="39"/>
      <c r="V107" s="72" t="str">
        <f t="shared" si="56"/>
        <v/>
      </c>
      <c r="W107" s="72" t="str">
        <f t="shared" si="73"/>
        <v/>
      </c>
      <c r="X107" s="39"/>
      <c r="Y107" s="72" t="str">
        <f t="shared" si="57"/>
        <v/>
      </c>
      <c r="Z107" s="72" t="str">
        <f t="shared" si="74"/>
        <v/>
      </c>
      <c r="AA107" s="39"/>
      <c r="AB107" s="72" t="str">
        <f t="shared" si="58"/>
        <v/>
      </c>
      <c r="AC107" s="72" t="str">
        <f t="shared" si="75"/>
        <v/>
      </c>
      <c r="AD107" s="39"/>
      <c r="AE107" s="72" t="str">
        <f t="shared" si="59"/>
        <v/>
      </c>
      <c r="AF107" s="72" t="str">
        <f t="shared" si="76"/>
        <v/>
      </c>
      <c r="AG107" s="39"/>
      <c r="AH107" s="72" t="str">
        <f t="shared" si="60"/>
        <v/>
      </c>
      <c r="AI107" s="72" t="str">
        <f t="shared" si="77"/>
        <v/>
      </c>
      <c r="AJ107" s="39"/>
      <c r="AK107" s="72" t="str">
        <f t="shared" si="61"/>
        <v/>
      </c>
      <c r="AL107" s="72" t="str">
        <f t="shared" si="78"/>
        <v/>
      </c>
      <c r="AM107" s="39"/>
      <c r="AN107" s="72" t="str">
        <f t="shared" si="62"/>
        <v/>
      </c>
      <c r="AO107" s="72" t="str">
        <f t="shared" si="79"/>
        <v/>
      </c>
      <c r="AP107" s="39"/>
      <c r="AQ107" s="72" t="str">
        <f t="shared" si="63"/>
        <v/>
      </c>
      <c r="AR107" s="72" t="str">
        <f t="shared" si="80"/>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64"/>
        <v/>
      </c>
      <c r="AW107" s="72" t="str">
        <f t="shared" si="81"/>
        <v/>
      </c>
      <c r="AX107" s="39"/>
      <c r="AY107" s="40" t="str">
        <f>IF(ISERROR(IF($K107&lt;=$F$15,VLOOKUP($I107,'表4）CO2価格'!$A$7:$E$67,VLOOKUP($F$48,'表4）CO2価格'!$H$10:$I$12,2,0),0)*$F$8/1000,"")),0,IF($K107&lt;=$F$15,VLOOKUP($I107,'表4）CO2価格'!$A$7:$E$67,VLOOKUP($F$48,'表4）CO2価格'!$H$10:$I$12,2,0),0)*$F$8/1000,""))</f>
        <v/>
      </c>
      <c r="AZ107" s="39"/>
      <c r="BA107" s="42" t="str">
        <f t="shared" si="65"/>
        <v/>
      </c>
      <c r="BB107" s="72" t="str">
        <f t="shared" si="82"/>
        <v/>
      </c>
      <c r="BC107" s="39"/>
      <c r="BD107" s="72" t="str">
        <f t="shared" si="66"/>
        <v/>
      </c>
      <c r="BE107" s="72" t="str">
        <f t="shared" si="83"/>
        <v/>
      </c>
      <c r="BF107" s="39"/>
      <c r="BG107" s="42" t="str">
        <f t="shared" si="67"/>
        <v/>
      </c>
      <c r="BH107" s="72" t="str">
        <f t="shared" si="84"/>
        <v/>
      </c>
      <c r="BI107" s="39"/>
      <c r="BJ107" s="40" t="str">
        <f t="shared" si="85"/>
        <v/>
      </c>
      <c r="BK107" s="157" t="str">
        <f t="shared" si="86"/>
        <v/>
      </c>
      <c r="BL107" s="157" t="str">
        <f t="shared" si="68"/>
        <v/>
      </c>
      <c r="BM107" s="72"/>
      <c r="BN107" s="72" t="str">
        <f t="shared" si="87"/>
        <v/>
      </c>
      <c r="BO107" s="72" t="str">
        <f t="shared" si="88"/>
        <v/>
      </c>
      <c r="BP107" s="39"/>
      <c r="BQ107" s="72" t="str">
        <f t="shared" si="69"/>
        <v/>
      </c>
      <c r="BR107" s="72" t="str">
        <f t="shared" si="89"/>
        <v/>
      </c>
    </row>
    <row r="108" spans="4:70" ht="15" x14ac:dyDescent="0.15">
      <c r="D108" s="116"/>
      <c r="F108" s="93"/>
      <c r="I108" s="459">
        <f t="shared" si="90"/>
        <v>2113</v>
      </c>
      <c r="K108" s="71">
        <f t="shared" si="91"/>
        <v>94</v>
      </c>
      <c r="L108" s="71"/>
      <c r="M108" s="7">
        <f t="shared" si="54"/>
        <v>6.212993191806794E-2</v>
      </c>
      <c r="N108" s="71"/>
      <c r="O108" s="10" t="str">
        <f t="shared" si="70"/>
        <v/>
      </c>
      <c r="P108" s="29" t="str">
        <f t="shared" si="55"/>
        <v/>
      </c>
      <c r="Q108" s="71"/>
      <c r="R108" s="10" t="str">
        <f t="shared" si="71"/>
        <v/>
      </c>
      <c r="S108" s="71"/>
      <c r="T108" s="10" t="str">
        <f t="shared" si="72"/>
        <v/>
      </c>
      <c r="U108" s="71"/>
      <c r="V108" s="10" t="str">
        <f t="shared" si="56"/>
        <v/>
      </c>
      <c r="W108" s="10" t="str">
        <f t="shared" si="73"/>
        <v/>
      </c>
      <c r="X108" s="71"/>
      <c r="Y108" s="10" t="str">
        <f t="shared" si="57"/>
        <v/>
      </c>
      <c r="Z108" s="10" t="str">
        <f t="shared" si="74"/>
        <v/>
      </c>
      <c r="AA108" s="71"/>
      <c r="AB108" s="10" t="str">
        <f t="shared" si="58"/>
        <v/>
      </c>
      <c r="AC108" s="10" t="str">
        <f t="shared" si="75"/>
        <v/>
      </c>
      <c r="AD108" s="71"/>
      <c r="AE108" s="10" t="str">
        <f t="shared" si="59"/>
        <v/>
      </c>
      <c r="AF108" s="10" t="str">
        <f t="shared" si="76"/>
        <v/>
      </c>
      <c r="AG108" s="71"/>
      <c r="AH108" s="10" t="str">
        <f t="shared" si="60"/>
        <v/>
      </c>
      <c r="AI108" s="10" t="str">
        <f t="shared" si="77"/>
        <v/>
      </c>
      <c r="AJ108" s="71"/>
      <c r="AK108" s="10" t="str">
        <f t="shared" si="61"/>
        <v/>
      </c>
      <c r="AL108" s="10" t="str">
        <f t="shared" si="78"/>
        <v/>
      </c>
      <c r="AM108" s="71"/>
      <c r="AN108" s="10" t="str">
        <f t="shared" si="62"/>
        <v/>
      </c>
      <c r="AO108" s="10" t="str">
        <f t="shared" si="79"/>
        <v/>
      </c>
      <c r="AP108" s="71"/>
      <c r="AQ108" s="10" t="str">
        <f t="shared" si="63"/>
        <v/>
      </c>
      <c r="AR108" s="10" t="str">
        <f t="shared" si="80"/>
        <v/>
      </c>
      <c r="AS108" s="71"/>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U108" s="71"/>
      <c r="AV108" s="10" t="str">
        <f t="shared" si="64"/>
        <v/>
      </c>
      <c r="AW108" s="10" t="str">
        <f t="shared" si="81"/>
        <v/>
      </c>
      <c r="AX108" s="71"/>
      <c r="AY108" s="7" t="str">
        <f>IF(ISERROR(IF($K108&lt;=$F$15,VLOOKUP($I108,'表4）CO2価格'!$A$7:$E$67,VLOOKUP($F$48,'表4）CO2価格'!$H$10:$I$12,2,0),0)*$F$8/1000,"")),0,IF($K108&lt;=$F$15,VLOOKUP($I108,'表4）CO2価格'!$A$7:$E$67,VLOOKUP($F$48,'表4）CO2価格'!$H$10:$I$12,2,0),0)*$F$8/1000,""))</f>
        <v/>
      </c>
      <c r="AZ108" s="71"/>
      <c r="BA108" s="11" t="str">
        <f t="shared" si="65"/>
        <v/>
      </c>
      <c r="BB108" s="10" t="str">
        <f t="shared" si="82"/>
        <v/>
      </c>
      <c r="BC108" s="71"/>
      <c r="BD108" s="10" t="str">
        <f t="shared" si="66"/>
        <v/>
      </c>
      <c r="BE108" s="10" t="str">
        <f t="shared" si="83"/>
        <v/>
      </c>
      <c r="BF108" s="71"/>
      <c r="BG108" s="11" t="str">
        <f t="shared" si="67"/>
        <v/>
      </c>
      <c r="BH108" s="10" t="str">
        <f t="shared" si="84"/>
        <v/>
      </c>
      <c r="BJ108" s="7" t="str">
        <f t="shared" si="85"/>
        <v/>
      </c>
      <c r="BK108" s="158" t="str">
        <f t="shared" si="86"/>
        <v/>
      </c>
      <c r="BL108" s="158" t="str">
        <f t="shared" si="68"/>
        <v/>
      </c>
      <c r="BM108" s="10"/>
      <c r="BN108" s="10" t="str">
        <f t="shared" si="87"/>
        <v/>
      </c>
      <c r="BO108" s="10" t="str">
        <f t="shared" si="88"/>
        <v/>
      </c>
      <c r="BQ108" s="10" t="str">
        <f t="shared" si="69"/>
        <v/>
      </c>
      <c r="BR108" s="10" t="str">
        <f t="shared" si="89"/>
        <v/>
      </c>
    </row>
    <row r="109" spans="4:70" x14ac:dyDescent="0.15">
      <c r="D109" s="101" t="s">
        <v>205</v>
      </c>
      <c r="E109" s="101"/>
      <c r="F109" s="92"/>
      <c r="G109" s="101"/>
      <c r="I109" s="458">
        <f t="shared" si="90"/>
        <v>2114</v>
      </c>
      <c r="J109" s="470"/>
      <c r="K109" s="39">
        <f t="shared" si="91"/>
        <v>95</v>
      </c>
      <c r="L109" s="39"/>
      <c r="M109" s="40">
        <f t="shared" si="54"/>
        <v>6.0320322250551395E-2</v>
      </c>
      <c r="N109" s="39"/>
      <c r="O109" s="72" t="str">
        <f t="shared" si="70"/>
        <v/>
      </c>
      <c r="P109" s="41" t="str">
        <f t="shared" si="55"/>
        <v/>
      </c>
      <c r="Q109" s="39"/>
      <c r="R109" s="72" t="str">
        <f t="shared" si="71"/>
        <v/>
      </c>
      <c r="S109" s="39"/>
      <c r="T109" s="72" t="str">
        <f t="shared" si="72"/>
        <v/>
      </c>
      <c r="U109" s="39"/>
      <c r="V109" s="72" t="str">
        <f t="shared" si="56"/>
        <v/>
      </c>
      <c r="W109" s="72" t="str">
        <f t="shared" si="73"/>
        <v/>
      </c>
      <c r="X109" s="39"/>
      <c r="Y109" s="72" t="str">
        <f t="shared" si="57"/>
        <v/>
      </c>
      <c r="Z109" s="72" t="str">
        <f t="shared" si="74"/>
        <v/>
      </c>
      <c r="AA109" s="39"/>
      <c r="AB109" s="72" t="str">
        <f t="shared" si="58"/>
        <v/>
      </c>
      <c r="AC109" s="72" t="str">
        <f t="shared" si="75"/>
        <v/>
      </c>
      <c r="AD109" s="39"/>
      <c r="AE109" s="72" t="str">
        <f t="shared" si="59"/>
        <v/>
      </c>
      <c r="AF109" s="72" t="str">
        <f t="shared" si="76"/>
        <v/>
      </c>
      <c r="AG109" s="39"/>
      <c r="AH109" s="72" t="str">
        <f t="shared" si="60"/>
        <v/>
      </c>
      <c r="AI109" s="72" t="str">
        <f t="shared" si="77"/>
        <v/>
      </c>
      <c r="AJ109" s="39"/>
      <c r="AK109" s="72" t="str">
        <f t="shared" si="61"/>
        <v/>
      </c>
      <c r="AL109" s="72" t="str">
        <f t="shared" si="78"/>
        <v/>
      </c>
      <c r="AM109" s="39"/>
      <c r="AN109" s="72" t="str">
        <f t="shared" si="62"/>
        <v/>
      </c>
      <c r="AO109" s="72" t="str">
        <f t="shared" si="79"/>
        <v/>
      </c>
      <c r="AP109" s="39"/>
      <c r="AQ109" s="72" t="str">
        <f t="shared" si="63"/>
        <v/>
      </c>
      <c r="AR109" s="72" t="str">
        <f t="shared" si="80"/>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64"/>
        <v/>
      </c>
      <c r="AW109" s="72" t="str">
        <f t="shared" si="81"/>
        <v/>
      </c>
      <c r="AX109" s="39"/>
      <c r="AY109" s="40" t="str">
        <f>IF(ISERROR(IF($K109&lt;=$F$15,VLOOKUP($I109,'表4）CO2価格'!$A$7:$E$67,VLOOKUP($F$48,'表4）CO2価格'!$H$10:$I$12,2,0),0)*$F$8/1000,"")),0,IF($K109&lt;=$F$15,VLOOKUP($I109,'表4）CO2価格'!$A$7:$E$67,VLOOKUP($F$48,'表4）CO2価格'!$H$10:$I$12,2,0),0)*$F$8/1000,""))</f>
        <v/>
      </c>
      <c r="AZ109" s="39"/>
      <c r="BA109" s="42" t="str">
        <f t="shared" si="65"/>
        <v/>
      </c>
      <c r="BB109" s="72" t="str">
        <f t="shared" si="82"/>
        <v/>
      </c>
      <c r="BC109" s="39"/>
      <c r="BD109" s="72" t="str">
        <f t="shared" si="66"/>
        <v/>
      </c>
      <c r="BE109" s="72" t="str">
        <f t="shared" si="83"/>
        <v/>
      </c>
      <c r="BF109" s="39"/>
      <c r="BG109" s="42" t="str">
        <f t="shared" si="67"/>
        <v/>
      </c>
      <c r="BH109" s="72" t="str">
        <f t="shared" si="84"/>
        <v/>
      </c>
      <c r="BI109" s="39"/>
      <c r="BJ109" s="40" t="str">
        <f t="shared" si="85"/>
        <v/>
      </c>
      <c r="BK109" s="157" t="str">
        <f t="shared" si="86"/>
        <v/>
      </c>
      <c r="BL109" s="157" t="str">
        <f t="shared" si="68"/>
        <v/>
      </c>
      <c r="BM109" s="72"/>
      <c r="BN109" s="72" t="str">
        <f t="shared" si="87"/>
        <v/>
      </c>
      <c r="BO109" s="72" t="str">
        <f t="shared" si="88"/>
        <v/>
      </c>
      <c r="BP109" s="39"/>
      <c r="BQ109" s="72" t="str">
        <f t="shared" si="69"/>
        <v/>
      </c>
      <c r="BR109" s="72" t="str">
        <f t="shared" si="89"/>
        <v/>
      </c>
    </row>
    <row r="110" spans="4:70" ht="15" x14ac:dyDescent="0.15">
      <c r="D110" s="116"/>
      <c r="F110" s="93"/>
      <c r="I110" s="459">
        <f t="shared" si="90"/>
        <v>2115</v>
      </c>
      <c r="K110" s="71">
        <f t="shared" si="91"/>
        <v>96</v>
      </c>
      <c r="L110" s="71"/>
      <c r="M110" s="7">
        <f t="shared" si="54"/>
        <v>5.8563419660729518E-2</v>
      </c>
      <c r="N110" s="71"/>
      <c r="O110" s="10" t="str">
        <f t="shared" si="70"/>
        <v/>
      </c>
      <c r="P110" s="29" t="str">
        <f t="shared" si="55"/>
        <v/>
      </c>
      <c r="Q110" s="71"/>
      <c r="R110" s="10" t="str">
        <f t="shared" si="71"/>
        <v/>
      </c>
      <c r="S110" s="71"/>
      <c r="T110" s="10" t="str">
        <f t="shared" si="72"/>
        <v/>
      </c>
      <c r="U110" s="71"/>
      <c r="V110" s="10" t="str">
        <f t="shared" si="56"/>
        <v/>
      </c>
      <c r="W110" s="10" t="str">
        <f t="shared" si="73"/>
        <v/>
      </c>
      <c r="X110" s="71"/>
      <c r="Y110" s="10" t="str">
        <f t="shared" si="57"/>
        <v/>
      </c>
      <c r="Z110" s="10" t="str">
        <f t="shared" si="74"/>
        <v/>
      </c>
      <c r="AA110" s="71"/>
      <c r="AB110" s="10" t="str">
        <f t="shared" si="58"/>
        <v/>
      </c>
      <c r="AC110" s="10" t="str">
        <f t="shared" si="75"/>
        <v/>
      </c>
      <c r="AD110" s="71"/>
      <c r="AE110" s="10" t="str">
        <f t="shared" si="59"/>
        <v/>
      </c>
      <c r="AF110" s="10" t="str">
        <f t="shared" si="76"/>
        <v/>
      </c>
      <c r="AG110" s="71"/>
      <c r="AH110" s="10" t="str">
        <f t="shared" si="60"/>
        <v/>
      </c>
      <c r="AI110" s="10" t="str">
        <f t="shared" si="77"/>
        <v/>
      </c>
      <c r="AJ110" s="71"/>
      <c r="AK110" s="10" t="str">
        <f t="shared" si="61"/>
        <v/>
      </c>
      <c r="AL110" s="10" t="str">
        <f t="shared" si="78"/>
        <v/>
      </c>
      <c r="AM110" s="71"/>
      <c r="AN110" s="10" t="str">
        <f t="shared" si="62"/>
        <v/>
      </c>
      <c r="AO110" s="10" t="str">
        <f t="shared" si="79"/>
        <v/>
      </c>
      <c r="AP110" s="71"/>
      <c r="AQ110" s="10" t="str">
        <f t="shared" si="63"/>
        <v/>
      </c>
      <c r="AR110" s="10" t="str">
        <f t="shared" si="80"/>
        <v/>
      </c>
      <c r="AS110" s="71"/>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U110" s="71"/>
      <c r="AV110" s="10" t="str">
        <f t="shared" si="64"/>
        <v/>
      </c>
      <c r="AW110" s="10" t="str">
        <f t="shared" si="81"/>
        <v/>
      </c>
      <c r="AX110" s="71"/>
      <c r="AY110" s="7" t="str">
        <f>IF(ISERROR(IF($K110&lt;=$F$15,VLOOKUP($I110,'表4）CO2価格'!$A$7:$E$67,VLOOKUP($F$48,'表4）CO2価格'!$H$10:$I$12,2,0),0)*$F$8/1000,"")),0,IF($K110&lt;=$F$15,VLOOKUP($I110,'表4）CO2価格'!$A$7:$E$67,VLOOKUP($F$48,'表4）CO2価格'!$H$10:$I$12,2,0),0)*$F$8/1000,""))</f>
        <v/>
      </c>
      <c r="AZ110" s="71"/>
      <c r="BA110" s="11" t="str">
        <f t="shared" si="65"/>
        <v/>
      </c>
      <c r="BB110" s="10" t="str">
        <f t="shared" si="82"/>
        <v/>
      </c>
      <c r="BC110" s="71"/>
      <c r="BD110" s="10" t="str">
        <f t="shared" si="66"/>
        <v/>
      </c>
      <c r="BE110" s="10" t="str">
        <f t="shared" si="83"/>
        <v/>
      </c>
      <c r="BF110" s="71"/>
      <c r="BG110" s="11" t="str">
        <f t="shared" si="67"/>
        <v/>
      </c>
      <c r="BH110" s="10" t="str">
        <f t="shared" si="84"/>
        <v/>
      </c>
      <c r="BJ110" s="7" t="str">
        <f t="shared" si="85"/>
        <v/>
      </c>
      <c r="BK110" s="158" t="str">
        <f t="shared" si="86"/>
        <v/>
      </c>
      <c r="BL110" s="158" t="str">
        <f t="shared" si="68"/>
        <v/>
      </c>
      <c r="BM110" s="10"/>
      <c r="BN110" s="10" t="str">
        <f t="shared" si="87"/>
        <v/>
      </c>
      <c r="BO110" s="10" t="str">
        <f t="shared" si="88"/>
        <v/>
      </c>
      <c r="BQ110" s="10" t="str">
        <f t="shared" si="69"/>
        <v/>
      </c>
      <c r="BR110" s="10" t="str">
        <f t="shared" si="89"/>
        <v/>
      </c>
    </row>
    <row r="111" spans="4:70" ht="15" x14ac:dyDescent="0.15">
      <c r="D111" s="116"/>
      <c r="E111" s="81" t="s">
        <v>206</v>
      </c>
      <c r="F111" s="91">
        <f>-BE116/BR116</f>
        <v>0</v>
      </c>
      <c r="G111" s="81" t="s">
        <v>132</v>
      </c>
      <c r="I111" s="458">
        <f t="shared" si="90"/>
        <v>2116</v>
      </c>
      <c r="J111" s="470"/>
      <c r="K111" s="39">
        <f t="shared" si="91"/>
        <v>97</v>
      </c>
      <c r="L111" s="39"/>
      <c r="M111" s="40">
        <f t="shared" si="54"/>
        <v>5.6857688990999529E-2</v>
      </c>
      <c r="N111" s="39"/>
      <c r="O111" s="72" t="str">
        <f t="shared" si="70"/>
        <v/>
      </c>
      <c r="P111" s="41" t="str">
        <f>IF(K111&lt;=$F$15,IF(OR(P110=$F$124,P110="-"),"-",IF(O111*$F$123&gt;$F$127,$F$123,$F$124)),"")</f>
        <v/>
      </c>
      <c r="Q111" s="39"/>
      <c r="R111" s="72" t="str">
        <f t="shared" si="71"/>
        <v/>
      </c>
      <c r="S111" s="39"/>
      <c r="T111" s="72" t="str">
        <f t="shared" si="72"/>
        <v/>
      </c>
      <c r="U111" s="39"/>
      <c r="V111" s="72" t="str">
        <f t="shared" si="56"/>
        <v/>
      </c>
      <c r="W111" s="72" t="str">
        <f t="shared" si="73"/>
        <v/>
      </c>
      <c r="X111" s="39"/>
      <c r="Y111" s="72" t="str">
        <f t="shared" si="57"/>
        <v/>
      </c>
      <c r="Z111" s="72" t="str">
        <f t="shared" si="74"/>
        <v/>
      </c>
      <c r="AA111" s="39"/>
      <c r="AB111" s="72" t="str">
        <f t="shared" si="58"/>
        <v/>
      </c>
      <c r="AC111" s="72" t="str">
        <f t="shared" si="75"/>
        <v/>
      </c>
      <c r="AD111" s="39"/>
      <c r="AE111" s="72" t="str">
        <f t="shared" si="59"/>
        <v/>
      </c>
      <c r="AF111" s="72" t="str">
        <f t="shared" si="76"/>
        <v/>
      </c>
      <c r="AG111" s="39"/>
      <c r="AH111" s="72" t="str">
        <f t="shared" si="60"/>
        <v/>
      </c>
      <c r="AI111" s="72" t="str">
        <f t="shared" si="77"/>
        <v/>
      </c>
      <c r="AJ111" s="39"/>
      <c r="AK111" s="72" t="str">
        <f t="shared" si="61"/>
        <v/>
      </c>
      <c r="AL111" s="72" t="str">
        <f t="shared" si="78"/>
        <v/>
      </c>
      <c r="AM111" s="39"/>
      <c r="AN111" s="72" t="str">
        <f t="shared" si="62"/>
        <v/>
      </c>
      <c r="AO111" s="72" t="str">
        <f t="shared" si="79"/>
        <v/>
      </c>
      <c r="AP111" s="39"/>
      <c r="AQ111" s="72" t="str">
        <f t="shared" si="63"/>
        <v/>
      </c>
      <c r="AR111" s="72" t="str">
        <f t="shared" si="80"/>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64"/>
        <v/>
      </c>
      <c r="AW111" s="72" t="str">
        <f t="shared" si="81"/>
        <v/>
      </c>
      <c r="AX111" s="39"/>
      <c r="AY111" s="40" t="str">
        <f>IF(ISERROR(IF($K111&lt;=$F$15,VLOOKUP($I111,'表4）CO2価格'!$A$7:$E$67,VLOOKUP($F$48,'表4）CO2価格'!$H$10:$I$12,2,0),0)*$F$8/1000,"")),0,IF($K111&lt;=$F$15,VLOOKUP($I111,'表4）CO2価格'!$A$7:$E$67,VLOOKUP($F$48,'表4）CO2価格'!$H$10:$I$12,2,0),0)*$F$8/1000,""))</f>
        <v/>
      </c>
      <c r="AZ111" s="39"/>
      <c r="BA111" s="42" t="str">
        <f t="shared" si="65"/>
        <v/>
      </c>
      <c r="BB111" s="72" t="str">
        <f t="shared" si="82"/>
        <v/>
      </c>
      <c r="BC111" s="39"/>
      <c r="BD111" s="72" t="str">
        <f t="shared" si="66"/>
        <v/>
      </c>
      <c r="BE111" s="72" t="str">
        <f t="shared" si="83"/>
        <v/>
      </c>
      <c r="BF111" s="39"/>
      <c r="BG111" s="42" t="str">
        <f t="shared" si="67"/>
        <v/>
      </c>
      <c r="BH111" s="72" t="str">
        <f t="shared" si="84"/>
        <v/>
      </c>
      <c r="BI111" s="39"/>
      <c r="BJ111" s="40" t="str">
        <f t="shared" si="85"/>
        <v/>
      </c>
      <c r="BK111" s="157" t="str">
        <f t="shared" si="86"/>
        <v/>
      </c>
      <c r="BL111" s="157" t="str">
        <f t="shared" si="68"/>
        <v/>
      </c>
      <c r="BM111" s="72"/>
      <c r="BN111" s="72" t="str">
        <f t="shared" si="87"/>
        <v/>
      </c>
      <c r="BO111" s="72" t="str">
        <f t="shared" si="88"/>
        <v/>
      </c>
      <c r="BP111" s="39"/>
      <c r="BQ111" s="72" t="str">
        <f t="shared" si="69"/>
        <v/>
      </c>
      <c r="BR111" s="72" t="str">
        <f t="shared" si="89"/>
        <v/>
      </c>
    </row>
    <row r="112" spans="4:70" ht="15" x14ac:dyDescent="0.15">
      <c r="D112" s="116"/>
      <c r="E112" s="81" t="s">
        <v>207</v>
      </c>
      <c r="F112" s="91">
        <f>-BH116/BR116</f>
        <v>0</v>
      </c>
      <c r="G112" s="81" t="s">
        <v>132</v>
      </c>
      <c r="I112" s="459">
        <f t="shared" si="90"/>
        <v>2117</v>
      </c>
      <c r="K112" s="71">
        <f t="shared" si="91"/>
        <v>98</v>
      </c>
      <c r="L112" s="71"/>
      <c r="M112" s="7">
        <f t="shared" si="54"/>
        <v>5.5201639797086935E-2</v>
      </c>
      <c r="N112" s="71"/>
      <c r="O112" s="10" t="str">
        <f t="shared" si="70"/>
        <v/>
      </c>
      <c r="P112" s="29" t="str">
        <f>IF(K112&lt;=$F$15,IF(OR(P111=$F$124,P111="-"),"-",IF(O112*$F$123&gt;$F$127,$F$123,$F$124)),"")</f>
        <v/>
      </c>
      <c r="Q112" s="71"/>
      <c r="R112" s="10" t="str">
        <f t="shared" si="71"/>
        <v/>
      </c>
      <c r="S112" s="71"/>
      <c r="T112" s="10" t="str">
        <f t="shared" si="72"/>
        <v/>
      </c>
      <c r="U112" s="71"/>
      <c r="V112" s="10" t="str">
        <f t="shared" si="56"/>
        <v/>
      </c>
      <c r="W112" s="10" t="str">
        <f t="shared" si="73"/>
        <v/>
      </c>
      <c r="X112" s="71"/>
      <c r="Y112" s="10" t="str">
        <f t="shared" si="57"/>
        <v/>
      </c>
      <c r="Z112" s="10" t="str">
        <f t="shared" si="74"/>
        <v/>
      </c>
      <c r="AA112" s="71"/>
      <c r="AB112" s="10" t="str">
        <f t="shared" si="58"/>
        <v/>
      </c>
      <c r="AC112" s="10" t="str">
        <f t="shared" si="75"/>
        <v/>
      </c>
      <c r="AD112" s="71"/>
      <c r="AE112" s="10" t="str">
        <f t="shared" si="59"/>
        <v/>
      </c>
      <c r="AF112" s="10" t="str">
        <f t="shared" si="76"/>
        <v/>
      </c>
      <c r="AG112" s="71"/>
      <c r="AH112" s="10" t="str">
        <f t="shared" si="60"/>
        <v/>
      </c>
      <c r="AI112" s="10" t="str">
        <f t="shared" si="77"/>
        <v/>
      </c>
      <c r="AJ112" s="71"/>
      <c r="AK112" s="10" t="str">
        <f t="shared" si="61"/>
        <v/>
      </c>
      <c r="AL112" s="10" t="str">
        <f t="shared" si="78"/>
        <v/>
      </c>
      <c r="AM112" s="71"/>
      <c r="AN112" s="10" t="str">
        <f t="shared" si="62"/>
        <v/>
      </c>
      <c r="AO112" s="10" t="str">
        <f t="shared" si="79"/>
        <v/>
      </c>
      <c r="AP112" s="71"/>
      <c r="AQ112" s="10" t="str">
        <f t="shared" si="63"/>
        <v/>
      </c>
      <c r="AR112" s="10" t="str">
        <f t="shared" si="80"/>
        <v/>
      </c>
      <c r="AS112" s="71"/>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U112" s="71"/>
      <c r="AV112" s="10" t="str">
        <f t="shared" si="64"/>
        <v/>
      </c>
      <c r="AW112" s="10" t="str">
        <f t="shared" si="81"/>
        <v/>
      </c>
      <c r="AX112" s="71"/>
      <c r="AY112" s="7" t="str">
        <f>IF(ISERROR(IF($K112&lt;=$F$15,VLOOKUP($I112,'表4）CO2価格'!$A$7:$E$67,VLOOKUP($F$48,'表4）CO2価格'!$H$10:$I$12,2,0),0)*$F$8/1000,"")),0,IF($K112&lt;=$F$15,VLOOKUP($I112,'表4）CO2価格'!$A$7:$E$67,VLOOKUP($F$48,'表4）CO2価格'!$H$10:$I$12,2,0),0)*$F$8/1000,""))</f>
        <v/>
      </c>
      <c r="AZ112" s="71"/>
      <c r="BA112" s="11" t="str">
        <f t="shared" si="65"/>
        <v/>
      </c>
      <c r="BB112" s="10" t="str">
        <f t="shared" si="82"/>
        <v/>
      </c>
      <c r="BC112" s="71"/>
      <c r="BD112" s="10" t="str">
        <f t="shared" si="66"/>
        <v/>
      </c>
      <c r="BE112" s="10" t="str">
        <f t="shared" si="83"/>
        <v/>
      </c>
      <c r="BF112" s="71"/>
      <c r="BG112" s="11" t="str">
        <f t="shared" si="67"/>
        <v/>
      </c>
      <c r="BH112" s="10" t="str">
        <f t="shared" si="84"/>
        <v/>
      </c>
      <c r="BJ112" s="7" t="str">
        <f t="shared" si="85"/>
        <v/>
      </c>
      <c r="BK112" s="158" t="str">
        <f t="shared" si="86"/>
        <v/>
      </c>
      <c r="BL112" s="158" t="str">
        <f t="shared" si="68"/>
        <v/>
      </c>
      <c r="BM112" s="10"/>
      <c r="BN112" s="10" t="str">
        <f t="shared" si="87"/>
        <v/>
      </c>
      <c r="BO112" s="10" t="str">
        <f t="shared" si="88"/>
        <v/>
      </c>
      <c r="BQ112" s="10" t="str">
        <f t="shared" si="69"/>
        <v/>
      </c>
      <c r="BR112" s="10" t="str">
        <f t="shared" si="89"/>
        <v/>
      </c>
    </row>
    <row r="113" spans="2:70" x14ac:dyDescent="0.15">
      <c r="I113" s="458">
        <f t="shared" si="90"/>
        <v>2118</v>
      </c>
      <c r="J113" s="470"/>
      <c r="K113" s="39">
        <f t="shared" si="91"/>
        <v>99</v>
      </c>
      <c r="L113" s="39"/>
      <c r="M113" s="40">
        <f t="shared" si="54"/>
        <v>5.3593825045715457E-2</v>
      </c>
      <c r="N113" s="39"/>
      <c r="O113" s="72" t="str">
        <f t="shared" si="70"/>
        <v/>
      </c>
      <c r="P113" s="41" t="str">
        <f>IF(K113&lt;=$F$15,IF(OR(P112=$F$124,P112="-"),"-",IF(O113*$F$123&gt;$F$127,$F$123,$F$124)),"")</f>
        <v/>
      </c>
      <c r="Q113" s="39"/>
      <c r="R113" s="72" t="str">
        <f t="shared" si="71"/>
        <v/>
      </c>
      <c r="S113" s="39"/>
      <c r="T113" s="72" t="str">
        <f t="shared" si="72"/>
        <v/>
      </c>
      <c r="U113" s="39"/>
      <c r="V113" s="72" t="str">
        <f t="shared" si="56"/>
        <v/>
      </c>
      <c r="W113" s="72" t="str">
        <f t="shared" si="73"/>
        <v/>
      </c>
      <c r="X113" s="39"/>
      <c r="Y113" s="72" t="str">
        <f t="shared" si="57"/>
        <v/>
      </c>
      <c r="Z113" s="72" t="str">
        <f t="shared" si="74"/>
        <v/>
      </c>
      <c r="AA113" s="39"/>
      <c r="AB113" s="72" t="str">
        <f t="shared" si="58"/>
        <v/>
      </c>
      <c r="AC113" s="72" t="str">
        <f t="shared" si="75"/>
        <v/>
      </c>
      <c r="AD113" s="39"/>
      <c r="AE113" s="72" t="str">
        <f t="shared" si="59"/>
        <v/>
      </c>
      <c r="AF113" s="72" t="str">
        <f t="shared" si="76"/>
        <v/>
      </c>
      <c r="AG113" s="39"/>
      <c r="AH113" s="72" t="str">
        <f t="shared" si="60"/>
        <v/>
      </c>
      <c r="AI113" s="72" t="str">
        <f t="shared" si="77"/>
        <v/>
      </c>
      <c r="AJ113" s="39"/>
      <c r="AK113" s="72" t="str">
        <f t="shared" si="61"/>
        <v/>
      </c>
      <c r="AL113" s="72" t="str">
        <f t="shared" si="78"/>
        <v/>
      </c>
      <c r="AM113" s="39"/>
      <c r="AN113" s="72" t="str">
        <f t="shared" si="62"/>
        <v/>
      </c>
      <c r="AO113" s="72" t="str">
        <f t="shared" si="79"/>
        <v/>
      </c>
      <c r="AP113" s="39"/>
      <c r="AQ113" s="72" t="str">
        <f t="shared" si="63"/>
        <v/>
      </c>
      <c r="AR113" s="72" t="str">
        <f t="shared" si="80"/>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64"/>
        <v/>
      </c>
      <c r="AW113" s="72" t="str">
        <f t="shared" si="81"/>
        <v/>
      </c>
      <c r="AX113" s="39"/>
      <c r="AY113" s="40" t="str">
        <f>IF(ISERROR(IF($K113&lt;=$F$15,VLOOKUP($I113,'表4）CO2価格'!$A$7:$E$67,VLOOKUP($F$48,'表4）CO2価格'!$H$10:$I$12,2,0),0)*$F$8/1000,"")),0,IF($K113&lt;=$F$15,VLOOKUP($I113,'表4）CO2価格'!$A$7:$E$67,VLOOKUP($F$48,'表4）CO2価格'!$H$10:$I$12,2,0),0)*$F$8/1000,""))</f>
        <v/>
      </c>
      <c r="AZ113" s="39"/>
      <c r="BA113" s="42" t="str">
        <f t="shared" si="65"/>
        <v/>
      </c>
      <c r="BB113" s="72" t="str">
        <f t="shared" si="82"/>
        <v/>
      </c>
      <c r="BC113" s="39"/>
      <c r="BD113" s="72" t="str">
        <f t="shared" si="66"/>
        <v/>
      </c>
      <c r="BE113" s="72" t="str">
        <f t="shared" si="83"/>
        <v/>
      </c>
      <c r="BF113" s="39"/>
      <c r="BG113" s="42" t="str">
        <f t="shared" si="67"/>
        <v/>
      </c>
      <c r="BH113" s="72" t="str">
        <f t="shared" si="84"/>
        <v/>
      </c>
      <c r="BI113" s="39"/>
      <c r="BJ113" s="40" t="str">
        <f t="shared" si="85"/>
        <v/>
      </c>
      <c r="BK113" s="157" t="str">
        <f t="shared" si="86"/>
        <v/>
      </c>
      <c r="BL113" s="157" t="str">
        <f t="shared" si="68"/>
        <v/>
      </c>
      <c r="BM113" s="72"/>
      <c r="BN113" s="72" t="str">
        <f t="shared" si="87"/>
        <v/>
      </c>
      <c r="BO113" s="72" t="str">
        <f t="shared" si="88"/>
        <v/>
      </c>
      <c r="BP113" s="39"/>
      <c r="BQ113" s="72" t="str">
        <f t="shared" si="69"/>
        <v/>
      </c>
      <c r="BR113" s="72" t="str">
        <f t="shared" si="89"/>
        <v/>
      </c>
    </row>
    <row r="114" spans="2:70" x14ac:dyDescent="0.15">
      <c r="I114" s="459">
        <f t="shared" si="90"/>
        <v>2119</v>
      </c>
      <c r="K114" s="71">
        <f t="shared" si="91"/>
        <v>100</v>
      </c>
      <c r="L114" s="71"/>
      <c r="M114" s="7">
        <f t="shared" si="54"/>
        <v>5.2032839850209185E-2</v>
      </c>
      <c r="N114" s="71"/>
      <c r="O114" s="10" t="str">
        <f t="shared" si="70"/>
        <v/>
      </c>
      <c r="P114" s="29" t="str">
        <f>IF(K114&lt;=$F$15,IF(OR(P113=$F$124,P113="-"),"-",IF(O114*$F$123&gt;$F$127,$F$123,$F$124)),"")</f>
        <v/>
      </c>
      <c r="Q114" s="71"/>
      <c r="R114" s="10" t="str">
        <f t="shared" si="71"/>
        <v/>
      </c>
      <c r="S114" s="71"/>
      <c r="T114" s="10" t="str">
        <f t="shared" si="72"/>
        <v/>
      </c>
      <c r="U114" s="71"/>
      <c r="V114" s="10" t="str">
        <f t="shared" si="56"/>
        <v/>
      </c>
      <c r="W114" s="10" t="str">
        <f t="shared" si="73"/>
        <v/>
      </c>
      <c r="X114" s="71"/>
      <c r="Y114" s="10" t="str">
        <f t="shared" si="57"/>
        <v/>
      </c>
      <c r="Z114" s="10" t="str">
        <f t="shared" si="74"/>
        <v/>
      </c>
      <c r="AA114" s="71"/>
      <c r="AB114" s="10" t="str">
        <f t="shared" si="58"/>
        <v/>
      </c>
      <c r="AC114" s="10" t="str">
        <f t="shared" si="75"/>
        <v/>
      </c>
      <c r="AD114" s="71"/>
      <c r="AE114" s="10" t="str">
        <f t="shared" si="59"/>
        <v/>
      </c>
      <c r="AF114" s="10" t="str">
        <f t="shared" si="76"/>
        <v/>
      </c>
      <c r="AG114" s="71"/>
      <c r="AH114" s="10" t="str">
        <f t="shared" si="60"/>
        <v/>
      </c>
      <c r="AI114" s="10" t="str">
        <f t="shared" si="77"/>
        <v/>
      </c>
      <c r="AJ114" s="71"/>
      <c r="AK114" s="10" t="str">
        <f t="shared" si="61"/>
        <v/>
      </c>
      <c r="AL114" s="10" t="str">
        <f t="shared" si="78"/>
        <v/>
      </c>
      <c r="AM114" s="71"/>
      <c r="AN114" s="10" t="str">
        <f t="shared" si="62"/>
        <v/>
      </c>
      <c r="AO114" s="10" t="str">
        <f t="shared" si="79"/>
        <v/>
      </c>
      <c r="AP114" s="71"/>
      <c r="AQ114" s="10" t="str">
        <f t="shared" si="63"/>
        <v/>
      </c>
      <c r="AR114" s="10" t="str">
        <f t="shared" si="80"/>
        <v/>
      </c>
      <c r="AS114" s="71"/>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U114" s="71"/>
      <c r="AV114" s="10" t="str">
        <f t="shared" si="64"/>
        <v/>
      </c>
      <c r="AW114" s="10" t="str">
        <f t="shared" si="81"/>
        <v/>
      </c>
      <c r="AX114" s="71"/>
      <c r="AY114" s="7" t="str">
        <f>IF(ISERROR(IF($K114&lt;=$F$15,VLOOKUP($I114,'表4）CO2価格'!$A$7:$E$67,VLOOKUP($F$48,'表4）CO2価格'!$H$10:$I$12,2,0),0)*$F$8/1000,"")),0,IF($K114&lt;=$F$15,VLOOKUP($I114,'表4）CO2価格'!$A$7:$E$67,VLOOKUP($F$48,'表4）CO2価格'!$H$10:$I$12,2,0),0)*$F$8/1000,""))</f>
        <v/>
      </c>
      <c r="AZ114" s="71"/>
      <c r="BA114" s="11" t="str">
        <f t="shared" si="65"/>
        <v/>
      </c>
      <c r="BB114" s="10" t="str">
        <f t="shared" si="82"/>
        <v/>
      </c>
      <c r="BC114" s="71"/>
      <c r="BD114" s="10" t="str">
        <f t="shared" si="66"/>
        <v/>
      </c>
      <c r="BE114" s="10" t="str">
        <f t="shared" si="83"/>
        <v/>
      </c>
      <c r="BF114" s="71"/>
      <c r="BG114" s="11" t="str">
        <f t="shared" si="67"/>
        <v/>
      </c>
      <c r="BH114" s="10" t="str">
        <f t="shared" si="84"/>
        <v/>
      </c>
      <c r="BJ114" s="7" t="str">
        <f t="shared" si="85"/>
        <v/>
      </c>
      <c r="BK114" s="158" t="str">
        <f t="shared" si="86"/>
        <v/>
      </c>
      <c r="BL114" s="158" t="str">
        <f t="shared" si="68"/>
        <v/>
      </c>
      <c r="BM114" s="10"/>
      <c r="BN114" s="10" t="str">
        <f t="shared" si="87"/>
        <v/>
      </c>
      <c r="BO114" s="10" t="str">
        <f t="shared" si="88"/>
        <v/>
      </c>
      <c r="BQ114" s="10" t="str">
        <f t="shared" si="69"/>
        <v/>
      </c>
      <c r="BR114" s="10" t="str">
        <f t="shared" si="89"/>
        <v/>
      </c>
    </row>
    <row r="115" spans="2:70" ht="15.75" thickBot="1" x14ac:dyDescent="0.2">
      <c r="B115" s="460" t="s">
        <v>515</v>
      </c>
      <c r="C115" s="86"/>
      <c r="D115" s="104"/>
      <c r="E115" s="104"/>
      <c r="F115" s="86"/>
      <c r="G115" s="104"/>
      <c r="I115" s="464"/>
      <c r="J115" s="89"/>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9" t="s">
        <v>516</v>
      </c>
      <c r="K116" s="71"/>
      <c r="L116" s="71"/>
      <c r="M116" s="71"/>
      <c r="N116" s="71"/>
      <c r="O116" s="71"/>
      <c r="P116" s="71"/>
      <c r="Q116" s="71"/>
      <c r="R116" s="71"/>
      <c r="S116" s="71"/>
      <c r="T116" s="71"/>
      <c r="U116" s="71"/>
      <c r="V116" s="71"/>
      <c r="W116" s="11"/>
      <c r="X116" s="71"/>
      <c r="Y116" s="71"/>
      <c r="Z116" s="11">
        <f>SUM(Z15:Z114)</f>
        <v>11767007174.731619</v>
      </c>
      <c r="AA116" s="71"/>
      <c r="AB116" s="71"/>
      <c r="AC116" s="11">
        <f>SUM(AC15:AC114)</f>
        <v>2061817975.2044146</v>
      </c>
      <c r="AD116" s="71"/>
      <c r="AE116" s="71"/>
      <c r="AF116" s="11">
        <f>SUM(AF15:AF114)</f>
        <v>0</v>
      </c>
      <c r="AG116" s="71"/>
      <c r="AH116" s="71"/>
      <c r="AI116" s="11">
        <f>SUM(AI15:AI114)</f>
        <v>14331158624.008007</v>
      </c>
      <c r="AJ116" s="71"/>
      <c r="AK116" s="71"/>
      <c r="AL116" s="11">
        <f>SUM(AL15:AL114)</f>
        <v>76861239768.631287</v>
      </c>
      <c r="AM116" s="71"/>
      <c r="AN116" s="71"/>
      <c r="AO116" s="11">
        <f>SUM(AO15:AO114)</f>
        <v>35228068227.289337</v>
      </c>
      <c r="AP116" s="71"/>
      <c r="AQ116" s="71"/>
      <c r="AR116" s="11">
        <f>SUM(AR15:AR114)</f>
        <v>15170455994.391434</v>
      </c>
      <c r="AS116" s="71"/>
      <c r="AT116" s="71"/>
      <c r="AU116" s="71"/>
      <c r="AV116" s="71"/>
      <c r="AW116" s="11">
        <f>SUM(AW15:AW114)</f>
        <v>759139000131.22681</v>
      </c>
      <c r="AX116" s="71"/>
      <c r="AY116" s="71"/>
      <c r="AZ116" s="71"/>
      <c r="BA116" s="71"/>
      <c r="BB116" s="11">
        <f>SUM(BB15:BB114)</f>
        <v>200895097080.62955</v>
      </c>
      <c r="BC116" s="71"/>
      <c r="BD116" s="71"/>
      <c r="BE116" s="11">
        <f>SUM(BE15:BE114)</f>
        <v>0</v>
      </c>
      <c r="BF116" s="71"/>
      <c r="BG116" s="71"/>
      <c r="BH116" s="11">
        <f>SUM(BH15:BH114)</f>
        <v>0</v>
      </c>
      <c r="BK116" s="11">
        <f>SUM(BK15:BK114)</f>
        <v>0</v>
      </c>
      <c r="BL116" s="11">
        <f>SUM(BL15:BL114)</f>
        <v>0</v>
      </c>
      <c r="BO116" s="11">
        <f>SUM(BO15:BO114)</f>
        <v>0</v>
      </c>
      <c r="BQ116" s="71"/>
      <c r="BR116" s="11">
        <f>SUM(BR15:BR114)</f>
        <v>117707801750.82782</v>
      </c>
    </row>
    <row r="117" spans="2:70" x14ac:dyDescent="0.15">
      <c r="C117" s="9" t="s">
        <v>529</v>
      </c>
      <c r="F117" s="44">
        <f>F21*10^4*F13*10^4+F29*10^8</f>
        <v>138550000000</v>
      </c>
      <c r="G117" s="81" t="s">
        <v>208</v>
      </c>
      <c r="I117" s="236" t="s">
        <v>145</v>
      </c>
      <c r="K117" s="71"/>
      <c r="L117" s="71"/>
      <c r="M117" s="71"/>
      <c r="N117" s="71"/>
      <c r="O117" s="71"/>
      <c r="P117" s="71"/>
      <c r="Q117" s="71"/>
      <c r="R117" s="71"/>
      <c r="S117" s="71"/>
      <c r="T117" s="71"/>
      <c r="U117" s="71"/>
      <c r="V117" s="71"/>
      <c r="W117" s="11"/>
      <c r="X117" s="71"/>
      <c r="Y117" s="71"/>
      <c r="Z117" s="11" t="str">
        <f ca="1">IF(ISNUMBER($F$16),SUM(INDIRECT(ADDRESS($F$16+15,COLUMN())):INDIRECT(ADDRESS(114,COLUMN()))),"")</f>
        <v/>
      </c>
      <c r="AA117" s="71"/>
      <c r="AB117" s="71"/>
      <c r="AC117" s="11" t="str">
        <f ca="1">IF(ISNUMBER($F$16),SUM(INDIRECT(ADDRESS($F$16+15,COLUMN())):INDIRECT(ADDRESS(114,COLUMN()))),"")</f>
        <v/>
      </c>
      <c r="AD117" s="71"/>
      <c r="AE117" s="71"/>
      <c r="AF117" s="11" t="str">
        <f ca="1">IF(ISNUMBER($F$16),SUM(INDIRECT(ADDRESS($F$16+15,COLUMN())):INDIRECT(ADDRESS(114,COLUMN()))),"")</f>
        <v/>
      </c>
      <c r="AG117" s="71"/>
      <c r="AH117" s="71"/>
      <c r="AI117" s="11" t="str">
        <f ca="1">IF(ISNUMBER($F$16),SUM(INDIRECT(ADDRESS($F$16+15,COLUMN())):INDIRECT(ADDRESS(114,COLUMN()))),"")</f>
        <v/>
      </c>
      <c r="AJ117" s="71"/>
      <c r="AK117" s="71"/>
      <c r="AL117" s="11" t="str">
        <f ca="1">IF(ISNUMBER($F$16),SUM(INDIRECT(ADDRESS($F$16+15,COLUMN())):INDIRECT(ADDRESS(114,COLUMN()))),"")</f>
        <v/>
      </c>
      <c r="AM117" s="71"/>
      <c r="AN117" s="71"/>
      <c r="AO117" s="11" t="str">
        <f ca="1">IF(ISNUMBER($F$16),SUM(INDIRECT(ADDRESS($F$16+15,COLUMN())):INDIRECT(ADDRESS(114,COLUMN()))),"")</f>
        <v/>
      </c>
      <c r="AP117" s="71"/>
      <c r="AQ117" s="71"/>
      <c r="AR117" s="11" t="str">
        <f ca="1">IF(ISNUMBER($F$16),SUM(INDIRECT(ADDRESS($F$16+15,COLUMN())):INDIRECT(ADDRESS(114,COLUMN()))),"")</f>
        <v/>
      </c>
      <c r="AS117" s="71"/>
      <c r="AT117" s="71"/>
      <c r="AU117" s="71"/>
      <c r="AV117" s="71"/>
      <c r="AW117" s="11" t="str">
        <f ca="1">IF(ISNUMBER($F$16),SUM(INDIRECT(ADDRESS($F$16+15,COLUMN())):INDIRECT(ADDRESS(114,COLUMN()))),"")</f>
        <v/>
      </c>
      <c r="AX117" s="71"/>
      <c r="AY117" s="71"/>
      <c r="AZ117" s="71"/>
      <c r="BA117" s="71"/>
      <c r="BB117" s="11" t="str">
        <f ca="1">IF(ISNUMBER($F$16),SUM(INDIRECT(ADDRESS($F$16+15,COLUMN())):INDIRECT(ADDRESS(114,COLUMN()))),"")</f>
        <v/>
      </c>
      <c r="BC117" s="71"/>
      <c r="BD117" s="71"/>
      <c r="BE117" s="11" t="str">
        <f ca="1">IF(ISNUMBER($F$16),SUM(INDIRECT(ADDRESS($F$16+15,COLUMN())):INDIRECT(ADDRESS(114,COLUMN()))),"")</f>
        <v/>
      </c>
      <c r="BF117" s="71"/>
      <c r="BG117" s="71"/>
      <c r="BH117" s="11" t="str">
        <f ca="1">IF(ISNUMBER($F$16),SUM(INDIRECT(ADDRESS($F$16+15,COLUMN())):INDIRECT(ADDRESS(114,COLUMN()))),"")</f>
        <v/>
      </c>
      <c r="BK117" s="11" t="str">
        <f ca="1">IF(ISNUMBER($F$16),SUM(INDIRECT(ADDRESS($F$16+15,COLUMN())):INDIRECT(ADDRESS(114,COLUMN()))),"")</f>
        <v/>
      </c>
      <c r="BL117" s="11" t="str">
        <f ca="1">IF(ISNUMBER($F$16),SUM(INDIRECT(ADDRESS($F$16+15,COLUMN())):INDIRECT(ADDRESS(114,COLUMN()))),"")</f>
        <v/>
      </c>
      <c r="BO117" s="11" t="str">
        <f ca="1">IF(ISNUMBER($F$16),SUM(INDIRECT(ADDRESS($F$16+15,COLUMN())):INDIRECT(ADDRESS(114,COLUMN()))),"")</f>
        <v/>
      </c>
      <c r="BQ117" s="71"/>
      <c r="BR117" s="11" t="str">
        <f ca="1">IF(ISNUMBER($F$16),SUM(INDIRECT(ADDRESS($F$16+15,COLUMN())):INDIRECT(ADDRESS(114,COLUMN()))),"")</f>
        <v/>
      </c>
    </row>
    <row r="119" spans="2:70" x14ac:dyDescent="0.15">
      <c r="C119" s="9" t="s">
        <v>521</v>
      </c>
      <c r="F119" s="44">
        <f>VLOOKUP(F3,'表2）法定耐用年数'!$A$2:$B$24,2,0)</f>
        <v>15</v>
      </c>
      <c r="G119" s="81" t="s">
        <v>108</v>
      </c>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Q119" s="71"/>
      <c r="BR119" s="71"/>
    </row>
    <row r="121" spans="2:70" x14ac:dyDescent="0.15">
      <c r="C121" s="89" t="s">
        <v>522</v>
      </c>
      <c r="D121" s="101"/>
      <c r="E121" s="101"/>
      <c r="F121" s="89"/>
      <c r="G121" s="10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Q121" s="71"/>
      <c r="BR121" s="71"/>
    </row>
    <row r="123" spans="2:70" x14ac:dyDescent="0.15">
      <c r="D123" s="81" t="s">
        <v>209</v>
      </c>
      <c r="F123" s="95">
        <f>VLOOKUP($F$119,'表1）減価償却率表'!$A$9:$E$107,3,0)</f>
        <v>0.16700000000000001</v>
      </c>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Q123" s="71"/>
      <c r="BR123" s="71"/>
    </row>
    <row r="124" spans="2:70" x14ac:dyDescent="0.15">
      <c r="D124" s="81" t="s">
        <v>210</v>
      </c>
      <c r="F124" s="95">
        <f>VLOOKUP($F$119,'表1）減価償却率表'!$A$9:$E$107,4,0)</f>
        <v>0.2</v>
      </c>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Q124" s="71"/>
      <c r="BR124" s="71"/>
    </row>
    <row r="125" spans="2:70" x14ac:dyDescent="0.15">
      <c r="D125" s="81" t="s">
        <v>211</v>
      </c>
      <c r="F125" s="88">
        <f>VLOOKUP($F$119,'表1）減価償却率表'!$A$9:$E$107,5,0)</f>
        <v>3.2169999999999997E-2</v>
      </c>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Q125" s="71"/>
      <c r="BR125" s="71"/>
    </row>
    <row r="126" spans="2:70" x14ac:dyDescent="0.15">
      <c r="F126" s="96"/>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Q126" s="71"/>
      <c r="BR126" s="71"/>
    </row>
    <row r="127" spans="2:70" x14ac:dyDescent="0.15">
      <c r="C127" s="111" t="s">
        <v>523</v>
      </c>
      <c r="D127" s="85"/>
      <c r="E127" s="114"/>
      <c r="F127" s="44">
        <f>F117*F125</f>
        <v>4457153500</v>
      </c>
      <c r="G127" s="81" t="s">
        <v>208</v>
      </c>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Q127" s="71"/>
      <c r="BR127" s="71"/>
    </row>
    <row r="129" spans="3:7" x14ac:dyDescent="0.15">
      <c r="C129" s="111" t="s">
        <v>152</v>
      </c>
      <c r="D129" s="85"/>
      <c r="E129" s="85"/>
      <c r="F129" s="95">
        <f>0.1^(1/F119)</f>
        <v>0.85769589859089412</v>
      </c>
      <c r="G129" s="85"/>
    </row>
    <row r="131" spans="3:7" x14ac:dyDescent="0.15">
      <c r="C131" s="89" t="s">
        <v>524</v>
      </c>
      <c r="D131" s="101"/>
      <c r="E131" s="101"/>
      <c r="F131" s="89"/>
      <c r="G131" s="101"/>
    </row>
    <row r="133" spans="3:7" x14ac:dyDescent="0.15">
      <c r="D133" s="81" t="s">
        <v>212</v>
      </c>
      <c r="F133" s="44">
        <f>F13*10000*24*365*F14/100</f>
        <v>5212200000</v>
      </c>
      <c r="G133" s="81" t="s">
        <v>213</v>
      </c>
    </row>
    <row r="134" spans="3:7" x14ac:dyDescent="0.15">
      <c r="D134" s="81" t="s">
        <v>214</v>
      </c>
      <c r="F134" s="44">
        <f>F133*(1-F24/100)</f>
        <v>5092319400</v>
      </c>
      <c r="G134" s="81" t="s">
        <v>213</v>
      </c>
    </row>
    <row r="135" spans="3:7" x14ac:dyDescent="0.15">
      <c r="F135" s="97"/>
    </row>
    <row r="137" spans="3:7" ht="16.5" x14ac:dyDescent="0.15">
      <c r="C137" s="9" t="s">
        <v>525</v>
      </c>
      <c r="F137" s="44">
        <f>IF(ISERROR(F133*3.6/(F23/100)/F22),0,F133*3.6/(F23/100)/F22)</f>
        <v>629418848.43097448</v>
      </c>
      <c r="G137" s="9" t="s">
        <v>370</v>
      </c>
    </row>
    <row r="139" spans="3:7" x14ac:dyDescent="0.15">
      <c r="C139" s="89" t="s">
        <v>526</v>
      </c>
      <c r="D139" s="101"/>
      <c r="E139" s="101"/>
      <c r="F139" s="89"/>
      <c r="G139" s="101"/>
    </row>
    <row r="141" spans="3:7" x14ac:dyDescent="0.15">
      <c r="D141" s="81" t="s">
        <v>215</v>
      </c>
      <c r="F141" s="98">
        <f>IF(OR(F3="石炭火力",F3= "LNG火力", F3="ガスコジェネ",F3="バイオマス（石炭混焼）",F3="バイオマス（木質専焼）",F3="燃料電池"),IF($F$43="需要地価格","",1000),IF(OR(F3="石油火力",F3="石油コジェネ"),IF($F$43="需要地価格","",158.987294928),""))</f>
        <v>1000</v>
      </c>
      <c r="G141" s="81" t="s">
        <v>216</v>
      </c>
    </row>
    <row r="142" spans="3:7" x14ac:dyDescent="0.15">
      <c r="D142" s="81" t="s">
        <v>180</v>
      </c>
      <c r="F142" s="91">
        <f>IF(ISERROR(F42/1000),0,F42/1000)</f>
        <v>2.8</v>
      </c>
      <c r="G142" s="81" t="s">
        <v>217</v>
      </c>
    </row>
    <row r="145" spans="3:7" x14ac:dyDescent="0.15">
      <c r="C145" s="9" t="s">
        <v>368</v>
      </c>
      <c r="F145" s="98">
        <f>IF(ISERROR(F133*(F47*3.6/(F23/100)/1000*(44/12))),0,F133*(F47*3.6/(F23/100)/1000*(44/12)))</f>
        <v>1750954907.8899078</v>
      </c>
      <c r="G145" s="81" t="s">
        <v>218</v>
      </c>
    </row>
    <row r="147" spans="3:7" x14ac:dyDescent="0.15">
      <c r="C147" s="89" t="s">
        <v>369</v>
      </c>
      <c r="D147" s="101"/>
      <c r="E147" s="101"/>
      <c r="F147" s="89"/>
      <c r="G147" s="101"/>
    </row>
    <row r="149" spans="3:7" x14ac:dyDescent="0.15">
      <c r="D149" s="81" t="s">
        <v>219</v>
      </c>
      <c r="F149" s="98">
        <f>IF(ISERROR(F52/F23),0,F52/F23)</f>
        <v>0</v>
      </c>
    </row>
    <row r="150" spans="3:7" x14ac:dyDescent="0.15">
      <c r="D150" s="81" t="s">
        <v>220</v>
      </c>
      <c r="F150" s="98">
        <f>F133*F149*(F53/100)*3.6</f>
        <v>0</v>
      </c>
      <c r="G150" s="81" t="s">
        <v>221</v>
      </c>
    </row>
    <row r="151" spans="3:7" ht="16.5" x14ac:dyDescent="0.15">
      <c r="D151" s="81" t="s">
        <v>222</v>
      </c>
      <c r="F151" s="44">
        <f>IF(ISERROR(F150/(F54/100)/F55),0,F150/(F54/100)/F55)</f>
        <v>0</v>
      </c>
      <c r="G151" s="9" t="s">
        <v>370</v>
      </c>
    </row>
    <row r="152" spans="3:7" x14ac:dyDescent="0.15">
      <c r="D152" s="81" t="s">
        <v>223</v>
      </c>
      <c r="F152" s="146">
        <f>IF(ISERROR(F56/1000),0,F56/1000)</f>
        <v>0</v>
      </c>
      <c r="G152" s="81" t="s">
        <v>217</v>
      </c>
    </row>
    <row r="153" spans="3:7" x14ac:dyDescent="0.15">
      <c r="D153" s="81" t="s">
        <v>224</v>
      </c>
      <c r="F153" s="98">
        <f>IF(ISERROR(F150*F47/1000*(44/12)/(F54/100)),0,F150*F47/1000*(44/12)/(F54/100))</f>
        <v>0</v>
      </c>
      <c r="G153" s="81" t="s">
        <v>218</v>
      </c>
    </row>
  </sheetData>
  <mergeCells count="48">
    <mergeCell ref="F3:G3"/>
    <mergeCell ref="AR12:AR13"/>
    <mergeCell ref="AW12:AW13"/>
    <mergeCell ref="BB12:BB13"/>
    <mergeCell ref="BE12:BE13"/>
    <mergeCell ref="AE9:AF10"/>
    <mergeCell ref="AH9:AI10"/>
    <mergeCell ref="AK9:AL10"/>
    <mergeCell ref="I9:I10"/>
    <mergeCell ref="K9:K10"/>
    <mergeCell ref="M9:M10"/>
    <mergeCell ref="O9:P10"/>
    <mergeCell ref="R9:R10"/>
    <mergeCell ref="T9:T10"/>
    <mergeCell ref="V7:AF7"/>
    <mergeCell ref="AH7:AR7"/>
    <mergeCell ref="BH12:BH13"/>
    <mergeCell ref="AO12:AO13"/>
    <mergeCell ref="AN9:AO10"/>
    <mergeCell ref="AQ9:AR10"/>
    <mergeCell ref="AT9:AT10"/>
    <mergeCell ref="BR12:BR13"/>
    <mergeCell ref="BD9:BE10"/>
    <mergeCell ref="BG9:BH10"/>
    <mergeCell ref="P12:P13"/>
    <mergeCell ref="W12:W13"/>
    <mergeCell ref="Z12:Z13"/>
    <mergeCell ref="AC12:AC13"/>
    <mergeCell ref="AF12:AF13"/>
    <mergeCell ref="AI12:AI13"/>
    <mergeCell ref="AL12:AL13"/>
    <mergeCell ref="AV9:AW10"/>
    <mergeCell ref="AY9:AY10"/>
    <mergeCell ref="BA9:BB10"/>
    <mergeCell ref="V9:W10"/>
    <mergeCell ref="Y9:Z10"/>
    <mergeCell ref="AB9:AC10"/>
    <mergeCell ref="AT7:AW7"/>
    <mergeCell ref="AY7:BB7"/>
    <mergeCell ref="BD7:BH7"/>
    <mergeCell ref="BQ7:BR7"/>
    <mergeCell ref="BJ7:BO7"/>
    <mergeCell ref="BJ12:BJ13"/>
    <mergeCell ref="BL12:BL13"/>
    <mergeCell ref="BJ9:BL10"/>
    <mergeCell ref="BN9:BO10"/>
    <mergeCell ref="BK12:BK13"/>
    <mergeCell ref="BO12:BO13"/>
  </mergeCells>
  <phoneticPr fontId="15"/>
  <dataValidations count="4">
    <dataValidation type="list" allowBlank="1" showDropDown="1" showInputMessage="1" showErrorMessage="1" sqref="F48 F41" xr:uid="{00000000-0002-0000-0500-000000000000}">
      <formula1>"現行政策シナリオ, 新政策シナリオ"</formula1>
    </dataValidation>
    <dataValidation type="whole" allowBlank="1" showInputMessage="1" showErrorMessage="1" sqref="F7" xr:uid="{00000000-0002-0000-0500-000001000000}">
      <formula1>2010</formula1>
      <formula2>2030</formula2>
    </dataValidation>
    <dataValidation type="list" allowBlank="1" showDropDown="1" showInputMessage="1" showErrorMessage="1" sqref="F43" xr:uid="{00000000-0002-0000-0500-000002000000}">
      <formula1>"CIF価格, 需要地価格"</formula1>
    </dataValidation>
    <dataValidation type="list" allowBlank="1" showDropDown="1" showInputMessage="1" showErrorMessage="1" sqref="F3:G3" xr:uid="{00000000-0002-0000-0500-000003000000}">
      <formula1>"原子力,石炭火力,LNG火力,石油火力,一般水力,太陽光（メガソーラー）,太陽光（住宅）,風力（陸上）,風力（洋上）,小水力,地熱,バイオマス（石炭混焼）,バイオマス（木質専焼）,ガスコジェネ,石油コジェネ,燃料電池"</formula1>
    </dataValidation>
  </dataValidations>
  <pageMargins left="0.59055118110236227" right="0.59055118110236227" top="0.59055118110236227" bottom="0.59055118110236227" header="0.31496062992125984" footer="0.31496062992125984"/>
  <pageSetup paperSize="8" scale="2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R216"/>
  <sheetViews>
    <sheetView showGridLines="0" zoomScale="85" zoomScaleNormal="85" workbookViewId="0">
      <pane xSplit="10" ySplit="14" topLeftCell="AL111" activePane="bottomRight" state="frozen"/>
      <selection pane="topRight" activeCell="AF12" sqref="AF12:AF13"/>
      <selection pane="bottomLeft" activeCell="AF12" sqref="AF12:AF13"/>
      <selection pane="bottomRight" sqref="A1:I1048576"/>
    </sheetView>
  </sheetViews>
  <sheetFormatPr defaultColWidth="9" defaultRowHeight="14.25" outlineLevelCol="1" x14ac:dyDescent="0.15"/>
  <cols>
    <col min="1" max="3" width="6.25" style="9" customWidth="1"/>
    <col min="4" max="4" width="6.25" style="81" customWidth="1"/>
    <col min="5" max="5" width="24.375" style="81" customWidth="1"/>
    <col min="6" max="6" width="18.75" style="9" customWidth="1"/>
    <col min="7" max="7" width="24.375" style="81" bestFit="1" customWidth="1"/>
    <col min="8" max="8" width="9" style="9"/>
    <col min="9" max="9" width="6.25" style="9" customWidth="1"/>
    <col min="10" max="10" width="3" style="2" customWidth="1"/>
    <col min="11" max="11" width="6.25" style="2" customWidth="1"/>
    <col min="12" max="12" width="3" style="2" customWidth="1"/>
    <col min="13" max="13" width="6.25" style="2" customWidth="1"/>
    <col min="14" max="14" width="3" style="2" customWidth="1"/>
    <col min="15" max="15" width="17.375" style="2" bestFit="1" customWidth="1"/>
    <col min="16" max="16" width="8.625" style="2" customWidth="1"/>
    <col min="17" max="17" width="3" style="2" customWidth="1"/>
    <col min="18" max="18" width="17.375" style="2" bestFit="1" customWidth="1"/>
    <col min="19" max="19" width="3" style="2" customWidth="1"/>
    <col min="20" max="20" width="17.375" style="2" bestFit="1" customWidth="1"/>
    <col min="21" max="21" width="3" style="2" customWidth="1"/>
    <col min="22" max="22" width="15" style="2" customWidth="1" outlineLevel="1"/>
    <col min="23" max="23" width="17.375" style="2" bestFit="1" customWidth="1"/>
    <col min="24" max="24" width="3" style="2" customWidth="1"/>
    <col min="25" max="25" width="15" style="2" customWidth="1" outlineLevel="1"/>
    <col min="26" max="26" width="15" style="2" customWidth="1"/>
    <col min="27" max="27" width="3" style="2" customWidth="1"/>
    <col min="28" max="28" width="15" style="2" customWidth="1" outlineLevel="1"/>
    <col min="29" max="29" width="15" style="2" customWidth="1"/>
    <col min="30" max="30" width="3" style="2" customWidth="1"/>
    <col min="31" max="31" width="15" style="2" customWidth="1" outlineLevel="1"/>
    <col min="32" max="32" width="15" style="2" customWidth="1"/>
    <col min="33" max="33" width="3" style="2" customWidth="1"/>
    <col min="34" max="34" width="14.875" style="2" customWidth="1" outlineLevel="1"/>
    <col min="35" max="35" width="15" style="2" customWidth="1"/>
    <col min="36" max="36" width="3" style="2" customWidth="1"/>
    <col min="37" max="37" width="15" style="2" customWidth="1" outlineLevel="1"/>
    <col min="38" max="38" width="15" style="2" customWidth="1"/>
    <col min="39" max="39" width="3" style="2" customWidth="1"/>
    <col min="40" max="40" width="15" style="2" customWidth="1" outlineLevel="1"/>
    <col min="41" max="41" width="15" style="2" customWidth="1"/>
    <col min="42" max="42" width="3" style="2" customWidth="1"/>
    <col min="43" max="43" width="15" style="2" customWidth="1" outlineLevel="1"/>
    <col min="44" max="44" width="15" style="2" customWidth="1"/>
    <col min="45" max="45" width="3" style="2" customWidth="1"/>
    <col min="46" max="46" width="10.75" style="2" bestFit="1" customWidth="1"/>
    <col min="47" max="47" width="3" style="2" customWidth="1"/>
    <col min="48" max="48" width="15" style="2" customWidth="1" outlineLevel="1"/>
    <col min="49" max="49" width="17.375" style="2" bestFit="1" customWidth="1"/>
    <col min="50" max="50" width="3" style="2" customWidth="1"/>
    <col min="51" max="51" width="9.625" style="2" bestFit="1" customWidth="1"/>
    <col min="52" max="52" width="3" style="2" customWidth="1"/>
    <col min="53" max="53" width="15" style="2" customWidth="1" outlineLevel="1"/>
    <col min="54" max="54" width="17.375" style="2" bestFit="1" customWidth="1"/>
    <col min="55" max="55" width="3" style="2" customWidth="1"/>
    <col min="56" max="56" width="19.25" style="2" customWidth="1" outlineLevel="1"/>
    <col min="57" max="57" width="19.25" style="2" bestFit="1" customWidth="1"/>
    <col min="58" max="58" width="3" style="2" customWidth="1"/>
    <col min="59" max="59" width="19.25" style="2" customWidth="1" outlineLevel="1"/>
    <col min="60" max="60" width="19.25" style="2"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2" customWidth="1" outlineLevel="1"/>
    <col min="70" max="70" width="17.375" style="2" bestFit="1" customWidth="1"/>
    <col min="71" max="16384" width="9" style="2"/>
  </cols>
  <sheetData>
    <row r="1" spans="1:70" ht="18.75" x14ac:dyDescent="0.15">
      <c r="A1" s="465" t="s">
        <v>60</v>
      </c>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Q1" s="71"/>
      <c r="BR1" s="71"/>
    </row>
    <row r="3" spans="1:70" ht="23.25" x14ac:dyDescent="0.15">
      <c r="B3" s="462" t="s">
        <v>517</v>
      </c>
      <c r="F3" s="724" t="s">
        <v>533</v>
      </c>
      <c r="G3" s="725"/>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Q3" s="71"/>
      <c r="BR3" s="71"/>
    </row>
    <row r="4" spans="1:70" x14ac:dyDescent="0.15">
      <c r="G4" s="112"/>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Q4" s="71"/>
      <c r="BR4" s="71"/>
    </row>
    <row r="5" spans="1:70" ht="15.75" thickBot="1" x14ac:dyDescent="0.2">
      <c r="B5" s="460" t="s">
        <v>518</v>
      </c>
      <c r="C5" s="86"/>
      <c r="D5" s="104"/>
      <c r="E5" s="104"/>
      <c r="F5" s="86"/>
      <c r="G5" s="104"/>
      <c r="I5" s="460" t="s">
        <v>531</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111"/>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9" t="s">
        <v>65</v>
      </c>
      <c r="F7" s="87">
        <v>2030</v>
      </c>
      <c r="I7" s="111"/>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9" t="s">
        <v>519</v>
      </c>
      <c r="F8" s="88">
        <f>まとめ!B3</f>
        <v>107</v>
      </c>
      <c r="G8" s="81" t="s">
        <v>171</v>
      </c>
      <c r="I8" s="111"/>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9" t="s">
        <v>520</v>
      </c>
      <c r="F9" s="88">
        <f>まとめ!B2</f>
        <v>3</v>
      </c>
      <c r="G9" s="81" t="s">
        <v>172</v>
      </c>
      <c r="I9" s="726" t="s">
        <v>532</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07" t="s">
        <v>118</v>
      </c>
      <c r="AI9" s="707"/>
      <c r="AJ9" s="8"/>
      <c r="AK9" s="707" t="s">
        <v>89</v>
      </c>
      <c r="AL9" s="707"/>
      <c r="AM9" s="8"/>
      <c r="AN9" s="707" t="s">
        <v>90</v>
      </c>
      <c r="AO9" s="707"/>
      <c r="AP9" s="8"/>
      <c r="AQ9" s="707" t="s">
        <v>91</v>
      </c>
      <c r="AR9" s="707"/>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I10" s="727"/>
      <c r="J10" s="71"/>
      <c r="K10" s="708"/>
      <c r="L10" s="71"/>
      <c r="M10" s="708"/>
      <c r="N10" s="71"/>
      <c r="O10" s="717"/>
      <c r="P10" s="717"/>
      <c r="Q10" s="71"/>
      <c r="R10" s="708"/>
      <c r="S10" s="71"/>
      <c r="T10" s="708"/>
      <c r="U10" s="71"/>
      <c r="V10" s="717"/>
      <c r="W10" s="717"/>
      <c r="X10" s="71"/>
      <c r="Y10" s="717"/>
      <c r="Z10" s="717"/>
      <c r="AA10" s="71"/>
      <c r="AB10" s="723"/>
      <c r="AC10" s="723"/>
      <c r="AD10" s="81"/>
      <c r="AE10" s="723"/>
      <c r="AF10" s="723"/>
      <c r="AG10" s="71"/>
      <c r="AH10" s="717"/>
      <c r="AI10" s="717"/>
      <c r="AJ10" s="71"/>
      <c r="AK10" s="717"/>
      <c r="AL10" s="717"/>
      <c r="AM10" s="71"/>
      <c r="AN10" s="717"/>
      <c r="AO10" s="717"/>
      <c r="AP10" s="71"/>
      <c r="AQ10" s="717"/>
      <c r="AR10" s="717"/>
      <c r="AS10" s="71"/>
      <c r="AT10" s="717"/>
      <c r="AU10" s="71"/>
      <c r="AV10" s="717"/>
      <c r="AW10" s="717"/>
      <c r="AX10" s="322"/>
      <c r="AY10" s="708"/>
      <c r="AZ10" s="71"/>
      <c r="BA10" s="708"/>
      <c r="BB10" s="708"/>
      <c r="BC10" s="71"/>
      <c r="BD10" s="717"/>
      <c r="BE10" s="717"/>
      <c r="BF10" s="71"/>
      <c r="BG10" s="717"/>
      <c r="BH10" s="717"/>
      <c r="BJ10" s="708"/>
      <c r="BK10" s="708"/>
      <c r="BL10" s="708"/>
      <c r="BM10" s="322"/>
      <c r="BN10" s="717"/>
      <c r="BO10" s="717"/>
      <c r="BQ10" s="322"/>
      <c r="BR10" s="322"/>
    </row>
    <row r="11" spans="1:70" ht="15.75" customHeight="1" thickBot="1" x14ac:dyDescent="0.2">
      <c r="B11" s="460" t="s">
        <v>95</v>
      </c>
      <c r="C11" s="86"/>
      <c r="D11" s="104"/>
      <c r="E11" s="104"/>
      <c r="F11" s="86"/>
      <c r="G11" s="104"/>
      <c r="J11" s="71"/>
      <c r="K11" s="71"/>
      <c r="L11" s="71"/>
      <c r="M11" s="71"/>
      <c r="N11" s="71"/>
      <c r="O11" s="322" t="s">
        <v>96</v>
      </c>
      <c r="P11" s="322"/>
      <c r="Q11" s="322"/>
      <c r="R11" s="322" t="s">
        <v>96</v>
      </c>
      <c r="S11" s="322"/>
      <c r="T11" s="322"/>
      <c r="U11" s="71"/>
      <c r="V11" s="322"/>
      <c r="W11" s="322"/>
      <c r="X11" s="71"/>
      <c r="Y11" s="322"/>
      <c r="Z11" s="322"/>
      <c r="AA11" s="71"/>
      <c r="AB11" s="322"/>
      <c r="AC11" s="322"/>
      <c r="AD11" s="71"/>
      <c r="AE11" s="322"/>
      <c r="AF11" s="322"/>
      <c r="AG11" s="71"/>
      <c r="AH11" s="322"/>
      <c r="AI11" s="322"/>
      <c r="AJ11" s="71"/>
      <c r="AK11" s="322"/>
      <c r="AL11" s="322"/>
      <c r="AM11" s="71"/>
      <c r="AN11" s="322"/>
      <c r="AO11" s="322"/>
      <c r="AP11" s="71"/>
      <c r="AQ11" s="322"/>
      <c r="AR11" s="322"/>
      <c r="AS11" s="71"/>
      <c r="AT11" s="322"/>
      <c r="AU11" s="71"/>
      <c r="AV11" s="322"/>
      <c r="AW11" s="322"/>
      <c r="AX11" s="322"/>
      <c r="AY11" s="71"/>
      <c r="AZ11" s="71"/>
      <c r="BA11" s="71"/>
      <c r="BB11" s="322"/>
      <c r="BC11" s="71"/>
      <c r="BD11" s="322"/>
      <c r="BE11" s="322"/>
      <c r="BF11" s="71"/>
      <c r="BG11" s="322"/>
      <c r="BH11" s="322"/>
      <c r="BJ11" s="156"/>
      <c r="BM11" s="322"/>
      <c r="BN11" s="322"/>
      <c r="BO11" s="322"/>
      <c r="BQ11" s="322"/>
      <c r="BR11" s="322"/>
    </row>
    <row r="12" spans="1:70" ht="14.25" customHeight="1" x14ac:dyDescent="0.15">
      <c r="J12" s="71"/>
      <c r="K12" s="71"/>
      <c r="L12" s="71"/>
      <c r="M12" s="71"/>
      <c r="N12" s="71"/>
      <c r="O12" s="322"/>
      <c r="P12" s="707" t="s">
        <v>97</v>
      </c>
      <c r="Q12" s="71"/>
      <c r="R12" s="71"/>
      <c r="S12" s="71"/>
      <c r="T12" s="71"/>
      <c r="U12" s="71"/>
      <c r="V12" s="71"/>
      <c r="W12" s="707" t="s">
        <v>98</v>
      </c>
      <c r="X12" s="71"/>
      <c r="Y12" s="71"/>
      <c r="Z12" s="707" t="s">
        <v>98</v>
      </c>
      <c r="AA12" s="71"/>
      <c r="AB12" s="71"/>
      <c r="AC12" s="707" t="s">
        <v>98</v>
      </c>
      <c r="AD12" s="71"/>
      <c r="AE12" s="71"/>
      <c r="AF12" s="707" t="s">
        <v>98</v>
      </c>
      <c r="AG12" s="71"/>
      <c r="AH12" s="71"/>
      <c r="AI12" s="707" t="s">
        <v>98</v>
      </c>
      <c r="AJ12" s="71"/>
      <c r="AK12" s="71"/>
      <c r="AL12" s="707" t="s">
        <v>98</v>
      </c>
      <c r="AM12" s="71"/>
      <c r="AN12" s="71"/>
      <c r="AO12" s="707" t="s">
        <v>98</v>
      </c>
      <c r="AP12" s="71"/>
      <c r="AQ12" s="71"/>
      <c r="AR12" s="707" t="s">
        <v>98</v>
      </c>
      <c r="AS12" s="71"/>
      <c r="AT12" s="71"/>
      <c r="AU12" s="71"/>
      <c r="AV12" s="71"/>
      <c r="AW12" s="707" t="s">
        <v>98</v>
      </c>
      <c r="AX12" s="71"/>
      <c r="AY12" s="71"/>
      <c r="AZ12" s="71"/>
      <c r="BA12" s="71"/>
      <c r="BB12" s="707" t="s">
        <v>98</v>
      </c>
      <c r="BC12" s="71"/>
      <c r="BD12" s="71"/>
      <c r="BE12" s="707" t="s">
        <v>98</v>
      </c>
      <c r="BF12" s="71"/>
      <c r="BG12" s="71"/>
      <c r="BH12" s="707" t="s">
        <v>98</v>
      </c>
      <c r="BJ12" s="709" t="s">
        <v>99</v>
      </c>
      <c r="BK12" s="709" t="s">
        <v>100</v>
      </c>
      <c r="BL12" s="709" t="s">
        <v>101</v>
      </c>
      <c r="BO12" s="709" t="s">
        <v>102</v>
      </c>
      <c r="BQ12" s="71"/>
      <c r="BR12" s="707" t="s">
        <v>103</v>
      </c>
    </row>
    <row r="13" spans="1:70" ht="14.25" customHeight="1" x14ac:dyDescent="0.15">
      <c r="C13" s="9" t="s">
        <v>504</v>
      </c>
      <c r="F13" s="66">
        <v>85</v>
      </c>
      <c r="G13" s="81" t="s">
        <v>173</v>
      </c>
      <c r="J13" s="71"/>
      <c r="K13" s="71"/>
      <c r="L13" s="71"/>
      <c r="M13" s="71"/>
      <c r="N13" s="71"/>
      <c r="O13" s="322"/>
      <c r="P13" s="708"/>
      <c r="Q13" s="322"/>
      <c r="R13" s="322"/>
      <c r="S13" s="322"/>
      <c r="T13" s="322"/>
      <c r="U13" s="71"/>
      <c r="V13" s="322"/>
      <c r="W13" s="708"/>
      <c r="X13" s="71"/>
      <c r="Y13" s="322"/>
      <c r="Z13" s="708"/>
      <c r="AA13" s="71"/>
      <c r="AB13" s="322"/>
      <c r="AC13" s="708"/>
      <c r="AD13" s="71"/>
      <c r="AE13" s="322"/>
      <c r="AF13" s="708"/>
      <c r="AG13" s="71"/>
      <c r="AH13" s="322"/>
      <c r="AI13" s="708"/>
      <c r="AJ13" s="71"/>
      <c r="AK13" s="322"/>
      <c r="AL13" s="708"/>
      <c r="AM13" s="71"/>
      <c r="AN13" s="322"/>
      <c r="AO13" s="708"/>
      <c r="AP13" s="71"/>
      <c r="AQ13" s="322"/>
      <c r="AR13" s="708"/>
      <c r="AS13" s="71"/>
      <c r="AT13" s="322"/>
      <c r="AU13" s="71"/>
      <c r="AV13" s="322"/>
      <c r="AW13" s="708"/>
      <c r="AX13" s="71"/>
      <c r="AY13" s="71"/>
      <c r="AZ13" s="71"/>
      <c r="BA13" s="71"/>
      <c r="BB13" s="708"/>
      <c r="BC13" s="71"/>
      <c r="BD13" s="322"/>
      <c r="BE13" s="708"/>
      <c r="BF13" s="71"/>
      <c r="BG13" s="322"/>
      <c r="BH13" s="708"/>
      <c r="BJ13" s="712"/>
      <c r="BK13" s="710"/>
      <c r="BL13" s="708"/>
      <c r="BM13" s="322"/>
      <c r="BO13" s="708"/>
      <c r="BQ13" s="322"/>
      <c r="BR13" s="708"/>
    </row>
    <row r="14" spans="1:70" ht="16.5" x14ac:dyDescent="0.15">
      <c r="C14" s="9" t="s">
        <v>505</v>
      </c>
      <c r="F14" s="88">
        <f>VLOOKUP(F3&amp;IF(G4&lt;&gt;"","_"&amp;G4,""),まとめ!$A$12:$G$34,IF(F7=2030,4,IF(F7=2020,3,IF(F7=2014,2,"-"))),0)</f>
        <v>70</v>
      </c>
      <c r="G14" s="81" t="s">
        <v>172</v>
      </c>
      <c r="J14" s="71"/>
      <c r="K14" s="71"/>
      <c r="L14" s="71"/>
      <c r="M14" s="71"/>
      <c r="N14" s="71"/>
      <c r="O14" s="322"/>
      <c r="P14" s="322"/>
      <c r="Q14" s="322"/>
      <c r="R14" s="322"/>
      <c r="S14" s="322"/>
      <c r="T14" s="322"/>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50" t="s">
        <v>104</v>
      </c>
      <c r="AU14" s="71"/>
      <c r="AV14" s="71"/>
      <c r="AW14" s="71"/>
      <c r="AX14" s="71"/>
      <c r="AY14" s="71" t="s">
        <v>105</v>
      </c>
      <c r="AZ14" s="71"/>
      <c r="BA14" s="71"/>
      <c r="BB14" s="71"/>
      <c r="BC14" s="71"/>
      <c r="BD14" s="71"/>
      <c r="BE14" s="71"/>
      <c r="BF14" s="71"/>
      <c r="BG14" s="71"/>
      <c r="BH14" s="71"/>
      <c r="BQ14" s="71"/>
      <c r="BR14" s="71"/>
    </row>
    <row r="15" spans="1:70" x14ac:dyDescent="0.15">
      <c r="C15" s="9" t="s">
        <v>506</v>
      </c>
      <c r="F15" s="88">
        <f>VLOOKUP(F3&amp;IF(G4&lt;&gt;"","_"&amp;G4,""),まとめ!$A$12:$G$34,IF(F7=2030,7,IF(F7=2020,6,IF(F7=2014,5,"-"))),0)</f>
        <v>40</v>
      </c>
      <c r="G15" s="81" t="s">
        <v>108</v>
      </c>
      <c r="I15" s="458">
        <f>F7</f>
        <v>2030</v>
      </c>
      <c r="J15" s="39"/>
      <c r="K15" s="39">
        <f>IF(I15&lt;&gt;"",1,"")</f>
        <v>1</v>
      </c>
      <c r="L15" s="39"/>
      <c r="M15" s="40">
        <f t="shared" ref="M15:M46" si="0">1/(1+($F$9/100))^K15</f>
        <v>0.970873786407767</v>
      </c>
      <c r="N15" s="39"/>
      <c r="O15" s="72">
        <f>F117</f>
        <v>138550000000</v>
      </c>
      <c r="P15" s="41">
        <f t="shared" ref="P15:P46" si="1">IF(K15&lt;=$F$15,IF(OR(P14=$F$124,P14="-"),"-",IF(O15*$F$123&gt;$F$127,$F$123,$F$124)),"")</f>
        <v>0.16700000000000001</v>
      </c>
      <c r="Q15" s="39"/>
      <c r="R15" s="72">
        <f>F117</f>
        <v>138550000000</v>
      </c>
      <c r="S15" s="39"/>
      <c r="T15" s="72">
        <f>IF(ISNUMBER(R15),ROUNDDOWN(R15,-3),"")</f>
        <v>138550000000</v>
      </c>
      <c r="U15" s="39"/>
      <c r="V15" s="72">
        <f t="shared" ref="V15:V46" si="2">IF(K15&lt;=$F$15,IF(K15&lt;$F$119,IF(P15="-",V14,O15*P15),IF(K15=$F$119,MIN(IF(P15="-",V14,O15*P15),O15),0)),"")</f>
        <v>23137850000</v>
      </c>
      <c r="W15" s="72">
        <f>IF(ISNUMBER(V15),V15*$M15,"")</f>
        <v>22463932038.834953</v>
      </c>
      <c r="X15" s="39"/>
      <c r="Y15" s="72">
        <f t="shared" ref="Y15:Y46" si="3">IF($K15&lt;=$F$15,ROUNDDOWN(T15*$F$25/100,-2),"")</f>
        <v>1939700000</v>
      </c>
      <c r="Z15" s="72">
        <f>IF(ISNUMBER(Y15),Y15*$M15,"")</f>
        <v>1883203883.4951456</v>
      </c>
      <c r="AA15" s="39"/>
      <c r="AB15" s="72">
        <f t="shared" ref="AB15:AB78" si="4">IF($K15&lt;=$F$15,0,IF(AND($K15&gt;$F$15,$K15&lt;=$F$15+$F$28),$F$27*10^8/$F$28,""))</f>
        <v>0</v>
      </c>
      <c r="AC15" s="72">
        <f>IF(ISNUMBER(AB15),AB15*$M15,"")</f>
        <v>0</v>
      </c>
      <c r="AD15" s="39"/>
      <c r="AE15" s="72">
        <f t="shared" ref="AE15:AE46" si="5">IF($K15&lt;=$F$15,$F$26,"")</f>
        <v>0</v>
      </c>
      <c r="AF15" s="72">
        <f>IF(ISNUMBER(AE15),AE15*$M15,"")</f>
        <v>0</v>
      </c>
      <c r="AG15" s="39"/>
      <c r="AH15" s="72">
        <f t="shared" ref="AH15:AH46" si="6">IF($K15&lt;=$F$15,$F$33*10^8,"")</f>
        <v>620000000</v>
      </c>
      <c r="AI15" s="72">
        <f>IF(ISNUMBER(AH15),AH15*$M15,"")</f>
        <v>601941747.57281554</v>
      </c>
      <c r="AJ15" s="39"/>
      <c r="AK15" s="72">
        <f t="shared" ref="AK15:AK46" si="7">IF($K15&lt;=$F$15,$F$117*$F$34/100,"")</f>
        <v>3325200000</v>
      </c>
      <c r="AL15" s="72">
        <f>IF(ISNUMBER(AK15),AK15*$M15,"")</f>
        <v>3228349514.563107</v>
      </c>
      <c r="AM15" s="39"/>
      <c r="AN15" s="72">
        <f t="shared" ref="AN15:AN46" si="8">IF($K15&lt;=$F$15,$F$117*$F$35/100,"")</f>
        <v>1524050000</v>
      </c>
      <c r="AO15" s="72">
        <f>IF(ISNUMBER(AN15),AN15*$M15,"")</f>
        <v>1479660194.1747572</v>
      </c>
      <c r="AP15" s="39"/>
      <c r="AQ15" s="72">
        <f t="shared" ref="AQ15:AQ46" si="9">IF($K15&lt;=$F$15,SUM(AH15,AK15,AN15)*($F$36/100),"")</f>
        <v>656310000</v>
      </c>
      <c r="AR15" s="72">
        <f>IF(ISNUMBER(AQ15),AQ15*$M15,"")</f>
        <v>637194174.75728154</v>
      </c>
      <c r="AS15" s="39"/>
      <c r="AT15" s="40">
        <f>IF($K15&lt;=$F$15,IF($F$40&lt;&gt;"",$F$40/1000,IF(ISERROR(VLOOKUP($F$3&amp;IF($G$4&lt;&gt;"",$G$4,"")&amp;IF($F$43&lt;&gt;"","_"&amp;$F$43,""),'表3）燃料価格'!$AF$9:$AG$25,2,0)),0,VLOOKUP($I15,'表3）燃料価格'!$A$6:$U$66,VLOOKUP($F$3&amp;IF($G$4&lt;&gt;"",$G$4,"")&amp;IF($F$43&lt;&gt;"","_"&amp;$F$43,""),'表3）燃料価格'!$AF$9:$AG$25,2,0)+VLOOKUP($F$41,'表3）燃料価格'!$AF$28:$AG$29,2,0),0)*IF($F$43="需要地価格",1,$F$8/$F$141))),"")</f>
        <v>49.496976697782991</v>
      </c>
      <c r="AU15" s="39"/>
      <c r="AV15" s="72">
        <f t="shared" ref="AV15:AV46" si="10">IF($K15&lt;=$F$15,($AT15+$F$142)*$F$137,"")</f>
        <v>31472987812.279552</v>
      </c>
      <c r="AW15" s="72">
        <f>IF(ISNUMBER(AV15),AV15*$M15,"")</f>
        <v>30556298846.873352</v>
      </c>
      <c r="AX15" s="39"/>
      <c r="AY15" s="40">
        <f>IF(ISERROR(IF($K15&lt;=$F$15,VLOOKUP($I15,'表4）CO2価格'!$A$7:$E$67,VLOOKUP($F$48,'表4）CO2価格'!$H$10:$I$12,2,0),0)*$F$8/1000,"")),0,IF($K15&lt;=$F$15,VLOOKUP($I15,'表4）CO2価格'!$A$7:$E$67,VLOOKUP($F$48,'表4）CO2価格'!$H$10:$I$12,2,0),0)*$F$8/1000,""))</f>
        <v>4.28</v>
      </c>
      <c r="AZ15" s="39"/>
      <c r="BA15" s="42">
        <f t="shared" ref="BA15:BA46" si="11">IF($K15&lt;=$F$15,$F$145*AY15,"")</f>
        <v>7165398979.2000008</v>
      </c>
      <c r="BB15" s="72">
        <f>IF(ISNUMBER(BA15),BA15*$M15,"")</f>
        <v>6956698038.0582533</v>
      </c>
      <c r="BC15" s="39"/>
      <c r="BD15" s="72">
        <f t="shared" ref="BD15:BD46" si="12">IF($K15&lt;=$F$15,($AT15+$F$152)*$F$151,"")</f>
        <v>0</v>
      </c>
      <c r="BE15" s="72">
        <f>IF(ISNUMBER(BD15),BD15*$M15,"")</f>
        <v>0</v>
      </c>
      <c r="BF15" s="39"/>
      <c r="BG15" s="42">
        <f t="shared" ref="BG15:BG46" si="13">IF($K15&lt;=$F$15,$F$153*AY15,"")</f>
        <v>0</v>
      </c>
      <c r="BH15" s="72">
        <f>IF(ISNUMBER(BG15),BG15*$M15,"")</f>
        <v>0</v>
      </c>
      <c r="BI15" s="39"/>
      <c r="BJ15" s="40" t="str">
        <f>IF(ISNUMBER($F$16),IF($K15&lt;=$F$16+$F$28,1/(1+($F$17/100))^K15,""),"")</f>
        <v/>
      </c>
      <c r="BK15" s="157" t="str">
        <f>IF(ISNUMBER($F$16),IF($K15&lt;=$F$16+$F$28,IF($K15&lt;=$F$16,SUM(Y15,AB15,AE15,AH15,AK15,AN15,AQ15,AV15,BA15,BD15,BG15),$F$27/$F$28*10^8)*BJ15,""),"")</f>
        <v/>
      </c>
      <c r="BL15" s="157" t="str">
        <f t="shared" ref="BL15:BL78" si="14">IF(AND(ISNUMBER(BJ15),$K15&lt;=$F$16),BQ15*BJ15,"")</f>
        <v/>
      </c>
      <c r="BM15" s="72"/>
      <c r="BN15" s="72" t="str">
        <f>IF(AND(ISNUMBER($F$16),$K15&lt;=$F$16),BQ15*($O$15+$BK$116)/$BL$116,"")</f>
        <v/>
      </c>
      <c r="BO15" s="72" t="str">
        <f>IF(ISNUMBER(BN15),BN15*$M15,"")</f>
        <v/>
      </c>
      <c r="BP15" s="39"/>
      <c r="BQ15" s="72">
        <f t="shared" ref="BQ15:BQ46" si="15">IF($K15&lt;=$F$15,$F$134,"")</f>
        <v>5092319400</v>
      </c>
      <c r="BR15" s="72">
        <f>IF(ISNUMBER(BQ15),BQ15*$M15,"")</f>
        <v>4943999417.475728</v>
      </c>
    </row>
    <row r="16" spans="1:70" x14ac:dyDescent="0.15">
      <c r="C16" s="236" t="s">
        <v>107</v>
      </c>
      <c r="F16" s="88" t="str">
        <f>IF(ISERROR(VLOOKUP(F3&amp;IF(G4&lt;&gt;"","_"&amp;G4,""),'表7）買取期間・IRR'!$A$3:$A$10,1,0)),"",VLOOKUP(F3&amp;IF(G4&lt;&gt;"","_"&amp;G4,""),'表7）買取期間・IRR'!$A$3:$C$10,IF(F7=2030,4,IF(F7=2020,3,IF(F7=2014,2,"-"))),0))</f>
        <v/>
      </c>
      <c r="G16" s="81" t="s">
        <v>108</v>
      </c>
      <c r="I16" s="459">
        <f>I15+1</f>
        <v>2031</v>
      </c>
      <c r="J16" s="71"/>
      <c r="K16" s="71">
        <f>IF(I16&lt;&gt;"",K15+1,"")</f>
        <v>2</v>
      </c>
      <c r="L16" s="71"/>
      <c r="M16" s="7">
        <f t="shared" si="0"/>
        <v>0.94259590913375435</v>
      </c>
      <c r="N16" s="71"/>
      <c r="O16" s="10">
        <f t="shared" ref="O16:O47" si="16">IF(K16&lt;=$F$15,O15-V15,"")</f>
        <v>115412150000</v>
      </c>
      <c r="P16" s="29">
        <f t="shared" si="1"/>
        <v>0.16700000000000001</v>
      </c>
      <c r="Q16" s="71"/>
      <c r="R16" s="10">
        <f t="shared" ref="R16:R47" si="17">IF($K16&lt;=$F$15,MAX($F$117*5%,R15*$F$129),"")</f>
        <v>118833766749.76839</v>
      </c>
      <c r="S16" s="71"/>
      <c r="T16" s="10">
        <f t="shared" ref="T16:T79" si="18">IF(ISNUMBER(R16),ROUNDDOWN(R16,-3),"")</f>
        <v>118833766000</v>
      </c>
      <c r="U16" s="71"/>
      <c r="V16" s="10">
        <f t="shared" si="2"/>
        <v>19273829050</v>
      </c>
      <c r="W16" s="10">
        <f t="shared" ref="W16:W54" si="19">IF(ISNUMBER(V16),V16*$M16,"")</f>
        <v>18167432415.873314</v>
      </c>
      <c r="X16" s="71"/>
      <c r="Y16" s="10">
        <f t="shared" si="3"/>
        <v>1663672700</v>
      </c>
      <c r="Z16" s="10">
        <f t="shared" ref="Z16:Z54" si="20">IF(ISNUMBER(Y16),Y16*$M16,"")</f>
        <v>1568171081.1575077</v>
      </c>
      <c r="AA16" s="71"/>
      <c r="AB16" s="10">
        <f t="shared" si="4"/>
        <v>0</v>
      </c>
      <c r="AC16" s="10">
        <f t="shared" ref="AC16:AC54" si="21">IF(ISNUMBER(AB16),AB16*$M16,"")</f>
        <v>0</v>
      </c>
      <c r="AD16" s="71"/>
      <c r="AE16" s="10">
        <f t="shared" si="5"/>
        <v>0</v>
      </c>
      <c r="AF16" s="10">
        <f t="shared" ref="AF16:AF54" si="22">IF(ISNUMBER(AE16),AE16*$M16,"")</f>
        <v>0</v>
      </c>
      <c r="AG16" s="71"/>
      <c r="AH16" s="10">
        <f t="shared" si="6"/>
        <v>620000000</v>
      </c>
      <c r="AI16" s="10">
        <f t="shared" ref="AI16:AI54" si="23">IF(ISNUMBER(AH16),AH16*$M16,"")</f>
        <v>584409463.66292775</v>
      </c>
      <c r="AJ16" s="71"/>
      <c r="AK16" s="10">
        <f t="shared" si="7"/>
        <v>3325200000</v>
      </c>
      <c r="AL16" s="10">
        <f t="shared" ref="AL16:AL54" si="24">IF(ISNUMBER(AK16),AK16*$M16,"")</f>
        <v>3134319917.0515599</v>
      </c>
      <c r="AM16" s="71"/>
      <c r="AN16" s="10">
        <f t="shared" si="8"/>
        <v>1524050000</v>
      </c>
      <c r="AO16" s="10">
        <f t="shared" ref="AO16:AO54" si="25">IF(ISNUMBER(AN16),AN16*$M16,"")</f>
        <v>1436563295.3152983</v>
      </c>
      <c r="AP16" s="71"/>
      <c r="AQ16" s="10">
        <f t="shared" si="9"/>
        <v>656310000</v>
      </c>
      <c r="AR16" s="10">
        <f t="shared" ref="AR16:AR79" si="26">IF(ISNUMBER(AQ16),AQ16*$M16,"")</f>
        <v>618635121.12357438</v>
      </c>
      <c r="AS16" s="71"/>
      <c r="AT16" s="7">
        <f>IF($K16&lt;=$F$15,IF($F$40&lt;&gt;"",$F$40/1000,IF(ISERROR(VLOOKUP($F$3&amp;IF($G$4&lt;&gt;"",$G$4,"")&amp;IF($F$43&lt;&gt;"","_"&amp;$F$43,""),'表3）燃料価格'!$AF$9:$AG$25,2,0)),0,VLOOKUP($I16,'表3）燃料価格'!$A$6:$U$66,VLOOKUP($F$3&amp;IF($G$4&lt;&gt;"",$G$4,"")&amp;IF($F$43&lt;&gt;"","_"&amp;$F$43,""),'表3）燃料価格'!$AF$9:$AG$25,2,0)+VLOOKUP($F$41,'表3）燃料価格'!$AF$28:$AG$29,2,0),0)*IF($F$43="需要地価格",1,$F$8/$F$141))),"")</f>
        <v>49.422591134993795</v>
      </c>
      <c r="AU16" s="71"/>
      <c r="AV16" s="10">
        <f t="shared" si="10"/>
        <v>31428221631.538303</v>
      </c>
      <c r="AW16" s="10">
        <f t="shared" ref="AW16:AW79" si="27">IF(ISNUMBER(AV16),AV16*$M16,"")</f>
        <v>29624113141.236973</v>
      </c>
      <c r="AX16" s="71"/>
      <c r="AY16" s="7">
        <f>IF(ISERROR(IF($K16&lt;=$F$15,VLOOKUP($I16,'表4）CO2価格'!$A$7:$E$67,VLOOKUP($F$48,'表4）CO2価格'!$H$10:$I$12,2,0),0)*$F$8/1000,"")),0,IF($K16&lt;=$F$15,VLOOKUP($I16,'表4）CO2価格'!$A$7:$E$67,VLOOKUP($F$48,'表4）CO2価格'!$H$10:$I$12,2,0),0)*$F$8/1000,""))</f>
        <v>4.4083999999999808</v>
      </c>
      <c r="AZ16" s="71"/>
      <c r="BA16" s="11">
        <f t="shared" si="11"/>
        <v>7380360948.5759678</v>
      </c>
      <c r="BB16" s="10">
        <f t="shared" ref="BB16:BB79" si="28">IF(ISNUMBER(BA16),BA16*$M16,"")</f>
        <v>6956698038.0582218</v>
      </c>
      <c r="BC16" s="71"/>
      <c r="BD16" s="10">
        <f t="shared" si="12"/>
        <v>0</v>
      </c>
      <c r="BE16" s="10">
        <f t="shared" ref="BE16:BE79" si="29">IF(ISNUMBER(BD16),BD16*$M16,"")</f>
        <v>0</v>
      </c>
      <c r="BF16" s="71"/>
      <c r="BG16" s="11">
        <f t="shared" si="13"/>
        <v>0</v>
      </c>
      <c r="BH16" s="10">
        <f t="shared" ref="BH16:BH79" si="30">IF(ISNUMBER(BG16),BG16*$M16,"")</f>
        <v>0</v>
      </c>
      <c r="BJ16" s="7" t="str">
        <f t="shared" ref="BJ16:BJ79" si="31">IF(ISNUMBER($F$16),IF($K16&lt;=$F$16+$F$28,1/(1+($F$17/100))^K16,""),"")</f>
        <v/>
      </c>
      <c r="BK16" s="158" t="str">
        <f t="shared" ref="BK16:BK79" si="32">IF(ISNUMBER($F$16),IF($K16&lt;=$F$16+$F$28,IF($K16&lt;=$F$16,SUM(Y16,AB16,AE16,AH16,AK16,AN16,AQ16,AV16,BA16,BD16,BG16),$F$27/$F$28*10^8)*BJ16,""),"")</f>
        <v/>
      </c>
      <c r="BL16" s="158" t="str">
        <f t="shared" si="14"/>
        <v/>
      </c>
      <c r="BM16" s="10"/>
      <c r="BN16" s="10" t="str">
        <f t="shared" ref="BN16:BN79" si="33">IF(AND(ISNUMBER($F$16),$K16&lt;=$F$16),BQ16*($O$15+$BK$116)/$BL$116,"")</f>
        <v/>
      </c>
      <c r="BO16" s="10" t="str">
        <f t="shared" ref="BO16:BO79" si="34">IF(ISNUMBER(BN16),BN16*$M16,"")</f>
        <v/>
      </c>
      <c r="BQ16" s="10">
        <f t="shared" si="15"/>
        <v>5092319400</v>
      </c>
      <c r="BR16" s="10">
        <f t="shared" ref="BR16:BR79" si="35">IF(ISNUMBER(BQ16),BQ16*$M16,"")</f>
        <v>4799999434.4424543</v>
      </c>
    </row>
    <row r="17" spans="3:70" x14ac:dyDescent="0.15">
      <c r="C17" s="9" t="s">
        <v>109</v>
      </c>
      <c r="F17" s="143" t="str">
        <f>IF(ISERROR(VLOOKUP(F3&amp;IF(G4&lt;&gt;"","_"&amp;G4,""),'表7）買取期間・IRR'!$A$14:$A$21,1,0)),"",VLOOKUP(F3&amp;IF(G4&lt;&gt;"","_"&amp;G4,""),'表7）買取期間・IRR'!$A$14:$C$21,IF(F7=2030,4,IF(F7=2020,3,IF(F7=2014,2,"-"))),0))</f>
        <v/>
      </c>
      <c r="G17" s="81" t="s">
        <v>172</v>
      </c>
      <c r="I17" s="458">
        <f t="shared" ref="I17:I80" si="36">I16+1</f>
        <v>2032</v>
      </c>
      <c r="J17" s="39"/>
      <c r="K17" s="39">
        <f t="shared" ref="K17:K80" si="37">IF(I17&lt;&gt;"",K16+1,"")</f>
        <v>3</v>
      </c>
      <c r="L17" s="39"/>
      <c r="M17" s="40">
        <f t="shared" si="0"/>
        <v>0.91514165935315961</v>
      </c>
      <c r="N17" s="39"/>
      <c r="O17" s="72">
        <f t="shared" si="16"/>
        <v>96138320950</v>
      </c>
      <c r="P17" s="41">
        <f t="shared" si="1"/>
        <v>0.16700000000000001</v>
      </c>
      <c r="Q17" s="39"/>
      <c r="R17" s="72">
        <f t="shared" si="17"/>
        <v>101923234355.38332</v>
      </c>
      <c r="S17" s="39"/>
      <c r="T17" s="72">
        <f t="shared" si="18"/>
        <v>101923234000</v>
      </c>
      <c r="U17" s="39"/>
      <c r="V17" s="72">
        <f t="shared" si="2"/>
        <v>16055099598.650002</v>
      </c>
      <c r="W17" s="72">
        <f t="shared" si="19"/>
        <v>14692690487.788809</v>
      </c>
      <c r="X17" s="39"/>
      <c r="Y17" s="72">
        <f t="shared" si="3"/>
        <v>1426925200</v>
      </c>
      <c r="Z17" s="72">
        <f t="shared" si="20"/>
        <v>1305838695.3008392</v>
      </c>
      <c r="AA17" s="39"/>
      <c r="AB17" s="72">
        <f t="shared" si="4"/>
        <v>0</v>
      </c>
      <c r="AC17" s="72">
        <f t="shared" si="21"/>
        <v>0</v>
      </c>
      <c r="AD17" s="39"/>
      <c r="AE17" s="72">
        <f t="shared" si="5"/>
        <v>0</v>
      </c>
      <c r="AF17" s="72">
        <f t="shared" si="22"/>
        <v>0</v>
      </c>
      <c r="AG17" s="39"/>
      <c r="AH17" s="72">
        <f t="shared" si="6"/>
        <v>620000000</v>
      </c>
      <c r="AI17" s="72">
        <f t="shared" si="23"/>
        <v>567387828.79895902</v>
      </c>
      <c r="AJ17" s="39"/>
      <c r="AK17" s="72">
        <f t="shared" si="7"/>
        <v>3325200000</v>
      </c>
      <c r="AL17" s="72">
        <f t="shared" si="24"/>
        <v>3043029045.6811261</v>
      </c>
      <c r="AM17" s="39"/>
      <c r="AN17" s="72">
        <f t="shared" si="8"/>
        <v>1524050000</v>
      </c>
      <c r="AO17" s="72">
        <f t="shared" si="25"/>
        <v>1394721645.9371829</v>
      </c>
      <c r="AP17" s="39"/>
      <c r="AQ17" s="72">
        <f t="shared" si="9"/>
        <v>656310000</v>
      </c>
      <c r="AR17" s="72">
        <f t="shared" si="26"/>
        <v>600616622.45007217</v>
      </c>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49.348205572204598</v>
      </c>
      <c r="AU17" s="39"/>
      <c r="AV17" s="72">
        <f t="shared" si="10"/>
        <v>31383455450.79705</v>
      </c>
      <c r="AW17" s="72">
        <f t="shared" si="27"/>
        <v>28720307497.478374</v>
      </c>
      <c r="AX17" s="39"/>
      <c r="AY17" s="40">
        <f>IF(ISERROR(IF($K17&lt;=$F$15,VLOOKUP($I17,'表4）CO2価格'!$A$7:$E$67,VLOOKUP($F$48,'表4）CO2価格'!$H$10:$I$12,2,0),0)*$F$8/1000,"")),0,IF($K17&lt;=$F$15,VLOOKUP($I17,'表4）CO2価格'!$A$7:$E$67,VLOOKUP($F$48,'表4）CO2価格'!$H$10:$I$12,2,0),0)*$F$8/1000,""))</f>
        <v>4.5368000000000102</v>
      </c>
      <c r="AZ17" s="39"/>
      <c r="BA17" s="42">
        <f t="shared" si="11"/>
        <v>7595322917.9520168</v>
      </c>
      <c r="BB17" s="72">
        <f t="shared" si="28"/>
        <v>6950796418.4576912</v>
      </c>
      <c r="BC17" s="39"/>
      <c r="BD17" s="72">
        <f t="shared" si="12"/>
        <v>0</v>
      </c>
      <c r="BE17" s="72">
        <f t="shared" si="29"/>
        <v>0</v>
      </c>
      <c r="BF17" s="39"/>
      <c r="BG17" s="42">
        <f t="shared" si="13"/>
        <v>0</v>
      </c>
      <c r="BH17" s="72">
        <f t="shared" si="30"/>
        <v>0</v>
      </c>
      <c r="BI17" s="39"/>
      <c r="BJ17" s="40" t="str">
        <f t="shared" si="31"/>
        <v/>
      </c>
      <c r="BK17" s="157" t="str">
        <f t="shared" si="32"/>
        <v/>
      </c>
      <c r="BL17" s="157" t="str">
        <f t="shared" si="14"/>
        <v/>
      </c>
      <c r="BM17" s="72"/>
      <c r="BN17" s="72" t="str">
        <f t="shared" si="33"/>
        <v/>
      </c>
      <c r="BO17" s="72" t="str">
        <f t="shared" si="34"/>
        <v/>
      </c>
      <c r="BP17" s="39"/>
      <c r="BQ17" s="72">
        <f t="shared" si="15"/>
        <v>5092319400</v>
      </c>
      <c r="BR17" s="72">
        <f t="shared" si="35"/>
        <v>4660193625.672286</v>
      </c>
    </row>
    <row r="18" spans="3:70" x14ac:dyDescent="0.15">
      <c r="I18" s="459">
        <f t="shared" si="36"/>
        <v>2033</v>
      </c>
      <c r="J18" s="71"/>
      <c r="K18" s="71">
        <f t="shared" si="37"/>
        <v>4</v>
      </c>
      <c r="L18" s="71"/>
      <c r="M18" s="7">
        <f t="shared" si="0"/>
        <v>0.888487047915689</v>
      </c>
      <c r="N18" s="71"/>
      <c r="O18" s="10">
        <f t="shared" si="16"/>
        <v>80083221351.350006</v>
      </c>
      <c r="P18" s="29">
        <f t="shared" si="1"/>
        <v>0.16700000000000001</v>
      </c>
      <c r="Q18" s="71"/>
      <c r="R18" s="10">
        <f t="shared" si="17"/>
        <v>87419140077.730789</v>
      </c>
      <c r="S18" s="71"/>
      <c r="T18" s="10">
        <f t="shared" si="18"/>
        <v>87419140000</v>
      </c>
      <c r="U18" s="71"/>
      <c r="V18" s="10">
        <f t="shared" si="2"/>
        <v>13373897965.675451</v>
      </c>
      <c r="W18" s="10">
        <f t="shared" si="19"/>
        <v>11882535122.648621</v>
      </c>
      <c r="X18" s="71"/>
      <c r="Y18" s="10">
        <f t="shared" si="3"/>
        <v>1223867900</v>
      </c>
      <c r="Z18" s="10">
        <f t="shared" si="20"/>
        <v>1087390777.5097737</v>
      </c>
      <c r="AA18" s="71"/>
      <c r="AB18" s="10">
        <f t="shared" si="4"/>
        <v>0</v>
      </c>
      <c r="AC18" s="10">
        <f t="shared" si="21"/>
        <v>0</v>
      </c>
      <c r="AD18" s="71"/>
      <c r="AE18" s="10">
        <f t="shared" si="5"/>
        <v>0</v>
      </c>
      <c r="AF18" s="10">
        <f t="shared" si="22"/>
        <v>0</v>
      </c>
      <c r="AG18" s="71"/>
      <c r="AH18" s="10">
        <f t="shared" si="6"/>
        <v>620000000</v>
      </c>
      <c r="AI18" s="10">
        <f t="shared" si="23"/>
        <v>550861969.70772719</v>
      </c>
      <c r="AJ18" s="71"/>
      <c r="AK18" s="10">
        <f t="shared" si="7"/>
        <v>3325200000</v>
      </c>
      <c r="AL18" s="10">
        <f t="shared" si="24"/>
        <v>2954397131.729249</v>
      </c>
      <c r="AM18" s="71"/>
      <c r="AN18" s="10">
        <f t="shared" si="8"/>
        <v>1524050000</v>
      </c>
      <c r="AO18" s="10">
        <f t="shared" si="25"/>
        <v>1354098685.3759058</v>
      </c>
      <c r="AP18" s="71"/>
      <c r="AQ18" s="10">
        <f t="shared" si="9"/>
        <v>656310000</v>
      </c>
      <c r="AR18" s="10">
        <f t="shared" si="26"/>
        <v>583122934.4175458</v>
      </c>
      <c r="AS18" s="71"/>
      <c r="AT18" s="7">
        <f>IF($K18&lt;=$F$15,IF($F$40&lt;&gt;"",$F$40/1000,IF(ISERROR(VLOOKUP($F$3&amp;IF($G$4&lt;&gt;"",$G$4,"")&amp;IF($F$43&lt;&gt;"","_"&amp;$F$43,""),'表3）燃料価格'!$AF$9:$AG$25,2,0)),0,VLOOKUP($I18,'表3）燃料価格'!$A$6:$U$66,VLOOKUP($F$3&amp;IF($G$4&lt;&gt;"",$G$4,"")&amp;IF($F$43&lt;&gt;"","_"&amp;$F$43,""),'表3）燃料価格'!$AF$9:$AG$25,2,0)+VLOOKUP($F$41,'表3）燃料価格'!$AF$28:$AG$29,2,0),0)*IF($F$43="需要地価格",1,$F$8/$F$141))),"")</f>
        <v>49.27382000941541</v>
      </c>
      <c r="AU18" s="71"/>
      <c r="AV18" s="10">
        <f t="shared" si="10"/>
        <v>31338689270.055805</v>
      </c>
      <c r="AW18" s="10">
        <f t="shared" si="27"/>
        <v>27844019515.098961</v>
      </c>
      <c r="AX18" s="71"/>
      <c r="AY18" s="7">
        <f>IF(ISERROR(IF($K18&lt;=$F$15,VLOOKUP($I18,'表4）CO2価格'!$A$7:$E$67,VLOOKUP($F$48,'表4）CO2価格'!$H$10:$I$12,2,0),0)*$F$8/1000,"")),0,IF($K18&lt;=$F$15,VLOOKUP($I18,'表4）CO2価格'!$A$7:$E$67,VLOOKUP($F$48,'表4）CO2価格'!$H$10:$I$12,2,0),0)*$F$8/1000,""))</f>
        <v>4.6651999999999898</v>
      </c>
      <c r="AZ18" s="71"/>
      <c r="BA18" s="11">
        <f t="shared" si="11"/>
        <v>7810284887.3279829</v>
      </c>
      <c r="BB18" s="10">
        <f t="shared" si="28"/>
        <v>6939336962.9225588</v>
      </c>
      <c r="BC18" s="71"/>
      <c r="BD18" s="10">
        <f t="shared" si="12"/>
        <v>0</v>
      </c>
      <c r="BE18" s="10">
        <f t="shared" si="29"/>
        <v>0</v>
      </c>
      <c r="BF18" s="71"/>
      <c r="BG18" s="11">
        <f t="shared" si="13"/>
        <v>0</v>
      </c>
      <c r="BH18" s="10">
        <f t="shared" si="30"/>
        <v>0</v>
      </c>
      <c r="BJ18" s="7" t="str">
        <f t="shared" si="31"/>
        <v/>
      </c>
      <c r="BK18" s="158" t="str">
        <f t="shared" si="32"/>
        <v/>
      </c>
      <c r="BL18" s="158" t="str">
        <f t="shared" si="14"/>
        <v/>
      </c>
      <c r="BM18" s="10"/>
      <c r="BN18" s="10" t="str">
        <f t="shared" si="33"/>
        <v/>
      </c>
      <c r="BO18" s="10" t="str">
        <f t="shared" si="34"/>
        <v/>
      </c>
      <c r="BQ18" s="10">
        <f t="shared" si="15"/>
        <v>5092319400</v>
      </c>
      <c r="BR18" s="10">
        <f t="shared" si="35"/>
        <v>4524459830.7497931</v>
      </c>
    </row>
    <row r="19" spans="3:70" x14ac:dyDescent="0.15">
      <c r="C19" s="89" t="s">
        <v>371</v>
      </c>
      <c r="D19" s="101"/>
      <c r="E19" s="101"/>
      <c r="F19" s="89"/>
      <c r="G19" s="101"/>
      <c r="I19" s="458">
        <f t="shared" si="36"/>
        <v>2034</v>
      </c>
      <c r="J19" s="39"/>
      <c r="K19" s="39">
        <f t="shared" si="37"/>
        <v>5</v>
      </c>
      <c r="L19" s="39"/>
      <c r="M19" s="40">
        <f t="shared" si="0"/>
        <v>0.86260878438416411</v>
      </c>
      <c r="N19" s="39"/>
      <c r="O19" s="72">
        <f t="shared" si="16"/>
        <v>66709323385.674553</v>
      </c>
      <c r="P19" s="41">
        <f t="shared" si="1"/>
        <v>0.16700000000000001</v>
      </c>
      <c r="Q19" s="39"/>
      <c r="R19" s="72">
        <f t="shared" si="17"/>
        <v>74979037903.012558</v>
      </c>
      <c r="S19" s="39"/>
      <c r="T19" s="72">
        <f t="shared" si="18"/>
        <v>74979037000</v>
      </c>
      <c r="U19" s="39"/>
      <c r="V19" s="72">
        <f t="shared" si="2"/>
        <v>11140457005.407652</v>
      </c>
      <c r="W19" s="72">
        <f t="shared" si="19"/>
        <v>9609856074.9187393</v>
      </c>
      <c r="X19" s="39"/>
      <c r="Y19" s="72">
        <f t="shared" si="3"/>
        <v>1049706500</v>
      </c>
      <c r="Z19" s="72">
        <f t="shared" si="20"/>
        <v>905486047.92515552</v>
      </c>
      <c r="AA19" s="39"/>
      <c r="AB19" s="72">
        <f t="shared" si="4"/>
        <v>0</v>
      </c>
      <c r="AC19" s="72">
        <f t="shared" si="21"/>
        <v>0</v>
      </c>
      <c r="AD19" s="39"/>
      <c r="AE19" s="72">
        <f t="shared" si="5"/>
        <v>0</v>
      </c>
      <c r="AF19" s="72">
        <f t="shared" si="22"/>
        <v>0</v>
      </c>
      <c r="AG19" s="39"/>
      <c r="AH19" s="72">
        <f t="shared" si="6"/>
        <v>620000000</v>
      </c>
      <c r="AI19" s="72">
        <f t="shared" si="23"/>
        <v>534817446.31818175</v>
      </c>
      <c r="AJ19" s="39"/>
      <c r="AK19" s="72">
        <f t="shared" si="7"/>
        <v>3325200000</v>
      </c>
      <c r="AL19" s="72">
        <f t="shared" si="24"/>
        <v>2868346729.8342223</v>
      </c>
      <c r="AM19" s="39"/>
      <c r="AN19" s="72">
        <f t="shared" si="8"/>
        <v>1524050000</v>
      </c>
      <c r="AO19" s="72">
        <f t="shared" si="25"/>
        <v>1314658917.8406854</v>
      </c>
      <c r="AP19" s="39"/>
      <c r="AQ19" s="72">
        <f t="shared" si="9"/>
        <v>656310000</v>
      </c>
      <c r="AR19" s="72">
        <f t="shared" si="26"/>
        <v>566138771.27917075</v>
      </c>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49.199434446626192</v>
      </c>
      <c r="AU19" s="39"/>
      <c r="AV19" s="72">
        <f t="shared" si="10"/>
        <v>31293923089.314541</v>
      </c>
      <c r="AW19" s="72">
        <f t="shared" si="27"/>
        <v>26994412954.685143</v>
      </c>
      <c r="AX19" s="39"/>
      <c r="AY19" s="40">
        <f>IF(ISERROR(IF($K19&lt;=$F$15,VLOOKUP($I19,'表4）CO2価格'!$A$7:$E$67,VLOOKUP($F$48,'表4）CO2価格'!$H$10:$I$12,2,0),0)*$F$8/1000,"")),0,IF($K19&lt;=$F$15,VLOOKUP($I19,'表4）CO2価格'!$A$7:$E$67,VLOOKUP($F$48,'表4）CO2価格'!$H$10:$I$12,2,0),0)*$F$8/1000,""))</f>
        <v>4.7935999999999712</v>
      </c>
      <c r="AZ19" s="39"/>
      <c r="BA19" s="42">
        <f t="shared" si="11"/>
        <v>8025246856.7039518</v>
      </c>
      <c r="BB19" s="72">
        <f t="shared" si="28"/>
        <v>6922648435.4442301</v>
      </c>
      <c r="BC19" s="39"/>
      <c r="BD19" s="72">
        <f t="shared" si="12"/>
        <v>0</v>
      </c>
      <c r="BE19" s="72">
        <f t="shared" si="29"/>
        <v>0</v>
      </c>
      <c r="BF19" s="39"/>
      <c r="BG19" s="42">
        <f t="shared" si="13"/>
        <v>0</v>
      </c>
      <c r="BH19" s="72">
        <f t="shared" si="30"/>
        <v>0</v>
      </c>
      <c r="BI19" s="39"/>
      <c r="BJ19" s="40" t="str">
        <f t="shared" si="31"/>
        <v/>
      </c>
      <c r="BK19" s="157" t="str">
        <f t="shared" si="32"/>
        <v/>
      </c>
      <c r="BL19" s="157" t="str">
        <f t="shared" si="14"/>
        <v/>
      </c>
      <c r="BM19" s="72"/>
      <c r="BN19" s="72" t="str">
        <f t="shared" si="33"/>
        <v/>
      </c>
      <c r="BO19" s="72" t="str">
        <f t="shared" si="34"/>
        <v/>
      </c>
      <c r="BP19" s="39"/>
      <c r="BQ19" s="72">
        <f t="shared" si="15"/>
        <v>5092319400</v>
      </c>
      <c r="BR19" s="72">
        <f t="shared" si="35"/>
        <v>4392679447.329896</v>
      </c>
    </row>
    <row r="20" spans="3:70" x14ac:dyDescent="0.15">
      <c r="I20" s="459">
        <f t="shared" si="36"/>
        <v>2035</v>
      </c>
      <c r="J20" s="71"/>
      <c r="K20" s="71">
        <f t="shared" si="37"/>
        <v>6</v>
      </c>
      <c r="L20" s="71"/>
      <c r="M20" s="7">
        <f t="shared" si="0"/>
        <v>0.83748425668365445</v>
      </c>
      <c r="N20" s="71"/>
      <c r="O20" s="10">
        <f t="shared" si="16"/>
        <v>55568866380.266899</v>
      </c>
      <c r="P20" s="29">
        <f t="shared" si="1"/>
        <v>0.16700000000000001</v>
      </c>
      <c r="Q20" s="71"/>
      <c r="R20" s="10">
        <f t="shared" si="17"/>
        <v>64309213289.705063</v>
      </c>
      <c r="S20" s="71"/>
      <c r="T20" s="10">
        <f t="shared" si="18"/>
        <v>64309213000</v>
      </c>
      <c r="U20" s="71"/>
      <c r="V20" s="10">
        <f t="shared" si="2"/>
        <v>9280000685.5045719</v>
      </c>
      <c r="W20" s="10">
        <f t="shared" si="19"/>
        <v>7771854476.1236</v>
      </c>
      <c r="X20" s="71"/>
      <c r="Y20" s="10">
        <f t="shared" si="3"/>
        <v>900328900</v>
      </c>
      <c r="Z20" s="10">
        <f t="shared" si="20"/>
        <v>754011279.58731222</v>
      </c>
      <c r="AA20" s="71"/>
      <c r="AB20" s="10">
        <f t="shared" si="4"/>
        <v>0</v>
      </c>
      <c r="AC20" s="10">
        <f t="shared" si="21"/>
        <v>0</v>
      </c>
      <c r="AD20" s="71"/>
      <c r="AE20" s="10">
        <f t="shared" si="5"/>
        <v>0</v>
      </c>
      <c r="AF20" s="10">
        <f t="shared" si="22"/>
        <v>0</v>
      </c>
      <c r="AG20" s="71"/>
      <c r="AH20" s="10">
        <f t="shared" si="6"/>
        <v>620000000</v>
      </c>
      <c r="AI20" s="10">
        <f t="shared" si="23"/>
        <v>519240239.14386576</v>
      </c>
      <c r="AJ20" s="71"/>
      <c r="AK20" s="10">
        <f t="shared" si="7"/>
        <v>3325200000</v>
      </c>
      <c r="AL20" s="10">
        <f t="shared" si="24"/>
        <v>2784802650.3244877</v>
      </c>
      <c r="AM20" s="71"/>
      <c r="AN20" s="10">
        <f t="shared" si="8"/>
        <v>1524050000</v>
      </c>
      <c r="AO20" s="10">
        <f t="shared" si="25"/>
        <v>1276367881.3987236</v>
      </c>
      <c r="AP20" s="71"/>
      <c r="AQ20" s="10">
        <f t="shared" si="9"/>
        <v>656310000</v>
      </c>
      <c r="AR20" s="10">
        <f t="shared" si="26"/>
        <v>549649292.5040493</v>
      </c>
      <c r="AS20" s="71"/>
      <c r="AT20" s="7">
        <f>IF($K20&lt;=$F$15,IF($F$40&lt;&gt;"",$F$40/1000,IF(ISERROR(VLOOKUP($F$3&amp;IF($G$4&lt;&gt;"",$G$4,"")&amp;IF($F$43&lt;&gt;"","_"&amp;$F$43,""),'表3）燃料価格'!$AF$9:$AG$25,2,0)),0,VLOOKUP($I20,'表3）燃料価格'!$A$6:$U$66,VLOOKUP($F$3&amp;IF($G$4&lt;&gt;"",$G$4,"")&amp;IF($F$43&lt;&gt;"","_"&amp;$F$43,""),'表3）燃料価格'!$AF$9:$AG$25,2,0)+VLOOKUP($F$41,'表3）燃料価格'!$AF$28:$AG$29,2,0),0)*IF($F$43="需要地価格",1,$F$8/$F$141))),"")</f>
        <v>49.125048883837003</v>
      </c>
      <c r="AU20" s="71"/>
      <c r="AV20" s="10">
        <f t="shared" si="10"/>
        <v>31249156908.573296</v>
      </c>
      <c r="AW20" s="10">
        <f t="shared" si="27"/>
        <v>26170676945.56739</v>
      </c>
      <c r="AX20" s="71"/>
      <c r="AY20" s="7">
        <f>IF(ISERROR(IF($K20&lt;=$F$15,VLOOKUP($I20,'表4）CO2価格'!$A$7:$E$67,VLOOKUP($F$48,'表4）CO2価格'!$H$10:$I$12,2,0),0)*$F$8/1000,"")),0,IF($K20&lt;=$F$15,VLOOKUP($I20,'表4）CO2価格'!$A$7:$E$67,VLOOKUP($F$48,'表4）CO2価格'!$H$10:$I$12,2,0),0)*$F$8/1000,""))</f>
        <v>4.9219999999999997</v>
      </c>
      <c r="AZ20" s="71"/>
      <c r="BA20" s="11">
        <f t="shared" si="11"/>
        <v>8240208826.0799999</v>
      </c>
      <c r="BB20" s="10">
        <f t="shared" si="28"/>
        <v>6901045163.6276979</v>
      </c>
      <c r="BC20" s="71"/>
      <c r="BD20" s="10">
        <f t="shared" si="12"/>
        <v>0</v>
      </c>
      <c r="BE20" s="10">
        <f t="shared" si="29"/>
        <v>0</v>
      </c>
      <c r="BF20" s="71"/>
      <c r="BG20" s="11">
        <f t="shared" si="13"/>
        <v>0</v>
      </c>
      <c r="BH20" s="10">
        <f t="shared" si="30"/>
        <v>0</v>
      </c>
      <c r="BJ20" s="7" t="str">
        <f t="shared" si="31"/>
        <v/>
      </c>
      <c r="BK20" s="158" t="str">
        <f t="shared" si="32"/>
        <v/>
      </c>
      <c r="BL20" s="158" t="str">
        <f t="shared" si="14"/>
        <v/>
      </c>
      <c r="BM20" s="10"/>
      <c r="BN20" s="10" t="str">
        <f t="shared" si="33"/>
        <v/>
      </c>
      <c r="BO20" s="10" t="str">
        <f t="shared" si="34"/>
        <v/>
      </c>
      <c r="BQ20" s="10">
        <f t="shared" si="15"/>
        <v>5092319400</v>
      </c>
      <c r="BR20" s="10">
        <f t="shared" si="35"/>
        <v>4264737327.5047531</v>
      </c>
    </row>
    <row r="21" spans="3:70" x14ac:dyDescent="0.15">
      <c r="D21" s="81" t="s">
        <v>110</v>
      </c>
      <c r="F21" s="147">
        <v>16.3</v>
      </c>
      <c r="G21" s="81" t="s">
        <v>174</v>
      </c>
      <c r="I21" s="458">
        <f t="shared" si="36"/>
        <v>2036</v>
      </c>
      <c r="J21" s="39"/>
      <c r="K21" s="39">
        <f t="shared" si="37"/>
        <v>7</v>
      </c>
      <c r="L21" s="39"/>
      <c r="M21" s="40">
        <f t="shared" si="0"/>
        <v>0.81309151134335378</v>
      </c>
      <c r="N21" s="39"/>
      <c r="O21" s="72">
        <f t="shared" si="16"/>
        <v>46288865694.762329</v>
      </c>
      <c r="P21" s="41">
        <f t="shared" si="1"/>
        <v>0.16700000000000001</v>
      </c>
      <c r="Q21" s="39"/>
      <c r="R21" s="72">
        <f t="shared" si="17"/>
        <v>55157748480.187057</v>
      </c>
      <c r="S21" s="39"/>
      <c r="T21" s="72">
        <f t="shared" si="18"/>
        <v>55157748000</v>
      </c>
      <c r="U21" s="39"/>
      <c r="V21" s="72">
        <f t="shared" si="2"/>
        <v>7730240571.0253096</v>
      </c>
      <c r="W21" s="72">
        <f t="shared" si="19"/>
        <v>6285392988.9426794</v>
      </c>
      <c r="X21" s="39"/>
      <c r="Y21" s="72">
        <f t="shared" si="3"/>
        <v>772208400</v>
      </c>
      <c r="Z21" s="72">
        <f t="shared" si="20"/>
        <v>627876095.02803302</v>
      </c>
      <c r="AA21" s="39"/>
      <c r="AB21" s="72">
        <f t="shared" si="4"/>
        <v>0</v>
      </c>
      <c r="AC21" s="72">
        <f t="shared" si="21"/>
        <v>0</v>
      </c>
      <c r="AD21" s="39"/>
      <c r="AE21" s="72">
        <f t="shared" si="5"/>
        <v>0</v>
      </c>
      <c r="AF21" s="72">
        <f t="shared" si="22"/>
        <v>0</v>
      </c>
      <c r="AG21" s="39"/>
      <c r="AH21" s="72">
        <f t="shared" si="6"/>
        <v>620000000</v>
      </c>
      <c r="AI21" s="72">
        <f t="shared" si="23"/>
        <v>504116737.03287935</v>
      </c>
      <c r="AJ21" s="39"/>
      <c r="AK21" s="72">
        <f t="shared" si="7"/>
        <v>3325200000</v>
      </c>
      <c r="AL21" s="72">
        <f t="shared" si="24"/>
        <v>2703691893.5189199</v>
      </c>
      <c r="AM21" s="39"/>
      <c r="AN21" s="72">
        <f t="shared" si="8"/>
        <v>1524050000</v>
      </c>
      <c r="AO21" s="72">
        <f t="shared" si="25"/>
        <v>1239192117.8628383</v>
      </c>
      <c r="AP21" s="39"/>
      <c r="AQ21" s="72">
        <f t="shared" si="9"/>
        <v>656310000</v>
      </c>
      <c r="AR21" s="72">
        <f t="shared" si="26"/>
        <v>533640089.80975652</v>
      </c>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49.050663321047786</v>
      </c>
      <c r="AU21" s="39"/>
      <c r="AV21" s="72">
        <f t="shared" si="10"/>
        <v>31204390727.832031</v>
      </c>
      <c r="AW21" s="72">
        <f t="shared" si="27"/>
        <v>25372025217.441483</v>
      </c>
      <c r="AX21" s="39"/>
      <c r="AY21" s="40">
        <f>IF(ISERROR(IF($K21&lt;=$F$15,VLOOKUP($I21,'表4）CO2価格'!$A$7:$E$67,VLOOKUP($F$48,'表4）CO2価格'!$H$10:$I$12,2,0),0)*$F$8/1000,"")),0,IF($K21&lt;=$F$15,VLOOKUP($I21,'表4）CO2価格'!$A$7:$E$67,VLOOKUP($F$48,'表4）CO2価格'!$H$10:$I$12,2,0),0)*$F$8/1000,""))</f>
        <v>5.0503999999999802</v>
      </c>
      <c r="AZ21" s="39"/>
      <c r="BA21" s="42">
        <f t="shared" si="11"/>
        <v>8455170795.4559669</v>
      </c>
      <c r="BB21" s="72">
        <f t="shared" si="28"/>
        <v>6874827600.7434788</v>
      </c>
      <c r="BC21" s="39"/>
      <c r="BD21" s="72">
        <f t="shared" si="12"/>
        <v>0</v>
      </c>
      <c r="BE21" s="72">
        <f t="shared" si="29"/>
        <v>0</v>
      </c>
      <c r="BF21" s="39"/>
      <c r="BG21" s="42">
        <f t="shared" si="13"/>
        <v>0</v>
      </c>
      <c r="BH21" s="72">
        <f t="shared" si="30"/>
        <v>0</v>
      </c>
      <c r="BI21" s="39"/>
      <c r="BJ21" s="40" t="str">
        <f t="shared" si="31"/>
        <v/>
      </c>
      <c r="BK21" s="157" t="str">
        <f t="shared" si="32"/>
        <v/>
      </c>
      <c r="BL21" s="157" t="str">
        <f t="shared" si="14"/>
        <v/>
      </c>
      <c r="BM21" s="72"/>
      <c r="BN21" s="72" t="str">
        <f t="shared" si="33"/>
        <v/>
      </c>
      <c r="BO21" s="72" t="str">
        <f t="shared" si="34"/>
        <v/>
      </c>
      <c r="BP21" s="39"/>
      <c r="BQ21" s="72">
        <f t="shared" si="15"/>
        <v>5092319400</v>
      </c>
      <c r="BR21" s="72">
        <f t="shared" si="35"/>
        <v>4140521677.1890807</v>
      </c>
    </row>
    <row r="22" spans="3:70" ht="16.5" x14ac:dyDescent="0.15">
      <c r="D22" s="81" t="s">
        <v>111</v>
      </c>
      <c r="F22" s="90">
        <v>54.7</v>
      </c>
      <c r="G22" s="9" t="s">
        <v>372</v>
      </c>
      <c r="I22" s="459">
        <f t="shared" si="36"/>
        <v>2037</v>
      </c>
      <c r="J22" s="71"/>
      <c r="K22" s="71">
        <f t="shared" si="37"/>
        <v>8</v>
      </c>
      <c r="L22" s="71"/>
      <c r="M22" s="7">
        <f t="shared" si="0"/>
        <v>0.78940923431393573</v>
      </c>
      <c r="N22" s="71"/>
      <c r="O22" s="10">
        <f t="shared" si="16"/>
        <v>38558625123.737022</v>
      </c>
      <c r="P22" s="29">
        <f t="shared" si="1"/>
        <v>0.16700000000000001</v>
      </c>
      <c r="Q22" s="71"/>
      <c r="R22" s="10">
        <f t="shared" si="17"/>
        <v>47308574646.964561</v>
      </c>
      <c r="S22" s="71"/>
      <c r="T22" s="10">
        <f t="shared" si="18"/>
        <v>47308574000</v>
      </c>
      <c r="U22" s="71"/>
      <c r="V22" s="10">
        <f t="shared" si="2"/>
        <v>6439290395.6640835</v>
      </c>
      <c r="W22" s="10">
        <f t="shared" si="19"/>
        <v>5083235300.766264</v>
      </c>
      <c r="X22" s="71"/>
      <c r="Y22" s="10">
        <f t="shared" si="3"/>
        <v>662320000</v>
      </c>
      <c r="Z22" s="10">
        <f t="shared" si="20"/>
        <v>522841524.07080591</v>
      </c>
      <c r="AA22" s="71"/>
      <c r="AB22" s="10">
        <f t="shared" si="4"/>
        <v>0</v>
      </c>
      <c r="AC22" s="10">
        <f t="shared" si="21"/>
        <v>0</v>
      </c>
      <c r="AD22" s="71"/>
      <c r="AE22" s="10">
        <f t="shared" si="5"/>
        <v>0</v>
      </c>
      <c r="AF22" s="10">
        <f t="shared" si="22"/>
        <v>0</v>
      </c>
      <c r="AG22" s="71"/>
      <c r="AH22" s="10">
        <f t="shared" si="6"/>
        <v>620000000</v>
      </c>
      <c r="AI22" s="10">
        <f t="shared" si="23"/>
        <v>489433725.27464014</v>
      </c>
      <c r="AJ22" s="71"/>
      <c r="AK22" s="10">
        <f t="shared" si="7"/>
        <v>3325200000</v>
      </c>
      <c r="AL22" s="10">
        <f t="shared" si="24"/>
        <v>2624943585.9406991</v>
      </c>
      <c r="AM22" s="71"/>
      <c r="AN22" s="10">
        <f t="shared" si="8"/>
        <v>1524050000</v>
      </c>
      <c r="AO22" s="10">
        <f t="shared" si="25"/>
        <v>1203099143.5561538</v>
      </c>
      <c r="AP22" s="71"/>
      <c r="AQ22" s="10">
        <f t="shared" si="9"/>
        <v>656310000</v>
      </c>
      <c r="AR22" s="10">
        <f t="shared" si="26"/>
        <v>518097174.57257915</v>
      </c>
      <c r="AS22" s="71"/>
      <c r="AT22" s="7">
        <f>IF($K22&lt;=$F$15,IF($F$40&lt;&gt;"",$F$40/1000,IF(ISERROR(VLOOKUP($F$3&amp;IF($G$4&lt;&gt;"",$G$4,"")&amp;IF($F$43&lt;&gt;"","_"&amp;$F$43,""),'表3）燃料価格'!$AF$9:$AG$25,2,0)),0,VLOOKUP($I22,'表3）燃料価格'!$A$6:$U$66,VLOOKUP($F$3&amp;IF($G$4&lt;&gt;"",$G$4,"")&amp;IF($F$43&lt;&gt;"","_"&amp;$F$43,""),'表3）燃料価格'!$AF$9:$AG$25,2,0)+VLOOKUP($F$41,'表3）燃料価格'!$AF$28:$AG$29,2,0),0)*IF($F$43="需要地価格",1,$F$8/$F$141))),"")</f>
        <v>48.976277758258597</v>
      </c>
      <c r="AU22" s="71"/>
      <c r="AV22" s="10">
        <f t="shared" si="10"/>
        <v>31159624547.090786</v>
      </c>
      <c r="AW22" s="10">
        <f t="shared" si="27"/>
        <v>24597695355.228653</v>
      </c>
      <c r="AX22" s="71"/>
      <c r="AY22" s="7">
        <f>IF(ISERROR(IF($K22&lt;=$F$15,VLOOKUP($I22,'表4）CO2価格'!$A$7:$E$67,VLOOKUP($F$48,'表4）CO2価格'!$H$10:$I$12,2,0),0)*$F$8/1000,"")),0,IF($K22&lt;=$F$15,VLOOKUP($I22,'表4）CO2価格'!$A$7:$E$67,VLOOKUP($F$48,'表4）CO2価格'!$H$10:$I$12,2,0),0)*$F$8/1000,""))</f>
        <v>5.1788000000000105</v>
      </c>
      <c r="AZ22" s="71"/>
      <c r="BA22" s="11">
        <f t="shared" si="11"/>
        <v>8670132764.8320179</v>
      </c>
      <c r="BB22" s="10">
        <f t="shared" si="28"/>
        <v>6844282867.2862101</v>
      </c>
      <c r="BC22" s="71"/>
      <c r="BD22" s="10">
        <f t="shared" si="12"/>
        <v>0</v>
      </c>
      <c r="BE22" s="10">
        <f t="shared" si="29"/>
        <v>0</v>
      </c>
      <c r="BF22" s="71"/>
      <c r="BG22" s="11">
        <f t="shared" si="13"/>
        <v>0</v>
      </c>
      <c r="BH22" s="10">
        <f t="shared" si="30"/>
        <v>0</v>
      </c>
      <c r="BJ22" s="7" t="str">
        <f t="shared" si="31"/>
        <v/>
      </c>
      <c r="BK22" s="158" t="str">
        <f t="shared" si="32"/>
        <v/>
      </c>
      <c r="BL22" s="158" t="str">
        <f t="shared" si="14"/>
        <v/>
      </c>
      <c r="BM22" s="10"/>
      <c r="BN22" s="10" t="str">
        <f t="shared" si="33"/>
        <v/>
      </c>
      <c r="BO22" s="10" t="str">
        <f t="shared" si="34"/>
        <v/>
      </c>
      <c r="BQ22" s="10">
        <f t="shared" si="15"/>
        <v>5092319400</v>
      </c>
      <c r="BR22" s="10">
        <f t="shared" si="35"/>
        <v>4019923958.4360008</v>
      </c>
    </row>
    <row r="23" spans="3:70" x14ac:dyDescent="0.15">
      <c r="D23" s="81" t="s">
        <v>112</v>
      </c>
      <c r="F23" s="67">
        <v>57</v>
      </c>
      <c r="G23" s="81" t="s">
        <v>172</v>
      </c>
      <c r="I23" s="458">
        <f t="shared" si="36"/>
        <v>2038</v>
      </c>
      <c r="J23" s="39"/>
      <c r="K23" s="39">
        <f t="shared" si="37"/>
        <v>9</v>
      </c>
      <c r="L23" s="39"/>
      <c r="M23" s="40">
        <f t="shared" si="0"/>
        <v>0.76641673234362695</v>
      </c>
      <c r="N23" s="39"/>
      <c r="O23" s="72">
        <f t="shared" si="16"/>
        <v>32119334728.072937</v>
      </c>
      <c r="P23" s="41">
        <f t="shared" si="1"/>
        <v>0.16700000000000001</v>
      </c>
      <c r="Q23" s="39"/>
      <c r="R23" s="72">
        <f t="shared" si="17"/>
        <v>40576370442.88266</v>
      </c>
      <c r="S23" s="39"/>
      <c r="T23" s="72">
        <f t="shared" si="18"/>
        <v>40576370000</v>
      </c>
      <c r="U23" s="39"/>
      <c r="V23" s="72">
        <f t="shared" si="2"/>
        <v>5363928899.5881805</v>
      </c>
      <c r="W23" s="72">
        <f t="shared" si="19"/>
        <v>4111004859.7459202</v>
      </c>
      <c r="X23" s="39"/>
      <c r="Y23" s="72">
        <f t="shared" si="3"/>
        <v>568069100</v>
      </c>
      <c r="Z23" s="72">
        <f t="shared" si="20"/>
        <v>435377663.36738503</v>
      </c>
      <c r="AA23" s="39"/>
      <c r="AB23" s="72">
        <f t="shared" si="4"/>
        <v>0</v>
      </c>
      <c r="AC23" s="72">
        <f t="shared" si="21"/>
        <v>0</v>
      </c>
      <c r="AD23" s="39"/>
      <c r="AE23" s="72">
        <f t="shared" si="5"/>
        <v>0</v>
      </c>
      <c r="AF23" s="72">
        <f t="shared" si="22"/>
        <v>0</v>
      </c>
      <c r="AG23" s="39"/>
      <c r="AH23" s="72">
        <f t="shared" si="6"/>
        <v>620000000</v>
      </c>
      <c r="AI23" s="72">
        <f t="shared" si="23"/>
        <v>475178374.05304873</v>
      </c>
      <c r="AJ23" s="39"/>
      <c r="AK23" s="72">
        <f t="shared" si="7"/>
        <v>3325200000</v>
      </c>
      <c r="AL23" s="72">
        <f t="shared" si="24"/>
        <v>2548488918.3890285</v>
      </c>
      <c r="AM23" s="39"/>
      <c r="AN23" s="72">
        <f t="shared" si="8"/>
        <v>1524050000</v>
      </c>
      <c r="AO23" s="72">
        <f t="shared" si="25"/>
        <v>1168057420.9283047</v>
      </c>
      <c r="AP23" s="39"/>
      <c r="AQ23" s="72">
        <f t="shared" si="9"/>
        <v>656310000</v>
      </c>
      <c r="AR23" s="72">
        <f t="shared" si="26"/>
        <v>503006965.60444582</v>
      </c>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48.901892195469408</v>
      </c>
      <c r="AU23" s="39"/>
      <c r="AV23" s="72">
        <f t="shared" si="10"/>
        <v>31114858366.349541</v>
      </c>
      <c r="AW23" s="72">
        <f t="shared" si="27"/>
        <v>23846948076.472378</v>
      </c>
      <c r="AX23" s="39"/>
      <c r="AY23" s="40">
        <f>IF(ISERROR(IF($K23&lt;=$F$15,VLOOKUP($I23,'表4）CO2価格'!$A$7:$E$67,VLOOKUP($F$48,'表4）CO2価格'!$H$10:$I$12,2,0),0)*$F$8/1000,"")),0,IF($K23&lt;=$F$15,VLOOKUP($I23,'表4）CO2価格'!$A$7:$E$67,VLOOKUP($F$48,'表4）CO2価格'!$H$10:$I$12,2,0),0)*$F$8/1000,""))</f>
        <v>5.3071999999999901</v>
      </c>
      <c r="AZ23" s="39"/>
      <c r="BA23" s="42">
        <f t="shared" si="11"/>
        <v>8885094734.207983</v>
      </c>
      <c r="BB23" s="72">
        <f t="shared" si="28"/>
        <v>6809685272.755249</v>
      </c>
      <c r="BC23" s="39"/>
      <c r="BD23" s="72">
        <f t="shared" si="12"/>
        <v>0</v>
      </c>
      <c r="BE23" s="72">
        <f t="shared" si="29"/>
        <v>0</v>
      </c>
      <c r="BF23" s="39"/>
      <c r="BG23" s="42">
        <f t="shared" si="13"/>
        <v>0</v>
      </c>
      <c r="BH23" s="72">
        <f t="shared" si="30"/>
        <v>0</v>
      </c>
      <c r="BI23" s="39"/>
      <c r="BJ23" s="40" t="str">
        <f t="shared" si="31"/>
        <v/>
      </c>
      <c r="BK23" s="157" t="str">
        <f t="shared" si="32"/>
        <v/>
      </c>
      <c r="BL23" s="157" t="str">
        <f t="shared" si="14"/>
        <v/>
      </c>
      <c r="BM23" s="72"/>
      <c r="BN23" s="72" t="str">
        <f t="shared" si="33"/>
        <v/>
      </c>
      <c r="BO23" s="72" t="str">
        <f t="shared" si="34"/>
        <v/>
      </c>
      <c r="BP23" s="39"/>
      <c r="BQ23" s="72">
        <f t="shared" si="15"/>
        <v>5092319400</v>
      </c>
      <c r="BR23" s="72">
        <f t="shared" si="35"/>
        <v>3902838794.5980592</v>
      </c>
    </row>
    <row r="24" spans="3:70" x14ac:dyDescent="0.15">
      <c r="D24" s="81" t="s">
        <v>113</v>
      </c>
      <c r="F24" s="68">
        <v>2.2999999999999998</v>
      </c>
      <c r="G24" s="81" t="s">
        <v>172</v>
      </c>
      <c r="I24" s="459">
        <f t="shared" si="36"/>
        <v>2039</v>
      </c>
      <c r="J24" s="71"/>
      <c r="K24" s="71">
        <f t="shared" si="37"/>
        <v>10</v>
      </c>
      <c r="L24" s="71"/>
      <c r="M24" s="7">
        <f t="shared" si="0"/>
        <v>0.74409391489672516</v>
      </c>
      <c r="N24" s="71"/>
      <c r="O24" s="10">
        <f t="shared" si="16"/>
        <v>26755405828.484756</v>
      </c>
      <c r="P24" s="29">
        <f t="shared" si="1"/>
        <v>0.16700000000000001</v>
      </c>
      <c r="Q24" s="71"/>
      <c r="R24" s="10">
        <f t="shared" si="17"/>
        <v>34802186508.565239</v>
      </c>
      <c r="S24" s="71"/>
      <c r="T24" s="10">
        <f t="shared" si="18"/>
        <v>34802186000</v>
      </c>
      <c r="U24" s="71"/>
      <c r="V24" s="10">
        <f t="shared" si="2"/>
        <v>4468152773.3569546</v>
      </c>
      <c r="W24" s="10">
        <f t="shared" si="19"/>
        <v>3324725289.4838362</v>
      </c>
      <c r="X24" s="71"/>
      <c r="Y24" s="10">
        <f t="shared" si="3"/>
        <v>487230600</v>
      </c>
      <c r="Z24" s="10">
        <f t="shared" si="20"/>
        <v>362545324.61148036</v>
      </c>
      <c r="AA24" s="71"/>
      <c r="AB24" s="10">
        <f t="shared" si="4"/>
        <v>0</v>
      </c>
      <c r="AC24" s="10">
        <f t="shared" si="21"/>
        <v>0</v>
      </c>
      <c r="AD24" s="71"/>
      <c r="AE24" s="10">
        <f t="shared" si="5"/>
        <v>0</v>
      </c>
      <c r="AF24" s="10">
        <f t="shared" si="22"/>
        <v>0</v>
      </c>
      <c r="AG24" s="71"/>
      <c r="AH24" s="10">
        <f t="shared" si="6"/>
        <v>620000000</v>
      </c>
      <c r="AI24" s="10">
        <f t="shared" si="23"/>
        <v>461338227.2359696</v>
      </c>
      <c r="AJ24" s="71"/>
      <c r="AK24" s="10">
        <f t="shared" si="7"/>
        <v>3325200000</v>
      </c>
      <c r="AL24" s="10">
        <f t="shared" si="24"/>
        <v>2474261085.8145905</v>
      </c>
      <c r="AM24" s="71"/>
      <c r="AN24" s="10">
        <f t="shared" si="8"/>
        <v>1524050000</v>
      </c>
      <c r="AO24" s="10">
        <f t="shared" si="25"/>
        <v>1134036330.998354</v>
      </c>
      <c r="AP24" s="71"/>
      <c r="AQ24" s="10">
        <f t="shared" si="9"/>
        <v>656310000</v>
      </c>
      <c r="AR24" s="10">
        <f t="shared" si="26"/>
        <v>488356277.28586972</v>
      </c>
      <c r="AS24" s="71"/>
      <c r="AT24" s="7">
        <f>IF($K24&lt;=$F$15,IF($F$40&lt;&gt;"",$F$40/1000,IF(ISERROR(VLOOKUP($F$3&amp;IF($G$4&lt;&gt;"",$G$4,"")&amp;IF($F$43&lt;&gt;"","_"&amp;$F$43,""),'表3）燃料価格'!$AF$9:$AG$25,2,0)),0,VLOOKUP($I24,'表3）燃料価格'!$A$6:$U$66,VLOOKUP($F$3&amp;IF($G$4&lt;&gt;"",$G$4,"")&amp;IF($F$43&lt;&gt;"","_"&amp;$F$43,""),'表3）燃料価格'!$AF$9:$AG$25,2,0)+VLOOKUP($F$41,'表3）燃料価格'!$AF$28:$AG$29,2,0),0)*IF($F$43="需要地価格",1,$F$8/$F$141))),"")</f>
        <v>48.827506632680205</v>
      </c>
      <c r="AU24" s="71"/>
      <c r="AV24" s="10">
        <f t="shared" si="10"/>
        <v>31070092185.608284</v>
      </c>
      <c r="AW24" s="10">
        <f t="shared" si="27"/>
        <v>23119066530.591415</v>
      </c>
      <c r="AX24" s="71"/>
      <c r="AY24" s="7">
        <f>IF(ISERROR(IF($K24&lt;=$F$15,VLOOKUP($I24,'表4）CO2価格'!$A$7:$E$67,VLOOKUP($F$48,'表4）CO2価格'!$H$10:$I$12,2,0),0)*$F$8/1000,"")),0,IF($K24&lt;=$F$15,VLOOKUP($I24,'表4）CO2価格'!$A$7:$E$67,VLOOKUP($F$48,'表4）CO2価格'!$H$10:$I$12,2,0),0)*$F$8/1000,""))</f>
        <v>5.4355999999999716</v>
      </c>
      <c r="AZ24" s="71"/>
      <c r="BA24" s="11">
        <f t="shared" si="11"/>
        <v>9100056703.583952</v>
      </c>
      <c r="BB24" s="10">
        <f t="shared" si="28"/>
        <v>6771296818.3519707</v>
      </c>
      <c r="BC24" s="71"/>
      <c r="BD24" s="10">
        <f t="shared" si="12"/>
        <v>0</v>
      </c>
      <c r="BE24" s="10">
        <f t="shared" si="29"/>
        <v>0</v>
      </c>
      <c r="BF24" s="71"/>
      <c r="BG24" s="11">
        <f t="shared" si="13"/>
        <v>0</v>
      </c>
      <c r="BH24" s="10">
        <f t="shared" si="30"/>
        <v>0</v>
      </c>
      <c r="BJ24" s="7" t="str">
        <f t="shared" si="31"/>
        <v/>
      </c>
      <c r="BK24" s="158" t="str">
        <f t="shared" si="32"/>
        <v/>
      </c>
      <c r="BL24" s="158" t="str">
        <f t="shared" si="14"/>
        <v/>
      </c>
      <c r="BM24" s="10"/>
      <c r="BN24" s="10" t="str">
        <f t="shared" si="33"/>
        <v/>
      </c>
      <c r="BO24" s="10" t="str">
        <f t="shared" si="34"/>
        <v/>
      </c>
      <c r="BQ24" s="10">
        <f t="shared" si="15"/>
        <v>5092319400</v>
      </c>
      <c r="BR24" s="10">
        <f t="shared" si="35"/>
        <v>3789163878.2505426</v>
      </c>
    </row>
    <row r="25" spans="3:70" x14ac:dyDescent="0.15">
      <c r="D25" s="81" t="s">
        <v>114</v>
      </c>
      <c r="F25" s="66">
        <v>1.4</v>
      </c>
      <c r="G25" s="81" t="s">
        <v>172</v>
      </c>
      <c r="I25" s="458">
        <f t="shared" si="36"/>
        <v>2040</v>
      </c>
      <c r="J25" s="39"/>
      <c r="K25" s="39">
        <f t="shared" si="37"/>
        <v>11</v>
      </c>
      <c r="L25" s="39"/>
      <c r="M25" s="40">
        <f t="shared" si="0"/>
        <v>0.72242127659876232</v>
      </c>
      <c r="N25" s="39"/>
      <c r="O25" s="72">
        <f t="shared" si="16"/>
        <v>22287253055.1278</v>
      </c>
      <c r="P25" s="41">
        <f t="shared" si="1"/>
        <v>0.2</v>
      </c>
      <c r="Q25" s="39"/>
      <c r="R25" s="72">
        <f t="shared" si="17"/>
        <v>29849692630.391754</v>
      </c>
      <c r="S25" s="39"/>
      <c r="T25" s="72">
        <f t="shared" si="18"/>
        <v>29849692000</v>
      </c>
      <c r="U25" s="39"/>
      <c r="V25" s="72">
        <f t="shared" si="2"/>
        <v>4457450611.0255604</v>
      </c>
      <c r="W25" s="72">
        <f t="shared" si="19"/>
        <v>3220157160.7930183</v>
      </c>
      <c r="X25" s="39"/>
      <c r="Y25" s="72">
        <f t="shared" si="3"/>
        <v>417895600</v>
      </c>
      <c r="Z25" s="72">
        <f t="shared" si="20"/>
        <v>301896672.83700573</v>
      </c>
      <c r="AA25" s="39"/>
      <c r="AB25" s="72">
        <f t="shared" si="4"/>
        <v>0</v>
      </c>
      <c r="AC25" s="72">
        <f t="shared" si="21"/>
        <v>0</v>
      </c>
      <c r="AD25" s="39"/>
      <c r="AE25" s="72">
        <f t="shared" si="5"/>
        <v>0</v>
      </c>
      <c r="AF25" s="72">
        <f t="shared" si="22"/>
        <v>0</v>
      </c>
      <c r="AG25" s="39"/>
      <c r="AH25" s="72">
        <f t="shared" si="6"/>
        <v>620000000</v>
      </c>
      <c r="AI25" s="72">
        <f t="shared" si="23"/>
        <v>447901191.49123263</v>
      </c>
      <c r="AJ25" s="39"/>
      <c r="AK25" s="72">
        <f t="shared" si="7"/>
        <v>3325200000</v>
      </c>
      <c r="AL25" s="72">
        <f t="shared" si="24"/>
        <v>2402195228.9462047</v>
      </c>
      <c r="AM25" s="39"/>
      <c r="AN25" s="72">
        <f t="shared" si="8"/>
        <v>1524050000</v>
      </c>
      <c r="AO25" s="72">
        <f t="shared" si="25"/>
        <v>1101006146.6003437</v>
      </c>
      <c r="AP25" s="39"/>
      <c r="AQ25" s="72">
        <f t="shared" si="9"/>
        <v>656310000</v>
      </c>
      <c r="AR25" s="72">
        <f t="shared" si="26"/>
        <v>474132308.04453367</v>
      </c>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48.753121069891002</v>
      </c>
      <c r="AU25" s="39"/>
      <c r="AV25" s="72">
        <f t="shared" si="10"/>
        <v>31025326004.867031</v>
      </c>
      <c r="AW25" s="72">
        <f t="shared" si="27"/>
        <v>22413355619.328819</v>
      </c>
      <c r="AX25" s="39"/>
      <c r="AY25" s="40">
        <f>IF(ISERROR(IF($K25&lt;=$F$15,VLOOKUP($I25,'表4）CO2価格'!$A$7:$E$67,VLOOKUP($F$48,'表4）CO2価格'!$H$10:$I$12,2,0),0)*$F$8/1000,"")),0,IF($K25&lt;=$F$15,VLOOKUP($I25,'表4）CO2価格'!$A$7:$E$67,VLOOKUP($F$48,'表4）CO2価格'!$H$10:$I$12,2,0),0)*$F$8/1000,""))</f>
        <v>5.5640000000000001</v>
      </c>
      <c r="AZ25" s="39"/>
      <c r="BA25" s="42">
        <f t="shared" si="11"/>
        <v>9315018672.960001</v>
      </c>
      <c r="BB25" s="72">
        <f t="shared" si="28"/>
        <v>6729367681.2610731</v>
      </c>
      <c r="BC25" s="39"/>
      <c r="BD25" s="72">
        <f t="shared" si="12"/>
        <v>0</v>
      </c>
      <c r="BE25" s="72">
        <f t="shared" si="29"/>
        <v>0</v>
      </c>
      <c r="BF25" s="39"/>
      <c r="BG25" s="42">
        <f t="shared" si="13"/>
        <v>0</v>
      </c>
      <c r="BH25" s="72">
        <f t="shared" si="30"/>
        <v>0</v>
      </c>
      <c r="BI25" s="39"/>
      <c r="BJ25" s="40" t="str">
        <f t="shared" si="31"/>
        <v/>
      </c>
      <c r="BK25" s="157" t="str">
        <f t="shared" si="32"/>
        <v/>
      </c>
      <c r="BL25" s="157" t="str">
        <f t="shared" si="14"/>
        <v/>
      </c>
      <c r="BM25" s="72"/>
      <c r="BN25" s="72" t="str">
        <f t="shared" si="33"/>
        <v/>
      </c>
      <c r="BO25" s="72" t="str">
        <f t="shared" si="34"/>
        <v/>
      </c>
      <c r="BP25" s="39"/>
      <c r="BQ25" s="72">
        <f t="shared" si="15"/>
        <v>5092319400</v>
      </c>
      <c r="BR25" s="72">
        <f t="shared" si="35"/>
        <v>3678799881.7966433</v>
      </c>
    </row>
    <row r="26" spans="3:70" x14ac:dyDescent="0.15">
      <c r="D26" s="81" t="s">
        <v>115</v>
      </c>
      <c r="F26" s="59"/>
      <c r="G26" s="81" t="s">
        <v>175</v>
      </c>
      <c r="I26" s="459">
        <f t="shared" si="36"/>
        <v>2041</v>
      </c>
      <c r="J26" s="71"/>
      <c r="K26" s="71">
        <f t="shared" si="37"/>
        <v>12</v>
      </c>
      <c r="L26" s="71"/>
      <c r="M26" s="7">
        <f t="shared" si="0"/>
        <v>0.70137988019297326</v>
      </c>
      <c r="N26" s="71"/>
      <c r="O26" s="10">
        <f t="shared" si="16"/>
        <v>17829802444.102242</v>
      </c>
      <c r="P26" s="29" t="str">
        <f t="shared" si="1"/>
        <v>-</v>
      </c>
      <c r="Q26" s="71"/>
      <c r="R26" s="10">
        <f t="shared" si="17"/>
        <v>25601958943.285847</v>
      </c>
      <c r="S26" s="71"/>
      <c r="T26" s="10">
        <f t="shared" si="18"/>
        <v>25601958000</v>
      </c>
      <c r="U26" s="71"/>
      <c r="V26" s="10">
        <f t="shared" si="2"/>
        <v>4457450611.0255604</v>
      </c>
      <c r="W26" s="10">
        <f t="shared" si="19"/>
        <v>3126366175.5272031</v>
      </c>
      <c r="X26" s="71"/>
      <c r="Y26" s="10">
        <f t="shared" si="3"/>
        <v>358427400</v>
      </c>
      <c r="Z26" s="10">
        <f t="shared" si="20"/>
        <v>251393766.86987892</v>
      </c>
      <c r="AA26" s="71"/>
      <c r="AB26" s="10">
        <f t="shared" si="4"/>
        <v>0</v>
      </c>
      <c r="AC26" s="10">
        <f t="shared" si="21"/>
        <v>0</v>
      </c>
      <c r="AD26" s="71"/>
      <c r="AE26" s="10">
        <f t="shared" si="5"/>
        <v>0</v>
      </c>
      <c r="AF26" s="10">
        <f t="shared" si="22"/>
        <v>0</v>
      </c>
      <c r="AG26" s="71"/>
      <c r="AH26" s="10">
        <f t="shared" si="6"/>
        <v>620000000</v>
      </c>
      <c r="AI26" s="10">
        <f t="shared" si="23"/>
        <v>434855525.71964341</v>
      </c>
      <c r="AJ26" s="71"/>
      <c r="AK26" s="10">
        <f t="shared" si="7"/>
        <v>3325200000</v>
      </c>
      <c r="AL26" s="10">
        <f t="shared" si="24"/>
        <v>2332228377.6176748</v>
      </c>
      <c r="AM26" s="71"/>
      <c r="AN26" s="10">
        <f t="shared" si="8"/>
        <v>1524050000</v>
      </c>
      <c r="AO26" s="10">
        <f t="shared" si="25"/>
        <v>1068938006.4081008</v>
      </c>
      <c r="AP26" s="71"/>
      <c r="AQ26" s="10">
        <f t="shared" si="9"/>
        <v>656310000</v>
      </c>
      <c r="AR26" s="10">
        <f t="shared" si="26"/>
        <v>460322629.16945028</v>
      </c>
      <c r="AS26" s="71"/>
      <c r="AT26" s="7">
        <f>IF($K26&lt;=$F$15,IF($F$40&lt;&gt;"",$F$40/1000,IF(ISERROR(VLOOKUP($F$3&amp;IF($G$4&lt;&gt;"",$G$4,"")&amp;IF($F$43&lt;&gt;"","_"&amp;$F$43,""),'表3）燃料価格'!$AF$9:$AG$25,2,0)),0,VLOOKUP($I26,'表3）燃料価格'!$A$6:$U$66,VLOOKUP($F$3&amp;IF($G$4&lt;&gt;"",$G$4,"")&amp;IF($F$43&lt;&gt;"","_"&amp;$F$43,""),'表3）燃料価格'!$AF$9:$AG$25,2,0)+VLOOKUP($F$41,'表3）燃料価格'!$AF$28:$AG$29,2,0),0)*IF($F$43="需要地価格",1,$F$8/$F$141))),"")</f>
        <v>48.601524950900931</v>
      </c>
      <c r="AU26" s="71"/>
      <c r="AV26" s="10">
        <f t="shared" si="10"/>
        <v>30934093526.306454</v>
      </c>
      <c r="AW26" s="10">
        <f t="shared" si="27"/>
        <v>21696550811.359051</v>
      </c>
      <c r="AX26" s="71"/>
      <c r="AY26" s="7">
        <f>IF(ISERROR(IF($K26&lt;=$F$15,VLOOKUP($I26,'表4）CO2価格'!$A$7:$E$67,VLOOKUP($F$48,'表4）CO2価格'!$H$10:$I$12,2,0),0)*$F$8/1000,"")),0,IF($K26&lt;=$F$15,VLOOKUP($I26,'表4）CO2価格'!$A$7:$E$67,VLOOKUP($F$48,'表4）CO2価格'!$H$10:$I$12,2,0),0)*$F$8/1000,""))</f>
        <v>5.6923999999999806</v>
      </c>
      <c r="AZ26" s="71"/>
      <c r="BA26" s="11">
        <f t="shared" si="11"/>
        <v>9529980642.335968</v>
      </c>
      <c r="BB26" s="10">
        <f t="shared" si="28"/>
        <v>6684136681.1629553</v>
      </c>
      <c r="BC26" s="71"/>
      <c r="BD26" s="10">
        <f t="shared" si="12"/>
        <v>0</v>
      </c>
      <c r="BE26" s="10">
        <f t="shared" si="29"/>
        <v>0</v>
      </c>
      <c r="BF26" s="71"/>
      <c r="BG26" s="11">
        <f t="shared" si="13"/>
        <v>0</v>
      </c>
      <c r="BH26" s="10">
        <f t="shared" si="30"/>
        <v>0</v>
      </c>
      <c r="BJ26" s="7" t="str">
        <f t="shared" si="31"/>
        <v/>
      </c>
      <c r="BK26" s="158" t="str">
        <f t="shared" si="32"/>
        <v/>
      </c>
      <c r="BL26" s="158" t="str">
        <f t="shared" si="14"/>
        <v/>
      </c>
      <c r="BM26" s="10"/>
      <c r="BN26" s="10" t="str">
        <f t="shared" si="33"/>
        <v/>
      </c>
      <c r="BO26" s="10" t="str">
        <f t="shared" si="34"/>
        <v/>
      </c>
      <c r="BQ26" s="10">
        <f t="shared" si="15"/>
        <v>5092319400</v>
      </c>
      <c r="BR26" s="10">
        <f t="shared" si="35"/>
        <v>3571650370.6763535</v>
      </c>
    </row>
    <row r="27" spans="3:70" x14ac:dyDescent="0.15">
      <c r="D27" s="82" t="s">
        <v>86</v>
      </c>
      <c r="F27" s="59">
        <f>F117*5%/10^8</f>
        <v>69.275000000000006</v>
      </c>
      <c r="G27" s="81" t="s">
        <v>176</v>
      </c>
      <c r="I27" s="458">
        <f t="shared" si="36"/>
        <v>2042</v>
      </c>
      <c r="J27" s="39"/>
      <c r="K27" s="39">
        <f t="shared" si="37"/>
        <v>13</v>
      </c>
      <c r="L27" s="39"/>
      <c r="M27" s="40">
        <f t="shared" si="0"/>
        <v>0.68095133999317792</v>
      </c>
      <c r="N27" s="39"/>
      <c r="O27" s="72">
        <f t="shared" si="16"/>
        <v>13372351833.076681</v>
      </c>
      <c r="P27" s="41" t="str">
        <f t="shared" si="1"/>
        <v>-</v>
      </c>
      <c r="Q27" s="39"/>
      <c r="R27" s="72">
        <f t="shared" si="17"/>
        <v>21958695181.548733</v>
      </c>
      <c r="S27" s="39"/>
      <c r="T27" s="72">
        <f t="shared" si="18"/>
        <v>21958695000</v>
      </c>
      <c r="U27" s="39"/>
      <c r="V27" s="72">
        <f t="shared" si="2"/>
        <v>4457450611.0255604</v>
      </c>
      <c r="W27" s="72">
        <f t="shared" si="19"/>
        <v>3035306966.5312648</v>
      </c>
      <c r="X27" s="39"/>
      <c r="Y27" s="72">
        <f t="shared" si="3"/>
        <v>307421700</v>
      </c>
      <c r="Z27" s="72">
        <f t="shared" si="20"/>
        <v>209339218.55798075</v>
      </c>
      <c r="AA27" s="39"/>
      <c r="AB27" s="72">
        <f t="shared" si="4"/>
        <v>0</v>
      </c>
      <c r="AC27" s="72">
        <f t="shared" si="21"/>
        <v>0</v>
      </c>
      <c r="AD27" s="39"/>
      <c r="AE27" s="72">
        <f t="shared" si="5"/>
        <v>0</v>
      </c>
      <c r="AF27" s="72">
        <f t="shared" si="22"/>
        <v>0</v>
      </c>
      <c r="AG27" s="39"/>
      <c r="AH27" s="72">
        <f t="shared" si="6"/>
        <v>620000000</v>
      </c>
      <c r="AI27" s="72">
        <f t="shared" si="23"/>
        <v>422189830.79577029</v>
      </c>
      <c r="AJ27" s="39"/>
      <c r="AK27" s="72">
        <f t="shared" si="7"/>
        <v>3325200000</v>
      </c>
      <c r="AL27" s="72">
        <f t="shared" si="24"/>
        <v>2264299395.7453151</v>
      </c>
      <c r="AM27" s="39"/>
      <c r="AN27" s="72">
        <f t="shared" si="8"/>
        <v>1524050000</v>
      </c>
      <c r="AO27" s="72">
        <f t="shared" si="25"/>
        <v>1037803889.7166028</v>
      </c>
      <c r="AP27" s="39"/>
      <c r="AQ27" s="72">
        <f t="shared" si="9"/>
        <v>656310000</v>
      </c>
      <c r="AR27" s="72">
        <f t="shared" si="26"/>
        <v>446915173.95092261</v>
      </c>
      <c r="AS27" s="39"/>
      <c r="AT27" s="40">
        <f>IF($K27&lt;=$F$15,IF($F$40&lt;&gt;"",$F$40/1000,IF(ISERROR(VLOOKUP($F$3&amp;IF($G$4&lt;&gt;"",$G$4,"")&amp;IF($F$43&lt;&gt;"","_"&amp;$F$43,""),'表3）燃料価格'!$AF$9:$AG$25,2,0)),0,VLOOKUP($I27,'表3）燃料価格'!$A$6:$U$66,VLOOKUP($F$3&amp;IF($G$4&lt;&gt;"",$G$4,"")&amp;IF($F$43&lt;&gt;"","_"&amp;$F$43,""),'表3）燃料価格'!$AF$9:$AG$25,2,0)+VLOOKUP($F$41,'表3）燃料価格'!$AF$28:$AG$29,2,0),0)*IF($F$43="需要地価格",1,$F$8/$F$141))),"")</f>
        <v>48.45544265623667</v>
      </c>
      <c r="AU27" s="39"/>
      <c r="AV27" s="72">
        <f t="shared" si="10"/>
        <v>30846179337.573761</v>
      </c>
      <c r="AW27" s="72">
        <f t="shared" si="27"/>
        <v>21004747153.590729</v>
      </c>
      <c r="AX27" s="39"/>
      <c r="AY27" s="40">
        <f>IF(ISERROR(IF($K27&lt;=$F$15,VLOOKUP($I27,'表4）CO2価格'!$A$7:$E$67,VLOOKUP($F$48,'表4）CO2価格'!$H$10:$I$12,2,0),0)*$F$8/1000,"")),0,IF($K27&lt;=$F$15,VLOOKUP($I27,'表4）CO2価格'!$A$7:$E$67,VLOOKUP($F$48,'表4）CO2価格'!$H$10:$I$12,2,0),0)*$F$8/1000,""))</f>
        <v>5.82080000000001</v>
      </c>
      <c r="AZ27" s="39"/>
      <c r="BA27" s="42">
        <f t="shared" si="11"/>
        <v>9744942611.7120171</v>
      </c>
      <c r="BB27" s="72">
        <f t="shared" si="28"/>
        <v>6635831729.6019173</v>
      </c>
      <c r="BC27" s="39"/>
      <c r="BD27" s="72">
        <f t="shared" si="12"/>
        <v>0</v>
      </c>
      <c r="BE27" s="72">
        <f t="shared" si="29"/>
        <v>0</v>
      </c>
      <c r="BF27" s="39"/>
      <c r="BG27" s="42">
        <f t="shared" si="13"/>
        <v>0</v>
      </c>
      <c r="BH27" s="72">
        <f t="shared" si="30"/>
        <v>0</v>
      </c>
      <c r="BI27" s="39"/>
      <c r="BJ27" s="40" t="str">
        <f t="shared" si="31"/>
        <v/>
      </c>
      <c r="BK27" s="157" t="str">
        <f t="shared" si="32"/>
        <v/>
      </c>
      <c r="BL27" s="157" t="str">
        <f t="shared" si="14"/>
        <v/>
      </c>
      <c r="BM27" s="72"/>
      <c r="BN27" s="72" t="str">
        <f t="shared" si="33"/>
        <v/>
      </c>
      <c r="BO27" s="72" t="str">
        <f t="shared" si="34"/>
        <v/>
      </c>
      <c r="BP27" s="39"/>
      <c r="BQ27" s="72">
        <f t="shared" si="15"/>
        <v>5092319400</v>
      </c>
      <c r="BR27" s="72">
        <f t="shared" si="35"/>
        <v>3467621719.1032557</v>
      </c>
    </row>
    <row r="28" spans="3:70" x14ac:dyDescent="0.15">
      <c r="D28" s="81" t="s">
        <v>116</v>
      </c>
      <c r="F28" s="59">
        <v>1</v>
      </c>
      <c r="G28" s="81" t="s">
        <v>108</v>
      </c>
      <c r="I28" s="459">
        <f t="shared" si="36"/>
        <v>2043</v>
      </c>
      <c r="J28" s="71"/>
      <c r="K28" s="71">
        <f t="shared" si="37"/>
        <v>14</v>
      </c>
      <c r="L28" s="71"/>
      <c r="M28" s="7">
        <f t="shared" si="0"/>
        <v>0.66111780581861923</v>
      </c>
      <c r="N28" s="71"/>
      <c r="O28" s="10">
        <f t="shared" si="16"/>
        <v>8914901222.0511208</v>
      </c>
      <c r="P28" s="29" t="str">
        <f t="shared" si="1"/>
        <v>-</v>
      </c>
      <c r="Q28" s="71"/>
      <c r="R28" s="10">
        <f t="shared" si="17"/>
        <v>18833882795.621979</v>
      </c>
      <c r="S28" s="71"/>
      <c r="T28" s="10">
        <f t="shared" si="18"/>
        <v>18833882000</v>
      </c>
      <c r="U28" s="71"/>
      <c r="V28" s="10">
        <f t="shared" si="2"/>
        <v>4457450611.0255604</v>
      </c>
      <c r="W28" s="10">
        <f t="shared" si="19"/>
        <v>2946899967.5060821</v>
      </c>
      <c r="X28" s="71"/>
      <c r="Y28" s="10">
        <f t="shared" si="3"/>
        <v>263674300</v>
      </c>
      <c r="Z28" s="10">
        <f t="shared" si="20"/>
        <v>174319774.66676036</v>
      </c>
      <c r="AA28" s="71"/>
      <c r="AB28" s="10">
        <f t="shared" si="4"/>
        <v>0</v>
      </c>
      <c r="AC28" s="10">
        <f t="shared" si="21"/>
        <v>0</v>
      </c>
      <c r="AD28" s="71"/>
      <c r="AE28" s="10">
        <f t="shared" si="5"/>
        <v>0</v>
      </c>
      <c r="AF28" s="10">
        <f t="shared" si="22"/>
        <v>0</v>
      </c>
      <c r="AG28" s="71"/>
      <c r="AH28" s="10">
        <f t="shared" si="6"/>
        <v>620000000</v>
      </c>
      <c r="AI28" s="10">
        <f t="shared" si="23"/>
        <v>409893039.60754395</v>
      </c>
      <c r="AJ28" s="71"/>
      <c r="AK28" s="10">
        <f t="shared" si="7"/>
        <v>3325200000</v>
      </c>
      <c r="AL28" s="10">
        <f t="shared" si="24"/>
        <v>2198348927.9080725</v>
      </c>
      <c r="AM28" s="71"/>
      <c r="AN28" s="10">
        <f t="shared" si="8"/>
        <v>1524050000</v>
      </c>
      <c r="AO28" s="10">
        <f t="shared" si="25"/>
        <v>1007576591.9578667</v>
      </c>
      <c r="AP28" s="71"/>
      <c r="AQ28" s="10">
        <f t="shared" si="9"/>
        <v>656310000</v>
      </c>
      <c r="AR28" s="10">
        <f t="shared" si="26"/>
        <v>433898227.13681799</v>
      </c>
      <c r="AS28" s="71"/>
      <c r="AT28" s="7">
        <f>IF($K28&lt;=$F$15,IF($F$40&lt;&gt;"",$F$40/1000,IF(ISERROR(VLOOKUP($F$3&amp;IF($G$4&lt;&gt;"",$G$4,"")&amp;IF($F$43&lt;&gt;"","_"&amp;$F$43,""),'表3）燃料価格'!$AF$9:$AG$25,2,0)),0,VLOOKUP($I28,'表3）燃料価格'!$A$6:$U$66,VLOOKUP($F$3&amp;IF($G$4&lt;&gt;"",$G$4,"")&amp;IF($F$43&lt;&gt;"","_"&amp;$F$43,""),'表3）燃料価格'!$AF$9:$AG$25,2,0)+VLOOKUP($F$41,'表3）燃料価格'!$AF$28:$AG$29,2,0),0)*IF($F$43="需要地価格",1,$F$8/$F$141))),"")</f>
        <v>48.314487127285105</v>
      </c>
      <c r="AU28" s="71"/>
      <c r="AV28" s="10">
        <f t="shared" si="10"/>
        <v>30761350501.857258</v>
      </c>
      <c r="AW28" s="10">
        <f t="shared" si="27"/>
        <v>20336876547.805351</v>
      </c>
      <c r="AX28" s="71"/>
      <c r="AY28" s="7">
        <f>IF(ISERROR(IF($K28&lt;=$F$15,VLOOKUP($I28,'表4）CO2価格'!$A$7:$E$67,VLOOKUP($F$48,'表4）CO2価格'!$H$10:$I$12,2,0),0)*$F$8/1000,"")),0,IF($K28&lt;=$F$15,VLOOKUP($I28,'表4）CO2価格'!$A$7:$E$67,VLOOKUP($F$48,'表4）CO2価格'!$H$10:$I$12,2,0),0)*$F$8/1000,""))</f>
        <v>5.9491999999999896</v>
      </c>
      <c r="AZ28" s="71"/>
      <c r="BA28" s="11">
        <f t="shared" si="11"/>
        <v>9959904581.0879822</v>
      </c>
      <c r="BB28" s="10">
        <f t="shared" si="28"/>
        <v>6584670262.8117008</v>
      </c>
      <c r="BC28" s="71"/>
      <c r="BD28" s="10">
        <f t="shared" si="12"/>
        <v>0</v>
      </c>
      <c r="BE28" s="10">
        <f t="shared" si="29"/>
        <v>0</v>
      </c>
      <c r="BF28" s="71"/>
      <c r="BG28" s="11">
        <f t="shared" si="13"/>
        <v>0</v>
      </c>
      <c r="BH28" s="10">
        <f t="shared" si="30"/>
        <v>0</v>
      </c>
      <c r="BJ28" s="7" t="str">
        <f t="shared" si="31"/>
        <v/>
      </c>
      <c r="BK28" s="158" t="str">
        <f t="shared" si="32"/>
        <v/>
      </c>
      <c r="BL28" s="158" t="str">
        <f t="shared" si="14"/>
        <v/>
      </c>
      <c r="BM28" s="10"/>
      <c r="BN28" s="10" t="str">
        <f t="shared" si="33"/>
        <v/>
      </c>
      <c r="BO28" s="10" t="str">
        <f t="shared" si="34"/>
        <v/>
      </c>
      <c r="BQ28" s="10">
        <f t="shared" si="15"/>
        <v>5092319400</v>
      </c>
      <c r="BR28" s="10">
        <f t="shared" si="35"/>
        <v>3366623028.2555876</v>
      </c>
    </row>
    <row r="29" spans="3:70" x14ac:dyDescent="0.15">
      <c r="D29" s="81" t="s">
        <v>117</v>
      </c>
      <c r="F29" s="59"/>
      <c r="G29" s="81" t="s">
        <v>176</v>
      </c>
      <c r="I29" s="458">
        <f t="shared" si="36"/>
        <v>2044</v>
      </c>
      <c r="J29" s="39"/>
      <c r="K29" s="39">
        <f t="shared" si="37"/>
        <v>15</v>
      </c>
      <c r="L29" s="39"/>
      <c r="M29" s="40">
        <f t="shared" si="0"/>
        <v>0.64186194739671765</v>
      </c>
      <c r="N29" s="39"/>
      <c r="O29" s="72">
        <f t="shared" si="16"/>
        <v>4457450611.0255604</v>
      </c>
      <c r="P29" s="41" t="str">
        <f t="shared" si="1"/>
        <v>-</v>
      </c>
      <c r="Q29" s="39"/>
      <c r="R29" s="72">
        <f t="shared" si="17"/>
        <v>16153744028.346575</v>
      </c>
      <c r="S29" s="39"/>
      <c r="T29" s="72">
        <f t="shared" si="18"/>
        <v>16153744000</v>
      </c>
      <c r="U29" s="39"/>
      <c r="V29" s="72">
        <f t="shared" si="2"/>
        <v>4457450611.0255604</v>
      </c>
      <c r="W29" s="72">
        <f t="shared" si="19"/>
        <v>2861067929.6175551</v>
      </c>
      <c r="X29" s="39"/>
      <c r="Y29" s="72">
        <f t="shared" si="3"/>
        <v>226152400</v>
      </c>
      <c r="Z29" s="72">
        <f t="shared" si="20"/>
        <v>145158619.87244144</v>
      </c>
      <c r="AA29" s="39"/>
      <c r="AB29" s="72">
        <f t="shared" si="4"/>
        <v>0</v>
      </c>
      <c r="AC29" s="72">
        <f t="shared" si="21"/>
        <v>0</v>
      </c>
      <c r="AD29" s="39"/>
      <c r="AE29" s="72">
        <f t="shared" si="5"/>
        <v>0</v>
      </c>
      <c r="AF29" s="72">
        <f t="shared" si="22"/>
        <v>0</v>
      </c>
      <c r="AG29" s="39"/>
      <c r="AH29" s="72">
        <f t="shared" si="6"/>
        <v>620000000</v>
      </c>
      <c r="AI29" s="72">
        <f t="shared" si="23"/>
        <v>397954407.38596493</v>
      </c>
      <c r="AJ29" s="39"/>
      <c r="AK29" s="72">
        <f t="shared" si="7"/>
        <v>3325200000</v>
      </c>
      <c r="AL29" s="72">
        <f t="shared" si="24"/>
        <v>2134319347.4835656</v>
      </c>
      <c r="AM29" s="39"/>
      <c r="AN29" s="72">
        <f t="shared" si="8"/>
        <v>1524050000</v>
      </c>
      <c r="AO29" s="72">
        <f t="shared" si="25"/>
        <v>978229700.92996752</v>
      </c>
      <c r="AP29" s="39"/>
      <c r="AQ29" s="72">
        <f t="shared" si="9"/>
        <v>656310000</v>
      </c>
      <c r="AR29" s="72">
        <f t="shared" si="26"/>
        <v>421260414.69593978</v>
      </c>
      <c r="AS29" s="39"/>
      <c r="AT29" s="40">
        <f>IF($K29&lt;=$F$15,IF($F$40&lt;&gt;"",$F$40/1000,IF(ISERROR(VLOOKUP($F$3&amp;IF($G$4&lt;&gt;"",$G$4,"")&amp;IF($F$43&lt;&gt;"","_"&amp;$F$43,""),'表3）燃料価格'!$AF$9:$AG$25,2,0)),0,VLOOKUP($I29,'表3）燃料価格'!$A$6:$U$66,VLOOKUP($F$3&amp;IF($G$4&lt;&gt;"",$G$4,"")&amp;IF($F$43&lt;&gt;"","_"&amp;$F$43,""),'表3）燃料価格'!$AF$9:$AG$25,2,0)+VLOOKUP($F$41,'表3）燃料価格'!$AF$28:$AG$29,2,0),0)*IF($F$43="需要地価格",1,$F$8/$F$141))),"")</f>
        <v>48.178310683240682</v>
      </c>
      <c r="AU29" s="39"/>
      <c r="AV29" s="72">
        <f t="shared" si="10"/>
        <v>30679397780.412247</v>
      </c>
      <c r="AW29" s="72">
        <f t="shared" si="27"/>
        <v>19691938004.293941</v>
      </c>
      <c r="AX29" s="39"/>
      <c r="AY29" s="40">
        <f>IF(ISERROR(IF($K29&lt;=$F$15,VLOOKUP($I29,'表4）CO2価格'!$A$7:$E$67,VLOOKUP($F$48,'表4）CO2価格'!$H$10:$I$12,2,0),0)*$F$8/1000,"")),0,IF($K29&lt;=$F$15,VLOOKUP($I29,'表4）CO2価格'!$A$7:$E$67,VLOOKUP($F$48,'表4）CO2価格'!$H$10:$I$12,2,0),0)*$F$8/1000,""))</f>
        <v>6.077599999999971</v>
      </c>
      <c r="AZ29" s="39"/>
      <c r="BA29" s="42">
        <f t="shared" si="11"/>
        <v>10174866550.463951</v>
      </c>
      <c r="BB29" s="72">
        <f t="shared" si="28"/>
        <v>6530859658.5825148</v>
      </c>
      <c r="BC29" s="39"/>
      <c r="BD29" s="72">
        <f t="shared" si="12"/>
        <v>0</v>
      </c>
      <c r="BE29" s="72">
        <f t="shared" si="29"/>
        <v>0</v>
      </c>
      <c r="BF29" s="39"/>
      <c r="BG29" s="42">
        <f t="shared" si="13"/>
        <v>0</v>
      </c>
      <c r="BH29" s="72">
        <f t="shared" si="30"/>
        <v>0</v>
      </c>
      <c r="BI29" s="39"/>
      <c r="BJ29" s="40" t="str">
        <f t="shared" si="31"/>
        <v/>
      </c>
      <c r="BK29" s="157" t="str">
        <f t="shared" si="32"/>
        <v/>
      </c>
      <c r="BL29" s="157" t="str">
        <f t="shared" si="14"/>
        <v/>
      </c>
      <c r="BM29" s="72"/>
      <c r="BN29" s="72" t="str">
        <f t="shared" si="33"/>
        <v/>
      </c>
      <c r="BO29" s="72" t="str">
        <f t="shared" si="34"/>
        <v/>
      </c>
      <c r="BP29" s="39"/>
      <c r="BQ29" s="72">
        <f t="shared" si="15"/>
        <v>5092319400</v>
      </c>
      <c r="BR29" s="72">
        <f t="shared" si="35"/>
        <v>3268566046.8500848</v>
      </c>
    </row>
    <row r="30" spans="3:70" x14ac:dyDescent="0.15">
      <c r="I30" s="459">
        <f t="shared" si="36"/>
        <v>2045</v>
      </c>
      <c r="J30" s="71"/>
      <c r="K30" s="71">
        <f t="shared" si="37"/>
        <v>16</v>
      </c>
      <c r="L30" s="71"/>
      <c r="M30" s="7">
        <f t="shared" si="0"/>
        <v>0.62316693922011435</v>
      </c>
      <c r="N30" s="71"/>
      <c r="O30" s="10">
        <f t="shared" si="16"/>
        <v>0</v>
      </c>
      <c r="P30" s="29" t="str">
        <f t="shared" si="1"/>
        <v>-</v>
      </c>
      <c r="Q30" s="71"/>
      <c r="R30" s="10">
        <f t="shared" si="17"/>
        <v>13855000000.000006</v>
      </c>
      <c r="S30" s="71"/>
      <c r="T30" s="10">
        <f t="shared" si="18"/>
        <v>13855000000</v>
      </c>
      <c r="U30" s="71"/>
      <c r="V30" s="10">
        <f t="shared" si="2"/>
        <v>0</v>
      </c>
      <c r="W30" s="10">
        <f t="shared" si="19"/>
        <v>0</v>
      </c>
      <c r="X30" s="71"/>
      <c r="Y30" s="10">
        <f t="shared" si="3"/>
        <v>193970000</v>
      </c>
      <c r="Z30" s="10">
        <f t="shared" si="20"/>
        <v>120875691.20052558</v>
      </c>
      <c r="AA30" s="71"/>
      <c r="AB30" s="10">
        <f t="shared" si="4"/>
        <v>0</v>
      </c>
      <c r="AC30" s="10">
        <f t="shared" si="21"/>
        <v>0</v>
      </c>
      <c r="AD30" s="71"/>
      <c r="AE30" s="10">
        <f t="shared" si="5"/>
        <v>0</v>
      </c>
      <c r="AF30" s="10">
        <f t="shared" si="22"/>
        <v>0</v>
      </c>
      <c r="AG30" s="71"/>
      <c r="AH30" s="10">
        <f t="shared" si="6"/>
        <v>620000000</v>
      </c>
      <c r="AI30" s="10">
        <f t="shared" si="23"/>
        <v>386363502.31647092</v>
      </c>
      <c r="AJ30" s="71"/>
      <c r="AK30" s="10">
        <f t="shared" si="7"/>
        <v>3325200000</v>
      </c>
      <c r="AL30" s="10">
        <f t="shared" si="24"/>
        <v>2072154706.2947242</v>
      </c>
      <c r="AM30" s="71"/>
      <c r="AN30" s="10">
        <f t="shared" si="8"/>
        <v>1524050000</v>
      </c>
      <c r="AO30" s="10">
        <f t="shared" si="25"/>
        <v>949737573.71841526</v>
      </c>
      <c r="AP30" s="71"/>
      <c r="AQ30" s="10">
        <f t="shared" si="9"/>
        <v>656310000</v>
      </c>
      <c r="AR30" s="10">
        <f t="shared" si="26"/>
        <v>408990693.87955326</v>
      </c>
      <c r="AS30" s="71"/>
      <c r="AT30" s="7">
        <f>IF($K30&lt;=$F$15,IF($F$40&lt;&gt;"",$F$40/1000,IF(ISERROR(VLOOKUP($F$3&amp;IF($G$4&lt;&gt;"",$G$4,"")&amp;IF($F$43&lt;&gt;"","_"&amp;$F$43,""),'表3）燃料価格'!$AF$9:$AG$25,2,0)),0,VLOOKUP($I30,'表3）燃料価格'!$A$6:$U$66,VLOOKUP($F$3&amp;IF($G$4&lt;&gt;"",$G$4,"")&amp;IF($F$43&lt;&gt;"","_"&amp;$F$43,""),'表3）燃料価格'!$AF$9:$AG$25,2,0)+VLOOKUP($F$41,'表3）燃料価格'!$AF$28:$AG$29,2,0),0)*IF($F$43="需要地価格",1,$F$8/$F$141))),"")</f>
        <v>48.046599854320583</v>
      </c>
      <c r="AU30" s="71"/>
      <c r="AV30" s="10">
        <f t="shared" si="10"/>
        <v>30600132523.123993</v>
      </c>
      <c r="AW30" s="10">
        <f t="shared" si="27"/>
        <v>19068990924.165054</v>
      </c>
      <c r="AX30" s="71"/>
      <c r="AY30" s="7">
        <f>IF(ISERROR(IF($K30&lt;=$F$15,VLOOKUP($I30,'表4）CO2価格'!$A$7:$E$67,VLOOKUP($F$48,'表4）CO2価格'!$H$10:$I$12,2,0),0)*$F$8/1000,"")),0,IF($K30&lt;=$F$15,VLOOKUP($I30,'表4）CO2価格'!$A$7:$E$67,VLOOKUP($F$48,'表4）CO2価格'!$H$10:$I$12,2,0),0)*$F$8/1000,""))</f>
        <v>6.2060000000000004</v>
      </c>
      <c r="AZ30" s="71"/>
      <c r="BA30" s="11">
        <f t="shared" si="11"/>
        <v>10389828519.84</v>
      </c>
      <c r="BB30" s="10">
        <f t="shared" si="28"/>
        <v>6474597637.7305441</v>
      </c>
      <c r="BC30" s="71"/>
      <c r="BD30" s="10">
        <f t="shared" si="12"/>
        <v>0</v>
      </c>
      <c r="BE30" s="10">
        <f t="shared" si="29"/>
        <v>0</v>
      </c>
      <c r="BF30" s="71"/>
      <c r="BG30" s="11">
        <f t="shared" si="13"/>
        <v>0</v>
      </c>
      <c r="BH30" s="10">
        <f t="shared" si="30"/>
        <v>0</v>
      </c>
      <c r="BJ30" s="7" t="str">
        <f t="shared" si="31"/>
        <v/>
      </c>
      <c r="BK30" s="158" t="str">
        <f t="shared" si="32"/>
        <v/>
      </c>
      <c r="BL30" s="158" t="str">
        <f t="shared" si="14"/>
        <v/>
      </c>
      <c r="BM30" s="10"/>
      <c r="BN30" s="10" t="str">
        <f t="shared" si="33"/>
        <v/>
      </c>
      <c r="BO30" s="10" t="str">
        <f t="shared" si="34"/>
        <v/>
      </c>
      <c r="BQ30" s="10">
        <f t="shared" si="15"/>
        <v>5092319400</v>
      </c>
      <c r="BR30" s="10">
        <f t="shared" si="35"/>
        <v>3173365094.0292091</v>
      </c>
    </row>
    <row r="31" spans="3:70" x14ac:dyDescent="0.15">
      <c r="C31" s="89" t="s">
        <v>507</v>
      </c>
      <c r="D31" s="101"/>
      <c r="E31" s="101"/>
      <c r="F31" s="89"/>
      <c r="G31" s="101"/>
      <c r="I31" s="458">
        <f t="shared" si="36"/>
        <v>2046</v>
      </c>
      <c r="J31" s="39"/>
      <c r="K31" s="39">
        <f t="shared" si="37"/>
        <v>17</v>
      </c>
      <c r="L31" s="39"/>
      <c r="M31" s="40">
        <f t="shared" si="0"/>
        <v>0.60501644584477121</v>
      </c>
      <c r="N31" s="39"/>
      <c r="O31" s="72">
        <f t="shared" si="16"/>
        <v>0</v>
      </c>
      <c r="P31" s="41" t="str">
        <f t="shared" si="1"/>
        <v>-</v>
      </c>
      <c r="Q31" s="39"/>
      <c r="R31" s="72">
        <f t="shared" si="17"/>
        <v>11883376674.976843</v>
      </c>
      <c r="S31" s="39"/>
      <c r="T31" s="72">
        <f t="shared" si="18"/>
        <v>11883376000</v>
      </c>
      <c r="U31" s="39"/>
      <c r="V31" s="72">
        <f t="shared" si="2"/>
        <v>0</v>
      </c>
      <c r="W31" s="72">
        <f t="shared" si="19"/>
        <v>0</v>
      </c>
      <c r="X31" s="39"/>
      <c r="Y31" s="72">
        <f t="shared" si="3"/>
        <v>166367200</v>
      </c>
      <c r="Z31" s="72">
        <f t="shared" si="20"/>
        <v>100654892.04914622</v>
      </c>
      <c r="AA31" s="39"/>
      <c r="AB31" s="72">
        <f t="shared" si="4"/>
        <v>0</v>
      </c>
      <c r="AC31" s="72">
        <f t="shared" si="21"/>
        <v>0</v>
      </c>
      <c r="AD31" s="39"/>
      <c r="AE31" s="72">
        <f t="shared" si="5"/>
        <v>0</v>
      </c>
      <c r="AF31" s="72">
        <f t="shared" si="22"/>
        <v>0</v>
      </c>
      <c r="AG31" s="39"/>
      <c r="AH31" s="72">
        <f t="shared" si="6"/>
        <v>620000000</v>
      </c>
      <c r="AI31" s="72">
        <f t="shared" si="23"/>
        <v>375110196.42375815</v>
      </c>
      <c r="AJ31" s="39"/>
      <c r="AK31" s="72">
        <f t="shared" si="7"/>
        <v>3325200000</v>
      </c>
      <c r="AL31" s="72">
        <f t="shared" si="24"/>
        <v>2011800685.7230332</v>
      </c>
      <c r="AM31" s="39"/>
      <c r="AN31" s="72">
        <f t="shared" si="8"/>
        <v>1524050000</v>
      </c>
      <c r="AO31" s="72">
        <f t="shared" si="25"/>
        <v>922075314.28972352</v>
      </c>
      <c r="AP31" s="39"/>
      <c r="AQ31" s="72">
        <f t="shared" si="9"/>
        <v>656310000</v>
      </c>
      <c r="AR31" s="72">
        <f t="shared" si="26"/>
        <v>397078343.57238179</v>
      </c>
      <c r="AS31" s="39"/>
      <c r="AT31" s="40">
        <f>IF($K31&lt;=$F$15,IF($F$40&lt;&gt;"",$F$40/1000,IF(ISERROR(VLOOKUP($F$3&amp;IF($G$4&lt;&gt;"",$G$4,"")&amp;IF($F$43&lt;&gt;"","_"&amp;$F$43,""),'表3）燃料価格'!$AF$9:$AG$25,2,0)),0,VLOOKUP($I31,'表3）燃料価格'!$A$6:$U$66,VLOOKUP($F$3&amp;IF($G$4&lt;&gt;"",$G$4,"")&amp;IF($F$43&lt;&gt;"","_"&amp;$F$43,""),'表3）燃料価格'!$AF$9:$AG$25,2,0)+VLOOKUP($F$41,'表3）燃料価格'!$AF$28:$AG$29,2,0),0)*IF($F$43="需要地価格",1,$F$8/$F$141))),"")</f>
        <v>47.919071035555028</v>
      </c>
      <c r="AU31" s="39"/>
      <c r="AV31" s="72">
        <f t="shared" si="10"/>
        <v>30523384052.90329</v>
      </c>
      <c r="AW31" s="72">
        <f t="shared" si="27"/>
        <v>18467149334.842518</v>
      </c>
      <c r="AX31" s="39"/>
      <c r="AY31" s="40">
        <f>IF(ISERROR(IF($K31&lt;=$F$15,VLOOKUP($I31,'表4）CO2価格'!$A$7:$E$67,VLOOKUP($F$48,'表4）CO2価格'!$H$10:$I$12,2,0),0)*$F$8/1000,"")),0,IF($K31&lt;=$F$15,VLOOKUP($I31,'表4）CO2価格'!$A$7:$E$67,VLOOKUP($F$48,'表4）CO2価格'!$H$10:$I$12,2,0),0)*$F$8/1000,""))</f>
        <v>6.3343999999999809</v>
      </c>
      <c r="AZ31" s="39"/>
      <c r="BA31" s="42">
        <f t="shared" si="11"/>
        <v>10604790489.215967</v>
      </c>
      <c r="BB31" s="72">
        <f t="shared" si="28"/>
        <v>6416072650.7138767</v>
      </c>
      <c r="BC31" s="39"/>
      <c r="BD31" s="72">
        <f t="shared" si="12"/>
        <v>0</v>
      </c>
      <c r="BE31" s="72">
        <f t="shared" si="29"/>
        <v>0</v>
      </c>
      <c r="BF31" s="39"/>
      <c r="BG31" s="42">
        <f t="shared" si="13"/>
        <v>0</v>
      </c>
      <c r="BH31" s="72">
        <f t="shared" si="30"/>
        <v>0</v>
      </c>
      <c r="BI31" s="39"/>
      <c r="BJ31" s="40" t="str">
        <f t="shared" si="31"/>
        <v/>
      </c>
      <c r="BK31" s="157" t="str">
        <f t="shared" si="32"/>
        <v/>
      </c>
      <c r="BL31" s="157" t="str">
        <f t="shared" si="14"/>
        <v/>
      </c>
      <c r="BM31" s="72"/>
      <c r="BN31" s="72" t="str">
        <f t="shared" si="33"/>
        <v/>
      </c>
      <c r="BO31" s="72" t="str">
        <f t="shared" si="34"/>
        <v/>
      </c>
      <c r="BP31" s="39"/>
      <c r="BQ31" s="72">
        <f t="shared" si="15"/>
        <v>5092319400</v>
      </c>
      <c r="BR31" s="72">
        <f t="shared" si="35"/>
        <v>3080936984.4943776</v>
      </c>
    </row>
    <row r="32" spans="3:70" x14ac:dyDescent="0.15">
      <c r="I32" s="459">
        <f t="shared" si="36"/>
        <v>2047</v>
      </c>
      <c r="J32" s="71"/>
      <c r="K32" s="71">
        <f t="shared" si="37"/>
        <v>18</v>
      </c>
      <c r="L32" s="71"/>
      <c r="M32" s="7">
        <f t="shared" si="0"/>
        <v>0.5873946076162827</v>
      </c>
      <c r="N32" s="71"/>
      <c r="O32" s="10">
        <f t="shared" si="16"/>
        <v>0</v>
      </c>
      <c r="P32" s="29" t="str">
        <f t="shared" si="1"/>
        <v>-</v>
      </c>
      <c r="Q32" s="71"/>
      <c r="R32" s="10">
        <f t="shared" si="17"/>
        <v>10192323435.538334</v>
      </c>
      <c r="S32" s="71"/>
      <c r="T32" s="10">
        <f t="shared" si="18"/>
        <v>10192323000</v>
      </c>
      <c r="U32" s="71"/>
      <c r="V32" s="10">
        <f t="shared" si="2"/>
        <v>0</v>
      </c>
      <c r="W32" s="10">
        <f t="shared" si="19"/>
        <v>0</v>
      </c>
      <c r="X32" s="71"/>
      <c r="Y32" s="10">
        <f t="shared" si="3"/>
        <v>142692500</v>
      </c>
      <c r="Z32" s="10">
        <f t="shared" si="20"/>
        <v>83816805.047286421</v>
      </c>
      <c r="AA32" s="71"/>
      <c r="AB32" s="10">
        <f t="shared" si="4"/>
        <v>0</v>
      </c>
      <c r="AC32" s="10">
        <f t="shared" si="21"/>
        <v>0</v>
      </c>
      <c r="AD32" s="71"/>
      <c r="AE32" s="10">
        <f t="shared" si="5"/>
        <v>0</v>
      </c>
      <c r="AF32" s="10">
        <f t="shared" si="22"/>
        <v>0</v>
      </c>
      <c r="AG32" s="71"/>
      <c r="AH32" s="10">
        <f t="shared" si="6"/>
        <v>620000000</v>
      </c>
      <c r="AI32" s="10">
        <f t="shared" si="23"/>
        <v>364184656.72209525</v>
      </c>
      <c r="AJ32" s="71"/>
      <c r="AK32" s="10">
        <f t="shared" si="7"/>
        <v>3325200000</v>
      </c>
      <c r="AL32" s="10">
        <f t="shared" si="24"/>
        <v>1953204549.2456632</v>
      </c>
      <c r="AM32" s="71"/>
      <c r="AN32" s="10">
        <f t="shared" si="8"/>
        <v>1524050000</v>
      </c>
      <c r="AO32" s="10">
        <f t="shared" si="25"/>
        <v>895218751.73759568</v>
      </c>
      <c r="AP32" s="71"/>
      <c r="AQ32" s="10">
        <f t="shared" si="9"/>
        <v>656310000</v>
      </c>
      <c r="AR32" s="10">
        <f t="shared" si="26"/>
        <v>385512954.9246425</v>
      </c>
      <c r="AS32" s="71"/>
      <c r="AT32" s="7">
        <f>IF($K32&lt;=$F$15,IF($F$40&lt;&gt;"",$F$40/1000,IF(ISERROR(VLOOKUP($F$3&amp;IF($G$4&lt;&gt;"",$G$4,"")&amp;IF($F$43&lt;&gt;"","_"&amp;$F$43,""),'表3）燃料価格'!$AF$9:$AG$25,2,0)),0,VLOOKUP($I32,'表3）燃料価格'!$A$6:$U$66,VLOOKUP($F$3&amp;IF($G$4&lt;&gt;"",$G$4,"")&amp;IF($F$43&lt;&gt;"","_"&amp;$F$43,""),'表3）燃料価格'!$AF$9:$AG$25,2,0)+VLOOKUP($F$41,'表3）燃料価格'!$AF$28:$AG$29,2,0),0)*IF($F$43="需要地価格",1,$F$8/$F$141))),"")</f>
        <v>47.795466809569312</v>
      </c>
      <c r="AU32" s="71"/>
      <c r="AV32" s="10">
        <f t="shared" si="10"/>
        <v>30448997452.689751</v>
      </c>
      <c r="AW32" s="10">
        <f t="shared" si="27"/>
        <v>17885576911.031887</v>
      </c>
      <c r="AX32" s="71"/>
      <c r="AY32" s="7">
        <f>IF(ISERROR(IF($K32&lt;=$F$15,VLOOKUP($I32,'表4）CO2価格'!$A$7:$E$67,VLOOKUP($F$48,'表4）CO2価格'!$H$10:$I$12,2,0),0)*$F$8/1000,"")),0,IF($K32&lt;=$F$15,VLOOKUP($I32,'表4）CO2価格'!$A$7:$E$67,VLOOKUP($F$48,'表4）CO2価格'!$H$10:$I$12,2,0),0)*$F$8/1000,""))</f>
        <v>6.4628000000000103</v>
      </c>
      <c r="AZ32" s="71"/>
      <c r="BA32" s="11">
        <f t="shared" si="11"/>
        <v>10819752458.592018</v>
      </c>
      <c r="BB32" s="10">
        <f t="shared" si="28"/>
        <v>6355464249.9199686</v>
      </c>
      <c r="BC32" s="71"/>
      <c r="BD32" s="10">
        <f t="shared" si="12"/>
        <v>0</v>
      </c>
      <c r="BE32" s="10">
        <f t="shared" si="29"/>
        <v>0</v>
      </c>
      <c r="BF32" s="71"/>
      <c r="BG32" s="11">
        <f t="shared" si="13"/>
        <v>0</v>
      </c>
      <c r="BH32" s="10">
        <f t="shared" si="30"/>
        <v>0</v>
      </c>
      <c r="BJ32" s="7" t="str">
        <f t="shared" si="31"/>
        <v/>
      </c>
      <c r="BK32" s="158" t="str">
        <f t="shared" si="32"/>
        <v/>
      </c>
      <c r="BL32" s="158" t="str">
        <f t="shared" si="14"/>
        <v/>
      </c>
      <c r="BM32" s="10"/>
      <c r="BN32" s="10" t="str">
        <f t="shared" si="33"/>
        <v/>
      </c>
      <c r="BO32" s="10" t="str">
        <f t="shared" si="34"/>
        <v/>
      </c>
      <c r="BQ32" s="10">
        <f t="shared" si="15"/>
        <v>5092319400</v>
      </c>
      <c r="BR32" s="10">
        <f t="shared" si="35"/>
        <v>2991200955.8197842</v>
      </c>
    </row>
    <row r="33" spans="3:70" x14ac:dyDescent="0.15">
      <c r="D33" s="81" t="s">
        <v>88</v>
      </c>
      <c r="F33" s="66">
        <v>6.2</v>
      </c>
      <c r="G33" s="81" t="s">
        <v>119</v>
      </c>
      <c r="I33" s="458">
        <f t="shared" si="36"/>
        <v>2048</v>
      </c>
      <c r="J33" s="39"/>
      <c r="K33" s="39">
        <f t="shared" si="37"/>
        <v>19</v>
      </c>
      <c r="L33" s="39"/>
      <c r="M33" s="40">
        <f t="shared" si="0"/>
        <v>0.57028602681192497</v>
      </c>
      <c r="N33" s="39"/>
      <c r="O33" s="72">
        <f t="shared" si="16"/>
        <v>0</v>
      </c>
      <c r="P33" s="41" t="str">
        <f t="shared" si="1"/>
        <v>-</v>
      </c>
      <c r="Q33" s="39"/>
      <c r="R33" s="72">
        <f t="shared" si="17"/>
        <v>8741914007.7730808</v>
      </c>
      <c r="S33" s="39"/>
      <c r="T33" s="72">
        <f t="shared" si="18"/>
        <v>8741914000</v>
      </c>
      <c r="U33" s="39"/>
      <c r="V33" s="72">
        <f t="shared" si="2"/>
        <v>0</v>
      </c>
      <c r="W33" s="72">
        <f t="shared" si="19"/>
        <v>0</v>
      </c>
      <c r="X33" s="39"/>
      <c r="Y33" s="72">
        <f t="shared" si="3"/>
        <v>122386700</v>
      </c>
      <c r="Z33" s="72">
        <f t="shared" si="20"/>
        <v>69795424.877623022</v>
      </c>
      <c r="AA33" s="39"/>
      <c r="AB33" s="72">
        <f t="shared" si="4"/>
        <v>0</v>
      </c>
      <c r="AC33" s="72">
        <f t="shared" si="21"/>
        <v>0</v>
      </c>
      <c r="AD33" s="39"/>
      <c r="AE33" s="72">
        <f t="shared" si="5"/>
        <v>0</v>
      </c>
      <c r="AF33" s="72">
        <f t="shared" si="22"/>
        <v>0</v>
      </c>
      <c r="AG33" s="39"/>
      <c r="AH33" s="72">
        <f t="shared" si="6"/>
        <v>620000000</v>
      </c>
      <c r="AI33" s="72">
        <f t="shared" si="23"/>
        <v>353577336.62339348</v>
      </c>
      <c r="AJ33" s="39"/>
      <c r="AK33" s="72">
        <f t="shared" si="7"/>
        <v>3325200000</v>
      </c>
      <c r="AL33" s="72">
        <f t="shared" si="24"/>
        <v>1896315096.3550129</v>
      </c>
      <c r="AM33" s="39"/>
      <c r="AN33" s="72">
        <f t="shared" si="8"/>
        <v>1524050000</v>
      </c>
      <c r="AO33" s="72">
        <f t="shared" si="25"/>
        <v>869144419.16271424</v>
      </c>
      <c r="AP33" s="39"/>
      <c r="AQ33" s="72">
        <f t="shared" si="9"/>
        <v>656310000</v>
      </c>
      <c r="AR33" s="72">
        <f t="shared" si="26"/>
        <v>374284422.25693446</v>
      </c>
      <c r="AS33" s="39"/>
      <c r="AT33" s="40">
        <f>IF($K33&lt;=$F$15,IF($F$40&lt;&gt;"",$F$40/1000,IF(ISERROR(VLOOKUP($F$3&amp;IF($G$4&lt;&gt;"",$G$4,"")&amp;IF($F$43&lt;&gt;"","_"&amp;$F$43,""),'表3）燃料価格'!$AF$9:$AG$25,2,0)),0,VLOOKUP($I33,'表3）燃料価格'!$A$6:$U$66,VLOOKUP($F$3&amp;IF($G$4&lt;&gt;"",$G$4,"")&amp;IF($F$43&lt;&gt;"","_"&amp;$F$43,""),'表3）燃料価格'!$AF$9:$AG$25,2,0)+VLOOKUP($F$41,'表3）燃料価格'!$AF$28:$AG$29,2,0),0)*IF($F$43="需要地価格",1,$F$8/$F$141))),"")</f>
        <v>47.675552818469335</v>
      </c>
      <c r="AU33" s="39"/>
      <c r="AV33" s="72">
        <f t="shared" si="10"/>
        <v>30376831682.912636</v>
      </c>
      <c r="AW33" s="72">
        <f t="shared" si="27"/>
        <v>17323482647.582848</v>
      </c>
      <c r="AX33" s="39"/>
      <c r="AY33" s="40">
        <f>IF(ISERROR(IF($K33&lt;=$F$15,VLOOKUP($I33,'表4）CO2価格'!$A$7:$E$67,VLOOKUP($F$48,'表4）CO2価格'!$H$10:$I$12,2,0),0)*$F$8/1000,"")),0,IF($K33&lt;=$F$15,VLOOKUP($I33,'表4）CO2価格'!$A$7:$E$67,VLOOKUP($F$48,'表4）CO2価格'!$H$10:$I$12,2,0),0)*$F$8/1000,""))</f>
        <v>6.59119999999999</v>
      </c>
      <c r="AZ33" s="39"/>
      <c r="BA33" s="42">
        <f t="shared" si="11"/>
        <v>11034714427.967983</v>
      </c>
      <c r="BB33" s="72">
        <f t="shared" si="28"/>
        <v>6292943448.130085</v>
      </c>
      <c r="BC33" s="39"/>
      <c r="BD33" s="72">
        <f t="shared" si="12"/>
        <v>0</v>
      </c>
      <c r="BE33" s="72">
        <f t="shared" si="29"/>
        <v>0</v>
      </c>
      <c r="BF33" s="39"/>
      <c r="BG33" s="42">
        <f t="shared" si="13"/>
        <v>0</v>
      </c>
      <c r="BH33" s="72">
        <f t="shared" si="30"/>
        <v>0</v>
      </c>
      <c r="BI33" s="39"/>
      <c r="BJ33" s="40" t="str">
        <f t="shared" si="31"/>
        <v/>
      </c>
      <c r="BK33" s="157" t="str">
        <f t="shared" si="32"/>
        <v/>
      </c>
      <c r="BL33" s="157" t="str">
        <f t="shared" si="14"/>
        <v/>
      </c>
      <c r="BM33" s="72"/>
      <c r="BN33" s="72" t="str">
        <f t="shared" si="33"/>
        <v/>
      </c>
      <c r="BO33" s="72" t="str">
        <f t="shared" si="34"/>
        <v/>
      </c>
      <c r="BP33" s="39"/>
      <c r="BQ33" s="72">
        <f t="shared" si="15"/>
        <v>5092319400</v>
      </c>
      <c r="BR33" s="72">
        <f t="shared" si="35"/>
        <v>2904078597.8832855</v>
      </c>
    </row>
    <row r="34" spans="3:70" x14ac:dyDescent="0.15">
      <c r="D34" s="81" t="s">
        <v>120</v>
      </c>
      <c r="F34" s="66">
        <v>2.4</v>
      </c>
      <c r="G34" s="81" t="s">
        <v>121</v>
      </c>
      <c r="I34" s="459">
        <f t="shared" si="36"/>
        <v>2049</v>
      </c>
      <c r="J34" s="71"/>
      <c r="K34" s="71">
        <f t="shared" si="37"/>
        <v>20</v>
      </c>
      <c r="L34" s="71"/>
      <c r="M34" s="7">
        <f t="shared" si="0"/>
        <v>0.55367575418633497</v>
      </c>
      <c r="N34" s="71"/>
      <c r="O34" s="10">
        <f t="shared" si="16"/>
        <v>0</v>
      </c>
      <c r="P34" s="29" t="str">
        <f t="shared" si="1"/>
        <v>-</v>
      </c>
      <c r="Q34" s="71"/>
      <c r="R34" s="10">
        <f t="shared" si="17"/>
        <v>7497903790.3012571</v>
      </c>
      <c r="S34" s="71"/>
      <c r="T34" s="10">
        <f t="shared" si="18"/>
        <v>7497903000</v>
      </c>
      <c r="U34" s="71"/>
      <c r="V34" s="10">
        <f t="shared" si="2"/>
        <v>0</v>
      </c>
      <c r="W34" s="10">
        <f t="shared" si="19"/>
        <v>0</v>
      </c>
      <c r="X34" s="71"/>
      <c r="Y34" s="10">
        <f t="shared" si="3"/>
        <v>104970600</v>
      </c>
      <c r="Z34" s="10">
        <f t="shared" si="20"/>
        <v>58119676.122392096</v>
      </c>
      <c r="AA34" s="71"/>
      <c r="AB34" s="10">
        <f t="shared" si="4"/>
        <v>0</v>
      </c>
      <c r="AC34" s="10">
        <f t="shared" si="21"/>
        <v>0</v>
      </c>
      <c r="AD34" s="71"/>
      <c r="AE34" s="10">
        <f t="shared" si="5"/>
        <v>0</v>
      </c>
      <c r="AF34" s="10">
        <f t="shared" si="22"/>
        <v>0</v>
      </c>
      <c r="AG34" s="71"/>
      <c r="AH34" s="10">
        <f t="shared" si="6"/>
        <v>620000000</v>
      </c>
      <c r="AI34" s="10">
        <f t="shared" si="23"/>
        <v>343278967.59552771</v>
      </c>
      <c r="AJ34" s="71"/>
      <c r="AK34" s="10">
        <f t="shared" si="7"/>
        <v>3325200000</v>
      </c>
      <c r="AL34" s="10">
        <f t="shared" si="24"/>
        <v>1841082617.820401</v>
      </c>
      <c r="AM34" s="71"/>
      <c r="AN34" s="10">
        <f t="shared" si="8"/>
        <v>1524050000</v>
      </c>
      <c r="AO34" s="10">
        <f t="shared" si="25"/>
        <v>843829533.16768384</v>
      </c>
      <c r="AP34" s="71"/>
      <c r="AQ34" s="10">
        <f t="shared" si="9"/>
        <v>656310000</v>
      </c>
      <c r="AR34" s="10">
        <f t="shared" si="26"/>
        <v>363382934.23003352</v>
      </c>
      <c r="AS34" s="71"/>
      <c r="AT34" s="7">
        <f>IF($K34&lt;=$F$15,IF($F$40&lt;&gt;"",$F$40/1000,IF(ISERROR(VLOOKUP($F$3&amp;IF($G$4&lt;&gt;"",$G$4,"")&amp;IF($F$43&lt;&gt;"","_"&amp;$F$43,""),'表3）燃料価格'!$AF$9:$AG$25,2,0)),0,VLOOKUP($I34,'表3）燃料価格'!$A$6:$U$66,VLOOKUP($F$3&amp;IF($G$4&lt;&gt;"",$G$4,"")&amp;IF($F$43&lt;&gt;"","_"&amp;$F$43,""),'表3）燃料価格'!$AF$9:$AG$25,2,0)+VLOOKUP($F$41,'表3）燃料価格'!$AF$28:$AG$29,2,0),0)*IF($F$43="需要地価格",1,$F$8/$F$141))),"")</f>
        <v>47.559115089283104</v>
      </c>
      <c r="AU34" s="71"/>
      <c r="AV34" s="10">
        <f t="shared" si="10"/>
        <v>30306757971.907406</v>
      </c>
      <c r="AW34" s="10">
        <f t="shared" si="27"/>
        <v>16780117077.038553</v>
      </c>
      <c r="AX34" s="71"/>
      <c r="AY34" s="7">
        <f>IF(ISERROR(IF($K34&lt;=$F$15,VLOOKUP($I34,'表4）CO2価格'!$A$7:$E$67,VLOOKUP($F$48,'表4）CO2価格'!$H$10:$I$12,2,0),0)*$F$8/1000,"")),0,IF($K34&lt;=$F$15,VLOOKUP($I34,'表4）CO2価格'!$A$7:$E$67,VLOOKUP($F$48,'表4）CO2価格'!$H$10:$I$12,2,0),0)*$F$8/1000,""))</f>
        <v>6.7195999999999714</v>
      </c>
      <c r="AZ34" s="71"/>
      <c r="BA34" s="11">
        <f t="shared" si="11"/>
        <v>11249676397.343952</v>
      </c>
      <c r="BB34" s="10">
        <f t="shared" si="28"/>
        <v>6228673063.6516247</v>
      </c>
      <c r="BC34" s="71"/>
      <c r="BD34" s="10">
        <f t="shared" si="12"/>
        <v>0</v>
      </c>
      <c r="BE34" s="10">
        <f t="shared" si="29"/>
        <v>0</v>
      </c>
      <c r="BF34" s="71"/>
      <c r="BG34" s="11">
        <f t="shared" si="13"/>
        <v>0</v>
      </c>
      <c r="BH34" s="10">
        <f t="shared" si="30"/>
        <v>0</v>
      </c>
      <c r="BJ34" s="7" t="str">
        <f t="shared" si="31"/>
        <v/>
      </c>
      <c r="BK34" s="158" t="str">
        <f t="shared" si="32"/>
        <v/>
      </c>
      <c r="BL34" s="158" t="str">
        <f t="shared" si="14"/>
        <v/>
      </c>
      <c r="BM34" s="10"/>
      <c r="BN34" s="10" t="str">
        <f t="shared" si="33"/>
        <v/>
      </c>
      <c r="BO34" s="10" t="str">
        <f t="shared" si="34"/>
        <v/>
      </c>
      <c r="BQ34" s="10">
        <f t="shared" si="15"/>
        <v>5092319400</v>
      </c>
      <c r="BR34" s="10">
        <f t="shared" si="35"/>
        <v>2819493784.352705</v>
      </c>
    </row>
    <row r="35" spans="3:70" x14ac:dyDescent="0.15">
      <c r="D35" s="81" t="s">
        <v>122</v>
      </c>
      <c r="F35" s="66">
        <v>1.1000000000000001</v>
      </c>
      <c r="G35" s="81" t="s">
        <v>121</v>
      </c>
      <c r="I35" s="458">
        <f t="shared" si="36"/>
        <v>2050</v>
      </c>
      <c r="J35" s="39"/>
      <c r="K35" s="39">
        <f t="shared" si="37"/>
        <v>21</v>
      </c>
      <c r="L35" s="39"/>
      <c r="M35" s="40">
        <f t="shared" si="0"/>
        <v>0.5375492759090631</v>
      </c>
      <c r="N35" s="39"/>
      <c r="O35" s="72">
        <f t="shared" si="16"/>
        <v>0</v>
      </c>
      <c r="P35" s="41" t="str">
        <f t="shared" si="1"/>
        <v>-</v>
      </c>
      <c r="Q35" s="39"/>
      <c r="R35" s="72">
        <f t="shared" si="17"/>
        <v>6927500000</v>
      </c>
      <c r="S35" s="39"/>
      <c r="T35" s="72">
        <f t="shared" si="18"/>
        <v>6927500000</v>
      </c>
      <c r="U35" s="39"/>
      <c r="V35" s="72">
        <f t="shared" si="2"/>
        <v>0</v>
      </c>
      <c r="W35" s="72">
        <f t="shared" si="19"/>
        <v>0</v>
      </c>
      <c r="X35" s="39"/>
      <c r="Y35" s="72">
        <f t="shared" si="3"/>
        <v>96985000</v>
      </c>
      <c r="Z35" s="72">
        <f t="shared" si="20"/>
        <v>52134216.524040483</v>
      </c>
      <c r="AA35" s="39"/>
      <c r="AB35" s="72">
        <f t="shared" si="4"/>
        <v>0</v>
      </c>
      <c r="AC35" s="72">
        <f t="shared" si="21"/>
        <v>0</v>
      </c>
      <c r="AD35" s="39"/>
      <c r="AE35" s="72">
        <f t="shared" si="5"/>
        <v>0</v>
      </c>
      <c r="AF35" s="72">
        <f t="shared" si="22"/>
        <v>0</v>
      </c>
      <c r="AG35" s="39"/>
      <c r="AH35" s="72">
        <f t="shared" si="6"/>
        <v>620000000</v>
      </c>
      <c r="AI35" s="72">
        <f t="shared" si="23"/>
        <v>333280551.06361914</v>
      </c>
      <c r="AJ35" s="39"/>
      <c r="AK35" s="72">
        <f t="shared" si="7"/>
        <v>3325200000</v>
      </c>
      <c r="AL35" s="72">
        <f t="shared" si="24"/>
        <v>1787458852.2528167</v>
      </c>
      <c r="AM35" s="39"/>
      <c r="AN35" s="72">
        <f t="shared" si="8"/>
        <v>1524050000</v>
      </c>
      <c r="AO35" s="72">
        <f t="shared" si="25"/>
        <v>819251973.94920766</v>
      </c>
      <c r="AP35" s="39"/>
      <c r="AQ35" s="72">
        <f t="shared" si="9"/>
        <v>656310000</v>
      </c>
      <c r="AR35" s="72">
        <f t="shared" si="26"/>
        <v>352798965.27187723</v>
      </c>
      <c r="AS35" s="39"/>
      <c r="AT35" s="40">
        <f>IF($K35&lt;=$F$15,IF($F$40&lt;&gt;"",$F$40/1000,IF(ISERROR(VLOOKUP($F$3&amp;IF($G$4&lt;&gt;"",$G$4,"")&amp;IF($F$43&lt;&gt;"","_"&amp;$F$43,""),'表3）燃料価格'!$AF$9:$AG$25,2,0)),0,VLOOKUP($I35,'表3）燃料価格'!$A$6:$U$66,VLOOKUP($F$3&amp;IF($G$4&lt;&gt;"",$G$4,"")&amp;IF($F$43&lt;&gt;"","_"&amp;$F$43,""),'表3）燃料価格'!$AF$9:$AG$25,2,0)+VLOOKUP($F$41,'表3）燃料価格'!$AF$28:$AG$29,2,0),0)*IF($F$43="需要地価格",1,$F$8/$F$141))),"")</f>
        <v>47.445957736261718</v>
      </c>
      <c r="AU35" s="39"/>
      <c r="AV35" s="72">
        <f t="shared" si="10"/>
        <v>30238658433.131142</v>
      </c>
      <c r="AW35" s="72">
        <f t="shared" si="27"/>
        <v>16254768945.19113</v>
      </c>
      <c r="AX35" s="39"/>
      <c r="AY35" s="40">
        <f>IF(ISERROR(IF($K35&lt;=$F$15,VLOOKUP($I35,'表4）CO2価格'!$A$7:$E$67,VLOOKUP($F$48,'表4）CO2価格'!$H$10:$I$12,2,0),0)*$F$8/1000,"")),0,IF($K35&lt;=$F$15,VLOOKUP($I35,'表4）CO2価格'!$A$7:$E$67,VLOOKUP($F$48,'表4）CO2価格'!$H$10:$I$12,2,0),0)*$F$8/1000,""))</f>
        <v>6.8479999999999999</v>
      </c>
      <c r="AZ35" s="39"/>
      <c r="BA35" s="42">
        <f t="shared" si="11"/>
        <v>11464638366.719999</v>
      </c>
      <c r="BB35" s="72">
        <f t="shared" si="28"/>
        <v>6162808052.5895996</v>
      </c>
      <c r="BC35" s="39"/>
      <c r="BD35" s="72">
        <f t="shared" si="12"/>
        <v>0</v>
      </c>
      <c r="BE35" s="72">
        <f t="shared" si="29"/>
        <v>0</v>
      </c>
      <c r="BF35" s="39"/>
      <c r="BG35" s="42">
        <f t="shared" si="13"/>
        <v>0</v>
      </c>
      <c r="BH35" s="72">
        <f t="shared" si="30"/>
        <v>0</v>
      </c>
      <c r="BI35" s="39"/>
      <c r="BJ35" s="40" t="str">
        <f t="shared" si="31"/>
        <v/>
      </c>
      <c r="BK35" s="157" t="str">
        <f t="shared" si="32"/>
        <v/>
      </c>
      <c r="BL35" s="157" t="str">
        <f t="shared" si="14"/>
        <v/>
      </c>
      <c r="BM35" s="72"/>
      <c r="BN35" s="72" t="str">
        <f t="shared" si="33"/>
        <v/>
      </c>
      <c r="BO35" s="72" t="str">
        <f t="shared" si="34"/>
        <v/>
      </c>
      <c r="BP35" s="39"/>
      <c r="BQ35" s="72">
        <f t="shared" si="15"/>
        <v>5092319400</v>
      </c>
      <c r="BR35" s="72">
        <f t="shared" si="35"/>
        <v>2737372606.1676745</v>
      </c>
    </row>
    <row r="36" spans="3:70" x14ac:dyDescent="0.15">
      <c r="D36" s="81" t="s">
        <v>177</v>
      </c>
      <c r="F36" s="68">
        <v>12</v>
      </c>
      <c r="G36" s="81" t="s">
        <v>123</v>
      </c>
      <c r="I36" s="459">
        <f t="shared" si="36"/>
        <v>2051</v>
      </c>
      <c r="J36" s="71"/>
      <c r="K36" s="71">
        <f t="shared" si="37"/>
        <v>22</v>
      </c>
      <c r="L36" s="71"/>
      <c r="M36" s="7">
        <f t="shared" si="0"/>
        <v>0.52189250088258554</v>
      </c>
      <c r="N36" s="71"/>
      <c r="O36" s="10">
        <f t="shared" si="16"/>
        <v>0</v>
      </c>
      <c r="P36" s="29" t="str">
        <f t="shared" si="1"/>
        <v>-</v>
      </c>
      <c r="Q36" s="71"/>
      <c r="R36" s="10">
        <f t="shared" si="17"/>
        <v>6927500000</v>
      </c>
      <c r="S36" s="71"/>
      <c r="T36" s="10">
        <f t="shared" si="18"/>
        <v>6927500000</v>
      </c>
      <c r="U36" s="71"/>
      <c r="V36" s="10">
        <f t="shared" si="2"/>
        <v>0</v>
      </c>
      <c r="W36" s="10">
        <f t="shared" si="19"/>
        <v>0</v>
      </c>
      <c r="X36" s="71"/>
      <c r="Y36" s="10">
        <f t="shared" si="3"/>
        <v>96985000</v>
      </c>
      <c r="Z36" s="10">
        <f t="shared" si="20"/>
        <v>50615744.198097557</v>
      </c>
      <c r="AA36" s="71"/>
      <c r="AB36" s="10">
        <f t="shared" si="4"/>
        <v>0</v>
      </c>
      <c r="AC36" s="10">
        <f t="shared" si="21"/>
        <v>0</v>
      </c>
      <c r="AD36" s="71"/>
      <c r="AE36" s="10">
        <f t="shared" si="5"/>
        <v>0</v>
      </c>
      <c r="AF36" s="10">
        <f t="shared" si="22"/>
        <v>0</v>
      </c>
      <c r="AG36" s="71"/>
      <c r="AH36" s="10">
        <f t="shared" si="6"/>
        <v>620000000</v>
      </c>
      <c r="AI36" s="10">
        <f t="shared" si="23"/>
        <v>323573350.54720306</v>
      </c>
      <c r="AJ36" s="71"/>
      <c r="AK36" s="10">
        <f t="shared" si="7"/>
        <v>3325200000</v>
      </c>
      <c r="AL36" s="10">
        <f t="shared" si="24"/>
        <v>1735396943.9347734</v>
      </c>
      <c r="AM36" s="71"/>
      <c r="AN36" s="10">
        <f t="shared" si="8"/>
        <v>1524050000</v>
      </c>
      <c r="AO36" s="10">
        <f t="shared" si="25"/>
        <v>795390265.97010446</v>
      </c>
      <c r="AP36" s="71"/>
      <c r="AQ36" s="10">
        <f t="shared" si="9"/>
        <v>656310000</v>
      </c>
      <c r="AR36" s="10">
        <f t="shared" si="26"/>
        <v>342523267.25424969</v>
      </c>
      <c r="AS36" s="71"/>
      <c r="AT36" s="7">
        <f>IF($K36&lt;=$F$15,IF($F$40&lt;&gt;"",$F$40/1000,IF(ISERROR(VLOOKUP($F$3&amp;IF($G$4&lt;&gt;"",$G$4,"")&amp;IF($F$43&lt;&gt;"","_"&amp;$F$43,""),'表3）燃料価格'!$AF$9:$AG$25,2,0)),0,VLOOKUP($I36,'表3）燃料価格'!$A$6:$U$66,VLOOKUP($F$3&amp;IF($G$4&lt;&gt;"",$G$4,"")&amp;IF($F$43&lt;&gt;"","_"&amp;$F$43,""),'表3）燃料価格'!$AF$9:$AG$25,2,0)+VLOOKUP($F$41,'表3）燃料価格'!$AF$28:$AG$29,2,0),0)*IF($F$43="需要地価格",1,$F$8/$F$141))),"")</f>
        <v>47.335900978060927</v>
      </c>
      <c r="AU36" s="71"/>
      <c r="AV36" s="10">
        <f t="shared" si="10"/>
        <v>30172424871.877129</v>
      </c>
      <c r="AW36" s="10">
        <f t="shared" si="27"/>
        <v>15746762274.07588</v>
      </c>
      <c r="AX36" s="71"/>
      <c r="AY36" s="7">
        <f>IF(ISERROR(IF($K36&lt;=$F$15,VLOOKUP($I36,'表4）CO2価格'!$A$7:$E$67,VLOOKUP($F$48,'表4）CO2価格'!$H$10:$I$12,2,0),0)*$F$8/1000,"")),0,IF($K36&lt;=$F$15,VLOOKUP($I36,'表4）CO2価格'!$A$7:$E$67,VLOOKUP($F$48,'表4）CO2価格'!$H$10:$I$12,2,0),0)*$F$8/1000,""))</f>
        <v>7.0184806169104448</v>
      </c>
      <c r="AZ36" s="71"/>
      <c r="BA36" s="11">
        <f t="shared" si="11"/>
        <v>11750049964.473152</v>
      </c>
      <c r="BB36" s="10">
        <f t="shared" si="28"/>
        <v>6132262961.4542284</v>
      </c>
      <c r="BC36" s="71"/>
      <c r="BD36" s="10">
        <f t="shared" si="12"/>
        <v>0</v>
      </c>
      <c r="BE36" s="10">
        <f t="shared" si="29"/>
        <v>0</v>
      </c>
      <c r="BF36" s="71"/>
      <c r="BG36" s="11">
        <f t="shared" si="13"/>
        <v>0</v>
      </c>
      <c r="BH36" s="10">
        <f t="shared" si="30"/>
        <v>0</v>
      </c>
      <c r="BJ36" s="7" t="str">
        <f t="shared" si="31"/>
        <v/>
      </c>
      <c r="BK36" s="158" t="str">
        <f t="shared" si="32"/>
        <v/>
      </c>
      <c r="BL36" s="158" t="str">
        <f t="shared" si="14"/>
        <v/>
      </c>
      <c r="BM36" s="10"/>
      <c r="BN36" s="10" t="str">
        <f t="shared" si="33"/>
        <v/>
      </c>
      <c r="BO36" s="10" t="str">
        <f t="shared" si="34"/>
        <v/>
      </c>
      <c r="BQ36" s="10">
        <f t="shared" si="15"/>
        <v>5092319400</v>
      </c>
      <c r="BR36" s="10">
        <f t="shared" si="35"/>
        <v>2657643306.9589076</v>
      </c>
    </row>
    <row r="37" spans="3:70" x14ac:dyDescent="0.15">
      <c r="I37" s="458">
        <f t="shared" si="36"/>
        <v>2052</v>
      </c>
      <c r="J37" s="39"/>
      <c r="K37" s="39">
        <f t="shared" si="37"/>
        <v>23</v>
      </c>
      <c r="L37" s="39"/>
      <c r="M37" s="40">
        <f t="shared" si="0"/>
        <v>0.50669174842969467</v>
      </c>
      <c r="N37" s="39"/>
      <c r="O37" s="72">
        <f t="shared" si="16"/>
        <v>0</v>
      </c>
      <c r="P37" s="41" t="str">
        <f t="shared" si="1"/>
        <v>-</v>
      </c>
      <c r="Q37" s="39"/>
      <c r="R37" s="72">
        <f t="shared" si="17"/>
        <v>6927500000</v>
      </c>
      <c r="S37" s="39"/>
      <c r="T37" s="72">
        <f t="shared" si="18"/>
        <v>6927500000</v>
      </c>
      <c r="U37" s="39"/>
      <c r="V37" s="72">
        <f t="shared" si="2"/>
        <v>0</v>
      </c>
      <c r="W37" s="72">
        <f t="shared" si="19"/>
        <v>0</v>
      </c>
      <c r="X37" s="39"/>
      <c r="Y37" s="72">
        <f t="shared" si="3"/>
        <v>96985000</v>
      </c>
      <c r="Z37" s="72">
        <f t="shared" si="20"/>
        <v>49141499.221453935</v>
      </c>
      <c r="AA37" s="39"/>
      <c r="AB37" s="72">
        <f t="shared" si="4"/>
        <v>0</v>
      </c>
      <c r="AC37" s="72">
        <f t="shared" si="21"/>
        <v>0</v>
      </c>
      <c r="AD37" s="39"/>
      <c r="AE37" s="72">
        <f t="shared" si="5"/>
        <v>0</v>
      </c>
      <c r="AF37" s="72">
        <f t="shared" si="22"/>
        <v>0</v>
      </c>
      <c r="AG37" s="39"/>
      <c r="AH37" s="72">
        <f t="shared" si="6"/>
        <v>620000000</v>
      </c>
      <c r="AI37" s="72">
        <f t="shared" si="23"/>
        <v>314148884.0264107</v>
      </c>
      <c r="AJ37" s="39"/>
      <c r="AK37" s="72">
        <f t="shared" si="7"/>
        <v>3325200000</v>
      </c>
      <c r="AL37" s="72">
        <f t="shared" si="24"/>
        <v>1684851401.8784206</v>
      </c>
      <c r="AM37" s="39"/>
      <c r="AN37" s="72">
        <f t="shared" si="8"/>
        <v>1524050000</v>
      </c>
      <c r="AO37" s="72">
        <f t="shared" si="25"/>
        <v>772223559.19427621</v>
      </c>
      <c r="AP37" s="39"/>
      <c r="AQ37" s="72">
        <f t="shared" si="9"/>
        <v>656310000</v>
      </c>
      <c r="AR37" s="72">
        <f t="shared" si="26"/>
        <v>332546861.41189289</v>
      </c>
      <c r="AS37" s="39"/>
      <c r="AT37" s="40">
        <f>IF($K37&lt;=$F$15,IF($F$40&lt;&gt;"",$F$40/1000,IF(ISERROR(VLOOKUP($F$3&amp;IF($G$4&lt;&gt;"",$G$4,"")&amp;IF($F$43&lt;&gt;"","_"&amp;$F$43,""),'表3）燃料価格'!$AF$9:$AG$25,2,0)),0,VLOOKUP($I37,'表3）燃料価格'!$A$6:$U$66,VLOOKUP($F$3&amp;IF($G$4&lt;&gt;"",$G$4,"")&amp;IF($F$43&lt;&gt;"","_"&amp;$F$43,""),'表3）燃料価格'!$AF$9:$AG$25,2,0)+VLOOKUP($F$41,'表3）燃料価格'!$AF$28:$AG$29,2,0),0)*IF($F$43="需要地価格",1,$F$8/$F$141))),"")</f>
        <v>47.228779419399288</v>
      </c>
      <c r="AU37" s="39"/>
      <c r="AV37" s="72">
        <f t="shared" si="10"/>
        <v>30107957751.154774</v>
      </c>
      <c r="AW37" s="72">
        <f t="shared" si="27"/>
        <v>15255453754.57999</v>
      </c>
      <c r="AX37" s="39"/>
      <c r="AY37" s="40">
        <f>IF(ISERROR(IF($K37&lt;=$F$15,VLOOKUP($I37,'表4）CO2価格'!$A$7:$E$67,VLOOKUP($F$48,'表4）CO2価格'!$H$10:$I$12,2,0),0)*$F$8/1000,"")),0,IF($K37&lt;=$F$15,VLOOKUP($I37,'表4）CO2価格'!$A$7:$E$67,VLOOKUP($F$48,'表4）CO2価格'!$H$10:$I$12,2,0),0)*$F$8/1000,""))</f>
        <v>7.1500080975609199</v>
      </c>
      <c r="AZ37" s="39"/>
      <c r="BA37" s="42">
        <f t="shared" si="11"/>
        <v>11970247832.601578</v>
      </c>
      <c r="BB37" s="72">
        <f t="shared" si="28"/>
        <v>6065225803.4376564</v>
      </c>
      <c r="BC37" s="39"/>
      <c r="BD37" s="72">
        <f t="shared" si="12"/>
        <v>0</v>
      </c>
      <c r="BE37" s="72">
        <f t="shared" si="29"/>
        <v>0</v>
      </c>
      <c r="BF37" s="39"/>
      <c r="BG37" s="42">
        <f t="shared" si="13"/>
        <v>0</v>
      </c>
      <c r="BH37" s="72">
        <f t="shared" si="30"/>
        <v>0</v>
      </c>
      <c r="BI37" s="39"/>
      <c r="BJ37" s="40" t="str">
        <f t="shared" si="31"/>
        <v/>
      </c>
      <c r="BK37" s="157" t="str">
        <f t="shared" si="32"/>
        <v/>
      </c>
      <c r="BL37" s="157" t="str">
        <f t="shared" si="14"/>
        <v/>
      </c>
      <c r="BM37" s="72"/>
      <c r="BN37" s="72" t="str">
        <f t="shared" si="33"/>
        <v/>
      </c>
      <c r="BO37" s="72" t="str">
        <f t="shared" si="34"/>
        <v/>
      </c>
      <c r="BP37" s="39"/>
      <c r="BQ37" s="72">
        <f t="shared" si="15"/>
        <v>5092319400</v>
      </c>
      <c r="BR37" s="72">
        <f t="shared" si="35"/>
        <v>2580236220.3484535</v>
      </c>
    </row>
    <row r="38" spans="3:70" x14ac:dyDescent="0.15">
      <c r="C38" s="89" t="s">
        <v>508</v>
      </c>
      <c r="D38" s="101"/>
      <c r="E38" s="101"/>
      <c r="F38" s="89"/>
      <c r="G38" s="101"/>
      <c r="I38" s="459">
        <f t="shared" si="36"/>
        <v>2053</v>
      </c>
      <c r="J38" s="71"/>
      <c r="K38" s="71">
        <f t="shared" si="37"/>
        <v>24</v>
      </c>
      <c r="L38" s="71"/>
      <c r="M38" s="7">
        <f t="shared" si="0"/>
        <v>0.49193373633950943</v>
      </c>
      <c r="N38" s="71"/>
      <c r="O38" s="10">
        <f t="shared" si="16"/>
        <v>0</v>
      </c>
      <c r="P38" s="29" t="str">
        <f t="shared" si="1"/>
        <v>-</v>
      </c>
      <c r="Q38" s="71"/>
      <c r="R38" s="10">
        <f t="shared" si="17"/>
        <v>6927500000</v>
      </c>
      <c r="S38" s="71"/>
      <c r="T38" s="10">
        <f t="shared" si="18"/>
        <v>6927500000</v>
      </c>
      <c r="U38" s="71"/>
      <c r="V38" s="10">
        <f t="shared" si="2"/>
        <v>0</v>
      </c>
      <c r="W38" s="10">
        <f t="shared" si="19"/>
        <v>0</v>
      </c>
      <c r="X38" s="71"/>
      <c r="Y38" s="10">
        <f t="shared" si="3"/>
        <v>96985000</v>
      </c>
      <c r="Z38" s="10">
        <f t="shared" si="20"/>
        <v>47710193.418887325</v>
      </c>
      <c r="AA38" s="71"/>
      <c r="AB38" s="10">
        <f t="shared" si="4"/>
        <v>0</v>
      </c>
      <c r="AC38" s="10">
        <f t="shared" si="21"/>
        <v>0</v>
      </c>
      <c r="AD38" s="71"/>
      <c r="AE38" s="10">
        <f t="shared" si="5"/>
        <v>0</v>
      </c>
      <c r="AF38" s="10">
        <f t="shared" si="22"/>
        <v>0</v>
      </c>
      <c r="AG38" s="71"/>
      <c r="AH38" s="10">
        <f t="shared" si="6"/>
        <v>620000000</v>
      </c>
      <c r="AI38" s="10">
        <f t="shared" si="23"/>
        <v>304998916.53049582</v>
      </c>
      <c r="AJ38" s="71"/>
      <c r="AK38" s="10">
        <f t="shared" si="7"/>
        <v>3325200000</v>
      </c>
      <c r="AL38" s="10">
        <f t="shared" si="24"/>
        <v>1635778060.0761368</v>
      </c>
      <c r="AM38" s="71"/>
      <c r="AN38" s="10">
        <f t="shared" si="8"/>
        <v>1524050000</v>
      </c>
      <c r="AO38" s="10">
        <f t="shared" si="25"/>
        <v>749731610.86822939</v>
      </c>
      <c r="AP38" s="71"/>
      <c r="AQ38" s="10">
        <f t="shared" si="9"/>
        <v>656310000</v>
      </c>
      <c r="AR38" s="10">
        <f t="shared" si="26"/>
        <v>322861030.49698341</v>
      </c>
      <c r="AS38" s="71"/>
      <c r="AT38" s="7">
        <f>IF($K38&lt;=$F$15,IF($F$40&lt;&gt;"",$F$40/1000,IF(ISERROR(VLOOKUP($F$3&amp;IF($G$4&lt;&gt;"",$G$4,"")&amp;IF($F$43&lt;&gt;"","_"&amp;$F$43,""),'表3）燃料価格'!$AF$9:$AG$25,2,0)),0,VLOOKUP($I38,'表3）燃料価格'!$A$6:$U$66,VLOOKUP($F$3&amp;IF($G$4&lt;&gt;"",$G$4,"")&amp;IF($F$43&lt;&gt;"","_"&amp;$F$43,""),'表3）燃料価格'!$AF$9:$AG$25,2,0)+VLOOKUP($F$41,'表3）燃料価格'!$AF$28:$AG$29,2,0),0)*IF($F$43="需要地価格",1,$F$8/$F$141))),"")</f>
        <v>47.124440555958479</v>
      </c>
      <c r="AU38" s="71"/>
      <c r="AV38" s="10">
        <f t="shared" si="10"/>
        <v>30045165291.919575</v>
      </c>
      <c r="AW38" s="10">
        <f t="shared" si="27"/>
        <v>14780230420.992144</v>
      </c>
      <c r="AX38" s="71"/>
      <c r="AY38" s="7">
        <f>IF(ISERROR(IF($K38&lt;=$F$15,VLOOKUP($I38,'表4）CO2価格'!$A$7:$E$67,VLOOKUP($F$48,'表4）CO2価格'!$H$10:$I$12,2,0),0)*$F$8/1000,"")),0,IF($K38&lt;=$F$15,VLOOKUP($I38,'表4）CO2価格'!$A$7:$E$67,VLOOKUP($F$48,'表4）CO2価格'!$H$10:$I$12,2,0),0)*$F$8/1000,""))</f>
        <v>7.2814714966103056</v>
      </c>
      <c r="AZ38" s="71"/>
      <c r="BA38" s="11">
        <f t="shared" si="11"/>
        <v>12190338417.963873</v>
      </c>
      <c r="BB38" s="10">
        <f t="shared" si="28"/>
        <v>5996838725.1920328</v>
      </c>
      <c r="BC38" s="71"/>
      <c r="BD38" s="10">
        <f t="shared" si="12"/>
        <v>0</v>
      </c>
      <c r="BE38" s="10">
        <f t="shared" si="29"/>
        <v>0</v>
      </c>
      <c r="BF38" s="71"/>
      <c r="BG38" s="11">
        <f t="shared" si="13"/>
        <v>0</v>
      </c>
      <c r="BH38" s="10">
        <f t="shared" si="30"/>
        <v>0</v>
      </c>
      <c r="BJ38" s="7" t="str">
        <f t="shared" si="31"/>
        <v/>
      </c>
      <c r="BK38" s="158" t="str">
        <f t="shared" si="32"/>
        <v/>
      </c>
      <c r="BL38" s="158" t="str">
        <f t="shared" si="14"/>
        <v/>
      </c>
      <c r="BM38" s="10"/>
      <c r="BN38" s="10" t="str">
        <f t="shared" si="33"/>
        <v/>
      </c>
      <c r="BO38" s="10" t="str">
        <f t="shared" si="34"/>
        <v/>
      </c>
      <c r="BQ38" s="10">
        <f t="shared" si="15"/>
        <v>5092319400</v>
      </c>
      <c r="BR38" s="10">
        <f t="shared" si="35"/>
        <v>2505083709.076169</v>
      </c>
    </row>
    <row r="39" spans="3:70" x14ac:dyDescent="0.15">
      <c r="I39" s="458">
        <f t="shared" si="36"/>
        <v>2054</v>
      </c>
      <c r="J39" s="39"/>
      <c r="K39" s="39">
        <f t="shared" si="37"/>
        <v>25</v>
      </c>
      <c r="L39" s="39"/>
      <c r="M39" s="40">
        <f t="shared" si="0"/>
        <v>0.47760556926165965</v>
      </c>
      <c r="N39" s="39"/>
      <c r="O39" s="72">
        <f t="shared" si="16"/>
        <v>0</v>
      </c>
      <c r="P39" s="41" t="str">
        <f t="shared" si="1"/>
        <v>-</v>
      </c>
      <c r="Q39" s="39"/>
      <c r="R39" s="72">
        <f t="shared" si="17"/>
        <v>6927500000</v>
      </c>
      <c r="S39" s="39"/>
      <c r="T39" s="72">
        <f t="shared" si="18"/>
        <v>6927500000</v>
      </c>
      <c r="U39" s="39"/>
      <c r="V39" s="72">
        <f t="shared" si="2"/>
        <v>0</v>
      </c>
      <c r="W39" s="72">
        <f t="shared" si="19"/>
        <v>0</v>
      </c>
      <c r="X39" s="39"/>
      <c r="Y39" s="72">
        <f t="shared" si="3"/>
        <v>96985000</v>
      </c>
      <c r="Z39" s="72">
        <f t="shared" si="20"/>
        <v>46320576.134842061</v>
      </c>
      <c r="AA39" s="39"/>
      <c r="AB39" s="72">
        <f t="shared" si="4"/>
        <v>0</v>
      </c>
      <c r="AC39" s="72">
        <f t="shared" si="21"/>
        <v>0</v>
      </c>
      <c r="AD39" s="39"/>
      <c r="AE39" s="72">
        <f t="shared" si="5"/>
        <v>0</v>
      </c>
      <c r="AF39" s="72">
        <f t="shared" si="22"/>
        <v>0</v>
      </c>
      <c r="AG39" s="39"/>
      <c r="AH39" s="72">
        <f t="shared" si="6"/>
        <v>620000000</v>
      </c>
      <c r="AI39" s="72">
        <f t="shared" si="23"/>
        <v>296115452.94222897</v>
      </c>
      <c r="AJ39" s="39"/>
      <c r="AK39" s="72">
        <f t="shared" si="7"/>
        <v>3325200000</v>
      </c>
      <c r="AL39" s="72">
        <f t="shared" si="24"/>
        <v>1588134038.9088707</v>
      </c>
      <c r="AM39" s="39"/>
      <c r="AN39" s="72">
        <f t="shared" si="8"/>
        <v>1524050000</v>
      </c>
      <c r="AO39" s="72">
        <f t="shared" si="25"/>
        <v>727894767.8332324</v>
      </c>
      <c r="AP39" s="39"/>
      <c r="AQ39" s="72">
        <f t="shared" si="9"/>
        <v>656310000</v>
      </c>
      <c r="AR39" s="72">
        <f t="shared" si="26"/>
        <v>313457311.16211987</v>
      </c>
      <c r="AS39" s="39"/>
      <c r="AT39" s="40">
        <f>IF($K39&lt;=$F$15,IF($F$40&lt;&gt;"",$F$40/1000,IF(ISERROR(VLOOKUP($F$3&amp;IF($G$4&lt;&gt;"",$G$4,"")&amp;IF($F$43&lt;&gt;"","_"&amp;$F$43,""),'表3）燃料価格'!$AF$9:$AG$25,2,0)),0,VLOOKUP($I39,'表3）燃料価格'!$A$6:$U$66,VLOOKUP($F$3&amp;IF($G$4&lt;&gt;"",$G$4,"")&amp;IF($F$43&lt;&gt;"","_"&amp;$F$43,""),'表3）燃料価格'!$AF$9:$AG$25,2,0)+VLOOKUP($F$41,'表3）燃料価格'!$AF$28:$AG$29,2,0),0)*IF($F$43="需要地価格",1,$F$8/$F$141))),"")</f>
        <v>47.022743468601469</v>
      </c>
      <c r="AU39" s="39"/>
      <c r="AV39" s="72">
        <f t="shared" si="10"/>
        <v>29983962687.236935</v>
      </c>
      <c r="AW39" s="72">
        <f t="shared" si="27"/>
        <v>14320507567.958158</v>
      </c>
      <c r="AX39" s="39"/>
      <c r="AY39" s="40">
        <f>IF(ISERROR(IF($K39&lt;=$F$15,VLOOKUP($I39,'表4）CO2価格'!$A$7:$E$67,VLOOKUP($F$48,'表4）CO2価格'!$H$10:$I$12,2,0),0)*$F$8/1000,"")),0,IF($K39&lt;=$F$15,VLOOKUP($I39,'表4）CO2価格'!$A$7:$E$67,VLOOKUP($F$48,'表4）CO2価格'!$H$10:$I$12,2,0),0)*$F$8/1000,""))</f>
        <v>7.4128708764708131</v>
      </c>
      <c r="AZ39" s="39"/>
      <c r="BA39" s="42">
        <f t="shared" si="11"/>
        <v>12410321825.047985</v>
      </c>
      <c r="BB39" s="72">
        <f t="shared" si="28"/>
        <v>5927238819.9724417</v>
      </c>
      <c r="BC39" s="39"/>
      <c r="BD39" s="72">
        <f t="shared" si="12"/>
        <v>0</v>
      </c>
      <c r="BE39" s="72">
        <f t="shared" si="29"/>
        <v>0</v>
      </c>
      <c r="BF39" s="39"/>
      <c r="BG39" s="42">
        <f t="shared" si="13"/>
        <v>0</v>
      </c>
      <c r="BH39" s="72">
        <f t="shared" si="30"/>
        <v>0</v>
      </c>
      <c r="BI39" s="39"/>
      <c r="BJ39" s="40" t="str">
        <f t="shared" si="31"/>
        <v/>
      </c>
      <c r="BK39" s="157" t="str">
        <f t="shared" si="32"/>
        <v/>
      </c>
      <c r="BL39" s="157" t="str">
        <f t="shared" si="14"/>
        <v/>
      </c>
      <c r="BM39" s="72"/>
      <c r="BN39" s="72" t="str">
        <f t="shared" si="33"/>
        <v/>
      </c>
      <c r="BO39" s="72" t="str">
        <f t="shared" si="34"/>
        <v/>
      </c>
      <c r="BP39" s="39"/>
      <c r="BQ39" s="72">
        <f t="shared" si="15"/>
        <v>5092319400</v>
      </c>
      <c r="BR39" s="72">
        <f t="shared" si="35"/>
        <v>2432120105.8991933</v>
      </c>
    </row>
    <row r="40" spans="3:70" x14ac:dyDescent="0.15">
      <c r="D40" s="81" t="s">
        <v>124</v>
      </c>
      <c r="F40" s="108"/>
      <c r="G40" s="82" t="s">
        <v>178</v>
      </c>
      <c r="I40" s="459">
        <f t="shared" si="36"/>
        <v>2055</v>
      </c>
      <c r="J40" s="71"/>
      <c r="K40" s="71">
        <f t="shared" si="37"/>
        <v>26</v>
      </c>
      <c r="L40" s="71"/>
      <c r="M40" s="7">
        <f t="shared" si="0"/>
        <v>0.46369472743850448</v>
      </c>
      <c r="N40" s="71"/>
      <c r="O40" s="10">
        <f t="shared" si="16"/>
        <v>0</v>
      </c>
      <c r="P40" s="29" t="str">
        <f t="shared" si="1"/>
        <v>-</v>
      </c>
      <c r="Q40" s="71"/>
      <c r="R40" s="10">
        <f t="shared" si="17"/>
        <v>6927500000</v>
      </c>
      <c r="S40" s="71"/>
      <c r="T40" s="10">
        <f t="shared" si="18"/>
        <v>6927500000</v>
      </c>
      <c r="U40" s="71"/>
      <c r="V40" s="10">
        <f t="shared" si="2"/>
        <v>0</v>
      </c>
      <c r="W40" s="10">
        <f t="shared" si="19"/>
        <v>0</v>
      </c>
      <c r="X40" s="71"/>
      <c r="Y40" s="10">
        <f t="shared" si="3"/>
        <v>96985000</v>
      </c>
      <c r="Z40" s="10">
        <f t="shared" si="20"/>
        <v>44971433.140623361</v>
      </c>
      <c r="AA40" s="71"/>
      <c r="AB40" s="10">
        <f t="shared" si="4"/>
        <v>0</v>
      </c>
      <c r="AC40" s="10">
        <f t="shared" si="21"/>
        <v>0</v>
      </c>
      <c r="AD40" s="71"/>
      <c r="AE40" s="10">
        <f t="shared" si="5"/>
        <v>0</v>
      </c>
      <c r="AF40" s="10">
        <f t="shared" si="22"/>
        <v>0</v>
      </c>
      <c r="AG40" s="71"/>
      <c r="AH40" s="10">
        <f t="shared" si="6"/>
        <v>620000000</v>
      </c>
      <c r="AI40" s="10">
        <f t="shared" si="23"/>
        <v>287490731.01187277</v>
      </c>
      <c r="AJ40" s="71"/>
      <c r="AK40" s="10">
        <f t="shared" si="7"/>
        <v>3325200000</v>
      </c>
      <c r="AL40" s="10">
        <f t="shared" si="24"/>
        <v>1541877707.6785152</v>
      </c>
      <c r="AM40" s="71"/>
      <c r="AN40" s="10">
        <f t="shared" si="8"/>
        <v>1524050000</v>
      </c>
      <c r="AO40" s="10">
        <f t="shared" si="25"/>
        <v>706693949.35265279</v>
      </c>
      <c r="AP40" s="71"/>
      <c r="AQ40" s="10">
        <f t="shared" si="9"/>
        <v>656310000</v>
      </c>
      <c r="AR40" s="10">
        <f t="shared" si="26"/>
        <v>304327486.56516486</v>
      </c>
      <c r="AS40" s="71"/>
      <c r="AT40" s="7">
        <f>IF($K40&lt;=$F$15,IF($F$40&lt;&gt;"",$F$40/1000,IF(ISERROR(VLOOKUP($F$3&amp;IF($G$4&lt;&gt;"",$G$4,"")&amp;IF($F$43&lt;&gt;"","_"&amp;$F$43,""),'表3）燃料価格'!$AF$9:$AG$25,2,0)),0,VLOOKUP($I40,'表3）燃料価格'!$A$6:$U$66,VLOOKUP($F$3&amp;IF($G$4&lt;&gt;"",$G$4,"")&amp;IF($F$43&lt;&gt;"","_"&amp;$F$43,""),'表3）燃料価格'!$AF$9:$AG$25,2,0)+VLOOKUP($F$41,'表3）燃料価格'!$AF$28:$AG$29,2,0),0)*IF($F$43="需要地価格",1,$F$8/$F$141))),"")</f>
        <v>46.923557678850855</v>
      </c>
      <c r="AU40" s="71"/>
      <c r="AV40" s="10">
        <f t="shared" si="10"/>
        <v>29924271413.494438</v>
      </c>
      <c r="AW40" s="10">
        <f t="shared" si="27"/>
        <v>13875726876.876135</v>
      </c>
      <c r="AX40" s="71"/>
      <c r="AY40" s="7">
        <f>IF(ISERROR(IF($K40&lt;=$F$15,VLOOKUP($I40,'表4）CO2価格'!$A$7:$E$67,VLOOKUP($F$48,'表4）CO2価格'!$H$10:$I$12,2,0),0)*$F$8/1000,"")),0,IF($K40&lt;=$F$15,VLOOKUP($I40,'表4）CO2価格'!$A$7:$E$67,VLOOKUP($F$48,'表4）CO2価格'!$H$10:$I$12,2,0),0)*$F$8/1000,""))</f>
        <v>7.5442062994635668</v>
      </c>
      <c r="AZ40" s="71"/>
      <c r="BA40" s="11">
        <f t="shared" si="11"/>
        <v>12630198158.189358</v>
      </c>
      <c r="BB40" s="10">
        <f t="shared" si="28"/>
        <v>5856556292.4559155</v>
      </c>
      <c r="BC40" s="71"/>
      <c r="BD40" s="10">
        <f t="shared" si="12"/>
        <v>0</v>
      </c>
      <c r="BE40" s="10">
        <f t="shared" si="29"/>
        <v>0</v>
      </c>
      <c r="BF40" s="71"/>
      <c r="BG40" s="11">
        <f t="shared" si="13"/>
        <v>0</v>
      </c>
      <c r="BH40" s="10">
        <f t="shared" si="30"/>
        <v>0</v>
      </c>
      <c r="BJ40" s="7" t="str">
        <f t="shared" si="31"/>
        <v/>
      </c>
      <c r="BK40" s="158" t="str">
        <f t="shared" si="32"/>
        <v/>
      </c>
      <c r="BL40" s="158" t="str">
        <f t="shared" si="14"/>
        <v/>
      </c>
      <c r="BM40" s="10"/>
      <c r="BN40" s="10" t="str">
        <f t="shared" si="33"/>
        <v/>
      </c>
      <c r="BO40" s="10" t="str">
        <f t="shared" si="34"/>
        <v/>
      </c>
      <c r="BQ40" s="10">
        <f t="shared" si="15"/>
        <v>5092319400</v>
      </c>
      <c r="BR40" s="10">
        <f t="shared" si="35"/>
        <v>2361281656.2128086</v>
      </c>
    </row>
    <row r="41" spans="3:70" x14ac:dyDescent="0.15">
      <c r="D41" s="81" t="s">
        <v>179</v>
      </c>
      <c r="F41" s="88" t="str">
        <f>まとめ!B4</f>
        <v>WEO2020　STEPS</v>
      </c>
      <c r="I41" s="458">
        <f t="shared" si="36"/>
        <v>2056</v>
      </c>
      <c r="J41" s="39"/>
      <c r="K41" s="39">
        <f t="shared" si="37"/>
        <v>27</v>
      </c>
      <c r="L41" s="39"/>
      <c r="M41" s="40">
        <f t="shared" si="0"/>
        <v>0.45018905576553836</v>
      </c>
      <c r="N41" s="39"/>
      <c r="O41" s="72">
        <f t="shared" si="16"/>
        <v>0</v>
      </c>
      <c r="P41" s="41" t="str">
        <f t="shared" si="1"/>
        <v>-</v>
      </c>
      <c r="Q41" s="39"/>
      <c r="R41" s="72">
        <f t="shared" si="17"/>
        <v>6927500000</v>
      </c>
      <c r="S41" s="39"/>
      <c r="T41" s="72">
        <f t="shared" si="18"/>
        <v>6927500000</v>
      </c>
      <c r="U41" s="39"/>
      <c r="V41" s="72">
        <f t="shared" si="2"/>
        <v>0</v>
      </c>
      <c r="W41" s="72">
        <f t="shared" si="19"/>
        <v>0</v>
      </c>
      <c r="X41" s="39"/>
      <c r="Y41" s="72">
        <f t="shared" si="3"/>
        <v>96985000</v>
      </c>
      <c r="Z41" s="72">
        <f t="shared" si="20"/>
        <v>43661585.573420741</v>
      </c>
      <c r="AA41" s="39"/>
      <c r="AB41" s="72">
        <f t="shared" si="4"/>
        <v>0</v>
      </c>
      <c r="AC41" s="72">
        <f t="shared" si="21"/>
        <v>0</v>
      </c>
      <c r="AD41" s="39"/>
      <c r="AE41" s="72">
        <f t="shared" si="5"/>
        <v>0</v>
      </c>
      <c r="AF41" s="72">
        <f t="shared" si="22"/>
        <v>0</v>
      </c>
      <c r="AG41" s="39"/>
      <c r="AH41" s="72">
        <f t="shared" si="6"/>
        <v>620000000</v>
      </c>
      <c r="AI41" s="72">
        <f t="shared" si="23"/>
        <v>279117214.57463378</v>
      </c>
      <c r="AJ41" s="39"/>
      <c r="AK41" s="72">
        <f t="shared" si="7"/>
        <v>3325200000</v>
      </c>
      <c r="AL41" s="72">
        <f t="shared" si="24"/>
        <v>1496968648.2315681</v>
      </c>
      <c r="AM41" s="39"/>
      <c r="AN41" s="72">
        <f t="shared" si="8"/>
        <v>1524050000</v>
      </c>
      <c r="AO41" s="72">
        <f t="shared" si="25"/>
        <v>686110630.43946874</v>
      </c>
      <c r="AP41" s="39"/>
      <c r="AQ41" s="72">
        <f t="shared" si="9"/>
        <v>656310000</v>
      </c>
      <c r="AR41" s="72">
        <f t="shared" si="26"/>
        <v>295463579.18948048</v>
      </c>
      <c r="AS41" s="39"/>
      <c r="AT41" s="40">
        <f>IF($K41&lt;=$F$15,IF($F$40&lt;&gt;"",$F$40/1000,IF(ISERROR(VLOOKUP($F$3&amp;IF($G$4&lt;&gt;"",$G$4,"")&amp;IF($F$43&lt;&gt;"","_"&amp;$F$43,""),'表3）燃料価格'!$AF$9:$AG$25,2,0)),0,VLOOKUP($I41,'表3）燃料価格'!$A$6:$U$66,VLOOKUP($F$3&amp;IF($G$4&lt;&gt;"",$G$4,"")&amp;IF($F$43&lt;&gt;"","_"&amp;$F$43,""),'表3）燃料価格'!$AF$9:$AG$25,2,0)+VLOOKUP($F$41,'表3）燃料価格'!$AF$28:$AG$29,2,0),0)*IF($F$43="需要地価格",1,$F$8/$F$141))),"")</f>
        <v>46.826762142304162</v>
      </c>
      <c r="AU41" s="39"/>
      <c r="AV41" s="72">
        <f t="shared" si="10"/>
        <v>29866018624.626316</v>
      </c>
      <c r="AW41" s="72">
        <f t="shared" si="27"/>
        <v>13445354724.096504</v>
      </c>
      <c r="AX41" s="39"/>
      <c r="AY41" s="40">
        <f>IF(ISERROR(IF($K41&lt;=$F$15,VLOOKUP($I41,'表4）CO2価格'!$A$7:$E$67,VLOOKUP($F$48,'表4）CO2価格'!$H$10:$I$12,2,0),0)*$F$8/1000,"")),0,IF($K41&lt;=$F$15,VLOOKUP($I41,'表4）CO2価格'!$A$7:$E$67,VLOOKUP($F$48,'表4）CO2価格'!$H$10:$I$12,2,0),0)*$F$8/1000,""))</f>
        <v>7.675477827818213</v>
      </c>
      <c r="AZ41" s="39"/>
      <c r="BA41" s="42">
        <f t="shared" si="11"/>
        <v>12849967521.570293</v>
      </c>
      <c r="BB41" s="72">
        <f t="shared" si="28"/>
        <v>5784914745.1535654</v>
      </c>
      <c r="BC41" s="39"/>
      <c r="BD41" s="72">
        <f t="shared" si="12"/>
        <v>0</v>
      </c>
      <c r="BE41" s="72">
        <f t="shared" si="29"/>
        <v>0</v>
      </c>
      <c r="BF41" s="39"/>
      <c r="BG41" s="42">
        <f t="shared" si="13"/>
        <v>0</v>
      </c>
      <c r="BH41" s="72">
        <f t="shared" si="30"/>
        <v>0</v>
      </c>
      <c r="BI41" s="39"/>
      <c r="BJ41" s="40" t="str">
        <f t="shared" si="31"/>
        <v/>
      </c>
      <c r="BK41" s="157" t="str">
        <f t="shared" si="32"/>
        <v/>
      </c>
      <c r="BL41" s="157" t="str">
        <f t="shared" si="14"/>
        <v/>
      </c>
      <c r="BM41" s="72"/>
      <c r="BN41" s="72" t="str">
        <f t="shared" si="33"/>
        <v/>
      </c>
      <c r="BO41" s="72" t="str">
        <f t="shared" si="34"/>
        <v/>
      </c>
      <c r="BP41" s="39"/>
      <c r="BQ41" s="72">
        <f t="shared" si="15"/>
        <v>5092319400</v>
      </c>
      <c r="BR41" s="72">
        <f t="shared" si="35"/>
        <v>2292506462.3425326</v>
      </c>
    </row>
    <row r="42" spans="3:70" x14ac:dyDescent="0.15">
      <c r="D42" s="81" t="s">
        <v>180</v>
      </c>
      <c r="F42" s="59">
        <v>2800</v>
      </c>
      <c r="G42" s="81" t="s">
        <v>181</v>
      </c>
      <c r="I42" s="459">
        <f t="shared" si="36"/>
        <v>2057</v>
      </c>
      <c r="J42" s="71"/>
      <c r="K42" s="71">
        <f t="shared" si="37"/>
        <v>28</v>
      </c>
      <c r="L42" s="71"/>
      <c r="M42" s="7">
        <f t="shared" si="0"/>
        <v>0.4370767531704256</v>
      </c>
      <c r="N42" s="71"/>
      <c r="O42" s="10">
        <f t="shared" si="16"/>
        <v>0</v>
      </c>
      <c r="P42" s="29" t="str">
        <f t="shared" si="1"/>
        <v>-</v>
      </c>
      <c r="Q42" s="71"/>
      <c r="R42" s="10">
        <f t="shared" si="17"/>
        <v>6927500000</v>
      </c>
      <c r="S42" s="71"/>
      <c r="T42" s="10">
        <f t="shared" si="18"/>
        <v>6927500000</v>
      </c>
      <c r="U42" s="71"/>
      <c r="V42" s="10">
        <f t="shared" si="2"/>
        <v>0</v>
      </c>
      <c r="W42" s="10">
        <f t="shared" si="19"/>
        <v>0</v>
      </c>
      <c r="X42" s="71"/>
      <c r="Y42" s="10">
        <f t="shared" si="3"/>
        <v>96985000</v>
      </c>
      <c r="Z42" s="10">
        <f t="shared" si="20"/>
        <v>42389888.906233728</v>
      </c>
      <c r="AA42" s="71"/>
      <c r="AB42" s="10">
        <f t="shared" si="4"/>
        <v>0</v>
      </c>
      <c r="AC42" s="10">
        <f t="shared" si="21"/>
        <v>0</v>
      </c>
      <c r="AD42" s="71"/>
      <c r="AE42" s="10">
        <f t="shared" si="5"/>
        <v>0</v>
      </c>
      <c r="AF42" s="10">
        <f t="shared" si="22"/>
        <v>0</v>
      </c>
      <c r="AG42" s="71"/>
      <c r="AH42" s="10">
        <f t="shared" si="6"/>
        <v>620000000</v>
      </c>
      <c r="AI42" s="10">
        <f t="shared" si="23"/>
        <v>270987586.96566385</v>
      </c>
      <c r="AJ42" s="71"/>
      <c r="AK42" s="10">
        <f t="shared" si="7"/>
        <v>3325200000</v>
      </c>
      <c r="AL42" s="10">
        <f t="shared" si="24"/>
        <v>1453367619.6422992</v>
      </c>
      <c r="AM42" s="71"/>
      <c r="AN42" s="10">
        <f t="shared" si="8"/>
        <v>1524050000</v>
      </c>
      <c r="AO42" s="10">
        <f t="shared" si="25"/>
        <v>666126825.6693871</v>
      </c>
      <c r="AP42" s="71"/>
      <c r="AQ42" s="10">
        <f t="shared" si="9"/>
        <v>656310000</v>
      </c>
      <c r="AR42" s="10">
        <f t="shared" si="26"/>
        <v>286857843.87328202</v>
      </c>
      <c r="AS42" s="71"/>
      <c r="AT42" s="7">
        <f>IF($K42&lt;=$F$15,IF($F$40&lt;&gt;"",$F$40/1000,IF(ISERROR(VLOOKUP($F$3&amp;IF($G$4&lt;&gt;"",$G$4,"")&amp;IF($F$43&lt;&gt;"","_"&amp;$F$43,""),'表3）燃料価格'!$AF$9:$AG$25,2,0)),0,VLOOKUP($I42,'表3）燃料価格'!$A$6:$U$66,VLOOKUP($F$3&amp;IF($G$4&lt;&gt;"",$G$4,"")&amp;IF($F$43&lt;&gt;"","_"&amp;$F$43,""),'表3）燃料価格'!$AF$9:$AG$25,2,0)+VLOOKUP($F$41,'表3）燃料価格'!$AF$28:$AG$29,2,0),0)*IF($F$43="需要地価格",1,$F$8/$F$141))),"")</f>
        <v>46.732244360505518</v>
      </c>
      <c r="AU42" s="71"/>
      <c r="AV42" s="10">
        <f t="shared" si="10"/>
        <v>29809136617.626499</v>
      </c>
      <c r="AW42" s="10">
        <f t="shared" si="27"/>
        <v>13028880647.645832</v>
      </c>
      <c r="AX42" s="71"/>
      <c r="AY42" s="7">
        <f>IF(ISERROR(IF($K42&lt;=$F$15,VLOOKUP($I42,'表4）CO2価格'!$A$7:$E$67,VLOOKUP($F$48,'表4）CO2価格'!$H$10:$I$12,2,0),0)*$F$8/1000,"")),0,IF($K42&lt;=$F$15,VLOOKUP($I42,'表4）CO2価格'!$A$7:$E$67,VLOOKUP($F$48,'表4）CO2価格'!$H$10:$I$12,2,0),0)*$F$8/1000,""))</f>
        <v>7.8066855236744779</v>
      </c>
      <c r="AZ42" s="71"/>
      <c r="BA42" s="11">
        <f t="shared" si="11"/>
        <v>13069630019.222551</v>
      </c>
      <c r="BB42" s="10">
        <f t="shared" si="28"/>
        <v>5712431453.9405203</v>
      </c>
      <c r="BC42" s="71"/>
      <c r="BD42" s="10">
        <f t="shared" si="12"/>
        <v>0</v>
      </c>
      <c r="BE42" s="10">
        <f t="shared" si="29"/>
        <v>0</v>
      </c>
      <c r="BF42" s="71"/>
      <c r="BG42" s="11">
        <f t="shared" si="13"/>
        <v>0</v>
      </c>
      <c r="BH42" s="10">
        <f t="shared" si="30"/>
        <v>0</v>
      </c>
      <c r="BJ42" s="7" t="str">
        <f t="shared" si="31"/>
        <v/>
      </c>
      <c r="BK42" s="158" t="str">
        <f t="shared" si="32"/>
        <v/>
      </c>
      <c r="BL42" s="158" t="str">
        <f t="shared" si="14"/>
        <v/>
      </c>
      <c r="BM42" s="10"/>
      <c r="BN42" s="10" t="str">
        <f t="shared" si="33"/>
        <v/>
      </c>
      <c r="BO42" s="10" t="str">
        <f t="shared" si="34"/>
        <v/>
      </c>
      <c r="BQ42" s="10">
        <f t="shared" si="15"/>
        <v>5092319400</v>
      </c>
      <c r="BR42" s="10">
        <f t="shared" si="35"/>
        <v>2225734429.4587698</v>
      </c>
    </row>
    <row r="43" spans="3:70" x14ac:dyDescent="0.15">
      <c r="D43" s="82" t="s">
        <v>126</v>
      </c>
      <c r="F43" s="88"/>
      <c r="I43" s="458">
        <f t="shared" si="36"/>
        <v>2058</v>
      </c>
      <c r="J43" s="39"/>
      <c r="K43" s="39">
        <f t="shared" si="37"/>
        <v>29</v>
      </c>
      <c r="L43" s="39"/>
      <c r="M43" s="40">
        <f t="shared" si="0"/>
        <v>0.42434636230138412</v>
      </c>
      <c r="N43" s="39"/>
      <c r="O43" s="72">
        <f t="shared" si="16"/>
        <v>0</v>
      </c>
      <c r="P43" s="41" t="str">
        <f t="shared" si="1"/>
        <v>-</v>
      </c>
      <c r="Q43" s="39"/>
      <c r="R43" s="72">
        <f t="shared" si="17"/>
        <v>6927500000</v>
      </c>
      <c r="S43" s="39"/>
      <c r="T43" s="72">
        <f t="shared" si="18"/>
        <v>6927500000</v>
      </c>
      <c r="U43" s="39"/>
      <c r="V43" s="72">
        <f t="shared" si="2"/>
        <v>0</v>
      </c>
      <c r="W43" s="72">
        <f t="shared" si="19"/>
        <v>0</v>
      </c>
      <c r="X43" s="39"/>
      <c r="Y43" s="72">
        <f t="shared" si="3"/>
        <v>96985000</v>
      </c>
      <c r="Z43" s="72">
        <f t="shared" si="20"/>
        <v>41155231.947799742</v>
      </c>
      <c r="AA43" s="39"/>
      <c r="AB43" s="72">
        <f t="shared" si="4"/>
        <v>0</v>
      </c>
      <c r="AC43" s="72">
        <f t="shared" si="21"/>
        <v>0</v>
      </c>
      <c r="AD43" s="39"/>
      <c r="AE43" s="72">
        <f t="shared" si="5"/>
        <v>0</v>
      </c>
      <c r="AF43" s="72">
        <f t="shared" si="22"/>
        <v>0</v>
      </c>
      <c r="AG43" s="39"/>
      <c r="AH43" s="72">
        <f t="shared" si="6"/>
        <v>620000000</v>
      </c>
      <c r="AI43" s="72">
        <f t="shared" si="23"/>
        <v>263094744.62685814</v>
      </c>
      <c r="AJ43" s="39"/>
      <c r="AK43" s="72">
        <f t="shared" si="7"/>
        <v>3325200000</v>
      </c>
      <c r="AL43" s="72">
        <f t="shared" si="24"/>
        <v>1411036523.9245625</v>
      </c>
      <c r="AM43" s="39"/>
      <c r="AN43" s="72">
        <f t="shared" si="8"/>
        <v>1524050000</v>
      </c>
      <c r="AO43" s="72">
        <f t="shared" si="25"/>
        <v>646725073.46542442</v>
      </c>
      <c r="AP43" s="39"/>
      <c r="AQ43" s="72">
        <f t="shared" si="9"/>
        <v>656310000</v>
      </c>
      <c r="AR43" s="72">
        <f t="shared" si="26"/>
        <v>278502761.04202139</v>
      </c>
      <c r="AS43" s="39"/>
      <c r="AT43" s="40">
        <f>IF($K43&lt;=$F$15,IF($F$40&lt;&gt;"",$F$40/1000,IF(ISERROR(VLOOKUP($F$3&amp;IF($G$4&lt;&gt;"",$G$4,"")&amp;IF($F$43&lt;&gt;"","_"&amp;$F$43,""),'表3）燃料価格'!$AF$9:$AG$25,2,0)),0,VLOOKUP($I43,'表3）燃料価格'!$A$6:$U$66,VLOOKUP($F$3&amp;IF($G$4&lt;&gt;"",$G$4,"")&amp;IF($F$43&lt;&gt;"","_"&amp;$F$43,""),'表3）燃料価格'!$AF$9:$AG$25,2,0)+VLOOKUP($F$41,'表3）燃料価格'!$AF$28:$AG$29,2,0),0)*IF($F$43="需要地価格",1,$F$8/$F$141))),"")</f>
        <v>46.6398995949301</v>
      </c>
      <c r="AU43" s="39"/>
      <c r="AV43" s="72">
        <f t="shared" si="10"/>
        <v>29753562359.514439</v>
      </c>
      <c r="AW43" s="72">
        <f t="shared" si="27"/>
        <v>12625815952.76734</v>
      </c>
      <c r="AX43" s="39"/>
      <c r="AY43" s="40">
        <f>IF(ISERROR(IF($K43&lt;=$F$15,VLOOKUP($I43,'表4）CO2価格'!$A$7:$E$67,VLOOKUP($F$48,'表4）CO2価格'!$H$10:$I$12,2,0),0)*$F$8/1000,"")),0,IF($K43&lt;=$F$15,VLOOKUP($I43,'表4）CO2価格'!$A$7:$E$67,VLOOKUP($F$48,'表4）CO2価格'!$H$10:$I$12,2,0),0)*$F$8/1000,""))</f>
        <v>7.9378294490802217</v>
      </c>
      <c r="AZ43" s="39"/>
      <c r="BA43" s="42">
        <f t="shared" si="11"/>
        <v>13289185755.024094</v>
      </c>
      <c r="BB43" s="72">
        <f t="shared" si="28"/>
        <v>5639217633.0918465</v>
      </c>
      <c r="BC43" s="39"/>
      <c r="BD43" s="72">
        <f t="shared" si="12"/>
        <v>0</v>
      </c>
      <c r="BE43" s="72">
        <f t="shared" si="29"/>
        <v>0</v>
      </c>
      <c r="BF43" s="39"/>
      <c r="BG43" s="42">
        <f t="shared" si="13"/>
        <v>0</v>
      </c>
      <c r="BH43" s="72">
        <f t="shared" si="30"/>
        <v>0</v>
      </c>
      <c r="BI43" s="39"/>
      <c r="BJ43" s="40" t="str">
        <f t="shared" si="31"/>
        <v/>
      </c>
      <c r="BK43" s="157" t="str">
        <f t="shared" si="32"/>
        <v/>
      </c>
      <c r="BL43" s="157" t="str">
        <f t="shared" si="14"/>
        <v/>
      </c>
      <c r="BM43" s="72"/>
      <c r="BN43" s="72" t="str">
        <f t="shared" si="33"/>
        <v/>
      </c>
      <c r="BO43" s="72" t="str">
        <f t="shared" si="34"/>
        <v/>
      </c>
      <c r="BP43" s="39"/>
      <c r="BQ43" s="72">
        <f t="shared" si="15"/>
        <v>5092319400</v>
      </c>
      <c r="BR43" s="72">
        <f t="shared" si="35"/>
        <v>2160907213.0667672</v>
      </c>
    </row>
    <row r="44" spans="3:70" x14ac:dyDescent="0.15">
      <c r="I44" s="459">
        <f t="shared" si="36"/>
        <v>2059</v>
      </c>
      <c r="J44" s="71"/>
      <c r="K44" s="71">
        <f t="shared" si="37"/>
        <v>30</v>
      </c>
      <c r="L44" s="71"/>
      <c r="M44" s="7">
        <f t="shared" si="0"/>
        <v>0.41198675951590691</v>
      </c>
      <c r="N44" s="71"/>
      <c r="O44" s="10">
        <f t="shared" si="16"/>
        <v>0</v>
      </c>
      <c r="P44" s="29" t="str">
        <f t="shared" si="1"/>
        <v>-</v>
      </c>
      <c r="Q44" s="71"/>
      <c r="R44" s="10">
        <f t="shared" si="17"/>
        <v>6927500000</v>
      </c>
      <c r="S44" s="71"/>
      <c r="T44" s="10">
        <f t="shared" si="18"/>
        <v>6927500000</v>
      </c>
      <c r="U44" s="71"/>
      <c r="V44" s="10">
        <f t="shared" si="2"/>
        <v>0</v>
      </c>
      <c r="W44" s="10">
        <f t="shared" si="19"/>
        <v>0</v>
      </c>
      <c r="X44" s="71"/>
      <c r="Y44" s="10">
        <f t="shared" si="3"/>
        <v>96985000</v>
      </c>
      <c r="Z44" s="10">
        <f t="shared" si="20"/>
        <v>39956535.871650234</v>
      </c>
      <c r="AA44" s="71"/>
      <c r="AB44" s="10">
        <f t="shared" si="4"/>
        <v>0</v>
      </c>
      <c r="AC44" s="10">
        <f t="shared" si="21"/>
        <v>0</v>
      </c>
      <c r="AD44" s="71"/>
      <c r="AE44" s="10">
        <f t="shared" si="5"/>
        <v>0</v>
      </c>
      <c r="AF44" s="10">
        <f t="shared" si="22"/>
        <v>0</v>
      </c>
      <c r="AG44" s="71"/>
      <c r="AH44" s="10">
        <f t="shared" si="6"/>
        <v>620000000</v>
      </c>
      <c r="AI44" s="10">
        <f t="shared" si="23"/>
        <v>255431790.89986229</v>
      </c>
      <c r="AJ44" s="71"/>
      <c r="AK44" s="10">
        <f t="shared" si="7"/>
        <v>3325200000</v>
      </c>
      <c r="AL44" s="10">
        <f t="shared" si="24"/>
        <v>1369938372.7422936</v>
      </c>
      <c r="AM44" s="71"/>
      <c r="AN44" s="10">
        <f t="shared" si="8"/>
        <v>1524050000</v>
      </c>
      <c r="AO44" s="10">
        <f t="shared" si="25"/>
        <v>627888420.84021795</v>
      </c>
      <c r="AP44" s="71"/>
      <c r="AQ44" s="10">
        <f t="shared" si="9"/>
        <v>656310000</v>
      </c>
      <c r="AR44" s="10">
        <f t="shared" si="26"/>
        <v>270391030.13788486</v>
      </c>
      <c r="AS44" s="71"/>
      <c r="AT44" s="7">
        <f>IF($K44&lt;=$F$15,IF($F$40&lt;&gt;"",$F$40/1000,IF(ISERROR(VLOOKUP($F$3&amp;IF($G$4&lt;&gt;"",$G$4,"")&amp;IF($F$43&lt;&gt;"","_"&amp;$F$43,""),'表3）燃料価格'!$AF$9:$AG$25,2,0)),0,VLOOKUP($I44,'表3）燃料価格'!$A$6:$U$66,VLOOKUP($F$3&amp;IF($G$4&lt;&gt;"",$G$4,"")&amp;IF($F$43&lt;&gt;"","_"&amp;$F$43,""),'表3）燃料価格'!$AF$9:$AG$25,2,0)+VLOOKUP($F$41,'表3）燃料価格'!$AF$28:$AG$29,2,0),0)*IF($F$43="需要地価格",1,$F$8/$F$141))),"")</f>
        <v>46.549630169308166</v>
      </c>
      <c r="AU44" s="71"/>
      <c r="AV44" s="10">
        <f t="shared" si="10"/>
        <v>29699237067.464794</v>
      </c>
      <c r="AW44" s="10">
        <f t="shared" si="27"/>
        <v>12235692439.519526</v>
      </c>
      <c r="AX44" s="71"/>
      <c r="AY44" s="7">
        <f>IF(ISERROR(IF($K44&lt;=$F$15,VLOOKUP($I44,'表4）CO2価格'!$A$7:$E$67,VLOOKUP($F$48,'表4）CO2価格'!$H$10:$I$12,2,0),0)*$F$8/1000,"")),0,IF($K44&lt;=$F$15,VLOOKUP($I44,'表4）CO2価格'!$A$7:$E$67,VLOOKUP($F$48,'表4）CO2価格'!$H$10:$I$12,2,0),0)*$F$8/1000,""))</f>
        <v>8.0689096659945534</v>
      </c>
      <c r="AZ44" s="71"/>
      <c r="BA44" s="11">
        <f t="shared" si="11"/>
        <v>13508634832.704296</v>
      </c>
      <c r="BB44" s="10">
        <f t="shared" si="28"/>
        <v>5565378690.209548</v>
      </c>
      <c r="BC44" s="71"/>
      <c r="BD44" s="10">
        <f t="shared" si="12"/>
        <v>0</v>
      </c>
      <c r="BE44" s="10">
        <f t="shared" si="29"/>
        <v>0</v>
      </c>
      <c r="BF44" s="71"/>
      <c r="BG44" s="11">
        <f t="shared" si="13"/>
        <v>0</v>
      </c>
      <c r="BH44" s="10">
        <f t="shared" si="30"/>
        <v>0</v>
      </c>
      <c r="BJ44" s="7" t="str">
        <f t="shared" si="31"/>
        <v/>
      </c>
      <c r="BK44" s="158" t="str">
        <f t="shared" si="32"/>
        <v/>
      </c>
      <c r="BL44" s="158" t="str">
        <f t="shared" si="14"/>
        <v/>
      </c>
      <c r="BM44" s="10"/>
      <c r="BN44" s="10" t="str">
        <f t="shared" si="33"/>
        <v/>
      </c>
      <c r="BO44" s="10" t="str">
        <f t="shared" si="34"/>
        <v/>
      </c>
      <c r="BQ44" s="10">
        <f t="shared" si="15"/>
        <v>5092319400</v>
      </c>
      <c r="BR44" s="10">
        <f t="shared" si="35"/>
        <v>2097968168.0259874</v>
      </c>
    </row>
    <row r="45" spans="3:70" x14ac:dyDescent="0.15">
      <c r="C45" s="89" t="s">
        <v>509</v>
      </c>
      <c r="D45" s="101"/>
      <c r="E45" s="101"/>
      <c r="F45" s="89"/>
      <c r="G45" s="101"/>
      <c r="I45" s="458">
        <f t="shared" si="36"/>
        <v>2060</v>
      </c>
      <c r="J45" s="39"/>
      <c r="K45" s="39">
        <f t="shared" si="37"/>
        <v>31</v>
      </c>
      <c r="L45" s="39"/>
      <c r="M45" s="40">
        <f t="shared" si="0"/>
        <v>0.39998714516107459</v>
      </c>
      <c r="N45" s="39"/>
      <c r="O45" s="72">
        <f t="shared" si="16"/>
        <v>0</v>
      </c>
      <c r="P45" s="41" t="str">
        <f t="shared" si="1"/>
        <v>-</v>
      </c>
      <c r="Q45" s="39"/>
      <c r="R45" s="72">
        <f t="shared" si="17"/>
        <v>6927500000</v>
      </c>
      <c r="S45" s="39"/>
      <c r="T45" s="72">
        <f t="shared" si="18"/>
        <v>6927500000</v>
      </c>
      <c r="U45" s="39"/>
      <c r="V45" s="72">
        <f t="shared" si="2"/>
        <v>0</v>
      </c>
      <c r="W45" s="72">
        <f t="shared" si="19"/>
        <v>0</v>
      </c>
      <c r="X45" s="39"/>
      <c r="Y45" s="72">
        <f t="shared" si="3"/>
        <v>96985000</v>
      </c>
      <c r="Z45" s="72">
        <f t="shared" si="20"/>
        <v>38792753.273446821</v>
      </c>
      <c r="AA45" s="39"/>
      <c r="AB45" s="72">
        <f t="shared" si="4"/>
        <v>0</v>
      </c>
      <c r="AC45" s="72">
        <f t="shared" si="21"/>
        <v>0</v>
      </c>
      <c r="AD45" s="39"/>
      <c r="AE45" s="72">
        <f t="shared" si="5"/>
        <v>0</v>
      </c>
      <c r="AF45" s="72">
        <f t="shared" si="22"/>
        <v>0</v>
      </c>
      <c r="AG45" s="39"/>
      <c r="AH45" s="72">
        <f t="shared" si="6"/>
        <v>620000000</v>
      </c>
      <c r="AI45" s="72">
        <f t="shared" si="23"/>
        <v>247992029.99986625</v>
      </c>
      <c r="AJ45" s="39"/>
      <c r="AK45" s="72">
        <f t="shared" si="7"/>
        <v>3325200000</v>
      </c>
      <c r="AL45" s="72">
        <f t="shared" si="24"/>
        <v>1330037255.0896053</v>
      </c>
      <c r="AM45" s="39"/>
      <c r="AN45" s="72">
        <f t="shared" si="8"/>
        <v>1524050000</v>
      </c>
      <c r="AO45" s="72">
        <f t="shared" si="25"/>
        <v>609600408.58273578</v>
      </c>
      <c r="AP45" s="39"/>
      <c r="AQ45" s="72">
        <f t="shared" si="9"/>
        <v>656310000</v>
      </c>
      <c r="AR45" s="72">
        <f t="shared" si="26"/>
        <v>262515563.24066487</v>
      </c>
      <c r="AS45" s="39"/>
      <c r="AT45" s="40">
        <f>IF($K45&lt;=$F$15,IF($F$40&lt;&gt;"",$F$40/1000,IF(ISERROR(VLOOKUP($F$3&amp;IF($G$4&lt;&gt;"",$G$4,"")&amp;IF($F$43&lt;&gt;"","_"&amp;$F$43,""),'表3）燃料価格'!$AF$9:$AG$25,2,0)),0,VLOOKUP($I45,'表3）燃料価格'!$A$6:$U$66,VLOOKUP($F$3&amp;IF($G$4&lt;&gt;"",$G$4,"")&amp;IF($F$43&lt;&gt;"","_"&amp;$F$43,""),'表3）燃料価格'!$AF$9:$AG$25,2,0)+VLOOKUP($F$41,'表3）燃料価格'!$AF$28:$AG$29,2,0),0)*IF($F$43="需要地価格",1,$F$8/$F$141))),"")</f>
        <v>46.46134484863672</v>
      </c>
      <c r="AU45" s="39"/>
      <c r="AV45" s="72">
        <f t="shared" si="10"/>
        <v>29646105835.08873</v>
      </c>
      <c r="AW45" s="72">
        <f t="shared" si="27"/>
        <v>11858061238.120216</v>
      </c>
      <c r="AX45" s="39"/>
      <c r="AY45" s="40">
        <f>IF(ISERROR(IF($K45&lt;=$F$15,VLOOKUP($I45,'表4）CO2価格'!$A$7:$E$67,VLOOKUP($F$48,'表4）CO2価格'!$H$10:$I$12,2,0),0)*$F$8/1000,"")),0,IF($K45&lt;=$F$15,VLOOKUP($I45,'表4）CO2価格'!$A$7:$E$67,VLOOKUP($F$48,'表4）CO2価格'!$H$10:$I$12,2,0),0)*$F$8/1000,""))</f>
        <v>8.1999262362847141</v>
      </c>
      <c r="AZ45" s="39"/>
      <c r="BA45" s="42">
        <f t="shared" si="11"/>
        <v>13727977355.838736</v>
      </c>
      <c r="BB45" s="72">
        <f t="shared" si="28"/>
        <v>5491014471.3978128</v>
      </c>
      <c r="BC45" s="39"/>
      <c r="BD45" s="72">
        <f t="shared" si="12"/>
        <v>0</v>
      </c>
      <c r="BE45" s="72">
        <f t="shared" si="29"/>
        <v>0</v>
      </c>
      <c r="BF45" s="39"/>
      <c r="BG45" s="42">
        <f t="shared" si="13"/>
        <v>0</v>
      </c>
      <c r="BH45" s="72">
        <f t="shared" si="30"/>
        <v>0</v>
      </c>
      <c r="BI45" s="39"/>
      <c r="BJ45" s="40" t="str">
        <f t="shared" si="31"/>
        <v/>
      </c>
      <c r="BK45" s="157" t="str">
        <f t="shared" si="32"/>
        <v/>
      </c>
      <c r="BL45" s="157" t="str">
        <f t="shared" si="14"/>
        <v/>
      </c>
      <c r="BM45" s="72"/>
      <c r="BN45" s="72" t="str">
        <f t="shared" si="33"/>
        <v/>
      </c>
      <c r="BO45" s="72" t="str">
        <f t="shared" si="34"/>
        <v/>
      </c>
      <c r="BP45" s="39"/>
      <c r="BQ45" s="72">
        <f t="shared" si="15"/>
        <v>5092319400</v>
      </c>
      <c r="BR45" s="72">
        <f t="shared" si="35"/>
        <v>2036862299.0543563</v>
      </c>
    </row>
    <row r="46" spans="3:70" x14ac:dyDescent="0.15">
      <c r="I46" s="459">
        <f t="shared" si="36"/>
        <v>2061</v>
      </c>
      <c r="J46" s="71"/>
      <c r="K46" s="71">
        <f t="shared" si="37"/>
        <v>32</v>
      </c>
      <c r="L46" s="71"/>
      <c r="M46" s="7">
        <f t="shared" si="0"/>
        <v>0.38833703413696569</v>
      </c>
      <c r="N46" s="71"/>
      <c r="O46" s="10">
        <f t="shared" si="16"/>
        <v>0</v>
      </c>
      <c r="P46" s="29" t="str">
        <f t="shared" si="1"/>
        <v>-</v>
      </c>
      <c r="Q46" s="71"/>
      <c r="R46" s="10">
        <f t="shared" si="17"/>
        <v>6927500000</v>
      </c>
      <c r="S46" s="71"/>
      <c r="T46" s="10">
        <f t="shared" si="18"/>
        <v>6927500000</v>
      </c>
      <c r="U46" s="71"/>
      <c r="V46" s="10">
        <f t="shared" si="2"/>
        <v>0</v>
      </c>
      <c r="W46" s="10">
        <f t="shared" si="19"/>
        <v>0</v>
      </c>
      <c r="X46" s="71"/>
      <c r="Y46" s="10">
        <f t="shared" si="3"/>
        <v>96985000</v>
      </c>
      <c r="Z46" s="10">
        <f t="shared" si="20"/>
        <v>37662867.255773619</v>
      </c>
      <c r="AA46" s="71"/>
      <c r="AB46" s="10">
        <f t="shared" si="4"/>
        <v>0</v>
      </c>
      <c r="AC46" s="10">
        <f t="shared" si="21"/>
        <v>0</v>
      </c>
      <c r="AD46" s="71"/>
      <c r="AE46" s="10">
        <f t="shared" si="5"/>
        <v>0</v>
      </c>
      <c r="AF46" s="10">
        <f t="shared" si="22"/>
        <v>0</v>
      </c>
      <c r="AG46" s="71"/>
      <c r="AH46" s="10">
        <f t="shared" si="6"/>
        <v>620000000</v>
      </c>
      <c r="AI46" s="10">
        <f t="shared" si="23"/>
        <v>240768961.16491872</v>
      </c>
      <c r="AJ46" s="71"/>
      <c r="AK46" s="10">
        <f t="shared" si="7"/>
        <v>3325200000</v>
      </c>
      <c r="AL46" s="10">
        <f t="shared" si="24"/>
        <v>1291298305.9122384</v>
      </c>
      <c r="AM46" s="71"/>
      <c r="AN46" s="10">
        <f t="shared" si="8"/>
        <v>1524050000</v>
      </c>
      <c r="AO46" s="10">
        <f t="shared" si="25"/>
        <v>591845056.87644255</v>
      </c>
      <c r="AP46" s="71"/>
      <c r="AQ46" s="10">
        <f t="shared" si="9"/>
        <v>656310000</v>
      </c>
      <c r="AR46" s="10">
        <f t="shared" si="26"/>
        <v>254869478.87443194</v>
      </c>
      <c r="AS46" s="71"/>
      <c r="AT46" s="7">
        <f>IF($K46&lt;=$F$15,IF($F$40&lt;&gt;"",$F$40/1000,IF(ISERROR(VLOOKUP($F$3&amp;IF($G$4&lt;&gt;"",$G$4,"")&amp;IF($F$43&lt;&gt;"","_"&amp;$F$43,""),'表3）燃料価格'!$AF$9:$AG$25,2,0)),0,VLOOKUP($I46,'表3）燃料価格'!$A$6:$U$66,VLOOKUP($F$3&amp;IF($G$4&lt;&gt;"",$G$4,"")&amp;IF($F$43&lt;&gt;"","_"&amp;$F$43,""),'表3）燃料価格'!$AF$9:$AG$25,2,0)+VLOOKUP($F$41,'表3）燃料価格'!$AF$28:$AG$29,2,0),0)*IF($F$43="需要地価格",1,$F$8/$F$141))),"")</f>
        <v>46.374958284980366</v>
      </c>
      <c r="AU46" s="71"/>
      <c r="AV46" s="10">
        <f t="shared" si="10"/>
        <v>29594117298.909801</v>
      </c>
      <c r="AW46" s="10">
        <f t="shared" si="27"/>
        <v>11492491739.760103</v>
      </c>
      <c r="AX46" s="71"/>
      <c r="AY46" s="7">
        <f>IF(ISERROR(IF($K46&lt;=$F$15,VLOOKUP($I46,'表4）CO2価格'!$A$7:$E$67,VLOOKUP($F$48,'表4）CO2価格'!$H$10:$I$12,2,0),0)*$F$8/1000,"")),0,IF($K46&lt;=$F$15,VLOOKUP($I46,'表4）CO2価格'!$A$7:$E$67,VLOOKUP($F$48,'表4）CO2価格'!$H$10:$I$12,2,0),0)*$F$8/1000,""))</f>
        <v>8.3308792217288072</v>
      </c>
      <c r="AZ46" s="71"/>
      <c r="BA46" s="11">
        <f t="shared" si="11"/>
        <v>13947213427.853758</v>
      </c>
      <c r="BB46" s="10">
        <f t="shared" si="28"/>
        <v>5416219497.0479908</v>
      </c>
      <c r="BC46" s="71"/>
      <c r="BD46" s="10">
        <f t="shared" si="12"/>
        <v>0</v>
      </c>
      <c r="BE46" s="10">
        <f t="shared" si="29"/>
        <v>0</v>
      </c>
      <c r="BF46" s="71"/>
      <c r="BG46" s="11">
        <f t="shared" si="13"/>
        <v>0</v>
      </c>
      <c r="BH46" s="10">
        <f t="shared" si="30"/>
        <v>0</v>
      </c>
      <c r="BJ46" s="7" t="str">
        <f t="shared" si="31"/>
        <v/>
      </c>
      <c r="BK46" s="158" t="str">
        <f t="shared" si="32"/>
        <v/>
      </c>
      <c r="BL46" s="158" t="str">
        <f t="shared" si="14"/>
        <v/>
      </c>
      <c r="BM46" s="10"/>
      <c r="BN46" s="10" t="str">
        <f t="shared" si="33"/>
        <v/>
      </c>
      <c r="BO46" s="10" t="str">
        <f t="shared" si="34"/>
        <v/>
      </c>
      <c r="BQ46" s="10">
        <f t="shared" si="15"/>
        <v>5092319400</v>
      </c>
      <c r="BR46" s="10">
        <f t="shared" si="35"/>
        <v>1977536212.6741326</v>
      </c>
    </row>
    <row r="47" spans="3:70" x14ac:dyDescent="0.15">
      <c r="D47" s="81" t="s">
        <v>182</v>
      </c>
      <c r="F47" s="109">
        <v>13.87</v>
      </c>
      <c r="G47" s="81" t="s">
        <v>183</v>
      </c>
      <c r="I47" s="458">
        <f t="shared" si="36"/>
        <v>2062</v>
      </c>
      <c r="J47" s="39"/>
      <c r="K47" s="39">
        <f t="shared" si="37"/>
        <v>33</v>
      </c>
      <c r="L47" s="39"/>
      <c r="M47" s="40">
        <f t="shared" ref="M47:M78" si="38">1/(1+($F$9/100))^K47</f>
        <v>0.37702624673491814</v>
      </c>
      <c r="N47" s="39"/>
      <c r="O47" s="72">
        <f t="shared" si="16"/>
        <v>0</v>
      </c>
      <c r="P47" s="41" t="str">
        <f t="shared" ref="P47:P78" si="39">IF(K47&lt;=$F$15,IF(OR(P46=$F$124,P46="-"),"-",IF(O47*$F$123&gt;$F$127,$F$123,$F$124)),"")</f>
        <v>-</v>
      </c>
      <c r="Q47" s="39"/>
      <c r="R47" s="72">
        <f t="shared" si="17"/>
        <v>6927500000</v>
      </c>
      <c r="S47" s="39"/>
      <c r="T47" s="72">
        <f t="shared" si="18"/>
        <v>6927500000</v>
      </c>
      <c r="U47" s="39"/>
      <c r="V47" s="72">
        <f t="shared" ref="V47:V78" si="40">IF(K47&lt;=$F$15,IF(K47&lt;$F$119,IF(P47="-",V46,O47*P47),IF(K47=$F$119,MIN(IF(P47="-",V46,O47*P47),O47),0)),"")</f>
        <v>0</v>
      </c>
      <c r="W47" s="72">
        <f t="shared" si="19"/>
        <v>0</v>
      </c>
      <c r="X47" s="39"/>
      <c r="Y47" s="72">
        <f t="shared" ref="Y47:Y78" si="41">IF($K47&lt;=$F$15,ROUNDDOWN(T47*$F$25/100,-2),"")</f>
        <v>96985000</v>
      </c>
      <c r="Z47" s="72">
        <f t="shared" si="20"/>
        <v>36565890.539586037</v>
      </c>
      <c r="AA47" s="39"/>
      <c r="AB47" s="72">
        <f t="shared" si="4"/>
        <v>0</v>
      </c>
      <c r="AC47" s="72">
        <f t="shared" si="21"/>
        <v>0</v>
      </c>
      <c r="AD47" s="39"/>
      <c r="AE47" s="72">
        <f t="shared" ref="AE47:AE78" si="42">IF($K47&lt;=$F$15,$F$26,"")</f>
        <v>0</v>
      </c>
      <c r="AF47" s="72">
        <f t="shared" si="22"/>
        <v>0</v>
      </c>
      <c r="AG47" s="39"/>
      <c r="AH47" s="72">
        <f t="shared" ref="AH47:AH78" si="43">IF($K47&lt;=$F$15,$F$33*10^8,"")</f>
        <v>620000000</v>
      </c>
      <c r="AI47" s="72">
        <f t="shared" si="23"/>
        <v>233756272.97564924</v>
      </c>
      <c r="AJ47" s="39"/>
      <c r="AK47" s="72">
        <f t="shared" ref="AK47:AK78" si="44">IF($K47&lt;=$F$15,$F$117*$F$34/100,"")</f>
        <v>3325200000</v>
      </c>
      <c r="AL47" s="72">
        <f t="shared" si="24"/>
        <v>1253687675.6429498</v>
      </c>
      <c r="AM47" s="39"/>
      <c r="AN47" s="72">
        <f t="shared" ref="AN47:AN78" si="45">IF($K47&lt;=$F$15,$F$117*$F$35/100,"")</f>
        <v>1524050000</v>
      </c>
      <c r="AO47" s="72">
        <f t="shared" si="25"/>
        <v>574606851.33635199</v>
      </c>
      <c r="AP47" s="39"/>
      <c r="AQ47" s="72">
        <f t="shared" ref="AQ47:AQ78" si="46">IF($K47&lt;=$F$15,SUM(AH47,AK47,AN47)*($F$36/100),"")</f>
        <v>656310000</v>
      </c>
      <c r="AR47" s="72">
        <f t="shared" si="26"/>
        <v>247446095.99459413</v>
      </c>
      <c r="AS47" s="39"/>
      <c r="AT47" s="40">
        <f>IF($K47&lt;=$F$15,IF($F$40&lt;&gt;"",$F$40/1000,IF(ISERROR(VLOOKUP($F$3&amp;IF($G$4&lt;&gt;"",$G$4,"")&amp;IF($F$43&lt;&gt;"","_"&amp;$F$43,""),'表3）燃料価格'!$AF$9:$AG$25,2,0)),0,VLOOKUP($I47,'表3）燃料価格'!$A$6:$U$66,VLOOKUP($F$3&amp;IF($G$4&lt;&gt;"",$G$4,"")&amp;IF($F$43&lt;&gt;"","_"&amp;$F$43,""),'表3）燃料価格'!$AF$9:$AG$25,2,0)+VLOOKUP($F$41,'表3）燃料価格'!$AF$28:$AG$29,2,0),0)*IF($F$43="需要地価格",1,$F$8/$F$141))),"")</f>
        <v>46.290390521622506</v>
      </c>
      <c r="AU47" s="39"/>
      <c r="AV47" s="72">
        <f t="shared" ref="AV47:AV78" si="47">IF($K47&lt;=$F$15,($AT47+$F$142)*$F$137,"")</f>
        <v>29543223339.955833</v>
      </c>
      <c r="AW47" s="72">
        <f t="shared" si="27"/>
        <v>11138570612.31498</v>
      </c>
      <c r="AX47" s="39"/>
      <c r="AY47" s="40">
        <f>IF(ISERROR(IF($K47&lt;=$F$15,VLOOKUP($I47,'表4）CO2価格'!$A$7:$E$67,VLOOKUP($F$48,'表4）CO2価格'!$H$10:$I$12,2,0),0)*$F$8/1000,"")),0,IF($K47&lt;=$F$15,VLOOKUP($I47,'表4）CO2価格'!$A$7:$E$67,VLOOKUP($F$48,'表4）CO2価格'!$H$10:$I$12,2,0),0)*$F$8/1000,""))</f>
        <v>8.4617686840146202</v>
      </c>
      <c r="AZ47" s="39"/>
      <c r="BA47" s="42">
        <f t="shared" ref="BA47:BA78" si="48">IF($K47&lt;=$F$15,$F$145*AY47,"")</f>
        <v>14166343152.024506</v>
      </c>
      <c r="BB47" s="72">
        <f t="shared" si="28"/>
        <v>5341083188.5667095</v>
      </c>
      <c r="BC47" s="39"/>
      <c r="BD47" s="72">
        <f t="shared" ref="BD47:BD78" si="49">IF($K47&lt;=$F$15,($AT47+$F$152)*$F$151,"")</f>
        <v>0</v>
      </c>
      <c r="BE47" s="72">
        <f t="shared" si="29"/>
        <v>0</v>
      </c>
      <c r="BF47" s="39"/>
      <c r="BG47" s="42">
        <f t="shared" ref="BG47:BG78" si="50">IF($K47&lt;=$F$15,$F$153*AY47,"")</f>
        <v>0</v>
      </c>
      <c r="BH47" s="72">
        <f t="shared" si="30"/>
        <v>0</v>
      </c>
      <c r="BI47" s="39"/>
      <c r="BJ47" s="40" t="str">
        <f t="shared" si="31"/>
        <v/>
      </c>
      <c r="BK47" s="157" t="str">
        <f t="shared" si="32"/>
        <v/>
      </c>
      <c r="BL47" s="157" t="str">
        <f t="shared" si="14"/>
        <v/>
      </c>
      <c r="BM47" s="72"/>
      <c r="BN47" s="72" t="str">
        <f t="shared" si="33"/>
        <v/>
      </c>
      <c r="BO47" s="72" t="str">
        <f t="shared" si="34"/>
        <v/>
      </c>
      <c r="BP47" s="39"/>
      <c r="BQ47" s="72">
        <f t="shared" ref="BQ47:BQ78" si="51">IF($K47&lt;=$F$15,$F$134,"")</f>
        <v>5092319400</v>
      </c>
      <c r="BR47" s="72">
        <f t="shared" si="35"/>
        <v>1919938070.5574102</v>
      </c>
    </row>
    <row r="48" spans="3:70" x14ac:dyDescent="0.15">
      <c r="D48" s="81" t="s">
        <v>184</v>
      </c>
      <c r="F48" s="88" t="str">
        <f>まとめ!B5</f>
        <v>WEO2020　STEPS</v>
      </c>
      <c r="I48" s="459">
        <f t="shared" si="36"/>
        <v>2063</v>
      </c>
      <c r="J48" s="71"/>
      <c r="K48" s="71">
        <f t="shared" si="37"/>
        <v>34</v>
      </c>
      <c r="L48" s="71"/>
      <c r="M48" s="7">
        <f t="shared" si="38"/>
        <v>0.36604489974263904</v>
      </c>
      <c r="N48" s="71"/>
      <c r="O48" s="10">
        <f t="shared" ref="O48:O79" si="52">IF(K48&lt;=$F$15,O47-V47,"")</f>
        <v>0</v>
      </c>
      <c r="P48" s="29" t="str">
        <f t="shared" si="39"/>
        <v>-</v>
      </c>
      <c r="Q48" s="71"/>
      <c r="R48" s="10">
        <f t="shared" ref="R48:R79" si="53">IF($K48&lt;=$F$15,MAX($F$117*5%,R47*$F$129),"")</f>
        <v>6927500000</v>
      </c>
      <c r="S48" s="71"/>
      <c r="T48" s="10">
        <f t="shared" si="18"/>
        <v>6927500000</v>
      </c>
      <c r="U48" s="71"/>
      <c r="V48" s="10">
        <f t="shared" si="40"/>
        <v>0</v>
      </c>
      <c r="W48" s="10">
        <f t="shared" si="19"/>
        <v>0</v>
      </c>
      <c r="X48" s="71"/>
      <c r="Y48" s="10">
        <f t="shared" si="41"/>
        <v>96985000</v>
      </c>
      <c r="Z48" s="10">
        <f t="shared" si="20"/>
        <v>35500864.60153985</v>
      </c>
      <c r="AA48" s="71"/>
      <c r="AB48" s="10">
        <f t="shared" si="4"/>
        <v>0</v>
      </c>
      <c r="AC48" s="10">
        <f t="shared" si="21"/>
        <v>0</v>
      </c>
      <c r="AD48" s="71"/>
      <c r="AE48" s="10">
        <f t="shared" si="42"/>
        <v>0</v>
      </c>
      <c r="AF48" s="10">
        <f t="shared" si="22"/>
        <v>0</v>
      </c>
      <c r="AG48" s="71"/>
      <c r="AH48" s="10">
        <f t="shared" si="43"/>
        <v>620000000</v>
      </c>
      <c r="AI48" s="10">
        <f t="shared" si="23"/>
        <v>226947837.84043619</v>
      </c>
      <c r="AJ48" s="71"/>
      <c r="AK48" s="10">
        <f t="shared" si="44"/>
        <v>3325200000</v>
      </c>
      <c r="AL48" s="10">
        <f t="shared" si="24"/>
        <v>1217172500.6242232</v>
      </c>
      <c r="AM48" s="71"/>
      <c r="AN48" s="10">
        <f t="shared" si="45"/>
        <v>1524050000</v>
      </c>
      <c r="AO48" s="10">
        <f t="shared" si="25"/>
        <v>557870729.45276904</v>
      </c>
      <c r="AP48" s="71"/>
      <c r="AQ48" s="10">
        <f t="shared" si="46"/>
        <v>656310000</v>
      </c>
      <c r="AR48" s="10">
        <f t="shared" si="26"/>
        <v>240238928.15009144</v>
      </c>
      <c r="AS48" s="71"/>
      <c r="AT48" s="7">
        <f>IF($K48&lt;=$F$15,IF($F$40&lt;&gt;"",$F$40/1000,IF(ISERROR(VLOOKUP($F$3&amp;IF($G$4&lt;&gt;"",$G$4,"")&amp;IF($F$43&lt;&gt;"","_"&amp;$F$43,""),'表3）燃料価格'!$AF$9:$AG$25,2,0)),0,VLOOKUP($I48,'表3）燃料価格'!$A$6:$U$66,VLOOKUP($F$3&amp;IF($G$4&lt;&gt;"",$G$4,"")&amp;IF($F$43&lt;&gt;"","_"&amp;$F$43,""),'表3）燃料価格'!$AF$9:$AG$25,2,0)+VLOOKUP($F$41,'表3）燃料価格'!$AF$28:$AG$29,2,0),0)*IF($F$43="需要地価格",1,$F$8/$F$141))),"")</f>
        <v>46.207566548346577</v>
      </c>
      <c r="AU48" s="71"/>
      <c r="AV48" s="10">
        <f t="shared" si="47"/>
        <v>29493378816.121468</v>
      </c>
      <c r="AW48" s="10">
        <f t="shared" si="27"/>
        <v>10795900891.818857</v>
      </c>
      <c r="AX48" s="71"/>
      <c r="AY48" s="7">
        <f>IF(ISERROR(IF($K48&lt;=$F$15,VLOOKUP($I48,'表4）CO2価格'!$A$7:$E$67,VLOOKUP($F$48,'表4）CO2価格'!$H$10:$I$12,2,0),0)*$F$8/1000,"")),0,IF($K48&lt;=$F$15,VLOOKUP($I48,'表4）CO2価格'!$A$7:$E$67,VLOOKUP($F$48,'表4）CO2価格'!$H$10:$I$12,2,0),0)*$F$8/1000,""))</f>
        <v>8.5925946847404155</v>
      </c>
      <c r="AZ48" s="71"/>
      <c r="BA48" s="11">
        <f t="shared" si="48"/>
        <v>14385366631.476242</v>
      </c>
      <c r="BB48" s="10">
        <f t="shared" si="28"/>
        <v>5265690086.3798265</v>
      </c>
      <c r="BC48" s="71"/>
      <c r="BD48" s="10">
        <f t="shared" si="49"/>
        <v>0</v>
      </c>
      <c r="BE48" s="10">
        <f t="shared" si="29"/>
        <v>0</v>
      </c>
      <c r="BF48" s="71"/>
      <c r="BG48" s="11">
        <f t="shared" si="50"/>
        <v>0</v>
      </c>
      <c r="BH48" s="10">
        <f t="shared" si="30"/>
        <v>0</v>
      </c>
      <c r="BJ48" s="7" t="str">
        <f t="shared" si="31"/>
        <v/>
      </c>
      <c r="BK48" s="158" t="str">
        <f t="shared" si="32"/>
        <v/>
      </c>
      <c r="BL48" s="158" t="str">
        <f t="shared" si="14"/>
        <v/>
      </c>
      <c r="BM48" s="10"/>
      <c r="BN48" s="10" t="str">
        <f t="shared" si="33"/>
        <v/>
      </c>
      <c r="BO48" s="10" t="str">
        <f t="shared" si="34"/>
        <v/>
      </c>
      <c r="BQ48" s="10">
        <f t="shared" si="51"/>
        <v>5092319400</v>
      </c>
      <c r="BR48" s="10">
        <f t="shared" si="35"/>
        <v>1864017544.2304957</v>
      </c>
    </row>
    <row r="49" spans="3:70" x14ac:dyDescent="0.15">
      <c r="I49" s="458">
        <f t="shared" si="36"/>
        <v>2064</v>
      </c>
      <c r="J49" s="39"/>
      <c r="K49" s="39">
        <f t="shared" si="37"/>
        <v>35</v>
      </c>
      <c r="L49" s="39"/>
      <c r="M49" s="40">
        <f t="shared" si="38"/>
        <v>0.35538339780838735</v>
      </c>
      <c r="N49" s="39"/>
      <c r="O49" s="72">
        <f t="shared" si="52"/>
        <v>0</v>
      </c>
      <c r="P49" s="41" t="str">
        <f t="shared" si="39"/>
        <v>-</v>
      </c>
      <c r="Q49" s="39"/>
      <c r="R49" s="72">
        <f t="shared" si="53"/>
        <v>6927500000</v>
      </c>
      <c r="S49" s="39"/>
      <c r="T49" s="72">
        <f t="shared" si="18"/>
        <v>6927500000</v>
      </c>
      <c r="U49" s="39"/>
      <c r="V49" s="72">
        <f t="shared" si="40"/>
        <v>0</v>
      </c>
      <c r="W49" s="72">
        <f t="shared" si="19"/>
        <v>0</v>
      </c>
      <c r="X49" s="39"/>
      <c r="Y49" s="72">
        <f t="shared" si="41"/>
        <v>96985000</v>
      </c>
      <c r="Z49" s="72">
        <f t="shared" si="20"/>
        <v>34466858.836446449</v>
      </c>
      <c r="AA49" s="39"/>
      <c r="AB49" s="72">
        <f t="shared" si="4"/>
        <v>0</v>
      </c>
      <c r="AC49" s="72">
        <f t="shared" si="21"/>
        <v>0</v>
      </c>
      <c r="AD49" s="39"/>
      <c r="AE49" s="72">
        <f t="shared" si="42"/>
        <v>0</v>
      </c>
      <c r="AF49" s="72">
        <f t="shared" si="22"/>
        <v>0</v>
      </c>
      <c r="AG49" s="39"/>
      <c r="AH49" s="72">
        <f t="shared" si="43"/>
        <v>620000000</v>
      </c>
      <c r="AI49" s="72">
        <f t="shared" si="23"/>
        <v>220337706.64120016</v>
      </c>
      <c r="AJ49" s="39"/>
      <c r="AK49" s="72">
        <f t="shared" si="44"/>
        <v>3325200000</v>
      </c>
      <c r="AL49" s="72">
        <f t="shared" si="24"/>
        <v>1181720874.3924496</v>
      </c>
      <c r="AM49" s="39"/>
      <c r="AN49" s="72">
        <f t="shared" si="45"/>
        <v>1524050000</v>
      </c>
      <c r="AO49" s="72">
        <f t="shared" si="25"/>
        <v>541622067.42987275</v>
      </c>
      <c r="AP49" s="39"/>
      <c r="AQ49" s="72">
        <f t="shared" si="46"/>
        <v>656310000</v>
      </c>
      <c r="AR49" s="72">
        <f t="shared" si="26"/>
        <v>233241677.81562269</v>
      </c>
      <c r="AS49" s="39"/>
      <c r="AT49" s="40">
        <f>IF($K49&lt;=$F$15,IF($F$40&lt;&gt;"",$F$40/1000,IF(ISERROR(VLOOKUP($F$3&amp;IF($G$4&lt;&gt;"",$G$4,"")&amp;IF($F$43&lt;&gt;"","_"&amp;$F$43,""),'表3）燃料価格'!$AF$9:$AG$25,2,0)),0,VLOOKUP($I49,'表3）燃料価格'!$A$6:$U$66,VLOOKUP($F$3&amp;IF($G$4&lt;&gt;"",$G$4,"")&amp;IF($F$43&lt;&gt;"","_"&amp;$F$43,""),'表3）燃料価格'!$AF$9:$AG$25,2,0)+VLOOKUP($F$41,'表3）燃料価格'!$AF$28:$AG$29,2,0),0)*IF($F$43="需要地価格",1,$F$8/$F$141))),"")</f>
        <v>46.126415901647896</v>
      </c>
      <c r="AU49" s="39"/>
      <c r="AV49" s="72">
        <f t="shared" si="47"/>
        <v>29444541321.570576</v>
      </c>
      <c r="AW49" s="72">
        <f t="shared" si="27"/>
        <v>10464101141.769215</v>
      </c>
      <c r="AX49" s="39"/>
      <c r="AY49" s="40">
        <f>IF(ISERROR(IF($K49&lt;=$F$15,VLOOKUP($I49,'表4）CO2価格'!$A$7:$E$67,VLOOKUP($F$48,'表4）CO2価格'!$H$10:$I$12,2,0),0)*$F$8/1000,"")),0,IF($K49&lt;=$F$15,VLOOKUP($I49,'表4）CO2価格'!$A$7:$E$67,VLOOKUP($F$48,'表4）CO2価格'!$H$10:$I$12,2,0),0)*$F$8/1000,""))</f>
        <v>8.7233572854149237</v>
      </c>
      <c r="AZ49" s="39"/>
      <c r="BA49" s="42">
        <f t="shared" si="48"/>
        <v>14604283969.184341</v>
      </c>
      <c r="BB49" s="72">
        <f t="shared" si="28"/>
        <v>5190120059.5272932</v>
      </c>
      <c r="BC49" s="39"/>
      <c r="BD49" s="72">
        <f t="shared" si="49"/>
        <v>0</v>
      </c>
      <c r="BE49" s="72">
        <f t="shared" si="29"/>
        <v>0</v>
      </c>
      <c r="BF49" s="39"/>
      <c r="BG49" s="42">
        <f t="shared" si="50"/>
        <v>0</v>
      </c>
      <c r="BH49" s="72">
        <f t="shared" si="30"/>
        <v>0</v>
      </c>
      <c r="BI49" s="39"/>
      <c r="BJ49" s="40" t="str">
        <f t="shared" si="31"/>
        <v/>
      </c>
      <c r="BK49" s="157" t="str">
        <f t="shared" si="32"/>
        <v/>
      </c>
      <c r="BL49" s="157" t="str">
        <f t="shared" si="14"/>
        <v/>
      </c>
      <c r="BM49" s="72"/>
      <c r="BN49" s="72" t="str">
        <f t="shared" si="33"/>
        <v/>
      </c>
      <c r="BO49" s="72" t="str">
        <f t="shared" si="34"/>
        <v/>
      </c>
      <c r="BP49" s="39"/>
      <c r="BQ49" s="72">
        <f t="shared" si="51"/>
        <v>5092319400</v>
      </c>
      <c r="BR49" s="72">
        <f t="shared" si="35"/>
        <v>1809725771.0975683</v>
      </c>
    </row>
    <row r="50" spans="3:70" x14ac:dyDescent="0.15">
      <c r="C50" s="89" t="s">
        <v>510</v>
      </c>
      <c r="D50" s="101"/>
      <c r="E50" s="101"/>
      <c r="F50" s="89"/>
      <c r="G50" s="101"/>
      <c r="I50" s="459">
        <f t="shared" si="36"/>
        <v>2065</v>
      </c>
      <c r="J50" s="71"/>
      <c r="K50" s="71">
        <f t="shared" si="37"/>
        <v>36</v>
      </c>
      <c r="L50" s="71"/>
      <c r="M50" s="7">
        <f t="shared" si="38"/>
        <v>0.34503242505668674</v>
      </c>
      <c r="N50" s="71"/>
      <c r="O50" s="10">
        <f t="shared" si="52"/>
        <v>0</v>
      </c>
      <c r="P50" s="29" t="str">
        <f t="shared" si="39"/>
        <v>-</v>
      </c>
      <c r="Q50" s="71"/>
      <c r="R50" s="10">
        <f t="shared" si="53"/>
        <v>6927500000</v>
      </c>
      <c r="S50" s="71"/>
      <c r="T50" s="10">
        <f t="shared" si="18"/>
        <v>6927500000</v>
      </c>
      <c r="U50" s="71"/>
      <c r="V50" s="10">
        <f t="shared" si="40"/>
        <v>0</v>
      </c>
      <c r="W50" s="10">
        <f t="shared" si="19"/>
        <v>0</v>
      </c>
      <c r="X50" s="71"/>
      <c r="Y50" s="10">
        <f t="shared" si="41"/>
        <v>96985000</v>
      </c>
      <c r="Z50" s="10">
        <f t="shared" si="20"/>
        <v>33462969.744122762</v>
      </c>
      <c r="AA50" s="71"/>
      <c r="AB50" s="10">
        <f t="shared" si="4"/>
        <v>0</v>
      </c>
      <c r="AC50" s="10">
        <f t="shared" si="21"/>
        <v>0</v>
      </c>
      <c r="AD50" s="71"/>
      <c r="AE50" s="10">
        <f t="shared" si="42"/>
        <v>0</v>
      </c>
      <c r="AF50" s="10">
        <f t="shared" si="22"/>
        <v>0</v>
      </c>
      <c r="AG50" s="71"/>
      <c r="AH50" s="10">
        <f t="shared" si="43"/>
        <v>620000000</v>
      </c>
      <c r="AI50" s="10">
        <f t="shared" si="23"/>
        <v>213920103.53514579</v>
      </c>
      <c r="AJ50" s="71"/>
      <c r="AK50" s="10">
        <f t="shared" si="44"/>
        <v>3325200000</v>
      </c>
      <c r="AL50" s="10">
        <f t="shared" si="24"/>
        <v>1147301819.7984948</v>
      </c>
      <c r="AM50" s="71"/>
      <c r="AN50" s="10">
        <f t="shared" si="45"/>
        <v>1524050000</v>
      </c>
      <c r="AO50" s="10">
        <f t="shared" si="25"/>
        <v>525846667.40764344</v>
      </c>
      <c r="AP50" s="71"/>
      <c r="AQ50" s="10">
        <f t="shared" si="46"/>
        <v>656310000</v>
      </c>
      <c r="AR50" s="10">
        <f t="shared" si="26"/>
        <v>226448230.88895407</v>
      </c>
      <c r="AS50" s="71"/>
      <c r="AT50" s="7">
        <f>IF($K50&lt;=$F$15,IF($F$40&lt;&gt;"",$F$40/1000,IF(ISERROR(VLOOKUP($F$3&amp;IF($G$4&lt;&gt;"",$G$4,"")&amp;IF($F$43&lt;&gt;"","_"&amp;$F$43,""),'表3）燃料価格'!$AF$9:$AG$25,2,0)),0,VLOOKUP($I50,'表3）燃料価格'!$A$6:$U$66,VLOOKUP($F$3&amp;IF($G$4&lt;&gt;"",$G$4,"")&amp;IF($F$43&lt;&gt;"","_"&amp;$F$43,""),'表3）燃料価格'!$AF$9:$AG$25,2,0)+VLOOKUP($F$41,'表3）燃料価格'!$AF$28:$AG$29,2,0),0)*IF($F$43="需要地価格",1,$F$8/$F$141))),"")</f>
        <v>46.046872304536819</v>
      </c>
      <c r="AU50" s="71"/>
      <c r="AV50" s="10">
        <f t="shared" si="47"/>
        <v>29396670969.965183</v>
      </c>
      <c r="AW50" s="10">
        <f t="shared" si="27"/>
        <v>10142804673.36059</v>
      </c>
      <c r="AX50" s="71"/>
      <c r="AY50" s="7">
        <f>IF(ISERROR(IF($K50&lt;=$F$15,VLOOKUP($I50,'表4）CO2価格'!$A$7:$E$67,VLOOKUP($F$48,'表4）CO2価格'!$H$10:$I$12,2,0),0)*$F$8/1000,"")),0,IF($K50&lt;=$F$15,VLOOKUP($I50,'表4）CO2価格'!$A$7:$E$67,VLOOKUP($F$48,'表4）CO2価格'!$H$10:$I$12,2,0),0)*$F$8/1000,""))</f>
        <v>8.8540565474573452</v>
      </c>
      <c r="AZ50" s="71"/>
      <c r="BA50" s="11">
        <f t="shared" si="48"/>
        <v>14823095267.974285</v>
      </c>
      <c r="BB50" s="10">
        <f t="shared" si="28"/>
        <v>5114448507.1554651</v>
      </c>
      <c r="BC50" s="71"/>
      <c r="BD50" s="10">
        <f t="shared" si="49"/>
        <v>0</v>
      </c>
      <c r="BE50" s="10">
        <f t="shared" si="29"/>
        <v>0</v>
      </c>
      <c r="BF50" s="71"/>
      <c r="BG50" s="11">
        <f t="shared" si="50"/>
        <v>0</v>
      </c>
      <c r="BH50" s="10">
        <f t="shared" si="30"/>
        <v>0</v>
      </c>
      <c r="BJ50" s="7" t="str">
        <f t="shared" si="31"/>
        <v/>
      </c>
      <c r="BK50" s="158" t="str">
        <f t="shared" si="32"/>
        <v/>
      </c>
      <c r="BL50" s="158" t="str">
        <f t="shared" si="14"/>
        <v/>
      </c>
      <c r="BM50" s="10"/>
      <c r="BN50" s="10" t="str">
        <f t="shared" si="33"/>
        <v/>
      </c>
      <c r="BO50" s="10" t="str">
        <f t="shared" si="34"/>
        <v/>
      </c>
      <c r="BQ50" s="10">
        <f t="shared" si="51"/>
        <v>5092319400</v>
      </c>
      <c r="BR50" s="10">
        <f t="shared" si="35"/>
        <v>1757015311.7452121</v>
      </c>
    </row>
    <row r="51" spans="3:70" x14ac:dyDescent="0.15">
      <c r="I51" s="458">
        <f t="shared" si="36"/>
        <v>2066</v>
      </c>
      <c r="J51" s="39"/>
      <c r="K51" s="39">
        <f t="shared" si="37"/>
        <v>37</v>
      </c>
      <c r="L51" s="39"/>
      <c r="M51" s="40">
        <f t="shared" si="38"/>
        <v>0.33498293694823961</v>
      </c>
      <c r="N51" s="39"/>
      <c r="O51" s="72">
        <f t="shared" si="52"/>
        <v>0</v>
      </c>
      <c r="P51" s="41" t="str">
        <f t="shared" si="39"/>
        <v>-</v>
      </c>
      <c r="Q51" s="39"/>
      <c r="R51" s="72">
        <f t="shared" si="53"/>
        <v>6927500000</v>
      </c>
      <c r="S51" s="39"/>
      <c r="T51" s="72">
        <f t="shared" si="18"/>
        <v>6927500000</v>
      </c>
      <c r="U51" s="39"/>
      <c r="V51" s="72">
        <f t="shared" si="40"/>
        <v>0</v>
      </c>
      <c r="W51" s="72">
        <f t="shared" si="19"/>
        <v>0</v>
      </c>
      <c r="X51" s="39"/>
      <c r="Y51" s="72">
        <f t="shared" si="41"/>
        <v>96985000</v>
      </c>
      <c r="Z51" s="72">
        <f t="shared" si="20"/>
        <v>32488320.139925018</v>
      </c>
      <c r="AA51" s="39"/>
      <c r="AB51" s="72">
        <f t="shared" si="4"/>
        <v>0</v>
      </c>
      <c r="AC51" s="72">
        <f t="shared" si="21"/>
        <v>0</v>
      </c>
      <c r="AD51" s="39"/>
      <c r="AE51" s="72">
        <f t="shared" si="42"/>
        <v>0</v>
      </c>
      <c r="AF51" s="72">
        <f t="shared" si="22"/>
        <v>0</v>
      </c>
      <c r="AG51" s="39"/>
      <c r="AH51" s="72">
        <f t="shared" si="43"/>
        <v>620000000</v>
      </c>
      <c r="AI51" s="72">
        <f t="shared" si="23"/>
        <v>207689420.90790856</v>
      </c>
      <c r="AJ51" s="39"/>
      <c r="AK51" s="72">
        <f t="shared" si="44"/>
        <v>3325200000</v>
      </c>
      <c r="AL51" s="72">
        <f t="shared" si="24"/>
        <v>1113885261.9402864</v>
      </c>
      <c r="AM51" s="39"/>
      <c r="AN51" s="72">
        <f t="shared" si="45"/>
        <v>1524050000</v>
      </c>
      <c r="AO51" s="72">
        <f t="shared" si="25"/>
        <v>510530745.05596459</v>
      </c>
      <c r="AP51" s="39"/>
      <c r="AQ51" s="72">
        <f t="shared" si="46"/>
        <v>656310000</v>
      </c>
      <c r="AR51" s="72">
        <f t="shared" si="26"/>
        <v>219852651.34849915</v>
      </c>
      <c r="AS51" s="39"/>
      <c r="AT51" s="40">
        <f>IF($K51&lt;=$F$15,IF($F$40&lt;&gt;"",$F$40/1000,IF(ISERROR(VLOOKUP($F$3&amp;IF($G$4&lt;&gt;"",$G$4,"")&amp;IF($F$43&lt;&gt;"","_"&amp;$F$43,""),'表3）燃料価格'!$AF$9:$AG$25,2,0)),0,VLOOKUP($I51,'表3）燃料価格'!$A$6:$U$66,VLOOKUP($F$3&amp;IF($G$4&lt;&gt;"",$G$4,"")&amp;IF($F$43&lt;&gt;"","_"&amp;$F$43,""),'表3）燃料価格'!$AF$9:$AG$25,2,0)+VLOOKUP($F$41,'表3）燃料価格'!$AF$28:$AG$29,2,0),0)*IF($F$43="需要地価格",1,$F$8/$F$141))),"")</f>
        <v>45.968873341319267</v>
      </c>
      <c r="AU51" s="39"/>
      <c r="AV51" s="72">
        <f t="shared" si="47"/>
        <v>29349730198.744263</v>
      </c>
      <c r="AW51" s="72">
        <f t="shared" si="27"/>
        <v>9831658820.6137924</v>
      </c>
      <c r="AX51" s="39"/>
      <c r="AY51" s="40">
        <f>IF(ISERROR(IF($K51&lt;=$F$15,VLOOKUP($I51,'表4）CO2価格'!$A$7:$E$67,VLOOKUP($F$48,'表4）CO2価格'!$H$10:$I$12,2,0),0)*$F$8/1000,"")),0,IF($K51&lt;=$F$15,VLOOKUP($I51,'表4）CO2価格'!$A$7:$E$67,VLOOKUP($F$48,'表4）CO2価格'!$H$10:$I$12,2,0),0)*$F$8/1000,""))</f>
        <v>8.9846925321981246</v>
      </c>
      <c r="AZ51" s="39"/>
      <c r="BA51" s="42">
        <f t="shared" si="48"/>
        <v>15041800630.522968</v>
      </c>
      <c r="BB51" s="72">
        <f t="shared" si="28"/>
        <v>5038746552.202466</v>
      </c>
      <c r="BC51" s="39"/>
      <c r="BD51" s="72">
        <f t="shared" si="49"/>
        <v>0</v>
      </c>
      <c r="BE51" s="72">
        <f t="shared" si="29"/>
        <v>0</v>
      </c>
      <c r="BF51" s="39"/>
      <c r="BG51" s="42">
        <f t="shared" si="50"/>
        <v>0</v>
      </c>
      <c r="BH51" s="72">
        <f t="shared" si="30"/>
        <v>0</v>
      </c>
      <c r="BI51" s="39"/>
      <c r="BJ51" s="40" t="str">
        <f t="shared" si="31"/>
        <v/>
      </c>
      <c r="BK51" s="157" t="str">
        <f t="shared" si="32"/>
        <v/>
      </c>
      <c r="BL51" s="157" t="str">
        <f t="shared" si="14"/>
        <v/>
      </c>
      <c r="BM51" s="72"/>
      <c r="BN51" s="72" t="str">
        <f t="shared" si="33"/>
        <v/>
      </c>
      <c r="BO51" s="72" t="str">
        <f t="shared" si="34"/>
        <v/>
      </c>
      <c r="BP51" s="39"/>
      <c r="BQ51" s="72">
        <f t="shared" si="51"/>
        <v>5092319400</v>
      </c>
      <c r="BR51" s="72">
        <f t="shared" si="35"/>
        <v>1705840108.4904974</v>
      </c>
    </row>
    <row r="52" spans="3:70" x14ac:dyDescent="0.15">
      <c r="D52" s="81" t="s">
        <v>185</v>
      </c>
      <c r="F52" s="90"/>
      <c r="G52" s="81" t="s">
        <v>172</v>
      </c>
      <c r="I52" s="459">
        <f t="shared" si="36"/>
        <v>2067</v>
      </c>
      <c r="J52" s="71"/>
      <c r="K52" s="71">
        <f t="shared" si="37"/>
        <v>38</v>
      </c>
      <c r="L52" s="71"/>
      <c r="M52" s="7">
        <f t="shared" si="38"/>
        <v>0.3252261523769317</v>
      </c>
      <c r="N52" s="71"/>
      <c r="O52" s="10">
        <f t="shared" si="52"/>
        <v>0</v>
      </c>
      <c r="P52" s="29" t="str">
        <f t="shared" si="39"/>
        <v>-</v>
      </c>
      <c r="Q52" s="71"/>
      <c r="R52" s="10">
        <f t="shared" si="53"/>
        <v>6927500000</v>
      </c>
      <c r="S52" s="71"/>
      <c r="T52" s="10">
        <f t="shared" si="18"/>
        <v>6927500000</v>
      </c>
      <c r="U52" s="71"/>
      <c r="V52" s="10">
        <f t="shared" si="40"/>
        <v>0</v>
      </c>
      <c r="W52" s="10">
        <f t="shared" si="19"/>
        <v>0</v>
      </c>
      <c r="X52" s="71"/>
      <c r="Y52" s="10">
        <f t="shared" si="41"/>
        <v>96985000</v>
      </c>
      <c r="Z52" s="10">
        <f t="shared" si="20"/>
        <v>31542058.388276722</v>
      </c>
      <c r="AA52" s="71"/>
      <c r="AB52" s="10">
        <f t="shared" si="4"/>
        <v>0</v>
      </c>
      <c r="AC52" s="10">
        <f t="shared" si="21"/>
        <v>0</v>
      </c>
      <c r="AD52" s="71"/>
      <c r="AE52" s="10">
        <f t="shared" si="42"/>
        <v>0</v>
      </c>
      <c r="AF52" s="10">
        <f t="shared" si="22"/>
        <v>0</v>
      </c>
      <c r="AG52" s="71"/>
      <c r="AH52" s="10">
        <f t="shared" si="43"/>
        <v>620000000</v>
      </c>
      <c r="AI52" s="10">
        <f t="shared" si="23"/>
        <v>201640214.47369766</v>
      </c>
      <c r="AJ52" s="71"/>
      <c r="AK52" s="10">
        <f t="shared" si="44"/>
        <v>3325200000</v>
      </c>
      <c r="AL52" s="10">
        <f t="shared" si="24"/>
        <v>1081442001.8837733</v>
      </c>
      <c r="AM52" s="71"/>
      <c r="AN52" s="10">
        <f t="shared" si="45"/>
        <v>1524050000</v>
      </c>
      <c r="AO52" s="10">
        <f t="shared" si="25"/>
        <v>495660917.53006274</v>
      </c>
      <c r="AP52" s="71"/>
      <c r="AQ52" s="10">
        <f t="shared" si="46"/>
        <v>656310000</v>
      </c>
      <c r="AR52" s="10">
        <f t="shared" si="26"/>
        <v>213449176.06650403</v>
      </c>
      <c r="AS52" s="71"/>
      <c r="AT52" s="7">
        <f>IF($K52&lt;=$F$15,IF($F$40&lt;&gt;"",$F$40/1000,IF(ISERROR(VLOOKUP($F$3&amp;IF($G$4&lt;&gt;"",$G$4,"")&amp;IF($F$43&lt;&gt;"","_"&amp;$F$43,""),'表3）燃料価格'!$AF$9:$AG$25,2,0)),0,VLOOKUP($I52,'表3）燃料価格'!$A$6:$U$66,VLOOKUP($F$3&amp;IF($G$4&lt;&gt;"",$G$4,"")&amp;IF($F$43&lt;&gt;"","_"&amp;$F$43,""),'表3）燃料価格'!$AF$9:$AG$25,2,0)+VLOOKUP($F$41,'表3）燃料価格'!$AF$28:$AG$29,2,0),0)*IF($F$43="需要地価格",1,$F$8/$F$141))),"")</f>
        <v>45.892360163356543</v>
      </c>
      <c r="AU52" s="71"/>
      <c r="AV52" s="10">
        <f t="shared" si="47"/>
        <v>29303683592.046219</v>
      </c>
      <c r="AW52" s="10">
        <f t="shared" si="27"/>
        <v>9530324265.1122169</v>
      </c>
      <c r="AX52" s="71"/>
      <c r="AY52" s="7">
        <f>IF(ISERROR(IF($K52&lt;=$F$15,VLOOKUP($I52,'表4）CO2価格'!$A$7:$E$67,VLOOKUP($F$48,'表4）CO2価格'!$H$10:$I$12,2,0),0)*$F$8/1000,"")),0,IF($K52&lt;=$F$15,VLOOKUP($I52,'表4）CO2価格'!$A$7:$E$67,VLOOKUP($F$48,'表4）CO2価格'!$H$10:$I$12,2,0),0)*$F$8/1000,""))</f>
        <v>9.1152653008777929</v>
      </c>
      <c r="AZ52" s="71"/>
      <c r="BA52" s="11">
        <f t="shared" si="48"/>
        <v>15260400159.356756</v>
      </c>
      <c r="BB52" s="10">
        <f t="shared" si="28"/>
        <v>4963081227.5599136</v>
      </c>
      <c r="BC52" s="71"/>
      <c r="BD52" s="10">
        <f t="shared" si="49"/>
        <v>0</v>
      </c>
      <c r="BE52" s="10">
        <f t="shared" si="29"/>
        <v>0</v>
      </c>
      <c r="BF52" s="71"/>
      <c r="BG52" s="11">
        <f t="shared" si="50"/>
        <v>0</v>
      </c>
      <c r="BH52" s="10">
        <f t="shared" si="30"/>
        <v>0</v>
      </c>
      <c r="BJ52" s="7" t="str">
        <f t="shared" si="31"/>
        <v/>
      </c>
      <c r="BK52" s="158" t="str">
        <f t="shared" si="32"/>
        <v/>
      </c>
      <c r="BL52" s="158" t="str">
        <f t="shared" si="14"/>
        <v/>
      </c>
      <c r="BM52" s="10"/>
      <c r="BN52" s="10" t="str">
        <f t="shared" si="33"/>
        <v/>
      </c>
      <c r="BO52" s="10" t="str">
        <f t="shared" si="34"/>
        <v/>
      </c>
      <c r="BQ52" s="10">
        <f t="shared" si="51"/>
        <v>5092319400</v>
      </c>
      <c r="BR52" s="10">
        <f t="shared" si="35"/>
        <v>1656155445.1364055</v>
      </c>
    </row>
    <row r="53" spans="3:70" x14ac:dyDescent="0.15">
      <c r="D53" s="81" t="s">
        <v>186</v>
      </c>
      <c r="F53" s="66"/>
      <c r="G53" s="81" t="s">
        <v>172</v>
      </c>
      <c r="I53" s="458">
        <f t="shared" si="36"/>
        <v>2068</v>
      </c>
      <c r="J53" s="39"/>
      <c r="K53" s="39">
        <f t="shared" si="37"/>
        <v>39</v>
      </c>
      <c r="L53" s="39"/>
      <c r="M53" s="40">
        <f t="shared" si="38"/>
        <v>0.31575354599702099</v>
      </c>
      <c r="N53" s="39"/>
      <c r="O53" s="72">
        <f t="shared" si="52"/>
        <v>0</v>
      </c>
      <c r="P53" s="41" t="str">
        <f t="shared" si="39"/>
        <v>-</v>
      </c>
      <c r="Q53" s="39"/>
      <c r="R53" s="72">
        <f t="shared" si="53"/>
        <v>6927500000</v>
      </c>
      <c r="S53" s="39"/>
      <c r="T53" s="72">
        <f t="shared" si="18"/>
        <v>6927500000</v>
      </c>
      <c r="U53" s="39"/>
      <c r="V53" s="72">
        <f t="shared" si="40"/>
        <v>0</v>
      </c>
      <c r="W53" s="72">
        <f t="shared" si="19"/>
        <v>0</v>
      </c>
      <c r="X53" s="39"/>
      <c r="Y53" s="72">
        <f t="shared" si="41"/>
        <v>96985000</v>
      </c>
      <c r="Z53" s="72">
        <f t="shared" si="20"/>
        <v>30623357.658521082</v>
      </c>
      <c r="AA53" s="39"/>
      <c r="AB53" s="72">
        <f t="shared" si="4"/>
        <v>0</v>
      </c>
      <c r="AC53" s="72">
        <f t="shared" si="21"/>
        <v>0</v>
      </c>
      <c r="AD53" s="39"/>
      <c r="AE53" s="72">
        <f t="shared" si="42"/>
        <v>0</v>
      </c>
      <c r="AF53" s="72">
        <f t="shared" si="22"/>
        <v>0</v>
      </c>
      <c r="AG53" s="39"/>
      <c r="AH53" s="72">
        <f t="shared" si="43"/>
        <v>620000000</v>
      </c>
      <c r="AI53" s="72">
        <f t="shared" si="23"/>
        <v>195767198.51815301</v>
      </c>
      <c r="AJ53" s="39"/>
      <c r="AK53" s="72">
        <f t="shared" si="44"/>
        <v>3325200000</v>
      </c>
      <c r="AL53" s="72">
        <f t="shared" si="24"/>
        <v>1049943691.1492941</v>
      </c>
      <c r="AM53" s="39"/>
      <c r="AN53" s="72">
        <f t="shared" si="45"/>
        <v>1524050000</v>
      </c>
      <c r="AO53" s="72">
        <f t="shared" si="25"/>
        <v>481224191.77675986</v>
      </c>
      <c r="AP53" s="39"/>
      <c r="AQ53" s="72">
        <f t="shared" si="46"/>
        <v>656310000</v>
      </c>
      <c r="AR53" s="72">
        <f t="shared" si="26"/>
        <v>207232209.77330485</v>
      </c>
      <c r="AS53" s="39"/>
      <c r="AT53" s="40">
        <f>IF($K53&lt;=$F$15,IF($F$40&lt;&gt;"",$F$40/1000,IF(ISERROR(VLOOKUP($F$3&amp;IF($G$4&lt;&gt;"",$G$4,"")&amp;IF($F$43&lt;&gt;"","_"&amp;$F$43,""),'表3）燃料価格'!$AF$9:$AG$25,2,0)),0,VLOOKUP($I53,'表3）燃料価格'!$A$6:$U$66,VLOOKUP($F$3&amp;IF($G$4&lt;&gt;"",$G$4,"")&amp;IF($F$43&lt;&gt;"","_"&amp;$F$43,""),'表3）燃料価格'!$AF$9:$AG$25,2,0)+VLOOKUP($F$41,'表3）燃料価格'!$AF$28:$AG$29,2,0),0)*IF($F$43="需要地価格",1,$F$8/$F$141))),"")</f>
        <v>45.817277222329203</v>
      </c>
      <c r="AU53" s="39"/>
      <c r="AV53" s="72">
        <f t="shared" si="47"/>
        <v>29258497720.183693</v>
      </c>
      <c r="AW53" s="72">
        <f t="shared" si="27"/>
        <v>9238474405.6937561</v>
      </c>
      <c r="AX53" s="39"/>
      <c r="AY53" s="40">
        <f>IF(ISERROR(IF($K53&lt;=$F$15,VLOOKUP($I53,'表4）CO2価格'!$A$7:$E$67,VLOOKUP($F$48,'表4）CO2価格'!$H$10:$I$12,2,0),0)*$F$8/1000,"")),0,IF($K53&lt;=$F$15,VLOOKUP($I53,'表4）CO2価格'!$A$7:$E$67,VLOOKUP($F$48,'表4）CO2価格'!$H$10:$I$12,2,0),0)*$F$8/1000,""))</f>
        <v>9.2457749146488997</v>
      </c>
      <c r="AZ53" s="39"/>
      <c r="BA53" s="42">
        <f t="shared" si="48"/>
        <v>15478893956.854717</v>
      </c>
      <c r="BB53" s="72">
        <f t="shared" si="28"/>
        <v>4887515654.9887362</v>
      </c>
      <c r="BC53" s="39"/>
      <c r="BD53" s="72">
        <f t="shared" si="49"/>
        <v>0</v>
      </c>
      <c r="BE53" s="72">
        <f t="shared" si="29"/>
        <v>0</v>
      </c>
      <c r="BF53" s="39"/>
      <c r="BG53" s="42">
        <f t="shared" si="50"/>
        <v>0</v>
      </c>
      <c r="BH53" s="72">
        <f t="shared" si="30"/>
        <v>0</v>
      </c>
      <c r="BI53" s="39"/>
      <c r="BJ53" s="40" t="str">
        <f t="shared" si="31"/>
        <v/>
      </c>
      <c r="BK53" s="157" t="str">
        <f t="shared" si="32"/>
        <v/>
      </c>
      <c r="BL53" s="157" t="str">
        <f t="shared" si="14"/>
        <v/>
      </c>
      <c r="BM53" s="72"/>
      <c r="BN53" s="72" t="str">
        <f t="shared" si="33"/>
        <v/>
      </c>
      <c r="BO53" s="72" t="str">
        <f t="shared" si="34"/>
        <v/>
      </c>
      <c r="BP53" s="39"/>
      <c r="BQ53" s="72">
        <f t="shared" si="51"/>
        <v>5092319400</v>
      </c>
      <c r="BR53" s="72">
        <f t="shared" si="35"/>
        <v>1607917907.8994224</v>
      </c>
    </row>
    <row r="54" spans="3:70" x14ac:dyDescent="0.15">
      <c r="D54" s="81" t="s">
        <v>187</v>
      </c>
      <c r="F54" s="66"/>
      <c r="G54" s="81" t="s">
        <v>172</v>
      </c>
      <c r="I54" s="459">
        <f t="shared" si="36"/>
        <v>2069</v>
      </c>
      <c r="J54" s="71"/>
      <c r="K54" s="71">
        <f t="shared" si="37"/>
        <v>40</v>
      </c>
      <c r="L54" s="71"/>
      <c r="M54" s="7">
        <f t="shared" si="38"/>
        <v>0.30655684077380685</v>
      </c>
      <c r="N54" s="71"/>
      <c r="O54" s="10">
        <f t="shared" si="52"/>
        <v>0</v>
      </c>
      <c r="P54" s="29" t="str">
        <f t="shared" si="39"/>
        <v>-</v>
      </c>
      <c r="Q54" s="71"/>
      <c r="R54" s="10">
        <f t="shared" si="53"/>
        <v>6927500000</v>
      </c>
      <c r="S54" s="71"/>
      <c r="T54" s="10">
        <f t="shared" si="18"/>
        <v>6927500000</v>
      </c>
      <c r="U54" s="71"/>
      <c r="V54" s="10">
        <f t="shared" si="40"/>
        <v>0</v>
      </c>
      <c r="W54" s="10">
        <f t="shared" si="19"/>
        <v>0</v>
      </c>
      <c r="X54" s="71"/>
      <c r="Y54" s="10">
        <f t="shared" si="41"/>
        <v>96985000</v>
      </c>
      <c r="Z54" s="10">
        <f t="shared" si="20"/>
        <v>29731415.202447657</v>
      </c>
      <c r="AA54" s="71"/>
      <c r="AB54" s="10">
        <f t="shared" si="4"/>
        <v>0</v>
      </c>
      <c r="AC54" s="10">
        <f t="shared" si="21"/>
        <v>0</v>
      </c>
      <c r="AD54" s="71"/>
      <c r="AE54" s="10">
        <f t="shared" si="42"/>
        <v>0</v>
      </c>
      <c r="AF54" s="10">
        <f t="shared" si="22"/>
        <v>0</v>
      </c>
      <c r="AG54" s="71"/>
      <c r="AH54" s="10">
        <f t="shared" si="43"/>
        <v>620000000</v>
      </c>
      <c r="AI54" s="10">
        <f t="shared" si="23"/>
        <v>190065241.27976024</v>
      </c>
      <c r="AJ54" s="71"/>
      <c r="AK54" s="10">
        <f t="shared" si="44"/>
        <v>3325200000</v>
      </c>
      <c r="AL54" s="10">
        <f t="shared" si="24"/>
        <v>1019362806.9410626</v>
      </c>
      <c r="AM54" s="71"/>
      <c r="AN54" s="10">
        <f t="shared" si="45"/>
        <v>1524050000</v>
      </c>
      <c r="AO54" s="10">
        <f t="shared" si="25"/>
        <v>467207953.18132031</v>
      </c>
      <c r="AP54" s="71"/>
      <c r="AQ54" s="10">
        <f t="shared" si="46"/>
        <v>656310000</v>
      </c>
      <c r="AR54" s="10">
        <f t="shared" si="26"/>
        <v>201196320.16825718</v>
      </c>
      <c r="AS54" s="71"/>
      <c r="AT54" s="7">
        <f>IF($K54&lt;=$F$15,IF($F$40&lt;&gt;"",$F$40/1000,IF(ISERROR(VLOOKUP($F$3&amp;IF($G$4&lt;&gt;"",$G$4,"")&amp;IF($F$43&lt;&gt;"","_"&amp;$F$43,""),'表3）燃料価格'!$AF$9:$AG$25,2,0)),0,VLOOKUP($I54,'表3）燃料価格'!$A$6:$U$66,VLOOKUP($F$3&amp;IF($G$4&lt;&gt;"",$G$4,"")&amp;IF($F$43&lt;&gt;"","_"&amp;$F$43,""),'表3）燃料価格'!$AF$9:$AG$25,2,0)+VLOOKUP($F$41,'表3）燃料価格'!$AF$28:$AG$29,2,0),0)*IF($F$43="需要地価格",1,$F$8/$F$141))),"")</f>
        <v>45.743572027976541</v>
      </c>
      <c r="AU54" s="71"/>
      <c r="AV54" s="10">
        <f t="shared" si="47"/>
        <v>29214140993.848087</v>
      </c>
      <c r="AW54" s="10">
        <f t="shared" si="27"/>
        <v>8955794768.9946308</v>
      </c>
      <c r="AX54" s="71"/>
      <c r="AY54" s="7">
        <f>IF(ISERROR(IF($K54&lt;=$F$15,VLOOKUP($I54,'表4）CO2価格'!$A$7:$E$67,VLOOKUP($F$48,'表4）CO2価格'!$H$10:$I$12,2,0),0)*$F$8/1000,"")),0,IF($K54&lt;=$F$15,VLOOKUP($I54,'表4）CO2価格'!$A$7:$E$67,VLOOKUP($F$48,'表4）CO2価格'!$H$10:$I$12,2,0),0)*$F$8/1000,""))</f>
        <v>9.3762214345748625</v>
      </c>
      <c r="AZ54" s="71"/>
      <c r="BA54" s="11">
        <f t="shared" si="48"/>
        <v>15697282125.2467</v>
      </c>
      <c r="BB54" s="10">
        <f t="shared" si="28"/>
        <v>4812109217.0507774</v>
      </c>
      <c r="BC54" s="71"/>
      <c r="BD54" s="10">
        <f t="shared" si="49"/>
        <v>0</v>
      </c>
      <c r="BE54" s="10">
        <f t="shared" si="29"/>
        <v>0</v>
      </c>
      <c r="BF54" s="71"/>
      <c r="BG54" s="11">
        <f t="shared" si="50"/>
        <v>0</v>
      </c>
      <c r="BH54" s="10">
        <f t="shared" si="30"/>
        <v>0</v>
      </c>
      <c r="BJ54" s="7" t="str">
        <f t="shared" si="31"/>
        <v/>
      </c>
      <c r="BK54" s="158" t="str">
        <f t="shared" si="32"/>
        <v/>
      </c>
      <c r="BL54" s="158" t="str">
        <f t="shared" si="14"/>
        <v/>
      </c>
      <c r="BM54" s="10"/>
      <c r="BN54" s="10" t="str">
        <f t="shared" si="33"/>
        <v/>
      </c>
      <c r="BO54" s="10" t="str">
        <f t="shared" si="34"/>
        <v/>
      </c>
      <c r="BQ54" s="10">
        <f t="shared" si="51"/>
        <v>5092319400</v>
      </c>
      <c r="BR54" s="10">
        <f t="shared" si="35"/>
        <v>1561085347.4751675</v>
      </c>
    </row>
    <row r="55" spans="3:70" ht="16.5" x14ac:dyDescent="0.15">
      <c r="D55" s="81" t="s">
        <v>188</v>
      </c>
      <c r="F55" s="66"/>
      <c r="G55" s="9" t="s">
        <v>372</v>
      </c>
      <c r="I55" s="458">
        <f>I54+1</f>
        <v>2070</v>
      </c>
      <c r="J55" s="39"/>
      <c r="K55" s="39">
        <f>IF(I55&lt;&gt;"",K54+1,"")</f>
        <v>41</v>
      </c>
      <c r="L55" s="39"/>
      <c r="M55" s="40">
        <f t="shared" si="38"/>
        <v>0.29762800075126877</v>
      </c>
      <c r="N55" s="39"/>
      <c r="O55" s="72" t="str">
        <f t="shared" si="52"/>
        <v/>
      </c>
      <c r="P55" s="41" t="str">
        <f t="shared" si="39"/>
        <v/>
      </c>
      <c r="Q55" s="39"/>
      <c r="R55" s="72" t="str">
        <f t="shared" si="53"/>
        <v/>
      </c>
      <c r="S55" s="39"/>
      <c r="T55" s="72" t="str">
        <f t="shared" si="18"/>
        <v/>
      </c>
      <c r="U55" s="39"/>
      <c r="V55" s="72" t="str">
        <f t="shared" si="40"/>
        <v/>
      </c>
      <c r="W55" s="72" t="str">
        <f t="shared" ref="W55:W82" si="54">IF(ISNUMBER(V55),V55*$M55,"")</f>
        <v/>
      </c>
      <c r="X55" s="39"/>
      <c r="Y55" s="72" t="str">
        <f t="shared" si="41"/>
        <v/>
      </c>
      <c r="Z55" s="72" t="str">
        <f t="shared" ref="Z55:Z82" si="55">IF(ISNUMBER(Y55),Y55*$M55,"")</f>
        <v/>
      </c>
      <c r="AA55" s="39"/>
      <c r="AB55" s="72">
        <f t="shared" si="4"/>
        <v>6927500000.000001</v>
      </c>
      <c r="AC55" s="72">
        <f t="shared" ref="AC55:AC82" si="56">IF(ISNUMBER(AB55),AB55*$M55,"")</f>
        <v>2061817975.2044146</v>
      </c>
      <c r="AD55" s="39"/>
      <c r="AE55" s="72" t="str">
        <f t="shared" si="42"/>
        <v/>
      </c>
      <c r="AF55" s="72" t="str">
        <f t="shared" ref="AF55:AF82" si="57">IF(ISNUMBER(AE55),AE55*$M55,"")</f>
        <v/>
      </c>
      <c r="AG55" s="39"/>
      <c r="AH55" s="72" t="str">
        <f t="shared" si="43"/>
        <v/>
      </c>
      <c r="AI55" s="72" t="str">
        <f t="shared" ref="AI55:AI82" si="58">IF(ISNUMBER(AH55),AH55*$M55,"")</f>
        <v/>
      </c>
      <c r="AJ55" s="39"/>
      <c r="AK55" s="72" t="str">
        <f t="shared" si="44"/>
        <v/>
      </c>
      <c r="AL55" s="72" t="str">
        <f t="shared" ref="AL55:AL82" si="59">IF(ISNUMBER(AK55),AK55*$M55,"")</f>
        <v/>
      </c>
      <c r="AM55" s="39"/>
      <c r="AN55" s="72" t="str">
        <f t="shared" si="45"/>
        <v/>
      </c>
      <c r="AO55" s="72" t="str">
        <f t="shared" ref="AO55:AO82" si="60">IF(ISNUMBER(AN55),AN55*$M55,"")</f>
        <v/>
      </c>
      <c r="AP55" s="39"/>
      <c r="AQ55" s="72" t="str">
        <f t="shared" si="46"/>
        <v/>
      </c>
      <c r="AR55" s="72" t="str">
        <f t="shared" si="26"/>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47"/>
        <v/>
      </c>
      <c r="AW55" s="72" t="str">
        <f t="shared" si="27"/>
        <v/>
      </c>
      <c r="AX55" s="39"/>
      <c r="AY55" s="40" t="str">
        <f>IF(ISERROR(IF($K55&lt;=$F$15,VLOOKUP($I55,'表4）CO2価格'!$A$7:$E$67,VLOOKUP($F$48,'表4）CO2価格'!$H$10:$I$12,2,0),0)*$F$8/1000,"")),0,IF($K55&lt;=$F$15,VLOOKUP($I55,'表4）CO2価格'!$A$7:$E$67,VLOOKUP($F$48,'表4）CO2価格'!$H$10:$I$12,2,0),0)*$F$8/1000,""))</f>
        <v/>
      </c>
      <c r="AZ55" s="39"/>
      <c r="BA55" s="42" t="str">
        <f t="shared" si="48"/>
        <v/>
      </c>
      <c r="BB55" s="72" t="str">
        <f t="shared" si="28"/>
        <v/>
      </c>
      <c r="BC55" s="39"/>
      <c r="BD55" s="72" t="str">
        <f t="shared" si="49"/>
        <v/>
      </c>
      <c r="BE55" s="72" t="str">
        <f t="shared" si="29"/>
        <v/>
      </c>
      <c r="BF55" s="39"/>
      <c r="BG55" s="42" t="str">
        <f t="shared" si="50"/>
        <v/>
      </c>
      <c r="BH55" s="72" t="str">
        <f t="shared" si="30"/>
        <v/>
      </c>
      <c r="BI55" s="39"/>
      <c r="BJ55" s="40" t="str">
        <f t="shared" si="31"/>
        <v/>
      </c>
      <c r="BK55" s="157" t="str">
        <f t="shared" si="32"/>
        <v/>
      </c>
      <c r="BL55" s="157" t="str">
        <f t="shared" si="14"/>
        <v/>
      </c>
      <c r="BM55" s="72"/>
      <c r="BN55" s="72" t="str">
        <f t="shared" si="33"/>
        <v/>
      </c>
      <c r="BO55" s="72" t="str">
        <f t="shared" si="34"/>
        <v/>
      </c>
      <c r="BP55" s="39"/>
      <c r="BQ55" s="72" t="str">
        <f t="shared" si="51"/>
        <v/>
      </c>
      <c r="BR55" s="72" t="str">
        <f t="shared" si="35"/>
        <v/>
      </c>
    </row>
    <row r="56" spans="3:70" x14ac:dyDescent="0.15">
      <c r="D56" s="81" t="s">
        <v>189</v>
      </c>
      <c r="F56" s="59"/>
      <c r="G56" s="81" t="s">
        <v>181</v>
      </c>
      <c r="I56" s="459">
        <f t="shared" si="36"/>
        <v>2071</v>
      </c>
      <c r="J56" s="71"/>
      <c r="K56" s="71">
        <f t="shared" si="37"/>
        <v>42</v>
      </c>
      <c r="L56" s="71"/>
      <c r="M56" s="7">
        <f t="shared" si="38"/>
        <v>0.28895922403035801</v>
      </c>
      <c r="N56" s="71"/>
      <c r="O56" s="10" t="str">
        <f t="shared" si="52"/>
        <v/>
      </c>
      <c r="P56" s="29" t="str">
        <f t="shared" si="39"/>
        <v/>
      </c>
      <c r="Q56" s="71"/>
      <c r="R56" s="10" t="str">
        <f t="shared" si="53"/>
        <v/>
      </c>
      <c r="S56" s="71"/>
      <c r="T56" s="10" t="str">
        <f t="shared" si="18"/>
        <v/>
      </c>
      <c r="U56" s="71"/>
      <c r="V56" s="10" t="str">
        <f t="shared" si="40"/>
        <v/>
      </c>
      <c r="W56" s="10" t="str">
        <f t="shared" si="54"/>
        <v/>
      </c>
      <c r="X56" s="71"/>
      <c r="Y56" s="10" t="str">
        <f t="shared" si="41"/>
        <v/>
      </c>
      <c r="Z56" s="10" t="str">
        <f t="shared" si="55"/>
        <v/>
      </c>
      <c r="AA56" s="71"/>
      <c r="AB56" s="10" t="str">
        <f t="shared" si="4"/>
        <v/>
      </c>
      <c r="AC56" s="10" t="str">
        <f t="shared" si="56"/>
        <v/>
      </c>
      <c r="AD56" s="71"/>
      <c r="AE56" s="10" t="str">
        <f t="shared" si="42"/>
        <v/>
      </c>
      <c r="AF56" s="10" t="str">
        <f t="shared" si="57"/>
        <v/>
      </c>
      <c r="AG56" s="71"/>
      <c r="AH56" s="10" t="str">
        <f t="shared" si="43"/>
        <v/>
      </c>
      <c r="AI56" s="10" t="str">
        <f t="shared" si="58"/>
        <v/>
      </c>
      <c r="AJ56" s="71"/>
      <c r="AK56" s="10" t="str">
        <f t="shared" si="44"/>
        <v/>
      </c>
      <c r="AL56" s="10" t="str">
        <f t="shared" si="59"/>
        <v/>
      </c>
      <c r="AM56" s="71"/>
      <c r="AN56" s="10" t="str">
        <f t="shared" si="45"/>
        <v/>
      </c>
      <c r="AO56" s="10" t="str">
        <f t="shared" si="60"/>
        <v/>
      </c>
      <c r="AP56" s="71"/>
      <c r="AQ56" s="10" t="str">
        <f t="shared" si="46"/>
        <v/>
      </c>
      <c r="AR56" s="10" t="str">
        <f t="shared" si="26"/>
        <v/>
      </c>
      <c r="AS56" s="71"/>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U56" s="71"/>
      <c r="AV56" s="10" t="str">
        <f t="shared" si="47"/>
        <v/>
      </c>
      <c r="AW56" s="10" t="str">
        <f t="shared" si="27"/>
        <v/>
      </c>
      <c r="AX56" s="71"/>
      <c r="AY56" s="7" t="str">
        <f>IF(ISERROR(IF($K56&lt;=$F$15,VLOOKUP($I56,'表4）CO2価格'!$A$7:$E$67,VLOOKUP($F$48,'表4）CO2価格'!$H$10:$I$12,2,0),0)*$F$8/1000,"")),0,IF($K56&lt;=$F$15,VLOOKUP($I56,'表4）CO2価格'!$A$7:$E$67,VLOOKUP($F$48,'表4）CO2価格'!$H$10:$I$12,2,0),0)*$F$8/1000,""))</f>
        <v/>
      </c>
      <c r="AZ56" s="71"/>
      <c r="BA56" s="11" t="str">
        <f t="shared" si="48"/>
        <v/>
      </c>
      <c r="BB56" s="10" t="str">
        <f t="shared" si="28"/>
        <v/>
      </c>
      <c r="BC56" s="71"/>
      <c r="BD56" s="10" t="str">
        <f t="shared" si="49"/>
        <v/>
      </c>
      <c r="BE56" s="10" t="str">
        <f t="shared" si="29"/>
        <v/>
      </c>
      <c r="BF56" s="71"/>
      <c r="BG56" s="11" t="str">
        <f t="shared" si="50"/>
        <v/>
      </c>
      <c r="BH56" s="10" t="str">
        <f t="shared" si="30"/>
        <v/>
      </c>
      <c r="BJ56" s="7" t="str">
        <f t="shared" si="31"/>
        <v/>
      </c>
      <c r="BK56" s="158" t="str">
        <f t="shared" si="32"/>
        <v/>
      </c>
      <c r="BL56" s="158" t="str">
        <f t="shared" si="14"/>
        <v/>
      </c>
      <c r="BM56" s="10"/>
      <c r="BN56" s="10" t="str">
        <f t="shared" si="33"/>
        <v/>
      </c>
      <c r="BO56" s="10" t="str">
        <f t="shared" si="34"/>
        <v/>
      </c>
      <c r="BQ56" s="10" t="str">
        <f t="shared" si="51"/>
        <v/>
      </c>
      <c r="BR56" s="10" t="str">
        <f t="shared" si="35"/>
        <v/>
      </c>
    </row>
    <row r="57" spans="3:70" x14ac:dyDescent="0.15">
      <c r="I57" s="458">
        <f t="shared" si="36"/>
        <v>2072</v>
      </c>
      <c r="J57" s="39"/>
      <c r="K57" s="39">
        <f t="shared" si="37"/>
        <v>43</v>
      </c>
      <c r="L57" s="39"/>
      <c r="M57" s="40">
        <f t="shared" si="38"/>
        <v>0.28054293595180391</v>
      </c>
      <c r="N57" s="39"/>
      <c r="O57" s="72" t="str">
        <f t="shared" si="52"/>
        <v/>
      </c>
      <c r="P57" s="41" t="str">
        <f t="shared" si="39"/>
        <v/>
      </c>
      <c r="Q57" s="39"/>
      <c r="R57" s="72" t="str">
        <f t="shared" si="53"/>
        <v/>
      </c>
      <c r="S57" s="39"/>
      <c r="T57" s="72" t="str">
        <f t="shared" si="18"/>
        <v/>
      </c>
      <c r="U57" s="39"/>
      <c r="V57" s="72" t="str">
        <f t="shared" si="40"/>
        <v/>
      </c>
      <c r="W57" s="72" t="str">
        <f t="shared" si="54"/>
        <v/>
      </c>
      <c r="X57" s="39"/>
      <c r="Y57" s="72" t="str">
        <f t="shared" si="41"/>
        <v/>
      </c>
      <c r="Z57" s="72" t="str">
        <f t="shared" si="55"/>
        <v/>
      </c>
      <c r="AA57" s="39"/>
      <c r="AB57" s="72" t="str">
        <f t="shared" si="4"/>
        <v/>
      </c>
      <c r="AC57" s="72" t="str">
        <f t="shared" si="56"/>
        <v/>
      </c>
      <c r="AD57" s="39"/>
      <c r="AE57" s="72" t="str">
        <f t="shared" si="42"/>
        <v/>
      </c>
      <c r="AF57" s="72" t="str">
        <f t="shared" si="57"/>
        <v/>
      </c>
      <c r="AG57" s="39"/>
      <c r="AH57" s="72" t="str">
        <f t="shared" si="43"/>
        <v/>
      </c>
      <c r="AI57" s="72" t="str">
        <f t="shared" si="58"/>
        <v/>
      </c>
      <c r="AJ57" s="39"/>
      <c r="AK57" s="72" t="str">
        <f t="shared" si="44"/>
        <v/>
      </c>
      <c r="AL57" s="72" t="str">
        <f t="shared" si="59"/>
        <v/>
      </c>
      <c r="AM57" s="39"/>
      <c r="AN57" s="72" t="str">
        <f t="shared" si="45"/>
        <v/>
      </c>
      <c r="AO57" s="72" t="str">
        <f t="shared" si="60"/>
        <v/>
      </c>
      <c r="AP57" s="39"/>
      <c r="AQ57" s="72" t="str">
        <f t="shared" si="46"/>
        <v/>
      </c>
      <c r="AR57" s="72" t="str">
        <f t="shared" si="26"/>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47"/>
        <v/>
      </c>
      <c r="AW57" s="72" t="str">
        <f t="shared" si="27"/>
        <v/>
      </c>
      <c r="AX57" s="39"/>
      <c r="AY57" s="40" t="str">
        <f>IF(ISERROR(IF($K57&lt;=$F$15,VLOOKUP($I57,'表4）CO2価格'!$A$7:$E$67,VLOOKUP($F$48,'表4）CO2価格'!$H$10:$I$12,2,0),0)*$F$8/1000,"")),0,IF($K57&lt;=$F$15,VLOOKUP($I57,'表4）CO2価格'!$A$7:$E$67,VLOOKUP($F$48,'表4）CO2価格'!$H$10:$I$12,2,0),0)*$F$8/1000,""))</f>
        <v/>
      </c>
      <c r="AZ57" s="39"/>
      <c r="BA57" s="42" t="str">
        <f t="shared" si="48"/>
        <v/>
      </c>
      <c r="BB57" s="72" t="str">
        <f t="shared" si="28"/>
        <v/>
      </c>
      <c r="BC57" s="39"/>
      <c r="BD57" s="72" t="str">
        <f t="shared" si="49"/>
        <v/>
      </c>
      <c r="BE57" s="72" t="str">
        <f t="shared" si="29"/>
        <v/>
      </c>
      <c r="BF57" s="39"/>
      <c r="BG57" s="42" t="str">
        <f t="shared" si="50"/>
        <v/>
      </c>
      <c r="BH57" s="72" t="str">
        <f t="shared" si="30"/>
        <v/>
      </c>
      <c r="BI57" s="39"/>
      <c r="BJ57" s="40" t="str">
        <f t="shared" si="31"/>
        <v/>
      </c>
      <c r="BK57" s="157" t="str">
        <f t="shared" si="32"/>
        <v/>
      </c>
      <c r="BL57" s="157" t="str">
        <f t="shared" si="14"/>
        <v/>
      </c>
      <c r="BM57" s="72"/>
      <c r="BN57" s="72" t="str">
        <f t="shared" si="33"/>
        <v/>
      </c>
      <c r="BO57" s="72" t="str">
        <f t="shared" si="34"/>
        <v/>
      </c>
      <c r="BP57" s="39"/>
      <c r="BQ57" s="72" t="str">
        <f t="shared" si="51"/>
        <v/>
      </c>
      <c r="BR57" s="72" t="str">
        <f t="shared" si="35"/>
        <v/>
      </c>
    </row>
    <row r="58" spans="3:70" x14ac:dyDescent="0.15">
      <c r="C58" s="89" t="s">
        <v>512</v>
      </c>
      <c r="D58" s="101"/>
      <c r="E58" s="101"/>
      <c r="F58" s="89"/>
      <c r="G58" s="101"/>
      <c r="I58" s="459">
        <f t="shared" si="36"/>
        <v>2073</v>
      </c>
      <c r="J58" s="71"/>
      <c r="K58" s="71">
        <f t="shared" si="37"/>
        <v>44</v>
      </c>
      <c r="L58" s="71"/>
      <c r="M58" s="7">
        <f t="shared" si="38"/>
        <v>0.27237178247747956</v>
      </c>
      <c r="N58" s="71"/>
      <c r="O58" s="10" t="str">
        <f t="shared" si="52"/>
        <v/>
      </c>
      <c r="P58" s="29" t="str">
        <f t="shared" si="39"/>
        <v/>
      </c>
      <c r="Q58" s="71"/>
      <c r="R58" s="10" t="str">
        <f t="shared" si="53"/>
        <v/>
      </c>
      <c r="S58" s="71"/>
      <c r="T58" s="10" t="str">
        <f t="shared" si="18"/>
        <v/>
      </c>
      <c r="U58" s="71"/>
      <c r="V58" s="10" t="str">
        <f t="shared" si="40"/>
        <v/>
      </c>
      <c r="W58" s="10" t="str">
        <f t="shared" si="54"/>
        <v/>
      </c>
      <c r="X58" s="71"/>
      <c r="Y58" s="10" t="str">
        <f t="shared" si="41"/>
        <v/>
      </c>
      <c r="Z58" s="10" t="str">
        <f t="shared" si="55"/>
        <v/>
      </c>
      <c r="AA58" s="71"/>
      <c r="AB58" s="10" t="str">
        <f t="shared" si="4"/>
        <v/>
      </c>
      <c r="AC58" s="10" t="str">
        <f t="shared" si="56"/>
        <v/>
      </c>
      <c r="AD58" s="71"/>
      <c r="AE58" s="10" t="str">
        <f t="shared" si="42"/>
        <v/>
      </c>
      <c r="AF58" s="10" t="str">
        <f t="shared" si="57"/>
        <v/>
      </c>
      <c r="AG58" s="71"/>
      <c r="AH58" s="10" t="str">
        <f t="shared" si="43"/>
        <v/>
      </c>
      <c r="AI58" s="10" t="str">
        <f t="shared" si="58"/>
        <v/>
      </c>
      <c r="AJ58" s="71"/>
      <c r="AK58" s="10" t="str">
        <f t="shared" si="44"/>
        <v/>
      </c>
      <c r="AL58" s="10" t="str">
        <f t="shared" si="59"/>
        <v/>
      </c>
      <c r="AM58" s="71"/>
      <c r="AN58" s="10" t="str">
        <f t="shared" si="45"/>
        <v/>
      </c>
      <c r="AO58" s="10" t="str">
        <f t="shared" si="60"/>
        <v/>
      </c>
      <c r="AP58" s="71"/>
      <c r="AQ58" s="10" t="str">
        <f t="shared" si="46"/>
        <v/>
      </c>
      <c r="AR58" s="10" t="str">
        <f t="shared" si="26"/>
        <v/>
      </c>
      <c r="AS58" s="71"/>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U58" s="71"/>
      <c r="AV58" s="10" t="str">
        <f t="shared" si="47"/>
        <v/>
      </c>
      <c r="AW58" s="10" t="str">
        <f t="shared" si="27"/>
        <v/>
      </c>
      <c r="AX58" s="71"/>
      <c r="AY58" s="7" t="str">
        <f>IF(ISERROR(IF($K58&lt;=$F$15,VLOOKUP($I58,'表4）CO2価格'!$A$7:$E$67,VLOOKUP($F$48,'表4）CO2価格'!$H$10:$I$12,2,0),0)*$F$8/1000,"")),0,IF($K58&lt;=$F$15,VLOOKUP($I58,'表4）CO2価格'!$A$7:$E$67,VLOOKUP($F$48,'表4）CO2価格'!$H$10:$I$12,2,0),0)*$F$8/1000,""))</f>
        <v/>
      </c>
      <c r="AZ58" s="71"/>
      <c r="BA58" s="11" t="str">
        <f t="shared" si="48"/>
        <v/>
      </c>
      <c r="BB58" s="10" t="str">
        <f t="shared" si="28"/>
        <v/>
      </c>
      <c r="BC58" s="71"/>
      <c r="BD58" s="10" t="str">
        <f t="shared" si="49"/>
        <v/>
      </c>
      <c r="BE58" s="10" t="str">
        <f t="shared" si="29"/>
        <v/>
      </c>
      <c r="BF58" s="71"/>
      <c r="BG58" s="11" t="str">
        <f t="shared" si="50"/>
        <v/>
      </c>
      <c r="BH58" s="10" t="str">
        <f t="shared" si="30"/>
        <v/>
      </c>
      <c r="BJ58" s="7" t="str">
        <f t="shared" si="31"/>
        <v/>
      </c>
      <c r="BK58" s="158" t="str">
        <f t="shared" si="32"/>
        <v/>
      </c>
      <c r="BL58" s="158" t="str">
        <f t="shared" si="14"/>
        <v/>
      </c>
      <c r="BM58" s="10"/>
      <c r="BN58" s="10" t="str">
        <f t="shared" si="33"/>
        <v/>
      </c>
      <c r="BO58" s="10" t="str">
        <f t="shared" si="34"/>
        <v/>
      </c>
      <c r="BQ58" s="10" t="str">
        <f t="shared" si="51"/>
        <v/>
      </c>
      <c r="BR58" s="10" t="str">
        <f t="shared" si="35"/>
        <v/>
      </c>
    </row>
    <row r="59" spans="3:70" x14ac:dyDescent="0.15">
      <c r="I59" s="458">
        <f t="shared" si="36"/>
        <v>2074</v>
      </c>
      <c r="J59" s="39"/>
      <c r="K59" s="39">
        <f t="shared" si="37"/>
        <v>45</v>
      </c>
      <c r="L59" s="39"/>
      <c r="M59" s="40">
        <f t="shared" si="38"/>
        <v>0.26443862376454325</v>
      </c>
      <c r="N59" s="39"/>
      <c r="O59" s="72" t="str">
        <f t="shared" si="52"/>
        <v/>
      </c>
      <c r="P59" s="41" t="str">
        <f t="shared" si="39"/>
        <v/>
      </c>
      <c r="Q59" s="39"/>
      <c r="R59" s="72" t="str">
        <f t="shared" si="53"/>
        <v/>
      </c>
      <c r="S59" s="39"/>
      <c r="T59" s="72" t="str">
        <f t="shared" si="18"/>
        <v/>
      </c>
      <c r="U59" s="39"/>
      <c r="V59" s="72" t="str">
        <f t="shared" si="40"/>
        <v/>
      </c>
      <c r="W59" s="72" t="str">
        <f t="shared" si="54"/>
        <v/>
      </c>
      <c r="X59" s="39"/>
      <c r="Y59" s="72" t="str">
        <f t="shared" si="41"/>
        <v/>
      </c>
      <c r="Z59" s="72" t="str">
        <f t="shared" si="55"/>
        <v/>
      </c>
      <c r="AA59" s="39"/>
      <c r="AB59" s="72" t="str">
        <f t="shared" si="4"/>
        <v/>
      </c>
      <c r="AC59" s="72" t="str">
        <f t="shared" si="56"/>
        <v/>
      </c>
      <c r="AD59" s="39"/>
      <c r="AE59" s="72" t="str">
        <f t="shared" si="42"/>
        <v/>
      </c>
      <c r="AF59" s="72" t="str">
        <f t="shared" si="57"/>
        <v/>
      </c>
      <c r="AG59" s="39"/>
      <c r="AH59" s="72" t="str">
        <f t="shared" si="43"/>
        <v/>
      </c>
      <c r="AI59" s="72" t="str">
        <f t="shared" si="58"/>
        <v/>
      </c>
      <c r="AJ59" s="39"/>
      <c r="AK59" s="72" t="str">
        <f t="shared" si="44"/>
        <v/>
      </c>
      <c r="AL59" s="72" t="str">
        <f t="shared" si="59"/>
        <v/>
      </c>
      <c r="AM59" s="39"/>
      <c r="AN59" s="72" t="str">
        <f t="shared" si="45"/>
        <v/>
      </c>
      <c r="AO59" s="72" t="str">
        <f t="shared" si="60"/>
        <v/>
      </c>
      <c r="AP59" s="39"/>
      <c r="AQ59" s="72" t="str">
        <f t="shared" si="46"/>
        <v/>
      </c>
      <c r="AR59" s="72" t="str">
        <f t="shared" si="26"/>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47"/>
        <v/>
      </c>
      <c r="AW59" s="72" t="str">
        <f t="shared" si="27"/>
        <v/>
      </c>
      <c r="AX59" s="39"/>
      <c r="AY59" s="40" t="str">
        <f>IF(ISERROR(IF($K59&lt;=$F$15,VLOOKUP($I59,'表4）CO2価格'!$A$7:$E$67,VLOOKUP($F$48,'表4）CO2価格'!$H$10:$I$12,2,0),0)*$F$8/1000,"")),0,IF($K59&lt;=$F$15,VLOOKUP($I59,'表4）CO2価格'!$A$7:$E$67,VLOOKUP($F$48,'表4）CO2価格'!$H$10:$I$12,2,0),0)*$F$8/1000,""))</f>
        <v/>
      </c>
      <c r="AZ59" s="39"/>
      <c r="BA59" s="42" t="str">
        <f t="shared" si="48"/>
        <v/>
      </c>
      <c r="BB59" s="72" t="str">
        <f t="shared" si="28"/>
        <v/>
      </c>
      <c r="BC59" s="39"/>
      <c r="BD59" s="72" t="str">
        <f t="shared" si="49"/>
        <v/>
      </c>
      <c r="BE59" s="72" t="str">
        <f t="shared" si="29"/>
        <v/>
      </c>
      <c r="BF59" s="39"/>
      <c r="BG59" s="42" t="str">
        <f t="shared" si="50"/>
        <v/>
      </c>
      <c r="BH59" s="72" t="str">
        <f t="shared" si="30"/>
        <v/>
      </c>
      <c r="BI59" s="39"/>
      <c r="BJ59" s="40" t="str">
        <f t="shared" si="31"/>
        <v/>
      </c>
      <c r="BK59" s="157" t="str">
        <f t="shared" si="32"/>
        <v/>
      </c>
      <c r="BL59" s="157" t="str">
        <f t="shared" si="14"/>
        <v/>
      </c>
      <c r="BM59" s="72"/>
      <c r="BN59" s="72" t="str">
        <f t="shared" si="33"/>
        <v/>
      </c>
      <c r="BO59" s="72" t="str">
        <f t="shared" si="34"/>
        <v/>
      </c>
      <c r="BP59" s="39"/>
      <c r="BQ59" s="72" t="str">
        <f t="shared" si="51"/>
        <v/>
      </c>
      <c r="BR59" s="72" t="str">
        <f t="shared" si="35"/>
        <v/>
      </c>
    </row>
    <row r="60" spans="3:70" x14ac:dyDescent="0.15">
      <c r="D60" s="81" t="s">
        <v>128</v>
      </c>
      <c r="F60" s="59"/>
      <c r="G60" s="81" t="s">
        <v>176</v>
      </c>
      <c r="I60" s="459">
        <f t="shared" si="36"/>
        <v>2075</v>
      </c>
      <c r="J60" s="71"/>
      <c r="K60" s="71">
        <f t="shared" si="37"/>
        <v>46</v>
      </c>
      <c r="L60" s="71"/>
      <c r="M60" s="7">
        <f t="shared" si="38"/>
        <v>0.25673652792674101</v>
      </c>
      <c r="N60" s="71"/>
      <c r="O60" s="10" t="str">
        <f t="shared" si="52"/>
        <v/>
      </c>
      <c r="P60" s="29" t="str">
        <f t="shared" si="39"/>
        <v/>
      </c>
      <c r="Q60" s="71"/>
      <c r="R60" s="10" t="str">
        <f t="shared" si="53"/>
        <v/>
      </c>
      <c r="S60" s="71"/>
      <c r="T60" s="10" t="str">
        <f t="shared" si="18"/>
        <v/>
      </c>
      <c r="U60" s="71"/>
      <c r="V60" s="10" t="str">
        <f t="shared" si="40"/>
        <v/>
      </c>
      <c r="W60" s="10" t="str">
        <f t="shared" si="54"/>
        <v/>
      </c>
      <c r="X60" s="71"/>
      <c r="Y60" s="10" t="str">
        <f t="shared" si="41"/>
        <v/>
      </c>
      <c r="Z60" s="10" t="str">
        <f t="shared" si="55"/>
        <v/>
      </c>
      <c r="AA60" s="71"/>
      <c r="AB60" s="10" t="str">
        <f t="shared" si="4"/>
        <v/>
      </c>
      <c r="AC60" s="10" t="str">
        <f t="shared" si="56"/>
        <v/>
      </c>
      <c r="AD60" s="71"/>
      <c r="AE60" s="10" t="str">
        <f t="shared" si="42"/>
        <v/>
      </c>
      <c r="AF60" s="10" t="str">
        <f t="shared" si="57"/>
        <v/>
      </c>
      <c r="AG60" s="71"/>
      <c r="AH60" s="10" t="str">
        <f t="shared" si="43"/>
        <v/>
      </c>
      <c r="AI60" s="10" t="str">
        <f t="shared" si="58"/>
        <v/>
      </c>
      <c r="AJ60" s="71"/>
      <c r="AK60" s="10" t="str">
        <f t="shared" si="44"/>
        <v/>
      </c>
      <c r="AL60" s="10" t="str">
        <f t="shared" si="59"/>
        <v/>
      </c>
      <c r="AM60" s="71"/>
      <c r="AN60" s="10" t="str">
        <f t="shared" si="45"/>
        <v/>
      </c>
      <c r="AO60" s="10" t="str">
        <f t="shared" si="60"/>
        <v/>
      </c>
      <c r="AP60" s="71"/>
      <c r="AQ60" s="10" t="str">
        <f t="shared" si="46"/>
        <v/>
      </c>
      <c r="AR60" s="10" t="str">
        <f t="shared" si="26"/>
        <v/>
      </c>
      <c r="AS60" s="71"/>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U60" s="71"/>
      <c r="AV60" s="10" t="str">
        <f t="shared" si="47"/>
        <v/>
      </c>
      <c r="AW60" s="10" t="str">
        <f t="shared" si="27"/>
        <v/>
      </c>
      <c r="AX60" s="71"/>
      <c r="AY60" s="7" t="str">
        <f>IF(ISERROR(IF($K60&lt;=$F$15,VLOOKUP($I60,'表4）CO2価格'!$A$7:$E$67,VLOOKUP($F$48,'表4）CO2価格'!$H$10:$I$12,2,0),0)*$F$8/1000,"")),0,IF($K60&lt;=$F$15,VLOOKUP($I60,'表4）CO2価格'!$A$7:$E$67,VLOOKUP($F$48,'表4）CO2価格'!$H$10:$I$12,2,0),0)*$F$8/1000,""))</f>
        <v/>
      </c>
      <c r="AZ60" s="71"/>
      <c r="BA60" s="11" t="str">
        <f t="shared" si="48"/>
        <v/>
      </c>
      <c r="BB60" s="10" t="str">
        <f t="shared" si="28"/>
        <v/>
      </c>
      <c r="BC60" s="71"/>
      <c r="BD60" s="10" t="str">
        <f t="shared" si="49"/>
        <v/>
      </c>
      <c r="BE60" s="10" t="str">
        <f t="shared" si="29"/>
        <v/>
      </c>
      <c r="BF60" s="71"/>
      <c r="BG60" s="11" t="str">
        <f t="shared" si="50"/>
        <v/>
      </c>
      <c r="BH60" s="10" t="str">
        <f t="shared" si="30"/>
        <v/>
      </c>
      <c r="BJ60" s="7" t="str">
        <f t="shared" si="31"/>
        <v/>
      </c>
      <c r="BK60" s="158" t="str">
        <f t="shared" si="32"/>
        <v/>
      </c>
      <c r="BL60" s="158" t="str">
        <f t="shared" si="14"/>
        <v/>
      </c>
      <c r="BM60" s="10"/>
      <c r="BN60" s="10" t="str">
        <f t="shared" si="33"/>
        <v/>
      </c>
      <c r="BO60" s="10" t="str">
        <f t="shared" si="34"/>
        <v/>
      </c>
      <c r="BQ60" s="10" t="str">
        <f t="shared" si="51"/>
        <v/>
      </c>
      <c r="BR60" s="10" t="str">
        <f t="shared" si="35"/>
        <v/>
      </c>
    </row>
    <row r="61" spans="3:70" x14ac:dyDescent="0.15">
      <c r="D61" s="81" t="s">
        <v>190</v>
      </c>
      <c r="F61" s="66"/>
      <c r="G61" s="81" t="s">
        <v>108</v>
      </c>
      <c r="I61" s="458">
        <f t="shared" si="36"/>
        <v>2076</v>
      </c>
      <c r="J61" s="39"/>
      <c r="K61" s="39">
        <f t="shared" si="37"/>
        <v>47</v>
      </c>
      <c r="L61" s="39"/>
      <c r="M61" s="40">
        <f t="shared" si="38"/>
        <v>0.24925876497741845</v>
      </c>
      <c r="N61" s="39"/>
      <c r="O61" s="72" t="str">
        <f t="shared" si="52"/>
        <v/>
      </c>
      <c r="P61" s="41" t="str">
        <f t="shared" si="39"/>
        <v/>
      </c>
      <c r="Q61" s="39"/>
      <c r="R61" s="72" t="str">
        <f t="shared" si="53"/>
        <v/>
      </c>
      <c r="S61" s="39"/>
      <c r="T61" s="72" t="str">
        <f t="shared" si="18"/>
        <v/>
      </c>
      <c r="U61" s="39"/>
      <c r="V61" s="72" t="str">
        <f t="shared" si="40"/>
        <v/>
      </c>
      <c r="W61" s="72" t="str">
        <f t="shared" si="54"/>
        <v/>
      </c>
      <c r="X61" s="39"/>
      <c r="Y61" s="72" t="str">
        <f t="shared" si="41"/>
        <v/>
      </c>
      <c r="Z61" s="72" t="str">
        <f t="shared" si="55"/>
        <v/>
      </c>
      <c r="AA61" s="39"/>
      <c r="AB61" s="72" t="str">
        <f t="shared" si="4"/>
        <v/>
      </c>
      <c r="AC61" s="72" t="str">
        <f t="shared" si="56"/>
        <v/>
      </c>
      <c r="AD61" s="39"/>
      <c r="AE61" s="72" t="str">
        <f t="shared" si="42"/>
        <v/>
      </c>
      <c r="AF61" s="72" t="str">
        <f t="shared" si="57"/>
        <v/>
      </c>
      <c r="AG61" s="39"/>
      <c r="AH61" s="72" t="str">
        <f t="shared" si="43"/>
        <v/>
      </c>
      <c r="AI61" s="72" t="str">
        <f t="shared" si="58"/>
        <v/>
      </c>
      <c r="AJ61" s="39"/>
      <c r="AK61" s="72" t="str">
        <f t="shared" si="44"/>
        <v/>
      </c>
      <c r="AL61" s="72" t="str">
        <f t="shared" si="59"/>
        <v/>
      </c>
      <c r="AM61" s="39"/>
      <c r="AN61" s="72" t="str">
        <f t="shared" si="45"/>
        <v/>
      </c>
      <c r="AO61" s="72" t="str">
        <f t="shared" si="60"/>
        <v/>
      </c>
      <c r="AP61" s="39"/>
      <c r="AQ61" s="72" t="str">
        <f t="shared" si="46"/>
        <v/>
      </c>
      <c r="AR61" s="72" t="str">
        <f t="shared" si="26"/>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47"/>
        <v/>
      </c>
      <c r="AW61" s="72" t="str">
        <f t="shared" si="27"/>
        <v/>
      </c>
      <c r="AX61" s="39"/>
      <c r="AY61" s="40" t="str">
        <f>IF(ISERROR(IF($K61&lt;=$F$15,VLOOKUP($I61,'表4）CO2価格'!$A$7:$E$67,VLOOKUP($F$48,'表4）CO2価格'!$H$10:$I$12,2,0),0)*$F$8/1000,"")),0,IF($K61&lt;=$F$15,VLOOKUP($I61,'表4）CO2価格'!$A$7:$E$67,VLOOKUP($F$48,'表4）CO2価格'!$H$10:$I$12,2,0),0)*$F$8/1000,""))</f>
        <v/>
      </c>
      <c r="AZ61" s="39"/>
      <c r="BA61" s="42" t="str">
        <f t="shared" si="48"/>
        <v/>
      </c>
      <c r="BB61" s="72" t="str">
        <f t="shared" si="28"/>
        <v/>
      </c>
      <c r="BC61" s="39"/>
      <c r="BD61" s="72" t="str">
        <f t="shared" si="49"/>
        <v/>
      </c>
      <c r="BE61" s="72" t="str">
        <f t="shared" si="29"/>
        <v/>
      </c>
      <c r="BF61" s="39"/>
      <c r="BG61" s="42" t="str">
        <f t="shared" si="50"/>
        <v/>
      </c>
      <c r="BH61" s="72" t="str">
        <f t="shared" si="30"/>
        <v/>
      </c>
      <c r="BI61" s="39"/>
      <c r="BJ61" s="40" t="str">
        <f t="shared" si="31"/>
        <v/>
      </c>
      <c r="BK61" s="157" t="str">
        <f t="shared" si="32"/>
        <v/>
      </c>
      <c r="BL61" s="157" t="str">
        <f t="shared" si="14"/>
        <v/>
      </c>
      <c r="BM61" s="72"/>
      <c r="BN61" s="72" t="str">
        <f t="shared" si="33"/>
        <v/>
      </c>
      <c r="BO61" s="72" t="str">
        <f t="shared" si="34"/>
        <v/>
      </c>
      <c r="BP61" s="39"/>
      <c r="BQ61" s="72" t="str">
        <f t="shared" si="51"/>
        <v/>
      </c>
      <c r="BR61" s="72" t="str">
        <f t="shared" si="35"/>
        <v/>
      </c>
    </row>
    <row r="62" spans="3:70" x14ac:dyDescent="0.15">
      <c r="D62" s="81" t="s">
        <v>131</v>
      </c>
      <c r="F62" s="59"/>
      <c r="G62" s="81" t="s">
        <v>191</v>
      </c>
      <c r="I62" s="459">
        <f t="shared" si="36"/>
        <v>2077</v>
      </c>
      <c r="J62" s="71"/>
      <c r="K62" s="71">
        <f t="shared" si="37"/>
        <v>48</v>
      </c>
      <c r="L62" s="71"/>
      <c r="M62" s="7">
        <f t="shared" si="38"/>
        <v>0.24199880094894996</v>
      </c>
      <c r="N62" s="71"/>
      <c r="O62" s="10" t="str">
        <f t="shared" si="52"/>
        <v/>
      </c>
      <c r="P62" s="29" t="str">
        <f t="shared" si="39"/>
        <v/>
      </c>
      <c r="Q62" s="71"/>
      <c r="R62" s="10" t="str">
        <f t="shared" si="53"/>
        <v/>
      </c>
      <c r="S62" s="71"/>
      <c r="T62" s="10" t="str">
        <f t="shared" si="18"/>
        <v/>
      </c>
      <c r="U62" s="71"/>
      <c r="V62" s="10" t="str">
        <f t="shared" si="40"/>
        <v/>
      </c>
      <c r="W62" s="10" t="str">
        <f t="shared" si="54"/>
        <v/>
      </c>
      <c r="X62" s="71"/>
      <c r="Y62" s="10" t="str">
        <f t="shared" si="41"/>
        <v/>
      </c>
      <c r="Z62" s="10" t="str">
        <f t="shared" si="55"/>
        <v/>
      </c>
      <c r="AA62" s="71"/>
      <c r="AB62" s="10" t="str">
        <f t="shared" si="4"/>
        <v/>
      </c>
      <c r="AC62" s="10" t="str">
        <f t="shared" si="56"/>
        <v/>
      </c>
      <c r="AD62" s="71"/>
      <c r="AE62" s="10" t="str">
        <f t="shared" si="42"/>
        <v/>
      </c>
      <c r="AF62" s="10" t="str">
        <f t="shared" si="57"/>
        <v/>
      </c>
      <c r="AG62" s="71"/>
      <c r="AH62" s="10" t="str">
        <f t="shared" si="43"/>
        <v/>
      </c>
      <c r="AI62" s="10" t="str">
        <f t="shared" si="58"/>
        <v/>
      </c>
      <c r="AJ62" s="71"/>
      <c r="AK62" s="10" t="str">
        <f t="shared" si="44"/>
        <v/>
      </c>
      <c r="AL62" s="10" t="str">
        <f t="shared" si="59"/>
        <v/>
      </c>
      <c r="AM62" s="71"/>
      <c r="AN62" s="10" t="str">
        <f t="shared" si="45"/>
        <v/>
      </c>
      <c r="AO62" s="10" t="str">
        <f t="shared" si="60"/>
        <v/>
      </c>
      <c r="AP62" s="71"/>
      <c r="AQ62" s="10" t="str">
        <f t="shared" si="46"/>
        <v/>
      </c>
      <c r="AR62" s="10" t="str">
        <f t="shared" si="26"/>
        <v/>
      </c>
      <c r="AS62" s="71"/>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U62" s="71"/>
      <c r="AV62" s="10" t="str">
        <f t="shared" si="47"/>
        <v/>
      </c>
      <c r="AW62" s="10" t="str">
        <f t="shared" si="27"/>
        <v/>
      </c>
      <c r="AX62" s="71"/>
      <c r="AY62" s="7" t="str">
        <f>IF(ISERROR(IF($K62&lt;=$F$15,VLOOKUP($I62,'表4）CO2価格'!$A$7:$E$67,VLOOKUP($F$48,'表4）CO2価格'!$H$10:$I$12,2,0),0)*$F$8/1000,"")),0,IF($K62&lt;=$F$15,VLOOKUP($I62,'表4）CO2価格'!$A$7:$E$67,VLOOKUP($F$48,'表4）CO2価格'!$H$10:$I$12,2,0),0)*$F$8/1000,""))</f>
        <v/>
      </c>
      <c r="AZ62" s="71"/>
      <c r="BA62" s="11" t="str">
        <f t="shared" si="48"/>
        <v/>
      </c>
      <c r="BB62" s="10" t="str">
        <f t="shared" si="28"/>
        <v/>
      </c>
      <c r="BC62" s="71"/>
      <c r="BD62" s="10" t="str">
        <f t="shared" si="49"/>
        <v/>
      </c>
      <c r="BE62" s="10" t="str">
        <f t="shared" si="29"/>
        <v/>
      </c>
      <c r="BF62" s="71"/>
      <c r="BG62" s="11" t="str">
        <f t="shared" si="50"/>
        <v/>
      </c>
      <c r="BH62" s="10" t="str">
        <f t="shared" si="30"/>
        <v/>
      </c>
      <c r="BJ62" s="7" t="str">
        <f t="shared" si="31"/>
        <v/>
      </c>
      <c r="BK62" s="158" t="str">
        <f t="shared" si="32"/>
        <v/>
      </c>
      <c r="BL62" s="158" t="str">
        <f t="shared" si="14"/>
        <v/>
      </c>
      <c r="BM62" s="10"/>
      <c r="BN62" s="10" t="str">
        <f t="shared" si="33"/>
        <v/>
      </c>
      <c r="BO62" s="10" t="str">
        <f t="shared" si="34"/>
        <v/>
      </c>
      <c r="BQ62" s="10" t="str">
        <f t="shared" si="51"/>
        <v/>
      </c>
      <c r="BR62" s="10" t="str">
        <f t="shared" si="35"/>
        <v/>
      </c>
    </row>
    <row r="63" spans="3:70" x14ac:dyDescent="0.15">
      <c r="I63" s="458">
        <f t="shared" si="36"/>
        <v>2078</v>
      </c>
      <c r="J63" s="39"/>
      <c r="K63" s="39">
        <f t="shared" si="37"/>
        <v>49</v>
      </c>
      <c r="L63" s="39"/>
      <c r="M63" s="40">
        <f t="shared" si="38"/>
        <v>0.2349502921834466</v>
      </c>
      <c r="N63" s="39"/>
      <c r="O63" s="72" t="str">
        <f t="shared" si="52"/>
        <v/>
      </c>
      <c r="P63" s="41" t="str">
        <f t="shared" si="39"/>
        <v/>
      </c>
      <c r="Q63" s="39"/>
      <c r="R63" s="72" t="str">
        <f t="shared" si="53"/>
        <v/>
      </c>
      <c r="S63" s="39"/>
      <c r="T63" s="72" t="str">
        <f t="shared" si="18"/>
        <v/>
      </c>
      <c r="U63" s="39"/>
      <c r="V63" s="72" t="str">
        <f t="shared" si="40"/>
        <v/>
      </c>
      <c r="W63" s="72" t="str">
        <f t="shared" si="54"/>
        <v/>
      </c>
      <c r="X63" s="39"/>
      <c r="Y63" s="72" t="str">
        <f t="shared" si="41"/>
        <v/>
      </c>
      <c r="Z63" s="72" t="str">
        <f t="shared" si="55"/>
        <v/>
      </c>
      <c r="AA63" s="39"/>
      <c r="AB63" s="72" t="str">
        <f t="shared" si="4"/>
        <v/>
      </c>
      <c r="AC63" s="72" t="str">
        <f t="shared" si="56"/>
        <v/>
      </c>
      <c r="AD63" s="39"/>
      <c r="AE63" s="72" t="str">
        <f t="shared" si="42"/>
        <v/>
      </c>
      <c r="AF63" s="72" t="str">
        <f t="shared" si="57"/>
        <v/>
      </c>
      <c r="AG63" s="39"/>
      <c r="AH63" s="72" t="str">
        <f t="shared" si="43"/>
        <v/>
      </c>
      <c r="AI63" s="72" t="str">
        <f t="shared" si="58"/>
        <v/>
      </c>
      <c r="AJ63" s="39"/>
      <c r="AK63" s="72" t="str">
        <f t="shared" si="44"/>
        <v/>
      </c>
      <c r="AL63" s="72" t="str">
        <f t="shared" si="59"/>
        <v/>
      </c>
      <c r="AM63" s="39"/>
      <c r="AN63" s="72" t="str">
        <f t="shared" si="45"/>
        <v/>
      </c>
      <c r="AO63" s="72" t="str">
        <f t="shared" si="60"/>
        <v/>
      </c>
      <c r="AP63" s="39"/>
      <c r="AQ63" s="72" t="str">
        <f t="shared" si="46"/>
        <v/>
      </c>
      <c r="AR63" s="72" t="str">
        <f t="shared" si="26"/>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47"/>
        <v/>
      </c>
      <c r="AW63" s="72" t="str">
        <f t="shared" si="27"/>
        <v/>
      </c>
      <c r="AX63" s="39"/>
      <c r="AY63" s="40" t="str">
        <f>IF(ISERROR(IF($K63&lt;=$F$15,VLOOKUP($I63,'表4）CO2価格'!$A$7:$E$67,VLOOKUP($F$48,'表4）CO2価格'!$H$10:$I$12,2,0),0)*$F$8/1000,"")),0,IF($K63&lt;=$F$15,VLOOKUP($I63,'表4）CO2価格'!$A$7:$E$67,VLOOKUP($F$48,'表4）CO2価格'!$H$10:$I$12,2,0),0)*$F$8/1000,""))</f>
        <v/>
      </c>
      <c r="AZ63" s="39"/>
      <c r="BA63" s="42" t="str">
        <f t="shared" si="48"/>
        <v/>
      </c>
      <c r="BB63" s="72" t="str">
        <f t="shared" si="28"/>
        <v/>
      </c>
      <c r="BC63" s="39"/>
      <c r="BD63" s="72" t="str">
        <f t="shared" si="49"/>
        <v/>
      </c>
      <c r="BE63" s="72" t="str">
        <f t="shared" si="29"/>
        <v/>
      </c>
      <c r="BF63" s="39"/>
      <c r="BG63" s="42" t="str">
        <f t="shared" si="50"/>
        <v/>
      </c>
      <c r="BH63" s="72" t="str">
        <f t="shared" si="30"/>
        <v/>
      </c>
      <c r="BI63" s="39"/>
      <c r="BJ63" s="40" t="str">
        <f t="shared" si="31"/>
        <v/>
      </c>
      <c r="BK63" s="157" t="str">
        <f t="shared" si="32"/>
        <v/>
      </c>
      <c r="BL63" s="157" t="str">
        <f t="shared" si="14"/>
        <v/>
      </c>
      <c r="BM63" s="72"/>
      <c r="BN63" s="72" t="str">
        <f t="shared" si="33"/>
        <v/>
      </c>
      <c r="BO63" s="72" t="str">
        <f t="shared" si="34"/>
        <v/>
      </c>
      <c r="BP63" s="39"/>
      <c r="BQ63" s="72" t="str">
        <f t="shared" si="51"/>
        <v/>
      </c>
      <c r="BR63" s="72" t="str">
        <f t="shared" si="35"/>
        <v/>
      </c>
    </row>
    <row r="64" spans="3:70" x14ac:dyDescent="0.15">
      <c r="C64" s="9" t="s">
        <v>513</v>
      </c>
      <c r="F64" s="90">
        <v>0.14000000000000001</v>
      </c>
      <c r="G64" s="81" t="s">
        <v>132</v>
      </c>
      <c r="I64" s="459">
        <f t="shared" si="36"/>
        <v>2079</v>
      </c>
      <c r="J64" s="71"/>
      <c r="K64" s="71">
        <f t="shared" si="37"/>
        <v>50</v>
      </c>
      <c r="L64" s="71"/>
      <c r="M64" s="7">
        <f t="shared" si="38"/>
        <v>0.22810707978975397</v>
      </c>
      <c r="N64" s="71"/>
      <c r="O64" s="10" t="str">
        <f t="shared" si="52"/>
        <v/>
      </c>
      <c r="P64" s="29" t="str">
        <f t="shared" si="39"/>
        <v/>
      </c>
      <c r="Q64" s="71"/>
      <c r="R64" s="10" t="str">
        <f t="shared" si="53"/>
        <v/>
      </c>
      <c r="S64" s="71"/>
      <c r="T64" s="10" t="str">
        <f t="shared" si="18"/>
        <v/>
      </c>
      <c r="U64" s="71"/>
      <c r="V64" s="10" t="str">
        <f t="shared" si="40"/>
        <v/>
      </c>
      <c r="W64" s="10" t="str">
        <f t="shared" si="54"/>
        <v/>
      </c>
      <c r="X64" s="71"/>
      <c r="Y64" s="10" t="str">
        <f t="shared" si="41"/>
        <v/>
      </c>
      <c r="Z64" s="10" t="str">
        <f t="shared" si="55"/>
        <v/>
      </c>
      <c r="AA64" s="71"/>
      <c r="AB64" s="10" t="str">
        <f t="shared" si="4"/>
        <v/>
      </c>
      <c r="AC64" s="10" t="str">
        <f t="shared" si="56"/>
        <v/>
      </c>
      <c r="AD64" s="71"/>
      <c r="AE64" s="10" t="str">
        <f t="shared" si="42"/>
        <v/>
      </c>
      <c r="AF64" s="10" t="str">
        <f t="shared" si="57"/>
        <v/>
      </c>
      <c r="AG64" s="71"/>
      <c r="AH64" s="10" t="str">
        <f t="shared" si="43"/>
        <v/>
      </c>
      <c r="AI64" s="10" t="str">
        <f t="shared" si="58"/>
        <v/>
      </c>
      <c r="AJ64" s="71"/>
      <c r="AK64" s="10" t="str">
        <f t="shared" si="44"/>
        <v/>
      </c>
      <c r="AL64" s="10" t="str">
        <f t="shared" si="59"/>
        <v/>
      </c>
      <c r="AM64" s="71"/>
      <c r="AN64" s="10" t="str">
        <f t="shared" si="45"/>
        <v/>
      </c>
      <c r="AO64" s="10" t="str">
        <f t="shared" si="60"/>
        <v/>
      </c>
      <c r="AP64" s="71"/>
      <c r="AQ64" s="10" t="str">
        <f t="shared" si="46"/>
        <v/>
      </c>
      <c r="AR64" s="10" t="str">
        <f t="shared" si="26"/>
        <v/>
      </c>
      <c r="AS64" s="71"/>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U64" s="71"/>
      <c r="AV64" s="10" t="str">
        <f t="shared" si="47"/>
        <v/>
      </c>
      <c r="AW64" s="10" t="str">
        <f t="shared" si="27"/>
        <v/>
      </c>
      <c r="AX64" s="71"/>
      <c r="AY64" s="7" t="str">
        <f>IF(ISERROR(IF($K64&lt;=$F$15,VLOOKUP($I64,'表4）CO2価格'!$A$7:$E$67,VLOOKUP($F$48,'表4）CO2価格'!$H$10:$I$12,2,0),0)*$F$8/1000,"")),0,IF($K64&lt;=$F$15,VLOOKUP($I64,'表4）CO2価格'!$A$7:$E$67,VLOOKUP($F$48,'表4）CO2価格'!$H$10:$I$12,2,0),0)*$F$8/1000,""))</f>
        <v/>
      </c>
      <c r="AZ64" s="71"/>
      <c r="BA64" s="11" t="str">
        <f t="shared" si="48"/>
        <v/>
      </c>
      <c r="BB64" s="10" t="str">
        <f t="shared" si="28"/>
        <v/>
      </c>
      <c r="BC64" s="71"/>
      <c r="BD64" s="10" t="str">
        <f t="shared" si="49"/>
        <v/>
      </c>
      <c r="BE64" s="10" t="str">
        <f t="shared" si="29"/>
        <v/>
      </c>
      <c r="BF64" s="71"/>
      <c r="BG64" s="11" t="str">
        <f t="shared" si="50"/>
        <v/>
      </c>
      <c r="BH64" s="10" t="str">
        <f t="shared" si="30"/>
        <v/>
      </c>
      <c r="BJ64" s="7" t="str">
        <f t="shared" si="31"/>
        <v/>
      </c>
      <c r="BK64" s="158" t="str">
        <f t="shared" si="32"/>
        <v/>
      </c>
      <c r="BL64" s="158" t="str">
        <f t="shared" si="14"/>
        <v/>
      </c>
      <c r="BM64" s="10"/>
      <c r="BN64" s="10" t="str">
        <f t="shared" si="33"/>
        <v/>
      </c>
      <c r="BO64" s="10" t="str">
        <f t="shared" si="34"/>
        <v/>
      </c>
      <c r="BQ64" s="10" t="str">
        <f t="shared" si="51"/>
        <v/>
      </c>
      <c r="BR64" s="10" t="str">
        <f t="shared" si="35"/>
        <v/>
      </c>
    </row>
    <row r="65" spans="2:70" x14ac:dyDescent="0.15">
      <c r="I65" s="458">
        <f t="shared" si="36"/>
        <v>2080</v>
      </c>
      <c r="J65" s="39"/>
      <c r="K65" s="39">
        <f t="shared" si="37"/>
        <v>51</v>
      </c>
      <c r="L65" s="39"/>
      <c r="M65" s="40">
        <f t="shared" si="38"/>
        <v>0.22146318426189707</v>
      </c>
      <c r="N65" s="39"/>
      <c r="O65" s="72" t="str">
        <f t="shared" si="52"/>
        <v/>
      </c>
      <c r="P65" s="41" t="str">
        <f t="shared" si="39"/>
        <v/>
      </c>
      <c r="Q65" s="39"/>
      <c r="R65" s="72" t="str">
        <f t="shared" si="53"/>
        <v/>
      </c>
      <c r="S65" s="39"/>
      <c r="T65" s="72" t="str">
        <f t="shared" si="18"/>
        <v/>
      </c>
      <c r="U65" s="39"/>
      <c r="V65" s="72" t="str">
        <f t="shared" si="40"/>
        <v/>
      </c>
      <c r="W65" s="72" t="str">
        <f t="shared" si="54"/>
        <v/>
      </c>
      <c r="X65" s="39"/>
      <c r="Y65" s="72" t="str">
        <f t="shared" si="41"/>
        <v/>
      </c>
      <c r="Z65" s="72" t="str">
        <f t="shared" si="55"/>
        <v/>
      </c>
      <c r="AA65" s="39"/>
      <c r="AB65" s="72" t="str">
        <f t="shared" si="4"/>
        <v/>
      </c>
      <c r="AC65" s="72" t="str">
        <f t="shared" si="56"/>
        <v/>
      </c>
      <c r="AD65" s="39"/>
      <c r="AE65" s="72" t="str">
        <f t="shared" si="42"/>
        <v/>
      </c>
      <c r="AF65" s="72" t="str">
        <f t="shared" si="57"/>
        <v/>
      </c>
      <c r="AG65" s="39"/>
      <c r="AH65" s="72" t="str">
        <f t="shared" si="43"/>
        <v/>
      </c>
      <c r="AI65" s="72" t="str">
        <f t="shared" si="58"/>
        <v/>
      </c>
      <c r="AJ65" s="39"/>
      <c r="AK65" s="72" t="str">
        <f t="shared" si="44"/>
        <v/>
      </c>
      <c r="AL65" s="72" t="str">
        <f t="shared" si="59"/>
        <v/>
      </c>
      <c r="AM65" s="39"/>
      <c r="AN65" s="72" t="str">
        <f t="shared" si="45"/>
        <v/>
      </c>
      <c r="AO65" s="72" t="str">
        <f t="shared" si="60"/>
        <v/>
      </c>
      <c r="AP65" s="39"/>
      <c r="AQ65" s="72" t="str">
        <f t="shared" si="46"/>
        <v/>
      </c>
      <c r="AR65" s="72" t="str">
        <f t="shared" si="26"/>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47"/>
        <v/>
      </c>
      <c r="AW65" s="72" t="str">
        <f t="shared" si="27"/>
        <v/>
      </c>
      <c r="AX65" s="39"/>
      <c r="AY65" s="40" t="str">
        <f>IF(ISERROR(IF($K65&lt;=$F$15,VLOOKUP($I65,'表4）CO2価格'!$A$7:$E$67,VLOOKUP($F$48,'表4）CO2価格'!$H$10:$I$12,2,0),0)*$F$8/1000,"")),0,IF($K65&lt;=$F$15,VLOOKUP($I65,'表4）CO2価格'!$A$7:$E$67,VLOOKUP($F$48,'表4）CO2価格'!$H$10:$I$12,2,0),0)*$F$8/1000,""))</f>
        <v/>
      </c>
      <c r="AZ65" s="39"/>
      <c r="BA65" s="42" t="str">
        <f t="shared" si="48"/>
        <v/>
      </c>
      <c r="BB65" s="72" t="str">
        <f t="shared" si="28"/>
        <v/>
      </c>
      <c r="BC65" s="39"/>
      <c r="BD65" s="72" t="str">
        <f t="shared" si="49"/>
        <v/>
      </c>
      <c r="BE65" s="72" t="str">
        <f t="shared" si="29"/>
        <v/>
      </c>
      <c r="BF65" s="39"/>
      <c r="BG65" s="42" t="str">
        <f t="shared" si="50"/>
        <v/>
      </c>
      <c r="BH65" s="72" t="str">
        <f t="shared" si="30"/>
        <v/>
      </c>
      <c r="BI65" s="39"/>
      <c r="BJ65" s="40" t="str">
        <f t="shared" si="31"/>
        <v/>
      </c>
      <c r="BK65" s="157" t="str">
        <f t="shared" si="32"/>
        <v/>
      </c>
      <c r="BL65" s="157" t="str">
        <f t="shared" si="14"/>
        <v/>
      </c>
      <c r="BM65" s="72"/>
      <c r="BN65" s="72" t="str">
        <f t="shared" si="33"/>
        <v/>
      </c>
      <c r="BO65" s="72" t="str">
        <f t="shared" si="34"/>
        <v/>
      </c>
      <c r="BP65" s="39"/>
      <c r="BQ65" s="72" t="str">
        <f t="shared" si="51"/>
        <v/>
      </c>
      <c r="BR65" s="72" t="str">
        <f t="shared" si="35"/>
        <v/>
      </c>
    </row>
    <row r="66" spans="2:70" x14ac:dyDescent="0.15">
      <c r="I66" s="459">
        <f t="shared" si="36"/>
        <v>2081</v>
      </c>
      <c r="J66" s="71"/>
      <c r="K66" s="71">
        <f t="shared" si="37"/>
        <v>52</v>
      </c>
      <c r="L66" s="71"/>
      <c r="M66" s="7">
        <f t="shared" si="38"/>
        <v>0.215012800254269</v>
      </c>
      <c r="N66" s="71"/>
      <c r="O66" s="10" t="str">
        <f t="shared" si="52"/>
        <v/>
      </c>
      <c r="P66" s="29" t="str">
        <f t="shared" si="39"/>
        <v/>
      </c>
      <c r="Q66" s="71"/>
      <c r="R66" s="10" t="str">
        <f t="shared" si="53"/>
        <v/>
      </c>
      <c r="S66" s="71"/>
      <c r="T66" s="10" t="str">
        <f t="shared" si="18"/>
        <v/>
      </c>
      <c r="U66" s="71"/>
      <c r="V66" s="10" t="str">
        <f t="shared" si="40"/>
        <v/>
      </c>
      <c r="W66" s="10" t="str">
        <f t="shared" si="54"/>
        <v/>
      </c>
      <c r="X66" s="71"/>
      <c r="Y66" s="10" t="str">
        <f t="shared" si="41"/>
        <v/>
      </c>
      <c r="Z66" s="10" t="str">
        <f t="shared" si="55"/>
        <v/>
      </c>
      <c r="AA66" s="71"/>
      <c r="AB66" s="10" t="str">
        <f t="shared" si="4"/>
        <v/>
      </c>
      <c r="AC66" s="10" t="str">
        <f t="shared" si="56"/>
        <v/>
      </c>
      <c r="AD66" s="71"/>
      <c r="AE66" s="10" t="str">
        <f t="shared" si="42"/>
        <v/>
      </c>
      <c r="AF66" s="10" t="str">
        <f t="shared" si="57"/>
        <v/>
      </c>
      <c r="AG66" s="71"/>
      <c r="AH66" s="10" t="str">
        <f t="shared" si="43"/>
        <v/>
      </c>
      <c r="AI66" s="10" t="str">
        <f t="shared" si="58"/>
        <v/>
      </c>
      <c r="AJ66" s="71"/>
      <c r="AK66" s="10" t="str">
        <f t="shared" si="44"/>
        <v/>
      </c>
      <c r="AL66" s="10" t="str">
        <f t="shared" si="59"/>
        <v/>
      </c>
      <c r="AM66" s="71"/>
      <c r="AN66" s="10" t="str">
        <f t="shared" si="45"/>
        <v/>
      </c>
      <c r="AO66" s="10" t="str">
        <f t="shared" si="60"/>
        <v/>
      </c>
      <c r="AP66" s="71"/>
      <c r="AQ66" s="10" t="str">
        <f t="shared" si="46"/>
        <v/>
      </c>
      <c r="AR66" s="10" t="str">
        <f t="shared" si="26"/>
        <v/>
      </c>
      <c r="AS66" s="71"/>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U66" s="71"/>
      <c r="AV66" s="10" t="str">
        <f t="shared" si="47"/>
        <v/>
      </c>
      <c r="AW66" s="10" t="str">
        <f t="shared" si="27"/>
        <v/>
      </c>
      <c r="AX66" s="71"/>
      <c r="AY66" s="7" t="str">
        <f>IF(ISERROR(IF($K66&lt;=$F$15,VLOOKUP($I66,'表4）CO2価格'!$A$7:$E$67,VLOOKUP($F$48,'表4）CO2価格'!$H$10:$I$12,2,0),0)*$F$8/1000,"")),0,IF($K66&lt;=$F$15,VLOOKUP($I66,'表4）CO2価格'!$A$7:$E$67,VLOOKUP($F$48,'表4）CO2価格'!$H$10:$I$12,2,0),0)*$F$8/1000,""))</f>
        <v/>
      </c>
      <c r="AZ66" s="71"/>
      <c r="BA66" s="11" t="str">
        <f t="shared" si="48"/>
        <v/>
      </c>
      <c r="BB66" s="10" t="str">
        <f t="shared" si="28"/>
        <v/>
      </c>
      <c r="BC66" s="71"/>
      <c r="BD66" s="10" t="str">
        <f t="shared" si="49"/>
        <v/>
      </c>
      <c r="BE66" s="10" t="str">
        <f t="shared" si="29"/>
        <v/>
      </c>
      <c r="BF66" s="71"/>
      <c r="BG66" s="11" t="str">
        <f t="shared" si="50"/>
        <v/>
      </c>
      <c r="BH66" s="10" t="str">
        <f t="shared" si="30"/>
        <v/>
      </c>
      <c r="BJ66" s="7" t="str">
        <f t="shared" si="31"/>
        <v/>
      </c>
      <c r="BK66" s="158" t="str">
        <f t="shared" si="32"/>
        <v/>
      </c>
      <c r="BL66" s="158" t="str">
        <f t="shared" si="14"/>
        <v/>
      </c>
      <c r="BM66" s="10"/>
      <c r="BN66" s="10" t="str">
        <f t="shared" si="33"/>
        <v/>
      </c>
      <c r="BO66" s="10" t="str">
        <f t="shared" si="34"/>
        <v/>
      </c>
      <c r="BQ66" s="10" t="str">
        <f t="shared" si="51"/>
        <v/>
      </c>
      <c r="BR66" s="10" t="str">
        <f t="shared" si="35"/>
        <v/>
      </c>
    </row>
    <row r="67" spans="2:70" ht="15.75" thickBot="1" x14ac:dyDescent="0.2">
      <c r="B67" s="460" t="s">
        <v>133</v>
      </c>
      <c r="C67" s="86"/>
      <c r="D67" s="104"/>
      <c r="E67" s="104"/>
      <c r="F67" s="86"/>
      <c r="G67" s="104"/>
      <c r="I67" s="458">
        <f t="shared" si="36"/>
        <v>2082</v>
      </c>
      <c r="J67" s="39"/>
      <c r="K67" s="39">
        <f t="shared" si="37"/>
        <v>53</v>
      </c>
      <c r="L67" s="39"/>
      <c r="M67" s="40">
        <f t="shared" si="38"/>
        <v>0.20875029150899907</v>
      </c>
      <c r="N67" s="39"/>
      <c r="O67" s="72" t="str">
        <f t="shared" si="52"/>
        <v/>
      </c>
      <c r="P67" s="41" t="str">
        <f t="shared" si="39"/>
        <v/>
      </c>
      <c r="Q67" s="39"/>
      <c r="R67" s="72" t="str">
        <f t="shared" si="53"/>
        <v/>
      </c>
      <c r="S67" s="39"/>
      <c r="T67" s="72" t="str">
        <f t="shared" si="18"/>
        <v/>
      </c>
      <c r="U67" s="39"/>
      <c r="V67" s="72" t="str">
        <f t="shared" si="40"/>
        <v/>
      </c>
      <c r="W67" s="72" t="str">
        <f t="shared" si="54"/>
        <v/>
      </c>
      <c r="X67" s="39"/>
      <c r="Y67" s="72" t="str">
        <f t="shared" si="41"/>
        <v/>
      </c>
      <c r="Z67" s="72" t="str">
        <f t="shared" si="55"/>
        <v/>
      </c>
      <c r="AA67" s="39"/>
      <c r="AB67" s="72" t="str">
        <f t="shared" si="4"/>
        <v/>
      </c>
      <c r="AC67" s="72" t="str">
        <f t="shared" si="56"/>
        <v/>
      </c>
      <c r="AD67" s="39"/>
      <c r="AE67" s="72" t="str">
        <f t="shared" si="42"/>
        <v/>
      </c>
      <c r="AF67" s="72" t="str">
        <f t="shared" si="57"/>
        <v/>
      </c>
      <c r="AG67" s="39"/>
      <c r="AH67" s="72" t="str">
        <f t="shared" si="43"/>
        <v/>
      </c>
      <c r="AI67" s="72" t="str">
        <f t="shared" si="58"/>
        <v/>
      </c>
      <c r="AJ67" s="39"/>
      <c r="AK67" s="72" t="str">
        <f t="shared" si="44"/>
        <v/>
      </c>
      <c r="AL67" s="72" t="str">
        <f t="shared" si="59"/>
        <v/>
      </c>
      <c r="AM67" s="39"/>
      <c r="AN67" s="72" t="str">
        <f t="shared" si="45"/>
        <v/>
      </c>
      <c r="AO67" s="72" t="str">
        <f t="shared" si="60"/>
        <v/>
      </c>
      <c r="AP67" s="39"/>
      <c r="AQ67" s="72" t="str">
        <f t="shared" si="46"/>
        <v/>
      </c>
      <c r="AR67" s="72" t="str">
        <f t="shared" si="26"/>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47"/>
        <v/>
      </c>
      <c r="AW67" s="72" t="str">
        <f t="shared" si="27"/>
        <v/>
      </c>
      <c r="AX67" s="39"/>
      <c r="AY67" s="40" t="str">
        <f>IF(ISERROR(IF($K67&lt;=$F$15,VLOOKUP($I67,'表4）CO2価格'!$A$7:$E$67,VLOOKUP($F$48,'表4）CO2価格'!$H$10:$I$12,2,0),0)*$F$8/1000,"")),0,IF($K67&lt;=$F$15,VLOOKUP($I67,'表4）CO2価格'!$A$7:$E$67,VLOOKUP($F$48,'表4）CO2価格'!$H$10:$I$12,2,0),0)*$F$8/1000,""))</f>
        <v/>
      </c>
      <c r="AZ67" s="39"/>
      <c r="BA67" s="42" t="str">
        <f t="shared" si="48"/>
        <v/>
      </c>
      <c r="BB67" s="72" t="str">
        <f t="shared" si="28"/>
        <v/>
      </c>
      <c r="BC67" s="39"/>
      <c r="BD67" s="72" t="str">
        <f t="shared" si="49"/>
        <v/>
      </c>
      <c r="BE67" s="72" t="str">
        <f t="shared" si="29"/>
        <v/>
      </c>
      <c r="BF67" s="39"/>
      <c r="BG67" s="42" t="str">
        <f t="shared" si="50"/>
        <v/>
      </c>
      <c r="BH67" s="72" t="str">
        <f t="shared" si="30"/>
        <v/>
      </c>
      <c r="BI67" s="39"/>
      <c r="BJ67" s="40" t="str">
        <f t="shared" si="31"/>
        <v/>
      </c>
      <c r="BK67" s="157" t="str">
        <f t="shared" si="32"/>
        <v/>
      </c>
      <c r="BL67" s="157" t="str">
        <f t="shared" si="14"/>
        <v/>
      </c>
      <c r="BM67" s="72"/>
      <c r="BN67" s="72" t="str">
        <f t="shared" si="33"/>
        <v/>
      </c>
      <c r="BO67" s="72" t="str">
        <f t="shared" si="34"/>
        <v/>
      </c>
      <c r="BP67" s="39"/>
      <c r="BQ67" s="72" t="str">
        <f t="shared" si="51"/>
        <v/>
      </c>
      <c r="BR67" s="72" t="str">
        <f t="shared" si="35"/>
        <v/>
      </c>
    </row>
    <row r="68" spans="2:70" x14ac:dyDescent="0.15">
      <c r="I68" s="459">
        <f t="shared" si="36"/>
        <v>2083</v>
      </c>
      <c r="J68" s="71"/>
      <c r="K68" s="71">
        <f t="shared" si="37"/>
        <v>54</v>
      </c>
      <c r="L68" s="71"/>
      <c r="M68" s="7">
        <f t="shared" si="38"/>
        <v>0.20267018593106703</v>
      </c>
      <c r="N68" s="71"/>
      <c r="O68" s="10" t="str">
        <f t="shared" si="52"/>
        <v/>
      </c>
      <c r="P68" s="29" t="str">
        <f t="shared" si="39"/>
        <v/>
      </c>
      <c r="Q68" s="71"/>
      <c r="R68" s="10" t="str">
        <f t="shared" si="53"/>
        <v/>
      </c>
      <c r="S68" s="71"/>
      <c r="T68" s="10" t="str">
        <f t="shared" si="18"/>
        <v/>
      </c>
      <c r="U68" s="71"/>
      <c r="V68" s="10" t="str">
        <f t="shared" si="40"/>
        <v/>
      </c>
      <c r="W68" s="10" t="str">
        <f t="shared" si="54"/>
        <v/>
      </c>
      <c r="X68" s="71"/>
      <c r="Y68" s="10" t="str">
        <f t="shared" si="41"/>
        <v/>
      </c>
      <c r="Z68" s="10" t="str">
        <f t="shared" si="55"/>
        <v/>
      </c>
      <c r="AA68" s="71"/>
      <c r="AB68" s="10" t="str">
        <f t="shared" si="4"/>
        <v/>
      </c>
      <c r="AC68" s="10" t="str">
        <f t="shared" si="56"/>
        <v/>
      </c>
      <c r="AD68" s="71"/>
      <c r="AE68" s="10" t="str">
        <f t="shared" si="42"/>
        <v/>
      </c>
      <c r="AF68" s="10" t="str">
        <f t="shared" si="57"/>
        <v/>
      </c>
      <c r="AG68" s="71"/>
      <c r="AH68" s="10" t="str">
        <f t="shared" si="43"/>
        <v/>
      </c>
      <c r="AI68" s="10" t="str">
        <f t="shared" si="58"/>
        <v/>
      </c>
      <c r="AJ68" s="71"/>
      <c r="AK68" s="10" t="str">
        <f t="shared" si="44"/>
        <v/>
      </c>
      <c r="AL68" s="10" t="str">
        <f t="shared" si="59"/>
        <v/>
      </c>
      <c r="AM68" s="71"/>
      <c r="AN68" s="10" t="str">
        <f t="shared" si="45"/>
        <v/>
      </c>
      <c r="AO68" s="10" t="str">
        <f t="shared" si="60"/>
        <v/>
      </c>
      <c r="AP68" s="71"/>
      <c r="AQ68" s="10" t="str">
        <f t="shared" si="46"/>
        <v/>
      </c>
      <c r="AR68" s="10" t="str">
        <f t="shared" si="26"/>
        <v/>
      </c>
      <c r="AS68" s="71"/>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U68" s="71"/>
      <c r="AV68" s="10" t="str">
        <f t="shared" si="47"/>
        <v/>
      </c>
      <c r="AW68" s="10" t="str">
        <f t="shared" si="27"/>
        <v/>
      </c>
      <c r="AX68" s="71"/>
      <c r="AY68" s="7" t="str">
        <f>IF(ISERROR(IF($K68&lt;=$F$15,VLOOKUP($I68,'表4）CO2価格'!$A$7:$E$67,VLOOKUP($F$48,'表4）CO2価格'!$H$10:$I$12,2,0),0)*$F$8/1000,"")),0,IF($K68&lt;=$F$15,VLOOKUP($I68,'表4）CO2価格'!$A$7:$E$67,VLOOKUP($F$48,'表4）CO2価格'!$H$10:$I$12,2,0),0)*$F$8/1000,""))</f>
        <v/>
      </c>
      <c r="AZ68" s="71"/>
      <c r="BA68" s="11" t="str">
        <f t="shared" si="48"/>
        <v/>
      </c>
      <c r="BB68" s="10" t="str">
        <f t="shared" si="28"/>
        <v/>
      </c>
      <c r="BC68" s="71"/>
      <c r="BD68" s="10" t="str">
        <f t="shared" si="49"/>
        <v/>
      </c>
      <c r="BE68" s="10" t="str">
        <f t="shared" si="29"/>
        <v/>
      </c>
      <c r="BF68" s="71"/>
      <c r="BG68" s="11" t="str">
        <f t="shared" si="50"/>
        <v/>
      </c>
      <c r="BH68" s="10" t="str">
        <f t="shared" si="30"/>
        <v/>
      </c>
      <c r="BJ68" s="7" t="str">
        <f t="shared" si="31"/>
        <v/>
      </c>
      <c r="BK68" s="158" t="str">
        <f t="shared" si="32"/>
        <v/>
      </c>
      <c r="BL68" s="158" t="str">
        <f t="shared" si="14"/>
        <v/>
      </c>
      <c r="BM68" s="10"/>
      <c r="BN68" s="10" t="str">
        <f t="shared" si="33"/>
        <v/>
      </c>
      <c r="BO68" s="10" t="str">
        <f t="shared" si="34"/>
        <v/>
      </c>
      <c r="BQ68" s="10" t="str">
        <f t="shared" si="51"/>
        <v/>
      </c>
      <c r="BR68" s="10" t="str">
        <f t="shared" si="35"/>
        <v/>
      </c>
    </row>
    <row r="69" spans="2:70" x14ac:dyDescent="0.15">
      <c r="C69" s="461" t="s">
        <v>134</v>
      </c>
      <c r="D69" s="9"/>
      <c r="E69" s="9"/>
      <c r="F69" s="94">
        <f>SUBTOTAL(9,F74:F112)-F105</f>
        <v>10.574696739225459</v>
      </c>
      <c r="G69" s="9" t="s">
        <v>132</v>
      </c>
      <c r="I69" s="458">
        <f t="shared" si="36"/>
        <v>2084</v>
      </c>
      <c r="J69" s="39"/>
      <c r="K69" s="39">
        <f t="shared" si="37"/>
        <v>55</v>
      </c>
      <c r="L69" s="39"/>
      <c r="M69" s="40">
        <f t="shared" si="38"/>
        <v>0.19676717080686118</v>
      </c>
      <c r="N69" s="39"/>
      <c r="O69" s="72" t="str">
        <f t="shared" si="52"/>
        <v/>
      </c>
      <c r="P69" s="41" t="str">
        <f t="shared" si="39"/>
        <v/>
      </c>
      <c r="Q69" s="39"/>
      <c r="R69" s="72" t="str">
        <f t="shared" si="53"/>
        <v/>
      </c>
      <c r="S69" s="39"/>
      <c r="T69" s="72" t="str">
        <f t="shared" si="18"/>
        <v/>
      </c>
      <c r="U69" s="39"/>
      <c r="V69" s="72" t="str">
        <f t="shared" si="40"/>
        <v/>
      </c>
      <c r="W69" s="72" t="str">
        <f t="shared" si="54"/>
        <v/>
      </c>
      <c r="X69" s="39"/>
      <c r="Y69" s="72" t="str">
        <f t="shared" si="41"/>
        <v/>
      </c>
      <c r="Z69" s="72" t="str">
        <f t="shared" si="55"/>
        <v/>
      </c>
      <c r="AA69" s="39"/>
      <c r="AB69" s="72" t="str">
        <f t="shared" si="4"/>
        <v/>
      </c>
      <c r="AC69" s="72" t="str">
        <f t="shared" si="56"/>
        <v/>
      </c>
      <c r="AD69" s="39"/>
      <c r="AE69" s="72" t="str">
        <f t="shared" si="42"/>
        <v/>
      </c>
      <c r="AF69" s="72" t="str">
        <f t="shared" si="57"/>
        <v/>
      </c>
      <c r="AG69" s="39"/>
      <c r="AH69" s="72" t="str">
        <f t="shared" si="43"/>
        <v/>
      </c>
      <c r="AI69" s="72" t="str">
        <f t="shared" si="58"/>
        <v/>
      </c>
      <c r="AJ69" s="39"/>
      <c r="AK69" s="72" t="str">
        <f t="shared" si="44"/>
        <v/>
      </c>
      <c r="AL69" s="72" t="str">
        <f t="shared" si="59"/>
        <v/>
      </c>
      <c r="AM69" s="39"/>
      <c r="AN69" s="72" t="str">
        <f t="shared" si="45"/>
        <v/>
      </c>
      <c r="AO69" s="72" t="str">
        <f t="shared" si="60"/>
        <v/>
      </c>
      <c r="AP69" s="39"/>
      <c r="AQ69" s="72" t="str">
        <f t="shared" si="46"/>
        <v/>
      </c>
      <c r="AR69" s="72" t="str">
        <f t="shared" si="26"/>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47"/>
        <v/>
      </c>
      <c r="AW69" s="72" t="str">
        <f t="shared" si="27"/>
        <v/>
      </c>
      <c r="AX69" s="39"/>
      <c r="AY69" s="40" t="str">
        <f>IF(ISERROR(IF($K69&lt;=$F$15,VLOOKUP($I69,'表4）CO2価格'!$A$7:$E$67,VLOOKUP($F$48,'表4）CO2価格'!$H$10:$I$12,2,0),0)*$F$8/1000,"")),0,IF($K69&lt;=$F$15,VLOOKUP($I69,'表4）CO2価格'!$A$7:$E$67,VLOOKUP($F$48,'表4）CO2価格'!$H$10:$I$12,2,0),0)*$F$8/1000,""))</f>
        <v/>
      </c>
      <c r="AZ69" s="39"/>
      <c r="BA69" s="42" t="str">
        <f t="shared" si="48"/>
        <v/>
      </c>
      <c r="BB69" s="72" t="str">
        <f t="shared" si="28"/>
        <v/>
      </c>
      <c r="BC69" s="39"/>
      <c r="BD69" s="72" t="str">
        <f t="shared" si="49"/>
        <v/>
      </c>
      <c r="BE69" s="72" t="str">
        <f t="shared" si="29"/>
        <v/>
      </c>
      <c r="BF69" s="39"/>
      <c r="BG69" s="42" t="str">
        <f t="shared" si="50"/>
        <v/>
      </c>
      <c r="BH69" s="72" t="str">
        <f t="shared" si="30"/>
        <v/>
      </c>
      <c r="BI69" s="39"/>
      <c r="BJ69" s="40" t="str">
        <f t="shared" si="31"/>
        <v/>
      </c>
      <c r="BK69" s="157" t="str">
        <f t="shared" si="32"/>
        <v/>
      </c>
      <c r="BL69" s="157" t="str">
        <f t="shared" si="14"/>
        <v/>
      </c>
      <c r="BM69" s="72"/>
      <c r="BN69" s="72" t="str">
        <f t="shared" si="33"/>
        <v/>
      </c>
      <c r="BO69" s="72" t="str">
        <f t="shared" si="34"/>
        <v/>
      </c>
      <c r="BP69" s="39"/>
      <c r="BQ69" s="72" t="str">
        <f t="shared" si="51"/>
        <v/>
      </c>
      <c r="BR69" s="72" t="str">
        <f t="shared" si="35"/>
        <v/>
      </c>
    </row>
    <row r="70" spans="2:70" x14ac:dyDescent="0.15">
      <c r="C70" s="461" t="s">
        <v>135</v>
      </c>
      <c r="D70" s="9"/>
      <c r="E70" s="9"/>
      <c r="F70" s="94">
        <f>SUBTOTAL(9,F74:F112)</f>
        <v>10.71469673922546</v>
      </c>
      <c r="G70" s="9" t="s">
        <v>132</v>
      </c>
      <c r="I70" s="459">
        <f t="shared" si="36"/>
        <v>2085</v>
      </c>
      <c r="J70" s="71"/>
      <c r="K70" s="71">
        <f t="shared" si="37"/>
        <v>56</v>
      </c>
      <c r="L70" s="71"/>
      <c r="M70" s="7">
        <f t="shared" si="38"/>
        <v>0.19103608816200118</v>
      </c>
      <c r="N70" s="71"/>
      <c r="O70" s="10" t="str">
        <f t="shared" si="52"/>
        <v/>
      </c>
      <c r="P70" s="29" t="str">
        <f t="shared" si="39"/>
        <v/>
      </c>
      <c r="Q70" s="71"/>
      <c r="R70" s="10" t="str">
        <f t="shared" si="53"/>
        <v/>
      </c>
      <c r="S70" s="71"/>
      <c r="T70" s="10" t="str">
        <f t="shared" si="18"/>
        <v/>
      </c>
      <c r="U70" s="71"/>
      <c r="V70" s="10" t="str">
        <f t="shared" si="40"/>
        <v/>
      </c>
      <c r="W70" s="10" t="str">
        <f t="shared" si="54"/>
        <v/>
      </c>
      <c r="X70" s="71"/>
      <c r="Y70" s="10" t="str">
        <f t="shared" si="41"/>
        <v/>
      </c>
      <c r="Z70" s="10" t="str">
        <f t="shared" si="55"/>
        <v/>
      </c>
      <c r="AA70" s="71"/>
      <c r="AB70" s="10" t="str">
        <f t="shared" si="4"/>
        <v/>
      </c>
      <c r="AC70" s="10" t="str">
        <f t="shared" si="56"/>
        <v/>
      </c>
      <c r="AD70" s="71"/>
      <c r="AE70" s="10" t="str">
        <f t="shared" si="42"/>
        <v/>
      </c>
      <c r="AF70" s="10" t="str">
        <f t="shared" si="57"/>
        <v/>
      </c>
      <c r="AG70" s="71"/>
      <c r="AH70" s="10" t="str">
        <f t="shared" si="43"/>
        <v/>
      </c>
      <c r="AI70" s="10" t="str">
        <f t="shared" si="58"/>
        <v/>
      </c>
      <c r="AJ70" s="71"/>
      <c r="AK70" s="10" t="str">
        <f t="shared" si="44"/>
        <v/>
      </c>
      <c r="AL70" s="10" t="str">
        <f t="shared" si="59"/>
        <v/>
      </c>
      <c r="AM70" s="71"/>
      <c r="AN70" s="10" t="str">
        <f t="shared" si="45"/>
        <v/>
      </c>
      <c r="AO70" s="10" t="str">
        <f t="shared" si="60"/>
        <v/>
      </c>
      <c r="AP70" s="71"/>
      <c r="AQ70" s="10" t="str">
        <f t="shared" si="46"/>
        <v/>
      </c>
      <c r="AR70" s="10" t="str">
        <f t="shared" si="26"/>
        <v/>
      </c>
      <c r="AS70" s="71"/>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U70" s="71"/>
      <c r="AV70" s="10" t="str">
        <f t="shared" si="47"/>
        <v/>
      </c>
      <c r="AW70" s="10" t="str">
        <f t="shared" si="27"/>
        <v/>
      </c>
      <c r="AX70" s="71"/>
      <c r="AY70" s="7" t="str">
        <f>IF(ISERROR(IF($K70&lt;=$F$15,VLOOKUP($I70,'表4）CO2価格'!$A$7:$E$67,VLOOKUP($F$48,'表4）CO2価格'!$H$10:$I$12,2,0),0)*$F$8/1000,"")),0,IF($K70&lt;=$F$15,VLOOKUP($I70,'表4）CO2価格'!$A$7:$E$67,VLOOKUP($F$48,'表4）CO2価格'!$H$10:$I$12,2,0),0)*$F$8/1000,""))</f>
        <v/>
      </c>
      <c r="AZ70" s="71"/>
      <c r="BA70" s="11" t="str">
        <f t="shared" si="48"/>
        <v/>
      </c>
      <c r="BB70" s="10" t="str">
        <f t="shared" si="28"/>
        <v/>
      </c>
      <c r="BC70" s="71"/>
      <c r="BD70" s="10" t="str">
        <f t="shared" si="49"/>
        <v/>
      </c>
      <c r="BE70" s="10" t="str">
        <f t="shared" si="29"/>
        <v/>
      </c>
      <c r="BF70" s="71"/>
      <c r="BG70" s="11" t="str">
        <f t="shared" si="50"/>
        <v/>
      </c>
      <c r="BH70" s="10" t="str">
        <f t="shared" si="30"/>
        <v/>
      </c>
      <c r="BJ70" s="7" t="str">
        <f t="shared" si="31"/>
        <v/>
      </c>
      <c r="BK70" s="158" t="str">
        <f t="shared" si="32"/>
        <v/>
      </c>
      <c r="BL70" s="158" t="str">
        <f t="shared" si="14"/>
        <v/>
      </c>
      <c r="BM70" s="10"/>
      <c r="BN70" s="10" t="str">
        <f t="shared" si="33"/>
        <v/>
      </c>
      <c r="BO70" s="10" t="str">
        <f t="shared" si="34"/>
        <v/>
      </c>
      <c r="BQ70" s="10" t="str">
        <f t="shared" si="51"/>
        <v/>
      </c>
      <c r="BR70" s="10" t="str">
        <f t="shared" si="35"/>
        <v/>
      </c>
    </row>
    <row r="71" spans="2:70" x14ac:dyDescent="0.15">
      <c r="F71" s="145"/>
      <c r="I71" s="458">
        <f t="shared" si="36"/>
        <v>2086</v>
      </c>
      <c r="J71" s="39"/>
      <c r="K71" s="39">
        <f t="shared" si="37"/>
        <v>57</v>
      </c>
      <c r="L71" s="39"/>
      <c r="M71" s="40">
        <f t="shared" si="38"/>
        <v>0.18547193025437006</v>
      </c>
      <c r="N71" s="39"/>
      <c r="O71" s="72" t="str">
        <f t="shared" si="52"/>
        <v/>
      </c>
      <c r="P71" s="41" t="str">
        <f t="shared" si="39"/>
        <v/>
      </c>
      <c r="Q71" s="39"/>
      <c r="R71" s="72" t="str">
        <f t="shared" si="53"/>
        <v/>
      </c>
      <c r="S71" s="39"/>
      <c r="T71" s="72" t="str">
        <f t="shared" si="18"/>
        <v/>
      </c>
      <c r="U71" s="39"/>
      <c r="V71" s="72" t="str">
        <f t="shared" si="40"/>
        <v/>
      </c>
      <c r="W71" s="72" t="str">
        <f t="shared" si="54"/>
        <v/>
      </c>
      <c r="X71" s="39"/>
      <c r="Y71" s="72" t="str">
        <f t="shared" si="41"/>
        <v/>
      </c>
      <c r="Z71" s="72" t="str">
        <f t="shared" si="55"/>
        <v/>
      </c>
      <c r="AA71" s="39"/>
      <c r="AB71" s="72" t="str">
        <f t="shared" si="4"/>
        <v/>
      </c>
      <c r="AC71" s="72" t="str">
        <f t="shared" si="56"/>
        <v/>
      </c>
      <c r="AD71" s="39"/>
      <c r="AE71" s="72" t="str">
        <f t="shared" si="42"/>
        <v/>
      </c>
      <c r="AF71" s="72" t="str">
        <f t="shared" si="57"/>
        <v/>
      </c>
      <c r="AG71" s="39"/>
      <c r="AH71" s="72" t="str">
        <f t="shared" si="43"/>
        <v/>
      </c>
      <c r="AI71" s="72" t="str">
        <f t="shared" si="58"/>
        <v/>
      </c>
      <c r="AJ71" s="39"/>
      <c r="AK71" s="72" t="str">
        <f t="shared" si="44"/>
        <v/>
      </c>
      <c r="AL71" s="72" t="str">
        <f t="shared" si="59"/>
        <v/>
      </c>
      <c r="AM71" s="39"/>
      <c r="AN71" s="72" t="str">
        <f t="shared" si="45"/>
        <v/>
      </c>
      <c r="AO71" s="72" t="str">
        <f t="shared" si="60"/>
        <v/>
      </c>
      <c r="AP71" s="39"/>
      <c r="AQ71" s="72" t="str">
        <f t="shared" si="46"/>
        <v/>
      </c>
      <c r="AR71" s="72" t="str">
        <f t="shared" si="26"/>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47"/>
        <v/>
      </c>
      <c r="AW71" s="72" t="str">
        <f t="shared" si="27"/>
        <v/>
      </c>
      <c r="AX71" s="39"/>
      <c r="AY71" s="40" t="str">
        <f>IF(ISERROR(IF($K71&lt;=$F$15,VLOOKUP($I71,'表4）CO2価格'!$A$7:$E$67,VLOOKUP($F$48,'表4）CO2価格'!$H$10:$I$12,2,0),0)*$F$8/1000,"")),0,IF($K71&lt;=$F$15,VLOOKUP($I71,'表4）CO2価格'!$A$7:$E$67,VLOOKUP($F$48,'表4）CO2価格'!$H$10:$I$12,2,0),0)*$F$8/1000,""))</f>
        <v/>
      </c>
      <c r="AZ71" s="39"/>
      <c r="BA71" s="42" t="str">
        <f t="shared" si="48"/>
        <v/>
      </c>
      <c r="BB71" s="72" t="str">
        <f t="shared" si="28"/>
        <v/>
      </c>
      <c r="BC71" s="39"/>
      <c r="BD71" s="72" t="str">
        <f t="shared" si="49"/>
        <v/>
      </c>
      <c r="BE71" s="72" t="str">
        <f t="shared" si="29"/>
        <v/>
      </c>
      <c r="BF71" s="39"/>
      <c r="BG71" s="42" t="str">
        <f t="shared" si="50"/>
        <v/>
      </c>
      <c r="BH71" s="72" t="str">
        <f t="shared" si="30"/>
        <v/>
      </c>
      <c r="BI71" s="39"/>
      <c r="BJ71" s="40" t="str">
        <f t="shared" si="31"/>
        <v/>
      </c>
      <c r="BK71" s="157" t="str">
        <f t="shared" si="32"/>
        <v/>
      </c>
      <c r="BL71" s="157" t="str">
        <f t="shared" si="14"/>
        <v/>
      </c>
      <c r="BM71" s="72"/>
      <c r="BN71" s="72" t="str">
        <f t="shared" si="33"/>
        <v/>
      </c>
      <c r="BO71" s="72" t="str">
        <f t="shared" si="34"/>
        <v/>
      </c>
      <c r="BP71" s="39"/>
      <c r="BQ71" s="72" t="str">
        <f t="shared" si="51"/>
        <v/>
      </c>
      <c r="BR71" s="72" t="str">
        <f t="shared" si="35"/>
        <v/>
      </c>
    </row>
    <row r="72" spans="2:70" x14ac:dyDescent="0.15">
      <c r="C72" s="89" t="s">
        <v>136</v>
      </c>
      <c r="D72" s="101"/>
      <c r="E72" s="101"/>
      <c r="F72" s="92"/>
      <c r="G72" s="101"/>
      <c r="I72" s="459">
        <f t="shared" si="36"/>
        <v>2087</v>
      </c>
      <c r="J72" s="71"/>
      <c r="K72" s="71">
        <f t="shared" si="37"/>
        <v>58</v>
      </c>
      <c r="L72" s="71"/>
      <c r="M72" s="7">
        <f t="shared" si="38"/>
        <v>0.18006983519841754</v>
      </c>
      <c r="N72" s="71"/>
      <c r="O72" s="10" t="str">
        <f t="shared" si="52"/>
        <v/>
      </c>
      <c r="P72" s="29" t="str">
        <f t="shared" si="39"/>
        <v/>
      </c>
      <c r="Q72" s="71"/>
      <c r="R72" s="10" t="str">
        <f t="shared" si="53"/>
        <v/>
      </c>
      <c r="S72" s="71"/>
      <c r="T72" s="10" t="str">
        <f t="shared" si="18"/>
        <v/>
      </c>
      <c r="U72" s="71"/>
      <c r="V72" s="10" t="str">
        <f t="shared" si="40"/>
        <v/>
      </c>
      <c r="W72" s="10" t="str">
        <f t="shared" si="54"/>
        <v/>
      </c>
      <c r="X72" s="71"/>
      <c r="Y72" s="10" t="str">
        <f t="shared" si="41"/>
        <v/>
      </c>
      <c r="Z72" s="10" t="str">
        <f t="shared" si="55"/>
        <v/>
      </c>
      <c r="AA72" s="71"/>
      <c r="AB72" s="10" t="str">
        <f t="shared" si="4"/>
        <v/>
      </c>
      <c r="AC72" s="10" t="str">
        <f t="shared" si="56"/>
        <v/>
      </c>
      <c r="AD72" s="71"/>
      <c r="AE72" s="10" t="str">
        <f t="shared" si="42"/>
        <v/>
      </c>
      <c r="AF72" s="10" t="str">
        <f t="shared" si="57"/>
        <v/>
      </c>
      <c r="AG72" s="71"/>
      <c r="AH72" s="10" t="str">
        <f t="shared" si="43"/>
        <v/>
      </c>
      <c r="AI72" s="10" t="str">
        <f t="shared" si="58"/>
        <v/>
      </c>
      <c r="AJ72" s="71"/>
      <c r="AK72" s="10" t="str">
        <f t="shared" si="44"/>
        <v/>
      </c>
      <c r="AL72" s="10" t="str">
        <f t="shared" si="59"/>
        <v/>
      </c>
      <c r="AM72" s="71"/>
      <c r="AN72" s="10" t="str">
        <f t="shared" si="45"/>
        <v/>
      </c>
      <c r="AO72" s="10" t="str">
        <f t="shared" si="60"/>
        <v/>
      </c>
      <c r="AP72" s="71"/>
      <c r="AQ72" s="10" t="str">
        <f t="shared" si="46"/>
        <v/>
      </c>
      <c r="AR72" s="10" t="str">
        <f t="shared" si="26"/>
        <v/>
      </c>
      <c r="AS72" s="71"/>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U72" s="71"/>
      <c r="AV72" s="10" t="str">
        <f t="shared" si="47"/>
        <v/>
      </c>
      <c r="AW72" s="10" t="str">
        <f t="shared" si="27"/>
        <v/>
      </c>
      <c r="AX72" s="71"/>
      <c r="AY72" s="7" t="str">
        <f>IF(ISERROR(IF($K72&lt;=$F$15,VLOOKUP($I72,'表4）CO2価格'!$A$7:$E$67,VLOOKUP($F$48,'表4）CO2価格'!$H$10:$I$12,2,0),0)*$F$8/1000,"")),0,IF($K72&lt;=$F$15,VLOOKUP($I72,'表4）CO2価格'!$A$7:$E$67,VLOOKUP($F$48,'表4）CO2価格'!$H$10:$I$12,2,0),0)*$F$8/1000,""))</f>
        <v/>
      </c>
      <c r="AZ72" s="71"/>
      <c r="BA72" s="11" t="str">
        <f t="shared" si="48"/>
        <v/>
      </c>
      <c r="BB72" s="10" t="str">
        <f t="shared" si="28"/>
        <v/>
      </c>
      <c r="BC72" s="71"/>
      <c r="BD72" s="10" t="str">
        <f t="shared" si="49"/>
        <v/>
      </c>
      <c r="BE72" s="10" t="str">
        <f t="shared" si="29"/>
        <v/>
      </c>
      <c r="BF72" s="71"/>
      <c r="BG72" s="11" t="str">
        <f t="shared" si="50"/>
        <v/>
      </c>
      <c r="BH72" s="10" t="str">
        <f t="shared" si="30"/>
        <v/>
      </c>
      <c r="BJ72" s="7" t="str">
        <f t="shared" si="31"/>
        <v/>
      </c>
      <c r="BK72" s="158" t="str">
        <f t="shared" si="32"/>
        <v/>
      </c>
      <c r="BL72" s="158" t="str">
        <f t="shared" si="14"/>
        <v/>
      </c>
      <c r="BM72" s="10"/>
      <c r="BN72" s="10" t="str">
        <f t="shared" si="33"/>
        <v/>
      </c>
      <c r="BO72" s="10" t="str">
        <f t="shared" si="34"/>
        <v/>
      </c>
      <c r="BQ72" s="10" t="str">
        <f t="shared" si="51"/>
        <v/>
      </c>
      <c r="BR72" s="10" t="str">
        <f t="shared" si="35"/>
        <v/>
      </c>
    </row>
    <row r="73" spans="2:70" x14ac:dyDescent="0.15">
      <c r="F73" s="93"/>
      <c r="I73" s="458">
        <f t="shared" si="36"/>
        <v>2088</v>
      </c>
      <c r="J73" s="39"/>
      <c r="K73" s="39">
        <f t="shared" si="37"/>
        <v>59</v>
      </c>
      <c r="L73" s="39"/>
      <c r="M73" s="40">
        <f t="shared" si="38"/>
        <v>0.17482508271691022</v>
      </c>
      <c r="N73" s="39"/>
      <c r="O73" s="72" t="str">
        <f t="shared" si="52"/>
        <v/>
      </c>
      <c r="P73" s="41" t="str">
        <f t="shared" si="39"/>
        <v/>
      </c>
      <c r="Q73" s="39"/>
      <c r="R73" s="72" t="str">
        <f t="shared" si="53"/>
        <v/>
      </c>
      <c r="S73" s="39"/>
      <c r="T73" s="72" t="str">
        <f t="shared" si="18"/>
        <v/>
      </c>
      <c r="U73" s="39"/>
      <c r="V73" s="72" t="str">
        <f t="shared" si="40"/>
        <v/>
      </c>
      <c r="W73" s="72" t="str">
        <f t="shared" si="54"/>
        <v/>
      </c>
      <c r="X73" s="39"/>
      <c r="Y73" s="72" t="str">
        <f t="shared" si="41"/>
        <v/>
      </c>
      <c r="Z73" s="72" t="str">
        <f t="shared" si="55"/>
        <v/>
      </c>
      <c r="AA73" s="39"/>
      <c r="AB73" s="72" t="str">
        <f t="shared" si="4"/>
        <v/>
      </c>
      <c r="AC73" s="72" t="str">
        <f t="shared" si="56"/>
        <v/>
      </c>
      <c r="AD73" s="39"/>
      <c r="AE73" s="72" t="str">
        <f t="shared" si="42"/>
        <v/>
      </c>
      <c r="AF73" s="72" t="str">
        <f t="shared" si="57"/>
        <v/>
      </c>
      <c r="AG73" s="39"/>
      <c r="AH73" s="72" t="str">
        <f t="shared" si="43"/>
        <v/>
      </c>
      <c r="AI73" s="72" t="str">
        <f t="shared" si="58"/>
        <v/>
      </c>
      <c r="AJ73" s="39"/>
      <c r="AK73" s="72" t="str">
        <f t="shared" si="44"/>
        <v/>
      </c>
      <c r="AL73" s="72" t="str">
        <f t="shared" si="59"/>
        <v/>
      </c>
      <c r="AM73" s="39"/>
      <c r="AN73" s="72" t="str">
        <f t="shared" si="45"/>
        <v/>
      </c>
      <c r="AO73" s="72" t="str">
        <f t="shared" si="60"/>
        <v/>
      </c>
      <c r="AP73" s="39"/>
      <c r="AQ73" s="72" t="str">
        <f t="shared" si="46"/>
        <v/>
      </c>
      <c r="AR73" s="72" t="str">
        <f t="shared" si="26"/>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47"/>
        <v/>
      </c>
      <c r="AW73" s="72" t="str">
        <f t="shared" si="27"/>
        <v/>
      </c>
      <c r="AX73" s="39"/>
      <c r="AY73" s="40" t="str">
        <f>IF(ISERROR(IF($K73&lt;=$F$15,VLOOKUP($I73,'表4）CO2価格'!$A$7:$E$67,VLOOKUP($F$48,'表4）CO2価格'!$H$10:$I$12,2,0),0)*$F$8/1000,"")),0,IF($K73&lt;=$F$15,VLOOKUP($I73,'表4）CO2価格'!$A$7:$E$67,VLOOKUP($F$48,'表4）CO2価格'!$H$10:$I$12,2,0),0)*$F$8/1000,""))</f>
        <v/>
      </c>
      <c r="AZ73" s="39"/>
      <c r="BA73" s="42" t="str">
        <f t="shared" si="48"/>
        <v/>
      </c>
      <c r="BB73" s="72" t="str">
        <f t="shared" si="28"/>
        <v/>
      </c>
      <c r="BC73" s="39"/>
      <c r="BD73" s="72" t="str">
        <f t="shared" si="49"/>
        <v/>
      </c>
      <c r="BE73" s="72" t="str">
        <f t="shared" si="29"/>
        <v/>
      </c>
      <c r="BF73" s="39"/>
      <c r="BG73" s="42" t="str">
        <f t="shared" si="50"/>
        <v/>
      </c>
      <c r="BH73" s="72" t="str">
        <f t="shared" si="30"/>
        <v/>
      </c>
      <c r="BI73" s="39"/>
      <c r="BJ73" s="40" t="str">
        <f t="shared" si="31"/>
        <v/>
      </c>
      <c r="BK73" s="157" t="str">
        <f t="shared" si="32"/>
        <v/>
      </c>
      <c r="BL73" s="157" t="str">
        <f t="shared" si="14"/>
        <v/>
      </c>
      <c r="BM73" s="72"/>
      <c r="BN73" s="72" t="str">
        <f t="shared" si="33"/>
        <v/>
      </c>
      <c r="BO73" s="72" t="str">
        <f t="shared" si="34"/>
        <v/>
      </c>
      <c r="BP73" s="39"/>
      <c r="BQ73" s="72" t="str">
        <f t="shared" si="51"/>
        <v/>
      </c>
      <c r="BR73" s="72" t="str">
        <f t="shared" si="35"/>
        <v/>
      </c>
    </row>
    <row r="74" spans="2:70" ht="15" x14ac:dyDescent="0.15">
      <c r="D74" s="116" t="s">
        <v>192</v>
      </c>
      <c r="F74" s="94">
        <f>SUBTOTAL(9,F78:F81)</f>
        <v>1.2945516175087721</v>
      </c>
      <c r="G74" s="81" t="s">
        <v>132</v>
      </c>
      <c r="I74" s="459">
        <f t="shared" si="36"/>
        <v>2089</v>
      </c>
      <c r="J74" s="71"/>
      <c r="K74" s="71">
        <f t="shared" si="37"/>
        <v>60</v>
      </c>
      <c r="L74" s="71"/>
      <c r="M74" s="7">
        <f t="shared" si="38"/>
        <v>0.1697330900164177</v>
      </c>
      <c r="N74" s="71"/>
      <c r="O74" s="10" t="str">
        <f t="shared" si="52"/>
        <v/>
      </c>
      <c r="P74" s="29" t="str">
        <f t="shared" si="39"/>
        <v/>
      </c>
      <c r="Q74" s="71"/>
      <c r="R74" s="10" t="str">
        <f t="shared" si="53"/>
        <v/>
      </c>
      <c r="S74" s="71"/>
      <c r="T74" s="10" t="str">
        <f t="shared" si="18"/>
        <v/>
      </c>
      <c r="U74" s="71"/>
      <c r="V74" s="10" t="str">
        <f t="shared" si="40"/>
        <v/>
      </c>
      <c r="W74" s="10" t="str">
        <f t="shared" si="54"/>
        <v/>
      </c>
      <c r="X74" s="71"/>
      <c r="Y74" s="10" t="str">
        <f t="shared" si="41"/>
        <v/>
      </c>
      <c r="Z74" s="10" t="str">
        <f t="shared" si="55"/>
        <v/>
      </c>
      <c r="AA74" s="71"/>
      <c r="AB74" s="10" t="str">
        <f t="shared" si="4"/>
        <v/>
      </c>
      <c r="AC74" s="10" t="str">
        <f t="shared" si="56"/>
        <v/>
      </c>
      <c r="AD74" s="71"/>
      <c r="AE74" s="10" t="str">
        <f t="shared" si="42"/>
        <v/>
      </c>
      <c r="AF74" s="10" t="str">
        <f t="shared" si="57"/>
        <v/>
      </c>
      <c r="AG74" s="71"/>
      <c r="AH74" s="10" t="str">
        <f t="shared" si="43"/>
        <v/>
      </c>
      <c r="AI74" s="10" t="str">
        <f t="shared" si="58"/>
        <v/>
      </c>
      <c r="AJ74" s="71"/>
      <c r="AK74" s="10" t="str">
        <f t="shared" si="44"/>
        <v/>
      </c>
      <c r="AL74" s="10" t="str">
        <f t="shared" si="59"/>
        <v/>
      </c>
      <c r="AM74" s="71"/>
      <c r="AN74" s="10" t="str">
        <f t="shared" si="45"/>
        <v/>
      </c>
      <c r="AO74" s="10" t="str">
        <f t="shared" si="60"/>
        <v/>
      </c>
      <c r="AP74" s="71"/>
      <c r="AQ74" s="10" t="str">
        <f t="shared" si="46"/>
        <v/>
      </c>
      <c r="AR74" s="10" t="str">
        <f t="shared" si="26"/>
        <v/>
      </c>
      <c r="AS74" s="71"/>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U74" s="71"/>
      <c r="AV74" s="10" t="str">
        <f t="shared" si="47"/>
        <v/>
      </c>
      <c r="AW74" s="10" t="str">
        <f t="shared" si="27"/>
        <v/>
      </c>
      <c r="AX74" s="71"/>
      <c r="AY74" s="7" t="str">
        <f>IF(ISERROR(IF($K74&lt;=$F$15,VLOOKUP($I74,'表4）CO2価格'!$A$7:$E$67,VLOOKUP($F$48,'表4）CO2価格'!$H$10:$I$12,2,0),0)*$F$8/1000,"")),0,IF($K74&lt;=$F$15,VLOOKUP($I74,'表4）CO2価格'!$A$7:$E$67,VLOOKUP($F$48,'表4）CO2価格'!$H$10:$I$12,2,0),0)*$F$8/1000,""))</f>
        <v/>
      </c>
      <c r="AZ74" s="71"/>
      <c r="BA74" s="11" t="str">
        <f t="shared" si="48"/>
        <v/>
      </c>
      <c r="BB74" s="10" t="str">
        <f t="shared" si="28"/>
        <v/>
      </c>
      <c r="BC74" s="71"/>
      <c r="BD74" s="10" t="str">
        <f t="shared" si="49"/>
        <v/>
      </c>
      <c r="BE74" s="10" t="str">
        <f t="shared" si="29"/>
        <v/>
      </c>
      <c r="BF74" s="71"/>
      <c r="BG74" s="11" t="str">
        <f t="shared" si="50"/>
        <v/>
      </c>
      <c r="BH74" s="10" t="str">
        <f t="shared" si="30"/>
        <v/>
      </c>
      <c r="BJ74" s="7" t="str">
        <f t="shared" si="31"/>
        <v/>
      </c>
      <c r="BK74" s="158" t="str">
        <f t="shared" si="32"/>
        <v/>
      </c>
      <c r="BL74" s="158" t="str">
        <f t="shared" si="14"/>
        <v/>
      </c>
      <c r="BM74" s="10"/>
      <c r="BN74" s="10" t="str">
        <f t="shared" si="33"/>
        <v/>
      </c>
      <c r="BO74" s="10" t="str">
        <f t="shared" si="34"/>
        <v/>
      </c>
      <c r="BQ74" s="10" t="str">
        <f t="shared" si="51"/>
        <v/>
      </c>
      <c r="BR74" s="10" t="str">
        <f t="shared" si="35"/>
        <v/>
      </c>
    </row>
    <row r="75" spans="2:70" x14ac:dyDescent="0.15">
      <c r="F75" s="93"/>
      <c r="I75" s="458">
        <f t="shared" si="36"/>
        <v>2090</v>
      </c>
      <c r="J75" s="39"/>
      <c r="K75" s="39">
        <f t="shared" si="37"/>
        <v>61</v>
      </c>
      <c r="L75" s="39"/>
      <c r="M75" s="40">
        <f t="shared" si="38"/>
        <v>0.16478940778292983</v>
      </c>
      <c r="N75" s="39"/>
      <c r="O75" s="72" t="str">
        <f t="shared" si="52"/>
        <v/>
      </c>
      <c r="P75" s="41" t="str">
        <f t="shared" si="39"/>
        <v/>
      </c>
      <c r="Q75" s="39"/>
      <c r="R75" s="72" t="str">
        <f t="shared" si="53"/>
        <v/>
      </c>
      <c r="S75" s="39"/>
      <c r="T75" s="72" t="str">
        <f t="shared" si="18"/>
        <v/>
      </c>
      <c r="U75" s="39"/>
      <c r="V75" s="72" t="str">
        <f t="shared" si="40"/>
        <v/>
      </c>
      <c r="W75" s="72" t="str">
        <f t="shared" si="54"/>
        <v/>
      </c>
      <c r="X75" s="39"/>
      <c r="Y75" s="72" t="str">
        <f t="shared" si="41"/>
        <v/>
      </c>
      <c r="Z75" s="72" t="str">
        <f t="shared" si="55"/>
        <v/>
      </c>
      <c r="AA75" s="39"/>
      <c r="AB75" s="72" t="str">
        <f t="shared" si="4"/>
        <v/>
      </c>
      <c r="AC75" s="72" t="str">
        <f t="shared" si="56"/>
        <v/>
      </c>
      <c r="AD75" s="39"/>
      <c r="AE75" s="72" t="str">
        <f t="shared" si="42"/>
        <v/>
      </c>
      <c r="AF75" s="72" t="str">
        <f t="shared" si="57"/>
        <v/>
      </c>
      <c r="AG75" s="39"/>
      <c r="AH75" s="72" t="str">
        <f t="shared" si="43"/>
        <v/>
      </c>
      <c r="AI75" s="72" t="str">
        <f t="shared" si="58"/>
        <v/>
      </c>
      <c r="AJ75" s="39"/>
      <c r="AK75" s="72" t="str">
        <f t="shared" si="44"/>
        <v/>
      </c>
      <c r="AL75" s="72" t="str">
        <f t="shared" si="59"/>
        <v/>
      </c>
      <c r="AM75" s="39"/>
      <c r="AN75" s="72" t="str">
        <f t="shared" si="45"/>
        <v/>
      </c>
      <c r="AO75" s="72" t="str">
        <f t="shared" si="60"/>
        <v/>
      </c>
      <c r="AP75" s="39"/>
      <c r="AQ75" s="72" t="str">
        <f t="shared" si="46"/>
        <v/>
      </c>
      <c r="AR75" s="72" t="str">
        <f t="shared" si="26"/>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47"/>
        <v/>
      </c>
      <c r="AW75" s="72" t="str">
        <f t="shared" si="27"/>
        <v/>
      </c>
      <c r="AX75" s="39"/>
      <c r="AY75" s="40" t="str">
        <f>IF(ISERROR(IF($K75&lt;=$F$15,VLOOKUP($I75,'表4）CO2価格'!$A$7:$E$67,VLOOKUP($F$48,'表4）CO2価格'!$H$10:$I$12,2,0),0)*$F$8/1000,"")),0,IF($K75&lt;=$F$15,VLOOKUP($I75,'表4）CO2価格'!$A$7:$E$67,VLOOKUP($F$48,'表4）CO2価格'!$H$10:$I$12,2,0),0)*$F$8/1000,""))</f>
        <v/>
      </c>
      <c r="AZ75" s="39"/>
      <c r="BA75" s="42" t="str">
        <f t="shared" si="48"/>
        <v/>
      </c>
      <c r="BB75" s="72" t="str">
        <f t="shared" si="28"/>
        <v/>
      </c>
      <c r="BC75" s="39"/>
      <c r="BD75" s="72" t="str">
        <f t="shared" si="49"/>
        <v/>
      </c>
      <c r="BE75" s="72" t="str">
        <f t="shared" si="29"/>
        <v/>
      </c>
      <c r="BF75" s="39"/>
      <c r="BG75" s="42" t="str">
        <f t="shared" si="50"/>
        <v/>
      </c>
      <c r="BH75" s="72" t="str">
        <f t="shared" si="30"/>
        <v/>
      </c>
      <c r="BI75" s="39"/>
      <c r="BJ75" s="40" t="str">
        <f t="shared" si="31"/>
        <v/>
      </c>
      <c r="BK75" s="157" t="str">
        <f t="shared" si="32"/>
        <v/>
      </c>
      <c r="BL75" s="157" t="str">
        <f t="shared" si="14"/>
        <v/>
      </c>
      <c r="BM75" s="72"/>
      <c r="BN75" s="72" t="str">
        <f t="shared" si="33"/>
        <v/>
      </c>
      <c r="BO75" s="72" t="str">
        <f t="shared" si="34"/>
        <v/>
      </c>
      <c r="BP75" s="39"/>
      <c r="BQ75" s="72" t="str">
        <f t="shared" si="51"/>
        <v/>
      </c>
      <c r="BR75" s="72" t="str">
        <f t="shared" si="35"/>
        <v/>
      </c>
    </row>
    <row r="76" spans="2:70" x14ac:dyDescent="0.15">
      <c r="D76" s="101" t="s">
        <v>193</v>
      </c>
      <c r="E76" s="101"/>
      <c r="F76" s="92"/>
      <c r="G76" s="101"/>
      <c r="I76" s="459">
        <f t="shared" si="36"/>
        <v>2091</v>
      </c>
      <c r="J76" s="71"/>
      <c r="K76" s="71">
        <f t="shared" si="37"/>
        <v>62</v>
      </c>
      <c r="L76" s="71"/>
      <c r="M76" s="7">
        <f t="shared" si="38"/>
        <v>0.15998971629410663</v>
      </c>
      <c r="N76" s="71"/>
      <c r="O76" s="10" t="str">
        <f t="shared" si="52"/>
        <v/>
      </c>
      <c r="P76" s="29" t="str">
        <f t="shared" si="39"/>
        <v/>
      </c>
      <c r="Q76" s="71"/>
      <c r="R76" s="10" t="str">
        <f t="shared" si="53"/>
        <v/>
      </c>
      <c r="S76" s="71"/>
      <c r="T76" s="10" t="str">
        <f t="shared" si="18"/>
        <v/>
      </c>
      <c r="U76" s="71"/>
      <c r="V76" s="10" t="str">
        <f t="shared" si="40"/>
        <v/>
      </c>
      <c r="W76" s="10" t="str">
        <f t="shared" si="54"/>
        <v/>
      </c>
      <c r="X76" s="71"/>
      <c r="Y76" s="10" t="str">
        <f t="shared" si="41"/>
        <v/>
      </c>
      <c r="Z76" s="10" t="str">
        <f t="shared" si="55"/>
        <v/>
      </c>
      <c r="AA76" s="71"/>
      <c r="AB76" s="10" t="str">
        <f t="shared" si="4"/>
        <v/>
      </c>
      <c r="AC76" s="10" t="str">
        <f t="shared" si="56"/>
        <v/>
      </c>
      <c r="AD76" s="71"/>
      <c r="AE76" s="10" t="str">
        <f t="shared" si="42"/>
        <v/>
      </c>
      <c r="AF76" s="10" t="str">
        <f t="shared" si="57"/>
        <v/>
      </c>
      <c r="AG76" s="71"/>
      <c r="AH76" s="10" t="str">
        <f t="shared" si="43"/>
        <v/>
      </c>
      <c r="AI76" s="10" t="str">
        <f t="shared" si="58"/>
        <v/>
      </c>
      <c r="AJ76" s="71"/>
      <c r="AK76" s="10" t="str">
        <f t="shared" si="44"/>
        <v/>
      </c>
      <c r="AL76" s="10" t="str">
        <f t="shared" si="59"/>
        <v/>
      </c>
      <c r="AM76" s="71"/>
      <c r="AN76" s="10" t="str">
        <f t="shared" si="45"/>
        <v/>
      </c>
      <c r="AO76" s="10" t="str">
        <f t="shared" si="60"/>
        <v/>
      </c>
      <c r="AP76" s="71"/>
      <c r="AQ76" s="10" t="str">
        <f t="shared" si="46"/>
        <v/>
      </c>
      <c r="AR76" s="10" t="str">
        <f t="shared" si="26"/>
        <v/>
      </c>
      <c r="AS76" s="71"/>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U76" s="71"/>
      <c r="AV76" s="10" t="str">
        <f t="shared" si="47"/>
        <v/>
      </c>
      <c r="AW76" s="10" t="str">
        <f t="shared" si="27"/>
        <v/>
      </c>
      <c r="AX76" s="71"/>
      <c r="AY76" s="7" t="str">
        <f>IF(ISERROR(IF($K76&lt;=$F$15,VLOOKUP($I76,'表4）CO2価格'!$A$7:$E$67,VLOOKUP($F$48,'表4）CO2価格'!$H$10:$I$12,2,0),0)*$F$8/1000,"")),0,IF($K76&lt;=$F$15,VLOOKUP($I76,'表4）CO2価格'!$A$7:$E$67,VLOOKUP($F$48,'表4）CO2価格'!$H$10:$I$12,2,0),0)*$F$8/1000,""))</f>
        <v/>
      </c>
      <c r="AZ76" s="71"/>
      <c r="BA76" s="11" t="str">
        <f t="shared" si="48"/>
        <v/>
      </c>
      <c r="BB76" s="10" t="str">
        <f t="shared" si="28"/>
        <v/>
      </c>
      <c r="BC76" s="71"/>
      <c r="BD76" s="10" t="str">
        <f t="shared" si="49"/>
        <v/>
      </c>
      <c r="BE76" s="10" t="str">
        <f t="shared" si="29"/>
        <v/>
      </c>
      <c r="BF76" s="71"/>
      <c r="BG76" s="11" t="str">
        <f t="shared" si="50"/>
        <v/>
      </c>
      <c r="BH76" s="10" t="str">
        <f t="shared" si="30"/>
        <v/>
      </c>
      <c r="BJ76" s="7" t="str">
        <f t="shared" si="31"/>
        <v/>
      </c>
      <c r="BK76" s="158" t="str">
        <f t="shared" si="32"/>
        <v/>
      </c>
      <c r="BL76" s="158" t="str">
        <f t="shared" si="14"/>
        <v/>
      </c>
      <c r="BM76" s="10"/>
      <c r="BN76" s="10" t="str">
        <f t="shared" si="33"/>
        <v/>
      </c>
      <c r="BO76" s="10" t="str">
        <f t="shared" si="34"/>
        <v/>
      </c>
      <c r="BQ76" s="10" t="str">
        <f t="shared" si="51"/>
        <v/>
      </c>
      <c r="BR76" s="10" t="str">
        <f t="shared" si="35"/>
        <v/>
      </c>
    </row>
    <row r="77" spans="2:70" x14ac:dyDescent="0.15">
      <c r="F77" s="93"/>
      <c r="I77" s="458">
        <f t="shared" si="36"/>
        <v>2092</v>
      </c>
      <c r="J77" s="39"/>
      <c r="K77" s="39">
        <f t="shared" si="37"/>
        <v>63</v>
      </c>
      <c r="L77" s="39"/>
      <c r="M77" s="40">
        <f t="shared" si="38"/>
        <v>0.15532982164476369</v>
      </c>
      <c r="N77" s="39"/>
      <c r="O77" s="72" t="str">
        <f t="shared" si="52"/>
        <v/>
      </c>
      <c r="P77" s="41" t="str">
        <f t="shared" si="39"/>
        <v/>
      </c>
      <c r="Q77" s="39"/>
      <c r="R77" s="72" t="str">
        <f t="shared" si="53"/>
        <v/>
      </c>
      <c r="S77" s="39"/>
      <c r="T77" s="72" t="str">
        <f t="shared" si="18"/>
        <v/>
      </c>
      <c r="U77" s="39"/>
      <c r="V77" s="72" t="str">
        <f t="shared" si="40"/>
        <v/>
      </c>
      <c r="W77" s="72" t="str">
        <f t="shared" si="54"/>
        <v/>
      </c>
      <c r="X77" s="39"/>
      <c r="Y77" s="72" t="str">
        <f t="shared" si="41"/>
        <v/>
      </c>
      <c r="Z77" s="72" t="str">
        <f t="shared" si="55"/>
        <v/>
      </c>
      <c r="AA77" s="39"/>
      <c r="AB77" s="72" t="str">
        <f t="shared" si="4"/>
        <v/>
      </c>
      <c r="AC77" s="72" t="str">
        <f t="shared" si="56"/>
        <v/>
      </c>
      <c r="AD77" s="39"/>
      <c r="AE77" s="72" t="str">
        <f t="shared" si="42"/>
        <v/>
      </c>
      <c r="AF77" s="72" t="str">
        <f t="shared" si="57"/>
        <v/>
      </c>
      <c r="AG77" s="39"/>
      <c r="AH77" s="72" t="str">
        <f t="shared" si="43"/>
        <v/>
      </c>
      <c r="AI77" s="72" t="str">
        <f t="shared" si="58"/>
        <v/>
      </c>
      <c r="AJ77" s="39"/>
      <c r="AK77" s="72" t="str">
        <f t="shared" si="44"/>
        <v/>
      </c>
      <c r="AL77" s="72" t="str">
        <f t="shared" si="59"/>
        <v/>
      </c>
      <c r="AM77" s="39"/>
      <c r="AN77" s="72" t="str">
        <f t="shared" si="45"/>
        <v/>
      </c>
      <c r="AO77" s="72" t="str">
        <f t="shared" si="60"/>
        <v/>
      </c>
      <c r="AP77" s="39"/>
      <c r="AQ77" s="72" t="str">
        <f t="shared" si="46"/>
        <v/>
      </c>
      <c r="AR77" s="72" t="str">
        <f t="shared" si="26"/>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47"/>
        <v/>
      </c>
      <c r="AW77" s="72" t="str">
        <f t="shared" si="27"/>
        <v/>
      </c>
      <c r="AX77" s="39"/>
      <c r="AY77" s="40" t="str">
        <f>IF(ISERROR(IF($K77&lt;=$F$15,VLOOKUP($I77,'表4）CO2価格'!$A$7:$E$67,VLOOKUP($F$48,'表4）CO2価格'!$H$10:$I$12,2,0),0)*$F$8/1000,"")),0,IF($K77&lt;=$F$15,VLOOKUP($I77,'表4）CO2価格'!$A$7:$E$67,VLOOKUP($F$48,'表4）CO2価格'!$H$10:$I$12,2,0),0)*$F$8/1000,""))</f>
        <v/>
      </c>
      <c r="AZ77" s="39"/>
      <c r="BA77" s="42" t="str">
        <f t="shared" si="48"/>
        <v/>
      </c>
      <c r="BB77" s="72" t="str">
        <f t="shared" si="28"/>
        <v/>
      </c>
      <c r="BC77" s="39"/>
      <c r="BD77" s="72" t="str">
        <f t="shared" si="49"/>
        <v/>
      </c>
      <c r="BE77" s="72" t="str">
        <f t="shared" si="29"/>
        <v/>
      </c>
      <c r="BF77" s="39"/>
      <c r="BG77" s="42" t="str">
        <f t="shared" si="50"/>
        <v/>
      </c>
      <c r="BH77" s="72" t="str">
        <f t="shared" si="30"/>
        <v/>
      </c>
      <c r="BI77" s="39"/>
      <c r="BJ77" s="40" t="str">
        <f t="shared" si="31"/>
        <v/>
      </c>
      <c r="BK77" s="157" t="str">
        <f t="shared" si="32"/>
        <v/>
      </c>
      <c r="BL77" s="157" t="str">
        <f t="shared" si="14"/>
        <v/>
      </c>
      <c r="BM77" s="72"/>
      <c r="BN77" s="72" t="str">
        <f t="shared" si="33"/>
        <v/>
      </c>
      <c r="BO77" s="72" t="str">
        <f t="shared" si="34"/>
        <v/>
      </c>
      <c r="BP77" s="39"/>
      <c r="BQ77" s="72" t="str">
        <f t="shared" si="51"/>
        <v/>
      </c>
      <c r="BR77" s="72" t="str">
        <f t="shared" si="35"/>
        <v/>
      </c>
    </row>
    <row r="78" spans="2:70" x14ac:dyDescent="0.15">
      <c r="E78" s="74" t="s">
        <v>138</v>
      </c>
      <c r="F78" s="91">
        <f>R15/$BR$116</f>
        <v>1.1770672626551333</v>
      </c>
      <c r="G78" s="81" t="s">
        <v>132</v>
      </c>
      <c r="I78" s="459">
        <f t="shared" si="36"/>
        <v>2093</v>
      </c>
      <c r="J78" s="71"/>
      <c r="K78" s="71">
        <f t="shared" si="37"/>
        <v>64</v>
      </c>
      <c r="L78" s="71"/>
      <c r="M78" s="7">
        <f t="shared" si="38"/>
        <v>0.15080565208229488</v>
      </c>
      <c r="N78" s="71"/>
      <c r="O78" s="10" t="str">
        <f t="shared" si="52"/>
        <v/>
      </c>
      <c r="P78" s="29" t="str">
        <f t="shared" si="39"/>
        <v/>
      </c>
      <c r="Q78" s="71"/>
      <c r="R78" s="10" t="str">
        <f t="shared" si="53"/>
        <v/>
      </c>
      <c r="S78" s="71"/>
      <c r="T78" s="10" t="str">
        <f t="shared" si="18"/>
        <v/>
      </c>
      <c r="U78" s="71"/>
      <c r="V78" s="10" t="str">
        <f t="shared" si="40"/>
        <v/>
      </c>
      <c r="W78" s="10" t="str">
        <f t="shared" si="54"/>
        <v/>
      </c>
      <c r="X78" s="71"/>
      <c r="Y78" s="10" t="str">
        <f t="shared" si="41"/>
        <v/>
      </c>
      <c r="Z78" s="10" t="str">
        <f t="shared" si="55"/>
        <v/>
      </c>
      <c r="AA78" s="71"/>
      <c r="AB78" s="10" t="str">
        <f t="shared" si="4"/>
        <v/>
      </c>
      <c r="AC78" s="10" t="str">
        <f t="shared" si="56"/>
        <v/>
      </c>
      <c r="AD78" s="71"/>
      <c r="AE78" s="10" t="str">
        <f t="shared" si="42"/>
        <v/>
      </c>
      <c r="AF78" s="10" t="str">
        <f t="shared" si="57"/>
        <v/>
      </c>
      <c r="AG78" s="71"/>
      <c r="AH78" s="10" t="str">
        <f t="shared" si="43"/>
        <v/>
      </c>
      <c r="AI78" s="10" t="str">
        <f t="shared" si="58"/>
        <v/>
      </c>
      <c r="AJ78" s="71"/>
      <c r="AK78" s="10" t="str">
        <f t="shared" si="44"/>
        <v/>
      </c>
      <c r="AL78" s="10" t="str">
        <f t="shared" si="59"/>
        <v/>
      </c>
      <c r="AM78" s="71"/>
      <c r="AN78" s="10" t="str">
        <f t="shared" si="45"/>
        <v/>
      </c>
      <c r="AO78" s="10" t="str">
        <f t="shared" si="60"/>
        <v/>
      </c>
      <c r="AP78" s="71"/>
      <c r="AQ78" s="10" t="str">
        <f t="shared" si="46"/>
        <v/>
      </c>
      <c r="AR78" s="10" t="str">
        <f t="shared" si="26"/>
        <v/>
      </c>
      <c r="AS78" s="71"/>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U78" s="71"/>
      <c r="AV78" s="10" t="str">
        <f t="shared" si="47"/>
        <v/>
      </c>
      <c r="AW78" s="10" t="str">
        <f t="shared" si="27"/>
        <v/>
      </c>
      <c r="AX78" s="71"/>
      <c r="AY78" s="7" t="str">
        <f>IF(ISERROR(IF($K78&lt;=$F$15,VLOOKUP($I78,'表4）CO2価格'!$A$7:$E$67,VLOOKUP($F$48,'表4）CO2価格'!$H$10:$I$12,2,0),0)*$F$8/1000,"")),0,IF($K78&lt;=$F$15,VLOOKUP($I78,'表4）CO2価格'!$A$7:$E$67,VLOOKUP($F$48,'表4）CO2価格'!$H$10:$I$12,2,0),0)*$F$8/1000,""))</f>
        <v/>
      </c>
      <c r="AZ78" s="71"/>
      <c r="BA78" s="11" t="str">
        <f t="shared" si="48"/>
        <v/>
      </c>
      <c r="BB78" s="10" t="str">
        <f t="shared" si="28"/>
        <v/>
      </c>
      <c r="BC78" s="71"/>
      <c r="BD78" s="10" t="str">
        <f t="shared" si="49"/>
        <v/>
      </c>
      <c r="BE78" s="10" t="str">
        <f t="shared" si="29"/>
        <v/>
      </c>
      <c r="BF78" s="71"/>
      <c r="BG78" s="11" t="str">
        <f t="shared" si="50"/>
        <v/>
      </c>
      <c r="BH78" s="10" t="str">
        <f t="shared" si="30"/>
        <v/>
      </c>
      <c r="BJ78" s="7" t="str">
        <f t="shared" si="31"/>
        <v/>
      </c>
      <c r="BK78" s="158" t="str">
        <f t="shared" si="32"/>
        <v/>
      </c>
      <c r="BL78" s="158" t="str">
        <f t="shared" si="14"/>
        <v/>
      </c>
      <c r="BM78" s="10"/>
      <c r="BN78" s="10" t="str">
        <f t="shared" si="33"/>
        <v/>
      </c>
      <c r="BO78" s="10" t="str">
        <f t="shared" si="34"/>
        <v/>
      </c>
      <c r="BQ78" s="10" t="str">
        <f t="shared" si="51"/>
        <v/>
      </c>
      <c r="BR78" s="10" t="str">
        <f t="shared" si="35"/>
        <v/>
      </c>
    </row>
    <row r="79" spans="2:70" x14ac:dyDescent="0.15">
      <c r="E79" s="81" t="s">
        <v>139</v>
      </c>
      <c r="F79" s="91">
        <f>Z116/$BR$116</f>
        <v>9.99679460469481E-2</v>
      </c>
      <c r="G79" s="81" t="s">
        <v>132</v>
      </c>
      <c r="I79" s="458">
        <f t="shared" si="36"/>
        <v>2094</v>
      </c>
      <c r="J79" s="39"/>
      <c r="K79" s="39">
        <f t="shared" si="37"/>
        <v>65</v>
      </c>
      <c r="L79" s="39"/>
      <c r="M79" s="40">
        <f t="shared" ref="M79:M114" si="61">1/(1+($F$9/100))^K79</f>
        <v>0.14641325444882999</v>
      </c>
      <c r="N79" s="39"/>
      <c r="O79" s="72" t="str">
        <f t="shared" si="52"/>
        <v/>
      </c>
      <c r="P79" s="41" t="str">
        <f t="shared" ref="P79:P110" si="62">IF(K79&lt;=$F$15,IF(OR(P78=$F$124,P78="-"),"-",IF(O79*$F$123&gt;$F$127,$F$123,$F$124)),"")</f>
        <v/>
      </c>
      <c r="Q79" s="39"/>
      <c r="R79" s="72" t="str">
        <f t="shared" si="53"/>
        <v/>
      </c>
      <c r="S79" s="39"/>
      <c r="T79" s="72" t="str">
        <f t="shared" si="18"/>
        <v/>
      </c>
      <c r="U79" s="39"/>
      <c r="V79" s="72" t="str">
        <f t="shared" ref="V79:V114" si="63">IF(K79&lt;=$F$15,IF(K79&lt;$F$119,IF(P79="-",V78,O79*P79),IF(K79=$F$119,MIN(IF(P79="-",V78,O79*P79),O79),0)),"")</f>
        <v/>
      </c>
      <c r="W79" s="72" t="str">
        <f t="shared" si="54"/>
        <v/>
      </c>
      <c r="X79" s="39"/>
      <c r="Y79" s="72" t="str">
        <f t="shared" ref="Y79:Y114" si="64">IF($K79&lt;=$F$15,ROUNDDOWN(T79*$F$25/100,-2),"")</f>
        <v/>
      </c>
      <c r="Z79" s="72" t="str">
        <f t="shared" si="55"/>
        <v/>
      </c>
      <c r="AA79" s="39"/>
      <c r="AB79" s="72" t="str">
        <f t="shared" ref="AB79:AB114" si="65">IF($K79&lt;=$F$15,0,IF(AND($K79&gt;$F$15,$K79&lt;=$F$15+$F$28),$F$27*10^8/$F$28,""))</f>
        <v/>
      </c>
      <c r="AC79" s="72" t="str">
        <f t="shared" si="56"/>
        <v/>
      </c>
      <c r="AD79" s="39"/>
      <c r="AE79" s="72" t="str">
        <f t="shared" ref="AE79:AE114" si="66">IF($K79&lt;=$F$15,$F$26,"")</f>
        <v/>
      </c>
      <c r="AF79" s="72" t="str">
        <f t="shared" si="57"/>
        <v/>
      </c>
      <c r="AG79" s="39"/>
      <c r="AH79" s="72" t="str">
        <f t="shared" ref="AH79:AH114" si="67">IF($K79&lt;=$F$15,$F$33*10^8,"")</f>
        <v/>
      </c>
      <c r="AI79" s="72" t="str">
        <f t="shared" si="58"/>
        <v/>
      </c>
      <c r="AJ79" s="39"/>
      <c r="AK79" s="72" t="str">
        <f t="shared" ref="AK79:AK114" si="68">IF($K79&lt;=$F$15,$F$117*$F$34/100,"")</f>
        <v/>
      </c>
      <c r="AL79" s="72" t="str">
        <f t="shared" si="59"/>
        <v/>
      </c>
      <c r="AM79" s="39"/>
      <c r="AN79" s="72" t="str">
        <f t="shared" ref="AN79:AN114" si="69">IF($K79&lt;=$F$15,$F$117*$F$35/100,"")</f>
        <v/>
      </c>
      <c r="AO79" s="72" t="str">
        <f t="shared" si="60"/>
        <v/>
      </c>
      <c r="AP79" s="39"/>
      <c r="AQ79" s="72" t="str">
        <f t="shared" ref="AQ79:AQ114" si="70">IF($K79&lt;=$F$15,SUM(AH79,AK79,AN79)*($F$36/100),"")</f>
        <v/>
      </c>
      <c r="AR79" s="72" t="str">
        <f t="shared" si="26"/>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71">IF($K79&lt;=$F$15,($AT79+$F$142)*$F$137,"")</f>
        <v/>
      </c>
      <c r="AW79" s="72" t="str">
        <f t="shared" si="27"/>
        <v/>
      </c>
      <c r="AX79" s="39"/>
      <c r="AY79" s="40" t="str">
        <f>IF(ISERROR(IF($K79&lt;=$F$15,VLOOKUP($I79,'表4）CO2価格'!$A$7:$E$67,VLOOKUP($F$48,'表4）CO2価格'!$H$10:$I$12,2,0),0)*$F$8/1000,"")),0,IF($K79&lt;=$F$15,VLOOKUP($I79,'表4）CO2価格'!$A$7:$E$67,VLOOKUP($F$48,'表4）CO2価格'!$H$10:$I$12,2,0),0)*$F$8/1000,""))</f>
        <v/>
      </c>
      <c r="AZ79" s="39"/>
      <c r="BA79" s="42" t="str">
        <f t="shared" ref="BA79:BA114" si="72">IF($K79&lt;=$F$15,$F$145*AY79,"")</f>
        <v/>
      </c>
      <c r="BB79" s="72" t="str">
        <f t="shared" si="28"/>
        <v/>
      </c>
      <c r="BC79" s="39"/>
      <c r="BD79" s="72" t="str">
        <f t="shared" ref="BD79:BD114" si="73">IF($K79&lt;=$F$15,($AT79+$F$152)*$F$151,"")</f>
        <v/>
      </c>
      <c r="BE79" s="72" t="str">
        <f t="shared" si="29"/>
        <v/>
      </c>
      <c r="BF79" s="39"/>
      <c r="BG79" s="42" t="str">
        <f t="shared" ref="BG79:BG114" si="74">IF($K79&lt;=$F$15,$F$153*AY79,"")</f>
        <v/>
      </c>
      <c r="BH79" s="72" t="str">
        <f t="shared" si="30"/>
        <v/>
      </c>
      <c r="BI79" s="39"/>
      <c r="BJ79" s="40" t="str">
        <f t="shared" si="31"/>
        <v/>
      </c>
      <c r="BK79" s="157" t="str">
        <f t="shared" si="32"/>
        <v/>
      </c>
      <c r="BL79" s="157" t="str">
        <f t="shared" ref="BL79:BL114" si="75">IF(AND(ISNUMBER(BJ79),$K79&lt;=$F$16),BQ79*BJ79,"")</f>
        <v/>
      </c>
      <c r="BM79" s="72"/>
      <c r="BN79" s="72" t="str">
        <f t="shared" si="33"/>
        <v/>
      </c>
      <c r="BO79" s="72" t="str">
        <f t="shared" si="34"/>
        <v/>
      </c>
      <c r="BP79" s="39"/>
      <c r="BQ79" s="72" t="str">
        <f t="shared" ref="BQ79:BQ114" si="76">IF($K79&lt;=$F$15,$F$134,"")</f>
        <v/>
      </c>
      <c r="BR79" s="72" t="str">
        <f t="shared" si="35"/>
        <v/>
      </c>
    </row>
    <row r="80" spans="2:70" x14ac:dyDescent="0.15">
      <c r="E80" s="81" t="s">
        <v>115</v>
      </c>
      <c r="F80" s="91">
        <f>AF116/$BR$116</f>
        <v>0</v>
      </c>
      <c r="G80" s="81" t="s">
        <v>132</v>
      </c>
      <c r="I80" s="459">
        <f t="shared" si="36"/>
        <v>2095</v>
      </c>
      <c r="J80" s="71"/>
      <c r="K80" s="71">
        <f t="shared" si="37"/>
        <v>66</v>
      </c>
      <c r="L80" s="71"/>
      <c r="M80" s="7">
        <f t="shared" si="61"/>
        <v>0.14214879072701941</v>
      </c>
      <c r="N80" s="71"/>
      <c r="O80" s="10" t="str">
        <f t="shared" ref="O80:O114" si="77">IF(K80&lt;=$F$15,O79-V79,"")</f>
        <v/>
      </c>
      <c r="P80" s="29" t="str">
        <f t="shared" si="62"/>
        <v/>
      </c>
      <c r="Q80" s="71"/>
      <c r="R80" s="10" t="str">
        <f t="shared" ref="R80:R114" si="78">IF($K80&lt;=$F$15,MAX($F$117*5%,R79*$F$129),"")</f>
        <v/>
      </c>
      <c r="S80" s="71"/>
      <c r="T80" s="10" t="str">
        <f t="shared" ref="T80:T114" si="79">IF(ISNUMBER(R80),ROUNDDOWN(R80,-3),"")</f>
        <v/>
      </c>
      <c r="U80" s="71"/>
      <c r="V80" s="10" t="str">
        <f t="shared" si="63"/>
        <v/>
      </c>
      <c r="W80" s="10" t="str">
        <f t="shared" si="54"/>
        <v/>
      </c>
      <c r="X80" s="71"/>
      <c r="Y80" s="10" t="str">
        <f t="shared" si="64"/>
        <v/>
      </c>
      <c r="Z80" s="10" t="str">
        <f t="shared" si="55"/>
        <v/>
      </c>
      <c r="AA80" s="71"/>
      <c r="AB80" s="10" t="str">
        <f t="shared" si="65"/>
        <v/>
      </c>
      <c r="AC80" s="10" t="str">
        <f t="shared" si="56"/>
        <v/>
      </c>
      <c r="AD80" s="71"/>
      <c r="AE80" s="10" t="str">
        <f t="shared" si="66"/>
        <v/>
      </c>
      <c r="AF80" s="10" t="str">
        <f t="shared" si="57"/>
        <v/>
      </c>
      <c r="AG80" s="71"/>
      <c r="AH80" s="10" t="str">
        <f t="shared" si="67"/>
        <v/>
      </c>
      <c r="AI80" s="10" t="str">
        <f t="shared" si="58"/>
        <v/>
      </c>
      <c r="AJ80" s="71"/>
      <c r="AK80" s="10" t="str">
        <f t="shared" si="68"/>
        <v/>
      </c>
      <c r="AL80" s="10" t="str">
        <f t="shared" si="59"/>
        <v/>
      </c>
      <c r="AM80" s="71"/>
      <c r="AN80" s="10" t="str">
        <f t="shared" si="69"/>
        <v/>
      </c>
      <c r="AO80" s="10" t="str">
        <f t="shared" si="60"/>
        <v/>
      </c>
      <c r="AP80" s="71"/>
      <c r="AQ80" s="10" t="str">
        <f t="shared" si="70"/>
        <v/>
      </c>
      <c r="AR80" s="10" t="str">
        <f t="shared" ref="AR80:AR114" si="80">IF(ISNUMBER(AQ80),AQ80*$M80,"")</f>
        <v/>
      </c>
      <c r="AS80" s="71"/>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U80" s="71"/>
      <c r="AV80" s="10" t="str">
        <f t="shared" si="71"/>
        <v/>
      </c>
      <c r="AW80" s="10" t="str">
        <f t="shared" ref="AW80:AW114" si="81">IF(ISNUMBER(AV80),AV80*$M80,"")</f>
        <v/>
      </c>
      <c r="AX80" s="71"/>
      <c r="AY80" s="7" t="str">
        <f>IF(ISERROR(IF($K80&lt;=$F$15,VLOOKUP($I80,'表4）CO2価格'!$A$7:$E$67,VLOOKUP($F$48,'表4）CO2価格'!$H$10:$I$12,2,0),0)*$F$8/1000,"")),0,IF($K80&lt;=$F$15,VLOOKUP($I80,'表4）CO2価格'!$A$7:$E$67,VLOOKUP($F$48,'表4）CO2価格'!$H$10:$I$12,2,0),0)*$F$8/1000,""))</f>
        <v/>
      </c>
      <c r="AZ80" s="71"/>
      <c r="BA80" s="11" t="str">
        <f t="shared" si="72"/>
        <v/>
      </c>
      <c r="BB80" s="10" t="str">
        <f t="shared" ref="BB80:BB114" si="82">IF(ISNUMBER(BA80),BA80*$M80,"")</f>
        <v/>
      </c>
      <c r="BC80" s="71"/>
      <c r="BD80" s="10" t="str">
        <f t="shared" si="73"/>
        <v/>
      </c>
      <c r="BE80" s="10" t="str">
        <f t="shared" ref="BE80:BE114" si="83">IF(ISNUMBER(BD80),BD80*$M80,"")</f>
        <v/>
      </c>
      <c r="BF80" s="71"/>
      <c r="BG80" s="11" t="str">
        <f t="shared" si="74"/>
        <v/>
      </c>
      <c r="BH80" s="10" t="str">
        <f t="shared" ref="BH80:BH114" si="84">IF(ISNUMBER(BG80),BG80*$M80,"")</f>
        <v/>
      </c>
      <c r="BJ80" s="7" t="str">
        <f t="shared" ref="BJ80:BJ114" si="85">IF(ISNUMBER($F$16),IF($K80&lt;=$F$16+$F$28,1/(1+($F$17/100))^K80,""),"")</f>
        <v/>
      </c>
      <c r="BK80" s="158" t="str">
        <f t="shared" ref="BK80:BK114" si="86">IF(ISNUMBER($F$16),IF($K80&lt;=$F$16+$F$28,IF($K80&lt;=$F$16,SUM(Y80,AB80,AE80,AH80,AK80,AN80,AQ80,AV80,BA80,BD80,BG80),$F$27/$F$28*10^8)*BJ80,""),"")</f>
        <v/>
      </c>
      <c r="BL80" s="158" t="str">
        <f t="shared" si="75"/>
        <v/>
      </c>
      <c r="BM80" s="10"/>
      <c r="BN80" s="10" t="str">
        <f t="shared" ref="BN80:BN114" si="87">IF(AND(ISNUMBER($F$16),$K80&lt;=$F$16),BQ80*($O$15+$BK$116)/$BL$116,"")</f>
        <v/>
      </c>
      <c r="BO80" s="10" t="str">
        <f t="shared" ref="BO80:BO114" si="88">IF(ISNUMBER(BN80),BN80*$M80,"")</f>
        <v/>
      </c>
      <c r="BQ80" s="10" t="str">
        <f t="shared" si="76"/>
        <v/>
      </c>
      <c r="BR80" s="10" t="str">
        <f t="shared" ref="BR80:BR114" si="89">IF(ISNUMBER(BQ80),BQ80*$M80,"")</f>
        <v/>
      </c>
    </row>
    <row r="81" spans="4:70" x14ac:dyDescent="0.15">
      <c r="E81" s="82" t="s">
        <v>86</v>
      </c>
      <c r="F81" s="91">
        <f>AC116/$BR$116</f>
        <v>1.7516408806690795E-2</v>
      </c>
      <c r="G81" s="81" t="s">
        <v>132</v>
      </c>
      <c r="I81" s="458">
        <f t="shared" ref="I81:I114" si="90">I80+1</f>
        <v>2096</v>
      </c>
      <c r="J81" s="39"/>
      <c r="K81" s="39">
        <f t="shared" ref="K81:K114" si="91">IF(I81&lt;&gt;"",K80+1,"")</f>
        <v>67</v>
      </c>
      <c r="L81" s="39"/>
      <c r="M81" s="40">
        <f t="shared" si="61"/>
        <v>0.1380085346864266</v>
      </c>
      <c r="N81" s="39"/>
      <c r="O81" s="72" t="str">
        <f t="shared" si="77"/>
        <v/>
      </c>
      <c r="P81" s="41" t="str">
        <f t="shared" si="62"/>
        <v/>
      </c>
      <c r="Q81" s="39"/>
      <c r="R81" s="72" t="str">
        <f t="shared" si="78"/>
        <v/>
      </c>
      <c r="S81" s="39"/>
      <c r="T81" s="72" t="str">
        <f t="shared" si="79"/>
        <v/>
      </c>
      <c r="U81" s="39"/>
      <c r="V81" s="72" t="str">
        <f t="shared" si="63"/>
        <v/>
      </c>
      <c r="W81" s="72" t="str">
        <f t="shared" si="54"/>
        <v/>
      </c>
      <c r="X81" s="39"/>
      <c r="Y81" s="72" t="str">
        <f t="shared" si="64"/>
        <v/>
      </c>
      <c r="Z81" s="72" t="str">
        <f t="shared" si="55"/>
        <v/>
      </c>
      <c r="AA81" s="39"/>
      <c r="AB81" s="72" t="str">
        <f t="shared" si="65"/>
        <v/>
      </c>
      <c r="AC81" s="72" t="str">
        <f t="shared" si="56"/>
        <v/>
      </c>
      <c r="AD81" s="39"/>
      <c r="AE81" s="72" t="str">
        <f t="shared" si="66"/>
        <v/>
      </c>
      <c r="AF81" s="72" t="str">
        <f t="shared" si="57"/>
        <v/>
      </c>
      <c r="AG81" s="39"/>
      <c r="AH81" s="72" t="str">
        <f t="shared" si="67"/>
        <v/>
      </c>
      <c r="AI81" s="72" t="str">
        <f t="shared" si="58"/>
        <v/>
      </c>
      <c r="AJ81" s="39"/>
      <c r="AK81" s="72" t="str">
        <f t="shared" si="68"/>
        <v/>
      </c>
      <c r="AL81" s="72" t="str">
        <f t="shared" si="59"/>
        <v/>
      </c>
      <c r="AM81" s="39"/>
      <c r="AN81" s="72" t="str">
        <f t="shared" si="69"/>
        <v/>
      </c>
      <c r="AO81" s="72" t="str">
        <f t="shared" si="60"/>
        <v/>
      </c>
      <c r="AP81" s="39"/>
      <c r="AQ81" s="72" t="str">
        <f t="shared" si="70"/>
        <v/>
      </c>
      <c r="AR81" s="72" t="str">
        <f t="shared" si="80"/>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71"/>
        <v/>
      </c>
      <c r="AW81" s="72" t="str">
        <f t="shared" si="81"/>
        <v/>
      </c>
      <c r="AX81" s="39"/>
      <c r="AY81" s="40" t="str">
        <f>IF(ISERROR(IF($K81&lt;=$F$15,VLOOKUP($I81,'表4）CO2価格'!$A$7:$E$67,VLOOKUP($F$48,'表4）CO2価格'!$H$10:$I$12,2,0),0)*$F$8/1000,"")),0,IF($K81&lt;=$F$15,VLOOKUP($I81,'表4）CO2価格'!$A$7:$E$67,VLOOKUP($F$48,'表4）CO2価格'!$H$10:$I$12,2,0),0)*$F$8/1000,""))</f>
        <v/>
      </c>
      <c r="AZ81" s="39"/>
      <c r="BA81" s="42" t="str">
        <f t="shared" si="72"/>
        <v/>
      </c>
      <c r="BB81" s="72" t="str">
        <f t="shared" si="82"/>
        <v/>
      </c>
      <c r="BC81" s="39"/>
      <c r="BD81" s="72" t="str">
        <f t="shared" si="73"/>
        <v/>
      </c>
      <c r="BE81" s="72" t="str">
        <f t="shared" si="83"/>
        <v/>
      </c>
      <c r="BF81" s="39"/>
      <c r="BG81" s="42" t="str">
        <f t="shared" si="74"/>
        <v/>
      </c>
      <c r="BH81" s="72" t="str">
        <f t="shared" si="84"/>
        <v/>
      </c>
      <c r="BI81" s="39"/>
      <c r="BJ81" s="40" t="str">
        <f t="shared" si="85"/>
        <v/>
      </c>
      <c r="BK81" s="157" t="str">
        <f t="shared" si="86"/>
        <v/>
      </c>
      <c r="BL81" s="157" t="str">
        <f t="shared" si="75"/>
        <v/>
      </c>
      <c r="BM81" s="72"/>
      <c r="BN81" s="72" t="str">
        <f t="shared" si="87"/>
        <v/>
      </c>
      <c r="BO81" s="72" t="str">
        <f t="shared" si="88"/>
        <v/>
      </c>
      <c r="BP81" s="39"/>
      <c r="BQ81" s="72" t="str">
        <f t="shared" si="76"/>
        <v/>
      </c>
      <c r="BR81" s="72" t="str">
        <f t="shared" si="89"/>
        <v/>
      </c>
    </row>
    <row r="82" spans="4:70" x14ac:dyDescent="0.15">
      <c r="F82" s="93"/>
      <c r="I82" s="459">
        <f t="shared" si="90"/>
        <v>2097</v>
      </c>
      <c r="J82" s="71"/>
      <c r="K82" s="71">
        <f t="shared" si="91"/>
        <v>68</v>
      </c>
      <c r="L82" s="71"/>
      <c r="M82" s="7">
        <f t="shared" si="61"/>
        <v>0.13398886862759865</v>
      </c>
      <c r="N82" s="71"/>
      <c r="O82" s="10" t="str">
        <f t="shared" si="77"/>
        <v/>
      </c>
      <c r="P82" s="29" t="str">
        <f t="shared" si="62"/>
        <v/>
      </c>
      <c r="Q82" s="71"/>
      <c r="R82" s="10" t="str">
        <f t="shared" si="78"/>
        <v/>
      </c>
      <c r="S82" s="71"/>
      <c r="T82" s="10" t="str">
        <f t="shared" si="79"/>
        <v/>
      </c>
      <c r="U82" s="71"/>
      <c r="V82" s="10" t="str">
        <f t="shared" si="63"/>
        <v/>
      </c>
      <c r="W82" s="10" t="str">
        <f t="shared" si="54"/>
        <v/>
      </c>
      <c r="X82" s="71"/>
      <c r="Y82" s="10" t="str">
        <f t="shared" si="64"/>
        <v/>
      </c>
      <c r="Z82" s="10" t="str">
        <f t="shared" si="55"/>
        <v/>
      </c>
      <c r="AA82" s="71"/>
      <c r="AB82" s="10" t="str">
        <f t="shared" si="65"/>
        <v/>
      </c>
      <c r="AC82" s="10" t="str">
        <f t="shared" si="56"/>
        <v/>
      </c>
      <c r="AD82" s="71"/>
      <c r="AE82" s="10" t="str">
        <f t="shared" si="66"/>
        <v/>
      </c>
      <c r="AF82" s="10" t="str">
        <f t="shared" si="57"/>
        <v/>
      </c>
      <c r="AG82" s="71"/>
      <c r="AH82" s="10" t="str">
        <f t="shared" si="67"/>
        <v/>
      </c>
      <c r="AI82" s="10" t="str">
        <f t="shared" si="58"/>
        <v/>
      </c>
      <c r="AJ82" s="71"/>
      <c r="AK82" s="10" t="str">
        <f t="shared" si="68"/>
        <v/>
      </c>
      <c r="AL82" s="10" t="str">
        <f t="shared" si="59"/>
        <v/>
      </c>
      <c r="AM82" s="71"/>
      <c r="AN82" s="10" t="str">
        <f t="shared" si="69"/>
        <v/>
      </c>
      <c r="AO82" s="10" t="str">
        <f t="shared" si="60"/>
        <v/>
      </c>
      <c r="AP82" s="71"/>
      <c r="AQ82" s="10" t="str">
        <f t="shared" si="70"/>
        <v/>
      </c>
      <c r="AR82" s="10" t="str">
        <f t="shared" si="80"/>
        <v/>
      </c>
      <c r="AS82" s="71"/>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U82" s="71"/>
      <c r="AV82" s="10" t="str">
        <f t="shared" si="71"/>
        <v/>
      </c>
      <c r="AW82" s="10" t="str">
        <f t="shared" si="81"/>
        <v/>
      </c>
      <c r="AX82" s="71"/>
      <c r="AY82" s="7" t="str">
        <f>IF(ISERROR(IF($K82&lt;=$F$15,VLOOKUP($I82,'表4）CO2価格'!$A$7:$E$67,VLOOKUP($F$48,'表4）CO2価格'!$H$10:$I$12,2,0),0)*$F$8/1000,"")),0,IF($K82&lt;=$F$15,VLOOKUP($I82,'表4）CO2価格'!$A$7:$E$67,VLOOKUP($F$48,'表4）CO2価格'!$H$10:$I$12,2,0),0)*$F$8/1000,""))</f>
        <v/>
      </c>
      <c r="AZ82" s="71"/>
      <c r="BA82" s="11" t="str">
        <f t="shared" si="72"/>
        <v/>
      </c>
      <c r="BB82" s="10" t="str">
        <f t="shared" si="82"/>
        <v/>
      </c>
      <c r="BC82" s="71"/>
      <c r="BD82" s="10" t="str">
        <f t="shared" si="73"/>
        <v/>
      </c>
      <c r="BE82" s="10" t="str">
        <f t="shared" si="83"/>
        <v/>
      </c>
      <c r="BF82" s="71"/>
      <c r="BG82" s="11" t="str">
        <f t="shared" si="74"/>
        <v/>
      </c>
      <c r="BH82" s="10" t="str">
        <f t="shared" si="84"/>
        <v/>
      </c>
      <c r="BJ82" s="7" t="str">
        <f t="shared" si="85"/>
        <v/>
      </c>
      <c r="BK82" s="158" t="str">
        <f t="shared" si="86"/>
        <v/>
      </c>
      <c r="BL82" s="158" t="str">
        <f t="shared" si="75"/>
        <v/>
      </c>
      <c r="BM82" s="10"/>
      <c r="BN82" s="10" t="str">
        <f t="shared" si="87"/>
        <v/>
      </c>
      <c r="BO82" s="10" t="str">
        <f t="shared" si="88"/>
        <v/>
      </c>
      <c r="BQ82" s="10" t="str">
        <f t="shared" si="76"/>
        <v/>
      </c>
      <c r="BR82" s="10" t="str">
        <f t="shared" si="89"/>
        <v/>
      </c>
    </row>
    <row r="83" spans="4:70" ht="15" x14ac:dyDescent="0.15">
      <c r="D83" s="116" t="s">
        <v>194</v>
      </c>
      <c r="F83" s="94">
        <f>SUBTOTAL(9,F87:F90)</f>
        <v>1.2029017661382355</v>
      </c>
      <c r="G83" s="81" t="s">
        <v>132</v>
      </c>
      <c r="I83" s="458">
        <f>I82+1</f>
        <v>2098</v>
      </c>
      <c r="J83" s="39"/>
      <c r="K83" s="39">
        <f>IF(I83&lt;&gt;"",K82+1,"")</f>
        <v>69</v>
      </c>
      <c r="L83" s="39"/>
      <c r="M83" s="40">
        <f t="shared" si="61"/>
        <v>0.13008628022096957</v>
      </c>
      <c r="N83" s="39"/>
      <c r="O83" s="72" t="str">
        <f t="shared" si="77"/>
        <v/>
      </c>
      <c r="P83" s="41" t="str">
        <f t="shared" si="62"/>
        <v/>
      </c>
      <c r="Q83" s="39"/>
      <c r="R83" s="72" t="str">
        <f t="shared" si="78"/>
        <v/>
      </c>
      <c r="S83" s="39"/>
      <c r="T83" s="72" t="str">
        <f t="shared" si="79"/>
        <v/>
      </c>
      <c r="U83" s="39"/>
      <c r="V83" s="72" t="str">
        <f t="shared" si="63"/>
        <v/>
      </c>
      <c r="W83" s="72" t="str">
        <f t="shared" ref="W83:W114" si="92">IF(ISNUMBER(V83),V83*$M83,"")</f>
        <v/>
      </c>
      <c r="X83" s="39"/>
      <c r="Y83" s="72" t="str">
        <f t="shared" si="64"/>
        <v/>
      </c>
      <c r="Z83" s="72" t="str">
        <f t="shared" ref="Z83:Z114" si="93">IF(ISNUMBER(Y83),Y83*$M83,"")</f>
        <v/>
      </c>
      <c r="AA83" s="39"/>
      <c r="AB83" s="72" t="str">
        <f t="shared" si="65"/>
        <v/>
      </c>
      <c r="AC83" s="72" t="str">
        <f t="shared" ref="AC83:AC114" si="94">IF(ISNUMBER(AB83),AB83*$M83,"")</f>
        <v/>
      </c>
      <c r="AD83" s="39"/>
      <c r="AE83" s="72" t="str">
        <f t="shared" si="66"/>
        <v/>
      </c>
      <c r="AF83" s="72" t="str">
        <f t="shared" ref="AF83:AF114" si="95">IF(ISNUMBER(AE83),AE83*$M83,"")</f>
        <v/>
      </c>
      <c r="AG83" s="39"/>
      <c r="AH83" s="72" t="str">
        <f t="shared" si="67"/>
        <v/>
      </c>
      <c r="AI83" s="72" t="str">
        <f t="shared" ref="AI83:AI114" si="96">IF(ISNUMBER(AH83),AH83*$M83,"")</f>
        <v/>
      </c>
      <c r="AJ83" s="39"/>
      <c r="AK83" s="72" t="str">
        <f t="shared" si="68"/>
        <v/>
      </c>
      <c r="AL83" s="72" t="str">
        <f t="shared" ref="AL83:AL114" si="97">IF(ISNUMBER(AK83),AK83*$M83,"")</f>
        <v/>
      </c>
      <c r="AM83" s="39"/>
      <c r="AN83" s="72" t="str">
        <f t="shared" si="69"/>
        <v/>
      </c>
      <c r="AO83" s="72" t="str">
        <f t="shared" ref="AO83:AO114" si="98">IF(ISNUMBER(AN83),AN83*$M83,"")</f>
        <v/>
      </c>
      <c r="AP83" s="39"/>
      <c r="AQ83" s="72" t="str">
        <f t="shared" si="70"/>
        <v/>
      </c>
      <c r="AR83" s="72" t="str">
        <f t="shared" si="80"/>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71"/>
        <v/>
      </c>
      <c r="AW83" s="72" t="str">
        <f t="shared" si="81"/>
        <v/>
      </c>
      <c r="AX83" s="39"/>
      <c r="AY83" s="40" t="str">
        <f>IF(ISERROR(IF($K83&lt;=$F$15,VLOOKUP($I83,'表4）CO2価格'!$A$7:$E$67,VLOOKUP($F$48,'表4）CO2価格'!$H$10:$I$12,2,0),0)*$F$8/1000,"")),0,IF($K83&lt;=$F$15,VLOOKUP($I83,'表4）CO2価格'!$A$7:$E$67,VLOOKUP($F$48,'表4）CO2価格'!$H$10:$I$12,2,0),0)*$F$8/1000,""))</f>
        <v/>
      </c>
      <c r="AZ83" s="39"/>
      <c r="BA83" s="42" t="str">
        <f t="shared" si="72"/>
        <v/>
      </c>
      <c r="BB83" s="72" t="str">
        <f t="shared" si="82"/>
        <v/>
      </c>
      <c r="BC83" s="39"/>
      <c r="BD83" s="72" t="str">
        <f t="shared" si="73"/>
        <v/>
      </c>
      <c r="BE83" s="72" t="str">
        <f t="shared" si="83"/>
        <v/>
      </c>
      <c r="BF83" s="39"/>
      <c r="BG83" s="42" t="str">
        <f t="shared" si="74"/>
        <v/>
      </c>
      <c r="BH83" s="72" t="str">
        <f t="shared" si="84"/>
        <v/>
      </c>
      <c r="BI83" s="39"/>
      <c r="BJ83" s="40" t="str">
        <f t="shared" si="85"/>
        <v/>
      </c>
      <c r="BK83" s="157" t="str">
        <f t="shared" si="86"/>
        <v/>
      </c>
      <c r="BL83" s="157" t="str">
        <f t="shared" si="75"/>
        <v/>
      </c>
      <c r="BM83" s="72"/>
      <c r="BN83" s="72" t="str">
        <f t="shared" si="87"/>
        <v/>
      </c>
      <c r="BO83" s="72" t="str">
        <f t="shared" si="88"/>
        <v/>
      </c>
      <c r="BP83" s="39"/>
      <c r="BQ83" s="72" t="str">
        <f t="shared" si="76"/>
        <v/>
      </c>
      <c r="BR83" s="72" t="str">
        <f t="shared" si="89"/>
        <v/>
      </c>
    </row>
    <row r="84" spans="4:70" x14ac:dyDescent="0.15">
      <c r="F84" s="93"/>
      <c r="I84" s="459">
        <f t="shared" si="90"/>
        <v>2099</v>
      </c>
      <c r="J84" s="71"/>
      <c r="K84" s="71">
        <f t="shared" si="91"/>
        <v>70</v>
      </c>
      <c r="L84" s="71"/>
      <c r="M84" s="7">
        <f t="shared" si="61"/>
        <v>0.12629735943783454</v>
      </c>
      <c r="N84" s="71"/>
      <c r="O84" s="10" t="str">
        <f t="shared" si="77"/>
        <v/>
      </c>
      <c r="P84" s="29" t="str">
        <f t="shared" si="62"/>
        <v/>
      </c>
      <c r="Q84" s="71"/>
      <c r="R84" s="10" t="str">
        <f t="shared" si="78"/>
        <v/>
      </c>
      <c r="S84" s="71"/>
      <c r="T84" s="10" t="str">
        <f t="shared" si="79"/>
        <v/>
      </c>
      <c r="U84" s="71"/>
      <c r="V84" s="10" t="str">
        <f t="shared" si="63"/>
        <v/>
      </c>
      <c r="W84" s="10" t="str">
        <f t="shared" si="92"/>
        <v/>
      </c>
      <c r="X84" s="71"/>
      <c r="Y84" s="10" t="str">
        <f t="shared" si="64"/>
        <v/>
      </c>
      <c r="Z84" s="10" t="str">
        <f t="shared" si="93"/>
        <v/>
      </c>
      <c r="AA84" s="71"/>
      <c r="AB84" s="10" t="str">
        <f t="shared" si="65"/>
        <v/>
      </c>
      <c r="AC84" s="10" t="str">
        <f t="shared" si="94"/>
        <v/>
      </c>
      <c r="AD84" s="71"/>
      <c r="AE84" s="10" t="str">
        <f t="shared" si="66"/>
        <v/>
      </c>
      <c r="AF84" s="10" t="str">
        <f t="shared" si="95"/>
        <v/>
      </c>
      <c r="AG84" s="71"/>
      <c r="AH84" s="10" t="str">
        <f t="shared" si="67"/>
        <v/>
      </c>
      <c r="AI84" s="10" t="str">
        <f t="shared" si="96"/>
        <v/>
      </c>
      <c r="AJ84" s="71"/>
      <c r="AK84" s="10" t="str">
        <f t="shared" si="68"/>
        <v/>
      </c>
      <c r="AL84" s="10" t="str">
        <f t="shared" si="97"/>
        <v/>
      </c>
      <c r="AM84" s="71"/>
      <c r="AN84" s="10" t="str">
        <f t="shared" si="69"/>
        <v/>
      </c>
      <c r="AO84" s="10" t="str">
        <f t="shared" si="98"/>
        <v/>
      </c>
      <c r="AP84" s="71"/>
      <c r="AQ84" s="10" t="str">
        <f t="shared" si="70"/>
        <v/>
      </c>
      <c r="AR84" s="10" t="str">
        <f t="shared" si="80"/>
        <v/>
      </c>
      <c r="AS84" s="71"/>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U84" s="71"/>
      <c r="AV84" s="10" t="str">
        <f t="shared" si="71"/>
        <v/>
      </c>
      <c r="AW84" s="10" t="str">
        <f t="shared" si="81"/>
        <v/>
      </c>
      <c r="AX84" s="71"/>
      <c r="AY84" s="7" t="str">
        <f>IF(ISERROR(IF($K84&lt;=$F$15,VLOOKUP($I84,'表4）CO2価格'!$A$7:$E$67,VLOOKUP($F$48,'表4）CO2価格'!$H$10:$I$12,2,0),0)*$F$8/1000,"")),0,IF($K84&lt;=$F$15,VLOOKUP($I84,'表4）CO2価格'!$A$7:$E$67,VLOOKUP($F$48,'表4）CO2価格'!$H$10:$I$12,2,0),0)*$F$8/1000,""))</f>
        <v/>
      </c>
      <c r="AZ84" s="71"/>
      <c r="BA84" s="11" t="str">
        <f t="shared" si="72"/>
        <v/>
      </c>
      <c r="BB84" s="10" t="str">
        <f t="shared" si="82"/>
        <v/>
      </c>
      <c r="BC84" s="71"/>
      <c r="BD84" s="10" t="str">
        <f t="shared" si="73"/>
        <v/>
      </c>
      <c r="BE84" s="10" t="str">
        <f t="shared" si="83"/>
        <v/>
      </c>
      <c r="BF84" s="71"/>
      <c r="BG84" s="11" t="str">
        <f t="shared" si="74"/>
        <v/>
      </c>
      <c r="BH84" s="10" t="str">
        <f t="shared" si="84"/>
        <v/>
      </c>
      <c r="BJ84" s="7" t="str">
        <f t="shared" si="85"/>
        <v/>
      </c>
      <c r="BK84" s="158" t="str">
        <f t="shared" si="86"/>
        <v/>
      </c>
      <c r="BL84" s="158" t="str">
        <f t="shared" si="75"/>
        <v/>
      </c>
      <c r="BM84" s="10"/>
      <c r="BN84" s="10" t="str">
        <f t="shared" si="87"/>
        <v/>
      </c>
      <c r="BO84" s="10" t="str">
        <f t="shared" si="88"/>
        <v/>
      </c>
      <c r="BQ84" s="10" t="str">
        <f t="shared" si="76"/>
        <v/>
      </c>
      <c r="BR84" s="10" t="str">
        <f t="shared" si="89"/>
        <v/>
      </c>
    </row>
    <row r="85" spans="4:70" x14ac:dyDescent="0.15">
      <c r="D85" s="101" t="s">
        <v>195</v>
      </c>
      <c r="E85" s="113"/>
      <c r="F85" s="92"/>
      <c r="G85" s="101"/>
      <c r="I85" s="458">
        <f t="shared" si="90"/>
        <v>2100</v>
      </c>
      <c r="J85" s="39"/>
      <c r="K85" s="39">
        <f t="shared" si="91"/>
        <v>71</v>
      </c>
      <c r="L85" s="39"/>
      <c r="M85" s="40">
        <f t="shared" si="61"/>
        <v>0.12261879557071313</v>
      </c>
      <c r="N85" s="39"/>
      <c r="O85" s="72" t="str">
        <f t="shared" si="77"/>
        <v/>
      </c>
      <c r="P85" s="41" t="str">
        <f t="shared" si="62"/>
        <v/>
      </c>
      <c r="Q85" s="39"/>
      <c r="R85" s="72" t="str">
        <f t="shared" si="78"/>
        <v/>
      </c>
      <c r="S85" s="39"/>
      <c r="T85" s="72" t="str">
        <f t="shared" si="79"/>
        <v/>
      </c>
      <c r="U85" s="39"/>
      <c r="V85" s="72" t="str">
        <f t="shared" si="63"/>
        <v/>
      </c>
      <c r="W85" s="72" t="str">
        <f t="shared" si="92"/>
        <v/>
      </c>
      <c r="X85" s="39"/>
      <c r="Y85" s="72" t="str">
        <f t="shared" si="64"/>
        <v/>
      </c>
      <c r="Z85" s="72" t="str">
        <f t="shared" si="93"/>
        <v/>
      </c>
      <c r="AA85" s="39"/>
      <c r="AB85" s="72" t="str">
        <f t="shared" si="65"/>
        <v/>
      </c>
      <c r="AC85" s="72" t="str">
        <f t="shared" si="94"/>
        <v/>
      </c>
      <c r="AD85" s="39"/>
      <c r="AE85" s="72" t="str">
        <f t="shared" si="66"/>
        <v/>
      </c>
      <c r="AF85" s="72" t="str">
        <f t="shared" si="95"/>
        <v/>
      </c>
      <c r="AG85" s="39"/>
      <c r="AH85" s="72" t="str">
        <f t="shared" si="67"/>
        <v/>
      </c>
      <c r="AI85" s="72" t="str">
        <f t="shared" si="96"/>
        <v/>
      </c>
      <c r="AJ85" s="39"/>
      <c r="AK85" s="72" t="str">
        <f t="shared" si="68"/>
        <v/>
      </c>
      <c r="AL85" s="72" t="str">
        <f t="shared" si="97"/>
        <v/>
      </c>
      <c r="AM85" s="39"/>
      <c r="AN85" s="72" t="str">
        <f t="shared" si="69"/>
        <v/>
      </c>
      <c r="AO85" s="72" t="str">
        <f t="shared" si="98"/>
        <v/>
      </c>
      <c r="AP85" s="39"/>
      <c r="AQ85" s="72" t="str">
        <f t="shared" si="70"/>
        <v/>
      </c>
      <c r="AR85" s="72" t="str">
        <f t="shared" si="80"/>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71"/>
        <v/>
      </c>
      <c r="AW85" s="72" t="str">
        <f t="shared" si="81"/>
        <v/>
      </c>
      <c r="AX85" s="39"/>
      <c r="AY85" s="40" t="str">
        <f>IF(ISERROR(IF($K85&lt;=$F$15,VLOOKUP($I85,'表4）CO2価格'!$A$7:$E$67,VLOOKUP($F$48,'表4）CO2価格'!$H$10:$I$12,2,0),0)*$F$8/1000,"")),0,IF($K85&lt;=$F$15,VLOOKUP($I85,'表4）CO2価格'!$A$7:$E$67,VLOOKUP($F$48,'表4）CO2価格'!$H$10:$I$12,2,0),0)*$F$8/1000,""))</f>
        <v/>
      </c>
      <c r="AZ85" s="39"/>
      <c r="BA85" s="42" t="str">
        <f t="shared" si="72"/>
        <v/>
      </c>
      <c r="BB85" s="72" t="str">
        <f t="shared" si="82"/>
        <v/>
      </c>
      <c r="BC85" s="39"/>
      <c r="BD85" s="72" t="str">
        <f t="shared" si="73"/>
        <v/>
      </c>
      <c r="BE85" s="72" t="str">
        <f t="shared" si="83"/>
        <v/>
      </c>
      <c r="BF85" s="39"/>
      <c r="BG85" s="42" t="str">
        <f t="shared" si="74"/>
        <v/>
      </c>
      <c r="BH85" s="72" t="str">
        <f t="shared" si="84"/>
        <v/>
      </c>
      <c r="BI85" s="39"/>
      <c r="BJ85" s="40" t="str">
        <f t="shared" si="85"/>
        <v/>
      </c>
      <c r="BK85" s="157" t="str">
        <f t="shared" si="86"/>
        <v/>
      </c>
      <c r="BL85" s="157" t="str">
        <f t="shared" si="75"/>
        <v/>
      </c>
      <c r="BM85" s="72"/>
      <c r="BN85" s="72" t="str">
        <f t="shared" si="87"/>
        <v/>
      </c>
      <c r="BO85" s="72" t="str">
        <f t="shared" si="88"/>
        <v/>
      </c>
      <c r="BP85" s="39"/>
      <c r="BQ85" s="72" t="str">
        <f t="shared" si="76"/>
        <v/>
      </c>
      <c r="BR85" s="72" t="str">
        <f t="shared" si="89"/>
        <v/>
      </c>
    </row>
    <row r="86" spans="4:70" x14ac:dyDescent="0.15">
      <c r="F86" s="93"/>
      <c r="I86" s="459">
        <f t="shared" si="90"/>
        <v>2101</v>
      </c>
      <c r="J86" s="71"/>
      <c r="K86" s="71">
        <f t="shared" si="91"/>
        <v>72</v>
      </c>
      <c r="L86" s="71"/>
      <c r="M86" s="7">
        <f t="shared" si="61"/>
        <v>0.1190473743404982</v>
      </c>
      <c r="N86" s="71"/>
      <c r="O86" s="10" t="str">
        <f t="shared" si="77"/>
        <v/>
      </c>
      <c r="P86" s="29" t="str">
        <f t="shared" si="62"/>
        <v/>
      </c>
      <c r="Q86" s="71"/>
      <c r="R86" s="10" t="str">
        <f t="shared" si="78"/>
        <v/>
      </c>
      <c r="S86" s="71"/>
      <c r="T86" s="10" t="str">
        <f t="shared" si="79"/>
        <v/>
      </c>
      <c r="U86" s="71"/>
      <c r="V86" s="10" t="str">
        <f t="shared" si="63"/>
        <v/>
      </c>
      <c r="W86" s="10" t="str">
        <f t="shared" si="92"/>
        <v/>
      </c>
      <c r="X86" s="71"/>
      <c r="Y86" s="10" t="str">
        <f t="shared" si="64"/>
        <v/>
      </c>
      <c r="Z86" s="10" t="str">
        <f t="shared" si="93"/>
        <v/>
      </c>
      <c r="AA86" s="71"/>
      <c r="AB86" s="10" t="str">
        <f t="shared" si="65"/>
        <v/>
      </c>
      <c r="AC86" s="10" t="str">
        <f t="shared" si="94"/>
        <v/>
      </c>
      <c r="AD86" s="71"/>
      <c r="AE86" s="10" t="str">
        <f t="shared" si="66"/>
        <v/>
      </c>
      <c r="AF86" s="10" t="str">
        <f t="shared" si="95"/>
        <v/>
      </c>
      <c r="AG86" s="71"/>
      <c r="AH86" s="10" t="str">
        <f t="shared" si="67"/>
        <v/>
      </c>
      <c r="AI86" s="10" t="str">
        <f t="shared" si="96"/>
        <v/>
      </c>
      <c r="AJ86" s="71"/>
      <c r="AK86" s="10" t="str">
        <f t="shared" si="68"/>
        <v/>
      </c>
      <c r="AL86" s="10" t="str">
        <f t="shared" si="97"/>
        <v/>
      </c>
      <c r="AM86" s="71"/>
      <c r="AN86" s="10" t="str">
        <f t="shared" si="69"/>
        <v/>
      </c>
      <c r="AO86" s="10" t="str">
        <f t="shared" si="98"/>
        <v/>
      </c>
      <c r="AP86" s="71"/>
      <c r="AQ86" s="10" t="str">
        <f t="shared" si="70"/>
        <v/>
      </c>
      <c r="AR86" s="10" t="str">
        <f t="shared" si="80"/>
        <v/>
      </c>
      <c r="AS86" s="71"/>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U86" s="71"/>
      <c r="AV86" s="10" t="str">
        <f t="shared" si="71"/>
        <v/>
      </c>
      <c r="AW86" s="10" t="str">
        <f t="shared" si="81"/>
        <v/>
      </c>
      <c r="AX86" s="71"/>
      <c r="AY86" s="7" t="str">
        <f>IF(ISERROR(IF($K86&lt;=$F$15,VLOOKUP($I86,'表4）CO2価格'!$A$7:$E$67,VLOOKUP($F$48,'表4）CO2価格'!$H$10:$I$12,2,0),0)*$F$8/1000,"")),0,IF($K86&lt;=$F$15,VLOOKUP($I86,'表4）CO2価格'!$A$7:$E$67,VLOOKUP($F$48,'表4）CO2価格'!$H$10:$I$12,2,0),0)*$F$8/1000,""))</f>
        <v/>
      </c>
      <c r="AZ86" s="71"/>
      <c r="BA86" s="11" t="str">
        <f t="shared" si="72"/>
        <v/>
      </c>
      <c r="BB86" s="10" t="str">
        <f t="shared" si="82"/>
        <v/>
      </c>
      <c r="BC86" s="71"/>
      <c r="BD86" s="10" t="str">
        <f t="shared" si="73"/>
        <v/>
      </c>
      <c r="BE86" s="10" t="str">
        <f t="shared" si="83"/>
        <v/>
      </c>
      <c r="BF86" s="71"/>
      <c r="BG86" s="11" t="str">
        <f t="shared" si="74"/>
        <v/>
      </c>
      <c r="BH86" s="10" t="str">
        <f t="shared" si="84"/>
        <v/>
      </c>
      <c r="BJ86" s="7" t="str">
        <f t="shared" si="85"/>
        <v/>
      </c>
      <c r="BK86" s="158" t="str">
        <f t="shared" si="86"/>
        <v/>
      </c>
      <c r="BL86" s="158" t="str">
        <f t="shared" si="75"/>
        <v/>
      </c>
      <c r="BM86" s="10"/>
      <c r="BN86" s="10" t="str">
        <f t="shared" si="87"/>
        <v/>
      </c>
      <c r="BO86" s="10" t="str">
        <f t="shared" si="88"/>
        <v/>
      </c>
      <c r="BQ86" s="10" t="str">
        <f t="shared" si="76"/>
        <v/>
      </c>
      <c r="BR86" s="10" t="str">
        <f t="shared" si="89"/>
        <v/>
      </c>
    </row>
    <row r="87" spans="4:70" x14ac:dyDescent="0.15">
      <c r="E87" s="81" t="s">
        <v>141</v>
      </c>
      <c r="F87" s="91">
        <f>AI116/$BR$116</f>
        <v>0.1217519859418088</v>
      </c>
      <c r="G87" s="81" t="s">
        <v>132</v>
      </c>
      <c r="I87" s="458">
        <f t="shared" si="90"/>
        <v>2102</v>
      </c>
      <c r="J87" s="39"/>
      <c r="K87" s="39">
        <f t="shared" si="91"/>
        <v>73</v>
      </c>
      <c r="L87" s="39"/>
      <c r="M87" s="40">
        <f t="shared" si="61"/>
        <v>0.11557997508786232</v>
      </c>
      <c r="N87" s="39"/>
      <c r="O87" s="72" t="str">
        <f t="shared" si="77"/>
        <v/>
      </c>
      <c r="P87" s="41" t="str">
        <f t="shared" si="62"/>
        <v/>
      </c>
      <c r="Q87" s="39"/>
      <c r="R87" s="72" t="str">
        <f t="shared" si="78"/>
        <v/>
      </c>
      <c r="S87" s="39"/>
      <c r="T87" s="72" t="str">
        <f t="shared" si="79"/>
        <v/>
      </c>
      <c r="U87" s="39"/>
      <c r="V87" s="72" t="str">
        <f t="shared" si="63"/>
        <v/>
      </c>
      <c r="W87" s="72" t="str">
        <f t="shared" si="92"/>
        <v/>
      </c>
      <c r="X87" s="39"/>
      <c r="Y87" s="72" t="str">
        <f t="shared" si="64"/>
        <v/>
      </c>
      <c r="Z87" s="72" t="str">
        <f t="shared" si="93"/>
        <v/>
      </c>
      <c r="AA87" s="39"/>
      <c r="AB87" s="72" t="str">
        <f t="shared" si="65"/>
        <v/>
      </c>
      <c r="AC87" s="72" t="str">
        <f t="shared" si="94"/>
        <v/>
      </c>
      <c r="AD87" s="39"/>
      <c r="AE87" s="72" t="str">
        <f t="shared" si="66"/>
        <v/>
      </c>
      <c r="AF87" s="72" t="str">
        <f t="shared" si="95"/>
        <v/>
      </c>
      <c r="AG87" s="39"/>
      <c r="AH87" s="72" t="str">
        <f t="shared" si="67"/>
        <v/>
      </c>
      <c r="AI87" s="72" t="str">
        <f t="shared" si="96"/>
        <v/>
      </c>
      <c r="AJ87" s="39"/>
      <c r="AK87" s="72" t="str">
        <f t="shared" si="68"/>
        <v/>
      </c>
      <c r="AL87" s="72" t="str">
        <f t="shared" si="97"/>
        <v/>
      </c>
      <c r="AM87" s="39"/>
      <c r="AN87" s="72" t="str">
        <f t="shared" si="69"/>
        <v/>
      </c>
      <c r="AO87" s="72" t="str">
        <f t="shared" si="98"/>
        <v/>
      </c>
      <c r="AP87" s="39"/>
      <c r="AQ87" s="72" t="str">
        <f t="shared" si="70"/>
        <v/>
      </c>
      <c r="AR87" s="72" t="str">
        <f t="shared" si="80"/>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71"/>
        <v/>
      </c>
      <c r="AW87" s="72" t="str">
        <f t="shared" si="81"/>
        <v/>
      </c>
      <c r="AX87" s="39"/>
      <c r="AY87" s="40" t="str">
        <f>IF(ISERROR(IF($K87&lt;=$F$15,VLOOKUP($I87,'表4）CO2価格'!$A$7:$E$67,VLOOKUP($F$48,'表4）CO2価格'!$H$10:$I$12,2,0),0)*$F$8/1000,"")),0,IF($K87&lt;=$F$15,VLOOKUP($I87,'表4）CO2価格'!$A$7:$E$67,VLOOKUP($F$48,'表4）CO2価格'!$H$10:$I$12,2,0),0)*$F$8/1000,""))</f>
        <v/>
      </c>
      <c r="AZ87" s="39"/>
      <c r="BA87" s="42" t="str">
        <f t="shared" si="72"/>
        <v/>
      </c>
      <c r="BB87" s="72" t="str">
        <f t="shared" si="82"/>
        <v/>
      </c>
      <c r="BC87" s="39"/>
      <c r="BD87" s="72" t="str">
        <f t="shared" si="73"/>
        <v/>
      </c>
      <c r="BE87" s="72" t="str">
        <f t="shared" si="83"/>
        <v/>
      </c>
      <c r="BF87" s="39"/>
      <c r="BG87" s="42" t="str">
        <f t="shared" si="74"/>
        <v/>
      </c>
      <c r="BH87" s="72" t="str">
        <f t="shared" si="84"/>
        <v/>
      </c>
      <c r="BI87" s="39"/>
      <c r="BJ87" s="40" t="str">
        <f t="shared" si="85"/>
        <v/>
      </c>
      <c r="BK87" s="157" t="str">
        <f t="shared" si="86"/>
        <v/>
      </c>
      <c r="BL87" s="157" t="str">
        <f t="shared" si="75"/>
        <v/>
      </c>
      <c r="BM87" s="72"/>
      <c r="BN87" s="72" t="str">
        <f t="shared" si="87"/>
        <v/>
      </c>
      <c r="BO87" s="72" t="str">
        <f t="shared" si="88"/>
        <v/>
      </c>
      <c r="BP87" s="39"/>
      <c r="BQ87" s="72" t="str">
        <f t="shared" si="76"/>
        <v/>
      </c>
      <c r="BR87" s="72" t="str">
        <f t="shared" si="89"/>
        <v/>
      </c>
    </row>
    <row r="88" spans="4:70" x14ac:dyDescent="0.15">
      <c r="E88" s="81" t="s">
        <v>120</v>
      </c>
      <c r="F88" s="91">
        <f>AL116/$BR$116</f>
        <v>0.65298339298984265</v>
      </c>
      <c r="G88" s="81" t="s">
        <v>132</v>
      </c>
      <c r="I88" s="459">
        <f t="shared" si="90"/>
        <v>2103</v>
      </c>
      <c r="J88" s="71"/>
      <c r="K88" s="71">
        <f t="shared" si="91"/>
        <v>74</v>
      </c>
      <c r="L88" s="71"/>
      <c r="M88" s="7">
        <f t="shared" si="61"/>
        <v>0.11221356804646829</v>
      </c>
      <c r="N88" s="71"/>
      <c r="O88" s="10" t="str">
        <f t="shared" si="77"/>
        <v/>
      </c>
      <c r="P88" s="29" t="str">
        <f t="shared" si="62"/>
        <v/>
      </c>
      <c r="Q88" s="71"/>
      <c r="R88" s="10" t="str">
        <f t="shared" si="78"/>
        <v/>
      </c>
      <c r="S88" s="71"/>
      <c r="T88" s="10" t="str">
        <f t="shared" si="79"/>
        <v/>
      </c>
      <c r="U88" s="71"/>
      <c r="V88" s="10" t="str">
        <f t="shared" si="63"/>
        <v/>
      </c>
      <c r="W88" s="10" t="str">
        <f t="shared" si="92"/>
        <v/>
      </c>
      <c r="X88" s="71"/>
      <c r="Y88" s="10" t="str">
        <f t="shared" si="64"/>
        <v/>
      </c>
      <c r="Z88" s="10" t="str">
        <f t="shared" si="93"/>
        <v/>
      </c>
      <c r="AA88" s="71"/>
      <c r="AB88" s="10" t="str">
        <f t="shared" si="65"/>
        <v/>
      </c>
      <c r="AC88" s="10" t="str">
        <f t="shared" si="94"/>
        <v/>
      </c>
      <c r="AD88" s="71"/>
      <c r="AE88" s="10" t="str">
        <f t="shared" si="66"/>
        <v/>
      </c>
      <c r="AF88" s="10" t="str">
        <f t="shared" si="95"/>
        <v/>
      </c>
      <c r="AG88" s="71"/>
      <c r="AH88" s="10" t="str">
        <f t="shared" si="67"/>
        <v/>
      </c>
      <c r="AI88" s="10" t="str">
        <f t="shared" si="96"/>
        <v/>
      </c>
      <c r="AJ88" s="71"/>
      <c r="AK88" s="10" t="str">
        <f t="shared" si="68"/>
        <v/>
      </c>
      <c r="AL88" s="10" t="str">
        <f t="shared" si="97"/>
        <v/>
      </c>
      <c r="AM88" s="71"/>
      <c r="AN88" s="10" t="str">
        <f t="shared" si="69"/>
        <v/>
      </c>
      <c r="AO88" s="10" t="str">
        <f t="shared" si="98"/>
        <v/>
      </c>
      <c r="AP88" s="71"/>
      <c r="AQ88" s="10" t="str">
        <f t="shared" si="70"/>
        <v/>
      </c>
      <c r="AR88" s="10" t="str">
        <f t="shared" si="80"/>
        <v/>
      </c>
      <c r="AS88" s="71"/>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U88" s="71"/>
      <c r="AV88" s="10" t="str">
        <f t="shared" si="71"/>
        <v/>
      </c>
      <c r="AW88" s="10" t="str">
        <f t="shared" si="81"/>
        <v/>
      </c>
      <c r="AX88" s="71"/>
      <c r="AY88" s="7" t="str">
        <f>IF(ISERROR(IF($K88&lt;=$F$15,VLOOKUP($I88,'表4）CO2価格'!$A$7:$E$67,VLOOKUP($F$48,'表4）CO2価格'!$H$10:$I$12,2,0),0)*$F$8/1000,"")),0,IF($K88&lt;=$F$15,VLOOKUP($I88,'表4）CO2価格'!$A$7:$E$67,VLOOKUP($F$48,'表4）CO2価格'!$H$10:$I$12,2,0),0)*$F$8/1000,""))</f>
        <v/>
      </c>
      <c r="AZ88" s="71"/>
      <c r="BA88" s="11" t="str">
        <f t="shared" si="72"/>
        <v/>
      </c>
      <c r="BB88" s="10" t="str">
        <f t="shared" si="82"/>
        <v/>
      </c>
      <c r="BC88" s="71"/>
      <c r="BD88" s="10" t="str">
        <f t="shared" si="73"/>
        <v/>
      </c>
      <c r="BE88" s="10" t="str">
        <f t="shared" si="83"/>
        <v/>
      </c>
      <c r="BF88" s="71"/>
      <c r="BG88" s="11" t="str">
        <f t="shared" si="74"/>
        <v/>
      </c>
      <c r="BH88" s="10" t="str">
        <f t="shared" si="84"/>
        <v/>
      </c>
      <c r="BJ88" s="7" t="str">
        <f t="shared" si="85"/>
        <v/>
      </c>
      <c r="BK88" s="158" t="str">
        <f t="shared" si="86"/>
        <v/>
      </c>
      <c r="BL88" s="158" t="str">
        <f t="shared" si="75"/>
        <v/>
      </c>
      <c r="BM88" s="10"/>
      <c r="BN88" s="10" t="str">
        <f t="shared" si="87"/>
        <v/>
      </c>
      <c r="BO88" s="10" t="str">
        <f t="shared" si="88"/>
        <v/>
      </c>
      <c r="BQ88" s="10" t="str">
        <f t="shared" si="76"/>
        <v/>
      </c>
      <c r="BR88" s="10" t="str">
        <f t="shared" si="89"/>
        <v/>
      </c>
    </row>
    <row r="89" spans="4:70" x14ac:dyDescent="0.15">
      <c r="E89" s="81" t="s">
        <v>122</v>
      </c>
      <c r="F89" s="91">
        <f>AO116/$BR$116</f>
        <v>0.29928405512034451</v>
      </c>
      <c r="G89" s="81" t="s">
        <v>132</v>
      </c>
      <c r="I89" s="458">
        <f t="shared" si="90"/>
        <v>2104</v>
      </c>
      <c r="J89" s="39"/>
      <c r="K89" s="39">
        <f t="shared" si="91"/>
        <v>75</v>
      </c>
      <c r="L89" s="39"/>
      <c r="M89" s="40">
        <f t="shared" si="61"/>
        <v>0.10894521169560026</v>
      </c>
      <c r="N89" s="39"/>
      <c r="O89" s="72" t="str">
        <f t="shared" si="77"/>
        <v/>
      </c>
      <c r="P89" s="41" t="str">
        <f t="shared" si="62"/>
        <v/>
      </c>
      <c r="Q89" s="39"/>
      <c r="R89" s="72" t="str">
        <f t="shared" si="78"/>
        <v/>
      </c>
      <c r="S89" s="39"/>
      <c r="T89" s="72" t="str">
        <f t="shared" si="79"/>
        <v/>
      </c>
      <c r="U89" s="39"/>
      <c r="V89" s="72" t="str">
        <f t="shared" si="63"/>
        <v/>
      </c>
      <c r="W89" s="72" t="str">
        <f t="shared" si="92"/>
        <v/>
      </c>
      <c r="X89" s="39"/>
      <c r="Y89" s="72" t="str">
        <f t="shared" si="64"/>
        <v/>
      </c>
      <c r="Z89" s="72" t="str">
        <f t="shared" si="93"/>
        <v/>
      </c>
      <c r="AA89" s="39"/>
      <c r="AB89" s="72" t="str">
        <f t="shared" si="65"/>
        <v/>
      </c>
      <c r="AC89" s="72" t="str">
        <f t="shared" si="94"/>
        <v/>
      </c>
      <c r="AD89" s="39"/>
      <c r="AE89" s="72" t="str">
        <f t="shared" si="66"/>
        <v/>
      </c>
      <c r="AF89" s="72" t="str">
        <f t="shared" si="95"/>
        <v/>
      </c>
      <c r="AG89" s="39"/>
      <c r="AH89" s="72" t="str">
        <f t="shared" si="67"/>
        <v/>
      </c>
      <c r="AI89" s="72" t="str">
        <f t="shared" si="96"/>
        <v/>
      </c>
      <c r="AJ89" s="39"/>
      <c r="AK89" s="72" t="str">
        <f t="shared" si="68"/>
        <v/>
      </c>
      <c r="AL89" s="72" t="str">
        <f t="shared" si="97"/>
        <v/>
      </c>
      <c r="AM89" s="39"/>
      <c r="AN89" s="72" t="str">
        <f t="shared" si="69"/>
        <v/>
      </c>
      <c r="AO89" s="72" t="str">
        <f t="shared" si="98"/>
        <v/>
      </c>
      <c r="AP89" s="39"/>
      <c r="AQ89" s="72" t="str">
        <f t="shared" si="70"/>
        <v/>
      </c>
      <c r="AR89" s="72" t="str">
        <f t="shared" si="80"/>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71"/>
        <v/>
      </c>
      <c r="AW89" s="72" t="str">
        <f t="shared" si="81"/>
        <v/>
      </c>
      <c r="AX89" s="39"/>
      <c r="AY89" s="40" t="str">
        <f>IF(ISERROR(IF($K89&lt;=$F$15,VLOOKUP($I89,'表4）CO2価格'!$A$7:$E$67,VLOOKUP($F$48,'表4）CO2価格'!$H$10:$I$12,2,0),0)*$F$8/1000,"")),0,IF($K89&lt;=$F$15,VLOOKUP($I89,'表4）CO2価格'!$A$7:$E$67,VLOOKUP($F$48,'表4）CO2価格'!$H$10:$I$12,2,0),0)*$F$8/1000,""))</f>
        <v/>
      </c>
      <c r="AZ89" s="39"/>
      <c r="BA89" s="42" t="str">
        <f t="shared" si="72"/>
        <v/>
      </c>
      <c r="BB89" s="72" t="str">
        <f t="shared" si="82"/>
        <v/>
      </c>
      <c r="BC89" s="39"/>
      <c r="BD89" s="72" t="str">
        <f t="shared" si="73"/>
        <v/>
      </c>
      <c r="BE89" s="72" t="str">
        <f t="shared" si="83"/>
        <v/>
      </c>
      <c r="BF89" s="39"/>
      <c r="BG89" s="42" t="str">
        <f t="shared" si="74"/>
        <v/>
      </c>
      <c r="BH89" s="72" t="str">
        <f t="shared" si="84"/>
        <v/>
      </c>
      <c r="BI89" s="39"/>
      <c r="BJ89" s="40" t="str">
        <f t="shared" si="85"/>
        <v/>
      </c>
      <c r="BK89" s="157" t="str">
        <f t="shared" si="86"/>
        <v/>
      </c>
      <c r="BL89" s="157" t="str">
        <f t="shared" si="75"/>
        <v/>
      </c>
      <c r="BM89" s="72"/>
      <c r="BN89" s="72" t="str">
        <f t="shared" si="87"/>
        <v/>
      </c>
      <c r="BO89" s="72" t="str">
        <f t="shared" si="88"/>
        <v/>
      </c>
      <c r="BP89" s="39"/>
      <c r="BQ89" s="72" t="str">
        <f t="shared" si="76"/>
        <v/>
      </c>
      <c r="BR89" s="72" t="str">
        <f t="shared" si="89"/>
        <v/>
      </c>
    </row>
    <row r="90" spans="4:70" x14ac:dyDescent="0.15">
      <c r="E90" s="81" t="s">
        <v>142</v>
      </c>
      <c r="F90" s="91">
        <f>AR116/$BR$116</f>
        <v>0.1288823320862395</v>
      </c>
      <c r="G90" s="81" t="s">
        <v>132</v>
      </c>
      <c r="I90" s="459">
        <f t="shared" si="90"/>
        <v>2105</v>
      </c>
      <c r="J90" s="71"/>
      <c r="K90" s="71">
        <f t="shared" si="91"/>
        <v>76</v>
      </c>
      <c r="L90" s="71"/>
      <c r="M90" s="7">
        <f t="shared" si="61"/>
        <v>0.10577205018990318</v>
      </c>
      <c r="N90" s="71"/>
      <c r="O90" s="10" t="str">
        <f t="shared" si="77"/>
        <v/>
      </c>
      <c r="P90" s="29" t="str">
        <f t="shared" si="62"/>
        <v/>
      </c>
      <c r="Q90" s="71"/>
      <c r="R90" s="10" t="str">
        <f t="shared" si="78"/>
        <v/>
      </c>
      <c r="S90" s="71"/>
      <c r="T90" s="10" t="str">
        <f t="shared" si="79"/>
        <v/>
      </c>
      <c r="U90" s="71"/>
      <c r="V90" s="10" t="str">
        <f t="shared" si="63"/>
        <v/>
      </c>
      <c r="W90" s="10" t="str">
        <f t="shared" si="92"/>
        <v/>
      </c>
      <c r="X90" s="71"/>
      <c r="Y90" s="10" t="str">
        <f t="shared" si="64"/>
        <v/>
      </c>
      <c r="Z90" s="10" t="str">
        <f t="shared" si="93"/>
        <v/>
      </c>
      <c r="AA90" s="71"/>
      <c r="AB90" s="10" t="str">
        <f t="shared" si="65"/>
        <v/>
      </c>
      <c r="AC90" s="10" t="str">
        <f t="shared" si="94"/>
        <v/>
      </c>
      <c r="AD90" s="71"/>
      <c r="AE90" s="10" t="str">
        <f t="shared" si="66"/>
        <v/>
      </c>
      <c r="AF90" s="10" t="str">
        <f t="shared" si="95"/>
        <v/>
      </c>
      <c r="AG90" s="71"/>
      <c r="AH90" s="10" t="str">
        <f t="shared" si="67"/>
        <v/>
      </c>
      <c r="AI90" s="10" t="str">
        <f t="shared" si="96"/>
        <v/>
      </c>
      <c r="AJ90" s="71"/>
      <c r="AK90" s="10" t="str">
        <f t="shared" si="68"/>
        <v/>
      </c>
      <c r="AL90" s="10" t="str">
        <f t="shared" si="97"/>
        <v/>
      </c>
      <c r="AM90" s="71"/>
      <c r="AN90" s="10" t="str">
        <f t="shared" si="69"/>
        <v/>
      </c>
      <c r="AO90" s="10" t="str">
        <f t="shared" si="98"/>
        <v/>
      </c>
      <c r="AP90" s="71"/>
      <c r="AQ90" s="10" t="str">
        <f t="shared" si="70"/>
        <v/>
      </c>
      <c r="AR90" s="10" t="str">
        <f t="shared" si="80"/>
        <v/>
      </c>
      <c r="AS90" s="71"/>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U90" s="71"/>
      <c r="AV90" s="10" t="str">
        <f t="shared" si="71"/>
        <v/>
      </c>
      <c r="AW90" s="10" t="str">
        <f t="shared" si="81"/>
        <v/>
      </c>
      <c r="AX90" s="71"/>
      <c r="AY90" s="7" t="str">
        <f>IF(ISERROR(IF($K90&lt;=$F$15,VLOOKUP($I90,'表4）CO2価格'!$A$7:$E$67,VLOOKUP($F$48,'表4）CO2価格'!$H$10:$I$12,2,0),0)*$F$8/1000,"")),0,IF($K90&lt;=$F$15,VLOOKUP($I90,'表4）CO2価格'!$A$7:$E$67,VLOOKUP($F$48,'表4）CO2価格'!$H$10:$I$12,2,0),0)*$F$8/1000,""))</f>
        <v/>
      </c>
      <c r="AZ90" s="71"/>
      <c r="BA90" s="11" t="str">
        <f t="shared" si="72"/>
        <v/>
      </c>
      <c r="BB90" s="10" t="str">
        <f t="shared" si="82"/>
        <v/>
      </c>
      <c r="BC90" s="71"/>
      <c r="BD90" s="10" t="str">
        <f t="shared" si="73"/>
        <v/>
      </c>
      <c r="BE90" s="10" t="str">
        <f t="shared" si="83"/>
        <v/>
      </c>
      <c r="BF90" s="71"/>
      <c r="BG90" s="11" t="str">
        <f t="shared" si="74"/>
        <v/>
      </c>
      <c r="BH90" s="10" t="str">
        <f t="shared" si="84"/>
        <v/>
      </c>
      <c r="BJ90" s="7" t="str">
        <f t="shared" si="85"/>
        <v/>
      </c>
      <c r="BK90" s="158" t="str">
        <f t="shared" si="86"/>
        <v/>
      </c>
      <c r="BL90" s="158" t="str">
        <f t="shared" si="75"/>
        <v/>
      </c>
      <c r="BM90" s="10"/>
      <c r="BN90" s="10" t="str">
        <f t="shared" si="87"/>
        <v/>
      </c>
      <c r="BO90" s="10" t="str">
        <f t="shared" si="88"/>
        <v/>
      </c>
      <c r="BQ90" s="10" t="str">
        <f t="shared" si="76"/>
        <v/>
      </c>
      <c r="BR90" s="10" t="str">
        <f t="shared" si="89"/>
        <v/>
      </c>
    </row>
    <row r="91" spans="4:70" x14ac:dyDescent="0.15">
      <c r="F91" s="93"/>
      <c r="I91" s="458">
        <f t="shared" si="90"/>
        <v>2106</v>
      </c>
      <c r="J91" s="39"/>
      <c r="K91" s="39">
        <f t="shared" si="91"/>
        <v>77</v>
      </c>
      <c r="L91" s="39"/>
      <c r="M91" s="40">
        <f t="shared" si="61"/>
        <v>0.10269131086398368</v>
      </c>
      <c r="N91" s="39"/>
      <c r="O91" s="72" t="str">
        <f t="shared" si="77"/>
        <v/>
      </c>
      <c r="P91" s="41" t="str">
        <f t="shared" si="62"/>
        <v/>
      </c>
      <c r="Q91" s="39"/>
      <c r="R91" s="72" t="str">
        <f t="shared" si="78"/>
        <v/>
      </c>
      <c r="S91" s="39"/>
      <c r="T91" s="72" t="str">
        <f t="shared" si="79"/>
        <v/>
      </c>
      <c r="U91" s="39"/>
      <c r="V91" s="72" t="str">
        <f t="shared" si="63"/>
        <v/>
      </c>
      <c r="W91" s="72" t="str">
        <f t="shared" si="92"/>
        <v/>
      </c>
      <c r="X91" s="39"/>
      <c r="Y91" s="72" t="str">
        <f t="shared" si="64"/>
        <v/>
      </c>
      <c r="Z91" s="72" t="str">
        <f t="shared" si="93"/>
        <v/>
      </c>
      <c r="AA91" s="39"/>
      <c r="AB91" s="72" t="str">
        <f t="shared" si="65"/>
        <v/>
      </c>
      <c r="AC91" s="72" t="str">
        <f t="shared" si="94"/>
        <v/>
      </c>
      <c r="AD91" s="39"/>
      <c r="AE91" s="72" t="str">
        <f t="shared" si="66"/>
        <v/>
      </c>
      <c r="AF91" s="72" t="str">
        <f t="shared" si="95"/>
        <v/>
      </c>
      <c r="AG91" s="39"/>
      <c r="AH91" s="72" t="str">
        <f t="shared" si="67"/>
        <v/>
      </c>
      <c r="AI91" s="72" t="str">
        <f t="shared" si="96"/>
        <v/>
      </c>
      <c r="AJ91" s="39"/>
      <c r="AK91" s="72" t="str">
        <f t="shared" si="68"/>
        <v/>
      </c>
      <c r="AL91" s="72" t="str">
        <f t="shared" si="97"/>
        <v/>
      </c>
      <c r="AM91" s="39"/>
      <c r="AN91" s="72" t="str">
        <f t="shared" si="69"/>
        <v/>
      </c>
      <c r="AO91" s="72" t="str">
        <f t="shared" si="98"/>
        <v/>
      </c>
      <c r="AP91" s="39"/>
      <c r="AQ91" s="72" t="str">
        <f t="shared" si="70"/>
        <v/>
      </c>
      <c r="AR91" s="72" t="str">
        <f t="shared" si="80"/>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71"/>
        <v/>
      </c>
      <c r="AW91" s="72" t="str">
        <f t="shared" si="81"/>
        <v/>
      </c>
      <c r="AX91" s="39"/>
      <c r="AY91" s="40" t="str">
        <f>IF(ISERROR(IF($K91&lt;=$F$15,VLOOKUP($I91,'表4）CO2価格'!$A$7:$E$67,VLOOKUP($F$48,'表4）CO2価格'!$H$10:$I$12,2,0),0)*$F$8/1000,"")),0,IF($K91&lt;=$F$15,VLOOKUP($I91,'表4）CO2価格'!$A$7:$E$67,VLOOKUP($F$48,'表4）CO2価格'!$H$10:$I$12,2,0),0)*$F$8/1000,""))</f>
        <v/>
      </c>
      <c r="AZ91" s="39"/>
      <c r="BA91" s="42" t="str">
        <f t="shared" si="72"/>
        <v/>
      </c>
      <c r="BB91" s="72" t="str">
        <f t="shared" si="82"/>
        <v/>
      </c>
      <c r="BC91" s="39"/>
      <c r="BD91" s="72" t="str">
        <f t="shared" si="73"/>
        <v/>
      </c>
      <c r="BE91" s="72" t="str">
        <f t="shared" si="83"/>
        <v/>
      </c>
      <c r="BF91" s="39"/>
      <c r="BG91" s="42" t="str">
        <f t="shared" si="74"/>
        <v/>
      </c>
      <c r="BH91" s="72" t="str">
        <f t="shared" si="84"/>
        <v/>
      </c>
      <c r="BI91" s="39"/>
      <c r="BJ91" s="40" t="str">
        <f t="shared" si="85"/>
        <v/>
      </c>
      <c r="BK91" s="157" t="str">
        <f t="shared" si="86"/>
        <v/>
      </c>
      <c r="BL91" s="157" t="str">
        <f t="shared" si="75"/>
        <v/>
      </c>
      <c r="BM91" s="72"/>
      <c r="BN91" s="72" t="str">
        <f t="shared" si="87"/>
        <v/>
      </c>
      <c r="BO91" s="72" t="str">
        <f t="shared" si="88"/>
        <v/>
      </c>
      <c r="BP91" s="39"/>
      <c r="BQ91" s="72" t="str">
        <f t="shared" si="76"/>
        <v/>
      </c>
      <c r="BR91" s="72" t="str">
        <f t="shared" si="89"/>
        <v/>
      </c>
    </row>
    <row r="92" spans="4:70" ht="15" x14ac:dyDescent="0.15">
      <c r="D92" s="116" t="s">
        <v>196</v>
      </c>
      <c r="F92" s="94">
        <f>SUBTOTAL(9,F96:F97)</f>
        <v>6.0024205257745775</v>
      </c>
      <c r="I92" s="459">
        <f t="shared" si="90"/>
        <v>2107</v>
      </c>
      <c r="J92" s="71"/>
      <c r="K92" s="71">
        <f t="shared" si="91"/>
        <v>78</v>
      </c>
      <c r="L92" s="71"/>
      <c r="M92" s="7">
        <f t="shared" si="61"/>
        <v>9.9700301809692873E-2</v>
      </c>
      <c r="N92" s="71"/>
      <c r="O92" s="10" t="str">
        <f t="shared" si="77"/>
        <v/>
      </c>
      <c r="P92" s="29" t="str">
        <f t="shared" si="62"/>
        <v/>
      </c>
      <c r="Q92" s="71"/>
      <c r="R92" s="10" t="str">
        <f t="shared" si="78"/>
        <v/>
      </c>
      <c r="S92" s="71"/>
      <c r="T92" s="10" t="str">
        <f t="shared" si="79"/>
        <v/>
      </c>
      <c r="U92" s="71"/>
      <c r="V92" s="10" t="str">
        <f t="shared" si="63"/>
        <v/>
      </c>
      <c r="W92" s="10" t="str">
        <f t="shared" si="92"/>
        <v/>
      </c>
      <c r="X92" s="71"/>
      <c r="Y92" s="10" t="str">
        <f t="shared" si="64"/>
        <v/>
      </c>
      <c r="Z92" s="10" t="str">
        <f t="shared" si="93"/>
        <v/>
      </c>
      <c r="AA92" s="71"/>
      <c r="AB92" s="10" t="str">
        <f t="shared" si="65"/>
        <v/>
      </c>
      <c r="AC92" s="10" t="str">
        <f t="shared" si="94"/>
        <v/>
      </c>
      <c r="AD92" s="71"/>
      <c r="AE92" s="10" t="str">
        <f t="shared" si="66"/>
        <v/>
      </c>
      <c r="AF92" s="10" t="str">
        <f t="shared" si="95"/>
        <v/>
      </c>
      <c r="AG92" s="71"/>
      <c r="AH92" s="10" t="str">
        <f t="shared" si="67"/>
        <v/>
      </c>
      <c r="AI92" s="10" t="str">
        <f t="shared" si="96"/>
        <v/>
      </c>
      <c r="AJ92" s="71"/>
      <c r="AK92" s="10" t="str">
        <f t="shared" si="68"/>
        <v/>
      </c>
      <c r="AL92" s="10" t="str">
        <f t="shared" si="97"/>
        <v/>
      </c>
      <c r="AM92" s="71"/>
      <c r="AN92" s="10" t="str">
        <f t="shared" si="69"/>
        <v/>
      </c>
      <c r="AO92" s="10" t="str">
        <f t="shared" si="98"/>
        <v/>
      </c>
      <c r="AP92" s="71"/>
      <c r="AQ92" s="10" t="str">
        <f t="shared" si="70"/>
        <v/>
      </c>
      <c r="AR92" s="10" t="str">
        <f t="shared" si="80"/>
        <v/>
      </c>
      <c r="AS92" s="71"/>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U92" s="71"/>
      <c r="AV92" s="10" t="str">
        <f t="shared" si="71"/>
        <v/>
      </c>
      <c r="AW92" s="10" t="str">
        <f t="shared" si="81"/>
        <v/>
      </c>
      <c r="AX92" s="71"/>
      <c r="AY92" s="7" t="str">
        <f>IF(ISERROR(IF($K92&lt;=$F$15,VLOOKUP($I92,'表4）CO2価格'!$A$7:$E$67,VLOOKUP($F$48,'表4）CO2価格'!$H$10:$I$12,2,0),0)*$F$8/1000,"")),0,IF($K92&lt;=$F$15,VLOOKUP($I92,'表4）CO2価格'!$A$7:$E$67,VLOOKUP($F$48,'表4）CO2価格'!$H$10:$I$12,2,0),0)*$F$8/1000,""))</f>
        <v/>
      </c>
      <c r="AZ92" s="71"/>
      <c r="BA92" s="11" t="str">
        <f t="shared" si="72"/>
        <v/>
      </c>
      <c r="BB92" s="10" t="str">
        <f t="shared" si="82"/>
        <v/>
      </c>
      <c r="BC92" s="71"/>
      <c r="BD92" s="10" t="str">
        <f t="shared" si="73"/>
        <v/>
      </c>
      <c r="BE92" s="10" t="str">
        <f t="shared" si="83"/>
        <v/>
      </c>
      <c r="BF92" s="71"/>
      <c r="BG92" s="11" t="str">
        <f t="shared" si="74"/>
        <v/>
      </c>
      <c r="BH92" s="10" t="str">
        <f t="shared" si="84"/>
        <v/>
      </c>
      <c r="BJ92" s="7" t="str">
        <f t="shared" si="85"/>
        <v/>
      </c>
      <c r="BK92" s="158" t="str">
        <f t="shared" si="86"/>
        <v/>
      </c>
      <c r="BL92" s="158" t="str">
        <f t="shared" si="75"/>
        <v/>
      </c>
      <c r="BM92" s="10"/>
      <c r="BN92" s="10" t="str">
        <f t="shared" si="87"/>
        <v/>
      </c>
      <c r="BO92" s="10" t="str">
        <f t="shared" si="88"/>
        <v/>
      </c>
      <c r="BQ92" s="10" t="str">
        <f t="shared" si="76"/>
        <v/>
      </c>
      <c r="BR92" s="10" t="str">
        <f t="shared" si="89"/>
        <v/>
      </c>
    </row>
    <row r="93" spans="4:70" ht="15" x14ac:dyDescent="0.15">
      <c r="D93" s="116"/>
      <c r="F93" s="93"/>
      <c r="I93" s="458">
        <f t="shared" si="90"/>
        <v>2108</v>
      </c>
      <c r="J93" s="39"/>
      <c r="K93" s="39">
        <f t="shared" si="91"/>
        <v>79</v>
      </c>
      <c r="L93" s="39"/>
      <c r="M93" s="40">
        <f t="shared" si="61"/>
        <v>9.679640952397367E-2</v>
      </c>
      <c r="N93" s="39"/>
      <c r="O93" s="72" t="str">
        <f t="shared" si="77"/>
        <v/>
      </c>
      <c r="P93" s="41" t="str">
        <f t="shared" si="62"/>
        <v/>
      </c>
      <c r="Q93" s="39"/>
      <c r="R93" s="72" t="str">
        <f t="shared" si="78"/>
        <v/>
      </c>
      <c r="S93" s="39"/>
      <c r="T93" s="72" t="str">
        <f t="shared" si="79"/>
        <v/>
      </c>
      <c r="U93" s="39"/>
      <c r="V93" s="72" t="str">
        <f t="shared" si="63"/>
        <v/>
      </c>
      <c r="W93" s="72" t="str">
        <f t="shared" si="92"/>
        <v/>
      </c>
      <c r="X93" s="39"/>
      <c r="Y93" s="72" t="str">
        <f t="shared" si="64"/>
        <v/>
      </c>
      <c r="Z93" s="72" t="str">
        <f t="shared" si="93"/>
        <v/>
      </c>
      <c r="AA93" s="39"/>
      <c r="AB93" s="72" t="str">
        <f t="shared" si="65"/>
        <v/>
      </c>
      <c r="AC93" s="72" t="str">
        <f t="shared" si="94"/>
        <v/>
      </c>
      <c r="AD93" s="39"/>
      <c r="AE93" s="72" t="str">
        <f t="shared" si="66"/>
        <v/>
      </c>
      <c r="AF93" s="72" t="str">
        <f t="shared" si="95"/>
        <v/>
      </c>
      <c r="AG93" s="39"/>
      <c r="AH93" s="72" t="str">
        <f t="shared" si="67"/>
        <v/>
      </c>
      <c r="AI93" s="72" t="str">
        <f t="shared" si="96"/>
        <v/>
      </c>
      <c r="AJ93" s="39"/>
      <c r="AK93" s="72" t="str">
        <f t="shared" si="68"/>
        <v/>
      </c>
      <c r="AL93" s="72" t="str">
        <f t="shared" si="97"/>
        <v/>
      </c>
      <c r="AM93" s="39"/>
      <c r="AN93" s="72" t="str">
        <f t="shared" si="69"/>
        <v/>
      </c>
      <c r="AO93" s="72" t="str">
        <f t="shared" si="98"/>
        <v/>
      </c>
      <c r="AP93" s="39"/>
      <c r="AQ93" s="72" t="str">
        <f t="shared" si="70"/>
        <v/>
      </c>
      <c r="AR93" s="72" t="str">
        <f t="shared" si="80"/>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71"/>
        <v/>
      </c>
      <c r="AW93" s="72" t="str">
        <f t="shared" si="81"/>
        <v/>
      </c>
      <c r="AX93" s="39"/>
      <c r="AY93" s="40" t="str">
        <f>IF(ISERROR(IF($K93&lt;=$F$15,VLOOKUP($I93,'表4）CO2価格'!$A$7:$E$67,VLOOKUP($F$48,'表4）CO2価格'!$H$10:$I$12,2,0),0)*$F$8/1000,"")),0,IF($K93&lt;=$F$15,VLOOKUP($I93,'表4）CO2価格'!$A$7:$E$67,VLOOKUP($F$48,'表4）CO2価格'!$H$10:$I$12,2,0),0)*$F$8/1000,""))</f>
        <v/>
      </c>
      <c r="AZ93" s="39"/>
      <c r="BA93" s="42" t="str">
        <f t="shared" si="72"/>
        <v/>
      </c>
      <c r="BB93" s="72" t="str">
        <f t="shared" si="82"/>
        <v/>
      </c>
      <c r="BC93" s="39"/>
      <c r="BD93" s="72" t="str">
        <f t="shared" si="73"/>
        <v/>
      </c>
      <c r="BE93" s="72" t="str">
        <f t="shared" si="83"/>
        <v/>
      </c>
      <c r="BF93" s="39"/>
      <c r="BG93" s="42" t="str">
        <f t="shared" si="74"/>
        <v/>
      </c>
      <c r="BH93" s="72" t="str">
        <f t="shared" si="84"/>
        <v/>
      </c>
      <c r="BI93" s="39"/>
      <c r="BJ93" s="40" t="str">
        <f t="shared" si="85"/>
        <v/>
      </c>
      <c r="BK93" s="157" t="str">
        <f t="shared" si="86"/>
        <v/>
      </c>
      <c r="BL93" s="157" t="str">
        <f t="shared" si="75"/>
        <v/>
      </c>
      <c r="BM93" s="72"/>
      <c r="BN93" s="72" t="str">
        <f t="shared" si="87"/>
        <v/>
      </c>
      <c r="BO93" s="72" t="str">
        <f t="shared" si="88"/>
        <v/>
      </c>
      <c r="BP93" s="39"/>
      <c r="BQ93" s="72" t="str">
        <f t="shared" si="76"/>
        <v/>
      </c>
      <c r="BR93" s="72" t="str">
        <f t="shared" si="89"/>
        <v/>
      </c>
    </row>
    <row r="94" spans="4:70" x14ac:dyDescent="0.15">
      <c r="D94" s="101" t="s">
        <v>197</v>
      </c>
      <c r="E94" s="101"/>
      <c r="F94" s="92"/>
      <c r="G94" s="101"/>
      <c r="I94" s="459">
        <f t="shared" si="90"/>
        <v>2109</v>
      </c>
      <c r="J94" s="71"/>
      <c r="K94" s="71">
        <f t="shared" si="91"/>
        <v>80</v>
      </c>
      <c r="L94" s="71"/>
      <c r="M94" s="7">
        <f t="shared" si="61"/>
        <v>9.3977096625217166E-2</v>
      </c>
      <c r="N94" s="71"/>
      <c r="O94" s="10" t="str">
        <f t="shared" si="77"/>
        <v/>
      </c>
      <c r="P94" s="29" t="str">
        <f t="shared" si="62"/>
        <v/>
      </c>
      <c r="Q94" s="71"/>
      <c r="R94" s="10" t="str">
        <f t="shared" si="78"/>
        <v/>
      </c>
      <c r="S94" s="71"/>
      <c r="T94" s="10" t="str">
        <f t="shared" si="79"/>
        <v/>
      </c>
      <c r="U94" s="71"/>
      <c r="V94" s="10" t="str">
        <f t="shared" si="63"/>
        <v/>
      </c>
      <c r="W94" s="10" t="str">
        <f t="shared" si="92"/>
        <v/>
      </c>
      <c r="X94" s="71"/>
      <c r="Y94" s="10" t="str">
        <f t="shared" si="64"/>
        <v/>
      </c>
      <c r="Z94" s="10" t="str">
        <f t="shared" si="93"/>
        <v/>
      </c>
      <c r="AA94" s="71"/>
      <c r="AB94" s="10" t="str">
        <f t="shared" si="65"/>
        <v/>
      </c>
      <c r="AC94" s="10" t="str">
        <f t="shared" si="94"/>
        <v/>
      </c>
      <c r="AD94" s="71"/>
      <c r="AE94" s="10" t="str">
        <f t="shared" si="66"/>
        <v/>
      </c>
      <c r="AF94" s="10" t="str">
        <f t="shared" si="95"/>
        <v/>
      </c>
      <c r="AG94" s="71"/>
      <c r="AH94" s="10" t="str">
        <f t="shared" si="67"/>
        <v/>
      </c>
      <c r="AI94" s="10" t="str">
        <f t="shared" si="96"/>
        <v/>
      </c>
      <c r="AJ94" s="71"/>
      <c r="AK94" s="10" t="str">
        <f t="shared" si="68"/>
        <v/>
      </c>
      <c r="AL94" s="10" t="str">
        <f t="shared" si="97"/>
        <v/>
      </c>
      <c r="AM94" s="71"/>
      <c r="AN94" s="10" t="str">
        <f t="shared" si="69"/>
        <v/>
      </c>
      <c r="AO94" s="10" t="str">
        <f t="shared" si="98"/>
        <v/>
      </c>
      <c r="AP94" s="71"/>
      <c r="AQ94" s="10" t="str">
        <f t="shared" si="70"/>
        <v/>
      </c>
      <c r="AR94" s="10" t="str">
        <f t="shared" si="80"/>
        <v/>
      </c>
      <c r="AS94" s="71"/>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U94" s="71"/>
      <c r="AV94" s="10" t="str">
        <f t="shared" si="71"/>
        <v/>
      </c>
      <c r="AW94" s="10" t="str">
        <f t="shared" si="81"/>
        <v/>
      </c>
      <c r="AX94" s="71"/>
      <c r="AY94" s="7" t="str">
        <f>IF(ISERROR(IF($K94&lt;=$F$15,VLOOKUP($I94,'表4）CO2価格'!$A$7:$E$67,VLOOKUP($F$48,'表4）CO2価格'!$H$10:$I$12,2,0),0)*$F$8/1000,"")),0,IF($K94&lt;=$F$15,VLOOKUP($I94,'表4）CO2価格'!$A$7:$E$67,VLOOKUP($F$48,'表4）CO2価格'!$H$10:$I$12,2,0),0)*$F$8/1000,""))</f>
        <v/>
      </c>
      <c r="AZ94" s="71"/>
      <c r="BA94" s="11" t="str">
        <f t="shared" si="72"/>
        <v/>
      </c>
      <c r="BB94" s="10" t="str">
        <f t="shared" si="82"/>
        <v/>
      </c>
      <c r="BC94" s="71"/>
      <c r="BD94" s="10" t="str">
        <f t="shared" si="73"/>
        <v/>
      </c>
      <c r="BE94" s="10" t="str">
        <f t="shared" si="83"/>
        <v/>
      </c>
      <c r="BF94" s="71"/>
      <c r="BG94" s="11" t="str">
        <f t="shared" si="74"/>
        <v/>
      </c>
      <c r="BH94" s="10" t="str">
        <f t="shared" si="84"/>
        <v/>
      </c>
      <c r="BJ94" s="7" t="str">
        <f t="shared" si="85"/>
        <v/>
      </c>
      <c r="BK94" s="158" t="str">
        <f t="shared" si="86"/>
        <v/>
      </c>
      <c r="BL94" s="158" t="str">
        <f t="shared" si="75"/>
        <v/>
      </c>
      <c r="BM94" s="10"/>
      <c r="BN94" s="10" t="str">
        <f t="shared" si="87"/>
        <v/>
      </c>
      <c r="BO94" s="10" t="str">
        <f t="shared" si="88"/>
        <v/>
      </c>
      <c r="BQ94" s="10" t="str">
        <f t="shared" si="76"/>
        <v/>
      </c>
      <c r="BR94" s="10" t="str">
        <f t="shared" si="89"/>
        <v/>
      </c>
    </row>
    <row r="95" spans="4:70" ht="15" x14ac:dyDescent="0.15">
      <c r="D95" s="116"/>
      <c r="F95" s="93"/>
      <c r="I95" s="458">
        <f t="shared" si="90"/>
        <v>2110</v>
      </c>
      <c r="J95" s="39"/>
      <c r="K95" s="39">
        <f t="shared" si="91"/>
        <v>81</v>
      </c>
      <c r="L95" s="39"/>
      <c r="M95" s="40">
        <f t="shared" si="61"/>
        <v>9.1239899636133173E-2</v>
      </c>
      <c r="N95" s="39"/>
      <c r="O95" s="72" t="str">
        <f t="shared" si="77"/>
        <v/>
      </c>
      <c r="P95" s="41" t="str">
        <f t="shared" si="62"/>
        <v/>
      </c>
      <c r="Q95" s="39"/>
      <c r="R95" s="72" t="str">
        <f t="shared" si="78"/>
        <v/>
      </c>
      <c r="S95" s="39"/>
      <c r="T95" s="72" t="str">
        <f t="shared" si="79"/>
        <v/>
      </c>
      <c r="U95" s="39"/>
      <c r="V95" s="72" t="str">
        <f t="shared" si="63"/>
        <v/>
      </c>
      <c r="W95" s="72" t="str">
        <f t="shared" si="92"/>
        <v/>
      </c>
      <c r="X95" s="39"/>
      <c r="Y95" s="72" t="str">
        <f t="shared" si="64"/>
        <v/>
      </c>
      <c r="Z95" s="72" t="str">
        <f t="shared" si="93"/>
        <v/>
      </c>
      <c r="AA95" s="39"/>
      <c r="AB95" s="72" t="str">
        <f t="shared" si="65"/>
        <v/>
      </c>
      <c r="AC95" s="72" t="str">
        <f t="shared" si="94"/>
        <v/>
      </c>
      <c r="AD95" s="39"/>
      <c r="AE95" s="72" t="str">
        <f t="shared" si="66"/>
        <v/>
      </c>
      <c r="AF95" s="72" t="str">
        <f t="shared" si="95"/>
        <v/>
      </c>
      <c r="AG95" s="39"/>
      <c r="AH95" s="72" t="str">
        <f t="shared" si="67"/>
        <v/>
      </c>
      <c r="AI95" s="72" t="str">
        <f t="shared" si="96"/>
        <v/>
      </c>
      <c r="AJ95" s="39"/>
      <c r="AK95" s="72" t="str">
        <f t="shared" si="68"/>
        <v/>
      </c>
      <c r="AL95" s="72" t="str">
        <f t="shared" si="97"/>
        <v/>
      </c>
      <c r="AM95" s="39"/>
      <c r="AN95" s="72" t="str">
        <f t="shared" si="69"/>
        <v/>
      </c>
      <c r="AO95" s="72" t="str">
        <f t="shared" si="98"/>
        <v/>
      </c>
      <c r="AP95" s="39"/>
      <c r="AQ95" s="72" t="str">
        <f t="shared" si="70"/>
        <v/>
      </c>
      <c r="AR95" s="72" t="str">
        <f t="shared" si="80"/>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71"/>
        <v/>
      </c>
      <c r="AW95" s="72" t="str">
        <f t="shared" si="81"/>
        <v/>
      </c>
      <c r="AX95" s="39"/>
      <c r="AY95" s="40" t="str">
        <f>IF(ISERROR(IF($K95&lt;=$F$15,VLOOKUP($I95,'表4）CO2価格'!$A$7:$E$67,VLOOKUP($F$48,'表4）CO2価格'!$H$10:$I$12,2,0),0)*$F$8/1000,"")),0,IF($K95&lt;=$F$15,VLOOKUP($I95,'表4）CO2価格'!$A$7:$E$67,VLOOKUP($F$48,'表4）CO2価格'!$H$10:$I$12,2,0),0)*$F$8/1000,""))</f>
        <v/>
      </c>
      <c r="AZ95" s="39"/>
      <c r="BA95" s="42" t="str">
        <f t="shared" si="72"/>
        <v/>
      </c>
      <c r="BB95" s="72" t="str">
        <f t="shared" si="82"/>
        <v/>
      </c>
      <c r="BC95" s="39"/>
      <c r="BD95" s="72" t="str">
        <f t="shared" si="73"/>
        <v/>
      </c>
      <c r="BE95" s="72" t="str">
        <f t="shared" si="83"/>
        <v/>
      </c>
      <c r="BF95" s="39"/>
      <c r="BG95" s="42" t="str">
        <f t="shared" si="74"/>
        <v/>
      </c>
      <c r="BH95" s="72" t="str">
        <f t="shared" si="84"/>
        <v/>
      </c>
      <c r="BI95" s="39"/>
      <c r="BJ95" s="40" t="str">
        <f t="shared" si="85"/>
        <v/>
      </c>
      <c r="BK95" s="157" t="str">
        <f t="shared" si="86"/>
        <v/>
      </c>
      <c r="BL95" s="157" t="str">
        <f t="shared" si="75"/>
        <v/>
      </c>
      <c r="BM95" s="72"/>
      <c r="BN95" s="72" t="str">
        <f t="shared" si="87"/>
        <v/>
      </c>
      <c r="BO95" s="72" t="str">
        <f t="shared" si="88"/>
        <v/>
      </c>
      <c r="BP95" s="39"/>
      <c r="BQ95" s="72" t="str">
        <f t="shared" si="76"/>
        <v/>
      </c>
      <c r="BR95" s="72" t="str">
        <f t="shared" si="89"/>
        <v/>
      </c>
    </row>
    <row r="96" spans="4:70" ht="15" x14ac:dyDescent="0.15">
      <c r="D96" s="116"/>
      <c r="E96" s="81" t="s">
        <v>198</v>
      </c>
      <c r="F96" s="91">
        <f>IF(F3&lt;&gt;"原子力",AW116/$BR$116,0)</f>
        <v>6.0024205257745775</v>
      </c>
      <c r="G96" s="81" t="s">
        <v>132</v>
      </c>
      <c r="I96" s="459">
        <f t="shared" si="90"/>
        <v>2111</v>
      </c>
      <c r="J96" s="71"/>
      <c r="K96" s="71">
        <f t="shared" si="91"/>
        <v>82</v>
      </c>
      <c r="L96" s="71"/>
      <c r="M96" s="7">
        <f t="shared" si="61"/>
        <v>8.8582426831197242E-2</v>
      </c>
      <c r="N96" s="71"/>
      <c r="O96" s="10" t="str">
        <f t="shared" si="77"/>
        <v/>
      </c>
      <c r="P96" s="29" t="str">
        <f t="shared" si="62"/>
        <v/>
      </c>
      <c r="Q96" s="71"/>
      <c r="R96" s="10" t="str">
        <f t="shared" si="78"/>
        <v/>
      </c>
      <c r="S96" s="71"/>
      <c r="T96" s="10" t="str">
        <f t="shared" si="79"/>
        <v/>
      </c>
      <c r="U96" s="71"/>
      <c r="V96" s="10" t="str">
        <f t="shared" si="63"/>
        <v/>
      </c>
      <c r="W96" s="10" t="str">
        <f t="shared" si="92"/>
        <v/>
      </c>
      <c r="X96" s="71"/>
      <c r="Y96" s="10" t="str">
        <f t="shared" si="64"/>
        <v/>
      </c>
      <c r="Z96" s="10" t="str">
        <f t="shared" si="93"/>
        <v/>
      </c>
      <c r="AA96" s="71"/>
      <c r="AB96" s="10" t="str">
        <f t="shared" si="65"/>
        <v/>
      </c>
      <c r="AC96" s="10" t="str">
        <f t="shared" si="94"/>
        <v/>
      </c>
      <c r="AD96" s="71"/>
      <c r="AE96" s="10" t="str">
        <f t="shared" si="66"/>
        <v/>
      </c>
      <c r="AF96" s="10" t="str">
        <f t="shared" si="95"/>
        <v/>
      </c>
      <c r="AG96" s="71"/>
      <c r="AH96" s="10" t="str">
        <f t="shared" si="67"/>
        <v/>
      </c>
      <c r="AI96" s="10" t="str">
        <f t="shared" si="96"/>
        <v/>
      </c>
      <c r="AJ96" s="71"/>
      <c r="AK96" s="10" t="str">
        <f t="shared" si="68"/>
        <v/>
      </c>
      <c r="AL96" s="10" t="str">
        <f t="shared" si="97"/>
        <v/>
      </c>
      <c r="AM96" s="71"/>
      <c r="AN96" s="10" t="str">
        <f t="shared" si="69"/>
        <v/>
      </c>
      <c r="AO96" s="10" t="str">
        <f t="shared" si="98"/>
        <v/>
      </c>
      <c r="AP96" s="71"/>
      <c r="AQ96" s="10" t="str">
        <f t="shared" si="70"/>
        <v/>
      </c>
      <c r="AR96" s="10" t="str">
        <f t="shared" si="80"/>
        <v/>
      </c>
      <c r="AS96" s="71"/>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U96" s="71"/>
      <c r="AV96" s="10" t="str">
        <f t="shared" si="71"/>
        <v/>
      </c>
      <c r="AW96" s="10" t="str">
        <f t="shared" si="81"/>
        <v/>
      </c>
      <c r="AX96" s="71"/>
      <c r="AY96" s="7" t="str">
        <f>IF(ISERROR(IF($K96&lt;=$F$15,VLOOKUP($I96,'表4）CO2価格'!$A$7:$E$67,VLOOKUP($F$48,'表4）CO2価格'!$H$10:$I$12,2,0),0)*$F$8/1000,"")),0,IF($K96&lt;=$F$15,VLOOKUP($I96,'表4）CO2価格'!$A$7:$E$67,VLOOKUP($F$48,'表4）CO2価格'!$H$10:$I$12,2,0),0)*$F$8/1000,""))</f>
        <v/>
      </c>
      <c r="AZ96" s="71"/>
      <c r="BA96" s="11" t="str">
        <f t="shared" si="72"/>
        <v/>
      </c>
      <c r="BB96" s="10" t="str">
        <f t="shared" si="82"/>
        <v/>
      </c>
      <c r="BC96" s="71"/>
      <c r="BD96" s="10" t="str">
        <f t="shared" si="73"/>
        <v/>
      </c>
      <c r="BE96" s="10" t="str">
        <f t="shared" si="83"/>
        <v/>
      </c>
      <c r="BF96" s="71"/>
      <c r="BG96" s="11" t="str">
        <f t="shared" si="74"/>
        <v/>
      </c>
      <c r="BH96" s="10" t="str">
        <f t="shared" si="84"/>
        <v/>
      </c>
      <c r="BJ96" s="7" t="str">
        <f t="shared" si="85"/>
        <v/>
      </c>
      <c r="BK96" s="158" t="str">
        <f t="shared" si="86"/>
        <v/>
      </c>
      <c r="BL96" s="158" t="str">
        <f t="shared" si="75"/>
        <v/>
      </c>
      <c r="BM96" s="10"/>
      <c r="BN96" s="10" t="str">
        <f t="shared" si="87"/>
        <v/>
      </c>
      <c r="BO96" s="10" t="str">
        <f t="shared" si="88"/>
        <v/>
      </c>
      <c r="BQ96" s="10" t="str">
        <f t="shared" si="76"/>
        <v/>
      </c>
      <c r="BR96" s="10" t="str">
        <f t="shared" si="89"/>
        <v/>
      </c>
    </row>
    <row r="97" spans="4:70" ht="15" x14ac:dyDescent="0.15">
      <c r="D97" s="116"/>
      <c r="E97" s="81" t="s">
        <v>199</v>
      </c>
      <c r="F97" s="91">
        <f>IF(F3="原子力",#REF!,0)</f>
        <v>0</v>
      </c>
      <c r="G97" s="81" t="s">
        <v>132</v>
      </c>
      <c r="I97" s="458">
        <f t="shared" si="90"/>
        <v>2112</v>
      </c>
      <c r="J97" s="39"/>
      <c r="K97" s="39">
        <f t="shared" si="91"/>
        <v>83</v>
      </c>
      <c r="L97" s="39"/>
      <c r="M97" s="40">
        <f t="shared" si="61"/>
        <v>8.6002356146793454E-2</v>
      </c>
      <c r="N97" s="39"/>
      <c r="O97" s="72" t="str">
        <f t="shared" si="77"/>
        <v/>
      </c>
      <c r="P97" s="41" t="str">
        <f t="shared" si="62"/>
        <v/>
      </c>
      <c r="Q97" s="39"/>
      <c r="R97" s="72" t="str">
        <f t="shared" si="78"/>
        <v/>
      </c>
      <c r="S97" s="39"/>
      <c r="T97" s="72" t="str">
        <f t="shared" si="79"/>
        <v/>
      </c>
      <c r="U97" s="39"/>
      <c r="V97" s="72" t="str">
        <f t="shared" si="63"/>
        <v/>
      </c>
      <c r="W97" s="72" t="str">
        <f t="shared" si="92"/>
        <v/>
      </c>
      <c r="X97" s="39"/>
      <c r="Y97" s="72" t="str">
        <f t="shared" si="64"/>
        <v/>
      </c>
      <c r="Z97" s="72" t="str">
        <f t="shared" si="93"/>
        <v/>
      </c>
      <c r="AA97" s="39"/>
      <c r="AB97" s="72" t="str">
        <f t="shared" si="65"/>
        <v/>
      </c>
      <c r="AC97" s="72" t="str">
        <f t="shared" si="94"/>
        <v/>
      </c>
      <c r="AD97" s="39"/>
      <c r="AE97" s="72" t="str">
        <f t="shared" si="66"/>
        <v/>
      </c>
      <c r="AF97" s="72" t="str">
        <f t="shared" si="95"/>
        <v/>
      </c>
      <c r="AG97" s="39"/>
      <c r="AH97" s="72" t="str">
        <f t="shared" si="67"/>
        <v/>
      </c>
      <c r="AI97" s="72" t="str">
        <f t="shared" si="96"/>
        <v/>
      </c>
      <c r="AJ97" s="39"/>
      <c r="AK97" s="72" t="str">
        <f t="shared" si="68"/>
        <v/>
      </c>
      <c r="AL97" s="72" t="str">
        <f t="shared" si="97"/>
        <v/>
      </c>
      <c r="AM97" s="39"/>
      <c r="AN97" s="72" t="str">
        <f t="shared" si="69"/>
        <v/>
      </c>
      <c r="AO97" s="72" t="str">
        <f t="shared" si="98"/>
        <v/>
      </c>
      <c r="AP97" s="39"/>
      <c r="AQ97" s="72" t="str">
        <f t="shared" si="70"/>
        <v/>
      </c>
      <c r="AR97" s="72" t="str">
        <f t="shared" si="80"/>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71"/>
        <v/>
      </c>
      <c r="AW97" s="72" t="str">
        <f t="shared" si="81"/>
        <v/>
      </c>
      <c r="AX97" s="39"/>
      <c r="AY97" s="40" t="str">
        <f>IF(ISERROR(IF($K97&lt;=$F$15,VLOOKUP($I97,'表4）CO2価格'!$A$7:$E$67,VLOOKUP($F$48,'表4）CO2価格'!$H$10:$I$12,2,0),0)*$F$8/1000,"")),0,IF($K97&lt;=$F$15,VLOOKUP($I97,'表4）CO2価格'!$A$7:$E$67,VLOOKUP($F$48,'表4）CO2価格'!$H$10:$I$12,2,0),0)*$F$8/1000,""))</f>
        <v/>
      </c>
      <c r="AZ97" s="39"/>
      <c r="BA97" s="42" t="str">
        <f t="shared" si="72"/>
        <v/>
      </c>
      <c r="BB97" s="72" t="str">
        <f t="shared" si="82"/>
        <v/>
      </c>
      <c r="BC97" s="39"/>
      <c r="BD97" s="72" t="str">
        <f t="shared" si="73"/>
        <v/>
      </c>
      <c r="BE97" s="72" t="str">
        <f t="shared" si="83"/>
        <v/>
      </c>
      <c r="BF97" s="39"/>
      <c r="BG97" s="42" t="str">
        <f t="shared" si="74"/>
        <v/>
      </c>
      <c r="BH97" s="72" t="str">
        <f t="shared" si="84"/>
        <v/>
      </c>
      <c r="BI97" s="39"/>
      <c r="BJ97" s="40" t="str">
        <f t="shared" si="85"/>
        <v/>
      </c>
      <c r="BK97" s="157" t="str">
        <f t="shared" si="86"/>
        <v/>
      </c>
      <c r="BL97" s="157" t="str">
        <f t="shared" si="75"/>
        <v/>
      </c>
      <c r="BM97" s="72"/>
      <c r="BN97" s="72" t="str">
        <f t="shared" si="87"/>
        <v/>
      </c>
      <c r="BO97" s="72" t="str">
        <f t="shared" si="88"/>
        <v/>
      </c>
      <c r="BP97" s="39"/>
      <c r="BQ97" s="72" t="str">
        <f t="shared" si="76"/>
        <v/>
      </c>
      <c r="BR97" s="72" t="str">
        <f t="shared" si="89"/>
        <v/>
      </c>
    </row>
    <row r="98" spans="4:70" x14ac:dyDescent="0.15">
      <c r="F98" s="93"/>
      <c r="I98" s="459">
        <f t="shared" si="90"/>
        <v>2113</v>
      </c>
      <c r="J98" s="71"/>
      <c r="K98" s="71">
        <f t="shared" si="91"/>
        <v>84</v>
      </c>
      <c r="L98" s="71"/>
      <c r="M98" s="7">
        <f t="shared" si="61"/>
        <v>8.3497433152226644E-2</v>
      </c>
      <c r="N98" s="71"/>
      <c r="O98" s="10" t="str">
        <f t="shared" si="77"/>
        <v/>
      </c>
      <c r="P98" s="29" t="str">
        <f t="shared" si="62"/>
        <v/>
      </c>
      <c r="Q98" s="71"/>
      <c r="R98" s="10" t="str">
        <f t="shared" si="78"/>
        <v/>
      </c>
      <c r="S98" s="71"/>
      <c r="T98" s="10" t="str">
        <f t="shared" si="79"/>
        <v/>
      </c>
      <c r="U98" s="71"/>
      <c r="V98" s="10" t="str">
        <f t="shared" si="63"/>
        <v/>
      </c>
      <c r="W98" s="10" t="str">
        <f t="shared" si="92"/>
        <v/>
      </c>
      <c r="X98" s="71"/>
      <c r="Y98" s="10" t="str">
        <f t="shared" si="64"/>
        <v/>
      </c>
      <c r="Z98" s="10" t="str">
        <f t="shared" si="93"/>
        <v/>
      </c>
      <c r="AA98" s="71"/>
      <c r="AB98" s="10" t="str">
        <f t="shared" si="65"/>
        <v/>
      </c>
      <c r="AC98" s="10" t="str">
        <f t="shared" si="94"/>
        <v/>
      </c>
      <c r="AD98" s="71"/>
      <c r="AE98" s="10" t="str">
        <f t="shared" si="66"/>
        <v/>
      </c>
      <c r="AF98" s="10" t="str">
        <f t="shared" si="95"/>
        <v/>
      </c>
      <c r="AG98" s="71"/>
      <c r="AH98" s="10" t="str">
        <f t="shared" si="67"/>
        <v/>
      </c>
      <c r="AI98" s="10" t="str">
        <f t="shared" si="96"/>
        <v/>
      </c>
      <c r="AJ98" s="71"/>
      <c r="AK98" s="10" t="str">
        <f t="shared" si="68"/>
        <v/>
      </c>
      <c r="AL98" s="10" t="str">
        <f t="shared" si="97"/>
        <v/>
      </c>
      <c r="AM98" s="71"/>
      <c r="AN98" s="10" t="str">
        <f t="shared" si="69"/>
        <v/>
      </c>
      <c r="AO98" s="10" t="str">
        <f t="shared" si="98"/>
        <v/>
      </c>
      <c r="AP98" s="71"/>
      <c r="AQ98" s="10" t="str">
        <f t="shared" si="70"/>
        <v/>
      </c>
      <c r="AR98" s="10" t="str">
        <f t="shared" si="80"/>
        <v/>
      </c>
      <c r="AS98" s="71"/>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U98" s="71"/>
      <c r="AV98" s="10" t="str">
        <f t="shared" si="71"/>
        <v/>
      </c>
      <c r="AW98" s="10" t="str">
        <f t="shared" si="81"/>
        <v/>
      </c>
      <c r="AX98" s="71"/>
      <c r="AY98" s="7" t="str">
        <f>IF(ISERROR(IF($K98&lt;=$F$15,VLOOKUP($I98,'表4）CO2価格'!$A$7:$E$67,VLOOKUP($F$48,'表4）CO2価格'!$H$10:$I$12,2,0),0)*$F$8/1000,"")),0,IF($K98&lt;=$F$15,VLOOKUP($I98,'表4）CO2価格'!$A$7:$E$67,VLOOKUP($F$48,'表4）CO2価格'!$H$10:$I$12,2,0),0)*$F$8/1000,""))</f>
        <v/>
      </c>
      <c r="AZ98" s="71"/>
      <c r="BA98" s="11" t="str">
        <f t="shared" si="72"/>
        <v/>
      </c>
      <c r="BB98" s="10" t="str">
        <f t="shared" si="82"/>
        <v/>
      </c>
      <c r="BC98" s="71"/>
      <c r="BD98" s="10" t="str">
        <f t="shared" si="73"/>
        <v/>
      </c>
      <c r="BE98" s="10" t="str">
        <f t="shared" si="83"/>
        <v/>
      </c>
      <c r="BF98" s="71"/>
      <c r="BG98" s="11" t="str">
        <f t="shared" si="74"/>
        <v/>
      </c>
      <c r="BH98" s="10" t="str">
        <f t="shared" si="84"/>
        <v/>
      </c>
      <c r="BJ98" s="7" t="str">
        <f t="shared" si="85"/>
        <v/>
      </c>
      <c r="BK98" s="158" t="str">
        <f t="shared" si="86"/>
        <v/>
      </c>
      <c r="BL98" s="158" t="str">
        <f t="shared" si="75"/>
        <v/>
      </c>
      <c r="BM98" s="10"/>
      <c r="BN98" s="10" t="str">
        <f t="shared" si="87"/>
        <v/>
      </c>
      <c r="BO98" s="10" t="str">
        <f t="shared" si="88"/>
        <v/>
      </c>
      <c r="BQ98" s="10" t="str">
        <f t="shared" si="76"/>
        <v/>
      </c>
      <c r="BR98" s="10" t="str">
        <f t="shared" si="89"/>
        <v/>
      </c>
    </row>
    <row r="99" spans="4:70" ht="15" x14ac:dyDescent="0.15">
      <c r="D99" s="116" t="s">
        <v>200</v>
      </c>
      <c r="F99" s="94">
        <f>SUBTOTAL(9,F103:F105)</f>
        <v>2.2148228298038757</v>
      </c>
      <c r="G99" s="81" t="s">
        <v>132</v>
      </c>
      <c r="I99" s="458">
        <f t="shared" si="90"/>
        <v>2114</v>
      </c>
      <c r="J99" s="39"/>
      <c r="K99" s="39">
        <f t="shared" si="91"/>
        <v>85</v>
      </c>
      <c r="L99" s="39"/>
      <c r="M99" s="40">
        <f t="shared" si="61"/>
        <v>8.1065469079831712E-2</v>
      </c>
      <c r="N99" s="39"/>
      <c r="O99" s="72" t="str">
        <f t="shared" si="77"/>
        <v/>
      </c>
      <c r="P99" s="41" t="str">
        <f t="shared" si="62"/>
        <v/>
      </c>
      <c r="Q99" s="39"/>
      <c r="R99" s="72" t="str">
        <f t="shared" si="78"/>
        <v/>
      </c>
      <c r="S99" s="39"/>
      <c r="T99" s="72" t="str">
        <f t="shared" si="79"/>
        <v/>
      </c>
      <c r="U99" s="39"/>
      <c r="V99" s="72" t="str">
        <f t="shared" si="63"/>
        <v/>
      </c>
      <c r="W99" s="72" t="str">
        <f t="shared" si="92"/>
        <v/>
      </c>
      <c r="X99" s="39"/>
      <c r="Y99" s="72" t="str">
        <f t="shared" si="64"/>
        <v/>
      </c>
      <c r="Z99" s="72" t="str">
        <f t="shared" si="93"/>
        <v/>
      </c>
      <c r="AA99" s="39"/>
      <c r="AB99" s="72" t="str">
        <f t="shared" si="65"/>
        <v/>
      </c>
      <c r="AC99" s="72" t="str">
        <f t="shared" si="94"/>
        <v/>
      </c>
      <c r="AD99" s="39"/>
      <c r="AE99" s="72" t="str">
        <f t="shared" si="66"/>
        <v/>
      </c>
      <c r="AF99" s="72" t="str">
        <f t="shared" si="95"/>
        <v/>
      </c>
      <c r="AG99" s="39"/>
      <c r="AH99" s="72" t="str">
        <f t="shared" si="67"/>
        <v/>
      </c>
      <c r="AI99" s="72" t="str">
        <f t="shared" si="96"/>
        <v/>
      </c>
      <c r="AJ99" s="39"/>
      <c r="AK99" s="72" t="str">
        <f t="shared" si="68"/>
        <v/>
      </c>
      <c r="AL99" s="72" t="str">
        <f t="shared" si="97"/>
        <v/>
      </c>
      <c r="AM99" s="39"/>
      <c r="AN99" s="72" t="str">
        <f t="shared" si="69"/>
        <v/>
      </c>
      <c r="AO99" s="72" t="str">
        <f t="shared" si="98"/>
        <v/>
      </c>
      <c r="AP99" s="39"/>
      <c r="AQ99" s="72" t="str">
        <f t="shared" si="70"/>
        <v/>
      </c>
      <c r="AR99" s="72" t="str">
        <f t="shared" si="80"/>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71"/>
        <v/>
      </c>
      <c r="AW99" s="72" t="str">
        <f t="shared" si="81"/>
        <v/>
      </c>
      <c r="AX99" s="39"/>
      <c r="AY99" s="40" t="str">
        <f>IF(ISERROR(IF($K99&lt;=$F$15,VLOOKUP($I99,'表4）CO2価格'!$A$7:$E$67,VLOOKUP($F$48,'表4）CO2価格'!$H$10:$I$12,2,0),0)*$F$8/1000,"")),0,IF($K99&lt;=$F$15,VLOOKUP($I99,'表4）CO2価格'!$A$7:$E$67,VLOOKUP($F$48,'表4）CO2価格'!$H$10:$I$12,2,0),0)*$F$8/1000,""))</f>
        <v/>
      </c>
      <c r="AZ99" s="39"/>
      <c r="BA99" s="42" t="str">
        <f t="shared" si="72"/>
        <v/>
      </c>
      <c r="BB99" s="72" t="str">
        <f t="shared" si="82"/>
        <v/>
      </c>
      <c r="BC99" s="39"/>
      <c r="BD99" s="72" t="str">
        <f t="shared" si="73"/>
        <v/>
      </c>
      <c r="BE99" s="72" t="str">
        <f t="shared" si="83"/>
        <v/>
      </c>
      <c r="BF99" s="39"/>
      <c r="BG99" s="42" t="str">
        <f t="shared" si="74"/>
        <v/>
      </c>
      <c r="BH99" s="72" t="str">
        <f t="shared" si="84"/>
        <v/>
      </c>
      <c r="BI99" s="39"/>
      <c r="BJ99" s="40" t="str">
        <f t="shared" si="85"/>
        <v/>
      </c>
      <c r="BK99" s="157" t="str">
        <f t="shared" si="86"/>
        <v/>
      </c>
      <c r="BL99" s="157" t="str">
        <f t="shared" si="75"/>
        <v/>
      </c>
      <c r="BM99" s="72"/>
      <c r="BN99" s="72" t="str">
        <f t="shared" si="87"/>
        <v/>
      </c>
      <c r="BO99" s="72" t="str">
        <f t="shared" si="88"/>
        <v/>
      </c>
      <c r="BP99" s="39"/>
      <c r="BQ99" s="72" t="str">
        <f t="shared" si="76"/>
        <v/>
      </c>
      <c r="BR99" s="72" t="str">
        <f t="shared" si="89"/>
        <v/>
      </c>
    </row>
    <row r="100" spans="4:70" x14ac:dyDescent="0.15">
      <c r="F100" s="93"/>
      <c r="I100" s="459">
        <f t="shared" si="90"/>
        <v>2115</v>
      </c>
      <c r="J100" s="71"/>
      <c r="K100" s="71">
        <f t="shared" si="91"/>
        <v>86</v>
      </c>
      <c r="L100" s="71"/>
      <c r="M100" s="7">
        <f t="shared" si="61"/>
        <v>7.8704338912457969E-2</v>
      </c>
      <c r="N100" s="71"/>
      <c r="O100" s="10" t="str">
        <f t="shared" si="77"/>
        <v/>
      </c>
      <c r="P100" s="29" t="str">
        <f t="shared" si="62"/>
        <v/>
      </c>
      <c r="Q100" s="71"/>
      <c r="R100" s="10" t="str">
        <f t="shared" si="78"/>
        <v/>
      </c>
      <c r="S100" s="71"/>
      <c r="T100" s="10" t="str">
        <f t="shared" si="79"/>
        <v/>
      </c>
      <c r="U100" s="71"/>
      <c r="V100" s="10" t="str">
        <f t="shared" si="63"/>
        <v/>
      </c>
      <c r="W100" s="10" t="str">
        <f t="shared" si="92"/>
        <v/>
      </c>
      <c r="X100" s="71"/>
      <c r="Y100" s="10" t="str">
        <f t="shared" si="64"/>
        <v/>
      </c>
      <c r="Z100" s="10" t="str">
        <f t="shared" si="93"/>
        <v/>
      </c>
      <c r="AA100" s="71"/>
      <c r="AB100" s="10" t="str">
        <f t="shared" si="65"/>
        <v/>
      </c>
      <c r="AC100" s="10" t="str">
        <f t="shared" si="94"/>
        <v/>
      </c>
      <c r="AD100" s="71"/>
      <c r="AE100" s="10" t="str">
        <f t="shared" si="66"/>
        <v/>
      </c>
      <c r="AF100" s="10" t="str">
        <f t="shared" si="95"/>
        <v/>
      </c>
      <c r="AG100" s="71"/>
      <c r="AH100" s="10" t="str">
        <f t="shared" si="67"/>
        <v/>
      </c>
      <c r="AI100" s="10" t="str">
        <f t="shared" si="96"/>
        <v/>
      </c>
      <c r="AJ100" s="71"/>
      <c r="AK100" s="10" t="str">
        <f t="shared" si="68"/>
        <v/>
      </c>
      <c r="AL100" s="10" t="str">
        <f t="shared" si="97"/>
        <v/>
      </c>
      <c r="AM100" s="71"/>
      <c r="AN100" s="10" t="str">
        <f t="shared" si="69"/>
        <v/>
      </c>
      <c r="AO100" s="10" t="str">
        <f t="shared" si="98"/>
        <v/>
      </c>
      <c r="AP100" s="71"/>
      <c r="AQ100" s="10" t="str">
        <f t="shared" si="70"/>
        <v/>
      </c>
      <c r="AR100" s="10" t="str">
        <f t="shared" si="80"/>
        <v/>
      </c>
      <c r="AS100" s="71"/>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U100" s="71"/>
      <c r="AV100" s="10" t="str">
        <f t="shared" si="71"/>
        <v/>
      </c>
      <c r="AW100" s="10" t="str">
        <f t="shared" si="81"/>
        <v/>
      </c>
      <c r="AX100" s="71"/>
      <c r="AY100" s="7" t="str">
        <f>IF(ISERROR(IF($K100&lt;=$F$15,VLOOKUP($I100,'表4）CO2価格'!$A$7:$E$67,VLOOKUP($F$48,'表4）CO2価格'!$H$10:$I$12,2,0),0)*$F$8/1000,"")),0,IF($K100&lt;=$F$15,VLOOKUP($I100,'表4）CO2価格'!$A$7:$E$67,VLOOKUP($F$48,'表4）CO2価格'!$H$10:$I$12,2,0),0)*$F$8/1000,""))</f>
        <v/>
      </c>
      <c r="AZ100" s="71"/>
      <c r="BA100" s="11" t="str">
        <f t="shared" si="72"/>
        <v/>
      </c>
      <c r="BB100" s="10" t="str">
        <f t="shared" si="82"/>
        <v/>
      </c>
      <c r="BC100" s="71"/>
      <c r="BD100" s="10" t="str">
        <f t="shared" si="73"/>
        <v/>
      </c>
      <c r="BE100" s="10" t="str">
        <f t="shared" si="83"/>
        <v/>
      </c>
      <c r="BF100" s="71"/>
      <c r="BG100" s="11" t="str">
        <f t="shared" si="74"/>
        <v/>
      </c>
      <c r="BH100" s="10" t="str">
        <f t="shared" si="84"/>
        <v/>
      </c>
      <c r="BJ100" s="7" t="str">
        <f t="shared" si="85"/>
        <v/>
      </c>
      <c r="BK100" s="158" t="str">
        <f t="shared" si="86"/>
        <v/>
      </c>
      <c r="BL100" s="158" t="str">
        <f t="shared" si="75"/>
        <v/>
      </c>
      <c r="BM100" s="10"/>
      <c r="BN100" s="10" t="str">
        <f t="shared" si="87"/>
        <v/>
      </c>
      <c r="BO100" s="10" t="str">
        <f t="shared" si="88"/>
        <v/>
      </c>
      <c r="BQ100" s="10" t="str">
        <f t="shared" si="76"/>
        <v/>
      </c>
      <c r="BR100" s="10" t="str">
        <f t="shared" si="89"/>
        <v/>
      </c>
    </row>
    <row r="101" spans="4:70" x14ac:dyDescent="0.15">
      <c r="D101" s="101" t="s">
        <v>201</v>
      </c>
      <c r="E101" s="101"/>
      <c r="F101" s="92"/>
      <c r="G101" s="101"/>
      <c r="I101" s="458">
        <f t="shared" si="90"/>
        <v>2116</v>
      </c>
      <c r="J101" s="39"/>
      <c r="K101" s="39">
        <f t="shared" si="91"/>
        <v>87</v>
      </c>
      <c r="L101" s="39"/>
      <c r="M101" s="40">
        <f t="shared" si="61"/>
        <v>7.6411979526658208E-2</v>
      </c>
      <c r="N101" s="39"/>
      <c r="O101" s="72" t="str">
        <f t="shared" si="77"/>
        <v/>
      </c>
      <c r="P101" s="41" t="str">
        <f t="shared" si="62"/>
        <v/>
      </c>
      <c r="Q101" s="39"/>
      <c r="R101" s="72" t="str">
        <f t="shared" si="78"/>
        <v/>
      </c>
      <c r="S101" s="39"/>
      <c r="T101" s="72" t="str">
        <f t="shared" si="79"/>
        <v/>
      </c>
      <c r="U101" s="39"/>
      <c r="V101" s="72" t="str">
        <f t="shared" si="63"/>
        <v/>
      </c>
      <c r="W101" s="72" t="str">
        <f t="shared" si="92"/>
        <v/>
      </c>
      <c r="X101" s="39"/>
      <c r="Y101" s="72" t="str">
        <f t="shared" si="64"/>
        <v/>
      </c>
      <c r="Z101" s="72" t="str">
        <f t="shared" si="93"/>
        <v/>
      </c>
      <c r="AA101" s="39"/>
      <c r="AB101" s="72" t="str">
        <f t="shared" si="65"/>
        <v/>
      </c>
      <c r="AC101" s="72" t="str">
        <f t="shared" si="94"/>
        <v/>
      </c>
      <c r="AD101" s="39"/>
      <c r="AE101" s="72" t="str">
        <f t="shared" si="66"/>
        <v/>
      </c>
      <c r="AF101" s="72" t="str">
        <f t="shared" si="95"/>
        <v/>
      </c>
      <c r="AG101" s="39"/>
      <c r="AH101" s="72" t="str">
        <f t="shared" si="67"/>
        <v/>
      </c>
      <c r="AI101" s="72" t="str">
        <f t="shared" si="96"/>
        <v/>
      </c>
      <c r="AJ101" s="39"/>
      <c r="AK101" s="72" t="str">
        <f t="shared" si="68"/>
        <v/>
      </c>
      <c r="AL101" s="72" t="str">
        <f t="shared" si="97"/>
        <v/>
      </c>
      <c r="AM101" s="39"/>
      <c r="AN101" s="72" t="str">
        <f t="shared" si="69"/>
        <v/>
      </c>
      <c r="AO101" s="72" t="str">
        <f t="shared" si="98"/>
        <v/>
      </c>
      <c r="AP101" s="39"/>
      <c r="AQ101" s="72" t="str">
        <f t="shared" si="70"/>
        <v/>
      </c>
      <c r="AR101" s="72" t="str">
        <f t="shared" si="80"/>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71"/>
        <v/>
      </c>
      <c r="AW101" s="72" t="str">
        <f t="shared" si="81"/>
        <v/>
      </c>
      <c r="AX101" s="39"/>
      <c r="AY101" s="40" t="str">
        <f>IF(ISERROR(IF($K101&lt;=$F$15,VLOOKUP($I101,'表4）CO2価格'!$A$7:$E$67,VLOOKUP($F$48,'表4）CO2価格'!$H$10:$I$12,2,0),0)*$F$8/1000,"")),0,IF($K101&lt;=$F$15,VLOOKUP($I101,'表4）CO2価格'!$A$7:$E$67,VLOOKUP($F$48,'表4）CO2価格'!$H$10:$I$12,2,0),0)*$F$8/1000,""))</f>
        <v/>
      </c>
      <c r="AZ101" s="39"/>
      <c r="BA101" s="42" t="str">
        <f t="shared" si="72"/>
        <v/>
      </c>
      <c r="BB101" s="72" t="str">
        <f t="shared" si="82"/>
        <v/>
      </c>
      <c r="BC101" s="39"/>
      <c r="BD101" s="72" t="str">
        <f t="shared" si="73"/>
        <v/>
      </c>
      <c r="BE101" s="72" t="str">
        <f t="shared" si="83"/>
        <v/>
      </c>
      <c r="BF101" s="39"/>
      <c r="BG101" s="42" t="str">
        <f t="shared" si="74"/>
        <v/>
      </c>
      <c r="BH101" s="72" t="str">
        <f t="shared" si="84"/>
        <v/>
      </c>
      <c r="BI101" s="39"/>
      <c r="BJ101" s="40" t="str">
        <f t="shared" si="85"/>
        <v/>
      </c>
      <c r="BK101" s="157" t="str">
        <f t="shared" si="86"/>
        <v/>
      </c>
      <c r="BL101" s="157" t="str">
        <f t="shared" si="75"/>
        <v/>
      </c>
      <c r="BM101" s="72"/>
      <c r="BN101" s="72" t="str">
        <f t="shared" si="87"/>
        <v/>
      </c>
      <c r="BO101" s="72" t="str">
        <f t="shared" si="88"/>
        <v/>
      </c>
      <c r="BP101" s="39"/>
      <c r="BQ101" s="72" t="str">
        <f t="shared" si="76"/>
        <v/>
      </c>
      <c r="BR101" s="72" t="str">
        <f t="shared" si="89"/>
        <v/>
      </c>
    </row>
    <row r="102" spans="4:70" x14ac:dyDescent="0.15">
      <c r="F102" s="93"/>
      <c r="I102" s="459">
        <f t="shared" si="90"/>
        <v>2117</v>
      </c>
      <c r="J102" s="71"/>
      <c r="K102" s="71">
        <f t="shared" si="91"/>
        <v>88</v>
      </c>
      <c r="L102" s="71"/>
      <c r="M102" s="7">
        <f t="shared" si="61"/>
        <v>7.4186387889959446E-2</v>
      </c>
      <c r="N102" s="71"/>
      <c r="O102" s="10" t="str">
        <f t="shared" si="77"/>
        <v/>
      </c>
      <c r="P102" s="29" t="str">
        <f t="shared" si="62"/>
        <v/>
      </c>
      <c r="Q102" s="71"/>
      <c r="R102" s="10" t="str">
        <f t="shared" si="78"/>
        <v/>
      </c>
      <c r="S102" s="71"/>
      <c r="T102" s="10" t="str">
        <f t="shared" si="79"/>
        <v/>
      </c>
      <c r="U102" s="71"/>
      <c r="V102" s="10" t="str">
        <f t="shared" si="63"/>
        <v/>
      </c>
      <c r="W102" s="10" t="str">
        <f t="shared" si="92"/>
        <v/>
      </c>
      <c r="X102" s="71"/>
      <c r="Y102" s="10" t="str">
        <f t="shared" si="64"/>
        <v/>
      </c>
      <c r="Z102" s="10" t="str">
        <f t="shared" si="93"/>
        <v/>
      </c>
      <c r="AA102" s="71"/>
      <c r="AB102" s="10" t="str">
        <f t="shared" si="65"/>
        <v/>
      </c>
      <c r="AC102" s="10" t="str">
        <f t="shared" si="94"/>
        <v/>
      </c>
      <c r="AD102" s="71"/>
      <c r="AE102" s="10" t="str">
        <f t="shared" si="66"/>
        <v/>
      </c>
      <c r="AF102" s="10" t="str">
        <f t="shared" si="95"/>
        <v/>
      </c>
      <c r="AG102" s="71"/>
      <c r="AH102" s="10" t="str">
        <f t="shared" si="67"/>
        <v/>
      </c>
      <c r="AI102" s="10" t="str">
        <f t="shared" si="96"/>
        <v/>
      </c>
      <c r="AJ102" s="71"/>
      <c r="AK102" s="10" t="str">
        <f t="shared" si="68"/>
        <v/>
      </c>
      <c r="AL102" s="10" t="str">
        <f t="shared" si="97"/>
        <v/>
      </c>
      <c r="AM102" s="71"/>
      <c r="AN102" s="10" t="str">
        <f t="shared" si="69"/>
        <v/>
      </c>
      <c r="AO102" s="10" t="str">
        <f t="shared" si="98"/>
        <v/>
      </c>
      <c r="AP102" s="71"/>
      <c r="AQ102" s="10" t="str">
        <f t="shared" si="70"/>
        <v/>
      </c>
      <c r="AR102" s="10" t="str">
        <f t="shared" si="80"/>
        <v/>
      </c>
      <c r="AS102" s="71"/>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U102" s="71"/>
      <c r="AV102" s="10" t="str">
        <f t="shared" si="71"/>
        <v/>
      </c>
      <c r="AW102" s="10" t="str">
        <f t="shared" si="81"/>
        <v/>
      </c>
      <c r="AX102" s="71"/>
      <c r="AY102" s="7" t="str">
        <f>IF(ISERROR(IF($K102&lt;=$F$15,VLOOKUP($I102,'表4）CO2価格'!$A$7:$E$67,VLOOKUP($F$48,'表4）CO2価格'!$H$10:$I$12,2,0),0)*$F$8/1000,"")),0,IF($K102&lt;=$F$15,VLOOKUP($I102,'表4）CO2価格'!$A$7:$E$67,VLOOKUP($F$48,'表4）CO2価格'!$H$10:$I$12,2,0),0)*$F$8/1000,""))</f>
        <v/>
      </c>
      <c r="AZ102" s="71"/>
      <c r="BA102" s="11" t="str">
        <f t="shared" si="72"/>
        <v/>
      </c>
      <c r="BB102" s="10" t="str">
        <f t="shared" si="82"/>
        <v/>
      </c>
      <c r="BC102" s="71"/>
      <c r="BD102" s="10" t="str">
        <f t="shared" si="73"/>
        <v/>
      </c>
      <c r="BE102" s="10" t="str">
        <f t="shared" si="83"/>
        <v/>
      </c>
      <c r="BF102" s="71"/>
      <c r="BG102" s="11" t="str">
        <f t="shared" si="74"/>
        <v/>
      </c>
      <c r="BH102" s="10" t="str">
        <f t="shared" si="84"/>
        <v/>
      </c>
      <c r="BJ102" s="7" t="str">
        <f t="shared" si="85"/>
        <v/>
      </c>
      <c r="BK102" s="158" t="str">
        <f t="shared" si="86"/>
        <v/>
      </c>
      <c r="BL102" s="158" t="str">
        <f t="shared" si="75"/>
        <v/>
      </c>
      <c r="BM102" s="10"/>
      <c r="BN102" s="10" t="str">
        <f t="shared" si="87"/>
        <v/>
      </c>
      <c r="BO102" s="10" t="str">
        <f t="shared" si="88"/>
        <v/>
      </c>
      <c r="BQ102" s="10" t="str">
        <f t="shared" si="76"/>
        <v/>
      </c>
      <c r="BR102" s="10" t="str">
        <f t="shared" si="89"/>
        <v/>
      </c>
    </row>
    <row r="103" spans="4:70" x14ac:dyDescent="0.15">
      <c r="E103" s="81" t="s">
        <v>202</v>
      </c>
      <c r="F103" s="91">
        <f>BB116/$BR$116</f>
        <v>2.0748228298038756</v>
      </c>
      <c r="G103" s="81" t="s">
        <v>132</v>
      </c>
      <c r="I103" s="458">
        <f t="shared" si="90"/>
        <v>2118</v>
      </c>
      <c r="J103" s="39"/>
      <c r="K103" s="39">
        <f t="shared" si="91"/>
        <v>89</v>
      </c>
      <c r="L103" s="39"/>
      <c r="M103" s="40">
        <f t="shared" si="61"/>
        <v>7.2025619310640235E-2</v>
      </c>
      <c r="N103" s="39"/>
      <c r="O103" s="72" t="str">
        <f t="shared" si="77"/>
        <v/>
      </c>
      <c r="P103" s="41" t="str">
        <f t="shared" si="62"/>
        <v/>
      </c>
      <c r="Q103" s="39"/>
      <c r="R103" s="72" t="str">
        <f t="shared" si="78"/>
        <v/>
      </c>
      <c r="S103" s="39"/>
      <c r="T103" s="72" t="str">
        <f t="shared" si="79"/>
        <v/>
      </c>
      <c r="U103" s="39"/>
      <c r="V103" s="72" t="str">
        <f t="shared" si="63"/>
        <v/>
      </c>
      <c r="W103" s="72" t="str">
        <f t="shared" si="92"/>
        <v/>
      </c>
      <c r="X103" s="39"/>
      <c r="Y103" s="72" t="str">
        <f t="shared" si="64"/>
        <v/>
      </c>
      <c r="Z103" s="72" t="str">
        <f t="shared" si="93"/>
        <v/>
      </c>
      <c r="AA103" s="39"/>
      <c r="AB103" s="72" t="str">
        <f t="shared" si="65"/>
        <v/>
      </c>
      <c r="AC103" s="72" t="str">
        <f t="shared" si="94"/>
        <v/>
      </c>
      <c r="AD103" s="39"/>
      <c r="AE103" s="72" t="str">
        <f t="shared" si="66"/>
        <v/>
      </c>
      <c r="AF103" s="72" t="str">
        <f t="shared" si="95"/>
        <v/>
      </c>
      <c r="AG103" s="39"/>
      <c r="AH103" s="72" t="str">
        <f t="shared" si="67"/>
        <v/>
      </c>
      <c r="AI103" s="72" t="str">
        <f t="shared" si="96"/>
        <v/>
      </c>
      <c r="AJ103" s="39"/>
      <c r="AK103" s="72" t="str">
        <f t="shared" si="68"/>
        <v/>
      </c>
      <c r="AL103" s="72" t="str">
        <f t="shared" si="97"/>
        <v/>
      </c>
      <c r="AM103" s="39"/>
      <c r="AN103" s="72" t="str">
        <f t="shared" si="69"/>
        <v/>
      </c>
      <c r="AO103" s="72" t="str">
        <f t="shared" si="98"/>
        <v/>
      </c>
      <c r="AP103" s="39"/>
      <c r="AQ103" s="72" t="str">
        <f t="shared" si="70"/>
        <v/>
      </c>
      <c r="AR103" s="72" t="str">
        <f t="shared" si="80"/>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71"/>
        <v/>
      </c>
      <c r="AW103" s="72" t="str">
        <f t="shared" si="81"/>
        <v/>
      </c>
      <c r="AX103" s="39"/>
      <c r="AY103" s="40" t="str">
        <f>IF(ISERROR(IF($K103&lt;=$F$15,VLOOKUP($I103,'表4）CO2価格'!$A$7:$E$67,VLOOKUP($F$48,'表4）CO2価格'!$H$10:$I$12,2,0),0)*$F$8/1000,"")),0,IF($K103&lt;=$F$15,VLOOKUP($I103,'表4）CO2価格'!$A$7:$E$67,VLOOKUP($F$48,'表4）CO2価格'!$H$10:$I$12,2,0),0)*$F$8/1000,""))</f>
        <v/>
      </c>
      <c r="AZ103" s="39"/>
      <c r="BA103" s="42" t="str">
        <f t="shared" si="72"/>
        <v/>
      </c>
      <c r="BB103" s="72" t="str">
        <f t="shared" si="82"/>
        <v/>
      </c>
      <c r="BC103" s="39"/>
      <c r="BD103" s="72" t="str">
        <f t="shared" si="73"/>
        <v/>
      </c>
      <c r="BE103" s="72" t="str">
        <f t="shared" si="83"/>
        <v/>
      </c>
      <c r="BF103" s="39"/>
      <c r="BG103" s="42" t="str">
        <f t="shared" si="74"/>
        <v/>
      </c>
      <c r="BH103" s="72" t="str">
        <f t="shared" si="84"/>
        <v/>
      </c>
      <c r="BI103" s="39"/>
      <c r="BJ103" s="40" t="str">
        <f t="shared" si="85"/>
        <v/>
      </c>
      <c r="BK103" s="157" t="str">
        <f t="shared" si="86"/>
        <v/>
      </c>
      <c r="BL103" s="157" t="str">
        <f t="shared" si="75"/>
        <v/>
      </c>
      <c r="BM103" s="72"/>
      <c r="BN103" s="72" t="str">
        <f t="shared" si="87"/>
        <v/>
      </c>
      <c r="BO103" s="72" t="str">
        <f t="shared" si="88"/>
        <v/>
      </c>
      <c r="BP103" s="39"/>
      <c r="BQ103" s="72" t="str">
        <f t="shared" si="76"/>
        <v/>
      </c>
      <c r="BR103" s="72" t="str">
        <f t="shared" si="89"/>
        <v/>
      </c>
    </row>
    <row r="104" spans="4:70" x14ac:dyDescent="0.15">
      <c r="E104" s="81" t="s">
        <v>203</v>
      </c>
      <c r="F104" s="91">
        <f>IF(ISERROR(F60*(1/F61)/F62),0,F60*(1/F61)/F62)</f>
        <v>0</v>
      </c>
      <c r="G104" s="81" t="s">
        <v>132</v>
      </c>
      <c r="I104" s="459">
        <f t="shared" si="90"/>
        <v>2119</v>
      </c>
      <c r="J104" s="71"/>
      <c r="K104" s="71">
        <f t="shared" si="91"/>
        <v>90</v>
      </c>
      <c r="L104" s="71"/>
      <c r="M104" s="7">
        <f t="shared" si="61"/>
        <v>6.9927785738485654E-2</v>
      </c>
      <c r="N104" s="71"/>
      <c r="O104" s="10" t="str">
        <f t="shared" si="77"/>
        <v/>
      </c>
      <c r="P104" s="29" t="str">
        <f t="shared" si="62"/>
        <v/>
      </c>
      <c r="Q104" s="71"/>
      <c r="R104" s="10" t="str">
        <f t="shared" si="78"/>
        <v/>
      </c>
      <c r="S104" s="71"/>
      <c r="T104" s="10" t="str">
        <f t="shared" si="79"/>
        <v/>
      </c>
      <c r="U104" s="71"/>
      <c r="V104" s="10" t="str">
        <f t="shared" si="63"/>
        <v/>
      </c>
      <c r="W104" s="10" t="str">
        <f t="shared" si="92"/>
        <v/>
      </c>
      <c r="X104" s="71"/>
      <c r="Y104" s="10" t="str">
        <f t="shared" si="64"/>
        <v/>
      </c>
      <c r="Z104" s="10" t="str">
        <f t="shared" si="93"/>
        <v/>
      </c>
      <c r="AA104" s="71"/>
      <c r="AB104" s="10" t="str">
        <f t="shared" si="65"/>
        <v/>
      </c>
      <c r="AC104" s="10" t="str">
        <f t="shared" si="94"/>
        <v/>
      </c>
      <c r="AD104" s="71"/>
      <c r="AE104" s="10" t="str">
        <f t="shared" si="66"/>
        <v/>
      </c>
      <c r="AF104" s="10" t="str">
        <f t="shared" si="95"/>
        <v/>
      </c>
      <c r="AG104" s="71"/>
      <c r="AH104" s="10" t="str">
        <f t="shared" si="67"/>
        <v/>
      </c>
      <c r="AI104" s="10" t="str">
        <f t="shared" si="96"/>
        <v/>
      </c>
      <c r="AJ104" s="71"/>
      <c r="AK104" s="10" t="str">
        <f t="shared" si="68"/>
        <v/>
      </c>
      <c r="AL104" s="10" t="str">
        <f t="shared" si="97"/>
        <v/>
      </c>
      <c r="AM104" s="71"/>
      <c r="AN104" s="10" t="str">
        <f t="shared" si="69"/>
        <v/>
      </c>
      <c r="AO104" s="10" t="str">
        <f t="shared" si="98"/>
        <v/>
      </c>
      <c r="AP104" s="71"/>
      <c r="AQ104" s="10" t="str">
        <f t="shared" si="70"/>
        <v/>
      </c>
      <c r="AR104" s="10" t="str">
        <f t="shared" si="80"/>
        <v/>
      </c>
      <c r="AS104" s="71"/>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U104" s="71"/>
      <c r="AV104" s="10" t="str">
        <f t="shared" si="71"/>
        <v/>
      </c>
      <c r="AW104" s="10" t="str">
        <f t="shared" si="81"/>
        <v/>
      </c>
      <c r="AX104" s="71"/>
      <c r="AY104" s="7" t="str">
        <f>IF(ISERROR(IF($K104&lt;=$F$15,VLOOKUP($I104,'表4）CO2価格'!$A$7:$E$67,VLOOKUP($F$48,'表4）CO2価格'!$H$10:$I$12,2,0),0)*$F$8/1000,"")),0,IF($K104&lt;=$F$15,VLOOKUP($I104,'表4）CO2価格'!$A$7:$E$67,VLOOKUP($F$48,'表4）CO2価格'!$H$10:$I$12,2,0),0)*$F$8/1000,""))</f>
        <v/>
      </c>
      <c r="AZ104" s="71"/>
      <c r="BA104" s="11" t="str">
        <f t="shared" si="72"/>
        <v/>
      </c>
      <c r="BB104" s="10" t="str">
        <f t="shared" si="82"/>
        <v/>
      </c>
      <c r="BC104" s="71"/>
      <c r="BD104" s="10" t="str">
        <f t="shared" si="73"/>
        <v/>
      </c>
      <c r="BE104" s="10" t="str">
        <f t="shared" si="83"/>
        <v/>
      </c>
      <c r="BF104" s="71"/>
      <c r="BG104" s="11" t="str">
        <f t="shared" si="74"/>
        <v/>
      </c>
      <c r="BH104" s="10" t="str">
        <f t="shared" si="84"/>
        <v/>
      </c>
      <c r="BJ104" s="7" t="str">
        <f t="shared" si="85"/>
        <v/>
      </c>
      <c r="BK104" s="158" t="str">
        <f t="shared" si="86"/>
        <v/>
      </c>
      <c r="BL104" s="158" t="str">
        <f t="shared" si="75"/>
        <v/>
      </c>
      <c r="BM104" s="10"/>
      <c r="BN104" s="10" t="str">
        <f t="shared" si="87"/>
        <v/>
      </c>
      <c r="BO104" s="10" t="str">
        <f t="shared" si="88"/>
        <v/>
      </c>
      <c r="BQ104" s="10" t="str">
        <f t="shared" si="76"/>
        <v/>
      </c>
      <c r="BR104" s="10" t="str">
        <f t="shared" si="89"/>
        <v/>
      </c>
    </row>
    <row r="105" spans="4:70" x14ac:dyDescent="0.15">
      <c r="E105" s="9" t="s">
        <v>367</v>
      </c>
      <c r="F105" s="91">
        <f>F64</f>
        <v>0.14000000000000001</v>
      </c>
      <c r="G105" s="81" t="s">
        <v>132</v>
      </c>
      <c r="I105" s="458">
        <f t="shared" si="90"/>
        <v>2120</v>
      </c>
      <c r="J105" s="39"/>
      <c r="K105" s="39">
        <f t="shared" si="91"/>
        <v>91</v>
      </c>
      <c r="L105" s="39"/>
      <c r="M105" s="40">
        <f t="shared" si="61"/>
        <v>6.7891054115034627E-2</v>
      </c>
      <c r="N105" s="39"/>
      <c r="O105" s="72" t="str">
        <f t="shared" si="77"/>
        <v/>
      </c>
      <c r="P105" s="41" t="str">
        <f t="shared" si="62"/>
        <v/>
      </c>
      <c r="Q105" s="39"/>
      <c r="R105" s="72" t="str">
        <f t="shared" si="78"/>
        <v/>
      </c>
      <c r="S105" s="39"/>
      <c r="T105" s="72" t="str">
        <f t="shared" si="79"/>
        <v/>
      </c>
      <c r="U105" s="39"/>
      <c r="V105" s="72" t="str">
        <f t="shared" si="63"/>
        <v/>
      </c>
      <c r="W105" s="72" t="str">
        <f t="shared" si="92"/>
        <v/>
      </c>
      <c r="X105" s="39"/>
      <c r="Y105" s="72" t="str">
        <f t="shared" si="64"/>
        <v/>
      </c>
      <c r="Z105" s="72" t="str">
        <f t="shared" si="93"/>
        <v/>
      </c>
      <c r="AA105" s="39"/>
      <c r="AB105" s="72" t="str">
        <f t="shared" si="65"/>
        <v/>
      </c>
      <c r="AC105" s="72" t="str">
        <f t="shared" si="94"/>
        <v/>
      </c>
      <c r="AD105" s="39"/>
      <c r="AE105" s="72" t="str">
        <f t="shared" si="66"/>
        <v/>
      </c>
      <c r="AF105" s="72" t="str">
        <f t="shared" si="95"/>
        <v/>
      </c>
      <c r="AG105" s="39"/>
      <c r="AH105" s="72" t="str">
        <f t="shared" si="67"/>
        <v/>
      </c>
      <c r="AI105" s="72" t="str">
        <f t="shared" si="96"/>
        <v/>
      </c>
      <c r="AJ105" s="39"/>
      <c r="AK105" s="72" t="str">
        <f t="shared" si="68"/>
        <v/>
      </c>
      <c r="AL105" s="72" t="str">
        <f t="shared" si="97"/>
        <v/>
      </c>
      <c r="AM105" s="39"/>
      <c r="AN105" s="72" t="str">
        <f t="shared" si="69"/>
        <v/>
      </c>
      <c r="AO105" s="72" t="str">
        <f t="shared" si="98"/>
        <v/>
      </c>
      <c r="AP105" s="39"/>
      <c r="AQ105" s="72" t="str">
        <f t="shared" si="70"/>
        <v/>
      </c>
      <c r="AR105" s="72" t="str">
        <f t="shared" si="80"/>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71"/>
        <v/>
      </c>
      <c r="AW105" s="72" t="str">
        <f t="shared" si="81"/>
        <v/>
      </c>
      <c r="AX105" s="39"/>
      <c r="AY105" s="40" t="str">
        <f>IF(ISERROR(IF($K105&lt;=$F$15,VLOOKUP($I105,'表4）CO2価格'!$A$7:$E$67,VLOOKUP($F$48,'表4）CO2価格'!$H$10:$I$12,2,0),0)*$F$8/1000,"")),0,IF($K105&lt;=$F$15,VLOOKUP($I105,'表4）CO2価格'!$A$7:$E$67,VLOOKUP($F$48,'表4）CO2価格'!$H$10:$I$12,2,0),0)*$F$8/1000,""))</f>
        <v/>
      </c>
      <c r="AZ105" s="39"/>
      <c r="BA105" s="42" t="str">
        <f t="shared" si="72"/>
        <v/>
      </c>
      <c r="BB105" s="72" t="str">
        <f t="shared" si="82"/>
        <v/>
      </c>
      <c r="BC105" s="39"/>
      <c r="BD105" s="72" t="str">
        <f t="shared" si="73"/>
        <v/>
      </c>
      <c r="BE105" s="72" t="str">
        <f t="shared" si="83"/>
        <v/>
      </c>
      <c r="BF105" s="39"/>
      <c r="BG105" s="42" t="str">
        <f t="shared" si="74"/>
        <v/>
      </c>
      <c r="BH105" s="72" t="str">
        <f t="shared" si="84"/>
        <v/>
      </c>
      <c r="BI105" s="39"/>
      <c r="BJ105" s="40" t="str">
        <f t="shared" si="85"/>
        <v/>
      </c>
      <c r="BK105" s="157" t="str">
        <f t="shared" si="86"/>
        <v/>
      </c>
      <c r="BL105" s="157" t="str">
        <f t="shared" si="75"/>
        <v/>
      </c>
      <c r="BM105" s="72"/>
      <c r="BN105" s="72" t="str">
        <f t="shared" si="87"/>
        <v/>
      </c>
      <c r="BO105" s="72" t="str">
        <f t="shared" si="88"/>
        <v/>
      </c>
      <c r="BP105" s="39"/>
      <c r="BQ105" s="72" t="str">
        <f t="shared" si="76"/>
        <v/>
      </c>
      <c r="BR105" s="72" t="str">
        <f t="shared" si="89"/>
        <v/>
      </c>
    </row>
    <row r="106" spans="4:70" x14ac:dyDescent="0.15">
      <c r="F106" s="93"/>
      <c r="I106" s="459">
        <f t="shared" si="90"/>
        <v>2121</v>
      </c>
      <c r="J106" s="71"/>
      <c r="K106" s="71">
        <f t="shared" si="91"/>
        <v>92</v>
      </c>
      <c r="L106" s="71"/>
      <c r="M106" s="7">
        <f t="shared" si="61"/>
        <v>6.5913644771878277E-2</v>
      </c>
      <c r="N106" s="71"/>
      <c r="O106" s="10" t="str">
        <f t="shared" si="77"/>
        <v/>
      </c>
      <c r="P106" s="29" t="str">
        <f t="shared" si="62"/>
        <v/>
      </c>
      <c r="Q106" s="71"/>
      <c r="R106" s="10" t="str">
        <f t="shared" si="78"/>
        <v/>
      </c>
      <c r="S106" s="71"/>
      <c r="T106" s="10" t="str">
        <f t="shared" si="79"/>
        <v/>
      </c>
      <c r="U106" s="71"/>
      <c r="V106" s="10" t="str">
        <f t="shared" si="63"/>
        <v/>
      </c>
      <c r="W106" s="10" t="str">
        <f t="shared" si="92"/>
        <v/>
      </c>
      <c r="X106" s="71"/>
      <c r="Y106" s="10" t="str">
        <f t="shared" si="64"/>
        <v/>
      </c>
      <c r="Z106" s="10" t="str">
        <f t="shared" si="93"/>
        <v/>
      </c>
      <c r="AA106" s="71"/>
      <c r="AB106" s="10" t="str">
        <f t="shared" si="65"/>
        <v/>
      </c>
      <c r="AC106" s="10" t="str">
        <f t="shared" si="94"/>
        <v/>
      </c>
      <c r="AD106" s="71"/>
      <c r="AE106" s="10" t="str">
        <f t="shared" si="66"/>
        <v/>
      </c>
      <c r="AF106" s="10" t="str">
        <f t="shared" si="95"/>
        <v/>
      </c>
      <c r="AG106" s="71"/>
      <c r="AH106" s="10" t="str">
        <f t="shared" si="67"/>
        <v/>
      </c>
      <c r="AI106" s="10" t="str">
        <f t="shared" si="96"/>
        <v/>
      </c>
      <c r="AJ106" s="71"/>
      <c r="AK106" s="10" t="str">
        <f t="shared" si="68"/>
        <v/>
      </c>
      <c r="AL106" s="10" t="str">
        <f t="shared" si="97"/>
        <v/>
      </c>
      <c r="AM106" s="71"/>
      <c r="AN106" s="10" t="str">
        <f t="shared" si="69"/>
        <v/>
      </c>
      <c r="AO106" s="10" t="str">
        <f t="shared" si="98"/>
        <v/>
      </c>
      <c r="AP106" s="71"/>
      <c r="AQ106" s="10" t="str">
        <f t="shared" si="70"/>
        <v/>
      </c>
      <c r="AR106" s="10" t="str">
        <f t="shared" si="80"/>
        <v/>
      </c>
      <c r="AS106" s="71"/>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U106" s="71"/>
      <c r="AV106" s="10" t="str">
        <f t="shared" si="71"/>
        <v/>
      </c>
      <c r="AW106" s="10" t="str">
        <f t="shared" si="81"/>
        <v/>
      </c>
      <c r="AX106" s="71"/>
      <c r="AY106" s="7" t="str">
        <f>IF(ISERROR(IF($K106&lt;=$F$15,VLOOKUP($I106,'表4）CO2価格'!$A$7:$E$67,VLOOKUP($F$48,'表4）CO2価格'!$H$10:$I$12,2,0),0)*$F$8/1000,"")),0,IF($K106&lt;=$F$15,VLOOKUP($I106,'表4）CO2価格'!$A$7:$E$67,VLOOKUP($F$48,'表4）CO2価格'!$H$10:$I$12,2,0),0)*$F$8/1000,""))</f>
        <v/>
      </c>
      <c r="AZ106" s="71"/>
      <c r="BA106" s="11" t="str">
        <f t="shared" si="72"/>
        <v/>
      </c>
      <c r="BB106" s="10" t="str">
        <f t="shared" si="82"/>
        <v/>
      </c>
      <c r="BC106" s="71"/>
      <c r="BD106" s="10" t="str">
        <f t="shared" si="73"/>
        <v/>
      </c>
      <c r="BE106" s="10" t="str">
        <f t="shared" si="83"/>
        <v/>
      </c>
      <c r="BF106" s="71"/>
      <c r="BG106" s="11" t="str">
        <f t="shared" si="74"/>
        <v/>
      </c>
      <c r="BH106" s="10" t="str">
        <f t="shared" si="84"/>
        <v/>
      </c>
      <c r="BJ106" s="7" t="str">
        <f t="shared" si="85"/>
        <v/>
      </c>
      <c r="BK106" s="158" t="str">
        <f t="shared" si="86"/>
        <v/>
      </c>
      <c r="BL106" s="158" t="str">
        <f t="shared" si="75"/>
        <v/>
      </c>
      <c r="BM106" s="10"/>
      <c r="BN106" s="10" t="str">
        <f t="shared" si="87"/>
        <v/>
      </c>
      <c r="BO106" s="10" t="str">
        <f t="shared" si="88"/>
        <v/>
      </c>
      <c r="BQ106" s="10" t="str">
        <f t="shared" si="76"/>
        <v/>
      </c>
      <c r="BR106" s="10" t="str">
        <f t="shared" si="89"/>
        <v/>
      </c>
    </row>
    <row r="107" spans="4:70" ht="15" x14ac:dyDescent="0.15">
      <c r="D107" s="116" t="s">
        <v>204</v>
      </c>
      <c r="F107" s="94">
        <f>SUBTOTAL(9,F111:F112)</f>
        <v>0</v>
      </c>
      <c r="G107" s="81" t="s">
        <v>132</v>
      </c>
      <c r="I107" s="458">
        <f t="shared" si="90"/>
        <v>2122</v>
      </c>
      <c r="J107" s="39"/>
      <c r="K107" s="39">
        <f t="shared" si="91"/>
        <v>93</v>
      </c>
      <c r="L107" s="39"/>
      <c r="M107" s="40">
        <f t="shared" si="61"/>
        <v>6.3993829875609989E-2</v>
      </c>
      <c r="N107" s="39"/>
      <c r="O107" s="72" t="str">
        <f t="shared" si="77"/>
        <v/>
      </c>
      <c r="P107" s="41" t="str">
        <f t="shared" si="62"/>
        <v/>
      </c>
      <c r="Q107" s="39"/>
      <c r="R107" s="72" t="str">
        <f t="shared" si="78"/>
        <v/>
      </c>
      <c r="S107" s="39"/>
      <c r="T107" s="72" t="str">
        <f t="shared" si="79"/>
        <v/>
      </c>
      <c r="U107" s="39"/>
      <c r="V107" s="72" t="str">
        <f t="shared" si="63"/>
        <v/>
      </c>
      <c r="W107" s="72" t="str">
        <f t="shared" si="92"/>
        <v/>
      </c>
      <c r="X107" s="39"/>
      <c r="Y107" s="72" t="str">
        <f t="shared" si="64"/>
        <v/>
      </c>
      <c r="Z107" s="72" t="str">
        <f t="shared" si="93"/>
        <v/>
      </c>
      <c r="AA107" s="39"/>
      <c r="AB107" s="72" t="str">
        <f t="shared" si="65"/>
        <v/>
      </c>
      <c r="AC107" s="72" t="str">
        <f t="shared" si="94"/>
        <v/>
      </c>
      <c r="AD107" s="39"/>
      <c r="AE107" s="72" t="str">
        <f t="shared" si="66"/>
        <v/>
      </c>
      <c r="AF107" s="72" t="str">
        <f t="shared" si="95"/>
        <v/>
      </c>
      <c r="AG107" s="39"/>
      <c r="AH107" s="72" t="str">
        <f t="shared" si="67"/>
        <v/>
      </c>
      <c r="AI107" s="72" t="str">
        <f t="shared" si="96"/>
        <v/>
      </c>
      <c r="AJ107" s="39"/>
      <c r="AK107" s="72" t="str">
        <f t="shared" si="68"/>
        <v/>
      </c>
      <c r="AL107" s="72" t="str">
        <f t="shared" si="97"/>
        <v/>
      </c>
      <c r="AM107" s="39"/>
      <c r="AN107" s="72" t="str">
        <f t="shared" si="69"/>
        <v/>
      </c>
      <c r="AO107" s="72" t="str">
        <f t="shared" si="98"/>
        <v/>
      </c>
      <c r="AP107" s="39"/>
      <c r="AQ107" s="72" t="str">
        <f t="shared" si="70"/>
        <v/>
      </c>
      <c r="AR107" s="72" t="str">
        <f t="shared" si="80"/>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71"/>
        <v/>
      </c>
      <c r="AW107" s="72" t="str">
        <f t="shared" si="81"/>
        <v/>
      </c>
      <c r="AX107" s="39"/>
      <c r="AY107" s="40" t="str">
        <f>IF(ISERROR(IF($K107&lt;=$F$15,VLOOKUP($I107,'表4）CO2価格'!$A$7:$E$67,VLOOKUP($F$48,'表4）CO2価格'!$H$10:$I$12,2,0),0)*$F$8/1000,"")),0,IF($K107&lt;=$F$15,VLOOKUP($I107,'表4）CO2価格'!$A$7:$E$67,VLOOKUP($F$48,'表4）CO2価格'!$H$10:$I$12,2,0),0)*$F$8/1000,""))</f>
        <v/>
      </c>
      <c r="AZ107" s="39"/>
      <c r="BA107" s="42" t="str">
        <f t="shared" si="72"/>
        <v/>
      </c>
      <c r="BB107" s="72" t="str">
        <f t="shared" si="82"/>
        <v/>
      </c>
      <c r="BC107" s="39"/>
      <c r="BD107" s="72" t="str">
        <f t="shared" si="73"/>
        <v/>
      </c>
      <c r="BE107" s="72" t="str">
        <f t="shared" si="83"/>
        <v/>
      </c>
      <c r="BF107" s="39"/>
      <c r="BG107" s="42" t="str">
        <f t="shared" si="74"/>
        <v/>
      </c>
      <c r="BH107" s="72" t="str">
        <f t="shared" si="84"/>
        <v/>
      </c>
      <c r="BI107" s="39"/>
      <c r="BJ107" s="40" t="str">
        <f t="shared" si="85"/>
        <v/>
      </c>
      <c r="BK107" s="157" t="str">
        <f t="shared" si="86"/>
        <v/>
      </c>
      <c r="BL107" s="157" t="str">
        <f t="shared" si="75"/>
        <v/>
      </c>
      <c r="BM107" s="72"/>
      <c r="BN107" s="72" t="str">
        <f t="shared" si="87"/>
        <v/>
      </c>
      <c r="BO107" s="72" t="str">
        <f t="shared" si="88"/>
        <v/>
      </c>
      <c r="BP107" s="39"/>
      <c r="BQ107" s="72" t="str">
        <f t="shared" si="76"/>
        <v/>
      </c>
      <c r="BR107" s="72" t="str">
        <f t="shared" si="89"/>
        <v/>
      </c>
    </row>
    <row r="108" spans="4:70" ht="15" x14ac:dyDescent="0.15">
      <c r="D108" s="116"/>
      <c r="F108" s="93"/>
      <c r="I108" s="459">
        <f t="shared" si="90"/>
        <v>2123</v>
      </c>
      <c r="J108" s="71"/>
      <c r="K108" s="71">
        <f t="shared" si="91"/>
        <v>94</v>
      </c>
      <c r="L108" s="71"/>
      <c r="M108" s="7">
        <f t="shared" si="61"/>
        <v>6.212993191806794E-2</v>
      </c>
      <c r="N108" s="71"/>
      <c r="O108" s="10" t="str">
        <f t="shared" si="77"/>
        <v/>
      </c>
      <c r="P108" s="29" t="str">
        <f t="shared" si="62"/>
        <v/>
      </c>
      <c r="Q108" s="71"/>
      <c r="R108" s="10" t="str">
        <f t="shared" si="78"/>
        <v/>
      </c>
      <c r="S108" s="71"/>
      <c r="T108" s="10" t="str">
        <f t="shared" si="79"/>
        <v/>
      </c>
      <c r="U108" s="71"/>
      <c r="V108" s="10" t="str">
        <f t="shared" si="63"/>
        <v/>
      </c>
      <c r="W108" s="10" t="str">
        <f t="shared" si="92"/>
        <v/>
      </c>
      <c r="X108" s="71"/>
      <c r="Y108" s="10" t="str">
        <f t="shared" si="64"/>
        <v/>
      </c>
      <c r="Z108" s="10" t="str">
        <f t="shared" si="93"/>
        <v/>
      </c>
      <c r="AA108" s="71"/>
      <c r="AB108" s="10" t="str">
        <f t="shared" si="65"/>
        <v/>
      </c>
      <c r="AC108" s="10" t="str">
        <f t="shared" si="94"/>
        <v/>
      </c>
      <c r="AD108" s="71"/>
      <c r="AE108" s="10" t="str">
        <f t="shared" si="66"/>
        <v/>
      </c>
      <c r="AF108" s="10" t="str">
        <f t="shared" si="95"/>
        <v/>
      </c>
      <c r="AG108" s="71"/>
      <c r="AH108" s="10" t="str">
        <f t="shared" si="67"/>
        <v/>
      </c>
      <c r="AI108" s="10" t="str">
        <f t="shared" si="96"/>
        <v/>
      </c>
      <c r="AJ108" s="71"/>
      <c r="AK108" s="10" t="str">
        <f t="shared" si="68"/>
        <v/>
      </c>
      <c r="AL108" s="10" t="str">
        <f t="shared" si="97"/>
        <v/>
      </c>
      <c r="AM108" s="71"/>
      <c r="AN108" s="10" t="str">
        <f t="shared" si="69"/>
        <v/>
      </c>
      <c r="AO108" s="10" t="str">
        <f t="shared" si="98"/>
        <v/>
      </c>
      <c r="AP108" s="71"/>
      <c r="AQ108" s="10" t="str">
        <f t="shared" si="70"/>
        <v/>
      </c>
      <c r="AR108" s="10" t="str">
        <f t="shared" si="80"/>
        <v/>
      </c>
      <c r="AS108" s="71"/>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U108" s="71"/>
      <c r="AV108" s="10" t="str">
        <f t="shared" si="71"/>
        <v/>
      </c>
      <c r="AW108" s="10" t="str">
        <f t="shared" si="81"/>
        <v/>
      </c>
      <c r="AX108" s="71"/>
      <c r="AY108" s="7" t="str">
        <f>IF(ISERROR(IF($K108&lt;=$F$15,VLOOKUP($I108,'表4）CO2価格'!$A$7:$E$67,VLOOKUP($F$48,'表4）CO2価格'!$H$10:$I$12,2,0),0)*$F$8/1000,"")),0,IF($K108&lt;=$F$15,VLOOKUP($I108,'表4）CO2価格'!$A$7:$E$67,VLOOKUP($F$48,'表4）CO2価格'!$H$10:$I$12,2,0),0)*$F$8/1000,""))</f>
        <v/>
      </c>
      <c r="AZ108" s="71"/>
      <c r="BA108" s="11" t="str">
        <f t="shared" si="72"/>
        <v/>
      </c>
      <c r="BB108" s="10" t="str">
        <f t="shared" si="82"/>
        <v/>
      </c>
      <c r="BC108" s="71"/>
      <c r="BD108" s="10" t="str">
        <f t="shared" si="73"/>
        <v/>
      </c>
      <c r="BE108" s="10" t="str">
        <f t="shared" si="83"/>
        <v/>
      </c>
      <c r="BF108" s="71"/>
      <c r="BG108" s="11" t="str">
        <f t="shared" si="74"/>
        <v/>
      </c>
      <c r="BH108" s="10" t="str">
        <f t="shared" si="84"/>
        <v/>
      </c>
      <c r="BJ108" s="7" t="str">
        <f t="shared" si="85"/>
        <v/>
      </c>
      <c r="BK108" s="158" t="str">
        <f t="shared" si="86"/>
        <v/>
      </c>
      <c r="BL108" s="158" t="str">
        <f t="shared" si="75"/>
        <v/>
      </c>
      <c r="BM108" s="10"/>
      <c r="BN108" s="10" t="str">
        <f t="shared" si="87"/>
        <v/>
      </c>
      <c r="BO108" s="10" t="str">
        <f t="shared" si="88"/>
        <v/>
      </c>
      <c r="BQ108" s="10" t="str">
        <f t="shared" si="76"/>
        <v/>
      </c>
      <c r="BR108" s="10" t="str">
        <f t="shared" si="89"/>
        <v/>
      </c>
    </row>
    <row r="109" spans="4:70" x14ac:dyDescent="0.15">
      <c r="D109" s="101" t="s">
        <v>205</v>
      </c>
      <c r="E109" s="101"/>
      <c r="F109" s="92"/>
      <c r="G109" s="101"/>
      <c r="I109" s="458">
        <f t="shared" si="90"/>
        <v>2124</v>
      </c>
      <c r="J109" s="39"/>
      <c r="K109" s="39">
        <f t="shared" si="91"/>
        <v>95</v>
      </c>
      <c r="L109" s="39"/>
      <c r="M109" s="40">
        <f t="shared" si="61"/>
        <v>6.0320322250551395E-2</v>
      </c>
      <c r="N109" s="39"/>
      <c r="O109" s="72" t="str">
        <f t="shared" si="77"/>
        <v/>
      </c>
      <c r="P109" s="41" t="str">
        <f t="shared" si="62"/>
        <v/>
      </c>
      <c r="Q109" s="39"/>
      <c r="R109" s="72" t="str">
        <f t="shared" si="78"/>
        <v/>
      </c>
      <c r="S109" s="39"/>
      <c r="T109" s="72" t="str">
        <f t="shared" si="79"/>
        <v/>
      </c>
      <c r="U109" s="39"/>
      <c r="V109" s="72" t="str">
        <f t="shared" si="63"/>
        <v/>
      </c>
      <c r="W109" s="72" t="str">
        <f t="shared" si="92"/>
        <v/>
      </c>
      <c r="X109" s="39"/>
      <c r="Y109" s="72" t="str">
        <f t="shared" si="64"/>
        <v/>
      </c>
      <c r="Z109" s="72" t="str">
        <f t="shared" si="93"/>
        <v/>
      </c>
      <c r="AA109" s="39"/>
      <c r="AB109" s="72" t="str">
        <f t="shared" si="65"/>
        <v/>
      </c>
      <c r="AC109" s="72" t="str">
        <f t="shared" si="94"/>
        <v/>
      </c>
      <c r="AD109" s="39"/>
      <c r="AE109" s="72" t="str">
        <f t="shared" si="66"/>
        <v/>
      </c>
      <c r="AF109" s="72" t="str">
        <f t="shared" si="95"/>
        <v/>
      </c>
      <c r="AG109" s="39"/>
      <c r="AH109" s="72" t="str">
        <f t="shared" si="67"/>
        <v/>
      </c>
      <c r="AI109" s="72" t="str">
        <f t="shared" si="96"/>
        <v/>
      </c>
      <c r="AJ109" s="39"/>
      <c r="AK109" s="72" t="str">
        <f t="shared" si="68"/>
        <v/>
      </c>
      <c r="AL109" s="72" t="str">
        <f t="shared" si="97"/>
        <v/>
      </c>
      <c r="AM109" s="39"/>
      <c r="AN109" s="72" t="str">
        <f t="shared" si="69"/>
        <v/>
      </c>
      <c r="AO109" s="72" t="str">
        <f t="shared" si="98"/>
        <v/>
      </c>
      <c r="AP109" s="39"/>
      <c r="AQ109" s="72" t="str">
        <f t="shared" si="70"/>
        <v/>
      </c>
      <c r="AR109" s="72" t="str">
        <f t="shared" si="80"/>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71"/>
        <v/>
      </c>
      <c r="AW109" s="72" t="str">
        <f t="shared" si="81"/>
        <v/>
      </c>
      <c r="AX109" s="39"/>
      <c r="AY109" s="40" t="str">
        <f>IF(ISERROR(IF($K109&lt;=$F$15,VLOOKUP($I109,'表4）CO2価格'!$A$7:$E$67,VLOOKUP($F$48,'表4）CO2価格'!$H$10:$I$12,2,0),0)*$F$8/1000,"")),0,IF($K109&lt;=$F$15,VLOOKUP($I109,'表4）CO2価格'!$A$7:$E$67,VLOOKUP($F$48,'表4）CO2価格'!$H$10:$I$12,2,0),0)*$F$8/1000,""))</f>
        <v/>
      </c>
      <c r="AZ109" s="39"/>
      <c r="BA109" s="42" t="str">
        <f t="shared" si="72"/>
        <v/>
      </c>
      <c r="BB109" s="72" t="str">
        <f t="shared" si="82"/>
        <v/>
      </c>
      <c r="BC109" s="39"/>
      <c r="BD109" s="72" t="str">
        <f t="shared" si="73"/>
        <v/>
      </c>
      <c r="BE109" s="72" t="str">
        <f t="shared" si="83"/>
        <v/>
      </c>
      <c r="BF109" s="39"/>
      <c r="BG109" s="42" t="str">
        <f t="shared" si="74"/>
        <v/>
      </c>
      <c r="BH109" s="72" t="str">
        <f t="shared" si="84"/>
        <v/>
      </c>
      <c r="BI109" s="39"/>
      <c r="BJ109" s="40" t="str">
        <f t="shared" si="85"/>
        <v/>
      </c>
      <c r="BK109" s="157" t="str">
        <f t="shared" si="86"/>
        <v/>
      </c>
      <c r="BL109" s="157" t="str">
        <f t="shared" si="75"/>
        <v/>
      </c>
      <c r="BM109" s="72"/>
      <c r="BN109" s="72" t="str">
        <f t="shared" si="87"/>
        <v/>
      </c>
      <c r="BO109" s="72" t="str">
        <f t="shared" si="88"/>
        <v/>
      </c>
      <c r="BP109" s="39"/>
      <c r="BQ109" s="72" t="str">
        <f t="shared" si="76"/>
        <v/>
      </c>
      <c r="BR109" s="72" t="str">
        <f t="shared" si="89"/>
        <v/>
      </c>
    </row>
    <row r="110" spans="4:70" ht="15" x14ac:dyDescent="0.15">
      <c r="D110" s="116"/>
      <c r="F110" s="93"/>
      <c r="I110" s="459">
        <f t="shared" si="90"/>
        <v>2125</v>
      </c>
      <c r="J110" s="71"/>
      <c r="K110" s="71">
        <f t="shared" si="91"/>
        <v>96</v>
      </c>
      <c r="L110" s="71"/>
      <c r="M110" s="7">
        <f t="shared" si="61"/>
        <v>5.8563419660729518E-2</v>
      </c>
      <c r="N110" s="71"/>
      <c r="O110" s="10" t="str">
        <f t="shared" si="77"/>
        <v/>
      </c>
      <c r="P110" s="29" t="str">
        <f t="shared" si="62"/>
        <v/>
      </c>
      <c r="Q110" s="71"/>
      <c r="R110" s="10" t="str">
        <f t="shared" si="78"/>
        <v/>
      </c>
      <c r="S110" s="71"/>
      <c r="T110" s="10" t="str">
        <f t="shared" si="79"/>
        <v/>
      </c>
      <c r="U110" s="71"/>
      <c r="V110" s="10" t="str">
        <f t="shared" si="63"/>
        <v/>
      </c>
      <c r="W110" s="10" t="str">
        <f t="shared" si="92"/>
        <v/>
      </c>
      <c r="X110" s="71"/>
      <c r="Y110" s="10" t="str">
        <f t="shared" si="64"/>
        <v/>
      </c>
      <c r="Z110" s="10" t="str">
        <f t="shared" si="93"/>
        <v/>
      </c>
      <c r="AA110" s="71"/>
      <c r="AB110" s="10" t="str">
        <f t="shared" si="65"/>
        <v/>
      </c>
      <c r="AC110" s="10" t="str">
        <f t="shared" si="94"/>
        <v/>
      </c>
      <c r="AD110" s="71"/>
      <c r="AE110" s="10" t="str">
        <f t="shared" si="66"/>
        <v/>
      </c>
      <c r="AF110" s="10" t="str">
        <f t="shared" si="95"/>
        <v/>
      </c>
      <c r="AG110" s="71"/>
      <c r="AH110" s="10" t="str">
        <f t="shared" si="67"/>
        <v/>
      </c>
      <c r="AI110" s="10" t="str">
        <f t="shared" si="96"/>
        <v/>
      </c>
      <c r="AJ110" s="71"/>
      <c r="AK110" s="10" t="str">
        <f t="shared" si="68"/>
        <v/>
      </c>
      <c r="AL110" s="10" t="str">
        <f t="shared" si="97"/>
        <v/>
      </c>
      <c r="AM110" s="71"/>
      <c r="AN110" s="10" t="str">
        <f t="shared" si="69"/>
        <v/>
      </c>
      <c r="AO110" s="10" t="str">
        <f t="shared" si="98"/>
        <v/>
      </c>
      <c r="AP110" s="71"/>
      <c r="AQ110" s="10" t="str">
        <f t="shared" si="70"/>
        <v/>
      </c>
      <c r="AR110" s="10" t="str">
        <f t="shared" si="80"/>
        <v/>
      </c>
      <c r="AS110" s="71"/>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U110" s="71"/>
      <c r="AV110" s="10" t="str">
        <f t="shared" si="71"/>
        <v/>
      </c>
      <c r="AW110" s="10" t="str">
        <f t="shared" si="81"/>
        <v/>
      </c>
      <c r="AX110" s="71"/>
      <c r="AY110" s="7" t="str">
        <f>IF(ISERROR(IF($K110&lt;=$F$15,VLOOKUP($I110,'表4）CO2価格'!$A$7:$E$67,VLOOKUP($F$48,'表4）CO2価格'!$H$10:$I$12,2,0),0)*$F$8/1000,"")),0,IF($K110&lt;=$F$15,VLOOKUP($I110,'表4）CO2価格'!$A$7:$E$67,VLOOKUP($F$48,'表4）CO2価格'!$H$10:$I$12,2,0),0)*$F$8/1000,""))</f>
        <v/>
      </c>
      <c r="AZ110" s="71"/>
      <c r="BA110" s="11" t="str">
        <f t="shared" si="72"/>
        <v/>
      </c>
      <c r="BB110" s="10" t="str">
        <f t="shared" si="82"/>
        <v/>
      </c>
      <c r="BC110" s="71"/>
      <c r="BD110" s="10" t="str">
        <f t="shared" si="73"/>
        <v/>
      </c>
      <c r="BE110" s="10" t="str">
        <f t="shared" si="83"/>
        <v/>
      </c>
      <c r="BF110" s="71"/>
      <c r="BG110" s="11" t="str">
        <f t="shared" si="74"/>
        <v/>
      </c>
      <c r="BH110" s="10" t="str">
        <f t="shared" si="84"/>
        <v/>
      </c>
      <c r="BJ110" s="7" t="str">
        <f t="shared" si="85"/>
        <v/>
      </c>
      <c r="BK110" s="158" t="str">
        <f t="shared" si="86"/>
        <v/>
      </c>
      <c r="BL110" s="158" t="str">
        <f t="shared" si="75"/>
        <v/>
      </c>
      <c r="BM110" s="10"/>
      <c r="BN110" s="10" t="str">
        <f t="shared" si="87"/>
        <v/>
      </c>
      <c r="BO110" s="10" t="str">
        <f t="shared" si="88"/>
        <v/>
      </c>
      <c r="BQ110" s="10" t="str">
        <f t="shared" si="76"/>
        <v/>
      </c>
      <c r="BR110" s="10" t="str">
        <f t="shared" si="89"/>
        <v/>
      </c>
    </row>
    <row r="111" spans="4:70" ht="15" x14ac:dyDescent="0.15">
      <c r="D111" s="116"/>
      <c r="E111" s="81" t="s">
        <v>206</v>
      </c>
      <c r="F111" s="91">
        <f>-BE116/BR116</f>
        <v>0</v>
      </c>
      <c r="G111" s="81" t="s">
        <v>132</v>
      </c>
      <c r="I111" s="458">
        <f t="shared" si="90"/>
        <v>2126</v>
      </c>
      <c r="J111" s="39"/>
      <c r="K111" s="39">
        <f t="shared" si="91"/>
        <v>97</v>
      </c>
      <c r="L111" s="39"/>
      <c r="M111" s="40">
        <f t="shared" si="61"/>
        <v>5.6857688990999529E-2</v>
      </c>
      <c r="N111" s="39"/>
      <c r="O111" s="72" t="str">
        <f t="shared" si="77"/>
        <v/>
      </c>
      <c r="P111" s="41" t="str">
        <f>IF(K111&lt;=$F$15,IF(OR(P110=$F$124,P110="-"),"-",IF(O111*$F$123&gt;$F$127,$F$123,$F$124)),"")</f>
        <v/>
      </c>
      <c r="Q111" s="39"/>
      <c r="R111" s="72" t="str">
        <f t="shared" si="78"/>
        <v/>
      </c>
      <c r="S111" s="39"/>
      <c r="T111" s="72" t="str">
        <f t="shared" si="79"/>
        <v/>
      </c>
      <c r="U111" s="39"/>
      <c r="V111" s="72" t="str">
        <f t="shared" si="63"/>
        <v/>
      </c>
      <c r="W111" s="72" t="str">
        <f t="shared" si="92"/>
        <v/>
      </c>
      <c r="X111" s="39"/>
      <c r="Y111" s="72" t="str">
        <f t="shared" si="64"/>
        <v/>
      </c>
      <c r="Z111" s="72" t="str">
        <f t="shared" si="93"/>
        <v/>
      </c>
      <c r="AA111" s="39"/>
      <c r="AB111" s="72" t="str">
        <f t="shared" si="65"/>
        <v/>
      </c>
      <c r="AC111" s="72" t="str">
        <f t="shared" si="94"/>
        <v/>
      </c>
      <c r="AD111" s="39"/>
      <c r="AE111" s="72" t="str">
        <f t="shared" si="66"/>
        <v/>
      </c>
      <c r="AF111" s="72" t="str">
        <f t="shared" si="95"/>
        <v/>
      </c>
      <c r="AG111" s="39"/>
      <c r="AH111" s="72" t="str">
        <f t="shared" si="67"/>
        <v/>
      </c>
      <c r="AI111" s="72" t="str">
        <f t="shared" si="96"/>
        <v/>
      </c>
      <c r="AJ111" s="39"/>
      <c r="AK111" s="72" t="str">
        <f t="shared" si="68"/>
        <v/>
      </c>
      <c r="AL111" s="72" t="str">
        <f t="shared" si="97"/>
        <v/>
      </c>
      <c r="AM111" s="39"/>
      <c r="AN111" s="72" t="str">
        <f t="shared" si="69"/>
        <v/>
      </c>
      <c r="AO111" s="72" t="str">
        <f t="shared" si="98"/>
        <v/>
      </c>
      <c r="AP111" s="39"/>
      <c r="AQ111" s="72" t="str">
        <f t="shared" si="70"/>
        <v/>
      </c>
      <c r="AR111" s="72" t="str">
        <f t="shared" si="80"/>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71"/>
        <v/>
      </c>
      <c r="AW111" s="72" t="str">
        <f t="shared" si="81"/>
        <v/>
      </c>
      <c r="AX111" s="39"/>
      <c r="AY111" s="40" t="str">
        <f>IF(ISERROR(IF($K111&lt;=$F$15,VLOOKUP($I111,'表4）CO2価格'!$A$7:$E$67,VLOOKUP($F$48,'表4）CO2価格'!$H$10:$I$12,2,0),0)*$F$8/1000,"")),0,IF($K111&lt;=$F$15,VLOOKUP($I111,'表4）CO2価格'!$A$7:$E$67,VLOOKUP($F$48,'表4）CO2価格'!$H$10:$I$12,2,0),0)*$F$8/1000,""))</f>
        <v/>
      </c>
      <c r="AZ111" s="39"/>
      <c r="BA111" s="42" t="str">
        <f t="shared" si="72"/>
        <v/>
      </c>
      <c r="BB111" s="72" t="str">
        <f t="shared" si="82"/>
        <v/>
      </c>
      <c r="BC111" s="39"/>
      <c r="BD111" s="72" t="str">
        <f t="shared" si="73"/>
        <v/>
      </c>
      <c r="BE111" s="72" t="str">
        <f t="shared" si="83"/>
        <v/>
      </c>
      <c r="BF111" s="39"/>
      <c r="BG111" s="42" t="str">
        <f t="shared" si="74"/>
        <v/>
      </c>
      <c r="BH111" s="72" t="str">
        <f t="shared" si="84"/>
        <v/>
      </c>
      <c r="BI111" s="39"/>
      <c r="BJ111" s="40" t="str">
        <f t="shared" si="85"/>
        <v/>
      </c>
      <c r="BK111" s="157" t="str">
        <f t="shared" si="86"/>
        <v/>
      </c>
      <c r="BL111" s="157" t="str">
        <f t="shared" si="75"/>
        <v/>
      </c>
      <c r="BM111" s="72"/>
      <c r="BN111" s="72" t="str">
        <f t="shared" si="87"/>
        <v/>
      </c>
      <c r="BO111" s="72" t="str">
        <f t="shared" si="88"/>
        <v/>
      </c>
      <c r="BP111" s="39"/>
      <c r="BQ111" s="72" t="str">
        <f t="shared" si="76"/>
        <v/>
      </c>
      <c r="BR111" s="72" t="str">
        <f t="shared" si="89"/>
        <v/>
      </c>
    </row>
    <row r="112" spans="4:70" ht="15" x14ac:dyDescent="0.15">
      <c r="D112" s="116"/>
      <c r="E112" s="81" t="s">
        <v>207</v>
      </c>
      <c r="F112" s="91">
        <f>-BH116/BR116</f>
        <v>0</v>
      </c>
      <c r="G112" s="81" t="s">
        <v>132</v>
      </c>
      <c r="I112" s="459">
        <f t="shared" si="90"/>
        <v>2127</v>
      </c>
      <c r="J112" s="71"/>
      <c r="K112" s="71">
        <f t="shared" si="91"/>
        <v>98</v>
      </c>
      <c r="L112" s="71"/>
      <c r="M112" s="7">
        <f t="shared" si="61"/>
        <v>5.5201639797086935E-2</v>
      </c>
      <c r="N112" s="71"/>
      <c r="O112" s="10" t="str">
        <f t="shared" si="77"/>
        <v/>
      </c>
      <c r="P112" s="29" t="str">
        <f>IF(K112&lt;=$F$15,IF(OR(P111=$F$124,P111="-"),"-",IF(O112*$F$123&gt;$F$127,$F$123,$F$124)),"")</f>
        <v/>
      </c>
      <c r="Q112" s="71"/>
      <c r="R112" s="10" t="str">
        <f t="shared" si="78"/>
        <v/>
      </c>
      <c r="S112" s="71"/>
      <c r="T112" s="10" t="str">
        <f t="shared" si="79"/>
        <v/>
      </c>
      <c r="U112" s="71"/>
      <c r="V112" s="10" t="str">
        <f t="shared" si="63"/>
        <v/>
      </c>
      <c r="W112" s="10" t="str">
        <f t="shared" si="92"/>
        <v/>
      </c>
      <c r="X112" s="71"/>
      <c r="Y112" s="10" t="str">
        <f t="shared" si="64"/>
        <v/>
      </c>
      <c r="Z112" s="10" t="str">
        <f t="shared" si="93"/>
        <v/>
      </c>
      <c r="AA112" s="71"/>
      <c r="AB112" s="10" t="str">
        <f t="shared" si="65"/>
        <v/>
      </c>
      <c r="AC112" s="10" t="str">
        <f t="shared" si="94"/>
        <v/>
      </c>
      <c r="AD112" s="71"/>
      <c r="AE112" s="10" t="str">
        <f t="shared" si="66"/>
        <v/>
      </c>
      <c r="AF112" s="10" t="str">
        <f t="shared" si="95"/>
        <v/>
      </c>
      <c r="AG112" s="71"/>
      <c r="AH112" s="10" t="str">
        <f t="shared" si="67"/>
        <v/>
      </c>
      <c r="AI112" s="10" t="str">
        <f t="shared" si="96"/>
        <v/>
      </c>
      <c r="AJ112" s="71"/>
      <c r="AK112" s="10" t="str">
        <f t="shared" si="68"/>
        <v/>
      </c>
      <c r="AL112" s="10" t="str">
        <f t="shared" si="97"/>
        <v/>
      </c>
      <c r="AM112" s="71"/>
      <c r="AN112" s="10" t="str">
        <f t="shared" si="69"/>
        <v/>
      </c>
      <c r="AO112" s="10" t="str">
        <f t="shared" si="98"/>
        <v/>
      </c>
      <c r="AP112" s="71"/>
      <c r="AQ112" s="10" t="str">
        <f t="shared" si="70"/>
        <v/>
      </c>
      <c r="AR112" s="10" t="str">
        <f t="shared" si="80"/>
        <v/>
      </c>
      <c r="AS112" s="71"/>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U112" s="71"/>
      <c r="AV112" s="10" t="str">
        <f t="shared" si="71"/>
        <v/>
      </c>
      <c r="AW112" s="10" t="str">
        <f t="shared" si="81"/>
        <v/>
      </c>
      <c r="AX112" s="71"/>
      <c r="AY112" s="7" t="str">
        <f>IF(ISERROR(IF($K112&lt;=$F$15,VLOOKUP($I112,'表4）CO2価格'!$A$7:$E$67,VLOOKUP($F$48,'表4）CO2価格'!$H$10:$I$12,2,0),0)*$F$8/1000,"")),0,IF($K112&lt;=$F$15,VLOOKUP($I112,'表4）CO2価格'!$A$7:$E$67,VLOOKUP($F$48,'表4）CO2価格'!$H$10:$I$12,2,0),0)*$F$8/1000,""))</f>
        <v/>
      </c>
      <c r="AZ112" s="71"/>
      <c r="BA112" s="11" t="str">
        <f t="shared" si="72"/>
        <v/>
      </c>
      <c r="BB112" s="10" t="str">
        <f t="shared" si="82"/>
        <v/>
      </c>
      <c r="BC112" s="71"/>
      <c r="BD112" s="10" t="str">
        <f t="shared" si="73"/>
        <v/>
      </c>
      <c r="BE112" s="10" t="str">
        <f t="shared" si="83"/>
        <v/>
      </c>
      <c r="BF112" s="71"/>
      <c r="BG112" s="11" t="str">
        <f t="shared" si="74"/>
        <v/>
      </c>
      <c r="BH112" s="10" t="str">
        <f t="shared" si="84"/>
        <v/>
      </c>
      <c r="BJ112" s="7" t="str">
        <f t="shared" si="85"/>
        <v/>
      </c>
      <c r="BK112" s="158" t="str">
        <f t="shared" si="86"/>
        <v/>
      </c>
      <c r="BL112" s="158" t="str">
        <f t="shared" si="75"/>
        <v/>
      </c>
      <c r="BM112" s="10"/>
      <c r="BN112" s="10" t="str">
        <f t="shared" si="87"/>
        <v/>
      </c>
      <c r="BO112" s="10" t="str">
        <f t="shared" si="88"/>
        <v/>
      </c>
      <c r="BQ112" s="10" t="str">
        <f t="shared" si="76"/>
        <v/>
      </c>
      <c r="BR112" s="10" t="str">
        <f t="shared" si="89"/>
        <v/>
      </c>
    </row>
    <row r="113" spans="2:70" x14ac:dyDescent="0.15">
      <c r="I113" s="458">
        <f t="shared" si="90"/>
        <v>2128</v>
      </c>
      <c r="J113" s="39"/>
      <c r="K113" s="39">
        <f t="shared" si="91"/>
        <v>99</v>
      </c>
      <c r="L113" s="39"/>
      <c r="M113" s="40">
        <f t="shared" si="61"/>
        <v>5.3593825045715457E-2</v>
      </c>
      <c r="N113" s="39"/>
      <c r="O113" s="72" t="str">
        <f t="shared" si="77"/>
        <v/>
      </c>
      <c r="P113" s="41" t="str">
        <f>IF(K113&lt;=$F$15,IF(OR(P112=$F$124,P112="-"),"-",IF(O113*$F$123&gt;$F$127,$F$123,$F$124)),"")</f>
        <v/>
      </c>
      <c r="Q113" s="39"/>
      <c r="R113" s="72" t="str">
        <f t="shared" si="78"/>
        <v/>
      </c>
      <c r="S113" s="39"/>
      <c r="T113" s="72" t="str">
        <f t="shared" si="79"/>
        <v/>
      </c>
      <c r="U113" s="39"/>
      <c r="V113" s="72" t="str">
        <f t="shared" si="63"/>
        <v/>
      </c>
      <c r="W113" s="72" t="str">
        <f t="shared" si="92"/>
        <v/>
      </c>
      <c r="X113" s="39"/>
      <c r="Y113" s="72" t="str">
        <f t="shared" si="64"/>
        <v/>
      </c>
      <c r="Z113" s="72" t="str">
        <f t="shared" si="93"/>
        <v/>
      </c>
      <c r="AA113" s="39"/>
      <c r="AB113" s="72" t="str">
        <f t="shared" si="65"/>
        <v/>
      </c>
      <c r="AC113" s="72" t="str">
        <f t="shared" si="94"/>
        <v/>
      </c>
      <c r="AD113" s="39"/>
      <c r="AE113" s="72" t="str">
        <f t="shared" si="66"/>
        <v/>
      </c>
      <c r="AF113" s="72" t="str">
        <f t="shared" si="95"/>
        <v/>
      </c>
      <c r="AG113" s="39"/>
      <c r="AH113" s="72" t="str">
        <f t="shared" si="67"/>
        <v/>
      </c>
      <c r="AI113" s="72" t="str">
        <f t="shared" si="96"/>
        <v/>
      </c>
      <c r="AJ113" s="39"/>
      <c r="AK113" s="72" t="str">
        <f t="shared" si="68"/>
        <v/>
      </c>
      <c r="AL113" s="72" t="str">
        <f t="shared" si="97"/>
        <v/>
      </c>
      <c r="AM113" s="39"/>
      <c r="AN113" s="72" t="str">
        <f t="shared" si="69"/>
        <v/>
      </c>
      <c r="AO113" s="72" t="str">
        <f t="shared" si="98"/>
        <v/>
      </c>
      <c r="AP113" s="39"/>
      <c r="AQ113" s="72" t="str">
        <f t="shared" si="70"/>
        <v/>
      </c>
      <c r="AR113" s="72" t="str">
        <f t="shared" si="80"/>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71"/>
        <v/>
      </c>
      <c r="AW113" s="72" t="str">
        <f t="shared" si="81"/>
        <v/>
      </c>
      <c r="AX113" s="39"/>
      <c r="AY113" s="40" t="str">
        <f>IF(ISERROR(IF($K113&lt;=$F$15,VLOOKUP($I113,'表4）CO2価格'!$A$7:$E$67,VLOOKUP($F$48,'表4）CO2価格'!$H$10:$I$12,2,0),0)*$F$8/1000,"")),0,IF($K113&lt;=$F$15,VLOOKUP($I113,'表4）CO2価格'!$A$7:$E$67,VLOOKUP($F$48,'表4）CO2価格'!$H$10:$I$12,2,0),0)*$F$8/1000,""))</f>
        <v/>
      </c>
      <c r="AZ113" s="39"/>
      <c r="BA113" s="42" t="str">
        <f t="shared" si="72"/>
        <v/>
      </c>
      <c r="BB113" s="72" t="str">
        <f t="shared" si="82"/>
        <v/>
      </c>
      <c r="BC113" s="39"/>
      <c r="BD113" s="72" t="str">
        <f t="shared" si="73"/>
        <v/>
      </c>
      <c r="BE113" s="72" t="str">
        <f t="shared" si="83"/>
        <v/>
      </c>
      <c r="BF113" s="39"/>
      <c r="BG113" s="42" t="str">
        <f t="shared" si="74"/>
        <v/>
      </c>
      <c r="BH113" s="72" t="str">
        <f t="shared" si="84"/>
        <v/>
      </c>
      <c r="BI113" s="39"/>
      <c r="BJ113" s="40" t="str">
        <f t="shared" si="85"/>
        <v/>
      </c>
      <c r="BK113" s="157" t="str">
        <f t="shared" si="86"/>
        <v/>
      </c>
      <c r="BL113" s="157" t="str">
        <f t="shared" si="75"/>
        <v/>
      </c>
      <c r="BM113" s="72"/>
      <c r="BN113" s="72" t="str">
        <f t="shared" si="87"/>
        <v/>
      </c>
      <c r="BO113" s="72" t="str">
        <f t="shared" si="88"/>
        <v/>
      </c>
      <c r="BP113" s="39"/>
      <c r="BQ113" s="72" t="str">
        <f t="shared" si="76"/>
        <v/>
      </c>
      <c r="BR113" s="72" t="str">
        <f t="shared" si="89"/>
        <v/>
      </c>
    </row>
    <row r="114" spans="2:70" x14ac:dyDescent="0.15">
      <c r="I114" s="459">
        <f t="shared" si="90"/>
        <v>2129</v>
      </c>
      <c r="J114" s="71"/>
      <c r="K114" s="71">
        <f t="shared" si="91"/>
        <v>100</v>
      </c>
      <c r="L114" s="71"/>
      <c r="M114" s="7">
        <f t="shared" si="61"/>
        <v>5.2032839850209185E-2</v>
      </c>
      <c r="N114" s="71"/>
      <c r="O114" s="10" t="str">
        <f t="shared" si="77"/>
        <v/>
      </c>
      <c r="P114" s="29" t="str">
        <f>IF(K114&lt;=$F$15,IF(OR(P113=$F$124,P113="-"),"-",IF(O114*$F$123&gt;$F$127,$F$123,$F$124)),"")</f>
        <v/>
      </c>
      <c r="Q114" s="71"/>
      <c r="R114" s="10" t="str">
        <f t="shared" si="78"/>
        <v/>
      </c>
      <c r="S114" s="71"/>
      <c r="T114" s="10" t="str">
        <f t="shared" si="79"/>
        <v/>
      </c>
      <c r="U114" s="71"/>
      <c r="V114" s="10" t="str">
        <f t="shared" si="63"/>
        <v/>
      </c>
      <c r="W114" s="10" t="str">
        <f t="shared" si="92"/>
        <v/>
      </c>
      <c r="X114" s="71"/>
      <c r="Y114" s="10" t="str">
        <f t="shared" si="64"/>
        <v/>
      </c>
      <c r="Z114" s="10" t="str">
        <f t="shared" si="93"/>
        <v/>
      </c>
      <c r="AA114" s="71"/>
      <c r="AB114" s="10" t="str">
        <f t="shared" si="65"/>
        <v/>
      </c>
      <c r="AC114" s="10" t="str">
        <f t="shared" si="94"/>
        <v/>
      </c>
      <c r="AD114" s="71"/>
      <c r="AE114" s="10" t="str">
        <f t="shared" si="66"/>
        <v/>
      </c>
      <c r="AF114" s="10" t="str">
        <f t="shared" si="95"/>
        <v/>
      </c>
      <c r="AG114" s="71"/>
      <c r="AH114" s="10" t="str">
        <f t="shared" si="67"/>
        <v/>
      </c>
      <c r="AI114" s="10" t="str">
        <f t="shared" si="96"/>
        <v/>
      </c>
      <c r="AJ114" s="71"/>
      <c r="AK114" s="10" t="str">
        <f t="shared" si="68"/>
        <v/>
      </c>
      <c r="AL114" s="10" t="str">
        <f t="shared" si="97"/>
        <v/>
      </c>
      <c r="AM114" s="71"/>
      <c r="AN114" s="10" t="str">
        <f t="shared" si="69"/>
        <v/>
      </c>
      <c r="AO114" s="10" t="str">
        <f t="shared" si="98"/>
        <v/>
      </c>
      <c r="AP114" s="71"/>
      <c r="AQ114" s="10" t="str">
        <f t="shared" si="70"/>
        <v/>
      </c>
      <c r="AR114" s="10" t="str">
        <f t="shared" si="80"/>
        <v/>
      </c>
      <c r="AS114" s="71"/>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U114" s="71"/>
      <c r="AV114" s="10" t="str">
        <f t="shared" si="71"/>
        <v/>
      </c>
      <c r="AW114" s="10" t="str">
        <f t="shared" si="81"/>
        <v/>
      </c>
      <c r="AX114" s="71"/>
      <c r="AY114" s="7" t="str">
        <f>IF(ISERROR(IF($K114&lt;=$F$15,VLOOKUP($I114,'表4）CO2価格'!$A$7:$E$67,VLOOKUP($F$48,'表4）CO2価格'!$H$10:$I$12,2,0),0)*$F$8/1000,"")),0,IF($K114&lt;=$F$15,VLOOKUP($I114,'表4）CO2価格'!$A$7:$E$67,VLOOKUP($F$48,'表4）CO2価格'!$H$10:$I$12,2,0),0)*$F$8/1000,""))</f>
        <v/>
      </c>
      <c r="AZ114" s="71"/>
      <c r="BA114" s="11" t="str">
        <f t="shared" si="72"/>
        <v/>
      </c>
      <c r="BB114" s="10" t="str">
        <f t="shared" si="82"/>
        <v/>
      </c>
      <c r="BC114" s="71"/>
      <c r="BD114" s="10" t="str">
        <f t="shared" si="73"/>
        <v/>
      </c>
      <c r="BE114" s="10" t="str">
        <f t="shared" si="83"/>
        <v/>
      </c>
      <c r="BF114" s="71"/>
      <c r="BG114" s="11" t="str">
        <f t="shared" si="74"/>
        <v/>
      </c>
      <c r="BH114" s="10" t="str">
        <f t="shared" si="84"/>
        <v/>
      </c>
      <c r="BJ114" s="7" t="str">
        <f t="shared" si="85"/>
        <v/>
      </c>
      <c r="BK114" s="158" t="str">
        <f t="shared" si="86"/>
        <v/>
      </c>
      <c r="BL114" s="158" t="str">
        <f t="shared" si="75"/>
        <v/>
      </c>
      <c r="BM114" s="10"/>
      <c r="BN114" s="10" t="str">
        <f t="shared" si="87"/>
        <v/>
      </c>
      <c r="BO114" s="10" t="str">
        <f t="shared" si="88"/>
        <v/>
      </c>
      <c r="BQ114" s="10" t="str">
        <f t="shared" si="76"/>
        <v/>
      </c>
      <c r="BR114" s="10" t="str">
        <f t="shared" si="89"/>
        <v/>
      </c>
    </row>
    <row r="115" spans="2:70" ht="15.75" thickBot="1" x14ac:dyDescent="0.2">
      <c r="B115" s="460" t="s">
        <v>515</v>
      </c>
      <c r="C115" s="86"/>
      <c r="D115" s="104"/>
      <c r="E115" s="104"/>
      <c r="F115" s="86"/>
      <c r="G115" s="104"/>
      <c r="I115" s="464"/>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9" t="s">
        <v>516</v>
      </c>
      <c r="J116" s="71"/>
      <c r="K116" s="71"/>
      <c r="L116" s="71"/>
      <c r="M116" s="71"/>
      <c r="N116" s="71"/>
      <c r="O116" s="71"/>
      <c r="P116" s="71"/>
      <c r="Q116" s="71"/>
      <c r="R116" s="71"/>
      <c r="S116" s="71"/>
      <c r="T116" s="71"/>
      <c r="U116" s="71"/>
      <c r="V116" s="71"/>
      <c r="W116" s="11"/>
      <c r="X116" s="71"/>
      <c r="Y116" s="71"/>
      <c r="Z116" s="11">
        <f>SUM(Z15:Z114)</f>
        <v>11767007174.731619</v>
      </c>
      <c r="AA116" s="71"/>
      <c r="AB116" s="71"/>
      <c r="AC116" s="11">
        <f>SUM(AC15:AC114)</f>
        <v>2061817975.2044146</v>
      </c>
      <c r="AD116" s="71"/>
      <c r="AE116" s="71"/>
      <c r="AF116" s="11">
        <f>SUM(AF15:AF114)</f>
        <v>0</v>
      </c>
      <c r="AG116" s="71"/>
      <c r="AH116" s="71"/>
      <c r="AI116" s="11">
        <f>SUM(AI15:AI114)</f>
        <v>14331158624.008007</v>
      </c>
      <c r="AJ116" s="71"/>
      <c r="AK116" s="71"/>
      <c r="AL116" s="11">
        <f>SUM(AL15:AL114)</f>
        <v>76861239768.631287</v>
      </c>
      <c r="AM116" s="71"/>
      <c r="AN116" s="71"/>
      <c r="AO116" s="11">
        <f>SUM(AO15:AO114)</f>
        <v>35228068227.289337</v>
      </c>
      <c r="AP116" s="71"/>
      <c r="AQ116" s="71"/>
      <c r="AR116" s="11">
        <f>SUM(AR15:AR114)</f>
        <v>15170455994.391434</v>
      </c>
      <c r="AS116" s="71"/>
      <c r="AT116" s="71"/>
      <c r="AU116" s="71"/>
      <c r="AV116" s="71"/>
      <c r="AW116" s="11">
        <f>SUM(AW15:AW114)</f>
        <v>706531725272.97363</v>
      </c>
      <c r="AX116" s="71"/>
      <c r="AY116" s="71"/>
      <c r="AZ116" s="71"/>
      <c r="BA116" s="71"/>
      <c r="BB116" s="11">
        <f>SUM(BB15:BB114)</f>
        <v>244222834318.64618</v>
      </c>
      <c r="BC116" s="71"/>
      <c r="BD116" s="71"/>
      <c r="BE116" s="11">
        <f>SUM(BE15:BE114)</f>
        <v>0</v>
      </c>
      <c r="BF116" s="71"/>
      <c r="BG116" s="71"/>
      <c r="BH116" s="11">
        <f>SUM(BH15:BH114)</f>
        <v>0</v>
      </c>
      <c r="BK116" s="11">
        <f>SUM(BK15:BK114)</f>
        <v>0</v>
      </c>
      <c r="BL116" s="11">
        <f>SUM(BL15:BL114)</f>
        <v>0</v>
      </c>
      <c r="BO116" s="11">
        <f>SUM(BO15:BO114)</f>
        <v>0</v>
      </c>
      <c r="BQ116" s="71"/>
      <c r="BR116" s="11">
        <f>SUM(BR15:BR114)</f>
        <v>117707801750.82782</v>
      </c>
    </row>
    <row r="117" spans="2:70" x14ac:dyDescent="0.15">
      <c r="C117" s="9" t="s">
        <v>529</v>
      </c>
      <c r="F117" s="44">
        <f>F21*10^4*F13*10^4+F29*10^8</f>
        <v>138550000000</v>
      </c>
      <c r="G117" s="81" t="s">
        <v>208</v>
      </c>
      <c r="I117" s="236" t="s">
        <v>145</v>
      </c>
      <c r="J117" s="71"/>
      <c r="K117" s="71"/>
      <c r="L117" s="71"/>
      <c r="M117" s="71"/>
      <c r="N117" s="71"/>
      <c r="O117" s="71"/>
      <c r="P117" s="71"/>
      <c r="Q117" s="71"/>
      <c r="R117" s="71"/>
      <c r="S117" s="71"/>
      <c r="T117" s="71"/>
      <c r="U117" s="71"/>
      <c r="V117" s="71"/>
      <c r="W117" s="11"/>
      <c r="X117" s="71"/>
      <c r="Y117" s="71"/>
      <c r="Z117" s="11" t="str">
        <f ca="1">IF(ISNUMBER($F$16),SUM(INDIRECT(ADDRESS($F$16+15,COLUMN())):INDIRECT(ADDRESS(114,COLUMN()))),"")</f>
        <v/>
      </c>
      <c r="AA117" s="71"/>
      <c r="AB117" s="71"/>
      <c r="AC117" s="11" t="str">
        <f ca="1">IF(ISNUMBER($F$16),SUM(INDIRECT(ADDRESS($F$16+15,COLUMN())):INDIRECT(ADDRESS(114,COLUMN()))),"")</f>
        <v/>
      </c>
      <c r="AD117" s="71"/>
      <c r="AE117" s="71"/>
      <c r="AF117" s="11" t="str">
        <f ca="1">IF(ISNUMBER($F$16),SUM(INDIRECT(ADDRESS($F$16+15,COLUMN())):INDIRECT(ADDRESS(114,COLUMN()))),"")</f>
        <v/>
      </c>
      <c r="AG117" s="71"/>
      <c r="AH117" s="71"/>
      <c r="AI117" s="11" t="str">
        <f ca="1">IF(ISNUMBER($F$16),SUM(INDIRECT(ADDRESS($F$16+15,COLUMN())):INDIRECT(ADDRESS(114,COLUMN()))),"")</f>
        <v/>
      </c>
      <c r="AJ117" s="71"/>
      <c r="AK117" s="71"/>
      <c r="AL117" s="11" t="str">
        <f ca="1">IF(ISNUMBER($F$16),SUM(INDIRECT(ADDRESS($F$16+15,COLUMN())):INDIRECT(ADDRESS(114,COLUMN()))),"")</f>
        <v/>
      </c>
      <c r="AM117" s="71"/>
      <c r="AN117" s="71"/>
      <c r="AO117" s="11" t="str">
        <f ca="1">IF(ISNUMBER($F$16),SUM(INDIRECT(ADDRESS($F$16+15,COLUMN())):INDIRECT(ADDRESS(114,COLUMN()))),"")</f>
        <v/>
      </c>
      <c r="AP117" s="71"/>
      <c r="AQ117" s="71"/>
      <c r="AR117" s="11" t="str">
        <f ca="1">IF(ISNUMBER($F$16),SUM(INDIRECT(ADDRESS($F$16+15,COLUMN())):INDIRECT(ADDRESS(114,COLUMN()))),"")</f>
        <v/>
      </c>
      <c r="AS117" s="71"/>
      <c r="AT117" s="71"/>
      <c r="AU117" s="71"/>
      <c r="AV117" s="71"/>
      <c r="AW117" s="11" t="str">
        <f ca="1">IF(ISNUMBER($F$16),SUM(INDIRECT(ADDRESS($F$16+15,COLUMN())):INDIRECT(ADDRESS(114,COLUMN()))),"")</f>
        <v/>
      </c>
      <c r="AX117" s="71"/>
      <c r="AY117" s="71"/>
      <c r="AZ117" s="71"/>
      <c r="BA117" s="71"/>
      <c r="BB117" s="11" t="str">
        <f ca="1">IF(ISNUMBER($F$16),SUM(INDIRECT(ADDRESS($F$16+15,COLUMN())):INDIRECT(ADDRESS(114,COLUMN()))),"")</f>
        <v/>
      </c>
      <c r="BC117" s="71"/>
      <c r="BD117" s="71"/>
      <c r="BE117" s="11" t="str">
        <f ca="1">IF(ISNUMBER($F$16),SUM(INDIRECT(ADDRESS($F$16+15,COLUMN())):INDIRECT(ADDRESS(114,COLUMN()))),"")</f>
        <v/>
      </c>
      <c r="BF117" s="71"/>
      <c r="BG117" s="71"/>
      <c r="BH117" s="11" t="str">
        <f ca="1">IF(ISNUMBER($F$16),SUM(INDIRECT(ADDRESS($F$16+15,COLUMN())):INDIRECT(ADDRESS(114,COLUMN()))),"")</f>
        <v/>
      </c>
      <c r="BK117" s="11" t="str">
        <f ca="1">IF(ISNUMBER($F$16),SUM(INDIRECT(ADDRESS($F$16+15,COLUMN())):INDIRECT(ADDRESS(114,COLUMN()))),"")</f>
        <v/>
      </c>
      <c r="BL117" s="11" t="str">
        <f ca="1">IF(ISNUMBER($F$16),SUM(INDIRECT(ADDRESS($F$16+15,COLUMN())):INDIRECT(ADDRESS(114,COLUMN()))),"")</f>
        <v/>
      </c>
      <c r="BO117" s="11" t="str">
        <f ca="1">IF(ISNUMBER($F$16),SUM(INDIRECT(ADDRESS($F$16+15,COLUMN())):INDIRECT(ADDRESS(114,COLUMN()))),"")</f>
        <v/>
      </c>
      <c r="BQ117" s="71"/>
      <c r="BR117" s="11" t="str">
        <f ca="1">IF(ISNUMBER($F$16),SUM(INDIRECT(ADDRESS($F$16+15,COLUMN())):INDIRECT(ADDRESS(114,COLUMN()))),"")</f>
        <v/>
      </c>
    </row>
    <row r="119" spans="2:70" x14ac:dyDescent="0.15">
      <c r="C119" s="9" t="s">
        <v>521</v>
      </c>
      <c r="F119" s="44">
        <f>VLOOKUP(F3,'表2）法定耐用年数'!$A$2:$B$24,2,0)</f>
        <v>15</v>
      </c>
      <c r="G119" s="81" t="s">
        <v>108</v>
      </c>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Q119" s="71"/>
      <c r="BR119" s="71"/>
    </row>
    <row r="121" spans="2:70" x14ac:dyDescent="0.15">
      <c r="C121" s="89" t="s">
        <v>522</v>
      </c>
      <c r="D121" s="101"/>
      <c r="E121" s="101"/>
      <c r="F121" s="89"/>
      <c r="G121" s="10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Q121" s="71"/>
      <c r="BR121" s="71"/>
    </row>
    <row r="123" spans="2:70" x14ac:dyDescent="0.15">
      <c r="D123" s="81" t="s">
        <v>209</v>
      </c>
      <c r="F123" s="95">
        <f>VLOOKUP($F$119,'表1）減価償却率表'!$A$9:$E$107,3,0)</f>
        <v>0.16700000000000001</v>
      </c>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Q123" s="71"/>
      <c r="BR123" s="71"/>
    </row>
    <row r="124" spans="2:70" x14ac:dyDescent="0.15">
      <c r="D124" s="81" t="s">
        <v>210</v>
      </c>
      <c r="F124" s="95">
        <f>VLOOKUP($F$119,'表1）減価償却率表'!$A$9:$E$107,4,0)</f>
        <v>0.2</v>
      </c>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Q124" s="71"/>
      <c r="BR124" s="71"/>
    </row>
    <row r="125" spans="2:70" x14ac:dyDescent="0.15">
      <c r="D125" s="81" t="s">
        <v>211</v>
      </c>
      <c r="F125" s="88">
        <f>VLOOKUP($F$119,'表1）減価償却率表'!$A$9:$E$107,5,0)</f>
        <v>3.2169999999999997E-2</v>
      </c>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Q125" s="71"/>
      <c r="BR125" s="71"/>
    </row>
    <row r="126" spans="2:70" x14ac:dyDescent="0.15">
      <c r="F126" s="96"/>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Q126" s="71"/>
      <c r="BR126" s="71"/>
    </row>
    <row r="127" spans="2:70" x14ac:dyDescent="0.15">
      <c r="C127" s="111" t="s">
        <v>523</v>
      </c>
      <c r="D127" s="85"/>
      <c r="E127" s="114"/>
      <c r="F127" s="44">
        <f>F117*F125</f>
        <v>4457153500</v>
      </c>
      <c r="G127" s="81" t="s">
        <v>208</v>
      </c>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Q127" s="71"/>
      <c r="BR127" s="71"/>
    </row>
    <row r="129" spans="3:7" x14ac:dyDescent="0.15">
      <c r="C129" s="111" t="s">
        <v>152</v>
      </c>
      <c r="D129" s="85"/>
      <c r="E129" s="85"/>
      <c r="F129" s="95">
        <f>0.1^(1/F119)</f>
        <v>0.85769589859089412</v>
      </c>
      <c r="G129" s="85"/>
    </row>
    <row r="131" spans="3:7" x14ac:dyDescent="0.15">
      <c r="C131" s="89" t="s">
        <v>524</v>
      </c>
      <c r="D131" s="101"/>
      <c r="E131" s="101"/>
      <c r="F131" s="89"/>
      <c r="G131" s="101"/>
    </row>
    <row r="133" spans="3:7" x14ac:dyDescent="0.15">
      <c r="D133" s="81" t="s">
        <v>212</v>
      </c>
      <c r="F133" s="44">
        <f>F13*10000*24*365*F14/100</f>
        <v>5212200000</v>
      </c>
      <c r="G133" s="81" t="s">
        <v>213</v>
      </c>
    </row>
    <row r="134" spans="3:7" x14ac:dyDescent="0.15">
      <c r="D134" s="81" t="s">
        <v>214</v>
      </c>
      <c r="F134" s="44">
        <f>F133*(1-F24/100)</f>
        <v>5092319400</v>
      </c>
      <c r="G134" s="81" t="s">
        <v>213</v>
      </c>
    </row>
    <row r="135" spans="3:7" x14ac:dyDescent="0.15">
      <c r="F135" s="97"/>
    </row>
    <row r="137" spans="3:7" ht="16.5" x14ac:dyDescent="0.15">
      <c r="C137" s="9" t="s">
        <v>525</v>
      </c>
      <c r="F137" s="44">
        <f>IF(ISERROR(F133*3.6/(F23/100)/F22),0,F133*3.6/(F23/100)/F22)</f>
        <v>601812758.58751082</v>
      </c>
      <c r="G137" s="9" t="s">
        <v>370</v>
      </c>
    </row>
    <row r="139" spans="3:7" x14ac:dyDescent="0.15">
      <c r="C139" s="89" t="s">
        <v>526</v>
      </c>
      <c r="D139" s="101"/>
      <c r="E139" s="101"/>
      <c r="F139" s="89"/>
      <c r="G139" s="101"/>
    </row>
    <row r="141" spans="3:7" x14ac:dyDescent="0.15">
      <c r="D141" s="81" t="s">
        <v>215</v>
      </c>
      <c r="F141" s="98">
        <f>IF(OR(F3="石炭火力",F3= "LNG火力", F3="ガスコジェネ",F3="バイオマス（石炭混焼）",F3="バイオマス（木質専焼）",F3="燃料電池"),IF($F$43="需要地価格","",1000),IF(OR(F3="石油火力",F3="石油コジェネ"),IF($F$43="需要地価格","",158.987294928),""))</f>
        <v>1000</v>
      </c>
      <c r="G141" s="81" t="s">
        <v>216</v>
      </c>
    </row>
    <row r="142" spans="3:7" x14ac:dyDescent="0.15">
      <c r="D142" s="81" t="s">
        <v>180</v>
      </c>
      <c r="F142" s="91">
        <f>IF(ISERROR(F42/1000),0,F42/1000)</f>
        <v>2.8</v>
      </c>
      <c r="G142" s="81" t="s">
        <v>217</v>
      </c>
    </row>
    <row r="145" spans="3:7" x14ac:dyDescent="0.15">
      <c r="C145" s="9" t="s">
        <v>368</v>
      </c>
      <c r="F145" s="98">
        <f>IF(ISERROR(F133*(F47*3.6/(F23/100)/1000*(44/12))),0,F133*(F47*3.6/(F23/100)/1000*(44/12)))</f>
        <v>1674158640</v>
      </c>
      <c r="G145" s="81" t="s">
        <v>218</v>
      </c>
    </row>
    <row r="147" spans="3:7" x14ac:dyDescent="0.15">
      <c r="C147" s="89" t="s">
        <v>369</v>
      </c>
      <c r="D147" s="101"/>
      <c r="E147" s="101"/>
      <c r="F147" s="89"/>
      <c r="G147" s="101"/>
    </row>
    <row r="149" spans="3:7" x14ac:dyDescent="0.15">
      <c r="D149" s="81" t="s">
        <v>219</v>
      </c>
      <c r="F149" s="98">
        <f>IF(ISERROR(F52/F23),0,F52/F23)</f>
        <v>0</v>
      </c>
    </row>
    <row r="150" spans="3:7" x14ac:dyDescent="0.15">
      <c r="D150" s="81" t="s">
        <v>220</v>
      </c>
      <c r="F150" s="98">
        <f>F133*F149*(F53/100)*3.6</f>
        <v>0</v>
      </c>
      <c r="G150" s="81" t="s">
        <v>221</v>
      </c>
    </row>
    <row r="151" spans="3:7" ht="16.5" x14ac:dyDescent="0.15">
      <c r="D151" s="81" t="s">
        <v>222</v>
      </c>
      <c r="F151" s="44">
        <f>IF(ISERROR(F150/(F54/100)/F55),0,F150/(F54/100)/F55)</f>
        <v>0</v>
      </c>
      <c r="G151" s="9" t="s">
        <v>370</v>
      </c>
    </row>
    <row r="152" spans="3:7" x14ac:dyDescent="0.15">
      <c r="D152" s="81" t="s">
        <v>223</v>
      </c>
      <c r="F152" s="146">
        <f>IF(ISERROR(F56/1000),0,F56/1000)</f>
        <v>0</v>
      </c>
      <c r="G152" s="81" t="s">
        <v>217</v>
      </c>
    </row>
    <row r="153" spans="3:7" x14ac:dyDescent="0.15">
      <c r="D153" s="81" t="s">
        <v>224</v>
      </c>
      <c r="F153" s="98">
        <f>IF(ISERROR(F150*F47/1000*(44/12)/(F54/100)),0,F150*F47/1000*(44/12)/(F54/100))</f>
        <v>0</v>
      </c>
      <c r="G153" s="81" t="s">
        <v>218</v>
      </c>
    </row>
    <row r="216" spans="25:25" x14ac:dyDescent="0.15">
      <c r="Y216" s="320"/>
    </row>
  </sheetData>
  <mergeCells count="48">
    <mergeCell ref="BQ7:BR7"/>
    <mergeCell ref="BJ7:BO7"/>
    <mergeCell ref="I9:I10"/>
    <mergeCell ref="K9:K10"/>
    <mergeCell ref="M9:M10"/>
    <mergeCell ref="O9:P10"/>
    <mergeCell ref="R9:R10"/>
    <mergeCell ref="AE9:AF10"/>
    <mergeCell ref="AH9:AI10"/>
    <mergeCell ref="BD9:BE10"/>
    <mergeCell ref="BG9:BH10"/>
    <mergeCell ref="V7:AF7"/>
    <mergeCell ref="AH7:AR7"/>
    <mergeCell ref="AT7:AW7"/>
    <mergeCell ref="AY7:BB7"/>
    <mergeCell ref="BD7:BH7"/>
    <mergeCell ref="AN9:AO10"/>
    <mergeCell ref="AQ9:AR10"/>
    <mergeCell ref="F3:G3"/>
    <mergeCell ref="T9:T10"/>
    <mergeCell ref="V9:W10"/>
    <mergeCell ref="Y9:Z10"/>
    <mergeCell ref="AB9:AC10"/>
    <mergeCell ref="P12:P13"/>
    <mergeCell ref="W12:W13"/>
    <mergeCell ref="Z12:Z13"/>
    <mergeCell ref="AW12:AW13"/>
    <mergeCell ref="BB12:BB13"/>
    <mergeCell ref="AF12:AF13"/>
    <mergeCell ref="AI12:AI13"/>
    <mergeCell ref="AL12:AL13"/>
    <mergeCell ref="AO12:AO13"/>
    <mergeCell ref="BE12:BE13"/>
    <mergeCell ref="AC12:AC13"/>
    <mergeCell ref="AT9:AT10"/>
    <mergeCell ref="BR12:BR13"/>
    <mergeCell ref="BL12:BL13"/>
    <mergeCell ref="AR12:AR13"/>
    <mergeCell ref="BJ12:BJ13"/>
    <mergeCell ref="BJ9:BL10"/>
    <mergeCell ref="BN9:BO10"/>
    <mergeCell ref="BK12:BK13"/>
    <mergeCell ref="BO12:BO13"/>
    <mergeCell ref="BH12:BH13"/>
    <mergeCell ref="AY9:AY10"/>
    <mergeCell ref="BA9:BB10"/>
    <mergeCell ref="AV9:AW10"/>
    <mergeCell ref="AK9:AL10"/>
  </mergeCells>
  <phoneticPr fontId="2"/>
  <dataValidations count="4">
    <dataValidation type="list" allowBlank="1" showDropDown="1" showInputMessage="1" showErrorMessage="1" sqref="F48 F41" xr:uid="{00000000-0002-0000-0600-000000000000}">
      <formula1>"現行政策シナリオ, 新政策シナリオ"</formula1>
    </dataValidation>
    <dataValidation type="whole" allowBlank="1" showInputMessage="1" showErrorMessage="1" sqref="F7" xr:uid="{00000000-0002-0000-0600-000001000000}">
      <formula1>2010</formula1>
      <formula2>2030</formula2>
    </dataValidation>
    <dataValidation type="list" allowBlank="1" showDropDown="1" showInputMessage="1" showErrorMessage="1" sqref="F43" xr:uid="{00000000-0002-0000-0600-000002000000}">
      <formula1>"CIF価格, 需要地価格"</formula1>
    </dataValidation>
    <dataValidation type="list" allowBlank="1" showDropDown="1" showInputMessage="1" showErrorMessage="1" sqref="F3:G3" xr:uid="{00000000-0002-0000-0600-000003000000}">
      <formula1>"原子力,石炭火力,LNG火力,石油火力,一般水力,太陽光（メガソーラー）,太陽光（住宅）,風力（陸上）,風力（洋上）,小水力,地熱,バイオマス（石炭混焼）,バイオマス（木質専焼）,ガスコジェネ,石油コジェネ,燃料電池"</formula1>
    </dataValidation>
  </dataValidations>
  <pageMargins left="0.59055118110236227" right="0.59055118110236227" top="0.59055118110236227" bottom="0.59055118110236227" header="0.31496062992125984" footer="0.31496062992125984"/>
  <pageSetup paperSize="8" scale="2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R153"/>
  <sheetViews>
    <sheetView showGridLines="0" zoomScale="85" zoomScaleNormal="85" workbookViewId="0">
      <pane xSplit="10" ySplit="14" topLeftCell="K135" activePane="bottomRight" state="frozen"/>
      <selection pane="topRight" activeCell="AF12" sqref="AF12:AF13"/>
      <selection pane="bottomLeft" activeCell="AF12" sqref="AF12:AF13"/>
      <selection pane="bottomRight" sqref="A1:I1048576"/>
    </sheetView>
  </sheetViews>
  <sheetFormatPr defaultColWidth="9" defaultRowHeight="14.25" outlineLevelCol="1" x14ac:dyDescent="0.15"/>
  <cols>
    <col min="1" max="3" width="6.25" style="9" customWidth="1"/>
    <col min="4" max="4" width="6.25" style="81" customWidth="1"/>
    <col min="5" max="5" width="24.375" style="81" customWidth="1"/>
    <col min="6" max="6" width="18.75" style="9" customWidth="1"/>
    <col min="7" max="7" width="24.375" style="81" bestFit="1" customWidth="1"/>
    <col min="8" max="8" width="9" style="9"/>
    <col min="9" max="9" width="6.25" style="9" customWidth="1"/>
    <col min="10" max="10" width="3" style="2" customWidth="1"/>
    <col min="11" max="11" width="6.25" style="2" customWidth="1"/>
    <col min="12" max="12" width="3" style="2" customWidth="1"/>
    <col min="13" max="13" width="6.25" style="2" customWidth="1"/>
    <col min="14" max="14" width="3" style="2" customWidth="1"/>
    <col min="15" max="15" width="17.375" style="2" bestFit="1" customWidth="1"/>
    <col min="16" max="16" width="8.625" style="2" customWidth="1"/>
    <col min="17" max="17" width="3" style="2" customWidth="1"/>
    <col min="18" max="18" width="17.375" style="2" bestFit="1" customWidth="1"/>
    <col min="19" max="19" width="3" style="2" customWidth="1"/>
    <col min="20" max="20" width="17.375" style="2" bestFit="1" customWidth="1"/>
    <col min="21" max="21" width="3" style="2" customWidth="1"/>
    <col min="22" max="22" width="15" style="2" customWidth="1" outlineLevel="1"/>
    <col min="23" max="23" width="17.375" style="2" bestFit="1" customWidth="1"/>
    <col min="24" max="24" width="3" style="2" customWidth="1"/>
    <col min="25" max="25" width="15" style="2" customWidth="1" outlineLevel="1"/>
    <col min="26" max="26" width="15" style="2" customWidth="1"/>
    <col min="27" max="27" width="3" style="2" customWidth="1"/>
    <col min="28" max="28" width="15" style="2" customWidth="1" outlineLevel="1"/>
    <col min="29" max="29" width="15" style="2" customWidth="1"/>
    <col min="30" max="30" width="3" style="2" customWidth="1"/>
    <col min="31" max="31" width="15" style="2" customWidth="1" outlineLevel="1"/>
    <col min="32" max="32" width="15" style="2" customWidth="1"/>
    <col min="33" max="33" width="3" style="2" customWidth="1"/>
    <col min="34" max="34" width="14.875" style="2" customWidth="1" outlineLevel="1"/>
    <col min="35" max="35" width="15" style="2" customWidth="1"/>
    <col min="36" max="36" width="3" style="2" customWidth="1"/>
    <col min="37" max="37" width="15" style="2" customWidth="1" outlineLevel="1"/>
    <col min="38" max="38" width="15" style="2" customWidth="1"/>
    <col min="39" max="39" width="3" style="2" customWidth="1"/>
    <col min="40" max="40" width="15" style="2" customWidth="1" outlineLevel="1"/>
    <col min="41" max="41" width="15" style="2" customWidth="1"/>
    <col min="42" max="42" width="3" style="2" customWidth="1"/>
    <col min="43" max="43" width="15" style="2" customWidth="1" outlineLevel="1"/>
    <col min="44" max="44" width="15" style="2" customWidth="1"/>
    <col min="45" max="45" width="3" style="2" customWidth="1"/>
    <col min="46" max="46" width="10.75" style="2" bestFit="1" customWidth="1"/>
    <col min="47" max="47" width="3" style="2" customWidth="1"/>
    <col min="48" max="48" width="15" style="2" customWidth="1" outlineLevel="1"/>
    <col min="49" max="49" width="17.375" style="2" bestFit="1" customWidth="1"/>
    <col min="50" max="50" width="3" style="2" customWidth="1"/>
    <col min="51" max="51" width="9.625" style="2" bestFit="1" customWidth="1"/>
    <col min="52" max="52" width="3" style="2" customWidth="1"/>
    <col min="53" max="53" width="15" style="2" customWidth="1" outlineLevel="1"/>
    <col min="54" max="54" width="17.375" style="2" bestFit="1" customWidth="1"/>
    <col min="55" max="55" width="3" style="2" customWidth="1"/>
    <col min="56" max="56" width="19.25" style="2" customWidth="1" outlineLevel="1"/>
    <col min="57" max="57" width="19.25" style="2" bestFit="1" customWidth="1"/>
    <col min="58" max="58" width="3" style="2" customWidth="1"/>
    <col min="59" max="59" width="19.25" style="2" customWidth="1" outlineLevel="1"/>
    <col min="60" max="60" width="19.25" style="2"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2" customWidth="1" outlineLevel="1"/>
    <col min="70" max="70" width="17.375" style="2" bestFit="1" customWidth="1"/>
    <col min="71" max="16384" width="9" style="2"/>
  </cols>
  <sheetData>
    <row r="1" spans="1:70" ht="18.75" x14ac:dyDescent="0.15">
      <c r="A1" s="465" t="s">
        <v>60</v>
      </c>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Q1" s="71"/>
      <c r="BR1" s="71"/>
    </row>
    <row r="3" spans="1:70" ht="23.25" x14ac:dyDescent="0.15">
      <c r="B3" s="462" t="s">
        <v>517</v>
      </c>
      <c r="F3" s="728" t="s">
        <v>225</v>
      </c>
      <c r="G3" s="725"/>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Q3" s="71"/>
      <c r="BR3" s="71"/>
    </row>
    <row r="4" spans="1:70" x14ac:dyDescent="0.15">
      <c r="G4" s="112"/>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Q4" s="71"/>
      <c r="BR4" s="71"/>
    </row>
    <row r="5" spans="1:70" ht="15.75" thickBot="1" x14ac:dyDescent="0.2">
      <c r="B5" s="460" t="s">
        <v>518</v>
      </c>
      <c r="C5" s="86"/>
      <c r="D5" s="104"/>
      <c r="E5" s="104"/>
      <c r="F5" s="86"/>
      <c r="G5" s="104"/>
      <c r="I5" s="460" t="s">
        <v>531</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111"/>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9" t="s">
        <v>65</v>
      </c>
      <c r="F7" s="87">
        <v>2020</v>
      </c>
      <c r="I7" s="111"/>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9" t="s">
        <v>519</v>
      </c>
      <c r="F8" s="88">
        <f>まとめ!B3</f>
        <v>107</v>
      </c>
      <c r="G8" s="81" t="s">
        <v>171</v>
      </c>
      <c r="I8" s="111"/>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9" t="s">
        <v>520</v>
      </c>
      <c r="F9" s="88">
        <f>まとめ!B2</f>
        <v>3</v>
      </c>
      <c r="G9" s="81" t="s">
        <v>172</v>
      </c>
      <c r="I9" s="726" t="s">
        <v>532</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07" t="s">
        <v>118</v>
      </c>
      <c r="AI9" s="707"/>
      <c r="AJ9" s="8"/>
      <c r="AK9" s="707" t="s">
        <v>89</v>
      </c>
      <c r="AL9" s="707"/>
      <c r="AM9" s="8"/>
      <c r="AN9" s="707" t="s">
        <v>90</v>
      </c>
      <c r="AO9" s="707"/>
      <c r="AP9" s="8"/>
      <c r="AQ9" s="707" t="s">
        <v>91</v>
      </c>
      <c r="AR9" s="707"/>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I10" s="727"/>
      <c r="J10" s="71"/>
      <c r="K10" s="708"/>
      <c r="L10" s="71"/>
      <c r="M10" s="708"/>
      <c r="N10" s="71"/>
      <c r="O10" s="717"/>
      <c r="P10" s="717"/>
      <c r="Q10" s="71"/>
      <c r="R10" s="708"/>
      <c r="S10" s="71"/>
      <c r="T10" s="708"/>
      <c r="U10" s="71"/>
      <c r="V10" s="717"/>
      <c r="W10" s="717"/>
      <c r="X10" s="71"/>
      <c r="Y10" s="717"/>
      <c r="Z10" s="717"/>
      <c r="AA10" s="71"/>
      <c r="AB10" s="723"/>
      <c r="AC10" s="723"/>
      <c r="AD10" s="81"/>
      <c r="AE10" s="723"/>
      <c r="AF10" s="723"/>
      <c r="AG10" s="71"/>
      <c r="AH10" s="717"/>
      <c r="AI10" s="717"/>
      <c r="AJ10" s="71"/>
      <c r="AK10" s="717"/>
      <c r="AL10" s="717"/>
      <c r="AM10" s="71"/>
      <c r="AN10" s="717"/>
      <c r="AO10" s="717"/>
      <c r="AP10" s="71"/>
      <c r="AQ10" s="717"/>
      <c r="AR10" s="717"/>
      <c r="AS10" s="71"/>
      <c r="AT10" s="717"/>
      <c r="AU10" s="71"/>
      <c r="AV10" s="717"/>
      <c r="AW10" s="717"/>
      <c r="AX10" s="322"/>
      <c r="AY10" s="708"/>
      <c r="AZ10" s="71"/>
      <c r="BA10" s="708"/>
      <c r="BB10" s="708"/>
      <c r="BC10" s="71"/>
      <c r="BD10" s="717"/>
      <c r="BE10" s="717"/>
      <c r="BF10" s="71"/>
      <c r="BG10" s="717"/>
      <c r="BH10" s="717"/>
      <c r="BJ10" s="708"/>
      <c r="BK10" s="708"/>
      <c r="BL10" s="708"/>
      <c r="BM10" s="322"/>
      <c r="BN10" s="717"/>
      <c r="BO10" s="717"/>
      <c r="BQ10" s="322"/>
      <c r="BR10" s="322"/>
    </row>
    <row r="11" spans="1:70" ht="15.75" customHeight="1" thickBot="1" x14ac:dyDescent="0.2">
      <c r="B11" s="460" t="s">
        <v>95</v>
      </c>
      <c r="C11" s="86"/>
      <c r="D11" s="104"/>
      <c r="E11" s="104"/>
      <c r="F11" s="86"/>
      <c r="G11" s="104"/>
      <c r="J11" s="71"/>
      <c r="K11" s="71"/>
      <c r="L11" s="71"/>
      <c r="M11" s="71"/>
      <c r="N11" s="71"/>
      <c r="O11" s="322" t="s">
        <v>96</v>
      </c>
      <c r="P11" s="322"/>
      <c r="Q11" s="322"/>
      <c r="R11" s="322" t="s">
        <v>96</v>
      </c>
      <c r="S11" s="322"/>
      <c r="T11" s="322"/>
      <c r="U11" s="71"/>
      <c r="V11" s="322"/>
      <c r="W11" s="322"/>
      <c r="X11" s="71"/>
      <c r="Y11" s="322"/>
      <c r="Z11" s="322"/>
      <c r="AA11" s="71"/>
      <c r="AB11" s="322"/>
      <c r="AC11" s="322"/>
      <c r="AD11" s="71"/>
      <c r="AE11" s="322"/>
      <c r="AF11" s="322"/>
      <c r="AG11" s="71"/>
      <c r="AH11" s="322"/>
      <c r="AI11" s="322"/>
      <c r="AJ11" s="71"/>
      <c r="AK11" s="322"/>
      <c r="AL11" s="322"/>
      <c r="AM11" s="71"/>
      <c r="AN11" s="322"/>
      <c r="AO11" s="322"/>
      <c r="AP11" s="71"/>
      <c r="AQ11" s="322"/>
      <c r="AR11" s="322"/>
      <c r="AS11" s="71"/>
      <c r="AT11" s="322"/>
      <c r="AU11" s="71"/>
      <c r="AV11" s="322"/>
      <c r="AW11" s="322"/>
      <c r="AX11" s="322"/>
      <c r="AY11" s="71"/>
      <c r="AZ11" s="71"/>
      <c r="BA11" s="71"/>
      <c r="BB11" s="322"/>
      <c r="BC11" s="71"/>
      <c r="BD11" s="322"/>
      <c r="BE11" s="322"/>
      <c r="BF11" s="71"/>
      <c r="BG11" s="322"/>
      <c r="BH11" s="322"/>
      <c r="BJ11" s="156"/>
      <c r="BM11" s="322"/>
      <c r="BN11" s="322"/>
      <c r="BO11" s="322"/>
      <c r="BQ11" s="322"/>
      <c r="BR11" s="322"/>
    </row>
    <row r="12" spans="1:70" ht="14.25" customHeight="1" x14ac:dyDescent="0.15">
      <c r="J12" s="71"/>
      <c r="K12" s="71"/>
      <c r="L12" s="71"/>
      <c r="M12" s="71"/>
      <c r="N12" s="71"/>
      <c r="O12" s="322"/>
      <c r="P12" s="707" t="s">
        <v>97</v>
      </c>
      <c r="Q12" s="71"/>
      <c r="R12" s="71"/>
      <c r="S12" s="71"/>
      <c r="T12" s="71"/>
      <c r="U12" s="71"/>
      <c r="V12" s="71"/>
      <c r="W12" s="707" t="s">
        <v>98</v>
      </c>
      <c r="X12" s="71"/>
      <c r="Y12" s="71"/>
      <c r="Z12" s="707" t="s">
        <v>98</v>
      </c>
      <c r="AA12" s="71"/>
      <c r="AB12" s="71"/>
      <c r="AC12" s="707" t="s">
        <v>98</v>
      </c>
      <c r="AD12" s="71"/>
      <c r="AE12" s="71"/>
      <c r="AF12" s="707" t="s">
        <v>98</v>
      </c>
      <c r="AG12" s="71"/>
      <c r="AH12" s="71"/>
      <c r="AI12" s="707" t="s">
        <v>98</v>
      </c>
      <c r="AJ12" s="71"/>
      <c r="AK12" s="71"/>
      <c r="AL12" s="707" t="s">
        <v>98</v>
      </c>
      <c r="AM12" s="71"/>
      <c r="AN12" s="71"/>
      <c r="AO12" s="707" t="s">
        <v>98</v>
      </c>
      <c r="AP12" s="71"/>
      <c r="AQ12" s="71"/>
      <c r="AR12" s="707" t="s">
        <v>98</v>
      </c>
      <c r="AS12" s="71"/>
      <c r="AT12" s="71"/>
      <c r="AU12" s="71"/>
      <c r="AV12" s="71"/>
      <c r="AW12" s="707" t="s">
        <v>98</v>
      </c>
      <c r="AX12" s="71"/>
      <c r="AY12" s="71"/>
      <c r="AZ12" s="71"/>
      <c r="BA12" s="71"/>
      <c r="BB12" s="707" t="s">
        <v>98</v>
      </c>
      <c r="BC12" s="71"/>
      <c r="BD12" s="71"/>
      <c r="BE12" s="707" t="s">
        <v>98</v>
      </c>
      <c r="BF12" s="71"/>
      <c r="BG12" s="71"/>
      <c r="BH12" s="707" t="s">
        <v>98</v>
      </c>
      <c r="BJ12" s="709" t="s">
        <v>99</v>
      </c>
      <c r="BK12" s="709" t="s">
        <v>100</v>
      </c>
      <c r="BL12" s="709" t="s">
        <v>101</v>
      </c>
      <c r="BO12" s="709" t="s">
        <v>102</v>
      </c>
      <c r="BQ12" s="71"/>
      <c r="BR12" s="707" t="s">
        <v>103</v>
      </c>
    </row>
    <row r="13" spans="1:70" ht="14.25" customHeight="1" x14ac:dyDescent="0.15">
      <c r="C13" s="9" t="s">
        <v>504</v>
      </c>
      <c r="F13" s="66">
        <v>40</v>
      </c>
      <c r="G13" s="81" t="s">
        <v>173</v>
      </c>
      <c r="J13" s="71"/>
      <c r="K13" s="71"/>
      <c r="L13" s="71"/>
      <c r="M13" s="71"/>
      <c r="N13" s="71"/>
      <c r="O13" s="322"/>
      <c r="P13" s="708"/>
      <c r="Q13" s="322"/>
      <c r="R13" s="322"/>
      <c r="S13" s="322"/>
      <c r="T13" s="322"/>
      <c r="U13" s="71"/>
      <c r="V13" s="322"/>
      <c r="W13" s="708"/>
      <c r="X13" s="71"/>
      <c r="Y13" s="322"/>
      <c r="Z13" s="708"/>
      <c r="AA13" s="71"/>
      <c r="AB13" s="322"/>
      <c r="AC13" s="708"/>
      <c r="AD13" s="71"/>
      <c r="AE13" s="322"/>
      <c r="AF13" s="708"/>
      <c r="AG13" s="71"/>
      <c r="AH13" s="322"/>
      <c r="AI13" s="708"/>
      <c r="AJ13" s="71"/>
      <c r="AK13" s="322"/>
      <c r="AL13" s="708"/>
      <c r="AM13" s="71"/>
      <c r="AN13" s="322"/>
      <c r="AO13" s="708"/>
      <c r="AP13" s="71"/>
      <c r="AQ13" s="322"/>
      <c r="AR13" s="708"/>
      <c r="AS13" s="71"/>
      <c r="AT13" s="322"/>
      <c r="AU13" s="71"/>
      <c r="AV13" s="322"/>
      <c r="AW13" s="708"/>
      <c r="AX13" s="71"/>
      <c r="AY13" s="71"/>
      <c r="AZ13" s="71"/>
      <c r="BA13" s="71"/>
      <c r="BB13" s="708"/>
      <c r="BC13" s="71"/>
      <c r="BD13" s="322"/>
      <c r="BE13" s="708"/>
      <c r="BF13" s="71"/>
      <c r="BG13" s="322"/>
      <c r="BH13" s="708"/>
      <c r="BJ13" s="712"/>
      <c r="BK13" s="710"/>
      <c r="BL13" s="708"/>
      <c r="BM13" s="322"/>
      <c r="BO13" s="708"/>
      <c r="BQ13" s="322"/>
      <c r="BR13" s="708"/>
    </row>
    <row r="14" spans="1:70" ht="16.5" x14ac:dyDescent="0.15">
      <c r="C14" s="9" t="s">
        <v>505</v>
      </c>
      <c r="F14" s="88">
        <f>VLOOKUP(F3&amp;IF(G4&lt;&gt;"","_"&amp;G4,""),まとめ!$A$12:$G$34,IF(F7=2030,4,IF(F7=2020,3,IF(F7=2014,2,"-"))),0)</f>
        <v>30</v>
      </c>
      <c r="G14" s="81" t="s">
        <v>172</v>
      </c>
      <c r="J14" s="71"/>
      <c r="K14" s="71"/>
      <c r="L14" s="71"/>
      <c r="M14" s="71"/>
      <c r="N14" s="71"/>
      <c r="O14" s="322"/>
      <c r="P14" s="322"/>
      <c r="Q14" s="322"/>
      <c r="R14" s="322"/>
      <c r="S14" s="322"/>
      <c r="T14" s="322"/>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50" t="s">
        <v>104</v>
      </c>
      <c r="AU14" s="71"/>
      <c r="AV14" s="71"/>
      <c r="AW14" s="71"/>
      <c r="AX14" s="71"/>
      <c r="AY14" s="71" t="s">
        <v>105</v>
      </c>
      <c r="AZ14" s="71"/>
      <c r="BA14" s="71"/>
      <c r="BB14" s="71"/>
      <c r="BC14" s="71"/>
      <c r="BD14" s="71"/>
      <c r="BE14" s="71"/>
      <c r="BF14" s="71"/>
      <c r="BG14" s="71"/>
      <c r="BH14" s="71"/>
      <c r="BQ14" s="71"/>
      <c r="BR14" s="71"/>
    </row>
    <row r="15" spans="1:70" x14ac:dyDescent="0.15">
      <c r="C15" s="9" t="s">
        <v>506</v>
      </c>
      <c r="F15" s="88">
        <f>VLOOKUP(F3&amp;IF(G4&lt;&gt;"","_"&amp;G4,""),まとめ!$A$12:$G$34,IF(F7=2030,7,IF(F7=2020,6,IF(F7=2014,5,"-"))),0)</f>
        <v>40</v>
      </c>
      <c r="G15" s="81" t="s">
        <v>108</v>
      </c>
      <c r="I15" s="458">
        <f>F7</f>
        <v>2020</v>
      </c>
      <c r="J15" s="39"/>
      <c r="K15" s="39">
        <f>IF(I15&lt;&gt;"",1,"")</f>
        <v>1</v>
      </c>
      <c r="L15" s="39"/>
      <c r="M15" s="40">
        <f t="shared" ref="M15:M46" si="0">1/(1+($F$9/100))^K15</f>
        <v>0.970873786407767</v>
      </c>
      <c r="N15" s="39"/>
      <c r="O15" s="72">
        <f>F117</f>
        <v>104000000000</v>
      </c>
      <c r="P15" s="41">
        <f t="shared" ref="P15:P46" si="1">IF(K15&lt;=$F$15,IF(OR(P14=$F$124,P14="-"),"-",IF(O15*$F$123&gt;$F$127,$F$123,$F$124)),"")</f>
        <v>0.16700000000000001</v>
      </c>
      <c r="Q15" s="39"/>
      <c r="R15" s="72">
        <f>F117</f>
        <v>104000000000</v>
      </c>
      <c r="S15" s="39"/>
      <c r="T15" s="72">
        <f>IF(ISNUMBER(R15),ROUNDDOWN(R15,-3),"")</f>
        <v>104000000000</v>
      </c>
      <c r="U15" s="39"/>
      <c r="V15" s="72">
        <f t="shared" ref="V15:V46" si="2">IF(K15&lt;=$F$15,IF(K15&lt;$F$119,IF(P15="-",V14,O15*P15),IF(K15=$F$119,MIN(IF(P15="-",V14,O15*P15),O15),0)),"")</f>
        <v>17368000000</v>
      </c>
      <c r="W15" s="72">
        <f>IF(ISNUMBER(V15),V15*$M15,"")</f>
        <v>16862135922.330097</v>
      </c>
      <c r="X15" s="39"/>
      <c r="Y15" s="72">
        <f t="shared" ref="Y15:Y46" si="3">IF($K15&lt;=$F$15,ROUNDDOWN(T15*$F$25/100,-2),"")</f>
        <v>1456000000</v>
      </c>
      <c r="Z15" s="72">
        <f>IF(ISNUMBER(Y15),Y15*$M15,"")</f>
        <v>1413592233.0097086</v>
      </c>
      <c r="AA15" s="39"/>
      <c r="AB15" s="72">
        <f t="shared" ref="AB15:AB78" si="4">IF($K15&lt;=$F$15,0,IF(AND($K15&gt;$F$15,$K15&lt;=$F$15+$F$28),$F$27*10^8/$F$28,""))</f>
        <v>0</v>
      </c>
      <c r="AC15" s="72">
        <f>IF(ISNUMBER(AB15),AB15*$M15,"")</f>
        <v>0</v>
      </c>
      <c r="AD15" s="39"/>
      <c r="AE15" s="72">
        <f t="shared" ref="AE15:AE46" si="5">IF($K15&lt;=$F$15,$F$26,"")</f>
        <v>0</v>
      </c>
      <c r="AF15" s="72">
        <f>IF(ISNUMBER(AE15),AE15*$M15,"")</f>
        <v>0</v>
      </c>
      <c r="AG15" s="39"/>
      <c r="AH15" s="72">
        <f t="shared" ref="AH15:AH46" si="6">IF($K15&lt;=$F$15,$F$33*10^8,"")</f>
        <v>190000000</v>
      </c>
      <c r="AI15" s="72">
        <f>IF(ISNUMBER(AH15),AH15*$M15,"")</f>
        <v>184466019.41747573</v>
      </c>
      <c r="AJ15" s="39"/>
      <c r="AK15" s="72">
        <f t="shared" ref="AK15:AK46" si="7">IF($K15&lt;=$F$15,$F$117*$F$34/100,"")</f>
        <v>1872000000</v>
      </c>
      <c r="AL15" s="72">
        <f>IF(ISNUMBER(AK15),AK15*$M15,"")</f>
        <v>1817475728.1553397</v>
      </c>
      <c r="AM15" s="39"/>
      <c r="AN15" s="72">
        <f t="shared" ref="AN15:AN46" si="8">IF($K15&lt;=$F$15,$F$117*$F$35/100,"")</f>
        <v>936000000</v>
      </c>
      <c r="AO15" s="72">
        <f>IF(ISNUMBER(AN15),AN15*$M15,"")</f>
        <v>908737864.07766986</v>
      </c>
      <c r="AP15" s="39"/>
      <c r="AQ15" s="72">
        <f t="shared" ref="AQ15:AQ46" si="9">IF($K15&lt;=$F$15,SUM(AH15,AK15,AN15)*($F$36/100),"")</f>
        <v>279113800</v>
      </c>
      <c r="AR15" s="72">
        <f>IF(ISNUMBER(AQ15),AQ15*$M15,"")</f>
        <v>270984271.84466022</v>
      </c>
      <c r="AS15" s="39"/>
      <c r="AT15" s="40">
        <f>IF($K15&lt;=$F$15,IF($F$40&lt;&gt;"",$F$40/1000,IF(ISERROR(VLOOKUP($F$3&amp;IF($G$4&lt;&gt;"",$G$4,"")&amp;IF($F$43&lt;&gt;"","_"&amp;$F$43,""),'表3）燃料価格'!$AF$9:$AG$25,2,0)),0,VLOOKUP($I15,'表3）燃料価格'!$A$6:$U$66,VLOOKUP($F$3&amp;IF($G$4&lt;&gt;"",$G$4,"")&amp;IF($F$43&lt;&gt;"","_"&amp;$F$43,""),'表3）燃料価格'!$AF$9:$AG$25,2,0)+VLOOKUP($F$41,'表3）燃料価格'!$AF$28:$AG$29,2,0),0)*IF($F$43="需要地価格",1,$F$8/$F$141))),"")</f>
        <v>45.867857994370873</v>
      </c>
      <c r="AU15" s="39"/>
      <c r="AV15" s="72">
        <f t="shared" ref="AV15:AV46" si="10">IF($K15&lt;=$F$15,($AT15+$F$142)*$F$137,"")</f>
        <v>12462627688.689589</v>
      </c>
      <c r="AW15" s="72">
        <f>IF(ISNUMBER(AV15),AV15*$M15,"")</f>
        <v>12099638532.708338</v>
      </c>
      <c r="AX15" s="39"/>
      <c r="AY15" s="40">
        <f>IF(ISERROR(IF($K15&lt;=$F$15,VLOOKUP($I15,'表4）CO2価格'!$A$7:$E$67,VLOOKUP($F$48,'表4）CO2価格'!$H$10:$I$12,2,0),0)*$F$8/1000,"")),0,IF($K15&lt;=$F$15,VLOOKUP($I15,'表4）CO2価格'!$A$7:$E$67,VLOOKUP($F$48,'表4）CO2価格'!$H$10:$I$12,2,0),0)*$F$8/1000,""))</f>
        <v>1.8297000000000001</v>
      </c>
      <c r="AZ15" s="39"/>
      <c r="BA15" s="42">
        <f t="shared" ref="BA15:BA46" si="11">IF($K15&lt;=$F$15,$F$145*AY15,"")</f>
        <v>1307188663.8867693</v>
      </c>
      <c r="BB15" s="72">
        <f>IF(ISNUMBER(BA15),BA15*$M15,"")</f>
        <v>1269115207.6570575</v>
      </c>
      <c r="BC15" s="39"/>
      <c r="BD15" s="72">
        <f t="shared" ref="BD15:BD46" si="12">IF($K15&lt;=$F$15,($AT15+$F$152)*$F$151,"")</f>
        <v>0</v>
      </c>
      <c r="BE15" s="72">
        <f>IF(ISNUMBER(BD15),BD15*$M15,"")</f>
        <v>0</v>
      </c>
      <c r="BF15" s="39"/>
      <c r="BG15" s="42">
        <f t="shared" ref="BG15:BG46" si="13">IF($K15&lt;=$F$15,$F$153*AY15,"")</f>
        <v>0</v>
      </c>
      <c r="BH15" s="72">
        <f>IF(ISNUMBER(BG15),BG15*$M15,"")</f>
        <v>0</v>
      </c>
      <c r="BI15" s="39"/>
      <c r="BJ15" s="40" t="str">
        <f>IF(ISNUMBER($F$16),IF($K15&lt;=$F$16+$F$28,1/(1+($F$17/100))^K15,""),"")</f>
        <v/>
      </c>
      <c r="BK15" s="157" t="str">
        <f>IF(ISNUMBER($F$16),IF($K15&lt;=$F$16+$F$28,IF($K15&lt;=$F$16,SUM(Y15,AB15,AE15,AH15,AK15,AN15,AQ15,AV15,BA15,BD15,BG15),$F$27/$F$28*10^8)*BJ15,""),"")</f>
        <v/>
      </c>
      <c r="BL15" s="157" t="str">
        <f t="shared" ref="BL15:BL78" si="14">IF(AND(ISNUMBER(BJ15),$K15&lt;=$F$16),BQ15*BJ15,"")</f>
        <v/>
      </c>
      <c r="BM15" s="72"/>
      <c r="BN15" s="72" t="str">
        <f>IF(AND(ISNUMBER($F$16),$K15&lt;=$F$16),BQ15*($O$15+$BK$116)/$BL$116,"")</f>
        <v/>
      </c>
      <c r="BO15" s="72" t="str">
        <f>IF(ISNUMBER(BN15),BN15*$M15,"")</f>
        <v/>
      </c>
      <c r="BP15" s="39"/>
      <c r="BQ15" s="72">
        <f t="shared" ref="BQ15:BQ46" si="15">IF($K15&lt;=$F$15,$F$134,"")</f>
        <v>1000742400</v>
      </c>
      <c r="BR15" s="72">
        <f>IF(ISNUMBER(BQ15),BQ15*$M15,"")</f>
        <v>971594563.10679615</v>
      </c>
    </row>
    <row r="16" spans="1:70" x14ac:dyDescent="0.15">
      <c r="C16" s="236" t="s">
        <v>107</v>
      </c>
      <c r="F16" s="88" t="str">
        <f>IF(ISERROR(VLOOKUP(F3&amp;IF(G4&lt;&gt;"","_"&amp;G4,""),'表7）買取期間・IRR'!$A$3:$A$10,1,0)),"",VLOOKUP(F3&amp;IF(G4&lt;&gt;"","_"&amp;G4,""),'表7）買取期間・IRR'!$A$3:$C$10,IF(F7=2030,4,IF(F7=2020,3,IF(F7=2014,2,"-"))),0))</f>
        <v/>
      </c>
      <c r="G16" s="81" t="s">
        <v>108</v>
      </c>
      <c r="I16" s="459">
        <f>I15+1</f>
        <v>2021</v>
      </c>
      <c r="J16" s="71"/>
      <c r="K16" s="71">
        <f>IF(I16&lt;&gt;"",K15+1,"")</f>
        <v>2</v>
      </c>
      <c r="L16" s="71"/>
      <c r="M16" s="7">
        <f t="shared" si="0"/>
        <v>0.94259590913375435</v>
      </c>
      <c r="N16" s="71"/>
      <c r="O16" s="10">
        <f t="shared" ref="O16:O47" si="16">IF(K16&lt;=$F$15,O15-V15,"")</f>
        <v>86632000000</v>
      </c>
      <c r="P16" s="29">
        <f t="shared" si="1"/>
        <v>0.16700000000000001</v>
      </c>
      <c r="Q16" s="71"/>
      <c r="R16" s="10">
        <f t="shared" ref="R16:R47" si="17">IF($K16&lt;=$F$15,MAX($F$117*5%,R15*$F$129),"")</f>
        <v>89200373453.452988</v>
      </c>
      <c r="S16" s="71"/>
      <c r="T16" s="10">
        <f t="shared" ref="T16:T79" si="18">IF(ISNUMBER(R16),ROUNDDOWN(R16,-3),"")</f>
        <v>89200373000</v>
      </c>
      <c r="U16" s="71"/>
      <c r="V16" s="10">
        <f t="shared" si="2"/>
        <v>14467544000</v>
      </c>
      <c r="W16" s="10">
        <f t="shared" ref="W16:W79" si="19">IF(ISNUMBER(V16),V16*$M16,"")</f>
        <v>13637047789.612593</v>
      </c>
      <c r="X16" s="71"/>
      <c r="Y16" s="10">
        <f t="shared" si="3"/>
        <v>1248805200</v>
      </c>
      <c r="Z16" s="10">
        <f t="shared" ref="Z16:Z79" si="20">IF(ISNUMBER(Y16),Y16*$M16,"")</f>
        <v>1177118672.82496</v>
      </c>
      <c r="AA16" s="71"/>
      <c r="AB16" s="10">
        <f t="shared" si="4"/>
        <v>0</v>
      </c>
      <c r="AC16" s="10">
        <f t="shared" ref="AC16:AC79" si="21">IF(ISNUMBER(AB16),AB16*$M16,"")</f>
        <v>0</v>
      </c>
      <c r="AD16" s="71"/>
      <c r="AE16" s="10">
        <f t="shared" si="5"/>
        <v>0</v>
      </c>
      <c r="AF16" s="10">
        <f t="shared" ref="AF16:AF79" si="22">IF(ISNUMBER(AE16),AE16*$M16,"")</f>
        <v>0</v>
      </c>
      <c r="AG16" s="71"/>
      <c r="AH16" s="10">
        <f t="shared" si="6"/>
        <v>190000000</v>
      </c>
      <c r="AI16" s="10">
        <f t="shared" ref="AI16:AI79" si="23">IF(ISNUMBER(AH16),AH16*$M16,"")</f>
        <v>179093222.73541331</v>
      </c>
      <c r="AJ16" s="71"/>
      <c r="AK16" s="10">
        <f t="shared" si="7"/>
        <v>1872000000</v>
      </c>
      <c r="AL16" s="10">
        <f t="shared" ref="AL16:AL79" si="24">IF(ISNUMBER(AK16),AK16*$M16,"")</f>
        <v>1764539541.8983881</v>
      </c>
      <c r="AM16" s="71"/>
      <c r="AN16" s="10">
        <f t="shared" si="8"/>
        <v>936000000</v>
      </c>
      <c r="AO16" s="10">
        <f t="shared" ref="AO16:AO79" si="25">IF(ISNUMBER(AN16),AN16*$M16,"")</f>
        <v>882269770.94919407</v>
      </c>
      <c r="AP16" s="71"/>
      <c r="AQ16" s="10">
        <f t="shared" si="9"/>
        <v>279113800</v>
      </c>
      <c r="AR16" s="10">
        <f t="shared" ref="AR16:AR79" si="26">IF(ISNUMBER(AQ16),AQ16*$M16,"")</f>
        <v>263091526.06277689</v>
      </c>
      <c r="AS16" s="71"/>
      <c r="AT16" s="7">
        <f>IF($K16&lt;=$F$15,IF($F$40&lt;&gt;"",$F$40/1000,IF(ISERROR(VLOOKUP($F$3&amp;IF($G$4&lt;&gt;"",$G$4,"")&amp;IF($F$43&lt;&gt;"","_"&amp;$F$43,""),'表3）燃料価格'!$AF$9:$AG$25,2,0)),0,VLOOKUP($I16,'表3）燃料価格'!$A$6:$U$66,VLOOKUP($F$3&amp;IF($G$4&lt;&gt;"",$G$4,"")&amp;IF($F$43&lt;&gt;"","_"&amp;$F$43,""),'表3）燃料価格'!$AF$9:$AG$25,2,0)+VLOOKUP($F$41,'表3）燃料価格'!$AF$28:$AG$29,2,0),0)*IF($F$43="需要地価格",1,$F$8/$F$141))),"")</f>
        <v>46.765204330952528</v>
      </c>
      <c r="AU16" s="71"/>
      <c r="AV16" s="10">
        <f t="shared" si="10"/>
        <v>12671786868.056829</v>
      </c>
      <c r="AW16" s="10">
        <f t="shared" ref="AW16:AW79" si="27">IF(ISNUMBER(AV16),AV16*$M16,"")</f>
        <v>11944374463.245197</v>
      </c>
      <c r="AX16" s="71"/>
      <c r="AY16" s="7">
        <f>IF(ISERROR(IF($K16&lt;=$F$15,VLOOKUP($I16,'表4）CO2価格'!$A$7:$E$67,VLOOKUP($F$48,'表4）CO2価格'!$H$10:$I$12,2,0),0)*$F$8/1000,"")),0,IF($K16&lt;=$F$15,VLOOKUP($I16,'表4）CO2価格'!$A$7:$E$67,VLOOKUP($F$48,'表4）CO2価格'!$H$10:$I$12,2,0),0)*$F$8/1000,""))</f>
        <v>3.1243999999999805</v>
      </c>
      <c r="AZ16" s="71"/>
      <c r="BA16" s="11">
        <f t="shared" si="11"/>
        <v>2232158420.2042937</v>
      </c>
      <c r="BB16" s="10">
        <f t="shared" ref="BB16:BB79" si="28">IF(ISNUMBER(BA16),BA16*$M16,"")</f>
        <v>2104023395.4230311</v>
      </c>
      <c r="BC16" s="71"/>
      <c r="BD16" s="10">
        <f t="shared" si="12"/>
        <v>0</v>
      </c>
      <c r="BE16" s="10">
        <f t="shared" ref="BE16:BE79" si="29">IF(ISNUMBER(BD16),BD16*$M16,"")</f>
        <v>0</v>
      </c>
      <c r="BF16" s="71"/>
      <c r="BG16" s="11">
        <f t="shared" si="13"/>
        <v>0</v>
      </c>
      <c r="BH16" s="10">
        <f t="shared" ref="BH16:BH79" si="30">IF(ISNUMBER(BG16),BG16*$M16,"")</f>
        <v>0</v>
      </c>
      <c r="BJ16" s="7" t="str">
        <f t="shared" ref="BJ16:BJ79" si="31">IF(ISNUMBER($F$16),IF($K16&lt;=$F$16+$F$28,1/(1+($F$17/100))^K16,""),"")</f>
        <v/>
      </c>
      <c r="BK16" s="158" t="str">
        <f t="shared" ref="BK16:BK79" si="32">IF(ISNUMBER($F$16),IF($K16&lt;=$F$16+$F$28,IF($K16&lt;=$F$16,SUM(Y16,AB16,AE16,AH16,AK16,AN16,AQ16,AV16,BA16,BD16,BG16),$F$27/$F$28*10^8)*BJ16,""),"")</f>
        <v/>
      </c>
      <c r="BL16" s="158" t="str">
        <f t="shared" si="14"/>
        <v/>
      </c>
      <c r="BM16" s="10"/>
      <c r="BN16" s="10" t="str">
        <f t="shared" ref="BN16:BN79" si="33">IF(AND(ISNUMBER($F$16),$K16&lt;=$F$16),BQ16*($O$15+$BK$116)/$BL$116,"")</f>
        <v/>
      </c>
      <c r="BO16" s="10" t="str">
        <f t="shared" ref="BO16:BO79" si="34">IF(ISNUMBER(BN16),BN16*$M16,"")</f>
        <v/>
      </c>
      <c r="BQ16" s="10">
        <f t="shared" si="15"/>
        <v>1000742400</v>
      </c>
      <c r="BR16" s="10">
        <f t="shared" ref="BR16:BR79" si="35">IF(ISNUMBER(BQ16),BQ16*$M16,"")</f>
        <v>943295692.33669519</v>
      </c>
    </row>
    <row r="17" spans="3:70" x14ac:dyDescent="0.15">
      <c r="C17" s="9" t="s">
        <v>109</v>
      </c>
      <c r="F17" s="143" t="str">
        <f>IF(ISERROR(VLOOKUP(F3&amp;IF(G4&lt;&gt;"","_"&amp;G4,""),'表7）買取期間・IRR'!$A$14:$A$21,1,0)),"",VLOOKUP(F3&amp;IF(G4&lt;&gt;"","_"&amp;G4,""),'表7）買取期間・IRR'!$A$14:$C$21,IF(F7=2030,4,IF(F7=2020,3,IF(F7=2014,2,"-"))),0))</f>
        <v/>
      </c>
      <c r="G17" s="81" t="s">
        <v>172</v>
      </c>
      <c r="I17" s="458">
        <f t="shared" ref="I17:I80" si="36">I16+1</f>
        <v>2022</v>
      </c>
      <c r="J17" s="39"/>
      <c r="K17" s="39">
        <f t="shared" ref="K17:K80" si="37">IF(I17&lt;&gt;"",K16+1,"")</f>
        <v>3</v>
      </c>
      <c r="L17" s="39"/>
      <c r="M17" s="40">
        <f t="shared" si="0"/>
        <v>0.91514165935315961</v>
      </c>
      <c r="N17" s="39"/>
      <c r="O17" s="72">
        <f t="shared" si="16"/>
        <v>72164456000</v>
      </c>
      <c r="P17" s="41">
        <f t="shared" si="1"/>
        <v>0.16700000000000001</v>
      </c>
      <c r="Q17" s="39"/>
      <c r="R17" s="72">
        <f t="shared" si="17"/>
        <v>76506794463.802704</v>
      </c>
      <c r="S17" s="39"/>
      <c r="T17" s="72">
        <f t="shared" si="18"/>
        <v>76506794000</v>
      </c>
      <c r="U17" s="39"/>
      <c r="V17" s="72">
        <f t="shared" si="2"/>
        <v>12051464152</v>
      </c>
      <c r="W17" s="72">
        <f t="shared" si="19"/>
        <v>11028796901.696398</v>
      </c>
      <c r="X17" s="39"/>
      <c r="Y17" s="72">
        <f t="shared" si="3"/>
        <v>1071095100</v>
      </c>
      <c r="Z17" s="72">
        <f t="shared" si="20"/>
        <v>980203747.13903844</v>
      </c>
      <c r="AA17" s="39"/>
      <c r="AB17" s="72">
        <f t="shared" si="4"/>
        <v>0</v>
      </c>
      <c r="AC17" s="72">
        <f t="shared" si="21"/>
        <v>0</v>
      </c>
      <c r="AD17" s="39"/>
      <c r="AE17" s="72">
        <f t="shared" si="5"/>
        <v>0</v>
      </c>
      <c r="AF17" s="72">
        <f t="shared" si="22"/>
        <v>0</v>
      </c>
      <c r="AG17" s="39"/>
      <c r="AH17" s="72">
        <f t="shared" si="6"/>
        <v>190000000</v>
      </c>
      <c r="AI17" s="72">
        <f t="shared" si="23"/>
        <v>173876915.27710032</v>
      </c>
      <c r="AJ17" s="39"/>
      <c r="AK17" s="72">
        <f t="shared" si="7"/>
        <v>1872000000</v>
      </c>
      <c r="AL17" s="72">
        <f t="shared" si="24"/>
        <v>1713145186.3091147</v>
      </c>
      <c r="AM17" s="39"/>
      <c r="AN17" s="72">
        <f t="shared" si="8"/>
        <v>936000000</v>
      </c>
      <c r="AO17" s="72">
        <f t="shared" si="25"/>
        <v>856572593.15455735</v>
      </c>
      <c r="AP17" s="39"/>
      <c r="AQ17" s="72">
        <f t="shared" si="9"/>
        <v>279113800</v>
      </c>
      <c r="AR17" s="72">
        <f t="shared" si="26"/>
        <v>255428666.08036593</v>
      </c>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47.66255066753417</v>
      </c>
      <c r="AU17" s="39"/>
      <c r="AV17" s="72">
        <f t="shared" si="10"/>
        <v>12880946047.424065</v>
      </c>
      <c r="AW17" s="72">
        <f t="shared" si="27"/>
        <v>11787890339.878181</v>
      </c>
      <c r="AX17" s="39"/>
      <c r="AY17" s="40">
        <f>IF(ISERROR(IF($K17&lt;=$F$15,VLOOKUP($I17,'表4）CO2価格'!$A$7:$E$67,VLOOKUP($F$48,'表4）CO2価格'!$H$10:$I$12,2,0),0)*$F$8/1000,"")),0,IF($K17&lt;=$F$15,VLOOKUP($I17,'表4）CO2価格'!$A$7:$E$67,VLOOKUP($F$48,'表4）CO2価格'!$H$10:$I$12,2,0),0)*$F$8/1000,""))</f>
        <v>3.2528000000000099</v>
      </c>
      <c r="AZ17" s="39"/>
      <c r="BA17" s="42">
        <f t="shared" si="11"/>
        <v>2323890958.0209298</v>
      </c>
      <c r="BB17" s="72">
        <f t="shared" si="28"/>
        <v>2126689427.4790776</v>
      </c>
      <c r="BC17" s="39"/>
      <c r="BD17" s="72">
        <f t="shared" si="12"/>
        <v>0</v>
      </c>
      <c r="BE17" s="72">
        <f t="shared" si="29"/>
        <v>0</v>
      </c>
      <c r="BF17" s="39"/>
      <c r="BG17" s="42">
        <f t="shared" si="13"/>
        <v>0</v>
      </c>
      <c r="BH17" s="72">
        <f t="shared" si="30"/>
        <v>0</v>
      </c>
      <c r="BI17" s="39"/>
      <c r="BJ17" s="40" t="str">
        <f t="shared" si="31"/>
        <v/>
      </c>
      <c r="BK17" s="157" t="str">
        <f t="shared" si="32"/>
        <v/>
      </c>
      <c r="BL17" s="157" t="str">
        <f t="shared" si="14"/>
        <v/>
      </c>
      <c r="BM17" s="72"/>
      <c r="BN17" s="72" t="str">
        <f t="shared" si="33"/>
        <v/>
      </c>
      <c r="BO17" s="72" t="str">
        <f t="shared" si="34"/>
        <v/>
      </c>
      <c r="BP17" s="39"/>
      <c r="BQ17" s="72">
        <f t="shared" si="15"/>
        <v>1000742400</v>
      </c>
      <c r="BR17" s="72">
        <f t="shared" si="35"/>
        <v>915821060.52106345</v>
      </c>
    </row>
    <row r="18" spans="3:70" x14ac:dyDescent="0.15">
      <c r="I18" s="459">
        <f t="shared" si="36"/>
        <v>2023</v>
      </c>
      <c r="J18" s="71"/>
      <c r="K18" s="71">
        <f t="shared" si="37"/>
        <v>4</v>
      </c>
      <c r="L18" s="71"/>
      <c r="M18" s="7">
        <f t="shared" si="0"/>
        <v>0.888487047915689</v>
      </c>
      <c r="N18" s="71"/>
      <c r="O18" s="10">
        <f t="shared" si="16"/>
        <v>60112991848</v>
      </c>
      <c r="P18" s="29">
        <f t="shared" si="1"/>
        <v>0.16700000000000001</v>
      </c>
      <c r="Q18" s="71"/>
      <c r="R18" s="10">
        <f t="shared" si="17"/>
        <v>65619563825.940102</v>
      </c>
      <c r="S18" s="71"/>
      <c r="T18" s="10">
        <f t="shared" si="18"/>
        <v>65619563000</v>
      </c>
      <c r="U18" s="71"/>
      <c r="V18" s="10">
        <f t="shared" si="2"/>
        <v>10038869638.616001</v>
      </c>
      <c r="W18" s="10">
        <f t="shared" si="19"/>
        <v>8919405649.6243706</v>
      </c>
      <c r="X18" s="71"/>
      <c r="Y18" s="10">
        <f t="shared" si="3"/>
        <v>918673800</v>
      </c>
      <c r="Z18" s="10">
        <f t="shared" si="20"/>
        <v>816229772.55948806</v>
      </c>
      <c r="AA18" s="71"/>
      <c r="AB18" s="10">
        <f t="shared" si="4"/>
        <v>0</v>
      </c>
      <c r="AC18" s="10">
        <f t="shared" si="21"/>
        <v>0</v>
      </c>
      <c r="AD18" s="71"/>
      <c r="AE18" s="10">
        <f t="shared" si="5"/>
        <v>0</v>
      </c>
      <c r="AF18" s="10">
        <f t="shared" si="22"/>
        <v>0</v>
      </c>
      <c r="AG18" s="71"/>
      <c r="AH18" s="10">
        <f t="shared" si="6"/>
        <v>190000000</v>
      </c>
      <c r="AI18" s="10">
        <f t="shared" si="23"/>
        <v>168812539.1039809</v>
      </c>
      <c r="AJ18" s="71"/>
      <c r="AK18" s="10">
        <f t="shared" si="7"/>
        <v>1872000000</v>
      </c>
      <c r="AL18" s="10">
        <f t="shared" si="24"/>
        <v>1663247753.6981697</v>
      </c>
      <c r="AM18" s="71"/>
      <c r="AN18" s="10">
        <f t="shared" si="8"/>
        <v>936000000</v>
      </c>
      <c r="AO18" s="10">
        <f t="shared" si="25"/>
        <v>831623876.84908485</v>
      </c>
      <c r="AP18" s="71"/>
      <c r="AQ18" s="10">
        <f t="shared" si="9"/>
        <v>279113800</v>
      </c>
      <c r="AR18" s="10">
        <f t="shared" si="26"/>
        <v>247988996.19453004</v>
      </c>
      <c r="AS18" s="71"/>
      <c r="AT18" s="7">
        <f>IF($K18&lt;=$F$15,IF($F$40&lt;&gt;"",$F$40/1000,IF(ISERROR(VLOOKUP($F$3&amp;IF($G$4&lt;&gt;"",$G$4,"")&amp;IF($F$43&lt;&gt;"","_"&amp;$F$43,""),'表3）燃料価格'!$AF$9:$AG$25,2,0)),0,VLOOKUP($I18,'表3）燃料価格'!$A$6:$U$66,VLOOKUP($F$3&amp;IF($G$4&lt;&gt;"",$G$4,"")&amp;IF($F$43&lt;&gt;"","_"&amp;$F$43,""),'表3）燃料価格'!$AF$9:$AG$25,2,0)+VLOOKUP($F$41,'表3）燃料価格'!$AF$28:$AG$29,2,0),0)*IF($F$43="需要地価格",1,$F$8/$F$141))),"")</f>
        <v>48.559897004115811</v>
      </c>
      <c r="AU18" s="71"/>
      <c r="AV18" s="10">
        <f t="shared" si="10"/>
        <v>13090105226.791302</v>
      </c>
      <c r="AW18" s="10">
        <f t="shared" si="27"/>
        <v>11630388949.857534</v>
      </c>
      <c r="AX18" s="71"/>
      <c r="AY18" s="7">
        <f>IF(ISERROR(IF($K18&lt;=$F$15,VLOOKUP($I18,'表4）CO2価格'!$A$7:$E$67,VLOOKUP($F$48,'表4）CO2価格'!$H$10:$I$12,2,0),0)*$F$8/1000,"")),0,IF($K18&lt;=$F$15,VLOOKUP($I18,'表4）CO2価格'!$A$7:$E$67,VLOOKUP($F$48,'表4）CO2価格'!$H$10:$I$12,2,0),0)*$F$8/1000,""))</f>
        <v>3.3811999999999904</v>
      </c>
      <c r="AZ18" s="71"/>
      <c r="BA18" s="11">
        <f t="shared" si="11"/>
        <v>2415623495.8375316</v>
      </c>
      <c r="BB18" s="10">
        <f t="shared" si="28"/>
        <v>2146250188.6924651</v>
      </c>
      <c r="BC18" s="71"/>
      <c r="BD18" s="10">
        <f t="shared" si="12"/>
        <v>0</v>
      </c>
      <c r="BE18" s="10">
        <f t="shared" si="29"/>
        <v>0</v>
      </c>
      <c r="BF18" s="71"/>
      <c r="BG18" s="11">
        <f t="shared" si="13"/>
        <v>0</v>
      </c>
      <c r="BH18" s="10">
        <f t="shared" si="30"/>
        <v>0</v>
      </c>
      <c r="BJ18" s="7" t="str">
        <f t="shared" si="31"/>
        <v/>
      </c>
      <c r="BK18" s="158" t="str">
        <f t="shared" si="32"/>
        <v/>
      </c>
      <c r="BL18" s="158" t="str">
        <f t="shared" si="14"/>
        <v/>
      </c>
      <c r="BM18" s="10"/>
      <c r="BN18" s="10" t="str">
        <f t="shared" si="33"/>
        <v/>
      </c>
      <c r="BO18" s="10" t="str">
        <f t="shared" si="34"/>
        <v/>
      </c>
      <c r="BQ18" s="10">
        <f t="shared" si="15"/>
        <v>1000742400</v>
      </c>
      <c r="BR18" s="10">
        <f t="shared" si="35"/>
        <v>889146660.70006156</v>
      </c>
    </row>
    <row r="19" spans="3:70" x14ac:dyDescent="0.15">
      <c r="C19" s="89" t="s">
        <v>371</v>
      </c>
      <c r="D19" s="101"/>
      <c r="E19" s="101"/>
      <c r="F19" s="89"/>
      <c r="G19" s="101"/>
      <c r="I19" s="458">
        <f t="shared" si="36"/>
        <v>2024</v>
      </c>
      <c r="J19" s="39"/>
      <c r="K19" s="39">
        <f t="shared" si="37"/>
        <v>5</v>
      </c>
      <c r="L19" s="39"/>
      <c r="M19" s="40">
        <f t="shared" si="0"/>
        <v>0.86260878438416411</v>
      </c>
      <c r="N19" s="39"/>
      <c r="O19" s="72">
        <f t="shared" si="16"/>
        <v>50074122209.384003</v>
      </c>
      <c r="P19" s="41">
        <f t="shared" si="1"/>
        <v>0.16700000000000001</v>
      </c>
      <c r="Q19" s="39"/>
      <c r="R19" s="72">
        <f t="shared" si="17"/>
        <v>56281630760.83223</v>
      </c>
      <c r="S19" s="39"/>
      <c r="T19" s="72">
        <f t="shared" si="18"/>
        <v>56281630000</v>
      </c>
      <c r="U19" s="39"/>
      <c r="V19" s="72">
        <f t="shared" si="2"/>
        <v>8362378408.9671288</v>
      </c>
      <c r="W19" s="72">
        <f t="shared" si="19"/>
        <v>7213461073.9195156</v>
      </c>
      <c r="X19" s="39"/>
      <c r="Y19" s="72">
        <f t="shared" si="3"/>
        <v>787942800</v>
      </c>
      <c r="Z19" s="72">
        <f t="shared" si="20"/>
        <v>679686380.87225449</v>
      </c>
      <c r="AA19" s="39"/>
      <c r="AB19" s="72">
        <f t="shared" si="4"/>
        <v>0</v>
      </c>
      <c r="AC19" s="72">
        <f t="shared" si="21"/>
        <v>0</v>
      </c>
      <c r="AD19" s="39"/>
      <c r="AE19" s="72">
        <f t="shared" si="5"/>
        <v>0</v>
      </c>
      <c r="AF19" s="72">
        <f t="shared" si="22"/>
        <v>0</v>
      </c>
      <c r="AG19" s="39"/>
      <c r="AH19" s="72">
        <f t="shared" si="6"/>
        <v>190000000</v>
      </c>
      <c r="AI19" s="72">
        <f t="shared" si="23"/>
        <v>163895669.03299117</v>
      </c>
      <c r="AJ19" s="39"/>
      <c r="AK19" s="72">
        <f t="shared" si="7"/>
        <v>1872000000</v>
      </c>
      <c r="AL19" s="72">
        <f t="shared" si="24"/>
        <v>1614803644.3671553</v>
      </c>
      <c r="AM19" s="39"/>
      <c r="AN19" s="72">
        <f t="shared" si="8"/>
        <v>936000000</v>
      </c>
      <c r="AO19" s="72">
        <f t="shared" si="25"/>
        <v>807401822.18357766</v>
      </c>
      <c r="AP19" s="39"/>
      <c r="AQ19" s="72">
        <f t="shared" si="9"/>
        <v>279113800</v>
      </c>
      <c r="AR19" s="72">
        <f t="shared" si="26"/>
        <v>240766015.72284469</v>
      </c>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49.457243340697467</v>
      </c>
      <c r="AU19" s="39"/>
      <c r="AV19" s="72">
        <f t="shared" si="10"/>
        <v>13299264406.158541</v>
      </c>
      <c r="AW19" s="72">
        <f t="shared" si="27"/>
        <v>11472062302.6</v>
      </c>
      <c r="AX19" s="39"/>
      <c r="AY19" s="40">
        <f>IF(ISERROR(IF($K19&lt;=$F$15,VLOOKUP($I19,'表4）CO2価格'!$A$7:$E$67,VLOOKUP($F$48,'表4）CO2価格'!$H$10:$I$12,2,0),0)*$F$8/1000,"")),0,IF($K19&lt;=$F$15,VLOOKUP($I19,'表4）CO2価格'!$A$7:$E$67,VLOOKUP($F$48,'表4）CO2価格'!$H$10:$I$12,2,0),0)*$F$8/1000,""))</f>
        <v>3.509599999999971</v>
      </c>
      <c r="AZ19" s="39"/>
      <c r="BA19" s="42">
        <f t="shared" si="11"/>
        <v>2507356033.6541328</v>
      </c>
      <c r="BB19" s="72">
        <f t="shared" si="28"/>
        <v>2162867340.2086906</v>
      </c>
      <c r="BC19" s="39"/>
      <c r="BD19" s="72">
        <f t="shared" si="12"/>
        <v>0</v>
      </c>
      <c r="BE19" s="72">
        <f t="shared" si="29"/>
        <v>0</v>
      </c>
      <c r="BF19" s="39"/>
      <c r="BG19" s="42">
        <f t="shared" si="13"/>
        <v>0</v>
      </c>
      <c r="BH19" s="72">
        <f t="shared" si="30"/>
        <v>0</v>
      </c>
      <c r="BI19" s="39"/>
      <c r="BJ19" s="40" t="str">
        <f t="shared" si="31"/>
        <v/>
      </c>
      <c r="BK19" s="157" t="str">
        <f t="shared" si="32"/>
        <v/>
      </c>
      <c r="BL19" s="157" t="str">
        <f t="shared" si="14"/>
        <v/>
      </c>
      <c r="BM19" s="72"/>
      <c r="BN19" s="72" t="str">
        <f t="shared" si="33"/>
        <v/>
      </c>
      <c r="BO19" s="72" t="str">
        <f t="shared" si="34"/>
        <v/>
      </c>
      <c r="BP19" s="39"/>
      <c r="BQ19" s="72">
        <f t="shared" si="15"/>
        <v>1000742400</v>
      </c>
      <c r="BR19" s="72">
        <f t="shared" si="35"/>
        <v>863249185.14569092</v>
      </c>
    </row>
    <row r="20" spans="3:70" x14ac:dyDescent="0.15">
      <c r="I20" s="459">
        <f t="shared" si="36"/>
        <v>2025</v>
      </c>
      <c r="J20" s="71"/>
      <c r="K20" s="71">
        <f t="shared" si="37"/>
        <v>6</v>
      </c>
      <c r="L20" s="71"/>
      <c r="M20" s="7">
        <f t="shared" si="0"/>
        <v>0.83748425668365445</v>
      </c>
      <c r="N20" s="71"/>
      <c r="O20" s="10">
        <f t="shared" si="16"/>
        <v>41711743800.41687</v>
      </c>
      <c r="P20" s="29">
        <f t="shared" si="1"/>
        <v>0.16700000000000001</v>
      </c>
      <c r="Q20" s="71"/>
      <c r="R20" s="10">
        <f t="shared" si="17"/>
        <v>48272523869.572906</v>
      </c>
      <c r="S20" s="71"/>
      <c r="T20" s="10">
        <f t="shared" si="18"/>
        <v>48272523000</v>
      </c>
      <c r="U20" s="71"/>
      <c r="V20" s="10">
        <f t="shared" si="2"/>
        <v>6965861214.6696177</v>
      </c>
      <c r="W20" s="10">
        <f t="shared" si="19"/>
        <v>5833799101.5290833</v>
      </c>
      <c r="X20" s="71"/>
      <c r="Y20" s="10">
        <f t="shared" si="3"/>
        <v>675815300</v>
      </c>
      <c r="Z20" s="10">
        <f t="shared" si="20"/>
        <v>565984674.17594099</v>
      </c>
      <c r="AA20" s="71"/>
      <c r="AB20" s="10">
        <f t="shared" si="4"/>
        <v>0</v>
      </c>
      <c r="AC20" s="10">
        <f t="shared" si="21"/>
        <v>0</v>
      </c>
      <c r="AD20" s="71"/>
      <c r="AE20" s="10">
        <f t="shared" si="5"/>
        <v>0</v>
      </c>
      <c r="AF20" s="10">
        <f t="shared" si="22"/>
        <v>0</v>
      </c>
      <c r="AG20" s="71"/>
      <c r="AH20" s="10">
        <f t="shared" si="6"/>
        <v>190000000</v>
      </c>
      <c r="AI20" s="10">
        <f t="shared" si="23"/>
        <v>159122008.76989433</v>
      </c>
      <c r="AJ20" s="71"/>
      <c r="AK20" s="10">
        <f t="shared" si="7"/>
        <v>1872000000</v>
      </c>
      <c r="AL20" s="10">
        <f t="shared" si="24"/>
        <v>1567770528.5118012</v>
      </c>
      <c r="AM20" s="71"/>
      <c r="AN20" s="10">
        <f t="shared" si="8"/>
        <v>936000000</v>
      </c>
      <c r="AO20" s="10">
        <f t="shared" si="25"/>
        <v>783885264.25590062</v>
      </c>
      <c r="AP20" s="71"/>
      <c r="AQ20" s="10">
        <f t="shared" si="9"/>
        <v>279113800</v>
      </c>
      <c r="AR20" s="10">
        <f t="shared" si="26"/>
        <v>233753413.32315019</v>
      </c>
      <c r="AS20" s="71"/>
      <c r="AT20" s="7">
        <f>IF($K20&lt;=$F$15,IF($F$40&lt;&gt;"",$F$40/1000,IF(ISERROR(VLOOKUP($F$3&amp;IF($G$4&lt;&gt;"",$G$4,"")&amp;IF($F$43&lt;&gt;"","_"&amp;$F$43,""),'表3）燃料価格'!$AF$9:$AG$25,2,0)),0,VLOOKUP($I20,'表3）燃料価格'!$A$6:$U$66,VLOOKUP($F$3&amp;IF($G$4&lt;&gt;"",$G$4,"")&amp;IF($F$43&lt;&gt;"","_"&amp;$F$43,""),'表3）燃料価格'!$AF$9:$AG$25,2,0)+VLOOKUP($F$41,'表3）燃料価格'!$AF$28:$AG$29,2,0),0)*IF($F$43="需要地価格",1,$F$8/$F$141))),"")</f>
        <v>50.354589677279108</v>
      </c>
      <c r="AU20" s="71"/>
      <c r="AV20" s="10">
        <f t="shared" si="10"/>
        <v>13508423585.525778</v>
      </c>
      <c r="AW20" s="10">
        <f t="shared" si="27"/>
        <v>11313092085.492002</v>
      </c>
      <c r="AX20" s="71"/>
      <c r="AY20" s="7">
        <f>IF(ISERROR(IF($K20&lt;=$F$15,VLOOKUP($I20,'表4）CO2価格'!$A$7:$E$67,VLOOKUP($F$48,'表4）CO2価格'!$H$10:$I$12,2,0),0)*$F$8/1000,"")),0,IF($K20&lt;=$F$15,VLOOKUP($I20,'表4）CO2価格'!$A$7:$E$67,VLOOKUP($F$48,'表4）CO2価格'!$H$10:$I$12,2,0),0)*$F$8/1000,""))</f>
        <v>3.6379999999999999</v>
      </c>
      <c r="AZ20" s="71"/>
      <c r="BA20" s="11">
        <f t="shared" si="11"/>
        <v>2599088571.4707689</v>
      </c>
      <c r="BB20" s="10">
        <f t="shared" si="28"/>
        <v>2176695760.333178</v>
      </c>
      <c r="BC20" s="71"/>
      <c r="BD20" s="10">
        <f t="shared" si="12"/>
        <v>0</v>
      </c>
      <c r="BE20" s="10">
        <f t="shared" si="29"/>
        <v>0</v>
      </c>
      <c r="BF20" s="71"/>
      <c r="BG20" s="11">
        <f t="shared" si="13"/>
        <v>0</v>
      </c>
      <c r="BH20" s="10">
        <f t="shared" si="30"/>
        <v>0</v>
      </c>
      <c r="BJ20" s="7" t="str">
        <f t="shared" si="31"/>
        <v/>
      </c>
      <c r="BK20" s="158" t="str">
        <f t="shared" si="32"/>
        <v/>
      </c>
      <c r="BL20" s="158" t="str">
        <f t="shared" si="14"/>
        <v/>
      </c>
      <c r="BM20" s="10"/>
      <c r="BN20" s="10" t="str">
        <f t="shared" si="33"/>
        <v/>
      </c>
      <c r="BO20" s="10" t="str">
        <f t="shared" si="34"/>
        <v/>
      </c>
      <c r="BQ20" s="10">
        <f t="shared" si="15"/>
        <v>1000742400</v>
      </c>
      <c r="BR20" s="10">
        <f t="shared" si="35"/>
        <v>838106004.99581635</v>
      </c>
    </row>
    <row r="21" spans="3:70" x14ac:dyDescent="0.15">
      <c r="D21" s="81" t="s">
        <v>110</v>
      </c>
      <c r="F21" s="147">
        <v>26</v>
      </c>
      <c r="G21" s="81" t="s">
        <v>174</v>
      </c>
      <c r="I21" s="458">
        <f t="shared" si="36"/>
        <v>2026</v>
      </c>
      <c r="J21" s="39"/>
      <c r="K21" s="39">
        <f t="shared" si="37"/>
        <v>7</v>
      </c>
      <c r="L21" s="39"/>
      <c r="M21" s="40">
        <f t="shared" si="0"/>
        <v>0.81309151134335378</v>
      </c>
      <c r="N21" s="39"/>
      <c r="O21" s="72">
        <f t="shared" si="16"/>
        <v>34745882585.747253</v>
      </c>
      <c r="P21" s="41">
        <f t="shared" si="1"/>
        <v>0.16700000000000001</v>
      </c>
      <c r="Q21" s="39"/>
      <c r="R21" s="72">
        <f t="shared" si="17"/>
        <v>41403145737.563721</v>
      </c>
      <c r="S21" s="39"/>
      <c r="T21" s="72">
        <f t="shared" si="18"/>
        <v>41403145000</v>
      </c>
      <c r="U21" s="39"/>
      <c r="V21" s="72">
        <f t="shared" si="2"/>
        <v>5802562391.8197918</v>
      </c>
      <c r="W21" s="72">
        <f t="shared" si="19"/>
        <v>4718014224.8288603</v>
      </c>
      <c r="X21" s="39"/>
      <c r="Y21" s="72">
        <f t="shared" si="3"/>
        <v>579644000</v>
      </c>
      <c r="Z21" s="72">
        <f t="shared" si="20"/>
        <v>471303616.00110698</v>
      </c>
      <c r="AA21" s="39"/>
      <c r="AB21" s="72">
        <f t="shared" si="4"/>
        <v>0</v>
      </c>
      <c r="AC21" s="72">
        <f t="shared" si="21"/>
        <v>0</v>
      </c>
      <c r="AD21" s="39"/>
      <c r="AE21" s="72">
        <f t="shared" si="5"/>
        <v>0</v>
      </c>
      <c r="AF21" s="72">
        <f t="shared" si="22"/>
        <v>0</v>
      </c>
      <c r="AG21" s="39"/>
      <c r="AH21" s="72">
        <f t="shared" si="6"/>
        <v>190000000</v>
      </c>
      <c r="AI21" s="72">
        <f t="shared" si="23"/>
        <v>154487387.15523723</v>
      </c>
      <c r="AJ21" s="39"/>
      <c r="AK21" s="72">
        <f t="shared" si="7"/>
        <v>1872000000</v>
      </c>
      <c r="AL21" s="72">
        <f t="shared" si="24"/>
        <v>1522107309.2347584</v>
      </c>
      <c r="AM21" s="39"/>
      <c r="AN21" s="72">
        <f t="shared" si="8"/>
        <v>936000000</v>
      </c>
      <c r="AO21" s="72">
        <f t="shared" si="25"/>
        <v>761053654.61737919</v>
      </c>
      <c r="AP21" s="39"/>
      <c r="AQ21" s="72">
        <f t="shared" si="9"/>
        <v>279113800</v>
      </c>
      <c r="AR21" s="72">
        <f t="shared" si="26"/>
        <v>226945061.47878659</v>
      </c>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50.982732112886268</v>
      </c>
      <c r="AU21" s="39"/>
      <c r="AV21" s="72">
        <f t="shared" si="10"/>
        <v>13654835011.082846</v>
      </c>
      <c r="AW21" s="72">
        <f t="shared" si="27"/>
        <v>11102630436.305492</v>
      </c>
      <c r="AX21" s="39"/>
      <c r="AY21" s="40">
        <f>IF(ISERROR(IF($K21&lt;=$F$15,VLOOKUP($I21,'表4）CO2価格'!$A$7:$E$67,VLOOKUP($F$48,'表4）CO2価格'!$H$10:$I$12,2,0),0)*$F$8/1000,"")),0,IF($K21&lt;=$F$15,VLOOKUP($I21,'表4）CO2価格'!$A$7:$E$67,VLOOKUP($F$48,'表4）CO2価格'!$H$10:$I$12,2,0),0)*$F$8/1000,""))</f>
        <v>3.7663999999999804</v>
      </c>
      <c r="AZ21" s="39"/>
      <c r="BA21" s="42">
        <f t="shared" si="11"/>
        <v>2690821109.2873707</v>
      </c>
      <c r="BB21" s="72">
        <f t="shared" si="28"/>
        <v>2187883802.5050678</v>
      </c>
      <c r="BC21" s="39"/>
      <c r="BD21" s="72">
        <f t="shared" si="12"/>
        <v>0</v>
      </c>
      <c r="BE21" s="72">
        <f t="shared" si="29"/>
        <v>0</v>
      </c>
      <c r="BF21" s="39"/>
      <c r="BG21" s="42">
        <f t="shared" si="13"/>
        <v>0</v>
      </c>
      <c r="BH21" s="72">
        <f t="shared" si="30"/>
        <v>0</v>
      </c>
      <c r="BI21" s="39"/>
      <c r="BJ21" s="40" t="str">
        <f t="shared" si="31"/>
        <v/>
      </c>
      <c r="BK21" s="157" t="str">
        <f t="shared" si="32"/>
        <v/>
      </c>
      <c r="BL21" s="157" t="str">
        <f t="shared" si="14"/>
        <v/>
      </c>
      <c r="BM21" s="72"/>
      <c r="BN21" s="72" t="str">
        <f t="shared" si="33"/>
        <v/>
      </c>
      <c r="BO21" s="72" t="str">
        <f t="shared" si="34"/>
        <v/>
      </c>
      <c r="BP21" s="39"/>
      <c r="BQ21" s="72">
        <f t="shared" si="15"/>
        <v>1000742400</v>
      </c>
      <c r="BR21" s="72">
        <f t="shared" si="35"/>
        <v>813695150.4813751</v>
      </c>
    </row>
    <row r="22" spans="3:70" ht="16.5" x14ac:dyDescent="0.15">
      <c r="D22" s="81" t="s">
        <v>111</v>
      </c>
      <c r="F22" s="90">
        <v>41.63</v>
      </c>
      <c r="G22" s="9" t="s">
        <v>372</v>
      </c>
      <c r="I22" s="459">
        <f t="shared" si="36"/>
        <v>2027</v>
      </c>
      <c r="J22" s="71"/>
      <c r="K22" s="71">
        <f t="shared" si="37"/>
        <v>8</v>
      </c>
      <c r="L22" s="71"/>
      <c r="M22" s="7">
        <f t="shared" si="0"/>
        <v>0.78940923431393573</v>
      </c>
      <c r="N22" s="71"/>
      <c r="O22" s="10">
        <f t="shared" si="16"/>
        <v>28943320193.92746</v>
      </c>
      <c r="P22" s="29">
        <f t="shared" si="1"/>
        <v>0.16700000000000001</v>
      </c>
      <c r="Q22" s="71"/>
      <c r="R22" s="10">
        <f t="shared" si="17"/>
        <v>35511308287.869461</v>
      </c>
      <c r="S22" s="71"/>
      <c r="T22" s="10">
        <f t="shared" si="18"/>
        <v>35511308000</v>
      </c>
      <c r="U22" s="71"/>
      <c r="V22" s="10">
        <f t="shared" si="2"/>
        <v>4833534472.3858862</v>
      </c>
      <c r="W22" s="10">
        <f t="shared" si="19"/>
        <v>3815636746.8761559</v>
      </c>
      <c r="X22" s="71"/>
      <c r="Y22" s="10">
        <f t="shared" si="3"/>
        <v>497158300</v>
      </c>
      <c r="Z22" s="10">
        <f t="shared" si="20"/>
        <v>392461352.93581796</v>
      </c>
      <c r="AA22" s="71"/>
      <c r="AB22" s="10">
        <f t="shared" si="4"/>
        <v>0</v>
      </c>
      <c r="AC22" s="10">
        <f t="shared" si="21"/>
        <v>0</v>
      </c>
      <c r="AD22" s="71"/>
      <c r="AE22" s="10">
        <f t="shared" si="5"/>
        <v>0</v>
      </c>
      <c r="AF22" s="10">
        <f t="shared" si="22"/>
        <v>0</v>
      </c>
      <c r="AG22" s="71"/>
      <c r="AH22" s="10">
        <f t="shared" si="6"/>
        <v>190000000</v>
      </c>
      <c r="AI22" s="10">
        <f t="shared" si="23"/>
        <v>149987754.51964778</v>
      </c>
      <c r="AJ22" s="71"/>
      <c r="AK22" s="10">
        <f t="shared" si="7"/>
        <v>1872000000</v>
      </c>
      <c r="AL22" s="10">
        <f t="shared" si="24"/>
        <v>1477774086.6356876</v>
      </c>
      <c r="AM22" s="71"/>
      <c r="AN22" s="10">
        <f t="shared" si="8"/>
        <v>936000000</v>
      </c>
      <c r="AO22" s="10">
        <f t="shared" si="25"/>
        <v>738887043.31784379</v>
      </c>
      <c r="AP22" s="71"/>
      <c r="AQ22" s="10">
        <f t="shared" si="9"/>
        <v>279113800</v>
      </c>
      <c r="AR22" s="10">
        <f t="shared" si="26"/>
        <v>220335011.14445299</v>
      </c>
      <c r="AS22" s="71"/>
      <c r="AT22" s="7">
        <f>IF($K22&lt;=$F$15,IF($F$40&lt;&gt;"",$F$40/1000,IF(ISERROR(VLOOKUP($F$3&amp;IF($G$4&lt;&gt;"",$G$4,"")&amp;IF($F$43&lt;&gt;"","_"&amp;$F$43,""),'表3）燃料価格'!$AF$9:$AG$25,2,0)),0,VLOOKUP($I22,'表3）燃料価格'!$A$6:$U$66,VLOOKUP($F$3&amp;IF($G$4&lt;&gt;"",$G$4,"")&amp;IF($F$43&lt;&gt;"","_"&amp;$F$43,""),'表3）燃料価格'!$AF$9:$AG$25,2,0)+VLOOKUP($F$41,'表3）燃料価格'!$AF$28:$AG$29,2,0),0)*IF($F$43="需要地価格",1,$F$8/$F$141))),"")</f>
        <v>51.610874548493413</v>
      </c>
      <c r="AU22" s="71"/>
      <c r="AV22" s="10">
        <f t="shared" si="10"/>
        <v>13801246436.63991</v>
      </c>
      <c r="AW22" s="10">
        <f t="shared" si="27"/>
        <v>10894831382.125845</v>
      </c>
      <c r="AX22" s="71"/>
      <c r="AY22" s="7">
        <f>IF(ISERROR(IF($K22&lt;=$F$15,VLOOKUP($I22,'表4）CO2価格'!$A$7:$E$67,VLOOKUP($F$48,'表4）CO2価格'!$H$10:$I$12,2,0),0)*$F$8/1000,"")),0,IF($K22&lt;=$F$15,VLOOKUP($I22,'表4）CO2価格'!$A$7:$E$67,VLOOKUP($F$48,'表4）CO2価格'!$H$10:$I$12,2,0),0)*$F$8/1000,""))</f>
        <v>3.8948000000000098</v>
      </c>
      <c r="AZ22" s="71"/>
      <c r="BA22" s="11">
        <f t="shared" si="11"/>
        <v>2782553647.1040068</v>
      </c>
      <c r="BB22" s="10">
        <f t="shared" si="28"/>
        <v>2196573543.9978232</v>
      </c>
      <c r="BC22" s="71"/>
      <c r="BD22" s="10">
        <f t="shared" si="12"/>
        <v>0</v>
      </c>
      <c r="BE22" s="10">
        <f t="shared" si="29"/>
        <v>0</v>
      </c>
      <c r="BF22" s="71"/>
      <c r="BG22" s="11">
        <f t="shared" si="13"/>
        <v>0</v>
      </c>
      <c r="BH22" s="10">
        <f t="shared" si="30"/>
        <v>0</v>
      </c>
      <c r="BJ22" s="7" t="str">
        <f t="shared" si="31"/>
        <v/>
      </c>
      <c r="BK22" s="158" t="str">
        <f t="shared" si="32"/>
        <v/>
      </c>
      <c r="BL22" s="158" t="str">
        <f t="shared" si="14"/>
        <v/>
      </c>
      <c r="BM22" s="10"/>
      <c r="BN22" s="10" t="str">
        <f t="shared" si="33"/>
        <v/>
      </c>
      <c r="BO22" s="10" t="str">
        <f t="shared" si="34"/>
        <v/>
      </c>
      <c r="BQ22" s="10">
        <f t="shared" si="15"/>
        <v>1000742400</v>
      </c>
      <c r="BR22" s="10">
        <f t="shared" si="35"/>
        <v>789995291.7294904</v>
      </c>
    </row>
    <row r="23" spans="3:70" x14ac:dyDescent="0.15">
      <c r="D23" s="81" t="s">
        <v>112</v>
      </c>
      <c r="F23" s="147">
        <v>39</v>
      </c>
      <c r="G23" s="81" t="s">
        <v>172</v>
      </c>
      <c r="I23" s="458">
        <f t="shared" si="36"/>
        <v>2028</v>
      </c>
      <c r="J23" s="39"/>
      <c r="K23" s="39">
        <f t="shared" si="37"/>
        <v>9</v>
      </c>
      <c r="L23" s="39"/>
      <c r="M23" s="40">
        <f t="shared" si="0"/>
        <v>0.76641673234362695</v>
      </c>
      <c r="N23" s="39"/>
      <c r="O23" s="72">
        <f t="shared" si="16"/>
        <v>24109785721.541573</v>
      </c>
      <c r="P23" s="41">
        <f t="shared" si="1"/>
        <v>0.16700000000000001</v>
      </c>
      <c r="Q23" s="39"/>
      <c r="R23" s="72">
        <f t="shared" si="17"/>
        <v>30457903472.102463</v>
      </c>
      <c r="S23" s="39"/>
      <c r="T23" s="72">
        <f t="shared" si="18"/>
        <v>30457903000</v>
      </c>
      <c r="U23" s="39"/>
      <c r="V23" s="72">
        <f t="shared" si="2"/>
        <v>4026334215.4974427</v>
      </c>
      <c r="W23" s="72">
        <f t="shared" si="19"/>
        <v>3085849912.7648907</v>
      </c>
      <c r="X23" s="39"/>
      <c r="Y23" s="72">
        <f t="shared" si="3"/>
        <v>426410600</v>
      </c>
      <c r="Z23" s="72">
        <f t="shared" si="20"/>
        <v>326808218.68868536</v>
      </c>
      <c r="AA23" s="39"/>
      <c r="AB23" s="72">
        <f t="shared" si="4"/>
        <v>0</v>
      </c>
      <c r="AC23" s="72">
        <f t="shared" si="21"/>
        <v>0</v>
      </c>
      <c r="AD23" s="39"/>
      <c r="AE23" s="72">
        <f t="shared" si="5"/>
        <v>0</v>
      </c>
      <c r="AF23" s="72">
        <f t="shared" si="22"/>
        <v>0</v>
      </c>
      <c r="AG23" s="39"/>
      <c r="AH23" s="72">
        <f t="shared" si="6"/>
        <v>190000000</v>
      </c>
      <c r="AI23" s="72">
        <f t="shared" si="23"/>
        <v>145619179.14528912</v>
      </c>
      <c r="AJ23" s="39"/>
      <c r="AK23" s="72">
        <f t="shared" si="7"/>
        <v>1872000000</v>
      </c>
      <c r="AL23" s="72">
        <f t="shared" si="24"/>
        <v>1434732122.9472697</v>
      </c>
      <c r="AM23" s="39"/>
      <c r="AN23" s="72">
        <f t="shared" si="8"/>
        <v>936000000</v>
      </c>
      <c r="AO23" s="72">
        <f t="shared" si="25"/>
        <v>717366061.47363484</v>
      </c>
      <c r="AP23" s="39"/>
      <c r="AQ23" s="72">
        <f t="shared" si="9"/>
        <v>279113800</v>
      </c>
      <c r="AR23" s="72">
        <f t="shared" si="26"/>
        <v>213917486.54801261</v>
      </c>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52.239016984100566</v>
      </c>
      <c r="AU23" s="39"/>
      <c r="AV23" s="72">
        <f t="shared" si="10"/>
        <v>13947657862.196976</v>
      </c>
      <c r="AW23" s="72">
        <f t="shared" si="27"/>
        <v>10689718362.591904</v>
      </c>
      <c r="AX23" s="39"/>
      <c r="AY23" s="40">
        <f>IF(ISERROR(IF($K23&lt;=$F$15,VLOOKUP($I23,'表4）CO2価格'!$A$7:$E$67,VLOOKUP($F$48,'表4）CO2価格'!$H$10:$I$12,2,0),0)*$F$8/1000,"")),0,IF($K23&lt;=$F$15,VLOOKUP($I23,'表4）CO2価格'!$A$7:$E$67,VLOOKUP($F$48,'表4）CO2価格'!$H$10:$I$12,2,0),0)*$F$8/1000,""))</f>
        <v>4.0231999999999903</v>
      </c>
      <c r="AZ23" s="39"/>
      <c r="BA23" s="42">
        <f t="shared" si="11"/>
        <v>2874286184.9206085</v>
      </c>
      <c r="BB23" s="72">
        <f t="shared" si="28"/>
        <v>2202901025.6672826</v>
      </c>
      <c r="BC23" s="39"/>
      <c r="BD23" s="72">
        <f t="shared" si="12"/>
        <v>0</v>
      </c>
      <c r="BE23" s="72">
        <f t="shared" si="29"/>
        <v>0</v>
      </c>
      <c r="BF23" s="39"/>
      <c r="BG23" s="42">
        <f t="shared" si="13"/>
        <v>0</v>
      </c>
      <c r="BH23" s="72">
        <f t="shared" si="30"/>
        <v>0</v>
      </c>
      <c r="BI23" s="39"/>
      <c r="BJ23" s="40" t="str">
        <f t="shared" si="31"/>
        <v/>
      </c>
      <c r="BK23" s="157" t="str">
        <f t="shared" si="32"/>
        <v/>
      </c>
      <c r="BL23" s="157" t="str">
        <f t="shared" si="14"/>
        <v/>
      </c>
      <c r="BM23" s="72"/>
      <c r="BN23" s="72" t="str">
        <f t="shared" si="33"/>
        <v/>
      </c>
      <c r="BO23" s="72" t="str">
        <f t="shared" si="34"/>
        <v/>
      </c>
      <c r="BP23" s="39"/>
      <c r="BQ23" s="72">
        <f t="shared" si="15"/>
        <v>1000742400</v>
      </c>
      <c r="BR23" s="72">
        <f t="shared" si="35"/>
        <v>766985720.12571883</v>
      </c>
    </row>
    <row r="24" spans="3:70" x14ac:dyDescent="0.15">
      <c r="D24" s="81" t="s">
        <v>113</v>
      </c>
      <c r="F24" s="68">
        <v>4.8</v>
      </c>
      <c r="G24" s="81" t="s">
        <v>172</v>
      </c>
      <c r="I24" s="459">
        <f t="shared" si="36"/>
        <v>2029</v>
      </c>
      <c r="J24" s="71"/>
      <c r="K24" s="71">
        <f t="shared" si="37"/>
        <v>10</v>
      </c>
      <c r="L24" s="71"/>
      <c r="M24" s="7">
        <f t="shared" si="0"/>
        <v>0.74409391489672516</v>
      </c>
      <c r="N24" s="71"/>
      <c r="O24" s="10">
        <f t="shared" si="16"/>
        <v>20083451506.044128</v>
      </c>
      <c r="P24" s="29">
        <f t="shared" si="1"/>
        <v>0.16700000000000001</v>
      </c>
      <c r="Q24" s="71"/>
      <c r="R24" s="10">
        <f t="shared" si="17"/>
        <v>26123618887.699635</v>
      </c>
      <c r="S24" s="71"/>
      <c r="T24" s="10">
        <f t="shared" si="18"/>
        <v>26123618000</v>
      </c>
      <c r="U24" s="71"/>
      <c r="V24" s="10">
        <f t="shared" si="2"/>
        <v>3353936401.5093699</v>
      </c>
      <c r="W24" s="10">
        <f t="shared" si="19"/>
        <v>2495643667.3137417</v>
      </c>
      <c r="X24" s="71"/>
      <c r="Y24" s="10">
        <f t="shared" si="3"/>
        <v>365730600</v>
      </c>
      <c r="Z24" s="10">
        <f t="shared" si="20"/>
        <v>272137913.95152825</v>
      </c>
      <c r="AA24" s="71"/>
      <c r="AB24" s="10">
        <f t="shared" si="4"/>
        <v>0</v>
      </c>
      <c r="AC24" s="10">
        <f t="shared" si="21"/>
        <v>0</v>
      </c>
      <c r="AD24" s="71"/>
      <c r="AE24" s="10">
        <f t="shared" si="5"/>
        <v>0</v>
      </c>
      <c r="AF24" s="10">
        <f t="shared" si="22"/>
        <v>0</v>
      </c>
      <c r="AG24" s="71"/>
      <c r="AH24" s="10">
        <f t="shared" si="6"/>
        <v>190000000</v>
      </c>
      <c r="AI24" s="10">
        <f t="shared" si="23"/>
        <v>141377843.83037779</v>
      </c>
      <c r="AJ24" s="71"/>
      <c r="AK24" s="10">
        <f t="shared" si="7"/>
        <v>1872000000</v>
      </c>
      <c r="AL24" s="10">
        <f t="shared" si="24"/>
        <v>1392943808.6866696</v>
      </c>
      <c r="AM24" s="71"/>
      <c r="AN24" s="10">
        <f t="shared" si="8"/>
        <v>936000000</v>
      </c>
      <c r="AO24" s="10">
        <f t="shared" si="25"/>
        <v>696471904.34333479</v>
      </c>
      <c r="AP24" s="71"/>
      <c r="AQ24" s="10">
        <f t="shared" si="9"/>
        <v>279113800</v>
      </c>
      <c r="AR24" s="10">
        <f t="shared" si="26"/>
        <v>207686880.14370155</v>
      </c>
      <c r="AS24" s="71"/>
      <c r="AT24" s="7">
        <f>IF($K24&lt;=$F$15,IF($F$40&lt;&gt;"",$F$40/1000,IF(ISERROR(VLOOKUP($F$3&amp;IF($G$4&lt;&gt;"",$G$4,"")&amp;IF($F$43&lt;&gt;"","_"&amp;$F$43,""),'表3）燃料価格'!$AF$9:$AG$25,2,0)),0,VLOOKUP($I24,'表3）燃料価格'!$A$6:$U$66,VLOOKUP($F$3&amp;IF($G$4&lt;&gt;"",$G$4,"")&amp;IF($F$43&lt;&gt;"","_"&amp;$F$43,""),'表3）燃料価格'!$AF$9:$AG$25,2,0)+VLOOKUP($F$41,'表3）燃料価格'!$AF$28:$AG$29,2,0),0)*IF($F$43="需要地価格",1,$F$8/$F$141))),"")</f>
        <v>52.867159419707725</v>
      </c>
      <c r="AU24" s="71"/>
      <c r="AV24" s="10">
        <f t="shared" si="10"/>
        <v>14094069287.754044</v>
      </c>
      <c r="AW24" s="10">
        <f t="shared" si="27"/>
        <v>10487311193.150604</v>
      </c>
      <c r="AX24" s="71"/>
      <c r="AY24" s="7">
        <f>IF(ISERROR(IF($K24&lt;=$F$15,VLOOKUP($I24,'表4）CO2価格'!$A$7:$E$67,VLOOKUP($F$48,'表4）CO2価格'!$H$10:$I$12,2,0),0)*$F$8/1000,"")),0,IF($K24&lt;=$F$15,VLOOKUP($I24,'表4）CO2価格'!$A$7:$E$67,VLOOKUP($F$48,'表4）CO2価格'!$H$10:$I$12,2,0),0)*$F$8/1000,""))</f>
        <v>4.1515999999999709</v>
      </c>
      <c r="AZ24" s="71"/>
      <c r="BA24" s="11">
        <f t="shared" si="11"/>
        <v>2966018722.7372098</v>
      </c>
      <c r="BB24" s="10">
        <f t="shared" si="28"/>
        <v>2206996483.0585151</v>
      </c>
      <c r="BC24" s="71"/>
      <c r="BD24" s="10">
        <f t="shared" si="12"/>
        <v>0</v>
      </c>
      <c r="BE24" s="10">
        <f t="shared" si="29"/>
        <v>0</v>
      </c>
      <c r="BF24" s="71"/>
      <c r="BG24" s="11">
        <f t="shared" si="13"/>
        <v>0</v>
      </c>
      <c r="BH24" s="10">
        <f t="shared" si="30"/>
        <v>0</v>
      </c>
      <c r="BJ24" s="7" t="str">
        <f t="shared" si="31"/>
        <v/>
      </c>
      <c r="BK24" s="158" t="str">
        <f t="shared" si="32"/>
        <v/>
      </c>
      <c r="BL24" s="158" t="str">
        <f t="shared" si="14"/>
        <v/>
      </c>
      <c r="BM24" s="10"/>
      <c r="BN24" s="10" t="str">
        <f t="shared" si="33"/>
        <v/>
      </c>
      <c r="BO24" s="10" t="str">
        <f t="shared" si="34"/>
        <v/>
      </c>
      <c r="BQ24" s="10">
        <f t="shared" si="15"/>
        <v>1000742400</v>
      </c>
      <c r="BR24" s="10">
        <f t="shared" si="35"/>
        <v>744646330.21914446</v>
      </c>
    </row>
    <row r="25" spans="3:70" x14ac:dyDescent="0.15">
      <c r="D25" s="81" t="s">
        <v>114</v>
      </c>
      <c r="F25" s="66">
        <v>1.4</v>
      </c>
      <c r="G25" s="81" t="s">
        <v>172</v>
      </c>
      <c r="I25" s="458">
        <f t="shared" si="36"/>
        <v>2030</v>
      </c>
      <c r="J25" s="39"/>
      <c r="K25" s="39">
        <f t="shared" si="37"/>
        <v>11</v>
      </c>
      <c r="L25" s="39"/>
      <c r="M25" s="40">
        <f t="shared" si="0"/>
        <v>0.72242127659876232</v>
      </c>
      <c r="N25" s="39"/>
      <c r="O25" s="72">
        <f t="shared" si="16"/>
        <v>16729515104.53476</v>
      </c>
      <c r="P25" s="41">
        <f t="shared" si="1"/>
        <v>0.2</v>
      </c>
      <c r="Q25" s="39"/>
      <c r="R25" s="72">
        <f t="shared" si="17"/>
        <v>22406120776.331593</v>
      </c>
      <c r="S25" s="39"/>
      <c r="T25" s="72">
        <f t="shared" si="18"/>
        <v>22406120000</v>
      </c>
      <c r="U25" s="39"/>
      <c r="V25" s="72">
        <f t="shared" si="2"/>
        <v>3345903020.9069519</v>
      </c>
      <c r="W25" s="72">
        <f t="shared" si="19"/>
        <v>2417151531.7392554</v>
      </c>
      <c r="X25" s="39"/>
      <c r="Y25" s="72">
        <f t="shared" si="3"/>
        <v>313685600</v>
      </c>
      <c r="Z25" s="72">
        <f t="shared" si="20"/>
        <v>226613151.60264871</v>
      </c>
      <c r="AA25" s="39"/>
      <c r="AB25" s="72">
        <f t="shared" si="4"/>
        <v>0</v>
      </c>
      <c r="AC25" s="72">
        <f t="shared" si="21"/>
        <v>0</v>
      </c>
      <c r="AD25" s="39"/>
      <c r="AE25" s="72">
        <f t="shared" si="5"/>
        <v>0</v>
      </c>
      <c r="AF25" s="72">
        <f t="shared" si="22"/>
        <v>0</v>
      </c>
      <c r="AG25" s="39"/>
      <c r="AH25" s="72">
        <f t="shared" si="6"/>
        <v>190000000</v>
      </c>
      <c r="AI25" s="72">
        <f t="shared" si="23"/>
        <v>137260042.55376485</v>
      </c>
      <c r="AJ25" s="39"/>
      <c r="AK25" s="72">
        <f t="shared" si="7"/>
        <v>1872000000</v>
      </c>
      <c r="AL25" s="72">
        <f t="shared" si="24"/>
        <v>1352372629.7928832</v>
      </c>
      <c r="AM25" s="39"/>
      <c r="AN25" s="72">
        <f t="shared" si="8"/>
        <v>936000000</v>
      </c>
      <c r="AO25" s="72">
        <f t="shared" si="25"/>
        <v>676186314.89644158</v>
      </c>
      <c r="AP25" s="39"/>
      <c r="AQ25" s="72">
        <f t="shared" si="9"/>
        <v>279113800</v>
      </c>
      <c r="AR25" s="72">
        <f t="shared" si="26"/>
        <v>201637747.71233162</v>
      </c>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53.495301855314878</v>
      </c>
      <c r="AU25" s="39"/>
      <c r="AV25" s="72">
        <f t="shared" si="10"/>
        <v>14240480713.31111</v>
      </c>
      <c r="AW25" s="72">
        <f t="shared" si="27"/>
        <v>10287626256.290266</v>
      </c>
      <c r="AX25" s="39"/>
      <c r="AY25" s="40">
        <f>IF(ISERROR(IF($K25&lt;=$F$15,VLOOKUP($I25,'表4）CO2価格'!$A$7:$E$67,VLOOKUP($F$48,'表4）CO2価格'!$H$10:$I$12,2,0),0)*$F$8/1000,"")),0,IF($K25&lt;=$F$15,VLOOKUP($I25,'表4）CO2価格'!$A$7:$E$67,VLOOKUP($F$48,'表4）CO2価格'!$H$10:$I$12,2,0),0)*$F$8/1000,""))</f>
        <v>4.28</v>
      </c>
      <c r="AZ25" s="39"/>
      <c r="BA25" s="42">
        <f t="shared" si="11"/>
        <v>3057751260.5538464</v>
      </c>
      <c r="BB25" s="72">
        <f t="shared" si="28"/>
        <v>2208984569.1707845</v>
      </c>
      <c r="BC25" s="39"/>
      <c r="BD25" s="72">
        <f t="shared" si="12"/>
        <v>0</v>
      </c>
      <c r="BE25" s="72">
        <f t="shared" si="29"/>
        <v>0</v>
      </c>
      <c r="BF25" s="39"/>
      <c r="BG25" s="42">
        <f t="shared" si="13"/>
        <v>0</v>
      </c>
      <c r="BH25" s="72">
        <f t="shared" si="30"/>
        <v>0</v>
      </c>
      <c r="BI25" s="39"/>
      <c r="BJ25" s="40" t="str">
        <f t="shared" si="31"/>
        <v/>
      </c>
      <c r="BK25" s="157" t="str">
        <f t="shared" si="32"/>
        <v/>
      </c>
      <c r="BL25" s="157" t="str">
        <f t="shared" si="14"/>
        <v/>
      </c>
      <c r="BM25" s="72"/>
      <c r="BN25" s="72" t="str">
        <f t="shared" si="33"/>
        <v/>
      </c>
      <c r="BO25" s="72" t="str">
        <f t="shared" si="34"/>
        <v/>
      </c>
      <c r="BP25" s="39"/>
      <c r="BQ25" s="72">
        <f t="shared" si="15"/>
        <v>1000742400</v>
      </c>
      <c r="BR25" s="72">
        <f t="shared" si="35"/>
        <v>722957602.15450919</v>
      </c>
    </row>
    <row r="26" spans="3:70" x14ac:dyDescent="0.15">
      <c r="D26" s="81" t="s">
        <v>115</v>
      </c>
      <c r="F26" s="59"/>
      <c r="G26" s="81" t="s">
        <v>175</v>
      </c>
      <c r="I26" s="459">
        <f t="shared" si="36"/>
        <v>2031</v>
      </c>
      <c r="J26" s="71"/>
      <c r="K26" s="71">
        <f t="shared" si="37"/>
        <v>12</v>
      </c>
      <c r="L26" s="71"/>
      <c r="M26" s="7">
        <f t="shared" si="0"/>
        <v>0.70137988019297326</v>
      </c>
      <c r="N26" s="71"/>
      <c r="O26" s="10">
        <f t="shared" si="16"/>
        <v>13383612083.627808</v>
      </c>
      <c r="P26" s="29" t="str">
        <f t="shared" si="1"/>
        <v>-</v>
      </c>
      <c r="Q26" s="71"/>
      <c r="R26" s="10">
        <f t="shared" si="17"/>
        <v>19217637893.191826</v>
      </c>
      <c r="S26" s="71"/>
      <c r="T26" s="10">
        <f t="shared" si="18"/>
        <v>19217637000</v>
      </c>
      <c r="U26" s="71"/>
      <c r="V26" s="10">
        <f t="shared" si="2"/>
        <v>3345903020.9069519</v>
      </c>
      <c r="W26" s="10">
        <f t="shared" si="19"/>
        <v>2346749059.9410253</v>
      </c>
      <c r="X26" s="71"/>
      <c r="Y26" s="10">
        <f t="shared" si="3"/>
        <v>269046900</v>
      </c>
      <c r="Z26" s="10">
        <f t="shared" si="20"/>
        <v>188704082.48829085</v>
      </c>
      <c r="AA26" s="71"/>
      <c r="AB26" s="10">
        <f t="shared" si="4"/>
        <v>0</v>
      </c>
      <c r="AC26" s="10">
        <f t="shared" si="21"/>
        <v>0</v>
      </c>
      <c r="AD26" s="71"/>
      <c r="AE26" s="10">
        <f t="shared" si="5"/>
        <v>0</v>
      </c>
      <c r="AF26" s="10">
        <f t="shared" si="22"/>
        <v>0</v>
      </c>
      <c r="AG26" s="71"/>
      <c r="AH26" s="10">
        <f t="shared" si="6"/>
        <v>190000000</v>
      </c>
      <c r="AI26" s="10">
        <f t="shared" si="23"/>
        <v>133262177.23666492</v>
      </c>
      <c r="AJ26" s="71"/>
      <c r="AK26" s="10">
        <f t="shared" si="7"/>
        <v>1872000000</v>
      </c>
      <c r="AL26" s="10">
        <f t="shared" si="24"/>
        <v>1312983135.721246</v>
      </c>
      <c r="AM26" s="71"/>
      <c r="AN26" s="10">
        <f t="shared" si="8"/>
        <v>936000000</v>
      </c>
      <c r="AO26" s="10">
        <f t="shared" si="25"/>
        <v>656491567.860623</v>
      </c>
      <c r="AP26" s="71"/>
      <c r="AQ26" s="10">
        <f t="shared" si="9"/>
        <v>279113800</v>
      </c>
      <c r="AR26" s="10">
        <f t="shared" si="26"/>
        <v>195764803.60420549</v>
      </c>
      <c r="AS26" s="71"/>
      <c r="AT26" s="7">
        <f>IF($K26&lt;=$F$15,IF($F$40&lt;&gt;"",$F$40/1000,IF(ISERROR(VLOOKUP($F$3&amp;IF($G$4&lt;&gt;"",$G$4,"")&amp;IF($F$43&lt;&gt;"","_"&amp;$F$43,""),'表3）燃料価格'!$AF$9:$AG$25,2,0)),0,VLOOKUP($I26,'表3）燃料価格'!$A$6:$U$66,VLOOKUP($F$3&amp;IF($G$4&lt;&gt;"",$G$4,"")&amp;IF($F$43&lt;&gt;"","_"&amp;$F$43,""),'表3）燃料価格'!$AF$9:$AG$25,2,0)+VLOOKUP($F$41,'表3）燃料価格'!$AF$28:$AG$29,2,0),0)*IF($F$43="需要地価格",1,$F$8/$F$141))),"")</f>
        <v>54.123444290922016</v>
      </c>
      <c r="AU26" s="71"/>
      <c r="AV26" s="10">
        <f t="shared" si="10"/>
        <v>14386892138.868172</v>
      </c>
      <c r="AW26" s="10">
        <f t="shared" si="27"/>
        <v>10090676684.708588</v>
      </c>
      <c r="AX26" s="71"/>
      <c r="AY26" s="7">
        <f>IF(ISERROR(IF($K26&lt;=$F$15,VLOOKUP($I26,'表4）CO2価格'!$A$7:$E$67,VLOOKUP($F$48,'表4）CO2価格'!$H$10:$I$12,2,0),0)*$F$8/1000,"")),0,IF($K26&lt;=$F$15,VLOOKUP($I26,'表4）CO2価格'!$A$7:$E$67,VLOOKUP($F$48,'表4）CO2価格'!$H$10:$I$12,2,0),0)*$F$8/1000,""))</f>
        <v>4.4083999999999808</v>
      </c>
      <c r="AZ26" s="71"/>
      <c r="BA26" s="11">
        <f t="shared" si="11"/>
        <v>3149483798.3704476</v>
      </c>
      <c r="BB26" s="10">
        <f t="shared" si="28"/>
        <v>2208984569.1707749</v>
      </c>
      <c r="BC26" s="71"/>
      <c r="BD26" s="10">
        <f t="shared" si="12"/>
        <v>0</v>
      </c>
      <c r="BE26" s="10">
        <f t="shared" si="29"/>
        <v>0</v>
      </c>
      <c r="BF26" s="71"/>
      <c r="BG26" s="11">
        <f t="shared" si="13"/>
        <v>0</v>
      </c>
      <c r="BH26" s="10">
        <f t="shared" si="30"/>
        <v>0</v>
      </c>
      <c r="BJ26" s="7" t="str">
        <f t="shared" si="31"/>
        <v/>
      </c>
      <c r="BK26" s="158" t="str">
        <f t="shared" si="32"/>
        <v/>
      </c>
      <c r="BL26" s="158" t="str">
        <f t="shared" si="14"/>
        <v/>
      </c>
      <c r="BM26" s="10"/>
      <c r="BN26" s="10" t="str">
        <f t="shared" si="33"/>
        <v/>
      </c>
      <c r="BO26" s="10" t="str">
        <f t="shared" si="34"/>
        <v/>
      </c>
      <c r="BQ26" s="10">
        <f t="shared" si="15"/>
        <v>1000742400</v>
      </c>
      <c r="BR26" s="10">
        <f t="shared" si="35"/>
        <v>701900584.61602855</v>
      </c>
    </row>
    <row r="27" spans="3:70" x14ac:dyDescent="0.15">
      <c r="D27" s="82" t="s">
        <v>86</v>
      </c>
      <c r="F27" s="59">
        <f>F117*5%/10^8</f>
        <v>52</v>
      </c>
      <c r="G27" s="81" t="s">
        <v>176</v>
      </c>
      <c r="I27" s="458">
        <f t="shared" si="36"/>
        <v>2032</v>
      </c>
      <c r="J27" s="39"/>
      <c r="K27" s="39">
        <f t="shared" si="37"/>
        <v>13</v>
      </c>
      <c r="L27" s="39"/>
      <c r="M27" s="40">
        <f t="shared" si="0"/>
        <v>0.68095133999317792</v>
      </c>
      <c r="N27" s="39"/>
      <c r="O27" s="72">
        <f t="shared" si="16"/>
        <v>10037709062.720856</v>
      </c>
      <c r="P27" s="41" t="str">
        <f t="shared" si="1"/>
        <v>-</v>
      </c>
      <c r="Q27" s="39"/>
      <c r="R27" s="72">
        <f t="shared" si="17"/>
        <v>16482889201.595581</v>
      </c>
      <c r="S27" s="39"/>
      <c r="T27" s="72">
        <f t="shared" si="18"/>
        <v>16482889000</v>
      </c>
      <c r="U27" s="39"/>
      <c r="V27" s="72">
        <f t="shared" si="2"/>
        <v>3345903020.9069519</v>
      </c>
      <c r="W27" s="72">
        <f t="shared" si="19"/>
        <v>2278397145.5738111</v>
      </c>
      <c r="X27" s="39"/>
      <c r="Y27" s="72">
        <f t="shared" si="3"/>
        <v>230760400</v>
      </c>
      <c r="Z27" s="72">
        <f t="shared" si="20"/>
        <v>157136603.59736174</v>
      </c>
      <c r="AA27" s="39"/>
      <c r="AB27" s="72">
        <f t="shared" si="4"/>
        <v>0</v>
      </c>
      <c r="AC27" s="72">
        <f t="shared" si="21"/>
        <v>0</v>
      </c>
      <c r="AD27" s="39"/>
      <c r="AE27" s="72">
        <f t="shared" si="5"/>
        <v>0</v>
      </c>
      <c r="AF27" s="72">
        <f t="shared" si="22"/>
        <v>0</v>
      </c>
      <c r="AG27" s="39"/>
      <c r="AH27" s="72">
        <f t="shared" si="6"/>
        <v>190000000</v>
      </c>
      <c r="AI27" s="72">
        <f t="shared" si="23"/>
        <v>129380754.5987038</v>
      </c>
      <c r="AJ27" s="39"/>
      <c r="AK27" s="72">
        <f t="shared" si="7"/>
        <v>1872000000</v>
      </c>
      <c r="AL27" s="72">
        <f t="shared" si="24"/>
        <v>1274740908.4672291</v>
      </c>
      <c r="AM27" s="39"/>
      <c r="AN27" s="72">
        <f t="shared" si="8"/>
        <v>936000000</v>
      </c>
      <c r="AO27" s="72">
        <f t="shared" si="25"/>
        <v>637370454.23361456</v>
      </c>
      <c r="AP27" s="39"/>
      <c r="AQ27" s="72">
        <f t="shared" si="9"/>
        <v>279113800</v>
      </c>
      <c r="AR27" s="72">
        <f t="shared" si="26"/>
        <v>190062916.12058786</v>
      </c>
      <c r="AS27" s="39"/>
      <c r="AT27" s="40">
        <f>IF($K27&lt;=$F$15,IF($F$40&lt;&gt;"",$F$40/1000,IF(ISERROR(VLOOKUP($F$3&amp;IF($G$4&lt;&gt;"",$G$4,"")&amp;IF($F$43&lt;&gt;"","_"&amp;$F$43,""),'表3）燃料価格'!$AF$9:$AG$25,2,0)),0,VLOOKUP($I27,'表3）燃料価格'!$A$6:$U$66,VLOOKUP($F$3&amp;IF($G$4&lt;&gt;"",$G$4,"")&amp;IF($F$43&lt;&gt;"","_"&amp;$F$43,""),'表3）燃料価格'!$AF$9:$AG$25,2,0)+VLOOKUP($F$41,'表3）燃料価格'!$AF$28:$AG$29,2,0),0)*IF($F$43="需要地価格",1,$F$8/$F$141))),"")</f>
        <v>54.751586726529169</v>
      </c>
      <c r="AU27" s="39"/>
      <c r="AV27" s="72">
        <f t="shared" si="10"/>
        <v>14533303564.425238</v>
      </c>
      <c r="AW27" s="72">
        <f t="shared" si="27"/>
        <v>9896472536.7229939</v>
      </c>
      <c r="AX27" s="39"/>
      <c r="AY27" s="40">
        <f>IF(ISERROR(IF($K27&lt;=$F$15,VLOOKUP($I27,'表4）CO2価格'!$A$7:$E$67,VLOOKUP($F$48,'表4）CO2価格'!$H$10:$I$12,2,0),0)*$F$8/1000,"")),0,IF($K27&lt;=$F$15,VLOOKUP($I27,'表4）CO2価格'!$A$7:$E$67,VLOOKUP($F$48,'表4）CO2価格'!$H$10:$I$12,2,0),0)*$F$8/1000,""))</f>
        <v>4.5368000000000102</v>
      </c>
      <c r="AZ27" s="39"/>
      <c r="BA27" s="42">
        <f t="shared" si="11"/>
        <v>3241216336.1870842</v>
      </c>
      <c r="BB27" s="72">
        <f t="shared" si="28"/>
        <v>2207110607.3343735</v>
      </c>
      <c r="BC27" s="39"/>
      <c r="BD27" s="72">
        <f t="shared" si="12"/>
        <v>0</v>
      </c>
      <c r="BE27" s="72">
        <f t="shared" si="29"/>
        <v>0</v>
      </c>
      <c r="BF27" s="39"/>
      <c r="BG27" s="42">
        <f t="shared" si="13"/>
        <v>0</v>
      </c>
      <c r="BH27" s="72">
        <f t="shared" si="30"/>
        <v>0</v>
      </c>
      <c r="BI27" s="39"/>
      <c r="BJ27" s="40" t="str">
        <f t="shared" si="31"/>
        <v/>
      </c>
      <c r="BK27" s="157" t="str">
        <f t="shared" si="32"/>
        <v/>
      </c>
      <c r="BL27" s="157" t="str">
        <f t="shared" si="14"/>
        <v/>
      </c>
      <c r="BM27" s="72"/>
      <c r="BN27" s="72" t="str">
        <f t="shared" si="33"/>
        <v/>
      </c>
      <c r="BO27" s="72" t="str">
        <f t="shared" si="34"/>
        <v/>
      </c>
      <c r="BP27" s="39"/>
      <c r="BQ27" s="72">
        <f t="shared" si="15"/>
        <v>1000742400</v>
      </c>
      <c r="BR27" s="72">
        <f t="shared" si="35"/>
        <v>681456878.2679888</v>
      </c>
    </row>
    <row r="28" spans="3:70" x14ac:dyDescent="0.15">
      <c r="D28" s="81" t="s">
        <v>116</v>
      </c>
      <c r="F28" s="59">
        <v>1</v>
      </c>
      <c r="G28" s="81" t="s">
        <v>108</v>
      </c>
      <c r="I28" s="459">
        <f t="shared" si="36"/>
        <v>2033</v>
      </c>
      <c r="J28" s="71"/>
      <c r="K28" s="71">
        <f t="shared" si="37"/>
        <v>14</v>
      </c>
      <c r="L28" s="71"/>
      <c r="M28" s="7">
        <f t="shared" si="0"/>
        <v>0.66111780581861923</v>
      </c>
      <c r="N28" s="71"/>
      <c r="O28" s="10">
        <f t="shared" si="16"/>
        <v>6691806041.8139038</v>
      </c>
      <c r="P28" s="29" t="str">
        <f t="shared" si="1"/>
        <v>-</v>
      </c>
      <c r="Q28" s="71"/>
      <c r="R28" s="10">
        <f t="shared" si="17"/>
        <v>14137306465.136667</v>
      </c>
      <c r="S28" s="71"/>
      <c r="T28" s="10">
        <f t="shared" si="18"/>
        <v>14137306000</v>
      </c>
      <c r="U28" s="71"/>
      <c r="V28" s="10">
        <f t="shared" si="2"/>
        <v>3345903020.9069519</v>
      </c>
      <c r="W28" s="10">
        <f t="shared" si="19"/>
        <v>2212036063.6638937</v>
      </c>
      <c r="X28" s="71"/>
      <c r="Y28" s="10">
        <f t="shared" si="3"/>
        <v>197922200</v>
      </c>
      <c r="Z28" s="10">
        <f t="shared" si="20"/>
        <v>130849890.58679391</v>
      </c>
      <c r="AA28" s="71"/>
      <c r="AB28" s="10">
        <f t="shared" si="4"/>
        <v>0</v>
      </c>
      <c r="AC28" s="10">
        <f t="shared" si="21"/>
        <v>0</v>
      </c>
      <c r="AD28" s="71"/>
      <c r="AE28" s="10">
        <f t="shared" si="5"/>
        <v>0</v>
      </c>
      <c r="AF28" s="10">
        <f t="shared" si="22"/>
        <v>0</v>
      </c>
      <c r="AG28" s="71"/>
      <c r="AH28" s="10">
        <f t="shared" si="6"/>
        <v>190000000</v>
      </c>
      <c r="AI28" s="10">
        <f t="shared" si="23"/>
        <v>125612383.10553765</v>
      </c>
      <c r="AJ28" s="71"/>
      <c r="AK28" s="10">
        <f t="shared" si="7"/>
        <v>1872000000</v>
      </c>
      <c r="AL28" s="10">
        <f t="shared" si="24"/>
        <v>1237612532.4924552</v>
      </c>
      <c r="AM28" s="71"/>
      <c r="AN28" s="10">
        <f t="shared" si="8"/>
        <v>936000000</v>
      </c>
      <c r="AO28" s="10">
        <f t="shared" si="25"/>
        <v>618806266.24622762</v>
      </c>
      <c r="AP28" s="71"/>
      <c r="AQ28" s="10">
        <f t="shared" si="9"/>
        <v>279113800</v>
      </c>
      <c r="AR28" s="10">
        <f t="shared" si="26"/>
        <v>184527103.02969691</v>
      </c>
      <c r="AS28" s="71"/>
      <c r="AT28" s="7">
        <f>IF($K28&lt;=$F$15,IF($F$40&lt;&gt;"",$F$40/1000,IF(ISERROR(VLOOKUP($F$3&amp;IF($G$4&lt;&gt;"",$G$4,"")&amp;IF($F$43&lt;&gt;"","_"&amp;$F$43,""),'表3）燃料価格'!$AF$9:$AG$25,2,0)),0,VLOOKUP($I28,'表3）燃料価格'!$A$6:$U$66,VLOOKUP($F$3&amp;IF($G$4&lt;&gt;"",$G$4,"")&amp;IF($F$43&lt;&gt;"","_"&amp;$F$43,""),'表3）燃料価格'!$AF$9:$AG$25,2,0)+VLOOKUP($F$41,'表3）燃料価格'!$AF$28:$AG$29,2,0),0)*IF($F$43="需要地価格",1,$F$8/$F$141))),"")</f>
        <v>55.379729162136329</v>
      </c>
      <c r="AU28" s="71"/>
      <c r="AV28" s="10">
        <f t="shared" si="10"/>
        <v>14679714989.982306</v>
      </c>
      <c r="AW28" s="10">
        <f t="shared" si="27"/>
        <v>9705020964.2197952</v>
      </c>
      <c r="AX28" s="71"/>
      <c r="AY28" s="7">
        <f>IF(ISERROR(IF($K28&lt;=$F$15,VLOOKUP($I28,'表4）CO2価格'!$A$7:$E$67,VLOOKUP($F$48,'表4）CO2価格'!$H$10:$I$12,2,0),0)*$F$8/1000,"")),0,IF($K28&lt;=$F$15,VLOOKUP($I28,'表4）CO2価格'!$A$7:$E$67,VLOOKUP($F$48,'表4）CO2価格'!$H$10:$I$12,2,0),0)*$F$8/1000,""))</f>
        <v>4.6651999999999898</v>
      </c>
      <c r="AZ28" s="71"/>
      <c r="BA28" s="11">
        <f t="shared" si="11"/>
        <v>3332948874.003685</v>
      </c>
      <c r="BB28" s="10">
        <f t="shared" si="28"/>
        <v>2203471846.4869537</v>
      </c>
      <c r="BC28" s="71"/>
      <c r="BD28" s="10">
        <f t="shared" si="12"/>
        <v>0</v>
      </c>
      <c r="BE28" s="10">
        <f t="shared" si="29"/>
        <v>0</v>
      </c>
      <c r="BF28" s="71"/>
      <c r="BG28" s="11">
        <f t="shared" si="13"/>
        <v>0</v>
      </c>
      <c r="BH28" s="10">
        <f t="shared" si="30"/>
        <v>0</v>
      </c>
      <c r="BJ28" s="7" t="str">
        <f t="shared" si="31"/>
        <v/>
      </c>
      <c r="BK28" s="158" t="str">
        <f t="shared" si="32"/>
        <v/>
      </c>
      <c r="BL28" s="158" t="str">
        <f t="shared" si="14"/>
        <v/>
      </c>
      <c r="BM28" s="10"/>
      <c r="BN28" s="10" t="str">
        <f t="shared" si="33"/>
        <v/>
      </c>
      <c r="BO28" s="10" t="str">
        <f t="shared" si="34"/>
        <v/>
      </c>
      <c r="BQ28" s="10">
        <f t="shared" si="15"/>
        <v>1000742400</v>
      </c>
      <c r="BR28" s="10">
        <f t="shared" si="35"/>
        <v>661608619.67765892</v>
      </c>
    </row>
    <row r="29" spans="3:70" x14ac:dyDescent="0.15">
      <c r="D29" s="81" t="s">
        <v>117</v>
      </c>
      <c r="F29" s="59"/>
      <c r="G29" s="81" t="s">
        <v>176</v>
      </c>
      <c r="I29" s="458">
        <f t="shared" si="36"/>
        <v>2034</v>
      </c>
      <c r="J29" s="39"/>
      <c r="K29" s="39">
        <f t="shared" si="37"/>
        <v>15</v>
      </c>
      <c r="L29" s="39"/>
      <c r="M29" s="40">
        <f t="shared" si="0"/>
        <v>0.64186194739671765</v>
      </c>
      <c r="N29" s="39"/>
      <c r="O29" s="72">
        <f t="shared" si="16"/>
        <v>3345903020.9069519</v>
      </c>
      <c r="P29" s="41" t="str">
        <f t="shared" si="1"/>
        <v>-</v>
      </c>
      <c r="Q29" s="39"/>
      <c r="R29" s="72">
        <f t="shared" si="17"/>
        <v>12125509772.27025</v>
      </c>
      <c r="S29" s="39"/>
      <c r="T29" s="72">
        <f t="shared" si="18"/>
        <v>12125509000</v>
      </c>
      <c r="U29" s="39"/>
      <c r="V29" s="72">
        <f t="shared" si="2"/>
        <v>3345903020.9069519</v>
      </c>
      <c r="W29" s="72">
        <f t="shared" si="19"/>
        <v>2147607828.7998967</v>
      </c>
      <c r="X29" s="39"/>
      <c r="Y29" s="72">
        <f t="shared" si="3"/>
        <v>169757100</v>
      </c>
      <c r="Z29" s="72">
        <f t="shared" si="20"/>
        <v>108960622.79041934</v>
      </c>
      <c r="AA29" s="39"/>
      <c r="AB29" s="72">
        <f t="shared" si="4"/>
        <v>0</v>
      </c>
      <c r="AC29" s="72">
        <f t="shared" si="21"/>
        <v>0</v>
      </c>
      <c r="AD29" s="39"/>
      <c r="AE29" s="72">
        <f t="shared" si="5"/>
        <v>0</v>
      </c>
      <c r="AF29" s="72">
        <f t="shared" si="22"/>
        <v>0</v>
      </c>
      <c r="AG29" s="39"/>
      <c r="AH29" s="72">
        <f t="shared" si="6"/>
        <v>190000000</v>
      </c>
      <c r="AI29" s="72">
        <f t="shared" si="23"/>
        <v>121953770.00537635</v>
      </c>
      <c r="AJ29" s="39"/>
      <c r="AK29" s="72">
        <f t="shared" si="7"/>
        <v>1872000000</v>
      </c>
      <c r="AL29" s="72">
        <f t="shared" si="24"/>
        <v>1201565565.5266554</v>
      </c>
      <c r="AM29" s="39"/>
      <c r="AN29" s="72">
        <f t="shared" si="8"/>
        <v>936000000</v>
      </c>
      <c r="AO29" s="72">
        <f t="shared" si="25"/>
        <v>600782782.76332772</v>
      </c>
      <c r="AP29" s="39"/>
      <c r="AQ29" s="72">
        <f t="shared" si="9"/>
        <v>279113800</v>
      </c>
      <c r="AR29" s="72">
        <f t="shared" si="26"/>
        <v>179152527.21329796</v>
      </c>
      <c r="AS29" s="39"/>
      <c r="AT29" s="40">
        <f>IF($K29&lt;=$F$15,IF($F$40&lt;&gt;"",$F$40/1000,IF(ISERROR(VLOOKUP($F$3&amp;IF($G$4&lt;&gt;"",$G$4,"")&amp;IF($F$43&lt;&gt;"","_"&amp;$F$43,""),'表3）燃料価格'!$AF$9:$AG$25,2,0)),0,VLOOKUP($I29,'表3）燃料価格'!$A$6:$U$66,VLOOKUP($F$3&amp;IF($G$4&lt;&gt;"",$G$4,"")&amp;IF($F$43&lt;&gt;"","_"&amp;$F$43,""),'表3）燃料価格'!$AF$9:$AG$25,2,0)+VLOOKUP($F$41,'表3）燃料価格'!$AF$28:$AG$29,2,0),0)*IF($F$43="需要地価格",1,$F$8/$F$141))),"")</f>
        <v>56.007871597743481</v>
      </c>
      <c r="AU29" s="39"/>
      <c r="AV29" s="72">
        <f t="shared" si="10"/>
        <v>14826126415.539373</v>
      </c>
      <c r="AW29" s="72">
        <f t="shared" si="27"/>
        <v>9516326373.4280186</v>
      </c>
      <c r="AX29" s="39"/>
      <c r="AY29" s="40">
        <f>IF(ISERROR(IF($K29&lt;=$F$15,VLOOKUP($I29,'表4）CO2価格'!$A$7:$E$67,VLOOKUP($F$48,'表4）CO2価格'!$H$10:$I$12,2,0),0)*$F$8/1000,"")),0,IF($K29&lt;=$F$15,VLOOKUP($I29,'表4）CO2価格'!$A$7:$E$67,VLOOKUP($F$48,'表4）CO2価格'!$H$10:$I$12,2,0),0)*$F$8/1000,""))</f>
        <v>4.7935999999999712</v>
      </c>
      <c r="AZ29" s="39"/>
      <c r="BA29" s="42">
        <f t="shared" si="11"/>
        <v>3424681411.8202868</v>
      </c>
      <c r="BB29" s="72">
        <f t="shared" si="28"/>
        <v>2198172680.2043095</v>
      </c>
      <c r="BC29" s="39"/>
      <c r="BD29" s="72">
        <f t="shared" si="12"/>
        <v>0</v>
      </c>
      <c r="BE29" s="72">
        <f t="shared" si="29"/>
        <v>0</v>
      </c>
      <c r="BF29" s="39"/>
      <c r="BG29" s="42">
        <f t="shared" si="13"/>
        <v>0</v>
      </c>
      <c r="BH29" s="72">
        <f t="shared" si="30"/>
        <v>0</v>
      </c>
      <c r="BI29" s="39"/>
      <c r="BJ29" s="40" t="str">
        <f t="shared" si="31"/>
        <v/>
      </c>
      <c r="BK29" s="157" t="str">
        <f t="shared" si="32"/>
        <v/>
      </c>
      <c r="BL29" s="157" t="str">
        <f t="shared" si="14"/>
        <v/>
      </c>
      <c r="BM29" s="72"/>
      <c r="BN29" s="72" t="str">
        <f t="shared" si="33"/>
        <v/>
      </c>
      <c r="BO29" s="72" t="str">
        <f t="shared" si="34"/>
        <v/>
      </c>
      <c r="BP29" s="39"/>
      <c r="BQ29" s="72">
        <f t="shared" si="15"/>
        <v>1000742400</v>
      </c>
      <c r="BR29" s="72">
        <f t="shared" si="35"/>
        <v>642338465.70646501</v>
      </c>
    </row>
    <row r="30" spans="3:70" x14ac:dyDescent="0.15">
      <c r="I30" s="459">
        <f t="shared" si="36"/>
        <v>2035</v>
      </c>
      <c r="J30" s="71"/>
      <c r="K30" s="71">
        <f t="shared" si="37"/>
        <v>16</v>
      </c>
      <c r="L30" s="71"/>
      <c r="M30" s="7">
        <f t="shared" si="0"/>
        <v>0.62316693922011435</v>
      </c>
      <c r="N30" s="71"/>
      <c r="O30" s="10">
        <f t="shared" si="16"/>
        <v>0</v>
      </c>
      <c r="P30" s="29" t="str">
        <f t="shared" si="1"/>
        <v>-</v>
      </c>
      <c r="Q30" s="71"/>
      <c r="R30" s="10">
        <f t="shared" si="17"/>
        <v>10400000000</v>
      </c>
      <c r="S30" s="71"/>
      <c r="T30" s="10">
        <f t="shared" si="18"/>
        <v>10400000000</v>
      </c>
      <c r="U30" s="71"/>
      <c r="V30" s="10">
        <f t="shared" si="2"/>
        <v>0</v>
      </c>
      <c r="W30" s="10">
        <f t="shared" si="19"/>
        <v>0</v>
      </c>
      <c r="X30" s="71"/>
      <c r="Y30" s="10">
        <f t="shared" si="3"/>
        <v>145600000</v>
      </c>
      <c r="Z30" s="10">
        <f t="shared" si="20"/>
        <v>90733106.350448653</v>
      </c>
      <c r="AA30" s="71"/>
      <c r="AB30" s="10">
        <f t="shared" si="4"/>
        <v>0</v>
      </c>
      <c r="AC30" s="10">
        <f t="shared" si="21"/>
        <v>0</v>
      </c>
      <c r="AD30" s="71"/>
      <c r="AE30" s="10">
        <f t="shared" si="5"/>
        <v>0</v>
      </c>
      <c r="AF30" s="10">
        <f t="shared" si="22"/>
        <v>0</v>
      </c>
      <c r="AG30" s="71"/>
      <c r="AH30" s="10">
        <f t="shared" si="6"/>
        <v>190000000</v>
      </c>
      <c r="AI30" s="10">
        <f t="shared" si="23"/>
        <v>118401718.45182173</v>
      </c>
      <c r="AJ30" s="71"/>
      <c r="AK30" s="10">
        <f t="shared" si="7"/>
        <v>1872000000</v>
      </c>
      <c r="AL30" s="10">
        <f t="shared" si="24"/>
        <v>1166568510.2200541</v>
      </c>
      <c r="AM30" s="71"/>
      <c r="AN30" s="10">
        <f t="shared" si="8"/>
        <v>936000000</v>
      </c>
      <c r="AO30" s="10">
        <f t="shared" si="25"/>
        <v>583284255.11002707</v>
      </c>
      <c r="AP30" s="71"/>
      <c r="AQ30" s="10">
        <f t="shared" si="9"/>
        <v>279113800</v>
      </c>
      <c r="AR30" s="10">
        <f t="shared" si="26"/>
        <v>173934492.44009516</v>
      </c>
      <c r="AS30" s="71"/>
      <c r="AT30" s="7">
        <f>IF($K30&lt;=$F$15,IF($F$40&lt;&gt;"",$F$40/1000,IF(ISERROR(VLOOKUP($F$3&amp;IF($G$4&lt;&gt;"",$G$4,"")&amp;IF($F$43&lt;&gt;"","_"&amp;$F$43,""),'表3）燃料価格'!$AF$9:$AG$25,2,0)),0,VLOOKUP($I30,'表3）燃料価格'!$A$6:$U$66,VLOOKUP($F$3&amp;IF($G$4&lt;&gt;"",$G$4,"")&amp;IF($F$43&lt;&gt;"","_"&amp;$F$43,""),'表3）燃料価格'!$AF$9:$AG$25,2,0)+VLOOKUP($F$41,'表3）燃料価格'!$AF$28:$AG$29,2,0),0)*IF($F$43="需要地価格",1,$F$8/$F$141))),"")</f>
        <v>56.636014033350634</v>
      </c>
      <c r="AU30" s="71"/>
      <c r="AV30" s="10">
        <f t="shared" si="10"/>
        <v>14972537841.096437</v>
      </c>
      <c r="AW30" s="10">
        <f t="shared" si="27"/>
        <v>9330390578.7934055</v>
      </c>
      <c r="AX30" s="71"/>
      <c r="AY30" s="7">
        <f>IF(ISERROR(IF($K30&lt;=$F$15,VLOOKUP($I30,'表4）CO2価格'!$A$7:$E$67,VLOOKUP($F$48,'表4）CO2価格'!$H$10:$I$12,2,0),0)*$F$8/1000,"")),0,IF($K30&lt;=$F$15,VLOOKUP($I30,'表4）CO2価格'!$A$7:$E$67,VLOOKUP($F$48,'表4）CO2価格'!$H$10:$I$12,2,0),0)*$F$8/1000,""))</f>
        <v>4.9219999999999997</v>
      </c>
      <c r="AZ30" s="71"/>
      <c r="BA30" s="11">
        <f t="shared" si="11"/>
        <v>3516413949.6369228</v>
      </c>
      <c r="BB30" s="10">
        <f t="shared" si="28"/>
        <v>2191312918.0261545</v>
      </c>
      <c r="BC30" s="71"/>
      <c r="BD30" s="10">
        <f t="shared" si="12"/>
        <v>0</v>
      </c>
      <c r="BE30" s="10">
        <f t="shared" si="29"/>
        <v>0</v>
      </c>
      <c r="BF30" s="71"/>
      <c r="BG30" s="11">
        <f t="shared" si="13"/>
        <v>0</v>
      </c>
      <c r="BH30" s="10">
        <f t="shared" si="30"/>
        <v>0</v>
      </c>
      <c r="BJ30" s="7" t="str">
        <f t="shared" si="31"/>
        <v/>
      </c>
      <c r="BK30" s="158" t="str">
        <f t="shared" si="32"/>
        <v/>
      </c>
      <c r="BL30" s="158" t="str">
        <f t="shared" si="14"/>
        <v/>
      </c>
      <c r="BM30" s="10"/>
      <c r="BN30" s="10" t="str">
        <f t="shared" si="33"/>
        <v/>
      </c>
      <c r="BO30" s="10" t="str">
        <f t="shared" si="34"/>
        <v/>
      </c>
      <c r="BQ30" s="10">
        <f t="shared" si="15"/>
        <v>1000742400</v>
      </c>
      <c r="BR30" s="10">
        <f t="shared" si="35"/>
        <v>623629578.35579133</v>
      </c>
    </row>
    <row r="31" spans="3:70" x14ac:dyDescent="0.15">
      <c r="C31" s="89" t="s">
        <v>507</v>
      </c>
      <c r="D31" s="101"/>
      <c r="E31" s="101"/>
      <c r="F31" s="89"/>
      <c r="G31" s="101"/>
      <c r="I31" s="458">
        <f t="shared" si="36"/>
        <v>2036</v>
      </c>
      <c r="J31" s="39"/>
      <c r="K31" s="39">
        <f t="shared" si="37"/>
        <v>17</v>
      </c>
      <c r="L31" s="39"/>
      <c r="M31" s="40">
        <f t="shared" si="0"/>
        <v>0.60501644584477121</v>
      </c>
      <c r="N31" s="39"/>
      <c r="O31" s="72">
        <f t="shared" si="16"/>
        <v>0</v>
      </c>
      <c r="P31" s="41" t="str">
        <f t="shared" si="1"/>
        <v>-</v>
      </c>
      <c r="Q31" s="39"/>
      <c r="R31" s="72">
        <f t="shared" si="17"/>
        <v>8920037345.3452988</v>
      </c>
      <c r="S31" s="39"/>
      <c r="T31" s="72">
        <f t="shared" si="18"/>
        <v>8920037000</v>
      </c>
      <c r="U31" s="39"/>
      <c r="V31" s="72">
        <f t="shared" si="2"/>
        <v>0</v>
      </c>
      <c r="W31" s="72">
        <f t="shared" si="19"/>
        <v>0</v>
      </c>
      <c r="X31" s="39"/>
      <c r="Y31" s="72">
        <f t="shared" si="3"/>
        <v>124880500</v>
      </c>
      <c r="Z31" s="72">
        <f t="shared" si="20"/>
        <v>75554756.265317947</v>
      </c>
      <c r="AA31" s="39"/>
      <c r="AB31" s="72">
        <f t="shared" si="4"/>
        <v>0</v>
      </c>
      <c r="AC31" s="72">
        <f t="shared" si="21"/>
        <v>0</v>
      </c>
      <c r="AD31" s="39"/>
      <c r="AE31" s="72">
        <f t="shared" si="5"/>
        <v>0</v>
      </c>
      <c r="AF31" s="72">
        <f t="shared" si="22"/>
        <v>0</v>
      </c>
      <c r="AG31" s="39"/>
      <c r="AH31" s="72">
        <f t="shared" si="6"/>
        <v>190000000</v>
      </c>
      <c r="AI31" s="72">
        <f t="shared" si="23"/>
        <v>114953124.71050653</v>
      </c>
      <c r="AJ31" s="39"/>
      <c r="AK31" s="72">
        <f t="shared" si="7"/>
        <v>1872000000</v>
      </c>
      <c r="AL31" s="72">
        <f t="shared" si="24"/>
        <v>1132590786.6214118</v>
      </c>
      <c r="AM31" s="39"/>
      <c r="AN31" s="72">
        <f t="shared" si="8"/>
        <v>936000000</v>
      </c>
      <c r="AO31" s="72">
        <f t="shared" si="25"/>
        <v>566295393.3107059</v>
      </c>
      <c r="AP31" s="39"/>
      <c r="AQ31" s="72">
        <f t="shared" si="9"/>
        <v>279113800</v>
      </c>
      <c r="AR31" s="72">
        <f t="shared" si="26"/>
        <v>168868439.26222831</v>
      </c>
      <c r="AS31" s="39"/>
      <c r="AT31" s="40">
        <f>IF($K31&lt;=$F$15,IF($F$40&lt;&gt;"",$F$40/1000,IF(ISERROR(VLOOKUP($F$3&amp;IF($G$4&lt;&gt;"",$G$4,"")&amp;IF($F$43&lt;&gt;"","_"&amp;$F$43,""),'表3）燃料価格'!$AF$9:$AG$25,2,0)),0,VLOOKUP($I31,'表3）燃料価格'!$A$6:$U$66,VLOOKUP($F$3&amp;IF($G$4&lt;&gt;"",$G$4,"")&amp;IF($F$43&lt;&gt;"","_"&amp;$F$43,""),'表3）燃料価格'!$AF$9:$AG$25,2,0)+VLOOKUP($F$41,'表3）燃料価格'!$AF$28:$AG$29,2,0),0)*IF($F$43="需要地価格",1,$F$8/$F$141))),"")</f>
        <v>57.264156468957793</v>
      </c>
      <c r="AU31" s="39"/>
      <c r="AV31" s="72">
        <f t="shared" si="10"/>
        <v>15118949266.653505</v>
      </c>
      <c r="AW31" s="72">
        <f t="shared" si="27"/>
        <v>9147212950.2181149</v>
      </c>
      <c r="AX31" s="39"/>
      <c r="AY31" s="40">
        <f>IF(ISERROR(IF($K31&lt;=$F$15,VLOOKUP($I31,'表4）CO2価格'!$A$7:$E$67,VLOOKUP($F$48,'表4）CO2価格'!$H$10:$I$12,2,0),0)*$F$8/1000,"")),0,IF($K31&lt;=$F$15,VLOOKUP($I31,'表4）CO2価格'!$A$7:$E$67,VLOOKUP($F$48,'表4）CO2価格'!$H$10:$I$12,2,0),0)*$F$8/1000,""))</f>
        <v>5.0503999999999802</v>
      </c>
      <c r="AZ31" s="39"/>
      <c r="BA31" s="42">
        <f t="shared" si="11"/>
        <v>3608146487.4535241</v>
      </c>
      <c r="BB31" s="72">
        <f t="shared" si="28"/>
        <v>2182987963.9264264</v>
      </c>
      <c r="BC31" s="39"/>
      <c r="BD31" s="72">
        <f t="shared" si="12"/>
        <v>0</v>
      </c>
      <c r="BE31" s="72">
        <f t="shared" si="29"/>
        <v>0</v>
      </c>
      <c r="BF31" s="39"/>
      <c r="BG31" s="42">
        <f t="shared" si="13"/>
        <v>0</v>
      </c>
      <c r="BH31" s="72">
        <f t="shared" si="30"/>
        <v>0</v>
      </c>
      <c r="BI31" s="39"/>
      <c r="BJ31" s="40" t="str">
        <f t="shared" si="31"/>
        <v/>
      </c>
      <c r="BK31" s="157" t="str">
        <f t="shared" si="32"/>
        <v/>
      </c>
      <c r="BL31" s="157" t="str">
        <f t="shared" si="14"/>
        <v/>
      </c>
      <c r="BM31" s="72"/>
      <c r="BN31" s="72" t="str">
        <f t="shared" si="33"/>
        <v/>
      </c>
      <c r="BO31" s="72" t="str">
        <f t="shared" si="34"/>
        <v/>
      </c>
      <c r="BP31" s="39"/>
      <c r="BQ31" s="72">
        <f t="shared" si="15"/>
        <v>1000742400</v>
      </c>
      <c r="BR31" s="72">
        <f t="shared" si="35"/>
        <v>605465610.05416632</v>
      </c>
    </row>
    <row r="32" spans="3:70" x14ac:dyDescent="0.15">
      <c r="I32" s="459">
        <f t="shared" si="36"/>
        <v>2037</v>
      </c>
      <c r="J32" s="71"/>
      <c r="K32" s="71">
        <f t="shared" si="37"/>
        <v>18</v>
      </c>
      <c r="L32" s="71"/>
      <c r="M32" s="7">
        <f t="shared" si="0"/>
        <v>0.5873946076162827</v>
      </c>
      <c r="N32" s="71"/>
      <c r="O32" s="10">
        <f t="shared" si="16"/>
        <v>0</v>
      </c>
      <c r="P32" s="29" t="str">
        <f t="shared" si="1"/>
        <v>-</v>
      </c>
      <c r="Q32" s="71"/>
      <c r="R32" s="10">
        <f t="shared" si="17"/>
        <v>7650679446.38027</v>
      </c>
      <c r="S32" s="71"/>
      <c r="T32" s="10">
        <f t="shared" si="18"/>
        <v>7650679000</v>
      </c>
      <c r="U32" s="71"/>
      <c r="V32" s="10">
        <f t="shared" si="2"/>
        <v>0</v>
      </c>
      <c r="W32" s="10">
        <f t="shared" si="19"/>
        <v>0</v>
      </c>
      <c r="X32" s="71"/>
      <c r="Y32" s="10">
        <f t="shared" si="3"/>
        <v>107109500</v>
      </c>
      <c r="Z32" s="10">
        <f t="shared" si="20"/>
        <v>62915542.724476233</v>
      </c>
      <c r="AA32" s="71"/>
      <c r="AB32" s="10">
        <f t="shared" si="4"/>
        <v>0</v>
      </c>
      <c r="AC32" s="10">
        <f t="shared" si="21"/>
        <v>0</v>
      </c>
      <c r="AD32" s="71"/>
      <c r="AE32" s="10">
        <f t="shared" si="5"/>
        <v>0</v>
      </c>
      <c r="AF32" s="10">
        <f t="shared" si="22"/>
        <v>0</v>
      </c>
      <c r="AG32" s="71"/>
      <c r="AH32" s="10">
        <f t="shared" si="6"/>
        <v>190000000</v>
      </c>
      <c r="AI32" s="10">
        <f t="shared" si="23"/>
        <v>111604975.44709371</v>
      </c>
      <c r="AJ32" s="71"/>
      <c r="AK32" s="10">
        <f t="shared" si="7"/>
        <v>1872000000</v>
      </c>
      <c r="AL32" s="10">
        <f t="shared" si="24"/>
        <v>1099602705.4576812</v>
      </c>
      <c r="AM32" s="71"/>
      <c r="AN32" s="10">
        <f t="shared" si="8"/>
        <v>936000000</v>
      </c>
      <c r="AO32" s="10">
        <f t="shared" si="25"/>
        <v>549801352.72884059</v>
      </c>
      <c r="AP32" s="71"/>
      <c r="AQ32" s="10">
        <f t="shared" si="9"/>
        <v>279113800</v>
      </c>
      <c r="AR32" s="10">
        <f t="shared" si="26"/>
        <v>163949941.03128961</v>
      </c>
      <c r="AS32" s="71"/>
      <c r="AT32" s="7">
        <f>IF($K32&lt;=$F$15,IF($F$40&lt;&gt;"",$F$40/1000,IF(ISERROR(VLOOKUP($F$3&amp;IF($G$4&lt;&gt;"",$G$4,"")&amp;IF($F$43&lt;&gt;"","_"&amp;$F$43,""),'表3）燃料価格'!$AF$9:$AG$25,2,0)),0,VLOOKUP($I32,'表3）燃料価格'!$A$6:$U$66,VLOOKUP($F$3&amp;IF($G$4&lt;&gt;"",$G$4,"")&amp;IF($F$43&lt;&gt;"","_"&amp;$F$43,""),'表3）燃料価格'!$AF$9:$AG$25,2,0)+VLOOKUP($F$41,'表3）燃料価格'!$AF$28:$AG$29,2,0),0)*IF($F$43="需要地価格",1,$F$8/$F$141))),"")</f>
        <v>57.892298904564946</v>
      </c>
      <c r="AU32" s="71"/>
      <c r="AV32" s="10">
        <f t="shared" si="10"/>
        <v>15265360692.210573</v>
      </c>
      <c r="AW32" s="10">
        <f t="shared" si="27"/>
        <v>8966790553.9220562</v>
      </c>
      <c r="AX32" s="71"/>
      <c r="AY32" s="7">
        <f>IF(ISERROR(IF($K32&lt;=$F$15,VLOOKUP($I32,'表4）CO2価格'!$A$7:$E$67,VLOOKUP($F$48,'表4）CO2価格'!$H$10:$I$12,2,0),0)*$F$8/1000,"")),0,IF($K32&lt;=$F$15,VLOOKUP($I32,'表4）CO2価格'!$A$7:$E$67,VLOOKUP($F$48,'表4）CO2価格'!$H$10:$I$12,2,0),0)*$F$8/1000,""))</f>
        <v>5.1788000000000105</v>
      </c>
      <c r="AZ32" s="71"/>
      <c r="BA32" s="11">
        <f t="shared" si="11"/>
        <v>3699879025.2701612</v>
      </c>
      <c r="BB32" s="10">
        <f t="shared" si="28"/>
        <v>2173288988.2762809</v>
      </c>
      <c r="BC32" s="71"/>
      <c r="BD32" s="10">
        <f t="shared" si="12"/>
        <v>0</v>
      </c>
      <c r="BE32" s="10">
        <f t="shared" si="29"/>
        <v>0</v>
      </c>
      <c r="BF32" s="71"/>
      <c r="BG32" s="11">
        <f t="shared" si="13"/>
        <v>0</v>
      </c>
      <c r="BH32" s="10">
        <f t="shared" si="30"/>
        <v>0</v>
      </c>
      <c r="BJ32" s="7" t="str">
        <f t="shared" si="31"/>
        <v/>
      </c>
      <c r="BK32" s="158" t="str">
        <f t="shared" si="32"/>
        <v/>
      </c>
      <c r="BL32" s="158" t="str">
        <f t="shared" si="14"/>
        <v/>
      </c>
      <c r="BM32" s="10"/>
      <c r="BN32" s="10" t="str">
        <f t="shared" si="33"/>
        <v/>
      </c>
      <c r="BO32" s="10" t="str">
        <f t="shared" si="34"/>
        <v/>
      </c>
      <c r="BQ32" s="10">
        <f t="shared" si="15"/>
        <v>1000742400</v>
      </c>
      <c r="BR32" s="10">
        <f t="shared" si="35"/>
        <v>587830689.37297702</v>
      </c>
    </row>
    <row r="33" spans="3:70" x14ac:dyDescent="0.15">
      <c r="D33" s="81" t="s">
        <v>88</v>
      </c>
      <c r="F33" s="66">
        <v>1.9</v>
      </c>
      <c r="G33" s="81" t="s">
        <v>119</v>
      </c>
      <c r="I33" s="458">
        <f t="shared" si="36"/>
        <v>2038</v>
      </c>
      <c r="J33" s="39"/>
      <c r="K33" s="39">
        <f t="shared" si="37"/>
        <v>19</v>
      </c>
      <c r="L33" s="39"/>
      <c r="M33" s="40">
        <f t="shared" si="0"/>
        <v>0.57028602681192497</v>
      </c>
      <c r="N33" s="39"/>
      <c r="O33" s="72">
        <f t="shared" si="16"/>
        <v>0</v>
      </c>
      <c r="P33" s="41" t="str">
        <f t="shared" si="1"/>
        <v>-</v>
      </c>
      <c r="Q33" s="39"/>
      <c r="R33" s="72">
        <f t="shared" si="17"/>
        <v>6561956382.5940104</v>
      </c>
      <c r="S33" s="39"/>
      <c r="T33" s="72">
        <f t="shared" si="18"/>
        <v>6561956000</v>
      </c>
      <c r="U33" s="39"/>
      <c r="V33" s="72">
        <f t="shared" si="2"/>
        <v>0</v>
      </c>
      <c r="W33" s="72">
        <f t="shared" si="19"/>
        <v>0</v>
      </c>
      <c r="X33" s="39"/>
      <c r="Y33" s="72">
        <f t="shared" si="3"/>
        <v>91867300</v>
      </c>
      <c r="Z33" s="72">
        <f t="shared" si="20"/>
        <v>52390637.510939158</v>
      </c>
      <c r="AA33" s="39"/>
      <c r="AB33" s="72">
        <f t="shared" si="4"/>
        <v>0</v>
      </c>
      <c r="AC33" s="72">
        <f t="shared" si="21"/>
        <v>0</v>
      </c>
      <c r="AD33" s="39"/>
      <c r="AE33" s="72">
        <f t="shared" si="5"/>
        <v>0</v>
      </c>
      <c r="AF33" s="72">
        <f t="shared" si="22"/>
        <v>0</v>
      </c>
      <c r="AG33" s="39"/>
      <c r="AH33" s="72">
        <f t="shared" si="6"/>
        <v>190000000</v>
      </c>
      <c r="AI33" s="72">
        <f t="shared" si="23"/>
        <v>108354345.09426574</v>
      </c>
      <c r="AJ33" s="39"/>
      <c r="AK33" s="72">
        <f t="shared" si="7"/>
        <v>1872000000</v>
      </c>
      <c r="AL33" s="72">
        <f t="shared" si="24"/>
        <v>1067575442.1919235</v>
      </c>
      <c r="AM33" s="39"/>
      <c r="AN33" s="72">
        <f t="shared" si="8"/>
        <v>936000000</v>
      </c>
      <c r="AO33" s="72">
        <f t="shared" si="25"/>
        <v>533787721.09596175</v>
      </c>
      <c r="AP33" s="39"/>
      <c r="AQ33" s="72">
        <f t="shared" si="9"/>
        <v>279113800</v>
      </c>
      <c r="AR33" s="72">
        <f t="shared" si="26"/>
        <v>159174700.03037825</v>
      </c>
      <c r="AS33" s="39"/>
      <c r="AT33" s="40">
        <f>IF($K33&lt;=$F$15,IF($F$40&lt;&gt;"",$F$40/1000,IF(ISERROR(VLOOKUP($F$3&amp;IF($G$4&lt;&gt;"",$G$4,"")&amp;IF($F$43&lt;&gt;"","_"&amp;$F$43,""),'表3）燃料価格'!$AF$9:$AG$25,2,0)),0,VLOOKUP($I33,'表3）燃料価格'!$A$6:$U$66,VLOOKUP($F$3&amp;IF($G$4&lt;&gt;"",$G$4,"")&amp;IF($F$43&lt;&gt;"","_"&amp;$F$43,""),'表3）燃料価格'!$AF$9:$AG$25,2,0)+VLOOKUP($F$41,'表3）燃料価格'!$AF$28:$AG$29,2,0),0)*IF($F$43="需要地価格",1,$F$8/$F$141))),"")</f>
        <v>58.520441340172106</v>
      </c>
      <c r="AU33" s="39"/>
      <c r="AV33" s="72">
        <f t="shared" si="10"/>
        <v>15411772117.767641</v>
      </c>
      <c r="AW33" s="72">
        <f t="shared" si="27"/>
        <v>8789118287.172514</v>
      </c>
      <c r="AX33" s="39"/>
      <c r="AY33" s="40">
        <f>IF(ISERROR(IF($K33&lt;=$F$15,VLOOKUP($I33,'表4）CO2価格'!$A$7:$E$67,VLOOKUP($F$48,'表4）CO2価格'!$H$10:$I$12,2,0),0)*$F$8/1000,"")),0,IF($K33&lt;=$F$15,VLOOKUP($I33,'表4）CO2価格'!$A$7:$E$67,VLOOKUP($F$48,'表4）CO2価格'!$H$10:$I$12,2,0),0)*$F$8/1000,""))</f>
        <v>5.3071999999999901</v>
      </c>
      <c r="AZ33" s="39"/>
      <c r="BA33" s="42">
        <f t="shared" si="11"/>
        <v>3791611563.086762</v>
      </c>
      <c r="BB33" s="72">
        <f t="shared" si="28"/>
        <v>2162303093.5269017</v>
      </c>
      <c r="BC33" s="39"/>
      <c r="BD33" s="72">
        <f t="shared" si="12"/>
        <v>0</v>
      </c>
      <c r="BE33" s="72">
        <f t="shared" si="29"/>
        <v>0</v>
      </c>
      <c r="BF33" s="39"/>
      <c r="BG33" s="42">
        <f t="shared" si="13"/>
        <v>0</v>
      </c>
      <c r="BH33" s="72">
        <f t="shared" si="30"/>
        <v>0</v>
      </c>
      <c r="BI33" s="39"/>
      <c r="BJ33" s="40" t="str">
        <f t="shared" si="31"/>
        <v/>
      </c>
      <c r="BK33" s="157" t="str">
        <f t="shared" si="32"/>
        <v/>
      </c>
      <c r="BL33" s="157" t="str">
        <f t="shared" si="14"/>
        <v/>
      </c>
      <c r="BM33" s="72"/>
      <c r="BN33" s="72" t="str">
        <f t="shared" si="33"/>
        <v/>
      </c>
      <c r="BO33" s="72" t="str">
        <f t="shared" si="34"/>
        <v/>
      </c>
      <c r="BP33" s="39"/>
      <c r="BQ33" s="72">
        <f t="shared" si="15"/>
        <v>1000742400</v>
      </c>
      <c r="BR33" s="72">
        <f t="shared" si="35"/>
        <v>570709407.15823019</v>
      </c>
    </row>
    <row r="34" spans="3:70" x14ac:dyDescent="0.15">
      <c r="D34" s="81" t="s">
        <v>120</v>
      </c>
      <c r="F34" s="66">
        <v>1.8</v>
      </c>
      <c r="G34" s="81" t="s">
        <v>121</v>
      </c>
      <c r="I34" s="459">
        <f t="shared" si="36"/>
        <v>2039</v>
      </c>
      <c r="J34" s="71"/>
      <c r="K34" s="71">
        <f t="shared" si="37"/>
        <v>20</v>
      </c>
      <c r="L34" s="71"/>
      <c r="M34" s="7">
        <f t="shared" si="0"/>
        <v>0.55367575418633497</v>
      </c>
      <c r="N34" s="71"/>
      <c r="O34" s="10">
        <f t="shared" si="16"/>
        <v>0</v>
      </c>
      <c r="P34" s="29" t="str">
        <f t="shared" si="1"/>
        <v>-</v>
      </c>
      <c r="Q34" s="71"/>
      <c r="R34" s="10">
        <f t="shared" si="17"/>
        <v>5628163076.0832224</v>
      </c>
      <c r="S34" s="71"/>
      <c r="T34" s="10">
        <f t="shared" si="18"/>
        <v>5628163000</v>
      </c>
      <c r="U34" s="71"/>
      <c r="V34" s="10">
        <f t="shared" si="2"/>
        <v>0</v>
      </c>
      <c r="W34" s="10">
        <f t="shared" si="19"/>
        <v>0</v>
      </c>
      <c r="X34" s="71"/>
      <c r="Y34" s="10">
        <f t="shared" si="3"/>
        <v>78794200</v>
      </c>
      <c r="Z34" s="10">
        <f t="shared" si="20"/>
        <v>43626438.110508911</v>
      </c>
      <c r="AA34" s="71"/>
      <c r="AB34" s="10">
        <f t="shared" si="4"/>
        <v>0</v>
      </c>
      <c r="AC34" s="10">
        <f t="shared" si="21"/>
        <v>0</v>
      </c>
      <c r="AD34" s="71"/>
      <c r="AE34" s="10">
        <f t="shared" si="5"/>
        <v>0</v>
      </c>
      <c r="AF34" s="10">
        <f t="shared" si="22"/>
        <v>0</v>
      </c>
      <c r="AG34" s="71"/>
      <c r="AH34" s="10">
        <f t="shared" si="6"/>
        <v>190000000</v>
      </c>
      <c r="AI34" s="10">
        <f t="shared" si="23"/>
        <v>105198393.29540364</v>
      </c>
      <c r="AJ34" s="71"/>
      <c r="AK34" s="10">
        <f t="shared" si="7"/>
        <v>1872000000</v>
      </c>
      <c r="AL34" s="10">
        <f t="shared" si="24"/>
        <v>1036481011.8368191</v>
      </c>
      <c r="AM34" s="71"/>
      <c r="AN34" s="10">
        <f t="shared" si="8"/>
        <v>936000000</v>
      </c>
      <c r="AO34" s="10">
        <f t="shared" si="25"/>
        <v>518240505.91840953</v>
      </c>
      <c r="AP34" s="71"/>
      <c r="AQ34" s="10">
        <f t="shared" si="9"/>
        <v>279113800</v>
      </c>
      <c r="AR34" s="10">
        <f t="shared" si="26"/>
        <v>154538543.71881387</v>
      </c>
      <c r="AS34" s="71"/>
      <c r="AT34" s="7">
        <f>IF($K34&lt;=$F$15,IF($F$40&lt;&gt;"",$F$40/1000,IF(ISERROR(VLOOKUP($F$3&amp;IF($G$4&lt;&gt;"",$G$4,"")&amp;IF($F$43&lt;&gt;"","_"&amp;$F$43,""),'表3）燃料価格'!$AF$9:$AG$25,2,0)),0,VLOOKUP($I34,'表3）燃料価格'!$A$6:$U$66,VLOOKUP($F$3&amp;IF($G$4&lt;&gt;"",$G$4,"")&amp;IF($F$43&lt;&gt;"","_"&amp;$F$43,""),'表3）燃料価格'!$AF$9:$AG$25,2,0)+VLOOKUP($F$41,'表3）燃料価格'!$AF$28:$AG$29,2,0),0)*IF($F$43="需要地価格",1,$F$8/$F$141))),"")</f>
        <v>59.148583775779258</v>
      </c>
      <c r="AU34" s="71"/>
      <c r="AV34" s="10">
        <f t="shared" si="10"/>
        <v>15558183543.324705</v>
      </c>
      <c r="AW34" s="10">
        <f t="shared" si="27"/>
        <v>8614189007.1197319</v>
      </c>
      <c r="AX34" s="71"/>
      <c r="AY34" s="7">
        <f>IF(ISERROR(IF($K34&lt;=$F$15,VLOOKUP($I34,'表4）CO2価格'!$A$7:$E$67,VLOOKUP($F$48,'表4）CO2価格'!$H$10:$I$12,2,0),0)*$F$8/1000,"")),0,IF($K34&lt;=$F$15,VLOOKUP($I34,'表4）CO2価格'!$A$7:$E$67,VLOOKUP($F$48,'表4）CO2価格'!$H$10:$I$12,2,0),0)*$F$8/1000,""))</f>
        <v>5.4355999999999716</v>
      </c>
      <c r="AZ34" s="71"/>
      <c r="BA34" s="11">
        <f t="shared" si="11"/>
        <v>3883344100.9033642</v>
      </c>
      <c r="BB34" s="10">
        <f t="shared" si="28"/>
        <v>2150113473.832725</v>
      </c>
      <c r="BC34" s="71"/>
      <c r="BD34" s="10">
        <f t="shared" si="12"/>
        <v>0</v>
      </c>
      <c r="BE34" s="10">
        <f t="shared" si="29"/>
        <v>0</v>
      </c>
      <c r="BF34" s="71"/>
      <c r="BG34" s="11">
        <f t="shared" si="13"/>
        <v>0</v>
      </c>
      <c r="BH34" s="10">
        <f t="shared" si="30"/>
        <v>0</v>
      </c>
      <c r="BJ34" s="7" t="str">
        <f t="shared" si="31"/>
        <v/>
      </c>
      <c r="BK34" s="158" t="str">
        <f t="shared" si="32"/>
        <v/>
      </c>
      <c r="BL34" s="158" t="str">
        <f t="shared" si="14"/>
        <v/>
      </c>
      <c r="BM34" s="10"/>
      <c r="BN34" s="10" t="str">
        <f t="shared" si="33"/>
        <v/>
      </c>
      <c r="BO34" s="10" t="str">
        <f t="shared" si="34"/>
        <v/>
      </c>
      <c r="BQ34" s="10">
        <f t="shared" si="15"/>
        <v>1000742400</v>
      </c>
      <c r="BR34" s="10">
        <f t="shared" si="35"/>
        <v>554086803.06624293</v>
      </c>
    </row>
    <row r="35" spans="3:70" x14ac:dyDescent="0.15">
      <c r="D35" s="81" t="s">
        <v>122</v>
      </c>
      <c r="F35" s="66">
        <v>0.9</v>
      </c>
      <c r="G35" s="81" t="s">
        <v>121</v>
      </c>
      <c r="I35" s="458">
        <f t="shared" si="36"/>
        <v>2040</v>
      </c>
      <c r="J35" s="39"/>
      <c r="K35" s="39">
        <f t="shared" si="37"/>
        <v>21</v>
      </c>
      <c r="L35" s="39"/>
      <c r="M35" s="40">
        <f t="shared" si="0"/>
        <v>0.5375492759090631</v>
      </c>
      <c r="N35" s="39"/>
      <c r="O35" s="72">
        <f t="shared" si="16"/>
        <v>0</v>
      </c>
      <c r="P35" s="41" t="str">
        <f t="shared" si="1"/>
        <v>-</v>
      </c>
      <c r="Q35" s="39"/>
      <c r="R35" s="72">
        <f t="shared" si="17"/>
        <v>5200000000</v>
      </c>
      <c r="S35" s="39"/>
      <c r="T35" s="72">
        <f t="shared" si="18"/>
        <v>5200000000</v>
      </c>
      <c r="U35" s="39"/>
      <c r="V35" s="72">
        <f t="shared" si="2"/>
        <v>0</v>
      </c>
      <c r="W35" s="72">
        <f t="shared" si="19"/>
        <v>0</v>
      </c>
      <c r="X35" s="39"/>
      <c r="Y35" s="72">
        <f t="shared" si="3"/>
        <v>72800000</v>
      </c>
      <c r="Z35" s="72">
        <f t="shared" si="20"/>
        <v>39133587.286179796</v>
      </c>
      <c r="AA35" s="39"/>
      <c r="AB35" s="72">
        <f t="shared" si="4"/>
        <v>0</v>
      </c>
      <c r="AC35" s="72">
        <f t="shared" si="21"/>
        <v>0</v>
      </c>
      <c r="AD35" s="39"/>
      <c r="AE35" s="72">
        <f t="shared" si="5"/>
        <v>0</v>
      </c>
      <c r="AF35" s="72">
        <f t="shared" si="22"/>
        <v>0</v>
      </c>
      <c r="AG35" s="39"/>
      <c r="AH35" s="72">
        <f t="shared" si="6"/>
        <v>190000000</v>
      </c>
      <c r="AI35" s="72">
        <f t="shared" si="23"/>
        <v>102134362.42272198</v>
      </c>
      <c r="AJ35" s="39"/>
      <c r="AK35" s="72">
        <f t="shared" si="7"/>
        <v>1872000000</v>
      </c>
      <c r="AL35" s="72">
        <f t="shared" si="24"/>
        <v>1006292244.5017661</v>
      </c>
      <c r="AM35" s="39"/>
      <c r="AN35" s="72">
        <f t="shared" si="8"/>
        <v>936000000</v>
      </c>
      <c r="AO35" s="72">
        <f t="shared" si="25"/>
        <v>503146122.25088304</v>
      </c>
      <c r="AP35" s="39"/>
      <c r="AQ35" s="72">
        <f t="shared" si="9"/>
        <v>279113800</v>
      </c>
      <c r="AR35" s="72">
        <f t="shared" si="26"/>
        <v>150037421.08622706</v>
      </c>
      <c r="AS35" s="39"/>
      <c r="AT35" s="40">
        <f>IF($K35&lt;=$F$15,IF($F$40&lt;&gt;"",$F$40/1000,IF(ISERROR(VLOOKUP($F$3&amp;IF($G$4&lt;&gt;"",$G$4,"")&amp;IF($F$43&lt;&gt;"","_"&amp;$F$43,""),'表3）燃料価格'!$AF$9:$AG$25,2,0)),0,VLOOKUP($I35,'表3）燃料価格'!$A$6:$U$66,VLOOKUP($F$3&amp;IF($G$4&lt;&gt;"",$G$4,"")&amp;IF($F$43&lt;&gt;"","_"&amp;$F$43,""),'表3）燃料価格'!$AF$9:$AG$25,2,0)+VLOOKUP($F$41,'表3）燃料価格'!$AF$28:$AG$29,2,0),0)*IF($F$43="需要地価格",1,$F$8/$F$141))),"")</f>
        <v>59.776726211386411</v>
      </c>
      <c r="AU35" s="39"/>
      <c r="AV35" s="72">
        <f t="shared" si="10"/>
        <v>15704594968.881773</v>
      </c>
      <c r="AW35" s="72">
        <f t="shared" si="27"/>
        <v>8441993653.9675121</v>
      </c>
      <c r="AX35" s="39"/>
      <c r="AY35" s="40">
        <f>IF(ISERROR(IF($K35&lt;=$F$15,VLOOKUP($I35,'表4）CO2価格'!$A$7:$E$67,VLOOKUP($F$48,'表4）CO2価格'!$H$10:$I$12,2,0),0)*$F$8/1000,"")),0,IF($K35&lt;=$F$15,VLOOKUP($I35,'表4）CO2価格'!$A$7:$E$67,VLOOKUP($F$48,'表4）CO2価格'!$H$10:$I$12,2,0),0)*$F$8/1000,""))</f>
        <v>5.5640000000000001</v>
      </c>
      <c r="AZ35" s="39"/>
      <c r="BA35" s="42">
        <f t="shared" si="11"/>
        <v>3975076638.7199998</v>
      </c>
      <c r="BB35" s="72">
        <f t="shared" si="28"/>
        <v>2136799568.8269682</v>
      </c>
      <c r="BC35" s="39"/>
      <c r="BD35" s="72">
        <f t="shared" si="12"/>
        <v>0</v>
      </c>
      <c r="BE35" s="72">
        <f t="shared" si="29"/>
        <v>0</v>
      </c>
      <c r="BF35" s="39"/>
      <c r="BG35" s="42">
        <f t="shared" si="13"/>
        <v>0</v>
      </c>
      <c r="BH35" s="72">
        <f t="shared" si="30"/>
        <v>0</v>
      </c>
      <c r="BI35" s="39"/>
      <c r="BJ35" s="40" t="str">
        <f t="shared" si="31"/>
        <v/>
      </c>
      <c r="BK35" s="157" t="str">
        <f t="shared" si="32"/>
        <v/>
      </c>
      <c r="BL35" s="157" t="str">
        <f t="shared" si="14"/>
        <v/>
      </c>
      <c r="BM35" s="72"/>
      <c r="BN35" s="72" t="str">
        <f t="shared" si="33"/>
        <v/>
      </c>
      <c r="BO35" s="72" t="str">
        <f t="shared" si="34"/>
        <v/>
      </c>
      <c r="BP35" s="39"/>
      <c r="BQ35" s="72">
        <f t="shared" si="15"/>
        <v>1000742400</v>
      </c>
      <c r="BR35" s="72">
        <f t="shared" si="35"/>
        <v>537948352.49149799</v>
      </c>
    </row>
    <row r="36" spans="3:70" x14ac:dyDescent="0.15">
      <c r="D36" s="81" t="s">
        <v>177</v>
      </c>
      <c r="F36" s="68">
        <v>9.31</v>
      </c>
      <c r="G36" s="81" t="s">
        <v>123</v>
      </c>
      <c r="I36" s="459">
        <f t="shared" si="36"/>
        <v>2041</v>
      </c>
      <c r="J36" s="71"/>
      <c r="K36" s="71">
        <f t="shared" si="37"/>
        <v>22</v>
      </c>
      <c r="L36" s="71"/>
      <c r="M36" s="7">
        <f t="shared" si="0"/>
        <v>0.52189250088258554</v>
      </c>
      <c r="N36" s="71"/>
      <c r="O36" s="10">
        <f t="shared" si="16"/>
        <v>0</v>
      </c>
      <c r="P36" s="29" t="str">
        <f t="shared" si="1"/>
        <v>-</v>
      </c>
      <c r="Q36" s="71"/>
      <c r="R36" s="10">
        <f t="shared" si="17"/>
        <v>5200000000</v>
      </c>
      <c r="S36" s="71"/>
      <c r="T36" s="10">
        <f t="shared" si="18"/>
        <v>5200000000</v>
      </c>
      <c r="U36" s="71"/>
      <c r="V36" s="10">
        <f t="shared" si="2"/>
        <v>0</v>
      </c>
      <c r="W36" s="10">
        <f t="shared" si="19"/>
        <v>0</v>
      </c>
      <c r="X36" s="71"/>
      <c r="Y36" s="10">
        <f t="shared" si="3"/>
        <v>72800000</v>
      </c>
      <c r="Z36" s="10">
        <f t="shared" si="20"/>
        <v>37993774.064252228</v>
      </c>
      <c r="AA36" s="71"/>
      <c r="AB36" s="10">
        <f t="shared" si="4"/>
        <v>0</v>
      </c>
      <c r="AC36" s="10">
        <f t="shared" si="21"/>
        <v>0</v>
      </c>
      <c r="AD36" s="71"/>
      <c r="AE36" s="10">
        <f t="shared" si="5"/>
        <v>0</v>
      </c>
      <c r="AF36" s="10">
        <f t="shared" si="22"/>
        <v>0</v>
      </c>
      <c r="AG36" s="71"/>
      <c r="AH36" s="10">
        <f t="shared" si="6"/>
        <v>190000000</v>
      </c>
      <c r="AI36" s="10">
        <f t="shared" si="23"/>
        <v>99159575.167691246</v>
      </c>
      <c r="AJ36" s="71"/>
      <c r="AK36" s="10">
        <f t="shared" si="7"/>
        <v>1872000000</v>
      </c>
      <c r="AL36" s="10">
        <f t="shared" si="24"/>
        <v>976982761.6522001</v>
      </c>
      <c r="AM36" s="71"/>
      <c r="AN36" s="10">
        <f t="shared" si="8"/>
        <v>936000000</v>
      </c>
      <c r="AO36" s="10">
        <f t="shared" si="25"/>
        <v>488491380.82610005</v>
      </c>
      <c r="AP36" s="71"/>
      <c r="AQ36" s="10">
        <f t="shared" si="9"/>
        <v>279113800</v>
      </c>
      <c r="AR36" s="10">
        <f t="shared" si="26"/>
        <v>145667399.11284181</v>
      </c>
      <c r="AS36" s="71"/>
      <c r="AT36" s="7">
        <f>IF($K36&lt;=$F$15,IF($F$40&lt;&gt;"",$F$40/1000,IF(ISERROR(VLOOKUP($F$3&amp;IF($G$4&lt;&gt;"",$G$4,"")&amp;IF($F$43&lt;&gt;"","_"&amp;$F$43,""),'表3）燃料価格'!$AF$9:$AG$25,2,0)),0,VLOOKUP($I36,'表3）燃料価格'!$A$6:$U$66,VLOOKUP($F$3&amp;IF($G$4&lt;&gt;"",$G$4,"")&amp;IF($F$43&lt;&gt;"","_"&amp;$F$43,""),'表3）燃料価格'!$AF$9:$AG$25,2,0)+VLOOKUP($F$41,'表3）燃料価格'!$AF$28:$AG$29,2,0),0)*IF($F$43="需要地価格",1,$F$8/$F$141))),"")</f>
        <v>60.116801573510507</v>
      </c>
      <c r="AU36" s="71"/>
      <c r="AV36" s="10">
        <f t="shared" si="10"/>
        <v>15783861892.66045</v>
      </c>
      <c r="AW36" s="10">
        <f t="shared" si="27"/>
        <v>8237479156.7459021</v>
      </c>
      <c r="AX36" s="71"/>
      <c r="AY36" s="7">
        <f>IF(ISERROR(IF($K36&lt;=$F$15,VLOOKUP($I36,'表4）CO2価格'!$A$7:$E$67,VLOOKUP($F$48,'表4）CO2価格'!$H$10:$I$12,2,0),0)*$F$8/1000,"")),0,IF($K36&lt;=$F$15,VLOOKUP($I36,'表4）CO2価格'!$A$7:$E$67,VLOOKUP($F$48,'表4）CO2価格'!$H$10:$I$12,2,0),0)*$F$8/1000,""))</f>
        <v>5.6923999999999806</v>
      </c>
      <c r="AZ36" s="71"/>
      <c r="BA36" s="11">
        <f t="shared" si="11"/>
        <v>4066809176.5366015</v>
      </c>
      <c r="BB36" s="10">
        <f t="shared" si="28"/>
        <v>2122437211.7549353</v>
      </c>
      <c r="BC36" s="71"/>
      <c r="BD36" s="10">
        <f t="shared" si="12"/>
        <v>0</v>
      </c>
      <c r="BE36" s="10">
        <f t="shared" si="29"/>
        <v>0</v>
      </c>
      <c r="BF36" s="71"/>
      <c r="BG36" s="11">
        <f t="shared" si="13"/>
        <v>0</v>
      </c>
      <c r="BH36" s="10">
        <f t="shared" si="30"/>
        <v>0</v>
      </c>
      <c r="BJ36" s="7" t="str">
        <f t="shared" si="31"/>
        <v/>
      </c>
      <c r="BK36" s="158" t="str">
        <f t="shared" si="32"/>
        <v/>
      </c>
      <c r="BL36" s="158" t="str">
        <f t="shared" si="14"/>
        <v/>
      </c>
      <c r="BM36" s="10"/>
      <c r="BN36" s="10" t="str">
        <f t="shared" si="33"/>
        <v/>
      </c>
      <c r="BO36" s="10" t="str">
        <f t="shared" si="34"/>
        <v/>
      </c>
      <c r="BQ36" s="10">
        <f t="shared" si="15"/>
        <v>1000742400</v>
      </c>
      <c r="BR36" s="10">
        <f t="shared" si="35"/>
        <v>522279953.8752408</v>
      </c>
    </row>
    <row r="37" spans="3:70" x14ac:dyDescent="0.15">
      <c r="I37" s="458">
        <f t="shared" si="36"/>
        <v>2042</v>
      </c>
      <c r="J37" s="39"/>
      <c r="K37" s="39">
        <f t="shared" si="37"/>
        <v>23</v>
      </c>
      <c r="L37" s="39"/>
      <c r="M37" s="40">
        <f t="shared" si="0"/>
        <v>0.50669174842969467</v>
      </c>
      <c r="N37" s="39"/>
      <c r="O37" s="72">
        <f t="shared" si="16"/>
        <v>0</v>
      </c>
      <c r="P37" s="41" t="str">
        <f t="shared" si="1"/>
        <v>-</v>
      </c>
      <c r="Q37" s="39"/>
      <c r="R37" s="72">
        <f t="shared" si="17"/>
        <v>5200000000</v>
      </c>
      <c r="S37" s="39"/>
      <c r="T37" s="72">
        <f t="shared" si="18"/>
        <v>5200000000</v>
      </c>
      <c r="U37" s="39"/>
      <c r="V37" s="72">
        <f t="shared" si="2"/>
        <v>0</v>
      </c>
      <c r="W37" s="72">
        <f t="shared" si="19"/>
        <v>0</v>
      </c>
      <c r="X37" s="39"/>
      <c r="Y37" s="72">
        <f t="shared" si="3"/>
        <v>72800000</v>
      </c>
      <c r="Z37" s="72">
        <f t="shared" si="20"/>
        <v>36887159.285681769</v>
      </c>
      <c r="AA37" s="39"/>
      <c r="AB37" s="72">
        <f t="shared" si="4"/>
        <v>0</v>
      </c>
      <c r="AC37" s="72">
        <f t="shared" si="21"/>
        <v>0</v>
      </c>
      <c r="AD37" s="39"/>
      <c r="AE37" s="72">
        <f t="shared" si="5"/>
        <v>0</v>
      </c>
      <c r="AF37" s="72">
        <f t="shared" si="22"/>
        <v>0</v>
      </c>
      <c r="AG37" s="39"/>
      <c r="AH37" s="72">
        <f t="shared" si="6"/>
        <v>190000000</v>
      </c>
      <c r="AI37" s="72">
        <f t="shared" si="23"/>
        <v>96271432.201641992</v>
      </c>
      <c r="AJ37" s="39"/>
      <c r="AK37" s="72">
        <f t="shared" si="7"/>
        <v>1872000000</v>
      </c>
      <c r="AL37" s="72">
        <f t="shared" si="24"/>
        <v>948526953.06038845</v>
      </c>
      <c r="AM37" s="39"/>
      <c r="AN37" s="72">
        <f t="shared" si="8"/>
        <v>936000000</v>
      </c>
      <c r="AO37" s="72">
        <f t="shared" si="25"/>
        <v>474263476.53019422</v>
      </c>
      <c r="AP37" s="39"/>
      <c r="AQ37" s="72">
        <f t="shared" si="9"/>
        <v>279113800</v>
      </c>
      <c r="AR37" s="72">
        <f t="shared" si="26"/>
        <v>141424659.33285612</v>
      </c>
      <c r="AS37" s="39"/>
      <c r="AT37" s="40">
        <f>IF($K37&lt;=$F$15,IF($F$40&lt;&gt;"",$F$40/1000,IF(ISERROR(VLOOKUP($F$3&amp;IF($G$4&lt;&gt;"",$G$4,"")&amp;IF($F$43&lt;&gt;"","_"&amp;$F$43,""),'表3）燃料価格'!$AF$9:$AG$25,2,0)),0,VLOOKUP($I37,'表3）燃料価格'!$A$6:$U$66,VLOOKUP($F$3&amp;IF($G$4&lt;&gt;"",$G$4,"")&amp;IF($F$43&lt;&gt;"","_"&amp;$F$43,""),'表3）燃料価格'!$AF$9:$AG$25,2,0)+VLOOKUP($F$41,'表3）燃料価格'!$AF$28:$AG$29,2,0),0)*IF($F$43="需要地価格",1,$F$8/$F$141))),"")</f>
        <v>60.444507781221034</v>
      </c>
      <c r="AU37" s="39"/>
      <c r="AV37" s="72">
        <f t="shared" si="10"/>
        <v>15860245735.424425</v>
      </c>
      <c r="AW37" s="72">
        <f t="shared" si="27"/>
        <v>8036255642.206811</v>
      </c>
      <c r="AX37" s="39"/>
      <c r="AY37" s="40">
        <f>IF(ISERROR(IF($K37&lt;=$F$15,VLOOKUP($I37,'表4）CO2価格'!$A$7:$E$67,VLOOKUP($F$48,'表4）CO2価格'!$H$10:$I$12,2,0),0)*$F$8/1000,"")),0,IF($K37&lt;=$F$15,VLOOKUP($I37,'表4）CO2価格'!$A$7:$E$67,VLOOKUP($F$48,'表4）CO2価格'!$H$10:$I$12,2,0),0)*$F$8/1000,""))</f>
        <v>5.82080000000001</v>
      </c>
      <c r="AZ37" s="39"/>
      <c r="BA37" s="42">
        <f t="shared" si="11"/>
        <v>4158541714.3532376</v>
      </c>
      <c r="BB37" s="72">
        <f t="shared" si="28"/>
        <v>2107098772.1634619</v>
      </c>
      <c r="BC37" s="39"/>
      <c r="BD37" s="72">
        <f t="shared" si="12"/>
        <v>0</v>
      </c>
      <c r="BE37" s="72">
        <f t="shared" si="29"/>
        <v>0</v>
      </c>
      <c r="BF37" s="39"/>
      <c r="BG37" s="42">
        <f t="shared" si="13"/>
        <v>0</v>
      </c>
      <c r="BH37" s="72">
        <f t="shared" si="30"/>
        <v>0</v>
      </c>
      <c r="BI37" s="39"/>
      <c r="BJ37" s="40" t="str">
        <f t="shared" si="31"/>
        <v/>
      </c>
      <c r="BK37" s="157" t="str">
        <f t="shared" si="32"/>
        <v/>
      </c>
      <c r="BL37" s="157" t="str">
        <f t="shared" si="14"/>
        <v/>
      </c>
      <c r="BM37" s="72"/>
      <c r="BN37" s="72" t="str">
        <f t="shared" si="33"/>
        <v/>
      </c>
      <c r="BO37" s="72" t="str">
        <f t="shared" si="34"/>
        <v/>
      </c>
      <c r="BP37" s="39"/>
      <c r="BQ37" s="72">
        <f t="shared" si="15"/>
        <v>1000742400</v>
      </c>
      <c r="BR37" s="72">
        <f t="shared" si="35"/>
        <v>507067916.38372886</v>
      </c>
    </row>
    <row r="38" spans="3:70" x14ac:dyDescent="0.15">
      <c r="C38" s="89" t="s">
        <v>508</v>
      </c>
      <c r="D38" s="101"/>
      <c r="E38" s="101"/>
      <c r="F38" s="89"/>
      <c r="G38" s="101"/>
      <c r="I38" s="459">
        <f t="shared" si="36"/>
        <v>2043</v>
      </c>
      <c r="J38" s="71"/>
      <c r="K38" s="71">
        <f t="shared" si="37"/>
        <v>24</v>
      </c>
      <c r="L38" s="71"/>
      <c r="M38" s="7">
        <f t="shared" si="0"/>
        <v>0.49193373633950943</v>
      </c>
      <c r="N38" s="71"/>
      <c r="O38" s="10">
        <f t="shared" si="16"/>
        <v>0</v>
      </c>
      <c r="P38" s="29" t="str">
        <f t="shared" si="1"/>
        <v>-</v>
      </c>
      <c r="Q38" s="71"/>
      <c r="R38" s="10">
        <f t="shared" si="17"/>
        <v>5200000000</v>
      </c>
      <c r="S38" s="71"/>
      <c r="T38" s="10">
        <f t="shared" si="18"/>
        <v>5200000000</v>
      </c>
      <c r="U38" s="71"/>
      <c r="V38" s="10">
        <f t="shared" si="2"/>
        <v>0</v>
      </c>
      <c r="W38" s="10">
        <f t="shared" si="19"/>
        <v>0</v>
      </c>
      <c r="X38" s="71"/>
      <c r="Y38" s="10">
        <f t="shared" si="3"/>
        <v>72800000</v>
      </c>
      <c r="Z38" s="10">
        <f t="shared" si="20"/>
        <v>35812776.005516283</v>
      </c>
      <c r="AA38" s="71"/>
      <c r="AB38" s="10">
        <f t="shared" si="4"/>
        <v>0</v>
      </c>
      <c r="AC38" s="10">
        <f t="shared" si="21"/>
        <v>0</v>
      </c>
      <c r="AD38" s="71"/>
      <c r="AE38" s="10">
        <f t="shared" si="5"/>
        <v>0</v>
      </c>
      <c r="AF38" s="10">
        <f t="shared" si="22"/>
        <v>0</v>
      </c>
      <c r="AG38" s="71"/>
      <c r="AH38" s="10">
        <f t="shared" si="6"/>
        <v>190000000</v>
      </c>
      <c r="AI38" s="10">
        <f t="shared" si="23"/>
        <v>93467409.904506788</v>
      </c>
      <c r="AJ38" s="71"/>
      <c r="AK38" s="10">
        <f t="shared" si="7"/>
        <v>1872000000</v>
      </c>
      <c r="AL38" s="10">
        <f t="shared" si="24"/>
        <v>920899954.42756164</v>
      </c>
      <c r="AM38" s="71"/>
      <c r="AN38" s="10">
        <f t="shared" si="8"/>
        <v>936000000</v>
      </c>
      <c r="AO38" s="10">
        <f t="shared" si="25"/>
        <v>460449977.21378082</v>
      </c>
      <c r="AP38" s="71"/>
      <c r="AQ38" s="10">
        <f t="shared" si="9"/>
        <v>279113800</v>
      </c>
      <c r="AR38" s="10">
        <f t="shared" si="26"/>
        <v>137305494.49791858</v>
      </c>
      <c r="AS38" s="71"/>
      <c r="AT38" s="7">
        <f>IF($K38&lt;=$F$15,IF($F$40&lt;&gt;"",$F$40/1000,IF(ISERROR(VLOOKUP($F$3&amp;IF($G$4&lt;&gt;"",$G$4,"")&amp;IF($F$43&lt;&gt;"","_"&amp;$F$43,""),'表3）燃料価格'!$AF$9:$AG$25,2,0)),0,VLOOKUP($I38,'表3）燃料価格'!$A$6:$U$66,VLOOKUP($F$3&amp;IF($G$4&lt;&gt;"",$G$4,"")&amp;IF($F$43&lt;&gt;"","_"&amp;$F$43,""),'表3）燃料価格'!$AF$9:$AG$25,2,0)+VLOOKUP($F$41,'表3）燃料価格'!$AF$28:$AG$29,2,0),0)*IF($F$43="需要地価格",1,$F$8/$F$141))),"")</f>
        <v>60.760713122564496</v>
      </c>
      <c r="AU38" s="71"/>
      <c r="AV38" s="10">
        <f t="shared" si="10"/>
        <v>15933948883.262392</v>
      </c>
      <c r="AW38" s="10">
        <f t="shared" si="27"/>
        <v>7838447008.7860222</v>
      </c>
      <c r="AX38" s="71"/>
      <c r="AY38" s="7">
        <f>IF(ISERROR(IF($K38&lt;=$F$15,VLOOKUP($I38,'表4）CO2価格'!$A$7:$E$67,VLOOKUP($F$48,'表4）CO2価格'!$H$10:$I$12,2,0),0)*$F$8/1000,"")),0,IF($K38&lt;=$F$15,VLOOKUP($I38,'表4）CO2価格'!$A$7:$E$67,VLOOKUP($F$48,'表4）CO2価格'!$H$10:$I$12,2,0),0)*$F$8/1000,""))</f>
        <v>5.9491999999999896</v>
      </c>
      <c r="AZ38" s="71"/>
      <c r="BA38" s="11">
        <f t="shared" si="11"/>
        <v>4250274252.1698384</v>
      </c>
      <c r="BB38" s="10">
        <f t="shared" si="28"/>
        <v>2090853293.337523</v>
      </c>
      <c r="BC38" s="71"/>
      <c r="BD38" s="10">
        <f t="shared" si="12"/>
        <v>0</v>
      </c>
      <c r="BE38" s="10">
        <f t="shared" si="29"/>
        <v>0</v>
      </c>
      <c r="BF38" s="71"/>
      <c r="BG38" s="11">
        <f t="shared" si="13"/>
        <v>0</v>
      </c>
      <c r="BH38" s="10">
        <f t="shared" si="30"/>
        <v>0</v>
      </c>
      <c r="BJ38" s="7" t="str">
        <f t="shared" si="31"/>
        <v/>
      </c>
      <c r="BK38" s="158" t="str">
        <f t="shared" si="32"/>
        <v/>
      </c>
      <c r="BL38" s="158" t="str">
        <f t="shared" si="14"/>
        <v/>
      </c>
      <c r="BM38" s="10"/>
      <c r="BN38" s="10" t="str">
        <f t="shared" si="33"/>
        <v/>
      </c>
      <c r="BO38" s="10" t="str">
        <f t="shared" si="34"/>
        <v/>
      </c>
      <c r="BQ38" s="10">
        <f t="shared" si="15"/>
        <v>1000742400</v>
      </c>
      <c r="BR38" s="10">
        <f t="shared" si="35"/>
        <v>492298947.94536787</v>
      </c>
    </row>
    <row r="39" spans="3:70" x14ac:dyDescent="0.15">
      <c r="I39" s="458">
        <f t="shared" si="36"/>
        <v>2044</v>
      </c>
      <c r="J39" s="39"/>
      <c r="K39" s="39">
        <f t="shared" si="37"/>
        <v>25</v>
      </c>
      <c r="L39" s="39"/>
      <c r="M39" s="40">
        <f t="shared" si="0"/>
        <v>0.47760556926165965</v>
      </c>
      <c r="N39" s="39"/>
      <c r="O39" s="72">
        <f t="shared" si="16"/>
        <v>0</v>
      </c>
      <c r="P39" s="41" t="str">
        <f t="shared" si="1"/>
        <v>-</v>
      </c>
      <c r="Q39" s="39"/>
      <c r="R39" s="72">
        <f t="shared" si="17"/>
        <v>5200000000</v>
      </c>
      <c r="S39" s="39"/>
      <c r="T39" s="72">
        <f t="shared" si="18"/>
        <v>5200000000</v>
      </c>
      <c r="U39" s="39"/>
      <c r="V39" s="72">
        <f t="shared" si="2"/>
        <v>0</v>
      </c>
      <c r="W39" s="72">
        <f t="shared" si="19"/>
        <v>0</v>
      </c>
      <c r="X39" s="39"/>
      <c r="Y39" s="72">
        <f t="shared" si="3"/>
        <v>72800000</v>
      </c>
      <c r="Z39" s="72">
        <f t="shared" si="20"/>
        <v>34769685.442248821</v>
      </c>
      <c r="AA39" s="39"/>
      <c r="AB39" s="72">
        <f t="shared" si="4"/>
        <v>0</v>
      </c>
      <c r="AC39" s="72">
        <f t="shared" si="21"/>
        <v>0</v>
      </c>
      <c r="AD39" s="39"/>
      <c r="AE39" s="72">
        <f t="shared" si="5"/>
        <v>0</v>
      </c>
      <c r="AF39" s="72">
        <f t="shared" si="22"/>
        <v>0</v>
      </c>
      <c r="AG39" s="39"/>
      <c r="AH39" s="72">
        <f t="shared" si="6"/>
        <v>190000000</v>
      </c>
      <c r="AI39" s="72">
        <f t="shared" si="23"/>
        <v>90745058.15971534</v>
      </c>
      <c r="AJ39" s="39"/>
      <c r="AK39" s="72">
        <f t="shared" si="7"/>
        <v>1872000000</v>
      </c>
      <c r="AL39" s="72">
        <f t="shared" si="24"/>
        <v>894077625.6578269</v>
      </c>
      <c r="AM39" s="39"/>
      <c r="AN39" s="72">
        <f t="shared" si="8"/>
        <v>936000000</v>
      </c>
      <c r="AO39" s="72">
        <f t="shared" si="25"/>
        <v>447038812.82891345</v>
      </c>
      <c r="AP39" s="39"/>
      <c r="AQ39" s="72">
        <f t="shared" si="9"/>
        <v>279113800</v>
      </c>
      <c r="AR39" s="72">
        <f t="shared" si="26"/>
        <v>133306305.33778502</v>
      </c>
      <c r="AS39" s="39"/>
      <c r="AT39" s="40">
        <f>IF($K39&lt;=$F$15,IF($F$40&lt;&gt;"",$F$40/1000,IF(ISERROR(VLOOKUP($F$3&amp;IF($G$4&lt;&gt;"",$G$4,"")&amp;IF($F$43&lt;&gt;"","_"&amp;$F$43,""),'表3）燃料価格'!$AF$9:$AG$25,2,0)),0,VLOOKUP($I39,'表3）燃料価格'!$A$6:$U$66,VLOOKUP($F$3&amp;IF($G$4&lt;&gt;"",$G$4,"")&amp;IF($F$43&lt;&gt;"","_"&amp;$F$43,""),'表3）燃料価格'!$AF$9:$AG$25,2,0)+VLOOKUP($F$41,'表3）燃料価格'!$AF$28:$AG$29,2,0),0)*IF($F$43="需要地価格",1,$F$8/$F$141))),"")</f>
        <v>61.066197549406688</v>
      </c>
      <c r="AU39" s="39"/>
      <c r="AV39" s="72">
        <f t="shared" si="10"/>
        <v>16005153132.305395</v>
      </c>
      <c r="AW39" s="72">
        <f t="shared" si="27"/>
        <v>7644150272.874753</v>
      </c>
      <c r="AX39" s="39"/>
      <c r="AY39" s="40">
        <f>IF(ISERROR(IF($K39&lt;=$F$15,VLOOKUP($I39,'表4）CO2価格'!$A$7:$E$67,VLOOKUP($F$48,'表4）CO2価格'!$H$10:$I$12,2,0),0)*$F$8/1000,"")),0,IF($K39&lt;=$F$15,VLOOKUP($I39,'表4）CO2価格'!$A$7:$E$67,VLOOKUP($F$48,'表4）CO2価格'!$H$10:$I$12,2,0),0)*$F$8/1000,""))</f>
        <v>6.077599999999971</v>
      </c>
      <c r="AZ39" s="39"/>
      <c r="BA39" s="42">
        <f t="shared" si="11"/>
        <v>4342006789.9864407</v>
      </c>
      <c r="BB39" s="72">
        <f t="shared" si="28"/>
        <v>2073766624.6694655</v>
      </c>
      <c r="BC39" s="39"/>
      <c r="BD39" s="72">
        <f t="shared" si="12"/>
        <v>0</v>
      </c>
      <c r="BE39" s="72">
        <f t="shared" si="29"/>
        <v>0</v>
      </c>
      <c r="BF39" s="39"/>
      <c r="BG39" s="42">
        <f t="shared" si="13"/>
        <v>0</v>
      </c>
      <c r="BH39" s="72">
        <f t="shared" si="30"/>
        <v>0</v>
      </c>
      <c r="BI39" s="39"/>
      <c r="BJ39" s="40" t="str">
        <f t="shared" si="31"/>
        <v/>
      </c>
      <c r="BK39" s="157" t="str">
        <f t="shared" si="32"/>
        <v/>
      </c>
      <c r="BL39" s="157" t="str">
        <f t="shared" si="14"/>
        <v/>
      </c>
      <c r="BM39" s="72"/>
      <c r="BN39" s="72" t="str">
        <f t="shared" si="33"/>
        <v/>
      </c>
      <c r="BO39" s="72" t="str">
        <f t="shared" si="34"/>
        <v/>
      </c>
      <c r="BP39" s="39"/>
      <c r="BQ39" s="72">
        <f t="shared" si="15"/>
        <v>1000742400</v>
      </c>
      <c r="BR39" s="72">
        <f t="shared" si="35"/>
        <v>477960143.63627952</v>
      </c>
    </row>
    <row r="40" spans="3:70" x14ac:dyDescent="0.15">
      <c r="D40" s="81" t="s">
        <v>124</v>
      </c>
      <c r="F40" s="108"/>
      <c r="G40" s="82" t="s">
        <v>178</v>
      </c>
      <c r="I40" s="459">
        <f t="shared" si="36"/>
        <v>2045</v>
      </c>
      <c r="J40" s="71"/>
      <c r="K40" s="71">
        <f t="shared" si="37"/>
        <v>26</v>
      </c>
      <c r="L40" s="71"/>
      <c r="M40" s="7">
        <f t="shared" si="0"/>
        <v>0.46369472743850448</v>
      </c>
      <c r="N40" s="71"/>
      <c r="O40" s="10">
        <f t="shared" si="16"/>
        <v>0</v>
      </c>
      <c r="P40" s="29" t="str">
        <f t="shared" si="1"/>
        <v>-</v>
      </c>
      <c r="Q40" s="71"/>
      <c r="R40" s="10">
        <f t="shared" si="17"/>
        <v>5200000000</v>
      </c>
      <c r="S40" s="71"/>
      <c r="T40" s="10">
        <f t="shared" si="18"/>
        <v>5200000000</v>
      </c>
      <c r="U40" s="71"/>
      <c r="V40" s="10">
        <f t="shared" si="2"/>
        <v>0</v>
      </c>
      <c r="W40" s="10">
        <f t="shared" si="19"/>
        <v>0</v>
      </c>
      <c r="X40" s="71"/>
      <c r="Y40" s="10">
        <f t="shared" si="3"/>
        <v>72800000</v>
      </c>
      <c r="Z40" s="10">
        <f t="shared" si="20"/>
        <v>33756976.157523125</v>
      </c>
      <c r="AA40" s="71"/>
      <c r="AB40" s="10">
        <f t="shared" si="4"/>
        <v>0</v>
      </c>
      <c r="AC40" s="10">
        <f t="shared" si="21"/>
        <v>0</v>
      </c>
      <c r="AD40" s="71"/>
      <c r="AE40" s="10">
        <f t="shared" si="5"/>
        <v>0</v>
      </c>
      <c r="AF40" s="10">
        <f t="shared" si="22"/>
        <v>0</v>
      </c>
      <c r="AG40" s="71"/>
      <c r="AH40" s="10">
        <f t="shared" si="6"/>
        <v>190000000</v>
      </c>
      <c r="AI40" s="10">
        <f t="shared" si="23"/>
        <v>88101998.213315845</v>
      </c>
      <c r="AJ40" s="71"/>
      <c r="AK40" s="10">
        <f t="shared" si="7"/>
        <v>1872000000</v>
      </c>
      <c r="AL40" s="10">
        <f t="shared" si="24"/>
        <v>868036529.76488042</v>
      </c>
      <c r="AM40" s="71"/>
      <c r="AN40" s="10">
        <f t="shared" si="8"/>
        <v>936000000</v>
      </c>
      <c r="AO40" s="10">
        <f t="shared" si="25"/>
        <v>434018264.88244021</v>
      </c>
      <c r="AP40" s="71"/>
      <c r="AQ40" s="10">
        <f t="shared" si="9"/>
        <v>279113800</v>
      </c>
      <c r="AR40" s="10">
        <f t="shared" si="26"/>
        <v>129423597.41532525</v>
      </c>
      <c r="AS40" s="71"/>
      <c r="AT40" s="7">
        <f>IF($K40&lt;=$F$15,IF($F$40&lt;&gt;"",$F$40/1000,IF(ISERROR(VLOOKUP($F$3&amp;IF($G$4&lt;&gt;"",$G$4,"")&amp;IF($F$43&lt;&gt;"","_"&amp;$F$43,""),'表3）燃料価格'!$AF$9:$AG$25,2,0)),0,VLOOKUP($I40,'表3）燃料価格'!$A$6:$U$66,VLOOKUP($F$3&amp;IF($G$4&lt;&gt;"",$G$4,"")&amp;IF($F$43&lt;&gt;"","_"&amp;$F$43,""),'表3）燃料価格'!$AF$9:$AG$25,2,0)+VLOOKUP($F$41,'表3）燃料価格'!$AF$28:$AG$29,2,0),0)*IF($F$43="需要地価格",1,$F$8/$F$141))),"")</f>
        <v>61.361664268073817</v>
      </c>
      <c r="AU40" s="71"/>
      <c r="AV40" s="10">
        <f t="shared" si="10"/>
        <v>16074022390.347017</v>
      </c>
      <c r="AW40" s="10">
        <f t="shared" si="27"/>
        <v>7453439431.1323786</v>
      </c>
      <c r="AX40" s="71"/>
      <c r="AY40" s="7">
        <f>IF(ISERROR(IF($K40&lt;=$F$15,VLOOKUP($I40,'表4）CO2価格'!$A$7:$E$67,VLOOKUP($F$48,'表4）CO2価格'!$H$10:$I$12,2,0),0)*$F$8/1000,"")),0,IF($K40&lt;=$F$15,VLOOKUP($I40,'表4）CO2価格'!$A$7:$E$67,VLOOKUP($F$48,'表4）CO2価格'!$H$10:$I$12,2,0),0)*$F$8/1000,""))</f>
        <v>6.2060000000000004</v>
      </c>
      <c r="AZ40" s="71"/>
      <c r="BA40" s="11">
        <f t="shared" si="11"/>
        <v>4433739327.8030767</v>
      </c>
      <c r="BB40" s="10">
        <f t="shared" si="28"/>
        <v>2055901549.1390257</v>
      </c>
      <c r="BC40" s="71"/>
      <c r="BD40" s="10">
        <f t="shared" si="12"/>
        <v>0</v>
      </c>
      <c r="BE40" s="10">
        <f t="shared" si="29"/>
        <v>0</v>
      </c>
      <c r="BF40" s="71"/>
      <c r="BG40" s="11">
        <f t="shared" si="13"/>
        <v>0</v>
      </c>
      <c r="BH40" s="10">
        <f t="shared" si="30"/>
        <v>0</v>
      </c>
      <c r="BJ40" s="7" t="str">
        <f t="shared" si="31"/>
        <v/>
      </c>
      <c r="BK40" s="158" t="str">
        <f t="shared" si="32"/>
        <v/>
      </c>
      <c r="BL40" s="158" t="str">
        <f t="shared" si="14"/>
        <v/>
      </c>
      <c r="BM40" s="10"/>
      <c r="BN40" s="10" t="str">
        <f t="shared" si="33"/>
        <v/>
      </c>
      <c r="BO40" s="10" t="str">
        <f t="shared" si="34"/>
        <v/>
      </c>
      <c r="BQ40" s="10">
        <f t="shared" si="15"/>
        <v>1000742400</v>
      </c>
      <c r="BR40" s="10">
        <f t="shared" si="35"/>
        <v>464038974.40415484</v>
      </c>
    </row>
    <row r="41" spans="3:70" x14ac:dyDescent="0.15">
      <c r="D41" s="81" t="s">
        <v>179</v>
      </c>
      <c r="F41" s="88" t="str">
        <f>まとめ!B4</f>
        <v>WEO2020　STEPS</v>
      </c>
      <c r="I41" s="458">
        <f t="shared" si="36"/>
        <v>2046</v>
      </c>
      <c r="J41" s="39"/>
      <c r="K41" s="39">
        <f t="shared" si="37"/>
        <v>27</v>
      </c>
      <c r="L41" s="39"/>
      <c r="M41" s="40">
        <f t="shared" si="0"/>
        <v>0.45018905576553836</v>
      </c>
      <c r="N41" s="39"/>
      <c r="O41" s="72">
        <f t="shared" si="16"/>
        <v>0</v>
      </c>
      <c r="P41" s="41" t="str">
        <f t="shared" si="1"/>
        <v>-</v>
      </c>
      <c r="Q41" s="39"/>
      <c r="R41" s="72">
        <f t="shared" si="17"/>
        <v>5200000000</v>
      </c>
      <c r="S41" s="39"/>
      <c r="T41" s="72">
        <f t="shared" si="18"/>
        <v>5200000000</v>
      </c>
      <c r="U41" s="39"/>
      <c r="V41" s="72">
        <f t="shared" si="2"/>
        <v>0</v>
      </c>
      <c r="W41" s="72">
        <f t="shared" si="19"/>
        <v>0</v>
      </c>
      <c r="X41" s="39"/>
      <c r="Y41" s="72">
        <f t="shared" si="3"/>
        <v>72800000</v>
      </c>
      <c r="Z41" s="72">
        <f t="shared" si="20"/>
        <v>32773763.259731192</v>
      </c>
      <c r="AA41" s="39"/>
      <c r="AB41" s="72">
        <f t="shared" si="4"/>
        <v>0</v>
      </c>
      <c r="AC41" s="72">
        <f t="shared" si="21"/>
        <v>0</v>
      </c>
      <c r="AD41" s="39"/>
      <c r="AE41" s="72">
        <f t="shared" si="5"/>
        <v>0</v>
      </c>
      <c r="AF41" s="72">
        <f t="shared" si="22"/>
        <v>0</v>
      </c>
      <c r="AG41" s="39"/>
      <c r="AH41" s="72">
        <f t="shared" si="6"/>
        <v>190000000</v>
      </c>
      <c r="AI41" s="72">
        <f t="shared" si="23"/>
        <v>85535920.595452294</v>
      </c>
      <c r="AJ41" s="39"/>
      <c r="AK41" s="72">
        <f t="shared" si="7"/>
        <v>1872000000</v>
      </c>
      <c r="AL41" s="72">
        <f t="shared" si="24"/>
        <v>842753912.39308786</v>
      </c>
      <c r="AM41" s="39"/>
      <c r="AN41" s="72">
        <f t="shared" si="8"/>
        <v>936000000</v>
      </c>
      <c r="AO41" s="72">
        <f t="shared" si="25"/>
        <v>421376956.19654393</v>
      </c>
      <c r="AP41" s="39"/>
      <c r="AQ41" s="72">
        <f t="shared" si="9"/>
        <v>279113800</v>
      </c>
      <c r="AR41" s="72">
        <f t="shared" si="26"/>
        <v>125653978.07313132</v>
      </c>
      <c r="AS41" s="39"/>
      <c r="AT41" s="40">
        <f>IF($K41&lt;=$F$15,IF($F$40&lt;&gt;"",$F$40/1000,IF(ISERROR(VLOOKUP($F$3&amp;IF($G$4&lt;&gt;"",$G$4,"")&amp;IF($F$43&lt;&gt;"","_"&amp;$F$43,""),'表3）燃料価格'!$AF$9:$AG$25,2,0)),0,VLOOKUP($I41,'表3）燃料価格'!$A$6:$U$66,VLOOKUP($F$3&amp;IF($G$4&lt;&gt;"",$G$4,"")&amp;IF($F$43&lt;&gt;"","_"&amp;$F$43,""),'表3）燃料価格'!$AF$9:$AG$25,2,0)+VLOOKUP($F$41,'表3）燃料価格'!$AF$28:$AG$29,2,0),0)*IF($F$43="需要地価格",1,$F$8/$F$141))),"")</f>
        <v>61.647749489198752</v>
      </c>
      <c r="AU41" s="39"/>
      <c r="AV41" s="72">
        <f t="shared" si="10"/>
        <v>16140704949.399446</v>
      </c>
      <c r="AW41" s="72">
        <f t="shared" si="27"/>
        <v>7266368720.5602884</v>
      </c>
      <c r="AX41" s="39"/>
      <c r="AY41" s="40">
        <f>IF(ISERROR(IF($K41&lt;=$F$15,VLOOKUP($I41,'表4）CO2価格'!$A$7:$E$67,VLOOKUP($F$48,'表4）CO2価格'!$H$10:$I$12,2,0),0)*$F$8/1000,"")),0,IF($K41&lt;=$F$15,VLOOKUP($I41,'表4）CO2価格'!$A$7:$E$67,VLOOKUP($F$48,'表4）CO2価格'!$H$10:$I$12,2,0),0)*$F$8/1000,""))</f>
        <v>6.3343999999999809</v>
      </c>
      <c r="AZ41" s="39"/>
      <c r="BA41" s="42">
        <f t="shared" si="11"/>
        <v>4525471865.6196785</v>
      </c>
      <c r="BB41" s="72">
        <f t="shared" si="28"/>
        <v>2037317906.0768323</v>
      </c>
      <c r="BC41" s="39"/>
      <c r="BD41" s="72">
        <f t="shared" si="12"/>
        <v>0</v>
      </c>
      <c r="BE41" s="72">
        <f t="shared" si="29"/>
        <v>0</v>
      </c>
      <c r="BF41" s="39"/>
      <c r="BG41" s="42">
        <f t="shared" si="13"/>
        <v>0</v>
      </c>
      <c r="BH41" s="72">
        <f t="shared" si="30"/>
        <v>0</v>
      </c>
      <c r="BI41" s="39"/>
      <c r="BJ41" s="40" t="str">
        <f t="shared" si="31"/>
        <v/>
      </c>
      <c r="BK41" s="157" t="str">
        <f t="shared" si="32"/>
        <v/>
      </c>
      <c r="BL41" s="157" t="str">
        <f t="shared" si="14"/>
        <v/>
      </c>
      <c r="BM41" s="72"/>
      <c r="BN41" s="72" t="str">
        <f t="shared" si="33"/>
        <v/>
      </c>
      <c r="BO41" s="72" t="str">
        <f t="shared" si="34"/>
        <v/>
      </c>
      <c r="BP41" s="39"/>
      <c r="BQ41" s="72">
        <f t="shared" si="15"/>
        <v>1000742400</v>
      </c>
      <c r="BR41" s="72">
        <f t="shared" si="35"/>
        <v>450523276.12053871</v>
      </c>
    </row>
    <row r="42" spans="3:70" x14ac:dyDescent="0.15">
      <c r="D42" s="81" t="s">
        <v>180</v>
      </c>
      <c r="F42" s="59">
        <v>7600</v>
      </c>
      <c r="G42" s="81" t="s">
        <v>181</v>
      </c>
      <c r="I42" s="459">
        <f t="shared" si="36"/>
        <v>2047</v>
      </c>
      <c r="J42" s="71"/>
      <c r="K42" s="71">
        <f t="shared" si="37"/>
        <v>28</v>
      </c>
      <c r="L42" s="71"/>
      <c r="M42" s="7">
        <f t="shared" si="0"/>
        <v>0.4370767531704256</v>
      </c>
      <c r="N42" s="71"/>
      <c r="O42" s="10">
        <f t="shared" si="16"/>
        <v>0</v>
      </c>
      <c r="P42" s="29" t="str">
        <f t="shared" si="1"/>
        <v>-</v>
      </c>
      <c r="Q42" s="71"/>
      <c r="R42" s="10">
        <f t="shared" si="17"/>
        <v>5200000000</v>
      </c>
      <c r="S42" s="71"/>
      <c r="T42" s="10">
        <f t="shared" si="18"/>
        <v>5200000000</v>
      </c>
      <c r="U42" s="71"/>
      <c r="V42" s="10">
        <f t="shared" si="2"/>
        <v>0</v>
      </c>
      <c r="W42" s="10">
        <f t="shared" si="19"/>
        <v>0</v>
      </c>
      <c r="X42" s="71"/>
      <c r="Y42" s="10">
        <f t="shared" si="3"/>
        <v>72800000</v>
      </c>
      <c r="Z42" s="10">
        <f t="shared" si="20"/>
        <v>31819187.630806983</v>
      </c>
      <c r="AA42" s="71"/>
      <c r="AB42" s="10">
        <f t="shared" si="4"/>
        <v>0</v>
      </c>
      <c r="AC42" s="10">
        <f t="shared" si="21"/>
        <v>0</v>
      </c>
      <c r="AD42" s="71"/>
      <c r="AE42" s="10">
        <f t="shared" si="5"/>
        <v>0</v>
      </c>
      <c r="AF42" s="10">
        <f t="shared" si="22"/>
        <v>0</v>
      </c>
      <c r="AG42" s="71"/>
      <c r="AH42" s="10">
        <f t="shared" si="6"/>
        <v>190000000</v>
      </c>
      <c r="AI42" s="10">
        <f t="shared" si="23"/>
        <v>83044583.102380872</v>
      </c>
      <c r="AJ42" s="71"/>
      <c r="AK42" s="10">
        <f t="shared" si="7"/>
        <v>1872000000</v>
      </c>
      <c r="AL42" s="10">
        <f t="shared" si="24"/>
        <v>818207681.93503678</v>
      </c>
      <c r="AM42" s="71"/>
      <c r="AN42" s="10">
        <f t="shared" si="8"/>
        <v>936000000</v>
      </c>
      <c r="AO42" s="10">
        <f t="shared" si="25"/>
        <v>409103840.96751839</v>
      </c>
      <c r="AP42" s="71"/>
      <c r="AQ42" s="10">
        <f t="shared" si="9"/>
        <v>279113800</v>
      </c>
      <c r="AR42" s="10">
        <f t="shared" si="26"/>
        <v>121994153.46905954</v>
      </c>
      <c r="AS42" s="71"/>
      <c r="AT42" s="7">
        <f>IF($K42&lt;=$F$15,IF($F$40&lt;&gt;"",$F$40/1000,IF(ISERROR(VLOOKUP($F$3&amp;IF($G$4&lt;&gt;"",$G$4,"")&amp;IF($F$43&lt;&gt;"","_"&amp;$F$43,""),'表3）燃料価格'!$AF$9:$AG$25,2,0)),0,VLOOKUP($I42,'表3）燃料価格'!$A$6:$U$66,VLOOKUP($F$3&amp;IF($G$4&lt;&gt;"",$G$4,"")&amp;IF($F$43&lt;&gt;"","_"&amp;$F$43,""),'表3）燃料価格'!$AF$9:$AG$25,2,0)+VLOOKUP($F$41,'表3）燃料価格'!$AF$28:$AG$29,2,0),0)*IF($F$43="需要地価格",1,$F$8/$F$141))),"")</f>
        <v>61.925030676818828</v>
      </c>
      <c r="AU42" s="71"/>
      <c r="AV42" s="10">
        <f t="shared" si="10"/>
        <v>16205335408.445524</v>
      </c>
      <c r="AW42" s="10">
        <f t="shared" si="27"/>
        <v>7082975384.3611021</v>
      </c>
      <c r="AX42" s="71"/>
      <c r="AY42" s="7">
        <f>IF(ISERROR(IF($K42&lt;=$F$15,VLOOKUP($I42,'表4）CO2価格'!$A$7:$E$67,VLOOKUP($F$48,'表4）CO2価格'!$H$10:$I$12,2,0),0)*$F$8/1000,"")),0,IF($K42&lt;=$F$15,VLOOKUP($I42,'表4）CO2価格'!$A$7:$E$67,VLOOKUP($F$48,'表4）CO2価格'!$H$10:$I$12,2,0),0)*$F$8/1000,""))</f>
        <v>6.4628000000000103</v>
      </c>
      <c r="AZ42" s="71"/>
      <c r="BA42" s="11">
        <f t="shared" si="11"/>
        <v>4617204403.4363146</v>
      </c>
      <c r="BB42" s="10">
        <f t="shared" si="28"/>
        <v>2018072709.3781362</v>
      </c>
      <c r="BC42" s="71"/>
      <c r="BD42" s="10">
        <f t="shared" si="12"/>
        <v>0</v>
      </c>
      <c r="BE42" s="10">
        <f t="shared" si="29"/>
        <v>0</v>
      </c>
      <c r="BF42" s="71"/>
      <c r="BG42" s="11">
        <f t="shared" si="13"/>
        <v>0</v>
      </c>
      <c r="BH42" s="10">
        <f t="shared" si="30"/>
        <v>0</v>
      </c>
      <c r="BJ42" s="7" t="str">
        <f t="shared" si="31"/>
        <v/>
      </c>
      <c r="BK42" s="158" t="str">
        <f t="shared" si="32"/>
        <v/>
      </c>
      <c r="BL42" s="158" t="str">
        <f t="shared" si="14"/>
        <v/>
      </c>
      <c r="BM42" s="10"/>
      <c r="BN42" s="10" t="str">
        <f t="shared" si="33"/>
        <v/>
      </c>
      <c r="BO42" s="10" t="str">
        <f t="shared" si="34"/>
        <v/>
      </c>
      <c r="BQ42" s="10">
        <f t="shared" si="15"/>
        <v>1000742400</v>
      </c>
      <c r="BR42" s="10">
        <f t="shared" si="35"/>
        <v>437401238.95197934</v>
      </c>
    </row>
    <row r="43" spans="3:70" x14ac:dyDescent="0.15">
      <c r="D43" s="82" t="s">
        <v>126</v>
      </c>
      <c r="F43" s="88"/>
      <c r="I43" s="458">
        <f t="shared" si="36"/>
        <v>2048</v>
      </c>
      <c r="J43" s="39"/>
      <c r="K43" s="39">
        <f t="shared" si="37"/>
        <v>29</v>
      </c>
      <c r="L43" s="39"/>
      <c r="M43" s="40">
        <f t="shared" si="0"/>
        <v>0.42434636230138412</v>
      </c>
      <c r="N43" s="39"/>
      <c r="O43" s="72">
        <f t="shared" si="16"/>
        <v>0</v>
      </c>
      <c r="P43" s="41" t="str">
        <f t="shared" si="1"/>
        <v>-</v>
      </c>
      <c r="Q43" s="39"/>
      <c r="R43" s="72">
        <f t="shared" si="17"/>
        <v>5200000000</v>
      </c>
      <c r="S43" s="39"/>
      <c r="T43" s="72">
        <f t="shared" si="18"/>
        <v>5200000000</v>
      </c>
      <c r="U43" s="39"/>
      <c r="V43" s="72">
        <f t="shared" si="2"/>
        <v>0</v>
      </c>
      <c r="W43" s="72">
        <f t="shared" si="19"/>
        <v>0</v>
      </c>
      <c r="X43" s="39"/>
      <c r="Y43" s="72">
        <f t="shared" si="3"/>
        <v>72800000</v>
      </c>
      <c r="Z43" s="72">
        <f t="shared" si="20"/>
        <v>30892415.175540764</v>
      </c>
      <c r="AA43" s="39"/>
      <c r="AB43" s="72">
        <f t="shared" si="4"/>
        <v>0</v>
      </c>
      <c r="AC43" s="72">
        <f t="shared" si="21"/>
        <v>0</v>
      </c>
      <c r="AD43" s="39"/>
      <c r="AE43" s="72">
        <f t="shared" si="5"/>
        <v>0</v>
      </c>
      <c r="AF43" s="72">
        <f t="shared" si="22"/>
        <v>0</v>
      </c>
      <c r="AG43" s="39"/>
      <c r="AH43" s="72">
        <f t="shared" si="6"/>
        <v>190000000</v>
      </c>
      <c r="AI43" s="72">
        <f t="shared" si="23"/>
        <v>80625808.837262988</v>
      </c>
      <c r="AJ43" s="39"/>
      <c r="AK43" s="72">
        <f t="shared" si="7"/>
        <v>1872000000</v>
      </c>
      <c r="AL43" s="72">
        <f t="shared" si="24"/>
        <v>794376390.22819102</v>
      </c>
      <c r="AM43" s="39"/>
      <c r="AN43" s="72">
        <f t="shared" si="8"/>
        <v>936000000</v>
      </c>
      <c r="AO43" s="72">
        <f t="shared" si="25"/>
        <v>397188195.11409551</v>
      </c>
      <c r="AP43" s="39"/>
      <c r="AQ43" s="72">
        <f t="shared" si="9"/>
        <v>279113800</v>
      </c>
      <c r="AR43" s="72">
        <f t="shared" si="26"/>
        <v>118440925.69811606</v>
      </c>
      <c r="AS43" s="39"/>
      <c r="AT43" s="40">
        <f>IF($K43&lt;=$F$15,IF($F$40&lt;&gt;"",$F$40/1000,IF(ISERROR(VLOOKUP($F$3&amp;IF($G$4&lt;&gt;"",$G$4,"")&amp;IF($F$43&lt;&gt;"","_"&amp;$F$43,""),'表3）燃料価格'!$AF$9:$AG$25,2,0)),0,VLOOKUP($I43,'表3）燃料価格'!$A$6:$U$66,VLOOKUP($F$3&amp;IF($G$4&lt;&gt;"",$G$4,"")&amp;IF($F$43&lt;&gt;"","_"&amp;$F$43,""),'表3）燃料価格'!$AF$9:$AG$25,2,0)+VLOOKUP($F$41,'表3）燃料価格'!$AF$28:$AG$29,2,0),0)*IF($F$43="需要地価格",1,$F$8/$F$141))),"")</f>
        <v>62.194033565670757</v>
      </c>
      <c r="AU43" s="39"/>
      <c r="AV43" s="72">
        <f t="shared" si="10"/>
        <v>16268036309.074394</v>
      </c>
      <c r="AW43" s="72">
        <f t="shared" si="27"/>
        <v>6903282029.5425549</v>
      </c>
      <c r="AX43" s="39"/>
      <c r="AY43" s="40">
        <f>IF(ISERROR(IF($K43&lt;=$F$15,VLOOKUP($I43,'表4）CO2価格'!$A$7:$E$67,VLOOKUP($F$48,'表4）CO2価格'!$H$10:$I$12,2,0),0)*$F$8/1000,"")),0,IF($K43&lt;=$F$15,VLOOKUP($I43,'表4）CO2価格'!$A$7:$E$67,VLOOKUP($F$48,'表4）CO2価格'!$H$10:$I$12,2,0),0)*$F$8/1000,""))</f>
        <v>6.59119999999999</v>
      </c>
      <c r="AZ43" s="39"/>
      <c r="BA43" s="42">
        <f t="shared" si="11"/>
        <v>4708936941.2529154</v>
      </c>
      <c r="BB43" s="72">
        <f t="shared" si="28"/>
        <v>1998220261.3272812</v>
      </c>
      <c r="BC43" s="39"/>
      <c r="BD43" s="72">
        <f t="shared" si="12"/>
        <v>0</v>
      </c>
      <c r="BE43" s="72">
        <f t="shared" si="29"/>
        <v>0</v>
      </c>
      <c r="BF43" s="39"/>
      <c r="BG43" s="42">
        <f t="shared" si="13"/>
        <v>0</v>
      </c>
      <c r="BH43" s="72">
        <f t="shared" si="30"/>
        <v>0</v>
      </c>
      <c r="BI43" s="39"/>
      <c r="BJ43" s="40" t="str">
        <f t="shared" si="31"/>
        <v/>
      </c>
      <c r="BK43" s="157" t="str">
        <f t="shared" si="32"/>
        <v/>
      </c>
      <c r="BL43" s="157" t="str">
        <f t="shared" si="14"/>
        <v/>
      </c>
      <c r="BM43" s="72"/>
      <c r="BN43" s="72" t="str">
        <f t="shared" si="33"/>
        <v/>
      </c>
      <c r="BO43" s="72" t="str">
        <f t="shared" si="34"/>
        <v/>
      </c>
      <c r="BP43" s="39"/>
      <c r="BQ43" s="72">
        <f t="shared" si="15"/>
        <v>1000742400</v>
      </c>
      <c r="BR43" s="72">
        <f t="shared" si="35"/>
        <v>424661397.04075664</v>
      </c>
    </row>
    <row r="44" spans="3:70" x14ac:dyDescent="0.15">
      <c r="I44" s="459">
        <f t="shared" si="36"/>
        <v>2049</v>
      </c>
      <c r="J44" s="71"/>
      <c r="K44" s="71">
        <f t="shared" si="37"/>
        <v>30</v>
      </c>
      <c r="L44" s="71"/>
      <c r="M44" s="7">
        <f t="shared" si="0"/>
        <v>0.41198675951590691</v>
      </c>
      <c r="N44" s="71"/>
      <c r="O44" s="10">
        <f t="shared" si="16"/>
        <v>0</v>
      </c>
      <c r="P44" s="29" t="str">
        <f t="shared" si="1"/>
        <v>-</v>
      </c>
      <c r="Q44" s="71"/>
      <c r="R44" s="10">
        <f t="shared" si="17"/>
        <v>5200000000</v>
      </c>
      <c r="S44" s="71"/>
      <c r="T44" s="10">
        <f t="shared" si="18"/>
        <v>5200000000</v>
      </c>
      <c r="U44" s="71"/>
      <c r="V44" s="10">
        <f t="shared" si="2"/>
        <v>0</v>
      </c>
      <c r="W44" s="10">
        <f t="shared" si="19"/>
        <v>0</v>
      </c>
      <c r="X44" s="71"/>
      <c r="Y44" s="10">
        <f t="shared" si="3"/>
        <v>72800000</v>
      </c>
      <c r="Z44" s="10">
        <f t="shared" si="20"/>
        <v>29992636.092758022</v>
      </c>
      <c r="AA44" s="71"/>
      <c r="AB44" s="10">
        <f t="shared" si="4"/>
        <v>0</v>
      </c>
      <c r="AC44" s="10">
        <f t="shared" si="21"/>
        <v>0</v>
      </c>
      <c r="AD44" s="71"/>
      <c r="AE44" s="10">
        <f t="shared" si="5"/>
        <v>0</v>
      </c>
      <c r="AF44" s="10">
        <f t="shared" si="22"/>
        <v>0</v>
      </c>
      <c r="AG44" s="71"/>
      <c r="AH44" s="10">
        <f t="shared" si="6"/>
        <v>190000000</v>
      </c>
      <c r="AI44" s="10">
        <f t="shared" si="23"/>
        <v>78277484.308022305</v>
      </c>
      <c r="AJ44" s="71"/>
      <c r="AK44" s="10">
        <f t="shared" si="7"/>
        <v>1872000000</v>
      </c>
      <c r="AL44" s="10">
        <f t="shared" si="24"/>
        <v>771239213.81377769</v>
      </c>
      <c r="AM44" s="71"/>
      <c r="AN44" s="10">
        <f t="shared" si="8"/>
        <v>936000000</v>
      </c>
      <c r="AO44" s="10">
        <f t="shared" si="25"/>
        <v>385619606.90688884</v>
      </c>
      <c r="AP44" s="71"/>
      <c r="AQ44" s="10">
        <f t="shared" si="9"/>
        <v>279113800</v>
      </c>
      <c r="AR44" s="10">
        <f t="shared" si="26"/>
        <v>114991189.99817094</v>
      </c>
      <c r="AS44" s="71"/>
      <c r="AT44" s="7">
        <f>IF($K44&lt;=$F$15,IF($F$40&lt;&gt;"",$F$40/1000,IF(ISERROR(VLOOKUP($F$3&amp;IF($G$4&lt;&gt;"",$G$4,"")&amp;IF($F$43&lt;&gt;"","_"&amp;$F$43,""),'表3）燃料価格'!$AF$9:$AG$25,2,0)),0,VLOOKUP($I44,'表3）燃料価格'!$A$6:$U$66,VLOOKUP($F$3&amp;IF($G$4&lt;&gt;"",$G$4,"")&amp;IF($F$43&lt;&gt;"","_"&amp;$F$43,""),'表3）燃料価格'!$AF$9:$AG$25,2,0)+VLOOKUP($F$41,'表3）燃料価格'!$AF$28:$AG$29,2,0),0)*IF($F$43="需要地価格",1,$F$8/$F$141))),"")</f>
        <v>62.455238161023964</v>
      </c>
      <c r="AU44" s="71"/>
      <c r="AV44" s="10">
        <f t="shared" si="10"/>
        <v>16328919533.960728</v>
      </c>
      <c r="AW44" s="10">
        <f t="shared" si="27"/>
        <v>6727298645.1924734</v>
      </c>
      <c r="AX44" s="71"/>
      <c r="AY44" s="7">
        <f>IF(ISERROR(IF($K44&lt;=$F$15,VLOOKUP($I44,'表4）CO2価格'!$A$7:$E$67,VLOOKUP($F$48,'表4）CO2価格'!$H$10:$I$12,2,0),0)*$F$8/1000,"")),0,IF($K44&lt;=$F$15,VLOOKUP($I44,'表4）CO2価格'!$A$7:$E$67,VLOOKUP($F$48,'表4）CO2価格'!$H$10:$I$12,2,0),0)*$F$8/1000,""))</f>
        <v>6.7195999999999714</v>
      </c>
      <c r="AZ44" s="71"/>
      <c r="BA44" s="11">
        <f t="shared" si="11"/>
        <v>4800669479.0695181</v>
      </c>
      <c r="BB44" s="10">
        <f t="shared" si="28"/>
        <v>1977812262.1887677</v>
      </c>
      <c r="BC44" s="71"/>
      <c r="BD44" s="10">
        <f t="shared" si="12"/>
        <v>0</v>
      </c>
      <c r="BE44" s="10">
        <f t="shared" si="29"/>
        <v>0</v>
      </c>
      <c r="BF44" s="71"/>
      <c r="BG44" s="11">
        <f t="shared" si="13"/>
        <v>0</v>
      </c>
      <c r="BH44" s="10">
        <f t="shared" si="30"/>
        <v>0</v>
      </c>
      <c r="BJ44" s="7" t="str">
        <f t="shared" si="31"/>
        <v/>
      </c>
      <c r="BK44" s="158" t="str">
        <f t="shared" si="32"/>
        <v/>
      </c>
      <c r="BL44" s="158" t="str">
        <f t="shared" si="14"/>
        <v/>
      </c>
      <c r="BM44" s="10"/>
      <c r="BN44" s="10" t="str">
        <f t="shared" si="33"/>
        <v/>
      </c>
      <c r="BO44" s="10" t="str">
        <f t="shared" si="34"/>
        <v/>
      </c>
      <c r="BQ44" s="10">
        <f t="shared" si="15"/>
        <v>1000742400</v>
      </c>
      <c r="BR44" s="10">
        <f t="shared" si="35"/>
        <v>412292618.48617154</v>
      </c>
    </row>
    <row r="45" spans="3:70" x14ac:dyDescent="0.15">
      <c r="C45" s="89" t="s">
        <v>509</v>
      </c>
      <c r="D45" s="101"/>
      <c r="E45" s="101"/>
      <c r="F45" s="89"/>
      <c r="G45" s="101"/>
      <c r="I45" s="458">
        <f t="shared" si="36"/>
        <v>2050</v>
      </c>
      <c r="J45" s="39"/>
      <c r="K45" s="39">
        <f t="shared" si="37"/>
        <v>31</v>
      </c>
      <c r="L45" s="39"/>
      <c r="M45" s="40">
        <f t="shared" si="0"/>
        <v>0.39998714516107459</v>
      </c>
      <c r="N45" s="39"/>
      <c r="O45" s="72">
        <f t="shared" si="16"/>
        <v>0</v>
      </c>
      <c r="P45" s="41" t="str">
        <f t="shared" si="1"/>
        <v>-</v>
      </c>
      <c r="Q45" s="39"/>
      <c r="R45" s="72">
        <f t="shared" si="17"/>
        <v>5200000000</v>
      </c>
      <c r="S45" s="39"/>
      <c r="T45" s="72">
        <f t="shared" si="18"/>
        <v>5200000000</v>
      </c>
      <c r="U45" s="39"/>
      <c r="V45" s="72">
        <f t="shared" si="2"/>
        <v>0</v>
      </c>
      <c r="W45" s="72">
        <f t="shared" si="19"/>
        <v>0</v>
      </c>
      <c r="X45" s="39"/>
      <c r="Y45" s="72">
        <f t="shared" si="3"/>
        <v>72800000</v>
      </c>
      <c r="Z45" s="72">
        <f t="shared" si="20"/>
        <v>29119064.16772623</v>
      </c>
      <c r="AA45" s="39"/>
      <c r="AB45" s="72">
        <f t="shared" si="4"/>
        <v>0</v>
      </c>
      <c r="AC45" s="72">
        <f t="shared" si="21"/>
        <v>0</v>
      </c>
      <c r="AD45" s="39"/>
      <c r="AE45" s="72">
        <f t="shared" si="5"/>
        <v>0</v>
      </c>
      <c r="AF45" s="72">
        <f t="shared" si="22"/>
        <v>0</v>
      </c>
      <c r="AG45" s="39"/>
      <c r="AH45" s="72">
        <f t="shared" si="6"/>
        <v>190000000</v>
      </c>
      <c r="AI45" s="72">
        <f t="shared" si="23"/>
        <v>75997557.580604166</v>
      </c>
      <c r="AJ45" s="39"/>
      <c r="AK45" s="72">
        <f t="shared" si="7"/>
        <v>1872000000</v>
      </c>
      <c r="AL45" s="72">
        <f t="shared" si="24"/>
        <v>748775935.74153161</v>
      </c>
      <c r="AM45" s="39"/>
      <c r="AN45" s="72">
        <f t="shared" si="8"/>
        <v>936000000</v>
      </c>
      <c r="AO45" s="72">
        <f t="shared" si="25"/>
        <v>374387967.87076581</v>
      </c>
      <c r="AP45" s="39"/>
      <c r="AQ45" s="72">
        <f t="shared" si="9"/>
        <v>279113800</v>
      </c>
      <c r="AR45" s="72">
        <f t="shared" si="26"/>
        <v>111641932.03705914</v>
      </c>
      <c r="AS45" s="39"/>
      <c r="AT45" s="40">
        <f>IF($K45&lt;=$F$15,IF($F$40&lt;&gt;"",$F$40/1000,IF(ISERROR(VLOOKUP($F$3&amp;IF($G$4&lt;&gt;"",$G$4,"")&amp;IF($F$43&lt;&gt;"","_"&amp;$F$43,""),'表3）燃料価格'!$AF$9:$AG$25,2,0)),0,VLOOKUP($I45,'表3）燃料価格'!$A$6:$U$66,VLOOKUP($F$3&amp;IF($G$4&lt;&gt;"",$G$4,"")&amp;IF($F$43&lt;&gt;"","_"&amp;$F$43,""),'表3）燃料価格'!$AF$9:$AG$25,2,0)+VLOOKUP($F$41,'表3）燃料価格'!$AF$28:$AG$29,2,0),0)*IF($F$43="需要地価格",1,$F$8/$F$141))),"")</f>
        <v>62.7090838931055</v>
      </c>
      <c r="AU45" s="39"/>
      <c r="AV45" s="72">
        <f t="shared" si="10"/>
        <v>16388087508.2908</v>
      </c>
      <c r="AW45" s="72">
        <f t="shared" si="27"/>
        <v>6555024337.0911055</v>
      </c>
      <c r="AX45" s="39"/>
      <c r="AY45" s="40">
        <f>IF(ISERROR(IF($K45&lt;=$F$15,VLOOKUP($I45,'表4）CO2価格'!$A$7:$E$67,VLOOKUP($F$48,'表4）CO2価格'!$H$10:$I$12,2,0),0)*$F$8/1000,"")),0,IF($K45&lt;=$F$15,VLOOKUP($I45,'表4）CO2価格'!$A$7:$E$67,VLOOKUP($F$48,'表4）CO2価格'!$H$10:$I$12,2,0),0)*$F$8/1000,""))</f>
        <v>6.8479999999999999</v>
      </c>
      <c r="AZ45" s="39"/>
      <c r="BA45" s="42">
        <f t="shared" si="11"/>
        <v>4892402016.8861532</v>
      </c>
      <c r="BB45" s="72">
        <f t="shared" si="28"/>
        <v>1956897915.7145758</v>
      </c>
      <c r="BC45" s="39"/>
      <c r="BD45" s="72">
        <f t="shared" si="12"/>
        <v>0</v>
      </c>
      <c r="BE45" s="72">
        <f t="shared" si="29"/>
        <v>0</v>
      </c>
      <c r="BF45" s="39"/>
      <c r="BG45" s="42">
        <f t="shared" si="13"/>
        <v>0</v>
      </c>
      <c r="BH45" s="72">
        <f t="shared" si="30"/>
        <v>0</v>
      </c>
      <c r="BI45" s="39"/>
      <c r="BJ45" s="40" t="str">
        <f t="shared" si="31"/>
        <v/>
      </c>
      <c r="BK45" s="157" t="str">
        <f t="shared" si="32"/>
        <v/>
      </c>
      <c r="BL45" s="157" t="str">
        <f t="shared" si="14"/>
        <v/>
      </c>
      <c r="BM45" s="72"/>
      <c r="BN45" s="72" t="str">
        <f t="shared" si="33"/>
        <v/>
      </c>
      <c r="BO45" s="72" t="str">
        <f t="shared" si="34"/>
        <v/>
      </c>
      <c r="BP45" s="39"/>
      <c r="BQ45" s="72">
        <f t="shared" si="15"/>
        <v>1000742400</v>
      </c>
      <c r="BR45" s="72">
        <f t="shared" si="35"/>
        <v>400284095.61764216</v>
      </c>
    </row>
    <row r="46" spans="3:70" x14ac:dyDescent="0.15">
      <c r="I46" s="459">
        <f t="shared" si="36"/>
        <v>2051</v>
      </c>
      <c r="J46" s="71"/>
      <c r="K46" s="71">
        <f t="shared" si="37"/>
        <v>32</v>
      </c>
      <c r="L46" s="71"/>
      <c r="M46" s="7">
        <f t="shared" si="0"/>
        <v>0.38833703413696569</v>
      </c>
      <c r="N46" s="71"/>
      <c r="O46" s="10">
        <f t="shared" si="16"/>
        <v>0</v>
      </c>
      <c r="P46" s="29" t="str">
        <f t="shared" si="1"/>
        <v>-</v>
      </c>
      <c r="Q46" s="71"/>
      <c r="R46" s="10">
        <f t="shared" si="17"/>
        <v>5200000000</v>
      </c>
      <c r="S46" s="71"/>
      <c r="T46" s="10">
        <f t="shared" si="18"/>
        <v>5200000000</v>
      </c>
      <c r="U46" s="71"/>
      <c r="V46" s="10">
        <f t="shared" si="2"/>
        <v>0</v>
      </c>
      <c r="W46" s="10">
        <f t="shared" si="19"/>
        <v>0</v>
      </c>
      <c r="X46" s="71"/>
      <c r="Y46" s="10">
        <f t="shared" si="3"/>
        <v>72800000</v>
      </c>
      <c r="Z46" s="10">
        <f t="shared" si="20"/>
        <v>28270936.085171103</v>
      </c>
      <c r="AA46" s="71"/>
      <c r="AB46" s="10">
        <f t="shared" si="4"/>
        <v>0</v>
      </c>
      <c r="AC46" s="10">
        <f t="shared" si="21"/>
        <v>0</v>
      </c>
      <c r="AD46" s="71"/>
      <c r="AE46" s="10">
        <f t="shared" si="5"/>
        <v>0</v>
      </c>
      <c r="AF46" s="10">
        <f t="shared" si="22"/>
        <v>0</v>
      </c>
      <c r="AG46" s="71"/>
      <c r="AH46" s="10">
        <f t="shared" si="6"/>
        <v>190000000</v>
      </c>
      <c r="AI46" s="10">
        <f t="shared" si="23"/>
        <v>73784036.486023486</v>
      </c>
      <c r="AJ46" s="71"/>
      <c r="AK46" s="10">
        <f t="shared" si="7"/>
        <v>1872000000</v>
      </c>
      <c r="AL46" s="10">
        <f t="shared" si="24"/>
        <v>726966927.90439975</v>
      </c>
      <c r="AM46" s="71"/>
      <c r="AN46" s="10">
        <f t="shared" si="8"/>
        <v>936000000</v>
      </c>
      <c r="AO46" s="10">
        <f t="shared" si="25"/>
        <v>363483463.95219988</v>
      </c>
      <c r="AP46" s="71"/>
      <c r="AQ46" s="10">
        <f t="shared" si="9"/>
        <v>279113800</v>
      </c>
      <c r="AR46" s="10">
        <f t="shared" si="26"/>
        <v>108390225.27869821</v>
      </c>
      <c r="AS46" s="71"/>
      <c r="AT46" s="7">
        <f>IF($K46&lt;=$F$15,IF($F$40&lt;&gt;"",$F$40/1000,IF(ISERROR(VLOOKUP($F$3&amp;IF($G$4&lt;&gt;"",$G$4,"")&amp;IF($F$43&lt;&gt;"","_"&amp;$F$43,""),'表3）燃料価格'!$AF$9:$AG$25,2,0)),0,VLOOKUP($I46,'表3）燃料価格'!$A$6:$U$66,VLOOKUP($F$3&amp;IF($G$4&lt;&gt;"",$G$4,"")&amp;IF($F$43&lt;&gt;"","_"&amp;$F$43,""),'表3）燃料価格'!$AF$9:$AG$25,2,0)+VLOOKUP($F$41,'表3）燃料価格'!$AF$28:$AG$29,2,0),0)*IF($F$43="需要地価格",1,$F$8/$F$141))),"")</f>
        <v>62.955974065153995</v>
      </c>
      <c r="AU46" s="71"/>
      <c r="AV46" s="10">
        <f t="shared" si="10"/>
        <v>16445634236.543144</v>
      </c>
      <c r="AW46" s="10">
        <f t="shared" si="27"/>
        <v>6386448823.9205065</v>
      </c>
      <c r="AX46" s="71"/>
      <c r="AY46" s="7">
        <f>IF(ISERROR(IF($K46&lt;=$F$15,VLOOKUP($I46,'表4）CO2価格'!$A$7:$E$67,VLOOKUP($F$48,'表4）CO2価格'!$H$10:$I$12,2,0),0)*$F$8/1000,"")),0,IF($K46&lt;=$F$15,VLOOKUP($I46,'表4）CO2価格'!$A$7:$E$67,VLOOKUP($F$48,'表4）CO2価格'!$H$10:$I$12,2,0),0)*$F$8/1000,""))</f>
        <v>7.0184806169104448</v>
      </c>
      <c r="AZ46" s="71"/>
      <c r="BA46" s="11">
        <f t="shared" si="11"/>
        <v>5014198119.9837961</v>
      </c>
      <c r="BB46" s="10">
        <f t="shared" si="28"/>
        <v>1947198826.4896567</v>
      </c>
      <c r="BC46" s="71"/>
      <c r="BD46" s="10">
        <f t="shared" si="12"/>
        <v>0</v>
      </c>
      <c r="BE46" s="10">
        <f t="shared" si="29"/>
        <v>0</v>
      </c>
      <c r="BF46" s="71"/>
      <c r="BG46" s="11">
        <f t="shared" si="13"/>
        <v>0</v>
      </c>
      <c r="BH46" s="10">
        <f t="shared" si="30"/>
        <v>0</v>
      </c>
      <c r="BJ46" s="7" t="str">
        <f t="shared" si="31"/>
        <v/>
      </c>
      <c r="BK46" s="158" t="str">
        <f t="shared" si="32"/>
        <v/>
      </c>
      <c r="BL46" s="158" t="str">
        <f t="shared" si="14"/>
        <v/>
      </c>
      <c r="BM46" s="10"/>
      <c r="BN46" s="10" t="str">
        <f t="shared" si="33"/>
        <v/>
      </c>
      <c r="BO46" s="10" t="str">
        <f t="shared" si="34"/>
        <v/>
      </c>
      <c r="BQ46" s="10">
        <f t="shared" si="15"/>
        <v>1000742400</v>
      </c>
      <c r="BR46" s="10">
        <f t="shared" si="35"/>
        <v>388625335.55110896</v>
      </c>
    </row>
    <row r="47" spans="3:70" x14ac:dyDescent="0.15">
      <c r="D47" s="81" t="s">
        <v>182</v>
      </c>
      <c r="F47" s="66">
        <v>20.079999999999998</v>
      </c>
      <c r="G47" s="81" t="s">
        <v>226</v>
      </c>
      <c r="I47" s="458">
        <f t="shared" si="36"/>
        <v>2052</v>
      </c>
      <c r="J47" s="39"/>
      <c r="K47" s="39">
        <f t="shared" si="37"/>
        <v>33</v>
      </c>
      <c r="L47" s="39"/>
      <c r="M47" s="40">
        <f t="shared" ref="M47:M78" si="38">1/(1+($F$9/100))^K47</f>
        <v>0.37702624673491814</v>
      </c>
      <c r="N47" s="39"/>
      <c r="O47" s="72">
        <f t="shared" si="16"/>
        <v>0</v>
      </c>
      <c r="P47" s="41" t="str">
        <f t="shared" ref="P47:P78" si="39">IF(K47&lt;=$F$15,IF(OR(P46=$F$124,P46="-"),"-",IF(O47*$F$123&gt;$F$127,$F$123,$F$124)),"")</f>
        <v>-</v>
      </c>
      <c r="Q47" s="39"/>
      <c r="R47" s="72">
        <f t="shared" si="17"/>
        <v>5200000000</v>
      </c>
      <c r="S47" s="39"/>
      <c r="T47" s="72">
        <f t="shared" si="18"/>
        <v>5200000000</v>
      </c>
      <c r="U47" s="39"/>
      <c r="V47" s="72">
        <f t="shared" ref="V47:V78" si="40">IF(K47&lt;=$F$15,IF(K47&lt;$F$119,IF(P47="-",V46,O47*P47),IF(K47=$F$119,MIN(IF(P47="-",V46,O47*P47),O47),0)),"")</f>
        <v>0</v>
      </c>
      <c r="W47" s="72">
        <f t="shared" si="19"/>
        <v>0</v>
      </c>
      <c r="X47" s="39"/>
      <c r="Y47" s="72">
        <f t="shared" ref="Y47:Y78" si="41">IF($K47&lt;=$F$15,ROUNDDOWN(T47*$F$25/100,-2),"")</f>
        <v>72800000</v>
      </c>
      <c r="Z47" s="72">
        <f t="shared" si="20"/>
        <v>27447510.762302041</v>
      </c>
      <c r="AA47" s="39"/>
      <c r="AB47" s="72">
        <f t="shared" si="4"/>
        <v>0</v>
      </c>
      <c r="AC47" s="72">
        <f t="shared" si="21"/>
        <v>0</v>
      </c>
      <c r="AD47" s="39"/>
      <c r="AE47" s="72">
        <f t="shared" ref="AE47:AE78" si="42">IF($K47&lt;=$F$15,$F$26,"")</f>
        <v>0</v>
      </c>
      <c r="AF47" s="72">
        <f t="shared" si="22"/>
        <v>0</v>
      </c>
      <c r="AG47" s="39"/>
      <c r="AH47" s="72">
        <f t="shared" ref="AH47:AH78" si="43">IF($K47&lt;=$F$15,$F$33*10^8,"")</f>
        <v>190000000</v>
      </c>
      <c r="AI47" s="72">
        <f t="shared" si="23"/>
        <v>71634986.87963444</v>
      </c>
      <c r="AJ47" s="39"/>
      <c r="AK47" s="72">
        <f t="shared" ref="AK47:AK78" si="44">IF($K47&lt;=$F$15,$F$117*$F$34/100,"")</f>
        <v>1872000000</v>
      </c>
      <c r="AL47" s="72">
        <f t="shared" si="24"/>
        <v>705793133.88776672</v>
      </c>
      <c r="AM47" s="39"/>
      <c r="AN47" s="72">
        <f t="shared" ref="AN47:AN78" si="45">IF($K47&lt;=$F$15,$F$117*$F$35/100,"")</f>
        <v>936000000</v>
      </c>
      <c r="AO47" s="72">
        <f t="shared" si="25"/>
        <v>352896566.94388336</v>
      </c>
      <c r="AP47" s="39"/>
      <c r="AQ47" s="72">
        <f t="shared" ref="AQ47:AQ78" si="46">IF($K47&lt;=$F$15,SUM(AH47,AK47,AN47)*($F$36/100),"")</f>
        <v>279113800</v>
      </c>
      <c r="AR47" s="72">
        <f t="shared" si="26"/>
        <v>105233228.42592059</v>
      </c>
      <c r="AS47" s="39"/>
      <c r="AT47" s="40">
        <f>IF($K47&lt;=$F$15,IF($F$40&lt;&gt;"",$F$40/1000,IF(ISERROR(VLOOKUP($F$3&amp;IF($G$4&lt;&gt;"",$G$4,"")&amp;IF($F$43&lt;&gt;"","_"&amp;$F$43,""),'表3）燃料価格'!$AF$9:$AG$25,2,0)),0,VLOOKUP($I47,'表3）燃料価格'!$A$6:$U$66,VLOOKUP($F$3&amp;IF($G$4&lt;&gt;"",$G$4,"")&amp;IF($F$43&lt;&gt;"","_"&amp;$F$43,""),'表3）燃料価格'!$AF$9:$AG$25,2,0)+VLOOKUP($F$41,'表3）燃料価格'!$AF$28:$AG$29,2,0),0)*IF($F$43="需要地価格",1,$F$8/$F$141))),"")</f>
        <v>63.196279708173371</v>
      </c>
      <c r="AU47" s="39"/>
      <c r="AV47" s="72">
        <f t="shared" ref="AV47:AV78" si="47">IF($K47&lt;=$F$15,($AT47+$F$142)*$F$137,"")</f>
        <v>16501646200.978992</v>
      </c>
      <c r="AW47" s="72">
        <f t="shared" si="27"/>
        <v>6221553732.1026297</v>
      </c>
      <c r="AX47" s="39"/>
      <c r="AY47" s="40">
        <f>IF(ISERROR(IF($K47&lt;=$F$15,VLOOKUP($I47,'表4）CO2価格'!$A$7:$E$67,VLOOKUP($F$48,'表4）CO2価格'!$H$10:$I$12,2,0),0)*$F$8/1000,"")),0,IF($K47&lt;=$F$15,VLOOKUP($I47,'表4）CO2価格'!$A$7:$E$67,VLOOKUP($F$48,'表4）CO2価格'!$H$10:$I$12,2,0),0)*$F$8/1000,""))</f>
        <v>7.1500080975609199</v>
      </c>
      <c r="AZ47" s="39"/>
      <c r="BA47" s="42">
        <f t="shared" ref="BA47:BA78" si="48">IF($K47&lt;=$F$15,$F$145*AY47,"")</f>
        <v>5108165017.1231565</v>
      </c>
      <c r="BB47" s="72">
        <f t="shared" si="28"/>
        <v>1925912284.1085525</v>
      </c>
      <c r="BC47" s="39"/>
      <c r="BD47" s="72">
        <f t="shared" ref="BD47:BD78" si="49">IF($K47&lt;=$F$15,($AT47+$F$152)*$F$151,"")</f>
        <v>0</v>
      </c>
      <c r="BE47" s="72">
        <f t="shared" si="29"/>
        <v>0</v>
      </c>
      <c r="BF47" s="39"/>
      <c r="BG47" s="42">
        <f t="shared" ref="BG47:BG78" si="50">IF($K47&lt;=$F$15,$F$153*AY47,"")</f>
        <v>0</v>
      </c>
      <c r="BH47" s="72">
        <f t="shared" si="30"/>
        <v>0</v>
      </c>
      <c r="BI47" s="39"/>
      <c r="BJ47" s="40" t="str">
        <f t="shared" si="31"/>
        <v/>
      </c>
      <c r="BK47" s="157" t="str">
        <f t="shared" si="32"/>
        <v/>
      </c>
      <c r="BL47" s="157" t="str">
        <f t="shared" si="14"/>
        <v/>
      </c>
      <c r="BM47" s="72"/>
      <c r="BN47" s="72" t="str">
        <f t="shared" si="33"/>
        <v/>
      </c>
      <c r="BO47" s="72" t="str">
        <f t="shared" si="34"/>
        <v/>
      </c>
      <c r="BP47" s="39"/>
      <c r="BQ47" s="72">
        <f t="shared" ref="BQ47:BQ78" si="51">IF($K47&lt;=$F$15,$F$134,"")</f>
        <v>1000742400</v>
      </c>
      <c r="BR47" s="72">
        <f t="shared" si="35"/>
        <v>377306151.02049416</v>
      </c>
    </row>
    <row r="48" spans="3:70" x14ac:dyDescent="0.15">
      <c r="D48" s="81" t="s">
        <v>184</v>
      </c>
      <c r="F48" s="88" t="str">
        <f>まとめ!B5</f>
        <v>WEO2020　STEPS</v>
      </c>
      <c r="I48" s="459">
        <f t="shared" si="36"/>
        <v>2053</v>
      </c>
      <c r="J48" s="71"/>
      <c r="K48" s="71">
        <f t="shared" si="37"/>
        <v>34</v>
      </c>
      <c r="L48" s="71"/>
      <c r="M48" s="7">
        <f t="shared" si="38"/>
        <v>0.36604489974263904</v>
      </c>
      <c r="N48" s="71"/>
      <c r="O48" s="10">
        <f t="shared" ref="O48:O79" si="52">IF(K48&lt;=$F$15,O47-V47,"")</f>
        <v>0</v>
      </c>
      <c r="P48" s="29" t="str">
        <f t="shared" si="39"/>
        <v>-</v>
      </c>
      <c r="Q48" s="71"/>
      <c r="R48" s="10">
        <f t="shared" ref="R48:R79" si="53">IF($K48&lt;=$F$15,MAX($F$117*5%,R47*$F$129),"")</f>
        <v>5200000000</v>
      </c>
      <c r="S48" s="71"/>
      <c r="T48" s="10">
        <f t="shared" si="18"/>
        <v>5200000000</v>
      </c>
      <c r="U48" s="71"/>
      <c r="V48" s="10">
        <f t="shared" si="40"/>
        <v>0</v>
      </c>
      <c r="W48" s="10">
        <f t="shared" si="19"/>
        <v>0</v>
      </c>
      <c r="X48" s="71"/>
      <c r="Y48" s="10">
        <f t="shared" si="41"/>
        <v>72800000</v>
      </c>
      <c r="Z48" s="10">
        <f t="shared" si="20"/>
        <v>26648068.701264121</v>
      </c>
      <c r="AA48" s="71"/>
      <c r="AB48" s="10">
        <f t="shared" si="4"/>
        <v>0</v>
      </c>
      <c r="AC48" s="10">
        <f t="shared" si="21"/>
        <v>0</v>
      </c>
      <c r="AD48" s="71"/>
      <c r="AE48" s="10">
        <f t="shared" si="42"/>
        <v>0</v>
      </c>
      <c r="AF48" s="10">
        <f t="shared" si="22"/>
        <v>0</v>
      </c>
      <c r="AG48" s="71"/>
      <c r="AH48" s="10">
        <f t="shared" si="43"/>
        <v>190000000</v>
      </c>
      <c r="AI48" s="10">
        <f t="shared" si="23"/>
        <v>69548530.951101422</v>
      </c>
      <c r="AJ48" s="71"/>
      <c r="AK48" s="10">
        <f t="shared" si="44"/>
        <v>1872000000</v>
      </c>
      <c r="AL48" s="10">
        <f t="shared" si="24"/>
        <v>685236052.31822026</v>
      </c>
      <c r="AM48" s="71"/>
      <c r="AN48" s="10">
        <f t="shared" si="45"/>
        <v>936000000</v>
      </c>
      <c r="AO48" s="10">
        <f t="shared" si="25"/>
        <v>342618026.15911013</v>
      </c>
      <c r="AP48" s="71"/>
      <c r="AQ48" s="10">
        <f t="shared" si="46"/>
        <v>279113800</v>
      </c>
      <c r="AR48" s="10">
        <f t="shared" si="26"/>
        <v>102168182.93778701</v>
      </c>
      <c r="AS48" s="71"/>
      <c r="AT48" s="7">
        <f>IF($K48&lt;=$F$15,IF($F$40&lt;&gt;"",$F$40/1000,IF(ISERROR(VLOOKUP($F$3&amp;IF($G$4&lt;&gt;"",$G$4,"")&amp;IF($F$43&lt;&gt;"","_"&amp;$F$43,""),'表3）燃料価格'!$AF$9:$AG$25,2,0)),0,VLOOKUP($I48,'表3）燃料価格'!$A$6:$U$66,VLOOKUP($F$3&amp;IF($G$4&lt;&gt;"",$G$4,"")&amp;IF($F$43&lt;&gt;"","_"&amp;$F$43,""),'表3）燃料価格'!$AF$9:$AG$25,2,0)+VLOOKUP($F$41,'表3）燃料価格'!$AF$28:$AG$29,2,0),0)*IF($F$43="需要地価格",1,$F$8/$F$141))),"")</f>
        <v>63.430342934888131</v>
      </c>
      <c r="AU48" s="71"/>
      <c r="AV48" s="10">
        <f t="shared" si="47"/>
        <v>16556203143.403475</v>
      </c>
      <c r="AW48" s="10">
        <f t="shared" si="27"/>
        <v>6060313719.7458906</v>
      </c>
      <c r="AX48" s="71"/>
      <c r="AY48" s="7">
        <f>IF(ISERROR(IF($K48&lt;=$F$15,VLOOKUP($I48,'表4）CO2価格'!$A$7:$E$67,VLOOKUP($F$48,'表4）CO2価格'!$H$10:$I$12,2,0),0)*$F$8/1000,"")),0,IF($K48&lt;=$F$15,VLOOKUP($I48,'表4）CO2価格'!$A$7:$E$67,VLOOKUP($F$48,'表4）CO2価格'!$H$10:$I$12,2,0),0)*$F$8/1000,""))</f>
        <v>7.2814714966103056</v>
      </c>
      <c r="AZ48" s="71"/>
      <c r="BA48" s="11">
        <f t="shared" si="48"/>
        <v>5202086132.581089</v>
      </c>
      <c r="BB48" s="10">
        <f t="shared" si="28"/>
        <v>1904197096.8532176</v>
      </c>
      <c r="BC48" s="71"/>
      <c r="BD48" s="10">
        <f t="shared" si="49"/>
        <v>0</v>
      </c>
      <c r="BE48" s="10">
        <f t="shared" si="29"/>
        <v>0</v>
      </c>
      <c r="BF48" s="71"/>
      <c r="BG48" s="11">
        <f t="shared" si="50"/>
        <v>0</v>
      </c>
      <c r="BH48" s="10">
        <f t="shared" si="30"/>
        <v>0</v>
      </c>
      <c r="BJ48" s="7" t="str">
        <f t="shared" si="31"/>
        <v/>
      </c>
      <c r="BK48" s="158" t="str">
        <f t="shared" si="32"/>
        <v/>
      </c>
      <c r="BL48" s="158" t="str">
        <f t="shared" si="14"/>
        <v/>
      </c>
      <c r="BM48" s="10"/>
      <c r="BN48" s="10" t="str">
        <f t="shared" si="33"/>
        <v/>
      </c>
      <c r="BO48" s="10" t="str">
        <f t="shared" si="34"/>
        <v/>
      </c>
      <c r="BQ48" s="10">
        <f t="shared" si="51"/>
        <v>1000742400</v>
      </c>
      <c r="BR48" s="10">
        <f t="shared" si="35"/>
        <v>366316651.47620797</v>
      </c>
    </row>
    <row r="49" spans="3:70" x14ac:dyDescent="0.15">
      <c r="I49" s="458">
        <f t="shared" si="36"/>
        <v>2054</v>
      </c>
      <c r="J49" s="39"/>
      <c r="K49" s="39">
        <f t="shared" si="37"/>
        <v>35</v>
      </c>
      <c r="L49" s="39"/>
      <c r="M49" s="40">
        <f t="shared" si="38"/>
        <v>0.35538339780838735</v>
      </c>
      <c r="N49" s="39"/>
      <c r="O49" s="72">
        <f t="shared" si="52"/>
        <v>0</v>
      </c>
      <c r="P49" s="41" t="str">
        <f t="shared" si="39"/>
        <v>-</v>
      </c>
      <c r="Q49" s="39"/>
      <c r="R49" s="72">
        <f t="shared" si="53"/>
        <v>5200000000</v>
      </c>
      <c r="S49" s="39"/>
      <c r="T49" s="72">
        <f t="shared" si="18"/>
        <v>5200000000</v>
      </c>
      <c r="U49" s="39"/>
      <c r="V49" s="72">
        <f t="shared" si="40"/>
        <v>0</v>
      </c>
      <c r="W49" s="72">
        <f t="shared" si="19"/>
        <v>0</v>
      </c>
      <c r="X49" s="39"/>
      <c r="Y49" s="72">
        <f t="shared" si="41"/>
        <v>72800000</v>
      </c>
      <c r="Z49" s="72">
        <f t="shared" si="20"/>
        <v>25871911.360450599</v>
      </c>
      <c r="AA49" s="39"/>
      <c r="AB49" s="72">
        <f t="shared" si="4"/>
        <v>0</v>
      </c>
      <c r="AC49" s="72">
        <f t="shared" si="21"/>
        <v>0</v>
      </c>
      <c r="AD49" s="39"/>
      <c r="AE49" s="72">
        <f t="shared" si="42"/>
        <v>0</v>
      </c>
      <c r="AF49" s="72">
        <f t="shared" si="22"/>
        <v>0</v>
      </c>
      <c r="AG49" s="39"/>
      <c r="AH49" s="72">
        <f t="shared" si="43"/>
        <v>190000000</v>
      </c>
      <c r="AI49" s="72">
        <f t="shared" si="23"/>
        <v>67522845.583593592</v>
      </c>
      <c r="AJ49" s="39"/>
      <c r="AK49" s="72">
        <f t="shared" si="44"/>
        <v>1872000000</v>
      </c>
      <c r="AL49" s="72">
        <f t="shared" si="24"/>
        <v>665277720.69730115</v>
      </c>
      <c r="AM49" s="39"/>
      <c r="AN49" s="72">
        <f t="shared" si="45"/>
        <v>936000000</v>
      </c>
      <c r="AO49" s="72">
        <f t="shared" si="25"/>
        <v>332638860.34865057</v>
      </c>
      <c r="AP49" s="39"/>
      <c r="AQ49" s="72">
        <f t="shared" si="46"/>
        <v>279113800</v>
      </c>
      <c r="AR49" s="72">
        <f t="shared" si="26"/>
        <v>99192410.61921066</v>
      </c>
      <c r="AS49" s="39"/>
      <c r="AT49" s="40">
        <f>IF($K49&lt;=$F$15,IF($F$40&lt;&gt;"",$F$40/1000,IF(ISERROR(VLOOKUP($F$3&amp;IF($G$4&lt;&gt;"",$G$4,"")&amp;IF($F$43&lt;&gt;"","_"&amp;$F$43,""),'表3）燃料価格'!$AF$9:$AG$25,2,0)),0,VLOOKUP($I49,'表3）燃料価格'!$A$6:$U$66,VLOOKUP($F$3&amp;IF($G$4&lt;&gt;"",$G$4,"")&amp;IF($F$43&lt;&gt;"","_"&amp;$F$43,""),'表3）燃料価格'!$AF$9:$AG$25,2,0)+VLOOKUP($F$41,'表3）燃料価格'!$AF$28:$AG$29,2,0),0)*IF($F$43="需要地価格",1,$F$8/$F$141))),"")</f>
        <v>63.658479869001667</v>
      </c>
      <c r="AU49" s="39"/>
      <c r="AV49" s="72">
        <f t="shared" si="47"/>
        <v>16609378747.935743</v>
      </c>
      <c r="AW49" s="72">
        <f t="shared" si="27"/>
        <v>5902697454.9278231</v>
      </c>
      <c r="AX49" s="39"/>
      <c r="AY49" s="40">
        <f>IF(ISERROR(IF($K49&lt;=$F$15,VLOOKUP($I49,'表4）CO2価格'!$A$7:$E$67,VLOOKUP($F$48,'表4）CO2価格'!$H$10:$I$12,2,0),0)*$F$8/1000,"")),0,IF($K49&lt;=$F$15,VLOOKUP($I49,'表4）CO2価格'!$A$7:$E$67,VLOOKUP($F$48,'表4）CO2価格'!$H$10:$I$12,2,0),0)*$F$8/1000,""))</f>
        <v>7.4128708764708131</v>
      </c>
      <c r="AZ49" s="39"/>
      <c r="BA49" s="42">
        <f t="shared" si="48"/>
        <v>5295961510.9466171</v>
      </c>
      <c r="BB49" s="72">
        <f t="shared" si="28"/>
        <v>1882096796.4226499</v>
      </c>
      <c r="BC49" s="39"/>
      <c r="BD49" s="72">
        <f t="shared" si="49"/>
        <v>0</v>
      </c>
      <c r="BE49" s="72">
        <f t="shared" si="29"/>
        <v>0</v>
      </c>
      <c r="BF49" s="39"/>
      <c r="BG49" s="42">
        <f t="shared" si="50"/>
        <v>0</v>
      </c>
      <c r="BH49" s="72">
        <f t="shared" si="30"/>
        <v>0</v>
      </c>
      <c r="BI49" s="39"/>
      <c r="BJ49" s="40" t="str">
        <f t="shared" si="31"/>
        <v/>
      </c>
      <c r="BK49" s="157" t="str">
        <f t="shared" si="32"/>
        <v/>
      </c>
      <c r="BL49" s="157" t="str">
        <f t="shared" si="14"/>
        <v/>
      </c>
      <c r="BM49" s="72"/>
      <c r="BN49" s="72" t="str">
        <f t="shared" si="33"/>
        <v/>
      </c>
      <c r="BO49" s="72" t="str">
        <f t="shared" si="34"/>
        <v/>
      </c>
      <c r="BP49" s="39"/>
      <c r="BQ49" s="72">
        <f t="shared" si="51"/>
        <v>1000742400</v>
      </c>
      <c r="BR49" s="72">
        <f t="shared" si="35"/>
        <v>355647234.44292027</v>
      </c>
    </row>
    <row r="50" spans="3:70" x14ac:dyDescent="0.15">
      <c r="C50" s="89" t="s">
        <v>510</v>
      </c>
      <c r="D50" s="101"/>
      <c r="E50" s="101"/>
      <c r="F50" s="89"/>
      <c r="G50" s="101"/>
      <c r="I50" s="459">
        <f t="shared" si="36"/>
        <v>2055</v>
      </c>
      <c r="J50" s="71"/>
      <c r="K50" s="71">
        <f t="shared" si="37"/>
        <v>36</v>
      </c>
      <c r="L50" s="71"/>
      <c r="M50" s="7">
        <f t="shared" si="38"/>
        <v>0.34503242505668674</v>
      </c>
      <c r="N50" s="71"/>
      <c r="O50" s="10">
        <f t="shared" si="52"/>
        <v>0</v>
      </c>
      <c r="P50" s="29" t="str">
        <f t="shared" si="39"/>
        <v>-</v>
      </c>
      <c r="Q50" s="71"/>
      <c r="R50" s="10">
        <f t="shared" si="53"/>
        <v>5200000000</v>
      </c>
      <c r="S50" s="71"/>
      <c r="T50" s="10">
        <f t="shared" si="18"/>
        <v>5200000000</v>
      </c>
      <c r="U50" s="71"/>
      <c r="V50" s="10">
        <f t="shared" si="40"/>
        <v>0</v>
      </c>
      <c r="W50" s="10">
        <f t="shared" si="19"/>
        <v>0</v>
      </c>
      <c r="X50" s="71"/>
      <c r="Y50" s="10">
        <f t="shared" si="41"/>
        <v>72800000</v>
      </c>
      <c r="Z50" s="10">
        <f t="shared" si="20"/>
        <v>25118360.544126794</v>
      </c>
      <c r="AA50" s="71"/>
      <c r="AB50" s="10">
        <f t="shared" si="4"/>
        <v>0</v>
      </c>
      <c r="AC50" s="10">
        <f t="shared" si="21"/>
        <v>0</v>
      </c>
      <c r="AD50" s="71"/>
      <c r="AE50" s="10">
        <f t="shared" si="42"/>
        <v>0</v>
      </c>
      <c r="AF50" s="10">
        <f t="shared" si="22"/>
        <v>0</v>
      </c>
      <c r="AG50" s="71"/>
      <c r="AH50" s="10">
        <f t="shared" si="43"/>
        <v>190000000</v>
      </c>
      <c r="AI50" s="10">
        <f t="shared" si="23"/>
        <v>65556160.760770477</v>
      </c>
      <c r="AJ50" s="71"/>
      <c r="AK50" s="10">
        <f t="shared" si="44"/>
        <v>1872000000</v>
      </c>
      <c r="AL50" s="10">
        <f t="shared" si="24"/>
        <v>645900699.70611763</v>
      </c>
      <c r="AM50" s="71"/>
      <c r="AN50" s="10">
        <f t="shared" si="45"/>
        <v>936000000</v>
      </c>
      <c r="AO50" s="10">
        <f t="shared" si="25"/>
        <v>322950349.85305882</v>
      </c>
      <c r="AP50" s="71"/>
      <c r="AQ50" s="10">
        <f t="shared" si="46"/>
        <v>279113800</v>
      </c>
      <c r="AR50" s="10">
        <f t="shared" si="26"/>
        <v>96303311.280787051</v>
      </c>
      <c r="AS50" s="71"/>
      <c r="AT50" s="7">
        <f>IF($K50&lt;=$F$15,IF($F$40&lt;&gt;"",$F$40/1000,IF(ISERROR(VLOOKUP($F$3&amp;IF($G$4&lt;&gt;"",$G$4,"")&amp;IF($F$43&lt;&gt;"","_"&amp;$F$43,""),'表3）燃料価格'!$AF$9:$AG$25,2,0)),0,VLOOKUP($I50,'表3）燃料価格'!$A$6:$U$66,VLOOKUP($F$3&amp;IF($G$4&lt;&gt;"",$G$4,"")&amp;IF($F$43&lt;&gt;"","_"&amp;$F$43,""),'表3）燃料価格'!$AF$9:$AG$25,2,0)+VLOOKUP($F$41,'表3）燃料価格'!$AF$28:$AG$29,2,0),0)*IF($F$43="需要地価格",1,$F$8/$F$141))),"")</f>
        <v>63.880983212700151</v>
      </c>
      <c r="AU50" s="71"/>
      <c r="AV50" s="10">
        <f t="shared" si="47"/>
        <v>16661241239.459057</v>
      </c>
      <c r="AW50" s="10">
        <f t="shared" si="27"/>
        <v>5748668469.3050356</v>
      </c>
      <c r="AX50" s="71"/>
      <c r="AY50" s="7">
        <f>IF(ISERROR(IF($K50&lt;=$F$15,VLOOKUP($I50,'表4）CO2価格'!$A$7:$E$67,VLOOKUP($F$48,'表4）CO2価格'!$H$10:$I$12,2,0),0)*$F$8/1000,"")),0,IF($K50&lt;=$F$15,VLOOKUP($I50,'表4）CO2価格'!$A$7:$E$67,VLOOKUP($F$48,'表4）CO2価格'!$H$10:$I$12,2,0),0)*$F$8/1000,""))</f>
        <v>7.5442062994635668</v>
      </c>
      <c r="AZ50" s="71"/>
      <c r="BA50" s="11">
        <f t="shared" si="48"/>
        <v>5389791196.7436886</v>
      </c>
      <c r="BB50" s="10">
        <f t="shared" si="28"/>
        <v>1859652727.1616566</v>
      </c>
      <c r="BC50" s="71"/>
      <c r="BD50" s="10">
        <f t="shared" si="49"/>
        <v>0</v>
      </c>
      <c r="BE50" s="10">
        <f t="shared" si="29"/>
        <v>0</v>
      </c>
      <c r="BF50" s="71"/>
      <c r="BG50" s="11">
        <f t="shared" si="50"/>
        <v>0</v>
      </c>
      <c r="BH50" s="10">
        <f t="shared" si="30"/>
        <v>0</v>
      </c>
      <c r="BJ50" s="7" t="str">
        <f t="shared" si="31"/>
        <v/>
      </c>
      <c r="BK50" s="158" t="str">
        <f t="shared" si="32"/>
        <v/>
      </c>
      <c r="BL50" s="158" t="str">
        <f t="shared" si="14"/>
        <v/>
      </c>
      <c r="BM50" s="10"/>
      <c r="BN50" s="10" t="str">
        <f t="shared" si="33"/>
        <v/>
      </c>
      <c r="BO50" s="10" t="str">
        <f t="shared" si="34"/>
        <v/>
      </c>
      <c r="BQ50" s="10">
        <f t="shared" si="51"/>
        <v>1000742400</v>
      </c>
      <c r="BR50" s="10">
        <f t="shared" si="35"/>
        <v>345288577.12904882</v>
      </c>
    </row>
    <row r="51" spans="3:70" x14ac:dyDescent="0.15">
      <c r="I51" s="458">
        <f t="shared" si="36"/>
        <v>2056</v>
      </c>
      <c r="J51" s="39"/>
      <c r="K51" s="39">
        <f t="shared" si="37"/>
        <v>37</v>
      </c>
      <c r="L51" s="39"/>
      <c r="M51" s="40">
        <f t="shared" si="38"/>
        <v>0.33498293694823961</v>
      </c>
      <c r="N51" s="39"/>
      <c r="O51" s="72">
        <f t="shared" si="52"/>
        <v>0</v>
      </c>
      <c r="P51" s="41" t="str">
        <f t="shared" si="39"/>
        <v>-</v>
      </c>
      <c r="Q51" s="39"/>
      <c r="R51" s="72">
        <f t="shared" si="53"/>
        <v>5200000000</v>
      </c>
      <c r="S51" s="39"/>
      <c r="T51" s="72">
        <f t="shared" si="18"/>
        <v>5200000000</v>
      </c>
      <c r="U51" s="39"/>
      <c r="V51" s="72">
        <f t="shared" si="40"/>
        <v>0</v>
      </c>
      <c r="W51" s="72">
        <f t="shared" si="19"/>
        <v>0</v>
      </c>
      <c r="X51" s="39"/>
      <c r="Y51" s="72">
        <f t="shared" si="41"/>
        <v>72800000</v>
      </c>
      <c r="Z51" s="72">
        <f t="shared" si="20"/>
        <v>24386757.809831843</v>
      </c>
      <c r="AA51" s="39"/>
      <c r="AB51" s="72">
        <f t="shared" si="4"/>
        <v>0</v>
      </c>
      <c r="AC51" s="72">
        <f t="shared" si="21"/>
        <v>0</v>
      </c>
      <c r="AD51" s="39"/>
      <c r="AE51" s="72">
        <f t="shared" si="42"/>
        <v>0</v>
      </c>
      <c r="AF51" s="72">
        <f t="shared" si="22"/>
        <v>0</v>
      </c>
      <c r="AG51" s="39"/>
      <c r="AH51" s="72">
        <f t="shared" si="43"/>
        <v>190000000</v>
      </c>
      <c r="AI51" s="72">
        <f t="shared" si="23"/>
        <v>63646758.020165525</v>
      </c>
      <c r="AJ51" s="39"/>
      <c r="AK51" s="72">
        <f t="shared" si="44"/>
        <v>1872000000</v>
      </c>
      <c r="AL51" s="72">
        <f t="shared" si="24"/>
        <v>627088057.96710455</v>
      </c>
      <c r="AM51" s="39"/>
      <c r="AN51" s="72">
        <f t="shared" si="45"/>
        <v>936000000</v>
      </c>
      <c r="AO51" s="72">
        <f t="shared" si="25"/>
        <v>313544028.98355228</v>
      </c>
      <c r="AP51" s="39"/>
      <c r="AQ51" s="72">
        <f t="shared" si="46"/>
        <v>279113800</v>
      </c>
      <c r="AR51" s="72">
        <f t="shared" si="26"/>
        <v>93498360.466783553</v>
      </c>
      <c r="AS51" s="39"/>
      <c r="AT51" s="40">
        <f>IF($K51&lt;=$F$15,IF($F$40&lt;&gt;"",$F$40/1000,IF(ISERROR(VLOOKUP($F$3&amp;IF($G$4&lt;&gt;"",$G$4,"")&amp;IF($F$43&lt;&gt;"","_"&amp;$F$43,""),'表3）燃料価格'!$AF$9:$AG$25,2,0)),0,VLOOKUP($I51,'表3）燃料価格'!$A$6:$U$66,VLOOKUP($F$3&amp;IF($G$4&lt;&gt;"",$G$4,"")&amp;IF($F$43&lt;&gt;"","_"&amp;$F$43,""),'表3）燃料価格'!$AF$9:$AG$25,2,0)+VLOOKUP($F$41,'表3）燃料価格'!$AF$28:$AG$29,2,0),0)*IF($F$43="需要地価格",1,$F$8/$F$141))),"")</f>
        <v>64.098124504722776</v>
      </c>
      <c r="AU51" s="39"/>
      <c r="AV51" s="72">
        <f t="shared" si="47"/>
        <v>16711853909.946135</v>
      </c>
      <c r="AW51" s="72">
        <f t="shared" si="27"/>
        <v>5598185904.6036777</v>
      </c>
      <c r="AX51" s="39"/>
      <c r="AY51" s="40">
        <f>IF(ISERROR(IF($K51&lt;=$F$15,VLOOKUP($I51,'表4）CO2価格'!$A$7:$E$67,VLOOKUP($F$48,'表4）CO2価格'!$H$10:$I$12,2,0),0)*$F$8/1000,"")),0,IF($K51&lt;=$F$15,VLOOKUP($I51,'表4）CO2価格'!$A$7:$E$67,VLOOKUP($F$48,'表4）CO2価格'!$H$10:$I$12,2,0),0)*$F$8/1000,""))</f>
        <v>7.675477827818213</v>
      </c>
      <c r="AZ51" s="39"/>
      <c r="BA51" s="42">
        <f t="shared" si="48"/>
        <v>5483575234.4308968</v>
      </c>
      <c r="BB51" s="72">
        <f t="shared" si="28"/>
        <v>1836904137.0062933</v>
      </c>
      <c r="BC51" s="39"/>
      <c r="BD51" s="72">
        <f t="shared" si="49"/>
        <v>0</v>
      </c>
      <c r="BE51" s="72">
        <f t="shared" si="29"/>
        <v>0</v>
      </c>
      <c r="BF51" s="39"/>
      <c r="BG51" s="42">
        <f t="shared" si="50"/>
        <v>0</v>
      </c>
      <c r="BH51" s="72">
        <f t="shared" si="30"/>
        <v>0</v>
      </c>
      <c r="BI51" s="39"/>
      <c r="BJ51" s="40" t="str">
        <f t="shared" si="31"/>
        <v/>
      </c>
      <c r="BK51" s="157" t="str">
        <f t="shared" si="32"/>
        <v/>
      </c>
      <c r="BL51" s="157" t="str">
        <f t="shared" si="14"/>
        <v/>
      </c>
      <c r="BM51" s="72"/>
      <c r="BN51" s="72" t="str">
        <f t="shared" si="33"/>
        <v/>
      </c>
      <c r="BO51" s="72" t="str">
        <f t="shared" si="34"/>
        <v/>
      </c>
      <c r="BP51" s="39"/>
      <c r="BQ51" s="72">
        <f t="shared" si="51"/>
        <v>1000742400</v>
      </c>
      <c r="BR51" s="72">
        <f t="shared" si="35"/>
        <v>335231628.28062999</v>
      </c>
    </row>
    <row r="52" spans="3:70" x14ac:dyDescent="0.15">
      <c r="D52" s="81" t="s">
        <v>185</v>
      </c>
      <c r="F52" s="90"/>
      <c r="G52" s="81" t="s">
        <v>172</v>
      </c>
      <c r="I52" s="459">
        <f t="shared" si="36"/>
        <v>2057</v>
      </c>
      <c r="J52" s="71"/>
      <c r="K52" s="71">
        <f t="shared" si="37"/>
        <v>38</v>
      </c>
      <c r="L52" s="71"/>
      <c r="M52" s="7">
        <f t="shared" si="38"/>
        <v>0.3252261523769317</v>
      </c>
      <c r="N52" s="71"/>
      <c r="O52" s="10">
        <f t="shared" si="52"/>
        <v>0</v>
      </c>
      <c r="P52" s="29" t="str">
        <f t="shared" si="39"/>
        <v>-</v>
      </c>
      <c r="Q52" s="71"/>
      <c r="R52" s="10">
        <f t="shared" si="53"/>
        <v>5200000000</v>
      </c>
      <c r="S52" s="71"/>
      <c r="T52" s="10">
        <f t="shared" si="18"/>
        <v>5200000000</v>
      </c>
      <c r="U52" s="71"/>
      <c r="V52" s="10">
        <f t="shared" si="40"/>
        <v>0</v>
      </c>
      <c r="W52" s="10">
        <f t="shared" si="19"/>
        <v>0</v>
      </c>
      <c r="X52" s="71"/>
      <c r="Y52" s="10">
        <f t="shared" si="41"/>
        <v>72800000</v>
      </c>
      <c r="Z52" s="10">
        <f t="shared" si="20"/>
        <v>23676463.893040627</v>
      </c>
      <c r="AA52" s="71"/>
      <c r="AB52" s="10">
        <f t="shared" si="4"/>
        <v>0</v>
      </c>
      <c r="AC52" s="10">
        <f t="shared" si="21"/>
        <v>0</v>
      </c>
      <c r="AD52" s="71"/>
      <c r="AE52" s="10">
        <f t="shared" si="42"/>
        <v>0</v>
      </c>
      <c r="AF52" s="10">
        <f t="shared" si="22"/>
        <v>0</v>
      </c>
      <c r="AG52" s="71"/>
      <c r="AH52" s="10">
        <f t="shared" si="43"/>
        <v>190000000</v>
      </c>
      <c r="AI52" s="10">
        <f t="shared" si="23"/>
        <v>61792968.951617025</v>
      </c>
      <c r="AJ52" s="71"/>
      <c r="AK52" s="10">
        <f t="shared" si="44"/>
        <v>1872000000</v>
      </c>
      <c r="AL52" s="10">
        <f t="shared" si="24"/>
        <v>608823357.24961615</v>
      </c>
      <c r="AM52" s="71"/>
      <c r="AN52" s="10">
        <f t="shared" si="45"/>
        <v>936000000</v>
      </c>
      <c r="AO52" s="10">
        <f t="shared" si="25"/>
        <v>304411678.62480807</v>
      </c>
      <c r="AP52" s="71"/>
      <c r="AQ52" s="10">
        <f t="shared" si="46"/>
        <v>279113800</v>
      </c>
      <c r="AR52" s="10">
        <f t="shared" si="26"/>
        <v>90775107.249304444</v>
      </c>
      <c r="AS52" s="71"/>
      <c r="AT52" s="7">
        <f>IF($K52&lt;=$F$15,IF($F$40&lt;&gt;"",$F$40/1000,IF(ISERROR(VLOOKUP($F$3&amp;IF($G$4&lt;&gt;"",$G$4,"")&amp;IF($F$43&lt;&gt;"","_"&amp;$F$43,""),'表3）燃料価格'!$AF$9:$AG$25,2,0)),0,VLOOKUP($I52,'表3）燃料価格'!$A$6:$U$66,VLOOKUP($F$3&amp;IF($G$4&lt;&gt;"",$G$4,"")&amp;IF($F$43&lt;&gt;"","_"&amp;$F$43,""),'表3）燃料価格'!$AF$9:$AG$25,2,0)+VLOOKUP($F$41,'表3）燃料価格'!$AF$28:$AG$29,2,0),0)*IF($F$43="需要地価格",1,$F$8/$F$141))),"")</f>
        <v>64.310156112698436</v>
      </c>
      <c r="AU52" s="71"/>
      <c r="AV52" s="10">
        <f t="shared" si="47"/>
        <v>16761275582.845636</v>
      </c>
      <c r="AW52" s="10">
        <f t="shared" si="27"/>
        <v>5451205166.7382994</v>
      </c>
      <c r="AX52" s="71"/>
      <c r="AY52" s="7">
        <f>IF(ISERROR(IF($K52&lt;=$F$15,VLOOKUP($I52,'表4）CO2価格'!$A$7:$E$67,VLOOKUP($F$48,'表4）CO2価格'!$H$10:$I$12,2,0),0)*$F$8/1000,"")),0,IF($K52&lt;=$F$15,VLOOKUP($I52,'表4）CO2価格'!$A$7:$E$67,VLOOKUP($F$48,'表4）CO2価格'!$H$10:$I$12,2,0),0)*$F$8/1000,""))</f>
        <v>7.8066855236744779</v>
      </c>
      <c r="AZ52" s="71"/>
      <c r="BA52" s="11">
        <f t="shared" si="48"/>
        <v>5577313668.4025927</v>
      </c>
      <c r="BB52" s="10">
        <f t="shared" si="28"/>
        <v>1813888264.9738455</v>
      </c>
      <c r="BC52" s="71"/>
      <c r="BD52" s="10">
        <f t="shared" si="49"/>
        <v>0</v>
      </c>
      <c r="BE52" s="10">
        <f t="shared" si="29"/>
        <v>0</v>
      </c>
      <c r="BF52" s="71"/>
      <c r="BG52" s="11">
        <f t="shared" si="50"/>
        <v>0</v>
      </c>
      <c r="BH52" s="10">
        <f t="shared" si="30"/>
        <v>0</v>
      </c>
      <c r="BJ52" s="7" t="str">
        <f t="shared" si="31"/>
        <v/>
      </c>
      <c r="BK52" s="158" t="str">
        <f t="shared" si="32"/>
        <v/>
      </c>
      <c r="BL52" s="158" t="str">
        <f t="shared" si="14"/>
        <v/>
      </c>
      <c r="BM52" s="10"/>
      <c r="BN52" s="10" t="str">
        <f t="shared" si="33"/>
        <v/>
      </c>
      <c r="BO52" s="10" t="str">
        <f t="shared" si="34"/>
        <v/>
      </c>
      <c r="BQ52" s="10">
        <f t="shared" si="51"/>
        <v>1000742400</v>
      </c>
      <c r="BR52" s="10">
        <f t="shared" si="35"/>
        <v>325467600.27245635</v>
      </c>
    </row>
    <row r="53" spans="3:70" x14ac:dyDescent="0.15">
      <c r="D53" s="81" t="s">
        <v>186</v>
      </c>
      <c r="F53" s="66"/>
      <c r="G53" s="81" t="s">
        <v>172</v>
      </c>
      <c r="I53" s="458">
        <f t="shared" si="36"/>
        <v>2058</v>
      </c>
      <c r="J53" s="39"/>
      <c r="K53" s="39">
        <f t="shared" si="37"/>
        <v>39</v>
      </c>
      <c r="L53" s="39"/>
      <c r="M53" s="40">
        <f t="shared" si="38"/>
        <v>0.31575354599702099</v>
      </c>
      <c r="N53" s="39"/>
      <c r="O53" s="72">
        <f t="shared" si="52"/>
        <v>0</v>
      </c>
      <c r="P53" s="41" t="str">
        <f t="shared" si="39"/>
        <v>-</v>
      </c>
      <c r="Q53" s="39"/>
      <c r="R53" s="72">
        <f t="shared" si="53"/>
        <v>5200000000</v>
      </c>
      <c r="S53" s="39"/>
      <c r="T53" s="72">
        <f t="shared" si="18"/>
        <v>5200000000</v>
      </c>
      <c r="U53" s="39"/>
      <c r="V53" s="72">
        <f t="shared" si="40"/>
        <v>0</v>
      </c>
      <c r="W53" s="72">
        <f t="shared" si="19"/>
        <v>0</v>
      </c>
      <c r="X53" s="39"/>
      <c r="Y53" s="72">
        <f t="shared" si="41"/>
        <v>72800000</v>
      </c>
      <c r="Z53" s="72">
        <f t="shared" si="20"/>
        <v>22986858.148583129</v>
      </c>
      <c r="AA53" s="39"/>
      <c r="AB53" s="72">
        <f t="shared" si="4"/>
        <v>0</v>
      </c>
      <c r="AC53" s="72">
        <f t="shared" si="21"/>
        <v>0</v>
      </c>
      <c r="AD53" s="39"/>
      <c r="AE53" s="72">
        <f t="shared" si="42"/>
        <v>0</v>
      </c>
      <c r="AF53" s="72">
        <f t="shared" si="22"/>
        <v>0</v>
      </c>
      <c r="AG53" s="39"/>
      <c r="AH53" s="72">
        <f t="shared" si="43"/>
        <v>190000000</v>
      </c>
      <c r="AI53" s="72">
        <f t="shared" si="23"/>
        <v>59993173.739433989</v>
      </c>
      <c r="AJ53" s="39"/>
      <c r="AK53" s="72">
        <f t="shared" si="44"/>
        <v>1872000000</v>
      </c>
      <c r="AL53" s="72">
        <f t="shared" si="24"/>
        <v>591090638.10642326</v>
      </c>
      <c r="AM53" s="39"/>
      <c r="AN53" s="72">
        <f t="shared" si="45"/>
        <v>936000000</v>
      </c>
      <c r="AO53" s="72">
        <f t="shared" si="25"/>
        <v>295545319.05321163</v>
      </c>
      <c r="AP53" s="39"/>
      <c r="AQ53" s="72">
        <f t="shared" si="46"/>
        <v>279113800</v>
      </c>
      <c r="AR53" s="72">
        <f t="shared" si="26"/>
        <v>88131172.086703315</v>
      </c>
      <c r="AS53" s="39"/>
      <c r="AT53" s="40">
        <f>IF($K53&lt;=$F$15,IF($F$40&lt;&gt;"",$F$40/1000,IF(ISERROR(VLOOKUP($F$3&amp;IF($G$4&lt;&gt;"",$G$4,"")&amp;IF($F$43&lt;&gt;"","_"&amp;$F$43,""),'表3）燃料価格'!$AF$9:$AG$25,2,0)),0,VLOOKUP($I53,'表3）燃料価格'!$A$6:$U$66,VLOOKUP($F$3&amp;IF($G$4&lt;&gt;"",$G$4,"")&amp;IF($F$43&lt;&gt;"","_"&amp;$F$43,""),'表3）燃料価格'!$AF$9:$AG$25,2,0)+VLOOKUP($F$41,'表3）燃料価格'!$AF$28:$AG$29,2,0),0)*IF($F$43="需要地価格",1,$F$8/$F$141))),"")</f>
        <v>64.517312996413821</v>
      </c>
      <c r="AU53" s="39"/>
      <c r="AV53" s="72">
        <f t="shared" si="47"/>
        <v>16809561024.075876</v>
      </c>
      <c r="AW53" s="72">
        <f t="shared" si="27"/>
        <v>5307678500.0052738</v>
      </c>
      <c r="AX53" s="39"/>
      <c r="AY53" s="40">
        <f>IF(ISERROR(IF($K53&lt;=$F$15,VLOOKUP($I53,'表4）CO2価格'!$A$7:$E$67,VLOOKUP($F$48,'表4）CO2価格'!$H$10:$I$12,2,0),0)*$F$8/1000,"")),0,IF($K53&lt;=$F$15,VLOOKUP($I53,'表4）CO2価格'!$A$7:$E$67,VLOOKUP($F$48,'表4）CO2価格'!$H$10:$I$12,2,0),0)*$F$8/1000,""))</f>
        <v>7.9378294490802217</v>
      </c>
      <c r="AZ53" s="39"/>
      <c r="BA53" s="42">
        <f t="shared" si="48"/>
        <v>5671006542.9874973</v>
      </c>
      <c r="BB53" s="72">
        <f t="shared" si="28"/>
        <v>1790640425.3206098</v>
      </c>
      <c r="BC53" s="39"/>
      <c r="BD53" s="72">
        <f t="shared" si="49"/>
        <v>0</v>
      </c>
      <c r="BE53" s="72">
        <f t="shared" si="29"/>
        <v>0</v>
      </c>
      <c r="BF53" s="39"/>
      <c r="BG53" s="42">
        <f t="shared" si="50"/>
        <v>0</v>
      </c>
      <c r="BH53" s="72">
        <f t="shared" si="30"/>
        <v>0</v>
      </c>
      <c r="BI53" s="39"/>
      <c r="BJ53" s="40" t="str">
        <f t="shared" si="31"/>
        <v/>
      </c>
      <c r="BK53" s="157" t="str">
        <f t="shared" si="32"/>
        <v/>
      </c>
      <c r="BL53" s="157" t="str">
        <f t="shared" si="14"/>
        <v/>
      </c>
      <c r="BM53" s="72"/>
      <c r="BN53" s="72" t="str">
        <f t="shared" si="33"/>
        <v/>
      </c>
      <c r="BO53" s="72" t="str">
        <f t="shared" si="34"/>
        <v/>
      </c>
      <c r="BP53" s="39"/>
      <c r="BQ53" s="72">
        <f t="shared" si="51"/>
        <v>1000742400</v>
      </c>
      <c r="BR53" s="72">
        <f t="shared" si="35"/>
        <v>315987961.42956918</v>
      </c>
    </row>
    <row r="54" spans="3:70" x14ac:dyDescent="0.15">
      <c r="D54" s="81" t="s">
        <v>187</v>
      </c>
      <c r="F54" s="66"/>
      <c r="G54" s="81" t="s">
        <v>172</v>
      </c>
      <c r="I54" s="459">
        <f t="shared" si="36"/>
        <v>2059</v>
      </c>
      <c r="J54" s="71"/>
      <c r="K54" s="71">
        <f t="shared" si="37"/>
        <v>40</v>
      </c>
      <c r="L54" s="71"/>
      <c r="M54" s="7">
        <f t="shared" si="38"/>
        <v>0.30655684077380685</v>
      </c>
      <c r="N54" s="71"/>
      <c r="O54" s="10">
        <f t="shared" si="52"/>
        <v>0</v>
      </c>
      <c r="P54" s="29" t="str">
        <f t="shared" si="39"/>
        <v>-</v>
      </c>
      <c r="Q54" s="71"/>
      <c r="R54" s="10">
        <f t="shared" si="53"/>
        <v>5200000000</v>
      </c>
      <c r="S54" s="71"/>
      <c r="T54" s="10">
        <f t="shared" si="18"/>
        <v>5200000000</v>
      </c>
      <c r="U54" s="71"/>
      <c r="V54" s="10">
        <f t="shared" si="40"/>
        <v>0</v>
      </c>
      <c r="W54" s="10">
        <f t="shared" si="19"/>
        <v>0</v>
      </c>
      <c r="X54" s="71"/>
      <c r="Y54" s="10">
        <f t="shared" si="41"/>
        <v>72800000</v>
      </c>
      <c r="Z54" s="10">
        <f t="shared" si="20"/>
        <v>22317338.008333139</v>
      </c>
      <c r="AA54" s="71"/>
      <c r="AB54" s="10">
        <f t="shared" si="4"/>
        <v>0</v>
      </c>
      <c r="AC54" s="10">
        <f t="shared" si="21"/>
        <v>0</v>
      </c>
      <c r="AD54" s="71"/>
      <c r="AE54" s="10">
        <f t="shared" si="42"/>
        <v>0</v>
      </c>
      <c r="AF54" s="10">
        <f t="shared" si="22"/>
        <v>0</v>
      </c>
      <c r="AG54" s="71"/>
      <c r="AH54" s="10">
        <f t="shared" si="43"/>
        <v>190000000</v>
      </c>
      <c r="AI54" s="10">
        <f t="shared" si="23"/>
        <v>58245799.747023299</v>
      </c>
      <c r="AJ54" s="71"/>
      <c r="AK54" s="10">
        <f t="shared" si="44"/>
        <v>1872000000</v>
      </c>
      <c r="AL54" s="10">
        <f t="shared" si="24"/>
        <v>573874405.92856646</v>
      </c>
      <c r="AM54" s="71"/>
      <c r="AN54" s="10">
        <f t="shared" si="45"/>
        <v>936000000</v>
      </c>
      <c r="AO54" s="10">
        <f t="shared" si="25"/>
        <v>286937202.96428323</v>
      </c>
      <c r="AP54" s="71"/>
      <c r="AQ54" s="10">
        <f t="shared" si="46"/>
        <v>279113800</v>
      </c>
      <c r="AR54" s="10">
        <f t="shared" si="26"/>
        <v>85564244.744372174</v>
      </c>
      <c r="AS54" s="71"/>
      <c r="AT54" s="7">
        <f>IF($K54&lt;=$F$15,IF($F$40&lt;&gt;"",$F$40/1000,IF(ISERROR(VLOOKUP($F$3&amp;IF($G$4&lt;&gt;"",$G$4,"")&amp;IF($F$43&lt;&gt;"","_"&amp;$F$43,""),'表3）燃料価格'!$AF$9:$AG$25,2,0)),0,VLOOKUP($I54,'表3）燃料価格'!$A$6:$U$66,VLOOKUP($F$3&amp;IF($G$4&lt;&gt;"",$G$4,"")&amp;IF($F$43&lt;&gt;"","_"&amp;$F$43,""),'表3）燃料価格'!$AF$9:$AG$25,2,0)+VLOOKUP($F$41,'表3）燃料価格'!$AF$28:$AG$29,2,0),0)*IF($F$43="需要地価格",1,$F$8/$F$141))),"")</f>
        <v>64.719814272908408</v>
      </c>
      <c r="AU54" s="71"/>
      <c r="AV54" s="10">
        <f t="shared" si="47"/>
        <v>16856761306.827097</v>
      </c>
      <c r="AW54" s="10">
        <f t="shared" si="27"/>
        <v>5167555491.8990622</v>
      </c>
      <c r="AX54" s="71"/>
      <c r="AY54" s="7">
        <f>IF(ISERROR(IF($K54&lt;=$F$15,VLOOKUP($I54,'表4）CO2価格'!$A$7:$E$67,VLOOKUP($F$48,'表4）CO2価格'!$H$10:$I$12,2,0),0)*$F$8/1000,"")),0,IF($K54&lt;=$F$15,VLOOKUP($I54,'表4）CO2価格'!$A$7:$E$67,VLOOKUP($F$48,'表4）CO2価格'!$H$10:$I$12,2,0),0)*$F$8/1000,""))</f>
        <v>8.0689096659945534</v>
      </c>
      <c r="AZ54" s="71"/>
      <c r="BA54" s="11">
        <f t="shared" si="48"/>
        <v>5764653902.4509249</v>
      </c>
      <c r="BB54" s="10">
        <f t="shared" si="28"/>
        <v>1767194088.4897525</v>
      </c>
      <c r="BC54" s="71"/>
      <c r="BD54" s="10">
        <f t="shared" si="49"/>
        <v>0</v>
      </c>
      <c r="BE54" s="10">
        <f t="shared" si="29"/>
        <v>0</v>
      </c>
      <c r="BF54" s="71"/>
      <c r="BG54" s="11">
        <f t="shared" si="50"/>
        <v>0</v>
      </c>
      <c r="BH54" s="10">
        <f t="shared" si="30"/>
        <v>0</v>
      </c>
      <c r="BJ54" s="7" t="str">
        <f t="shared" si="31"/>
        <v/>
      </c>
      <c r="BK54" s="158" t="str">
        <f t="shared" si="32"/>
        <v/>
      </c>
      <c r="BL54" s="158" t="str">
        <f t="shared" si="14"/>
        <v/>
      </c>
      <c r="BM54" s="10"/>
      <c r="BN54" s="10" t="str">
        <f t="shared" si="33"/>
        <v/>
      </c>
      <c r="BO54" s="10" t="str">
        <f t="shared" si="34"/>
        <v/>
      </c>
      <c r="BQ54" s="10">
        <f t="shared" si="51"/>
        <v>1000742400</v>
      </c>
      <c r="BR54" s="10">
        <f t="shared" si="35"/>
        <v>306784428.57239735</v>
      </c>
    </row>
    <row r="55" spans="3:70" ht="16.5" x14ac:dyDescent="0.15">
      <c r="D55" s="81" t="s">
        <v>188</v>
      </c>
      <c r="F55" s="66"/>
      <c r="G55" s="9" t="s">
        <v>372</v>
      </c>
      <c r="I55" s="458">
        <f>I54+1</f>
        <v>2060</v>
      </c>
      <c r="J55" s="39"/>
      <c r="K55" s="39">
        <f>IF(I55&lt;&gt;"",K54+1,"")</f>
        <v>41</v>
      </c>
      <c r="L55" s="39"/>
      <c r="M55" s="40">
        <f t="shared" si="38"/>
        <v>0.29762800075126877</v>
      </c>
      <c r="N55" s="39"/>
      <c r="O55" s="72" t="str">
        <f t="shared" si="52"/>
        <v/>
      </c>
      <c r="P55" s="41" t="str">
        <f t="shared" si="39"/>
        <v/>
      </c>
      <c r="Q55" s="39"/>
      <c r="R55" s="72" t="str">
        <f t="shared" si="53"/>
        <v/>
      </c>
      <c r="S55" s="39"/>
      <c r="T55" s="72" t="str">
        <f t="shared" si="18"/>
        <v/>
      </c>
      <c r="U55" s="39"/>
      <c r="V55" s="72" t="str">
        <f t="shared" si="40"/>
        <v/>
      </c>
      <c r="W55" s="72" t="str">
        <f t="shared" si="19"/>
        <v/>
      </c>
      <c r="X55" s="39"/>
      <c r="Y55" s="72" t="str">
        <f t="shared" si="41"/>
        <v/>
      </c>
      <c r="Z55" s="72" t="str">
        <f t="shared" si="20"/>
        <v/>
      </c>
      <c r="AA55" s="39"/>
      <c r="AB55" s="72">
        <f t="shared" si="4"/>
        <v>5200000000</v>
      </c>
      <c r="AC55" s="72">
        <f t="shared" si="21"/>
        <v>1547665603.9065976</v>
      </c>
      <c r="AD55" s="39"/>
      <c r="AE55" s="72" t="str">
        <f t="shared" si="42"/>
        <v/>
      </c>
      <c r="AF55" s="72" t="str">
        <f t="shared" si="22"/>
        <v/>
      </c>
      <c r="AG55" s="39"/>
      <c r="AH55" s="72" t="str">
        <f t="shared" si="43"/>
        <v/>
      </c>
      <c r="AI55" s="72" t="str">
        <f t="shared" si="23"/>
        <v/>
      </c>
      <c r="AJ55" s="39"/>
      <c r="AK55" s="72" t="str">
        <f t="shared" si="44"/>
        <v/>
      </c>
      <c r="AL55" s="72" t="str">
        <f t="shared" si="24"/>
        <v/>
      </c>
      <c r="AM55" s="39"/>
      <c r="AN55" s="72" t="str">
        <f t="shared" si="45"/>
        <v/>
      </c>
      <c r="AO55" s="72" t="str">
        <f t="shared" si="25"/>
        <v/>
      </c>
      <c r="AP55" s="39"/>
      <c r="AQ55" s="72" t="str">
        <f t="shared" si="46"/>
        <v/>
      </c>
      <c r="AR55" s="72" t="str">
        <f t="shared" si="26"/>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47"/>
        <v/>
      </c>
      <c r="AW55" s="72" t="str">
        <f t="shared" si="27"/>
        <v/>
      </c>
      <c r="AX55" s="39"/>
      <c r="AY55" s="40" t="str">
        <f>IF(ISERROR(IF($K55&lt;=$F$15,VLOOKUP($I55,'表4）CO2価格'!$A$7:$E$67,VLOOKUP($F$48,'表4）CO2価格'!$H$10:$I$12,2,0),0)*$F$8/1000,"")),0,IF($K55&lt;=$F$15,VLOOKUP($I55,'表4）CO2価格'!$A$7:$E$67,VLOOKUP($F$48,'表4）CO2価格'!$H$10:$I$12,2,0),0)*$F$8/1000,""))</f>
        <v/>
      </c>
      <c r="AZ55" s="39"/>
      <c r="BA55" s="42" t="str">
        <f t="shared" si="48"/>
        <v/>
      </c>
      <c r="BB55" s="72" t="str">
        <f t="shared" si="28"/>
        <v/>
      </c>
      <c r="BC55" s="39"/>
      <c r="BD55" s="72" t="str">
        <f t="shared" si="49"/>
        <v/>
      </c>
      <c r="BE55" s="72" t="str">
        <f t="shared" si="29"/>
        <v/>
      </c>
      <c r="BF55" s="39"/>
      <c r="BG55" s="42" t="str">
        <f t="shared" si="50"/>
        <v/>
      </c>
      <c r="BH55" s="72" t="str">
        <f t="shared" si="30"/>
        <v/>
      </c>
      <c r="BI55" s="39"/>
      <c r="BJ55" s="40" t="str">
        <f t="shared" si="31"/>
        <v/>
      </c>
      <c r="BK55" s="157" t="str">
        <f t="shared" si="32"/>
        <v/>
      </c>
      <c r="BL55" s="157" t="str">
        <f t="shared" si="14"/>
        <v/>
      </c>
      <c r="BM55" s="72"/>
      <c r="BN55" s="72" t="str">
        <f t="shared" si="33"/>
        <v/>
      </c>
      <c r="BO55" s="72" t="str">
        <f t="shared" si="34"/>
        <v/>
      </c>
      <c r="BP55" s="39"/>
      <c r="BQ55" s="72" t="str">
        <f t="shared" si="51"/>
        <v/>
      </c>
      <c r="BR55" s="72" t="str">
        <f t="shared" si="35"/>
        <v/>
      </c>
    </row>
    <row r="56" spans="3:70" x14ac:dyDescent="0.15">
      <c r="D56" s="81" t="s">
        <v>189</v>
      </c>
      <c r="F56" s="59"/>
      <c r="G56" s="81" t="s">
        <v>181</v>
      </c>
      <c r="I56" s="459">
        <f t="shared" si="36"/>
        <v>2061</v>
      </c>
      <c r="J56" s="71"/>
      <c r="K56" s="71">
        <f t="shared" si="37"/>
        <v>42</v>
      </c>
      <c r="L56" s="71"/>
      <c r="M56" s="7">
        <f t="shared" si="38"/>
        <v>0.28895922403035801</v>
      </c>
      <c r="N56" s="71"/>
      <c r="O56" s="10" t="str">
        <f t="shared" si="52"/>
        <v/>
      </c>
      <c r="P56" s="29" t="str">
        <f t="shared" si="39"/>
        <v/>
      </c>
      <c r="Q56" s="71"/>
      <c r="R56" s="10" t="str">
        <f t="shared" si="53"/>
        <v/>
      </c>
      <c r="S56" s="71"/>
      <c r="T56" s="10" t="str">
        <f t="shared" si="18"/>
        <v/>
      </c>
      <c r="U56" s="71"/>
      <c r="V56" s="10" t="str">
        <f t="shared" si="40"/>
        <v/>
      </c>
      <c r="W56" s="10" t="str">
        <f t="shared" si="19"/>
        <v/>
      </c>
      <c r="X56" s="71"/>
      <c r="Y56" s="10" t="str">
        <f t="shared" si="41"/>
        <v/>
      </c>
      <c r="Z56" s="10" t="str">
        <f t="shared" si="20"/>
        <v/>
      </c>
      <c r="AA56" s="71"/>
      <c r="AB56" s="10" t="str">
        <f t="shared" si="4"/>
        <v/>
      </c>
      <c r="AC56" s="10" t="str">
        <f t="shared" si="21"/>
        <v/>
      </c>
      <c r="AD56" s="71"/>
      <c r="AE56" s="10" t="str">
        <f t="shared" si="42"/>
        <v/>
      </c>
      <c r="AF56" s="10" t="str">
        <f t="shared" si="22"/>
        <v/>
      </c>
      <c r="AG56" s="71"/>
      <c r="AH56" s="10" t="str">
        <f t="shared" si="43"/>
        <v/>
      </c>
      <c r="AI56" s="10" t="str">
        <f t="shared" si="23"/>
        <v/>
      </c>
      <c r="AJ56" s="71"/>
      <c r="AK56" s="10" t="str">
        <f t="shared" si="44"/>
        <v/>
      </c>
      <c r="AL56" s="10" t="str">
        <f t="shared" si="24"/>
        <v/>
      </c>
      <c r="AM56" s="71"/>
      <c r="AN56" s="10" t="str">
        <f t="shared" si="45"/>
        <v/>
      </c>
      <c r="AO56" s="10" t="str">
        <f t="shared" si="25"/>
        <v/>
      </c>
      <c r="AP56" s="71"/>
      <c r="AQ56" s="10" t="str">
        <f t="shared" si="46"/>
        <v/>
      </c>
      <c r="AR56" s="10" t="str">
        <f t="shared" si="26"/>
        <v/>
      </c>
      <c r="AS56" s="71"/>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U56" s="71"/>
      <c r="AV56" s="10" t="str">
        <f t="shared" si="47"/>
        <v/>
      </c>
      <c r="AW56" s="10" t="str">
        <f t="shared" si="27"/>
        <v/>
      </c>
      <c r="AX56" s="71"/>
      <c r="AY56" s="7" t="str">
        <f>IF(ISERROR(IF($K56&lt;=$F$15,VLOOKUP($I56,'表4）CO2価格'!$A$7:$E$67,VLOOKUP($F$48,'表4）CO2価格'!$H$10:$I$12,2,0),0)*$F$8/1000,"")),0,IF($K56&lt;=$F$15,VLOOKUP($I56,'表4）CO2価格'!$A$7:$E$67,VLOOKUP($F$48,'表4）CO2価格'!$H$10:$I$12,2,0),0)*$F$8/1000,""))</f>
        <v/>
      </c>
      <c r="AZ56" s="71"/>
      <c r="BA56" s="11" t="str">
        <f t="shared" si="48"/>
        <v/>
      </c>
      <c r="BB56" s="10" t="str">
        <f t="shared" si="28"/>
        <v/>
      </c>
      <c r="BC56" s="71"/>
      <c r="BD56" s="10" t="str">
        <f t="shared" si="49"/>
        <v/>
      </c>
      <c r="BE56" s="10" t="str">
        <f t="shared" si="29"/>
        <v/>
      </c>
      <c r="BF56" s="71"/>
      <c r="BG56" s="11" t="str">
        <f t="shared" si="50"/>
        <v/>
      </c>
      <c r="BH56" s="10" t="str">
        <f t="shared" si="30"/>
        <v/>
      </c>
      <c r="BJ56" s="7" t="str">
        <f t="shared" si="31"/>
        <v/>
      </c>
      <c r="BK56" s="158" t="str">
        <f t="shared" si="32"/>
        <v/>
      </c>
      <c r="BL56" s="158" t="str">
        <f t="shared" si="14"/>
        <v/>
      </c>
      <c r="BM56" s="10"/>
      <c r="BN56" s="10" t="str">
        <f t="shared" si="33"/>
        <v/>
      </c>
      <c r="BO56" s="10" t="str">
        <f t="shared" si="34"/>
        <v/>
      </c>
      <c r="BQ56" s="10" t="str">
        <f t="shared" si="51"/>
        <v/>
      </c>
      <c r="BR56" s="10" t="str">
        <f t="shared" si="35"/>
        <v/>
      </c>
    </row>
    <row r="57" spans="3:70" x14ac:dyDescent="0.15">
      <c r="I57" s="458">
        <f t="shared" si="36"/>
        <v>2062</v>
      </c>
      <c r="J57" s="39"/>
      <c r="K57" s="39">
        <f t="shared" si="37"/>
        <v>43</v>
      </c>
      <c r="L57" s="39"/>
      <c r="M57" s="40">
        <f t="shared" si="38"/>
        <v>0.28054293595180391</v>
      </c>
      <c r="N57" s="39"/>
      <c r="O57" s="72" t="str">
        <f t="shared" si="52"/>
        <v/>
      </c>
      <c r="P57" s="41" t="str">
        <f t="shared" si="39"/>
        <v/>
      </c>
      <c r="Q57" s="39"/>
      <c r="R57" s="72" t="str">
        <f t="shared" si="53"/>
        <v/>
      </c>
      <c r="S57" s="39"/>
      <c r="T57" s="72" t="str">
        <f t="shared" si="18"/>
        <v/>
      </c>
      <c r="U57" s="39"/>
      <c r="V57" s="72" t="str">
        <f t="shared" si="40"/>
        <v/>
      </c>
      <c r="W57" s="72" t="str">
        <f t="shared" si="19"/>
        <v/>
      </c>
      <c r="X57" s="39"/>
      <c r="Y57" s="72" t="str">
        <f t="shared" si="41"/>
        <v/>
      </c>
      <c r="Z57" s="72" t="str">
        <f t="shared" si="20"/>
        <v/>
      </c>
      <c r="AA57" s="39"/>
      <c r="AB57" s="72" t="str">
        <f t="shared" si="4"/>
        <v/>
      </c>
      <c r="AC57" s="72" t="str">
        <f t="shared" si="21"/>
        <v/>
      </c>
      <c r="AD57" s="39"/>
      <c r="AE57" s="72" t="str">
        <f t="shared" si="42"/>
        <v/>
      </c>
      <c r="AF57" s="72" t="str">
        <f t="shared" si="22"/>
        <v/>
      </c>
      <c r="AG57" s="39"/>
      <c r="AH57" s="72" t="str">
        <f t="shared" si="43"/>
        <v/>
      </c>
      <c r="AI57" s="72" t="str">
        <f t="shared" si="23"/>
        <v/>
      </c>
      <c r="AJ57" s="39"/>
      <c r="AK57" s="72" t="str">
        <f t="shared" si="44"/>
        <v/>
      </c>
      <c r="AL57" s="72" t="str">
        <f t="shared" si="24"/>
        <v/>
      </c>
      <c r="AM57" s="39"/>
      <c r="AN57" s="72" t="str">
        <f t="shared" si="45"/>
        <v/>
      </c>
      <c r="AO57" s="72" t="str">
        <f t="shared" si="25"/>
        <v/>
      </c>
      <c r="AP57" s="39"/>
      <c r="AQ57" s="72" t="str">
        <f t="shared" si="46"/>
        <v/>
      </c>
      <c r="AR57" s="72" t="str">
        <f t="shared" si="26"/>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47"/>
        <v/>
      </c>
      <c r="AW57" s="72" t="str">
        <f t="shared" si="27"/>
        <v/>
      </c>
      <c r="AX57" s="39"/>
      <c r="AY57" s="40" t="str">
        <f>IF(ISERROR(IF($K57&lt;=$F$15,VLOOKUP($I57,'表4）CO2価格'!$A$7:$E$67,VLOOKUP($F$48,'表4）CO2価格'!$H$10:$I$12,2,0),0)*$F$8/1000,"")),0,IF($K57&lt;=$F$15,VLOOKUP($I57,'表4）CO2価格'!$A$7:$E$67,VLOOKUP($F$48,'表4）CO2価格'!$H$10:$I$12,2,0),0)*$F$8/1000,""))</f>
        <v/>
      </c>
      <c r="AZ57" s="39"/>
      <c r="BA57" s="42" t="str">
        <f t="shared" si="48"/>
        <v/>
      </c>
      <c r="BB57" s="72" t="str">
        <f t="shared" si="28"/>
        <v/>
      </c>
      <c r="BC57" s="39"/>
      <c r="BD57" s="72" t="str">
        <f t="shared" si="49"/>
        <v/>
      </c>
      <c r="BE57" s="72" t="str">
        <f t="shared" si="29"/>
        <v/>
      </c>
      <c r="BF57" s="39"/>
      <c r="BG57" s="42" t="str">
        <f t="shared" si="50"/>
        <v/>
      </c>
      <c r="BH57" s="72" t="str">
        <f t="shared" si="30"/>
        <v/>
      </c>
      <c r="BI57" s="39"/>
      <c r="BJ57" s="40" t="str">
        <f t="shared" si="31"/>
        <v/>
      </c>
      <c r="BK57" s="157" t="str">
        <f t="shared" si="32"/>
        <v/>
      </c>
      <c r="BL57" s="157" t="str">
        <f t="shared" si="14"/>
        <v/>
      </c>
      <c r="BM57" s="72"/>
      <c r="BN57" s="72" t="str">
        <f t="shared" si="33"/>
        <v/>
      </c>
      <c r="BO57" s="72" t="str">
        <f t="shared" si="34"/>
        <v/>
      </c>
      <c r="BP57" s="39"/>
      <c r="BQ57" s="72" t="str">
        <f t="shared" si="51"/>
        <v/>
      </c>
      <c r="BR57" s="72" t="str">
        <f t="shared" si="35"/>
        <v/>
      </c>
    </row>
    <row r="58" spans="3:70" x14ac:dyDescent="0.15">
      <c r="C58" s="89" t="s">
        <v>512</v>
      </c>
      <c r="D58" s="101"/>
      <c r="E58" s="101"/>
      <c r="F58" s="89"/>
      <c r="G58" s="101"/>
      <c r="I58" s="459">
        <f t="shared" si="36"/>
        <v>2063</v>
      </c>
      <c r="J58" s="71"/>
      <c r="K58" s="71">
        <f t="shared" si="37"/>
        <v>44</v>
      </c>
      <c r="L58" s="71"/>
      <c r="M58" s="7">
        <f t="shared" si="38"/>
        <v>0.27237178247747956</v>
      </c>
      <c r="N58" s="71"/>
      <c r="O58" s="10" t="str">
        <f t="shared" si="52"/>
        <v/>
      </c>
      <c r="P58" s="29" t="str">
        <f t="shared" si="39"/>
        <v/>
      </c>
      <c r="Q58" s="71"/>
      <c r="R58" s="10" t="str">
        <f t="shared" si="53"/>
        <v/>
      </c>
      <c r="S58" s="71"/>
      <c r="T58" s="10" t="str">
        <f t="shared" si="18"/>
        <v/>
      </c>
      <c r="U58" s="71"/>
      <c r="V58" s="10" t="str">
        <f t="shared" si="40"/>
        <v/>
      </c>
      <c r="W58" s="10" t="str">
        <f t="shared" si="19"/>
        <v/>
      </c>
      <c r="X58" s="71"/>
      <c r="Y58" s="10" t="str">
        <f t="shared" si="41"/>
        <v/>
      </c>
      <c r="Z58" s="10" t="str">
        <f t="shared" si="20"/>
        <v/>
      </c>
      <c r="AA58" s="71"/>
      <c r="AB58" s="10" t="str">
        <f t="shared" si="4"/>
        <v/>
      </c>
      <c r="AC58" s="10" t="str">
        <f t="shared" si="21"/>
        <v/>
      </c>
      <c r="AD58" s="71"/>
      <c r="AE58" s="10" t="str">
        <f t="shared" si="42"/>
        <v/>
      </c>
      <c r="AF58" s="10" t="str">
        <f t="shared" si="22"/>
        <v/>
      </c>
      <c r="AG58" s="71"/>
      <c r="AH58" s="10" t="str">
        <f t="shared" si="43"/>
        <v/>
      </c>
      <c r="AI58" s="10" t="str">
        <f t="shared" si="23"/>
        <v/>
      </c>
      <c r="AJ58" s="71"/>
      <c r="AK58" s="10" t="str">
        <f t="shared" si="44"/>
        <v/>
      </c>
      <c r="AL58" s="10" t="str">
        <f t="shared" si="24"/>
        <v/>
      </c>
      <c r="AM58" s="71"/>
      <c r="AN58" s="10" t="str">
        <f t="shared" si="45"/>
        <v/>
      </c>
      <c r="AO58" s="10" t="str">
        <f t="shared" si="25"/>
        <v/>
      </c>
      <c r="AP58" s="71"/>
      <c r="AQ58" s="10" t="str">
        <f t="shared" si="46"/>
        <v/>
      </c>
      <c r="AR58" s="10" t="str">
        <f t="shared" si="26"/>
        <v/>
      </c>
      <c r="AS58" s="71"/>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U58" s="71"/>
      <c r="AV58" s="10" t="str">
        <f t="shared" si="47"/>
        <v/>
      </c>
      <c r="AW58" s="10" t="str">
        <f t="shared" si="27"/>
        <v/>
      </c>
      <c r="AX58" s="71"/>
      <c r="AY58" s="7" t="str">
        <f>IF(ISERROR(IF($K58&lt;=$F$15,VLOOKUP($I58,'表4）CO2価格'!$A$7:$E$67,VLOOKUP($F$48,'表4）CO2価格'!$H$10:$I$12,2,0),0)*$F$8/1000,"")),0,IF($K58&lt;=$F$15,VLOOKUP($I58,'表4）CO2価格'!$A$7:$E$67,VLOOKUP($F$48,'表4）CO2価格'!$H$10:$I$12,2,0),0)*$F$8/1000,""))</f>
        <v/>
      </c>
      <c r="AZ58" s="71"/>
      <c r="BA58" s="11" t="str">
        <f t="shared" si="48"/>
        <v/>
      </c>
      <c r="BB58" s="10" t="str">
        <f t="shared" si="28"/>
        <v/>
      </c>
      <c r="BC58" s="71"/>
      <c r="BD58" s="10" t="str">
        <f t="shared" si="49"/>
        <v/>
      </c>
      <c r="BE58" s="10" t="str">
        <f t="shared" si="29"/>
        <v/>
      </c>
      <c r="BF58" s="71"/>
      <c r="BG58" s="11" t="str">
        <f t="shared" si="50"/>
        <v/>
      </c>
      <c r="BH58" s="10" t="str">
        <f t="shared" si="30"/>
        <v/>
      </c>
      <c r="BJ58" s="7" t="str">
        <f t="shared" si="31"/>
        <v/>
      </c>
      <c r="BK58" s="158" t="str">
        <f t="shared" si="32"/>
        <v/>
      </c>
      <c r="BL58" s="158" t="str">
        <f t="shared" si="14"/>
        <v/>
      </c>
      <c r="BM58" s="10"/>
      <c r="BN58" s="10" t="str">
        <f t="shared" si="33"/>
        <v/>
      </c>
      <c r="BO58" s="10" t="str">
        <f t="shared" si="34"/>
        <v/>
      </c>
      <c r="BQ58" s="10" t="str">
        <f t="shared" si="51"/>
        <v/>
      </c>
      <c r="BR58" s="10" t="str">
        <f t="shared" si="35"/>
        <v/>
      </c>
    </row>
    <row r="59" spans="3:70" x14ac:dyDescent="0.15">
      <c r="I59" s="458">
        <f t="shared" si="36"/>
        <v>2064</v>
      </c>
      <c r="J59" s="39"/>
      <c r="K59" s="39">
        <f t="shared" si="37"/>
        <v>45</v>
      </c>
      <c r="L59" s="39"/>
      <c r="M59" s="40">
        <f t="shared" si="38"/>
        <v>0.26443862376454325</v>
      </c>
      <c r="N59" s="39"/>
      <c r="O59" s="72" t="str">
        <f t="shared" si="52"/>
        <v/>
      </c>
      <c r="P59" s="41" t="str">
        <f t="shared" si="39"/>
        <v/>
      </c>
      <c r="Q59" s="39"/>
      <c r="R59" s="72" t="str">
        <f t="shared" si="53"/>
        <v/>
      </c>
      <c r="S59" s="39"/>
      <c r="T59" s="72" t="str">
        <f t="shared" si="18"/>
        <v/>
      </c>
      <c r="U59" s="39"/>
      <c r="V59" s="72" t="str">
        <f t="shared" si="40"/>
        <v/>
      </c>
      <c r="W59" s="72" t="str">
        <f t="shared" si="19"/>
        <v/>
      </c>
      <c r="X59" s="39"/>
      <c r="Y59" s="72" t="str">
        <f t="shared" si="41"/>
        <v/>
      </c>
      <c r="Z59" s="72" t="str">
        <f t="shared" si="20"/>
        <v/>
      </c>
      <c r="AA59" s="39"/>
      <c r="AB59" s="72" t="str">
        <f t="shared" si="4"/>
        <v/>
      </c>
      <c r="AC59" s="72" t="str">
        <f t="shared" si="21"/>
        <v/>
      </c>
      <c r="AD59" s="39"/>
      <c r="AE59" s="72" t="str">
        <f t="shared" si="42"/>
        <v/>
      </c>
      <c r="AF59" s="72" t="str">
        <f t="shared" si="22"/>
        <v/>
      </c>
      <c r="AG59" s="39"/>
      <c r="AH59" s="72" t="str">
        <f t="shared" si="43"/>
        <v/>
      </c>
      <c r="AI59" s="72" t="str">
        <f t="shared" si="23"/>
        <v/>
      </c>
      <c r="AJ59" s="39"/>
      <c r="AK59" s="72" t="str">
        <f t="shared" si="44"/>
        <v/>
      </c>
      <c r="AL59" s="72" t="str">
        <f t="shared" si="24"/>
        <v/>
      </c>
      <c r="AM59" s="39"/>
      <c r="AN59" s="72" t="str">
        <f t="shared" si="45"/>
        <v/>
      </c>
      <c r="AO59" s="72" t="str">
        <f t="shared" si="25"/>
        <v/>
      </c>
      <c r="AP59" s="39"/>
      <c r="AQ59" s="72" t="str">
        <f t="shared" si="46"/>
        <v/>
      </c>
      <c r="AR59" s="72" t="str">
        <f t="shared" si="26"/>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47"/>
        <v/>
      </c>
      <c r="AW59" s="72" t="str">
        <f t="shared" si="27"/>
        <v/>
      </c>
      <c r="AX59" s="39"/>
      <c r="AY59" s="40" t="str">
        <f>IF(ISERROR(IF($K59&lt;=$F$15,VLOOKUP($I59,'表4）CO2価格'!$A$7:$E$67,VLOOKUP($F$48,'表4）CO2価格'!$H$10:$I$12,2,0),0)*$F$8/1000,"")),0,IF($K59&lt;=$F$15,VLOOKUP($I59,'表4）CO2価格'!$A$7:$E$67,VLOOKUP($F$48,'表4）CO2価格'!$H$10:$I$12,2,0),0)*$F$8/1000,""))</f>
        <v/>
      </c>
      <c r="AZ59" s="39"/>
      <c r="BA59" s="42" t="str">
        <f t="shared" si="48"/>
        <v/>
      </c>
      <c r="BB59" s="72" t="str">
        <f t="shared" si="28"/>
        <v/>
      </c>
      <c r="BC59" s="39"/>
      <c r="BD59" s="72" t="str">
        <f t="shared" si="49"/>
        <v/>
      </c>
      <c r="BE59" s="72" t="str">
        <f t="shared" si="29"/>
        <v/>
      </c>
      <c r="BF59" s="39"/>
      <c r="BG59" s="42" t="str">
        <f t="shared" si="50"/>
        <v/>
      </c>
      <c r="BH59" s="72" t="str">
        <f t="shared" si="30"/>
        <v/>
      </c>
      <c r="BI59" s="39"/>
      <c r="BJ59" s="40" t="str">
        <f t="shared" si="31"/>
        <v/>
      </c>
      <c r="BK59" s="157" t="str">
        <f t="shared" si="32"/>
        <v/>
      </c>
      <c r="BL59" s="157" t="str">
        <f t="shared" si="14"/>
        <v/>
      </c>
      <c r="BM59" s="72"/>
      <c r="BN59" s="72" t="str">
        <f t="shared" si="33"/>
        <v/>
      </c>
      <c r="BO59" s="72" t="str">
        <f t="shared" si="34"/>
        <v/>
      </c>
      <c r="BP59" s="39"/>
      <c r="BQ59" s="72" t="str">
        <f t="shared" si="51"/>
        <v/>
      </c>
      <c r="BR59" s="72" t="str">
        <f t="shared" si="35"/>
        <v/>
      </c>
    </row>
    <row r="60" spans="3:70" x14ac:dyDescent="0.15">
      <c r="D60" s="81" t="s">
        <v>128</v>
      </c>
      <c r="F60" s="59"/>
      <c r="G60" s="81" t="s">
        <v>176</v>
      </c>
      <c r="I60" s="459">
        <f t="shared" si="36"/>
        <v>2065</v>
      </c>
      <c r="J60" s="71"/>
      <c r="K60" s="71">
        <f t="shared" si="37"/>
        <v>46</v>
      </c>
      <c r="L60" s="71"/>
      <c r="M60" s="7">
        <f t="shared" si="38"/>
        <v>0.25673652792674101</v>
      </c>
      <c r="N60" s="71"/>
      <c r="O60" s="10" t="str">
        <f t="shared" si="52"/>
        <v/>
      </c>
      <c r="P60" s="29" t="str">
        <f t="shared" si="39"/>
        <v/>
      </c>
      <c r="Q60" s="71"/>
      <c r="R60" s="10" t="str">
        <f t="shared" si="53"/>
        <v/>
      </c>
      <c r="S60" s="71"/>
      <c r="T60" s="10" t="str">
        <f t="shared" si="18"/>
        <v/>
      </c>
      <c r="U60" s="71"/>
      <c r="V60" s="10" t="str">
        <f t="shared" si="40"/>
        <v/>
      </c>
      <c r="W60" s="10" t="str">
        <f t="shared" si="19"/>
        <v/>
      </c>
      <c r="X60" s="71"/>
      <c r="Y60" s="10" t="str">
        <f t="shared" si="41"/>
        <v/>
      </c>
      <c r="Z60" s="10" t="str">
        <f t="shared" si="20"/>
        <v/>
      </c>
      <c r="AA60" s="71"/>
      <c r="AB60" s="10" t="str">
        <f t="shared" si="4"/>
        <v/>
      </c>
      <c r="AC60" s="10" t="str">
        <f t="shared" si="21"/>
        <v/>
      </c>
      <c r="AD60" s="71"/>
      <c r="AE60" s="10" t="str">
        <f t="shared" si="42"/>
        <v/>
      </c>
      <c r="AF60" s="10" t="str">
        <f t="shared" si="22"/>
        <v/>
      </c>
      <c r="AG60" s="71"/>
      <c r="AH60" s="10" t="str">
        <f t="shared" si="43"/>
        <v/>
      </c>
      <c r="AI60" s="10" t="str">
        <f t="shared" si="23"/>
        <v/>
      </c>
      <c r="AJ60" s="71"/>
      <c r="AK60" s="10" t="str">
        <f t="shared" si="44"/>
        <v/>
      </c>
      <c r="AL60" s="10" t="str">
        <f t="shared" si="24"/>
        <v/>
      </c>
      <c r="AM60" s="71"/>
      <c r="AN60" s="10" t="str">
        <f t="shared" si="45"/>
        <v/>
      </c>
      <c r="AO60" s="10" t="str">
        <f t="shared" si="25"/>
        <v/>
      </c>
      <c r="AP60" s="71"/>
      <c r="AQ60" s="10" t="str">
        <f t="shared" si="46"/>
        <v/>
      </c>
      <c r="AR60" s="10" t="str">
        <f t="shared" si="26"/>
        <v/>
      </c>
      <c r="AS60" s="71"/>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U60" s="71"/>
      <c r="AV60" s="10" t="str">
        <f t="shared" si="47"/>
        <v/>
      </c>
      <c r="AW60" s="10" t="str">
        <f t="shared" si="27"/>
        <v/>
      </c>
      <c r="AX60" s="71"/>
      <c r="AY60" s="7" t="str">
        <f>IF(ISERROR(IF($K60&lt;=$F$15,VLOOKUP($I60,'表4）CO2価格'!$A$7:$E$67,VLOOKUP($F$48,'表4）CO2価格'!$H$10:$I$12,2,0),0)*$F$8/1000,"")),0,IF($K60&lt;=$F$15,VLOOKUP($I60,'表4）CO2価格'!$A$7:$E$67,VLOOKUP($F$48,'表4）CO2価格'!$H$10:$I$12,2,0),0)*$F$8/1000,""))</f>
        <v/>
      </c>
      <c r="AZ60" s="71"/>
      <c r="BA60" s="11" t="str">
        <f t="shared" si="48"/>
        <v/>
      </c>
      <c r="BB60" s="10" t="str">
        <f t="shared" si="28"/>
        <v/>
      </c>
      <c r="BC60" s="71"/>
      <c r="BD60" s="10" t="str">
        <f t="shared" si="49"/>
        <v/>
      </c>
      <c r="BE60" s="10" t="str">
        <f t="shared" si="29"/>
        <v/>
      </c>
      <c r="BF60" s="71"/>
      <c r="BG60" s="11" t="str">
        <f t="shared" si="50"/>
        <v/>
      </c>
      <c r="BH60" s="10" t="str">
        <f t="shared" si="30"/>
        <v/>
      </c>
      <c r="BJ60" s="7" t="str">
        <f t="shared" si="31"/>
        <v/>
      </c>
      <c r="BK60" s="158" t="str">
        <f t="shared" si="32"/>
        <v/>
      </c>
      <c r="BL60" s="158" t="str">
        <f t="shared" si="14"/>
        <v/>
      </c>
      <c r="BM60" s="10"/>
      <c r="BN60" s="10" t="str">
        <f t="shared" si="33"/>
        <v/>
      </c>
      <c r="BO60" s="10" t="str">
        <f t="shared" si="34"/>
        <v/>
      </c>
      <c r="BQ60" s="10" t="str">
        <f t="shared" si="51"/>
        <v/>
      </c>
      <c r="BR60" s="10" t="str">
        <f t="shared" si="35"/>
        <v/>
      </c>
    </row>
    <row r="61" spans="3:70" x14ac:dyDescent="0.15">
      <c r="D61" s="81" t="s">
        <v>190</v>
      </c>
      <c r="F61" s="66"/>
      <c r="G61" s="81" t="s">
        <v>108</v>
      </c>
      <c r="I61" s="458">
        <f t="shared" si="36"/>
        <v>2066</v>
      </c>
      <c r="J61" s="39"/>
      <c r="K61" s="39">
        <f t="shared" si="37"/>
        <v>47</v>
      </c>
      <c r="L61" s="39"/>
      <c r="M61" s="40">
        <f t="shared" si="38"/>
        <v>0.24925876497741845</v>
      </c>
      <c r="N61" s="39"/>
      <c r="O61" s="72" t="str">
        <f t="shared" si="52"/>
        <v/>
      </c>
      <c r="P61" s="41" t="str">
        <f t="shared" si="39"/>
        <v/>
      </c>
      <c r="Q61" s="39"/>
      <c r="R61" s="72" t="str">
        <f t="shared" si="53"/>
        <v/>
      </c>
      <c r="S61" s="39"/>
      <c r="T61" s="72" t="str">
        <f t="shared" si="18"/>
        <v/>
      </c>
      <c r="U61" s="39"/>
      <c r="V61" s="72" t="str">
        <f t="shared" si="40"/>
        <v/>
      </c>
      <c r="W61" s="72" t="str">
        <f t="shared" si="19"/>
        <v/>
      </c>
      <c r="X61" s="39"/>
      <c r="Y61" s="72" t="str">
        <f t="shared" si="41"/>
        <v/>
      </c>
      <c r="Z61" s="72" t="str">
        <f t="shared" si="20"/>
        <v/>
      </c>
      <c r="AA61" s="39"/>
      <c r="AB61" s="72" t="str">
        <f t="shared" si="4"/>
        <v/>
      </c>
      <c r="AC61" s="72" t="str">
        <f t="shared" si="21"/>
        <v/>
      </c>
      <c r="AD61" s="39"/>
      <c r="AE61" s="72" t="str">
        <f t="shared" si="42"/>
        <v/>
      </c>
      <c r="AF61" s="72" t="str">
        <f t="shared" si="22"/>
        <v/>
      </c>
      <c r="AG61" s="39"/>
      <c r="AH61" s="72" t="str">
        <f t="shared" si="43"/>
        <v/>
      </c>
      <c r="AI61" s="72" t="str">
        <f t="shared" si="23"/>
        <v/>
      </c>
      <c r="AJ61" s="39"/>
      <c r="AK61" s="72" t="str">
        <f t="shared" si="44"/>
        <v/>
      </c>
      <c r="AL61" s="72" t="str">
        <f t="shared" si="24"/>
        <v/>
      </c>
      <c r="AM61" s="39"/>
      <c r="AN61" s="72" t="str">
        <f t="shared" si="45"/>
        <v/>
      </c>
      <c r="AO61" s="72" t="str">
        <f t="shared" si="25"/>
        <v/>
      </c>
      <c r="AP61" s="39"/>
      <c r="AQ61" s="72" t="str">
        <f t="shared" si="46"/>
        <v/>
      </c>
      <c r="AR61" s="72" t="str">
        <f t="shared" si="26"/>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47"/>
        <v/>
      </c>
      <c r="AW61" s="72" t="str">
        <f t="shared" si="27"/>
        <v/>
      </c>
      <c r="AX61" s="39"/>
      <c r="AY61" s="40" t="str">
        <f>IF(ISERROR(IF($K61&lt;=$F$15,VLOOKUP($I61,'表4）CO2価格'!$A$7:$E$67,VLOOKUP($F$48,'表4）CO2価格'!$H$10:$I$12,2,0),0)*$F$8/1000,"")),0,IF($K61&lt;=$F$15,VLOOKUP($I61,'表4）CO2価格'!$A$7:$E$67,VLOOKUP($F$48,'表4）CO2価格'!$H$10:$I$12,2,0),0)*$F$8/1000,""))</f>
        <v/>
      </c>
      <c r="AZ61" s="39"/>
      <c r="BA61" s="42" t="str">
        <f t="shared" si="48"/>
        <v/>
      </c>
      <c r="BB61" s="72" t="str">
        <f t="shared" si="28"/>
        <v/>
      </c>
      <c r="BC61" s="39"/>
      <c r="BD61" s="72" t="str">
        <f t="shared" si="49"/>
        <v/>
      </c>
      <c r="BE61" s="72" t="str">
        <f t="shared" si="29"/>
        <v/>
      </c>
      <c r="BF61" s="39"/>
      <c r="BG61" s="42" t="str">
        <f t="shared" si="50"/>
        <v/>
      </c>
      <c r="BH61" s="72" t="str">
        <f t="shared" si="30"/>
        <v/>
      </c>
      <c r="BI61" s="39"/>
      <c r="BJ61" s="40" t="str">
        <f t="shared" si="31"/>
        <v/>
      </c>
      <c r="BK61" s="157" t="str">
        <f t="shared" si="32"/>
        <v/>
      </c>
      <c r="BL61" s="157" t="str">
        <f t="shared" si="14"/>
        <v/>
      </c>
      <c r="BM61" s="72"/>
      <c r="BN61" s="72" t="str">
        <f t="shared" si="33"/>
        <v/>
      </c>
      <c r="BO61" s="72" t="str">
        <f t="shared" si="34"/>
        <v/>
      </c>
      <c r="BP61" s="39"/>
      <c r="BQ61" s="72" t="str">
        <f t="shared" si="51"/>
        <v/>
      </c>
      <c r="BR61" s="72" t="str">
        <f t="shared" si="35"/>
        <v/>
      </c>
    </row>
    <row r="62" spans="3:70" x14ac:dyDescent="0.15">
      <c r="D62" s="81" t="s">
        <v>131</v>
      </c>
      <c r="F62" s="59"/>
      <c r="G62" s="81" t="s">
        <v>191</v>
      </c>
      <c r="I62" s="459">
        <f t="shared" si="36"/>
        <v>2067</v>
      </c>
      <c r="J62" s="71"/>
      <c r="K62" s="71">
        <f t="shared" si="37"/>
        <v>48</v>
      </c>
      <c r="L62" s="71"/>
      <c r="M62" s="7">
        <f t="shared" si="38"/>
        <v>0.24199880094894996</v>
      </c>
      <c r="N62" s="71"/>
      <c r="O62" s="10" t="str">
        <f t="shared" si="52"/>
        <v/>
      </c>
      <c r="P62" s="29" t="str">
        <f t="shared" si="39"/>
        <v/>
      </c>
      <c r="Q62" s="71"/>
      <c r="R62" s="10" t="str">
        <f t="shared" si="53"/>
        <v/>
      </c>
      <c r="S62" s="71"/>
      <c r="T62" s="10" t="str">
        <f t="shared" si="18"/>
        <v/>
      </c>
      <c r="U62" s="71"/>
      <c r="V62" s="10" t="str">
        <f t="shared" si="40"/>
        <v/>
      </c>
      <c r="W62" s="10" t="str">
        <f t="shared" si="19"/>
        <v/>
      </c>
      <c r="X62" s="71"/>
      <c r="Y62" s="10" t="str">
        <f t="shared" si="41"/>
        <v/>
      </c>
      <c r="Z62" s="10" t="str">
        <f t="shared" si="20"/>
        <v/>
      </c>
      <c r="AA62" s="71"/>
      <c r="AB62" s="10" t="str">
        <f t="shared" si="4"/>
        <v/>
      </c>
      <c r="AC62" s="10" t="str">
        <f t="shared" si="21"/>
        <v/>
      </c>
      <c r="AD62" s="71"/>
      <c r="AE62" s="10" t="str">
        <f t="shared" si="42"/>
        <v/>
      </c>
      <c r="AF62" s="10" t="str">
        <f t="shared" si="22"/>
        <v/>
      </c>
      <c r="AG62" s="71"/>
      <c r="AH62" s="10" t="str">
        <f t="shared" si="43"/>
        <v/>
      </c>
      <c r="AI62" s="10" t="str">
        <f t="shared" si="23"/>
        <v/>
      </c>
      <c r="AJ62" s="71"/>
      <c r="AK62" s="10" t="str">
        <f t="shared" si="44"/>
        <v/>
      </c>
      <c r="AL62" s="10" t="str">
        <f t="shared" si="24"/>
        <v/>
      </c>
      <c r="AM62" s="71"/>
      <c r="AN62" s="10" t="str">
        <f t="shared" si="45"/>
        <v/>
      </c>
      <c r="AO62" s="10" t="str">
        <f t="shared" si="25"/>
        <v/>
      </c>
      <c r="AP62" s="71"/>
      <c r="AQ62" s="10" t="str">
        <f t="shared" si="46"/>
        <v/>
      </c>
      <c r="AR62" s="10" t="str">
        <f t="shared" si="26"/>
        <v/>
      </c>
      <c r="AS62" s="71"/>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U62" s="71"/>
      <c r="AV62" s="10" t="str">
        <f t="shared" si="47"/>
        <v/>
      </c>
      <c r="AW62" s="10" t="str">
        <f t="shared" si="27"/>
        <v/>
      </c>
      <c r="AX62" s="71"/>
      <c r="AY62" s="7" t="str">
        <f>IF(ISERROR(IF($K62&lt;=$F$15,VLOOKUP($I62,'表4）CO2価格'!$A$7:$E$67,VLOOKUP($F$48,'表4）CO2価格'!$H$10:$I$12,2,0),0)*$F$8/1000,"")),0,IF($K62&lt;=$F$15,VLOOKUP($I62,'表4）CO2価格'!$A$7:$E$67,VLOOKUP($F$48,'表4）CO2価格'!$H$10:$I$12,2,0),0)*$F$8/1000,""))</f>
        <v/>
      </c>
      <c r="AZ62" s="71"/>
      <c r="BA62" s="11" t="str">
        <f t="shared" si="48"/>
        <v/>
      </c>
      <c r="BB62" s="10" t="str">
        <f t="shared" si="28"/>
        <v/>
      </c>
      <c r="BC62" s="71"/>
      <c r="BD62" s="10" t="str">
        <f t="shared" si="49"/>
        <v/>
      </c>
      <c r="BE62" s="10" t="str">
        <f t="shared" si="29"/>
        <v/>
      </c>
      <c r="BF62" s="71"/>
      <c r="BG62" s="11" t="str">
        <f t="shared" si="50"/>
        <v/>
      </c>
      <c r="BH62" s="10" t="str">
        <f t="shared" si="30"/>
        <v/>
      </c>
      <c r="BJ62" s="7" t="str">
        <f t="shared" si="31"/>
        <v/>
      </c>
      <c r="BK62" s="158" t="str">
        <f t="shared" si="32"/>
        <v/>
      </c>
      <c r="BL62" s="158" t="str">
        <f t="shared" si="14"/>
        <v/>
      </c>
      <c r="BM62" s="10"/>
      <c r="BN62" s="10" t="str">
        <f t="shared" si="33"/>
        <v/>
      </c>
      <c r="BO62" s="10" t="str">
        <f t="shared" si="34"/>
        <v/>
      </c>
      <c r="BQ62" s="10" t="str">
        <f t="shared" si="51"/>
        <v/>
      </c>
      <c r="BR62" s="10" t="str">
        <f t="shared" si="35"/>
        <v/>
      </c>
    </row>
    <row r="63" spans="3:70" x14ac:dyDescent="0.15">
      <c r="I63" s="458">
        <f t="shared" si="36"/>
        <v>2068</v>
      </c>
      <c r="J63" s="39"/>
      <c r="K63" s="39">
        <f t="shared" si="37"/>
        <v>49</v>
      </c>
      <c r="L63" s="39"/>
      <c r="M63" s="40">
        <f t="shared" si="38"/>
        <v>0.2349502921834466</v>
      </c>
      <c r="N63" s="39"/>
      <c r="O63" s="72" t="str">
        <f t="shared" si="52"/>
        <v/>
      </c>
      <c r="P63" s="41" t="str">
        <f t="shared" si="39"/>
        <v/>
      </c>
      <c r="Q63" s="39"/>
      <c r="R63" s="72" t="str">
        <f t="shared" si="53"/>
        <v/>
      </c>
      <c r="S63" s="39"/>
      <c r="T63" s="72" t="str">
        <f t="shared" si="18"/>
        <v/>
      </c>
      <c r="U63" s="39"/>
      <c r="V63" s="72" t="str">
        <f t="shared" si="40"/>
        <v/>
      </c>
      <c r="W63" s="72" t="str">
        <f t="shared" si="19"/>
        <v/>
      </c>
      <c r="X63" s="39"/>
      <c r="Y63" s="72" t="str">
        <f t="shared" si="41"/>
        <v/>
      </c>
      <c r="Z63" s="72" t="str">
        <f t="shared" si="20"/>
        <v/>
      </c>
      <c r="AA63" s="39"/>
      <c r="AB63" s="72" t="str">
        <f t="shared" si="4"/>
        <v/>
      </c>
      <c r="AC63" s="72" t="str">
        <f t="shared" si="21"/>
        <v/>
      </c>
      <c r="AD63" s="39"/>
      <c r="AE63" s="72" t="str">
        <f t="shared" si="42"/>
        <v/>
      </c>
      <c r="AF63" s="72" t="str">
        <f t="shared" si="22"/>
        <v/>
      </c>
      <c r="AG63" s="39"/>
      <c r="AH63" s="72" t="str">
        <f t="shared" si="43"/>
        <v/>
      </c>
      <c r="AI63" s="72" t="str">
        <f t="shared" si="23"/>
        <v/>
      </c>
      <c r="AJ63" s="39"/>
      <c r="AK63" s="72" t="str">
        <f t="shared" si="44"/>
        <v/>
      </c>
      <c r="AL63" s="72" t="str">
        <f t="shared" si="24"/>
        <v/>
      </c>
      <c r="AM63" s="39"/>
      <c r="AN63" s="72" t="str">
        <f t="shared" si="45"/>
        <v/>
      </c>
      <c r="AO63" s="72" t="str">
        <f t="shared" si="25"/>
        <v/>
      </c>
      <c r="AP63" s="39"/>
      <c r="AQ63" s="72" t="str">
        <f t="shared" si="46"/>
        <v/>
      </c>
      <c r="AR63" s="72" t="str">
        <f t="shared" si="26"/>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47"/>
        <v/>
      </c>
      <c r="AW63" s="72" t="str">
        <f t="shared" si="27"/>
        <v/>
      </c>
      <c r="AX63" s="39"/>
      <c r="AY63" s="40" t="str">
        <f>IF(ISERROR(IF($K63&lt;=$F$15,VLOOKUP($I63,'表4）CO2価格'!$A$7:$E$67,VLOOKUP($F$48,'表4）CO2価格'!$H$10:$I$12,2,0),0)*$F$8/1000,"")),0,IF($K63&lt;=$F$15,VLOOKUP($I63,'表4）CO2価格'!$A$7:$E$67,VLOOKUP($F$48,'表4）CO2価格'!$H$10:$I$12,2,0),0)*$F$8/1000,""))</f>
        <v/>
      </c>
      <c r="AZ63" s="39"/>
      <c r="BA63" s="42" t="str">
        <f t="shared" si="48"/>
        <v/>
      </c>
      <c r="BB63" s="72" t="str">
        <f t="shared" si="28"/>
        <v/>
      </c>
      <c r="BC63" s="39"/>
      <c r="BD63" s="72" t="str">
        <f t="shared" si="49"/>
        <v/>
      </c>
      <c r="BE63" s="72" t="str">
        <f t="shared" si="29"/>
        <v/>
      </c>
      <c r="BF63" s="39"/>
      <c r="BG63" s="42" t="str">
        <f t="shared" si="50"/>
        <v/>
      </c>
      <c r="BH63" s="72" t="str">
        <f t="shared" si="30"/>
        <v/>
      </c>
      <c r="BI63" s="39"/>
      <c r="BJ63" s="40" t="str">
        <f t="shared" si="31"/>
        <v/>
      </c>
      <c r="BK63" s="157" t="str">
        <f t="shared" si="32"/>
        <v/>
      </c>
      <c r="BL63" s="157" t="str">
        <f t="shared" si="14"/>
        <v/>
      </c>
      <c r="BM63" s="72"/>
      <c r="BN63" s="72" t="str">
        <f t="shared" si="33"/>
        <v/>
      </c>
      <c r="BO63" s="72" t="str">
        <f t="shared" si="34"/>
        <v/>
      </c>
      <c r="BP63" s="39"/>
      <c r="BQ63" s="72" t="str">
        <f t="shared" si="51"/>
        <v/>
      </c>
      <c r="BR63" s="72" t="str">
        <f t="shared" si="35"/>
        <v/>
      </c>
    </row>
    <row r="64" spans="3:70" x14ac:dyDescent="0.15">
      <c r="C64" s="9" t="s">
        <v>513</v>
      </c>
      <c r="F64" s="90">
        <v>0.16221001695923537</v>
      </c>
      <c r="G64" s="81" t="s">
        <v>132</v>
      </c>
      <c r="I64" s="459">
        <f t="shared" si="36"/>
        <v>2069</v>
      </c>
      <c r="J64" s="71"/>
      <c r="K64" s="71">
        <f t="shared" si="37"/>
        <v>50</v>
      </c>
      <c r="L64" s="71"/>
      <c r="M64" s="7">
        <f t="shared" si="38"/>
        <v>0.22810707978975397</v>
      </c>
      <c r="N64" s="71"/>
      <c r="O64" s="10" t="str">
        <f t="shared" si="52"/>
        <v/>
      </c>
      <c r="P64" s="29" t="str">
        <f t="shared" si="39"/>
        <v/>
      </c>
      <c r="Q64" s="71"/>
      <c r="R64" s="10" t="str">
        <f t="shared" si="53"/>
        <v/>
      </c>
      <c r="S64" s="71"/>
      <c r="T64" s="10" t="str">
        <f t="shared" si="18"/>
        <v/>
      </c>
      <c r="U64" s="71"/>
      <c r="V64" s="10" t="str">
        <f t="shared" si="40"/>
        <v/>
      </c>
      <c r="W64" s="10" t="str">
        <f t="shared" si="19"/>
        <v/>
      </c>
      <c r="X64" s="71"/>
      <c r="Y64" s="10" t="str">
        <f t="shared" si="41"/>
        <v/>
      </c>
      <c r="Z64" s="10" t="str">
        <f t="shared" si="20"/>
        <v/>
      </c>
      <c r="AA64" s="71"/>
      <c r="AB64" s="10" t="str">
        <f t="shared" si="4"/>
        <v/>
      </c>
      <c r="AC64" s="10" t="str">
        <f t="shared" si="21"/>
        <v/>
      </c>
      <c r="AD64" s="71"/>
      <c r="AE64" s="10" t="str">
        <f t="shared" si="42"/>
        <v/>
      </c>
      <c r="AF64" s="10" t="str">
        <f t="shared" si="22"/>
        <v/>
      </c>
      <c r="AG64" s="71"/>
      <c r="AH64" s="10" t="str">
        <f t="shared" si="43"/>
        <v/>
      </c>
      <c r="AI64" s="10" t="str">
        <f t="shared" si="23"/>
        <v/>
      </c>
      <c r="AJ64" s="71"/>
      <c r="AK64" s="10" t="str">
        <f t="shared" si="44"/>
        <v/>
      </c>
      <c r="AL64" s="10" t="str">
        <f t="shared" si="24"/>
        <v/>
      </c>
      <c r="AM64" s="71"/>
      <c r="AN64" s="10" t="str">
        <f t="shared" si="45"/>
        <v/>
      </c>
      <c r="AO64" s="10" t="str">
        <f t="shared" si="25"/>
        <v/>
      </c>
      <c r="AP64" s="71"/>
      <c r="AQ64" s="10" t="str">
        <f t="shared" si="46"/>
        <v/>
      </c>
      <c r="AR64" s="10" t="str">
        <f t="shared" si="26"/>
        <v/>
      </c>
      <c r="AS64" s="71"/>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U64" s="71"/>
      <c r="AV64" s="10" t="str">
        <f t="shared" si="47"/>
        <v/>
      </c>
      <c r="AW64" s="10" t="str">
        <f t="shared" si="27"/>
        <v/>
      </c>
      <c r="AX64" s="71"/>
      <c r="AY64" s="7" t="str">
        <f>IF(ISERROR(IF($K64&lt;=$F$15,VLOOKUP($I64,'表4）CO2価格'!$A$7:$E$67,VLOOKUP($F$48,'表4）CO2価格'!$H$10:$I$12,2,0),0)*$F$8/1000,"")),0,IF($K64&lt;=$F$15,VLOOKUP($I64,'表4）CO2価格'!$A$7:$E$67,VLOOKUP($F$48,'表4）CO2価格'!$H$10:$I$12,2,0),0)*$F$8/1000,""))</f>
        <v/>
      </c>
      <c r="AZ64" s="71"/>
      <c r="BA64" s="11" t="str">
        <f t="shared" si="48"/>
        <v/>
      </c>
      <c r="BB64" s="10" t="str">
        <f t="shared" si="28"/>
        <v/>
      </c>
      <c r="BC64" s="71"/>
      <c r="BD64" s="10" t="str">
        <f t="shared" si="49"/>
        <v/>
      </c>
      <c r="BE64" s="10" t="str">
        <f t="shared" si="29"/>
        <v/>
      </c>
      <c r="BF64" s="71"/>
      <c r="BG64" s="11" t="str">
        <f t="shared" si="50"/>
        <v/>
      </c>
      <c r="BH64" s="10" t="str">
        <f t="shared" si="30"/>
        <v/>
      </c>
      <c r="BJ64" s="7" t="str">
        <f t="shared" si="31"/>
        <v/>
      </c>
      <c r="BK64" s="158" t="str">
        <f t="shared" si="32"/>
        <v/>
      </c>
      <c r="BL64" s="158" t="str">
        <f t="shared" si="14"/>
        <v/>
      </c>
      <c r="BM64" s="10"/>
      <c r="BN64" s="10" t="str">
        <f t="shared" si="33"/>
        <v/>
      </c>
      <c r="BO64" s="10" t="str">
        <f t="shared" si="34"/>
        <v/>
      </c>
      <c r="BQ64" s="10" t="str">
        <f t="shared" si="51"/>
        <v/>
      </c>
      <c r="BR64" s="10" t="str">
        <f t="shared" si="35"/>
        <v/>
      </c>
    </row>
    <row r="65" spans="2:70" x14ac:dyDescent="0.15">
      <c r="I65" s="458">
        <f t="shared" si="36"/>
        <v>2070</v>
      </c>
      <c r="J65" s="39"/>
      <c r="K65" s="39">
        <f t="shared" si="37"/>
        <v>51</v>
      </c>
      <c r="L65" s="39"/>
      <c r="M65" s="40">
        <f t="shared" si="38"/>
        <v>0.22146318426189707</v>
      </c>
      <c r="N65" s="39"/>
      <c r="O65" s="72" t="str">
        <f t="shared" si="52"/>
        <v/>
      </c>
      <c r="P65" s="41" t="str">
        <f t="shared" si="39"/>
        <v/>
      </c>
      <c r="Q65" s="39"/>
      <c r="R65" s="72" t="str">
        <f t="shared" si="53"/>
        <v/>
      </c>
      <c r="S65" s="39"/>
      <c r="T65" s="72" t="str">
        <f t="shared" si="18"/>
        <v/>
      </c>
      <c r="U65" s="39"/>
      <c r="V65" s="72" t="str">
        <f t="shared" si="40"/>
        <v/>
      </c>
      <c r="W65" s="72" t="str">
        <f t="shared" si="19"/>
        <v/>
      </c>
      <c r="X65" s="39"/>
      <c r="Y65" s="72" t="str">
        <f t="shared" si="41"/>
        <v/>
      </c>
      <c r="Z65" s="72" t="str">
        <f t="shared" si="20"/>
        <v/>
      </c>
      <c r="AA65" s="39"/>
      <c r="AB65" s="72" t="str">
        <f t="shared" si="4"/>
        <v/>
      </c>
      <c r="AC65" s="72" t="str">
        <f t="shared" si="21"/>
        <v/>
      </c>
      <c r="AD65" s="39"/>
      <c r="AE65" s="72" t="str">
        <f t="shared" si="42"/>
        <v/>
      </c>
      <c r="AF65" s="72" t="str">
        <f t="shared" si="22"/>
        <v/>
      </c>
      <c r="AG65" s="39"/>
      <c r="AH65" s="72" t="str">
        <f t="shared" si="43"/>
        <v/>
      </c>
      <c r="AI65" s="72" t="str">
        <f t="shared" si="23"/>
        <v/>
      </c>
      <c r="AJ65" s="39"/>
      <c r="AK65" s="72" t="str">
        <f t="shared" si="44"/>
        <v/>
      </c>
      <c r="AL65" s="72" t="str">
        <f t="shared" si="24"/>
        <v/>
      </c>
      <c r="AM65" s="39"/>
      <c r="AN65" s="72" t="str">
        <f t="shared" si="45"/>
        <v/>
      </c>
      <c r="AO65" s="72" t="str">
        <f t="shared" si="25"/>
        <v/>
      </c>
      <c r="AP65" s="39"/>
      <c r="AQ65" s="72" t="str">
        <f t="shared" si="46"/>
        <v/>
      </c>
      <c r="AR65" s="72" t="str">
        <f t="shared" si="26"/>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47"/>
        <v/>
      </c>
      <c r="AW65" s="72" t="str">
        <f t="shared" si="27"/>
        <v/>
      </c>
      <c r="AX65" s="39"/>
      <c r="AY65" s="40" t="str">
        <f>IF(ISERROR(IF($K65&lt;=$F$15,VLOOKUP($I65,'表4）CO2価格'!$A$7:$E$67,VLOOKUP($F$48,'表4）CO2価格'!$H$10:$I$12,2,0),0)*$F$8/1000,"")),0,IF($K65&lt;=$F$15,VLOOKUP($I65,'表4）CO2価格'!$A$7:$E$67,VLOOKUP($F$48,'表4）CO2価格'!$H$10:$I$12,2,0),0)*$F$8/1000,""))</f>
        <v/>
      </c>
      <c r="AZ65" s="39"/>
      <c r="BA65" s="42" t="str">
        <f t="shared" si="48"/>
        <v/>
      </c>
      <c r="BB65" s="72" t="str">
        <f t="shared" si="28"/>
        <v/>
      </c>
      <c r="BC65" s="39"/>
      <c r="BD65" s="72" t="str">
        <f t="shared" si="49"/>
        <v/>
      </c>
      <c r="BE65" s="72" t="str">
        <f t="shared" si="29"/>
        <v/>
      </c>
      <c r="BF65" s="39"/>
      <c r="BG65" s="42" t="str">
        <f t="shared" si="50"/>
        <v/>
      </c>
      <c r="BH65" s="72" t="str">
        <f t="shared" si="30"/>
        <v/>
      </c>
      <c r="BI65" s="39"/>
      <c r="BJ65" s="40" t="str">
        <f t="shared" si="31"/>
        <v/>
      </c>
      <c r="BK65" s="157" t="str">
        <f t="shared" si="32"/>
        <v/>
      </c>
      <c r="BL65" s="157" t="str">
        <f t="shared" si="14"/>
        <v/>
      </c>
      <c r="BM65" s="72"/>
      <c r="BN65" s="72" t="str">
        <f t="shared" si="33"/>
        <v/>
      </c>
      <c r="BO65" s="72" t="str">
        <f t="shared" si="34"/>
        <v/>
      </c>
      <c r="BP65" s="39"/>
      <c r="BQ65" s="72" t="str">
        <f t="shared" si="51"/>
        <v/>
      </c>
      <c r="BR65" s="72" t="str">
        <f t="shared" si="35"/>
        <v/>
      </c>
    </row>
    <row r="66" spans="2:70" x14ac:dyDescent="0.15">
      <c r="I66" s="459">
        <f t="shared" si="36"/>
        <v>2071</v>
      </c>
      <c r="J66" s="71"/>
      <c r="K66" s="71">
        <f t="shared" si="37"/>
        <v>52</v>
      </c>
      <c r="L66" s="71"/>
      <c r="M66" s="7">
        <f t="shared" si="38"/>
        <v>0.215012800254269</v>
      </c>
      <c r="N66" s="71"/>
      <c r="O66" s="10" t="str">
        <f t="shared" si="52"/>
        <v/>
      </c>
      <c r="P66" s="29" t="str">
        <f t="shared" si="39"/>
        <v/>
      </c>
      <c r="Q66" s="71"/>
      <c r="R66" s="10" t="str">
        <f t="shared" si="53"/>
        <v/>
      </c>
      <c r="S66" s="71"/>
      <c r="T66" s="10" t="str">
        <f t="shared" si="18"/>
        <v/>
      </c>
      <c r="U66" s="71"/>
      <c r="V66" s="10" t="str">
        <f t="shared" si="40"/>
        <v/>
      </c>
      <c r="W66" s="10" t="str">
        <f t="shared" si="19"/>
        <v/>
      </c>
      <c r="X66" s="71"/>
      <c r="Y66" s="10" t="str">
        <f t="shared" si="41"/>
        <v/>
      </c>
      <c r="Z66" s="10" t="str">
        <f t="shared" si="20"/>
        <v/>
      </c>
      <c r="AA66" s="71"/>
      <c r="AB66" s="10" t="str">
        <f t="shared" si="4"/>
        <v/>
      </c>
      <c r="AC66" s="10" t="str">
        <f t="shared" si="21"/>
        <v/>
      </c>
      <c r="AD66" s="71"/>
      <c r="AE66" s="10" t="str">
        <f t="shared" si="42"/>
        <v/>
      </c>
      <c r="AF66" s="10" t="str">
        <f t="shared" si="22"/>
        <v/>
      </c>
      <c r="AG66" s="71"/>
      <c r="AH66" s="10" t="str">
        <f t="shared" si="43"/>
        <v/>
      </c>
      <c r="AI66" s="10" t="str">
        <f t="shared" si="23"/>
        <v/>
      </c>
      <c r="AJ66" s="71"/>
      <c r="AK66" s="10" t="str">
        <f t="shared" si="44"/>
        <v/>
      </c>
      <c r="AL66" s="10" t="str">
        <f t="shared" si="24"/>
        <v/>
      </c>
      <c r="AM66" s="71"/>
      <c r="AN66" s="10" t="str">
        <f t="shared" si="45"/>
        <v/>
      </c>
      <c r="AO66" s="10" t="str">
        <f t="shared" si="25"/>
        <v/>
      </c>
      <c r="AP66" s="71"/>
      <c r="AQ66" s="10" t="str">
        <f t="shared" si="46"/>
        <v/>
      </c>
      <c r="AR66" s="10" t="str">
        <f t="shared" si="26"/>
        <v/>
      </c>
      <c r="AS66" s="71"/>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U66" s="71"/>
      <c r="AV66" s="10" t="str">
        <f t="shared" si="47"/>
        <v/>
      </c>
      <c r="AW66" s="10" t="str">
        <f t="shared" si="27"/>
        <v/>
      </c>
      <c r="AX66" s="71"/>
      <c r="AY66" s="7" t="str">
        <f>IF(ISERROR(IF($K66&lt;=$F$15,VLOOKUP($I66,'表4）CO2価格'!$A$7:$E$67,VLOOKUP($F$48,'表4）CO2価格'!$H$10:$I$12,2,0),0)*$F$8/1000,"")),0,IF($K66&lt;=$F$15,VLOOKUP($I66,'表4）CO2価格'!$A$7:$E$67,VLOOKUP($F$48,'表4）CO2価格'!$H$10:$I$12,2,0),0)*$F$8/1000,""))</f>
        <v/>
      </c>
      <c r="AZ66" s="71"/>
      <c r="BA66" s="11" t="str">
        <f t="shared" si="48"/>
        <v/>
      </c>
      <c r="BB66" s="10" t="str">
        <f t="shared" si="28"/>
        <v/>
      </c>
      <c r="BC66" s="71"/>
      <c r="BD66" s="10" t="str">
        <f t="shared" si="49"/>
        <v/>
      </c>
      <c r="BE66" s="10" t="str">
        <f t="shared" si="29"/>
        <v/>
      </c>
      <c r="BF66" s="71"/>
      <c r="BG66" s="11" t="str">
        <f t="shared" si="50"/>
        <v/>
      </c>
      <c r="BH66" s="10" t="str">
        <f t="shared" si="30"/>
        <v/>
      </c>
      <c r="BJ66" s="7" t="str">
        <f t="shared" si="31"/>
        <v/>
      </c>
      <c r="BK66" s="158" t="str">
        <f t="shared" si="32"/>
        <v/>
      </c>
      <c r="BL66" s="158" t="str">
        <f t="shared" si="14"/>
        <v/>
      </c>
      <c r="BM66" s="10"/>
      <c r="BN66" s="10" t="str">
        <f t="shared" si="33"/>
        <v/>
      </c>
      <c r="BO66" s="10" t="str">
        <f t="shared" si="34"/>
        <v/>
      </c>
      <c r="BQ66" s="10" t="str">
        <f t="shared" si="51"/>
        <v/>
      </c>
      <c r="BR66" s="10" t="str">
        <f t="shared" si="35"/>
        <v/>
      </c>
    </row>
    <row r="67" spans="2:70" ht="15.75" thickBot="1" x14ac:dyDescent="0.2">
      <c r="B67" s="460" t="s">
        <v>133</v>
      </c>
      <c r="C67" s="86"/>
      <c r="D67" s="104"/>
      <c r="E67" s="104"/>
      <c r="F67" s="86"/>
      <c r="G67" s="104"/>
      <c r="I67" s="458">
        <f t="shared" si="36"/>
        <v>2072</v>
      </c>
      <c r="J67" s="39"/>
      <c r="K67" s="39">
        <f t="shared" si="37"/>
        <v>53</v>
      </c>
      <c r="L67" s="39"/>
      <c r="M67" s="40">
        <f t="shared" si="38"/>
        <v>0.20875029150899907</v>
      </c>
      <c r="N67" s="39"/>
      <c r="O67" s="72" t="str">
        <f t="shared" si="52"/>
        <v/>
      </c>
      <c r="P67" s="41" t="str">
        <f t="shared" si="39"/>
        <v/>
      </c>
      <c r="Q67" s="39"/>
      <c r="R67" s="72" t="str">
        <f t="shared" si="53"/>
        <v/>
      </c>
      <c r="S67" s="39"/>
      <c r="T67" s="72" t="str">
        <f t="shared" si="18"/>
        <v/>
      </c>
      <c r="U67" s="39"/>
      <c r="V67" s="72" t="str">
        <f t="shared" si="40"/>
        <v/>
      </c>
      <c r="W67" s="72" t="str">
        <f t="shared" si="19"/>
        <v/>
      </c>
      <c r="X67" s="39"/>
      <c r="Y67" s="72" t="str">
        <f t="shared" si="41"/>
        <v/>
      </c>
      <c r="Z67" s="72" t="str">
        <f t="shared" si="20"/>
        <v/>
      </c>
      <c r="AA67" s="39"/>
      <c r="AB67" s="72" t="str">
        <f t="shared" si="4"/>
        <v/>
      </c>
      <c r="AC67" s="72" t="str">
        <f t="shared" si="21"/>
        <v/>
      </c>
      <c r="AD67" s="39"/>
      <c r="AE67" s="72" t="str">
        <f t="shared" si="42"/>
        <v/>
      </c>
      <c r="AF67" s="72" t="str">
        <f t="shared" si="22"/>
        <v/>
      </c>
      <c r="AG67" s="39"/>
      <c r="AH67" s="72" t="str">
        <f t="shared" si="43"/>
        <v/>
      </c>
      <c r="AI67" s="72" t="str">
        <f t="shared" si="23"/>
        <v/>
      </c>
      <c r="AJ67" s="39"/>
      <c r="AK67" s="72" t="str">
        <f t="shared" si="44"/>
        <v/>
      </c>
      <c r="AL67" s="72" t="str">
        <f t="shared" si="24"/>
        <v/>
      </c>
      <c r="AM67" s="39"/>
      <c r="AN67" s="72" t="str">
        <f t="shared" si="45"/>
        <v/>
      </c>
      <c r="AO67" s="72" t="str">
        <f t="shared" si="25"/>
        <v/>
      </c>
      <c r="AP67" s="39"/>
      <c r="AQ67" s="72" t="str">
        <f t="shared" si="46"/>
        <v/>
      </c>
      <c r="AR67" s="72" t="str">
        <f t="shared" si="26"/>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47"/>
        <v/>
      </c>
      <c r="AW67" s="72" t="str">
        <f t="shared" si="27"/>
        <v/>
      </c>
      <c r="AX67" s="39"/>
      <c r="AY67" s="40" t="str">
        <f>IF(ISERROR(IF($K67&lt;=$F$15,VLOOKUP($I67,'表4）CO2価格'!$A$7:$E$67,VLOOKUP($F$48,'表4）CO2価格'!$H$10:$I$12,2,0),0)*$F$8/1000,"")),0,IF($K67&lt;=$F$15,VLOOKUP($I67,'表4）CO2価格'!$A$7:$E$67,VLOOKUP($F$48,'表4）CO2価格'!$H$10:$I$12,2,0),0)*$F$8/1000,""))</f>
        <v/>
      </c>
      <c r="AZ67" s="39"/>
      <c r="BA67" s="42" t="str">
        <f t="shared" si="48"/>
        <v/>
      </c>
      <c r="BB67" s="72" t="str">
        <f t="shared" si="28"/>
        <v/>
      </c>
      <c r="BC67" s="39"/>
      <c r="BD67" s="72" t="str">
        <f t="shared" si="49"/>
        <v/>
      </c>
      <c r="BE67" s="72" t="str">
        <f t="shared" si="29"/>
        <v/>
      </c>
      <c r="BF67" s="39"/>
      <c r="BG67" s="42" t="str">
        <f t="shared" si="50"/>
        <v/>
      </c>
      <c r="BH67" s="72" t="str">
        <f t="shared" si="30"/>
        <v/>
      </c>
      <c r="BI67" s="39"/>
      <c r="BJ67" s="40" t="str">
        <f t="shared" si="31"/>
        <v/>
      </c>
      <c r="BK67" s="157" t="str">
        <f t="shared" si="32"/>
        <v/>
      </c>
      <c r="BL67" s="157" t="str">
        <f t="shared" si="14"/>
        <v/>
      </c>
      <c r="BM67" s="72"/>
      <c r="BN67" s="72" t="str">
        <f t="shared" si="33"/>
        <v/>
      </c>
      <c r="BO67" s="72" t="str">
        <f t="shared" si="34"/>
        <v/>
      </c>
      <c r="BP67" s="39"/>
      <c r="BQ67" s="72" t="str">
        <f t="shared" si="51"/>
        <v/>
      </c>
      <c r="BR67" s="72" t="str">
        <f t="shared" si="35"/>
        <v/>
      </c>
    </row>
    <row r="68" spans="2:70" x14ac:dyDescent="0.15">
      <c r="I68" s="459">
        <f t="shared" si="36"/>
        <v>2073</v>
      </c>
      <c r="J68" s="71"/>
      <c r="K68" s="71">
        <f t="shared" si="37"/>
        <v>54</v>
      </c>
      <c r="L68" s="71"/>
      <c r="M68" s="7">
        <f t="shared" si="38"/>
        <v>0.20267018593106703</v>
      </c>
      <c r="N68" s="71"/>
      <c r="O68" s="10" t="str">
        <f t="shared" si="52"/>
        <v/>
      </c>
      <c r="P68" s="29" t="str">
        <f t="shared" si="39"/>
        <v/>
      </c>
      <c r="Q68" s="71"/>
      <c r="R68" s="10" t="str">
        <f t="shared" si="53"/>
        <v/>
      </c>
      <c r="S68" s="71"/>
      <c r="T68" s="10" t="str">
        <f t="shared" si="18"/>
        <v/>
      </c>
      <c r="U68" s="71"/>
      <c r="V68" s="10" t="str">
        <f t="shared" si="40"/>
        <v/>
      </c>
      <c r="W68" s="10" t="str">
        <f t="shared" si="19"/>
        <v/>
      </c>
      <c r="X68" s="71"/>
      <c r="Y68" s="10" t="str">
        <f t="shared" si="41"/>
        <v/>
      </c>
      <c r="Z68" s="10" t="str">
        <f t="shared" si="20"/>
        <v/>
      </c>
      <c r="AA68" s="71"/>
      <c r="AB68" s="10" t="str">
        <f t="shared" si="4"/>
        <v/>
      </c>
      <c r="AC68" s="10" t="str">
        <f t="shared" si="21"/>
        <v/>
      </c>
      <c r="AD68" s="71"/>
      <c r="AE68" s="10" t="str">
        <f t="shared" si="42"/>
        <v/>
      </c>
      <c r="AF68" s="10" t="str">
        <f t="shared" si="22"/>
        <v/>
      </c>
      <c r="AG68" s="71"/>
      <c r="AH68" s="10" t="str">
        <f t="shared" si="43"/>
        <v/>
      </c>
      <c r="AI68" s="10" t="str">
        <f t="shared" si="23"/>
        <v/>
      </c>
      <c r="AJ68" s="71"/>
      <c r="AK68" s="10" t="str">
        <f t="shared" si="44"/>
        <v/>
      </c>
      <c r="AL68" s="10" t="str">
        <f t="shared" si="24"/>
        <v/>
      </c>
      <c r="AM68" s="71"/>
      <c r="AN68" s="10" t="str">
        <f t="shared" si="45"/>
        <v/>
      </c>
      <c r="AO68" s="10" t="str">
        <f t="shared" si="25"/>
        <v/>
      </c>
      <c r="AP68" s="71"/>
      <c r="AQ68" s="10" t="str">
        <f t="shared" si="46"/>
        <v/>
      </c>
      <c r="AR68" s="10" t="str">
        <f t="shared" si="26"/>
        <v/>
      </c>
      <c r="AS68" s="71"/>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U68" s="71"/>
      <c r="AV68" s="10" t="str">
        <f t="shared" si="47"/>
        <v/>
      </c>
      <c r="AW68" s="10" t="str">
        <f t="shared" si="27"/>
        <v/>
      </c>
      <c r="AX68" s="71"/>
      <c r="AY68" s="7" t="str">
        <f>IF(ISERROR(IF($K68&lt;=$F$15,VLOOKUP($I68,'表4）CO2価格'!$A$7:$E$67,VLOOKUP($F$48,'表4）CO2価格'!$H$10:$I$12,2,0),0)*$F$8/1000,"")),0,IF($K68&lt;=$F$15,VLOOKUP($I68,'表4）CO2価格'!$A$7:$E$67,VLOOKUP($F$48,'表4）CO2価格'!$H$10:$I$12,2,0),0)*$F$8/1000,""))</f>
        <v/>
      </c>
      <c r="AZ68" s="71"/>
      <c r="BA68" s="11" t="str">
        <f t="shared" si="48"/>
        <v/>
      </c>
      <c r="BB68" s="10" t="str">
        <f t="shared" si="28"/>
        <v/>
      </c>
      <c r="BC68" s="71"/>
      <c r="BD68" s="10" t="str">
        <f t="shared" si="49"/>
        <v/>
      </c>
      <c r="BE68" s="10" t="str">
        <f t="shared" si="29"/>
        <v/>
      </c>
      <c r="BF68" s="71"/>
      <c r="BG68" s="11" t="str">
        <f t="shared" si="50"/>
        <v/>
      </c>
      <c r="BH68" s="10" t="str">
        <f t="shared" si="30"/>
        <v/>
      </c>
      <c r="BJ68" s="7" t="str">
        <f t="shared" si="31"/>
        <v/>
      </c>
      <c r="BK68" s="158" t="str">
        <f t="shared" si="32"/>
        <v/>
      </c>
      <c r="BL68" s="158" t="str">
        <f t="shared" si="14"/>
        <v/>
      </c>
      <c r="BM68" s="10"/>
      <c r="BN68" s="10" t="str">
        <f t="shared" si="33"/>
        <v/>
      </c>
      <c r="BO68" s="10" t="str">
        <f t="shared" si="34"/>
        <v/>
      </c>
      <c r="BQ68" s="10" t="str">
        <f t="shared" si="51"/>
        <v/>
      </c>
      <c r="BR68" s="10" t="str">
        <f t="shared" si="35"/>
        <v/>
      </c>
    </row>
    <row r="69" spans="2:70" x14ac:dyDescent="0.15">
      <c r="C69" s="461" t="s">
        <v>134</v>
      </c>
      <c r="D69" s="9"/>
      <c r="E69" s="9"/>
      <c r="F69" s="94">
        <f>SUBTOTAL(9,F74:F112)-F105</f>
        <v>26.538918312224506</v>
      </c>
      <c r="G69" s="9" t="s">
        <v>132</v>
      </c>
      <c r="I69" s="458">
        <f t="shared" si="36"/>
        <v>2074</v>
      </c>
      <c r="J69" s="39"/>
      <c r="K69" s="39">
        <f t="shared" si="37"/>
        <v>55</v>
      </c>
      <c r="L69" s="39"/>
      <c r="M69" s="40">
        <f t="shared" si="38"/>
        <v>0.19676717080686118</v>
      </c>
      <c r="N69" s="39"/>
      <c r="O69" s="72" t="str">
        <f t="shared" si="52"/>
        <v/>
      </c>
      <c r="P69" s="41" t="str">
        <f t="shared" si="39"/>
        <v/>
      </c>
      <c r="Q69" s="39"/>
      <c r="R69" s="72" t="str">
        <f t="shared" si="53"/>
        <v/>
      </c>
      <c r="S69" s="39"/>
      <c r="T69" s="72" t="str">
        <f t="shared" si="18"/>
        <v/>
      </c>
      <c r="U69" s="39"/>
      <c r="V69" s="72" t="str">
        <f t="shared" si="40"/>
        <v/>
      </c>
      <c r="W69" s="72" t="str">
        <f t="shared" si="19"/>
        <v/>
      </c>
      <c r="X69" s="39"/>
      <c r="Y69" s="72" t="str">
        <f t="shared" si="41"/>
        <v/>
      </c>
      <c r="Z69" s="72" t="str">
        <f t="shared" si="20"/>
        <v/>
      </c>
      <c r="AA69" s="39"/>
      <c r="AB69" s="72" t="str">
        <f t="shared" si="4"/>
        <v/>
      </c>
      <c r="AC69" s="72" t="str">
        <f t="shared" si="21"/>
        <v/>
      </c>
      <c r="AD69" s="39"/>
      <c r="AE69" s="72" t="str">
        <f t="shared" si="42"/>
        <v/>
      </c>
      <c r="AF69" s="72" t="str">
        <f t="shared" si="22"/>
        <v/>
      </c>
      <c r="AG69" s="39"/>
      <c r="AH69" s="72" t="str">
        <f t="shared" si="43"/>
        <v/>
      </c>
      <c r="AI69" s="72" t="str">
        <f t="shared" si="23"/>
        <v/>
      </c>
      <c r="AJ69" s="39"/>
      <c r="AK69" s="72" t="str">
        <f t="shared" si="44"/>
        <v/>
      </c>
      <c r="AL69" s="72" t="str">
        <f t="shared" si="24"/>
        <v/>
      </c>
      <c r="AM69" s="39"/>
      <c r="AN69" s="72" t="str">
        <f t="shared" si="45"/>
        <v/>
      </c>
      <c r="AO69" s="72" t="str">
        <f t="shared" si="25"/>
        <v/>
      </c>
      <c r="AP69" s="39"/>
      <c r="AQ69" s="72" t="str">
        <f t="shared" si="46"/>
        <v/>
      </c>
      <c r="AR69" s="72" t="str">
        <f t="shared" si="26"/>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47"/>
        <v/>
      </c>
      <c r="AW69" s="72" t="str">
        <f t="shared" si="27"/>
        <v/>
      </c>
      <c r="AX69" s="39"/>
      <c r="AY69" s="40" t="str">
        <f>IF(ISERROR(IF($K69&lt;=$F$15,VLOOKUP($I69,'表4）CO2価格'!$A$7:$E$67,VLOOKUP($F$48,'表4）CO2価格'!$H$10:$I$12,2,0),0)*$F$8/1000,"")),0,IF($K69&lt;=$F$15,VLOOKUP($I69,'表4）CO2価格'!$A$7:$E$67,VLOOKUP($F$48,'表4）CO2価格'!$H$10:$I$12,2,0),0)*$F$8/1000,""))</f>
        <v/>
      </c>
      <c r="AZ69" s="39"/>
      <c r="BA69" s="42" t="str">
        <f t="shared" si="48"/>
        <v/>
      </c>
      <c r="BB69" s="72" t="str">
        <f t="shared" si="28"/>
        <v/>
      </c>
      <c r="BC69" s="39"/>
      <c r="BD69" s="72" t="str">
        <f t="shared" si="49"/>
        <v/>
      </c>
      <c r="BE69" s="72" t="str">
        <f t="shared" si="29"/>
        <v/>
      </c>
      <c r="BF69" s="39"/>
      <c r="BG69" s="42" t="str">
        <f t="shared" si="50"/>
        <v/>
      </c>
      <c r="BH69" s="72" t="str">
        <f t="shared" si="30"/>
        <v/>
      </c>
      <c r="BI69" s="39"/>
      <c r="BJ69" s="40" t="str">
        <f t="shared" si="31"/>
        <v/>
      </c>
      <c r="BK69" s="157" t="str">
        <f t="shared" si="32"/>
        <v/>
      </c>
      <c r="BL69" s="157" t="str">
        <f t="shared" si="14"/>
        <v/>
      </c>
      <c r="BM69" s="72"/>
      <c r="BN69" s="72" t="str">
        <f t="shared" si="33"/>
        <v/>
      </c>
      <c r="BO69" s="72" t="str">
        <f t="shared" si="34"/>
        <v/>
      </c>
      <c r="BP69" s="39"/>
      <c r="BQ69" s="72" t="str">
        <f t="shared" si="51"/>
        <v/>
      </c>
      <c r="BR69" s="72" t="str">
        <f t="shared" si="35"/>
        <v/>
      </c>
    </row>
    <row r="70" spans="2:70" x14ac:dyDescent="0.15">
      <c r="C70" s="461" t="s">
        <v>135</v>
      </c>
      <c r="D70" s="9"/>
      <c r="E70" s="9"/>
      <c r="F70" s="94">
        <f>SUBTOTAL(9,F74:F112)</f>
        <v>26.701128329183742</v>
      </c>
      <c r="G70" s="9" t="s">
        <v>132</v>
      </c>
      <c r="I70" s="459">
        <f t="shared" si="36"/>
        <v>2075</v>
      </c>
      <c r="J70" s="71"/>
      <c r="K70" s="71">
        <f t="shared" si="37"/>
        <v>56</v>
      </c>
      <c r="L70" s="71"/>
      <c r="M70" s="7">
        <f t="shared" si="38"/>
        <v>0.19103608816200118</v>
      </c>
      <c r="N70" s="71"/>
      <c r="O70" s="10" t="str">
        <f t="shared" si="52"/>
        <v/>
      </c>
      <c r="P70" s="29" t="str">
        <f t="shared" si="39"/>
        <v/>
      </c>
      <c r="Q70" s="71"/>
      <c r="R70" s="10" t="str">
        <f t="shared" si="53"/>
        <v/>
      </c>
      <c r="S70" s="71"/>
      <c r="T70" s="10" t="str">
        <f t="shared" si="18"/>
        <v/>
      </c>
      <c r="U70" s="71"/>
      <c r="V70" s="10" t="str">
        <f t="shared" si="40"/>
        <v/>
      </c>
      <c r="W70" s="10" t="str">
        <f t="shared" si="19"/>
        <v/>
      </c>
      <c r="X70" s="71"/>
      <c r="Y70" s="10" t="str">
        <f t="shared" si="41"/>
        <v/>
      </c>
      <c r="Z70" s="10" t="str">
        <f t="shared" si="20"/>
        <v/>
      </c>
      <c r="AA70" s="71"/>
      <c r="AB70" s="10" t="str">
        <f t="shared" si="4"/>
        <v/>
      </c>
      <c r="AC70" s="10" t="str">
        <f t="shared" si="21"/>
        <v/>
      </c>
      <c r="AD70" s="71"/>
      <c r="AE70" s="10" t="str">
        <f t="shared" si="42"/>
        <v/>
      </c>
      <c r="AF70" s="10" t="str">
        <f t="shared" si="22"/>
        <v/>
      </c>
      <c r="AG70" s="71"/>
      <c r="AH70" s="10" t="str">
        <f t="shared" si="43"/>
        <v/>
      </c>
      <c r="AI70" s="10" t="str">
        <f t="shared" si="23"/>
        <v/>
      </c>
      <c r="AJ70" s="71"/>
      <c r="AK70" s="10" t="str">
        <f t="shared" si="44"/>
        <v/>
      </c>
      <c r="AL70" s="10" t="str">
        <f t="shared" si="24"/>
        <v/>
      </c>
      <c r="AM70" s="71"/>
      <c r="AN70" s="10" t="str">
        <f t="shared" si="45"/>
        <v/>
      </c>
      <c r="AO70" s="10" t="str">
        <f t="shared" si="25"/>
        <v/>
      </c>
      <c r="AP70" s="71"/>
      <c r="AQ70" s="10" t="str">
        <f t="shared" si="46"/>
        <v/>
      </c>
      <c r="AR70" s="10" t="str">
        <f t="shared" si="26"/>
        <v/>
      </c>
      <c r="AS70" s="71"/>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U70" s="71"/>
      <c r="AV70" s="10" t="str">
        <f t="shared" si="47"/>
        <v/>
      </c>
      <c r="AW70" s="10" t="str">
        <f t="shared" si="27"/>
        <v/>
      </c>
      <c r="AX70" s="71"/>
      <c r="AY70" s="7" t="str">
        <f>IF(ISERROR(IF($K70&lt;=$F$15,VLOOKUP($I70,'表4）CO2価格'!$A$7:$E$67,VLOOKUP($F$48,'表4）CO2価格'!$H$10:$I$12,2,0),0)*$F$8/1000,"")),0,IF($K70&lt;=$F$15,VLOOKUP($I70,'表4）CO2価格'!$A$7:$E$67,VLOOKUP($F$48,'表4）CO2価格'!$H$10:$I$12,2,0),0)*$F$8/1000,""))</f>
        <v/>
      </c>
      <c r="AZ70" s="71"/>
      <c r="BA70" s="11" t="str">
        <f t="shared" si="48"/>
        <v/>
      </c>
      <c r="BB70" s="10" t="str">
        <f t="shared" si="28"/>
        <v/>
      </c>
      <c r="BC70" s="71"/>
      <c r="BD70" s="10" t="str">
        <f t="shared" si="49"/>
        <v/>
      </c>
      <c r="BE70" s="10" t="str">
        <f t="shared" si="29"/>
        <v/>
      </c>
      <c r="BF70" s="71"/>
      <c r="BG70" s="11" t="str">
        <f t="shared" si="50"/>
        <v/>
      </c>
      <c r="BH70" s="10" t="str">
        <f t="shared" si="30"/>
        <v/>
      </c>
      <c r="BJ70" s="7" t="str">
        <f t="shared" si="31"/>
        <v/>
      </c>
      <c r="BK70" s="158" t="str">
        <f t="shared" si="32"/>
        <v/>
      </c>
      <c r="BL70" s="158" t="str">
        <f t="shared" si="14"/>
        <v/>
      </c>
      <c r="BM70" s="10"/>
      <c r="BN70" s="10" t="str">
        <f t="shared" si="33"/>
        <v/>
      </c>
      <c r="BO70" s="10" t="str">
        <f t="shared" si="34"/>
        <v/>
      </c>
      <c r="BQ70" s="10" t="str">
        <f t="shared" si="51"/>
        <v/>
      </c>
      <c r="BR70" s="10" t="str">
        <f t="shared" si="35"/>
        <v/>
      </c>
    </row>
    <row r="71" spans="2:70" x14ac:dyDescent="0.15">
      <c r="F71" s="145"/>
      <c r="I71" s="458">
        <f t="shared" si="36"/>
        <v>2076</v>
      </c>
      <c r="J71" s="39"/>
      <c r="K71" s="39">
        <f t="shared" si="37"/>
        <v>57</v>
      </c>
      <c r="L71" s="39"/>
      <c r="M71" s="40">
        <f t="shared" si="38"/>
        <v>0.18547193025437006</v>
      </c>
      <c r="N71" s="39"/>
      <c r="O71" s="72" t="str">
        <f t="shared" si="52"/>
        <v/>
      </c>
      <c r="P71" s="41" t="str">
        <f t="shared" si="39"/>
        <v/>
      </c>
      <c r="Q71" s="39"/>
      <c r="R71" s="72" t="str">
        <f t="shared" si="53"/>
        <v/>
      </c>
      <c r="S71" s="39"/>
      <c r="T71" s="72" t="str">
        <f t="shared" si="18"/>
        <v/>
      </c>
      <c r="U71" s="39"/>
      <c r="V71" s="72" t="str">
        <f t="shared" si="40"/>
        <v/>
      </c>
      <c r="W71" s="72" t="str">
        <f t="shared" si="19"/>
        <v/>
      </c>
      <c r="X71" s="39"/>
      <c r="Y71" s="72" t="str">
        <f t="shared" si="41"/>
        <v/>
      </c>
      <c r="Z71" s="72" t="str">
        <f t="shared" si="20"/>
        <v/>
      </c>
      <c r="AA71" s="39"/>
      <c r="AB71" s="72" t="str">
        <f t="shared" si="4"/>
        <v/>
      </c>
      <c r="AC71" s="72" t="str">
        <f t="shared" si="21"/>
        <v/>
      </c>
      <c r="AD71" s="39"/>
      <c r="AE71" s="72" t="str">
        <f t="shared" si="42"/>
        <v/>
      </c>
      <c r="AF71" s="72" t="str">
        <f t="shared" si="22"/>
        <v/>
      </c>
      <c r="AG71" s="39"/>
      <c r="AH71" s="72" t="str">
        <f t="shared" si="43"/>
        <v/>
      </c>
      <c r="AI71" s="72" t="str">
        <f t="shared" si="23"/>
        <v/>
      </c>
      <c r="AJ71" s="39"/>
      <c r="AK71" s="72" t="str">
        <f t="shared" si="44"/>
        <v/>
      </c>
      <c r="AL71" s="72" t="str">
        <f t="shared" si="24"/>
        <v/>
      </c>
      <c r="AM71" s="39"/>
      <c r="AN71" s="72" t="str">
        <f t="shared" si="45"/>
        <v/>
      </c>
      <c r="AO71" s="72" t="str">
        <f t="shared" si="25"/>
        <v/>
      </c>
      <c r="AP71" s="39"/>
      <c r="AQ71" s="72" t="str">
        <f t="shared" si="46"/>
        <v/>
      </c>
      <c r="AR71" s="72" t="str">
        <f t="shared" si="26"/>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47"/>
        <v/>
      </c>
      <c r="AW71" s="72" t="str">
        <f t="shared" si="27"/>
        <v/>
      </c>
      <c r="AX71" s="39"/>
      <c r="AY71" s="40" t="str">
        <f>IF(ISERROR(IF($K71&lt;=$F$15,VLOOKUP($I71,'表4）CO2価格'!$A$7:$E$67,VLOOKUP($F$48,'表4）CO2価格'!$H$10:$I$12,2,0),0)*$F$8/1000,"")),0,IF($K71&lt;=$F$15,VLOOKUP($I71,'表4）CO2価格'!$A$7:$E$67,VLOOKUP($F$48,'表4）CO2価格'!$H$10:$I$12,2,0),0)*$F$8/1000,""))</f>
        <v/>
      </c>
      <c r="AZ71" s="39"/>
      <c r="BA71" s="42" t="str">
        <f t="shared" si="48"/>
        <v/>
      </c>
      <c r="BB71" s="72" t="str">
        <f t="shared" si="28"/>
        <v/>
      </c>
      <c r="BC71" s="39"/>
      <c r="BD71" s="72" t="str">
        <f t="shared" si="49"/>
        <v/>
      </c>
      <c r="BE71" s="72" t="str">
        <f t="shared" si="29"/>
        <v/>
      </c>
      <c r="BF71" s="39"/>
      <c r="BG71" s="42" t="str">
        <f t="shared" si="50"/>
        <v/>
      </c>
      <c r="BH71" s="72" t="str">
        <f t="shared" si="30"/>
        <v/>
      </c>
      <c r="BI71" s="39"/>
      <c r="BJ71" s="40" t="str">
        <f t="shared" si="31"/>
        <v/>
      </c>
      <c r="BK71" s="157" t="str">
        <f t="shared" si="32"/>
        <v/>
      </c>
      <c r="BL71" s="157" t="str">
        <f t="shared" si="14"/>
        <v/>
      </c>
      <c r="BM71" s="72"/>
      <c r="BN71" s="72" t="str">
        <f t="shared" si="33"/>
        <v/>
      </c>
      <c r="BO71" s="72" t="str">
        <f t="shared" si="34"/>
        <v/>
      </c>
      <c r="BP71" s="39"/>
      <c r="BQ71" s="72" t="str">
        <f t="shared" si="51"/>
        <v/>
      </c>
      <c r="BR71" s="72" t="str">
        <f t="shared" si="35"/>
        <v/>
      </c>
    </row>
    <row r="72" spans="2:70" x14ac:dyDescent="0.15">
      <c r="C72" s="89" t="s">
        <v>136</v>
      </c>
      <c r="D72" s="101"/>
      <c r="E72" s="101"/>
      <c r="F72" s="92"/>
      <c r="G72" s="101"/>
      <c r="I72" s="459">
        <f t="shared" si="36"/>
        <v>2077</v>
      </c>
      <c r="J72" s="71"/>
      <c r="K72" s="71">
        <f t="shared" si="37"/>
        <v>58</v>
      </c>
      <c r="L72" s="71"/>
      <c r="M72" s="7">
        <f t="shared" si="38"/>
        <v>0.18006983519841754</v>
      </c>
      <c r="N72" s="71"/>
      <c r="O72" s="10" t="str">
        <f t="shared" si="52"/>
        <v/>
      </c>
      <c r="P72" s="29" t="str">
        <f t="shared" si="39"/>
        <v/>
      </c>
      <c r="Q72" s="71"/>
      <c r="R72" s="10" t="str">
        <f t="shared" si="53"/>
        <v/>
      </c>
      <c r="S72" s="71"/>
      <c r="T72" s="10" t="str">
        <f t="shared" si="18"/>
        <v/>
      </c>
      <c r="U72" s="71"/>
      <c r="V72" s="10" t="str">
        <f t="shared" si="40"/>
        <v/>
      </c>
      <c r="W72" s="10" t="str">
        <f t="shared" si="19"/>
        <v/>
      </c>
      <c r="X72" s="71"/>
      <c r="Y72" s="10" t="str">
        <f t="shared" si="41"/>
        <v/>
      </c>
      <c r="Z72" s="10" t="str">
        <f t="shared" si="20"/>
        <v/>
      </c>
      <c r="AA72" s="71"/>
      <c r="AB72" s="10" t="str">
        <f t="shared" si="4"/>
        <v/>
      </c>
      <c r="AC72" s="10" t="str">
        <f t="shared" si="21"/>
        <v/>
      </c>
      <c r="AD72" s="71"/>
      <c r="AE72" s="10" t="str">
        <f t="shared" si="42"/>
        <v/>
      </c>
      <c r="AF72" s="10" t="str">
        <f t="shared" si="22"/>
        <v/>
      </c>
      <c r="AG72" s="71"/>
      <c r="AH72" s="10" t="str">
        <f t="shared" si="43"/>
        <v/>
      </c>
      <c r="AI72" s="10" t="str">
        <f t="shared" si="23"/>
        <v/>
      </c>
      <c r="AJ72" s="71"/>
      <c r="AK72" s="10" t="str">
        <f t="shared" si="44"/>
        <v/>
      </c>
      <c r="AL72" s="10" t="str">
        <f t="shared" si="24"/>
        <v/>
      </c>
      <c r="AM72" s="71"/>
      <c r="AN72" s="10" t="str">
        <f t="shared" si="45"/>
        <v/>
      </c>
      <c r="AO72" s="10" t="str">
        <f t="shared" si="25"/>
        <v/>
      </c>
      <c r="AP72" s="71"/>
      <c r="AQ72" s="10" t="str">
        <f t="shared" si="46"/>
        <v/>
      </c>
      <c r="AR72" s="10" t="str">
        <f t="shared" si="26"/>
        <v/>
      </c>
      <c r="AS72" s="71"/>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U72" s="71"/>
      <c r="AV72" s="10" t="str">
        <f t="shared" si="47"/>
        <v/>
      </c>
      <c r="AW72" s="10" t="str">
        <f t="shared" si="27"/>
        <v/>
      </c>
      <c r="AX72" s="71"/>
      <c r="AY72" s="7" t="str">
        <f>IF(ISERROR(IF($K72&lt;=$F$15,VLOOKUP($I72,'表4）CO2価格'!$A$7:$E$67,VLOOKUP($F$48,'表4）CO2価格'!$H$10:$I$12,2,0),0)*$F$8/1000,"")),0,IF($K72&lt;=$F$15,VLOOKUP($I72,'表4）CO2価格'!$A$7:$E$67,VLOOKUP($F$48,'表4）CO2価格'!$H$10:$I$12,2,0),0)*$F$8/1000,""))</f>
        <v/>
      </c>
      <c r="AZ72" s="71"/>
      <c r="BA72" s="11" t="str">
        <f t="shared" si="48"/>
        <v/>
      </c>
      <c r="BB72" s="10" t="str">
        <f t="shared" si="28"/>
        <v/>
      </c>
      <c r="BC72" s="71"/>
      <c r="BD72" s="10" t="str">
        <f t="shared" si="49"/>
        <v/>
      </c>
      <c r="BE72" s="10" t="str">
        <f t="shared" si="29"/>
        <v/>
      </c>
      <c r="BF72" s="71"/>
      <c r="BG72" s="11" t="str">
        <f t="shared" si="50"/>
        <v/>
      </c>
      <c r="BH72" s="10" t="str">
        <f t="shared" si="30"/>
        <v/>
      </c>
      <c r="BJ72" s="7" t="str">
        <f t="shared" si="31"/>
        <v/>
      </c>
      <c r="BK72" s="158" t="str">
        <f t="shared" si="32"/>
        <v/>
      </c>
      <c r="BL72" s="158" t="str">
        <f t="shared" si="14"/>
        <v/>
      </c>
      <c r="BM72" s="10"/>
      <c r="BN72" s="10" t="str">
        <f t="shared" si="33"/>
        <v/>
      </c>
      <c r="BO72" s="10" t="str">
        <f t="shared" si="34"/>
        <v/>
      </c>
      <c r="BQ72" s="10" t="str">
        <f t="shared" si="51"/>
        <v/>
      </c>
      <c r="BR72" s="10" t="str">
        <f t="shared" si="35"/>
        <v/>
      </c>
    </row>
    <row r="73" spans="2:70" x14ac:dyDescent="0.15">
      <c r="F73" s="93"/>
      <c r="I73" s="458">
        <f t="shared" si="36"/>
        <v>2078</v>
      </c>
      <c r="J73" s="39"/>
      <c r="K73" s="39">
        <f t="shared" si="37"/>
        <v>59</v>
      </c>
      <c r="L73" s="39"/>
      <c r="M73" s="40">
        <f t="shared" si="38"/>
        <v>0.17482508271691022</v>
      </c>
      <c r="N73" s="39"/>
      <c r="O73" s="72" t="str">
        <f t="shared" si="52"/>
        <v/>
      </c>
      <c r="P73" s="41" t="str">
        <f t="shared" si="39"/>
        <v/>
      </c>
      <c r="Q73" s="39"/>
      <c r="R73" s="72" t="str">
        <f t="shared" si="53"/>
        <v/>
      </c>
      <c r="S73" s="39"/>
      <c r="T73" s="72" t="str">
        <f t="shared" si="18"/>
        <v/>
      </c>
      <c r="U73" s="39"/>
      <c r="V73" s="72" t="str">
        <f t="shared" si="40"/>
        <v/>
      </c>
      <c r="W73" s="72" t="str">
        <f t="shared" si="19"/>
        <v/>
      </c>
      <c r="X73" s="39"/>
      <c r="Y73" s="72" t="str">
        <f t="shared" si="41"/>
        <v/>
      </c>
      <c r="Z73" s="72" t="str">
        <f t="shared" si="20"/>
        <v/>
      </c>
      <c r="AA73" s="39"/>
      <c r="AB73" s="72" t="str">
        <f t="shared" si="4"/>
        <v/>
      </c>
      <c r="AC73" s="72" t="str">
        <f t="shared" si="21"/>
        <v/>
      </c>
      <c r="AD73" s="39"/>
      <c r="AE73" s="72" t="str">
        <f t="shared" si="42"/>
        <v/>
      </c>
      <c r="AF73" s="72" t="str">
        <f t="shared" si="22"/>
        <v/>
      </c>
      <c r="AG73" s="39"/>
      <c r="AH73" s="72" t="str">
        <f t="shared" si="43"/>
        <v/>
      </c>
      <c r="AI73" s="72" t="str">
        <f t="shared" si="23"/>
        <v/>
      </c>
      <c r="AJ73" s="39"/>
      <c r="AK73" s="72" t="str">
        <f t="shared" si="44"/>
        <v/>
      </c>
      <c r="AL73" s="72" t="str">
        <f t="shared" si="24"/>
        <v/>
      </c>
      <c r="AM73" s="39"/>
      <c r="AN73" s="72" t="str">
        <f t="shared" si="45"/>
        <v/>
      </c>
      <c r="AO73" s="72" t="str">
        <f t="shared" si="25"/>
        <v/>
      </c>
      <c r="AP73" s="39"/>
      <c r="AQ73" s="72" t="str">
        <f t="shared" si="46"/>
        <v/>
      </c>
      <c r="AR73" s="72" t="str">
        <f t="shared" si="26"/>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47"/>
        <v/>
      </c>
      <c r="AW73" s="72" t="str">
        <f t="shared" si="27"/>
        <v/>
      </c>
      <c r="AX73" s="39"/>
      <c r="AY73" s="40" t="str">
        <f>IF(ISERROR(IF($K73&lt;=$F$15,VLOOKUP($I73,'表4）CO2価格'!$A$7:$E$67,VLOOKUP($F$48,'表4）CO2価格'!$H$10:$I$12,2,0),0)*$F$8/1000,"")),0,IF($K73&lt;=$F$15,VLOOKUP($I73,'表4）CO2価格'!$A$7:$E$67,VLOOKUP($F$48,'表4）CO2価格'!$H$10:$I$12,2,0),0)*$F$8/1000,""))</f>
        <v/>
      </c>
      <c r="AZ73" s="39"/>
      <c r="BA73" s="42" t="str">
        <f t="shared" si="48"/>
        <v/>
      </c>
      <c r="BB73" s="72" t="str">
        <f t="shared" si="28"/>
        <v/>
      </c>
      <c r="BC73" s="39"/>
      <c r="BD73" s="72" t="str">
        <f t="shared" si="49"/>
        <v/>
      </c>
      <c r="BE73" s="72" t="str">
        <f t="shared" si="29"/>
        <v/>
      </c>
      <c r="BF73" s="39"/>
      <c r="BG73" s="42" t="str">
        <f t="shared" si="50"/>
        <v/>
      </c>
      <c r="BH73" s="72" t="str">
        <f t="shared" si="30"/>
        <v/>
      </c>
      <c r="BI73" s="39"/>
      <c r="BJ73" s="40" t="str">
        <f t="shared" si="31"/>
        <v/>
      </c>
      <c r="BK73" s="157" t="str">
        <f t="shared" si="32"/>
        <v/>
      </c>
      <c r="BL73" s="157" t="str">
        <f t="shared" si="14"/>
        <v/>
      </c>
      <c r="BM73" s="72"/>
      <c r="BN73" s="72" t="str">
        <f t="shared" si="33"/>
        <v/>
      </c>
      <c r="BO73" s="72" t="str">
        <f t="shared" si="34"/>
        <v/>
      </c>
      <c r="BP73" s="39"/>
      <c r="BQ73" s="72" t="str">
        <f t="shared" si="51"/>
        <v/>
      </c>
      <c r="BR73" s="72" t="str">
        <f t="shared" si="35"/>
        <v/>
      </c>
    </row>
    <row r="74" spans="2:70" ht="15" x14ac:dyDescent="0.15">
      <c r="D74" s="116" t="s">
        <v>192</v>
      </c>
      <c r="F74" s="94">
        <f>SUBTOTAL(9,F78:F81)</f>
        <v>4.9446950805682679</v>
      </c>
      <c r="G74" s="81" t="s">
        <v>132</v>
      </c>
      <c r="I74" s="459">
        <f t="shared" si="36"/>
        <v>2079</v>
      </c>
      <c r="J74" s="71"/>
      <c r="K74" s="71">
        <f t="shared" si="37"/>
        <v>60</v>
      </c>
      <c r="L74" s="71"/>
      <c r="M74" s="7">
        <f t="shared" si="38"/>
        <v>0.1697330900164177</v>
      </c>
      <c r="N74" s="71"/>
      <c r="O74" s="10" t="str">
        <f t="shared" si="52"/>
        <v/>
      </c>
      <c r="P74" s="29" t="str">
        <f t="shared" si="39"/>
        <v/>
      </c>
      <c r="Q74" s="71"/>
      <c r="R74" s="10" t="str">
        <f t="shared" si="53"/>
        <v/>
      </c>
      <c r="S74" s="71"/>
      <c r="T74" s="10" t="str">
        <f t="shared" si="18"/>
        <v/>
      </c>
      <c r="U74" s="71"/>
      <c r="V74" s="10" t="str">
        <f t="shared" si="40"/>
        <v/>
      </c>
      <c r="W74" s="10" t="str">
        <f t="shared" si="19"/>
        <v/>
      </c>
      <c r="X74" s="71"/>
      <c r="Y74" s="10" t="str">
        <f t="shared" si="41"/>
        <v/>
      </c>
      <c r="Z74" s="10" t="str">
        <f t="shared" si="20"/>
        <v/>
      </c>
      <c r="AA74" s="71"/>
      <c r="AB74" s="10" t="str">
        <f t="shared" si="4"/>
        <v/>
      </c>
      <c r="AC74" s="10" t="str">
        <f t="shared" si="21"/>
        <v/>
      </c>
      <c r="AD74" s="71"/>
      <c r="AE74" s="10" t="str">
        <f t="shared" si="42"/>
        <v/>
      </c>
      <c r="AF74" s="10" t="str">
        <f t="shared" si="22"/>
        <v/>
      </c>
      <c r="AG74" s="71"/>
      <c r="AH74" s="10" t="str">
        <f t="shared" si="43"/>
        <v/>
      </c>
      <c r="AI74" s="10" t="str">
        <f t="shared" si="23"/>
        <v/>
      </c>
      <c r="AJ74" s="71"/>
      <c r="AK74" s="10" t="str">
        <f t="shared" si="44"/>
        <v/>
      </c>
      <c r="AL74" s="10" t="str">
        <f t="shared" si="24"/>
        <v/>
      </c>
      <c r="AM74" s="71"/>
      <c r="AN74" s="10" t="str">
        <f t="shared" si="45"/>
        <v/>
      </c>
      <c r="AO74" s="10" t="str">
        <f t="shared" si="25"/>
        <v/>
      </c>
      <c r="AP74" s="71"/>
      <c r="AQ74" s="10" t="str">
        <f t="shared" si="46"/>
        <v/>
      </c>
      <c r="AR74" s="10" t="str">
        <f t="shared" si="26"/>
        <v/>
      </c>
      <c r="AS74" s="71"/>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U74" s="71"/>
      <c r="AV74" s="10" t="str">
        <f t="shared" si="47"/>
        <v/>
      </c>
      <c r="AW74" s="10" t="str">
        <f t="shared" si="27"/>
        <v/>
      </c>
      <c r="AX74" s="71"/>
      <c r="AY74" s="7" t="str">
        <f>IF(ISERROR(IF($K74&lt;=$F$15,VLOOKUP($I74,'表4）CO2価格'!$A$7:$E$67,VLOOKUP($F$48,'表4）CO2価格'!$H$10:$I$12,2,0),0)*$F$8/1000,"")),0,IF($K74&lt;=$F$15,VLOOKUP($I74,'表4）CO2価格'!$A$7:$E$67,VLOOKUP($F$48,'表4）CO2価格'!$H$10:$I$12,2,0),0)*$F$8/1000,""))</f>
        <v/>
      </c>
      <c r="AZ74" s="71"/>
      <c r="BA74" s="11" t="str">
        <f t="shared" si="48"/>
        <v/>
      </c>
      <c r="BB74" s="10" t="str">
        <f t="shared" si="28"/>
        <v/>
      </c>
      <c r="BC74" s="71"/>
      <c r="BD74" s="10" t="str">
        <f t="shared" si="49"/>
        <v/>
      </c>
      <c r="BE74" s="10" t="str">
        <f t="shared" si="29"/>
        <v/>
      </c>
      <c r="BF74" s="71"/>
      <c r="BG74" s="11" t="str">
        <f t="shared" si="50"/>
        <v/>
      </c>
      <c r="BH74" s="10" t="str">
        <f t="shared" si="30"/>
        <v/>
      </c>
      <c r="BJ74" s="7" t="str">
        <f t="shared" si="31"/>
        <v/>
      </c>
      <c r="BK74" s="158" t="str">
        <f t="shared" si="32"/>
        <v/>
      </c>
      <c r="BL74" s="158" t="str">
        <f t="shared" si="14"/>
        <v/>
      </c>
      <c r="BM74" s="10"/>
      <c r="BN74" s="10" t="str">
        <f t="shared" si="33"/>
        <v/>
      </c>
      <c r="BO74" s="10" t="str">
        <f t="shared" si="34"/>
        <v/>
      </c>
      <c r="BQ74" s="10" t="str">
        <f t="shared" si="51"/>
        <v/>
      </c>
      <c r="BR74" s="10" t="str">
        <f t="shared" si="35"/>
        <v/>
      </c>
    </row>
    <row r="75" spans="2:70" x14ac:dyDescent="0.15">
      <c r="F75" s="93"/>
      <c r="I75" s="458">
        <f t="shared" si="36"/>
        <v>2080</v>
      </c>
      <c r="J75" s="39"/>
      <c r="K75" s="39">
        <f t="shared" si="37"/>
        <v>61</v>
      </c>
      <c r="L75" s="39"/>
      <c r="M75" s="40">
        <f t="shared" si="38"/>
        <v>0.16478940778292983</v>
      </c>
      <c r="N75" s="39"/>
      <c r="O75" s="72" t="str">
        <f t="shared" si="52"/>
        <v/>
      </c>
      <c r="P75" s="41" t="str">
        <f t="shared" si="39"/>
        <v/>
      </c>
      <c r="Q75" s="39"/>
      <c r="R75" s="72" t="str">
        <f t="shared" si="53"/>
        <v/>
      </c>
      <c r="S75" s="39"/>
      <c r="T75" s="72" t="str">
        <f t="shared" si="18"/>
        <v/>
      </c>
      <c r="U75" s="39"/>
      <c r="V75" s="72" t="str">
        <f t="shared" si="40"/>
        <v/>
      </c>
      <c r="W75" s="72" t="str">
        <f t="shared" si="19"/>
        <v/>
      </c>
      <c r="X75" s="39"/>
      <c r="Y75" s="72" t="str">
        <f t="shared" si="41"/>
        <v/>
      </c>
      <c r="Z75" s="72" t="str">
        <f t="shared" si="20"/>
        <v/>
      </c>
      <c r="AA75" s="39"/>
      <c r="AB75" s="72" t="str">
        <f t="shared" si="4"/>
        <v/>
      </c>
      <c r="AC75" s="72" t="str">
        <f t="shared" si="21"/>
        <v/>
      </c>
      <c r="AD75" s="39"/>
      <c r="AE75" s="72" t="str">
        <f t="shared" si="42"/>
        <v/>
      </c>
      <c r="AF75" s="72" t="str">
        <f t="shared" si="22"/>
        <v/>
      </c>
      <c r="AG75" s="39"/>
      <c r="AH75" s="72" t="str">
        <f t="shared" si="43"/>
        <v/>
      </c>
      <c r="AI75" s="72" t="str">
        <f t="shared" si="23"/>
        <v/>
      </c>
      <c r="AJ75" s="39"/>
      <c r="AK75" s="72" t="str">
        <f t="shared" si="44"/>
        <v/>
      </c>
      <c r="AL75" s="72" t="str">
        <f t="shared" si="24"/>
        <v/>
      </c>
      <c r="AM75" s="39"/>
      <c r="AN75" s="72" t="str">
        <f t="shared" si="45"/>
        <v/>
      </c>
      <c r="AO75" s="72" t="str">
        <f t="shared" si="25"/>
        <v/>
      </c>
      <c r="AP75" s="39"/>
      <c r="AQ75" s="72" t="str">
        <f t="shared" si="46"/>
        <v/>
      </c>
      <c r="AR75" s="72" t="str">
        <f t="shared" si="26"/>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47"/>
        <v/>
      </c>
      <c r="AW75" s="72" t="str">
        <f t="shared" si="27"/>
        <v/>
      </c>
      <c r="AX75" s="39"/>
      <c r="AY75" s="40" t="str">
        <f>IF(ISERROR(IF($K75&lt;=$F$15,VLOOKUP($I75,'表4）CO2価格'!$A$7:$E$67,VLOOKUP($F$48,'表4）CO2価格'!$H$10:$I$12,2,0),0)*$F$8/1000,"")),0,IF($K75&lt;=$F$15,VLOOKUP($I75,'表4）CO2価格'!$A$7:$E$67,VLOOKUP($F$48,'表4）CO2価格'!$H$10:$I$12,2,0),0)*$F$8/1000,""))</f>
        <v/>
      </c>
      <c r="AZ75" s="39"/>
      <c r="BA75" s="42" t="str">
        <f t="shared" si="48"/>
        <v/>
      </c>
      <c r="BB75" s="72" t="str">
        <f t="shared" si="28"/>
        <v/>
      </c>
      <c r="BC75" s="39"/>
      <c r="BD75" s="72" t="str">
        <f t="shared" si="49"/>
        <v/>
      </c>
      <c r="BE75" s="72" t="str">
        <f t="shared" si="29"/>
        <v/>
      </c>
      <c r="BF75" s="39"/>
      <c r="BG75" s="42" t="str">
        <f t="shared" si="50"/>
        <v/>
      </c>
      <c r="BH75" s="72" t="str">
        <f t="shared" si="30"/>
        <v/>
      </c>
      <c r="BI75" s="39"/>
      <c r="BJ75" s="40" t="str">
        <f t="shared" si="31"/>
        <v/>
      </c>
      <c r="BK75" s="157" t="str">
        <f t="shared" si="32"/>
        <v/>
      </c>
      <c r="BL75" s="157" t="str">
        <f t="shared" si="14"/>
        <v/>
      </c>
      <c r="BM75" s="72"/>
      <c r="BN75" s="72" t="str">
        <f t="shared" si="33"/>
        <v/>
      </c>
      <c r="BO75" s="72" t="str">
        <f t="shared" si="34"/>
        <v/>
      </c>
      <c r="BP75" s="39"/>
      <c r="BQ75" s="72" t="str">
        <f t="shared" si="51"/>
        <v/>
      </c>
      <c r="BR75" s="72" t="str">
        <f t="shared" si="35"/>
        <v/>
      </c>
    </row>
    <row r="76" spans="2:70" x14ac:dyDescent="0.15">
      <c r="D76" s="101" t="s">
        <v>193</v>
      </c>
      <c r="E76" s="101"/>
      <c r="F76" s="92"/>
      <c r="G76" s="101"/>
      <c r="I76" s="459">
        <f t="shared" si="36"/>
        <v>2081</v>
      </c>
      <c r="J76" s="71"/>
      <c r="K76" s="71">
        <f t="shared" si="37"/>
        <v>62</v>
      </c>
      <c r="L76" s="71"/>
      <c r="M76" s="7">
        <f t="shared" si="38"/>
        <v>0.15998971629410663</v>
      </c>
      <c r="N76" s="71"/>
      <c r="O76" s="10" t="str">
        <f t="shared" si="52"/>
        <v/>
      </c>
      <c r="P76" s="29" t="str">
        <f t="shared" si="39"/>
        <v/>
      </c>
      <c r="Q76" s="71"/>
      <c r="R76" s="10" t="str">
        <f t="shared" si="53"/>
        <v/>
      </c>
      <c r="S76" s="71"/>
      <c r="T76" s="10" t="str">
        <f t="shared" si="18"/>
        <v/>
      </c>
      <c r="U76" s="71"/>
      <c r="V76" s="10" t="str">
        <f t="shared" si="40"/>
        <v/>
      </c>
      <c r="W76" s="10" t="str">
        <f t="shared" si="19"/>
        <v/>
      </c>
      <c r="X76" s="71"/>
      <c r="Y76" s="10" t="str">
        <f t="shared" si="41"/>
        <v/>
      </c>
      <c r="Z76" s="10" t="str">
        <f t="shared" si="20"/>
        <v/>
      </c>
      <c r="AA76" s="71"/>
      <c r="AB76" s="10" t="str">
        <f t="shared" si="4"/>
        <v/>
      </c>
      <c r="AC76" s="10" t="str">
        <f t="shared" si="21"/>
        <v/>
      </c>
      <c r="AD76" s="71"/>
      <c r="AE76" s="10" t="str">
        <f t="shared" si="42"/>
        <v/>
      </c>
      <c r="AF76" s="10" t="str">
        <f t="shared" si="22"/>
        <v/>
      </c>
      <c r="AG76" s="71"/>
      <c r="AH76" s="10" t="str">
        <f t="shared" si="43"/>
        <v/>
      </c>
      <c r="AI76" s="10" t="str">
        <f t="shared" si="23"/>
        <v/>
      </c>
      <c r="AJ76" s="71"/>
      <c r="AK76" s="10" t="str">
        <f t="shared" si="44"/>
        <v/>
      </c>
      <c r="AL76" s="10" t="str">
        <f t="shared" si="24"/>
        <v/>
      </c>
      <c r="AM76" s="71"/>
      <c r="AN76" s="10" t="str">
        <f t="shared" si="45"/>
        <v/>
      </c>
      <c r="AO76" s="10" t="str">
        <f t="shared" si="25"/>
        <v/>
      </c>
      <c r="AP76" s="71"/>
      <c r="AQ76" s="10" t="str">
        <f t="shared" si="46"/>
        <v/>
      </c>
      <c r="AR76" s="10" t="str">
        <f t="shared" si="26"/>
        <v/>
      </c>
      <c r="AS76" s="71"/>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U76" s="71"/>
      <c r="AV76" s="10" t="str">
        <f t="shared" si="47"/>
        <v/>
      </c>
      <c r="AW76" s="10" t="str">
        <f t="shared" si="27"/>
        <v/>
      </c>
      <c r="AX76" s="71"/>
      <c r="AY76" s="7" t="str">
        <f>IF(ISERROR(IF($K76&lt;=$F$15,VLOOKUP($I76,'表4）CO2価格'!$A$7:$E$67,VLOOKUP($F$48,'表4）CO2価格'!$H$10:$I$12,2,0),0)*$F$8/1000,"")),0,IF($K76&lt;=$F$15,VLOOKUP($I76,'表4）CO2価格'!$A$7:$E$67,VLOOKUP($F$48,'表4）CO2価格'!$H$10:$I$12,2,0),0)*$F$8/1000,""))</f>
        <v/>
      </c>
      <c r="AZ76" s="71"/>
      <c r="BA76" s="11" t="str">
        <f t="shared" si="48"/>
        <v/>
      </c>
      <c r="BB76" s="10" t="str">
        <f t="shared" si="28"/>
        <v/>
      </c>
      <c r="BC76" s="71"/>
      <c r="BD76" s="10" t="str">
        <f t="shared" si="49"/>
        <v/>
      </c>
      <c r="BE76" s="10" t="str">
        <f t="shared" si="29"/>
        <v/>
      </c>
      <c r="BF76" s="71"/>
      <c r="BG76" s="11" t="str">
        <f t="shared" si="50"/>
        <v/>
      </c>
      <c r="BH76" s="10" t="str">
        <f t="shared" si="30"/>
        <v/>
      </c>
      <c r="BJ76" s="7" t="str">
        <f t="shared" si="31"/>
        <v/>
      </c>
      <c r="BK76" s="158" t="str">
        <f t="shared" si="32"/>
        <v/>
      </c>
      <c r="BL76" s="158" t="str">
        <f t="shared" si="14"/>
        <v/>
      </c>
      <c r="BM76" s="10"/>
      <c r="BN76" s="10" t="str">
        <f t="shared" si="33"/>
        <v/>
      </c>
      <c r="BO76" s="10" t="str">
        <f t="shared" si="34"/>
        <v/>
      </c>
      <c r="BQ76" s="10" t="str">
        <f t="shared" si="51"/>
        <v/>
      </c>
      <c r="BR76" s="10" t="str">
        <f t="shared" si="35"/>
        <v/>
      </c>
    </row>
    <row r="77" spans="2:70" x14ac:dyDescent="0.15">
      <c r="F77" s="93"/>
      <c r="I77" s="458">
        <f t="shared" si="36"/>
        <v>2082</v>
      </c>
      <c r="J77" s="39"/>
      <c r="K77" s="39">
        <f t="shared" si="37"/>
        <v>63</v>
      </c>
      <c r="L77" s="39"/>
      <c r="M77" s="40">
        <f t="shared" si="38"/>
        <v>0.15532982164476369</v>
      </c>
      <c r="N77" s="39"/>
      <c r="O77" s="72" t="str">
        <f t="shared" si="52"/>
        <v/>
      </c>
      <c r="P77" s="41" t="str">
        <f t="shared" si="39"/>
        <v/>
      </c>
      <c r="Q77" s="39"/>
      <c r="R77" s="72" t="str">
        <f t="shared" si="53"/>
        <v/>
      </c>
      <c r="S77" s="39"/>
      <c r="T77" s="72" t="str">
        <f t="shared" si="18"/>
        <v/>
      </c>
      <c r="U77" s="39"/>
      <c r="V77" s="72" t="str">
        <f t="shared" si="40"/>
        <v/>
      </c>
      <c r="W77" s="72" t="str">
        <f t="shared" si="19"/>
        <v/>
      </c>
      <c r="X77" s="39"/>
      <c r="Y77" s="72" t="str">
        <f t="shared" si="41"/>
        <v/>
      </c>
      <c r="Z77" s="72" t="str">
        <f t="shared" si="20"/>
        <v/>
      </c>
      <c r="AA77" s="39"/>
      <c r="AB77" s="72" t="str">
        <f t="shared" si="4"/>
        <v/>
      </c>
      <c r="AC77" s="72" t="str">
        <f t="shared" si="21"/>
        <v/>
      </c>
      <c r="AD77" s="39"/>
      <c r="AE77" s="72" t="str">
        <f t="shared" si="42"/>
        <v/>
      </c>
      <c r="AF77" s="72" t="str">
        <f t="shared" si="22"/>
        <v/>
      </c>
      <c r="AG77" s="39"/>
      <c r="AH77" s="72" t="str">
        <f t="shared" si="43"/>
        <v/>
      </c>
      <c r="AI77" s="72" t="str">
        <f t="shared" si="23"/>
        <v/>
      </c>
      <c r="AJ77" s="39"/>
      <c r="AK77" s="72" t="str">
        <f t="shared" si="44"/>
        <v/>
      </c>
      <c r="AL77" s="72" t="str">
        <f t="shared" si="24"/>
        <v/>
      </c>
      <c r="AM77" s="39"/>
      <c r="AN77" s="72" t="str">
        <f t="shared" si="45"/>
        <v/>
      </c>
      <c r="AO77" s="72" t="str">
        <f t="shared" si="25"/>
        <v/>
      </c>
      <c r="AP77" s="39"/>
      <c r="AQ77" s="72" t="str">
        <f t="shared" si="46"/>
        <v/>
      </c>
      <c r="AR77" s="72" t="str">
        <f t="shared" si="26"/>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47"/>
        <v/>
      </c>
      <c r="AW77" s="72" t="str">
        <f t="shared" si="27"/>
        <v/>
      </c>
      <c r="AX77" s="39"/>
      <c r="AY77" s="40" t="str">
        <f>IF(ISERROR(IF($K77&lt;=$F$15,VLOOKUP($I77,'表4）CO2価格'!$A$7:$E$67,VLOOKUP($F$48,'表4）CO2価格'!$H$10:$I$12,2,0),0)*$F$8/1000,"")),0,IF($K77&lt;=$F$15,VLOOKUP($I77,'表4）CO2価格'!$A$7:$E$67,VLOOKUP($F$48,'表4）CO2価格'!$H$10:$I$12,2,0),0)*$F$8/1000,""))</f>
        <v/>
      </c>
      <c r="AZ77" s="39"/>
      <c r="BA77" s="42" t="str">
        <f t="shared" si="48"/>
        <v/>
      </c>
      <c r="BB77" s="72" t="str">
        <f t="shared" si="28"/>
        <v/>
      </c>
      <c r="BC77" s="39"/>
      <c r="BD77" s="72" t="str">
        <f t="shared" si="49"/>
        <v/>
      </c>
      <c r="BE77" s="72" t="str">
        <f t="shared" si="29"/>
        <v/>
      </c>
      <c r="BF77" s="39"/>
      <c r="BG77" s="42" t="str">
        <f t="shared" si="50"/>
        <v/>
      </c>
      <c r="BH77" s="72" t="str">
        <f t="shared" si="30"/>
        <v/>
      </c>
      <c r="BI77" s="39"/>
      <c r="BJ77" s="40" t="str">
        <f t="shared" si="31"/>
        <v/>
      </c>
      <c r="BK77" s="157" t="str">
        <f t="shared" si="32"/>
        <v/>
      </c>
      <c r="BL77" s="157" t="str">
        <f t="shared" si="14"/>
        <v/>
      </c>
      <c r="BM77" s="72"/>
      <c r="BN77" s="72" t="str">
        <f t="shared" si="33"/>
        <v/>
      </c>
      <c r="BO77" s="72" t="str">
        <f t="shared" si="34"/>
        <v/>
      </c>
      <c r="BP77" s="39"/>
      <c r="BQ77" s="72" t="str">
        <f t="shared" si="51"/>
        <v/>
      </c>
      <c r="BR77" s="72" t="str">
        <f t="shared" si="35"/>
        <v/>
      </c>
    </row>
    <row r="78" spans="2:70" x14ac:dyDescent="0.15">
      <c r="E78" s="74" t="s">
        <v>138</v>
      </c>
      <c r="F78" s="91">
        <f>R15/$BR$116</f>
        <v>4.4959495076936289</v>
      </c>
      <c r="G78" s="81" t="s">
        <v>132</v>
      </c>
      <c r="I78" s="459">
        <f t="shared" si="36"/>
        <v>2083</v>
      </c>
      <c r="J78" s="71"/>
      <c r="K78" s="71">
        <f t="shared" si="37"/>
        <v>64</v>
      </c>
      <c r="L78" s="71"/>
      <c r="M78" s="7">
        <f t="shared" si="38"/>
        <v>0.15080565208229488</v>
      </c>
      <c r="N78" s="71"/>
      <c r="O78" s="10" t="str">
        <f t="shared" si="52"/>
        <v/>
      </c>
      <c r="P78" s="29" t="str">
        <f t="shared" si="39"/>
        <v/>
      </c>
      <c r="Q78" s="71"/>
      <c r="R78" s="10" t="str">
        <f t="shared" si="53"/>
        <v/>
      </c>
      <c r="S78" s="71"/>
      <c r="T78" s="10" t="str">
        <f t="shared" si="18"/>
        <v/>
      </c>
      <c r="U78" s="71"/>
      <c r="V78" s="10" t="str">
        <f t="shared" si="40"/>
        <v/>
      </c>
      <c r="W78" s="10" t="str">
        <f t="shared" si="19"/>
        <v/>
      </c>
      <c r="X78" s="71"/>
      <c r="Y78" s="10" t="str">
        <f t="shared" si="41"/>
        <v/>
      </c>
      <c r="Z78" s="10" t="str">
        <f t="shared" si="20"/>
        <v/>
      </c>
      <c r="AA78" s="71"/>
      <c r="AB78" s="10" t="str">
        <f t="shared" si="4"/>
        <v/>
      </c>
      <c r="AC78" s="10" t="str">
        <f t="shared" si="21"/>
        <v/>
      </c>
      <c r="AD78" s="71"/>
      <c r="AE78" s="10" t="str">
        <f t="shared" si="42"/>
        <v/>
      </c>
      <c r="AF78" s="10" t="str">
        <f t="shared" si="22"/>
        <v/>
      </c>
      <c r="AG78" s="71"/>
      <c r="AH78" s="10" t="str">
        <f t="shared" si="43"/>
        <v/>
      </c>
      <c r="AI78" s="10" t="str">
        <f t="shared" si="23"/>
        <v/>
      </c>
      <c r="AJ78" s="71"/>
      <c r="AK78" s="10" t="str">
        <f t="shared" si="44"/>
        <v/>
      </c>
      <c r="AL78" s="10" t="str">
        <f t="shared" si="24"/>
        <v/>
      </c>
      <c r="AM78" s="71"/>
      <c r="AN78" s="10" t="str">
        <f t="shared" si="45"/>
        <v/>
      </c>
      <c r="AO78" s="10" t="str">
        <f t="shared" si="25"/>
        <v/>
      </c>
      <c r="AP78" s="71"/>
      <c r="AQ78" s="10" t="str">
        <f t="shared" si="46"/>
        <v/>
      </c>
      <c r="AR78" s="10" t="str">
        <f t="shared" si="26"/>
        <v/>
      </c>
      <c r="AS78" s="71"/>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U78" s="71"/>
      <c r="AV78" s="10" t="str">
        <f t="shared" si="47"/>
        <v/>
      </c>
      <c r="AW78" s="10" t="str">
        <f t="shared" si="27"/>
        <v/>
      </c>
      <c r="AX78" s="71"/>
      <c r="AY78" s="7" t="str">
        <f>IF(ISERROR(IF($K78&lt;=$F$15,VLOOKUP($I78,'表4）CO2価格'!$A$7:$E$67,VLOOKUP($F$48,'表4）CO2価格'!$H$10:$I$12,2,0),0)*$F$8/1000,"")),0,IF($K78&lt;=$F$15,VLOOKUP($I78,'表4）CO2価格'!$A$7:$E$67,VLOOKUP($F$48,'表4）CO2価格'!$H$10:$I$12,2,0),0)*$F$8/1000,""))</f>
        <v/>
      </c>
      <c r="AZ78" s="71"/>
      <c r="BA78" s="11" t="str">
        <f t="shared" si="48"/>
        <v/>
      </c>
      <c r="BB78" s="10" t="str">
        <f t="shared" si="28"/>
        <v/>
      </c>
      <c r="BC78" s="71"/>
      <c r="BD78" s="10" t="str">
        <f t="shared" si="49"/>
        <v/>
      </c>
      <c r="BE78" s="10" t="str">
        <f t="shared" si="29"/>
        <v/>
      </c>
      <c r="BF78" s="71"/>
      <c r="BG78" s="11" t="str">
        <f t="shared" si="50"/>
        <v/>
      </c>
      <c r="BH78" s="10" t="str">
        <f t="shared" si="30"/>
        <v/>
      </c>
      <c r="BJ78" s="7" t="str">
        <f t="shared" si="31"/>
        <v/>
      </c>
      <c r="BK78" s="158" t="str">
        <f t="shared" si="32"/>
        <v/>
      </c>
      <c r="BL78" s="158" t="str">
        <f t="shared" si="14"/>
        <v/>
      </c>
      <c r="BM78" s="10"/>
      <c r="BN78" s="10" t="str">
        <f t="shared" si="33"/>
        <v/>
      </c>
      <c r="BO78" s="10" t="str">
        <f t="shared" si="34"/>
        <v/>
      </c>
      <c r="BQ78" s="10" t="str">
        <f t="shared" si="51"/>
        <v/>
      </c>
      <c r="BR78" s="10" t="str">
        <f t="shared" si="35"/>
        <v/>
      </c>
    </row>
    <row r="79" spans="2:70" x14ac:dyDescent="0.15">
      <c r="E79" s="81" t="s">
        <v>139</v>
      </c>
      <c r="F79" s="91">
        <f>Z116/$BR$116</f>
        <v>0.38183954970196365</v>
      </c>
      <c r="G79" s="81" t="s">
        <v>132</v>
      </c>
      <c r="I79" s="458">
        <f t="shared" si="36"/>
        <v>2084</v>
      </c>
      <c r="J79" s="39"/>
      <c r="K79" s="39">
        <f t="shared" si="37"/>
        <v>65</v>
      </c>
      <c r="L79" s="39"/>
      <c r="M79" s="40">
        <f t="shared" ref="M79:M114" si="54">1/(1+($F$9/100))^K79</f>
        <v>0.14641325444882999</v>
      </c>
      <c r="N79" s="39"/>
      <c r="O79" s="72" t="str">
        <f t="shared" si="52"/>
        <v/>
      </c>
      <c r="P79" s="41" t="str">
        <f t="shared" ref="P79:P110" si="55">IF(K79&lt;=$F$15,IF(OR(P78=$F$124,P78="-"),"-",IF(O79*$F$123&gt;$F$127,$F$123,$F$124)),"")</f>
        <v/>
      </c>
      <c r="Q79" s="39"/>
      <c r="R79" s="72" t="str">
        <f t="shared" si="53"/>
        <v/>
      </c>
      <c r="S79" s="39"/>
      <c r="T79" s="72" t="str">
        <f t="shared" si="18"/>
        <v/>
      </c>
      <c r="U79" s="39"/>
      <c r="V79" s="72" t="str">
        <f t="shared" ref="V79:V114" si="56">IF(K79&lt;=$F$15,IF(K79&lt;$F$119,IF(P79="-",V78,O79*P79),IF(K79=$F$119,MIN(IF(P79="-",V78,O79*P79),O79),0)),"")</f>
        <v/>
      </c>
      <c r="W79" s="72" t="str">
        <f t="shared" si="19"/>
        <v/>
      </c>
      <c r="X79" s="39"/>
      <c r="Y79" s="72" t="str">
        <f t="shared" ref="Y79:Y114" si="57">IF($K79&lt;=$F$15,ROUNDDOWN(T79*$F$25/100,-2),"")</f>
        <v/>
      </c>
      <c r="Z79" s="72" t="str">
        <f t="shared" si="20"/>
        <v/>
      </c>
      <c r="AA79" s="39"/>
      <c r="AB79" s="72" t="str">
        <f t="shared" ref="AB79:AB114" si="58">IF($K79&lt;=$F$15,0,IF(AND($K79&gt;$F$15,$K79&lt;=$F$15+$F$28),$F$27*10^8/$F$28,""))</f>
        <v/>
      </c>
      <c r="AC79" s="72" t="str">
        <f t="shared" si="21"/>
        <v/>
      </c>
      <c r="AD79" s="39"/>
      <c r="AE79" s="72" t="str">
        <f t="shared" ref="AE79:AE114" si="59">IF($K79&lt;=$F$15,$F$26,"")</f>
        <v/>
      </c>
      <c r="AF79" s="72" t="str">
        <f t="shared" si="22"/>
        <v/>
      </c>
      <c r="AG79" s="39"/>
      <c r="AH79" s="72" t="str">
        <f t="shared" ref="AH79:AH114" si="60">IF($K79&lt;=$F$15,$F$33*10^8,"")</f>
        <v/>
      </c>
      <c r="AI79" s="72" t="str">
        <f t="shared" si="23"/>
        <v/>
      </c>
      <c r="AJ79" s="39"/>
      <c r="AK79" s="72" t="str">
        <f t="shared" ref="AK79:AK114" si="61">IF($K79&lt;=$F$15,$F$117*$F$34/100,"")</f>
        <v/>
      </c>
      <c r="AL79" s="72" t="str">
        <f t="shared" si="24"/>
        <v/>
      </c>
      <c r="AM79" s="39"/>
      <c r="AN79" s="72" t="str">
        <f t="shared" ref="AN79:AN114" si="62">IF($K79&lt;=$F$15,$F$117*$F$35/100,"")</f>
        <v/>
      </c>
      <c r="AO79" s="72" t="str">
        <f t="shared" si="25"/>
        <v/>
      </c>
      <c r="AP79" s="39"/>
      <c r="AQ79" s="72" t="str">
        <f t="shared" ref="AQ79:AQ114" si="63">IF($K79&lt;=$F$15,SUM(AH79,AK79,AN79)*($F$36/100),"")</f>
        <v/>
      </c>
      <c r="AR79" s="72" t="str">
        <f t="shared" si="26"/>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64">IF($K79&lt;=$F$15,($AT79+$F$142)*$F$137,"")</f>
        <v/>
      </c>
      <c r="AW79" s="72" t="str">
        <f t="shared" si="27"/>
        <v/>
      </c>
      <c r="AX79" s="39"/>
      <c r="AY79" s="40" t="str">
        <f>IF(ISERROR(IF($K79&lt;=$F$15,VLOOKUP($I79,'表4）CO2価格'!$A$7:$E$67,VLOOKUP($F$48,'表4）CO2価格'!$H$10:$I$12,2,0),0)*$F$8/1000,"")),0,IF($K79&lt;=$F$15,VLOOKUP($I79,'表4）CO2価格'!$A$7:$E$67,VLOOKUP($F$48,'表4）CO2価格'!$H$10:$I$12,2,0),0)*$F$8/1000,""))</f>
        <v/>
      </c>
      <c r="AZ79" s="39"/>
      <c r="BA79" s="42" t="str">
        <f t="shared" ref="BA79:BA114" si="65">IF($K79&lt;=$F$15,$F$145*AY79,"")</f>
        <v/>
      </c>
      <c r="BB79" s="72" t="str">
        <f t="shared" si="28"/>
        <v/>
      </c>
      <c r="BC79" s="39"/>
      <c r="BD79" s="72" t="str">
        <f t="shared" ref="BD79:BD114" si="66">IF($K79&lt;=$F$15,($AT79+$F$152)*$F$151,"")</f>
        <v/>
      </c>
      <c r="BE79" s="72" t="str">
        <f t="shared" si="29"/>
        <v/>
      </c>
      <c r="BF79" s="39"/>
      <c r="BG79" s="42" t="str">
        <f t="shared" ref="BG79:BG114" si="67">IF($K79&lt;=$F$15,$F$153*AY79,"")</f>
        <v/>
      </c>
      <c r="BH79" s="72" t="str">
        <f t="shared" si="30"/>
        <v/>
      </c>
      <c r="BI79" s="39"/>
      <c r="BJ79" s="40" t="str">
        <f t="shared" si="31"/>
        <v/>
      </c>
      <c r="BK79" s="157" t="str">
        <f t="shared" si="32"/>
        <v/>
      </c>
      <c r="BL79" s="157" t="str">
        <f t="shared" ref="BL79:BL114" si="68">IF(AND(ISNUMBER(BJ79),$K79&lt;=$F$16),BQ79*BJ79,"")</f>
        <v/>
      </c>
      <c r="BM79" s="72"/>
      <c r="BN79" s="72" t="str">
        <f t="shared" si="33"/>
        <v/>
      </c>
      <c r="BO79" s="72" t="str">
        <f t="shared" si="34"/>
        <v/>
      </c>
      <c r="BP79" s="39"/>
      <c r="BQ79" s="72" t="str">
        <f t="shared" ref="BQ79:BQ114" si="69">IF($K79&lt;=$F$15,$F$134,"")</f>
        <v/>
      </c>
      <c r="BR79" s="72" t="str">
        <f t="shared" si="35"/>
        <v/>
      </c>
    </row>
    <row r="80" spans="2:70" x14ac:dyDescent="0.15">
      <c r="E80" s="81" t="s">
        <v>115</v>
      </c>
      <c r="F80" s="91">
        <f>AF116/$BR$116</f>
        <v>0</v>
      </c>
      <c r="G80" s="81" t="s">
        <v>132</v>
      </c>
      <c r="I80" s="459">
        <f t="shared" si="36"/>
        <v>2085</v>
      </c>
      <c r="J80" s="71"/>
      <c r="K80" s="71">
        <f t="shared" si="37"/>
        <v>66</v>
      </c>
      <c r="L80" s="71"/>
      <c r="M80" s="7">
        <f t="shared" si="54"/>
        <v>0.14214879072701941</v>
      </c>
      <c r="N80" s="71"/>
      <c r="O80" s="10" t="str">
        <f t="shared" ref="O80:O114" si="70">IF(K80&lt;=$F$15,O79-V79,"")</f>
        <v/>
      </c>
      <c r="P80" s="29" t="str">
        <f t="shared" si="55"/>
        <v/>
      </c>
      <c r="Q80" s="71"/>
      <c r="R80" s="10" t="str">
        <f t="shared" ref="R80:R114" si="71">IF($K80&lt;=$F$15,MAX($F$117*5%,R79*$F$129),"")</f>
        <v/>
      </c>
      <c r="S80" s="71"/>
      <c r="T80" s="10" t="str">
        <f t="shared" ref="T80:T114" si="72">IF(ISNUMBER(R80),ROUNDDOWN(R80,-3),"")</f>
        <v/>
      </c>
      <c r="U80" s="71"/>
      <c r="V80" s="10" t="str">
        <f t="shared" si="56"/>
        <v/>
      </c>
      <c r="W80" s="10" t="str">
        <f t="shared" ref="W80:W114" si="73">IF(ISNUMBER(V80),V80*$M80,"")</f>
        <v/>
      </c>
      <c r="X80" s="71"/>
      <c r="Y80" s="10" t="str">
        <f t="shared" si="57"/>
        <v/>
      </c>
      <c r="Z80" s="10" t="str">
        <f t="shared" ref="Z80:Z114" si="74">IF(ISNUMBER(Y80),Y80*$M80,"")</f>
        <v/>
      </c>
      <c r="AA80" s="71"/>
      <c r="AB80" s="10" t="str">
        <f t="shared" si="58"/>
        <v/>
      </c>
      <c r="AC80" s="10" t="str">
        <f t="shared" ref="AC80:AC114" si="75">IF(ISNUMBER(AB80),AB80*$M80,"")</f>
        <v/>
      </c>
      <c r="AD80" s="71"/>
      <c r="AE80" s="10" t="str">
        <f t="shared" si="59"/>
        <v/>
      </c>
      <c r="AF80" s="10" t="str">
        <f t="shared" ref="AF80:AF114" si="76">IF(ISNUMBER(AE80),AE80*$M80,"")</f>
        <v/>
      </c>
      <c r="AG80" s="71"/>
      <c r="AH80" s="10" t="str">
        <f t="shared" si="60"/>
        <v/>
      </c>
      <c r="AI80" s="10" t="str">
        <f t="shared" ref="AI80:AI114" si="77">IF(ISNUMBER(AH80),AH80*$M80,"")</f>
        <v/>
      </c>
      <c r="AJ80" s="71"/>
      <c r="AK80" s="10" t="str">
        <f t="shared" si="61"/>
        <v/>
      </c>
      <c r="AL80" s="10" t="str">
        <f t="shared" ref="AL80:AL114" si="78">IF(ISNUMBER(AK80),AK80*$M80,"")</f>
        <v/>
      </c>
      <c r="AM80" s="71"/>
      <c r="AN80" s="10" t="str">
        <f t="shared" si="62"/>
        <v/>
      </c>
      <c r="AO80" s="10" t="str">
        <f t="shared" ref="AO80:AO114" si="79">IF(ISNUMBER(AN80),AN80*$M80,"")</f>
        <v/>
      </c>
      <c r="AP80" s="71"/>
      <c r="AQ80" s="10" t="str">
        <f t="shared" si="63"/>
        <v/>
      </c>
      <c r="AR80" s="10" t="str">
        <f t="shared" ref="AR80:AR114" si="80">IF(ISNUMBER(AQ80),AQ80*$M80,"")</f>
        <v/>
      </c>
      <c r="AS80" s="71"/>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U80" s="71"/>
      <c r="AV80" s="10" t="str">
        <f t="shared" si="64"/>
        <v/>
      </c>
      <c r="AW80" s="10" t="str">
        <f t="shared" ref="AW80:AW114" si="81">IF(ISNUMBER(AV80),AV80*$M80,"")</f>
        <v/>
      </c>
      <c r="AX80" s="71"/>
      <c r="AY80" s="7" t="str">
        <f>IF(ISERROR(IF($K80&lt;=$F$15,VLOOKUP($I80,'表4）CO2価格'!$A$7:$E$67,VLOOKUP($F$48,'表4）CO2価格'!$H$10:$I$12,2,0),0)*$F$8/1000,"")),0,IF($K80&lt;=$F$15,VLOOKUP($I80,'表4）CO2価格'!$A$7:$E$67,VLOOKUP($F$48,'表4）CO2価格'!$H$10:$I$12,2,0),0)*$F$8/1000,""))</f>
        <v/>
      </c>
      <c r="AZ80" s="71"/>
      <c r="BA80" s="11" t="str">
        <f t="shared" si="65"/>
        <v/>
      </c>
      <c r="BB80" s="10" t="str">
        <f t="shared" ref="BB80:BB114" si="82">IF(ISNUMBER(BA80),BA80*$M80,"")</f>
        <v/>
      </c>
      <c r="BC80" s="71"/>
      <c r="BD80" s="10" t="str">
        <f t="shared" si="66"/>
        <v/>
      </c>
      <c r="BE80" s="10" t="str">
        <f t="shared" ref="BE80:BE114" si="83">IF(ISNUMBER(BD80),BD80*$M80,"")</f>
        <v/>
      </c>
      <c r="BF80" s="71"/>
      <c r="BG80" s="11" t="str">
        <f t="shared" si="67"/>
        <v/>
      </c>
      <c r="BH80" s="10" t="str">
        <f t="shared" ref="BH80:BH114" si="84">IF(ISNUMBER(BG80),BG80*$M80,"")</f>
        <v/>
      </c>
      <c r="BJ80" s="7" t="str">
        <f t="shared" ref="BJ80:BJ114" si="85">IF(ISNUMBER($F$16),IF($K80&lt;=$F$16+$F$28,1/(1+($F$17/100))^K80,""),"")</f>
        <v/>
      </c>
      <c r="BK80" s="158" t="str">
        <f t="shared" ref="BK80:BK114" si="86">IF(ISNUMBER($F$16),IF($K80&lt;=$F$16+$F$28,IF($K80&lt;=$F$16,SUM(Y80,AB80,AE80,AH80,AK80,AN80,AQ80,AV80,BA80,BD80,BG80),$F$27/$F$28*10^8)*BJ80,""),"")</f>
        <v/>
      </c>
      <c r="BL80" s="158" t="str">
        <f t="shared" si="68"/>
        <v/>
      </c>
      <c r="BM80" s="10"/>
      <c r="BN80" s="10" t="str">
        <f t="shared" ref="BN80:BN114" si="87">IF(AND(ISNUMBER($F$16),$K80&lt;=$F$16),BQ80*($O$15+$BK$116)/$BL$116,"")</f>
        <v/>
      </c>
      <c r="BO80" s="10" t="str">
        <f t="shared" ref="BO80:BO114" si="88">IF(ISNUMBER(BN80),BN80*$M80,"")</f>
        <v/>
      </c>
      <c r="BQ80" s="10" t="str">
        <f t="shared" si="69"/>
        <v/>
      </c>
      <c r="BR80" s="10" t="str">
        <f t="shared" ref="BR80:BR114" si="89">IF(ISNUMBER(BQ80),BQ80*$M80,"")</f>
        <v/>
      </c>
    </row>
    <row r="81" spans="4:70" x14ac:dyDescent="0.15">
      <c r="E81" s="82" t="s">
        <v>86</v>
      </c>
      <c r="F81" s="91">
        <f>AC116/$BR$116</f>
        <v>6.6906023172675286E-2</v>
      </c>
      <c r="G81" s="81" t="s">
        <v>132</v>
      </c>
      <c r="I81" s="458">
        <f t="shared" ref="I81:I114" si="90">I80+1</f>
        <v>2086</v>
      </c>
      <c r="J81" s="39"/>
      <c r="K81" s="39">
        <f t="shared" ref="K81:K114" si="91">IF(I81&lt;&gt;"",K80+1,"")</f>
        <v>67</v>
      </c>
      <c r="L81" s="39"/>
      <c r="M81" s="40">
        <f t="shared" si="54"/>
        <v>0.1380085346864266</v>
      </c>
      <c r="N81" s="39"/>
      <c r="O81" s="72" t="str">
        <f t="shared" si="70"/>
        <v/>
      </c>
      <c r="P81" s="41" t="str">
        <f t="shared" si="55"/>
        <v/>
      </c>
      <c r="Q81" s="39"/>
      <c r="R81" s="72" t="str">
        <f t="shared" si="71"/>
        <v/>
      </c>
      <c r="S81" s="39"/>
      <c r="T81" s="72" t="str">
        <f t="shared" si="72"/>
        <v/>
      </c>
      <c r="U81" s="39"/>
      <c r="V81" s="72" t="str">
        <f t="shared" si="56"/>
        <v/>
      </c>
      <c r="W81" s="72" t="str">
        <f t="shared" si="73"/>
        <v/>
      </c>
      <c r="X81" s="39"/>
      <c r="Y81" s="72" t="str">
        <f t="shared" si="57"/>
        <v/>
      </c>
      <c r="Z81" s="72" t="str">
        <f t="shared" si="74"/>
        <v/>
      </c>
      <c r="AA81" s="39"/>
      <c r="AB81" s="72" t="str">
        <f t="shared" si="58"/>
        <v/>
      </c>
      <c r="AC81" s="72" t="str">
        <f t="shared" si="75"/>
        <v/>
      </c>
      <c r="AD81" s="39"/>
      <c r="AE81" s="72" t="str">
        <f t="shared" si="59"/>
        <v/>
      </c>
      <c r="AF81" s="72" t="str">
        <f t="shared" si="76"/>
        <v/>
      </c>
      <c r="AG81" s="39"/>
      <c r="AH81" s="72" t="str">
        <f t="shared" si="60"/>
        <v/>
      </c>
      <c r="AI81" s="72" t="str">
        <f t="shared" si="77"/>
        <v/>
      </c>
      <c r="AJ81" s="39"/>
      <c r="AK81" s="72" t="str">
        <f t="shared" si="61"/>
        <v/>
      </c>
      <c r="AL81" s="72" t="str">
        <f t="shared" si="78"/>
        <v/>
      </c>
      <c r="AM81" s="39"/>
      <c r="AN81" s="72" t="str">
        <f t="shared" si="62"/>
        <v/>
      </c>
      <c r="AO81" s="72" t="str">
        <f t="shared" si="79"/>
        <v/>
      </c>
      <c r="AP81" s="39"/>
      <c r="AQ81" s="72" t="str">
        <f t="shared" si="63"/>
        <v/>
      </c>
      <c r="AR81" s="72" t="str">
        <f t="shared" si="80"/>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64"/>
        <v/>
      </c>
      <c r="AW81" s="72" t="str">
        <f t="shared" si="81"/>
        <v/>
      </c>
      <c r="AX81" s="39"/>
      <c r="AY81" s="40" t="str">
        <f>IF(ISERROR(IF($K81&lt;=$F$15,VLOOKUP($I81,'表4）CO2価格'!$A$7:$E$67,VLOOKUP($F$48,'表4）CO2価格'!$H$10:$I$12,2,0),0)*$F$8/1000,"")),0,IF($K81&lt;=$F$15,VLOOKUP($I81,'表4）CO2価格'!$A$7:$E$67,VLOOKUP($F$48,'表4）CO2価格'!$H$10:$I$12,2,0),0)*$F$8/1000,""))</f>
        <v/>
      </c>
      <c r="AZ81" s="39"/>
      <c r="BA81" s="42" t="str">
        <f t="shared" si="65"/>
        <v/>
      </c>
      <c r="BB81" s="72" t="str">
        <f t="shared" si="82"/>
        <v/>
      </c>
      <c r="BC81" s="39"/>
      <c r="BD81" s="72" t="str">
        <f t="shared" si="66"/>
        <v/>
      </c>
      <c r="BE81" s="72" t="str">
        <f t="shared" si="83"/>
        <v/>
      </c>
      <c r="BF81" s="39"/>
      <c r="BG81" s="42" t="str">
        <f t="shared" si="67"/>
        <v/>
      </c>
      <c r="BH81" s="72" t="str">
        <f t="shared" si="84"/>
        <v/>
      </c>
      <c r="BI81" s="39"/>
      <c r="BJ81" s="40" t="str">
        <f t="shared" si="85"/>
        <v/>
      </c>
      <c r="BK81" s="157" t="str">
        <f t="shared" si="86"/>
        <v/>
      </c>
      <c r="BL81" s="157" t="str">
        <f t="shared" si="68"/>
        <v/>
      </c>
      <c r="BM81" s="72"/>
      <c r="BN81" s="72" t="str">
        <f t="shared" si="87"/>
        <v/>
      </c>
      <c r="BO81" s="72" t="str">
        <f t="shared" si="88"/>
        <v/>
      </c>
      <c r="BP81" s="39"/>
      <c r="BQ81" s="72" t="str">
        <f t="shared" si="69"/>
        <v/>
      </c>
      <c r="BR81" s="72" t="str">
        <f t="shared" si="89"/>
        <v/>
      </c>
    </row>
    <row r="82" spans="4:70" x14ac:dyDescent="0.15">
      <c r="F82" s="93"/>
      <c r="I82" s="459">
        <f t="shared" si="90"/>
        <v>2087</v>
      </c>
      <c r="J82" s="71"/>
      <c r="K82" s="71">
        <f t="shared" si="91"/>
        <v>68</v>
      </c>
      <c r="L82" s="71"/>
      <c r="M82" s="7">
        <f t="shared" si="54"/>
        <v>0.13398886862759865</v>
      </c>
      <c r="N82" s="71"/>
      <c r="O82" s="10" t="str">
        <f t="shared" si="70"/>
        <v/>
      </c>
      <c r="P82" s="29" t="str">
        <f t="shared" si="55"/>
        <v/>
      </c>
      <c r="Q82" s="71"/>
      <c r="R82" s="10" t="str">
        <f t="shared" si="71"/>
        <v/>
      </c>
      <c r="S82" s="71"/>
      <c r="T82" s="10" t="str">
        <f t="shared" si="72"/>
        <v/>
      </c>
      <c r="U82" s="71"/>
      <c r="V82" s="10" t="str">
        <f t="shared" si="56"/>
        <v/>
      </c>
      <c r="W82" s="10" t="str">
        <f t="shared" si="73"/>
        <v/>
      </c>
      <c r="X82" s="71"/>
      <c r="Y82" s="10" t="str">
        <f t="shared" si="57"/>
        <v/>
      </c>
      <c r="Z82" s="10" t="str">
        <f t="shared" si="74"/>
        <v/>
      </c>
      <c r="AA82" s="71"/>
      <c r="AB82" s="10" t="str">
        <f t="shared" si="58"/>
        <v/>
      </c>
      <c r="AC82" s="10" t="str">
        <f t="shared" si="75"/>
        <v/>
      </c>
      <c r="AD82" s="71"/>
      <c r="AE82" s="10" t="str">
        <f t="shared" si="59"/>
        <v/>
      </c>
      <c r="AF82" s="10" t="str">
        <f t="shared" si="76"/>
        <v/>
      </c>
      <c r="AG82" s="71"/>
      <c r="AH82" s="10" t="str">
        <f t="shared" si="60"/>
        <v/>
      </c>
      <c r="AI82" s="10" t="str">
        <f t="shared" si="77"/>
        <v/>
      </c>
      <c r="AJ82" s="71"/>
      <c r="AK82" s="10" t="str">
        <f t="shared" si="61"/>
        <v/>
      </c>
      <c r="AL82" s="10" t="str">
        <f t="shared" si="78"/>
        <v/>
      </c>
      <c r="AM82" s="71"/>
      <c r="AN82" s="10" t="str">
        <f t="shared" si="62"/>
        <v/>
      </c>
      <c r="AO82" s="10" t="str">
        <f t="shared" si="79"/>
        <v/>
      </c>
      <c r="AP82" s="71"/>
      <c r="AQ82" s="10" t="str">
        <f t="shared" si="63"/>
        <v/>
      </c>
      <c r="AR82" s="10" t="str">
        <f t="shared" si="80"/>
        <v/>
      </c>
      <c r="AS82" s="71"/>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U82" s="71"/>
      <c r="AV82" s="10" t="str">
        <f t="shared" si="64"/>
        <v/>
      </c>
      <c r="AW82" s="10" t="str">
        <f t="shared" si="81"/>
        <v/>
      </c>
      <c r="AX82" s="71"/>
      <c r="AY82" s="7" t="str">
        <f>IF(ISERROR(IF($K82&lt;=$F$15,VLOOKUP($I82,'表4）CO2価格'!$A$7:$E$67,VLOOKUP($F$48,'表4）CO2価格'!$H$10:$I$12,2,0),0)*$F$8/1000,"")),0,IF($K82&lt;=$F$15,VLOOKUP($I82,'表4）CO2価格'!$A$7:$E$67,VLOOKUP($F$48,'表4）CO2価格'!$H$10:$I$12,2,0),0)*$F$8/1000,""))</f>
        <v/>
      </c>
      <c r="AZ82" s="71"/>
      <c r="BA82" s="11" t="str">
        <f t="shared" si="65"/>
        <v/>
      </c>
      <c r="BB82" s="10" t="str">
        <f t="shared" si="82"/>
        <v/>
      </c>
      <c r="BC82" s="71"/>
      <c r="BD82" s="10" t="str">
        <f t="shared" si="66"/>
        <v/>
      </c>
      <c r="BE82" s="10" t="str">
        <f t="shared" si="83"/>
        <v/>
      </c>
      <c r="BF82" s="71"/>
      <c r="BG82" s="11" t="str">
        <f t="shared" si="67"/>
        <v/>
      </c>
      <c r="BH82" s="10" t="str">
        <f t="shared" si="84"/>
        <v/>
      </c>
      <c r="BJ82" s="7" t="str">
        <f t="shared" si="85"/>
        <v/>
      </c>
      <c r="BK82" s="158" t="str">
        <f t="shared" si="86"/>
        <v/>
      </c>
      <c r="BL82" s="158" t="str">
        <f t="shared" si="68"/>
        <v/>
      </c>
      <c r="BM82" s="10"/>
      <c r="BN82" s="10" t="str">
        <f t="shared" si="87"/>
        <v/>
      </c>
      <c r="BO82" s="10" t="str">
        <f t="shared" si="88"/>
        <v/>
      </c>
      <c r="BQ82" s="10" t="str">
        <f t="shared" si="69"/>
        <v/>
      </c>
      <c r="BR82" s="10" t="str">
        <f t="shared" si="89"/>
        <v/>
      </c>
    </row>
    <row r="83" spans="4:70" ht="15" x14ac:dyDescent="0.15">
      <c r="D83" s="116" t="s">
        <v>194</v>
      </c>
      <c r="F83" s="94">
        <f>SUBTOTAL(9,F87:F90)</f>
        <v>3.2746826755816483</v>
      </c>
      <c r="G83" s="81" t="s">
        <v>132</v>
      </c>
      <c r="I83" s="458">
        <f>I82+1</f>
        <v>2088</v>
      </c>
      <c r="J83" s="39"/>
      <c r="K83" s="39">
        <f>IF(I83&lt;&gt;"",K82+1,"")</f>
        <v>69</v>
      </c>
      <c r="L83" s="39"/>
      <c r="M83" s="40">
        <f t="shared" si="54"/>
        <v>0.13008628022096957</v>
      </c>
      <c r="N83" s="39"/>
      <c r="O83" s="72" t="str">
        <f t="shared" si="70"/>
        <v/>
      </c>
      <c r="P83" s="41" t="str">
        <f t="shared" si="55"/>
        <v/>
      </c>
      <c r="Q83" s="39"/>
      <c r="R83" s="72" t="str">
        <f t="shared" si="71"/>
        <v/>
      </c>
      <c r="S83" s="39"/>
      <c r="T83" s="72" t="str">
        <f t="shared" si="72"/>
        <v/>
      </c>
      <c r="U83" s="39"/>
      <c r="V83" s="72" t="str">
        <f t="shared" si="56"/>
        <v/>
      </c>
      <c r="W83" s="72" t="str">
        <f t="shared" si="73"/>
        <v/>
      </c>
      <c r="X83" s="39"/>
      <c r="Y83" s="72" t="str">
        <f t="shared" si="57"/>
        <v/>
      </c>
      <c r="Z83" s="72" t="str">
        <f t="shared" si="74"/>
        <v/>
      </c>
      <c r="AA83" s="39"/>
      <c r="AB83" s="72" t="str">
        <f t="shared" si="58"/>
        <v/>
      </c>
      <c r="AC83" s="72" t="str">
        <f t="shared" si="75"/>
        <v/>
      </c>
      <c r="AD83" s="39"/>
      <c r="AE83" s="72" t="str">
        <f t="shared" si="59"/>
        <v/>
      </c>
      <c r="AF83" s="72" t="str">
        <f t="shared" si="76"/>
        <v/>
      </c>
      <c r="AG83" s="39"/>
      <c r="AH83" s="72" t="str">
        <f t="shared" si="60"/>
        <v/>
      </c>
      <c r="AI83" s="72" t="str">
        <f t="shared" si="77"/>
        <v/>
      </c>
      <c r="AJ83" s="39"/>
      <c r="AK83" s="72" t="str">
        <f t="shared" si="61"/>
        <v/>
      </c>
      <c r="AL83" s="72" t="str">
        <f t="shared" si="78"/>
        <v/>
      </c>
      <c r="AM83" s="39"/>
      <c r="AN83" s="72" t="str">
        <f t="shared" si="62"/>
        <v/>
      </c>
      <c r="AO83" s="72" t="str">
        <f t="shared" si="79"/>
        <v/>
      </c>
      <c r="AP83" s="39"/>
      <c r="AQ83" s="72" t="str">
        <f t="shared" si="63"/>
        <v/>
      </c>
      <c r="AR83" s="72" t="str">
        <f t="shared" si="80"/>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64"/>
        <v/>
      </c>
      <c r="AW83" s="72" t="str">
        <f t="shared" si="81"/>
        <v/>
      </c>
      <c r="AX83" s="39"/>
      <c r="AY83" s="40" t="str">
        <f>IF(ISERROR(IF($K83&lt;=$F$15,VLOOKUP($I83,'表4）CO2価格'!$A$7:$E$67,VLOOKUP($F$48,'表4）CO2価格'!$H$10:$I$12,2,0),0)*$F$8/1000,"")),0,IF($K83&lt;=$F$15,VLOOKUP($I83,'表4）CO2価格'!$A$7:$E$67,VLOOKUP($F$48,'表4）CO2価格'!$H$10:$I$12,2,0),0)*$F$8/1000,""))</f>
        <v/>
      </c>
      <c r="AZ83" s="39"/>
      <c r="BA83" s="42" t="str">
        <f t="shared" si="65"/>
        <v/>
      </c>
      <c r="BB83" s="72" t="str">
        <f t="shared" si="82"/>
        <v/>
      </c>
      <c r="BC83" s="39"/>
      <c r="BD83" s="72" t="str">
        <f t="shared" si="66"/>
        <v/>
      </c>
      <c r="BE83" s="72" t="str">
        <f t="shared" si="83"/>
        <v/>
      </c>
      <c r="BF83" s="39"/>
      <c r="BG83" s="42" t="str">
        <f t="shared" si="67"/>
        <v/>
      </c>
      <c r="BH83" s="72" t="str">
        <f t="shared" si="84"/>
        <v/>
      </c>
      <c r="BI83" s="39"/>
      <c r="BJ83" s="40" t="str">
        <f t="shared" si="85"/>
        <v/>
      </c>
      <c r="BK83" s="157" t="str">
        <f t="shared" si="86"/>
        <v/>
      </c>
      <c r="BL83" s="157" t="str">
        <f t="shared" si="68"/>
        <v/>
      </c>
      <c r="BM83" s="72"/>
      <c r="BN83" s="72" t="str">
        <f t="shared" si="87"/>
        <v/>
      </c>
      <c r="BO83" s="72" t="str">
        <f t="shared" si="88"/>
        <v/>
      </c>
      <c r="BP83" s="39"/>
      <c r="BQ83" s="72" t="str">
        <f t="shared" si="69"/>
        <v/>
      </c>
      <c r="BR83" s="72" t="str">
        <f t="shared" si="89"/>
        <v/>
      </c>
    </row>
    <row r="84" spans="4:70" x14ac:dyDescent="0.15">
      <c r="F84" s="93"/>
      <c r="I84" s="459">
        <f t="shared" si="90"/>
        <v>2089</v>
      </c>
      <c r="J84" s="71"/>
      <c r="K84" s="71">
        <f t="shared" si="91"/>
        <v>70</v>
      </c>
      <c r="L84" s="71"/>
      <c r="M84" s="7">
        <f t="shared" si="54"/>
        <v>0.12629735943783454</v>
      </c>
      <c r="N84" s="71"/>
      <c r="O84" s="10" t="str">
        <f t="shared" si="70"/>
        <v/>
      </c>
      <c r="P84" s="29" t="str">
        <f t="shared" si="55"/>
        <v/>
      </c>
      <c r="Q84" s="71"/>
      <c r="R84" s="10" t="str">
        <f t="shared" si="71"/>
        <v/>
      </c>
      <c r="S84" s="71"/>
      <c r="T84" s="10" t="str">
        <f t="shared" si="72"/>
        <v/>
      </c>
      <c r="U84" s="71"/>
      <c r="V84" s="10" t="str">
        <f t="shared" si="56"/>
        <v/>
      </c>
      <c r="W84" s="10" t="str">
        <f t="shared" si="73"/>
        <v/>
      </c>
      <c r="X84" s="71"/>
      <c r="Y84" s="10" t="str">
        <f t="shared" si="57"/>
        <v/>
      </c>
      <c r="Z84" s="10" t="str">
        <f t="shared" si="74"/>
        <v/>
      </c>
      <c r="AA84" s="71"/>
      <c r="AB84" s="10" t="str">
        <f t="shared" si="58"/>
        <v/>
      </c>
      <c r="AC84" s="10" t="str">
        <f t="shared" si="75"/>
        <v/>
      </c>
      <c r="AD84" s="71"/>
      <c r="AE84" s="10" t="str">
        <f t="shared" si="59"/>
        <v/>
      </c>
      <c r="AF84" s="10" t="str">
        <f t="shared" si="76"/>
        <v/>
      </c>
      <c r="AG84" s="71"/>
      <c r="AH84" s="10" t="str">
        <f t="shared" si="60"/>
        <v/>
      </c>
      <c r="AI84" s="10" t="str">
        <f t="shared" si="77"/>
        <v/>
      </c>
      <c r="AJ84" s="71"/>
      <c r="AK84" s="10" t="str">
        <f t="shared" si="61"/>
        <v/>
      </c>
      <c r="AL84" s="10" t="str">
        <f t="shared" si="78"/>
        <v/>
      </c>
      <c r="AM84" s="71"/>
      <c r="AN84" s="10" t="str">
        <f t="shared" si="62"/>
        <v/>
      </c>
      <c r="AO84" s="10" t="str">
        <f t="shared" si="79"/>
        <v/>
      </c>
      <c r="AP84" s="71"/>
      <c r="AQ84" s="10" t="str">
        <f t="shared" si="63"/>
        <v/>
      </c>
      <c r="AR84" s="10" t="str">
        <f t="shared" si="80"/>
        <v/>
      </c>
      <c r="AS84" s="71"/>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U84" s="71"/>
      <c r="AV84" s="10" t="str">
        <f t="shared" si="64"/>
        <v/>
      </c>
      <c r="AW84" s="10" t="str">
        <f t="shared" si="81"/>
        <v/>
      </c>
      <c r="AX84" s="71"/>
      <c r="AY84" s="7" t="str">
        <f>IF(ISERROR(IF($K84&lt;=$F$15,VLOOKUP($I84,'表4）CO2価格'!$A$7:$E$67,VLOOKUP($F$48,'表4）CO2価格'!$H$10:$I$12,2,0),0)*$F$8/1000,"")),0,IF($K84&lt;=$F$15,VLOOKUP($I84,'表4）CO2価格'!$A$7:$E$67,VLOOKUP($F$48,'表4）CO2価格'!$H$10:$I$12,2,0),0)*$F$8/1000,""))</f>
        <v/>
      </c>
      <c r="AZ84" s="71"/>
      <c r="BA84" s="11" t="str">
        <f t="shared" si="65"/>
        <v/>
      </c>
      <c r="BB84" s="10" t="str">
        <f t="shared" si="82"/>
        <v/>
      </c>
      <c r="BC84" s="71"/>
      <c r="BD84" s="10" t="str">
        <f t="shared" si="66"/>
        <v/>
      </c>
      <c r="BE84" s="10" t="str">
        <f t="shared" si="83"/>
        <v/>
      </c>
      <c r="BF84" s="71"/>
      <c r="BG84" s="11" t="str">
        <f t="shared" si="67"/>
        <v/>
      </c>
      <c r="BH84" s="10" t="str">
        <f t="shared" si="84"/>
        <v/>
      </c>
      <c r="BJ84" s="7" t="str">
        <f t="shared" si="85"/>
        <v/>
      </c>
      <c r="BK84" s="158" t="str">
        <f t="shared" si="86"/>
        <v/>
      </c>
      <c r="BL84" s="158" t="str">
        <f t="shared" si="68"/>
        <v/>
      </c>
      <c r="BM84" s="10"/>
      <c r="BN84" s="10" t="str">
        <f t="shared" si="87"/>
        <v/>
      </c>
      <c r="BO84" s="10" t="str">
        <f t="shared" si="88"/>
        <v/>
      </c>
      <c r="BQ84" s="10" t="str">
        <f t="shared" si="69"/>
        <v/>
      </c>
      <c r="BR84" s="10" t="str">
        <f t="shared" si="89"/>
        <v/>
      </c>
    </row>
    <row r="85" spans="4:70" x14ac:dyDescent="0.15">
      <c r="D85" s="101" t="s">
        <v>195</v>
      </c>
      <c r="E85" s="113"/>
      <c r="F85" s="92"/>
      <c r="G85" s="101"/>
      <c r="I85" s="458">
        <f t="shared" si="90"/>
        <v>2090</v>
      </c>
      <c r="J85" s="39"/>
      <c r="K85" s="39">
        <f t="shared" si="91"/>
        <v>71</v>
      </c>
      <c r="L85" s="39"/>
      <c r="M85" s="40">
        <f t="shared" si="54"/>
        <v>0.12261879557071313</v>
      </c>
      <c r="N85" s="39"/>
      <c r="O85" s="72" t="str">
        <f t="shared" si="70"/>
        <v/>
      </c>
      <c r="P85" s="41" t="str">
        <f t="shared" si="55"/>
        <v/>
      </c>
      <c r="Q85" s="39"/>
      <c r="R85" s="72" t="str">
        <f t="shared" si="71"/>
        <v/>
      </c>
      <c r="S85" s="39"/>
      <c r="T85" s="72" t="str">
        <f t="shared" si="72"/>
        <v/>
      </c>
      <c r="U85" s="39"/>
      <c r="V85" s="72" t="str">
        <f t="shared" si="56"/>
        <v/>
      </c>
      <c r="W85" s="72" t="str">
        <f t="shared" si="73"/>
        <v/>
      </c>
      <c r="X85" s="39"/>
      <c r="Y85" s="72" t="str">
        <f t="shared" si="57"/>
        <v/>
      </c>
      <c r="Z85" s="72" t="str">
        <f t="shared" si="74"/>
        <v/>
      </c>
      <c r="AA85" s="39"/>
      <c r="AB85" s="72" t="str">
        <f t="shared" si="58"/>
        <v/>
      </c>
      <c r="AC85" s="72" t="str">
        <f t="shared" si="75"/>
        <v/>
      </c>
      <c r="AD85" s="39"/>
      <c r="AE85" s="72" t="str">
        <f t="shared" si="59"/>
        <v/>
      </c>
      <c r="AF85" s="72" t="str">
        <f t="shared" si="76"/>
        <v/>
      </c>
      <c r="AG85" s="39"/>
      <c r="AH85" s="72" t="str">
        <f t="shared" si="60"/>
        <v/>
      </c>
      <c r="AI85" s="72" t="str">
        <f t="shared" si="77"/>
        <v/>
      </c>
      <c r="AJ85" s="39"/>
      <c r="AK85" s="72" t="str">
        <f t="shared" si="61"/>
        <v/>
      </c>
      <c r="AL85" s="72" t="str">
        <f t="shared" si="78"/>
        <v/>
      </c>
      <c r="AM85" s="39"/>
      <c r="AN85" s="72" t="str">
        <f t="shared" si="62"/>
        <v/>
      </c>
      <c r="AO85" s="72" t="str">
        <f t="shared" si="79"/>
        <v/>
      </c>
      <c r="AP85" s="39"/>
      <c r="AQ85" s="72" t="str">
        <f t="shared" si="63"/>
        <v/>
      </c>
      <c r="AR85" s="72" t="str">
        <f t="shared" si="80"/>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64"/>
        <v/>
      </c>
      <c r="AW85" s="72" t="str">
        <f t="shared" si="81"/>
        <v/>
      </c>
      <c r="AX85" s="39"/>
      <c r="AY85" s="40" t="str">
        <f>IF(ISERROR(IF($K85&lt;=$F$15,VLOOKUP($I85,'表4）CO2価格'!$A$7:$E$67,VLOOKUP($F$48,'表4）CO2価格'!$H$10:$I$12,2,0),0)*$F$8/1000,"")),0,IF($K85&lt;=$F$15,VLOOKUP($I85,'表4）CO2価格'!$A$7:$E$67,VLOOKUP($F$48,'表4）CO2価格'!$H$10:$I$12,2,0),0)*$F$8/1000,""))</f>
        <v/>
      </c>
      <c r="AZ85" s="39"/>
      <c r="BA85" s="42" t="str">
        <f t="shared" si="65"/>
        <v/>
      </c>
      <c r="BB85" s="72" t="str">
        <f t="shared" si="82"/>
        <v/>
      </c>
      <c r="BC85" s="39"/>
      <c r="BD85" s="72" t="str">
        <f t="shared" si="66"/>
        <v/>
      </c>
      <c r="BE85" s="72" t="str">
        <f t="shared" si="83"/>
        <v/>
      </c>
      <c r="BF85" s="39"/>
      <c r="BG85" s="42" t="str">
        <f t="shared" si="67"/>
        <v/>
      </c>
      <c r="BH85" s="72" t="str">
        <f t="shared" si="84"/>
        <v/>
      </c>
      <c r="BI85" s="39"/>
      <c r="BJ85" s="40" t="str">
        <f t="shared" si="85"/>
        <v/>
      </c>
      <c r="BK85" s="157" t="str">
        <f t="shared" si="86"/>
        <v/>
      </c>
      <c r="BL85" s="157" t="str">
        <f t="shared" si="68"/>
        <v/>
      </c>
      <c r="BM85" s="72"/>
      <c r="BN85" s="72" t="str">
        <f t="shared" si="87"/>
        <v/>
      </c>
      <c r="BO85" s="72" t="str">
        <f t="shared" si="88"/>
        <v/>
      </c>
      <c r="BP85" s="39"/>
      <c r="BQ85" s="72" t="str">
        <f t="shared" si="69"/>
        <v/>
      </c>
      <c r="BR85" s="72" t="str">
        <f t="shared" si="89"/>
        <v/>
      </c>
    </row>
    <row r="86" spans="4:70" x14ac:dyDescent="0.15">
      <c r="F86" s="93"/>
      <c r="I86" s="459">
        <f t="shared" si="90"/>
        <v>2091</v>
      </c>
      <c r="J86" s="71"/>
      <c r="K86" s="71">
        <f t="shared" si="91"/>
        <v>72</v>
      </c>
      <c r="L86" s="71"/>
      <c r="M86" s="7">
        <f t="shared" si="54"/>
        <v>0.1190473743404982</v>
      </c>
      <c r="N86" s="71"/>
      <c r="O86" s="10" t="str">
        <f t="shared" si="70"/>
        <v/>
      </c>
      <c r="P86" s="29" t="str">
        <f t="shared" si="55"/>
        <v/>
      </c>
      <c r="Q86" s="71"/>
      <c r="R86" s="10" t="str">
        <f t="shared" si="71"/>
        <v/>
      </c>
      <c r="S86" s="71"/>
      <c r="T86" s="10" t="str">
        <f t="shared" si="72"/>
        <v/>
      </c>
      <c r="U86" s="71"/>
      <c r="V86" s="10" t="str">
        <f t="shared" si="56"/>
        <v/>
      </c>
      <c r="W86" s="10" t="str">
        <f t="shared" si="73"/>
        <v/>
      </c>
      <c r="X86" s="71"/>
      <c r="Y86" s="10" t="str">
        <f t="shared" si="57"/>
        <v/>
      </c>
      <c r="Z86" s="10" t="str">
        <f t="shared" si="74"/>
        <v/>
      </c>
      <c r="AA86" s="71"/>
      <c r="AB86" s="10" t="str">
        <f t="shared" si="58"/>
        <v/>
      </c>
      <c r="AC86" s="10" t="str">
        <f t="shared" si="75"/>
        <v/>
      </c>
      <c r="AD86" s="71"/>
      <c r="AE86" s="10" t="str">
        <f t="shared" si="59"/>
        <v/>
      </c>
      <c r="AF86" s="10" t="str">
        <f t="shared" si="76"/>
        <v/>
      </c>
      <c r="AG86" s="71"/>
      <c r="AH86" s="10" t="str">
        <f t="shared" si="60"/>
        <v/>
      </c>
      <c r="AI86" s="10" t="str">
        <f t="shared" si="77"/>
        <v/>
      </c>
      <c r="AJ86" s="71"/>
      <c r="AK86" s="10" t="str">
        <f t="shared" si="61"/>
        <v/>
      </c>
      <c r="AL86" s="10" t="str">
        <f t="shared" si="78"/>
        <v/>
      </c>
      <c r="AM86" s="71"/>
      <c r="AN86" s="10" t="str">
        <f t="shared" si="62"/>
        <v/>
      </c>
      <c r="AO86" s="10" t="str">
        <f t="shared" si="79"/>
        <v/>
      </c>
      <c r="AP86" s="71"/>
      <c r="AQ86" s="10" t="str">
        <f t="shared" si="63"/>
        <v/>
      </c>
      <c r="AR86" s="10" t="str">
        <f t="shared" si="80"/>
        <v/>
      </c>
      <c r="AS86" s="71"/>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U86" s="71"/>
      <c r="AV86" s="10" t="str">
        <f t="shared" si="64"/>
        <v/>
      </c>
      <c r="AW86" s="10" t="str">
        <f t="shared" si="81"/>
        <v/>
      </c>
      <c r="AX86" s="71"/>
      <c r="AY86" s="7" t="str">
        <f>IF(ISERROR(IF($K86&lt;=$F$15,VLOOKUP($I86,'表4）CO2価格'!$A$7:$E$67,VLOOKUP($F$48,'表4）CO2価格'!$H$10:$I$12,2,0),0)*$F$8/1000,"")),0,IF($K86&lt;=$F$15,VLOOKUP($I86,'表4）CO2価格'!$A$7:$E$67,VLOOKUP($F$48,'表4）CO2価格'!$H$10:$I$12,2,0),0)*$F$8/1000,""))</f>
        <v/>
      </c>
      <c r="AZ86" s="71"/>
      <c r="BA86" s="11" t="str">
        <f t="shared" si="65"/>
        <v/>
      </c>
      <c r="BB86" s="10" t="str">
        <f t="shared" si="82"/>
        <v/>
      </c>
      <c r="BC86" s="71"/>
      <c r="BD86" s="10" t="str">
        <f t="shared" si="66"/>
        <v/>
      </c>
      <c r="BE86" s="10" t="str">
        <f t="shared" si="83"/>
        <v/>
      </c>
      <c r="BF86" s="71"/>
      <c r="BG86" s="11" t="str">
        <f t="shared" si="67"/>
        <v/>
      </c>
      <c r="BH86" s="10" t="str">
        <f t="shared" si="84"/>
        <v/>
      </c>
      <c r="BJ86" s="7" t="str">
        <f t="shared" si="85"/>
        <v/>
      </c>
      <c r="BK86" s="158" t="str">
        <f t="shared" si="86"/>
        <v/>
      </c>
      <c r="BL86" s="158" t="str">
        <f t="shared" si="68"/>
        <v/>
      </c>
      <c r="BM86" s="10"/>
      <c r="BN86" s="10" t="str">
        <f t="shared" si="87"/>
        <v/>
      </c>
      <c r="BO86" s="10" t="str">
        <f t="shared" si="88"/>
        <v/>
      </c>
      <c r="BQ86" s="10" t="str">
        <f t="shared" si="69"/>
        <v/>
      </c>
      <c r="BR86" s="10" t="str">
        <f t="shared" si="89"/>
        <v/>
      </c>
    </row>
    <row r="87" spans="4:70" x14ac:dyDescent="0.15">
      <c r="E87" s="81" t="s">
        <v>141</v>
      </c>
      <c r="F87" s="91">
        <f>AI116/$BR$116</f>
        <v>0.18985904864228806</v>
      </c>
      <c r="G87" s="81" t="s">
        <v>132</v>
      </c>
      <c r="I87" s="458">
        <f t="shared" si="90"/>
        <v>2092</v>
      </c>
      <c r="J87" s="39"/>
      <c r="K87" s="39">
        <f t="shared" si="91"/>
        <v>73</v>
      </c>
      <c r="L87" s="39"/>
      <c r="M87" s="40">
        <f t="shared" si="54"/>
        <v>0.11557997508786232</v>
      </c>
      <c r="N87" s="39"/>
      <c r="O87" s="72" t="str">
        <f t="shared" si="70"/>
        <v/>
      </c>
      <c r="P87" s="41" t="str">
        <f t="shared" si="55"/>
        <v/>
      </c>
      <c r="Q87" s="39"/>
      <c r="R87" s="72" t="str">
        <f t="shared" si="71"/>
        <v/>
      </c>
      <c r="S87" s="39"/>
      <c r="T87" s="72" t="str">
        <f t="shared" si="72"/>
        <v/>
      </c>
      <c r="U87" s="39"/>
      <c r="V87" s="72" t="str">
        <f t="shared" si="56"/>
        <v/>
      </c>
      <c r="W87" s="72" t="str">
        <f t="shared" si="73"/>
        <v/>
      </c>
      <c r="X87" s="39"/>
      <c r="Y87" s="72" t="str">
        <f t="shared" si="57"/>
        <v/>
      </c>
      <c r="Z87" s="72" t="str">
        <f t="shared" si="74"/>
        <v/>
      </c>
      <c r="AA87" s="39"/>
      <c r="AB87" s="72" t="str">
        <f t="shared" si="58"/>
        <v/>
      </c>
      <c r="AC87" s="72" t="str">
        <f t="shared" si="75"/>
        <v/>
      </c>
      <c r="AD87" s="39"/>
      <c r="AE87" s="72" t="str">
        <f t="shared" si="59"/>
        <v/>
      </c>
      <c r="AF87" s="72" t="str">
        <f t="shared" si="76"/>
        <v/>
      </c>
      <c r="AG87" s="39"/>
      <c r="AH87" s="72" t="str">
        <f t="shared" si="60"/>
        <v/>
      </c>
      <c r="AI87" s="72" t="str">
        <f t="shared" si="77"/>
        <v/>
      </c>
      <c r="AJ87" s="39"/>
      <c r="AK87" s="72" t="str">
        <f t="shared" si="61"/>
        <v/>
      </c>
      <c r="AL87" s="72" t="str">
        <f t="shared" si="78"/>
        <v/>
      </c>
      <c r="AM87" s="39"/>
      <c r="AN87" s="72" t="str">
        <f t="shared" si="62"/>
        <v/>
      </c>
      <c r="AO87" s="72" t="str">
        <f t="shared" si="79"/>
        <v/>
      </c>
      <c r="AP87" s="39"/>
      <c r="AQ87" s="72" t="str">
        <f t="shared" si="63"/>
        <v/>
      </c>
      <c r="AR87" s="72" t="str">
        <f t="shared" si="80"/>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64"/>
        <v/>
      </c>
      <c r="AW87" s="72" t="str">
        <f t="shared" si="81"/>
        <v/>
      </c>
      <c r="AX87" s="39"/>
      <c r="AY87" s="40" t="str">
        <f>IF(ISERROR(IF($K87&lt;=$F$15,VLOOKUP($I87,'表4）CO2価格'!$A$7:$E$67,VLOOKUP($F$48,'表4）CO2価格'!$H$10:$I$12,2,0),0)*$F$8/1000,"")),0,IF($K87&lt;=$F$15,VLOOKUP($I87,'表4）CO2価格'!$A$7:$E$67,VLOOKUP($F$48,'表4）CO2価格'!$H$10:$I$12,2,0),0)*$F$8/1000,""))</f>
        <v/>
      </c>
      <c r="AZ87" s="39"/>
      <c r="BA87" s="42" t="str">
        <f t="shared" si="65"/>
        <v/>
      </c>
      <c r="BB87" s="72" t="str">
        <f t="shared" si="82"/>
        <v/>
      </c>
      <c r="BC87" s="39"/>
      <c r="BD87" s="72" t="str">
        <f t="shared" si="66"/>
        <v/>
      </c>
      <c r="BE87" s="72" t="str">
        <f t="shared" si="83"/>
        <v/>
      </c>
      <c r="BF87" s="39"/>
      <c r="BG87" s="42" t="str">
        <f t="shared" si="67"/>
        <v/>
      </c>
      <c r="BH87" s="72" t="str">
        <f t="shared" si="84"/>
        <v/>
      </c>
      <c r="BI87" s="39"/>
      <c r="BJ87" s="40" t="str">
        <f t="shared" si="85"/>
        <v/>
      </c>
      <c r="BK87" s="157" t="str">
        <f t="shared" si="86"/>
        <v/>
      </c>
      <c r="BL87" s="157" t="str">
        <f t="shared" si="68"/>
        <v/>
      </c>
      <c r="BM87" s="72"/>
      <c r="BN87" s="72" t="str">
        <f t="shared" si="87"/>
        <v/>
      </c>
      <c r="BO87" s="72" t="str">
        <f t="shared" si="88"/>
        <v/>
      </c>
      <c r="BP87" s="39"/>
      <c r="BQ87" s="72" t="str">
        <f t="shared" si="69"/>
        <v/>
      </c>
      <c r="BR87" s="72" t="str">
        <f t="shared" si="89"/>
        <v/>
      </c>
    </row>
    <row r="88" spans="4:70" x14ac:dyDescent="0.15">
      <c r="E88" s="81" t="s">
        <v>120</v>
      </c>
      <c r="F88" s="91">
        <f>AL116/$BR$116</f>
        <v>1.870611258201911</v>
      </c>
      <c r="G88" s="81" t="s">
        <v>132</v>
      </c>
      <c r="I88" s="459">
        <f t="shared" si="90"/>
        <v>2093</v>
      </c>
      <c r="J88" s="71"/>
      <c r="K88" s="71">
        <f t="shared" si="91"/>
        <v>74</v>
      </c>
      <c r="L88" s="71"/>
      <c r="M88" s="7">
        <f t="shared" si="54"/>
        <v>0.11221356804646829</v>
      </c>
      <c r="N88" s="71"/>
      <c r="O88" s="10" t="str">
        <f t="shared" si="70"/>
        <v/>
      </c>
      <c r="P88" s="29" t="str">
        <f t="shared" si="55"/>
        <v/>
      </c>
      <c r="Q88" s="71"/>
      <c r="R88" s="10" t="str">
        <f t="shared" si="71"/>
        <v/>
      </c>
      <c r="S88" s="71"/>
      <c r="T88" s="10" t="str">
        <f t="shared" si="72"/>
        <v/>
      </c>
      <c r="U88" s="71"/>
      <c r="V88" s="10" t="str">
        <f t="shared" si="56"/>
        <v/>
      </c>
      <c r="W88" s="10" t="str">
        <f t="shared" si="73"/>
        <v/>
      </c>
      <c r="X88" s="71"/>
      <c r="Y88" s="10" t="str">
        <f t="shared" si="57"/>
        <v/>
      </c>
      <c r="Z88" s="10" t="str">
        <f t="shared" si="74"/>
        <v/>
      </c>
      <c r="AA88" s="71"/>
      <c r="AB88" s="10" t="str">
        <f t="shared" si="58"/>
        <v/>
      </c>
      <c r="AC88" s="10" t="str">
        <f t="shared" si="75"/>
        <v/>
      </c>
      <c r="AD88" s="71"/>
      <c r="AE88" s="10" t="str">
        <f t="shared" si="59"/>
        <v/>
      </c>
      <c r="AF88" s="10" t="str">
        <f t="shared" si="76"/>
        <v/>
      </c>
      <c r="AG88" s="71"/>
      <c r="AH88" s="10" t="str">
        <f t="shared" si="60"/>
        <v/>
      </c>
      <c r="AI88" s="10" t="str">
        <f t="shared" si="77"/>
        <v/>
      </c>
      <c r="AJ88" s="71"/>
      <c r="AK88" s="10" t="str">
        <f t="shared" si="61"/>
        <v/>
      </c>
      <c r="AL88" s="10" t="str">
        <f t="shared" si="78"/>
        <v/>
      </c>
      <c r="AM88" s="71"/>
      <c r="AN88" s="10" t="str">
        <f t="shared" si="62"/>
        <v/>
      </c>
      <c r="AO88" s="10" t="str">
        <f t="shared" si="79"/>
        <v/>
      </c>
      <c r="AP88" s="71"/>
      <c r="AQ88" s="10" t="str">
        <f t="shared" si="63"/>
        <v/>
      </c>
      <c r="AR88" s="10" t="str">
        <f t="shared" si="80"/>
        <v/>
      </c>
      <c r="AS88" s="71"/>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U88" s="71"/>
      <c r="AV88" s="10" t="str">
        <f t="shared" si="64"/>
        <v/>
      </c>
      <c r="AW88" s="10" t="str">
        <f t="shared" si="81"/>
        <v/>
      </c>
      <c r="AX88" s="71"/>
      <c r="AY88" s="7" t="str">
        <f>IF(ISERROR(IF($K88&lt;=$F$15,VLOOKUP($I88,'表4）CO2価格'!$A$7:$E$67,VLOOKUP($F$48,'表4）CO2価格'!$H$10:$I$12,2,0),0)*$F$8/1000,"")),0,IF($K88&lt;=$F$15,VLOOKUP($I88,'表4）CO2価格'!$A$7:$E$67,VLOOKUP($F$48,'表4）CO2価格'!$H$10:$I$12,2,0),0)*$F$8/1000,""))</f>
        <v/>
      </c>
      <c r="AZ88" s="71"/>
      <c r="BA88" s="11" t="str">
        <f t="shared" si="65"/>
        <v/>
      </c>
      <c r="BB88" s="10" t="str">
        <f t="shared" si="82"/>
        <v/>
      </c>
      <c r="BC88" s="71"/>
      <c r="BD88" s="10" t="str">
        <f t="shared" si="66"/>
        <v/>
      </c>
      <c r="BE88" s="10" t="str">
        <f t="shared" si="83"/>
        <v/>
      </c>
      <c r="BF88" s="71"/>
      <c r="BG88" s="11" t="str">
        <f t="shared" si="67"/>
        <v/>
      </c>
      <c r="BH88" s="10" t="str">
        <f t="shared" si="84"/>
        <v/>
      </c>
      <c r="BJ88" s="7" t="str">
        <f t="shared" si="85"/>
        <v/>
      </c>
      <c r="BK88" s="158" t="str">
        <f t="shared" si="86"/>
        <v/>
      </c>
      <c r="BL88" s="158" t="str">
        <f t="shared" si="68"/>
        <v/>
      </c>
      <c r="BM88" s="10"/>
      <c r="BN88" s="10" t="str">
        <f t="shared" si="87"/>
        <v/>
      </c>
      <c r="BO88" s="10" t="str">
        <f t="shared" si="88"/>
        <v/>
      </c>
      <c r="BQ88" s="10" t="str">
        <f t="shared" si="69"/>
        <v/>
      </c>
      <c r="BR88" s="10" t="str">
        <f t="shared" si="89"/>
        <v/>
      </c>
    </row>
    <row r="89" spans="4:70" x14ac:dyDescent="0.15">
      <c r="E89" s="81" t="s">
        <v>122</v>
      </c>
      <c r="F89" s="91">
        <f>AO116/$BR$116</f>
        <v>0.93530562910095549</v>
      </c>
      <c r="G89" s="81" t="s">
        <v>132</v>
      </c>
      <c r="I89" s="458">
        <f t="shared" si="90"/>
        <v>2094</v>
      </c>
      <c r="J89" s="39"/>
      <c r="K89" s="39">
        <f t="shared" si="91"/>
        <v>75</v>
      </c>
      <c r="L89" s="39"/>
      <c r="M89" s="40">
        <f t="shared" si="54"/>
        <v>0.10894521169560026</v>
      </c>
      <c r="N89" s="39"/>
      <c r="O89" s="72" t="str">
        <f t="shared" si="70"/>
        <v/>
      </c>
      <c r="P89" s="41" t="str">
        <f t="shared" si="55"/>
        <v/>
      </c>
      <c r="Q89" s="39"/>
      <c r="R89" s="72" t="str">
        <f t="shared" si="71"/>
        <v/>
      </c>
      <c r="S89" s="39"/>
      <c r="T89" s="72" t="str">
        <f t="shared" si="72"/>
        <v/>
      </c>
      <c r="U89" s="39"/>
      <c r="V89" s="72" t="str">
        <f t="shared" si="56"/>
        <v/>
      </c>
      <c r="W89" s="72" t="str">
        <f t="shared" si="73"/>
        <v/>
      </c>
      <c r="X89" s="39"/>
      <c r="Y89" s="72" t="str">
        <f t="shared" si="57"/>
        <v/>
      </c>
      <c r="Z89" s="72" t="str">
        <f t="shared" si="74"/>
        <v/>
      </c>
      <c r="AA89" s="39"/>
      <c r="AB89" s="72" t="str">
        <f t="shared" si="58"/>
        <v/>
      </c>
      <c r="AC89" s="72" t="str">
        <f t="shared" si="75"/>
        <v/>
      </c>
      <c r="AD89" s="39"/>
      <c r="AE89" s="72" t="str">
        <f t="shared" si="59"/>
        <v/>
      </c>
      <c r="AF89" s="72" t="str">
        <f t="shared" si="76"/>
        <v/>
      </c>
      <c r="AG89" s="39"/>
      <c r="AH89" s="72" t="str">
        <f t="shared" si="60"/>
        <v/>
      </c>
      <c r="AI89" s="72" t="str">
        <f t="shared" si="77"/>
        <v/>
      </c>
      <c r="AJ89" s="39"/>
      <c r="AK89" s="72" t="str">
        <f t="shared" si="61"/>
        <v/>
      </c>
      <c r="AL89" s="72" t="str">
        <f t="shared" si="78"/>
        <v/>
      </c>
      <c r="AM89" s="39"/>
      <c r="AN89" s="72" t="str">
        <f t="shared" si="62"/>
        <v/>
      </c>
      <c r="AO89" s="72" t="str">
        <f t="shared" si="79"/>
        <v/>
      </c>
      <c r="AP89" s="39"/>
      <c r="AQ89" s="72" t="str">
        <f t="shared" si="63"/>
        <v/>
      </c>
      <c r="AR89" s="72" t="str">
        <f t="shared" si="80"/>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64"/>
        <v/>
      </c>
      <c r="AW89" s="72" t="str">
        <f t="shared" si="81"/>
        <v/>
      </c>
      <c r="AX89" s="39"/>
      <c r="AY89" s="40" t="str">
        <f>IF(ISERROR(IF($K89&lt;=$F$15,VLOOKUP($I89,'表4）CO2価格'!$A$7:$E$67,VLOOKUP($F$48,'表4）CO2価格'!$H$10:$I$12,2,0),0)*$F$8/1000,"")),0,IF($K89&lt;=$F$15,VLOOKUP($I89,'表4）CO2価格'!$A$7:$E$67,VLOOKUP($F$48,'表4）CO2価格'!$H$10:$I$12,2,0),0)*$F$8/1000,""))</f>
        <v/>
      </c>
      <c r="AZ89" s="39"/>
      <c r="BA89" s="42" t="str">
        <f t="shared" si="65"/>
        <v/>
      </c>
      <c r="BB89" s="72" t="str">
        <f t="shared" si="82"/>
        <v/>
      </c>
      <c r="BC89" s="39"/>
      <c r="BD89" s="72" t="str">
        <f t="shared" si="66"/>
        <v/>
      </c>
      <c r="BE89" s="72" t="str">
        <f t="shared" si="83"/>
        <v/>
      </c>
      <c r="BF89" s="39"/>
      <c r="BG89" s="42" t="str">
        <f t="shared" si="67"/>
        <v/>
      </c>
      <c r="BH89" s="72" t="str">
        <f t="shared" si="84"/>
        <v/>
      </c>
      <c r="BI89" s="39"/>
      <c r="BJ89" s="40" t="str">
        <f t="shared" si="85"/>
        <v/>
      </c>
      <c r="BK89" s="157" t="str">
        <f t="shared" si="86"/>
        <v/>
      </c>
      <c r="BL89" s="157" t="str">
        <f t="shared" si="68"/>
        <v/>
      </c>
      <c r="BM89" s="72"/>
      <c r="BN89" s="72" t="str">
        <f t="shared" si="87"/>
        <v/>
      </c>
      <c r="BO89" s="72" t="str">
        <f t="shared" si="88"/>
        <v/>
      </c>
      <c r="BP89" s="39"/>
      <c r="BQ89" s="72" t="str">
        <f t="shared" si="69"/>
        <v/>
      </c>
      <c r="BR89" s="72" t="str">
        <f t="shared" si="89"/>
        <v/>
      </c>
    </row>
    <row r="90" spans="4:70" x14ac:dyDescent="0.15">
      <c r="E90" s="81" t="s">
        <v>142</v>
      </c>
      <c r="F90" s="91">
        <f>AR116/$BR$116</f>
        <v>0.27890673963649398</v>
      </c>
      <c r="G90" s="81" t="s">
        <v>132</v>
      </c>
      <c r="I90" s="459">
        <f t="shared" si="90"/>
        <v>2095</v>
      </c>
      <c r="J90" s="71"/>
      <c r="K90" s="71">
        <f t="shared" si="91"/>
        <v>76</v>
      </c>
      <c r="L90" s="71"/>
      <c r="M90" s="7">
        <f t="shared" si="54"/>
        <v>0.10577205018990318</v>
      </c>
      <c r="N90" s="71"/>
      <c r="O90" s="10" t="str">
        <f t="shared" si="70"/>
        <v/>
      </c>
      <c r="P90" s="29" t="str">
        <f t="shared" si="55"/>
        <v/>
      </c>
      <c r="Q90" s="71"/>
      <c r="R90" s="10" t="str">
        <f t="shared" si="71"/>
        <v/>
      </c>
      <c r="S90" s="71"/>
      <c r="T90" s="10" t="str">
        <f t="shared" si="72"/>
        <v/>
      </c>
      <c r="U90" s="71"/>
      <c r="V90" s="10" t="str">
        <f t="shared" si="56"/>
        <v/>
      </c>
      <c r="W90" s="10" t="str">
        <f t="shared" si="73"/>
        <v/>
      </c>
      <c r="X90" s="71"/>
      <c r="Y90" s="10" t="str">
        <f t="shared" si="57"/>
        <v/>
      </c>
      <c r="Z90" s="10" t="str">
        <f t="shared" si="74"/>
        <v/>
      </c>
      <c r="AA90" s="71"/>
      <c r="AB90" s="10" t="str">
        <f t="shared" si="58"/>
        <v/>
      </c>
      <c r="AC90" s="10" t="str">
        <f t="shared" si="75"/>
        <v/>
      </c>
      <c r="AD90" s="71"/>
      <c r="AE90" s="10" t="str">
        <f t="shared" si="59"/>
        <v/>
      </c>
      <c r="AF90" s="10" t="str">
        <f t="shared" si="76"/>
        <v/>
      </c>
      <c r="AG90" s="71"/>
      <c r="AH90" s="10" t="str">
        <f t="shared" si="60"/>
        <v/>
      </c>
      <c r="AI90" s="10" t="str">
        <f t="shared" si="77"/>
        <v/>
      </c>
      <c r="AJ90" s="71"/>
      <c r="AK90" s="10" t="str">
        <f t="shared" si="61"/>
        <v/>
      </c>
      <c r="AL90" s="10" t="str">
        <f t="shared" si="78"/>
        <v/>
      </c>
      <c r="AM90" s="71"/>
      <c r="AN90" s="10" t="str">
        <f t="shared" si="62"/>
        <v/>
      </c>
      <c r="AO90" s="10" t="str">
        <f t="shared" si="79"/>
        <v/>
      </c>
      <c r="AP90" s="71"/>
      <c r="AQ90" s="10" t="str">
        <f t="shared" si="63"/>
        <v/>
      </c>
      <c r="AR90" s="10" t="str">
        <f t="shared" si="80"/>
        <v/>
      </c>
      <c r="AS90" s="71"/>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U90" s="71"/>
      <c r="AV90" s="10" t="str">
        <f t="shared" si="64"/>
        <v/>
      </c>
      <c r="AW90" s="10" t="str">
        <f t="shared" si="81"/>
        <v/>
      </c>
      <c r="AX90" s="71"/>
      <c r="AY90" s="7" t="str">
        <f>IF(ISERROR(IF($K90&lt;=$F$15,VLOOKUP($I90,'表4）CO2価格'!$A$7:$E$67,VLOOKUP($F$48,'表4）CO2価格'!$H$10:$I$12,2,0),0)*$F$8/1000,"")),0,IF($K90&lt;=$F$15,VLOOKUP($I90,'表4）CO2価格'!$A$7:$E$67,VLOOKUP($F$48,'表4）CO2価格'!$H$10:$I$12,2,0),0)*$F$8/1000,""))</f>
        <v/>
      </c>
      <c r="AZ90" s="71"/>
      <c r="BA90" s="11" t="str">
        <f t="shared" si="65"/>
        <v/>
      </c>
      <c r="BB90" s="10" t="str">
        <f t="shared" si="82"/>
        <v/>
      </c>
      <c r="BC90" s="71"/>
      <c r="BD90" s="10" t="str">
        <f t="shared" si="66"/>
        <v/>
      </c>
      <c r="BE90" s="10" t="str">
        <f t="shared" si="83"/>
        <v/>
      </c>
      <c r="BF90" s="71"/>
      <c r="BG90" s="11" t="str">
        <f t="shared" si="67"/>
        <v/>
      </c>
      <c r="BH90" s="10" t="str">
        <f t="shared" si="84"/>
        <v/>
      </c>
      <c r="BJ90" s="7" t="str">
        <f t="shared" si="85"/>
        <v/>
      </c>
      <c r="BK90" s="158" t="str">
        <f t="shared" si="86"/>
        <v/>
      </c>
      <c r="BL90" s="158" t="str">
        <f t="shared" si="68"/>
        <v/>
      </c>
      <c r="BM90" s="10"/>
      <c r="BN90" s="10" t="str">
        <f t="shared" si="87"/>
        <v/>
      </c>
      <c r="BO90" s="10" t="str">
        <f t="shared" si="88"/>
        <v/>
      </c>
      <c r="BQ90" s="10" t="str">
        <f t="shared" si="69"/>
        <v/>
      </c>
      <c r="BR90" s="10" t="str">
        <f t="shared" si="89"/>
        <v/>
      </c>
    </row>
    <row r="91" spans="4:70" x14ac:dyDescent="0.15">
      <c r="F91" s="93"/>
      <c r="I91" s="458">
        <f t="shared" si="90"/>
        <v>2096</v>
      </c>
      <c r="J91" s="39"/>
      <c r="K91" s="39">
        <f t="shared" si="91"/>
        <v>77</v>
      </c>
      <c r="L91" s="39"/>
      <c r="M91" s="40">
        <f t="shared" si="54"/>
        <v>0.10269131086398368</v>
      </c>
      <c r="N91" s="39"/>
      <c r="O91" s="72" t="str">
        <f t="shared" si="70"/>
        <v/>
      </c>
      <c r="P91" s="41" t="str">
        <f t="shared" si="55"/>
        <v/>
      </c>
      <c r="Q91" s="39"/>
      <c r="R91" s="72" t="str">
        <f t="shared" si="71"/>
        <v/>
      </c>
      <c r="S91" s="39"/>
      <c r="T91" s="72" t="str">
        <f t="shared" si="72"/>
        <v/>
      </c>
      <c r="U91" s="39"/>
      <c r="V91" s="72" t="str">
        <f t="shared" si="56"/>
        <v/>
      </c>
      <c r="W91" s="72" t="str">
        <f t="shared" si="73"/>
        <v/>
      </c>
      <c r="X91" s="39"/>
      <c r="Y91" s="72" t="str">
        <f t="shared" si="57"/>
        <v/>
      </c>
      <c r="Z91" s="72" t="str">
        <f t="shared" si="74"/>
        <v/>
      </c>
      <c r="AA91" s="39"/>
      <c r="AB91" s="72" t="str">
        <f t="shared" si="58"/>
        <v/>
      </c>
      <c r="AC91" s="72" t="str">
        <f t="shared" si="75"/>
        <v/>
      </c>
      <c r="AD91" s="39"/>
      <c r="AE91" s="72" t="str">
        <f t="shared" si="59"/>
        <v/>
      </c>
      <c r="AF91" s="72" t="str">
        <f t="shared" si="76"/>
        <v/>
      </c>
      <c r="AG91" s="39"/>
      <c r="AH91" s="72" t="str">
        <f t="shared" si="60"/>
        <v/>
      </c>
      <c r="AI91" s="72" t="str">
        <f t="shared" si="77"/>
        <v/>
      </c>
      <c r="AJ91" s="39"/>
      <c r="AK91" s="72" t="str">
        <f t="shared" si="61"/>
        <v/>
      </c>
      <c r="AL91" s="72" t="str">
        <f t="shared" si="78"/>
        <v/>
      </c>
      <c r="AM91" s="39"/>
      <c r="AN91" s="72" t="str">
        <f t="shared" si="62"/>
        <v/>
      </c>
      <c r="AO91" s="72" t="str">
        <f t="shared" si="79"/>
        <v/>
      </c>
      <c r="AP91" s="39"/>
      <c r="AQ91" s="72" t="str">
        <f t="shared" si="63"/>
        <v/>
      </c>
      <c r="AR91" s="72" t="str">
        <f t="shared" si="80"/>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64"/>
        <v/>
      </c>
      <c r="AW91" s="72" t="str">
        <f t="shared" si="81"/>
        <v/>
      </c>
      <c r="AX91" s="39"/>
      <c r="AY91" s="40" t="str">
        <f>IF(ISERROR(IF($K91&lt;=$F$15,VLOOKUP($I91,'表4）CO2価格'!$A$7:$E$67,VLOOKUP($F$48,'表4）CO2価格'!$H$10:$I$12,2,0),0)*$F$8/1000,"")),0,IF($K91&lt;=$F$15,VLOOKUP($I91,'表4）CO2価格'!$A$7:$E$67,VLOOKUP($F$48,'表4）CO2価格'!$H$10:$I$12,2,0),0)*$F$8/1000,""))</f>
        <v/>
      </c>
      <c r="AZ91" s="39"/>
      <c r="BA91" s="42" t="str">
        <f t="shared" si="65"/>
        <v/>
      </c>
      <c r="BB91" s="72" t="str">
        <f t="shared" si="82"/>
        <v/>
      </c>
      <c r="BC91" s="39"/>
      <c r="BD91" s="72" t="str">
        <f t="shared" si="66"/>
        <v/>
      </c>
      <c r="BE91" s="72" t="str">
        <f t="shared" si="83"/>
        <v/>
      </c>
      <c r="BF91" s="39"/>
      <c r="BG91" s="42" t="str">
        <f t="shared" si="67"/>
        <v/>
      </c>
      <c r="BH91" s="72" t="str">
        <f t="shared" si="84"/>
        <v/>
      </c>
      <c r="BI91" s="39"/>
      <c r="BJ91" s="40" t="str">
        <f t="shared" si="85"/>
        <v/>
      </c>
      <c r="BK91" s="157" t="str">
        <f t="shared" si="86"/>
        <v/>
      </c>
      <c r="BL91" s="157" t="str">
        <f t="shared" si="68"/>
        <v/>
      </c>
      <c r="BM91" s="72"/>
      <c r="BN91" s="72" t="str">
        <f t="shared" si="87"/>
        <v/>
      </c>
      <c r="BO91" s="72" t="str">
        <f t="shared" si="88"/>
        <v/>
      </c>
      <c r="BP91" s="39"/>
      <c r="BQ91" s="72" t="str">
        <f t="shared" si="69"/>
        <v/>
      </c>
      <c r="BR91" s="72" t="str">
        <f t="shared" si="89"/>
        <v/>
      </c>
    </row>
    <row r="92" spans="4:70" ht="15" x14ac:dyDescent="0.15">
      <c r="D92" s="116" t="s">
        <v>196</v>
      </c>
      <c r="F92" s="94">
        <f>SUBTOTAL(9,F96:F97)</f>
        <v>14.775971940337497</v>
      </c>
      <c r="I92" s="459">
        <f t="shared" si="90"/>
        <v>2097</v>
      </c>
      <c r="J92" s="71"/>
      <c r="K92" s="71">
        <f t="shared" si="91"/>
        <v>78</v>
      </c>
      <c r="L92" s="71"/>
      <c r="M92" s="7">
        <f t="shared" si="54"/>
        <v>9.9700301809692873E-2</v>
      </c>
      <c r="N92" s="71"/>
      <c r="O92" s="10" t="str">
        <f t="shared" si="70"/>
        <v/>
      </c>
      <c r="P92" s="29" t="str">
        <f t="shared" si="55"/>
        <v/>
      </c>
      <c r="Q92" s="71"/>
      <c r="R92" s="10" t="str">
        <f t="shared" si="71"/>
        <v/>
      </c>
      <c r="S92" s="71"/>
      <c r="T92" s="10" t="str">
        <f t="shared" si="72"/>
        <v/>
      </c>
      <c r="U92" s="71"/>
      <c r="V92" s="10" t="str">
        <f t="shared" si="56"/>
        <v/>
      </c>
      <c r="W92" s="10" t="str">
        <f t="shared" si="73"/>
        <v/>
      </c>
      <c r="X92" s="71"/>
      <c r="Y92" s="10" t="str">
        <f t="shared" si="57"/>
        <v/>
      </c>
      <c r="Z92" s="10" t="str">
        <f t="shared" si="74"/>
        <v/>
      </c>
      <c r="AA92" s="71"/>
      <c r="AB92" s="10" t="str">
        <f t="shared" si="58"/>
        <v/>
      </c>
      <c r="AC92" s="10" t="str">
        <f t="shared" si="75"/>
        <v/>
      </c>
      <c r="AD92" s="71"/>
      <c r="AE92" s="10" t="str">
        <f t="shared" si="59"/>
        <v/>
      </c>
      <c r="AF92" s="10" t="str">
        <f t="shared" si="76"/>
        <v/>
      </c>
      <c r="AG92" s="71"/>
      <c r="AH92" s="10" t="str">
        <f t="shared" si="60"/>
        <v/>
      </c>
      <c r="AI92" s="10" t="str">
        <f t="shared" si="77"/>
        <v/>
      </c>
      <c r="AJ92" s="71"/>
      <c r="AK92" s="10" t="str">
        <f t="shared" si="61"/>
        <v/>
      </c>
      <c r="AL92" s="10" t="str">
        <f t="shared" si="78"/>
        <v/>
      </c>
      <c r="AM92" s="71"/>
      <c r="AN92" s="10" t="str">
        <f t="shared" si="62"/>
        <v/>
      </c>
      <c r="AO92" s="10" t="str">
        <f t="shared" si="79"/>
        <v/>
      </c>
      <c r="AP92" s="71"/>
      <c r="AQ92" s="10" t="str">
        <f t="shared" si="63"/>
        <v/>
      </c>
      <c r="AR92" s="10" t="str">
        <f t="shared" si="80"/>
        <v/>
      </c>
      <c r="AS92" s="71"/>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U92" s="71"/>
      <c r="AV92" s="10" t="str">
        <f t="shared" si="64"/>
        <v/>
      </c>
      <c r="AW92" s="10" t="str">
        <f t="shared" si="81"/>
        <v/>
      </c>
      <c r="AX92" s="71"/>
      <c r="AY92" s="7" t="str">
        <f>IF(ISERROR(IF($K92&lt;=$F$15,VLOOKUP($I92,'表4）CO2価格'!$A$7:$E$67,VLOOKUP($F$48,'表4）CO2価格'!$H$10:$I$12,2,0),0)*$F$8/1000,"")),0,IF($K92&lt;=$F$15,VLOOKUP($I92,'表4）CO2価格'!$A$7:$E$67,VLOOKUP($F$48,'表4）CO2価格'!$H$10:$I$12,2,0),0)*$F$8/1000,""))</f>
        <v/>
      </c>
      <c r="AZ92" s="71"/>
      <c r="BA92" s="11" t="str">
        <f t="shared" si="65"/>
        <v/>
      </c>
      <c r="BB92" s="10" t="str">
        <f t="shared" si="82"/>
        <v/>
      </c>
      <c r="BC92" s="71"/>
      <c r="BD92" s="10" t="str">
        <f t="shared" si="66"/>
        <v/>
      </c>
      <c r="BE92" s="10" t="str">
        <f t="shared" si="83"/>
        <v/>
      </c>
      <c r="BF92" s="71"/>
      <c r="BG92" s="11" t="str">
        <f t="shared" si="67"/>
        <v/>
      </c>
      <c r="BH92" s="10" t="str">
        <f t="shared" si="84"/>
        <v/>
      </c>
      <c r="BJ92" s="7" t="str">
        <f t="shared" si="85"/>
        <v/>
      </c>
      <c r="BK92" s="158" t="str">
        <f t="shared" si="86"/>
        <v/>
      </c>
      <c r="BL92" s="158" t="str">
        <f t="shared" si="68"/>
        <v/>
      </c>
      <c r="BM92" s="10"/>
      <c r="BN92" s="10" t="str">
        <f t="shared" si="87"/>
        <v/>
      </c>
      <c r="BO92" s="10" t="str">
        <f t="shared" si="88"/>
        <v/>
      </c>
      <c r="BQ92" s="10" t="str">
        <f t="shared" si="69"/>
        <v/>
      </c>
      <c r="BR92" s="10" t="str">
        <f t="shared" si="89"/>
        <v/>
      </c>
    </row>
    <row r="93" spans="4:70" ht="15" x14ac:dyDescent="0.15">
      <c r="D93" s="116"/>
      <c r="F93" s="93"/>
      <c r="I93" s="458">
        <f t="shared" si="90"/>
        <v>2098</v>
      </c>
      <c r="J93" s="39"/>
      <c r="K93" s="39">
        <f t="shared" si="91"/>
        <v>79</v>
      </c>
      <c r="L93" s="39"/>
      <c r="M93" s="40">
        <f t="shared" si="54"/>
        <v>9.679640952397367E-2</v>
      </c>
      <c r="N93" s="39"/>
      <c r="O93" s="72" t="str">
        <f t="shared" si="70"/>
        <v/>
      </c>
      <c r="P93" s="41" t="str">
        <f t="shared" si="55"/>
        <v/>
      </c>
      <c r="Q93" s="39"/>
      <c r="R93" s="72" t="str">
        <f t="shared" si="71"/>
        <v/>
      </c>
      <c r="S93" s="39"/>
      <c r="T93" s="72" t="str">
        <f t="shared" si="72"/>
        <v/>
      </c>
      <c r="U93" s="39"/>
      <c r="V93" s="72" t="str">
        <f t="shared" si="56"/>
        <v/>
      </c>
      <c r="W93" s="72" t="str">
        <f t="shared" si="73"/>
        <v/>
      </c>
      <c r="X93" s="39"/>
      <c r="Y93" s="72" t="str">
        <f t="shared" si="57"/>
        <v/>
      </c>
      <c r="Z93" s="72" t="str">
        <f t="shared" si="74"/>
        <v/>
      </c>
      <c r="AA93" s="39"/>
      <c r="AB93" s="72" t="str">
        <f t="shared" si="58"/>
        <v/>
      </c>
      <c r="AC93" s="72" t="str">
        <f t="shared" si="75"/>
        <v/>
      </c>
      <c r="AD93" s="39"/>
      <c r="AE93" s="72" t="str">
        <f t="shared" si="59"/>
        <v/>
      </c>
      <c r="AF93" s="72" t="str">
        <f t="shared" si="76"/>
        <v/>
      </c>
      <c r="AG93" s="39"/>
      <c r="AH93" s="72" t="str">
        <f t="shared" si="60"/>
        <v/>
      </c>
      <c r="AI93" s="72" t="str">
        <f t="shared" si="77"/>
        <v/>
      </c>
      <c r="AJ93" s="39"/>
      <c r="AK93" s="72" t="str">
        <f t="shared" si="61"/>
        <v/>
      </c>
      <c r="AL93" s="72" t="str">
        <f t="shared" si="78"/>
        <v/>
      </c>
      <c r="AM93" s="39"/>
      <c r="AN93" s="72" t="str">
        <f t="shared" si="62"/>
        <v/>
      </c>
      <c r="AO93" s="72" t="str">
        <f t="shared" si="79"/>
        <v/>
      </c>
      <c r="AP93" s="39"/>
      <c r="AQ93" s="72" t="str">
        <f t="shared" si="63"/>
        <v/>
      </c>
      <c r="AR93" s="72" t="str">
        <f t="shared" si="80"/>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64"/>
        <v/>
      </c>
      <c r="AW93" s="72" t="str">
        <f t="shared" si="81"/>
        <v/>
      </c>
      <c r="AX93" s="39"/>
      <c r="AY93" s="40" t="str">
        <f>IF(ISERROR(IF($K93&lt;=$F$15,VLOOKUP($I93,'表4）CO2価格'!$A$7:$E$67,VLOOKUP($F$48,'表4）CO2価格'!$H$10:$I$12,2,0),0)*$F$8/1000,"")),0,IF($K93&lt;=$F$15,VLOOKUP($I93,'表4）CO2価格'!$A$7:$E$67,VLOOKUP($F$48,'表4）CO2価格'!$H$10:$I$12,2,0),0)*$F$8/1000,""))</f>
        <v/>
      </c>
      <c r="AZ93" s="39"/>
      <c r="BA93" s="42" t="str">
        <f t="shared" si="65"/>
        <v/>
      </c>
      <c r="BB93" s="72" t="str">
        <f t="shared" si="82"/>
        <v/>
      </c>
      <c r="BC93" s="39"/>
      <c r="BD93" s="72" t="str">
        <f t="shared" si="66"/>
        <v/>
      </c>
      <c r="BE93" s="72" t="str">
        <f t="shared" si="83"/>
        <v/>
      </c>
      <c r="BF93" s="39"/>
      <c r="BG93" s="42" t="str">
        <f t="shared" si="67"/>
        <v/>
      </c>
      <c r="BH93" s="72" t="str">
        <f t="shared" si="84"/>
        <v/>
      </c>
      <c r="BI93" s="39"/>
      <c r="BJ93" s="40" t="str">
        <f t="shared" si="85"/>
        <v/>
      </c>
      <c r="BK93" s="157" t="str">
        <f t="shared" si="86"/>
        <v/>
      </c>
      <c r="BL93" s="157" t="str">
        <f t="shared" si="68"/>
        <v/>
      </c>
      <c r="BM93" s="72"/>
      <c r="BN93" s="72" t="str">
        <f t="shared" si="87"/>
        <v/>
      </c>
      <c r="BO93" s="72" t="str">
        <f t="shared" si="88"/>
        <v/>
      </c>
      <c r="BP93" s="39"/>
      <c r="BQ93" s="72" t="str">
        <f t="shared" si="69"/>
        <v/>
      </c>
      <c r="BR93" s="72" t="str">
        <f t="shared" si="89"/>
        <v/>
      </c>
    </row>
    <row r="94" spans="4:70" x14ac:dyDescent="0.15">
      <c r="D94" s="101" t="s">
        <v>197</v>
      </c>
      <c r="E94" s="101"/>
      <c r="F94" s="92"/>
      <c r="G94" s="101"/>
      <c r="I94" s="459">
        <f t="shared" si="90"/>
        <v>2099</v>
      </c>
      <c r="J94" s="71"/>
      <c r="K94" s="71">
        <f t="shared" si="91"/>
        <v>80</v>
      </c>
      <c r="L94" s="71"/>
      <c r="M94" s="7">
        <f t="shared" si="54"/>
        <v>9.3977096625217166E-2</v>
      </c>
      <c r="N94" s="71"/>
      <c r="O94" s="10" t="str">
        <f t="shared" si="70"/>
        <v/>
      </c>
      <c r="P94" s="29" t="str">
        <f t="shared" si="55"/>
        <v/>
      </c>
      <c r="Q94" s="71"/>
      <c r="R94" s="10" t="str">
        <f t="shared" si="71"/>
        <v/>
      </c>
      <c r="S94" s="71"/>
      <c r="T94" s="10" t="str">
        <f t="shared" si="72"/>
        <v/>
      </c>
      <c r="U94" s="71"/>
      <c r="V94" s="10" t="str">
        <f t="shared" si="56"/>
        <v/>
      </c>
      <c r="W94" s="10" t="str">
        <f t="shared" si="73"/>
        <v/>
      </c>
      <c r="X94" s="71"/>
      <c r="Y94" s="10" t="str">
        <f t="shared" si="57"/>
        <v/>
      </c>
      <c r="Z94" s="10" t="str">
        <f t="shared" si="74"/>
        <v/>
      </c>
      <c r="AA94" s="71"/>
      <c r="AB94" s="10" t="str">
        <f t="shared" si="58"/>
        <v/>
      </c>
      <c r="AC94" s="10" t="str">
        <f t="shared" si="75"/>
        <v/>
      </c>
      <c r="AD94" s="71"/>
      <c r="AE94" s="10" t="str">
        <f t="shared" si="59"/>
        <v/>
      </c>
      <c r="AF94" s="10" t="str">
        <f t="shared" si="76"/>
        <v/>
      </c>
      <c r="AG94" s="71"/>
      <c r="AH94" s="10" t="str">
        <f t="shared" si="60"/>
        <v/>
      </c>
      <c r="AI94" s="10" t="str">
        <f t="shared" si="77"/>
        <v/>
      </c>
      <c r="AJ94" s="71"/>
      <c r="AK94" s="10" t="str">
        <f t="shared" si="61"/>
        <v/>
      </c>
      <c r="AL94" s="10" t="str">
        <f t="shared" si="78"/>
        <v/>
      </c>
      <c r="AM94" s="71"/>
      <c r="AN94" s="10" t="str">
        <f t="shared" si="62"/>
        <v/>
      </c>
      <c r="AO94" s="10" t="str">
        <f t="shared" si="79"/>
        <v/>
      </c>
      <c r="AP94" s="71"/>
      <c r="AQ94" s="10" t="str">
        <f t="shared" si="63"/>
        <v/>
      </c>
      <c r="AR94" s="10" t="str">
        <f t="shared" si="80"/>
        <v/>
      </c>
      <c r="AS94" s="71"/>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U94" s="71"/>
      <c r="AV94" s="10" t="str">
        <f t="shared" si="64"/>
        <v/>
      </c>
      <c r="AW94" s="10" t="str">
        <f t="shared" si="81"/>
        <v/>
      </c>
      <c r="AX94" s="71"/>
      <c r="AY94" s="7" t="str">
        <f>IF(ISERROR(IF($K94&lt;=$F$15,VLOOKUP($I94,'表4）CO2価格'!$A$7:$E$67,VLOOKUP($F$48,'表4）CO2価格'!$H$10:$I$12,2,0),0)*$F$8/1000,"")),0,IF($K94&lt;=$F$15,VLOOKUP($I94,'表4）CO2価格'!$A$7:$E$67,VLOOKUP($F$48,'表4）CO2価格'!$H$10:$I$12,2,0),0)*$F$8/1000,""))</f>
        <v/>
      </c>
      <c r="AZ94" s="71"/>
      <c r="BA94" s="11" t="str">
        <f t="shared" si="65"/>
        <v/>
      </c>
      <c r="BB94" s="10" t="str">
        <f t="shared" si="82"/>
        <v/>
      </c>
      <c r="BC94" s="71"/>
      <c r="BD94" s="10" t="str">
        <f t="shared" si="66"/>
        <v/>
      </c>
      <c r="BE94" s="10" t="str">
        <f t="shared" si="83"/>
        <v/>
      </c>
      <c r="BF94" s="71"/>
      <c r="BG94" s="11" t="str">
        <f t="shared" si="67"/>
        <v/>
      </c>
      <c r="BH94" s="10" t="str">
        <f t="shared" si="84"/>
        <v/>
      </c>
      <c r="BJ94" s="7" t="str">
        <f t="shared" si="85"/>
        <v/>
      </c>
      <c r="BK94" s="158" t="str">
        <f t="shared" si="86"/>
        <v/>
      </c>
      <c r="BL94" s="158" t="str">
        <f t="shared" si="68"/>
        <v/>
      </c>
      <c r="BM94" s="10"/>
      <c r="BN94" s="10" t="str">
        <f t="shared" si="87"/>
        <v/>
      </c>
      <c r="BO94" s="10" t="str">
        <f t="shared" si="88"/>
        <v/>
      </c>
      <c r="BQ94" s="10" t="str">
        <f t="shared" si="69"/>
        <v/>
      </c>
      <c r="BR94" s="10" t="str">
        <f t="shared" si="89"/>
        <v/>
      </c>
    </row>
    <row r="95" spans="4:70" ht="15" x14ac:dyDescent="0.15">
      <c r="D95" s="116"/>
      <c r="F95" s="93"/>
      <c r="I95" s="458">
        <f t="shared" si="90"/>
        <v>2100</v>
      </c>
      <c r="J95" s="39"/>
      <c r="K95" s="39">
        <f t="shared" si="91"/>
        <v>81</v>
      </c>
      <c r="L95" s="39"/>
      <c r="M95" s="40">
        <f t="shared" si="54"/>
        <v>9.1239899636133173E-2</v>
      </c>
      <c r="N95" s="39"/>
      <c r="O95" s="72" t="str">
        <f t="shared" si="70"/>
        <v/>
      </c>
      <c r="P95" s="41" t="str">
        <f t="shared" si="55"/>
        <v/>
      </c>
      <c r="Q95" s="39"/>
      <c r="R95" s="72" t="str">
        <f t="shared" si="71"/>
        <v/>
      </c>
      <c r="S95" s="39"/>
      <c r="T95" s="72" t="str">
        <f t="shared" si="72"/>
        <v/>
      </c>
      <c r="U95" s="39"/>
      <c r="V95" s="72" t="str">
        <f t="shared" si="56"/>
        <v/>
      </c>
      <c r="W95" s="72" t="str">
        <f t="shared" si="73"/>
        <v/>
      </c>
      <c r="X95" s="39"/>
      <c r="Y95" s="72" t="str">
        <f t="shared" si="57"/>
        <v/>
      </c>
      <c r="Z95" s="72" t="str">
        <f t="shared" si="74"/>
        <v/>
      </c>
      <c r="AA95" s="39"/>
      <c r="AB95" s="72" t="str">
        <f t="shared" si="58"/>
        <v/>
      </c>
      <c r="AC95" s="72" t="str">
        <f t="shared" si="75"/>
        <v/>
      </c>
      <c r="AD95" s="39"/>
      <c r="AE95" s="72" t="str">
        <f t="shared" si="59"/>
        <v/>
      </c>
      <c r="AF95" s="72" t="str">
        <f t="shared" si="76"/>
        <v/>
      </c>
      <c r="AG95" s="39"/>
      <c r="AH95" s="72" t="str">
        <f t="shared" si="60"/>
        <v/>
      </c>
      <c r="AI95" s="72" t="str">
        <f t="shared" si="77"/>
        <v/>
      </c>
      <c r="AJ95" s="39"/>
      <c r="AK95" s="72" t="str">
        <f t="shared" si="61"/>
        <v/>
      </c>
      <c r="AL95" s="72" t="str">
        <f t="shared" si="78"/>
        <v/>
      </c>
      <c r="AM95" s="39"/>
      <c r="AN95" s="72" t="str">
        <f t="shared" si="62"/>
        <v/>
      </c>
      <c r="AO95" s="72" t="str">
        <f t="shared" si="79"/>
        <v/>
      </c>
      <c r="AP95" s="39"/>
      <c r="AQ95" s="72" t="str">
        <f t="shared" si="63"/>
        <v/>
      </c>
      <c r="AR95" s="72" t="str">
        <f t="shared" si="80"/>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64"/>
        <v/>
      </c>
      <c r="AW95" s="72" t="str">
        <f t="shared" si="81"/>
        <v/>
      </c>
      <c r="AX95" s="39"/>
      <c r="AY95" s="40" t="str">
        <f>IF(ISERROR(IF($K95&lt;=$F$15,VLOOKUP($I95,'表4）CO2価格'!$A$7:$E$67,VLOOKUP($F$48,'表4）CO2価格'!$H$10:$I$12,2,0),0)*$F$8/1000,"")),0,IF($K95&lt;=$F$15,VLOOKUP($I95,'表4）CO2価格'!$A$7:$E$67,VLOOKUP($F$48,'表4）CO2価格'!$H$10:$I$12,2,0),0)*$F$8/1000,""))</f>
        <v/>
      </c>
      <c r="AZ95" s="39"/>
      <c r="BA95" s="42" t="str">
        <f t="shared" si="65"/>
        <v/>
      </c>
      <c r="BB95" s="72" t="str">
        <f t="shared" si="82"/>
        <v/>
      </c>
      <c r="BC95" s="39"/>
      <c r="BD95" s="72" t="str">
        <f t="shared" si="66"/>
        <v/>
      </c>
      <c r="BE95" s="72" t="str">
        <f t="shared" si="83"/>
        <v/>
      </c>
      <c r="BF95" s="39"/>
      <c r="BG95" s="42" t="str">
        <f t="shared" si="67"/>
        <v/>
      </c>
      <c r="BH95" s="72" t="str">
        <f t="shared" si="84"/>
        <v/>
      </c>
      <c r="BI95" s="39"/>
      <c r="BJ95" s="40" t="str">
        <f t="shared" si="85"/>
        <v/>
      </c>
      <c r="BK95" s="157" t="str">
        <f t="shared" si="86"/>
        <v/>
      </c>
      <c r="BL95" s="157" t="str">
        <f t="shared" si="68"/>
        <v/>
      </c>
      <c r="BM95" s="72"/>
      <c r="BN95" s="72" t="str">
        <f t="shared" si="87"/>
        <v/>
      </c>
      <c r="BO95" s="72" t="str">
        <f t="shared" si="88"/>
        <v/>
      </c>
      <c r="BP95" s="39"/>
      <c r="BQ95" s="72" t="str">
        <f t="shared" si="69"/>
        <v/>
      </c>
      <c r="BR95" s="72" t="str">
        <f t="shared" si="89"/>
        <v/>
      </c>
    </row>
    <row r="96" spans="4:70" ht="15" x14ac:dyDescent="0.15">
      <c r="D96" s="116"/>
      <c r="E96" s="81" t="s">
        <v>198</v>
      </c>
      <c r="F96" s="91">
        <f>IF(F3&lt;&gt;"原子力",AW116/$BR$116,0)</f>
        <v>14.775971940337497</v>
      </c>
      <c r="G96" s="81" t="s">
        <v>132</v>
      </c>
      <c r="I96" s="459">
        <f t="shared" si="90"/>
        <v>2101</v>
      </c>
      <c r="J96" s="71"/>
      <c r="K96" s="71">
        <f t="shared" si="91"/>
        <v>82</v>
      </c>
      <c r="L96" s="71"/>
      <c r="M96" s="7">
        <f t="shared" si="54"/>
        <v>8.8582426831197242E-2</v>
      </c>
      <c r="N96" s="71"/>
      <c r="O96" s="10" t="str">
        <f t="shared" si="70"/>
        <v/>
      </c>
      <c r="P96" s="29" t="str">
        <f t="shared" si="55"/>
        <v/>
      </c>
      <c r="Q96" s="71"/>
      <c r="R96" s="10" t="str">
        <f t="shared" si="71"/>
        <v/>
      </c>
      <c r="S96" s="71"/>
      <c r="T96" s="10" t="str">
        <f t="shared" si="72"/>
        <v/>
      </c>
      <c r="U96" s="71"/>
      <c r="V96" s="10" t="str">
        <f t="shared" si="56"/>
        <v/>
      </c>
      <c r="W96" s="10" t="str">
        <f t="shared" si="73"/>
        <v/>
      </c>
      <c r="X96" s="71"/>
      <c r="Y96" s="10" t="str">
        <f t="shared" si="57"/>
        <v/>
      </c>
      <c r="Z96" s="10" t="str">
        <f t="shared" si="74"/>
        <v/>
      </c>
      <c r="AA96" s="71"/>
      <c r="AB96" s="10" t="str">
        <f t="shared" si="58"/>
        <v/>
      </c>
      <c r="AC96" s="10" t="str">
        <f t="shared" si="75"/>
        <v/>
      </c>
      <c r="AD96" s="71"/>
      <c r="AE96" s="10" t="str">
        <f t="shared" si="59"/>
        <v/>
      </c>
      <c r="AF96" s="10" t="str">
        <f t="shared" si="76"/>
        <v/>
      </c>
      <c r="AG96" s="71"/>
      <c r="AH96" s="10" t="str">
        <f t="shared" si="60"/>
        <v/>
      </c>
      <c r="AI96" s="10" t="str">
        <f t="shared" si="77"/>
        <v/>
      </c>
      <c r="AJ96" s="71"/>
      <c r="AK96" s="10" t="str">
        <f t="shared" si="61"/>
        <v/>
      </c>
      <c r="AL96" s="10" t="str">
        <f t="shared" si="78"/>
        <v/>
      </c>
      <c r="AM96" s="71"/>
      <c r="AN96" s="10" t="str">
        <f t="shared" si="62"/>
        <v/>
      </c>
      <c r="AO96" s="10" t="str">
        <f t="shared" si="79"/>
        <v/>
      </c>
      <c r="AP96" s="71"/>
      <c r="AQ96" s="10" t="str">
        <f t="shared" si="63"/>
        <v/>
      </c>
      <c r="AR96" s="10" t="str">
        <f t="shared" si="80"/>
        <v/>
      </c>
      <c r="AS96" s="71"/>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U96" s="71"/>
      <c r="AV96" s="10" t="str">
        <f t="shared" si="64"/>
        <v/>
      </c>
      <c r="AW96" s="10" t="str">
        <f t="shared" si="81"/>
        <v/>
      </c>
      <c r="AX96" s="71"/>
      <c r="AY96" s="7" t="str">
        <f>IF(ISERROR(IF($K96&lt;=$F$15,VLOOKUP($I96,'表4）CO2価格'!$A$7:$E$67,VLOOKUP($F$48,'表4）CO2価格'!$H$10:$I$12,2,0),0)*$F$8/1000,"")),0,IF($K96&lt;=$F$15,VLOOKUP($I96,'表4）CO2価格'!$A$7:$E$67,VLOOKUP($F$48,'表4）CO2価格'!$H$10:$I$12,2,0),0)*$F$8/1000,""))</f>
        <v/>
      </c>
      <c r="AZ96" s="71"/>
      <c r="BA96" s="11" t="str">
        <f t="shared" si="65"/>
        <v/>
      </c>
      <c r="BB96" s="10" t="str">
        <f t="shared" si="82"/>
        <v/>
      </c>
      <c r="BC96" s="71"/>
      <c r="BD96" s="10" t="str">
        <f t="shared" si="66"/>
        <v/>
      </c>
      <c r="BE96" s="10" t="str">
        <f t="shared" si="83"/>
        <v/>
      </c>
      <c r="BF96" s="71"/>
      <c r="BG96" s="11" t="str">
        <f t="shared" si="67"/>
        <v/>
      </c>
      <c r="BH96" s="10" t="str">
        <f t="shared" si="84"/>
        <v/>
      </c>
      <c r="BJ96" s="7" t="str">
        <f t="shared" si="85"/>
        <v/>
      </c>
      <c r="BK96" s="158" t="str">
        <f t="shared" si="86"/>
        <v/>
      </c>
      <c r="BL96" s="158" t="str">
        <f t="shared" si="68"/>
        <v/>
      </c>
      <c r="BM96" s="10"/>
      <c r="BN96" s="10" t="str">
        <f t="shared" si="87"/>
        <v/>
      </c>
      <c r="BO96" s="10" t="str">
        <f t="shared" si="88"/>
        <v/>
      </c>
      <c r="BQ96" s="10" t="str">
        <f t="shared" si="69"/>
        <v/>
      </c>
      <c r="BR96" s="10" t="str">
        <f t="shared" si="89"/>
        <v/>
      </c>
    </row>
    <row r="97" spans="4:70" ht="15" x14ac:dyDescent="0.15">
      <c r="D97" s="116"/>
      <c r="E97" s="81" t="s">
        <v>199</v>
      </c>
      <c r="F97" s="91">
        <f>IF(F3="原子力",#REF!,0)</f>
        <v>0</v>
      </c>
      <c r="G97" s="81" t="s">
        <v>132</v>
      </c>
      <c r="I97" s="458">
        <f t="shared" si="90"/>
        <v>2102</v>
      </c>
      <c r="J97" s="39"/>
      <c r="K97" s="39">
        <f t="shared" si="91"/>
        <v>83</v>
      </c>
      <c r="L97" s="39"/>
      <c r="M97" s="40">
        <f t="shared" si="54"/>
        <v>8.6002356146793454E-2</v>
      </c>
      <c r="N97" s="39"/>
      <c r="O97" s="72" t="str">
        <f t="shared" si="70"/>
        <v/>
      </c>
      <c r="P97" s="41" t="str">
        <f t="shared" si="55"/>
        <v/>
      </c>
      <c r="Q97" s="39"/>
      <c r="R97" s="72" t="str">
        <f t="shared" si="71"/>
        <v/>
      </c>
      <c r="S97" s="39"/>
      <c r="T97" s="72" t="str">
        <f t="shared" si="72"/>
        <v/>
      </c>
      <c r="U97" s="39"/>
      <c r="V97" s="72" t="str">
        <f t="shared" si="56"/>
        <v/>
      </c>
      <c r="W97" s="72" t="str">
        <f t="shared" si="73"/>
        <v/>
      </c>
      <c r="X97" s="39"/>
      <c r="Y97" s="72" t="str">
        <f t="shared" si="57"/>
        <v/>
      </c>
      <c r="Z97" s="72" t="str">
        <f t="shared" si="74"/>
        <v/>
      </c>
      <c r="AA97" s="39"/>
      <c r="AB97" s="72" t="str">
        <f t="shared" si="58"/>
        <v/>
      </c>
      <c r="AC97" s="72" t="str">
        <f t="shared" si="75"/>
        <v/>
      </c>
      <c r="AD97" s="39"/>
      <c r="AE97" s="72" t="str">
        <f t="shared" si="59"/>
        <v/>
      </c>
      <c r="AF97" s="72" t="str">
        <f t="shared" si="76"/>
        <v/>
      </c>
      <c r="AG97" s="39"/>
      <c r="AH97" s="72" t="str">
        <f t="shared" si="60"/>
        <v/>
      </c>
      <c r="AI97" s="72" t="str">
        <f t="shared" si="77"/>
        <v/>
      </c>
      <c r="AJ97" s="39"/>
      <c r="AK97" s="72" t="str">
        <f t="shared" si="61"/>
        <v/>
      </c>
      <c r="AL97" s="72" t="str">
        <f t="shared" si="78"/>
        <v/>
      </c>
      <c r="AM97" s="39"/>
      <c r="AN97" s="72" t="str">
        <f t="shared" si="62"/>
        <v/>
      </c>
      <c r="AO97" s="72" t="str">
        <f t="shared" si="79"/>
        <v/>
      </c>
      <c r="AP97" s="39"/>
      <c r="AQ97" s="72" t="str">
        <f t="shared" si="63"/>
        <v/>
      </c>
      <c r="AR97" s="72" t="str">
        <f t="shared" si="80"/>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64"/>
        <v/>
      </c>
      <c r="AW97" s="72" t="str">
        <f t="shared" si="81"/>
        <v/>
      </c>
      <c r="AX97" s="39"/>
      <c r="AY97" s="40" t="str">
        <f>IF(ISERROR(IF($K97&lt;=$F$15,VLOOKUP($I97,'表4）CO2価格'!$A$7:$E$67,VLOOKUP($F$48,'表4）CO2価格'!$H$10:$I$12,2,0),0)*$F$8/1000,"")),0,IF($K97&lt;=$F$15,VLOOKUP($I97,'表4）CO2価格'!$A$7:$E$67,VLOOKUP($F$48,'表4）CO2価格'!$H$10:$I$12,2,0),0)*$F$8/1000,""))</f>
        <v/>
      </c>
      <c r="AZ97" s="39"/>
      <c r="BA97" s="42" t="str">
        <f t="shared" si="65"/>
        <v/>
      </c>
      <c r="BB97" s="72" t="str">
        <f t="shared" si="82"/>
        <v/>
      </c>
      <c r="BC97" s="39"/>
      <c r="BD97" s="72" t="str">
        <f t="shared" si="66"/>
        <v/>
      </c>
      <c r="BE97" s="72" t="str">
        <f t="shared" si="83"/>
        <v/>
      </c>
      <c r="BF97" s="39"/>
      <c r="BG97" s="42" t="str">
        <f t="shared" si="67"/>
        <v/>
      </c>
      <c r="BH97" s="72" t="str">
        <f t="shared" si="84"/>
        <v/>
      </c>
      <c r="BI97" s="39"/>
      <c r="BJ97" s="40" t="str">
        <f t="shared" si="85"/>
        <v/>
      </c>
      <c r="BK97" s="157" t="str">
        <f t="shared" si="86"/>
        <v/>
      </c>
      <c r="BL97" s="157" t="str">
        <f t="shared" si="68"/>
        <v/>
      </c>
      <c r="BM97" s="72"/>
      <c r="BN97" s="72" t="str">
        <f t="shared" si="87"/>
        <v/>
      </c>
      <c r="BO97" s="72" t="str">
        <f t="shared" si="88"/>
        <v/>
      </c>
      <c r="BP97" s="39"/>
      <c r="BQ97" s="72" t="str">
        <f t="shared" si="69"/>
        <v/>
      </c>
      <c r="BR97" s="72" t="str">
        <f t="shared" si="89"/>
        <v/>
      </c>
    </row>
    <row r="98" spans="4:70" x14ac:dyDescent="0.15">
      <c r="F98" s="93"/>
      <c r="I98" s="459">
        <f t="shared" si="90"/>
        <v>2103</v>
      </c>
      <c r="J98" s="71"/>
      <c r="K98" s="71">
        <f t="shared" si="91"/>
        <v>84</v>
      </c>
      <c r="L98" s="71"/>
      <c r="M98" s="7">
        <f t="shared" si="54"/>
        <v>8.3497433152226644E-2</v>
      </c>
      <c r="N98" s="71"/>
      <c r="O98" s="10" t="str">
        <f t="shared" si="70"/>
        <v/>
      </c>
      <c r="P98" s="29" t="str">
        <f t="shared" si="55"/>
        <v/>
      </c>
      <c r="Q98" s="71"/>
      <c r="R98" s="10" t="str">
        <f t="shared" si="71"/>
        <v/>
      </c>
      <c r="S98" s="71"/>
      <c r="T98" s="10" t="str">
        <f t="shared" si="72"/>
        <v/>
      </c>
      <c r="U98" s="71"/>
      <c r="V98" s="10" t="str">
        <f t="shared" si="56"/>
        <v/>
      </c>
      <c r="W98" s="10" t="str">
        <f t="shared" si="73"/>
        <v/>
      </c>
      <c r="X98" s="71"/>
      <c r="Y98" s="10" t="str">
        <f t="shared" si="57"/>
        <v/>
      </c>
      <c r="Z98" s="10" t="str">
        <f t="shared" si="74"/>
        <v/>
      </c>
      <c r="AA98" s="71"/>
      <c r="AB98" s="10" t="str">
        <f t="shared" si="58"/>
        <v/>
      </c>
      <c r="AC98" s="10" t="str">
        <f t="shared" si="75"/>
        <v/>
      </c>
      <c r="AD98" s="71"/>
      <c r="AE98" s="10" t="str">
        <f t="shared" si="59"/>
        <v/>
      </c>
      <c r="AF98" s="10" t="str">
        <f t="shared" si="76"/>
        <v/>
      </c>
      <c r="AG98" s="71"/>
      <c r="AH98" s="10" t="str">
        <f t="shared" si="60"/>
        <v/>
      </c>
      <c r="AI98" s="10" t="str">
        <f t="shared" si="77"/>
        <v/>
      </c>
      <c r="AJ98" s="71"/>
      <c r="AK98" s="10" t="str">
        <f t="shared" si="61"/>
        <v/>
      </c>
      <c r="AL98" s="10" t="str">
        <f t="shared" si="78"/>
        <v/>
      </c>
      <c r="AM98" s="71"/>
      <c r="AN98" s="10" t="str">
        <f t="shared" si="62"/>
        <v/>
      </c>
      <c r="AO98" s="10" t="str">
        <f t="shared" si="79"/>
        <v/>
      </c>
      <c r="AP98" s="71"/>
      <c r="AQ98" s="10" t="str">
        <f t="shared" si="63"/>
        <v/>
      </c>
      <c r="AR98" s="10" t="str">
        <f t="shared" si="80"/>
        <v/>
      </c>
      <c r="AS98" s="71"/>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U98" s="71"/>
      <c r="AV98" s="10" t="str">
        <f t="shared" si="64"/>
        <v/>
      </c>
      <c r="AW98" s="10" t="str">
        <f t="shared" si="81"/>
        <v/>
      </c>
      <c r="AX98" s="71"/>
      <c r="AY98" s="7" t="str">
        <f>IF(ISERROR(IF($K98&lt;=$F$15,VLOOKUP($I98,'表4）CO2価格'!$A$7:$E$67,VLOOKUP($F$48,'表4）CO2価格'!$H$10:$I$12,2,0),0)*$F$8/1000,"")),0,IF($K98&lt;=$F$15,VLOOKUP($I98,'表4）CO2価格'!$A$7:$E$67,VLOOKUP($F$48,'表4）CO2価格'!$H$10:$I$12,2,0),0)*$F$8/1000,""))</f>
        <v/>
      </c>
      <c r="AZ98" s="71"/>
      <c r="BA98" s="11" t="str">
        <f t="shared" si="65"/>
        <v/>
      </c>
      <c r="BB98" s="10" t="str">
        <f t="shared" si="82"/>
        <v/>
      </c>
      <c r="BC98" s="71"/>
      <c r="BD98" s="10" t="str">
        <f t="shared" si="66"/>
        <v/>
      </c>
      <c r="BE98" s="10" t="str">
        <f t="shared" si="83"/>
        <v/>
      </c>
      <c r="BF98" s="71"/>
      <c r="BG98" s="11" t="str">
        <f t="shared" si="67"/>
        <v/>
      </c>
      <c r="BH98" s="10" t="str">
        <f t="shared" si="84"/>
        <v/>
      </c>
      <c r="BJ98" s="7" t="str">
        <f t="shared" si="85"/>
        <v/>
      </c>
      <c r="BK98" s="158" t="str">
        <f t="shared" si="86"/>
        <v/>
      </c>
      <c r="BL98" s="158" t="str">
        <f t="shared" si="68"/>
        <v/>
      </c>
      <c r="BM98" s="10"/>
      <c r="BN98" s="10" t="str">
        <f t="shared" si="87"/>
        <v/>
      </c>
      <c r="BO98" s="10" t="str">
        <f t="shared" si="88"/>
        <v/>
      </c>
      <c r="BQ98" s="10" t="str">
        <f t="shared" si="69"/>
        <v/>
      </c>
      <c r="BR98" s="10" t="str">
        <f t="shared" si="89"/>
        <v/>
      </c>
    </row>
    <row r="99" spans="4:70" ht="15" x14ac:dyDescent="0.15">
      <c r="D99" s="116" t="s">
        <v>200</v>
      </c>
      <c r="F99" s="94">
        <f>SUBTOTAL(9,F103:F105)</f>
        <v>3.7057786326963278</v>
      </c>
      <c r="G99" s="81" t="s">
        <v>132</v>
      </c>
      <c r="I99" s="458">
        <f t="shared" si="90"/>
        <v>2104</v>
      </c>
      <c r="J99" s="39"/>
      <c r="K99" s="39">
        <f t="shared" si="91"/>
        <v>85</v>
      </c>
      <c r="L99" s="39"/>
      <c r="M99" s="40">
        <f t="shared" si="54"/>
        <v>8.1065469079831712E-2</v>
      </c>
      <c r="N99" s="39"/>
      <c r="O99" s="72" t="str">
        <f t="shared" si="70"/>
        <v/>
      </c>
      <c r="P99" s="41" t="str">
        <f t="shared" si="55"/>
        <v/>
      </c>
      <c r="Q99" s="39"/>
      <c r="R99" s="72" t="str">
        <f t="shared" si="71"/>
        <v/>
      </c>
      <c r="S99" s="39"/>
      <c r="T99" s="72" t="str">
        <f t="shared" si="72"/>
        <v/>
      </c>
      <c r="U99" s="39"/>
      <c r="V99" s="72" t="str">
        <f t="shared" si="56"/>
        <v/>
      </c>
      <c r="W99" s="72" t="str">
        <f t="shared" si="73"/>
        <v/>
      </c>
      <c r="X99" s="39"/>
      <c r="Y99" s="72" t="str">
        <f t="shared" si="57"/>
        <v/>
      </c>
      <c r="Z99" s="72" t="str">
        <f t="shared" si="74"/>
        <v/>
      </c>
      <c r="AA99" s="39"/>
      <c r="AB99" s="72" t="str">
        <f t="shared" si="58"/>
        <v/>
      </c>
      <c r="AC99" s="72" t="str">
        <f t="shared" si="75"/>
        <v/>
      </c>
      <c r="AD99" s="39"/>
      <c r="AE99" s="72" t="str">
        <f t="shared" si="59"/>
        <v/>
      </c>
      <c r="AF99" s="72" t="str">
        <f t="shared" si="76"/>
        <v/>
      </c>
      <c r="AG99" s="39"/>
      <c r="AH99" s="72" t="str">
        <f t="shared" si="60"/>
        <v/>
      </c>
      <c r="AI99" s="72" t="str">
        <f t="shared" si="77"/>
        <v/>
      </c>
      <c r="AJ99" s="39"/>
      <c r="AK99" s="72" t="str">
        <f t="shared" si="61"/>
        <v/>
      </c>
      <c r="AL99" s="72" t="str">
        <f t="shared" si="78"/>
        <v/>
      </c>
      <c r="AM99" s="39"/>
      <c r="AN99" s="72" t="str">
        <f t="shared" si="62"/>
        <v/>
      </c>
      <c r="AO99" s="72" t="str">
        <f t="shared" si="79"/>
        <v/>
      </c>
      <c r="AP99" s="39"/>
      <c r="AQ99" s="72" t="str">
        <f t="shared" si="63"/>
        <v/>
      </c>
      <c r="AR99" s="72" t="str">
        <f t="shared" si="80"/>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64"/>
        <v/>
      </c>
      <c r="AW99" s="72" t="str">
        <f t="shared" si="81"/>
        <v/>
      </c>
      <c r="AX99" s="39"/>
      <c r="AY99" s="40" t="str">
        <f>IF(ISERROR(IF($K99&lt;=$F$15,VLOOKUP($I99,'表4）CO2価格'!$A$7:$E$67,VLOOKUP($F$48,'表4）CO2価格'!$H$10:$I$12,2,0),0)*$F$8/1000,"")),0,IF($K99&lt;=$F$15,VLOOKUP($I99,'表4）CO2価格'!$A$7:$E$67,VLOOKUP($F$48,'表4）CO2価格'!$H$10:$I$12,2,0),0)*$F$8/1000,""))</f>
        <v/>
      </c>
      <c r="AZ99" s="39"/>
      <c r="BA99" s="42" t="str">
        <f t="shared" si="65"/>
        <v/>
      </c>
      <c r="BB99" s="72" t="str">
        <f t="shared" si="82"/>
        <v/>
      </c>
      <c r="BC99" s="39"/>
      <c r="BD99" s="72" t="str">
        <f t="shared" si="66"/>
        <v/>
      </c>
      <c r="BE99" s="72" t="str">
        <f t="shared" si="83"/>
        <v/>
      </c>
      <c r="BF99" s="39"/>
      <c r="BG99" s="42" t="str">
        <f t="shared" si="67"/>
        <v/>
      </c>
      <c r="BH99" s="72" t="str">
        <f t="shared" si="84"/>
        <v/>
      </c>
      <c r="BI99" s="39"/>
      <c r="BJ99" s="40" t="str">
        <f t="shared" si="85"/>
        <v/>
      </c>
      <c r="BK99" s="157" t="str">
        <f t="shared" si="86"/>
        <v/>
      </c>
      <c r="BL99" s="157" t="str">
        <f t="shared" si="68"/>
        <v/>
      </c>
      <c r="BM99" s="72"/>
      <c r="BN99" s="72" t="str">
        <f t="shared" si="87"/>
        <v/>
      </c>
      <c r="BO99" s="72" t="str">
        <f t="shared" si="88"/>
        <v/>
      </c>
      <c r="BP99" s="39"/>
      <c r="BQ99" s="72" t="str">
        <f t="shared" si="69"/>
        <v/>
      </c>
      <c r="BR99" s="72" t="str">
        <f t="shared" si="89"/>
        <v/>
      </c>
    </row>
    <row r="100" spans="4:70" x14ac:dyDescent="0.15">
      <c r="F100" s="93"/>
      <c r="I100" s="459">
        <f t="shared" si="90"/>
        <v>2105</v>
      </c>
      <c r="J100" s="71"/>
      <c r="K100" s="71">
        <f t="shared" si="91"/>
        <v>86</v>
      </c>
      <c r="L100" s="71"/>
      <c r="M100" s="7">
        <f t="shared" si="54"/>
        <v>7.8704338912457969E-2</v>
      </c>
      <c r="N100" s="71"/>
      <c r="O100" s="10" t="str">
        <f t="shared" si="70"/>
        <v/>
      </c>
      <c r="P100" s="29" t="str">
        <f t="shared" si="55"/>
        <v/>
      </c>
      <c r="Q100" s="71"/>
      <c r="R100" s="10" t="str">
        <f t="shared" si="71"/>
        <v/>
      </c>
      <c r="S100" s="71"/>
      <c r="T100" s="10" t="str">
        <f t="shared" si="72"/>
        <v/>
      </c>
      <c r="U100" s="71"/>
      <c r="V100" s="10" t="str">
        <f t="shared" si="56"/>
        <v/>
      </c>
      <c r="W100" s="10" t="str">
        <f t="shared" si="73"/>
        <v/>
      </c>
      <c r="X100" s="71"/>
      <c r="Y100" s="10" t="str">
        <f t="shared" si="57"/>
        <v/>
      </c>
      <c r="Z100" s="10" t="str">
        <f t="shared" si="74"/>
        <v/>
      </c>
      <c r="AA100" s="71"/>
      <c r="AB100" s="10" t="str">
        <f t="shared" si="58"/>
        <v/>
      </c>
      <c r="AC100" s="10" t="str">
        <f t="shared" si="75"/>
        <v/>
      </c>
      <c r="AD100" s="71"/>
      <c r="AE100" s="10" t="str">
        <f t="shared" si="59"/>
        <v/>
      </c>
      <c r="AF100" s="10" t="str">
        <f t="shared" si="76"/>
        <v/>
      </c>
      <c r="AG100" s="71"/>
      <c r="AH100" s="10" t="str">
        <f t="shared" si="60"/>
        <v/>
      </c>
      <c r="AI100" s="10" t="str">
        <f t="shared" si="77"/>
        <v/>
      </c>
      <c r="AJ100" s="71"/>
      <c r="AK100" s="10" t="str">
        <f t="shared" si="61"/>
        <v/>
      </c>
      <c r="AL100" s="10" t="str">
        <f t="shared" si="78"/>
        <v/>
      </c>
      <c r="AM100" s="71"/>
      <c r="AN100" s="10" t="str">
        <f t="shared" si="62"/>
        <v/>
      </c>
      <c r="AO100" s="10" t="str">
        <f t="shared" si="79"/>
        <v/>
      </c>
      <c r="AP100" s="71"/>
      <c r="AQ100" s="10" t="str">
        <f t="shared" si="63"/>
        <v/>
      </c>
      <c r="AR100" s="10" t="str">
        <f t="shared" si="80"/>
        <v/>
      </c>
      <c r="AS100" s="71"/>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U100" s="71"/>
      <c r="AV100" s="10" t="str">
        <f t="shared" si="64"/>
        <v/>
      </c>
      <c r="AW100" s="10" t="str">
        <f t="shared" si="81"/>
        <v/>
      </c>
      <c r="AX100" s="71"/>
      <c r="AY100" s="7" t="str">
        <f>IF(ISERROR(IF($K100&lt;=$F$15,VLOOKUP($I100,'表4）CO2価格'!$A$7:$E$67,VLOOKUP($F$48,'表4）CO2価格'!$H$10:$I$12,2,0),0)*$F$8/1000,"")),0,IF($K100&lt;=$F$15,VLOOKUP($I100,'表4）CO2価格'!$A$7:$E$67,VLOOKUP($F$48,'表4）CO2価格'!$H$10:$I$12,2,0),0)*$F$8/1000,""))</f>
        <v/>
      </c>
      <c r="AZ100" s="71"/>
      <c r="BA100" s="11" t="str">
        <f t="shared" si="65"/>
        <v/>
      </c>
      <c r="BB100" s="10" t="str">
        <f t="shared" si="82"/>
        <v/>
      </c>
      <c r="BC100" s="71"/>
      <c r="BD100" s="10" t="str">
        <f t="shared" si="66"/>
        <v/>
      </c>
      <c r="BE100" s="10" t="str">
        <f t="shared" si="83"/>
        <v/>
      </c>
      <c r="BF100" s="71"/>
      <c r="BG100" s="11" t="str">
        <f t="shared" si="67"/>
        <v/>
      </c>
      <c r="BH100" s="10" t="str">
        <f t="shared" si="84"/>
        <v/>
      </c>
      <c r="BJ100" s="7" t="str">
        <f t="shared" si="85"/>
        <v/>
      </c>
      <c r="BK100" s="158" t="str">
        <f t="shared" si="86"/>
        <v/>
      </c>
      <c r="BL100" s="158" t="str">
        <f t="shared" si="68"/>
        <v/>
      </c>
      <c r="BM100" s="10"/>
      <c r="BN100" s="10" t="str">
        <f t="shared" si="87"/>
        <v/>
      </c>
      <c r="BO100" s="10" t="str">
        <f t="shared" si="88"/>
        <v/>
      </c>
      <c r="BQ100" s="10" t="str">
        <f t="shared" si="69"/>
        <v/>
      </c>
      <c r="BR100" s="10" t="str">
        <f t="shared" si="89"/>
        <v/>
      </c>
    </row>
    <row r="101" spans="4:70" x14ac:dyDescent="0.15">
      <c r="D101" s="101" t="s">
        <v>201</v>
      </c>
      <c r="E101" s="101"/>
      <c r="F101" s="92"/>
      <c r="G101" s="101"/>
      <c r="I101" s="458">
        <f t="shared" si="90"/>
        <v>2106</v>
      </c>
      <c r="J101" s="39"/>
      <c r="K101" s="39">
        <f t="shared" si="91"/>
        <v>87</v>
      </c>
      <c r="L101" s="39"/>
      <c r="M101" s="40">
        <f t="shared" si="54"/>
        <v>7.6411979526658208E-2</v>
      </c>
      <c r="N101" s="39"/>
      <c r="O101" s="72" t="str">
        <f t="shared" si="70"/>
        <v/>
      </c>
      <c r="P101" s="41" t="str">
        <f t="shared" si="55"/>
        <v/>
      </c>
      <c r="Q101" s="39"/>
      <c r="R101" s="72" t="str">
        <f t="shared" si="71"/>
        <v/>
      </c>
      <c r="S101" s="39"/>
      <c r="T101" s="72" t="str">
        <f t="shared" si="72"/>
        <v/>
      </c>
      <c r="U101" s="39"/>
      <c r="V101" s="72" t="str">
        <f t="shared" si="56"/>
        <v/>
      </c>
      <c r="W101" s="72" t="str">
        <f t="shared" si="73"/>
        <v/>
      </c>
      <c r="X101" s="39"/>
      <c r="Y101" s="72" t="str">
        <f t="shared" si="57"/>
        <v/>
      </c>
      <c r="Z101" s="72" t="str">
        <f t="shared" si="74"/>
        <v/>
      </c>
      <c r="AA101" s="39"/>
      <c r="AB101" s="72" t="str">
        <f t="shared" si="58"/>
        <v/>
      </c>
      <c r="AC101" s="72" t="str">
        <f t="shared" si="75"/>
        <v/>
      </c>
      <c r="AD101" s="39"/>
      <c r="AE101" s="72" t="str">
        <f t="shared" si="59"/>
        <v/>
      </c>
      <c r="AF101" s="72" t="str">
        <f t="shared" si="76"/>
        <v/>
      </c>
      <c r="AG101" s="39"/>
      <c r="AH101" s="72" t="str">
        <f t="shared" si="60"/>
        <v/>
      </c>
      <c r="AI101" s="72" t="str">
        <f t="shared" si="77"/>
        <v/>
      </c>
      <c r="AJ101" s="39"/>
      <c r="AK101" s="72" t="str">
        <f t="shared" si="61"/>
        <v/>
      </c>
      <c r="AL101" s="72" t="str">
        <f t="shared" si="78"/>
        <v/>
      </c>
      <c r="AM101" s="39"/>
      <c r="AN101" s="72" t="str">
        <f t="shared" si="62"/>
        <v/>
      </c>
      <c r="AO101" s="72" t="str">
        <f t="shared" si="79"/>
        <v/>
      </c>
      <c r="AP101" s="39"/>
      <c r="AQ101" s="72" t="str">
        <f t="shared" si="63"/>
        <v/>
      </c>
      <c r="AR101" s="72" t="str">
        <f t="shared" si="80"/>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64"/>
        <v/>
      </c>
      <c r="AW101" s="72" t="str">
        <f t="shared" si="81"/>
        <v/>
      </c>
      <c r="AX101" s="39"/>
      <c r="AY101" s="40" t="str">
        <f>IF(ISERROR(IF($K101&lt;=$F$15,VLOOKUP($I101,'表4）CO2価格'!$A$7:$E$67,VLOOKUP($F$48,'表4）CO2価格'!$H$10:$I$12,2,0),0)*$F$8/1000,"")),0,IF($K101&lt;=$F$15,VLOOKUP($I101,'表4）CO2価格'!$A$7:$E$67,VLOOKUP($F$48,'表4）CO2価格'!$H$10:$I$12,2,0),0)*$F$8/1000,""))</f>
        <v/>
      </c>
      <c r="AZ101" s="39"/>
      <c r="BA101" s="42" t="str">
        <f t="shared" si="65"/>
        <v/>
      </c>
      <c r="BB101" s="72" t="str">
        <f t="shared" si="82"/>
        <v/>
      </c>
      <c r="BC101" s="39"/>
      <c r="BD101" s="72" t="str">
        <f t="shared" si="66"/>
        <v/>
      </c>
      <c r="BE101" s="72" t="str">
        <f t="shared" si="83"/>
        <v/>
      </c>
      <c r="BF101" s="39"/>
      <c r="BG101" s="42" t="str">
        <f t="shared" si="67"/>
        <v/>
      </c>
      <c r="BH101" s="72" t="str">
        <f t="shared" si="84"/>
        <v/>
      </c>
      <c r="BI101" s="39"/>
      <c r="BJ101" s="40" t="str">
        <f t="shared" si="85"/>
        <v/>
      </c>
      <c r="BK101" s="157" t="str">
        <f t="shared" si="86"/>
        <v/>
      </c>
      <c r="BL101" s="157" t="str">
        <f t="shared" si="68"/>
        <v/>
      </c>
      <c r="BM101" s="72"/>
      <c r="BN101" s="72" t="str">
        <f t="shared" si="87"/>
        <v/>
      </c>
      <c r="BO101" s="72" t="str">
        <f t="shared" si="88"/>
        <v/>
      </c>
      <c r="BP101" s="39"/>
      <c r="BQ101" s="72" t="str">
        <f t="shared" si="69"/>
        <v/>
      </c>
      <c r="BR101" s="72" t="str">
        <f t="shared" si="89"/>
        <v/>
      </c>
    </row>
    <row r="102" spans="4:70" x14ac:dyDescent="0.15">
      <c r="F102" s="93"/>
      <c r="I102" s="459">
        <f t="shared" si="90"/>
        <v>2107</v>
      </c>
      <c r="J102" s="71"/>
      <c r="K102" s="71">
        <f t="shared" si="91"/>
        <v>88</v>
      </c>
      <c r="L102" s="71"/>
      <c r="M102" s="7">
        <f t="shared" si="54"/>
        <v>7.4186387889959446E-2</v>
      </c>
      <c r="N102" s="71"/>
      <c r="O102" s="10" t="str">
        <f t="shared" si="70"/>
        <v/>
      </c>
      <c r="P102" s="29" t="str">
        <f t="shared" si="55"/>
        <v/>
      </c>
      <c r="Q102" s="71"/>
      <c r="R102" s="10" t="str">
        <f t="shared" si="71"/>
        <v/>
      </c>
      <c r="S102" s="71"/>
      <c r="T102" s="10" t="str">
        <f t="shared" si="72"/>
        <v/>
      </c>
      <c r="U102" s="71"/>
      <c r="V102" s="10" t="str">
        <f t="shared" si="56"/>
        <v/>
      </c>
      <c r="W102" s="10" t="str">
        <f t="shared" si="73"/>
        <v/>
      </c>
      <c r="X102" s="71"/>
      <c r="Y102" s="10" t="str">
        <f t="shared" si="57"/>
        <v/>
      </c>
      <c r="Z102" s="10" t="str">
        <f t="shared" si="74"/>
        <v/>
      </c>
      <c r="AA102" s="71"/>
      <c r="AB102" s="10" t="str">
        <f t="shared" si="58"/>
        <v/>
      </c>
      <c r="AC102" s="10" t="str">
        <f t="shared" si="75"/>
        <v/>
      </c>
      <c r="AD102" s="71"/>
      <c r="AE102" s="10" t="str">
        <f t="shared" si="59"/>
        <v/>
      </c>
      <c r="AF102" s="10" t="str">
        <f t="shared" si="76"/>
        <v/>
      </c>
      <c r="AG102" s="71"/>
      <c r="AH102" s="10" t="str">
        <f t="shared" si="60"/>
        <v/>
      </c>
      <c r="AI102" s="10" t="str">
        <f t="shared" si="77"/>
        <v/>
      </c>
      <c r="AJ102" s="71"/>
      <c r="AK102" s="10" t="str">
        <f t="shared" si="61"/>
        <v/>
      </c>
      <c r="AL102" s="10" t="str">
        <f t="shared" si="78"/>
        <v/>
      </c>
      <c r="AM102" s="71"/>
      <c r="AN102" s="10" t="str">
        <f t="shared" si="62"/>
        <v/>
      </c>
      <c r="AO102" s="10" t="str">
        <f t="shared" si="79"/>
        <v/>
      </c>
      <c r="AP102" s="71"/>
      <c r="AQ102" s="10" t="str">
        <f t="shared" si="63"/>
        <v/>
      </c>
      <c r="AR102" s="10" t="str">
        <f t="shared" si="80"/>
        <v/>
      </c>
      <c r="AS102" s="71"/>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U102" s="71"/>
      <c r="AV102" s="10" t="str">
        <f t="shared" si="64"/>
        <v/>
      </c>
      <c r="AW102" s="10" t="str">
        <f t="shared" si="81"/>
        <v/>
      </c>
      <c r="AX102" s="71"/>
      <c r="AY102" s="7" t="str">
        <f>IF(ISERROR(IF($K102&lt;=$F$15,VLOOKUP($I102,'表4）CO2価格'!$A$7:$E$67,VLOOKUP($F$48,'表4）CO2価格'!$H$10:$I$12,2,0),0)*$F$8/1000,"")),0,IF($K102&lt;=$F$15,VLOOKUP($I102,'表4）CO2価格'!$A$7:$E$67,VLOOKUP($F$48,'表4）CO2価格'!$H$10:$I$12,2,0),0)*$F$8/1000,""))</f>
        <v/>
      </c>
      <c r="AZ102" s="71"/>
      <c r="BA102" s="11" t="str">
        <f t="shared" si="65"/>
        <v/>
      </c>
      <c r="BB102" s="10" t="str">
        <f t="shared" si="82"/>
        <v/>
      </c>
      <c r="BC102" s="71"/>
      <c r="BD102" s="10" t="str">
        <f t="shared" si="66"/>
        <v/>
      </c>
      <c r="BE102" s="10" t="str">
        <f t="shared" si="83"/>
        <v/>
      </c>
      <c r="BF102" s="71"/>
      <c r="BG102" s="11" t="str">
        <f t="shared" si="67"/>
        <v/>
      </c>
      <c r="BH102" s="10" t="str">
        <f t="shared" si="84"/>
        <v/>
      </c>
      <c r="BJ102" s="7" t="str">
        <f t="shared" si="85"/>
        <v/>
      </c>
      <c r="BK102" s="158" t="str">
        <f t="shared" si="86"/>
        <v/>
      </c>
      <c r="BL102" s="158" t="str">
        <f t="shared" si="68"/>
        <v/>
      </c>
      <c r="BM102" s="10"/>
      <c r="BN102" s="10" t="str">
        <f t="shared" si="87"/>
        <v/>
      </c>
      <c r="BO102" s="10" t="str">
        <f t="shared" si="88"/>
        <v/>
      </c>
      <c r="BQ102" s="10" t="str">
        <f t="shared" si="69"/>
        <v/>
      </c>
      <c r="BR102" s="10" t="str">
        <f t="shared" si="89"/>
        <v/>
      </c>
    </row>
    <row r="103" spans="4:70" x14ac:dyDescent="0.15">
      <c r="E103" s="81" t="s">
        <v>202</v>
      </c>
      <c r="F103" s="91">
        <f>BB116/$BR$116</f>
        <v>3.5435686157370925</v>
      </c>
      <c r="G103" s="81" t="s">
        <v>132</v>
      </c>
      <c r="I103" s="458">
        <f t="shared" si="90"/>
        <v>2108</v>
      </c>
      <c r="J103" s="39"/>
      <c r="K103" s="39">
        <f t="shared" si="91"/>
        <v>89</v>
      </c>
      <c r="L103" s="39"/>
      <c r="M103" s="40">
        <f t="shared" si="54"/>
        <v>7.2025619310640235E-2</v>
      </c>
      <c r="N103" s="39"/>
      <c r="O103" s="72" t="str">
        <f t="shared" si="70"/>
        <v/>
      </c>
      <c r="P103" s="41" t="str">
        <f t="shared" si="55"/>
        <v/>
      </c>
      <c r="Q103" s="39"/>
      <c r="R103" s="72" t="str">
        <f t="shared" si="71"/>
        <v/>
      </c>
      <c r="S103" s="39"/>
      <c r="T103" s="72" t="str">
        <f t="shared" si="72"/>
        <v/>
      </c>
      <c r="U103" s="39"/>
      <c r="V103" s="72" t="str">
        <f t="shared" si="56"/>
        <v/>
      </c>
      <c r="W103" s="72" t="str">
        <f t="shared" si="73"/>
        <v/>
      </c>
      <c r="X103" s="39"/>
      <c r="Y103" s="72" t="str">
        <f t="shared" si="57"/>
        <v/>
      </c>
      <c r="Z103" s="72" t="str">
        <f t="shared" si="74"/>
        <v/>
      </c>
      <c r="AA103" s="39"/>
      <c r="AB103" s="72" t="str">
        <f t="shared" si="58"/>
        <v/>
      </c>
      <c r="AC103" s="72" t="str">
        <f t="shared" si="75"/>
        <v/>
      </c>
      <c r="AD103" s="39"/>
      <c r="AE103" s="72" t="str">
        <f t="shared" si="59"/>
        <v/>
      </c>
      <c r="AF103" s="72" t="str">
        <f t="shared" si="76"/>
        <v/>
      </c>
      <c r="AG103" s="39"/>
      <c r="AH103" s="72" t="str">
        <f t="shared" si="60"/>
        <v/>
      </c>
      <c r="AI103" s="72" t="str">
        <f t="shared" si="77"/>
        <v/>
      </c>
      <c r="AJ103" s="39"/>
      <c r="AK103" s="72" t="str">
        <f t="shared" si="61"/>
        <v/>
      </c>
      <c r="AL103" s="72" t="str">
        <f t="shared" si="78"/>
        <v/>
      </c>
      <c r="AM103" s="39"/>
      <c r="AN103" s="72" t="str">
        <f t="shared" si="62"/>
        <v/>
      </c>
      <c r="AO103" s="72" t="str">
        <f t="shared" si="79"/>
        <v/>
      </c>
      <c r="AP103" s="39"/>
      <c r="AQ103" s="72" t="str">
        <f t="shared" si="63"/>
        <v/>
      </c>
      <c r="AR103" s="72" t="str">
        <f t="shared" si="80"/>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64"/>
        <v/>
      </c>
      <c r="AW103" s="72" t="str">
        <f t="shared" si="81"/>
        <v/>
      </c>
      <c r="AX103" s="39"/>
      <c r="AY103" s="40" t="str">
        <f>IF(ISERROR(IF($K103&lt;=$F$15,VLOOKUP($I103,'表4）CO2価格'!$A$7:$E$67,VLOOKUP($F$48,'表4）CO2価格'!$H$10:$I$12,2,0),0)*$F$8/1000,"")),0,IF($K103&lt;=$F$15,VLOOKUP($I103,'表4）CO2価格'!$A$7:$E$67,VLOOKUP($F$48,'表4）CO2価格'!$H$10:$I$12,2,0),0)*$F$8/1000,""))</f>
        <v/>
      </c>
      <c r="AZ103" s="39"/>
      <c r="BA103" s="42" t="str">
        <f t="shared" si="65"/>
        <v/>
      </c>
      <c r="BB103" s="72" t="str">
        <f t="shared" si="82"/>
        <v/>
      </c>
      <c r="BC103" s="39"/>
      <c r="BD103" s="72" t="str">
        <f t="shared" si="66"/>
        <v/>
      </c>
      <c r="BE103" s="72" t="str">
        <f t="shared" si="83"/>
        <v/>
      </c>
      <c r="BF103" s="39"/>
      <c r="BG103" s="42" t="str">
        <f t="shared" si="67"/>
        <v/>
      </c>
      <c r="BH103" s="72" t="str">
        <f t="shared" si="84"/>
        <v/>
      </c>
      <c r="BI103" s="39"/>
      <c r="BJ103" s="40" t="str">
        <f t="shared" si="85"/>
        <v/>
      </c>
      <c r="BK103" s="157" t="str">
        <f t="shared" si="86"/>
        <v/>
      </c>
      <c r="BL103" s="157" t="str">
        <f t="shared" si="68"/>
        <v/>
      </c>
      <c r="BM103" s="72"/>
      <c r="BN103" s="72" t="str">
        <f t="shared" si="87"/>
        <v/>
      </c>
      <c r="BO103" s="72" t="str">
        <f t="shared" si="88"/>
        <v/>
      </c>
      <c r="BP103" s="39"/>
      <c r="BQ103" s="72" t="str">
        <f t="shared" si="69"/>
        <v/>
      </c>
      <c r="BR103" s="72" t="str">
        <f t="shared" si="89"/>
        <v/>
      </c>
    </row>
    <row r="104" spans="4:70" x14ac:dyDescent="0.15">
      <c r="E104" s="81" t="s">
        <v>203</v>
      </c>
      <c r="F104" s="91">
        <f>IF(ISERROR(F60*(1/F61)/F62),0,F60*(1/F61)/F62)</f>
        <v>0</v>
      </c>
      <c r="G104" s="81" t="s">
        <v>132</v>
      </c>
      <c r="I104" s="459">
        <f t="shared" si="90"/>
        <v>2109</v>
      </c>
      <c r="J104" s="71"/>
      <c r="K104" s="71">
        <f t="shared" si="91"/>
        <v>90</v>
      </c>
      <c r="L104" s="71"/>
      <c r="M104" s="7">
        <f t="shared" si="54"/>
        <v>6.9927785738485654E-2</v>
      </c>
      <c r="N104" s="71"/>
      <c r="O104" s="10" t="str">
        <f t="shared" si="70"/>
        <v/>
      </c>
      <c r="P104" s="29" t="str">
        <f t="shared" si="55"/>
        <v/>
      </c>
      <c r="Q104" s="71"/>
      <c r="R104" s="10" t="str">
        <f t="shared" si="71"/>
        <v/>
      </c>
      <c r="S104" s="71"/>
      <c r="T104" s="10" t="str">
        <f t="shared" si="72"/>
        <v/>
      </c>
      <c r="U104" s="71"/>
      <c r="V104" s="10" t="str">
        <f t="shared" si="56"/>
        <v/>
      </c>
      <c r="W104" s="10" t="str">
        <f t="shared" si="73"/>
        <v/>
      </c>
      <c r="X104" s="71"/>
      <c r="Y104" s="10" t="str">
        <f t="shared" si="57"/>
        <v/>
      </c>
      <c r="Z104" s="10" t="str">
        <f t="shared" si="74"/>
        <v/>
      </c>
      <c r="AA104" s="71"/>
      <c r="AB104" s="10" t="str">
        <f t="shared" si="58"/>
        <v/>
      </c>
      <c r="AC104" s="10" t="str">
        <f t="shared" si="75"/>
        <v/>
      </c>
      <c r="AD104" s="71"/>
      <c r="AE104" s="10" t="str">
        <f t="shared" si="59"/>
        <v/>
      </c>
      <c r="AF104" s="10" t="str">
        <f t="shared" si="76"/>
        <v/>
      </c>
      <c r="AG104" s="71"/>
      <c r="AH104" s="10" t="str">
        <f t="shared" si="60"/>
        <v/>
      </c>
      <c r="AI104" s="10" t="str">
        <f t="shared" si="77"/>
        <v/>
      </c>
      <c r="AJ104" s="71"/>
      <c r="AK104" s="10" t="str">
        <f t="shared" si="61"/>
        <v/>
      </c>
      <c r="AL104" s="10" t="str">
        <f t="shared" si="78"/>
        <v/>
      </c>
      <c r="AM104" s="71"/>
      <c r="AN104" s="10" t="str">
        <f t="shared" si="62"/>
        <v/>
      </c>
      <c r="AO104" s="10" t="str">
        <f t="shared" si="79"/>
        <v/>
      </c>
      <c r="AP104" s="71"/>
      <c r="AQ104" s="10" t="str">
        <f t="shared" si="63"/>
        <v/>
      </c>
      <c r="AR104" s="10" t="str">
        <f t="shared" si="80"/>
        <v/>
      </c>
      <c r="AS104" s="71"/>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U104" s="71"/>
      <c r="AV104" s="10" t="str">
        <f t="shared" si="64"/>
        <v/>
      </c>
      <c r="AW104" s="10" t="str">
        <f t="shared" si="81"/>
        <v/>
      </c>
      <c r="AX104" s="71"/>
      <c r="AY104" s="7" t="str">
        <f>IF(ISERROR(IF($K104&lt;=$F$15,VLOOKUP($I104,'表4）CO2価格'!$A$7:$E$67,VLOOKUP($F$48,'表4）CO2価格'!$H$10:$I$12,2,0),0)*$F$8/1000,"")),0,IF($K104&lt;=$F$15,VLOOKUP($I104,'表4）CO2価格'!$A$7:$E$67,VLOOKUP($F$48,'表4）CO2価格'!$H$10:$I$12,2,0),0)*$F$8/1000,""))</f>
        <v/>
      </c>
      <c r="AZ104" s="71"/>
      <c r="BA104" s="11" t="str">
        <f t="shared" si="65"/>
        <v/>
      </c>
      <c r="BB104" s="10" t="str">
        <f t="shared" si="82"/>
        <v/>
      </c>
      <c r="BC104" s="71"/>
      <c r="BD104" s="10" t="str">
        <f t="shared" si="66"/>
        <v/>
      </c>
      <c r="BE104" s="10" t="str">
        <f t="shared" si="83"/>
        <v/>
      </c>
      <c r="BF104" s="71"/>
      <c r="BG104" s="11" t="str">
        <f t="shared" si="67"/>
        <v/>
      </c>
      <c r="BH104" s="10" t="str">
        <f t="shared" si="84"/>
        <v/>
      </c>
      <c r="BJ104" s="7" t="str">
        <f t="shared" si="85"/>
        <v/>
      </c>
      <c r="BK104" s="158" t="str">
        <f t="shared" si="86"/>
        <v/>
      </c>
      <c r="BL104" s="158" t="str">
        <f t="shared" si="68"/>
        <v/>
      </c>
      <c r="BM104" s="10"/>
      <c r="BN104" s="10" t="str">
        <f t="shared" si="87"/>
        <v/>
      </c>
      <c r="BO104" s="10" t="str">
        <f t="shared" si="88"/>
        <v/>
      </c>
      <c r="BQ104" s="10" t="str">
        <f t="shared" si="69"/>
        <v/>
      </c>
      <c r="BR104" s="10" t="str">
        <f t="shared" si="89"/>
        <v/>
      </c>
    </row>
    <row r="105" spans="4:70" x14ac:dyDescent="0.15">
      <c r="E105" s="9" t="s">
        <v>367</v>
      </c>
      <c r="F105" s="91">
        <f>F64</f>
        <v>0.16221001695923537</v>
      </c>
      <c r="G105" s="81" t="s">
        <v>132</v>
      </c>
      <c r="I105" s="458">
        <f t="shared" si="90"/>
        <v>2110</v>
      </c>
      <c r="J105" s="39"/>
      <c r="K105" s="39">
        <f t="shared" si="91"/>
        <v>91</v>
      </c>
      <c r="L105" s="39"/>
      <c r="M105" s="40">
        <f t="shared" si="54"/>
        <v>6.7891054115034627E-2</v>
      </c>
      <c r="N105" s="39"/>
      <c r="O105" s="72" t="str">
        <f t="shared" si="70"/>
        <v/>
      </c>
      <c r="P105" s="41" t="str">
        <f t="shared" si="55"/>
        <v/>
      </c>
      <c r="Q105" s="39"/>
      <c r="R105" s="72" t="str">
        <f t="shared" si="71"/>
        <v/>
      </c>
      <c r="S105" s="39"/>
      <c r="T105" s="72" t="str">
        <f t="shared" si="72"/>
        <v/>
      </c>
      <c r="U105" s="39"/>
      <c r="V105" s="72" t="str">
        <f t="shared" si="56"/>
        <v/>
      </c>
      <c r="W105" s="72" t="str">
        <f t="shared" si="73"/>
        <v/>
      </c>
      <c r="X105" s="39"/>
      <c r="Y105" s="72" t="str">
        <f t="shared" si="57"/>
        <v/>
      </c>
      <c r="Z105" s="72" t="str">
        <f t="shared" si="74"/>
        <v/>
      </c>
      <c r="AA105" s="39"/>
      <c r="AB105" s="72" t="str">
        <f t="shared" si="58"/>
        <v/>
      </c>
      <c r="AC105" s="72" t="str">
        <f t="shared" si="75"/>
        <v/>
      </c>
      <c r="AD105" s="39"/>
      <c r="AE105" s="72" t="str">
        <f t="shared" si="59"/>
        <v/>
      </c>
      <c r="AF105" s="72" t="str">
        <f t="shared" si="76"/>
        <v/>
      </c>
      <c r="AG105" s="39"/>
      <c r="AH105" s="72" t="str">
        <f t="shared" si="60"/>
        <v/>
      </c>
      <c r="AI105" s="72" t="str">
        <f t="shared" si="77"/>
        <v/>
      </c>
      <c r="AJ105" s="39"/>
      <c r="AK105" s="72" t="str">
        <f t="shared" si="61"/>
        <v/>
      </c>
      <c r="AL105" s="72" t="str">
        <f t="shared" si="78"/>
        <v/>
      </c>
      <c r="AM105" s="39"/>
      <c r="AN105" s="72" t="str">
        <f t="shared" si="62"/>
        <v/>
      </c>
      <c r="AO105" s="72" t="str">
        <f t="shared" si="79"/>
        <v/>
      </c>
      <c r="AP105" s="39"/>
      <c r="AQ105" s="72" t="str">
        <f t="shared" si="63"/>
        <v/>
      </c>
      <c r="AR105" s="72" t="str">
        <f t="shared" si="80"/>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64"/>
        <v/>
      </c>
      <c r="AW105" s="72" t="str">
        <f t="shared" si="81"/>
        <v/>
      </c>
      <c r="AX105" s="39"/>
      <c r="AY105" s="40" t="str">
        <f>IF(ISERROR(IF($K105&lt;=$F$15,VLOOKUP($I105,'表4）CO2価格'!$A$7:$E$67,VLOOKUP($F$48,'表4）CO2価格'!$H$10:$I$12,2,0),0)*$F$8/1000,"")),0,IF($K105&lt;=$F$15,VLOOKUP($I105,'表4）CO2価格'!$A$7:$E$67,VLOOKUP($F$48,'表4）CO2価格'!$H$10:$I$12,2,0),0)*$F$8/1000,""))</f>
        <v/>
      </c>
      <c r="AZ105" s="39"/>
      <c r="BA105" s="42" t="str">
        <f t="shared" si="65"/>
        <v/>
      </c>
      <c r="BB105" s="72" t="str">
        <f t="shared" si="82"/>
        <v/>
      </c>
      <c r="BC105" s="39"/>
      <c r="BD105" s="72" t="str">
        <f t="shared" si="66"/>
        <v/>
      </c>
      <c r="BE105" s="72" t="str">
        <f t="shared" si="83"/>
        <v/>
      </c>
      <c r="BF105" s="39"/>
      <c r="BG105" s="42" t="str">
        <f t="shared" si="67"/>
        <v/>
      </c>
      <c r="BH105" s="72" t="str">
        <f t="shared" si="84"/>
        <v/>
      </c>
      <c r="BI105" s="39"/>
      <c r="BJ105" s="40" t="str">
        <f t="shared" si="85"/>
        <v/>
      </c>
      <c r="BK105" s="157" t="str">
        <f t="shared" si="86"/>
        <v/>
      </c>
      <c r="BL105" s="157" t="str">
        <f t="shared" si="68"/>
        <v/>
      </c>
      <c r="BM105" s="72"/>
      <c r="BN105" s="72" t="str">
        <f t="shared" si="87"/>
        <v/>
      </c>
      <c r="BO105" s="72" t="str">
        <f t="shared" si="88"/>
        <v/>
      </c>
      <c r="BP105" s="39"/>
      <c r="BQ105" s="72" t="str">
        <f t="shared" si="69"/>
        <v/>
      </c>
      <c r="BR105" s="72" t="str">
        <f t="shared" si="89"/>
        <v/>
      </c>
    </row>
    <row r="106" spans="4:70" x14ac:dyDescent="0.15">
      <c r="F106" s="93"/>
      <c r="I106" s="459">
        <f t="shared" si="90"/>
        <v>2111</v>
      </c>
      <c r="J106" s="71"/>
      <c r="K106" s="71">
        <f t="shared" si="91"/>
        <v>92</v>
      </c>
      <c r="L106" s="71"/>
      <c r="M106" s="7">
        <f t="shared" si="54"/>
        <v>6.5913644771878277E-2</v>
      </c>
      <c r="N106" s="71"/>
      <c r="O106" s="10" t="str">
        <f t="shared" si="70"/>
        <v/>
      </c>
      <c r="P106" s="29" t="str">
        <f t="shared" si="55"/>
        <v/>
      </c>
      <c r="Q106" s="71"/>
      <c r="R106" s="10" t="str">
        <f t="shared" si="71"/>
        <v/>
      </c>
      <c r="S106" s="71"/>
      <c r="T106" s="10" t="str">
        <f t="shared" si="72"/>
        <v/>
      </c>
      <c r="U106" s="71"/>
      <c r="V106" s="10" t="str">
        <f t="shared" si="56"/>
        <v/>
      </c>
      <c r="W106" s="10" t="str">
        <f t="shared" si="73"/>
        <v/>
      </c>
      <c r="X106" s="71"/>
      <c r="Y106" s="10" t="str">
        <f t="shared" si="57"/>
        <v/>
      </c>
      <c r="Z106" s="10" t="str">
        <f t="shared" si="74"/>
        <v/>
      </c>
      <c r="AA106" s="71"/>
      <c r="AB106" s="10" t="str">
        <f t="shared" si="58"/>
        <v/>
      </c>
      <c r="AC106" s="10" t="str">
        <f t="shared" si="75"/>
        <v/>
      </c>
      <c r="AD106" s="71"/>
      <c r="AE106" s="10" t="str">
        <f t="shared" si="59"/>
        <v/>
      </c>
      <c r="AF106" s="10" t="str">
        <f t="shared" si="76"/>
        <v/>
      </c>
      <c r="AG106" s="71"/>
      <c r="AH106" s="10" t="str">
        <f t="shared" si="60"/>
        <v/>
      </c>
      <c r="AI106" s="10" t="str">
        <f t="shared" si="77"/>
        <v/>
      </c>
      <c r="AJ106" s="71"/>
      <c r="AK106" s="10" t="str">
        <f t="shared" si="61"/>
        <v/>
      </c>
      <c r="AL106" s="10" t="str">
        <f t="shared" si="78"/>
        <v/>
      </c>
      <c r="AM106" s="71"/>
      <c r="AN106" s="10" t="str">
        <f t="shared" si="62"/>
        <v/>
      </c>
      <c r="AO106" s="10" t="str">
        <f t="shared" si="79"/>
        <v/>
      </c>
      <c r="AP106" s="71"/>
      <c r="AQ106" s="10" t="str">
        <f t="shared" si="63"/>
        <v/>
      </c>
      <c r="AR106" s="10" t="str">
        <f t="shared" si="80"/>
        <v/>
      </c>
      <c r="AS106" s="71"/>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U106" s="71"/>
      <c r="AV106" s="10" t="str">
        <f t="shared" si="64"/>
        <v/>
      </c>
      <c r="AW106" s="10" t="str">
        <f t="shared" si="81"/>
        <v/>
      </c>
      <c r="AX106" s="71"/>
      <c r="AY106" s="7" t="str">
        <f>IF(ISERROR(IF($K106&lt;=$F$15,VLOOKUP($I106,'表4）CO2価格'!$A$7:$E$67,VLOOKUP($F$48,'表4）CO2価格'!$H$10:$I$12,2,0),0)*$F$8/1000,"")),0,IF($K106&lt;=$F$15,VLOOKUP($I106,'表4）CO2価格'!$A$7:$E$67,VLOOKUP($F$48,'表4）CO2価格'!$H$10:$I$12,2,0),0)*$F$8/1000,""))</f>
        <v/>
      </c>
      <c r="AZ106" s="71"/>
      <c r="BA106" s="11" t="str">
        <f t="shared" si="65"/>
        <v/>
      </c>
      <c r="BB106" s="10" t="str">
        <f t="shared" si="82"/>
        <v/>
      </c>
      <c r="BC106" s="71"/>
      <c r="BD106" s="10" t="str">
        <f t="shared" si="66"/>
        <v/>
      </c>
      <c r="BE106" s="10" t="str">
        <f t="shared" si="83"/>
        <v/>
      </c>
      <c r="BF106" s="71"/>
      <c r="BG106" s="11" t="str">
        <f t="shared" si="67"/>
        <v/>
      </c>
      <c r="BH106" s="10" t="str">
        <f t="shared" si="84"/>
        <v/>
      </c>
      <c r="BJ106" s="7" t="str">
        <f t="shared" si="85"/>
        <v/>
      </c>
      <c r="BK106" s="158" t="str">
        <f t="shared" si="86"/>
        <v/>
      </c>
      <c r="BL106" s="158" t="str">
        <f t="shared" si="68"/>
        <v/>
      </c>
      <c r="BM106" s="10"/>
      <c r="BN106" s="10" t="str">
        <f t="shared" si="87"/>
        <v/>
      </c>
      <c r="BO106" s="10" t="str">
        <f t="shared" si="88"/>
        <v/>
      </c>
      <c r="BQ106" s="10" t="str">
        <f t="shared" si="69"/>
        <v/>
      </c>
      <c r="BR106" s="10" t="str">
        <f t="shared" si="89"/>
        <v/>
      </c>
    </row>
    <row r="107" spans="4:70" ht="15" x14ac:dyDescent="0.15">
      <c r="D107" s="116" t="s">
        <v>204</v>
      </c>
      <c r="F107" s="94">
        <f>SUBTOTAL(9,F111:F112)</f>
        <v>0</v>
      </c>
      <c r="G107" s="81" t="s">
        <v>132</v>
      </c>
      <c r="I107" s="458">
        <f t="shared" si="90"/>
        <v>2112</v>
      </c>
      <c r="J107" s="39"/>
      <c r="K107" s="39">
        <f t="shared" si="91"/>
        <v>93</v>
      </c>
      <c r="L107" s="39"/>
      <c r="M107" s="40">
        <f t="shared" si="54"/>
        <v>6.3993829875609989E-2</v>
      </c>
      <c r="N107" s="39"/>
      <c r="O107" s="72" t="str">
        <f t="shared" si="70"/>
        <v/>
      </c>
      <c r="P107" s="41" t="str">
        <f t="shared" si="55"/>
        <v/>
      </c>
      <c r="Q107" s="39"/>
      <c r="R107" s="72" t="str">
        <f t="shared" si="71"/>
        <v/>
      </c>
      <c r="S107" s="39"/>
      <c r="T107" s="72" t="str">
        <f t="shared" si="72"/>
        <v/>
      </c>
      <c r="U107" s="39"/>
      <c r="V107" s="72" t="str">
        <f t="shared" si="56"/>
        <v/>
      </c>
      <c r="W107" s="72" t="str">
        <f t="shared" si="73"/>
        <v/>
      </c>
      <c r="X107" s="39"/>
      <c r="Y107" s="72" t="str">
        <f t="shared" si="57"/>
        <v/>
      </c>
      <c r="Z107" s="72" t="str">
        <f t="shared" si="74"/>
        <v/>
      </c>
      <c r="AA107" s="39"/>
      <c r="AB107" s="72" t="str">
        <f t="shared" si="58"/>
        <v/>
      </c>
      <c r="AC107" s="72" t="str">
        <f t="shared" si="75"/>
        <v/>
      </c>
      <c r="AD107" s="39"/>
      <c r="AE107" s="72" t="str">
        <f t="shared" si="59"/>
        <v/>
      </c>
      <c r="AF107" s="72" t="str">
        <f t="shared" si="76"/>
        <v/>
      </c>
      <c r="AG107" s="39"/>
      <c r="AH107" s="72" t="str">
        <f t="shared" si="60"/>
        <v/>
      </c>
      <c r="AI107" s="72" t="str">
        <f t="shared" si="77"/>
        <v/>
      </c>
      <c r="AJ107" s="39"/>
      <c r="AK107" s="72" t="str">
        <f t="shared" si="61"/>
        <v/>
      </c>
      <c r="AL107" s="72" t="str">
        <f t="shared" si="78"/>
        <v/>
      </c>
      <c r="AM107" s="39"/>
      <c r="AN107" s="72" t="str">
        <f t="shared" si="62"/>
        <v/>
      </c>
      <c r="AO107" s="72" t="str">
        <f t="shared" si="79"/>
        <v/>
      </c>
      <c r="AP107" s="39"/>
      <c r="AQ107" s="72" t="str">
        <f t="shared" si="63"/>
        <v/>
      </c>
      <c r="AR107" s="72" t="str">
        <f t="shared" si="80"/>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64"/>
        <v/>
      </c>
      <c r="AW107" s="72" t="str">
        <f t="shared" si="81"/>
        <v/>
      </c>
      <c r="AX107" s="39"/>
      <c r="AY107" s="40" t="str">
        <f>IF(ISERROR(IF($K107&lt;=$F$15,VLOOKUP($I107,'表4）CO2価格'!$A$7:$E$67,VLOOKUP($F$48,'表4）CO2価格'!$H$10:$I$12,2,0),0)*$F$8/1000,"")),0,IF($K107&lt;=$F$15,VLOOKUP($I107,'表4）CO2価格'!$A$7:$E$67,VLOOKUP($F$48,'表4）CO2価格'!$H$10:$I$12,2,0),0)*$F$8/1000,""))</f>
        <v/>
      </c>
      <c r="AZ107" s="39"/>
      <c r="BA107" s="42" t="str">
        <f t="shared" si="65"/>
        <v/>
      </c>
      <c r="BB107" s="72" t="str">
        <f t="shared" si="82"/>
        <v/>
      </c>
      <c r="BC107" s="39"/>
      <c r="BD107" s="72" t="str">
        <f t="shared" si="66"/>
        <v/>
      </c>
      <c r="BE107" s="72" t="str">
        <f t="shared" si="83"/>
        <v/>
      </c>
      <c r="BF107" s="39"/>
      <c r="BG107" s="42" t="str">
        <f t="shared" si="67"/>
        <v/>
      </c>
      <c r="BH107" s="72" t="str">
        <f t="shared" si="84"/>
        <v/>
      </c>
      <c r="BI107" s="39"/>
      <c r="BJ107" s="40" t="str">
        <f t="shared" si="85"/>
        <v/>
      </c>
      <c r="BK107" s="157" t="str">
        <f t="shared" si="86"/>
        <v/>
      </c>
      <c r="BL107" s="157" t="str">
        <f t="shared" si="68"/>
        <v/>
      </c>
      <c r="BM107" s="72"/>
      <c r="BN107" s="72" t="str">
        <f t="shared" si="87"/>
        <v/>
      </c>
      <c r="BO107" s="72" t="str">
        <f t="shared" si="88"/>
        <v/>
      </c>
      <c r="BP107" s="39"/>
      <c r="BQ107" s="72" t="str">
        <f t="shared" si="69"/>
        <v/>
      </c>
      <c r="BR107" s="72" t="str">
        <f t="shared" si="89"/>
        <v/>
      </c>
    </row>
    <row r="108" spans="4:70" ht="15" x14ac:dyDescent="0.15">
      <c r="D108" s="116"/>
      <c r="F108" s="93"/>
      <c r="I108" s="459">
        <f t="shared" si="90"/>
        <v>2113</v>
      </c>
      <c r="J108" s="71"/>
      <c r="K108" s="71">
        <f t="shared" si="91"/>
        <v>94</v>
      </c>
      <c r="L108" s="71"/>
      <c r="M108" s="7">
        <f t="shared" si="54"/>
        <v>6.212993191806794E-2</v>
      </c>
      <c r="N108" s="71"/>
      <c r="O108" s="10" t="str">
        <f t="shared" si="70"/>
        <v/>
      </c>
      <c r="P108" s="29" t="str">
        <f t="shared" si="55"/>
        <v/>
      </c>
      <c r="Q108" s="71"/>
      <c r="R108" s="10" t="str">
        <f t="shared" si="71"/>
        <v/>
      </c>
      <c r="S108" s="71"/>
      <c r="T108" s="10" t="str">
        <f t="shared" si="72"/>
        <v/>
      </c>
      <c r="U108" s="71"/>
      <c r="V108" s="10" t="str">
        <f t="shared" si="56"/>
        <v/>
      </c>
      <c r="W108" s="10" t="str">
        <f t="shared" si="73"/>
        <v/>
      </c>
      <c r="X108" s="71"/>
      <c r="Y108" s="10" t="str">
        <f t="shared" si="57"/>
        <v/>
      </c>
      <c r="Z108" s="10" t="str">
        <f t="shared" si="74"/>
        <v/>
      </c>
      <c r="AA108" s="71"/>
      <c r="AB108" s="10" t="str">
        <f t="shared" si="58"/>
        <v/>
      </c>
      <c r="AC108" s="10" t="str">
        <f t="shared" si="75"/>
        <v/>
      </c>
      <c r="AD108" s="71"/>
      <c r="AE108" s="10" t="str">
        <f t="shared" si="59"/>
        <v/>
      </c>
      <c r="AF108" s="10" t="str">
        <f t="shared" si="76"/>
        <v/>
      </c>
      <c r="AG108" s="71"/>
      <c r="AH108" s="10" t="str">
        <f t="shared" si="60"/>
        <v/>
      </c>
      <c r="AI108" s="10" t="str">
        <f t="shared" si="77"/>
        <v/>
      </c>
      <c r="AJ108" s="71"/>
      <c r="AK108" s="10" t="str">
        <f t="shared" si="61"/>
        <v/>
      </c>
      <c r="AL108" s="10" t="str">
        <f t="shared" si="78"/>
        <v/>
      </c>
      <c r="AM108" s="71"/>
      <c r="AN108" s="10" t="str">
        <f t="shared" si="62"/>
        <v/>
      </c>
      <c r="AO108" s="10" t="str">
        <f t="shared" si="79"/>
        <v/>
      </c>
      <c r="AP108" s="71"/>
      <c r="AQ108" s="10" t="str">
        <f t="shared" si="63"/>
        <v/>
      </c>
      <c r="AR108" s="10" t="str">
        <f t="shared" si="80"/>
        <v/>
      </c>
      <c r="AS108" s="71"/>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U108" s="71"/>
      <c r="AV108" s="10" t="str">
        <f t="shared" si="64"/>
        <v/>
      </c>
      <c r="AW108" s="10" t="str">
        <f t="shared" si="81"/>
        <v/>
      </c>
      <c r="AX108" s="71"/>
      <c r="AY108" s="7" t="str">
        <f>IF(ISERROR(IF($K108&lt;=$F$15,VLOOKUP($I108,'表4）CO2価格'!$A$7:$E$67,VLOOKUP($F$48,'表4）CO2価格'!$H$10:$I$12,2,0),0)*$F$8/1000,"")),0,IF($K108&lt;=$F$15,VLOOKUP($I108,'表4）CO2価格'!$A$7:$E$67,VLOOKUP($F$48,'表4）CO2価格'!$H$10:$I$12,2,0),0)*$F$8/1000,""))</f>
        <v/>
      </c>
      <c r="AZ108" s="71"/>
      <c r="BA108" s="11" t="str">
        <f t="shared" si="65"/>
        <v/>
      </c>
      <c r="BB108" s="10" t="str">
        <f t="shared" si="82"/>
        <v/>
      </c>
      <c r="BC108" s="71"/>
      <c r="BD108" s="10" t="str">
        <f t="shared" si="66"/>
        <v/>
      </c>
      <c r="BE108" s="10" t="str">
        <f t="shared" si="83"/>
        <v/>
      </c>
      <c r="BF108" s="71"/>
      <c r="BG108" s="11" t="str">
        <f t="shared" si="67"/>
        <v/>
      </c>
      <c r="BH108" s="10" t="str">
        <f t="shared" si="84"/>
        <v/>
      </c>
      <c r="BJ108" s="7" t="str">
        <f t="shared" si="85"/>
        <v/>
      </c>
      <c r="BK108" s="158" t="str">
        <f t="shared" si="86"/>
        <v/>
      </c>
      <c r="BL108" s="158" t="str">
        <f t="shared" si="68"/>
        <v/>
      </c>
      <c r="BM108" s="10"/>
      <c r="BN108" s="10" t="str">
        <f t="shared" si="87"/>
        <v/>
      </c>
      <c r="BO108" s="10" t="str">
        <f t="shared" si="88"/>
        <v/>
      </c>
      <c r="BQ108" s="10" t="str">
        <f t="shared" si="69"/>
        <v/>
      </c>
      <c r="BR108" s="10" t="str">
        <f t="shared" si="89"/>
        <v/>
      </c>
    </row>
    <row r="109" spans="4:70" x14ac:dyDescent="0.15">
      <c r="D109" s="101" t="s">
        <v>205</v>
      </c>
      <c r="E109" s="101"/>
      <c r="F109" s="92"/>
      <c r="G109" s="101"/>
      <c r="I109" s="458">
        <f t="shared" si="90"/>
        <v>2114</v>
      </c>
      <c r="J109" s="39"/>
      <c r="K109" s="39">
        <f t="shared" si="91"/>
        <v>95</v>
      </c>
      <c r="L109" s="39"/>
      <c r="M109" s="40">
        <f t="shared" si="54"/>
        <v>6.0320322250551395E-2</v>
      </c>
      <c r="N109" s="39"/>
      <c r="O109" s="72" t="str">
        <f t="shared" si="70"/>
        <v/>
      </c>
      <c r="P109" s="41" t="str">
        <f t="shared" si="55"/>
        <v/>
      </c>
      <c r="Q109" s="39"/>
      <c r="R109" s="72" t="str">
        <f t="shared" si="71"/>
        <v/>
      </c>
      <c r="S109" s="39"/>
      <c r="T109" s="72" t="str">
        <f t="shared" si="72"/>
        <v/>
      </c>
      <c r="U109" s="39"/>
      <c r="V109" s="72" t="str">
        <f t="shared" si="56"/>
        <v/>
      </c>
      <c r="W109" s="72" t="str">
        <f t="shared" si="73"/>
        <v/>
      </c>
      <c r="X109" s="39"/>
      <c r="Y109" s="72" t="str">
        <f t="shared" si="57"/>
        <v/>
      </c>
      <c r="Z109" s="72" t="str">
        <f t="shared" si="74"/>
        <v/>
      </c>
      <c r="AA109" s="39"/>
      <c r="AB109" s="72" t="str">
        <f t="shared" si="58"/>
        <v/>
      </c>
      <c r="AC109" s="72" t="str">
        <f t="shared" si="75"/>
        <v/>
      </c>
      <c r="AD109" s="39"/>
      <c r="AE109" s="72" t="str">
        <f t="shared" si="59"/>
        <v/>
      </c>
      <c r="AF109" s="72" t="str">
        <f t="shared" si="76"/>
        <v/>
      </c>
      <c r="AG109" s="39"/>
      <c r="AH109" s="72" t="str">
        <f t="shared" si="60"/>
        <v/>
      </c>
      <c r="AI109" s="72" t="str">
        <f t="shared" si="77"/>
        <v/>
      </c>
      <c r="AJ109" s="39"/>
      <c r="AK109" s="72" t="str">
        <f t="shared" si="61"/>
        <v/>
      </c>
      <c r="AL109" s="72" t="str">
        <f t="shared" si="78"/>
        <v/>
      </c>
      <c r="AM109" s="39"/>
      <c r="AN109" s="72" t="str">
        <f t="shared" si="62"/>
        <v/>
      </c>
      <c r="AO109" s="72" t="str">
        <f t="shared" si="79"/>
        <v/>
      </c>
      <c r="AP109" s="39"/>
      <c r="AQ109" s="72" t="str">
        <f t="shared" si="63"/>
        <v/>
      </c>
      <c r="AR109" s="72" t="str">
        <f t="shared" si="80"/>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64"/>
        <v/>
      </c>
      <c r="AW109" s="72" t="str">
        <f t="shared" si="81"/>
        <v/>
      </c>
      <c r="AX109" s="39"/>
      <c r="AY109" s="40" t="str">
        <f>IF(ISERROR(IF($K109&lt;=$F$15,VLOOKUP($I109,'表4）CO2価格'!$A$7:$E$67,VLOOKUP($F$48,'表4）CO2価格'!$H$10:$I$12,2,0),0)*$F$8/1000,"")),0,IF($K109&lt;=$F$15,VLOOKUP($I109,'表4）CO2価格'!$A$7:$E$67,VLOOKUP($F$48,'表4）CO2価格'!$H$10:$I$12,2,0),0)*$F$8/1000,""))</f>
        <v/>
      </c>
      <c r="AZ109" s="39"/>
      <c r="BA109" s="42" t="str">
        <f t="shared" si="65"/>
        <v/>
      </c>
      <c r="BB109" s="72" t="str">
        <f t="shared" si="82"/>
        <v/>
      </c>
      <c r="BC109" s="39"/>
      <c r="BD109" s="72" t="str">
        <f t="shared" si="66"/>
        <v/>
      </c>
      <c r="BE109" s="72" t="str">
        <f t="shared" si="83"/>
        <v/>
      </c>
      <c r="BF109" s="39"/>
      <c r="BG109" s="42" t="str">
        <f t="shared" si="67"/>
        <v/>
      </c>
      <c r="BH109" s="72" t="str">
        <f t="shared" si="84"/>
        <v/>
      </c>
      <c r="BI109" s="39"/>
      <c r="BJ109" s="40" t="str">
        <f t="shared" si="85"/>
        <v/>
      </c>
      <c r="BK109" s="157" t="str">
        <f t="shared" si="86"/>
        <v/>
      </c>
      <c r="BL109" s="157" t="str">
        <f t="shared" si="68"/>
        <v/>
      </c>
      <c r="BM109" s="72"/>
      <c r="BN109" s="72" t="str">
        <f t="shared" si="87"/>
        <v/>
      </c>
      <c r="BO109" s="72" t="str">
        <f t="shared" si="88"/>
        <v/>
      </c>
      <c r="BP109" s="39"/>
      <c r="BQ109" s="72" t="str">
        <f t="shared" si="69"/>
        <v/>
      </c>
      <c r="BR109" s="72" t="str">
        <f t="shared" si="89"/>
        <v/>
      </c>
    </row>
    <row r="110" spans="4:70" ht="15" x14ac:dyDescent="0.15">
      <c r="D110" s="116"/>
      <c r="F110" s="93"/>
      <c r="I110" s="459">
        <f t="shared" si="90"/>
        <v>2115</v>
      </c>
      <c r="J110" s="71"/>
      <c r="K110" s="71">
        <f t="shared" si="91"/>
        <v>96</v>
      </c>
      <c r="L110" s="71"/>
      <c r="M110" s="7">
        <f t="shared" si="54"/>
        <v>5.8563419660729518E-2</v>
      </c>
      <c r="N110" s="71"/>
      <c r="O110" s="10" t="str">
        <f t="shared" si="70"/>
        <v/>
      </c>
      <c r="P110" s="29" t="str">
        <f t="shared" si="55"/>
        <v/>
      </c>
      <c r="Q110" s="71"/>
      <c r="R110" s="10" t="str">
        <f t="shared" si="71"/>
        <v/>
      </c>
      <c r="S110" s="71"/>
      <c r="T110" s="10" t="str">
        <f t="shared" si="72"/>
        <v/>
      </c>
      <c r="U110" s="71"/>
      <c r="V110" s="10" t="str">
        <f t="shared" si="56"/>
        <v/>
      </c>
      <c r="W110" s="10" t="str">
        <f t="shared" si="73"/>
        <v/>
      </c>
      <c r="X110" s="71"/>
      <c r="Y110" s="10" t="str">
        <f t="shared" si="57"/>
        <v/>
      </c>
      <c r="Z110" s="10" t="str">
        <f t="shared" si="74"/>
        <v/>
      </c>
      <c r="AA110" s="71"/>
      <c r="AB110" s="10" t="str">
        <f t="shared" si="58"/>
        <v/>
      </c>
      <c r="AC110" s="10" t="str">
        <f t="shared" si="75"/>
        <v/>
      </c>
      <c r="AD110" s="71"/>
      <c r="AE110" s="10" t="str">
        <f t="shared" si="59"/>
        <v/>
      </c>
      <c r="AF110" s="10" t="str">
        <f t="shared" si="76"/>
        <v/>
      </c>
      <c r="AG110" s="71"/>
      <c r="AH110" s="10" t="str">
        <f t="shared" si="60"/>
        <v/>
      </c>
      <c r="AI110" s="10" t="str">
        <f t="shared" si="77"/>
        <v/>
      </c>
      <c r="AJ110" s="71"/>
      <c r="AK110" s="10" t="str">
        <f t="shared" si="61"/>
        <v/>
      </c>
      <c r="AL110" s="10" t="str">
        <f t="shared" si="78"/>
        <v/>
      </c>
      <c r="AM110" s="71"/>
      <c r="AN110" s="10" t="str">
        <f t="shared" si="62"/>
        <v/>
      </c>
      <c r="AO110" s="10" t="str">
        <f t="shared" si="79"/>
        <v/>
      </c>
      <c r="AP110" s="71"/>
      <c r="AQ110" s="10" t="str">
        <f t="shared" si="63"/>
        <v/>
      </c>
      <c r="AR110" s="10" t="str">
        <f t="shared" si="80"/>
        <v/>
      </c>
      <c r="AS110" s="71"/>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U110" s="71"/>
      <c r="AV110" s="10" t="str">
        <f t="shared" si="64"/>
        <v/>
      </c>
      <c r="AW110" s="10" t="str">
        <f t="shared" si="81"/>
        <v/>
      </c>
      <c r="AX110" s="71"/>
      <c r="AY110" s="7" t="str">
        <f>IF(ISERROR(IF($K110&lt;=$F$15,VLOOKUP($I110,'表4）CO2価格'!$A$7:$E$67,VLOOKUP($F$48,'表4）CO2価格'!$H$10:$I$12,2,0),0)*$F$8/1000,"")),0,IF($K110&lt;=$F$15,VLOOKUP($I110,'表4）CO2価格'!$A$7:$E$67,VLOOKUP($F$48,'表4）CO2価格'!$H$10:$I$12,2,0),0)*$F$8/1000,""))</f>
        <v/>
      </c>
      <c r="AZ110" s="71"/>
      <c r="BA110" s="11" t="str">
        <f t="shared" si="65"/>
        <v/>
      </c>
      <c r="BB110" s="10" t="str">
        <f t="shared" si="82"/>
        <v/>
      </c>
      <c r="BC110" s="71"/>
      <c r="BD110" s="10" t="str">
        <f t="shared" si="66"/>
        <v/>
      </c>
      <c r="BE110" s="10" t="str">
        <f t="shared" si="83"/>
        <v/>
      </c>
      <c r="BF110" s="71"/>
      <c r="BG110" s="11" t="str">
        <f t="shared" si="67"/>
        <v/>
      </c>
      <c r="BH110" s="10" t="str">
        <f t="shared" si="84"/>
        <v/>
      </c>
      <c r="BJ110" s="7" t="str">
        <f t="shared" si="85"/>
        <v/>
      </c>
      <c r="BK110" s="158" t="str">
        <f t="shared" si="86"/>
        <v/>
      </c>
      <c r="BL110" s="158" t="str">
        <f t="shared" si="68"/>
        <v/>
      </c>
      <c r="BM110" s="10"/>
      <c r="BN110" s="10" t="str">
        <f t="shared" si="87"/>
        <v/>
      </c>
      <c r="BO110" s="10" t="str">
        <f t="shared" si="88"/>
        <v/>
      </c>
      <c r="BQ110" s="10" t="str">
        <f t="shared" si="69"/>
        <v/>
      </c>
      <c r="BR110" s="10" t="str">
        <f t="shared" si="89"/>
        <v/>
      </c>
    </row>
    <row r="111" spans="4:70" ht="15" x14ac:dyDescent="0.15">
      <c r="D111" s="116"/>
      <c r="E111" s="81" t="s">
        <v>206</v>
      </c>
      <c r="F111" s="91">
        <f>-BE116/BR116</f>
        <v>0</v>
      </c>
      <c r="G111" s="81" t="s">
        <v>132</v>
      </c>
      <c r="I111" s="458">
        <f t="shared" si="90"/>
        <v>2116</v>
      </c>
      <c r="J111" s="39"/>
      <c r="K111" s="39">
        <f t="shared" si="91"/>
        <v>97</v>
      </c>
      <c r="L111" s="39"/>
      <c r="M111" s="40">
        <f t="shared" si="54"/>
        <v>5.6857688990999529E-2</v>
      </c>
      <c r="N111" s="39"/>
      <c r="O111" s="72" t="str">
        <f t="shared" si="70"/>
        <v/>
      </c>
      <c r="P111" s="41" t="str">
        <f>IF(K111&lt;=$F$15,IF(OR(P110=$F$124,P110="-"),"-",IF(O111*$F$123&gt;$F$127,$F$123,$F$124)),"")</f>
        <v/>
      </c>
      <c r="Q111" s="39"/>
      <c r="R111" s="72" t="str">
        <f t="shared" si="71"/>
        <v/>
      </c>
      <c r="S111" s="39"/>
      <c r="T111" s="72" t="str">
        <f t="shared" si="72"/>
        <v/>
      </c>
      <c r="U111" s="39"/>
      <c r="V111" s="72" t="str">
        <f t="shared" si="56"/>
        <v/>
      </c>
      <c r="W111" s="72" t="str">
        <f t="shared" si="73"/>
        <v/>
      </c>
      <c r="X111" s="39"/>
      <c r="Y111" s="72" t="str">
        <f t="shared" si="57"/>
        <v/>
      </c>
      <c r="Z111" s="72" t="str">
        <f t="shared" si="74"/>
        <v/>
      </c>
      <c r="AA111" s="39"/>
      <c r="AB111" s="72" t="str">
        <f t="shared" si="58"/>
        <v/>
      </c>
      <c r="AC111" s="72" t="str">
        <f t="shared" si="75"/>
        <v/>
      </c>
      <c r="AD111" s="39"/>
      <c r="AE111" s="72" t="str">
        <f t="shared" si="59"/>
        <v/>
      </c>
      <c r="AF111" s="72" t="str">
        <f t="shared" si="76"/>
        <v/>
      </c>
      <c r="AG111" s="39"/>
      <c r="AH111" s="72" t="str">
        <f t="shared" si="60"/>
        <v/>
      </c>
      <c r="AI111" s="72" t="str">
        <f t="shared" si="77"/>
        <v/>
      </c>
      <c r="AJ111" s="39"/>
      <c r="AK111" s="72" t="str">
        <f t="shared" si="61"/>
        <v/>
      </c>
      <c r="AL111" s="72" t="str">
        <f t="shared" si="78"/>
        <v/>
      </c>
      <c r="AM111" s="39"/>
      <c r="AN111" s="72" t="str">
        <f t="shared" si="62"/>
        <v/>
      </c>
      <c r="AO111" s="72" t="str">
        <f t="shared" si="79"/>
        <v/>
      </c>
      <c r="AP111" s="39"/>
      <c r="AQ111" s="72" t="str">
        <f t="shared" si="63"/>
        <v/>
      </c>
      <c r="AR111" s="72" t="str">
        <f t="shared" si="80"/>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64"/>
        <v/>
      </c>
      <c r="AW111" s="72" t="str">
        <f t="shared" si="81"/>
        <v/>
      </c>
      <c r="AX111" s="39"/>
      <c r="AY111" s="40" t="str">
        <f>IF(ISERROR(IF($K111&lt;=$F$15,VLOOKUP($I111,'表4）CO2価格'!$A$7:$E$67,VLOOKUP($F$48,'表4）CO2価格'!$H$10:$I$12,2,0),0)*$F$8/1000,"")),0,IF($K111&lt;=$F$15,VLOOKUP($I111,'表4）CO2価格'!$A$7:$E$67,VLOOKUP($F$48,'表4）CO2価格'!$H$10:$I$12,2,0),0)*$F$8/1000,""))</f>
        <v/>
      </c>
      <c r="AZ111" s="39"/>
      <c r="BA111" s="42" t="str">
        <f t="shared" si="65"/>
        <v/>
      </c>
      <c r="BB111" s="72" t="str">
        <f t="shared" si="82"/>
        <v/>
      </c>
      <c r="BC111" s="39"/>
      <c r="BD111" s="72" t="str">
        <f t="shared" si="66"/>
        <v/>
      </c>
      <c r="BE111" s="72" t="str">
        <f t="shared" si="83"/>
        <v/>
      </c>
      <c r="BF111" s="39"/>
      <c r="BG111" s="42" t="str">
        <f t="shared" si="67"/>
        <v/>
      </c>
      <c r="BH111" s="72" t="str">
        <f t="shared" si="84"/>
        <v/>
      </c>
      <c r="BI111" s="39"/>
      <c r="BJ111" s="40" t="str">
        <f t="shared" si="85"/>
        <v/>
      </c>
      <c r="BK111" s="157" t="str">
        <f t="shared" si="86"/>
        <v/>
      </c>
      <c r="BL111" s="157" t="str">
        <f t="shared" si="68"/>
        <v/>
      </c>
      <c r="BM111" s="72"/>
      <c r="BN111" s="72" t="str">
        <f t="shared" si="87"/>
        <v/>
      </c>
      <c r="BO111" s="72" t="str">
        <f t="shared" si="88"/>
        <v/>
      </c>
      <c r="BP111" s="39"/>
      <c r="BQ111" s="72" t="str">
        <f t="shared" si="69"/>
        <v/>
      </c>
      <c r="BR111" s="72" t="str">
        <f t="shared" si="89"/>
        <v/>
      </c>
    </row>
    <row r="112" spans="4:70" ht="15" x14ac:dyDescent="0.15">
      <c r="D112" s="116"/>
      <c r="E112" s="81" t="s">
        <v>207</v>
      </c>
      <c r="F112" s="91">
        <f>-BH116/BR116</f>
        <v>0</v>
      </c>
      <c r="G112" s="81" t="s">
        <v>132</v>
      </c>
      <c r="I112" s="459">
        <f t="shared" si="90"/>
        <v>2117</v>
      </c>
      <c r="J112" s="71"/>
      <c r="K112" s="71">
        <f t="shared" si="91"/>
        <v>98</v>
      </c>
      <c r="L112" s="71"/>
      <c r="M112" s="7">
        <f t="shared" si="54"/>
        <v>5.5201639797086935E-2</v>
      </c>
      <c r="N112" s="71"/>
      <c r="O112" s="10" t="str">
        <f t="shared" si="70"/>
        <v/>
      </c>
      <c r="P112" s="29" t="str">
        <f>IF(K112&lt;=$F$15,IF(OR(P111=$F$124,P111="-"),"-",IF(O112*$F$123&gt;$F$127,$F$123,$F$124)),"")</f>
        <v/>
      </c>
      <c r="Q112" s="71"/>
      <c r="R112" s="10" t="str">
        <f t="shared" si="71"/>
        <v/>
      </c>
      <c r="S112" s="71"/>
      <c r="T112" s="10" t="str">
        <f t="shared" si="72"/>
        <v/>
      </c>
      <c r="U112" s="71"/>
      <c r="V112" s="10" t="str">
        <f t="shared" si="56"/>
        <v/>
      </c>
      <c r="W112" s="10" t="str">
        <f t="shared" si="73"/>
        <v/>
      </c>
      <c r="X112" s="71"/>
      <c r="Y112" s="10" t="str">
        <f t="shared" si="57"/>
        <v/>
      </c>
      <c r="Z112" s="10" t="str">
        <f t="shared" si="74"/>
        <v/>
      </c>
      <c r="AA112" s="71"/>
      <c r="AB112" s="10" t="str">
        <f t="shared" si="58"/>
        <v/>
      </c>
      <c r="AC112" s="10" t="str">
        <f t="shared" si="75"/>
        <v/>
      </c>
      <c r="AD112" s="71"/>
      <c r="AE112" s="10" t="str">
        <f t="shared" si="59"/>
        <v/>
      </c>
      <c r="AF112" s="10" t="str">
        <f t="shared" si="76"/>
        <v/>
      </c>
      <c r="AG112" s="71"/>
      <c r="AH112" s="10" t="str">
        <f t="shared" si="60"/>
        <v/>
      </c>
      <c r="AI112" s="10" t="str">
        <f t="shared" si="77"/>
        <v/>
      </c>
      <c r="AJ112" s="71"/>
      <c r="AK112" s="10" t="str">
        <f t="shared" si="61"/>
        <v/>
      </c>
      <c r="AL112" s="10" t="str">
        <f t="shared" si="78"/>
        <v/>
      </c>
      <c r="AM112" s="71"/>
      <c r="AN112" s="10" t="str">
        <f t="shared" si="62"/>
        <v/>
      </c>
      <c r="AO112" s="10" t="str">
        <f t="shared" si="79"/>
        <v/>
      </c>
      <c r="AP112" s="71"/>
      <c r="AQ112" s="10" t="str">
        <f t="shared" si="63"/>
        <v/>
      </c>
      <c r="AR112" s="10" t="str">
        <f t="shared" si="80"/>
        <v/>
      </c>
      <c r="AS112" s="71"/>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U112" s="71"/>
      <c r="AV112" s="10" t="str">
        <f t="shared" si="64"/>
        <v/>
      </c>
      <c r="AW112" s="10" t="str">
        <f t="shared" si="81"/>
        <v/>
      </c>
      <c r="AX112" s="71"/>
      <c r="AY112" s="7" t="str">
        <f>IF(ISERROR(IF($K112&lt;=$F$15,VLOOKUP($I112,'表4）CO2価格'!$A$7:$E$67,VLOOKUP($F$48,'表4）CO2価格'!$H$10:$I$12,2,0),0)*$F$8/1000,"")),0,IF($K112&lt;=$F$15,VLOOKUP($I112,'表4）CO2価格'!$A$7:$E$67,VLOOKUP($F$48,'表4）CO2価格'!$H$10:$I$12,2,0),0)*$F$8/1000,""))</f>
        <v/>
      </c>
      <c r="AZ112" s="71"/>
      <c r="BA112" s="11" t="str">
        <f t="shared" si="65"/>
        <v/>
      </c>
      <c r="BB112" s="10" t="str">
        <f t="shared" si="82"/>
        <v/>
      </c>
      <c r="BC112" s="71"/>
      <c r="BD112" s="10" t="str">
        <f t="shared" si="66"/>
        <v/>
      </c>
      <c r="BE112" s="10" t="str">
        <f t="shared" si="83"/>
        <v/>
      </c>
      <c r="BF112" s="71"/>
      <c r="BG112" s="11" t="str">
        <f t="shared" si="67"/>
        <v/>
      </c>
      <c r="BH112" s="10" t="str">
        <f t="shared" si="84"/>
        <v/>
      </c>
      <c r="BJ112" s="7" t="str">
        <f t="shared" si="85"/>
        <v/>
      </c>
      <c r="BK112" s="158" t="str">
        <f t="shared" si="86"/>
        <v/>
      </c>
      <c r="BL112" s="158" t="str">
        <f t="shared" si="68"/>
        <v/>
      </c>
      <c r="BM112" s="10"/>
      <c r="BN112" s="10" t="str">
        <f t="shared" si="87"/>
        <v/>
      </c>
      <c r="BO112" s="10" t="str">
        <f t="shared" si="88"/>
        <v/>
      </c>
      <c r="BQ112" s="10" t="str">
        <f t="shared" si="69"/>
        <v/>
      </c>
      <c r="BR112" s="10" t="str">
        <f t="shared" si="89"/>
        <v/>
      </c>
    </row>
    <row r="113" spans="2:70" x14ac:dyDescent="0.15">
      <c r="I113" s="458">
        <f t="shared" si="90"/>
        <v>2118</v>
      </c>
      <c r="J113" s="39"/>
      <c r="K113" s="39">
        <f t="shared" si="91"/>
        <v>99</v>
      </c>
      <c r="L113" s="39"/>
      <c r="M113" s="40">
        <f t="shared" si="54"/>
        <v>5.3593825045715457E-2</v>
      </c>
      <c r="N113" s="39"/>
      <c r="O113" s="72" t="str">
        <f t="shared" si="70"/>
        <v/>
      </c>
      <c r="P113" s="41" t="str">
        <f>IF(K113&lt;=$F$15,IF(OR(P112=$F$124,P112="-"),"-",IF(O113*$F$123&gt;$F$127,$F$123,$F$124)),"")</f>
        <v/>
      </c>
      <c r="Q113" s="39"/>
      <c r="R113" s="72" t="str">
        <f t="shared" si="71"/>
        <v/>
      </c>
      <c r="S113" s="39"/>
      <c r="T113" s="72" t="str">
        <f t="shared" si="72"/>
        <v/>
      </c>
      <c r="U113" s="39"/>
      <c r="V113" s="72" t="str">
        <f t="shared" si="56"/>
        <v/>
      </c>
      <c r="W113" s="72" t="str">
        <f t="shared" si="73"/>
        <v/>
      </c>
      <c r="X113" s="39"/>
      <c r="Y113" s="72" t="str">
        <f t="shared" si="57"/>
        <v/>
      </c>
      <c r="Z113" s="72" t="str">
        <f t="shared" si="74"/>
        <v/>
      </c>
      <c r="AA113" s="39"/>
      <c r="AB113" s="72" t="str">
        <f t="shared" si="58"/>
        <v/>
      </c>
      <c r="AC113" s="72" t="str">
        <f t="shared" si="75"/>
        <v/>
      </c>
      <c r="AD113" s="39"/>
      <c r="AE113" s="72" t="str">
        <f t="shared" si="59"/>
        <v/>
      </c>
      <c r="AF113" s="72" t="str">
        <f t="shared" si="76"/>
        <v/>
      </c>
      <c r="AG113" s="39"/>
      <c r="AH113" s="72" t="str">
        <f t="shared" si="60"/>
        <v/>
      </c>
      <c r="AI113" s="72" t="str">
        <f t="shared" si="77"/>
        <v/>
      </c>
      <c r="AJ113" s="39"/>
      <c r="AK113" s="72" t="str">
        <f t="shared" si="61"/>
        <v/>
      </c>
      <c r="AL113" s="72" t="str">
        <f t="shared" si="78"/>
        <v/>
      </c>
      <c r="AM113" s="39"/>
      <c r="AN113" s="72" t="str">
        <f t="shared" si="62"/>
        <v/>
      </c>
      <c r="AO113" s="72" t="str">
        <f t="shared" si="79"/>
        <v/>
      </c>
      <c r="AP113" s="39"/>
      <c r="AQ113" s="72" t="str">
        <f t="shared" si="63"/>
        <v/>
      </c>
      <c r="AR113" s="72" t="str">
        <f t="shared" si="80"/>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64"/>
        <v/>
      </c>
      <c r="AW113" s="72" t="str">
        <f t="shared" si="81"/>
        <v/>
      </c>
      <c r="AX113" s="39"/>
      <c r="AY113" s="40" t="str">
        <f>IF(ISERROR(IF($K113&lt;=$F$15,VLOOKUP($I113,'表4）CO2価格'!$A$7:$E$67,VLOOKUP($F$48,'表4）CO2価格'!$H$10:$I$12,2,0),0)*$F$8/1000,"")),0,IF($K113&lt;=$F$15,VLOOKUP($I113,'表4）CO2価格'!$A$7:$E$67,VLOOKUP($F$48,'表4）CO2価格'!$H$10:$I$12,2,0),0)*$F$8/1000,""))</f>
        <v/>
      </c>
      <c r="AZ113" s="39"/>
      <c r="BA113" s="42" t="str">
        <f t="shared" si="65"/>
        <v/>
      </c>
      <c r="BB113" s="72" t="str">
        <f t="shared" si="82"/>
        <v/>
      </c>
      <c r="BC113" s="39"/>
      <c r="BD113" s="72" t="str">
        <f t="shared" si="66"/>
        <v/>
      </c>
      <c r="BE113" s="72" t="str">
        <f t="shared" si="83"/>
        <v/>
      </c>
      <c r="BF113" s="39"/>
      <c r="BG113" s="42" t="str">
        <f t="shared" si="67"/>
        <v/>
      </c>
      <c r="BH113" s="72" t="str">
        <f t="shared" si="84"/>
        <v/>
      </c>
      <c r="BI113" s="39"/>
      <c r="BJ113" s="40" t="str">
        <f t="shared" si="85"/>
        <v/>
      </c>
      <c r="BK113" s="157" t="str">
        <f t="shared" si="86"/>
        <v/>
      </c>
      <c r="BL113" s="157" t="str">
        <f t="shared" si="68"/>
        <v/>
      </c>
      <c r="BM113" s="72"/>
      <c r="BN113" s="72" t="str">
        <f t="shared" si="87"/>
        <v/>
      </c>
      <c r="BO113" s="72" t="str">
        <f t="shared" si="88"/>
        <v/>
      </c>
      <c r="BP113" s="39"/>
      <c r="BQ113" s="72" t="str">
        <f t="shared" si="69"/>
        <v/>
      </c>
      <c r="BR113" s="72" t="str">
        <f t="shared" si="89"/>
        <v/>
      </c>
    </row>
    <row r="114" spans="2:70" x14ac:dyDescent="0.15">
      <c r="I114" s="459">
        <f t="shared" si="90"/>
        <v>2119</v>
      </c>
      <c r="J114" s="71"/>
      <c r="K114" s="71">
        <f t="shared" si="91"/>
        <v>100</v>
      </c>
      <c r="L114" s="71"/>
      <c r="M114" s="7">
        <f t="shared" si="54"/>
        <v>5.2032839850209185E-2</v>
      </c>
      <c r="N114" s="71"/>
      <c r="O114" s="10" t="str">
        <f t="shared" si="70"/>
        <v/>
      </c>
      <c r="P114" s="29" t="str">
        <f>IF(K114&lt;=$F$15,IF(OR(P113=$F$124,P113="-"),"-",IF(O114*$F$123&gt;$F$127,$F$123,$F$124)),"")</f>
        <v/>
      </c>
      <c r="Q114" s="71"/>
      <c r="R114" s="10" t="str">
        <f t="shared" si="71"/>
        <v/>
      </c>
      <c r="S114" s="71"/>
      <c r="T114" s="10" t="str">
        <f t="shared" si="72"/>
        <v/>
      </c>
      <c r="U114" s="71"/>
      <c r="V114" s="10" t="str">
        <f t="shared" si="56"/>
        <v/>
      </c>
      <c r="W114" s="10" t="str">
        <f t="shared" si="73"/>
        <v/>
      </c>
      <c r="X114" s="71"/>
      <c r="Y114" s="10" t="str">
        <f t="shared" si="57"/>
        <v/>
      </c>
      <c r="Z114" s="10" t="str">
        <f t="shared" si="74"/>
        <v/>
      </c>
      <c r="AA114" s="71"/>
      <c r="AB114" s="10" t="str">
        <f t="shared" si="58"/>
        <v/>
      </c>
      <c r="AC114" s="10" t="str">
        <f t="shared" si="75"/>
        <v/>
      </c>
      <c r="AD114" s="71"/>
      <c r="AE114" s="10" t="str">
        <f t="shared" si="59"/>
        <v/>
      </c>
      <c r="AF114" s="10" t="str">
        <f t="shared" si="76"/>
        <v/>
      </c>
      <c r="AG114" s="71"/>
      <c r="AH114" s="10" t="str">
        <f t="shared" si="60"/>
        <v/>
      </c>
      <c r="AI114" s="10" t="str">
        <f t="shared" si="77"/>
        <v/>
      </c>
      <c r="AJ114" s="71"/>
      <c r="AK114" s="10" t="str">
        <f t="shared" si="61"/>
        <v/>
      </c>
      <c r="AL114" s="10" t="str">
        <f t="shared" si="78"/>
        <v/>
      </c>
      <c r="AM114" s="71"/>
      <c r="AN114" s="10" t="str">
        <f t="shared" si="62"/>
        <v/>
      </c>
      <c r="AO114" s="10" t="str">
        <f t="shared" si="79"/>
        <v/>
      </c>
      <c r="AP114" s="71"/>
      <c r="AQ114" s="10" t="str">
        <f t="shared" si="63"/>
        <v/>
      </c>
      <c r="AR114" s="10" t="str">
        <f t="shared" si="80"/>
        <v/>
      </c>
      <c r="AS114" s="71"/>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U114" s="71"/>
      <c r="AV114" s="10" t="str">
        <f t="shared" si="64"/>
        <v/>
      </c>
      <c r="AW114" s="10" t="str">
        <f t="shared" si="81"/>
        <v/>
      </c>
      <c r="AX114" s="71"/>
      <c r="AY114" s="7" t="str">
        <f>IF(ISERROR(IF($K114&lt;=$F$15,VLOOKUP($I114,'表4）CO2価格'!$A$7:$E$67,VLOOKUP($F$48,'表4）CO2価格'!$H$10:$I$12,2,0),0)*$F$8/1000,"")),0,IF($K114&lt;=$F$15,VLOOKUP($I114,'表4）CO2価格'!$A$7:$E$67,VLOOKUP($F$48,'表4）CO2価格'!$H$10:$I$12,2,0),0)*$F$8/1000,""))</f>
        <v/>
      </c>
      <c r="AZ114" s="71"/>
      <c r="BA114" s="11" t="str">
        <f t="shared" si="65"/>
        <v/>
      </c>
      <c r="BB114" s="10" t="str">
        <f t="shared" si="82"/>
        <v/>
      </c>
      <c r="BC114" s="71"/>
      <c r="BD114" s="10" t="str">
        <f t="shared" si="66"/>
        <v/>
      </c>
      <c r="BE114" s="10" t="str">
        <f t="shared" si="83"/>
        <v/>
      </c>
      <c r="BF114" s="71"/>
      <c r="BG114" s="11" t="str">
        <f t="shared" si="67"/>
        <v/>
      </c>
      <c r="BH114" s="10" t="str">
        <f t="shared" si="84"/>
        <v/>
      </c>
      <c r="BJ114" s="7" t="str">
        <f t="shared" si="85"/>
        <v/>
      </c>
      <c r="BK114" s="158" t="str">
        <f t="shared" si="86"/>
        <v/>
      </c>
      <c r="BL114" s="158" t="str">
        <f t="shared" si="68"/>
        <v/>
      </c>
      <c r="BM114" s="10"/>
      <c r="BN114" s="10" t="str">
        <f t="shared" si="87"/>
        <v/>
      </c>
      <c r="BO114" s="10" t="str">
        <f t="shared" si="88"/>
        <v/>
      </c>
      <c r="BQ114" s="10" t="str">
        <f t="shared" si="69"/>
        <v/>
      </c>
      <c r="BR114" s="10" t="str">
        <f t="shared" si="89"/>
        <v/>
      </c>
    </row>
    <row r="115" spans="2:70" ht="15.75" thickBot="1" x14ac:dyDescent="0.2">
      <c r="B115" s="460" t="s">
        <v>515</v>
      </c>
      <c r="C115" s="86"/>
      <c r="D115" s="104"/>
      <c r="E115" s="104"/>
      <c r="F115" s="86"/>
      <c r="G115" s="104"/>
      <c r="I115" s="464"/>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9" t="s">
        <v>516</v>
      </c>
      <c r="J116" s="71"/>
      <c r="K116" s="71"/>
      <c r="L116" s="71"/>
      <c r="M116" s="71"/>
      <c r="N116" s="71"/>
      <c r="O116" s="71"/>
      <c r="P116" s="71"/>
      <c r="Q116" s="71"/>
      <c r="R116" s="71"/>
      <c r="S116" s="71"/>
      <c r="T116" s="71"/>
      <c r="U116" s="71"/>
      <c r="V116" s="71"/>
      <c r="W116" s="11"/>
      <c r="X116" s="71"/>
      <c r="Y116" s="71"/>
      <c r="Z116" s="11">
        <f>SUM(Z15:Z114)</f>
        <v>8832686644.0668011</v>
      </c>
      <c r="AA116" s="71"/>
      <c r="AB116" s="71"/>
      <c r="AC116" s="11">
        <f>SUM(AC15:AC114)</f>
        <v>1547665603.9065976</v>
      </c>
      <c r="AD116" s="71"/>
      <c r="AE116" s="71"/>
      <c r="AF116" s="11">
        <f>SUM(AF15:AF114)</f>
        <v>0</v>
      </c>
      <c r="AG116" s="71"/>
      <c r="AH116" s="71"/>
      <c r="AI116" s="11">
        <f>SUM(AI15:AI114)</f>
        <v>4391806675.099226</v>
      </c>
      <c r="AJ116" s="71"/>
      <c r="AK116" s="71"/>
      <c r="AL116" s="11">
        <f>SUM(AL15:AL114)</f>
        <v>43270853135.714462</v>
      </c>
      <c r="AM116" s="71"/>
      <c r="AN116" s="71"/>
      <c r="AO116" s="11">
        <f>SUM(AO15:AO114)</f>
        <v>21635426567.857231</v>
      </c>
      <c r="AP116" s="71"/>
      <c r="AQ116" s="71"/>
      <c r="AR116" s="11">
        <f>SUM(AR15:AR114)</f>
        <v>6451651841.8542643</v>
      </c>
      <c r="AS116" s="71"/>
      <c r="AT116" s="71"/>
      <c r="AU116" s="71"/>
      <c r="AV116" s="71"/>
      <c r="AW116" s="11">
        <f>SUM(AW15:AW114)</f>
        <v>341796783786.25964</v>
      </c>
      <c r="AX116" s="71"/>
      <c r="AY116" s="71"/>
      <c r="AZ116" s="71"/>
      <c r="BA116" s="71"/>
      <c r="BB116" s="11">
        <f>SUM(BB15:BB114)</f>
        <v>81969589606.381042</v>
      </c>
      <c r="BC116" s="71"/>
      <c r="BD116" s="71"/>
      <c r="BE116" s="11">
        <f>SUM(BE15:BE114)</f>
        <v>0</v>
      </c>
      <c r="BF116" s="71"/>
      <c r="BG116" s="71"/>
      <c r="BH116" s="11">
        <f>SUM(BH15:BH114)</f>
        <v>0</v>
      </c>
      <c r="BK116" s="11">
        <f>SUM(BK15:BK114)</f>
        <v>0</v>
      </c>
      <c r="BL116" s="11">
        <f>SUM(BL15:BL114)</f>
        <v>0</v>
      </c>
      <c r="BO116" s="11">
        <f>SUM(BO15:BO114)</f>
        <v>0</v>
      </c>
      <c r="BQ116" s="71"/>
      <c r="BR116" s="11">
        <f>SUM(BR15:BR114)</f>
        <v>23131932380.920094</v>
      </c>
    </row>
    <row r="117" spans="2:70" x14ac:dyDescent="0.15">
      <c r="C117" s="9" t="s">
        <v>529</v>
      </c>
      <c r="F117" s="44">
        <f>F21*10^4*F13*10^4+F29*10^8</f>
        <v>104000000000</v>
      </c>
      <c r="G117" s="81" t="s">
        <v>208</v>
      </c>
      <c r="I117" s="236" t="s">
        <v>145</v>
      </c>
      <c r="J117" s="71"/>
      <c r="K117" s="71"/>
      <c r="L117" s="71"/>
      <c r="M117" s="71"/>
      <c r="N117" s="71"/>
      <c r="O117" s="71"/>
      <c r="P117" s="71"/>
      <c r="Q117" s="71"/>
      <c r="R117" s="71"/>
      <c r="S117" s="71"/>
      <c r="T117" s="71"/>
      <c r="U117" s="71"/>
      <c r="V117" s="71"/>
      <c r="W117" s="11"/>
      <c r="X117" s="71"/>
      <c r="Y117" s="71"/>
      <c r="Z117" s="11" t="str">
        <f ca="1">IF(ISNUMBER($F$16),SUM(INDIRECT(ADDRESS($F$16+15,COLUMN())):INDIRECT(ADDRESS(114,COLUMN()))),"")</f>
        <v/>
      </c>
      <c r="AA117" s="71"/>
      <c r="AB117" s="71"/>
      <c r="AC117" s="11" t="str">
        <f ca="1">IF(ISNUMBER($F$16),SUM(INDIRECT(ADDRESS($F$16+15,COLUMN())):INDIRECT(ADDRESS(114,COLUMN()))),"")</f>
        <v/>
      </c>
      <c r="AD117" s="71"/>
      <c r="AE117" s="71"/>
      <c r="AF117" s="11" t="str">
        <f ca="1">IF(ISNUMBER($F$16),SUM(INDIRECT(ADDRESS($F$16+15,COLUMN())):INDIRECT(ADDRESS(114,COLUMN()))),"")</f>
        <v/>
      </c>
      <c r="AG117" s="71"/>
      <c r="AH117" s="71"/>
      <c r="AI117" s="11" t="str">
        <f ca="1">IF(ISNUMBER($F$16),SUM(INDIRECT(ADDRESS($F$16+15,COLUMN())):INDIRECT(ADDRESS(114,COLUMN()))),"")</f>
        <v/>
      </c>
      <c r="AJ117" s="71"/>
      <c r="AK117" s="71"/>
      <c r="AL117" s="11" t="str">
        <f ca="1">IF(ISNUMBER($F$16),SUM(INDIRECT(ADDRESS($F$16+15,COLUMN())):INDIRECT(ADDRESS(114,COLUMN()))),"")</f>
        <v/>
      </c>
      <c r="AM117" s="71"/>
      <c r="AN117" s="71"/>
      <c r="AO117" s="11" t="str">
        <f ca="1">IF(ISNUMBER($F$16),SUM(INDIRECT(ADDRESS($F$16+15,COLUMN())):INDIRECT(ADDRESS(114,COLUMN()))),"")</f>
        <v/>
      </c>
      <c r="AP117" s="71"/>
      <c r="AQ117" s="71"/>
      <c r="AR117" s="11" t="str">
        <f ca="1">IF(ISNUMBER($F$16),SUM(INDIRECT(ADDRESS($F$16+15,COLUMN())):INDIRECT(ADDRESS(114,COLUMN()))),"")</f>
        <v/>
      </c>
      <c r="AS117" s="71"/>
      <c r="AT117" s="71"/>
      <c r="AU117" s="71"/>
      <c r="AV117" s="71"/>
      <c r="AW117" s="11" t="str">
        <f ca="1">IF(ISNUMBER($F$16),SUM(INDIRECT(ADDRESS($F$16+15,COLUMN())):INDIRECT(ADDRESS(114,COLUMN()))),"")</f>
        <v/>
      </c>
      <c r="AX117" s="71"/>
      <c r="AY117" s="71"/>
      <c r="AZ117" s="71"/>
      <c r="BA117" s="71"/>
      <c r="BB117" s="11" t="str">
        <f ca="1">IF(ISNUMBER($F$16),SUM(INDIRECT(ADDRESS($F$16+15,COLUMN())):INDIRECT(ADDRESS(114,COLUMN()))),"")</f>
        <v/>
      </c>
      <c r="BC117" s="71"/>
      <c r="BD117" s="71"/>
      <c r="BE117" s="11" t="str">
        <f ca="1">IF(ISNUMBER($F$16),SUM(INDIRECT(ADDRESS($F$16+15,COLUMN())):INDIRECT(ADDRESS(114,COLUMN()))),"")</f>
        <v/>
      </c>
      <c r="BF117" s="71"/>
      <c r="BG117" s="71"/>
      <c r="BH117" s="11" t="str">
        <f ca="1">IF(ISNUMBER($F$16),SUM(INDIRECT(ADDRESS($F$16+15,COLUMN())):INDIRECT(ADDRESS(114,COLUMN()))),"")</f>
        <v/>
      </c>
      <c r="BK117" s="11" t="str">
        <f ca="1">IF(ISNUMBER($F$16),SUM(INDIRECT(ADDRESS($F$16+15,COLUMN())):INDIRECT(ADDRESS(114,COLUMN()))),"")</f>
        <v/>
      </c>
      <c r="BL117" s="11" t="str">
        <f ca="1">IF(ISNUMBER($F$16),SUM(INDIRECT(ADDRESS($F$16+15,COLUMN())):INDIRECT(ADDRESS(114,COLUMN()))),"")</f>
        <v/>
      </c>
      <c r="BO117" s="11" t="str">
        <f ca="1">IF(ISNUMBER($F$16),SUM(INDIRECT(ADDRESS($F$16+15,COLUMN())):INDIRECT(ADDRESS(114,COLUMN()))),"")</f>
        <v/>
      </c>
      <c r="BQ117" s="71"/>
      <c r="BR117" s="11" t="str">
        <f ca="1">IF(ISNUMBER($F$16),SUM(INDIRECT(ADDRESS($F$16+15,COLUMN())):INDIRECT(ADDRESS(114,COLUMN()))),"")</f>
        <v/>
      </c>
    </row>
    <row r="119" spans="2:70" x14ac:dyDescent="0.15">
      <c r="C119" s="9" t="s">
        <v>521</v>
      </c>
      <c r="F119" s="44">
        <f>VLOOKUP(F3,'表2）法定耐用年数'!$A$2:$B$24,2,0)</f>
        <v>15</v>
      </c>
      <c r="G119" s="81" t="s">
        <v>108</v>
      </c>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Q119" s="71"/>
      <c r="BR119" s="71"/>
    </row>
    <row r="121" spans="2:70" x14ac:dyDescent="0.15">
      <c r="C121" s="89" t="s">
        <v>522</v>
      </c>
      <c r="D121" s="101"/>
      <c r="E121" s="101"/>
      <c r="F121" s="89"/>
      <c r="G121" s="10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Q121" s="71"/>
      <c r="BR121" s="71"/>
    </row>
    <row r="123" spans="2:70" x14ac:dyDescent="0.15">
      <c r="D123" s="81" t="s">
        <v>209</v>
      </c>
      <c r="F123" s="95">
        <f>VLOOKUP($F$119,'表1）減価償却率表'!$A$9:$E$107,3,0)</f>
        <v>0.16700000000000001</v>
      </c>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Q123" s="71"/>
      <c r="BR123" s="71"/>
    </row>
    <row r="124" spans="2:70" x14ac:dyDescent="0.15">
      <c r="D124" s="81" t="s">
        <v>210</v>
      </c>
      <c r="F124" s="95">
        <f>VLOOKUP($F$119,'表1）減価償却率表'!$A$9:$E$107,4,0)</f>
        <v>0.2</v>
      </c>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Q124" s="71"/>
      <c r="BR124" s="71"/>
    </row>
    <row r="125" spans="2:70" x14ac:dyDescent="0.15">
      <c r="D125" s="81" t="s">
        <v>211</v>
      </c>
      <c r="F125" s="88">
        <f>VLOOKUP($F$119,'表1）減価償却率表'!$A$9:$E$107,5,0)</f>
        <v>3.2169999999999997E-2</v>
      </c>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Q125" s="71"/>
      <c r="BR125" s="71"/>
    </row>
    <row r="126" spans="2:70" x14ac:dyDescent="0.15">
      <c r="F126" s="96"/>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Q126" s="71"/>
      <c r="BR126" s="71"/>
    </row>
    <row r="127" spans="2:70" x14ac:dyDescent="0.15">
      <c r="C127" s="111" t="s">
        <v>523</v>
      </c>
      <c r="D127" s="85"/>
      <c r="E127" s="114"/>
      <c r="F127" s="44">
        <f>F117*F125</f>
        <v>3345679999.9999995</v>
      </c>
      <c r="G127" s="81" t="s">
        <v>208</v>
      </c>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Q127" s="71"/>
      <c r="BR127" s="71"/>
    </row>
    <row r="129" spans="3:7" x14ac:dyDescent="0.15">
      <c r="C129" s="111" t="s">
        <v>152</v>
      </c>
      <c r="D129" s="85"/>
      <c r="E129" s="85"/>
      <c r="F129" s="95">
        <f>0.1^(1/F119)</f>
        <v>0.85769589859089412</v>
      </c>
      <c r="G129" s="85"/>
    </row>
    <row r="131" spans="3:7" x14ac:dyDescent="0.15">
      <c r="C131" s="89" t="s">
        <v>524</v>
      </c>
      <c r="D131" s="101"/>
      <c r="E131" s="101"/>
      <c r="F131" s="89"/>
      <c r="G131" s="101"/>
    </row>
    <row r="133" spans="3:7" x14ac:dyDescent="0.15">
      <c r="D133" s="81" t="s">
        <v>212</v>
      </c>
      <c r="F133" s="44">
        <f>F13*10000*24*365*F14/100</f>
        <v>1051200000</v>
      </c>
      <c r="G133" s="81" t="s">
        <v>213</v>
      </c>
    </row>
    <row r="134" spans="3:7" x14ac:dyDescent="0.15">
      <c r="D134" s="81" t="s">
        <v>214</v>
      </c>
      <c r="F134" s="44">
        <f>F133*(1-F24/100)</f>
        <v>1000742400</v>
      </c>
      <c r="G134" s="81" t="s">
        <v>213</v>
      </c>
    </row>
    <row r="135" spans="3:7" x14ac:dyDescent="0.15">
      <c r="F135" s="97"/>
    </row>
    <row r="137" spans="3:7" ht="16.5" x14ac:dyDescent="0.15">
      <c r="C137" s="9" t="s">
        <v>525</v>
      </c>
      <c r="F137" s="44">
        <f>IF(ISERROR(F133*3.6/(F23/100)/F22),0,F133*3.6/(F23/100)/F22)</f>
        <v>233086346.75437459</v>
      </c>
      <c r="G137" s="9" t="s">
        <v>370</v>
      </c>
    </row>
    <row r="139" spans="3:7" x14ac:dyDescent="0.15">
      <c r="C139" s="89" t="s">
        <v>526</v>
      </c>
      <c r="D139" s="101"/>
      <c r="E139" s="101"/>
      <c r="F139" s="89"/>
      <c r="G139" s="101"/>
    </row>
    <row r="141" spans="3:7" x14ac:dyDescent="0.15">
      <c r="D141" s="81" t="s">
        <v>215</v>
      </c>
      <c r="F141" s="98">
        <f>IF(OR(F3="石炭火力",F3= "LNG火力", F3="ガスコジェネ",F3="バイオマス（石炭混焼）",F3="バイオマス（木質専焼）",F3="燃料電池"),IF($F$43="需要地価格","",1000),IF(OR(F3="石油火力",F3="石油コジェネ"),IF($F$43="需要地価格","",158.987294928),""))</f>
        <v>158.98729492800001</v>
      </c>
      <c r="G141" s="81" t="s">
        <v>216</v>
      </c>
    </row>
    <row r="142" spans="3:7" x14ac:dyDescent="0.15">
      <c r="D142" s="81" t="s">
        <v>180</v>
      </c>
      <c r="F142" s="91">
        <f>IF(ISERROR(F42/1000),0,F42/1000)</f>
        <v>7.6</v>
      </c>
      <c r="G142" s="81" t="s">
        <v>217</v>
      </c>
    </row>
    <row r="145" spans="3:7" x14ac:dyDescent="0.15">
      <c r="C145" s="9" t="s">
        <v>368</v>
      </c>
      <c r="F145" s="98">
        <f>IF(ISERROR(F133*(F47*3.6/(F23/100)/1000*(44/12))),0,F133*(F47*3.6/(F23/100)/1000*(44/12)))</f>
        <v>714427864.61538458</v>
      </c>
      <c r="G145" s="81" t="s">
        <v>218</v>
      </c>
    </row>
    <row r="147" spans="3:7" x14ac:dyDescent="0.15">
      <c r="C147" s="89" t="s">
        <v>369</v>
      </c>
      <c r="D147" s="101"/>
      <c r="E147" s="101"/>
      <c r="F147" s="89"/>
      <c r="G147" s="101"/>
    </row>
    <row r="149" spans="3:7" x14ac:dyDescent="0.15">
      <c r="D149" s="81" t="s">
        <v>219</v>
      </c>
      <c r="F149" s="98">
        <f>IF(ISERROR(F52/F23),0,F52/F23)</f>
        <v>0</v>
      </c>
    </row>
    <row r="150" spans="3:7" x14ac:dyDescent="0.15">
      <c r="D150" s="81" t="s">
        <v>220</v>
      </c>
      <c r="F150" s="98">
        <f>F133*F149*(F53/100)*3.6</f>
        <v>0</v>
      </c>
      <c r="G150" s="81" t="s">
        <v>221</v>
      </c>
    </row>
    <row r="151" spans="3:7" ht="16.5" x14ac:dyDescent="0.15">
      <c r="D151" s="81" t="s">
        <v>222</v>
      </c>
      <c r="F151" s="44">
        <f>IF(ISERROR(F150/(F54/100)/F55),0,F150/(F54/100)/F55)</f>
        <v>0</v>
      </c>
      <c r="G151" s="9" t="s">
        <v>370</v>
      </c>
    </row>
    <row r="152" spans="3:7" x14ac:dyDescent="0.15">
      <c r="D152" s="81" t="s">
        <v>223</v>
      </c>
      <c r="F152" s="146">
        <f>IF(ISERROR(F56/1000),0,F56/1000)</f>
        <v>0</v>
      </c>
      <c r="G152" s="81" t="s">
        <v>217</v>
      </c>
    </row>
    <row r="153" spans="3:7" x14ac:dyDescent="0.15">
      <c r="D153" s="81" t="s">
        <v>224</v>
      </c>
      <c r="F153" s="98">
        <f>IF(ISERROR(F150*F47/1000*(44/12)/(F54/100)),0,F150*F47/1000*(44/12)/(F54/100))</f>
        <v>0</v>
      </c>
      <c r="G153" s="81" t="s">
        <v>218</v>
      </c>
    </row>
  </sheetData>
  <mergeCells count="48">
    <mergeCell ref="F3:G3"/>
    <mergeCell ref="AR12:AR13"/>
    <mergeCell ref="AW12:AW13"/>
    <mergeCell ref="BB12:BB13"/>
    <mergeCell ref="BE12:BE13"/>
    <mergeCell ref="AE9:AF10"/>
    <mergeCell ref="AH9:AI10"/>
    <mergeCell ref="AK9:AL10"/>
    <mergeCell ref="I9:I10"/>
    <mergeCell ref="K9:K10"/>
    <mergeCell ref="M9:M10"/>
    <mergeCell ref="O9:P10"/>
    <mergeCell ref="R9:R10"/>
    <mergeCell ref="T9:T10"/>
    <mergeCell ref="V7:AF7"/>
    <mergeCell ref="AH7:AR7"/>
    <mergeCell ref="BH12:BH13"/>
    <mergeCell ref="AO12:AO13"/>
    <mergeCell ref="AN9:AO10"/>
    <mergeCell ref="AQ9:AR10"/>
    <mergeCell ref="AT9:AT10"/>
    <mergeCell ref="BR12:BR13"/>
    <mergeCell ref="BD9:BE10"/>
    <mergeCell ref="BG9:BH10"/>
    <mergeCell ref="P12:P13"/>
    <mergeCell ref="W12:W13"/>
    <mergeCell ref="Z12:Z13"/>
    <mergeCell ref="AC12:AC13"/>
    <mergeCell ref="AF12:AF13"/>
    <mergeCell ref="AI12:AI13"/>
    <mergeCell ref="AL12:AL13"/>
    <mergeCell ref="AV9:AW10"/>
    <mergeCell ref="AY9:AY10"/>
    <mergeCell ref="BA9:BB10"/>
    <mergeCell ref="V9:W10"/>
    <mergeCell ref="Y9:Z10"/>
    <mergeCell ref="AB9:AC10"/>
    <mergeCell ref="AT7:AW7"/>
    <mergeCell ref="AY7:BB7"/>
    <mergeCell ref="BD7:BH7"/>
    <mergeCell ref="BQ7:BR7"/>
    <mergeCell ref="BJ7:BO7"/>
    <mergeCell ref="BJ12:BJ13"/>
    <mergeCell ref="BL12:BL13"/>
    <mergeCell ref="BJ9:BL10"/>
    <mergeCell ref="BN9:BO10"/>
    <mergeCell ref="BK12:BK13"/>
    <mergeCell ref="BO12:BO13"/>
  </mergeCells>
  <phoneticPr fontId="15"/>
  <dataValidations count="4">
    <dataValidation type="list" allowBlank="1" showDropDown="1" showInputMessage="1" showErrorMessage="1" sqref="F48 F41" xr:uid="{00000000-0002-0000-0700-000000000000}">
      <formula1>"現行政策シナリオ, 新政策シナリオ"</formula1>
    </dataValidation>
    <dataValidation type="whole" allowBlank="1" showInputMessage="1" showErrorMessage="1" sqref="F7" xr:uid="{00000000-0002-0000-0700-000001000000}">
      <formula1>2010</formula1>
      <formula2>2030</formula2>
    </dataValidation>
    <dataValidation type="list" allowBlank="1" showDropDown="1" showInputMessage="1" showErrorMessage="1" sqref="F43" xr:uid="{00000000-0002-0000-0700-000002000000}">
      <formula1>"CIF価格, 需要地価格"</formula1>
    </dataValidation>
    <dataValidation type="list" allowBlank="1" showDropDown="1" showInputMessage="1" showErrorMessage="1" sqref="F3:G3" xr:uid="{00000000-0002-0000-0700-000003000000}">
      <formula1>"原子力,石炭火力,LNG火力,石油火力,一般水力,太陽光（メガソーラー）,太陽光（住宅）,風力（陸上）,風力（洋上）,小水力,地熱,バイオマス（石炭混焼）,バイオマス（木質専焼）,ガスコジェネ,石油コジェネ,燃料電池"</formula1>
    </dataValidation>
  </dataValidations>
  <pageMargins left="0.59055118110236227" right="0.59055118110236227" top="0.59055118110236227" bottom="0.59055118110236227" header="0.31496062992125984" footer="0.31496062992125984"/>
  <pageSetup paperSize="8" scale="2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R153"/>
  <sheetViews>
    <sheetView showGridLines="0" zoomScale="85" zoomScaleNormal="85" workbookViewId="0">
      <pane xSplit="10" ySplit="14" topLeftCell="K108" activePane="bottomRight" state="frozen"/>
      <selection pane="topRight" activeCell="AF12" sqref="AF12:AF13"/>
      <selection pane="bottomLeft" activeCell="AF12" sqref="AF12:AF13"/>
      <selection pane="bottomRight" sqref="A1:I1048576"/>
    </sheetView>
  </sheetViews>
  <sheetFormatPr defaultColWidth="9" defaultRowHeight="14.25" outlineLevelCol="1" x14ac:dyDescent="0.15"/>
  <cols>
    <col min="1" max="3" width="6.25" style="9" customWidth="1"/>
    <col min="4" max="4" width="6.25" style="81" customWidth="1"/>
    <col min="5" max="5" width="24.375" style="81" customWidth="1"/>
    <col min="6" max="6" width="18.75" style="9" customWidth="1"/>
    <col min="7" max="7" width="24.375" style="81" bestFit="1" customWidth="1"/>
    <col min="8" max="8" width="9" style="9"/>
    <col min="9" max="9" width="6.25" style="9" customWidth="1"/>
    <col min="10" max="10" width="3" style="2" customWidth="1"/>
    <col min="11" max="11" width="6.25" style="2" customWidth="1"/>
    <col min="12" max="12" width="3" style="2" customWidth="1"/>
    <col min="13" max="13" width="6.25" style="2" customWidth="1"/>
    <col min="14" max="14" width="3" style="2" customWidth="1"/>
    <col min="15" max="15" width="17.375" style="2" bestFit="1" customWidth="1"/>
    <col min="16" max="16" width="8.625" style="2" customWidth="1"/>
    <col min="17" max="17" width="3" style="2" customWidth="1"/>
    <col min="18" max="18" width="17.375" style="2" bestFit="1" customWidth="1"/>
    <col min="19" max="19" width="3" style="2" customWidth="1"/>
    <col min="20" max="20" width="17.375" style="2" bestFit="1" customWidth="1"/>
    <col min="21" max="21" width="3" style="2" customWidth="1"/>
    <col min="22" max="22" width="15" style="2" customWidth="1" outlineLevel="1"/>
    <col min="23" max="23" width="17.375" style="2" bestFit="1" customWidth="1"/>
    <col min="24" max="24" width="3" style="2" customWidth="1"/>
    <col min="25" max="25" width="15" style="2" customWidth="1" outlineLevel="1"/>
    <col min="26" max="26" width="15" style="2" customWidth="1"/>
    <col min="27" max="27" width="3" style="2" customWidth="1"/>
    <col min="28" max="28" width="15" style="2" customWidth="1" outlineLevel="1"/>
    <col min="29" max="29" width="15" style="2" customWidth="1"/>
    <col min="30" max="30" width="3" style="2" customWidth="1"/>
    <col min="31" max="31" width="15" style="2" customWidth="1" outlineLevel="1"/>
    <col min="32" max="32" width="15" style="2" customWidth="1"/>
    <col min="33" max="33" width="3" style="2" customWidth="1"/>
    <col min="34" max="34" width="14.875" style="2" customWidth="1" outlineLevel="1"/>
    <col min="35" max="35" width="15" style="2" customWidth="1"/>
    <col min="36" max="36" width="3" style="2" customWidth="1"/>
    <col min="37" max="37" width="15" style="2" customWidth="1" outlineLevel="1"/>
    <col min="38" max="38" width="15" style="2" customWidth="1"/>
    <col min="39" max="39" width="3" style="2" customWidth="1"/>
    <col min="40" max="40" width="15" style="2" customWidth="1" outlineLevel="1"/>
    <col min="41" max="41" width="15" style="2" customWidth="1"/>
    <col min="42" max="42" width="3" style="2" customWidth="1"/>
    <col min="43" max="43" width="15" style="2" customWidth="1" outlineLevel="1"/>
    <col min="44" max="44" width="15" style="2" customWidth="1"/>
    <col min="45" max="45" width="3" style="2" customWidth="1"/>
    <col min="46" max="46" width="10.75" style="2" bestFit="1" customWidth="1"/>
    <col min="47" max="47" width="3" style="2" customWidth="1"/>
    <col min="48" max="48" width="15" style="2" customWidth="1" outlineLevel="1"/>
    <col min="49" max="49" width="17.375" style="2" bestFit="1" customWidth="1"/>
    <col min="50" max="50" width="3" style="2" customWidth="1"/>
    <col min="51" max="51" width="9.625" style="2" bestFit="1" customWidth="1"/>
    <col min="52" max="52" width="3" style="2" customWidth="1"/>
    <col min="53" max="53" width="15" style="2" customWidth="1" outlineLevel="1"/>
    <col min="54" max="54" width="17.375" style="2" bestFit="1" customWidth="1"/>
    <col min="55" max="55" width="3" style="2" customWidth="1"/>
    <col min="56" max="56" width="19.25" style="2" customWidth="1" outlineLevel="1"/>
    <col min="57" max="57" width="19.25" style="2" bestFit="1" customWidth="1"/>
    <col min="58" max="58" width="3" style="2" customWidth="1"/>
    <col min="59" max="59" width="19.25" style="2" customWidth="1" outlineLevel="1"/>
    <col min="60" max="60" width="19.25" style="2" bestFit="1" customWidth="1"/>
    <col min="61" max="61" width="3" style="71" customWidth="1"/>
    <col min="62" max="62" width="6.25" style="71" customWidth="1" outlineLevel="1"/>
    <col min="63" max="64" width="15" style="71" customWidth="1" outlineLevel="1"/>
    <col min="65" max="65" width="3" style="71" customWidth="1" outlineLevel="1"/>
    <col min="66" max="66" width="15" style="71" customWidth="1" outlineLevel="1"/>
    <col min="67" max="67" width="17.375" style="71" bestFit="1" customWidth="1"/>
    <col min="68" max="68" width="3" style="71" customWidth="1"/>
    <col min="69" max="69" width="15" style="2" customWidth="1" outlineLevel="1"/>
    <col min="70" max="70" width="17.375" style="2" bestFit="1" customWidth="1"/>
    <col min="71" max="16384" width="9" style="2"/>
  </cols>
  <sheetData>
    <row r="1" spans="1:70" ht="18.75" x14ac:dyDescent="0.15">
      <c r="A1" s="465" t="s">
        <v>60</v>
      </c>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Q1" s="71"/>
      <c r="BR1" s="71"/>
    </row>
    <row r="3" spans="1:70" ht="23.25" x14ac:dyDescent="0.15">
      <c r="B3" s="462" t="s">
        <v>517</v>
      </c>
      <c r="F3" s="724" t="s">
        <v>534</v>
      </c>
      <c r="G3" s="725"/>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Q3" s="71"/>
      <c r="BR3" s="71"/>
    </row>
    <row r="4" spans="1:70" x14ac:dyDescent="0.15">
      <c r="G4" s="112"/>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Q4" s="71"/>
      <c r="BR4" s="71"/>
    </row>
    <row r="5" spans="1:70" ht="15.75" thickBot="1" x14ac:dyDescent="0.2">
      <c r="B5" s="460" t="s">
        <v>518</v>
      </c>
      <c r="C5" s="86"/>
      <c r="D5" s="104"/>
      <c r="E5" s="104"/>
      <c r="F5" s="86"/>
      <c r="G5" s="104"/>
      <c r="I5" s="460" t="s">
        <v>531</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70" x14ac:dyDescent="0.15">
      <c r="I6" s="111"/>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ht="23.25" x14ac:dyDescent="0.15">
      <c r="C7" s="9" t="s">
        <v>65</v>
      </c>
      <c r="F7" s="87">
        <v>2030</v>
      </c>
      <c r="I7" s="111"/>
      <c r="J7" s="8"/>
      <c r="K7" s="8"/>
      <c r="L7" s="8"/>
      <c r="M7" s="8"/>
      <c r="N7" s="8"/>
      <c r="O7" s="4" t="s">
        <v>66</v>
      </c>
      <c r="P7" s="4"/>
      <c r="Q7" s="4"/>
      <c r="R7" s="4"/>
      <c r="S7" s="4"/>
      <c r="T7" s="4"/>
      <c r="U7" s="8"/>
      <c r="V7" s="711" t="s">
        <v>67</v>
      </c>
      <c r="W7" s="711"/>
      <c r="X7" s="711"/>
      <c r="Y7" s="711"/>
      <c r="Z7" s="711"/>
      <c r="AA7" s="711"/>
      <c r="AB7" s="711"/>
      <c r="AC7" s="711"/>
      <c r="AD7" s="711"/>
      <c r="AE7" s="711"/>
      <c r="AF7" s="711"/>
      <c r="AG7" s="8"/>
      <c r="AH7" s="711" t="s">
        <v>68</v>
      </c>
      <c r="AI7" s="711"/>
      <c r="AJ7" s="711"/>
      <c r="AK7" s="711"/>
      <c r="AL7" s="711"/>
      <c r="AM7" s="711"/>
      <c r="AN7" s="711"/>
      <c r="AO7" s="711"/>
      <c r="AP7" s="711"/>
      <c r="AQ7" s="711"/>
      <c r="AR7" s="711"/>
      <c r="AS7" s="8"/>
      <c r="AT7" s="711" t="s">
        <v>69</v>
      </c>
      <c r="AU7" s="711"/>
      <c r="AV7" s="711"/>
      <c r="AW7" s="711"/>
      <c r="AX7" s="8"/>
      <c r="AY7" s="711" t="s">
        <v>70</v>
      </c>
      <c r="AZ7" s="711"/>
      <c r="BA7" s="711"/>
      <c r="BB7" s="711"/>
      <c r="BC7" s="8"/>
      <c r="BD7" s="711" t="s">
        <v>71</v>
      </c>
      <c r="BE7" s="711"/>
      <c r="BF7" s="711"/>
      <c r="BG7" s="711"/>
      <c r="BH7" s="711"/>
      <c r="BI7" s="8"/>
      <c r="BJ7" s="713" t="s">
        <v>72</v>
      </c>
      <c r="BK7" s="713"/>
      <c r="BL7" s="713"/>
      <c r="BM7" s="713"/>
      <c r="BN7" s="713"/>
      <c r="BO7" s="711"/>
      <c r="BP7" s="8"/>
      <c r="BQ7" s="711" t="s">
        <v>73</v>
      </c>
      <c r="BR7" s="711"/>
    </row>
    <row r="8" spans="1:70" x14ac:dyDescent="0.15">
      <c r="C8" s="9" t="s">
        <v>519</v>
      </c>
      <c r="F8" s="88">
        <f>まとめ!B3</f>
        <v>107</v>
      </c>
      <c r="G8" s="81" t="s">
        <v>171</v>
      </c>
      <c r="I8" s="111"/>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row>
    <row r="9" spans="1:70" ht="14.25" customHeight="1" x14ac:dyDescent="0.15">
      <c r="C9" s="9" t="s">
        <v>520</v>
      </c>
      <c r="F9" s="88">
        <f>まとめ!B2</f>
        <v>3</v>
      </c>
      <c r="G9" s="81" t="s">
        <v>172</v>
      </c>
      <c r="I9" s="726" t="s">
        <v>532</v>
      </c>
      <c r="J9" s="8"/>
      <c r="K9" s="707" t="s">
        <v>79</v>
      </c>
      <c r="L9" s="8"/>
      <c r="M9" s="707" t="s">
        <v>80</v>
      </c>
      <c r="N9" s="8"/>
      <c r="O9" s="707" t="s">
        <v>81</v>
      </c>
      <c r="P9" s="707"/>
      <c r="Q9" s="8"/>
      <c r="R9" s="707" t="s">
        <v>82</v>
      </c>
      <c r="S9" s="8"/>
      <c r="T9" s="707" t="s">
        <v>83</v>
      </c>
      <c r="U9" s="8"/>
      <c r="V9" s="707" t="s">
        <v>84</v>
      </c>
      <c r="W9" s="707"/>
      <c r="X9" s="8"/>
      <c r="Y9" s="707" t="s">
        <v>85</v>
      </c>
      <c r="Z9" s="707"/>
      <c r="AA9" s="8"/>
      <c r="AB9" s="721" t="s">
        <v>86</v>
      </c>
      <c r="AC9" s="722"/>
      <c r="AD9" s="85"/>
      <c r="AE9" s="722" t="s">
        <v>87</v>
      </c>
      <c r="AF9" s="722"/>
      <c r="AG9" s="8"/>
      <c r="AH9" s="707" t="s">
        <v>118</v>
      </c>
      <c r="AI9" s="707"/>
      <c r="AJ9" s="8"/>
      <c r="AK9" s="707" t="s">
        <v>89</v>
      </c>
      <c r="AL9" s="707"/>
      <c r="AM9" s="8"/>
      <c r="AN9" s="707" t="s">
        <v>90</v>
      </c>
      <c r="AO9" s="707"/>
      <c r="AP9" s="8"/>
      <c r="AQ9" s="707" t="s">
        <v>91</v>
      </c>
      <c r="AR9" s="707"/>
      <c r="AS9" s="8"/>
      <c r="AT9" s="707" t="s">
        <v>92</v>
      </c>
      <c r="AU9" s="8"/>
      <c r="AV9" s="707" t="s">
        <v>69</v>
      </c>
      <c r="AW9" s="707"/>
      <c r="AX9" s="322"/>
      <c r="AY9" s="720" t="s">
        <v>93</v>
      </c>
      <c r="AZ9" s="8"/>
      <c r="BA9" s="720" t="s">
        <v>70</v>
      </c>
      <c r="BB9" s="720"/>
      <c r="BC9" s="8"/>
      <c r="BD9" s="707" t="s">
        <v>69</v>
      </c>
      <c r="BE9" s="707"/>
      <c r="BF9" s="8"/>
      <c r="BG9" s="707" t="s">
        <v>70</v>
      </c>
      <c r="BH9" s="707"/>
      <c r="BI9" s="8"/>
      <c r="BJ9" s="714" t="s">
        <v>94</v>
      </c>
      <c r="BK9" s="715"/>
      <c r="BL9" s="715"/>
      <c r="BM9" s="322"/>
      <c r="BN9" s="716" t="s">
        <v>72</v>
      </c>
      <c r="BO9" s="707"/>
      <c r="BP9" s="8"/>
      <c r="BQ9" s="322"/>
      <c r="BR9" s="322"/>
    </row>
    <row r="10" spans="1:70" x14ac:dyDescent="0.15">
      <c r="I10" s="727"/>
      <c r="J10" s="71"/>
      <c r="K10" s="708"/>
      <c r="L10" s="71"/>
      <c r="M10" s="708"/>
      <c r="N10" s="71"/>
      <c r="O10" s="717"/>
      <c r="P10" s="717"/>
      <c r="Q10" s="71"/>
      <c r="R10" s="708"/>
      <c r="S10" s="71"/>
      <c r="T10" s="708"/>
      <c r="U10" s="71"/>
      <c r="V10" s="717"/>
      <c r="W10" s="717"/>
      <c r="X10" s="71"/>
      <c r="Y10" s="717"/>
      <c r="Z10" s="717"/>
      <c r="AA10" s="71"/>
      <c r="AB10" s="723"/>
      <c r="AC10" s="723"/>
      <c r="AD10" s="81"/>
      <c r="AE10" s="723"/>
      <c r="AF10" s="723"/>
      <c r="AG10" s="71"/>
      <c r="AH10" s="717"/>
      <c r="AI10" s="717"/>
      <c r="AJ10" s="71"/>
      <c r="AK10" s="717"/>
      <c r="AL10" s="717"/>
      <c r="AM10" s="71"/>
      <c r="AN10" s="717"/>
      <c r="AO10" s="717"/>
      <c r="AP10" s="71"/>
      <c r="AQ10" s="717"/>
      <c r="AR10" s="717"/>
      <c r="AS10" s="71"/>
      <c r="AT10" s="717"/>
      <c r="AU10" s="71"/>
      <c r="AV10" s="717"/>
      <c r="AW10" s="717"/>
      <c r="AX10" s="322"/>
      <c r="AY10" s="708"/>
      <c r="AZ10" s="71"/>
      <c r="BA10" s="708"/>
      <c r="BB10" s="708"/>
      <c r="BC10" s="71"/>
      <c r="BD10" s="717"/>
      <c r="BE10" s="717"/>
      <c r="BF10" s="71"/>
      <c r="BG10" s="717"/>
      <c r="BH10" s="717"/>
      <c r="BJ10" s="708"/>
      <c r="BK10" s="708"/>
      <c r="BL10" s="708"/>
      <c r="BM10" s="322"/>
      <c r="BN10" s="717"/>
      <c r="BO10" s="717"/>
      <c r="BQ10" s="322"/>
      <c r="BR10" s="322"/>
    </row>
    <row r="11" spans="1:70" ht="15.75" customHeight="1" thickBot="1" x14ac:dyDescent="0.2">
      <c r="B11" s="460" t="s">
        <v>95</v>
      </c>
      <c r="C11" s="86"/>
      <c r="D11" s="104"/>
      <c r="E11" s="104"/>
      <c r="F11" s="86"/>
      <c r="G11" s="104"/>
      <c r="J11" s="71"/>
      <c r="K11" s="71"/>
      <c r="L11" s="71"/>
      <c r="M11" s="71"/>
      <c r="N11" s="71"/>
      <c r="O11" s="322" t="s">
        <v>96</v>
      </c>
      <c r="P11" s="322"/>
      <c r="Q11" s="322"/>
      <c r="R11" s="322" t="s">
        <v>96</v>
      </c>
      <c r="S11" s="322"/>
      <c r="T11" s="322"/>
      <c r="U11" s="71"/>
      <c r="V11" s="322"/>
      <c r="W11" s="322"/>
      <c r="X11" s="71"/>
      <c r="Y11" s="322"/>
      <c r="Z11" s="322"/>
      <c r="AA11" s="71"/>
      <c r="AB11" s="322"/>
      <c r="AC11" s="322"/>
      <c r="AD11" s="71"/>
      <c r="AE11" s="322"/>
      <c r="AF11" s="322"/>
      <c r="AG11" s="71"/>
      <c r="AH11" s="322"/>
      <c r="AI11" s="322"/>
      <c r="AJ11" s="71"/>
      <c r="AK11" s="322"/>
      <c r="AL11" s="322"/>
      <c r="AM11" s="71"/>
      <c r="AN11" s="322"/>
      <c r="AO11" s="322"/>
      <c r="AP11" s="71"/>
      <c r="AQ11" s="322"/>
      <c r="AR11" s="322"/>
      <c r="AS11" s="71"/>
      <c r="AT11" s="322"/>
      <c r="AU11" s="71"/>
      <c r="AV11" s="322"/>
      <c r="AW11" s="322"/>
      <c r="AX11" s="322"/>
      <c r="AY11" s="71"/>
      <c r="AZ11" s="71"/>
      <c r="BA11" s="71"/>
      <c r="BB11" s="322"/>
      <c r="BC11" s="71"/>
      <c r="BD11" s="322"/>
      <c r="BE11" s="322"/>
      <c r="BF11" s="71"/>
      <c r="BG11" s="322"/>
      <c r="BH11" s="322"/>
      <c r="BJ11" s="156"/>
      <c r="BM11" s="322"/>
      <c r="BN11" s="322"/>
      <c r="BO11" s="322"/>
      <c r="BQ11" s="322"/>
      <c r="BR11" s="322"/>
    </row>
    <row r="12" spans="1:70" ht="14.25" customHeight="1" x14ac:dyDescent="0.15">
      <c r="J12" s="71"/>
      <c r="K12" s="71"/>
      <c r="L12" s="71"/>
      <c r="M12" s="71"/>
      <c r="N12" s="71"/>
      <c r="O12" s="322"/>
      <c r="P12" s="707" t="s">
        <v>97</v>
      </c>
      <c r="Q12" s="71"/>
      <c r="R12" s="71"/>
      <c r="S12" s="71"/>
      <c r="T12" s="71"/>
      <c r="U12" s="71"/>
      <c r="V12" s="71"/>
      <c r="W12" s="707" t="s">
        <v>98</v>
      </c>
      <c r="X12" s="71"/>
      <c r="Y12" s="71"/>
      <c r="Z12" s="707" t="s">
        <v>98</v>
      </c>
      <c r="AA12" s="71"/>
      <c r="AB12" s="71"/>
      <c r="AC12" s="707" t="s">
        <v>98</v>
      </c>
      <c r="AD12" s="71"/>
      <c r="AE12" s="71"/>
      <c r="AF12" s="707" t="s">
        <v>98</v>
      </c>
      <c r="AG12" s="71"/>
      <c r="AH12" s="71"/>
      <c r="AI12" s="707" t="s">
        <v>98</v>
      </c>
      <c r="AJ12" s="71"/>
      <c r="AK12" s="71"/>
      <c r="AL12" s="707" t="s">
        <v>98</v>
      </c>
      <c r="AM12" s="71"/>
      <c r="AN12" s="71"/>
      <c r="AO12" s="707" t="s">
        <v>98</v>
      </c>
      <c r="AP12" s="71"/>
      <c r="AQ12" s="71"/>
      <c r="AR12" s="707" t="s">
        <v>98</v>
      </c>
      <c r="AS12" s="71"/>
      <c r="AT12" s="71"/>
      <c r="AU12" s="71"/>
      <c r="AV12" s="71"/>
      <c r="AW12" s="707" t="s">
        <v>98</v>
      </c>
      <c r="AX12" s="71"/>
      <c r="AY12" s="71"/>
      <c r="AZ12" s="71"/>
      <c r="BA12" s="71"/>
      <c r="BB12" s="707" t="s">
        <v>98</v>
      </c>
      <c r="BC12" s="71"/>
      <c r="BD12" s="71"/>
      <c r="BE12" s="707" t="s">
        <v>98</v>
      </c>
      <c r="BF12" s="71"/>
      <c r="BG12" s="71"/>
      <c r="BH12" s="707" t="s">
        <v>98</v>
      </c>
      <c r="BJ12" s="709" t="s">
        <v>99</v>
      </c>
      <c r="BK12" s="709" t="s">
        <v>100</v>
      </c>
      <c r="BL12" s="709" t="s">
        <v>101</v>
      </c>
      <c r="BO12" s="709" t="s">
        <v>102</v>
      </c>
      <c r="BQ12" s="71"/>
      <c r="BR12" s="707" t="s">
        <v>103</v>
      </c>
    </row>
    <row r="13" spans="1:70" ht="14.25" customHeight="1" x14ac:dyDescent="0.15">
      <c r="C13" s="9" t="s">
        <v>504</v>
      </c>
      <c r="F13" s="66">
        <v>40</v>
      </c>
      <c r="G13" s="81" t="s">
        <v>173</v>
      </c>
      <c r="J13" s="71"/>
      <c r="K13" s="71"/>
      <c r="L13" s="71"/>
      <c r="M13" s="71"/>
      <c r="N13" s="71"/>
      <c r="O13" s="322"/>
      <c r="P13" s="708"/>
      <c r="Q13" s="322"/>
      <c r="R13" s="322"/>
      <c r="S13" s="322"/>
      <c r="T13" s="322"/>
      <c r="U13" s="71"/>
      <c r="V13" s="322"/>
      <c r="W13" s="708"/>
      <c r="X13" s="71"/>
      <c r="Y13" s="322"/>
      <c r="Z13" s="708"/>
      <c r="AA13" s="71"/>
      <c r="AB13" s="322"/>
      <c r="AC13" s="708"/>
      <c r="AD13" s="71"/>
      <c r="AE13" s="322"/>
      <c r="AF13" s="708"/>
      <c r="AG13" s="71"/>
      <c r="AH13" s="322"/>
      <c r="AI13" s="708"/>
      <c r="AJ13" s="71"/>
      <c r="AK13" s="322"/>
      <c r="AL13" s="708"/>
      <c r="AM13" s="71"/>
      <c r="AN13" s="322"/>
      <c r="AO13" s="708"/>
      <c r="AP13" s="71"/>
      <c r="AQ13" s="322"/>
      <c r="AR13" s="708"/>
      <c r="AS13" s="71"/>
      <c r="AT13" s="322"/>
      <c r="AU13" s="71"/>
      <c r="AV13" s="322"/>
      <c r="AW13" s="708"/>
      <c r="AX13" s="71"/>
      <c r="AY13" s="71"/>
      <c r="AZ13" s="71"/>
      <c r="BA13" s="71"/>
      <c r="BB13" s="708"/>
      <c r="BC13" s="71"/>
      <c r="BD13" s="322"/>
      <c r="BE13" s="708"/>
      <c r="BF13" s="71"/>
      <c r="BG13" s="322"/>
      <c r="BH13" s="708"/>
      <c r="BJ13" s="712"/>
      <c r="BK13" s="710"/>
      <c r="BL13" s="708"/>
      <c r="BM13" s="322"/>
      <c r="BO13" s="708"/>
      <c r="BQ13" s="322"/>
      <c r="BR13" s="708"/>
    </row>
    <row r="14" spans="1:70" ht="16.5" x14ac:dyDescent="0.15">
      <c r="C14" s="9" t="s">
        <v>505</v>
      </c>
      <c r="F14" s="88">
        <f>VLOOKUP(F3&amp;IF(G4&lt;&gt;"","_"&amp;G4,""),まとめ!$A$12:$G$34,IF(F7=2030,4,IF(F7=2020,3,IF(F7=2014,2,"-"))),0)</f>
        <v>30</v>
      </c>
      <c r="G14" s="81" t="s">
        <v>172</v>
      </c>
      <c r="J14" s="71"/>
      <c r="K14" s="71"/>
      <c r="L14" s="71"/>
      <c r="M14" s="71"/>
      <c r="N14" s="71"/>
      <c r="O14" s="322"/>
      <c r="P14" s="322"/>
      <c r="Q14" s="322"/>
      <c r="R14" s="322"/>
      <c r="S14" s="322"/>
      <c r="T14" s="322"/>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50" t="s">
        <v>104</v>
      </c>
      <c r="AU14" s="71"/>
      <c r="AV14" s="71"/>
      <c r="AW14" s="71"/>
      <c r="AX14" s="71"/>
      <c r="AY14" s="71" t="s">
        <v>105</v>
      </c>
      <c r="AZ14" s="71"/>
      <c r="BA14" s="71"/>
      <c r="BB14" s="71"/>
      <c r="BC14" s="71"/>
      <c r="BD14" s="71"/>
      <c r="BE14" s="71"/>
      <c r="BF14" s="71"/>
      <c r="BG14" s="71"/>
      <c r="BH14" s="71"/>
      <c r="BQ14" s="71"/>
      <c r="BR14" s="71"/>
    </row>
    <row r="15" spans="1:70" x14ac:dyDescent="0.15">
      <c r="C15" s="9" t="s">
        <v>506</v>
      </c>
      <c r="F15" s="88">
        <f>VLOOKUP(F3&amp;IF(G4&lt;&gt;"","_"&amp;G4,""),まとめ!$A$12:$G$34,IF(F7=2030,7,IF(F7=2020,6,IF(F7=2014,5,"-"))),0)</f>
        <v>40</v>
      </c>
      <c r="G15" s="81" t="s">
        <v>108</v>
      </c>
      <c r="I15" s="458">
        <f>F7</f>
        <v>2030</v>
      </c>
      <c r="J15" s="39"/>
      <c r="K15" s="39">
        <f>IF(I15&lt;&gt;"",1,"")</f>
        <v>1</v>
      </c>
      <c r="L15" s="39"/>
      <c r="M15" s="40">
        <f t="shared" ref="M15:M46" si="0">1/(1+($F$9/100))^K15</f>
        <v>0.970873786407767</v>
      </c>
      <c r="N15" s="39"/>
      <c r="O15" s="72">
        <f>F117</f>
        <v>104000000000</v>
      </c>
      <c r="P15" s="41">
        <f t="shared" ref="P15:P46" si="1">IF(K15&lt;=$F$15,IF(OR(P14=$F$124,P14="-"),"-",IF(O15*$F$123&gt;$F$127,$F$123,$F$124)),"")</f>
        <v>0.16700000000000001</v>
      </c>
      <c r="Q15" s="39"/>
      <c r="R15" s="72">
        <f>F117</f>
        <v>104000000000</v>
      </c>
      <c r="S15" s="39"/>
      <c r="T15" s="72">
        <f>IF(ISNUMBER(R15),ROUNDDOWN(R15,-3),"")</f>
        <v>104000000000</v>
      </c>
      <c r="U15" s="39"/>
      <c r="V15" s="72">
        <f t="shared" ref="V15:V46" si="2">IF(K15&lt;=$F$15,IF(K15&lt;$F$119,IF(P15="-",V14,O15*P15),IF(K15=$F$119,MIN(IF(P15="-",V14,O15*P15),O15),0)),"")</f>
        <v>17368000000</v>
      </c>
      <c r="W15" s="72">
        <f>IF(ISNUMBER(V15),V15*$M15,"")</f>
        <v>16862135922.330097</v>
      </c>
      <c r="X15" s="39"/>
      <c r="Y15" s="72">
        <f t="shared" ref="Y15:Y46" si="3">IF($K15&lt;=$F$15,ROUNDDOWN(T15*$F$25/100,-2),"")</f>
        <v>1456000000</v>
      </c>
      <c r="Z15" s="72">
        <f>IF(ISNUMBER(Y15),Y15*$M15,"")</f>
        <v>1413592233.0097086</v>
      </c>
      <c r="AA15" s="39"/>
      <c r="AB15" s="72">
        <f t="shared" ref="AB15:AB78" si="4">IF($K15&lt;=$F$15,0,IF(AND($K15&gt;$F$15,$K15&lt;=$F$15+$F$28),$F$27*10^8/$F$28,""))</f>
        <v>0</v>
      </c>
      <c r="AC15" s="72">
        <f>IF(ISNUMBER(AB15),AB15*$M15,"")</f>
        <v>0</v>
      </c>
      <c r="AD15" s="39"/>
      <c r="AE15" s="72">
        <f t="shared" ref="AE15:AE46" si="5">IF($K15&lt;=$F$15,$F$26,"")</f>
        <v>0</v>
      </c>
      <c r="AF15" s="72">
        <f>IF(ISNUMBER(AE15),AE15*$M15,"")</f>
        <v>0</v>
      </c>
      <c r="AG15" s="39"/>
      <c r="AH15" s="72">
        <f t="shared" ref="AH15:AH46" si="6">IF($K15&lt;=$F$15,$F$33*10^8,"")</f>
        <v>190000000</v>
      </c>
      <c r="AI15" s="72">
        <f>IF(ISNUMBER(AH15),AH15*$M15,"")</f>
        <v>184466019.41747573</v>
      </c>
      <c r="AJ15" s="39"/>
      <c r="AK15" s="72">
        <f t="shared" ref="AK15:AK46" si="7">IF($K15&lt;=$F$15,$F$117*$F$34/100,"")</f>
        <v>1872000000</v>
      </c>
      <c r="AL15" s="72">
        <f>IF(ISNUMBER(AK15),AK15*$M15,"")</f>
        <v>1817475728.1553397</v>
      </c>
      <c r="AM15" s="39"/>
      <c r="AN15" s="72">
        <f t="shared" ref="AN15:AN46" si="8">IF($K15&lt;=$F$15,$F$117*$F$35/100,"")</f>
        <v>936000000</v>
      </c>
      <c r="AO15" s="72">
        <f>IF(ISNUMBER(AN15),AN15*$M15,"")</f>
        <v>908737864.07766986</v>
      </c>
      <c r="AP15" s="39"/>
      <c r="AQ15" s="72">
        <f t="shared" ref="AQ15:AQ46" si="9">IF($K15&lt;=$F$15,SUM(AH15,AK15,AN15)*($F$36/100),"")</f>
        <v>279113800</v>
      </c>
      <c r="AR15" s="72">
        <f>IF(ISNUMBER(AQ15),AQ15*$M15,"")</f>
        <v>270984271.84466022</v>
      </c>
      <c r="AS15" s="39"/>
      <c r="AT15" s="40">
        <f>IF($K15&lt;=$F$15,IF($F$40&lt;&gt;"",$F$40/1000,IF(ISERROR(VLOOKUP($F$3&amp;IF($G$4&lt;&gt;"",$G$4,"")&amp;IF($F$43&lt;&gt;"","_"&amp;$F$43,""),'表3）燃料価格'!$AF$9:$AG$25,2,0)),0,VLOOKUP($I15,'表3）燃料価格'!$A$6:$U$66,VLOOKUP($F$3&amp;IF($G$4&lt;&gt;"",$G$4,"")&amp;IF($F$43&lt;&gt;"","_"&amp;$F$43,""),'表3）燃料価格'!$AF$9:$AG$25,2,0)+VLOOKUP($F$41,'表3）燃料価格'!$AF$28:$AG$29,2,0),0)*IF($F$43="需要地価格",1,$F$8/$F$141))),"")</f>
        <v>53.495301855314878</v>
      </c>
      <c r="AU15" s="39"/>
      <c r="AV15" s="72">
        <f t="shared" ref="AV15:AV46" si="10">IF($K15&lt;=$F$15,($AT15+$F$142)*$F$137,"")</f>
        <v>11570390579.565277</v>
      </c>
      <c r="AW15" s="72">
        <f>IF(ISNUMBER(AV15),AV15*$M15,"")</f>
        <v>11233388912.199299</v>
      </c>
      <c r="AX15" s="39"/>
      <c r="AY15" s="40">
        <f>IF(ISERROR(IF($K15&lt;=$F$15,VLOOKUP($I15,'表4）CO2価格'!$A$7:$E$67,VLOOKUP($F$48,'表4）CO2価格'!$H$10:$I$12,2,0),0)*$F$8/1000,"")),0,IF($K15&lt;=$F$15,VLOOKUP($I15,'表4）CO2価格'!$A$7:$E$67,VLOOKUP($F$48,'表4）CO2価格'!$H$10:$I$12,2,0),0)*$F$8/1000,""))</f>
        <v>4.28</v>
      </c>
      <c r="AZ15" s="39"/>
      <c r="BA15" s="42">
        <f t="shared" ref="BA15:BA46" si="11">IF($K15&lt;=$F$15,$F$145*AY15,"")</f>
        <v>2484422899.1999998</v>
      </c>
      <c r="BB15" s="72">
        <f>IF(ISNUMBER(BA15),BA15*$M15,"")</f>
        <v>2412061067.1844659</v>
      </c>
      <c r="BC15" s="39"/>
      <c r="BD15" s="72">
        <f t="shared" ref="BD15:BD46" si="12">IF($K15&lt;=$F$15,($AT15+$F$152)*$F$151,"")</f>
        <v>0</v>
      </c>
      <c r="BE15" s="72">
        <f>IF(ISNUMBER(BD15),BD15*$M15,"")</f>
        <v>0</v>
      </c>
      <c r="BF15" s="39"/>
      <c r="BG15" s="42">
        <f t="shared" ref="BG15:BG46" si="13">IF($K15&lt;=$F$15,$F$153*AY15,"")</f>
        <v>0</v>
      </c>
      <c r="BH15" s="72">
        <f>IF(ISNUMBER(BG15),BG15*$M15,"")</f>
        <v>0</v>
      </c>
      <c r="BI15" s="39"/>
      <c r="BJ15" s="40" t="str">
        <f>IF(ISNUMBER($F$16),IF($K15&lt;=$F$16+$F$28,1/(1+($F$17/100))^K15,""),"")</f>
        <v/>
      </c>
      <c r="BK15" s="157" t="str">
        <f>IF(ISNUMBER($F$16),IF($K15&lt;=$F$16+$F$28,IF($K15&lt;=$F$16,SUM(Y15,AB15,AE15,AH15,AK15,AN15,AQ15,AV15,BA15,BD15,BG15),$F$27/$F$28*10^8)*BJ15,""),"")</f>
        <v/>
      </c>
      <c r="BL15" s="157" t="str">
        <f t="shared" ref="BL15:BL78" si="14">IF(AND(ISNUMBER(BJ15),$K15&lt;=$F$16),BQ15*BJ15,"")</f>
        <v/>
      </c>
      <c r="BM15" s="72"/>
      <c r="BN15" s="72" t="str">
        <f>IF(AND(ISNUMBER($F$16),$K15&lt;=$F$16),BQ15*($O$15+$BK$116)/$BL$116,"")</f>
        <v/>
      </c>
      <c r="BO15" s="72" t="str">
        <f>IF(ISNUMBER(BN15),BN15*$M15,"")</f>
        <v/>
      </c>
      <c r="BP15" s="39"/>
      <c r="BQ15" s="72">
        <f t="shared" ref="BQ15:BQ46" si="15">IF($K15&lt;=$F$15,$F$134,"")</f>
        <v>1000742400</v>
      </c>
      <c r="BR15" s="72">
        <f>IF(ISNUMBER(BQ15),BQ15*$M15,"")</f>
        <v>971594563.10679615</v>
      </c>
    </row>
    <row r="16" spans="1:70" x14ac:dyDescent="0.15">
      <c r="C16" s="236" t="s">
        <v>107</v>
      </c>
      <c r="F16" s="88" t="str">
        <f>IF(ISERROR(VLOOKUP(F3&amp;IF(G4&lt;&gt;"","_"&amp;G4,""),'表7）買取期間・IRR'!$A$3:$A$10,1,0)),"",VLOOKUP(F3&amp;IF(G4&lt;&gt;"","_"&amp;G4,""),'表7）買取期間・IRR'!$A$3:$C$10,IF(F7=2030,4,IF(F7=2020,3,IF(F7=2014,2,"-"))),0))</f>
        <v/>
      </c>
      <c r="G16" s="81" t="s">
        <v>108</v>
      </c>
      <c r="I16" s="459">
        <f>I15+1</f>
        <v>2031</v>
      </c>
      <c r="J16" s="71"/>
      <c r="K16" s="71">
        <f>IF(I16&lt;&gt;"",K15+1,"")</f>
        <v>2</v>
      </c>
      <c r="L16" s="71"/>
      <c r="M16" s="7">
        <f t="shared" si="0"/>
        <v>0.94259590913375435</v>
      </c>
      <c r="N16" s="71"/>
      <c r="O16" s="10">
        <f t="shared" ref="O16:O47" si="16">IF(K16&lt;=$F$15,O15-V15,"")</f>
        <v>86632000000</v>
      </c>
      <c r="P16" s="29">
        <f t="shared" si="1"/>
        <v>0.16700000000000001</v>
      </c>
      <c r="Q16" s="71"/>
      <c r="R16" s="10">
        <f t="shared" ref="R16:R47" si="17">IF($K16&lt;=$F$15,MAX($F$117*5%,R15*$F$129),"")</f>
        <v>89200373453.452988</v>
      </c>
      <c r="S16" s="71"/>
      <c r="T16" s="10">
        <f t="shared" ref="T16:T79" si="18">IF(ISNUMBER(R16),ROUNDDOWN(R16,-3),"")</f>
        <v>89200373000</v>
      </c>
      <c r="U16" s="71"/>
      <c r="V16" s="10">
        <f t="shared" si="2"/>
        <v>14467544000</v>
      </c>
      <c r="W16" s="10">
        <f t="shared" ref="W16:W54" si="19">IF(ISNUMBER(V16),V16*$M16,"")</f>
        <v>13637047789.612593</v>
      </c>
      <c r="X16" s="71"/>
      <c r="Y16" s="10">
        <f t="shared" si="3"/>
        <v>1248805200</v>
      </c>
      <c r="Z16" s="10">
        <f t="shared" ref="Z16:Z54" si="20">IF(ISNUMBER(Y16),Y16*$M16,"")</f>
        <v>1177118672.82496</v>
      </c>
      <c r="AA16" s="71"/>
      <c r="AB16" s="10">
        <f t="shared" si="4"/>
        <v>0</v>
      </c>
      <c r="AC16" s="10">
        <f t="shared" ref="AC16:AC54" si="21">IF(ISNUMBER(AB16),AB16*$M16,"")</f>
        <v>0</v>
      </c>
      <c r="AD16" s="71"/>
      <c r="AE16" s="10">
        <f t="shared" si="5"/>
        <v>0</v>
      </c>
      <c r="AF16" s="10">
        <f t="shared" ref="AF16:AF54" si="22">IF(ISNUMBER(AE16),AE16*$M16,"")</f>
        <v>0</v>
      </c>
      <c r="AG16" s="71"/>
      <c r="AH16" s="10">
        <f t="shared" si="6"/>
        <v>190000000</v>
      </c>
      <c r="AI16" s="10">
        <f t="shared" ref="AI16:AI54" si="23">IF(ISNUMBER(AH16),AH16*$M16,"")</f>
        <v>179093222.73541331</v>
      </c>
      <c r="AJ16" s="71"/>
      <c r="AK16" s="10">
        <f t="shared" si="7"/>
        <v>1872000000</v>
      </c>
      <c r="AL16" s="10">
        <f t="shared" ref="AL16:AL54" si="24">IF(ISNUMBER(AK16),AK16*$M16,"")</f>
        <v>1764539541.8983881</v>
      </c>
      <c r="AM16" s="71"/>
      <c r="AN16" s="10">
        <f t="shared" si="8"/>
        <v>936000000</v>
      </c>
      <c r="AO16" s="10">
        <f t="shared" ref="AO16:AO54" si="25">IF(ISNUMBER(AN16),AN16*$M16,"")</f>
        <v>882269770.94919407</v>
      </c>
      <c r="AP16" s="71"/>
      <c r="AQ16" s="10">
        <f t="shared" si="9"/>
        <v>279113800</v>
      </c>
      <c r="AR16" s="10">
        <f t="shared" ref="AR16:AR79" si="26">IF(ISNUMBER(AQ16),AQ16*$M16,"")</f>
        <v>263091526.06277689</v>
      </c>
      <c r="AS16" s="71"/>
      <c r="AT16" s="7">
        <f>IF($K16&lt;=$F$15,IF($F$40&lt;&gt;"",$F$40/1000,IF(ISERROR(VLOOKUP($F$3&amp;IF($G$4&lt;&gt;"",$G$4,"")&amp;IF($F$43&lt;&gt;"","_"&amp;$F$43,""),'表3）燃料価格'!$AF$9:$AG$25,2,0)),0,VLOOKUP($I16,'表3）燃料価格'!$A$6:$U$66,VLOOKUP($F$3&amp;IF($G$4&lt;&gt;"",$G$4,"")&amp;IF($F$43&lt;&gt;"","_"&amp;$F$43,""),'表3）燃料価格'!$AF$9:$AG$25,2,0)+VLOOKUP($F$41,'表3）燃料価格'!$AF$28:$AG$29,2,0),0)*IF($F$43="需要地価格",1,$F$8/$F$141))),"")</f>
        <v>54.123444290922016</v>
      </c>
      <c r="AU16" s="71"/>
      <c r="AV16" s="10">
        <f t="shared" si="10"/>
        <v>11689349862.830391</v>
      </c>
      <c r="AW16" s="10">
        <f t="shared" ref="AW16:AW79" si="27">IF(ISNUMBER(AV16),AV16*$M16,"")</f>
        <v>11018333361.137138</v>
      </c>
      <c r="AX16" s="71"/>
      <c r="AY16" s="7">
        <f>IF(ISERROR(IF($K16&lt;=$F$15,VLOOKUP($I16,'表4）CO2価格'!$A$7:$E$67,VLOOKUP($F$48,'表4）CO2価格'!$H$10:$I$12,2,0),0)*$F$8/1000,"")),0,IF($K16&lt;=$F$15,VLOOKUP($I16,'表4）CO2価格'!$A$7:$E$67,VLOOKUP($F$48,'表4）CO2価格'!$H$10:$I$12,2,0),0)*$F$8/1000,""))</f>
        <v>4.4083999999999808</v>
      </c>
      <c r="AZ16" s="71"/>
      <c r="BA16" s="11">
        <f t="shared" si="11"/>
        <v>2558955586.1759882</v>
      </c>
      <c r="BB16" s="10">
        <f t="shared" ref="BB16:BB79" si="28">IF(ISNUMBER(BA16),BA16*$M16,"")</f>
        <v>2412061067.1844549</v>
      </c>
      <c r="BC16" s="71"/>
      <c r="BD16" s="10">
        <f t="shared" si="12"/>
        <v>0</v>
      </c>
      <c r="BE16" s="10">
        <f t="shared" ref="BE16:BE79" si="29">IF(ISNUMBER(BD16),BD16*$M16,"")</f>
        <v>0</v>
      </c>
      <c r="BF16" s="71"/>
      <c r="BG16" s="11">
        <f t="shared" si="13"/>
        <v>0</v>
      </c>
      <c r="BH16" s="10">
        <f t="shared" ref="BH16:BH79" si="30">IF(ISNUMBER(BG16),BG16*$M16,"")</f>
        <v>0</v>
      </c>
      <c r="BJ16" s="7" t="str">
        <f t="shared" ref="BJ16:BJ79" si="31">IF(ISNUMBER($F$16),IF($K16&lt;=$F$16+$F$28,1/(1+($F$17/100))^K16,""),"")</f>
        <v/>
      </c>
      <c r="BK16" s="158" t="str">
        <f t="shared" ref="BK16:BK79" si="32">IF(ISNUMBER($F$16),IF($K16&lt;=$F$16+$F$28,IF($K16&lt;=$F$16,SUM(Y16,AB16,AE16,AH16,AK16,AN16,AQ16,AV16,BA16,BD16,BG16),$F$27/$F$28*10^8)*BJ16,""),"")</f>
        <v/>
      </c>
      <c r="BL16" s="158" t="str">
        <f t="shared" si="14"/>
        <v/>
      </c>
      <c r="BM16" s="10"/>
      <c r="BN16" s="10" t="str">
        <f t="shared" ref="BN16:BN79" si="33">IF(AND(ISNUMBER($F$16),$K16&lt;=$F$16),BQ16*($O$15+$BK$116)/$BL$116,"")</f>
        <v/>
      </c>
      <c r="BO16" s="10" t="str">
        <f t="shared" ref="BO16:BO79" si="34">IF(ISNUMBER(BN16),BN16*$M16,"")</f>
        <v/>
      </c>
      <c r="BQ16" s="10">
        <f t="shared" si="15"/>
        <v>1000742400</v>
      </c>
      <c r="BR16" s="10">
        <f t="shared" ref="BR16:BR79" si="35">IF(ISNUMBER(BQ16),BQ16*$M16,"")</f>
        <v>943295692.33669519</v>
      </c>
    </row>
    <row r="17" spans="3:70" x14ac:dyDescent="0.15">
      <c r="C17" s="9" t="s">
        <v>109</v>
      </c>
      <c r="F17" s="143" t="str">
        <f>IF(ISERROR(VLOOKUP(F3&amp;IF(G4&lt;&gt;"","_"&amp;G4,""),'表7）買取期間・IRR'!$A$14:$A$21,1,0)),"",VLOOKUP(F3&amp;IF(G4&lt;&gt;"","_"&amp;G4,""),'表7）買取期間・IRR'!$A$14:$C$21,IF(F7=2030,4,IF(F7=2020,3,IF(F7=2014,2,"-"))),0))</f>
        <v/>
      </c>
      <c r="G17" s="81" t="s">
        <v>172</v>
      </c>
      <c r="I17" s="458">
        <f t="shared" ref="I17:I80" si="36">I16+1</f>
        <v>2032</v>
      </c>
      <c r="J17" s="39"/>
      <c r="K17" s="39">
        <f t="shared" ref="K17:K80" si="37">IF(I17&lt;&gt;"",K16+1,"")</f>
        <v>3</v>
      </c>
      <c r="L17" s="39"/>
      <c r="M17" s="40">
        <f t="shared" si="0"/>
        <v>0.91514165935315961</v>
      </c>
      <c r="N17" s="39"/>
      <c r="O17" s="72">
        <f t="shared" si="16"/>
        <v>72164456000</v>
      </c>
      <c r="P17" s="41">
        <f t="shared" si="1"/>
        <v>0.16700000000000001</v>
      </c>
      <c r="Q17" s="39"/>
      <c r="R17" s="72">
        <f t="shared" si="17"/>
        <v>76506794463.802704</v>
      </c>
      <c r="S17" s="39"/>
      <c r="T17" s="72">
        <f t="shared" si="18"/>
        <v>76506794000</v>
      </c>
      <c r="U17" s="39"/>
      <c r="V17" s="72">
        <f t="shared" si="2"/>
        <v>12051464152</v>
      </c>
      <c r="W17" s="72">
        <f t="shared" si="19"/>
        <v>11028796901.696398</v>
      </c>
      <c r="X17" s="39"/>
      <c r="Y17" s="72">
        <f t="shared" si="3"/>
        <v>1071095100</v>
      </c>
      <c r="Z17" s="72">
        <f t="shared" si="20"/>
        <v>980203747.13903844</v>
      </c>
      <c r="AA17" s="39"/>
      <c r="AB17" s="72">
        <f t="shared" si="4"/>
        <v>0</v>
      </c>
      <c r="AC17" s="72">
        <f t="shared" si="21"/>
        <v>0</v>
      </c>
      <c r="AD17" s="39"/>
      <c r="AE17" s="72">
        <f t="shared" si="5"/>
        <v>0</v>
      </c>
      <c r="AF17" s="72">
        <f t="shared" si="22"/>
        <v>0</v>
      </c>
      <c r="AG17" s="39"/>
      <c r="AH17" s="72">
        <f t="shared" si="6"/>
        <v>190000000</v>
      </c>
      <c r="AI17" s="72">
        <f t="shared" si="23"/>
        <v>173876915.27710032</v>
      </c>
      <c r="AJ17" s="39"/>
      <c r="AK17" s="72">
        <f t="shared" si="7"/>
        <v>1872000000</v>
      </c>
      <c r="AL17" s="72">
        <f t="shared" si="24"/>
        <v>1713145186.3091147</v>
      </c>
      <c r="AM17" s="39"/>
      <c r="AN17" s="72">
        <f t="shared" si="8"/>
        <v>936000000</v>
      </c>
      <c r="AO17" s="72">
        <f t="shared" si="25"/>
        <v>856572593.15455735</v>
      </c>
      <c r="AP17" s="39"/>
      <c r="AQ17" s="72">
        <f t="shared" si="9"/>
        <v>279113800</v>
      </c>
      <c r="AR17" s="72">
        <f t="shared" si="26"/>
        <v>255428666.08036593</v>
      </c>
      <c r="AS17" s="39"/>
      <c r="AT17" s="40">
        <f>IF($K17&lt;=$F$15,IF($F$40&lt;&gt;"",$F$40/1000,IF(ISERROR(VLOOKUP($F$3&amp;IF($G$4&lt;&gt;"",$G$4,"")&amp;IF($F$43&lt;&gt;"","_"&amp;$F$43,""),'表3）燃料価格'!$AF$9:$AG$25,2,0)),0,VLOOKUP($I17,'表3）燃料価格'!$A$6:$U$66,VLOOKUP($F$3&amp;IF($G$4&lt;&gt;"",$G$4,"")&amp;IF($F$43&lt;&gt;"","_"&amp;$F$43,""),'表3）燃料価格'!$AF$9:$AG$25,2,0)+VLOOKUP($F$41,'表3）燃料価格'!$AF$28:$AG$29,2,0),0)*IF($F$43="需要地価格",1,$F$8/$F$141))),"")</f>
        <v>54.751586726529169</v>
      </c>
      <c r="AU17" s="39"/>
      <c r="AV17" s="72">
        <f t="shared" si="10"/>
        <v>11808309146.095507</v>
      </c>
      <c r="AW17" s="72">
        <f t="shared" si="27"/>
        <v>10806275626.112934</v>
      </c>
      <c r="AX17" s="39"/>
      <c r="AY17" s="40">
        <f>IF(ISERROR(IF($K17&lt;=$F$15,VLOOKUP($I17,'表4）CO2価格'!$A$7:$E$67,VLOOKUP($F$48,'表4）CO2価格'!$H$10:$I$12,2,0),0)*$F$8/1000,"")),0,IF($K17&lt;=$F$15,VLOOKUP($I17,'表4）CO2価格'!$A$7:$E$67,VLOOKUP($F$48,'表4）CO2価格'!$H$10:$I$12,2,0),0)*$F$8/1000,""))</f>
        <v>4.5368000000000102</v>
      </c>
      <c r="AZ17" s="39"/>
      <c r="BA17" s="42">
        <f t="shared" si="11"/>
        <v>2633488273.1520052</v>
      </c>
      <c r="BB17" s="72">
        <f t="shared" si="28"/>
        <v>2410014828.1794128</v>
      </c>
      <c r="BC17" s="39"/>
      <c r="BD17" s="72">
        <f t="shared" si="12"/>
        <v>0</v>
      </c>
      <c r="BE17" s="72">
        <f t="shared" si="29"/>
        <v>0</v>
      </c>
      <c r="BF17" s="39"/>
      <c r="BG17" s="42">
        <f t="shared" si="13"/>
        <v>0</v>
      </c>
      <c r="BH17" s="72">
        <f t="shared" si="30"/>
        <v>0</v>
      </c>
      <c r="BI17" s="39"/>
      <c r="BJ17" s="40" t="str">
        <f t="shared" si="31"/>
        <v/>
      </c>
      <c r="BK17" s="157" t="str">
        <f t="shared" si="32"/>
        <v/>
      </c>
      <c r="BL17" s="157" t="str">
        <f t="shared" si="14"/>
        <v/>
      </c>
      <c r="BM17" s="72"/>
      <c r="BN17" s="72" t="str">
        <f t="shared" si="33"/>
        <v/>
      </c>
      <c r="BO17" s="72" t="str">
        <f t="shared" si="34"/>
        <v/>
      </c>
      <c r="BP17" s="39"/>
      <c r="BQ17" s="72">
        <f t="shared" si="15"/>
        <v>1000742400</v>
      </c>
      <c r="BR17" s="72">
        <f t="shared" si="35"/>
        <v>915821060.52106345</v>
      </c>
    </row>
    <row r="18" spans="3:70" x14ac:dyDescent="0.15">
      <c r="I18" s="459">
        <f t="shared" si="36"/>
        <v>2033</v>
      </c>
      <c r="J18" s="71"/>
      <c r="K18" s="71">
        <f t="shared" si="37"/>
        <v>4</v>
      </c>
      <c r="L18" s="71"/>
      <c r="M18" s="7">
        <f t="shared" si="0"/>
        <v>0.888487047915689</v>
      </c>
      <c r="N18" s="71"/>
      <c r="O18" s="10">
        <f t="shared" si="16"/>
        <v>60112991848</v>
      </c>
      <c r="P18" s="29">
        <f t="shared" si="1"/>
        <v>0.16700000000000001</v>
      </c>
      <c r="Q18" s="71"/>
      <c r="R18" s="10">
        <f t="shared" si="17"/>
        <v>65619563825.940102</v>
      </c>
      <c r="S18" s="71"/>
      <c r="T18" s="10">
        <f t="shared" si="18"/>
        <v>65619563000</v>
      </c>
      <c r="U18" s="71"/>
      <c r="V18" s="10">
        <f t="shared" si="2"/>
        <v>10038869638.616001</v>
      </c>
      <c r="W18" s="10">
        <f t="shared" si="19"/>
        <v>8919405649.6243706</v>
      </c>
      <c r="X18" s="71"/>
      <c r="Y18" s="10">
        <f t="shared" si="3"/>
        <v>918673800</v>
      </c>
      <c r="Z18" s="10">
        <f t="shared" si="20"/>
        <v>816229772.55948806</v>
      </c>
      <c r="AA18" s="71"/>
      <c r="AB18" s="10">
        <f t="shared" si="4"/>
        <v>0</v>
      </c>
      <c r="AC18" s="10">
        <f t="shared" si="21"/>
        <v>0</v>
      </c>
      <c r="AD18" s="71"/>
      <c r="AE18" s="10">
        <f t="shared" si="5"/>
        <v>0</v>
      </c>
      <c r="AF18" s="10">
        <f t="shared" si="22"/>
        <v>0</v>
      </c>
      <c r="AG18" s="71"/>
      <c r="AH18" s="10">
        <f t="shared" si="6"/>
        <v>190000000</v>
      </c>
      <c r="AI18" s="10">
        <f t="shared" si="23"/>
        <v>168812539.1039809</v>
      </c>
      <c r="AJ18" s="71"/>
      <c r="AK18" s="10">
        <f t="shared" si="7"/>
        <v>1872000000</v>
      </c>
      <c r="AL18" s="10">
        <f t="shared" si="24"/>
        <v>1663247753.6981697</v>
      </c>
      <c r="AM18" s="71"/>
      <c r="AN18" s="10">
        <f t="shared" si="8"/>
        <v>936000000</v>
      </c>
      <c r="AO18" s="10">
        <f t="shared" si="25"/>
        <v>831623876.84908485</v>
      </c>
      <c r="AP18" s="71"/>
      <c r="AQ18" s="10">
        <f t="shared" si="9"/>
        <v>279113800</v>
      </c>
      <c r="AR18" s="10">
        <f t="shared" si="26"/>
        <v>247988996.19453004</v>
      </c>
      <c r="AS18" s="71"/>
      <c r="AT18" s="7">
        <f>IF($K18&lt;=$F$15,IF($F$40&lt;&gt;"",$F$40/1000,IF(ISERROR(VLOOKUP($F$3&amp;IF($G$4&lt;&gt;"",$G$4,"")&amp;IF($F$43&lt;&gt;"","_"&amp;$F$43,""),'表3）燃料価格'!$AF$9:$AG$25,2,0)),0,VLOOKUP($I18,'表3）燃料価格'!$A$6:$U$66,VLOOKUP($F$3&amp;IF($G$4&lt;&gt;"",$G$4,"")&amp;IF($F$43&lt;&gt;"","_"&amp;$F$43,""),'表3）燃料価格'!$AF$9:$AG$25,2,0)+VLOOKUP($F$41,'表3）燃料価格'!$AF$28:$AG$29,2,0),0)*IF($F$43="需要地価格",1,$F$8/$F$141))),"")</f>
        <v>55.379729162136329</v>
      </c>
      <c r="AU18" s="71"/>
      <c r="AV18" s="10">
        <f t="shared" si="10"/>
        <v>11927268429.360624</v>
      </c>
      <c r="AW18" s="10">
        <f t="shared" si="27"/>
        <v>10597223516.500618</v>
      </c>
      <c r="AX18" s="71"/>
      <c r="AY18" s="7">
        <f>IF(ISERROR(IF($K18&lt;=$F$15,VLOOKUP($I18,'表4）CO2価格'!$A$7:$E$67,VLOOKUP($F$48,'表4）CO2価格'!$H$10:$I$12,2,0),0)*$F$8/1000,"")),0,IF($K18&lt;=$F$15,VLOOKUP($I18,'表4）CO2価格'!$A$7:$E$67,VLOOKUP($F$48,'表4）CO2価格'!$H$10:$I$12,2,0),0)*$F$8/1000,""))</f>
        <v>4.6651999999999898</v>
      </c>
      <c r="AZ18" s="71"/>
      <c r="BA18" s="11">
        <f t="shared" si="11"/>
        <v>2708020960.1279936</v>
      </c>
      <c r="BB18" s="10">
        <f t="shared" si="28"/>
        <v>2406041548.5579309</v>
      </c>
      <c r="BC18" s="71"/>
      <c r="BD18" s="10">
        <f t="shared" si="12"/>
        <v>0</v>
      </c>
      <c r="BE18" s="10">
        <f t="shared" si="29"/>
        <v>0</v>
      </c>
      <c r="BF18" s="71"/>
      <c r="BG18" s="11">
        <f t="shared" si="13"/>
        <v>0</v>
      </c>
      <c r="BH18" s="10">
        <f t="shared" si="30"/>
        <v>0</v>
      </c>
      <c r="BJ18" s="7" t="str">
        <f t="shared" si="31"/>
        <v/>
      </c>
      <c r="BK18" s="158" t="str">
        <f t="shared" si="32"/>
        <v/>
      </c>
      <c r="BL18" s="158" t="str">
        <f t="shared" si="14"/>
        <v/>
      </c>
      <c r="BM18" s="10"/>
      <c r="BN18" s="10" t="str">
        <f t="shared" si="33"/>
        <v/>
      </c>
      <c r="BO18" s="10" t="str">
        <f t="shared" si="34"/>
        <v/>
      </c>
      <c r="BQ18" s="10">
        <f t="shared" si="15"/>
        <v>1000742400</v>
      </c>
      <c r="BR18" s="10">
        <f t="shared" si="35"/>
        <v>889146660.70006156</v>
      </c>
    </row>
    <row r="19" spans="3:70" x14ac:dyDescent="0.15">
      <c r="C19" s="89" t="s">
        <v>371</v>
      </c>
      <c r="D19" s="101"/>
      <c r="E19" s="101"/>
      <c r="F19" s="89"/>
      <c r="G19" s="101"/>
      <c r="I19" s="458">
        <f t="shared" si="36"/>
        <v>2034</v>
      </c>
      <c r="J19" s="39"/>
      <c r="K19" s="39">
        <f t="shared" si="37"/>
        <v>5</v>
      </c>
      <c r="L19" s="39"/>
      <c r="M19" s="40">
        <f t="shared" si="0"/>
        <v>0.86260878438416411</v>
      </c>
      <c r="N19" s="39"/>
      <c r="O19" s="72">
        <f t="shared" si="16"/>
        <v>50074122209.384003</v>
      </c>
      <c r="P19" s="41">
        <f t="shared" si="1"/>
        <v>0.16700000000000001</v>
      </c>
      <c r="Q19" s="39"/>
      <c r="R19" s="72">
        <f t="shared" si="17"/>
        <v>56281630760.83223</v>
      </c>
      <c r="S19" s="39"/>
      <c r="T19" s="72">
        <f t="shared" si="18"/>
        <v>56281630000</v>
      </c>
      <c r="U19" s="39"/>
      <c r="V19" s="72">
        <f t="shared" si="2"/>
        <v>8362378408.9671288</v>
      </c>
      <c r="W19" s="72">
        <f t="shared" si="19"/>
        <v>7213461073.9195156</v>
      </c>
      <c r="X19" s="39"/>
      <c r="Y19" s="72">
        <f t="shared" si="3"/>
        <v>787942800</v>
      </c>
      <c r="Z19" s="72">
        <f t="shared" si="20"/>
        <v>679686380.87225449</v>
      </c>
      <c r="AA19" s="39"/>
      <c r="AB19" s="72">
        <f t="shared" si="4"/>
        <v>0</v>
      </c>
      <c r="AC19" s="72">
        <f t="shared" si="21"/>
        <v>0</v>
      </c>
      <c r="AD19" s="39"/>
      <c r="AE19" s="72">
        <f t="shared" si="5"/>
        <v>0</v>
      </c>
      <c r="AF19" s="72">
        <f t="shared" si="22"/>
        <v>0</v>
      </c>
      <c r="AG19" s="39"/>
      <c r="AH19" s="72">
        <f t="shared" si="6"/>
        <v>190000000</v>
      </c>
      <c r="AI19" s="72">
        <f t="shared" si="23"/>
        <v>163895669.03299117</v>
      </c>
      <c r="AJ19" s="39"/>
      <c r="AK19" s="72">
        <f t="shared" si="7"/>
        <v>1872000000</v>
      </c>
      <c r="AL19" s="72">
        <f t="shared" si="24"/>
        <v>1614803644.3671553</v>
      </c>
      <c r="AM19" s="39"/>
      <c r="AN19" s="72">
        <f t="shared" si="8"/>
        <v>936000000</v>
      </c>
      <c r="AO19" s="72">
        <f t="shared" si="25"/>
        <v>807401822.18357766</v>
      </c>
      <c r="AP19" s="39"/>
      <c r="AQ19" s="72">
        <f t="shared" si="9"/>
        <v>279113800</v>
      </c>
      <c r="AR19" s="72">
        <f t="shared" si="26"/>
        <v>240766015.72284469</v>
      </c>
      <c r="AS19" s="39"/>
      <c r="AT19" s="40">
        <f>IF($K19&lt;=$F$15,IF($F$40&lt;&gt;"",$F$40/1000,IF(ISERROR(VLOOKUP($F$3&amp;IF($G$4&lt;&gt;"",$G$4,"")&amp;IF($F$43&lt;&gt;"","_"&amp;$F$43,""),'表3）燃料価格'!$AF$9:$AG$25,2,0)),0,VLOOKUP($I19,'表3）燃料価格'!$A$6:$U$66,VLOOKUP($F$3&amp;IF($G$4&lt;&gt;"",$G$4,"")&amp;IF($F$43&lt;&gt;"","_"&amp;$F$43,""),'表3）燃料価格'!$AF$9:$AG$25,2,0)+VLOOKUP($F$41,'表3）燃料価格'!$AF$28:$AG$29,2,0),0)*IF($F$43="需要地価格",1,$F$8/$F$141))),"")</f>
        <v>56.007871597743481</v>
      </c>
      <c r="AU19" s="39"/>
      <c r="AV19" s="72">
        <f t="shared" si="10"/>
        <v>12046227712.625742</v>
      </c>
      <c r="AW19" s="72">
        <f t="shared" si="27"/>
        <v>10391181843.602921</v>
      </c>
      <c r="AX19" s="39"/>
      <c r="AY19" s="40">
        <f>IF(ISERROR(IF($K19&lt;=$F$15,VLOOKUP($I19,'表4）CO2価格'!$A$7:$E$67,VLOOKUP($F$48,'表4）CO2価格'!$H$10:$I$12,2,0),0)*$F$8/1000,"")),0,IF($K19&lt;=$F$15,VLOOKUP($I19,'表4）CO2価格'!$A$7:$E$67,VLOOKUP($F$48,'表4）CO2価格'!$H$10:$I$12,2,0),0)*$F$8/1000,""))</f>
        <v>4.7935999999999712</v>
      </c>
      <c r="AZ19" s="39"/>
      <c r="BA19" s="42">
        <f t="shared" si="11"/>
        <v>2782553647.1039829</v>
      </c>
      <c r="BB19" s="72">
        <f t="shared" si="28"/>
        <v>2400255219.0120893</v>
      </c>
      <c r="BC19" s="39"/>
      <c r="BD19" s="72">
        <f t="shared" si="12"/>
        <v>0</v>
      </c>
      <c r="BE19" s="72">
        <f t="shared" si="29"/>
        <v>0</v>
      </c>
      <c r="BF19" s="39"/>
      <c r="BG19" s="42">
        <f t="shared" si="13"/>
        <v>0</v>
      </c>
      <c r="BH19" s="72">
        <f t="shared" si="30"/>
        <v>0</v>
      </c>
      <c r="BI19" s="39"/>
      <c r="BJ19" s="40" t="str">
        <f t="shared" si="31"/>
        <v/>
      </c>
      <c r="BK19" s="157" t="str">
        <f t="shared" si="32"/>
        <v/>
      </c>
      <c r="BL19" s="157" t="str">
        <f t="shared" si="14"/>
        <v/>
      </c>
      <c r="BM19" s="72"/>
      <c r="BN19" s="72" t="str">
        <f t="shared" si="33"/>
        <v/>
      </c>
      <c r="BO19" s="72" t="str">
        <f t="shared" si="34"/>
        <v/>
      </c>
      <c r="BP19" s="39"/>
      <c r="BQ19" s="72">
        <f t="shared" si="15"/>
        <v>1000742400</v>
      </c>
      <c r="BR19" s="72">
        <f t="shared" si="35"/>
        <v>863249185.14569092</v>
      </c>
    </row>
    <row r="20" spans="3:70" x14ac:dyDescent="0.15">
      <c r="I20" s="459">
        <f t="shared" si="36"/>
        <v>2035</v>
      </c>
      <c r="J20" s="71"/>
      <c r="K20" s="71">
        <f t="shared" si="37"/>
        <v>6</v>
      </c>
      <c r="L20" s="71"/>
      <c r="M20" s="7">
        <f t="shared" si="0"/>
        <v>0.83748425668365445</v>
      </c>
      <c r="N20" s="71"/>
      <c r="O20" s="10">
        <f t="shared" si="16"/>
        <v>41711743800.41687</v>
      </c>
      <c r="P20" s="29">
        <f t="shared" si="1"/>
        <v>0.16700000000000001</v>
      </c>
      <c r="Q20" s="71"/>
      <c r="R20" s="10">
        <f t="shared" si="17"/>
        <v>48272523869.572906</v>
      </c>
      <c r="S20" s="71"/>
      <c r="T20" s="10">
        <f t="shared" si="18"/>
        <v>48272523000</v>
      </c>
      <c r="U20" s="71"/>
      <c r="V20" s="10">
        <f t="shared" si="2"/>
        <v>6965861214.6696177</v>
      </c>
      <c r="W20" s="10">
        <f t="shared" si="19"/>
        <v>5833799101.5290833</v>
      </c>
      <c r="X20" s="71"/>
      <c r="Y20" s="10">
        <f t="shared" si="3"/>
        <v>675815300</v>
      </c>
      <c r="Z20" s="10">
        <f t="shared" si="20"/>
        <v>565984674.17594099</v>
      </c>
      <c r="AA20" s="71"/>
      <c r="AB20" s="10">
        <f t="shared" si="4"/>
        <v>0</v>
      </c>
      <c r="AC20" s="10">
        <f t="shared" si="21"/>
        <v>0</v>
      </c>
      <c r="AD20" s="71"/>
      <c r="AE20" s="10">
        <f t="shared" si="5"/>
        <v>0</v>
      </c>
      <c r="AF20" s="10">
        <f t="shared" si="22"/>
        <v>0</v>
      </c>
      <c r="AG20" s="71"/>
      <c r="AH20" s="10">
        <f t="shared" si="6"/>
        <v>190000000</v>
      </c>
      <c r="AI20" s="10">
        <f t="shared" si="23"/>
        <v>159122008.76989433</v>
      </c>
      <c r="AJ20" s="71"/>
      <c r="AK20" s="10">
        <f t="shared" si="7"/>
        <v>1872000000</v>
      </c>
      <c r="AL20" s="10">
        <f t="shared" si="24"/>
        <v>1567770528.5118012</v>
      </c>
      <c r="AM20" s="71"/>
      <c r="AN20" s="10">
        <f t="shared" si="8"/>
        <v>936000000</v>
      </c>
      <c r="AO20" s="10">
        <f t="shared" si="25"/>
        <v>783885264.25590062</v>
      </c>
      <c r="AP20" s="71"/>
      <c r="AQ20" s="10">
        <f t="shared" si="9"/>
        <v>279113800</v>
      </c>
      <c r="AR20" s="10">
        <f t="shared" si="26"/>
        <v>233753413.32315019</v>
      </c>
      <c r="AS20" s="71"/>
      <c r="AT20" s="7">
        <f>IF($K20&lt;=$F$15,IF($F$40&lt;&gt;"",$F$40/1000,IF(ISERROR(VLOOKUP($F$3&amp;IF($G$4&lt;&gt;"",$G$4,"")&amp;IF($F$43&lt;&gt;"","_"&amp;$F$43,""),'表3）燃料価格'!$AF$9:$AG$25,2,0)),0,VLOOKUP($I20,'表3）燃料価格'!$A$6:$U$66,VLOOKUP($F$3&amp;IF($G$4&lt;&gt;"",$G$4,"")&amp;IF($F$43&lt;&gt;"","_"&amp;$F$43,""),'表3）燃料価格'!$AF$9:$AG$25,2,0)+VLOOKUP($F$41,'表3）燃料価格'!$AF$28:$AG$29,2,0),0)*IF($F$43="需要地価格",1,$F$8/$F$141))),"")</f>
        <v>56.636014033350634</v>
      </c>
      <c r="AU20" s="71"/>
      <c r="AV20" s="10">
        <f t="shared" si="10"/>
        <v>12165186995.890856</v>
      </c>
      <c r="AW20" s="10">
        <f t="shared" si="27"/>
        <v>10188152588.671312</v>
      </c>
      <c r="AX20" s="71"/>
      <c r="AY20" s="7">
        <f>IF(ISERROR(IF($K20&lt;=$F$15,VLOOKUP($I20,'表4）CO2価格'!$A$7:$E$67,VLOOKUP($F$48,'表4）CO2価格'!$H$10:$I$12,2,0),0)*$F$8/1000,"")),0,IF($K20&lt;=$F$15,VLOOKUP($I20,'表4）CO2価格'!$A$7:$E$67,VLOOKUP($F$48,'表4）CO2価格'!$H$10:$I$12,2,0),0)*$F$8/1000,""))</f>
        <v>4.9219999999999997</v>
      </c>
      <c r="AZ20" s="71"/>
      <c r="BA20" s="11">
        <f t="shared" si="11"/>
        <v>2857086334.0799994</v>
      </c>
      <c r="BB20" s="10">
        <f t="shared" si="28"/>
        <v>2392764824.7780156</v>
      </c>
      <c r="BC20" s="71"/>
      <c r="BD20" s="10">
        <f t="shared" si="12"/>
        <v>0</v>
      </c>
      <c r="BE20" s="10">
        <f t="shared" si="29"/>
        <v>0</v>
      </c>
      <c r="BF20" s="71"/>
      <c r="BG20" s="11">
        <f t="shared" si="13"/>
        <v>0</v>
      </c>
      <c r="BH20" s="10">
        <f t="shared" si="30"/>
        <v>0</v>
      </c>
      <c r="BJ20" s="7" t="str">
        <f t="shared" si="31"/>
        <v/>
      </c>
      <c r="BK20" s="158" t="str">
        <f t="shared" si="32"/>
        <v/>
      </c>
      <c r="BL20" s="158" t="str">
        <f t="shared" si="14"/>
        <v/>
      </c>
      <c r="BM20" s="10"/>
      <c r="BN20" s="10" t="str">
        <f t="shared" si="33"/>
        <v/>
      </c>
      <c r="BO20" s="10" t="str">
        <f t="shared" si="34"/>
        <v/>
      </c>
      <c r="BQ20" s="10">
        <f t="shared" si="15"/>
        <v>1000742400</v>
      </c>
      <c r="BR20" s="10">
        <f t="shared" si="35"/>
        <v>838106004.99581635</v>
      </c>
    </row>
    <row r="21" spans="3:70" x14ac:dyDescent="0.15">
      <c r="D21" s="81" t="s">
        <v>110</v>
      </c>
      <c r="F21" s="147">
        <v>26</v>
      </c>
      <c r="G21" s="81" t="s">
        <v>174</v>
      </c>
      <c r="I21" s="458">
        <f t="shared" si="36"/>
        <v>2036</v>
      </c>
      <c r="J21" s="39"/>
      <c r="K21" s="39">
        <f t="shared" si="37"/>
        <v>7</v>
      </c>
      <c r="L21" s="39"/>
      <c r="M21" s="40">
        <f t="shared" si="0"/>
        <v>0.81309151134335378</v>
      </c>
      <c r="N21" s="39"/>
      <c r="O21" s="72">
        <f t="shared" si="16"/>
        <v>34745882585.747253</v>
      </c>
      <c r="P21" s="41">
        <f t="shared" si="1"/>
        <v>0.16700000000000001</v>
      </c>
      <c r="Q21" s="39"/>
      <c r="R21" s="72">
        <f t="shared" si="17"/>
        <v>41403145737.563721</v>
      </c>
      <c r="S21" s="39"/>
      <c r="T21" s="72">
        <f t="shared" si="18"/>
        <v>41403145000</v>
      </c>
      <c r="U21" s="39"/>
      <c r="V21" s="72">
        <f t="shared" si="2"/>
        <v>5802562391.8197918</v>
      </c>
      <c r="W21" s="72">
        <f t="shared" si="19"/>
        <v>4718014224.8288603</v>
      </c>
      <c r="X21" s="39"/>
      <c r="Y21" s="72">
        <f t="shared" si="3"/>
        <v>579644000</v>
      </c>
      <c r="Z21" s="72">
        <f t="shared" si="20"/>
        <v>471303616.00110698</v>
      </c>
      <c r="AA21" s="39"/>
      <c r="AB21" s="72">
        <f t="shared" si="4"/>
        <v>0</v>
      </c>
      <c r="AC21" s="72">
        <f t="shared" si="21"/>
        <v>0</v>
      </c>
      <c r="AD21" s="39"/>
      <c r="AE21" s="72">
        <f t="shared" si="5"/>
        <v>0</v>
      </c>
      <c r="AF21" s="72">
        <f t="shared" si="22"/>
        <v>0</v>
      </c>
      <c r="AG21" s="39"/>
      <c r="AH21" s="72">
        <f t="shared" si="6"/>
        <v>190000000</v>
      </c>
      <c r="AI21" s="72">
        <f t="shared" si="23"/>
        <v>154487387.15523723</v>
      </c>
      <c r="AJ21" s="39"/>
      <c r="AK21" s="72">
        <f t="shared" si="7"/>
        <v>1872000000</v>
      </c>
      <c r="AL21" s="72">
        <f t="shared" si="24"/>
        <v>1522107309.2347584</v>
      </c>
      <c r="AM21" s="39"/>
      <c r="AN21" s="72">
        <f t="shared" si="8"/>
        <v>936000000</v>
      </c>
      <c r="AO21" s="72">
        <f t="shared" si="25"/>
        <v>761053654.61737919</v>
      </c>
      <c r="AP21" s="39"/>
      <c r="AQ21" s="72">
        <f t="shared" si="9"/>
        <v>279113800</v>
      </c>
      <c r="AR21" s="72">
        <f t="shared" si="26"/>
        <v>226945061.47878659</v>
      </c>
      <c r="AS21" s="39"/>
      <c r="AT21" s="40">
        <f>IF($K21&lt;=$F$15,IF($F$40&lt;&gt;"",$F$40/1000,IF(ISERROR(VLOOKUP($F$3&amp;IF($G$4&lt;&gt;"",$G$4,"")&amp;IF($F$43&lt;&gt;"","_"&amp;$F$43,""),'表3）燃料価格'!$AF$9:$AG$25,2,0)),0,VLOOKUP($I21,'表3）燃料価格'!$A$6:$U$66,VLOOKUP($F$3&amp;IF($G$4&lt;&gt;"",$G$4,"")&amp;IF($F$43&lt;&gt;"","_"&amp;$F$43,""),'表3）燃料価格'!$AF$9:$AG$25,2,0)+VLOOKUP($F$41,'表3）燃料価格'!$AF$28:$AG$29,2,0),0)*IF($F$43="需要地価格",1,$F$8/$F$141))),"")</f>
        <v>57.264156468957793</v>
      </c>
      <c r="AU21" s="39"/>
      <c r="AV21" s="72">
        <f t="shared" si="10"/>
        <v>12284146279.155973</v>
      </c>
      <c r="AW21" s="72">
        <f t="shared" si="27"/>
        <v>9988135063.6817665</v>
      </c>
      <c r="AX21" s="39"/>
      <c r="AY21" s="40">
        <f>IF(ISERROR(IF($K21&lt;=$F$15,VLOOKUP($I21,'表4）CO2価格'!$A$7:$E$67,VLOOKUP($F$48,'表4）CO2価格'!$H$10:$I$12,2,0),0)*$F$8/1000,"")),0,IF($K21&lt;=$F$15,VLOOKUP($I21,'表4）CO2価格'!$A$7:$E$67,VLOOKUP($F$48,'表4）CO2価格'!$H$10:$I$12,2,0),0)*$F$8/1000,""))</f>
        <v>5.0503999999999802</v>
      </c>
      <c r="AZ21" s="39"/>
      <c r="BA21" s="42">
        <f t="shared" si="11"/>
        <v>2931619021.0559878</v>
      </c>
      <c r="BB21" s="72">
        <f t="shared" si="28"/>
        <v>2383674540.5133367</v>
      </c>
      <c r="BC21" s="39"/>
      <c r="BD21" s="72">
        <f t="shared" si="12"/>
        <v>0</v>
      </c>
      <c r="BE21" s="72">
        <f t="shared" si="29"/>
        <v>0</v>
      </c>
      <c r="BF21" s="39"/>
      <c r="BG21" s="42">
        <f t="shared" si="13"/>
        <v>0</v>
      </c>
      <c r="BH21" s="72">
        <f t="shared" si="30"/>
        <v>0</v>
      </c>
      <c r="BI21" s="39"/>
      <c r="BJ21" s="40" t="str">
        <f t="shared" si="31"/>
        <v/>
      </c>
      <c r="BK21" s="157" t="str">
        <f t="shared" si="32"/>
        <v/>
      </c>
      <c r="BL21" s="157" t="str">
        <f t="shared" si="14"/>
        <v/>
      </c>
      <c r="BM21" s="72"/>
      <c r="BN21" s="72" t="str">
        <f t="shared" si="33"/>
        <v/>
      </c>
      <c r="BO21" s="72" t="str">
        <f t="shared" si="34"/>
        <v/>
      </c>
      <c r="BP21" s="39"/>
      <c r="BQ21" s="72">
        <f t="shared" si="15"/>
        <v>1000742400</v>
      </c>
      <c r="BR21" s="72">
        <f t="shared" si="35"/>
        <v>813695150.4813751</v>
      </c>
    </row>
    <row r="22" spans="3:70" ht="16.5" x14ac:dyDescent="0.15">
      <c r="D22" s="81" t="s">
        <v>111</v>
      </c>
      <c r="F22" s="90">
        <v>41.63</v>
      </c>
      <c r="G22" s="9" t="s">
        <v>372</v>
      </c>
      <c r="I22" s="459">
        <f t="shared" si="36"/>
        <v>2037</v>
      </c>
      <c r="J22" s="71"/>
      <c r="K22" s="71">
        <f t="shared" si="37"/>
        <v>8</v>
      </c>
      <c r="L22" s="71"/>
      <c r="M22" s="7">
        <f t="shared" si="0"/>
        <v>0.78940923431393573</v>
      </c>
      <c r="N22" s="71"/>
      <c r="O22" s="10">
        <f t="shared" si="16"/>
        <v>28943320193.92746</v>
      </c>
      <c r="P22" s="29">
        <f t="shared" si="1"/>
        <v>0.16700000000000001</v>
      </c>
      <c r="Q22" s="71"/>
      <c r="R22" s="10">
        <f t="shared" si="17"/>
        <v>35511308287.869461</v>
      </c>
      <c r="S22" s="71"/>
      <c r="T22" s="10">
        <f t="shared" si="18"/>
        <v>35511308000</v>
      </c>
      <c r="U22" s="71"/>
      <c r="V22" s="10">
        <f t="shared" si="2"/>
        <v>4833534472.3858862</v>
      </c>
      <c r="W22" s="10">
        <f t="shared" si="19"/>
        <v>3815636746.8761559</v>
      </c>
      <c r="X22" s="71"/>
      <c r="Y22" s="10">
        <f t="shared" si="3"/>
        <v>497158300</v>
      </c>
      <c r="Z22" s="10">
        <f t="shared" si="20"/>
        <v>392461352.93581796</v>
      </c>
      <c r="AA22" s="71"/>
      <c r="AB22" s="10">
        <f t="shared" si="4"/>
        <v>0</v>
      </c>
      <c r="AC22" s="10">
        <f t="shared" si="21"/>
        <v>0</v>
      </c>
      <c r="AD22" s="71"/>
      <c r="AE22" s="10">
        <f t="shared" si="5"/>
        <v>0</v>
      </c>
      <c r="AF22" s="10">
        <f t="shared" si="22"/>
        <v>0</v>
      </c>
      <c r="AG22" s="71"/>
      <c r="AH22" s="10">
        <f t="shared" si="6"/>
        <v>190000000</v>
      </c>
      <c r="AI22" s="10">
        <f t="shared" si="23"/>
        <v>149987754.51964778</v>
      </c>
      <c r="AJ22" s="71"/>
      <c r="AK22" s="10">
        <f t="shared" si="7"/>
        <v>1872000000</v>
      </c>
      <c r="AL22" s="10">
        <f t="shared" si="24"/>
        <v>1477774086.6356876</v>
      </c>
      <c r="AM22" s="71"/>
      <c r="AN22" s="10">
        <f t="shared" si="8"/>
        <v>936000000</v>
      </c>
      <c r="AO22" s="10">
        <f t="shared" si="25"/>
        <v>738887043.31784379</v>
      </c>
      <c r="AP22" s="71"/>
      <c r="AQ22" s="10">
        <f t="shared" si="9"/>
        <v>279113800</v>
      </c>
      <c r="AR22" s="10">
        <f t="shared" si="26"/>
        <v>220335011.14445299</v>
      </c>
      <c r="AS22" s="71"/>
      <c r="AT22" s="7">
        <f>IF($K22&lt;=$F$15,IF($F$40&lt;&gt;"",$F$40/1000,IF(ISERROR(VLOOKUP($F$3&amp;IF($G$4&lt;&gt;"",$G$4,"")&amp;IF($F$43&lt;&gt;"","_"&amp;$F$43,""),'表3）燃料価格'!$AF$9:$AG$25,2,0)),0,VLOOKUP($I22,'表3）燃料価格'!$A$6:$U$66,VLOOKUP($F$3&amp;IF($G$4&lt;&gt;"",$G$4,"")&amp;IF($F$43&lt;&gt;"","_"&amp;$F$43,""),'表3）燃料価格'!$AF$9:$AG$25,2,0)+VLOOKUP($F$41,'表3）燃料価格'!$AF$28:$AG$29,2,0),0)*IF($F$43="需要地価格",1,$F$8/$F$141))),"")</f>
        <v>57.892298904564946</v>
      </c>
      <c r="AU22" s="71"/>
      <c r="AV22" s="10">
        <f t="shared" si="10"/>
        <v>12403105562.421091</v>
      </c>
      <c r="AW22" s="10">
        <f t="shared" si="27"/>
        <v>9791126065.14575</v>
      </c>
      <c r="AX22" s="71"/>
      <c r="AY22" s="7">
        <f>IF(ISERROR(IF($K22&lt;=$F$15,VLOOKUP($I22,'表4）CO2価格'!$A$7:$E$67,VLOOKUP($F$48,'表4）CO2価格'!$H$10:$I$12,2,0),0)*$F$8/1000,"")),0,IF($K22&lt;=$F$15,VLOOKUP($I22,'表4）CO2価格'!$A$7:$E$67,VLOOKUP($F$48,'表4）CO2価格'!$H$10:$I$12,2,0),0)*$F$8/1000,""))</f>
        <v>5.1788000000000105</v>
      </c>
      <c r="AZ22" s="71"/>
      <c r="BA22" s="11">
        <f t="shared" si="11"/>
        <v>3006151708.0320053</v>
      </c>
      <c r="BB22" s="10">
        <f t="shared" si="28"/>
        <v>2373083918.0690756</v>
      </c>
      <c r="BC22" s="71"/>
      <c r="BD22" s="10">
        <f t="shared" si="12"/>
        <v>0</v>
      </c>
      <c r="BE22" s="10">
        <f t="shared" si="29"/>
        <v>0</v>
      </c>
      <c r="BF22" s="71"/>
      <c r="BG22" s="11">
        <f t="shared" si="13"/>
        <v>0</v>
      </c>
      <c r="BH22" s="10">
        <f t="shared" si="30"/>
        <v>0</v>
      </c>
      <c r="BJ22" s="7" t="str">
        <f t="shared" si="31"/>
        <v/>
      </c>
      <c r="BK22" s="158" t="str">
        <f t="shared" si="32"/>
        <v/>
      </c>
      <c r="BL22" s="158" t="str">
        <f t="shared" si="14"/>
        <v/>
      </c>
      <c r="BM22" s="10"/>
      <c r="BN22" s="10" t="str">
        <f t="shared" si="33"/>
        <v/>
      </c>
      <c r="BO22" s="10" t="str">
        <f t="shared" si="34"/>
        <v/>
      </c>
      <c r="BQ22" s="10">
        <f t="shared" si="15"/>
        <v>1000742400</v>
      </c>
      <c r="BR22" s="10">
        <f t="shared" si="35"/>
        <v>789995291.7294904</v>
      </c>
    </row>
    <row r="23" spans="3:70" x14ac:dyDescent="0.15">
      <c r="D23" s="81" t="s">
        <v>112</v>
      </c>
      <c r="F23" s="147">
        <v>48</v>
      </c>
      <c r="G23" s="81" t="s">
        <v>172</v>
      </c>
      <c r="I23" s="458">
        <f t="shared" si="36"/>
        <v>2038</v>
      </c>
      <c r="J23" s="39"/>
      <c r="K23" s="39">
        <f t="shared" si="37"/>
        <v>9</v>
      </c>
      <c r="L23" s="39"/>
      <c r="M23" s="40">
        <f t="shared" si="0"/>
        <v>0.76641673234362695</v>
      </c>
      <c r="N23" s="39"/>
      <c r="O23" s="72">
        <f t="shared" si="16"/>
        <v>24109785721.541573</v>
      </c>
      <c r="P23" s="41">
        <f t="shared" si="1"/>
        <v>0.16700000000000001</v>
      </c>
      <c r="Q23" s="39"/>
      <c r="R23" s="72">
        <f t="shared" si="17"/>
        <v>30457903472.102463</v>
      </c>
      <c r="S23" s="39"/>
      <c r="T23" s="72">
        <f t="shared" si="18"/>
        <v>30457903000</v>
      </c>
      <c r="U23" s="39"/>
      <c r="V23" s="72">
        <f t="shared" si="2"/>
        <v>4026334215.4974427</v>
      </c>
      <c r="W23" s="72">
        <f t="shared" si="19"/>
        <v>3085849912.7648907</v>
      </c>
      <c r="X23" s="39"/>
      <c r="Y23" s="72">
        <f t="shared" si="3"/>
        <v>426410600</v>
      </c>
      <c r="Z23" s="72">
        <f t="shared" si="20"/>
        <v>326808218.68868536</v>
      </c>
      <c r="AA23" s="39"/>
      <c r="AB23" s="72">
        <f t="shared" si="4"/>
        <v>0</v>
      </c>
      <c r="AC23" s="72">
        <f t="shared" si="21"/>
        <v>0</v>
      </c>
      <c r="AD23" s="39"/>
      <c r="AE23" s="72">
        <f t="shared" si="5"/>
        <v>0</v>
      </c>
      <c r="AF23" s="72">
        <f t="shared" si="22"/>
        <v>0</v>
      </c>
      <c r="AG23" s="39"/>
      <c r="AH23" s="72">
        <f t="shared" si="6"/>
        <v>190000000</v>
      </c>
      <c r="AI23" s="72">
        <f t="shared" si="23"/>
        <v>145619179.14528912</v>
      </c>
      <c r="AJ23" s="39"/>
      <c r="AK23" s="72">
        <f t="shared" si="7"/>
        <v>1872000000</v>
      </c>
      <c r="AL23" s="72">
        <f t="shared" si="24"/>
        <v>1434732122.9472697</v>
      </c>
      <c r="AM23" s="39"/>
      <c r="AN23" s="72">
        <f t="shared" si="8"/>
        <v>936000000</v>
      </c>
      <c r="AO23" s="72">
        <f t="shared" si="25"/>
        <v>717366061.47363484</v>
      </c>
      <c r="AP23" s="39"/>
      <c r="AQ23" s="72">
        <f t="shared" si="9"/>
        <v>279113800</v>
      </c>
      <c r="AR23" s="72">
        <f t="shared" si="26"/>
        <v>213917486.54801261</v>
      </c>
      <c r="AS23" s="39"/>
      <c r="AT23" s="40">
        <f>IF($K23&lt;=$F$15,IF($F$40&lt;&gt;"",$F$40/1000,IF(ISERROR(VLOOKUP($F$3&amp;IF($G$4&lt;&gt;"",$G$4,"")&amp;IF($F$43&lt;&gt;"","_"&amp;$F$43,""),'表3）燃料価格'!$AF$9:$AG$25,2,0)),0,VLOOKUP($I23,'表3）燃料価格'!$A$6:$U$66,VLOOKUP($F$3&amp;IF($G$4&lt;&gt;"",$G$4,"")&amp;IF($F$43&lt;&gt;"","_"&amp;$F$43,""),'表3）燃料価格'!$AF$9:$AG$25,2,0)+VLOOKUP($F$41,'表3）燃料価格'!$AF$28:$AG$29,2,0),0)*IF($F$43="需要地価格",1,$F$8/$F$141))),"")</f>
        <v>58.520441340172106</v>
      </c>
      <c r="AU23" s="39"/>
      <c r="AV23" s="72">
        <f t="shared" si="10"/>
        <v>12522064845.686209</v>
      </c>
      <c r="AW23" s="72">
        <f t="shared" si="27"/>
        <v>9597120021.2258282</v>
      </c>
      <c r="AX23" s="39"/>
      <c r="AY23" s="40">
        <f>IF(ISERROR(IF($K23&lt;=$F$15,VLOOKUP($I23,'表4）CO2価格'!$A$7:$E$67,VLOOKUP($F$48,'表4）CO2価格'!$H$10:$I$12,2,0),0)*$F$8/1000,"")),0,IF($K23&lt;=$F$15,VLOOKUP($I23,'表4）CO2価格'!$A$7:$E$67,VLOOKUP($F$48,'表4）CO2価格'!$H$10:$I$12,2,0),0)*$F$8/1000,""))</f>
        <v>5.3071999999999901</v>
      </c>
      <c r="AZ23" s="39"/>
      <c r="BA23" s="42">
        <f t="shared" si="11"/>
        <v>3080684395.0079937</v>
      </c>
      <c r="BB23" s="72">
        <f t="shared" si="28"/>
        <v>2361088067.4040298</v>
      </c>
      <c r="BC23" s="39"/>
      <c r="BD23" s="72">
        <f t="shared" si="12"/>
        <v>0</v>
      </c>
      <c r="BE23" s="72">
        <f t="shared" si="29"/>
        <v>0</v>
      </c>
      <c r="BF23" s="39"/>
      <c r="BG23" s="42">
        <f t="shared" si="13"/>
        <v>0</v>
      </c>
      <c r="BH23" s="72">
        <f t="shared" si="30"/>
        <v>0</v>
      </c>
      <c r="BI23" s="39"/>
      <c r="BJ23" s="40" t="str">
        <f t="shared" si="31"/>
        <v/>
      </c>
      <c r="BK23" s="157" t="str">
        <f t="shared" si="32"/>
        <v/>
      </c>
      <c r="BL23" s="157" t="str">
        <f t="shared" si="14"/>
        <v/>
      </c>
      <c r="BM23" s="72"/>
      <c r="BN23" s="72" t="str">
        <f t="shared" si="33"/>
        <v/>
      </c>
      <c r="BO23" s="72" t="str">
        <f t="shared" si="34"/>
        <v/>
      </c>
      <c r="BP23" s="39"/>
      <c r="BQ23" s="72">
        <f t="shared" si="15"/>
        <v>1000742400</v>
      </c>
      <c r="BR23" s="72">
        <f t="shared" si="35"/>
        <v>766985720.12571883</v>
      </c>
    </row>
    <row r="24" spans="3:70" x14ac:dyDescent="0.15">
      <c r="D24" s="81" t="s">
        <v>113</v>
      </c>
      <c r="F24" s="68">
        <v>4.8</v>
      </c>
      <c r="G24" s="81" t="s">
        <v>172</v>
      </c>
      <c r="I24" s="459">
        <f t="shared" si="36"/>
        <v>2039</v>
      </c>
      <c r="J24" s="71"/>
      <c r="K24" s="71">
        <f t="shared" si="37"/>
        <v>10</v>
      </c>
      <c r="L24" s="71"/>
      <c r="M24" s="7">
        <f t="shared" si="0"/>
        <v>0.74409391489672516</v>
      </c>
      <c r="N24" s="71"/>
      <c r="O24" s="10">
        <f t="shared" si="16"/>
        <v>20083451506.044128</v>
      </c>
      <c r="P24" s="29">
        <f t="shared" si="1"/>
        <v>0.16700000000000001</v>
      </c>
      <c r="Q24" s="71"/>
      <c r="R24" s="10">
        <f t="shared" si="17"/>
        <v>26123618887.699635</v>
      </c>
      <c r="S24" s="71"/>
      <c r="T24" s="10">
        <f t="shared" si="18"/>
        <v>26123618000</v>
      </c>
      <c r="U24" s="71"/>
      <c r="V24" s="10">
        <f t="shared" si="2"/>
        <v>3353936401.5093699</v>
      </c>
      <c r="W24" s="10">
        <f t="shared" si="19"/>
        <v>2495643667.3137417</v>
      </c>
      <c r="X24" s="71"/>
      <c r="Y24" s="10">
        <f t="shared" si="3"/>
        <v>365730600</v>
      </c>
      <c r="Z24" s="10">
        <f t="shared" si="20"/>
        <v>272137913.95152825</v>
      </c>
      <c r="AA24" s="71"/>
      <c r="AB24" s="10">
        <f t="shared" si="4"/>
        <v>0</v>
      </c>
      <c r="AC24" s="10">
        <f t="shared" si="21"/>
        <v>0</v>
      </c>
      <c r="AD24" s="71"/>
      <c r="AE24" s="10">
        <f t="shared" si="5"/>
        <v>0</v>
      </c>
      <c r="AF24" s="10">
        <f t="shared" si="22"/>
        <v>0</v>
      </c>
      <c r="AG24" s="71"/>
      <c r="AH24" s="10">
        <f t="shared" si="6"/>
        <v>190000000</v>
      </c>
      <c r="AI24" s="10">
        <f t="shared" si="23"/>
        <v>141377843.83037779</v>
      </c>
      <c r="AJ24" s="71"/>
      <c r="AK24" s="10">
        <f t="shared" si="7"/>
        <v>1872000000</v>
      </c>
      <c r="AL24" s="10">
        <f t="shared" si="24"/>
        <v>1392943808.6866696</v>
      </c>
      <c r="AM24" s="71"/>
      <c r="AN24" s="10">
        <f t="shared" si="8"/>
        <v>936000000</v>
      </c>
      <c r="AO24" s="10">
        <f t="shared" si="25"/>
        <v>696471904.34333479</v>
      </c>
      <c r="AP24" s="71"/>
      <c r="AQ24" s="10">
        <f t="shared" si="9"/>
        <v>279113800</v>
      </c>
      <c r="AR24" s="10">
        <f t="shared" si="26"/>
        <v>207686880.14370155</v>
      </c>
      <c r="AS24" s="71"/>
      <c r="AT24" s="7">
        <f>IF($K24&lt;=$F$15,IF($F$40&lt;&gt;"",$F$40/1000,IF(ISERROR(VLOOKUP($F$3&amp;IF($G$4&lt;&gt;"",$G$4,"")&amp;IF($F$43&lt;&gt;"","_"&amp;$F$43,""),'表3）燃料価格'!$AF$9:$AG$25,2,0)),0,VLOOKUP($I24,'表3）燃料価格'!$A$6:$U$66,VLOOKUP($F$3&amp;IF($G$4&lt;&gt;"",$G$4,"")&amp;IF($F$43&lt;&gt;"","_"&amp;$F$43,""),'表3）燃料価格'!$AF$9:$AG$25,2,0)+VLOOKUP($F$41,'表3）燃料価格'!$AF$28:$AG$29,2,0),0)*IF($F$43="需要地価格",1,$F$8/$F$141))),"")</f>
        <v>59.148583775779258</v>
      </c>
      <c r="AU24" s="71"/>
      <c r="AV24" s="10">
        <f t="shared" si="10"/>
        <v>12641024128.951324</v>
      </c>
      <c r="AW24" s="10">
        <f t="shared" si="27"/>
        <v>9406109132.4153557</v>
      </c>
      <c r="AX24" s="71"/>
      <c r="AY24" s="7">
        <f>IF(ISERROR(IF($K24&lt;=$F$15,VLOOKUP($I24,'表4）CO2価格'!$A$7:$E$67,VLOOKUP($F$48,'表4）CO2価格'!$H$10:$I$12,2,0),0)*$F$8/1000,"")),0,IF($K24&lt;=$F$15,VLOOKUP($I24,'表4）CO2価格'!$A$7:$E$67,VLOOKUP($F$48,'表4）CO2価格'!$H$10:$I$12,2,0),0)*$F$8/1000,""))</f>
        <v>5.4355999999999716</v>
      </c>
      <c r="AZ24" s="71"/>
      <c r="BA24" s="11">
        <f t="shared" si="11"/>
        <v>3155217081.983983</v>
      </c>
      <c r="BB24" s="10">
        <f t="shared" si="28"/>
        <v>2347777830.8824835</v>
      </c>
      <c r="BC24" s="71"/>
      <c r="BD24" s="10">
        <f t="shared" si="12"/>
        <v>0</v>
      </c>
      <c r="BE24" s="10">
        <f t="shared" si="29"/>
        <v>0</v>
      </c>
      <c r="BF24" s="71"/>
      <c r="BG24" s="11">
        <f t="shared" si="13"/>
        <v>0</v>
      </c>
      <c r="BH24" s="10">
        <f t="shared" si="30"/>
        <v>0</v>
      </c>
      <c r="BJ24" s="7" t="str">
        <f t="shared" si="31"/>
        <v/>
      </c>
      <c r="BK24" s="158" t="str">
        <f t="shared" si="32"/>
        <v/>
      </c>
      <c r="BL24" s="158" t="str">
        <f t="shared" si="14"/>
        <v/>
      </c>
      <c r="BM24" s="10"/>
      <c r="BN24" s="10" t="str">
        <f t="shared" si="33"/>
        <v/>
      </c>
      <c r="BO24" s="10" t="str">
        <f t="shared" si="34"/>
        <v/>
      </c>
      <c r="BQ24" s="10">
        <f t="shared" si="15"/>
        <v>1000742400</v>
      </c>
      <c r="BR24" s="10">
        <f t="shared" si="35"/>
        <v>744646330.21914446</v>
      </c>
    </row>
    <row r="25" spans="3:70" x14ac:dyDescent="0.15">
      <c r="D25" s="81" t="s">
        <v>114</v>
      </c>
      <c r="F25" s="66">
        <v>1.4</v>
      </c>
      <c r="G25" s="81" t="s">
        <v>172</v>
      </c>
      <c r="I25" s="458">
        <f t="shared" si="36"/>
        <v>2040</v>
      </c>
      <c r="J25" s="39"/>
      <c r="K25" s="39">
        <f t="shared" si="37"/>
        <v>11</v>
      </c>
      <c r="L25" s="39"/>
      <c r="M25" s="40">
        <f t="shared" si="0"/>
        <v>0.72242127659876232</v>
      </c>
      <c r="N25" s="39"/>
      <c r="O25" s="72">
        <f t="shared" si="16"/>
        <v>16729515104.53476</v>
      </c>
      <c r="P25" s="41">
        <f t="shared" si="1"/>
        <v>0.2</v>
      </c>
      <c r="Q25" s="39"/>
      <c r="R25" s="72">
        <f t="shared" si="17"/>
        <v>22406120776.331593</v>
      </c>
      <c r="S25" s="39"/>
      <c r="T25" s="72">
        <f t="shared" si="18"/>
        <v>22406120000</v>
      </c>
      <c r="U25" s="39"/>
      <c r="V25" s="72">
        <f t="shared" si="2"/>
        <v>3345903020.9069519</v>
      </c>
      <c r="W25" s="72">
        <f t="shared" si="19"/>
        <v>2417151531.7392554</v>
      </c>
      <c r="X25" s="39"/>
      <c r="Y25" s="72">
        <f t="shared" si="3"/>
        <v>313685600</v>
      </c>
      <c r="Z25" s="72">
        <f t="shared" si="20"/>
        <v>226613151.60264871</v>
      </c>
      <c r="AA25" s="39"/>
      <c r="AB25" s="72">
        <f t="shared" si="4"/>
        <v>0</v>
      </c>
      <c r="AC25" s="72">
        <f t="shared" si="21"/>
        <v>0</v>
      </c>
      <c r="AD25" s="39"/>
      <c r="AE25" s="72">
        <f t="shared" si="5"/>
        <v>0</v>
      </c>
      <c r="AF25" s="72">
        <f t="shared" si="22"/>
        <v>0</v>
      </c>
      <c r="AG25" s="39"/>
      <c r="AH25" s="72">
        <f t="shared" si="6"/>
        <v>190000000</v>
      </c>
      <c r="AI25" s="72">
        <f t="shared" si="23"/>
        <v>137260042.55376485</v>
      </c>
      <c r="AJ25" s="39"/>
      <c r="AK25" s="72">
        <f t="shared" si="7"/>
        <v>1872000000</v>
      </c>
      <c r="AL25" s="72">
        <f t="shared" si="24"/>
        <v>1352372629.7928832</v>
      </c>
      <c r="AM25" s="39"/>
      <c r="AN25" s="72">
        <f t="shared" si="8"/>
        <v>936000000</v>
      </c>
      <c r="AO25" s="72">
        <f t="shared" si="25"/>
        <v>676186314.89644158</v>
      </c>
      <c r="AP25" s="39"/>
      <c r="AQ25" s="72">
        <f t="shared" si="9"/>
        <v>279113800</v>
      </c>
      <c r="AR25" s="72">
        <f t="shared" si="26"/>
        <v>201637747.71233162</v>
      </c>
      <c r="AS25" s="39"/>
      <c r="AT25" s="40">
        <f>IF($K25&lt;=$F$15,IF($F$40&lt;&gt;"",$F$40/1000,IF(ISERROR(VLOOKUP($F$3&amp;IF($G$4&lt;&gt;"",$G$4,"")&amp;IF($F$43&lt;&gt;"","_"&amp;$F$43,""),'表3）燃料価格'!$AF$9:$AG$25,2,0)),0,VLOOKUP($I25,'表3）燃料価格'!$A$6:$U$66,VLOOKUP($F$3&amp;IF($G$4&lt;&gt;"",$G$4,"")&amp;IF($F$43&lt;&gt;"","_"&amp;$F$43,""),'表3）燃料価格'!$AF$9:$AG$25,2,0)+VLOOKUP($F$41,'表3）燃料価格'!$AF$28:$AG$29,2,0),0)*IF($F$43="需要地価格",1,$F$8/$F$141))),"")</f>
        <v>59.776726211386411</v>
      </c>
      <c r="AU25" s="39"/>
      <c r="AV25" s="72">
        <f t="shared" si="10"/>
        <v>12759983412.216442</v>
      </c>
      <c r="AW25" s="72">
        <f t="shared" si="27"/>
        <v>9218083506.0324326</v>
      </c>
      <c r="AX25" s="39"/>
      <c r="AY25" s="40">
        <f>IF(ISERROR(IF($K25&lt;=$F$15,VLOOKUP($I25,'表4）CO2価格'!$A$7:$E$67,VLOOKUP($F$48,'表4）CO2価格'!$H$10:$I$12,2,0),0)*$F$8/1000,"")),0,IF($K25&lt;=$F$15,VLOOKUP($I25,'表4）CO2価格'!$A$7:$E$67,VLOOKUP($F$48,'表4）CO2価格'!$H$10:$I$12,2,0),0)*$F$8/1000,""))</f>
        <v>5.5640000000000001</v>
      </c>
      <c r="AZ25" s="39"/>
      <c r="BA25" s="42">
        <f t="shared" si="11"/>
        <v>3229749768.9599996</v>
      </c>
      <c r="BB25" s="72">
        <f t="shared" si="28"/>
        <v>2333239951.1866407</v>
      </c>
      <c r="BC25" s="39"/>
      <c r="BD25" s="72">
        <f t="shared" si="12"/>
        <v>0</v>
      </c>
      <c r="BE25" s="72">
        <f t="shared" si="29"/>
        <v>0</v>
      </c>
      <c r="BF25" s="39"/>
      <c r="BG25" s="42">
        <f t="shared" si="13"/>
        <v>0</v>
      </c>
      <c r="BH25" s="72">
        <f t="shared" si="30"/>
        <v>0</v>
      </c>
      <c r="BI25" s="39"/>
      <c r="BJ25" s="40" t="str">
        <f t="shared" si="31"/>
        <v/>
      </c>
      <c r="BK25" s="157" t="str">
        <f t="shared" si="32"/>
        <v/>
      </c>
      <c r="BL25" s="157" t="str">
        <f t="shared" si="14"/>
        <v/>
      </c>
      <c r="BM25" s="72"/>
      <c r="BN25" s="72" t="str">
        <f t="shared" si="33"/>
        <v/>
      </c>
      <c r="BO25" s="72" t="str">
        <f t="shared" si="34"/>
        <v/>
      </c>
      <c r="BP25" s="39"/>
      <c r="BQ25" s="72">
        <f t="shared" si="15"/>
        <v>1000742400</v>
      </c>
      <c r="BR25" s="72">
        <f t="shared" si="35"/>
        <v>722957602.15450919</v>
      </c>
    </row>
    <row r="26" spans="3:70" x14ac:dyDescent="0.15">
      <c r="D26" s="81" t="s">
        <v>115</v>
      </c>
      <c r="F26" s="59"/>
      <c r="G26" s="81" t="s">
        <v>175</v>
      </c>
      <c r="I26" s="459">
        <f t="shared" si="36"/>
        <v>2041</v>
      </c>
      <c r="J26" s="71"/>
      <c r="K26" s="71">
        <f t="shared" si="37"/>
        <v>12</v>
      </c>
      <c r="L26" s="71"/>
      <c r="M26" s="7">
        <f t="shared" si="0"/>
        <v>0.70137988019297326</v>
      </c>
      <c r="N26" s="71"/>
      <c r="O26" s="10">
        <f t="shared" si="16"/>
        <v>13383612083.627808</v>
      </c>
      <c r="P26" s="29" t="str">
        <f t="shared" si="1"/>
        <v>-</v>
      </c>
      <c r="Q26" s="71"/>
      <c r="R26" s="10">
        <f t="shared" si="17"/>
        <v>19217637893.191826</v>
      </c>
      <c r="S26" s="71"/>
      <c r="T26" s="10">
        <f t="shared" si="18"/>
        <v>19217637000</v>
      </c>
      <c r="U26" s="71"/>
      <c r="V26" s="10">
        <f t="shared" si="2"/>
        <v>3345903020.9069519</v>
      </c>
      <c r="W26" s="10">
        <f t="shared" si="19"/>
        <v>2346749059.9410253</v>
      </c>
      <c r="X26" s="71"/>
      <c r="Y26" s="10">
        <f t="shared" si="3"/>
        <v>269046900</v>
      </c>
      <c r="Z26" s="10">
        <f t="shared" si="20"/>
        <v>188704082.48829085</v>
      </c>
      <c r="AA26" s="71"/>
      <c r="AB26" s="10">
        <f t="shared" si="4"/>
        <v>0</v>
      </c>
      <c r="AC26" s="10">
        <f t="shared" si="21"/>
        <v>0</v>
      </c>
      <c r="AD26" s="71"/>
      <c r="AE26" s="10">
        <f t="shared" si="5"/>
        <v>0</v>
      </c>
      <c r="AF26" s="10">
        <f t="shared" si="22"/>
        <v>0</v>
      </c>
      <c r="AG26" s="71"/>
      <c r="AH26" s="10">
        <f t="shared" si="6"/>
        <v>190000000</v>
      </c>
      <c r="AI26" s="10">
        <f t="shared" si="23"/>
        <v>133262177.23666492</v>
      </c>
      <c r="AJ26" s="71"/>
      <c r="AK26" s="10">
        <f t="shared" si="7"/>
        <v>1872000000</v>
      </c>
      <c r="AL26" s="10">
        <f t="shared" si="24"/>
        <v>1312983135.721246</v>
      </c>
      <c r="AM26" s="71"/>
      <c r="AN26" s="10">
        <f t="shared" si="8"/>
        <v>936000000</v>
      </c>
      <c r="AO26" s="10">
        <f t="shared" si="25"/>
        <v>656491567.860623</v>
      </c>
      <c r="AP26" s="71"/>
      <c r="AQ26" s="10">
        <f t="shared" si="9"/>
        <v>279113800</v>
      </c>
      <c r="AR26" s="10">
        <f t="shared" si="26"/>
        <v>195764803.60420549</v>
      </c>
      <c r="AS26" s="71"/>
      <c r="AT26" s="7">
        <f>IF($K26&lt;=$F$15,IF($F$40&lt;&gt;"",$F$40/1000,IF(ISERROR(VLOOKUP($F$3&amp;IF($G$4&lt;&gt;"",$G$4,"")&amp;IF($F$43&lt;&gt;"","_"&amp;$F$43,""),'表3）燃料価格'!$AF$9:$AG$25,2,0)),0,VLOOKUP($I26,'表3）燃料価格'!$A$6:$U$66,VLOOKUP($F$3&amp;IF($G$4&lt;&gt;"",$G$4,"")&amp;IF($F$43&lt;&gt;"","_"&amp;$F$43,""),'表3）燃料価格'!$AF$9:$AG$25,2,0)+VLOOKUP($F$41,'表3）燃料価格'!$AF$28:$AG$29,2,0),0)*IF($F$43="需要地価格",1,$F$8/$F$141))),"")</f>
        <v>60.116801573510507</v>
      </c>
      <c r="AU26" s="71"/>
      <c r="AV26" s="10">
        <f t="shared" si="10"/>
        <v>12824387787.786617</v>
      </c>
      <c r="AW26" s="10">
        <f t="shared" si="27"/>
        <v>8994767570.1460075</v>
      </c>
      <c r="AX26" s="71"/>
      <c r="AY26" s="7">
        <f>IF(ISERROR(IF($K26&lt;=$F$15,VLOOKUP($I26,'表4）CO2価格'!$A$7:$E$67,VLOOKUP($F$48,'表4）CO2価格'!$H$10:$I$12,2,0),0)*$F$8/1000,"")),0,IF($K26&lt;=$F$15,VLOOKUP($I26,'表4）CO2価格'!$A$7:$E$67,VLOOKUP($F$48,'表4）CO2価格'!$H$10:$I$12,2,0),0)*$F$8/1000,""))</f>
        <v>5.6923999999999806</v>
      </c>
      <c r="AZ26" s="71"/>
      <c r="BA26" s="11">
        <f t="shared" si="11"/>
        <v>3304282455.9359879</v>
      </c>
      <c r="BB26" s="10">
        <f t="shared" si="28"/>
        <v>2317557233.0681267</v>
      </c>
      <c r="BC26" s="71"/>
      <c r="BD26" s="10">
        <f t="shared" si="12"/>
        <v>0</v>
      </c>
      <c r="BE26" s="10">
        <f t="shared" si="29"/>
        <v>0</v>
      </c>
      <c r="BF26" s="71"/>
      <c r="BG26" s="11">
        <f t="shared" si="13"/>
        <v>0</v>
      </c>
      <c r="BH26" s="10">
        <f t="shared" si="30"/>
        <v>0</v>
      </c>
      <c r="BJ26" s="7" t="str">
        <f t="shared" si="31"/>
        <v/>
      </c>
      <c r="BK26" s="158" t="str">
        <f t="shared" si="32"/>
        <v/>
      </c>
      <c r="BL26" s="158" t="str">
        <f t="shared" si="14"/>
        <v/>
      </c>
      <c r="BM26" s="10"/>
      <c r="BN26" s="10" t="str">
        <f t="shared" si="33"/>
        <v/>
      </c>
      <c r="BO26" s="10" t="str">
        <f t="shared" si="34"/>
        <v/>
      </c>
      <c r="BQ26" s="10">
        <f t="shared" si="15"/>
        <v>1000742400</v>
      </c>
      <c r="BR26" s="10">
        <f t="shared" si="35"/>
        <v>701900584.61602855</v>
      </c>
    </row>
    <row r="27" spans="3:70" x14ac:dyDescent="0.15">
      <c r="D27" s="82" t="s">
        <v>86</v>
      </c>
      <c r="F27" s="59">
        <f>F117*5%/10^8</f>
        <v>52</v>
      </c>
      <c r="G27" s="81" t="s">
        <v>176</v>
      </c>
      <c r="I27" s="458">
        <f t="shared" si="36"/>
        <v>2042</v>
      </c>
      <c r="J27" s="39"/>
      <c r="K27" s="39">
        <f t="shared" si="37"/>
        <v>13</v>
      </c>
      <c r="L27" s="39"/>
      <c r="M27" s="40">
        <f t="shared" si="0"/>
        <v>0.68095133999317792</v>
      </c>
      <c r="N27" s="39"/>
      <c r="O27" s="72">
        <f t="shared" si="16"/>
        <v>10037709062.720856</v>
      </c>
      <c r="P27" s="41" t="str">
        <f t="shared" si="1"/>
        <v>-</v>
      </c>
      <c r="Q27" s="39"/>
      <c r="R27" s="72">
        <f t="shared" si="17"/>
        <v>16482889201.595581</v>
      </c>
      <c r="S27" s="39"/>
      <c r="T27" s="72">
        <f t="shared" si="18"/>
        <v>16482889000</v>
      </c>
      <c r="U27" s="39"/>
      <c r="V27" s="72">
        <f t="shared" si="2"/>
        <v>3345903020.9069519</v>
      </c>
      <c r="W27" s="72">
        <f t="shared" si="19"/>
        <v>2278397145.5738111</v>
      </c>
      <c r="X27" s="39"/>
      <c r="Y27" s="72">
        <f t="shared" si="3"/>
        <v>230760400</v>
      </c>
      <c r="Z27" s="72">
        <f t="shared" si="20"/>
        <v>157136603.59736174</v>
      </c>
      <c r="AA27" s="39"/>
      <c r="AB27" s="72">
        <f t="shared" si="4"/>
        <v>0</v>
      </c>
      <c r="AC27" s="72">
        <f t="shared" si="21"/>
        <v>0</v>
      </c>
      <c r="AD27" s="39"/>
      <c r="AE27" s="72">
        <f t="shared" si="5"/>
        <v>0</v>
      </c>
      <c r="AF27" s="72">
        <f t="shared" si="22"/>
        <v>0</v>
      </c>
      <c r="AG27" s="39"/>
      <c r="AH27" s="72">
        <f t="shared" si="6"/>
        <v>190000000</v>
      </c>
      <c r="AI27" s="72">
        <f t="shared" si="23"/>
        <v>129380754.5987038</v>
      </c>
      <c r="AJ27" s="39"/>
      <c r="AK27" s="72">
        <f t="shared" si="7"/>
        <v>1872000000</v>
      </c>
      <c r="AL27" s="72">
        <f t="shared" si="24"/>
        <v>1274740908.4672291</v>
      </c>
      <c r="AM27" s="39"/>
      <c r="AN27" s="72">
        <f t="shared" si="8"/>
        <v>936000000</v>
      </c>
      <c r="AO27" s="72">
        <f t="shared" si="25"/>
        <v>637370454.23361456</v>
      </c>
      <c r="AP27" s="39"/>
      <c r="AQ27" s="72">
        <f t="shared" si="9"/>
        <v>279113800</v>
      </c>
      <c r="AR27" s="72">
        <f t="shared" si="26"/>
        <v>190062916.12058786</v>
      </c>
      <c r="AS27" s="39"/>
      <c r="AT27" s="40">
        <f>IF($K27&lt;=$F$15,IF($F$40&lt;&gt;"",$F$40/1000,IF(ISERROR(VLOOKUP($F$3&amp;IF($G$4&lt;&gt;"",$G$4,"")&amp;IF($F$43&lt;&gt;"","_"&amp;$F$43,""),'表3）燃料価格'!$AF$9:$AG$25,2,0)),0,VLOOKUP($I27,'表3）燃料価格'!$A$6:$U$66,VLOOKUP($F$3&amp;IF($G$4&lt;&gt;"",$G$4,"")&amp;IF($F$43&lt;&gt;"","_"&amp;$F$43,""),'表3）燃料価格'!$AF$9:$AG$25,2,0)+VLOOKUP($F$41,'表3）燃料価格'!$AF$28:$AG$29,2,0),0)*IF($F$43="需要地価格",1,$F$8/$F$141))),"")</f>
        <v>60.444507781221034</v>
      </c>
      <c r="AU27" s="39"/>
      <c r="AV27" s="72">
        <f t="shared" si="10"/>
        <v>12886449660.032347</v>
      </c>
      <c r="AW27" s="72">
        <f t="shared" si="27"/>
        <v>8775045163.7536583</v>
      </c>
      <c r="AX27" s="39"/>
      <c r="AY27" s="40">
        <f>IF(ISERROR(IF($K27&lt;=$F$15,VLOOKUP($I27,'表4）CO2価格'!$A$7:$E$67,VLOOKUP($F$48,'表4）CO2価格'!$H$10:$I$12,2,0),0)*$F$8/1000,"")),0,IF($K27&lt;=$F$15,VLOOKUP($I27,'表4）CO2価格'!$A$7:$E$67,VLOOKUP($F$48,'表4）CO2価格'!$H$10:$I$12,2,0),0)*$F$8/1000,""))</f>
        <v>5.82080000000001</v>
      </c>
      <c r="AZ27" s="39"/>
      <c r="BA27" s="42">
        <f t="shared" si="11"/>
        <v>3378815142.9120049</v>
      </c>
      <c r="BB27" s="72">
        <f t="shared" si="28"/>
        <v>2300808699.1551709</v>
      </c>
      <c r="BC27" s="39"/>
      <c r="BD27" s="72">
        <f t="shared" si="12"/>
        <v>0</v>
      </c>
      <c r="BE27" s="72">
        <f t="shared" si="29"/>
        <v>0</v>
      </c>
      <c r="BF27" s="39"/>
      <c r="BG27" s="42">
        <f t="shared" si="13"/>
        <v>0</v>
      </c>
      <c r="BH27" s="72">
        <f t="shared" si="30"/>
        <v>0</v>
      </c>
      <c r="BI27" s="39"/>
      <c r="BJ27" s="40" t="str">
        <f t="shared" si="31"/>
        <v/>
      </c>
      <c r="BK27" s="157" t="str">
        <f t="shared" si="32"/>
        <v/>
      </c>
      <c r="BL27" s="157" t="str">
        <f t="shared" si="14"/>
        <v/>
      </c>
      <c r="BM27" s="72"/>
      <c r="BN27" s="72" t="str">
        <f t="shared" si="33"/>
        <v/>
      </c>
      <c r="BO27" s="72" t="str">
        <f t="shared" si="34"/>
        <v/>
      </c>
      <c r="BP27" s="39"/>
      <c r="BQ27" s="72">
        <f t="shared" si="15"/>
        <v>1000742400</v>
      </c>
      <c r="BR27" s="72">
        <f t="shared" si="35"/>
        <v>681456878.2679888</v>
      </c>
    </row>
    <row r="28" spans="3:70" x14ac:dyDescent="0.15">
      <c r="D28" s="81" t="s">
        <v>116</v>
      </c>
      <c r="F28" s="59">
        <v>1</v>
      </c>
      <c r="G28" s="81" t="s">
        <v>108</v>
      </c>
      <c r="I28" s="459">
        <f t="shared" si="36"/>
        <v>2043</v>
      </c>
      <c r="J28" s="71"/>
      <c r="K28" s="71">
        <f t="shared" si="37"/>
        <v>14</v>
      </c>
      <c r="L28" s="71"/>
      <c r="M28" s="7">
        <f t="shared" si="0"/>
        <v>0.66111780581861923</v>
      </c>
      <c r="N28" s="71"/>
      <c r="O28" s="10">
        <f t="shared" si="16"/>
        <v>6691806041.8139038</v>
      </c>
      <c r="P28" s="29" t="str">
        <f t="shared" si="1"/>
        <v>-</v>
      </c>
      <c r="Q28" s="71"/>
      <c r="R28" s="10">
        <f t="shared" si="17"/>
        <v>14137306465.136667</v>
      </c>
      <c r="S28" s="71"/>
      <c r="T28" s="10">
        <f t="shared" si="18"/>
        <v>14137306000</v>
      </c>
      <c r="U28" s="71"/>
      <c r="V28" s="10">
        <f t="shared" si="2"/>
        <v>3345903020.9069519</v>
      </c>
      <c r="W28" s="10">
        <f t="shared" si="19"/>
        <v>2212036063.6638937</v>
      </c>
      <c r="X28" s="71"/>
      <c r="Y28" s="10">
        <f t="shared" si="3"/>
        <v>197922200</v>
      </c>
      <c r="Z28" s="10">
        <f t="shared" si="20"/>
        <v>130849890.58679391</v>
      </c>
      <c r="AA28" s="71"/>
      <c r="AB28" s="10">
        <f t="shared" si="4"/>
        <v>0</v>
      </c>
      <c r="AC28" s="10">
        <f t="shared" si="21"/>
        <v>0</v>
      </c>
      <c r="AD28" s="71"/>
      <c r="AE28" s="10">
        <f t="shared" si="5"/>
        <v>0</v>
      </c>
      <c r="AF28" s="10">
        <f t="shared" si="22"/>
        <v>0</v>
      </c>
      <c r="AG28" s="71"/>
      <c r="AH28" s="10">
        <f t="shared" si="6"/>
        <v>190000000</v>
      </c>
      <c r="AI28" s="10">
        <f t="shared" si="23"/>
        <v>125612383.10553765</v>
      </c>
      <c r="AJ28" s="71"/>
      <c r="AK28" s="10">
        <f t="shared" si="7"/>
        <v>1872000000</v>
      </c>
      <c r="AL28" s="10">
        <f t="shared" si="24"/>
        <v>1237612532.4924552</v>
      </c>
      <c r="AM28" s="71"/>
      <c r="AN28" s="10">
        <f t="shared" si="8"/>
        <v>936000000</v>
      </c>
      <c r="AO28" s="10">
        <f t="shared" si="25"/>
        <v>618806266.24622762</v>
      </c>
      <c r="AP28" s="71"/>
      <c r="AQ28" s="10">
        <f t="shared" si="9"/>
        <v>279113800</v>
      </c>
      <c r="AR28" s="10">
        <f t="shared" si="26"/>
        <v>184527103.02969691</v>
      </c>
      <c r="AS28" s="71"/>
      <c r="AT28" s="7">
        <f>IF($K28&lt;=$F$15,IF($F$40&lt;&gt;"",$F$40/1000,IF(ISERROR(VLOOKUP($F$3&amp;IF($G$4&lt;&gt;"",$G$4,"")&amp;IF($F$43&lt;&gt;"","_"&amp;$F$43,""),'表3）燃料価格'!$AF$9:$AG$25,2,0)),0,VLOOKUP($I28,'表3）燃料価格'!$A$6:$U$66,VLOOKUP($F$3&amp;IF($G$4&lt;&gt;"",$G$4,"")&amp;IF($F$43&lt;&gt;"","_"&amp;$F$43,""),'表3）燃料価格'!$AF$9:$AG$25,2,0)+VLOOKUP($F$41,'表3）燃料価格'!$AF$28:$AG$29,2,0),0)*IF($F$43="需要地価格",1,$F$8/$F$141))),"")</f>
        <v>60.760713122564496</v>
      </c>
      <c r="AU28" s="71"/>
      <c r="AV28" s="10">
        <f t="shared" si="10"/>
        <v>12946333467.650696</v>
      </c>
      <c r="AW28" s="10">
        <f t="shared" si="27"/>
        <v>8559051575.5293837</v>
      </c>
      <c r="AX28" s="71"/>
      <c r="AY28" s="7">
        <f>IF(ISERROR(IF($K28&lt;=$F$15,VLOOKUP($I28,'表4）CO2価格'!$A$7:$E$67,VLOOKUP($F$48,'表4）CO2価格'!$H$10:$I$12,2,0),0)*$F$8/1000,"")),0,IF($K28&lt;=$F$15,VLOOKUP($I28,'表4）CO2価格'!$A$7:$E$67,VLOOKUP($F$48,'表4）CO2価格'!$H$10:$I$12,2,0),0)*$F$8/1000,""))</f>
        <v>5.9491999999999896</v>
      </c>
      <c r="AZ28" s="71"/>
      <c r="BA28" s="11">
        <f t="shared" si="11"/>
        <v>3453347829.8879933</v>
      </c>
      <c r="BB28" s="10">
        <f t="shared" si="28"/>
        <v>2283069740.0240407</v>
      </c>
      <c r="BC28" s="71"/>
      <c r="BD28" s="10">
        <f t="shared" si="12"/>
        <v>0</v>
      </c>
      <c r="BE28" s="10">
        <f t="shared" si="29"/>
        <v>0</v>
      </c>
      <c r="BF28" s="71"/>
      <c r="BG28" s="11">
        <f t="shared" si="13"/>
        <v>0</v>
      </c>
      <c r="BH28" s="10">
        <f t="shared" si="30"/>
        <v>0</v>
      </c>
      <c r="BJ28" s="7" t="str">
        <f t="shared" si="31"/>
        <v/>
      </c>
      <c r="BK28" s="158" t="str">
        <f t="shared" si="32"/>
        <v/>
      </c>
      <c r="BL28" s="158" t="str">
        <f t="shared" si="14"/>
        <v/>
      </c>
      <c r="BM28" s="10"/>
      <c r="BN28" s="10" t="str">
        <f t="shared" si="33"/>
        <v/>
      </c>
      <c r="BO28" s="10" t="str">
        <f t="shared" si="34"/>
        <v/>
      </c>
      <c r="BQ28" s="10">
        <f t="shared" si="15"/>
        <v>1000742400</v>
      </c>
      <c r="BR28" s="10">
        <f t="shared" si="35"/>
        <v>661608619.67765892</v>
      </c>
    </row>
    <row r="29" spans="3:70" x14ac:dyDescent="0.15">
      <c r="D29" s="81" t="s">
        <v>117</v>
      </c>
      <c r="F29" s="59"/>
      <c r="G29" s="81" t="s">
        <v>176</v>
      </c>
      <c r="I29" s="458">
        <f t="shared" si="36"/>
        <v>2044</v>
      </c>
      <c r="J29" s="39"/>
      <c r="K29" s="39">
        <f t="shared" si="37"/>
        <v>15</v>
      </c>
      <c r="L29" s="39"/>
      <c r="M29" s="40">
        <f t="shared" si="0"/>
        <v>0.64186194739671765</v>
      </c>
      <c r="N29" s="39"/>
      <c r="O29" s="72">
        <f t="shared" si="16"/>
        <v>3345903020.9069519</v>
      </c>
      <c r="P29" s="41" t="str">
        <f t="shared" si="1"/>
        <v>-</v>
      </c>
      <c r="Q29" s="39"/>
      <c r="R29" s="72">
        <f t="shared" si="17"/>
        <v>12125509772.27025</v>
      </c>
      <c r="S29" s="39"/>
      <c r="T29" s="72">
        <f t="shared" si="18"/>
        <v>12125509000</v>
      </c>
      <c r="U29" s="39"/>
      <c r="V29" s="72">
        <f t="shared" si="2"/>
        <v>3345903020.9069519</v>
      </c>
      <c r="W29" s="72">
        <f t="shared" si="19"/>
        <v>2147607828.7998967</v>
      </c>
      <c r="X29" s="39"/>
      <c r="Y29" s="72">
        <f t="shared" si="3"/>
        <v>169757100</v>
      </c>
      <c r="Z29" s="72">
        <f t="shared" si="20"/>
        <v>108960622.79041934</v>
      </c>
      <c r="AA29" s="39"/>
      <c r="AB29" s="72">
        <f t="shared" si="4"/>
        <v>0</v>
      </c>
      <c r="AC29" s="72">
        <f t="shared" si="21"/>
        <v>0</v>
      </c>
      <c r="AD29" s="39"/>
      <c r="AE29" s="72">
        <f t="shared" si="5"/>
        <v>0</v>
      </c>
      <c r="AF29" s="72">
        <f t="shared" si="22"/>
        <v>0</v>
      </c>
      <c r="AG29" s="39"/>
      <c r="AH29" s="72">
        <f t="shared" si="6"/>
        <v>190000000</v>
      </c>
      <c r="AI29" s="72">
        <f t="shared" si="23"/>
        <v>121953770.00537635</v>
      </c>
      <c r="AJ29" s="39"/>
      <c r="AK29" s="72">
        <f t="shared" si="7"/>
        <v>1872000000</v>
      </c>
      <c r="AL29" s="72">
        <f t="shared" si="24"/>
        <v>1201565565.5266554</v>
      </c>
      <c r="AM29" s="39"/>
      <c r="AN29" s="72">
        <f t="shared" si="8"/>
        <v>936000000</v>
      </c>
      <c r="AO29" s="72">
        <f t="shared" si="25"/>
        <v>600782782.76332772</v>
      </c>
      <c r="AP29" s="39"/>
      <c r="AQ29" s="72">
        <f t="shared" si="9"/>
        <v>279113800</v>
      </c>
      <c r="AR29" s="72">
        <f t="shared" si="26"/>
        <v>179152527.21329796</v>
      </c>
      <c r="AS29" s="39"/>
      <c r="AT29" s="40">
        <f>IF($K29&lt;=$F$15,IF($F$40&lt;&gt;"",$F$40/1000,IF(ISERROR(VLOOKUP($F$3&amp;IF($G$4&lt;&gt;"",$G$4,"")&amp;IF($F$43&lt;&gt;"","_"&amp;$F$43,""),'表3）燃料価格'!$AF$9:$AG$25,2,0)),0,VLOOKUP($I29,'表3）燃料価格'!$A$6:$U$66,VLOOKUP($F$3&amp;IF($G$4&lt;&gt;"",$G$4,"")&amp;IF($F$43&lt;&gt;"","_"&amp;$F$43,""),'表3）燃料価格'!$AF$9:$AG$25,2,0)+VLOOKUP($F$41,'表3）燃料価格'!$AF$28:$AG$29,2,0),0)*IF($F$43="需要地価格",1,$F$8/$F$141))),"")</f>
        <v>61.066197549406688</v>
      </c>
      <c r="AU29" s="39"/>
      <c r="AV29" s="72">
        <f t="shared" si="10"/>
        <v>13004186919.998135</v>
      </c>
      <c r="AW29" s="72">
        <f t="shared" si="27"/>
        <v>8346892740.7809267</v>
      </c>
      <c r="AX29" s="39"/>
      <c r="AY29" s="40">
        <f>IF(ISERROR(IF($K29&lt;=$F$15,VLOOKUP($I29,'表4）CO2価格'!$A$7:$E$67,VLOOKUP($F$48,'表4）CO2価格'!$H$10:$I$12,2,0),0)*$F$8/1000,"")),0,IF($K29&lt;=$F$15,VLOOKUP($I29,'表4）CO2価格'!$A$7:$E$67,VLOOKUP($F$48,'表4）CO2価格'!$H$10:$I$12,2,0),0)*$F$8/1000,""))</f>
        <v>6.077599999999971</v>
      </c>
      <c r="AZ29" s="39"/>
      <c r="BA29" s="42">
        <f t="shared" si="11"/>
        <v>3527880516.8639827</v>
      </c>
      <c r="BB29" s="72">
        <f t="shared" si="28"/>
        <v>2264412258.7372546</v>
      </c>
      <c r="BC29" s="39"/>
      <c r="BD29" s="72">
        <f t="shared" si="12"/>
        <v>0</v>
      </c>
      <c r="BE29" s="72">
        <f t="shared" si="29"/>
        <v>0</v>
      </c>
      <c r="BF29" s="39"/>
      <c r="BG29" s="42">
        <f t="shared" si="13"/>
        <v>0</v>
      </c>
      <c r="BH29" s="72">
        <f t="shared" si="30"/>
        <v>0</v>
      </c>
      <c r="BI29" s="39"/>
      <c r="BJ29" s="40" t="str">
        <f t="shared" si="31"/>
        <v/>
      </c>
      <c r="BK29" s="157" t="str">
        <f t="shared" si="32"/>
        <v/>
      </c>
      <c r="BL29" s="157" t="str">
        <f t="shared" si="14"/>
        <v/>
      </c>
      <c r="BM29" s="72"/>
      <c r="BN29" s="72" t="str">
        <f t="shared" si="33"/>
        <v/>
      </c>
      <c r="BO29" s="72" t="str">
        <f t="shared" si="34"/>
        <v/>
      </c>
      <c r="BP29" s="39"/>
      <c r="BQ29" s="72">
        <f t="shared" si="15"/>
        <v>1000742400</v>
      </c>
      <c r="BR29" s="72">
        <f t="shared" si="35"/>
        <v>642338465.70646501</v>
      </c>
    </row>
    <row r="30" spans="3:70" x14ac:dyDescent="0.15">
      <c r="I30" s="459">
        <f t="shared" si="36"/>
        <v>2045</v>
      </c>
      <c r="J30" s="71"/>
      <c r="K30" s="71">
        <f t="shared" si="37"/>
        <v>16</v>
      </c>
      <c r="L30" s="71"/>
      <c r="M30" s="7">
        <f t="shared" si="0"/>
        <v>0.62316693922011435</v>
      </c>
      <c r="N30" s="71"/>
      <c r="O30" s="10">
        <f t="shared" si="16"/>
        <v>0</v>
      </c>
      <c r="P30" s="29" t="str">
        <f t="shared" si="1"/>
        <v>-</v>
      </c>
      <c r="Q30" s="71"/>
      <c r="R30" s="10">
        <f t="shared" si="17"/>
        <v>10400000000</v>
      </c>
      <c r="S30" s="71"/>
      <c r="T30" s="10">
        <f t="shared" si="18"/>
        <v>10400000000</v>
      </c>
      <c r="U30" s="71"/>
      <c r="V30" s="10">
        <f t="shared" si="2"/>
        <v>0</v>
      </c>
      <c r="W30" s="10">
        <f t="shared" si="19"/>
        <v>0</v>
      </c>
      <c r="X30" s="71"/>
      <c r="Y30" s="10">
        <f t="shared" si="3"/>
        <v>145600000</v>
      </c>
      <c r="Z30" s="10">
        <f t="shared" si="20"/>
        <v>90733106.350448653</v>
      </c>
      <c r="AA30" s="71"/>
      <c r="AB30" s="10">
        <f t="shared" si="4"/>
        <v>0</v>
      </c>
      <c r="AC30" s="10">
        <f t="shared" si="21"/>
        <v>0</v>
      </c>
      <c r="AD30" s="71"/>
      <c r="AE30" s="10">
        <f t="shared" si="5"/>
        <v>0</v>
      </c>
      <c r="AF30" s="10">
        <f t="shared" si="22"/>
        <v>0</v>
      </c>
      <c r="AG30" s="71"/>
      <c r="AH30" s="10">
        <f t="shared" si="6"/>
        <v>190000000</v>
      </c>
      <c r="AI30" s="10">
        <f t="shared" si="23"/>
        <v>118401718.45182173</v>
      </c>
      <c r="AJ30" s="71"/>
      <c r="AK30" s="10">
        <f t="shared" si="7"/>
        <v>1872000000</v>
      </c>
      <c r="AL30" s="10">
        <f t="shared" si="24"/>
        <v>1166568510.2200541</v>
      </c>
      <c r="AM30" s="71"/>
      <c r="AN30" s="10">
        <f t="shared" si="8"/>
        <v>936000000</v>
      </c>
      <c r="AO30" s="10">
        <f t="shared" si="25"/>
        <v>583284255.11002707</v>
      </c>
      <c r="AP30" s="71"/>
      <c r="AQ30" s="10">
        <f t="shared" si="9"/>
        <v>279113800</v>
      </c>
      <c r="AR30" s="10">
        <f t="shared" si="26"/>
        <v>173934492.44009516</v>
      </c>
      <c r="AS30" s="71"/>
      <c r="AT30" s="7">
        <f>IF($K30&lt;=$F$15,IF($F$40&lt;&gt;"",$F$40/1000,IF(ISERROR(VLOOKUP($F$3&amp;IF($G$4&lt;&gt;"",$G$4,"")&amp;IF($F$43&lt;&gt;"","_"&amp;$F$43,""),'表3）燃料価格'!$AF$9:$AG$25,2,0)),0,VLOOKUP($I30,'表3）燃料価格'!$A$6:$U$66,VLOOKUP($F$3&amp;IF($G$4&lt;&gt;"",$G$4,"")&amp;IF($F$43&lt;&gt;"","_"&amp;$F$43,""),'表3）燃料価格'!$AF$9:$AG$25,2,0)+VLOOKUP($F$41,'表3）燃料価格'!$AF$28:$AG$29,2,0),0)*IF($F$43="需要地価格",1,$F$8/$F$141))),"")</f>
        <v>61.361664268073817</v>
      </c>
      <c r="AU30" s="71"/>
      <c r="AV30" s="10">
        <f t="shared" si="10"/>
        <v>13060143192.156954</v>
      </c>
      <c r="AW30" s="10">
        <f t="shared" si="27"/>
        <v>8138649458.8328629</v>
      </c>
      <c r="AX30" s="71"/>
      <c r="AY30" s="7">
        <f>IF(ISERROR(IF($K30&lt;=$F$15,VLOOKUP($I30,'表4）CO2価格'!$A$7:$E$67,VLOOKUP($F$48,'表4）CO2価格'!$H$10:$I$12,2,0),0)*$F$8/1000,"")),0,IF($K30&lt;=$F$15,VLOOKUP($I30,'表4）CO2価格'!$A$7:$E$67,VLOOKUP($F$48,'表4）CO2価格'!$H$10:$I$12,2,0),0)*$F$8/1000,""))</f>
        <v>6.2060000000000004</v>
      </c>
      <c r="AZ30" s="71"/>
      <c r="BA30" s="11">
        <f t="shared" si="11"/>
        <v>3602413203.8399997</v>
      </c>
      <c r="BB30" s="10">
        <f t="shared" si="28"/>
        <v>2244904810.0430984</v>
      </c>
      <c r="BC30" s="71"/>
      <c r="BD30" s="10">
        <f t="shared" si="12"/>
        <v>0</v>
      </c>
      <c r="BE30" s="10">
        <f t="shared" si="29"/>
        <v>0</v>
      </c>
      <c r="BF30" s="71"/>
      <c r="BG30" s="11">
        <f t="shared" si="13"/>
        <v>0</v>
      </c>
      <c r="BH30" s="10">
        <f t="shared" si="30"/>
        <v>0</v>
      </c>
      <c r="BJ30" s="7" t="str">
        <f t="shared" si="31"/>
        <v/>
      </c>
      <c r="BK30" s="158" t="str">
        <f t="shared" si="32"/>
        <v/>
      </c>
      <c r="BL30" s="158" t="str">
        <f t="shared" si="14"/>
        <v/>
      </c>
      <c r="BM30" s="10"/>
      <c r="BN30" s="10" t="str">
        <f t="shared" si="33"/>
        <v/>
      </c>
      <c r="BO30" s="10" t="str">
        <f t="shared" si="34"/>
        <v/>
      </c>
      <c r="BQ30" s="10">
        <f t="shared" si="15"/>
        <v>1000742400</v>
      </c>
      <c r="BR30" s="10">
        <f t="shared" si="35"/>
        <v>623629578.35579133</v>
      </c>
    </row>
    <row r="31" spans="3:70" x14ac:dyDescent="0.15">
      <c r="C31" s="89" t="s">
        <v>507</v>
      </c>
      <c r="D31" s="101"/>
      <c r="E31" s="101"/>
      <c r="F31" s="89"/>
      <c r="G31" s="101"/>
      <c r="I31" s="458">
        <f t="shared" si="36"/>
        <v>2046</v>
      </c>
      <c r="J31" s="39"/>
      <c r="K31" s="39">
        <f t="shared" si="37"/>
        <v>17</v>
      </c>
      <c r="L31" s="39"/>
      <c r="M31" s="40">
        <f t="shared" si="0"/>
        <v>0.60501644584477121</v>
      </c>
      <c r="N31" s="39"/>
      <c r="O31" s="72">
        <f t="shared" si="16"/>
        <v>0</v>
      </c>
      <c r="P31" s="41" t="str">
        <f t="shared" si="1"/>
        <v>-</v>
      </c>
      <c r="Q31" s="39"/>
      <c r="R31" s="72">
        <f t="shared" si="17"/>
        <v>8920037345.3452988</v>
      </c>
      <c r="S31" s="39"/>
      <c r="T31" s="72">
        <f t="shared" si="18"/>
        <v>8920037000</v>
      </c>
      <c r="U31" s="39"/>
      <c r="V31" s="72">
        <f t="shared" si="2"/>
        <v>0</v>
      </c>
      <c r="W31" s="72">
        <f t="shared" si="19"/>
        <v>0</v>
      </c>
      <c r="X31" s="39"/>
      <c r="Y31" s="72">
        <f t="shared" si="3"/>
        <v>124880500</v>
      </c>
      <c r="Z31" s="72">
        <f t="shared" si="20"/>
        <v>75554756.265317947</v>
      </c>
      <c r="AA31" s="39"/>
      <c r="AB31" s="72">
        <f t="shared" si="4"/>
        <v>0</v>
      </c>
      <c r="AC31" s="72">
        <f t="shared" si="21"/>
        <v>0</v>
      </c>
      <c r="AD31" s="39"/>
      <c r="AE31" s="72">
        <f t="shared" si="5"/>
        <v>0</v>
      </c>
      <c r="AF31" s="72">
        <f t="shared" si="22"/>
        <v>0</v>
      </c>
      <c r="AG31" s="39"/>
      <c r="AH31" s="72">
        <f t="shared" si="6"/>
        <v>190000000</v>
      </c>
      <c r="AI31" s="72">
        <f t="shared" si="23"/>
        <v>114953124.71050653</v>
      </c>
      <c r="AJ31" s="39"/>
      <c r="AK31" s="72">
        <f t="shared" si="7"/>
        <v>1872000000</v>
      </c>
      <c r="AL31" s="72">
        <f t="shared" si="24"/>
        <v>1132590786.6214118</v>
      </c>
      <c r="AM31" s="39"/>
      <c r="AN31" s="72">
        <f t="shared" si="8"/>
        <v>936000000</v>
      </c>
      <c r="AO31" s="72">
        <f t="shared" si="25"/>
        <v>566295393.3107059</v>
      </c>
      <c r="AP31" s="39"/>
      <c r="AQ31" s="72">
        <f t="shared" si="9"/>
        <v>279113800</v>
      </c>
      <c r="AR31" s="72">
        <f t="shared" si="26"/>
        <v>168868439.26222831</v>
      </c>
      <c r="AS31" s="39"/>
      <c r="AT31" s="40">
        <f>IF($K31&lt;=$F$15,IF($F$40&lt;&gt;"",$F$40/1000,IF(ISERROR(VLOOKUP($F$3&amp;IF($G$4&lt;&gt;"",$G$4,"")&amp;IF($F$43&lt;&gt;"","_"&amp;$F$43,""),'表3）燃料価格'!$AF$9:$AG$25,2,0)),0,VLOOKUP($I31,'表3）燃料価格'!$A$6:$U$66,VLOOKUP($F$3&amp;IF($G$4&lt;&gt;"",$G$4,"")&amp;IF($F$43&lt;&gt;"","_"&amp;$F$43,""),'表3）燃料価格'!$AF$9:$AG$25,2,0)+VLOOKUP($F$41,'表3）燃料価格'!$AF$28:$AG$29,2,0),0)*IF($F$43="需要地価格",1,$F$8/$F$141))),"")</f>
        <v>61.647749489198752</v>
      </c>
      <c r="AU31" s="39"/>
      <c r="AV31" s="72">
        <f t="shared" si="10"/>
        <v>13114322771.387053</v>
      </c>
      <c r="AW31" s="72">
        <f t="shared" si="27"/>
        <v>7934380952.8057442</v>
      </c>
      <c r="AX31" s="39"/>
      <c r="AY31" s="40">
        <f>IF(ISERROR(IF($K31&lt;=$F$15,VLOOKUP($I31,'表4）CO2価格'!$A$7:$E$67,VLOOKUP($F$48,'表4）CO2価格'!$H$10:$I$12,2,0),0)*$F$8/1000,"")),0,IF($K31&lt;=$F$15,VLOOKUP($I31,'表4）CO2価格'!$A$7:$E$67,VLOOKUP($F$48,'表4）CO2価格'!$H$10:$I$12,2,0),0)*$F$8/1000,""))</f>
        <v>6.3343999999999809</v>
      </c>
      <c r="AZ31" s="39"/>
      <c r="BA31" s="42">
        <f t="shared" si="11"/>
        <v>3676945890.8159881</v>
      </c>
      <c r="BB31" s="72">
        <f t="shared" si="28"/>
        <v>2224612734.4250255</v>
      </c>
      <c r="BC31" s="39"/>
      <c r="BD31" s="72">
        <f t="shared" si="12"/>
        <v>0</v>
      </c>
      <c r="BE31" s="72">
        <f t="shared" si="29"/>
        <v>0</v>
      </c>
      <c r="BF31" s="39"/>
      <c r="BG31" s="42">
        <f t="shared" si="13"/>
        <v>0</v>
      </c>
      <c r="BH31" s="72">
        <f t="shared" si="30"/>
        <v>0</v>
      </c>
      <c r="BI31" s="39"/>
      <c r="BJ31" s="40" t="str">
        <f t="shared" si="31"/>
        <v/>
      </c>
      <c r="BK31" s="157" t="str">
        <f t="shared" si="32"/>
        <v/>
      </c>
      <c r="BL31" s="157" t="str">
        <f t="shared" si="14"/>
        <v/>
      </c>
      <c r="BM31" s="72"/>
      <c r="BN31" s="72" t="str">
        <f t="shared" si="33"/>
        <v/>
      </c>
      <c r="BO31" s="72" t="str">
        <f t="shared" si="34"/>
        <v/>
      </c>
      <c r="BP31" s="39"/>
      <c r="BQ31" s="72">
        <f t="shared" si="15"/>
        <v>1000742400</v>
      </c>
      <c r="BR31" s="72">
        <f t="shared" si="35"/>
        <v>605465610.05416632</v>
      </c>
    </row>
    <row r="32" spans="3:70" x14ac:dyDescent="0.15">
      <c r="I32" s="459">
        <f t="shared" si="36"/>
        <v>2047</v>
      </c>
      <c r="J32" s="71"/>
      <c r="K32" s="71">
        <f t="shared" si="37"/>
        <v>18</v>
      </c>
      <c r="L32" s="71"/>
      <c r="M32" s="7">
        <f t="shared" si="0"/>
        <v>0.5873946076162827</v>
      </c>
      <c r="N32" s="71"/>
      <c r="O32" s="10">
        <f t="shared" si="16"/>
        <v>0</v>
      </c>
      <c r="P32" s="29" t="str">
        <f t="shared" si="1"/>
        <v>-</v>
      </c>
      <c r="Q32" s="71"/>
      <c r="R32" s="10">
        <f t="shared" si="17"/>
        <v>7650679446.38027</v>
      </c>
      <c r="S32" s="71"/>
      <c r="T32" s="10">
        <f t="shared" si="18"/>
        <v>7650679000</v>
      </c>
      <c r="U32" s="71"/>
      <c r="V32" s="10">
        <f t="shared" si="2"/>
        <v>0</v>
      </c>
      <c r="W32" s="10">
        <f t="shared" si="19"/>
        <v>0</v>
      </c>
      <c r="X32" s="71"/>
      <c r="Y32" s="10">
        <f t="shared" si="3"/>
        <v>107109500</v>
      </c>
      <c r="Z32" s="10">
        <f t="shared" si="20"/>
        <v>62915542.724476233</v>
      </c>
      <c r="AA32" s="71"/>
      <c r="AB32" s="10">
        <f t="shared" si="4"/>
        <v>0</v>
      </c>
      <c r="AC32" s="10">
        <f t="shared" si="21"/>
        <v>0</v>
      </c>
      <c r="AD32" s="71"/>
      <c r="AE32" s="10">
        <f t="shared" si="5"/>
        <v>0</v>
      </c>
      <c r="AF32" s="10">
        <f t="shared" si="22"/>
        <v>0</v>
      </c>
      <c r="AG32" s="71"/>
      <c r="AH32" s="10">
        <f t="shared" si="6"/>
        <v>190000000</v>
      </c>
      <c r="AI32" s="10">
        <f t="shared" si="23"/>
        <v>111604975.44709371</v>
      </c>
      <c r="AJ32" s="71"/>
      <c r="AK32" s="10">
        <f t="shared" si="7"/>
        <v>1872000000</v>
      </c>
      <c r="AL32" s="10">
        <f t="shared" si="24"/>
        <v>1099602705.4576812</v>
      </c>
      <c r="AM32" s="71"/>
      <c r="AN32" s="10">
        <f t="shared" si="8"/>
        <v>936000000</v>
      </c>
      <c r="AO32" s="10">
        <f t="shared" si="25"/>
        <v>549801352.72884059</v>
      </c>
      <c r="AP32" s="71"/>
      <c r="AQ32" s="10">
        <f t="shared" si="9"/>
        <v>279113800</v>
      </c>
      <c r="AR32" s="10">
        <f t="shared" si="26"/>
        <v>163949941.03128961</v>
      </c>
      <c r="AS32" s="71"/>
      <c r="AT32" s="7">
        <f>IF($K32&lt;=$F$15,IF($F$40&lt;&gt;"",$F$40/1000,IF(ISERROR(VLOOKUP($F$3&amp;IF($G$4&lt;&gt;"",$G$4,"")&amp;IF($F$43&lt;&gt;"","_"&amp;$F$43,""),'表3）燃料価格'!$AF$9:$AG$25,2,0)),0,VLOOKUP($I32,'表3）燃料価格'!$A$6:$U$66,VLOOKUP($F$3&amp;IF($G$4&lt;&gt;"",$G$4,"")&amp;IF($F$43&lt;&gt;"","_"&amp;$F$43,""),'表3）燃料価格'!$AF$9:$AG$25,2,0)+VLOOKUP($F$41,'表3）燃料価格'!$AF$28:$AG$29,2,0),0)*IF($F$43="需要地価格",1,$F$8/$F$141))),"")</f>
        <v>61.925030676818828</v>
      </c>
      <c r="AU32" s="71"/>
      <c r="AV32" s="10">
        <f t="shared" si="10"/>
        <v>13166835019.36199</v>
      </c>
      <c r="AW32" s="10">
        <f t="shared" si="27"/>
        <v>7734127889.7464666</v>
      </c>
      <c r="AX32" s="71"/>
      <c r="AY32" s="7">
        <f>IF(ISERROR(IF($K32&lt;=$F$15,VLOOKUP($I32,'表4）CO2価格'!$A$7:$E$67,VLOOKUP($F$48,'表4）CO2価格'!$H$10:$I$12,2,0),0)*$F$8/1000,"")),0,IF($K32&lt;=$F$15,VLOOKUP($I32,'表4）CO2価格'!$A$7:$E$67,VLOOKUP($F$48,'表4）CO2価格'!$H$10:$I$12,2,0),0)*$F$8/1000,""))</f>
        <v>6.4628000000000103</v>
      </c>
      <c r="AZ32" s="71"/>
      <c r="BA32" s="11">
        <f t="shared" si="11"/>
        <v>3751478577.7920051</v>
      </c>
      <c r="BB32" s="10">
        <f t="shared" si="28"/>
        <v>2203598287.1830249</v>
      </c>
      <c r="BC32" s="71"/>
      <c r="BD32" s="10">
        <f t="shared" si="12"/>
        <v>0</v>
      </c>
      <c r="BE32" s="10">
        <f t="shared" si="29"/>
        <v>0</v>
      </c>
      <c r="BF32" s="71"/>
      <c r="BG32" s="11">
        <f t="shared" si="13"/>
        <v>0</v>
      </c>
      <c r="BH32" s="10">
        <f t="shared" si="30"/>
        <v>0</v>
      </c>
      <c r="BJ32" s="7" t="str">
        <f t="shared" si="31"/>
        <v/>
      </c>
      <c r="BK32" s="158" t="str">
        <f t="shared" si="32"/>
        <v/>
      </c>
      <c r="BL32" s="158" t="str">
        <f t="shared" si="14"/>
        <v/>
      </c>
      <c r="BM32" s="10"/>
      <c r="BN32" s="10" t="str">
        <f t="shared" si="33"/>
        <v/>
      </c>
      <c r="BO32" s="10" t="str">
        <f t="shared" si="34"/>
        <v/>
      </c>
      <c r="BQ32" s="10">
        <f t="shared" si="15"/>
        <v>1000742400</v>
      </c>
      <c r="BR32" s="10">
        <f t="shared" si="35"/>
        <v>587830689.37297702</v>
      </c>
    </row>
    <row r="33" spans="3:70" x14ac:dyDescent="0.15">
      <c r="D33" s="81" t="s">
        <v>88</v>
      </c>
      <c r="F33" s="66">
        <v>1.9</v>
      </c>
      <c r="G33" s="81" t="s">
        <v>119</v>
      </c>
      <c r="I33" s="458">
        <f t="shared" si="36"/>
        <v>2048</v>
      </c>
      <c r="J33" s="39"/>
      <c r="K33" s="39">
        <f t="shared" si="37"/>
        <v>19</v>
      </c>
      <c r="L33" s="39"/>
      <c r="M33" s="40">
        <f t="shared" si="0"/>
        <v>0.57028602681192497</v>
      </c>
      <c r="N33" s="39"/>
      <c r="O33" s="72">
        <f t="shared" si="16"/>
        <v>0</v>
      </c>
      <c r="P33" s="41" t="str">
        <f t="shared" si="1"/>
        <v>-</v>
      </c>
      <c r="Q33" s="39"/>
      <c r="R33" s="72">
        <f t="shared" si="17"/>
        <v>6561956382.5940104</v>
      </c>
      <c r="S33" s="39"/>
      <c r="T33" s="72">
        <f t="shared" si="18"/>
        <v>6561956000</v>
      </c>
      <c r="U33" s="39"/>
      <c r="V33" s="72">
        <f t="shared" si="2"/>
        <v>0</v>
      </c>
      <c r="W33" s="72">
        <f t="shared" si="19"/>
        <v>0</v>
      </c>
      <c r="X33" s="39"/>
      <c r="Y33" s="72">
        <f t="shared" si="3"/>
        <v>91867300</v>
      </c>
      <c r="Z33" s="72">
        <f t="shared" si="20"/>
        <v>52390637.510939158</v>
      </c>
      <c r="AA33" s="39"/>
      <c r="AB33" s="72">
        <f t="shared" si="4"/>
        <v>0</v>
      </c>
      <c r="AC33" s="72">
        <f t="shared" si="21"/>
        <v>0</v>
      </c>
      <c r="AD33" s="39"/>
      <c r="AE33" s="72">
        <f t="shared" si="5"/>
        <v>0</v>
      </c>
      <c r="AF33" s="72">
        <f t="shared" si="22"/>
        <v>0</v>
      </c>
      <c r="AG33" s="39"/>
      <c r="AH33" s="72">
        <f t="shared" si="6"/>
        <v>190000000</v>
      </c>
      <c r="AI33" s="72">
        <f t="shared" si="23"/>
        <v>108354345.09426574</v>
      </c>
      <c r="AJ33" s="39"/>
      <c r="AK33" s="72">
        <f t="shared" si="7"/>
        <v>1872000000</v>
      </c>
      <c r="AL33" s="72">
        <f t="shared" si="24"/>
        <v>1067575442.1919235</v>
      </c>
      <c r="AM33" s="39"/>
      <c r="AN33" s="72">
        <f t="shared" si="8"/>
        <v>936000000</v>
      </c>
      <c r="AO33" s="72">
        <f t="shared" si="25"/>
        <v>533787721.09596175</v>
      </c>
      <c r="AP33" s="39"/>
      <c r="AQ33" s="72">
        <f t="shared" si="9"/>
        <v>279113800</v>
      </c>
      <c r="AR33" s="72">
        <f t="shared" si="26"/>
        <v>159174700.03037825</v>
      </c>
      <c r="AS33" s="39"/>
      <c r="AT33" s="40">
        <f>IF($K33&lt;=$F$15,IF($F$40&lt;&gt;"",$F$40/1000,IF(ISERROR(VLOOKUP($F$3&amp;IF($G$4&lt;&gt;"",$G$4,"")&amp;IF($F$43&lt;&gt;"","_"&amp;$F$43,""),'表3）燃料価格'!$AF$9:$AG$25,2,0)),0,VLOOKUP($I33,'表3）燃料価格'!$A$6:$U$66,VLOOKUP($F$3&amp;IF($G$4&lt;&gt;"",$G$4,"")&amp;IF($F$43&lt;&gt;"","_"&amp;$F$43,""),'表3）燃料価格'!$AF$9:$AG$25,2,0)+VLOOKUP($F$41,'表3）燃料価格'!$AF$28:$AG$29,2,0),0)*IF($F$43="需要地価格",1,$F$8/$F$141))),"")</f>
        <v>62.194033565670757</v>
      </c>
      <c r="AU33" s="39"/>
      <c r="AV33" s="72">
        <f t="shared" si="10"/>
        <v>13217779501.122946</v>
      </c>
      <c r="AW33" s="72">
        <f t="shared" si="27"/>
        <v>7537914954.9715128</v>
      </c>
      <c r="AX33" s="39"/>
      <c r="AY33" s="40">
        <f>IF(ISERROR(IF($K33&lt;=$F$15,VLOOKUP($I33,'表4）CO2価格'!$A$7:$E$67,VLOOKUP($F$48,'表4）CO2価格'!$H$10:$I$12,2,0),0)*$F$8/1000,"")),0,IF($K33&lt;=$F$15,VLOOKUP($I33,'表4）CO2価格'!$A$7:$E$67,VLOOKUP($F$48,'表4）CO2価格'!$H$10:$I$12,2,0),0)*$F$8/1000,""))</f>
        <v>6.59119999999999</v>
      </c>
      <c r="AZ33" s="39"/>
      <c r="BA33" s="42">
        <f t="shared" si="11"/>
        <v>3826011264.7679935</v>
      </c>
      <c r="BB33" s="72">
        <f t="shared" si="28"/>
        <v>2181920762.7222071</v>
      </c>
      <c r="BC33" s="39"/>
      <c r="BD33" s="72">
        <f t="shared" si="12"/>
        <v>0</v>
      </c>
      <c r="BE33" s="72">
        <f t="shared" si="29"/>
        <v>0</v>
      </c>
      <c r="BF33" s="39"/>
      <c r="BG33" s="42">
        <f t="shared" si="13"/>
        <v>0</v>
      </c>
      <c r="BH33" s="72">
        <f t="shared" si="30"/>
        <v>0</v>
      </c>
      <c r="BI33" s="39"/>
      <c r="BJ33" s="40" t="str">
        <f t="shared" si="31"/>
        <v/>
      </c>
      <c r="BK33" s="157" t="str">
        <f t="shared" si="32"/>
        <v/>
      </c>
      <c r="BL33" s="157" t="str">
        <f t="shared" si="14"/>
        <v/>
      </c>
      <c r="BM33" s="72"/>
      <c r="BN33" s="72" t="str">
        <f t="shared" si="33"/>
        <v/>
      </c>
      <c r="BO33" s="72" t="str">
        <f t="shared" si="34"/>
        <v/>
      </c>
      <c r="BP33" s="39"/>
      <c r="BQ33" s="72">
        <f t="shared" si="15"/>
        <v>1000742400</v>
      </c>
      <c r="BR33" s="72">
        <f t="shared" si="35"/>
        <v>570709407.15823019</v>
      </c>
    </row>
    <row r="34" spans="3:70" x14ac:dyDescent="0.15">
      <c r="D34" s="81" t="s">
        <v>120</v>
      </c>
      <c r="F34" s="66">
        <v>1.8</v>
      </c>
      <c r="G34" s="81" t="s">
        <v>121</v>
      </c>
      <c r="I34" s="459">
        <f t="shared" si="36"/>
        <v>2049</v>
      </c>
      <c r="J34" s="71"/>
      <c r="K34" s="71">
        <f t="shared" si="37"/>
        <v>20</v>
      </c>
      <c r="L34" s="71"/>
      <c r="M34" s="7">
        <f t="shared" si="0"/>
        <v>0.55367575418633497</v>
      </c>
      <c r="N34" s="71"/>
      <c r="O34" s="10">
        <f t="shared" si="16"/>
        <v>0</v>
      </c>
      <c r="P34" s="29" t="str">
        <f t="shared" si="1"/>
        <v>-</v>
      </c>
      <c r="Q34" s="71"/>
      <c r="R34" s="10">
        <f t="shared" si="17"/>
        <v>5628163076.0832224</v>
      </c>
      <c r="S34" s="71"/>
      <c r="T34" s="10">
        <f t="shared" si="18"/>
        <v>5628163000</v>
      </c>
      <c r="U34" s="71"/>
      <c r="V34" s="10">
        <f t="shared" si="2"/>
        <v>0</v>
      </c>
      <c r="W34" s="10">
        <f t="shared" si="19"/>
        <v>0</v>
      </c>
      <c r="X34" s="71"/>
      <c r="Y34" s="10">
        <f t="shared" si="3"/>
        <v>78794200</v>
      </c>
      <c r="Z34" s="10">
        <f t="shared" si="20"/>
        <v>43626438.110508911</v>
      </c>
      <c r="AA34" s="71"/>
      <c r="AB34" s="10">
        <f t="shared" si="4"/>
        <v>0</v>
      </c>
      <c r="AC34" s="10">
        <f t="shared" si="21"/>
        <v>0</v>
      </c>
      <c r="AD34" s="71"/>
      <c r="AE34" s="10">
        <f t="shared" si="5"/>
        <v>0</v>
      </c>
      <c r="AF34" s="10">
        <f t="shared" si="22"/>
        <v>0</v>
      </c>
      <c r="AG34" s="71"/>
      <c r="AH34" s="10">
        <f t="shared" si="6"/>
        <v>190000000</v>
      </c>
      <c r="AI34" s="10">
        <f t="shared" si="23"/>
        <v>105198393.29540364</v>
      </c>
      <c r="AJ34" s="71"/>
      <c r="AK34" s="10">
        <f t="shared" si="7"/>
        <v>1872000000</v>
      </c>
      <c r="AL34" s="10">
        <f t="shared" si="24"/>
        <v>1036481011.8368191</v>
      </c>
      <c r="AM34" s="71"/>
      <c r="AN34" s="10">
        <f t="shared" si="8"/>
        <v>936000000</v>
      </c>
      <c r="AO34" s="10">
        <f t="shared" si="25"/>
        <v>518240505.91840953</v>
      </c>
      <c r="AP34" s="71"/>
      <c r="AQ34" s="10">
        <f t="shared" si="9"/>
        <v>279113800</v>
      </c>
      <c r="AR34" s="10">
        <f t="shared" si="26"/>
        <v>154538543.71881387</v>
      </c>
      <c r="AS34" s="71"/>
      <c r="AT34" s="7">
        <f>IF($K34&lt;=$F$15,IF($F$40&lt;&gt;"",$F$40/1000,IF(ISERROR(VLOOKUP($F$3&amp;IF($G$4&lt;&gt;"",$G$4,"")&amp;IF($F$43&lt;&gt;"","_"&amp;$F$43,""),'表3）燃料価格'!$AF$9:$AG$25,2,0)),0,VLOOKUP($I34,'表3）燃料価格'!$A$6:$U$66,VLOOKUP($F$3&amp;IF($G$4&lt;&gt;"",$G$4,"")&amp;IF($F$43&lt;&gt;"","_"&amp;$F$43,""),'表3）燃料価格'!$AF$9:$AG$25,2,0)+VLOOKUP($F$41,'表3）燃料価格'!$AF$28:$AG$29,2,0),0)*IF($F$43="需要地価格",1,$F$8/$F$141))),"")</f>
        <v>62.455238161023964</v>
      </c>
      <c r="AU34" s="71"/>
      <c r="AV34" s="10">
        <f t="shared" si="10"/>
        <v>13267247121.343092</v>
      </c>
      <c r="AW34" s="10">
        <f t="shared" si="27"/>
        <v>7345753055.8861179</v>
      </c>
      <c r="AX34" s="71"/>
      <c r="AY34" s="7">
        <f>IF(ISERROR(IF($K34&lt;=$F$15,VLOOKUP($I34,'表4）CO2価格'!$A$7:$E$67,VLOOKUP($F$48,'表4）CO2価格'!$H$10:$I$12,2,0),0)*$F$8/1000,"")),0,IF($K34&lt;=$F$15,VLOOKUP($I34,'表4）CO2価格'!$A$7:$E$67,VLOOKUP($F$48,'表4）CO2価格'!$H$10:$I$12,2,0),0)*$F$8/1000,""))</f>
        <v>6.7195999999999714</v>
      </c>
      <c r="AZ34" s="71"/>
      <c r="BA34" s="11">
        <f t="shared" si="11"/>
        <v>3900543951.7439828</v>
      </c>
      <c r="BB34" s="10">
        <f t="shared" si="28"/>
        <v>2159636614.2187972</v>
      </c>
      <c r="BC34" s="71"/>
      <c r="BD34" s="10">
        <f t="shared" si="12"/>
        <v>0</v>
      </c>
      <c r="BE34" s="10">
        <f t="shared" si="29"/>
        <v>0</v>
      </c>
      <c r="BF34" s="71"/>
      <c r="BG34" s="11">
        <f t="shared" si="13"/>
        <v>0</v>
      </c>
      <c r="BH34" s="10">
        <f t="shared" si="30"/>
        <v>0</v>
      </c>
      <c r="BJ34" s="7" t="str">
        <f t="shared" si="31"/>
        <v/>
      </c>
      <c r="BK34" s="158" t="str">
        <f t="shared" si="32"/>
        <v/>
      </c>
      <c r="BL34" s="158" t="str">
        <f t="shared" si="14"/>
        <v/>
      </c>
      <c r="BM34" s="10"/>
      <c r="BN34" s="10" t="str">
        <f t="shared" si="33"/>
        <v/>
      </c>
      <c r="BO34" s="10" t="str">
        <f t="shared" si="34"/>
        <v/>
      </c>
      <c r="BQ34" s="10">
        <f t="shared" si="15"/>
        <v>1000742400</v>
      </c>
      <c r="BR34" s="10">
        <f t="shared" si="35"/>
        <v>554086803.06624293</v>
      </c>
    </row>
    <row r="35" spans="3:70" x14ac:dyDescent="0.15">
      <c r="D35" s="81" t="s">
        <v>122</v>
      </c>
      <c r="F35" s="66">
        <v>0.9</v>
      </c>
      <c r="G35" s="81" t="s">
        <v>121</v>
      </c>
      <c r="I35" s="458">
        <f t="shared" si="36"/>
        <v>2050</v>
      </c>
      <c r="J35" s="39"/>
      <c r="K35" s="39">
        <f t="shared" si="37"/>
        <v>21</v>
      </c>
      <c r="L35" s="39"/>
      <c r="M35" s="40">
        <f t="shared" si="0"/>
        <v>0.5375492759090631</v>
      </c>
      <c r="N35" s="39"/>
      <c r="O35" s="72">
        <f t="shared" si="16"/>
        <v>0</v>
      </c>
      <c r="P35" s="41" t="str">
        <f t="shared" si="1"/>
        <v>-</v>
      </c>
      <c r="Q35" s="39"/>
      <c r="R35" s="72">
        <f t="shared" si="17"/>
        <v>5200000000</v>
      </c>
      <c r="S35" s="39"/>
      <c r="T35" s="72">
        <f t="shared" si="18"/>
        <v>5200000000</v>
      </c>
      <c r="U35" s="39"/>
      <c r="V35" s="72">
        <f t="shared" si="2"/>
        <v>0</v>
      </c>
      <c r="W35" s="72">
        <f t="shared" si="19"/>
        <v>0</v>
      </c>
      <c r="X35" s="39"/>
      <c r="Y35" s="72">
        <f t="shared" si="3"/>
        <v>72800000</v>
      </c>
      <c r="Z35" s="72">
        <f t="shared" si="20"/>
        <v>39133587.286179796</v>
      </c>
      <c r="AA35" s="39"/>
      <c r="AB35" s="72">
        <f t="shared" si="4"/>
        <v>0</v>
      </c>
      <c r="AC35" s="72">
        <f t="shared" si="21"/>
        <v>0</v>
      </c>
      <c r="AD35" s="39"/>
      <c r="AE35" s="72">
        <f t="shared" si="5"/>
        <v>0</v>
      </c>
      <c r="AF35" s="72">
        <f t="shared" si="22"/>
        <v>0</v>
      </c>
      <c r="AG35" s="39"/>
      <c r="AH35" s="72">
        <f t="shared" si="6"/>
        <v>190000000</v>
      </c>
      <c r="AI35" s="72">
        <f t="shared" si="23"/>
        <v>102134362.42272198</v>
      </c>
      <c r="AJ35" s="39"/>
      <c r="AK35" s="72">
        <f t="shared" si="7"/>
        <v>1872000000</v>
      </c>
      <c r="AL35" s="72">
        <f t="shared" si="24"/>
        <v>1006292244.5017661</v>
      </c>
      <c r="AM35" s="39"/>
      <c r="AN35" s="72">
        <f t="shared" si="8"/>
        <v>936000000</v>
      </c>
      <c r="AO35" s="72">
        <f t="shared" si="25"/>
        <v>503146122.25088304</v>
      </c>
      <c r="AP35" s="39"/>
      <c r="AQ35" s="72">
        <f t="shared" si="9"/>
        <v>279113800</v>
      </c>
      <c r="AR35" s="72">
        <f t="shared" si="26"/>
        <v>150037421.08622706</v>
      </c>
      <c r="AS35" s="39"/>
      <c r="AT35" s="40">
        <f>IF($K35&lt;=$F$15,IF($F$40&lt;&gt;"",$F$40/1000,IF(ISERROR(VLOOKUP($F$3&amp;IF($G$4&lt;&gt;"",$G$4,"")&amp;IF($F$43&lt;&gt;"","_"&amp;$F$43,""),'表3）燃料価格'!$AF$9:$AG$25,2,0)),0,VLOOKUP($I35,'表3）燃料価格'!$A$6:$U$66,VLOOKUP($F$3&amp;IF($G$4&lt;&gt;"",$G$4,"")&amp;IF($F$43&lt;&gt;"","_"&amp;$F$43,""),'表3）燃料価格'!$AF$9:$AG$25,2,0)+VLOOKUP($F$41,'表3）燃料価格'!$AF$28:$AG$29,2,0),0)*IF($F$43="需要地価格",1,$F$8/$F$141))),"")</f>
        <v>62.7090838931055</v>
      </c>
      <c r="AU35" s="39"/>
      <c r="AV35" s="72">
        <f t="shared" si="10"/>
        <v>13315321100.486277</v>
      </c>
      <c r="AW35" s="72">
        <f t="shared" si="27"/>
        <v>7157641216.0630674</v>
      </c>
      <c r="AX35" s="39"/>
      <c r="AY35" s="40">
        <f>IF(ISERROR(IF($K35&lt;=$F$15,VLOOKUP($I35,'表4）CO2価格'!$A$7:$E$67,VLOOKUP($F$48,'表4）CO2価格'!$H$10:$I$12,2,0),0)*$F$8/1000,"")),0,IF($K35&lt;=$F$15,VLOOKUP($I35,'表4）CO2価格'!$A$7:$E$67,VLOOKUP($F$48,'表4）CO2価格'!$H$10:$I$12,2,0),0)*$F$8/1000,""))</f>
        <v>6.8479999999999999</v>
      </c>
      <c r="AZ35" s="39"/>
      <c r="BA35" s="42">
        <f t="shared" si="11"/>
        <v>3975076638.7199993</v>
      </c>
      <c r="BB35" s="72">
        <f t="shared" si="28"/>
        <v>2136799568.826968</v>
      </c>
      <c r="BC35" s="39"/>
      <c r="BD35" s="72">
        <f t="shared" si="12"/>
        <v>0</v>
      </c>
      <c r="BE35" s="72">
        <f t="shared" si="29"/>
        <v>0</v>
      </c>
      <c r="BF35" s="39"/>
      <c r="BG35" s="42">
        <f t="shared" si="13"/>
        <v>0</v>
      </c>
      <c r="BH35" s="72">
        <f t="shared" si="30"/>
        <v>0</v>
      </c>
      <c r="BI35" s="39"/>
      <c r="BJ35" s="40" t="str">
        <f t="shared" si="31"/>
        <v/>
      </c>
      <c r="BK35" s="157" t="str">
        <f t="shared" si="32"/>
        <v/>
      </c>
      <c r="BL35" s="157" t="str">
        <f t="shared" si="14"/>
        <v/>
      </c>
      <c r="BM35" s="72"/>
      <c r="BN35" s="72" t="str">
        <f t="shared" si="33"/>
        <v/>
      </c>
      <c r="BO35" s="72" t="str">
        <f t="shared" si="34"/>
        <v/>
      </c>
      <c r="BP35" s="39"/>
      <c r="BQ35" s="72">
        <f t="shared" si="15"/>
        <v>1000742400</v>
      </c>
      <c r="BR35" s="72">
        <f t="shared" si="35"/>
        <v>537948352.49149799</v>
      </c>
    </row>
    <row r="36" spans="3:70" x14ac:dyDescent="0.15">
      <c r="D36" s="81" t="s">
        <v>177</v>
      </c>
      <c r="F36" s="68">
        <v>9.31</v>
      </c>
      <c r="G36" s="81" t="s">
        <v>123</v>
      </c>
      <c r="I36" s="459">
        <f t="shared" si="36"/>
        <v>2051</v>
      </c>
      <c r="J36" s="71"/>
      <c r="K36" s="71">
        <f t="shared" si="37"/>
        <v>22</v>
      </c>
      <c r="L36" s="71"/>
      <c r="M36" s="7">
        <f t="shared" si="0"/>
        <v>0.52189250088258554</v>
      </c>
      <c r="N36" s="71"/>
      <c r="O36" s="10">
        <f t="shared" si="16"/>
        <v>0</v>
      </c>
      <c r="P36" s="29" t="str">
        <f t="shared" si="1"/>
        <v>-</v>
      </c>
      <c r="Q36" s="71"/>
      <c r="R36" s="10">
        <f t="shared" si="17"/>
        <v>5200000000</v>
      </c>
      <c r="S36" s="71"/>
      <c r="T36" s="10">
        <f t="shared" si="18"/>
        <v>5200000000</v>
      </c>
      <c r="U36" s="71"/>
      <c r="V36" s="10">
        <f t="shared" si="2"/>
        <v>0</v>
      </c>
      <c r="W36" s="10">
        <f t="shared" si="19"/>
        <v>0</v>
      </c>
      <c r="X36" s="71"/>
      <c r="Y36" s="10">
        <f t="shared" si="3"/>
        <v>72800000</v>
      </c>
      <c r="Z36" s="10">
        <f t="shared" si="20"/>
        <v>37993774.064252228</v>
      </c>
      <c r="AA36" s="71"/>
      <c r="AB36" s="10">
        <f t="shared" si="4"/>
        <v>0</v>
      </c>
      <c r="AC36" s="10">
        <f t="shared" si="21"/>
        <v>0</v>
      </c>
      <c r="AD36" s="71"/>
      <c r="AE36" s="10">
        <f t="shared" si="5"/>
        <v>0</v>
      </c>
      <c r="AF36" s="10">
        <f t="shared" si="22"/>
        <v>0</v>
      </c>
      <c r="AG36" s="71"/>
      <c r="AH36" s="10">
        <f t="shared" si="6"/>
        <v>190000000</v>
      </c>
      <c r="AI36" s="10">
        <f t="shared" si="23"/>
        <v>99159575.167691246</v>
      </c>
      <c r="AJ36" s="71"/>
      <c r="AK36" s="10">
        <f t="shared" si="7"/>
        <v>1872000000</v>
      </c>
      <c r="AL36" s="10">
        <f t="shared" si="24"/>
        <v>976982761.6522001</v>
      </c>
      <c r="AM36" s="71"/>
      <c r="AN36" s="10">
        <f t="shared" si="8"/>
        <v>936000000</v>
      </c>
      <c r="AO36" s="10">
        <f t="shared" si="25"/>
        <v>488491380.82610005</v>
      </c>
      <c r="AP36" s="71"/>
      <c r="AQ36" s="10">
        <f t="shared" si="9"/>
        <v>279113800</v>
      </c>
      <c r="AR36" s="10">
        <f t="shared" si="26"/>
        <v>145667399.11284181</v>
      </c>
      <c r="AS36" s="71"/>
      <c r="AT36" s="7">
        <f>IF($K36&lt;=$F$15,IF($F$40&lt;&gt;"",$F$40/1000,IF(ISERROR(VLOOKUP($F$3&amp;IF($G$4&lt;&gt;"",$G$4,"")&amp;IF($F$43&lt;&gt;"","_"&amp;$F$43,""),'表3）燃料価格'!$AF$9:$AG$25,2,0)),0,VLOOKUP($I36,'表3）燃料価格'!$A$6:$U$66,VLOOKUP($F$3&amp;IF($G$4&lt;&gt;"",$G$4,"")&amp;IF($F$43&lt;&gt;"","_"&amp;$F$43,""),'表3）燃料価格'!$AF$9:$AG$25,2,0)+VLOOKUP($F$41,'表3）燃料価格'!$AF$28:$AG$29,2,0),0)*IF($F$43="需要地価格",1,$F$8/$F$141))),"")</f>
        <v>62.955974065153995</v>
      </c>
      <c r="AU36" s="71"/>
      <c r="AV36" s="10">
        <f t="shared" si="10"/>
        <v>13362077817.191305</v>
      </c>
      <c r="AW36" s="10">
        <f t="shared" si="27"/>
        <v>6973568209.0016899</v>
      </c>
      <c r="AX36" s="71"/>
      <c r="AY36" s="7">
        <f>IF(ISERROR(IF($K36&lt;=$F$15,VLOOKUP($I36,'表4）CO2価格'!$A$7:$E$67,VLOOKUP($F$48,'表4）CO2価格'!$H$10:$I$12,2,0),0)*$F$8/1000,"")),0,IF($K36&lt;=$F$15,VLOOKUP($I36,'表4）CO2価格'!$A$7:$E$67,VLOOKUP($F$48,'表4）CO2価格'!$H$10:$I$12,2,0),0)*$F$8/1000,""))</f>
        <v>7.0184806169104448</v>
      </c>
      <c r="AZ36" s="71"/>
      <c r="BA36" s="11">
        <f t="shared" si="11"/>
        <v>4074035972.4868336</v>
      </c>
      <c r="BB36" s="10">
        <f t="shared" si="28"/>
        <v>2126208822.36677</v>
      </c>
      <c r="BC36" s="71"/>
      <c r="BD36" s="10">
        <f t="shared" si="12"/>
        <v>0</v>
      </c>
      <c r="BE36" s="10">
        <f t="shared" si="29"/>
        <v>0</v>
      </c>
      <c r="BF36" s="71"/>
      <c r="BG36" s="11">
        <f t="shared" si="13"/>
        <v>0</v>
      </c>
      <c r="BH36" s="10">
        <f t="shared" si="30"/>
        <v>0</v>
      </c>
      <c r="BJ36" s="7" t="str">
        <f t="shared" si="31"/>
        <v/>
      </c>
      <c r="BK36" s="158" t="str">
        <f t="shared" si="32"/>
        <v/>
      </c>
      <c r="BL36" s="158" t="str">
        <f t="shared" si="14"/>
        <v/>
      </c>
      <c r="BM36" s="10"/>
      <c r="BN36" s="10" t="str">
        <f t="shared" si="33"/>
        <v/>
      </c>
      <c r="BO36" s="10" t="str">
        <f t="shared" si="34"/>
        <v/>
      </c>
      <c r="BQ36" s="10">
        <f t="shared" si="15"/>
        <v>1000742400</v>
      </c>
      <c r="BR36" s="10">
        <f t="shared" si="35"/>
        <v>522279953.8752408</v>
      </c>
    </row>
    <row r="37" spans="3:70" x14ac:dyDescent="0.15">
      <c r="I37" s="458">
        <f t="shared" si="36"/>
        <v>2052</v>
      </c>
      <c r="J37" s="39"/>
      <c r="K37" s="39">
        <f t="shared" si="37"/>
        <v>23</v>
      </c>
      <c r="L37" s="39"/>
      <c r="M37" s="40">
        <f t="shared" si="0"/>
        <v>0.50669174842969467</v>
      </c>
      <c r="N37" s="39"/>
      <c r="O37" s="72">
        <f t="shared" si="16"/>
        <v>0</v>
      </c>
      <c r="P37" s="41" t="str">
        <f t="shared" si="1"/>
        <v>-</v>
      </c>
      <c r="Q37" s="39"/>
      <c r="R37" s="72">
        <f t="shared" si="17"/>
        <v>5200000000</v>
      </c>
      <c r="S37" s="39"/>
      <c r="T37" s="72">
        <f t="shared" si="18"/>
        <v>5200000000</v>
      </c>
      <c r="U37" s="39"/>
      <c r="V37" s="72">
        <f t="shared" si="2"/>
        <v>0</v>
      </c>
      <c r="W37" s="72">
        <f t="shared" si="19"/>
        <v>0</v>
      </c>
      <c r="X37" s="39"/>
      <c r="Y37" s="72">
        <f t="shared" si="3"/>
        <v>72800000</v>
      </c>
      <c r="Z37" s="72">
        <f t="shared" si="20"/>
        <v>36887159.285681769</v>
      </c>
      <c r="AA37" s="39"/>
      <c r="AB37" s="72">
        <f t="shared" si="4"/>
        <v>0</v>
      </c>
      <c r="AC37" s="72">
        <f t="shared" si="21"/>
        <v>0</v>
      </c>
      <c r="AD37" s="39"/>
      <c r="AE37" s="72">
        <f t="shared" si="5"/>
        <v>0</v>
      </c>
      <c r="AF37" s="72">
        <f t="shared" si="22"/>
        <v>0</v>
      </c>
      <c r="AG37" s="39"/>
      <c r="AH37" s="72">
        <f t="shared" si="6"/>
        <v>190000000</v>
      </c>
      <c r="AI37" s="72">
        <f t="shared" si="23"/>
        <v>96271432.201641992</v>
      </c>
      <c r="AJ37" s="39"/>
      <c r="AK37" s="72">
        <f t="shared" si="7"/>
        <v>1872000000</v>
      </c>
      <c r="AL37" s="72">
        <f t="shared" si="24"/>
        <v>948526953.06038845</v>
      </c>
      <c r="AM37" s="39"/>
      <c r="AN37" s="72">
        <f t="shared" si="8"/>
        <v>936000000</v>
      </c>
      <c r="AO37" s="72">
        <f t="shared" si="25"/>
        <v>474263476.53019422</v>
      </c>
      <c r="AP37" s="39"/>
      <c r="AQ37" s="72">
        <f t="shared" si="9"/>
        <v>279113800</v>
      </c>
      <c r="AR37" s="72">
        <f t="shared" si="26"/>
        <v>141424659.33285612</v>
      </c>
      <c r="AS37" s="39"/>
      <c r="AT37" s="40">
        <f>IF($K37&lt;=$F$15,IF($F$40&lt;&gt;"",$F$40/1000,IF(ISERROR(VLOOKUP($F$3&amp;IF($G$4&lt;&gt;"",$G$4,"")&amp;IF($F$43&lt;&gt;"","_"&amp;$F$43,""),'表3）燃料価格'!$AF$9:$AG$25,2,0)),0,VLOOKUP($I37,'表3）燃料価格'!$A$6:$U$66,VLOOKUP($F$3&amp;IF($G$4&lt;&gt;"",$G$4,"")&amp;IF($F$43&lt;&gt;"","_"&amp;$F$43,""),'表3）燃料価格'!$AF$9:$AG$25,2,0)+VLOOKUP($F$41,'表3）燃料価格'!$AF$28:$AG$29,2,0),0)*IF($F$43="需要地価格",1,$F$8/$F$141))),"")</f>
        <v>63.196279708173371</v>
      </c>
      <c r="AU37" s="39"/>
      <c r="AV37" s="72">
        <f t="shared" si="10"/>
        <v>13407587538.295433</v>
      </c>
      <c r="AW37" s="72">
        <f t="shared" si="27"/>
        <v>6793513972.0030985</v>
      </c>
      <c r="AX37" s="39"/>
      <c r="AY37" s="40">
        <f>IF(ISERROR(IF($K37&lt;=$F$15,VLOOKUP($I37,'表4）CO2価格'!$A$7:$E$67,VLOOKUP($F$48,'表4）CO2価格'!$H$10:$I$12,2,0),0)*$F$8/1000,"")),0,IF($K37&lt;=$F$15,VLOOKUP($I37,'表4）CO2価格'!$A$7:$E$67,VLOOKUP($F$48,'表4）CO2価格'!$H$10:$I$12,2,0),0)*$F$8/1000,""))</f>
        <v>7.1500080975609199</v>
      </c>
      <c r="AZ37" s="39"/>
      <c r="BA37" s="42">
        <f t="shared" si="11"/>
        <v>4150384076.4125638</v>
      </c>
      <c r="BB37" s="72">
        <f t="shared" si="28"/>
        <v>2102965364.3322453</v>
      </c>
      <c r="BC37" s="39"/>
      <c r="BD37" s="72">
        <f t="shared" si="12"/>
        <v>0</v>
      </c>
      <c r="BE37" s="72">
        <f t="shared" si="29"/>
        <v>0</v>
      </c>
      <c r="BF37" s="39"/>
      <c r="BG37" s="42">
        <f t="shared" si="13"/>
        <v>0</v>
      </c>
      <c r="BH37" s="72">
        <f t="shared" si="30"/>
        <v>0</v>
      </c>
      <c r="BI37" s="39"/>
      <c r="BJ37" s="40" t="str">
        <f t="shared" si="31"/>
        <v/>
      </c>
      <c r="BK37" s="157" t="str">
        <f t="shared" si="32"/>
        <v/>
      </c>
      <c r="BL37" s="157" t="str">
        <f t="shared" si="14"/>
        <v/>
      </c>
      <c r="BM37" s="72"/>
      <c r="BN37" s="72" t="str">
        <f t="shared" si="33"/>
        <v/>
      </c>
      <c r="BO37" s="72" t="str">
        <f t="shared" si="34"/>
        <v/>
      </c>
      <c r="BP37" s="39"/>
      <c r="BQ37" s="72">
        <f t="shared" si="15"/>
        <v>1000742400</v>
      </c>
      <c r="BR37" s="72">
        <f t="shared" si="35"/>
        <v>507067916.38372886</v>
      </c>
    </row>
    <row r="38" spans="3:70" x14ac:dyDescent="0.15">
      <c r="C38" s="89" t="s">
        <v>508</v>
      </c>
      <c r="D38" s="101"/>
      <c r="E38" s="101"/>
      <c r="F38" s="89"/>
      <c r="G38" s="101"/>
      <c r="I38" s="459">
        <f t="shared" si="36"/>
        <v>2053</v>
      </c>
      <c r="J38" s="71"/>
      <c r="K38" s="71">
        <f t="shared" si="37"/>
        <v>24</v>
      </c>
      <c r="L38" s="71"/>
      <c r="M38" s="7">
        <f t="shared" si="0"/>
        <v>0.49193373633950943</v>
      </c>
      <c r="N38" s="71"/>
      <c r="O38" s="10">
        <f t="shared" si="16"/>
        <v>0</v>
      </c>
      <c r="P38" s="29" t="str">
        <f t="shared" si="1"/>
        <v>-</v>
      </c>
      <c r="Q38" s="71"/>
      <c r="R38" s="10">
        <f t="shared" si="17"/>
        <v>5200000000</v>
      </c>
      <c r="S38" s="71"/>
      <c r="T38" s="10">
        <f t="shared" si="18"/>
        <v>5200000000</v>
      </c>
      <c r="U38" s="71"/>
      <c r="V38" s="10">
        <f t="shared" si="2"/>
        <v>0</v>
      </c>
      <c r="W38" s="10">
        <f t="shared" si="19"/>
        <v>0</v>
      </c>
      <c r="X38" s="71"/>
      <c r="Y38" s="10">
        <f t="shared" si="3"/>
        <v>72800000</v>
      </c>
      <c r="Z38" s="10">
        <f t="shared" si="20"/>
        <v>35812776.005516283</v>
      </c>
      <c r="AA38" s="71"/>
      <c r="AB38" s="10">
        <f t="shared" si="4"/>
        <v>0</v>
      </c>
      <c r="AC38" s="10">
        <f t="shared" si="21"/>
        <v>0</v>
      </c>
      <c r="AD38" s="71"/>
      <c r="AE38" s="10">
        <f t="shared" si="5"/>
        <v>0</v>
      </c>
      <c r="AF38" s="10">
        <f t="shared" si="22"/>
        <v>0</v>
      </c>
      <c r="AG38" s="71"/>
      <c r="AH38" s="10">
        <f t="shared" si="6"/>
        <v>190000000</v>
      </c>
      <c r="AI38" s="10">
        <f t="shared" si="23"/>
        <v>93467409.904506788</v>
      </c>
      <c r="AJ38" s="71"/>
      <c r="AK38" s="10">
        <f t="shared" si="7"/>
        <v>1872000000</v>
      </c>
      <c r="AL38" s="10">
        <f t="shared" si="24"/>
        <v>920899954.42756164</v>
      </c>
      <c r="AM38" s="71"/>
      <c r="AN38" s="10">
        <f t="shared" si="8"/>
        <v>936000000</v>
      </c>
      <c r="AO38" s="10">
        <f t="shared" si="25"/>
        <v>460449977.21378082</v>
      </c>
      <c r="AP38" s="71"/>
      <c r="AQ38" s="10">
        <f t="shared" si="9"/>
        <v>279113800</v>
      </c>
      <c r="AR38" s="10">
        <f t="shared" si="26"/>
        <v>137305494.49791858</v>
      </c>
      <c r="AS38" s="71"/>
      <c r="AT38" s="7">
        <f>IF($K38&lt;=$F$15,IF($F$40&lt;&gt;"",$F$40/1000,IF(ISERROR(VLOOKUP($F$3&amp;IF($G$4&lt;&gt;"",$G$4,"")&amp;IF($F$43&lt;&gt;"","_"&amp;$F$43,""),'表3）燃料価格'!$AF$9:$AG$25,2,0)),0,VLOOKUP($I38,'表3）燃料価格'!$A$6:$U$66,VLOOKUP($F$3&amp;IF($G$4&lt;&gt;"",$G$4,"")&amp;IF($F$43&lt;&gt;"","_"&amp;$F$43,""),'表3）燃料価格'!$AF$9:$AG$25,2,0)+VLOOKUP($F$41,'表3）燃料価格'!$AF$28:$AG$29,2,0),0)*IF($F$43="需要地価格",1,$F$8/$F$141))),"")</f>
        <v>63.430342934888131</v>
      </c>
      <c r="AU38" s="71"/>
      <c r="AV38" s="10">
        <f t="shared" si="10"/>
        <v>13451915054.015326</v>
      </c>
      <c r="AW38" s="10">
        <f t="shared" si="27"/>
        <v>6617450833.4434528</v>
      </c>
      <c r="AX38" s="71"/>
      <c r="AY38" s="7">
        <f>IF(ISERROR(IF($K38&lt;=$F$15,VLOOKUP($I38,'表4）CO2価格'!$A$7:$E$67,VLOOKUP($F$48,'表4）CO2価格'!$H$10:$I$12,2,0),0)*$F$8/1000,"")),0,IF($K38&lt;=$F$15,VLOOKUP($I38,'表4）CO2価格'!$A$7:$E$67,VLOOKUP($F$48,'表4）CO2価格'!$H$10:$I$12,2,0),0)*$F$8/1000,""))</f>
        <v>7.2814714966103056</v>
      </c>
      <c r="AZ38" s="71"/>
      <c r="BA38" s="11">
        <f t="shared" si="11"/>
        <v>4226694982.7221341</v>
      </c>
      <c r="BB38" s="10">
        <f t="shared" si="28"/>
        <v>2079253855.2179577</v>
      </c>
      <c r="BC38" s="71"/>
      <c r="BD38" s="10">
        <f t="shared" si="12"/>
        <v>0</v>
      </c>
      <c r="BE38" s="10">
        <f t="shared" si="29"/>
        <v>0</v>
      </c>
      <c r="BF38" s="71"/>
      <c r="BG38" s="11">
        <f t="shared" si="13"/>
        <v>0</v>
      </c>
      <c r="BH38" s="10">
        <f t="shared" si="30"/>
        <v>0</v>
      </c>
      <c r="BJ38" s="7" t="str">
        <f t="shared" si="31"/>
        <v/>
      </c>
      <c r="BK38" s="158" t="str">
        <f t="shared" si="32"/>
        <v/>
      </c>
      <c r="BL38" s="158" t="str">
        <f t="shared" si="14"/>
        <v/>
      </c>
      <c r="BM38" s="10"/>
      <c r="BN38" s="10" t="str">
        <f t="shared" si="33"/>
        <v/>
      </c>
      <c r="BO38" s="10" t="str">
        <f t="shared" si="34"/>
        <v/>
      </c>
      <c r="BQ38" s="10">
        <f t="shared" si="15"/>
        <v>1000742400</v>
      </c>
      <c r="BR38" s="10">
        <f t="shared" si="35"/>
        <v>492298947.94536787</v>
      </c>
    </row>
    <row r="39" spans="3:70" x14ac:dyDescent="0.15">
      <c r="I39" s="458">
        <f t="shared" si="36"/>
        <v>2054</v>
      </c>
      <c r="J39" s="39"/>
      <c r="K39" s="39">
        <f t="shared" si="37"/>
        <v>25</v>
      </c>
      <c r="L39" s="39"/>
      <c r="M39" s="40">
        <f t="shared" si="0"/>
        <v>0.47760556926165965</v>
      </c>
      <c r="N39" s="39"/>
      <c r="O39" s="72">
        <f t="shared" si="16"/>
        <v>0</v>
      </c>
      <c r="P39" s="41" t="str">
        <f t="shared" si="1"/>
        <v>-</v>
      </c>
      <c r="Q39" s="39"/>
      <c r="R39" s="72">
        <f t="shared" si="17"/>
        <v>5200000000</v>
      </c>
      <c r="S39" s="39"/>
      <c r="T39" s="72">
        <f t="shared" si="18"/>
        <v>5200000000</v>
      </c>
      <c r="U39" s="39"/>
      <c r="V39" s="72">
        <f t="shared" si="2"/>
        <v>0</v>
      </c>
      <c r="W39" s="72">
        <f t="shared" si="19"/>
        <v>0</v>
      </c>
      <c r="X39" s="39"/>
      <c r="Y39" s="72">
        <f t="shared" si="3"/>
        <v>72800000</v>
      </c>
      <c r="Z39" s="72">
        <f t="shared" si="20"/>
        <v>34769685.442248821</v>
      </c>
      <c r="AA39" s="39"/>
      <c r="AB39" s="72">
        <f t="shared" si="4"/>
        <v>0</v>
      </c>
      <c r="AC39" s="72">
        <f t="shared" si="21"/>
        <v>0</v>
      </c>
      <c r="AD39" s="39"/>
      <c r="AE39" s="72">
        <f t="shared" si="5"/>
        <v>0</v>
      </c>
      <c r="AF39" s="72">
        <f t="shared" si="22"/>
        <v>0</v>
      </c>
      <c r="AG39" s="39"/>
      <c r="AH39" s="72">
        <f t="shared" si="6"/>
        <v>190000000</v>
      </c>
      <c r="AI39" s="72">
        <f t="shared" si="23"/>
        <v>90745058.15971534</v>
      </c>
      <c r="AJ39" s="39"/>
      <c r="AK39" s="72">
        <f t="shared" si="7"/>
        <v>1872000000</v>
      </c>
      <c r="AL39" s="72">
        <f t="shared" si="24"/>
        <v>894077625.6578269</v>
      </c>
      <c r="AM39" s="39"/>
      <c r="AN39" s="72">
        <f t="shared" si="8"/>
        <v>936000000</v>
      </c>
      <c r="AO39" s="72">
        <f t="shared" si="25"/>
        <v>447038812.82891345</v>
      </c>
      <c r="AP39" s="39"/>
      <c r="AQ39" s="72">
        <f t="shared" si="9"/>
        <v>279113800</v>
      </c>
      <c r="AR39" s="72">
        <f t="shared" si="26"/>
        <v>133306305.33778502</v>
      </c>
      <c r="AS39" s="39"/>
      <c r="AT39" s="40">
        <f>IF($K39&lt;=$F$15,IF($F$40&lt;&gt;"",$F$40/1000,IF(ISERROR(VLOOKUP($F$3&amp;IF($G$4&lt;&gt;"",$G$4,"")&amp;IF($F$43&lt;&gt;"","_"&amp;$F$43,""),'表3）燃料価格'!$AF$9:$AG$25,2,0)),0,VLOOKUP($I39,'表3）燃料価格'!$A$6:$U$66,VLOOKUP($F$3&amp;IF($G$4&lt;&gt;"",$G$4,"")&amp;IF($F$43&lt;&gt;"","_"&amp;$F$43,""),'表3）燃料価格'!$AF$9:$AG$25,2,0)+VLOOKUP($F$41,'表3）燃料価格'!$AF$28:$AG$29,2,0),0)*IF($F$43="需要地価格",1,$F$8/$F$141))),"")</f>
        <v>63.658479869001667</v>
      </c>
      <c r="AU39" s="39"/>
      <c r="AV39" s="72">
        <f t="shared" si="10"/>
        <v>13495120232.697792</v>
      </c>
      <c r="AW39" s="72">
        <f t="shared" si="27"/>
        <v>6445344580.9921694</v>
      </c>
      <c r="AX39" s="39"/>
      <c r="AY39" s="40">
        <f>IF(ISERROR(IF($K39&lt;=$F$15,VLOOKUP($I39,'表4）CO2価格'!$A$7:$E$67,VLOOKUP($F$48,'表4）CO2価格'!$H$10:$I$12,2,0),0)*$F$8/1000,"")),0,IF($K39&lt;=$F$15,VLOOKUP($I39,'表4）CO2価格'!$A$7:$E$67,VLOOKUP($F$48,'表4）CO2価格'!$H$10:$I$12,2,0),0)*$F$8/1000,""))</f>
        <v>7.4128708764708131</v>
      </c>
      <c r="AZ39" s="39"/>
      <c r="BA39" s="42">
        <f t="shared" si="11"/>
        <v>4302968727.6441259</v>
      </c>
      <c r="BB39" s="72">
        <f t="shared" si="28"/>
        <v>2055121828.681592</v>
      </c>
      <c r="BC39" s="39"/>
      <c r="BD39" s="72">
        <f t="shared" si="12"/>
        <v>0</v>
      </c>
      <c r="BE39" s="72">
        <f t="shared" si="29"/>
        <v>0</v>
      </c>
      <c r="BF39" s="39"/>
      <c r="BG39" s="42">
        <f t="shared" si="13"/>
        <v>0</v>
      </c>
      <c r="BH39" s="72">
        <f t="shared" si="30"/>
        <v>0</v>
      </c>
      <c r="BI39" s="39"/>
      <c r="BJ39" s="40" t="str">
        <f t="shared" si="31"/>
        <v/>
      </c>
      <c r="BK39" s="157" t="str">
        <f t="shared" si="32"/>
        <v/>
      </c>
      <c r="BL39" s="157" t="str">
        <f t="shared" si="14"/>
        <v/>
      </c>
      <c r="BM39" s="72"/>
      <c r="BN39" s="72" t="str">
        <f t="shared" si="33"/>
        <v/>
      </c>
      <c r="BO39" s="72" t="str">
        <f t="shared" si="34"/>
        <v/>
      </c>
      <c r="BP39" s="39"/>
      <c r="BQ39" s="72">
        <f t="shared" si="15"/>
        <v>1000742400</v>
      </c>
      <c r="BR39" s="72">
        <f t="shared" si="35"/>
        <v>477960143.63627952</v>
      </c>
    </row>
    <row r="40" spans="3:70" x14ac:dyDescent="0.15">
      <c r="D40" s="81" t="s">
        <v>124</v>
      </c>
      <c r="F40" s="108"/>
      <c r="G40" s="82" t="s">
        <v>178</v>
      </c>
      <c r="I40" s="459">
        <f t="shared" si="36"/>
        <v>2055</v>
      </c>
      <c r="J40" s="71"/>
      <c r="K40" s="71">
        <f t="shared" si="37"/>
        <v>26</v>
      </c>
      <c r="L40" s="71"/>
      <c r="M40" s="7">
        <f t="shared" si="0"/>
        <v>0.46369472743850448</v>
      </c>
      <c r="N40" s="71"/>
      <c r="O40" s="10">
        <f t="shared" si="16"/>
        <v>0</v>
      </c>
      <c r="P40" s="29" t="str">
        <f t="shared" si="1"/>
        <v>-</v>
      </c>
      <c r="Q40" s="71"/>
      <c r="R40" s="10">
        <f t="shared" si="17"/>
        <v>5200000000</v>
      </c>
      <c r="S40" s="71"/>
      <c r="T40" s="10">
        <f t="shared" si="18"/>
        <v>5200000000</v>
      </c>
      <c r="U40" s="71"/>
      <c r="V40" s="10">
        <f t="shared" si="2"/>
        <v>0</v>
      </c>
      <c r="W40" s="10">
        <f t="shared" si="19"/>
        <v>0</v>
      </c>
      <c r="X40" s="71"/>
      <c r="Y40" s="10">
        <f t="shared" si="3"/>
        <v>72800000</v>
      </c>
      <c r="Z40" s="10">
        <f t="shared" si="20"/>
        <v>33756976.157523125</v>
      </c>
      <c r="AA40" s="71"/>
      <c r="AB40" s="10">
        <f t="shared" si="4"/>
        <v>0</v>
      </c>
      <c r="AC40" s="10">
        <f t="shared" si="21"/>
        <v>0</v>
      </c>
      <c r="AD40" s="71"/>
      <c r="AE40" s="10">
        <f t="shared" si="5"/>
        <v>0</v>
      </c>
      <c r="AF40" s="10">
        <f t="shared" si="22"/>
        <v>0</v>
      </c>
      <c r="AG40" s="71"/>
      <c r="AH40" s="10">
        <f t="shared" si="6"/>
        <v>190000000</v>
      </c>
      <c r="AI40" s="10">
        <f t="shared" si="23"/>
        <v>88101998.213315845</v>
      </c>
      <c r="AJ40" s="71"/>
      <c r="AK40" s="10">
        <f t="shared" si="7"/>
        <v>1872000000</v>
      </c>
      <c r="AL40" s="10">
        <f t="shared" si="24"/>
        <v>868036529.76488042</v>
      </c>
      <c r="AM40" s="71"/>
      <c r="AN40" s="10">
        <f t="shared" si="8"/>
        <v>936000000</v>
      </c>
      <c r="AO40" s="10">
        <f t="shared" si="25"/>
        <v>434018264.88244021</v>
      </c>
      <c r="AP40" s="71"/>
      <c r="AQ40" s="10">
        <f t="shared" si="9"/>
        <v>279113800</v>
      </c>
      <c r="AR40" s="10">
        <f t="shared" si="26"/>
        <v>129423597.41532525</v>
      </c>
      <c r="AS40" s="71"/>
      <c r="AT40" s="7">
        <f>IF($K40&lt;=$F$15,IF($F$40&lt;&gt;"",$F$40/1000,IF(ISERROR(VLOOKUP($F$3&amp;IF($G$4&lt;&gt;"",$G$4,"")&amp;IF($F$43&lt;&gt;"","_"&amp;$F$43,""),'表3）燃料価格'!$AF$9:$AG$25,2,0)),0,VLOOKUP($I40,'表3）燃料価格'!$A$6:$U$66,VLOOKUP($F$3&amp;IF($G$4&lt;&gt;"",$G$4,"")&amp;IF($F$43&lt;&gt;"","_"&amp;$F$43,""),'表3）燃料価格'!$AF$9:$AG$25,2,0)+VLOOKUP($F$41,'表3）燃料価格'!$AF$28:$AG$29,2,0),0)*IF($F$43="需要地価格",1,$F$8/$F$141))),"")</f>
        <v>63.880983212700151</v>
      </c>
      <c r="AU40" s="71"/>
      <c r="AV40" s="10">
        <f t="shared" si="10"/>
        <v>13537258507.060486</v>
      </c>
      <c r="AW40" s="10">
        <f t="shared" si="27"/>
        <v>6277155393.6959877</v>
      </c>
      <c r="AX40" s="71"/>
      <c r="AY40" s="7">
        <f>IF(ISERROR(IF($K40&lt;=$F$15,VLOOKUP($I40,'表4）CO2価格'!$A$7:$E$67,VLOOKUP($F$48,'表4）CO2価格'!$H$10:$I$12,2,0),0)*$F$8/1000,"")),0,IF($K40&lt;=$F$15,VLOOKUP($I40,'表4）CO2価格'!$A$7:$E$67,VLOOKUP($F$48,'表4）CO2価格'!$H$10:$I$12,2,0),0)*$F$8/1000,""))</f>
        <v>7.5442062994635668</v>
      </c>
      <c r="AZ40" s="71"/>
      <c r="BA40" s="11">
        <f t="shared" si="11"/>
        <v>4379205347.3542461</v>
      </c>
      <c r="BB40" s="10">
        <f t="shared" si="28"/>
        <v>2030614429.9386685</v>
      </c>
      <c r="BC40" s="71"/>
      <c r="BD40" s="10">
        <f t="shared" si="12"/>
        <v>0</v>
      </c>
      <c r="BE40" s="10">
        <f t="shared" si="29"/>
        <v>0</v>
      </c>
      <c r="BF40" s="71"/>
      <c r="BG40" s="11">
        <f t="shared" si="13"/>
        <v>0</v>
      </c>
      <c r="BH40" s="10">
        <f t="shared" si="30"/>
        <v>0</v>
      </c>
      <c r="BJ40" s="7" t="str">
        <f t="shared" si="31"/>
        <v/>
      </c>
      <c r="BK40" s="158" t="str">
        <f t="shared" si="32"/>
        <v/>
      </c>
      <c r="BL40" s="158" t="str">
        <f t="shared" si="14"/>
        <v/>
      </c>
      <c r="BM40" s="10"/>
      <c r="BN40" s="10" t="str">
        <f t="shared" si="33"/>
        <v/>
      </c>
      <c r="BO40" s="10" t="str">
        <f t="shared" si="34"/>
        <v/>
      </c>
      <c r="BQ40" s="10">
        <f t="shared" si="15"/>
        <v>1000742400</v>
      </c>
      <c r="BR40" s="10">
        <f t="shared" si="35"/>
        <v>464038974.40415484</v>
      </c>
    </row>
    <row r="41" spans="3:70" x14ac:dyDescent="0.15">
      <c r="D41" s="81" t="s">
        <v>179</v>
      </c>
      <c r="F41" s="88" t="str">
        <f>まとめ!B4</f>
        <v>WEO2020　STEPS</v>
      </c>
      <c r="I41" s="458">
        <f t="shared" si="36"/>
        <v>2056</v>
      </c>
      <c r="J41" s="39"/>
      <c r="K41" s="39">
        <f t="shared" si="37"/>
        <v>27</v>
      </c>
      <c r="L41" s="39"/>
      <c r="M41" s="40">
        <f t="shared" si="0"/>
        <v>0.45018905576553836</v>
      </c>
      <c r="N41" s="39"/>
      <c r="O41" s="72">
        <f t="shared" si="16"/>
        <v>0</v>
      </c>
      <c r="P41" s="41" t="str">
        <f t="shared" si="1"/>
        <v>-</v>
      </c>
      <c r="Q41" s="39"/>
      <c r="R41" s="72">
        <f t="shared" si="17"/>
        <v>5200000000</v>
      </c>
      <c r="S41" s="39"/>
      <c r="T41" s="72">
        <f t="shared" si="18"/>
        <v>5200000000</v>
      </c>
      <c r="U41" s="39"/>
      <c r="V41" s="72">
        <f t="shared" si="2"/>
        <v>0</v>
      </c>
      <c r="W41" s="72">
        <f t="shared" si="19"/>
        <v>0</v>
      </c>
      <c r="X41" s="39"/>
      <c r="Y41" s="72">
        <f t="shared" si="3"/>
        <v>72800000</v>
      </c>
      <c r="Z41" s="72">
        <f t="shared" si="20"/>
        <v>32773763.259731192</v>
      </c>
      <c r="AA41" s="39"/>
      <c r="AB41" s="72">
        <f t="shared" si="4"/>
        <v>0</v>
      </c>
      <c r="AC41" s="72">
        <f t="shared" si="21"/>
        <v>0</v>
      </c>
      <c r="AD41" s="39"/>
      <c r="AE41" s="72">
        <f t="shared" si="5"/>
        <v>0</v>
      </c>
      <c r="AF41" s="72">
        <f t="shared" si="22"/>
        <v>0</v>
      </c>
      <c r="AG41" s="39"/>
      <c r="AH41" s="72">
        <f t="shared" si="6"/>
        <v>190000000</v>
      </c>
      <c r="AI41" s="72">
        <f t="shared" si="23"/>
        <v>85535920.595452294</v>
      </c>
      <c r="AJ41" s="39"/>
      <c r="AK41" s="72">
        <f t="shared" si="7"/>
        <v>1872000000</v>
      </c>
      <c r="AL41" s="72">
        <f t="shared" si="24"/>
        <v>842753912.39308786</v>
      </c>
      <c r="AM41" s="39"/>
      <c r="AN41" s="72">
        <f t="shared" si="8"/>
        <v>936000000</v>
      </c>
      <c r="AO41" s="72">
        <f t="shared" si="25"/>
        <v>421376956.19654393</v>
      </c>
      <c r="AP41" s="39"/>
      <c r="AQ41" s="72">
        <f t="shared" si="9"/>
        <v>279113800</v>
      </c>
      <c r="AR41" s="72">
        <f t="shared" si="26"/>
        <v>125653978.07313132</v>
      </c>
      <c r="AS41" s="39"/>
      <c r="AT41" s="40">
        <f>IF($K41&lt;=$F$15,IF($F$40&lt;&gt;"",$F$40/1000,IF(ISERROR(VLOOKUP($F$3&amp;IF($G$4&lt;&gt;"",$G$4,"")&amp;IF($F$43&lt;&gt;"","_"&amp;$F$43,""),'表3）燃料価格'!$AF$9:$AG$25,2,0)),0,VLOOKUP($I41,'表3）燃料価格'!$A$6:$U$66,VLOOKUP($F$3&amp;IF($G$4&lt;&gt;"",$G$4,"")&amp;IF($F$43&lt;&gt;"","_"&amp;$F$43,""),'表3）燃料価格'!$AF$9:$AG$25,2,0)+VLOOKUP($F$41,'表3）燃料価格'!$AF$28:$AG$29,2,0),0)*IF($F$43="需要地価格",1,$F$8/$F$141))),"")</f>
        <v>64.098124504722776</v>
      </c>
      <c r="AU41" s="39"/>
      <c r="AV41" s="72">
        <f t="shared" si="10"/>
        <v>13578381301.831234</v>
      </c>
      <c r="AW41" s="72">
        <f t="shared" si="27"/>
        <v>6112838657.0958443</v>
      </c>
      <c r="AX41" s="39"/>
      <c r="AY41" s="40">
        <f>IF(ISERROR(IF($K41&lt;=$F$15,VLOOKUP($I41,'表4）CO2価格'!$A$7:$E$67,VLOOKUP($F$48,'表4）CO2価格'!$H$10:$I$12,2,0),0)*$F$8/1000,"")),0,IF($K41&lt;=$F$15,VLOOKUP($I41,'表4）CO2価格'!$A$7:$E$67,VLOOKUP($F$48,'表4）CO2価格'!$H$10:$I$12,2,0),0)*$F$8/1000,""))</f>
        <v>7.675477827818213</v>
      </c>
      <c r="AZ41" s="39"/>
      <c r="BA41" s="42">
        <f t="shared" si="11"/>
        <v>4455404877.9751024</v>
      </c>
      <c r="BB41" s="72">
        <f t="shared" si="28"/>
        <v>2005774515.068785</v>
      </c>
      <c r="BC41" s="39"/>
      <c r="BD41" s="72">
        <f t="shared" si="12"/>
        <v>0</v>
      </c>
      <c r="BE41" s="72">
        <f t="shared" si="29"/>
        <v>0</v>
      </c>
      <c r="BF41" s="39"/>
      <c r="BG41" s="42">
        <f t="shared" si="13"/>
        <v>0</v>
      </c>
      <c r="BH41" s="72">
        <f t="shared" si="30"/>
        <v>0</v>
      </c>
      <c r="BI41" s="39"/>
      <c r="BJ41" s="40" t="str">
        <f t="shared" si="31"/>
        <v/>
      </c>
      <c r="BK41" s="157" t="str">
        <f t="shared" si="32"/>
        <v/>
      </c>
      <c r="BL41" s="157" t="str">
        <f t="shared" si="14"/>
        <v/>
      </c>
      <c r="BM41" s="72"/>
      <c r="BN41" s="72" t="str">
        <f t="shared" si="33"/>
        <v/>
      </c>
      <c r="BO41" s="72" t="str">
        <f t="shared" si="34"/>
        <v/>
      </c>
      <c r="BP41" s="39"/>
      <c r="BQ41" s="72">
        <f t="shared" si="15"/>
        <v>1000742400</v>
      </c>
      <c r="BR41" s="72">
        <f t="shared" si="35"/>
        <v>450523276.12053871</v>
      </c>
    </row>
    <row r="42" spans="3:70" x14ac:dyDescent="0.15">
      <c r="D42" s="81" t="s">
        <v>180</v>
      </c>
      <c r="F42" s="59">
        <v>7600</v>
      </c>
      <c r="G42" s="81" t="s">
        <v>181</v>
      </c>
      <c r="I42" s="459">
        <f t="shared" si="36"/>
        <v>2057</v>
      </c>
      <c r="J42" s="71"/>
      <c r="K42" s="71">
        <f t="shared" si="37"/>
        <v>28</v>
      </c>
      <c r="L42" s="71"/>
      <c r="M42" s="7">
        <f t="shared" si="0"/>
        <v>0.4370767531704256</v>
      </c>
      <c r="N42" s="71"/>
      <c r="O42" s="10">
        <f t="shared" si="16"/>
        <v>0</v>
      </c>
      <c r="P42" s="29" t="str">
        <f t="shared" si="1"/>
        <v>-</v>
      </c>
      <c r="Q42" s="71"/>
      <c r="R42" s="10">
        <f t="shared" si="17"/>
        <v>5200000000</v>
      </c>
      <c r="S42" s="71"/>
      <c r="T42" s="10">
        <f t="shared" si="18"/>
        <v>5200000000</v>
      </c>
      <c r="U42" s="71"/>
      <c r="V42" s="10">
        <f t="shared" si="2"/>
        <v>0</v>
      </c>
      <c r="W42" s="10">
        <f t="shared" si="19"/>
        <v>0</v>
      </c>
      <c r="X42" s="71"/>
      <c r="Y42" s="10">
        <f t="shared" si="3"/>
        <v>72800000</v>
      </c>
      <c r="Z42" s="10">
        <f t="shared" si="20"/>
        <v>31819187.630806983</v>
      </c>
      <c r="AA42" s="71"/>
      <c r="AB42" s="10">
        <f t="shared" si="4"/>
        <v>0</v>
      </c>
      <c r="AC42" s="10">
        <f t="shared" si="21"/>
        <v>0</v>
      </c>
      <c r="AD42" s="71"/>
      <c r="AE42" s="10">
        <f t="shared" si="5"/>
        <v>0</v>
      </c>
      <c r="AF42" s="10">
        <f t="shared" si="22"/>
        <v>0</v>
      </c>
      <c r="AG42" s="71"/>
      <c r="AH42" s="10">
        <f t="shared" si="6"/>
        <v>190000000</v>
      </c>
      <c r="AI42" s="10">
        <f t="shared" si="23"/>
        <v>83044583.102380872</v>
      </c>
      <c r="AJ42" s="71"/>
      <c r="AK42" s="10">
        <f t="shared" si="7"/>
        <v>1872000000</v>
      </c>
      <c r="AL42" s="10">
        <f t="shared" si="24"/>
        <v>818207681.93503678</v>
      </c>
      <c r="AM42" s="71"/>
      <c r="AN42" s="10">
        <f t="shared" si="8"/>
        <v>936000000</v>
      </c>
      <c r="AO42" s="10">
        <f t="shared" si="25"/>
        <v>409103840.96751839</v>
      </c>
      <c r="AP42" s="71"/>
      <c r="AQ42" s="10">
        <f t="shared" si="9"/>
        <v>279113800</v>
      </c>
      <c r="AR42" s="10">
        <f t="shared" si="26"/>
        <v>121994153.46905954</v>
      </c>
      <c r="AS42" s="71"/>
      <c r="AT42" s="7">
        <f>IF($K42&lt;=$F$15,IF($F$40&lt;&gt;"",$F$40/1000,IF(ISERROR(VLOOKUP($F$3&amp;IF($G$4&lt;&gt;"",$G$4,"")&amp;IF($F$43&lt;&gt;"","_"&amp;$F$43,""),'表3）燃料価格'!$AF$9:$AG$25,2,0)),0,VLOOKUP($I42,'表3）燃料価格'!$A$6:$U$66,VLOOKUP($F$3&amp;IF($G$4&lt;&gt;"",$G$4,"")&amp;IF($F$43&lt;&gt;"","_"&amp;$F$43,""),'表3）燃料価格'!$AF$9:$AG$25,2,0)+VLOOKUP($F$41,'表3）燃料価格'!$AF$28:$AG$29,2,0),0)*IF($F$43="需要地価格",1,$F$8/$F$141))),"")</f>
        <v>64.310156112698436</v>
      </c>
      <c r="AU42" s="71"/>
      <c r="AV42" s="10">
        <f t="shared" si="10"/>
        <v>13618536411.06208</v>
      </c>
      <c r="AW42" s="10">
        <f t="shared" si="27"/>
        <v>5952345677.4802351</v>
      </c>
      <c r="AX42" s="71"/>
      <c r="AY42" s="7">
        <f>IF(ISERROR(IF($K42&lt;=$F$15,VLOOKUP($I42,'表4）CO2価格'!$A$7:$E$67,VLOOKUP($F$48,'表4）CO2価格'!$H$10:$I$12,2,0),0)*$F$8/1000,"")),0,IF($K42&lt;=$F$15,VLOOKUP($I42,'表4）CO2価格'!$A$7:$E$67,VLOOKUP($F$48,'表4）CO2価格'!$H$10:$I$12,2,0),0)*$F$8/1000,""))</f>
        <v>7.8066855236744779</v>
      </c>
      <c r="AZ42" s="71"/>
      <c r="BA42" s="11">
        <f t="shared" si="11"/>
        <v>4531567355.5771055</v>
      </c>
      <c r="BB42" s="10">
        <f t="shared" si="28"/>
        <v>1980642746.5487328</v>
      </c>
      <c r="BC42" s="71"/>
      <c r="BD42" s="10">
        <f t="shared" si="12"/>
        <v>0</v>
      </c>
      <c r="BE42" s="10">
        <f t="shared" si="29"/>
        <v>0</v>
      </c>
      <c r="BF42" s="71"/>
      <c r="BG42" s="11">
        <f t="shared" si="13"/>
        <v>0</v>
      </c>
      <c r="BH42" s="10">
        <f t="shared" si="30"/>
        <v>0</v>
      </c>
      <c r="BJ42" s="7" t="str">
        <f t="shared" si="31"/>
        <v/>
      </c>
      <c r="BK42" s="158" t="str">
        <f t="shared" si="32"/>
        <v/>
      </c>
      <c r="BL42" s="158" t="str">
        <f t="shared" si="14"/>
        <v/>
      </c>
      <c r="BM42" s="10"/>
      <c r="BN42" s="10" t="str">
        <f t="shared" si="33"/>
        <v/>
      </c>
      <c r="BO42" s="10" t="str">
        <f t="shared" si="34"/>
        <v/>
      </c>
      <c r="BQ42" s="10">
        <f t="shared" si="15"/>
        <v>1000742400</v>
      </c>
      <c r="BR42" s="10">
        <f t="shared" si="35"/>
        <v>437401238.95197934</v>
      </c>
    </row>
    <row r="43" spans="3:70" x14ac:dyDescent="0.15">
      <c r="D43" s="82" t="s">
        <v>126</v>
      </c>
      <c r="F43" s="88"/>
      <c r="I43" s="458">
        <f t="shared" si="36"/>
        <v>2058</v>
      </c>
      <c r="J43" s="39"/>
      <c r="K43" s="39">
        <f t="shared" si="37"/>
        <v>29</v>
      </c>
      <c r="L43" s="39"/>
      <c r="M43" s="40">
        <f t="shared" si="0"/>
        <v>0.42434636230138412</v>
      </c>
      <c r="N43" s="39"/>
      <c r="O43" s="72">
        <f t="shared" si="16"/>
        <v>0</v>
      </c>
      <c r="P43" s="41" t="str">
        <f t="shared" si="1"/>
        <v>-</v>
      </c>
      <c r="Q43" s="39"/>
      <c r="R43" s="72">
        <f t="shared" si="17"/>
        <v>5200000000</v>
      </c>
      <c r="S43" s="39"/>
      <c r="T43" s="72">
        <f t="shared" si="18"/>
        <v>5200000000</v>
      </c>
      <c r="U43" s="39"/>
      <c r="V43" s="72">
        <f t="shared" si="2"/>
        <v>0</v>
      </c>
      <c r="W43" s="72">
        <f t="shared" si="19"/>
        <v>0</v>
      </c>
      <c r="X43" s="39"/>
      <c r="Y43" s="72">
        <f t="shared" si="3"/>
        <v>72800000</v>
      </c>
      <c r="Z43" s="72">
        <f t="shared" si="20"/>
        <v>30892415.175540764</v>
      </c>
      <c r="AA43" s="39"/>
      <c r="AB43" s="72">
        <f t="shared" si="4"/>
        <v>0</v>
      </c>
      <c r="AC43" s="72">
        <f t="shared" si="21"/>
        <v>0</v>
      </c>
      <c r="AD43" s="39"/>
      <c r="AE43" s="72">
        <f t="shared" si="5"/>
        <v>0</v>
      </c>
      <c r="AF43" s="72">
        <f t="shared" si="22"/>
        <v>0</v>
      </c>
      <c r="AG43" s="39"/>
      <c r="AH43" s="72">
        <f t="shared" si="6"/>
        <v>190000000</v>
      </c>
      <c r="AI43" s="72">
        <f t="shared" si="23"/>
        <v>80625808.837262988</v>
      </c>
      <c r="AJ43" s="39"/>
      <c r="AK43" s="72">
        <f t="shared" si="7"/>
        <v>1872000000</v>
      </c>
      <c r="AL43" s="72">
        <f t="shared" si="24"/>
        <v>794376390.22819102</v>
      </c>
      <c r="AM43" s="39"/>
      <c r="AN43" s="72">
        <f t="shared" si="8"/>
        <v>936000000</v>
      </c>
      <c r="AO43" s="72">
        <f t="shared" si="25"/>
        <v>397188195.11409551</v>
      </c>
      <c r="AP43" s="39"/>
      <c r="AQ43" s="72">
        <f t="shared" si="9"/>
        <v>279113800</v>
      </c>
      <c r="AR43" s="72">
        <f t="shared" si="26"/>
        <v>118440925.69811606</v>
      </c>
      <c r="AS43" s="39"/>
      <c r="AT43" s="40">
        <f>IF($K43&lt;=$F$15,IF($F$40&lt;&gt;"",$F$40/1000,IF(ISERROR(VLOOKUP($F$3&amp;IF($G$4&lt;&gt;"",$G$4,"")&amp;IF($F$43&lt;&gt;"","_"&amp;$F$43,""),'表3）燃料価格'!$AF$9:$AG$25,2,0)),0,VLOOKUP($I43,'表3）燃料価格'!$A$6:$U$66,VLOOKUP($F$3&amp;IF($G$4&lt;&gt;"",$G$4,"")&amp;IF($F$43&lt;&gt;"","_"&amp;$F$43,""),'表3）燃料価格'!$AF$9:$AG$25,2,0)+VLOOKUP($F$41,'表3）燃料価格'!$AF$28:$AG$29,2,0),0)*IF($F$43="需要地価格",1,$F$8/$F$141))),"")</f>
        <v>64.517312996413821</v>
      </c>
      <c r="AU43" s="39"/>
      <c r="AV43" s="72">
        <f t="shared" si="10"/>
        <v>13657768332.061651</v>
      </c>
      <c r="AW43" s="72">
        <f t="shared" si="27"/>
        <v>5795624308.8654041</v>
      </c>
      <c r="AX43" s="39"/>
      <c r="AY43" s="40">
        <f>IF(ISERROR(IF($K43&lt;=$F$15,VLOOKUP($I43,'表4）CO2価格'!$A$7:$E$67,VLOOKUP($F$48,'表4）CO2価格'!$H$10:$I$12,2,0),0)*$F$8/1000,"")),0,IF($K43&lt;=$F$15,VLOOKUP($I43,'表4）CO2価格'!$A$7:$E$67,VLOOKUP($F$48,'表4）CO2価格'!$H$10:$I$12,2,0),0)*$F$8/1000,""))</f>
        <v>7.9378294490802217</v>
      </c>
      <c r="AZ43" s="39"/>
      <c r="BA43" s="42">
        <f t="shared" si="11"/>
        <v>4607692816.1773405</v>
      </c>
      <c r="BB43" s="72">
        <f t="shared" si="28"/>
        <v>1955257685.1470747</v>
      </c>
      <c r="BC43" s="39"/>
      <c r="BD43" s="72">
        <f t="shared" si="12"/>
        <v>0</v>
      </c>
      <c r="BE43" s="72">
        <f t="shared" si="29"/>
        <v>0</v>
      </c>
      <c r="BF43" s="39"/>
      <c r="BG43" s="42">
        <f t="shared" si="13"/>
        <v>0</v>
      </c>
      <c r="BH43" s="72">
        <f t="shared" si="30"/>
        <v>0</v>
      </c>
      <c r="BI43" s="39"/>
      <c r="BJ43" s="40" t="str">
        <f t="shared" si="31"/>
        <v/>
      </c>
      <c r="BK43" s="157" t="str">
        <f t="shared" si="32"/>
        <v/>
      </c>
      <c r="BL43" s="157" t="str">
        <f t="shared" si="14"/>
        <v/>
      </c>
      <c r="BM43" s="72"/>
      <c r="BN43" s="72" t="str">
        <f t="shared" si="33"/>
        <v/>
      </c>
      <c r="BO43" s="72" t="str">
        <f t="shared" si="34"/>
        <v/>
      </c>
      <c r="BP43" s="39"/>
      <c r="BQ43" s="72">
        <f t="shared" si="15"/>
        <v>1000742400</v>
      </c>
      <c r="BR43" s="72">
        <f t="shared" si="35"/>
        <v>424661397.04075664</v>
      </c>
    </row>
    <row r="44" spans="3:70" x14ac:dyDescent="0.15">
      <c r="I44" s="459">
        <f t="shared" si="36"/>
        <v>2059</v>
      </c>
      <c r="J44" s="71"/>
      <c r="K44" s="71">
        <f t="shared" si="37"/>
        <v>30</v>
      </c>
      <c r="L44" s="71"/>
      <c r="M44" s="7">
        <f t="shared" si="0"/>
        <v>0.41198675951590691</v>
      </c>
      <c r="N44" s="71"/>
      <c r="O44" s="10">
        <f t="shared" si="16"/>
        <v>0</v>
      </c>
      <c r="P44" s="29" t="str">
        <f t="shared" si="1"/>
        <v>-</v>
      </c>
      <c r="Q44" s="71"/>
      <c r="R44" s="10">
        <f t="shared" si="17"/>
        <v>5200000000</v>
      </c>
      <c r="S44" s="71"/>
      <c r="T44" s="10">
        <f t="shared" si="18"/>
        <v>5200000000</v>
      </c>
      <c r="U44" s="71"/>
      <c r="V44" s="10">
        <f t="shared" si="2"/>
        <v>0</v>
      </c>
      <c r="W44" s="10">
        <f t="shared" si="19"/>
        <v>0</v>
      </c>
      <c r="X44" s="71"/>
      <c r="Y44" s="10">
        <f t="shared" si="3"/>
        <v>72800000</v>
      </c>
      <c r="Z44" s="10">
        <f t="shared" si="20"/>
        <v>29992636.092758022</v>
      </c>
      <c r="AA44" s="71"/>
      <c r="AB44" s="10">
        <f t="shared" si="4"/>
        <v>0</v>
      </c>
      <c r="AC44" s="10">
        <f t="shared" si="21"/>
        <v>0</v>
      </c>
      <c r="AD44" s="71"/>
      <c r="AE44" s="10">
        <f t="shared" si="5"/>
        <v>0</v>
      </c>
      <c r="AF44" s="10">
        <f t="shared" si="22"/>
        <v>0</v>
      </c>
      <c r="AG44" s="71"/>
      <c r="AH44" s="10">
        <f t="shared" si="6"/>
        <v>190000000</v>
      </c>
      <c r="AI44" s="10">
        <f t="shared" si="23"/>
        <v>78277484.308022305</v>
      </c>
      <c r="AJ44" s="71"/>
      <c r="AK44" s="10">
        <f t="shared" si="7"/>
        <v>1872000000</v>
      </c>
      <c r="AL44" s="10">
        <f t="shared" si="24"/>
        <v>771239213.81377769</v>
      </c>
      <c r="AM44" s="71"/>
      <c r="AN44" s="10">
        <f t="shared" si="8"/>
        <v>936000000</v>
      </c>
      <c r="AO44" s="10">
        <f t="shared" si="25"/>
        <v>385619606.90688884</v>
      </c>
      <c r="AP44" s="71"/>
      <c r="AQ44" s="10">
        <f t="shared" si="9"/>
        <v>279113800</v>
      </c>
      <c r="AR44" s="10">
        <f t="shared" si="26"/>
        <v>114991189.99817094</v>
      </c>
      <c r="AS44" s="71"/>
      <c r="AT44" s="7">
        <f>IF($K44&lt;=$F$15,IF($F$40&lt;&gt;"",$F$40/1000,IF(ISERROR(VLOOKUP($F$3&amp;IF($G$4&lt;&gt;"",$G$4,"")&amp;IF($F$43&lt;&gt;"","_"&amp;$F$43,""),'表3）燃料価格'!$AF$9:$AG$25,2,0)),0,VLOOKUP($I44,'表3）燃料価格'!$A$6:$U$66,VLOOKUP($F$3&amp;IF($G$4&lt;&gt;"",$G$4,"")&amp;IF($F$43&lt;&gt;"","_"&amp;$F$43,""),'表3）燃料価格'!$AF$9:$AG$25,2,0)+VLOOKUP($F$41,'表3）燃料価格'!$AF$28:$AG$29,2,0),0)*IF($F$43="需要地価格",1,$F$8/$F$141))),"")</f>
        <v>64.719814272908408</v>
      </c>
      <c r="AU44" s="71"/>
      <c r="AV44" s="10">
        <f t="shared" si="10"/>
        <v>13696118561.797018</v>
      </c>
      <c r="AW44" s="10">
        <f t="shared" si="27"/>
        <v>5642619504.220417</v>
      </c>
      <c r="AX44" s="71"/>
      <c r="AY44" s="7">
        <f>IF(ISERROR(IF($K44&lt;=$F$15,VLOOKUP($I44,'表4）CO2価格'!$A$7:$E$67,VLOOKUP($F$48,'表4）CO2価格'!$H$10:$I$12,2,0),0)*$F$8/1000,"")),0,IF($K44&lt;=$F$15,VLOOKUP($I44,'表4）CO2価格'!$A$7:$E$67,VLOOKUP($F$48,'表4）CO2価格'!$H$10:$I$12,2,0),0)*$F$8/1000,""))</f>
        <v>8.0689096659945534</v>
      </c>
      <c r="AZ44" s="71"/>
      <c r="BA44" s="11">
        <f t="shared" si="11"/>
        <v>4683781295.7413759</v>
      </c>
      <c r="BB44" s="10">
        <f t="shared" si="28"/>
        <v>1929655878.3137052</v>
      </c>
      <c r="BC44" s="71"/>
      <c r="BD44" s="10">
        <f t="shared" si="12"/>
        <v>0</v>
      </c>
      <c r="BE44" s="10">
        <f t="shared" si="29"/>
        <v>0</v>
      </c>
      <c r="BF44" s="71"/>
      <c r="BG44" s="11">
        <f t="shared" si="13"/>
        <v>0</v>
      </c>
      <c r="BH44" s="10">
        <f t="shared" si="30"/>
        <v>0</v>
      </c>
      <c r="BJ44" s="7" t="str">
        <f t="shared" si="31"/>
        <v/>
      </c>
      <c r="BK44" s="158" t="str">
        <f t="shared" si="32"/>
        <v/>
      </c>
      <c r="BL44" s="158" t="str">
        <f t="shared" si="14"/>
        <v/>
      </c>
      <c r="BM44" s="10"/>
      <c r="BN44" s="10" t="str">
        <f t="shared" si="33"/>
        <v/>
      </c>
      <c r="BO44" s="10" t="str">
        <f t="shared" si="34"/>
        <v/>
      </c>
      <c r="BQ44" s="10">
        <f t="shared" si="15"/>
        <v>1000742400</v>
      </c>
      <c r="BR44" s="10">
        <f t="shared" si="35"/>
        <v>412292618.48617154</v>
      </c>
    </row>
    <row r="45" spans="3:70" x14ac:dyDescent="0.15">
      <c r="C45" s="89" t="s">
        <v>509</v>
      </c>
      <c r="D45" s="101"/>
      <c r="E45" s="101"/>
      <c r="F45" s="89"/>
      <c r="G45" s="101"/>
      <c r="I45" s="458">
        <f t="shared" si="36"/>
        <v>2060</v>
      </c>
      <c r="J45" s="39"/>
      <c r="K45" s="39">
        <f t="shared" si="37"/>
        <v>31</v>
      </c>
      <c r="L45" s="39"/>
      <c r="M45" s="40">
        <f t="shared" si="0"/>
        <v>0.39998714516107459</v>
      </c>
      <c r="N45" s="39"/>
      <c r="O45" s="72">
        <f t="shared" si="16"/>
        <v>0</v>
      </c>
      <c r="P45" s="41" t="str">
        <f t="shared" si="1"/>
        <v>-</v>
      </c>
      <c r="Q45" s="39"/>
      <c r="R45" s="72">
        <f t="shared" si="17"/>
        <v>5200000000</v>
      </c>
      <c r="S45" s="39"/>
      <c r="T45" s="72">
        <f t="shared" si="18"/>
        <v>5200000000</v>
      </c>
      <c r="U45" s="39"/>
      <c r="V45" s="72">
        <f t="shared" si="2"/>
        <v>0</v>
      </c>
      <c r="W45" s="72">
        <f t="shared" si="19"/>
        <v>0</v>
      </c>
      <c r="X45" s="39"/>
      <c r="Y45" s="72">
        <f t="shared" si="3"/>
        <v>72800000</v>
      </c>
      <c r="Z45" s="72">
        <f t="shared" si="20"/>
        <v>29119064.16772623</v>
      </c>
      <c r="AA45" s="39"/>
      <c r="AB45" s="72">
        <f t="shared" si="4"/>
        <v>0</v>
      </c>
      <c r="AC45" s="72">
        <f t="shared" si="21"/>
        <v>0</v>
      </c>
      <c r="AD45" s="39"/>
      <c r="AE45" s="72">
        <f t="shared" si="5"/>
        <v>0</v>
      </c>
      <c r="AF45" s="72">
        <f t="shared" si="22"/>
        <v>0</v>
      </c>
      <c r="AG45" s="39"/>
      <c r="AH45" s="72">
        <f t="shared" si="6"/>
        <v>190000000</v>
      </c>
      <c r="AI45" s="72">
        <f t="shared" si="23"/>
        <v>75997557.580604166</v>
      </c>
      <c r="AJ45" s="39"/>
      <c r="AK45" s="72">
        <f t="shared" si="7"/>
        <v>1872000000</v>
      </c>
      <c r="AL45" s="72">
        <f t="shared" si="24"/>
        <v>748775935.74153161</v>
      </c>
      <c r="AM45" s="39"/>
      <c r="AN45" s="72">
        <f t="shared" si="8"/>
        <v>936000000</v>
      </c>
      <c r="AO45" s="72">
        <f t="shared" si="25"/>
        <v>374387967.87076581</v>
      </c>
      <c r="AP45" s="39"/>
      <c r="AQ45" s="72">
        <f t="shared" si="9"/>
        <v>279113800</v>
      </c>
      <c r="AR45" s="72">
        <f t="shared" si="26"/>
        <v>111641932.03705914</v>
      </c>
      <c r="AS45" s="39"/>
      <c r="AT45" s="40">
        <f>IF($K45&lt;=$F$15,IF($F$40&lt;&gt;"",$F$40/1000,IF(ISERROR(VLOOKUP($F$3&amp;IF($G$4&lt;&gt;"",$G$4,"")&amp;IF($F$43&lt;&gt;"","_"&amp;$F$43,""),'表3）燃料価格'!$AF$9:$AG$25,2,0)),0,VLOOKUP($I45,'表3）燃料価格'!$A$6:$U$66,VLOOKUP($F$3&amp;IF($G$4&lt;&gt;"",$G$4,"")&amp;IF($F$43&lt;&gt;"","_"&amp;$F$43,""),'表3）燃料価格'!$AF$9:$AG$25,2,0)+VLOOKUP($F$41,'表3）燃料価格'!$AF$28:$AG$29,2,0),0)*IF($F$43="需要地価格",1,$F$8/$F$141))),"")</f>
        <v>64.917864609537077</v>
      </c>
      <c r="AU45" s="39"/>
      <c r="AV45" s="72">
        <f t="shared" si="10"/>
        <v>13733625860.715595</v>
      </c>
      <c r="AW45" s="72">
        <f t="shared" si="27"/>
        <v>5493273800.737937</v>
      </c>
      <c r="AX45" s="39"/>
      <c r="AY45" s="40">
        <f>IF(ISERROR(IF($K45&lt;=$F$15,VLOOKUP($I45,'表4）CO2価格'!$A$7:$E$67,VLOOKUP($F$48,'表4）CO2価格'!$H$10:$I$12,2,0),0)*$F$8/1000,"")),0,IF($K45&lt;=$F$15,VLOOKUP($I45,'表4）CO2価格'!$A$7:$E$67,VLOOKUP($F$48,'表4）CO2価格'!$H$10:$I$12,2,0),0)*$F$8/1000,""))</f>
        <v>8.1999262362847141</v>
      </c>
      <c r="AZ45" s="39"/>
      <c r="BA45" s="42">
        <f t="shared" si="11"/>
        <v>4759832830.1814508</v>
      </c>
      <c r="BB45" s="72">
        <f t="shared" si="28"/>
        <v>1903871945.1882365</v>
      </c>
      <c r="BC45" s="39"/>
      <c r="BD45" s="72">
        <f t="shared" si="12"/>
        <v>0</v>
      </c>
      <c r="BE45" s="72">
        <f t="shared" si="29"/>
        <v>0</v>
      </c>
      <c r="BF45" s="39"/>
      <c r="BG45" s="42">
        <f t="shared" si="13"/>
        <v>0</v>
      </c>
      <c r="BH45" s="72">
        <f t="shared" si="30"/>
        <v>0</v>
      </c>
      <c r="BI45" s="39"/>
      <c r="BJ45" s="40" t="str">
        <f t="shared" si="31"/>
        <v/>
      </c>
      <c r="BK45" s="157" t="str">
        <f t="shared" si="32"/>
        <v/>
      </c>
      <c r="BL45" s="157" t="str">
        <f t="shared" si="14"/>
        <v/>
      </c>
      <c r="BM45" s="72"/>
      <c r="BN45" s="72" t="str">
        <f t="shared" si="33"/>
        <v/>
      </c>
      <c r="BO45" s="72" t="str">
        <f t="shared" si="34"/>
        <v/>
      </c>
      <c r="BP45" s="39"/>
      <c r="BQ45" s="72">
        <f t="shared" si="15"/>
        <v>1000742400</v>
      </c>
      <c r="BR45" s="72">
        <f t="shared" si="35"/>
        <v>400284095.61764216</v>
      </c>
    </row>
    <row r="46" spans="3:70" x14ac:dyDescent="0.15">
      <c r="I46" s="459">
        <f t="shared" si="36"/>
        <v>2061</v>
      </c>
      <c r="J46" s="71"/>
      <c r="K46" s="71">
        <f t="shared" si="37"/>
        <v>32</v>
      </c>
      <c r="L46" s="71"/>
      <c r="M46" s="7">
        <f t="shared" si="0"/>
        <v>0.38833703413696569</v>
      </c>
      <c r="N46" s="71"/>
      <c r="O46" s="10">
        <f t="shared" si="16"/>
        <v>0</v>
      </c>
      <c r="P46" s="29" t="str">
        <f t="shared" si="1"/>
        <v>-</v>
      </c>
      <c r="Q46" s="71"/>
      <c r="R46" s="10">
        <f t="shared" si="17"/>
        <v>5200000000</v>
      </c>
      <c r="S46" s="71"/>
      <c r="T46" s="10">
        <f t="shared" si="18"/>
        <v>5200000000</v>
      </c>
      <c r="U46" s="71"/>
      <c r="V46" s="10">
        <f t="shared" si="2"/>
        <v>0</v>
      </c>
      <c r="W46" s="10">
        <f t="shared" si="19"/>
        <v>0</v>
      </c>
      <c r="X46" s="71"/>
      <c r="Y46" s="10">
        <f t="shared" si="3"/>
        <v>72800000</v>
      </c>
      <c r="Z46" s="10">
        <f t="shared" si="20"/>
        <v>28270936.085171103</v>
      </c>
      <c r="AA46" s="71"/>
      <c r="AB46" s="10">
        <f t="shared" si="4"/>
        <v>0</v>
      </c>
      <c r="AC46" s="10">
        <f t="shared" si="21"/>
        <v>0</v>
      </c>
      <c r="AD46" s="71"/>
      <c r="AE46" s="10">
        <f t="shared" si="5"/>
        <v>0</v>
      </c>
      <c r="AF46" s="10">
        <f t="shared" si="22"/>
        <v>0</v>
      </c>
      <c r="AG46" s="71"/>
      <c r="AH46" s="10">
        <f t="shared" si="6"/>
        <v>190000000</v>
      </c>
      <c r="AI46" s="10">
        <f t="shared" si="23"/>
        <v>73784036.486023486</v>
      </c>
      <c r="AJ46" s="71"/>
      <c r="AK46" s="10">
        <f t="shared" si="7"/>
        <v>1872000000</v>
      </c>
      <c r="AL46" s="10">
        <f t="shared" si="24"/>
        <v>726966927.90439975</v>
      </c>
      <c r="AM46" s="71"/>
      <c r="AN46" s="10">
        <f t="shared" si="8"/>
        <v>936000000</v>
      </c>
      <c r="AO46" s="10">
        <f t="shared" si="25"/>
        <v>363483463.95219988</v>
      </c>
      <c r="AP46" s="71"/>
      <c r="AQ46" s="10">
        <f t="shared" si="9"/>
        <v>279113800</v>
      </c>
      <c r="AR46" s="10">
        <f t="shared" si="26"/>
        <v>108390225.27869821</v>
      </c>
      <c r="AS46" s="71"/>
      <c r="AT46" s="7">
        <f>IF($K46&lt;=$F$15,IF($F$40&lt;&gt;"",$F$40/1000,IF(ISERROR(VLOOKUP($F$3&amp;IF($G$4&lt;&gt;"",$G$4,"")&amp;IF($F$43&lt;&gt;"","_"&amp;$F$43,""),'表3）燃料価格'!$AF$9:$AG$25,2,0)),0,VLOOKUP($I46,'表3）燃料価格'!$A$6:$U$66,VLOOKUP($F$3&amp;IF($G$4&lt;&gt;"",$G$4,"")&amp;IF($F$43&lt;&gt;"","_"&amp;$F$43,""),'表3）燃料価格'!$AF$9:$AG$25,2,0)+VLOOKUP($F$41,'表3）燃料価格'!$AF$28:$AG$29,2,0),0)*IF($F$43="需要地価格",1,$F$8/$F$141))),"")</f>
        <v>65.111655467204216</v>
      </c>
      <c r="AU46" s="71"/>
      <c r="AV46" s="10">
        <f t="shared" si="10"/>
        <v>13770326488.192122</v>
      </c>
      <c r="AW46" s="10">
        <f t="shared" si="27"/>
        <v>5347527747.5222263</v>
      </c>
      <c r="AX46" s="71"/>
      <c r="AY46" s="7">
        <f>IF(ISERROR(IF($K46&lt;=$F$15,VLOOKUP($I46,'表4）CO2価格'!$A$7:$E$67,VLOOKUP($F$48,'表4）CO2価格'!$H$10:$I$12,2,0),0)*$F$8/1000,"")),0,IF($K46&lt;=$F$15,VLOOKUP($I46,'表4）CO2価格'!$A$7:$E$67,VLOOKUP($F$48,'表4）CO2価格'!$H$10:$I$12,2,0),0)*$F$8/1000,""))</f>
        <v>8.3308792217288072</v>
      </c>
      <c r="AZ46" s="71"/>
      <c r="BA46" s="11">
        <f t="shared" si="11"/>
        <v>4835847455.3580647</v>
      </c>
      <c r="BB46" s="10">
        <f t="shared" si="28"/>
        <v>1877938658.3525434</v>
      </c>
      <c r="BC46" s="71"/>
      <c r="BD46" s="10">
        <f t="shared" si="12"/>
        <v>0</v>
      </c>
      <c r="BE46" s="10">
        <f t="shared" si="29"/>
        <v>0</v>
      </c>
      <c r="BF46" s="71"/>
      <c r="BG46" s="11">
        <f t="shared" si="13"/>
        <v>0</v>
      </c>
      <c r="BH46" s="10">
        <f t="shared" si="30"/>
        <v>0</v>
      </c>
      <c r="BJ46" s="7" t="str">
        <f t="shared" si="31"/>
        <v/>
      </c>
      <c r="BK46" s="158" t="str">
        <f t="shared" si="32"/>
        <v/>
      </c>
      <c r="BL46" s="158" t="str">
        <f t="shared" si="14"/>
        <v/>
      </c>
      <c r="BM46" s="10"/>
      <c r="BN46" s="10" t="str">
        <f t="shared" si="33"/>
        <v/>
      </c>
      <c r="BO46" s="10" t="str">
        <f t="shared" si="34"/>
        <v/>
      </c>
      <c r="BQ46" s="10">
        <f t="shared" si="15"/>
        <v>1000742400</v>
      </c>
      <c r="BR46" s="10">
        <f t="shared" si="35"/>
        <v>388625335.55110896</v>
      </c>
    </row>
    <row r="47" spans="3:70" x14ac:dyDescent="0.15">
      <c r="D47" s="81" t="s">
        <v>182</v>
      </c>
      <c r="F47" s="66">
        <v>20.079999999999998</v>
      </c>
      <c r="G47" s="81" t="s">
        <v>226</v>
      </c>
      <c r="I47" s="458">
        <f t="shared" si="36"/>
        <v>2062</v>
      </c>
      <c r="J47" s="39"/>
      <c r="K47" s="39">
        <f t="shared" si="37"/>
        <v>33</v>
      </c>
      <c r="L47" s="39"/>
      <c r="M47" s="40">
        <f t="shared" ref="M47:M78" si="38">1/(1+($F$9/100))^K47</f>
        <v>0.37702624673491814</v>
      </c>
      <c r="N47" s="39"/>
      <c r="O47" s="72">
        <f t="shared" si="16"/>
        <v>0</v>
      </c>
      <c r="P47" s="41" t="str">
        <f t="shared" ref="P47:P78" si="39">IF(K47&lt;=$F$15,IF(OR(P46=$F$124,P46="-"),"-",IF(O47*$F$123&gt;$F$127,$F$123,$F$124)),"")</f>
        <v>-</v>
      </c>
      <c r="Q47" s="39"/>
      <c r="R47" s="72">
        <f t="shared" si="17"/>
        <v>5200000000</v>
      </c>
      <c r="S47" s="39"/>
      <c r="T47" s="72">
        <f t="shared" si="18"/>
        <v>5200000000</v>
      </c>
      <c r="U47" s="39"/>
      <c r="V47" s="72">
        <f t="shared" ref="V47:V78" si="40">IF(K47&lt;=$F$15,IF(K47&lt;$F$119,IF(P47="-",V46,O47*P47),IF(K47=$F$119,MIN(IF(P47="-",V46,O47*P47),O47),0)),"")</f>
        <v>0</v>
      </c>
      <c r="W47" s="72">
        <f t="shared" si="19"/>
        <v>0</v>
      </c>
      <c r="X47" s="39"/>
      <c r="Y47" s="72">
        <f t="shared" ref="Y47:Y78" si="41">IF($K47&lt;=$F$15,ROUNDDOWN(T47*$F$25/100,-2),"")</f>
        <v>72800000</v>
      </c>
      <c r="Z47" s="72">
        <f t="shared" si="20"/>
        <v>27447510.762302041</v>
      </c>
      <c r="AA47" s="39"/>
      <c r="AB47" s="72">
        <f t="shared" si="4"/>
        <v>0</v>
      </c>
      <c r="AC47" s="72">
        <f t="shared" si="21"/>
        <v>0</v>
      </c>
      <c r="AD47" s="39"/>
      <c r="AE47" s="72">
        <f t="shared" ref="AE47:AE78" si="42">IF($K47&lt;=$F$15,$F$26,"")</f>
        <v>0</v>
      </c>
      <c r="AF47" s="72">
        <f t="shared" si="22"/>
        <v>0</v>
      </c>
      <c r="AG47" s="39"/>
      <c r="AH47" s="72">
        <f t="shared" ref="AH47:AH78" si="43">IF($K47&lt;=$F$15,$F$33*10^8,"")</f>
        <v>190000000</v>
      </c>
      <c r="AI47" s="72">
        <f t="shared" si="23"/>
        <v>71634986.87963444</v>
      </c>
      <c r="AJ47" s="39"/>
      <c r="AK47" s="72">
        <f t="shared" ref="AK47:AK78" si="44">IF($K47&lt;=$F$15,$F$117*$F$34/100,"")</f>
        <v>1872000000</v>
      </c>
      <c r="AL47" s="72">
        <f t="shared" si="24"/>
        <v>705793133.88776672</v>
      </c>
      <c r="AM47" s="39"/>
      <c r="AN47" s="72">
        <f t="shared" ref="AN47:AN78" si="45">IF($K47&lt;=$F$15,$F$117*$F$35/100,"")</f>
        <v>936000000</v>
      </c>
      <c r="AO47" s="72">
        <f t="shared" si="25"/>
        <v>352896566.94388336</v>
      </c>
      <c r="AP47" s="39"/>
      <c r="AQ47" s="72">
        <f t="shared" ref="AQ47:AQ78" si="46">IF($K47&lt;=$F$15,SUM(AH47,AK47,AN47)*($F$36/100),"")</f>
        <v>279113800</v>
      </c>
      <c r="AR47" s="72">
        <f t="shared" si="26"/>
        <v>105233228.42592059</v>
      </c>
      <c r="AS47" s="39"/>
      <c r="AT47" s="40">
        <f>IF($K47&lt;=$F$15,IF($F$40&lt;&gt;"",$F$40/1000,IF(ISERROR(VLOOKUP($F$3&amp;IF($G$4&lt;&gt;"",$G$4,"")&amp;IF($F$43&lt;&gt;"","_"&amp;$F$43,""),'表3）燃料価格'!$AF$9:$AG$25,2,0)),0,VLOOKUP($I47,'表3）燃料価格'!$A$6:$U$66,VLOOKUP($F$3&amp;IF($G$4&lt;&gt;"",$G$4,"")&amp;IF($F$43&lt;&gt;"","_"&amp;$F$43,""),'表3）燃料価格'!$AF$9:$AG$25,2,0)+VLOOKUP($F$41,'表3）燃料価格'!$AF$28:$AG$29,2,0),0)*IF($F$43="需要地価格",1,$F$8/$F$141))),"")</f>
        <v>65.301366212700472</v>
      </c>
      <c r="AU47" s="39"/>
      <c r="AV47" s="72">
        <f t="shared" ref="AV47:AV78" si="47">IF($K47&lt;=$F$15,($AT47+$F$142)*$F$137,"")</f>
        <v>13806254413.185934</v>
      </c>
      <c r="AW47" s="72">
        <f t="shared" si="27"/>
        <v>5205320282.8708925</v>
      </c>
      <c r="AX47" s="39"/>
      <c r="AY47" s="40">
        <f>IF(ISERROR(IF($K47&lt;=$F$15,VLOOKUP($I47,'表4）CO2価格'!$A$7:$E$67,VLOOKUP($F$48,'表4）CO2価格'!$H$10:$I$12,2,0),0)*$F$8/1000,"")),0,IF($K47&lt;=$F$15,VLOOKUP($I47,'表4）CO2価格'!$A$7:$E$67,VLOOKUP($F$48,'表4）CO2価格'!$H$10:$I$12,2,0),0)*$F$8/1000,""))</f>
        <v>8.4617686840146202</v>
      </c>
      <c r="AZ47" s="39"/>
      <c r="BA47" s="42">
        <f t="shared" ref="BA47:BA78" si="48">IF($K47&lt;=$F$15,$F$145*AY47,"")</f>
        <v>4911825207.0792913</v>
      </c>
      <c r="BB47" s="72">
        <f t="shared" si="28"/>
        <v>1851887022.4430673</v>
      </c>
      <c r="BC47" s="39"/>
      <c r="BD47" s="72">
        <f t="shared" ref="BD47:BD78" si="49">IF($K47&lt;=$F$15,($AT47+$F$152)*$F$151,"")</f>
        <v>0</v>
      </c>
      <c r="BE47" s="72">
        <f t="shared" si="29"/>
        <v>0</v>
      </c>
      <c r="BF47" s="39"/>
      <c r="BG47" s="42">
        <f t="shared" ref="BG47:BG78" si="50">IF($K47&lt;=$F$15,$F$153*AY47,"")</f>
        <v>0</v>
      </c>
      <c r="BH47" s="72">
        <f t="shared" si="30"/>
        <v>0</v>
      </c>
      <c r="BI47" s="39"/>
      <c r="BJ47" s="40" t="str">
        <f t="shared" si="31"/>
        <v/>
      </c>
      <c r="BK47" s="157" t="str">
        <f t="shared" si="32"/>
        <v/>
      </c>
      <c r="BL47" s="157" t="str">
        <f t="shared" si="14"/>
        <v/>
      </c>
      <c r="BM47" s="72"/>
      <c r="BN47" s="72" t="str">
        <f t="shared" si="33"/>
        <v/>
      </c>
      <c r="BO47" s="72" t="str">
        <f t="shared" si="34"/>
        <v/>
      </c>
      <c r="BP47" s="39"/>
      <c r="BQ47" s="72">
        <f t="shared" ref="BQ47:BQ78" si="51">IF($K47&lt;=$F$15,$F$134,"")</f>
        <v>1000742400</v>
      </c>
      <c r="BR47" s="72">
        <f t="shared" si="35"/>
        <v>377306151.02049416</v>
      </c>
    </row>
    <row r="48" spans="3:70" x14ac:dyDescent="0.15">
      <c r="D48" s="81" t="s">
        <v>184</v>
      </c>
      <c r="F48" s="88" t="str">
        <f>まとめ!B5</f>
        <v>WEO2020　STEPS</v>
      </c>
      <c r="I48" s="459">
        <f t="shared" si="36"/>
        <v>2063</v>
      </c>
      <c r="J48" s="71"/>
      <c r="K48" s="71">
        <f t="shared" si="37"/>
        <v>34</v>
      </c>
      <c r="L48" s="71"/>
      <c r="M48" s="7">
        <f t="shared" si="38"/>
        <v>0.36604489974263904</v>
      </c>
      <c r="N48" s="71"/>
      <c r="O48" s="10">
        <f t="shared" ref="O48:O79" si="52">IF(K48&lt;=$F$15,O47-V47,"")</f>
        <v>0</v>
      </c>
      <c r="P48" s="29" t="str">
        <f t="shared" si="39"/>
        <v>-</v>
      </c>
      <c r="Q48" s="71"/>
      <c r="R48" s="10">
        <f t="shared" ref="R48:R79" si="53">IF($K48&lt;=$F$15,MAX($F$117*5%,R47*$F$129),"")</f>
        <v>5200000000</v>
      </c>
      <c r="S48" s="71"/>
      <c r="T48" s="10">
        <f t="shared" si="18"/>
        <v>5200000000</v>
      </c>
      <c r="U48" s="71"/>
      <c r="V48" s="10">
        <f t="shared" si="40"/>
        <v>0</v>
      </c>
      <c r="W48" s="10">
        <f t="shared" si="19"/>
        <v>0</v>
      </c>
      <c r="X48" s="71"/>
      <c r="Y48" s="10">
        <f t="shared" si="41"/>
        <v>72800000</v>
      </c>
      <c r="Z48" s="10">
        <f t="shared" si="20"/>
        <v>26648068.701264121</v>
      </c>
      <c r="AA48" s="71"/>
      <c r="AB48" s="10">
        <f t="shared" si="4"/>
        <v>0</v>
      </c>
      <c r="AC48" s="10">
        <f t="shared" si="21"/>
        <v>0</v>
      </c>
      <c r="AD48" s="71"/>
      <c r="AE48" s="10">
        <f t="shared" si="42"/>
        <v>0</v>
      </c>
      <c r="AF48" s="10">
        <f t="shared" si="22"/>
        <v>0</v>
      </c>
      <c r="AG48" s="71"/>
      <c r="AH48" s="10">
        <f t="shared" si="43"/>
        <v>190000000</v>
      </c>
      <c r="AI48" s="10">
        <f t="shared" si="23"/>
        <v>69548530.951101422</v>
      </c>
      <c r="AJ48" s="71"/>
      <c r="AK48" s="10">
        <f t="shared" si="44"/>
        <v>1872000000</v>
      </c>
      <c r="AL48" s="10">
        <f t="shared" si="24"/>
        <v>685236052.31822026</v>
      </c>
      <c r="AM48" s="71"/>
      <c r="AN48" s="10">
        <f t="shared" si="45"/>
        <v>936000000</v>
      </c>
      <c r="AO48" s="10">
        <f t="shared" si="25"/>
        <v>342618026.15911013</v>
      </c>
      <c r="AP48" s="71"/>
      <c r="AQ48" s="10">
        <f t="shared" si="46"/>
        <v>279113800</v>
      </c>
      <c r="AR48" s="10">
        <f t="shared" si="26"/>
        <v>102168182.93778701</v>
      </c>
      <c r="AS48" s="71"/>
      <c r="AT48" s="7">
        <f>IF($K48&lt;=$F$15,IF($F$40&lt;&gt;"",$F$40/1000,IF(ISERROR(VLOOKUP($F$3&amp;IF($G$4&lt;&gt;"",$G$4,"")&amp;IF($F$43&lt;&gt;"","_"&amp;$F$43,""),'表3）燃料価格'!$AF$9:$AG$25,2,0)),0,VLOOKUP($I48,'表3）燃料価格'!$A$6:$U$66,VLOOKUP($F$3&amp;IF($G$4&lt;&gt;"",$G$4,"")&amp;IF($F$43&lt;&gt;"","_"&amp;$F$43,""),'表3）燃料価格'!$AF$9:$AG$25,2,0)+VLOOKUP($F$41,'表3）燃料価格'!$AF$28:$AG$29,2,0),0)*IF($F$43="需要地価格",1,$F$8/$F$141))),"")</f>
        <v>65.487165116340051</v>
      </c>
      <c r="AU48" s="71"/>
      <c r="AV48" s="10">
        <f t="shared" si="47"/>
        <v>13841441503.176193</v>
      </c>
      <c r="AW48" s="10">
        <f t="shared" si="27"/>
        <v>5066589067.3237324</v>
      </c>
      <c r="AX48" s="71"/>
      <c r="AY48" s="7">
        <f>IF(ISERROR(IF($K48&lt;=$F$15,VLOOKUP($I48,'表4）CO2価格'!$A$7:$E$67,VLOOKUP($F$48,'表4）CO2価格'!$H$10:$I$12,2,0),0)*$F$8/1000,"")),0,IF($K48&lt;=$F$15,VLOOKUP($I48,'表4）CO2価格'!$A$7:$E$67,VLOOKUP($F$48,'表4）CO2価格'!$H$10:$I$12,2,0),0)*$F$8/1000,""))</f>
        <v>8.5925946847404155</v>
      </c>
      <c r="AZ48" s="71"/>
      <c r="BA48" s="11">
        <f t="shared" si="48"/>
        <v>4987766121.1012354</v>
      </c>
      <c r="BB48" s="10">
        <f t="shared" si="28"/>
        <v>1825746349.7382333</v>
      </c>
      <c r="BC48" s="71"/>
      <c r="BD48" s="10">
        <f t="shared" si="49"/>
        <v>0</v>
      </c>
      <c r="BE48" s="10">
        <f t="shared" si="29"/>
        <v>0</v>
      </c>
      <c r="BF48" s="71"/>
      <c r="BG48" s="11">
        <f t="shared" si="50"/>
        <v>0</v>
      </c>
      <c r="BH48" s="10">
        <f t="shared" si="30"/>
        <v>0</v>
      </c>
      <c r="BJ48" s="7" t="str">
        <f t="shared" si="31"/>
        <v/>
      </c>
      <c r="BK48" s="158" t="str">
        <f t="shared" si="32"/>
        <v/>
      </c>
      <c r="BL48" s="158" t="str">
        <f t="shared" si="14"/>
        <v/>
      </c>
      <c r="BM48" s="10"/>
      <c r="BN48" s="10" t="str">
        <f t="shared" si="33"/>
        <v/>
      </c>
      <c r="BO48" s="10" t="str">
        <f t="shared" si="34"/>
        <v/>
      </c>
      <c r="BQ48" s="10">
        <f t="shared" si="51"/>
        <v>1000742400</v>
      </c>
      <c r="BR48" s="10">
        <f t="shared" si="35"/>
        <v>366316651.47620797</v>
      </c>
    </row>
    <row r="49" spans="3:70" x14ac:dyDescent="0.15">
      <c r="I49" s="458">
        <f t="shared" si="36"/>
        <v>2064</v>
      </c>
      <c r="J49" s="39"/>
      <c r="K49" s="39">
        <f t="shared" si="37"/>
        <v>35</v>
      </c>
      <c r="L49" s="39"/>
      <c r="M49" s="40">
        <f t="shared" si="38"/>
        <v>0.35538339780838735</v>
      </c>
      <c r="N49" s="39"/>
      <c r="O49" s="72">
        <f t="shared" si="52"/>
        <v>0</v>
      </c>
      <c r="P49" s="41" t="str">
        <f t="shared" si="39"/>
        <v>-</v>
      </c>
      <c r="Q49" s="39"/>
      <c r="R49" s="72">
        <f t="shared" si="53"/>
        <v>5200000000</v>
      </c>
      <c r="S49" s="39"/>
      <c r="T49" s="72">
        <f t="shared" si="18"/>
        <v>5200000000</v>
      </c>
      <c r="U49" s="39"/>
      <c r="V49" s="72">
        <f t="shared" si="40"/>
        <v>0</v>
      </c>
      <c r="W49" s="72">
        <f t="shared" si="19"/>
        <v>0</v>
      </c>
      <c r="X49" s="39"/>
      <c r="Y49" s="72">
        <f t="shared" si="41"/>
        <v>72800000</v>
      </c>
      <c r="Z49" s="72">
        <f t="shared" si="20"/>
        <v>25871911.360450599</v>
      </c>
      <c r="AA49" s="39"/>
      <c r="AB49" s="72">
        <f t="shared" si="4"/>
        <v>0</v>
      </c>
      <c r="AC49" s="72">
        <f t="shared" si="21"/>
        <v>0</v>
      </c>
      <c r="AD49" s="39"/>
      <c r="AE49" s="72">
        <f t="shared" si="42"/>
        <v>0</v>
      </c>
      <c r="AF49" s="72">
        <f t="shared" si="22"/>
        <v>0</v>
      </c>
      <c r="AG49" s="39"/>
      <c r="AH49" s="72">
        <f t="shared" si="43"/>
        <v>190000000</v>
      </c>
      <c r="AI49" s="72">
        <f t="shared" si="23"/>
        <v>67522845.583593592</v>
      </c>
      <c r="AJ49" s="39"/>
      <c r="AK49" s="72">
        <f t="shared" si="44"/>
        <v>1872000000</v>
      </c>
      <c r="AL49" s="72">
        <f t="shared" si="24"/>
        <v>665277720.69730115</v>
      </c>
      <c r="AM49" s="39"/>
      <c r="AN49" s="72">
        <f t="shared" si="45"/>
        <v>936000000</v>
      </c>
      <c r="AO49" s="72">
        <f t="shared" si="25"/>
        <v>332638860.34865057</v>
      </c>
      <c r="AP49" s="39"/>
      <c r="AQ49" s="72">
        <f t="shared" si="46"/>
        <v>279113800</v>
      </c>
      <c r="AR49" s="72">
        <f t="shared" si="26"/>
        <v>99192410.61921066</v>
      </c>
      <c r="AS49" s="39"/>
      <c r="AT49" s="40">
        <f>IF($K49&lt;=$F$15,IF($F$40&lt;&gt;"",$F$40/1000,IF(ISERROR(VLOOKUP($F$3&amp;IF($G$4&lt;&gt;"",$G$4,"")&amp;IF($F$43&lt;&gt;"","_"&amp;$F$43,""),'表3）燃料価格'!$AF$9:$AG$25,2,0)),0,VLOOKUP($I49,'表3）燃料価格'!$A$6:$U$66,VLOOKUP($F$3&amp;IF($G$4&lt;&gt;"",$G$4,"")&amp;IF($F$43&lt;&gt;"","_"&amp;$F$43,""),'表3）燃料価格'!$AF$9:$AG$25,2,0)+VLOOKUP($F$41,'表3）燃料価格'!$AF$28:$AG$29,2,0),0)*IF($F$43="需要地価格",1,$F$8/$F$141))),"")</f>
        <v>65.669210248804603</v>
      </c>
      <c r="AU49" s="39"/>
      <c r="AV49" s="72">
        <f t="shared" si="47"/>
        <v>13875917694.008537</v>
      </c>
      <c r="AW49" s="72">
        <f t="shared" si="27"/>
        <v>4931270777.8062773</v>
      </c>
      <c r="AX49" s="39"/>
      <c r="AY49" s="40">
        <f>IF(ISERROR(IF($K49&lt;=$F$15,VLOOKUP($I49,'表4）CO2価格'!$A$7:$E$67,VLOOKUP($F$48,'表4）CO2価格'!$H$10:$I$12,2,0),0)*$F$8/1000,"")),0,IF($K49&lt;=$F$15,VLOOKUP($I49,'表4）CO2価格'!$A$7:$E$67,VLOOKUP($F$48,'表4）CO2価格'!$H$10:$I$12,2,0),0)*$F$8/1000,""))</f>
        <v>8.7233572854149237</v>
      </c>
      <c r="AZ49" s="39"/>
      <c r="BA49" s="42">
        <f t="shared" si="48"/>
        <v>5063670233.1280336</v>
      </c>
      <c r="BB49" s="72">
        <f t="shared" si="28"/>
        <v>1799544332.8302295</v>
      </c>
      <c r="BC49" s="39"/>
      <c r="BD49" s="72">
        <f t="shared" si="49"/>
        <v>0</v>
      </c>
      <c r="BE49" s="72">
        <f t="shared" si="29"/>
        <v>0</v>
      </c>
      <c r="BF49" s="39"/>
      <c r="BG49" s="42">
        <f t="shared" si="50"/>
        <v>0</v>
      </c>
      <c r="BH49" s="72">
        <f t="shared" si="30"/>
        <v>0</v>
      </c>
      <c r="BI49" s="39"/>
      <c r="BJ49" s="40" t="str">
        <f t="shared" si="31"/>
        <v/>
      </c>
      <c r="BK49" s="157" t="str">
        <f t="shared" si="32"/>
        <v/>
      </c>
      <c r="BL49" s="157" t="str">
        <f t="shared" si="14"/>
        <v/>
      </c>
      <c r="BM49" s="72"/>
      <c r="BN49" s="72" t="str">
        <f t="shared" si="33"/>
        <v/>
      </c>
      <c r="BO49" s="72" t="str">
        <f t="shared" si="34"/>
        <v/>
      </c>
      <c r="BP49" s="39"/>
      <c r="BQ49" s="72">
        <f t="shared" si="51"/>
        <v>1000742400</v>
      </c>
      <c r="BR49" s="72">
        <f t="shared" si="35"/>
        <v>355647234.44292027</v>
      </c>
    </row>
    <row r="50" spans="3:70" x14ac:dyDescent="0.15">
      <c r="C50" s="89" t="s">
        <v>510</v>
      </c>
      <c r="D50" s="101"/>
      <c r="E50" s="101"/>
      <c r="F50" s="89"/>
      <c r="G50" s="101"/>
      <c r="I50" s="459">
        <f t="shared" si="36"/>
        <v>2065</v>
      </c>
      <c r="J50" s="71"/>
      <c r="K50" s="71">
        <f t="shared" si="37"/>
        <v>36</v>
      </c>
      <c r="L50" s="71"/>
      <c r="M50" s="7">
        <f t="shared" si="38"/>
        <v>0.34503242505668674</v>
      </c>
      <c r="N50" s="71"/>
      <c r="O50" s="10">
        <f t="shared" si="52"/>
        <v>0</v>
      </c>
      <c r="P50" s="29" t="str">
        <f t="shared" si="39"/>
        <v>-</v>
      </c>
      <c r="Q50" s="71"/>
      <c r="R50" s="10">
        <f t="shared" si="53"/>
        <v>5200000000</v>
      </c>
      <c r="S50" s="71"/>
      <c r="T50" s="10">
        <f t="shared" si="18"/>
        <v>5200000000</v>
      </c>
      <c r="U50" s="71"/>
      <c r="V50" s="10">
        <f t="shared" si="40"/>
        <v>0</v>
      </c>
      <c r="W50" s="10">
        <f t="shared" si="19"/>
        <v>0</v>
      </c>
      <c r="X50" s="71"/>
      <c r="Y50" s="10">
        <f t="shared" si="41"/>
        <v>72800000</v>
      </c>
      <c r="Z50" s="10">
        <f t="shared" si="20"/>
        <v>25118360.544126794</v>
      </c>
      <c r="AA50" s="71"/>
      <c r="AB50" s="10">
        <f t="shared" si="4"/>
        <v>0</v>
      </c>
      <c r="AC50" s="10">
        <f t="shared" si="21"/>
        <v>0</v>
      </c>
      <c r="AD50" s="71"/>
      <c r="AE50" s="10">
        <f t="shared" si="42"/>
        <v>0</v>
      </c>
      <c r="AF50" s="10">
        <f t="shared" si="22"/>
        <v>0</v>
      </c>
      <c r="AG50" s="71"/>
      <c r="AH50" s="10">
        <f t="shared" si="43"/>
        <v>190000000</v>
      </c>
      <c r="AI50" s="10">
        <f t="shared" si="23"/>
        <v>65556160.760770477</v>
      </c>
      <c r="AJ50" s="71"/>
      <c r="AK50" s="10">
        <f t="shared" si="44"/>
        <v>1872000000</v>
      </c>
      <c r="AL50" s="10">
        <f t="shared" si="24"/>
        <v>645900699.70611763</v>
      </c>
      <c r="AM50" s="71"/>
      <c r="AN50" s="10">
        <f t="shared" si="45"/>
        <v>936000000</v>
      </c>
      <c r="AO50" s="10">
        <f t="shared" si="25"/>
        <v>322950349.85305882</v>
      </c>
      <c r="AP50" s="71"/>
      <c r="AQ50" s="10">
        <f t="shared" si="46"/>
        <v>279113800</v>
      </c>
      <c r="AR50" s="10">
        <f t="shared" si="26"/>
        <v>96303311.280787051</v>
      </c>
      <c r="AS50" s="71"/>
      <c r="AT50" s="7">
        <f>IF($K50&lt;=$F$15,IF($F$40&lt;&gt;"",$F$40/1000,IF(ISERROR(VLOOKUP($F$3&amp;IF($G$4&lt;&gt;"",$G$4,"")&amp;IF($F$43&lt;&gt;"","_"&amp;$F$43,""),'表3）燃料価格'!$AF$9:$AG$25,2,0)),0,VLOOKUP($I50,'表3）燃料価格'!$A$6:$U$66,VLOOKUP($F$3&amp;IF($G$4&lt;&gt;"",$G$4,"")&amp;IF($F$43&lt;&gt;"","_"&amp;$F$43,""),'表3）燃料価格'!$AF$9:$AG$25,2,0)+VLOOKUP($F$41,'表3）燃料価格'!$AF$28:$AG$29,2,0),0)*IF($F$43="需要地価格",1,$F$8/$F$141))),"")</f>
        <v>65.847650289172478</v>
      </c>
      <c r="AU50" s="71"/>
      <c r="AV50" s="10">
        <f t="shared" si="47"/>
        <v>13909711142.921829</v>
      </c>
      <c r="AW50" s="10">
        <f t="shared" si="27"/>
        <v>4799301367.4803362</v>
      </c>
      <c r="AX50" s="71"/>
      <c r="AY50" s="7">
        <f>IF(ISERROR(IF($K50&lt;=$F$15,VLOOKUP($I50,'表4）CO2価格'!$A$7:$E$67,VLOOKUP($F$48,'表4）CO2価格'!$H$10:$I$12,2,0),0)*$F$8/1000,"")),0,IF($K50&lt;=$F$15,VLOOKUP($I50,'表4）CO2価格'!$A$7:$E$67,VLOOKUP($F$48,'表4）CO2価格'!$H$10:$I$12,2,0),0)*$F$8/1000,""))</f>
        <v>8.8540565474573452</v>
      </c>
      <c r="AZ50" s="71"/>
      <c r="BA50" s="11">
        <f t="shared" si="48"/>
        <v>5139537578.8118496</v>
      </c>
      <c r="BB50" s="10">
        <f t="shared" si="28"/>
        <v>1773307114.4874246</v>
      </c>
      <c r="BC50" s="71"/>
      <c r="BD50" s="10">
        <f t="shared" si="49"/>
        <v>0</v>
      </c>
      <c r="BE50" s="10">
        <f t="shared" si="29"/>
        <v>0</v>
      </c>
      <c r="BF50" s="71"/>
      <c r="BG50" s="11">
        <f t="shared" si="50"/>
        <v>0</v>
      </c>
      <c r="BH50" s="10">
        <f t="shared" si="30"/>
        <v>0</v>
      </c>
      <c r="BJ50" s="7" t="str">
        <f t="shared" si="31"/>
        <v/>
      </c>
      <c r="BK50" s="158" t="str">
        <f t="shared" si="32"/>
        <v/>
      </c>
      <c r="BL50" s="158" t="str">
        <f t="shared" si="14"/>
        <v/>
      </c>
      <c r="BM50" s="10"/>
      <c r="BN50" s="10" t="str">
        <f t="shared" si="33"/>
        <v/>
      </c>
      <c r="BO50" s="10" t="str">
        <f t="shared" si="34"/>
        <v/>
      </c>
      <c r="BQ50" s="10">
        <f t="shared" si="51"/>
        <v>1000742400</v>
      </c>
      <c r="BR50" s="10">
        <f t="shared" si="35"/>
        <v>345288577.12904882</v>
      </c>
    </row>
    <row r="51" spans="3:70" x14ac:dyDescent="0.15">
      <c r="I51" s="458">
        <f t="shared" si="36"/>
        <v>2066</v>
      </c>
      <c r="J51" s="39"/>
      <c r="K51" s="39">
        <f t="shared" si="37"/>
        <v>37</v>
      </c>
      <c r="L51" s="39"/>
      <c r="M51" s="40">
        <f t="shared" si="38"/>
        <v>0.33498293694823961</v>
      </c>
      <c r="N51" s="39"/>
      <c r="O51" s="72">
        <f t="shared" si="52"/>
        <v>0</v>
      </c>
      <c r="P51" s="41" t="str">
        <f t="shared" si="39"/>
        <v>-</v>
      </c>
      <c r="Q51" s="39"/>
      <c r="R51" s="72">
        <f t="shared" si="53"/>
        <v>5200000000</v>
      </c>
      <c r="S51" s="39"/>
      <c r="T51" s="72">
        <f t="shared" si="18"/>
        <v>5200000000</v>
      </c>
      <c r="U51" s="39"/>
      <c r="V51" s="72">
        <f t="shared" si="40"/>
        <v>0</v>
      </c>
      <c r="W51" s="72">
        <f t="shared" si="19"/>
        <v>0</v>
      </c>
      <c r="X51" s="39"/>
      <c r="Y51" s="72">
        <f t="shared" si="41"/>
        <v>72800000</v>
      </c>
      <c r="Z51" s="72">
        <f t="shared" si="20"/>
        <v>24386757.809831843</v>
      </c>
      <c r="AA51" s="39"/>
      <c r="AB51" s="72">
        <f t="shared" si="4"/>
        <v>0</v>
      </c>
      <c r="AC51" s="72">
        <f t="shared" si="21"/>
        <v>0</v>
      </c>
      <c r="AD51" s="39"/>
      <c r="AE51" s="72">
        <f t="shared" si="42"/>
        <v>0</v>
      </c>
      <c r="AF51" s="72">
        <f t="shared" si="22"/>
        <v>0</v>
      </c>
      <c r="AG51" s="39"/>
      <c r="AH51" s="72">
        <f t="shared" si="43"/>
        <v>190000000</v>
      </c>
      <c r="AI51" s="72">
        <f t="shared" si="23"/>
        <v>63646758.020165525</v>
      </c>
      <c r="AJ51" s="39"/>
      <c r="AK51" s="72">
        <f t="shared" si="44"/>
        <v>1872000000</v>
      </c>
      <c r="AL51" s="72">
        <f t="shared" si="24"/>
        <v>627088057.96710455</v>
      </c>
      <c r="AM51" s="39"/>
      <c r="AN51" s="72">
        <f t="shared" si="45"/>
        <v>936000000</v>
      </c>
      <c r="AO51" s="72">
        <f t="shared" si="25"/>
        <v>313544028.98355228</v>
      </c>
      <c r="AP51" s="39"/>
      <c r="AQ51" s="72">
        <f t="shared" si="46"/>
        <v>279113800</v>
      </c>
      <c r="AR51" s="72">
        <f t="shared" si="26"/>
        <v>93498360.466783553</v>
      </c>
      <c r="AS51" s="39"/>
      <c r="AT51" s="40">
        <f>IF($K51&lt;=$F$15,IF($F$40&lt;&gt;"",$F$40/1000,IF(ISERROR(VLOOKUP($F$3&amp;IF($G$4&lt;&gt;"",$G$4,"")&amp;IF($F$43&lt;&gt;"","_"&amp;$F$43,""),'表3）燃料価格'!$AF$9:$AG$25,2,0)),0,VLOOKUP($I51,'表3）燃料価格'!$A$6:$U$66,VLOOKUP($F$3&amp;IF($G$4&lt;&gt;"",$G$4,"")&amp;IF($F$43&lt;&gt;"","_"&amp;$F$43,""),'表3）燃料価格'!$AF$9:$AG$25,2,0)+VLOOKUP($F$41,'表3）燃料価格'!$AF$28:$AG$29,2,0),0)*IF($F$43="需要地価格",1,$F$8/$F$141))),"")</f>
        <v>66.022625254483117</v>
      </c>
      <c r="AU51" s="39"/>
      <c r="AV51" s="72">
        <f t="shared" si="47"/>
        <v>13942848366.714985</v>
      </c>
      <c r="AW51" s="72">
        <f t="shared" si="27"/>
        <v>4670616295.3061514</v>
      </c>
      <c r="AX51" s="39"/>
      <c r="AY51" s="40">
        <f>IF(ISERROR(IF($K51&lt;=$F$15,VLOOKUP($I51,'表4）CO2価格'!$A$7:$E$67,VLOOKUP($F$48,'表4）CO2価格'!$H$10:$I$12,2,0),0)*$F$8/1000,"")),0,IF($K51&lt;=$F$15,VLOOKUP($I51,'表4）CO2価格'!$A$7:$E$67,VLOOKUP($F$48,'表4）CO2価格'!$H$10:$I$12,2,0),0)*$F$8/1000,""))</f>
        <v>8.9846925321981246</v>
      </c>
      <c r="AZ51" s="39"/>
      <c r="BA51" s="42">
        <f t="shared" si="48"/>
        <v>5215368193.7533293</v>
      </c>
      <c r="BB51" s="72">
        <f t="shared" si="28"/>
        <v>1747059354.8099258</v>
      </c>
      <c r="BC51" s="39"/>
      <c r="BD51" s="72">
        <f t="shared" si="49"/>
        <v>0</v>
      </c>
      <c r="BE51" s="72">
        <f t="shared" si="29"/>
        <v>0</v>
      </c>
      <c r="BF51" s="39"/>
      <c r="BG51" s="42">
        <f t="shared" si="50"/>
        <v>0</v>
      </c>
      <c r="BH51" s="72">
        <f t="shared" si="30"/>
        <v>0</v>
      </c>
      <c r="BI51" s="39"/>
      <c r="BJ51" s="40" t="str">
        <f t="shared" si="31"/>
        <v/>
      </c>
      <c r="BK51" s="157" t="str">
        <f t="shared" si="32"/>
        <v/>
      </c>
      <c r="BL51" s="157" t="str">
        <f t="shared" si="14"/>
        <v/>
      </c>
      <c r="BM51" s="72"/>
      <c r="BN51" s="72" t="str">
        <f t="shared" si="33"/>
        <v/>
      </c>
      <c r="BO51" s="72" t="str">
        <f t="shared" si="34"/>
        <v/>
      </c>
      <c r="BP51" s="39"/>
      <c r="BQ51" s="72">
        <f t="shared" si="51"/>
        <v>1000742400</v>
      </c>
      <c r="BR51" s="72">
        <f t="shared" si="35"/>
        <v>335231628.28062999</v>
      </c>
    </row>
    <row r="52" spans="3:70" x14ac:dyDescent="0.15">
      <c r="D52" s="81" t="s">
        <v>185</v>
      </c>
      <c r="F52" s="90"/>
      <c r="G52" s="81" t="s">
        <v>172</v>
      </c>
      <c r="I52" s="459">
        <f t="shared" si="36"/>
        <v>2067</v>
      </c>
      <c r="J52" s="71"/>
      <c r="K52" s="71">
        <f t="shared" si="37"/>
        <v>38</v>
      </c>
      <c r="L52" s="71"/>
      <c r="M52" s="7">
        <f t="shared" si="38"/>
        <v>0.3252261523769317</v>
      </c>
      <c r="N52" s="71"/>
      <c r="O52" s="10">
        <f t="shared" si="52"/>
        <v>0</v>
      </c>
      <c r="P52" s="29" t="str">
        <f t="shared" si="39"/>
        <v>-</v>
      </c>
      <c r="Q52" s="71"/>
      <c r="R52" s="10">
        <f t="shared" si="53"/>
        <v>5200000000</v>
      </c>
      <c r="S52" s="71"/>
      <c r="T52" s="10">
        <f t="shared" si="18"/>
        <v>5200000000</v>
      </c>
      <c r="U52" s="71"/>
      <c r="V52" s="10">
        <f t="shared" si="40"/>
        <v>0</v>
      </c>
      <c r="W52" s="10">
        <f t="shared" si="19"/>
        <v>0</v>
      </c>
      <c r="X52" s="71"/>
      <c r="Y52" s="10">
        <f t="shared" si="41"/>
        <v>72800000</v>
      </c>
      <c r="Z52" s="10">
        <f t="shared" si="20"/>
        <v>23676463.893040627</v>
      </c>
      <c r="AA52" s="71"/>
      <c r="AB52" s="10">
        <f t="shared" si="4"/>
        <v>0</v>
      </c>
      <c r="AC52" s="10">
        <f t="shared" si="21"/>
        <v>0</v>
      </c>
      <c r="AD52" s="71"/>
      <c r="AE52" s="10">
        <f t="shared" si="42"/>
        <v>0</v>
      </c>
      <c r="AF52" s="10">
        <f t="shared" si="22"/>
        <v>0</v>
      </c>
      <c r="AG52" s="71"/>
      <c r="AH52" s="10">
        <f t="shared" si="43"/>
        <v>190000000</v>
      </c>
      <c r="AI52" s="10">
        <f t="shared" si="23"/>
        <v>61792968.951617025</v>
      </c>
      <c r="AJ52" s="71"/>
      <c r="AK52" s="10">
        <f t="shared" si="44"/>
        <v>1872000000</v>
      </c>
      <c r="AL52" s="10">
        <f t="shared" si="24"/>
        <v>608823357.24961615</v>
      </c>
      <c r="AM52" s="71"/>
      <c r="AN52" s="10">
        <f t="shared" si="45"/>
        <v>936000000</v>
      </c>
      <c r="AO52" s="10">
        <f t="shared" si="25"/>
        <v>304411678.62480807</v>
      </c>
      <c r="AP52" s="71"/>
      <c r="AQ52" s="10">
        <f t="shared" si="46"/>
        <v>279113800</v>
      </c>
      <c r="AR52" s="10">
        <f t="shared" si="26"/>
        <v>90775107.249304444</v>
      </c>
      <c r="AS52" s="71"/>
      <c r="AT52" s="7">
        <f>IF($K52&lt;=$F$15,IF($F$40&lt;&gt;"",$F$40/1000,IF(ISERROR(VLOOKUP($F$3&amp;IF($G$4&lt;&gt;"",$G$4,"")&amp;IF($F$43&lt;&gt;"","_"&amp;$F$43,""),'表3）燃料価格'!$AF$9:$AG$25,2,0)),0,VLOOKUP($I52,'表3）燃料価格'!$A$6:$U$66,VLOOKUP($F$3&amp;IF($G$4&lt;&gt;"",$G$4,"")&amp;IF($F$43&lt;&gt;"","_"&amp;$F$43,""),'表3）燃料価格'!$AF$9:$AG$25,2,0)+VLOOKUP($F$41,'表3）燃料価格'!$AF$28:$AG$29,2,0),0)*IF($F$43="需要地価格",1,$F$8/$F$141))),"")</f>
        <v>66.194267159805548</v>
      </c>
      <c r="AU52" s="71"/>
      <c r="AV52" s="10">
        <f t="shared" si="47"/>
        <v>13975354366.752508</v>
      </c>
      <c r="AW52" s="10">
        <f t="shared" si="27"/>
        <v>4545150728.8030691</v>
      </c>
      <c r="AX52" s="71"/>
      <c r="AY52" s="7">
        <f>IF(ISERROR(IF($K52&lt;=$F$15,VLOOKUP($I52,'表4）CO2価格'!$A$7:$E$67,VLOOKUP($F$48,'表4）CO2価格'!$H$10:$I$12,2,0),0)*$F$8/1000,"")),0,IF($K52&lt;=$F$15,VLOOKUP($I52,'表4）CO2価格'!$A$7:$E$67,VLOOKUP($F$48,'表4）CO2価格'!$H$10:$I$12,2,0),0)*$F$8/1000,""))</f>
        <v>9.1152653008777929</v>
      </c>
      <c r="AZ52" s="71"/>
      <c r="BA52" s="11">
        <f t="shared" si="48"/>
        <v>5291162113.500926</v>
      </c>
      <c r="BB52" s="10">
        <f t="shared" si="28"/>
        <v>1720824295.7765002</v>
      </c>
      <c r="BC52" s="71"/>
      <c r="BD52" s="10">
        <f t="shared" si="49"/>
        <v>0</v>
      </c>
      <c r="BE52" s="10">
        <f t="shared" si="29"/>
        <v>0</v>
      </c>
      <c r="BF52" s="71"/>
      <c r="BG52" s="11">
        <f t="shared" si="50"/>
        <v>0</v>
      </c>
      <c r="BH52" s="10">
        <f t="shared" si="30"/>
        <v>0</v>
      </c>
      <c r="BJ52" s="7" t="str">
        <f t="shared" si="31"/>
        <v/>
      </c>
      <c r="BK52" s="158" t="str">
        <f t="shared" si="32"/>
        <v/>
      </c>
      <c r="BL52" s="158" t="str">
        <f t="shared" si="14"/>
        <v/>
      </c>
      <c r="BM52" s="10"/>
      <c r="BN52" s="10" t="str">
        <f t="shared" si="33"/>
        <v/>
      </c>
      <c r="BO52" s="10" t="str">
        <f t="shared" si="34"/>
        <v/>
      </c>
      <c r="BQ52" s="10">
        <f t="shared" si="51"/>
        <v>1000742400</v>
      </c>
      <c r="BR52" s="10">
        <f t="shared" si="35"/>
        <v>325467600.27245635</v>
      </c>
    </row>
    <row r="53" spans="3:70" x14ac:dyDescent="0.15">
      <c r="D53" s="81" t="s">
        <v>186</v>
      </c>
      <c r="F53" s="66"/>
      <c r="G53" s="81" t="s">
        <v>172</v>
      </c>
      <c r="I53" s="458">
        <f t="shared" si="36"/>
        <v>2068</v>
      </c>
      <c r="J53" s="39"/>
      <c r="K53" s="39">
        <f t="shared" si="37"/>
        <v>39</v>
      </c>
      <c r="L53" s="39"/>
      <c r="M53" s="40">
        <f t="shared" si="38"/>
        <v>0.31575354599702099</v>
      </c>
      <c r="N53" s="39"/>
      <c r="O53" s="72">
        <f t="shared" si="52"/>
        <v>0</v>
      </c>
      <c r="P53" s="41" t="str">
        <f t="shared" si="39"/>
        <v>-</v>
      </c>
      <c r="Q53" s="39"/>
      <c r="R53" s="72">
        <f t="shared" si="53"/>
        <v>5200000000</v>
      </c>
      <c r="S53" s="39"/>
      <c r="T53" s="72">
        <f t="shared" si="18"/>
        <v>5200000000</v>
      </c>
      <c r="U53" s="39"/>
      <c r="V53" s="72">
        <f t="shared" si="40"/>
        <v>0</v>
      </c>
      <c r="W53" s="72">
        <f t="shared" si="19"/>
        <v>0</v>
      </c>
      <c r="X53" s="39"/>
      <c r="Y53" s="72">
        <f t="shared" si="41"/>
        <v>72800000</v>
      </c>
      <c r="Z53" s="72">
        <f t="shared" si="20"/>
        <v>22986858.148583129</v>
      </c>
      <c r="AA53" s="39"/>
      <c r="AB53" s="72">
        <f t="shared" si="4"/>
        <v>0</v>
      </c>
      <c r="AC53" s="72">
        <f t="shared" si="21"/>
        <v>0</v>
      </c>
      <c r="AD53" s="39"/>
      <c r="AE53" s="72">
        <f t="shared" si="42"/>
        <v>0</v>
      </c>
      <c r="AF53" s="72">
        <f t="shared" si="22"/>
        <v>0</v>
      </c>
      <c r="AG53" s="39"/>
      <c r="AH53" s="72">
        <f t="shared" si="43"/>
        <v>190000000</v>
      </c>
      <c r="AI53" s="72">
        <f t="shared" si="23"/>
        <v>59993173.739433989</v>
      </c>
      <c r="AJ53" s="39"/>
      <c r="AK53" s="72">
        <f t="shared" si="44"/>
        <v>1872000000</v>
      </c>
      <c r="AL53" s="72">
        <f t="shared" si="24"/>
        <v>591090638.10642326</v>
      </c>
      <c r="AM53" s="39"/>
      <c r="AN53" s="72">
        <f t="shared" si="45"/>
        <v>936000000</v>
      </c>
      <c r="AO53" s="72">
        <f t="shared" si="25"/>
        <v>295545319.05321163</v>
      </c>
      <c r="AP53" s="39"/>
      <c r="AQ53" s="72">
        <f t="shared" si="46"/>
        <v>279113800</v>
      </c>
      <c r="AR53" s="72">
        <f t="shared" si="26"/>
        <v>88131172.086703315</v>
      </c>
      <c r="AS53" s="39"/>
      <c r="AT53" s="40">
        <f>IF($K53&lt;=$F$15,IF($F$40&lt;&gt;"",$F$40/1000,IF(ISERROR(VLOOKUP($F$3&amp;IF($G$4&lt;&gt;"",$G$4,"")&amp;IF($F$43&lt;&gt;"","_"&amp;$F$43,""),'表3）燃料価格'!$AF$9:$AG$25,2,0)),0,VLOOKUP($I53,'表3）燃料価格'!$A$6:$U$66,VLOOKUP($F$3&amp;IF($G$4&lt;&gt;"",$G$4,"")&amp;IF($F$43&lt;&gt;"","_"&amp;$F$43,""),'表3）燃料価格'!$AF$9:$AG$25,2,0)+VLOOKUP($F$41,'表3）燃料価格'!$AF$28:$AG$29,2,0),0)*IF($F$43="需要地価格",1,$F$8/$F$141))),"")</f>
        <v>66.362700616607228</v>
      </c>
      <c r="AU53" s="39"/>
      <c r="AV53" s="72">
        <f t="shared" si="47"/>
        <v>14007252742.285162</v>
      </c>
      <c r="AW53" s="72">
        <f t="shared" si="27"/>
        <v>4422839723.0530367</v>
      </c>
      <c r="AX53" s="39"/>
      <c r="AY53" s="40">
        <f>IF(ISERROR(IF($K53&lt;=$F$15,VLOOKUP($I53,'表4）CO2価格'!$A$7:$E$67,VLOOKUP($F$48,'表4）CO2価格'!$H$10:$I$12,2,0),0)*$F$8/1000,"")),0,IF($K53&lt;=$F$15,VLOOKUP($I53,'表4）CO2価格'!$A$7:$E$67,VLOOKUP($F$48,'表4）CO2価格'!$H$10:$I$12,2,0),0)*$F$8/1000,""))</f>
        <v>9.2457749146488997</v>
      </c>
      <c r="AZ53" s="39"/>
      <c r="BA53" s="42">
        <f t="shared" si="48"/>
        <v>5366919373.5520201</v>
      </c>
      <c r="BB53" s="72">
        <f t="shared" si="28"/>
        <v>1694623823.2791607</v>
      </c>
      <c r="BC53" s="39"/>
      <c r="BD53" s="72">
        <f t="shared" si="49"/>
        <v>0</v>
      </c>
      <c r="BE53" s="72">
        <f t="shared" si="29"/>
        <v>0</v>
      </c>
      <c r="BF53" s="39"/>
      <c r="BG53" s="42">
        <f t="shared" si="50"/>
        <v>0</v>
      </c>
      <c r="BH53" s="72">
        <f t="shared" si="30"/>
        <v>0</v>
      </c>
      <c r="BI53" s="39"/>
      <c r="BJ53" s="40" t="str">
        <f t="shared" si="31"/>
        <v/>
      </c>
      <c r="BK53" s="157" t="str">
        <f t="shared" si="32"/>
        <v/>
      </c>
      <c r="BL53" s="157" t="str">
        <f t="shared" si="14"/>
        <v/>
      </c>
      <c r="BM53" s="72"/>
      <c r="BN53" s="72" t="str">
        <f t="shared" si="33"/>
        <v/>
      </c>
      <c r="BO53" s="72" t="str">
        <f t="shared" si="34"/>
        <v/>
      </c>
      <c r="BP53" s="39"/>
      <c r="BQ53" s="72">
        <f t="shared" si="51"/>
        <v>1000742400</v>
      </c>
      <c r="BR53" s="72">
        <f t="shared" si="35"/>
        <v>315987961.42956918</v>
      </c>
    </row>
    <row r="54" spans="3:70" x14ac:dyDescent="0.15">
      <c r="D54" s="81" t="s">
        <v>187</v>
      </c>
      <c r="F54" s="66"/>
      <c r="G54" s="81" t="s">
        <v>172</v>
      </c>
      <c r="I54" s="459">
        <f t="shared" si="36"/>
        <v>2069</v>
      </c>
      <c r="J54" s="71"/>
      <c r="K54" s="71">
        <f t="shared" si="37"/>
        <v>40</v>
      </c>
      <c r="L54" s="71"/>
      <c r="M54" s="7">
        <f t="shared" si="38"/>
        <v>0.30655684077380685</v>
      </c>
      <c r="N54" s="71"/>
      <c r="O54" s="10">
        <f t="shared" si="52"/>
        <v>0</v>
      </c>
      <c r="P54" s="29" t="str">
        <f t="shared" si="39"/>
        <v>-</v>
      </c>
      <c r="Q54" s="71"/>
      <c r="R54" s="10">
        <f t="shared" si="53"/>
        <v>5200000000</v>
      </c>
      <c r="S54" s="71"/>
      <c r="T54" s="10">
        <f t="shared" si="18"/>
        <v>5200000000</v>
      </c>
      <c r="U54" s="71"/>
      <c r="V54" s="10">
        <f t="shared" si="40"/>
        <v>0</v>
      </c>
      <c r="W54" s="10">
        <f t="shared" si="19"/>
        <v>0</v>
      </c>
      <c r="X54" s="71"/>
      <c r="Y54" s="10">
        <f t="shared" si="41"/>
        <v>72800000</v>
      </c>
      <c r="Z54" s="10">
        <f t="shared" si="20"/>
        <v>22317338.008333139</v>
      </c>
      <c r="AA54" s="71"/>
      <c r="AB54" s="10">
        <f t="shared" si="4"/>
        <v>0</v>
      </c>
      <c r="AC54" s="10">
        <f t="shared" si="21"/>
        <v>0</v>
      </c>
      <c r="AD54" s="71"/>
      <c r="AE54" s="10">
        <f t="shared" si="42"/>
        <v>0</v>
      </c>
      <c r="AF54" s="10">
        <f t="shared" si="22"/>
        <v>0</v>
      </c>
      <c r="AG54" s="71"/>
      <c r="AH54" s="10">
        <f t="shared" si="43"/>
        <v>190000000</v>
      </c>
      <c r="AI54" s="10">
        <f t="shared" si="23"/>
        <v>58245799.747023299</v>
      </c>
      <c r="AJ54" s="71"/>
      <c r="AK54" s="10">
        <f t="shared" si="44"/>
        <v>1872000000</v>
      </c>
      <c r="AL54" s="10">
        <f t="shared" si="24"/>
        <v>573874405.92856646</v>
      </c>
      <c r="AM54" s="71"/>
      <c r="AN54" s="10">
        <f t="shared" si="45"/>
        <v>936000000</v>
      </c>
      <c r="AO54" s="10">
        <f t="shared" si="25"/>
        <v>286937202.96428323</v>
      </c>
      <c r="AP54" s="71"/>
      <c r="AQ54" s="10">
        <f t="shared" si="46"/>
        <v>279113800</v>
      </c>
      <c r="AR54" s="10">
        <f t="shared" si="26"/>
        <v>85564244.744372174</v>
      </c>
      <c r="AS54" s="71"/>
      <c r="AT54" s="7">
        <f>IF($K54&lt;=$F$15,IF($F$40&lt;&gt;"",$F$40/1000,IF(ISERROR(VLOOKUP($F$3&amp;IF($G$4&lt;&gt;"",$G$4,"")&amp;IF($F$43&lt;&gt;"","_"&amp;$F$43,""),'表3）燃料価格'!$AF$9:$AG$25,2,0)),0,VLOOKUP($I54,'表3）燃料価格'!$A$6:$U$66,VLOOKUP($F$3&amp;IF($G$4&lt;&gt;"",$G$4,"")&amp;IF($F$43&lt;&gt;"","_"&amp;$F$43,""),'表3）燃料価格'!$AF$9:$AG$25,2,0)+VLOOKUP($F$41,'表3）燃料価格'!$AF$28:$AG$29,2,0),0)*IF($F$43="需要地価格",1,$F$8/$F$141))),"")</f>
        <v>66.528043376216729</v>
      </c>
      <c r="AU54" s="71"/>
      <c r="AV54" s="10">
        <f t="shared" si="47"/>
        <v>14038565793.372391</v>
      </c>
      <c r="AW54" s="10">
        <f t="shared" si="27"/>
        <v>4303618378.6114712</v>
      </c>
      <c r="AX54" s="71"/>
      <c r="AY54" s="7">
        <f>IF(ISERROR(IF($K54&lt;=$F$15,VLOOKUP($I54,'表4）CO2価格'!$A$7:$E$67,VLOOKUP($F$48,'表4）CO2価格'!$H$10:$I$12,2,0),0)*$F$8/1000,"")),0,IF($K54&lt;=$F$15,VLOOKUP($I54,'表4）CO2価格'!$A$7:$E$67,VLOOKUP($F$48,'表4）CO2価格'!$H$10:$I$12,2,0),0)*$F$8/1000,""))</f>
        <v>9.3762214345748625</v>
      </c>
      <c r="AZ54" s="71"/>
      <c r="BA54" s="11">
        <f t="shared" si="48"/>
        <v>5442640009.3522568</v>
      </c>
      <c r="BB54" s="10">
        <f t="shared" si="28"/>
        <v>1668478526.7361505</v>
      </c>
      <c r="BC54" s="71"/>
      <c r="BD54" s="10">
        <f t="shared" si="49"/>
        <v>0</v>
      </c>
      <c r="BE54" s="10">
        <f t="shared" si="29"/>
        <v>0</v>
      </c>
      <c r="BF54" s="71"/>
      <c r="BG54" s="11">
        <f t="shared" si="50"/>
        <v>0</v>
      </c>
      <c r="BH54" s="10">
        <f t="shared" si="30"/>
        <v>0</v>
      </c>
      <c r="BJ54" s="7" t="str">
        <f t="shared" si="31"/>
        <v/>
      </c>
      <c r="BK54" s="158" t="str">
        <f t="shared" si="32"/>
        <v/>
      </c>
      <c r="BL54" s="158" t="str">
        <f t="shared" si="14"/>
        <v/>
      </c>
      <c r="BM54" s="10"/>
      <c r="BN54" s="10" t="str">
        <f t="shared" si="33"/>
        <v/>
      </c>
      <c r="BO54" s="10" t="str">
        <f t="shared" si="34"/>
        <v/>
      </c>
      <c r="BQ54" s="10">
        <f t="shared" si="51"/>
        <v>1000742400</v>
      </c>
      <c r="BR54" s="10">
        <f t="shared" si="35"/>
        <v>306784428.57239735</v>
      </c>
    </row>
    <row r="55" spans="3:70" ht="16.5" x14ac:dyDescent="0.15">
      <c r="D55" s="81" t="s">
        <v>188</v>
      </c>
      <c r="F55" s="66"/>
      <c r="G55" s="9" t="s">
        <v>372</v>
      </c>
      <c r="I55" s="458">
        <f>I54+1</f>
        <v>2070</v>
      </c>
      <c r="J55" s="39"/>
      <c r="K55" s="39">
        <f>IF(I55&lt;&gt;"",K54+1,"")</f>
        <v>41</v>
      </c>
      <c r="L55" s="39"/>
      <c r="M55" s="40">
        <f t="shared" si="38"/>
        <v>0.29762800075126877</v>
      </c>
      <c r="N55" s="39"/>
      <c r="O55" s="72" t="str">
        <f t="shared" si="52"/>
        <v/>
      </c>
      <c r="P55" s="41" t="str">
        <f t="shared" si="39"/>
        <v/>
      </c>
      <c r="Q55" s="39"/>
      <c r="R55" s="72" t="str">
        <f t="shared" si="53"/>
        <v/>
      </c>
      <c r="S55" s="39"/>
      <c r="T55" s="72" t="str">
        <f t="shared" si="18"/>
        <v/>
      </c>
      <c r="U55" s="39"/>
      <c r="V55" s="72" t="str">
        <f t="shared" si="40"/>
        <v/>
      </c>
      <c r="W55" s="72" t="str">
        <f t="shared" ref="W55:W82" si="54">IF(ISNUMBER(V55),V55*$M55,"")</f>
        <v/>
      </c>
      <c r="X55" s="39"/>
      <c r="Y55" s="72" t="str">
        <f t="shared" si="41"/>
        <v/>
      </c>
      <c r="Z55" s="72" t="str">
        <f t="shared" ref="Z55:Z82" si="55">IF(ISNUMBER(Y55),Y55*$M55,"")</f>
        <v/>
      </c>
      <c r="AA55" s="39"/>
      <c r="AB55" s="72">
        <f t="shared" si="4"/>
        <v>5200000000</v>
      </c>
      <c r="AC55" s="72">
        <f t="shared" ref="AC55:AC82" si="56">IF(ISNUMBER(AB55),AB55*$M55,"")</f>
        <v>1547665603.9065976</v>
      </c>
      <c r="AD55" s="39"/>
      <c r="AE55" s="72" t="str">
        <f t="shared" si="42"/>
        <v/>
      </c>
      <c r="AF55" s="72" t="str">
        <f t="shared" ref="AF55:AF82" si="57">IF(ISNUMBER(AE55),AE55*$M55,"")</f>
        <v/>
      </c>
      <c r="AG55" s="39"/>
      <c r="AH55" s="72" t="str">
        <f t="shared" si="43"/>
        <v/>
      </c>
      <c r="AI55" s="72" t="str">
        <f t="shared" ref="AI55:AI82" si="58">IF(ISNUMBER(AH55),AH55*$M55,"")</f>
        <v/>
      </c>
      <c r="AJ55" s="39"/>
      <c r="AK55" s="72" t="str">
        <f t="shared" si="44"/>
        <v/>
      </c>
      <c r="AL55" s="72" t="str">
        <f t="shared" ref="AL55:AL82" si="59">IF(ISNUMBER(AK55),AK55*$M55,"")</f>
        <v/>
      </c>
      <c r="AM55" s="39"/>
      <c r="AN55" s="72" t="str">
        <f t="shared" si="45"/>
        <v/>
      </c>
      <c r="AO55" s="72" t="str">
        <f t="shared" ref="AO55:AO82" si="60">IF(ISNUMBER(AN55),AN55*$M55,"")</f>
        <v/>
      </c>
      <c r="AP55" s="39"/>
      <c r="AQ55" s="72" t="str">
        <f t="shared" si="46"/>
        <v/>
      </c>
      <c r="AR55" s="72" t="str">
        <f t="shared" si="26"/>
        <v/>
      </c>
      <c r="AS55" s="39"/>
      <c r="AT55" s="40" t="str">
        <f>IF($K55&lt;=$F$15,IF($F$40&lt;&gt;"",$F$40/1000,IF(ISERROR(VLOOKUP($F$3&amp;IF($G$4&lt;&gt;"",$G$4,"")&amp;IF($F$43&lt;&gt;"","_"&amp;$F$43,""),'表3）燃料価格'!$AF$9:$AG$25,2,0)),0,VLOOKUP($I55,'表3）燃料価格'!$A$6:$U$66,VLOOKUP($F$3&amp;IF($G$4&lt;&gt;"",$G$4,"")&amp;IF($F$43&lt;&gt;"","_"&amp;$F$43,""),'表3）燃料価格'!$AF$9:$AG$25,2,0)+VLOOKUP($F$41,'表3）燃料価格'!$AF$28:$AG$29,2,0),0)*IF($F$43="需要地価格",1,$F$8/$F$141))),"")</f>
        <v/>
      </c>
      <c r="AU55" s="39"/>
      <c r="AV55" s="72" t="str">
        <f t="shared" si="47"/>
        <v/>
      </c>
      <c r="AW55" s="72" t="str">
        <f t="shared" si="27"/>
        <v/>
      </c>
      <c r="AX55" s="39"/>
      <c r="AY55" s="40" t="str">
        <f>IF(ISERROR(IF($K55&lt;=$F$15,VLOOKUP($I55,'表4）CO2価格'!$A$7:$E$67,VLOOKUP($F$48,'表4）CO2価格'!$H$10:$I$12,2,0),0)*$F$8/1000,"")),0,IF($K55&lt;=$F$15,VLOOKUP($I55,'表4）CO2価格'!$A$7:$E$67,VLOOKUP($F$48,'表4）CO2価格'!$H$10:$I$12,2,0),0)*$F$8/1000,""))</f>
        <v/>
      </c>
      <c r="AZ55" s="39"/>
      <c r="BA55" s="42" t="str">
        <f t="shared" si="48"/>
        <v/>
      </c>
      <c r="BB55" s="72" t="str">
        <f t="shared" si="28"/>
        <v/>
      </c>
      <c r="BC55" s="39"/>
      <c r="BD55" s="72" t="str">
        <f t="shared" si="49"/>
        <v/>
      </c>
      <c r="BE55" s="72" t="str">
        <f t="shared" si="29"/>
        <v/>
      </c>
      <c r="BF55" s="39"/>
      <c r="BG55" s="42" t="str">
        <f t="shared" si="50"/>
        <v/>
      </c>
      <c r="BH55" s="72" t="str">
        <f t="shared" si="30"/>
        <v/>
      </c>
      <c r="BI55" s="39"/>
      <c r="BJ55" s="40" t="str">
        <f t="shared" si="31"/>
        <v/>
      </c>
      <c r="BK55" s="157" t="str">
        <f t="shared" si="32"/>
        <v/>
      </c>
      <c r="BL55" s="157" t="str">
        <f t="shared" si="14"/>
        <v/>
      </c>
      <c r="BM55" s="72"/>
      <c r="BN55" s="72" t="str">
        <f t="shared" si="33"/>
        <v/>
      </c>
      <c r="BO55" s="72" t="str">
        <f t="shared" si="34"/>
        <v/>
      </c>
      <c r="BP55" s="39"/>
      <c r="BQ55" s="72" t="str">
        <f t="shared" si="51"/>
        <v/>
      </c>
      <c r="BR55" s="72" t="str">
        <f t="shared" si="35"/>
        <v/>
      </c>
    </row>
    <row r="56" spans="3:70" x14ac:dyDescent="0.15">
      <c r="D56" s="81" t="s">
        <v>189</v>
      </c>
      <c r="F56" s="59"/>
      <c r="G56" s="81" t="s">
        <v>181</v>
      </c>
      <c r="I56" s="459">
        <f t="shared" si="36"/>
        <v>2071</v>
      </c>
      <c r="J56" s="71"/>
      <c r="K56" s="71">
        <f t="shared" si="37"/>
        <v>42</v>
      </c>
      <c r="L56" s="71"/>
      <c r="M56" s="7">
        <f t="shared" si="38"/>
        <v>0.28895922403035801</v>
      </c>
      <c r="N56" s="71"/>
      <c r="O56" s="10" t="str">
        <f t="shared" si="52"/>
        <v/>
      </c>
      <c r="P56" s="29" t="str">
        <f t="shared" si="39"/>
        <v/>
      </c>
      <c r="Q56" s="71"/>
      <c r="R56" s="10" t="str">
        <f t="shared" si="53"/>
        <v/>
      </c>
      <c r="S56" s="71"/>
      <c r="T56" s="10" t="str">
        <f t="shared" si="18"/>
        <v/>
      </c>
      <c r="U56" s="71"/>
      <c r="V56" s="10" t="str">
        <f t="shared" si="40"/>
        <v/>
      </c>
      <c r="W56" s="10" t="str">
        <f t="shared" si="54"/>
        <v/>
      </c>
      <c r="X56" s="71"/>
      <c r="Y56" s="10" t="str">
        <f t="shared" si="41"/>
        <v/>
      </c>
      <c r="Z56" s="10" t="str">
        <f t="shared" si="55"/>
        <v/>
      </c>
      <c r="AA56" s="71"/>
      <c r="AB56" s="10" t="str">
        <f t="shared" si="4"/>
        <v/>
      </c>
      <c r="AC56" s="10" t="str">
        <f t="shared" si="56"/>
        <v/>
      </c>
      <c r="AD56" s="71"/>
      <c r="AE56" s="10" t="str">
        <f t="shared" si="42"/>
        <v/>
      </c>
      <c r="AF56" s="10" t="str">
        <f t="shared" si="57"/>
        <v/>
      </c>
      <c r="AG56" s="71"/>
      <c r="AH56" s="10" t="str">
        <f t="shared" si="43"/>
        <v/>
      </c>
      <c r="AI56" s="10" t="str">
        <f t="shared" si="58"/>
        <v/>
      </c>
      <c r="AJ56" s="71"/>
      <c r="AK56" s="10" t="str">
        <f t="shared" si="44"/>
        <v/>
      </c>
      <c r="AL56" s="10" t="str">
        <f t="shared" si="59"/>
        <v/>
      </c>
      <c r="AM56" s="71"/>
      <c r="AN56" s="10" t="str">
        <f t="shared" si="45"/>
        <v/>
      </c>
      <c r="AO56" s="10" t="str">
        <f t="shared" si="60"/>
        <v/>
      </c>
      <c r="AP56" s="71"/>
      <c r="AQ56" s="10" t="str">
        <f t="shared" si="46"/>
        <v/>
      </c>
      <c r="AR56" s="10" t="str">
        <f t="shared" si="26"/>
        <v/>
      </c>
      <c r="AS56" s="71"/>
      <c r="AT56" s="7" t="str">
        <f>IF($K56&lt;=$F$15,IF($F$40&lt;&gt;"",$F$40/1000,IF(ISERROR(VLOOKUP($F$3&amp;IF($G$4&lt;&gt;"",$G$4,"")&amp;IF($F$43&lt;&gt;"","_"&amp;$F$43,""),'表3）燃料価格'!$AF$9:$AG$25,2,0)),0,VLOOKUP($I56,'表3）燃料価格'!$A$6:$U$66,VLOOKUP($F$3&amp;IF($G$4&lt;&gt;"",$G$4,"")&amp;IF($F$43&lt;&gt;"","_"&amp;$F$43,""),'表3）燃料価格'!$AF$9:$AG$25,2,0)+VLOOKUP($F$41,'表3）燃料価格'!$AF$28:$AG$29,2,0),0)*IF($F$43="需要地価格",1,$F$8/$F$141))),"")</f>
        <v/>
      </c>
      <c r="AU56" s="71"/>
      <c r="AV56" s="10" t="str">
        <f t="shared" si="47"/>
        <v/>
      </c>
      <c r="AW56" s="10" t="str">
        <f t="shared" si="27"/>
        <v/>
      </c>
      <c r="AX56" s="71"/>
      <c r="AY56" s="7" t="str">
        <f>IF(ISERROR(IF($K56&lt;=$F$15,VLOOKUP($I56,'表4）CO2価格'!$A$7:$E$67,VLOOKUP($F$48,'表4）CO2価格'!$H$10:$I$12,2,0),0)*$F$8/1000,"")),0,IF($K56&lt;=$F$15,VLOOKUP($I56,'表4）CO2価格'!$A$7:$E$67,VLOOKUP($F$48,'表4）CO2価格'!$H$10:$I$12,2,0),0)*$F$8/1000,""))</f>
        <v/>
      </c>
      <c r="AZ56" s="71"/>
      <c r="BA56" s="11" t="str">
        <f t="shared" si="48"/>
        <v/>
      </c>
      <c r="BB56" s="10" t="str">
        <f t="shared" si="28"/>
        <v/>
      </c>
      <c r="BC56" s="71"/>
      <c r="BD56" s="10" t="str">
        <f t="shared" si="49"/>
        <v/>
      </c>
      <c r="BE56" s="10" t="str">
        <f t="shared" si="29"/>
        <v/>
      </c>
      <c r="BF56" s="71"/>
      <c r="BG56" s="11" t="str">
        <f t="shared" si="50"/>
        <v/>
      </c>
      <c r="BH56" s="10" t="str">
        <f t="shared" si="30"/>
        <v/>
      </c>
      <c r="BJ56" s="7" t="str">
        <f t="shared" si="31"/>
        <v/>
      </c>
      <c r="BK56" s="158" t="str">
        <f t="shared" si="32"/>
        <v/>
      </c>
      <c r="BL56" s="158" t="str">
        <f t="shared" si="14"/>
        <v/>
      </c>
      <c r="BM56" s="10"/>
      <c r="BN56" s="10" t="str">
        <f t="shared" si="33"/>
        <v/>
      </c>
      <c r="BO56" s="10" t="str">
        <f t="shared" si="34"/>
        <v/>
      </c>
      <c r="BQ56" s="10" t="str">
        <f t="shared" si="51"/>
        <v/>
      </c>
      <c r="BR56" s="10" t="str">
        <f t="shared" si="35"/>
        <v/>
      </c>
    </row>
    <row r="57" spans="3:70" x14ac:dyDescent="0.15">
      <c r="I57" s="458">
        <f t="shared" si="36"/>
        <v>2072</v>
      </c>
      <c r="J57" s="39"/>
      <c r="K57" s="39">
        <f t="shared" si="37"/>
        <v>43</v>
      </c>
      <c r="L57" s="39"/>
      <c r="M57" s="40">
        <f t="shared" si="38"/>
        <v>0.28054293595180391</v>
      </c>
      <c r="N57" s="39"/>
      <c r="O57" s="72" t="str">
        <f t="shared" si="52"/>
        <v/>
      </c>
      <c r="P57" s="41" t="str">
        <f t="shared" si="39"/>
        <v/>
      </c>
      <c r="Q57" s="39"/>
      <c r="R57" s="72" t="str">
        <f t="shared" si="53"/>
        <v/>
      </c>
      <c r="S57" s="39"/>
      <c r="T57" s="72" t="str">
        <f t="shared" si="18"/>
        <v/>
      </c>
      <c r="U57" s="39"/>
      <c r="V57" s="72" t="str">
        <f t="shared" si="40"/>
        <v/>
      </c>
      <c r="W57" s="72" t="str">
        <f t="shared" si="54"/>
        <v/>
      </c>
      <c r="X57" s="39"/>
      <c r="Y57" s="72" t="str">
        <f t="shared" si="41"/>
        <v/>
      </c>
      <c r="Z57" s="72" t="str">
        <f t="shared" si="55"/>
        <v/>
      </c>
      <c r="AA57" s="39"/>
      <c r="AB57" s="72" t="str">
        <f t="shared" si="4"/>
        <v/>
      </c>
      <c r="AC57" s="72" t="str">
        <f t="shared" si="56"/>
        <v/>
      </c>
      <c r="AD57" s="39"/>
      <c r="AE57" s="72" t="str">
        <f t="shared" si="42"/>
        <v/>
      </c>
      <c r="AF57" s="72" t="str">
        <f t="shared" si="57"/>
        <v/>
      </c>
      <c r="AG57" s="39"/>
      <c r="AH57" s="72" t="str">
        <f t="shared" si="43"/>
        <v/>
      </c>
      <c r="AI57" s="72" t="str">
        <f t="shared" si="58"/>
        <v/>
      </c>
      <c r="AJ57" s="39"/>
      <c r="AK57" s="72" t="str">
        <f t="shared" si="44"/>
        <v/>
      </c>
      <c r="AL57" s="72" t="str">
        <f t="shared" si="59"/>
        <v/>
      </c>
      <c r="AM57" s="39"/>
      <c r="AN57" s="72" t="str">
        <f t="shared" si="45"/>
        <v/>
      </c>
      <c r="AO57" s="72" t="str">
        <f t="shared" si="60"/>
        <v/>
      </c>
      <c r="AP57" s="39"/>
      <c r="AQ57" s="72" t="str">
        <f t="shared" si="46"/>
        <v/>
      </c>
      <c r="AR57" s="72" t="str">
        <f t="shared" si="26"/>
        <v/>
      </c>
      <c r="AS57" s="39"/>
      <c r="AT57" s="40" t="str">
        <f>IF($K57&lt;=$F$15,IF($F$40&lt;&gt;"",$F$40/1000,IF(ISERROR(VLOOKUP($F$3&amp;IF($G$4&lt;&gt;"",$G$4,"")&amp;IF($F$43&lt;&gt;"","_"&amp;$F$43,""),'表3）燃料価格'!$AF$9:$AG$25,2,0)),0,VLOOKUP($I57,'表3）燃料価格'!$A$6:$U$66,VLOOKUP($F$3&amp;IF($G$4&lt;&gt;"",$G$4,"")&amp;IF($F$43&lt;&gt;"","_"&amp;$F$43,""),'表3）燃料価格'!$AF$9:$AG$25,2,0)+VLOOKUP($F$41,'表3）燃料価格'!$AF$28:$AG$29,2,0),0)*IF($F$43="需要地価格",1,$F$8/$F$141))),"")</f>
        <v/>
      </c>
      <c r="AU57" s="39"/>
      <c r="AV57" s="72" t="str">
        <f t="shared" si="47"/>
        <v/>
      </c>
      <c r="AW57" s="72" t="str">
        <f t="shared" si="27"/>
        <v/>
      </c>
      <c r="AX57" s="39"/>
      <c r="AY57" s="40" t="str">
        <f>IF(ISERROR(IF($K57&lt;=$F$15,VLOOKUP($I57,'表4）CO2価格'!$A$7:$E$67,VLOOKUP($F$48,'表4）CO2価格'!$H$10:$I$12,2,0),0)*$F$8/1000,"")),0,IF($K57&lt;=$F$15,VLOOKUP($I57,'表4）CO2価格'!$A$7:$E$67,VLOOKUP($F$48,'表4）CO2価格'!$H$10:$I$12,2,0),0)*$F$8/1000,""))</f>
        <v/>
      </c>
      <c r="AZ57" s="39"/>
      <c r="BA57" s="42" t="str">
        <f t="shared" si="48"/>
        <v/>
      </c>
      <c r="BB57" s="72" t="str">
        <f t="shared" si="28"/>
        <v/>
      </c>
      <c r="BC57" s="39"/>
      <c r="BD57" s="72" t="str">
        <f t="shared" si="49"/>
        <v/>
      </c>
      <c r="BE57" s="72" t="str">
        <f t="shared" si="29"/>
        <v/>
      </c>
      <c r="BF57" s="39"/>
      <c r="BG57" s="42" t="str">
        <f t="shared" si="50"/>
        <v/>
      </c>
      <c r="BH57" s="72" t="str">
        <f t="shared" si="30"/>
        <v/>
      </c>
      <c r="BI57" s="39"/>
      <c r="BJ57" s="40" t="str">
        <f t="shared" si="31"/>
        <v/>
      </c>
      <c r="BK57" s="157" t="str">
        <f t="shared" si="32"/>
        <v/>
      </c>
      <c r="BL57" s="157" t="str">
        <f t="shared" si="14"/>
        <v/>
      </c>
      <c r="BM57" s="72"/>
      <c r="BN57" s="72" t="str">
        <f t="shared" si="33"/>
        <v/>
      </c>
      <c r="BO57" s="72" t="str">
        <f t="shared" si="34"/>
        <v/>
      </c>
      <c r="BP57" s="39"/>
      <c r="BQ57" s="72" t="str">
        <f t="shared" si="51"/>
        <v/>
      </c>
      <c r="BR57" s="72" t="str">
        <f t="shared" si="35"/>
        <v/>
      </c>
    </row>
    <row r="58" spans="3:70" x14ac:dyDescent="0.15">
      <c r="C58" s="89" t="s">
        <v>512</v>
      </c>
      <c r="D58" s="101"/>
      <c r="E58" s="101"/>
      <c r="F58" s="89"/>
      <c r="G58" s="101"/>
      <c r="I58" s="459">
        <f t="shared" si="36"/>
        <v>2073</v>
      </c>
      <c r="J58" s="71"/>
      <c r="K58" s="71">
        <f t="shared" si="37"/>
        <v>44</v>
      </c>
      <c r="L58" s="71"/>
      <c r="M58" s="7">
        <f t="shared" si="38"/>
        <v>0.27237178247747956</v>
      </c>
      <c r="N58" s="71"/>
      <c r="O58" s="10" t="str">
        <f t="shared" si="52"/>
        <v/>
      </c>
      <c r="P58" s="29" t="str">
        <f t="shared" si="39"/>
        <v/>
      </c>
      <c r="Q58" s="71"/>
      <c r="R58" s="10" t="str">
        <f t="shared" si="53"/>
        <v/>
      </c>
      <c r="S58" s="71"/>
      <c r="T58" s="10" t="str">
        <f t="shared" si="18"/>
        <v/>
      </c>
      <c r="U58" s="71"/>
      <c r="V58" s="10" t="str">
        <f t="shared" si="40"/>
        <v/>
      </c>
      <c r="W58" s="10" t="str">
        <f t="shared" si="54"/>
        <v/>
      </c>
      <c r="X58" s="71"/>
      <c r="Y58" s="10" t="str">
        <f t="shared" si="41"/>
        <v/>
      </c>
      <c r="Z58" s="10" t="str">
        <f t="shared" si="55"/>
        <v/>
      </c>
      <c r="AA58" s="71"/>
      <c r="AB58" s="10" t="str">
        <f t="shared" si="4"/>
        <v/>
      </c>
      <c r="AC58" s="10" t="str">
        <f t="shared" si="56"/>
        <v/>
      </c>
      <c r="AD58" s="71"/>
      <c r="AE58" s="10" t="str">
        <f t="shared" si="42"/>
        <v/>
      </c>
      <c r="AF58" s="10" t="str">
        <f t="shared" si="57"/>
        <v/>
      </c>
      <c r="AG58" s="71"/>
      <c r="AH58" s="10" t="str">
        <f t="shared" si="43"/>
        <v/>
      </c>
      <c r="AI58" s="10" t="str">
        <f t="shared" si="58"/>
        <v/>
      </c>
      <c r="AJ58" s="71"/>
      <c r="AK58" s="10" t="str">
        <f t="shared" si="44"/>
        <v/>
      </c>
      <c r="AL58" s="10" t="str">
        <f t="shared" si="59"/>
        <v/>
      </c>
      <c r="AM58" s="71"/>
      <c r="AN58" s="10" t="str">
        <f t="shared" si="45"/>
        <v/>
      </c>
      <c r="AO58" s="10" t="str">
        <f t="shared" si="60"/>
        <v/>
      </c>
      <c r="AP58" s="71"/>
      <c r="AQ58" s="10" t="str">
        <f t="shared" si="46"/>
        <v/>
      </c>
      <c r="AR58" s="10" t="str">
        <f t="shared" si="26"/>
        <v/>
      </c>
      <c r="AS58" s="71"/>
      <c r="AT58" s="7" t="str">
        <f>IF($K58&lt;=$F$15,IF($F$40&lt;&gt;"",$F$40/1000,IF(ISERROR(VLOOKUP($F$3&amp;IF($G$4&lt;&gt;"",$G$4,"")&amp;IF($F$43&lt;&gt;"","_"&amp;$F$43,""),'表3）燃料価格'!$AF$9:$AG$25,2,0)),0,VLOOKUP($I58,'表3）燃料価格'!$A$6:$U$66,VLOOKUP($F$3&amp;IF($G$4&lt;&gt;"",$G$4,"")&amp;IF($F$43&lt;&gt;"","_"&amp;$F$43,""),'表3）燃料価格'!$AF$9:$AG$25,2,0)+VLOOKUP($F$41,'表3）燃料価格'!$AF$28:$AG$29,2,0),0)*IF($F$43="需要地価格",1,$F$8/$F$141))),"")</f>
        <v/>
      </c>
      <c r="AU58" s="71"/>
      <c r="AV58" s="10" t="str">
        <f t="shared" si="47"/>
        <v/>
      </c>
      <c r="AW58" s="10" t="str">
        <f t="shared" si="27"/>
        <v/>
      </c>
      <c r="AX58" s="71"/>
      <c r="AY58" s="7" t="str">
        <f>IF(ISERROR(IF($K58&lt;=$F$15,VLOOKUP($I58,'表4）CO2価格'!$A$7:$E$67,VLOOKUP($F$48,'表4）CO2価格'!$H$10:$I$12,2,0),0)*$F$8/1000,"")),0,IF($K58&lt;=$F$15,VLOOKUP($I58,'表4）CO2価格'!$A$7:$E$67,VLOOKUP($F$48,'表4）CO2価格'!$H$10:$I$12,2,0),0)*$F$8/1000,""))</f>
        <v/>
      </c>
      <c r="AZ58" s="71"/>
      <c r="BA58" s="11" t="str">
        <f t="shared" si="48"/>
        <v/>
      </c>
      <c r="BB58" s="10" t="str">
        <f t="shared" si="28"/>
        <v/>
      </c>
      <c r="BC58" s="71"/>
      <c r="BD58" s="10" t="str">
        <f t="shared" si="49"/>
        <v/>
      </c>
      <c r="BE58" s="10" t="str">
        <f t="shared" si="29"/>
        <v/>
      </c>
      <c r="BF58" s="71"/>
      <c r="BG58" s="11" t="str">
        <f t="shared" si="50"/>
        <v/>
      </c>
      <c r="BH58" s="10" t="str">
        <f t="shared" si="30"/>
        <v/>
      </c>
      <c r="BJ58" s="7" t="str">
        <f t="shared" si="31"/>
        <v/>
      </c>
      <c r="BK58" s="158" t="str">
        <f t="shared" si="32"/>
        <v/>
      </c>
      <c r="BL58" s="158" t="str">
        <f t="shared" si="14"/>
        <v/>
      </c>
      <c r="BM58" s="10"/>
      <c r="BN58" s="10" t="str">
        <f t="shared" si="33"/>
        <v/>
      </c>
      <c r="BO58" s="10" t="str">
        <f t="shared" si="34"/>
        <v/>
      </c>
      <c r="BQ58" s="10" t="str">
        <f t="shared" si="51"/>
        <v/>
      </c>
      <c r="BR58" s="10" t="str">
        <f t="shared" si="35"/>
        <v/>
      </c>
    </row>
    <row r="59" spans="3:70" x14ac:dyDescent="0.15">
      <c r="I59" s="458">
        <f t="shared" si="36"/>
        <v>2074</v>
      </c>
      <c r="J59" s="39"/>
      <c r="K59" s="39">
        <f t="shared" si="37"/>
        <v>45</v>
      </c>
      <c r="L59" s="39"/>
      <c r="M59" s="40">
        <f t="shared" si="38"/>
        <v>0.26443862376454325</v>
      </c>
      <c r="N59" s="39"/>
      <c r="O59" s="72" t="str">
        <f t="shared" si="52"/>
        <v/>
      </c>
      <c r="P59" s="41" t="str">
        <f t="shared" si="39"/>
        <v/>
      </c>
      <c r="Q59" s="39"/>
      <c r="R59" s="72" t="str">
        <f t="shared" si="53"/>
        <v/>
      </c>
      <c r="S59" s="39"/>
      <c r="T59" s="72" t="str">
        <f t="shared" si="18"/>
        <v/>
      </c>
      <c r="U59" s="39"/>
      <c r="V59" s="72" t="str">
        <f t="shared" si="40"/>
        <v/>
      </c>
      <c r="W59" s="72" t="str">
        <f t="shared" si="54"/>
        <v/>
      </c>
      <c r="X59" s="39"/>
      <c r="Y59" s="72" t="str">
        <f t="shared" si="41"/>
        <v/>
      </c>
      <c r="Z59" s="72" t="str">
        <f t="shared" si="55"/>
        <v/>
      </c>
      <c r="AA59" s="39"/>
      <c r="AB59" s="72" t="str">
        <f t="shared" si="4"/>
        <v/>
      </c>
      <c r="AC59" s="72" t="str">
        <f t="shared" si="56"/>
        <v/>
      </c>
      <c r="AD59" s="39"/>
      <c r="AE59" s="72" t="str">
        <f t="shared" si="42"/>
        <v/>
      </c>
      <c r="AF59" s="72" t="str">
        <f t="shared" si="57"/>
        <v/>
      </c>
      <c r="AG59" s="39"/>
      <c r="AH59" s="72" t="str">
        <f t="shared" si="43"/>
        <v/>
      </c>
      <c r="AI59" s="72" t="str">
        <f t="shared" si="58"/>
        <v/>
      </c>
      <c r="AJ59" s="39"/>
      <c r="AK59" s="72" t="str">
        <f t="shared" si="44"/>
        <v/>
      </c>
      <c r="AL59" s="72" t="str">
        <f t="shared" si="59"/>
        <v/>
      </c>
      <c r="AM59" s="39"/>
      <c r="AN59" s="72" t="str">
        <f t="shared" si="45"/>
        <v/>
      </c>
      <c r="AO59" s="72" t="str">
        <f t="shared" si="60"/>
        <v/>
      </c>
      <c r="AP59" s="39"/>
      <c r="AQ59" s="72" t="str">
        <f t="shared" si="46"/>
        <v/>
      </c>
      <c r="AR59" s="72" t="str">
        <f t="shared" si="26"/>
        <v/>
      </c>
      <c r="AS59" s="39"/>
      <c r="AT59" s="40" t="str">
        <f>IF($K59&lt;=$F$15,IF($F$40&lt;&gt;"",$F$40/1000,IF(ISERROR(VLOOKUP($F$3&amp;IF($G$4&lt;&gt;"",$G$4,"")&amp;IF($F$43&lt;&gt;"","_"&amp;$F$43,""),'表3）燃料価格'!$AF$9:$AG$25,2,0)),0,VLOOKUP($I59,'表3）燃料価格'!$A$6:$U$66,VLOOKUP($F$3&amp;IF($G$4&lt;&gt;"",$G$4,"")&amp;IF($F$43&lt;&gt;"","_"&amp;$F$43,""),'表3）燃料価格'!$AF$9:$AG$25,2,0)+VLOOKUP($F$41,'表3）燃料価格'!$AF$28:$AG$29,2,0),0)*IF($F$43="需要地価格",1,$F$8/$F$141))),"")</f>
        <v/>
      </c>
      <c r="AU59" s="39"/>
      <c r="AV59" s="72" t="str">
        <f t="shared" si="47"/>
        <v/>
      </c>
      <c r="AW59" s="72" t="str">
        <f t="shared" si="27"/>
        <v/>
      </c>
      <c r="AX59" s="39"/>
      <c r="AY59" s="40" t="str">
        <f>IF(ISERROR(IF($K59&lt;=$F$15,VLOOKUP($I59,'表4）CO2価格'!$A$7:$E$67,VLOOKUP($F$48,'表4）CO2価格'!$H$10:$I$12,2,0),0)*$F$8/1000,"")),0,IF($K59&lt;=$F$15,VLOOKUP($I59,'表4）CO2価格'!$A$7:$E$67,VLOOKUP($F$48,'表4）CO2価格'!$H$10:$I$12,2,0),0)*$F$8/1000,""))</f>
        <v/>
      </c>
      <c r="AZ59" s="39"/>
      <c r="BA59" s="42" t="str">
        <f t="shared" si="48"/>
        <v/>
      </c>
      <c r="BB59" s="72" t="str">
        <f t="shared" si="28"/>
        <v/>
      </c>
      <c r="BC59" s="39"/>
      <c r="BD59" s="72" t="str">
        <f t="shared" si="49"/>
        <v/>
      </c>
      <c r="BE59" s="72" t="str">
        <f t="shared" si="29"/>
        <v/>
      </c>
      <c r="BF59" s="39"/>
      <c r="BG59" s="42" t="str">
        <f t="shared" si="50"/>
        <v/>
      </c>
      <c r="BH59" s="72" t="str">
        <f t="shared" si="30"/>
        <v/>
      </c>
      <c r="BI59" s="39"/>
      <c r="BJ59" s="40" t="str">
        <f t="shared" si="31"/>
        <v/>
      </c>
      <c r="BK59" s="157" t="str">
        <f t="shared" si="32"/>
        <v/>
      </c>
      <c r="BL59" s="157" t="str">
        <f t="shared" si="14"/>
        <v/>
      </c>
      <c r="BM59" s="72"/>
      <c r="BN59" s="72" t="str">
        <f t="shared" si="33"/>
        <v/>
      </c>
      <c r="BO59" s="72" t="str">
        <f t="shared" si="34"/>
        <v/>
      </c>
      <c r="BP59" s="39"/>
      <c r="BQ59" s="72" t="str">
        <f t="shared" si="51"/>
        <v/>
      </c>
      <c r="BR59" s="72" t="str">
        <f t="shared" si="35"/>
        <v/>
      </c>
    </row>
    <row r="60" spans="3:70" x14ac:dyDescent="0.15">
      <c r="D60" s="81" t="s">
        <v>128</v>
      </c>
      <c r="F60" s="59"/>
      <c r="G60" s="81" t="s">
        <v>176</v>
      </c>
      <c r="I60" s="459">
        <f t="shared" si="36"/>
        <v>2075</v>
      </c>
      <c r="J60" s="71"/>
      <c r="K60" s="71">
        <f t="shared" si="37"/>
        <v>46</v>
      </c>
      <c r="L60" s="71"/>
      <c r="M60" s="7">
        <f t="shared" si="38"/>
        <v>0.25673652792674101</v>
      </c>
      <c r="N60" s="71"/>
      <c r="O60" s="10" t="str">
        <f t="shared" si="52"/>
        <v/>
      </c>
      <c r="P60" s="29" t="str">
        <f t="shared" si="39"/>
        <v/>
      </c>
      <c r="Q60" s="71"/>
      <c r="R60" s="10" t="str">
        <f t="shared" si="53"/>
        <v/>
      </c>
      <c r="S60" s="71"/>
      <c r="T60" s="10" t="str">
        <f t="shared" si="18"/>
        <v/>
      </c>
      <c r="U60" s="71"/>
      <c r="V60" s="10" t="str">
        <f t="shared" si="40"/>
        <v/>
      </c>
      <c r="W60" s="10" t="str">
        <f t="shared" si="54"/>
        <v/>
      </c>
      <c r="X60" s="71"/>
      <c r="Y60" s="10" t="str">
        <f t="shared" si="41"/>
        <v/>
      </c>
      <c r="Z60" s="10" t="str">
        <f t="shared" si="55"/>
        <v/>
      </c>
      <c r="AA60" s="71"/>
      <c r="AB60" s="10" t="str">
        <f t="shared" si="4"/>
        <v/>
      </c>
      <c r="AC60" s="10" t="str">
        <f t="shared" si="56"/>
        <v/>
      </c>
      <c r="AD60" s="71"/>
      <c r="AE60" s="10" t="str">
        <f t="shared" si="42"/>
        <v/>
      </c>
      <c r="AF60" s="10" t="str">
        <f t="shared" si="57"/>
        <v/>
      </c>
      <c r="AG60" s="71"/>
      <c r="AH60" s="10" t="str">
        <f t="shared" si="43"/>
        <v/>
      </c>
      <c r="AI60" s="10" t="str">
        <f t="shared" si="58"/>
        <v/>
      </c>
      <c r="AJ60" s="71"/>
      <c r="AK60" s="10" t="str">
        <f t="shared" si="44"/>
        <v/>
      </c>
      <c r="AL60" s="10" t="str">
        <f t="shared" si="59"/>
        <v/>
      </c>
      <c r="AM60" s="71"/>
      <c r="AN60" s="10" t="str">
        <f t="shared" si="45"/>
        <v/>
      </c>
      <c r="AO60" s="10" t="str">
        <f t="shared" si="60"/>
        <v/>
      </c>
      <c r="AP60" s="71"/>
      <c r="AQ60" s="10" t="str">
        <f t="shared" si="46"/>
        <v/>
      </c>
      <c r="AR60" s="10" t="str">
        <f t="shared" si="26"/>
        <v/>
      </c>
      <c r="AS60" s="71"/>
      <c r="AT60" s="7" t="str">
        <f>IF($K60&lt;=$F$15,IF($F$40&lt;&gt;"",$F$40/1000,IF(ISERROR(VLOOKUP($F$3&amp;IF($G$4&lt;&gt;"",$G$4,"")&amp;IF($F$43&lt;&gt;"","_"&amp;$F$43,""),'表3）燃料価格'!$AF$9:$AG$25,2,0)),0,VLOOKUP($I60,'表3）燃料価格'!$A$6:$U$66,VLOOKUP($F$3&amp;IF($G$4&lt;&gt;"",$G$4,"")&amp;IF($F$43&lt;&gt;"","_"&amp;$F$43,""),'表3）燃料価格'!$AF$9:$AG$25,2,0)+VLOOKUP($F$41,'表3）燃料価格'!$AF$28:$AG$29,2,0),0)*IF($F$43="需要地価格",1,$F$8/$F$141))),"")</f>
        <v/>
      </c>
      <c r="AU60" s="71"/>
      <c r="AV60" s="10" t="str">
        <f t="shared" si="47"/>
        <v/>
      </c>
      <c r="AW60" s="10" t="str">
        <f t="shared" si="27"/>
        <v/>
      </c>
      <c r="AX60" s="71"/>
      <c r="AY60" s="7" t="str">
        <f>IF(ISERROR(IF($K60&lt;=$F$15,VLOOKUP($I60,'表4）CO2価格'!$A$7:$E$67,VLOOKUP($F$48,'表4）CO2価格'!$H$10:$I$12,2,0),0)*$F$8/1000,"")),0,IF($K60&lt;=$F$15,VLOOKUP($I60,'表4）CO2価格'!$A$7:$E$67,VLOOKUP($F$48,'表4）CO2価格'!$H$10:$I$12,2,0),0)*$F$8/1000,""))</f>
        <v/>
      </c>
      <c r="AZ60" s="71"/>
      <c r="BA60" s="11" t="str">
        <f t="shared" si="48"/>
        <v/>
      </c>
      <c r="BB60" s="10" t="str">
        <f t="shared" si="28"/>
        <v/>
      </c>
      <c r="BC60" s="71"/>
      <c r="BD60" s="10" t="str">
        <f t="shared" si="49"/>
        <v/>
      </c>
      <c r="BE60" s="10" t="str">
        <f t="shared" si="29"/>
        <v/>
      </c>
      <c r="BF60" s="71"/>
      <c r="BG60" s="11" t="str">
        <f t="shared" si="50"/>
        <v/>
      </c>
      <c r="BH60" s="10" t="str">
        <f t="shared" si="30"/>
        <v/>
      </c>
      <c r="BJ60" s="7" t="str">
        <f t="shared" si="31"/>
        <v/>
      </c>
      <c r="BK60" s="158" t="str">
        <f t="shared" si="32"/>
        <v/>
      </c>
      <c r="BL60" s="158" t="str">
        <f t="shared" si="14"/>
        <v/>
      </c>
      <c r="BM60" s="10"/>
      <c r="BN60" s="10" t="str">
        <f t="shared" si="33"/>
        <v/>
      </c>
      <c r="BO60" s="10" t="str">
        <f t="shared" si="34"/>
        <v/>
      </c>
      <c r="BQ60" s="10" t="str">
        <f t="shared" si="51"/>
        <v/>
      </c>
      <c r="BR60" s="10" t="str">
        <f t="shared" si="35"/>
        <v/>
      </c>
    </row>
    <row r="61" spans="3:70" x14ac:dyDescent="0.15">
      <c r="D61" s="81" t="s">
        <v>190</v>
      </c>
      <c r="F61" s="66"/>
      <c r="G61" s="81" t="s">
        <v>108</v>
      </c>
      <c r="I61" s="458">
        <f t="shared" si="36"/>
        <v>2076</v>
      </c>
      <c r="J61" s="39"/>
      <c r="K61" s="39">
        <f t="shared" si="37"/>
        <v>47</v>
      </c>
      <c r="L61" s="39"/>
      <c r="M61" s="40">
        <f t="shared" si="38"/>
        <v>0.24925876497741845</v>
      </c>
      <c r="N61" s="39"/>
      <c r="O61" s="72" t="str">
        <f t="shared" si="52"/>
        <v/>
      </c>
      <c r="P61" s="41" t="str">
        <f t="shared" si="39"/>
        <v/>
      </c>
      <c r="Q61" s="39"/>
      <c r="R61" s="72" t="str">
        <f t="shared" si="53"/>
        <v/>
      </c>
      <c r="S61" s="39"/>
      <c r="T61" s="72" t="str">
        <f t="shared" si="18"/>
        <v/>
      </c>
      <c r="U61" s="39"/>
      <c r="V61" s="72" t="str">
        <f t="shared" si="40"/>
        <v/>
      </c>
      <c r="W61" s="72" t="str">
        <f t="shared" si="54"/>
        <v/>
      </c>
      <c r="X61" s="39"/>
      <c r="Y61" s="72" t="str">
        <f t="shared" si="41"/>
        <v/>
      </c>
      <c r="Z61" s="72" t="str">
        <f t="shared" si="55"/>
        <v/>
      </c>
      <c r="AA61" s="39"/>
      <c r="AB61" s="72" t="str">
        <f t="shared" si="4"/>
        <v/>
      </c>
      <c r="AC61" s="72" t="str">
        <f t="shared" si="56"/>
        <v/>
      </c>
      <c r="AD61" s="39"/>
      <c r="AE61" s="72" t="str">
        <f t="shared" si="42"/>
        <v/>
      </c>
      <c r="AF61" s="72" t="str">
        <f t="shared" si="57"/>
        <v/>
      </c>
      <c r="AG61" s="39"/>
      <c r="AH61" s="72" t="str">
        <f t="shared" si="43"/>
        <v/>
      </c>
      <c r="AI61" s="72" t="str">
        <f t="shared" si="58"/>
        <v/>
      </c>
      <c r="AJ61" s="39"/>
      <c r="AK61" s="72" t="str">
        <f t="shared" si="44"/>
        <v/>
      </c>
      <c r="AL61" s="72" t="str">
        <f t="shared" si="59"/>
        <v/>
      </c>
      <c r="AM61" s="39"/>
      <c r="AN61" s="72" t="str">
        <f t="shared" si="45"/>
        <v/>
      </c>
      <c r="AO61" s="72" t="str">
        <f t="shared" si="60"/>
        <v/>
      </c>
      <c r="AP61" s="39"/>
      <c r="AQ61" s="72" t="str">
        <f t="shared" si="46"/>
        <v/>
      </c>
      <c r="AR61" s="72" t="str">
        <f t="shared" si="26"/>
        <v/>
      </c>
      <c r="AS61" s="39"/>
      <c r="AT61" s="40" t="str">
        <f>IF($K61&lt;=$F$15,IF($F$40&lt;&gt;"",$F$40/1000,IF(ISERROR(VLOOKUP($F$3&amp;IF($G$4&lt;&gt;"",$G$4,"")&amp;IF($F$43&lt;&gt;"","_"&amp;$F$43,""),'表3）燃料価格'!$AF$9:$AG$25,2,0)),0,VLOOKUP($I61,'表3）燃料価格'!$A$6:$U$66,VLOOKUP($F$3&amp;IF($G$4&lt;&gt;"",$G$4,"")&amp;IF($F$43&lt;&gt;"","_"&amp;$F$43,""),'表3）燃料価格'!$AF$9:$AG$25,2,0)+VLOOKUP($F$41,'表3）燃料価格'!$AF$28:$AG$29,2,0),0)*IF($F$43="需要地価格",1,$F$8/$F$141))),"")</f>
        <v/>
      </c>
      <c r="AU61" s="39"/>
      <c r="AV61" s="72" t="str">
        <f t="shared" si="47"/>
        <v/>
      </c>
      <c r="AW61" s="72" t="str">
        <f t="shared" si="27"/>
        <v/>
      </c>
      <c r="AX61" s="39"/>
      <c r="AY61" s="40" t="str">
        <f>IF(ISERROR(IF($K61&lt;=$F$15,VLOOKUP($I61,'表4）CO2価格'!$A$7:$E$67,VLOOKUP($F$48,'表4）CO2価格'!$H$10:$I$12,2,0),0)*$F$8/1000,"")),0,IF($K61&lt;=$F$15,VLOOKUP($I61,'表4）CO2価格'!$A$7:$E$67,VLOOKUP($F$48,'表4）CO2価格'!$H$10:$I$12,2,0),0)*$F$8/1000,""))</f>
        <v/>
      </c>
      <c r="AZ61" s="39"/>
      <c r="BA61" s="42" t="str">
        <f t="shared" si="48"/>
        <v/>
      </c>
      <c r="BB61" s="72" t="str">
        <f t="shared" si="28"/>
        <v/>
      </c>
      <c r="BC61" s="39"/>
      <c r="BD61" s="72" t="str">
        <f t="shared" si="49"/>
        <v/>
      </c>
      <c r="BE61" s="72" t="str">
        <f t="shared" si="29"/>
        <v/>
      </c>
      <c r="BF61" s="39"/>
      <c r="BG61" s="42" t="str">
        <f t="shared" si="50"/>
        <v/>
      </c>
      <c r="BH61" s="72" t="str">
        <f t="shared" si="30"/>
        <v/>
      </c>
      <c r="BI61" s="39"/>
      <c r="BJ61" s="40" t="str">
        <f t="shared" si="31"/>
        <v/>
      </c>
      <c r="BK61" s="157" t="str">
        <f t="shared" si="32"/>
        <v/>
      </c>
      <c r="BL61" s="157" t="str">
        <f t="shared" si="14"/>
        <v/>
      </c>
      <c r="BM61" s="72"/>
      <c r="BN61" s="72" t="str">
        <f t="shared" si="33"/>
        <v/>
      </c>
      <c r="BO61" s="72" t="str">
        <f t="shared" si="34"/>
        <v/>
      </c>
      <c r="BP61" s="39"/>
      <c r="BQ61" s="72" t="str">
        <f t="shared" si="51"/>
        <v/>
      </c>
      <c r="BR61" s="72" t="str">
        <f t="shared" si="35"/>
        <v/>
      </c>
    </row>
    <row r="62" spans="3:70" x14ac:dyDescent="0.15">
      <c r="D62" s="81" t="s">
        <v>131</v>
      </c>
      <c r="F62" s="59"/>
      <c r="G62" s="81" t="s">
        <v>191</v>
      </c>
      <c r="I62" s="459">
        <f t="shared" si="36"/>
        <v>2077</v>
      </c>
      <c r="J62" s="71"/>
      <c r="K62" s="71">
        <f t="shared" si="37"/>
        <v>48</v>
      </c>
      <c r="L62" s="71"/>
      <c r="M62" s="7">
        <f t="shared" si="38"/>
        <v>0.24199880094894996</v>
      </c>
      <c r="N62" s="71"/>
      <c r="O62" s="10" t="str">
        <f t="shared" si="52"/>
        <v/>
      </c>
      <c r="P62" s="29" t="str">
        <f t="shared" si="39"/>
        <v/>
      </c>
      <c r="Q62" s="71"/>
      <c r="R62" s="10" t="str">
        <f t="shared" si="53"/>
        <v/>
      </c>
      <c r="S62" s="71"/>
      <c r="T62" s="10" t="str">
        <f t="shared" si="18"/>
        <v/>
      </c>
      <c r="U62" s="71"/>
      <c r="V62" s="10" t="str">
        <f t="shared" si="40"/>
        <v/>
      </c>
      <c r="W62" s="10" t="str">
        <f t="shared" si="54"/>
        <v/>
      </c>
      <c r="X62" s="71"/>
      <c r="Y62" s="10" t="str">
        <f t="shared" si="41"/>
        <v/>
      </c>
      <c r="Z62" s="10" t="str">
        <f t="shared" si="55"/>
        <v/>
      </c>
      <c r="AA62" s="71"/>
      <c r="AB62" s="10" t="str">
        <f t="shared" si="4"/>
        <v/>
      </c>
      <c r="AC62" s="10" t="str">
        <f t="shared" si="56"/>
        <v/>
      </c>
      <c r="AD62" s="71"/>
      <c r="AE62" s="10" t="str">
        <f t="shared" si="42"/>
        <v/>
      </c>
      <c r="AF62" s="10" t="str">
        <f t="shared" si="57"/>
        <v/>
      </c>
      <c r="AG62" s="71"/>
      <c r="AH62" s="10" t="str">
        <f t="shared" si="43"/>
        <v/>
      </c>
      <c r="AI62" s="10" t="str">
        <f t="shared" si="58"/>
        <v/>
      </c>
      <c r="AJ62" s="71"/>
      <c r="AK62" s="10" t="str">
        <f t="shared" si="44"/>
        <v/>
      </c>
      <c r="AL62" s="10" t="str">
        <f t="shared" si="59"/>
        <v/>
      </c>
      <c r="AM62" s="71"/>
      <c r="AN62" s="10" t="str">
        <f t="shared" si="45"/>
        <v/>
      </c>
      <c r="AO62" s="10" t="str">
        <f t="shared" si="60"/>
        <v/>
      </c>
      <c r="AP62" s="71"/>
      <c r="AQ62" s="10" t="str">
        <f t="shared" si="46"/>
        <v/>
      </c>
      <c r="AR62" s="10" t="str">
        <f t="shared" si="26"/>
        <v/>
      </c>
      <c r="AS62" s="71"/>
      <c r="AT62" s="7" t="str">
        <f>IF($K62&lt;=$F$15,IF($F$40&lt;&gt;"",$F$40/1000,IF(ISERROR(VLOOKUP($F$3&amp;IF($G$4&lt;&gt;"",$G$4,"")&amp;IF($F$43&lt;&gt;"","_"&amp;$F$43,""),'表3）燃料価格'!$AF$9:$AG$25,2,0)),0,VLOOKUP($I62,'表3）燃料価格'!$A$6:$U$66,VLOOKUP($F$3&amp;IF($G$4&lt;&gt;"",$G$4,"")&amp;IF($F$43&lt;&gt;"","_"&amp;$F$43,""),'表3）燃料価格'!$AF$9:$AG$25,2,0)+VLOOKUP($F$41,'表3）燃料価格'!$AF$28:$AG$29,2,0),0)*IF($F$43="需要地価格",1,$F$8/$F$141))),"")</f>
        <v/>
      </c>
      <c r="AU62" s="71"/>
      <c r="AV62" s="10" t="str">
        <f t="shared" si="47"/>
        <v/>
      </c>
      <c r="AW62" s="10" t="str">
        <f t="shared" si="27"/>
        <v/>
      </c>
      <c r="AX62" s="71"/>
      <c r="AY62" s="7" t="str">
        <f>IF(ISERROR(IF($K62&lt;=$F$15,VLOOKUP($I62,'表4）CO2価格'!$A$7:$E$67,VLOOKUP($F$48,'表4）CO2価格'!$H$10:$I$12,2,0),0)*$F$8/1000,"")),0,IF($K62&lt;=$F$15,VLOOKUP($I62,'表4）CO2価格'!$A$7:$E$67,VLOOKUP($F$48,'表4）CO2価格'!$H$10:$I$12,2,0),0)*$F$8/1000,""))</f>
        <v/>
      </c>
      <c r="AZ62" s="71"/>
      <c r="BA62" s="11" t="str">
        <f t="shared" si="48"/>
        <v/>
      </c>
      <c r="BB62" s="10" t="str">
        <f t="shared" si="28"/>
        <v/>
      </c>
      <c r="BC62" s="71"/>
      <c r="BD62" s="10" t="str">
        <f t="shared" si="49"/>
        <v/>
      </c>
      <c r="BE62" s="10" t="str">
        <f t="shared" si="29"/>
        <v/>
      </c>
      <c r="BF62" s="71"/>
      <c r="BG62" s="11" t="str">
        <f t="shared" si="50"/>
        <v/>
      </c>
      <c r="BH62" s="10" t="str">
        <f t="shared" si="30"/>
        <v/>
      </c>
      <c r="BJ62" s="7" t="str">
        <f t="shared" si="31"/>
        <v/>
      </c>
      <c r="BK62" s="158" t="str">
        <f t="shared" si="32"/>
        <v/>
      </c>
      <c r="BL62" s="158" t="str">
        <f t="shared" si="14"/>
        <v/>
      </c>
      <c r="BM62" s="10"/>
      <c r="BN62" s="10" t="str">
        <f t="shared" si="33"/>
        <v/>
      </c>
      <c r="BO62" s="10" t="str">
        <f t="shared" si="34"/>
        <v/>
      </c>
      <c r="BQ62" s="10" t="str">
        <f t="shared" si="51"/>
        <v/>
      </c>
      <c r="BR62" s="10" t="str">
        <f t="shared" si="35"/>
        <v/>
      </c>
    </row>
    <row r="63" spans="3:70" x14ac:dyDescent="0.15">
      <c r="I63" s="458">
        <f t="shared" si="36"/>
        <v>2078</v>
      </c>
      <c r="J63" s="39"/>
      <c r="K63" s="39">
        <f t="shared" si="37"/>
        <v>49</v>
      </c>
      <c r="L63" s="39"/>
      <c r="M63" s="40">
        <f t="shared" si="38"/>
        <v>0.2349502921834466</v>
      </c>
      <c r="N63" s="39"/>
      <c r="O63" s="72" t="str">
        <f t="shared" si="52"/>
        <v/>
      </c>
      <c r="P63" s="41" t="str">
        <f t="shared" si="39"/>
        <v/>
      </c>
      <c r="Q63" s="39"/>
      <c r="R63" s="72" t="str">
        <f t="shared" si="53"/>
        <v/>
      </c>
      <c r="S63" s="39"/>
      <c r="T63" s="72" t="str">
        <f t="shared" si="18"/>
        <v/>
      </c>
      <c r="U63" s="39"/>
      <c r="V63" s="72" t="str">
        <f t="shared" si="40"/>
        <v/>
      </c>
      <c r="W63" s="72" t="str">
        <f t="shared" si="54"/>
        <v/>
      </c>
      <c r="X63" s="39"/>
      <c r="Y63" s="72" t="str">
        <f t="shared" si="41"/>
        <v/>
      </c>
      <c r="Z63" s="72" t="str">
        <f t="shared" si="55"/>
        <v/>
      </c>
      <c r="AA63" s="39"/>
      <c r="AB63" s="72" t="str">
        <f t="shared" si="4"/>
        <v/>
      </c>
      <c r="AC63" s="72" t="str">
        <f t="shared" si="56"/>
        <v/>
      </c>
      <c r="AD63" s="39"/>
      <c r="AE63" s="72" t="str">
        <f t="shared" si="42"/>
        <v/>
      </c>
      <c r="AF63" s="72" t="str">
        <f t="shared" si="57"/>
        <v/>
      </c>
      <c r="AG63" s="39"/>
      <c r="AH63" s="72" t="str">
        <f t="shared" si="43"/>
        <v/>
      </c>
      <c r="AI63" s="72" t="str">
        <f t="shared" si="58"/>
        <v/>
      </c>
      <c r="AJ63" s="39"/>
      <c r="AK63" s="72" t="str">
        <f t="shared" si="44"/>
        <v/>
      </c>
      <c r="AL63" s="72" t="str">
        <f t="shared" si="59"/>
        <v/>
      </c>
      <c r="AM63" s="39"/>
      <c r="AN63" s="72" t="str">
        <f t="shared" si="45"/>
        <v/>
      </c>
      <c r="AO63" s="72" t="str">
        <f t="shared" si="60"/>
        <v/>
      </c>
      <c r="AP63" s="39"/>
      <c r="AQ63" s="72" t="str">
        <f t="shared" si="46"/>
        <v/>
      </c>
      <c r="AR63" s="72" t="str">
        <f t="shared" si="26"/>
        <v/>
      </c>
      <c r="AS63" s="39"/>
      <c r="AT63" s="40" t="str">
        <f>IF($K63&lt;=$F$15,IF($F$40&lt;&gt;"",$F$40/1000,IF(ISERROR(VLOOKUP($F$3&amp;IF($G$4&lt;&gt;"",$G$4,"")&amp;IF($F$43&lt;&gt;"","_"&amp;$F$43,""),'表3）燃料価格'!$AF$9:$AG$25,2,0)),0,VLOOKUP($I63,'表3）燃料価格'!$A$6:$U$66,VLOOKUP($F$3&amp;IF($G$4&lt;&gt;"",$G$4,"")&amp;IF($F$43&lt;&gt;"","_"&amp;$F$43,""),'表3）燃料価格'!$AF$9:$AG$25,2,0)+VLOOKUP($F$41,'表3）燃料価格'!$AF$28:$AG$29,2,0),0)*IF($F$43="需要地価格",1,$F$8/$F$141))),"")</f>
        <v/>
      </c>
      <c r="AU63" s="39"/>
      <c r="AV63" s="72" t="str">
        <f t="shared" si="47"/>
        <v/>
      </c>
      <c r="AW63" s="72" t="str">
        <f t="shared" si="27"/>
        <v/>
      </c>
      <c r="AX63" s="39"/>
      <c r="AY63" s="40" t="str">
        <f>IF(ISERROR(IF($K63&lt;=$F$15,VLOOKUP($I63,'表4）CO2価格'!$A$7:$E$67,VLOOKUP($F$48,'表4）CO2価格'!$H$10:$I$12,2,0),0)*$F$8/1000,"")),0,IF($K63&lt;=$F$15,VLOOKUP($I63,'表4）CO2価格'!$A$7:$E$67,VLOOKUP($F$48,'表4）CO2価格'!$H$10:$I$12,2,0),0)*$F$8/1000,""))</f>
        <v/>
      </c>
      <c r="AZ63" s="39"/>
      <c r="BA63" s="42" t="str">
        <f t="shared" si="48"/>
        <v/>
      </c>
      <c r="BB63" s="72" t="str">
        <f t="shared" si="28"/>
        <v/>
      </c>
      <c r="BC63" s="39"/>
      <c r="BD63" s="72" t="str">
        <f t="shared" si="49"/>
        <v/>
      </c>
      <c r="BE63" s="72" t="str">
        <f t="shared" si="29"/>
        <v/>
      </c>
      <c r="BF63" s="39"/>
      <c r="BG63" s="42" t="str">
        <f t="shared" si="50"/>
        <v/>
      </c>
      <c r="BH63" s="72" t="str">
        <f t="shared" si="30"/>
        <v/>
      </c>
      <c r="BI63" s="39"/>
      <c r="BJ63" s="40" t="str">
        <f t="shared" si="31"/>
        <v/>
      </c>
      <c r="BK63" s="157" t="str">
        <f t="shared" si="32"/>
        <v/>
      </c>
      <c r="BL63" s="157" t="str">
        <f t="shared" si="14"/>
        <v/>
      </c>
      <c r="BM63" s="72"/>
      <c r="BN63" s="72" t="str">
        <f t="shared" si="33"/>
        <v/>
      </c>
      <c r="BO63" s="72" t="str">
        <f t="shared" si="34"/>
        <v/>
      </c>
      <c r="BP63" s="39"/>
      <c r="BQ63" s="72" t="str">
        <f t="shared" si="51"/>
        <v/>
      </c>
      <c r="BR63" s="72" t="str">
        <f t="shared" si="35"/>
        <v/>
      </c>
    </row>
    <row r="64" spans="3:70" x14ac:dyDescent="0.15">
      <c r="C64" s="9" t="s">
        <v>513</v>
      </c>
      <c r="F64" s="90">
        <v>0.12</v>
      </c>
      <c r="G64" s="81" t="s">
        <v>132</v>
      </c>
      <c r="I64" s="459">
        <f t="shared" si="36"/>
        <v>2079</v>
      </c>
      <c r="J64" s="71"/>
      <c r="K64" s="71">
        <f t="shared" si="37"/>
        <v>50</v>
      </c>
      <c r="L64" s="71"/>
      <c r="M64" s="7">
        <f t="shared" si="38"/>
        <v>0.22810707978975397</v>
      </c>
      <c r="N64" s="71"/>
      <c r="O64" s="10" t="str">
        <f t="shared" si="52"/>
        <v/>
      </c>
      <c r="P64" s="29" t="str">
        <f t="shared" si="39"/>
        <v/>
      </c>
      <c r="Q64" s="71"/>
      <c r="R64" s="10" t="str">
        <f t="shared" si="53"/>
        <v/>
      </c>
      <c r="S64" s="71"/>
      <c r="T64" s="10" t="str">
        <f t="shared" si="18"/>
        <v/>
      </c>
      <c r="U64" s="71"/>
      <c r="V64" s="10" t="str">
        <f t="shared" si="40"/>
        <v/>
      </c>
      <c r="W64" s="10" t="str">
        <f t="shared" si="54"/>
        <v/>
      </c>
      <c r="X64" s="71"/>
      <c r="Y64" s="10" t="str">
        <f t="shared" si="41"/>
        <v/>
      </c>
      <c r="Z64" s="10" t="str">
        <f t="shared" si="55"/>
        <v/>
      </c>
      <c r="AA64" s="71"/>
      <c r="AB64" s="10" t="str">
        <f t="shared" si="4"/>
        <v/>
      </c>
      <c r="AC64" s="10" t="str">
        <f t="shared" si="56"/>
        <v/>
      </c>
      <c r="AD64" s="71"/>
      <c r="AE64" s="10" t="str">
        <f t="shared" si="42"/>
        <v/>
      </c>
      <c r="AF64" s="10" t="str">
        <f t="shared" si="57"/>
        <v/>
      </c>
      <c r="AG64" s="71"/>
      <c r="AH64" s="10" t="str">
        <f t="shared" si="43"/>
        <v/>
      </c>
      <c r="AI64" s="10" t="str">
        <f t="shared" si="58"/>
        <v/>
      </c>
      <c r="AJ64" s="71"/>
      <c r="AK64" s="10" t="str">
        <f t="shared" si="44"/>
        <v/>
      </c>
      <c r="AL64" s="10" t="str">
        <f t="shared" si="59"/>
        <v/>
      </c>
      <c r="AM64" s="71"/>
      <c r="AN64" s="10" t="str">
        <f t="shared" si="45"/>
        <v/>
      </c>
      <c r="AO64" s="10" t="str">
        <f t="shared" si="60"/>
        <v/>
      </c>
      <c r="AP64" s="71"/>
      <c r="AQ64" s="10" t="str">
        <f t="shared" si="46"/>
        <v/>
      </c>
      <c r="AR64" s="10" t="str">
        <f t="shared" si="26"/>
        <v/>
      </c>
      <c r="AS64" s="71"/>
      <c r="AT64" s="7" t="str">
        <f>IF($K64&lt;=$F$15,IF($F$40&lt;&gt;"",$F$40/1000,IF(ISERROR(VLOOKUP($F$3&amp;IF($G$4&lt;&gt;"",$G$4,"")&amp;IF($F$43&lt;&gt;"","_"&amp;$F$43,""),'表3）燃料価格'!$AF$9:$AG$25,2,0)),0,VLOOKUP($I64,'表3）燃料価格'!$A$6:$U$66,VLOOKUP($F$3&amp;IF($G$4&lt;&gt;"",$G$4,"")&amp;IF($F$43&lt;&gt;"","_"&amp;$F$43,""),'表3）燃料価格'!$AF$9:$AG$25,2,0)+VLOOKUP($F$41,'表3）燃料価格'!$AF$28:$AG$29,2,0),0)*IF($F$43="需要地価格",1,$F$8/$F$141))),"")</f>
        <v/>
      </c>
      <c r="AU64" s="71"/>
      <c r="AV64" s="10" t="str">
        <f t="shared" si="47"/>
        <v/>
      </c>
      <c r="AW64" s="10" t="str">
        <f t="shared" si="27"/>
        <v/>
      </c>
      <c r="AX64" s="71"/>
      <c r="AY64" s="7" t="str">
        <f>IF(ISERROR(IF($K64&lt;=$F$15,VLOOKUP($I64,'表4）CO2価格'!$A$7:$E$67,VLOOKUP($F$48,'表4）CO2価格'!$H$10:$I$12,2,0),0)*$F$8/1000,"")),0,IF($K64&lt;=$F$15,VLOOKUP($I64,'表4）CO2価格'!$A$7:$E$67,VLOOKUP($F$48,'表4）CO2価格'!$H$10:$I$12,2,0),0)*$F$8/1000,""))</f>
        <v/>
      </c>
      <c r="AZ64" s="71"/>
      <c r="BA64" s="11" t="str">
        <f t="shared" si="48"/>
        <v/>
      </c>
      <c r="BB64" s="10" t="str">
        <f t="shared" si="28"/>
        <v/>
      </c>
      <c r="BC64" s="71"/>
      <c r="BD64" s="10" t="str">
        <f t="shared" si="49"/>
        <v/>
      </c>
      <c r="BE64" s="10" t="str">
        <f t="shared" si="29"/>
        <v/>
      </c>
      <c r="BF64" s="71"/>
      <c r="BG64" s="11" t="str">
        <f t="shared" si="50"/>
        <v/>
      </c>
      <c r="BH64" s="10" t="str">
        <f t="shared" si="30"/>
        <v/>
      </c>
      <c r="BJ64" s="7" t="str">
        <f t="shared" si="31"/>
        <v/>
      </c>
      <c r="BK64" s="158" t="str">
        <f t="shared" si="32"/>
        <v/>
      </c>
      <c r="BL64" s="158" t="str">
        <f t="shared" si="14"/>
        <v/>
      </c>
      <c r="BM64" s="10"/>
      <c r="BN64" s="10" t="str">
        <f t="shared" si="33"/>
        <v/>
      </c>
      <c r="BO64" s="10" t="str">
        <f t="shared" si="34"/>
        <v/>
      </c>
      <c r="BQ64" s="10" t="str">
        <f t="shared" si="51"/>
        <v/>
      </c>
      <c r="BR64" s="10" t="str">
        <f t="shared" si="35"/>
        <v/>
      </c>
    </row>
    <row r="65" spans="2:70" x14ac:dyDescent="0.15">
      <c r="I65" s="458">
        <f t="shared" si="36"/>
        <v>2080</v>
      </c>
      <c r="J65" s="39"/>
      <c r="K65" s="39">
        <f t="shared" si="37"/>
        <v>51</v>
      </c>
      <c r="L65" s="39"/>
      <c r="M65" s="40">
        <f t="shared" si="38"/>
        <v>0.22146318426189707</v>
      </c>
      <c r="N65" s="39"/>
      <c r="O65" s="72" t="str">
        <f t="shared" si="52"/>
        <v/>
      </c>
      <c r="P65" s="41" t="str">
        <f t="shared" si="39"/>
        <v/>
      </c>
      <c r="Q65" s="39"/>
      <c r="R65" s="72" t="str">
        <f t="shared" si="53"/>
        <v/>
      </c>
      <c r="S65" s="39"/>
      <c r="T65" s="72" t="str">
        <f t="shared" si="18"/>
        <v/>
      </c>
      <c r="U65" s="39"/>
      <c r="V65" s="72" t="str">
        <f t="shared" si="40"/>
        <v/>
      </c>
      <c r="W65" s="72" t="str">
        <f t="shared" si="54"/>
        <v/>
      </c>
      <c r="X65" s="39"/>
      <c r="Y65" s="72" t="str">
        <f t="shared" si="41"/>
        <v/>
      </c>
      <c r="Z65" s="72" t="str">
        <f t="shared" si="55"/>
        <v/>
      </c>
      <c r="AA65" s="39"/>
      <c r="AB65" s="72" t="str">
        <f t="shared" si="4"/>
        <v/>
      </c>
      <c r="AC65" s="72" t="str">
        <f t="shared" si="56"/>
        <v/>
      </c>
      <c r="AD65" s="39"/>
      <c r="AE65" s="72" t="str">
        <f t="shared" si="42"/>
        <v/>
      </c>
      <c r="AF65" s="72" t="str">
        <f t="shared" si="57"/>
        <v/>
      </c>
      <c r="AG65" s="39"/>
      <c r="AH65" s="72" t="str">
        <f t="shared" si="43"/>
        <v/>
      </c>
      <c r="AI65" s="72" t="str">
        <f t="shared" si="58"/>
        <v/>
      </c>
      <c r="AJ65" s="39"/>
      <c r="AK65" s="72" t="str">
        <f t="shared" si="44"/>
        <v/>
      </c>
      <c r="AL65" s="72" t="str">
        <f t="shared" si="59"/>
        <v/>
      </c>
      <c r="AM65" s="39"/>
      <c r="AN65" s="72" t="str">
        <f t="shared" si="45"/>
        <v/>
      </c>
      <c r="AO65" s="72" t="str">
        <f t="shared" si="60"/>
        <v/>
      </c>
      <c r="AP65" s="39"/>
      <c r="AQ65" s="72" t="str">
        <f t="shared" si="46"/>
        <v/>
      </c>
      <c r="AR65" s="72" t="str">
        <f t="shared" si="26"/>
        <v/>
      </c>
      <c r="AS65" s="39"/>
      <c r="AT65" s="40" t="str">
        <f>IF($K65&lt;=$F$15,IF($F$40&lt;&gt;"",$F$40/1000,IF(ISERROR(VLOOKUP($F$3&amp;IF($G$4&lt;&gt;"",$G$4,"")&amp;IF($F$43&lt;&gt;"","_"&amp;$F$43,""),'表3）燃料価格'!$AF$9:$AG$25,2,0)),0,VLOOKUP($I65,'表3）燃料価格'!$A$6:$U$66,VLOOKUP($F$3&amp;IF($G$4&lt;&gt;"",$G$4,"")&amp;IF($F$43&lt;&gt;"","_"&amp;$F$43,""),'表3）燃料価格'!$AF$9:$AG$25,2,0)+VLOOKUP($F$41,'表3）燃料価格'!$AF$28:$AG$29,2,0),0)*IF($F$43="需要地価格",1,$F$8/$F$141))),"")</f>
        <v/>
      </c>
      <c r="AU65" s="39"/>
      <c r="AV65" s="72" t="str">
        <f t="shared" si="47"/>
        <v/>
      </c>
      <c r="AW65" s="72" t="str">
        <f t="shared" si="27"/>
        <v/>
      </c>
      <c r="AX65" s="39"/>
      <c r="AY65" s="40" t="str">
        <f>IF(ISERROR(IF($K65&lt;=$F$15,VLOOKUP($I65,'表4）CO2価格'!$A$7:$E$67,VLOOKUP($F$48,'表4）CO2価格'!$H$10:$I$12,2,0),0)*$F$8/1000,"")),0,IF($K65&lt;=$F$15,VLOOKUP($I65,'表4）CO2価格'!$A$7:$E$67,VLOOKUP($F$48,'表4）CO2価格'!$H$10:$I$12,2,0),0)*$F$8/1000,""))</f>
        <v/>
      </c>
      <c r="AZ65" s="39"/>
      <c r="BA65" s="42" t="str">
        <f t="shared" si="48"/>
        <v/>
      </c>
      <c r="BB65" s="72" t="str">
        <f t="shared" si="28"/>
        <v/>
      </c>
      <c r="BC65" s="39"/>
      <c r="BD65" s="72" t="str">
        <f t="shared" si="49"/>
        <v/>
      </c>
      <c r="BE65" s="72" t="str">
        <f t="shared" si="29"/>
        <v/>
      </c>
      <c r="BF65" s="39"/>
      <c r="BG65" s="42" t="str">
        <f t="shared" si="50"/>
        <v/>
      </c>
      <c r="BH65" s="72" t="str">
        <f t="shared" si="30"/>
        <v/>
      </c>
      <c r="BI65" s="39"/>
      <c r="BJ65" s="40" t="str">
        <f t="shared" si="31"/>
        <v/>
      </c>
      <c r="BK65" s="157" t="str">
        <f t="shared" si="32"/>
        <v/>
      </c>
      <c r="BL65" s="157" t="str">
        <f t="shared" si="14"/>
        <v/>
      </c>
      <c r="BM65" s="72"/>
      <c r="BN65" s="72" t="str">
        <f t="shared" si="33"/>
        <v/>
      </c>
      <c r="BO65" s="72" t="str">
        <f t="shared" si="34"/>
        <v/>
      </c>
      <c r="BP65" s="39"/>
      <c r="BQ65" s="72" t="str">
        <f t="shared" si="51"/>
        <v/>
      </c>
      <c r="BR65" s="72" t="str">
        <f t="shared" si="35"/>
        <v/>
      </c>
    </row>
    <row r="66" spans="2:70" x14ac:dyDescent="0.15">
      <c r="I66" s="459">
        <f t="shared" si="36"/>
        <v>2081</v>
      </c>
      <c r="J66" s="71"/>
      <c r="K66" s="71">
        <f t="shared" si="37"/>
        <v>52</v>
      </c>
      <c r="L66" s="71"/>
      <c r="M66" s="7">
        <f t="shared" si="38"/>
        <v>0.215012800254269</v>
      </c>
      <c r="N66" s="71"/>
      <c r="O66" s="10" t="str">
        <f t="shared" si="52"/>
        <v/>
      </c>
      <c r="P66" s="29" t="str">
        <f t="shared" si="39"/>
        <v/>
      </c>
      <c r="Q66" s="71"/>
      <c r="R66" s="10" t="str">
        <f t="shared" si="53"/>
        <v/>
      </c>
      <c r="S66" s="71"/>
      <c r="T66" s="10" t="str">
        <f t="shared" si="18"/>
        <v/>
      </c>
      <c r="U66" s="71"/>
      <c r="V66" s="10" t="str">
        <f t="shared" si="40"/>
        <v/>
      </c>
      <c r="W66" s="10" t="str">
        <f t="shared" si="54"/>
        <v/>
      </c>
      <c r="X66" s="71"/>
      <c r="Y66" s="10" t="str">
        <f t="shared" si="41"/>
        <v/>
      </c>
      <c r="Z66" s="10" t="str">
        <f t="shared" si="55"/>
        <v/>
      </c>
      <c r="AA66" s="71"/>
      <c r="AB66" s="10" t="str">
        <f t="shared" si="4"/>
        <v/>
      </c>
      <c r="AC66" s="10" t="str">
        <f t="shared" si="56"/>
        <v/>
      </c>
      <c r="AD66" s="71"/>
      <c r="AE66" s="10" t="str">
        <f t="shared" si="42"/>
        <v/>
      </c>
      <c r="AF66" s="10" t="str">
        <f t="shared" si="57"/>
        <v/>
      </c>
      <c r="AG66" s="71"/>
      <c r="AH66" s="10" t="str">
        <f t="shared" si="43"/>
        <v/>
      </c>
      <c r="AI66" s="10" t="str">
        <f t="shared" si="58"/>
        <v/>
      </c>
      <c r="AJ66" s="71"/>
      <c r="AK66" s="10" t="str">
        <f t="shared" si="44"/>
        <v/>
      </c>
      <c r="AL66" s="10" t="str">
        <f t="shared" si="59"/>
        <v/>
      </c>
      <c r="AM66" s="71"/>
      <c r="AN66" s="10" t="str">
        <f t="shared" si="45"/>
        <v/>
      </c>
      <c r="AO66" s="10" t="str">
        <f t="shared" si="60"/>
        <v/>
      </c>
      <c r="AP66" s="71"/>
      <c r="AQ66" s="10" t="str">
        <f t="shared" si="46"/>
        <v/>
      </c>
      <c r="AR66" s="10" t="str">
        <f t="shared" si="26"/>
        <v/>
      </c>
      <c r="AS66" s="71"/>
      <c r="AT66" s="7" t="str">
        <f>IF($K66&lt;=$F$15,IF($F$40&lt;&gt;"",$F$40/1000,IF(ISERROR(VLOOKUP($F$3&amp;IF($G$4&lt;&gt;"",$G$4,"")&amp;IF($F$43&lt;&gt;"","_"&amp;$F$43,""),'表3）燃料価格'!$AF$9:$AG$25,2,0)),0,VLOOKUP($I66,'表3）燃料価格'!$A$6:$U$66,VLOOKUP($F$3&amp;IF($G$4&lt;&gt;"",$G$4,"")&amp;IF($F$43&lt;&gt;"","_"&amp;$F$43,""),'表3）燃料価格'!$AF$9:$AG$25,2,0)+VLOOKUP($F$41,'表3）燃料価格'!$AF$28:$AG$29,2,0),0)*IF($F$43="需要地価格",1,$F$8/$F$141))),"")</f>
        <v/>
      </c>
      <c r="AU66" s="71"/>
      <c r="AV66" s="10" t="str">
        <f t="shared" si="47"/>
        <v/>
      </c>
      <c r="AW66" s="10" t="str">
        <f t="shared" si="27"/>
        <v/>
      </c>
      <c r="AX66" s="71"/>
      <c r="AY66" s="7" t="str">
        <f>IF(ISERROR(IF($K66&lt;=$F$15,VLOOKUP($I66,'表4）CO2価格'!$A$7:$E$67,VLOOKUP($F$48,'表4）CO2価格'!$H$10:$I$12,2,0),0)*$F$8/1000,"")),0,IF($K66&lt;=$F$15,VLOOKUP($I66,'表4）CO2価格'!$A$7:$E$67,VLOOKUP($F$48,'表4）CO2価格'!$H$10:$I$12,2,0),0)*$F$8/1000,""))</f>
        <v/>
      </c>
      <c r="AZ66" s="71"/>
      <c r="BA66" s="11" t="str">
        <f t="shared" si="48"/>
        <v/>
      </c>
      <c r="BB66" s="10" t="str">
        <f t="shared" si="28"/>
        <v/>
      </c>
      <c r="BC66" s="71"/>
      <c r="BD66" s="10" t="str">
        <f t="shared" si="49"/>
        <v/>
      </c>
      <c r="BE66" s="10" t="str">
        <f t="shared" si="29"/>
        <v/>
      </c>
      <c r="BF66" s="71"/>
      <c r="BG66" s="11" t="str">
        <f t="shared" si="50"/>
        <v/>
      </c>
      <c r="BH66" s="10" t="str">
        <f t="shared" si="30"/>
        <v/>
      </c>
      <c r="BJ66" s="7" t="str">
        <f t="shared" si="31"/>
        <v/>
      </c>
      <c r="BK66" s="158" t="str">
        <f t="shared" si="32"/>
        <v/>
      </c>
      <c r="BL66" s="158" t="str">
        <f t="shared" si="14"/>
        <v/>
      </c>
      <c r="BM66" s="10"/>
      <c r="BN66" s="10" t="str">
        <f t="shared" si="33"/>
        <v/>
      </c>
      <c r="BO66" s="10" t="str">
        <f t="shared" si="34"/>
        <v/>
      </c>
      <c r="BQ66" s="10" t="str">
        <f t="shared" si="51"/>
        <v/>
      </c>
      <c r="BR66" s="10" t="str">
        <f t="shared" si="35"/>
        <v/>
      </c>
    </row>
    <row r="67" spans="2:70" ht="15.75" thickBot="1" x14ac:dyDescent="0.2">
      <c r="B67" s="460" t="s">
        <v>133</v>
      </c>
      <c r="C67" s="86"/>
      <c r="D67" s="104"/>
      <c r="E67" s="104"/>
      <c r="F67" s="86"/>
      <c r="G67" s="104"/>
      <c r="I67" s="458">
        <f t="shared" si="36"/>
        <v>2082</v>
      </c>
      <c r="J67" s="39"/>
      <c r="K67" s="39">
        <f t="shared" si="37"/>
        <v>53</v>
      </c>
      <c r="L67" s="39"/>
      <c r="M67" s="40">
        <f t="shared" si="38"/>
        <v>0.20875029150899907</v>
      </c>
      <c r="N67" s="39"/>
      <c r="O67" s="72" t="str">
        <f t="shared" si="52"/>
        <v/>
      </c>
      <c r="P67" s="41" t="str">
        <f t="shared" si="39"/>
        <v/>
      </c>
      <c r="Q67" s="39"/>
      <c r="R67" s="72" t="str">
        <f t="shared" si="53"/>
        <v/>
      </c>
      <c r="S67" s="39"/>
      <c r="T67" s="72" t="str">
        <f t="shared" si="18"/>
        <v/>
      </c>
      <c r="U67" s="39"/>
      <c r="V67" s="72" t="str">
        <f t="shared" si="40"/>
        <v/>
      </c>
      <c r="W67" s="72" t="str">
        <f t="shared" si="54"/>
        <v/>
      </c>
      <c r="X67" s="39"/>
      <c r="Y67" s="72" t="str">
        <f t="shared" si="41"/>
        <v/>
      </c>
      <c r="Z67" s="72" t="str">
        <f t="shared" si="55"/>
        <v/>
      </c>
      <c r="AA67" s="39"/>
      <c r="AB67" s="72" t="str">
        <f t="shared" si="4"/>
        <v/>
      </c>
      <c r="AC67" s="72" t="str">
        <f t="shared" si="56"/>
        <v/>
      </c>
      <c r="AD67" s="39"/>
      <c r="AE67" s="72" t="str">
        <f t="shared" si="42"/>
        <v/>
      </c>
      <c r="AF67" s="72" t="str">
        <f t="shared" si="57"/>
        <v/>
      </c>
      <c r="AG67" s="39"/>
      <c r="AH67" s="72" t="str">
        <f t="shared" si="43"/>
        <v/>
      </c>
      <c r="AI67" s="72" t="str">
        <f t="shared" si="58"/>
        <v/>
      </c>
      <c r="AJ67" s="39"/>
      <c r="AK67" s="72" t="str">
        <f t="shared" si="44"/>
        <v/>
      </c>
      <c r="AL67" s="72" t="str">
        <f t="shared" si="59"/>
        <v/>
      </c>
      <c r="AM67" s="39"/>
      <c r="AN67" s="72" t="str">
        <f t="shared" si="45"/>
        <v/>
      </c>
      <c r="AO67" s="72" t="str">
        <f t="shared" si="60"/>
        <v/>
      </c>
      <c r="AP67" s="39"/>
      <c r="AQ67" s="72" t="str">
        <f t="shared" si="46"/>
        <v/>
      </c>
      <c r="AR67" s="72" t="str">
        <f t="shared" si="26"/>
        <v/>
      </c>
      <c r="AS67" s="39"/>
      <c r="AT67" s="40" t="str">
        <f>IF($K67&lt;=$F$15,IF($F$40&lt;&gt;"",$F$40/1000,IF(ISERROR(VLOOKUP($F$3&amp;IF($G$4&lt;&gt;"",$G$4,"")&amp;IF($F$43&lt;&gt;"","_"&amp;$F$43,""),'表3）燃料価格'!$AF$9:$AG$25,2,0)),0,VLOOKUP($I67,'表3）燃料価格'!$A$6:$U$66,VLOOKUP($F$3&amp;IF($G$4&lt;&gt;"",$G$4,"")&amp;IF($F$43&lt;&gt;"","_"&amp;$F$43,""),'表3）燃料価格'!$AF$9:$AG$25,2,0)+VLOOKUP($F$41,'表3）燃料価格'!$AF$28:$AG$29,2,0),0)*IF($F$43="需要地価格",1,$F$8/$F$141))),"")</f>
        <v/>
      </c>
      <c r="AU67" s="39"/>
      <c r="AV67" s="72" t="str">
        <f t="shared" si="47"/>
        <v/>
      </c>
      <c r="AW67" s="72" t="str">
        <f t="shared" si="27"/>
        <v/>
      </c>
      <c r="AX67" s="39"/>
      <c r="AY67" s="40" t="str">
        <f>IF(ISERROR(IF($K67&lt;=$F$15,VLOOKUP($I67,'表4）CO2価格'!$A$7:$E$67,VLOOKUP($F$48,'表4）CO2価格'!$H$10:$I$12,2,0),0)*$F$8/1000,"")),0,IF($K67&lt;=$F$15,VLOOKUP($I67,'表4）CO2価格'!$A$7:$E$67,VLOOKUP($F$48,'表4）CO2価格'!$H$10:$I$12,2,0),0)*$F$8/1000,""))</f>
        <v/>
      </c>
      <c r="AZ67" s="39"/>
      <c r="BA67" s="42" t="str">
        <f t="shared" si="48"/>
        <v/>
      </c>
      <c r="BB67" s="72" t="str">
        <f t="shared" si="28"/>
        <v/>
      </c>
      <c r="BC67" s="39"/>
      <c r="BD67" s="72" t="str">
        <f t="shared" si="49"/>
        <v/>
      </c>
      <c r="BE67" s="72" t="str">
        <f t="shared" si="29"/>
        <v/>
      </c>
      <c r="BF67" s="39"/>
      <c r="BG67" s="42" t="str">
        <f t="shared" si="50"/>
        <v/>
      </c>
      <c r="BH67" s="72" t="str">
        <f t="shared" si="30"/>
        <v/>
      </c>
      <c r="BI67" s="39"/>
      <c r="BJ67" s="40" t="str">
        <f t="shared" si="31"/>
        <v/>
      </c>
      <c r="BK67" s="157" t="str">
        <f t="shared" si="32"/>
        <v/>
      </c>
      <c r="BL67" s="157" t="str">
        <f t="shared" si="14"/>
        <v/>
      </c>
      <c r="BM67" s="72"/>
      <c r="BN67" s="72" t="str">
        <f t="shared" si="33"/>
        <v/>
      </c>
      <c r="BO67" s="72" t="str">
        <f t="shared" si="34"/>
        <v/>
      </c>
      <c r="BP67" s="39"/>
      <c r="BQ67" s="72" t="str">
        <f t="shared" si="51"/>
        <v/>
      </c>
      <c r="BR67" s="72" t="str">
        <f t="shared" si="35"/>
        <v/>
      </c>
    </row>
    <row r="68" spans="2:70" x14ac:dyDescent="0.15">
      <c r="I68" s="459">
        <f t="shared" si="36"/>
        <v>2083</v>
      </c>
      <c r="J68" s="71"/>
      <c r="K68" s="71">
        <f t="shared" si="37"/>
        <v>54</v>
      </c>
      <c r="L68" s="71"/>
      <c r="M68" s="7">
        <f t="shared" si="38"/>
        <v>0.20267018593106703</v>
      </c>
      <c r="N68" s="71"/>
      <c r="O68" s="10" t="str">
        <f t="shared" si="52"/>
        <v/>
      </c>
      <c r="P68" s="29" t="str">
        <f t="shared" si="39"/>
        <v/>
      </c>
      <c r="Q68" s="71"/>
      <c r="R68" s="10" t="str">
        <f t="shared" si="53"/>
        <v/>
      </c>
      <c r="S68" s="71"/>
      <c r="T68" s="10" t="str">
        <f t="shared" si="18"/>
        <v/>
      </c>
      <c r="U68" s="71"/>
      <c r="V68" s="10" t="str">
        <f t="shared" si="40"/>
        <v/>
      </c>
      <c r="W68" s="10" t="str">
        <f t="shared" si="54"/>
        <v/>
      </c>
      <c r="X68" s="71"/>
      <c r="Y68" s="10" t="str">
        <f t="shared" si="41"/>
        <v/>
      </c>
      <c r="Z68" s="10" t="str">
        <f t="shared" si="55"/>
        <v/>
      </c>
      <c r="AA68" s="71"/>
      <c r="AB68" s="10" t="str">
        <f t="shared" si="4"/>
        <v/>
      </c>
      <c r="AC68" s="10" t="str">
        <f t="shared" si="56"/>
        <v/>
      </c>
      <c r="AD68" s="71"/>
      <c r="AE68" s="10" t="str">
        <f t="shared" si="42"/>
        <v/>
      </c>
      <c r="AF68" s="10" t="str">
        <f t="shared" si="57"/>
        <v/>
      </c>
      <c r="AG68" s="71"/>
      <c r="AH68" s="10" t="str">
        <f t="shared" si="43"/>
        <v/>
      </c>
      <c r="AI68" s="10" t="str">
        <f t="shared" si="58"/>
        <v/>
      </c>
      <c r="AJ68" s="71"/>
      <c r="AK68" s="10" t="str">
        <f t="shared" si="44"/>
        <v/>
      </c>
      <c r="AL68" s="10" t="str">
        <f t="shared" si="59"/>
        <v/>
      </c>
      <c r="AM68" s="71"/>
      <c r="AN68" s="10" t="str">
        <f t="shared" si="45"/>
        <v/>
      </c>
      <c r="AO68" s="10" t="str">
        <f t="shared" si="60"/>
        <v/>
      </c>
      <c r="AP68" s="71"/>
      <c r="AQ68" s="10" t="str">
        <f t="shared" si="46"/>
        <v/>
      </c>
      <c r="AR68" s="10" t="str">
        <f t="shared" si="26"/>
        <v/>
      </c>
      <c r="AS68" s="71"/>
      <c r="AT68" s="7" t="str">
        <f>IF($K68&lt;=$F$15,IF($F$40&lt;&gt;"",$F$40/1000,IF(ISERROR(VLOOKUP($F$3&amp;IF($G$4&lt;&gt;"",$G$4,"")&amp;IF($F$43&lt;&gt;"","_"&amp;$F$43,""),'表3）燃料価格'!$AF$9:$AG$25,2,0)),0,VLOOKUP($I68,'表3）燃料価格'!$A$6:$U$66,VLOOKUP($F$3&amp;IF($G$4&lt;&gt;"",$G$4,"")&amp;IF($F$43&lt;&gt;"","_"&amp;$F$43,""),'表3）燃料価格'!$AF$9:$AG$25,2,0)+VLOOKUP($F$41,'表3）燃料価格'!$AF$28:$AG$29,2,0),0)*IF($F$43="需要地価格",1,$F$8/$F$141))),"")</f>
        <v/>
      </c>
      <c r="AU68" s="71"/>
      <c r="AV68" s="10" t="str">
        <f t="shared" si="47"/>
        <v/>
      </c>
      <c r="AW68" s="10" t="str">
        <f t="shared" si="27"/>
        <v/>
      </c>
      <c r="AX68" s="71"/>
      <c r="AY68" s="7" t="str">
        <f>IF(ISERROR(IF($K68&lt;=$F$15,VLOOKUP($I68,'表4）CO2価格'!$A$7:$E$67,VLOOKUP($F$48,'表4）CO2価格'!$H$10:$I$12,2,0),0)*$F$8/1000,"")),0,IF($K68&lt;=$F$15,VLOOKUP($I68,'表4）CO2価格'!$A$7:$E$67,VLOOKUP($F$48,'表4）CO2価格'!$H$10:$I$12,2,0),0)*$F$8/1000,""))</f>
        <v/>
      </c>
      <c r="AZ68" s="71"/>
      <c r="BA68" s="11" t="str">
        <f t="shared" si="48"/>
        <v/>
      </c>
      <c r="BB68" s="10" t="str">
        <f t="shared" si="28"/>
        <v/>
      </c>
      <c r="BC68" s="71"/>
      <c r="BD68" s="10" t="str">
        <f t="shared" si="49"/>
        <v/>
      </c>
      <c r="BE68" s="10" t="str">
        <f t="shared" si="29"/>
        <v/>
      </c>
      <c r="BF68" s="71"/>
      <c r="BG68" s="11" t="str">
        <f t="shared" si="50"/>
        <v/>
      </c>
      <c r="BH68" s="10" t="str">
        <f t="shared" si="30"/>
        <v/>
      </c>
      <c r="BJ68" s="7" t="str">
        <f t="shared" si="31"/>
        <v/>
      </c>
      <c r="BK68" s="158" t="str">
        <f t="shared" si="32"/>
        <v/>
      </c>
      <c r="BL68" s="158" t="str">
        <f t="shared" si="14"/>
        <v/>
      </c>
      <c r="BM68" s="10"/>
      <c r="BN68" s="10" t="str">
        <f t="shared" si="33"/>
        <v/>
      </c>
      <c r="BO68" s="10" t="str">
        <f t="shared" si="34"/>
        <v/>
      </c>
      <c r="BQ68" s="10" t="str">
        <f t="shared" si="51"/>
        <v/>
      </c>
      <c r="BR68" s="10" t="str">
        <f t="shared" si="35"/>
        <v/>
      </c>
    </row>
    <row r="69" spans="2:70" x14ac:dyDescent="0.15">
      <c r="C69" s="461" t="s">
        <v>134</v>
      </c>
      <c r="D69" s="9"/>
      <c r="E69" s="9"/>
      <c r="F69" s="94">
        <f>SUBTOTAL(9,F74:F112)-F105</f>
        <v>24.769377874511822</v>
      </c>
      <c r="G69" s="9" t="s">
        <v>132</v>
      </c>
      <c r="I69" s="458">
        <f t="shared" si="36"/>
        <v>2084</v>
      </c>
      <c r="J69" s="39"/>
      <c r="K69" s="39">
        <f t="shared" si="37"/>
        <v>55</v>
      </c>
      <c r="L69" s="39"/>
      <c r="M69" s="40">
        <f t="shared" si="38"/>
        <v>0.19676717080686118</v>
      </c>
      <c r="N69" s="39"/>
      <c r="O69" s="72" t="str">
        <f t="shared" si="52"/>
        <v/>
      </c>
      <c r="P69" s="41" t="str">
        <f t="shared" si="39"/>
        <v/>
      </c>
      <c r="Q69" s="39"/>
      <c r="R69" s="72" t="str">
        <f t="shared" si="53"/>
        <v/>
      </c>
      <c r="S69" s="39"/>
      <c r="T69" s="72" t="str">
        <f t="shared" si="18"/>
        <v/>
      </c>
      <c r="U69" s="39"/>
      <c r="V69" s="72" t="str">
        <f t="shared" si="40"/>
        <v/>
      </c>
      <c r="W69" s="72" t="str">
        <f t="shared" si="54"/>
        <v/>
      </c>
      <c r="X69" s="39"/>
      <c r="Y69" s="72" t="str">
        <f t="shared" si="41"/>
        <v/>
      </c>
      <c r="Z69" s="72" t="str">
        <f t="shared" si="55"/>
        <v/>
      </c>
      <c r="AA69" s="39"/>
      <c r="AB69" s="72" t="str">
        <f t="shared" si="4"/>
        <v/>
      </c>
      <c r="AC69" s="72" t="str">
        <f t="shared" si="56"/>
        <v/>
      </c>
      <c r="AD69" s="39"/>
      <c r="AE69" s="72" t="str">
        <f t="shared" si="42"/>
        <v/>
      </c>
      <c r="AF69" s="72" t="str">
        <f t="shared" si="57"/>
        <v/>
      </c>
      <c r="AG69" s="39"/>
      <c r="AH69" s="72" t="str">
        <f t="shared" si="43"/>
        <v/>
      </c>
      <c r="AI69" s="72" t="str">
        <f t="shared" si="58"/>
        <v/>
      </c>
      <c r="AJ69" s="39"/>
      <c r="AK69" s="72" t="str">
        <f t="shared" si="44"/>
        <v/>
      </c>
      <c r="AL69" s="72" t="str">
        <f t="shared" si="59"/>
        <v/>
      </c>
      <c r="AM69" s="39"/>
      <c r="AN69" s="72" t="str">
        <f t="shared" si="45"/>
        <v/>
      </c>
      <c r="AO69" s="72" t="str">
        <f t="shared" si="60"/>
        <v/>
      </c>
      <c r="AP69" s="39"/>
      <c r="AQ69" s="72" t="str">
        <f t="shared" si="46"/>
        <v/>
      </c>
      <c r="AR69" s="72" t="str">
        <f t="shared" si="26"/>
        <v/>
      </c>
      <c r="AS69" s="39"/>
      <c r="AT69" s="40" t="str">
        <f>IF($K69&lt;=$F$15,IF($F$40&lt;&gt;"",$F$40/1000,IF(ISERROR(VLOOKUP($F$3&amp;IF($G$4&lt;&gt;"",$G$4,"")&amp;IF($F$43&lt;&gt;"","_"&amp;$F$43,""),'表3）燃料価格'!$AF$9:$AG$25,2,0)),0,VLOOKUP($I69,'表3）燃料価格'!$A$6:$U$66,VLOOKUP($F$3&amp;IF($G$4&lt;&gt;"",$G$4,"")&amp;IF($F$43&lt;&gt;"","_"&amp;$F$43,""),'表3）燃料価格'!$AF$9:$AG$25,2,0)+VLOOKUP($F$41,'表3）燃料価格'!$AF$28:$AG$29,2,0),0)*IF($F$43="需要地価格",1,$F$8/$F$141))),"")</f>
        <v/>
      </c>
      <c r="AU69" s="39"/>
      <c r="AV69" s="72" t="str">
        <f t="shared" si="47"/>
        <v/>
      </c>
      <c r="AW69" s="72" t="str">
        <f t="shared" si="27"/>
        <v/>
      </c>
      <c r="AX69" s="39"/>
      <c r="AY69" s="40" t="str">
        <f>IF(ISERROR(IF($K69&lt;=$F$15,VLOOKUP($I69,'表4）CO2価格'!$A$7:$E$67,VLOOKUP($F$48,'表4）CO2価格'!$H$10:$I$12,2,0),0)*$F$8/1000,"")),0,IF($K69&lt;=$F$15,VLOOKUP($I69,'表4）CO2価格'!$A$7:$E$67,VLOOKUP($F$48,'表4）CO2価格'!$H$10:$I$12,2,0),0)*$F$8/1000,""))</f>
        <v/>
      </c>
      <c r="AZ69" s="39"/>
      <c r="BA69" s="42" t="str">
        <f t="shared" si="48"/>
        <v/>
      </c>
      <c r="BB69" s="72" t="str">
        <f t="shared" si="28"/>
        <v/>
      </c>
      <c r="BC69" s="39"/>
      <c r="BD69" s="72" t="str">
        <f t="shared" si="49"/>
        <v/>
      </c>
      <c r="BE69" s="72" t="str">
        <f t="shared" si="29"/>
        <v/>
      </c>
      <c r="BF69" s="39"/>
      <c r="BG69" s="42" t="str">
        <f t="shared" si="50"/>
        <v/>
      </c>
      <c r="BH69" s="72" t="str">
        <f t="shared" si="30"/>
        <v/>
      </c>
      <c r="BI69" s="39"/>
      <c r="BJ69" s="40" t="str">
        <f t="shared" si="31"/>
        <v/>
      </c>
      <c r="BK69" s="157" t="str">
        <f t="shared" si="32"/>
        <v/>
      </c>
      <c r="BL69" s="157" t="str">
        <f t="shared" si="14"/>
        <v/>
      </c>
      <c r="BM69" s="72"/>
      <c r="BN69" s="72" t="str">
        <f t="shared" si="33"/>
        <v/>
      </c>
      <c r="BO69" s="72" t="str">
        <f t="shared" si="34"/>
        <v/>
      </c>
      <c r="BP69" s="39"/>
      <c r="BQ69" s="72" t="str">
        <f t="shared" si="51"/>
        <v/>
      </c>
      <c r="BR69" s="72" t="str">
        <f t="shared" si="35"/>
        <v/>
      </c>
    </row>
    <row r="70" spans="2:70" x14ac:dyDescent="0.15">
      <c r="C70" s="461" t="s">
        <v>135</v>
      </c>
      <c r="D70" s="9"/>
      <c r="E70" s="9"/>
      <c r="F70" s="94">
        <f>SUBTOTAL(9,F74:F112)</f>
        <v>24.889377874511823</v>
      </c>
      <c r="G70" s="9" t="s">
        <v>132</v>
      </c>
      <c r="I70" s="459">
        <f t="shared" si="36"/>
        <v>2085</v>
      </c>
      <c r="J70" s="71"/>
      <c r="K70" s="71">
        <f t="shared" si="37"/>
        <v>56</v>
      </c>
      <c r="L70" s="71"/>
      <c r="M70" s="7">
        <f t="shared" si="38"/>
        <v>0.19103608816200118</v>
      </c>
      <c r="N70" s="71"/>
      <c r="O70" s="10" t="str">
        <f t="shared" si="52"/>
        <v/>
      </c>
      <c r="P70" s="29" t="str">
        <f t="shared" si="39"/>
        <v/>
      </c>
      <c r="Q70" s="71"/>
      <c r="R70" s="10" t="str">
        <f t="shared" si="53"/>
        <v/>
      </c>
      <c r="S70" s="71"/>
      <c r="T70" s="10" t="str">
        <f t="shared" si="18"/>
        <v/>
      </c>
      <c r="U70" s="71"/>
      <c r="V70" s="10" t="str">
        <f t="shared" si="40"/>
        <v/>
      </c>
      <c r="W70" s="10" t="str">
        <f t="shared" si="54"/>
        <v/>
      </c>
      <c r="X70" s="71"/>
      <c r="Y70" s="10" t="str">
        <f t="shared" si="41"/>
        <v/>
      </c>
      <c r="Z70" s="10" t="str">
        <f t="shared" si="55"/>
        <v/>
      </c>
      <c r="AA70" s="71"/>
      <c r="AB70" s="10" t="str">
        <f t="shared" si="4"/>
        <v/>
      </c>
      <c r="AC70" s="10" t="str">
        <f t="shared" si="56"/>
        <v/>
      </c>
      <c r="AD70" s="71"/>
      <c r="AE70" s="10" t="str">
        <f t="shared" si="42"/>
        <v/>
      </c>
      <c r="AF70" s="10" t="str">
        <f t="shared" si="57"/>
        <v/>
      </c>
      <c r="AG70" s="71"/>
      <c r="AH70" s="10" t="str">
        <f t="shared" si="43"/>
        <v/>
      </c>
      <c r="AI70" s="10" t="str">
        <f t="shared" si="58"/>
        <v/>
      </c>
      <c r="AJ70" s="71"/>
      <c r="AK70" s="10" t="str">
        <f t="shared" si="44"/>
        <v/>
      </c>
      <c r="AL70" s="10" t="str">
        <f t="shared" si="59"/>
        <v/>
      </c>
      <c r="AM70" s="71"/>
      <c r="AN70" s="10" t="str">
        <f t="shared" si="45"/>
        <v/>
      </c>
      <c r="AO70" s="10" t="str">
        <f t="shared" si="60"/>
        <v/>
      </c>
      <c r="AP70" s="71"/>
      <c r="AQ70" s="10" t="str">
        <f t="shared" si="46"/>
        <v/>
      </c>
      <c r="AR70" s="10" t="str">
        <f t="shared" si="26"/>
        <v/>
      </c>
      <c r="AS70" s="71"/>
      <c r="AT70" s="7" t="str">
        <f>IF($K70&lt;=$F$15,IF($F$40&lt;&gt;"",$F$40/1000,IF(ISERROR(VLOOKUP($F$3&amp;IF($G$4&lt;&gt;"",$G$4,"")&amp;IF($F$43&lt;&gt;"","_"&amp;$F$43,""),'表3）燃料価格'!$AF$9:$AG$25,2,0)),0,VLOOKUP($I70,'表3）燃料価格'!$A$6:$U$66,VLOOKUP($F$3&amp;IF($G$4&lt;&gt;"",$G$4,"")&amp;IF($F$43&lt;&gt;"","_"&amp;$F$43,""),'表3）燃料価格'!$AF$9:$AG$25,2,0)+VLOOKUP($F$41,'表3）燃料価格'!$AF$28:$AG$29,2,0),0)*IF($F$43="需要地価格",1,$F$8/$F$141))),"")</f>
        <v/>
      </c>
      <c r="AU70" s="71"/>
      <c r="AV70" s="10" t="str">
        <f t="shared" si="47"/>
        <v/>
      </c>
      <c r="AW70" s="10" t="str">
        <f t="shared" si="27"/>
        <v/>
      </c>
      <c r="AX70" s="71"/>
      <c r="AY70" s="7" t="str">
        <f>IF(ISERROR(IF($K70&lt;=$F$15,VLOOKUP($I70,'表4）CO2価格'!$A$7:$E$67,VLOOKUP($F$48,'表4）CO2価格'!$H$10:$I$12,2,0),0)*$F$8/1000,"")),0,IF($K70&lt;=$F$15,VLOOKUP($I70,'表4）CO2価格'!$A$7:$E$67,VLOOKUP($F$48,'表4）CO2価格'!$H$10:$I$12,2,0),0)*$F$8/1000,""))</f>
        <v/>
      </c>
      <c r="AZ70" s="71"/>
      <c r="BA70" s="11" t="str">
        <f t="shared" si="48"/>
        <v/>
      </c>
      <c r="BB70" s="10" t="str">
        <f t="shared" si="28"/>
        <v/>
      </c>
      <c r="BC70" s="71"/>
      <c r="BD70" s="10" t="str">
        <f t="shared" si="49"/>
        <v/>
      </c>
      <c r="BE70" s="10" t="str">
        <f t="shared" si="29"/>
        <v/>
      </c>
      <c r="BF70" s="71"/>
      <c r="BG70" s="11" t="str">
        <f t="shared" si="50"/>
        <v/>
      </c>
      <c r="BH70" s="10" t="str">
        <f t="shared" si="30"/>
        <v/>
      </c>
      <c r="BJ70" s="7" t="str">
        <f t="shared" si="31"/>
        <v/>
      </c>
      <c r="BK70" s="158" t="str">
        <f t="shared" si="32"/>
        <v/>
      </c>
      <c r="BL70" s="158" t="str">
        <f t="shared" si="14"/>
        <v/>
      </c>
      <c r="BM70" s="10"/>
      <c r="BN70" s="10" t="str">
        <f t="shared" si="33"/>
        <v/>
      </c>
      <c r="BO70" s="10" t="str">
        <f t="shared" si="34"/>
        <v/>
      </c>
      <c r="BQ70" s="10" t="str">
        <f t="shared" si="51"/>
        <v/>
      </c>
      <c r="BR70" s="10" t="str">
        <f t="shared" si="35"/>
        <v/>
      </c>
    </row>
    <row r="71" spans="2:70" x14ac:dyDescent="0.15">
      <c r="F71" s="145"/>
      <c r="I71" s="458">
        <f t="shared" si="36"/>
        <v>2086</v>
      </c>
      <c r="J71" s="39"/>
      <c r="K71" s="39">
        <f t="shared" si="37"/>
        <v>57</v>
      </c>
      <c r="L71" s="39"/>
      <c r="M71" s="40">
        <f t="shared" si="38"/>
        <v>0.18547193025437006</v>
      </c>
      <c r="N71" s="39"/>
      <c r="O71" s="72" t="str">
        <f t="shared" si="52"/>
        <v/>
      </c>
      <c r="P71" s="41" t="str">
        <f t="shared" si="39"/>
        <v/>
      </c>
      <c r="Q71" s="39"/>
      <c r="R71" s="72" t="str">
        <f t="shared" si="53"/>
        <v/>
      </c>
      <c r="S71" s="39"/>
      <c r="T71" s="72" t="str">
        <f t="shared" si="18"/>
        <v/>
      </c>
      <c r="U71" s="39"/>
      <c r="V71" s="72" t="str">
        <f t="shared" si="40"/>
        <v/>
      </c>
      <c r="W71" s="72" t="str">
        <f t="shared" si="54"/>
        <v/>
      </c>
      <c r="X71" s="39"/>
      <c r="Y71" s="72" t="str">
        <f t="shared" si="41"/>
        <v/>
      </c>
      <c r="Z71" s="72" t="str">
        <f t="shared" si="55"/>
        <v/>
      </c>
      <c r="AA71" s="39"/>
      <c r="AB71" s="72" t="str">
        <f t="shared" si="4"/>
        <v/>
      </c>
      <c r="AC71" s="72" t="str">
        <f t="shared" si="56"/>
        <v/>
      </c>
      <c r="AD71" s="39"/>
      <c r="AE71" s="72" t="str">
        <f t="shared" si="42"/>
        <v/>
      </c>
      <c r="AF71" s="72" t="str">
        <f t="shared" si="57"/>
        <v/>
      </c>
      <c r="AG71" s="39"/>
      <c r="AH71" s="72" t="str">
        <f t="shared" si="43"/>
        <v/>
      </c>
      <c r="AI71" s="72" t="str">
        <f t="shared" si="58"/>
        <v/>
      </c>
      <c r="AJ71" s="39"/>
      <c r="AK71" s="72" t="str">
        <f t="shared" si="44"/>
        <v/>
      </c>
      <c r="AL71" s="72" t="str">
        <f t="shared" si="59"/>
        <v/>
      </c>
      <c r="AM71" s="39"/>
      <c r="AN71" s="72" t="str">
        <f t="shared" si="45"/>
        <v/>
      </c>
      <c r="AO71" s="72" t="str">
        <f t="shared" si="60"/>
        <v/>
      </c>
      <c r="AP71" s="39"/>
      <c r="AQ71" s="72" t="str">
        <f t="shared" si="46"/>
        <v/>
      </c>
      <c r="AR71" s="72" t="str">
        <f t="shared" si="26"/>
        <v/>
      </c>
      <c r="AS71" s="39"/>
      <c r="AT71" s="40" t="str">
        <f>IF($K71&lt;=$F$15,IF($F$40&lt;&gt;"",$F$40/1000,IF(ISERROR(VLOOKUP($F$3&amp;IF($G$4&lt;&gt;"",$G$4,"")&amp;IF($F$43&lt;&gt;"","_"&amp;$F$43,""),'表3）燃料価格'!$AF$9:$AG$25,2,0)),0,VLOOKUP($I71,'表3）燃料価格'!$A$6:$U$66,VLOOKUP($F$3&amp;IF($G$4&lt;&gt;"",$G$4,"")&amp;IF($F$43&lt;&gt;"","_"&amp;$F$43,""),'表3）燃料価格'!$AF$9:$AG$25,2,0)+VLOOKUP($F$41,'表3）燃料価格'!$AF$28:$AG$29,2,0),0)*IF($F$43="需要地価格",1,$F$8/$F$141))),"")</f>
        <v/>
      </c>
      <c r="AU71" s="39"/>
      <c r="AV71" s="72" t="str">
        <f t="shared" si="47"/>
        <v/>
      </c>
      <c r="AW71" s="72" t="str">
        <f t="shared" si="27"/>
        <v/>
      </c>
      <c r="AX71" s="39"/>
      <c r="AY71" s="40" t="str">
        <f>IF(ISERROR(IF($K71&lt;=$F$15,VLOOKUP($I71,'表4）CO2価格'!$A$7:$E$67,VLOOKUP($F$48,'表4）CO2価格'!$H$10:$I$12,2,0),0)*$F$8/1000,"")),0,IF($K71&lt;=$F$15,VLOOKUP($I71,'表4）CO2価格'!$A$7:$E$67,VLOOKUP($F$48,'表4）CO2価格'!$H$10:$I$12,2,0),0)*$F$8/1000,""))</f>
        <v/>
      </c>
      <c r="AZ71" s="39"/>
      <c r="BA71" s="42" t="str">
        <f t="shared" si="48"/>
        <v/>
      </c>
      <c r="BB71" s="72" t="str">
        <f t="shared" si="28"/>
        <v/>
      </c>
      <c r="BC71" s="39"/>
      <c r="BD71" s="72" t="str">
        <f t="shared" si="49"/>
        <v/>
      </c>
      <c r="BE71" s="72" t="str">
        <f t="shared" si="29"/>
        <v/>
      </c>
      <c r="BF71" s="39"/>
      <c r="BG71" s="42" t="str">
        <f t="shared" si="50"/>
        <v/>
      </c>
      <c r="BH71" s="72" t="str">
        <f t="shared" si="30"/>
        <v/>
      </c>
      <c r="BI71" s="39"/>
      <c r="BJ71" s="40" t="str">
        <f t="shared" si="31"/>
        <v/>
      </c>
      <c r="BK71" s="157" t="str">
        <f t="shared" si="32"/>
        <v/>
      </c>
      <c r="BL71" s="157" t="str">
        <f t="shared" si="14"/>
        <v/>
      </c>
      <c r="BM71" s="72"/>
      <c r="BN71" s="72" t="str">
        <f t="shared" si="33"/>
        <v/>
      </c>
      <c r="BO71" s="72" t="str">
        <f t="shared" si="34"/>
        <v/>
      </c>
      <c r="BP71" s="39"/>
      <c r="BQ71" s="72" t="str">
        <f t="shared" si="51"/>
        <v/>
      </c>
      <c r="BR71" s="72" t="str">
        <f t="shared" si="35"/>
        <v/>
      </c>
    </row>
    <row r="72" spans="2:70" x14ac:dyDescent="0.15">
      <c r="C72" s="89" t="s">
        <v>136</v>
      </c>
      <c r="D72" s="101"/>
      <c r="E72" s="101"/>
      <c r="F72" s="92"/>
      <c r="G72" s="101"/>
      <c r="I72" s="459">
        <f t="shared" si="36"/>
        <v>2087</v>
      </c>
      <c r="J72" s="71"/>
      <c r="K72" s="71">
        <f t="shared" si="37"/>
        <v>58</v>
      </c>
      <c r="L72" s="71"/>
      <c r="M72" s="7">
        <f t="shared" si="38"/>
        <v>0.18006983519841754</v>
      </c>
      <c r="N72" s="71"/>
      <c r="O72" s="10" t="str">
        <f t="shared" si="52"/>
        <v/>
      </c>
      <c r="P72" s="29" t="str">
        <f t="shared" si="39"/>
        <v/>
      </c>
      <c r="Q72" s="71"/>
      <c r="R72" s="10" t="str">
        <f t="shared" si="53"/>
        <v/>
      </c>
      <c r="S72" s="71"/>
      <c r="T72" s="10" t="str">
        <f t="shared" si="18"/>
        <v/>
      </c>
      <c r="U72" s="71"/>
      <c r="V72" s="10" t="str">
        <f t="shared" si="40"/>
        <v/>
      </c>
      <c r="W72" s="10" t="str">
        <f t="shared" si="54"/>
        <v/>
      </c>
      <c r="X72" s="71"/>
      <c r="Y72" s="10" t="str">
        <f t="shared" si="41"/>
        <v/>
      </c>
      <c r="Z72" s="10" t="str">
        <f t="shared" si="55"/>
        <v/>
      </c>
      <c r="AA72" s="71"/>
      <c r="AB72" s="10" t="str">
        <f t="shared" si="4"/>
        <v/>
      </c>
      <c r="AC72" s="10" t="str">
        <f t="shared" si="56"/>
        <v/>
      </c>
      <c r="AD72" s="71"/>
      <c r="AE72" s="10" t="str">
        <f t="shared" si="42"/>
        <v/>
      </c>
      <c r="AF72" s="10" t="str">
        <f t="shared" si="57"/>
        <v/>
      </c>
      <c r="AG72" s="71"/>
      <c r="AH72" s="10" t="str">
        <f t="shared" si="43"/>
        <v/>
      </c>
      <c r="AI72" s="10" t="str">
        <f t="shared" si="58"/>
        <v/>
      </c>
      <c r="AJ72" s="71"/>
      <c r="AK72" s="10" t="str">
        <f t="shared" si="44"/>
        <v/>
      </c>
      <c r="AL72" s="10" t="str">
        <f t="shared" si="59"/>
        <v/>
      </c>
      <c r="AM72" s="71"/>
      <c r="AN72" s="10" t="str">
        <f t="shared" si="45"/>
        <v/>
      </c>
      <c r="AO72" s="10" t="str">
        <f t="shared" si="60"/>
        <v/>
      </c>
      <c r="AP72" s="71"/>
      <c r="AQ72" s="10" t="str">
        <f t="shared" si="46"/>
        <v/>
      </c>
      <c r="AR72" s="10" t="str">
        <f t="shared" si="26"/>
        <v/>
      </c>
      <c r="AS72" s="71"/>
      <c r="AT72" s="7" t="str">
        <f>IF($K72&lt;=$F$15,IF($F$40&lt;&gt;"",$F$40/1000,IF(ISERROR(VLOOKUP($F$3&amp;IF($G$4&lt;&gt;"",$G$4,"")&amp;IF($F$43&lt;&gt;"","_"&amp;$F$43,""),'表3）燃料価格'!$AF$9:$AG$25,2,0)),0,VLOOKUP($I72,'表3）燃料価格'!$A$6:$U$66,VLOOKUP($F$3&amp;IF($G$4&lt;&gt;"",$G$4,"")&amp;IF($F$43&lt;&gt;"","_"&amp;$F$43,""),'表3）燃料価格'!$AF$9:$AG$25,2,0)+VLOOKUP($F$41,'表3）燃料価格'!$AF$28:$AG$29,2,0),0)*IF($F$43="需要地価格",1,$F$8/$F$141))),"")</f>
        <v/>
      </c>
      <c r="AU72" s="71"/>
      <c r="AV72" s="10" t="str">
        <f t="shared" si="47"/>
        <v/>
      </c>
      <c r="AW72" s="10" t="str">
        <f t="shared" si="27"/>
        <v/>
      </c>
      <c r="AX72" s="71"/>
      <c r="AY72" s="7" t="str">
        <f>IF(ISERROR(IF($K72&lt;=$F$15,VLOOKUP($I72,'表4）CO2価格'!$A$7:$E$67,VLOOKUP($F$48,'表4）CO2価格'!$H$10:$I$12,2,0),0)*$F$8/1000,"")),0,IF($K72&lt;=$F$15,VLOOKUP($I72,'表4）CO2価格'!$A$7:$E$67,VLOOKUP($F$48,'表4）CO2価格'!$H$10:$I$12,2,0),0)*$F$8/1000,""))</f>
        <v/>
      </c>
      <c r="AZ72" s="71"/>
      <c r="BA72" s="11" t="str">
        <f t="shared" si="48"/>
        <v/>
      </c>
      <c r="BB72" s="10" t="str">
        <f t="shared" si="28"/>
        <v/>
      </c>
      <c r="BC72" s="71"/>
      <c r="BD72" s="10" t="str">
        <f t="shared" si="49"/>
        <v/>
      </c>
      <c r="BE72" s="10" t="str">
        <f t="shared" si="29"/>
        <v/>
      </c>
      <c r="BF72" s="71"/>
      <c r="BG72" s="11" t="str">
        <f t="shared" si="50"/>
        <v/>
      </c>
      <c r="BH72" s="10" t="str">
        <f t="shared" si="30"/>
        <v/>
      </c>
      <c r="BJ72" s="7" t="str">
        <f t="shared" si="31"/>
        <v/>
      </c>
      <c r="BK72" s="158" t="str">
        <f t="shared" si="32"/>
        <v/>
      </c>
      <c r="BL72" s="158" t="str">
        <f t="shared" si="14"/>
        <v/>
      </c>
      <c r="BM72" s="10"/>
      <c r="BN72" s="10" t="str">
        <f t="shared" si="33"/>
        <v/>
      </c>
      <c r="BO72" s="10" t="str">
        <f t="shared" si="34"/>
        <v/>
      </c>
      <c r="BQ72" s="10" t="str">
        <f t="shared" si="51"/>
        <v/>
      </c>
      <c r="BR72" s="10" t="str">
        <f t="shared" si="35"/>
        <v/>
      </c>
    </row>
    <row r="73" spans="2:70" x14ac:dyDescent="0.15">
      <c r="F73" s="93"/>
      <c r="I73" s="458">
        <f t="shared" si="36"/>
        <v>2088</v>
      </c>
      <c r="J73" s="39"/>
      <c r="K73" s="39">
        <f t="shared" si="37"/>
        <v>59</v>
      </c>
      <c r="L73" s="39"/>
      <c r="M73" s="40">
        <f t="shared" si="38"/>
        <v>0.17482508271691022</v>
      </c>
      <c r="N73" s="39"/>
      <c r="O73" s="72" t="str">
        <f t="shared" si="52"/>
        <v/>
      </c>
      <c r="P73" s="41" t="str">
        <f t="shared" si="39"/>
        <v/>
      </c>
      <c r="Q73" s="39"/>
      <c r="R73" s="72" t="str">
        <f t="shared" si="53"/>
        <v/>
      </c>
      <c r="S73" s="39"/>
      <c r="T73" s="72" t="str">
        <f t="shared" si="18"/>
        <v/>
      </c>
      <c r="U73" s="39"/>
      <c r="V73" s="72" t="str">
        <f t="shared" si="40"/>
        <v/>
      </c>
      <c r="W73" s="72" t="str">
        <f t="shared" si="54"/>
        <v/>
      </c>
      <c r="X73" s="39"/>
      <c r="Y73" s="72" t="str">
        <f t="shared" si="41"/>
        <v/>
      </c>
      <c r="Z73" s="72" t="str">
        <f t="shared" si="55"/>
        <v/>
      </c>
      <c r="AA73" s="39"/>
      <c r="AB73" s="72" t="str">
        <f t="shared" si="4"/>
        <v/>
      </c>
      <c r="AC73" s="72" t="str">
        <f t="shared" si="56"/>
        <v/>
      </c>
      <c r="AD73" s="39"/>
      <c r="AE73" s="72" t="str">
        <f t="shared" si="42"/>
        <v/>
      </c>
      <c r="AF73" s="72" t="str">
        <f t="shared" si="57"/>
        <v/>
      </c>
      <c r="AG73" s="39"/>
      <c r="AH73" s="72" t="str">
        <f t="shared" si="43"/>
        <v/>
      </c>
      <c r="AI73" s="72" t="str">
        <f t="shared" si="58"/>
        <v/>
      </c>
      <c r="AJ73" s="39"/>
      <c r="AK73" s="72" t="str">
        <f t="shared" si="44"/>
        <v/>
      </c>
      <c r="AL73" s="72" t="str">
        <f t="shared" si="59"/>
        <v/>
      </c>
      <c r="AM73" s="39"/>
      <c r="AN73" s="72" t="str">
        <f t="shared" si="45"/>
        <v/>
      </c>
      <c r="AO73" s="72" t="str">
        <f t="shared" si="60"/>
        <v/>
      </c>
      <c r="AP73" s="39"/>
      <c r="AQ73" s="72" t="str">
        <f t="shared" si="46"/>
        <v/>
      </c>
      <c r="AR73" s="72" t="str">
        <f t="shared" si="26"/>
        <v/>
      </c>
      <c r="AS73" s="39"/>
      <c r="AT73" s="40" t="str">
        <f>IF($K73&lt;=$F$15,IF($F$40&lt;&gt;"",$F$40/1000,IF(ISERROR(VLOOKUP($F$3&amp;IF($G$4&lt;&gt;"",$G$4,"")&amp;IF($F$43&lt;&gt;"","_"&amp;$F$43,""),'表3）燃料価格'!$AF$9:$AG$25,2,0)),0,VLOOKUP($I73,'表3）燃料価格'!$A$6:$U$66,VLOOKUP($F$3&amp;IF($G$4&lt;&gt;"",$G$4,"")&amp;IF($F$43&lt;&gt;"","_"&amp;$F$43,""),'表3）燃料価格'!$AF$9:$AG$25,2,0)+VLOOKUP($F$41,'表3）燃料価格'!$AF$28:$AG$29,2,0),0)*IF($F$43="需要地価格",1,$F$8/$F$141))),"")</f>
        <v/>
      </c>
      <c r="AU73" s="39"/>
      <c r="AV73" s="72" t="str">
        <f t="shared" si="47"/>
        <v/>
      </c>
      <c r="AW73" s="72" t="str">
        <f t="shared" si="27"/>
        <v/>
      </c>
      <c r="AX73" s="39"/>
      <c r="AY73" s="40" t="str">
        <f>IF(ISERROR(IF($K73&lt;=$F$15,VLOOKUP($I73,'表4）CO2価格'!$A$7:$E$67,VLOOKUP($F$48,'表4）CO2価格'!$H$10:$I$12,2,0),0)*$F$8/1000,"")),0,IF($K73&lt;=$F$15,VLOOKUP($I73,'表4）CO2価格'!$A$7:$E$67,VLOOKUP($F$48,'表4）CO2価格'!$H$10:$I$12,2,0),0)*$F$8/1000,""))</f>
        <v/>
      </c>
      <c r="AZ73" s="39"/>
      <c r="BA73" s="42" t="str">
        <f t="shared" si="48"/>
        <v/>
      </c>
      <c r="BB73" s="72" t="str">
        <f t="shared" si="28"/>
        <v/>
      </c>
      <c r="BC73" s="39"/>
      <c r="BD73" s="72" t="str">
        <f t="shared" si="49"/>
        <v/>
      </c>
      <c r="BE73" s="72" t="str">
        <f t="shared" si="29"/>
        <v/>
      </c>
      <c r="BF73" s="39"/>
      <c r="BG73" s="42" t="str">
        <f t="shared" si="50"/>
        <v/>
      </c>
      <c r="BH73" s="72" t="str">
        <f t="shared" si="30"/>
        <v/>
      </c>
      <c r="BI73" s="39"/>
      <c r="BJ73" s="40" t="str">
        <f t="shared" si="31"/>
        <v/>
      </c>
      <c r="BK73" s="157" t="str">
        <f t="shared" si="32"/>
        <v/>
      </c>
      <c r="BL73" s="157" t="str">
        <f t="shared" si="14"/>
        <v/>
      </c>
      <c r="BM73" s="72"/>
      <c r="BN73" s="72" t="str">
        <f t="shared" si="33"/>
        <v/>
      </c>
      <c r="BO73" s="72" t="str">
        <f t="shared" si="34"/>
        <v/>
      </c>
      <c r="BP73" s="39"/>
      <c r="BQ73" s="72" t="str">
        <f t="shared" si="51"/>
        <v/>
      </c>
      <c r="BR73" s="72" t="str">
        <f t="shared" si="35"/>
        <v/>
      </c>
    </row>
    <row r="74" spans="2:70" ht="15" x14ac:dyDescent="0.15">
      <c r="D74" s="116" t="s">
        <v>192</v>
      </c>
      <c r="F74" s="94">
        <f>SUBTOTAL(9,F78:F81)</f>
        <v>4.9446950805682679</v>
      </c>
      <c r="G74" s="81" t="s">
        <v>132</v>
      </c>
      <c r="I74" s="459">
        <f t="shared" si="36"/>
        <v>2089</v>
      </c>
      <c r="J74" s="71"/>
      <c r="K74" s="71">
        <f t="shared" si="37"/>
        <v>60</v>
      </c>
      <c r="L74" s="71"/>
      <c r="M74" s="7">
        <f t="shared" si="38"/>
        <v>0.1697330900164177</v>
      </c>
      <c r="N74" s="71"/>
      <c r="O74" s="10" t="str">
        <f t="shared" si="52"/>
        <v/>
      </c>
      <c r="P74" s="29" t="str">
        <f t="shared" si="39"/>
        <v/>
      </c>
      <c r="Q74" s="71"/>
      <c r="R74" s="10" t="str">
        <f t="shared" si="53"/>
        <v/>
      </c>
      <c r="S74" s="71"/>
      <c r="T74" s="10" t="str">
        <f t="shared" si="18"/>
        <v/>
      </c>
      <c r="U74" s="71"/>
      <c r="V74" s="10" t="str">
        <f t="shared" si="40"/>
        <v/>
      </c>
      <c r="W74" s="10" t="str">
        <f t="shared" si="54"/>
        <v/>
      </c>
      <c r="X74" s="71"/>
      <c r="Y74" s="10" t="str">
        <f t="shared" si="41"/>
        <v/>
      </c>
      <c r="Z74" s="10" t="str">
        <f t="shared" si="55"/>
        <v/>
      </c>
      <c r="AA74" s="71"/>
      <c r="AB74" s="10" t="str">
        <f t="shared" si="4"/>
        <v/>
      </c>
      <c r="AC74" s="10" t="str">
        <f t="shared" si="56"/>
        <v/>
      </c>
      <c r="AD74" s="71"/>
      <c r="AE74" s="10" t="str">
        <f t="shared" si="42"/>
        <v/>
      </c>
      <c r="AF74" s="10" t="str">
        <f t="shared" si="57"/>
        <v/>
      </c>
      <c r="AG74" s="71"/>
      <c r="AH74" s="10" t="str">
        <f t="shared" si="43"/>
        <v/>
      </c>
      <c r="AI74" s="10" t="str">
        <f t="shared" si="58"/>
        <v/>
      </c>
      <c r="AJ74" s="71"/>
      <c r="AK74" s="10" t="str">
        <f t="shared" si="44"/>
        <v/>
      </c>
      <c r="AL74" s="10" t="str">
        <f t="shared" si="59"/>
        <v/>
      </c>
      <c r="AM74" s="71"/>
      <c r="AN74" s="10" t="str">
        <f t="shared" si="45"/>
        <v/>
      </c>
      <c r="AO74" s="10" t="str">
        <f t="shared" si="60"/>
        <v/>
      </c>
      <c r="AP74" s="71"/>
      <c r="AQ74" s="10" t="str">
        <f t="shared" si="46"/>
        <v/>
      </c>
      <c r="AR74" s="10" t="str">
        <f t="shared" si="26"/>
        <v/>
      </c>
      <c r="AS74" s="71"/>
      <c r="AT74" s="7" t="str">
        <f>IF($K74&lt;=$F$15,IF($F$40&lt;&gt;"",$F$40/1000,IF(ISERROR(VLOOKUP($F$3&amp;IF($G$4&lt;&gt;"",$G$4,"")&amp;IF($F$43&lt;&gt;"","_"&amp;$F$43,""),'表3）燃料価格'!$AF$9:$AG$25,2,0)),0,VLOOKUP($I74,'表3）燃料価格'!$A$6:$U$66,VLOOKUP($F$3&amp;IF($G$4&lt;&gt;"",$G$4,"")&amp;IF($F$43&lt;&gt;"","_"&amp;$F$43,""),'表3）燃料価格'!$AF$9:$AG$25,2,0)+VLOOKUP($F$41,'表3）燃料価格'!$AF$28:$AG$29,2,0),0)*IF($F$43="需要地価格",1,$F$8/$F$141))),"")</f>
        <v/>
      </c>
      <c r="AU74" s="71"/>
      <c r="AV74" s="10" t="str">
        <f t="shared" si="47"/>
        <v/>
      </c>
      <c r="AW74" s="10" t="str">
        <f t="shared" si="27"/>
        <v/>
      </c>
      <c r="AX74" s="71"/>
      <c r="AY74" s="7" t="str">
        <f>IF(ISERROR(IF($K74&lt;=$F$15,VLOOKUP($I74,'表4）CO2価格'!$A$7:$E$67,VLOOKUP($F$48,'表4）CO2価格'!$H$10:$I$12,2,0),0)*$F$8/1000,"")),0,IF($K74&lt;=$F$15,VLOOKUP($I74,'表4）CO2価格'!$A$7:$E$67,VLOOKUP($F$48,'表4）CO2価格'!$H$10:$I$12,2,0),0)*$F$8/1000,""))</f>
        <v/>
      </c>
      <c r="AZ74" s="71"/>
      <c r="BA74" s="11" t="str">
        <f t="shared" si="48"/>
        <v/>
      </c>
      <c r="BB74" s="10" t="str">
        <f t="shared" si="28"/>
        <v/>
      </c>
      <c r="BC74" s="71"/>
      <c r="BD74" s="10" t="str">
        <f t="shared" si="49"/>
        <v/>
      </c>
      <c r="BE74" s="10" t="str">
        <f t="shared" si="29"/>
        <v/>
      </c>
      <c r="BF74" s="71"/>
      <c r="BG74" s="11" t="str">
        <f t="shared" si="50"/>
        <v/>
      </c>
      <c r="BH74" s="10" t="str">
        <f t="shared" si="30"/>
        <v/>
      </c>
      <c r="BJ74" s="7" t="str">
        <f t="shared" si="31"/>
        <v/>
      </c>
      <c r="BK74" s="158" t="str">
        <f t="shared" si="32"/>
        <v/>
      </c>
      <c r="BL74" s="158" t="str">
        <f t="shared" si="14"/>
        <v/>
      </c>
      <c r="BM74" s="10"/>
      <c r="BN74" s="10" t="str">
        <f t="shared" si="33"/>
        <v/>
      </c>
      <c r="BO74" s="10" t="str">
        <f t="shared" si="34"/>
        <v/>
      </c>
      <c r="BQ74" s="10" t="str">
        <f t="shared" si="51"/>
        <v/>
      </c>
      <c r="BR74" s="10" t="str">
        <f t="shared" si="35"/>
        <v/>
      </c>
    </row>
    <row r="75" spans="2:70" x14ac:dyDescent="0.15">
      <c r="F75" s="93"/>
      <c r="I75" s="458">
        <f t="shared" si="36"/>
        <v>2090</v>
      </c>
      <c r="J75" s="39"/>
      <c r="K75" s="39">
        <f t="shared" si="37"/>
        <v>61</v>
      </c>
      <c r="L75" s="39"/>
      <c r="M75" s="40">
        <f t="shared" si="38"/>
        <v>0.16478940778292983</v>
      </c>
      <c r="N75" s="39"/>
      <c r="O75" s="72" t="str">
        <f t="shared" si="52"/>
        <v/>
      </c>
      <c r="P75" s="41" t="str">
        <f t="shared" si="39"/>
        <v/>
      </c>
      <c r="Q75" s="39"/>
      <c r="R75" s="72" t="str">
        <f t="shared" si="53"/>
        <v/>
      </c>
      <c r="S75" s="39"/>
      <c r="T75" s="72" t="str">
        <f t="shared" si="18"/>
        <v/>
      </c>
      <c r="U75" s="39"/>
      <c r="V75" s="72" t="str">
        <f t="shared" si="40"/>
        <v/>
      </c>
      <c r="W75" s="72" t="str">
        <f t="shared" si="54"/>
        <v/>
      </c>
      <c r="X75" s="39"/>
      <c r="Y75" s="72" t="str">
        <f t="shared" si="41"/>
        <v/>
      </c>
      <c r="Z75" s="72" t="str">
        <f t="shared" si="55"/>
        <v/>
      </c>
      <c r="AA75" s="39"/>
      <c r="AB75" s="72" t="str">
        <f t="shared" si="4"/>
        <v/>
      </c>
      <c r="AC75" s="72" t="str">
        <f t="shared" si="56"/>
        <v/>
      </c>
      <c r="AD75" s="39"/>
      <c r="AE75" s="72" t="str">
        <f t="shared" si="42"/>
        <v/>
      </c>
      <c r="AF75" s="72" t="str">
        <f t="shared" si="57"/>
        <v/>
      </c>
      <c r="AG75" s="39"/>
      <c r="AH75" s="72" t="str">
        <f t="shared" si="43"/>
        <v/>
      </c>
      <c r="AI75" s="72" t="str">
        <f t="shared" si="58"/>
        <v/>
      </c>
      <c r="AJ75" s="39"/>
      <c r="AK75" s="72" t="str">
        <f t="shared" si="44"/>
        <v/>
      </c>
      <c r="AL75" s="72" t="str">
        <f t="shared" si="59"/>
        <v/>
      </c>
      <c r="AM75" s="39"/>
      <c r="AN75" s="72" t="str">
        <f t="shared" si="45"/>
        <v/>
      </c>
      <c r="AO75" s="72" t="str">
        <f t="shared" si="60"/>
        <v/>
      </c>
      <c r="AP75" s="39"/>
      <c r="AQ75" s="72" t="str">
        <f t="shared" si="46"/>
        <v/>
      </c>
      <c r="AR75" s="72" t="str">
        <f t="shared" si="26"/>
        <v/>
      </c>
      <c r="AS75" s="39"/>
      <c r="AT75" s="40" t="str">
        <f>IF($K75&lt;=$F$15,IF($F$40&lt;&gt;"",$F$40/1000,IF(ISERROR(VLOOKUP($F$3&amp;IF($G$4&lt;&gt;"",$G$4,"")&amp;IF($F$43&lt;&gt;"","_"&amp;$F$43,""),'表3）燃料価格'!$AF$9:$AG$25,2,0)),0,VLOOKUP($I75,'表3）燃料価格'!$A$6:$U$66,VLOOKUP($F$3&amp;IF($G$4&lt;&gt;"",$G$4,"")&amp;IF($F$43&lt;&gt;"","_"&amp;$F$43,""),'表3）燃料価格'!$AF$9:$AG$25,2,0)+VLOOKUP($F$41,'表3）燃料価格'!$AF$28:$AG$29,2,0),0)*IF($F$43="需要地価格",1,$F$8/$F$141))),"")</f>
        <v/>
      </c>
      <c r="AU75" s="39"/>
      <c r="AV75" s="72" t="str">
        <f t="shared" si="47"/>
        <v/>
      </c>
      <c r="AW75" s="72" t="str">
        <f t="shared" si="27"/>
        <v/>
      </c>
      <c r="AX75" s="39"/>
      <c r="AY75" s="40" t="str">
        <f>IF(ISERROR(IF($K75&lt;=$F$15,VLOOKUP($I75,'表4）CO2価格'!$A$7:$E$67,VLOOKUP($F$48,'表4）CO2価格'!$H$10:$I$12,2,0),0)*$F$8/1000,"")),0,IF($K75&lt;=$F$15,VLOOKUP($I75,'表4）CO2価格'!$A$7:$E$67,VLOOKUP($F$48,'表4）CO2価格'!$H$10:$I$12,2,0),0)*$F$8/1000,""))</f>
        <v/>
      </c>
      <c r="AZ75" s="39"/>
      <c r="BA75" s="42" t="str">
        <f t="shared" si="48"/>
        <v/>
      </c>
      <c r="BB75" s="72" t="str">
        <f t="shared" si="28"/>
        <v/>
      </c>
      <c r="BC75" s="39"/>
      <c r="BD75" s="72" t="str">
        <f t="shared" si="49"/>
        <v/>
      </c>
      <c r="BE75" s="72" t="str">
        <f t="shared" si="29"/>
        <v/>
      </c>
      <c r="BF75" s="39"/>
      <c r="BG75" s="42" t="str">
        <f t="shared" si="50"/>
        <v/>
      </c>
      <c r="BH75" s="72" t="str">
        <f t="shared" si="30"/>
        <v/>
      </c>
      <c r="BI75" s="39"/>
      <c r="BJ75" s="40" t="str">
        <f t="shared" si="31"/>
        <v/>
      </c>
      <c r="BK75" s="157" t="str">
        <f t="shared" si="32"/>
        <v/>
      </c>
      <c r="BL75" s="157" t="str">
        <f t="shared" si="14"/>
        <v/>
      </c>
      <c r="BM75" s="72"/>
      <c r="BN75" s="72" t="str">
        <f t="shared" si="33"/>
        <v/>
      </c>
      <c r="BO75" s="72" t="str">
        <f t="shared" si="34"/>
        <v/>
      </c>
      <c r="BP75" s="39"/>
      <c r="BQ75" s="72" t="str">
        <f t="shared" si="51"/>
        <v/>
      </c>
      <c r="BR75" s="72" t="str">
        <f t="shared" si="35"/>
        <v/>
      </c>
    </row>
    <row r="76" spans="2:70" x14ac:dyDescent="0.15">
      <c r="D76" s="101" t="s">
        <v>193</v>
      </c>
      <c r="E76" s="101"/>
      <c r="F76" s="92"/>
      <c r="G76" s="101"/>
      <c r="I76" s="459">
        <f t="shared" si="36"/>
        <v>2091</v>
      </c>
      <c r="J76" s="71"/>
      <c r="K76" s="71">
        <f t="shared" si="37"/>
        <v>62</v>
      </c>
      <c r="L76" s="71"/>
      <c r="M76" s="7">
        <f t="shared" si="38"/>
        <v>0.15998971629410663</v>
      </c>
      <c r="N76" s="71"/>
      <c r="O76" s="10" t="str">
        <f t="shared" si="52"/>
        <v/>
      </c>
      <c r="P76" s="29" t="str">
        <f t="shared" si="39"/>
        <v/>
      </c>
      <c r="Q76" s="71"/>
      <c r="R76" s="10" t="str">
        <f t="shared" si="53"/>
        <v/>
      </c>
      <c r="S76" s="71"/>
      <c r="T76" s="10" t="str">
        <f t="shared" si="18"/>
        <v/>
      </c>
      <c r="U76" s="71"/>
      <c r="V76" s="10" t="str">
        <f t="shared" si="40"/>
        <v/>
      </c>
      <c r="W76" s="10" t="str">
        <f t="shared" si="54"/>
        <v/>
      </c>
      <c r="X76" s="71"/>
      <c r="Y76" s="10" t="str">
        <f t="shared" si="41"/>
        <v/>
      </c>
      <c r="Z76" s="10" t="str">
        <f t="shared" si="55"/>
        <v/>
      </c>
      <c r="AA76" s="71"/>
      <c r="AB76" s="10" t="str">
        <f t="shared" si="4"/>
        <v/>
      </c>
      <c r="AC76" s="10" t="str">
        <f t="shared" si="56"/>
        <v/>
      </c>
      <c r="AD76" s="71"/>
      <c r="AE76" s="10" t="str">
        <f t="shared" si="42"/>
        <v/>
      </c>
      <c r="AF76" s="10" t="str">
        <f t="shared" si="57"/>
        <v/>
      </c>
      <c r="AG76" s="71"/>
      <c r="AH76" s="10" t="str">
        <f t="shared" si="43"/>
        <v/>
      </c>
      <c r="AI76" s="10" t="str">
        <f t="shared" si="58"/>
        <v/>
      </c>
      <c r="AJ76" s="71"/>
      <c r="AK76" s="10" t="str">
        <f t="shared" si="44"/>
        <v/>
      </c>
      <c r="AL76" s="10" t="str">
        <f t="shared" si="59"/>
        <v/>
      </c>
      <c r="AM76" s="71"/>
      <c r="AN76" s="10" t="str">
        <f t="shared" si="45"/>
        <v/>
      </c>
      <c r="AO76" s="10" t="str">
        <f t="shared" si="60"/>
        <v/>
      </c>
      <c r="AP76" s="71"/>
      <c r="AQ76" s="10" t="str">
        <f t="shared" si="46"/>
        <v/>
      </c>
      <c r="AR76" s="10" t="str">
        <f t="shared" si="26"/>
        <v/>
      </c>
      <c r="AS76" s="71"/>
      <c r="AT76" s="7" t="str">
        <f>IF($K76&lt;=$F$15,IF($F$40&lt;&gt;"",$F$40/1000,IF(ISERROR(VLOOKUP($F$3&amp;IF($G$4&lt;&gt;"",$G$4,"")&amp;IF($F$43&lt;&gt;"","_"&amp;$F$43,""),'表3）燃料価格'!$AF$9:$AG$25,2,0)),0,VLOOKUP($I76,'表3）燃料価格'!$A$6:$U$66,VLOOKUP($F$3&amp;IF($G$4&lt;&gt;"",$G$4,"")&amp;IF($F$43&lt;&gt;"","_"&amp;$F$43,""),'表3）燃料価格'!$AF$9:$AG$25,2,0)+VLOOKUP($F$41,'表3）燃料価格'!$AF$28:$AG$29,2,0),0)*IF($F$43="需要地価格",1,$F$8/$F$141))),"")</f>
        <v/>
      </c>
      <c r="AU76" s="71"/>
      <c r="AV76" s="10" t="str">
        <f t="shared" si="47"/>
        <v/>
      </c>
      <c r="AW76" s="10" t="str">
        <f t="shared" si="27"/>
        <v/>
      </c>
      <c r="AX76" s="71"/>
      <c r="AY76" s="7" t="str">
        <f>IF(ISERROR(IF($K76&lt;=$F$15,VLOOKUP($I76,'表4）CO2価格'!$A$7:$E$67,VLOOKUP($F$48,'表4）CO2価格'!$H$10:$I$12,2,0),0)*$F$8/1000,"")),0,IF($K76&lt;=$F$15,VLOOKUP($I76,'表4）CO2価格'!$A$7:$E$67,VLOOKUP($F$48,'表4）CO2価格'!$H$10:$I$12,2,0),0)*$F$8/1000,""))</f>
        <v/>
      </c>
      <c r="AZ76" s="71"/>
      <c r="BA76" s="11" t="str">
        <f t="shared" si="48"/>
        <v/>
      </c>
      <c r="BB76" s="10" t="str">
        <f t="shared" si="28"/>
        <v/>
      </c>
      <c r="BC76" s="71"/>
      <c r="BD76" s="10" t="str">
        <f t="shared" si="49"/>
        <v/>
      </c>
      <c r="BE76" s="10" t="str">
        <f t="shared" si="29"/>
        <v/>
      </c>
      <c r="BF76" s="71"/>
      <c r="BG76" s="11" t="str">
        <f t="shared" si="50"/>
        <v/>
      </c>
      <c r="BH76" s="10" t="str">
        <f t="shared" si="30"/>
        <v/>
      </c>
      <c r="BJ76" s="7" t="str">
        <f t="shared" si="31"/>
        <v/>
      </c>
      <c r="BK76" s="158" t="str">
        <f t="shared" si="32"/>
        <v/>
      </c>
      <c r="BL76" s="158" t="str">
        <f t="shared" si="14"/>
        <v/>
      </c>
      <c r="BM76" s="10"/>
      <c r="BN76" s="10" t="str">
        <f t="shared" si="33"/>
        <v/>
      </c>
      <c r="BO76" s="10" t="str">
        <f t="shared" si="34"/>
        <v/>
      </c>
      <c r="BQ76" s="10" t="str">
        <f t="shared" si="51"/>
        <v/>
      </c>
      <c r="BR76" s="10" t="str">
        <f t="shared" si="35"/>
        <v/>
      </c>
    </row>
    <row r="77" spans="2:70" x14ac:dyDescent="0.15">
      <c r="F77" s="93"/>
      <c r="I77" s="458">
        <f t="shared" si="36"/>
        <v>2092</v>
      </c>
      <c r="J77" s="39"/>
      <c r="K77" s="39">
        <f t="shared" si="37"/>
        <v>63</v>
      </c>
      <c r="L77" s="39"/>
      <c r="M77" s="40">
        <f t="shared" si="38"/>
        <v>0.15532982164476369</v>
      </c>
      <c r="N77" s="39"/>
      <c r="O77" s="72" t="str">
        <f t="shared" si="52"/>
        <v/>
      </c>
      <c r="P77" s="41" t="str">
        <f t="shared" si="39"/>
        <v/>
      </c>
      <c r="Q77" s="39"/>
      <c r="R77" s="72" t="str">
        <f t="shared" si="53"/>
        <v/>
      </c>
      <c r="S77" s="39"/>
      <c r="T77" s="72" t="str">
        <f t="shared" si="18"/>
        <v/>
      </c>
      <c r="U77" s="39"/>
      <c r="V77" s="72" t="str">
        <f t="shared" si="40"/>
        <v/>
      </c>
      <c r="W77" s="72" t="str">
        <f t="shared" si="54"/>
        <v/>
      </c>
      <c r="X77" s="39"/>
      <c r="Y77" s="72" t="str">
        <f t="shared" si="41"/>
        <v/>
      </c>
      <c r="Z77" s="72" t="str">
        <f t="shared" si="55"/>
        <v/>
      </c>
      <c r="AA77" s="39"/>
      <c r="AB77" s="72" t="str">
        <f t="shared" si="4"/>
        <v/>
      </c>
      <c r="AC77" s="72" t="str">
        <f t="shared" si="56"/>
        <v/>
      </c>
      <c r="AD77" s="39"/>
      <c r="AE77" s="72" t="str">
        <f t="shared" si="42"/>
        <v/>
      </c>
      <c r="AF77" s="72" t="str">
        <f t="shared" si="57"/>
        <v/>
      </c>
      <c r="AG77" s="39"/>
      <c r="AH77" s="72" t="str">
        <f t="shared" si="43"/>
        <v/>
      </c>
      <c r="AI77" s="72" t="str">
        <f t="shared" si="58"/>
        <v/>
      </c>
      <c r="AJ77" s="39"/>
      <c r="AK77" s="72" t="str">
        <f t="shared" si="44"/>
        <v/>
      </c>
      <c r="AL77" s="72" t="str">
        <f t="shared" si="59"/>
        <v/>
      </c>
      <c r="AM77" s="39"/>
      <c r="AN77" s="72" t="str">
        <f t="shared" si="45"/>
        <v/>
      </c>
      <c r="AO77" s="72" t="str">
        <f t="shared" si="60"/>
        <v/>
      </c>
      <c r="AP77" s="39"/>
      <c r="AQ77" s="72" t="str">
        <f t="shared" si="46"/>
        <v/>
      </c>
      <c r="AR77" s="72" t="str">
        <f t="shared" si="26"/>
        <v/>
      </c>
      <c r="AS77" s="39"/>
      <c r="AT77" s="40" t="str">
        <f>IF($K77&lt;=$F$15,IF($F$40&lt;&gt;"",$F$40/1000,IF(ISERROR(VLOOKUP($F$3&amp;IF($G$4&lt;&gt;"",$G$4,"")&amp;IF($F$43&lt;&gt;"","_"&amp;$F$43,""),'表3）燃料価格'!$AF$9:$AG$25,2,0)),0,VLOOKUP($I77,'表3）燃料価格'!$A$6:$U$66,VLOOKUP($F$3&amp;IF($G$4&lt;&gt;"",$G$4,"")&amp;IF($F$43&lt;&gt;"","_"&amp;$F$43,""),'表3）燃料価格'!$AF$9:$AG$25,2,0)+VLOOKUP($F$41,'表3）燃料価格'!$AF$28:$AG$29,2,0),0)*IF($F$43="需要地価格",1,$F$8/$F$141))),"")</f>
        <v/>
      </c>
      <c r="AU77" s="39"/>
      <c r="AV77" s="72" t="str">
        <f t="shared" si="47"/>
        <v/>
      </c>
      <c r="AW77" s="72" t="str">
        <f t="shared" si="27"/>
        <v/>
      </c>
      <c r="AX77" s="39"/>
      <c r="AY77" s="40" t="str">
        <f>IF(ISERROR(IF($K77&lt;=$F$15,VLOOKUP($I77,'表4）CO2価格'!$A$7:$E$67,VLOOKUP($F$48,'表4）CO2価格'!$H$10:$I$12,2,0),0)*$F$8/1000,"")),0,IF($K77&lt;=$F$15,VLOOKUP($I77,'表4）CO2価格'!$A$7:$E$67,VLOOKUP($F$48,'表4）CO2価格'!$H$10:$I$12,2,0),0)*$F$8/1000,""))</f>
        <v/>
      </c>
      <c r="AZ77" s="39"/>
      <c r="BA77" s="42" t="str">
        <f t="shared" si="48"/>
        <v/>
      </c>
      <c r="BB77" s="72" t="str">
        <f t="shared" si="28"/>
        <v/>
      </c>
      <c r="BC77" s="39"/>
      <c r="BD77" s="72" t="str">
        <f t="shared" si="49"/>
        <v/>
      </c>
      <c r="BE77" s="72" t="str">
        <f t="shared" si="29"/>
        <v/>
      </c>
      <c r="BF77" s="39"/>
      <c r="BG77" s="42" t="str">
        <f t="shared" si="50"/>
        <v/>
      </c>
      <c r="BH77" s="72" t="str">
        <f t="shared" si="30"/>
        <v/>
      </c>
      <c r="BI77" s="39"/>
      <c r="BJ77" s="40" t="str">
        <f t="shared" si="31"/>
        <v/>
      </c>
      <c r="BK77" s="157" t="str">
        <f t="shared" si="32"/>
        <v/>
      </c>
      <c r="BL77" s="157" t="str">
        <f t="shared" si="14"/>
        <v/>
      </c>
      <c r="BM77" s="72"/>
      <c r="BN77" s="72" t="str">
        <f t="shared" si="33"/>
        <v/>
      </c>
      <c r="BO77" s="72" t="str">
        <f t="shared" si="34"/>
        <v/>
      </c>
      <c r="BP77" s="39"/>
      <c r="BQ77" s="72" t="str">
        <f t="shared" si="51"/>
        <v/>
      </c>
      <c r="BR77" s="72" t="str">
        <f t="shared" si="35"/>
        <v/>
      </c>
    </row>
    <row r="78" spans="2:70" x14ac:dyDescent="0.15">
      <c r="E78" s="74" t="s">
        <v>138</v>
      </c>
      <c r="F78" s="91">
        <f>R15/$BR$116</f>
        <v>4.4959495076936289</v>
      </c>
      <c r="G78" s="81" t="s">
        <v>132</v>
      </c>
      <c r="I78" s="459">
        <f t="shared" si="36"/>
        <v>2093</v>
      </c>
      <c r="J78" s="71"/>
      <c r="K78" s="71">
        <f t="shared" si="37"/>
        <v>64</v>
      </c>
      <c r="L78" s="71"/>
      <c r="M78" s="7">
        <f t="shared" si="38"/>
        <v>0.15080565208229488</v>
      </c>
      <c r="N78" s="71"/>
      <c r="O78" s="10" t="str">
        <f t="shared" si="52"/>
        <v/>
      </c>
      <c r="P78" s="29" t="str">
        <f t="shared" si="39"/>
        <v/>
      </c>
      <c r="Q78" s="71"/>
      <c r="R78" s="10" t="str">
        <f t="shared" si="53"/>
        <v/>
      </c>
      <c r="S78" s="71"/>
      <c r="T78" s="10" t="str">
        <f t="shared" si="18"/>
        <v/>
      </c>
      <c r="U78" s="71"/>
      <c r="V78" s="10" t="str">
        <f t="shared" si="40"/>
        <v/>
      </c>
      <c r="W78" s="10" t="str">
        <f t="shared" si="54"/>
        <v/>
      </c>
      <c r="X78" s="71"/>
      <c r="Y78" s="10" t="str">
        <f t="shared" si="41"/>
        <v/>
      </c>
      <c r="Z78" s="10" t="str">
        <f t="shared" si="55"/>
        <v/>
      </c>
      <c r="AA78" s="71"/>
      <c r="AB78" s="10" t="str">
        <f t="shared" si="4"/>
        <v/>
      </c>
      <c r="AC78" s="10" t="str">
        <f t="shared" si="56"/>
        <v/>
      </c>
      <c r="AD78" s="71"/>
      <c r="AE78" s="10" t="str">
        <f t="shared" si="42"/>
        <v/>
      </c>
      <c r="AF78" s="10" t="str">
        <f t="shared" si="57"/>
        <v/>
      </c>
      <c r="AG78" s="71"/>
      <c r="AH78" s="10" t="str">
        <f t="shared" si="43"/>
        <v/>
      </c>
      <c r="AI78" s="10" t="str">
        <f t="shared" si="58"/>
        <v/>
      </c>
      <c r="AJ78" s="71"/>
      <c r="AK78" s="10" t="str">
        <f t="shared" si="44"/>
        <v/>
      </c>
      <c r="AL78" s="10" t="str">
        <f t="shared" si="59"/>
        <v/>
      </c>
      <c r="AM78" s="71"/>
      <c r="AN78" s="10" t="str">
        <f t="shared" si="45"/>
        <v/>
      </c>
      <c r="AO78" s="10" t="str">
        <f t="shared" si="60"/>
        <v/>
      </c>
      <c r="AP78" s="71"/>
      <c r="AQ78" s="10" t="str">
        <f t="shared" si="46"/>
        <v/>
      </c>
      <c r="AR78" s="10" t="str">
        <f t="shared" si="26"/>
        <v/>
      </c>
      <c r="AS78" s="71"/>
      <c r="AT78" s="7" t="str">
        <f>IF($K78&lt;=$F$15,IF($F$40&lt;&gt;"",$F$40/1000,IF(ISERROR(VLOOKUP($F$3&amp;IF($G$4&lt;&gt;"",$G$4,"")&amp;IF($F$43&lt;&gt;"","_"&amp;$F$43,""),'表3）燃料価格'!$AF$9:$AG$25,2,0)),0,VLOOKUP($I78,'表3）燃料価格'!$A$6:$U$66,VLOOKUP($F$3&amp;IF($G$4&lt;&gt;"",$G$4,"")&amp;IF($F$43&lt;&gt;"","_"&amp;$F$43,""),'表3）燃料価格'!$AF$9:$AG$25,2,0)+VLOOKUP($F$41,'表3）燃料価格'!$AF$28:$AG$29,2,0),0)*IF($F$43="需要地価格",1,$F$8/$F$141))),"")</f>
        <v/>
      </c>
      <c r="AU78" s="71"/>
      <c r="AV78" s="10" t="str">
        <f t="shared" si="47"/>
        <v/>
      </c>
      <c r="AW78" s="10" t="str">
        <f t="shared" si="27"/>
        <v/>
      </c>
      <c r="AX78" s="71"/>
      <c r="AY78" s="7" t="str">
        <f>IF(ISERROR(IF($K78&lt;=$F$15,VLOOKUP($I78,'表4）CO2価格'!$A$7:$E$67,VLOOKUP($F$48,'表4）CO2価格'!$H$10:$I$12,2,0),0)*$F$8/1000,"")),0,IF($K78&lt;=$F$15,VLOOKUP($I78,'表4）CO2価格'!$A$7:$E$67,VLOOKUP($F$48,'表4）CO2価格'!$H$10:$I$12,2,0),0)*$F$8/1000,""))</f>
        <v/>
      </c>
      <c r="AZ78" s="71"/>
      <c r="BA78" s="11" t="str">
        <f t="shared" si="48"/>
        <v/>
      </c>
      <c r="BB78" s="10" t="str">
        <f t="shared" si="28"/>
        <v/>
      </c>
      <c r="BC78" s="71"/>
      <c r="BD78" s="10" t="str">
        <f t="shared" si="49"/>
        <v/>
      </c>
      <c r="BE78" s="10" t="str">
        <f t="shared" si="29"/>
        <v/>
      </c>
      <c r="BF78" s="71"/>
      <c r="BG78" s="11" t="str">
        <f t="shared" si="50"/>
        <v/>
      </c>
      <c r="BH78" s="10" t="str">
        <f t="shared" si="30"/>
        <v/>
      </c>
      <c r="BJ78" s="7" t="str">
        <f t="shared" si="31"/>
        <v/>
      </c>
      <c r="BK78" s="158" t="str">
        <f t="shared" si="32"/>
        <v/>
      </c>
      <c r="BL78" s="158" t="str">
        <f t="shared" si="14"/>
        <v/>
      </c>
      <c r="BM78" s="10"/>
      <c r="BN78" s="10" t="str">
        <f t="shared" si="33"/>
        <v/>
      </c>
      <c r="BO78" s="10" t="str">
        <f t="shared" si="34"/>
        <v/>
      </c>
      <c r="BQ78" s="10" t="str">
        <f t="shared" si="51"/>
        <v/>
      </c>
      <c r="BR78" s="10" t="str">
        <f t="shared" si="35"/>
        <v/>
      </c>
    </row>
    <row r="79" spans="2:70" x14ac:dyDescent="0.15">
      <c r="E79" s="81" t="s">
        <v>139</v>
      </c>
      <c r="F79" s="91">
        <f>Z116/$BR$116</f>
        <v>0.38183954970196365</v>
      </c>
      <c r="G79" s="81" t="s">
        <v>132</v>
      </c>
      <c r="I79" s="458">
        <f t="shared" si="36"/>
        <v>2094</v>
      </c>
      <c r="J79" s="39"/>
      <c r="K79" s="39">
        <f t="shared" si="37"/>
        <v>65</v>
      </c>
      <c r="L79" s="39"/>
      <c r="M79" s="40">
        <f t="shared" ref="M79:M114" si="61">1/(1+($F$9/100))^K79</f>
        <v>0.14641325444882999</v>
      </c>
      <c r="N79" s="39"/>
      <c r="O79" s="72" t="str">
        <f t="shared" si="52"/>
        <v/>
      </c>
      <c r="P79" s="41" t="str">
        <f t="shared" ref="P79:P110" si="62">IF(K79&lt;=$F$15,IF(OR(P78=$F$124,P78="-"),"-",IF(O79*$F$123&gt;$F$127,$F$123,$F$124)),"")</f>
        <v/>
      </c>
      <c r="Q79" s="39"/>
      <c r="R79" s="72" t="str">
        <f t="shared" si="53"/>
        <v/>
      </c>
      <c r="S79" s="39"/>
      <c r="T79" s="72" t="str">
        <f t="shared" si="18"/>
        <v/>
      </c>
      <c r="U79" s="39"/>
      <c r="V79" s="72" t="str">
        <f t="shared" ref="V79:V114" si="63">IF(K79&lt;=$F$15,IF(K79&lt;$F$119,IF(P79="-",V78,O79*P79),IF(K79=$F$119,MIN(IF(P79="-",V78,O79*P79),O79),0)),"")</f>
        <v/>
      </c>
      <c r="W79" s="72" t="str">
        <f t="shared" si="54"/>
        <v/>
      </c>
      <c r="X79" s="39"/>
      <c r="Y79" s="72" t="str">
        <f t="shared" ref="Y79:Y114" si="64">IF($K79&lt;=$F$15,ROUNDDOWN(T79*$F$25/100,-2),"")</f>
        <v/>
      </c>
      <c r="Z79" s="72" t="str">
        <f t="shared" si="55"/>
        <v/>
      </c>
      <c r="AA79" s="39"/>
      <c r="AB79" s="72" t="str">
        <f t="shared" ref="AB79:AB114" si="65">IF($K79&lt;=$F$15,0,IF(AND($K79&gt;$F$15,$K79&lt;=$F$15+$F$28),$F$27*10^8/$F$28,""))</f>
        <v/>
      </c>
      <c r="AC79" s="72" t="str">
        <f t="shared" si="56"/>
        <v/>
      </c>
      <c r="AD79" s="39"/>
      <c r="AE79" s="72" t="str">
        <f t="shared" ref="AE79:AE114" si="66">IF($K79&lt;=$F$15,$F$26,"")</f>
        <v/>
      </c>
      <c r="AF79" s="72" t="str">
        <f t="shared" si="57"/>
        <v/>
      </c>
      <c r="AG79" s="39"/>
      <c r="AH79" s="72" t="str">
        <f t="shared" ref="AH79:AH114" si="67">IF($K79&lt;=$F$15,$F$33*10^8,"")</f>
        <v/>
      </c>
      <c r="AI79" s="72" t="str">
        <f t="shared" si="58"/>
        <v/>
      </c>
      <c r="AJ79" s="39"/>
      <c r="AK79" s="72" t="str">
        <f t="shared" ref="AK79:AK114" si="68">IF($K79&lt;=$F$15,$F$117*$F$34/100,"")</f>
        <v/>
      </c>
      <c r="AL79" s="72" t="str">
        <f t="shared" si="59"/>
        <v/>
      </c>
      <c r="AM79" s="39"/>
      <c r="AN79" s="72" t="str">
        <f t="shared" ref="AN79:AN114" si="69">IF($K79&lt;=$F$15,$F$117*$F$35/100,"")</f>
        <v/>
      </c>
      <c r="AO79" s="72" t="str">
        <f t="shared" si="60"/>
        <v/>
      </c>
      <c r="AP79" s="39"/>
      <c r="AQ79" s="72" t="str">
        <f t="shared" ref="AQ79:AQ114" si="70">IF($K79&lt;=$F$15,SUM(AH79,AK79,AN79)*($F$36/100),"")</f>
        <v/>
      </c>
      <c r="AR79" s="72" t="str">
        <f t="shared" si="26"/>
        <v/>
      </c>
      <c r="AS79" s="39"/>
      <c r="AT79" s="40" t="str">
        <f>IF($K79&lt;=$F$15,IF($F$40&lt;&gt;"",$F$40/1000,IF(ISERROR(VLOOKUP($F$3&amp;IF($G$4&lt;&gt;"",$G$4,"")&amp;IF($F$43&lt;&gt;"","_"&amp;$F$43,""),'表3）燃料価格'!$AF$9:$AG$25,2,0)),0,VLOOKUP($I79,'表3）燃料価格'!$A$6:$U$66,VLOOKUP($F$3&amp;IF($G$4&lt;&gt;"",$G$4,"")&amp;IF($F$43&lt;&gt;"","_"&amp;$F$43,""),'表3）燃料価格'!$AF$9:$AG$25,2,0)+VLOOKUP($F$41,'表3）燃料価格'!$AF$28:$AG$29,2,0),0)*IF($F$43="需要地価格",1,$F$8/$F$141))),"")</f>
        <v/>
      </c>
      <c r="AU79" s="39"/>
      <c r="AV79" s="72" t="str">
        <f t="shared" ref="AV79:AV114" si="71">IF($K79&lt;=$F$15,($AT79+$F$142)*$F$137,"")</f>
        <v/>
      </c>
      <c r="AW79" s="72" t="str">
        <f t="shared" si="27"/>
        <v/>
      </c>
      <c r="AX79" s="39"/>
      <c r="AY79" s="40" t="str">
        <f>IF(ISERROR(IF($K79&lt;=$F$15,VLOOKUP($I79,'表4）CO2価格'!$A$7:$E$67,VLOOKUP($F$48,'表4）CO2価格'!$H$10:$I$12,2,0),0)*$F$8/1000,"")),0,IF($K79&lt;=$F$15,VLOOKUP($I79,'表4）CO2価格'!$A$7:$E$67,VLOOKUP($F$48,'表4）CO2価格'!$H$10:$I$12,2,0),0)*$F$8/1000,""))</f>
        <v/>
      </c>
      <c r="AZ79" s="39"/>
      <c r="BA79" s="42" t="str">
        <f t="shared" ref="BA79:BA114" si="72">IF($K79&lt;=$F$15,$F$145*AY79,"")</f>
        <v/>
      </c>
      <c r="BB79" s="72" t="str">
        <f t="shared" si="28"/>
        <v/>
      </c>
      <c r="BC79" s="39"/>
      <c r="BD79" s="72" t="str">
        <f t="shared" ref="BD79:BD114" si="73">IF($K79&lt;=$F$15,($AT79+$F$152)*$F$151,"")</f>
        <v/>
      </c>
      <c r="BE79" s="72" t="str">
        <f t="shared" si="29"/>
        <v/>
      </c>
      <c r="BF79" s="39"/>
      <c r="BG79" s="42" t="str">
        <f t="shared" ref="BG79:BG114" si="74">IF($K79&lt;=$F$15,$F$153*AY79,"")</f>
        <v/>
      </c>
      <c r="BH79" s="72" t="str">
        <f t="shared" si="30"/>
        <v/>
      </c>
      <c r="BI79" s="39"/>
      <c r="BJ79" s="40" t="str">
        <f t="shared" si="31"/>
        <v/>
      </c>
      <c r="BK79" s="157" t="str">
        <f t="shared" si="32"/>
        <v/>
      </c>
      <c r="BL79" s="157" t="str">
        <f t="shared" ref="BL79:BL114" si="75">IF(AND(ISNUMBER(BJ79),$K79&lt;=$F$16),BQ79*BJ79,"")</f>
        <v/>
      </c>
      <c r="BM79" s="72"/>
      <c r="BN79" s="72" t="str">
        <f t="shared" si="33"/>
        <v/>
      </c>
      <c r="BO79" s="72" t="str">
        <f t="shared" si="34"/>
        <v/>
      </c>
      <c r="BP79" s="39"/>
      <c r="BQ79" s="72" t="str">
        <f t="shared" ref="BQ79:BQ114" si="76">IF($K79&lt;=$F$15,$F$134,"")</f>
        <v/>
      </c>
      <c r="BR79" s="72" t="str">
        <f t="shared" si="35"/>
        <v/>
      </c>
    </row>
    <row r="80" spans="2:70" x14ac:dyDescent="0.15">
      <c r="E80" s="81" t="s">
        <v>115</v>
      </c>
      <c r="F80" s="91">
        <f>AF116/$BR$116</f>
        <v>0</v>
      </c>
      <c r="G80" s="81" t="s">
        <v>132</v>
      </c>
      <c r="I80" s="459">
        <f t="shared" si="36"/>
        <v>2095</v>
      </c>
      <c r="J80" s="71"/>
      <c r="K80" s="71">
        <f t="shared" si="37"/>
        <v>66</v>
      </c>
      <c r="L80" s="71"/>
      <c r="M80" s="7">
        <f t="shared" si="61"/>
        <v>0.14214879072701941</v>
      </c>
      <c r="N80" s="71"/>
      <c r="O80" s="10" t="str">
        <f t="shared" ref="O80:O114" si="77">IF(K80&lt;=$F$15,O79-V79,"")</f>
        <v/>
      </c>
      <c r="P80" s="29" t="str">
        <f t="shared" si="62"/>
        <v/>
      </c>
      <c r="Q80" s="71"/>
      <c r="R80" s="10" t="str">
        <f t="shared" ref="R80:R114" si="78">IF($K80&lt;=$F$15,MAX($F$117*5%,R79*$F$129),"")</f>
        <v/>
      </c>
      <c r="S80" s="71"/>
      <c r="T80" s="10" t="str">
        <f t="shared" ref="T80:T114" si="79">IF(ISNUMBER(R80),ROUNDDOWN(R80,-3),"")</f>
        <v/>
      </c>
      <c r="U80" s="71"/>
      <c r="V80" s="10" t="str">
        <f t="shared" si="63"/>
        <v/>
      </c>
      <c r="W80" s="10" t="str">
        <f t="shared" si="54"/>
        <v/>
      </c>
      <c r="X80" s="71"/>
      <c r="Y80" s="10" t="str">
        <f t="shared" si="64"/>
        <v/>
      </c>
      <c r="Z80" s="10" t="str">
        <f t="shared" si="55"/>
        <v/>
      </c>
      <c r="AA80" s="71"/>
      <c r="AB80" s="10" t="str">
        <f t="shared" si="65"/>
        <v/>
      </c>
      <c r="AC80" s="10" t="str">
        <f t="shared" si="56"/>
        <v/>
      </c>
      <c r="AD80" s="71"/>
      <c r="AE80" s="10" t="str">
        <f t="shared" si="66"/>
        <v/>
      </c>
      <c r="AF80" s="10" t="str">
        <f t="shared" si="57"/>
        <v/>
      </c>
      <c r="AG80" s="71"/>
      <c r="AH80" s="10" t="str">
        <f t="shared" si="67"/>
        <v/>
      </c>
      <c r="AI80" s="10" t="str">
        <f t="shared" si="58"/>
        <v/>
      </c>
      <c r="AJ80" s="71"/>
      <c r="AK80" s="10" t="str">
        <f t="shared" si="68"/>
        <v/>
      </c>
      <c r="AL80" s="10" t="str">
        <f t="shared" si="59"/>
        <v/>
      </c>
      <c r="AM80" s="71"/>
      <c r="AN80" s="10" t="str">
        <f t="shared" si="69"/>
        <v/>
      </c>
      <c r="AO80" s="10" t="str">
        <f t="shared" si="60"/>
        <v/>
      </c>
      <c r="AP80" s="71"/>
      <c r="AQ80" s="10" t="str">
        <f t="shared" si="70"/>
        <v/>
      </c>
      <c r="AR80" s="10" t="str">
        <f t="shared" ref="AR80:AR114" si="80">IF(ISNUMBER(AQ80),AQ80*$M80,"")</f>
        <v/>
      </c>
      <c r="AS80" s="71"/>
      <c r="AT80" s="7" t="str">
        <f>IF($K80&lt;=$F$15,IF($F$40&lt;&gt;"",$F$40/1000,IF(ISERROR(VLOOKUP($F$3&amp;IF($G$4&lt;&gt;"",$G$4,"")&amp;IF($F$43&lt;&gt;"","_"&amp;$F$43,""),'表3）燃料価格'!$AF$9:$AG$25,2,0)),0,VLOOKUP($I80,'表3）燃料価格'!$A$6:$U$66,VLOOKUP($F$3&amp;IF($G$4&lt;&gt;"",$G$4,"")&amp;IF($F$43&lt;&gt;"","_"&amp;$F$43,""),'表3）燃料価格'!$AF$9:$AG$25,2,0)+VLOOKUP($F$41,'表3）燃料価格'!$AF$28:$AG$29,2,0),0)*IF($F$43="需要地価格",1,$F$8/$F$141))),"")</f>
        <v/>
      </c>
      <c r="AU80" s="71"/>
      <c r="AV80" s="10" t="str">
        <f t="shared" si="71"/>
        <v/>
      </c>
      <c r="AW80" s="10" t="str">
        <f t="shared" ref="AW80:AW114" si="81">IF(ISNUMBER(AV80),AV80*$M80,"")</f>
        <v/>
      </c>
      <c r="AX80" s="71"/>
      <c r="AY80" s="7" t="str">
        <f>IF(ISERROR(IF($K80&lt;=$F$15,VLOOKUP($I80,'表4）CO2価格'!$A$7:$E$67,VLOOKUP($F$48,'表4）CO2価格'!$H$10:$I$12,2,0),0)*$F$8/1000,"")),0,IF($K80&lt;=$F$15,VLOOKUP($I80,'表4）CO2価格'!$A$7:$E$67,VLOOKUP($F$48,'表4）CO2価格'!$H$10:$I$12,2,0),0)*$F$8/1000,""))</f>
        <v/>
      </c>
      <c r="AZ80" s="71"/>
      <c r="BA80" s="11" t="str">
        <f t="shared" si="72"/>
        <v/>
      </c>
      <c r="BB80" s="10" t="str">
        <f t="shared" ref="BB80:BB114" si="82">IF(ISNUMBER(BA80),BA80*$M80,"")</f>
        <v/>
      </c>
      <c r="BC80" s="71"/>
      <c r="BD80" s="10" t="str">
        <f t="shared" si="73"/>
        <v/>
      </c>
      <c r="BE80" s="10" t="str">
        <f t="shared" ref="BE80:BE114" si="83">IF(ISNUMBER(BD80),BD80*$M80,"")</f>
        <v/>
      </c>
      <c r="BF80" s="71"/>
      <c r="BG80" s="11" t="str">
        <f t="shared" si="74"/>
        <v/>
      </c>
      <c r="BH80" s="10" t="str">
        <f t="shared" ref="BH80:BH114" si="84">IF(ISNUMBER(BG80),BG80*$M80,"")</f>
        <v/>
      </c>
      <c r="BJ80" s="7" t="str">
        <f t="shared" ref="BJ80:BJ114" si="85">IF(ISNUMBER($F$16),IF($K80&lt;=$F$16+$F$28,1/(1+($F$17/100))^K80,""),"")</f>
        <v/>
      </c>
      <c r="BK80" s="158" t="str">
        <f t="shared" ref="BK80:BK114" si="86">IF(ISNUMBER($F$16),IF($K80&lt;=$F$16+$F$28,IF($K80&lt;=$F$16,SUM(Y80,AB80,AE80,AH80,AK80,AN80,AQ80,AV80,BA80,BD80,BG80),$F$27/$F$28*10^8)*BJ80,""),"")</f>
        <v/>
      </c>
      <c r="BL80" s="158" t="str">
        <f t="shared" si="75"/>
        <v/>
      </c>
      <c r="BM80" s="10"/>
      <c r="BN80" s="10" t="str">
        <f t="shared" ref="BN80:BN114" si="87">IF(AND(ISNUMBER($F$16),$K80&lt;=$F$16),BQ80*($O$15+$BK$116)/$BL$116,"")</f>
        <v/>
      </c>
      <c r="BO80" s="10" t="str">
        <f t="shared" ref="BO80:BO114" si="88">IF(ISNUMBER(BN80),BN80*$M80,"")</f>
        <v/>
      </c>
      <c r="BQ80" s="10" t="str">
        <f t="shared" si="76"/>
        <v/>
      </c>
      <c r="BR80" s="10" t="str">
        <f t="shared" ref="BR80:BR114" si="89">IF(ISNUMBER(BQ80),BQ80*$M80,"")</f>
        <v/>
      </c>
    </row>
    <row r="81" spans="4:70" x14ac:dyDescent="0.15">
      <c r="E81" s="82" t="s">
        <v>86</v>
      </c>
      <c r="F81" s="91">
        <f>AC116/$BR$116</f>
        <v>6.6906023172675286E-2</v>
      </c>
      <c r="G81" s="81" t="s">
        <v>132</v>
      </c>
      <c r="I81" s="458">
        <f t="shared" ref="I81:I114" si="90">I80+1</f>
        <v>2096</v>
      </c>
      <c r="J81" s="39"/>
      <c r="K81" s="39">
        <f t="shared" ref="K81:K114" si="91">IF(I81&lt;&gt;"",K80+1,"")</f>
        <v>67</v>
      </c>
      <c r="L81" s="39"/>
      <c r="M81" s="40">
        <f t="shared" si="61"/>
        <v>0.1380085346864266</v>
      </c>
      <c r="N81" s="39"/>
      <c r="O81" s="72" t="str">
        <f t="shared" si="77"/>
        <v/>
      </c>
      <c r="P81" s="41" t="str">
        <f t="shared" si="62"/>
        <v/>
      </c>
      <c r="Q81" s="39"/>
      <c r="R81" s="72" t="str">
        <f t="shared" si="78"/>
        <v/>
      </c>
      <c r="S81" s="39"/>
      <c r="T81" s="72" t="str">
        <f t="shared" si="79"/>
        <v/>
      </c>
      <c r="U81" s="39"/>
      <c r="V81" s="72" t="str">
        <f t="shared" si="63"/>
        <v/>
      </c>
      <c r="W81" s="72" t="str">
        <f t="shared" si="54"/>
        <v/>
      </c>
      <c r="X81" s="39"/>
      <c r="Y81" s="72" t="str">
        <f t="shared" si="64"/>
        <v/>
      </c>
      <c r="Z81" s="72" t="str">
        <f t="shared" si="55"/>
        <v/>
      </c>
      <c r="AA81" s="39"/>
      <c r="AB81" s="72" t="str">
        <f t="shared" si="65"/>
        <v/>
      </c>
      <c r="AC81" s="72" t="str">
        <f t="shared" si="56"/>
        <v/>
      </c>
      <c r="AD81" s="39"/>
      <c r="AE81" s="72" t="str">
        <f t="shared" si="66"/>
        <v/>
      </c>
      <c r="AF81" s="72" t="str">
        <f t="shared" si="57"/>
        <v/>
      </c>
      <c r="AG81" s="39"/>
      <c r="AH81" s="72" t="str">
        <f t="shared" si="67"/>
        <v/>
      </c>
      <c r="AI81" s="72" t="str">
        <f t="shared" si="58"/>
        <v/>
      </c>
      <c r="AJ81" s="39"/>
      <c r="AK81" s="72" t="str">
        <f t="shared" si="68"/>
        <v/>
      </c>
      <c r="AL81" s="72" t="str">
        <f t="shared" si="59"/>
        <v/>
      </c>
      <c r="AM81" s="39"/>
      <c r="AN81" s="72" t="str">
        <f t="shared" si="69"/>
        <v/>
      </c>
      <c r="AO81" s="72" t="str">
        <f t="shared" si="60"/>
        <v/>
      </c>
      <c r="AP81" s="39"/>
      <c r="AQ81" s="72" t="str">
        <f t="shared" si="70"/>
        <v/>
      </c>
      <c r="AR81" s="72" t="str">
        <f t="shared" si="80"/>
        <v/>
      </c>
      <c r="AS81" s="39"/>
      <c r="AT81" s="40" t="str">
        <f>IF($K81&lt;=$F$15,IF($F$40&lt;&gt;"",$F$40/1000,IF(ISERROR(VLOOKUP($F$3&amp;IF($G$4&lt;&gt;"",$G$4,"")&amp;IF($F$43&lt;&gt;"","_"&amp;$F$43,""),'表3）燃料価格'!$AF$9:$AG$25,2,0)),0,VLOOKUP($I81,'表3）燃料価格'!$A$6:$U$66,VLOOKUP($F$3&amp;IF($G$4&lt;&gt;"",$G$4,"")&amp;IF($F$43&lt;&gt;"","_"&amp;$F$43,""),'表3）燃料価格'!$AF$9:$AG$25,2,0)+VLOOKUP($F$41,'表3）燃料価格'!$AF$28:$AG$29,2,0),0)*IF($F$43="需要地価格",1,$F$8/$F$141))),"")</f>
        <v/>
      </c>
      <c r="AU81" s="39"/>
      <c r="AV81" s="72" t="str">
        <f t="shared" si="71"/>
        <v/>
      </c>
      <c r="AW81" s="72" t="str">
        <f t="shared" si="81"/>
        <v/>
      </c>
      <c r="AX81" s="39"/>
      <c r="AY81" s="40" t="str">
        <f>IF(ISERROR(IF($K81&lt;=$F$15,VLOOKUP($I81,'表4）CO2価格'!$A$7:$E$67,VLOOKUP($F$48,'表4）CO2価格'!$H$10:$I$12,2,0),0)*$F$8/1000,"")),0,IF($K81&lt;=$F$15,VLOOKUP($I81,'表4）CO2価格'!$A$7:$E$67,VLOOKUP($F$48,'表4）CO2価格'!$H$10:$I$12,2,0),0)*$F$8/1000,""))</f>
        <v/>
      </c>
      <c r="AZ81" s="39"/>
      <c r="BA81" s="42" t="str">
        <f t="shared" si="72"/>
        <v/>
      </c>
      <c r="BB81" s="72" t="str">
        <f t="shared" si="82"/>
        <v/>
      </c>
      <c r="BC81" s="39"/>
      <c r="BD81" s="72" t="str">
        <f t="shared" si="73"/>
        <v/>
      </c>
      <c r="BE81" s="72" t="str">
        <f t="shared" si="83"/>
        <v/>
      </c>
      <c r="BF81" s="39"/>
      <c r="BG81" s="42" t="str">
        <f t="shared" si="74"/>
        <v/>
      </c>
      <c r="BH81" s="72" t="str">
        <f t="shared" si="84"/>
        <v/>
      </c>
      <c r="BI81" s="39"/>
      <c r="BJ81" s="40" t="str">
        <f t="shared" si="85"/>
        <v/>
      </c>
      <c r="BK81" s="157" t="str">
        <f t="shared" si="86"/>
        <v/>
      </c>
      <c r="BL81" s="157" t="str">
        <f t="shared" si="75"/>
        <v/>
      </c>
      <c r="BM81" s="72"/>
      <c r="BN81" s="72" t="str">
        <f t="shared" si="87"/>
        <v/>
      </c>
      <c r="BO81" s="72" t="str">
        <f t="shared" si="88"/>
        <v/>
      </c>
      <c r="BP81" s="39"/>
      <c r="BQ81" s="72" t="str">
        <f t="shared" si="76"/>
        <v/>
      </c>
      <c r="BR81" s="72" t="str">
        <f t="shared" si="89"/>
        <v/>
      </c>
    </row>
    <row r="82" spans="4:70" x14ac:dyDescent="0.15">
      <c r="F82" s="93"/>
      <c r="I82" s="459">
        <f t="shared" si="90"/>
        <v>2097</v>
      </c>
      <c r="J82" s="71"/>
      <c r="K82" s="71">
        <f t="shared" si="91"/>
        <v>68</v>
      </c>
      <c r="L82" s="71"/>
      <c r="M82" s="7">
        <f t="shared" si="61"/>
        <v>0.13398886862759865</v>
      </c>
      <c r="N82" s="71"/>
      <c r="O82" s="10" t="str">
        <f t="shared" si="77"/>
        <v/>
      </c>
      <c r="P82" s="29" t="str">
        <f t="shared" si="62"/>
        <v/>
      </c>
      <c r="Q82" s="71"/>
      <c r="R82" s="10" t="str">
        <f t="shared" si="78"/>
        <v/>
      </c>
      <c r="S82" s="71"/>
      <c r="T82" s="10" t="str">
        <f t="shared" si="79"/>
        <v/>
      </c>
      <c r="U82" s="71"/>
      <c r="V82" s="10" t="str">
        <f t="shared" si="63"/>
        <v/>
      </c>
      <c r="W82" s="10" t="str">
        <f t="shared" si="54"/>
        <v/>
      </c>
      <c r="X82" s="71"/>
      <c r="Y82" s="10" t="str">
        <f t="shared" si="64"/>
        <v/>
      </c>
      <c r="Z82" s="10" t="str">
        <f t="shared" si="55"/>
        <v/>
      </c>
      <c r="AA82" s="71"/>
      <c r="AB82" s="10" t="str">
        <f t="shared" si="65"/>
        <v/>
      </c>
      <c r="AC82" s="10" t="str">
        <f t="shared" si="56"/>
        <v/>
      </c>
      <c r="AD82" s="71"/>
      <c r="AE82" s="10" t="str">
        <f t="shared" si="66"/>
        <v/>
      </c>
      <c r="AF82" s="10" t="str">
        <f t="shared" si="57"/>
        <v/>
      </c>
      <c r="AG82" s="71"/>
      <c r="AH82" s="10" t="str">
        <f t="shared" si="67"/>
        <v/>
      </c>
      <c r="AI82" s="10" t="str">
        <f t="shared" si="58"/>
        <v/>
      </c>
      <c r="AJ82" s="71"/>
      <c r="AK82" s="10" t="str">
        <f t="shared" si="68"/>
        <v/>
      </c>
      <c r="AL82" s="10" t="str">
        <f t="shared" si="59"/>
        <v/>
      </c>
      <c r="AM82" s="71"/>
      <c r="AN82" s="10" t="str">
        <f t="shared" si="69"/>
        <v/>
      </c>
      <c r="AO82" s="10" t="str">
        <f t="shared" si="60"/>
        <v/>
      </c>
      <c r="AP82" s="71"/>
      <c r="AQ82" s="10" t="str">
        <f t="shared" si="70"/>
        <v/>
      </c>
      <c r="AR82" s="10" t="str">
        <f t="shared" si="80"/>
        <v/>
      </c>
      <c r="AS82" s="71"/>
      <c r="AT82" s="7" t="str">
        <f>IF($K82&lt;=$F$15,IF($F$40&lt;&gt;"",$F$40/1000,IF(ISERROR(VLOOKUP($F$3&amp;IF($G$4&lt;&gt;"",$G$4,"")&amp;IF($F$43&lt;&gt;"","_"&amp;$F$43,""),'表3）燃料価格'!$AF$9:$AG$25,2,0)),0,VLOOKUP($I82,'表3）燃料価格'!$A$6:$U$66,VLOOKUP($F$3&amp;IF($G$4&lt;&gt;"",$G$4,"")&amp;IF($F$43&lt;&gt;"","_"&amp;$F$43,""),'表3）燃料価格'!$AF$9:$AG$25,2,0)+VLOOKUP($F$41,'表3）燃料価格'!$AF$28:$AG$29,2,0),0)*IF($F$43="需要地価格",1,$F$8/$F$141))),"")</f>
        <v/>
      </c>
      <c r="AU82" s="71"/>
      <c r="AV82" s="10" t="str">
        <f t="shared" si="71"/>
        <v/>
      </c>
      <c r="AW82" s="10" t="str">
        <f t="shared" si="81"/>
        <v/>
      </c>
      <c r="AX82" s="71"/>
      <c r="AY82" s="7" t="str">
        <f>IF(ISERROR(IF($K82&lt;=$F$15,VLOOKUP($I82,'表4）CO2価格'!$A$7:$E$67,VLOOKUP($F$48,'表4）CO2価格'!$H$10:$I$12,2,0),0)*$F$8/1000,"")),0,IF($K82&lt;=$F$15,VLOOKUP($I82,'表4）CO2価格'!$A$7:$E$67,VLOOKUP($F$48,'表4）CO2価格'!$H$10:$I$12,2,0),0)*$F$8/1000,""))</f>
        <v/>
      </c>
      <c r="AZ82" s="71"/>
      <c r="BA82" s="11" t="str">
        <f t="shared" si="72"/>
        <v/>
      </c>
      <c r="BB82" s="10" t="str">
        <f t="shared" si="82"/>
        <v/>
      </c>
      <c r="BC82" s="71"/>
      <c r="BD82" s="10" t="str">
        <f t="shared" si="73"/>
        <v/>
      </c>
      <c r="BE82" s="10" t="str">
        <f t="shared" si="83"/>
        <v/>
      </c>
      <c r="BF82" s="71"/>
      <c r="BG82" s="11" t="str">
        <f t="shared" si="74"/>
        <v/>
      </c>
      <c r="BH82" s="10" t="str">
        <f t="shared" si="84"/>
        <v/>
      </c>
      <c r="BJ82" s="7" t="str">
        <f t="shared" si="85"/>
        <v/>
      </c>
      <c r="BK82" s="158" t="str">
        <f t="shared" si="86"/>
        <v/>
      </c>
      <c r="BL82" s="158" t="str">
        <f t="shared" si="75"/>
        <v/>
      </c>
      <c r="BM82" s="10"/>
      <c r="BN82" s="10" t="str">
        <f t="shared" si="87"/>
        <v/>
      </c>
      <c r="BO82" s="10" t="str">
        <f t="shared" si="88"/>
        <v/>
      </c>
      <c r="BQ82" s="10" t="str">
        <f t="shared" si="76"/>
        <v/>
      </c>
      <c r="BR82" s="10" t="str">
        <f t="shared" si="89"/>
        <v/>
      </c>
    </row>
    <row r="83" spans="4:70" ht="15" x14ac:dyDescent="0.15">
      <c r="D83" s="116" t="s">
        <v>194</v>
      </c>
      <c r="F83" s="94">
        <f>SUBTOTAL(9,F87:F90)</f>
        <v>3.2746826755816483</v>
      </c>
      <c r="G83" s="81" t="s">
        <v>132</v>
      </c>
      <c r="I83" s="458">
        <f>I82+1</f>
        <v>2098</v>
      </c>
      <c r="J83" s="39"/>
      <c r="K83" s="39">
        <f>IF(I83&lt;&gt;"",K82+1,"")</f>
        <v>69</v>
      </c>
      <c r="L83" s="39"/>
      <c r="M83" s="40">
        <f t="shared" si="61"/>
        <v>0.13008628022096957</v>
      </c>
      <c r="N83" s="39"/>
      <c r="O83" s="72" t="str">
        <f t="shared" si="77"/>
        <v/>
      </c>
      <c r="P83" s="41" t="str">
        <f t="shared" si="62"/>
        <v/>
      </c>
      <c r="Q83" s="39"/>
      <c r="R83" s="72" t="str">
        <f t="shared" si="78"/>
        <v/>
      </c>
      <c r="S83" s="39"/>
      <c r="T83" s="72" t="str">
        <f t="shared" si="79"/>
        <v/>
      </c>
      <c r="U83" s="39"/>
      <c r="V83" s="72" t="str">
        <f t="shared" si="63"/>
        <v/>
      </c>
      <c r="W83" s="72" t="str">
        <f t="shared" ref="W83:W114" si="92">IF(ISNUMBER(V83),V83*$M83,"")</f>
        <v/>
      </c>
      <c r="X83" s="39"/>
      <c r="Y83" s="72" t="str">
        <f t="shared" si="64"/>
        <v/>
      </c>
      <c r="Z83" s="72" t="str">
        <f t="shared" ref="Z83:Z114" si="93">IF(ISNUMBER(Y83),Y83*$M83,"")</f>
        <v/>
      </c>
      <c r="AA83" s="39"/>
      <c r="AB83" s="72" t="str">
        <f t="shared" si="65"/>
        <v/>
      </c>
      <c r="AC83" s="72" t="str">
        <f t="shared" ref="AC83:AC114" si="94">IF(ISNUMBER(AB83),AB83*$M83,"")</f>
        <v/>
      </c>
      <c r="AD83" s="39"/>
      <c r="AE83" s="72" t="str">
        <f t="shared" si="66"/>
        <v/>
      </c>
      <c r="AF83" s="72" t="str">
        <f t="shared" ref="AF83:AF114" si="95">IF(ISNUMBER(AE83),AE83*$M83,"")</f>
        <v/>
      </c>
      <c r="AG83" s="39"/>
      <c r="AH83" s="72" t="str">
        <f t="shared" si="67"/>
        <v/>
      </c>
      <c r="AI83" s="72" t="str">
        <f t="shared" ref="AI83:AI114" si="96">IF(ISNUMBER(AH83),AH83*$M83,"")</f>
        <v/>
      </c>
      <c r="AJ83" s="39"/>
      <c r="AK83" s="72" t="str">
        <f t="shared" si="68"/>
        <v/>
      </c>
      <c r="AL83" s="72" t="str">
        <f t="shared" ref="AL83:AL114" si="97">IF(ISNUMBER(AK83),AK83*$M83,"")</f>
        <v/>
      </c>
      <c r="AM83" s="39"/>
      <c r="AN83" s="72" t="str">
        <f t="shared" si="69"/>
        <v/>
      </c>
      <c r="AO83" s="72" t="str">
        <f t="shared" ref="AO83:AO114" si="98">IF(ISNUMBER(AN83),AN83*$M83,"")</f>
        <v/>
      </c>
      <c r="AP83" s="39"/>
      <c r="AQ83" s="72" t="str">
        <f t="shared" si="70"/>
        <v/>
      </c>
      <c r="AR83" s="72" t="str">
        <f t="shared" si="80"/>
        <v/>
      </c>
      <c r="AS83" s="39"/>
      <c r="AT83" s="40" t="str">
        <f>IF($K83&lt;=$F$15,IF($F$40&lt;&gt;"",$F$40/1000,IF(ISERROR(VLOOKUP($F$3&amp;IF($G$4&lt;&gt;"",$G$4,"")&amp;IF($F$43&lt;&gt;"","_"&amp;$F$43,""),'表3）燃料価格'!$AF$9:$AG$25,2,0)),0,VLOOKUP($I83,'表3）燃料価格'!$A$6:$U$66,VLOOKUP($F$3&amp;IF($G$4&lt;&gt;"",$G$4,"")&amp;IF($F$43&lt;&gt;"","_"&amp;$F$43,""),'表3）燃料価格'!$AF$9:$AG$25,2,0)+VLOOKUP($F$41,'表3）燃料価格'!$AF$28:$AG$29,2,0),0)*IF($F$43="需要地価格",1,$F$8/$F$141))),"")</f>
        <v/>
      </c>
      <c r="AU83" s="39"/>
      <c r="AV83" s="72" t="str">
        <f t="shared" si="71"/>
        <v/>
      </c>
      <c r="AW83" s="72" t="str">
        <f t="shared" si="81"/>
        <v/>
      </c>
      <c r="AX83" s="39"/>
      <c r="AY83" s="40" t="str">
        <f>IF(ISERROR(IF($K83&lt;=$F$15,VLOOKUP($I83,'表4）CO2価格'!$A$7:$E$67,VLOOKUP($F$48,'表4）CO2価格'!$H$10:$I$12,2,0),0)*$F$8/1000,"")),0,IF($K83&lt;=$F$15,VLOOKUP($I83,'表4）CO2価格'!$A$7:$E$67,VLOOKUP($F$48,'表4）CO2価格'!$H$10:$I$12,2,0),0)*$F$8/1000,""))</f>
        <v/>
      </c>
      <c r="AZ83" s="39"/>
      <c r="BA83" s="42" t="str">
        <f t="shared" si="72"/>
        <v/>
      </c>
      <c r="BB83" s="72" t="str">
        <f t="shared" si="82"/>
        <v/>
      </c>
      <c r="BC83" s="39"/>
      <c r="BD83" s="72" t="str">
        <f t="shared" si="73"/>
        <v/>
      </c>
      <c r="BE83" s="72" t="str">
        <f t="shared" si="83"/>
        <v/>
      </c>
      <c r="BF83" s="39"/>
      <c r="BG83" s="42" t="str">
        <f t="shared" si="74"/>
        <v/>
      </c>
      <c r="BH83" s="72" t="str">
        <f t="shared" si="84"/>
        <v/>
      </c>
      <c r="BI83" s="39"/>
      <c r="BJ83" s="40" t="str">
        <f t="shared" si="85"/>
        <v/>
      </c>
      <c r="BK83" s="157" t="str">
        <f t="shared" si="86"/>
        <v/>
      </c>
      <c r="BL83" s="157" t="str">
        <f t="shared" si="75"/>
        <v/>
      </c>
      <c r="BM83" s="72"/>
      <c r="BN83" s="72" t="str">
        <f t="shared" si="87"/>
        <v/>
      </c>
      <c r="BO83" s="72" t="str">
        <f t="shared" si="88"/>
        <v/>
      </c>
      <c r="BP83" s="39"/>
      <c r="BQ83" s="72" t="str">
        <f t="shared" si="76"/>
        <v/>
      </c>
      <c r="BR83" s="72" t="str">
        <f t="shared" si="89"/>
        <v/>
      </c>
    </row>
    <row r="84" spans="4:70" x14ac:dyDescent="0.15">
      <c r="F84" s="93"/>
      <c r="I84" s="459">
        <f t="shared" si="90"/>
        <v>2099</v>
      </c>
      <c r="J84" s="71"/>
      <c r="K84" s="71">
        <f t="shared" si="91"/>
        <v>70</v>
      </c>
      <c r="L84" s="71"/>
      <c r="M84" s="7">
        <f t="shared" si="61"/>
        <v>0.12629735943783454</v>
      </c>
      <c r="N84" s="71"/>
      <c r="O84" s="10" t="str">
        <f t="shared" si="77"/>
        <v/>
      </c>
      <c r="P84" s="29" t="str">
        <f t="shared" si="62"/>
        <v/>
      </c>
      <c r="Q84" s="71"/>
      <c r="R84" s="10" t="str">
        <f t="shared" si="78"/>
        <v/>
      </c>
      <c r="S84" s="71"/>
      <c r="T84" s="10" t="str">
        <f t="shared" si="79"/>
        <v/>
      </c>
      <c r="U84" s="71"/>
      <c r="V84" s="10" t="str">
        <f t="shared" si="63"/>
        <v/>
      </c>
      <c r="W84" s="10" t="str">
        <f t="shared" si="92"/>
        <v/>
      </c>
      <c r="X84" s="71"/>
      <c r="Y84" s="10" t="str">
        <f t="shared" si="64"/>
        <v/>
      </c>
      <c r="Z84" s="10" t="str">
        <f t="shared" si="93"/>
        <v/>
      </c>
      <c r="AA84" s="71"/>
      <c r="AB84" s="10" t="str">
        <f t="shared" si="65"/>
        <v/>
      </c>
      <c r="AC84" s="10" t="str">
        <f t="shared" si="94"/>
        <v/>
      </c>
      <c r="AD84" s="71"/>
      <c r="AE84" s="10" t="str">
        <f t="shared" si="66"/>
        <v/>
      </c>
      <c r="AF84" s="10" t="str">
        <f t="shared" si="95"/>
        <v/>
      </c>
      <c r="AG84" s="71"/>
      <c r="AH84" s="10" t="str">
        <f t="shared" si="67"/>
        <v/>
      </c>
      <c r="AI84" s="10" t="str">
        <f t="shared" si="96"/>
        <v/>
      </c>
      <c r="AJ84" s="71"/>
      <c r="AK84" s="10" t="str">
        <f t="shared" si="68"/>
        <v/>
      </c>
      <c r="AL84" s="10" t="str">
        <f t="shared" si="97"/>
        <v/>
      </c>
      <c r="AM84" s="71"/>
      <c r="AN84" s="10" t="str">
        <f t="shared" si="69"/>
        <v/>
      </c>
      <c r="AO84" s="10" t="str">
        <f t="shared" si="98"/>
        <v/>
      </c>
      <c r="AP84" s="71"/>
      <c r="AQ84" s="10" t="str">
        <f t="shared" si="70"/>
        <v/>
      </c>
      <c r="AR84" s="10" t="str">
        <f t="shared" si="80"/>
        <v/>
      </c>
      <c r="AS84" s="71"/>
      <c r="AT84" s="7" t="str">
        <f>IF($K84&lt;=$F$15,IF($F$40&lt;&gt;"",$F$40/1000,IF(ISERROR(VLOOKUP($F$3&amp;IF($G$4&lt;&gt;"",$G$4,"")&amp;IF($F$43&lt;&gt;"","_"&amp;$F$43,""),'表3）燃料価格'!$AF$9:$AG$25,2,0)),0,VLOOKUP($I84,'表3）燃料価格'!$A$6:$U$66,VLOOKUP($F$3&amp;IF($G$4&lt;&gt;"",$G$4,"")&amp;IF($F$43&lt;&gt;"","_"&amp;$F$43,""),'表3）燃料価格'!$AF$9:$AG$25,2,0)+VLOOKUP($F$41,'表3）燃料価格'!$AF$28:$AG$29,2,0),0)*IF($F$43="需要地価格",1,$F$8/$F$141))),"")</f>
        <v/>
      </c>
      <c r="AU84" s="71"/>
      <c r="AV84" s="10" t="str">
        <f t="shared" si="71"/>
        <v/>
      </c>
      <c r="AW84" s="10" t="str">
        <f t="shared" si="81"/>
        <v/>
      </c>
      <c r="AX84" s="71"/>
      <c r="AY84" s="7" t="str">
        <f>IF(ISERROR(IF($K84&lt;=$F$15,VLOOKUP($I84,'表4）CO2価格'!$A$7:$E$67,VLOOKUP($F$48,'表4）CO2価格'!$H$10:$I$12,2,0),0)*$F$8/1000,"")),0,IF($K84&lt;=$F$15,VLOOKUP($I84,'表4）CO2価格'!$A$7:$E$67,VLOOKUP($F$48,'表4）CO2価格'!$H$10:$I$12,2,0),0)*$F$8/1000,""))</f>
        <v/>
      </c>
      <c r="AZ84" s="71"/>
      <c r="BA84" s="11" t="str">
        <f t="shared" si="72"/>
        <v/>
      </c>
      <c r="BB84" s="10" t="str">
        <f t="shared" si="82"/>
        <v/>
      </c>
      <c r="BC84" s="71"/>
      <c r="BD84" s="10" t="str">
        <f t="shared" si="73"/>
        <v/>
      </c>
      <c r="BE84" s="10" t="str">
        <f t="shared" si="83"/>
        <v/>
      </c>
      <c r="BF84" s="71"/>
      <c r="BG84" s="11" t="str">
        <f t="shared" si="74"/>
        <v/>
      </c>
      <c r="BH84" s="10" t="str">
        <f t="shared" si="84"/>
        <v/>
      </c>
      <c r="BJ84" s="7" t="str">
        <f t="shared" si="85"/>
        <v/>
      </c>
      <c r="BK84" s="158" t="str">
        <f t="shared" si="86"/>
        <v/>
      </c>
      <c r="BL84" s="158" t="str">
        <f t="shared" si="75"/>
        <v/>
      </c>
      <c r="BM84" s="10"/>
      <c r="BN84" s="10" t="str">
        <f t="shared" si="87"/>
        <v/>
      </c>
      <c r="BO84" s="10" t="str">
        <f t="shared" si="88"/>
        <v/>
      </c>
      <c r="BQ84" s="10" t="str">
        <f t="shared" si="76"/>
        <v/>
      </c>
      <c r="BR84" s="10" t="str">
        <f t="shared" si="89"/>
        <v/>
      </c>
    </row>
    <row r="85" spans="4:70" x14ac:dyDescent="0.15">
      <c r="D85" s="101" t="s">
        <v>195</v>
      </c>
      <c r="E85" s="113"/>
      <c r="F85" s="92"/>
      <c r="G85" s="101"/>
      <c r="I85" s="458">
        <f t="shared" si="90"/>
        <v>2100</v>
      </c>
      <c r="J85" s="39"/>
      <c r="K85" s="39">
        <f t="shared" si="91"/>
        <v>71</v>
      </c>
      <c r="L85" s="39"/>
      <c r="M85" s="40">
        <f t="shared" si="61"/>
        <v>0.12261879557071313</v>
      </c>
      <c r="N85" s="39"/>
      <c r="O85" s="72" t="str">
        <f t="shared" si="77"/>
        <v/>
      </c>
      <c r="P85" s="41" t="str">
        <f t="shared" si="62"/>
        <v/>
      </c>
      <c r="Q85" s="39"/>
      <c r="R85" s="72" t="str">
        <f t="shared" si="78"/>
        <v/>
      </c>
      <c r="S85" s="39"/>
      <c r="T85" s="72" t="str">
        <f t="shared" si="79"/>
        <v/>
      </c>
      <c r="U85" s="39"/>
      <c r="V85" s="72" t="str">
        <f t="shared" si="63"/>
        <v/>
      </c>
      <c r="W85" s="72" t="str">
        <f t="shared" si="92"/>
        <v/>
      </c>
      <c r="X85" s="39"/>
      <c r="Y85" s="72" t="str">
        <f t="shared" si="64"/>
        <v/>
      </c>
      <c r="Z85" s="72" t="str">
        <f t="shared" si="93"/>
        <v/>
      </c>
      <c r="AA85" s="39"/>
      <c r="AB85" s="72" t="str">
        <f t="shared" si="65"/>
        <v/>
      </c>
      <c r="AC85" s="72" t="str">
        <f t="shared" si="94"/>
        <v/>
      </c>
      <c r="AD85" s="39"/>
      <c r="AE85" s="72" t="str">
        <f t="shared" si="66"/>
        <v/>
      </c>
      <c r="AF85" s="72" t="str">
        <f t="shared" si="95"/>
        <v/>
      </c>
      <c r="AG85" s="39"/>
      <c r="AH85" s="72" t="str">
        <f t="shared" si="67"/>
        <v/>
      </c>
      <c r="AI85" s="72" t="str">
        <f t="shared" si="96"/>
        <v/>
      </c>
      <c r="AJ85" s="39"/>
      <c r="AK85" s="72" t="str">
        <f t="shared" si="68"/>
        <v/>
      </c>
      <c r="AL85" s="72" t="str">
        <f t="shared" si="97"/>
        <v/>
      </c>
      <c r="AM85" s="39"/>
      <c r="AN85" s="72" t="str">
        <f t="shared" si="69"/>
        <v/>
      </c>
      <c r="AO85" s="72" t="str">
        <f t="shared" si="98"/>
        <v/>
      </c>
      <c r="AP85" s="39"/>
      <c r="AQ85" s="72" t="str">
        <f t="shared" si="70"/>
        <v/>
      </c>
      <c r="AR85" s="72" t="str">
        <f t="shared" si="80"/>
        <v/>
      </c>
      <c r="AS85" s="39"/>
      <c r="AT85" s="40" t="str">
        <f>IF($K85&lt;=$F$15,IF($F$40&lt;&gt;"",$F$40/1000,IF(ISERROR(VLOOKUP($F$3&amp;IF($G$4&lt;&gt;"",$G$4,"")&amp;IF($F$43&lt;&gt;"","_"&amp;$F$43,""),'表3）燃料価格'!$AF$9:$AG$25,2,0)),0,VLOOKUP($I85,'表3）燃料価格'!$A$6:$U$66,VLOOKUP($F$3&amp;IF($G$4&lt;&gt;"",$G$4,"")&amp;IF($F$43&lt;&gt;"","_"&amp;$F$43,""),'表3）燃料価格'!$AF$9:$AG$25,2,0)+VLOOKUP($F$41,'表3）燃料価格'!$AF$28:$AG$29,2,0),0)*IF($F$43="需要地価格",1,$F$8/$F$141))),"")</f>
        <v/>
      </c>
      <c r="AU85" s="39"/>
      <c r="AV85" s="72" t="str">
        <f t="shared" si="71"/>
        <v/>
      </c>
      <c r="AW85" s="72" t="str">
        <f t="shared" si="81"/>
        <v/>
      </c>
      <c r="AX85" s="39"/>
      <c r="AY85" s="40" t="str">
        <f>IF(ISERROR(IF($K85&lt;=$F$15,VLOOKUP($I85,'表4）CO2価格'!$A$7:$E$67,VLOOKUP($F$48,'表4）CO2価格'!$H$10:$I$12,2,0),0)*$F$8/1000,"")),0,IF($K85&lt;=$F$15,VLOOKUP($I85,'表4）CO2価格'!$A$7:$E$67,VLOOKUP($F$48,'表4）CO2価格'!$H$10:$I$12,2,0),0)*$F$8/1000,""))</f>
        <v/>
      </c>
      <c r="AZ85" s="39"/>
      <c r="BA85" s="42" t="str">
        <f t="shared" si="72"/>
        <v/>
      </c>
      <c r="BB85" s="72" t="str">
        <f t="shared" si="82"/>
        <v/>
      </c>
      <c r="BC85" s="39"/>
      <c r="BD85" s="72" t="str">
        <f t="shared" si="73"/>
        <v/>
      </c>
      <c r="BE85" s="72" t="str">
        <f t="shared" si="83"/>
        <v/>
      </c>
      <c r="BF85" s="39"/>
      <c r="BG85" s="42" t="str">
        <f t="shared" si="74"/>
        <v/>
      </c>
      <c r="BH85" s="72" t="str">
        <f t="shared" si="84"/>
        <v/>
      </c>
      <c r="BI85" s="39"/>
      <c r="BJ85" s="40" t="str">
        <f t="shared" si="85"/>
        <v/>
      </c>
      <c r="BK85" s="157" t="str">
        <f t="shared" si="86"/>
        <v/>
      </c>
      <c r="BL85" s="157" t="str">
        <f t="shared" si="75"/>
        <v/>
      </c>
      <c r="BM85" s="72"/>
      <c r="BN85" s="72" t="str">
        <f t="shared" si="87"/>
        <v/>
      </c>
      <c r="BO85" s="72" t="str">
        <f t="shared" si="88"/>
        <v/>
      </c>
      <c r="BP85" s="39"/>
      <c r="BQ85" s="72" t="str">
        <f t="shared" si="76"/>
        <v/>
      </c>
      <c r="BR85" s="72" t="str">
        <f t="shared" si="89"/>
        <v/>
      </c>
    </row>
    <row r="86" spans="4:70" x14ac:dyDescent="0.15">
      <c r="F86" s="93"/>
      <c r="I86" s="459">
        <f t="shared" si="90"/>
        <v>2101</v>
      </c>
      <c r="J86" s="71"/>
      <c r="K86" s="71">
        <f t="shared" si="91"/>
        <v>72</v>
      </c>
      <c r="L86" s="71"/>
      <c r="M86" s="7">
        <f t="shared" si="61"/>
        <v>0.1190473743404982</v>
      </c>
      <c r="N86" s="71"/>
      <c r="O86" s="10" t="str">
        <f t="shared" si="77"/>
        <v/>
      </c>
      <c r="P86" s="29" t="str">
        <f t="shared" si="62"/>
        <v/>
      </c>
      <c r="Q86" s="71"/>
      <c r="R86" s="10" t="str">
        <f t="shared" si="78"/>
        <v/>
      </c>
      <c r="S86" s="71"/>
      <c r="T86" s="10" t="str">
        <f t="shared" si="79"/>
        <v/>
      </c>
      <c r="U86" s="71"/>
      <c r="V86" s="10" t="str">
        <f t="shared" si="63"/>
        <v/>
      </c>
      <c r="W86" s="10" t="str">
        <f t="shared" si="92"/>
        <v/>
      </c>
      <c r="X86" s="71"/>
      <c r="Y86" s="10" t="str">
        <f t="shared" si="64"/>
        <v/>
      </c>
      <c r="Z86" s="10" t="str">
        <f t="shared" si="93"/>
        <v/>
      </c>
      <c r="AA86" s="71"/>
      <c r="AB86" s="10" t="str">
        <f t="shared" si="65"/>
        <v/>
      </c>
      <c r="AC86" s="10" t="str">
        <f t="shared" si="94"/>
        <v/>
      </c>
      <c r="AD86" s="71"/>
      <c r="AE86" s="10" t="str">
        <f t="shared" si="66"/>
        <v/>
      </c>
      <c r="AF86" s="10" t="str">
        <f t="shared" si="95"/>
        <v/>
      </c>
      <c r="AG86" s="71"/>
      <c r="AH86" s="10" t="str">
        <f t="shared" si="67"/>
        <v/>
      </c>
      <c r="AI86" s="10" t="str">
        <f t="shared" si="96"/>
        <v/>
      </c>
      <c r="AJ86" s="71"/>
      <c r="AK86" s="10" t="str">
        <f t="shared" si="68"/>
        <v/>
      </c>
      <c r="AL86" s="10" t="str">
        <f t="shared" si="97"/>
        <v/>
      </c>
      <c r="AM86" s="71"/>
      <c r="AN86" s="10" t="str">
        <f t="shared" si="69"/>
        <v/>
      </c>
      <c r="AO86" s="10" t="str">
        <f t="shared" si="98"/>
        <v/>
      </c>
      <c r="AP86" s="71"/>
      <c r="AQ86" s="10" t="str">
        <f t="shared" si="70"/>
        <v/>
      </c>
      <c r="AR86" s="10" t="str">
        <f t="shared" si="80"/>
        <v/>
      </c>
      <c r="AS86" s="71"/>
      <c r="AT86" s="7" t="str">
        <f>IF($K86&lt;=$F$15,IF($F$40&lt;&gt;"",$F$40/1000,IF(ISERROR(VLOOKUP($F$3&amp;IF($G$4&lt;&gt;"",$G$4,"")&amp;IF($F$43&lt;&gt;"","_"&amp;$F$43,""),'表3）燃料価格'!$AF$9:$AG$25,2,0)),0,VLOOKUP($I86,'表3）燃料価格'!$A$6:$U$66,VLOOKUP($F$3&amp;IF($G$4&lt;&gt;"",$G$4,"")&amp;IF($F$43&lt;&gt;"","_"&amp;$F$43,""),'表3）燃料価格'!$AF$9:$AG$25,2,0)+VLOOKUP($F$41,'表3）燃料価格'!$AF$28:$AG$29,2,0),0)*IF($F$43="需要地価格",1,$F$8/$F$141))),"")</f>
        <v/>
      </c>
      <c r="AU86" s="71"/>
      <c r="AV86" s="10" t="str">
        <f t="shared" si="71"/>
        <v/>
      </c>
      <c r="AW86" s="10" t="str">
        <f t="shared" si="81"/>
        <v/>
      </c>
      <c r="AX86" s="71"/>
      <c r="AY86" s="7" t="str">
        <f>IF(ISERROR(IF($K86&lt;=$F$15,VLOOKUP($I86,'表4）CO2価格'!$A$7:$E$67,VLOOKUP($F$48,'表4）CO2価格'!$H$10:$I$12,2,0),0)*$F$8/1000,"")),0,IF($K86&lt;=$F$15,VLOOKUP($I86,'表4）CO2価格'!$A$7:$E$67,VLOOKUP($F$48,'表4）CO2価格'!$H$10:$I$12,2,0),0)*$F$8/1000,""))</f>
        <v/>
      </c>
      <c r="AZ86" s="71"/>
      <c r="BA86" s="11" t="str">
        <f t="shared" si="72"/>
        <v/>
      </c>
      <c r="BB86" s="10" t="str">
        <f t="shared" si="82"/>
        <v/>
      </c>
      <c r="BC86" s="71"/>
      <c r="BD86" s="10" t="str">
        <f t="shared" si="73"/>
        <v/>
      </c>
      <c r="BE86" s="10" t="str">
        <f t="shared" si="83"/>
        <v/>
      </c>
      <c r="BF86" s="71"/>
      <c r="BG86" s="11" t="str">
        <f t="shared" si="74"/>
        <v/>
      </c>
      <c r="BH86" s="10" t="str">
        <f t="shared" si="84"/>
        <v/>
      </c>
      <c r="BJ86" s="7" t="str">
        <f t="shared" si="85"/>
        <v/>
      </c>
      <c r="BK86" s="158" t="str">
        <f t="shared" si="86"/>
        <v/>
      </c>
      <c r="BL86" s="158" t="str">
        <f t="shared" si="75"/>
        <v/>
      </c>
      <c r="BM86" s="10"/>
      <c r="BN86" s="10" t="str">
        <f t="shared" si="87"/>
        <v/>
      </c>
      <c r="BO86" s="10" t="str">
        <f t="shared" si="88"/>
        <v/>
      </c>
      <c r="BQ86" s="10" t="str">
        <f t="shared" si="76"/>
        <v/>
      </c>
      <c r="BR86" s="10" t="str">
        <f t="shared" si="89"/>
        <v/>
      </c>
    </row>
    <row r="87" spans="4:70" x14ac:dyDescent="0.15">
      <c r="E87" s="81" t="s">
        <v>141</v>
      </c>
      <c r="F87" s="91">
        <f>AI116/$BR$116</f>
        <v>0.18985904864228806</v>
      </c>
      <c r="G87" s="81" t="s">
        <v>132</v>
      </c>
      <c r="I87" s="458">
        <f t="shared" si="90"/>
        <v>2102</v>
      </c>
      <c r="J87" s="39"/>
      <c r="K87" s="39">
        <f t="shared" si="91"/>
        <v>73</v>
      </c>
      <c r="L87" s="39"/>
      <c r="M87" s="40">
        <f t="shared" si="61"/>
        <v>0.11557997508786232</v>
      </c>
      <c r="N87" s="39"/>
      <c r="O87" s="72" t="str">
        <f t="shared" si="77"/>
        <v/>
      </c>
      <c r="P87" s="41" t="str">
        <f t="shared" si="62"/>
        <v/>
      </c>
      <c r="Q87" s="39"/>
      <c r="R87" s="72" t="str">
        <f t="shared" si="78"/>
        <v/>
      </c>
      <c r="S87" s="39"/>
      <c r="T87" s="72" t="str">
        <f t="shared" si="79"/>
        <v/>
      </c>
      <c r="U87" s="39"/>
      <c r="V87" s="72" t="str">
        <f t="shared" si="63"/>
        <v/>
      </c>
      <c r="W87" s="72" t="str">
        <f t="shared" si="92"/>
        <v/>
      </c>
      <c r="X87" s="39"/>
      <c r="Y87" s="72" t="str">
        <f t="shared" si="64"/>
        <v/>
      </c>
      <c r="Z87" s="72" t="str">
        <f t="shared" si="93"/>
        <v/>
      </c>
      <c r="AA87" s="39"/>
      <c r="AB87" s="72" t="str">
        <f t="shared" si="65"/>
        <v/>
      </c>
      <c r="AC87" s="72" t="str">
        <f t="shared" si="94"/>
        <v/>
      </c>
      <c r="AD87" s="39"/>
      <c r="AE87" s="72" t="str">
        <f t="shared" si="66"/>
        <v/>
      </c>
      <c r="AF87" s="72" t="str">
        <f t="shared" si="95"/>
        <v/>
      </c>
      <c r="AG87" s="39"/>
      <c r="AH87" s="72" t="str">
        <f t="shared" si="67"/>
        <v/>
      </c>
      <c r="AI87" s="72" t="str">
        <f t="shared" si="96"/>
        <v/>
      </c>
      <c r="AJ87" s="39"/>
      <c r="AK87" s="72" t="str">
        <f t="shared" si="68"/>
        <v/>
      </c>
      <c r="AL87" s="72" t="str">
        <f t="shared" si="97"/>
        <v/>
      </c>
      <c r="AM87" s="39"/>
      <c r="AN87" s="72" t="str">
        <f t="shared" si="69"/>
        <v/>
      </c>
      <c r="AO87" s="72" t="str">
        <f t="shared" si="98"/>
        <v/>
      </c>
      <c r="AP87" s="39"/>
      <c r="AQ87" s="72" t="str">
        <f t="shared" si="70"/>
        <v/>
      </c>
      <c r="AR87" s="72" t="str">
        <f t="shared" si="80"/>
        <v/>
      </c>
      <c r="AS87" s="39"/>
      <c r="AT87" s="40" t="str">
        <f>IF($K87&lt;=$F$15,IF($F$40&lt;&gt;"",$F$40/1000,IF(ISERROR(VLOOKUP($F$3&amp;IF($G$4&lt;&gt;"",$G$4,"")&amp;IF($F$43&lt;&gt;"","_"&amp;$F$43,""),'表3）燃料価格'!$AF$9:$AG$25,2,0)),0,VLOOKUP($I87,'表3）燃料価格'!$A$6:$U$66,VLOOKUP($F$3&amp;IF($G$4&lt;&gt;"",$G$4,"")&amp;IF($F$43&lt;&gt;"","_"&amp;$F$43,""),'表3）燃料価格'!$AF$9:$AG$25,2,0)+VLOOKUP($F$41,'表3）燃料価格'!$AF$28:$AG$29,2,0),0)*IF($F$43="需要地価格",1,$F$8/$F$141))),"")</f>
        <v/>
      </c>
      <c r="AU87" s="39"/>
      <c r="AV87" s="72" t="str">
        <f t="shared" si="71"/>
        <v/>
      </c>
      <c r="AW87" s="72" t="str">
        <f t="shared" si="81"/>
        <v/>
      </c>
      <c r="AX87" s="39"/>
      <c r="AY87" s="40" t="str">
        <f>IF(ISERROR(IF($K87&lt;=$F$15,VLOOKUP($I87,'表4）CO2価格'!$A$7:$E$67,VLOOKUP($F$48,'表4）CO2価格'!$H$10:$I$12,2,0),0)*$F$8/1000,"")),0,IF($K87&lt;=$F$15,VLOOKUP($I87,'表4）CO2価格'!$A$7:$E$67,VLOOKUP($F$48,'表4）CO2価格'!$H$10:$I$12,2,0),0)*$F$8/1000,""))</f>
        <v/>
      </c>
      <c r="AZ87" s="39"/>
      <c r="BA87" s="42" t="str">
        <f t="shared" si="72"/>
        <v/>
      </c>
      <c r="BB87" s="72" t="str">
        <f t="shared" si="82"/>
        <v/>
      </c>
      <c r="BC87" s="39"/>
      <c r="BD87" s="72" t="str">
        <f t="shared" si="73"/>
        <v/>
      </c>
      <c r="BE87" s="72" t="str">
        <f t="shared" si="83"/>
        <v/>
      </c>
      <c r="BF87" s="39"/>
      <c r="BG87" s="42" t="str">
        <f t="shared" si="74"/>
        <v/>
      </c>
      <c r="BH87" s="72" t="str">
        <f t="shared" si="84"/>
        <v/>
      </c>
      <c r="BI87" s="39"/>
      <c r="BJ87" s="40" t="str">
        <f t="shared" si="85"/>
        <v/>
      </c>
      <c r="BK87" s="157" t="str">
        <f t="shared" si="86"/>
        <v/>
      </c>
      <c r="BL87" s="157" t="str">
        <f t="shared" si="75"/>
        <v/>
      </c>
      <c r="BM87" s="72"/>
      <c r="BN87" s="72" t="str">
        <f t="shared" si="87"/>
        <v/>
      </c>
      <c r="BO87" s="72" t="str">
        <f t="shared" si="88"/>
        <v/>
      </c>
      <c r="BP87" s="39"/>
      <c r="BQ87" s="72" t="str">
        <f t="shared" si="76"/>
        <v/>
      </c>
      <c r="BR87" s="72" t="str">
        <f t="shared" si="89"/>
        <v/>
      </c>
    </row>
    <row r="88" spans="4:70" x14ac:dyDescent="0.15">
      <c r="E88" s="81" t="s">
        <v>120</v>
      </c>
      <c r="F88" s="91">
        <f>AL116/$BR$116</f>
        <v>1.870611258201911</v>
      </c>
      <c r="G88" s="81" t="s">
        <v>132</v>
      </c>
      <c r="I88" s="459">
        <f t="shared" si="90"/>
        <v>2103</v>
      </c>
      <c r="J88" s="71"/>
      <c r="K88" s="71">
        <f t="shared" si="91"/>
        <v>74</v>
      </c>
      <c r="L88" s="71"/>
      <c r="M88" s="7">
        <f t="shared" si="61"/>
        <v>0.11221356804646829</v>
      </c>
      <c r="N88" s="71"/>
      <c r="O88" s="10" t="str">
        <f t="shared" si="77"/>
        <v/>
      </c>
      <c r="P88" s="29" t="str">
        <f t="shared" si="62"/>
        <v/>
      </c>
      <c r="Q88" s="71"/>
      <c r="R88" s="10" t="str">
        <f t="shared" si="78"/>
        <v/>
      </c>
      <c r="S88" s="71"/>
      <c r="T88" s="10" t="str">
        <f t="shared" si="79"/>
        <v/>
      </c>
      <c r="U88" s="71"/>
      <c r="V88" s="10" t="str">
        <f t="shared" si="63"/>
        <v/>
      </c>
      <c r="W88" s="10" t="str">
        <f t="shared" si="92"/>
        <v/>
      </c>
      <c r="X88" s="71"/>
      <c r="Y88" s="10" t="str">
        <f t="shared" si="64"/>
        <v/>
      </c>
      <c r="Z88" s="10" t="str">
        <f t="shared" si="93"/>
        <v/>
      </c>
      <c r="AA88" s="71"/>
      <c r="AB88" s="10" t="str">
        <f t="shared" si="65"/>
        <v/>
      </c>
      <c r="AC88" s="10" t="str">
        <f t="shared" si="94"/>
        <v/>
      </c>
      <c r="AD88" s="71"/>
      <c r="AE88" s="10" t="str">
        <f t="shared" si="66"/>
        <v/>
      </c>
      <c r="AF88" s="10" t="str">
        <f t="shared" si="95"/>
        <v/>
      </c>
      <c r="AG88" s="71"/>
      <c r="AH88" s="10" t="str">
        <f t="shared" si="67"/>
        <v/>
      </c>
      <c r="AI88" s="10" t="str">
        <f t="shared" si="96"/>
        <v/>
      </c>
      <c r="AJ88" s="71"/>
      <c r="AK88" s="10" t="str">
        <f t="shared" si="68"/>
        <v/>
      </c>
      <c r="AL88" s="10" t="str">
        <f t="shared" si="97"/>
        <v/>
      </c>
      <c r="AM88" s="71"/>
      <c r="AN88" s="10" t="str">
        <f t="shared" si="69"/>
        <v/>
      </c>
      <c r="AO88" s="10" t="str">
        <f t="shared" si="98"/>
        <v/>
      </c>
      <c r="AP88" s="71"/>
      <c r="AQ88" s="10" t="str">
        <f t="shared" si="70"/>
        <v/>
      </c>
      <c r="AR88" s="10" t="str">
        <f t="shared" si="80"/>
        <v/>
      </c>
      <c r="AS88" s="71"/>
      <c r="AT88" s="7" t="str">
        <f>IF($K88&lt;=$F$15,IF($F$40&lt;&gt;"",$F$40/1000,IF(ISERROR(VLOOKUP($F$3&amp;IF($G$4&lt;&gt;"",$G$4,"")&amp;IF($F$43&lt;&gt;"","_"&amp;$F$43,""),'表3）燃料価格'!$AF$9:$AG$25,2,0)),0,VLOOKUP($I88,'表3）燃料価格'!$A$6:$U$66,VLOOKUP($F$3&amp;IF($G$4&lt;&gt;"",$G$4,"")&amp;IF($F$43&lt;&gt;"","_"&amp;$F$43,""),'表3）燃料価格'!$AF$9:$AG$25,2,0)+VLOOKUP($F$41,'表3）燃料価格'!$AF$28:$AG$29,2,0),0)*IF($F$43="需要地価格",1,$F$8/$F$141))),"")</f>
        <v/>
      </c>
      <c r="AU88" s="71"/>
      <c r="AV88" s="10" t="str">
        <f t="shared" si="71"/>
        <v/>
      </c>
      <c r="AW88" s="10" t="str">
        <f t="shared" si="81"/>
        <v/>
      </c>
      <c r="AX88" s="71"/>
      <c r="AY88" s="7" t="str">
        <f>IF(ISERROR(IF($K88&lt;=$F$15,VLOOKUP($I88,'表4）CO2価格'!$A$7:$E$67,VLOOKUP($F$48,'表4）CO2価格'!$H$10:$I$12,2,0),0)*$F$8/1000,"")),0,IF($K88&lt;=$F$15,VLOOKUP($I88,'表4）CO2価格'!$A$7:$E$67,VLOOKUP($F$48,'表4）CO2価格'!$H$10:$I$12,2,0),0)*$F$8/1000,""))</f>
        <v/>
      </c>
      <c r="AZ88" s="71"/>
      <c r="BA88" s="11" t="str">
        <f t="shared" si="72"/>
        <v/>
      </c>
      <c r="BB88" s="10" t="str">
        <f t="shared" si="82"/>
        <v/>
      </c>
      <c r="BC88" s="71"/>
      <c r="BD88" s="10" t="str">
        <f t="shared" si="73"/>
        <v/>
      </c>
      <c r="BE88" s="10" t="str">
        <f t="shared" si="83"/>
        <v/>
      </c>
      <c r="BF88" s="71"/>
      <c r="BG88" s="11" t="str">
        <f t="shared" si="74"/>
        <v/>
      </c>
      <c r="BH88" s="10" t="str">
        <f t="shared" si="84"/>
        <v/>
      </c>
      <c r="BJ88" s="7" t="str">
        <f t="shared" si="85"/>
        <v/>
      </c>
      <c r="BK88" s="158" t="str">
        <f t="shared" si="86"/>
        <v/>
      </c>
      <c r="BL88" s="158" t="str">
        <f t="shared" si="75"/>
        <v/>
      </c>
      <c r="BM88" s="10"/>
      <c r="BN88" s="10" t="str">
        <f t="shared" si="87"/>
        <v/>
      </c>
      <c r="BO88" s="10" t="str">
        <f t="shared" si="88"/>
        <v/>
      </c>
      <c r="BQ88" s="10" t="str">
        <f t="shared" si="76"/>
        <v/>
      </c>
      <c r="BR88" s="10" t="str">
        <f t="shared" si="89"/>
        <v/>
      </c>
    </row>
    <row r="89" spans="4:70" x14ac:dyDescent="0.15">
      <c r="E89" s="81" t="s">
        <v>122</v>
      </c>
      <c r="F89" s="91">
        <f>AO116/$BR$116</f>
        <v>0.93530562910095549</v>
      </c>
      <c r="G89" s="81" t="s">
        <v>132</v>
      </c>
      <c r="I89" s="458">
        <f t="shared" si="90"/>
        <v>2104</v>
      </c>
      <c r="J89" s="39"/>
      <c r="K89" s="39">
        <f t="shared" si="91"/>
        <v>75</v>
      </c>
      <c r="L89" s="39"/>
      <c r="M89" s="40">
        <f t="shared" si="61"/>
        <v>0.10894521169560026</v>
      </c>
      <c r="N89" s="39"/>
      <c r="O89" s="72" t="str">
        <f t="shared" si="77"/>
        <v/>
      </c>
      <c r="P89" s="41" t="str">
        <f t="shared" si="62"/>
        <v/>
      </c>
      <c r="Q89" s="39"/>
      <c r="R89" s="72" t="str">
        <f t="shared" si="78"/>
        <v/>
      </c>
      <c r="S89" s="39"/>
      <c r="T89" s="72" t="str">
        <f t="shared" si="79"/>
        <v/>
      </c>
      <c r="U89" s="39"/>
      <c r="V89" s="72" t="str">
        <f t="shared" si="63"/>
        <v/>
      </c>
      <c r="W89" s="72" t="str">
        <f t="shared" si="92"/>
        <v/>
      </c>
      <c r="X89" s="39"/>
      <c r="Y89" s="72" t="str">
        <f t="shared" si="64"/>
        <v/>
      </c>
      <c r="Z89" s="72" t="str">
        <f t="shared" si="93"/>
        <v/>
      </c>
      <c r="AA89" s="39"/>
      <c r="AB89" s="72" t="str">
        <f t="shared" si="65"/>
        <v/>
      </c>
      <c r="AC89" s="72" t="str">
        <f t="shared" si="94"/>
        <v/>
      </c>
      <c r="AD89" s="39"/>
      <c r="AE89" s="72" t="str">
        <f t="shared" si="66"/>
        <v/>
      </c>
      <c r="AF89" s="72" t="str">
        <f t="shared" si="95"/>
        <v/>
      </c>
      <c r="AG89" s="39"/>
      <c r="AH89" s="72" t="str">
        <f t="shared" si="67"/>
        <v/>
      </c>
      <c r="AI89" s="72" t="str">
        <f t="shared" si="96"/>
        <v/>
      </c>
      <c r="AJ89" s="39"/>
      <c r="AK89" s="72" t="str">
        <f t="shared" si="68"/>
        <v/>
      </c>
      <c r="AL89" s="72" t="str">
        <f t="shared" si="97"/>
        <v/>
      </c>
      <c r="AM89" s="39"/>
      <c r="AN89" s="72" t="str">
        <f t="shared" si="69"/>
        <v/>
      </c>
      <c r="AO89" s="72" t="str">
        <f t="shared" si="98"/>
        <v/>
      </c>
      <c r="AP89" s="39"/>
      <c r="AQ89" s="72" t="str">
        <f t="shared" si="70"/>
        <v/>
      </c>
      <c r="AR89" s="72" t="str">
        <f t="shared" si="80"/>
        <v/>
      </c>
      <c r="AS89" s="39"/>
      <c r="AT89" s="40" t="str">
        <f>IF($K89&lt;=$F$15,IF($F$40&lt;&gt;"",$F$40/1000,IF(ISERROR(VLOOKUP($F$3&amp;IF($G$4&lt;&gt;"",$G$4,"")&amp;IF($F$43&lt;&gt;"","_"&amp;$F$43,""),'表3）燃料価格'!$AF$9:$AG$25,2,0)),0,VLOOKUP($I89,'表3）燃料価格'!$A$6:$U$66,VLOOKUP($F$3&amp;IF($G$4&lt;&gt;"",$G$4,"")&amp;IF($F$43&lt;&gt;"","_"&amp;$F$43,""),'表3）燃料価格'!$AF$9:$AG$25,2,0)+VLOOKUP($F$41,'表3）燃料価格'!$AF$28:$AG$29,2,0),0)*IF($F$43="需要地価格",1,$F$8/$F$141))),"")</f>
        <v/>
      </c>
      <c r="AU89" s="39"/>
      <c r="AV89" s="72" t="str">
        <f t="shared" si="71"/>
        <v/>
      </c>
      <c r="AW89" s="72" t="str">
        <f t="shared" si="81"/>
        <v/>
      </c>
      <c r="AX89" s="39"/>
      <c r="AY89" s="40" t="str">
        <f>IF(ISERROR(IF($K89&lt;=$F$15,VLOOKUP($I89,'表4）CO2価格'!$A$7:$E$67,VLOOKUP($F$48,'表4）CO2価格'!$H$10:$I$12,2,0),0)*$F$8/1000,"")),0,IF($K89&lt;=$F$15,VLOOKUP($I89,'表4）CO2価格'!$A$7:$E$67,VLOOKUP($F$48,'表4）CO2価格'!$H$10:$I$12,2,0),0)*$F$8/1000,""))</f>
        <v/>
      </c>
      <c r="AZ89" s="39"/>
      <c r="BA89" s="42" t="str">
        <f t="shared" si="72"/>
        <v/>
      </c>
      <c r="BB89" s="72" t="str">
        <f t="shared" si="82"/>
        <v/>
      </c>
      <c r="BC89" s="39"/>
      <c r="BD89" s="72" t="str">
        <f t="shared" si="73"/>
        <v/>
      </c>
      <c r="BE89" s="72" t="str">
        <f t="shared" si="83"/>
        <v/>
      </c>
      <c r="BF89" s="39"/>
      <c r="BG89" s="42" t="str">
        <f t="shared" si="74"/>
        <v/>
      </c>
      <c r="BH89" s="72" t="str">
        <f t="shared" si="84"/>
        <v/>
      </c>
      <c r="BI89" s="39"/>
      <c r="BJ89" s="40" t="str">
        <f t="shared" si="85"/>
        <v/>
      </c>
      <c r="BK89" s="157" t="str">
        <f t="shared" si="86"/>
        <v/>
      </c>
      <c r="BL89" s="157" t="str">
        <f t="shared" si="75"/>
        <v/>
      </c>
      <c r="BM89" s="72"/>
      <c r="BN89" s="72" t="str">
        <f t="shared" si="87"/>
        <v/>
      </c>
      <c r="BO89" s="72" t="str">
        <f t="shared" si="88"/>
        <v/>
      </c>
      <c r="BP89" s="39"/>
      <c r="BQ89" s="72" t="str">
        <f t="shared" si="76"/>
        <v/>
      </c>
      <c r="BR89" s="72" t="str">
        <f t="shared" si="89"/>
        <v/>
      </c>
    </row>
    <row r="90" spans="4:70" x14ac:dyDescent="0.15">
      <c r="E90" s="81" t="s">
        <v>142</v>
      </c>
      <c r="F90" s="91">
        <f>AR116/$BR$116</f>
        <v>0.27890673963649398</v>
      </c>
      <c r="G90" s="81" t="s">
        <v>132</v>
      </c>
      <c r="I90" s="459">
        <f t="shared" si="90"/>
        <v>2105</v>
      </c>
      <c r="J90" s="71"/>
      <c r="K90" s="71">
        <f t="shared" si="91"/>
        <v>76</v>
      </c>
      <c r="L90" s="71"/>
      <c r="M90" s="7">
        <f t="shared" si="61"/>
        <v>0.10577205018990318</v>
      </c>
      <c r="N90" s="71"/>
      <c r="O90" s="10" t="str">
        <f t="shared" si="77"/>
        <v/>
      </c>
      <c r="P90" s="29" t="str">
        <f t="shared" si="62"/>
        <v/>
      </c>
      <c r="Q90" s="71"/>
      <c r="R90" s="10" t="str">
        <f t="shared" si="78"/>
        <v/>
      </c>
      <c r="S90" s="71"/>
      <c r="T90" s="10" t="str">
        <f t="shared" si="79"/>
        <v/>
      </c>
      <c r="U90" s="71"/>
      <c r="V90" s="10" t="str">
        <f t="shared" si="63"/>
        <v/>
      </c>
      <c r="W90" s="10" t="str">
        <f t="shared" si="92"/>
        <v/>
      </c>
      <c r="X90" s="71"/>
      <c r="Y90" s="10" t="str">
        <f t="shared" si="64"/>
        <v/>
      </c>
      <c r="Z90" s="10" t="str">
        <f t="shared" si="93"/>
        <v/>
      </c>
      <c r="AA90" s="71"/>
      <c r="AB90" s="10" t="str">
        <f t="shared" si="65"/>
        <v/>
      </c>
      <c r="AC90" s="10" t="str">
        <f t="shared" si="94"/>
        <v/>
      </c>
      <c r="AD90" s="71"/>
      <c r="AE90" s="10" t="str">
        <f t="shared" si="66"/>
        <v/>
      </c>
      <c r="AF90" s="10" t="str">
        <f t="shared" si="95"/>
        <v/>
      </c>
      <c r="AG90" s="71"/>
      <c r="AH90" s="10" t="str">
        <f t="shared" si="67"/>
        <v/>
      </c>
      <c r="AI90" s="10" t="str">
        <f t="shared" si="96"/>
        <v/>
      </c>
      <c r="AJ90" s="71"/>
      <c r="AK90" s="10" t="str">
        <f t="shared" si="68"/>
        <v/>
      </c>
      <c r="AL90" s="10" t="str">
        <f t="shared" si="97"/>
        <v/>
      </c>
      <c r="AM90" s="71"/>
      <c r="AN90" s="10" t="str">
        <f t="shared" si="69"/>
        <v/>
      </c>
      <c r="AO90" s="10" t="str">
        <f t="shared" si="98"/>
        <v/>
      </c>
      <c r="AP90" s="71"/>
      <c r="AQ90" s="10" t="str">
        <f t="shared" si="70"/>
        <v/>
      </c>
      <c r="AR90" s="10" t="str">
        <f t="shared" si="80"/>
        <v/>
      </c>
      <c r="AS90" s="71"/>
      <c r="AT90" s="7" t="str">
        <f>IF($K90&lt;=$F$15,IF($F$40&lt;&gt;"",$F$40/1000,IF(ISERROR(VLOOKUP($F$3&amp;IF($G$4&lt;&gt;"",$G$4,"")&amp;IF($F$43&lt;&gt;"","_"&amp;$F$43,""),'表3）燃料価格'!$AF$9:$AG$25,2,0)),0,VLOOKUP($I90,'表3）燃料価格'!$A$6:$U$66,VLOOKUP($F$3&amp;IF($G$4&lt;&gt;"",$G$4,"")&amp;IF($F$43&lt;&gt;"","_"&amp;$F$43,""),'表3）燃料価格'!$AF$9:$AG$25,2,0)+VLOOKUP($F$41,'表3）燃料価格'!$AF$28:$AG$29,2,0),0)*IF($F$43="需要地価格",1,$F$8/$F$141))),"")</f>
        <v/>
      </c>
      <c r="AU90" s="71"/>
      <c r="AV90" s="10" t="str">
        <f t="shared" si="71"/>
        <v/>
      </c>
      <c r="AW90" s="10" t="str">
        <f t="shared" si="81"/>
        <v/>
      </c>
      <c r="AX90" s="71"/>
      <c r="AY90" s="7" t="str">
        <f>IF(ISERROR(IF($K90&lt;=$F$15,VLOOKUP($I90,'表4）CO2価格'!$A$7:$E$67,VLOOKUP($F$48,'表4）CO2価格'!$H$10:$I$12,2,0),0)*$F$8/1000,"")),0,IF($K90&lt;=$F$15,VLOOKUP($I90,'表4）CO2価格'!$A$7:$E$67,VLOOKUP($F$48,'表4）CO2価格'!$H$10:$I$12,2,0),0)*$F$8/1000,""))</f>
        <v/>
      </c>
      <c r="AZ90" s="71"/>
      <c r="BA90" s="11" t="str">
        <f t="shared" si="72"/>
        <v/>
      </c>
      <c r="BB90" s="10" t="str">
        <f t="shared" si="82"/>
        <v/>
      </c>
      <c r="BC90" s="71"/>
      <c r="BD90" s="10" t="str">
        <f t="shared" si="73"/>
        <v/>
      </c>
      <c r="BE90" s="10" t="str">
        <f t="shared" si="83"/>
        <v/>
      </c>
      <c r="BF90" s="71"/>
      <c r="BG90" s="11" t="str">
        <f t="shared" si="74"/>
        <v/>
      </c>
      <c r="BH90" s="10" t="str">
        <f t="shared" si="84"/>
        <v/>
      </c>
      <c r="BJ90" s="7" t="str">
        <f t="shared" si="85"/>
        <v/>
      </c>
      <c r="BK90" s="158" t="str">
        <f t="shared" si="86"/>
        <v/>
      </c>
      <c r="BL90" s="158" t="str">
        <f t="shared" si="75"/>
        <v/>
      </c>
      <c r="BM90" s="10"/>
      <c r="BN90" s="10" t="str">
        <f t="shared" si="87"/>
        <v/>
      </c>
      <c r="BO90" s="10" t="str">
        <f t="shared" si="88"/>
        <v/>
      </c>
      <c r="BQ90" s="10" t="str">
        <f t="shared" si="76"/>
        <v/>
      </c>
      <c r="BR90" s="10" t="str">
        <f t="shared" si="89"/>
        <v/>
      </c>
    </row>
    <row r="91" spans="4:70" x14ac:dyDescent="0.15">
      <c r="F91" s="93"/>
      <c r="I91" s="458">
        <f t="shared" si="90"/>
        <v>2106</v>
      </c>
      <c r="J91" s="39"/>
      <c r="K91" s="39">
        <f t="shared" si="91"/>
        <v>77</v>
      </c>
      <c r="L91" s="39"/>
      <c r="M91" s="40">
        <f t="shared" si="61"/>
        <v>0.10269131086398368</v>
      </c>
      <c r="N91" s="39"/>
      <c r="O91" s="72" t="str">
        <f t="shared" si="77"/>
        <v/>
      </c>
      <c r="P91" s="41" t="str">
        <f t="shared" si="62"/>
        <v/>
      </c>
      <c r="Q91" s="39"/>
      <c r="R91" s="72" t="str">
        <f t="shared" si="78"/>
        <v/>
      </c>
      <c r="S91" s="39"/>
      <c r="T91" s="72" t="str">
        <f t="shared" si="79"/>
        <v/>
      </c>
      <c r="U91" s="39"/>
      <c r="V91" s="72" t="str">
        <f t="shared" si="63"/>
        <v/>
      </c>
      <c r="W91" s="72" t="str">
        <f t="shared" si="92"/>
        <v/>
      </c>
      <c r="X91" s="39"/>
      <c r="Y91" s="72" t="str">
        <f t="shared" si="64"/>
        <v/>
      </c>
      <c r="Z91" s="72" t="str">
        <f t="shared" si="93"/>
        <v/>
      </c>
      <c r="AA91" s="39"/>
      <c r="AB91" s="72" t="str">
        <f t="shared" si="65"/>
        <v/>
      </c>
      <c r="AC91" s="72" t="str">
        <f t="shared" si="94"/>
        <v/>
      </c>
      <c r="AD91" s="39"/>
      <c r="AE91" s="72" t="str">
        <f t="shared" si="66"/>
        <v/>
      </c>
      <c r="AF91" s="72" t="str">
        <f t="shared" si="95"/>
        <v/>
      </c>
      <c r="AG91" s="39"/>
      <c r="AH91" s="72" t="str">
        <f t="shared" si="67"/>
        <v/>
      </c>
      <c r="AI91" s="72" t="str">
        <f t="shared" si="96"/>
        <v/>
      </c>
      <c r="AJ91" s="39"/>
      <c r="AK91" s="72" t="str">
        <f t="shared" si="68"/>
        <v/>
      </c>
      <c r="AL91" s="72" t="str">
        <f t="shared" si="97"/>
        <v/>
      </c>
      <c r="AM91" s="39"/>
      <c r="AN91" s="72" t="str">
        <f t="shared" si="69"/>
        <v/>
      </c>
      <c r="AO91" s="72" t="str">
        <f t="shared" si="98"/>
        <v/>
      </c>
      <c r="AP91" s="39"/>
      <c r="AQ91" s="72" t="str">
        <f t="shared" si="70"/>
        <v/>
      </c>
      <c r="AR91" s="72" t="str">
        <f t="shared" si="80"/>
        <v/>
      </c>
      <c r="AS91" s="39"/>
      <c r="AT91" s="40" t="str">
        <f>IF($K91&lt;=$F$15,IF($F$40&lt;&gt;"",$F$40/1000,IF(ISERROR(VLOOKUP($F$3&amp;IF($G$4&lt;&gt;"",$G$4,"")&amp;IF($F$43&lt;&gt;"","_"&amp;$F$43,""),'表3）燃料価格'!$AF$9:$AG$25,2,0)),0,VLOOKUP($I91,'表3）燃料価格'!$A$6:$U$66,VLOOKUP($F$3&amp;IF($G$4&lt;&gt;"",$G$4,"")&amp;IF($F$43&lt;&gt;"","_"&amp;$F$43,""),'表3）燃料価格'!$AF$9:$AG$25,2,0)+VLOOKUP($F$41,'表3）燃料価格'!$AF$28:$AG$29,2,0),0)*IF($F$43="需要地価格",1,$F$8/$F$141))),"")</f>
        <v/>
      </c>
      <c r="AU91" s="39"/>
      <c r="AV91" s="72" t="str">
        <f t="shared" si="71"/>
        <v/>
      </c>
      <c r="AW91" s="72" t="str">
        <f t="shared" si="81"/>
        <v/>
      </c>
      <c r="AX91" s="39"/>
      <c r="AY91" s="40" t="str">
        <f>IF(ISERROR(IF($K91&lt;=$F$15,VLOOKUP($I91,'表4）CO2価格'!$A$7:$E$67,VLOOKUP($F$48,'表4）CO2価格'!$H$10:$I$12,2,0),0)*$F$8/1000,"")),0,IF($K91&lt;=$F$15,VLOOKUP($I91,'表4）CO2価格'!$A$7:$E$67,VLOOKUP($F$48,'表4）CO2価格'!$H$10:$I$12,2,0),0)*$F$8/1000,""))</f>
        <v/>
      </c>
      <c r="AZ91" s="39"/>
      <c r="BA91" s="42" t="str">
        <f t="shared" si="72"/>
        <v/>
      </c>
      <c r="BB91" s="72" t="str">
        <f t="shared" si="82"/>
        <v/>
      </c>
      <c r="BC91" s="39"/>
      <c r="BD91" s="72" t="str">
        <f t="shared" si="73"/>
        <v/>
      </c>
      <c r="BE91" s="72" t="str">
        <f t="shared" si="83"/>
        <v/>
      </c>
      <c r="BF91" s="39"/>
      <c r="BG91" s="42" t="str">
        <f t="shared" si="74"/>
        <v/>
      </c>
      <c r="BH91" s="72" t="str">
        <f t="shared" si="84"/>
        <v/>
      </c>
      <c r="BI91" s="39"/>
      <c r="BJ91" s="40" t="str">
        <f t="shared" si="85"/>
        <v/>
      </c>
      <c r="BK91" s="157" t="str">
        <f t="shared" si="86"/>
        <v/>
      </c>
      <c r="BL91" s="157" t="str">
        <f t="shared" si="75"/>
        <v/>
      </c>
      <c r="BM91" s="72"/>
      <c r="BN91" s="72" t="str">
        <f t="shared" si="87"/>
        <v/>
      </c>
      <c r="BO91" s="72" t="str">
        <f t="shared" si="88"/>
        <v/>
      </c>
      <c r="BP91" s="39"/>
      <c r="BQ91" s="72" t="str">
        <f t="shared" si="76"/>
        <v/>
      </c>
      <c r="BR91" s="72" t="str">
        <f t="shared" si="89"/>
        <v/>
      </c>
    </row>
    <row r="92" spans="4:70" ht="15" x14ac:dyDescent="0.15">
      <c r="D92" s="116" t="s">
        <v>196</v>
      </c>
      <c r="F92" s="94">
        <f>SUBTOTAL(9,F96:F97)</f>
        <v>12.889339230797765</v>
      </c>
      <c r="I92" s="459">
        <f t="shared" si="90"/>
        <v>2107</v>
      </c>
      <c r="J92" s="71"/>
      <c r="K92" s="71">
        <f t="shared" si="91"/>
        <v>78</v>
      </c>
      <c r="L92" s="71"/>
      <c r="M92" s="7">
        <f t="shared" si="61"/>
        <v>9.9700301809692873E-2</v>
      </c>
      <c r="N92" s="71"/>
      <c r="O92" s="10" t="str">
        <f t="shared" si="77"/>
        <v/>
      </c>
      <c r="P92" s="29" t="str">
        <f t="shared" si="62"/>
        <v/>
      </c>
      <c r="Q92" s="71"/>
      <c r="R92" s="10" t="str">
        <f t="shared" si="78"/>
        <v/>
      </c>
      <c r="S92" s="71"/>
      <c r="T92" s="10" t="str">
        <f t="shared" si="79"/>
        <v/>
      </c>
      <c r="U92" s="71"/>
      <c r="V92" s="10" t="str">
        <f t="shared" si="63"/>
        <v/>
      </c>
      <c r="W92" s="10" t="str">
        <f t="shared" si="92"/>
        <v/>
      </c>
      <c r="X92" s="71"/>
      <c r="Y92" s="10" t="str">
        <f t="shared" si="64"/>
        <v/>
      </c>
      <c r="Z92" s="10" t="str">
        <f t="shared" si="93"/>
        <v/>
      </c>
      <c r="AA92" s="71"/>
      <c r="AB92" s="10" t="str">
        <f t="shared" si="65"/>
        <v/>
      </c>
      <c r="AC92" s="10" t="str">
        <f t="shared" si="94"/>
        <v/>
      </c>
      <c r="AD92" s="71"/>
      <c r="AE92" s="10" t="str">
        <f t="shared" si="66"/>
        <v/>
      </c>
      <c r="AF92" s="10" t="str">
        <f t="shared" si="95"/>
        <v/>
      </c>
      <c r="AG92" s="71"/>
      <c r="AH92" s="10" t="str">
        <f t="shared" si="67"/>
        <v/>
      </c>
      <c r="AI92" s="10" t="str">
        <f t="shared" si="96"/>
        <v/>
      </c>
      <c r="AJ92" s="71"/>
      <c r="AK92" s="10" t="str">
        <f t="shared" si="68"/>
        <v/>
      </c>
      <c r="AL92" s="10" t="str">
        <f t="shared" si="97"/>
        <v/>
      </c>
      <c r="AM92" s="71"/>
      <c r="AN92" s="10" t="str">
        <f t="shared" si="69"/>
        <v/>
      </c>
      <c r="AO92" s="10" t="str">
        <f t="shared" si="98"/>
        <v/>
      </c>
      <c r="AP92" s="71"/>
      <c r="AQ92" s="10" t="str">
        <f t="shared" si="70"/>
        <v/>
      </c>
      <c r="AR92" s="10" t="str">
        <f t="shared" si="80"/>
        <v/>
      </c>
      <c r="AS92" s="71"/>
      <c r="AT92" s="7" t="str">
        <f>IF($K92&lt;=$F$15,IF($F$40&lt;&gt;"",$F$40/1000,IF(ISERROR(VLOOKUP($F$3&amp;IF($G$4&lt;&gt;"",$G$4,"")&amp;IF($F$43&lt;&gt;"","_"&amp;$F$43,""),'表3）燃料価格'!$AF$9:$AG$25,2,0)),0,VLOOKUP($I92,'表3）燃料価格'!$A$6:$U$66,VLOOKUP($F$3&amp;IF($G$4&lt;&gt;"",$G$4,"")&amp;IF($F$43&lt;&gt;"","_"&amp;$F$43,""),'表3）燃料価格'!$AF$9:$AG$25,2,0)+VLOOKUP($F$41,'表3）燃料価格'!$AF$28:$AG$29,2,0),0)*IF($F$43="需要地価格",1,$F$8/$F$141))),"")</f>
        <v/>
      </c>
      <c r="AU92" s="71"/>
      <c r="AV92" s="10" t="str">
        <f t="shared" si="71"/>
        <v/>
      </c>
      <c r="AW92" s="10" t="str">
        <f t="shared" si="81"/>
        <v/>
      </c>
      <c r="AX92" s="71"/>
      <c r="AY92" s="7" t="str">
        <f>IF(ISERROR(IF($K92&lt;=$F$15,VLOOKUP($I92,'表4）CO2価格'!$A$7:$E$67,VLOOKUP($F$48,'表4）CO2価格'!$H$10:$I$12,2,0),0)*$F$8/1000,"")),0,IF($K92&lt;=$F$15,VLOOKUP($I92,'表4）CO2価格'!$A$7:$E$67,VLOOKUP($F$48,'表4）CO2価格'!$H$10:$I$12,2,0),0)*$F$8/1000,""))</f>
        <v/>
      </c>
      <c r="AZ92" s="71"/>
      <c r="BA92" s="11" t="str">
        <f t="shared" si="72"/>
        <v/>
      </c>
      <c r="BB92" s="10" t="str">
        <f t="shared" si="82"/>
        <v/>
      </c>
      <c r="BC92" s="71"/>
      <c r="BD92" s="10" t="str">
        <f t="shared" si="73"/>
        <v/>
      </c>
      <c r="BE92" s="10" t="str">
        <f t="shared" si="83"/>
        <v/>
      </c>
      <c r="BF92" s="71"/>
      <c r="BG92" s="11" t="str">
        <f t="shared" si="74"/>
        <v/>
      </c>
      <c r="BH92" s="10" t="str">
        <f t="shared" si="84"/>
        <v/>
      </c>
      <c r="BJ92" s="7" t="str">
        <f t="shared" si="85"/>
        <v/>
      </c>
      <c r="BK92" s="158" t="str">
        <f t="shared" si="86"/>
        <v/>
      </c>
      <c r="BL92" s="158" t="str">
        <f t="shared" si="75"/>
        <v/>
      </c>
      <c r="BM92" s="10"/>
      <c r="BN92" s="10" t="str">
        <f t="shared" si="87"/>
        <v/>
      </c>
      <c r="BO92" s="10" t="str">
        <f t="shared" si="88"/>
        <v/>
      </c>
      <c r="BQ92" s="10" t="str">
        <f t="shared" si="76"/>
        <v/>
      </c>
      <c r="BR92" s="10" t="str">
        <f t="shared" si="89"/>
        <v/>
      </c>
    </row>
    <row r="93" spans="4:70" ht="15" x14ac:dyDescent="0.15">
      <c r="D93" s="116"/>
      <c r="F93" s="93"/>
      <c r="I93" s="458">
        <f t="shared" si="90"/>
        <v>2108</v>
      </c>
      <c r="J93" s="39"/>
      <c r="K93" s="39">
        <f t="shared" si="91"/>
        <v>79</v>
      </c>
      <c r="L93" s="39"/>
      <c r="M93" s="40">
        <f t="shared" si="61"/>
        <v>9.679640952397367E-2</v>
      </c>
      <c r="N93" s="39"/>
      <c r="O93" s="72" t="str">
        <f t="shared" si="77"/>
        <v/>
      </c>
      <c r="P93" s="41" t="str">
        <f t="shared" si="62"/>
        <v/>
      </c>
      <c r="Q93" s="39"/>
      <c r="R93" s="72" t="str">
        <f t="shared" si="78"/>
        <v/>
      </c>
      <c r="S93" s="39"/>
      <c r="T93" s="72" t="str">
        <f t="shared" si="79"/>
        <v/>
      </c>
      <c r="U93" s="39"/>
      <c r="V93" s="72" t="str">
        <f t="shared" si="63"/>
        <v/>
      </c>
      <c r="W93" s="72" t="str">
        <f t="shared" si="92"/>
        <v/>
      </c>
      <c r="X93" s="39"/>
      <c r="Y93" s="72" t="str">
        <f t="shared" si="64"/>
        <v/>
      </c>
      <c r="Z93" s="72" t="str">
        <f t="shared" si="93"/>
        <v/>
      </c>
      <c r="AA93" s="39"/>
      <c r="AB93" s="72" t="str">
        <f t="shared" si="65"/>
        <v/>
      </c>
      <c r="AC93" s="72" t="str">
        <f t="shared" si="94"/>
        <v/>
      </c>
      <c r="AD93" s="39"/>
      <c r="AE93" s="72" t="str">
        <f t="shared" si="66"/>
        <v/>
      </c>
      <c r="AF93" s="72" t="str">
        <f t="shared" si="95"/>
        <v/>
      </c>
      <c r="AG93" s="39"/>
      <c r="AH93" s="72" t="str">
        <f t="shared" si="67"/>
        <v/>
      </c>
      <c r="AI93" s="72" t="str">
        <f t="shared" si="96"/>
        <v/>
      </c>
      <c r="AJ93" s="39"/>
      <c r="AK93" s="72" t="str">
        <f t="shared" si="68"/>
        <v/>
      </c>
      <c r="AL93" s="72" t="str">
        <f t="shared" si="97"/>
        <v/>
      </c>
      <c r="AM93" s="39"/>
      <c r="AN93" s="72" t="str">
        <f t="shared" si="69"/>
        <v/>
      </c>
      <c r="AO93" s="72" t="str">
        <f t="shared" si="98"/>
        <v/>
      </c>
      <c r="AP93" s="39"/>
      <c r="AQ93" s="72" t="str">
        <f t="shared" si="70"/>
        <v/>
      </c>
      <c r="AR93" s="72" t="str">
        <f t="shared" si="80"/>
        <v/>
      </c>
      <c r="AS93" s="39"/>
      <c r="AT93" s="40" t="str">
        <f>IF($K93&lt;=$F$15,IF($F$40&lt;&gt;"",$F$40/1000,IF(ISERROR(VLOOKUP($F$3&amp;IF($G$4&lt;&gt;"",$G$4,"")&amp;IF($F$43&lt;&gt;"","_"&amp;$F$43,""),'表3）燃料価格'!$AF$9:$AG$25,2,0)),0,VLOOKUP($I93,'表3）燃料価格'!$A$6:$U$66,VLOOKUP($F$3&amp;IF($G$4&lt;&gt;"",$G$4,"")&amp;IF($F$43&lt;&gt;"","_"&amp;$F$43,""),'表3）燃料価格'!$AF$9:$AG$25,2,0)+VLOOKUP($F$41,'表3）燃料価格'!$AF$28:$AG$29,2,0),0)*IF($F$43="需要地価格",1,$F$8/$F$141))),"")</f>
        <v/>
      </c>
      <c r="AU93" s="39"/>
      <c r="AV93" s="72" t="str">
        <f t="shared" si="71"/>
        <v/>
      </c>
      <c r="AW93" s="72" t="str">
        <f t="shared" si="81"/>
        <v/>
      </c>
      <c r="AX93" s="39"/>
      <c r="AY93" s="40" t="str">
        <f>IF(ISERROR(IF($K93&lt;=$F$15,VLOOKUP($I93,'表4）CO2価格'!$A$7:$E$67,VLOOKUP($F$48,'表4）CO2価格'!$H$10:$I$12,2,0),0)*$F$8/1000,"")),0,IF($K93&lt;=$F$15,VLOOKUP($I93,'表4）CO2価格'!$A$7:$E$67,VLOOKUP($F$48,'表4）CO2価格'!$H$10:$I$12,2,0),0)*$F$8/1000,""))</f>
        <v/>
      </c>
      <c r="AZ93" s="39"/>
      <c r="BA93" s="42" t="str">
        <f t="shared" si="72"/>
        <v/>
      </c>
      <c r="BB93" s="72" t="str">
        <f t="shared" si="82"/>
        <v/>
      </c>
      <c r="BC93" s="39"/>
      <c r="BD93" s="72" t="str">
        <f t="shared" si="73"/>
        <v/>
      </c>
      <c r="BE93" s="72" t="str">
        <f t="shared" si="83"/>
        <v/>
      </c>
      <c r="BF93" s="39"/>
      <c r="BG93" s="42" t="str">
        <f t="shared" si="74"/>
        <v/>
      </c>
      <c r="BH93" s="72" t="str">
        <f t="shared" si="84"/>
        <v/>
      </c>
      <c r="BI93" s="39"/>
      <c r="BJ93" s="40" t="str">
        <f t="shared" si="85"/>
        <v/>
      </c>
      <c r="BK93" s="157" t="str">
        <f t="shared" si="86"/>
        <v/>
      </c>
      <c r="BL93" s="157" t="str">
        <f t="shared" si="75"/>
        <v/>
      </c>
      <c r="BM93" s="72"/>
      <c r="BN93" s="72" t="str">
        <f t="shared" si="87"/>
        <v/>
      </c>
      <c r="BO93" s="72" t="str">
        <f t="shared" si="88"/>
        <v/>
      </c>
      <c r="BP93" s="39"/>
      <c r="BQ93" s="72" t="str">
        <f t="shared" si="76"/>
        <v/>
      </c>
      <c r="BR93" s="72" t="str">
        <f t="shared" si="89"/>
        <v/>
      </c>
    </row>
    <row r="94" spans="4:70" x14ac:dyDescent="0.15">
      <c r="D94" s="101" t="s">
        <v>197</v>
      </c>
      <c r="E94" s="101"/>
      <c r="F94" s="92"/>
      <c r="G94" s="101"/>
      <c r="I94" s="459">
        <f t="shared" si="90"/>
        <v>2109</v>
      </c>
      <c r="J94" s="71"/>
      <c r="K94" s="71">
        <f t="shared" si="91"/>
        <v>80</v>
      </c>
      <c r="L94" s="71"/>
      <c r="M94" s="7">
        <f t="shared" si="61"/>
        <v>9.3977096625217166E-2</v>
      </c>
      <c r="N94" s="71"/>
      <c r="O94" s="10" t="str">
        <f t="shared" si="77"/>
        <v/>
      </c>
      <c r="P94" s="29" t="str">
        <f t="shared" si="62"/>
        <v/>
      </c>
      <c r="Q94" s="71"/>
      <c r="R94" s="10" t="str">
        <f t="shared" si="78"/>
        <v/>
      </c>
      <c r="S94" s="71"/>
      <c r="T94" s="10" t="str">
        <f t="shared" si="79"/>
        <v/>
      </c>
      <c r="U94" s="71"/>
      <c r="V94" s="10" t="str">
        <f t="shared" si="63"/>
        <v/>
      </c>
      <c r="W94" s="10" t="str">
        <f t="shared" si="92"/>
        <v/>
      </c>
      <c r="X94" s="71"/>
      <c r="Y94" s="10" t="str">
        <f t="shared" si="64"/>
        <v/>
      </c>
      <c r="Z94" s="10" t="str">
        <f t="shared" si="93"/>
        <v/>
      </c>
      <c r="AA94" s="71"/>
      <c r="AB94" s="10" t="str">
        <f t="shared" si="65"/>
        <v/>
      </c>
      <c r="AC94" s="10" t="str">
        <f t="shared" si="94"/>
        <v/>
      </c>
      <c r="AD94" s="71"/>
      <c r="AE94" s="10" t="str">
        <f t="shared" si="66"/>
        <v/>
      </c>
      <c r="AF94" s="10" t="str">
        <f t="shared" si="95"/>
        <v/>
      </c>
      <c r="AG94" s="71"/>
      <c r="AH94" s="10" t="str">
        <f t="shared" si="67"/>
        <v/>
      </c>
      <c r="AI94" s="10" t="str">
        <f t="shared" si="96"/>
        <v/>
      </c>
      <c r="AJ94" s="71"/>
      <c r="AK94" s="10" t="str">
        <f t="shared" si="68"/>
        <v/>
      </c>
      <c r="AL94" s="10" t="str">
        <f t="shared" si="97"/>
        <v/>
      </c>
      <c r="AM94" s="71"/>
      <c r="AN94" s="10" t="str">
        <f t="shared" si="69"/>
        <v/>
      </c>
      <c r="AO94" s="10" t="str">
        <f t="shared" si="98"/>
        <v/>
      </c>
      <c r="AP94" s="71"/>
      <c r="AQ94" s="10" t="str">
        <f t="shared" si="70"/>
        <v/>
      </c>
      <c r="AR94" s="10" t="str">
        <f t="shared" si="80"/>
        <v/>
      </c>
      <c r="AS94" s="71"/>
      <c r="AT94" s="7" t="str">
        <f>IF($K94&lt;=$F$15,IF($F$40&lt;&gt;"",$F$40/1000,IF(ISERROR(VLOOKUP($F$3&amp;IF($G$4&lt;&gt;"",$G$4,"")&amp;IF($F$43&lt;&gt;"","_"&amp;$F$43,""),'表3）燃料価格'!$AF$9:$AG$25,2,0)),0,VLOOKUP($I94,'表3）燃料価格'!$A$6:$U$66,VLOOKUP($F$3&amp;IF($G$4&lt;&gt;"",$G$4,"")&amp;IF($F$43&lt;&gt;"","_"&amp;$F$43,""),'表3）燃料価格'!$AF$9:$AG$25,2,0)+VLOOKUP($F$41,'表3）燃料価格'!$AF$28:$AG$29,2,0),0)*IF($F$43="需要地価格",1,$F$8/$F$141))),"")</f>
        <v/>
      </c>
      <c r="AU94" s="71"/>
      <c r="AV94" s="10" t="str">
        <f t="shared" si="71"/>
        <v/>
      </c>
      <c r="AW94" s="10" t="str">
        <f t="shared" si="81"/>
        <v/>
      </c>
      <c r="AX94" s="71"/>
      <c r="AY94" s="7" t="str">
        <f>IF(ISERROR(IF($K94&lt;=$F$15,VLOOKUP($I94,'表4）CO2価格'!$A$7:$E$67,VLOOKUP($F$48,'表4）CO2価格'!$H$10:$I$12,2,0),0)*$F$8/1000,"")),0,IF($K94&lt;=$F$15,VLOOKUP($I94,'表4）CO2価格'!$A$7:$E$67,VLOOKUP($F$48,'表4）CO2価格'!$H$10:$I$12,2,0),0)*$F$8/1000,""))</f>
        <v/>
      </c>
      <c r="AZ94" s="71"/>
      <c r="BA94" s="11" t="str">
        <f t="shared" si="72"/>
        <v/>
      </c>
      <c r="BB94" s="10" t="str">
        <f t="shared" si="82"/>
        <v/>
      </c>
      <c r="BC94" s="71"/>
      <c r="BD94" s="10" t="str">
        <f t="shared" si="73"/>
        <v/>
      </c>
      <c r="BE94" s="10" t="str">
        <f t="shared" si="83"/>
        <v/>
      </c>
      <c r="BF94" s="71"/>
      <c r="BG94" s="11" t="str">
        <f t="shared" si="74"/>
        <v/>
      </c>
      <c r="BH94" s="10" t="str">
        <f t="shared" si="84"/>
        <v/>
      </c>
      <c r="BJ94" s="7" t="str">
        <f t="shared" si="85"/>
        <v/>
      </c>
      <c r="BK94" s="158" t="str">
        <f t="shared" si="86"/>
        <v/>
      </c>
      <c r="BL94" s="158" t="str">
        <f t="shared" si="75"/>
        <v/>
      </c>
      <c r="BM94" s="10"/>
      <c r="BN94" s="10" t="str">
        <f t="shared" si="87"/>
        <v/>
      </c>
      <c r="BO94" s="10" t="str">
        <f t="shared" si="88"/>
        <v/>
      </c>
      <c r="BQ94" s="10" t="str">
        <f t="shared" si="76"/>
        <v/>
      </c>
      <c r="BR94" s="10" t="str">
        <f t="shared" si="89"/>
        <v/>
      </c>
    </row>
    <row r="95" spans="4:70" ht="15" x14ac:dyDescent="0.15">
      <c r="D95" s="116"/>
      <c r="F95" s="93"/>
      <c r="I95" s="458">
        <f t="shared" si="90"/>
        <v>2110</v>
      </c>
      <c r="J95" s="39"/>
      <c r="K95" s="39">
        <f t="shared" si="91"/>
        <v>81</v>
      </c>
      <c r="L95" s="39"/>
      <c r="M95" s="40">
        <f t="shared" si="61"/>
        <v>9.1239899636133173E-2</v>
      </c>
      <c r="N95" s="39"/>
      <c r="O95" s="72" t="str">
        <f t="shared" si="77"/>
        <v/>
      </c>
      <c r="P95" s="41" t="str">
        <f t="shared" si="62"/>
        <v/>
      </c>
      <c r="Q95" s="39"/>
      <c r="R95" s="72" t="str">
        <f t="shared" si="78"/>
        <v/>
      </c>
      <c r="S95" s="39"/>
      <c r="T95" s="72" t="str">
        <f t="shared" si="79"/>
        <v/>
      </c>
      <c r="U95" s="39"/>
      <c r="V95" s="72" t="str">
        <f t="shared" si="63"/>
        <v/>
      </c>
      <c r="W95" s="72" t="str">
        <f t="shared" si="92"/>
        <v/>
      </c>
      <c r="X95" s="39"/>
      <c r="Y95" s="72" t="str">
        <f t="shared" si="64"/>
        <v/>
      </c>
      <c r="Z95" s="72" t="str">
        <f t="shared" si="93"/>
        <v/>
      </c>
      <c r="AA95" s="39"/>
      <c r="AB95" s="72" t="str">
        <f t="shared" si="65"/>
        <v/>
      </c>
      <c r="AC95" s="72" t="str">
        <f t="shared" si="94"/>
        <v/>
      </c>
      <c r="AD95" s="39"/>
      <c r="AE95" s="72" t="str">
        <f t="shared" si="66"/>
        <v/>
      </c>
      <c r="AF95" s="72" t="str">
        <f t="shared" si="95"/>
        <v/>
      </c>
      <c r="AG95" s="39"/>
      <c r="AH95" s="72" t="str">
        <f t="shared" si="67"/>
        <v/>
      </c>
      <c r="AI95" s="72" t="str">
        <f t="shared" si="96"/>
        <v/>
      </c>
      <c r="AJ95" s="39"/>
      <c r="AK95" s="72" t="str">
        <f t="shared" si="68"/>
        <v/>
      </c>
      <c r="AL95" s="72" t="str">
        <f t="shared" si="97"/>
        <v/>
      </c>
      <c r="AM95" s="39"/>
      <c r="AN95" s="72" t="str">
        <f t="shared" si="69"/>
        <v/>
      </c>
      <c r="AO95" s="72" t="str">
        <f t="shared" si="98"/>
        <v/>
      </c>
      <c r="AP95" s="39"/>
      <c r="AQ95" s="72" t="str">
        <f t="shared" si="70"/>
        <v/>
      </c>
      <c r="AR95" s="72" t="str">
        <f t="shared" si="80"/>
        <v/>
      </c>
      <c r="AS95" s="39"/>
      <c r="AT95" s="40" t="str">
        <f>IF($K95&lt;=$F$15,IF($F$40&lt;&gt;"",$F$40/1000,IF(ISERROR(VLOOKUP($F$3&amp;IF($G$4&lt;&gt;"",$G$4,"")&amp;IF($F$43&lt;&gt;"","_"&amp;$F$43,""),'表3）燃料価格'!$AF$9:$AG$25,2,0)),0,VLOOKUP($I95,'表3）燃料価格'!$A$6:$U$66,VLOOKUP($F$3&amp;IF($G$4&lt;&gt;"",$G$4,"")&amp;IF($F$43&lt;&gt;"","_"&amp;$F$43,""),'表3）燃料価格'!$AF$9:$AG$25,2,0)+VLOOKUP($F$41,'表3）燃料価格'!$AF$28:$AG$29,2,0),0)*IF($F$43="需要地価格",1,$F$8/$F$141))),"")</f>
        <v/>
      </c>
      <c r="AU95" s="39"/>
      <c r="AV95" s="72" t="str">
        <f t="shared" si="71"/>
        <v/>
      </c>
      <c r="AW95" s="72" t="str">
        <f t="shared" si="81"/>
        <v/>
      </c>
      <c r="AX95" s="39"/>
      <c r="AY95" s="40" t="str">
        <f>IF(ISERROR(IF($K95&lt;=$F$15,VLOOKUP($I95,'表4）CO2価格'!$A$7:$E$67,VLOOKUP($F$48,'表4）CO2価格'!$H$10:$I$12,2,0),0)*$F$8/1000,"")),0,IF($K95&lt;=$F$15,VLOOKUP($I95,'表4）CO2価格'!$A$7:$E$67,VLOOKUP($F$48,'表4）CO2価格'!$H$10:$I$12,2,0),0)*$F$8/1000,""))</f>
        <v/>
      </c>
      <c r="AZ95" s="39"/>
      <c r="BA95" s="42" t="str">
        <f t="shared" si="72"/>
        <v/>
      </c>
      <c r="BB95" s="72" t="str">
        <f t="shared" si="82"/>
        <v/>
      </c>
      <c r="BC95" s="39"/>
      <c r="BD95" s="72" t="str">
        <f t="shared" si="73"/>
        <v/>
      </c>
      <c r="BE95" s="72" t="str">
        <f t="shared" si="83"/>
        <v/>
      </c>
      <c r="BF95" s="39"/>
      <c r="BG95" s="42" t="str">
        <f t="shared" si="74"/>
        <v/>
      </c>
      <c r="BH95" s="72" t="str">
        <f t="shared" si="84"/>
        <v/>
      </c>
      <c r="BI95" s="39"/>
      <c r="BJ95" s="40" t="str">
        <f t="shared" si="85"/>
        <v/>
      </c>
      <c r="BK95" s="157" t="str">
        <f t="shared" si="86"/>
        <v/>
      </c>
      <c r="BL95" s="157" t="str">
        <f t="shared" si="75"/>
        <v/>
      </c>
      <c r="BM95" s="72"/>
      <c r="BN95" s="72" t="str">
        <f t="shared" si="87"/>
        <v/>
      </c>
      <c r="BO95" s="72" t="str">
        <f t="shared" si="88"/>
        <v/>
      </c>
      <c r="BP95" s="39"/>
      <c r="BQ95" s="72" t="str">
        <f t="shared" si="76"/>
        <v/>
      </c>
      <c r="BR95" s="72" t="str">
        <f t="shared" si="89"/>
        <v/>
      </c>
    </row>
    <row r="96" spans="4:70" ht="15" x14ac:dyDescent="0.15">
      <c r="D96" s="116"/>
      <c r="E96" s="81" t="s">
        <v>198</v>
      </c>
      <c r="F96" s="91">
        <f>IF(F3&lt;&gt;"原子力",AW116/$BR$116,0)</f>
        <v>12.889339230797765</v>
      </c>
      <c r="G96" s="81" t="s">
        <v>132</v>
      </c>
      <c r="I96" s="459">
        <f t="shared" si="90"/>
        <v>2111</v>
      </c>
      <c r="J96" s="71"/>
      <c r="K96" s="71">
        <f t="shared" si="91"/>
        <v>82</v>
      </c>
      <c r="L96" s="71"/>
      <c r="M96" s="7">
        <f t="shared" si="61"/>
        <v>8.8582426831197242E-2</v>
      </c>
      <c r="N96" s="71"/>
      <c r="O96" s="10" t="str">
        <f t="shared" si="77"/>
        <v/>
      </c>
      <c r="P96" s="29" t="str">
        <f t="shared" si="62"/>
        <v/>
      </c>
      <c r="Q96" s="71"/>
      <c r="R96" s="10" t="str">
        <f t="shared" si="78"/>
        <v/>
      </c>
      <c r="S96" s="71"/>
      <c r="T96" s="10" t="str">
        <f t="shared" si="79"/>
        <v/>
      </c>
      <c r="U96" s="71"/>
      <c r="V96" s="10" t="str">
        <f t="shared" si="63"/>
        <v/>
      </c>
      <c r="W96" s="10" t="str">
        <f t="shared" si="92"/>
        <v/>
      </c>
      <c r="X96" s="71"/>
      <c r="Y96" s="10" t="str">
        <f t="shared" si="64"/>
        <v/>
      </c>
      <c r="Z96" s="10" t="str">
        <f t="shared" si="93"/>
        <v/>
      </c>
      <c r="AA96" s="71"/>
      <c r="AB96" s="10" t="str">
        <f t="shared" si="65"/>
        <v/>
      </c>
      <c r="AC96" s="10" t="str">
        <f t="shared" si="94"/>
        <v/>
      </c>
      <c r="AD96" s="71"/>
      <c r="AE96" s="10" t="str">
        <f t="shared" si="66"/>
        <v/>
      </c>
      <c r="AF96" s="10" t="str">
        <f t="shared" si="95"/>
        <v/>
      </c>
      <c r="AG96" s="71"/>
      <c r="AH96" s="10" t="str">
        <f t="shared" si="67"/>
        <v/>
      </c>
      <c r="AI96" s="10" t="str">
        <f t="shared" si="96"/>
        <v/>
      </c>
      <c r="AJ96" s="71"/>
      <c r="AK96" s="10" t="str">
        <f t="shared" si="68"/>
        <v/>
      </c>
      <c r="AL96" s="10" t="str">
        <f t="shared" si="97"/>
        <v/>
      </c>
      <c r="AM96" s="71"/>
      <c r="AN96" s="10" t="str">
        <f t="shared" si="69"/>
        <v/>
      </c>
      <c r="AO96" s="10" t="str">
        <f t="shared" si="98"/>
        <v/>
      </c>
      <c r="AP96" s="71"/>
      <c r="AQ96" s="10" t="str">
        <f t="shared" si="70"/>
        <v/>
      </c>
      <c r="AR96" s="10" t="str">
        <f t="shared" si="80"/>
        <v/>
      </c>
      <c r="AS96" s="71"/>
      <c r="AT96" s="7" t="str">
        <f>IF($K96&lt;=$F$15,IF($F$40&lt;&gt;"",$F$40/1000,IF(ISERROR(VLOOKUP($F$3&amp;IF($G$4&lt;&gt;"",$G$4,"")&amp;IF($F$43&lt;&gt;"","_"&amp;$F$43,""),'表3）燃料価格'!$AF$9:$AG$25,2,0)),0,VLOOKUP($I96,'表3）燃料価格'!$A$6:$U$66,VLOOKUP($F$3&amp;IF($G$4&lt;&gt;"",$G$4,"")&amp;IF($F$43&lt;&gt;"","_"&amp;$F$43,""),'表3）燃料価格'!$AF$9:$AG$25,2,0)+VLOOKUP($F$41,'表3）燃料価格'!$AF$28:$AG$29,2,0),0)*IF($F$43="需要地価格",1,$F$8/$F$141))),"")</f>
        <v/>
      </c>
      <c r="AU96" s="71"/>
      <c r="AV96" s="10" t="str">
        <f t="shared" si="71"/>
        <v/>
      </c>
      <c r="AW96" s="10" t="str">
        <f t="shared" si="81"/>
        <v/>
      </c>
      <c r="AX96" s="71"/>
      <c r="AY96" s="7" t="str">
        <f>IF(ISERROR(IF($K96&lt;=$F$15,VLOOKUP($I96,'表4）CO2価格'!$A$7:$E$67,VLOOKUP($F$48,'表4）CO2価格'!$H$10:$I$12,2,0),0)*$F$8/1000,"")),0,IF($K96&lt;=$F$15,VLOOKUP($I96,'表4）CO2価格'!$A$7:$E$67,VLOOKUP($F$48,'表4）CO2価格'!$H$10:$I$12,2,0),0)*$F$8/1000,""))</f>
        <v/>
      </c>
      <c r="AZ96" s="71"/>
      <c r="BA96" s="11" t="str">
        <f t="shared" si="72"/>
        <v/>
      </c>
      <c r="BB96" s="10" t="str">
        <f t="shared" si="82"/>
        <v/>
      </c>
      <c r="BC96" s="71"/>
      <c r="BD96" s="10" t="str">
        <f t="shared" si="73"/>
        <v/>
      </c>
      <c r="BE96" s="10" t="str">
        <f t="shared" si="83"/>
        <v/>
      </c>
      <c r="BF96" s="71"/>
      <c r="BG96" s="11" t="str">
        <f t="shared" si="74"/>
        <v/>
      </c>
      <c r="BH96" s="10" t="str">
        <f t="shared" si="84"/>
        <v/>
      </c>
      <c r="BJ96" s="7" t="str">
        <f t="shared" si="85"/>
        <v/>
      </c>
      <c r="BK96" s="158" t="str">
        <f t="shared" si="86"/>
        <v/>
      </c>
      <c r="BL96" s="158" t="str">
        <f t="shared" si="75"/>
        <v/>
      </c>
      <c r="BM96" s="10"/>
      <c r="BN96" s="10" t="str">
        <f t="shared" si="87"/>
        <v/>
      </c>
      <c r="BO96" s="10" t="str">
        <f t="shared" si="88"/>
        <v/>
      </c>
      <c r="BQ96" s="10" t="str">
        <f t="shared" si="76"/>
        <v/>
      </c>
      <c r="BR96" s="10" t="str">
        <f t="shared" si="89"/>
        <v/>
      </c>
    </row>
    <row r="97" spans="4:70" ht="15" x14ac:dyDescent="0.15">
      <c r="D97" s="116"/>
      <c r="E97" s="81" t="s">
        <v>199</v>
      </c>
      <c r="F97" s="91">
        <f>IF(F3="原子力",#REF!,0)</f>
        <v>0</v>
      </c>
      <c r="G97" s="81" t="s">
        <v>132</v>
      </c>
      <c r="I97" s="458">
        <f t="shared" si="90"/>
        <v>2112</v>
      </c>
      <c r="J97" s="39"/>
      <c r="K97" s="39">
        <f t="shared" si="91"/>
        <v>83</v>
      </c>
      <c r="L97" s="39"/>
      <c r="M97" s="40">
        <f t="shared" si="61"/>
        <v>8.6002356146793454E-2</v>
      </c>
      <c r="N97" s="39"/>
      <c r="O97" s="72" t="str">
        <f t="shared" si="77"/>
        <v/>
      </c>
      <c r="P97" s="41" t="str">
        <f t="shared" si="62"/>
        <v/>
      </c>
      <c r="Q97" s="39"/>
      <c r="R97" s="72" t="str">
        <f t="shared" si="78"/>
        <v/>
      </c>
      <c r="S97" s="39"/>
      <c r="T97" s="72" t="str">
        <f t="shared" si="79"/>
        <v/>
      </c>
      <c r="U97" s="39"/>
      <c r="V97" s="72" t="str">
        <f t="shared" si="63"/>
        <v/>
      </c>
      <c r="W97" s="72" t="str">
        <f t="shared" si="92"/>
        <v/>
      </c>
      <c r="X97" s="39"/>
      <c r="Y97" s="72" t="str">
        <f t="shared" si="64"/>
        <v/>
      </c>
      <c r="Z97" s="72" t="str">
        <f t="shared" si="93"/>
        <v/>
      </c>
      <c r="AA97" s="39"/>
      <c r="AB97" s="72" t="str">
        <f t="shared" si="65"/>
        <v/>
      </c>
      <c r="AC97" s="72" t="str">
        <f t="shared" si="94"/>
        <v/>
      </c>
      <c r="AD97" s="39"/>
      <c r="AE97" s="72" t="str">
        <f t="shared" si="66"/>
        <v/>
      </c>
      <c r="AF97" s="72" t="str">
        <f t="shared" si="95"/>
        <v/>
      </c>
      <c r="AG97" s="39"/>
      <c r="AH97" s="72" t="str">
        <f t="shared" si="67"/>
        <v/>
      </c>
      <c r="AI97" s="72" t="str">
        <f t="shared" si="96"/>
        <v/>
      </c>
      <c r="AJ97" s="39"/>
      <c r="AK97" s="72" t="str">
        <f t="shared" si="68"/>
        <v/>
      </c>
      <c r="AL97" s="72" t="str">
        <f t="shared" si="97"/>
        <v/>
      </c>
      <c r="AM97" s="39"/>
      <c r="AN97" s="72" t="str">
        <f t="shared" si="69"/>
        <v/>
      </c>
      <c r="AO97" s="72" t="str">
        <f t="shared" si="98"/>
        <v/>
      </c>
      <c r="AP97" s="39"/>
      <c r="AQ97" s="72" t="str">
        <f t="shared" si="70"/>
        <v/>
      </c>
      <c r="AR97" s="72" t="str">
        <f t="shared" si="80"/>
        <v/>
      </c>
      <c r="AS97" s="39"/>
      <c r="AT97" s="40" t="str">
        <f>IF($K97&lt;=$F$15,IF($F$40&lt;&gt;"",$F$40/1000,IF(ISERROR(VLOOKUP($F$3&amp;IF($G$4&lt;&gt;"",$G$4,"")&amp;IF($F$43&lt;&gt;"","_"&amp;$F$43,""),'表3）燃料価格'!$AF$9:$AG$25,2,0)),0,VLOOKUP($I97,'表3）燃料価格'!$A$6:$U$66,VLOOKUP($F$3&amp;IF($G$4&lt;&gt;"",$G$4,"")&amp;IF($F$43&lt;&gt;"","_"&amp;$F$43,""),'表3）燃料価格'!$AF$9:$AG$25,2,0)+VLOOKUP($F$41,'表3）燃料価格'!$AF$28:$AG$29,2,0),0)*IF($F$43="需要地価格",1,$F$8/$F$141))),"")</f>
        <v/>
      </c>
      <c r="AU97" s="39"/>
      <c r="AV97" s="72" t="str">
        <f t="shared" si="71"/>
        <v/>
      </c>
      <c r="AW97" s="72" t="str">
        <f t="shared" si="81"/>
        <v/>
      </c>
      <c r="AX97" s="39"/>
      <c r="AY97" s="40" t="str">
        <f>IF(ISERROR(IF($K97&lt;=$F$15,VLOOKUP($I97,'表4）CO2価格'!$A$7:$E$67,VLOOKUP($F$48,'表4）CO2価格'!$H$10:$I$12,2,0),0)*$F$8/1000,"")),0,IF($K97&lt;=$F$15,VLOOKUP($I97,'表4）CO2価格'!$A$7:$E$67,VLOOKUP($F$48,'表4）CO2価格'!$H$10:$I$12,2,0),0)*$F$8/1000,""))</f>
        <v/>
      </c>
      <c r="AZ97" s="39"/>
      <c r="BA97" s="42" t="str">
        <f t="shared" si="72"/>
        <v/>
      </c>
      <c r="BB97" s="72" t="str">
        <f t="shared" si="82"/>
        <v/>
      </c>
      <c r="BC97" s="39"/>
      <c r="BD97" s="72" t="str">
        <f t="shared" si="73"/>
        <v/>
      </c>
      <c r="BE97" s="72" t="str">
        <f t="shared" si="83"/>
        <v/>
      </c>
      <c r="BF97" s="39"/>
      <c r="BG97" s="42" t="str">
        <f t="shared" si="74"/>
        <v/>
      </c>
      <c r="BH97" s="72" t="str">
        <f t="shared" si="84"/>
        <v/>
      </c>
      <c r="BI97" s="39"/>
      <c r="BJ97" s="40" t="str">
        <f t="shared" si="85"/>
        <v/>
      </c>
      <c r="BK97" s="157" t="str">
        <f t="shared" si="86"/>
        <v/>
      </c>
      <c r="BL97" s="157" t="str">
        <f t="shared" si="75"/>
        <v/>
      </c>
      <c r="BM97" s="72"/>
      <c r="BN97" s="72" t="str">
        <f t="shared" si="87"/>
        <v/>
      </c>
      <c r="BO97" s="72" t="str">
        <f t="shared" si="88"/>
        <v/>
      </c>
      <c r="BP97" s="39"/>
      <c r="BQ97" s="72" t="str">
        <f t="shared" si="76"/>
        <v/>
      </c>
      <c r="BR97" s="72" t="str">
        <f t="shared" si="89"/>
        <v/>
      </c>
    </row>
    <row r="98" spans="4:70" x14ac:dyDescent="0.15">
      <c r="F98" s="93"/>
      <c r="I98" s="459">
        <f t="shared" si="90"/>
        <v>2113</v>
      </c>
      <c r="J98" s="71"/>
      <c r="K98" s="71">
        <f t="shared" si="91"/>
        <v>84</v>
      </c>
      <c r="L98" s="71"/>
      <c r="M98" s="7">
        <f t="shared" si="61"/>
        <v>8.3497433152226644E-2</v>
      </c>
      <c r="N98" s="71"/>
      <c r="O98" s="10" t="str">
        <f t="shared" si="77"/>
        <v/>
      </c>
      <c r="P98" s="29" t="str">
        <f t="shared" si="62"/>
        <v/>
      </c>
      <c r="Q98" s="71"/>
      <c r="R98" s="10" t="str">
        <f t="shared" si="78"/>
        <v/>
      </c>
      <c r="S98" s="71"/>
      <c r="T98" s="10" t="str">
        <f t="shared" si="79"/>
        <v/>
      </c>
      <c r="U98" s="71"/>
      <c r="V98" s="10" t="str">
        <f t="shared" si="63"/>
        <v/>
      </c>
      <c r="W98" s="10" t="str">
        <f t="shared" si="92"/>
        <v/>
      </c>
      <c r="X98" s="71"/>
      <c r="Y98" s="10" t="str">
        <f t="shared" si="64"/>
        <v/>
      </c>
      <c r="Z98" s="10" t="str">
        <f t="shared" si="93"/>
        <v/>
      </c>
      <c r="AA98" s="71"/>
      <c r="AB98" s="10" t="str">
        <f t="shared" si="65"/>
        <v/>
      </c>
      <c r="AC98" s="10" t="str">
        <f t="shared" si="94"/>
        <v/>
      </c>
      <c r="AD98" s="71"/>
      <c r="AE98" s="10" t="str">
        <f t="shared" si="66"/>
        <v/>
      </c>
      <c r="AF98" s="10" t="str">
        <f t="shared" si="95"/>
        <v/>
      </c>
      <c r="AG98" s="71"/>
      <c r="AH98" s="10" t="str">
        <f t="shared" si="67"/>
        <v/>
      </c>
      <c r="AI98" s="10" t="str">
        <f t="shared" si="96"/>
        <v/>
      </c>
      <c r="AJ98" s="71"/>
      <c r="AK98" s="10" t="str">
        <f t="shared" si="68"/>
        <v/>
      </c>
      <c r="AL98" s="10" t="str">
        <f t="shared" si="97"/>
        <v/>
      </c>
      <c r="AM98" s="71"/>
      <c r="AN98" s="10" t="str">
        <f t="shared" si="69"/>
        <v/>
      </c>
      <c r="AO98" s="10" t="str">
        <f t="shared" si="98"/>
        <v/>
      </c>
      <c r="AP98" s="71"/>
      <c r="AQ98" s="10" t="str">
        <f t="shared" si="70"/>
        <v/>
      </c>
      <c r="AR98" s="10" t="str">
        <f t="shared" si="80"/>
        <v/>
      </c>
      <c r="AS98" s="71"/>
      <c r="AT98" s="7" t="str">
        <f>IF($K98&lt;=$F$15,IF($F$40&lt;&gt;"",$F$40/1000,IF(ISERROR(VLOOKUP($F$3&amp;IF($G$4&lt;&gt;"",$G$4,"")&amp;IF($F$43&lt;&gt;"","_"&amp;$F$43,""),'表3）燃料価格'!$AF$9:$AG$25,2,0)),0,VLOOKUP($I98,'表3）燃料価格'!$A$6:$U$66,VLOOKUP($F$3&amp;IF($G$4&lt;&gt;"",$G$4,"")&amp;IF($F$43&lt;&gt;"","_"&amp;$F$43,""),'表3）燃料価格'!$AF$9:$AG$25,2,0)+VLOOKUP($F$41,'表3）燃料価格'!$AF$28:$AG$29,2,0),0)*IF($F$43="需要地価格",1,$F$8/$F$141))),"")</f>
        <v/>
      </c>
      <c r="AU98" s="71"/>
      <c r="AV98" s="10" t="str">
        <f t="shared" si="71"/>
        <v/>
      </c>
      <c r="AW98" s="10" t="str">
        <f t="shared" si="81"/>
        <v/>
      </c>
      <c r="AX98" s="71"/>
      <c r="AY98" s="7" t="str">
        <f>IF(ISERROR(IF($K98&lt;=$F$15,VLOOKUP($I98,'表4）CO2価格'!$A$7:$E$67,VLOOKUP($F$48,'表4）CO2価格'!$H$10:$I$12,2,0),0)*$F$8/1000,"")),0,IF($K98&lt;=$F$15,VLOOKUP($I98,'表4）CO2価格'!$A$7:$E$67,VLOOKUP($F$48,'表4）CO2価格'!$H$10:$I$12,2,0),0)*$F$8/1000,""))</f>
        <v/>
      </c>
      <c r="AZ98" s="71"/>
      <c r="BA98" s="11" t="str">
        <f t="shared" si="72"/>
        <v/>
      </c>
      <c r="BB98" s="10" t="str">
        <f t="shared" si="82"/>
        <v/>
      </c>
      <c r="BC98" s="71"/>
      <c r="BD98" s="10" t="str">
        <f t="shared" si="73"/>
        <v/>
      </c>
      <c r="BE98" s="10" t="str">
        <f t="shared" si="83"/>
        <v/>
      </c>
      <c r="BF98" s="71"/>
      <c r="BG98" s="11" t="str">
        <f t="shared" si="74"/>
        <v/>
      </c>
      <c r="BH98" s="10" t="str">
        <f t="shared" si="84"/>
        <v/>
      </c>
      <c r="BJ98" s="7" t="str">
        <f t="shared" si="85"/>
        <v/>
      </c>
      <c r="BK98" s="158" t="str">
        <f t="shared" si="86"/>
        <v/>
      </c>
      <c r="BL98" s="158" t="str">
        <f t="shared" si="75"/>
        <v/>
      </c>
      <c r="BM98" s="10"/>
      <c r="BN98" s="10" t="str">
        <f t="shared" si="87"/>
        <v/>
      </c>
      <c r="BO98" s="10" t="str">
        <f t="shared" si="88"/>
        <v/>
      </c>
      <c r="BQ98" s="10" t="str">
        <f t="shared" si="76"/>
        <v/>
      </c>
      <c r="BR98" s="10" t="str">
        <f t="shared" si="89"/>
        <v/>
      </c>
    </row>
    <row r="99" spans="4:70" ht="15" x14ac:dyDescent="0.15">
      <c r="D99" s="116" t="s">
        <v>200</v>
      </c>
      <c r="F99" s="94">
        <f>SUBTOTAL(9,F103:F105)</f>
        <v>3.780660887564141</v>
      </c>
      <c r="G99" s="81" t="s">
        <v>132</v>
      </c>
      <c r="I99" s="458">
        <f t="shared" si="90"/>
        <v>2114</v>
      </c>
      <c r="J99" s="39"/>
      <c r="K99" s="39">
        <f t="shared" si="91"/>
        <v>85</v>
      </c>
      <c r="L99" s="39"/>
      <c r="M99" s="40">
        <f t="shared" si="61"/>
        <v>8.1065469079831712E-2</v>
      </c>
      <c r="N99" s="39"/>
      <c r="O99" s="72" t="str">
        <f t="shared" si="77"/>
        <v/>
      </c>
      <c r="P99" s="41" t="str">
        <f t="shared" si="62"/>
        <v/>
      </c>
      <c r="Q99" s="39"/>
      <c r="R99" s="72" t="str">
        <f t="shared" si="78"/>
        <v/>
      </c>
      <c r="S99" s="39"/>
      <c r="T99" s="72" t="str">
        <f t="shared" si="79"/>
        <v/>
      </c>
      <c r="U99" s="39"/>
      <c r="V99" s="72" t="str">
        <f t="shared" si="63"/>
        <v/>
      </c>
      <c r="W99" s="72" t="str">
        <f t="shared" si="92"/>
        <v/>
      </c>
      <c r="X99" s="39"/>
      <c r="Y99" s="72" t="str">
        <f t="shared" si="64"/>
        <v/>
      </c>
      <c r="Z99" s="72" t="str">
        <f t="shared" si="93"/>
        <v/>
      </c>
      <c r="AA99" s="39"/>
      <c r="AB99" s="72" t="str">
        <f t="shared" si="65"/>
        <v/>
      </c>
      <c r="AC99" s="72" t="str">
        <f t="shared" si="94"/>
        <v/>
      </c>
      <c r="AD99" s="39"/>
      <c r="AE99" s="72" t="str">
        <f t="shared" si="66"/>
        <v/>
      </c>
      <c r="AF99" s="72" t="str">
        <f t="shared" si="95"/>
        <v/>
      </c>
      <c r="AG99" s="39"/>
      <c r="AH99" s="72" t="str">
        <f t="shared" si="67"/>
        <v/>
      </c>
      <c r="AI99" s="72" t="str">
        <f t="shared" si="96"/>
        <v/>
      </c>
      <c r="AJ99" s="39"/>
      <c r="AK99" s="72" t="str">
        <f t="shared" si="68"/>
        <v/>
      </c>
      <c r="AL99" s="72" t="str">
        <f t="shared" si="97"/>
        <v/>
      </c>
      <c r="AM99" s="39"/>
      <c r="AN99" s="72" t="str">
        <f t="shared" si="69"/>
        <v/>
      </c>
      <c r="AO99" s="72" t="str">
        <f t="shared" si="98"/>
        <v/>
      </c>
      <c r="AP99" s="39"/>
      <c r="AQ99" s="72" t="str">
        <f t="shared" si="70"/>
        <v/>
      </c>
      <c r="AR99" s="72" t="str">
        <f t="shared" si="80"/>
        <v/>
      </c>
      <c r="AS99" s="39"/>
      <c r="AT99" s="40" t="str">
        <f>IF($K99&lt;=$F$15,IF($F$40&lt;&gt;"",$F$40/1000,IF(ISERROR(VLOOKUP($F$3&amp;IF($G$4&lt;&gt;"",$G$4,"")&amp;IF($F$43&lt;&gt;"","_"&amp;$F$43,""),'表3）燃料価格'!$AF$9:$AG$25,2,0)),0,VLOOKUP($I99,'表3）燃料価格'!$A$6:$U$66,VLOOKUP($F$3&amp;IF($G$4&lt;&gt;"",$G$4,"")&amp;IF($F$43&lt;&gt;"","_"&amp;$F$43,""),'表3）燃料価格'!$AF$9:$AG$25,2,0)+VLOOKUP($F$41,'表3）燃料価格'!$AF$28:$AG$29,2,0),0)*IF($F$43="需要地価格",1,$F$8/$F$141))),"")</f>
        <v/>
      </c>
      <c r="AU99" s="39"/>
      <c r="AV99" s="72" t="str">
        <f t="shared" si="71"/>
        <v/>
      </c>
      <c r="AW99" s="72" t="str">
        <f t="shared" si="81"/>
        <v/>
      </c>
      <c r="AX99" s="39"/>
      <c r="AY99" s="40" t="str">
        <f>IF(ISERROR(IF($K99&lt;=$F$15,VLOOKUP($I99,'表4）CO2価格'!$A$7:$E$67,VLOOKUP($F$48,'表4）CO2価格'!$H$10:$I$12,2,0),0)*$F$8/1000,"")),0,IF($K99&lt;=$F$15,VLOOKUP($I99,'表4）CO2価格'!$A$7:$E$67,VLOOKUP($F$48,'表4）CO2価格'!$H$10:$I$12,2,0),0)*$F$8/1000,""))</f>
        <v/>
      </c>
      <c r="AZ99" s="39"/>
      <c r="BA99" s="42" t="str">
        <f t="shared" si="72"/>
        <v/>
      </c>
      <c r="BB99" s="72" t="str">
        <f t="shared" si="82"/>
        <v/>
      </c>
      <c r="BC99" s="39"/>
      <c r="BD99" s="72" t="str">
        <f t="shared" si="73"/>
        <v/>
      </c>
      <c r="BE99" s="72" t="str">
        <f t="shared" si="83"/>
        <v/>
      </c>
      <c r="BF99" s="39"/>
      <c r="BG99" s="42" t="str">
        <f t="shared" si="74"/>
        <v/>
      </c>
      <c r="BH99" s="72" t="str">
        <f t="shared" si="84"/>
        <v/>
      </c>
      <c r="BI99" s="39"/>
      <c r="BJ99" s="40" t="str">
        <f t="shared" si="85"/>
        <v/>
      </c>
      <c r="BK99" s="157" t="str">
        <f t="shared" si="86"/>
        <v/>
      </c>
      <c r="BL99" s="157" t="str">
        <f t="shared" si="75"/>
        <v/>
      </c>
      <c r="BM99" s="72"/>
      <c r="BN99" s="72" t="str">
        <f t="shared" si="87"/>
        <v/>
      </c>
      <c r="BO99" s="72" t="str">
        <f t="shared" si="88"/>
        <v/>
      </c>
      <c r="BP99" s="39"/>
      <c r="BQ99" s="72" t="str">
        <f t="shared" si="76"/>
        <v/>
      </c>
      <c r="BR99" s="72" t="str">
        <f t="shared" si="89"/>
        <v/>
      </c>
    </row>
    <row r="100" spans="4:70" x14ac:dyDescent="0.15">
      <c r="F100" s="93"/>
      <c r="I100" s="459">
        <f t="shared" si="90"/>
        <v>2115</v>
      </c>
      <c r="J100" s="71"/>
      <c r="K100" s="71">
        <f t="shared" si="91"/>
        <v>86</v>
      </c>
      <c r="L100" s="71"/>
      <c r="M100" s="7">
        <f t="shared" si="61"/>
        <v>7.8704338912457969E-2</v>
      </c>
      <c r="N100" s="71"/>
      <c r="O100" s="10" t="str">
        <f t="shared" si="77"/>
        <v/>
      </c>
      <c r="P100" s="29" t="str">
        <f t="shared" si="62"/>
        <v/>
      </c>
      <c r="Q100" s="71"/>
      <c r="R100" s="10" t="str">
        <f t="shared" si="78"/>
        <v/>
      </c>
      <c r="S100" s="71"/>
      <c r="T100" s="10" t="str">
        <f t="shared" si="79"/>
        <v/>
      </c>
      <c r="U100" s="71"/>
      <c r="V100" s="10" t="str">
        <f t="shared" si="63"/>
        <v/>
      </c>
      <c r="W100" s="10" t="str">
        <f t="shared" si="92"/>
        <v/>
      </c>
      <c r="X100" s="71"/>
      <c r="Y100" s="10" t="str">
        <f t="shared" si="64"/>
        <v/>
      </c>
      <c r="Z100" s="10" t="str">
        <f t="shared" si="93"/>
        <v/>
      </c>
      <c r="AA100" s="71"/>
      <c r="AB100" s="10" t="str">
        <f t="shared" si="65"/>
        <v/>
      </c>
      <c r="AC100" s="10" t="str">
        <f t="shared" si="94"/>
        <v/>
      </c>
      <c r="AD100" s="71"/>
      <c r="AE100" s="10" t="str">
        <f t="shared" si="66"/>
        <v/>
      </c>
      <c r="AF100" s="10" t="str">
        <f t="shared" si="95"/>
        <v/>
      </c>
      <c r="AG100" s="71"/>
      <c r="AH100" s="10" t="str">
        <f t="shared" si="67"/>
        <v/>
      </c>
      <c r="AI100" s="10" t="str">
        <f t="shared" si="96"/>
        <v/>
      </c>
      <c r="AJ100" s="71"/>
      <c r="AK100" s="10" t="str">
        <f t="shared" si="68"/>
        <v/>
      </c>
      <c r="AL100" s="10" t="str">
        <f t="shared" si="97"/>
        <v/>
      </c>
      <c r="AM100" s="71"/>
      <c r="AN100" s="10" t="str">
        <f t="shared" si="69"/>
        <v/>
      </c>
      <c r="AO100" s="10" t="str">
        <f t="shared" si="98"/>
        <v/>
      </c>
      <c r="AP100" s="71"/>
      <c r="AQ100" s="10" t="str">
        <f t="shared" si="70"/>
        <v/>
      </c>
      <c r="AR100" s="10" t="str">
        <f t="shared" si="80"/>
        <v/>
      </c>
      <c r="AS100" s="71"/>
      <c r="AT100" s="7" t="str">
        <f>IF($K100&lt;=$F$15,IF($F$40&lt;&gt;"",$F$40/1000,IF(ISERROR(VLOOKUP($F$3&amp;IF($G$4&lt;&gt;"",$G$4,"")&amp;IF($F$43&lt;&gt;"","_"&amp;$F$43,""),'表3）燃料価格'!$AF$9:$AG$25,2,0)),0,VLOOKUP($I100,'表3）燃料価格'!$A$6:$U$66,VLOOKUP($F$3&amp;IF($G$4&lt;&gt;"",$G$4,"")&amp;IF($F$43&lt;&gt;"","_"&amp;$F$43,""),'表3）燃料価格'!$AF$9:$AG$25,2,0)+VLOOKUP($F$41,'表3）燃料価格'!$AF$28:$AG$29,2,0),0)*IF($F$43="需要地価格",1,$F$8/$F$141))),"")</f>
        <v/>
      </c>
      <c r="AU100" s="71"/>
      <c r="AV100" s="10" t="str">
        <f t="shared" si="71"/>
        <v/>
      </c>
      <c r="AW100" s="10" t="str">
        <f t="shared" si="81"/>
        <v/>
      </c>
      <c r="AX100" s="71"/>
      <c r="AY100" s="7" t="str">
        <f>IF(ISERROR(IF($K100&lt;=$F$15,VLOOKUP($I100,'表4）CO2価格'!$A$7:$E$67,VLOOKUP($F$48,'表4）CO2価格'!$H$10:$I$12,2,0),0)*$F$8/1000,"")),0,IF($K100&lt;=$F$15,VLOOKUP($I100,'表4）CO2価格'!$A$7:$E$67,VLOOKUP($F$48,'表4）CO2価格'!$H$10:$I$12,2,0),0)*$F$8/1000,""))</f>
        <v/>
      </c>
      <c r="AZ100" s="71"/>
      <c r="BA100" s="11" t="str">
        <f t="shared" si="72"/>
        <v/>
      </c>
      <c r="BB100" s="10" t="str">
        <f t="shared" si="82"/>
        <v/>
      </c>
      <c r="BC100" s="71"/>
      <c r="BD100" s="10" t="str">
        <f t="shared" si="73"/>
        <v/>
      </c>
      <c r="BE100" s="10" t="str">
        <f t="shared" si="83"/>
        <v/>
      </c>
      <c r="BF100" s="71"/>
      <c r="BG100" s="11" t="str">
        <f t="shared" si="74"/>
        <v/>
      </c>
      <c r="BH100" s="10" t="str">
        <f t="shared" si="84"/>
        <v/>
      </c>
      <c r="BJ100" s="7" t="str">
        <f t="shared" si="85"/>
        <v/>
      </c>
      <c r="BK100" s="158" t="str">
        <f t="shared" si="86"/>
        <v/>
      </c>
      <c r="BL100" s="158" t="str">
        <f t="shared" si="75"/>
        <v/>
      </c>
      <c r="BM100" s="10"/>
      <c r="BN100" s="10" t="str">
        <f t="shared" si="87"/>
        <v/>
      </c>
      <c r="BO100" s="10" t="str">
        <f t="shared" si="88"/>
        <v/>
      </c>
      <c r="BQ100" s="10" t="str">
        <f t="shared" si="76"/>
        <v/>
      </c>
      <c r="BR100" s="10" t="str">
        <f t="shared" si="89"/>
        <v/>
      </c>
    </row>
    <row r="101" spans="4:70" x14ac:dyDescent="0.15">
      <c r="D101" s="101" t="s">
        <v>201</v>
      </c>
      <c r="E101" s="101"/>
      <c r="F101" s="92"/>
      <c r="G101" s="101"/>
      <c r="I101" s="458">
        <f t="shared" si="90"/>
        <v>2116</v>
      </c>
      <c r="J101" s="39"/>
      <c r="K101" s="39">
        <f t="shared" si="91"/>
        <v>87</v>
      </c>
      <c r="L101" s="39"/>
      <c r="M101" s="40">
        <f t="shared" si="61"/>
        <v>7.6411979526658208E-2</v>
      </c>
      <c r="N101" s="39"/>
      <c r="O101" s="72" t="str">
        <f t="shared" si="77"/>
        <v/>
      </c>
      <c r="P101" s="41" t="str">
        <f t="shared" si="62"/>
        <v/>
      </c>
      <c r="Q101" s="39"/>
      <c r="R101" s="72" t="str">
        <f t="shared" si="78"/>
        <v/>
      </c>
      <c r="S101" s="39"/>
      <c r="T101" s="72" t="str">
        <f t="shared" si="79"/>
        <v/>
      </c>
      <c r="U101" s="39"/>
      <c r="V101" s="72" t="str">
        <f t="shared" si="63"/>
        <v/>
      </c>
      <c r="W101" s="72" t="str">
        <f t="shared" si="92"/>
        <v/>
      </c>
      <c r="X101" s="39"/>
      <c r="Y101" s="72" t="str">
        <f t="shared" si="64"/>
        <v/>
      </c>
      <c r="Z101" s="72" t="str">
        <f t="shared" si="93"/>
        <v/>
      </c>
      <c r="AA101" s="39"/>
      <c r="AB101" s="72" t="str">
        <f t="shared" si="65"/>
        <v/>
      </c>
      <c r="AC101" s="72" t="str">
        <f t="shared" si="94"/>
        <v/>
      </c>
      <c r="AD101" s="39"/>
      <c r="AE101" s="72" t="str">
        <f t="shared" si="66"/>
        <v/>
      </c>
      <c r="AF101" s="72" t="str">
        <f t="shared" si="95"/>
        <v/>
      </c>
      <c r="AG101" s="39"/>
      <c r="AH101" s="72" t="str">
        <f t="shared" si="67"/>
        <v/>
      </c>
      <c r="AI101" s="72" t="str">
        <f t="shared" si="96"/>
        <v/>
      </c>
      <c r="AJ101" s="39"/>
      <c r="AK101" s="72" t="str">
        <f t="shared" si="68"/>
        <v/>
      </c>
      <c r="AL101" s="72" t="str">
        <f t="shared" si="97"/>
        <v/>
      </c>
      <c r="AM101" s="39"/>
      <c r="AN101" s="72" t="str">
        <f t="shared" si="69"/>
        <v/>
      </c>
      <c r="AO101" s="72" t="str">
        <f t="shared" si="98"/>
        <v/>
      </c>
      <c r="AP101" s="39"/>
      <c r="AQ101" s="72" t="str">
        <f t="shared" si="70"/>
        <v/>
      </c>
      <c r="AR101" s="72" t="str">
        <f t="shared" si="80"/>
        <v/>
      </c>
      <c r="AS101" s="39"/>
      <c r="AT101" s="40" t="str">
        <f>IF($K101&lt;=$F$15,IF($F$40&lt;&gt;"",$F$40/1000,IF(ISERROR(VLOOKUP($F$3&amp;IF($G$4&lt;&gt;"",$G$4,"")&amp;IF($F$43&lt;&gt;"","_"&amp;$F$43,""),'表3）燃料価格'!$AF$9:$AG$25,2,0)),0,VLOOKUP($I101,'表3）燃料価格'!$A$6:$U$66,VLOOKUP($F$3&amp;IF($G$4&lt;&gt;"",$G$4,"")&amp;IF($F$43&lt;&gt;"","_"&amp;$F$43,""),'表3）燃料価格'!$AF$9:$AG$25,2,0)+VLOOKUP($F$41,'表3）燃料価格'!$AF$28:$AG$29,2,0),0)*IF($F$43="需要地価格",1,$F$8/$F$141))),"")</f>
        <v/>
      </c>
      <c r="AU101" s="39"/>
      <c r="AV101" s="72" t="str">
        <f t="shared" si="71"/>
        <v/>
      </c>
      <c r="AW101" s="72" t="str">
        <f t="shared" si="81"/>
        <v/>
      </c>
      <c r="AX101" s="39"/>
      <c r="AY101" s="40" t="str">
        <f>IF(ISERROR(IF($K101&lt;=$F$15,VLOOKUP($I101,'表4）CO2価格'!$A$7:$E$67,VLOOKUP($F$48,'表4）CO2価格'!$H$10:$I$12,2,0),0)*$F$8/1000,"")),0,IF($K101&lt;=$F$15,VLOOKUP($I101,'表4）CO2価格'!$A$7:$E$67,VLOOKUP($F$48,'表4）CO2価格'!$H$10:$I$12,2,0),0)*$F$8/1000,""))</f>
        <v/>
      </c>
      <c r="AZ101" s="39"/>
      <c r="BA101" s="42" t="str">
        <f t="shared" si="72"/>
        <v/>
      </c>
      <c r="BB101" s="72" t="str">
        <f t="shared" si="82"/>
        <v/>
      </c>
      <c r="BC101" s="39"/>
      <c r="BD101" s="72" t="str">
        <f t="shared" si="73"/>
        <v/>
      </c>
      <c r="BE101" s="72" t="str">
        <f t="shared" si="83"/>
        <v/>
      </c>
      <c r="BF101" s="39"/>
      <c r="BG101" s="42" t="str">
        <f t="shared" si="74"/>
        <v/>
      </c>
      <c r="BH101" s="72" t="str">
        <f t="shared" si="84"/>
        <v/>
      </c>
      <c r="BI101" s="39"/>
      <c r="BJ101" s="40" t="str">
        <f t="shared" si="85"/>
        <v/>
      </c>
      <c r="BK101" s="157" t="str">
        <f t="shared" si="86"/>
        <v/>
      </c>
      <c r="BL101" s="157" t="str">
        <f t="shared" si="75"/>
        <v/>
      </c>
      <c r="BM101" s="72"/>
      <c r="BN101" s="72" t="str">
        <f t="shared" si="87"/>
        <v/>
      </c>
      <c r="BO101" s="72" t="str">
        <f t="shared" si="88"/>
        <v/>
      </c>
      <c r="BP101" s="39"/>
      <c r="BQ101" s="72" t="str">
        <f t="shared" si="76"/>
        <v/>
      </c>
      <c r="BR101" s="72" t="str">
        <f t="shared" si="89"/>
        <v/>
      </c>
    </row>
    <row r="102" spans="4:70" x14ac:dyDescent="0.15">
      <c r="F102" s="93"/>
      <c r="I102" s="459">
        <f t="shared" si="90"/>
        <v>2117</v>
      </c>
      <c r="J102" s="71"/>
      <c r="K102" s="71">
        <f t="shared" si="91"/>
        <v>88</v>
      </c>
      <c r="L102" s="71"/>
      <c r="M102" s="7">
        <f t="shared" si="61"/>
        <v>7.4186387889959446E-2</v>
      </c>
      <c r="N102" s="71"/>
      <c r="O102" s="10" t="str">
        <f t="shared" si="77"/>
        <v/>
      </c>
      <c r="P102" s="29" t="str">
        <f t="shared" si="62"/>
        <v/>
      </c>
      <c r="Q102" s="71"/>
      <c r="R102" s="10" t="str">
        <f t="shared" si="78"/>
        <v/>
      </c>
      <c r="S102" s="71"/>
      <c r="T102" s="10" t="str">
        <f t="shared" si="79"/>
        <v/>
      </c>
      <c r="U102" s="71"/>
      <c r="V102" s="10" t="str">
        <f t="shared" si="63"/>
        <v/>
      </c>
      <c r="W102" s="10" t="str">
        <f t="shared" si="92"/>
        <v/>
      </c>
      <c r="X102" s="71"/>
      <c r="Y102" s="10" t="str">
        <f t="shared" si="64"/>
        <v/>
      </c>
      <c r="Z102" s="10" t="str">
        <f t="shared" si="93"/>
        <v/>
      </c>
      <c r="AA102" s="71"/>
      <c r="AB102" s="10" t="str">
        <f t="shared" si="65"/>
        <v/>
      </c>
      <c r="AC102" s="10" t="str">
        <f t="shared" si="94"/>
        <v/>
      </c>
      <c r="AD102" s="71"/>
      <c r="AE102" s="10" t="str">
        <f t="shared" si="66"/>
        <v/>
      </c>
      <c r="AF102" s="10" t="str">
        <f t="shared" si="95"/>
        <v/>
      </c>
      <c r="AG102" s="71"/>
      <c r="AH102" s="10" t="str">
        <f t="shared" si="67"/>
        <v/>
      </c>
      <c r="AI102" s="10" t="str">
        <f t="shared" si="96"/>
        <v/>
      </c>
      <c r="AJ102" s="71"/>
      <c r="AK102" s="10" t="str">
        <f t="shared" si="68"/>
        <v/>
      </c>
      <c r="AL102" s="10" t="str">
        <f t="shared" si="97"/>
        <v/>
      </c>
      <c r="AM102" s="71"/>
      <c r="AN102" s="10" t="str">
        <f t="shared" si="69"/>
        <v/>
      </c>
      <c r="AO102" s="10" t="str">
        <f t="shared" si="98"/>
        <v/>
      </c>
      <c r="AP102" s="71"/>
      <c r="AQ102" s="10" t="str">
        <f t="shared" si="70"/>
        <v/>
      </c>
      <c r="AR102" s="10" t="str">
        <f t="shared" si="80"/>
        <v/>
      </c>
      <c r="AS102" s="71"/>
      <c r="AT102" s="7" t="str">
        <f>IF($K102&lt;=$F$15,IF($F$40&lt;&gt;"",$F$40/1000,IF(ISERROR(VLOOKUP($F$3&amp;IF($G$4&lt;&gt;"",$G$4,"")&amp;IF($F$43&lt;&gt;"","_"&amp;$F$43,""),'表3）燃料価格'!$AF$9:$AG$25,2,0)),0,VLOOKUP($I102,'表3）燃料価格'!$A$6:$U$66,VLOOKUP($F$3&amp;IF($G$4&lt;&gt;"",$G$4,"")&amp;IF($F$43&lt;&gt;"","_"&amp;$F$43,""),'表3）燃料価格'!$AF$9:$AG$25,2,0)+VLOOKUP($F$41,'表3）燃料価格'!$AF$28:$AG$29,2,0),0)*IF($F$43="需要地価格",1,$F$8/$F$141))),"")</f>
        <v/>
      </c>
      <c r="AU102" s="71"/>
      <c r="AV102" s="10" t="str">
        <f t="shared" si="71"/>
        <v/>
      </c>
      <c r="AW102" s="10" t="str">
        <f t="shared" si="81"/>
        <v/>
      </c>
      <c r="AX102" s="71"/>
      <c r="AY102" s="7" t="str">
        <f>IF(ISERROR(IF($K102&lt;=$F$15,VLOOKUP($I102,'表4）CO2価格'!$A$7:$E$67,VLOOKUP($F$48,'表4）CO2価格'!$H$10:$I$12,2,0),0)*$F$8/1000,"")),0,IF($K102&lt;=$F$15,VLOOKUP($I102,'表4）CO2価格'!$A$7:$E$67,VLOOKUP($F$48,'表4）CO2価格'!$H$10:$I$12,2,0),0)*$F$8/1000,""))</f>
        <v/>
      </c>
      <c r="AZ102" s="71"/>
      <c r="BA102" s="11" t="str">
        <f t="shared" si="72"/>
        <v/>
      </c>
      <c r="BB102" s="10" t="str">
        <f t="shared" si="82"/>
        <v/>
      </c>
      <c r="BC102" s="71"/>
      <c r="BD102" s="10" t="str">
        <f t="shared" si="73"/>
        <v/>
      </c>
      <c r="BE102" s="10" t="str">
        <f t="shared" si="83"/>
        <v/>
      </c>
      <c r="BF102" s="71"/>
      <c r="BG102" s="11" t="str">
        <f t="shared" si="74"/>
        <v/>
      </c>
      <c r="BH102" s="10" t="str">
        <f t="shared" si="84"/>
        <v/>
      </c>
      <c r="BJ102" s="7" t="str">
        <f t="shared" si="85"/>
        <v/>
      </c>
      <c r="BK102" s="158" t="str">
        <f t="shared" si="86"/>
        <v/>
      </c>
      <c r="BL102" s="158" t="str">
        <f t="shared" si="75"/>
        <v/>
      </c>
      <c r="BM102" s="10"/>
      <c r="BN102" s="10" t="str">
        <f t="shared" si="87"/>
        <v/>
      </c>
      <c r="BO102" s="10" t="str">
        <f t="shared" si="88"/>
        <v/>
      </c>
      <c r="BQ102" s="10" t="str">
        <f t="shared" si="76"/>
        <v/>
      </c>
      <c r="BR102" s="10" t="str">
        <f t="shared" si="89"/>
        <v/>
      </c>
    </row>
    <row r="103" spans="4:70" x14ac:dyDescent="0.15">
      <c r="E103" s="81" t="s">
        <v>202</v>
      </c>
      <c r="F103" s="91">
        <f>BB116/$BR$116</f>
        <v>3.6606608875641409</v>
      </c>
      <c r="G103" s="81" t="s">
        <v>132</v>
      </c>
      <c r="I103" s="458">
        <f t="shared" si="90"/>
        <v>2118</v>
      </c>
      <c r="J103" s="39"/>
      <c r="K103" s="39">
        <f t="shared" si="91"/>
        <v>89</v>
      </c>
      <c r="L103" s="39"/>
      <c r="M103" s="40">
        <f t="shared" si="61"/>
        <v>7.2025619310640235E-2</v>
      </c>
      <c r="N103" s="39"/>
      <c r="O103" s="72" t="str">
        <f t="shared" si="77"/>
        <v/>
      </c>
      <c r="P103" s="41" t="str">
        <f t="shared" si="62"/>
        <v/>
      </c>
      <c r="Q103" s="39"/>
      <c r="R103" s="72" t="str">
        <f t="shared" si="78"/>
        <v/>
      </c>
      <c r="S103" s="39"/>
      <c r="T103" s="72" t="str">
        <f t="shared" si="79"/>
        <v/>
      </c>
      <c r="U103" s="39"/>
      <c r="V103" s="72" t="str">
        <f t="shared" si="63"/>
        <v/>
      </c>
      <c r="W103" s="72" t="str">
        <f t="shared" si="92"/>
        <v/>
      </c>
      <c r="X103" s="39"/>
      <c r="Y103" s="72" t="str">
        <f t="shared" si="64"/>
        <v/>
      </c>
      <c r="Z103" s="72" t="str">
        <f t="shared" si="93"/>
        <v/>
      </c>
      <c r="AA103" s="39"/>
      <c r="AB103" s="72" t="str">
        <f t="shared" si="65"/>
        <v/>
      </c>
      <c r="AC103" s="72" t="str">
        <f t="shared" si="94"/>
        <v/>
      </c>
      <c r="AD103" s="39"/>
      <c r="AE103" s="72" t="str">
        <f t="shared" si="66"/>
        <v/>
      </c>
      <c r="AF103" s="72" t="str">
        <f t="shared" si="95"/>
        <v/>
      </c>
      <c r="AG103" s="39"/>
      <c r="AH103" s="72" t="str">
        <f t="shared" si="67"/>
        <v/>
      </c>
      <c r="AI103" s="72" t="str">
        <f t="shared" si="96"/>
        <v/>
      </c>
      <c r="AJ103" s="39"/>
      <c r="AK103" s="72" t="str">
        <f t="shared" si="68"/>
        <v/>
      </c>
      <c r="AL103" s="72" t="str">
        <f t="shared" si="97"/>
        <v/>
      </c>
      <c r="AM103" s="39"/>
      <c r="AN103" s="72" t="str">
        <f t="shared" si="69"/>
        <v/>
      </c>
      <c r="AO103" s="72" t="str">
        <f t="shared" si="98"/>
        <v/>
      </c>
      <c r="AP103" s="39"/>
      <c r="AQ103" s="72" t="str">
        <f t="shared" si="70"/>
        <v/>
      </c>
      <c r="AR103" s="72" t="str">
        <f t="shared" si="80"/>
        <v/>
      </c>
      <c r="AS103" s="39"/>
      <c r="AT103" s="40" t="str">
        <f>IF($K103&lt;=$F$15,IF($F$40&lt;&gt;"",$F$40/1000,IF(ISERROR(VLOOKUP($F$3&amp;IF($G$4&lt;&gt;"",$G$4,"")&amp;IF($F$43&lt;&gt;"","_"&amp;$F$43,""),'表3）燃料価格'!$AF$9:$AG$25,2,0)),0,VLOOKUP($I103,'表3）燃料価格'!$A$6:$U$66,VLOOKUP($F$3&amp;IF($G$4&lt;&gt;"",$G$4,"")&amp;IF($F$43&lt;&gt;"","_"&amp;$F$43,""),'表3）燃料価格'!$AF$9:$AG$25,2,0)+VLOOKUP($F$41,'表3）燃料価格'!$AF$28:$AG$29,2,0),0)*IF($F$43="需要地価格",1,$F$8/$F$141))),"")</f>
        <v/>
      </c>
      <c r="AU103" s="39"/>
      <c r="AV103" s="72" t="str">
        <f t="shared" si="71"/>
        <v/>
      </c>
      <c r="AW103" s="72" t="str">
        <f t="shared" si="81"/>
        <v/>
      </c>
      <c r="AX103" s="39"/>
      <c r="AY103" s="40" t="str">
        <f>IF(ISERROR(IF($K103&lt;=$F$15,VLOOKUP($I103,'表4）CO2価格'!$A$7:$E$67,VLOOKUP($F$48,'表4）CO2価格'!$H$10:$I$12,2,0),0)*$F$8/1000,"")),0,IF($K103&lt;=$F$15,VLOOKUP($I103,'表4）CO2価格'!$A$7:$E$67,VLOOKUP($F$48,'表4）CO2価格'!$H$10:$I$12,2,0),0)*$F$8/1000,""))</f>
        <v/>
      </c>
      <c r="AZ103" s="39"/>
      <c r="BA103" s="42" t="str">
        <f t="shared" si="72"/>
        <v/>
      </c>
      <c r="BB103" s="72" t="str">
        <f t="shared" si="82"/>
        <v/>
      </c>
      <c r="BC103" s="39"/>
      <c r="BD103" s="72" t="str">
        <f t="shared" si="73"/>
        <v/>
      </c>
      <c r="BE103" s="72" t="str">
        <f t="shared" si="83"/>
        <v/>
      </c>
      <c r="BF103" s="39"/>
      <c r="BG103" s="42" t="str">
        <f t="shared" si="74"/>
        <v/>
      </c>
      <c r="BH103" s="72" t="str">
        <f t="shared" si="84"/>
        <v/>
      </c>
      <c r="BI103" s="39"/>
      <c r="BJ103" s="40" t="str">
        <f t="shared" si="85"/>
        <v/>
      </c>
      <c r="BK103" s="157" t="str">
        <f t="shared" si="86"/>
        <v/>
      </c>
      <c r="BL103" s="157" t="str">
        <f t="shared" si="75"/>
        <v/>
      </c>
      <c r="BM103" s="72"/>
      <c r="BN103" s="72" t="str">
        <f t="shared" si="87"/>
        <v/>
      </c>
      <c r="BO103" s="72" t="str">
        <f t="shared" si="88"/>
        <v/>
      </c>
      <c r="BP103" s="39"/>
      <c r="BQ103" s="72" t="str">
        <f t="shared" si="76"/>
        <v/>
      </c>
      <c r="BR103" s="72" t="str">
        <f t="shared" si="89"/>
        <v/>
      </c>
    </row>
    <row r="104" spans="4:70" x14ac:dyDescent="0.15">
      <c r="E104" s="81" t="s">
        <v>203</v>
      </c>
      <c r="F104" s="91">
        <f>IF(ISERROR(F60*(1/F61)/F62),0,F60*(1/F61)/F62)</f>
        <v>0</v>
      </c>
      <c r="G104" s="81" t="s">
        <v>132</v>
      </c>
      <c r="I104" s="459">
        <f t="shared" si="90"/>
        <v>2119</v>
      </c>
      <c r="J104" s="71"/>
      <c r="K104" s="71">
        <f t="shared" si="91"/>
        <v>90</v>
      </c>
      <c r="L104" s="71"/>
      <c r="M104" s="7">
        <f t="shared" si="61"/>
        <v>6.9927785738485654E-2</v>
      </c>
      <c r="N104" s="71"/>
      <c r="O104" s="10" t="str">
        <f t="shared" si="77"/>
        <v/>
      </c>
      <c r="P104" s="29" t="str">
        <f t="shared" si="62"/>
        <v/>
      </c>
      <c r="Q104" s="71"/>
      <c r="R104" s="10" t="str">
        <f t="shared" si="78"/>
        <v/>
      </c>
      <c r="S104" s="71"/>
      <c r="T104" s="10" t="str">
        <f t="shared" si="79"/>
        <v/>
      </c>
      <c r="U104" s="71"/>
      <c r="V104" s="10" t="str">
        <f t="shared" si="63"/>
        <v/>
      </c>
      <c r="W104" s="10" t="str">
        <f t="shared" si="92"/>
        <v/>
      </c>
      <c r="X104" s="71"/>
      <c r="Y104" s="10" t="str">
        <f t="shared" si="64"/>
        <v/>
      </c>
      <c r="Z104" s="10" t="str">
        <f t="shared" si="93"/>
        <v/>
      </c>
      <c r="AA104" s="71"/>
      <c r="AB104" s="10" t="str">
        <f t="shared" si="65"/>
        <v/>
      </c>
      <c r="AC104" s="10" t="str">
        <f t="shared" si="94"/>
        <v/>
      </c>
      <c r="AD104" s="71"/>
      <c r="AE104" s="10" t="str">
        <f t="shared" si="66"/>
        <v/>
      </c>
      <c r="AF104" s="10" t="str">
        <f t="shared" si="95"/>
        <v/>
      </c>
      <c r="AG104" s="71"/>
      <c r="AH104" s="10" t="str">
        <f t="shared" si="67"/>
        <v/>
      </c>
      <c r="AI104" s="10" t="str">
        <f t="shared" si="96"/>
        <v/>
      </c>
      <c r="AJ104" s="71"/>
      <c r="AK104" s="10" t="str">
        <f t="shared" si="68"/>
        <v/>
      </c>
      <c r="AL104" s="10" t="str">
        <f t="shared" si="97"/>
        <v/>
      </c>
      <c r="AM104" s="71"/>
      <c r="AN104" s="10" t="str">
        <f t="shared" si="69"/>
        <v/>
      </c>
      <c r="AO104" s="10" t="str">
        <f t="shared" si="98"/>
        <v/>
      </c>
      <c r="AP104" s="71"/>
      <c r="AQ104" s="10" t="str">
        <f t="shared" si="70"/>
        <v/>
      </c>
      <c r="AR104" s="10" t="str">
        <f t="shared" si="80"/>
        <v/>
      </c>
      <c r="AS104" s="71"/>
      <c r="AT104" s="7" t="str">
        <f>IF($K104&lt;=$F$15,IF($F$40&lt;&gt;"",$F$40/1000,IF(ISERROR(VLOOKUP($F$3&amp;IF($G$4&lt;&gt;"",$G$4,"")&amp;IF($F$43&lt;&gt;"","_"&amp;$F$43,""),'表3）燃料価格'!$AF$9:$AG$25,2,0)),0,VLOOKUP($I104,'表3）燃料価格'!$A$6:$U$66,VLOOKUP($F$3&amp;IF($G$4&lt;&gt;"",$G$4,"")&amp;IF($F$43&lt;&gt;"","_"&amp;$F$43,""),'表3）燃料価格'!$AF$9:$AG$25,2,0)+VLOOKUP($F$41,'表3）燃料価格'!$AF$28:$AG$29,2,0),0)*IF($F$43="需要地価格",1,$F$8/$F$141))),"")</f>
        <v/>
      </c>
      <c r="AU104" s="71"/>
      <c r="AV104" s="10" t="str">
        <f t="shared" si="71"/>
        <v/>
      </c>
      <c r="AW104" s="10" t="str">
        <f t="shared" si="81"/>
        <v/>
      </c>
      <c r="AX104" s="71"/>
      <c r="AY104" s="7" t="str">
        <f>IF(ISERROR(IF($K104&lt;=$F$15,VLOOKUP($I104,'表4）CO2価格'!$A$7:$E$67,VLOOKUP($F$48,'表4）CO2価格'!$H$10:$I$12,2,0),0)*$F$8/1000,"")),0,IF($K104&lt;=$F$15,VLOOKUP($I104,'表4）CO2価格'!$A$7:$E$67,VLOOKUP($F$48,'表4）CO2価格'!$H$10:$I$12,2,0),0)*$F$8/1000,""))</f>
        <v/>
      </c>
      <c r="AZ104" s="71"/>
      <c r="BA104" s="11" t="str">
        <f t="shared" si="72"/>
        <v/>
      </c>
      <c r="BB104" s="10" t="str">
        <f t="shared" si="82"/>
        <v/>
      </c>
      <c r="BC104" s="71"/>
      <c r="BD104" s="10" t="str">
        <f t="shared" si="73"/>
        <v/>
      </c>
      <c r="BE104" s="10" t="str">
        <f t="shared" si="83"/>
        <v/>
      </c>
      <c r="BF104" s="71"/>
      <c r="BG104" s="11" t="str">
        <f t="shared" si="74"/>
        <v/>
      </c>
      <c r="BH104" s="10" t="str">
        <f t="shared" si="84"/>
        <v/>
      </c>
      <c r="BJ104" s="7" t="str">
        <f t="shared" si="85"/>
        <v/>
      </c>
      <c r="BK104" s="158" t="str">
        <f t="shared" si="86"/>
        <v/>
      </c>
      <c r="BL104" s="158" t="str">
        <f t="shared" si="75"/>
        <v/>
      </c>
      <c r="BM104" s="10"/>
      <c r="BN104" s="10" t="str">
        <f t="shared" si="87"/>
        <v/>
      </c>
      <c r="BO104" s="10" t="str">
        <f t="shared" si="88"/>
        <v/>
      </c>
      <c r="BQ104" s="10" t="str">
        <f t="shared" si="76"/>
        <v/>
      </c>
      <c r="BR104" s="10" t="str">
        <f t="shared" si="89"/>
        <v/>
      </c>
    </row>
    <row r="105" spans="4:70" x14ac:dyDescent="0.15">
      <c r="E105" s="9" t="s">
        <v>367</v>
      </c>
      <c r="F105" s="91">
        <f>F64</f>
        <v>0.12</v>
      </c>
      <c r="G105" s="81" t="s">
        <v>132</v>
      </c>
      <c r="I105" s="458">
        <f t="shared" si="90"/>
        <v>2120</v>
      </c>
      <c r="J105" s="39"/>
      <c r="K105" s="39">
        <f t="shared" si="91"/>
        <v>91</v>
      </c>
      <c r="L105" s="39"/>
      <c r="M105" s="40">
        <f t="shared" si="61"/>
        <v>6.7891054115034627E-2</v>
      </c>
      <c r="N105" s="39"/>
      <c r="O105" s="72" t="str">
        <f t="shared" si="77"/>
        <v/>
      </c>
      <c r="P105" s="41" t="str">
        <f t="shared" si="62"/>
        <v/>
      </c>
      <c r="Q105" s="39"/>
      <c r="R105" s="72" t="str">
        <f t="shared" si="78"/>
        <v/>
      </c>
      <c r="S105" s="39"/>
      <c r="T105" s="72" t="str">
        <f t="shared" si="79"/>
        <v/>
      </c>
      <c r="U105" s="39"/>
      <c r="V105" s="72" t="str">
        <f t="shared" si="63"/>
        <v/>
      </c>
      <c r="W105" s="72" t="str">
        <f t="shared" si="92"/>
        <v/>
      </c>
      <c r="X105" s="39"/>
      <c r="Y105" s="72" t="str">
        <f t="shared" si="64"/>
        <v/>
      </c>
      <c r="Z105" s="72" t="str">
        <f t="shared" si="93"/>
        <v/>
      </c>
      <c r="AA105" s="39"/>
      <c r="AB105" s="72" t="str">
        <f t="shared" si="65"/>
        <v/>
      </c>
      <c r="AC105" s="72" t="str">
        <f t="shared" si="94"/>
        <v/>
      </c>
      <c r="AD105" s="39"/>
      <c r="AE105" s="72" t="str">
        <f t="shared" si="66"/>
        <v/>
      </c>
      <c r="AF105" s="72" t="str">
        <f t="shared" si="95"/>
        <v/>
      </c>
      <c r="AG105" s="39"/>
      <c r="AH105" s="72" t="str">
        <f t="shared" si="67"/>
        <v/>
      </c>
      <c r="AI105" s="72" t="str">
        <f t="shared" si="96"/>
        <v/>
      </c>
      <c r="AJ105" s="39"/>
      <c r="AK105" s="72" t="str">
        <f t="shared" si="68"/>
        <v/>
      </c>
      <c r="AL105" s="72" t="str">
        <f t="shared" si="97"/>
        <v/>
      </c>
      <c r="AM105" s="39"/>
      <c r="AN105" s="72" t="str">
        <f t="shared" si="69"/>
        <v/>
      </c>
      <c r="AO105" s="72" t="str">
        <f t="shared" si="98"/>
        <v/>
      </c>
      <c r="AP105" s="39"/>
      <c r="AQ105" s="72" t="str">
        <f t="shared" si="70"/>
        <v/>
      </c>
      <c r="AR105" s="72" t="str">
        <f t="shared" si="80"/>
        <v/>
      </c>
      <c r="AS105" s="39"/>
      <c r="AT105" s="40" t="str">
        <f>IF($K105&lt;=$F$15,IF($F$40&lt;&gt;"",$F$40/1000,IF(ISERROR(VLOOKUP($F$3&amp;IF($G$4&lt;&gt;"",$G$4,"")&amp;IF($F$43&lt;&gt;"","_"&amp;$F$43,""),'表3）燃料価格'!$AF$9:$AG$25,2,0)),0,VLOOKUP($I105,'表3）燃料価格'!$A$6:$U$66,VLOOKUP($F$3&amp;IF($G$4&lt;&gt;"",$G$4,"")&amp;IF($F$43&lt;&gt;"","_"&amp;$F$43,""),'表3）燃料価格'!$AF$9:$AG$25,2,0)+VLOOKUP($F$41,'表3）燃料価格'!$AF$28:$AG$29,2,0),0)*IF($F$43="需要地価格",1,$F$8/$F$141))),"")</f>
        <v/>
      </c>
      <c r="AU105" s="39"/>
      <c r="AV105" s="72" t="str">
        <f t="shared" si="71"/>
        <v/>
      </c>
      <c r="AW105" s="72" t="str">
        <f t="shared" si="81"/>
        <v/>
      </c>
      <c r="AX105" s="39"/>
      <c r="AY105" s="40" t="str">
        <f>IF(ISERROR(IF($K105&lt;=$F$15,VLOOKUP($I105,'表4）CO2価格'!$A$7:$E$67,VLOOKUP($F$48,'表4）CO2価格'!$H$10:$I$12,2,0),0)*$F$8/1000,"")),0,IF($K105&lt;=$F$15,VLOOKUP($I105,'表4）CO2価格'!$A$7:$E$67,VLOOKUP($F$48,'表4）CO2価格'!$H$10:$I$12,2,0),0)*$F$8/1000,""))</f>
        <v/>
      </c>
      <c r="AZ105" s="39"/>
      <c r="BA105" s="42" t="str">
        <f t="shared" si="72"/>
        <v/>
      </c>
      <c r="BB105" s="72" t="str">
        <f t="shared" si="82"/>
        <v/>
      </c>
      <c r="BC105" s="39"/>
      <c r="BD105" s="72" t="str">
        <f t="shared" si="73"/>
        <v/>
      </c>
      <c r="BE105" s="72" t="str">
        <f t="shared" si="83"/>
        <v/>
      </c>
      <c r="BF105" s="39"/>
      <c r="BG105" s="42" t="str">
        <f t="shared" si="74"/>
        <v/>
      </c>
      <c r="BH105" s="72" t="str">
        <f t="shared" si="84"/>
        <v/>
      </c>
      <c r="BI105" s="39"/>
      <c r="BJ105" s="40" t="str">
        <f t="shared" si="85"/>
        <v/>
      </c>
      <c r="BK105" s="157" t="str">
        <f t="shared" si="86"/>
        <v/>
      </c>
      <c r="BL105" s="157" t="str">
        <f t="shared" si="75"/>
        <v/>
      </c>
      <c r="BM105" s="72"/>
      <c r="BN105" s="72" t="str">
        <f t="shared" si="87"/>
        <v/>
      </c>
      <c r="BO105" s="72" t="str">
        <f t="shared" si="88"/>
        <v/>
      </c>
      <c r="BP105" s="39"/>
      <c r="BQ105" s="72" t="str">
        <f t="shared" si="76"/>
        <v/>
      </c>
      <c r="BR105" s="72" t="str">
        <f t="shared" si="89"/>
        <v/>
      </c>
    </row>
    <row r="106" spans="4:70" x14ac:dyDescent="0.15">
      <c r="F106" s="93"/>
      <c r="I106" s="459">
        <f t="shared" si="90"/>
        <v>2121</v>
      </c>
      <c r="J106" s="71"/>
      <c r="K106" s="71">
        <f t="shared" si="91"/>
        <v>92</v>
      </c>
      <c r="L106" s="71"/>
      <c r="M106" s="7">
        <f t="shared" si="61"/>
        <v>6.5913644771878277E-2</v>
      </c>
      <c r="N106" s="71"/>
      <c r="O106" s="10" t="str">
        <f t="shared" si="77"/>
        <v/>
      </c>
      <c r="P106" s="29" t="str">
        <f t="shared" si="62"/>
        <v/>
      </c>
      <c r="Q106" s="71"/>
      <c r="R106" s="10" t="str">
        <f t="shared" si="78"/>
        <v/>
      </c>
      <c r="S106" s="71"/>
      <c r="T106" s="10" t="str">
        <f t="shared" si="79"/>
        <v/>
      </c>
      <c r="U106" s="71"/>
      <c r="V106" s="10" t="str">
        <f t="shared" si="63"/>
        <v/>
      </c>
      <c r="W106" s="10" t="str">
        <f t="shared" si="92"/>
        <v/>
      </c>
      <c r="X106" s="71"/>
      <c r="Y106" s="10" t="str">
        <f t="shared" si="64"/>
        <v/>
      </c>
      <c r="Z106" s="10" t="str">
        <f t="shared" si="93"/>
        <v/>
      </c>
      <c r="AA106" s="71"/>
      <c r="AB106" s="10" t="str">
        <f t="shared" si="65"/>
        <v/>
      </c>
      <c r="AC106" s="10" t="str">
        <f t="shared" si="94"/>
        <v/>
      </c>
      <c r="AD106" s="71"/>
      <c r="AE106" s="10" t="str">
        <f t="shared" si="66"/>
        <v/>
      </c>
      <c r="AF106" s="10" t="str">
        <f t="shared" si="95"/>
        <v/>
      </c>
      <c r="AG106" s="71"/>
      <c r="AH106" s="10" t="str">
        <f t="shared" si="67"/>
        <v/>
      </c>
      <c r="AI106" s="10" t="str">
        <f t="shared" si="96"/>
        <v/>
      </c>
      <c r="AJ106" s="71"/>
      <c r="AK106" s="10" t="str">
        <f t="shared" si="68"/>
        <v/>
      </c>
      <c r="AL106" s="10" t="str">
        <f t="shared" si="97"/>
        <v/>
      </c>
      <c r="AM106" s="71"/>
      <c r="AN106" s="10" t="str">
        <f t="shared" si="69"/>
        <v/>
      </c>
      <c r="AO106" s="10" t="str">
        <f t="shared" si="98"/>
        <v/>
      </c>
      <c r="AP106" s="71"/>
      <c r="AQ106" s="10" t="str">
        <f t="shared" si="70"/>
        <v/>
      </c>
      <c r="AR106" s="10" t="str">
        <f t="shared" si="80"/>
        <v/>
      </c>
      <c r="AS106" s="71"/>
      <c r="AT106" s="7" t="str">
        <f>IF($K106&lt;=$F$15,IF($F$40&lt;&gt;"",$F$40/1000,IF(ISERROR(VLOOKUP($F$3&amp;IF($G$4&lt;&gt;"",$G$4,"")&amp;IF($F$43&lt;&gt;"","_"&amp;$F$43,""),'表3）燃料価格'!$AF$9:$AG$25,2,0)),0,VLOOKUP($I106,'表3）燃料価格'!$A$6:$U$66,VLOOKUP($F$3&amp;IF($G$4&lt;&gt;"",$G$4,"")&amp;IF($F$43&lt;&gt;"","_"&amp;$F$43,""),'表3）燃料価格'!$AF$9:$AG$25,2,0)+VLOOKUP($F$41,'表3）燃料価格'!$AF$28:$AG$29,2,0),0)*IF($F$43="需要地価格",1,$F$8/$F$141))),"")</f>
        <v/>
      </c>
      <c r="AU106" s="71"/>
      <c r="AV106" s="10" t="str">
        <f t="shared" si="71"/>
        <v/>
      </c>
      <c r="AW106" s="10" t="str">
        <f t="shared" si="81"/>
        <v/>
      </c>
      <c r="AX106" s="71"/>
      <c r="AY106" s="7" t="str">
        <f>IF(ISERROR(IF($K106&lt;=$F$15,VLOOKUP($I106,'表4）CO2価格'!$A$7:$E$67,VLOOKUP($F$48,'表4）CO2価格'!$H$10:$I$12,2,0),0)*$F$8/1000,"")),0,IF($K106&lt;=$F$15,VLOOKUP($I106,'表4）CO2価格'!$A$7:$E$67,VLOOKUP($F$48,'表4）CO2価格'!$H$10:$I$12,2,0),0)*$F$8/1000,""))</f>
        <v/>
      </c>
      <c r="AZ106" s="71"/>
      <c r="BA106" s="11" t="str">
        <f t="shared" si="72"/>
        <v/>
      </c>
      <c r="BB106" s="10" t="str">
        <f t="shared" si="82"/>
        <v/>
      </c>
      <c r="BC106" s="71"/>
      <c r="BD106" s="10" t="str">
        <f t="shared" si="73"/>
        <v/>
      </c>
      <c r="BE106" s="10" t="str">
        <f t="shared" si="83"/>
        <v/>
      </c>
      <c r="BF106" s="71"/>
      <c r="BG106" s="11" t="str">
        <f t="shared" si="74"/>
        <v/>
      </c>
      <c r="BH106" s="10" t="str">
        <f t="shared" si="84"/>
        <v/>
      </c>
      <c r="BJ106" s="7" t="str">
        <f t="shared" si="85"/>
        <v/>
      </c>
      <c r="BK106" s="158" t="str">
        <f t="shared" si="86"/>
        <v/>
      </c>
      <c r="BL106" s="158" t="str">
        <f t="shared" si="75"/>
        <v/>
      </c>
      <c r="BM106" s="10"/>
      <c r="BN106" s="10" t="str">
        <f t="shared" si="87"/>
        <v/>
      </c>
      <c r="BO106" s="10" t="str">
        <f t="shared" si="88"/>
        <v/>
      </c>
      <c r="BQ106" s="10" t="str">
        <f t="shared" si="76"/>
        <v/>
      </c>
      <c r="BR106" s="10" t="str">
        <f t="shared" si="89"/>
        <v/>
      </c>
    </row>
    <row r="107" spans="4:70" ht="15" x14ac:dyDescent="0.15">
      <c r="D107" s="116" t="s">
        <v>204</v>
      </c>
      <c r="F107" s="94">
        <f>SUBTOTAL(9,F111:F112)</f>
        <v>0</v>
      </c>
      <c r="G107" s="81" t="s">
        <v>132</v>
      </c>
      <c r="I107" s="458">
        <f t="shared" si="90"/>
        <v>2122</v>
      </c>
      <c r="J107" s="39"/>
      <c r="K107" s="39">
        <f t="shared" si="91"/>
        <v>93</v>
      </c>
      <c r="L107" s="39"/>
      <c r="M107" s="40">
        <f t="shared" si="61"/>
        <v>6.3993829875609989E-2</v>
      </c>
      <c r="N107" s="39"/>
      <c r="O107" s="72" t="str">
        <f t="shared" si="77"/>
        <v/>
      </c>
      <c r="P107" s="41" t="str">
        <f t="shared" si="62"/>
        <v/>
      </c>
      <c r="Q107" s="39"/>
      <c r="R107" s="72" t="str">
        <f t="shared" si="78"/>
        <v/>
      </c>
      <c r="S107" s="39"/>
      <c r="T107" s="72" t="str">
        <f t="shared" si="79"/>
        <v/>
      </c>
      <c r="U107" s="39"/>
      <c r="V107" s="72" t="str">
        <f t="shared" si="63"/>
        <v/>
      </c>
      <c r="W107" s="72" t="str">
        <f t="shared" si="92"/>
        <v/>
      </c>
      <c r="X107" s="39"/>
      <c r="Y107" s="72" t="str">
        <f t="shared" si="64"/>
        <v/>
      </c>
      <c r="Z107" s="72" t="str">
        <f t="shared" si="93"/>
        <v/>
      </c>
      <c r="AA107" s="39"/>
      <c r="AB107" s="72" t="str">
        <f t="shared" si="65"/>
        <v/>
      </c>
      <c r="AC107" s="72" t="str">
        <f t="shared" si="94"/>
        <v/>
      </c>
      <c r="AD107" s="39"/>
      <c r="AE107" s="72" t="str">
        <f t="shared" si="66"/>
        <v/>
      </c>
      <c r="AF107" s="72" t="str">
        <f t="shared" si="95"/>
        <v/>
      </c>
      <c r="AG107" s="39"/>
      <c r="AH107" s="72" t="str">
        <f t="shared" si="67"/>
        <v/>
      </c>
      <c r="AI107" s="72" t="str">
        <f t="shared" si="96"/>
        <v/>
      </c>
      <c r="AJ107" s="39"/>
      <c r="AK107" s="72" t="str">
        <f t="shared" si="68"/>
        <v/>
      </c>
      <c r="AL107" s="72" t="str">
        <f t="shared" si="97"/>
        <v/>
      </c>
      <c r="AM107" s="39"/>
      <c r="AN107" s="72" t="str">
        <f t="shared" si="69"/>
        <v/>
      </c>
      <c r="AO107" s="72" t="str">
        <f t="shared" si="98"/>
        <v/>
      </c>
      <c r="AP107" s="39"/>
      <c r="AQ107" s="72" t="str">
        <f t="shared" si="70"/>
        <v/>
      </c>
      <c r="AR107" s="72" t="str">
        <f t="shared" si="80"/>
        <v/>
      </c>
      <c r="AS107" s="39"/>
      <c r="AT107" s="40" t="str">
        <f>IF($K107&lt;=$F$15,IF($F$40&lt;&gt;"",$F$40/1000,IF(ISERROR(VLOOKUP($F$3&amp;IF($G$4&lt;&gt;"",$G$4,"")&amp;IF($F$43&lt;&gt;"","_"&amp;$F$43,""),'表3）燃料価格'!$AF$9:$AG$25,2,0)),0,VLOOKUP($I107,'表3）燃料価格'!$A$6:$U$66,VLOOKUP($F$3&amp;IF($G$4&lt;&gt;"",$G$4,"")&amp;IF($F$43&lt;&gt;"","_"&amp;$F$43,""),'表3）燃料価格'!$AF$9:$AG$25,2,0)+VLOOKUP($F$41,'表3）燃料価格'!$AF$28:$AG$29,2,0),0)*IF($F$43="需要地価格",1,$F$8/$F$141))),"")</f>
        <v/>
      </c>
      <c r="AU107" s="39"/>
      <c r="AV107" s="72" t="str">
        <f t="shared" si="71"/>
        <v/>
      </c>
      <c r="AW107" s="72" t="str">
        <f t="shared" si="81"/>
        <v/>
      </c>
      <c r="AX107" s="39"/>
      <c r="AY107" s="40" t="str">
        <f>IF(ISERROR(IF($K107&lt;=$F$15,VLOOKUP($I107,'表4）CO2価格'!$A$7:$E$67,VLOOKUP($F$48,'表4）CO2価格'!$H$10:$I$12,2,0),0)*$F$8/1000,"")),0,IF($K107&lt;=$F$15,VLOOKUP($I107,'表4）CO2価格'!$A$7:$E$67,VLOOKUP($F$48,'表4）CO2価格'!$H$10:$I$12,2,0),0)*$F$8/1000,""))</f>
        <v/>
      </c>
      <c r="AZ107" s="39"/>
      <c r="BA107" s="42" t="str">
        <f t="shared" si="72"/>
        <v/>
      </c>
      <c r="BB107" s="72" t="str">
        <f t="shared" si="82"/>
        <v/>
      </c>
      <c r="BC107" s="39"/>
      <c r="BD107" s="72" t="str">
        <f t="shared" si="73"/>
        <v/>
      </c>
      <c r="BE107" s="72" t="str">
        <f t="shared" si="83"/>
        <v/>
      </c>
      <c r="BF107" s="39"/>
      <c r="BG107" s="42" t="str">
        <f t="shared" si="74"/>
        <v/>
      </c>
      <c r="BH107" s="72" t="str">
        <f t="shared" si="84"/>
        <v/>
      </c>
      <c r="BI107" s="39"/>
      <c r="BJ107" s="40" t="str">
        <f t="shared" si="85"/>
        <v/>
      </c>
      <c r="BK107" s="157" t="str">
        <f t="shared" si="86"/>
        <v/>
      </c>
      <c r="BL107" s="157" t="str">
        <f t="shared" si="75"/>
        <v/>
      </c>
      <c r="BM107" s="72"/>
      <c r="BN107" s="72" t="str">
        <f t="shared" si="87"/>
        <v/>
      </c>
      <c r="BO107" s="72" t="str">
        <f t="shared" si="88"/>
        <v/>
      </c>
      <c r="BP107" s="39"/>
      <c r="BQ107" s="72" t="str">
        <f t="shared" si="76"/>
        <v/>
      </c>
      <c r="BR107" s="72" t="str">
        <f t="shared" si="89"/>
        <v/>
      </c>
    </row>
    <row r="108" spans="4:70" ht="15" x14ac:dyDescent="0.15">
      <c r="D108" s="116"/>
      <c r="F108" s="93"/>
      <c r="I108" s="459">
        <f t="shared" si="90"/>
        <v>2123</v>
      </c>
      <c r="J108" s="71"/>
      <c r="K108" s="71">
        <f t="shared" si="91"/>
        <v>94</v>
      </c>
      <c r="L108" s="71"/>
      <c r="M108" s="7">
        <f t="shared" si="61"/>
        <v>6.212993191806794E-2</v>
      </c>
      <c r="N108" s="71"/>
      <c r="O108" s="10" t="str">
        <f t="shared" si="77"/>
        <v/>
      </c>
      <c r="P108" s="29" t="str">
        <f t="shared" si="62"/>
        <v/>
      </c>
      <c r="Q108" s="71"/>
      <c r="R108" s="10" t="str">
        <f t="shared" si="78"/>
        <v/>
      </c>
      <c r="S108" s="71"/>
      <c r="T108" s="10" t="str">
        <f t="shared" si="79"/>
        <v/>
      </c>
      <c r="U108" s="71"/>
      <c r="V108" s="10" t="str">
        <f t="shared" si="63"/>
        <v/>
      </c>
      <c r="W108" s="10" t="str">
        <f t="shared" si="92"/>
        <v/>
      </c>
      <c r="X108" s="71"/>
      <c r="Y108" s="10" t="str">
        <f t="shared" si="64"/>
        <v/>
      </c>
      <c r="Z108" s="10" t="str">
        <f t="shared" si="93"/>
        <v/>
      </c>
      <c r="AA108" s="71"/>
      <c r="AB108" s="10" t="str">
        <f t="shared" si="65"/>
        <v/>
      </c>
      <c r="AC108" s="10" t="str">
        <f t="shared" si="94"/>
        <v/>
      </c>
      <c r="AD108" s="71"/>
      <c r="AE108" s="10" t="str">
        <f t="shared" si="66"/>
        <v/>
      </c>
      <c r="AF108" s="10" t="str">
        <f t="shared" si="95"/>
        <v/>
      </c>
      <c r="AG108" s="71"/>
      <c r="AH108" s="10" t="str">
        <f t="shared" si="67"/>
        <v/>
      </c>
      <c r="AI108" s="10" t="str">
        <f t="shared" si="96"/>
        <v/>
      </c>
      <c r="AJ108" s="71"/>
      <c r="AK108" s="10" t="str">
        <f t="shared" si="68"/>
        <v/>
      </c>
      <c r="AL108" s="10" t="str">
        <f t="shared" si="97"/>
        <v/>
      </c>
      <c r="AM108" s="71"/>
      <c r="AN108" s="10" t="str">
        <f t="shared" si="69"/>
        <v/>
      </c>
      <c r="AO108" s="10" t="str">
        <f t="shared" si="98"/>
        <v/>
      </c>
      <c r="AP108" s="71"/>
      <c r="AQ108" s="10" t="str">
        <f t="shared" si="70"/>
        <v/>
      </c>
      <c r="AR108" s="10" t="str">
        <f t="shared" si="80"/>
        <v/>
      </c>
      <c r="AS108" s="71"/>
      <c r="AT108" s="7" t="str">
        <f>IF($K108&lt;=$F$15,IF($F$40&lt;&gt;"",$F$40/1000,IF(ISERROR(VLOOKUP($F$3&amp;IF($G$4&lt;&gt;"",$G$4,"")&amp;IF($F$43&lt;&gt;"","_"&amp;$F$43,""),'表3）燃料価格'!$AF$9:$AG$25,2,0)),0,VLOOKUP($I108,'表3）燃料価格'!$A$6:$U$66,VLOOKUP($F$3&amp;IF($G$4&lt;&gt;"",$G$4,"")&amp;IF($F$43&lt;&gt;"","_"&amp;$F$43,""),'表3）燃料価格'!$AF$9:$AG$25,2,0)+VLOOKUP($F$41,'表3）燃料価格'!$AF$28:$AG$29,2,0),0)*IF($F$43="需要地価格",1,$F$8/$F$141))),"")</f>
        <v/>
      </c>
      <c r="AU108" s="71"/>
      <c r="AV108" s="10" t="str">
        <f t="shared" si="71"/>
        <v/>
      </c>
      <c r="AW108" s="10" t="str">
        <f t="shared" si="81"/>
        <v/>
      </c>
      <c r="AX108" s="71"/>
      <c r="AY108" s="7" t="str">
        <f>IF(ISERROR(IF($K108&lt;=$F$15,VLOOKUP($I108,'表4）CO2価格'!$A$7:$E$67,VLOOKUP($F$48,'表4）CO2価格'!$H$10:$I$12,2,0),0)*$F$8/1000,"")),0,IF($K108&lt;=$F$15,VLOOKUP($I108,'表4）CO2価格'!$A$7:$E$67,VLOOKUP($F$48,'表4）CO2価格'!$H$10:$I$12,2,0),0)*$F$8/1000,""))</f>
        <v/>
      </c>
      <c r="AZ108" s="71"/>
      <c r="BA108" s="11" t="str">
        <f t="shared" si="72"/>
        <v/>
      </c>
      <c r="BB108" s="10" t="str">
        <f t="shared" si="82"/>
        <v/>
      </c>
      <c r="BC108" s="71"/>
      <c r="BD108" s="10" t="str">
        <f t="shared" si="73"/>
        <v/>
      </c>
      <c r="BE108" s="10" t="str">
        <f t="shared" si="83"/>
        <v/>
      </c>
      <c r="BF108" s="71"/>
      <c r="BG108" s="11" t="str">
        <f t="shared" si="74"/>
        <v/>
      </c>
      <c r="BH108" s="10" t="str">
        <f t="shared" si="84"/>
        <v/>
      </c>
      <c r="BJ108" s="7" t="str">
        <f t="shared" si="85"/>
        <v/>
      </c>
      <c r="BK108" s="158" t="str">
        <f t="shared" si="86"/>
        <v/>
      </c>
      <c r="BL108" s="158" t="str">
        <f t="shared" si="75"/>
        <v/>
      </c>
      <c r="BM108" s="10"/>
      <c r="BN108" s="10" t="str">
        <f t="shared" si="87"/>
        <v/>
      </c>
      <c r="BO108" s="10" t="str">
        <f t="shared" si="88"/>
        <v/>
      </c>
      <c r="BQ108" s="10" t="str">
        <f t="shared" si="76"/>
        <v/>
      </c>
      <c r="BR108" s="10" t="str">
        <f t="shared" si="89"/>
        <v/>
      </c>
    </row>
    <row r="109" spans="4:70" x14ac:dyDescent="0.15">
      <c r="D109" s="101" t="s">
        <v>205</v>
      </c>
      <c r="E109" s="101"/>
      <c r="F109" s="92"/>
      <c r="G109" s="101"/>
      <c r="I109" s="458">
        <f t="shared" si="90"/>
        <v>2124</v>
      </c>
      <c r="J109" s="39"/>
      <c r="K109" s="39">
        <f t="shared" si="91"/>
        <v>95</v>
      </c>
      <c r="L109" s="39"/>
      <c r="M109" s="40">
        <f t="shared" si="61"/>
        <v>6.0320322250551395E-2</v>
      </c>
      <c r="N109" s="39"/>
      <c r="O109" s="72" t="str">
        <f t="shared" si="77"/>
        <v/>
      </c>
      <c r="P109" s="41" t="str">
        <f t="shared" si="62"/>
        <v/>
      </c>
      <c r="Q109" s="39"/>
      <c r="R109" s="72" t="str">
        <f t="shared" si="78"/>
        <v/>
      </c>
      <c r="S109" s="39"/>
      <c r="T109" s="72" t="str">
        <f t="shared" si="79"/>
        <v/>
      </c>
      <c r="U109" s="39"/>
      <c r="V109" s="72" t="str">
        <f t="shared" si="63"/>
        <v/>
      </c>
      <c r="W109" s="72" t="str">
        <f t="shared" si="92"/>
        <v/>
      </c>
      <c r="X109" s="39"/>
      <c r="Y109" s="72" t="str">
        <f t="shared" si="64"/>
        <v/>
      </c>
      <c r="Z109" s="72" t="str">
        <f t="shared" si="93"/>
        <v/>
      </c>
      <c r="AA109" s="39"/>
      <c r="AB109" s="72" t="str">
        <f t="shared" si="65"/>
        <v/>
      </c>
      <c r="AC109" s="72" t="str">
        <f t="shared" si="94"/>
        <v/>
      </c>
      <c r="AD109" s="39"/>
      <c r="AE109" s="72" t="str">
        <f t="shared" si="66"/>
        <v/>
      </c>
      <c r="AF109" s="72" t="str">
        <f t="shared" si="95"/>
        <v/>
      </c>
      <c r="AG109" s="39"/>
      <c r="AH109" s="72" t="str">
        <f t="shared" si="67"/>
        <v/>
      </c>
      <c r="AI109" s="72" t="str">
        <f t="shared" si="96"/>
        <v/>
      </c>
      <c r="AJ109" s="39"/>
      <c r="AK109" s="72" t="str">
        <f t="shared" si="68"/>
        <v/>
      </c>
      <c r="AL109" s="72" t="str">
        <f t="shared" si="97"/>
        <v/>
      </c>
      <c r="AM109" s="39"/>
      <c r="AN109" s="72" t="str">
        <f t="shared" si="69"/>
        <v/>
      </c>
      <c r="AO109" s="72" t="str">
        <f t="shared" si="98"/>
        <v/>
      </c>
      <c r="AP109" s="39"/>
      <c r="AQ109" s="72" t="str">
        <f t="shared" si="70"/>
        <v/>
      </c>
      <c r="AR109" s="72" t="str">
        <f t="shared" si="80"/>
        <v/>
      </c>
      <c r="AS109" s="39"/>
      <c r="AT109" s="40" t="str">
        <f>IF($K109&lt;=$F$15,IF($F$40&lt;&gt;"",$F$40/1000,IF(ISERROR(VLOOKUP($F$3&amp;IF($G$4&lt;&gt;"",$G$4,"")&amp;IF($F$43&lt;&gt;"","_"&amp;$F$43,""),'表3）燃料価格'!$AF$9:$AG$25,2,0)),0,VLOOKUP($I109,'表3）燃料価格'!$A$6:$U$66,VLOOKUP($F$3&amp;IF($G$4&lt;&gt;"",$G$4,"")&amp;IF($F$43&lt;&gt;"","_"&amp;$F$43,""),'表3）燃料価格'!$AF$9:$AG$25,2,0)+VLOOKUP($F$41,'表3）燃料価格'!$AF$28:$AG$29,2,0),0)*IF($F$43="需要地価格",1,$F$8/$F$141))),"")</f>
        <v/>
      </c>
      <c r="AU109" s="39"/>
      <c r="AV109" s="72" t="str">
        <f t="shared" si="71"/>
        <v/>
      </c>
      <c r="AW109" s="72" t="str">
        <f t="shared" si="81"/>
        <v/>
      </c>
      <c r="AX109" s="39"/>
      <c r="AY109" s="40" t="str">
        <f>IF(ISERROR(IF($K109&lt;=$F$15,VLOOKUP($I109,'表4）CO2価格'!$A$7:$E$67,VLOOKUP($F$48,'表4）CO2価格'!$H$10:$I$12,2,0),0)*$F$8/1000,"")),0,IF($K109&lt;=$F$15,VLOOKUP($I109,'表4）CO2価格'!$A$7:$E$67,VLOOKUP($F$48,'表4）CO2価格'!$H$10:$I$12,2,0),0)*$F$8/1000,""))</f>
        <v/>
      </c>
      <c r="AZ109" s="39"/>
      <c r="BA109" s="42" t="str">
        <f t="shared" si="72"/>
        <v/>
      </c>
      <c r="BB109" s="72" t="str">
        <f t="shared" si="82"/>
        <v/>
      </c>
      <c r="BC109" s="39"/>
      <c r="BD109" s="72" t="str">
        <f t="shared" si="73"/>
        <v/>
      </c>
      <c r="BE109" s="72" t="str">
        <f t="shared" si="83"/>
        <v/>
      </c>
      <c r="BF109" s="39"/>
      <c r="BG109" s="42" t="str">
        <f t="shared" si="74"/>
        <v/>
      </c>
      <c r="BH109" s="72" t="str">
        <f t="shared" si="84"/>
        <v/>
      </c>
      <c r="BI109" s="39"/>
      <c r="BJ109" s="40" t="str">
        <f t="shared" si="85"/>
        <v/>
      </c>
      <c r="BK109" s="157" t="str">
        <f t="shared" si="86"/>
        <v/>
      </c>
      <c r="BL109" s="157" t="str">
        <f t="shared" si="75"/>
        <v/>
      </c>
      <c r="BM109" s="72"/>
      <c r="BN109" s="72" t="str">
        <f t="shared" si="87"/>
        <v/>
      </c>
      <c r="BO109" s="72" t="str">
        <f t="shared" si="88"/>
        <v/>
      </c>
      <c r="BP109" s="39"/>
      <c r="BQ109" s="72" t="str">
        <f t="shared" si="76"/>
        <v/>
      </c>
      <c r="BR109" s="72" t="str">
        <f t="shared" si="89"/>
        <v/>
      </c>
    </row>
    <row r="110" spans="4:70" ht="15" x14ac:dyDescent="0.15">
      <c r="D110" s="116"/>
      <c r="F110" s="93"/>
      <c r="I110" s="459">
        <f t="shared" si="90"/>
        <v>2125</v>
      </c>
      <c r="J110" s="71"/>
      <c r="K110" s="71">
        <f t="shared" si="91"/>
        <v>96</v>
      </c>
      <c r="L110" s="71"/>
      <c r="M110" s="7">
        <f t="shared" si="61"/>
        <v>5.8563419660729518E-2</v>
      </c>
      <c r="N110" s="71"/>
      <c r="O110" s="10" t="str">
        <f t="shared" si="77"/>
        <v/>
      </c>
      <c r="P110" s="29" t="str">
        <f t="shared" si="62"/>
        <v/>
      </c>
      <c r="Q110" s="71"/>
      <c r="R110" s="10" t="str">
        <f t="shared" si="78"/>
        <v/>
      </c>
      <c r="S110" s="71"/>
      <c r="T110" s="10" t="str">
        <f t="shared" si="79"/>
        <v/>
      </c>
      <c r="U110" s="71"/>
      <c r="V110" s="10" t="str">
        <f t="shared" si="63"/>
        <v/>
      </c>
      <c r="W110" s="10" t="str">
        <f t="shared" si="92"/>
        <v/>
      </c>
      <c r="X110" s="71"/>
      <c r="Y110" s="10" t="str">
        <f t="shared" si="64"/>
        <v/>
      </c>
      <c r="Z110" s="10" t="str">
        <f t="shared" si="93"/>
        <v/>
      </c>
      <c r="AA110" s="71"/>
      <c r="AB110" s="10" t="str">
        <f t="shared" si="65"/>
        <v/>
      </c>
      <c r="AC110" s="10" t="str">
        <f t="shared" si="94"/>
        <v/>
      </c>
      <c r="AD110" s="71"/>
      <c r="AE110" s="10" t="str">
        <f t="shared" si="66"/>
        <v/>
      </c>
      <c r="AF110" s="10" t="str">
        <f t="shared" si="95"/>
        <v/>
      </c>
      <c r="AG110" s="71"/>
      <c r="AH110" s="10" t="str">
        <f t="shared" si="67"/>
        <v/>
      </c>
      <c r="AI110" s="10" t="str">
        <f t="shared" si="96"/>
        <v/>
      </c>
      <c r="AJ110" s="71"/>
      <c r="AK110" s="10" t="str">
        <f t="shared" si="68"/>
        <v/>
      </c>
      <c r="AL110" s="10" t="str">
        <f t="shared" si="97"/>
        <v/>
      </c>
      <c r="AM110" s="71"/>
      <c r="AN110" s="10" t="str">
        <f t="shared" si="69"/>
        <v/>
      </c>
      <c r="AO110" s="10" t="str">
        <f t="shared" si="98"/>
        <v/>
      </c>
      <c r="AP110" s="71"/>
      <c r="AQ110" s="10" t="str">
        <f t="shared" si="70"/>
        <v/>
      </c>
      <c r="AR110" s="10" t="str">
        <f t="shared" si="80"/>
        <v/>
      </c>
      <c r="AS110" s="71"/>
      <c r="AT110" s="7" t="str">
        <f>IF($K110&lt;=$F$15,IF($F$40&lt;&gt;"",$F$40/1000,IF(ISERROR(VLOOKUP($F$3&amp;IF($G$4&lt;&gt;"",$G$4,"")&amp;IF($F$43&lt;&gt;"","_"&amp;$F$43,""),'表3）燃料価格'!$AF$9:$AG$25,2,0)),0,VLOOKUP($I110,'表3）燃料価格'!$A$6:$U$66,VLOOKUP($F$3&amp;IF($G$4&lt;&gt;"",$G$4,"")&amp;IF($F$43&lt;&gt;"","_"&amp;$F$43,""),'表3）燃料価格'!$AF$9:$AG$25,2,0)+VLOOKUP($F$41,'表3）燃料価格'!$AF$28:$AG$29,2,0),0)*IF($F$43="需要地価格",1,$F$8/$F$141))),"")</f>
        <v/>
      </c>
      <c r="AU110" s="71"/>
      <c r="AV110" s="10" t="str">
        <f t="shared" si="71"/>
        <v/>
      </c>
      <c r="AW110" s="10" t="str">
        <f t="shared" si="81"/>
        <v/>
      </c>
      <c r="AX110" s="71"/>
      <c r="AY110" s="7" t="str">
        <f>IF(ISERROR(IF($K110&lt;=$F$15,VLOOKUP($I110,'表4）CO2価格'!$A$7:$E$67,VLOOKUP($F$48,'表4）CO2価格'!$H$10:$I$12,2,0),0)*$F$8/1000,"")),0,IF($K110&lt;=$F$15,VLOOKUP($I110,'表4）CO2価格'!$A$7:$E$67,VLOOKUP($F$48,'表4）CO2価格'!$H$10:$I$12,2,0),0)*$F$8/1000,""))</f>
        <v/>
      </c>
      <c r="AZ110" s="71"/>
      <c r="BA110" s="11" t="str">
        <f t="shared" si="72"/>
        <v/>
      </c>
      <c r="BB110" s="10" t="str">
        <f t="shared" si="82"/>
        <v/>
      </c>
      <c r="BC110" s="71"/>
      <c r="BD110" s="10" t="str">
        <f t="shared" si="73"/>
        <v/>
      </c>
      <c r="BE110" s="10" t="str">
        <f t="shared" si="83"/>
        <v/>
      </c>
      <c r="BF110" s="71"/>
      <c r="BG110" s="11" t="str">
        <f t="shared" si="74"/>
        <v/>
      </c>
      <c r="BH110" s="10" t="str">
        <f t="shared" si="84"/>
        <v/>
      </c>
      <c r="BJ110" s="7" t="str">
        <f t="shared" si="85"/>
        <v/>
      </c>
      <c r="BK110" s="158" t="str">
        <f t="shared" si="86"/>
        <v/>
      </c>
      <c r="BL110" s="158" t="str">
        <f t="shared" si="75"/>
        <v/>
      </c>
      <c r="BM110" s="10"/>
      <c r="BN110" s="10" t="str">
        <f t="shared" si="87"/>
        <v/>
      </c>
      <c r="BO110" s="10" t="str">
        <f t="shared" si="88"/>
        <v/>
      </c>
      <c r="BQ110" s="10" t="str">
        <f t="shared" si="76"/>
        <v/>
      </c>
      <c r="BR110" s="10" t="str">
        <f t="shared" si="89"/>
        <v/>
      </c>
    </row>
    <row r="111" spans="4:70" ht="15" x14ac:dyDescent="0.15">
      <c r="D111" s="116"/>
      <c r="E111" s="81" t="s">
        <v>206</v>
      </c>
      <c r="F111" s="91">
        <f>-BE116/BR116</f>
        <v>0</v>
      </c>
      <c r="G111" s="81" t="s">
        <v>132</v>
      </c>
      <c r="I111" s="458">
        <f t="shared" si="90"/>
        <v>2126</v>
      </c>
      <c r="J111" s="39"/>
      <c r="K111" s="39">
        <f t="shared" si="91"/>
        <v>97</v>
      </c>
      <c r="L111" s="39"/>
      <c r="M111" s="40">
        <f t="shared" si="61"/>
        <v>5.6857688990999529E-2</v>
      </c>
      <c r="N111" s="39"/>
      <c r="O111" s="72" t="str">
        <f t="shared" si="77"/>
        <v/>
      </c>
      <c r="P111" s="41" t="str">
        <f>IF(K111&lt;=$F$15,IF(OR(P110=$F$124,P110="-"),"-",IF(O111*$F$123&gt;$F$127,$F$123,$F$124)),"")</f>
        <v/>
      </c>
      <c r="Q111" s="39"/>
      <c r="R111" s="72" t="str">
        <f t="shared" si="78"/>
        <v/>
      </c>
      <c r="S111" s="39"/>
      <c r="T111" s="72" t="str">
        <f t="shared" si="79"/>
        <v/>
      </c>
      <c r="U111" s="39"/>
      <c r="V111" s="72" t="str">
        <f t="shared" si="63"/>
        <v/>
      </c>
      <c r="W111" s="72" t="str">
        <f t="shared" si="92"/>
        <v/>
      </c>
      <c r="X111" s="39"/>
      <c r="Y111" s="72" t="str">
        <f t="shared" si="64"/>
        <v/>
      </c>
      <c r="Z111" s="72" t="str">
        <f t="shared" si="93"/>
        <v/>
      </c>
      <c r="AA111" s="39"/>
      <c r="AB111" s="72" t="str">
        <f t="shared" si="65"/>
        <v/>
      </c>
      <c r="AC111" s="72" t="str">
        <f t="shared" si="94"/>
        <v/>
      </c>
      <c r="AD111" s="39"/>
      <c r="AE111" s="72" t="str">
        <f t="shared" si="66"/>
        <v/>
      </c>
      <c r="AF111" s="72" t="str">
        <f t="shared" si="95"/>
        <v/>
      </c>
      <c r="AG111" s="39"/>
      <c r="AH111" s="72" t="str">
        <f t="shared" si="67"/>
        <v/>
      </c>
      <c r="AI111" s="72" t="str">
        <f t="shared" si="96"/>
        <v/>
      </c>
      <c r="AJ111" s="39"/>
      <c r="AK111" s="72" t="str">
        <f t="shared" si="68"/>
        <v/>
      </c>
      <c r="AL111" s="72" t="str">
        <f t="shared" si="97"/>
        <v/>
      </c>
      <c r="AM111" s="39"/>
      <c r="AN111" s="72" t="str">
        <f t="shared" si="69"/>
        <v/>
      </c>
      <c r="AO111" s="72" t="str">
        <f t="shared" si="98"/>
        <v/>
      </c>
      <c r="AP111" s="39"/>
      <c r="AQ111" s="72" t="str">
        <f t="shared" si="70"/>
        <v/>
      </c>
      <c r="AR111" s="72" t="str">
        <f t="shared" si="80"/>
        <v/>
      </c>
      <c r="AS111" s="39"/>
      <c r="AT111" s="40" t="str">
        <f>IF($K111&lt;=$F$15,IF($F$40&lt;&gt;"",$F$40/1000,IF(ISERROR(VLOOKUP($F$3&amp;IF($G$4&lt;&gt;"",$G$4,"")&amp;IF($F$43&lt;&gt;"","_"&amp;$F$43,""),'表3）燃料価格'!$AF$9:$AG$25,2,0)),0,VLOOKUP($I111,'表3）燃料価格'!$A$6:$U$66,VLOOKUP($F$3&amp;IF($G$4&lt;&gt;"",$G$4,"")&amp;IF($F$43&lt;&gt;"","_"&amp;$F$43,""),'表3）燃料価格'!$AF$9:$AG$25,2,0)+VLOOKUP($F$41,'表3）燃料価格'!$AF$28:$AG$29,2,0),0)*IF($F$43="需要地価格",1,$F$8/$F$141))),"")</f>
        <v/>
      </c>
      <c r="AU111" s="39"/>
      <c r="AV111" s="72" t="str">
        <f t="shared" si="71"/>
        <v/>
      </c>
      <c r="AW111" s="72" t="str">
        <f t="shared" si="81"/>
        <v/>
      </c>
      <c r="AX111" s="39"/>
      <c r="AY111" s="40" t="str">
        <f>IF(ISERROR(IF($K111&lt;=$F$15,VLOOKUP($I111,'表4）CO2価格'!$A$7:$E$67,VLOOKUP($F$48,'表4）CO2価格'!$H$10:$I$12,2,0),0)*$F$8/1000,"")),0,IF($K111&lt;=$F$15,VLOOKUP($I111,'表4）CO2価格'!$A$7:$E$67,VLOOKUP($F$48,'表4）CO2価格'!$H$10:$I$12,2,0),0)*$F$8/1000,""))</f>
        <v/>
      </c>
      <c r="AZ111" s="39"/>
      <c r="BA111" s="42" t="str">
        <f t="shared" si="72"/>
        <v/>
      </c>
      <c r="BB111" s="72" t="str">
        <f t="shared" si="82"/>
        <v/>
      </c>
      <c r="BC111" s="39"/>
      <c r="BD111" s="72" t="str">
        <f t="shared" si="73"/>
        <v/>
      </c>
      <c r="BE111" s="72" t="str">
        <f t="shared" si="83"/>
        <v/>
      </c>
      <c r="BF111" s="39"/>
      <c r="BG111" s="42" t="str">
        <f t="shared" si="74"/>
        <v/>
      </c>
      <c r="BH111" s="72" t="str">
        <f t="shared" si="84"/>
        <v/>
      </c>
      <c r="BI111" s="39"/>
      <c r="BJ111" s="40" t="str">
        <f t="shared" si="85"/>
        <v/>
      </c>
      <c r="BK111" s="157" t="str">
        <f t="shared" si="86"/>
        <v/>
      </c>
      <c r="BL111" s="157" t="str">
        <f t="shared" si="75"/>
        <v/>
      </c>
      <c r="BM111" s="72"/>
      <c r="BN111" s="72" t="str">
        <f t="shared" si="87"/>
        <v/>
      </c>
      <c r="BO111" s="72" t="str">
        <f t="shared" si="88"/>
        <v/>
      </c>
      <c r="BP111" s="39"/>
      <c r="BQ111" s="72" t="str">
        <f t="shared" si="76"/>
        <v/>
      </c>
      <c r="BR111" s="72" t="str">
        <f t="shared" si="89"/>
        <v/>
      </c>
    </row>
    <row r="112" spans="4:70" ht="15" x14ac:dyDescent="0.15">
      <c r="D112" s="116"/>
      <c r="E112" s="81" t="s">
        <v>207</v>
      </c>
      <c r="F112" s="91">
        <f>-BH116/BR116</f>
        <v>0</v>
      </c>
      <c r="G112" s="81" t="s">
        <v>132</v>
      </c>
      <c r="I112" s="459">
        <f t="shared" si="90"/>
        <v>2127</v>
      </c>
      <c r="J112" s="71"/>
      <c r="K112" s="71">
        <f t="shared" si="91"/>
        <v>98</v>
      </c>
      <c r="L112" s="71"/>
      <c r="M112" s="7">
        <f t="shared" si="61"/>
        <v>5.5201639797086935E-2</v>
      </c>
      <c r="N112" s="71"/>
      <c r="O112" s="10" t="str">
        <f t="shared" si="77"/>
        <v/>
      </c>
      <c r="P112" s="29" t="str">
        <f>IF(K112&lt;=$F$15,IF(OR(P111=$F$124,P111="-"),"-",IF(O112*$F$123&gt;$F$127,$F$123,$F$124)),"")</f>
        <v/>
      </c>
      <c r="Q112" s="71"/>
      <c r="R112" s="10" t="str">
        <f t="shared" si="78"/>
        <v/>
      </c>
      <c r="S112" s="71"/>
      <c r="T112" s="10" t="str">
        <f t="shared" si="79"/>
        <v/>
      </c>
      <c r="U112" s="71"/>
      <c r="V112" s="10" t="str">
        <f t="shared" si="63"/>
        <v/>
      </c>
      <c r="W112" s="10" t="str">
        <f t="shared" si="92"/>
        <v/>
      </c>
      <c r="X112" s="71"/>
      <c r="Y112" s="10" t="str">
        <f t="shared" si="64"/>
        <v/>
      </c>
      <c r="Z112" s="10" t="str">
        <f t="shared" si="93"/>
        <v/>
      </c>
      <c r="AA112" s="71"/>
      <c r="AB112" s="10" t="str">
        <f t="shared" si="65"/>
        <v/>
      </c>
      <c r="AC112" s="10" t="str">
        <f t="shared" si="94"/>
        <v/>
      </c>
      <c r="AD112" s="71"/>
      <c r="AE112" s="10" t="str">
        <f t="shared" si="66"/>
        <v/>
      </c>
      <c r="AF112" s="10" t="str">
        <f t="shared" si="95"/>
        <v/>
      </c>
      <c r="AG112" s="71"/>
      <c r="AH112" s="10" t="str">
        <f t="shared" si="67"/>
        <v/>
      </c>
      <c r="AI112" s="10" t="str">
        <f t="shared" si="96"/>
        <v/>
      </c>
      <c r="AJ112" s="71"/>
      <c r="AK112" s="10" t="str">
        <f t="shared" si="68"/>
        <v/>
      </c>
      <c r="AL112" s="10" t="str">
        <f t="shared" si="97"/>
        <v/>
      </c>
      <c r="AM112" s="71"/>
      <c r="AN112" s="10" t="str">
        <f t="shared" si="69"/>
        <v/>
      </c>
      <c r="AO112" s="10" t="str">
        <f t="shared" si="98"/>
        <v/>
      </c>
      <c r="AP112" s="71"/>
      <c r="AQ112" s="10" t="str">
        <f t="shared" si="70"/>
        <v/>
      </c>
      <c r="AR112" s="10" t="str">
        <f t="shared" si="80"/>
        <v/>
      </c>
      <c r="AS112" s="71"/>
      <c r="AT112" s="7" t="str">
        <f>IF($K112&lt;=$F$15,IF($F$40&lt;&gt;"",$F$40/1000,IF(ISERROR(VLOOKUP($F$3&amp;IF($G$4&lt;&gt;"",$G$4,"")&amp;IF($F$43&lt;&gt;"","_"&amp;$F$43,""),'表3）燃料価格'!$AF$9:$AG$25,2,0)),0,VLOOKUP($I112,'表3）燃料価格'!$A$6:$U$66,VLOOKUP($F$3&amp;IF($G$4&lt;&gt;"",$G$4,"")&amp;IF($F$43&lt;&gt;"","_"&amp;$F$43,""),'表3）燃料価格'!$AF$9:$AG$25,2,0)+VLOOKUP($F$41,'表3）燃料価格'!$AF$28:$AG$29,2,0),0)*IF($F$43="需要地価格",1,$F$8/$F$141))),"")</f>
        <v/>
      </c>
      <c r="AU112" s="71"/>
      <c r="AV112" s="10" t="str">
        <f t="shared" si="71"/>
        <v/>
      </c>
      <c r="AW112" s="10" t="str">
        <f t="shared" si="81"/>
        <v/>
      </c>
      <c r="AX112" s="71"/>
      <c r="AY112" s="7" t="str">
        <f>IF(ISERROR(IF($K112&lt;=$F$15,VLOOKUP($I112,'表4）CO2価格'!$A$7:$E$67,VLOOKUP($F$48,'表4）CO2価格'!$H$10:$I$12,2,0),0)*$F$8/1000,"")),0,IF($K112&lt;=$F$15,VLOOKUP($I112,'表4）CO2価格'!$A$7:$E$67,VLOOKUP($F$48,'表4）CO2価格'!$H$10:$I$12,2,0),0)*$F$8/1000,""))</f>
        <v/>
      </c>
      <c r="AZ112" s="71"/>
      <c r="BA112" s="11" t="str">
        <f t="shared" si="72"/>
        <v/>
      </c>
      <c r="BB112" s="10" t="str">
        <f t="shared" si="82"/>
        <v/>
      </c>
      <c r="BC112" s="71"/>
      <c r="BD112" s="10" t="str">
        <f t="shared" si="73"/>
        <v/>
      </c>
      <c r="BE112" s="10" t="str">
        <f t="shared" si="83"/>
        <v/>
      </c>
      <c r="BF112" s="71"/>
      <c r="BG112" s="11" t="str">
        <f t="shared" si="74"/>
        <v/>
      </c>
      <c r="BH112" s="10" t="str">
        <f t="shared" si="84"/>
        <v/>
      </c>
      <c r="BJ112" s="7" t="str">
        <f t="shared" si="85"/>
        <v/>
      </c>
      <c r="BK112" s="158" t="str">
        <f t="shared" si="86"/>
        <v/>
      </c>
      <c r="BL112" s="158" t="str">
        <f t="shared" si="75"/>
        <v/>
      </c>
      <c r="BM112" s="10"/>
      <c r="BN112" s="10" t="str">
        <f t="shared" si="87"/>
        <v/>
      </c>
      <c r="BO112" s="10" t="str">
        <f t="shared" si="88"/>
        <v/>
      </c>
      <c r="BQ112" s="10" t="str">
        <f t="shared" si="76"/>
        <v/>
      </c>
      <c r="BR112" s="10" t="str">
        <f t="shared" si="89"/>
        <v/>
      </c>
    </row>
    <row r="113" spans="2:70" x14ac:dyDescent="0.15">
      <c r="I113" s="458">
        <f t="shared" si="90"/>
        <v>2128</v>
      </c>
      <c r="J113" s="39"/>
      <c r="K113" s="39">
        <f t="shared" si="91"/>
        <v>99</v>
      </c>
      <c r="L113" s="39"/>
      <c r="M113" s="40">
        <f t="shared" si="61"/>
        <v>5.3593825045715457E-2</v>
      </c>
      <c r="N113" s="39"/>
      <c r="O113" s="72" t="str">
        <f t="shared" si="77"/>
        <v/>
      </c>
      <c r="P113" s="41" t="str">
        <f>IF(K113&lt;=$F$15,IF(OR(P112=$F$124,P112="-"),"-",IF(O113*$F$123&gt;$F$127,$F$123,$F$124)),"")</f>
        <v/>
      </c>
      <c r="Q113" s="39"/>
      <c r="R113" s="72" t="str">
        <f t="shared" si="78"/>
        <v/>
      </c>
      <c r="S113" s="39"/>
      <c r="T113" s="72" t="str">
        <f t="shared" si="79"/>
        <v/>
      </c>
      <c r="U113" s="39"/>
      <c r="V113" s="72" t="str">
        <f t="shared" si="63"/>
        <v/>
      </c>
      <c r="W113" s="72" t="str">
        <f t="shared" si="92"/>
        <v/>
      </c>
      <c r="X113" s="39"/>
      <c r="Y113" s="72" t="str">
        <f t="shared" si="64"/>
        <v/>
      </c>
      <c r="Z113" s="72" t="str">
        <f t="shared" si="93"/>
        <v/>
      </c>
      <c r="AA113" s="39"/>
      <c r="AB113" s="72" t="str">
        <f t="shared" si="65"/>
        <v/>
      </c>
      <c r="AC113" s="72" t="str">
        <f t="shared" si="94"/>
        <v/>
      </c>
      <c r="AD113" s="39"/>
      <c r="AE113" s="72" t="str">
        <f t="shared" si="66"/>
        <v/>
      </c>
      <c r="AF113" s="72" t="str">
        <f t="shared" si="95"/>
        <v/>
      </c>
      <c r="AG113" s="39"/>
      <c r="AH113" s="72" t="str">
        <f t="shared" si="67"/>
        <v/>
      </c>
      <c r="AI113" s="72" t="str">
        <f t="shared" si="96"/>
        <v/>
      </c>
      <c r="AJ113" s="39"/>
      <c r="AK113" s="72" t="str">
        <f t="shared" si="68"/>
        <v/>
      </c>
      <c r="AL113" s="72" t="str">
        <f t="shared" si="97"/>
        <v/>
      </c>
      <c r="AM113" s="39"/>
      <c r="AN113" s="72" t="str">
        <f t="shared" si="69"/>
        <v/>
      </c>
      <c r="AO113" s="72" t="str">
        <f t="shared" si="98"/>
        <v/>
      </c>
      <c r="AP113" s="39"/>
      <c r="AQ113" s="72" t="str">
        <f t="shared" si="70"/>
        <v/>
      </c>
      <c r="AR113" s="72" t="str">
        <f t="shared" si="80"/>
        <v/>
      </c>
      <c r="AS113" s="39"/>
      <c r="AT113" s="40" t="str">
        <f>IF($K113&lt;=$F$15,IF($F$40&lt;&gt;"",$F$40/1000,IF(ISERROR(VLOOKUP($F$3&amp;IF($G$4&lt;&gt;"",$G$4,"")&amp;IF($F$43&lt;&gt;"","_"&amp;$F$43,""),'表3）燃料価格'!$AF$9:$AG$25,2,0)),0,VLOOKUP($I113,'表3）燃料価格'!$A$6:$U$66,VLOOKUP($F$3&amp;IF($G$4&lt;&gt;"",$G$4,"")&amp;IF($F$43&lt;&gt;"","_"&amp;$F$43,""),'表3）燃料価格'!$AF$9:$AG$25,2,0)+VLOOKUP($F$41,'表3）燃料価格'!$AF$28:$AG$29,2,0),0)*IF($F$43="需要地価格",1,$F$8/$F$141))),"")</f>
        <v/>
      </c>
      <c r="AU113" s="39"/>
      <c r="AV113" s="72" t="str">
        <f t="shared" si="71"/>
        <v/>
      </c>
      <c r="AW113" s="72" t="str">
        <f t="shared" si="81"/>
        <v/>
      </c>
      <c r="AX113" s="39"/>
      <c r="AY113" s="40" t="str">
        <f>IF(ISERROR(IF($K113&lt;=$F$15,VLOOKUP($I113,'表4）CO2価格'!$A$7:$E$67,VLOOKUP($F$48,'表4）CO2価格'!$H$10:$I$12,2,0),0)*$F$8/1000,"")),0,IF($K113&lt;=$F$15,VLOOKUP($I113,'表4）CO2価格'!$A$7:$E$67,VLOOKUP($F$48,'表4）CO2価格'!$H$10:$I$12,2,0),0)*$F$8/1000,""))</f>
        <v/>
      </c>
      <c r="AZ113" s="39"/>
      <c r="BA113" s="42" t="str">
        <f t="shared" si="72"/>
        <v/>
      </c>
      <c r="BB113" s="72" t="str">
        <f t="shared" si="82"/>
        <v/>
      </c>
      <c r="BC113" s="39"/>
      <c r="BD113" s="72" t="str">
        <f t="shared" si="73"/>
        <v/>
      </c>
      <c r="BE113" s="72" t="str">
        <f t="shared" si="83"/>
        <v/>
      </c>
      <c r="BF113" s="39"/>
      <c r="BG113" s="42" t="str">
        <f t="shared" si="74"/>
        <v/>
      </c>
      <c r="BH113" s="72" t="str">
        <f t="shared" si="84"/>
        <v/>
      </c>
      <c r="BI113" s="39"/>
      <c r="BJ113" s="40" t="str">
        <f t="shared" si="85"/>
        <v/>
      </c>
      <c r="BK113" s="157" t="str">
        <f t="shared" si="86"/>
        <v/>
      </c>
      <c r="BL113" s="157" t="str">
        <f t="shared" si="75"/>
        <v/>
      </c>
      <c r="BM113" s="72"/>
      <c r="BN113" s="72" t="str">
        <f t="shared" si="87"/>
        <v/>
      </c>
      <c r="BO113" s="72" t="str">
        <f t="shared" si="88"/>
        <v/>
      </c>
      <c r="BP113" s="39"/>
      <c r="BQ113" s="72" t="str">
        <f t="shared" si="76"/>
        <v/>
      </c>
      <c r="BR113" s="72" t="str">
        <f t="shared" si="89"/>
        <v/>
      </c>
    </row>
    <row r="114" spans="2:70" x14ac:dyDescent="0.15">
      <c r="I114" s="459">
        <f t="shared" si="90"/>
        <v>2129</v>
      </c>
      <c r="J114" s="71"/>
      <c r="K114" s="71">
        <f t="shared" si="91"/>
        <v>100</v>
      </c>
      <c r="L114" s="71"/>
      <c r="M114" s="7">
        <f t="shared" si="61"/>
        <v>5.2032839850209185E-2</v>
      </c>
      <c r="N114" s="71"/>
      <c r="O114" s="10" t="str">
        <f t="shared" si="77"/>
        <v/>
      </c>
      <c r="P114" s="29" t="str">
        <f>IF(K114&lt;=$F$15,IF(OR(P113=$F$124,P113="-"),"-",IF(O114*$F$123&gt;$F$127,$F$123,$F$124)),"")</f>
        <v/>
      </c>
      <c r="Q114" s="71"/>
      <c r="R114" s="10" t="str">
        <f t="shared" si="78"/>
        <v/>
      </c>
      <c r="S114" s="71"/>
      <c r="T114" s="10" t="str">
        <f t="shared" si="79"/>
        <v/>
      </c>
      <c r="U114" s="71"/>
      <c r="V114" s="10" t="str">
        <f t="shared" si="63"/>
        <v/>
      </c>
      <c r="W114" s="10" t="str">
        <f t="shared" si="92"/>
        <v/>
      </c>
      <c r="X114" s="71"/>
      <c r="Y114" s="10" t="str">
        <f t="shared" si="64"/>
        <v/>
      </c>
      <c r="Z114" s="10" t="str">
        <f t="shared" si="93"/>
        <v/>
      </c>
      <c r="AA114" s="71"/>
      <c r="AB114" s="10" t="str">
        <f t="shared" si="65"/>
        <v/>
      </c>
      <c r="AC114" s="10" t="str">
        <f t="shared" si="94"/>
        <v/>
      </c>
      <c r="AD114" s="71"/>
      <c r="AE114" s="10" t="str">
        <f t="shared" si="66"/>
        <v/>
      </c>
      <c r="AF114" s="10" t="str">
        <f t="shared" si="95"/>
        <v/>
      </c>
      <c r="AG114" s="71"/>
      <c r="AH114" s="10" t="str">
        <f t="shared" si="67"/>
        <v/>
      </c>
      <c r="AI114" s="10" t="str">
        <f t="shared" si="96"/>
        <v/>
      </c>
      <c r="AJ114" s="71"/>
      <c r="AK114" s="10" t="str">
        <f t="shared" si="68"/>
        <v/>
      </c>
      <c r="AL114" s="10" t="str">
        <f t="shared" si="97"/>
        <v/>
      </c>
      <c r="AM114" s="71"/>
      <c r="AN114" s="10" t="str">
        <f t="shared" si="69"/>
        <v/>
      </c>
      <c r="AO114" s="10" t="str">
        <f t="shared" si="98"/>
        <v/>
      </c>
      <c r="AP114" s="71"/>
      <c r="AQ114" s="10" t="str">
        <f t="shared" si="70"/>
        <v/>
      </c>
      <c r="AR114" s="10" t="str">
        <f t="shared" si="80"/>
        <v/>
      </c>
      <c r="AS114" s="71"/>
      <c r="AT114" s="7" t="str">
        <f>IF($K114&lt;=$F$15,IF($F$40&lt;&gt;"",$F$40/1000,IF(ISERROR(VLOOKUP($F$3&amp;IF($G$4&lt;&gt;"",$G$4,"")&amp;IF($F$43&lt;&gt;"","_"&amp;$F$43,""),'表3）燃料価格'!$AF$9:$AG$25,2,0)),0,VLOOKUP($I114,'表3）燃料価格'!$A$6:$U$66,VLOOKUP($F$3&amp;IF($G$4&lt;&gt;"",$G$4,"")&amp;IF($F$43&lt;&gt;"","_"&amp;$F$43,""),'表3）燃料価格'!$AF$9:$AG$25,2,0)+VLOOKUP($F$41,'表3）燃料価格'!$AF$28:$AG$29,2,0),0)*IF($F$43="需要地価格",1,$F$8/$F$141))),"")</f>
        <v/>
      </c>
      <c r="AU114" s="71"/>
      <c r="AV114" s="10" t="str">
        <f t="shared" si="71"/>
        <v/>
      </c>
      <c r="AW114" s="10" t="str">
        <f t="shared" si="81"/>
        <v/>
      </c>
      <c r="AX114" s="71"/>
      <c r="AY114" s="7" t="str">
        <f>IF(ISERROR(IF($K114&lt;=$F$15,VLOOKUP($I114,'表4）CO2価格'!$A$7:$E$67,VLOOKUP($F$48,'表4）CO2価格'!$H$10:$I$12,2,0),0)*$F$8/1000,"")),0,IF($K114&lt;=$F$15,VLOOKUP($I114,'表4）CO2価格'!$A$7:$E$67,VLOOKUP($F$48,'表4）CO2価格'!$H$10:$I$12,2,0),0)*$F$8/1000,""))</f>
        <v/>
      </c>
      <c r="AZ114" s="71"/>
      <c r="BA114" s="11" t="str">
        <f t="shared" si="72"/>
        <v/>
      </c>
      <c r="BB114" s="10" t="str">
        <f t="shared" si="82"/>
        <v/>
      </c>
      <c r="BC114" s="71"/>
      <c r="BD114" s="10" t="str">
        <f t="shared" si="73"/>
        <v/>
      </c>
      <c r="BE114" s="10" t="str">
        <f t="shared" si="83"/>
        <v/>
      </c>
      <c r="BF114" s="71"/>
      <c r="BG114" s="11" t="str">
        <f t="shared" si="74"/>
        <v/>
      </c>
      <c r="BH114" s="10" t="str">
        <f t="shared" si="84"/>
        <v/>
      </c>
      <c r="BJ114" s="7" t="str">
        <f t="shared" si="85"/>
        <v/>
      </c>
      <c r="BK114" s="158" t="str">
        <f t="shared" si="86"/>
        <v/>
      </c>
      <c r="BL114" s="158" t="str">
        <f t="shared" si="75"/>
        <v/>
      </c>
      <c r="BM114" s="10"/>
      <c r="BN114" s="10" t="str">
        <f t="shared" si="87"/>
        <v/>
      </c>
      <c r="BO114" s="10" t="str">
        <f t="shared" si="88"/>
        <v/>
      </c>
      <c r="BQ114" s="10" t="str">
        <f t="shared" si="76"/>
        <v/>
      </c>
      <c r="BR114" s="10" t="str">
        <f t="shared" si="89"/>
        <v/>
      </c>
    </row>
    <row r="115" spans="2:70" ht="15.75" thickBot="1" x14ac:dyDescent="0.2">
      <c r="B115" s="460" t="s">
        <v>515</v>
      </c>
      <c r="C115" s="86"/>
      <c r="D115" s="104"/>
      <c r="E115" s="104"/>
      <c r="F115" s="86"/>
      <c r="G115" s="104"/>
      <c r="I115" s="464"/>
      <c r="J115" s="4"/>
      <c r="K115" s="4"/>
      <c r="L115" s="4"/>
      <c r="M115" s="28"/>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row>
    <row r="116" spans="2:70" x14ac:dyDescent="0.15">
      <c r="I116" s="9" t="s">
        <v>516</v>
      </c>
      <c r="J116" s="71"/>
      <c r="K116" s="71"/>
      <c r="L116" s="71"/>
      <c r="M116" s="71"/>
      <c r="N116" s="71"/>
      <c r="O116" s="71"/>
      <c r="P116" s="71"/>
      <c r="Q116" s="71"/>
      <c r="R116" s="71"/>
      <c r="S116" s="71"/>
      <c r="T116" s="71"/>
      <c r="U116" s="71"/>
      <c r="V116" s="71"/>
      <c r="W116" s="11"/>
      <c r="X116" s="71"/>
      <c r="Y116" s="71"/>
      <c r="Z116" s="11">
        <f>SUM(Z15:Z114)</f>
        <v>8832686644.0668011</v>
      </c>
      <c r="AA116" s="71"/>
      <c r="AB116" s="71"/>
      <c r="AC116" s="11">
        <f>SUM(AC15:AC114)</f>
        <v>1547665603.9065976</v>
      </c>
      <c r="AD116" s="71"/>
      <c r="AE116" s="71"/>
      <c r="AF116" s="11">
        <f>SUM(AF15:AF114)</f>
        <v>0</v>
      </c>
      <c r="AG116" s="71"/>
      <c r="AH116" s="71"/>
      <c r="AI116" s="11">
        <f>SUM(AI15:AI114)</f>
        <v>4391806675.099226</v>
      </c>
      <c r="AJ116" s="71"/>
      <c r="AK116" s="71"/>
      <c r="AL116" s="11">
        <f>SUM(AL15:AL114)</f>
        <v>43270853135.714462</v>
      </c>
      <c r="AM116" s="71"/>
      <c r="AN116" s="71"/>
      <c r="AO116" s="11">
        <f>SUM(AO15:AO114)</f>
        <v>21635426567.857231</v>
      </c>
      <c r="AP116" s="71"/>
      <c r="AQ116" s="71"/>
      <c r="AR116" s="11">
        <f>SUM(AR15:AR114)</f>
        <v>6451651841.8542643</v>
      </c>
      <c r="AS116" s="71"/>
      <c r="AT116" s="71"/>
      <c r="AU116" s="71"/>
      <c r="AV116" s="71"/>
      <c r="AW116" s="11">
        <f>SUM(AW15:AW114)</f>
        <v>298155323521.5545</v>
      </c>
      <c r="AX116" s="71"/>
      <c r="AY116" s="71"/>
      <c r="AZ116" s="71"/>
      <c r="BA116" s="71"/>
      <c r="BB116" s="11">
        <f>SUM(BB15:BB114)</f>
        <v>84678160120.61264</v>
      </c>
      <c r="BC116" s="71"/>
      <c r="BD116" s="71"/>
      <c r="BE116" s="11">
        <f>SUM(BE15:BE114)</f>
        <v>0</v>
      </c>
      <c r="BF116" s="71"/>
      <c r="BG116" s="71"/>
      <c r="BH116" s="11">
        <f>SUM(BH15:BH114)</f>
        <v>0</v>
      </c>
      <c r="BK116" s="11">
        <f>SUM(BK15:BK114)</f>
        <v>0</v>
      </c>
      <c r="BL116" s="11">
        <f>SUM(BL15:BL114)</f>
        <v>0</v>
      </c>
      <c r="BO116" s="11">
        <f>SUM(BO15:BO114)</f>
        <v>0</v>
      </c>
      <c r="BQ116" s="71"/>
      <c r="BR116" s="11">
        <f>SUM(BR15:BR114)</f>
        <v>23131932380.920094</v>
      </c>
    </row>
    <row r="117" spans="2:70" x14ac:dyDescent="0.15">
      <c r="C117" s="9" t="s">
        <v>529</v>
      </c>
      <c r="F117" s="44">
        <f>F21*10^4*F13*10^4+F29*10^8</f>
        <v>104000000000</v>
      </c>
      <c r="G117" s="81" t="s">
        <v>208</v>
      </c>
      <c r="I117" s="236" t="s">
        <v>145</v>
      </c>
      <c r="J117" s="71"/>
      <c r="K117" s="71"/>
      <c r="L117" s="71"/>
      <c r="M117" s="71"/>
      <c r="N117" s="71"/>
      <c r="O117" s="71"/>
      <c r="P117" s="71"/>
      <c r="Q117" s="71"/>
      <c r="R117" s="71"/>
      <c r="S117" s="71"/>
      <c r="T117" s="71"/>
      <c r="U117" s="71"/>
      <c r="V117" s="71"/>
      <c r="W117" s="11"/>
      <c r="X117" s="71"/>
      <c r="Y117" s="71"/>
      <c r="Z117" s="11" t="str">
        <f ca="1">IF(ISNUMBER($F$16),SUM(INDIRECT(ADDRESS($F$16+15,COLUMN())):INDIRECT(ADDRESS(114,COLUMN()))),"")</f>
        <v/>
      </c>
      <c r="AA117" s="71"/>
      <c r="AB117" s="71"/>
      <c r="AC117" s="11" t="str">
        <f ca="1">IF(ISNUMBER($F$16),SUM(INDIRECT(ADDRESS($F$16+15,COLUMN())):INDIRECT(ADDRESS(114,COLUMN()))),"")</f>
        <v/>
      </c>
      <c r="AD117" s="71"/>
      <c r="AE117" s="71"/>
      <c r="AF117" s="11" t="str">
        <f ca="1">IF(ISNUMBER($F$16),SUM(INDIRECT(ADDRESS($F$16+15,COLUMN())):INDIRECT(ADDRESS(114,COLUMN()))),"")</f>
        <v/>
      </c>
      <c r="AG117" s="71"/>
      <c r="AH117" s="71"/>
      <c r="AI117" s="11" t="str">
        <f ca="1">IF(ISNUMBER($F$16),SUM(INDIRECT(ADDRESS($F$16+15,COLUMN())):INDIRECT(ADDRESS(114,COLUMN()))),"")</f>
        <v/>
      </c>
      <c r="AJ117" s="71"/>
      <c r="AK117" s="71"/>
      <c r="AL117" s="11" t="str">
        <f ca="1">IF(ISNUMBER($F$16),SUM(INDIRECT(ADDRESS($F$16+15,COLUMN())):INDIRECT(ADDRESS(114,COLUMN()))),"")</f>
        <v/>
      </c>
      <c r="AM117" s="71"/>
      <c r="AN117" s="71"/>
      <c r="AO117" s="11" t="str">
        <f ca="1">IF(ISNUMBER($F$16),SUM(INDIRECT(ADDRESS($F$16+15,COLUMN())):INDIRECT(ADDRESS(114,COLUMN()))),"")</f>
        <v/>
      </c>
      <c r="AP117" s="71"/>
      <c r="AQ117" s="71"/>
      <c r="AR117" s="11" t="str">
        <f ca="1">IF(ISNUMBER($F$16),SUM(INDIRECT(ADDRESS($F$16+15,COLUMN())):INDIRECT(ADDRESS(114,COLUMN()))),"")</f>
        <v/>
      </c>
      <c r="AS117" s="71"/>
      <c r="AT117" s="71"/>
      <c r="AU117" s="71"/>
      <c r="AV117" s="71"/>
      <c r="AW117" s="11" t="str">
        <f ca="1">IF(ISNUMBER($F$16),SUM(INDIRECT(ADDRESS($F$16+15,COLUMN())):INDIRECT(ADDRESS(114,COLUMN()))),"")</f>
        <v/>
      </c>
      <c r="AX117" s="71"/>
      <c r="AY117" s="71"/>
      <c r="AZ117" s="71"/>
      <c r="BA117" s="71"/>
      <c r="BB117" s="11" t="str">
        <f ca="1">IF(ISNUMBER($F$16),SUM(INDIRECT(ADDRESS($F$16+15,COLUMN())):INDIRECT(ADDRESS(114,COLUMN()))),"")</f>
        <v/>
      </c>
      <c r="BC117" s="71"/>
      <c r="BD117" s="71"/>
      <c r="BE117" s="11" t="str">
        <f ca="1">IF(ISNUMBER($F$16),SUM(INDIRECT(ADDRESS($F$16+15,COLUMN())):INDIRECT(ADDRESS(114,COLUMN()))),"")</f>
        <v/>
      </c>
      <c r="BF117" s="71"/>
      <c r="BG117" s="71"/>
      <c r="BH117" s="11" t="str">
        <f ca="1">IF(ISNUMBER($F$16),SUM(INDIRECT(ADDRESS($F$16+15,COLUMN())):INDIRECT(ADDRESS(114,COLUMN()))),"")</f>
        <v/>
      </c>
      <c r="BK117" s="11" t="str">
        <f ca="1">IF(ISNUMBER($F$16),SUM(INDIRECT(ADDRESS($F$16+15,COLUMN())):INDIRECT(ADDRESS(114,COLUMN()))),"")</f>
        <v/>
      </c>
      <c r="BL117" s="11" t="str">
        <f ca="1">IF(ISNUMBER($F$16),SUM(INDIRECT(ADDRESS($F$16+15,COLUMN())):INDIRECT(ADDRESS(114,COLUMN()))),"")</f>
        <v/>
      </c>
      <c r="BO117" s="11" t="str">
        <f ca="1">IF(ISNUMBER($F$16),SUM(INDIRECT(ADDRESS($F$16+15,COLUMN())):INDIRECT(ADDRESS(114,COLUMN()))),"")</f>
        <v/>
      </c>
      <c r="BQ117" s="71"/>
      <c r="BR117" s="11" t="str">
        <f ca="1">IF(ISNUMBER($F$16),SUM(INDIRECT(ADDRESS($F$16+15,COLUMN())):INDIRECT(ADDRESS(114,COLUMN()))),"")</f>
        <v/>
      </c>
    </row>
    <row r="119" spans="2:70" x14ac:dyDescent="0.15">
      <c r="C119" s="9" t="s">
        <v>521</v>
      </c>
      <c r="F119" s="44">
        <f>VLOOKUP(F3,'表2）法定耐用年数'!$A$2:$B$24,2,0)</f>
        <v>15</v>
      </c>
      <c r="G119" s="81" t="s">
        <v>108</v>
      </c>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Q119" s="71"/>
      <c r="BR119" s="71"/>
    </row>
    <row r="121" spans="2:70" x14ac:dyDescent="0.15">
      <c r="C121" s="89" t="s">
        <v>522</v>
      </c>
      <c r="D121" s="101"/>
      <c r="E121" s="101"/>
      <c r="F121" s="89"/>
      <c r="G121" s="10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Q121" s="71"/>
      <c r="BR121" s="71"/>
    </row>
    <row r="123" spans="2:70" x14ac:dyDescent="0.15">
      <c r="D123" s="81" t="s">
        <v>209</v>
      </c>
      <c r="F123" s="95">
        <f>VLOOKUP($F$119,'表1）減価償却率表'!$A$9:$E$107,3,0)</f>
        <v>0.16700000000000001</v>
      </c>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Q123" s="71"/>
      <c r="BR123" s="71"/>
    </row>
    <row r="124" spans="2:70" x14ac:dyDescent="0.15">
      <c r="D124" s="81" t="s">
        <v>210</v>
      </c>
      <c r="F124" s="95">
        <f>VLOOKUP($F$119,'表1）減価償却率表'!$A$9:$E$107,4,0)</f>
        <v>0.2</v>
      </c>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Q124" s="71"/>
      <c r="BR124" s="71"/>
    </row>
    <row r="125" spans="2:70" x14ac:dyDescent="0.15">
      <c r="D125" s="81" t="s">
        <v>211</v>
      </c>
      <c r="F125" s="88">
        <f>VLOOKUP($F$119,'表1）減価償却率表'!$A$9:$E$107,5,0)</f>
        <v>3.2169999999999997E-2</v>
      </c>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Q125" s="71"/>
      <c r="BR125" s="71"/>
    </row>
    <row r="126" spans="2:70" x14ac:dyDescent="0.15">
      <c r="F126" s="96"/>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Q126" s="71"/>
      <c r="BR126" s="71"/>
    </row>
    <row r="127" spans="2:70" x14ac:dyDescent="0.15">
      <c r="C127" s="111" t="s">
        <v>523</v>
      </c>
      <c r="D127" s="85"/>
      <c r="E127" s="114"/>
      <c r="F127" s="44">
        <f>F117*F125</f>
        <v>3345679999.9999995</v>
      </c>
      <c r="G127" s="81" t="s">
        <v>208</v>
      </c>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Q127" s="71"/>
      <c r="BR127" s="71"/>
    </row>
    <row r="129" spans="3:7" x14ac:dyDescent="0.15">
      <c r="C129" s="111" t="s">
        <v>152</v>
      </c>
      <c r="D129" s="85"/>
      <c r="E129" s="85"/>
      <c r="F129" s="95">
        <f>0.1^(1/F119)</f>
        <v>0.85769589859089412</v>
      </c>
      <c r="G129" s="85"/>
    </row>
    <row r="131" spans="3:7" x14ac:dyDescent="0.15">
      <c r="C131" s="89" t="s">
        <v>524</v>
      </c>
      <c r="D131" s="101"/>
      <c r="E131" s="101"/>
      <c r="F131" s="89"/>
      <c r="G131" s="101"/>
    </row>
    <row r="133" spans="3:7" x14ac:dyDescent="0.15">
      <c r="D133" s="81" t="s">
        <v>212</v>
      </c>
      <c r="F133" s="44">
        <f>F13*10000*24*365*F14/100</f>
        <v>1051200000</v>
      </c>
      <c r="G133" s="81" t="s">
        <v>213</v>
      </c>
    </row>
    <row r="134" spans="3:7" x14ac:dyDescent="0.15">
      <c r="D134" s="81" t="s">
        <v>214</v>
      </c>
      <c r="F134" s="44">
        <f>F133*(1-F24/100)</f>
        <v>1000742400</v>
      </c>
      <c r="G134" s="81" t="s">
        <v>213</v>
      </c>
    </row>
    <row r="135" spans="3:7" x14ac:dyDescent="0.15">
      <c r="F135" s="97"/>
    </row>
    <row r="137" spans="3:7" ht="16.5" x14ac:dyDescent="0.15">
      <c r="C137" s="9" t="s">
        <v>525</v>
      </c>
      <c r="F137" s="44">
        <f>IF(ISERROR(F133*3.6/(F23/100)/F22),0,F133*3.6/(F23/100)/F22)</f>
        <v>189382656.73792937</v>
      </c>
      <c r="G137" s="9" t="s">
        <v>370</v>
      </c>
    </row>
    <row r="139" spans="3:7" x14ac:dyDescent="0.15">
      <c r="C139" s="89" t="s">
        <v>526</v>
      </c>
      <c r="D139" s="101"/>
      <c r="E139" s="101"/>
      <c r="F139" s="89"/>
      <c r="G139" s="101"/>
    </row>
    <row r="141" spans="3:7" x14ac:dyDescent="0.15">
      <c r="D141" s="81" t="s">
        <v>215</v>
      </c>
      <c r="F141" s="98">
        <f>IF(OR(F3="石炭火力",F3= "LNG火力", F3="ガスコジェネ",F3="バイオマス（石炭混焼）",F3="バイオマス（木質専焼）",F3="燃料電池"),IF($F$43="需要地価格","",1000),IF(OR(F3="石油火力",F3="石油コジェネ"),IF($F$43="需要地価格","",158.987294928),""))</f>
        <v>158.98729492800001</v>
      </c>
      <c r="G141" s="81" t="s">
        <v>216</v>
      </c>
    </row>
    <row r="142" spans="3:7" x14ac:dyDescent="0.15">
      <c r="D142" s="81" t="s">
        <v>180</v>
      </c>
      <c r="F142" s="91">
        <f>IF(ISERROR(F42/1000),0,F42/1000)</f>
        <v>7.6</v>
      </c>
      <c r="G142" s="81" t="s">
        <v>217</v>
      </c>
    </row>
    <row r="145" spans="3:7" x14ac:dyDescent="0.15">
      <c r="C145" s="9" t="s">
        <v>368</v>
      </c>
      <c r="F145" s="98">
        <f>IF(ISERROR(F133*(F47*3.6/(F23/100)/1000*(44/12))),0,F133*(F47*3.6/(F23/100)/1000*(44/12)))</f>
        <v>580472639.99999988</v>
      </c>
      <c r="G145" s="81" t="s">
        <v>218</v>
      </c>
    </row>
    <row r="147" spans="3:7" x14ac:dyDescent="0.15">
      <c r="C147" s="89" t="s">
        <v>369</v>
      </c>
      <c r="D147" s="101"/>
      <c r="E147" s="101"/>
      <c r="F147" s="89"/>
      <c r="G147" s="101"/>
    </row>
    <row r="149" spans="3:7" x14ac:dyDescent="0.15">
      <c r="D149" s="81" t="s">
        <v>219</v>
      </c>
      <c r="F149" s="98">
        <f>IF(ISERROR(F52/F23),0,F52/F23)</f>
        <v>0</v>
      </c>
    </row>
    <row r="150" spans="3:7" x14ac:dyDescent="0.15">
      <c r="D150" s="81" t="s">
        <v>220</v>
      </c>
      <c r="F150" s="98">
        <f>F133*F149*(F53/100)*3.6</f>
        <v>0</v>
      </c>
      <c r="G150" s="81" t="s">
        <v>221</v>
      </c>
    </row>
    <row r="151" spans="3:7" ht="16.5" x14ac:dyDescent="0.15">
      <c r="D151" s="81" t="s">
        <v>222</v>
      </c>
      <c r="F151" s="44">
        <f>IF(ISERROR(F150/(F54/100)/F55),0,F150/(F54/100)/F55)</f>
        <v>0</v>
      </c>
      <c r="G151" s="9" t="s">
        <v>370</v>
      </c>
    </row>
    <row r="152" spans="3:7" x14ac:dyDescent="0.15">
      <c r="D152" s="81" t="s">
        <v>223</v>
      </c>
      <c r="F152" s="146">
        <f>IF(ISERROR(F56/1000),0,F56/1000)</f>
        <v>0</v>
      </c>
      <c r="G152" s="81" t="s">
        <v>217</v>
      </c>
    </row>
    <row r="153" spans="3:7" x14ac:dyDescent="0.15">
      <c r="D153" s="81" t="s">
        <v>224</v>
      </c>
      <c r="F153" s="98">
        <f>IF(ISERROR(F150*F47/1000*(44/12)/(F54/100)),0,F150*F47/1000*(44/12)/(F54/100))</f>
        <v>0</v>
      </c>
      <c r="G153" s="81" t="s">
        <v>218</v>
      </c>
    </row>
  </sheetData>
  <mergeCells count="48">
    <mergeCell ref="BQ7:BR7"/>
    <mergeCell ref="BJ7:BO7"/>
    <mergeCell ref="I9:I10"/>
    <mergeCell ref="K9:K10"/>
    <mergeCell ref="M9:M10"/>
    <mergeCell ref="O9:P10"/>
    <mergeCell ref="R9:R10"/>
    <mergeCell ref="AE9:AF10"/>
    <mergeCell ref="AH9:AI10"/>
    <mergeCell ref="BD9:BE10"/>
    <mergeCell ref="BG9:BH10"/>
    <mergeCell ref="V7:AF7"/>
    <mergeCell ref="AH7:AR7"/>
    <mergeCell ref="AT7:AW7"/>
    <mergeCell ref="AY7:BB7"/>
    <mergeCell ref="BD7:BH7"/>
    <mergeCell ref="AN9:AO10"/>
    <mergeCell ref="AQ9:AR10"/>
    <mergeCell ref="F3:G3"/>
    <mergeCell ref="T9:T10"/>
    <mergeCell ref="V9:W10"/>
    <mergeCell ref="Y9:Z10"/>
    <mergeCell ref="AB9:AC10"/>
    <mergeCell ref="P12:P13"/>
    <mergeCell ref="W12:W13"/>
    <mergeCell ref="Z12:Z13"/>
    <mergeCell ref="AW12:AW13"/>
    <mergeCell ref="BB12:BB13"/>
    <mergeCell ref="AF12:AF13"/>
    <mergeCell ref="AI12:AI13"/>
    <mergeCell ref="AL12:AL13"/>
    <mergeCell ref="AO12:AO13"/>
    <mergeCell ref="BE12:BE13"/>
    <mergeCell ref="AC12:AC13"/>
    <mergeCell ref="AT9:AT10"/>
    <mergeCell ref="BR12:BR13"/>
    <mergeCell ref="BL12:BL13"/>
    <mergeCell ref="AR12:AR13"/>
    <mergeCell ref="BJ12:BJ13"/>
    <mergeCell ref="BJ9:BL10"/>
    <mergeCell ref="BN9:BO10"/>
    <mergeCell ref="BK12:BK13"/>
    <mergeCell ref="BO12:BO13"/>
    <mergeCell ref="BH12:BH13"/>
    <mergeCell ref="AY9:AY10"/>
    <mergeCell ref="BA9:BB10"/>
    <mergeCell ref="AV9:AW10"/>
    <mergeCell ref="AK9:AL10"/>
  </mergeCells>
  <phoneticPr fontId="2"/>
  <dataValidations count="4">
    <dataValidation type="list" allowBlank="1" showDropDown="1" showInputMessage="1" showErrorMessage="1" sqref="F48 F41" xr:uid="{00000000-0002-0000-0800-000000000000}">
      <formula1>"現行政策シナリオ, 新政策シナリオ"</formula1>
    </dataValidation>
    <dataValidation type="whole" allowBlank="1" showInputMessage="1" showErrorMessage="1" sqref="F7" xr:uid="{00000000-0002-0000-0800-000001000000}">
      <formula1>2010</formula1>
      <formula2>2030</formula2>
    </dataValidation>
    <dataValidation type="list" allowBlank="1" showDropDown="1" showInputMessage="1" showErrorMessage="1" sqref="F43" xr:uid="{00000000-0002-0000-0800-000002000000}">
      <formula1>"CIF価格, 需要地価格"</formula1>
    </dataValidation>
    <dataValidation type="list" allowBlank="1" showDropDown="1" showInputMessage="1" showErrorMessage="1" sqref="F3:G3" xr:uid="{00000000-0002-0000-0800-000003000000}">
      <formula1>"原子力,石炭火力,LNG火力,石油火力,一般水力,太陽光（メガソーラー）,太陽光（住宅）,風力（陸上）,風力（洋上）,小水力,地熱,バイオマス（石炭混焼）,バイオマス（木質専焼）,ガスコジェネ,石油コジェネ,燃料電池"</formula1>
    </dataValidation>
  </dataValidations>
  <pageMargins left="0.59055118110236227" right="0.59055118110236227" top="0.59055118110236227" bottom="0.59055118110236227" header="0.31496062992125984" footer="0.31496062992125984"/>
  <pageSetup paperSize="8" scale="2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50</vt:i4>
      </vt:variant>
      <vt:variant>
        <vt:lpstr>名前付き一覧</vt:lpstr>
      </vt:variant>
      <vt:variant>
        <vt:i4>1</vt:i4>
      </vt:variant>
    </vt:vector>
  </HeadingPairs>
  <TitlesOfParts>
    <vt:vector size="51" baseType="lpstr">
      <vt:lpstr>まとめ</vt:lpstr>
      <vt:lpstr>原子力（2020年）</vt:lpstr>
      <vt:lpstr>原子力（2030年）</vt:lpstr>
      <vt:lpstr>石炭火力（2020年）</vt:lpstr>
      <vt:lpstr>石炭火力（2030年）</vt:lpstr>
      <vt:lpstr>LNG火力（2020年）</vt:lpstr>
      <vt:lpstr>LNG火力（2030年）</vt:lpstr>
      <vt:lpstr>石油火力（2020年）</vt:lpstr>
      <vt:lpstr>石油火力（2030年）</vt:lpstr>
      <vt:lpstr>ガスコジェネ（2020年）</vt:lpstr>
      <vt:lpstr>ガスコジェネ（2030年）</vt:lpstr>
      <vt:lpstr>石油コジェネ（2020年）</vt:lpstr>
      <vt:lpstr>石油コジェネ（2030年）</vt:lpstr>
      <vt:lpstr>燃料電池（2020年）</vt:lpstr>
      <vt:lpstr>燃料電池（2030年）</vt:lpstr>
      <vt:lpstr>太陽光（事業用）（2020年）</vt:lpstr>
      <vt:lpstr>太陽光（事業用）（2030年）</vt:lpstr>
      <vt:lpstr>太陽光（事業用）（2030年）【パネル出力劣化考慮】</vt:lpstr>
      <vt:lpstr>太陽光（住宅用）（2020年）</vt:lpstr>
      <vt:lpstr>太陽光（住宅用）（2030年）</vt:lpstr>
      <vt:lpstr>太陽光（住宅用）（2030年）【パネル劣化あり】</vt:lpstr>
      <vt:lpstr>陸上風力（2020年）</vt:lpstr>
      <vt:lpstr>陸上風力（2030年）</vt:lpstr>
      <vt:lpstr>洋上風力（2020年）</vt:lpstr>
      <vt:lpstr>洋上風力（2030年）</vt:lpstr>
      <vt:lpstr>小水力（2020年）</vt:lpstr>
      <vt:lpstr>小水力（2030年）</vt:lpstr>
      <vt:lpstr>中水力（2020年）</vt:lpstr>
      <vt:lpstr>中水力（2030年）</vt:lpstr>
      <vt:lpstr>地熱（2020年）</vt:lpstr>
      <vt:lpstr>地熱（2030年）</vt:lpstr>
      <vt:lpstr>バイオマス（石炭混焼）（2020年）</vt:lpstr>
      <vt:lpstr>バイオマス（石炭混焼）（2030年）</vt:lpstr>
      <vt:lpstr>バイオマス（木質専焼）（2020年）</vt:lpstr>
      <vt:lpstr>バイオマス（木質専焼）（2030年）</vt:lpstr>
      <vt:lpstr>水素混焼火力（2030年）</vt:lpstr>
      <vt:lpstr>水素専焼火力（2030年）</vt:lpstr>
      <vt:lpstr>CO2分離回収型IGCC（2030年）</vt:lpstr>
      <vt:lpstr>ＩＧＣＣ（2030年）</vt:lpstr>
      <vt:lpstr>CO2分離回収型LNG火力（2030年）</vt:lpstr>
      <vt:lpstr>CO2分離回収型石炭火力（2030年）</vt:lpstr>
      <vt:lpstr>アンモニア混焼火力（2030年）</vt:lpstr>
      <vt:lpstr>表1）減価償却率表</vt:lpstr>
      <vt:lpstr>表2）法定耐用年数</vt:lpstr>
      <vt:lpstr>表3）燃料価格</vt:lpstr>
      <vt:lpstr>表4）CO2価格</vt:lpstr>
      <vt:lpstr>表４ー②）CO2輸送・貯留コスト</vt:lpstr>
      <vt:lpstr>表5）核燃料サイクル費用</vt:lpstr>
      <vt:lpstr>表6）太陽光・風力シナリオ</vt:lpstr>
      <vt:lpstr>表7）買取期間・IRR</vt:lpstr>
      <vt:lpstr>まとめ!Print_Area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2011-12-19T09:13:34Z</dcterms:created>
  <dcterms:modified xsi:type="dcterms:W3CDTF">2022-04-01T13:59:50Z</dcterms:modified>
  <cp:category/>
  <cp:contentStatus/>
</cp:coreProperties>
</file>